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8"/>
  <workbookPr/>
  <mc:AlternateContent xmlns:mc="http://schemas.openxmlformats.org/markup-compatibility/2006">
    <mc:Choice Requires="x15">
      <x15ac:absPath xmlns:x15ac="http://schemas.microsoft.com/office/spreadsheetml/2010/11/ac" url="E:\IPES 2023 John Rincon\Veeduria Distrital 2023\Colibri\PUBLICACION COMPROMISOS COLIBRI VEEDURIA DISTRITAL\SDAE\visita de la alcaldesa del mes de marzo de 2023\"/>
    </mc:Choice>
  </mc:AlternateContent>
  <xr:revisionPtr revIDLastSave="0" documentId="13_ncr:1_{ECA3AD07-DE6B-4913-B1D6-158CB2EAB568}" xr6:coauthVersionLast="36" xr6:coauthVersionMax="36" xr10:uidLastSave="{00000000-0000-0000-0000-000000000000}"/>
  <bookViews>
    <workbookView minimized="1" xWindow="0" yWindow="0" windowWidth="28800" windowHeight="10725" firstSheet="1" activeTab="1" xr2:uid="{00000000-000D-0000-FFFF-FFFF00000000}"/>
  </bookViews>
  <sheets>
    <sheet name="Guía de diligenciamiento" sheetId="1" state="hidden" r:id="rId1"/>
    <sheet name="Hoja1" sheetId="8" r:id="rId2"/>
    <sheet name="Respuestas de formulario 1" sheetId="4" state="hidden" r:id="rId3"/>
    <sheet name="DuplicParaConsul" sheetId="6" state="hidden" r:id="rId4"/>
    <sheet name="NvaConsolid-IvanOtalora" sheetId="7"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3" hidden="1">DuplicParaConsul!$A$2:$P$4202</definedName>
    <definedName name="Z_5C6402BC_52CB_44D1_9AC7_53AD20DA2EB8_.wvu.FilterData" localSheetId="4" hidden="1">'NvaConsolid-IvanOtalora'!$A$2:$S$5003</definedName>
    <definedName name="Z_6F35E8A8_DE95_45B2_AF56_87DB6949715B_.wvu.FilterData" localSheetId="3" hidden="1">DuplicParaConsul!$A$2:$Z$4202</definedName>
    <definedName name="Z_6F35E8A8_DE95_45B2_AF56_87DB6949715B_.wvu.FilterData" localSheetId="4" hidden="1">'NvaConsolid-IvanOtalora'!$A$2:$Z$4203</definedName>
    <definedName name="Z_8E688887_112B_4106_8B6C_9811D758B7BE_.wvu.FilterData" localSheetId="3" hidden="1">DuplicParaConsul!$A$2:$S$4202</definedName>
    <definedName name="Z_8E688887_112B_4106_8B6C_9811D758B7BE_.wvu.FilterData" localSheetId="4" hidden="1">'NvaConsolid-IvanOtalora'!$A$2:$S$4203</definedName>
    <definedName name="Z_A69E9453_6543_4029_BECE_F380E98AD1E7_.wvu.FilterData" localSheetId="4" hidden="1">'NvaConsolid-IvanOtalora'!$A$2:$Z$4203</definedName>
    <definedName name="Z_D9B5CE8E_1324_47E4_8C81_69DF025B30F2_.wvu.FilterData" localSheetId="3" hidden="1">DuplicParaConsul!$A$2:$S$4202</definedName>
    <definedName name="Z_D9B5CE8E_1324_47E4_8C81_69DF025B30F2_.wvu.FilterData" localSheetId="4" hidden="1">'NvaConsolid-IvanOtalora'!$A$2:$S$4203</definedName>
  </definedNames>
  <calcPr calcId="191029"/>
  <customWorkbookViews>
    <customWorkbookView name="Filtro 4" guid="{A69E9453-6543-4029-BECE-F380E98AD1E7}" maximized="1" windowWidth="0" windowHeight="0" activeSheetId="0"/>
    <customWorkbookView name="Filtro 5" guid="{5C6402BC-52CB-44D1-9AC7-53AD20DA2EB8}" maximized="1" windowWidth="0" windowHeight="0" activeSheetId="0"/>
    <customWorkbookView name="Filtro 1" guid="{6F35E8A8-DE95-45B2-AF56-87DB6949715B}" maximized="1" windowWidth="0" windowHeight="0" activeSheetId="0"/>
    <customWorkbookView name="Filtro 2" guid="{D9B5CE8E-1324-47E4-8C81-69DF025B30F2}" maximized="1" windowWidth="0" windowHeight="0" activeSheetId="0"/>
    <customWorkbookView name="Filtro 3" guid="{8E688887-112B-4106-8B6C-9811D758B7BE}" maximized="1" windowWidth="0" windowHeight="0" activeSheetId="0"/>
  </customWorkbookViews>
  <extLst>
    <ext uri="GoogleSheetsCustomDataVersion2">
      <go:sheetsCustomData xmlns:go="http://customooxmlschemas.google.com/" r:id="rId19" roundtripDataChecksum="wu3L+YLbA2/MTXF7YY2nsKEcUAFyq5xm3qy3+hIxhn4="/>
    </ext>
  </extLst>
</workbook>
</file>

<file path=xl/calcChain.xml><?xml version="1.0" encoding="utf-8"?>
<calcChain xmlns="http://schemas.openxmlformats.org/spreadsheetml/2006/main">
  <c r="P5003" i="7" l="1"/>
  <c r="O5003" i="7"/>
  <c r="P5002" i="7"/>
  <c r="O5002" i="7"/>
  <c r="P5001" i="7"/>
  <c r="O5001" i="7"/>
  <c r="P5000" i="7"/>
  <c r="O5000" i="7"/>
  <c r="P4999" i="7"/>
  <c r="O4999" i="7"/>
  <c r="P4998" i="7"/>
  <c r="O4998" i="7"/>
  <c r="P4997" i="7"/>
  <c r="O4997" i="7"/>
  <c r="P4996" i="7"/>
  <c r="O4996" i="7"/>
  <c r="P4995" i="7"/>
  <c r="O4995" i="7"/>
  <c r="P4994" i="7"/>
  <c r="O4994" i="7"/>
  <c r="P4993" i="7"/>
  <c r="O4993" i="7"/>
  <c r="P4992" i="7"/>
  <c r="O4992" i="7"/>
  <c r="P4991" i="7"/>
  <c r="O4991" i="7"/>
  <c r="P4990" i="7"/>
  <c r="O4990" i="7"/>
  <c r="P4989" i="7"/>
  <c r="O4989" i="7"/>
  <c r="P4988" i="7"/>
  <c r="O4988" i="7"/>
  <c r="P4987" i="7"/>
  <c r="O4987" i="7"/>
  <c r="P4986" i="7"/>
  <c r="O4986" i="7"/>
  <c r="P4985" i="7"/>
  <c r="O4985" i="7"/>
  <c r="P4984" i="7"/>
  <c r="O4984" i="7"/>
  <c r="P4983" i="7"/>
  <c r="O4983" i="7"/>
  <c r="P4982" i="7"/>
  <c r="O4982" i="7"/>
  <c r="P4981" i="7"/>
  <c r="O4981" i="7"/>
  <c r="P4980" i="7"/>
  <c r="O4980" i="7"/>
  <c r="P4979" i="7"/>
  <c r="O4979" i="7"/>
  <c r="P4978" i="7"/>
  <c r="O4978" i="7"/>
  <c r="P4977" i="7"/>
  <c r="O4977" i="7"/>
  <c r="P4976" i="7"/>
  <c r="O4976" i="7"/>
  <c r="P4975" i="7"/>
  <c r="O4975" i="7"/>
  <c r="P4974" i="7"/>
  <c r="O4974" i="7"/>
  <c r="P4973" i="7"/>
  <c r="O4973" i="7"/>
  <c r="P4972" i="7"/>
  <c r="O4972" i="7"/>
  <c r="P4971" i="7"/>
  <c r="O4971" i="7"/>
  <c r="P4970" i="7"/>
  <c r="O4970" i="7"/>
  <c r="P4969" i="7"/>
  <c r="O4969" i="7"/>
  <c r="P4968" i="7"/>
  <c r="O4968" i="7"/>
  <c r="P4967" i="7"/>
  <c r="O4967" i="7"/>
  <c r="P4966" i="7"/>
  <c r="O4966" i="7"/>
  <c r="P4965" i="7"/>
  <c r="O4965" i="7"/>
  <c r="P4964" i="7"/>
  <c r="O4964" i="7"/>
  <c r="P4963" i="7"/>
  <c r="O4963" i="7"/>
  <c r="P4962" i="7"/>
  <c r="O4962" i="7"/>
  <c r="P4961" i="7"/>
  <c r="O4961" i="7"/>
  <c r="P4960" i="7"/>
  <c r="O4960" i="7"/>
  <c r="P4959" i="7"/>
  <c r="O4959" i="7"/>
  <c r="P4958" i="7"/>
  <c r="O4958" i="7"/>
  <c r="P4957" i="7"/>
  <c r="O4957" i="7"/>
  <c r="P4956" i="7"/>
  <c r="O4956" i="7"/>
  <c r="P4955" i="7"/>
  <c r="O4955" i="7"/>
  <c r="P4954" i="7"/>
  <c r="O4954" i="7"/>
  <c r="P4953" i="7"/>
  <c r="O4953" i="7"/>
  <c r="P4952" i="7"/>
  <c r="O4952" i="7"/>
  <c r="P4951" i="7"/>
  <c r="O4951" i="7"/>
  <c r="P4950" i="7"/>
  <c r="O4950" i="7"/>
  <c r="P4949" i="7"/>
  <c r="O4949" i="7"/>
  <c r="P4948" i="7"/>
  <c r="O4948" i="7"/>
  <c r="P4947" i="7"/>
  <c r="O4947" i="7"/>
  <c r="P4946" i="7"/>
  <c r="O4946" i="7"/>
  <c r="P4945" i="7"/>
  <c r="O4945" i="7"/>
  <c r="P4944" i="7"/>
  <c r="O4944" i="7"/>
  <c r="P4943" i="7"/>
  <c r="O4943" i="7"/>
  <c r="P4942" i="7"/>
  <c r="O4942" i="7"/>
  <c r="P4941" i="7"/>
  <c r="O4941" i="7"/>
  <c r="P4940" i="7"/>
  <c r="O4940" i="7"/>
  <c r="P4939" i="7"/>
  <c r="O4939" i="7"/>
  <c r="P4938" i="7"/>
  <c r="O4938" i="7"/>
  <c r="P4937" i="7"/>
  <c r="O4937" i="7"/>
  <c r="P4936" i="7"/>
  <c r="O4936" i="7"/>
  <c r="P4935" i="7"/>
  <c r="O4935" i="7"/>
  <c r="P4934" i="7"/>
  <c r="O4934" i="7"/>
  <c r="P4933" i="7"/>
  <c r="O4933" i="7"/>
  <c r="P4932" i="7"/>
  <c r="O4932" i="7"/>
  <c r="P4931" i="7"/>
  <c r="O4931" i="7"/>
  <c r="P4930" i="7"/>
  <c r="O4930" i="7"/>
  <c r="P4929" i="7"/>
  <c r="O4929" i="7"/>
  <c r="P4928" i="7"/>
  <c r="O4928" i="7"/>
  <c r="P4927" i="7"/>
  <c r="O4927" i="7"/>
  <c r="P4926" i="7"/>
  <c r="O4926" i="7"/>
  <c r="P4925" i="7"/>
  <c r="O4925" i="7"/>
  <c r="P4924" i="7"/>
  <c r="O4924" i="7"/>
  <c r="P4923" i="7"/>
  <c r="O4923" i="7"/>
  <c r="P4922" i="7"/>
  <c r="O4922" i="7"/>
  <c r="P4921" i="7"/>
  <c r="O4921" i="7"/>
  <c r="P4920" i="7"/>
  <c r="O4920" i="7"/>
  <c r="P4919" i="7"/>
  <c r="O4919" i="7"/>
  <c r="P4918" i="7"/>
  <c r="O4918" i="7"/>
  <c r="P4917" i="7"/>
  <c r="O4917" i="7"/>
  <c r="P4916" i="7"/>
  <c r="O4916" i="7"/>
  <c r="P4915" i="7"/>
  <c r="O4915" i="7"/>
  <c r="P4914" i="7"/>
  <c r="O4914" i="7"/>
  <c r="P4913" i="7"/>
  <c r="O4913" i="7"/>
  <c r="P4912" i="7"/>
  <c r="O4912" i="7"/>
  <c r="P4911" i="7"/>
  <c r="O4911" i="7"/>
  <c r="P4910" i="7"/>
  <c r="O4910" i="7"/>
  <c r="P4909" i="7"/>
  <c r="O4909" i="7"/>
  <c r="P4908" i="7"/>
  <c r="O4908" i="7"/>
  <c r="P4907" i="7"/>
  <c r="O4907" i="7"/>
  <c r="P4906" i="7"/>
  <c r="O4906" i="7"/>
  <c r="P4905" i="7"/>
  <c r="O4905" i="7"/>
  <c r="P4904" i="7"/>
  <c r="O4904" i="7"/>
  <c r="P4903" i="7"/>
  <c r="O4903" i="7"/>
  <c r="P4902" i="7"/>
  <c r="O4902" i="7"/>
  <c r="P4901" i="7"/>
  <c r="O4901" i="7"/>
  <c r="P4900" i="7"/>
  <c r="O4900" i="7"/>
  <c r="P4899" i="7"/>
  <c r="O4899" i="7"/>
  <c r="P4898" i="7"/>
  <c r="O4898" i="7"/>
  <c r="P4897" i="7"/>
  <c r="O4897" i="7"/>
  <c r="P4896" i="7"/>
  <c r="O4896" i="7"/>
  <c r="P4895" i="7"/>
  <c r="O4895" i="7"/>
  <c r="P4894" i="7"/>
  <c r="O4894" i="7"/>
  <c r="P4893" i="7"/>
  <c r="O4893" i="7"/>
  <c r="P4892" i="7"/>
  <c r="O4892" i="7"/>
  <c r="P4891" i="7"/>
  <c r="O4891" i="7"/>
  <c r="P4890" i="7"/>
  <c r="O4890" i="7"/>
  <c r="P4889" i="7"/>
  <c r="O4889" i="7"/>
  <c r="P4888" i="7"/>
  <c r="O4888" i="7"/>
  <c r="P4887" i="7"/>
  <c r="O4887" i="7"/>
  <c r="P4886" i="7"/>
  <c r="O4886" i="7"/>
  <c r="P4885" i="7"/>
  <c r="O4885" i="7"/>
  <c r="P4884" i="7"/>
  <c r="O4884" i="7"/>
  <c r="P4883" i="7"/>
  <c r="O4883" i="7"/>
  <c r="P4882" i="7"/>
  <c r="O4882" i="7"/>
  <c r="P4881" i="7"/>
  <c r="O4881" i="7"/>
  <c r="P4880" i="7"/>
  <c r="O4880" i="7"/>
  <c r="P4879" i="7"/>
  <c r="O4879" i="7"/>
  <c r="P4878" i="7"/>
  <c r="O4878" i="7"/>
  <c r="P4877" i="7"/>
  <c r="O4877" i="7"/>
  <c r="P4876" i="7"/>
  <c r="O4876" i="7"/>
  <c r="P4875" i="7"/>
  <c r="O4875" i="7"/>
  <c r="P4874" i="7"/>
  <c r="O4874" i="7"/>
  <c r="P4873" i="7"/>
  <c r="O4873" i="7"/>
  <c r="P4872" i="7"/>
  <c r="O4872" i="7"/>
  <c r="P4871" i="7"/>
  <c r="O4871" i="7"/>
  <c r="P4870" i="7"/>
  <c r="O4870" i="7"/>
  <c r="P4869" i="7"/>
  <c r="O4869" i="7"/>
  <c r="P4868" i="7"/>
  <c r="O4868" i="7"/>
  <c r="P4867" i="7"/>
  <c r="O4867" i="7"/>
  <c r="P4866" i="7"/>
  <c r="O4866" i="7"/>
  <c r="P4865" i="7"/>
  <c r="O4865" i="7"/>
  <c r="P4864" i="7"/>
  <c r="O4864" i="7"/>
  <c r="P4863" i="7"/>
  <c r="O4863" i="7"/>
  <c r="P4862" i="7"/>
  <c r="O4862" i="7"/>
  <c r="P4861" i="7"/>
  <c r="O4861" i="7"/>
  <c r="P4860" i="7"/>
  <c r="O4860" i="7"/>
  <c r="P4859" i="7"/>
  <c r="O4859" i="7"/>
  <c r="P4858" i="7"/>
  <c r="O4858" i="7"/>
  <c r="P4857" i="7"/>
  <c r="O4857" i="7"/>
  <c r="P4856" i="7"/>
  <c r="O4856" i="7"/>
  <c r="P4855" i="7"/>
  <c r="O4855" i="7"/>
  <c r="P4854" i="7"/>
  <c r="O4854" i="7"/>
  <c r="P4853" i="7"/>
  <c r="O4853" i="7"/>
  <c r="P4852" i="7"/>
  <c r="O4852" i="7"/>
  <c r="P4851" i="7"/>
  <c r="O4851" i="7"/>
  <c r="P4850" i="7"/>
  <c r="O4850" i="7"/>
  <c r="P4849" i="7"/>
  <c r="O4849" i="7"/>
  <c r="P4848" i="7"/>
  <c r="O4848" i="7"/>
  <c r="P4847" i="7"/>
  <c r="O4847" i="7"/>
  <c r="P4846" i="7"/>
  <c r="O4846" i="7"/>
  <c r="P4845" i="7"/>
  <c r="O4845" i="7"/>
  <c r="P4844" i="7"/>
  <c r="O4844" i="7"/>
  <c r="P4843" i="7"/>
  <c r="O4843" i="7"/>
  <c r="P4842" i="7"/>
  <c r="O4842" i="7"/>
  <c r="P4841" i="7"/>
  <c r="O4841" i="7"/>
  <c r="P4840" i="7"/>
  <c r="O4840" i="7"/>
  <c r="P4839" i="7"/>
  <c r="O4839" i="7"/>
  <c r="P4838" i="7"/>
  <c r="O4838" i="7"/>
  <c r="P4837" i="7"/>
  <c r="O4837" i="7"/>
  <c r="P4836" i="7"/>
  <c r="O4836" i="7"/>
  <c r="P4835" i="7"/>
  <c r="O4835" i="7"/>
  <c r="P4834" i="7"/>
  <c r="O4834" i="7"/>
  <c r="P4833" i="7"/>
  <c r="O4833" i="7"/>
  <c r="P4832" i="7"/>
  <c r="O4832" i="7"/>
  <c r="P4831" i="7"/>
  <c r="O4831" i="7"/>
  <c r="P4830" i="7"/>
  <c r="O4830" i="7"/>
  <c r="P4829" i="7"/>
  <c r="O4829" i="7"/>
  <c r="P4828" i="7"/>
  <c r="O4828" i="7"/>
  <c r="P4827" i="7"/>
  <c r="O4827" i="7"/>
  <c r="P4826" i="7"/>
  <c r="O4826" i="7"/>
  <c r="P4825" i="7"/>
  <c r="O4825" i="7"/>
  <c r="P4824" i="7"/>
  <c r="O4824" i="7"/>
  <c r="P4823" i="7"/>
  <c r="O4823" i="7"/>
  <c r="P4822" i="7"/>
  <c r="O4822" i="7"/>
  <c r="P4821" i="7"/>
  <c r="O4821" i="7"/>
  <c r="P4820" i="7"/>
  <c r="O4820" i="7"/>
  <c r="P4819" i="7"/>
  <c r="O4819" i="7"/>
  <c r="P4818" i="7"/>
  <c r="O4818" i="7"/>
  <c r="P4817" i="7"/>
  <c r="O4817" i="7"/>
  <c r="P4816" i="7"/>
  <c r="O4816" i="7"/>
  <c r="P4815" i="7"/>
  <c r="O4815" i="7"/>
  <c r="P4814" i="7"/>
  <c r="O4814" i="7"/>
  <c r="P4813" i="7"/>
  <c r="O4813" i="7"/>
  <c r="P4812" i="7"/>
  <c r="O4812" i="7"/>
  <c r="P4811" i="7"/>
  <c r="O4811" i="7"/>
  <c r="P4810" i="7"/>
  <c r="O4810" i="7"/>
  <c r="P4809" i="7"/>
  <c r="O4809" i="7"/>
  <c r="P4808" i="7"/>
  <c r="O4808" i="7"/>
  <c r="P4807" i="7"/>
  <c r="O4807" i="7"/>
  <c r="P4806" i="7"/>
  <c r="O4806" i="7"/>
  <c r="P4805" i="7"/>
  <c r="O4805" i="7"/>
  <c r="P4804" i="7"/>
  <c r="O4804" i="7"/>
  <c r="P4803" i="7"/>
  <c r="O4803" i="7"/>
  <c r="P4798" i="7"/>
  <c r="P4797" i="7"/>
  <c r="P4796" i="7"/>
  <c r="P4795" i="7"/>
  <c r="P4794" i="7"/>
  <c r="P4791" i="7"/>
  <c r="P4790" i="7"/>
  <c r="P4788" i="7"/>
  <c r="P4786" i="7"/>
  <c r="P4785" i="7"/>
  <c r="P4784" i="7"/>
  <c r="P4782" i="7"/>
  <c r="P4781" i="7"/>
  <c r="P4780" i="7"/>
  <c r="P4779" i="7"/>
  <c r="P4777" i="7"/>
  <c r="P4776" i="7"/>
  <c r="P4775" i="7"/>
  <c r="P4774" i="7"/>
  <c r="P4773" i="7"/>
  <c r="P4772" i="7"/>
  <c r="P4771" i="7"/>
  <c r="P4770" i="7"/>
  <c r="P4769" i="7"/>
  <c r="P4768" i="7"/>
  <c r="P4767" i="7"/>
  <c r="P4766" i="7"/>
  <c r="P4765" i="7"/>
  <c r="P4764" i="7"/>
  <c r="P4763" i="7"/>
  <c r="P4762" i="7"/>
  <c r="P4761" i="7"/>
  <c r="P4759" i="7"/>
  <c r="P4758" i="7"/>
  <c r="P4757" i="7"/>
  <c r="P4756" i="7"/>
  <c r="P4754" i="7"/>
  <c r="P4753" i="7"/>
  <c r="P4752" i="7"/>
  <c r="P4751" i="7"/>
  <c r="P4750" i="7"/>
  <c r="P4749" i="7"/>
  <c r="P4748" i="7"/>
  <c r="P4747" i="7"/>
  <c r="P4746" i="7"/>
  <c r="P4745" i="7"/>
  <c r="P4744" i="7"/>
  <c r="P4743" i="7"/>
  <c r="P4742" i="7"/>
  <c r="P4740" i="7"/>
  <c r="P4739" i="7"/>
  <c r="P4738" i="7"/>
  <c r="P4737" i="7"/>
  <c r="P4736" i="7"/>
  <c r="P4734" i="7"/>
  <c r="P4733" i="7"/>
  <c r="P4732" i="7"/>
  <c r="P4731" i="7"/>
  <c r="P4730" i="7"/>
  <c r="P4729" i="7"/>
  <c r="P4728" i="7"/>
  <c r="P4727" i="7"/>
  <c r="P4726" i="7"/>
  <c r="P4725" i="7"/>
  <c r="P4723" i="7"/>
  <c r="P4722" i="7"/>
  <c r="P4721" i="7"/>
  <c r="P4720" i="7"/>
  <c r="P4718" i="7"/>
  <c r="P4716" i="7"/>
  <c r="P4715" i="7"/>
  <c r="P4714" i="7"/>
  <c r="P4713" i="7"/>
  <c r="P4712" i="7"/>
  <c r="P4711" i="7"/>
  <c r="P4710" i="7"/>
  <c r="P4705" i="7"/>
  <c r="P4704" i="7"/>
  <c r="P4703" i="7"/>
  <c r="P4702" i="7"/>
  <c r="P4701" i="7"/>
  <c r="P4700" i="7"/>
  <c r="P4699" i="7"/>
  <c r="P4698" i="7"/>
  <c r="P4697" i="7"/>
  <c r="P4696" i="7"/>
  <c r="P4695" i="7"/>
  <c r="P4694" i="7"/>
  <c r="P4693" i="7"/>
  <c r="P4692" i="7"/>
  <c r="P4691" i="7"/>
  <c r="P4690" i="7"/>
  <c r="P4689" i="7"/>
  <c r="P4688" i="7"/>
  <c r="P4687" i="7"/>
  <c r="P4685" i="7"/>
  <c r="P4684" i="7"/>
  <c r="P4683" i="7"/>
  <c r="P4682" i="7"/>
  <c r="P4679" i="7"/>
  <c r="P4678" i="7"/>
  <c r="P4677" i="7"/>
  <c r="P4676" i="7"/>
  <c r="P4675" i="7"/>
  <c r="P4674" i="7"/>
  <c r="P4673" i="7"/>
  <c r="P4672" i="7"/>
  <c r="P4671" i="7"/>
  <c r="P4669" i="7"/>
  <c r="P4668" i="7"/>
  <c r="P4667" i="7"/>
  <c r="P4666" i="7"/>
  <c r="P4665" i="7"/>
  <c r="P4664" i="7"/>
  <c r="P4663" i="7"/>
  <c r="P4662" i="7"/>
  <c r="P4661" i="7"/>
  <c r="P4660" i="7"/>
  <c r="P4659" i="7"/>
  <c r="P4658" i="7"/>
  <c r="P4657" i="7"/>
  <c r="P4656" i="7"/>
  <c r="P4655" i="7"/>
  <c r="P4654" i="7"/>
  <c r="P4653" i="7"/>
  <c r="P4652" i="7"/>
  <c r="P4651" i="7"/>
  <c r="P4650" i="7"/>
  <c r="P4649" i="7"/>
  <c r="P4648" i="7"/>
  <c r="P4647" i="7"/>
  <c r="P4646" i="7"/>
  <c r="P4645" i="7"/>
  <c r="P4644" i="7"/>
  <c r="P4643" i="7"/>
  <c r="P4642" i="7"/>
  <c r="P4641" i="7"/>
  <c r="P4640" i="7"/>
  <c r="P4639" i="7"/>
  <c r="P4638" i="7"/>
  <c r="P4637" i="7"/>
  <c r="P4636" i="7"/>
  <c r="P4635" i="7"/>
  <c r="P4634" i="7"/>
  <c r="P4633" i="7"/>
  <c r="P4631" i="7"/>
  <c r="P4630" i="7"/>
  <c r="P4629" i="7"/>
  <c r="P4628" i="7"/>
  <c r="P4627" i="7"/>
  <c r="P4626" i="7"/>
  <c r="P4625" i="7"/>
  <c r="P4624" i="7"/>
  <c r="P4623" i="7"/>
  <c r="P4622" i="7"/>
  <c r="P4621" i="7"/>
  <c r="P4620" i="7"/>
  <c r="P4619" i="7"/>
  <c r="P4618" i="7"/>
  <c r="P4617" i="7"/>
  <c r="P4616" i="7"/>
  <c r="P4615" i="7"/>
  <c r="P4614" i="7"/>
  <c r="P4613" i="7"/>
  <c r="P4612" i="7"/>
  <c r="P4611" i="7"/>
  <c r="P4610" i="7"/>
  <c r="P4609" i="7"/>
  <c r="P4608" i="7"/>
  <c r="P4607" i="7"/>
  <c r="P4606" i="7"/>
  <c r="P4605" i="7"/>
  <c r="P4604" i="7"/>
  <c r="P4603" i="7"/>
  <c r="P4602" i="7"/>
  <c r="P4601" i="7"/>
  <c r="P4600" i="7"/>
  <c r="P4599" i="7"/>
  <c r="P4598" i="7"/>
  <c r="P4597" i="7"/>
  <c r="P4596" i="7"/>
  <c r="P4595" i="7"/>
  <c r="P4594" i="7"/>
  <c r="P4593" i="7"/>
  <c r="P4592" i="7"/>
  <c r="P4591" i="7"/>
  <c r="P4590" i="7"/>
  <c r="P4589" i="7"/>
  <c r="P4588" i="7"/>
  <c r="P4587" i="7"/>
  <c r="P4586" i="7"/>
  <c r="P4585" i="7"/>
  <c r="P4584" i="7"/>
  <c r="P4583" i="7"/>
  <c r="P4582" i="7"/>
  <c r="P4581" i="7"/>
  <c r="P4580" i="7"/>
  <c r="P4579" i="7"/>
  <c r="P4578" i="7"/>
  <c r="P4577" i="7"/>
  <c r="P4576" i="7"/>
  <c r="P4575" i="7"/>
  <c r="P4574" i="7"/>
  <c r="P4573" i="7"/>
  <c r="P4572" i="7"/>
  <c r="P4571" i="7"/>
  <c r="P4570" i="7"/>
  <c r="P4569" i="7"/>
  <c r="P4568" i="7"/>
  <c r="P4567" i="7"/>
  <c r="P4566" i="7"/>
  <c r="P4565" i="7"/>
  <c r="P4564" i="7"/>
  <c r="P4563" i="7"/>
  <c r="P4562" i="7"/>
  <c r="P4561" i="7"/>
  <c r="P4560" i="7"/>
  <c r="P4559" i="7"/>
  <c r="P4558" i="7"/>
  <c r="P4557" i="7"/>
  <c r="P4556" i="7"/>
  <c r="P4555" i="7"/>
  <c r="P4554" i="7"/>
  <c r="P4553" i="7"/>
  <c r="P4552" i="7"/>
  <c r="P4551" i="7"/>
  <c r="P4550" i="7"/>
  <c r="P4549" i="7"/>
  <c r="P4548" i="7"/>
  <c r="P4547" i="7"/>
  <c r="P4546" i="7"/>
  <c r="P4545" i="7"/>
  <c r="P4544" i="7"/>
  <c r="P4543" i="7"/>
  <c r="P4542" i="7"/>
  <c r="P4541" i="7"/>
  <c r="P4540" i="7"/>
  <c r="P4539" i="7"/>
  <c r="P4538" i="7"/>
  <c r="P4537" i="7"/>
  <c r="P4536" i="7"/>
  <c r="P4535" i="7"/>
  <c r="P4534" i="7"/>
  <c r="P4533" i="7"/>
  <c r="P4532" i="7"/>
  <c r="P4531" i="7"/>
  <c r="P4530" i="7"/>
  <c r="P4529" i="7"/>
  <c r="P4528" i="7"/>
  <c r="P4527" i="7"/>
  <c r="P4526" i="7"/>
  <c r="P4525" i="7"/>
  <c r="P4524" i="7"/>
  <c r="P4523" i="7"/>
  <c r="P4522" i="7"/>
  <c r="P4521" i="7"/>
  <c r="P4520" i="7"/>
  <c r="P4519" i="7"/>
  <c r="P4518" i="7"/>
  <c r="P4517" i="7"/>
  <c r="P4516" i="7"/>
  <c r="P4515" i="7"/>
  <c r="P4514" i="7"/>
  <c r="P4513" i="7"/>
  <c r="P4512" i="7"/>
  <c r="P4511" i="7"/>
  <c r="P4510" i="7"/>
  <c r="P4509" i="7"/>
  <c r="P4508" i="7"/>
  <c r="P4507" i="7"/>
  <c r="P4506" i="7"/>
  <c r="P4505" i="7"/>
  <c r="P4503" i="7"/>
  <c r="P4502" i="7"/>
  <c r="P4501" i="7"/>
  <c r="P4500" i="7"/>
  <c r="P4499" i="7"/>
  <c r="P4498" i="7"/>
  <c r="P4497" i="7"/>
  <c r="P4496" i="7"/>
  <c r="P4495" i="7"/>
  <c r="P4494" i="7"/>
  <c r="P4493" i="7"/>
  <c r="P4492" i="7"/>
  <c r="P4491" i="7"/>
  <c r="P4490" i="7"/>
  <c r="P4489" i="7"/>
  <c r="P4488" i="7"/>
  <c r="P4487" i="7"/>
  <c r="P4486" i="7"/>
  <c r="P4485" i="7"/>
  <c r="P4484" i="7"/>
  <c r="P4483" i="7"/>
  <c r="P4482" i="7"/>
  <c r="P4481" i="7"/>
  <c r="P4480" i="7"/>
  <c r="P4479" i="7"/>
  <c r="P4478" i="7"/>
  <c r="P4477" i="7"/>
  <c r="P4476" i="7"/>
  <c r="P4475" i="7"/>
  <c r="P4474" i="7"/>
  <c r="P4473" i="7"/>
  <c r="P4472" i="7"/>
  <c r="P4471" i="7"/>
  <c r="P4470" i="7"/>
  <c r="P4469" i="7"/>
  <c r="P4468" i="7"/>
  <c r="P4467" i="7"/>
  <c r="P4466" i="7"/>
  <c r="P4465" i="7"/>
  <c r="P4464" i="7"/>
  <c r="P4463" i="7"/>
  <c r="P4462" i="7"/>
  <c r="P4461" i="7"/>
  <c r="P4460" i="7"/>
  <c r="P4459" i="7"/>
  <c r="P4458" i="7"/>
  <c r="P4457" i="7"/>
  <c r="P4456" i="7"/>
  <c r="P4455" i="7"/>
  <c r="P4454" i="7"/>
  <c r="P4453" i="7"/>
  <c r="P4452" i="7"/>
  <c r="P4451" i="7"/>
  <c r="P4450" i="7"/>
  <c r="P4449" i="7"/>
  <c r="P4448" i="7"/>
  <c r="P4447" i="7"/>
  <c r="P4446" i="7"/>
  <c r="P4445" i="7"/>
  <c r="P4444" i="7"/>
  <c r="P4443" i="7"/>
  <c r="P4442" i="7"/>
  <c r="P4441" i="7"/>
  <c r="P4440" i="7"/>
  <c r="P4439" i="7"/>
  <c r="P4438" i="7"/>
  <c r="P4437" i="7"/>
  <c r="P4436" i="7"/>
  <c r="P4435" i="7"/>
  <c r="P4434" i="7"/>
  <c r="P4433" i="7"/>
  <c r="P4432" i="7"/>
  <c r="P4431" i="7"/>
  <c r="P4430" i="7"/>
  <c r="P4429" i="7"/>
  <c r="P4428" i="7"/>
  <c r="P4427" i="7"/>
  <c r="P4426" i="7"/>
  <c r="P4425" i="7"/>
  <c r="P4424" i="7"/>
  <c r="P4423" i="7"/>
  <c r="P4422" i="7"/>
  <c r="P4421" i="7"/>
  <c r="P4420" i="7"/>
  <c r="P4419" i="7"/>
  <c r="P4418" i="7"/>
  <c r="P4417" i="7"/>
  <c r="P4416" i="7"/>
  <c r="P4415" i="7"/>
  <c r="P4414" i="7"/>
  <c r="P4413" i="7"/>
  <c r="P4412" i="7"/>
  <c r="P4411" i="7"/>
  <c r="P4410" i="7"/>
  <c r="P4409" i="7"/>
  <c r="P4408" i="7"/>
  <c r="P4407" i="7"/>
  <c r="P4406" i="7"/>
  <c r="P4405" i="7"/>
  <c r="P4404" i="7"/>
  <c r="P4403" i="7"/>
  <c r="P4402" i="7"/>
  <c r="P4401" i="7"/>
  <c r="P4400" i="7"/>
  <c r="P4399" i="7"/>
  <c r="P4398" i="7"/>
  <c r="P4397" i="7"/>
  <c r="P4396" i="7"/>
  <c r="P4395" i="7"/>
  <c r="P4394" i="7"/>
  <c r="P4393" i="7"/>
  <c r="P4392" i="7"/>
  <c r="P4391" i="7"/>
  <c r="P4390" i="7"/>
  <c r="P4389" i="7"/>
  <c r="P4388" i="7"/>
  <c r="P4387" i="7"/>
  <c r="P4386" i="7"/>
  <c r="P4385" i="7"/>
  <c r="P4384" i="7"/>
  <c r="P4383" i="7"/>
  <c r="P4382" i="7"/>
  <c r="P4381" i="7"/>
  <c r="P4380" i="7"/>
  <c r="P4379" i="7"/>
  <c r="P4378" i="7"/>
  <c r="P4376" i="7"/>
  <c r="P4375" i="7"/>
  <c r="P4374" i="7"/>
  <c r="P4373" i="7"/>
  <c r="P4372" i="7"/>
  <c r="P4371" i="7"/>
  <c r="P4370" i="7"/>
  <c r="P4369" i="7"/>
  <c r="P4368" i="7"/>
  <c r="P4367" i="7"/>
  <c r="P4366" i="7"/>
  <c r="P4365" i="7"/>
  <c r="P4364" i="7"/>
  <c r="P4363" i="7"/>
  <c r="P4362" i="7"/>
  <c r="P4361" i="7"/>
  <c r="P4360" i="7"/>
  <c r="P4359" i="7"/>
  <c r="P4358" i="7"/>
  <c r="P4357" i="7"/>
  <c r="P4356" i="7"/>
  <c r="P4355" i="7"/>
  <c r="P4354" i="7"/>
  <c r="P4353" i="7"/>
  <c r="P4352" i="7"/>
  <c r="P4351" i="7"/>
  <c r="P4350" i="7"/>
  <c r="P4349" i="7"/>
  <c r="P4348" i="7"/>
  <c r="P4347" i="7"/>
  <c r="P4346" i="7"/>
  <c r="P4345" i="7"/>
  <c r="P4344" i="7"/>
  <c r="P4343" i="7"/>
  <c r="P4342" i="7"/>
  <c r="P4341" i="7"/>
  <c r="P4340" i="7"/>
  <c r="P4339" i="7"/>
  <c r="P4338" i="7"/>
  <c r="P4337" i="7"/>
  <c r="P4336" i="7"/>
  <c r="P4335" i="7"/>
  <c r="P4334" i="7"/>
  <c r="P4333" i="7"/>
  <c r="P4330" i="7"/>
  <c r="P4329" i="7"/>
  <c r="P4328" i="7"/>
  <c r="P4327" i="7"/>
  <c r="P4326" i="7"/>
  <c r="P4325" i="7"/>
  <c r="P4323" i="7"/>
  <c r="P4322" i="7"/>
  <c r="P4321" i="7"/>
  <c r="P4320" i="7"/>
  <c r="P4319" i="7"/>
  <c r="P4318" i="7"/>
  <c r="P4317" i="7"/>
  <c r="P4316" i="7"/>
  <c r="P4315" i="7"/>
  <c r="P4314" i="7"/>
  <c r="P4313" i="7"/>
  <c r="P4312" i="7"/>
  <c r="P4311" i="7"/>
  <c r="P4310" i="7"/>
  <c r="P4309" i="7"/>
  <c r="P4308" i="7"/>
  <c r="P4307" i="7"/>
  <c r="P4306" i="7"/>
  <c r="P4305" i="7"/>
  <c r="P4304" i="7"/>
  <c r="P4303" i="7"/>
  <c r="P4302" i="7"/>
  <c r="P4301" i="7"/>
  <c r="P4300" i="7"/>
  <c r="P4299" i="7"/>
  <c r="P4298" i="7"/>
  <c r="P4297" i="7"/>
  <c r="P4296" i="7"/>
  <c r="P4295" i="7"/>
  <c r="P4294" i="7"/>
  <c r="P4293" i="7"/>
  <c r="P4292" i="7"/>
  <c r="P4291" i="7"/>
  <c r="P4290" i="7"/>
  <c r="P4289" i="7"/>
  <c r="P4288" i="7"/>
  <c r="P4287" i="7"/>
  <c r="P4286" i="7"/>
  <c r="P4285" i="7"/>
  <c r="P4284" i="7"/>
  <c r="P4283" i="7"/>
  <c r="P4282" i="7"/>
  <c r="P4281" i="7"/>
  <c r="P4280" i="7"/>
  <c r="P4279" i="7"/>
  <c r="P4278" i="7"/>
  <c r="P4277" i="7"/>
  <c r="P4276" i="7"/>
  <c r="P4275" i="7"/>
  <c r="P4274" i="7"/>
  <c r="P4273" i="7"/>
  <c r="P4272" i="7"/>
  <c r="P4271" i="7"/>
  <c r="P4270" i="7"/>
  <c r="P4269" i="7"/>
  <c r="P4268" i="7"/>
  <c r="P4267" i="7"/>
  <c r="P4266" i="7"/>
  <c r="P4265" i="7"/>
  <c r="P4264" i="7"/>
  <c r="P4263" i="7"/>
  <c r="P4262" i="7"/>
  <c r="P4261" i="7"/>
  <c r="P4260" i="7"/>
  <c r="P4259" i="7"/>
  <c r="P4258" i="7"/>
  <c r="P4257" i="7"/>
  <c r="P4256" i="7"/>
  <c r="P4255" i="7"/>
  <c r="P4254" i="7"/>
  <c r="P4253" i="7"/>
  <c r="P4252" i="7"/>
  <c r="P4251" i="7"/>
  <c r="P4250" i="7"/>
  <c r="P4249" i="7"/>
  <c r="P4248" i="7"/>
  <c r="P4247" i="7"/>
  <c r="P4246" i="7"/>
  <c r="P4245" i="7"/>
  <c r="P4244" i="7"/>
  <c r="P4243" i="7"/>
  <c r="P4242" i="7"/>
  <c r="P4241" i="7"/>
  <c r="P4240" i="7"/>
  <c r="P4239" i="7"/>
  <c r="P4238" i="7"/>
  <c r="P4237" i="7"/>
  <c r="P4236" i="7"/>
  <c r="P4235" i="7"/>
  <c r="P4234" i="7"/>
  <c r="P4233" i="7"/>
  <c r="P4232" i="7"/>
  <c r="P4231" i="7"/>
  <c r="P4230" i="7"/>
  <c r="P4229" i="7"/>
  <c r="P4228" i="7"/>
  <c r="P4227" i="7"/>
  <c r="P4226" i="7"/>
  <c r="P4225" i="7"/>
  <c r="P4224" i="7"/>
  <c r="P4223" i="7"/>
  <c r="P4222" i="7"/>
  <c r="P4221" i="7"/>
  <c r="P4220" i="7"/>
  <c r="P4219" i="7"/>
  <c r="P4218" i="7"/>
  <c r="P4217" i="7"/>
  <c r="P4216" i="7"/>
  <c r="P4215" i="7"/>
  <c r="P4214" i="7"/>
  <c r="P4213" i="7"/>
  <c r="P4212" i="7"/>
  <c r="P4211" i="7"/>
  <c r="P4210" i="7"/>
  <c r="P4209" i="7"/>
  <c r="P4208" i="7"/>
  <c r="P4207" i="7"/>
  <c r="P4206" i="7"/>
  <c r="P4205" i="7"/>
  <c r="P4202" i="7"/>
  <c r="O4202" i="7"/>
  <c r="P4201" i="7"/>
  <c r="O4201" i="7"/>
  <c r="P4200" i="7"/>
  <c r="O4200" i="7"/>
  <c r="P4199" i="7"/>
  <c r="O4199" i="7"/>
  <c r="P4198" i="7"/>
  <c r="O4198" i="7"/>
  <c r="P4197" i="7"/>
  <c r="O4197" i="7"/>
  <c r="P4196" i="7"/>
  <c r="O4196" i="7"/>
  <c r="P4195" i="7"/>
  <c r="O4195" i="7"/>
  <c r="P4194" i="7"/>
  <c r="O4194" i="7"/>
  <c r="P4193" i="7"/>
  <c r="O4193" i="7"/>
  <c r="P4192" i="7"/>
  <c r="O4192" i="7"/>
  <c r="P4191" i="7"/>
  <c r="O4191" i="7"/>
  <c r="P4190" i="7"/>
  <c r="O4190" i="7"/>
  <c r="P4189" i="7"/>
  <c r="O4189" i="7"/>
  <c r="P4188" i="7"/>
  <c r="O4188" i="7"/>
  <c r="P4187" i="7"/>
  <c r="O4187" i="7"/>
  <c r="P4186" i="7"/>
  <c r="O4186" i="7"/>
  <c r="P4185" i="7"/>
  <c r="O4185" i="7"/>
  <c r="P4184" i="7"/>
  <c r="O4184" i="7"/>
  <c r="P4183" i="7"/>
  <c r="O4183" i="7"/>
  <c r="P4182" i="7"/>
  <c r="O4182" i="7"/>
  <c r="P4181" i="7"/>
  <c r="O4181" i="7"/>
  <c r="P4180" i="7"/>
  <c r="O4180" i="7"/>
  <c r="P4179" i="7"/>
  <c r="O4179" i="7"/>
  <c r="P4178" i="7"/>
  <c r="O4178" i="7"/>
  <c r="P4177" i="7"/>
  <c r="O4177" i="7"/>
  <c r="P4176" i="7"/>
  <c r="O4176" i="7"/>
  <c r="P4175" i="7"/>
  <c r="O4175" i="7"/>
  <c r="P4174" i="7"/>
  <c r="O4174" i="7"/>
  <c r="P4173" i="7"/>
  <c r="O4173" i="7"/>
  <c r="P4172" i="7"/>
  <c r="O4172" i="7"/>
  <c r="P4171" i="7"/>
  <c r="O4171" i="7"/>
  <c r="P4170" i="7"/>
  <c r="O4170" i="7"/>
  <c r="P4169" i="7"/>
  <c r="O4169" i="7"/>
  <c r="P4168" i="7"/>
  <c r="O4168" i="7"/>
  <c r="P4167" i="7"/>
  <c r="O4167" i="7"/>
  <c r="P4166" i="7"/>
  <c r="O4166" i="7"/>
  <c r="P4165" i="7"/>
  <c r="O4165" i="7"/>
  <c r="P4164" i="7"/>
  <c r="O4164" i="7"/>
  <c r="P4163" i="7"/>
  <c r="O4163" i="7"/>
  <c r="P4162" i="7"/>
  <c r="O4162" i="7"/>
  <c r="P4161" i="7"/>
  <c r="O4161" i="7"/>
  <c r="P4160" i="7"/>
  <c r="O4160" i="7"/>
  <c r="P4159" i="7"/>
  <c r="O4159" i="7"/>
  <c r="P4158" i="7"/>
  <c r="O4158" i="7"/>
  <c r="P4157" i="7"/>
  <c r="O4157" i="7"/>
  <c r="P4156" i="7"/>
  <c r="O4156" i="7"/>
  <c r="P4155" i="7"/>
  <c r="O4155" i="7"/>
  <c r="P4154" i="7"/>
  <c r="O4154" i="7"/>
  <c r="P4153" i="7"/>
  <c r="O4153" i="7"/>
  <c r="P4152" i="7"/>
  <c r="O4152" i="7"/>
  <c r="P4151" i="7"/>
  <c r="O4151" i="7"/>
  <c r="P4150" i="7"/>
  <c r="O4150" i="7"/>
  <c r="P4149" i="7"/>
  <c r="O4149" i="7"/>
  <c r="P4148" i="7"/>
  <c r="O4148" i="7"/>
  <c r="P4147" i="7"/>
  <c r="O4147" i="7"/>
  <c r="P4146" i="7"/>
  <c r="O4146" i="7"/>
  <c r="P4145" i="7"/>
  <c r="O4145" i="7"/>
  <c r="P4144" i="7"/>
  <c r="O4144" i="7"/>
  <c r="P4143" i="7"/>
  <c r="O4143" i="7"/>
  <c r="P4142" i="7"/>
  <c r="O4142" i="7"/>
  <c r="P4141" i="7"/>
  <c r="O4141" i="7"/>
  <c r="P4140" i="7"/>
  <c r="O4140" i="7"/>
  <c r="P4139" i="7"/>
  <c r="O4139" i="7"/>
  <c r="P4138" i="7"/>
  <c r="O4138" i="7"/>
  <c r="P4137" i="7"/>
  <c r="O4137" i="7"/>
  <c r="P4136" i="7"/>
  <c r="O4136" i="7"/>
  <c r="P4135" i="7"/>
  <c r="O4135" i="7"/>
  <c r="P4134" i="7"/>
  <c r="O4134" i="7"/>
  <c r="P4133" i="7"/>
  <c r="O4133" i="7"/>
  <c r="P4132" i="7"/>
  <c r="O4132" i="7"/>
  <c r="P4131" i="7"/>
  <c r="O4131" i="7"/>
  <c r="P4130" i="7"/>
  <c r="O4130" i="7"/>
  <c r="P4129" i="7"/>
  <c r="O4129" i="7"/>
  <c r="P4128" i="7"/>
  <c r="O4128" i="7"/>
  <c r="P4127" i="7"/>
  <c r="O4127" i="7"/>
  <c r="P4126" i="7"/>
  <c r="O4126" i="7"/>
  <c r="P4125" i="7"/>
  <c r="O4125" i="7"/>
  <c r="P4124" i="7"/>
  <c r="O4124" i="7"/>
  <c r="P4123" i="7"/>
  <c r="O4123" i="7"/>
  <c r="P4122" i="7"/>
  <c r="O4122" i="7"/>
  <c r="P4121" i="7"/>
  <c r="O4121" i="7"/>
  <c r="P4120" i="7"/>
  <c r="O4120" i="7"/>
  <c r="P4119" i="7"/>
  <c r="O4119" i="7"/>
  <c r="P4118" i="7"/>
  <c r="O4118" i="7"/>
  <c r="P4117" i="7"/>
  <c r="O4117" i="7"/>
  <c r="P4116" i="7"/>
  <c r="O4116" i="7"/>
  <c r="P4115" i="7"/>
  <c r="O4115" i="7"/>
  <c r="P4114" i="7"/>
  <c r="O4114" i="7"/>
  <c r="P4113" i="7"/>
  <c r="O4113" i="7"/>
  <c r="P4112" i="7"/>
  <c r="O4112" i="7"/>
  <c r="P4111" i="7"/>
  <c r="O4111" i="7"/>
  <c r="P4110" i="7"/>
  <c r="O4110" i="7"/>
  <c r="P4109" i="7"/>
  <c r="O4109" i="7"/>
  <c r="P4108" i="7"/>
  <c r="O4108" i="7"/>
  <c r="P4107" i="7"/>
  <c r="O4107" i="7"/>
  <c r="P4106" i="7"/>
  <c r="O4106" i="7"/>
  <c r="P4105" i="7"/>
  <c r="O4105" i="7"/>
  <c r="P4104" i="7"/>
  <c r="O4104" i="7"/>
  <c r="P4103" i="7"/>
  <c r="O4103" i="7"/>
  <c r="P4102" i="7"/>
  <c r="O4102" i="7"/>
  <c r="P4101" i="7"/>
  <c r="O4101" i="7"/>
  <c r="P4100" i="7"/>
  <c r="O4100" i="7"/>
  <c r="P4099" i="7"/>
  <c r="O4099" i="7"/>
  <c r="P4098" i="7"/>
  <c r="O4098" i="7"/>
  <c r="P4097" i="7"/>
  <c r="O4097" i="7"/>
  <c r="P4096" i="7"/>
  <c r="O4096" i="7"/>
  <c r="P4095" i="7"/>
  <c r="O4095" i="7"/>
  <c r="P4094" i="7"/>
  <c r="O4094" i="7"/>
  <c r="P4093" i="7"/>
  <c r="O4093" i="7"/>
  <c r="P4092" i="7"/>
  <c r="O4092" i="7"/>
  <c r="P4091" i="7"/>
  <c r="O4091" i="7"/>
  <c r="P4090" i="7"/>
  <c r="O4090" i="7"/>
  <c r="P4089" i="7"/>
  <c r="O4089" i="7"/>
  <c r="P4088" i="7"/>
  <c r="O4088" i="7"/>
  <c r="P4087" i="7"/>
  <c r="O4087" i="7"/>
  <c r="P4086" i="7"/>
  <c r="O4086" i="7"/>
  <c r="P4085" i="7"/>
  <c r="O4085" i="7"/>
  <c r="P4084" i="7"/>
  <c r="O4084" i="7"/>
  <c r="P4083" i="7"/>
  <c r="O4083" i="7"/>
  <c r="P4082" i="7"/>
  <c r="O4082" i="7"/>
  <c r="P4081" i="7"/>
  <c r="O4081" i="7"/>
  <c r="P4080" i="7"/>
  <c r="O4080" i="7"/>
  <c r="P4079" i="7"/>
  <c r="O4079" i="7"/>
  <c r="P4078" i="7"/>
  <c r="O4078" i="7"/>
  <c r="P4077" i="7"/>
  <c r="O4077" i="7"/>
  <c r="P4076" i="7"/>
  <c r="O4076" i="7"/>
  <c r="P4075" i="7"/>
  <c r="O4075" i="7"/>
  <c r="P4074" i="7"/>
  <c r="O4074" i="7"/>
  <c r="P4073" i="7"/>
  <c r="O4073" i="7"/>
  <c r="P4072" i="7"/>
  <c r="O4072" i="7"/>
  <c r="P4071" i="7"/>
  <c r="O4071" i="7"/>
  <c r="P4070" i="7"/>
  <c r="O4070" i="7"/>
  <c r="P4069" i="7"/>
  <c r="O4069" i="7"/>
  <c r="P4068" i="7"/>
  <c r="O4068" i="7"/>
  <c r="P4067" i="7"/>
  <c r="O4067" i="7"/>
  <c r="P4066" i="7"/>
  <c r="O4066" i="7"/>
  <c r="P4065" i="7"/>
  <c r="O4065" i="7"/>
  <c r="P4064" i="7"/>
  <c r="O4064" i="7"/>
  <c r="P4063" i="7"/>
  <c r="O4063" i="7"/>
  <c r="P4062" i="7"/>
  <c r="O4062" i="7"/>
  <c r="P4061" i="7"/>
  <c r="O4061" i="7"/>
  <c r="P4060" i="7"/>
  <c r="O4060" i="7"/>
  <c r="P4059" i="7"/>
  <c r="O4059" i="7"/>
  <c r="P4058" i="7"/>
  <c r="O4058" i="7"/>
  <c r="P4057" i="7"/>
  <c r="O4057" i="7"/>
  <c r="P4056" i="7"/>
  <c r="O4056" i="7"/>
  <c r="P4055" i="7"/>
  <c r="O4055" i="7"/>
  <c r="P4054" i="7"/>
  <c r="O4054" i="7"/>
  <c r="P4053" i="7"/>
  <c r="O4053" i="7"/>
  <c r="P4052" i="7"/>
  <c r="O4052" i="7"/>
  <c r="P4051" i="7"/>
  <c r="O4051" i="7"/>
  <c r="P4050" i="7"/>
  <c r="O4050" i="7"/>
  <c r="P4049" i="7"/>
  <c r="O4049" i="7"/>
  <c r="P4048" i="7"/>
  <c r="O4048" i="7"/>
  <c r="P4047" i="7"/>
  <c r="O4047" i="7"/>
  <c r="P4046" i="7"/>
  <c r="O4046" i="7"/>
  <c r="P4045" i="7"/>
  <c r="O4045" i="7"/>
  <c r="P4044" i="7"/>
  <c r="O4044" i="7"/>
  <c r="P4043" i="7"/>
  <c r="O4043" i="7"/>
  <c r="P4042" i="7"/>
  <c r="O4042" i="7"/>
  <c r="P4041" i="7"/>
  <c r="O4041" i="7"/>
  <c r="P4040" i="7"/>
  <c r="O4040" i="7"/>
  <c r="P4039" i="7"/>
  <c r="O4039" i="7"/>
  <c r="P4038" i="7"/>
  <c r="O4038" i="7"/>
  <c r="P4037" i="7"/>
  <c r="O4037" i="7"/>
  <c r="P4036" i="7"/>
  <c r="O4036" i="7"/>
  <c r="P4035" i="7"/>
  <c r="O4035" i="7"/>
  <c r="P4034" i="7"/>
  <c r="O4034" i="7"/>
  <c r="P4033" i="7"/>
  <c r="O4033" i="7"/>
  <c r="P4032" i="7"/>
  <c r="O4032" i="7"/>
  <c r="P4031" i="7"/>
  <c r="O4031" i="7"/>
  <c r="P4030" i="7"/>
  <c r="O4030" i="7"/>
  <c r="P4029" i="7"/>
  <c r="O4029" i="7"/>
  <c r="P4028" i="7"/>
  <c r="O4028" i="7"/>
  <c r="P4027" i="7"/>
  <c r="O4027" i="7"/>
  <c r="P4026" i="7"/>
  <c r="O4026" i="7"/>
  <c r="P4025" i="7"/>
  <c r="O4025" i="7"/>
  <c r="P4024" i="7"/>
  <c r="O4024" i="7"/>
  <c r="P4023" i="7"/>
  <c r="O4023" i="7"/>
  <c r="P4022" i="7"/>
  <c r="O4022" i="7"/>
  <c r="P4021" i="7"/>
  <c r="O4021" i="7"/>
  <c r="P4020" i="7"/>
  <c r="O4020" i="7"/>
  <c r="P4019" i="7"/>
  <c r="O4019" i="7"/>
  <c r="P4018" i="7"/>
  <c r="O4018" i="7"/>
  <c r="P4017" i="7"/>
  <c r="O4017" i="7"/>
  <c r="P4016" i="7"/>
  <c r="O4016" i="7"/>
  <c r="P4015" i="7"/>
  <c r="O4015" i="7"/>
  <c r="P4014" i="7"/>
  <c r="O4014" i="7"/>
  <c r="P4013" i="7"/>
  <c r="O4013" i="7"/>
  <c r="P4012" i="7"/>
  <c r="O4012" i="7"/>
  <c r="P4011" i="7"/>
  <c r="O4011" i="7"/>
  <c r="P4010" i="7"/>
  <c r="O4010" i="7"/>
  <c r="P4009" i="7"/>
  <c r="O4009" i="7"/>
  <c r="P4008" i="7"/>
  <c r="O4008" i="7"/>
  <c r="P4007" i="7"/>
  <c r="O4007" i="7"/>
  <c r="P4006" i="7"/>
  <c r="O4006" i="7"/>
  <c r="P4005" i="7"/>
  <c r="O4005" i="7"/>
  <c r="P4004" i="7"/>
  <c r="O4004" i="7"/>
  <c r="P4003" i="7"/>
  <c r="O4003" i="7"/>
  <c r="P4002" i="7"/>
  <c r="O4002" i="7"/>
  <c r="P4001" i="7"/>
  <c r="O4001" i="7"/>
  <c r="P4000" i="7"/>
  <c r="O4000" i="7"/>
  <c r="P3999" i="7"/>
  <c r="O3999" i="7"/>
  <c r="P3998" i="7"/>
  <c r="O3998" i="7"/>
  <c r="P3997" i="7"/>
  <c r="O3997" i="7"/>
  <c r="P3996" i="7"/>
  <c r="O3996" i="7"/>
  <c r="P3995" i="7"/>
  <c r="O3995" i="7"/>
  <c r="P3994" i="7"/>
  <c r="O3994" i="7"/>
  <c r="P3993" i="7"/>
  <c r="O3993" i="7"/>
  <c r="P3992" i="7"/>
  <c r="O3992" i="7"/>
  <c r="P3991" i="7"/>
  <c r="O3991" i="7"/>
  <c r="P3990" i="7"/>
  <c r="O3990" i="7"/>
  <c r="P3989" i="7"/>
  <c r="O3989" i="7"/>
  <c r="P3988" i="7"/>
  <c r="O3988" i="7"/>
  <c r="P3987" i="7"/>
  <c r="O3987" i="7"/>
  <c r="P3986" i="7"/>
  <c r="O3986" i="7"/>
  <c r="P3985" i="7"/>
  <c r="O3985" i="7"/>
  <c r="P3984" i="7"/>
  <c r="O3984" i="7"/>
  <c r="P3983" i="7"/>
  <c r="O3983" i="7"/>
  <c r="P3982" i="7"/>
  <c r="O3982" i="7"/>
  <c r="P3981" i="7"/>
  <c r="O3981" i="7"/>
  <c r="P3980" i="7"/>
  <c r="O3980" i="7"/>
  <c r="P3979" i="7"/>
  <c r="O3979" i="7"/>
  <c r="P3978" i="7"/>
  <c r="O3978" i="7"/>
  <c r="P3977" i="7"/>
  <c r="O3977" i="7"/>
  <c r="P3976" i="7"/>
  <c r="O3976" i="7"/>
  <c r="P3975" i="7"/>
  <c r="O3975" i="7"/>
  <c r="P3974" i="7"/>
  <c r="O3974" i="7"/>
  <c r="P3973" i="7"/>
  <c r="O3973" i="7"/>
  <c r="P3972" i="7"/>
  <c r="O3972" i="7"/>
  <c r="P3971" i="7"/>
  <c r="O3971" i="7"/>
  <c r="P3970" i="7"/>
  <c r="O3970" i="7"/>
  <c r="P3969" i="7"/>
  <c r="O3969" i="7"/>
  <c r="P3968" i="7"/>
  <c r="O3968" i="7"/>
  <c r="P3967" i="7"/>
  <c r="O3967" i="7"/>
  <c r="P3966" i="7"/>
  <c r="O3966" i="7"/>
  <c r="P3965" i="7"/>
  <c r="O3965" i="7"/>
  <c r="P3964" i="7"/>
  <c r="O3964" i="7"/>
  <c r="P3963" i="7"/>
  <c r="O3963" i="7"/>
  <c r="P3962" i="7"/>
  <c r="O3962" i="7"/>
  <c r="P3961" i="7"/>
  <c r="O3961" i="7"/>
  <c r="P3960" i="7"/>
  <c r="O3960" i="7"/>
  <c r="P3959" i="7"/>
  <c r="O3959" i="7"/>
  <c r="P3958" i="7"/>
  <c r="O3958" i="7"/>
  <c r="P3957" i="7"/>
  <c r="O3957" i="7"/>
  <c r="P3956" i="7"/>
  <c r="O3956" i="7"/>
  <c r="P3955" i="7"/>
  <c r="O3955" i="7"/>
  <c r="P3954" i="7"/>
  <c r="O3954" i="7"/>
  <c r="P3953" i="7"/>
  <c r="O3953" i="7"/>
  <c r="P3952" i="7"/>
  <c r="O3952" i="7"/>
  <c r="P3951" i="7"/>
  <c r="O3951" i="7"/>
  <c r="P3950" i="7"/>
  <c r="O3950" i="7"/>
  <c r="P3949" i="7"/>
  <c r="O3949" i="7"/>
  <c r="P3948" i="7"/>
  <c r="O3948" i="7"/>
  <c r="P3947" i="7"/>
  <c r="O3947" i="7"/>
  <c r="P3946" i="7"/>
  <c r="O3946" i="7"/>
  <c r="P3945" i="7"/>
  <c r="O3945" i="7"/>
  <c r="P3944" i="7"/>
  <c r="P3940" i="7"/>
  <c r="P3939" i="7"/>
  <c r="P3938" i="7"/>
  <c r="P3937" i="7"/>
  <c r="P3936" i="7"/>
  <c r="P3935" i="7"/>
  <c r="P3934" i="7"/>
  <c r="P3933" i="7"/>
  <c r="P3932" i="7"/>
  <c r="P3931" i="7"/>
  <c r="P3930" i="7"/>
  <c r="P3929" i="7"/>
  <c r="P3928" i="7"/>
  <c r="P3927" i="7"/>
  <c r="P3926" i="7"/>
  <c r="P3925" i="7"/>
  <c r="P3924" i="7"/>
  <c r="P3923" i="7"/>
  <c r="P3922" i="7"/>
  <c r="P3921" i="7"/>
  <c r="P3920" i="7"/>
  <c r="P3919" i="7"/>
  <c r="P3918" i="7"/>
  <c r="P3917" i="7"/>
  <c r="P3916" i="7"/>
  <c r="P3915" i="7"/>
  <c r="P3914" i="7"/>
  <c r="P3913" i="7"/>
  <c r="P3912" i="7"/>
  <c r="P3911" i="7"/>
  <c r="P3910" i="7"/>
  <c r="P3909" i="7"/>
  <c r="P3908" i="7"/>
  <c r="P3907" i="7"/>
  <c r="O3907" i="7"/>
  <c r="P3906" i="7"/>
  <c r="P3905" i="7"/>
  <c r="P3904" i="7"/>
  <c r="P3903" i="7"/>
  <c r="P3902" i="7"/>
  <c r="O3902" i="7"/>
  <c r="P3901" i="7"/>
  <c r="O3901" i="7"/>
  <c r="P3900" i="7"/>
  <c r="O3900" i="7"/>
  <c r="P3899" i="7"/>
  <c r="O3899" i="7"/>
  <c r="P3898" i="7"/>
  <c r="O3898" i="7"/>
  <c r="P3897" i="7"/>
  <c r="O3897" i="7"/>
  <c r="P3896" i="7"/>
  <c r="O3896" i="7"/>
  <c r="P3895" i="7"/>
  <c r="O3895" i="7"/>
  <c r="P3894" i="7"/>
  <c r="O3894" i="7"/>
  <c r="P3893" i="7"/>
  <c r="O3893" i="7"/>
  <c r="P3892" i="7"/>
  <c r="O3892" i="7"/>
  <c r="P3891" i="7"/>
  <c r="O3891" i="7"/>
  <c r="P3890" i="7"/>
  <c r="O3890" i="7"/>
  <c r="P3889" i="7"/>
  <c r="O3889" i="7"/>
  <c r="P3888" i="7"/>
  <c r="O3888" i="7"/>
  <c r="P3887" i="7"/>
  <c r="O3887" i="7"/>
  <c r="P3886" i="7"/>
  <c r="O3886" i="7"/>
  <c r="P3885" i="7"/>
  <c r="O3885" i="7"/>
  <c r="P3884" i="7"/>
  <c r="O3884" i="7"/>
  <c r="P3883" i="7"/>
  <c r="O3883" i="7"/>
  <c r="P3882" i="7"/>
  <c r="O3882" i="7"/>
  <c r="P3881" i="7"/>
  <c r="O3881" i="7"/>
  <c r="P3880" i="7"/>
  <c r="O3880" i="7"/>
  <c r="P3879" i="7"/>
  <c r="O3879" i="7"/>
  <c r="P3878" i="7"/>
  <c r="O3878" i="7"/>
  <c r="P3877" i="7"/>
  <c r="O3877" i="7"/>
  <c r="P3876" i="7"/>
  <c r="O3876" i="7"/>
  <c r="P3875" i="7"/>
  <c r="O3875" i="7"/>
  <c r="P3874" i="7"/>
  <c r="O3874" i="7"/>
  <c r="P3873" i="7"/>
  <c r="O3873" i="7"/>
  <c r="P3872" i="7"/>
  <c r="O3872" i="7"/>
  <c r="P3871" i="7"/>
  <c r="O3871" i="7"/>
  <c r="P3870" i="7"/>
  <c r="O3870" i="7"/>
  <c r="P3869" i="7"/>
  <c r="O3869" i="7"/>
  <c r="P3868" i="7"/>
  <c r="O3868" i="7"/>
  <c r="P3867" i="7"/>
  <c r="O3867" i="7"/>
  <c r="P3866" i="7"/>
  <c r="O3866" i="7"/>
  <c r="P3865" i="7"/>
  <c r="O3865" i="7"/>
  <c r="P3864" i="7"/>
  <c r="O3864" i="7"/>
  <c r="P3863" i="7"/>
  <c r="O3863" i="7"/>
  <c r="P3862" i="7"/>
  <c r="O3862" i="7"/>
  <c r="P3861" i="7"/>
  <c r="O3861" i="7"/>
  <c r="P3860" i="7"/>
  <c r="O3860" i="7"/>
  <c r="P3859" i="7"/>
  <c r="O3859" i="7"/>
  <c r="P3858" i="7"/>
  <c r="O3858" i="7"/>
  <c r="P3857" i="7"/>
  <c r="O3857" i="7"/>
  <c r="P3856" i="7"/>
  <c r="O3856" i="7"/>
  <c r="P3855" i="7"/>
  <c r="O3855" i="7"/>
  <c r="P3854" i="7"/>
  <c r="O3854" i="7"/>
  <c r="P3853" i="7"/>
  <c r="O3853" i="7"/>
  <c r="P3852" i="7"/>
  <c r="O3852" i="7"/>
  <c r="P3851" i="7"/>
  <c r="O3851" i="7"/>
  <c r="P3850" i="7"/>
  <c r="O3850" i="7"/>
  <c r="P3849" i="7"/>
  <c r="O3849" i="7"/>
  <c r="P3848" i="7"/>
  <c r="O3848" i="7"/>
  <c r="P3847" i="7"/>
  <c r="O3847" i="7"/>
  <c r="P3846" i="7"/>
  <c r="O3846" i="7"/>
  <c r="P3845" i="7"/>
  <c r="O3845" i="7"/>
  <c r="P3844" i="7"/>
  <c r="O3844" i="7"/>
  <c r="P3843" i="7"/>
  <c r="O3843" i="7"/>
  <c r="P3842" i="7"/>
  <c r="O3842" i="7"/>
  <c r="P3841" i="7"/>
  <c r="O3841" i="7"/>
  <c r="P3840" i="7"/>
  <c r="O3840" i="7"/>
  <c r="P3839" i="7"/>
  <c r="O3839" i="7"/>
  <c r="P3838" i="7"/>
  <c r="O3838" i="7"/>
  <c r="P3837" i="7"/>
  <c r="O3837" i="7"/>
  <c r="P3836" i="7"/>
  <c r="O3836" i="7"/>
  <c r="P3835" i="7"/>
  <c r="O3835" i="7"/>
  <c r="P3834" i="7"/>
  <c r="O3834" i="7"/>
  <c r="P3833" i="7"/>
  <c r="O3833" i="7"/>
  <c r="P3832" i="7"/>
  <c r="O3832" i="7"/>
  <c r="P3831" i="7"/>
  <c r="O3831" i="7"/>
  <c r="P3830" i="7"/>
  <c r="O3830" i="7"/>
  <c r="P3829" i="7"/>
  <c r="O3829" i="7"/>
  <c r="P3828" i="7"/>
  <c r="O3828" i="7"/>
  <c r="P3827" i="7"/>
  <c r="O3827" i="7"/>
  <c r="P3826" i="7"/>
  <c r="O3826" i="7"/>
  <c r="P3825" i="7"/>
  <c r="O3825" i="7"/>
  <c r="P3824" i="7"/>
  <c r="O3824" i="7"/>
  <c r="P3823" i="7"/>
  <c r="O3823" i="7"/>
  <c r="P3822" i="7"/>
  <c r="O3822" i="7"/>
  <c r="P3821" i="7"/>
  <c r="O3821" i="7"/>
  <c r="P3820" i="7"/>
  <c r="O3820" i="7"/>
  <c r="P3819" i="7"/>
  <c r="O3819" i="7"/>
  <c r="P3818" i="7"/>
  <c r="O3818" i="7"/>
  <c r="P3817" i="7"/>
  <c r="O3817" i="7"/>
  <c r="P3816" i="7"/>
  <c r="O3816" i="7"/>
  <c r="P3815" i="7"/>
  <c r="O3815" i="7"/>
  <c r="P3814" i="7"/>
  <c r="O3814" i="7"/>
  <c r="P3813" i="7"/>
  <c r="O3813" i="7"/>
  <c r="P3812" i="7"/>
  <c r="O3812" i="7"/>
  <c r="P3811" i="7"/>
  <c r="O3811" i="7"/>
  <c r="P3810" i="7"/>
  <c r="O3810" i="7"/>
  <c r="P3809" i="7"/>
  <c r="O3809" i="7"/>
  <c r="P3808" i="7"/>
  <c r="O3808" i="7"/>
  <c r="P3807" i="7"/>
  <c r="O3807" i="7"/>
  <c r="P3806" i="7"/>
  <c r="O3806" i="7"/>
  <c r="P3805" i="7"/>
  <c r="O3805" i="7"/>
  <c r="P3804" i="7"/>
  <c r="O3804" i="7"/>
  <c r="P3803" i="7"/>
  <c r="O3803" i="7"/>
  <c r="P3802" i="7"/>
  <c r="O3802" i="7"/>
  <c r="P3801" i="7"/>
  <c r="O3801" i="7"/>
  <c r="P3800" i="7"/>
  <c r="O3800" i="7"/>
  <c r="P3799" i="7"/>
  <c r="O3799" i="7"/>
  <c r="P3798" i="7"/>
  <c r="O3798" i="7"/>
  <c r="P3797" i="7"/>
  <c r="O3797" i="7"/>
  <c r="P3796" i="7"/>
  <c r="O3796" i="7"/>
  <c r="P3795" i="7"/>
  <c r="O3795" i="7"/>
  <c r="P3794" i="7"/>
  <c r="O3794" i="7"/>
  <c r="P3793" i="7"/>
  <c r="O3793" i="7"/>
  <c r="P3792" i="7"/>
  <c r="O3792" i="7"/>
  <c r="P3791" i="7"/>
  <c r="O3791" i="7"/>
  <c r="P3790" i="7"/>
  <c r="O3790" i="7"/>
  <c r="P3789" i="7"/>
  <c r="O3789" i="7"/>
  <c r="P3788" i="7"/>
  <c r="O3788" i="7"/>
  <c r="P3787" i="7"/>
  <c r="O3787" i="7"/>
  <c r="P3786" i="7"/>
  <c r="O3786" i="7"/>
  <c r="P3785" i="7"/>
  <c r="O3785" i="7"/>
  <c r="P3784" i="7"/>
  <c r="O3784" i="7"/>
  <c r="P3783" i="7"/>
  <c r="O3783" i="7"/>
  <c r="P3782" i="7"/>
  <c r="O3782" i="7"/>
  <c r="P3781" i="7"/>
  <c r="O3781" i="7"/>
  <c r="P3780" i="7"/>
  <c r="O3780" i="7"/>
  <c r="P3779" i="7"/>
  <c r="O3779" i="7"/>
  <c r="P3778" i="7"/>
  <c r="O3778" i="7"/>
  <c r="P3777" i="7"/>
  <c r="O3777" i="7"/>
  <c r="P3776" i="7"/>
  <c r="O3776" i="7"/>
  <c r="P3775" i="7"/>
  <c r="O3775" i="7"/>
  <c r="P3774" i="7"/>
  <c r="O3774" i="7"/>
  <c r="P3773" i="7"/>
  <c r="O3773" i="7"/>
  <c r="P3768" i="7"/>
  <c r="P3765" i="7"/>
  <c r="P3764" i="7"/>
  <c r="P3763" i="7"/>
  <c r="P3761" i="7"/>
  <c r="P3758" i="7"/>
  <c r="P3757" i="7"/>
  <c r="P3756" i="7"/>
  <c r="P3755" i="7"/>
  <c r="P3754" i="7"/>
  <c r="P3753" i="7"/>
  <c r="P3752" i="7"/>
  <c r="P3751" i="7"/>
  <c r="P3750" i="7"/>
  <c r="P3749" i="7"/>
  <c r="P3748" i="7"/>
  <c r="P3747" i="7"/>
  <c r="P3746" i="7"/>
  <c r="P3745" i="7"/>
  <c r="P3743" i="7"/>
  <c r="P3742" i="7"/>
  <c r="P3737" i="7"/>
  <c r="P3734" i="7"/>
  <c r="P3730" i="7"/>
  <c r="P3728" i="7"/>
  <c r="P3723" i="7"/>
  <c r="P3722" i="7"/>
  <c r="P3720" i="7"/>
  <c r="O3720" i="7"/>
  <c r="P3718" i="7"/>
  <c r="P3717" i="7"/>
  <c r="P3716" i="7"/>
  <c r="P3715" i="7"/>
  <c r="P3714" i="7"/>
  <c r="P3712" i="7"/>
  <c r="P3711" i="7"/>
  <c r="P3710" i="7"/>
  <c r="P3709" i="7"/>
  <c r="P3708" i="7"/>
  <c r="P3707" i="7"/>
  <c r="P3706" i="7"/>
  <c r="P3705" i="7"/>
  <c r="P3704" i="7"/>
  <c r="P3703" i="7"/>
  <c r="P3702" i="7"/>
  <c r="P3701" i="7"/>
  <c r="P3699" i="7"/>
  <c r="P3698" i="7"/>
  <c r="P3697" i="7"/>
  <c r="P3696" i="7"/>
  <c r="P3695" i="7"/>
  <c r="P3694" i="7"/>
  <c r="P3693" i="7"/>
  <c r="P3692" i="7"/>
  <c r="P3691" i="7"/>
  <c r="P3688" i="7"/>
  <c r="P3687" i="7"/>
  <c r="P3686" i="7"/>
  <c r="P3685" i="7"/>
  <c r="P3684" i="7"/>
  <c r="P3683" i="7"/>
  <c r="P3682" i="7"/>
  <c r="P3681" i="7"/>
  <c r="P3680" i="7"/>
  <c r="P3679" i="7"/>
  <c r="P3678" i="7"/>
  <c r="P3677" i="7"/>
  <c r="P3676" i="7"/>
  <c r="P3675" i="7"/>
  <c r="P3674" i="7"/>
  <c r="P3673" i="7"/>
  <c r="P3672" i="7"/>
  <c r="P3671" i="7"/>
  <c r="P3670" i="7"/>
  <c r="P3669" i="7"/>
  <c r="P3668" i="7"/>
  <c r="P3667" i="7"/>
  <c r="P3666" i="7"/>
  <c r="P3665" i="7"/>
  <c r="P3664" i="7"/>
  <c r="P3663" i="7"/>
  <c r="P3662" i="7"/>
  <c r="P3661" i="7"/>
  <c r="P3660" i="7"/>
  <c r="P3659" i="7"/>
  <c r="P3658" i="7"/>
  <c r="P3657" i="7"/>
  <c r="P3656" i="7"/>
  <c r="P3655" i="7"/>
  <c r="P3654" i="7"/>
  <c r="P3653" i="7"/>
  <c r="P3652" i="7"/>
  <c r="P3651" i="7"/>
  <c r="P3650" i="7"/>
  <c r="P3649" i="7"/>
  <c r="P3648" i="7"/>
  <c r="P3647" i="7"/>
  <c r="P3646" i="7"/>
  <c r="P3645" i="7"/>
  <c r="P3643" i="7"/>
  <c r="P3642" i="7"/>
  <c r="P3641" i="7"/>
  <c r="P3640" i="7"/>
  <c r="P3639" i="7"/>
  <c r="P3638" i="7"/>
  <c r="P3637" i="7"/>
  <c r="P3636" i="7"/>
  <c r="P3635" i="7"/>
  <c r="P3634" i="7"/>
  <c r="P3633" i="7"/>
  <c r="P3632" i="7"/>
  <c r="P3631" i="7"/>
  <c r="P3630" i="7"/>
  <c r="P3629" i="7"/>
  <c r="P3628" i="7"/>
  <c r="P3627" i="7"/>
  <c r="P3626" i="7"/>
  <c r="P3625" i="7"/>
  <c r="P3624" i="7"/>
  <c r="P3623" i="7"/>
  <c r="P3622" i="7"/>
  <c r="P3621" i="7"/>
  <c r="P3620" i="7"/>
  <c r="P3619" i="7"/>
  <c r="P3618" i="7"/>
  <c r="P3617" i="7"/>
  <c r="P3616" i="7"/>
  <c r="P3615" i="7"/>
  <c r="P3614" i="7"/>
  <c r="P3613" i="7"/>
  <c r="P3612" i="7"/>
  <c r="P3611" i="7"/>
  <c r="P3610" i="7"/>
  <c r="P3609" i="7"/>
  <c r="P3608" i="7"/>
  <c r="P3607" i="7"/>
  <c r="P3606" i="7"/>
  <c r="P3605" i="7"/>
  <c r="P3604" i="7"/>
  <c r="P3603" i="7"/>
  <c r="P3602" i="7"/>
  <c r="O3602" i="7"/>
  <c r="P3601" i="7"/>
  <c r="O3601" i="7"/>
  <c r="P3600" i="7"/>
  <c r="O3600" i="7"/>
  <c r="P3599" i="7"/>
  <c r="O3599" i="7"/>
  <c r="P3598" i="7"/>
  <c r="O3598" i="7"/>
  <c r="P3597" i="7"/>
  <c r="O3597" i="7"/>
  <c r="P3596" i="7"/>
  <c r="O3596" i="7"/>
  <c r="P3595" i="7"/>
  <c r="O3595" i="7"/>
  <c r="P3594" i="7"/>
  <c r="O3594" i="7"/>
  <c r="P3593" i="7"/>
  <c r="O3593" i="7"/>
  <c r="P3592" i="7"/>
  <c r="O3592" i="7"/>
  <c r="P3591" i="7"/>
  <c r="O3591" i="7"/>
  <c r="P3590" i="7"/>
  <c r="O3590" i="7"/>
  <c r="P3589" i="7"/>
  <c r="O3589" i="7"/>
  <c r="P3588" i="7"/>
  <c r="O3588" i="7"/>
  <c r="P3587" i="7"/>
  <c r="O3587" i="7"/>
  <c r="P3586" i="7"/>
  <c r="O3586" i="7"/>
  <c r="P3585" i="7"/>
  <c r="O3585" i="7"/>
  <c r="P3584" i="7"/>
  <c r="O3584" i="7"/>
  <c r="P3583" i="7"/>
  <c r="O3583" i="7"/>
  <c r="P3582" i="7"/>
  <c r="O3582" i="7"/>
  <c r="P3581" i="7"/>
  <c r="O3581" i="7"/>
  <c r="P3580" i="7"/>
  <c r="O3580" i="7"/>
  <c r="P3579" i="7"/>
  <c r="O3579" i="7"/>
  <c r="P3578" i="7"/>
  <c r="O3578" i="7"/>
  <c r="P3577" i="7"/>
  <c r="O3577" i="7"/>
  <c r="P3576" i="7"/>
  <c r="O3576" i="7"/>
  <c r="P3575" i="7"/>
  <c r="O3575" i="7"/>
  <c r="P3574" i="7"/>
  <c r="O3574" i="7"/>
  <c r="P3573" i="7"/>
  <c r="O3573" i="7"/>
  <c r="P3572" i="7"/>
  <c r="O3572" i="7"/>
  <c r="P3571" i="7"/>
  <c r="O3571" i="7"/>
  <c r="P3570" i="7"/>
  <c r="O3570" i="7"/>
  <c r="P3569" i="7"/>
  <c r="O3569" i="7"/>
  <c r="P3568" i="7"/>
  <c r="O3568" i="7"/>
  <c r="P3567" i="7"/>
  <c r="O3567" i="7"/>
  <c r="P3566" i="7"/>
  <c r="O3566" i="7"/>
  <c r="P3565" i="7"/>
  <c r="O3565" i="7"/>
  <c r="P3564" i="7"/>
  <c r="O3564" i="7"/>
  <c r="P3563" i="7"/>
  <c r="O3563" i="7"/>
  <c r="P3562" i="7"/>
  <c r="O3562" i="7"/>
  <c r="P3561" i="7"/>
  <c r="O3561" i="7"/>
  <c r="P3560" i="7"/>
  <c r="O3560" i="7"/>
  <c r="P3559" i="7"/>
  <c r="O3559" i="7"/>
  <c r="P3558" i="7"/>
  <c r="O3558" i="7"/>
  <c r="P3557" i="7"/>
  <c r="O3557" i="7"/>
  <c r="P3556" i="7"/>
  <c r="O3556" i="7"/>
  <c r="P3555" i="7"/>
  <c r="O3555" i="7"/>
  <c r="P3554" i="7"/>
  <c r="O3554" i="7"/>
  <c r="P3553" i="7"/>
  <c r="O3553" i="7"/>
  <c r="P3552" i="7"/>
  <c r="O3552" i="7"/>
  <c r="P3551" i="7"/>
  <c r="O3551" i="7"/>
  <c r="P3550" i="7"/>
  <c r="O3550" i="7"/>
  <c r="P3549" i="7"/>
  <c r="O3549" i="7"/>
  <c r="P3548" i="7"/>
  <c r="O3548" i="7"/>
  <c r="P3547" i="7"/>
  <c r="O3547" i="7"/>
  <c r="P3546" i="7"/>
  <c r="O3546" i="7"/>
  <c r="P3545" i="7"/>
  <c r="O3545" i="7"/>
  <c r="P3544" i="7"/>
  <c r="O3544" i="7"/>
  <c r="P3543" i="7"/>
  <c r="O3543" i="7"/>
  <c r="P3542" i="7"/>
  <c r="O3542" i="7"/>
  <c r="P3541" i="7"/>
  <c r="O3541" i="7"/>
  <c r="P3540" i="7"/>
  <c r="O3540" i="7"/>
  <c r="P3539" i="7"/>
  <c r="O3539" i="7"/>
  <c r="P3538" i="7"/>
  <c r="O3538" i="7"/>
  <c r="P3537" i="7"/>
  <c r="O3537" i="7"/>
  <c r="P3536" i="7"/>
  <c r="O3536" i="7"/>
  <c r="P3535" i="7"/>
  <c r="O3535" i="7"/>
  <c r="P3534" i="7"/>
  <c r="O3534" i="7"/>
  <c r="P3533" i="7"/>
  <c r="O3533" i="7"/>
  <c r="P3532" i="7"/>
  <c r="O3532" i="7"/>
  <c r="P3531" i="7"/>
  <c r="O3531" i="7"/>
  <c r="P3530" i="7"/>
  <c r="O3530" i="7"/>
  <c r="P3529" i="7"/>
  <c r="O3529" i="7"/>
  <c r="P3528" i="7"/>
  <c r="O3528" i="7"/>
  <c r="P3527" i="7"/>
  <c r="O3527" i="7"/>
  <c r="P3526" i="7"/>
  <c r="O3526" i="7"/>
  <c r="P3525" i="7"/>
  <c r="O3525" i="7"/>
  <c r="P3524" i="7"/>
  <c r="O3524" i="7"/>
  <c r="P3523" i="7"/>
  <c r="O3523" i="7"/>
  <c r="P3522" i="7"/>
  <c r="O3522" i="7"/>
  <c r="P3521" i="7"/>
  <c r="O3521" i="7"/>
  <c r="P3520" i="7"/>
  <c r="O3520" i="7"/>
  <c r="P3519" i="7"/>
  <c r="O3519" i="7"/>
  <c r="P3518" i="7"/>
  <c r="O3518" i="7"/>
  <c r="P3517" i="7"/>
  <c r="O3517" i="7"/>
  <c r="P3516" i="7"/>
  <c r="O3516" i="7"/>
  <c r="P3515" i="7"/>
  <c r="O3515" i="7"/>
  <c r="P3514" i="7"/>
  <c r="O3514" i="7"/>
  <c r="P3513" i="7"/>
  <c r="O3513" i="7"/>
  <c r="P3512" i="7"/>
  <c r="O3512" i="7"/>
  <c r="P3511" i="7"/>
  <c r="O3511" i="7"/>
  <c r="P3510" i="7"/>
  <c r="O3510" i="7"/>
  <c r="P3509" i="7"/>
  <c r="O3509" i="7"/>
  <c r="P3508" i="7"/>
  <c r="O3508" i="7"/>
  <c r="P3507" i="7"/>
  <c r="O3507" i="7"/>
  <c r="P3506" i="7"/>
  <c r="O3506" i="7"/>
  <c r="P3505" i="7"/>
  <c r="O3505" i="7"/>
  <c r="P3504" i="7"/>
  <c r="O3504" i="7"/>
  <c r="P3503" i="7"/>
  <c r="O3503" i="7"/>
  <c r="P3502" i="7"/>
  <c r="O3502" i="7"/>
  <c r="P3501" i="7"/>
  <c r="O3501" i="7"/>
  <c r="P3500" i="7"/>
  <c r="O3500" i="7"/>
  <c r="P3499" i="7"/>
  <c r="O3499" i="7"/>
  <c r="P3498" i="7"/>
  <c r="O3498" i="7"/>
  <c r="P3497" i="7"/>
  <c r="O3497" i="7"/>
  <c r="P3496" i="7"/>
  <c r="O3496" i="7"/>
  <c r="P3495" i="7"/>
  <c r="O3495" i="7"/>
  <c r="P3494" i="7"/>
  <c r="O3494" i="7"/>
  <c r="P3493" i="7"/>
  <c r="O3493" i="7"/>
  <c r="P3492" i="7"/>
  <c r="O3492" i="7"/>
  <c r="P3491" i="7"/>
  <c r="O3491" i="7"/>
  <c r="P3490" i="7"/>
  <c r="O3490" i="7"/>
  <c r="P3489" i="7"/>
  <c r="O3489" i="7"/>
  <c r="P3488" i="7"/>
  <c r="O3488" i="7"/>
  <c r="P3487" i="7"/>
  <c r="O3487" i="7"/>
  <c r="P3486" i="7"/>
  <c r="O3486" i="7"/>
  <c r="P3485" i="7"/>
  <c r="O3485" i="7"/>
  <c r="P3484" i="7"/>
  <c r="O3484" i="7"/>
  <c r="P3483" i="7"/>
  <c r="O3483" i="7"/>
  <c r="P3482" i="7"/>
  <c r="O3482" i="7"/>
  <c r="P3481" i="7"/>
  <c r="O3481" i="7"/>
  <c r="P3480" i="7"/>
  <c r="O3480" i="7"/>
  <c r="P3479" i="7"/>
  <c r="O3479" i="7"/>
  <c r="P3478" i="7"/>
  <c r="O3478" i="7"/>
  <c r="P3477" i="7"/>
  <c r="O3477" i="7"/>
  <c r="P3476" i="7"/>
  <c r="O3476" i="7"/>
  <c r="P3475" i="7"/>
  <c r="O3475" i="7"/>
  <c r="P3474" i="7"/>
  <c r="O3474" i="7"/>
  <c r="P3473" i="7"/>
  <c r="O3473" i="7"/>
  <c r="P3472" i="7"/>
  <c r="O3472" i="7"/>
  <c r="P3471" i="7"/>
  <c r="O3471" i="7"/>
  <c r="P3470" i="7"/>
  <c r="O3470" i="7"/>
  <c r="P3469" i="7"/>
  <c r="O3469" i="7"/>
  <c r="P3468" i="7"/>
  <c r="O3468" i="7"/>
  <c r="P3467" i="7"/>
  <c r="O3467" i="7"/>
  <c r="P3466" i="7"/>
  <c r="O3466" i="7"/>
  <c r="P3465" i="7"/>
  <c r="O3465" i="7"/>
  <c r="P3464" i="7"/>
  <c r="O3464" i="7"/>
  <c r="P3463" i="7"/>
  <c r="O3463" i="7"/>
  <c r="P3462" i="7"/>
  <c r="O3462" i="7"/>
  <c r="P3461" i="7"/>
  <c r="O3461" i="7"/>
  <c r="P3460" i="7"/>
  <c r="O3460" i="7"/>
  <c r="P3459" i="7"/>
  <c r="O3459" i="7"/>
  <c r="P3458" i="7"/>
  <c r="O3458" i="7"/>
  <c r="P3457" i="7"/>
  <c r="O3457" i="7"/>
  <c r="P3456" i="7"/>
  <c r="O3456" i="7"/>
  <c r="P3455" i="7"/>
  <c r="O3455" i="7"/>
  <c r="P3454" i="7"/>
  <c r="O3454" i="7"/>
  <c r="P3453" i="7"/>
  <c r="O3453" i="7"/>
  <c r="P3452" i="7"/>
  <c r="O3452" i="7"/>
  <c r="P3451" i="7"/>
  <c r="O3451" i="7"/>
  <c r="P3450" i="7"/>
  <c r="O3450" i="7"/>
  <c r="P3449" i="7"/>
  <c r="O3449" i="7"/>
  <c r="P3448" i="7"/>
  <c r="O3448" i="7"/>
  <c r="P3447" i="7"/>
  <c r="O3447" i="7"/>
  <c r="P3446" i="7"/>
  <c r="O3446" i="7"/>
  <c r="P3445" i="7"/>
  <c r="O3445" i="7"/>
  <c r="P3444" i="7"/>
  <c r="O3444" i="7"/>
  <c r="P3443" i="7"/>
  <c r="O3443" i="7"/>
  <c r="P3442" i="7"/>
  <c r="O3442" i="7"/>
  <c r="P3441" i="7"/>
  <c r="O3441" i="7"/>
  <c r="P3440" i="7"/>
  <c r="O3440" i="7"/>
  <c r="P3439" i="7"/>
  <c r="O3439" i="7"/>
  <c r="P3438" i="7"/>
  <c r="O3438" i="7"/>
  <c r="P3437" i="7"/>
  <c r="O3437" i="7"/>
  <c r="P3436" i="7"/>
  <c r="O3436" i="7"/>
  <c r="P3435" i="7"/>
  <c r="O3435" i="7"/>
  <c r="P3434" i="7"/>
  <c r="O3434" i="7"/>
  <c r="P3433" i="7"/>
  <c r="O3433" i="7"/>
  <c r="P3432" i="7"/>
  <c r="O3432" i="7"/>
  <c r="P3431" i="7"/>
  <c r="O3431" i="7"/>
  <c r="P3430" i="7"/>
  <c r="O3430" i="7"/>
  <c r="P3429" i="7"/>
  <c r="O3429" i="7"/>
  <c r="P3428" i="7"/>
  <c r="O3428" i="7"/>
  <c r="P3427" i="7"/>
  <c r="O3427" i="7"/>
  <c r="P3426" i="7"/>
  <c r="O3426" i="7"/>
  <c r="P3425" i="7"/>
  <c r="O3425" i="7"/>
  <c r="P3424" i="7"/>
  <c r="O3424" i="7"/>
  <c r="P3423" i="7"/>
  <c r="O3423" i="7"/>
  <c r="P3422" i="7"/>
  <c r="O3422" i="7"/>
  <c r="P3421" i="7"/>
  <c r="O3421" i="7"/>
  <c r="P3420" i="7"/>
  <c r="O3420" i="7"/>
  <c r="P3419" i="7"/>
  <c r="O3419" i="7"/>
  <c r="P3418" i="7"/>
  <c r="O3418" i="7"/>
  <c r="P3417" i="7"/>
  <c r="O3417" i="7"/>
  <c r="P3416" i="7"/>
  <c r="O3416" i="7"/>
  <c r="P3415" i="7"/>
  <c r="O3415" i="7"/>
  <c r="P3414" i="7"/>
  <c r="O3414" i="7"/>
  <c r="P3413" i="7"/>
  <c r="O3413" i="7"/>
  <c r="P3412" i="7"/>
  <c r="O3412" i="7"/>
  <c r="P3411" i="7"/>
  <c r="O3411" i="7"/>
  <c r="P3410" i="7"/>
  <c r="O3410" i="7"/>
  <c r="P3409" i="7"/>
  <c r="O3409" i="7"/>
  <c r="P3408" i="7"/>
  <c r="O3408" i="7"/>
  <c r="P3407" i="7"/>
  <c r="O3407" i="7"/>
  <c r="P3406" i="7"/>
  <c r="O3406" i="7"/>
  <c r="P3405" i="7"/>
  <c r="O3405" i="7"/>
  <c r="P3404" i="7"/>
  <c r="O3404" i="7"/>
  <c r="P3403" i="7"/>
  <c r="O3403" i="7"/>
  <c r="P3402" i="7"/>
  <c r="O3402" i="7"/>
  <c r="P3401" i="7"/>
  <c r="O3401" i="7"/>
  <c r="P3400" i="7"/>
  <c r="O3400" i="7"/>
  <c r="P3399" i="7"/>
  <c r="O3399" i="7"/>
  <c r="P3398" i="7"/>
  <c r="O3398" i="7"/>
  <c r="P3397" i="7"/>
  <c r="O3397" i="7"/>
  <c r="P3396" i="7"/>
  <c r="O3396" i="7"/>
  <c r="P3395" i="7"/>
  <c r="O3395" i="7"/>
  <c r="P3394" i="7"/>
  <c r="O3394" i="7"/>
  <c r="P3393" i="7"/>
  <c r="O3393" i="7"/>
  <c r="P3392" i="7"/>
  <c r="O3392" i="7"/>
  <c r="P3391" i="7"/>
  <c r="O3391" i="7"/>
  <c r="P3390" i="7"/>
  <c r="O3390" i="7"/>
  <c r="P3389" i="7"/>
  <c r="O3389" i="7"/>
  <c r="P3388" i="7"/>
  <c r="O3388" i="7"/>
  <c r="P3387" i="7"/>
  <c r="O3387" i="7"/>
  <c r="P3386" i="7"/>
  <c r="O3386" i="7"/>
  <c r="P3385" i="7"/>
  <c r="O3385" i="7"/>
  <c r="P3384" i="7"/>
  <c r="O3384" i="7"/>
  <c r="P3383" i="7"/>
  <c r="O3383" i="7"/>
  <c r="P3382" i="7"/>
  <c r="O3382" i="7"/>
  <c r="P3381" i="7"/>
  <c r="O3381" i="7"/>
  <c r="P3380" i="7"/>
  <c r="O3380" i="7"/>
  <c r="P3379" i="7"/>
  <c r="O3379" i="7"/>
  <c r="P3378" i="7"/>
  <c r="O3378" i="7"/>
  <c r="P3377" i="7"/>
  <c r="O3377" i="7"/>
  <c r="P3376" i="7"/>
  <c r="O3376" i="7"/>
  <c r="P3375" i="7"/>
  <c r="O3375" i="7"/>
  <c r="P3374" i="7"/>
  <c r="O3374" i="7"/>
  <c r="P3373" i="7"/>
  <c r="O3373" i="7"/>
  <c r="P3372" i="7"/>
  <c r="O3372" i="7"/>
  <c r="P3371" i="7"/>
  <c r="O3371" i="7"/>
  <c r="P3370" i="7"/>
  <c r="O3370" i="7"/>
  <c r="P3369" i="7"/>
  <c r="O3369" i="7"/>
  <c r="P3368" i="7"/>
  <c r="O3368" i="7"/>
  <c r="P3367" i="7"/>
  <c r="O3367" i="7"/>
  <c r="P3366" i="7"/>
  <c r="O3366" i="7"/>
  <c r="P3365" i="7"/>
  <c r="O3365" i="7"/>
  <c r="P3364" i="7"/>
  <c r="O3364" i="7"/>
  <c r="P3363" i="7"/>
  <c r="O3363" i="7"/>
  <c r="P3362" i="7"/>
  <c r="O3362" i="7"/>
  <c r="P3361" i="7"/>
  <c r="O3361" i="7"/>
  <c r="P3360" i="7"/>
  <c r="O3360" i="7"/>
  <c r="P3359" i="7"/>
  <c r="O3359" i="7"/>
  <c r="P3358" i="7"/>
  <c r="O3358" i="7"/>
  <c r="P3357" i="7"/>
  <c r="O3357" i="7"/>
  <c r="P3356" i="7"/>
  <c r="O3356" i="7"/>
  <c r="P3355" i="7"/>
  <c r="O3355" i="7"/>
  <c r="P3354" i="7"/>
  <c r="O3354" i="7"/>
  <c r="P3353" i="7"/>
  <c r="O3353" i="7"/>
  <c r="P3352" i="7"/>
  <c r="O3352" i="7"/>
  <c r="P3351" i="7"/>
  <c r="O3351" i="7"/>
  <c r="P3350" i="7"/>
  <c r="O3350" i="7"/>
  <c r="P3349" i="7"/>
  <c r="O3349" i="7"/>
  <c r="P3348" i="7"/>
  <c r="O3348" i="7"/>
  <c r="P3347" i="7"/>
  <c r="O3347" i="7"/>
  <c r="P3346" i="7"/>
  <c r="O3346" i="7"/>
  <c r="P3345" i="7"/>
  <c r="O3345" i="7"/>
  <c r="P3344" i="7"/>
  <c r="O3344" i="7"/>
  <c r="P3343" i="7"/>
  <c r="O3343" i="7"/>
  <c r="P3342" i="7"/>
  <c r="O3342" i="7"/>
  <c r="P3341" i="7"/>
  <c r="O3341" i="7"/>
  <c r="P3340" i="7"/>
  <c r="O3340" i="7"/>
  <c r="P3339" i="7"/>
  <c r="O3339" i="7"/>
  <c r="P3338" i="7"/>
  <c r="O3338" i="7"/>
  <c r="P3337" i="7"/>
  <c r="O3337" i="7"/>
  <c r="P3336" i="7"/>
  <c r="O3336" i="7"/>
  <c r="P3335" i="7"/>
  <c r="O3335" i="7"/>
  <c r="P3334" i="7"/>
  <c r="O3334" i="7"/>
  <c r="P3333" i="7"/>
  <c r="O3333" i="7"/>
  <c r="P3332" i="7"/>
  <c r="O3332" i="7"/>
  <c r="P3331" i="7"/>
  <c r="O3331" i="7"/>
  <c r="P3330" i="7"/>
  <c r="O3330" i="7"/>
  <c r="P3329" i="7"/>
  <c r="O3329" i="7"/>
  <c r="P3328" i="7"/>
  <c r="O3328" i="7"/>
  <c r="P3327" i="7"/>
  <c r="O3327" i="7"/>
  <c r="P3326" i="7"/>
  <c r="O3326" i="7"/>
  <c r="P3325" i="7"/>
  <c r="O3325" i="7"/>
  <c r="P3324" i="7"/>
  <c r="O3324" i="7"/>
  <c r="P3323" i="7"/>
  <c r="O3323" i="7"/>
  <c r="P3322" i="7"/>
  <c r="O3322" i="7"/>
  <c r="P3321" i="7"/>
  <c r="O3321" i="7"/>
  <c r="P3320" i="7"/>
  <c r="O3320" i="7"/>
  <c r="P3319" i="7"/>
  <c r="O3319" i="7"/>
  <c r="P3318" i="7"/>
  <c r="O3318" i="7"/>
  <c r="P3317" i="7"/>
  <c r="O3317" i="7"/>
  <c r="P3316" i="7"/>
  <c r="O3316" i="7"/>
  <c r="P3315" i="7"/>
  <c r="O3315" i="7"/>
  <c r="P3314" i="7"/>
  <c r="O3314" i="7"/>
  <c r="P3313" i="7"/>
  <c r="O3313" i="7"/>
  <c r="P3312" i="7"/>
  <c r="O3312" i="7"/>
  <c r="P3311" i="7"/>
  <c r="O3311" i="7"/>
  <c r="P3310" i="7"/>
  <c r="O3310" i="7"/>
  <c r="P3309" i="7"/>
  <c r="O3309" i="7"/>
  <c r="P3308" i="7"/>
  <c r="O3308" i="7"/>
  <c r="P3307" i="7"/>
  <c r="O3307" i="7"/>
  <c r="P3306" i="7"/>
  <c r="O3306" i="7"/>
  <c r="P3305" i="7"/>
  <c r="O3305" i="7"/>
  <c r="P3304" i="7"/>
  <c r="O3304" i="7"/>
  <c r="P3303" i="7"/>
  <c r="O3303" i="7"/>
  <c r="P3302" i="7"/>
  <c r="O3302" i="7"/>
  <c r="P3301" i="7"/>
  <c r="O3301" i="7"/>
  <c r="P3300" i="7"/>
  <c r="O3300" i="7"/>
  <c r="P3299" i="7"/>
  <c r="O3299" i="7"/>
  <c r="P3298" i="7"/>
  <c r="O3298" i="7"/>
  <c r="P3297" i="7"/>
  <c r="O3297" i="7"/>
  <c r="P3296" i="7"/>
  <c r="O3296" i="7"/>
  <c r="P3295" i="7"/>
  <c r="O3295" i="7"/>
  <c r="P3294" i="7"/>
  <c r="O3294" i="7"/>
  <c r="P3293" i="7"/>
  <c r="O3293" i="7"/>
  <c r="P3292" i="7"/>
  <c r="O3292" i="7"/>
  <c r="P3291" i="7"/>
  <c r="O3291" i="7"/>
  <c r="P3290" i="7"/>
  <c r="O3290" i="7"/>
  <c r="P3289" i="7"/>
  <c r="O3289" i="7"/>
  <c r="P3288" i="7"/>
  <c r="O3288" i="7"/>
  <c r="P3287" i="7"/>
  <c r="O3287" i="7"/>
  <c r="P3286" i="7"/>
  <c r="O3286" i="7"/>
  <c r="P3285" i="7"/>
  <c r="O3285" i="7"/>
  <c r="P3284" i="7"/>
  <c r="O3284" i="7"/>
  <c r="P3283" i="7"/>
  <c r="O3283" i="7"/>
  <c r="P3282" i="7"/>
  <c r="O3282" i="7"/>
  <c r="P3281" i="7"/>
  <c r="O3281" i="7"/>
  <c r="P3280" i="7"/>
  <c r="O3280" i="7"/>
  <c r="P3279" i="7"/>
  <c r="O3279" i="7"/>
  <c r="P3278" i="7"/>
  <c r="O3278" i="7"/>
  <c r="P3277" i="7"/>
  <c r="O3277" i="7"/>
  <c r="P3276" i="7"/>
  <c r="O3276" i="7"/>
  <c r="P3275" i="7"/>
  <c r="O3275" i="7"/>
  <c r="P3274" i="7"/>
  <c r="O3274" i="7"/>
  <c r="P3273" i="7"/>
  <c r="O3273" i="7"/>
  <c r="P3272" i="7"/>
  <c r="O3272" i="7"/>
  <c r="P3271" i="7"/>
  <c r="O3271" i="7"/>
  <c r="P3270" i="7"/>
  <c r="O3270" i="7"/>
  <c r="P3269" i="7"/>
  <c r="O3269" i="7"/>
  <c r="P3268" i="7"/>
  <c r="O3268" i="7"/>
  <c r="P3267" i="7"/>
  <c r="O3267" i="7"/>
  <c r="P3266" i="7"/>
  <c r="O3266" i="7"/>
  <c r="P3265" i="7"/>
  <c r="O3265" i="7"/>
  <c r="P3264" i="7"/>
  <c r="O3264" i="7"/>
  <c r="P3263" i="7"/>
  <c r="O3263" i="7"/>
  <c r="P3262" i="7"/>
  <c r="O3262" i="7"/>
  <c r="P3261" i="7"/>
  <c r="O3261" i="7"/>
  <c r="P3260" i="7"/>
  <c r="O3260" i="7"/>
  <c r="P3259" i="7"/>
  <c r="O3259" i="7"/>
  <c r="P3258" i="7"/>
  <c r="O3258" i="7"/>
  <c r="P3257" i="7"/>
  <c r="O3257" i="7"/>
  <c r="P3256" i="7"/>
  <c r="O3256" i="7"/>
  <c r="P3255" i="7"/>
  <c r="O3255" i="7"/>
  <c r="P3254" i="7"/>
  <c r="O3254" i="7"/>
  <c r="P3253" i="7"/>
  <c r="O3253" i="7"/>
  <c r="P3252" i="7"/>
  <c r="O3252" i="7"/>
  <c r="P3251" i="7"/>
  <c r="O3251" i="7"/>
  <c r="P3250" i="7"/>
  <c r="O3250" i="7"/>
  <c r="P3249" i="7"/>
  <c r="O3249" i="7"/>
  <c r="P3248" i="7"/>
  <c r="O3248" i="7"/>
  <c r="P3247" i="7"/>
  <c r="O3247" i="7"/>
  <c r="P3246" i="7"/>
  <c r="O3246" i="7"/>
  <c r="P3245" i="7"/>
  <c r="O3245" i="7"/>
  <c r="P3244" i="7"/>
  <c r="O3244" i="7"/>
  <c r="P3243" i="7"/>
  <c r="O3243" i="7"/>
  <c r="P3242" i="7"/>
  <c r="O3242" i="7"/>
  <c r="P3241" i="7"/>
  <c r="O3241" i="7"/>
  <c r="P3240" i="7"/>
  <c r="O3240" i="7"/>
  <c r="P3239" i="7"/>
  <c r="O3239" i="7"/>
  <c r="P3238" i="7"/>
  <c r="O3238" i="7"/>
  <c r="P3237" i="7"/>
  <c r="O3237" i="7"/>
  <c r="P3236" i="7"/>
  <c r="O3236" i="7"/>
  <c r="P3235" i="7"/>
  <c r="O3235" i="7"/>
  <c r="P3234" i="7"/>
  <c r="O3234" i="7"/>
  <c r="P3233" i="7"/>
  <c r="O3233" i="7"/>
  <c r="P3232" i="7"/>
  <c r="O3232" i="7"/>
  <c r="P3231" i="7"/>
  <c r="O3231" i="7"/>
  <c r="P3230" i="7"/>
  <c r="O3230" i="7"/>
  <c r="P3229" i="7"/>
  <c r="O3229" i="7"/>
  <c r="P3228" i="7"/>
  <c r="O3228" i="7"/>
  <c r="P3227" i="7"/>
  <c r="O3227" i="7"/>
  <c r="P3226" i="7"/>
  <c r="O3226" i="7"/>
  <c r="P3225" i="7"/>
  <c r="O3225" i="7"/>
  <c r="P3224" i="7"/>
  <c r="O3224" i="7"/>
  <c r="P3223" i="7"/>
  <c r="O3223" i="7"/>
  <c r="P3222" i="7"/>
  <c r="O3222" i="7"/>
  <c r="P3221" i="7"/>
  <c r="O3221" i="7"/>
  <c r="P3220" i="7"/>
  <c r="O3220" i="7"/>
  <c r="P3219" i="7"/>
  <c r="O3219" i="7"/>
  <c r="P3218" i="7"/>
  <c r="O3218" i="7"/>
  <c r="P3217" i="7"/>
  <c r="O3217" i="7"/>
  <c r="P3216" i="7"/>
  <c r="O3216" i="7"/>
  <c r="P3215" i="7"/>
  <c r="O3215" i="7"/>
  <c r="P3214" i="7"/>
  <c r="O3214" i="7"/>
  <c r="P3213" i="7"/>
  <c r="O3213" i="7"/>
  <c r="P3212" i="7"/>
  <c r="O3212" i="7"/>
  <c r="P3211" i="7"/>
  <c r="O3211" i="7"/>
  <c r="P3210" i="7"/>
  <c r="O3210" i="7"/>
  <c r="P3209" i="7"/>
  <c r="O3209" i="7"/>
  <c r="P3208" i="7"/>
  <c r="O3208" i="7"/>
  <c r="P3207" i="7"/>
  <c r="O3207" i="7"/>
  <c r="P3206" i="7"/>
  <c r="O3206" i="7"/>
  <c r="P3205" i="7"/>
  <c r="O3205" i="7"/>
  <c r="P3204" i="7"/>
  <c r="O3204" i="7"/>
  <c r="P3203" i="7"/>
  <c r="O3203" i="7"/>
  <c r="P3202" i="7"/>
  <c r="O3202" i="7"/>
  <c r="P3201" i="7"/>
  <c r="O3201" i="7"/>
  <c r="P3200" i="7"/>
  <c r="O3200" i="7"/>
  <c r="P3199" i="7"/>
  <c r="O3199" i="7"/>
  <c r="P3198" i="7"/>
  <c r="O3198" i="7"/>
  <c r="P3197" i="7"/>
  <c r="O3197" i="7"/>
  <c r="P3196" i="7"/>
  <c r="O3196" i="7"/>
  <c r="P3195" i="7"/>
  <c r="O3195" i="7"/>
  <c r="P3194" i="7"/>
  <c r="O3194" i="7"/>
  <c r="P3193" i="7"/>
  <c r="O3193" i="7"/>
  <c r="P3192" i="7"/>
  <c r="O3192" i="7"/>
  <c r="P3191" i="7"/>
  <c r="O3191" i="7"/>
  <c r="P3190" i="7"/>
  <c r="O3190" i="7"/>
  <c r="P3189" i="7"/>
  <c r="O3189" i="7"/>
  <c r="P3188" i="7"/>
  <c r="O3188" i="7"/>
  <c r="P3187" i="7"/>
  <c r="O3187" i="7"/>
  <c r="P3186" i="7"/>
  <c r="O3186" i="7"/>
  <c r="P3185" i="7"/>
  <c r="O3185" i="7"/>
  <c r="P3184" i="7"/>
  <c r="O3184" i="7"/>
  <c r="P3183" i="7"/>
  <c r="O3183" i="7"/>
  <c r="P3182" i="7"/>
  <c r="O3182" i="7"/>
  <c r="P3181" i="7"/>
  <c r="O3181" i="7"/>
  <c r="P3180" i="7"/>
  <c r="O3180" i="7"/>
  <c r="P3179" i="7"/>
  <c r="O3179" i="7"/>
  <c r="P3178" i="7"/>
  <c r="O3178" i="7"/>
  <c r="P3177" i="7"/>
  <c r="O3177" i="7"/>
  <c r="P3176" i="7"/>
  <c r="O3176" i="7"/>
  <c r="P3175" i="7"/>
  <c r="O3175" i="7"/>
  <c r="P3174" i="7"/>
  <c r="O3174" i="7"/>
  <c r="P3173" i="7"/>
  <c r="O3173" i="7"/>
  <c r="P3172" i="7"/>
  <c r="O3172" i="7"/>
  <c r="P3171" i="7"/>
  <c r="O3171" i="7"/>
  <c r="P3170" i="7"/>
  <c r="O3170" i="7"/>
  <c r="P3169" i="7"/>
  <c r="O3169" i="7"/>
  <c r="P3168" i="7"/>
  <c r="O3168" i="7"/>
  <c r="P3167" i="7"/>
  <c r="O3167" i="7"/>
  <c r="P3166" i="7"/>
  <c r="O3166" i="7"/>
  <c r="P3165" i="7"/>
  <c r="O3165" i="7"/>
  <c r="P3164" i="7"/>
  <c r="O3164" i="7"/>
  <c r="P3163" i="7"/>
  <c r="O3163" i="7"/>
  <c r="P3162" i="7"/>
  <c r="O3162" i="7"/>
  <c r="P3161" i="7"/>
  <c r="O3161" i="7"/>
  <c r="P3160" i="7"/>
  <c r="O3160" i="7"/>
  <c r="P3159" i="7"/>
  <c r="O3159" i="7"/>
  <c r="P3158" i="7"/>
  <c r="O3158" i="7"/>
  <c r="P3157" i="7"/>
  <c r="O3157" i="7"/>
  <c r="P3156" i="7"/>
  <c r="O3156" i="7"/>
  <c r="P3155" i="7"/>
  <c r="O3155" i="7"/>
  <c r="P3154" i="7"/>
  <c r="O3154" i="7"/>
  <c r="P3153" i="7"/>
  <c r="O3153" i="7"/>
  <c r="P3152" i="7"/>
  <c r="O3152" i="7"/>
  <c r="P3151" i="7"/>
  <c r="O3151" i="7"/>
  <c r="P3150" i="7"/>
  <c r="O3150" i="7"/>
  <c r="P3149" i="7"/>
  <c r="O3149" i="7"/>
  <c r="P3148" i="7"/>
  <c r="O3148" i="7"/>
  <c r="P3147" i="7"/>
  <c r="O3147" i="7"/>
  <c r="P3146" i="7"/>
  <c r="O3146" i="7"/>
  <c r="P3145" i="7"/>
  <c r="O3145" i="7"/>
  <c r="P3144" i="7"/>
  <c r="O3144" i="7"/>
  <c r="P3143" i="7"/>
  <c r="O3143" i="7"/>
  <c r="P3142" i="7"/>
  <c r="O3142" i="7"/>
  <c r="P3141" i="7"/>
  <c r="O3141" i="7"/>
  <c r="P3140" i="7"/>
  <c r="O3140" i="7"/>
  <c r="P3139" i="7"/>
  <c r="O3139" i="7"/>
  <c r="P3138" i="7"/>
  <c r="O3138" i="7"/>
  <c r="P3137" i="7"/>
  <c r="O3137" i="7"/>
  <c r="P3136" i="7"/>
  <c r="O3136" i="7"/>
  <c r="P3135" i="7"/>
  <c r="O3135" i="7"/>
  <c r="P3134" i="7"/>
  <c r="O3134" i="7"/>
  <c r="P3133" i="7"/>
  <c r="O3133" i="7"/>
  <c r="P3132" i="7"/>
  <c r="O3132" i="7"/>
  <c r="P3131" i="7"/>
  <c r="O3131" i="7"/>
  <c r="P3130" i="7"/>
  <c r="O3130" i="7"/>
  <c r="P3129" i="7"/>
  <c r="O3129" i="7"/>
  <c r="P3128" i="7"/>
  <c r="O3128" i="7"/>
  <c r="P3127" i="7"/>
  <c r="O3127" i="7"/>
  <c r="P3126" i="7"/>
  <c r="O3126" i="7"/>
  <c r="P3125" i="7"/>
  <c r="O3125" i="7"/>
  <c r="P3124" i="7"/>
  <c r="O3124" i="7"/>
  <c r="P3123" i="7"/>
  <c r="O3123" i="7"/>
  <c r="P3122" i="7"/>
  <c r="O3122" i="7"/>
  <c r="P3121" i="7"/>
  <c r="O3121" i="7"/>
  <c r="P3120" i="7"/>
  <c r="O3120" i="7"/>
  <c r="P3119" i="7"/>
  <c r="O3119" i="7"/>
  <c r="P3118" i="7"/>
  <c r="O3118" i="7"/>
  <c r="P3117" i="7"/>
  <c r="O3117" i="7"/>
  <c r="P3116" i="7"/>
  <c r="O3116" i="7"/>
  <c r="P3115" i="7"/>
  <c r="O3115" i="7"/>
  <c r="P3114" i="7"/>
  <c r="O3114" i="7"/>
  <c r="P3113" i="7"/>
  <c r="O3113" i="7"/>
  <c r="P3112" i="7"/>
  <c r="O3112" i="7"/>
  <c r="P3111" i="7"/>
  <c r="O3111" i="7"/>
  <c r="P3110" i="7"/>
  <c r="O3110" i="7"/>
  <c r="P3109" i="7"/>
  <c r="O3109" i="7"/>
  <c r="P3108" i="7"/>
  <c r="O3108" i="7"/>
  <c r="P3107" i="7"/>
  <c r="O3107" i="7"/>
  <c r="P3106" i="7"/>
  <c r="O3106" i="7"/>
  <c r="P3105" i="7"/>
  <c r="O3105" i="7"/>
  <c r="P3104" i="7"/>
  <c r="O3104" i="7"/>
  <c r="P3103" i="7"/>
  <c r="O3103" i="7"/>
  <c r="P3102" i="7"/>
  <c r="O3102" i="7"/>
  <c r="P3101" i="7"/>
  <c r="O3101" i="7"/>
  <c r="P3100" i="7"/>
  <c r="O3100" i="7"/>
  <c r="P3099" i="7"/>
  <c r="O3099" i="7"/>
  <c r="P3098" i="7"/>
  <c r="O3098" i="7"/>
  <c r="P3097" i="7"/>
  <c r="O3097" i="7"/>
  <c r="P3096" i="7"/>
  <c r="O3096" i="7"/>
  <c r="P3095" i="7"/>
  <c r="O3095" i="7"/>
  <c r="P3094" i="7"/>
  <c r="O3094" i="7"/>
  <c r="P3093" i="7"/>
  <c r="O3093" i="7"/>
  <c r="P3092" i="7"/>
  <c r="O3092" i="7"/>
  <c r="P3091" i="7"/>
  <c r="O3091" i="7"/>
  <c r="P3090" i="7"/>
  <c r="O3090" i="7"/>
  <c r="P3089" i="7"/>
  <c r="P3088" i="7"/>
  <c r="P3087" i="7"/>
  <c r="P3086" i="7"/>
  <c r="P3085" i="7"/>
  <c r="P3084" i="7"/>
  <c r="P3083" i="7"/>
  <c r="P3082" i="7"/>
  <c r="P3079" i="7"/>
  <c r="P3077" i="7"/>
  <c r="P3076" i="7"/>
  <c r="P3074" i="7"/>
  <c r="P3073" i="7"/>
  <c r="P3072" i="7"/>
  <c r="P3071" i="7"/>
  <c r="P3070" i="7"/>
  <c r="P3068" i="7"/>
  <c r="P3067" i="7"/>
  <c r="P3065" i="7"/>
  <c r="P3064" i="7"/>
  <c r="P3062" i="7"/>
  <c r="P3061" i="7"/>
  <c r="P3060" i="7"/>
  <c r="P3059" i="7"/>
  <c r="P3058" i="7"/>
  <c r="P3057" i="7"/>
  <c r="P3056" i="7"/>
  <c r="P3055" i="7"/>
  <c r="P3054" i="7"/>
  <c r="P3053" i="7"/>
  <c r="P3052" i="7"/>
  <c r="P3051" i="7"/>
  <c r="P3050" i="7"/>
  <c r="P3049" i="7"/>
  <c r="P3048" i="7"/>
  <c r="P3047" i="7"/>
  <c r="P3046" i="7"/>
  <c r="P3045" i="7"/>
  <c r="P3044" i="7"/>
  <c r="P3043" i="7"/>
  <c r="P3042" i="7"/>
  <c r="P3041" i="7"/>
  <c r="P3040" i="7"/>
  <c r="P3039" i="7"/>
  <c r="P3038" i="7"/>
  <c r="P3037" i="7"/>
  <c r="P3036" i="7"/>
  <c r="P3035" i="7"/>
  <c r="P3034" i="7"/>
  <c r="P3033" i="7"/>
  <c r="P3032" i="7"/>
  <c r="P3031" i="7"/>
  <c r="P3030" i="7"/>
  <c r="P3029" i="7"/>
  <c r="P3028" i="7"/>
  <c r="P3027" i="7"/>
  <c r="P3026" i="7"/>
  <c r="P3025" i="7"/>
  <c r="P3024" i="7"/>
  <c r="P3023" i="7"/>
  <c r="P3022" i="7"/>
  <c r="P3021" i="7"/>
  <c r="P3020" i="7"/>
  <c r="P3019" i="7"/>
  <c r="P3018" i="7"/>
  <c r="P3017" i="7"/>
  <c r="P3016" i="7"/>
  <c r="P3015" i="7"/>
  <c r="P3014" i="7"/>
  <c r="P3013" i="7"/>
  <c r="P3012" i="7"/>
  <c r="P3011" i="7"/>
  <c r="P3010" i="7"/>
  <c r="P3009" i="7"/>
  <c r="P3008" i="7"/>
  <c r="P3007" i="7"/>
  <c r="P3006" i="7"/>
  <c r="P3005" i="7"/>
  <c r="P3004" i="7"/>
  <c r="P3003" i="7"/>
  <c r="P3002" i="7"/>
  <c r="O3002" i="7"/>
  <c r="P3001" i="7"/>
  <c r="O3001" i="7"/>
  <c r="P3000" i="7"/>
  <c r="O3000" i="7"/>
  <c r="P2999" i="7"/>
  <c r="O2999" i="7"/>
  <c r="P2998" i="7"/>
  <c r="O2998" i="7"/>
  <c r="P2997" i="7"/>
  <c r="O2997" i="7"/>
  <c r="P2996" i="7"/>
  <c r="O2996" i="7"/>
  <c r="P2995" i="7"/>
  <c r="O2995" i="7"/>
  <c r="P2994" i="7"/>
  <c r="O2994" i="7"/>
  <c r="P2993" i="7"/>
  <c r="O2993" i="7"/>
  <c r="P2992" i="7"/>
  <c r="O2992" i="7"/>
  <c r="P2991" i="7"/>
  <c r="O2991" i="7"/>
  <c r="P2990" i="7"/>
  <c r="O2990" i="7"/>
  <c r="P2989" i="7"/>
  <c r="O2989" i="7"/>
  <c r="P2988" i="7"/>
  <c r="O2988" i="7"/>
  <c r="P2987" i="7"/>
  <c r="O2987" i="7"/>
  <c r="P2986" i="7"/>
  <c r="O2986" i="7"/>
  <c r="P2985" i="7"/>
  <c r="O2985" i="7"/>
  <c r="P2984" i="7"/>
  <c r="O2984" i="7"/>
  <c r="P2983" i="7"/>
  <c r="O2983" i="7"/>
  <c r="P2982" i="7"/>
  <c r="O2982" i="7"/>
  <c r="P2981" i="7"/>
  <c r="O2981" i="7"/>
  <c r="P2980" i="7"/>
  <c r="O2980" i="7"/>
  <c r="P2979" i="7"/>
  <c r="O2979" i="7"/>
  <c r="P2978" i="7"/>
  <c r="O2978" i="7"/>
  <c r="P2977" i="7"/>
  <c r="O2977" i="7"/>
  <c r="P2976" i="7"/>
  <c r="O2976" i="7"/>
  <c r="P2975" i="7"/>
  <c r="O2975" i="7"/>
  <c r="P2974" i="7"/>
  <c r="O2974" i="7"/>
  <c r="P2973" i="7"/>
  <c r="O2973" i="7"/>
  <c r="P2972" i="7"/>
  <c r="O2972" i="7"/>
  <c r="P2971" i="7"/>
  <c r="O2971" i="7"/>
  <c r="P2970" i="7"/>
  <c r="O2970" i="7"/>
  <c r="P2969" i="7"/>
  <c r="O2969" i="7"/>
  <c r="P2968" i="7"/>
  <c r="O2968" i="7"/>
  <c r="P2967" i="7"/>
  <c r="O2967" i="7"/>
  <c r="P2966" i="7"/>
  <c r="O2966" i="7"/>
  <c r="P2965" i="7"/>
  <c r="O2965" i="7"/>
  <c r="P2964" i="7"/>
  <c r="O2964" i="7"/>
  <c r="P2963" i="7"/>
  <c r="O2963" i="7"/>
  <c r="P2962" i="7"/>
  <c r="O2962" i="7"/>
  <c r="P2961" i="7"/>
  <c r="O2961" i="7"/>
  <c r="P2960" i="7"/>
  <c r="O2960" i="7"/>
  <c r="P2959" i="7"/>
  <c r="O2959" i="7"/>
  <c r="P2958" i="7"/>
  <c r="O2958" i="7"/>
  <c r="P2957" i="7"/>
  <c r="O2957" i="7"/>
  <c r="P2956" i="7"/>
  <c r="O2956" i="7"/>
  <c r="P2955" i="7"/>
  <c r="O2955" i="7"/>
  <c r="P2954" i="7"/>
  <c r="O2954" i="7"/>
  <c r="P2953" i="7"/>
  <c r="O2953" i="7"/>
  <c r="P2952" i="7"/>
  <c r="O2952" i="7"/>
  <c r="P2951" i="7"/>
  <c r="O2951" i="7"/>
  <c r="P2950" i="7"/>
  <c r="O2950" i="7"/>
  <c r="P2949" i="7"/>
  <c r="O2949" i="7"/>
  <c r="P2948" i="7"/>
  <c r="O2948" i="7"/>
  <c r="P2947" i="7"/>
  <c r="O2947" i="7"/>
  <c r="P2946" i="7"/>
  <c r="O2946" i="7"/>
  <c r="P2945" i="7"/>
  <c r="O2945" i="7"/>
  <c r="P2944" i="7"/>
  <c r="O2944" i="7"/>
  <c r="P2943" i="7"/>
  <c r="O2943" i="7"/>
  <c r="P2942" i="7"/>
  <c r="O2942" i="7"/>
  <c r="P2941" i="7"/>
  <c r="O2941" i="7"/>
  <c r="P2940" i="7"/>
  <c r="O2940" i="7"/>
  <c r="P2939" i="7"/>
  <c r="O2939" i="7"/>
  <c r="P2938" i="7"/>
  <c r="O2938" i="7"/>
  <c r="P2937" i="7"/>
  <c r="O2937" i="7"/>
  <c r="P2936" i="7"/>
  <c r="O2936" i="7"/>
  <c r="P2935" i="7"/>
  <c r="O2935" i="7"/>
  <c r="P2934" i="7"/>
  <c r="O2934" i="7"/>
  <c r="P2933" i="7"/>
  <c r="O2933" i="7"/>
  <c r="P2932" i="7"/>
  <c r="O2932" i="7"/>
  <c r="P2931" i="7"/>
  <c r="O2931" i="7"/>
  <c r="P2930" i="7"/>
  <c r="O2930" i="7"/>
  <c r="P2929" i="7"/>
  <c r="O2929" i="7"/>
  <c r="P2928" i="7"/>
  <c r="O2928" i="7"/>
  <c r="P2927" i="7"/>
  <c r="O2927" i="7"/>
  <c r="P2926" i="7"/>
  <c r="O2926" i="7"/>
  <c r="P2925" i="7"/>
  <c r="O2925" i="7"/>
  <c r="P2924" i="7"/>
  <c r="O2924" i="7"/>
  <c r="P2923" i="7"/>
  <c r="O2923" i="7"/>
  <c r="P2922" i="7"/>
  <c r="O2922" i="7"/>
  <c r="P2921" i="7"/>
  <c r="O2921" i="7"/>
  <c r="P2920" i="7"/>
  <c r="O2920" i="7"/>
  <c r="P2919" i="7"/>
  <c r="O2919" i="7"/>
  <c r="P2918" i="7"/>
  <c r="O2918" i="7"/>
  <c r="P2917" i="7"/>
  <c r="O2917" i="7"/>
  <c r="P2916" i="7"/>
  <c r="O2916" i="7"/>
  <c r="P2915" i="7"/>
  <c r="O2915" i="7"/>
  <c r="P2914" i="7"/>
  <c r="O2914" i="7"/>
  <c r="P2913" i="7"/>
  <c r="O2913" i="7"/>
  <c r="P2912" i="7"/>
  <c r="O2912" i="7"/>
  <c r="P2911" i="7"/>
  <c r="O2911" i="7"/>
  <c r="P2910" i="7"/>
  <c r="O2910" i="7"/>
  <c r="P2909" i="7"/>
  <c r="O2909" i="7"/>
  <c r="P2908" i="7"/>
  <c r="O2908" i="7"/>
  <c r="P2907" i="7"/>
  <c r="O2907" i="7"/>
  <c r="P2906" i="7"/>
  <c r="O2906" i="7"/>
  <c r="P2905" i="7"/>
  <c r="O2905" i="7"/>
  <c r="P2904" i="7"/>
  <c r="O2904" i="7"/>
  <c r="P2903" i="7"/>
  <c r="O2903" i="7"/>
  <c r="P2902" i="7"/>
  <c r="O2902" i="7"/>
  <c r="P2901" i="7"/>
  <c r="O2901" i="7"/>
  <c r="P2900" i="7"/>
  <c r="O2900" i="7"/>
  <c r="P2899" i="7"/>
  <c r="O2899" i="7"/>
  <c r="P2898" i="7"/>
  <c r="O2898" i="7"/>
  <c r="P2897" i="7"/>
  <c r="O2897" i="7"/>
  <c r="P2896" i="7"/>
  <c r="O2896" i="7"/>
  <c r="P2895" i="7"/>
  <c r="O2895" i="7"/>
  <c r="P2894" i="7"/>
  <c r="O2894" i="7"/>
  <c r="P2893" i="7"/>
  <c r="O2893" i="7"/>
  <c r="P2892" i="7"/>
  <c r="O2892" i="7"/>
  <c r="P2891" i="7"/>
  <c r="O2891" i="7"/>
  <c r="P2890" i="7"/>
  <c r="O2890" i="7"/>
  <c r="P2889" i="7"/>
  <c r="O2889" i="7"/>
  <c r="P2888" i="7"/>
  <c r="O2888" i="7"/>
  <c r="P2887" i="7"/>
  <c r="O2887" i="7"/>
  <c r="P2886" i="7"/>
  <c r="O2886" i="7"/>
  <c r="P2885" i="7"/>
  <c r="O2885" i="7"/>
  <c r="P2884" i="7"/>
  <c r="O2884" i="7"/>
  <c r="P2883" i="7"/>
  <c r="O2883" i="7"/>
  <c r="P2882" i="7"/>
  <c r="O2882" i="7"/>
  <c r="P2881" i="7"/>
  <c r="O2881" i="7"/>
  <c r="P2880" i="7"/>
  <c r="O2880" i="7"/>
  <c r="P2879" i="7"/>
  <c r="O2879" i="7"/>
  <c r="P2878" i="7"/>
  <c r="O2878" i="7"/>
  <c r="P2877" i="7"/>
  <c r="O2877" i="7"/>
  <c r="P2876" i="7"/>
  <c r="O2876" i="7"/>
  <c r="P2875" i="7"/>
  <c r="O2875" i="7"/>
  <c r="P2874" i="7"/>
  <c r="O2874" i="7"/>
  <c r="P2873" i="7"/>
  <c r="O2873" i="7"/>
  <c r="P2872" i="7"/>
  <c r="O2872" i="7"/>
  <c r="P2871" i="7"/>
  <c r="O2871" i="7"/>
  <c r="P2870" i="7"/>
  <c r="O2870" i="7"/>
  <c r="P2869" i="7"/>
  <c r="O2869" i="7"/>
  <c r="P2868" i="7"/>
  <c r="O2868" i="7"/>
  <c r="P2867" i="7"/>
  <c r="O2867" i="7"/>
  <c r="P2866" i="7"/>
  <c r="O2866" i="7"/>
  <c r="P2865" i="7"/>
  <c r="O2865" i="7"/>
  <c r="P2864" i="7"/>
  <c r="O2864" i="7"/>
  <c r="P2863" i="7"/>
  <c r="O2863" i="7"/>
  <c r="P2862" i="7"/>
  <c r="O2862" i="7"/>
  <c r="P2861" i="7"/>
  <c r="O2861" i="7"/>
  <c r="P2860" i="7"/>
  <c r="O2860" i="7"/>
  <c r="P2859" i="7"/>
  <c r="O2859" i="7"/>
  <c r="P2858" i="7"/>
  <c r="O2858" i="7"/>
  <c r="P2857" i="7"/>
  <c r="O2857" i="7"/>
  <c r="P2856" i="7"/>
  <c r="O2856" i="7"/>
  <c r="P2855" i="7"/>
  <c r="O2855" i="7"/>
  <c r="P2854" i="7"/>
  <c r="O2854" i="7"/>
  <c r="P2853" i="7"/>
  <c r="O2853" i="7"/>
  <c r="P2852" i="7"/>
  <c r="O2852" i="7"/>
  <c r="P2851" i="7"/>
  <c r="O2851" i="7"/>
  <c r="P2850" i="7"/>
  <c r="O2850" i="7"/>
  <c r="P2849" i="7"/>
  <c r="O2849" i="7"/>
  <c r="P2848" i="7"/>
  <c r="O2848" i="7"/>
  <c r="P2847" i="7"/>
  <c r="O2847" i="7"/>
  <c r="P2846" i="7"/>
  <c r="O2846" i="7"/>
  <c r="P2845" i="7"/>
  <c r="O2845" i="7"/>
  <c r="P2844" i="7"/>
  <c r="O2844" i="7"/>
  <c r="P2843" i="7"/>
  <c r="O2843" i="7"/>
  <c r="P2842" i="7"/>
  <c r="O2842" i="7"/>
  <c r="P2841" i="7"/>
  <c r="O2841" i="7"/>
  <c r="P2831" i="7"/>
  <c r="P2830" i="7"/>
  <c r="P2828" i="7"/>
  <c r="P2827" i="7"/>
  <c r="P2826" i="7"/>
  <c r="P2825" i="7"/>
  <c r="P2824" i="7"/>
  <c r="P2821" i="7"/>
  <c r="P2819" i="7"/>
  <c r="P2817" i="7"/>
  <c r="P2816" i="7"/>
  <c r="P2811" i="7"/>
  <c r="P2807" i="7"/>
  <c r="P2806" i="7"/>
  <c r="P2805" i="7"/>
  <c r="P2799" i="7"/>
  <c r="P2798" i="7"/>
  <c r="P2797" i="7"/>
  <c r="P2796" i="7"/>
  <c r="P2794" i="7"/>
  <c r="P2793" i="7"/>
  <c r="P2792" i="7"/>
  <c r="P2791" i="7"/>
  <c r="P2790" i="7"/>
  <c r="P2789" i="7"/>
  <c r="P2788" i="7"/>
  <c r="P2787" i="7"/>
  <c r="P2786" i="7"/>
  <c r="P2785" i="7"/>
  <c r="P2784" i="7"/>
  <c r="P2783" i="7"/>
  <c r="P2782" i="7"/>
  <c r="P2781" i="7"/>
  <c r="P2780" i="7"/>
  <c r="P2779" i="7"/>
  <c r="P2778" i="7"/>
  <c r="P2777" i="7"/>
  <c r="P2776" i="7"/>
  <c r="P2775" i="7"/>
  <c r="P2774" i="7"/>
  <c r="P2773" i="7"/>
  <c r="P2772" i="7"/>
  <c r="P2771" i="7"/>
  <c r="P2770" i="7"/>
  <c r="P2769" i="7"/>
  <c r="P2768" i="7"/>
  <c r="P2767" i="7"/>
  <c r="P2766" i="7"/>
  <c r="P2765" i="7"/>
  <c r="P2764" i="7"/>
  <c r="P2763" i="7"/>
  <c r="P2762" i="7"/>
  <c r="P2761" i="7"/>
  <c r="P2760" i="7"/>
  <c r="P2759" i="7"/>
  <c r="P2758" i="7"/>
  <c r="P2757" i="7"/>
  <c r="P2756" i="7"/>
  <c r="P2755" i="7"/>
  <c r="P2754" i="7"/>
  <c r="P2753" i="7"/>
  <c r="P2752" i="7"/>
  <c r="P2751" i="7"/>
  <c r="P2750" i="7"/>
  <c r="P2749" i="7"/>
  <c r="P2748" i="7"/>
  <c r="P2747" i="7"/>
  <c r="P2746" i="7"/>
  <c r="P2745" i="7"/>
  <c r="P2744" i="7"/>
  <c r="P2743" i="7"/>
  <c r="P2742" i="7"/>
  <c r="P2741" i="7"/>
  <c r="P2740" i="7"/>
  <c r="P2739" i="7"/>
  <c r="P2738" i="7"/>
  <c r="P2737" i="7"/>
  <c r="P2736" i="7"/>
  <c r="P2735" i="7"/>
  <c r="P2734" i="7"/>
  <c r="P2733" i="7"/>
  <c r="P2732" i="7"/>
  <c r="P2731" i="7"/>
  <c r="P2730" i="7"/>
  <c r="P2729" i="7"/>
  <c r="P2728" i="7"/>
  <c r="P2727" i="7"/>
  <c r="P2726" i="7"/>
  <c r="P2725" i="7"/>
  <c r="P2724" i="7"/>
  <c r="P2723" i="7"/>
  <c r="P2722" i="7"/>
  <c r="P2721" i="7"/>
  <c r="P2715" i="7"/>
  <c r="P2713" i="7"/>
  <c r="P2710" i="7"/>
  <c r="P2709" i="7"/>
  <c r="P2707" i="7"/>
  <c r="P2703" i="7"/>
  <c r="P2702" i="7"/>
  <c r="O2702" i="7"/>
  <c r="P2701" i="7"/>
  <c r="O2701" i="7"/>
  <c r="P2700" i="7"/>
  <c r="O2700" i="7"/>
  <c r="P2699" i="7"/>
  <c r="O2699" i="7"/>
  <c r="P2698" i="7"/>
  <c r="O2698" i="7"/>
  <c r="P2697" i="7"/>
  <c r="O2697" i="7"/>
  <c r="P2696" i="7"/>
  <c r="O2696" i="7"/>
  <c r="P2695" i="7"/>
  <c r="O2695" i="7"/>
  <c r="P2694" i="7"/>
  <c r="O2694" i="7"/>
  <c r="P2693" i="7"/>
  <c r="O2693" i="7"/>
  <c r="P2692" i="7"/>
  <c r="O2692" i="7"/>
  <c r="P2691" i="7"/>
  <c r="O2691" i="7"/>
  <c r="P2690" i="7"/>
  <c r="O2690" i="7"/>
  <c r="P2689" i="7"/>
  <c r="O2689" i="7"/>
  <c r="P2688" i="7"/>
  <c r="O2688" i="7"/>
  <c r="P2687" i="7"/>
  <c r="O2687" i="7"/>
  <c r="P2686" i="7"/>
  <c r="O2686" i="7"/>
  <c r="P2685" i="7"/>
  <c r="O2685" i="7"/>
  <c r="P2684" i="7"/>
  <c r="O2684" i="7"/>
  <c r="P2683" i="7"/>
  <c r="O2683" i="7"/>
  <c r="P2682" i="7"/>
  <c r="O2682" i="7"/>
  <c r="P2681" i="7"/>
  <c r="O2681" i="7"/>
  <c r="P2680" i="7"/>
  <c r="O2680" i="7"/>
  <c r="P2679" i="7"/>
  <c r="O2679" i="7"/>
  <c r="P2678" i="7"/>
  <c r="O2678" i="7"/>
  <c r="P2677" i="7"/>
  <c r="O2677" i="7"/>
  <c r="P2676" i="7"/>
  <c r="O2676" i="7"/>
  <c r="P2675" i="7"/>
  <c r="O2675" i="7"/>
  <c r="P2674" i="7"/>
  <c r="O2674" i="7"/>
  <c r="P2673" i="7"/>
  <c r="O2673" i="7"/>
  <c r="P2672" i="7"/>
  <c r="O2672" i="7"/>
  <c r="P2671" i="7"/>
  <c r="O2671" i="7"/>
  <c r="P2670" i="7"/>
  <c r="O2670" i="7"/>
  <c r="P2669" i="7"/>
  <c r="O2669" i="7"/>
  <c r="P2668" i="7"/>
  <c r="O2668" i="7"/>
  <c r="P2667" i="7"/>
  <c r="O2667" i="7"/>
  <c r="P2666" i="7"/>
  <c r="O2666" i="7"/>
  <c r="P2665" i="7"/>
  <c r="O2665" i="7"/>
  <c r="P2664" i="7"/>
  <c r="O2664" i="7"/>
  <c r="P2663" i="7"/>
  <c r="O2663" i="7"/>
  <c r="P2662" i="7"/>
  <c r="O2662" i="7"/>
  <c r="P2661" i="7"/>
  <c r="O2661" i="7"/>
  <c r="P2660" i="7"/>
  <c r="O2660" i="7"/>
  <c r="P2659" i="7"/>
  <c r="O2659" i="7"/>
  <c r="P2658" i="7"/>
  <c r="O2658" i="7"/>
  <c r="P2657" i="7"/>
  <c r="O2657" i="7"/>
  <c r="P2656" i="7"/>
  <c r="O2656" i="7"/>
  <c r="P2655" i="7"/>
  <c r="O2655" i="7"/>
  <c r="P2654" i="7"/>
  <c r="O2654" i="7"/>
  <c r="P2653" i="7"/>
  <c r="O2653" i="7"/>
  <c r="P2652" i="7"/>
  <c r="O2652" i="7"/>
  <c r="P2651" i="7"/>
  <c r="O2651" i="7"/>
  <c r="P2650" i="7"/>
  <c r="O2650" i="7"/>
  <c r="P2649" i="7"/>
  <c r="O2649" i="7"/>
  <c r="P2648" i="7"/>
  <c r="O2648" i="7"/>
  <c r="P2647" i="7"/>
  <c r="O2647" i="7"/>
  <c r="P2646" i="7"/>
  <c r="O2646" i="7"/>
  <c r="P2645" i="7"/>
  <c r="O2645" i="7"/>
  <c r="P2644" i="7"/>
  <c r="O2644" i="7"/>
  <c r="P2643" i="7"/>
  <c r="O2643" i="7"/>
  <c r="P2642" i="7"/>
  <c r="O2642" i="7"/>
  <c r="P2641" i="7"/>
  <c r="O2641" i="7"/>
  <c r="P2640" i="7"/>
  <c r="O2640" i="7"/>
  <c r="P2639" i="7"/>
  <c r="O2639" i="7"/>
  <c r="P2638" i="7"/>
  <c r="O2638" i="7"/>
  <c r="P2637" i="7"/>
  <c r="O2637" i="7"/>
  <c r="P2636" i="7"/>
  <c r="O2636" i="7"/>
  <c r="P2635" i="7"/>
  <c r="O2635" i="7"/>
  <c r="P2634" i="7"/>
  <c r="O2634" i="7"/>
  <c r="P2633" i="7"/>
  <c r="O2633" i="7"/>
  <c r="P2632" i="7"/>
  <c r="O2632" i="7"/>
  <c r="P2631" i="7"/>
  <c r="O2631" i="7"/>
  <c r="P2630" i="7"/>
  <c r="O2630" i="7"/>
  <c r="P2629" i="7"/>
  <c r="O2629" i="7"/>
  <c r="P2628" i="7"/>
  <c r="O2628" i="7"/>
  <c r="P2627" i="7"/>
  <c r="O2627" i="7"/>
  <c r="P2626" i="7"/>
  <c r="O2626" i="7"/>
  <c r="P2625" i="7"/>
  <c r="O2625" i="7"/>
  <c r="P2624" i="7"/>
  <c r="O2624" i="7"/>
  <c r="P2623" i="7"/>
  <c r="O2623" i="7"/>
  <c r="P2622" i="7"/>
  <c r="O2622" i="7"/>
  <c r="P2621" i="7"/>
  <c r="O2621" i="7"/>
  <c r="P2620" i="7"/>
  <c r="O2620" i="7"/>
  <c r="P2619" i="7"/>
  <c r="O2619" i="7"/>
  <c r="P2618" i="7"/>
  <c r="O2618" i="7"/>
  <c r="P2617" i="7"/>
  <c r="O2617" i="7"/>
  <c r="P2616" i="7"/>
  <c r="O2616" i="7"/>
  <c r="P2615" i="7"/>
  <c r="O2615" i="7"/>
  <c r="P2614" i="7"/>
  <c r="O2614" i="7"/>
  <c r="P2613" i="7"/>
  <c r="O2613" i="7"/>
  <c r="P2612" i="7"/>
  <c r="O2612" i="7"/>
  <c r="P2611" i="7"/>
  <c r="O2611" i="7"/>
  <c r="P2610" i="7"/>
  <c r="O2610" i="7"/>
  <c r="P2609" i="7"/>
  <c r="O2609" i="7"/>
  <c r="P2608" i="7"/>
  <c r="O2608" i="7"/>
  <c r="P2607" i="7"/>
  <c r="O2607" i="7"/>
  <c r="P2606" i="7"/>
  <c r="O2606" i="7"/>
  <c r="P2605" i="7"/>
  <c r="O2605" i="7"/>
  <c r="P2604" i="7"/>
  <c r="O2604" i="7"/>
  <c r="P2603" i="7"/>
  <c r="O2603" i="7"/>
  <c r="P2602" i="7"/>
  <c r="O2602" i="7"/>
  <c r="P2601" i="7"/>
  <c r="O2601" i="7"/>
  <c r="P2600" i="7"/>
  <c r="O2600" i="7"/>
  <c r="P2599" i="7"/>
  <c r="O2599" i="7"/>
  <c r="P2598" i="7"/>
  <c r="O2598" i="7"/>
  <c r="P2597" i="7"/>
  <c r="O2597" i="7"/>
  <c r="P2596" i="7"/>
  <c r="O2596" i="7"/>
  <c r="P2595" i="7"/>
  <c r="O2595" i="7"/>
  <c r="P2594" i="7"/>
  <c r="O2594" i="7"/>
  <c r="P2593" i="7"/>
  <c r="O2593" i="7"/>
  <c r="P2592" i="7"/>
  <c r="O2592" i="7"/>
  <c r="P2590" i="7"/>
  <c r="P2580" i="7"/>
  <c r="P2577" i="7"/>
  <c r="P2576" i="7"/>
  <c r="P2574" i="7"/>
  <c r="P2572" i="7"/>
  <c r="P2571" i="7"/>
  <c r="P2570" i="7"/>
  <c r="P2567" i="7"/>
  <c r="P2548" i="7"/>
  <c r="P2546" i="7"/>
  <c r="P2538" i="7"/>
  <c r="P2537" i="7"/>
  <c r="P2533" i="7"/>
  <c r="P2532" i="7"/>
  <c r="P2531" i="7"/>
  <c r="P2530" i="7"/>
  <c r="P2529" i="7"/>
  <c r="P2528" i="7"/>
  <c r="P2527" i="7"/>
  <c r="P2526" i="7"/>
  <c r="P2525" i="7"/>
  <c r="P2516" i="7"/>
  <c r="P2515" i="7"/>
  <c r="P2514" i="7"/>
  <c r="P2513" i="7"/>
  <c r="P2512" i="7"/>
  <c r="P2511" i="7"/>
  <c r="P2510" i="7"/>
  <c r="P2509" i="7"/>
  <c r="P2508" i="7"/>
  <c r="P2507" i="7"/>
  <c r="P2506" i="7"/>
  <c r="P2505" i="7"/>
  <c r="P2504" i="7"/>
  <c r="P2503" i="7"/>
  <c r="P2502" i="7"/>
  <c r="P2501" i="7"/>
  <c r="P2500" i="7"/>
  <c r="P2499" i="7"/>
  <c r="P2498" i="7"/>
  <c r="P2497" i="7"/>
  <c r="P2496" i="7"/>
  <c r="P2495" i="7"/>
  <c r="P2494" i="7"/>
  <c r="P2493" i="7"/>
  <c r="P2492" i="7"/>
  <c r="P2491" i="7"/>
  <c r="P2490" i="7"/>
  <c r="P2489" i="7"/>
  <c r="P2488" i="7"/>
  <c r="P2487" i="7"/>
  <c r="P2486" i="7"/>
  <c r="P2485" i="7"/>
  <c r="P2484" i="7"/>
  <c r="P2483" i="7"/>
  <c r="P2482" i="7"/>
  <c r="P2481" i="7"/>
  <c r="P2480" i="7"/>
  <c r="P2479" i="7"/>
  <c r="P2478" i="7"/>
  <c r="P2477" i="7"/>
  <c r="P2476" i="7"/>
  <c r="P2475" i="7"/>
  <c r="P2474" i="7"/>
  <c r="P2473" i="7"/>
  <c r="P2472" i="7"/>
  <c r="P2471" i="7"/>
  <c r="P2470" i="7"/>
  <c r="P2469" i="7"/>
  <c r="P2468" i="7"/>
  <c r="P2467" i="7"/>
  <c r="P2466" i="7"/>
  <c r="P2465" i="7"/>
  <c r="P2464" i="7"/>
  <c r="P2463" i="7"/>
  <c r="P2462" i="7"/>
  <c r="P2461" i="7"/>
  <c r="P2460" i="7"/>
  <c r="P2459" i="7"/>
  <c r="P2458" i="7"/>
  <c r="P2457" i="7"/>
  <c r="P2456" i="7"/>
  <c r="P2455" i="7"/>
  <c r="P2454" i="7"/>
  <c r="P2453" i="7"/>
  <c r="P2452" i="7"/>
  <c r="P2451" i="7"/>
  <c r="P2450" i="7"/>
  <c r="P2449" i="7"/>
  <c r="P2448" i="7"/>
  <c r="P2447" i="7"/>
  <c r="P2446" i="7"/>
  <c r="P2445" i="7"/>
  <c r="P2444" i="7"/>
  <c r="P2443" i="7"/>
  <c r="P2442" i="7"/>
  <c r="P2441" i="7"/>
  <c r="P2440" i="7"/>
  <c r="P2439" i="7"/>
  <c r="P2438" i="7"/>
  <c r="P2437" i="7"/>
  <c r="P2436" i="7"/>
  <c r="P2435" i="7"/>
  <c r="P2434" i="7"/>
  <c r="P2433" i="7"/>
  <c r="P2432" i="7"/>
  <c r="P2431" i="7"/>
  <c r="P2430" i="7"/>
  <c r="P2429" i="7"/>
  <c r="P2428" i="7"/>
  <c r="P2427" i="7"/>
  <c r="P2426" i="7"/>
  <c r="P2425" i="7"/>
  <c r="P2424" i="7"/>
  <c r="P2423" i="7"/>
  <c r="P2422" i="7"/>
  <c r="P2421" i="7"/>
  <c r="P2420" i="7"/>
  <c r="P2419" i="7"/>
  <c r="P2418" i="7"/>
  <c r="P2417" i="7"/>
  <c r="P2416" i="7"/>
  <c r="P2415" i="7"/>
  <c r="P2414" i="7"/>
  <c r="P2413" i="7"/>
  <c r="P2412" i="7"/>
  <c r="P2411" i="7"/>
  <c r="P2410" i="7"/>
  <c r="P2409" i="7"/>
  <c r="P2408" i="7"/>
  <c r="P2407" i="7"/>
  <c r="P2406" i="7"/>
  <c r="P2405" i="7"/>
  <c r="P2404" i="7"/>
  <c r="P2403" i="7"/>
  <c r="P2396" i="7"/>
  <c r="P2394" i="7"/>
  <c r="P2393" i="7"/>
  <c r="P2392" i="7"/>
  <c r="P2391" i="7"/>
  <c r="P2390" i="7"/>
  <c r="P2386" i="7"/>
  <c r="P2382" i="7"/>
  <c r="P2379" i="7"/>
  <c r="P2378" i="7"/>
  <c r="P2376" i="7"/>
  <c r="P2371" i="7"/>
  <c r="P2369" i="7"/>
  <c r="P2368" i="7"/>
  <c r="P2367" i="7"/>
  <c r="P2365" i="7"/>
  <c r="P2364" i="7"/>
  <c r="P2360" i="7"/>
  <c r="P2359" i="7"/>
  <c r="P2357" i="7"/>
  <c r="P2355" i="7"/>
  <c r="P2354" i="7"/>
  <c r="P2353" i="7"/>
  <c r="P2352" i="7"/>
  <c r="P2351" i="7"/>
  <c r="P2348" i="7"/>
  <c r="P2340" i="7"/>
  <c r="P2339" i="7"/>
  <c r="P2338" i="7"/>
  <c r="P2336" i="7"/>
  <c r="P2335" i="7"/>
  <c r="P2331" i="7"/>
  <c r="P2330" i="7"/>
  <c r="P2329" i="7"/>
  <c r="P2328" i="7"/>
  <c r="P2325" i="7"/>
  <c r="P2322" i="7"/>
  <c r="P2321" i="7"/>
  <c r="P2320" i="7"/>
  <c r="P2319" i="7"/>
  <c r="P2318" i="7"/>
  <c r="P2317" i="7"/>
  <c r="P2315" i="7"/>
  <c r="P2314" i="7"/>
  <c r="P2312" i="7"/>
  <c r="P2311" i="7"/>
  <c r="P2310" i="7"/>
  <c r="P2309" i="7"/>
  <c r="P2308" i="7"/>
  <c r="P2307" i="7"/>
  <c r="P2306" i="7"/>
  <c r="P2305" i="7"/>
  <c r="P2304" i="7"/>
  <c r="P2303" i="7"/>
  <c r="P2302" i="7"/>
  <c r="P2301" i="7"/>
  <c r="P2300" i="7"/>
  <c r="P2299" i="7"/>
  <c r="P2298" i="7"/>
  <c r="P2297" i="7"/>
  <c r="P2296" i="7"/>
  <c r="P2295" i="7"/>
  <c r="P2294" i="7"/>
  <c r="P2293" i="7"/>
  <c r="P2292" i="7"/>
  <c r="P2291" i="7"/>
  <c r="P2290" i="7"/>
  <c r="P2289" i="7"/>
  <c r="P2288" i="7"/>
  <c r="P2287" i="7"/>
  <c r="P2286" i="7"/>
  <c r="P2285" i="7"/>
  <c r="P2284" i="7"/>
  <c r="P2283" i="7"/>
  <c r="P2282" i="7"/>
  <c r="P2281" i="7"/>
  <c r="P2280" i="7"/>
  <c r="P2279" i="7"/>
  <c r="P2278" i="7"/>
  <c r="P2277" i="7"/>
  <c r="P2276" i="7"/>
  <c r="P2275" i="7"/>
  <c r="P2273" i="7"/>
  <c r="P2272" i="7"/>
  <c r="P2271" i="7"/>
  <c r="P2270" i="7"/>
  <c r="P2269" i="7"/>
  <c r="P2268" i="7"/>
  <c r="P2267" i="7"/>
  <c r="P2266" i="7"/>
  <c r="P2265" i="7"/>
  <c r="P2264" i="7"/>
  <c r="P2263" i="7"/>
  <c r="P2262" i="7"/>
  <c r="P2261" i="7"/>
  <c r="P2260" i="7"/>
  <c r="P2259" i="7"/>
  <c r="P2258" i="7"/>
  <c r="P2257" i="7"/>
  <c r="P2256" i="7"/>
  <c r="P2255" i="7"/>
  <c r="P2254" i="7"/>
  <c r="P2253" i="7"/>
  <c r="P2252" i="7"/>
  <c r="P2251" i="7"/>
  <c r="P2250" i="7"/>
  <c r="P2249" i="7"/>
  <c r="P2248" i="7"/>
  <c r="P2247" i="7"/>
  <c r="P2246" i="7"/>
  <c r="P2245" i="7"/>
  <c r="P2244" i="7"/>
  <c r="P2243" i="7"/>
  <c r="P2242" i="7"/>
  <c r="P2241" i="7"/>
  <c r="P2240" i="7"/>
  <c r="P2239" i="7"/>
  <c r="P2238" i="7"/>
  <c r="P2237" i="7"/>
  <c r="P2236" i="7"/>
  <c r="P2235" i="7"/>
  <c r="P2234" i="7"/>
  <c r="P2233" i="7"/>
  <c r="P2232" i="7"/>
  <c r="P2231" i="7"/>
  <c r="P2230" i="7"/>
  <c r="P2229" i="7"/>
  <c r="P2228" i="7"/>
  <c r="P2227" i="7"/>
  <c r="P2226" i="7"/>
  <c r="P2225" i="7"/>
  <c r="P2224" i="7"/>
  <c r="P2223" i="7"/>
  <c r="P2222" i="7"/>
  <c r="P2221" i="7"/>
  <c r="P2220" i="7"/>
  <c r="P2219" i="7"/>
  <c r="P2218" i="7"/>
  <c r="P2217" i="7"/>
  <c r="P2216" i="7"/>
  <c r="P2215" i="7"/>
  <c r="P2214" i="7"/>
  <c r="P2213" i="7"/>
  <c r="P2212" i="7"/>
  <c r="P2211" i="7"/>
  <c r="P2210" i="7"/>
  <c r="P2209" i="7"/>
  <c r="P2208" i="7"/>
  <c r="P2207" i="7"/>
  <c r="P2206" i="7"/>
  <c r="P2205" i="7"/>
  <c r="P2204" i="7"/>
  <c r="P2203" i="7"/>
  <c r="P2202" i="7"/>
  <c r="P2201" i="7"/>
  <c r="P2200" i="7"/>
  <c r="P2199" i="7"/>
  <c r="P2198" i="7"/>
  <c r="P2197" i="7"/>
  <c r="P2196" i="7"/>
  <c r="P2195" i="7"/>
  <c r="P2194" i="7"/>
  <c r="P2193" i="7"/>
  <c r="P2192" i="7"/>
  <c r="P2191" i="7"/>
  <c r="P2190" i="7"/>
  <c r="P2189" i="7"/>
  <c r="P2188" i="7"/>
  <c r="P2187" i="7"/>
  <c r="P2186" i="7"/>
  <c r="P2185" i="7"/>
  <c r="P2184" i="7"/>
  <c r="P2183" i="7"/>
  <c r="P2182" i="7"/>
  <c r="P2181" i="7"/>
  <c r="P2180" i="7"/>
  <c r="P2179" i="7"/>
  <c r="P2178" i="7"/>
  <c r="P2177" i="7"/>
  <c r="P2176" i="7"/>
  <c r="P2175" i="7"/>
  <c r="P2174" i="7"/>
  <c r="P2173" i="7"/>
  <c r="P2172" i="7"/>
  <c r="P2171" i="7"/>
  <c r="P2170" i="7"/>
  <c r="P2169" i="7"/>
  <c r="P2168" i="7"/>
  <c r="P2167" i="7"/>
  <c r="P2166" i="7"/>
  <c r="P2165" i="7"/>
  <c r="P2164" i="7"/>
  <c r="P2163" i="7"/>
  <c r="P2162" i="7"/>
  <c r="P2161" i="7"/>
  <c r="P2160" i="7"/>
  <c r="P2159" i="7"/>
  <c r="P2158" i="7"/>
  <c r="P2157" i="7"/>
  <c r="P2156" i="7"/>
  <c r="P2155" i="7"/>
  <c r="P2154" i="7"/>
  <c r="P2153" i="7"/>
  <c r="P2152" i="7"/>
  <c r="P2151" i="7"/>
  <c r="P2150" i="7"/>
  <c r="P2149" i="7"/>
  <c r="P2148" i="7"/>
  <c r="P2147" i="7"/>
  <c r="P2146" i="7"/>
  <c r="P2145" i="7"/>
  <c r="P2144" i="7"/>
  <c r="P2143" i="7"/>
  <c r="P2142" i="7"/>
  <c r="P2141" i="7"/>
  <c r="P2140" i="7"/>
  <c r="P2139" i="7"/>
  <c r="P2138" i="7"/>
  <c r="P2137" i="7"/>
  <c r="P2136" i="7"/>
  <c r="P2135" i="7"/>
  <c r="P2134" i="7"/>
  <c r="P2133" i="7"/>
  <c r="P2132" i="7"/>
  <c r="P2131" i="7"/>
  <c r="P2130" i="7"/>
  <c r="P2129" i="7"/>
  <c r="P2128" i="7"/>
  <c r="P2127" i="7"/>
  <c r="P2126" i="7"/>
  <c r="P2125" i="7"/>
  <c r="P2124" i="7"/>
  <c r="P2123" i="7"/>
  <c r="P2122" i="7"/>
  <c r="P2121" i="7"/>
  <c r="P2120" i="7"/>
  <c r="P2119" i="7"/>
  <c r="P2118" i="7"/>
  <c r="P2117" i="7"/>
  <c r="P2116" i="7"/>
  <c r="P2115" i="7"/>
  <c r="P2114" i="7"/>
  <c r="P2113" i="7"/>
  <c r="P2112" i="7"/>
  <c r="P2111" i="7"/>
  <c r="P2110" i="7"/>
  <c r="P2109" i="7"/>
  <c r="P2108" i="7"/>
  <c r="P2107" i="7"/>
  <c r="P2106" i="7"/>
  <c r="P2105" i="7"/>
  <c r="P2104" i="7"/>
  <c r="P2103" i="7"/>
  <c r="P2102" i="7"/>
  <c r="O2102" i="7"/>
  <c r="P2101" i="7"/>
  <c r="O2101" i="7"/>
  <c r="P2100" i="7"/>
  <c r="O2100" i="7"/>
  <c r="P2099" i="7"/>
  <c r="O2099" i="7"/>
  <c r="P2098" i="7"/>
  <c r="O2098" i="7"/>
  <c r="P2097" i="7"/>
  <c r="O2097" i="7"/>
  <c r="P2096" i="7"/>
  <c r="O2096" i="7"/>
  <c r="P2095" i="7"/>
  <c r="O2095" i="7"/>
  <c r="P2094" i="7"/>
  <c r="O2094" i="7"/>
  <c r="P2093" i="7"/>
  <c r="O2093" i="7"/>
  <c r="P2092" i="7"/>
  <c r="O2092" i="7"/>
  <c r="P2091" i="7"/>
  <c r="O2091" i="7"/>
  <c r="P2090" i="7"/>
  <c r="O2090" i="7"/>
  <c r="P2089" i="7"/>
  <c r="O2089" i="7"/>
  <c r="P2088" i="7"/>
  <c r="O2088" i="7"/>
  <c r="P2087" i="7"/>
  <c r="O2087" i="7"/>
  <c r="P2086" i="7"/>
  <c r="O2086" i="7"/>
  <c r="P2085" i="7"/>
  <c r="O2085" i="7"/>
  <c r="P2084" i="7"/>
  <c r="O2084" i="7"/>
  <c r="P2083" i="7"/>
  <c r="O2083" i="7"/>
  <c r="P2082" i="7"/>
  <c r="O2082" i="7"/>
  <c r="P2081" i="7"/>
  <c r="O2081" i="7"/>
  <c r="P2080" i="7"/>
  <c r="O2080" i="7"/>
  <c r="P2079" i="7"/>
  <c r="O2079" i="7"/>
  <c r="P2078" i="7"/>
  <c r="O2078" i="7"/>
  <c r="P2077" i="7"/>
  <c r="O2077" i="7"/>
  <c r="P2076" i="7"/>
  <c r="O2076" i="7"/>
  <c r="P2075" i="7"/>
  <c r="O2075" i="7"/>
  <c r="P2074" i="7"/>
  <c r="O2074" i="7"/>
  <c r="P2073" i="7"/>
  <c r="O2073" i="7"/>
  <c r="P2072" i="7"/>
  <c r="O2072" i="7"/>
  <c r="P2071" i="7"/>
  <c r="O2071" i="7"/>
  <c r="P2070" i="7"/>
  <c r="O2070" i="7"/>
  <c r="P2069" i="7"/>
  <c r="O2069" i="7"/>
  <c r="P2068" i="7"/>
  <c r="O2068" i="7"/>
  <c r="P2067" i="7"/>
  <c r="O2067" i="7"/>
  <c r="P2066" i="7"/>
  <c r="O2066" i="7"/>
  <c r="P2065" i="7"/>
  <c r="O2065" i="7"/>
  <c r="P2064" i="7"/>
  <c r="O2064" i="7"/>
  <c r="P2063" i="7"/>
  <c r="O2063" i="7"/>
  <c r="P2062" i="7"/>
  <c r="O2062" i="7"/>
  <c r="P2061" i="7"/>
  <c r="O2061" i="7"/>
  <c r="P2060" i="7"/>
  <c r="O2060" i="7"/>
  <c r="P2059" i="7"/>
  <c r="O2059" i="7"/>
  <c r="P2058" i="7"/>
  <c r="O2058" i="7"/>
  <c r="P2057" i="7"/>
  <c r="O2057" i="7"/>
  <c r="P2056" i="7"/>
  <c r="O2056" i="7"/>
  <c r="P2055" i="7"/>
  <c r="O2055" i="7"/>
  <c r="P2054" i="7"/>
  <c r="O2054" i="7"/>
  <c r="P2053" i="7"/>
  <c r="O2053" i="7"/>
  <c r="P2052" i="7"/>
  <c r="O2052" i="7"/>
  <c r="P2051" i="7"/>
  <c r="O2051" i="7"/>
  <c r="P2050" i="7"/>
  <c r="O2050" i="7"/>
  <c r="P2049" i="7"/>
  <c r="O2049" i="7"/>
  <c r="P2048" i="7"/>
  <c r="O2048" i="7"/>
  <c r="P2047" i="7"/>
  <c r="O2047" i="7"/>
  <c r="P2046" i="7"/>
  <c r="O2046" i="7"/>
  <c r="P2045" i="7"/>
  <c r="O2045" i="7"/>
  <c r="P2044" i="7"/>
  <c r="O2044" i="7"/>
  <c r="P2043" i="7"/>
  <c r="O2043" i="7"/>
  <c r="P2042" i="7"/>
  <c r="O2042" i="7"/>
  <c r="P2041" i="7"/>
  <c r="O2041" i="7"/>
  <c r="P2040" i="7"/>
  <c r="O2040" i="7"/>
  <c r="P2039" i="7"/>
  <c r="O2039" i="7"/>
  <c r="P2038" i="7"/>
  <c r="O2038" i="7"/>
  <c r="P2037" i="7"/>
  <c r="O2037" i="7"/>
  <c r="P2036" i="7"/>
  <c r="O2036" i="7"/>
  <c r="P2035" i="7"/>
  <c r="O2035" i="7"/>
  <c r="P2034" i="7"/>
  <c r="O2034" i="7"/>
  <c r="P2033" i="7"/>
  <c r="O2033" i="7"/>
  <c r="P2032" i="7"/>
  <c r="O2032" i="7"/>
  <c r="P2031" i="7"/>
  <c r="O2031" i="7"/>
  <c r="P2030" i="7"/>
  <c r="O2030" i="7"/>
  <c r="P2029" i="7"/>
  <c r="O2029" i="7"/>
  <c r="P2028" i="7"/>
  <c r="O2028" i="7"/>
  <c r="P2027" i="7"/>
  <c r="O2027" i="7"/>
  <c r="P2026" i="7"/>
  <c r="O2026" i="7"/>
  <c r="P2025" i="7"/>
  <c r="O2025" i="7"/>
  <c r="P2024" i="7"/>
  <c r="O2024" i="7"/>
  <c r="P2023" i="7"/>
  <c r="O2023" i="7"/>
  <c r="P2022" i="7"/>
  <c r="O2022" i="7"/>
  <c r="P2021" i="7"/>
  <c r="O2021" i="7"/>
  <c r="P2020" i="7"/>
  <c r="O2020" i="7"/>
  <c r="P2019" i="7"/>
  <c r="O2019" i="7"/>
  <c r="P2018" i="7"/>
  <c r="O2018" i="7"/>
  <c r="P2017" i="7"/>
  <c r="O2017" i="7"/>
  <c r="P2016" i="7"/>
  <c r="O2016" i="7"/>
  <c r="P2015" i="7"/>
  <c r="O2015" i="7"/>
  <c r="P2014" i="7"/>
  <c r="O2014" i="7"/>
  <c r="P2013" i="7"/>
  <c r="O2013" i="7"/>
  <c r="P2012" i="7"/>
  <c r="O2012" i="7"/>
  <c r="P2011" i="7"/>
  <c r="O2011" i="7"/>
  <c r="P2010" i="7"/>
  <c r="O2010" i="7"/>
  <c r="P2009" i="7"/>
  <c r="O2009" i="7"/>
  <c r="P2008" i="7"/>
  <c r="O2008" i="7"/>
  <c r="P2007" i="7"/>
  <c r="O2007" i="7"/>
  <c r="P2006" i="7"/>
  <c r="O2006" i="7"/>
  <c r="P2005" i="7"/>
  <c r="O2005" i="7"/>
  <c r="P2004" i="7"/>
  <c r="O2004" i="7"/>
  <c r="P2003" i="7"/>
  <c r="O2003" i="7"/>
  <c r="P2002" i="7"/>
  <c r="O2002" i="7"/>
  <c r="P2001" i="7"/>
  <c r="O2001" i="7"/>
  <c r="P2000" i="7"/>
  <c r="O2000" i="7"/>
  <c r="P1999" i="7"/>
  <c r="O1999" i="7"/>
  <c r="P1998" i="7"/>
  <c r="O1998" i="7"/>
  <c r="P1997" i="7"/>
  <c r="O1997" i="7"/>
  <c r="P1996" i="7"/>
  <c r="O1996" i="7"/>
  <c r="P1995" i="7"/>
  <c r="O1995" i="7"/>
  <c r="P1994" i="7"/>
  <c r="O1994" i="7"/>
  <c r="P1993" i="7"/>
  <c r="O1993" i="7"/>
  <c r="P1992" i="7"/>
  <c r="O1992" i="7"/>
  <c r="P1991" i="7"/>
  <c r="O1991" i="7"/>
  <c r="P1990" i="7"/>
  <c r="O1990" i="7"/>
  <c r="P1989" i="7"/>
  <c r="O1989" i="7"/>
  <c r="P1988" i="7"/>
  <c r="O1988" i="7"/>
  <c r="P1987" i="7"/>
  <c r="O1987" i="7"/>
  <c r="P1986" i="7"/>
  <c r="O1986" i="7"/>
  <c r="P1985" i="7"/>
  <c r="O1985" i="7"/>
  <c r="P1984" i="7"/>
  <c r="O1984" i="7"/>
  <c r="P1983" i="7"/>
  <c r="O1983" i="7"/>
  <c r="P1982" i="7"/>
  <c r="O1982" i="7"/>
  <c r="P1981" i="7"/>
  <c r="O1981" i="7"/>
  <c r="P1980" i="7"/>
  <c r="O1980" i="7"/>
  <c r="P1979" i="7"/>
  <c r="O1979" i="7"/>
  <c r="P1978" i="7"/>
  <c r="O1978" i="7"/>
  <c r="P1977" i="7"/>
  <c r="O1977" i="7"/>
  <c r="P1976" i="7"/>
  <c r="O1976" i="7"/>
  <c r="P1975" i="7"/>
  <c r="O1975" i="7"/>
  <c r="P1974" i="7"/>
  <c r="O1974" i="7"/>
  <c r="P1973" i="7"/>
  <c r="O1973" i="7"/>
  <c r="P1972" i="7"/>
  <c r="O1972" i="7"/>
  <c r="P1971" i="7"/>
  <c r="O1971" i="7"/>
  <c r="P1970" i="7"/>
  <c r="O1970" i="7"/>
  <c r="P1969" i="7"/>
  <c r="O1969" i="7"/>
  <c r="P1968" i="7"/>
  <c r="O1968" i="7"/>
  <c r="P1967" i="7"/>
  <c r="O1967" i="7"/>
  <c r="P1966" i="7"/>
  <c r="O1966" i="7"/>
  <c r="P1965" i="7"/>
  <c r="O1965" i="7"/>
  <c r="P1964" i="7"/>
  <c r="O1964" i="7"/>
  <c r="P1963" i="7"/>
  <c r="O1963" i="7"/>
  <c r="P1962" i="7"/>
  <c r="O1962" i="7"/>
  <c r="P1961" i="7"/>
  <c r="O1961" i="7"/>
  <c r="P1960" i="7"/>
  <c r="O1960" i="7"/>
  <c r="P1959" i="7"/>
  <c r="O1959" i="7"/>
  <c r="P1958" i="7"/>
  <c r="O1958" i="7"/>
  <c r="P1957" i="7"/>
  <c r="O1957" i="7"/>
  <c r="P1956" i="7"/>
  <c r="O1956" i="7"/>
  <c r="P1955" i="7"/>
  <c r="O1955" i="7"/>
  <c r="P1954" i="7"/>
  <c r="O1954" i="7"/>
  <c r="P1953" i="7"/>
  <c r="P1951" i="7"/>
  <c r="P1949" i="7"/>
  <c r="P1944" i="7"/>
  <c r="P1942" i="7"/>
  <c r="P1940" i="7"/>
  <c r="P1939" i="7"/>
  <c r="P1938" i="7"/>
  <c r="P1937" i="7"/>
  <c r="P1936" i="7"/>
  <c r="P1934" i="7"/>
  <c r="P1933" i="7"/>
  <c r="P1901" i="7"/>
  <c r="P1900" i="7"/>
  <c r="P1899" i="7"/>
  <c r="P1898" i="7"/>
  <c r="P1897" i="7"/>
  <c r="P1896" i="7"/>
  <c r="P1895" i="7"/>
  <c r="P1894" i="7"/>
  <c r="P1893" i="7"/>
  <c r="P1892" i="7"/>
  <c r="P1891" i="7"/>
  <c r="P1890" i="7"/>
  <c r="P1889" i="7"/>
  <c r="P1888" i="7"/>
  <c r="P1887" i="7"/>
  <c r="P1886" i="7"/>
  <c r="P1885" i="7"/>
  <c r="P1884" i="7"/>
  <c r="P1883" i="7"/>
  <c r="P1882" i="7"/>
  <c r="P1881" i="7"/>
  <c r="P1880" i="7"/>
  <c r="P1879" i="7"/>
  <c r="P1878" i="7"/>
  <c r="P1877" i="7"/>
  <c r="P1876" i="7"/>
  <c r="P1875" i="7"/>
  <c r="P1874" i="7"/>
  <c r="P1873" i="7"/>
  <c r="P1872" i="7"/>
  <c r="P1871" i="7"/>
  <c r="P1870" i="7"/>
  <c r="P1869" i="7"/>
  <c r="P1868" i="7"/>
  <c r="P1867" i="7"/>
  <c r="P1866" i="7"/>
  <c r="P1865" i="7"/>
  <c r="P1864" i="7"/>
  <c r="P1863" i="7"/>
  <c r="P1862" i="7"/>
  <c r="P1861" i="7"/>
  <c r="P1860" i="7"/>
  <c r="P1859" i="7"/>
  <c r="P1858" i="7"/>
  <c r="P1857" i="7"/>
  <c r="P1856" i="7"/>
  <c r="P1855" i="7"/>
  <c r="P1854" i="7"/>
  <c r="P1853" i="7"/>
  <c r="P1852" i="7"/>
  <c r="P1851" i="7"/>
  <c r="P1850" i="7"/>
  <c r="P1849" i="7"/>
  <c r="P1848" i="7"/>
  <c r="P1847" i="7"/>
  <c r="P1846" i="7"/>
  <c r="P1845" i="7"/>
  <c r="P1844" i="7"/>
  <c r="P1843" i="7"/>
  <c r="P1842" i="7"/>
  <c r="P1841" i="7"/>
  <c r="P1840" i="7"/>
  <c r="P1839" i="7"/>
  <c r="P1838" i="7"/>
  <c r="P1837" i="7"/>
  <c r="P1836" i="7"/>
  <c r="P1835" i="7"/>
  <c r="P1834" i="7"/>
  <c r="P1833" i="7"/>
  <c r="P1832" i="7"/>
  <c r="P1831" i="7"/>
  <c r="P1830" i="7"/>
  <c r="P1829" i="7"/>
  <c r="P1828" i="7"/>
  <c r="P1827" i="7"/>
  <c r="P1826" i="7"/>
  <c r="P1825" i="7"/>
  <c r="P1824" i="7"/>
  <c r="P1823" i="7"/>
  <c r="P1822" i="7"/>
  <c r="P1821" i="7"/>
  <c r="P1820" i="7"/>
  <c r="P1819" i="7"/>
  <c r="P1818" i="7"/>
  <c r="P1817" i="7"/>
  <c r="P1816" i="7"/>
  <c r="P1815" i="7"/>
  <c r="P1814" i="7"/>
  <c r="P1813" i="7"/>
  <c r="P1812" i="7"/>
  <c r="P1811" i="7"/>
  <c r="P1810" i="7"/>
  <c r="P1809" i="7"/>
  <c r="P1808" i="7"/>
  <c r="P1807" i="7"/>
  <c r="O1807" i="7"/>
  <c r="P1806" i="7"/>
  <c r="P1805" i="7"/>
  <c r="P1804" i="7"/>
  <c r="P1803" i="7"/>
  <c r="P1802" i="7"/>
  <c r="O1802" i="7"/>
  <c r="P1801" i="7"/>
  <c r="O1801" i="7"/>
  <c r="P1800" i="7"/>
  <c r="O1800" i="7"/>
  <c r="P1799" i="7"/>
  <c r="O1799" i="7"/>
  <c r="P1798" i="7"/>
  <c r="O1798" i="7"/>
  <c r="P1797" i="7"/>
  <c r="O1797" i="7"/>
  <c r="P1796" i="7"/>
  <c r="O1796" i="7"/>
  <c r="P1795" i="7"/>
  <c r="O1795" i="7"/>
  <c r="P1794" i="7"/>
  <c r="O1794" i="7"/>
  <c r="P1793" i="7"/>
  <c r="O1793" i="7"/>
  <c r="P1792" i="7"/>
  <c r="O1792" i="7"/>
  <c r="P1791" i="7"/>
  <c r="O1791" i="7"/>
  <c r="P1790" i="7"/>
  <c r="O1790" i="7"/>
  <c r="P1789" i="7"/>
  <c r="O1789" i="7"/>
  <c r="P1788" i="7"/>
  <c r="O1788" i="7"/>
  <c r="P1787" i="7"/>
  <c r="O1787" i="7"/>
  <c r="P1786" i="7"/>
  <c r="O1786" i="7"/>
  <c r="P1785" i="7"/>
  <c r="O1785" i="7"/>
  <c r="P1784" i="7"/>
  <c r="O1784" i="7"/>
  <c r="P1783" i="7"/>
  <c r="O1783" i="7"/>
  <c r="P1782" i="7"/>
  <c r="O1782" i="7"/>
  <c r="P1781" i="7"/>
  <c r="O1781" i="7"/>
  <c r="P1780" i="7"/>
  <c r="O1780" i="7"/>
  <c r="P1779" i="7"/>
  <c r="O1779" i="7"/>
  <c r="P1778" i="7"/>
  <c r="O1778" i="7"/>
  <c r="P1777" i="7"/>
  <c r="O1777" i="7"/>
  <c r="P1776" i="7"/>
  <c r="O1776" i="7"/>
  <c r="P1775" i="7"/>
  <c r="O1775" i="7"/>
  <c r="P1774" i="7"/>
  <c r="O1774" i="7"/>
  <c r="P1773" i="7"/>
  <c r="O1773" i="7"/>
  <c r="P1772" i="7"/>
  <c r="O1772" i="7"/>
  <c r="P1771" i="7"/>
  <c r="O1771" i="7"/>
  <c r="P1770" i="7"/>
  <c r="O1770" i="7"/>
  <c r="P1769" i="7"/>
  <c r="O1769" i="7"/>
  <c r="P1768" i="7"/>
  <c r="O1768" i="7"/>
  <c r="P1767" i="7"/>
  <c r="O1767" i="7"/>
  <c r="P1766" i="7"/>
  <c r="O1766" i="7"/>
  <c r="P1765" i="7"/>
  <c r="O1765" i="7"/>
  <c r="P1762" i="7"/>
  <c r="P1761" i="7"/>
  <c r="P1741" i="7"/>
  <c r="P1736" i="7"/>
  <c r="P1735" i="7"/>
  <c r="P1734" i="7"/>
  <c r="P1733" i="7"/>
  <c r="P1732" i="7"/>
  <c r="P1731" i="7"/>
  <c r="P1729" i="7"/>
  <c r="P1728" i="7"/>
  <c r="P1727" i="7"/>
  <c r="P1726" i="7"/>
  <c r="P1724" i="7"/>
  <c r="P1723" i="7"/>
  <c r="P1722" i="7"/>
  <c r="P1721" i="7"/>
  <c r="P1720" i="7"/>
  <c r="P1718" i="7"/>
  <c r="P1717" i="7"/>
  <c r="P1715" i="7"/>
  <c r="P1713" i="7"/>
  <c r="P1712" i="7"/>
  <c r="P1711" i="7"/>
  <c r="P1710" i="7"/>
  <c r="P1709" i="7"/>
  <c r="P1708" i="7"/>
  <c r="P1705" i="7"/>
  <c r="P1704" i="7"/>
  <c r="P1703" i="7"/>
  <c r="P1702" i="7"/>
  <c r="P1699" i="7"/>
  <c r="P1698" i="7"/>
  <c r="P1697" i="7"/>
  <c r="P1696" i="7"/>
  <c r="P1695" i="7"/>
  <c r="P1693" i="7"/>
  <c r="P1692" i="7"/>
  <c r="P1691" i="7"/>
  <c r="P1688" i="7"/>
  <c r="P1687" i="7"/>
  <c r="P1684" i="7"/>
  <c r="P1683" i="7"/>
  <c r="P1681" i="7"/>
  <c r="P1680" i="7"/>
  <c r="P1679" i="7"/>
  <c r="P1678" i="7"/>
  <c r="P1677" i="7"/>
  <c r="P1676" i="7"/>
  <c r="P1675" i="7"/>
  <c r="P1673" i="7"/>
  <c r="P1671" i="7"/>
  <c r="P1667" i="7"/>
  <c r="P1663" i="7"/>
  <c r="P1662" i="7"/>
  <c r="P1648" i="7"/>
  <c r="P1646" i="7"/>
  <c r="P1644" i="7"/>
  <c r="P1637" i="7"/>
  <c r="P1629" i="7"/>
  <c r="P1627" i="7"/>
  <c r="P1626" i="7"/>
  <c r="P1625" i="7"/>
  <c r="P1624" i="7"/>
  <c r="P1622" i="7"/>
  <c r="P1621" i="7"/>
  <c r="P1620" i="7"/>
  <c r="P1618" i="7"/>
  <c r="P1617" i="7"/>
  <c r="P1616" i="7"/>
  <c r="P1615" i="7"/>
  <c r="P1614" i="7"/>
  <c r="P1613" i="7"/>
  <c r="P1612" i="7"/>
  <c r="P1610" i="7"/>
  <c r="P1609" i="7"/>
  <c r="P1608" i="7"/>
  <c r="P1607" i="7"/>
  <c r="P1606" i="7"/>
  <c r="P1605" i="7"/>
  <c r="P1604" i="7"/>
  <c r="P1603" i="7"/>
  <c r="P1602" i="7"/>
  <c r="P1601" i="7"/>
  <c r="P1600" i="7"/>
  <c r="P1599" i="7"/>
  <c r="P1597" i="7"/>
  <c r="P1596" i="7"/>
  <c r="P1595" i="7"/>
  <c r="P1594" i="7"/>
  <c r="P1593" i="7"/>
  <c r="P1592" i="7"/>
  <c r="P1591" i="7"/>
  <c r="P1590" i="7"/>
  <c r="P1589" i="7"/>
  <c r="P1588" i="7"/>
  <c r="P1587" i="7"/>
  <c r="P1586" i="7"/>
  <c r="P1585" i="7"/>
  <c r="P1584" i="7"/>
  <c r="P1583" i="7"/>
  <c r="P1582" i="7"/>
  <c r="P1581" i="7"/>
  <c r="P1580" i="7"/>
  <c r="P1579" i="7"/>
  <c r="P1578" i="7"/>
  <c r="P1577" i="7"/>
  <c r="P1576" i="7"/>
  <c r="P1575" i="7"/>
  <c r="P1574" i="7"/>
  <c r="P1573" i="7"/>
  <c r="P1572" i="7"/>
  <c r="P1571" i="7"/>
  <c r="P1570" i="7"/>
  <c r="P1568" i="7"/>
  <c r="P1567" i="7"/>
  <c r="P1566" i="7"/>
  <c r="P1565" i="7"/>
  <c r="P1564" i="7"/>
  <c r="P1563" i="7"/>
  <c r="P1562" i="7"/>
  <c r="P1561" i="7"/>
  <c r="P1560" i="7"/>
  <c r="P1559" i="7"/>
  <c r="P1558" i="7"/>
  <c r="P1557" i="7"/>
  <c r="P1556" i="7"/>
  <c r="P1555" i="7"/>
  <c r="P1554" i="7"/>
  <c r="P1553" i="7"/>
  <c r="P1552" i="7"/>
  <c r="P1551" i="7"/>
  <c r="P1550" i="7"/>
  <c r="P1549" i="7"/>
  <c r="P1548" i="7"/>
  <c r="P1547" i="7"/>
  <c r="P1546" i="7"/>
  <c r="P1545" i="7"/>
  <c r="P1544" i="7"/>
  <c r="P1543" i="7"/>
  <c r="P1541" i="7"/>
  <c r="P1540" i="7"/>
  <c r="P1539" i="7"/>
  <c r="P1538" i="7"/>
  <c r="P1537" i="7"/>
  <c r="P1536" i="7"/>
  <c r="P1535" i="7"/>
  <c r="P1534" i="7"/>
  <c r="P1533" i="7"/>
  <c r="P1532" i="7"/>
  <c r="P1531" i="7"/>
  <c r="P1530" i="7"/>
  <c r="P1529" i="7"/>
  <c r="P1528" i="7"/>
  <c r="P1527" i="7"/>
  <c r="P1526" i="7"/>
  <c r="P1525" i="7"/>
  <c r="P1524" i="7"/>
  <c r="P1523" i="7"/>
  <c r="P1522" i="7"/>
  <c r="P1521" i="7"/>
  <c r="P1520" i="7"/>
  <c r="P1519" i="7"/>
  <c r="P1518" i="7"/>
  <c r="P1517" i="7"/>
  <c r="P1516" i="7"/>
  <c r="P1515" i="7"/>
  <c r="P1514" i="7"/>
  <c r="P1513" i="7"/>
  <c r="P1512" i="7"/>
  <c r="P1511" i="7"/>
  <c r="P1510" i="7"/>
  <c r="P1509" i="7"/>
  <c r="P1508" i="7"/>
  <c r="P1507" i="7"/>
  <c r="P1506" i="7"/>
  <c r="P1505" i="7"/>
  <c r="P1504" i="7"/>
  <c r="P1503" i="7"/>
  <c r="P1502" i="7"/>
  <c r="O1502" i="7"/>
  <c r="P1501" i="7"/>
  <c r="O1501" i="7"/>
  <c r="P1500" i="7"/>
  <c r="O1500" i="7"/>
  <c r="P1499" i="7"/>
  <c r="O1499" i="7"/>
  <c r="P1498" i="7"/>
  <c r="O1498" i="7"/>
  <c r="P1497" i="7"/>
  <c r="O1497" i="7"/>
  <c r="P1496" i="7"/>
  <c r="O1496" i="7"/>
  <c r="P1495" i="7"/>
  <c r="O1495" i="7"/>
  <c r="P1494" i="7"/>
  <c r="O1494" i="7"/>
  <c r="P1493" i="7"/>
  <c r="O1493" i="7"/>
  <c r="P1492" i="7"/>
  <c r="O1492" i="7"/>
  <c r="P1491" i="7"/>
  <c r="O1491" i="7"/>
  <c r="P1490" i="7"/>
  <c r="O1490" i="7"/>
  <c r="P1489" i="7"/>
  <c r="O1489" i="7"/>
  <c r="P1488" i="7"/>
  <c r="O1488" i="7"/>
  <c r="P1487" i="7"/>
  <c r="O1487" i="7"/>
  <c r="P1486" i="7"/>
  <c r="O1486" i="7"/>
  <c r="P1485" i="7"/>
  <c r="O1485" i="7"/>
  <c r="P1484" i="7"/>
  <c r="O1484" i="7"/>
  <c r="P1483" i="7"/>
  <c r="O1483" i="7"/>
  <c r="P1482" i="7"/>
  <c r="O1482" i="7"/>
  <c r="P1481" i="7"/>
  <c r="O1481" i="7"/>
  <c r="P1480" i="7"/>
  <c r="O1480" i="7"/>
  <c r="P1479" i="7"/>
  <c r="O1479" i="7"/>
  <c r="P1478" i="7"/>
  <c r="O1478" i="7"/>
  <c r="P1477" i="7"/>
  <c r="O1477" i="7"/>
  <c r="P1476" i="7"/>
  <c r="O1476" i="7"/>
  <c r="P1475" i="7"/>
  <c r="O1475" i="7"/>
  <c r="P1474" i="7"/>
  <c r="O1474" i="7"/>
  <c r="P1473" i="7"/>
  <c r="O1473" i="7"/>
  <c r="P1472" i="7"/>
  <c r="O1472" i="7"/>
  <c r="P1471" i="7"/>
  <c r="O1471" i="7"/>
  <c r="P1470" i="7"/>
  <c r="O1470" i="7"/>
  <c r="P1469" i="7"/>
  <c r="O1469" i="7"/>
  <c r="P1468" i="7"/>
  <c r="O1468" i="7"/>
  <c r="P1467" i="7"/>
  <c r="O1467" i="7"/>
  <c r="P1466" i="7"/>
  <c r="O1466" i="7"/>
  <c r="P1465" i="7"/>
  <c r="O1465" i="7"/>
  <c r="P1464" i="7"/>
  <c r="O1464" i="7"/>
  <c r="P1463" i="7"/>
  <c r="O1463" i="7"/>
  <c r="P1462" i="7"/>
  <c r="O1462" i="7"/>
  <c r="P1461" i="7"/>
  <c r="O1461" i="7"/>
  <c r="P1460" i="7"/>
  <c r="O1460" i="7"/>
  <c r="P1459" i="7"/>
  <c r="O1459" i="7"/>
  <c r="P1458" i="7"/>
  <c r="O1458" i="7"/>
  <c r="P1457" i="7"/>
  <c r="O1457" i="7"/>
  <c r="P1456" i="7"/>
  <c r="O1456" i="7"/>
  <c r="P1455" i="7"/>
  <c r="O1455" i="7"/>
  <c r="P1454" i="7"/>
  <c r="O1454" i="7"/>
  <c r="P1453" i="7"/>
  <c r="O1453" i="7"/>
  <c r="P1452" i="7"/>
  <c r="O1452" i="7"/>
  <c r="P1451" i="7"/>
  <c r="O1451" i="7"/>
  <c r="P1450" i="7"/>
  <c r="O1450" i="7"/>
  <c r="P1449" i="7"/>
  <c r="O1449" i="7"/>
  <c r="P1448" i="7"/>
  <c r="O1448" i="7"/>
  <c r="P1447" i="7"/>
  <c r="O1447" i="7"/>
  <c r="P1446" i="7"/>
  <c r="O1446" i="7"/>
  <c r="P1445" i="7"/>
  <c r="O1445" i="7"/>
  <c r="P1444" i="7"/>
  <c r="O1444" i="7"/>
  <c r="P1443" i="7"/>
  <c r="O1443" i="7"/>
  <c r="P1442" i="7"/>
  <c r="O1442" i="7"/>
  <c r="P1441" i="7"/>
  <c r="O1441" i="7"/>
  <c r="P1440" i="7"/>
  <c r="O1440" i="7"/>
  <c r="P1439" i="7"/>
  <c r="O1439" i="7"/>
  <c r="P1438" i="7"/>
  <c r="O1438" i="7"/>
  <c r="P1437" i="7"/>
  <c r="O1437" i="7"/>
  <c r="P1436" i="7"/>
  <c r="O1436" i="7"/>
  <c r="P1435" i="7"/>
  <c r="O1435" i="7"/>
  <c r="P1434" i="7"/>
  <c r="O1434" i="7"/>
  <c r="P1433" i="7"/>
  <c r="O1433" i="7"/>
  <c r="P1432" i="7"/>
  <c r="O1432" i="7"/>
  <c r="P1431" i="7"/>
  <c r="O1431" i="7"/>
  <c r="P1430" i="7"/>
  <c r="O1430" i="7"/>
  <c r="P1429" i="7"/>
  <c r="O1429" i="7"/>
  <c r="P1428" i="7"/>
  <c r="O1428" i="7"/>
  <c r="P1427" i="7"/>
  <c r="O1427" i="7"/>
  <c r="P1426" i="7"/>
  <c r="O1426" i="7"/>
  <c r="P1425" i="7"/>
  <c r="O1425" i="7"/>
  <c r="P1424" i="7"/>
  <c r="O1424" i="7"/>
  <c r="P1423" i="7"/>
  <c r="O1423" i="7"/>
  <c r="P1422" i="7"/>
  <c r="O1422" i="7"/>
  <c r="P1421" i="7"/>
  <c r="O1421" i="7"/>
  <c r="P1420" i="7"/>
  <c r="O1420" i="7"/>
  <c r="P1419" i="7"/>
  <c r="O1419" i="7"/>
  <c r="P1418" i="7"/>
  <c r="O1418" i="7"/>
  <c r="P1417" i="7"/>
  <c r="O1417" i="7"/>
  <c r="P1416" i="7"/>
  <c r="O1416" i="7"/>
  <c r="P1415" i="7"/>
  <c r="O1415" i="7"/>
  <c r="P1414" i="7"/>
  <c r="O1414" i="7"/>
  <c r="P1413" i="7"/>
  <c r="O1413" i="7"/>
  <c r="P1412" i="7"/>
  <c r="O1412" i="7"/>
  <c r="P1411" i="7"/>
  <c r="O1411" i="7"/>
  <c r="P1410" i="7"/>
  <c r="O1410" i="7"/>
  <c r="P1409" i="7"/>
  <c r="O1409" i="7"/>
  <c r="P1408" i="7"/>
  <c r="O1408" i="7"/>
  <c r="P1407" i="7"/>
  <c r="O1407" i="7"/>
  <c r="P1406" i="7"/>
  <c r="O1406" i="7"/>
  <c r="P1405" i="7"/>
  <c r="O1405" i="7"/>
  <c r="P1404" i="7"/>
  <c r="O1404" i="7"/>
  <c r="P1403" i="7"/>
  <c r="O1403" i="7"/>
  <c r="P1402" i="7"/>
  <c r="O1402" i="7"/>
  <c r="P1401" i="7"/>
  <c r="O1401" i="7"/>
  <c r="P1400" i="7"/>
  <c r="O1400" i="7"/>
  <c r="P1399" i="7"/>
  <c r="O1399" i="7"/>
  <c r="P1398" i="7"/>
  <c r="O1398" i="7"/>
  <c r="P1397" i="7"/>
  <c r="O1397" i="7"/>
  <c r="P1396" i="7"/>
  <c r="O1396" i="7"/>
  <c r="P1395" i="7"/>
  <c r="O1395" i="7"/>
  <c r="P1394" i="7"/>
  <c r="O1394" i="7"/>
  <c r="P1393" i="7"/>
  <c r="O1393" i="7"/>
  <c r="P1392" i="7"/>
  <c r="O1392" i="7"/>
  <c r="P1391" i="7"/>
  <c r="O1391" i="7"/>
  <c r="P1390" i="7"/>
  <c r="O1390" i="7"/>
  <c r="P1389" i="7"/>
  <c r="O1389" i="7"/>
  <c r="P1388" i="7"/>
  <c r="O1388" i="7"/>
  <c r="P1387" i="7"/>
  <c r="O1387" i="7"/>
  <c r="P1386" i="7"/>
  <c r="O1386" i="7"/>
  <c r="P1385" i="7"/>
  <c r="O1385" i="7"/>
  <c r="P1384" i="7"/>
  <c r="O1384" i="7"/>
  <c r="P1383" i="7"/>
  <c r="O1383" i="7"/>
  <c r="P1382" i="7"/>
  <c r="O1382" i="7"/>
  <c r="P1381" i="7"/>
  <c r="O1381" i="7"/>
  <c r="P1380" i="7"/>
  <c r="O1380" i="7"/>
  <c r="P1379" i="7"/>
  <c r="O1379" i="7"/>
  <c r="P1378" i="7"/>
  <c r="O1378" i="7"/>
  <c r="P1377" i="7"/>
  <c r="O1377" i="7"/>
  <c r="P1376" i="7"/>
  <c r="O1376" i="7"/>
  <c r="P1375" i="7"/>
  <c r="O1375" i="7"/>
  <c r="P1374" i="7"/>
  <c r="O1374" i="7"/>
  <c r="P1373" i="7"/>
  <c r="O1373" i="7"/>
  <c r="P1372" i="7"/>
  <c r="O1372" i="7"/>
  <c r="P1371" i="7"/>
  <c r="O1371" i="7"/>
  <c r="P1370" i="7"/>
  <c r="O1370" i="7"/>
  <c r="P1369" i="7"/>
  <c r="O1369" i="7"/>
  <c r="P1368" i="7"/>
  <c r="O1368" i="7"/>
  <c r="P1367" i="7"/>
  <c r="O1367" i="7"/>
  <c r="P1366" i="7"/>
  <c r="O1366" i="7"/>
  <c r="P1365" i="7"/>
  <c r="O1365" i="7"/>
  <c r="P1364" i="7"/>
  <c r="O1364" i="7"/>
  <c r="P1363" i="7"/>
  <c r="O1363" i="7"/>
  <c r="P1362" i="7"/>
  <c r="O1362" i="7"/>
  <c r="P1355" i="7"/>
  <c r="P1354" i="7"/>
  <c r="P1353" i="7"/>
  <c r="P1351" i="7"/>
  <c r="P1349" i="7"/>
  <c r="P1348" i="7"/>
  <c r="P1347" i="7"/>
  <c r="P1346" i="7"/>
  <c r="P1345" i="7"/>
  <c r="P1344" i="7"/>
  <c r="P1342" i="7"/>
  <c r="P1341" i="7"/>
  <c r="P1340" i="7"/>
  <c r="P1339" i="7"/>
  <c r="P1338" i="7"/>
  <c r="P1337" i="7"/>
  <c r="P1333" i="7"/>
  <c r="P1332" i="7"/>
  <c r="P1329" i="7"/>
  <c r="P1327" i="7"/>
  <c r="P1326" i="7"/>
  <c r="P1325" i="7"/>
  <c r="P1320" i="7"/>
  <c r="P1318" i="7"/>
  <c r="P1316" i="7"/>
  <c r="P1315" i="7"/>
  <c r="P1314" i="7"/>
  <c r="P1313" i="7"/>
  <c r="P1312" i="7"/>
  <c r="P1311" i="7"/>
  <c r="P1310" i="7"/>
  <c r="P1309" i="7"/>
  <c r="P1308" i="7"/>
  <c r="P1307" i="7"/>
  <c r="P1306" i="7"/>
  <c r="P1305" i="7"/>
  <c r="P1304" i="7"/>
  <c r="P1303" i="7"/>
  <c r="P1302" i="7"/>
  <c r="P1301" i="7"/>
  <c r="P1300" i="7"/>
  <c r="P1299" i="7"/>
  <c r="P1298" i="7"/>
  <c r="P1297" i="7"/>
  <c r="P1296" i="7"/>
  <c r="P1295" i="7"/>
  <c r="P1294" i="7"/>
  <c r="P1293" i="7"/>
  <c r="P1292" i="7"/>
  <c r="P1291" i="7"/>
  <c r="P1290" i="7"/>
  <c r="P1289" i="7"/>
  <c r="P1288" i="7"/>
  <c r="P1287" i="7"/>
  <c r="P1286" i="7"/>
  <c r="P1285" i="7"/>
  <c r="P1284" i="7"/>
  <c r="P1283" i="7"/>
  <c r="P1282" i="7"/>
  <c r="P1281" i="7"/>
  <c r="P1280" i="7"/>
  <c r="P1279" i="7"/>
  <c r="P1278" i="7"/>
  <c r="P1277" i="7"/>
  <c r="P1276" i="7"/>
  <c r="P1275" i="7"/>
  <c r="P1274" i="7"/>
  <c r="P1273" i="7"/>
  <c r="P1272" i="7"/>
  <c r="P1271" i="7"/>
  <c r="P1270" i="7"/>
  <c r="P1269" i="7"/>
  <c r="P1268" i="7"/>
  <c r="P1267" i="7"/>
  <c r="P1266" i="7"/>
  <c r="P1265" i="7"/>
  <c r="P1264" i="7"/>
  <c r="P1263" i="7"/>
  <c r="P1262" i="7"/>
  <c r="P1261" i="7"/>
  <c r="P1260" i="7"/>
  <c r="P1259" i="7"/>
  <c r="P1258" i="7"/>
  <c r="P1257" i="7"/>
  <c r="P1256" i="7"/>
  <c r="P1255" i="7"/>
  <c r="P1254" i="7"/>
  <c r="P1253" i="7"/>
  <c r="P1252" i="7"/>
  <c r="P1251" i="7"/>
  <c r="P1250" i="7"/>
  <c r="P1249" i="7"/>
  <c r="P1248" i="7"/>
  <c r="P1247" i="7"/>
  <c r="P1246" i="7"/>
  <c r="P1245" i="7"/>
  <c r="P1244" i="7"/>
  <c r="P1243" i="7"/>
  <c r="P1242" i="7"/>
  <c r="P1241" i="7"/>
  <c r="P1240" i="7"/>
  <c r="P1239" i="7"/>
  <c r="P1238" i="7"/>
  <c r="P1237" i="7"/>
  <c r="P1236" i="7"/>
  <c r="P1235" i="7"/>
  <c r="P1234" i="7"/>
  <c r="P1233" i="7"/>
  <c r="P1232" i="7"/>
  <c r="P1231" i="7"/>
  <c r="P1230" i="7"/>
  <c r="P1229" i="7"/>
  <c r="P1228" i="7"/>
  <c r="P1227" i="7"/>
  <c r="P1226" i="7"/>
  <c r="P1225" i="7"/>
  <c r="P1224" i="7"/>
  <c r="P1223" i="7"/>
  <c r="P1222" i="7"/>
  <c r="P1221" i="7"/>
  <c r="P1220" i="7"/>
  <c r="P1219" i="7"/>
  <c r="P1218" i="7"/>
  <c r="P1217" i="7"/>
  <c r="P1216" i="7"/>
  <c r="P1215" i="7"/>
  <c r="P1214" i="7"/>
  <c r="P1213" i="7"/>
  <c r="P1212" i="7"/>
  <c r="P1211" i="7"/>
  <c r="P1210" i="7"/>
  <c r="P1209" i="7"/>
  <c r="P1208" i="7"/>
  <c r="P1207" i="7"/>
  <c r="P1206" i="7"/>
  <c r="P1205" i="7"/>
  <c r="P1204" i="7"/>
  <c r="P1203" i="7"/>
  <c r="P1202" i="7"/>
  <c r="O1202" i="7"/>
  <c r="P1201" i="7"/>
  <c r="O1201" i="7"/>
  <c r="P1200" i="7"/>
  <c r="O1200" i="7"/>
  <c r="P1199" i="7"/>
  <c r="O1199" i="7"/>
  <c r="P1198" i="7"/>
  <c r="O1198" i="7"/>
  <c r="P1197" i="7"/>
  <c r="O1197" i="7"/>
  <c r="P1196" i="7"/>
  <c r="O1196" i="7"/>
  <c r="P1195" i="7"/>
  <c r="O1195" i="7"/>
  <c r="P1194" i="7"/>
  <c r="O1194" i="7"/>
  <c r="P1193" i="7"/>
  <c r="O1193" i="7"/>
  <c r="P1192" i="7"/>
  <c r="O1192" i="7"/>
  <c r="P1191" i="7"/>
  <c r="O1191" i="7"/>
  <c r="P1190" i="7"/>
  <c r="O1190" i="7"/>
  <c r="P1189" i="7"/>
  <c r="O1189" i="7"/>
  <c r="P1188" i="7"/>
  <c r="O1188" i="7"/>
  <c r="P1187" i="7"/>
  <c r="O1187" i="7"/>
  <c r="P1186" i="7"/>
  <c r="O1186" i="7"/>
  <c r="P1185" i="7"/>
  <c r="O1185" i="7"/>
  <c r="P1184" i="7"/>
  <c r="O1184" i="7"/>
  <c r="P1183" i="7"/>
  <c r="O1183" i="7"/>
  <c r="P1182" i="7"/>
  <c r="O1182" i="7"/>
  <c r="P1181" i="7"/>
  <c r="O1181" i="7"/>
  <c r="P1180" i="7"/>
  <c r="O1180" i="7"/>
  <c r="P1179" i="7"/>
  <c r="O1179" i="7"/>
  <c r="P1178" i="7"/>
  <c r="O1178" i="7"/>
  <c r="P1177" i="7"/>
  <c r="O1177" i="7"/>
  <c r="P1176" i="7"/>
  <c r="O1176" i="7"/>
  <c r="P1175" i="7"/>
  <c r="O1175" i="7"/>
  <c r="P1174" i="7"/>
  <c r="O1174" i="7"/>
  <c r="P1173" i="7"/>
  <c r="O1173" i="7"/>
  <c r="P1172" i="7"/>
  <c r="O1172" i="7"/>
  <c r="P1171" i="7"/>
  <c r="O1171" i="7"/>
  <c r="P1170" i="7"/>
  <c r="O1170" i="7"/>
  <c r="P1169" i="7"/>
  <c r="O1169" i="7"/>
  <c r="P1168" i="7"/>
  <c r="O1168" i="7"/>
  <c r="P1167" i="7"/>
  <c r="O1167" i="7"/>
  <c r="P1166" i="7"/>
  <c r="O1166" i="7"/>
  <c r="P1165" i="7"/>
  <c r="O1165" i="7"/>
  <c r="P1164" i="7"/>
  <c r="O1164" i="7"/>
  <c r="P1163" i="7"/>
  <c r="O1163" i="7"/>
  <c r="P1162" i="7"/>
  <c r="O1162" i="7"/>
  <c r="P1161" i="7"/>
  <c r="O1161" i="7"/>
  <c r="P1160" i="7"/>
  <c r="O1160" i="7"/>
  <c r="P1159" i="7"/>
  <c r="O1159" i="7"/>
  <c r="P1158" i="7"/>
  <c r="O1158" i="7"/>
  <c r="P1157" i="7"/>
  <c r="O1157" i="7"/>
  <c r="P1156" i="7"/>
  <c r="O1156" i="7"/>
  <c r="P1155" i="7"/>
  <c r="O1155" i="7"/>
  <c r="P1154" i="7"/>
  <c r="O1154" i="7"/>
  <c r="P1153" i="7"/>
  <c r="O1153" i="7"/>
  <c r="P1152" i="7"/>
  <c r="O1152" i="7"/>
  <c r="P1151" i="7"/>
  <c r="O1151" i="7"/>
  <c r="P1150" i="7"/>
  <c r="O1150" i="7"/>
  <c r="P1149" i="7"/>
  <c r="O1149" i="7"/>
  <c r="P1148" i="7"/>
  <c r="O1148" i="7"/>
  <c r="P1147" i="7"/>
  <c r="O1147" i="7"/>
  <c r="P1146" i="7"/>
  <c r="O1146" i="7"/>
  <c r="P1145" i="7"/>
  <c r="O1145" i="7"/>
  <c r="P1144" i="7"/>
  <c r="O1144" i="7"/>
  <c r="P1143" i="7"/>
  <c r="O1143" i="7"/>
  <c r="P1142" i="7"/>
  <c r="O1142" i="7"/>
  <c r="P1141" i="7"/>
  <c r="O1141" i="7"/>
  <c r="P1140" i="7"/>
  <c r="O1140" i="7"/>
  <c r="P1139" i="7"/>
  <c r="O1139" i="7"/>
  <c r="P1138" i="7"/>
  <c r="O1138" i="7"/>
  <c r="P1137" i="7"/>
  <c r="O1137" i="7"/>
  <c r="P1136" i="7"/>
  <c r="O1136" i="7"/>
  <c r="P1135" i="7"/>
  <c r="O1135" i="7"/>
  <c r="P1134" i="7"/>
  <c r="O1134" i="7"/>
  <c r="P1133" i="7"/>
  <c r="O1133" i="7"/>
  <c r="P1132" i="7"/>
  <c r="O1132" i="7"/>
  <c r="P1131" i="7"/>
  <c r="O1131" i="7"/>
  <c r="P1130" i="7"/>
  <c r="O1130" i="7"/>
  <c r="P1129" i="7"/>
  <c r="O1129" i="7"/>
  <c r="P1128" i="7"/>
  <c r="O1128" i="7"/>
  <c r="P1127" i="7"/>
  <c r="O1127" i="7"/>
  <c r="P1126" i="7"/>
  <c r="O1126" i="7"/>
  <c r="P1125" i="7"/>
  <c r="O1125" i="7"/>
  <c r="P1124" i="7"/>
  <c r="O1124" i="7"/>
  <c r="P1123" i="7"/>
  <c r="O1123" i="7"/>
  <c r="P1122" i="7"/>
  <c r="O1122" i="7"/>
  <c r="P1121" i="7"/>
  <c r="O1121" i="7"/>
  <c r="P1120" i="7"/>
  <c r="O1120" i="7"/>
  <c r="P1119" i="7"/>
  <c r="O1119" i="7"/>
  <c r="P1118" i="7"/>
  <c r="O1118" i="7"/>
  <c r="P1117" i="7"/>
  <c r="O1117" i="7"/>
  <c r="P1116" i="7"/>
  <c r="O1116" i="7"/>
  <c r="P1115" i="7"/>
  <c r="O1115" i="7"/>
  <c r="P1114" i="7"/>
  <c r="O1114" i="7"/>
  <c r="P1113" i="7"/>
  <c r="O1113" i="7"/>
  <c r="P1112" i="7"/>
  <c r="O1112" i="7"/>
  <c r="P1111" i="7"/>
  <c r="O1111" i="7"/>
  <c r="P1110" i="7"/>
  <c r="O1110" i="7"/>
  <c r="P1109" i="7"/>
  <c r="O1109" i="7"/>
  <c r="P1108" i="7"/>
  <c r="O1108" i="7"/>
  <c r="P1107" i="7"/>
  <c r="O1107" i="7"/>
  <c r="P1106" i="7"/>
  <c r="O1106" i="7"/>
  <c r="P1105" i="7"/>
  <c r="O1105" i="7"/>
  <c r="P1104" i="7"/>
  <c r="O1104" i="7"/>
  <c r="P1103" i="7"/>
  <c r="O1103" i="7"/>
  <c r="P1102" i="7"/>
  <c r="O1102" i="7"/>
  <c r="P1101" i="7"/>
  <c r="O1101" i="7"/>
  <c r="P1100" i="7"/>
  <c r="O1100" i="7"/>
  <c r="P1099" i="7"/>
  <c r="O1099" i="7"/>
  <c r="P1098" i="7"/>
  <c r="O1098" i="7"/>
  <c r="P1097" i="7"/>
  <c r="O1097" i="7"/>
  <c r="P1096" i="7"/>
  <c r="O1096" i="7"/>
  <c r="P1095" i="7"/>
  <c r="O1095" i="7"/>
  <c r="P1094" i="7"/>
  <c r="O1094" i="7"/>
  <c r="P1093" i="7"/>
  <c r="O1093" i="7"/>
  <c r="P1092" i="7"/>
  <c r="O1092" i="7"/>
  <c r="P1091" i="7"/>
  <c r="O1091" i="7"/>
  <c r="P1090" i="7"/>
  <c r="O1090" i="7"/>
  <c r="P1089" i="7"/>
  <c r="O1089" i="7"/>
  <c r="P1088" i="7"/>
  <c r="O1088" i="7"/>
  <c r="P1087" i="7"/>
  <c r="O1087" i="7"/>
  <c r="P1086" i="7"/>
  <c r="O1086" i="7"/>
  <c r="P1085" i="7"/>
  <c r="O1085" i="7"/>
  <c r="P1084" i="7"/>
  <c r="O1084" i="7"/>
  <c r="P1083" i="7"/>
  <c r="O1083" i="7"/>
  <c r="P1082" i="7"/>
  <c r="O1082" i="7"/>
  <c r="P1081" i="7"/>
  <c r="O1081" i="7"/>
  <c r="P1080" i="7"/>
  <c r="O1080" i="7"/>
  <c r="P1079" i="7"/>
  <c r="O1079" i="7"/>
  <c r="P1078" i="7"/>
  <c r="O1078" i="7"/>
  <c r="P1077" i="7"/>
  <c r="O1077" i="7"/>
  <c r="P1076" i="7"/>
  <c r="O1076" i="7"/>
  <c r="P1075" i="7"/>
  <c r="O1075" i="7"/>
  <c r="P1074" i="7"/>
  <c r="O1074" i="7"/>
  <c r="P1073" i="7"/>
  <c r="O1073" i="7"/>
  <c r="P1072" i="7"/>
  <c r="O1072" i="7"/>
  <c r="P1071" i="7"/>
  <c r="O1071" i="7"/>
  <c r="P1070" i="7"/>
  <c r="O1070" i="7"/>
  <c r="P1069" i="7"/>
  <c r="O1069" i="7"/>
  <c r="P1068" i="7"/>
  <c r="O1068" i="7"/>
  <c r="P1067" i="7"/>
  <c r="O1067" i="7"/>
  <c r="P1066" i="7"/>
  <c r="O1066" i="7"/>
  <c r="P1065" i="7"/>
  <c r="O1065" i="7"/>
  <c r="P1064" i="7"/>
  <c r="O1064" i="7"/>
  <c r="P1063" i="7"/>
  <c r="O1063" i="7"/>
  <c r="P1062" i="7"/>
  <c r="O1062" i="7"/>
  <c r="P1061" i="7"/>
  <c r="O1061" i="7"/>
  <c r="P1060" i="7"/>
  <c r="O1060" i="7"/>
  <c r="P1059" i="7"/>
  <c r="O1059" i="7"/>
  <c r="P1058" i="7"/>
  <c r="O1058" i="7"/>
  <c r="P1057" i="7"/>
  <c r="O1057" i="7"/>
  <c r="P1056" i="7"/>
  <c r="O1056" i="7"/>
  <c r="P1055" i="7"/>
  <c r="O1055" i="7"/>
  <c r="P1054" i="7"/>
  <c r="O1054" i="7"/>
  <c r="P1053" i="7"/>
  <c r="O1053" i="7"/>
  <c r="P1052" i="7"/>
  <c r="O1052" i="7"/>
  <c r="P1051" i="7"/>
  <c r="O1051" i="7"/>
  <c r="P1050" i="7"/>
  <c r="O1050" i="7"/>
  <c r="P1049" i="7"/>
  <c r="O1049" i="7"/>
  <c r="P1048" i="7"/>
  <c r="O1048" i="7"/>
  <c r="P1047" i="7"/>
  <c r="O1047" i="7"/>
  <c r="P1046" i="7"/>
  <c r="O1046" i="7"/>
  <c r="P1045" i="7"/>
  <c r="O1045" i="7"/>
  <c r="P1044" i="7"/>
  <c r="O1044" i="7"/>
  <c r="P1043" i="7"/>
  <c r="O1043" i="7"/>
  <c r="P1042" i="7"/>
  <c r="O1042" i="7"/>
  <c r="P1041" i="7"/>
  <c r="O1041" i="7"/>
  <c r="P1040" i="7"/>
  <c r="O1040" i="7"/>
  <c r="P1039" i="7"/>
  <c r="O1039" i="7"/>
  <c r="P1038" i="7"/>
  <c r="O1038" i="7"/>
  <c r="P1037" i="7"/>
  <c r="O1037" i="7"/>
  <c r="P1036" i="7"/>
  <c r="O1036" i="7"/>
  <c r="P1035" i="7"/>
  <c r="O1035" i="7"/>
  <c r="P1034" i="7"/>
  <c r="O1034" i="7"/>
  <c r="P1033" i="7"/>
  <c r="O1033" i="7"/>
  <c r="P1032" i="7"/>
  <c r="O1032" i="7"/>
  <c r="P1031" i="7"/>
  <c r="O1031" i="7"/>
  <c r="P1030" i="7"/>
  <c r="O1030" i="7"/>
  <c r="P1029" i="7"/>
  <c r="O1029" i="7"/>
  <c r="P1028" i="7"/>
  <c r="O1028" i="7"/>
  <c r="P1027" i="7"/>
  <c r="O1027" i="7"/>
  <c r="P1026" i="7"/>
  <c r="O1026" i="7"/>
  <c r="P1025" i="7"/>
  <c r="O1025" i="7"/>
  <c r="P1024" i="7"/>
  <c r="O1024" i="7"/>
  <c r="P1023" i="7"/>
  <c r="O1023" i="7"/>
  <c r="P1022" i="7"/>
  <c r="O1022" i="7"/>
  <c r="P1021" i="7"/>
  <c r="O1021" i="7"/>
  <c r="P1020" i="7"/>
  <c r="O1020" i="7"/>
  <c r="P1019" i="7"/>
  <c r="O1019" i="7"/>
  <c r="P1018" i="7"/>
  <c r="O1018" i="7"/>
  <c r="P1017" i="7"/>
  <c r="O1017" i="7"/>
  <c r="P1016" i="7"/>
  <c r="O1016" i="7"/>
  <c r="P1015" i="7"/>
  <c r="O1015" i="7"/>
  <c r="P1014" i="7"/>
  <c r="O1014" i="7"/>
  <c r="P1013" i="7"/>
  <c r="O1013" i="7"/>
  <c r="P1012" i="7"/>
  <c r="O1012" i="7"/>
  <c r="P1011" i="7"/>
  <c r="O1011" i="7"/>
  <c r="P1010" i="7"/>
  <c r="O1010" i="7"/>
  <c r="P1009" i="7"/>
  <c r="O1009" i="7"/>
  <c r="P1008" i="7"/>
  <c r="O1008" i="7"/>
  <c r="P1007" i="7"/>
  <c r="O1007" i="7"/>
  <c r="P991" i="7"/>
  <c r="P990" i="7"/>
  <c r="P989" i="7"/>
  <c r="P988" i="7"/>
  <c r="P986" i="7"/>
  <c r="P985" i="7"/>
  <c r="P984" i="7"/>
  <c r="P983" i="7"/>
  <c r="P982" i="7"/>
  <c r="P981" i="7"/>
  <c r="P979" i="7"/>
  <c r="P978" i="7"/>
  <c r="P976" i="7"/>
  <c r="P973" i="7"/>
  <c r="P972" i="7"/>
  <c r="P970" i="7"/>
  <c r="P969" i="7"/>
  <c r="P968" i="7"/>
  <c r="P967" i="7"/>
  <c r="P966" i="7"/>
  <c r="P965" i="7"/>
  <c r="P964" i="7"/>
  <c r="P963" i="7"/>
  <c r="P962" i="7"/>
  <c r="P961" i="7"/>
  <c r="P960" i="7"/>
  <c r="P959" i="7"/>
  <c r="P958" i="7"/>
  <c r="P957" i="7"/>
  <c r="P956" i="7"/>
  <c r="P955" i="7"/>
  <c r="P954" i="7"/>
  <c r="P953" i="7"/>
  <c r="P952" i="7"/>
  <c r="P951" i="7"/>
  <c r="P950" i="7"/>
  <c r="P949" i="7"/>
  <c r="P948" i="7"/>
  <c r="P947" i="7"/>
  <c r="P946" i="7"/>
  <c r="P945" i="7"/>
  <c r="P944" i="7"/>
  <c r="P943" i="7"/>
  <c r="P942" i="7"/>
  <c r="P941" i="7"/>
  <c r="P940" i="7"/>
  <c r="P939" i="7"/>
  <c r="P938" i="7"/>
  <c r="P937" i="7"/>
  <c r="P936" i="7"/>
  <c r="P935" i="7"/>
  <c r="P934" i="7"/>
  <c r="P933" i="7"/>
  <c r="P932" i="7"/>
  <c r="P931" i="7"/>
  <c r="P930" i="7"/>
  <c r="P929" i="7"/>
  <c r="P928" i="7"/>
  <c r="P927" i="7"/>
  <c r="P926" i="7"/>
  <c r="P925" i="7"/>
  <c r="P924" i="7"/>
  <c r="P923" i="7"/>
  <c r="P922" i="7"/>
  <c r="P921" i="7"/>
  <c r="P920" i="7"/>
  <c r="P919" i="7"/>
  <c r="P918" i="7"/>
  <c r="P917" i="7"/>
  <c r="P916" i="7"/>
  <c r="P915" i="7"/>
  <c r="P914" i="7"/>
  <c r="P913" i="7"/>
  <c r="P912" i="7"/>
  <c r="P911" i="7"/>
  <c r="P910" i="7"/>
  <c r="P909" i="7"/>
  <c r="P908" i="7"/>
  <c r="P907" i="7"/>
  <c r="P906" i="7"/>
  <c r="P905" i="7"/>
  <c r="P904" i="7"/>
  <c r="P903" i="7"/>
  <c r="P902" i="7"/>
  <c r="O902" i="7"/>
  <c r="P901" i="7"/>
  <c r="O901" i="7"/>
  <c r="P900" i="7"/>
  <c r="O900" i="7"/>
  <c r="P899" i="7"/>
  <c r="O899" i="7"/>
  <c r="P898" i="7"/>
  <c r="O898" i="7"/>
  <c r="P897" i="7"/>
  <c r="O897" i="7"/>
  <c r="P896" i="7"/>
  <c r="O896" i="7"/>
  <c r="P895" i="7"/>
  <c r="O895" i="7"/>
  <c r="P894" i="7"/>
  <c r="O894" i="7"/>
  <c r="P893" i="7"/>
  <c r="O893" i="7"/>
  <c r="P892" i="7"/>
  <c r="O892" i="7"/>
  <c r="P891" i="7"/>
  <c r="O891" i="7"/>
  <c r="P890" i="7"/>
  <c r="O890" i="7"/>
  <c r="P889" i="7"/>
  <c r="O889" i="7"/>
  <c r="P888" i="7"/>
  <c r="O888" i="7"/>
  <c r="P887" i="7"/>
  <c r="O887" i="7"/>
  <c r="P886" i="7"/>
  <c r="O886" i="7"/>
  <c r="P885" i="7"/>
  <c r="O885" i="7"/>
  <c r="P884" i="7"/>
  <c r="O884" i="7"/>
  <c r="P883" i="7"/>
  <c r="O883" i="7"/>
  <c r="P882" i="7"/>
  <c r="O882" i="7"/>
  <c r="P881" i="7"/>
  <c r="O881" i="7"/>
  <c r="P880" i="7"/>
  <c r="O880" i="7"/>
  <c r="P879" i="7"/>
  <c r="O879" i="7"/>
  <c r="P878" i="7"/>
  <c r="O878" i="7"/>
  <c r="P877" i="7"/>
  <c r="O877" i="7"/>
  <c r="P876" i="7"/>
  <c r="O876" i="7"/>
  <c r="P875" i="7"/>
  <c r="O875" i="7"/>
  <c r="P874" i="7"/>
  <c r="O874" i="7"/>
  <c r="P873" i="7"/>
  <c r="O873" i="7"/>
  <c r="P872" i="7"/>
  <c r="O872" i="7"/>
  <c r="P871" i="7"/>
  <c r="O871" i="7"/>
  <c r="P870" i="7"/>
  <c r="O870" i="7"/>
  <c r="P869" i="7"/>
  <c r="O869" i="7"/>
  <c r="P868" i="7"/>
  <c r="O868" i="7"/>
  <c r="P867" i="7"/>
  <c r="O867" i="7"/>
  <c r="P866" i="7"/>
  <c r="O866" i="7"/>
  <c r="P865" i="7"/>
  <c r="O865" i="7"/>
  <c r="P864" i="7"/>
  <c r="O864" i="7"/>
  <c r="P863" i="7"/>
  <c r="O863" i="7"/>
  <c r="P862" i="7"/>
  <c r="O862" i="7"/>
  <c r="P861" i="7"/>
  <c r="O861" i="7"/>
  <c r="P860" i="7"/>
  <c r="O860" i="7"/>
  <c r="P859" i="7"/>
  <c r="O859" i="7"/>
  <c r="P858" i="7"/>
  <c r="O858" i="7"/>
  <c r="P857" i="7"/>
  <c r="O857" i="7"/>
  <c r="P856" i="7"/>
  <c r="O856" i="7"/>
  <c r="P855" i="7"/>
  <c r="O855" i="7"/>
  <c r="P854" i="7"/>
  <c r="O854" i="7"/>
  <c r="P853" i="7"/>
  <c r="O853" i="7"/>
  <c r="P852" i="7"/>
  <c r="O852" i="7"/>
  <c r="P851" i="7"/>
  <c r="O851" i="7"/>
  <c r="P850" i="7"/>
  <c r="O850" i="7"/>
  <c r="P849" i="7"/>
  <c r="O849" i="7"/>
  <c r="P848" i="7"/>
  <c r="O848" i="7"/>
  <c r="P847" i="7"/>
  <c r="O847" i="7"/>
  <c r="P846" i="7"/>
  <c r="O846" i="7"/>
  <c r="P845" i="7"/>
  <c r="O845" i="7"/>
  <c r="P844" i="7"/>
  <c r="O844" i="7"/>
  <c r="P843" i="7"/>
  <c r="O843" i="7"/>
  <c r="P842" i="7"/>
  <c r="O842" i="7"/>
  <c r="P841" i="7"/>
  <c r="O841" i="7"/>
  <c r="P840" i="7"/>
  <c r="O840" i="7"/>
  <c r="P839" i="7"/>
  <c r="O839" i="7"/>
  <c r="P838" i="7"/>
  <c r="O838" i="7"/>
  <c r="P837" i="7"/>
  <c r="O837" i="7"/>
  <c r="P836" i="7"/>
  <c r="O836" i="7"/>
  <c r="P835" i="7"/>
  <c r="O835" i="7"/>
  <c r="P834" i="7"/>
  <c r="O834" i="7"/>
  <c r="P833" i="7"/>
  <c r="O833" i="7"/>
  <c r="P832" i="7"/>
  <c r="O832" i="7"/>
  <c r="P831" i="7"/>
  <c r="O831" i="7"/>
  <c r="P830" i="7"/>
  <c r="O830" i="7"/>
  <c r="P829" i="7"/>
  <c r="O829" i="7"/>
  <c r="P828" i="7"/>
  <c r="O828" i="7"/>
  <c r="P827" i="7"/>
  <c r="O827" i="7"/>
  <c r="P826" i="7"/>
  <c r="O826" i="7"/>
  <c r="P825" i="7"/>
  <c r="O825" i="7"/>
  <c r="P824" i="7"/>
  <c r="O824" i="7"/>
  <c r="P823" i="7"/>
  <c r="O823" i="7"/>
  <c r="P822" i="7"/>
  <c r="O822" i="7"/>
  <c r="P821" i="7"/>
  <c r="O821" i="7"/>
  <c r="P820" i="7"/>
  <c r="O820" i="7"/>
  <c r="P819" i="7"/>
  <c r="O819" i="7"/>
  <c r="P818" i="7"/>
  <c r="O818" i="7"/>
  <c r="P817" i="7"/>
  <c r="O817" i="7"/>
  <c r="P816" i="7"/>
  <c r="O816" i="7"/>
  <c r="P815" i="7"/>
  <c r="O815" i="7"/>
  <c r="P814" i="7"/>
  <c r="O814" i="7"/>
  <c r="P813" i="7"/>
  <c r="O813" i="7"/>
  <c r="P812" i="7"/>
  <c r="O812" i="7"/>
  <c r="P811" i="7"/>
  <c r="O811" i="7"/>
  <c r="P810" i="7"/>
  <c r="O810" i="7"/>
  <c r="P809" i="7"/>
  <c r="O809" i="7"/>
  <c r="P808" i="7"/>
  <c r="O808" i="7"/>
  <c r="P807" i="7"/>
  <c r="O807" i="7"/>
  <c r="P806" i="7"/>
  <c r="O806" i="7"/>
  <c r="P805" i="7"/>
  <c r="O805" i="7"/>
  <c r="P804" i="7"/>
  <c r="O804" i="7"/>
  <c r="P803" i="7"/>
  <c r="O803" i="7"/>
  <c r="P802" i="7"/>
  <c r="O802" i="7"/>
  <c r="P801" i="7"/>
  <c r="O801" i="7"/>
  <c r="P800" i="7"/>
  <c r="O800" i="7"/>
  <c r="P799" i="7"/>
  <c r="O799" i="7"/>
  <c r="P798" i="7"/>
  <c r="O798" i="7"/>
  <c r="P797" i="7"/>
  <c r="O797" i="7"/>
  <c r="P796" i="7"/>
  <c r="O796" i="7"/>
  <c r="P795" i="7"/>
  <c r="O795" i="7"/>
  <c r="P794" i="7"/>
  <c r="O794" i="7"/>
  <c r="P793" i="7"/>
  <c r="O793" i="7"/>
  <c r="P792" i="7"/>
  <c r="O792" i="7"/>
  <c r="P791" i="7"/>
  <c r="O791" i="7"/>
  <c r="P790" i="7"/>
  <c r="O790" i="7"/>
  <c r="P789" i="7"/>
  <c r="O789" i="7"/>
  <c r="P788" i="7"/>
  <c r="O788" i="7"/>
  <c r="P787" i="7"/>
  <c r="O787" i="7"/>
  <c r="P786" i="7"/>
  <c r="O786" i="7"/>
  <c r="P785" i="7"/>
  <c r="O785" i="7"/>
  <c r="P784" i="7"/>
  <c r="O784" i="7"/>
  <c r="P783" i="7"/>
  <c r="O783" i="7"/>
  <c r="P782" i="7"/>
  <c r="O782" i="7"/>
  <c r="P781" i="7"/>
  <c r="O781" i="7"/>
  <c r="P780" i="7"/>
  <c r="O780" i="7"/>
  <c r="P779" i="7"/>
  <c r="O779" i="7"/>
  <c r="P778" i="7"/>
  <c r="O778" i="7"/>
  <c r="P777" i="7"/>
  <c r="O777" i="7"/>
  <c r="P776" i="7"/>
  <c r="O776" i="7"/>
  <c r="P775" i="7"/>
  <c r="O775" i="7"/>
  <c r="P774" i="7"/>
  <c r="O774" i="7"/>
  <c r="P773" i="7"/>
  <c r="O773" i="7"/>
  <c r="P772" i="7"/>
  <c r="O772" i="7"/>
  <c r="P771" i="7"/>
  <c r="O771" i="7"/>
  <c r="P770" i="7"/>
  <c r="O770" i="7"/>
  <c r="P769" i="7"/>
  <c r="O769" i="7"/>
  <c r="P768" i="7"/>
  <c r="O768" i="7"/>
  <c r="P767" i="7"/>
  <c r="O767" i="7"/>
  <c r="P766" i="7"/>
  <c r="O766" i="7"/>
  <c r="P765" i="7"/>
  <c r="O765" i="7"/>
  <c r="P764" i="7"/>
  <c r="O764" i="7"/>
  <c r="P763" i="7"/>
  <c r="O763" i="7"/>
  <c r="P762" i="7"/>
  <c r="O762" i="7"/>
  <c r="P761" i="7"/>
  <c r="O761" i="7"/>
  <c r="P760" i="7"/>
  <c r="O760" i="7"/>
  <c r="P759" i="7"/>
  <c r="O759" i="7"/>
  <c r="P758" i="7"/>
  <c r="O758" i="7"/>
  <c r="P757" i="7"/>
  <c r="O757" i="7"/>
  <c r="P756" i="7"/>
  <c r="O756" i="7"/>
  <c r="P755" i="7"/>
  <c r="O755" i="7"/>
  <c r="P754" i="7"/>
  <c r="O754" i="7"/>
  <c r="P753" i="7"/>
  <c r="O753" i="7"/>
  <c r="P752" i="7"/>
  <c r="O752" i="7"/>
  <c r="P751" i="7"/>
  <c r="O751" i="7"/>
  <c r="P750" i="7"/>
  <c r="O750" i="7"/>
  <c r="P749" i="7"/>
  <c r="O749" i="7"/>
  <c r="P748" i="7"/>
  <c r="O748" i="7"/>
  <c r="P747" i="7"/>
  <c r="O747" i="7"/>
  <c r="P746" i="7"/>
  <c r="O746" i="7"/>
  <c r="P745" i="7"/>
  <c r="O745" i="7"/>
  <c r="P744" i="7"/>
  <c r="O744" i="7"/>
  <c r="P743" i="7"/>
  <c r="O743" i="7"/>
  <c r="P742" i="7"/>
  <c r="O742" i="7"/>
  <c r="P741" i="7"/>
  <c r="O741" i="7"/>
  <c r="P740" i="7"/>
  <c r="O740" i="7"/>
  <c r="P739" i="7"/>
  <c r="O739" i="7"/>
  <c r="P738" i="7"/>
  <c r="O738" i="7"/>
  <c r="P737" i="7"/>
  <c r="O737" i="7"/>
  <c r="P736" i="7"/>
  <c r="O736" i="7"/>
  <c r="P735" i="7"/>
  <c r="O735" i="7"/>
  <c r="P734" i="7"/>
  <c r="O734" i="7"/>
  <c r="P733" i="7"/>
  <c r="O733" i="7"/>
  <c r="P732" i="7"/>
  <c r="O732" i="7"/>
  <c r="P731" i="7"/>
  <c r="O731" i="7"/>
  <c r="P730" i="7"/>
  <c r="O730" i="7"/>
  <c r="P729" i="7"/>
  <c r="O729" i="7"/>
  <c r="P728" i="7"/>
  <c r="O728" i="7"/>
  <c r="P727" i="7"/>
  <c r="O727" i="7"/>
  <c r="P726" i="7"/>
  <c r="O726" i="7"/>
  <c r="P725" i="7"/>
  <c r="O725" i="7"/>
  <c r="P724" i="7"/>
  <c r="O724" i="7"/>
  <c r="P723" i="7"/>
  <c r="O723" i="7"/>
  <c r="P722" i="7"/>
  <c r="O722" i="7"/>
  <c r="P721" i="7"/>
  <c r="O721" i="7"/>
  <c r="P720" i="7"/>
  <c r="O720" i="7"/>
  <c r="P719" i="7"/>
  <c r="O719" i="7"/>
  <c r="P718" i="7"/>
  <c r="O718" i="7"/>
  <c r="P717" i="7"/>
  <c r="O717" i="7"/>
  <c r="P716" i="7"/>
  <c r="O716" i="7"/>
  <c r="P715" i="7"/>
  <c r="O715" i="7"/>
  <c r="P714" i="7"/>
  <c r="O714" i="7"/>
  <c r="P713" i="7"/>
  <c r="O713" i="7"/>
  <c r="P712" i="7"/>
  <c r="O712" i="7"/>
  <c r="P711" i="7"/>
  <c r="O711" i="7"/>
  <c r="P710" i="7"/>
  <c r="O710" i="7"/>
  <c r="P709" i="7"/>
  <c r="O709" i="7"/>
  <c r="P708" i="7"/>
  <c r="O708" i="7"/>
  <c r="P707" i="7"/>
  <c r="O707" i="7"/>
  <c r="P706" i="7"/>
  <c r="O706" i="7"/>
  <c r="P705" i="7"/>
  <c r="O705" i="7"/>
  <c r="P704" i="7"/>
  <c r="O704" i="7"/>
  <c r="P703" i="7"/>
  <c r="O703" i="7"/>
  <c r="P702" i="7"/>
  <c r="O702" i="7"/>
  <c r="P701" i="7"/>
  <c r="O701" i="7"/>
  <c r="P700" i="7"/>
  <c r="O700" i="7"/>
  <c r="P699" i="7"/>
  <c r="O699" i="7"/>
  <c r="P698" i="7"/>
  <c r="O698" i="7"/>
  <c r="P697" i="7"/>
  <c r="O697" i="7"/>
  <c r="P696" i="7"/>
  <c r="O696" i="7"/>
  <c r="P695" i="7"/>
  <c r="O695" i="7"/>
  <c r="P694" i="7"/>
  <c r="O694" i="7"/>
  <c r="P693" i="7"/>
  <c r="O693" i="7"/>
  <c r="P692" i="7"/>
  <c r="O692" i="7"/>
  <c r="P691" i="7"/>
  <c r="O691" i="7"/>
  <c r="P690" i="7"/>
  <c r="O690" i="7"/>
  <c r="P689" i="7"/>
  <c r="O689" i="7"/>
  <c r="P688" i="7"/>
  <c r="O688" i="7"/>
  <c r="P687" i="7"/>
  <c r="O687" i="7"/>
  <c r="P686" i="7"/>
  <c r="O686" i="7"/>
  <c r="P685" i="7"/>
  <c r="O685" i="7"/>
  <c r="P684" i="7"/>
  <c r="O684" i="7"/>
  <c r="P683" i="7"/>
  <c r="O683" i="7"/>
  <c r="P682" i="7"/>
  <c r="O682" i="7"/>
  <c r="P681" i="7"/>
  <c r="O681" i="7"/>
  <c r="P680" i="7"/>
  <c r="O680" i="7"/>
  <c r="P679" i="7"/>
  <c r="O679" i="7"/>
  <c r="P678" i="7"/>
  <c r="O678" i="7"/>
  <c r="P677" i="7"/>
  <c r="O677" i="7"/>
  <c r="P676" i="7"/>
  <c r="O676" i="7"/>
  <c r="P675" i="7"/>
  <c r="O675" i="7"/>
  <c r="P674" i="7"/>
  <c r="O674" i="7"/>
  <c r="P673" i="7"/>
  <c r="O673" i="7"/>
  <c r="P672" i="7"/>
  <c r="O672" i="7"/>
  <c r="P671" i="7"/>
  <c r="O671" i="7"/>
  <c r="P663" i="7"/>
  <c r="P662" i="7"/>
  <c r="P658" i="7"/>
  <c r="P657" i="7"/>
  <c r="P656" i="7"/>
  <c r="P655" i="7"/>
  <c r="P652" i="7"/>
  <c r="P650" i="7"/>
  <c r="P649" i="7"/>
  <c r="P647" i="7"/>
  <c r="P646" i="7"/>
  <c r="P645" i="7"/>
  <c r="P644" i="7"/>
  <c r="P643" i="7"/>
  <c r="P642" i="7"/>
  <c r="P641" i="7"/>
  <c r="P640" i="7"/>
  <c r="P639" i="7"/>
  <c r="P638" i="7"/>
  <c r="P637" i="7"/>
  <c r="P636" i="7"/>
  <c r="P635" i="7"/>
  <c r="P634" i="7"/>
  <c r="P633" i="7"/>
  <c r="P632" i="7"/>
  <c r="P631" i="7"/>
  <c r="P630" i="7"/>
  <c r="P629" i="7"/>
  <c r="P628" i="7"/>
  <c r="P627" i="7"/>
  <c r="P626" i="7"/>
  <c r="P625" i="7"/>
  <c r="P624" i="7"/>
  <c r="P623" i="7"/>
  <c r="P622" i="7"/>
  <c r="P621" i="7"/>
  <c r="P620" i="7"/>
  <c r="P619" i="7"/>
  <c r="P618" i="7"/>
  <c r="P617" i="7"/>
  <c r="P616" i="7"/>
  <c r="P615" i="7"/>
  <c r="P614" i="7"/>
  <c r="P613" i="7"/>
  <c r="P612" i="7"/>
  <c r="P611" i="7"/>
  <c r="P610" i="7"/>
  <c r="P609" i="7"/>
  <c r="P608" i="7"/>
  <c r="P607" i="7"/>
  <c r="P606" i="7"/>
  <c r="P605" i="7"/>
  <c r="P604" i="7"/>
  <c r="P603" i="7"/>
  <c r="P602" i="7"/>
  <c r="O602" i="7"/>
  <c r="P601" i="7"/>
  <c r="O601" i="7"/>
  <c r="P600" i="7"/>
  <c r="O600" i="7"/>
  <c r="P599" i="7"/>
  <c r="O599" i="7"/>
  <c r="P598" i="7"/>
  <c r="O598" i="7"/>
  <c r="P597" i="7"/>
  <c r="O597" i="7"/>
  <c r="P596" i="7"/>
  <c r="O596" i="7"/>
  <c r="P595" i="7"/>
  <c r="O595" i="7"/>
  <c r="P594" i="7"/>
  <c r="O594" i="7"/>
  <c r="P593" i="7"/>
  <c r="O593" i="7"/>
  <c r="P592" i="7"/>
  <c r="O592" i="7"/>
  <c r="P591" i="7"/>
  <c r="O591" i="7"/>
  <c r="P590" i="7"/>
  <c r="O590" i="7"/>
  <c r="P589" i="7"/>
  <c r="O589" i="7"/>
  <c r="P588" i="7"/>
  <c r="O588" i="7"/>
  <c r="P587" i="7"/>
  <c r="O587" i="7"/>
  <c r="P586" i="7"/>
  <c r="O586" i="7"/>
  <c r="P585" i="7"/>
  <c r="O585" i="7"/>
  <c r="P584" i="7"/>
  <c r="O584" i="7"/>
  <c r="P583" i="7"/>
  <c r="O583" i="7"/>
  <c r="P582" i="7"/>
  <c r="O582" i="7"/>
  <c r="P581" i="7"/>
  <c r="O581" i="7"/>
  <c r="P580" i="7"/>
  <c r="O580" i="7"/>
  <c r="P579" i="7"/>
  <c r="O579" i="7"/>
  <c r="P578" i="7"/>
  <c r="O578" i="7"/>
  <c r="P577" i="7"/>
  <c r="O577" i="7"/>
  <c r="P576" i="7"/>
  <c r="O576" i="7"/>
  <c r="P575" i="7"/>
  <c r="O575" i="7"/>
  <c r="P574" i="7"/>
  <c r="O574" i="7"/>
  <c r="P573" i="7"/>
  <c r="O573" i="7"/>
  <c r="P572" i="7"/>
  <c r="O572" i="7"/>
  <c r="P571" i="7"/>
  <c r="O571" i="7"/>
  <c r="P570" i="7"/>
  <c r="O570" i="7"/>
  <c r="P569" i="7"/>
  <c r="O569" i="7"/>
  <c r="P568" i="7"/>
  <c r="O568" i="7"/>
  <c r="P567" i="7"/>
  <c r="O567" i="7"/>
  <c r="P566" i="7"/>
  <c r="O566" i="7"/>
  <c r="P565" i="7"/>
  <c r="O565" i="7"/>
  <c r="P564" i="7"/>
  <c r="O564" i="7"/>
  <c r="P563" i="7"/>
  <c r="O563" i="7"/>
  <c r="P562" i="7"/>
  <c r="O562" i="7"/>
  <c r="P561" i="7"/>
  <c r="O561" i="7"/>
  <c r="P560" i="7"/>
  <c r="O560" i="7"/>
  <c r="P559" i="7"/>
  <c r="O559" i="7"/>
  <c r="P558" i="7"/>
  <c r="O558" i="7"/>
  <c r="P557" i="7"/>
  <c r="O557" i="7"/>
  <c r="P556" i="7"/>
  <c r="O556" i="7"/>
  <c r="P555" i="7"/>
  <c r="O555" i="7"/>
  <c r="P554" i="7"/>
  <c r="O554" i="7"/>
  <c r="P553" i="7"/>
  <c r="O553" i="7"/>
  <c r="P552" i="7"/>
  <c r="O552" i="7"/>
  <c r="P551" i="7"/>
  <c r="O551" i="7"/>
  <c r="P550" i="7"/>
  <c r="O550" i="7"/>
  <c r="P549" i="7"/>
  <c r="O549" i="7"/>
  <c r="P548" i="7"/>
  <c r="O548" i="7"/>
  <c r="P547" i="7"/>
  <c r="O547" i="7"/>
  <c r="P546" i="7"/>
  <c r="O546" i="7"/>
  <c r="P545" i="7"/>
  <c r="O545" i="7"/>
  <c r="P544" i="7"/>
  <c r="O544" i="7"/>
  <c r="P543" i="7"/>
  <c r="O543" i="7"/>
  <c r="P542" i="7"/>
  <c r="O542" i="7"/>
  <c r="P541" i="7"/>
  <c r="O541" i="7"/>
  <c r="P540" i="7"/>
  <c r="O540" i="7"/>
  <c r="P539" i="7"/>
  <c r="O539" i="7"/>
  <c r="P538" i="7"/>
  <c r="O538" i="7"/>
  <c r="P537" i="7"/>
  <c r="O537" i="7"/>
  <c r="P536" i="7"/>
  <c r="O536" i="7"/>
  <c r="P535" i="7"/>
  <c r="O535" i="7"/>
  <c r="P534" i="7"/>
  <c r="O534" i="7"/>
  <c r="P533" i="7"/>
  <c r="O533" i="7"/>
  <c r="P532" i="7"/>
  <c r="O532" i="7"/>
  <c r="P531" i="7"/>
  <c r="O531" i="7"/>
  <c r="P530" i="7"/>
  <c r="O530" i="7"/>
  <c r="P529" i="7"/>
  <c r="O529" i="7"/>
  <c r="P528" i="7"/>
  <c r="O528" i="7"/>
  <c r="P527" i="7"/>
  <c r="O527" i="7"/>
  <c r="P526" i="7"/>
  <c r="O526" i="7"/>
  <c r="P525" i="7"/>
  <c r="O525" i="7"/>
  <c r="P524" i="7"/>
  <c r="O524" i="7"/>
  <c r="P523" i="7"/>
  <c r="O523" i="7"/>
  <c r="P522" i="7"/>
  <c r="O522" i="7"/>
  <c r="P521" i="7"/>
  <c r="O521" i="7"/>
  <c r="P520" i="7"/>
  <c r="O520" i="7"/>
  <c r="P519" i="7"/>
  <c r="O519" i="7"/>
  <c r="P518" i="7"/>
  <c r="O518" i="7"/>
  <c r="P517" i="7"/>
  <c r="O517" i="7"/>
  <c r="P516" i="7"/>
  <c r="O516" i="7"/>
  <c r="P515" i="7"/>
  <c r="O515" i="7"/>
  <c r="P514" i="7"/>
  <c r="O514" i="7"/>
  <c r="P513" i="7"/>
  <c r="O513" i="7"/>
  <c r="P512" i="7"/>
  <c r="O512" i="7"/>
  <c r="P511" i="7"/>
  <c r="O511" i="7"/>
  <c r="P510" i="7"/>
  <c r="O510" i="7"/>
  <c r="P509" i="7"/>
  <c r="O509" i="7"/>
  <c r="P508" i="7"/>
  <c r="O508" i="7"/>
  <c r="P507" i="7"/>
  <c r="O507" i="7"/>
  <c r="P506" i="7"/>
  <c r="O506" i="7"/>
  <c r="P505" i="7"/>
  <c r="O505" i="7"/>
  <c r="P504" i="7"/>
  <c r="O504" i="7"/>
  <c r="P503" i="7"/>
  <c r="O503" i="7"/>
  <c r="P502" i="7"/>
  <c r="O502" i="7"/>
  <c r="P501" i="7"/>
  <c r="O501" i="7"/>
  <c r="P500" i="7"/>
  <c r="O500" i="7"/>
  <c r="P499" i="7"/>
  <c r="O499" i="7"/>
  <c r="P498" i="7"/>
  <c r="O498" i="7"/>
  <c r="P497" i="7"/>
  <c r="O497" i="7"/>
  <c r="P496" i="7"/>
  <c r="O496" i="7"/>
  <c r="P495" i="7"/>
  <c r="O495" i="7"/>
  <c r="P494" i="7"/>
  <c r="O494" i="7"/>
  <c r="P493" i="7"/>
  <c r="O493" i="7"/>
  <c r="P492" i="7"/>
  <c r="O492" i="7"/>
  <c r="P491" i="7"/>
  <c r="O491" i="7"/>
  <c r="P490" i="7"/>
  <c r="O490" i="7"/>
  <c r="P489" i="7"/>
  <c r="O489" i="7"/>
  <c r="P488" i="7"/>
  <c r="O488" i="7"/>
  <c r="P487" i="7"/>
  <c r="O487" i="7"/>
  <c r="P486" i="7"/>
  <c r="O486" i="7"/>
  <c r="P485" i="7"/>
  <c r="O485" i="7"/>
  <c r="P484" i="7"/>
  <c r="O484" i="7"/>
  <c r="P483" i="7"/>
  <c r="O483" i="7"/>
  <c r="P482" i="7"/>
  <c r="O482" i="7"/>
  <c r="P481" i="7"/>
  <c r="O481" i="7"/>
  <c r="P480" i="7"/>
  <c r="O480" i="7"/>
  <c r="P479" i="7"/>
  <c r="O479" i="7"/>
  <c r="P478" i="7"/>
  <c r="O478" i="7"/>
  <c r="P477" i="7"/>
  <c r="O477" i="7"/>
  <c r="P476" i="7"/>
  <c r="O476" i="7"/>
  <c r="P475" i="7"/>
  <c r="O475" i="7"/>
  <c r="P474" i="7"/>
  <c r="O474" i="7"/>
  <c r="P473" i="7"/>
  <c r="O473" i="7"/>
  <c r="P472" i="7"/>
  <c r="O472" i="7"/>
  <c r="P471" i="7"/>
  <c r="O471" i="7"/>
  <c r="P470" i="7"/>
  <c r="O470" i="7"/>
  <c r="P469" i="7"/>
  <c r="O469" i="7"/>
  <c r="P468" i="7"/>
  <c r="O468" i="7"/>
  <c r="P467" i="7"/>
  <c r="O467" i="7"/>
  <c r="P466" i="7"/>
  <c r="O466" i="7"/>
  <c r="P465" i="7"/>
  <c r="O465" i="7"/>
  <c r="P464" i="7"/>
  <c r="O464" i="7"/>
  <c r="P463" i="7"/>
  <c r="O463" i="7"/>
  <c r="P462" i="7"/>
  <c r="O462" i="7"/>
  <c r="P461" i="7"/>
  <c r="O461" i="7"/>
  <c r="P460" i="7"/>
  <c r="O460" i="7"/>
  <c r="P459" i="7"/>
  <c r="O459" i="7"/>
  <c r="P458" i="7"/>
  <c r="O458" i="7"/>
  <c r="P457" i="7"/>
  <c r="O457" i="7"/>
  <c r="P456" i="7"/>
  <c r="O456" i="7"/>
  <c r="P455" i="7"/>
  <c r="O455" i="7"/>
  <c r="P454" i="7"/>
  <c r="O454" i="7"/>
  <c r="P453" i="7"/>
  <c r="O453" i="7"/>
  <c r="P452" i="7"/>
  <c r="O452" i="7"/>
  <c r="P451" i="7"/>
  <c r="O451" i="7"/>
  <c r="P450" i="7"/>
  <c r="O450" i="7"/>
  <c r="P449" i="7"/>
  <c r="O449" i="7"/>
  <c r="P448" i="7"/>
  <c r="O448" i="7"/>
  <c r="P447" i="7"/>
  <c r="O447" i="7"/>
  <c r="P446" i="7"/>
  <c r="O446" i="7"/>
  <c r="P445" i="7"/>
  <c r="O445" i="7"/>
  <c r="P444" i="7"/>
  <c r="O444" i="7"/>
  <c r="P443" i="7"/>
  <c r="O443" i="7"/>
  <c r="P442" i="7"/>
  <c r="O442" i="7"/>
  <c r="P441" i="7"/>
  <c r="O441" i="7"/>
  <c r="P440" i="7"/>
  <c r="O440" i="7"/>
  <c r="P439" i="7"/>
  <c r="O439" i="7"/>
  <c r="P438" i="7"/>
  <c r="O438" i="7"/>
  <c r="P437" i="7"/>
  <c r="O437" i="7"/>
  <c r="P436" i="7"/>
  <c r="O436" i="7"/>
  <c r="P435" i="7"/>
  <c r="O435" i="7"/>
  <c r="P434" i="7"/>
  <c r="O434" i="7"/>
  <c r="P433" i="7"/>
  <c r="O433" i="7"/>
  <c r="P432" i="7"/>
  <c r="O432" i="7"/>
  <c r="P431" i="7"/>
  <c r="O431" i="7"/>
  <c r="P430" i="7"/>
  <c r="O430" i="7"/>
  <c r="P429" i="7"/>
  <c r="O429" i="7"/>
  <c r="P428" i="7"/>
  <c r="O428" i="7"/>
  <c r="P427" i="7"/>
  <c r="O427" i="7"/>
  <c r="P426" i="7"/>
  <c r="O426" i="7"/>
  <c r="P425" i="7"/>
  <c r="O425" i="7"/>
  <c r="P424" i="7"/>
  <c r="O424" i="7"/>
  <c r="P423" i="7"/>
  <c r="O423" i="7"/>
  <c r="P422" i="7"/>
  <c r="O422" i="7"/>
  <c r="P421" i="7"/>
  <c r="O421" i="7"/>
  <c r="P420" i="7"/>
  <c r="O420" i="7"/>
  <c r="P419" i="7"/>
  <c r="O419" i="7"/>
  <c r="P418" i="7"/>
  <c r="O418" i="7"/>
  <c r="P417" i="7"/>
  <c r="O417" i="7"/>
  <c r="P416" i="7"/>
  <c r="O416" i="7"/>
  <c r="P415" i="7"/>
  <c r="O415" i="7"/>
  <c r="P414" i="7"/>
  <c r="O414" i="7"/>
  <c r="P413" i="7"/>
  <c r="O413" i="7"/>
  <c r="P412" i="7"/>
  <c r="O412" i="7"/>
  <c r="P411" i="7"/>
  <c r="O411" i="7"/>
  <c r="P410" i="7"/>
  <c r="O410" i="7"/>
  <c r="P409" i="7"/>
  <c r="O409" i="7"/>
  <c r="P408" i="7"/>
  <c r="O408" i="7"/>
  <c r="P407" i="7"/>
  <c r="O407" i="7"/>
  <c r="P406" i="7"/>
  <c r="O406" i="7"/>
  <c r="P405" i="7"/>
  <c r="O405" i="7"/>
  <c r="P404" i="7"/>
  <c r="O404" i="7"/>
  <c r="P403" i="7"/>
  <c r="O403" i="7"/>
  <c r="P402" i="7"/>
  <c r="O402" i="7"/>
  <c r="P398" i="7"/>
  <c r="P397" i="7"/>
  <c r="P396" i="7"/>
  <c r="P395" i="7"/>
  <c r="P394" i="7"/>
  <c r="P392" i="7"/>
  <c r="P391" i="7"/>
  <c r="P390" i="7"/>
  <c r="P377" i="7"/>
  <c r="P374" i="7"/>
  <c r="P368" i="7"/>
  <c r="P367" i="7"/>
  <c r="P366" i="7"/>
  <c r="P364" i="7"/>
  <c r="P361" i="7"/>
  <c r="P360" i="7"/>
  <c r="P359" i="7"/>
  <c r="P358" i="7"/>
  <c r="P357" i="7"/>
  <c r="P354" i="7"/>
  <c r="P353" i="7"/>
  <c r="P352" i="7"/>
  <c r="P349" i="7"/>
  <c r="P348" i="7"/>
  <c r="P347" i="7"/>
  <c r="P346" i="7"/>
  <c r="P345" i="7"/>
  <c r="P344" i="7"/>
  <c r="P343" i="7"/>
  <c r="P342" i="7"/>
  <c r="P341" i="7"/>
  <c r="P340" i="7"/>
  <c r="P339" i="7"/>
  <c r="P338" i="7"/>
  <c r="P337" i="7"/>
  <c r="P336" i="7"/>
  <c r="P335" i="7"/>
  <c r="P334" i="7"/>
  <c r="P333" i="7"/>
  <c r="P332" i="7"/>
  <c r="P331" i="7"/>
  <c r="P330" i="7"/>
  <c r="P329" i="7"/>
  <c r="P328" i="7"/>
  <c r="P327" i="7"/>
  <c r="P326" i="7"/>
  <c r="P325" i="7"/>
  <c r="P324" i="7"/>
  <c r="P323" i="7"/>
  <c r="P322" i="7"/>
  <c r="P321" i="7"/>
  <c r="P320" i="7"/>
  <c r="P319" i="7"/>
  <c r="P318" i="7"/>
  <c r="P317" i="7"/>
  <c r="P316" i="7"/>
  <c r="P315" i="7"/>
  <c r="P314" i="7"/>
  <c r="P313" i="7"/>
  <c r="P312" i="7"/>
  <c r="P311" i="7"/>
  <c r="P310" i="7"/>
  <c r="P309" i="7"/>
  <c r="P308" i="7"/>
  <c r="P307" i="7"/>
  <c r="P306" i="7"/>
  <c r="P305" i="7"/>
  <c r="P304" i="7"/>
  <c r="P303" i="7"/>
  <c r="O302" i="7"/>
  <c r="P301" i="7"/>
  <c r="O301" i="7"/>
  <c r="P300" i="7"/>
  <c r="O300" i="7"/>
  <c r="P299" i="7"/>
  <c r="O299" i="7"/>
  <c r="P298" i="7"/>
  <c r="O298" i="7"/>
  <c r="P297" i="7"/>
  <c r="O297" i="7"/>
  <c r="P296" i="7"/>
  <c r="O296" i="7"/>
  <c r="P295" i="7"/>
  <c r="O295" i="7"/>
  <c r="P294" i="7"/>
  <c r="O294" i="7"/>
  <c r="P293" i="7"/>
  <c r="O293" i="7"/>
  <c r="P292" i="7"/>
  <c r="O292" i="7"/>
  <c r="P291" i="7"/>
  <c r="O291" i="7"/>
  <c r="P290" i="7"/>
  <c r="O290" i="7"/>
  <c r="P289" i="7"/>
  <c r="O289" i="7"/>
  <c r="P288" i="7"/>
  <c r="O288" i="7"/>
  <c r="P287" i="7"/>
  <c r="O287" i="7"/>
  <c r="P286" i="7"/>
  <c r="O286" i="7"/>
  <c r="P285" i="7"/>
  <c r="O285" i="7"/>
  <c r="P284" i="7"/>
  <c r="O284" i="7"/>
  <c r="P283" i="7"/>
  <c r="O283" i="7"/>
  <c r="P282" i="7"/>
  <c r="O282" i="7"/>
  <c r="P281" i="7"/>
  <c r="O281" i="7"/>
  <c r="P280" i="7"/>
  <c r="O280" i="7"/>
  <c r="P279" i="7"/>
  <c r="O279" i="7"/>
  <c r="P278" i="7"/>
  <c r="O278" i="7"/>
  <c r="P277" i="7"/>
  <c r="O277" i="7"/>
  <c r="P276" i="7"/>
  <c r="O276" i="7"/>
  <c r="P275" i="7"/>
  <c r="O275" i="7"/>
  <c r="P274" i="7"/>
  <c r="O274" i="7"/>
  <c r="P273" i="7"/>
  <c r="O273" i="7"/>
  <c r="P272" i="7"/>
  <c r="O272" i="7"/>
  <c r="P271" i="7"/>
  <c r="O271" i="7"/>
  <c r="P270" i="7"/>
  <c r="O270" i="7"/>
  <c r="P269" i="7"/>
  <c r="O269" i="7"/>
  <c r="P268" i="7"/>
  <c r="O268" i="7"/>
  <c r="P267" i="7"/>
  <c r="O267" i="7"/>
  <c r="P266" i="7"/>
  <c r="O266" i="7"/>
  <c r="P265" i="7"/>
  <c r="O265" i="7"/>
  <c r="P264" i="7"/>
  <c r="O264" i="7"/>
  <c r="P263" i="7"/>
  <c r="O263" i="7"/>
  <c r="P262" i="7"/>
  <c r="O262" i="7"/>
  <c r="P261" i="7"/>
  <c r="O261" i="7"/>
  <c r="P260" i="7"/>
  <c r="O260" i="7"/>
  <c r="P259" i="7"/>
  <c r="O259" i="7"/>
  <c r="P258" i="7"/>
  <c r="O258" i="7"/>
  <c r="P257" i="7"/>
  <c r="O257" i="7"/>
  <c r="P256" i="7"/>
  <c r="O256" i="7"/>
  <c r="P255" i="7"/>
  <c r="O255" i="7"/>
  <c r="P254" i="7"/>
  <c r="O254" i="7"/>
  <c r="P253" i="7"/>
  <c r="O253" i="7"/>
  <c r="P252" i="7"/>
  <c r="O252" i="7"/>
  <c r="P251" i="7"/>
  <c r="O251" i="7"/>
  <c r="P250" i="7"/>
  <c r="O250" i="7"/>
  <c r="P249" i="7"/>
  <c r="O249" i="7"/>
  <c r="P248" i="7"/>
  <c r="O248" i="7"/>
  <c r="P247" i="7"/>
  <c r="O247" i="7"/>
  <c r="P246" i="7"/>
  <c r="O246" i="7"/>
  <c r="P245" i="7"/>
  <c r="O245" i="7"/>
  <c r="P244" i="7"/>
  <c r="O244" i="7"/>
  <c r="P243" i="7"/>
  <c r="O243" i="7"/>
  <c r="P242" i="7"/>
  <c r="O242" i="7"/>
  <c r="P241" i="7"/>
  <c r="O241" i="7"/>
  <c r="P240" i="7"/>
  <c r="O240" i="7"/>
  <c r="P239" i="7"/>
  <c r="O239" i="7"/>
  <c r="P238" i="7"/>
  <c r="O238" i="7"/>
  <c r="P237" i="7"/>
  <c r="O237" i="7"/>
  <c r="P236" i="7"/>
  <c r="O236" i="7"/>
  <c r="P235" i="7"/>
  <c r="O235" i="7"/>
  <c r="P234" i="7"/>
  <c r="O234" i="7"/>
  <c r="P233" i="7"/>
  <c r="O233" i="7"/>
  <c r="P232" i="7"/>
  <c r="O232" i="7"/>
  <c r="P231" i="7"/>
  <c r="O231" i="7"/>
  <c r="P230" i="7"/>
  <c r="O230" i="7"/>
  <c r="P222" i="7"/>
  <c r="P221" i="7"/>
  <c r="P220" i="7"/>
  <c r="P219" i="7"/>
  <c r="P218" i="7"/>
  <c r="P217" i="7"/>
  <c r="P208" i="7"/>
  <c r="P207" i="7"/>
  <c r="P206" i="7"/>
  <c r="P205" i="7"/>
  <c r="P204" i="7"/>
  <c r="P203" i="7"/>
  <c r="P202" i="7"/>
  <c r="P201" i="7"/>
  <c r="P200" i="7"/>
  <c r="P199" i="7"/>
  <c r="P198" i="7"/>
  <c r="P197" i="7"/>
  <c r="P196" i="7"/>
  <c r="P195" i="7"/>
  <c r="P194" i="7"/>
  <c r="P193" i="7"/>
  <c r="P192" i="7"/>
  <c r="P191" i="7"/>
  <c r="P190" i="7"/>
  <c r="P189" i="7"/>
  <c r="P188" i="7"/>
  <c r="P187" i="7"/>
  <c r="P186" i="7"/>
  <c r="P185" i="7"/>
  <c r="P184" i="7"/>
  <c r="P183" i="7"/>
  <c r="P182" i="7"/>
  <c r="P181" i="7"/>
  <c r="P179" i="7"/>
  <c r="P177" i="7"/>
  <c r="P176" i="7"/>
  <c r="P175" i="7"/>
  <c r="P173" i="7"/>
  <c r="P170" i="7"/>
  <c r="P167" i="7"/>
  <c r="P166" i="7"/>
  <c r="P165" i="7"/>
  <c r="P164" i="7"/>
  <c r="P163" i="7"/>
  <c r="P161" i="7"/>
  <c r="P160" i="7"/>
  <c r="P159" i="7"/>
  <c r="P158" i="7"/>
  <c r="P157" i="7"/>
  <c r="P156" i="7"/>
  <c r="P155" i="7"/>
  <c r="P154" i="7"/>
  <c r="P153" i="7"/>
  <c r="P152" i="7"/>
  <c r="P151" i="7"/>
  <c r="P150" i="7"/>
  <c r="P149" i="7"/>
  <c r="P148" i="7"/>
  <c r="P146" i="7"/>
  <c r="P145" i="7"/>
  <c r="P144" i="7"/>
  <c r="P143" i="7"/>
  <c r="P142" i="7"/>
  <c r="P141" i="7"/>
  <c r="P140" i="7"/>
  <c r="P139" i="7"/>
  <c r="P138" i="7"/>
  <c r="P137" i="7"/>
  <c r="P136" i="7"/>
  <c r="P135" i="7"/>
  <c r="P134" i="7"/>
  <c r="P133" i="7"/>
  <c r="P132" i="7"/>
  <c r="P131" i="7"/>
  <c r="P130" i="7"/>
  <c r="P129" i="7"/>
  <c r="P128" i="7"/>
  <c r="P127" i="7"/>
  <c r="P126" i="7"/>
  <c r="P125" i="7"/>
  <c r="P124" i="7"/>
  <c r="P123" i="7"/>
  <c r="P122" i="7"/>
  <c r="P121" i="7"/>
  <c r="P120" i="7"/>
  <c r="P119" i="7"/>
  <c r="P118" i="7"/>
  <c r="P117" i="7"/>
  <c r="P116" i="7"/>
  <c r="P115" i="7"/>
  <c r="P114" i="7"/>
  <c r="P113" i="7"/>
  <c r="P112" i="7"/>
  <c r="P111" i="7"/>
  <c r="P110" i="7"/>
  <c r="P109" i="7"/>
  <c r="P108" i="7"/>
  <c r="P107" i="7"/>
  <c r="P106" i="7"/>
  <c r="P105" i="7"/>
  <c r="P104" i="7"/>
  <c r="P103" i="7"/>
  <c r="P102" i="7"/>
  <c r="P101" i="7"/>
  <c r="P100" i="7"/>
  <c r="P99" i="7"/>
  <c r="P98" i="7"/>
  <c r="P97" i="7"/>
  <c r="P96" i="7"/>
  <c r="P95" i="7"/>
  <c r="P94" i="7"/>
  <c r="P93" i="7"/>
  <c r="P92" i="7"/>
  <c r="P91" i="7"/>
  <c r="P90" i="7"/>
  <c r="P89" i="7"/>
  <c r="P88" i="7"/>
  <c r="P87" i="7"/>
  <c r="P86" i="7"/>
  <c r="P85" i="7"/>
  <c r="P84" i="7"/>
  <c r="P83" i="7"/>
  <c r="P82" i="7"/>
  <c r="P81" i="7"/>
  <c r="P80" i="7"/>
  <c r="P79" i="7"/>
  <c r="P78" i="7"/>
  <c r="P77" i="7"/>
  <c r="P76" i="7"/>
  <c r="P75" i="7"/>
  <c r="P73" i="7"/>
  <c r="P72" i="7"/>
  <c r="P71" i="7"/>
  <c r="P70" i="7"/>
  <c r="P69" i="7"/>
  <c r="P68" i="7"/>
  <c r="P67" i="7"/>
  <c r="P66" i="7"/>
  <c r="P65" i="7"/>
  <c r="P64" i="7"/>
  <c r="P63" i="7"/>
  <c r="P62" i="7"/>
  <c r="P61" i="7"/>
  <c r="P60" i="7"/>
  <c r="P59" i="7"/>
  <c r="P58" i="7"/>
  <c r="P57" i="7"/>
  <c r="P56" i="7"/>
  <c r="P55" i="7"/>
  <c r="P54" i="7"/>
  <c r="P53" i="7"/>
  <c r="P52" i="7"/>
  <c r="P51" i="7"/>
  <c r="P50" i="7"/>
  <c r="P49" i="7"/>
  <c r="P48" i="7"/>
  <c r="P47" i="7"/>
  <c r="P46" i="7"/>
  <c r="P45" i="7"/>
  <c r="P44" i="7"/>
  <c r="P43" i="7"/>
  <c r="P42" i="7"/>
  <c r="P41" i="7"/>
  <c r="P40" i="7"/>
  <c r="P39" i="7"/>
  <c r="P38" i="7"/>
  <c r="P37" i="7"/>
  <c r="P36" i="7"/>
  <c r="P35" i="7"/>
  <c r="P34" i="7"/>
  <c r="P33" i="7"/>
  <c r="P32" i="7"/>
  <c r="P31" i="7"/>
  <c r="P30" i="7"/>
  <c r="P29" i="7"/>
  <c r="P28" i="7"/>
  <c r="P27" i="7"/>
  <c r="P26" i="7"/>
  <c r="P25" i="7"/>
  <c r="P24" i="7"/>
  <c r="P23" i="7"/>
  <c r="P22" i="7"/>
  <c r="P21" i="7"/>
  <c r="P20" i="7"/>
  <c r="P19" i="7"/>
  <c r="P18" i="7"/>
  <c r="P17" i="7"/>
  <c r="P16" i="7"/>
  <c r="P15" i="7"/>
  <c r="P14" i="7"/>
  <c r="P13" i="7"/>
  <c r="P12" i="7"/>
  <c r="P11" i="7"/>
  <c r="P10" i="7"/>
  <c r="P9" i="7"/>
  <c r="P8" i="7"/>
  <c r="P7" i="7"/>
  <c r="P6" i="7"/>
  <c r="P5" i="7"/>
  <c r="P4" i="7"/>
  <c r="P3" i="7"/>
  <c r="P5999" i="6"/>
  <c r="P5998" i="6"/>
  <c r="P5997" i="6"/>
  <c r="P5996" i="6"/>
  <c r="P5995" i="6"/>
  <c r="P5994" i="6"/>
  <c r="P5993" i="6"/>
  <c r="P5992" i="6"/>
  <c r="P5991" i="6"/>
  <c r="P5990" i="6"/>
  <c r="P5989" i="6"/>
  <c r="P5988" i="6"/>
  <c r="P5987" i="6"/>
  <c r="P5986" i="6"/>
  <c r="P5985" i="6"/>
  <c r="P5984" i="6"/>
  <c r="P5983" i="6"/>
  <c r="P5982" i="6"/>
  <c r="P5981" i="6"/>
  <c r="P5980" i="6"/>
  <c r="P5979" i="6"/>
  <c r="P5978" i="6"/>
  <c r="P5977" i="6"/>
  <c r="P5976" i="6"/>
  <c r="P5975" i="6"/>
  <c r="P5974" i="6"/>
  <c r="P5973" i="6"/>
  <c r="P5972" i="6"/>
  <c r="P5971" i="6"/>
  <c r="P5970" i="6"/>
  <c r="P5969" i="6"/>
  <c r="P5968" i="6"/>
  <c r="P5967" i="6"/>
  <c r="P5966" i="6"/>
  <c r="P5965" i="6"/>
  <c r="P5964" i="6"/>
  <c r="P5963" i="6"/>
  <c r="P5962" i="6"/>
  <c r="P5961" i="6"/>
  <c r="P5960" i="6"/>
  <c r="P5959" i="6"/>
  <c r="P5958" i="6"/>
  <c r="P5957" i="6"/>
  <c r="P5956" i="6"/>
  <c r="P5955" i="6"/>
  <c r="P5954" i="6"/>
  <c r="P5953" i="6"/>
  <c r="P5952" i="6"/>
  <c r="P5951" i="6"/>
  <c r="P5950" i="6"/>
  <c r="P5949" i="6"/>
  <c r="P5948" i="6"/>
  <c r="P5947" i="6"/>
  <c r="P5946" i="6"/>
  <c r="P5945" i="6"/>
  <c r="P5944" i="6"/>
  <c r="P5943" i="6"/>
  <c r="P5942" i="6"/>
  <c r="P5941" i="6"/>
  <c r="P5940" i="6"/>
  <c r="P5939" i="6"/>
  <c r="P5938" i="6"/>
  <c r="P5937" i="6"/>
  <c r="P5936" i="6"/>
  <c r="P5935" i="6"/>
  <c r="P5934" i="6"/>
  <c r="P5933" i="6"/>
  <c r="P5932" i="6"/>
  <c r="P5931" i="6"/>
  <c r="P5930" i="6"/>
  <c r="P5929" i="6"/>
  <c r="P5928" i="6"/>
  <c r="P5927" i="6"/>
  <c r="P5926" i="6"/>
  <c r="P5925" i="6"/>
  <c r="P5924" i="6"/>
  <c r="P5923" i="6"/>
  <c r="P5922" i="6"/>
  <c r="P5921" i="6"/>
  <c r="P5920" i="6"/>
  <c r="P5919" i="6"/>
  <c r="P5918" i="6"/>
  <c r="P5917" i="6"/>
  <c r="P5916" i="6"/>
  <c r="P5915" i="6"/>
  <c r="P5914" i="6"/>
  <c r="P5913" i="6"/>
  <c r="P5912" i="6"/>
  <c r="P5911" i="6"/>
  <c r="P5910" i="6"/>
  <c r="P5909" i="6"/>
  <c r="P5908" i="6"/>
  <c r="P5907" i="6"/>
  <c r="P5906" i="6"/>
  <c r="P5905" i="6"/>
  <c r="P5904" i="6"/>
  <c r="P5903" i="6"/>
  <c r="P5902" i="6"/>
  <c r="P5901" i="6"/>
  <c r="P5900" i="6"/>
  <c r="P5899" i="6"/>
  <c r="P5898" i="6"/>
  <c r="P5897" i="6"/>
  <c r="P5896" i="6"/>
  <c r="P5895" i="6"/>
  <c r="P5894" i="6"/>
  <c r="P5893" i="6"/>
  <c r="P5892" i="6"/>
  <c r="P5891" i="6"/>
  <c r="P5890" i="6"/>
  <c r="P5889" i="6"/>
  <c r="P5888" i="6"/>
  <c r="P5887" i="6"/>
  <c r="P5886" i="6"/>
  <c r="P5885" i="6"/>
  <c r="P5884" i="6"/>
  <c r="P5883" i="6"/>
  <c r="P5882" i="6"/>
  <c r="P5881" i="6"/>
  <c r="P5880" i="6"/>
  <c r="P5879" i="6"/>
  <c r="P5878" i="6"/>
  <c r="P5877" i="6"/>
  <c r="P5876" i="6"/>
  <c r="P5875" i="6"/>
  <c r="P5874" i="6"/>
  <c r="P5873" i="6"/>
  <c r="P5872" i="6"/>
  <c r="P5871" i="6"/>
  <c r="P5870" i="6"/>
  <c r="P5869" i="6"/>
  <c r="P5868" i="6"/>
  <c r="P5867" i="6"/>
  <c r="P5866" i="6"/>
  <c r="P5865" i="6"/>
  <c r="P5864" i="6"/>
  <c r="P5863" i="6"/>
  <c r="P5862" i="6"/>
  <c r="P5861" i="6"/>
  <c r="P5860" i="6"/>
  <c r="P5859" i="6"/>
  <c r="P5858" i="6"/>
  <c r="P5857" i="6"/>
  <c r="P5856" i="6"/>
  <c r="P5855" i="6"/>
  <c r="P5854" i="6"/>
  <c r="P5853" i="6"/>
  <c r="P5852" i="6"/>
  <c r="P5851" i="6"/>
  <c r="P5850" i="6"/>
  <c r="P5849" i="6"/>
  <c r="P5848" i="6"/>
  <c r="P5847" i="6"/>
  <c r="P5846" i="6"/>
  <c r="P5845" i="6"/>
  <c r="P5844" i="6"/>
  <c r="P5843" i="6"/>
  <c r="P5842" i="6"/>
  <c r="P5841" i="6"/>
  <c r="P5840" i="6"/>
  <c r="P5839" i="6"/>
  <c r="P5838" i="6"/>
  <c r="P5837" i="6"/>
  <c r="P5836" i="6"/>
  <c r="P5835" i="6"/>
  <c r="P5834" i="6"/>
  <c r="P5833" i="6"/>
  <c r="P5832" i="6"/>
  <c r="P5831" i="6"/>
  <c r="P5830" i="6"/>
  <c r="P5829" i="6"/>
  <c r="P5828" i="6"/>
  <c r="P5827" i="6"/>
  <c r="P5826" i="6"/>
  <c r="P5825" i="6"/>
  <c r="P5824" i="6"/>
  <c r="P5823" i="6"/>
  <c r="P5822" i="6"/>
  <c r="P5821" i="6"/>
  <c r="P5820" i="6"/>
  <c r="P5819" i="6"/>
  <c r="P5818" i="6"/>
  <c r="P5817" i="6"/>
  <c r="P5816" i="6"/>
  <c r="P5815" i="6"/>
  <c r="P5814" i="6"/>
  <c r="P5813" i="6"/>
  <c r="P5812" i="6"/>
  <c r="P5811" i="6"/>
  <c r="P5810" i="6"/>
  <c r="P5809" i="6"/>
  <c r="P5808" i="6"/>
  <c r="P5807" i="6"/>
  <c r="P5806" i="6"/>
  <c r="P5805" i="6"/>
  <c r="P5804" i="6"/>
  <c r="P5803" i="6"/>
  <c r="P5802" i="6"/>
  <c r="P5801" i="6"/>
  <c r="P5800" i="6"/>
  <c r="P5799" i="6"/>
  <c r="P5798" i="6"/>
  <c r="P5797" i="6"/>
  <c r="P5796" i="6"/>
  <c r="P5795" i="6"/>
  <c r="P5794" i="6"/>
  <c r="P5793" i="6"/>
  <c r="P5792" i="6"/>
  <c r="P5791" i="6"/>
  <c r="P5790" i="6"/>
  <c r="P5789" i="6"/>
  <c r="P5788" i="6"/>
  <c r="P5787" i="6"/>
  <c r="P5786" i="6"/>
  <c r="P5785" i="6"/>
  <c r="P5784" i="6"/>
  <c r="P5783" i="6"/>
  <c r="P5782" i="6"/>
  <c r="P5781" i="6"/>
  <c r="P5780" i="6"/>
  <c r="P5779" i="6"/>
  <c r="P5778" i="6"/>
  <c r="P5777" i="6"/>
  <c r="P5776" i="6"/>
  <c r="P5775" i="6"/>
  <c r="P5774" i="6"/>
  <c r="P5773" i="6"/>
  <c r="P5772" i="6"/>
  <c r="P5771" i="6"/>
  <c r="P5770" i="6"/>
  <c r="P5769" i="6"/>
  <c r="P5768" i="6"/>
  <c r="P5767" i="6"/>
  <c r="P5766" i="6"/>
  <c r="P5765" i="6"/>
  <c r="P5764" i="6"/>
  <c r="P5763" i="6"/>
  <c r="P5762" i="6"/>
  <c r="P5761" i="6"/>
  <c r="P5760" i="6"/>
  <c r="P5759" i="6"/>
  <c r="P5758" i="6"/>
  <c r="P5757" i="6"/>
  <c r="P5756" i="6"/>
  <c r="P5755" i="6"/>
  <c r="P5754" i="6"/>
  <c r="P5753" i="6"/>
  <c r="P5752" i="6"/>
  <c r="P5751" i="6"/>
  <c r="P5750" i="6"/>
  <c r="P5749" i="6"/>
  <c r="P5748" i="6"/>
  <c r="P5747" i="6"/>
  <c r="P5746" i="6"/>
  <c r="P5745" i="6"/>
  <c r="P5744" i="6"/>
  <c r="P5743" i="6"/>
  <c r="P5742" i="6"/>
  <c r="P5741" i="6"/>
  <c r="P5740" i="6"/>
  <c r="P5739" i="6"/>
  <c r="P5738" i="6"/>
  <c r="P5737" i="6"/>
  <c r="P5736" i="6"/>
  <c r="P5735" i="6"/>
  <c r="P5734" i="6"/>
  <c r="P5733" i="6"/>
  <c r="P5732" i="6"/>
  <c r="P5731" i="6"/>
  <c r="P5730" i="6"/>
  <c r="P5729" i="6"/>
  <c r="P5728" i="6"/>
  <c r="P5727" i="6"/>
  <c r="P5726" i="6"/>
  <c r="P5725" i="6"/>
  <c r="P5724" i="6"/>
  <c r="P5723" i="6"/>
  <c r="P5722" i="6"/>
  <c r="P5721" i="6"/>
  <c r="P5720" i="6"/>
  <c r="P5719" i="6"/>
  <c r="P5718" i="6"/>
  <c r="P5717" i="6"/>
  <c r="P5716" i="6"/>
  <c r="P5715" i="6"/>
  <c r="P5714" i="6"/>
  <c r="P5713" i="6"/>
  <c r="P5712" i="6"/>
  <c r="P5711" i="6"/>
  <c r="P5710" i="6"/>
  <c r="P5709" i="6"/>
  <c r="P5708" i="6"/>
  <c r="P5707" i="6"/>
  <c r="P5706" i="6"/>
  <c r="P5705" i="6"/>
  <c r="P5704" i="6"/>
  <c r="P5703" i="6"/>
  <c r="P5702" i="6"/>
  <c r="P5701" i="6"/>
  <c r="P5700" i="6"/>
  <c r="P5699" i="6"/>
  <c r="P5698" i="6"/>
  <c r="P5697" i="6"/>
  <c r="P5696" i="6"/>
  <c r="P5695" i="6"/>
  <c r="P5694" i="6"/>
  <c r="P5693" i="6"/>
  <c r="P5692" i="6"/>
  <c r="P5691" i="6"/>
  <c r="P5690" i="6"/>
  <c r="P5689" i="6"/>
  <c r="P5688" i="6"/>
  <c r="P5687" i="6"/>
  <c r="P5686" i="6"/>
  <c r="P5685" i="6"/>
  <c r="P5684" i="6"/>
  <c r="P5683" i="6"/>
  <c r="P5682" i="6"/>
  <c r="P5681" i="6"/>
  <c r="P5680" i="6"/>
  <c r="P5679" i="6"/>
  <c r="P5678" i="6"/>
  <c r="P5677" i="6"/>
  <c r="P5676" i="6"/>
  <c r="P5675" i="6"/>
  <c r="P5674" i="6"/>
  <c r="P5673" i="6"/>
  <c r="P5672" i="6"/>
  <c r="P5671" i="6"/>
  <c r="P5670" i="6"/>
  <c r="P5669" i="6"/>
  <c r="P5668" i="6"/>
  <c r="P5667" i="6"/>
  <c r="P5666" i="6"/>
  <c r="P5665" i="6"/>
  <c r="P5664" i="6"/>
  <c r="P5663" i="6"/>
  <c r="P5662" i="6"/>
  <c r="P5661" i="6"/>
  <c r="P5660" i="6"/>
  <c r="P5659" i="6"/>
  <c r="P5658" i="6"/>
  <c r="P5657" i="6"/>
  <c r="P5656" i="6"/>
  <c r="P5655" i="6"/>
  <c r="P5654" i="6"/>
  <c r="P5653" i="6"/>
  <c r="P5652" i="6"/>
  <c r="P5651" i="6"/>
  <c r="P5650" i="6"/>
  <c r="P5649" i="6"/>
  <c r="P5648" i="6"/>
  <c r="P5647" i="6"/>
  <c r="P5646" i="6"/>
  <c r="P5645" i="6"/>
  <c r="P5644" i="6"/>
  <c r="P5643" i="6"/>
  <c r="P5642" i="6"/>
  <c r="P5641" i="6"/>
  <c r="P5640" i="6"/>
  <c r="P5639" i="6"/>
  <c r="P5638" i="6"/>
  <c r="P5637" i="6"/>
  <c r="P5636" i="6"/>
  <c r="P5635" i="6"/>
  <c r="P5634" i="6"/>
  <c r="P5633" i="6"/>
  <c r="P5632" i="6"/>
  <c r="P5631" i="6"/>
  <c r="P5630" i="6"/>
  <c r="P5629" i="6"/>
  <c r="P5628" i="6"/>
  <c r="P5627" i="6"/>
  <c r="P5626" i="6"/>
  <c r="P5625" i="6"/>
  <c r="P5624" i="6"/>
  <c r="P5623" i="6"/>
  <c r="P5622" i="6"/>
  <c r="P5621" i="6"/>
  <c r="P5620" i="6"/>
  <c r="P5619" i="6"/>
  <c r="P5618" i="6"/>
  <c r="P5617" i="6"/>
  <c r="P5616" i="6"/>
  <c r="P5615" i="6"/>
  <c r="P5614" i="6"/>
  <c r="P5613" i="6"/>
  <c r="P5612" i="6"/>
  <c r="P5611" i="6"/>
  <c r="P5610" i="6"/>
  <c r="P5609" i="6"/>
  <c r="P5608" i="6"/>
  <c r="P5607" i="6"/>
  <c r="P5606" i="6"/>
  <c r="P5605" i="6"/>
  <c r="P5604" i="6"/>
  <c r="P5603" i="6"/>
  <c r="P5602" i="6"/>
  <c r="P5601" i="6"/>
  <c r="P5600" i="6"/>
  <c r="P5599" i="6"/>
  <c r="P5598" i="6"/>
  <c r="P5597" i="6"/>
  <c r="P5596" i="6"/>
  <c r="P5595" i="6"/>
  <c r="P5594" i="6"/>
  <c r="P5593" i="6"/>
  <c r="P5592" i="6"/>
  <c r="P5591" i="6"/>
  <c r="P5590" i="6"/>
  <c r="P5589" i="6"/>
  <c r="P5588" i="6"/>
  <c r="P5587" i="6"/>
  <c r="P5586" i="6"/>
  <c r="P5585" i="6"/>
  <c r="P5584" i="6"/>
  <c r="P5583" i="6"/>
  <c r="P5582" i="6"/>
  <c r="P5581" i="6"/>
  <c r="P5580" i="6"/>
  <c r="P5579" i="6"/>
  <c r="P5578" i="6"/>
  <c r="P5577" i="6"/>
  <c r="P5576" i="6"/>
  <c r="P5575" i="6"/>
  <c r="P5574" i="6"/>
  <c r="P5573" i="6"/>
  <c r="P5572" i="6"/>
  <c r="P5571" i="6"/>
  <c r="P5570" i="6"/>
  <c r="P5569" i="6"/>
  <c r="P5568" i="6"/>
  <c r="P5567" i="6"/>
  <c r="P5566" i="6"/>
  <c r="P5565" i="6"/>
  <c r="P5564" i="6"/>
  <c r="P5563" i="6"/>
  <c r="P5562" i="6"/>
  <c r="P5561" i="6"/>
  <c r="P5560" i="6"/>
  <c r="P5559" i="6"/>
  <c r="P5558" i="6"/>
  <c r="P5557" i="6"/>
  <c r="P5556" i="6"/>
  <c r="P5555" i="6"/>
  <c r="P5554" i="6"/>
  <c r="P5553" i="6"/>
  <c r="P5552" i="6"/>
  <c r="P5551" i="6"/>
  <c r="P5550" i="6"/>
  <c r="P5549" i="6"/>
  <c r="P5548" i="6"/>
  <c r="P5547" i="6"/>
  <c r="P5546" i="6"/>
  <c r="P5545" i="6"/>
  <c r="P5544" i="6"/>
  <c r="P5543" i="6"/>
  <c r="P5542" i="6"/>
  <c r="P5541" i="6"/>
  <c r="P5540" i="6"/>
  <c r="P5539" i="6"/>
  <c r="P5538" i="6"/>
  <c r="P5537" i="6"/>
  <c r="P5536" i="6"/>
  <c r="P5535" i="6"/>
  <c r="P5534" i="6"/>
  <c r="P5533" i="6"/>
  <c r="P5532" i="6"/>
  <c r="P5531" i="6"/>
  <c r="P5530" i="6"/>
  <c r="P5529" i="6"/>
  <c r="P5528" i="6"/>
  <c r="P5527" i="6"/>
  <c r="P5526" i="6"/>
  <c r="P5525" i="6"/>
  <c r="P5524" i="6"/>
  <c r="P5523" i="6"/>
  <c r="P5522" i="6"/>
  <c r="P5521" i="6"/>
  <c r="P5520" i="6"/>
  <c r="P5519" i="6"/>
  <c r="P5518" i="6"/>
  <c r="P5517" i="6"/>
  <c r="P5516" i="6"/>
  <c r="P5515" i="6"/>
  <c r="P5514" i="6"/>
  <c r="P5513" i="6"/>
  <c r="P5512" i="6"/>
  <c r="P5511" i="6"/>
  <c r="P5510" i="6"/>
  <c r="P5509" i="6"/>
  <c r="P5508" i="6"/>
  <c r="P5507" i="6"/>
  <c r="P5506" i="6"/>
  <c r="P5505" i="6"/>
  <c r="P5504" i="6"/>
  <c r="P5503" i="6"/>
  <c r="P5502" i="6"/>
  <c r="P5501" i="6"/>
  <c r="P5500" i="6"/>
  <c r="P5499" i="6"/>
  <c r="P5498" i="6"/>
  <c r="P5497" i="6"/>
  <c r="P5496" i="6"/>
  <c r="P5495" i="6"/>
  <c r="P5494" i="6"/>
  <c r="P5493" i="6"/>
  <c r="P5492" i="6"/>
  <c r="P5491" i="6"/>
  <c r="P5490" i="6"/>
  <c r="P5489" i="6"/>
  <c r="P5488" i="6"/>
  <c r="P5487" i="6"/>
  <c r="P5486" i="6"/>
  <c r="P5485" i="6"/>
  <c r="P5484" i="6"/>
  <c r="P5483" i="6"/>
  <c r="P5482" i="6"/>
  <c r="P5481" i="6"/>
  <c r="P5480" i="6"/>
  <c r="P5479" i="6"/>
  <c r="P5478" i="6"/>
  <c r="P5477" i="6"/>
  <c r="P5476" i="6"/>
  <c r="P5475" i="6"/>
  <c r="P5474" i="6"/>
  <c r="P5473" i="6"/>
  <c r="P5472" i="6"/>
  <c r="P5471" i="6"/>
  <c r="P5470" i="6"/>
  <c r="P5469" i="6"/>
  <c r="P5468" i="6"/>
  <c r="P5467" i="6"/>
  <c r="P5466" i="6"/>
  <c r="P5465" i="6"/>
  <c r="P5464" i="6"/>
  <c r="P5463" i="6"/>
  <c r="P5462" i="6"/>
  <c r="P5461" i="6"/>
  <c r="P5460" i="6"/>
  <c r="P5459" i="6"/>
  <c r="P5458" i="6"/>
  <c r="P5457" i="6"/>
  <c r="P5456" i="6"/>
  <c r="P5455" i="6"/>
  <c r="P5454" i="6"/>
  <c r="P5453" i="6"/>
  <c r="P5452" i="6"/>
  <c r="P5451" i="6"/>
  <c r="P5450" i="6"/>
  <c r="P5449" i="6"/>
  <c r="P5448" i="6"/>
  <c r="P5447" i="6"/>
  <c r="P5446" i="6"/>
  <c r="P5445" i="6"/>
  <c r="P5444" i="6"/>
  <c r="P5443" i="6"/>
  <c r="P5442" i="6"/>
  <c r="P5441" i="6"/>
  <c r="P5440" i="6"/>
  <c r="P5439" i="6"/>
  <c r="P5438" i="6"/>
  <c r="P5437" i="6"/>
  <c r="P5436" i="6"/>
  <c r="P5435" i="6"/>
  <c r="P5434" i="6"/>
  <c r="P5433" i="6"/>
  <c r="P5432" i="6"/>
  <c r="P5431" i="6"/>
  <c r="P5430" i="6"/>
  <c r="P5429" i="6"/>
  <c r="P5428" i="6"/>
  <c r="P5427" i="6"/>
  <c r="P5426" i="6"/>
  <c r="P5425" i="6"/>
  <c r="P5424" i="6"/>
  <c r="P5423" i="6"/>
  <c r="P5422" i="6"/>
  <c r="P5421" i="6"/>
  <c r="P5420" i="6"/>
  <c r="P5419" i="6"/>
  <c r="P5418" i="6"/>
  <c r="P5417" i="6"/>
  <c r="P5416" i="6"/>
  <c r="P5415" i="6"/>
  <c r="P5414" i="6"/>
  <c r="P5413" i="6"/>
  <c r="P5412" i="6"/>
  <c r="P5411" i="6"/>
  <c r="P5410" i="6"/>
  <c r="P5409" i="6"/>
  <c r="P5408" i="6"/>
  <c r="P5407" i="6"/>
  <c r="P5406" i="6"/>
  <c r="P5405" i="6"/>
  <c r="P5404" i="6"/>
  <c r="P5403" i="6"/>
  <c r="P5402" i="6"/>
  <c r="P5401" i="6"/>
  <c r="P5400" i="6"/>
  <c r="P5399" i="6"/>
  <c r="P5398" i="6"/>
  <c r="P5397" i="6"/>
  <c r="P5396" i="6"/>
  <c r="P5395" i="6"/>
  <c r="P5394" i="6"/>
  <c r="P5393" i="6"/>
  <c r="P5392" i="6"/>
  <c r="P5391" i="6"/>
  <c r="P5390" i="6"/>
  <c r="P5389" i="6"/>
  <c r="P5388" i="6"/>
  <c r="P5387" i="6"/>
  <c r="P5386" i="6"/>
  <c r="P5385" i="6"/>
  <c r="P5384" i="6"/>
  <c r="P5383" i="6"/>
  <c r="P5382" i="6"/>
  <c r="P5381" i="6"/>
  <c r="P5380" i="6"/>
  <c r="P5379" i="6"/>
  <c r="P5378" i="6"/>
  <c r="P5377" i="6"/>
  <c r="P5376" i="6"/>
  <c r="P5375" i="6"/>
  <c r="P5374" i="6"/>
  <c r="P5373" i="6"/>
  <c r="P5372" i="6"/>
  <c r="P5371" i="6"/>
  <c r="P5370" i="6"/>
  <c r="P5369" i="6"/>
  <c r="P5368" i="6"/>
  <c r="P5367" i="6"/>
  <c r="P5366" i="6"/>
  <c r="P5365" i="6"/>
  <c r="P5364" i="6"/>
  <c r="P5363" i="6"/>
  <c r="P5362" i="6"/>
  <c r="P5361" i="6"/>
  <c r="P5360" i="6"/>
  <c r="P5359" i="6"/>
  <c r="P5358" i="6"/>
  <c r="P5357" i="6"/>
  <c r="P5356" i="6"/>
  <c r="P5355" i="6"/>
  <c r="P5354" i="6"/>
  <c r="P5353" i="6"/>
  <c r="P5352" i="6"/>
  <c r="P5351" i="6"/>
  <c r="P5350" i="6"/>
  <c r="P5349" i="6"/>
  <c r="P5348" i="6"/>
  <c r="P5347" i="6"/>
  <c r="P5346" i="6"/>
  <c r="P5345" i="6"/>
  <c r="P5344" i="6"/>
  <c r="P5343" i="6"/>
  <c r="P5342" i="6"/>
  <c r="P5341" i="6"/>
  <c r="P5340" i="6"/>
  <c r="P5339" i="6"/>
  <c r="P5338" i="6"/>
  <c r="P5337" i="6"/>
  <c r="P5336" i="6"/>
  <c r="P5335" i="6"/>
  <c r="P5334" i="6"/>
  <c r="P5333" i="6"/>
  <c r="P5332" i="6"/>
  <c r="P5331" i="6"/>
  <c r="P5330" i="6"/>
  <c r="P5329" i="6"/>
  <c r="P5328" i="6"/>
  <c r="P5327" i="6"/>
  <c r="P5326" i="6"/>
  <c r="P5325" i="6"/>
  <c r="P5324" i="6"/>
  <c r="P5323" i="6"/>
  <c r="P5322" i="6"/>
  <c r="P5321" i="6"/>
  <c r="P5320" i="6"/>
  <c r="P5319" i="6"/>
  <c r="P5318" i="6"/>
  <c r="P5317" i="6"/>
  <c r="P5316" i="6"/>
  <c r="P5315" i="6"/>
  <c r="P5314" i="6"/>
  <c r="P5313" i="6"/>
  <c r="P5312" i="6"/>
  <c r="P5311" i="6"/>
  <c r="P5310" i="6"/>
  <c r="P5309" i="6"/>
  <c r="P5308" i="6"/>
  <c r="P5307" i="6"/>
  <c r="P5306" i="6"/>
  <c r="P5305" i="6"/>
  <c r="P5304" i="6"/>
  <c r="P5303" i="6"/>
  <c r="P5302" i="6"/>
  <c r="P5301" i="6"/>
  <c r="P5300" i="6"/>
  <c r="P5299" i="6"/>
  <c r="P5298" i="6"/>
  <c r="P5297" i="6"/>
  <c r="P5296" i="6"/>
  <c r="P5295" i="6"/>
  <c r="P5294" i="6"/>
  <c r="P5293" i="6"/>
  <c r="P5292" i="6"/>
  <c r="P5291" i="6"/>
  <c r="P5290" i="6"/>
  <c r="P5289" i="6"/>
  <c r="P5288" i="6"/>
  <c r="P5287" i="6"/>
  <c r="P5286" i="6"/>
  <c r="P5285" i="6"/>
  <c r="P5284" i="6"/>
  <c r="P5283" i="6"/>
  <c r="P5282" i="6"/>
  <c r="P5281" i="6"/>
  <c r="P5280" i="6"/>
  <c r="P5279" i="6"/>
  <c r="P5278" i="6"/>
  <c r="P5277" i="6"/>
  <c r="P5276" i="6"/>
  <c r="P5275" i="6"/>
  <c r="P5274" i="6"/>
  <c r="P5273" i="6"/>
  <c r="P5272" i="6"/>
  <c r="P5271" i="6"/>
  <c r="P5270" i="6"/>
  <c r="P5269" i="6"/>
  <c r="P5268" i="6"/>
  <c r="P5267" i="6"/>
  <c r="P5266" i="6"/>
  <c r="P5265" i="6"/>
  <c r="P5264" i="6"/>
  <c r="P5263" i="6"/>
  <c r="P5262" i="6"/>
  <c r="P5261" i="6"/>
  <c r="P5260" i="6"/>
  <c r="P5259" i="6"/>
  <c r="P5258" i="6"/>
  <c r="P5257" i="6"/>
  <c r="P5256" i="6"/>
  <c r="P5255" i="6"/>
  <c r="P5254" i="6"/>
  <c r="P5253" i="6"/>
  <c r="P5252" i="6"/>
  <c r="P5251" i="6"/>
  <c r="P5250" i="6"/>
  <c r="P5249" i="6"/>
  <c r="P5248" i="6"/>
  <c r="P5247" i="6"/>
  <c r="P5246" i="6"/>
  <c r="P5245" i="6"/>
  <c r="P5244" i="6"/>
  <c r="P5243" i="6"/>
  <c r="P5242" i="6"/>
  <c r="P5241" i="6"/>
  <c r="P5240" i="6"/>
  <c r="P5239" i="6"/>
  <c r="P5238" i="6"/>
  <c r="P5237" i="6"/>
  <c r="P5236" i="6"/>
  <c r="P5235" i="6"/>
  <c r="P5234" i="6"/>
  <c r="P5233" i="6"/>
  <c r="P5232" i="6"/>
  <c r="P5231" i="6"/>
  <c r="P5230" i="6"/>
  <c r="P5229" i="6"/>
  <c r="P5228" i="6"/>
  <c r="P5227" i="6"/>
  <c r="P5226" i="6"/>
  <c r="P5225" i="6"/>
  <c r="P5224" i="6"/>
  <c r="P5223" i="6"/>
  <c r="P5222" i="6"/>
  <c r="P5221" i="6"/>
  <c r="P5220" i="6"/>
  <c r="P5219" i="6"/>
  <c r="P5218" i="6"/>
  <c r="P5217" i="6"/>
  <c r="P5216" i="6"/>
  <c r="P5215" i="6"/>
  <c r="P5214" i="6"/>
  <c r="P5213" i="6"/>
  <c r="P5212" i="6"/>
  <c r="P5211" i="6"/>
  <c r="P5210" i="6"/>
  <c r="P5209" i="6"/>
  <c r="P5208" i="6"/>
  <c r="P5207" i="6"/>
  <c r="P5206" i="6"/>
  <c r="P5205" i="6"/>
  <c r="P5204" i="6"/>
  <c r="P5203" i="6"/>
  <c r="P5202" i="6"/>
  <c r="P5201" i="6"/>
  <c r="P5200" i="6"/>
  <c r="P5199" i="6"/>
  <c r="P5198" i="6"/>
  <c r="P5197" i="6"/>
  <c r="P5196" i="6"/>
  <c r="P5195" i="6"/>
  <c r="P5194" i="6"/>
  <c r="P5193" i="6"/>
  <c r="P5192" i="6"/>
  <c r="P5191" i="6"/>
  <c r="P5190" i="6"/>
  <c r="P5189" i="6"/>
  <c r="P5188" i="6"/>
  <c r="P5187" i="6"/>
  <c r="P5186" i="6"/>
  <c r="P5185" i="6"/>
  <c r="P5184" i="6"/>
  <c r="P5183" i="6"/>
  <c r="P5182" i="6"/>
  <c r="P5181" i="6"/>
  <c r="P5180" i="6"/>
  <c r="P5179" i="6"/>
  <c r="P5178" i="6"/>
  <c r="P5177" i="6"/>
  <c r="P5176" i="6"/>
  <c r="P5175" i="6"/>
  <c r="P5174" i="6"/>
  <c r="P5173" i="6"/>
  <c r="P5172" i="6"/>
  <c r="P5171" i="6"/>
  <c r="P5170" i="6"/>
  <c r="P5169" i="6"/>
  <c r="P5168" i="6"/>
  <c r="P5167" i="6"/>
  <c r="P5166" i="6"/>
  <c r="P5165" i="6"/>
  <c r="P5164" i="6"/>
  <c r="P5163" i="6"/>
  <c r="P5162" i="6"/>
  <c r="P5161" i="6"/>
  <c r="P5160" i="6"/>
  <c r="P5159" i="6"/>
  <c r="P5158" i="6"/>
  <c r="P5157" i="6"/>
  <c r="P5156" i="6"/>
  <c r="P5155" i="6"/>
  <c r="P5154" i="6"/>
  <c r="P5153" i="6"/>
  <c r="P5152" i="6"/>
  <c r="P5151" i="6"/>
  <c r="P5150" i="6"/>
  <c r="P5149" i="6"/>
  <c r="P5148" i="6"/>
  <c r="P5147" i="6"/>
  <c r="P5146" i="6"/>
  <c r="P5145" i="6"/>
  <c r="P5144" i="6"/>
  <c r="P5143" i="6"/>
  <c r="P5142" i="6"/>
  <c r="P5141" i="6"/>
  <c r="P5140" i="6"/>
  <c r="P5139" i="6"/>
  <c r="P5138" i="6"/>
  <c r="P5137" i="6"/>
  <c r="P5136" i="6"/>
  <c r="P5135" i="6"/>
  <c r="P5134" i="6"/>
  <c r="P5133" i="6"/>
  <c r="P5132" i="6"/>
  <c r="P5131" i="6"/>
  <c r="P5130" i="6"/>
  <c r="P5129" i="6"/>
  <c r="P5128" i="6"/>
  <c r="P5127" i="6"/>
  <c r="P5126" i="6"/>
  <c r="P5125" i="6"/>
  <c r="P5124" i="6"/>
  <c r="P5123" i="6"/>
  <c r="P5122" i="6"/>
  <c r="P5121" i="6"/>
  <c r="P5120" i="6"/>
  <c r="P5119" i="6"/>
  <c r="P5118" i="6"/>
  <c r="P5117" i="6"/>
  <c r="P5116" i="6"/>
  <c r="P5115" i="6"/>
  <c r="P5114" i="6"/>
  <c r="P5113" i="6"/>
  <c r="P5112" i="6"/>
  <c r="P5111" i="6"/>
  <c r="P5110" i="6"/>
  <c r="P5109" i="6"/>
  <c r="P5108" i="6"/>
  <c r="P5107" i="6"/>
  <c r="P5106" i="6"/>
  <c r="P5105" i="6"/>
  <c r="P5104" i="6"/>
  <c r="P5103" i="6"/>
  <c r="P5102" i="6"/>
  <c r="P5101" i="6"/>
  <c r="P5100" i="6"/>
  <c r="P5099" i="6"/>
  <c r="P5098" i="6"/>
  <c r="P5097" i="6"/>
  <c r="P5096" i="6"/>
  <c r="P5095" i="6"/>
  <c r="P5094" i="6"/>
  <c r="P5093" i="6"/>
  <c r="P5092" i="6"/>
  <c r="P5091" i="6"/>
  <c r="P5090" i="6"/>
  <c r="P5089" i="6"/>
  <c r="P5088" i="6"/>
  <c r="P5087" i="6"/>
  <c r="P5086" i="6"/>
  <c r="P5085" i="6"/>
  <c r="P5084" i="6"/>
  <c r="P5083" i="6"/>
  <c r="P5082" i="6"/>
  <c r="P5081" i="6"/>
  <c r="P5080" i="6"/>
  <c r="P5079" i="6"/>
  <c r="P5078" i="6"/>
  <c r="P5077" i="6"/>
  <c r="P5076" i="6"/>
  <c r="P5075" i="6"/>
  <c r="P5074" i="6"/>
  <c r="P5073" i="6"/>
  <c r="P5072" i="6"/>
  <c r="P5071" i="6"/>
  <c r="P5070" i="6"/>
  <c r="P5069" i="6"/>
  <c r="P5068" i="6"/>
  <c r="P5067" i="6"/>
  <c r="P5066" i="6"/>
  <c r="P5065" i="6"/>
  <c r="P5064" i="6"/>
  <c r="P5063" i="6"/>
  <c r="P5062" i="6"/>
  <c r="P5061" i="6"/>
  <c r="P5060" i="6"/>
  <c r="P5059" i="6"/>
  <c r="P5058" i="6"/>
  <c r="P5057" i="6"/>
  <c r="P5056" i="6"/>
  <c r="P5055" i="6"/>
  <c r="P5054" i="6"/>
  <c r="P5053" i="6"/>
  <c r="P5052" i="6"/>
  <c r="P5051" i="6"/>
  <c r="P5050" i="6"/>
  <c r="P5049" i="6"/>
  <c r="P5048" i="6"/>
  <c r="P5047" i="6"/>
  <c r="P5046" i="6"/>
  <c r="P5045" i="6"/>
  <c r="P5044" i="6"/>
  <c r="P5043" i="6"/>
  <c r="P5042" i="6"/>
  <c r="P5041" i="6"/>
  <c r="P5040" i="6"/>
  <c r="P5039" i="6"/>
  <c r="P5038" i="6"/>
  <c r="P5037" i="6"/>
  <c r="P5036" i="6"/>
  <c r="P5035" i="6"/>
  <c r="P5034" i="6"/>
  <c r="P5033" i="6"/>
  <c r="P5032" i="6"/>
  <c r="P5031" i="6"/>
  <c r="P5030" i="6"/>
  <c r="P5029" i="6"/>
  <c r="P5028" i="6"/>
  <c r="P5027" i="6"/>
  <c r="P5026" i="6"/>
  <c r="P5025" i="6"/>
  <c r="P5024" i="6"/>
  <c r="P5023" i="6"/>
  <c r="P5022" i="6"/>
  <c r="P5021" i="6"/>
  <c r="P5020" i="6"/>
  <c r="P5019" i="6"/>
  <c r="P5018" i="6"/>
  <c r="P5017" i="6"/>
  <c r="P5016" i="6"/>
  <c r="P5015" i="6"/>
  <c r="P5014" i="6"/>
  <c r="P5013" i="6"/>
  <c r="P5012" i="6"/>
  <c r="P5011" i="6"/>
  <c r="P5010" i="6"/>
  <c r="P5009" i="6"/>
  <c r="P5008" i="6"/>
  <c r="P5007" i="6"/>
  <c r="P5006" i="6"/>
  <c r="P5005" i="6"/>
  <c r="P5004" i="6"/>
  <c r="P5003" i="6"/>
  <c r="P5002" i="6"/>
  <c r="P5001" i="6"/>
  <c r="P5000" i="6"/>
  <c r="P4999" i="6"/>
  <c r="P4998" i="6"/>
  <c r="P4997" i="6"/>
  <c r="P4996" i="6"/>
  <c r="P4995" i="6"/>
  <c r="P4994" i="6"/>
  <c r="P4993" i="6"/>
  <c r="P4992" i="6"/>
  <c r="P4991" i="6"/>
  <c r="P4990" i="6"/>
  <c r="P4989" i="6"/>
  <c r="P4988" i="6"/>
  <c r="P4987" i="6"/>
  <c r="P4986" i="6"/>
  <c r="P4985" i="6"/>
  <c r="P4984" i="6"/>
  <c r="P4983" i="6"/>
  <c r="P4982" i="6"/>
  <c r="P4981" i="6"/>
  <c r="P4980" i="6"/>
  <c r="P4979" i="6"/>
  <c r="P4978" i="6"/>
  <c r="P4977" i="6"/>
  <c r="P4976" i="6"/>
  <c r="P4975" i="6"/>
  <c r="P4974" i="6"/>
  <c r="P4973" i="6"/>
  <c r="P4972" i="6"/>
  <c r="P4971" i="6"/>
  <c r="P4970" i="6"/>
  <c r="P4969" i="6"/>
  <c r="P4968" i="6"/>
  <c r="P4967" i="6"/>
  <c r="P4966" i="6"/>
  <c r="P4965" i="6"/>
  <c r="P4964" i="6"/>
  <c r="P4963" i="6"/>
  <c r="P4962" i="6"/>
  <c r="P4961" i="6"/>
  <c r="P4960" i="6"/>
  <c r="P4959" i="6"/>
  <c r="P4958" i="6"/>
  <c r="P4957" i="6"/>
  <c r="P4956" i="6"/>
  <c r="P4955" i="6"/>
  <c r="P4954" i="6"/>
  <c r="P4953" i="6"/>
  <c r="P4952" i="6"/>
  <c r="P4951" i="6"/>
  <c r="P4950" i="6"/>
  <c r="P4949" i="6"/>
  <c r="P4948" i="6"/>
  <c r="P4947" i="6"/>
  <c r="P4946" i="6"/>
  <c r="P4945" i="6"/>
  <c r="P4944" i="6"/>
  <c r="P4943" i="6"/>
  <c r="P4942" i="6"/>
  <c r="P4941" i="6"/>
  <c r="P4940" i="6"/>
  <c r="P4939" i="6"/>
  <c r="P4938" i="6"/>
  <c r="P4937" i="6"/>
  <c r="P4936" i="6"/>
  <c r="P4935" i="6"/>
  <c r="P4934" i="6"/>
  <c r="P4933" i="6"/>
  <c r="P4932" i="6"/>
  <c r="P4931" i="6"/>
  <c r="P4930" i="6"/>
  <c r="P4929" i="6"/>
  <c r="P4928" i="6"/>
  <c r="P4927" i="6"/>
  <c r="P4926" i="6"/>
  <c r="P4925" i="6"/>
  <c r="P4924" i="6"/>
  <c r="P4923" i="6"/>
  <c r="P4922" i="6"/>
  <c r="P4921" i="6"/>
  <c r="P4920" i="6"/>
  <c r="P4919" i="6"/>
  <c r="P4918" i="6"/>
  <c r="P4917" i="6"/>
  <c r="P4916" i="6"/>
  <c r="P4915" i="6"/>
  <c r="P4914" i="6"/>
  <c r="P4913" i="6"/>
  <c r="P4912" i="6"/>
  <c r="P4911" i="6"/>
  <c r="P4910" i="6"/>
  <c r="P4909" i="6"/>
  <c r="P4908" i="6"/>
  <c r="P4907" i="6"/>
  <c r="P4906" i="6"/>
  <c r="P4905" i="6"/>
  <c r="P4904" i="6"/>
  <c r="P4903" i="6"/>
  <c r="P4902" i="6"/>
  <c r="P4901" i="6"/>
  <c r="P4900" i="6"/>
  <c r="P4899" i="6"/>
  <c r="P4898" i="6"/>
  <c r="P4897" i="6"/>
  <c r="P4896" i="6"/>
  <c r="P4895" i="6"/>
  <c r="P4894" i="6"/>
  <c r="P4893" i="6"/>
  <c r="P4892" i="6"/>
  <c r="P4891" i="6"/>
  <c r="P4890" i="6"/>
  <c r="P4889" i="6"/>
  <c r="P4888" i="6"/>
  <c r="P4887" i="6"/>
  <c r="P4886" i="6"/>
  <c r="P4885" i="6"/>
  <c r="P4884" i="6"/>
  <c r="P4883" i="6"/>
  <c r="P4882" i="6"/>
  <c r="P4881" i="6"/>
  <c r="P4880" i="6"/>
  <c r="P4879" i="6"/>
  <c r="P4878" i="6"/>
  <c r="P4877" i="6"/>
  <c r="P4876" i="6"/>
  <c r="P4875" i="6"/>
  <c r="P4874" i="6"/>
  <c r="P4873" i="6"/>
  <c r="P4872" i="6"/>
  <c r="P4871" i="6"/>
  <c r="P4870" i="6"/>
  <c r="P4869" i="6"/>
  <c r="P4868" i="6"/>
  <c r="P4867" i="6"/>
  <c r="P4866" i="6"/>
  <c r="P4865" i="6"/>
  <c r="P4864" i="6"/>
  <c r="P4863" i="6"/>
  <c r="P4862" i="6"/>
  <c r="P4861" i="6"/>
  <c r="P4860" i="6"/>
  <c r="P4859" i="6"/>
  <c r="P4858" i="6"/>
  <c r="P4857" i="6"/>
  <c r="P4856" i="6"/>
  <c r="P4855" i="6"/>
  <c r="P4854" i="6"/>
  <c r="P4853" i="6"/>
  <c r="P4852" i="6"/>
  <c r="P4851" i="6"/>
  <c r="P4850" i="6"/>
  <c r="P4849" i="6"/>
  <c r="P4848" i="6"/>
  <c r="P4847" i="6"/>
  <c r="P4846" i="6"/>
  <c r="P4845" i="6"/>
  <c r="P4844" i="6"/>
  <c r="P4843" i="6"/>
  <c r="P4842" i="6"/>
  <c r="P4841" i="6"/>
  <c r="P4840" i="6"/>
  <c r="P4839" i="6"/>
  <c r="P4838" i="6"/>
  <c r="P4837" i="6"/>
  <c r="P4836" i="6"/>
  <c r="P4835" i="6"/>
  <c r="P4834" i="6"/>
  <c r="P4833" i="6"/>
  <c r="P4832" i="6"/>
  <c r="P4831" i="6"/>
  <c r="P4830" i="6"/>
  <c r="P4829" i="6"/>
  <c r="P4828" i="6"/>
  <c r="P4827" i="6"/>
  <c r="P4826" i="6"/>
  <c r="P4825" i="6"/>
  <c r="P4824" i="6"/>
  <c r="P4823" i="6"/>
  <c r="P4822" i="6"/>
  <c r="P4821" i="6"/>
  <c r="P4820" i="6"/>
  <c r="P4819" i="6"/>
  <c r="P4818" i="6"/>
  <c r="P4817" i="6"/>
  <c r="P4816" i="6"/>
  <c r="P4815" i="6"/>
  <c r="P4814" i="6"/>
  <c r="P4813" i="6"/>
  <c r="P4812" i="6"/>
  <c r="P4811" i="6"/>
  <c r="P4810" i="6"/>
  <c r="P4809" i="6"/>
  <c r="P4808" i="6"/>
  <c r="P4807" i="6"/>
  <c r="P4806" i="6"/>
  <c r="P4805" i="6"/>
  <c r="P4804" i="6"/>
  <c r="P4803" i="6"/>
  <c r="P4802" i="6"/>
  <c r="P4801" i="6"/>
  <c r="P4800" i="6"/>
  <c r="P4799" i="6"/>
  <c r="P4798" i="6"/>
  <c r="P4797" i="6"/>
  <c r="P4796" i="6"/>
  <c r="P4795" i="6"/>
  <c r="P4794" i="6"/>
  <c r="P4793" i="6"/>
  <c r="P4792" i="6"/>
  <c r="P4791" i="6"/>
  <c r="P4790" i="6"/>
  <c r="P4789" i="6"/>
  <c r="P4788" i="6"/>
  <c r="P4787" i="6"/>
  <c r="P4786" i="6"/>
  <c r="P4785" i="6"/>
  <c r="P4784" i="6"/>
  <c r="P4783" i="6"/>
  <c r="P4782" i="6"/>
  <c r="P4781" i="6"/>
  <c r="P4780" i="6"/>
  <c r="P4779" i="6"/>
  <c r="P4778" i="6"/>
  <c r="P4777" i="6"/>
  <c r="P4776" i="6"/>
  <c r="P4775" i="6"/>
  <c r="P4774" i="6"/>
  <c r="P4773" i="6"/>
  <c r="P4772" i="6"/>
  <c r="P4771" i="6"/>
  <c r="P4770" i="6"/>
  <c r="P4769" i="6"/>
  <c r="P4768" i="6"/>
  <c r="P4767" i="6"/>
  <c r="P4766" i="6"/>
  <c r="P4765" i="6"/>
  <c r="P4764" i="6"/>
  <c r="P4763" i="6"/>
  <c r="P4762" i="6"/>
  <c r="P4761" i="6"/>
  <c r="P4760" i="6"/>
  <c r="P4759" i="6"/>
  <c r="P4758" i="6"/>
  <c r="P4757" i="6"/>
  <c r="P4756" i="6"/>
  <c r="P4755" i="6"/>
  <c r="P4754" i="6"/>
  <c r="P4753" i="6"/>
  <c r="P4752" i="6"/>
  <c r="P4751" i="6"/>
  <c r="P4750" i="6"/>
  <c r="P4749" i="6"/>
  <c r="P4748" i="6"/>
  <c r="P4747" i="6"/>
  <c r="P4746" i="6"/>
  <c r="P4745" i="6"/>
  <c r="P4744" i="6"/>
  <c r="P4743" i="6"/>
  <c r="P4742" i="6"/>
  <c r="P4741" i="6"/>
  <c r="P4740" i="6"/>
  <c r="P4739" i="6"/>
  <c r="P4738" i="6"/>
  <c r="P4737" i="6"/>
  <c r="P4736" i="6"/>
  <c r="P4735" i="6"/>
  <c r="P4734" i="6"/>
  <c r="P4733" i="6"/>
  <c r="P4732" i="6"/>
  <c r="P4731" i="6"/>
  <c r="P4730" i="6"/>
  <c r="P4729" i="6"/>
  <c r="P4728" i="6"/>
  <c r="P4727" i="6"/>
  <c r="P4726" i="6"/>
  <c r="P4725" i="6"/>
  <c r="P4724" i="6"/>
  <c r="P4723" i="6"/>
  <c r="P4722" i="6"/>
  <c r="P4721" i="6"/>
  <c r="P4720" i="6"/>
  <c r="P4719" i="6"/>
  <c r="P4718" i="6"/>
  <c r="P4717" i="6"/>
  <c r="P4716" i="6"/>
  <c r="P4715" i="6"/>
  <c r="P4714" i="6"/>
  <c r="P4713" i="6"/>
  <c r="P4712" i="6"/>
  <c r="P4711" i="6"/>
  <c r="P4710" i="6"/>
  <c r="P4709" i="6"/>
  <c r="P4708" i="6"/>
  <c r="P4707" i="6"/>
  <c r="P4706" i="6"/>
  <c r="P4705" i="6"/>
  <c r="P4704" i="6"/>
  <c r="P4703" i="6"/>
  <c r="P4702" i="6"/>
  <c r="P4701" i="6"/>
  <c r="P4700" i="6"/>
  <c r="P4699" i="6"/>
  <c r="P4698" i="6"/>
  <c r="P4697" i="6"/>
  <c r="P4696" i="6"/>
  <c r="P4695" i="6"/>
  <c r="P4694" i="6"/>
  <c r="P4693" i="6"/>
  <c r="P4692" i="6"/>
  <c r="P4691" i="6"/>
  <c r="P4690" i="6"/>
  <c r="P4689" i="6"/>
  <c r="P4688" i="6"/>
  <c r="P4687" i="6"/>
  <c r="P4686" i="6"/>
  <c r="P4685" i="6"/>
  <c r="P4684" i="6"/>
  <c r="P4683" i="6"/>
  <c r="P4682" i="6"/>
  <c r="P4681" i="6"/>
  <c r="P4680" i="6"/>
  <c r="P4679" i="6"/>
  <c r="P4678" i="6"/>
  <c r="P4677" i="6"/>
  <c r="P4676" i="6"/>
  <c r="P4675" i="6"/>
  <c r="P4674" i="6"/>
  <c r="P4673" i="6"/>
  <c r="P4672" i="6"/>
  <c r="P4671" i="6"/>
  <c r="P4670" i="6"/>
  <c r="P4669" i="6"/>
  <c r="P4668" i="6"/>
  <c r="P4667" i="6"/>
  <c r="P4666" i="6"/>
  <c r="P4665" i="6"/>
  <c r="P4664" i="6"/>
  <c r="P4663" i="6"/>
  <c r="P4662" i="6"/>
  <c r="P4661" i="6"/>
  <c r="P4660" i="6"/>
  <c r="P4659" i="6"/>
  <c r="P4658" i="6"/>
  <c r="P4657" i="6"/>
  <c r="P4656" i="6"/>
  <c r="P4655" i="6"/>
  <c r="P4654" i="6"/>
  <c r="P4653" i="6"/>
  <c r="P4652" i="6"/>
  <c r="P4651" i="6"/>
  <c r="P4650" i="6"/>
  <c r="P4649" i="6"/>
  <c r="P4648" i="6"/>
  <c r="P4647" i="6"/>
  <c r="P4646" i="6"/>
  <c r="P4645" i="6"/>
  <c r="P4644" i="6"/>
  <c r="P4643" i="6"/>
  <c r="P4642" i="6"/>
  <c r="P4641" i="6"/>
  <c r="P4640" i="6"/>
  <c r="P4639" i="6"/>
  <c r="P4638" i="6"/>
  <c r="P4637" i="6"/>
  <c r="P4636" i="6"/>
  <c r="P4635" i="6"/>
  <c r="P4634" i="6"/>
  <c r="P4633" i="6"/>
  <c r="P4632" i="6"/>
  <c r="P4631" i="6"/>
  <c r="P4630" i="6"/>
  <c r="P4629" i="6"/>
  <c r="P4628" i="6"/>
  <c r="P4627" i="6"/>
  <c r="P4626" i="6"/>
  <c r="P4625" i="6"/>
  <c r="P4624" i="6"/>
  <c r="P4623" i="6"/>
  <c r="P4622" i="6"/>
  <c r="P4621" i="6"/>
  <c r="P4620" i="6"/>
  <c r="P4619" i="6"/>
  <c r="P4618" i="6"/>
  <c r="P4617" i="6"/>
  <c r="P4616" i="6"/>
  <c r="P4615" i="6"/>
  <c r="P4614" i="6"/>
  <c r="P4613" i="6"/>
  <c r="P4612" i="6"/>
  <c r="P4611" i="6"/>
  <c r="P4610" i="6"/>
  <c r="P4609" i="6"/>
  <c r="P4608" i="6"/>
  <c r="P4607" i="6"/>
  <c r="P4606" i="6"/>
  <c r="P4605" i="6"/>
  <c r="P4604" i="6"/>
  <c r="P4603" i="6"/>
  <c r="P4602" i="6"/>
  <c r="P4601" i="6"/>
  <c r="P4600" i="6"/>
  <c r="P4599" i="6"/>
  <c r="P4598" i="6"/>
  <c r="P4597" i="6"/>
  <c r="P4596" i="6"/>
  <c r="P4595" i="6"/>
  <c r="P4594" i="6"/>
  <c r="P4593" i="6"/>
  <c r="P4592" i="6"/>
  <c r="P4591" i="6"/>
  <c r="P4590" i="6"/>
  <c r="P4589" i="6"/>
  <c r="P4588" i="6"/>
  <c r="P4587" i="6"/>
  <c r="P4586" i="6"/>
  <c r="P4585" i="6"/>
  <c r="P4584" i="6"/>
  <c r="P4583" i="6"/>
  <c r="P4582" i="6"/>
  <c r="P4581" i="6"/>
  <c r="P4580" i="6"/>
  <c r="P4579" i="6"/>
  <c r="P4578" i="6"/>
  <c r="P4577" i="6"/>
  <c r="P4576" i="6"/>
  <c r="P4575" i="6"/>
  <c r="P4574" i="6"/>
  <c r="P4573" i="6"/>
  <c r="P4572" i="6"/>
  <c r="P4571" i="6"/>
  <c r="P4570" i="6"/>
  <c r="P4569" i="6"/>
  <c r="P4568" i="6"/>
  <c r="P4567" i="6"/>
  <c r="P4566" i="6"/>
  <c r="P4565" i="6"/>
  <c r="P4564" i="6"/>
  <c r="P4563" i="6"/>
  <c r="P4562" i="6"/>
  <c r="P4561" i="6"/>
  <c r="P4560" i="6"/>
  <c r="P4559" i="6"/>
  <c r="P4558" i="6"/>
  <c r="P4557" i="6"/>
  <c r="P4556" i="6"/>
  <c r="P4555" i="6"/>
  <c r="P4554" i="6"/>
  <c r="P4553" i="6"/>
  <c r="P4552" i="6"/>
  <c r="P4551" i="6"/>
  <c r="P4550" i="6"/>
  <c r="P4549" i="6"/>
  <c r="P4548" i="6"/>
  <c r="P4547" i="6"/>
  <c r="P4546" i="6"/>
  <c r="P4545" i="6"/>
  <c r="P4544" i="6"/>
  <c r="P4543" i="6"/>
  <c r="P4542" i="6"/>
  <c r="P4541" i="6"/>
  <c r="P4540" i="6"/>
  <c r="P4539" i="6"/>
  <c r="P4538" i="6"/>
  <c r="P4537" i="6"/>
  <c r="P4536" i="6"/>
  <c r="P4535" i="6"/>
  <c r="P4534" i="6"/>
  <c r="P4533" i="6"/>
  <c r="P4532" i="6"/>
  <c r="P4531" i="6"/>
  <c r="P4530" i="6"/>
  <c r="P4529" i="6"/>
  <c r="P4528" i="6"/>
  <c r="P4527" i="6"/>
  <c r="P4526" i="6"/>
  <c r="P4525" i="6"/>
  <c r="P4524" i="6"/>
  <c r="P4523" i="6"/>
  <c r="P4522" i="6"/>
  <c r="P4521" i="6"/>
  <c r="P4520" i="6"/>
  <c r="P4519" i="6"/>
  <c r="P4518" i="6"/>
  <c r="P4517" i="6"/>
  <c r="P4516" i="6"/>
  <c r="P4515" i="6"/>
  <c r="P4514" i="6"/>
  <c r="P4513" i="6"/>
  <c r="P4512" i="6"/>
  <c r="P4511" i="6"/>
  <c r="P4510" i="6"/>
  <c r="P4509" i="6"/>
  <c r="P4508" i="6"/>
  <c r="P4507" i="6"/>
  <c r="P4506" i="6"/>
  <c r="P4505" i="6"/>
  <c r="P4504" i="6"/>
  <c r="P4503" i="6"/>
  <c r="P4502" i="6"/>
  <c r="P4501" i="6"/>
  <c r="P4500" i="6"/>
  <c r="P4499" i="6"/>
  <c r="P4498" i="6"/>
  <c r="P4497" i="6"/>
  <c r="P4496" i="6"/>
  <c r="P4495" i="6"/>
  <c r="P4494" i="6"/>
  <c r="P4493" i="6"/>
  <c r="P4492" i="6"/>
  <c r="P4491" i="6"/>
  <c r="P4490" i="6"/>
  <c r="P4489" i="6"/>
  <c r="P4488" i="6"/>
  <c r="P4487" i="6"/>
  <c r="P4486" i="6"/>
  <c r="P4485" i="6"/>
  <c r="P4484" i="6"/>
  <c r="P4483" i="6"/>
  <c r="P4482" i="6"/>
  <c r="P4481" i="6"/>
  <c r="P4480" i="6"/>
  <c r="P4479" i="6"/>
  <c r="P4478" i="6"/>
  <c r="P4477" i="6"/>
  <c r="P4476" i="6"/>
  <c r="P4475" i="6"/>
  <c r="P4474" i="6"/>
  <c r="P4473" i="6"/>
  <c r="P4472" i="6"/>
  <c r="P4471" i="6"/>
  <c r="P4470" i="6"/>
  <c r="P4469" i="6"/>
  <c r="P4468" i="6"/>
  <c r="P4467" i="6"/>
  <c r="P4466" i="6"/>
  <c r="P4465" i="6"/>
  <c r="P4464" i="6"/>
  <c r="P4463" i="6"/>
  <c r="P4462" i="6"/>
  <c r="P4461" i="6"/>
  <c r="P4460" i="6"/>
  <c r="P4459" i="6"/>
  <c r="P4458" i="6"/>
  <c r="P4457" i="6"/>
  <c r="P4456" i="6"/>
  <c r="P4455" i="6"/>
  <c r="P4454" i="6"/>
  <c r="P4453" i="6"/>
  <c r="P4452" i="6"/>
  <c r="P4451" i="6"/>
  <c r="P4450" i="6"/>
  <c r="P4449" i="6"/>
  <c r="P4448" i="6"/>
  <c r="P4447" i="6"/>
  <c r="P4446" i="6"/>
  <c r="P4445" i="6"/>
  <c r="P4444" i="6"/>
  <c r="P4443" i="6"/>
  <c r="P4442" i="6"/>
  <c r="P4441" i="6"/>
  <c r="P4440" i="6"/>
  <c r="P4439" i="6"/>
  <c r="P4438" i="6"/>
  <c r="P4437" i="6"/>
  <c r="P4436" i="6"/>
  <c r="P4435" i="6"/>
  <c r="P4434" i="6"/>
  <c r="P4433" i="6"/>
  <c r="P4432" i="6"/>
  <c r="P4431" i="6"/>
  <c r="P4430" i="6"/>
  <c r="P4429" i="6"/>
  <c r="P4428" i="6"/>
  <c r="P4427" i="6"/>
  <c r="P4426" i="6"/>
  <c r="P4425" i="6"/>
  <c r="P4424" i="6"/>
  <c r="P4423" i="6"/>
  <c r="P4422" i="6"/>
  <c r="P4421" i="6"/>
  <c r="P4420" i="6"/>
  <c r="P4419" i="6"/>
  <c r="P4418" i="6"/>
  <c r="P4417" i="6"/>
  <c r="P4416" i="6"/>
  <c r="P4415" i="6"/>
  <c r="P4414" i="6"/>
  <c r="P4413" i="6"/>
  <c r="P4412" i="6"/>
  <c r="P4411" i="6"/>
  <c r="P4410" i="6"/>
  <c r="P4409" i="6"/>
  <c r="P4408" i="6"/>
  <c r="P4407" i="6"/>
  <c r="P4406" i="6"/>
  <c r="P4405" i="6"/>
  <c r="P4404" i="6"/>
  <c r="P4403" i="6"/>
  <c r="P4402" i="6"/>
  <c r="P4401" i="6"/>
  <c r="P4400" i="6"/>
  <c r="P4399" i="6"/>
  <c r="P4398" i="6"/>
  <c r="P4397" i="6"/>
  <c r="P4396" i="6"/>
  <c r="P4395" i="6"/>
  <c r="P4394" i="6"/>
  <c r="P4393" i="6"/>
  <c r="P4392" i="6"/>
  <c r="P4391" i="6"/>
  <c r="P4390" i="6"/>
  <c r="P4389" i="6"/>
  <c r="P4388" i="6"/>
  <c r="P4387" i="6"/>
  <c r="P4386" i="6"/>
  <c r="P4385" i="6"/>
  <c r="P4384" i="6"/>
  <c r="P4383" i="6"/>
  <c r="P4382" i="6"/>
  <c r="P4381" i="6"/>
  <c r="P4380" i="6"/>
  <c r="P4379" i="6"/>
  <c r="P4378" i="6"/>
  <c r="P4377" i="6"/>
  <c r="P4376" i="6"/>
  <c r="P4375" i="6"/>
  <c r="P4374" i="6"/>
  <c r="P4373" i="6"/>
  <c r="P4372" i="6"/>
  <c r="P4371" i="6"/>
  <c r="P4370" i="6"/>
  <c r="P4369" i="6"/>
  <c r="P4368" i="6"/>
  <c r="P4367" i="6"/>
  <c r="P4366" i="6"/>
  <c r="P4365" i="6"/>
  <c r="P4364" i="6"/>
  <c r="P4363" i="6"/>
  <c r="P4362" i="6"/>
  <c r="P4361" i="6"/>
  <c r="P4360" i="6"/>
  <c r="P4359" i="6"/>
  <c r="P4358" i="6"/>
  <c r="P4357" i="6"/>
  <c r="P4356" i="6"/>
  <c r="P4355" i="6"/>
  <c r="P4354" i="6"/>
  <c r="P4353" i="6"/>
  <c r="P4352" i="6"/>
  <c r="P4351" i="6"/>
  <c r="P4350" i="6"/>
  <c r="P4349" i="6"/>
  <c r="P4348" i="6"/>
  <c r="P4347" i="6"/>
  <c r="P4346" i="6"/>
  <c r="P4345" i="6"/>
  <c r="P4344" i="6"/>
  <c r="P4343" i="6"/>
  <c r="P4342" i="6"/>
  <c r="P4341" i="6"/>
  <c r="P4340" i="6"/>
  <c r="P4339" i="6"/>
  <c r="P4338" i="6"/>
  <c r="P4337" i="6"/>
  <c r="P4336" i="6"/>
  <c r="P4335" i="6"/>
  <c r="P4334" i="6"/>
  <c r="P4333" i="6"/>
  <c r="P4332" i="6"/>
  <c r="P4331" i="6"/>
  <c r="P4330" i="6"/>
  <c r="P4329" i="6"/>
  <c r="P4328" i="6"/>
  <c r="P4327" i="6"/>
  <c r="P4326" i="6"/>
  <c r="P4325" i="6"/>
  <c r="P4324" i="6"/>
  <c r="P4323" i="6"/>
  <c r="P4322" i="6"/>
  <c r="P4321" i="6"/>
  <c r="P4320" i="6"/>
  <c r="P4319" i="6"/>
  <c r="P4318" i="6"/>
  <c r="P4317" i="6"/>
  <c r="P4316" i="6"/>
  <c r="P4315" i="6"/>
  <c r="P4314" i="6"/>
  <c r="P4313" i="6"/>
  <c r="P4312" i="6"/>
  <c r="P4311" i="6"/>
  <c r="P4310" i="6"/>
  <c r="P4309" i="6"/>
  <c r="P4308" i="6"/>
  <c r="P4307" i="6"/>
  <c r="P4306" i="6"/>
  <c r="P4305" i="6"/>
  <c r="P4304" i="6"/>
  <c r="P4303" i="6"/>
  <c r="P4302" i="6"/>
  <c r="P4301" i="6"/>
  <c r="P4300" i="6"/>
  <c r="P4299" i="6"/>
  <c r="P4298" i="6"/>
  <c r="P4297" i="6"/>
  <c r="P4296" i="6"/>
  <c r="P4295" i="6"/>
  <c r="P4294" i="6"/>
  <c r="P4293" i="6"/>
  <c r="P4292" i="6"/>
  <c r="P4291" i="6"/>
  <c r="P4290" i="6"/>
  <c r="P4289" i="6"/>
  <c r="P4288" i="6"/>
  <c r="P4287" i="6"/>
  <c r="P4286" i="6"/>
  <c r="P4285" i="6"/>
  <c r="P4284" i="6"/>
  <c r="P4283" i="6"/>
  <c r="P4282" i="6"/>
  <c r="P4281" i="6"/>
  <c r="P4280" i="6"/>
  <c r="P4279" i="6"/>
  <c r="P4278" i="6"/>
  <c r="P4277" i="6"/>
  <c r="P4276" i="6"/>
  <c r="P4275" i="6"/>
  <c r="P4274" i="6"/>
  <c r="P4273" i="6"/>
  <c r="P4272" i="6"/>
  <c r="P4271" i="6"/>
  <c r="P4270" i="6"/>
  <c r="P4269" i="6"/>
  <c r="P4268" i="6"/>
  <c r="P4267" i="6"/>
  <c r="P4266" i="6"/>
  <c r="P4265" i="6"/>
  <c r="P4264" i="6"/>
  <c r="P4263" i="6"/>
  <c r="P4262" i="6"/>
  <c r="P4261" i="6"/>
  <c r="P4260" i="6"/>
  <c r="P4259" i="6"/>
  <c r="P4258" i="6"/>
  <c r="P4257" i="6"/>
  <c r="P4256" i="6"/>
  <c r="P4255" i="6"/>
  <c r="P4254" i="6"/>
  <c r="P4253" i="6"/>
  <c r="P4252" i="6"/>
  <c r="P4251" i="6"/>
  <c r="P4250" i="6"/>
  <c r="P4249" i="6"/>
  <c r="P4248" i="6"/>
  <c r="P4247" i="6"/>
  <c r="P4246" i="6"/>
  <c r="P4245" i="6"/>
  <c r="P4244" i="6"/>
  <c r="P4243" i="6"/>
  <c r="P4242" i="6"/>
  <c r="P4241" i="6"/>
  <c r="P4240" i="6"/>
  <c r="P4239" i="6"/>
  <c r="P4238" i="6"/>
  <c r="P4237" i="6"/>
  <c r="P4236" i="6"/>
  <c r="P4235" i="6"/>
  <c r="P4234" i="6"/>
  <c r="P4233" i="6"/>
  <c r="P4232" i="6"/>
  <c r="P4231" i="6"/>
  <c r="P4230" i="6"/>
  <c r="P4229" i="6"/>
  <c r="P4228" i="6"/>
  <c r="P4227" i="6"/>
  <c r="P4226" i="6"/>
  <c r="P4225" i="6"/>
  <c r="P4224" i="6"/>
  <c r="P4223" i="6"/>
  <c r="P4222" i="6"/>
  <c r="P4221" i="6"/>
  <c r="P4220" i="6"/>
  <c r="P4219" i="6"/>
  <c r="P4218" i="6"/>
  <c r="P4217" i="6"/>
  <c r="P4216" i="6"/>
  <c r="P4215" i="6"/>
  <c r="P4214" i="6"/>
  <c r="P4213" i="6"/>
  <c r="P4212" i="6"/>
  <c r="P4211" i="6"/>
  <c r="P4210" i="6"/>
  <c r="P4209" i="6"/>
  <c r="P4208" i="6"/>
  <c r="P4207" i="6"/>
  <c r="P4206" i="6"/>
  <c r="P4205" i="6"/>
  <c r="P4204" i="6"/>
  <c r="P4203" i="6"/>
  <c r="Q4202" i="6"/>
  <c r="N4202" i="6"/>
  <c r="M4202" i="6"/>
  <c r="L4202" i="6"/>
  <c r="K4202" i="6"/>
  <c r="J4202" i="6"/>
  <c r="I4202" i="6"/>
  <c r="P4202" i="6" s="1"/>
  <c r="H4202" i="6"/>
  <c r="G4202" i="6"/>
  <c r="F4202" i="6"/>
  <c r="D4202" i="6"/>
  <c r="U4202" i="6" s="1"/>
  <c r="C4202" i="6"/>
  <c r="B4202" i="6"/>
  <c r="E4202" i="6" s="1"/>
  <c r="Q4201" i="6"/>
  <c r="N4201" i="6"/>
  <c r="M4201" i="6"/>
  <c r="L4201" i="6"/>
  <c r="K4201" i="6"/>
  <c r="J4201" i="6"/>
  <c r="I4201" i="6"/>
  <c r="P4201" i="6" s="1"/>
  <c r="H4201" i="6"/>
  <c r="G4201" i="6"/>
  <c r="F4201" i="6"/>
  <c r="D4201" i="6"/>
  <c r="U4201" i="6" s="1"/>
  <c r="C4201" i="6"/>
  <c r="B4201" i="6"/>
  <c r="Q4200" i="6"/>
  <c r="P4200" i="6"/>
  <c r="N4200" i="6"/>
  <c r="M4200" i="6"/>
  <c r="L4200" i="6"/>
  <c r="K4200" i="6"/>
  <c r="J4200" i="6"/>
  <c r="I4200" i="6"/>
  <c r="H4200" i="6"/>
  <c r="G4200" i="6"/>
  <c r="F4200" i="6"/>
  <c r="D4200" i="6"/>
  <c r="U4200" i="6" s="1"/>
  <c r="C4200" i="6"/>
  <c r="B4200" i="6"/>
  <c r="E4200" i="6" s="1"/>
  <c r="Q4199" i="6"/>
  <c r="N4199" i="6"/>
  <c r="M4199" i="6"/>
  <c r="L4199" i="6"/>
  <c r="K4199" i="6"/>
  <c r="J4199" i="6"/>
  <c r="I4199" i="6"/>
  <c r="P4199" i="6" s="1"/>
  <c r="H4199" i="6"/>
  <c r="G4199" i="6"/>
  <c r="F4199" i="6"/>
  <c r="D4199" i="6"/>
  <c r="U4199" i="6" s="1"/>
  <c r="C4199" i="6"/>
  <c r="B4199" i="6"/>
  <c r="Q4198" i="6"/>
  <c r="P4198" i="6"/>
  <c r="N4198" i="6"/>
  <c r="M4198" i="6"/>
  <c r="L4198" i="6"/>
  <c r="K4198" i="6"/>
  <c r="J4198" i="6"/>
  <c r="I4198" i="6"/>
  <c r="H4198" i="6"/>
  <c r="G4198" i="6"/>
  <c r="F4198" i="6"/>
  <c r="D4198" i="6"/>
  <c r="U4198" i="6" s="1"/>
  <c r="C4198" i="6"/>
  <c r="B4198" i="6"/>
  <c r="E4198" i="6" s="1"/>
  <c r="Q4197" i="6"/>
  <c r="N4197" i="6"/>
  <c r="M4197" i="6"/>
  <c r="L4197" i="6"/>
  <c r="K4197" i="6"/>
  <c r="J4197" i="6"/>
  <c r="I4197" i="6"/>
  <c r="P4197" i="6" s="1"/>
  <c r="H4197" i="6"/>
  <c r="G4197" i="6"/>
  <c r="F4197" i="6"/>
  <c r="D4197" i="6"/>
  <c r="U4197" i="6" s="1"/>
  <c r="C4197" i="6"/>
  <c r="B4197" i="6"/>
  <c r="Q4196" i="6"/>
  <c r="P4196" i="6"/>
  <c r="N4196" i="6"/>
  <c r="M4196" i="6"/>
  <c r="L4196" i="6"/>
  <c r="K4196" i="6"/>
  <c r="J4196" i="6"/>
  <c r="I4196" i="6"/>
  <c r="H4196" i="6"/>
  <c r="G4196" i="6"/>
  <c r="F4196" i="6"/>
  <c r="D4196" i="6"/>
  <c r="U4196" i="6" s="1"/>
  <c r="C4196" i="6"/>
  <c r="B4196" i="6"/>
  <c r="E4196" i="6" s="1"/>
  <c r="Q4195" i="6"/>
  <c r="N4195" i="6"/>
  <c r="M4195" i="6"/>
  <c r="L4195" i="6"/>
  <c r="K4195" i="6"/>
  <c r="J4195" i="6"/>
  <c r="I4195" i="6"/>
  <c r="P4195" i="6" s="1"/>
  <c r="H4195" i="6"/>
  <c r="G4195" i="6"/>
  <c r="F4195" i="6"/>
  <c r="D4195" i="6"/>
  <c r="U4195" i="6" s="1"/>
  <c r="C4195" i="6"/>
  <c r="B4195" i="6"/>
  <c r="Q4194" i="6"/>
  <c r="P4194" i="6"/>
  <c r="N4194" i="6"/>
  <c r="M4194" i="6"/>
  <c r="L4194" i="6"/>
  <c r="K4194" i="6"/>
  <c r="J4194" i="6"/>
  <c r="I4194" i="6"/>
  <c r="H4194" i="6"/>
  <c r="G4194" i="6"/>
  <c r="F4194" i="6"/>
  <c r="D4194" i="6"/>
  <c r="U4194" i="6" s="1"/>
  <c r="C4194" i="6"/>
  <c r="B4194" i="6"/>
  <c r="E4194" i="6" s="1"/>
  <c r="Q4193" i="6"/>
  <c r="N4193" i="6"/>
  <c r="M4193" i="6"/>
  <c r="L4193" i="6"/>
  <c r="K4193" i="6"/>
  <c r="J4193" i="6"/>
  <c r="I4193" i="6"/>
  <c r="P4193" i="6" s="1"/>
  <c r="H4193" i="6"/>
  <c r="G4193" i="6"/>
  <c r="F4193" i="6"/>
  <c r="D4193" i="6"/>
  <c r="U4193" i="6" s="1"/>
  <c r="C4193" i="6"/>
  <c r="B4193" i="6"/>
  <c r="Q4192" i="6"/>
  <c r="P4192" i="6"/>
  <c r="N4192" i="6"/>
  <c r="M4192" i="6"/>
  <c r="L4192" i="6"/>
  <c r="K4192" i="6"/>
  <c r="J4192" i="6"/>
  <c r="I4192" i="6"/>
  <c r="H4192" i="6"/>
  <c r="G4192" i="6"/>
  <c r="F4192" i="6"/>
  <c r="D4192" i="6"/>
  <c r="U4192" i="6" s="1"/>
  <c r="C4192" i="6"/>
  <c r="B4192" i="6"/>
  <c r="E4192" i="6" s="1"/>
  <c r="Q4191" i="6"/>
  <c r="N4191" i="6"/>
  <c r="M4191" i="6"/>
  <c r="L4191" i="6"/>
  <c r="K4191" i="6"/>
  <c r="J4191" i="6"/>
  <c r="I4191" i="6"/>
  <c r="P4191" i="6" s="1"/>
  <c r="H4191" i="6"/>
  <c r="G4191" i="6"/>
  <c r="F4191" i="6"/>
  <c r="D4191" i="6"/>
  <c r="U4191" i="6" s="1"/>
  <c r="C4191" i="6"/>
  <c r="B4191" i="6"/>
  <c r="Q4190" i="6"/>
  <c r="P4190" i="6"/>
  <c r="N4190" i="6"/>
  <c r="M4190" i="6"/>
  <c r="L4190" i="6"/>
  <c r="K4190" i="6"/>
  <c r="J4190" i="6"/>
  <c r="I4190" i="6"/>
  <c r="H4190" i="6"/>
  <c r="G4190" i="6"/>
  <c r="F4190" i="6"/>
  <c r="D4190" i="6"/>
  <c r="U4190" i="6" s="1"/>
  <c r="C4190" i="6"/>
  <c r="B4190" i="6"/>
  <c r="E4190" i="6" s="1"/>
  <c r="Q4189" i="6"/>
  <c r="N4189" i="6"/>
  <c r="M4189" i="6"/>
  <c r="L4189" i="6"/>
  <c r="K4189" i="6"/>
  <c r="J4189" i="6"/>
  <c r="I4189" i="6"/>
  <c r="P4189" i="6" s="1"/>
  <c r="H4189" i="6"/>
  <c r="G4189" i="6"/>
  <c r="F4189" i="6"/>
  <c r="D4189" i="6"/>
  <c r="U4189" i="6" s="1"/>
  <c r="C4189" i="6"/>
  <c r="B4189" i="6"/>
  <c r="Q4188" i="6"/>
  <c r="P4188" i="6"/>
  <c r="N4188" i="6"/>
  <c r="M4188" i="6"/>
  <c r="L4188" i="6"/>
  <c r="K4188" i="6"/>
  <c r="J4188" i="6"/>
  <c r="I4188" i="6"/>
  <c r="H4188" i="6"/>
  <c r="G4188" i="6"/>
  <c r="F4188" i="6"/>
  <c r="D4188" i="6"/>
  <c r="U4188" i="6" s="1"/>
  <c r="C4188" i="6"/>
  <c r="B4188" i="6"/>
  <c r="E4188" i="6" s="1"/>
  <c r="Q4187" i="6"/>
  <c r="N4187" i="6"/>
  <c r="M4187" i="6"/>
  <c r="L4187" i="6"/>
  <c r="K4187" i="6"/>
  <c r="J4187" i="6"/>
  <c r="I4187" i="6"/>
  <c r="P4187" i="6" s="1"/>
  <c r="H4187" i="6"/>
  <c r="G4187" i="6"/>
  <c r="F4187" i="6"/>
  <c r="D4187" i="6"/>
  <c r="U4187" i="6" s="1"/>
  <c r="C4187" i="6"/>
  <c r="B4187" i="6"/>
  <c r="Q4186" i="6"/>
  <c r="P4186" i="6"/>
  <c r="N4186" i="6"/>
  <c r="M4186" i="6"/>
  <c r="L4186" i="6"/>
  <c r="K4186" i="6"/>
  <c r="J4186" i="6"/>
  <c r="I4186" i="6"/>
  <c r="H4186" i="6"/>
  <c r="G4186" i="6"/>
  <c r="F4186" i="6"/>
  <c r="D4186" i="6"/>
  <c r="U4186" i="6" s="1"/>
  <c r="C4186" i="6"/>
  <c r="B4186" i="6"/>
  <c r="E4186" i="6" s="1"/>
  <c r="Q4185" i="6"/>
  <c r="N4185" i="6"/>
  <c r="M4185" i="6"/>
  <c r="L4185" i="6"/>
  <c r="K4185" i="6"/>
  <c r="J4185" i="6"/>
  <c r="I4185" i="6"/>
  <c r="P4185" i="6" s="1"/>
  <c r="H4185" i="6"/>
  <c r="G4185" i="6"/>
  <c r="F4185" i="6"/>
  <c r="D4185" i="6"/>
  <c r="U4185" i="6" s="1"/>
  <c r="C4185" i="6"/>
  <c r="B4185" i="6"/>
  <c r="Q4184" i="6"/>
  <c r="P4184" i="6"/>
  <c r="N4184" i="6"/>
  <c r="M4184" i="6"/>
  <c r="L4184" i="6"/>
  <c r="K4184" i="6"/>
  <c r="J4184" i="6"/>
  <c r="I4184" i="6"/>
  <c r="H4184" i="6"/>
  <c r="G4184" i="6"/>
  <c r="F4184" i="6"/>
  <c r="D4184" i="6"/>
  <c r="U4184" i="6" s="1"/>
  <c r="C4184" i="6"/>
  <c r="B4184" i="6"/>
  <c r="E4184" i="6" s="1"/>
  <c r="Q4183" i="6"/>
  <c r="N4183" i="6"/>
  <c r="M4183" i="6"/>
  <c r="L4183" i="6"/>
  <c r="K4183" i="6"/>
  <c r="J4183" i="6"/>
  <c r="I4183" i="6"/>
  <c r="P4183" i="6" s="1"/>
  <c r="H4183" i="6"/>
  <c r="G4183" i="6"/>
  <c r="F4183" i="6"/>
  <c r="D4183" i="6"/>
  <c r="U4183" i="6" s="1"/>
  <c r="C4183" i="6"/>
  <c r="B4183" i="6"/>
  <c r="Q4182" i="6"/>
  <c r="P4182" i="6"/>
  <c r="N4182" i="6"/>
  <c r="M4182" i="6"/>
  <c r="L4182" i="6"/>
  <c r="K4182" i="6"/>
  <c r="J4182" i="6"/>
  <c r="I4182" i="6"/>
  <c r="H4182" i="6"/>
  <c r="G4182" i="6"/>
  <c r="F4182" i="6"/>
  <c r="D4182" i="6"/>
  <c r="U4182" i="6" s="1"/>
  <c r="C4182" i="6"/>
  <c r="B4182" i="6"/>
  <c r="E4182" i="6" s="1"/>
  <c r="Q4181" i="6"/>
  <c r="N4181" i="6"/>
  <c r="M4181" i="6"/>
  <c r="L4181" i="6"/>
  <c r="K4181" i="6"/>
  <c r="J4181" i="6"/>
  <c r="I4181" i="6"/>
  <c r="P4181" i="6" s="1"/>
  <c r="H4181" i="6"/>
  <c r="G4181" i="6"/>
  <c r="F4181" i="6"/>
  <c r="D4181" i="6"/>
  <c r="U4181" i="6" s="1"/>
  <c r="C4181" i="6"/>
  <c r="B4181" i="6"/>
  <c r="Q4180" i="6"/>
  <c r="P4180" i="6"/>
  <c r="N4180" i="6"/>
  <c r="M4180" i="6"/>
  <c r="L4180" i="6"/>
  <c r="K4180" i="6"/>
  <c r="J4180" i="6"/>
  <c r="I4180" i="6"/>
  <c r="H4180" i="6"/>
  <c r="G4180" i="6"/>
  <c r="F4180" i="6"/>
  <c r="D4180" i="6"/>
  <c r="U4180" i="6" s="1"/>
  <c r="C4180" i="6"/>
  <c r="B4180" i="6"/>
  <c r="E4180" i="6" s="1"/>
  <c r="Q4179" i="6"/>
  <c r="N4179" i="6"/>
  <c r="M4179" i="6"/>
  <c r="L4179" i="6"/>
  <c r="K4179" i="6"/>
  <c r="J4179" i="6"/>
  <c r="I4179" i="6"/>
  <c r="P4179" i="6" s="1"/>
  <c r="H4179" i="6"/>
  <c r="G4179" i="6"/>
  <c r="F4179" i="6"/>
  <c r="D4179" i="6"/>
  <c r="U4179" i="6" s="1"/>
  <c r="C4179" i="6"/>
  <c r="B4179" i="6"/>
  <c r="Q4178" i="6"/>
  <c r="P4178" i="6"/>
  <c r="N4178" i="6"/>
  <c r="M4178" i="6"/>
  <c r="L4178" i="6"/>
  <c r="K4178" i="6"/>
  <c r="J4178" i="6"/>
  <c r="I4178" i="6"/>
  <c r="H4178" i="6"/>
  <c r="G4178" i="6"/>
  <c r="F4178" i="6"/>
  <c r="D4178" i="6"/>
  <c r="U4178" i="6" s="1"/>
  <c r="C4178" i="6"/>
  <c r="B4178" i="6"/>
  <c r="E4178" i="6" s="1"/>
  <c r="Q4177" i="6"/>
  <c r="N4177" i="6"/>
  <c r="M4177" i="6"/>
  <c r="L4177" i="6"/>
  <c r="K4177" i="6"/>
  <c r="J4177" i="6"/>
  <c r="I4177" i="6"/>
  <c r="P4177" i="6" s="1"/>
  <c r="H4177" i="6"/>
  <c r="G4177" i="6"/>
  <c r="F4177" i="6"/>
  <c r="D4177" i="6"/>
  <c r="U4177" i="6" s="1"/>
  <c r="C4177" i="6"/>
  <c r="B4177" i="6"/>
  <c r="Q4176" i="6"/>
  <c r="P4176" i="6"/>
  <c r="N4176" i="6"/>
  <c r="M4176" i="6"/>
  <c r="L4176" i="6"/>
  <c r="K4176" i="6"/>
  <c r="J4176" i="6"/>
  <c r="I4176" i="6"/>
  <c r="H4176" i="6"/>
  <c r="G4176" i="6"/>
  <c r="F4176" i="6"/>
  <c r="D4176" i="6"/>
  <c r="U4176" i="6" s="1"/>
  <c r="C4176" i="6"/>
  <c r="B4176" i="6"/>
  <c r="E4176" i="6" s="1"/>
  <c r="Q4175" i="6"/>
  <c r="N4175" i="6"/>
  <c r="M4175" i="6"/>
  <c r="L4175" i="6"/>
  <c r="K4175" i="6"/>
  <c r="J4175" i="6"/>
  <c r="I4175" i="6"/>
  <c r="P4175" i="6" s="1"/>
  <c r="H4175" i="6"/>
  <c r="G4175" i="6"/>
  <c r="F4175" i="6"/>
  <c r="D4175" i="6"/>
  <c r="U4175" i="6" s="1"/>
  <c r="C4175" i="6"/>
  <c r="B4175" i="6"/>
  <c r="Q4174" i="6"/>
  <c r="P4174" i="6"/>
  <c r="N4174" i="6"/>
  <c r="M4174" i="6"/>
  <c r="L4174" i="6"/>
  <c r="K4174" i="6"/>
  <c r="J4174" i="6"/>
  <c r="I4174" i="6"/>
  <c r="H4174" i="6"/>
  <c r="G4174" i="6"/>
  <c r="F4174" i="6"/>
  <c r="D4174" i="6"/>
  <c r="U4174" i="6" s="1"/>
  <c r="C4174" i="6"/>
  <c r="B4174" i="6"/>
  <c r="E4174" i="6" s="1"/>
  <c r="Q4173" i="6"/>
  <c r="N4173" i="6"/>
  <c r="M4173" i="6"/>
  <c r="L4173" i="6"/>
  <c r="K4173" i="6"/>
  <c r="J4173" i="6"/>
  <c r="I4173" i="6"/>
  <c r="P4173" i="6" s="1"/>
  <c r="H4173" i="6"/>
  <c r="G4173" i="6"/>
  <c r="F4173" i="6"/>
  <c r="D4173" i="6"/>
  <c r="U4173" i="6" s="1"/>
  <c r="C4173" i="6"/>
  <c r="B4173" i="6"/>
  <c r="Q4172" i="6"/>
  <c r="P4172" i="6"/>
  <c r="N4172" i="6"/>
  <c r="M4172" i="6"/>
  <c r="L4172" i="6"/>
  <c r="K4172" i="6"/>
  <c r="J4172" i="6"/>
  <c r="I4172" i="6"/>
  <c r="H4172" i="6"/>
  <c r="G4172" i="6"/>
  <c r="F4172" i="6"/>
  <c r="D4172" i="6"/>
  <c r="U4172" i="6" s="1"/>
  <c r="C4172" i="6"/>
  <c r="B4172" i="6"/>
  <c r="E4172" i="6" s="1"/>
  <c r="Q4171" i="6"/>
  <c r="N4171" i="6"/>
  <c r="M4171" i="6"/>
  <c r="L4171" i="6"/>
  <c r="K4171" i="6"/>
  <c r="J4171" i="6"/>
  <c r="I4171" i="6"/>
  <c r="P4171" i="6" s="1"/>
  <c r="H4171" i="6"/>
  <c r="G4171" i="6"/>
  <c r="F4171" i="6"/>
  <c r="D4171" i="6"/>
  <c r="U4171" i="6" s="1"/>
  <c r="C4171" i="6"/>
  <c r="B4171" i="6"/>
  <c r="Q4170" i="6"/>
  <c r="P4170" i="6"/>
  <c r="N4170" i="6"/>
  <c r="M4170" i="6"/>
  <c r="L4170" i="6"/>
  <c r="K4170" i="6"/>
  <c r="J4170" i="6"/>
  <c r="I4170" i="6"/>
  <c r="H4170" i="6"/>
  <c r="G4170" i="6"/>
  <c r="F4170" i="6"/>
  <c r="D4170" i="6"/>
  <c r="U4170" i="6" s="1"/>
  <c r="C4170" i="6"/>
  <c r="B4170" i="6"/>
  <c r="E4170" i="6" s="1"/>
  <c r="Q4169" i="6"/>
  <c r="N4169" i="6"/>
  <c r="M4169" i="6"/>
  <c r="L4169" i="6"/>
  <c r="K4169" i="6"/>
  <c r="J4169" i="6"/>
  <c r="I4169" i="6"/>
  <c r="P4169" i="6" s="1"/>
  <c r="H4169" i="6"/>
  <c r="G4169" i="6"/>
  <c r="F4169" i="6"/>
  <c r="D4169" i="6"/>
  <c r="U4169" i="6" s="1"/>
  <c r="C4169" i="6"/>
  <c r="B4169" i="6"/>
  <c r="Q4168" i="6"/>
  <c r="P4168" i="6"/>
  <c r="N4168" i="6"/>
  <c r="M4168" i="6"/>
  <c r="L4168" i="6"/>
  <c r="K4168" i="6"/>
  <c r="J4168" i="6"/>
  <c r="I4168" i="6"/>
  <c r="H4168" i="6"/>
  <c r="G4168" i="6"/>
  <c r="F4168" i="6"/>
  <c r="D4168" i="6"/>
  <c r="U4168" i="6" s="1"/>
  <c r="C4168" i="6"/>
  <c r="B4168" i="6"/>
  <c r="E4168" i="6" s="1"/>
  <c r="Q4167" i="6"/>
  <c r="N4167" i="6"/>
  <c r="M4167" i="6"/>
  <c r="L4167" i="6"/>
  <c r="K4167" i="6"/>
  <c r="J4167" i="6"/>
  <c r="I4167" i="6"/>
  <c r="P4167" i="6" s="1"/>
  <c r="H4167" i="6"/>
  <c r="G4167" i="6"/>
  <c r="F4167" i="6"/>
  <c r="D4167" i="6"/>
  <c r="U4167" i="6" s="1"/>
  <c r="C4167" i="6"/>
  <c r="B4167" i="6"/>
  <c r="Q4166" i="6"/>
  <c r="P4166" i="6"/>
  <c r="N4166" i="6"/>
  <c r="M4166" i="6"/>
  <c r="L4166" i="6"/>
  <c r="K4166" i="6"/>
  <c r="J4166" i="6"/>
  <c r="I4166" i="6"/>
  <c r="H4166" i="6"/>
  <c r="G4166" i="6"/>
  <c r="F4166" i="6"/>
  <c r="D4166" i="6"/>
  <c r="U4166" i="6" s="1"/>
  <c r="C4166" i="6"/>
  <c r="B4166" i="6"/>
  <c r="E4166" i="6" s="1"/>
  <c r="Q4165" i="6"/>
  <c r="N4165" i="6"/>
  <c r="M4165" i="6"/>
  <c r="L4165" i="6"/>
  <c r="K4165" i="6"/>
  <c r="J4165" i="6"/>
  <c r="I4165" i="6"/>
  <c r="P4165" i="6" s="1"/>
  <c r="H4165" i="6"/>
  <c r="G4165" i="6"/>
  <c r="F4165" i="6"/>
  <c r="D4165" i="6"/>
  <c r="U4165" i="6" s="1"/>
  <c r="C4165" i="6"/>
  <c r="B4165" i="6"/>
  <c r="E4165" i="6" s="1"/>
  <c r="Q4164" i="6"/>
  <c r="N4164" i="6"/>
  <c r="M4164" i="6"/>
  <c r="L4164" i="6"/>
  <c r="K4164" i="6"/>
  <c r="J4164" i="6"/>
  <c r="I4164" i="6"/>
  <c r="P4164" i="6" s="1"/>
  <c r="H4164" i="6"/>
  <c r="G4164" i="6"/>
  <c r="F4164" i="6"/>
  <c r="D4164" i="6"/>
  <c r="U4164" i="6" s="1"/>
  <c r="C4164" i="6"/>
  <c r="B4164" i="6"/>
  <c r="Q4163" i="6"/>
  <c r="N4163" i="6"/>
  <c r="M4163" i="6"/>
  <c r="L4163" i="6"/>
  <c r="K4163" i="6"/>
  <c r="J4163" i="6"/>
  <c r="I4163" i="6"/>
  <c r="P4163" i="6" s="1"/>
  <c r="H4163" i="6"/>
  <c r="G4163" i="6"/>
  <c r="F4163" i="6"/>
  <c r="D4163" i="6"/>
  <c r="U4163" i="6" s="1"/>
  <c r="C4163" i="6"/>
  <c r="B4163" i="6"/>
  <c r="Q4162" i="6"/>
  <c r="N4162" i="6"/>
  <c r="M4162" i="6"/>
  <c r="L4162" i="6"/>
  <c r="K4162" i="6"/>
  <c r="J4162" i="6"/>
  <c r="I4162" i="6"/>
  <c r="P4162" i="6" s="1"/>
  <c r="H4162" i="6"/>
  <c r="G4162" i="6"/>
  <c r="F4162" i="6"/>
  <c r="D4162" i="6"/>
  <c r="U4162" i="6" s="1"/>
  <c r="C4162" i="6"/>
  <c r="B4162" i="6"/>
  <c r="E4162" i="6" s="1"/>
  <c r="Q4161" i="6"/>
  <c r="N4161" i="6"/>
  <c r="M4161" i="6"/>
  <c r="L4161" i="6"/>
  <c r="K4161" i="6"/>
  <c r="J4161" i="6"/>
  <c r="I4161" i="6"/>
  <c r="P4161" i="6" s="1"/>
  <c r="H4161" i="6"/>
  <c r="G4161" i="6"/>
  <c r="F4161" i="6"/>
  <c r="D4161" i="6"/>
  <c r="U4161" i="6" s="1"/>
  <c r="C4161" i="6"/>
  <c r="B4161" i="6"/>
  <c r="Q4160" i="6"/>
  <c r="N4160" i="6"/>
  <c r="M4160" i="6"/>
  <c r="L4160" i="6"/>
  <c r="K4160" i="6"/>
  <c r="J4160" i="6"/>
  <c r="I4160" i="6"/>
  <c r="P4160" i="6" s="1"/>
  <c r="H4160" i="6"/>
  <c r="G4160" i="6"/>
  <c r="F4160" i="6"/>
  <c r="D4160" i="6"/>
  <c r="U4160" i="6" s="1"/>
  <c r="C4160" i="6"/>
  <c r="B4160" i="6"/>
  <c r="Q4159" i="6"/>
  <c r="N4159" i="6"/>
  <c r="M4159" i="6"/>
  <c r="L4159" i="6"/>
  <c r="K4159" i="6"/>
  <c r="J4159" i="6"/>
  <c r="I4159" i="6"/>
  <c r="P4159" i="6" s="1"/>
  <c r="H4159" i="6"/>
  <c r="G4159" i="6"/>
  <c r="F4159" i="6"/>
  <c r="D4159" i="6"/>
  <c r="U4159" i="6" s="1"/>
  <c r="C4159" i="6"/>
  <c r="B4159" i="6"/>
  <c r="Q4158" i="6"/>
  <c r="N4158" i="6"/>
  <c r="M4158" i="6"/>
  <c r="L4158" i="6"/>
  <c r="K4158" i="6"/>
  <c r="J4158" i="6"/>
  <c r="I4158" i="6"/>
  <c r="P4158" i="6" s="1"/>
  <c r="H4158" i="6"/>
  <c r="G4158" i="6"/>
  <c r="F4158" i="6"/>
  <c r="D4158" i="6"/>
  <c r="U4158" i="6" s="1"/>
  <c r="C4158" i="6"/>
  <c r="B4158" i="6"/>
  <c r="E4158" i="6" s="1"/>
  <c r="Q4157" i="6"/>
  <c r="N4157" i="6"/>
  <c r="M4157" i="6"/>
  <c r="L4157" i="6"/>
  <c r="K4157" i="6"/>
  <c r="J4157" i="6"/>
  <c r="I4157" i="6"/>
  <c r="P4157" i="6" s="1"/>
  <c r="H4157" i="6"/>
  <c r="G4157" i="6"/>
  <c r="F4157" i="6"/>
  <c r="D4157" i="6"/>
  <c r="U4157" i="6" s="1"/>
  <c r="C4157" i="6"/>
  <c r="B4157" i="6"/>
  <c r="Q4156" i="6"/>
  <c r="N4156" i="6"/>
  <c r="M4156" i="6"/>
  <c r="L4156" i="6"/>
  <c r="K4156" i="6"/>
  <c r="J4156" i="6"/>
  <c r="I4156" i="6"/>
  <c r="P4156" i="6" s="1"/>
  <c r="H4156" i="6"/>
  <c r="G4156" i="6"/>
  <c r="F4156" i="6"/>
  <c r="D4156" i="6"/>
  <c r="U4156" i="6" s="1"/>
  <c r="C4156" i="6"/>
  <c r="B4156" i="6"/>
  <c r="Q4155" i="6"/>
  <c r="N4155" i="6"/>
  <c r="M4155" i="6"/>
  <c r="L4155" i="6"/>
  <c r="K4155" i="6"/>
  <c r="J4155" i="6"/>
  <c r="I4155" i="6"/>
  <c r="P4155" i="6" s="1"/>
  <c r="H4155" i="6"/>
  <c r="G4155" i="6"/>
  <c r="F4155" i="6"/>
  <c r="D4155" i="6"/>
  <c r="U4155" i="6" s="1"/>
  <c r="C4155" i="6"/>
  <c r="B4155" i="6"/>
  <c r="Q4154" i="6"/>
  <c r="N4154" i="6"/>
  <c r="M4154" i="6"/>
  <c r="L4154" i="6"/>
  <c r="K4154" i="6"/>
  <c r="J4154" i="6"/>
  <c r="I4154" i="6"/>
  <c r="P4154" i="6" s="1"/>
  <c r="H4154" i="6"/>
  <c r="G4154" i="6"/>
  <c r="F4154" i="6"/>
  <c r="D4154" i="6"/>
  <c r="U4154" i="6" s="1"/>
  <c r="C4154" i="6"/>
  <c r="B4154" i="6"/>
  <c r="E4154" i="6" s="1"/>
  <c r="Q4153" i="6"/>
  <c r="N4153" i="6"/>
  <c r="M4153" i="6"/>
  <c r="L4153" i="6"/>
  <c r="K4153" i="6"/>
  <c r="J4153" i="6"/>
  <c r="I4153" i="6"/>
  <c r="P4153" i="6" s="1"/>
  <c r="H4153" i="6"/>
  <c r="G4153" i="6"/>
  <c r="F4153" i="6"/>
  <c r="D4153" i="6"/>
  <c r="U4153" i="6" s="1"/>
  <c r="C4153" i="6"/>
  <c r="B4153" i="6"/>
  <c r="Q4152" i="6"/>
  <c r="N4152" i="6"/>
  <c r="M4152" i="6"/>
  <c r="L4152" i="6"/>
  <c r="K4152" i="6"/>
  <c r="J4152" i="6"/>
  <c r="I4152" i="6"/>
  <c r="P4152" i="6" s="1"/>
  <c r="H4152" i="6"/>
  <c r="G4152" i="6"/>
  <c r="F4152" i="6"/>
  <c r="D4152" i="6"/>
  <c r="U4152" i="6" s="1"/>
  <c r="C4152" i="6"/>
  <c r="B4152" i="6"/>
  <c r="Q4151" i="6"/>
  <c r="N4151" i="6"/>
  <c r="M4151" i="6"/>
  <c r="L4151" i="6"/>
  <c r="K4151" i="6"/>
  <c r="J4151" i="6"/>
  <c r="I4151" i="6"/>
  <c r="P4151" i="6" s="1"/>
  <c r="H4151" i="6"/>
  <c r="G4151" i="6"/>
  <c r="F4151" i="6"/>
  <c r="D4151" i="6"/>
  <c r="U4151" i="6" s="1"/>
  <c r="C4151" i="6"/>
  <c r="B4151" i="6"/>
  <c r="Q4150" i="6"/>
  <c r="N4150" i="6"/>
  <c r="M4150" i="6"/>
  <c r="L4150" i="6"/>
  <c r="K4150" i="6"/>
  <c r="J4150" i="6"/>
  <c r="I4150" i="6"/>
  <c r="P4150" i="6" s="1"/>
  <c r="H4150" i="6"/>
  <c r="G4150" i="6"/>
  <c r="F4150" i="6"/>
  <c r="D4150" i="6"/>
  <c r="U4150" i="6" s="1"/>
  <c r="C4150" i="6"/>
  <c r="B4150" i="6"/>
  <c r="E4150" i="6" s="1"/>
  <c r="Q4149" i="6"/>
  <c r="N4149" i="6"/>
  <c r="M4149" i="6"/>
  <c r="L4149" i="6"/>
  <c r="K4149" i="6"/>
  <c r="J4149" i="6"/>
  <c r="I4149" i="6"/>
  <c r="P4149" i="6" s="1"/>
  <c r="H4149" i="6"/>
  <c r="G4149" i="6"/>
  <c r="F4149" i="6"/>
  <c r="D4149" i="6"/>
  <c r="U4149" i="6" s="1"/>
  <c r="C4149" i="6"/>
  <c r="B4149" i="6"/>
  <c r="Q4148" i="6"/>
  <c r="N4148" i="6"/>
  <c r="M4148" i="6"/>
  <c r="L4148" i="6"/>
  <c r="K4148" i="6"/>
  <c r="J4148" i="6"/>
  <c r="I4148" i="6"/>
  <c r="P4148" i="6" s="1"/>
  <c r="H4148" i="6"/>
  <c r="G4148" i="6"/>
  <c r="F4148" i="6"/>
  <c r="D4148" i="6"/>
  <c r="U4148" i="6" s="1"/>
  <c r="C4148" i="6"/>
  <c r="B4148" i="6"/>
  <c r="Q4147" i="6"/>
  <c r="N4147" i="6"/>
  <c r="M4147" i="6"/>
  <c r="L4147" i="6"/>
  <c r="K4147" i="6"/>
  <c r="J4147" i="6"/>
  <c r="I4147" i="6"/>
  <c r="P4147" i="6" s="1"/>
  <c r="H4147" i="6"/>
  <c r="G4147" i="6"/>
  <c r="F4147" i="6"/>
  <c r="D4147" i="6"/>
  <c r="U4147" i="6" s="1"/>
  <c r="C4147" i="6"/>
  <c r="B4147" i="6"/>
  <c r="Q4146" i="6"/>
  <c r="N4146" i="6"/>
  <c r="M4146" i="6"/>
  <c r="L4146" i="6"/>
  <c r="K4146" i="6"/>
  <c r="J4146" i="6"/>
  <c r="I4146" i="6"/>
  <c r="P4146" i="6" s="1"/>
  <c r="H4146" i="6"/>
  <c r="G4146" i="6"/>
  <c r="F4146" i="6"/>
  <c r="D4146" i="6"/>
  <c r="U4146" i="6" s="1"/>
  <c r="C4146" i="6"/>
  <c r="B4146" i="6"/>
  <c r="E4146" i="6" s="1"/>
  <c r="Q4145" i="6"/>
  <c r="N4145" i="6"/>
  <c r="M4145" i="6"/>
  <c r="L4145" i="6"/>
  <c r="K4145" i="6"/>
  <c r="J4145" i="6"/>
  <c r="I4145" i="6"/>
  <c r="P4145" i="6" s="1"/>
  <c r="H4145" i="6"/>
  <c r="G4145" i="6"/>
  <c r="F4145" i="6"/>
  <c r="D4145" i="6"/>
  <c r="U4145" i="6" s="1"/>
  <c r="C4145" i="6"/>
  <c r="B4145" i="6"/>
  <c r="Q4144" i="6"/>
  <c r="N4144" i="6"/>
  <c r="M4144" i="6"/>
  <c r="L4144" i="6"/>
  <c r="K4144" i="6"/>
  <c r="J4144" i="6"/>
  <c r="I4144" i="6"/>
  <c r="P4144" i="6" s="1"/>
  <c r="H4144" i="6"/>
  <c r="G4144" i="6"/>
  <c r="F4144" i="6"/>
  <c r="D4144" i="6"/>
  <c r="U4144" i="6" s="1"/>
  <c r="C4144" i="6"/>
  <c r="B4144" i="6"/>
  <c r="Q4143" i="6"/>
  <c r="N4143" i="6"/>
  <c r="M4143" i="6"/>
  <c r="L4143" i="6"/>
  <c r="K4143" i="6"/>
  <c r="J4143" i="6"/>
  <c r="I4143" i="6"/>
  <c r="P4143" i="6" s="1"/>
  <c r="H4143" i="6"/>
  <c r="G4143" i="6"/>
  <c r="F4143" i="6"/>
  <c r="D4143" i="6"/>
  <c r="U4143" i="6" s="1"/>
  <c r="C4143" i="6"/>
  <c r="B4143" i="6"/>
  <c r="E4143" i="6" s="1"/>
  <c r="Q4142" i="6"/>
  <c r="N4142" i="6"/>
  <c r="M4142" i="6"/>
  <c r="L4142" i="6"/>
  <c r="K4142" i="6"/>
  <c r="J4142" i="6"/>
  <c r="I4142" i="6"/>
  <c r="P4142" i="6" s="1"/>
  <c r="H4142" i="6"/>
  <c r="G4142" i="6"/>
  <c r="F4142" i="6"/>
  <c r="D4142" i="6"/>
  <c r="U4142" i="6" s="1"/>
  <c r="C4142" i="6"/>
  <c r="B4142" i="6"/>
  <c r="E4142" i="6" s="1"/>
  <c r="Q4141" i="6"/>
  <c r="N4141" i="6"/>
  <c r="M4141" i="6"/>
  <c r="L4141" i="6"/>
  <c r="K4141" i="6"/>
  <c r="J4141" i="6"/>
  <c r="I4141" i="6"/>
  <c r="P4141" i="6" s="1"/>
  <c r="H4141" i="6"/>
  <c r="G4141" i="6"/>
  <c r="F4141" i="6"/>
  <c r="D4141" i="6"/>
  <c r="U4141" i="6" s="1"/>
  <c r="C4141" i="6"/>
  <c r="B4141" i="6"/>
  <c r="Q4140" i="6"/>
  <c r="N4140" i="6"/>
  <c r="M4140" i="6"/>
  <c r="L4140" i="6"/>
  <c r="K4140" i="6"/>
  <c r="J4140" i="6"/>
  <c r="I4140" i="6"/>
  <c r="P4140" i="6" s="1"/>
  <c r="H4140" i="6"/>
  <c r="G4140" i="6"/>
  <c r="F4140" i="6"/>
  <c r="D4140" i="6"/>
  <c r="U4140" i="6" s="1"/>
  <c r="C4140" i="6"/>
  <c r="B4140" i="6"/>
  <c r="Q4139" i="6"/>
  <c r="N4139" i="6"/>
  <c r="M4139" i="6"/>
  <c r="L4139" i="6"/>
  <c r="K4139" i="6"/>
  <c r="J4139" i="6"/>
  <c r="I4139" i="6"/>
  <c r="P4139" i="6" s="1"/>
  <c r="H4139" i="6"/>
  <c r="G4139" i="6"/>
  <c r="F4139" i="6"/>
  <c r="D4139" i="6"/>
  <c r="U4139" i="6" s="1"/>
  <c r="C4139" i="6"/>
  <c r="B4139" i="6"/>
  <c r="E4139" i="6" s="1"/>
  <c r="Q4138" i="6"/>
  <c r="N4138" i="6"/>
  <c r="M4138" i="6"/>
  <c r="L4138" i="6"/>
  <c r="K4138" i="6"/>
  <c r="J4138" i="6"/>
  <c r="I4138" i="6"/>
  <c r="P4138" i="6" s="1"/>
  <c r="H4138" i="6"/>
  <c r="G4138" i="6"/>
  <c r="F4138" i="6"/>
  <c r="D4138" i="6"/>
  <c r="U4138" i="6" s="1"/>
  <c r="C4138" i="6"/>
  <c r="B4138" i="6"/>
  <c r="E4138" i="6" s="1"/>
  <c r="Q4137" i="6"/>
  <c r="N4137" i="6"/>
  <c r="M4137" i="6"/>
  <c r="L4137" i="6"/>
  <c r="K4137" i="6"/>
  <c r="J4137" i="6"/>
  <c r="I4137" i="6"/>
  <c r="P4137" i="6" s="1"/>
  <c r="H4137" i="6"/>
  <c r="G4137" i="6"/>
  <c r="F4137" i="6"/>
  <c r="D4137" i="6"/>
  <c r="U4137" i="6" s="1"/>
  <c r="C4137" i="6"/>
  <c r="B4137" i="6"/>
  <c r="Q4136" i="6"/>
  <c r="N4136" i="6"/>
  <c r="M4136" i="6"/>
  <c r="L4136" i="6"/>
  <c r="K4136" i="6"/>
  <c r="J4136" i="6"/>
  <c r="I4136" i="6"/>
  <c r="P4136" i="6" s="1"/>
  <c r="H4136" i="6"/>
  <c r="G4136" i="6"/>
  <c r="F4136" i="6"/>
  <c r="D4136" i="6"/>
  <c r="U4136" i="6" s="1"/>
  <c r="C4136" i="6"/>
  <c r="B4136" i="6"/>
  <c r="Q4135" i="6"/>
  <c r="N4135" i="6"/>
  <c r="M4135" i="6"/>
  <c r="L4135" i="6"/>
  <c r="K4135" i="6"/>
  <c r="J4135" i="6"/>
  <c r="I4135" i="6"/>
  <c r="P4135" i="6" s="1"/>
  <c r="H4135" i="6"/>
  <c r="G4135" i="6"/>
  <c r="F4135" i="6"/>
  <c r="D4135" i="6"/>
  <c r="U4135" i="6" s="1"/>
  <c r="C4135" i="6"/>
  <c r="B4135" i="6"/>
  <c r="E4135" i="6" s="1"/>
  <c r="Q4134" i="6"/>
  <c r="N4134" i="6"/>
  <c r="M4134" i="6"/>
  <c r="L4134" i="6"/>
  <c r="K4134" i="6"/>
  <c r="J4134" i="6"/>
  <c r="I4134" i="6"/>
  <c r="P4134" i="6" s="1"/>
  <c r="H4134" i="6"/>
  <c r="G4134" i="6"/>
  <c r="F4134" i="6"/>
  <c r="D4134" i="6"/>
  <c r="U4134" i="6" s="1"/>
  <c r="C4134" i="6"/>
  <c r="B4134" i="6"/>
  <c r="E4134" i="6" s="1"/>
  <c r="Q4133" i="6"/>
  <c r="N4133" i="6"/>
  <c r="M4133" i="6"/>
  <c r="L4133" i="6"/>
  <c r="K4133" i="6"/>
  <c r="J4133" i="6"/>
  <c r="I4133" i="6"/>
  <c r="P4133" i="6" s="1"/>
  <c r="H4133" i="6"/>
  <c r="G4133" i="6"/>
  <c r="F4133" i="6"/>
  <c r="D4133" i="6"/>
  <c r="U4133" i="6" s="1"/>
  <c r="C4133" i="6"/>
  <c r="B4133" i="6"/>
  <c r="Q4132" i="6"/>
  <c r="N4132" i="6"/>
  <c r="M4132" i="6"/>
  <c r="L4132" i="6"/>
  <c r="K4132" i="6"/>
  <c r="J4132" i="6"/>
  <c r="I4132" i="6"/>
  <c r="P4132" i="6" s="1"/>
  <c r="H4132" i="6"/>
  <c r="G4132" i="6"/>
  <c r="F4132" i="6"/>
  <c r="D4132" i="6"/>
  <c r="U4132" i="6" s="1"/>
  <c r="C4132" i="6"/>
  <c r="B4132" i="6"/>
  <c r="Q4131" i="6"/>
  <c r="N4131" i="6"/>
  <c r="M4131" i="6"/>
  <c r="L4131" i="6"/>
  <c r="K4131" i="6"/>
  <c r="J4131" i="6"/>
  <c r="I4131" i="6"/>
  <c r="P4131" i="6" s="1"/>
  <c r="H4131" i="6"/>
  <c r="G4131" i="6"/>
  <c r="F4131" i="6"/>
  <c r="D4131" i="6"/>
  <c r="U4131" i="6" s="1"/>
  <c r="C4131" i="6"/>
  <c r="B4131" i="6"/>
  <c r="E4131" i="6" s="1"/>
  <c r="Q4130" i="6"/>
  <c r="N4130" i="6"/>
  <c r="M4130" i="6"/>
  <c r="L4130" i="6"/>
  <c r="K4130" i="6"/>
  <c r="J4130" i="6"/>
  <c r="I4130" i="6"/>
  <c r="P4130" i="6" s="1"/>
  <c r="H4130" i="6"/>
  <c r="G4130" i="6"/>
  <c r="F4130" i="6"/>
  <c r="D4130" i="6"/>
  <c r="U4130" i="6" s="1"/>
  <c r="C4130" i="6"/>
  <c r="B4130" i="6"/>
  <c r="E4130" i="6" s="1"/>
  <c r="Q4129" i="6"/>
  <c r="N4129" i="6"/>
  <c r="M4129" i="6"/>
  <c r="L4129" i="6"/>
  <c r="K4129" i="6"/>
  <c r="J4129" i="6"/>
  <c r="I4129" i="6"/>
  <c r="P4129" i="6" s="1"/>
  <c r="H4129" i="6"/>
  <c r="G4129" i="6"/>
  <c r="F4129" i="6"/>
  <c r="D4129" i="6"/>
  <c r="U4129" i="6" s="1"/>
  <c r="C4129" i="6"/>
  <c r="B4129" i="6"/>
  <c r="Q4128" i="6"/>
  <c r="N4128" i="6"/>
  <c r="M4128" i="6"/>
  <c r="L4128" i="6"/>
  <c r="K4128" i="6"/>
  <c r="J4128" i="6"/>
  <c r="I4128" i="6"/>
  <c r="P4128" i="6" s="1"/>
  <c r="H4128" i="6"/>
  <c r="G4128" i="6"/>
  <c r="F4128" i="6"/>
  <c r="D4128" i="6"/>
  <c r="U4128" i="6" s="1"/>
  <c r="C4128" i="6"/>
  <c r="B4128" i="6"/>
  <c r="E4128" i="6" s="1"/>
  <c r="Q4127" i="6"/>
  <c r="P4127" i="6"/>
  <c r="N4127" i="6"/>
  <c r="M4127" i="6"/>
  <c r="L4127" i="6"/>
  <c r="K4127" i="6"/>
  <c r="J4127" i="6"/>
  <c r="I4127" i="6"/>
  <c r="H4127" i="6"/>
  <c r="G4127" i="6"/>
  <c r="F4127" i="6"/>
  <c r="D4127" i="6"/>
  <c r="U4127" i="6" s="1"/>
  <c r="C4127" i="6"/>
  <c r="B4127" i="6"/>
  <c r="Q4126" i="6"/>
  <c r="N4126" i="6"/>
  <c r="M4126" i="6"/>
  <c r="L4126" i="6"/>
  <c r="K4126" i="6"/>
  <c r="J4126" i="6"/>
  <c r="I4126" i="6"/>
  <c r="P4126" i="6" s="1"/>
  <c r="H4126" i="6"/>
  <c r="G4126" i="6"/>
  <c r="F4126" i="6"/>
  <c r="D4126" i="6"/>
  <c r="U4126" i="6" s="1"/>
  <c r="C4126" i="6"/>
  <c r="B4126" i="6"/>
  <c r="E4126" i="6" s="1"/>
  <c r="Q4125" i="6"/>
  <c r="P4125" i="6"/>
  <c r="N4125" i="6"/>
  <c r="M4125" i="6"/>
  <c r="L4125" i="6"/>
  <c r="K4125" i="6"/>
  <c r="J4125" i="6"/>
  <c r="I4125" i="6"/>
  <c r="H4125" i="6"/>
  <c r="G4125" i="6"/>
  <c r="F4125" i="6"/>
  <c r="D4125" i="6"/>
  <c r="U4125" i="6" s="1"/>
  <c r="C4125" i="6"/>
  <c r="B4125" i="6"/>
  <c r="Q4124" i="6"/>
  <c r="N4124" i="6"/>
  <c r="M4124" i="6"/>
  <c r="L4124" i="6"/>
  <c r="K4124" i="6"/>
  <c r="J4124" i="6"/>
  <c r="I4124" i="6"/>
  <c r="P4124" i="6" s="1"/>
  <c r="H4124" i="6"/>
  <c r="G4124" i="6"/>
  <c r="F4124" i="6"/>
  <c r="D4124" i="6"/>
  <c r="U4124" i="6" s="1"/>
  <c r="C4124" i="6"/>
  <c r="B4124" i="6"/>
  <c r="E4124" i="6" s="1"/>
  <c r="Q4123" i="6"/>
  <c r="P4123" i="6"/>
  <c r="N4123" i="6"/>
  <c r="M4123" i="6"/>
  <c r="L4123" i="6"/>
  <c r="K4123" i="6"/>
  <c r="J4123" i="6"/>
  <c r="I4123" i="6"/>
  <c r="H4123" i="6"/>
  <c r="G4123" i="6"/>
  <c r="F4123" i="6"/>
  <c r="D4123" i="6"/>
  <c r="U4123" i="6" s="1"/>
  <c r="C4123" i="6"/>
  <c r="B4123" i="6"/>
  <c r="Q4122" i="6"/>
  <c r="N4122" i="6"/>
  <c r="M4122" i="6"/>
  <c r="L4122" i="6"/>
  <c r="K4122" i="6"/>
  <c r="J4122" i="6"/>
  <c r="I4122" i="6"/>
  <c r="P4122" i="6" s="1"/>
  <c r="H4122" i="6"/>
  <c r="G4122" i="6"/>
  <c r="F4122" i="6"/>
  <c r="D4122" i="6"/>
  <c r="U4122" i="6" s="1"/>
  <c r="C4122" i="6"/>
  <c r="B4122" i="6"/>
  <c r="E4122" i="6" s="1"/>
  <c r="Q4121" i="6"/>
  <c r="P4121" i="6"/>
  <c r="N4121" i="6"/>
  <c r="M4121" i="6"/>
  <c r="L4121" i="6"/>
  <c r="K4121" i="6"/>
  <c r="J4121" i="6"/>
  <c r="I4121" i="6"/>
  <c r="H4121" i="6"/>
  <c r="G4121" i="6"/>
  <c r="F4121" i="6"/>
  <c r="D4121" i="6"/>
  <c r="U4121" i="6" s="1"/>
  <c r="C4121" i="6"/>
  <c r="B4121" i="6"/>
  <c r="Q4120" i="6"/>
  <c r="N4120" i="6"/>
  <c r="M4120" i="6"/>
  <c r="L4120" i="6"/>
  <c r="K4120" i="6"/>
  <c r="J4120" i="6"/>
  <c r="I4120" i="6"/>
  <c r="P4120" i="6" s="1"/>
  <c r="H4120" i="6"/>
  <c r="G4120" i="6"/>
  <c r="F4120" i="6"/>
  <c r="D4120" i="6"/>
  <c r="U4120" i="6" s="1"/>
  <c r="C4120" i="6"/>
  <c r="B4120" i="6"/>
  <c r="E4120" i="6" s="1"/>
  <c r="Q4119" i="6"/>
  <c r="P4119" i="6"/>
  <c r="N4119" i="6"/>
  <c r="M4119" i="6"/>
  <c r="L4119" i="6"/>
  <c r="K4119" i="6"/>
  <c r="J4119" i="6"/>
  <c r="I4119" i="6"/>
  <c r="H4119" i="6"/>
  <c r="G4119" i="6"/>
  <c r="F4119" i="6"/>
  <c r="D4119" i="6"/>
  <c r="U4119" i="6" s="1"/>
  <c r="C4119" i="6"/>
  <c r="B4119" i="6"/>
  <c r="Q4118" i="6"/>
  <c r="N4118" i="6"/>
  <c r="M4118" i="6"/>
  <c r="L4118" i="6"/>
  <c r="K4118" i="6"/>
  <c r="J4118" i="6"/>
  <c r="I4118" i="6"/>
  <c r="P4118" i="6" s="1"/>
  <c r="H4118" i="6"/>
  <c r="G4118" i="6"/>
  <c r="F4118" i="6"/>
  <c r="D4118" i="6"/>
  <c r="U4118" i="6" s="1"/>
  <c r="C4118" i="6"/>
  <c r="B4118" i="6"/>
  <c r="E4118" i="6" s="1"/>
  <c r="Q4117" i="6"/>
  <c r="P4117" i="6"/>
  <c r="N4117" i="6"/>
  <c r="M4117" i="6"/>
  <c r="L4117" i="6"/>
  <c r="K4117" i="6"/>
  <c r="J4117" i="6"/>
  <c r="I4117" i="6"/>
  <c r="H4117" i="6"/>
  <c r="G4117" i="6"/>
  <c r="F4117" i="6"/>
  <c r="D4117" i="6"/>
  <c r="U4117" i="6" s="1"/>
  <c r="C4117" i="6"/>
  <c r="B4117" i="6"/>
  <c r="Q4116" i="6"/>
  <c r="N4116" i="6"/>
  <c r="M4116" i="6"/>
  <c r="L4116" i="6"/>
  <c r="K4116" i="6"/>
  <c r="J4116" i="6"/>
  <c r="I4116" i="6"/>
  <c r="P4116" i="6" s="1"/>
  <c r="H4116" i="6"/>
  <c r="G4116" i="6"/>
  <c r="F4116" i="6"/>
  <c r="D4116" i="6"/>
  <c r="U4116" i="6" s="1"/>
  <c r="C4116" i="6"/>
  <c r="B4116" i="6"/>
  <c r="E4116" i="6" s="1"/>
  <c r="Q4115" i="6"/>
  <c r="P4115" i="6"/>
  <c r="N4115" i="6"/>
  <c r="M4115" i="6"/>
  <c r="L4115" i="6"/>
  <c r="K4115" i="6"/>
  <c r="J4115" i="6"/>
  <c r="I4115" i="6"/>
  <c r="H4115" i="6"/>
  <c r="G4115" i="6"/>
  <c r="F4115" i="6"/>
  <c r="D4115" i="6"/>
  <c r="U4115" i="6" s="1"/>
  <c r="C4115" i="6"/>
  <c r="B4115" i="6"/>
  <c r="Q4114" i="6"/>
  <c r="N4114" i="6"/>
  <c r="M4114" i="6"/>
  <c r="L4114" i="6"/>
  <c r="K4114" i="6"/>
  <c r="J4114" i="6"/>
  <c r="I4114" i="6"/>
  <c r="P4114" i="6" s="1"/>
  <c r="H4114" i="6"/>
  <c r="G4114" i="6"/>
  <c r="F4114" i="6"/>
  <c r="D4114" i="6"/>
  <c r="U4114" i="6" s="1"/>
  <c r="C4114" i="6"/>
  <c r="B4114" i="6"/>
  <c r="E4114" i="6" s="1"/>
  <c r="Q4113" i="6"/>
  <c r="P4113" i="6"/>
  <c r="N4113" i="6"/>
  <c r="M4113" i="6"/>
  <c r="L4113" i="6"/>
  <c r="K4113" i="6"/>
  <c r="J4113" i="6"/>
  <c r="I4113" i="6"/>
  <c r="H4113" i="6"/>
  <c r="G4113" i="6"/>
  <c r="F4113" i="6"/>
  <c r="D4113" i="6"/>
  <c r="U4113" i="6" s="1"/>
  <c r="C4113" i="6"/>
  <c r="B4113" i="6"/>
  <c r="Q4112" i="6"/>
  <c r="N4112" i="6"/>
  <c r="M4112" i="6"/>
  <c r="L4112" i="6"/>
  <c r="K4112" i="6"/>
  <c r="J4112" i="6"/>
  <c r="I4112" i="6"/>
  <c r="P4112" i="6" s="1"/>
  <c r="H4112" i="6"/>
  <c r="G4112" i="6"/>
  <c r="F4112" i="6"/>
  <c r="D4112" i="6"/>
  <c r="U4112" i="6" s="1"/>
  <c r="C4112" i="6"/>
  <c r="B4112" i="6"/>
  <c r="E4112" i="6" s="1"/>
  <c r="Q4111" i="6"/>
  <c r="P4111" i="6"/>
  <c r="N4111" i="6"/>
  <c r="M4111" i="6"/>
  <c r="L4111" i="6"/>
  <c r="K4111" i="6"/>
  <c r="J4111" i="6"/>
  <c r="I4111" i="6"/>
  <c r="H4111" i="6"/>
  <c r="G4111" i="6"/>
  <c r="F4111" i="6"/>
  <c r="D4111" i="6"/>
  <c r="U4111" i="6" s="1"/>
  <c r="C4111" i="6"/>
  <c r="B4111" i="6"/>
  <c r="Q4110" i="6"/>
  <c r="N4110" i="6"/>
  <c r="M4110" i="6"/>
  <c r="L4110" i="6"/>
  <c r="K4110" i="6"/>
  <c r="J4110" i="6"/>
  <c r="I4110" i="6"/>
  <c r="P4110" i="6" s="1"/>
  <c r="H4110" i="6"/>
  <c r="G4110" i="6"/>
  <c r="F4110" i="6"/>
  <c r="D4110" i="6"/>
  <c r="U4110" i="6" s="1"/>
  <c r="C4110" i="6"/>
  <c r="B4110" i="6"/>
  <c r="E4110" i="6" s="1"/>
  <c r="Q4109" i="6"/>
  <c r="P4109" i="6"/>
  <c r="N4109" i="6"/>
  <c r="M4109" i="6"/>
  <c r="L4109" i="6"/>
  <c r="K4109" i="6"/>
  <c r="J4109" i="6"/>
  <c r="I4109" i="6"/>
  <c r="H4109" i="6"/>
  <c r="G4109" i="6"/>
  <c r="F4109" i="6"/>
  <c r="D4109" i="6"/>
  <c r="U4109" i="6" s="1"/>
  <c r="C4109" i="6"/>
  <c r="B4109" i="6"/>
  <c r="Q4108" i="6"/>
  <c r="N4108" i="6"/>
  <c r="M4108" i="6"/>
  <c r="L4108" i="6"/>
  <c r="K4108" i="6"/>
  <c r="J4108" i="6"/>
  <c r="I4108" i="6"/>
  <c r="P4108" i="6" s="1"/>
  <c r="H4108" i="6"/>
  <c r="G4108" i="6"/>
  <c r="F4108" i="6"/>
  <c r="D4108" i="6"/>
  <c r="U4108" i="6" s="1"/>
  <c r="C4108" i="6"/>
  <c r="B4108" i="6"/>
  <c r="E4108" i="6" s="1"/>
  <c r="Q4107" i="6"/>
  <c r="P4107" i="6"/>
  <c r="N4107" i="6"/>
  <c r="M4107" i="6"/>
  <c r="L4107" i="6"/>
  <c r="K4107" i="6"/>
  <c r="J4107" i="6"/>
  <c r="I4107" i="6"/>
  <c r="H4107" i="6"/>
  <c r="G4107" i="6"/>
  <c r="F4107" i="6"/>
  <c r="D4107" i="6"/>
  <c r="U4107" i="6" s="1"/>
  <c r="C4107" i="6"/>
  <c r="B4107" i="6"/>
  <c r="Q4106" i="6"/>
  <c r="N4106" i="6"/>
  <c r="M4106" i="6"/>
  <c r="L4106" i="6"/>
  <c r="K4106" i="6"/>
  <c r="J4106" i="6"/>
  <c r="I4106" i="6"/>
  <c r="P4106" i="6" s="1"/>
  <c r="H4106" i="6"/>
  <c r="G4106" i="6"/>
  <c r="F4106" i="6"/>
  <c r="D4106" i="6"/>
  <c r="U4106" i="6" s="1"/>
  <c r="C4106" i="6"/>
  <c r="B4106" i="6"/>
  <c r="E4106" i="6" s="1"/>
  <c r="Q4105" i="6"/>
  <c r="P4105" i="6"/>
  <c r="N4105" i="6"/>
  <c r="M4105" i="6"/>
  <c r="L4105" i="6"/>
  <c r="K4105" i="6"/>
  <c r="J4105" i="6"/>
  <c r="I4105" i="6"/>
  <c r="H4105" i="6"/>
  <c r="G4105" i="6"/>
  <c r="F4105" i="6"/>
  <c r="D4105" i="6"/>
  <c r="U4105" i="6" s="1"/>
  <c r="C4105" i="6"/>
  <c r="B4105" i="6"/>
  <c r="Q4104" i="6"/>
  <c r="N4104" i="6"/>
  <c r="M4104" i="6"/>
  <c r="L4104" i="6"/>
  <c r="K4104" i="6"/>
  <c r="J4104" i="6"/>
  <c r="I4104" i="6"/>
  <c r="P4104" i="6" s="1"/>
  <c r="H4104" i="6"/>
  <c r="G4104" i="6"/>
  <c r="F4104" i="6"/>
  <c r="D4104" i="6"/>
  <c r="U4104" i="6" s="1"/>
  <c r="C4104" i="6"/>
  <c r="B4104" i="6"/>
  <c r="E4104" i="6" s="1"/>
  <c r="Q4103" i="6"/>
  <c r="P4103" i="6"/>
  <c r="N4103" i="6"/>
  <c r="M4103" i="6"/>
  <c r="L4103" i="6"/>
  <c r="K4103" i="6"/>
  <c r="J4103" i="6"/>
  <c r="I4103" i="6"/>
  <c r="H4103" i="6"/>
  <c r="G4103" i="6"/>
  <c r="F4103" i="6"/>
  <c r="D4103" i="6"/>
  <c r="U4103" i="6" s="1"/>
  <c r="C4103" i="6"/>
  <c r="B4103" i="6"/>
  <c r="Q4102" i="6"/>
  <c r="N4102" i="6"/>
  <c r="M4102" i="6"/>
  <c r="L4102" i="6"/>
  <c r="K4102" i="6"/>
  <c r="J4102" i="6"/>
  <c r="I4102" i="6"/>
  <c r="P4102" i="6" s="1"/>
  <c r="H4102" i="6"/>
  <c r="G4102" i="6"/>
  <c r="F4102" i="6"/>
  <c r="D4102" i="6"/>
  <c r="U4102" i="6" s="1"/>
  <c r="C4102" i="6"/>
  <c r="B4102" i="6"/>
  <c r="E4102" i="6" s="1"/>
  <c r="Q4101" i="6"/>
  <c r="P4101" i="6"/>
  <c r="N4101" i="6"/>
  <c r="M4101" i="6"/>
  <c r="L4101" i="6"/>
  <c r="K4101" i="6"/>
  <c r="J4101" i="6"/>
  <c r="I4101" i="6"/>
  <c r="H4101" i="6"/>
  <c r="G4101" i="6"/>
  <c r="F4101" i="6"/>
  <c r="D4101" i="6"/>
  <c r="U4101" i="6" s="1"/>
  <c r="C4101" i="6"/>
  <c r="B4101" i="6"/>
  <c r="Q4100" i="6"/>
  <c r="N4100" i="6"/>
  <c r="M4100" i="6"/>
  <c r="L4100" i="6"/>
  <c r="K4100" i="6"/>
  <c r="J4100" i="6"/>
  <c r="I4100" i="6"/>
  <c r="P4100" i="6" s="1"/>
  <c r="H4100" i="6"/>
  <c r="G4100" i="6"/>
  <c r="F4100" i="6"/>
  <c r="D4100" i="6"/>
  <c r="U4100" i="6" s="1"/>
  <c r="C4100" i="6"/>
  <c r="B4100" i="6"/>
  <c r="E4100" i="6" s="1"/>
  <c r="Q4099" i="6"/>
  <c r="P4099" i="6"/>
  <c r="N4099" i="6"/>
  <c r="M4099" i="6"/>
  <c r="L4099" i="6"/>
  <c r="K4099" i="6"/>
  <c r="J4099" i="6"/>
  <c r="I4099" i="6"/>
  <c r="H4099" i="6"/>
  <c r="G4099" i="6"/>
  <c r="F4099" i="6"/>
  <c r="D4099" i="6"/>
  <c r="U4099" i="6" s="1"/>
  <c r="C4099" i="6"/>
  <c r="B4099" i="6"/>
  <c r="Q4098" i="6"/>
  <c r="N4098" i="6"/>
  <c r="M4098" i="6"/>
  <c r="L4098" i="6"/>
  <c r="K4098" i="6"/>
  <c r="J4098" i="6"/>
  <c r="I4098" i="6"/>
  <c r="P4098" i="6" s="1"/>
  <c r="H4098" i="6"/>
  <c r="G4098" i="6"/>
  <c r="F4098" i="6"/>
  <c r="D4098" i="6"/>
  <c r="U4098" i="6" s="1"/>
  <c r="C4098" i="6"/>
  <c r="B4098" i="6"/>
  <c r="E4098" i="6" s="1"/>
  <c r="Q4097" i="6"/>
  <c r="P4097" i="6"/>
  <c r="N4097" i="6"/>
  <c r="M4097" i="6"/>
  <c r="L4097" i="6"/>
  <c r="K4097" i="6"/>
  <c r="J4097" i="6"/>
  <c r="I4097" i="6"/>
  <c r="H4097" i="6"/>
  <c r="G4097" i="6"/>
  <c r="F4097" i="6"/>
  <c r="D4097" i="6"/>
  <c r="U4097" i="6" s="1"/>
  <c r="C4097" i="6"/>
  <c r="B4097" i="6"/>
  <c r="Q4096" i="6"/>
  <c r="N4096" i="6"/>
  <c r="M4096" i="6"/>
  <c r="L4096" i="6"/>
  <c r="K4096" i="6"/>
  <c r="J4096" i="6"/>
  <c r="I4096" i="6"/>
  <c r="P4096" i="6" s="1"/>
  <c r="H4096" i="6"/>
  <c r="G4096" i="6"/>
  <c r="F4096" i="6"/>
  <c r="D4096" i="6"/>
  <c r="U4096" i="6" s="1"/>
  <c r="C4096" i="6"/>
  <c r="B4096" i="6"/>
  <c r="E4096" i="6" s="1"/>
  <c r="Q4095" i="6"/>
  <c r="P4095" i="6"/>
  <c r="N4095" i="6"/>
  <c r="M4095" i="6"/>
  <c r="L4095" i="6"/>
  <c r="K4095" i="6"/>
  <c r="J4095" i="6"/>
  <c r="I4095" i="6"/>
  <c r="H4095" i="6"/>
  <c r="G4095" i="6"/>
  <c r="F4095" i="6"/>
  <c r="D4095" i="6"/>
  <c r="U4095" i="6" s="1"/>
  <c r="C4095" i="6"/>
  <c r="B4095" i="6"/>
  <c r="Q4094" i="6"/>
  <c r="N4094" i="6"/>
  <c r="M4094" i="6"/>
  <c r="L4094" i="6"/>
  <c r="K4094" i="6"/>
  <c r="J4094" i="6"/>
  <c r="I4094" i="6"/>
  <c r="P4094" i="6" s="1"/>
  <c r="H4094" i="6"/>
  <c r="G4094" i="6"/>
  <c r="F4094" i="6"/>
  <c r="D4094" i="6"/>
  <c r="U4094" i="6" s="1"/>
  <c r="C4094" i="6"/>
  <c r="B4094" i="6"/>
  <c r="E4094" i="6" s="1"/>
  <c r="Q4093" i="6"/>
  <c r="P4093" i="6"/>
  <c r="N4093" i="6"/>
  <c r="M4093" i="6"/>
  <c r="L4093" i="6"/>
  <c r="K4093" i="6"/>
  <c r="J4093" i="6"/>
  <c r="I4093" i="6"/>
  <c r="H4093" i="6"/>
  <c r="G4093" i="6"/>
  <c r="F4093" i="6"/>
  <c r="D4093" i="6"/>
  <c r="U4093" i="6" s="1"/>
  <c r="C4093" i="6"/>
  <c r="B4093" i="6"/>
  <c r="Q4092" i="6"/>
  <c r="N4092" i="6"/>
  <c r="M4092" i="6"/>
  <c r="L4092" i="6"/>
  <c r="K4092" i="6"/>
  <c r="J4092" i="6"/>
  <c r="I4092" i="6"/>
  <c r="P4092" i="6" s="1"/>
  <c r="H4092" i="6"/>
  <c r="G4092" i="6"/>
  <c r="F4092" i="6"/>
  <c r="D4092" i="6"/>
  <c r="U4092" i="6" s="1"/>
  <c r="C4092" i="6"/>
  <c r="B4092" i="6"/>
  <c r="E4092" i="6" s="1"/>
  <c r="Q4091" i="6"/>
  <c r="P4091" i="6"/>
  <c r="N4091" i="6"/>
  <c r="M4091" i="6"/>
  <c r="L4091" i="6"/>
  <c r="K4091" i="6"/>
  <c r="J4091" i="6"/>
  <c r="I4091" i="6"/>
  <c r="H4091" i="6"/>
  <c r="G4091" i="6"/>
  <c r="F4091" i="6"/>
  <c r="D4091" i="6"/>
  <c r="U4091" i="6" s="1"/>
  <c r="C4091" i="6"/>
  <c r="B4091" i="6"/>
  <c r="Q4090" i="6"/>
  <c r="N4090" i="6"/>
  <c r="M4090" i="6"/>
  <c r="L4090" i="6"/>
  <c r="K4090" i="6"/>
  <c r="J4090" i="6"/>
  <c r="I4090" i="6"/>
  <c r="P4090" i="6" s="1"/>
  <c r="H4090" i="6"/>
  <c r="G4090" i="6"/>
  <c r="F4090" i="6"/>
  <c r="D4090" i="6"/>
  <c r="U4090" i="6" s="1"/>
  <c r="C4090" i="6"/>
  <c r="B4090" i="6"/>
  <c r="E4090" i="6" s="1"/>
  <c r="Q4089" i="6"/>
  <c r="P4089" i="6"/>
  <c r="N4089" i="6"/>
  <c r="M4089" i="6"/>
  <c r="L4089" i="6"/>
  <c r="K4089" i="6"/>
  <c r="J4089" i="6"/>
  <c r="I4089" i="6"/>
  <c r="H4089" i="6"/>
  <c r="G4089" i="6"/>
  <c r="F4089" i="6"/>
  <c r="D4089" i="6"/>
  <c r="U4089" i="6" s="1"/>
  <c r="C4089" i="6"/>
  <c r="B4089" i="6"/>
  <c r="Q4088" i="6"/>
  <c r="N4088" i="6"/>
  <c r="M4088" i="6"/>
  <c r="L4088" i="6"/>
  <c r="K4088" i="6"/>
  <c r="J4088" i="6"/>
  <c r="I4088" i="6"/>
  <c r="P4088" i="6" s="1"/>
  <c r="H4088" i="6"/>
  <c r="G4088" i="6"/>
  <c r="F4088" i="6"/>
  <c r="D4088" i="6"/>
  <c r="U4088" i="6" s="1"/>
  <c r="C4088" i="6"/>
  <c r="B4088" i="6"/>
  <c r="E4088" i="6" s="1"/>
  <c r="Q4087" i="6"/>
  <c r="P4087" i="6"/>
  <c r="N4087" i="6"/>
  <c r="M4087" i="6"/>
  <c r="L4087" i="6"/>
  <c r="K4087" i="6"/>
  <c r="J4087" i="6"/>
  <c r="I4087" i="6"/>
  <c r="H4087" i="6"/>
  <c r="G4087" i="6"/>
  <c r="F4087" i="6"/>
  <c r="D4087" i="6"/>
  <c r="U4087" i="6" s="1"/>
  <c r="C4087" i="6"/>
  <c r="B4087" i="6"/>
  <c r="Q4086" i="6"/>
  <c r="N4086" i="6"/>
  <c r="M4086" i="6"/>
  <c r="L4086" i="6"/>
  <c r="K4086" i="6"/>
  <c r="J4086" i="6"/>
  <c r="I4086" i="6"/>
  <c r="P4086" i="6" s="1"/>
  <c r="H4086" i="6"/>
  <c r="G4086" i="6"/>
  <c r="F4086" i="6"/>
  <c r="D4086" i="6"/>
  <c r="U4086" i="6" s="1"/>
  <c r="C4086" i="6"/>
  <c r="B4086" i="6"/>
  <c r="E4086" i="6" s="1"/>
  <c r="Q4085" i="6"/>
  <c r="P4085" i="6"/>
  <c r="N4085" i="6"/>
  <c r="M4085" i="6"/>
  <c r="L4085" i="6"/>
  <c r="K4085" i="6"/>
  <c r="J4085" i="6"/>
  <c r="I4085" i="6"/>
  <c r="H4085" i="6"/>
  <c r="G4085" i="6"/>
  <c r="F4085" i="6"/>
  <c r="D4085" i="6"/>
  <c r="U4085" i="6" s="1"/>
  <c r="C4085" i="6"/>
  <c r="B4085" i="6"/>
  <c r="Q4084" i="6"/>
  <c r="N4084" i="6"/>
  <c r="M4084" i="6"/>
  <c r="L4084" i="6"/>
  <c r="K4084" i="6"/>
  <c r="J4084" i="6"/>
  <c r="I4084" i="6"/>
  <c r="P4084" i="6" s="1"/>
  <c r="H4084" i="6"/>
  <c r="G4084" i="6"/>
  <c r="F4084" i="6"/>
  <c r="D4084" i="6"/>
  <c r="U4084" i="6" s="1"/>
  <c r="C4084" i="6"/>
  <c r="B4084" i="6"/>
  <c r="E4084" i="6" s="1"/>
  <c r="Q4083" i="6"/>
  <c r="P4083" i="6"/>
  <c r="N4083" i="6"/>
  <c r="M4083" i="6"/>
  <c r="L4083" i="6"/>
  <c r="K4083" i="6"/>
  <c r="J4083" i="6"/>
  <c r="I4083" i="6"/>
  <c r="H4083" i="6"/>
  <c r="G4083" i="6"/>
  <c r="F4083" i="6"/>
  <c r="D4083" i="6"/>
  <c r="U4083" i="6" s="1"/>
  <c r="C4083" i="6"/>
  <c r="B4083" i="6"/>
  <c r="Q4082" i="6"/>
  <c r="N4082" i="6"/>
  <c r="M4082" i="6"/>
  <c r="L4082" i="6"/>
  <c r="K4082" i="6"/>
  <c r="J4082" i="6"/>
  <c r="I4082" i="6"/>
  <c r="P4082" i="6" s="1"/>
  <c r="H4082" i="6"/>
  <c r="G4082" i="6"/>
  <c r="F4082" i="6"/>
  <c r="D4082" i="6"/>
  <c r="U4082" i="6" s="1"/>
  <c r="C4082" i="6"/>
  <c r="B4082" i="6"/>
  <c r="E4082" i="6" s="1"/>
  <c r="Q4081" i="6"/>
  <c r="P4081" i="6"/>
  <c r="N4081" i="6"/>
  <c r="M4081" i="6"/>
  <c r="L4081" i="6"/>
  <c r="K4081" i="6"/>
  <c r="J4081" i="6"/>
  <c r="I4081" i="6"/>
  <c r="H4081" i="6"/>
  <c r="G4081" i="6"/>
  <c r="F4081" i="6"/>
  <c r="D4081" i="6"/>
  <c r="U4081" i="6" s="1"/>
  <c r="C4081" i="6"/>
  <c r="B4081" i="6"/>
  <c r="Q4080" i="6"/>
  <c r="N4080" i="6"/>
  <c r="M4080" i="6"/>
  <c r="L4080" i="6"/>
  <c r="K4080" i="6"/>
  <c r="J4080" i="6"/>
  <c r="I4080" i="6"/>
  <c r="P4080" i="6" s="1"/>
  <c r="H4080" i="6"/>
  <c r="G4080" i="6"/>
  <c r="F4080" i="6"/>
  <c r="D4080" i="6"/>
  <c r="U4080" i="6" s="1"/>
  <c r="C4080" i="6"/>
  <c r="B4080" i="6"/>
  <c r="E4080" i="6" s="1"/>
  <c r="Q4079" i="6"/>
  <c r="P4079" i="6"/>
  <c r="N4079" i="6"/>
  <c r="M4079" i="6"/>
  <c r="L4079" i="6"/>
  <c r="K4079" i="6"/>
  <c r="J4079" i="6"/>
  <c r="I4079" i="6"/>
  <c r="H4079" i="6"/>
  <c r="G4079" i="6"/>
  <c r="F4079" i="6"/>
  <c r="D4079" i="6"/>
  <c r="U4079" i="6" s="1"/>
  <c r="C4079" i="6"/>
  <c r="B4079" i="6"/>
  <c r="Q4078" i="6"/>
  <c r="N4078" i="6"/>
  <c r="M4078" i="6"/>
  <c r="L4078" i="6"/>
  <c r="K4078" i="6"/>
  <c r="J4078" i="6"/>
  <c r="I4078" i="6"/>
  <c r="P4078" i="6" s="1"/>
  <c r="H4078" i="6"/>
  <c r="G4078" i="6"/>
  <c r="F4078" i="6"/>
  <c r="D4078" i="6"/>
  <c r="U4078" i="6" s="1"/>
  <c r="C4078" i="6"/>
  <c r="B4078" i="6"/>
  <c r="E4078" i="6" s="1"/>
  <c r="Q4077" i="6"/>
  <c r="P4077" i="6"/>
  <c r="N4077" i="6"/>
  <c r="M4077" i="6"/>
  <c r="L4077" i="6"/>
  <c r="K4077" i="6"/>
  <c r="J4077" i="6"/>
  <c r="I4077" i="6"/>
  <c r="H4077" i="6"/>
  <c r="G4077" i="6"/>
  <c r="F4077" i="6"/>
  <c r="D4077" i="6"/>
  <c r="U4077" i="6" s="1"/>
  <c r="C4077" i="6"/>
  <c r="B4077" i="6"/>
  <c r="Q4076" i="6"/>
  <c r="N4076" i="6"/>
  <c r="M4076" i="6"/>
  <c r="L4076" i="6"/>
  <c r="K4076" i="6"/>
  <c r="J4076" i="6"/>
  <c r="I4076" i="6"/>
  <c r="P4076" i="6" s="1"/>
  <c r="H4076" i="6"/>
  <c r="G4076" i="6"/>
  <c r="F4076" i="6"/>
  <c r="D4076" i="6"/>
  <c r="U4076" i="6" s="1"/>
  <c r="C4076" i="6"/>
  <c r="B4076" i="6"/>
  <c r="E4076" i="6" s="1"/>
  <c r="Q4075" i="6"/>
  <c r="P4075" i="6"/>
  <c r="N4075" i="6"/>
  <c r="M4075" i="6"/>
  <c r="L4075" i="6"/>
  <c r="K4075" i="6"/>
  <c r="J4075" i="6"/>
  <c r="I4075" i="6"/>
  <c r="H4075" i="6"/>
  <c r="G4075" i="6"/>
  <c r="F4075" i="6"/>
  <c r="D4075" i="6"/>
  <c r="U4075" i="6" s="1"/>
  <c r="C4075" i="6"/>
  <c r="B4075" i="6"/>
  <c r="Q4074" i="6"/>
  <c r="N4074" i="6"/>
  <c r="M4074" i="6"/>
  <c r="L4074" i="6"/>
  <c r="K4074" i="6"/>
  <c r="J4074" i="6"/>
  <c r="I4074" i="6"/>
  <c r="P4074" i="6" s="1"/>
  <c r="H4074" i="6"/>
  <c r="G4074" i="6"/>
  <c r="F4074" i="6"/>
  <c r="D4074" i="6"/>
  <c r="U4074" i="6" s="1"/>
  <c r="C4074" i="6"/>
  <c r="B4074" i="6"/>
  <c r="E4074" i="6" s="1"/>
  <c r="Q4073" i="6"/>
  <c r="P4073" i="6"/>
  <c r="N4073" i="6"/>
  <c r="M4073" i="6"/>
  <c r="L4073" i="6"/>
  <c r="K4073" i="6"/>
  <c r="J4073" i="6"/>
  <c r="I4073" i="6"/>
  <c r="H4073" i="6"/>
  <c r="G4073" i="6"/>
  <c r="F4073" i="6"/>
  <c r="D4073" i="6"/>
  <c r="U4073" i="6" s="1"/>
  <c r="C4073" i="6"/>
  <c r="B4073" i="6"/>
  <c r="Q4072" i="6"/>
  <c r="N4072" i="6"/>
  <c r="M4072" i="6"/>
  <c r="L4072" i="6"/>
  <c r="K4072" i="6"/>
  <c r="J4072" i="6"/>
  <c r="I4072" i="6"/>
  <c r="P4072" i="6" s="1"/>
  <c r="H4072" i="6"/>
  <c r="G4072" i="6"/>
  <c r="F4072" i="6"/>
  <c r="D4072" i="6"/>
  <c r="U4072" i="6" s="1"/>
  <c r="C4072" i="6"/>
  <c r="B4072" i="6"/>
  <c r="E4072" i="6" s="1"/>
  <c r="Q4071" i="6"/>
  <c r="P4071" i="6"/>
  <c r="N4071" i="6"/>
  <c r="M4071" i="6"/>
  <c r="L4071" i="6"/>
  <c r="K4071" i="6"/>
  <c r="J4071" i="6"/>
  <c r="I4071" i="6"/>
  <c r="H4071" i="6"/>
  <c r="G4071" i="6"/>
  <c r="F4071" i="6"/>
  <c r="D4071" i="6"/>
  <c r="U4071" i="6" s="1"/>
  <c r="C4071" i="6"/>
  <c r="B4071" i="6"/>
  <c r="Q4070" i="6"/>
  <c r="N4070" i="6"/>
  <c r="M4070" i="6"/>
  <c r="L4070" i="6"/>
  <c r="K4070" i="6"/>
  <c r="J4070" i="6"/>
  <c r="I4070" i="6"/>
  <c r="P4070" i="6" s="1"/>
  <c r="H4070" i="6"/>
  <c r="G4070" i="6"/>
  <c r="F4070" i="6"/>
  <c r="D4070" i="6"/>
  <c r="U4070" i="6" s="1"/>
  <c r="C4070" i="6"/>
  <c r="B4070" i="6"/>
  <c r="E4070" i="6" s="1"/>
  <c r="Q4069" i="6"/>
  <c r="P4069" i="6"/>
  <c r="N4069" i="6"/>
  <c r="M4069" i="6"/>
  <c r="L4069" i="6"/>
  <c r="K4069" i="6"/>
  <c r="J4069" i="6"/>
  <c r="I4069" i="6"/>
  <c r="H4069" i="6"/>
  <c r="G4069" i="6"/>
  <c r="F4069" i="6"/>
  <c r="D4069" i="6"/>
  <c r="U4069" i="6" s="1"/>
  <c r="C4069" i="6"/>
  <c r="B4069" i="6"/>
  <c r="Q4068" i="6"/>
  <c r="N4068" i="6"/>
  <c r="M4068" i="6"/>
  <c r="L4068" i="6"/>
  <c r="K4068" i="6"/>
  <c r="J4068" i="6"/>
  <c r="I4068" i="6"/>
  <c r="P4068" i="6" s="1"/>
  <c r="H4068" i="6"/>
  <c r="G4068" i="6"/>
  <c r="F4068" i="6"/>
  <c r="D4068" i="6"/>
  <c r="U4068" i="6" s="1"/>
  <c r="C4068" i="6"/>
  <c r="B4068" i="6"/>
  <c r="E4068" i="6" s="1"/>
  <c r="Q4067" i="6"/>
  <c r="P4067" i="6"/>
  <c r="N4067" i="6"/>
  <c r="M4067" i="6"/>
  <c r="L4067" i="6"/>
  <c r="K4067" i="6"/>
  <c r="J4067" i="6"/>
  <c r="I4067" i="6"/>
  <c r="H4067" i="6"/>
  <c r="G4067" i="6"/>
  <c r="F4067" i="6"/>
  <c r="D4067" i="6"/>
  <c r="U4067" i="6" s="1"/>
  <c r="C4067" i="6"/>
  <c r="B4067" i="6"/>
  <c r="Q4066" i="6"/>
  <c r="N4066" i="6"/>
  <c r="M4066" i="6"/>
  <c r="L4066" i="6"/>
  <c r="K4066" i="6"/>
  <c r="J4066" i="6"/>
  <c r="I4066" i="6"/>
  <c r="P4066" i="6" s="1"/>
  <c r="H4066" i="6"/>
  <c r="G4066" i="6"/>
  <c r="F4066" i="6"/>
  <c r="D4066" i="6"/>
  <c r="U4066" i="6" s="1"/>
  <c r="C4066" i="6"/>
  <c r="B4066" i="6"/>
  <c r="E4066" i="6" s="1"/>
  <c r="Q4065" i="6"/>
  <c r="P4065" i="6"/>
  <c r="N4065" i="6"/>
  <c r="M4065" i="6"/>
  <c r="L4065" i="6"/>
  <c r="K4065" i="6"/>
  <c r="J4065" i="6"/>
  <c r="I4065" i="6"/>
  <c r="H4065" i="6"/>
  <c r="G4065" i="6"/>
  <c r="F4065" i="6"/>
  <c r="D4065" i="6"/>
  <c r="U4065" i="6" s="1"/>
  <c r="C4065" i="6"/>
  <c r="B4065" i="6"/>
  <c r="Q4064" i="6"/>
  <c r="N4064" i="6"/>
  <c r="M4064" i="6"/>
  <c r="L4064" i="6"/>
  <c r="K4064" i="6"/>
  <c r="J4064" i="6"/>
  <c r="I4064" i="6"/>
  <c r="P4064" i="6" s="1"/>
  <c r="H4064" i="6"/>
  <c r="G4064" i="6"/>
  <c r="F4064" i="6"/>
  <c r="D4064" i="6"/>
  <c r="U4064" i="6" s="1"/>
  <c r="C4064" i="6"/>
  <c r="B4064" i="6"/>
  <c r="E4064" i="6" s="1"/>
  <c r="Q4063" i="6"/>
  <c r="P4063" i="6"/>
  <c r="N4063" i="6"/>
  <c r="M4063" i="6"/>
  <c r="L4063" i="6"/>
  <c r="K4063" i="6"/>
  <c r="J4063" i="6"/>
  <c r="I4063" i="6"/>
  <c r="H4063" i="6"/>
  <c r="G4063" i="6"/>
  <c r="F4063" i="6"/>
  <c r="D4063" i="6"/>
  <c r="U4063" i="6" s="1"/>
  <c r="C4063" i="6"/>
  <c r="B4063" i="6"/>
  <c r="Q4062" i="6"/>
  <c r="N4062" i="6"/>
  <c r="M4062" i="6"/>
  <c r="L4062" i="6"/>
  <c r="K4062" i="6"/>
  <c r="J4062" i="6"/>
  <c r="I4062" i="6"/>
  <c r="P4062" i="6" s="1"/>
  <c r="H4062" i="6"/>
  <c r="G4062" i="6"/>
  <c r="F4062" i="6"/>
  <c r="D4062" i="6"/>
  <c r="U4062" i="6" s="1"/>
  <c r="C4062" i="6"/>
  <c r="B4062" i="6"/>
  <c r="E4062" i="6" s="1"/>
  <c r="Q4061" i="6"/>
  <c r="P4061" i="6"/>
  <c r="N4061" i="6"/>
  <c r="M4061" i="6"/>
  <c r="L4061" i="6"/>
  <c r="K4061" i="6"/>
  <c r="J4061" i="6"/>
  <c r="I4061" i="6"/>
  <c r="H4061" i="6"/>
  <c r="G4061" i="6"/>
  <c r="F4061" i="6"/>
  <c r="D4061" i="6"/>
  <c r="U4061" i="6" s="1"/>
  <c r="C4061" i="6"/>
  <c r="B4061" i="6"/>
  <c r="Q4060" i="6"/>
  <c r="N4060" i="6"/>
  <c r="M4060" i="6"/>
  <c r="L4060" i="6"/>
  <c r="K4060" i="6"/>
  <c r="J4060" i="6"/>
  <c r="I4060" i="6"/>
  <c r="P4060" i="6" s="1"/>
  <c r="H4060" i="6"/>
  <c r="G4060" i="6"/>
  <c r="F4060" i="6"/>
  <c r="D4060" i="6"/>
  <c r="U4060" i="6" s="1"/>
  <c r="C4060" i="6"/>
  <c r="B4060" i="6"/>
  <c r="E4060" i="6" s="1"/>
  <c r="Q4059" i="6"/>
  <c r="P4059" i="6"/>
  <c r="N4059" i="6"/>
  <c r="M4059" i="6"/>
  <c r="L4059" i="6"/>
  <c r="K4059" i="6"/>
  <c r="J4059" i="6"/>
  <c r="I4059" i="6"/>
  <c r="H4059" i="6"/>
  <c r="G4059" i="6"/>
  <c r="F4059" i="6"/>
  <c r="D4059" i="6"/>
  <c r="U4059" i="6" s="1"/>
  <c r="C4059" i="6"/>
  <c r="B4059" i="6"/>
  <c r="Q4058" i="6"/>
  <c r="N4058" i="6"/>
  <c r="M4058" i="6"/>
  <c r="L4058" i="6"/>
  <c r="K4058" i="6"/>
  <c r="J4058" i="6"/>
  <c r="I4058" i="6"/>
  <c r="P4058" i="6" s="1"/>
  <c r="H4058" i="6"/>
  <c r="G4058" i="6"/>
  <c r="F4058" i="6"/>
  <c r="D4058" i="6"/>
  <c r="U4058" i="6" s="1"/>
  <c r="C4058" i="6"/>
  <c r="B4058" i="6"/>
  <c r="E4058" i="6" s="1"/>
  <c r="Q4057" i="6"/>
  <c r="P4057" i="6"/>
  <c r="N4057" i="6"/>
  <c r="M4057" i="6"/>
  <c r="L4057" i="6"/>
  <c r="K4057" i="6"/>
  <c r="J4057" i="6"/>
  <c r="I4057" i="6"/>
  <c r="H4057" i="6"/>
  <c r="G4057" i="6"/>
  <c r="F4057" i="6"/>
  <c r="D4057" i="6"/>
  <c r="U4057" i="6" s="1"/>
  <c r="C4057" i="6"/>
  <c r="B4057" i="6"/>
  <c r="Q4056" i="6"/>
  <c r="N4056" i="6"/>
  <c r="M4056" i="6"/>
  <c r="L4056" i="6"/>
  <c r="K4056" i="6"/>
  <c r="J4056" i="6"/>
  <c r="I4056" i="6"/>
  <c r="P4056" i="6" s="1"/>
  <c r="H4056" i="6"/>
  <c r="G4056" i="6"/>
  <c r="F4056" i="6"/>
  <c r="D4056" i="6"/>
  <c r="U4056" i="6" s="1"/>
  <c r="C4056" i="6"/>
  <c r="B4056" i="6"/>
  <c r="E4056" i="6" s="1"/>
  <c r="Q4055" i="6"/>
  <c r="P4055" i="6"/>
  <c r="N4055" i="6"/>
  <c r="M4055" i="6"/>
  <c r="L4055" i="6"/>
  <c r="K4055" i="6"/>
  <c r="J4055" i="6"/>
  <c r="I4055" i="6"/>
  <c r="H4055" i="6"/>
  <c r="G4055" i="6"/>
  <c r="F4055" i="6"/>
  <c r="D4055" i="6"/>
  <c r="U4055" i="6" s="1"/>
  <c r="C4055" i="6"/>
  <c r="B4055" i="6"/>
  <c r="Q4054" i="6"/>
  <c r="N4054" i="6"/>
  <c r="M4054" i="6"/>
  <c r="L4054" i="6"/>
  <c r="K4054" i="6"/>
  <c r="J4054" i="6"/>
  <c r="I4054" i="6"/>
  <c r="P4054" i="6" s="1"/>
  <c r="H4054" i="6"/>
  <c r="G4054" i="6"/>
  <c r="F4054" i="6"/>
  <c r="D4054" i="6"/>
  <c r="U4054" i="6" s="1"/>
  <c r="C4054" i="6"/>
  <c r="B4054" i="6"/>
  <c r="E4054" i="6" s="1"/>
  <c r="Q4053" i="6"/>
  <c r="P4053" i="6"/>
  <c r="N4053" i="6"/>
  <c r="M4053" i="6"/>
  <c r="L4053" i="6"/>
  <c r="K4053" i="6"/>
  <c r="J4053" i="6"/>
  <c r="I4053" i="6"/>
  <c r="H4053" i="6"/>
  <c r="G4053" i="6"/>
  <c r="F4053" i="6"/>
  <c r="D4053" i="6"/>
  <c r="U4053" i="6" s="1"/>
  <c r="C4053" i="6"/>
  <c r="B4053" i="6"/>
  <c r="Q4052" i="6"/>
  <c r="N4052" i="6"/>
  <c r="M4052" i="6"/>
  <c r="L4052" i="6"/>
  <c r="K4052" i="6"/>
  <c r="J4052" i="6"/>
  <c r="I4052" i="6"/>
  <c r="P4052" i="6" s="1"/>
  <c r="H4052" i="6"/>
  <c r="G4052" i="6"/>
  <c r="F4052" i="6"/>
  <c r="D4052" i="6"/>
  <c r="U4052" i="6" s="1"/>
  <c r="C4052" i="6"/>
  <c r="B4052" i="6"/>
  <c r="E4052" i="6" s="1"/>
  <c r="Q4051" i="6"/>
  <c r="P4051" i="6"/>
  <c r="N4051" i="6"/>
  <c r="M4051" i="6"/>
  <c r="L4051" i="6"/>
  <c r="K4051" i="6"/>
  <c r="J4051" i="6"/>
  <c r="I4051" i="6"/>
  <c r="H4051" i="6"/>
  <c r="G4051" i="6"/>
  <c r="F4051" i="6"/>
  <c r="D4051" i="6"/>
  <c r="U4051" i="6" s="1"/>
  <c r="C4051" i="6"/>
  <c r="B4051" i="6"/>
  <c r="Q4050" i="6"/>
  <c r="N4050" i="6"/>
  <c r="M4050" i="6"/>
  <c r="L4050" i="6"/>
  <c r="K4050" i="6"/>
  <c r="J4050" i="6"/>
  <c r="I4050" i="6"/>
  <c r="P4050" i="6" s="1"/>
  <c r="H4050" i="6"/>
  <c r="G4050" i="6"/>
  <c r="F4050" i="6"/>
  <c r="D4050" i="6"/>
  <c r="U4050" i="6" s="1"/>
  <c r="C4050" i="6"/>
  <c r="B4050" i="6"/>
  <c r="E4050" i="6" s="1"/>
  <c r="Q4049" i="6"/>
  <c r="P4049" i="6"/>
  <c r="N4049" i="6"/>
  <c r="M4049" i="6"/>
  <c r="L4049" i="6"/>
  <c r="K4049" i="6"/>
  <c r="J4049" i="6"/>
  <c r="I4049" i="6"/>
  <c r="H4049" i="6"/>
  <c r="G4049" i="6"/>
  <c r="F4049" i="6"/>
  <c r="D4049" i="6"/>
  <c r="U4049" i="6" s="1"/>
  <c r="C4049" i="6"/>
  <c r="B4049" i="6"/>
  <c r="Q4048" i="6"/>
  <c r="N4048" i="6"/>
  <c r="M4048" i="6"/>
  <c r="L4048" i="6"/>
  <c r="K4048" i="6"/>
  <c r="J4048" i="6"/>
  <c r="I4048" i="6"/>
  <c r="P4048" i="6" s="1"/>
  <c r="H4048" i="6"/>
  <c r="G4048" i="6"/>
  <c r="F4048" i="6"/>
  <c r="D4048" i="6"/>
  <c r="U4048" i="6" s="1"/>
  <c r="C4048" i="6"/>
  <c r="B4048" i="6"/>
  <c r="E4048" i="6" s="1"/>
  <c r="Q4047" i="6"/>
  <c r="P4047" i="6"/>
  <c r="N4047" i="6"/>
  <c r="M4047" i="6"/>
  <c r="L4047" i="6"/>
  <c r="K4047" i="6"/>
  <c r="J4047" i="6"/>
  <c r="I4047" i="6"/>
  <c r="H4047" i="6"/>
  <c r="G4047" i="6"/>
  <c r="F4047" i="6"/>
  <c r="D4047" i="6"/>
  <c r="U4047" i="6" s="1"/>
  <c r="C4047" i="6"/>
  <c r="B4047" i="6"/>
  <c r="Q4046" i="6"/>
  <c r="N4046" i="6"/>
  <c r="M4046" i="6"/>
  <c r="L4046" i="6"/>
  <c r="K4046" i="6"/>
  <c r="J4046" i="6"/>
  <c r="I4046" i="6"/>
  <c r="P4046" i="6" s="1"/>
  <c r="H4046" i="6"/>
  <c r="G4046" i="6"/>
  <c r="F4046" i="6"/>
  <c r="D4046" i="6"/>
  <c r="U4046" i="6" s="1"/>
  <c r="C4046" i="6"/>
  <c r="B4046" i="6"/>
  <c r="E4046" i="6" s="1"/>
  <c r="Q4045" i="6"/>
  <c r="P4045" i="6"/>
  <c r="N4045" i="6"/>
  <c r="M4045" i="6"/>
  <c r="L4045" i="6"/>
  <c r="K4045" i="6"/>
  <c r="J4045" i="6"/>
  <c r="I4045" i="6"/>
  <c r="H4045" i="6"/>
  <c r="G4045" i="6"/>
  <c r="F4045" i="6"/>
  <c r="D4045" i="6"/>
  <c r="U4045" i="6" s="1"/>
  <c r="C4045" i="6"/>
  <c r="B4045" i="6"/>
  <c r="Q4044" i="6"/>
  <c r="N4044" i="6"/>
  <c r="M4044" i="6"/>
  <c r="L4044" i="6"/>
  <c r="K4044" i="6"/>
  <c r="J4044" i="6"/>
  <c r="I4044" i="6"/>
  <c r="P4044" i="6" s="1"/>
  <c r="H4044" i="6"/>
  <c r="G4044" i="6"/>
  <c r="F4044" i="6"/>
  <c r="D4044" i="6"/>
  <c r="U4044" i="6" s="1"/>
  <c r="C4044" i="6"/>
  <c r="B4044" i="6"/>
  <c r="E4044" i="6" s="1"/>
  <c r="Q4043" i="6"/>
  <c r="P4043" i="6"/>
  <c r="N4043" i="6"/>
  <c r="M4043" i="6"/>
  <c r="L4043" i="6"/>
  <c r="K4043" i="6"/>
  <c r="J4043" i="6"/>
  <c r="I4043" i="6"/>
  <c r="H4043" i="6"/>
  <c r="G4043" i="6"/>
  <c r="F4043" i="6"/>
  <c r="D4043" i="6"/>
  <c r="U4043" i="6" s="1"/>
  <c r="C4043" i="6"/>
  <c r="B4043" i="6"/>
  <c r="Q4042" i="6"/>
  <c r="N4042" i="6"/>
  <c r="M4042" i="6"/>
  <c r="L4042" i="6"/>
  <c r="K4042" i="6"/>
  <c r="J4042" i="6"/>
  <c r="I4042" i="6"/>
  <c r="P4042" i="6" s="1"/>
  <c r="H4042" i="6"/>
  <c r="G4042" i="6"/>
  <c r="F4042" i="6"/>
  <c r="D4042" i="6"/>
  <c r="U4042" i="6" s="1"/>
  <c r="C4042" i="6"/>
  <c r="B4042" i="6"/>
  <c r="E4042" i="6" s="1"/>
  <c r="Q4041" i="6"/>
  <c r="P4041" i="6"/>
  <c r="N4041" i="6"/>
  <c r="M4041" i="6"/>
  <c r="L4041" i="6"/>
  <c r="K4041" i="6"/>
  <c r="J4041" i="6"/>
  <c r="I4041" i="6"/>
  <c r="H4041" i="6"/>
  <c r="G4041" i="6"/>
  <c r="F4041" i="6"/>
  <c r="D4041" i="6"/>
  <c r="U4041" i="6" s="1"/>
  <c r="C4041" i="6"/>
  <c r="B4041" i="6"/>
  <c r="Q4040" i="6"/>
  <c r="N4040" i="6"/>
  <c r="M4040" i="6"/>
  <c r="L4040" i="6"/>
  <c r="K4040" i="6"/>
  <c r="J4040" i="6"/>
  <c r="I4040" i="6"/>
  <c r="P4040" i="6" s="1"/>
  <c r="H4040" i="6"/>
  <c r="G4040" i="6"/>
  <c r="F4040" i="6"/>
  <c r="D4040" i="6"/>
  <c r="U4040" i="6" s="1"/>
  <c r="C4040" i="6"/>
  <c r="B4040" i="6"/>
  <c r="E4040" i="6" s="1"/>
  <c r="Q4039" i="6"/>
  <c r="P4039" i="6"/>
  <c r="N4039" i="6"/>
  <c r="M4039" i="6"/>
  <c r="L4039" i="6"/>
  <c r="K4039" i="6"/>
  <c r="J4039" i="6"/>
  <c r="I4039" i="6"/>
  <c r="H4039" i="6"/>
  <c r="G4039" i="6"/>
  <c r="F4039" i="6"/>
  <c r="D4039" i="6"/>
  <c r="U4039" i="6" s="1"/>
  <c r="C4039" i="6"/>
  <c r="B4039" i="6"/>
  <c r="Q4038" i="6"/>
  <c r="N4038" i="6"/>
  <c r="M4038" i="6"/>
  <c r="L4038" i="6"/>
  <c r="K4038" i="6"/>
  <c r="J4038" i="6"/>
  <c r="I4038" i="6"/>
  <c r="P4038" i="6" s="1"/>
  <c r="H4038" i="6"/>
  <c r="G4038" i="6"/>
  <c r="F4038" i="6"/>
  <c r="D4038" i="6"/>
  <c r="U4038" i="6" s="1"/>
  <c r="C4038" i="6"/>
  <c r="B4038" i="6"/>
  <c r="E4038" i="6" s="1"/>
  <c r="Q4037" i="6"/>
  <c r="P4037" i="6"/>
  <c r="N4037" i="6"/>
  <c r="M4037" i="6"/>
  <c r="L4037" i="6"/>
  <c r="K4037" i="6"/>
  <c r="J4037" i="6"/>
  <c r="I4037" i="6"/>
  <c r="H4037" i="6"/>
  <c r="G4037" i="6"/>
  <c r="F4037" i="6"/>
  <c r="D4037" i="6"/>
  <c r="U4037" i="6" s="1"/>
  <c r="C4037" i="6"/>
  <c r="B4037" i="6"/>
  <c r="Q4036" i="6"/>
  <c r="N4036" i="6"/>
  <c r="M4036" i="6"/>
  <c r="L4036" i="6"/>
  <c r="K4036" i="6"/>
  <c r="J4036" i="6"/>
  <c r="I4036" i="6"/>
  <c r="P4036" i="6" s="1"/>
  <c r="H4036" i="6"/>
  <c r="G4036" i="6"/>
  <c r="F4036" i="6"/>
  <c r="D4036" i="6"/>
  <c r="U4036" i="6" s="1"/>
  <c r="C4036" i="6"/>
  <c r="B4036" i="6"/>
  <c r="E4036" i="6" s="1"/>
  <c r="Q4035" i="6"/>
  <c r="P4035" i="6"/>
  <c r="N4035" i="6"/>
  <c r="M4035" i="6"/>
  <c r="L4035" i="6"/>
  <c r="K4035" i="6"/>
  <c r="J4035" i="6"/>
  <c r="I4035" i="6"/>
  <c r="H4035" i="6"/>
  <c r="G4035" i="6"/>
  <c r="F4035" i="6"/>
  <c r="D4035" i="6"/>
  <c r="U4035" i="6" s="1"/>
  <c r="C4035" i="6"/>
  <c r="B4035" i="6"/>
  <c r="Q4034" i="6"/>
  <c r="N4034" i="6"/>
  <c r="M4034" i="6"/>
  <c r="L4034" i="6"/>
  <c r="K4034" i="6"/>
  <c r="J4034" i="6"/>
  <c r="I4034" i="6"/>
  <c r="P4034" i="6" s="1"/>
  <c r="H4034" i="6"/>
  <c r="G4034" i="6"/>
  <c r="F4034" i="6"/>
  <c r="D4034" i="6"/>
  <c r="U4034" i="6" s="1"/>
  <c r="C4034" i="6"/>
  <c r="B4034" i="6"/>
  <c r="E4034" i="6" s="1"/>
  <c r="Q4033" i="6"/>
  <c r="P4033" i="6"/>
  <c r="N4033" i="6"/>
  <c r="M4033" i="6"/>
  <c r="L4033" i="6"/>
  <c r="K4033" i="6"/>
  <c r="J4033" i="6"/>
  <c r="I4033" i="6"/>
  <c r="H4033" i="6"/>
  <c r="G4033" i="6"/>
  <c r="F4033" i="6"/>
  <c r="D4033" i="6"/>
  <c r="U4033" i="6" s="1"/>
  <c r="C4033" i="6"/>
  <c r="B4033" i="6"/>
  <c r="Q4032" i="6"/>
  <c r="N4032" i="6"/>
  <c r="M4032" i="6"/>
  <c r="L4032" i="6"/>
  <c r="K4032" i="6"/>
  <c r="J4032" i="6"/>
  <c r="I4032" i="6"/>
  <c r="P4032" i="6" s="1"/>
  <c r="H4032" i="6"/>
  <c r="G4032" i="6"/>
  <c r="F4032" i="6"/>
  <c r="D4032" i="6"/>
  <c r="U4032" i="6" s="1"/>
  <c r="C4032" i="6"/>
  <c r="B4032" i="6"/>
  <c r="E4032" i="6" s="1"/>
  <c r="Q4031" i="6"/>
  <c r="P4031" i="6"/>
  <c r="N4031" i="6"/>
  <c r="M4031" i="6"/>
  <c r="L4031" i="6"/>
  <c r="K4031" i="6"/>
  <c r="J4031" i="6"/>
  <c r="I4031" i="6"/>
  <c r="H4031" i="6"/>
  <c r="G4031" i="6"/>
  <c r="F4031" i="6"/>
  <c r="D4031" i="6"/>
  <c r="U4031" i="6" s="1"/>
  <c r="C4031" i="6"/>
  <c r="B4031" i="6"/>
  <c r="Q4030" i="6"/>
  <c r="N4030" i="6"/>
  <c r="M4030" i="6"/>
  <c r="L4030" i="6"/>
  <c r="K4030" i="6"/>
  <c r="J4030" i="6"/>
  <c r="I4030" i="6"/>
  <c r="P4030" i="6" s="1"/>
  <c r="H4030" i="6"/>
  <c r="G4030" i="6"/>
  <c r="F4030" i="6"/>
  <c r="D4030" i="6"/>
  <c r="U4030" i="6" s="1"/>
  <c r="C4030" i="6"/>
  <c r="B4030" i="6"/>
  <c r="E4030" i="6" s="1"/>
  <c r="Q4029" i="6"/>
  <c r="P4029" i="6"/>
  <c r="N4029" i="6"/>
  <c r="M4029" i="6"/>
  <c r="L4029" i="6"/>
  <c r="K4029" i="6"/>
  <c r="J4029" i="6"/>
  <c r="I4029" i="6"/>
  <c r="H4029" i="6"/>
  <c r="G4029" i="6"/>
  <c r="F4029" i="6"/>
  <c r="D4029" i="6"/>
  <c r="U4029" i="6" s="1"/>
  <c r="C4029" i="6"/>
  <c r="B4029" i="6"/>
  <c r="Q4028" i="6"/>
  <c r="N4028" i="6"/>
  <c r="M4028" i="6"/>
  <c r="L4028" i="6"/>
  <c r="K4028" i="6"/>
  <c r="J4028" i="6"/>
  <c r="I4028" i="6"/>
  <c r="P4028" i="6" s="1"/>
  <c r="H4028" i="6"/>
  <c r="G4028" i="6"/>
  <c r="F4028" i="6"/>
  <c r="D4028" i="6"/>
  <c r="U4028" i="6" s="1"/>
  <c r="C4028" i="6"/>
  <c r="B4028" i="6"/>
  <c r="E4028" i="6" s="1"/>
  <c r="Q4027" i="6"/>
  <c r="P4027" i="6"/>
  <c r="N4027" i="6"/>
  <c r="M4027" i="6"/>
  <c r="L4027" i="6"/>
  <c r="K4027" i="6"/>
  <c r="J4027" i="6"/>
  <c r="I4027" i="6"/>
  <c r="H4027" i="6"/>
  <c r="G4027" i="6"/>
  <c r="F4027" i="6"/>
  <c r="D4027" i="6"/>
  <c r="U4027" i="6" s="1"/>
  <c r="C4027" i="6"/>
  <c r="B4027" i="6"/>
  <c r="Q4026" i="6"/>
  <c r="N4026" i="6"/>
  <c r="M4026" i="6"/>
  <c r="L4026" i="6"/>
  <c r="K4026" i="6"/>
  <c r="J4026" i="6"/>
  <c r="I4026" i="6"/>
  <c r="P4026" i="6" s="1"/>
  <c r="H4026" i="6"/>
  <c r="G4026" i="6"/>
  <c r="F4026" i="6"/>
  <c r="D4026" i="6"/>
  <c r="U4026" i="6" s="1"/>
  <c r="C4026" i="6"/>
  <c r="B4026" i="6"/>
  <c r="E4026" i="6" s="1"/>
  <c r="Q4025" i="6"/>
  <c r="P4025" i="6"/>
  <c r="N4025" i="6"/>
  <c r="M4025" i="6"/>
  <c r="L4025" i="6"/>
  <c r="K4025" i="6"/>
  <c r="J4025" i="6"/>
  <c r="I4025" i="6"/>
  <c r="H4025" i="6"/>
  <c r="G4025" i="6"/>
  <c r="F4025" i="6"/>
  <c r="D4025" i="6"/>
  <c r="U4025" i="6" s="1"/>
  <c r="C4025" i="6"/>
  <c r="B4025" i="6"/>
  <c r="Q4024" i="6"/>
  <c r="N4024" i="6"/>
  <c r="M4024" i="6"/>
  <c r="L4024" i="6"/>
  <c r="K4024" i="6"/>
  <c r="J4024" i="6"/>
  <c r="I4024" i="6"/>
  <c r="P4024" i="6" s="1"/>
  <c r="H4024" i="6"/>
  <c r="G4024" i="6"/>
  <c r="F4024" i="6"/>
  <c r="D4024" i="6"/>
  <c r="U4024" i="6" s="1"/>
  <c r="C4024" i="6"/>
  <c r="B4024" i="6"/>
  <c r="E4024" i="6" s="1"/>
  <c r="Q4023" i="6"/>
  <c r="P4023" i="6"/>
  <c r="N4023" i="6"/>
  <c r="M4023" i="6"/>
  <c r="L4023" i="6"/>
  <c r="K4023" i="6"/>
  <c r="J4023" i="6"/>
  <c r="I4023" i="6"/>
  <c r="H4023" i="6"/>
  <c r="G4023" i="6"/>
  <c r="F4023" i="6"/>
  <c r="D4023" i="6"/>
  <c r="U4023" i="6" s="1"/>
  <c r="C4023" i="6"/>
  <c r="B4023" i="6"/>
  <c r="Q4022" i="6"/>
  <c r="N4022" i="6"/>
  <c r="M4022" i="6"/>
  <c r="L4022" i="6"/>
  <c r="K4022" i="6"/>
  <c r="J4022" i="6"/>
  <c r="I4022" i="6"/>
  <c r="P4022" i="6" s="1"/>
  <c r="H4022" i="6"/>
  <c r="G4022" i="6"/>
  <c r="F4022" i="6"/>
  <c r="D4022" i="6"/>
  <c r="U4022" i="6" s="1"/>
  <c r="C4022" i="6"/>
  <c r="B4022" i="6"/>
  <c r="E4022" i="6" s="1"/>
  <c r="Q4021" i="6"/>
  <c r="P4021" i="6"/>
  <c r="N4021" i="6"/>
  <c r="M4021" i="6"/>
  <c r="L4021" i="6"/>
  <c r="K4021" i="6"/>
  <c r="J4021" i="6"/>
  <c r="I4021" i="6"/>
  <c r="H4021" i="6"/>
  <c r="G4021" i="6"/>
  <c r="F4021" i="6"/>
  <c r="D4021" i="6"/>
  <c r="U4021" i="6" s="1"/>
  <c r="C4021" i="6"/>
  <c r="B4021" i="6"/>
  <c r="Q4020" i="6"/>
  <c r="N4020" i="6"/>
  <c r="M4020" i="6"/>
  <c r="L4020" i="6"/>
  <c r="K4020" i="6"/>
  <c r="J4020" i="6"/>
  <c r="I4020" i="6"/>
  <c r="P4020" i="6" s="1"/>
  <c r="H4020" i="6"/>
  <c r="G4020" i="6"/>
  <c r="F4020" i="6"/>
  <c r="D4020" i="6"/>
  <c r="U4020" i="6" s="1"/>
  <c r="C4020" i="6"/>
  <c r="B4020" i="6"/>
  <c r="E4020" i="6" s="1"/>
  <c r="Q4019" i="6"/>
  <c r="P4019" i="6"/>
  <c r="N4019" i="6"/>
  <c r="M4019" i="6"/>
  <c r="L4019" i="6"/>
  <c r="K4019" i="6"/>
  <c r="J4019" i="6"/>
  <c r="I4019" i="6"/>
  <c r="H4019" i="6"/>
  <c r="G4019" i="6"/>
  <c r="F4019" i="6"/>
  <c r="D4019" i="6"/>
  <c r="U4019" i="6" s="1"/>
  <c r="C4019" i="6"/>
  <c r="B4019" i="6"/>
  <c r="Q4018" i="6"/>
  <c r="N4018" i="6"/>
  <c r="M4018" i="6"/>
  <c r="L4018" i="6"/>
  <c r="K4018" i="6"/>
  <c r="J4018" i="6"/>
  <c r="I4018" i="6"/>
  <c r="P4018" i="6" s="1"/>
  <c r="H4018" i="6"/>
  <c r="G4018" i="6"/>
  <c r="F4018" i="6"/>
  <c r="D4018" i="6"/>
  <c r="U4018" i="6" s="1"/>
  <c r="C4018" i="6"/>
  <c r="B4018" i="6"/>
  <c r="E4018" i="6" s="1"/>
  <c r="Q4017" i="6"/>
  <c r="P4017" i="6"/>
  <c r="N4017" i="6"/>
  <c r="M4017" i="6"/>
  <c r="L4017" i="6"/>
  <c r="K4017" i="6"/>
  <c r="J4017" i="6"/>
  <c r="I4017" i="6"/>
  <c r="H4017" i="6"/>
  <c r="G4017" i="6"/>
  <c r="F4017" i="6"/>
  <c r="D4017" i="6"/>
  <c r="U4017" i="6" s="1"/>
  <c r="C4017" i="6"/>
  <c r="B4017" i="6"/>
  <c r="Q4016" i="6"/>
  <c r="N4016" i="6"/>
  <c r="M4016" i="6"/>
  <c r="L4016" i="6"/>
  <c r="K4016" i="6"/>
  <c r="J4016" i="6"/>
  <c r="I4016" i="6"/>
  <c r="P4016" i="6" s="1"/>
  <c r="H4016" i="6"/>
  <c r="G4016" i="6"/>
  <c r="F4016" i="6"/>
  <c r="D4016" i="6"/>
  <c r="U4016" i="6" s="1"/>
  <c r="C4016" i="6"/>
  <c r="B4016" i="6"/>
  <c r="E4016" i="6" s="1"/>
  <c r="Q4015" i="6"/>
  <c r="P4015" i="6"/>
  <c r="N4015" i="6"/>
  <c r="M4015" i="6"/>
  <c r="L4015" i="6"/>
  <c r="K4015" i="6"/>
  <c r="J4015" i="6"/>
  <c r="I4015" i="6"/>
  <c r="H4015" i="6"/>
  <c r="G4015" i="6"/>
  <c r="F4015" i="6"/>
  <c r="D4015" i="6"/>
  <c r="U4015" i="6" s="1"/>
  <c r="C4015" i="6"/>
  <c r="B4015" i="6"/>
  <c r="Q4014" i="6"/>
  <c r="N4014" i="6"/>
  <c r="M4014" i="6"/>
  <c r="L4014" i="6"/>
  <c r="K4014" i="6"/>
  <c r="J4014" i="6"/>
  <c r="I4014" i="6"/>
  <c r="P4014" i="6" s="1"/>
  <c r="H4014" i="6"/>
  <c r="G4014" i="6"/>
  <c r="F4014" i="6"/>
  <c r="D4014" i="6"/>
  <c r="U4014" i="6" s="1"/>
  <c r="C4014" i="6"/>
  <c r="B4014" i="6"/>
  <c r="E4014" i="6" s="1"/>
  <c r="Q4013" i="6"/>
  <c r="P4013" i="6"/>
  <c r="N4013" i="6"/>
  <c r="M4013" i="6"/>
  <c r="L4013" i="6"/>
  <c r="K4013" i="6"/>
  <c r="J4013" i="6"/>
  <c r="I4013" i="6"/>
  <c r="H4013" i="6"/>
  <c r="G4013" i="6"/>
  <c r="F4013" i="6"/>
  <c r="D4013" i="6"/>
  <c r="U4013" i="6" s="1"/>
  <c r="C4013" i="6"/>
  <c r="B4013" i="6"/>
  <c r="Q4012" i="6"/>
  <c r="N4012" i="6"/>
  <c r="M4012" i="6"/>
  <c r="L4012" i="6"/>
  <c r="K4012" i="6"/>
  <c r="J4012" i="6"/>
  <c r="I4012" i="6"/>
  <c r="P4012" i="6" s="1"/>
  <c r="H4012" i="6"/>
  <c r="G4012" i="6"/>
  <c r="F4012" i="6"/>
  <c r="D4012" i="6"/>
  <c r="U4012" i="6" s="1"/>
  <c r="C4012" i="6"/>
  <c r="B4012" i="6"/>
  <c r="E4012" i="6" s="1"/>
  <c r="Q4011" i="6"/>
  <c r="P4011" i="6"/>
  <c r="N4011" i="6"/>
  <c r="M4011" i="6"/>
  <c r="L4011" i="6"/>
  <c r="K4011" i="6"/>
  <c r="J4011" i="6"/>
  <c r="I4011" i="6"/>
  <c r="H4011" i="6"/>
  <c r="G4011" i="6"/>
  <c r="F4011" i="6"/>
  <c r="D4011" i="6"/>
  <c r="U4011" i="6" s="1"/>
  <c r="C4011" i="6"/>
  <c r="B4011" i="6"/>
  <c r="Q4010" i="6"/>
  <c r="N4010" i="6"/>
  <c r="M4010" i="6"/>
  <c r="L4010" i="6"/>
  <c r="K4010" i="6"/>
  <c r="J4010" i="6"/>
  <c r="I4010" i="6"/>
  <c r="P4010" i="6" s="1"/>
  <c r="H4010" i="6"/>
  <c r="G4010" i="6"/>
  <c r="F4010" i="6"/>
  <c r="D4010" i="6"/>
  <c r="U4010" i="6" s="1"/>
  <c r="C4010" i="6"/>
  <c r="B4010" i="6"/>
  <c r="E4010" i="6" s="1"/>
  <c r="Q4009" i="6"/>
  <c r="P4009" i="6"/>
  <c r="N4009" i="6"/>
  <c r="M4009" i="6"/>
  <c r="L4009" i="6"/>
  <c r="K4009" i="6"/>
  <c r="J4009" i="6"/>
  <c r="I4009" i="6"/>
  <c r="H4009" i="6"/>
  <c r="G4009" i="6"/>
  <c r="F4009" i="6"/>
  <c r="D4009" i="6"/>
  <c r="U4009" i="6" s="1"/>
  <c r="C4009" i="6"/>
  <c r="B4009" i="6"/>
  <c r="Q4008" i="6"/>
  <c r="N4008" i="6"/>
  <c r="M4008" i="6"/>
  <c r="L4008" i="6"/>
  <c r="K4008" i="6"/>
  <c r="J4008" i="6"/>
  <c r="I4008" i="6"/>
  <c r="P4008" i="6" s="1"/>
  <c r="H4008" i="6"/>
  <c r="G4008" i="6"/>
  <c r="F4008" i="6"/>
  <c r="D4008" i="6"/>
  <c r="U4008" i="6" s="1"/>
  <c r="C4008" i="6"/>
  <c r="B4008" i="6"/>
  <c r="E4008" i="6" s="1"/>
  <c r="Q4007" i="6"/>
  <c r="P4007" i="6"/>
  <c r="N4007" i="6"/>
  <c r="M4007" i="6"/>
  <c r="L4007" i="6"/>
  <c r="K4007" i="6"/>
  <c r="J4007" i="6"/>
  <c r="I4007" i="6"/>
  <c r="H4007" i="6"/>
  <c r="G4007" i="6"/>
  <c r="F4007" i="6"/>
  <c r="D4007" i="6"/>
  <c r="U4007" i="6" s="1"/>
  <c r="C4007" i="6"/>
  <c r="B4007" i="6"/>
  <c r="Q4006" i="6"/>
  <c r="N4006" i="6"/>
  <c r="M4006" i="6"/>
  <c r="L4006" i="6"/>
  <c r="K4006" i="6"/>
  <c r="J4006" i="6"/>
  <c r="I4006" i="6"/>
  <c r="P4006" i="6" s="1"/>
  <c r="H4006" i="6"/>
  <c r="G4006" i="6"/>
  <c r="F4006" i="6"/>
  <c r="D4006" i="6"/>
  <c r="U4006" i="6" s="1"/>
  <c r="C4006" i="6"/>
  <c r="B4006" i="6"/>
  <c r="E4006" i="6" s="1"/>
  <c r="Q4005" i="6"/>
  <c r="P4005" i="6"/>
  <c r="N4005" i="6"/>
  <c r="M4005" i="6"/>
  <c r="L4005" i="6"/>
  <c r="K4005" i="6"/>
  <c r="J4005" i="6"/>
  <c r="I4005" i="6"/>
  <c r="H4005" i="6"/>
  <c r="G4005" i="6"/>
  <c r="F4005" i="6"/>
  <c r="D4005" i="6"/>
  <c r="U4005" i="6" s="1"/>
  <c r="C4005" i="6"/>
  <c r="B4005" i="6"/>
  <c r="Q4004" i="6"/>
  <c r="N4004" i="6"/>
  <c r="M4004" i="6"/>
  <c r="L4004" i="6"/>
  <c r="K4004" i="6"/>
  <c r="J4004" i="6"/>
  <c r="I4004" i="6"/>
  <c r="P4004" i="6" s="1"/>
  <c r="H4004" i="6"/>
  <c r="G4004" i="6"/>
  <c r="F4004" i="6"/>
  <c r="D4004" i="6"/>
  <c r="U4004" i="6" s="1"/>
  <c r="C4004" i="6"/>
  <c r="B4004" i="6"/>
  <c r="E4004" i="6" s="1"/>
  <c r="Q4003" i="6"/>
  <c r="P4003" i="6"/>
  <c r="N4003" i="6"/>
  <c r="M4003" i="6"/>
  <c r="L4003" i="6"/>
  <c r="K4003" i="6"/>
  <c r="J4003" i="6"/>
  <c r="I4003" i="6"/>
  <c r="H4003" i="6"/>
  <c r="G4003" i="6"/>
  <c r="F4003" i="6"/>
  <c r="D4003" i="6"/>
  <c r="U4003" i="6" s="1"/>
  <c r="C4003" i="6"/>
  <c r="B4003" i="6"/>
  <c r="Q4002" i="6"/>
  <c r="N4002" i="6"/>
  <c r="M4002" i="6"/>
  <c r="L4002" i="6"/>
  <c r="K4002" i="6"/>
  <c r="J4002" i="6"/>
  <c r="I4002" i="6"/>
  <c r="P4002" i="6" s="1"/>
  <c r="H4002" i="6"/>
  <c r="G4002" i="6"/>
  <c r="F4002" i="6"/>
  <c r="D4002" i="6"/>
  <c r="U4002" i="6" s="1"/>
  <c r="C4002" i="6"/>
  <c r="B4002" i="6"/>
  <c r="E4002" i="6" s="1"/>
  <c r="Q4001" i="6"/>
  <c r="P4001" i="6"/>
  <c r="N4001" i="6"/>
  <c r="M4001" i="6"/>
  <c r="L4001" i="6"/>
  <c r="K4001" i="6"/>
  <c r="J4001" i="6"/>
  <c r="I4001" i="6"/>
  <c r="H4001" i="6"/>
  <c r="G4001" i="6"/>
  <c r="F4001" i="6"/>
  <c r="D4001" i="6"/>
  <c r="U4001" i="6" s="1"/>
  <c r="C4001" i="6"/>
  <c r="B4001" i="6"/>
  <c r="Q4000" i="6"/>
  <c r="N4000" i="6"/>
  <c r="M4000" i="6"/>
  <c r="L4000" i="6"/>
  <c r="K4000" i="6"/>
  <c r="J4000" i="6"/>
  <c r="I4000" i="6"/>
  <c r="P4000" i="6" s="1"/>
  <c r="H4000" i="6"/>
  <c r="G4000" i="6"/>
  <c r="F4000" i="6"/>
  <c r="D4000" i="6"/>
  <c r="U4000" i="6" s="1"/>
  <c r="C4000" i="6"/>
  <c r="B4000" i="6"/>
  <c r="E4000" i="6" s="1"/>
  <c r="Q3999" i="6"/>
  <c r="P3999" i="6"/>
  <c r="N3999" i="6"/>
  <c r="M3999" i="6"/>
  <c r="L3999" i="6"/>
  <c r="K3999" i="6"/>
  <c r="J3999" i="6"/>
  <c r="I3999" i="6"/>
  <c r="H3999" i="6"/>
  <c r="G3999" i="6"/>
  <c r="F3999" i="6"/>
  <c r="D3999" i="6"/>
  <c r="U3999" i="6" s="1"/>
  <c r="C3999" i="6"/>
  <c r="B3999" i="6"/>
  <c r="Q3998" i="6"/>
  <c r="N3998" i="6"/>
  <c r="M3998" i="6"/>
  <c r="L3998" i="6"/>
  <c r="K3998" i="6"/>
  <c r="J3998" i="6"/>
  <c r="I3998" i="6"/>
  <c r="P3998" i="6" s="1"/>
  <c r="H3998" i="6"/>
  <c r="G3998" i="6"/>
  <c r="F3998" i="6"/>
  <c r="D3998" i="6"/>
  <c r="U3998" i="6" s="1"/>
  <c r="C3998" i="6"/>
  <c r="B3998" i="6"/>
  <c r="E3998" i="6" s="1"/>
  <c r="Q3997" i="6"/>
  <c r="P3997" i="6"/>
  <c r="N3997" i="6"/>
  <c r="M3997" i="6"/>
  <c r="L3997" i="6"/>
  <c r="K3997" i="6"/>
  <c r="J3997" i="6"/>
  <c r="I3997" i="6"/>
  <c r="H3997" i="6"/>
  <c r="G3997" i="6"/>
  <c r="F3997" i="6"/>
  <c r="D3997" i="6"/>
  <c r="U3997" i="6" s="1"/>
  <c r="C3997" i="6"/>
  <c r="B3997" i="6"/>
  <c r="Q3996" i="6"/>
  <c r="N3996" i="6"/>
  <c r="M3996" i="6"/>
  <c r="L3996" i="6"/>
  <c r="K3996" i="6"/>
  <c r="J3996" i="6"/>
  <c r="I3996" i="6"/>
  <c r="P3996" i="6" s="1"/>
  <c r="H3996" i="6"/>
  <c r="G3996" i="6"/>
  <c r="F3996" i="6"/>
  <c r="D3996" i="6"/>
  <c r="U3996" i="6" s="1"/>
  <c r="C3996" i="6"/>
  <c r="B3996" i="6"/>
  <c r="E3996" i="6" s="1"/>
  <c r="Q3995" i="6"/>
  <c r="P3995" i="6"/>
  <c r="N3995" i="6"/>
  <c r="M3995" i="6"/>
  <c r="L3995" i="6"/>
  <c r="K3995" i="6"/>
  <c r="J3995" i="6"/>
  <c r="I3995" i="6"/>
  <c r="H3995" i="6"/>
  <c r="G3995" i="6"/>
  <c r="F3995" i="6"/>
  <c r="D3995" i="6"/>
  <c r="U3995" i="6" s="1"/>
  <c r="C3995" i="6"/>
  <c r="B3995" i="6"/>
  <c r="Q3994" i="6"/>
  <c r="N3994" i="6"/>
  <c r="M3994" i="6"/>
  <c r="L3994" i="6"/>
  <c r="K3994" i="6"/>
  <c r="J3994" i="6"/>
  <c r="I3994" i="6"/>
  <c r="P3994" i="6" s="1"/>
  <c r="H3994" i="6"/>
  <c r="G3994" i="6"/>
  <c r="F3994" i="6"/>
  <c r="D3994" i="6"/>
  <c r="U3994" i="6" s="1"/>
  <c r="C3994" i="6"/>
  <c r="B3994" i="6"/>
  <c r="E3994" i="6" s="1"/>
  <c r="Q3993" i="6"/>
  <c r="P3993" i="6"/>
  <c r="N3993" i="6"/>
  <c r="M3993" i="6"/>
  <c r="L3993" i="6"/>
  <c r="K3993" i="6"/>
  <c r="J3993" i="6"/>
  <c r="I3993" i="6"/>
  <c r="H3993" i="6"/>
  <c r="G3993" i="6"/>
  <c r="F3993" i="6"/>
  <c r="D3993" i="6"/>
  <c r="U3993" i="6" s="1"/>
  <c r="C3993" i="6"/>
  <c r="B3993" i="6"/>
  <c r="Q3992" i="6"/>
  <c r="N3992" i="6"/>
  <c r="M3992" i="6"/>
  <c r="L3992" i="6"/>
  <c r="K3992" i="6"/>
  <c r="J3992" i="6"/>
  <c r="I3992" i="6"/>
  <c r="P3992" i="6" s="1"/>
  <c r="H3992" i="6"/>
  <c r="G3992" i="6"/>
  <c r="F3992" i="6"/>
  <c r="D3992" i="6"/>
  <c r="U3992" i="6" s="1"/>
  <c r="C3992" i="6"/>
  <c r="B3992" i="6"/>
  <c r="E3992" i="6" s="1"/>
  <c r="Q3991" i="6"/>
  <c r="P3991" i="6"/>
  <c r="N3991" i="6"/>
  <c r="M3991" i="6"/>
  <c r="L3991" i="6"/>
  <c r="K3991" i="6"/>
  <c r="J3991" i="6"/>
  <c r="I3991" i="6"/>
  <c r="H3991" i="6"/>
  <c r="G3991" i="6"/>
  <c r="F3991" i="6"/>
  <c r="D3991" i="6"/>
  <c r="U3991" i="6" s="1"/>
  <c r="C3991" i="6"/>
  <c r="B3991" i="6"/>
  <c r="Q3990" i="6"/>
  <c r="N3990" i="6"/>
  <c r="M3990" i="6"/>
  <c r="L3990" i="6"/>
  <c r="K3990" i="6"/>
  <c r="J3990" i="6"/>
  <c r="I3990" i="6"/>
  <c r="P3990" i="6" s="1"/>
  <c r="H3990" i="6"/>
  <c r="G3990" i="6"/>
  <c r="F3990" i="6"/>
  <c r="D3990" i="6"/>
  <c r="U3990" i="6" s="1"/>
  <c r="C3990" i="6"/>
  <c r="B3990" i="6"/>
  <c r="E3990" i="6" s="1"/>
  <c r="Q3989" i="6"/>
  <c r="P3989" i="6"/>
  <c r="N3989" i="6"/>
  <c r="M3989" i="6"/>
  <c r="L3989" i="6"/>
  <c r="K3989" i="6"/>
  <c r="J3989" i="6"/>
  <c r="I3989" i="6"/>
  <c r="H3989" i="6"/>
  <c r="G3989" i="6"/>
  <c r="F3989" i="6"/>
  <c r="D3989" i="6"/>
  <c r="U3989" i="6" s="1"/>
  <c r="C3989" i="6"/>
  <c r="B3989" i="6"/>
  <c r="Q3988" i="6"/>
  <c r="N3988" i="6"/>
  <c r="M3988" i="6"/>
  <c r="L3988" i="6"/>
  <c r="K3988" i="6"/>
  <c r="J3988" i="6"/>
  <c r="I3988" i="6"/>
  <c r="P3988" i="6" s="1"/>
  <c r="H3988" i="6"/>
  <c r="G3988" i="6"/>
  <c r="F3988" i="6"/>
  <c r="D3988" i="6"/>
  <c r="U3988" i="6" s="1"/>
  <c r="C3988" i="6"/>
  <c r="B3988" i="6"/>
  <c r="E3988" i="6" s="1"/>
  <c r="Q3987" i="6"/>
  <c r="P3987" i="6"/>
  <c r="N3987" i="6"/>
  <c r="M3987" i="6"/>
  <c r="L3987" i="6"/>
  <c r="K3987" i="6"/>
  <c r="J3987" i="6"/>
  <c r="I3987" i="6"/>
  <c r="H3987" i="6"/>
  <c r="G3987" i="6"/>
  <c r="F3987" i="6"/>
  <c r="D3987" i="6"/>
  <c r="U3987" i="6" s="1"/>
  <c r="C3987" i="6"/>
  <c r="B3987" i="6"/>
  <c r="Q3986" i="6"/>
  <c r="N3986" i="6"/>
  <c r="M3986" i="6"/>
  <c r="L3986" i="6"/>
  <c r="K3986" i="6"/>
  <c r="J3986" i="6"/>
  <c r="I3986" i="6"/>
  <c r="P3986" i="6" s="1"/>
  <c r="H3986" i="6"/>
  <c r="G3986" i="6"/>
  <c r="F3986" i="6"/>
  <c r="D3986" i="6"/>
  <c r="U3986" i="6" s="1"/>
  <c r="C3986" i="6"/>
  <c r="B3986" i="6"/>
  <c r="E3986" i="6" s="1"/>
  <c r="Q3985" i="6"/>
  <c r="P3985" i="6"/>
  <c r="N3985" i="6"/>
  <c r="M3985" i="6"/>
  <c r="L3985" i="6"/>
  <c r="K3985" i="6"/>
  <c r="J3985" i="6"/>
  <c r="I3985" i="6"/>
  <c r="H3985" i="6"/>
  <c r="G3985" i="6"/>
  <c r="F3985" i="6"/>
  <c r="D3985" i="6"/>
  <c r="U3985" i="6" s="1"/>
  <c r="C3985" i="6"/>
  <c r="B3985" i="6"/>
  <c r="E3985" i="6" s="1"/>
  <c r="Q3984" i="6"/>
  <c r="N3984" i="6"/>
  <c r="M3984" i="6"/>
  <c r="L3984" i="6"/>
  <c r="K3984" i="6"/>
  <c r="J3984" i="6"/>
  <c r="I3984" i="6"/>
  <c r="P3984" i="6" s="1"/>
  <c r="H3984" i="6"/>
  <c r="G3984" i="6"/>
  <c r="F3984" i="6"/>
  <c r="D3984" i="6"/>
  <c r="U3984" i="6" s="1"/>
  <c r="C3984" i="6"/>
  <c r="B3984" i="6"/>
  <c r="E3984" i="6" s="1"/>
  <c r="Q3983" i="6"/>
  <c r="P3983" i="6"/>
  <c r="N3983" i="6"/>
  <c r="M3983" i="6"/>
  <c r="L3983" i="6"/>
  <c r="K3983" i="6"/>
  <c r="J3983" i="6"/>
  <c r="I3983" i="6"/>
  <c r="H3983" i="6"/>
  <c r="G3983" i="6"/>
  <c r="F3983" i="6"/>
  <c r="D3983" i="6"/>
  <c r="U3983" i="6" s="1"/>
  <c r="C3983" i="6"/>
  <c r="B3983" i="6"/>
  <c r="Q3982" i="6"/>
  <c r="N3982" i="6"/>
  <c r="M3982" i="6"/>
  <c r="L3982" i="6"/>
  <c r="K3982" i="6"/>
  <c r="J3982" i="6"/>
  <c r="I3982" i="6"/>
  <c r="P3982" i="6" s="1"/>
  <c r="H3982" i="6"/>
  <c r="G3982" i="6"/>
  <c r="F3982" i="6"/>
  <c r="D3982" i="6"/>
  <c r="U3982" i="6" s="1"/>
  <c r="C3982" i="6"/>
  <c r="B3982" i="6"/>
  <c r="E3982" i="6" s="1"/>
  <c r="Q3981" i="6"/>
  <c r="P3981" i="6"/>
  <c r="N3981" i="6"/>
  <c r="M3981" i="6"/>
  <c r="L3981" i="6"/>
  <c r="K3981" i="6"/>
  <c r="J3981" i="6"/>
  <c r="I3981" i="6"/>
  <c r="H3981" i="6"/>
  <c r="G3981" i="6"/>
  <c r="F3981" i="6"/>
  <c r="D3981" i="6"/>
  <c r="U3981" i="6" s="1"/>
  <c r="C3981" i="6"/>
  <c r="B3981" i="6"/>
  <c r="E3981" i="6" s="1"/>
  <c r="Q3980" i="6"/>
  <c r="N3980" i="6"/>
  <c r="M3980" i="6"/>
  <c r="L3980" i="6"/>
  <c r="K3980" i="6"/>
  <c r="J3980" i="6"/>
  <c r="I3980" i="6"/>
  <c r="P3980" i="6" s="1"/>
  <c r="H3980" i="6"/>
  <c r="G3980" i="6"/>
  <c r="F3980" i="6"/>
  <c r="D3980" i="6"/>
  <c r="U3980" i="6" s="1"/>
  <c r="C3980" i="6"/>
  <c r="B3980" i="6"/>
  <c r="E3980" i="6" s="1"/>
  <c r="Q3979" i="6"/>
  <c r="P3979" i="6"/>
  <c r="N3979" i="6"/>
  <c r="M3979" i="6"/>
  <c r="L3979" i="6"/>
  <c r="K3979" i="6"/>
  <c r="J3979" i="6"/>
  <c r="I3979" i="6"/>
  <c r="H3979" i="6"/>
  <c r="G3979" i="6"/>
  <c r="F3979" i="6"/>
  <c r="D3979" i="6"/>
  <c r="U3979" i="6" s="1"/>
  <c r="C3979" i="6"/>
  <c r="B3979" i="6"/>
  <c r="Q3978" i="6"/>
  <c r="N3978" i="6"/>
  <c r="M3978" i="6"/>
  <c r="L3978" i="6"/>
  <c r="K3978" i="6"/>
  <c r="J3978" i="6"/>
  <c r="I3978" i="6"/>
  <c r="P3978" i="6" s="1"/>
  <c r="H3978" i="6"/>
  <c r="G3978" i="6"/>
  <c r="F3978" i="6"/>
  <c r="D3978" i="6"/>
  <c r="U3978" i="6" s="1"/>
  <c r="C3978" i="6"/>
  <c r="B3978" i="6"/>
  <c r="E3978" i="6" s="1"/>
  <c r="Q3977" i="6"/>
  <c r="P3977" i="6"/>
  <c r="N3977" i="6"/>
  <c r="M3977" i="6"/>
  <c r="L3977" i="6"/>
  <c r="K3977" i="6"/>
  <c r="J3977" i="6"/>
  <c r="I3977" i="6"/>
  <c r="H3977" i="6"/>
  <c r="G3977" i="6"/>
  <c r="F3977" i="6"/>
  <c r="D3977" i="6"/>
  <c r="U3977" i="6" s="1"/>
  <c r="C3977" i="6"/>
  <c r="B3977" i="6"/>
  <c r="E3977" i="6" s="1"/>
  <c r="Q3976" i="6"/>
  <c r="N3976" i="6"/>
  <c r="M3976" i="6"/>
  <c r="L3976" i="6"/>
  <c r="K3976" i="6"/>
  <c r="J3976" i="6"/>
  <c r="I3976" i="6"/>
  <c r="P3976" i="6" s="1"/>
  <c r="H3976" i="6"/>
  <c r="G3976" i="6"/>
  <c r="F3976" i="6"/>
  <c r="D3976" i="6"/>
  <c r="U3976" i="6" s="1"/>
  <c r="C3976" i="6"/>
  <c r="B3976" i="6"/>
  <c r="E3976" i="6" s="1"/>
  <c r="Q3975" i="6"/>
  <c r="P3975" i="6"/>
  <c r="N3975" i="6"/>
  <c r="M3975" i="6"/>
  <c r="L3975" i="6"/>
  <c r="K3975" i="6"/>
  <c r="J3975" i="6"/>
  <c r="I3975" i="6"/>
  <c r="H3975" i="6"/>
  <c r="G3975" i="6"/>
  <c r="F3975" i="6"/>
  <c r="D3975" i="6"/>
  <c r="U3975" i="6" s="1"/>
  <c r="C3975" i="6"/>
  <c r="B3975" i="6"/>
  <c r="Q3974" i="6"/>
  <c r="N3974" i="6"/>
  <c r="M3974" i="6"/>
  <c r="L3974" i="6"/>
  <c r="K3974" i="6"/>
  <c r="J3974" i="6"/>
  <c r="I3974" i="6"/>
  <c r="P3974" i="6" s="1"/>
  <c r="H3974" i="6"/>
  <c r="G3974" i="6"/>
  <c r="F3974" i="6"/>
  <c r="D3974" i="6"/>
  <c r="U3974" i="6" s="1"/>
  <c r="C3974" i="6"/>
  <c r="B3974" i="6"/>
  <c r="E3974" i="6" s="1"/>
  <c r="Q3973" i="6"/>
  <c r="P3973" i="6"/>
  <c r="N3973" i="6"/>
  <c r="M3973" i="6"/>
  <c r="L3973" i="6"/>
  <c r="K3973" i="6"/>
  <c r="J3973" i="6"/>
  <c r="I3973" i="6"/>
  <c r="H3973" i="6"/>
  <c r="G3973" i="6"/>
  <c r="F3973" i="6"/>
  <c r="D3973" i="6"/>
  <c r="U3973" i="6" s="1"/>
  <c r="C3973" i="6"/>
  <c r="B3973" i="6"/>
  <c r="E3973" i="6" s="1"/>
  <c r="Q3972" i="6"/>
  <c r="N3972" i="6"/>
  <c r="M3972" i="6"/>
  <c r="L3972" i="6"/>
  <c r="K3972" i="6"/>
  <c r="J3972" i="6"/>
  <c r="I3972" i="6"/>
  <c r="P3972" i="6" s="1"/>
  <c r="H3972" i="6"/>
  <c r="G3972" i="6"/>
  <c r="F3972" i="6"/>
  <c r="D3972" i="6"/>
  <c r="U3972" i="6" s="1"/>
  <c r="C3972" i="6"/>
  <c r="B3972" i="6"/>
  <c r="E3972" i="6" s="1"/>
  <c r="Q3971" i="6"/>
  <c r="P3971" i="6"/>
  <c r="N3971" i="6"/>
  <c r="M3971" i="6"/>
  <c r="L3971" i="6"/>
  <c r="K3971" i="6"/>
  <c r="J3971" i="6"/>
  <c r="I3971" i="6"/>
  <c r="H3971" i="6"/>
  <c r="G3971" i="6"/>
  <c r="F3971" i="6"/>
  <c r="D3971" i="6"/>
  <c r="U3971" i="6" s="1"/>
  <c r="C3971" i="6"/>
  <c r="B3971" i="6"/>
  <c r="Q3970" i="6"/>
  <c r="N3970" i="6"/>
  <c r="M3970" i="6"/>
  <c r="L3970" i="6"/>
  <c r="K3970" i="6"/>
  <c r="J3970" i="6"/>
  <c r="I3970" i="6"/>
  <c r="P3970" i="6" s="1"/>
  <c r="H3970" i="6"/>
  <c r="G3970" i="6"/>
  <c r="F3970" i="6"/>
  <c r="D3970" i="6"/>
  <c r="U3970" i="6" s="1"/>
  <c r="C3970" i="6"/>
  <c r="B3970" i="6"/>
  <c r="E3970" i="6" s="1"/>
  <c r="Q3969" i="6"/>
  <c r="N3969" i="6"/>
  <c r="M3969" i="6"/>
  <c r="L3969" i="6"/>
  <c r="K3969" i="6"/>
  <c r="J3969" i="6"/>
  <c r="I3969" i="6"/>
  <c r="P3969" i="6" s="1"/>
  <c r="H3969" i="6"/>
  <c r="G3969" i="6"/>
  <c r="F3969" i="6"/>
  <c r="D3969" i="6"/>
  <c r="U3969" i="6" s="1"/>
  <c r="C3969" i="6"/>
  <c r="B3969" i="6"/>
  <c r="E3969" i="6" s="1"/>
  <c r="Q3968" i="6"/>
  <c r="P3968" i="6"/>
  <c r="N3968" i="6"/>
  <c r="M3968" i="6"/>
  <c r="L3968" i="6"/>
  <c r="K3968" i="6"/>
  <c r="J3968" i="6"/>
  <c r="I3968" i="6"/>
  <c r="H3968" i="6"/>
  <c r="G3968" i="6"/>
  <c r="F3968" i="6"/>
  <c r="D3968" i="6"/>
  <c r="U3968" i="6" s="1"/>
  <c r="C3968" i="6"/>
  <c r="B3968" i="6"/>
  <c r="E3968" i="6" s="1"/>
  <c r="Q3967" i="6"/>
  <c r="N3967" i="6"/>
  <c r="M3967" i="6"/>
  <c r="L3967" i="6"/>
  <c r="K3967" i="6"/>
  <c r="J3967" i="6"/>
  <c r="I3967" i="6"/>
  <c r="P3967" i="6" s="1"/>
  <c r="H3967" i="6"/>
  <c r="G3967" i="6"/>
  <c r="F3967" i="6"/>
  <c r="D3967" i="6"/>
  <c r="U3967" i="6" s="1"/>
  <c r="C3967" i="6"/>
  <c r="B3967" i="6"/>
  <c r="E3967" i="6" s="1"/>
  <c r="Q3966" i="6"/>
  <c r="P3966" i="6"/>
  <c r="N3966" i="6"/>
  <c r="M3966" i="6"/>
  <c r="L3966" i="6"/>
  <c r="K3966" i="6"/>
  <c r="J3966" i="6"/>
  <c r="I3966" i="6"/>
  <c r="H3966" i="6"/>
  <c r="G3966" i="6"/>
  <c r="F3966" i="6"/>
  <c r="D3966" i="6"/>
  <c r="U3966" i="6" s="1"/>
  <c r="C3966" i="6"/>
  <c r="B3966" i="6"/>
  <c r="E3966" i="6" s="1"/>
  <c r="Q3965" i="6"/>
  <c r="N3965" i="6"/>
  <c r="M3965" i="6"/>
  <c r="L3965" i="6"/>
  <c r="K3965" i="6"/>
  <c r="J3965" i="6"/>
  <c r="I3965" i="6"/>
  <c r="P3965" i="6" s="1"/>
  <c r="H3965" i="6"/>
  <c r="G3965" i="6"/>
  <c r="F3965" i="6"/>
  <c r="D3965" i="6"/>
  <c r="U3965" i="6" s="1"/>
  <c r="C3965" i="6"/>
  <c r="B3965" i="6"/>
  <c r="E3965" i="6" s="1"/>
  <c r="Q3964" i="6"/>
  <c r="P3964" i="6"/>
  <c r="N3964" i="6"/>
  <c r="M3964" i="6"/>
  <c r="L3964" i="6"/>
  <c r="K3964" i="6"/>
  <c r="J3964" i="6"/>
  <c r="I3964" i="6"/>
  <c r="H3964" i="6"/>
  <c r="G3964" i="6"/>
  <c r="F3964" i="6"/>
  <c r="D3964" i="6"/>
  <c r="U3964" i="6" s="1"/>
  <c r="C3964" i="6"/>
  <c r="B3964" i="6"/>
  <c r="E3964" i="6" s="1"/>
  <c r="Q3963" i="6"/>
  <c r="N3963" i="6"/>
  <c r="M3963" i="6"/>
  <c r="L3963" i="6"/>
  <c r="K3963" i="6"/>
  <c r="J3963" i="6"/>
  <c r="I3963" i="6"/>
  <c r="P3963" i="6" s="1"/>
  <c r="H3963" i="6"/>
  <c r="G3963" i="6"/>
  <c r="F3963" i="6"/>
  <c r="D3963" i="6"/>
  <c r="U3963" i="6" s="1"/>
  <c r="C3963" i="6"/>
  <c r="B3963" i="6"/>
  <c r="E3963" i="6" s="1"/>
  <c r="Q3962" i="6"/>
  <c r="P3962" i="6"/>
  <c r="N3962" i="6"/>
  <c r="M3962" i="6"/>
  <c r="L3962" i="6"/>
  <c r="K3962" i="6"/>
  <c r="J3962" i="6"/>
  <c r="I3962" i="6"/>
  <c r="H3962" i="6"/>
  <c r="G3962" i="6"/>
  <c r="F3962" i="6"/>
  <c r="D3962" i="6"/>
  <c r="U3962" i="6" s="1"/>
  <c r="C3962" i="6"/>
  <c r="B3962" i="6"/>
  <c r="E3962" i="6" s="1"/>
  <c r="Q3961" i="6"/>
  <c r="N3961" i="6"/>
  <c r="M3961" i="6"/>
  <c r="L3961" i="6"/>
  <c r="K3961" i="6"/>
  <c r="J3961" i="6"/>
  <c r="I3961" i="6"/>
  <c r="P3961" i="6" s="1"/>
  <c r="H3961" i="6"/>
  <c r="G3961" i="6"/>
  <c r="F3961" i="6"/>
  <c r="D3961" i="6"/>
  <c r="U3961" i="6" s="1"/>
  <c r="C3961" i="6"/>
  <c r="B3961" i="6"/>
  <c r="E3961" i="6" s="1"/>
  <c r="Q3960" i="6"/>
  <c r="P3960" i="6"/>
  <c r="N3960" i="6"/>
  <c r="M3960" i="6"/>
  <c r="L3960" i="6"/>
  <c r="K3960" i="6"/>
  <c r="J3960" i="6"/>
  <c r="I3960" i="6"/>
  <c r="H3960" i="6"/>
  <c r="G3960" i="6"/>
  <c r="F3960" i="6"/>
  <c r="D3960" i="6"/>
  <c r="U3960" i="6" s="1"/>
  <c r="C3960" i="6"/>
  <c r="B3960" i="6"/>
  <c r="E3960" i="6" s="1"/>
  <c r="Q3959" i="6"/>
  <c r="N3959" i="6"/>
  <c r="M3959" i="6"/>
  <c r="L3959" i="6"/>
  <c r="K3959" i="6"/>
  <c r="J3959" i="6"/>
  <c r="I3959" i="6"/>
  <c r="P3959" i="6" s="1"/>
  <c r="H3959" i="6"/>
  <c r="G3959" i="6"/>
  <c r="F3959" i="6"/>
  <c r="D3959" i="6"/>
  <c r="U3959" i="6" s="1"/>
  <c r="C3959" i="6"/>
  <c r="B3959" i="6"/>
  <c r="E3959" i="6" s="1"/>
  <c r="Q3958" i="6"/>
  <c r="P3958" i="6"/>
  <c r="N3958" i="6"/>
  <c r="M3958" i="6"/>
  <c r="L3958" i="6"/>
  <c r="K3958" i="6"/>
  <c r="J3958" i="6"/>
  <c r="I3958" i="6"/>
  <c r="H3958" i="6"/>
  <c r="G3958" i="6"/>
  <c r="F3958" i="6"/>
  <c r="D3958" i="6"/>
  <c r="U3958" i="6" s="1"/>
  <c r="C3958" i="6"/>
  <c r="B3958" i="6"/>
  <c r="E3958" i="6" s="1"/>
  <c r="Q3957" i="6"/>
  <c r="N3957" i="6"/>
  <c r="M3957" i="6"/>
  <c r="L3957" i="6"/>
  <c r="K3957" i="6"/>
  <c r="J3957" i="6"/>
  <c r="I3957" i="6"/>
  <c r="P3957" i="6" s="1"/>
  <c r="H3957" i="6"/>
  <c r="G3957" i="6"/>
  <c r="F3957" i="6"/>
  <c r="D3957" i="6"/>
  <c r="U3957" i="6" s="1"/>
  <c r="C3957" i="6"/>
  <c r="B3957" i="6"/>
  <c r="E3957" i="6" s="1"/>
  <c r="Q3956" i="6"/>
  <c r="P3956" i="6"/>
  <c r="N3956" i="6"/>
  <c r="M3956" i="6"/>
  <c r="L3956" i="6"/>
  <c r="K3956" i="6"/>
  <c r="J3956" i="6"/>
  <c r="I3956" i="6"/>
  <c r="H3956" i="6"/>
  <c r="G3956" i="6"/>
  <c r="F3956" i="6"/>
  <c r="D3956" i="6"/>
  <c r="U3956" i="6" s="1"/>
  <c r="C3956" i="6"/>
  <c r="B3956" i="6"/>
  <c r="E3956" i="6" s="1"/>
  <c r="Q3955" i="6"/>
  <c r="N3955" i="6"/>
  <c r="M3955" i="6"/>
  <c r="L3955" i="6"/>
  <c r="K3955" i="6"/>
  <c r="J3955" i="6"/>
  <c r="I3955" i="6"/>
  <c r="P3955" i="6" s="1"/>
  <c r="H3955" i="6"/>
  <c r="G3955" i="6"/>
  <c r="F3955" i="6"/>
  <c r="D3955" i="6"/>
  <c r="U3955" i="6" s="1"/>
  <c r="C3955" i="6"/>
  <c r="B3955" i="6"/>
  <c r="E3955" i="6" s="1"/>
  <c r="Q3954" i="6"/>
  <c r="P3954" i="6"/>
  <c r="N3954" i="6"/>
  <c r="M3954" i="6"/>
  <c r="L3954" i="6"/>
  <c r="K3954" i="6"/>
  <c r="J3954" i="6"/>
  <c r="I3954" i="6"/>
  <c r="H3954" i="6"/>
  <c r="G3954" i="6"/>
  <c r="F3954" i="6"/>
  <c r="D3954" i="6"/>
  <c r="U3954" i="6" s="1"/>
  <c r="C3954" i="6"/>
  <c r="B3954" i="6"/>
  <c r="E3954" i="6" s="1"/>
  <c r="Q3953" i="6"/>
  <c r="N3953" i="6"/>
  <c r="M3953" i="6"/>
  <c r="L3953" i="6"/>
  <c r="K3953" i="6"/>
  <c r="J3953" i="6"/>
  <c r="I3953" i="6"/>
  <c r="P3953" i="6" s="1"/>
  <c r="H3953" i="6"/>
  <c r="G3953" i="6"/>
  <c r="F3953" i="6"/>
  <c r="D3953" i="6"/>
  <c r="U3953" i="6" s="1"/>
  <c r="C3953" i="6"/>
  <c r="B3953" i="6"/>
  <c r="E3953" i="6" s="1"/>
  <c r="Q3952" i="6"/>
  <c r="P3952" i="6"/>
  <c r="N3952" i="6"/>
  <c r="M3952" i="6"/>
  <c r="L3952" i="6"/>
  <c r="K3952" i="6"/>
  <c r="J3952" i="6"/>
  <c r="I3952" i="6"/>
  <c r="H3952" i="6"/>
  <c r="G3952" i="6"/>
  <c r="F3952" i="6"/>
  <c r="D3952" i="6"/>
  <c r="U3952" i="6" s="1"/>
  <c r="C3952" i="6"/>
  <c r="B3952" i="6"/>
  <c r="E3952" i="6" s="1"/>
  <c r="Q3951" i="6"/>
  <c r="N3951" i="6"/>
  <c r="M3951" i="6"/>
  <c r="L3951" i="6"/>
  <c r="K3951" i="6"/>
  <c r="J3951" i="6"/>
  <c r="I3951" i="6"/>
  <c r="P3951" i="6" s="1"/>
  <c r="H3951" i="6"/>
  <c r="G3951" i="6"/>
  <c r="F3951" i="6"/>
  <c r="D3951" i="6"/>
  <c r="U3951" i="6" s="1"/>
  <c r="C3951" i="6"/>
  <c r="B3951" i="6"/>
  <c r="E3951" i="6" s="1"/>
  <c r="Q3950" i="6"/>
  <c r="P3950" i="6"/>
  <c r="N3950" i="6"/>
  <c r="M3950" i="6"/>
  <c r="L3950" i="6"/>
  <c r="K3950" i="6"/>
  <c r="J3950" i="6"/>
  <c r="I3950" i="6"/>
  <c r="H3950" i="6"/>
  <c r="G3950" i="6"/>
  <c r="F3950" i="6"/>
  <c r="D3950" i="6"/>
  <c r="U3950" i="6" s="1"/>
  <c r="C3950" i="6"/>
  <c r="B3950" i="6"/>
  <c r="E3950" i="6" s="1"/>
  <c r="Q3949" i="6"/>
  <c r="N3949" i="6"/>
  <c r="M3949" i="6"/>
  <c r="L3949" i="6"/>
  <c r="K3949" i="6"/>
  <c r="J3949" i="6"/>
  <c r="I3949" i="6"/>
  <c r="P3949" i="6" s="1"/>
  <c r="H3949" i="6"/>
  <c r="G3949" i="6"/>
  <c r="F3949" i="6"/>
  <c r="D3949" i="6"/>
  <c r="U3949" i="6" s="1"/>
  <c r="C3949" i="6"/>
  <c r="B3949" i="6"/>
  <c r="E3949" i="6" s="1"/>
  <c r="Q3948" i="6"/>
  <c r="P3948" i="6"/>
  <c r="N3948" i="6"/>
  <c r="M3948" i="6"/>
  <c r="L3948" i="6"/>
  <c r="K3948" i="6"/>
  <c r="J3948" i="6"/>
  <c r="I3948" i="6"/>
  <c r="H3948" i="6"/>
  <c r="G3948" i="6"/>
  <c r="F3948" i="6"/>
  <c r="D3948" i="6"/>
  <c r="U3948" i="6" s="1"/>
  <c r="C3948" i="6"/>
  <c r="B3948" i="6"/>
  <c r="E3948" i="6" s="1"/>
  <c r="Q3947" i="6"/>
  <c r="N3947" i="6"/>
  <c r="M3947" i="6"/>
  <c r="L3947" i="6"/>
  <c r="K3947" i="6"/>
  <c r="J3947" i="6"/>
  <c r="I3947" i="6"/>
  <c r="P3947" i="6" s="1"/>
  <c r="H3947" i="6"/>
  <c r="G3947" i="6"/>
  <c r="F3947" i="6"/>
  <c r="D3947" i="6"/>
  <c r="U3947" i="6" s="1"/>
  <c r="C3947" i="6"/>
  <c r="B3947" i="6"/>
  <c r="E3947" i="6" s="1"/>
  <c r="Q3946" i="6"/>
  <c r="P3946" i="6"/>
  <c r="N3946" i="6"/>
  <c r="M3946" i="6"/>
  <c r="L3946" i="6"/>
  <c r="K3946" i="6"/>
  <c r="J3946" i="6"/>
  <c r="I3946" i="6"/>
  <c r="H3946" i="6"/>
  <c r="G3946" i="6"/>
  <c r="F3946" i="6"/>
  <c r="D3946" i="6"/>
  <c r="U3946" i="6" s="1"/>
  <c r="C3946" i="6"/>
  <c r="B3946" i="6"/>
  <c r="E3946" i="6" s="1"/>
  <c r="Q3945" i="6"/>
  <c r="N3945" i="6"/>
  <c r="M3945" i="6"/>
  <c r="L3945" i="6"/>
  <c r="K3945" i="6"/>
  <c r="J3945" i="6"/>
  <c r="I3945" i="6"/>
  <c r="P3945" i="6" s="1"/>
  <c r="H3945" i="6"/>
  <c r="G3945" i="6"/>
  <c r="F3945" i="6"/>
  <c r="D3945" i="6"/>
  <c r="U3945" i="6" s="1"/>
  <c r="C3945" i="6"/>
  <c r="B3945" i="6"/>
  <c r="E3945" i="6" s="1"/>
  <c r="Q3944" i="6"/>
  <c r="P3944" i="6"/>
  <c r="N3944" i="6"/>
  <c r="M3944" i="6"/>
  <c r="L3944" i="6"/>
  <c r="K3944" i="6"/>
  <c r="J3944" i="6"/>
  <c r="I3944" i="6"/>
  <c r="H3944" i="6"/>
  <c r="G3944" i="6"/>
  <c r="F3944" i="6"/>
  <c r="D3944" i="6"/>
  <c r="U3944" i="6" s="1"/>
  <c r="C3944" i="6"/>
  <c r="B3944" i="6"/>
  <c r="E3944" i="6" s="1"/>
  <c r="Q3943" i="6"/>
  <c r="N3943" i="6"/>
  <c r="M3943" i="6"/>
  <c r="L3943" i="6"/>
  <c r="K3943" i="6"/>
  <c r="J3943" i="6"/>
  <c r="I3943" i="6"/>
  <c r="P3943" i="6" s="1"/>
  <c r="H3943" i="6"/>
  <c r="G3943" i="6"/>
  <c r="F3943" i="6"/>
  <c r="D3943" i="6"/>
  <c r="U3943" i="6" s="1"/>
  <c r="C3943" i="6"/>
  <c r="B3943" i="6"/>
  <c r="E3943" i="6" s="1"/>
  <c r="Q3942" i="6"/>
  <c r="P3942" i="6"/>
  <c r="N3942" i="6"/>
  <c r="M3942" i="6"/>
  <c r="L3942" i="6"/>
  <c r="K3942" i="6"/>
  <c r="J3942" i="6"/>
  <c r="I3942" i="6"/>
  <c r="H3942" i="6"/>
  <c r="G3942" i="6"/>
  <c r="F3942" i="6"/>
  <c r="D3942" i="6"/>
  <c r="U3942" i="6" s="1"/>
  <c r="C3942" i="6"/>
  <c r="B3942" i="6"/>
  <c r="E3942" i="6" s="1"/>
  <c r="Q3941" i="6"/>
  <c r="N3941" i="6"/>
  <c r="M3941" i="6"/>
  <c r="L3941" i="6"/>
  <c r="K3941" i="6"/>
  <c r="J3941" i="6"/>
  <c r="I3941" i="6"/>
  <c r="P3941" i="6" s="1"/>
  <c r="H3941" i="6"/>
  <c r="G3941" i="6"/>
  <c r="F3941" i="6"/>
  <c r="D3941" i="6"/>
  <c r="U3941" i="6" s="1"/>
  <c r="C3941" i="6"/>
  <c r="B3941" i="6"/>
  <c r="E3941" i="6" s="1"/>
  <c r="Q3940" i="6"/>
  <c r="P3940" i="6"/>
  <c r="N3940" i="6"/>
  <c r="M3940" i="6"/>
  <c r="L3940" i="6"/>
  <c r="K3940" i="6"/>
  <c r="J3940" i="6"/>
  <c r="I3940" i="6"/>
  <c r="H3940" i="6"/>
  <c r="G3940" i="6"/>
  <c r="F3940" i="6"/>
  <c r="D3940" i="6"/>
  <c r="U3940" i="6" s="1"/>
  <c r="C3940" i="6"/>
  <c r="B3940" i="6"/>
  <c r="E3940" i="6" s="1"/>
  <c r="Q3939" i="6"/>
  <c r="N3939" i="6"/>
  <c r="M3939" i="6"/>
  <c r="L3939" i="6"/>
  <c r="K3939" i="6"/>
  <c r="J3939" i="6"/>
  <c r="I3939" i="6"/>
  <c r="P3939" i="6" s="1"/>
  <c r="H3939" i="6"/>
  <c r="G3939" i="6"/>
  <c r="F3939" i="6"/>
  <c r="D3939" i="6"/>
  <c r="U3939" i="6" s="1"/>
  <c r="C3939" i="6"/>
  <c r="B3939" i="6"/>
  <c r="E3939" i="6" s="1"/>
  <c r="Q3938" i="6"/>
  <c r="P3938" i="6"/>
  <c r="N3938" i="6"/>
  <c r="M3938" i="6"/>
  <c r="L3938" i="6"/>
  <c r="K3938" i="6"/>
  <c r="J3938" i="6"/>
  <c r="I3938" i="6"/>
  <c r="H3938" i="6"/>
  <c r="G3938" i="6"/>
  <c r="F3938" i="6"/>
  <c r="D3938" i="6"/>
  <c r="U3938" i="6" s="1"/>
  <c r="C3938" i="6"/>
  <c r="B3938" i="6"/>
  <c r="E3938" i="6" s="1"/>
  <c r="Q3937" i="6"/>
  <c r="N3937" i="6"/>
  <c r="M3937" i="6"/>
  <c r="L3937" i="6"/>
  <c r="K3937" i="6"/>
  <c r="J3937" i="6"/>
  <c r="I3937" i="6"/>
  <c r="P3937" i="6" s="1"/>
  <c r="H3937" i="6"/>
  <c r="G3937" i="6"/>
  <c r="F3937" i="6"/>
  <c r="D3937" i="6"/>
  <c r="U3937" i="6" s="1"/>
  <c r="C3937" i="6"/>
  <c r="B3937" i="6"/>
  <c r="E3937" i="6" s="1"/>
  <c r="Q3936" i="6"/>
  <c r="P3936" i="6"/>
  <c r="N3936" i="6"/>
  <c r="M3936" i="6"/>
  <c r="L3936" i="6"/>
  <c r="K3936" i="6"/>
  <c r="J3936" i="6"/>
  <c r="I3936" i="6"/>
  <c r="H3936" i="6"/>
  <c r="G3936" i="6"/>
  <c r="F3936" i="6"/>
  <c r="D3936" i="6"/>
  <c r="U3936" i="6" s="1"/>
  <c r="C3936" i="6"/>
  <c r="B3936" i="6"/>
  <c r="E3936" i="6" s="1"/>
  <c r="Q3935" i="6"/>
  <c r="N3935" i="6"/>
  <c r="M3935" i="6"/>
  <c r="L3935" i="6"/>
  <c r="K3935" i="6"/>
  <c r="J3935" i="6"/>
  <c r="I3935" i="6"/>
  <c r="P3935" i="6" s="1"/>
  <c r="H3935" i="6"/>
  <c r="G3935" i="6"/>
  <c r="F3935" i="6"/>
  <c r="D3935" i="6"/>
  <c r="U3935" i="6" s="1"/>
  <c r="C3935" i="6"/>
  <c r="B3935" i="6"/>
  <c r="E3935" i="6" s="1"/>
  <c r="Q3934" i="6"/>
  <c r="P3934" i="6"/>
  <c r="N3934" i="6"/>
  <c r="M3934" i="6"/>
  <c r="L3934" i="6"/>
  <c r="K3934" i="6"/>
  <c r="J3934" i="6"/>
  <c r="I3934" i="6"/>
  <c r="H3934" i="6"/>
  <c r="G3934" i="6"/>
  <c r="F3934" i="6"/>
  <c r="D3934" i="6"/>
  <c r="U3934" i="6" s="1"/>
  <c r="C3934" i="6"/>
  <c r="B3934" i="6"/>
  <c r="E3934" i="6" s="1"/>
  <c r="Q3933" i="6"/>
  <c r="N3933" i="6"/>
  <c r="M3933" i="6"/>
  <c r="L3933" i="6"/>
  <c r="K3933" i="6"/>
  <c r="J3933" i="6"/>
  <c r="I3933" i="6"/>
  <c r="P3933" i="6" s="1"/>
  <c r="H3933" i="6"/>
  <c r="G3933" i="6"/>
  <c r="F3933" i="6"/>
  <c r="D3933" i="6"/>
  <c r="U3933" i="6" s="1"/>
  <c r="C3933" i="6"/>
  <c r="B3933" i="6"/>
  <c r="E3933" i="6" s="1"/>
  <c r="Q3932" i="6"/>
  <c r="P3932" i="6"/>
  <c r="N3932" i="6"/>
  <c r="M3932" i="6"/>
  <c r="L3932" i="6"/>
  <c r="K3932" i="6"/>
  <c r="J3932" i="6"/>
  <c r="I3932" i="6"/>
  <c r="H3932" i="6"/>
  <c r="G3932" i="6"/>
  <c r="F3932" i="6"/>
  <c r="D3932" i="6"/>
  <c r="U3932" i="6" s="1"/>
  <c r="C3932" i="6"/>
  <c r="B3932" i="6"/>
  <c r="E3932" i="6" s="1"/>
  <c r="Q3931" i="6"/>
  <c r="N3931" i="6"/>
  <c r="M3931" i="6"/>
  <c r="L3931" i="6"/>
  <c r="K3931" i="6"/>
  <c r="J3931" i="6"/>
  <c r="I3931" i="6"/>
  <c r="P3931" i="6" s="1"/>
  <c r="H3931" i="6"/>
  <c r="G3931" i="6"/>
  <c r="F3931" i="6"/>
  <c r="D3931" i="6"/>
  <c r="U3931" i="6" s="1"/>
  <c r="C3931" i="6"/>
  <c r="B3931" i="6"/>
  <c r="E3931" i="6" s="1"/>
  <c r="Q3930" i="6"/>
  <c r="P3930" i="6"/>
  <c r="N3930" i="6"/>
  <c r="M3930" i="6"/>
  <c r="L3930" i="6"/>
  <c r="K3930" i="6"/>
  <c r="J3930" i="6"/>
  <c r="I3930" i="6"/>
  <c r="H3930" i="6"/>
  <c r="G3930" i="6"/>
  <c r="F3930" i="6"/>
  <c r="D3930" i="6"/>
  <c r="U3930" i="6" s="1"/>
  <c r="C3930" i="6"/>
  <c r="B3930" i="6"/>
  <c r="E3930" i="6" s="1"/>
  <c r="Q3929" i="6"/>
  <c r="N3929" i="6"/>
  <c r="M3929" i="6"/>
  <c r="L3929" i="6"/>
  <c r="K3929" i="6"/>
  <c r="J3929" i="6"/>
  <c r="I3929" i="6"/>
  <c r="P3929" i="6" s="1"/>
  <c r="H3929" i="6"/>
  <c r="G3929" i="6"/>
  <c r="F3929" i="6"/>
  <c r="D3929" i="6"/>
  <c r="U3929" i="6" s="1"/>
  <c r="C3929" i="6"/>
  <c r="B3929" i="6"/>
  <c r="E3929" i="6" s="1"/>
  <c r="Q3928" i="6"/>
  <c r="P3928" i="6"/>
  <c r="N3928" i="6"/>
  <c r="M3928" i="6"/>
  <c r="L3928" i="6"/>
  <c r="K3928" i="6"/>
  <c r="J3928" i="6"/>
  <c r="I3928" i="6"/>
  <c r="H3928" i="6"/>
  <c r="G3928" i="6"/>
  <c r="F3928" i="6"/>
  <c r="D3928" i="6"/>
  <c r="U3928" i="6" s="1"/>
  <c r="C3928" i="6"/>
  <c r="B3928" i="6"/>
  <c r="E3928" i="6" s="1"/>
  <c r="Q3927" i="6"/>
  <c r="N3927" i="6"/>
  <c r="M3927" i="6"/>
  <c r="L3927" i="6"/>
  <c r="K3927" i="6"/>
  <c r="J3927" i="6"/>
  <c r="I3927" i="6"/>
  <c r="P3927" i="6" s="1"/>
  <c r="H3927" i="6"/>
  <c r="G3927" i="6"/>
  <c r="F3927" i="6"/>
  <c r="D3927" i="6"/>
  <c r="U3927" i="6" s="1"/>
  <c r="C3927" i="6"/>
  <c r="B3927" i="6"/>
  <c r="E3927" i="6" s="1"/>
  <c r="Q3926" i="6"/>
  <c r="P3926" i="6"/>
  <c r="N3926" i="6"/>
  <c r="M3926" i="6"/>
  <c r="L3926" i="6"/>
  <c r="K3926" i="6"/>
  <c r="J3926" i="6"/>
  <c r="I3926" i="6"/>
  <c r="H3926" i="6"/>
  <c r="G3926" i="6"/>
  <c r="F3926" i="6"/>
  <c r="D3926" i="6"/>
  <c r="U3926" i="6" s="1"/>
  <c r="C3926" i="6"/>
  <c r="B3926" i="6"/>
  <c r="E3926" i="6" s="1"/>
  <c r="Q3925" i="6"/>
  <c r="N3925" i="6"/>
  <c r="M3925" i="6"/>
  <c r="L3925" i="6"/>
  <c r="K3925" i="6"/>
  <c r="J3925" i="6"/>
  <c r="I3925" i="6"/>
  <c r="P3925" i="6" s="1"/>
  <c r="H3925" i="6"/>
  <c r="G3925" i="6"/>
  <c r="F3925" i="6"/>
  <c r="D3925" i="6"/>
  <c r="U3925" i="6" s="1"/>
  <c r="C3925" i="6"/>
  <c r="B3925" i="6"/>
  <c r="E3925" i="6" s="1"/>
  <c r="Q3924" i="6"/>
  <c r="P3924" i="6"/>
  <c r="N3924" i="6"/>
  <c r="M3924" i="6"/>
  <c r="L3924" i="6"/>
  <c r="K3924" i="6"/>
  <c r="J3924" i="6"/>
  <c r="I3924" i="6"/>
  <c r="H3924" i="6"/>
  <c r="G3924" i="6"/>
  <c r="F3924" i="6"/>
  <c r="D3924" i="6"/>
  <c r="U3924" i="6" s="1"/>
  <c r="C3924" i="6"/>
  <c r="B3924" i="6"/>
  <c r="E3924" i="6" s="1"/>
  <c r="Q3923" i="6"/>
  <c r="N3923" i="6"/>
  <c r="M3923" i="6"/>
  <c r="L3923" i="6"/>
  <c r="K3923" i="6"/>
  <c r="J3923" i="6"/>
  <c r="I3923" i="6"/>
  <c r="P3923" i="6" s="1"/>
  <c r="H3923" i="6"/>
  <c r="G3923" i="6"/>
  <c r="F3923" i="6"/>
  <c r="D3923" i="6"/>
  <c r="U3923" i="6" s="1"/>
  <c r="C3923" i="6"/>
  <c r="B3923" i="6"/>
  <c r="E3923" i="6" s="1"/>
  <c r="Q3922" i="6"/>
  <c r="P3922" i="6"/>
  <c r="N3922" i="6"/>
  <c r="M3922" i="6"/>
  <c r="L3922" i="6"/>
  <c r="K3922" i="6"/>
  <c r="J3922" i="6"/>
  <c r="I3922" i="6"/>
  <c r="H3922" i="6"/>
  <c r="G3922" i="6"/>
  <c r="F3922" i="6"/>
  <c r="D3922" i="6"/>
  <c r="U3922" i="6" s="1"/>
  <c r="C3922" i="6"/>
  <c r="B3922" i="6"/>
  <c r="E3922" i="6" s="1"/>
  <c r="Q3921" i="6"/>
  <c r="N3921" i="6"/>
  <c r="M3921" i="6"/>
  <c r="L3921" i="6"/>
  <c r="K3921" i="6"/>
  <c r="J3921" i="6"/>
  <c r="I3921" i="6"/>
  <c r="P3921" i="6" s="1"/>
  <c r="H3921" i="6"/>
  <c r="G3921" i="6"/>
  <c r="F3921" i="6"/>
  <c r="D3921" i="6"/>
  <c r="U3921" i="6" s="1"/>
  <c r="C3921" i="6"/>
  <c r="B3921" i="6"/>
  <c r="E3921" i="6" s="1"/>
  <c r="Q3920" i="6"/>
  <c r="P3920" i="6"/>
  <c r="N3920" i="6"/>
  <c r="M3920" i="6"/>
  <c r="L3920" i="6"/>
  <c r="K3920" i="6"/>
  <c r="J3920" i="6"/>
  <c r="I3920" i="6"/>
  <c r="H3920" i="6"/>
  <c r="G3920" i="6"/>
  <c r="F3920" i="6"/>
  <c r="D3920" i="6"/>
  <c r="U3920" i="6" s="1"/>
  <c r="C3920" i="6"/>
  <c r="B3920" i="6"/>
  <c r="E3920" i="6" s="1"/>
  <c r="Q3919" i="6"/>
  <c r="N3919" i="6"/>
  <c r="M3919" i="6"/>
  <c r="L3919" i="6"/>
  <c r="K3919" i="6"/>
  <c r="J3919" i="6"/>
  <c r="I3919" i="6"/>
  <c r="P3919" i="6" s="1"/>
  <c r="H3919" i="6"/>
  <c r="G3919" i="6"/>
  <c r="F3919" i="6"/>
  <c r="D3919" i="6"/>
  <c r="U3919" i="6" s="1"/>
  <c r="C3919" i="6"/>
  <c r="B3919" i="6"/>
  <c r="E3919" i="6" s="1"/>
  <c r="Q3918" i="6"/>
  <c r="P3918" i="6"/>
  <c r="N3918" i="6"/>
  <c r="M3918" i="6"/>
  <c r="L3918" i="6"/>
  <c r="K3918" i="6"/>
  <c r="J3918" i="6"/>
  <c r="I3918" i="6"/>
  <c r="H3918" i="6"/>
  <c r="G3918" i="6"/>
  <c r="F3918" i="6"/>
  <c r="D3918" i="6"/>
  <c r="U3918" i="6" s="1"/>
  <c r="C3918" i="6"/>
  <c r="B3918" i="6"/>
  <c r="E3918" i="6" s="1"/>
  <c r="Q3917" i="6"/>
  <c r="N3917" i="6"/>
  <c r="M3917" i="6"/>
  <c r="L3917" i="6"/>
  <c r="K3917" i="6"/>
  <c r="J3917" i="6"/>
  <c r="I3917" i="6"/>
  <c r="P3917" i="6" s="1"/>
  <c r="H3917" i="6"/>
  <c r="G3917" i="6"/>
  <c r="F3917" i="6"/>
  <c r="D3917" i="6"/>
  <c r="U3917" i="6" s="1"/>
  <c r="C3917" i="6"/>
  <c r="B3917" i="6"/>
  <c r="E3917" i="6" s="1"/>
  <c r="Q3916" i="6"/>
  <c r="P3916" i="6"/>
  <c r="N3916" i="6"/>
  <c r="M3916" i="6"/>
  <c r="L3916" i="6"/>
  <c r="K3916" i="6"/>
  <c r="J3916" i="6"/>
  <c r="I3916" i="6"/>
  <c r="H3916" i="6"/>
  <c r="G3916" i="6"/>
  <c r="F3916" i="6"/>
  <c r="D3916" i="6"/>
  <c r="U3916" i="6" s="1"/>
  <c r="C3916" i="6"/>
  <c r="B3916" i="6"/>
  <c r="E3916" i="6" s="1"/>
  <c r="Q3915" i="6"/>
  <c r="N3915" i="6"/>
  <c r="M3915" i="6"/>
  <c r="L3915" i="6"/>
  <c r="K3915" i="6"/>
  <c r="J3915" i="6"/>
  <c r="I3915" i="6"/>
  <c r="P3915" i="6" s="1"/>
  <c r="H3915" i="6"/>
  <c r="G3915" i="6"/>
  <c r="F3915" i="6"/>
  <c r="D3915" i="6"/>
  <c r="U3915" i="6" s="1"/>
  <c r="C3915" i="6"/>
  <c r="B3915" i="6"/>
  <c r="E3915" i="6" s="1"/>
  <c r="Q3914" i="6"/>
  <c r="P3914" i="6"/>
  <c r="N3914" i="6"/>
  <c r="M3914" i="6"/>
  <c r="L3914" i="6"/>
  <c r="K3914" i="6"/>
  <c r="J3914" i="6"/>
  <c r="I3914" i="6"/>
  <c r="H3914" i="6"/>
  <c r="G3914" i="6"/>
  <c r="F3914" i="6"/>
  <c r="D3914" i="6"/>
  <c r="U3914" i="6" s="1"/>
  <c r="C3914" i="6"/>
  <c r="B3914" i="6"/>
  <c r="E3914" i="6" s="1"/>
  <c r="Q3913" i="6"/>
  <c r="N3913" i="6"/>
  <c r="M3913" i="6"/>
  <c r="L3913" i="6"/>
  <c r="K3913" i="6"/>
  <c r="J3913" i="6"/>
  <c r="I3913" i="6"/>
  <c r="P3913" i="6" s="1"/>
  <c r="H3913" i="6"/>
  <c r="G3913" i="6"/>
  <c r="F3913" i="6"/>
  <c r="D3913" i="6"/>
  <c r="U3913" i="6" s="1"/>
  <c r="C3913" i="6"/>
  <c r="B3913" i="6"/>
  <c r="E3913" i="6" s="1"/>
  <c r="Q3912" i="6"/>
  <c r="P3912" i="6"/>
  <c r="N3912" i="6"/>
  <c r="M3912" i="6"/>
  <c r="L3912" i="6"/>
  <c r="K3912" i="6"/>
  <c r="J3912" i="6"/>
  <c r="I3912" i="6"/>
  <c r="H3912" i="6"/>
  <c r="G3912" i="6"/>
  <c r="F3912" i="6"/>
  <c r="D3912" i="6"/>
  <c r="U3912" i="6" s="1"/>
  <c r="C3912" i="6"/>
  <c r="B3912" i="6"/>
  <c r="E3912" i="6" s="1"/>
  <c r="Q3911" i="6"/>
  <c r="N3911" i="6"/>
  <c r="M3911" i="6"/>
  <c r="L3911" i="6"/>
  <c r="K3911" i="6"/>
  <c r="J3911" i="6"/>
  <c r="I3911" i="6"/>
  <c r="P3911" i="6" s="1"/>
  <c r="H3911" i="6"/>
  <c r="G3911" i="6"/>
  <c r="F3911" i="6"/>
  <c r="D3911" i="6"/>
  <c r="U3911" i="6" s="1"/>
  <c r="C3911" i="6"/>
  <c r="B3911" i="6"/>
  <c r="E3911" i="6" s="1"/>
  <c r="Q3910" i="6"/>
  <c r="P3910" i="6"/>
  <c r="N3910" i="6"/>
  <c r="M3910" i="6"/>
  <c r="L3910" i="6"/>
  <c r="K3910" i="6"/>
  <c r="J3910" i="6"/>
  <c r="I3910" i="6"/>
  <c r="H3910" i="6"/>
  <c r="G3910" i="6"/>
  <c r="F3910" i="6"/>
  <c r="D3910" i="6"/>
  <c r="U3910" i="6" s="1"/>
  <c r="C3910" i="6"/>
  <c r="B3910" i="6"/>
  <c r="E3910" i="6" s="1"/>
  <c r="Q3909" i="6"/>
  <c r="N3909" i="6"/>
  <c r="M3909" i="6"/>
  <c r="L3909" i="6"/>
  <c r="K3909" i="6"/>
  <c r="J3909" i="6"/>
  <c r="I3909" i="6"/>
  <c r="P3909" i="6" s="1"/>
  <c r="H3909" i="6"/>
  <c r="G3909" i="6"/>
  <c r="F3909" i="6"/>
  <c r="D3909" i="6"/>
  <c r="U3909" i="6" s="1"/>
  <c r="C3909" i="6"/>
  <c r="B3909" i="6"/>
  <c r="E3909" i="6" s="1"/>
  <c r="Q3908" i="6"/>
  <c r="P3908" i="6"/>
  <c r="N3908" i="6"/>
  <c r="M3908" i="6"/>
  <c r="L3908" i="6"/>
  <c r="K3908" i="6"/>
  <c r="J3908" i="6"/>
  <c r="I3908" i="6"/>
  <c r="H3908" i="6"/>
  <c r="G3908" i="6"/>
  <c r="F3908" i="6"/>
  <c r="D3908" i="6"/>
  <c r="U3908" i="6" s="1"/>
  <c r="C3908" i="6"/>
  <c r="B3908" i="6"/>
  <c r="E3908" i="6" s="1"/>
  <c r="Q3907" i="6"/>
  <c r="N3907" i="6"/>
  <c r="M3907" i="6"/>
  <c r="L3907" i="6"/>
  <c r="K3907" i="6"/>
  <c r="J3907" i="6"/>
  <c r="I3907" i="6"/>
  <c r="P3907" i="6" s="1"/>
  <c r="H3907" i="6"/>
  <c r="G3907" i="6"/>
  <c r="F3907" i="6"/>
  <c r="D3907" i="6"/>
  <c r="U3907" i="6" s="1"/>
  <c r="C3907" i="6"/>
  <c r="B3907" i="6"/>
  <c r="E3907" i="6" s="1"/>
  <c r="Q3906" i="6"/>
  <c r="P3906" i="6"/>
  <c r="N3906" i="6"/>
  <c r="M3906" i="6"/>
  <c r="L3906" i="6"/>
  <c r="K3906" i="6"/>
  <c r="J3906" i="6"/>
  <c r="I3906" i="6"/>
  <c r="H3906" i="6"/>
  <c r="G3906" i="6"/>
  <c r="F3906" i="6"/>
  <c r="D3906" i="6"/>
  <c r="U3906" i="6" s="1"/>
  <c r="C3906" i="6"/>
  <c r="B3906" i="6"/>
  <c r="E3906" i="6" s="1"/>
  <c r="Q3905" i="6"/>
  <c r="N3905" i="6"/>
  <c r="M3905" i="6"/>
  <c r="L3905" i="6"/>
  <c r="K3905" i="6"/>
  <c r="J3905" i="6"/>
  <c r="I3905" i="6"/>
  <c r="P3905" i="6" s="1"/>
  <c r="H3905" i="6"/>
  <c r="G3905" i="6"/>
  <c r="F3905" i="6"/>
  <c r="D3905" i="6"/>
  <c r="U3905" i="6" s="1"/>
  <c r="C3905" i="6"/>
  <c r="B3905" i="6"/>
  <c r="E3905" i="6" s="1"/>
  <c r="Q3904" i="6"/>
  <c r="P3904" i="6"/>
  <c r="N3904" i="6"/>
  <c r="M3904" i="6"/>
  <c r="L3904" i="6"/>
  <c r="K3904" i="6"/>
  <c r="J3904" i="6"/>
  <c r="I3904" i="6"/>
  <c r="H3904" i="6"/>
  <c r="G3904" i="6"/>
  <c r="F3904" i="6"/>
  <c r="D3904" i="6"/>
  <c r="U3904" i="6" s="1"/>
  <c r="C3904" i="6"/>
  <c r="B3904" i="6"/>
  <c r="E3904" i="6" s="1"/>
  <c r="Q3903" i="6"/>
  <c r="N3903" i="6"/>
  <c r="M3903" i="6"/>
  <c r="L3903" i="6"/>
  <c r="K3903" i="6"/>
  <c r="J3903" i="6"/>
  <c r="I3903" i="6"/>
  <c r="P3903" i="6" s="1"/>
  <c r="H3903" i="6"/>
  <c r="G3903" i="6"/>
  <c r="F3903" i="6"/>
  <c r="D3903" i="6"/>
  <c r="U3903" i="6" s="1"/>
  <c r="C3903" i="6"/>
  <c r="B3903" i="6"/>
  <c r="E3903" i="6" s="1"/>
  <c r="Q3902" i="6"/>
  <c r="P3902" i="6"/>
  <c r="N3902" i="6"/>
  <c r="M3902" i="6"/>
  <c r="L3902" i="6"/>
  <c r="K3902" i="6"/>
  <c r="J3902" i="6"/>
  <c r="I3902" i="6"/>
  <c r="H3902" i="6"/>
  <c r="G3902" i="6"/>
  <c r="F3902" i="6"/>
  <c r="D3902" i="6"/>
  <c r="U3902" i="6" s="1"/>
  <c r="C3902" i="6"/>
  <c r="B3902" i="6"/>
  <c r="E3902" i="6" s="1"/>
  <c r="Q3901" i="6"/>
  <c r="N3901" i="6"/>
  <c r="M3901" i="6"/>
  <c r="L3901" i="6"/>
  <c r="K3901" i="6"/>
  <c r="J3901" i="6"/>
  <c r="I3901" i="6"/>
  <c r="P3901" i="6" s="1"/>
  <c r="H3901" i="6"/>
  <c r="G3901" i="6"/>
  <c r="F3901" i="6"/>
  <c r="D3901" i="6"/>
  <c r="U3901" i="6" s="1"/>
  <c r="C3901" i="6"/>
  <c r="B3901" i="6"/>
  <c r="E3901" i="6" s="1"/>
  <c r="Q3900" i="6"/>
  <c r="P3900" i="6"/>
  <c r="N3900" i="6"/>
  <c r="M3900" i="6"/>
  <c r="L3900" i="6"/>
  <c r="K3900" i="6"/>
  <c r="J3900" i="6"/>
  <c r="I3900" i="6"/>
  <c r="H3900" i="6"/>
  <c r="G3900" i="6"/>
  <c r="F3900" i="6"/>
  <c r="D3900" i="6"/>
  <c r="U3900" i="6" s="1"/>
  <c r="C3900" i="6"/>
  <c r="B3900" i="6"/>
  <c r="E3900" i="6" s="1"/>
  <c r="Q3899" i="6"/>
  <c r="N3899" i="6"/>
  <c r="M3899" i="6"/>
  <c r="L3899" i="6"/>
  <c r="K3899" i="6"/>
  <c r="J3899" i="6"/>
  <c r="I3899" i="6"/>
  <c r="P3899" i="6" s="1"/>
  <c r="H3899" i="6"/>
  <c r="G3899" i="6"/>
  <c r="F3899" i="6"/>
  <c r="D3899" i="6"/>
  <c r="U3899" i="6" s="1"/>
  <c r="C3899" i="6"/>
  <c r="B3899" i="6"/>
  <c r="E3899" i="6" s="1"/>
  <c r="Q3898" i="6"/>
  <c r="P3898" i="6"/>
  <c r="N3898" i="6"/>
  <c r="M3898" i="6"/>
  <c r="L3898" i="6"/>
  <c r="K3898" i="6"/>
  <c r="J3898" i="6"/>
  <c r="I3898" i="6"/>
  <c r="H3898" i="6"/>
  <c r="G3898" i="6"/>
  <c r="F3898" i="6"/>
  <c r="D3898" i="6"/>
  <c r="U3898" i="6" s="1"/>
  <c r="C3898" i="6"/>
  <c r="B3898" i="6"/>
  <c r="E3898" i="6" s="1"/>
  <c r="Q3897" i="6"/>
  <c r="N3897" i="6"/>
  <c r="M3897" i="6"/>
  <c r="L3897" i="6"/>
  <c r="K3897" i="6"/>
  <c r="J3897" i="6"/>
  <c r="I3897" i="6"/>
  <c r="P3897" i="6" s="1"/>
  <c r="H3897" i="6"/>
  <c r="G3897" i="6"/>
  <c r="F3897" i="6"/>
  <c r="D3897" i="6"/>
  <c r="U3897" i="6" s="1"/>
  <c r="C3897" i="6"/>
  <c r="B3897" i="6"/>
  <c r="E3897" i="6" s="1"/>
  <c r="Q3896" i="6"/>
  <c r="P3896" i="6"/>
  <c r="N3896" i="6"/>
  <c r="M3896" i="6"/>
  <c r="L3896" i="6"/>
  <c r="K3896" i="6"/>
  <c r="J3896" i="6"/>
  <c r="I3896" i="6"/>
  <c r="H3896" i="6"/>
  <c r="G3896" i="6"/>
  <c r="F3896" i="6"/>
  <c r="D3896" i="6"/>
  <c r="U3896" i="6" s="1"/>
  <c r="C3896" i="6"/>
  <c r="B3896" i="6"/>
  <c r="E3896" i="6" s="1"/>
  <c r="Q3895" i="6"/>
  <c r="N3895" i="6"/>
  <c r="M3895" i="6"/>
  <c r="L3895" i="6"/>
  <c r="K3895" i="6"/>
  <c r="J3895" i="6"/>
  <c r="I3895" i="6"/>
  <c r="P3895" i="6" s="1"/>
  <c r="H3895" i="6"/>
  <c r="G3895" i="6"/>
  <c r="F3895" i="6"/>
  <c r="D3895" i="6"/>
  <c r="U3895" i="6" s="1"/>
  <c r="C3895" i="6"/>
  <c r="B3895" i="6"/>
  <c r="E3895" i="6" s="1"/>
  <c r="Q3894" i="6"/>
  <c r="P3894" i="6"/>
  <c r="N3894" i="6"/>
  <c r="M3894" i="6"/>
  <c r="L3894" i="6"/>
  <c r="K3894" i="6"/>
  <c r="J3894" i="6"/>
  <c r="I3894" i="6"/>
  <c r="H3894" i="6"/>
  <c r="G3894" i="6"/>
  <c r="F3894" i="6"/>
  <c r="D3894" i="6"/>
  <c r="U3894" i="6" s="1"/>
  <c r="C3894" i="6"/>
  <c r="B3894" i="6"/>
  <c r="E3894" i="6" s="1"/>
  <c r="Q3893" i="6"/>
  <c r="N3893" i="6"/>
  <c r="M3893" i="6"/>
  <c r="L3893" i="6"/>
  <c r="K3893" i="6"/>
  <c r="J3893" i="6"/>
  <c r="I3893" i="6"/>
  <c r="P3893" i="6" s="1"/>
  <c r="H3893" i="6"/>
  <c r="G3893" i="6"/>
  <c r="F3893" i="6"/>
  <c r="D3893" i="6"/>
  <c r="U3893" i="6" s="1"/>
  <c r="C3893" i="6"/>
  <c r="B3893" i="6"/>
  <c r="E3893" i="6" s="1"/>
  <c r="Q3892" i="6"/>
  <c r="P3892" i="6"/>
  <c r="N3892" i="6"/>
  <c r="M3892" i="6"/>
  <c r="L3892" i="6"/>
  <c r="K3892" i="6"/>
  <c r="J3892" i="6"/>
  <c r="I3892" i="6"/>
  <c r="H3892" i="6"/>
  <c r="G3892" i="6"/>
  <c r="F3892" i="6"/>
  <c r="D3892" i="6"/>
  <c r="U3892" i="6" s="1"/>
  <c r="C3892" i="6"/>
  <c r="B3892" i="6"/>
  <c r="E3892" i="6" s="1"/>
  <c r="Q3891" i="6"/>
  <c r="N3891" i="6"/>
  <c r="M3891" i="6"/>
  <c r="L3891" i="6"/>
  <c r="K3891" i="6"/>
  <c r="J3891" i="6"/>
  <c r="I3891" i="6"/>
  <c r="P3891" i="6" s="1"/>
  <c r="H3891" i="6"/>
  <c r="G3891" i="6"/>
  <c r="F3891" i="6"/>
  <c r="D3891" i="6"/>
  <c r="U3891" i="6" s="1"/>
  <c r="C3891" i="6"/>
  <c r="B3891" i="6"/>
  <c r="E3891" i="6" s="1"/>
  <c r="Q3890" i="6"/>
  <c r="P3890" i="6"/>
  <c r="N3890" i="6"/>
  <c r="M3890" i="6"/>
  <c r="L3890" i="6"/>
  <c r="K3890" i="6"/>
  <c r="J3890" i="6"/>
  <c r="I3890" i="6"/>
  <c r="H3890" i="6"/>
  <c r="G3890" i="6"/>
  <c r="F3890" i="6"/>
  <c r="D3890" i="6"/>
  <c r="U3890" i="6" s="1"/>
  <c r="C3890" i="6"/>
  <c r="B3890" i="6"/>
  <c r="E3890" i="6" s="1"/>
  <c r="Q3889" i="6"/>
  <c r="N3889" i="6"/>
  <c r="M3889" i="6"/>
  <c r="L3889" i="6"/>
  <c r="K3889" i="6"/>
  <c r="J3889" i="6"/>
  <c r="I3889" i="6"/>
  <c r="P3889" i="6" s="1"/>
  <c r="H3889" i="6"/>
  <c r="G3889" i="6"/>
  <c r="F3889" i="6"/>
  <c r="D3889" i="6"/>
  <c r="U3889" i="6" s="1"/>
  <c r="C3889" i="6"/>
  <c r="B3889" i="6"/>
  <c r="E3889" i="6" s="1"/>
  <c r="Q3888" i="6"/>
  <c r="P3888" i="6"/>
  <c r="N3888" i="6"/>
  <c r="M3888" i="6"/>
  <c r="L3888" i="6"/>
  <c r="K3888" i="6"/>
  <c r="J3888" i="6"/>
  <c r="I3888" i="6"/>
  <c r="H3888" i="6"/>
  <c r="G3888" i="6"/>
  <c r="F3888" i="6"/>
  <c r="D3888" i="6"/>
  <c r="U3888" i="6" s="1"/>
  <c r="C3888" i="6"/>
  <c r="B3888" i="6"/>
  <c r="E3888" i="6" s="1"/>
  <c r="Q3887" i="6"/>
  <c r="N3887" i="6"/>
  <c r="M3887" i="6"/>
  <c r="L3887" i="6"/>
  <c r="K3887" i="6"/>
  <c r="J3887" i="6"/>
  <c r="I3887" i="6"/>
  <c r="P3887" i="6" s="1"/>
  <c r="H3887" i="6"/>
  <c r="G3887" i="6"/>
  <c r="F3887" i="6"/>
  <c r="D3887" i="6"/>
  <c r="U3887" i="6" s="1"/>
  <c r="C3887" i="6"/>
  <c r="B3887" i="6"/>
  <c r="E3887" i="6" s="1"/>
  <c r="Q3886" i="6"/>
  <c r="P3886" i="6"/>
  <c r="N3886" i="6"/>
  <c r="M3886" i="6"/>
  <c r="L3886" i="6"/>
  <c r="K3886" i="6"/>
  <c r="J3886" i="6"/>
  <c r="I3886" i="6"/>
  <c r="H3886" i="6"/>
  <c r="G3886" i="6"/>
  <c r="F3886" i="6"/>
  <c r="D3886" i="6"/>
  <c r="U3886" i="6" s="1"/>
  <c r="C3886" i="6"/>
  <c r="B3886" i="6"/>
  <c r="E3886" i="6" s="1"/>
  <c r="Q3885" i="6"/>
  <c r="N3885" i="6"/>
  <c r="M3885" i="6"/>
  <c r="L3885" i="6"/>
  <c r="K3885" i="6"/>
  <c r="J3885" i="6"/>
  <c r="I3885" i="6"/>
  <c r="P3885" i="6" s="1"/>
  <c r="H3885" i="6"/>
  <c r="G3885" i="6"/>
  <c r="F3885" i="6"/>
  <c r="D3885" i="6"/>
  <c r="U3885" i="6" s="1"/>
  <c r="C3885" i="6"/>
  <c r="B3885" i="6"/>
  <c r="E3885" i="6" s="1"/>
  <c r="Q3884" i="6"/>
  <c r="P3884" i="6"/>
  <c r="N3884" i="6"/>
  <c r="M3884" i="6"/>
  <c r="L3884" i="6"/>
  <c r="K3884" i="6"/>
  <c r="J3884" i="6"/>
  <c r="I3884" i="6"/>
  <c r="H3884" i="6"/>
  <c r="G3884" i="6"/>
  <c r="F3884" i="6"/>
  <c r="D3884" i="6"/>
  <c r="U3884" i="6" s="1"/>
  <c r="C3884" i="6"/>
  <c r="B3884" i="6"/>
  <c r="E3884" i="6" s="1"/>
  <c r="Q3883" i="6"/>
  <c r="N3883" i="6"/>
  <c r="M3883" i="6"/>
  <c r="L3883" i="6"/>
  <c r="K3883" i="6"/>
  <c r="J3883" i="6"/>
  <c r="I3883" i="6"/>
  <c r="P3883" i="6" s="1"/>
  <c r="H3883" i="6"/>
  <c r="G3883" i="6"/>
  <c r="F3883" i="6"/>
  <c r="D3883" i="6"/>
  <c r="U3883" i="6" s="1"/>
  <c r="C3883" i="6"/>
  <c r="B3883" i="6"/>
  <c r="E3883" i="6" s="1"/>
  <c r="Q3882" i="6"/>
  <c r="P3882" i="6"/>
  <c r="N3882" i="6"/>
  <c r="M3882" i="6"/>
  <c r="L3882" i="6"/>
  <c r="K3882" i="6"/>
  <c r="J3882" i="6"/>
  <c r="I3882" i="6"/>
  <c r="H3882" i="6"/>
  <c r="G3882" i="6"/>
  <c r="F3882" i="6"/>
  <c r="D3882" i="6"/>
  <c r="U3882" i="6" s="1"/>
  <c r="C3882" i="6"/>
  <c r="B3882" i="6"/>
  <c r="E3882" i="6" s="1"/>
  <c r="Q3881" i="6"/>
  <c r="N3881" i="6"/>
  <c r="M3881" i="6"/>
  <c r="L3881" i="6"/>
  <c r="K3881" i="6"/>
  <c r="J3881" i="6"/>
  <c r="I3881" i="6"/>
  <c r="P3881" i="6" s="1"/>
  <c r="H3881" i="6"/>
  <c r="G3881" i="6"/>
  <c r="F3881" i="6"/>
  <c r="D3881" i="6"/>
  <c r="U3881" i="6" s="1"/>
  <c r="C3881" i="6"/>
  <c r="B3881" i="6"/>
  <c r="E3881" i="6" s="1"/>
  <c r="Q3880" i="6"/>
  <c r="P3880" i="6"/>
  <c r="N3880" i="6"/>
  <c r="M3880" i="6"/>
  <c r="L3880" i="6"/>
  <c r="K3880" i="6"/>
  <c r="J3880" i="6"/>
  <c r="I3880" i="6"/>
  <c r="H3880" i="6"/>
  <c r="G3880" i="6"/>
  <c r="F3880" i="6"/>
  <c r="D3880" i="6"/>
  <c r="U3880" i="6" s="1"/>
  <c r="C3880" i="6"/>
  <c r="B3880" i="6"/>
  <c r="E3880" i="6" s="1"/>
  <c r="Q3879" i="6"/>
  <c r="N3879" i="6"/>
  <c r="M3879" i="6"/>
  <c r="L3879" i="6"/>
  <c r="K3879" i="6"/>
  <c r="J3879" i="6"/>
  <c r="I3879" i="6"/>
  <c r="P3879" i="6" s="1"/>
  <c r="H3879" i="6"/>
  <c r="G3879" i="6"/>
  <c r="F3879" i="6"/>
  <c r="D3879" i="6"/>
  <c r="U3879" i="6" s="1"/>
  <c r="C3879" i="6"/>
  <c r="B3879" i="6"/>
  <c r="E3879" i="6" s="1"/>
  <c r="Q3878" i="6"/>
  <c r="P3878" i="6"/>
  <c r="N3878" i="6"/>
  <c r="M3878" i="6"/>
  <c r="L3878" i="6"/>
  <c r="K3878" i="6"/>
  <c r="J3878" i="6"/>
  <c r="I3878" i="6"/>
  <c r="H3878" i="6"/>
  <c r="G3878" i="6"/>
  <c r="F3878" i="6"/>
  <c r="D3878" i="6"/>
  <c r="U3878" i="6" s="1"/>
  <c r="C3878" i="6"/>
  <c r="B3878" i="6"/>
  <c r="E3878" i="6" s="1"/>
  <c r="Q3877" i="6"/>
  <c r="N3877" i="6"/>
  <c r="M3877" i="6"/>
  <c r="L3877" i="6"/>
  <c r="K3877" i="6"/>
  <c r="J3877" i="6"/>
  <c r="I3877" i="6"/>
  <c r="P3877" i="6" s="1"/>
  <c r="H3877" i="6"/>
  <c r="G3877" i="6"/>
  <c r="F3877" i="6"/>
  <c r="D3877" i="6"/>
  <c r="U3877" i="6" s="1"/>
  <c r="C3877" i="6"/>
  <c r="B3877" i="6"/>
  <c r="E3877" i="6" s="1"/>
  <c r="Q3876" i="6"/>
  <c r="P3876" i="6"/>
  <c r="N3876" i="6"/>
  <c r="M3876" i="6"/>
  <c r="L3876" i="6"/>
  <c r="K3876" i="6"/>
  <c r="J3876" i="6"/>
  <c r="I3876" i="6"/>
  <c r="H3876" i="6"/>
  <c r="G3876" i="6"/>
  <c r="F3876" i="6"/>
  <c r="D3876" i="6"/>
  <c r="U3876" i="6" s="1"/>
  <c r="C3876" i="6"/>
  <c r="B3876" i="6"/>
  <c r="E3876" i="6" s="1"/>
  <c r="Q3875" i="6"/>
  <c r="N3875" i="6"/>
  <c r="M3875" i="6"/>
  <c r="L3875" i="6"/>
  <c r="K3875" i="6"/>
  <c r="J3875" i="6"/>
  <c r="I3875" i="6"/>
  <c r="P3875" i="6" s="1"/>
  <c r="H3875" i="6"/>
  <c r="G3875" i="6"/>
  <c r="F3875" i="6"/>
  <c r="D3875" i="6"/>
  <c r="U3875" i="6" s="1"/>
  <c r="C3875" i="6"/>
  <c r="B3875" i="6"/>
  <c r="E3875" i="6" s="1"/>
  <c r="Q3874" i="6"/>
  <c r="P3874" i="6"/>
  <c r="N3874" i="6"/>
  <c r="M3874" i="6"/>
  <c r="L3874" i="6"/>
  <c r="K3874" i="6"/>
  <c r="J3874" i="6"/>
  <c r="I3874" i="6"/>
  <c r="H3874" i="6"/>
  <c r="G3874" i="6"/>
  <c r="F3874" i="6"/>
  <c r="D3874" i="6"/>
  <c r="U3874" i="6" s="1"/>
  <c r="C3874" i="6"/>
  <c r="B3874" i="6"/>
  <c r="E3874" i="6" s="1"/>
  <c r="Q3873" i="6"/>
  <c r="N3873" i="6"/>
  <c r="M3873" i="6"/>
  <c r="L3873" i="6"/>
  <c r="K3873" i="6"/>
  <c r="J3873" i="6"/>
  <c r="I3873" i="6"/>
  <c r="P3873" i="6" s="1"/>
  <c r="H3873" i="6"/>
  <c r="G3873" i="6"/>
  <c r="F3873" i="6"/>
  <c r="D3873" i="6"/>
  <c r="U3873" i="6" s="1"/>
  <c r="C3873" i="6"/>
  <c r="B3873" i="6"/>
  <c r="E3873" i="6" s="1"/>
  <c r="Q3872" i="6"/>
  <c r="P3872" i="6"/>
  <c r="N3872" i="6"/>
  <c r="M3872" i="6"/>
  <c r="L3872" i="6"/>
  <c r="K3872" i="6"/>
  <c r="J3872" i="6"/>
  <c r="I3872" i="6"/>
  <c r="H3872" i="6"/>
  <c r="G3872" i="6"/>
  <c r="F3872" i="6"/>
  <c r="D3872" i="6"/>
  <c r="U3872" i="6" s="1"/>
  <c r="C3872" i="6"/>
  <c r="B3872" i="6"/>
  <c r="E3872" i="6" s="1"/>
  <c r="Q3871" i="6"/>
  <c r="N3871" i="6"/>
  <c r="M3871" i="6"/>
  <c r="L3871" i="6"/>
  <c r="K3871" i="6"/>
  <c r="J3871" i="6"/>
  <c r="I3871" i="6"/>
  <c r="P3871" i="6" s="1"/>
  <c r="H3871" i="6"/>
  <c r="G3871" i="6"/>
  <c r="F3871" i="6"/>
  <c r="D3871" i="6"/>
  <c r="U3871" i="6" s="1"/>
  <c r="C3871" i="6"/>
  <c r="B3871" i="6"/>
  <c r="E3871" i="6" s="1"/>
  <c r="Q3870" i="6"/>
  <c r="P3870" i="6"/>
  <c r="N3870" i="6"/>
  <c r="M3870" i="6"/>
  <c r="L3870" i="6"/>
  <c r="K3870" i="6"/>
  <c r="J3870" i="6"/>
  <c r="I3870" i="6"/>
  <c r="H3870" i="6"/>
  <c r="G3870" i="6"/>
  <c r="F3870" i="6"/>
  <c r="D3870" i="6"/>
  <c r="U3870" i="6" s="1"/>
  <c r="C3870" i="6"/>
  <c r="B3870" i="6"/>
  <c r="E3870" i="6" s="1"/>
  <c r="Q3869" i="6"/>
  <c r="N3869" i="6"/>
  <c r="M3869" i="6"/>
  <c r="L3869" i="6"/>
  <c r="K3869" i="6"/>
  <c r="J3869" i="6"/>
  <c r="I3869" i="6"/>
  <c r="P3869" i="6" s="1"/>
  <c r="H3869" i="6"/>
  <c r="G3869" i="6"/>
  <c r="F3869" i="6"/>
  <c r="D3869" i="6"/>
  <c r="U3869" i="6" s="1"/>
  <c r="C3869" i="6"/>
  <c r="B3869" i="6"/>
  <c r="E3869" i="6" s="1"/>
  <c r="Q3868" i="6"/>
  <c r="P3868" i="6"/>
  <c r="N3868" i="6"/>
  <c r="M3868" i="6"/>
  <c r="L3868" i="6"/>
  <c r="K3868" i="6"/>
  <c r="J3868" i="6"/>
  <c r="I3868" i="6"/>
  <c r="H3868" i="6"/>
  <c r="G3868" i="6"/>
  <c r="F3868" i="6"/>
  <c r="D3868" i="6"/>
  <c r="U3868" i="6" s="1"/>
  <c r="C3868" i="6"/>
  <c r="B3868" i="6"/>
  <c r="E3868" i="6" s="1"/>
  <c r="Q3867" i="6"/>
  <c r="N3867" i="6"/>
  <c r="M3867" i="6"/>
  <c r="L3867" i="6"/>
  <c r="K3867" i="6"/>
  <c r="J3867" i="6"/>
  <c r="I3867" i="6"/>
  <c r="P3867" i="6" s="1"/>
  <c r="H3867" i="6"/>
  <c r="G3867" i="6"/>
  <c r="F3867" i="6"/>
  <c r="D3867" i="6"/>
  <c r="U3867" i="6" s="1"/>
  <c r="C3867" i="6"/>
  <c r="B3867" i="6"/>
  <c r="E3867" i="6" s="1"/>
  <c r="Q3866" i="6"/>
  <c r="P3866" i="6"/>
  <c r="N3866" i="6"/>
  <c r="M3866" i="6"/>
  <c r="L3866" i="6"/>
  <c r="K3866" i="6"/>
  <c r="J3866" i="6"/>
  <c r="I3866" i="6"/>
  <c r="H3866" i="6"/>
  <c r="G3866" i="6"/>
  <c r="F3866" i="6"/>
  <c r="D3866" i="6"/>
  <c r="U3866" i="6" s="1"/>
  <c r="C3866" i="6"/>
  <c r="B3866" i="6"/>
  <c r="E3866" i="6" s="1"/>
  <c r="Q3865" i="6"/>
  <c r="N3865" i="6"/>
  <c r="M3865" i="6"/>
  <c r="L3865" i="6"/>
  <c r="K3865" i="6"/>
  <c r="J3865" i="6"/>
  <c r="I3865" i="6"/>
  <c r="P3865" i="6" s="1"/>
  <c r="H3865" i="6"/>
  <c r="G3865" i="6"/>
  <c r="F3865" i="6"/>
  <c r="D3865" i="6"/>
  <c r="U3865" i="6" s="1"/>
  <c r="C3865" i="6"/>
  <c r="B3865" i="6"/>
  <c r="E3865" i="6" s="1"/>
  <c r="Q3864" i="6"/>
  <c r="P3864" i="6"/>
  <c r="N3864" i="6"/>
  <c r="M3864" i="6"/>
  <c r="L3864" i="6"/>
  <c r="K3864" i="6"/>
  <c r="J3864" i="6"/>
  <c r="I3864" i="6"/>
  <c r="H3864" i="6"/>
  <c r="G3864" i="6"/>
  <c r="F3864" i="6"/>
  <c r="D3864" i="6"/>
  <c r="U3864" i="6" s="1"/>
  <c r="C3864" i="6"/>
  <c r="B3864" i="6"/>
  <c r="E3864" i="6" s="1"/>
  <c r="Q3863" i="6"/>
  <c r="N3863" i="6"/>
  <c r="M3863" i="6"/>
  <c r="L3863" i="6"/>
  <c r="K3863" i="6"/>
  <c r="J3863" i="6"/>
  <c r="I3863" i="6"/>
  <c r="P3863" i="6" s="1"/>
  <c r="H3863" i="6"/>
  <c r="G3863" i="6"/>
  <c r="F3863" i="6"/>
  <c r="D3863" i="6"/>
  <c r="U3863" i="6" s="1"/>
  <c r="C3863" i="6"/>
  <c r="B3863" i="6"/>
  <c r="E3863" i="6" s="1"/>
  <c r="Q3862" i="6"/>
  <c r="P3862" i="6"/>
  <c r="N3862" i="6"/>
  <c r="M3862" i="6"/>
  <c r="L3862" i="6"/>
  <c r="K3862" i="6"/>
  <c r="J3862" i="6"/>
  <c r="I3862" i="6"/>
  <c r="H3862" i="6"/>
  <c r="G3862" i="6"/>
  <c r="F3862" i="6"/>
  <c r="D3862" i="6"/>
  <c r="U3862" i="6" s="1"/>
  <c r="C3862" i="6"/>
  <c r="B3862" i="6"/>
  <c r="E3862" i="6" s="1"/>
  <c r="Q3861" i="6"/>
  <c r="N3861" i="6"/>
  <c r="M3861" i="6"/>
  <c r="L3861" i="6"/>
  <c r="K3861" i="6"/>
  <c r="J3861" i="6"/>
  <c r="I3861" i="6"/>
  <c r="P3861" i="6" s="1"/>
  <c r="H3861" i="6"/>
  <c r="G3861" i="6"/>
  <c r="F3861" i="6"/>
  <c r="D3861" i="6"/>
  <c r="U3861" i="6" s="1"/>
  <c r="C3861" i="6"/>
  <c r="B3861" i="6"/>
  <c r="E3861" i="6" s="1"/>
  <c r="Q3860" i="6"/>
  <c r="P3860" i="6"/>
  <c r="N3860" i="6"/>
  <c r="M3860" i="6"/>
  <c r="L3860" i="6"/>
  <c r="K3860" i="6"/>
  <c r="J3860" i="6"/>
  <c r="I3860" i="6"/>
  <c r="H3860" i="6"/>
  <c r="G3860" i="6"/>
  <c r="F3860" i="6"/>
  <c r="D3860" i="6"/>
  <c r="U3860" i="6" s="1"/>
  <c r="C3860" i="6"/>
  <c r="B3860" i="6"/>
  <c r="E3860" i="6" s="1"/>
  <c r="Q3859" i="6"/>
  <c r="N3859" i="6"/>
  <c r="M3859" i="6"/>
  <c r="L3859" i="6"/>
  <c r="K3859" i="6"/>
  <c r="J3859" i="6"/>
  <c r="I3859" i="6"/>
  <c r="P3859" i="6" s="1"/>
  <c r="H3859" i="6"/>
  <c r="G3859" i="6"/>
  <c r="F3859" i="6"/>
  <c r="D3859" i="6"/>
  <c r="U3859" i="6" s="1"/>
  <c r="C3859" i="6"/>
  <c r="B3859" i="6"/>
  <c r="E3859" i="6" s="1"/>
  <c r="Q3858" i="6"/>
  <c r="P3858" i="6"/>
  <c r="N3858" i="6"/>
  <c r="M3858" i="6"/>
  <c r="L3858" i="6"/>
  <c r="K3858" i="6"/>
  <c r="J3858" i="6"/>
  <c r="I3858" i="6"/>
  <c r="H3858" i="6"/>
  <c r="G3858" i="6"/>
  <c r="F3858" i="6"/>
  <c r="D3858" i="6"/>
  <c r="U3858" i="6" s="1"/>
  <c r="C3858" i="6"/>
  <c r="B3858" i="6"/>
  <c r="E3858" i="6" s="1"/>
  <c r="Q3857" i="6"/>
  <c r="N3857" i="6"/>
  <c r="M3857" i="6"/>
  <c r="L3857" i="6"/>
  <c r="K3857" i="6"/>
  <c r="J3857" i="6"/>
  <c r="I3857" i="6"/>
  <c r="P3857" i="6" s="1"/>
  <c r="H3857" i="6"/>
  <c r="G3857" i="6"/>
  <c r="F3857" i="6"/>
  <c r="D3857" i="6"/>
  <c r="U3857" i="6" s="1"/>
  <c r="C3857" i="6"/>
  <c r="B3857" i="6"/>
  <c r="E3857" i="6" s="1"/>
  <c r="Q3856" i="6"/>
  <c r="P3856" i="6"/>
  <c r="N3856" i="6"/>
  <c r="M3856" i="6"/>
  <c r="L3856" i="6"/>
  <c r="K3856" i="6"/>
  <c r="J3856" i="6"/>
  <c r="I3856" i="6"/>
  <c r="H3856" i="6"/>
  <c r="G3856" i="6"/>
  <c r="F3856" i="6"/>
  <c r="D3856" i="6"/>
  <c r="U3856" i="6" s="1"/>
  <c r="C3856" i="6"/>
  <c r="B3856" i="6"/>
  <c r="E3856" i="6" s="1"/>
  <c r="Q3855" i="6"/>
  <c r="N3855" i="6"/>
  <c r="M3855" i="6"/>
  <c r="L3855" i="6"/>
  <c r="K3855" i="6"/>
  <c r="J3855" i="6"/>
  <c r="I3855" i="6"/>
  <c r="P3855" i="6" s="1"/>
  <c r="H3855" i="6"/>
  <c r="G3855" i="6"/>
  <c r="F3855" i="6"/>
  <c r="D3855" i="6"/>
  <c r="U3855" i="6" s="1"/>
  <c r="C3855" i="6"/>
  <c r="B3855" i="6"/>
  <c r="E3855" i="6" s="1"/>
  <c r="Q3854" i="6"/>
  <c r="P3854" i="6"/>
  <c r="N3854" i="6"/>
  <c r="M3854" i="6"/>
  <c r="L3854" i="6"/>
  <c r="K3854" i="6"/>
  <c r="J3854" i="6"/>
  <c r="I3854" i="6"/>
  <c r="H3854" i="6"/>
  <c r="G3854" i="6"/>
  <c r="F3854" i="6"/>
  <c r="D3854" i="6"/>
  <c r="U3854" i="6" s="1"/>
  <c r="C3854" i="6"/>
  <c r="B3854" i="6"/>
  <c r="E3854" i="6" s="1"/>
  <c r="Q3853" i="6"/>
  <c r="N3853" i="6"/>
  <c r="M3853" i="6"/>
  <c r="L3853" i="6"/>
  <c r="K3853" i="6"/>
  <c r="J3853" i="6"/>
  <c r="I3853" i="6"/>
  <c r="P3853" i="6" s="1"/>
  <c r="H3853" i="6"/>
  <c r="G3853" i="6"/>
  <c r="F3853" i="6"/>
  <c r="D3853" i="6"/>
  <c r="U3853" i="6" s="1"/>
  <c r="C3853" i="6"/>
  <c r="B3853" i="6"/>
  <c r="E3853" i="6" s="1"/>
  <c r="Q3852" i="6"/>
  <c r="P3852" i="6"/>
  <c r="N3852" i="6"/>
  <c r="M3852" i="6"/>
  <c r="L3852" i="6"/>
  <c r="K3852" i="6"/>
  <c r="J3852" i="6"/>
  <c r="I3852" i="6"/>
  <c r="H3852" i="6"/>
  <c r="G3852" i="6"/>
  <c r="F3852" i="6"/>
  <c r="D3852" i="6"/>
  <c r="U3852" i="6" s="1"/>
  <c r="C3852" i="6"/>
  <c r="B3852" i="6"/>
  <c r="E3852" i="6" s="1"/>
  <c r="Q3851" i="6"/>
  <c r="N3851" i="6"/>
  <c r="M3851" i="6"/>
  <c r="L3851" i="6"/>
  <c r="K3851" i="6"/>
  <c r="J3851" i="6"/>
  <c r="I3851" i="6"/>
  <c r="P3851" i="6" s="1"/>
  <c r="H3851" i="6"/>
  <c r="G3851" i="6"/>
  <c r="F3851" i="6"/>
  <c r="D3851" i="6"/>
  <c r="U3851" i="6" s="1"/>
  <c r="C3851" i="6"/>
  <c r="B3851" i="6"/>
  <c r="E3851" i="6" s="1"/>
  <c r="Q3850" i="6"/>
  <c r="P3850" i="6"/>
  <c r="N3850" i="6"/>
  <c r="M3850" i="6"/>
  <c r="L3850" i="6"/>
  <c r="K3850" i="6"/>
  <c r="J3850" i="6"/>
  <c r="I3850" i="6"/>
  <c r="H3850" i="6"/>
  <c r="G3850" i="6"/>
  <c r="F3850" i="6"/>
  <c r="D3850" i="6"/>
  <c r="U3850" i="6" s="1"/>
  <c r="C3850" i="6"/>
  <c r="B3850" i="6"/>
  <c r="E3850" i="6" s="1"/>
  <c r="Q3849" i="6"/>
  <c r="N3849" i="6"/>
  <c r="M3849" i="6"/>
  <c r="L3849" i="6"/>
  <c r="K3849" i="6"/>
  <c r="J3849" i="6"/>
  <c r="I3849" i="6"/>
  <c r="P3849" i="6" s="1"/>
  <c r="H3849" i="6"/>
  <c r="G3849" i="6"/>
  <c r="F3849" i="6"/>
  <c r="D3849" i="6"/>
  <c r="U3849" i="6" s="1"/>
  <c r="C3849" i="6"/>
  <c r="B3849" i="6"/>
  <c r="E3849" i="6" s="1"/>
  <c r="Q3848" i="6"/>
  <c r="P3848" i="6"/>
  <c r="N3848" i="6"/>
  <c r="M3848" i="6"/>
  <c r="L3848" i="6"/>
  <c r="K3848" i="6"/>
  <c r="J3848" i="6"/>
  <c r="I3848" i="6"/>
  <c r="H3848" i="6"/>
  <c r="G3848" i="6"/>
  <c r="F3848" i="6"/>
  <c r="D3848" i="6"/>
  <c r="U3848" i="6" s="1"/>
  <c r="C3848" i="6"/>
  <c r="B3848" i="6"/>
  <c r="E3848" i="6" s="1"/>
  <c r="Q3847" i="6"/>
  <c r="N3847" i="6"/>
  <c r="M3847" i="6"/>
  <c r="L3847" i="6"/>
  <c r="K3847" i="6"/>
  <c r="J3847" i="6"/>
  <c r="I3847" i="6"/>
  <c r="P3847" i="6" s="1"/>
  <c r="H3847" i="6"/>
  <c r="G3847" i="6"/>
  <c r="F3847" i="6"/>
  <c r="D3847" i="6"/>
  <c r="U3847" i="6" s="1"/>
  <c r="C3847" i="6"/>
  <c r="B3847" i="6"/>
  <c r="E3847" i="6" s="1"/>
  <c r="Q3846" i="6"/>
  <c r="P3846" i="6"/>
  <c r="N3846" i="6"/>
  <c r="M3846" i="6"/>
  <c r="L3846" i="6"/>
  <c r="K3846" i="6"/>
  <c r="J3846" i="6"/>
  <c r="I3846" i="6"/>
  <c r="H3846" i="6"/>
  <c r="G3846" i="6"/>
  <c r="F3846" i="6"/>
  <c r="D3846" i="6"/>
  <c r="U3846" i="6" s="1"/>
  <c r="C3846" i="6"/>
  <c r="B3846" i="6"/>
  <c r="E3846" i="6" s="1"/>
  <c r="Q3845" i="6"/>
  <c r="N3845" i="6"/>
  <c r="M3845" i="6"/>
  <c r="L3845" i="6"/>
  <c r="K3845" i="6"/>
  <c r="J3845" i="6"/>
  <c r="I3845" i="6"/>
  <c r="P3845" i="6" s="1"/>
  <c r="H3845" i="6"/>
  <c r="G3845" i="6"/>
  <c r="F3845" i="6"/>
  <c r="D3845" i="6"/>
  <c r="U3845" i="6" s="1"/>
  <c r="C3845" i="6"/>
  <c r="B3845" i="6"/>
  <c r="E3845" i="6" s="1"/>
  <c r="Q3844" i="6"/>
  <c r="P3844" i="6"/>
  <c r="N3844" i="6"/>
  <c r="M3844" i="6"/>
  <c r="L3844" i="6"/>
  <c r="K3844" i="6"/>
  <c r="J3844" i="6"/>
  <c r="I3844" i="6"/>
  <c r="H3844" i="6"/>
  <c r="G3844" i="6"/>
  <c r="F3844" i="6"/>
  <c r="D3844" i="6"/>
  <c r="U3844" i="6" s="1"/>
  <c r="C3844" i="6"/>
  <c r="B3844" i="6"/>
  <c r="E3844" i="6" s="1"/>
  <c r="Q3843" i="6"/>
  <c r="N3843" i="6"/>
  <c r="M3843" i="6"/>
  <c r="L3843" i="6"/>
  <c r="K3843" i="6"/>
  <c r="J3843" i="6"/>
  <c r="I3843" i="6"/>
  <c r="P3843" i="6" s="1"/>
  <c r="H3843" i="6"/>
  <c r="G3843" i="6"/>
  <c r="F3843" i="6"/>
  <c r="D3843" i="6"/>
  <c r="U3843" i="6" s="1"/>
  <c r="C3843" i="6"/>
  <c r="B3843" i="6"/>
  <c r="E3843" i="6" s="1"/>
  <c r="Q3842" i="6"/>
  <c r="P3842" i="6"/>
  <c r="N3842" i="6"/>
  <c r="M3842" i="6"/>
  <c r="L3842" i="6"/>
  <c r="K3842" i="6"/>
  <c r="J3842" i="6"/>
  <c r="I3842" i="6"/>
  <c r="H3842" i="6"/>
  <c r="G3842" i="6"/>
  <c r="F3842" i="6"/>
  <c r="D3842" i="6"/>
  <c r="U3842" i="6" s="1"/>
  <c r="C3842" i="6"/>
  <c r="B3842" i="6"/>
  <c r="E3842" i="6" s="1"/>
  <c r="Q3841" i="6"/>
  <c r="N3841" i="6"/>
  <c r="M3841" i="6"/>
  <c r="L3841" i="6"/>
  <c r="K3841" i="6"/>
  <c r="J3841" i="6"/>
  <c r="I3841" i="6"/>
  <c r="P3841" i="6" s="1"/>
  <c r="H3841" i="6"/>
  <c r="G3841" i="6"/>
  <c r="F3841" i="6"/>
  <c r="D3841" i="6"/>
  <c r="U3841" i="6" s="1"/>
  <c r="C3841" i="6"/>
  <c r="B3841" i="6"/>
  <c r="E3841" i="6" s="1"/>
  <c r="Q3840" i="6"/>
  <c r="P3840" i="6"/>
  <c r="N3840" i="6"/>
  <c r="M3840" i="6"/>
  <c r="L3840" i="6"/>
  <c r="K3840" i="6"/>
  <c r="J3840" i="6"/>
  <c r="I3840" i="6"/>
  <c r="H3840" i="6"/>
  <c r="G3840" i="6"/>
  <c r="F3840" i="6"/>
  <c r="D3840" i="6"/>
  <c r="U3840" i="6" s="1"/>
  <c r="C3840" i="6"/>
  <c r="B3840" i="6"/>
  <c r="E3840" i="6" s="1"/>
  <c r="Q3839" i="6"/>
  <c r="N3839" i="6"/>
  <c r="M3839" i="6"/>
  <c r="L3839" i="6"/>
  <c r="K3839" i="6"/>
  <c r="J3839" i="6"/>
  <c r="I3839" i="6"/>
  <c r="P3839" i="6" s="1"/>
  <c r="H3839" i="6"/>
  <c r="G3839" i="6"/>
  <c r="F3839" i="6"/>
  <c r="D3839" i="6"/>
  <c r="U3839" i="6" s="1"/>
  <c r="C3839" i="6"/>
  <c r="B3839" i="6"/>
  <c r="E3839" i="6" s="1"/>
  <c r="Q3838" i="6"/>
  <c r="P3838" i="6"/>
  <c r="N3838" i="6"/>
  <c r="M3838" i="6"/>
  <c r="L3838" i="6"/>
  <c r="K3838" i="6"/>
  <c r="J3838" i="6"/>
  <c r="I3838" i="6"/>
  <c r="H3838" i="6"/>
  <c r="G3838" i="6"/>
  <c r="F3838" i="6"/>
  <c r="D3838" i="6"/>
  <c r="U3838" i="6" s="1"/>
  <c r="C3838" i="6"/>
  <c r="B3838" i="6"/>
  <c r="E3838" i="6" s="1"/>
  <c r="Q3837" i="6"/>
  <c r="N3837" i="6"/>
  <c r="M3837" i="6"/>
  <c r="L3837" i="6"/>
  <c r="K3837" i="6"/>
  <c r="J3837" i="6"/>
  <c r="I3837" i="6"/>
  <c r="P3837" i="6" s="1"/>
  <c r="H3837" i="6"/>
  <c r="G3837" i="6"/>
  <c r="F3837" i="6"/>
  <c r="D3837" i="6"/>
  <c r="U3837" i="6" s="1"/>
  <c r="C3837" i="6"/>
  <c r="B3837" i="6"/>
  <c r="E3837" i="6" s="1"/>
  <c r="Q3836" i="6"/>
  <c r="P3836" i="6"/>
  <c r="N3836" i="6"/>
  <c r="M3836" i="6"/>
  <c r="L3836" i="6"/>
  <c r="K3836" i="6"/>
  <c r="J3836" i="6"/>
  <c r="I3836" i="6"/>
  <c r="H3836" i="6"/>
  <c r="G3836" i="6"/>
  <c r="F3836" i="6"/>
  <c r="D3836" i="6"/>
  <c r="U3836" i="6" s="1"/>
  <c r="C3836" i="6"/>
  <c r="B3836" i="6"/>
  <c r="E3836" i="6" s="1"/>
  <c r="Q3835" i="6"/>
  <c r="N3835" i="6"/>
  <c r="M3835" i="6"/>
  <c r="L3835" i="6"/>
  <c r="K3835" i="6"/>
  <c r="J3835" i="6"/>
  <c r="I3835" i="6"/>
  <c r="P3835" i="6" s="1"/>
  <c r="H3835" i="6"/>
  <c r="G3835" i="6"/>
  <c r="F3835" i="6"/>
  <c r="D3835" i="6"/>
  <c r="U3835" i="6" s="1"/>
  <c r="C3835" i="6"/>
  <c r="B3835" i="6"/>
  <c r="E3835" i="6" s="1"/>
  <c r="Q3834" i="6"/>
  <c r="P3834" i="6"/>
  <c r="N3834" i="6"/>
  <c r="M3834" i="6"/>
  <c r="L3834" i="6"/>
  <c r="K3834" i="6"/>
  <c r="J3834" i="6"/>
  <c r="I3834" i="6"/>
  <c r="H3834" i="6"/>
  <c r="G3834" i="6"/>
  <c r="F3834" i="6"/>
  <c r="D3834" i="6"/>
  <c r="U3834" i="6" s="1"/>
  <c r="C3834" i="6"/>
  <c r="B3834" i="6"/>
  <c r="E3834" i="6" s="1"/>
  <c r="Q3833" i="6"/>
  <c r="N3833" i="6"/>
  <c r="M3833" i="6"/>
  <c r="L3833" i="6"/>
  <c r="K3833" i="6"/>
  <c r="J3833" i="6"/>
  <c r="I3833" i="6"/>
  <c r="P3833" i="6" s="1"/>
  <c r="H3833" i="6"/>
  <c r="G3833" i="6"/>
  <c r="F3833" i="6"/>
  <c r="D3833" i="6"/>
  <c r="U3833" i="6" s="1"/>
  <c r="C3833" i="6"/>
  <c r="B3833" i="6"/>
  <c r="E3833" i="6" s="1"/>
  <c r="Q3832" i="6"/>
  <c r="P3832" i="6"/>
  <c r="N3832" i="6"/>
  <c r="M3832" i="6"/>
  <c r="L3832" i="6"/>
  <c r="K3832" i="6"/>
  <c r="J3832" i="6"/>
  <c r="I3832" i="6"/>
  <c r="H3832" i="6"/>
  <c r="G3832" i="6"/>
  <c r="F3832" i="6"/>
  <c r="D3832" i="6"/>
  <c r="U3832" i="6" s="1"/>
  <c r="C3832" i="6"/>
  <c r="B3832" i="6"/>
  <c r="E3832" i="6" s="1"/>
  <c r="Q3831" i="6"/>
  <c r="N3831" i="6"/>
  <c r="M3831" i="6"/>
  <c r="L3831" i="6"/>
  <c r="K3831" i="6"/>
  <c r="J3831" i="6"/>
  <c r="I3831" i="6"/>
  <c r="P3831" i="6" s="1"/>
  <c r="H3831" i="6"/>
  <c r="G3831" i="6"/>
  <c r="F3831" i="6"/>
  <c r="D3831" i="6"/>
  <c r="U3831" i="6" s="1"/>
  <c r="C3831" i="6"/>
  <c r="B3831" i="6"/>
  <c r="E3831" i="6" s="1"/>
  <c r="Q3830" i="6"/>
  <c r="P3830" i="6"/>
  <c r="N3830" i="6"/>
  <c r="M3830" i="6"/>
  <c r="L3830" i="6"/>
  <c r="K3830" i="6"/>
  <c r="J3830" i="6"/>
  <c r="I3830" i="6"/>
  <c r="H3830" i="6"/>
  <c r="G3830" i="6"/>
  <c r="F3830" i="6"/>
  <c r="D3830" i="6"/>
  <c r="U3830" i="6" s="1"/>
  <c r="C3830" i="6"/>
  <c r="B3830" i="6"/>
  <c r="E3830" i="6" s="1"/>
  <c r="Q3829" i="6"/>
  <c r="N3829" i="6"/>
  <c r="M3829" i="6"/>
  <c r="L3829" i="6"/>
  <c r="K3829" i="6"/>
  <c r="J3829" i="6"/>
  <c r="I3829" i="6"/>
  <c r="P3829" i="6" s="1"/>
  <c r="H3829" i="6"/>
  <c r="G3829" i="6"/>
  <c r="F3829" i="6"/>
  <c r="D3829" i="6"/>
  <c r="U3829" i="6" s="1"/>
  <c r="C3829" i="6"/>
  <c r="B3829" i="6"/>
  <c r="E3829" i="6" s="1"/>
  <c r="Q3828" i="6"/>
  <c r="P3828" i="6"/>
  <c r="N3828" i="6"/>
  <c r="M3828" i="6"/>
  <c r="L3828" i="6"/>
  <c r="K3828" i="6"/>
  <c r="J3828" i="6"/>
  <c r="I3828" i="6"/>
  <c r="H3828" i="6"/>
  <c r="G3828" i="6"/>
  <c r="F3828" i="6"/>
  <c r="D3828" i="6"/>
  <c r="U3828" i="6" s="1"/>
  <c r="C3828" i="6"/>
  <c r="B3828" i="6"/>
  <c r="E3828" i="6" s="1"/>
  <c r="Q3827" i="6"/>
  <c r="N3827" i="6"/>
  <c r="M3827" i="6"/>
  <c r="L3827" i="6"/>
  <c r="K3827" i="6"/>
  <c r="J3827" i="6"/>
  <c r="I3827" i="6"/>
  <c r="P3827" i="6" s="1"/>
  <c r="H3827" i="6"/>
  <c r="G3827" i="6"/>
  <c r="F3827" i="6"/>
  <c r="D3827" i="6"/>
  <c r="U3827" i="6" s="1"/>
  <c r="C3827" i="6"/>
  <c r="B3827" i="6"/>
  <c r="E3827" i="6" s="1"/>
  <c r="Q3826" i="6"/>
  <c r="P3826" i="6"/>
  <c r="N3826" i="6"/>
  <c r="M3826" i="6"/>
  <c r="L3826" i="6"/>
  <c r="K3826" i="6"/>
  <c r="J3826" i="6"/>
  <c r="I3826" i="6"/>
  <c r="H3826" i="6"/>
  <c r="G3826" i="6"/>
  <c r="F3826" i="6"/>
  <c r="D3826" i="6"/>
  <c r="U3826" i="6" s="1"/>
  <c r="C3826" i="6"/>
  <c r="B3826" i="6"/>
  <c r="E3826" i="6" s="1"/>
  <c r="Q3825" i="6"/>
  <c r="N3825" i="6"/>
  <c r="M3825" i="6"/>
  <c r="L3825" i="6"/>
  <c r="K3825" i="6"/>
  <c r="J3825" i="6"/>
  <c r="I3825" i="6"/>
  <c r="P3825" i="6" s="1"/>
  <c r="H3825" i="6"/>
  <c r="G3825" i="6"/>
  <c r="F3825" i="6"/>
  <c r="D3825" i="6"/>
  <c r="U3825" i="6" s="1"/>
  <c r="C3825" i="6"/>
  <c r="B3825" i="6"/>
  <c r="E3825" i="6" s="1"/>
  <c r="Q3824" i="6"/>
  <c r="P3824" i="6"/>
  <c r="N3824" i="6"/>
  <c r="M3824" i="6"/>
  <c r="L3824" i="6"/>
  <c r="K3824" i="6"/>
  <c r="J3824" i="6"/>
  <c r="I3824" i="6"/>
  <c r="H3824" i="6"/>
  <c r="G3824" i="6"/>
  <c r="F3824" i="6"/>
  <c r="D3824" i="6"/>
  <c r="U3824" i="6" s="1"/>
  <c r="C3824" i="6"/>
  <c r="B3824" i="6"/>
  <c r="E3824" i="6" s="1"/>
  <c r="Q3823" i="6"/>
  <c r="N3823" i="6"/>
  <c r="M3823" i="6"/>
  <c r="L3823" i="6"/>
  <c r="K3823" i="6"/>
  <c r="J3823" i="6"/>
  <c r="I3823" i="6"/>
  <c r="P3823" i="6" s="1"/>
  <c r="H3823" i="6"/>
  <c r="G3823" i="6"/>
  <c r="F3823" i="6"/>
  <c r="D3823" i="6"/>
  <c r="U3823" i="6" s="1"/>
  <c r="C3823" i="6"/>
  <c r="B3823" i="6"/>
  <c r="E3823" i="6" s="1"/>
  <c r="Q3822" i="6"/>
  <c r="P3822" i="6"/>
  <c r="N3822" i="6"/>
  <c r="M3822" i="6"/>
  <c r="L3822" i="6"/>
  <c r="K3822" i="6"/>
  <c r="J3822" i="6"/>
  <c r="I3822" i="6"/>
  <c r="H3822" i="6"/>
  <c r="G3822" i="6"/>
  <c r="F3822" i="6"/>
  <c r="D3822" i="6"/>
  <c r="U3822" i="6" s="1"/>
  <c r="C3822" i="6"/>
  <c r="B3822" i="6"/>
  <c r="E3822" i="6" s="1"/>
  <c r="Q3821" i="6"/>
  <c r="N3821" i="6"/>
  <c r="M3821" i="6"/>
  <c r="L3821" i="6"/>
  <c r="K3821" i="6"/>
  <c r="J3821" i="6"/>
  <c r="I3821" i="6"/>
  <c r="P3821" i="6" s="1"/>
  <c r="H3821" i="6"/>
  <c r="G3821" i="6"/>
  <c r="F3821" i="6"/>
  <c r="D3821" i="6"/>
  <c r="U3821" i="6" s="1"/>
  <c r="C3821" i="6"/>
  <c r="B3821" i="6"/>
  <c r="E3821" i="6" s="1"/>
  <c r="Q3820" i="6"/>
  <c r="P3820" i="6"/>
  <c r="N3820" i="6"/>
  <c r="M3820" i="6"/>
  <c r="L3820" i="6"/>
  <c r="K3820" i="6"/>
  <c r="J3820" i="6"/>
  <c r="I3820" i="6"/>
  <c r="H3820" i="6"/>
  <c r="G3820" i="6"/>
  <c r="F3820" i="6"/>
  <c r="D3820" i="6"/>
  <c r="U3820" i="6" s="1"/>
  <c r="C3820" i="6"/>
  <c r="B3820" i="6"/>
  <c r="E3820" i="6" s="1"/>
  <c r="Q3819" i="6"/>
  <c r="N3819" i="6"/>
  <c r="M3819" i="6"/>
  <c r="L3819" i="6"/>
  <c r="K3819" i="6"/>
  <c r="J3819" i="6"/>
  <c r="I3819" i="6"/>
  <c r="P3819" i="6" s="1"/>
  <c r="H3819" i="6"/>
  <c r="G3819" i="6"/>
  <c r="F3819" i="6"/>
  <c r="D3819" i="6"/>
  <c r="U3819" i="6" s="1"/>
  <c r="C3819" i="6"/>
  <c r="B3819" i="6"/>
  <c r="E3819" i="6" s="1"/>
  <c r="Q3818" i="6"/>
  <c r="P3818" i="6"/>
  <c r="N3818" i="6"/>
  <c r="M3818" i="6"/>
  <c r="L3818" i="6"/>
  <c r="K3818" i="6"/>
  <c r="J3818" i="6"/>
  <c r="I3818" i="6"/>
  <c r="H3818" i="6"/>
  <c r="G3818" i="6"/>
  <c r="F3818" i="6"/>
  <c r="D3818" i="6"/>
  <c r="U3818" i="6" s="1"/>
  <c r="C3818" i="6"/>
  <c r="B3818" i="6"/>
  <c r="E3818" i="6" s="1"/>
  <c r="Q3817" i="6"/>
  <c r="N3817" i="6"/>
  <c r="M3817" i="6"/>
  <c r="L3817" i="6"/>
  <c r="K3817" i="6"/>
  <c r="J3817" i="6"/>
  <c r="I3817" i="6"/>
  <c r="P3817" i="6" s="1"/>
  <c r="H3817" i="6"/>
  <c r="G3817" i="6"/>
  <c r="F3817" i="6"/>
  <c r="D3817" i="6"/>
  <c r="U3817" i="6" s="1"/>
  <c r="C3817" i="6"/>
  <c r="B3817" i="6"/>
  <c r="E3817" i="6" s="1"/>
  <c r="Q3816" i="6"/>
  <c r="P3816" i="6"/>
  <c r="N3816" i="6"/>
  <c r="M3816" i="6"/>
  <c r="L3816" i="6"/>
  <c r="K3816" i="6"/>
  <c r="J3816" i="6"/>
  <c r="I3816" i="6"/>
  <c r="H3816" i="6"/>
  <c r="G3816" i="6"/>
  <c r="F3816" i="6"/>
  <c r="D3816" i="6"/>
  <c r="U3816" i="6" s="1"/>
  <c r="C3816" i="6"/>
  <c r="B3816" i="6"/>
  <c r="E3816" i="6" s="1"/>
  <c r="Q3815" i="6"/>
  <c r="N3815" i="6"/>
  <c r="M3815" i="6"/>
  <c r="L3815" i="6"/>
  <c r="K3815" i="6"/>
  <c r="J3815" i="6"/>
  <c r="I3815" i="6"/>
  <c r="P3815" i="6" s="1"/>
  <c r="H3815" i="6"/>
  <c r="G3815" i="6"/>
  <c r="F3815" i="6"/>
  <c r="D3815" i="6"/>
  <c r="U3815" i="6" s="1"/>
  <c r="C3815" i="6"/>
  <c r="B3815" i="6"/>
  <c r="E3815" i="6" s="1"/>
  <c r="Q3814" i="6"/>
  <c r="P3814" i="6"/>
  <c r="N3814" i="6"/>
  <c r="M3814" i="6"/>
  <c r="L3814" i="6"/>
  <c r="K3814" i="6"/>
  <c r="J3814" i="6"/>
  <c r="I3814" i="6"/>
  <c r="H3814" i="6"/>
  <c r="G3814" i="6"/>
  <c r="F3814" i="6"/>
  <c r="D3814" i="6"/>
  <c r="U3814" i="6" s="1"/>
  <c r="C3814" i="6"/>
  <c r="B3814" i="6"/>
  <c r="E3814" i="6" s="1"/>
  <c r="Q3813" i="6"/>
  <c r="N3813" i="6"/>
  <c r="M3813" i="6"/>
  <c r="L3813" i="6"/>
  <c r="K3813" i="6"/>
  <c r="J3813" i="6"/>
  <c r="I3813" i="6"/>
  <c r="P3813" i="6" s="1"/>
  <c r="H3813" i="6"/>
  <c r="G3813" i="6"/>
  <c r="F3813" i="6"/>
  <c r="D3813" i="6"/>
  <c r="U3813" i="6" s="1"/>
  <c r="C3813" i="6"/>
  <c r="B3813" i="6"/>
  <c r="E3813" i="6" s="1"/>
  <c r="Q3812" i="6"/>
  <c r="P3812" i="6"/>
  <c r="N3812" i="6"/>
  <c r="M3812" i="6"/>
  <c r="L3812" i="6"/>
  <c r="K3812" i="6"/>
  <c r="J3812" i="6"/>
  <c r="I3812" i="6"/>
  <c r="H3812" i="6"/>
  <c r="G3812" i="6"/>
  <c r="F3812" i="6"/>
  <c r="D3812" i="6"/>
  <c r="U3812" i="6" s="1"/>
  <c r="C3812" i="6"/>
  <c r="B3812" i="6"/>
  <c r="E3812" i="6" s="1"/>
  <c r="Q3811" i="6"/>
  <c r="N3811" i="6"/>
  <c r="M3811" i="6"/>
  <c r="L3811" i="6"/>
  <c r="K3811" i="6"/>
  <c r="J3811" i="6"/>
  <c r="I3811" i="6"/>
  <c r="P3811" i="6" s="1"/>
  <c r="H3811" i="6"/>
  <c r="G3811" i="6"/>
  <c r="F3811" i="6"/>
  <c r="D3811" i="6"/>
  <c r="U3811" i="6" s="1"/>
  <c r="C3811" i="6"/>
  <c r="B3811" i="6"/>
  <c r="E3811" i="6" s="1"/>
  <c r="Q3810" i="6"/>
  <c r="P3810" i="6"/>
  <c r="N3810" i="6"/>
  <c r="M3810" i="6"/>
  <c r="L3810" i="6"/>
  <c r="K3810" i="6"/>
  <c r="J3810" i="6"/>
  <c r="I3810" i="6"/>
  <c r="H3810" i="6"/>
  <c r="G3810" i="6"/>
  <c r="F3810" i="6"/>
  <c r="D3810" i="6"/>
  <c r="U3810" i="6" s="1"/>
  <c r="C3810" i="6"/>
  <c r="B3810" i="6"/>
  <c r="E3810" i="6" s="1"/>
  <c r="Q3809" i="6"/>
  <c r="N3809" i="6"/>
  <c r="M3809" i="6"/>
  <c r="L3809" i="6"/>
  <c r="K3809" i="6"/>
  <c r="J3809" i="6"/>
  <c r="I3809" i="6"/>
  <c r="P3809" i="6" s="1"/>
  <c r="H3809" i="6"/>
  <c r="G3809" i="6"/>
  <c r="F3809" i="6"/>
  <c r="D3809" i="6"/>
  <c r="U3809" i="6" s="1"/>
  <c r="C3809" i="6"/>
  <c r="B3809" i="6"/>
  <c r="E3809" i="6" s="1"/>
  <c r="Q3808" i="6"/>
  <c r="P3808" i="6"/>
  <c r="N3808" i="6"/>
  <c r="M3808" i="6"/>
  <c r="L3808" i="6"/>
  <c r="K3808" i="6"/>
  <c r="J3808" i="6"/>
  <c r="I3808" i="6"/>
  <c r="H3808" i="6"/>
  <c r="G3808" i="6"/>
  <c r="F3808" i="6"/>
  <c r="D3808" i="6"/>
  <c r="U3808" i="6" s="1"/>
  <c r="C3808" i="6"/>
  <c r="B3808" i="6"/>
  <c r="E3808" i="6" s="1"/>
  <c r="Q3807" i="6"/>
  <c r="N3807" i="6"/>
  <c r="M3807" i="6"/>
  <c r="L3807" i="6"/>
  <c r="K3807" i="6"/>
  <c r="J3807" i="6"/>
  <c r="I3807" i="6"/>
  <c r="P3807" i="6" s="1"/>
  <c r="H3807" i="6"/>
  <c r="G3807" i="6"/>
  <c r="F3807" i="6"/>
  <c r="D3807" i="6"/>
  <c r="U3807" i="6" s="1"/>
  <c r="C3807" i="6"/>
  <c r="B3807" i="6"/>
  <c r="E3807" i="6" s="1"/>
  <c r="Q3806" i="6"/>
  <c r="P3806" i="6"/>
  <c r="N3806" i="6"/>
  <c r="M3806" i="6"/>
  <c r="L3806" i="6"/>
  <c r="K3806" i="6"/>
  <c r="J3806" i="6"/>
  <c r="I3806" i="6"/>
  <c r="H3806" i="6"/>
  <c r="G3806" i="6"/>
  <c r="F3806" i="6"/>
  <c r="D3806" i="6"/>
  <c r="U3806" i="6" s="1"/>
  <c r="C3806" i="6"/>
  <c r="B3806" i="6"/>
  <c r="E3806" i="6" s="1"/>
  <c r="Q3805" i="6"/>
  <c r="N3805" i="6"/>
  <c r="M3805" i="6"/>
  <c r="L3805" i="6"/>
  <c r="K3805" i="6"/>
  <c r="J3805" i="6"/>
  <c r="I3805" i="6"/>
  <c r="P3805" i="6" s="1"/>
  <c r="H3805" i="6"/>
  <c r="G3805" i="6"/>
  <c r="F3805" i="6"/>
  <c r="D3805" i="6"/>
  <c r="U3805" i="6" s="1"/>
  <c r="C3805" i="6"/>
  <c r="B3805" i="6"/>
  <c r="E3805" i="6" s="1"/>
  <c r="Q3804" i="6"/>
  <c r="P3804" i="6"/>
  <c r="N3804" i="6"/>
  <c r="M3804" i="6"/>
  <c r="L3804" i="6"/>
  <c r="K3804" i="6"/>
  <c r="J3804" i="6"/>
  <c r="I3804" i="6"/>
  <c r="H3804" i="6"/>
  <c r="G3804" i="6"/>
  <c r="F3804" i="6"/>
  <c r="D3804" i="6"/>
  <c r="U3804" i="6" s="1"/>
  <c r="C3804" i="6"/>
  <c r="B3804" i="6"/>
  <c r="E3804" i="6" s="1"/>
  <c r="Q3803" i="6"/>
  <c r="N3803" i="6"/>
  <c r="M3803" i="6"/>
  <c r="L3803" i="6"/>
  <c r="K3803" i="6"/>
  <c r="J3803" i="6"/>
  <c r="I3803" i="6"/>
  <c r="P3803" i="6" s="1"/>
  <c r="H3803" i="6"/>
  <c r="G3803" i="6"/>
  <c r="F3803" i="6"/>
  <c r="D3803" i="6"/>
  <c r="U3803" i="6" s="1"/>
  <c r="C3803" i="6"/>
  <c r="B3803" i="6"/>
  <c r="E3803" i="6" s="1"/>
  <c r="Q3802" i="6"/>
  <c r="P3802" i="6"/>
  <c r="N3802" i="6"/>
  <c r="M3802" i="6"/>
  <c r="L3802" i="6"/>
  <c r="K3802" i="6"/>
  <c r="J3802" i="6"/>
  <c r="I3802" i="6"/>
  <c r="H3802" i="6"/>
  <c r="G3802" i="6"/>
  <c r="F3802" i="6"/>
  <c r="D3802" i="6"/>
  <c r="U3802" i="6" s="1"/>
  <c r="C3802" i="6"/>
  <c r="B3802" i="6"/>
  <c r="E3802" i="6" s="1"/>
  <c r="Q3801" i="6"/>
  <c r="N3801" i="6"/>
  <c r="M3801" i="6"/>
  <c r="L3801" i="6"/>
  <c r="K3801" i="6"/>
  <c r="J3801" i="6"/>
  <c r="I3801" i="6"/>
  <c r="P3801" i="6" s="1"/>
  <c r="H3801" i="6"/>
  <c r="G3801" i="6"/>
  <c r="F3801" i="6"/>
  <c r="D3801" i="6"/>
  <c r="U3801" i="6" s="1"/>
  <c r="C3801" i="6"/>
  <c r="B3801" i="6"/>
  <c r="E3801" i="6" s="1"/>
  <c r="Q3800" i="6"/>
  <c r="N3800" i="6"/>
  <c r="M3800" i="6"/>
  <c r="L3800" i="6"/>
  <c r="K3800" i="6"/>
  <c r="J3800" i="6"/>
  <c r="I3800" i="6"/>
  <c r="P3800" i="6" s="1"/>
  <c r="H3800" i="6"/>
  <c r="G3800" i="6"/>
  <c r="F3800" i="6"/>
  <c r="D3800" i="6"/>
  <c r="U3800" i="6" s="1"/>
  <c r="C3800" i="6"/>
  <c r="B3800" i="6"/>
  <c r="E3800" i="6" s="1"/>
  <c r="Q3799" i="6"/>
  <c r="P3799" i="6"/>
  <c r="N3799" i="6"/>
  <c r="M3799" i="6"/>
  <c r="L3799" i="6"/>
  <c r="K3799" i="6"/>
  <c r="J3799" i="6"/>
  <c r="I3799" i="6"/>
  <c r="H3799" i="6"/>
  <c r="G3799" i="6"/>
  <c r="F3799" i="6"/>
  <c r="D3799" i="6"/>
  <c r="U3799" i="6" s="1"/>
  <c r="C3799" i="6"/>
  <c r="B3799" i="6"/>
  <c r="E3799" i="6" s="1"/>
  <c r="Q3798" i="6"/>
  <c r="N3798" i="6"/>
  <c r="M3798" i="6"/>
  <c r="L3798" i="6"/>
  <c r="K3798" i="6"/>
  <c r="J3798" i="6"/>
  <c r="I3798" i="6"/>
  <c r="P3798" i="6" s="1"/>
  <c r="H3798" i="6"/>
  <c r="G3798" i="6"/>
  <c r="F3798" i="6"/>
  <c r="D3798" i="6"/>
  <c r="U3798" i="6" s="1"/>
  <c r="C3798" i="6"/>
  <c r="B3798" i="6"/>
  <c r="E3798" i="6" s="1"/>
  <c r="Q3797" i="6"/>
  <c r="P3797" i="6"/>
  <c r="N3797" i="6"/>
  <c r="M3797" i="6"/>
  <c r="L3797" i="6"/>
  <c r="K3797" i="6"/>
  <c r="J3797" i="6"/>
  <c r="I3797" i="6"/>
  <c r="H3797" i="6"/>
  <c r="G3797" i="6"/>
  <c r="F3797" i="6"/>
  <c r="D3797" i="6"/>
  <c r="U3797" i="6" s="1"/>
  <c r="C3797" i="6"/>
  <c r="B3797" i="6"/>
  <c r="Q3796" i="6"/>
  <c r="N3796" i="6"/>
  <c r="M3796" i="6"/>
  <c r="L3796" i="6"/>
  <c r="K3796" i="6"/>
  <c r="J3796" i="6"/>
  <c r="I3796" i="6"/>
  <c r="P3796" i="6" s="1"/>
  <c r="H3796" i="6"/>
  <c r="G3796" i="6"/>
  <c r="F3796" i="6"/>
  <c r="D3796" i="6"/>
  <c r="U3796" i="6" s="1"/>
  <c r="C3796" i="6"/>
  <c r="B3796" i="6"/>
  <c r="Q3795" i="6"/>
  <c r="P3795" i="6"/>
  <c r="N3795" i="6"/>
  <c r="M3795" i="6"/>
  <c r="L3795" i="6"/>
  <c r="K3795" i="6"/>
  <c r="J3795" i="6"/>
  <c r="I3795" i="6"/>
  <c r="H3795" i="6"/>
  <c r="G3795" i="6"/>
  <c r="F3795" i="6"/>
  <c r="D3795" i="6"/>
  <c r="U3795" i="6" s="1"/>
  <c r="C3795" i="6"/>
  <c r="B3795" i="6"/>
  <c r="Q3794" i="6"/>
  <c r="N3794" i="6"/>
  <c r="M3794" i="6"/>
  <c r="L3794" i="6"/>
  <c r="K3794" i="6"/>
  <c r="J3794" i="6"/>
  <c r="I3794" i="6"/>
  <c r="P3794" i="6" s="1"/>
  <c r="H3794" i="6"/>
  <c r="G3794" i="6"/>
  <c r="F3794" i="6"/>
  <c r="D3794" i="6"/>
  <c r="U3794" i="6" s="1"/>
  <c r="C3794" i="6"/>
  <c r="B3794" i="6"/>
  <c r="Q3793" i="6"/>
  <c r="P3793" i="6"/>
  <c r="N3793" i="6"/>
  <c r="M3793" i="6"/>
  <c r="L3793" i="6"/>
  <c r="K3793" i="6"/>
  <c r="J3793" i="6"/>
  <c r="I3793" i="6"/>
  <c r="H3793" i="6"/>
  <c r="G3793" i="6"/>
  <c r="F3793" i="6"/>
  <c r="D3793" i="6"/>
  <c r="U3793" i="6" s="1"/>
  <c r="C3793" i="6"/>
  <c r="B3793" i="6"/>
  <c r="Q3792" i="6"/>
  <c r="N3792" i="6"/>
  <c r="M3792" i="6"/>
  <c r="L3792" i="6"/>
  <c r="K3792" i="6"/>
  <c r="J3792" i="6"/>
  <c r="I3792" i="6"/>
  <c r="P3792" i="6" s="1"/>
  <c r="H3792" i="6"/>
  <c r="G3792" i="6"/>
  <c r="F3792" i="6"/>
  <c r="D3792" i="6"/>
  <c r="U3792" i="6" s="1"/>
  <c r="C3792" i="6"/>
  <c r="B3792" i="6"/>
  <c r="Q3791" i="6"/>
  <c r="P3791" i="6"/>
  <c r="N3791" i="6"/>
  <c r="M3791" i="6"/>
  <c r="L3791" i="6"/>
  <c r="K3791" i="6"/>
  <c r="J3791" i="6"/>
  <c r="I3791" i="6"/>
  <c r="H3791" i="6"/>
  <c r="G3791" i="6"/>
  <c r="F3791" i="6"/>
  <c r="D3791" i="6"/>
  <c r="U3791" i="6" s="1"/>
  <c r="C3791" i="6"/>
  <c r="B3791" i="6"/>
  <c r="Q3790" i="6"/>
  <c r="N3790" i="6"/>
  <c r="M3790" i="6"/>
  <c r="L3790" i="6"/>
  <c r="K3790" i="6"/>
  <c r="J3790" i="6"/>
  <c r="I3790" i="6"/>
  <c r="P3790" i="6" s="1"/>
  <c r="H3790" i="6"/>
  <c r="G3790" i="6"/>
  <c r="F3790" i="6"/>
  <c r="D3790" i="6"/>
  <c r="U3790" i="6" s="1"/>
  <c r="C3790" i="6"/>
  <c r="B3790" i="6"/>
  <c r="Q3789" i="6"/>
  <c r="P3789" i="6"/>
  <c r="N3789" i="6"/>
  <c r="M3789" i="6"/>
  <c r="L3789" i="6"/>
  <c r="K3789" i="6"/>
  <c r="J3789" i="6"/>
  <c r="I3789" i="6"/>
  <c r="H3789" i="6"/>
  <c r="G3789" i="6"/>
  <c r="F3789" i="6"/>
  <c r="D3789" i="6"/>
  <c r="U3789" i="6" s="1"/>
  <c r="C3789" i="6"/>
  <c r="B3789" i="6"/>
  <c r="Q3788" i="6"/>
  <c r="N3788" i="6"/>
  <c r="M3788" i="6"/>
  <c r="L3788" i="6"/>
  <c r="K3788" i="6"/>
  <c r="J3788" i="6"/>
  <c r="I3788" i="6"/>
  <c r="P3788" i="6" s="1"/>
  <c r="H3788" i="6"/>
  <c r="G3788" i="6"/>
  <c r="F3788" i="6"/>
  <c r="D3788" i="6"/>
  <c r="U3788" i="6" s="1"/>
  <c r="C3788" i="6"/>
  <c r="B3788" i="6"/>
  <c r="Q3787" i="6"/>
  <c r="P3787" i="6"/>
  <c r="N3787" i="6"/>
  <c r="M3787" i="6"/>
  <c r="L3787" i="6"/>
  <c r="K3787" i="6"/>
  <c r="J3787" i="6"/>
  <c r="I3787" i="6"/>
  <c r="H3787" i="6"/>
  <c r="G3787" i="6"/>
  <c r="F3787" i="6"/>
  <c r="D3787" i="6"/>
  <c r="U3787" i="6" s="1"/>
  <c r="C3787" i="6"/>
  <c r="B3787" i="6"/>
  <c r="Q3786" i="6"/>
  <c r="N3786" i="6"/>
  <c r="M3786" i="6"/>
  <c r="L3786" i="6"/>
  <c r="K3786" i="6"/>
  <c r="J3786" i="6"/>
  <c r="I3786" i="6"/>
  <c r="P3786" i="6" s="1"/>
  <c r="H3786" i="6"/>
  <c r="G3786" i="6"/>
  <c r="F3786" i="6"/>
  <c r="D3786" i="6"/>
  <c r="U3786" i="6" s="1"/>
  <c r="C3786" i="6"/>
  <c r="B3786" i="6"/>
  <c r="Q3785" i="6"/>
  <c r="P3785" i="6"/>
  <c r="N3785" i="6"/>
  <c r="M3785" i="6"/>
  <c r="L3785" i="6"/>
  <c r="K3785" i="6"/>
  <c r="J3785" i="6"/>
  <c r="I3785" i="6"/>
  <c r="H3785" i="6"/>
  <c r="G3785" i="6"/>
  <c r="F3785" i="6"/>
  <c r="D3785" i="6"/>
  <c r="U3785" i="6" s="1"/>
  <c r="C3785" i="6"/>
  <c r="B3785" i="6"/>
  <c r="Q3784" i="6"/>
  <c r="N3784" i="6"/>
  <c r="M3784" i="6"/>
  <c r="L3784" i="6"/>
  <c r="K3784" i="6"/>
  <c r="J3784" i="6"/>
  <c r="I3784" i="6"/>
  <c r="P3784" i="6" s="1"/>
  <c r="H3784" i="6"/>
  <c r="G3784" i="6"/>
  <c r="F3784" i="6"/>
  <c r="D3784" i="6"/>
  <c r="U3784" i="6" s="1"/>
  <c r="C3784" i="6"/>
  <c r="B3784" i="6"/>
  <c r="Q3783" i="6"/>
  <c r="P3783" i="6"/>
  <c r="N3783" i="6"/>
  <c r="M3783" i="6"/>
  <c r="L3783" i="6"/>
  <c r="K3783" i="6"/>
  <c r="J3783" i="6"/>
  <c r="I3783" i="6"/>
  <c r="H3783" i="6"/>
  <c r="G3783" i="6"/>
  <c r="F3783" i="6"/>
  <c r="D3783" i="6"/>
  <c r="U3783" i="6" s="1"/>
  <c r="C3783" i="6"/>
  <c r="B3783" i="6"/>
  <c r="Q3782" i="6"/>
  <c r="N3782" i="6"/>
  <c r="M3782" i="6"/>
  <c r="L3782" i="6"/>
  <c r="K3782" i="6"/>
  <c r="J3782" i="6"/>
  <c r="I3782" i="6"/>
  <c r="P3782" i="6" s="1"/>
  <c r="H3782" i="6"/>
  <c r="G3782" i="6"/>
  <c r="F3782" i="6"/>
  <c r="D3782" i="6"/>
  <c r="U3782" i="6" s="1"/>
  <c r="C3782" i="6"/>
  <c r="B3782" i="6"/>
  <c r="Q3781" i="6"/>
  <c r="P3781" i="6"/>
  <c r="N3781" i="6"/>
  <c r="M3781" i="6"/>
  <c r="L3781" i="6"/>
  <c r="K3781" i="6"/>
  <c r="J3781" i="6"/>
  <c r="I3781" i="6"/>
  <c r="H3781" i="6"/>
  <c r="G3781" i="6"/>
  <c r="F3781" i="6"/>
  <c r="D3781" i="6"/>
  <c r="U3781" i="6" s="1"/>
  <c r="C3781" i="6"/>
  <c r="B3781" i="6"/>
  <c r="Q3780" i="6"/>
  <c r="N3780" i="6"/>
  <c r="M3780" i="6"/>
  <c r="L3780" i="6"/>
  <c r="K3780" i="6"/>
  <c r="J3780" i="6"/>
  <c r="I3780" i="6"/>
  <c r="P3780" i="6" s="1"/>
  <c r="H3780" i="6"/>
  <c r="G3780" i="6"/>
  <c r="F3780" i="6"/>
  <c r="D3780" i="6"/>
  <c r="U3780" i="6" s="1"/>
  <c r="C3780" i="6"/>
  <c r="B3780" i="6"/>
  <c r="Q3779" i="6"/>
  <c r="P3779" i="6"/>
  <c r="N3779" i="6"/>
  <c r="M3779" i="6"/>
  <c r="L3779" i="6"/>
  <c r="K3779" i="6"/>
  <c r="J3779" i="6"/>
  <c r="I3779" i="6"/>
  <c r="H3779" i="6"/>
  <c r="G3779" i="6"/>
  <c r="F3779" i="6"/>
  <c r="D3779" i="6"/>
  <c r="U3779" i="6" s="1"/>
  <c r="C3779" i="6"/>
  <c r="B3779" i="6"/>
  <c r="Q3778" i="6"/>
  <c r="N3778" i="6"/>
  <c r="M3778" i="6"/>
  <c r="L3778" i="6"/>
  <c r="K3778" i="6"/>
  <c r="J3778" i="6"/>
  <c r="I3778" i="6"/>
  <c r="P3778" i="6" s="1"/>
  <c r="H3778" i="6"/>
  <c r="G3778" i="6"/>
  <c r="F3778" i="6"/>
  <c r="D3778" i="6"/>
  <c r="U3778" i="6" s="1"/>
  <c r="C3778" i="6"/>
  <c r="B3778" i="6"/>
  <c r="Q3777" i="6"/>
  <c r="P3777" i="6"/>
  <c r="N3777" i="6"/>
  <c r="M3777" i="6"/>
  <c r="L3777" i="6"/>
  <c r="K3777" i="6"/>
  <c r="J3777" i="6"/>
  <c r="I3777" i="6"/>
  <c r="H3777" i="6"/>
  <c r="G3777" i="6"/>
  <c r="F3777" i="6"/>
  <c r="D3777" i="6"/>
  <c r="U3777" i="6" s="1"/>
  <c r="C3777" i="6"/>
  <c r="B3777" i="6"/>
  <c r="Q3776" i="6"/>
  <c r="N3776" i="6"/>
  <c r="M3776" i="6"/>
  <c r="L3776" i="6"/>
  <c r="K3776" i="6"/>
  <c r="J3776" i="6"/>
  <c r="I3776" i="6"/>
  <c r="P3776" i="6" s="1"/>
  <c r="H3776" i="6"/>
  <c r="G3776" i="6"/>
  <c r="F3776" i="6"/>
  <c r="D3776" i="6"/>
  <c r="U3776" i="6" s="1"/>
  <c r="C3776" i="6"/>
  <c r="B3776" i="6"/>
  <c r="Q3775" i="6"/>
  <c r="P3775" i="6"/>
  <c r="N3775" i="6"/>
  <c r="M3775" i="6"/>
  <c r="L3775" i="6"/>
  <c r="K3775" i="6"/>
  <c r="J3775" i="6"/>
  <c r="I3775" i="6"/>
  <c r="H3775" i="6"/>
  <c r="G3775" i="6"/>
  <c r="F3775" i="6"/>
  <c r="D3775" i="6"/>
  <c r="U3775" i="6" s="1"/>
  <c r="C3775" i="6"/>
  <c r="B3775" i="6"/>
  <c r="Q3774" i="6"/>
  <c r="N3774" i="6"/>
  <c r="M3774" i="6"/>
  <c r="L3774" i="6"/>
  <c r="K3774" i="6"/>
  <c r="J3774" i="6"/>
  <c r="I3774" i="6"/>
  <c r="P3774" i="6" s="1"/>
  <c r="H3774" i="6"/>
  <c r="G3774" i="6"/>
  <c r="F3774" i="6"/>
  <c r="D3774" i="6"/>
  <c r="U3774" i="6" s="1"/>
  <c r="C3774" i="6"/>
  <c r="B3774" i="6"/>
  <c r="Q3773" i="6"/>
  <c r="P3773" i="6"/>
  <c r="N3773" i="6"/>
  <c r="M3773" i="6"/>
  <c r="L3773" i="6"/>
  <c r="K3773" i="6"/>
  <c r="J3773" i="6"/>
  <c r="I3773" i="6"/>
  <c r="H3773" i="6"/>
  <c r="G3773" i="6"/>
  <c r="F3773" i="6"/>
  <c r="D3773" i="6"/>
  <c r="U3773" i="6" s="1"/>
  <c r="C3773" i="6"/>
  <c r="B3773" i="6"/>
  <c r="Q3772" i="6"/>
  <c r="N3772" i="6"/>
  <c r="M3772" i="6"/>
  <c r="L3772" i="6"/>
  <c r="K3772" i="6"/>
  <c r="J3772" i="6"/>
  <c r="I3772" i="6"/>
  <c r="P3772" i="6" s="1"/>
  <c r="H3772" i="6"/>
  <c r="G3772" i="6"/>
  <c r="F3772" i="6"/>
  <c r="D3772" i="6"/>
  <c r="U3772" i="6" s="1"/>
  <c r="C3772" i="6"/>
  <c r="B3772" i="6"/>
  <c r="Q3771" i="6"/>
  <c r="P3771" i="6"/>
  <c r="N3771" i="6"/>
  <c r="M3771" i="6"/>
  <c r="L3771" i="6"/>
  <c r="K3771" i="6"/>
  <c r="J3771" i="6"/>
  <c r="I3771" i="6"/>
  <c r="H3771" i="6"/>
  <c r="G3771" i="6"/>
  <c r="F3771" i="6"/>
  <c r="D3771" i="6"/>
  <c r="U3771" i="6" s="1"/>
  <c r="C3771" i="6"/>
  <c r="B3771" i="6"/>
  <c r="Q3770" i="6"/>
  <c r="N3770" i="6"/>
  <c r="M3770" i="6"/>
  <c r="L3770" i="6"/>
  <c r="K3770" i="6"/>
  <c r="J3770" i="6"/>
  <c r="I3770" i="6"/>
  <c r="P3770" i="6" s="1"/>
  <c r="H3770" i="6"/>
  <c r="G3770" i="6"/>
  <c r="F3770" i="6"/>
  <c r="D3770" i="6"/>
  <c r="U3770" i="6" s="1"/>
  <c r="C3770" i="6"/>
  <c r="B3770" i="6"/>
  <c r="Q3769" i="6"/>
  <c r="P3769" i="6"/>
  <c r="N3769" i="6"/>
  <c r="M3769" i="6"/>
  <c r="L3769" i="6"/>
  <c r="K3769" i="6"/>
  <c r="J3769" i="6"/>
  <c r="I3769" i="6"/>
  <c r="H3769" i="6"/>
  <c r="G3769" i="6"/>
  <c r="F3769" i="6"/>
  <c r="D3769" i="6"/>
  <c r="U3769" i="6" s="1"/>
  <c r="C3769" i="6"/>
  <c r="B3769" i="6"/>
  <c r="Q3768" i="6"/>
  <c r="N3768" i="6"/>
  <c r="M3768" i="6"/>
  <c r="L3768" i="6"/>
  <c r="K3768" i="6"/>
  <c r="J3768" i="6"/>
  <c r="I3768" i="6"/>
  <c r="P3768" i="6" s="1"/>
  <c r="H3768" i="6"/>
  <c r="G3768" i="6"/>
  <c r="F3768" i="6"/>
  <c r="D3768" i="6"/>
  <c r="U3768" i="6" s="1"/>
  <c r="C3768" i="6"/>
  <c r="B3768" i="6"/>
  <c r="Q3767" i="6"/>
  <c r="P3767" i="6"/>
  <c r="N3767" i="6"/>
  <c r="M3767" i="6"/>
  <c r="L3767" i="6"/>
  <c r="K3767" i="6"/>
  <c r="J3767" i="6"/>
  <c r="I3767" i="6"/>
  <c r="H3767" i="6"/>
  <c r="G3767" i="6"/>
  <c r="F3767" i="6"/>
  <c r="D3767" i="6"/>
  <c r="U3767" i="6" s="1"/>
  <c r="C3767" i="6"/>
  <c r="B3767" i="6"/>
  <c r="Q3766" i="6"/>
  <c r="N3766" i="6"/>
  <c r="M3766" i="6"/>
  <c r="L3766" i="6"/>
  <c r="K3766" i="6"/>
  <c r="J3766" i="6"/>
  <c r="I3766" i="6"/>
  <c r="P3766" i="6" s="1"/>
  <c r="H3766" i="6"/>
  <c r="G3766" i="6"/>
  <c r="F3766" i="6"/>
  <c r="D3766" i="6"/>
  <c r="U3766" i="6" s="1"/>
  <c r="C3766" i="6"/>
  <c r="B3766" i="6"/>
  <c r="Q3765" i="6"/>
  <c r="P3765" i="6"/>
  <c r="N3765" i="6"/>
  <c r="M3765" i="6"/>
  <c r="L3765" i="6"/>
  <c r="K3765" i="6"/>
  <c r="J3765" i="6"/>
  <c r="I3765" i="6"/>
  <c r="H3765" i="6"/>
  <c r="G3765" i="6"/>
  <c r="F3765" i="6"/>
  <c r="D3765" i="6"/>
  <c r="U3765" i="6" s="1"/>
  <c r="C3765" i="6"/>
  <c r="B3765" i="6"/>
  <c r="Q3764" i="6"/>
  <c r="N3764" i="6"/>
  <c r="M3764" i="6"/>
  <c r="L3764" i="6"/>
  <c r="K3764" i="6"/>
  <c r="J3764" i="6"/>
  <c r="I3764" i="6"/>
  <c r="P3764" i="6" s="1"/>
  <c r="H3764" i="6"/>
  <c r="G3764" i="6"/>
  <c r="F3764" i="6"/>
  <c r="D3764" i="6"/>
  <c r="U3764" i="6" s="1"/>
  <c r="C3764" i="6"/>
  <c r="B3764" i="6"/>
  <c r="Q3763" i="6"/>
  <c r="P3763" i="6"/>
  <c r="N3763" i="6"/>
  <c r="M3763" i="6"/>
  <c r="L3763" i="6"/>
  <c r="K3763" i="6"/>
  <c r="J3763" i="6"/>
  <c r="I3763" i="6"/>
  <c r="H3763" i="6"/>
  <c r="G3763" i="6"/>
  <c r="F3763" i="6"/>
  <c r="D3763" i="6"/>
  <c r="U3763" i="6" s="1"/>
  <c r="C3763" i="6"/>
  <c r="B3763" i="6"/>
  <c r="Q3762" i="6"/>
  <c r="N3762" i="6"/>
  <c r="M3762" i="6"/>
  <c r="L3762" i="6"/>
  <c r="K3762" i="6"/>
  <c r="J3762" i="6"/>
  <c r="I3762" i="6"/>
  <c r="P3762" i="6" s="1"/>
  <c r="H3762" i="6"/>
  <c r="G3762" i="6"/>
  <c r="F3762" i="6"/>
  <c r="D3762" i="6"/>
  <c r="U3762" i="6" s="1"/>
  <c r="C3762" i="6"/>
  <c r="B3762" i="6"/>
  <c r="Q3761" i="6"/>
  <c r="P3761" i="6"/>
  <c r="N3761" i="6"/>
  <c r="M3761" i="6"/>
  <c r="L3761" i="6"/>
  <c r="K3761" i="6"/>
  <c r="J3761" i="6"/>
  <c r="I3761" i="6"/>
  <c r="H3761" i="6"/>
  <c r="G3761" i="6"/>
  <c r="F3761" i="6"/>
  <c r="D3761" i="6"/>
  <c r="U3761" i="6" s="1"/>
  <c r="C3761" i="6"/>
  <c r="B3761" i="6"/>
  <c r="Q3760" i="6"/>
  <c r="N3760" i="6"/>
  <c r="M3760" i="6"/>
  <c r="L3760" i="6"/>
  <c r="K3760" i="6"/>
  <c r="J3760" i="6"/>
  <c r="I3760" i="6"/>
  <c r="P3760" i="6" s="1"/>
  <c r="H3760" i="6"/>
  <c r="G3760" i="6"/>
  <c r="F3760" i="6"/>
  <c r="D3760" i="6"/>
  <c r="U3760" i="6" s="1"/>
  <c r="C3760" i="6"/>
  <c r="B3760" i="6"/>
  <c r="Q3759" i="6"/>
  <c r="P3759" i="6"/>
  <c r="N3759" i="6"/>
  <c r="M3759" i="6"/>
  <c r="L3759" i="6"/>
  <c r="K3759" i="6"/>
  <c r="J3759" i="6"/>
  <c r="I3759" i="6"/>
  <c r="H3759" i="6"/>
  <c r="G3759" i="6"/>
  <c r="F3759" i="6"/>
  <c r="D3759" i="6"/>
  <c r="U3759" i="6" s="1"/>
  <c r="C3759" i="6"/>
  <c r="B3759" i="6"/>
  <c r="Q3758" i="6"/>
  <c r="N3758" i="6"/>
  <c r="M3758" i="6"/>
  <c r="L3758" i="6"/>
  <c r="K3758" i="6"/>
  <c r="J3758" i="6"/>
  <c r="I3758" i="6"/>
  <c r="P3758" i="6" s="1"/>
  <c r="H3758" i="6"/>
  <c r="G3758" i="6"/>
  <c r="F3758" i="6"/>
  <c r="D3758" i="6"/>
  <c r="U3758" i="6" s="1"/>
  <c r="C3758" i="6"/>
  <c r="B3758" i="6"/>
  <c r="Q3757" i="6"/>
  <c r="P3757" i="6"/>
  <c r="N3757" i="6"/>
  <c r="M3757" i="6"/>
  <c r="L3757" i="6"/>
  <c r="K3757" i="6"/>
  <c r="J3757" i="6"/>
  <c r="I3757" i="6"/>
  <c r="H3757" i="6"/>
  <c r="G3757" i="6"/>
  <c r="F3757" i="6"/>
  <c r="D3757" i="6"/>
  <c r="U3757" i="6" s="1"/>
  <c r="C3757" i="6"/>
  <c r="B3757" i="6"/>
  <c r="Q3756" i="6"/>
  <c r="N3756" i="6"/>
  <c r="M3756" i="6"/>
  <c r="L3756" i="6"/>
  <c r="K3756" i="6"/>
  <c r="J3756" i="6"/>
  <c r="I3756" i="6"/>
  <c r="P3756" i="6" s="1"/>
  <c r="H3756" i="6"/>
  <c r="G3756" i="6"/>
  <c r="F3756" i="6"/>
  <c r="D3756" i="6"/>
  <c r="U3756" i="6" s="1"/>
  <c r="C3756" i="6"/>
  <c r="B3756" i="6"/>
  <c r="Q3755" i="6"/>
  <c r="P3755" i="6"/>
  <c r="N3755" i="6"/>
  <c r="M3755" i="6"/>
  <c r="L3755" i="6"/>
  <c r="K3755" i="6"/>
  <c r="J3755" i="6"/>
  <c r="I3755" i="6"/>
  <c r="H3755" i="6"/>
  <c r="G3755" i="6"/>
  <c r="F3755" i="6"/>
  <c r="D3755" i="6"/>
  <c r="U3755" i="6" s="1"/>
  <c r="C3755" i="6"/>
  <c r="B3755" i="6"/>
  <c r="Q3754" i="6"/>
  <c r="N3754" i="6"/>
  <c r="M3754" i="6"/>
  <c r="L3754" i="6"/>
  <c r="K3754" i="6"/>
  <c r="J3754" i="6"/>
  <c r="I3754" i="6"/>
  <c r="P3754" i="6" s="1"/>
  <c r="H3754" i="6"/>
  <c r="G3754" i="6"/>
  <c r="F3754" i="6"/>
  <c r="D3754" i="6"/>
  <c r="U3754" i="6" s="1"/>
  <c r="C3754" i="6"/>
  <c r="B3754" i="6"/>
  <c r="Q3753" i="6"/>
  <c r="P3753" i="6"/>
  <c r="N3753" i="6"/>
  <c r="M3753" i="6"/>
  <c r="L3753" i="6"/>
  <c r="K3753" i="6"/>
  <c r="J3753" i="6"/>
  <c r="I3753" i="6"/>
  <c r="H3753" i="6"/>
  <c r="G3753" i="6"/>
  <c r="F3753" i="6"/>
  <c r="D3753" i="6"/>
  <c r="U3753" i="6" s="1"/>
  <c r="C3753" i="6"/>
  <c r="B3753" i="6"/>
  <c r="Q3752" i="6"/>
  <c r="N3752" i="6"/>
  <c r="M3752" i="6"/>
  <c r="L3752" i="6"/>
  <c r="K3752" i="6"/>
  <c r="J3752" i="6"/>
  <c r="I3752" i="6"/>
  <c r="P3752" i="6" s="1"/>
  <c r="H3752" i="6"/>
  <c r="G3752" i="6"/>
  <c r="F3752" i="6"/>
  <c r="D3752" i="6"/>
  <c r="U3752" i="6" s="1"/>
  <c r="C3752" i="6"/>
  <c r="B3752" i="6"/>
  <c r="Q3751" i="6"/>
  <c r="P3751" i="6"/>
  <c r="N3751" i="6"/>
  <c r="M3751" i="6"/>
  <c r="L3751" i="6"/>
  <c r="K3751" i="6"/>
  <c r="J3751" i="6"/>
  <c r="I3751" i="6"/>
  <c r="H3751" i="6"/>
  <c r="G3751" i="6"/>
  <c r="F3751" i="6"/>
  <c r="D3751" i="6"/>
  <c r="U3751" i="6" s="1"/>
  <c r="C3751" i="6"/>
  <c r="B3751" i="6"/>
  <c r="Q3750" i="6"/>
  <c r="N3750" i="6"/>
  <c r="M3750" i="6"/>
  <c r="L3750" i="6"/>
  <c r="K3750" i="6"/>
  <c r="J3750" i="6"/>
  <c r="I3750" i="6"/>
  <c r="P3750" i="6" s="1"/>
  <c r="H3750" i="6"/>
  <c r="G3750" i="6"/>
  <c r="F3750" i="6"/>
  <c r="D3750" i="6"/>
  <c r="U3750" i="6" s="1"/>
  <c r="C3750" i="6"/>
  <c r="B3750" i="6"/>
  <c r="Q3749" i="6"/>
  <c r="P3749" i="6"/>
  <c r="N3749" i="6"/>
  <c r="M3749" i="6"/>
  <c r="L3749" i="6"/>
  <c r="K3749" i="6"/>
  <c r="J3749" i="6"/>
  <c r="I3749" i="6"/>
  <c r="H3749" i="6"/>
  <c r="G3749" i="6"/>
  <c r="F3749" i="6"/>
  <c r="D3749" i="6"/>
  <c r="U3749" i="6" s="1"/>
  <c r="C3749" i="6"/>
  <c r="B3749" i="6"/>
  <c r="Q3748" i="6"/>
  <c r="N3748" i="6"/>
  <c r="M3748" i="6"/>
  <c r="L3748" i="6"/>
  <c r="K3748" i="6"/>
  <c r="J3748" i="6"/>
  <c r="I3748" i="6"/>
  <c r="P3748" i="6" s="1"/>
  <c r="H3748" i="6"/>
  <c r="G3748" i="6"/>
  <c r="F3748" i="6"/>
  <c r="D3748" i="6"/>
  <c r="U3748" i="6" s="1"/>
  <c r="C3748" i="6"/>
  <c r="B3748" i="6"/>
  <c r="Q3747" i="6"/>
  <c r="P3747" i="6"/>
  <c r="N3747" i="6"/>
  <c r="M3747" i="6"/>
  <c r="L3747" i="6"/>
  <c r="K3747" i="6"/>
  <c r="J3747" i="6"/>
  <c r="I3747" i="6"/>
  <c r="H3747" i="6"/>
  <c r="G3747" i="6"/>
  <c r="F3747" i="6"/>
  <c r="D3747" i="6"/>
  <c r="U3747" i="6" s="1"/>
  <c r="C3747" i="6"/>
  <c r="B3747" i="6"/>
  <c r="Q3746" i="6"/>
  <c r="N3746" i="6"/>
  <c r="M3746" i="6"/>
  <c r="L3746" i="6"/>
  <c r="K3746" i="6"/>
  <c r="J3746" i="6"/>
  <c r="I3746" i="6"/>
  <c r="P3746" i="6" s="1"/>
  <c r="H3746" i="6"/>
  <c r="G3746" i="6"/>
  <c r="F3746" i="6"/>
  <c r="D3746" i="6"/>
  <c r="U3746" i="6" s="1"/>
  <c r="C3746" i="6"/>
  <c r="B3746" i="6"/>
  <c r="Q3745" i="6"/>
  <c r="P3745" i="6"/>
  <c r="N3745" i="6"/>
  <c r="M3745" i="6"/>
  <c r="L3745" i="6"/>
  <c r="K3745" i="6"/>
  <c r="J3745" i="6"/>
  <c r="I3745" i="6"/>
  <c r="H3745" i="6"/>
  <c r="G3745" i="6"/>
  <c r="F3745" i="6"/>
  <c r="D3745" i="6"/>
  <c r="U3745" i="6" s="1"/>
  <c r="C3745" i="6"/>
  <c r="B3745" i="6"/>
  <c r="Q3744" i="6"/>
  <c r="N3744" i="6"/>
  <c r="M3744" i="6"/>
  <c r="L3744" i="6"/>
  <c r="K3744" i="6"/>
  <c r="J3744" i="6"/>
  <c r="I3744" i="6"/>
  <c r="P3744" i="6" s="1"/>
  <c r="H3744" i="6"/>
  <c r="G3744" i="6"/>
  <c r="F3744" i="6"/>
  <c r="D3744" i="6"/>
  <c r="U3744" i="6" s="1"/>
  <c r="C3744" i="6"/>
  <c r="B3744" i="6"/>
  <c r="Q3743" i="6"/>
  <c r="P3743" i="6"/>
  <c r="N3743" i="6"/>
  <c r="M3743" i="6"/>
  <c r="L3743" i="6"/>
  <c r="K3743" i="6"/>
  <c r="J3743" i="6"/>
  <c r="I3743" i="6"/>
  <c r="H3743" i="6"/>
  <c r="G3743" i="6"/>
  <c r="F3743" i="6"/>
  <c r="D3743" i="6"/>
  <c r="U3743" i="6" s="1"/>
  <c r="C3743" i="6"/>
  <c r="B3743" i="6"/>
  <c r="Q3742" i="6"/>
  <c r="N3742" i="6"/>
  <c r="M3742" i="6"/>
  <c r="L3742" i="6"/>
  <c r="K3742" i="6"/>
  <c r="J3742" i="6"/>
  <c r="I3742" i="6"/>
  <c r="P3742" i="6" s="1"/>
  <c r="H3742" i="6"/>
  <c r="G3742" i="6"/>
  <c r="F3742" i="6"/>
  <c r="D3742" i="6"/>
  <c r="U3742" i="6" s="1"/>
  <c r="C3742" i="6"/>
  <c r="B3742" i="6"/>
  <c r="Q3741" i="6"/>
  <c r="P3741" i="6"/>
  <c r="N3741" i="6"/>
  <c r="M3741" i="6"/>
  <c r="L3741" i="6"/>
  <c r="K3741" i="6"/>
  <c r="J3741" i="6"/>
  <c r="I3741" i="6"/>
  <c r="H3741" i="6"/>
  <c r="G3741" i="6"/>
  <c r="F3741" i="6"/>
  <c r="D3741" i="6"/>
  <c r="U3741" i="6" s="1"/>
  <c r="C3741" i="6"/>
  <c r="B3741" i="6"/>
  <c r="Q3740" i="6"/>
  <c r="N3740" i="6"/>
  <c r="M3740" i="6"/>
  <c r="L3740" i="6"/>
  <c r="K3740" i="6"/>
  <c r="J3740" i="6"/>
  <c r="I3740" i="6"/>
  <c r="P3740" i="6" s="1"/>
  <c r="H3740" i="6"/>
  <c r="G3740" i="6"/>
  <c r="F3740" i="6"/>
  <c r="D3740" i="6"/>
  <c r="U3740" i="6" s="1"/>
  <c r="C3740" i="6"/>
  <c r="B3740" i="6"/>
  <c r="Q3739" i="6"/>
  <c r="P3739" i="6"/>
  <c r="N3739" i="6"/>
  <c r="M3739" i="6"/>
  <c r="L3739" i="6"/>
  <c r="K3739" i="6"/>
  <c r="J3739" i="6"/>
  <c r="I3739" i="6"/>
  <c r="H3739" i="6"/>
  <c r="G3739" i="6"/>
  <c r="F3739" i="6"/>
  <c r="D3739" i="6"/>
  <c r="U3739" i="6" s="1"/>
  <c r="C3739" i="6"/>
  <c r="B3739" i="6"/>
  <c r="Q3738" i="6"/>
  <c r="N3738" i="6"/>
  <c r="M3738" i="6"/>
  <c r="L3738" i="6"/>
  <c r="K3738" i="6"/>
  <c r="J3738" i="6"/>
  <c r="I3738" i="6"/>
  <c r="P3738" i="6" s="1"/>
  <c r="H3738" i="6"/>
  <c r="G3738" i="6"/>
  <c r="F3738" i="6"/>
  <c r="D3738" i="6"/>
  <c r="U3738" i="6" s="1"/>
  <c r="C3738" i="6"/>
  <c r="B3738" i="6"/>
  <c r="Q3737" i="6"/>
  <c r="P3737" i="6"/>
  <c r="N3737" i="6"/>
  <c r="M3737" i="6"/>
  <c r="L3737" i="6"/>
  <c r="K3737" i="6"/>
  <c r="J3737" i="6"/>
  <c r="I3737" i="6"/>
  <c r="H3737" i="6"/>
  <c r="G3737" i="6"/>
  <c r="F3737" i="6"/>
  <c r="D3737" i="6"/>
  <c r="U3737" i="6" s="1"/>
  <c r="C3737" i="6"/>
  <c r="B3737" i="6"/>
  <c r="Q3736" i="6"/>
  <c r="N3736" i="6"/>
  <c r="M3736" i="6"/>
  <c r="L3736" i="6"/>
  <c r="K3736" i="6"/>
  <c r="J3736" i="6"/>
  <c r="I3736" i="6"/>
  <c r="P3736" i="6" s="1"/>
  <c r="H3736" i="6"/>
  <c r="G3736" i="6"/>
  <c r="F3736" i="6"/>
  <c r="D3736" i="6"/>
  <c r="U3736" i="6" s="1"/>
  <c r="C3736" i="6"/>
  <c r="B3736" i="6"/>
  <c r="Q3735" i="6"/>
  <c r="P3735" i="6"/>
  <c r="N3735" i="6"/>
  <c r="M3735" i="6"/>
  <c r="L3735" i="6"/>
  <c r="K3735" i="6"/>
  <c r="J3735" i="6"/>
  <c r="I3735" i="6"/>
  <c r="H3735" i="6"/>
  <c r="G3735" i="6"/>
  <c r="F3735" i="6"/>
  <c r="D3735" i="6"/>
  <c r="U3735" i="6" s="1"/>
  <c r="C3735" i="6"/>
  <c r="B3735" i="6"/>
  <c r="Q3734" i="6"/>
  <c r="N3734" i="6"/>
  <c r="M3734" i="6"/>
  <c r="L3734" i="6"/>
  <c r="K3734" i="6"/>
  <c r="J3734" i="6"/>
  <c r="I3734" i="6"/>
  <c r="P3734" i="6" s="1"/>
  <c r="H3734" i="6"/>
  <c r="G3734" i="6"/>
  <c r="F3734" i="6"/>
  <c r="D3734" i="6"/>
  <c r="U3734" i="6" s="1"/>
  <c r="C3734" i="6"/>
  <c r="B3734" i="6"/>
  <c r="Q3733" i="6"/>
  <c r="P3733" i="6"/>
  <c r="N3733" i="6"/>
  <c r="M3733" i="6"/>
  <c r="L3733" i="6"/>
  <c r="K3733" i="6"/>
  <c r="J3733" i="6"/>
  <c r="I3733" i="6"/>
  <c r="H3733" i="6"/>
  <c r="G3733" i="6"/>
  <c r="F3733" i="6"/>
  <c r="D3733" i="6"/>
  <c r="U3733" i="6" s="1"/>
  <c r="C3733" i="6"/>
  <c r="B3733" i="6"/>
  <c r="Q3732" i="6"/>
  <c r="N3732" i="6"/>
  <c r="M3732" i="6"/>
  <c r="L3732" i="6"/>
  <c r="K3732" i="6"/>
  <c r="J3732" i="6"/>
  <c r="I3732" i="6"/>
  <c r="P3732" i="6" s="1"/>
  <c r="H3732" i="6"/>
  <c r="G3732" i="6"/>
  <c r="F3732" i="6"/>
  <c r="D3732" i="6"/>
  <c r="U3732" i="6" s="1"/>
  <c r="C3732" i="6"/>
  <c r="B3732" i="6"/>
  <c r="Q3731" i="6"/>
  <c r="P3731" i="6"/>
  <c r="N3731" i="6"/>
  <c r="M3731" i="6"/>
  <c r="L3731" i="6"/>
  <c r="K3731" i="6"/>
  <c r="J3731" i="6"/>
  <c r="I3731" i="6"/>
  <c r="H3731" i="6"/>
  <c r="G3731" i="6"/>
  <c r="F3731" i="6"/>
  <c r="D3731" i="6"/>
  <c r="U3731" i="6" s="1"/>
  <c r="C3731" i="6"/>
  <c r="B3731" i="6"/>
  <c r="Q3730" i="6"/>
  <c r="N3730" i="6"/>
  <c r="M3730" i="6"/>
  <c r="L3730" i="6"/>
  <c r="K3730" i="6"/>
  <c r="J3730" i="6"/>
  <c r="I3730" i="6"/>
  <c r="P3730" i="6" s="1"/>
  <c r="H3730" i="6"/>
  <c r="G3730" i="6"/>
  <c r="F3730" i="6"/>
  <c r="D3730" i="6"/>
  <c r="U3730" i="6" s="1"/>
  <c r="C3730" i="6"/>
  <c r="B3730" i="6"/>
  <c r="Q3729" i="6"/>
  <c r="P3729" i="6"/>
  <c r="N3729" i="6"/>
  <c r="M3729" i="6"/>
  <c r="L3729" i="6"/>
  <c r="K3729" i="6"/>
  <c r="J3729" i="6"/>
  <c r="I3729" i="6"/>
  <c r="H3729" i="6"/>
  <c r="G3729" i="6"/>
  <c r="F3729" i="6"/>
  <c r="D3729" i="6"/>
  <c r="U3729" i="6" s="1"/>
  <c r="C3729" i="6"/>
  <c r="B3729" i="6"/>
  <c r="Q3728" i="6"/>
  <c r="N3728" i="6"/>
  <c r="M3728" i="6"/>
  <c r="L3728" i="6"/>
  <c r="K3728" i="6"/>
  <c r="J3728" i="6"/>
  <c r="I3728" i="6"/>
  <c r="P3728" i="6" s="1"/>
  <c r="H3728" i="6"/>
  <c r="G3728" i="6"/>
  <c r="F3728" i="6"/>
  <c r="D3728" i="6"/>
  <c r="U3728" i="6" s="1"/>
  <c r="C3728" i="6"/>
  <c r="B3728" i="6"/>
  <c r="Q3727" i="6"/>
  <c r="P3727" i="6"/>
  <c r="N3727" i="6"/>
  <c r="M3727" i="6"/>
  <c r="L3727" i="6"/>
  <c r="K3727" i="6"/>
  <c r="J3727" i="6"/>
  <c r="I3727" i="6"/>
  <c r="H3727" i="6"/>
  <c r="G3727" i="6"/>
  <c r="F3727" i="6"/>
  <c r="D3727" i="6"/>
  <c r="U3727" i="6" s="1"/>
  <c r="C3727" i="6"/>
  <c r="B3727" i="6"/>
  <c r="Q3726" i="6"/>
  <c r="N3726" i="6"/>
  <c r="M3726" i="6"/>
  <c r="L3726" i="6"/>
  <c r="K3726" i="6"/>
  <c r="J3726" i="6"/>
  <c r="I3726" i="6"/>
  <c r="P3726" i="6" s="1"/>
  <c r="H3726" i="6"/>
  <c r="G3726" i="6"/>
  <c r="F3726" i="6"/>
  <c r="D3726" i="6"/>
  <c r="U3726" i="6" s="1"/>
  <c r="C3726" i="6"/>
  <c r="B3726" i="6"/>
  <c r="Q3725" i="6"/>
  <c r="P3725" i="6"/>
  <c r="N3725" i="6"/>
  <c r="M3725" i="6"/>
  <c r="L3725" i="6"/>
  <c r="K3725" i="6"/>
  <c r="J3725" i="6"/>
  <c r="I3725" i="6"/>
  <c r="H3725" i="6"/>
  <c r="G3725" i="6"/>
  <c r="F3725" i="6"/>
  <c r="D3725" i="6"/>
  <c r="U3725" i="6" s="1"/>
  <c r="C3725" i="6"/>
  <c r="B3725" i="6"/>
  <c r="Q3724" i="6"/>
  <c r="N3724" i="6"/>
  <c r="M3724" i="6"/>
  <c r="L3724" i="6"/>
  <c r="K3724" i="6"/>
  <c r="J3724" i="6"/>
  <c r="I3724" i="6"/>
  <c r="P3724" i="6" s="1"/>
  <c r="H3724" i="6"/>
  <c r="G3724" i="6"/>
  <c r="F3724" i="6"/>
  <c r="D3724" i="6"/>
  <c r="U3724" i="6" s="1"/>
  <c r="C3724" i="6"/>
  <c r="B3724" i="6"/>
  <c r="Q3723" i="6"/>
  <c r="P3723" i="6"/>
  <c r="N3723" i="6"/>
  <c r="M3723" i="6"/>
  <c r="L3723" i="6"/>
  <c r="K3723" i="6"/>
  <c r="J3723" i="6"/>
  <c r="I3723" i="6"/>
  <c r="H3723" i="6"/>
  <c r="G3723" i="6"/>
  <c r="F3723" i="6"/>
  <c r="D3723" i="6"/>
  <c r="U3723" i="6" s="1"/>
  <c r="C3723" i="6"/>
  <c r="B3723" i="6"/>
  <c r="Q3722" i="6"/>
  <c r="N3722" i="6"/>
  <c r="M3722" i="6"/>
  <c r="L3722" i="6"/>
  <c r="K3722" i="6"/>
  <c r="J3722" i="6"/>
  <c r="I3722" i="6"/>
  <c r="P3722" i="6" s="1"/>
  <c r="H3722" i="6"/>
  <c r="G3722" i="6"/>
  <c r="F3722" i="6"/>
  <c r="D3722" i="6"/>
  <c r="U3722" i="6" s="1"/>
  <c r="C3722" i="6"/>
  <c r="B3722" i="6"/>
  <c r="Q3721" i="6"/>
  <c r="P3721" i="6"/>
  <c r="N3721" i="6"/>
  <c r="M3721" i="6"/>
  <c r="L3721" i="6"/>
  <c r="K3721" i="6"/>
  <c r="J3721" i="6"/>
  <c r="I3721" i="6"/>
  <c r="H3721" i="6"/>
  <c r="G3721" i="6"/>
  <c r="F3721" i="6"/>
  <c r="D3721" i="6"/>
  <c r="U3721" i="6" s="1"/>
  <c r="C3721" i="6"/>
  <c r="B3721" i="6"/>
  <c r="Q3720" i="6"/>
  <c r="N3720" i="6"/>
  <c r="M3720" i="6"/>
  <c r="L3720" i="6"/>
  <c r="K3720" i="6"/>
  <c r="J3720" i="6"/>
  <c r="I3720" i="6"/>
  <c r="P3720" i="6" s="1"/>
  <c r="H3720" i="6"/>
  <c r="G3720" i="6"/>
  <c r="F3720" i="6"/>
  <c r="D3720" i="6"/>
  <c r="U3720" i="6" s="1"/>
  <c r="C3720" i="6"/>
  <c r="B3720" i="6"/>
  <c r="Q3719" i="6"/>
  <c r="P3719" i="6"/>
  <c r="N3719" i="6"/>
  <c r="M3719" i="6"/>
  <c r="L3719" i="6"/>
  <c r="K3719" i="6"/>
  <c r="J3719" i="6"/>
  <c r="I3719" i="6"/>
  <c r="H3719" i="6"/>
  <c r="G3719" i="6"/>
  <c r="F3719" i="6"/>
  <c r="D3719" i="6"/>
  <c r="U3719" i="6" s="1"/>
  <c r="C3719" i="6"/>
  <c r="B3719" i="6"/>
  <c r="Q3718" i="6"/>
  <c r="N3718" i="6"/>
  <c r="M3718" i="6"/>
  <c r="L3718" i="6"/>
  <c r="K3718" i="6"/>
  <c r="J3718" i="6"/>
  <c r="I3718" i="6"/>
  <c r="P3718" i="6" s="1"/>
  <c r="H3718" i="6"/>
  <c r="G3718" i="6"/>
  <c r="F3718" i="6"/>
  <c r="D3718" i="6"/>
  <c r="U3718" i="6" s="1"/>
  <c r="C3718" i="6"/>
  <c r="B3718" i="6"/>
  <c r="Q3717" i="6"/>
  <c r="P3717" i="6"/>
  <c r="N3717" i="6"/>
  <c r="M3717" i="6"/>
  <c r="L3717" i="6"/>
  <c r="K3717" i="6"/>
  <c r="J3717" i="6"/>
  <c r="I3717" i="6"/>
  <c r="H3717" i="6"/>
  <c r="G3717" i="6"/>
  <c r="F3717" i="6"/>
  <c r="D3717" i="6"/>
  <c r="U3717" i="6" s="1"/>
  <c r="C3717" i="6"/>
  <c r="B3717" i="6"/>
  <c r="Q3716" i="6"/>
  <c r="N3716" i="6"/>
  <c r="M3716" i="6"/>
  <c r="L3716" i="6"/>
  <c r="K3716" i="6"/>
  <c r="J3716" i="6"/>
  <c r="I3716" i="6"/>
  <c r="P3716" i="6" s="1"/>
  <c r="H3716" i="6"/>
  <c r="G3716" i="6"/>
  <c r="F3716" i="6"/>
  <c r="D3716" i="6"/>
  <c r="U3716" i="6" s="1"/>
  <c r="C3716" i="6"/>
  <c r="B3716" i="6"/>
  <c r="Q3715" i="6"/>
  <c r="P3715" i="6"/>
  <c r="N3715" i="6"/>
  <c r="M3715" i="6"/>
  <c r="L3715" i="6"/>
  <c r="K3715" i="6"/>
  <c r="J3715" i="6"/>
  <c r="I3715" i="6"/>
  <c r="H3715" i="6"/>
  <c r="G3715" i="6"/>
  <c r="F3715" i="6"/>
  <c r="D3715" i="6"/>
  <c r="U3715" i="6" s="1"/>
  <c r="C3715" i="6"/>
  <c r="B3715" i="6"/>
  <c r="Q3714" i="6"/>
  <c r="N3714" i="6"/>
  <c r="M3714" i="6"/>
  <c r="L3714" i="6"/>
  <c r="K3714" i="6"/>
  <c r="J3714" i="6"/>
  <c r="I3714" i="6"/>
  <c r="P3714" i="6" s="1"/>
  <c r="H3714" i="6"/>
  <c r="G3714" i="6"/>
  <c r="F3714" i="6"/>
  <c r="D3714" i="6"/>
  <c r="U3714" i="6" s="1"/>
  <c r="C3714" i="6"/>
  <c r="B3714" i="6"/>
  <c r="Q3713" i="6"/>
  <c r="P3713" i="6"/>
  <c r="N3713" i="6"/>
  <c r="M3713" i="6"/>
  <c r="L3713" i="6"/>
  <c r="K3713" i="6"/>
  <c r="J3713" i="6"/>
  <c r="I3713" i="6"/>
  <c r="H3713" i="6"/>
  <c r="G3713" i="6"/>
  <c r="F3713" i="6"/>
  <c r="D3713" i="6"/>
  <c r="U3713" i="6" s="1"/>
  <c r="C3713" i="6"/>
  <c r="B3713" i="6"/>
  <c r="Q3712" i="6"/>
  <c r="N3712" i="6"/>
  <c r="M3712" i="6"/>
  <c r="L3712" i="6"/>
  <c r="K3712" i="6"/>
  <c r="J3712" i="6"/>
  <c r="I3712" i="6"/>
  <c r="P3712" i="6" s="1"/>
  <c r="H3712" i="6"/>
  <c r="G3712" i="6"/>
  <c r="F3712" i="6"/>
  <c r="D3712" i="6"/>
  <c r="U3712" i="6" s="1"/>
  <c r="C3712" i="6"/>
  <c r="B3712" i="6"/>
  <c r="Q3711" i="6"/>
  <c r="P3711" i="6"/>
  <c r="N3711" i="6"/>
  <c r="M3711" i="6"/>
  <c r="L3711" i="6"/>
  <c r="K3711" i="6"/>
  <c r="J3711" i="6"/>
  <c r="I3711" i="6"/>
  <c r="H3711" i="6"/>
  <c r="G3711" i="6"/>
  <c r="F3711" i="6"/>
  <c r="D3711" i="6"/>
  <c r="U3711" i="6" s="1"/>
  <c r="C3711" i="6"/>
  <c r="B3711" i="6"/>
  <c r="Q3710" i="6"/>
  <c r="N3710" i="6"/>
  <c r="M3710" i="6"/>
  <c r="L3710" i="6"/>
  <c r="K3710" i="6"/>
  <c r="J3710" i="6"/>
  <c r="I3710" i="6"/>
  <c r="P3710" i="6" s="1"/>
  <c r="H3710" i="6"/>
  <c r="G3710" i="6"/>
  <c r="F3710" i="6"/>
  <c r="D3710" i="6"/>
  <c r="U3710" i="6" s="1"/>
  <c r="C3710" i="6"/>
  <c r="B3710" i="6"/>
  <c r="Q3709" i="6"/>
  <c r="P3709" i="6"/>
  <c r="N3709" i="6"/>
  <c r="M3709" i="6"/>
  <c r="L3709" i="6"/>
  <c r="K3709" i="6"/>
  <c r="J3709" i="6"/>
  <c r="I3709" i="6"/>
  <c r="H3709" i="6"/>
  <c r="G3709" i="6"/>
  <c r="F3709" i="6"/>
  <c r="D3709" i="6"/>
  <c r="U3709" i="6" s="1"/>
  <c r="C3709" i="6"/>
  <c r="B3709" i="6"/>
  <c r="Q3708" i="6"/>
  <c r="N3708" i="6"/>
  <c r="M3708" i="6"/>
  <c r="L3708" i="6"/>
  <c r="K3708" i="6"/>
  <c r="J3708" i="6"/>
  <c r="I3708" i="6"/>
  <c r="P3708" i="6" s="1"/>
  <c r="H3708" i="6"/>
  <c r="G3708" i="6"/>
  <c r="F3708" i="6"/>
  <c r="D3708" i="6"/>
  <c r="U3708" i="6" s="1"/>
  <c r="C3708" i="6"/>
  <c r="B3708" i="6"/>
  <c r="Q3707" i="6"/>
  <c r="P3707" i="6"/>
  <c r="N3707" i="6"/>
  <c r="M3707" i="6"/>
  <c r="L3707" i="6"/>
  <c r="K3707" i="6"/>
  <c r="J3707" i="6"/>
  <c r="I3707" i="6"/>
  <c r="H3707" i="6"/>
  <c r="G3707" i="6"/>
  <c r="F3707" i="6"/>
  <c r="D3707" i="6"/>
  <c r="U3707" i="6" s="1"/>
  <c r="C3707" i="6"/>
  <c r="B3707" i="6"/>
  <c r="Q3706" i="6"/>
  <c r="N3706" i="6"/>
  <c r="M3706" i="6"/>
  <c r="L3706" i="6"/>
  <c r="K3706" i="6"/>
  <c r="J3706" i="6"/>
  <c r="I3706" i="6"/>
  <c r="P3706" i="6" s="1"/>
  <c r="H3706" i="6"/>
  <c r="G3706" i="6"/>
  <c r="F3706" i="6"/>
  <c r="D3706" i="6"/>
  <c r="U3706" i="6" s="1"/>
  <c r="C3706" i="6"/>
  <c r="B3706" i="6"/>
  <c r="Q3705" i="6"/>
  <c r="P3705" i="6"/>
  <c r="N3705" i="6"/>
  <c r="M3705" i="6"/>
  <c r="L3705" i="6"/>
  <c r="K3705" i="6"/>
  <c r="J3705" i="6"/>
  <c r="I3705" i="6"/>
  <c r="H3705" i="6"/>
  <c r="G3705" i="6"/>
  <c r="F3705" i="6"/>
  <c r="D3705" i="6"/>
  <c r="U3705" i="6" s="1"/>
  <c r="C3705" i="6"/>
  <c r="B3705" i="6"/>
  <c r="Q3704" i="6"/>
  <c r="N3704" i="6"/>
  <c r="M3704" i="6"/>
  <c r="L3704" i="6"/>
  <c r="K3704" i="6"/>
  <c r="J3704" i="6"/>
  <c r="I3704" i="6"/>
  <c r="P3704" i="6" s="1"/>
  <c r="H3704" i="6"/>
  <c r="G3704" i="6"/>
  <c r="F3704" i="6"/>
  <c r="D3704" i="6"/>
  <c r="U3704" i="6" s="1"/>
  <c r="C3704" i="6"/>
  <c r="B3704" i="6"/>
  <c r="Q3703" i="6"/>
  <c r="P3703" i="6"/>
  <c r="N3703" i="6"/>
  <c r="M3703" i="6"/>
  <c r="L3703" i="6"/>
  <c r="K3703" i="6"/>
  <c r="J3703" i="6"/>
  <c r="I3703" i="6"/>
  <c r="H3703" i="6"/>
  <c r="G3703" i="6"/>
  <c r="F3703" i="6"/>
  <c r="D3703" i="6"/>
  <c r="U3703" i="6" s="1"/>
  <c r="C3703" i="6"/>
  <c r="B3703" i="6"/>
  <c r="Q3702" i="6"/>
  <c r="N3702" i="6"/>
  <c r="M3702" i="6"/>
  <c r="L3702" i="6"/>
  <c r="K3702" i="6"/>
  <c r="J3702" i="6"/>
  <c r="I3702" i="6"/>
  <c r="P3702" i="6" s="1"/>
  <c r="H3702" i="6"/>
  <c r="G3702" i="6"/>
  <c r="F3702" i="6"/>
  <c r="D3702" i="6"/>
  <c r="U3702" i="6" s="1"/>
  <c r="C3702" i="6"/>
  <c r="B3702" i="6"/>
  <c r="Q3701" i="6"/>
  <c r="P3701" i="6"/>
  <c r="N3701" i="6"/>
  <c r="M3701" i="6"/>
  <c r="L3701" i="6"/>
  <c r="K3701" i="6"/>
  <c r="J3701" i="6"/>
  <c r="I3701" i="6"/>
  <c r="H3701" i="6"/>
  <c r="G3701" i="6"/>
  <c r="F3701" i="6"/>
  <c r="D3701" i="6"/>
  <c r="U3701" i="6" s="1"/>
  <c r="C3701" i="6"/>
  <c r="B3701" i="6"/>
  <c r="Q3700" i="6"/>
  <c r="N3700" i="6"/>
  <c r="M3700" i="6"/>
  <c r="L3700" i="6"/>
  <c r="K3700" i="6"/>
  <c r="J3700" i="6"/>
  <c r="I3700" i="6"/>
  <c r="P3700" i="6" s="1"/>
  <c r="H3700" i="6"/>
  <c r="G3700" i="6"/>
  <c r="F3700" i="6"/>
  <c r="D3700" i="6"/>
  <c r="U3700" i="6" s="1"/>
  <c r="C3700" i="6"/>
  <c r="B3700" i="6"/>
  <c r="Q3699" i="6"/>
  <c r="P3699" i="6"/>
  <c r="N3699" i="6"/>
  <c r="M3699" i="6"/>
  <c r="L3699" i="6"/>
  <c r="K3699" i="6"/>
  <c r="J3699" i="6"/>
  <c r="I3699" i="6"/>
  <c r="H3699" i="6"/>
  <c r="G3699" i="6"/>
  <c r="F3699" i="6"/>
  <c r="D3699" i="6"/>
  <c r="U3699" i="6" s="1"/>
  <c r="C3699" i="6"/>
  <c r="B3699" i="6"/>
  <c r="Q3698" i="6"/>
  <c r="N3698" i="6"/>
  <c r="M3698" i="6"/>
  <c r="L3698" i="6"/>
  <c r="K3698" i="6"/>
  <c r="J3698" i="6"/>
  <c r="I3698" i="6"/>
  <c r="P3698" i="6" s="1"/>
  <c r="H3698" i="6"/>
  <c r="G3698" i="6"/>
  <c r="F3698" i="6"/>
  <c r="D3698" i="6"/>
  <c r="U3698" i="6" s="1"/>
  <c r="C3698" i="6"/>
  <c r="B3698" i="6"/>
  <c r="Q3697" i="6"/>
  <c r="P3697" i="6"/>
  <c r="N3697" i="6"/>
  <c r="M3697" i="6"/>
  <c r="L3697" i="6"/>
  <c r="K3697" i="6"/>
  <c r="J3697" i="6"/>
  <c r="I3697" i="6"/>
  <c r="H3697" i="6"/>
  <c r="G3697" i="6"/>
  <c r="F3697" i="6"/>
  <c r="D3697" i="6"/>
  <c r="U3697" i="6" s="1"/>
  <c r="C3697" i="6"/>
  <c r="B3697" i="6"/>
  <c r="Q3696" i="6"/>
  <c r="N3696" i="6"/>
  <c r="M3696" i="6"/>
  <c r="L3696" i="6"/>
  <c r="K3696" i="6"/>
  <c r="J3696" i="6"/>
  <c r="I3696" i="6"/>
  <c r="P3696" i="6" s="1"/>
  <c r="H3696" i="6"/>
  <c r="G3696" i="6"/>
  <c r="F3696" i="6"/>
  <c r="D3696" i="6"/>
  <c r="U3696" i="6" s="1"/>
  <c r="C3696" i="6"/>
  <c r="B3696" i="6"/>
  <c r="Q3695" i="6"/>
  <c r="P3695" i="6"/>
  <c r="N3695" i="6"/>
  <c r="M3695" i="6"/>
  <c r="L3695" i="6"/>
  <c r="K3695" i="6"/>
  <c r="J3695" i="6"/>
  <c r="I3695" i="6"/>
  <c r="H3695" i="6"/>
  <c r="G3695" i="6"/>
  <c r="F3695" i="6"/>
  <c r="D3695" i="6"/>
  <c r="U3695" i="6" s="1"/>
  <c r="C3695" i="6"/>
  <c r="B3695" i="6"/>
  <c r="Q3694" i="6"/>
  <c r="N3694" i="6"/>
  <c r="M3694" i="6"/>
  <c r="L3694" i="6"/>
  <c r="K3694" i="6"/>
  <c r="J3694" i="6"/>
  <c r="I3694" i="6"/>
  <c r="P3694" i="6" s="1"/>
  <c r="H3694" i="6"/>
  <c r="G3694" i="6"/>
  <c r="F3694" i="6"/>
  <c r="D3694" i="6"/>
  <c r="U3694" i="6" s="1"/>
  <c r="C3694" i="6"/>
  <c r="B3694" i="6"/>
  <c r="Q3693" i="6"/>
  <c r="P3693" i="6"/>
  <c r="N3693" i="6"/>
  <c r="M3693" i="6"/>
  <c r="L3693" i="6"/>
  <c r="K3693" i="6"/>
  <c r="J3693" i="6"/>
  <c r="I3693" i="6"/>
  <c r="H3693" i="6"/>
  <c r="G3693" i="6"/>
  <c r="F3693" i="6"/>
  <c r="D3693" i="6"/>
  <c r="U3693" i="6" s="1"/>
  <c r="C3693" i="6"/>
  <c r="B3693" i="6"/>
  <c r="Q3692" i="6"/>
  <c r="N3692" i="6"/>
  <c r="M3692" i="6"/>
  <c r="L3692" i="6"/>
  <c r="K3692" i="6"/>
  <c r="J3692" i="6"/>
  <c r="I3692" i="6"/>
  <c r="P3692" i="6" s="1"/>
  <c r="H3692" i="6"/>
  <c r="G3692" i="6"/>
  <c r="F3692" i="6"/>
  <c r="D3692" i="6"/>
  <c r="U3692" i="6" s="1"/>
  <c r="C3692" i="6"/>
  <c r="B3692" i="6"/>
  <c r="Q3691" i="6"/>
  <c r="P3691" i="6"/>
  <c r="N3691" i="6"/>
  <c r="M3691" i="6"/>
  <c r="L3691" i="6"/>
  <c r="K3691" i="6"/>
  <c r="J3691" i="6"/>
  <c r="I3691" i="6"/>
  <c r="H3691" i="6"/>
  <c r="G3691" i="6"/>
  <c r="F3691" i="6"/>
  <c r="D3691" i="6"/>
  <c r="U3691" i="6" s="1"/>
  <c r="C3691" i="6"/>
  <c r="B3691" i="6"/>
  <c r="Q3690" i="6"/>
  <c r="N3690" i="6"/>
  <c r="M3690" i="6"/>
  <c r="L3690" i="6"/>
  <c r="K3690" i="6"/>
  <c r="J3690" i="6"/>
  <c r="I3690" i="6"/>
  <c r="P3690" i="6" s="1"/>
  <c r="H3690" i="6"/>
  <c r="G3690" i="6"/>
  <c r="F3690" i="6"/>
  <c r="D3690" i="6"/>
  <c r="U3690" i="6" s="1"/>
  <c r="C3690" i="6"/>
  <c r="B3690" i="6"/>
  <c r="Q3689" i="6"/>
  <c r="P3689" i="6"/>
  <c r="N3689" i="6"/>
  <c r="M3689" i="6"/>
  <c r="L3689" i="6"/>
  <c r="K3689" i="6"/>
  <c r="J3689" i="6"/>
  <c r="I3689" i="6"/>
  <c r="H3689" i="6"/>
  <c r="G3689" i="6"/>
  <c r="F3689" i="6"/>
  <c r="D3689" i="6"/>
  <c r="U3689" i="6" s="1"/>
  <c r="C3689" i="6"/>
  <c r="B3689" i="6"/>
  <c r="Q3688" i="6"/>
  <c r="N3688" i="6"/>
  <c r="M3688" i="6"/>
  <c r="L3688" i="6"/>
  <c r="K3688" i="6"/>
  <c r="J3688" i="6"/>
  <c r="I3688" i="6"/>
  <c r="P3688" i="6" s="1"/>
  <c r="H3688" i="6"/>
  <c r="G3688" i="6"/>
  <c r="F3688" i="6"/>
  <c r="D3688" i="6"/>
  <c r="U3688" i="6" s="1"/>
  <c r="C3688" i="6"/>
  <c r="B3688" i="6"/>
  <c r="Q3687" i="6"/>
  <c r="P3687" i="6"/>
  <c r="N3687" i="6"/>
  <c r="M3687" i="6"/>
  <c r="L3687" i="6"/>
  <c r="K3687" i="6"/>
  <c r="J3687" i="6"/>
  <c r="I3687" i="6"/>
  <c r="H3687" i="6"/>
  <c r="G3687" i="6"/>
  <c r="F3687" i="6"/>
  <c r="D3687" i="6"/>
  <c r="U3687" i="6" s="1"/>
  <c r="C3687" i="6"/>
  <c r="B3687" i="6"/>
  <c r="Q3686" i="6"/>
  <c r="N3686" i="6"/>
  <c r="M3686" i="6"/>
  <c r="L3686" i="6"/>
  <c r="K3686" i="6"/>
  <c r="J3686" i="6"/>
  <c r="I3686" i="6"/>
  <c r="P3686" i="6" s="1"/>
  <c r="H3686" i="6"/>
  <c r="G3686" i="6"/>
  <c r="F3686" i="6"/>
  <c r="D3686" i="6"/>
  <c r="U3686" i="6" s="1"/>
  <c r="C3686" i="6"/>
  <c r="B3686" i="6"/>
  <c r="Q3685" i="6"/>
  <c r="P3685" i="6"/>
  <c r="N3685" i="6"/>
  <c r="M3685" i="6"/>
  <c r="L3685" i="6"/>
  <c r="K3685" i="6"/>
  <c r="J3685" i="6"/>
  <c r="I3685" i="6"/>
  <c r="H3685" i="6"/>
  <c r="G3685" i="6"/>
  <c r="F3685" i="6"/>
  <c r="D3685" i="6"/>
  <c r="U3685" i="6" s="1"/>
  <c r="C3685" i="6"/>
  <c r="B3685" i="6"/>
  <c r="Q3684" i="6"/>
  <c r="N3684" i="6"/>
  <c r="M3684" i="6"/>
  <c r="L3684" i="6"/>
  <c r="K3684" i="6"/>
  <c r="J3684" i="6"/>
  <c r="I3684" i="6"/>
  <c r="P3684" i="6" s="1"/>
  <c r="H3684" i="6"/>
  <c r="G3684" i="6"/>
  <c r="F3684" i="6"/>
  <c r="D3684" i="6"/>
  <c r="U3684" i="6" s="1"/>
  <c r="C3684" i="6"/>
  <c r="B3684" i="6"/>
  <c r="Q3683" i="6"/>
  <c r="P3683" i="6"/>
  <c r="N3683" i="6"/>
  <c r="M3683" i="6"/>
  <c r="L3683" i="6"/>
  <c r="K3683" i="6"/>
  <c r="J3683" i="6"/>
  <c r="I3683" i="6"/>
  <c r="H3683" i="6"/>
  <c r="G3683" i="6"/>
  <c r="F3683" i="6"/>
  <c r="D3683" i="6"/>
  <c r="U3683" i="6" s="1"/>
  <c r="C3683" i="6"/>
  <c r="B3683" i="6"/>
  <c r="Q3682" i="6"/>
  <c r="N3682" i="6"/>
  <c r="M3682" i="6"/>
  <c r="L3682" i="6"/>
  <c r="K3682" i="6"/>
  <c r="J3682" i="6"/>
  <c r="I3682" i="6"/>
  <c r="P3682" i="6" s="1"/>
  <c r="H3682" i="6"/>
  <c r="G3682" i="6"/>
  <c r="F3682" i="6"/>
  <c r="D3682" i="6"/>
  <c r="U3682" i="6" s="1"/>
  <c r="C3682" i="6"/>
  <c r="B3682" i="6"/>
  <c r="Q3681" i="6"/>
  <c r="P3681" i="6"/>
  <c r="N3681" i="6"/>
  <c r="M3681" i="6"/>
  <c r="L3681" i="6"/>
  <c r="K3681" i="6"/>
  <c r="J3681" i="6"/>
  <c r="I3681" i="6"/>
  <c r="H3681" i="6"/>
  <c r="G3681" i="6"/>
  <c r="F3681" i="6"/>
  <c r="D3681" i="6"/>
  <c r="U3681" i="6" s="1"/>
  <c r="C3681" i="6"/>
  <c r="B3681" i="6"/>
  <c r="Q3680" i="6"/>
  <c r="N3680" i="6"/>
  <c r="M3680" i="6"/>
  <c r="L3680" i="6"/>
  <c r="K3680" i="6"/>
  <c r="J3680" i="6"/>
  <c r="I3680" i="6"/>
  <c r="P3680" i="6" s="1"/>
  <c r="H3680" i="6"/>
  <c r="G3680" i="6"/>
  <c r="F3680" i="6"/>
  <c r="D3680" i="6"/>
  <c r="U3680" i="6" s="1"/>
  <c r="C3680" i="6"/>
  <c r="B3680" i="6"/>
  <c r="Q3679" i="6"/>
  <c r="P3679" i="6"/>
  <c r="N3679" i="6"/>
  <c r="M3679" i="6"/>
  <c r="L3679" i="6"/>
  <c r="K3679" i="6"/>
  <c r="J3679" i="6"/>
  <c r="I3679" i="6"/>
  <c r="H3679" i="6"/>
  <c r="G3679" i="6"/>
  <c r="F3679" i="6"/>
  <c r="D3679" i="6"/>
  <c r="U3679" i="6" s="1"/>
  <c r="C3679" i="6"/>
  <c r="B3679" i="6"/>
  <c r="Q3678" i="6"/>
  <c r="N3678" i="6"/>
  <c r="M3678" i="6"/>
  <c r="L3678" i="6"/>
  <c r="K3678" i="6"/>
  <c r="J3678" i="6"/>
  <c r="I3678" i="6"/>
  <c r="P3678" i="6" s="1"/>
  <c r="H3678" i="6"/>
  <c r="G3678" i="6"/>
  <c r="F3678" i="6"/>
  <c r="D3678" i="6"/>
  <c r="U3678" i="6" s="1"/>
  <c r="C3678" i="6"/>
  <c r="B3678" i="6"/>
  <c r="Q3677" i="6"/>
  <c r="P3677" i="6"/>
  <c r="N3677" i="6"/>
  <c r="M3677" i="6"/>
  <c r="L3677" i="6"/>
  <c r="K3677" i="6"/>
  <c r="J3677" i="6"/>
  <c r="I3677" i="6"/>
  <c r="H3677" i="6"/>
  <c r="G3677" i="6"/>
  <c r="F3677" i="6"/>
  <c r="D3677" i="6"/>
  <c r="U3677" i="6" s="1"/>
  <c r="C3677" i="6"/>
  <c r="B3677" i="6"/>
  <c r="Q3676" i="6"/>
  <c r="N3676" i="6"/>
  <c r="M3676" i="6"/>
  <c r="L3676" i="6"/>
  <c r="K3676" i="6"/>
  <c r="J3676" i="6"/>
  <c r="I3676" i="6"/>
  <c r="P3676" i="6" s="1"/>
  <c r="H3676" i="6"/>
  <c r="G3676" i="6"/>
  <c r="F3676" i="6"/>
  <c r="D3676" i="6"/>
  <c r="U3676" i="6" s="1"/>
  <c r="C3676" i="6"/>
  <c r="B3676" i="6"/>
  <c r="Q3675" i="6"/>
  <c r="P3675" i="6"/>
  <c r="N3675" i="6"/>
  <c r="M3675" i="6"/>
  <c r="L3675" i="6"/>
  <c r="K3675" i="6"/>
  <c r="J3675" i="6"/>
  <c r="I3675" i="6"/>
  <c r="H3675" i="6"/>
  <c r="G3675" i="6"/>
  <c r="F3675" i="6"/>
  <c r="D3675" i="6"/>
  <c r="U3675" i="6" s="1"/>
  <c r="C3675" i="6"/>
  <c r="B3675" i="6"/>
  <c r="Q3674" i="6"/>
  <c r="N3674" i="6"/>
  <c r="M3674" i="6"/>
  <c r="L3674" i="6"/>
  <c r="K3674" i="6"/>
  <c r="J3674" i="6"/>
  <c r="I3674" i="6"/>
  <c r="P3674" i="6" s="1"/>
  <c r="H3674" i="6"/>
  <c r="G3674" i="6"/>
  <c r="F3674" i="6"/>
  <c r="D3674" i="6"/>
  <c r="U3674" i="6" s="1"/>
  <c r="C3674" i="6"/>
  <c r="B3674" i="6"/>
  <c r="Q3673" i="6"/>
  <c r="P3673" i="6"/>
  <c r="N3673" i="6"/>
  <c r="M3673" i="6"/>
  <c r="L3673" i="6"/>
  <c r="K3673" i="6"/>
  <c r="J3673" i="6"/>
  <c r="I3673" i="6"/>
  <c r="H3673" i="6"/>
  <c r="G3673" i="6"/>
  <c r="F3673" i="6"/>
  <c r="D3673" i="6"/>
  <c r="U3673" i="6" s="1"/>
  <c r="C3673" i="6"/>
  <c r="B3673" i="6"/>
  <c r="Q3672" i="6"/>
  <c r="N3672" i="6"/>
  <c r="M3672" i="6"/>
  <c r="L3672" i="6"/>
  <c r="K3672" i="6"/>
  <c r="J3672" i="6"/>
  <c r="I3672" i="6"/>
  <c r="P3672" i="6" s="1"/>
  <c r="H3672" i="6"/>
  <c r="G3672" i="6"/>
  <c r="F3672" i="6"/>
  <c r="D3672" i="6"/>
  <c r="U3672" i="6" s="1"/>
  <c r="C3672" i="6"/>
  <c r="B3672" i="6"/>
  <c r="Q3671" i="6"/>
  <c r="P3671" i="6"/>
  <c r="N3671" i="6"/>
  <c r="M3671" i="6"/>
  <c r="L3671" i="6"/>
  <c r="K3671" i="6"/>
  <c r="J3671" i="6"/>
  <c r="I3671" i="6"/>
  <c r="H3671" i="6"/>
  <c r="G3671" i="6"/>
  <c r="F3671" i="6"/>
  <c r="D3671" i="6"/>
  <c r="U3671" i="6" s="1"/>
  <c r="C3671" i="6"/>
  <c r="B3671" i="6"/>
  <c r="Q3670" i="6"/>
  <c r="N3670" i="6"/>
  <c r="M3670" i="6"/>
  <c r="L3670" i="6"/>
  <c r="K3670" i="6"/>
  <c r="J3670" i="6"/>
  <c r="I3670" i="6"/>
  <c r="P3670" i="6" s="1"/>
  <c r="H3670" i="6"/>
  <c r="G3670" i="6"/>
  <c r="F3670" i="6"/>
  <c r="D3670" i="6"/>
  <c r="U3670" i="6" s="1"/>
  <c r="C3670" i="6"/>
  <c r="B3670" i="6"/>
  <c r="Q3669" i="6"/>
  <c r="P3669" i="6"/>
  <c r="N3669" i="6"/>
  <c r="M3669" i="6"/>
  <c r="L3669" i="6"/>
  <c r="K3669" i="6"/>
  <c r="J3669" i="6"/>
  <c r="I3669" i="6"/>
  <c r="H3669" i="6"/>
  <c r="G3669" i="6"/>
  <c r="F3669" i="6"/>
  <c r="D3669" i="6"/>
  <c r="U3669" i="6" s="1"/>
  <c r="C3669" i="6"/>
  <c r="B3669" i="6"/>
  <c r="Q3668" i="6"/>
  <c r="N3668" i="6"/>
  <c r="M3668" i="6"/>
  <c r="L3668" i="6"/>
  <c r="K3668" i="6"/>
  <c r="J3668" i="6"/>
  <c r="I3668" i="6"/>
  <c r="P3668" i="6" s="1"/>
  <c r="H3668" i="6"/>
  <c r="G3668" i="6"/>
  <c r="F3668" i="6"/>
  <c r="D3668" i="6"/>
  <c r="U3668" i="6" s="1"/>
  <c r="C3668" i="6"/>
  <c r="B3668" i="6"/>
  <c r="Q3667" i="6"/>
  <c r="P3667" i="6"/>
  <c r="N3667" i="6"/>
  <c r="M3667" i="6"/>
  <c r="L3667" i="6"/>
  <c r="K3667" i="6"/>
  <c r="J3667" i="6"/>
  <c r="I3667" i="6"/>
  <c r="H3667" i="6"/>
  <c r="G3667" i="6"/>
  <c r="F3667" i="6"/>
  <c r="D3667" i="6"/>
  <c r="U3667" i="6" s="1"/>
  <c r="C3667" i="6"/>
  <c r="B3667" i="6"/>
  <c r="Q3666" i="6"/>
  <c r="N3666" i="6"/>
  <c r="M3666" i="6"/>
  <c r="L3666" i="6"/>
  <c r="K3666" i="6"/>
  <c r="J3666" i="6"/>
  <c r="I3666" i="6"/>
  <c r="P3666" i="6" s="1"/>
  <c r="H3666" i="6"/>
  <c r="G3666" i="6"/>
  <c r="F3666" i="6"/>
  <c r="D3666" i="6"/>
  <c r="U3666" i="6" s="1"/>
  <c r="C3666" i="6"/>
  <c r="B3666" i="6"/>
  <c r="Q3665" i="6"/>
  <c r="P3665" i="6"/>
  <c r="N3665" i="6"/>
  <c r="M3665" i="6"/>
  <c r="L3665" i="6"/>
  <c r="K3665" i="6"/>
  <c r="J3665" i="6"/>
  <c r="I3665" i="6"/>
  <c r="H3665" i="6"/>
  <c r="G3665" i="6"/>
  <c r="F3665" i="6"/>
  <c r="D3665" i="6"/>
  <c r="U3665" i="6" s="1"/>
  <c r="C3665" i="6"/>
  <c r="B3665" i="6"/>
  <c r="Q3664" i="6"/>
  <c r="N3664" i="6"/>
  <c r="M3664" i="6"/>
  <c r="L3664" i="6"/>
  <c r="K3664" i="6"/>
  <c r="J3664" i="6"/>
  <c r="I3664" i="6"/>
  <c r="P3664" i="6" s="1"/>
  <c r="H3664" i="6"/>
  <c r="G3664" i="6"/>
  <c r="F3664" i="6"/>
  <c r="D3664" i="6"/>
  <c r="U3664" i="6" s="1"/>
  <c r="C3664" i="6"/>
  <c r="B3664" i="6"/>
  <c r="Q3663" i="6"/>
  <c r="P3663" i="6"/>
  <c r="N3663" i="6"/>
  <c r="M3663" i="6"/>
  <c r="L3663" i="6"/>
  <c r="K3663" i="6"/>
  <c r="J3663" i="6"/>
  <c r="I3663" i="6"/>
  <c r="H3663" i="6"/>
  <c r="G3663" i="6"/>
  <c r="F3663" i="6"/>
  <c r="D3663" i="6"/>
  <c r="U3663" i="6" s="1"/>
  <c r="C3663" i="6"/>
  <c r="B3663" i="6"/>
  <c r="Q3662" i="6"/>
  <c r="N3662" i="6"/>
  <c r="M3662" i="6"/>
  <c r="L3662" i="6"/>
  <c r="K3662" i="6"/>
  <c r="J3662" i="6"/>
  <c r="I3662" i="6"/>
  <c r="P3662" i="6" s="1"/>
  <c r="H3662" i="6"/>
  <c r="G3662" i="6"/>
  <c r="F3662" i="6"/>
  <c r="D3662" i="6"/>
  <c r="U3662" i="6" s="1"/>
  <c r="C3662" i="6"/>
  <c r="B3662" i="6"/>
  <c r="Q3661" i="6"/>
  <c r="P3661" i="6"/>
  <c r="N3661" i="6"/>
  <c r="M3661" i="6"/>
  <c r="L3661" i="6"/>
  <c r="K3661" i="6"/>
  <c r="J3661" i="6"/>
  <c r="I3661" i="6"/>
  <c r="H3661" i="6"/>
  <c r="G3661" i="6"/>
  <c r="F3661" i="6"/>
  <c r="D3661" i="6"/>
  <c r="U3661" i="6" s="1"/>
  <c r="C3661" i="6"/>
  <c r="B3661" i="6"/>
  <c r="Q3660" i="6"/>
  <c r="N3660" i="6"/>
  <c r="M3660" i="6"/>
  <c r="L3660" i="6"/>
  <c r="K3660" i="6"/>
  <c r="J3660" i="6"/>
  <c r="I3660" i="6"/>
  <c r="P3660" i="6" s="1"/>
  <c r="H3660" i="6"/>
  <c r="G3660" i="6"/>
  <c r="F3660" i="6"/>
  <c r="D3660" i="6"/>
  <c r="U3660" i="6" s="1"/>
  <c r="C3660" i="6"/>
  <c r="B3660" i="6"/>
  <c r="Q3659" i="6"/>
  <c r="P3659" i="6"/>
  <c r="N3659" i="6"/>
  <c r="M3659" i="6"/>
  <c r="L3659" i="6"/>
  <c r="K3659" i="6"/>
  <c r="J3659" i="6"/>
  <c r="I3659" i="6"/>
  <c r="H3659" i="6"/>
  <c r="G3659" i="6"/>
  <c r="F3659" i="6"/>
  <c r="D3659" i="6"/>
  <c r="U3659" i="6" s="1"/>
  <c r="C3659" i="6"/>
  <c r="B3659" i="6"/>
  <c r="Q3658" i="6"/>
  <c r="N3658" i="6"/>
  <c r="M3658" i="6"/>
  <c r="L3658" i="6"/>
  <c r="K3658" i="6"/>
  <c r="J3658" i="6"/>
  <c r="I3658" i="6"/>
  <c r="P3658" i="6" s="1"/>
  <c r="H3658" i="6"/>
  <c r="G3658" i="6"/>
  <c r="F3658" i="6"/>
  <c r="D3658" i="6"/>
  <c r="U3658" i="6" s="1"/>
  <c r="C3658" i="6"/>
  <c r="B3658" i="6"/>
  <c r="Q3657" i="6"/>
  <c r="P3657" i="6"/>
  <c r="N3657" i="6"/>
  <c r="M3657" i="6"/>
  <c r="L3657" i="6"/>
  <c r="K3657" i="6"/>
  <c r="J3657" i="6"/>
  <c r="I3657" i="6"/>
  <c r="H3657" i="6"/>
  <c r="G3657" i="6"/>
  <c r="F3657" i="6"/>
  <c r="D3657" i="6"/>
  <c r="U3657" i="6" s="1"/>
  <c r="C3657" i="6"/>
  <c r="B3657" i="6"/>
  <c r="Q3656" i="6"/>
  <c r="N3656" i="6"/>
  <c r="M3656" i="6"/>
  <c r="L3656" i="6"/>
  <c r="K3656" i="6"/>
  <c r="J3656" i="6"/>
  <c r="I3656" i="6"/>
  <c r="P3656" i="6" s="1"/>
  <c r="H3656" i="6"/>
  <c r="G3656" i="6"/>
  <c r="F3656" i="6"/>
  <c r="D3656" i="6"/>
  <c r="U3656" i="6" s="1"/>
  <c r="C3656" i="6"/>
  <c r="B3656" i="6"/>
  <c r="Q3655" i="6"/>
  <c r="P3655" i="6"/>
  <c r="N3655" i="6"/>
  <c r="M3655" i="6"/>
  <c r="L3655" i="6"/>
  <c r="K3655" i="6"/>
  <c r="J3655" i="6"/>
  <c r="I3655" i="6"/>
  <c r="H3655" i="6"/>
  <c r="G3655" i="6"/>
  <c r="F3655" i="6"/>
  <c r="D3655" i="6"/>
  <c r="U3655" i="6" s="1"/>
  <c r="C3655" i="6"/>
  <c r="B3655" i="6"/>
  <c r="Q3654" i="6"/>
  <c r="N3654" i="6"/>
  <c r="M3654" i="6"/>
  <c r="L3654" i="6"/>
  <c r="K3654" i="6"/>
  <c r="J3654" i="6"/>
  <c r="I3654" i="6"/>
  <c r="P3654" i="6" s="1"/>
  <c r="H3654" i="6"/>
  <c r="G3654" i="6"/>
  <c r="F3654" i="6"/>
  <c r="D3654" i="6"/>
  <c r="U3654" i="6" s="1"/>
  <c r="C3654" i="6"/>
  <c r="B3654" i="6"/>
  <c r="Q3653" i="6"/>
  <c r="P3653" i="6"/>
  <c r="N3653" i="6"/>
  <c r="M3653" i="6"/>
  <c r="L3653" i="6"/>
  <c r="K3653" i="6"/>
  <c r="J3653" i="6"/>
  <c r="I3653" i="6"/>
  <c r="H3653" i="6"/>
  <c r="G3653" i="6"/>
  <c r="F3653" i="6"/>
  <c r="D3653" i="6"/>
  <c r="U3653" i="6" s="1"/>
  <c r="C3653" i="6"/>
  <c r="B3653" i="6"/>
  <c r="Q3652" i="6"/>
  <c r="N3652" i="6"/>
  <c r="M3652" i="6"/>
  <c r="L3652" i="6"/>
  <c r="K3652" i="6"/>
  <c r="J3652" i="6"/>
  <c r="I3652" i="6"/>
  <c r="P3652" i="6" s="1"/>
  <c r="H3652" i="6"/>
  <c r="G3652" i="6"/>
  <c r="F3652" i="6"/>
  <c r="D3652" i="6"/>
  <c r="U3652" i="6" s="1"/>
  <c r="C3652" i="6"/>
  <c r="B3652" i="6"/>
  <c r="Q3651" i="6"/>
  <c r="P3651" i="6"/>
  <c r="N3651" i="6"/>
  <c r="M3651" i="6"/>
  <c r="L3651" i="6"/>
  <c r="K3651" i="6"/>
  <c r="J3651" i="6"/>
  <c r="I3651" i="6"/>
  <c r="H3651" i="6"/>
  <c r="G3651" i="6"/>
  <c r="F3651" i="6"/>
  <c r="D3651" i="6"/>
  <c r="U3651" i="6" s="1"/>
  <c r="C3651" i="6"/>
  <c r="B3651" i="6"/>
  <c r="Q3650" i="6"/>
  <c r="N3650" i="6"/>
  <c r="M3650" i="6"/>
  <c r="L3650" i="6"/>
  <c r="K3650" i="6"/>
  <c r="J3650" i="6"/>
  <c r="I3650" i="6"/>
  <c r="P3650" i="6" s="1"/>
  <c r="H3650" i="6"/>
  <c r="G3650" i="6"/>
  <c r="F3650" i="6"/>
  <c r="D3650" i="6"/>
  <c r="U3650" i="6" s="1"/>
  <c r="C3650" i="6"/>
  <c r="B3650" i="6"/>
  <c r="Q3649" i="6"/>
  <c r="P3649" i="6"/>
  <c r="N3649" i="6"/>
  <c r="M3649" i="6"/>
  <c r="L3649" i="6"/>
  <c r="K3649" i="6"/>
  <c r="J3649" i="6"/>
  <c r="I3649" i="6"/>
  <c r="H3649" i="6"/>
  <c r="G3649" i="6"/>
  <c r="F3649" i="6"/>
  <c r="D3649" i="6"/>
  <c r="U3649" i="6" s="1"/>
  <c r="C3649" i="6"/>
  <c r="B3649" i="6"/>
  <c r="Q3648" i="6"/>
  <c r="N3648" i="6"/>
  <c r="M3648" i="6"/>
  <c r="L3648" i="6"/>
  <c r="K3648" i="6"/>
  <c r="J3648" i="6"/>
  <c r="I3648" i="6"/>
  <c r="P3648" i="6" s="1"/>
  <c r="H3648" i="6"/>
  <c r="G3648" i="6"/>
  <c r="F3648" i="6"/>
  <c r="D3648" i="6"/>
  <c r="U3648" i="6" s="1"/>
  <c r="C3648" i="6"/>
  <c r="B3648" i="6"/>
  <c r="Q3647" i="6"/>
  <c r="P3647" i="6"/>
  <c r="N3647" i="6"/>
  <c r="M3647" i="6"/>
  <c r="L3647" i="6"/>
  <c r="K3647" i="6"/>
  <c r="J3647" i="6"/>
  <c r="I3647" i="6"/>
  <c r="H3647" i="6"/>
  <c r="G3647" i="6"/>
  <c r="F3647" i="6"/>
  <c r="D3647" i="6"/>
  <c r="U3647" i="6" s="1"/>
  <c r="C3647" i="6"/>
  <c r="B3647" i="6"/>
  <c r="Q3646" i="6"/>
  <c r="N3646" i="6"/>
  <c r="M3646" i="6"/>
  <c r="L3646" i="6"/>
  <c r="K3646" i="6"/>
  <c r="J3646" i="6"/>
  <c r="I3646" i="6"/>
  <c r="P3646" i="6" s="1"/>
  <c r="H3646" i="6"/>
  <c r="G3646" i="6"/>
  <c r="F3646" i="6"/>
  <c r="D3646" i="6"/>
  <c r="U3646" i="6" s="1"/>
  <c r="C3646" i="6"/>
  <c r="B3646" i="6"/>
  <c r="Q3645" i="6"/>
  <c r="P3645" i="6"/>
  <c r="N3645" i="6"/>
  <c r="M3645" i="6"/>
  <c r="L3645" i="6"/>
  <c r="K3645" i="6"/>
  <c r="J3645" i="6"/>
  <c r="I3645" i="6"/>
  <c r="H3645" i="6"/>
  <c r="G3645" i="6"/>
  <c r="F3645" i="6"/>
  <c r="D3645" i="6"/>
  <c r="U3645" i="6" s="1"/>
  <c r="C3645" i="6"/>
  <c r="B3645" i="6"/>
  <c r="Q3644" i="6"/>
  <c r="N3644" i="6"/>
  <c r="M3644" i="6"/>
  <c r="L3644" i="6"/>
  <c r="K3644" i="6"/>
  <c r="J3644" i="6"/>
  <c r="I3644" i="6"/>
  <c r="P3644" i="6" s="1"/>
  <c r="H3644" i="6"/>
  <c r="G3644" i="6"/>
  <c r="F3644" i="6"/>
  <c r="D3644" i="6"/>
  <c r="U3644" i="6" s="1"/>
  <c r="C3644" i="6"/>
  <c r="B3644" i="6"/>
  <c r="Q3643" i="6"/>
  <c r="P3643" i="6"/>
  <c r="N3643" i="6"/>
  <c r="M3643" i="6"/>
  <c r="L3643" i="6"/>
  <c r="K3643" i="6"/>
  <c r="J3643" i="6"/>
  <c r="I3643" i="6"/>
  <c r="H3643" i="6"/>
  <c r="G3643" i="6"/>
  <c r="F3643" i="6"/>
  <c r="D3643" i="6"/>
  <c r="U3643" i="6" s="1"/>
  <c r="C3643" i="6"/>
  <c r="B3643" i="6"/>
  <c r="Q3642" i="6"/>
  <c r="N3642" i="6"/>
  <c r="M3642" i="6"/>
  <c r="L3642" i="6"/>
  <c r="K3642" i="6"/>
  <c r="J3642" i="6"/>
  <c r="I3642" i="6"/>
  <c r="P3642" i="6" s="1"/>
  <c r="H3642" i="6"/>
  <c r="G3642" i="6"/>
  <c r="F3642" i="6"/>
  <c r="D3642" i="6"/>
  <c r="U3642" i="6" s="1"/>
  <c r="C3642" i="6"/>
  <c r="B3642" i="6"/>
  <c r="Q3641" i="6"/>
  <c r="P3641" i="6"/>
  <c r="N3641" i="6"/>
  <c r="M3641" i="6"/>
  <c r="L3641" i="6"/>
  <c r="K3641" i="6"/>
  <c r="J3641" i="6"/>
  <c r="I3641" i="6"/>
  <c r="H3641" i="6"/>
  <c r="G3641" i="6"/>
  <c r="F3641" i="6"/>
  <c r="D3641" i="6"/>
  <c r="U3641" i="6" s="1"/>
  <c r="C3641" i="6"/>
  <c r="B3641" i="6"/>
  <c r="Q3640" i="6"/>
  <c r="N3640" i="6"/>
  <c r="M3640" i="6"/>
  <c r="L3640" i="6"/>
  <c r="K3640" i="6"/>
  <c r="J3640" i="6"/>
  <c r="I3640" i="6"/>
  <c r="P3640" i="6" s="1"/>
  <c r="H3640" i="6"/>
  <c r="G3640" i="6"/>
  <c r="F3640" i="6"/>
  <c r="D3640" i="6"/>
  <c r="U3640" i="6" s="1"/>
  <c r="C3640" i="6"/>
  <c r="B3640" i="6"/>
  <c r="Q3639" i="6"/>
  <c r="P3639" i="6"/>
  <c r="N3639" i="6"/>
  <c r="M3639" i="6"/>
  <c r="L3639" i="6"/>
  <c r="K3639" i="6"/>
  <c r="J3639" i="6"/>
  <c r="I3639" i="6"/>
  <c r="H3639" i="6"/>
  <c r="G3639" i="6"/>
  <c r="F3639" i="6"/>
  <c r="D3639" i="6"/>
  <c r="U3639" i="6" s="1"/>
  <c r="C3639" i="6"/>
  <c r="B3639" i="6"/>
  <c r="Q3638" i="6"/>
  <c r="N3638" i="6"/>
  <c r="M3638" i="6"/>
  <c r="L3638" i="6"/>
  <c r="K3638" i="6"/>
  <c r="J3638" i="6"/>
  <c r="I3638" i="6"/>
  <c r="P3638" i="6" s="1"/>
  <c r="H3638" i="6"/>
  <c r="G3638" i="6"/>
  <c r="F3638" i="6"/>
  <c r="D3638" i="6"/>
  <c r="U3638" i="6" s="1"/>
  <c r="C3638" i="6"/>
  <c r="B3638" i="6"/>
  <c r="Q3637" i="6"/>
  <c r="P3637" i="6"/>
  <c r="N3637" i="6"/>
  <c r="M3637" i="6"/>
  <c r="L3637" i="6"/>
  <c r="K3637" i="6"/>
  <c r="J3637" i="6"/>
  <c r="I3637" i="6"/>
  <c r="H3637" i="6"/>
  <c r="G3637" i="6"/>
  <c r="F3637" i="6"/>
  <c r="D3637" i="6"/>
  <c r="U3637" i="6" s="1"/>
  <c r="C3637" i="6"/>
  <c r="B3637" i="6"/>
  <c r="Q3636" i="6"/>
  <c r="N3636" i="6"/>
  <c r="M3636" i="6"/>
  <c r="L3636" i="6"/>
  <c r="K3636" i="6"/>
  <c r="J3636" i="6"/>
  <c r="I3636" i="6"/>
  <c r="P3636" i="6" s="1"/>
  <c r="H3636" i="6"/>
  <c r="G3636" i="6"/>
  <c r="F3636" i="6"/>
  <c r="D3636" i="6"/>
  <c r="U3636" i="6" s="1"/>
  <c r="C3636" i="6"/>
  <c r="B3636" i="6"/>
  <c r="Q3635" i="6"/>
  <c r="P3635" i="6"/>
  <c r="N3635" i="6"/>
  <c r="M3635" i="6"/>
  <c r="L3635" i="6"/>
  <c r="K3635" i="6"/>
  <c r="J3635" i="6"/>
  <c r="I3635" i="6"/>
  <c r="H3635" i="6"/>
  <c r="G3635" i="6"/>
  <c r="F3635" i="6"/>
  <c r="D3635" i="6"/>
  <c r="U3635" i="6" s="1"/>
  <c r="C3635" i="6"/>
  <c r="B3635" i="6"/>
  <c r="Q3634" i="6"/>
  <c r="N3634" i="6"/>
  <c r="M3634" i="6"/>
  <c r="L3634" i="6"/>
  <c r="K3634" i="6"/>
  <c r="J3634" i="6"/>
  <c r="I3634" i="6"/>
  <c r="P3634" i="6" s="1"/>
  <c r="H3634" i="6"/>
  <c r="G3634" i="6"/>
  <c r="F3634" i="6"/>
  <c r="D3634" i="6"/>
  <c r="U3634" i="6" s="1"/>
  <c r="C3634" i="6"/>
  <c r="B3634" i="6"/>
  <c r="Q3633" i="6"/>
  <c r="P3633" i="6"/>
  <c r="N3633" i="6"/>
  <c r="M3633" i="6"/>
  <c r="L3633" i="6"/>
  <c r="K3633" i="6"/>
  <c r="J3633" i="6"/>
  <c r="I3633" i="6"/>
  <c r="H3633" i="6"/>
  <c r="G3633" i="6"/>
  <c r="F3633" i="6"/>
  <c r="D3633" i="6"/>
  <c r="U3633" i="6" s="1"/>
  <c r="C3633" i="6"/>
  <c r="B3633" i="6"/>
  <c r="Q3632" i="6"/>
  <c r="N3632" i="6"/>
  <c r="M3632" i="6"/>
  <c r="L3632" i="6"/>
  <c r="K3632" i="6"/>
  <c r="J3632" i="6"/>
  <c r="I3632" i="6"/>
  <c r="P3632" i="6" s="1"/>
  <c r="H3632" i="6"/>
  <c r="G3632" i="6"/>
  <c r="F3632" i="6"/>
  <c r="D3632" i="6"/>
  <c r="U3632" i="6" s="1"/>
  <c r="C3632" i="6"/>
  <c r="B3632" i="6"/>
  <c r="Q3631" i="6"/>
  <c r="P3631" i="6"/>
  <c r="N3631" i="6"/>
  <c r="M3631" i="6"/>
  <c r="L3631" i="6"/>
  <c r="K3631" i="6"/>
  <c r="J3631" i="6"/>
  <c r="I3631" i="6"/>
  <c r="H3631" i="6"/>
  <c r="G3631" i="6"/>
  <c r="F3631" i="6"/>
  <c r="D3631" i="6"/>
  <c r="U3631" i="6" s="1"/>
  <c r="C3631" i="6"/>
  <c r="B3631" i="6"/>
  <c r="Q3630" i="6"/>
  <c r="P3630" i="6"/>
  <c r="N3630" i="6"/>
  <c r="M3630" i="6"/>
  <c r="L3630" i="6"/>
  <c r="K3630" i="6"/>
  <c r="J3630" i="6"/>
  <c r="I3630" i="6"/>
  <c r="H3630" i="6"/>
  <c r="G3630" i="6"/>
  <c r="F3630" i="6"/>
  <c r="D3630" i="6"/>
  <c r="U3630" i="6" s="1"/>
  <c r="C3630" i="6"/>
  <c r="B3630" i="6"/>
  <c r="Q3629" i="6"/>
  <c r="N3629" i="6"/>
  <c r="M3629" i="6"/>
  <c r="L3629" i="6"/>
  <c r="K3629" i="6"/>
  <c r="J3629" i="6"/>
  <c r="I3629" i="6"/>
  <c r="P3629" i="6" s="1"/>
  <c r="H3629" i="6"/>
  <c r="G3629" i="6"/>
  <c r="F3629" i="6"/>
  <c r="D3629" i="6"/>
  <c r="U3629" i="6" s="1"/>
  <c r="C3629" i="6"/>
  <c r="B3629" i="6"/>
  <c r="U3628" i="6"/>
  <c r="Q3628" i="6"/>
  <c r="N3628" i="6"/>
  <c r="M3628" i="6"/>
  <c r="L3628" i="6"/>
  <c r="K3628" i="6"/>
  <c r="J3628" i="6"/>
  <c r="I3628" i="6"/>
  <c r="P3628" i="6" s="1"/>
  <c r="H3628" i="6"/>
  <c r="G3628" i="6"/>
  <c r="F3628" i="6"/>
  <c r="D3628" i="6"/>
  <c r="C3628" i="6"/>
  <c r="E3628" i="6" s="1"/>
  <c r="B3628" i="6"/>
  <c r="Q3627" i="6"/>
  <c r="N3627" i="6"/>
  <c r="M3627" i="6"/>
  <c r="L3627" i="6"/>
  <c r="K3627" i="6"/>
  <c r="J3627" i="6"/>
  <c r="I3627" i="6"/>
  <c r="P3627" i="6" s="1"/>
  <c r="H3627" i="6"/>
  <c r="G3627" i="6"/>
  <c r="F3627" i="6"/>
  <c r="D3627" i="6"/>
  <c r="U3627" i="6" s="1"/>
  <c r="C3627" i="6"/>
  <c r="B3627" i="6"/>
  <c r="Q3626" i="6"/>
  <c r="P3626" i="6"/>
  <c r="N3626" i="6"/>
  <c r="M3626" i="6"/>
  <c r="L3626" i="6"/>
  <c r="K3626" i="6"/>
  <c r="J3626" i="6"/>
  <c r="I3626" i="6"/>
  <c r="H3626" i="6"/>
  <c r="G3626" i="6"/>
  <c r="F3626" i="6"/>
  <c r="D3626" i="6"/>
  <c r="U3626" i="6" s="1"/>
  <c r="C3626" i="6"/>
  <c r="B3626" i="6"/>
  <c r="Q3625" i="6"/>
  <c r="N3625" i="6"/>
  <c r="M3625" i="6"/>
  <c r="L3625" i="6"/>
  <c r="K3625" i="6"/>
  <c r="J3625" i="6"/>
  <c r="I3625" i="6"/>
  <c r="P3625" i="6" s="1"/>
  <c r="H3625" i="6"/>
  <c r="G3625" i="6"/>
  <c r="F3625" i="6"/>
  <c r="D3625" i="6"/>
  <c r="U3625" i="6" s="1"/>
  <c r="C3625" i="6"/>
  <c r="B3625" i="6"/>
  <c r="U3624" i="6"/>
  <c r="Q3624" i="6"/>
  <c r="N3624" i="6"/>
  <c r="M3624" i="6"/>
  <c r="L3624" i="6"/>
  <c r="K3624" i="6"/>
  <c r="J3624" i="6"/>
  <c r="I3624" i="6"/>
  <c r="P3624" i="6" s="1"/>
  <c r="H3624" i="6"/>
  <c r="G3624" i="6"/>
  <c r="F3624" i="6"/>
  <c r="D3624" i="6"/>
  <c r="C3624" i="6"/>
  <c r="E3624" i="6" s="1"/>
  <c r="B3624" i="6"/>
  <c r="Q3623" i="6"/>
  <c r="P3623" i="6"/>
  <c r="N3623" i="6"/>
  <c r="M3623" i="6"/>
  <c r="L3623" i="6"/>
  <c r="K3623" i="6"/>
  <c r="J3623" i="6"/>
  <c r="I3623" i="6"/>
  <c r="H3623" i="6"/>
  <c r="G3623" i="6"/>
  <c r="F3623" i="6"/>
  <c r="D3623" i="6"/>
  <c r="U3623" i="6" s="1"/>
  <c r="C3623" i="6"/>
  <c r="B3623" i="6"/>
  <c r="Q3622" i="6"/>
  <c r="P3622" i="6"/>
  <c r="N3622" i="6"/>
  <c r="M3622" i="6"/>
  <c r="L3622" i="6"/>
  <c r="K3622" i="6"/>
  <c r="J3622" i="6"/>
  <c r="I3622" i="6"/>
  <c r="H3622" i="6"/>
  <c r="G3622" i="6"/>
  <c r="F3622" i="6"/>
  <c r="D3622" i="6"/>
  <c r="U3622" i="6" s="1"/>
  <c r="C3622" i="6"/>
  <c r="B3622" i="6"/>
  <c r="Q3621" i="6"/>
  <c r="N3621" i="6"/>
  <c r="M3621" i="6"/>
  <c r="L3621" i="6"/>
  <c r="K3621" i="6"/>
  <c r="J3621" i="6"/>
  <c r="I3621" i="6"/>
  <c r="P3621" i="6" s="1"/>
  <c r="H3621" i="6"/>
  <c r="G3621" i="6"/>
  <c r="F3621" i="6"/>
  <c r="D3621" i="6"/>
  <c r="U3621" i="6" s="1"/>
  <c r="C3621" i="6"/>
  <c r="B3621" i="6"/>
  <c r="U3620" i="6"/>
  <c r="Q3620" i="6"/>
  <c r="N3620" i="6"/>
  <c r="M3620" i="6"/>
  <c r="L3620" i="6"/>
  <c r="K3620" i="6"/>
  <c r="J3620" i="6"/>
  <c r="I3620" i="6"/>
  <c r="P3620" i="6" s="1"/>
  <c r="H3620" i="6"/>
  <c r="G3620" i="6"/>
  <c r="F3620" i="6"/>
  <c r="D3620" i="6"/>
  <c r="C3620" i="6"/>
  <c r="E3620" i="6" s="1"/>
  <c r="B3620" i="6"/>
  <c r="Q3619" i="6"/>
  <c r="N3619" i="6"/>
  <c r="M3619" i="6"/>
  <c r="L3619" i="6"/>
  <c r="K3619" i="6"/>
  <c r="J3619" i="6"/>
  <c r="I3619" i="6"/>
  <c r="P3619" i="6" s="1"/>
  <c r="H3619" i="6"/>
  <c r="G3619" i="6"/>
  <c r="F3619" i="6"/>
  <c r="D3619" i="6"/>
  <c r="U3619" i="6" s="1"/>
  <c r="C3619" i="6"/>
  <c r="B3619" i="6"/>
  <c r="Q3618" i="6"/>
  <c r="P3618" i="6"/>
  <c r="N3618" i="6"/>
  <c r="M3618" i="6"/>
  <c r="L3618" i="6"/>
  <c r="K3618" i="6"/>
  <c r="J3618" i="6"/>
  <c r="I3618" i="6"/>
  <c r="H3618" i="6"/>
  <c r="G3618" i="6"/>
  <c r="F3618" i="6"/>
  <c r="D3618" i="6"/>
  <c r="U3618" i="6" s="1"/>
  <c r="C3618" i="6"/>
  <c r="B3618" i="6"/>
  <c r="Q3617" i="6"/>
  <c r="N3617" i="6"/>
  <c r="M3617" i="6"/>
  <c r="L3617" i="6"/>
  <c r="K3617" i="6"/>
  <c r="J3617" i="6"/>
  <c r="I3617" i="6"/>
  <c r="P3617" i="6" s="1"/>
  <c r="H3617" i="6"/>
  <c r="G3617" i="6"/>
  <c r="F3617" i="6"/>
  <c r="D3617" i="6"/>
  <c r="U3617" i="6" s="1"/>
  <c r="C3617" i="6"/>
  <c r="B3617" i="6"/>
  <c r="U3616" i="6"/>
  <c r="Q3616" i="6"/>
  <c r="N3616" i="6"/>
  <c r="M3616" i="6"/>
  <c r="L3616" i="6"/>
  <c r="K3616" i="6"/>
  <c r="J3616" i="6"/>
  <c r="I3616" i="6"/>
  <c r="P3616" i="6" s="1"/>
  <c r="H3616" i="6"/>
  <c r="G3616" i="6"/>
  <c r="F3616" i="6"/>
  <c r="D3616" i="6"/>
  <c r="C3616" i="6"/>
  <c r="E3616" i="6" s="1"/>
  <c r="B3616" i="6"/>
  <c r="Q3615" i="6"/>
  <c r="P3615" i="6"/>
  <c r="N3615" i="6"/>
  <c r="M3615" i="6"/>
  <c r="L3615" i="6"/>
  <c r="K3615" i="6"/>
  <c r="J3615" i="6"/>
  <c r="I3615" i="6"/>
  <c r="H3615" i="6"/>
  <c r="G3615" i="6"/>
  <c r="F3615" i="6"/>
  <c r="D3615" i="6"/>
  <c r="U3615" i="6" s="1"/>
  <c r="C3615" i="6"/>
  <c r="B3615" i="6"/>
  <c r="Q3614" i="6"/>
  <c r="P3614" i="6"/>
  <c r="N3614" i="6"/>
  <c r="M3614" i="6"/>
  <c r="L3614" i="6"/>
  <c r="K3614" i="6"/>
  <c r="J3614" i="6"/>
  <c r="I3614" i="6"/>
  <c r="H3614" i="6"/>
  <c r="G3614" i="6"/>
  <c r="F3614" i="6"/>
  <c r="D3614" i="6"/>
  <c r="U3614" i="6" s="1"/>
  <c r="C3614" i="6"/>
  <c r="B3614" i="6"/>
  <c r="Q3613" i="6"/>
  <c r="N3613" i="6"/>
  <c r="M3613" i="6"/>
  <c r="L3613" i="6"/>
  <c r="K3613" i="6"/>
  <c r="J3613" i="6"/>
  <c r="I3613" i="6"/>
  <c r="P3613" i="6" s="1"/>
  <c r="H3613" i="6"/>
  <c r="G3613" i="6"/>
  <c r="F3613" i="6"/>
  <c r="D3613" i="6"/>
  <c r="U3613" i="6" s="1"/>
  <c r="C3613" i="6"/>
  <c r="B3613" i="6"/>
  <c r="U3612" i="6"/>
  <c r="Q3612" i="6"/>
  <c r="N3612" i="6"/>
  <c r="M3612" i="6"/>
  <c r="L3612" i="6"/>
  <c r="K3612" i="6"/>
  <c r="J3612" i="6"/>
  <c r="I3612" i="6"/>
  <c r="P3612" i="6" s="1"/>
  <c r="H3612" i="6"/>
  <c r="G3612" i="6"/>
  <c r="F3612" i="6"/>
  <c r="D3612" i="6"/>
  <c r="C3612" i="6"/>
  <c r="E3612" i="6" s="1"/>
  <c r="B3612" i="6"/>
  <c r="Q3611" i="6"/>
  <c r="N3611" i="6"/>
  <c r="M3611" i="6"/>
  <c r="L3611" i="6"/>
  <c r="K3611" i="6"/>
  <c r="J3611" i="6"/>
  <c r="I3611" i="6"/>
  <c r="P3611" i="6" s="1"/>
  <c r="H3611" i="6"/>
  <c r="G3611" i="6"/>
  <c r="F3611" i="6"/>
  <c r="D3611" i="6"/>
  <c r="U3611" i="6" s="1"/>
  <c r="C3611" i="6"/>
  <c r="B3611" i="6"/>
  <c r="Q3610" i="6"/>
  <c r="P3610" i="6"/>
  <c r="N3610" i="6"/>
  <c r="M3610" i="6"/>
  <c r="L3610" i="6"/>
  <c r="K3610" i="6"/>
  <c r="J3610" i="6"/>
  <c r="I3610" i="6"/>
  <c r="H3610" i="6"/>
  <c r="G3610" i="6"/>
  <c r="F3610" i="6"/>
  <c r="D3610" i="6"/>
  <c r="U3610" i="6" s="1"/>
  <c r="C3610" i="6"/>
  <c r="B3610" i="6"/>
  <c r="Q3609" i="6"/>
  <c r="N3609" i="6"/>
  <c r="M3609" i="6"/>
  <c r="L3609" i="6"/>
  <c r="K3609" i="6"/>
  <c r="J3609" i="6"/>
  <c r="I3609" i="6"/>
  <c r="P3609" i="6" s="1"/>
  <c r="H3609" i="6"/>
  <c r="G3609" i="6"/>
  <c r="F3609" i="6"/>
  <c r="D3609" i="6"/>
  <c r="U3609" i="6" s="1"/>
  <c r="C3609" i="6"/>
  <c r="B3609" i="6"/>
  <c r="U3608" i="6"/>
  <c r="Q3608" i="6"/>
  <c r="N3608" i="6"/>
  <c r="M3608" i="6"/>
  <c r="L3608" i="6"/>
  <c r="K3608" i="6"/>
  <c r="J3608" i="6"/>
  <c r="I3608" i="6"/>
  <c r="P3608" i="6" s="1"/>
  <c r="H3608" i="6"/>
  <c r="G3608" i="6"/>
  <c r="F3608" i="6"/>
  <c r="D3608" i="6"/>
  <c r="C3608" i="6"/>
  <c r="E3608" i="6" s="1"/>
  <c r="B3608" i="6"/>
  <c r="Q3607" i="6"/>
  <c r="P3607" i="6"/>
  <c r="N3607" i="6"/>
  <c r="M3607" i="6"/>
  <c r="L3607" i="6"/>
  <c r="K3607" i="6"/>
  <c r="J3607" i="6"/>
  <c r="I3607" i="6"/>
  <c r="H3607" i="6"/>
  <c r="G3607" i="6"/>
  <c r="F3607" i="6"/>
  <c r="D3607" i="6"/>
  <c r="U3607" i="6" s="1"/>
  <c r="C3607" i="6"/>
  <c r="B3607" i="6"/>
  <c r="Q3606" i="6"/>
  <c r="P3606" i="6"/>
  <c r="N3606" i="6"/>
  <c r="M3606" i="6"/>
  <c r="L3606" i="6"/>
  <c r="K3606" i="6"/>
  <c r="J3606" i="6"/>
  <c r="I3606" i="6"/>
  <c r="H3606" i="6"/>
  <c r="G3606" i="6"/>
  <c r="F3606" i="6"/>
  <c r="D3606" i="6"/>
  <c r="U3606" i="6" s="1"/>
  <c r="C3606" i="6"/>
  <c r="B3606" i="6"/>
  <c r="Q3605" i="6"/>
  <c r="N3605" i="6"/>
  <c r="M3605" i="6"/>
  <c r="L3605" i="6"/>
  <c r="K3605" i="6"/>
  <c r="J3605" i="6"/>
  <c r="I3605" i="6"/>
  <c r="P3605" i="6" s="1"/>
  <c r="H3605" i="6"/>
  <c r="G3605" i="6"/>
  <c r="F3605" i="6"/>
  <c r="D3605" i="6"/>
  <c r="U3605" i="6" s="1"/>
  <c r="C3605" i="6"/>
  <c r="B3605" i="6"/>
  <c r="U3604" i="6"/>
  <c r="Q3604" i="6"/>
  <c r="N3604" i="6"/>
  <c r="M3604" i="6"/>
  <c r="L3604" i="6"/>
  <c r="K3604" i="6"/>
  <c r="J3604" i="6"/>
  <c r="I3604" i="6"/>
  <c r="P3604" i="6" s="1"/>
  <c r="H3604" i="6"/>
  <c r="G3604" i="6"/>
  <c r="F3604" i="6"/>
  <c r="D3604" i="6"/>
  <c r="C3604" i="6"/>
  <c r="E3604" i="6" s="1"/>
  <c r="B3604" i="6"/>
  <c r="Q3603" i="6"/>
  <c r="N3603" i="6"/>
  <c r="M3603" i="6"/>
  <c r="L3603" i="6"/>
  <c r="K3603" i="6"/>
  <c r="J3603" i="6"/>
  <c r="I3603" i="6"/>
  <c r="P3603" i="6" s="1"/>
  <c r="H3603" i="6"/>
  <c r="G3603" i="6"/>
  <c r="F3603" i="6"/>
  <c r="D3603" i="6"/>
  <c r="U3603" i="6" s="1"/>
  <c r="C3603" i="6"/>
  <c r="B3603" i="6"/>
  <c r="Q3602" i="6"/>
  <c r="P3602" i="6"/>
  <c r="N3602" i="6"/>
  <c r="M3602" i="6"/>
  <c r="L3602" i="6"/>
  <c r="K3602" i="6"/>
  <c r="J3602" i="6"/>
  <c r="I3602" i="6"/>
  <c r="H3602" i="6"/>
  <c r="G3602" i="6"/>
  <c r="F3602" i="6"/>
  <c r="D3602" i="6"/>
  <c r="U3602" i="6" s="1"/>
  <c r="C3602" i="6"/>
  <c r="B3602" i="6"/>
  <c r="Q3601" i="6"/>
  <c r="N3601" i="6"/>
  <c r="M3601" i="6"/>
  <c r="L3601" i="6"/>
  <c r="K3601" i="6"/>
  <c r="J3601" i="6"/>
  <c r="I3601" i="6"/>
  <c r="P3601" i="6" s="1"/>
  <c r="H3601" i="6"/>
  <c r="G3601" i="6"/>
  <c r="F3601" i="6"/>
  <c r="D3601" i="6"/>
  <c r="U3601" i="6" s="1"/>
  <c r="C3601" i="6"/>
  <c r="B3601" i="6"/>
  <c r="U3600" i="6"/>
  <c r="Q3600" i="6"/>
  <c r="N3600" i="6"/>
  <c r="M3600" i="6"/>
  <c r="L3600" i="6"/>
  <c r="K3600" i="6"/>
  <c r="J3600" i="6"/>
  <c r="I3600" i="6"/>
  <c r="P3600" i="6" s="1"/>
  <c r="H3600" i="6"/>
  <c r="G3600" i="6"/>
  <c r="F3600" i="6"/>
  <c r="D3600" i="6"/>
  <c r="C3600" i="6"/>
  <c r="E3600" i="6" s="1"/>
  <c r="B3600" i="6"/>
  <c r="Q3599" i="6"/>
  <c r="P3599" i="6"/>
  <c r="N3599" i="6"/>
  <c r="M3599" i="6"/>
  <c r="L3599" i="6"/>
  <c r="K3599" i="6"/>
  <c r="J3599" i="6"/>
  <c r="I3599" i="6"/>
  <c r="H3599" i="6"/>
  <c r="G3599" i="6"/>
  <c r="F3599" i="6"/>
  <c r="D3599" i="6"/>
  <c r="U3599" i="6" s="1"/>
  <c r="C3599" i="6"/>
  <c r="B3599" i="6"/>
  <c r="Q3598" i="6"/>
  <c r="P3598" i="6"/>
  <c r="N3598" i="6"/>
  <c r="M3598" i="6"/>
  <c r="L3598" i="6"/>
  <c r="K3598" i="6"/>
  <c r="J3598" i="6"/>
  <c r="I3598" i="6"/>
  <c r="H3598" i="6"/>
  <c r="G3598" i="6"/>
  <c r="F3598" i="6"/>
  <c r="D3598" i="6"/>
  <c r="U3598" i="6" s="1"/>
  <c r="C3598" i="6"/>
  <c r="B3598" i="6"/>
  <c r="Q3597" i="6"/>
  <c r="N3597" i="6"/>
  <c r="M3597" i="6"/>
  <c r="L3597" i="6"/>
  <c r="K3597" i="6"/>
  <c r="J3597" i="6"/>
  <c r="I3597" i="6"/>
  <c r="P3597" i="6" s="1"/>
  <c r="H3597" i="6"/>
  <c r="G3597" i="6"/>
  <c r="F3597" i="6"/>
  <c r="D3597" i="6"/>
  <c r="U3597" i="6" s="1"/>
  <c r="C3597" i="6"/>
  <c r="B3597" i="6"/>
  <c r="U3596" i="6"/>
  <c r="Q3596" i="6"/>
  <c r="N3596" i="6"/>
  <c r="M3596" i="6"/>
  <c r="L3596" i="6"/>
  <c r="K3596" i="6"/>
  <c r="J3596" i="6"/>
  <c r="I3596" i="6"/>
  <c r="P3596" i="6" s="1"/>
  <c r="H3596" i="6"/>
  <c r="G3596" i="6"/>
  <c r="F3596" i="6"/>
  <c r="D3596" i="6"/>
  <c r="C3596" i="6"/>
  <c r="E3596" i="6" s="1"/>
  <c r="B3596" i="6"/>
  <c r="Q3595" i="6"/>
  <c r="N3595" i="6"/>
  <c r="M3595" i="6"/>
  <c r="L3595" i="6"/>
  <c r="K3595" i="6"/>
  <c r="J3595" i="6"/>
  <c r="I3595" i="6"/>
  <c r="P3595" i="6" s="1"/>
  <c r="H3595" i="6"/>
  <c r="G3595" i="6"/>
  <c r="F3595" i="6"/>
  <c r="D3595" i="6"/>
  <c r="U3595" i="6" s="1"/>
  <c r="C3595" i="6"/>
  <c r="B3595" i="6"/>
  <c r="Q3594" i="6"/>
  <c r="P3594" i="6"/>
  <c r="N3594" i="6"/>
  <c r="M3594" i="6"/>
  <c r="L3594" i="6"/>
  <c r="K3594" i="6"/>
  <c r="J3594" i="6"/>
  <c r="I3594" i="6"/>
  <c r="H3594" i="6"/>
  <c r="G3594" i="6"/>
  <c r="F3594" i="6"/>
  <c r="D3594" i="6"/>
  <c r="U3594" i="6" s="1"/>
  <c r="C3594" i="6"/>
  <c r="B3594" i="6"/>
  <c r="Q3593" i="6"/>
  <c r="N3593" i="6"/>
  <c r="M3593" i="6"/>
  <c r="L3593" i="6"/>
  <c r="K3593" i="6"/>
  <c r="J3593" i="6"/>
  <c r="I3593" i="6"/>
  <c r="P3593" i="6" s="1"/>
  <c r="H3593" i="6"/>
  <c r="G3593" i="6"/>
  <c r="F3593" i="6"/>
  <c r="D3593" i="6"/>
  <c r="U3593" i="6" s="1"/>
  <c r="C3593" i="6"/>
  <c r="E3593" i="6" s="1"/>
  <c r="B3593" i="6"/>
  <c r="Q3592" i="6"/>
  <c r="N3592" i="6"/>
  <c r="M3592" i="6"/>
  <c r="L3592" i="6"/>
  <c r="K3592" i="6"/>
  <c r="J3592" i="6"/>
  <c r="I3592" i="6"/>
  <c r="P3592" i="6" s="1"/>
  <c r="H3592" i="6"/>
  <c r="G3592" i="6"/>
  <c r="F3592" i="6"/>
  <c r="D3592" i="6"/>
  <c r="U3592" i="6" s="1"/>
  <c r="C3592" i="6"/>
  <c r="B3592" i="6"/>
  <c r="Q3591" i="6"/>
  <c r="P3591" i="6"/>
  <c r="N3591" i="6"/>
  <c r="M3591" i="6"/>
  <c r="L3591" i="6"/>
  <c r="K3591" i="6"/>
  <c r="J3591" i="6"/>
  <c r="I3591" i="6"/>
  <c r="H3591" i="6"/>
  <c r="G3591" i="6"/>
  <c r="F3591" i="6"/>
  <c r="D3591" i="6"/>
  <c r="U3591" i="6" s="1"/>
  <c r="C3591" i="6"/>
  <c r="E3591" i="6" s="1"/>
  <c r="B3591" i="6"/>
  <c r="Q3590" i="6"/>
  <c r="P3590" i="6"/>
  <c r="N3590" i="6"/>
  <c r="M3590" i="6"/>
  <c r="L3590" i="6"/>
  <c r="K3590" i="6"/>
  <c r="J3590" i="6"/>
  <c r="I3590" i="6"/>
  <c r="H3590" i="6"/>
  <c r="G3590" i="6"/>
  <c r="F3590" i="6"/>
  <c r="D3590" i="6"/>
  <c r="U3590" i="6" s="1"/>
  <c r="C3590" i="6"/>
  <c r="B3590" i="6"/>
  <c r="Q3589" i="6"/>
  <c r="N3589" i="6"/>
  <c r="M3589" i="6"/>
  <c r="L3589" i="6"/>
  <c r="K3589" i="6"/>
  <c r="J3589" i="6"/>
  <c r="I3589" i="6"/>
  <c r="P3589" i="6" s="1"/>
  <c r="H3589" i="6"/>
  <c r="G3589" i="6"/>
  <c r="F3589" i="6"/>
  <c r="D3589" i="6"/>
  <c r="U3589" i="6" s="1"/>
  <c r="C3589" i="6"/>
  <c r="E3589" i="6" s="1"/>
  <c r="B3589" i="6"/>
  <c r="Q3588" i="6"/>
  <c r="N3588" i="6"/>
  <c r="M3588" i="6"/>
  <c r="L3588" i="6"/>
  <c r="K3588" i="6"/>
  <c r="J3588" i="6"/>
  <c r="I3588" i="6"/>
  <c r="P3588" i="6" s="1"/>
  <c r="H3588" i="6"/>
  <c r="G3588" i="6"/>
  <c r="F3588" i="6"/>
  <c r="D3588" i="6"/>
  <c r="U3588" i="6" s="1"/>
  <c r="C3588" i="6"/>
  <c r="B3588" i="6"/>
  <c r="Q3587" i="6"/>
  <c r="P3587" i="6"/>
  <c r="N3587" i="6"/>
  <c r="M3587" i="6"/>
  <c r="L3587" i="6"/>
  <c r="K3587" i="6"/>
  <c r="J3587" i="6"/>
  <c r="I3587" i="6"/>
  <c r="H3587" i="6"/>
  <c r="G3587" i="6"/>
  <c r="F3587" i="6"/>
  <c r="D3587" i="6"/>
  <c r="U3587" i="6" s="1"/>
  <c r="C3587" i="6"/>
  <c r="E3587" i="6" s="1"/>
  <c r="B3587" i="6"/>
  <c r="Q3586" i="6"/>
  <c r="P3586" i="6"/>
  <c r="N3586" i="6"/>
  <c r="M3586" i="6"/>
  <c r="L3586" i="6"/>
  <c r="K3586" i="6"/>
  <c r="J3586" i="6"/>
  <c r="I3586" i="6"/>
  <c r="H3586" i="6"/>
  <c r="G3586" i="6"/>
  <c r="F3586" i="6"/>
  <c r="D3586" i="6"/>
  <c r="U3586" i="6" s="1"/>
  <c r="C3586" i="6"/>
  <c r="B3586" i="6"/>
  <c r="Q3585" i="6"/>
  <c r="N3585" i="6"/>
  <c r="M3585" i="6"/>
  <c r="L3585" i="6"/>
  <c r="K3585" i="6"/>
  <c r="J3585" i="6"/>
  <c r="I3585" i="6"/>
  <c r="P3585" i="6" s="1"/>
  <c r="H3585" i="6"/>
  <c r="G3585" i="6"/>
  <c r="F3585" i="6"/>
  <c r="D3585" i="6"/>
  <c r="U3585" i="6" s="1"/>
  <c r="C3585" i="6"/>
  <c r="E3585" i="6" s="1"/>
  <c r="B3585" i="6"/>
  <c r="Q3584" i="6"/>
  <c r="N3584" i="6"/>
  <c r="M3584" i="6"/>
  <c r="L3584" i="6"/>
  <c r="K3584" i="6"/>
  <c r="J3584" i="6"/>
  <c r="I3584" i="6"/>
  <c r="P3584" i="6" s="1"/>
  <c r="H3584" i="6"/>
  <c r="G3584" i="6"/>
  <c r="F3584" i="6"/>
  <c r="D3584" i="6"/>
  <c r="U3584" i="6" s="1"/>
  <c r="C3584" i="6"/>
  <c r="B3584" i="6"/>
  <c r="Q3583" i="6"/>
  <c r="P3583" i="6"/>
  <c r="N3583" i="6"/>
  <c r="M3583" i="6"/>
  <c r="L3583" i="6"/>
  <c r="K3583" i="6"/>
  <c r="J3583" i="6"/>
  <c r="I3583" i="6"/>
  <c r="H3583" i="6"/>
  <c r="G3583" i="6"/>
  <c r="F3583" i="6"/>
  <c r="D3583" i="6"/>
  <c r="U3583" i="6" s="1"/>
  <c r="C3583" i="6"/>
  <c r="E3583" i="6" s="1"/>
  <c r="B3583" i="6"/>
  <c r="Q3582" i="6"/>
  <c r="P3582" i="6"/>
  <c r="N3582" i="6"/>
  <c r="M3582" i="6"/>
  <c r="L3582" i="6"/>
  <c r="K3582" i="6"/>
  <c r="J3582" i="6"/>
  <c r="I3582" i="6"/>
  <c r="H3582" i="6"/>
  <c r="G3582" i="6"/>
  <c r="F3582" i="6"/>
  <c r="D3582" i="6"/>
  <c r="U3582" i="6" s="1"/>
  <c r="C3582" i="6"/>
  <c r="B3582" i="6"/>
  <c r="Q3581" i="6"/>
  <c r="N3581" i="6"/>
  <c r="M3581" i="6"/>
  <c r="L3581" i="6"/>
  <c r="K3581" i="6"/>
  <c r="J3581" i="6"/>
  <c r="I3581" i="6"/>
  <c r="P3581" i="6" s="1"/>
  <c r="H3581" i="6"/>
  <c r="G3581" i="6"/>
  <c r="F3581" i="6"/>
  <c r="D3581" i="6"/>
  <c r="U3581" i="6" s="1"/>
  <c r="C3581" i="6"/>
  <c r="E3581" i="6" s="1"/>
  <c r="B3581" i="6"/>
  <c r="Q3580" i="6"/>
  <c r="N3580" i="6"/>
  <c r="M3580" i="6"/>
  <c r="L3580" i="6"/>
  <c r="K3580" i="6"/>
  <c r="J3580" i="6"/>
  <c r="I3580" i="6"/>
  <c r="P3580" i="6" s="1"/>
  <c r="H3580" i="6"/>
  <c r="G3580" i="6"/>
  <c r="F3580" i="6"/>
  <c r="D3580" i="6"/>
  <c r="U3580" i="6" s="1"/>
  <c r="C3580" i="6"/>
  <c r="B3580" i="6"/>
  <c r="Q3579" i="6"/>
  <c r="P3579" i="6"/>
  <c r="N3579" i="6"/>
  <c r="M3579" i="6"/>
  <c r="L3579" i="6"/>
  <c r="K3579" i="6"/>
  <c r="J3579" i="6"/>
  <c r="I3579" i="6"/>
  <c r="H3579" i="6"/>
  <c r="G3579" i="6"/>
  <c r="F3579" i="6"/>
  <c r="D3579" i="6"/>
  <c r="U3579" i="6" s="1"/>
  <c r="C3579" i="6"/>
  <c r="E3579" i="6" s="1"/>
  <c r="B3579" i="6"/>
  <c r="Q3578" i="6"/>
  <c r="P3578" i="6"/>
  <c r="N3578" i="6"/>
  <c r="M3578" i="6"/>
  <c r="L3578" i="6"/>
  <c r="K3578" i="6"/>
  <c r="J3578" i="6"/>
  <c r="I3578" i="6"/>
  <c r="H3578" i="6"/>
  <c r="G3578" i="6"/>
  <c r="F3578" i="6"/>
  <c r="D3578" i="6"/>
  <c r="U3578" i="6" s="1"/>
  <c r="C3578" i="6"/>
  <c r="B3578" i="6"/>
  <c r="Q3577" i="6"/>
  <c r="N3577" i="6"/>
  <c r="M3577" i="6"/>
  <c r="L3577" i="6"/>
  <c r="K3577" i="6"/>
  <c r="J3577" i="6"/>
  <c r="I3577" i="6"/>
  <c r="P3577" i="6" s="1"/>
  <c r="H3577" i="6"/>
  <c r="G3577" i="6"/>
  <c r="F3577" i="6"/>
  <c r="D3577" i="6"/>
  <c r="U3577" i="6" s="1"/>
  <c r="C3577" i="6"/>
  <c r="E3577" i="6" s="1"/>
  <c r="B3577" i="6"/>
  <c r="Q3576" i="6"/>
  <c r="N3576" i="6"/>
  <c r="M3576" i="6"/>
  <c r="L3576" i="6"/>
  <c r="K3576" i="6"/>
  <c r="J3576" i="6"/>
  <c r="I3576" i="6"/>
  <c r="P3576" i="6" s="1"/>
  <c r="H3576" i="6"/>
  <c r="G3576" i="6"/>
  <c r="F3576" i="6"/>
  <c r="D3576" i="6"/>
  <c r="U3576" i="6" s="1"/>
  <c r="C3576" i="6"/>
  <c r="B3576" i="6"/>
  <c r="Q3575" i="6"/>
  <c r="P3575" i="6"/>
  <c r="N3575" i="6"/>
  <c r="M3575" i="6"/>
  <c r="L3575" i="6"/>
  <c r="K3575" i="6"/>
  <c r="J3575" i="6"/>
  <c r="I3575" i="6"/>
  <c r="H3575" i="6"/>
  <c r="G3575" i="6"/>
  <c r="F3575" i="6"/>
  <c r="D3575" i="6"/>
  <c r="U3575" i="6" s="1"/>
  <c r="C3575" i="6"/>
  <c r="E3575" i="6" s="1"/>
  <c r="B3575" i="6"/>
  <c r="Q3574" i="6"/>
  <c r="P3574" i="6"/>
  <c r="N3574" i="6"/>
  <c r="M3574" i="6"/>
  <c r="L3574" i="6"/>
  <c r="K3574" i="6"/>
  <c r="J3574" i="6"/>
  <c r="I3574" i="6"/>
  <c r="H3574" i="6"/>
  <c r="G3574" i="6"/>
  <c r="F3574" i="6"/>
  <c r="D3574" i="6"/>
  <c r="U3574" i="6" s="1"/>
  <c r="C3574" i="6"/>
  <c r="B3574" i="6"/>
  <c r="Q3573" i="6"/>
  <c r="N3573" i="6"/>
  <c r="M3573" i="6"/>
  <c r="L3573" i="6"/>
  <c r="K3573" i="6"/>
  <c r="J3573" i="6"/>
  <c r="I3573" i="6"/>
  <c r="P3573" i="6" s="1"/>
  <c r="H3573" i="6"/>
  <c r="G3573" i="6"/>
  <c r="F3573" i="6"/>
  <c r="D3573" i="6"/>
  <c r="U3573" i="6" s="1"/>
  <c r="C3573" i="6"/>
  <c r="E3573" i="6" s="1"/>
  <c r="B3573" i="6"/>
  <c r="Q3572" i="6"/>
  <c r="N3572" i="6"/>
  <c r="M3572" i="6"/>
  <c r="L3572" i="6"/>
  <c r="K3572" i="6"/>
  <c r="J3572" i="6"/>
  <c r="I3572" i="6"/>
  <c r="P3572" i="6" s="1"/>
  <c r="H3572" i="6"/>
  <c r="G3572" i="6"/>
  <c r="F3572" i="6"/>
  <c r="D3572" i="6"/>
  <c r="U3572" i="6" s="1"/>
  <c r="C3572" i="6"/>
  <c r="B3572" i="6"/>
  <c r="Q3571" i="6"/>
  <c r="P3571" i="6"/>
  <c r="N3571" i="6"/>
  <c r="M3571" i="6"/>
  <c r="L3571" i="6"/>
  <c r="K3571" i="6"/>
  <c r="J3571" i="6"/>
  <c r="I3571" i="6"/>
  <c r="H3571" i="6"/>
  <c r="G3571" i="6"/>
  <c r="F3571" i="6"/>
  <c r="D3571" i="6"/>
  <c r="U3571" i="6" s="1"/>
  <c r="C3571" i="6"/>
  <c r="E3571" i="6" s="1"/>
  <c r="B3571" i="6"/>
  <c r="Q3570" i="6"/>
  <c r="P3570" i="6"/>
  <c r="N3570" i="6"/>
  <c r="M3570" i="6"/>
  <c r="L3570" i="6"/>
  <c r="K3570" i="6"/>
  <c r="J3570" i="6"/>
  <c r="I3570" i="6"/>
  <c r="H3570" i="6"/>
  <c r="G3570" i="6"/>
  <c r="F3570" i="6"/>
  <c r="D3570" i="6"/>
  <c r="U3570" i="6" s="1"/>
  <c r="C3570" i="6"/>
  <c r="B3570" i="6"/>
  <c r="Q3569" i="6"/>
  <c r="N3569" i="6"/>
  <c r="M3569" i="6"/>
  <c r="L3569" i="6"/>
  <c r="K3569" i="6"/>
  <c r="J3569" i="6"/>
  <c r="I3569" i="6"/>
  <c r="P3569" i="6" s="1"/>
  <c r="H3569" i="6"/>
  <c r="G3569" i="6"/>
  <c r="F3569" i="6"/>
  <c r="D3569" i="6"/>
  <c r="U3569" i="6" s="1"/>
  <c r="C3569" i="6"/>
  <c r="E3569" i="6" s="1"/>
  <c r="B3569" i="6"/>
  <c r="Q3568" i="6"/>
  <c r="N3568" i="6"/>
  <c r="M3568" i="6"/>
  <c r="L3568" i="6"/>
  <c r="K3568" i="6"/>
  <c r="J3568" i="6"/>
  <c r="I3568" i="6"/>
  <c r="P3568" i="6" s="1"/>
  <c r="H3568" i="6"/>
  <c r="G3568" i="6"/>
  <c r="F3568" i="6"/>
  <c r="D3568" i="6"/>
  <c r="U3568" i="6" s="1"/>
  <c r="C3568" i="6"/>
  <c r="B3568" i="6"/>
  <c r="Q3567" i="6"/>
  <c r="P3567" i="6"/>
  <c r="N3567" i="6"/>
  <c r="M3567" i="6"/>
  <c r="L3567" i="6"/>
  <c r="K3567" i="6"/>
  <c r="J3567" i="6"/>
  <c r="I3567" i="6"/>
  <c r="H3567" i="6"/>
  <c r="G3567" i="6"/>
  <c r="F3567" i="6"/>
  <c r="D3567" i="6"/>
  <c r="U3567" i="6" s="1"/>
  <c r="C3567" i="6"/>
  <c r="E3567" i="6" s="1"/>
  <c r="B3567" i="6"/>
  <c r="Q3566" i="6"/>
  <c r="P3566" i="6"/>
  <c r="N3566" i="6"/>
  <c r="M3566" i="6"/>
  <c r="L3566" i="6"/>
  <c r="K3566" i="6"/>
  <c r="J3566" i="6"/>
  <c r="I3566" i="6"/>
  <c r="H3566" i="6"/>
  <c r="G3566" i="6"/>
  <c r="F3566" i="6"/>
  <c r="D3566" i="6"/>
  <c r="U3566" i="6" s="1"/>
  <c r="C3566" i="6"/>
  <c r="B3566" i="6"/>
  <c r="Q3565" i="6"/>
  <c r="N3565" i="6"/>
  <c r="M3565" i="6"/>
  <c r="L3565" i="6"/>
  <c r="K3565" i="6"/>
  <c r="J3565" i="6"/>
  <c r="I3565" i="6"/>
  <c r="P3565" i="6" s="1"/>
  <c r="H3565" i="6"/>
  <c r="G3565" i="6"/>
  <c r="F3565" i="6"/>
  <c r="D3565" i="6"/>
  <c r="U3565" i="6" s="1"/>
  <c r="C3565" i="6"/>
  <c r="E3565" i="6" s="1"/>
  <c r="B3565" i="6"/>
  <c r="Q3564" i="6"/>
  <c r="N3564" i="6"/>
  <c r="M3564" i="6"/>
  <c r="L3564" i="6"/>
  <c r="K3564" i="6"/>
  <c r="J3564" i="6"/>
  <c r="I3564" i="6"/>
  <c r="P3564" i="6" s="1"/>
  <c r="H3564" i="6"/>
  <c r="G3564" i="6"/>
  <c r="F3564" i="6"/>
  <c r="D3564" i="6"/>
  <c r="U3564" i="6" s="1"/>
  <c r="C3564" i="6"/>
  <c r="B3564" i="6"/>
  <c r="Q3563" i="6"/>
  <c r="P3563" i="6"/>
  <c r="N3563" i="6"/>
  <c r="M3563" i="6"/>
  <c r="L3563" i="6"/>
  <c r="K3563" i="6"/>
  <c r="J3563" i="6"/>
  <c r="I3563" i="6"/>
  <c r="H3563" i="6"/>
  <c r="G3563" i="6"/>
  <c r="F3563" i="6"/>
  <c r="D3563" i="6"/>
  <c r="U3563" i="6" s="1"/>
  <c r="C3563" i="6"/>
  <c r="E3563" i="6" s="1"/>
  <c r="B3563" i="6"/>
  <c r="Q3562" i="6"/>
  <c r="P3562" i="6"/>
  <c r="N3562" i="6"/>
  <c r="M3562" i="6"/>
  <c r="L3562" i="6"/>
  <c r="K3562" i="6"/>
  <c r="J3562" i="6"/>
  <c r="I3562" i="6"/>
  <c r="H3562" i="6"/>
  <c r="G3562" i="6"/>
  <c r="F3562" i="6"/>
  <c r="D3562" i="6"/>
  <c r="U3562" i="6" s="1"/>
  <c r="C3562" i="6"/>
  <c r="B3562" i="6"/>
  <c r="Q3561" i="6"/>
  <c r="N3561" i="6"/>
  <c r="M3561" i="6"/>
  <c r="L3561" i="6"/>
  <c r="K3561" i="6"/>
  <c r="J3561" i="6"/>
  <c r="I3561" i="6"/>
  <c r="P3561" i="6" s="1"/>
  <c r="H3561" i="6"/>
  <c r="G3561" i="6"/>
  <c r="F3561" i="6"/>
  <c r="D3561" i="6"/>
  <c r="U3561" i="6" s="1"/>
  <c r="C3561" i="6"/>
  <c r="E3561" i="6" s="1"/>
  <c r="B3561" i="6"/>
  <c r="Q3560" i="6"/>
  <c r="N3560" i="6"/>
  <c r="M3560" i="6"/>
  <c r="L3560" i="6"/>
  <c r="K3560" i="6"/>
  <c r="J3560" i="6"/>
  <c r="I3560" i="6"/>
  <c r="P3560" i="6" s="1"/>
  <c r="H3560" i="6"/>
  <c r="G3560" i="6"/>
  <c r="F3560" i="6"/>
  <c r="D3560" i="6"/>
  <c r="U3560" i="6" s="1"/>
  <c r="C3560" i="6"/>
  <c r="B3560" i="6"/>
  <c r="Q3559" i="6"/>
  <c r="P3559" i="6"/>
  <c r="N3559" i="6"/>
  <c r="M3559" i="6"/>
  <c r="L3559" i="6"/>
  <c r="K3559" i="6"/>
  <c r="J3559" i="6"/>
  <c r="I3559" i="6"/>
  <c r="H3559" i="6"/>
  <c r="G3559" i="6"/>
  <c r="F3559" i="6"/>
  <c r="D3559" i="6"/>
  <c r="U3559" i="6" s="1"/>
  <c r="C3559" i="6"/>
  <c r="E3559" i="6" s="1"/>
  <c r="B3559" i="6"/>
  <c r="Q3558" i="6"/>
  <c r="P3558" i="6"/>
  <c r="N3558" i="6"/>
  <c r="M3558" i="6"/>
  <c r="L3558" i="6"/>
  <c r="K3558" i="6"/>
  <c r="J3558" i="6"/>
  <c r="I3558" i="6"/>
  <c r="H3558" i="6"/>
  <c r="G3558" i="6"/>
  <c r="F3558" i="6"/>
  <c r="D3558" i="6"/>
  <c r="U3558" i="6" s="1"/>
  <c r="C3558" i="6"/>
  <c r="B3558" i="6"/>
  <c r="Q3557" i="6"/>
  <c r="N3557" i="6"/>
  <c r="M3557" i="6"/>
  <c r="L3557" i="6"/>
  <c r="K3557" i="6"/>
  <c r="J3557" i="6"/>
  <c r="I3557" i="6"/>
  <c r="P3557" i="6" s="1"/>
  <c r="H3557" i="6"/>
  <c r="G3557" i="6"/>
  <c r="F3557" i="6"/>
  <c r="D3557" i="6"/>
  <c r="U3557" i="6" s="1"/>
  <c r="C3557" i="6"/>
  <c r="E3557" i="6" s="1"/>
  <c r="B3557" i="6"/>
  <c r="Q3556" i="6"/>
  <c r="N3556" i="6"/>
  <c r="M3556" i="6"/>
  <c r="L3556" i="6"/>
  <c r="K3556" i="6"/>
  <c r="J3556" i="6"/>
  <c r="I3556" i="6"/>
  <c r="P3556" i="6" s="1"/>
  <c r="H3556" i="6"/>
  <c r="G3556" i="6"/>
  <c r="F3556" i="6"/>
  <c r="D3556" i="6"/>
  <c r="U3556" i="6" s="1"/>
  <c r="C3556" i="6"/>
  <c r="B3556" i="6"/>
  <c r="Q3555" i="6"/>
  <c r="P3555" i="6"/>
  <c r="N3555" i="6"/>
  <c r="M3555" i="6"/>
  <c r="L3555" i="6"/>
  <c r="K3555" i="6"/>
  <c r="J3555" i="6"/>
  <c r="I3555" i="6"/>
  <c r="H3555" i="6"/>
  <c r="G3555" i="6"/>
  <c r="F3555" i="6"/>
  <c r="D3555" i="6"/>
  <c r="U3555" i="6" s="1"/>
  <c r="C3555" i="6"/>
  <c r="E3555" i="6" s="1"/>
  <c r="B3555" i="6"/>
  <c r="Q3554" i="6"/>
  <c r="P3554" i="6"/>
  <c r="N3554" i="6"/>
  <c r="M3554" i="6"/>
  <c r="L3554" i="6"/>
  <c r="K3554" i="6"/>
  <c r="J3554" i="6"/>
  <c r="I3554" i="6"/>
  <c r="H3554" i="6"/>
  <c r="G3554" i="6"/>
  <c r="F3554" i="6"/>
  <c r="D3554" i="6"/>
  <c r="U3554" i="6" s="1"/>
  <c r="C3554" i="6"/>
  <c r="B3554" i="6"/>
  <c r="Q3553" i="6"/>
  <c r="N3553" i="6"/>
  <c r="M3553" i="6"/>
  <c r="L3553" i="6"/>
  <c r="K3553" i="6"/>
  <c r="J3553" i="6"/>
  <c r="I3553" i="6"/>
  <c r="P3553" i="6" s="1"/>
  <c r="H3553" i="6"/>
  <c r="G3553" i="6"/>
  <c r="F3553" i="6"/>
  <c r="D3553" i="6"/>
  <c r="U3553" i="6" s="1"/>
  <c r="C3553" i="6"/>
  <c r="E3553" i="6" s="1"/>
  <c r="B3553" i="6"/>
  <c r="Q3552" i="6"/>
  <c r="N3552" i="6"/>
  <c r="M3552" i="6"/>
  <c r="L3552" i="6"/>
  <c r="K3552" i="6"/>
  <c r="J3552" i="6"/>
  <c r="I3552" i="6"/>
  <c r="P3552" i="6" s="1"/>
  <c r="H3552" i="6"/>
  <c r="G3552" i="6"/>
  <c r="F3552" i="6"/>
  <c r="D3552" i="6"/>
  <c r="U3552" i="6" s="1"/>
  <c r="C3552" i="6"/>
  <c r="B3552" i="6"/>
  <c r="Q3551" i="6"/>
  <c r="P3551" i="6"/>
  <c r="N3551" i="6"/>
  <c r="M3551" i="6"/>
  <c r="L3551" i="6"/>
  <c r="K3551" i="6"/>
  <c r="J3551" i="6"/>
  <c r="I3551" i="6"/>
  <c r="H3551" i="6"/>
  <c r="G3551" i="6"/>
  <c r="F3551" i="6"/>
  <c r="D3551" i="6"/>
  <c r="U3551" i="6" s="1"/>
  <c r="C3551" i="6"/>
  <c r="E3551" i="6" s="1"/>
  <c r="B3551" i="6"/>
  <c r="Q3550" i="6"/>
  <c r="P3550" i="6"/>
  <c r="N3550" i="6"/>
  <c r="M3550" i="6"/>
  <c r="L3550" i="6"/>
  <c r="K3550" i="6"/>
  <c r="J3550" i="6"/>
  <c r="I3550" i="6"/>
  <c r="H3550" i="6"/>
  <c r="G3550" i="6"/>
  <c r="F3550" i="6"/>
  <c r="D3550" i="6"/>
  <c r="U3550" i="6" s="1"/>
  <c r="C3550" i="6"/>
  <c r="B3550" i="6"/>
  <c r="Q3549" i="6"/>
  <c r="N3549" i="6"/>
  <c r="M3549" i="6"/>
  <c r="L3549" i="6"/>
  <c r="K3549" i="6"/>
  <c r="J3549" i="6"/>
  <c r="I3549" i="6"/>
  <c r="P3549" i="6" s="1"/>
  <c r="H3549" i="6"/>
  <c r="G3549" i="6"/>
  <c r="F3549" i="6"/>
  <c r="D3549" i="6"/>
  <c r="U3549" i="6" s="1"/>
  <c r="C3549" i="6"/>
  <c r="E3549" i="6" s="1"/>
  <c r="B3549" i="6"/>
  <c r="Q3548" i="6"/>
  <c r="N3548" i="6"/>
  <c r="M3548" i="6"/>
  <c r="L3548" i="6"/>
  <c r="K3548" i="6"/>
  <c r="J3548" i="6"/>
  <c r="I3548" i="6"/>
  <c r="P3548" i="6" s="1"/>
  <c r="H3548" i="6"/>
  <c r="G3548" i="6"/>
  <c r="F3548" i="6"/>
  <c r="D3548" i="6"/>
  <c r="U3548" i="6" s="1"/>
  <c r="C3548" i="6"/>
  <c r="B3548" i="6"/>
  <c r="Q3547" i="6"/>
  <c r="P3547" i="6"/>
  <c r="N3547" i="6"/>
  <c r="M3547" i="6"/>
  <c r="L3547" i="6"/>
  <c r="K3547" i="6"/>
  <c r="J3547" i="6"/>
  <c r="I3547" i="6"/>
  <c r="H3547" i="6"/>
  <c r="G3547" i="6"/>
  <c r="F3547" i="6"/>
  <c r="D3547" i="6"/>
  <c r="U3547" i="6" s="1"/>
  <c r="C3547" i="6"/>
  <c r="E3547" i="6" s="1"/>
  <c r="B3547" i="6"/>
  <c r="Q3546" i="6"/>
  <c r="P3546" i="6"/>
  <c r="N3546" i="6"/>
  <c r="M3546" i="6"/>
  <c r="L3546" i="6"/>
  <c r="K3546" i="6"/>
  <c r="J3546" i="6"/>
  <c r="I3546" i="6"/>
  <c r="H3546" i="6"/>
  <c r="G3546" i="6"/>
  <c r="F3546" i="6"/>
  <c r="D3546" i="6"/>
  <c r="U3546" i="6" s="1"/>
  <c r="C3546" i="6"/>
  <c r="B3546" i="6"/>
  <c r="Q3545" i="6"/>
  <c r="N3545" i="6"/>
  <c r="M3545" i="6"/>
  <c r="L3545" i="6"/>
  <c r="K3545" i="6"/>
  <c r="J3545" i="6"/>
  <c r="I3545" i="6"/>
  <c r="P3545" i="6" s="1"/>
  <c r="H3545" i="6"/>
  <c r="G3545" i="6"/>
  <c r="F3545" i="6"/>
  <c r="D3545" i="6"/>
  <c r="U3545" i="6" s="1"/>
  <c r="C3545" i="6"/>
  <c r="E3545" i="6" s="1"/>
  <c r="B3545" i="6"/>
  <c r="Q3544" i="6"/>
  <c r="N3544" i="6"/>
  <c r="M3544" i="6"/>
  <c r="L3544" i="6"/>
  <c r="K3544" i="6"/>
  <c r="J3544" i="6"/>
  <c r="I3544" i="6"/>
  <c r="P3544" i="6" s="1"/>
  <c r="H3544" i="6"/>
  <c r="G3544" i="6"/>
  <c r="F3544" i="6"/>
  <c r="D3544" i="6"/>
  <c r="U3544" i="6" s="1"/>
  <c r="C3544" i="6"/>
  <c r="B3544" i="6"/>
  <c r="Q3543" i="6"/>
  <c r="P3543" i="6"/>
  <c r="N3543" i="6"/>
  <c r="M3543" i="6"/>
  <c r="L3543" i="6"/>
  <c r="K3543" i="6"/>
  <c r="J3543" i="6"/>
  <c r="I3543" i="6"/>
  <c r="H3543" i="6"/>
  <c r="G3543" i="6"/>
  <c r="F3543" i="6"/>
  <c r="D3543" i="6"/>
  <c r="U3543" i="6" s="1"/>
  <c r="C3543" i="6"/>
  <c r="E3543" i="6" s="1"/>
  <c r="B3543" i="6"/>
  <c r="Q3542" i="6"/>
  <c r="P3542" i="6"/>
  <c r="N3542" i="6"/>
  <c r="M3542" i="6"/>
  <c r="L3542" i="6"/>
  <c r="K3542" i="6"/>
  <c r="J3542" i="6"/>
  <c r="I3542" i="6"/>
  <c r="H3542" i="6"/>
  <c r="G3542" i="6"/>
  <c r="F3542" i="6"/>
  <c r="D3542" i="6"/>
  <c r="U3542" i="6" s="1"/>
  <c r="C3542" i="6"/>
  <c r="B3542" i="6"/>
  <c r="Q3541" i="6"/>
  <c r="N3541" i="6"/>
  <c r="M3541" i="6"/>
  <c r="L3541" i="6"/>
  <c r="K3541" i="6"/>
  <c r="J3541" i="6"/>
  <c r="I3541" i="6"/>
  <c r="P3541" i="6" s="1"/>
  <c r="H3541" i="6"/>
  <c r="G3541" i="6"/>
  <c r="F3541" i="6"/>
  <c r="D3541" i="6"/>
  <c r="U3541" i="6" s="1"/>
  <c r="C3541" i="6"/>
  <c r="E3541" i="6" s="1"/>
  <c r="B3541" i="6"/>
  <c r="Q3540" i="6"/>
  <c r="N3540" i="6"/>
  <c r="M3540" i="6"/>
  <c r="L3540" i="6"/>
  <c r="K3540" i="6"/>
  <c r="J3540" i="6"/>
  <c r="I3540" i="6"/>
  <c r="P3540" i="6" s="1"/>
  <c r="H3540" i="6"/>
  <c r="G3540" i="6"/>
  <c r="F3540" i="6"/>
  <c r="D3540" i="6"/>
  <c r="U3540" i="6" s="1"/>
  <c r="C3540" i="6"/>
  <c r="B3540" i="6"/>
  <c r="Q3539" i="6"/>
  <c r="P3539" i="6"/>
  <c r="N3539" i="6"/>
  <c r="M3539" i="6"/>
  <c r="L3539" i="6"/>
  <c r="K3539" i="6"/>
  <c r="J3539" i="6"/>
  <c r="I3539" i="6"/>
  <c r="H3539" i="6"/>
  <c r="G3539" i="6"/>
  <c r="F3539" i="6"/>
  <c r="D3539" i="6"/>
  <c r="U3539" i="6" s="1"/>
  <c r="C3539" i="6"/>
  <c r="E3539" i="6" s="1"/>
  <c r="B3539" i="6"/>
  <c r="Q3538" i="6"/>
  <c r="P3538" i="6"/>
  <c r="N3538" i="6"/>
  <c r="M3538" i="6"/>
  <c r="L3538" i="6"/>
  <c r="K3538" i="6"/>
  <c r="J3538" i="6"/>
  <c r="I3538" i="6"/>
  <c r="H3538" i="6"/>
  <c r="G3538" i="6"/>
  <c r="F3538" i="6"/>
  <c r="D3538" i="6"/>
  <c r="U3538" i="6" s="1"/>
  <c r="C3538" i="6"/>
  <c r="B3538" i="6"/>
  <c r="Q3537" i="6"/>
  <c r="N3537" i="6"/>
  <c r="M3537" i="6"/>
  <c r="L3537" i="6"/>
  <c r="K3537" i="6"/>
  <c r="J3537" i="6"/>
  <c r="I3537" i="6"/>
  <c r="P3537" i="6" s="1"/>
  <c r="H3537" i="6"/>
  <c r="G3537" i="6"/>
  <c r="F3537" i="6"/>
  <c r="D3537" i="6"/>
  <c r="U3537" i="6" s="1"/>
  <c r="C3537" i="6"/>
  <c r="E3537" i="6" s="1"/>
  <c r="B3537" i="6"/>
  <c r="Q3536" i="6"/>
  <c r="N3536" i="6"/>
  <c r="M3536" i="6"/>
  <c r="L3536" i="6"/>
  <c r="K3536" i="6"/>
  <c r="J3536" i="6"/>
  <c r="I3536" i="6"/>
  <c r="P3536" i="6" s="1"/>
  <c r="H3536" i="6"/>
  <c r="G3536" i="6"/>
  <c r="F3536" i="6"/>
  <c r="D3536" i="6"/>
  <c r="U3536" i="6" s="1"/>
  <c r="C3536" i="6"/>
  <c r="B3536" i="6"/>
  <c r="Q3535" i="6"/>
  <c r="P3535" i="6"/>
  <c r="N3535" i="6"/>
  <c r="M3535" i="6"/>
  <c r="L3535" i="6"/>
  <c r="K3535" i="6"/>
  <c r="J3535" i="6"/>
  <c r="I3535" i="6"/>
  <c r="H3535" i="6"/>
  <c r="G3535" i="6"/>
  <c r="F3535" i="6"/>
  <c r="D3535" i="6"/>
  <c r="U3535" i="6" s="1"/>
  <c r="C3535" i="6"/>
  <c r="E3535" i="6" s="1"/>
  <c r="B3535" i="6"/>
  <c r="Q3534" i="6"/>
  <c r="P3534" i="6"/>
  <c r="N3534" i="6"/>
  <c r="M3534" i="6"/>
  <c r="L3534" i="6"/>
  <c r="K3534" i="6"/>
  <c r="J3534" i="6"/>
  <c r="I3534" i="6"/>
  <c r="H3534" i="6"/>
  <c r="G3534" i="6"/>
  <c r="F3534" i="6"/>
  <c r="D3534" i="6"/>
  <c r="U3534" i="6" s="1"/>
  <c r="C3534" i="6"/>
  <c r="B3534" i="6"/>
  <c r="Q3533" i="6"/>
  <c r="N3533" i="6"/>
  <c r="M3533" i="6"/>
  <c r="L3533" i="6"/>
  <c r="K3533" i="6"/>
  <c r="J3533" i="6"/>
  <c r="I3533" i="6"/>
  <c r="P3533" i="6" s="1"/>
  <c r="H3533" i="6"/>
  <c r="G3533" i="6"/>
  <c r="F3533" i="6"/>
  <c r="D3533" i="6"/>
  <c r="U3533" i="6" s="1"/>
  <c r="C3533" i="6"/>
  <c r="E3533" i="6" s="1"/>
  <c r="B3533" i="6"/>
  <c r="Q3532" i="6"/>
  <c r="N3532" i="6"/>
  <c r="M3532" i="6"/>
  <c r="L3532" i="6"/>
  <c r="K3532" i="6"/>
  <c r="J3532" i="6"/>
  <c r="I3532" i="6"/>
  <c r="P3532" i="6" s="1"/>
  <c r="H3532" i="6"/>
  <c r="G3532" i="6"/>
  <c r="F3532" i="6"/>
  <c r="D3532" i="6"/>
  <c r="U3532" i="6" s="1"/>
  <c r="C3532" i="6"/>
  <c r="B3532" i="6"/>
  <c r="Q3531" i="6"/>
  <c r="P3531" i="6"/>
  <c r="N3531" i="6"/>
  <c r="M3531" i="6"/>
  <c r="L3531" i="6"/>
  <c r="K3531" i="6"/>
  <c r="J3531" i="6"/>
  <c r="I3531" i="6"/>
  <c r="H3531" i="6"/>
  <c r="G3531" i="6"/>
  <c r="F3531" i="6"/>
  <c r="D3531" i="6"/>
  <c r="U3531" i="6" s="1"/>
  <c r="C3531" i="6"/>
  <c r="E3531" i="6" s="1"/>
  <c r="B3531" i="6"/>
  <c r="Q3530" i="6"/>
  <c r="P3530" i="6"/>
  <c r="N3530" i="6"/>
  <c r="M3530" i="6"/>
  <c r="L3530" i="6"/>
  <c r="K3530" i="6"/>
  <c r="J3530" i="6"/>
  <c r="I3530" i="6"/>
  <c r="H3530" i="6"/>
  <c r="G3530" i="6"/>
  <c r="F3530" i="6"/>
  <c r="D3530" i="6"/>
  <c r="U3530" i="6" s="1"/>
  <c r="C3530" i="6"/>
  <c r="B3530" i="6"/>
  <c r="Q3529" i="6"/>
  <c r="N3529" i="6"/>
  <c r="M3529" i="6"/>
  <c r="L3529" i="6"/>
  <c r="K3529" i="6"/>
  <c r="J3529" i="6"/>
  <c r="I3529" i="6"/>
  <c r="P3529" i="6" s="1"/>
  <c r="H3529" i="6"/>
  <c r="G3529" i="6"/>
  <c r="F3529" i="6"/>
  <c r="D3529" i="6"/>
  <c r="U3529" i="6" s="1"/>
  <c r="C3529" i="6"/>
  <c r="E3529" i="6" s="1"/>
  <c r="B3529" i="6"/>
  <c r="Q3528" i="6"/>
  <c r="N3528" i="6"/>
  <c r="M3528" i="6"/>
  <c r="L3528" i="6"/>
  <c r="K3528" i="6"/>
  <c r="J3528" i="6"/>
  <c r="I3528" i="6"/>
  <c r="P3528" i="6" s="1"/>
  <c r="H3528" i="6"/>
  <c r="G3528" i="6"/>
  <c r="F3528" i="6"/>
  <c r="D3528" i="6"/>
  <c r="U3528" i="6" s="1"/>
  <c r="C3528" i="6"/>
  <c r="B3528" i="6"/>
  <c r="Q3527" i="6"/>
  <c r="P3527" i="6"/>
  <c r="N3527" i="6"/>
  <c r="M3527" i="6"/>
  <c r="L3527" i="6"/>
  <c r="K3527" i="6"/>
  <c r="J3527" i="6"/>
  <c r="I3527" i="6"/>
  <c r="H3527" i="6"/>
  <c r="G3527" i="6"/>
  <c r="F3527" i="6"/>
  <c r="D3527" i="6"/>
  <c r="U3527" i="6" s="1"/>
  <c r="C3527" i="6"/>
  <c r="E3527" i="6" s="1"/>
  <c r="B3527" i="6"/>
  <c r="Q3526" i="6"/>
  <c r="P3526" i="6"/>
  <c r="N3526" i="6"/>
  <c r="M3526" i="6"/>
  <c r="L3526" i="6"/>
  <c r="K3526" i="6"/>
  <c r="J3526" i="6"/>
  <c r="I3526" i="6"/>
  <c r="H3526" i="6"/>
  <c r="G3526" i="6"/>
  <c r="F3526" i="6"/>
  <c r="D3526" i="6"/>
  <c r="U3526" i="6" s="1"/>
  <c r="C3526" i="6"/>
  <c r="B3526" i="6"/>
  <c r="Q3525" i="6"/>
  <c r="N3525" i="6"/>
  <c r="M3525" i="6"/>
  <c r="L3525" i="6"/>
  <c r="K3525" i="6"/>
  <c r="J3525" i="6"/>
  <c r="I3525" i="6"/>
  <c r="P3525" i="6" s="1"/>
  <c r="H3525" i="6"/>
  <c r="G3525" i="6"/>
  <c r="F3525" i="6"/>
  <c r="D3525" i="6"/>
  <c r="U3525" i="6" s="1"/>
  <c r="C3525" i="6"/>
  <c r="E3525" i="6" s="1"/>
  <c r="B3525" i="6"/>
  <c r="Q3524" i="6"/>
  <c r="N3524" i="6"/>
  <c r="M3524" i="6"/>
  <c r="L3524" i="6"/>
  <c r="K3524" i="6"/>
  <c r="J3524" i="6"/>
  <c r="I3524" i="6"/>
  <c r="P3524" i="6" s="1"/>
  <c r="H3524" i="6"/>
  <c r="G3524" i="6"/>
  <c r="F3524" i="6"/>
  <c r="D3524" i="6"/>
  <c r="U3524" i="6" s="1"/>
  <c r="C3524" i="6"/>
  <c r="B3524" i="6"/>
  <c r="Q3523" i="6"/>
  <c r="P3523" i="6"/>
  <c r="N3523" i="6"/>
  <c r="M3523" i="6"/>
  <c r="L3523" i="6"/>
  <c r="K3523" i="6"/>
  <c r="J3523" i="6"/>
  <c r="I3523" i="6"/>
  <c r="H3523" i="6"/>
  <c r="G3523" i="6"/>
  <c r="F3523" i="6"/>
  <c r="D3523" i="6"/>
  <c r="U3523" i="6" s="1"/>
  <c r="C3523" i="6"/>
  <c r="E3523" i="6" s="1"/>
  <c r="B3523" i="6"/>
  <c r="Q3522" i="6"/>
  <c r="P3522" i="6"/>
  <c r="N3522" i="6"/>
  <c r="M3522" i="6"/>
  <c r="L3522" i="6"/>
  <c r="K3522" i="6"/>
  <c r="J3522" i="6"/>
  <c r="I3522" i="6"/>
  <c r="H3522" i="6"/>
  <c r="G3522" i="6"/>
  <c r="F3522" i="6"/>
  <c r="D3522" i="6"/>
  <c r="U3522" i="6" s="1"/>
  <c r="C3522" i="6"/>
  <c r="B3522" i="6"/>
  <c r="Q3521" i="6"/>
  <c r="N3521" i="6"/>
  <c r="M3521" i="6"/>
  <c r="L3521" i="6"/>
  <c r="K3521" i="6"/>
  <c r="J3521" i="6"/>
  <c r="I3521" i="6"/>
  <c r="P3521" i="6" s="1"/>
  <c r="H3521" i="6"/>
  <c r="G3521" i="6"/>
  <c r="F3521" i="6"/>
  <c r="D3521" i="6"/>
  <c r="U3521" i="6" s="1"/>
  <c r="C3521" i="6"/>
  <c r="E3521" i="6" s="1"/>
  <c r="B3521" i="6"/>
  <c r="Q3520" i="6"/>
  <c r="N3520" i="6"/>
  <c r="M3520" i="6"/>
  <c r="L3520" i="6"/>
  <c r="K3520" i="6"/>
  <c r="J3520" i="6"/>
  <c r="I3520" i="6"/>
  <c r="P3520" i="6" s="1"/>
  <c r="H3520" i="6"/>
  <c r="G3520" i="6"/>
  <c r="F3520" i="6"/>
  <c r="D3520" i="6"/>
  <c r="U3520" i="6" s="1"/>
  <c r="C3520" i="6"/>
  <c r="B3520" i="6"/>
  <c r="Q3519" i="6"/>
  <c r="P3519" i="6"/>
  <c r="N3519" i="6"/>
  <c r="M3519" i="6"/>
  <c r="L3519" i="6"/>
  <c r="K3519" i="6"/>
  <c r="J3519" i="6"/>
  <c r="I3519" i="6"/>
  <c r="H3519" i="6"/>
  <c r="G3519" i="6"/>
  <c r="F3519" i="6"/>
  <c r="D3519" i="6"/>
  <c r="U3519" i="6" s="1"/>
  <c r="C3519" i="6"/>
  <c r="E3519" i="6" s="1"/>
  <c r="B3519" i="6"/>
  <c r="Q3518" i="6"/>
  <c r="P3518" i="6"/>
  <c r="N3518" i="6"/>
  <c r="M3518" i="6"/>
  <c r="L3518" i="6"/>
  <c r="K3518" i="6"/>
  <c r="J3518" i="6"/>
  <c r="I3518" i="6"/>
  <c r="H3518" i="6"/>
  <c r="G3518" i="6"/>
  <c r="F3518" i="6"/>
  <c r="D3518" i="6"/>
  <c r="U3518" i="6" s="1"/>
  <c r="C3518" i="6"/>
  <c r="B3518" i="6"/>
  <c r="Q3517" i="6"/>
  <c r="N3517" i="6"/>
  <c r="M3517" i="6"/>
  <c r="L3517" i="6"/>
  <c r="K3517" i="6"/>
  <c r="J3517" i="6"/>
  <c r="I3517" i="6"/>
  <c r="P3517" i="6" s="1"/>
  <c r="H3517" i="6"/>
  <c r="G3517" i="6"/>
  <c r="F3517" i="6"/>
  <c r="D3517" i="6"/>
  <c r="U3517" i="6" s="1"/>
  <c r="C3517" i="6"/>
  <c r="E3517" i="6" s="1"/>
  <c r="B3517" i="6"/>
  <c r="Q3516" i="6"/>
  <c r="N3516" i="6"/>
  <c r="M3516" i="6"/>
  <c r="L3516" i="6"/>
  <c r="K3516" i="6"/>
  <c r="J3516" i="6"/>
  <c r="I3516" i="6"/>
  <c r="P3516" i="6" s="1"/>
  <c r="H3516" i="6"/>
  <c r="G3516" i="6"/>
  <c r="F3516" i="6"/>
  <c r="D3516" i="6"/>
  <c r="U3516" i="6" s="1"/>
  <c r="C3516" i="6"/>
  <c r="B3516" i="6"/>
  <c r="Q3515" i="6"/>
  <c r="P3515" i="6"/>
  <c r="N3515" i="6"/>
  <c r="M3515" i="6"/>
  <c r="L3515" i="6"/>
  <c r="K3515" i="6"/>
  <c r="J3515" i="6"/>
  <c r="I3515" i="6"/>
  <c r="H3515" i="6"/>
  <c r="G3515" i="6"/>
  <c r="F3515" i="6"/>
  <c r="D3515" i="6"/>
  <c r="U3515" i="6" s="1"/>
  <c r="C3515" i="6"/>
  <c r="E3515" i="6" s="1"/>
  <c r="B3515" i="6"/>
  <c r="Q3514" i="6"/>
  <c r="P3514" i="6"/>
  <c r="N3514" i="6"/>
  <c r="M3514" i="6"/>
  <c r="L3514" i="6"/>
  <c r="K3514" i="6"/>
  <c r="J3514" i="6"/>
  <c r="I3514" i="6"/>
  <c r="H3514" i="6"/>
  <c r="G3514" i="6"/>
  <c r="F3514" i="6"/>
  <c r="D3514" i="6"/>
  <c r="U3514" i="6" s="1"/>
  <c r="C3514" i="6"/>
  <c r="B3514" i="6"/>
  <c r="Q3513" i="6"/>
  <c r="N3513" i="6"/>
  <c r="M3513" i="6"/>
  <c r="L3513" i="6"/>
  <c r="K3513" i="6"/>
  <c r="J3513" i="6"/>
  <c r="I3513" i="6"/>
  <c r="P3513" i="6" s="1"/>
  <c r="H3513" i="6"/>
  <c r="G3513" i="6"/>
  <c r="F3513" i="6"/>
  <c r="D3513" i="6"/>
  <c r="U3513" i="6" s="1"/>
  <c r="C3513" i="6"/>
  <c r="E3513" i="6" s="1"/>
  <c r="B3513" i="6"/>
  <c r="Q3512" i="6"/>
  <c r="N3512" i="6"/>
  <c r="M3512" i="6"/>
  <c r="L3512" i="6"/>
  <c r="K3512" i="6"/>
  <c r="J3512" i="6"/>
  <c r="I3512" i="6"/>
  <c r="P3512" i="6" s="1"/>
  <c r="H3512" i="6"/>
  <c r="G3512" i="6"/>
  <c r="F3512" i="6"/>
  <c r="D3512" i="6"/>
  <c r="U3512" i="6" s="1"/>
  <c r="C3512" i="6"/>
  <c r="B3512" i="6"/>
  <c r="Q3511" i="6"/>
  <c r="P3511" i="6"/>
  <c r="N3511" i="6"/>
  <c r="M3511" i="6"/>
  <c r="L3511" i="6"/>
  <c r="K3511" i="6"/>
  <c r="J3511" i="6"/>
  <c r="I3511" i="6"/>
  <c r="H3511" i="6"/>
  <c r="G3511" i="6"/>
  <c r="F3511" i="6"/>
  <c r="D3511" i="6"/>
  <c r="U3511" i="6" s="1"/>
  <c r="C3511" i="6"/>
  <c r="E3511" i="6" s="1"/>
  <c r="B3511" i="6"/>
  <c r="Q3510" i="6"/>
  <c r="P3510" i="6"/>
  <c r="N3510" i="6"/>
  <c r="M3510" i="6"/>
  <c r="L3510" i="6"/>
  <c r="K3510" i="6"/>
  <c r="J3510" i="6"/>
  <c r="I3510" i="6"/>
  <c r="H3510" i="6"/>
  <c r="G3510" i="6"/>
  <c r="F3510" i="6"/>
  <c r="D3510" i="6"/>
  <c r="U3510" i="6" s="1"/>
  <c r="C3510" i="6"/>
  <c r="B3510" i="6"/>
  <c r="Q3509" i="6"/>
  <c r="N3509" i="6"/>
  <c r="M3509" i="6"/>
  <c r="L3509" i="6"/>
  <c r="K3509" i="6"/>
  <c r="J3509" i="6"/>
  <c r="I3509" i="6"/>
  <c r="P3509" i="6" s="1"/>
  <c r="H3509" i="6"/>
  <c r="G3509" i="6"/>
  <c r="F3509" i="6"/>
  <c r="D3509" i="6"/>
  <c r="U3509" i="6" s="1"/>
  <c r="C3509" i="6"/>
  <c r="E3509" i="6" s="1"/>
  <c r="B3509" i="6"/>
  <c r="Q3508" i="6"/>
  <c r="N3508" i="6"/>
  <c r="M3508" i="6"/>
  <c r="L3508" i="6"/>
  <c r="K3508" i="6"/>
  <c r="J3508" i="6"/>
  <c r="I3508" i="6"/>
  <c r="P3508" i="6" s="1"/>
  <c r="H3508" i="6"/>
  <c r="G3508" i="6"/>
  <c r="F3508" i="6"/>
  <c r="D3508" i="6"/>
  <c r="U3508" i="6" s="1"/>
  <c r="C3508" i="6"/>
  <c r="B3508" i="6"/>
  <c r="Q3507" i="6"/>
  <c r="P3507" i="6"/>
  <c r="N3507" i="6"/>
  <c r="M3507" i="6"/>
  <c r="L3507" i="6"/>
  <c r="K3507" i="6"/>
  <c r="J3507" i="6"/>
  <c r="I3507" i="6"/>
  <c r="H3507" i="6"/>
  <c r="G3507" i="6"/>
  <c r="F3507" i="6"/>
  <c r="D3507" i="6"/>
  <c r="U3507" i="6" s="1"/>
  <c r="C3507" i="6"/>
  <c r="E3507" i="6" s="1"/>
  <c r="B3507" i="6"/>
  <c r="Q3506" i="6"/>
  <c r="P3506" i="6"/>
  <c r="N3506" i="6"/>
  <c r="M3506" i="6"/>
  <c r="L3506" i="6"/>
  <c r="K3506" i="6"/>
  <c r="J3506" i="6"/>
  <c r="I3506" i="6"/>
  <c r="H3506" i="6"/>
  <c r="G3506" i="6"/>
  <c r="F3506" i="6"/>
  <c r="D3506" i="6"/>
  <c r="U3506" i="6" s="1"/>
  <c r="C3506" i="6"/>
  <c r="B3506" i="6"/>
  <c r="Q3505" i="6"/>
  <c r="N3505" i="6"/>
  <c r="M3505" i="6"/>
  <c r="L3505" i="6"/>
  <c r="K3505" i="6"/>
  <c r="J3505" i="6"/>
  <c r="I3505" i="6"/>
  <c r="P3505" i="6" s="1"/>
  <c r="H3505" i="6"/>
  <c r="G3505" i="6"/>
  <c r="F3505" i="6"/>
  <c r="D3505" i="6"/>
  <c r="U3505" i="6" s="1"/>
  <c r="C3505" i="6"/>
  <c r="E3505" i="6" s="1"/>
  <c r="B3505" i="6"/>
  <c r="Q3504" i="6"/>
  <c r="N3504" i="6"/>
  <c r="M3504" i="6"/>
  <c r="L3504" i="6"/>
  <c r="K3504" i="6"/>
  <c r="J3504" i="6"/>
  <c r="I3504" i="6"/>
  <c r="P3504" i="6" s="1"/>
  <c r="H3504" i="6"/>
  <c r="G3504" i="6"/>
  <c r="F3504" i="6"/>
  <c r="D3504" i="6"/>
  <c r="U3504" i="6" s="1"/>
  <c r="C3504" i="6"/>
  <c r="B3504" i="6"/>
  <c r="Q3503" i="6"/>
  <c r="P3503" i="6"/>
  <c r="N3503" i="6"/>
  <c r="M3503" i="6"/>
  <c r="L3503" i="6"/>
  <c r="K3503" i="6"/>
  <c r="J3503" i="6"/>
  <c r="I3503" i="6"/>
  <c r="H3503" i="6"/>
  <c r="G3503" i="6"/>
  <c r="F3503" i="6"/>
  <c r="D3503" i="6"/>
  <c r="U3503" i="6" s="1"/>
  <c r="C3503" i="6"/>
  <c r="E3503" i="6" s="1"/>
  <c r="B3503" i="6"/>
  <c r="Q3502" i="6"/>
  <c r="P3502" i="6"/>
  <c r="N3502" i="6"/>
  <c r="M3502" i="6"/>
  <c r="L3502" i="6"/>
  <c r="K3502" i="6"/>
  <c r="J3502" i="6"/>
  <c r="I3502" i="6"/>
  <c r="H3502" i="6"/>
  <c r="G3502" i="6"/>
  <c r="F3502" i="6"/>
  <c r="D3502" i="6"/>
  <c r="U3502" i="6" s="1"/>
  <c r="C3502" i="6"/>
  <c r="B3502" i="6"/>
  <c r="Q3501" i="6"/>
  <c r="N3501" i="6"/>
  <c r="M3501" i="6"/>
  <c r="L3501" i="6"/>
  <c r="K3501" i="6"/>
  <c r="J3501" i="6"/>
  <c r="I3501" i="6"/>
  <c r="P3501" i="6" s="1"/>
  <c r="H3501" i="6"/>
  <c r="G3501" i="6"/>
  <c r="F3501" i="6"/>
  <c r="D3501" i="6"/>
  <c r="U3501" i="6" s="1"/>
  <c r="C3501" i="6"/>
  <c r="E3501" i="6" s="1"/>
  <c r="B3501" i="6"/>
  <c r="Q3500" i="6"/>
  <c r="N3500" i="6"/>
  <c r="M3500" i="6"/>
  <c r="L3500" i="6"/>
  <c r="K3500" i="6"/>
  <c r="J3500" i="6"/>
  <c r="I3500" i="6"/>
  <c r="P3500" i="6" s="1"/>
  <c r="H3500" i="6"/>
  <c r="G3500" i="6"/>
  <c r="F3500" i="6"/>
  <c r="D3500" i="6"/>
  <c r="U3500" i="6" s="1"/>
  <c r="C3500" i="6"/>
  <c r="B3500" i="6"/>
  <c r="Q3499" i="6"/>
  <c r="P3499" i="6"/>
  <c r="N3499" i="6"/>
  <c r="M3499" i="6"/>
  <c r="L3499" i="6"/>
  <c r="K3499" i="6"/>
  <c r="J3499" i="6"/>
  <c r="I3499" i="6"/>
  <c r="H3499" i="6"/>
  <c r="G3499" i="6"/>
  <c r="F3499" i="6"/>
  <c r="D3499" i="6"/>
  <c r="U3499" i="6" s="1"/>
  <c r="C3499" i="6"/>
  <c r="E3499" i="6" s="1"/>
  <c r="B3499" i="6"/>
  <c r="Q3498" i="6"/>
  <c r="P3498" i="6"/>
  <c r="N3498" i="6"/>
  <c r="M3498" i="6"/>
  <c r="L3498" i="6"/>
  <c r="K3498" i="6"/>
  <c r="J3498" i="6"/>
  <c r="I3498" i="6"/>
  <c r="H3498" i="6"/>
  <c r="G3498" i="6"/>
  <c r="F3498" i="6"/>
  <c r="D3498" i="6"/>
  <c r="U3498" i="6" s="1"/>
  <c r="C3498" i="6"/>
  <c r="B3498" i="6"/>
  <c r="Q3497" i="6"/>
  <c r="N3497" i="6"/>
  <c r="M3497" i="6"/>
  <c r="L3497" i="6"/>
  <c r="K3497" i="6"/>
  <c r="J3497" i="6"/>
  <c r="I3497" i="6"/>
  <c r="P3497" i="6" s="1"/>
  <c r="H3497" i="6"/>
  <c r="G3497" i="6"/>
  <c r="F3497" i="6"/>
  <c r="D3497" i="6"/>
  <c r="U3497" i="6" s="1"/>
  <c r="C3497" i="6"/>
  <c r="E3497" i="6" s="1"/>
  <c r="B3497" i="6"/>
  <c r="Q3496" i="6"/>
  <c r="N3496" i="6"/>
  <c r="M3496" i="6"/>
  <c r="L3496" i="6"/>
  <c r="K3496" i="6"/>
  <c r="J3496" i="6"/>
  <c r="I3496" i="6"/>
  <c r="P3496" i="6" s="1"/>
  <c r="H3496" i="6"/>
  <c r="G3496" i="6"/>
  <c r="F3496" i="6"/>
  <c r="D3496" i="6"/>
  <c r="U3496" i="6" s="1"/>
  <c r="C3496" i="6"/>
  <c r="B3496" i="6"/>
  <c r="Q3495" i="6"/>
  <c r="P3495" i="6"/>
  <c r="N3495" i="6"/>
  <c r="M3495" i="6"/>
  <c r="L3495" i="6"/>
  <c r="K3495" i="6"/>
  <c r="J3495" i="6"/>
  <c r="I3495" i="6"/>
  <c r="H3495" i="6"/>
  <c r="G3495" i="6"/>
  <c r="F3495" i="6"/>
  <c r="D3495" i="6"/>
  <c r="U3495" i="6" s="1"/>
  <c r="C3495" i="6"/>
  <c r="E3495" i="6" s="1"/>
  <c r="B3495" i="6"/>
  <c r="Q3494" i="6"/>
  <c r="P3494" i="6"/>
  <c r="N3494" i="6"/>
  <c r="M3494" i="6"/>
  <c r="L3494" i="6"/>
  <c r="K3494" i="6"/>
  <c r="J3494" i="6"/>
  <c r="I3494" i="6"/>
  <c r="H3494" i="6"/>
  <c r="G3494" i="6"/>
  <c r="F3494" i="6"/>
  <c r="D3494" i="6"/>
  <c r="U3494" i="6" s="1"/>
  <c r="C3494" i="6"/>
  <c r="B3494" i="6"/>
  <c r="Q3493" i="6"/>
  <c r="N3493" i="6"/>
  <c r="M3493" i="6"/>
  <c r="L3493" i="6"/>
  <c r="K3493" i="6"/>
  <c r="J3493" i="6"/>
  <c r="I3493" i="6"/>
  <c r="P3493" i="6" s="1"/>
  <c r="H3493" i="6"/>
  <c r="G3493" i="6"/>
  <c r="F3493" i="6"/>
  <c r="D3493" i="6"/>
  <c r="U3493" i="6" s="1"/>
  <c r="C3493" i="6"/>
  <c r="E3493" i="6" s="1"/>
  <c r="B3493" i="6"/>
  <c r="Q3492" i="6"/>
  <c r="N3492" i="6"/>
  <c r="M3492" i="6"/>
  <c r="L3492" i="6"/>
  <c r="K3492" i="6"/>
  <c r="J3492" i="6"/>
  <c r="I3492" i="6"/>
  <c r="P3492" i="6" s="1"/>
  <c r="H3492" i="6"/>
  <c r="G3492" i="6"/>
  <c r="F3492" i="6"/>
  <c r="D3492" i="6"/>
  <c r="U3492" i="6" s="1"/>
  <c r="C3492" i="6"/>
  <c r="B3492" i="6"/>
  <c r="Q3491" i="6"/>
  <c r="P3491" i="6"/>
  <c r="N3491" i="6"/>
  <c r="M3491" i="6"/>
  <c r="L3491" i="6"/>
  <c r="K3491" i="6"/>
  <c r="J3491" i="6"/>
  <c r="I3491" i="6"/>
  <c r="H3491" i="6"/>
  <c r="G3491" i="6"/>
  <c r="F3491" i="6"/>
  <c r="D3491" i="6"/>
  <c r="U3491" i="6" s="1"/>
  <c r="C3491" i="6"/>
  <c r="E3491" i="6" s="1"/>
  <c r="B3491" i="6"/>
  <c r="Q3490" i="6"/>
  <c r="P3490" i="6"/>
  <c r="N3490" i="6"/>
  <c r="M3490" i="6"/>
  <c r="L3490" i="6"/>
  <c r="K3490" i="6"/>
  <c r="J3490" i="6"/>
  <c r="I3490" i="6"/>
  <c r="H3490" i="6"/>
  <c r="G3490" i="6"/>
  <c r="F3490" i="6"/>
  <c r="D3490" i="6"/>
  <c r="U3490" i="6" s="1"/>
  <c r="C3490" i="6"/>
  <c r="B3490" i="6"/>
  <c r="Q3489" i="6"/>
  <c r="N3489" i="6"/>
  <c r="M3489" i="6"/>
  <c r="L3489" i="6"/>
  <c r="K3489" i="6"/>
  <c r="J3489" i="6"/>
  <c r="I3489" i="6"/>
  <c r="P3489" i="6" s="1"/>
  <c r="H3489" i="6"/>
  <c r="G3489" i="6"/>
  <c r="F3489" i="6"/>
  <c r="D3489" i="6"/>
  <c r="U3489" i="6" s="1"/>
  <c r="C3489" i="6"/>
  <c r="E3489" i="6" s="1"/>
  <c r="B3489" i="6"/>
  <c r="Q3488" i="6"/>
  <c r="N3488" i="6"/>
  <c r="M3488" i="6"/>
  <c r="L3488" i="6"/>
  <c r="K3488" i="6"/>
  <c r="J3488" i="6"/>
  <c r="I3488" i="6"/>
  <c r="P3488" i="6" s="1"/>
  <c r="H3488" i="6"/>
  <c r="G3488" i="6"/>
  <c r="F3488" i="6"/>
  <c r="D3488" i="6"/>
  <c r="U3488" i="6" s="1"/>
  <c r="C3488" i="6"/>
  <c r="B3488" i="6"/>
  <c r="Q3487" i="6"/>
  <c r="P3487" i="6"/>
  <c r="N3487" i="6"/>
  <c r="M3487" i="6"/>
  <c r="L3487" i="6"/>
  <c r="K3487" i="6"/>
  <c r="J3487" i="6"/>
  <c r="I3487" i="6"/>
  <c r="H3487" i="6"/>
  <c r="G3487" i="6"/>
  <c r="F3487" i="6"/>
  <c r="D3487" i="6"/>
  <c r="U3487" i="6" s="1"/>
  <c r="C3487" i="6"/>
  <c r="E3487" i="6" s="1"/>
  <c r="B3487" i="6"/>
  <c r="Q3486" i="6"/>
  <c r="P3486" i="6"/>
  <c r="N3486" i="6"/>
  <c r="M3486" i="6"/>
  <c r="L3486" i="6"/>
  <c r="K3486" i="6"/>
  <c r="J3486" i="6"/>
  <c r="I3486" i="6"/>
  <c r="H3486" i="6"/>
  <c r="G3486" i="6"/>
  <c r="F3486" i="6"/>
  <c r="D3486" i="6"/>
  <c r="U3486" i="6" s="1"/>
  <c r="C3486" i="6"/>
  <c r="B3486" i="6"/>
  <c r="Q3485" i="6"/>
  <c r="N3485" i="6"/>
  <c r="M3485" i="6"/>
  <c r="L3485" i="6"/>
  <c r="K3485" i="6"/>
  <c r="J3485" i="6"/>
  <c r="I3485" i="6"/>
  <c r="P3485" i="6" s="1"/>
  <c r="H3485" i="6"/>
  <c r="G3485" i="6"/>
  <c r="F3485" i="6"/>
  <c r="D3485" i="6"/>
  <c r="U3485" i="6" s="1"/>
  <c r="C3485" i="6"/>
  <c r="E3485" i="6" s="1"/>
  <c r="B3485" i="6"/>
  <c r="Q3484" i="6"/>
  <c r="N3484" i="6"/>
  <c r="M3484" i="6"/>
  <c r="L3484" i="6"/>
  <c r="K3484" i="6"/>
  <c r="J3484" i="6"/>
  <c r="I3484" i="6"/>
  <c r="P3484" i="6" s="1"/>
  <c r="H3484" i="6"/>
  <c r="G3484" i="6"/>
  <c r="F3484" i="6"/>
  <c r="D3484" i="6"/>
  <c r="U3484" i="6" s="1"/>
  <c r="C3484" i="6"/>
  <c r="B3484" i="6"/>
  <c r="Q3483" i="6"/>
  <c r="P3483" i="6"/>
  <c r="N3483" i="6"/>
  <c r="M3483" i="6"/>
  <c r="L3483" i="6"/>
  <c r="K3483" i="6"/>
  <c r="J3483" i="6"/>
  <c r="I3483" i="6"/>
  <c r="H3483" i="6"/>
  <c r="G3483" i="6"/>
  <c r="F3483" i="6"/>
  <c r="D3483" i="6"/>
  <c r="U3483" i="6" s="1"/>
  <c r="C3483" i="6"/>
  <c r="E3483" i="6" s="1"/>
  <c r="B3483" i="6"/>
  <c r="Q3482" i="6"/>
  <c r="P3482" i="6"/>
  <c r="N3482" i="6"/>
  <c r="M3482" i="6"/>
  <c r="L3482" i="6"/>
  <c r="K3482" i="6"/>
  <c r="J3482" i="6"/>
  <c r="I3482" i="6"/>
  <c r="H3482" i="6"/>
  <c r="G3482" i="6"/>
  <c r="F3482" i="6"/>
  <c r="D3482" i="6"/>
  <c r="U3482" i="6" s="1"/>
  <c r="C3482" i="6"/>
  <c r="B3482" i="6"/>
  <c r="Q3481" i="6"/>
  <c r="N3481" i="6"/>
  <c r="M3481" i="6"/>
  <c r="L3481" i="6"/>
  <c r="K3481" i="6"/>
  <c r="J3481" i="6"/>
  <c r="I3481" i="6"/>
  <c r="P3481" i="6" s="1"/>
  <c r="H3481" i="6"/>
  <c r="G3481" i="6"/>
  <c r="F3481" i="6"/>
  <c r="D3481" i="6"/>
  <c r="U3481" i="6" s="1"/>
  <c r="C3481" i="6"/>
  <c r="E3481" i="6" s="1"/>
  <c r="B3481" i="6"/>
  <c r="Q3480" i="6"/>
  <c r="N3480" i="6"/>
  <c r="M3480" i="6"/>
  <c r="L3480" i="6"/>
  <c r="K3480" i="6"/>
  <c r="J3480" i="6"/>
  <c r="I3480" i="6"/>
  <c r="P3480" i="6" s="1"/>
  <c r="H3480" i="6"/>
  <c r="G3480" i="6"/>
  <c r="F3480" i="6"/>
  <c r="D3480" i="6"/>
  <c r="U3480" i="6" s="1"/>
  <c r="C3480" i="6"/>
  <c r="B3480" i="6"/>
  <c r="Q3479" i="6"/>
  <c r="P3479" i="6"/>
  <c r="N3479" i="6"/>
  <c r="M3479" i="6"/>
  <c r="L3479" i="6"/>
  <c r="K3479" i="6"/>
  <c r="J3479" i="6"/>
  <c r="I3479" i="6"/>
  <c r="H3479" i="6"/>
  <c r="G3479" i="6"/>
  <c r="F3479" i="6"/>
  <c r="D3479" i="6"/>
  <c r="U3479" i="6" s="1"/>
  <c r="C3479" i="6"/>
  <c r="E3479" i="6" s="1"/>
  <c r="B3479" i="6"/>
  <c r="Q3478" i="6"/>
  <c r="P3478" i="6"/>
  <c r="N3478" i="6"/>
  <c r="M3478" i="6"/>
  <c r="L3478" i="6"/>
  <c r="K3478" i="6"/>
  <c r="J3478" i="6"/>
  <c r="I3478" i="6"/>
  <c r="H3478" i="6"/>
  <c r="G3478" i="6"/>
  <c r="F3478" i="6"/>
  <c r="D3478" i="6"/>
  <c r="U3478" i="6" s="1"/>
  <c r="C3478" i="6"/>
  <c r="B3478" i="6"/>
  <c r="Q3477" i="6"/>
  <c r="N3477" i="6"/>
  <c r="M3477" i="6"/>
  <c r="L3477" i="6"/>
  <c r="K3477" i="6"/>
  <c r="J3477" i="6"/>
  <c r="I3477" i="6"/>
  <c r="P3477" i="6" s="1"/>
  <c r="H3477" i="6"/>
  <c r="G3477" i="6"/>
  <c r="F3477" i="6"/>
  <c r="D3477" i="6"/>
  <c r="U3477" i="6" s="1"/>
  <c r="C3477" i="6"/>
  <c r="E3477" i="6" s="1"/>
  <c r="B3477" i="6"/>
  <c r="Q3476" i="6"/>
  <c r="N3476" i="6"/>
  <c r="M3476" i="6"/>
  <c r="L3476" i="6"/>
  <c r="K3476" i="6"/>
  <c r="J3476" i="6"/>
  <c r="I3476" i="6"/>
  <c r="P3476" i="6" s="1"/>
  <c r="H3476" i="6"/>
  <c r="G3476" i="6"/>
  <c r="F3476" i="6"/>
  <c r="D3476" i="6"/>
  <c r="U3476" i="6" s="1"/>
  <c r="C3476" i="6"/>
  <c r="B3476" i="6"/>
  <c r="Q3475" i="6"/>
  <c r="P3475" i="6"/>
  <c r="N3475" i="6"/>
  <c r="M3475" i="6"/>
  <c r="L3475" i="6"/>
  <c r="K3475" i="6"/>
  <c r="J3475" i="6"/>
  <c r="I3475" i="6"/>
  <c r="H3475" i="6"/>
  <c r="G3475" i="6"/>
  <c r="F3475" i="6"/>
  <c r="D3475" i="6"/>
  <c r="U3475" i="6" s="1"/>
  <c r="C3475" i="6"/>
  <c r="E3475" i="6" s="1"/>
  <c r="B3475" i="6"/>
  <c r="Q3474" i="6"/>
  <c r="P3474" i="6"/>
  <c r="N3474" i="6"/>
  <c r="M3474" i="6"/>
  <c r="L3474" i="6"/>
  <c r="K3474" i="6"/>
  <c r="J3474" i="6"/>
  <c r="I3474" i="6"/>
  <c r="H3474" i="6"/>
  <c r="G3474" i="6"/>
  <c r="F3474" i="6"/>
  <c r="D3474" i="6"/>
  <c r="U3474" i="6" s="1"/>
  <c r="C3474" i="6"/>
  <c r="B3474" i="6"/>
  <c r="Q3473" i="6"/>
  <c r="N3473" i="6"/>
  <c r="M3473" i="6"/>
  <c r="L3473" i="6"/>
  <c r="K3473" i="6"/>
  <c r="J3473" i="6"/>
  <c r="I3473" i="6"/>
  <c r="P3473" i="6" s="1"/>
  <c r="H3473" i="6"/>
  <c r="G3473" i="6"/>
  <c r="F3473" i="6"/>
  <c r="D3473" i="6"/>
  <c r="U3473" i="6" s="1"/>
  <c r="C3473" i="6"/>
  <c r="E3473" i="6" s="1"/>
  <c r="B3473" i="6"/>
  <c r="Q3472" i="6"/>
  <c r="N3472" i="6"/>
  <c r="M3472" i="6"/>
  <c r="L3472" i="6"/>
  <c r="K3472" i="6"/>
  <c r="J3472" i="6"/>
  <c r="I3472" i="6"/>
  <c r="P3472" i="6" s="1"/>
  <c r="H3472" i="6"/>
  <c r="G3472" i="6"/>
  <c r="F3472" i="6"/>
  <c r="D3472" i="6"/>
  <c r="U3472" i="6" s="1"/>
  <c r="C3472" i="6"/>
  <c r="B3472" i="6"/>
  <c r="Q3471" i="6"/>
  <c r="P3471" i="6"/>
  <c r="N3471" i="6"/>
  <c r="M3471" i="6"/>
  <c r="L3471" i="6"/>
  <c r="K3471" i="6"/>
  <c r="J3471" i="6"/>
  <c r="I3471" i="6"/>
  <c r="H3471" i="6"/>
  <c r="G3471" i="6"/>
  <c r="F3471" i="6"/>
  <c r="D3471" i="6"/>
  <c r="U3471" i="6" s="1"/>
  <c r="C3471" i="6"/>
  <c r="E3471" i="6" s="1"/>
  <c r="B3471" i="6"/>
  <c r="Q3470" i="6"/>
  <c r="P3470" i="6"/>
  <c r="N3470" i="6"/>
  <c r="M3470" i="6"/>
  <c r="L3470" i="6"/>
  <c r="K3470" i="6"/>
  <c r="J3470" i="6"/>
  <c r="I3470" i="6"/>
  <c r="H3470" i="6"/>
  <c r="G3470" i="6"/>
  <c r="F3470" i="6"/>
  <c r="D3470" i="6"/>
  <c r="U3470" i="6" s="1"/>
  <c r="C3470" i="6"/>
  <c r="B3470" i="6"/>
  <c r="Q3469" i="6"/>
  <c r="N3469" i="6"/>
  <c r="M3469" i="6"/>
  <c r="L3469" i="6"/>
  <c r="K3469" i="6"/>
  <c r="J3469" i="6"/>
  <c r="I3469" i="6"/>
  <c r="P3469" i="6" s="1"/>
  <c r="H3469" i="6"/>
  <c r="G3469" i="6"/>
  <c r="F3469" i="6"/>
  <c r="D3469" i="6"/>
  <c r="U3469" i="6" s="1"/>
  <c r="C3469" i="6"/>
  <c r="E3469" i="6" s="1"/>
  <c r="B3469" i="6"/>
  <c r="Q3468" i="6"/>
  <c r="N3468" i="6"/>
  <c r="M3468" i="6"/>
  <c r="L3468" i="6"/>
  <c r="K3468" i="6"/>
  <c r="J3468" i="6"/>
  <c r="I3468" i="6"/>
  <c r="P3468" i="6" s="1"/>
  <c r="H3468" i="6"/>
  <c r="G3468" i="6"/>
  <c r="F3468" i="6"/>
  <c r="D3468" i="6"/>
  <c r="U3468" i="6" s="1"/>
  <c r="C3468" i="6"/>
  <c r="B3468" i="6"/>
  <c r="Q3467" i="6"/>
  <c r="P3467" i="6"/>
  <c r="N3467" i="6"/>
  <c r="M3467" i="6"/>
  <c r="L3467" i="6"/>
  <c r="K3467" i="6"/>
  <c r="J3467" i="6"/>
  <c r="I3467" i="6"/>
  <c r="H3467" i="6"/>
  <c r="G3467" i="6"/>
  <c r="F3467" i="6"/>
  <c r="D3467" i="6"/>
  <c r="U3467" i="6" s="1"/>
  <c r="C3467" i="6"/>
  <c r="E3467" i="6" s="1"/>
  <c r="B3467" i="6"/>
  <c r="Q3466" i="6"/>
  <c r="P3466" i="6"/>
  <c r="N3466" i="6"/>
  <c r="M3466" i="6"/>
  <c r="L3466" i="6"/>
  <c r="K3466" i="6"/>
  <c r="J3466" i="6"/>
  <c r="I3466" i="6"/>
  <c r="H3466" i="6"/>
  <c r="G3466" i="6"/>
  <c r="F3466" i="6"/>
  <c r="D3466" i="6"/>
  <c r="U3466" i="6" s="1"/>
  <c r="C3466" i="6"/>
  <c r="B3466" i="6"/>
  <c r="Q3465" i="6"/>
  <c r="N3465" i="6"/>
  <c r="M3465" i="6"/>
  <c r="L3465" i="6"/>
  <c r="K3465" i="6"/>
  <c r="J3465" i="6"/>
  <c r="I3465" i="6"/>
  <c r="P3465" i="6" s="1"/>
  <c r="H3465" i="6"/>
  <c r="G3465" i="6"/>
  <c r="F3465" i="6"/>
  <c r="D3465" i="6"/>
  <c r="U3465" i="6" s="1"/>
  <c r="C3465" i="6"/>
  <c r="E3465" i="6" s="1"/>
  <c r="B3465" i="6"/>
  <c r="Q3464" i="6"/>
  <c r="N3464" i="6"/>
  <c r="M3464" i="6"/>
  <c r="L3464" i="6"/>
  <c r="K3464" i="6"/>
  <c r="J3464" i="6"/>
  <c r="I3464" i="6"/>
  <c r="P3464" i="6" s="1"/>
  <c r="H3464" i="6"/>
  <c r="G3464" i="6"/>
  <c r="F3464" i="6"/>
  <c r="D3464" i="6"/>
  <c r="U3464" i="6" s="1"/>
  <c r="C3464" i="6"/>
  <c r="B3464" i="6"/>
  <c r="Q3463" i="6"/>
  <c r="P3463" i="6"/>
  <c r="N3463" i="6"/>
  <c r="M3463" i="6"/>
  <c r="L3463" i="6"/>
  <c r="K3463" i="6"/>
  <c r="J3463" i="6"/>
  <c r="I3463" i="6"/>
  <c r="H3463" i="6"/>
  <c r="G3463" i="6"/>
  <c r="F3463" i="6"/>
  <c r="D3463" i="6"/>
  <c r="U3463" i="6" s="1"/>
  <c r="C3463" i="6"/>
  <c r="E3463" i="6" s="1"/>
  <c r="B3463" i="6"/>
  <c r="Q3462" i="6"/>
  <c r="P3462" i="6"/>
  <c r="N3462" i="6"/>
  <c r="M3462" i="6"/>
  <c r="L3462" i="6"/>
  <c r="K3462" i="6"/>
  <c r="J3462" i="6"/>
  <c r="I3462" i="6"/>
  <c r="H3462" i="6"/>
  <c r="G3462" i="6"/>
  <c r="F3462" i="6"/>
  <c r="D3462" i="6"/>
  <c r="U3462" i="6" s="1"/>
  <c r="C3462" i="6"/>
  <c r="B3462" i="6"/>
  <c r="Q3461" i="6"/>
  <c r="N3461" i="6"/>
  <c r="M3461" i="6"/>
  <c r="L3461" i="6"/>
  <c r="K3461" i="6"/>
  <c r="J3461" i="6"/>
  <c r="I3461" i="6"/>
  <c r="P3461" i="6" s="1"/>
  <c r="H3461" i="6"/>
  <c r="G3461" i="6"/>
  <c r="F3461" i="6"/>
  <c r="D3461" i="6"/>
  <c r="U3461" i="6" s="1"/>
  <c r="C3461" i="6"/>
  <c r="E3461" i="6" s="1"/>
  <c r="B3461" i="6"/>
  <c r="Q3460" i="6"/>
  <c r="P3460" i="6"/>
  <c r="N3460" i="6"/>
  <c r="M3460" i="6"/>
  <c r="L3460" i="6"/>
  <c r="K3460" i="6"/>
  <c r="J3460" i="6"/>
  <c r="I3460" i="6"/>
  <c r="H3460" i="6"/>
  <c r="G3460" i="6"/>
  <c r="F3460" i="6"/>
  <c r="D3460" i="6"/>
  <c r="U3460" i="6" s="1"/>
  <c r="C3460" i="6"/>
  <c r="E3460" i="6" s="1"/>
  <c r="B3460" i="6"/>
  <c r="Q3459" i="6"/>
  <c r="N3459" i="6"/>
  <c r="M3459" i="6"/>
  <c r="L3459" i="6"/>
  <c r="K3459" i="6"/>
  <c r="J3459" i="6"/>
  <c r="I3459" i="6"/>
  <c r="P3459" i="6" s="1"/>
  <c r="H3459" i="6"/>
  <c r="G3459" i="6"/>
  <c r="F3459" i="6"/>
  <c r="D3459" i="6"/>
  <c r="U3459" i="6" s="1"/>
  <c r="C3459" i="6"/>
  <c r="E3459" i="6" s="1"/>
  <c r="B3459" i="6"/>
  <c r="Q3458" i="6"/>
  <c r="P3458" i="6"/>
  <c r="N3458" i="6"/>
  <c r="M3458" i="6"/>
  <c r="L3458" i="6"/>
  <c r="K3458" i="6"/>
  <c r="J3458" i="6"/>
  <c r="I3458" i="6"/>
  <c r="H3458" i="6"/>
  <c r="G3458" i="6"/>
  <c r="F3458" i="6"/>
  <c r="D3458" i="6"/>
  <c r="U3458" i="6" s="1"/>
  <c r="C3458" i="6"/>
  <c r="E3458" i="6" s="1"/>
  <c r="B3458" i="6"/>
  <c r="Q3457" i="6"/>
  <c r="N3457" i="6"/>
  <c r="M3457" i="6"/>
  <c r="L3457" i="6"/>
  <c r="K3457" i="6"/>
  <c r="J3457" i="6"/>
  <c r="I3457" i="6"/>
  <c r="P3457" i="6" s="1"/>
  <c r="H3457" i="6"/>
  <c r="G3457" i="6"/>
  <c r="F3457" i="6"/>
  <c r="D3457" i="6"/>
  <c r="U3457" i="6" s="1"/>
  <c r="C3457" i="6"/>
  <c r="E3457" i="6" s="1"/>
  <c r="B3457" i="6"/>
  <c r="Q3456" i="6"/>
  <c r="P3456" i="6"/>
  <c r="N3456" i="6"/>
  <c r="M3456" i="6"/>
  <c r="L3456" i="6"/>
  <c r="K3456" i="6"/>
  <c r="J3456" i="6"/>
  <c r="I3456" i="6"/>
  <c r="H3456" i="6"/>
  <c r="G3456" i="6"/>
  <c r="F3456" i="6"/>
  <c r="D3456" i="6"/>
  <c r="U3456" i="6" s="1"/>
  <c r="C3456" i="6"/>
  <c r="E3456" i="6" s="1"/>
  <c r="B3456" i="6"/>
  <c r="Q3455" i="6"/>
  <c r="N3455" i="6"/>
  <c r="M3455" i="6"/>
  <c r="L3455" i="6"/>
  <c r="K3455" i="6"/>
  <c r="J3455" i="6"/>
  <c r="I3455" i="6"/>
  <c r="P3455" i="6" s="1"/>
  <c r="H3455" i="6"/>
  <c r="G3455" i="6"/>
  <c r="F3455" i="6"/>
  <c r="D3455" i="6"/>
  <c r="U3455" i="6" s="1"/>
  <c r="C3455" i="6"/>
  <c r="E3455" i="6" s="1"/>
  <c r="B3455" i="6"/>
  <c r="Q3454" i="6"/>
  <c r="P3454" i="6"/>
  <c r="N3454" i="6"/>
  <c r="M3454" i="6"/>
  <c r="L3454" i="6"/>
  <c r="K3454" i="6"/>
  <c r="J3454" i="6"/>
  <c r="I3454" i="6"/>
  <c r="H3454" i="6"/>
  <c r="G3454" i="6"/>
  <c r="F3454" i="6"/>
  <c r="D3454" i="6"/>
  <c r="U3454" i="6" s="1"/>
  <c r="C3454" i="6"/>
  <c r="E3454" i="6" s="1"/>
  <c r="B3454" i="6"/>
  <c r="Q3453" i="6"/>
  <c r="N3453" i="6"/>
  <c r="M3453" i="6"/>
  <c r="L3453" i="6"/>
  <c r="K3453" i="6"/>
  <c r="J3453" i="6"/>
  <c r="I3453" i="6"/>
  <c r="P3453" i="6" s="1"/>
  <c r="H3453" i="6"/>
  <c r="G3453" i="6"/>
  <c r="F3453" i="6"/>
  <c r="D3453" i="6"/>
  <c r="U3453" i="6" s="1"/>
  <c r="C3453" i="6"/>
  <c r="E3453" i="6" s="1"/>
  <c r="B3453" i="6"/>
  <c r="Q3452" i="6"/>
  <c r="P3452" i="6"/>
  <c r="N3452" i="6"/>
  <c r="M3452" i="6"/>
  <c r="L3452" i="6"/>
  <c r="K3452" i="6"/>
  <c r="J3452" i="6"/>
  <c r="I3452" i="6"/>
  <c r="H3452" i="6"/>
  <c r="G3452" i="6"/>
  <c r="F3452" i="6"/>
  <c r="D3452" i="6"/>
  <c r="U3452" i="6" s="1"/>
  <c r="C3452" i="6"/>
  <c r="E3452" i="6" s="1"/>
  <c r="B3452" i="6"/>
  <c r="Q3451" i="6"/>
  <c r="N3451" i="6"/>
  <c r="M3451" i="6"/>
  <c r="L3451" i="6"/>
  <c r="K3451" i="6"/>
  <c r="J3451" i="6"/>
  <c r="I3451" i="6"/>
  <c r="P3451" i="6" s="1"/>
  <c r="H3451" i="6"/>
  <c r="G3451" i="6"/>
  <c r="F3451" i="6"/>
  <c r="D3451" i="6"/>
  <c r="U3451" i="6" s="1"/>
  <c r="C3451" i="6"/>
  <c r="E3451" i="6" s="1"/>
  <c r="B3451" i="6"/>
  <c r="Q3450" i="6"/>
  <c r="P3450" i="6"/>
  <c r="N3450" i="6"/>
  <c r="M3450" i="6"/>
  <c r="L3450" i="6"/>
  <c r="K3450" i="6"/>
  <c r="J3450" i="6"/>
  <c r="I3450" i="6"/>
  <c r="H3450" i="6"/>
  <c r="G3450" i="6"/>
  <c r="F3450" i="6"/>
  <c r="D3450" i="6"/>
  <c r="U3450" i="6" s="1"/>
  <c r="C3450" i="6"/>
  <c r="E3450" i="6" s="1"/>
  <c r="B3450" i="6"/>
  <c r="Q3449" i="6"/>
  <c r="N3449" i="6"/>
  <c r="M3449" i="6"/>
  <c r="L3449" i="6"/>
  <c r="K3449" i="6"/>
  <c r="J3449" i="6"/>
  <c r="I3449" i="6"/>
  <c r="P3449" i="6" s="1"/>
  <c r="H3449" i="6"/>
  <c r="G3449" i="6"/>
  <c r="F3449" i="6"/>
  <c r="D3449" i="6"/>
  <c r="U3449" i="6" s="1"/>
  <c r="C3449" i="6"/>
  <c r="E3449" i="6" s="1"/>
  <c r="B3449" i="6"/>
  <c r="Q3448" i="6"/>
  <c r="P3448" i="6"/>
  <c r="N3448" i="6"/>
  <c r="M3448" i="6"/>
  <c r="L3448" i="6"/>
  <c r="K3448" i="6"/>
  <c r="J3448" i="6"/>
  <c r="I3448" i="6"/>
  <c r="H3448" i="6"/>
  <c r="G3448" i="6"/>
  <c r="F3448" i="6"/>
  <c r="D3448" i="6"/>
  <c r="U3448" i="6" s="1"/>
  <c r="C3448" i="6"/>
  <c r="E3448" i="6" s="1"/>
  <c r="B3448" i="6"/>
  <c r="Q3447" i="6"/>
  <c r="N3447" i="6"/>
  <c r="M3447" i="6"/>
  <c r="L3447" i="6"/>
  <c r="K3447" i="6"/>
  <c r="J3447" i="6"/>
  <c r="I3447" i="6"/>
  <c r="P3447" i="6" s="1"/>
  <c r="H3447" i="6"/>
  <c r="G3447" i="6"/>
  <c r="F3447" i="6"/>
  <c r="D3447" i="6"/>
  <c r="U3447" i="6" s="1"/>
  <c r="C3447" i="6"/>
  <c r="E3447" i="6" s="1"/>
  <c r="B3447" i="6"/>
  <c r="Q3446" i="6"/>
  <c r="P3446" i="6"/>
  <c r="N3446" i="6"/>
  <c r="M3446" i="6"/>
  <c r="L3446" i="6"/>
  <c r="K3446" i="6"/>
  <c r="J3446" i="6"/>
  <c r="I3446" i="6"/>
  <c r="H3446" i="6"/>
  <c r="G3446" i="6"/>
  <c r="F3446" i="6"/>
  <c r="D3446" i="6"/>
  <c r="U3446" i="6" s="1"/>
  <c r="C3446" i="6"/>
  <c r="E3446" i="6" s="1"/>
  <c r="B3446" i="6"/>
  <c r="Q3445" i="6"/>
  <c r="N3445" i="6"/>
  <c r="M3445" i="6"/>
  <c r="L3445" i="6"/>
  <c r="K3445" i="6"/>
  <c r="J3445" i="6"/>
  <c r="I3445" i="6"/>
  <c r="P3445" i="6" s="1"/>
  <c r="H3445" i="6"/>
  <c r="G3445" i="6"/>
  <c r="F3445" i="6"/>
  <c r="D3445" i="6"/>
  <c r="U3445" i="6" s="1"/>
  <c r="C3445" i="6"/>
  <c r="E3445" i="6" s="1"/>
  <c r="B3445" i="6"/>
  <c r="Q3444" i="6"/>
  <c r="P3444" i="6"/>
  <c r="N3444" i="6"/>
  <c r="M3444" i="6"/>
  <c r="L3444" i="6"/>
  <c r="K3444" i="6"/>
  <c r="J3444" i="6"/>
  <c r="I3444" i="6"/>
  <c r="H3444" i="6"/>
  <c r="G3444" i="6"/>
  <c r="F3444" i="6"/>
  <c r="D3444" i="6"/>
  <c r="U3444" i="6" s="1"/>
  <c r="C3444" i="6"/>
  <c r="E3444" i="6" s="1"/>
  <c r="B3444" i="6"/>
  <c r="Q3443" i="6"/>
  <c r="N3443" i="6"/>
  <c r="M3443" i="6"/>
  <c r="L3443" i="6"/>
  <c r="K3443" i="6"/>
  <c r="J3443" i="6"/>
  <c r="I3443" i="6"/>
  <c r="P3443" i="6" s="1"/>
  <c r="H3443" i="6"/>
  <c r="G3443" i="6"/>
  <c r="F3443" i="6"/>
  <c r="D3443" i="6"/>
  <c r="U3443" i="6" s="1"/>
  <c r="C3443" i="6"/>
  <c r="E3443" i="6" s="1"/>
  <c r="B3443" i="6"/>
  <c r="Q3442" i="6"/>
  <c r="P3442" i="6"/>
  <c r="N3442" i="6"/>
  <c r="M3442" i="6"/>
  <c r="L3442" i="6"/>
  <c r="K3442" i="6"/>
  <c r="J3442" i="6"/>
  <c r="I3442" i="6"/>
  <c r="H3442" i="6"/>
  <c r="G3442" i="6"/>
  <c r="F3442" i="6"/>
  <c r="D3442" i="6"/>
  <c r="U3442" i="6" s="1"/>
  <c r="C3442" i="6"/>
  <c r="E3442" i="6" s="1"/>
  <c r="B3442" i="6"/>
  <c r="Q3441" i="6"/>
  <c r="N3441" i="6"/>
  <c r="M3441" i="6"/>
  <c r="L3441" i="6"/>
  <c r="K3441" i="6"/>
  <c r="J3441" i="6"/>
  <c r="I3441" i="6"/>
  <c r="P3441" i="6" s="1"/>
  <c r="H3441" i="6"/>
  <c r="G3441" i="6"/>
  <c r="F3441" i="6"/>
  <c r="D3441" i="6"/>
  <c r="U3441" i="6" s="1"/>
  <c r="C3441" i="6"/>
  <c r="E3441" i="6" s="1"/>
  <c r="B3441" i="6"/>
  <c r="Q3440" i="6"/>
  <c r="P3440" i="6"/>
  <c r="N3440" i="6"/>
  <c r="M3440" i="6"/>
  <c r="L3440" i="6"/>
  <c r="K3440" i="6"/>
  <c r="J3440" i="6"/>
  <c r="I3440" i="6"/>
  <c r="H3440" i="6"/>
  <c r="G3440" i="6"/>
  <c r="F3440" i="6"/>
  <c r="D3440" i="6"/>
  <c r="U3440" i="6" s="1"/>
  <c r="C3440" i="6"/>
  <c r="E3440" i="6" s="1"/>
  <c r="B3440" i="6"/>
  <c r="Q3439" i="6"/>
  <c r="N3439" i="6"/>
  <c r="M3439" i="6"/>
  <c r="L3439" i="6"/>
  <c r="K3439" i="6"/>
  <c r="J3439" i="6"/>
  <c r="I3439" i="6"/>
  <c r="P3439" i="6" s="1"/>
  <c r="H3439" i="6"/>
  <c r="G3439" i="6"/>
  <c r="F3439" i="6"/>
  <c r="D3439" i="6"/>
  <c r="U3439" i="6" s="1"/>
  <c r="C3439" i="6"/>
  <c r="E3439" i="6" s="1"/>
  <c r="B3439" i="6"/>
  <c r="Q3438" i="6"/>
  <c r="P3438" i="6"/>
  <c r="N3438" i="6"/>
  <c r="M3438" i="6"/>
  <c r="L3438" i="6"/>
  <c r="K3438" i="6"/>
  <c r="J3438" i="6"/>
  <c r="I3438" i="6"/>
  <c r="H3438" i="6"/>
  <c r="G3438" i="6"/>
  <c r="F3438" i="6"/>
  <c r="D3438" i="6"/>
  <c r="U3438" i="6" s="1"/>
  <c r="C3438" i="6"/>
  <c r="E3438" i="6" s="1"/>
  <c r="B3438" i="6"/>
  <c r="Q3437" i="6"/>
  <c r="N3437" i="6"/>
  <c r="M3437" i="6"/>
  <c r="L3437" i="6"/>
  <c r="K3437" i="6"/>
  <c r="J3437" i="6"/>
  <c r="I3437" i="6"/>
  <c r="P3437" i="6" s="1"/>
  <c r="H3437" i="6"/>
  <c r="G3437" i="6"/>
  <c r="F3437" i="6"/>
  <c r="D3437" i="6"/>
  <c r="U3437" i="6" s="1"/>
  <c r="C3437" i="6"/>
  <c r="E3437" i="6" s="1"/>
  <c r="B3437" i="6"/>
  <c r="Q3436" i="6"/>
  <c r="P3436" i="6"/>
  <c r="N3436" i="6"/>
  <c r="M3436" i="6"/>
  <c r="L3436" i="6"/>
  <c r="K3436" i="6"/>
  <c r="J3436" i="6"/>
  <c r="I3436" i="6"/>
  <c r="H3436" i="6"/>
  <c r="G3436" i="6"/>
  <c r="F3436" i="6"/>
  <c r="D3436" i="6"/>
  <c r="U3436" i="6" s="1"/>
  <c r="C3436" i="6"/>
  <c r="E3436" i="6" s="1"/>
  <c r="B3436" i="6"/>
  <c r="Q3435" i="6"/>
  <c r="N3435" i="6"/>
  <c r="M3435" i="6"/>
  <c r="L3435" i="6"/>
  <c r="K3435" i="6"/>
  <c r="J3435" i="6"/>
  <c r="I3435" i="6"/>
  <c r="P3435" i="6" s="1"/>
  <c r="H3435" i="6"/>
  <c r="G3435" i="6"/>
  <c r="F3435" i="6"/>
  <c r="D3435" i="6"/>
  <c r="U3435" i="6" s="1"/>
  <c r="C3435" i="6"/>
  <c r="E3435" i="6" s="1"/>
  <c r="B3435" i="6"/>
  <c r="Q3434" i="6"/>
  <c r="P3434" i="6"/>
  <c r="N3434" i="6"/>
  <c r="M3434" i="6"/>
  <c r="L3434" i="6"/>
  <c r="K3434" i="6"/>
  <c r="J3434" i="6"/>
  <c r="I3434" i="6"/>
  <c r="H3434" i="6"/>
  <c r="G3434" i="6"/>
  <c r="F3434" i="6"/>
  <c r="D3434" i="6"/>
  <c r="U3434" i="6" s="1"/>
  <c r="C3434" i="6"/>
  <c r="E3434" i="6" s="1"/>
  <c r="B3434" i="6"/>
  <c r="Q3433" i="6"/>
  <c r="N3433" i="6"/>
  <c r="M3433" i="6"/>
  <c r="L3433" i="6"/>
  <c r="K3433" i="6"/>
  <c r="J3433" i="6"/>
  <c r="I3433" i="6"/>
  <c r="P3433" i="6" s="1"/>
  <c r="H3433" i="6"/>
  <c r="G3433" i="6"/>
  <c r="F3433" i="6"/>
  <c r="D3433" i="6"/>
  <c r="U3433" i="6" s="1"/>
  <c r="C3433" i="6"/>
  <c r="E3433" i="6" s="1"/>
  <c r="B3433" i="6"/>
  <c r="Q3432" i="6"/>
  <c r="P3432" i="6"/>
  <c r="N3432" i="6"/>
  <c r="M3432" i="6"/>
  <c r="L3432" i="6"/>
  <c r="K3432" i="6"/>
  <c r="J3432" i="6"/>
  <c r="I3432" i="6"/>
  <c r="H3432" i="6"/>
  <c r="G3432" i="6"/>
  <c r="F3432" i="6"/>
  <c r="D3432" i="6"/>
  <c r="U3432" i="6" s="1"/>
  <c r="C3432" i="6"/>
  <c r="E3432" i="6" s="1"/>
  <c r="B3432" i="6"/>
  <c r="Q3431" i="6"/>
  <c r="N3431" i="6"/>
  <c r="M3431" i="6"/>
  <c r="L3431" i="6"/>
  <c r="K3431" i="6"/>
  <c r="J3431" i="6"/>
  <c r="I3431" i="6"/>
  <c r="P3431" i="6" s="1"/>
  <c r="H3431" i="6"/>
  <c r="G3431" i="6"/>
  <c r="F3431" i="6"/>
  <c r="D3431" i="6"/>
  <c r="U3431" i="6" s="1"/>
  <c r="C3431" i="6"/>
  <c r="E3431" i="6" s="1"/>
  <c r="B3431" i="6"/>
  <c r="Q3430" i="6"/>
  <c r="P3430" i="6"/>
  <c r="N3430" i="6"/>
  <c r="M3430" i="6"/>
  <c r="L3430" i="6"/>
  <c r="K3430" i="6"/>
  <c r="J3430" i="6"/>
  <c r="I3430" i="6"/>
  <c r="H3430" i="6"/>
  <c r="G3430" i="6"/>
  <c r="F3430" i="6"/>
  <c r="D3430" i="6"/>
  <c r="U3430" i="6" s="1"/>
  <c r="C3430" i="6"/>
  <c r="E3430" i="6" s="1"/>
  <c r="B3430" i="6"/>
  <c r="Q3429" i="6"/>
  <c r="N3429" i="6"/>
  <c r="M3429" i="6"/>
  <c r="L3429" i="6"/>
  <c r="K3429" i="6"/>
  <c r="J3429" i="6"/>
  <c r="I3429" i="6"/>
  <c r="P3429" i="6" s="1"/>
  <c r="H3429" i="6"/>
  <c r="G3429" i="6"/>
  <c r="F3429" i="6"/>
  <c r="D3429" i="6"/>
  <c r="U3429" i="6" s="1"/>
  <c r="C3429" i="6"/>
  <c r="E3429" i="6" s="1"/>
  <c r="B3429" i="6"/>
  <c r="Q3428" i="6"/>
  <c r="P3428" i="6"/>
  <c r="N3428" i="6"/>
  <c r="M3428" i="6"/>
  <c r="L3428" i="6"/>
  <c r="K3428" i="6"/>
  <c r="J3428" i="6"/>
  <c r="I3428" i="6"/>
  <c r="H3428" i="6"/>
  <c r="G3428" i="6"/>
  <c r="F3428" i="6"/>
  <c r="D3428" i="6"/>
  <c r="U3428" i="6" s="1"/>
  <c r="C3428" i="6"/>
  <c r="E3428" i="6" s="1"/>
  <c r="B3428" i="6"/>
  <c r="Q3427" i="6"/>
  <c r="N3427" i="6"/>
  <c r="M3427" i="6"/>
  <c r="L3427" i="6"/>
  <c r="K3427" i="6"/>
  <c r="J3427" i="6"/>
  <c r="I3427" i="6"/>
  <c r="P3427" i="6" s="1"/>
  <c r="H3427" i="6"/>
  <c r="G3427" i="6"/>
  <c r="F3427" i="6"/>
  <c r="D3427" i="6"/>
  <c r="U3427" i="6" s="1"/>
  <c r="C3427" i="6"/>
  <c r="E3427" i="6" s="1"/>
  <c r="B3427" i="6"/>
  <c r="Q3426" i="6"/>
  <c r="P3426" i="6"/>
  <c r="N3426" i="6"/>
  <c r="M3426" i="6"/>
  <c r="L3426" i="6"/>
  <c r="K3426" i="6"/>
  <c r="J3426" i="6"/>
  <c r="I3426" i="6"/>
  <c r="H3426" i="6"/>
  <c r="G3426" i="6"/>
  <c r="F3426" i="6"/>
  <c r="D3426" i="6"/>
  <c r="U3426" i="6" s="1"/>
  <c r="C3426" i="6"/>
  <c r="E3426" i="6" s="1"/>
  <c r="B3426" i="6"/>
  <c r="Q3425" i="6"/>
  <c r="N3425" i="6"/>
  <c r="M3425" i="6"/>
  <c r="L3425" i="6"/>
  <c r="K3425" i="6"/>
  <c r="J3425" i="6"/>
  <c r="I3425" i="6"/>
  <c r="P3425" i="6" s="1"/>
  <c r="H3425" i="6"/>
  <c r="G3425" i="6"/>
  <c r="F3425" i="6"/>
  <c r="D3425" i="6"/>
  <c r="U3425" i="6" s="1"/>
  <c r="C3425" i="6"/>
  <c r="E3425" i="6" s="1"/>
  <c r="B3425" i="6"/>
  <c r="Q3424" i="6"/>
  <c r="P3424" i="6"/>
  <c r="N3424" i="6"/>
  <c r="M3424" i="6"/>
  <c r="L3424" i="6"/>
  <c r="K3424" i="6"/>
  <c r="J3424" i="6"/>
  <c r="I3424" i="6"/>
  <c r="H3424" i="6"/>
  <c r="G3424" i="6"/>
  <c r="F3424" i="6"/>
  <c r="D3424" i="6"/>
  <c r="U3424" i="6" s="1"/>
  <c r="C3424" i="6"/>
  <c r="E3424" i="6" s="1"/>
  <c r="B3424" i="6"/>
  <c r="Q3423" i="6"/>
  <c r="N3423" i="6"/>
  <c r="M3423" i="6"/>
  <c r="L3423" i="6"/>
  <c r="K3423" i="6"/>
  <c r="J3423" i="6"/>
  <c r="I3423" i="6"/>
  <c r="P3423" i="6" s="1"/>
  <c r="H3423" i="6"/>
  <c r="G3423" i="6"/>
  <c r="F3423" i="6"/>
  <c r="D3423" i="6"/>
  <c r="U3423" i="6" s="1"/>
  <c r="C3423" i="6"/>
  <c r="E3423" i="6" s="1"/>
  <c r="B3423" i="6"/>
  <c r="Q3422" i="6"/>
  <c r="P3422" i="6"/>
  <c r="N3422" i="6"/>
  <c r="M3422" i="6"/>
  <c r="L3422" i="6"/>
  <c r="K3422" i="6"/>
  <c r="J3422" i="6"/>
  <c r="I3422" i="6"/>
  <c r="H3422" i="6"/>
  <c r="G3422" i="6"/>
  <c r="F3422" i="6"/>
  <c r="D3422" i="6"/>
  <c r="U3422" i="6" s="1"/>
  <c r="C3422" i="6"/>
  <c r="E3422" i="6" s="1"/>
  <c r="B3422" i="6"/>
  <c r="Q3421" i="6"/>
  <c r="N3421" i="6"/>
  <c r="M3421" i="6"/>
  <c r="L3421" i="6"/>
  <c r="K3421" i="6"/>
  <c r="J3421" i="6"/>
  <c r="I3421" i="6"/>
  <c r="P3421" i="6" s="1"/>
  <c r="H3421" i="6"/>
  <c r="G3421" i="6"/>
  <c r="F3421" i="6"/>
  <c r="D3421" i="6"/>
  <c r="U3421" i="6" s="1"/>
  <c r="C3421" i="6"/>
  <c r="E3421" i="6" s="1"/>
  <c r="B3421" i="6"/>
  <c r="Q3420" i="6"/>
  <c r="P3420" i="6"/>
  <c r="N3420" i="6"/>
  <c r="M3420" i="6"/>
  <c r="L3420" i="6"/>
  <c r="K3420" i="6"/>
  <c r="J3420" i="6"/>
  <c r="I3420" i="6"/>
  <c r="H3420" i="6"/>
  <c r="G3420" i="6"/>
  <c r="F3420" i="6"/>
  <c r="D3420" i="6"/>
  <c r="U3420" i="6" s="1"/>
  <c r="C3420" i="6"/>
  <c r="E3420" i="6" s="1"/>
  <c r="B3420" i="6"/>
  <c r="Q3419" i="6"/>
  <c r="N3419" i="6"/>
  <c r="M3419" i="6"/>
  <c r="L3419" i="6"/>
  <c r="K3419" i="6"/>
  <c r="J3419" i="6"/>
  <c r="I3419" i="6"/>
  <c r="P3419" i="6" s="1"/>
  <c r="H3419" i="6"/>
  <c r="G3419" i="6"/>
  <c r="F3419" i="6"/>
  <c r="D3419" i="6"/>
  <c r="U3419" i="6" s="1"/>
  <c r="C3419" i="6"/>
  <c r="E3419" i="6" s="1"/>
  <c r="B3419" i="6"/>
  <c r="Q3418" i="6"/>
  <c r="P3418" i="6"/>
  <c r="N3418" i="6"/>
  <c r="M3418" i="6"/>
  <c r="L3418" i="6"/>
  <c r="K3418" i="6"/>
  <c r="J3418" i="6"/>
  <c r="I3418" i="6"/>
  <c r="H3418" i="6"/>
  <c r="G3418" i="6"/>
  <c r="F3418" i="6"/>
  <c r="D3418" i="6"/>
  <c r="U3418" i="6" s="1"/>
  <c r="C3418" i="6"/>
  <c r="E3418" i="6" s="1"/>
  <c r="B3418" i="6"/>
  <c r="Q3417" i="6"/>
  <c r="N3417" i="6"/>
  <c r="M3417" i="6"/>
  <c r="L3417" i="6"/>
  <c r="K3417" i="6"/>
  <c r="J3417" i="6"/>
  <c r="I3417" i="6"/>
  <c r="P3417" i="6" s="1"/>
  <c r="H3417" i="6"/>
  <c r="G3417" i="6"/>
  <c r="F3417" i="6"/>
  <c r="D3417" i="6"/>
  <c r="U3417" i="6" s="1"/>
  <c r="C3417" i="6"/>
  <c r="E3417" i="6" s="1"/>
  <c r="B3417" i="6"/>
  <c r="Q3416" i="6"/>
  <c r="P3416" i="6"/>
  <c r="N3416" i="6"/>
  <c r="M3416" i="6"/>
  <c r="L3416" i="6"/>
  <c r="K3416" i="6"/>
  <c r="J3416" i="6"/>
  <c r="I3416" i="6"/>
  <c r="H3416" i="6"/>
  <c r="G3416" i="6"/>
  <c r="F3416" i="6"/>
  <c r="D3416" i="6"/>
  <c r="U3416" i="6" s="1"/>
  <c r="C3416" i="6"/>
  <c r="E3416" i="6" s="1"/>
  <c r="B3416" i="6"/>
  <c r="Q3415" i="6"/>
  <c r="N3415" i="6"/>
  <c r="M3415" i="6"/>
  <c r="L3415" i="6"/>
  <c r="K3415" i="6"/>
  <c r="J3415" i="6"/>
  <c r="I3415" i="6"/>
  <c r="P3415" i="6" s="1"/>
  <c r="H3415" i="6"/>
  <c r="G3415" i="6"/>
  <c r="F3415" i="6"/>
  <c r="D3415" i="6"/>
  <c r="U3415" i="6" s="1"/>
  <c r="C3415" i="6"/>
  <c r="E3415" i="6" s="1"/>
  <c r="B3415" i="6"/>
  <c r="Q3414" i="6"/>
  <c r="P3414" i="6"/>
  <c r="N3414" i="6"/>
  <c r="M3414" i="6"/>
  <c r="L3414" i="6"/>
  <c r="K3414" i="6"/>
  <c r="J3414" i="6"/>
  <c r="I3414" i="6"/>
  <c r="H3414" i="6"/>
  <c r="G3414" i="6"/>
  <c r="F3414" i="6"/>
  <c r="D3414" i="6"/>
  <c r="U3414" i="6" s="1"/>
  <c r="C3414" i="6"/>
  <c r="E3414" i="6" s="1"/>
  <c r="B3414" i="6"/>
  <c r="Q3413" i="6"/>
  <c r="N3413" i="6"/>
  <c r="M3413" i="6"/>
  <c r="L3413" i="6"/>
  <c r="K3413" i="6"/>
  <c r="J3413" i="6"/>
  <c r="I3413" i="6"/>
  <c r="P3413" i="6" s="1"/>
  <c r="H3413" i="6"/>
  <c r="G3413" i="6"/>
  <c r="F3413" i="6"/>
  <c r="D3413" i="6"/>
  <c r="U3413" i="6" s="1"/>
  <c r="C3413" i="6"/>
  <c r="E3413" i="6" s="1"/>
  <c r="B3413" i="6"/>
  <c r="Q3412" i="6"/>
  <c r="P3412" i="6"/>
  <c r="N3412" i="6"/>
  <c r="M3412" i="6"/>
  <c r="L3412" i="6"/>
  <c r="K3412" i="6"/>
  <c r="J3412" i="6"/>
  <c r="I3412" i="6"/>
  <c r="H3412" i="6"/>
  <c r="G3412" i="6"/>
  <c r="F3412" i="6"/>
  <c r="D3412" i="6"/>
  <c r="U3412" i="6" s="1"/>
  <c r="C3412" i="6"/>
  <c r="E3412" i="6" s="1"/>
  <c r="B3412" i="6"/>
  <c r="Q3411" i="6"/>
  <c r="N3411" i="6"/>
  <c r="M3411" i="6"/>
  <c r="L3411" i="6"/>
  <c r="K3411" i="6"/>
  <c r="J3411" i="6"/>
  <c r="I3411" i="6"/>
  <c r="P3411" i="6" s="1"/>
  <c r="H3411" i="6"/>
  <c r="G3411" i="6"/>
  <c r="F3411" i="6"/>
  <c r="D3411" i="6"/>
  <c r="U3411" i="6" s="1"/>
  <c r="C3411" i="6"/>
  <c r="E3411" i="6" s="1"/>
  <c r="B3411" i="6"/>
  <c r="Q3410" i="6"/>
  <c r="P3410" i="6"/>
  <c r="N3410" i="6"/>
  <c r="M3410" i="6"/>
  <c r="L3410" i="6"/>
  <c r="K3410" i="6"/>
  <c r="J3410" i="6"/>
  <c r="I3410" i="6"/>
  <c r="H3410" i="6"/>
  <c r="G3410" i="6"/>
  <c r="F3410" i="6"/>
  <c r="D3410" i="6"/>
  <c r="U3410" i="6" s="1"/>
  <c r="C3410" i="6"/>
  <c r="E3410" i="6" s="1"/>
  <c r="B3410" i="6"/>
  <c r="Q3409" i="6"/>
  <c r="N3409" i="6"/>
  <c r="M3409" i="6"/>
  <c r="L3409" i="6"/>
  <c r="K3409" i="6"/>
  <c r="J3409" i="6"/>
  <c r="I3409" i="6"/>
  <c r="P3409" i="6" s="1"/>
  <c r="H3409" i="6"/>
  <c r="G3409" i="6"/>
  <c r="F3409" i="6"/>
  <c r="D3409" i="6"/>
  <c r="U3409" i="6" s="1"/>
  <c r="C3409" i="6"/>
  <c r="E3409" i="6" s="1"/>
  <c r="B3409" i="6"/>
  <c r="Q3408" i="6"/>
  <c r="P3408" i="6"/>
  <c r="N3408" i="6"/>
  <c r="M3408" i="6"/>
  <c r="L3408" i="6"/>
  <c r="K3408" i="6"/>
  <c r="J3408" i="6"/>
  <c r="I3408" i="6"/>
  <c r="H3408" i="6"/>
  <c r="G3408" i="6"/>
  <c r="F3408" i="6"/>
  <c r="D3408" i="6"/>
  <c r="U3408" i="6" s="1"/>
  <c r="C3408" i="6"/>
  <c r="E3408" i="6" s="1"/>
  <c r="B3408" i="6"/>
  <c r="Q3407" i="6"/>
  <c r="N3407" i="6"/>
  <c r="M3407" i="6"/>
  <c r="L3407" i="6"/>
  <c r="K3407" i="6"/>
  <c r="J3407" i="6"/>
  <c r="I3407" i="6"/>
  <c r="P3407" i="6" s="1"/>
  <c r="H3407" i="6"/>
  <c r="G3407" i="6"/>
  <c r="F3407" i="6"/>
  <c r="D3407" i="6"/>
  <c r="U3407" i="6" s="1"/>
  <c r="C3407" i="6"/>
  <c r="E3407" i="6" s="1"/>
  <c r="B3407" i="6"/>
  <c r="Q3406" i="6"/>
  <c r="P3406" i="6"/>
  <c r="N3406" i="6"/>
  <c r="M3406" i="6"/>
  <c r="L3406" i="6"/>
  <c r="K3406" i="6"/>
  <c r="J3406" i="6"/>
  <c r="I3406" i="6"/>
  <c r="H3406" i="6"/>
  <c r="G3406" i="6"/>
  <c r="F3406" i="6"/>
  <c r="D3406" i="6"/>
  <c r="U3406" i="6" s="1"/>
  <c r="C3406" i="6"/>
  <c r="E3406" i="6" s="1"/>
  <c r="B3406" i="6"/>
  <c r="Q3405" i="6"/>
  <c r="N3405" i="6"/>
  <c r="M3405" i="6"/>
  <c r="L3405" i="6"/>
  <c r="K3405" i="6"/>
  <c r="J3405" i="6"/>
  <c r="I3405" i="6"/>
  <c r="P3405" i="6" s="1"/>
  <c r="H3405" i="6"/>
  <c r="G3405" i="6"/>
  <c r="F3405" i="6"/>
  <c r="D3405" i="6"/>
  <c r="U3405" i="6" s="1"/>
  <c r="C3405" i="6"/>
  <c r="E3405" i="6" s="1"/>
  <c r="B3405" i="6"/>
  <c r="Q3404" i="6"/>
  <c r="P3404" i="6"/>
  <c r="N3404" i="6"/>
  <c r="M3404" i="6"/>
  <c r="L3404" i="6"/>
  <c r="K3404" i="6"/>
  <c r="J3404" i="6"/>
  <c r="I3404" i="6"/>
  <c r="H3404" i="6"/>
  <c r="G3404" i="6"/>
  <c r="F3404" i="6"/>
  <c r="D3404" i="6"/>
  <c r="U3404" i="6" s="1"/>
  <c r="C3404" i="6"/>
  <c r="E3404" i="6" s="1"/>
  <c r="B3404" i="6"/>
  <c r="Q3403" i="6"/>
  <c r="N3403" i="6"/>
  <c r="M3403" i="6"/>
  <c r="L3403" i="6"/>
  <c r="K3403" i="6"/>
  <c r="J3403" i="6"/>
  <c r="I3403" i="6"/>
  <c r="P3403" i="6" s="1"/>
  <c r="H3403" i="6"/>
  <c r="G3403" i="6"/>
  <c r="F3403" i="6"/>
  <c r="D3403" i="6"/>
  <c r="U3403" i="6" s="1"/>
  <c r="C3403" i="6"/>
  <c r="E3403" i="6" s="1"/>
  <c r="B3403" i="6"/>
  <c r="Q3402" i="6"/>
  <c r="P3402" i="6"/>
  <c r="N3402" i="6"/>
  <c r="M3402" i="6"/>
  <c r="L3402" i="6"/>
  <c r="K3402" i="6"/>
  <c r="J3402" i="6"/>
  <c r="I3402" i="6"/>
  <c r="H3402" i="6"/>
  <c r="G3402" i="6"/>
  <c r="F3402" i="6"/>
  <c r="D3402" i="6"/>
  <c r="U3402" i="6" s="1"/>
  <c r="C3402" i="6"/>
  <c r="E3402" i="6" s="1"/>
  <c r="B3402" i="6"/>
  <c r="Q3401" i="6"/>
  <c r="N3401" i="6"/>
  <c r="M3401" i="6"/>
  <c r="L3401" i="6"/>
  <c r="K3401" i="6"/>
  <c r="J3401" i="6"/>
  <c r="I3401" i="6"/>
  <c r="P3401" i="6" s="1"/>
  <c r="H3401" i="6"/>
  <c r="G3401" i="6"/>
  <c r="F3401" i="6"/>
  <c r="D3401" i="6"/>
  <c r="U3401" i="6" s="1"/>
  <c r="C3401" i="6"/>
  <c r="E3401" i="6" s="1"/>
  <c r="B3401" i="6"/>
  <c r="Q3400" i="6"/>
  <c r="P3400" i="6"/>
  <c r="N3400" i="6"/>
  <c r="M3400" i="6"/>
  <c r="L3400" i="6"/>
  <c r="K3400" i="6"/>
  <c r="J3400" i="6"/>
  <c r="I3400" i="6"/>
  <c r="H3400" i="6"/>
  <c r="G3400" i="6"/>
  <c r="F3400" i="6"/>
  <c r="D3400" i="6"/>
  <c r="U3400" i="6" s="1"/>
  <c r="C3400" i="6"/>
  <c r="E3400" i="6" s="1"/>
  <c r="B3400" i="6"/>
  <c r="Q3399" i="6"/>
  <c r="N3399" i="6"/>
  <c r="M3399" i="6"/>
  <c r="L3399" i="6"/>
  <c r="K3399" i="6"/>
  <c r="J3399" i="6"/>
  <c r="I3399" i="6"/>
  <c r="P3399" i="6" s="1"/>
  <c r="H3399" i="6"/>
  <c r="G3399" i="6"/>
  <c r="F3399" i="6"/>
  <c r="D3399" i="6"/>
  <c r="U3399" i="6" s="1"/>
  <c r="C3399" i="6"/>
  <c r="E3399" i="6" s="1"/>
  <c r="B3399" i="6"/>
  <c r="Q3398" i="6"/>
  <c r="P3398" i="6"/>
  <c r="N3398" i="6"/>
  <c r="M3398" i="6"/>
  <c r="L3398" i="6"/>
  <c r="K3398" i="6"/>
  <c r="J3398" i="6"/>
  <c r="I3398" i="6"/>
  <c r="H3398" i="6"/>
  <c r="G3398" i="6"/>
  <c r="F3398" i="6"/>
  <c r="D3398" i="6"/>
  <c r="U3398" i="6" s="1"/>
  <c r="C3398" i="6"/>
  <c r="E3398" i="6" s="1"/>
  <c r="B3398" i="6"/>
  <c r="Q3397" i="6"/>
  <c r="N3397" i="6"/>
  <c r="M3397" i="6"/>
  <c r="L3397" i="6"/>
  <c r="K3397" i="6"/>
  <c r="J3397" i="6"/>
  <c r="I3397" i="6"/>
  <c r="P3397" i="6" s="1"/>
  <c r="H3397" i="6"/>
  <c r="G3397" i="6"/>
  <c r="F3397" i="6"/>
  <c r="D3397" i="6"/>
  <c r="U3397" i="6" s="1"/>
  <c r="C3397" i="6"/>
  <c r="E3397" i="6" s="1"/>
  <c r="B3397" i="6"/>
  <c r="Q3396" i="6"/>
  <c r="P3396" i="6"/>
  <c r="N3396" i="6"/>
  <c r="M3396" i="6"/>
  <c r="L3396" i="6"/>
  <c r="K3396" i="6"/>
  <c r="J3396" i="6"/>
  <c r="I3396" i="6"/>
  <c r="H3396" i="6"/>
  <c r="G3396" i="6"/>
  <c r="F3396" i="6"/>
  <c r="D3396" i="6"/>
  <c r="U3396" i="6" s="1"/>
  <c r="C3396" i="6"/>
  <c r="E3396" i="6" s="1"/>
  <c r="B3396" i="6"/>
  <c r="Q3395" i="6"/>
  <c r="N3395" i="6"/>
  <c r="M3395" i="6"/>
  <c r="L3395" i="6"/>
  <c r="K3395" i="6"/>
  <c r="J3395" i="6"/>
  <c r="I3395" i="6"/>
  <c r="P3395" i="6" s="1"/>
  <c r="H3395" i="6"/>
  <c r="G3395" i="6"/>
  <c r="F3395" i="6"/>
  <c r="D3395" i="6"/>
  <c r="U3395" i="6" s="1"/>
  <c r="C3395" i="6"/>
  <c r="E3395" i="6" s="1"/>
  <c r="B3395" i="6"/>
  <c r="Q3394" i="6"/>
  <c r="P3394" i="6"/>
  <c r="N3394" i="6"/>
  <c r="M3394" i="6"/>
  <c r="L3394" i="6"/>
  <c r="K3394" i="6"/>
  <c r="J3394" i="6"/>
  <c r="I3394" i="6"/>
  <c r="H3394" i="6"/>
  <c r="G3394" i="6"/>
  <c r="F3394" i="6"/>
  <c r="D3394" i="6"/>
  <c r="U3394" i="6" s="1"/>
  <c r="C3394" i="6"/>
  <c r="E3394" i="6" s="1"/>
  <c r="B3394" i="6"/>
  <c r="Q3393" i="6"/>
  <c r="N3393" i="6"/>
  <c r="M3393" i="6"/>
  <c r="L3393" i="6"/>
  <c r="K3393" i="6"/>
  <c r="J3393" i="6"/>
  <c r="I3393" i="6"/>
  <c r="P3393" i="6" s="1"/>
  <c r="H3393" i="6"/>
  <c r="G3393" i="6"/>
  <c r="F3393" i="6"/>
  <c r="D3393" i="6"/>
  <c r="U3393" i="6" s="1"/>
  <c r="C3393" i="6"/>
  <c r="E3393" i="6" s="1"/>
  <c r="B3393" i="6"/>
  <c r="Q3392" i="6"/>
  <c r="P3392" i="6"/>
  <c r="N3392" i="6"/>
  <c r="M3392" i="6"/>
  <c r="L3392" i="6"/>
  <c r="K3392" i="6"/>
  <c r="J3392" i="6"/>
  <c r="I3392" i="6"/>
  <c r="H3392" i="6"/>
  <c r="G3392" i="6"/>
  <c r="F3392" i="6"/>
  <c r="D3392" i="6"/>
  <c r="U3392" i="6" s="1"/>
  <c r="C3392" i="6"/>
  <c r="E3392" i="6" s="1"/>
  <c r="B3392" i="6"/>
  <c r="Q3391" i="6"/>
  <c r="N3391" i="6"/>
  <c r="M3391" i="6"/>
  <c r="L3391" i="6"/>
  <c r="K3391" i="6"/>
  <c r="J3391" i="6"/>
  <c r="I3391" i="6"/>
  <c r="P3391" i="6" s="1"/>
  <c r="H3391" i="6"/>
  <c r="G3391" i="6"/>
  <c r="F3391" i="6"/>
  <c r="D3391" i="6"/>
  <c r="U3391" i="6" s="1"/>
  <c r="C3391" i="6"/>
  <c r="B3391" i="6"/>
  <c r="Q3390" i="6"/>
  <c r="P3390" i="6"/>
  <c r="N3390" i="6"/>
  <c r="M3390" i="6"/>
  <c r="L3390" i="6"/>
  <c r="K3390" i="6"/>
  <c r="J3390" i="6"/>
  <c r="I3390" i="6"/>
  <c r="H3390" i="6"/>
  <c r="G3390" i="6"/>
  <c r="F3390" i="6"/>
  <c r="D3390" i="6"/>
  <c r="U3390" i="6" s="1"/>
  <c r="C3390" i="6"/>
  <c r="B3390" i="6"/>
  <c r="Q3389" i="6"/>
  <c r="N3389" i="6"/>
  <c r="M3389" i="6"/>
  <c r="L3389" i="6"/>
  <c r="K3389" i="6"/>
  <c r="J3389" i="6"/>
  <c r="I3389" i="6"/>
  <c r="P3389" i="6" s="1"/>
  <c r="H3389" i="6"/>
  <c r="G3389" i="6"/>
  <c r="F3389" i="6"/>
  <c r="D3389" i="6"/>
  <c r="U3389" i="6" s="1"/>
  <c r="C3389" i="6"/>
  <c r="B3389" i="6"/>
  <c r="Q3388" i="6"/>
  <c r="P3388" i="6"/>
  <c r="N3388" i="6"/>
  <c r="M3388" i="6"/>
  <c r="L3388" i="6"/>
  <c r="K3388" i="6"/>
  <c r="J3388" i="6"/>
  <c r="I3388" i="6"/>
  <c r="H3388" i="6"/>
  <c r="G3388" i="6"/>
  <c r="F3388" i="6"/>
  <c r="D3388" i="6"/>
  <c r="U3388" i="6" s="1"/>
  <c r="C3388" i="6"/>
  <c r="B3388" i="6"/>
  <c r="Q3387" i="6"/>
  <c r="N3387" i="6"/>
  <c r="M3387" i="6"/>
  <c r="L3387" i="6"/>
  <c r="K3387" i="6"/>
  <c r="J3387" i="6"/>
  <c r="I3387" i="6"/>
  <c r="P3387" i="6" s="1"/>
  <c r="H3387" i="6"/>
  <c r="G3387" i="6"/>
  <c r="F3387" i="6"/>
  <c r="D3387" i="6"/>
  <c r="U3387" i="6" s="1"/>
  <c r="C3387" i="6"/>
  <c r="B3387" i="6"/>
  <c r="Q3386" i="6"/>
  <c r="P3386" i="6"/>
  <c r="N3386" i="6"/>
  <c r="M3386" i="6"/>
  <c r="L3386" i="6"/>
  <c r="K3386" i="6"/>
  <c r="J3386" i="6"/>
  <c r="I3386" i="6"/>
  <c r="H3386" i="6"/>
  <c r="G3386" i="6"/>
  <c r="F3386" i="6"/>
  <c r="D3386" i="6"/>
  <c r="U3386" i="6" s="1"/>
  <c r="C3386" i="6"/>
  <c r="B3386" i="6"/>
  <c r="Q3385" i="6"/>
  <c r="N3385" i="6"/>
  <c r="M3385" i="6"/>
  <c r="L3385" i="6"/>
  <c r="K3385" i="6"/>
  <c r="J3385" i="6"/>
  <c r="I3385" i="6"/>
  <c r="P3385" i="6" s="1"/>
  <c r="H3385" i="6"/>
  <c r="G3385" i="6"/>
  <c r="F3385" i="6"/>
  <c r="D3385" i="6"/>
  <c r="U3385" i="6" s="1"/>
  <c r="C3385" i="6"/>
  <c r="B3385" i="6"/>
  <c r="Q3384" i="6"/>
  <c r="P3384" i="6"/>
  <c r="N3384" i="6"/>
  <c r="M3384" i="6"/>
  <c r="L3384" i="6"/>
  <c r="K3384" i="6"/>
  <c r="J3384" i="6"/>
  <c r="I3384" i="6"/>
  <c r="H3384" i="6"/>
  <c r="G3384" i="6"/>
  <c r="F3384" i="6"/>
  <c r="D3384" i="6"/>
  <c r="U3384" i="6" s="1"/>
  <c r="C3384" i="6"/>
  <c r="B3384" i="6"/>
  <c r="Q3383" i="6"/>
  <c r="N3383" i="6"/>
  <c r="M3383" i="6"/>
  <c r="L3383" i="6"/>
  <c r="K3383" i="6"/>
  <c r="J3383" i="6"/>
  <c r="I3383" i="6"/>
  <c r="P3383" i="6" s="1"/>
  <c r="H3383" i="6"/>
  <c r="G3383" i="6"/>
  <c r="F3383" i="6"/>
  <c r="D3383" i="6"/>
  <c r="U3383" i="6" s="1"/>
  <c r="C3383" i="6"/>
  <c r="B3383" i="6"/>
  <c r="Q3382" i="6"/>
  <c r="P3382" i="6"/>
  <c r="N3382" i="6"/>
  <c r="M3382" i="6"/>
  <c r="L3382" i="6"/>
  <c r="K3382" i="6"/>
  <c r="J3382" i="6"/>
  <c r="I3382" i="6"/>
  <c r="H3382" i="6"/>
  <c r="G3382" i="6"/>
  <c r="F3382" i="6"/>
  <c r="D3382" i="6"/>
  <c r="U3382" i="6" s="1"/>
  <c r="C3382" i="6"/>
  <c r="B3382" i="6"/>
  <c r="Q3381" i="6"/>
  <c r="N3381" i="6"/>
  <c r="M3381" i="6"/>
  <c r="L3381" i="6"/>
  <c r="K3381" i="6"/>
  <c r="J3381" i="6"/>
  <c r="I3381" i="6"/>
  <c r="P3381" i="6" s="1"/>
  <c r="H3381" i="6"/>
  <c r="G3381" i="6"/>
  <c r="F3381" i="6"/>
  <c r="D3381" i="6"/>
  <c r="U3381" i="6" s="1"/>
  <c r="C3381" i="6"/>
  <c r="B3381" i="6"/>
  <c r="Q3380" i="6"/>
  <c r="P3380" i="6"/>
  <c r="N3380" i="6"/>
  <c r="M3380" i="6"/>
  <c r="L3380" i="6"/>
  <c r="K3380" i="6"/>
  <c r="J3380" i="6"/>
  <c r="I3380" i="6"/>
  <c r="H3380" i="6"/>
  <c r="G3380" i="6"/>
  <c r="F3380" i="6"/>
  <c r="D3380" i="6"/>
  <c r="U3380" i="6" s="1"/>
  <c r="C3380" i="6"/>
  <c r="B3380" i="6"/>
  <c r="Q3379" i="6"/>
  <c r="N3379" i="6"/>
  <c r="M3379" i="6"/>
  <c r="L3379" i="6"/>
  <c r="K3379" i="6"/>
  <c r="J3379" i="6"/>
  <c r="I3379" i="6"/>
  <c r="P3379" i="6" s="1"/>
  <c r="H3379" i="6"/>
  <c r="G3379" i="6"/>
  <c r="F3379" i="6"/>
  <c r="D3379" i="6"/>
  <c r="U3379" i="6" s="1"/>
  <c r="C3379" i="6"/>
  <c r="B3379" i="6"/>
  <c r="Q3378" i="6"/>
  <c r="P3378" i="6"/>
  <c r="N3378" i="6"/>
  <c r="M3378" i="6"/>
  <c r="L3378" i="6"/>
  <c r="K3378" i="6"/>
  <c r="J3378" i="6"/>
  <c r="I3378" i="6"/>
  <c r="H3378" i="6"/>
  <c r="G3378" i="6"/>
  <c r="F3378" i="6"/>
  <c r="D3378" i="6"/>
  <c r="U3378" i="6" s="1"/>
  <c r="C3378" i="6"/>
  <c r="B3378" i="6"/>
  <c r="Q3377" i="6"/>
  <c r="N3377" i="6"/>
  <c r="M3377" i="6"/>
  <c r="L3377" i="6"/>
  <c r="K3377" i="6"/>
  <c r="J3377" i="6"/>
  <c r="I3377" i="6"/>
  <c r="P3377" i="6" s="1"/>
  <c r="H3377" i="6"/>
  <c r="G3377" i="6"/>
  <c r="F3377" i="6"/>
  <c r="D3377" i="6"/>
  <c r="U3377" i="6" s="1"/>
  <c r="C3377" i="6"/>
  <c r="B3377" i="6"/>
  <c r="Q3376" i="6"/>
  <c r="P3376" i="6"/>
  <c r="N3376" i="6"/>
  <c r="M3376" i="6"/>
  <c r="L3376" i="6"/>
  <c r="K3376" i="6"/>
  <c r="J3376" i="6"/>
  <c r="I3376" i="6"/>
  <c r="H3376" i="6"/>
  <c r="G3376" i="6"/>
  <c r="F3376" i="6"/>
  <c r="D3376" i="6"/>
  <c r="U3376" i="6" s="1"/>
  <c r="C3376" i="6"/>
  <c r="B3376" i="6"/>
  <c r="Q3375" i="6"/>
  <c r="N3375" i="6"/>
  <c r="M3375" i="6"/>
  <c r="L3375" i="6"/>
  <c r="K3375" i="6"/>
  <c r="J3375" i="6"/>
  <c r="I3375" i="6"/>
  <c r="P3375" i="6" s="1"/>
  <c r="H3375" i="6"/>
  <c r="G3375" i="6"/>
  <c r="F3375" i="6"/>
  <c r="D3375" i="6"/>
  <c r="U3375" i="6" s="1"/>
  <c r="C3375" i="6"/>
  <c r="B3375" i="6"/>
  <c r="Q3374" i="6"/>
  <c r="N3374" i="6"/>
  <c r="M3374" i="6"/>
  <c r="L3374" i="6"/>
  <c r="K3374" i="6"/>
  <c r="J3374" i="6"/>
  <c r="I3374" i="6"/>
  <c r="P3374" i="6" s="1"/>
  <c r="H3374" i="6"/>
  <c r="G3374" i="6"/>
  <c r="F3374" i="6"/>
  <c r="D3374" i="6"/>
  <c r="U3374" i="6" s="1"/>
  <c r="C3374" i="6"/>
  <c r="B3374" i="6"/>
  <c r="Q3373" i="6"/>
  <c r="P3373" i="6"/>
  <c r="N3373" i="6"/>
  <c r="M3373" i="6"/>
  <c r="L3373" i="6"/>
  <c r="K3373" i="6"/>
  <c r="J3373" i="6"/>
  <c r="I3373" i="6"/>
  <c r="H3373" i="6"/>
  <c r="G3373" i="6"/>
  <c r="F3373" i="6"/>
  <c r="D3373" i="6"/>
  <c r="U3373" i="6" s="1"/>
  <c r="C3373" i="6"/>
  <c r="B3373" i="6"/>
  <c r="E3373" i="6" s="1"/>
  <c r="Q3372" i="6"/>
  <c r="N3372" i="6"/>
  <c r="M3372" i="6"/>
  <c r="L3372" i="6"/>
  <c r="K3372" i="6"/>
  <c r="J3372" i="6"/>
  <c r="I3372" i="6"/>
  <c r="P3372" i="6" s="1"/>
  <c r="H3372" i="6"/>
  <c r="G3372" i="6"/>
  <c r="F3372" i="6"/>
  <c r="D3372" i="6"/>
  <c r="U3372" i="6" s="1"/>
  <c r="C3372" i="6"/>
  <c r="B3372" i="6"/>
  <c r="Q3371" i="6"/>
  <c r="P3371" i="6"/>
  <c r="N3371" i="6"/>
  <c r="M3371" i="6"/>
  <c r="L3371" i="6"/>
  <c r="K3371" i="6"/>
  <c r="J3371" i="6"/>
  <c r="I3371" i="6"/>
  <c r="H3371" i="6"/>
  <c r="G3371" i="6"/>
  <c r="F3371" i="6"/>
  <c r="D3371" i="6"/>
  <c r="U3371" i="6" s="1"/>
  <c r="C3371" i="6"/>
  <c r="B3371" i="6"/>
  <c r="E3371" i="6" s="1"/>
  <c r="Q3370" i="6"/>
  <c r="N3370" i="6"/>
  <c r="M3370" i="6"/>
  <c r="L3370" i="6"/>
  <c r="K3370" i="6"/>
  <c r="J3370" i="6"/>
  <c r="I3370" i="6"/>
  <c r="P3370" i="6" s="1"/>
  <c r="H3370" i="6"/>
  <c r="G3370" i="6"/>
  <c r="F3370" i="6"/>
  <c r="D3370" i="6"/>
  <c r="U3370" i="6" s="1"/>
  <c r="C3370" i="6"/>
  <c r="B3370" i="6"/>
  <c r="Q3369" i="6"/>
  <c r="P3369" i="6"/>
  <c r="N3369" i="6"/>
  <c r="M3369" i="6"/>
  <c r="L3369" i="6"/>
  <c r="K3369" i="6"/>
  <c r="J3369" i="6"/>
  <c r="I3369" i="6"/>
  <c r="H3369" i="6"/>
  <c r="G3369" i="6"/>
  <c r="F3369" i="6"/>
  <c r="D3369" i="6"/>
  <c r="U3369" i="6" s="1"/>
  <c r="C3369" i="6"/>
  <c r="B3369" i="6"/>
  <c r="E3369" i="6" s="1"/>
  <c r="Q3368" i="6"/>
  <c r="N3368" i="6"/>
  <c r="M3368" i="6"/>
  <c r="L3368" i="6"/>
  <c r="K3368" i="6"/>
  <c r="J3368" i="6"/>
  <c r="I3368" i="6"/>
  <c r="P3368" i="6" s="1"/>
  <c r="H3368" i="6"/>
  <c r="G3368" i="6"/>
  <c r="F3368" i="6"/>
  <c r="D3368" i="6"/>
  <c r="U3368" i="6" s="1"/>
  <c r="C3368" i="6"/>
  <c r="B3368" i="6"/>
  <c r="Q3367" i="6"/>
  <c r="P3367" i="6"/>
  <c r="N3367" i="6"/>
  <c r="M3367" i="6"/>
  <c r="L3367" i="6"/>
  <c r="K3367" i="6"/>
  <c r="J3367" i="6"/>
  <c r="I3367" i="6"/>
  <c r="H3367" i="6"/>
  <c r="G3367" i="6"/>
  <c r="F3367" i="6"/>
  <c r="D3367" i="6"/>
  <c r="U3367" i="6" s="1"/>
  <c r="C3367" i="6"/>
  <c r="B3367" i="6"/>
  <c r="E3367" i="6" s="1"/>
  <c r="Q3366" i="6"/>
  <c r="N3366" i="6"/>
  <c r="M3366" i="6"/>
  <c r="L3366" i="6"/>
  <c r="K3366" i="6"/>
  <c r="J3366" i="6"/>
  <c r="I3366" i="6"/>
  <c r="P3366" i="6" s="1"/>
  <c r="H3366" i="6"/>
  <c r="G3366" i="6"/>
  <c r="F3366" i="6"/>
  <c r="D3366" i="6"/>
  <c r="U3366" i="6" s="1"/>
  <c r="C3366" i="6"/>
  <c r="B3366" i="6"/>
  <c r="Q3365" i="6"/>
  <c r="P3365" i="6"/>
  <c r="N3365" i="6"/>
  <c r="M3365" i="6"/>
  <c r="L3365" i="6"/>
  <c r="K3365" i="6"/>
  <c r="J3365" i="6"/>
  <c r="I3365" i="6"/>
  <c r="H3365" i="6"/>
  <c r="G3365" i="6"/>
  <c r="F3365" i="6"/>
  <c r="D3365" i="6"/>
  <c r="U3365" i="6" s="1"/>
  <c r="C3365" i="6"/>
  <c r="B3365" i="6"/>
  <c r="E3365" i="6" s="1"/>
  <c r="Q3364" i="6"/>
  <c r="N3364" i="6"/>
  <c r="M3364" i="6"/>
  <c r="L3364" i="6"/>
  <c r="K3364" i="6"/>
  <c r="J3364" i="6"/>
  <c r="I3364" i="6"/>
  <c r="P3364" i="6" s="1"/>
  <c r="H3364" i="6"/>
  <c r="G3364" i="6"/>
  <c r="F3364" i="6"/>
  <c r="D3364" i="6"/>
  <c r="U3364" i="6" s="1"/>
  <c r="C3364" i="6"/>
  <c r="B3364" i="6"/>
  <c r="Q3363" i="6"/>
  <c r="P3363" i="6"/>
  <c r="N3363" i="6"/>
  <c r="M3363" i="6"/>
  <c r="L3363" i="6"/>
  <c r="K3363" i="6"/>
  <c r="J3363" i="6"/>
  <c r="I3363" i="6"/>
  <c r="H3363" i="6"/>
  <c r="G3363" i="6"/>
  <c r="F3363" i="6"/>
  <c r="D3363" i="6"/>
  <c r="U3363" i="6" s="1"/>
  <c r="C3363" i="6"/>
  <c r="B3363" i="6"/>
  <c r="E3363" i="6" s="1"/>
  <c r="Q3362" i="6"/>
  <c r="N3362" i="6"/>
  <c r="M3362" i="6"/>
  <c r="L3362" i="6"/>
  <c r="K3362" i="6"/>
  <c r="J3362" i="6"/>
  <c r="I3362" i="6"/>
  <c r="P3362" i="6" s="1"/>
  <c r="H3362" i="6"/>
  <c r="G3362" i="6"/>
  <c r="F3362" i="6"/>
  <c r="D3362" i="6"/>
  <c r="U3362" i="6" s="1"/>
  <c r="C3362" i="6"/>
  <c r="B3362" i="6"/>
  <c r="Q3361" i="6"/>
  <c r="P3361" i="6"/>
  <c r="N3361" i="6"/>
  <c r="M3361" i="6"/>
  <c r="L3361" i="6"/>
  <c r="K3361" i="6"/>
  <c r="J3361" i="6"/>
  <c r="I3361" i="6"/>
  <c r="H3361" i="6"/>
  <c r="G3361" i="6"/>
  <c r="F3361" i="6"/>
  <c r="D3361" i="6"/>
  <c r="U3361" i="6" s="1"/>
  <c r="C3361" i="6"/>
  <c r="B3361" i="6"/>
  <c r="E3361" i="6" s="1"/>
  <c r="Q3360" i="6"/>
  <c r="N3360" i="6"/>
  <c r="M3360" i="6"/>
  <c r="L3360" i="6"/>
  <c r="K3360" i="6"/>
  <c r="J3360" i="6"/>
  <c r="I3360" i="6"/>
  <c r="P3360" i="6" s="1"/>
  <c r="H3360" i="6"/>
  <c r="G3360" i="6"/>
  <c r="F3360" i="6"/>
  <c r="D3360" i="6"/>
  <c r="U3360" i="6" s="1"/>
  <c r="C3360" i="6"/>
  <c r="B3360" i="6"/>
  <c r="Q3359" i="6"/>
  <c r="P3359" i="6"/>
  <c r="N3359" i="6"/>
  <c r="M3359" i="6"/>
  <c r="L3359" i="6"/>
  <c r="K3359" i="6"/>
  <c r="J3359" i="6"/>
  <c r="I3359" i="6"/>
  <c r="H3359" i="6"/>
  <c r="G3359" i="6"/>
  <c r="F3359" i="6"/>
  <c r="D3359" i="6"/>
  <c r="U3359" i="6" s="1"/>
  <c r="C3359" i="6"/>
  <c r="B3359" i="6"/>
  <c r="E3359" i="6" s="1"/>
  <c r="Q3358" i="6"/>
  <c r="N3358" i="6"/>
  <c r="M3358" i="6"/>
  <c r="L3358" i="6"/>
  <c r="K3358" i="6"/>
  <c r="J3358" i="6"/>
  <c r="I3358" i="6"/>
  <c r="P3358" i="6" s="1"/>
  <c r="H3358" i="6"/>
  <c r="G3358" i="6"/>
  <c r="F3358" i="6"/>
  <c r="D3358" i="6"/>
  <c r="U3358" i="6" s="1"/>
  <c r="C3358" i="6"/>
  <c r="B3358" i="6"/>
  <c r="Q3357" i="6"/>
  <c r="P3357" i="6"/>
  <c r="N3357" i="6"/>
  <c r="M3357" i="6"/>
  <c r="L3357" i="6"/>
  <c r="K3357" i="6"/>
  <c r="J3357" i="6"/>
  <c r="I3357" i="6"/>
  <c r="H3357" i="6"/>
  <c r="G3357" i="6"/>
  <c r="F3357" i="6"/>
  <c r="D3357" i="6"/>
  <c r="U3357" i="6" s="1"/>
  <c r="C3357" i="6"/>
  <c r="B3357" i="6"/>
  <c r="E3357" i="6" s="1"/>
  <c r="Q3356" i="6"/>
  <c r="N3356" i="6"/>
  <c r="M3356" i="6"/>
  <c r="L3356" i="6"/>
  <c r="K3356" i="6"/>
  <c r="J3356" i="6"/>
  <c r="I3356" i="6"/>
  <c r="P3356" i="6" s="1"/>
  <c r="H3356" i="6"/>
  <c r="G3356" i="6"/>
  <c r="F3356" i="6"/>
  <c r="D3356" i="6"/>
  <c r="U3356" i="6" s="1"/>
  <c r="C3356" i="6"/>
  <c r="B3356" i="6"/>
  <c r="Q3355" i="6"/>
  <c r="P3355" i="6"/>
  <c r="N3355" i="6"/>
  <c r="M3355" i="6"/>
  <c r="L3355" i="6"/>
  <c r="K3355" i="6"/>
  <c r="J3355" i="6"/>
  <c r="I3355" i="6"/>
  <c r="H3355" i="6"/>
  <c r="G3355" i="6"/>
  <c r="F3355" i="6"/>
  <c r="D3355" i="6"/>
  <c r="U3355" i="6" s="1"/>
  <c r="C3355" i="6"/>
  <c r="B3355" i="6"/>
  <c r="E3355" i="6" s="1"/>
  <c r="Q3354" i="6"/>
  <c r="N3354" i="6"/>
  <c r="M3354" i="6"/>
  <c r="L3354" i="6"/>
  <c r="K3354" i="6"/>
  <c r="J3354" i="6"/>
  <c r="I3354" i="6"/>
  <c r="P3354" i="6" s="1"/>
  <c r="H3354" i="6"/>
  <c r="G3354" i="6"/>
  <c r="F3354" i="6"/>
  <c r="D3354" i="6"/>
  <c r="U3354" i="6" s="1"/>
  <c r="C3354" i="6"/>
  <c r="B3354" i="6"/>
  <c r="Q3353" i="6"/>
  <c r="P3353" i="6"/>
  <c r="N3353" i="6"/>
  <c r="M3353" i="6"/>
  <c r="L3353" i="6"/>
  <c r="K3353" i="6"/>
  <c r="J3353" i="6"/>
  <c r="I3353" i="6"/>
  <c r="H3353" i="6"/>
  <c r="G3353" i="6"/>
  <c r="F3353" i="6"/>
  <c r="D3353" i="6"/>
  <c r="U3353" i="6" s="1"/>
  <c r="C3353" i="6"/>
  <c r="B3353" i="6"/>
  <c r="E3353" i="6" s="1"/>
  <c r="Q3352" i="6"/>
  <c r="N3352" i="6"/>
  <c r="M3352" i="6"/>
  <c r="L3352" i="6"/>
  <c r="K3352" i="6"/>
  <c r="J3352" i="6"/>
  <c r="I3352" i="6"/>
  <c r="P3352" i="6" s="1"/>
  <c r="H3352" i="6"/>
  <c r="G3352" i="6"/>
  <c r="F3352" i="6"/>
  <c r="D3352" i="6"/>
  <c r="U3352" i="6" s="1"/>
  <c r="C3352" i="6"/>
  <c r="B3352" i="6"/>
  <c r="Q3351" i="6"/>
  <c r="P3351" i="6"/>
  <c r="N3351" i="6"/>
  <c r="M3351" i="6"/>
  <c r="L3351" i="6"/>
  <c r="K3351" i="6"/>
  <c r="J3351" i="6"/>
  <c r="I3351" i="6"/>
  <c r="H3351" i="6"/>
  <c r="G3351" i="6"/>
  <c r="F3351" i="6"/>
  <c r="D3351" i="6"/>
  <c r="U3351" i="6" s="1"/>
  <c r="C3351" i="6"/>
  <c r="B3351" i="6"/>
  <c r="E3351" i="6" s="1"/>
  <c r="Q3350" i="6"/>
  <c r="N3350" i="6"/>
  <c r="M3350" i="6"/>
  <c r="L3350" i="6"/>
  <c r="K3350" i="6"/>
  <c r="J3350" i="6"/>
  <c r="I3350" i="6"/>
  <c r="P3350" i="6" s="1"/>
  <c r="H3350" i="6"/>
  <c r="G3350" i="6"/>
  <c r="F3350" i="6"/>
  <c r="D3350" i="6"/>
  <c r="U3350" i="6" s="1"/>
  <c r="C3350" i="6"/>
  <c r="B3350" i="6"/>
  <c r="Q3349" i="6"/>
  <c r="P3349" i="6"/>
  <c r="N3349" i="6"/>
  <c r="M3349" i="6"/>
  <c r="L3349" i="6"/>
  <c r="K3349" i="6"/>
  <c r="J3349" i="6"/>
  <c r="I3349" i="6"/>
  <c r="H3349" i="6"/>
  <c r="G3349" i="6"/>
  <c r="F3349" i="6"/>
  <c r="D3349" i="6"/>
  <c r="U3349" i="6" s="1"/>
  <c r="C3349" i="6"/>
  <c r="B3349" i="6"/>
  <c r="E3349" i="6" s="1"/>
  <c r="Q3348" i="6"/>
  <c r="N3348" i="6"/>
  <c r="M3348" i="6"/>
  <c r="L3348" i="6"/>
  <c r="K3348" i="6"/>
  <c r="J3348" i="6"/>
  <c r="I3348" i="6"/>
  <c r="P3348" i="6" s="1"/>
  <c r="H3348" i="6"/>
  <c r="G3348" i="6"/>
  <c r="F3348" i="6"/>
  <c r="D3348" i="6"/>
  <c r="U3348" i="6" s="1"/>
  <c r="C3348" i="6"/>
  <c r="B3348" i="6"/>
  <c r="Q3347" i="6"/>
  <c r="P3347" i="6"/>
  <c r="N3347" i="6"/>
  <c r="M3347" i="6"/>
  <c r="L3347" i="6"/>
  <c r="K3347" i="6"/>
  <c r="J3347" i="6"/>
  <c r="I3347" i="6"/>
  <c r="H3347" i="6"/>
  <c r="G3347" i="6"/>
  <c r="F3347" i="6"/>
  <c r="D3347" i="6"/>
  <c r="U3347" i="6" s="1"/>
  <c r="C3347" i="6"/>
  <c r="B3347" i="6"/>
  <c r="E3347" i="6" s="1"/>
  <c r="Q3346" i="6"/>
  <c r="N3346" i="6"/>
  <c r="M3346" i="6"/>
  <c r="L3346" i="6"/>
  <c r="K3346" i="6"/>
  <c r="J3346" i="6"/>
  <c r="I3346" i="6"/>
  <c r="P3346" i="6" s="1"/>
  <c r="H3346" i="6"/>
  <c r="G3346" i="6"/>
  <c r="F3346" i="6"/>
  <c r="D3346" i="6"/>
  <c r="U3346" i="6" s="1"/>
  <c r="C3346" i="6"/>
  <c r="B3346" i="6"/>
  <c r="Q3345" i="6"/>
  <c r="P3345" i="6"/>
  <c r="N3345" i="6"/>
  <c r="M3345" i="6"/>
  <c r="L3345" i="6"/>
  <c r="K3345" i="6"/>
  <c r="J3345" i="6"/>
  <c r="I3345" i="6"/>
  <c r="H3345" i="6"/>
  <c r="G3345" i="6"/>
  <c r="F3345" i="6"/>
  <c r="D3345" i="6"/>
  <c r="U3345" i="6" s="1"/>
  <c r="C3345" i="6"/>
  <c r="B3345" i="6"/>
  <c r="E3345" i="6" s="1"/>
  <c r="Q3344" i="6"/>
  <c r="N3344" i="6"/>
  <c r="M3344" i="6"/>
  <c r="L3344" i="6"/>
  <c r="K3344" i="6"/>
  <c r="J3344" i="6"/>
  <c r="I3344" i="6"/>
  <c r="P3344" i="6" s="1"/>
  <c r="H3344" i="6"/>
  <c r="G3344" i="6"/>
  <c r="F3344" i="6"/>
  <c r="D3344" i="6"/>
  <c r="U3344" i="6" s="1"/>
  <c r="C3344" i="6"/>
  <c r="B3344" i="6"/>
  <c r="Q3343" i="6"/>
  <c r="P3343" i="6"/>
  <c r="N3343" i="6"/>
  <c r="M3343" i="6"/>
  <c r="L3343" i="6"/>
  <c r="K3343" i="6"/>
  <c r="J3343" i="6"/>
  <c r="I3343" i="6"/>
  <c r="H3343" i="6"/>
  <c r="G3343" i="6"/>
  <c r="F3343" i="6"/>
  <c r="D3343" i="6"/>
  <c r="U3343" i="6" s="1"/>
  <c r="C3343" i="6"/>
  <c r="B3343" i="6"/>
  <c r="E3343" i="6" s="1"/>
  <c r="Q3342" i="6"/>
  <c r="N3342" i="6"/>
  <c r="M3342" i="6"/>
  <c r="L3342" i="6"/>
  <c r="K3342" i="6"/>
  <c r="J3342" i="6"/>
  <c r="I3342" i="6"/>
  <c r="P3342" i="6" s="1"/>
  <c r="H3342" i="6"/>
  <c r="G3342" i="6"/>
  <c r="F3342" i="6"/>
  <c r="D3342" i="6"/>
  <c r="U3342" i="6" s="1"/>
  <c r="C3342" i="6"/>
  <c r="B3342" i="6"/>
  <c r="Q3341" i="6"/>
  <c r="P3341" i="6"/>
  <c r="N3341" i="6"/>
  <c r="M3341" i="6"/>
  <c r="L3341" i="6"/>
  <c r="K3341" i="6"/>
  <c r="J3341" i="6"/>
  <c r="I3341" i="6"/>
  <c r="H3341" i="6"/>
  <c r="G3341" i="6"/>
  <c r="F3341" i="6"/>
  <c r="D3341" i="6"/>
  <c r="U3341" i="6" s="1"/>
  <c r="C3341" i="6"/>
  <c r="B3341" i="6"/>
  <c r="E3341" i="6" s="1"/>
  <c r="Q3340" i="6"/>
  <c r="N3340" i="6"/>
  <c r="M3340" i="6"/>
  <c r="L3340" i="6"/>
  <c r="K3340" i="6"/>
  <c r="J3340" i="6"/>
  <c r="I3340" i="6"/>
  <c r="P3340" i="6" s="1"/>
  <c r="H3340" i="6"/>
  <c r="G3340" i="6"/>
  <c r="F3340" i="6"/>
  <c r="D3340" i="6"/>
  <c r="U3340" i="6" s="1"/>
  <c r="C3340" i="6"/>
  <c r="B3340" i="6"/>
  <c r="Q3339" i="6"/>
  <c r="P3339" i="6"/>
  <c r="N3339" i="6"/>
  <c r="M3339" i="6"/>
  <c r="L3339" i="6"/>
  <c r="K3339" i="6"/>
  <c r="J3339" i="6"/>
  <c r="I3339" i="6"/>
  <c r="H3339" i="6"/>
  <c r="G3339" i="6"/>
  <c r="F3339" i="6"/>
  <c r="D3339" i="6"/>
  <c r="U3339" i="6" s="1"/>
  <c r="C3339" i="6"/>
  <c r="B3339" i="6"/>
  <c r="E3339" i="6" s="1"/>
  <c r="Q3338" i="6"/>
  <c r="N3338" i="6"/>
  <c r="M3338" i="6"/>
  <c r="L3338" i="6"/>
  <c r="K3338" i="6"/>
  <c r="J3338" i="6"/>
  <c r="I3338" i="6"/>
  <c r="P3338" i="6" s="1"/>
  <c r="H3338" i="6"/>
  <c r="G3338" i="6"/>
  <c r="F3338" i="6"/>
  <c r="D3338" i="6"/>
  <c r="U3338" i="6" s="1"/>
  <c r="C3338" i="6"/>
  <c r="B3338" i="6"/>
  <c r="Q3337" i="6"/>
  <c r="P3337" i="6"/>
  <c r="N3337" i="6"/>
  <c r="M3337" i="6"/>
  <c r="L3337" i="6"/>
  <c r="K3337" i="6"/>
  <c r="J3337" i="6"/>
  <c r="I3337" i="6"/>
  <c r="H3337" i="6"/>
  <c r="G3337" i="6"/>
  <c r="F3337" i="6"/>
  <c r="D3337" i="6"/>
  <c r="U3337" i="6" s="1"/>
  <c r="C3337" i="6"/>
  <c r="B3337" i="6"/>
  <c r="E3337" i="6" s="1"/>
  <c r="Q3336" i="6"/>
  <c r="N3336" i="6"/>
  <c r="M3336" i="6"/>
  <c r="L3336" i="6"/>
  <c r="K3336" i="6"/>
  <c r="J3336" i="6"/>
  <c r="I3336" i="6"/>
  <c r="P3336" i="6" s="1"/>
  <c r="H3336" i="6"/>
  <c r="G3336" i="6"/>
  <c r="F3336" i="6"/>
  <c r="D3336" i="6"/>
  <c r="U3336" i="6" s="1"/>
  <c r="C3336" i="6"/>
  <c r="B3336" i="6"/>
  <c r="Q3335" i="6"/>
  <c r="P3335" i="6"/>
  <c r="N3335" i="6"/>
  <c r="M3335" i="6"/>
  <c r="L3335" i="6"/>
  <c r="K3335" i="6"/>
  <c r="J3335" i="6"/>
  <c r="I3335" i="6"/>
  <c r="H3335" i="6"/>
  <c r="G3335" i="6"/>
  <c r="F3335" i="6"/>
  <c r="D3335" i="6"/>
  <c r="U3335" i="6" s="1"/>
  <c r="C3335" i="6"/>
  <c r="B3335" i="6"/>
  <c r="E3335" i="6" s="1"/>
  <c r="Q3334" i="6"/>
  <c r="N3334" i="6"/>
  <c r="M3334" i="6"/>
  <c r="L3334" i="6"/>
  <c r="K3334" i="6"/>
  <c r="J3334" i="6"/>
  <c r="I3334" i="6"/>
  <c r="P3334" i="6" s="1"/>
  <c r="H3334" i="6"/>
  <c r="G3334" i="6"/>
  <c r="F3334" i="6"/>
  <c r="D3334" i="6"/>
  <c r="U3334" i="6" s="1"/>
  <c r="C3334" i="6"/>
  <c r="B3334" i="6"/>
  <c r="Q3333" i="6"/>
  <c r="P3333" i="6"/>
  <c r="N3333" i="6"/>
  <c r="M3333" i="6"/>
  <c r="L3333" i="6"/>
  <c r="K3333" i="6"/>
  <c r="J3333" i="6"/>
  <c r="I3333" i="6"/>
  <c r="H3333" i="6"/>
  <c r="G3333" i="6"/>
  <c r="F3333" i="6"/>
  <c r="D3333" i="6"/>
  <c r="U3333" i="6" s="1"/>
  <c r="C3333" i="6"/>
  <c r="B3333" i="6"/>
  <c r="E3333" i="6" s="1"/>
  <c r="Q3332" i="6"/>
  <c r="N3332" i="6"/>
  <c r="M3332" i="6"/>
  <c r="L3332" i="6"/>
  <c r="K3332" i="6"/>
  <c r="J3332" i="6"/>
  <c r="I3332" i="6"/>
  <c r="P3332" i="6" s="1"/>
  <c r="H3332" i="6"/>
  <c r="G3332" i="6"/>
  <c r="F3332" i="6"/>
  <c r="D3332" i="6"/>
  <c r="U3332" i="6" s="1"/>
  <c r="C3332" i="6"/>
  <c r="B3332" i="6"/>
  <c r="Q3331" i="6"/>
  <c r="P3331" i="6"/>
  <c r="N3331" i="6"/>
  <c r="M3331" i="6"/>
  <c r="L3331" i="6"/>
  <c r="K3331" i="6"/>
  <c r="J3331" i="6"/>
  <c r="I3331" i="6"/>
  <c r="H3331" i="6"/>
  <c r="G3331" i="6"/>
  <c r="F3331" i="6"/>
  <c r="D3331" i="6"/>
  <c r="U3331" i="6" s="1"/>
  <c r="C3331" i="6"/>
  <c r="B3331" i="6"/>
  <c r="E3331" i="6" s="1"/>
  <c r="Q3330" i="6"/>
  <c r="N3330" i="6"/>
  <c r="M3330" i="6"/>
  <c r="L3330" i="6"/>
  <c r="K3330" i="6"/>
  <c r="J3330" i="6"/>
  <c r="I3330" i="6"/>
  <c r="P3330" i="6" s="1"/>
  <c r="H3330" i="6"/>
  <c r="G3330" i="6"/>
  <c r="F3330" i="6"/>
  <c r="D3330" i="6"/>
  <c r="U3330" i="6" s="1"/>
  <c r="C3330" i="6"/>
  <c r="B3330" i="6"/>
  <c r="Q3329" i="6"/>
  <c r="P3329" i="6"/>
  <c r="N3329" i="6"/>
  <c r="M3329" i="6"/>
  <c r="L3329" i="6"/>
  <c r="K3329" i="6"/>
  <c r="J3329" i="6"/>
  <c r="I3329" i="6"/>
  <c r="H3329" i="6"/>
  <c r="G3329" i="6"/>
  <c r="F3329" i="6"/>
  <c r="D3329" i="6"/>
  <c r="U3329" i="6" s="1"/>
  <c r="C3329" i="6"/>
  <c r="B3329" i="6"/>
  <c r="E3329" i="6" s="1"/>
  <c r="Q3328" i="6"/>
  <c r="N3328" i="6"/>
  <c r="M3328" i="6"/>
  <c r="L3328" i="6"/>
  <c r="K3328" i="6"/>
  <c r="J3328" i="6"/>
  <c r="I3328" i="6"/>
  <c r="P3328" i="6" s="1"/>
  <c r="H3328" i="6"/>
  <c r="G3328" i="6"/>
  <c r="F3328" i="6"/>
  <c r="D3328" i="6"/>
  <c r="U3328" i="6" s="1"/>
  <c r="C3328" i="6"/>
  <c r="B3328" i="6"/>
  <c r="Q3327" i="6"/>
  <c r="P3327" i="6"/>
  <c r="N3327" i="6"/>
  <c r="M3327" i="6"/>
  <c r="L3327" i="6"/>
  <c r="K3327" i="6"/>
  <c r="J3327" i="6"/>
  <c r="I3327" i="6"/>
  <c r="H3327" i="6"/>
  <c r="G3327" i="6"/>
  <c r="F3327" i="6"/>
  <c r="D3327" i="6"/>
  <c r="U3327" i="6" s="1"/>
  <c r="C3327" i="6"/>
  <c r="B3327" i="6"/>
  <c r="E3327" i="6" s="1"/>
  <c r="Q3326" i="6"/>
  <c r="N3326" i="6"/>
  <c r="M3326" i="6"/>
  <c r="L3326" i="6"/>
  <c r="K3326" i="6"/>
  <c r="J3326" i="6"/>
  <c r="I3326" i="6"/>
  <c r="P3326" i="6" s="1"/>
  <c r="H3326" i="6"/>
  <c r="G3326" i="6"/>
  <c r="F3326" i="6"/>
  <c r="D3326" i="6"/>
  <c r="U3326" i="6" s="1"/>
  <c r="C3326" i="6"/>
  <c r="B3326" i="6"/>
  <c r="Q3325" i="6"/>
  <c r="P3325" i="6"/>
  <c r="N3325" i="6"/>
  <c r="M3325" i="6"/>
  <c r="L3325" i="6"/>
  <c r="K3325" i="6"/>
  <c r="J3325" i="6"/>
  <c r="I3325" i="6"/>
  <c r="H3325" i="6"/>
  <c r="G3325" i="6"/>
  <c r="F3325" i="6"/>
  <c r="D3325" i="6"/>
  <c r="U3325" i="6" s="1"/>
  <c r="C3325" i="6"/>
  <c r="B3325" i="6"/>
  <c r="E3325" i="6" s="1"/>
  <c r="Q3324" i="6"/>
  <c r="N3324" i="6"/>
  <c r="M3324" i="6"/>
  <c r="L3324" i="6"/>
  <c r="K3324" i="6"/>
  <c r="J3324" i="6"/>
  <c r="I3324" i="6"/>
  <c r="P3324" i="6" s="1"/>
  <c r="H3324" i="6"/>
  <c r="G3324" i="6"/>
  <c r="F3324" i="6"/>
  <c r="D3324" i="6"/>
  <c r="U3324" i="6" s="1"/>
  <c r="C3324" i="6"/>
  <c r="B3324" i="6"/>
  <c r="Q3323" i="6"/>
  <c r="P3323" i="6"/>
  <c r="N3323" i="6"/>
  <c r="M3323" i="6"/>
  <c r="L3323" i="6"/>
  <c r="K3323" i="6"/>
  <c r="J3323" i="6"/>
  <c r="I3323" i="6"/>
  <c r="H3323" i="6"/>
  <c r="G3323" i="6"/>
  <c r="F3323" i="6"/>
  <c r="D3323" i="6"/>
  <c r="U3323" i="6" s="1"/>
  <c r="C3323" i="6"/>
  <c r="B3323" i="6"/>
  <c r="E3323" i="6" s="1"/>
  <c r="Q3322" i="6"/>
  <c r="N3322" i="6"/>
  <c r="M3322" i="6"/>
  <c r="L3322" i="6"/>
  <c r="K3322" i="6"/>
  <c r="J3322" i="6"/>
  <c r="I3322" i="6"/>
  <c r="P3322" i="6" s="1"/>
  <c r="H3322" i="6"/>
  <c r="G3322" i="6"/>
  <c r="F3322" i="6"/>
  <c r="D3322" i="6"/>
  <c r="U3322" i="6" s="1"/>
  <c r="C3322" i="6"/>
  <c r="B3322" i="6"/>
  <c r="Q3321" i="6"/>
  <c r="P3321" i="6"/>
  <c r="N3321" i="6"/>
  <c r="M3321" i="6"/>
  <c r="L3321" i="6"/>
  <c r="K3321" i="6"/>
  <c r="J3321" i="6"/>
  <c r="I3321" i="6"/>
  <c r="H3321" i="6"/>
  <c r="G3321" i="6"/>
  <c r="F3321" i="6"/>
  <c r="D3321" i="6"/>
  <c r="U3321" i="6" s="1"/>
  <c r="C3321" i="6"/>
  <c r="B3321" i="6"/>
  <c r="E3321" i="6" s="1"/>
  <c r="Q3320" i="6"/>
  <c r="N3320" i="6"/>
  <c r="M3320" i="6"/>
  <c r="L3320" i="6"/>
  <c r="K3320" i="6"/>
  <c r="J3320" i="6"/>
  <c r="I3320" i="6"/>
  <c r="P3320" i="6" s="1"/>
  <c r="H3320" i="6"/>
  <c r="G3320" i="6"/>
  <c r="F3320" i="6"/>
  <c r="D3320" i="6"/>
  <c r="U3320" i="6" s="1"/>
  <c r="C3320" i="6"/>
  <c r="B3320" i="6"/>
  <c r="Q3319" i="6"/>
  <c r="P3319" i="6"/>
  <c r="N3319" i="6"/>
  <c r="M3319" i="6"/>
  <c r="L3319" i="6"/>
  <c r="K3319" i="6"/>
  <c r="J3319" i="6"/>
  <c r="I3319" i="6"/>
  <c r="H3319" i="6"/>
  <c r="G3319" i="6"/>
  <c r="F3319" i="6"/>
  <c r="D3319" i="6"/>
  <c r="U3319" i="6" s="1"/>
  <c r="C3319" i="6"/>
  <c r="B3319" i="6"/>
  <c r="E3319" i="6" s="1"/>
  <c r="Q3318" i="6"/>
  <c r="N3318" i="6"/>
  <c r="M3318" i="6"/>
  <c r="L3318" i="6"/>
  <c r="K3318" i="6"/>
  <c r="J3318" i="6"/>
  <c r="I3318" i="6"/>
  <c r="P3318" i="6" s="1"/>
  <c r="H3318" i="6"/>
  <c r="G3318" i="6"/>
  <c r="F3318" i="6"/>
  <c r="D3318" i="6"/>
  <c r="U3318" i="6" s="1"/>
  <c r="C3318" i="6"/>
  <c r="B3318" i="6"/>
  <c r="Q3317" i="6"/>
  <c r="P3317" i="6"/>
  <c r="N3317" i="6"/>
  <c r="M3317" i="6"/>
  <c r="L3317" i="6"/>
  <c r="K3317" i="6"/>
  <c r="J3317" i="6"/>
  <c r="I3317" i="6"/>
  <c r="H3317" i="6"/>
  <c r="G3317" i="6"/>
  <c r="F3317" i="6"/>
  <c r="D3317" i="6"/>
  <c r="U3317" i="6" s="1"/>
  <c r="C3317" i="6"/>
  <c r="B3317" i="6"/>
  <c r="E3317" i="6" s="1"/>
  <c r="Q3316" i="6"/>
  <c r="N3316" i="6"/>
  <c r="M3316" i="6"/>
  <c r="L3316" i="6"/>
  <c r="K3316" i="6"/>
  <c r="J3316" i="6"/>
  <c r="I3316" i="6"/>
  <c r="P3316" i="6" s="1"/>
  <c r="H3316" i="6"/>
  <c r="G3316" i="6"/>
  <c r="F3316" i="6"/>
  <c r="D3316" i="6"/>
  <c r="U3316" i="6" s="1"/>
  <c r="C3316" i="6"/>
  <c r="B3316" i="6"/>
  <c r="Q3315" i="6"/>
  <c r="P3315" i="6"/>
  <c r="N3315" i="6"/>
  <c r="M3315" i="6"/>
  <c r="L3315" i="6"/>
  <c r="K3315" i="6"/>
  <c r="J3315" i="6"/>
  <c r="I3315" i="6"/>
  <c r="H3315" i="6"/>
  <c r="G3315" i="6"/>
  <c r="F3315" i="6"/>
  <c r="D3315" i="6"/>
  <c r="U3315" i="6" s="1"/>
  <c r="C3315" i="6"/>
  <c r="B3315" i="6"/>
  <c r="E3315" i="6" s="1"/>
  <c r="Q3314" i="6"/>
  <c r="N3314" i="6"/>
  <c r="M3314" i="6"/>
  <c r="L3314" i="6"/>
  <c r="K3314" i="6"/>
  <c r="J3314" i="6"/>
  <c r="I3314" i="6"/>
  <c r="P3314" i="6" s="1"/>
  <c r="H3314" i="6"/>
  <c r="G3314" i="6"/>
  <c r="F3314" i="6"/>
  <c r="D3314" i="6"/>
  <c r="U3314" i="6" s="1"/>
  <c r="C3314" i="6"/>
  <c r="B3314" i="6"/>
  <c r="Q3313" i="6"/>
  <c r="P3313" i="6"/>
  <c r="N3313" i="6"/>
  <c r="M3313" i="6"/>
  <c r="L3313" i="6"/>
  <c r="K3313" i="6"/>
  <c r="J3313" i="6"/>
  <c r="I3313" i="6"/>
  <c r="H3313" i="6"/>
  <c r="G3313" i="6"/>
  <c r="F3313" i="6"/>
  <c r="D3313" i="6"/>
  <c r="U3313" i="6" s="1"/>
  <c r="C3313" i="6"/>
  <c r="B3313" i="6"/>
  <c r="E3313" i="6" s="1"/>
  <c r="Q3312" i="6"/>
  <c r="N3312" i="6"/>
  <c r="M3312" i="6"/>
  <c r="L3312" i="6"/>
  <c r="K3312" i="6"/>
  <c r="J3312" i="6"/>
  <c r="I3312" i="6"/>
  <c r="P3312" i="6" s="1"/>
  <c r="H3312" i="6"/>
  <c r="G3312" i="6"/>
  <c r="F3312" i="6"/>
  <c r="D3312" i="6"/>
  <c r="U3312" i="6" s="1"/>
  <c r="C3312" i="6"/>
  <c r="B3312" i="6"/>
  <c r="Q3311" i="6"/>
  <c r="P3311" i="6"/>
  <c r="N3311" i="6"/>
  <c r="M3311" i="6"/>
  <c r="L3311" i="6"/>
  <c r="K3311" i="6"/>
  <c r="J3311" i="6"/>
  <c r="I3311" i="6"/>
  <c r="H3311" i="6"/>
  <c r="G3311" i="6"/>
  <c r="F3311" i="6"/>
  <c r="D3311" i="6"/>
  <c r="U3311" i="6" s="1"/>
  <c r="C3311" i="6"/>
  <c r="B3311" i="6"/>
  <c r="E3311" i="6" s="1"/>
  <c r="Q3310" i="6"/>
  <c r="N3310" i="6"/>
  <c r="M3310" i="6"/>
  <c r="L3310" i="6"/>
  <c r="K3310" i="6"/>
  <c r="J3310" i="6"/>
  <c r="I3310" i="6"/>
  <c r="P3310" i="6" s="1"/>
  <c r="H3310" i="6"/>
  <c r="G3310" i="6"/>
  <c r="F3310" i="6"/>
  <c r="D3310" i="6"/>
  <c r="U3310" i="6" s="1"/>
  <c r="C3310" i="6"/>
  <c r="B3310" i="6"/>
  <c r="Q3309" i="6"/>
  <c r="P3309" i="6"/>
  <c r="N3309" i="6"/>
  <c r="M3309" i="6"/>
  <c r="L3309" i="6"/>
  <c r="K3309" i="6"/>
  <c r="J3309" i="6"/>
  <c r="I3309" i="6"/>
  <c r="H3309" i="6"/>
  <c r="G3309" i="6"/>
  <c r="F3309" i="6"/>
  <c r="D3309" i="6"/>
  <c r="U3309" i="6" s="1"/>
  <c r="C3309" i="6"/>
  <c r="B3309" i="6"/>
  <c r="E3309" i="6" s="1"/>
  <c r="Q3308" i="6"/>
  <c r="N3308" i="6"/>
  <c r="M3308" i="6"/>
  <c r="L3308" i="6"/>
  <c r="K3308" i="6"/>
  <c r="J3308" i="6"/>
  <c r="I3308" i="6"/>
  <c r="P3308" i="6" s="1"/>
  <c r="H3308" i="6"/>
  <c r="G3308" i="6"/>
  <c r="F3308" i="6"/>
  <c r="D3308" i="6"/>
  <c r="U3308" i="6" s="1"/>
  <c r="C3308" i="6"/>
  <c r="B3308" i="6"/>
  <c r="Q3307" i="6"/>
  <c r="P3307" i="6"/>
  <c r="N3307" i="6"/>
  <c r="M3307" i="6"/>
  <c r="L3307" i="6"/>
  <c r="K3307" i="6"/>
  <c r="J3307" i="6"/>
  <c r="I3307" i="6"/>
  <c r="H3307" i="6"/>
  <c r="G3307" i="6"/>
  <c r="F3307" i="6"/>
  <c r="D3307" i="6"/>
  <c r="U3307" i="6" s="1"/>
  <c r="C3307" i="6"/>
  <c r="B3307" i="6"/>
  <c r="E3307" i="6" s="1"/>
  <c r="Q3306" i="6"/>
  <c r="N3306" i="6"/>
  <c r="M3306" i="6"/>
  <c r="L3306" i="6"/>
  <c r="K3306" i="6"/>
  <c r="J3306" i="6"/>
  <c r="I3306" i="6"/>
  <c r="P3306" i="6" s="1"/>
  <c r="H3306" i="6"/>
  <c r="G3306" i="6"/>
  <c r="F3306" i="6"/>
  <c r="D3306" i="6"/>
  <c r="U3306" i="6" s="1"/>
  <c r="C3306" i="6"/>
  <c r="B3306" i="6"/>
  <c r="Q3305" i="6"/>
  <c r="P3305" i="6"/>
  <c r="N3305" i="6"/>
  <c r="M3305" i="6"/>
  <c r="L3305" i="6"/>
  <c r="K3305" i="6"/>
  <c r="J3305" i="6"/>
  <c r="I3305" i="6"/>
  <c r="H3305" i="6"/>
  <c r="G3305" i="6"/>
  <c r="F3305" i="6"/>
  <c r="D3305" i="6"/>
  <c r="U3305" i="6" s="1"/>
  <c r="C3305" i="6"/>
  <c r="B3305" i="6"/>
  <c r="E3305" i="6" s="1"/>
  <c r="Q3304" i="6"/>
  <c r="N3304" i="6"/>
  <c r="M3304" i="6"/>
  <c r="L3304" i="6"/>
  <c r="K3304" i="6"/>
  <c r="J3304" i="6"/>
  <c r="I3304" i="6"/>
  <c r="P3304" i="6" s="1"/>
  <c r="H3304" i="6"/>
  <c r="G3304" i="6"/>
  <c r="F3304" i="6"/>
  <c r="D3304" i="6"/>
  <c r="U3304" i="6" s="1"/>
  <c r="C3304" i="6"/>
  <c r="B3304" i="6"/>
  <c r="Q3303" i="6"/>
  <c r="P3303" i="6"/>
  <c r="N3303" i="6"/>
  <c r="M3303" i="6"/>
  <c r="L3303" i="6"/>
  <c r="K3303" i="6"/>
  <c r="J3303" i="6"/>
  <c r="I3303" i="6"/>
  <c r="H3303" i="6"/>
  <c r="G3303" i="6"/>
  <c r="F3303" i="6"/>
  <c r="D3303" i="6"/>
  <c r="U3303" i="6" s="1"/>
  <c r="C3303" i="6"/>
  <c r="B3303" i="6"/>
  <c r="E3303" i="6" s="1"/>
  <c r="Q3302" i="6"/>
  <c r="N3302" i="6"/>
  <c r="M3302" i="6"/>
  <c r="L3302" i="6"/>
  <c r="K3302" i="6"/>
  <c r="J3302" i="6"/>
  <c r="I3302" i="6"/>
  <c r="P3302" i="6" s="1"/>
  <c r="H3302" i="6"/>
  <c r="G3302" i="6"/>
  <c r="F3302" i="6"/>
  <c r="D3302" i="6"/>
  <c r="U3302" i="6" s="1"/>
  <c r="C3302" i="6"/>
  <c r="B3302" i="6"/>
  <c r="Q3301" i="6"/>
  <c r="P3301" i="6"/>
  <c r="N3301" i="6"/>
  <c r="M3301" i="6"/>
  <c r="L3301" i="6"/>
  <c r="K3301" i="6"/>
  <c r="J3301" i="6"/>
  <c r="I3301" i="6"/>
  <c r="H3301" i="6"/>
  <c r="G3301" i="6"/>
  <c r="F3301" i="6"/>
  <c r="D3301" i="6"/>
  <c r="U3301" i="6" s="1"/>
  <c r="C3301" i="6"/>
  <c r="B3301" i="6"/>
  <c r="E3301" i="6" s="1"/>
  <c r="Q3300" i="6"/>
  <c r="N3300" i="6"/>
  <c r="M3300" i="6"/>
  <c r="L3300" i="6"/>
  <c r="K3300" i="6"/>
  <c r="J3300" i="6"/>
  <c r="I3300" i="6"/>
  <c r="P3300" i="6" s="1"/>
  <c r="H3300" i="6"/>
  <c r="G3300" i="6"/>
  <c r="F3300" i="6"/>
  <c r="D3300" i="6"/>
  <c r="U3300" i="6" s="1"/>
  <c r="C3300" i="6"/>
  <c r="B3300" i="6"/>
  <c r="Q3299" i="6"/>
  <c r="P3299" i="6"/>
  <c r="N3299" i="6"/>
  <c r="M3299" i="6"/>
  <c r="L3299" i="6"/>
  <c r="K3299" i="6"/>
  <c r="J3299" i="6"/>
  <c r="I3299" i="6"/>
  <c r="H3299" i="6"/>
  <c r="G3299" i="6"/>
  <c r="F3299" i="6"/>
  <c r="D3299" i="6"/>
  <c r="U3299" i="6" s="1"/>
  <c r="C3299" i="6"/>
  <c r="B3299" i="6"/>
  <c r="E3299" i="6" s="1"/>
  <c r="Q3298" i="6"/>
  <c r="N3298" i="6"/>
  <c r="M3298" i="6"/>
  <c r="L3298" i="6"/>
  <c r="K3298" i="6"/>
  <c r="J3298" i="6"/>
  <c r="I3298" i="6"/>
  <c r="P3298" i="6" s="1"/>
  <c r="H3298" i="6"/>
  <c r="G3298" i="6"/>
  <c r="F3298" i="6"/>
  <c r="D3298" i="6"/>
  <c r="U3298" i="6" s="1"/>
  <c r="C3298" i="6"/>
  <c r="B3298" i="6"/>
  <c r="Q3297" i="6"/>
  <c r="P3297" i="6"/>
  <c r="N3297" i="6"/>
  <c r="M3297" i="6"/>
  <c r="L3297" i="6"/>
  <c r="K3297" i="6"/>
  <c r="J3297" i="6"/>
  <c r="I3297" i="6"/>
  <c r="H3297" i="6"/>
  <c r="G3297" i="6"/>
  <c r="F3297" i="6"/>
  <c r="D3297" i="6"/>
  <c r="U3297" i="6" s="1"/>
  <c r="C3297" i="6"/>
  <c r="B3297" i="6"/>
  <c r="E3297" i="6" s="1"/>
  <c r="Q3296" i="6"/>
  <c r="N3296" i="6"/>
  <c r="M3296" i="6"/>
  <c r="L3296" i="6"/>
  <c r="K3296" i="6"/>
  <c r="J3296" i="6"/>
  <c r="I3296" i="6"/>
  <c r="P3296" i="6" s="1"/>
  <c r="H3296" i="6"/>
  <c r="G3296" i="6"/>
  <c r="F3296" i="6"/>
  <c r="D3296" i="6"/>
  <c r="U3296" i="6" s="1"/>
  <c r="C3296" i="6"/>
  <c r="B3296" i="6"/>
  <c r="Q3295" i="6"/>
  <c r="P3295" i="6"/>
  <c r="N3295" i="6"/>
  <c r="M3295" i="6"/>
  <c r="L3295" i="6"/>
  <c r="K3295" i="6"/>
  <c r="J3295" i="6"/>
  <c r="I3295" i="6"/>
  <c r="H3295" i="6"/>
  <c r="G3295" i="6"/>
  <c r="F3295" i="6"/>
  <c r="D3295" i="6"/>
  <c r="U3295" i="6" s="1"/>
  <c r="C3295" i="6"/>
  <c r="B3295" i="6"/>
  <c r="E3295" i="6" s="1"/>
  <c r="Q3294" i="6"/>
  <c r="N3294" i="6"/>
  <c r="M3294" i="6"/>
  <c r="L3294" i="6"/>
  <c r="K3294" i="6"/>
  <c r="J3294" i="6"/>
  <c r="I3294" i="6"/>
  <c r="P3294" i="6" s="1"/>
  <c r="H3294" i="6"/>
  <c r="G3294" i="6"/>
  <c r="F3294" i="6"/>
  <c r="D3294" i="6"/>
  <c r="U3294" i="6" s="1"/>
  <c r="C3294" i="6"/>
  <c r="B3294" i="6"/>
  <c r="Q3293" i="6"/>
  <c r="P3293" i="6"/>
  <c r="N3293" i="6"/>
  <c r="M3293" i="6"/>
  <c r="L3293" i="6"/>
  <c r="K3293" i="6"/>
  <c r="J3293" i="6"/>
  <c r="I3293" i="6"/>
  <c r="H3293" i="6"/>
  <c r="G3293" i="6"/>
  <c r="F3293" i="6"/>
  <c r="D3293" i="6"/>
  <c r="U3293" i="6" s="1"/>
  <c r="C3293" i="6"/>
  <c r="B3293" i="6"/>
  <c r="E3293" i="6" s="1"/>
  <c r="Q3292" i="6"/>
  <c r="N3292" i="6"/>
  <c r="M3292" i="6"/>
  <c r="L3292" i="6"/>
  <c r="K3292" i="6"/>
  <c r="J3292" i="6"/>
  <c r="I3292" i="6"/>
  <c r="P3292" i="6" s="1"/>
  <c r="H3292" i="6"/>
  <c r="G3292" i="6"/>
  <c r="F3292" i="6"/>
  <c r="D3292" i="6"/>
  <c r="U3292" i="6" s="1"/>
  <c r="C3292" i="6"/>
  <c r="B3292" i="6"/>
  <c r="Q3291" i="6"/>
  <c r="P3291" i="6"/>
  <c r="N3291" i="6"/>
  <c r="M3291" i="6"/>
  <c r="L3291" i="6"/>
  <c r="K3291" i="6"/>
  <c r="J3291" i="6"/>
  <c r="I3291" i="6"/>
  <c r="H3291" i="6"/>
  <c r="G3291" i="6"/>
  <c r="F3291" i="6"/>
  <c r="D3291" i="6"/>
  <c r="U3291" i="6" s="1"/>
  <c r="C3291" i="6"/>
  <c r="B3291" i="6"/>
  <c r="E3291" i="6" s="1"/>
  <c r="Q3290" i="6"/>
  <c r="N3290" i="6"/>
  <c r="M3290" i="6"/>
  <c r="L3290" i="6"/>
  <c r="K3290" i="6"/>
  <c r="J3290" i="6"/>
  <c r="I3290" i="6"/>
  <c r="P3290" i="6" s="1"/>
  <c r="H3290" i="6"/>
  <c r="G3290" i="6"/>
  <c r="F3290" i="6"/>
  <c r="D3290" i="6"/>
  <c r="U3290" i="6" s="1"/>
  <c r="C3290" i="6"/>
  <c r="B3290" i="6"/>
  <c r="Q3289" i="6"/>
  <c r="P3289" i="6"/>
  <c r="N3289" i="6"/>
  <c r="M3289" i="6"/>
  <c r="L3289" i="6"/>
  <c r="K3289" i="6"/>
  <c r="J3289" i="6"/>
  <c r="I3289" i="6"/>
  <c r="H3289" i="6"/>
  <c r="G3289" i="6"/>
  <c r="F3289" i="6"/>
  <c r="D3289" i="6"/>
  <c r="U3289" i="6" s="1"/>
  <c r="C3289" i="6"/>
  <c r="B3289" i="6"/>
  <c r="E3289" i="6" s="1"/>
  <c r="Q3288" i="6"/>
  <c r="N3288" i="6"/>
  <c r="M3288" i="6"/>
  <c r="L3288" i="6"/>
  <c r="K3288" i="6"/>
  <c r="J3288" i="6"/>
  <c r="I3288" i="6"/>
  <c r="P3288" i="6" s="1"/>
  <c r="H3288" i="6"/>
  <c r="G3288" i="6"/>
  <c r="F3288" i="6"/>
  <c r="D3288" i="6"/>
  <c r="U3288" i="6" s="1"/>
  <c r="C3288" i="6"/>
  <c r="B3288" i="6"/>
  <c r="Q3287" i="6"/>
  <c r="P3287" i="6"/>
  <c r="N3287" i="6"/>
  <c r="M3287" i="6"/>
  <c r="L3287" i="6"/>
  <c r="K3287" i="6"/>
  <c r="J3287" i="6"/>
  <c r="I3287" i="6"/>
  <c r="H3287" i="6"/>
  <c r="G3287" i="6"/>
  <c r="F3287" i="6"/>
  <c r="D3287" i="6"/>
  <c r="U3287" i="6" s="1"/>
  <c r="C3287" i="6"/>
  <c r="B3287" i="6"/>
  <c r="E3287" i="6" s="1"/>
  <c r="Q3286" i="6"/>
  <c r="N3286" i="6"/>
  <c r="M3286" i="6"/>
  <c r="L3286" i="6"/>
  <c r="K3286" i="6"/>
  <c r="J3286" i="6"/>
  <c r="I3286" i="6"/>
  <c r="P3286" i="6" s="1"/>
  <c r="H3286" i="6"/>
  <c r="G3286" i="6"/>
  <c r="F3286" i="6"/>
  <c r="D3286" i="6"/>
  <c r="U3286" i="6" s="1"/>
  <c r="C3286" i="6"/>
  <c r="B3286" i="6"/>
  <c r="Q3285" i="6"/>
  <c r="P3285" i="6"/>
  <c r="N3285" i="6"/>
  <c r="M3285" i="6"/>
  <c r="L3285" i="6"/>
  <c r="K3285" i="6"/>
  <c r="J3285" i="6"/>
  <c r="I3285" i="6"/>
  <c r="H3285" i="6"/>
  <c r="G3285" i="6"/>
  <c r="F3285" i="6"/>
  <c r="D3285" i="6"/>
  <c r="U3285" i="6" s="1"/>
  <c r="C3285" i="6"/>
  <c r="B3285" i="6"/>
  <c r="E3285" i="6" s="1"/>
  <c r="Q3284" i="6"/>
  <c r="N3284" i="6"/>
  <c r="M3284" i="6"/>
  <c r="L3284" i="6"/>
  <c r="K3284" i="6"/>
  <c r="J3284" i="6"/>
  <c r="I3284" i="6"/>
  <c r="P3284" i="6" s="1"/>
  <c r="H3284" i="6"/>
  <c r="G3284" i="6"/>
  <c r="F3284" i="6"/>
  <c r="D3284" i="6"/>
  <c r="U3284" i="6" s="1"/>
  <c r="C3284" i="6"/>
  <c r="B3284" i="6"/>
  <c r="Q3283" i="6"/>
  <c r="P3283" i="6"/>
  <c r="N3283" i="6"/>
  <c r="M3283" i="6"/>
  <c r="L3283" i="6"/>
  <c r="K3283" i="6"/>
  <c r="J3283" i="6"/>
  <c r="I3283" i="6"/>
  <c r="H3283" i="6"/>
  <c r="G3283" i="6"/>
  <c r="F3283" i="6"/>
  <c r="D3283" i="6"/>
  <c r="U3283" i="6" s="1"/>
  <c r="C3283" i="6"/>
  <c r="B3283" i="6"/>
  <c r="E3283" i="6" s="1"/>
  <c r="Q3282" i="6"/>
  <c r="N3282" i="6"/>
  <c r="M3282" i="6"/>
  <c r="L3282" i="6"/>
  <c r="K3282" i="6"/>
  <c r="J3282" i="6"/>
  <c r="I3282" i="6"/>
  <c r="P3282" i="6" s="1"/>
  <c r="H3282" i="6"/>
  <c r="G3282" i="6"/>
  <c r="F3282" i="6"/>
  <c r="D3282" i="6"/>
  <c r="U3282" i="6" s="1"/>
  <c r="C3282" i="6"/>
  <c r="B3282" i="6"/>
  <c r="Q3281" i="6"/>
  <c r="P3281" i="6"/>
  <c r="N3281" i="6"/>
  <c r="M3281" i="6"/>
  <c r="L3281" i="6"/>
  <c r="K3281" i="6"/>
  <c r="J3281" i="6"/>
  <c r="I3281" i="6"/>
  <c r="H3281" i="6"/>
  <c r="G3281" i="6"/>
  <c r="F3281" i="6"/>
  <c r="D3281" i="6"/>
  <c r="U3281" i="6" s="1"/>
  <c r="C3281" i="6"/>
  <c r="B3281" i="6"/>
  <c r="E3281" i="6" s="1"/>
  <c r="Q3280" i="6"/>
  <c r="N3280" i="6"/>
  <c r="M3280" i="6"/>
  <c r="L3280" i="6"/>
  <c r="K3280" i="6"/>
  <c r="J3280" i="6"/>
  <c r="I3280" i="6"/>
  <c r="P3280" i="6" s="1"/>
  <c r="H3280" i="6"/>
  <c r="G3280" i="6"/>
  <c r="F3280" i="6"/>
  <c r="D3280" i="6"/>
  <c r="U3280" i="6" s="1"/>
  <c r="C3280" i="6"/>
  <c r="B3280" i="6"/>
  <c r="Q3279" i="6"/>
  <c r="P3279" i="6"/>
  <c r="N3279" i="6"/>
  <c r="M3279" i="6"/>
  <c r="L3279" i="6"/>
  <c r="K3279" i="6"/>
  <c r="J3279" i="6"/>
  <c r="I3279" i="6"/>
  <c r="H3279" i="6"/>
  <c r="G3279" i="6"/>
  <c r="F3279" i="6"/>
  <c r="D3279" i="6"/>
  <c r="U3279" i="6" s="1"/>
  <c r="C3279" i="6"/>
  <c r="B3279" i="6"/>
  <c r="E3279" i="6" s="1"/>
  <c r="Q3278" i="6"/>
  <c r="N3278" i="6"/>
  <c r="M3278" i="6"/>
  <c r="L3278" i="6"/>
  <c r="K3278" i="6"/>
  <c r="J3278" i="6"/>
  <c r="I3278" i="6"/>
  <c r="P3278" i="6" s="1"/>
  <c r="H3278" i="6"/>
  <c r="G3278" i="6"/>
  <c r="F3278" i="6"/>
  <c r="D3278" i="6"/>
  <c r="U3278" i="6" s="1"/>
  <c r="C3278" i="6"/>
  <c r="B3278" i="6"/>
  <c r="Q3277" i="6"/>
  <c r="P3277" i="6"/>
  <c r="N3277" i="6"/>
  <c r="M3277" i="6"/>
  <c r="L3277" i="6"/>
  <c r="K3277" i="6"/>
  <c r="J3277" i="6"/>
  <c r="I3277" i="6"/>
  <c r="H3277" i="6"/>
  <c r="G3277" i="6"/>
  <c r="F3277" i="6"/>
  <c r="D3277" i="6"/>
  <c r="U3277" i="6" s="1"/>
  <c r="C3277" i="6"/>
  <c r="B3277" i="6"/>
  <c r="E3277" i="6" s="1"/>
  <c r="Q3276" i="6"/>
  <c r="N3276" i="6"/>
  <c r="M3276" i="6"/>
  <c r="L3276" i="6"/>
  <c r="K3276" i="6"/>
  <c r="J3276" i="6"/>
  <c r="I3276" i="6"/>
  <c r="P3276" i="6" s="1"/>
  <c r="H3276" i="6"/>
  <c r="G3276" i="6"/>
  <c r="F3276" i="6"/>
  <c r="D3276" i="6"/>
  <c r="U3276" i="6" s="1"/>
  <c r="C3276" i="6"/>
  <c r="B3276" i="6"/>
  <c r="Q3275" i="6"/>
  <c r="P3275" i="6"/>
  <c r="N3275" i="6"/>
  <c r="M3275" i="6"/>
  <c r="L3275" i="6"/>
  <c r="K3275" i="6"/>
  <c r="J3275" i="6"/>
  <c r="I3275" i="6"/>
  <c r="H3275" i="6"/>
  <c r="G3275" i="6"/>
  <c r="F3275" i="6"/>
  <c r="D3275" i="6"/>
  <c r="U3275" i="6" s="1"/>
  <c r="C3275" i="6"/>
  <c r="B3275" i="6"/>
  <c r="E3275" i="6" s="1"/>
  <c r="Q3274" i="6"/>
  <c r="N3274" i="6"/>
  <c r="M3274" i="6"/>
  <c r="L3274" i="6"/>
  <c r="K3274" i="6"/>
  <c r="J3274" i="6"/>
  <c r="I3274" i="6"/>
  <c r="P3274" i="6" s="1"/>
  <c r="H3274" i="6"/>
  <c r="G3274" i="6"/>
  <c r="F3274" i="6"/>
  <c r="D3274" i="6"/>
  <c r="U3274" i="6" s="1"/>
  <c r="C3274" i="6"/>
  <c r="B3274" i="6"/>
  <c r="Q3273" i="6"/>
  <c r="P3273" i="6"/>
  <c r="N3273" i="6"/>
  <c r="M3273" i="6"/>
  <c r="L3273" i="6"/>
  <c r="K3273" i="6"/>
  <c r="J3273" i="6"/>
  <c r="I3273" i="6"/>
  <c r="H3273" i="6"/>
  <c r="G3273" i="6"/>
  <c r="F3273" i="6"/>
  <c r="D3273" i="6"/>
  <c r="U3273" i="6" s="1"/>
  <c r="C3273" i="6"/>
  <c r="B3273" i="6"/>
  <c r="E3273" i="6" s="1"/>
  <c r="Q3272" i="6"/>
  <c r="N3272" i="6"/>
  <c r="M3272" i="6"/>
  <c r="L3272" i="6"/>
  <c r="K3272" i="6"/>
  <c r="J3272" i="6"/>
  <c r="I3272" i="6"/>
  <c r="P3272" i="6" s="1"/>
  <c r="H3272" i="6"/>
  <c r="G3272" i="6"/>
  <c r="F3272" i="6"/>
  <c r="D3272" i="6"/>
  <c r="U3272" i="6" s="1"/>
  <c r="C3272" i="6"/>
  <c r="B3272" i="6"/>
  <c r="Q3271" i="6"/>
  <c r="P3271" i="6"/>
  <c r="N3271" i="6"/>
  <c r="M3271" i="6"/>
  <c r="L3271" i="6"/>
  <c r="K3271" i="6"/>
  <c r="J3271" i="6"/>
  <c r="I3271" i="6"/>
  <c r="H3271" i="6"/>
  <c r="G3271" i="6"/>
  <c r="F3271" i="6"/>
  <c r="D3271" i="6"/>
  <c r="U3271" i="6" s="1"/>
  <c r="C3271" i="6"/>
  <c r="B3271" i="6"/>
  <c r="E3271" i="6" s="1"/>
  <c r="Q3270" i="6"/>
  <c r="N3270" i="6"/>
  <c r="M3270" i="6"/>
  <c r="L3270" i="6"/>
  <c r="K3270" i="6"/>
  <c r="J3270" i="6"/>
  <c r="I3270" i="6"/>
  <c r="P3270" i="6" s="1"/>
  <c r="H3270" i="6"/>
  <c r="G3270" i="6"/>
  <c r="F3270" i="6"/>
  <c r="D3270" i="6"/>
  <c r="U3270" i="6" s="1"/>
  <c r="C3270" i="6"/>
  <c r="B3270" i="6"/>
  <c r="Q3269" i="6"/>
  <c r="P3269" i="6"/>
  <c r="N3269" i="6"/>
  <c r="M3269" i="6"/>
  <c r="L3269" i="6"/>
  <c r="K3269" i="6"/>
  <c r="J3269" i="6"/>
  <c r="I3269" i="6"/>
  <c r="H3269" i="6"/>
  <c r="G3269" i="6"/>
  <c r="F3269" i="6"/>
  <c r="D3269" i="6"/>
  <c r="U3269" i="6" s="1"/>
  <c r="C3269" i="6"/>
  <c r="B3269" i="6"/>
  <c r="E3269" i="6" s="1"/>
  <c r="Q3268" i="6"/>
  <c r="N3268" i="6"/>
  <c r="M3268" i="6"/>
  <c r="L3268" i="6"/>
  <c r="K3268" i="6"/>
  <c r="J3268" i="6"/>
  <c r="I3268" i="6"/>
  <c r="P3268" i="6" s="1"/>
  <c r="H3268" i="6"/>
  <c r="G3268" i="6"/>
  <c r="F3268" i="6"/>
  <c r="D3268" i="6"/>
  <c r="U3268" i="6" s="1"/>
  <c r="C3268" i="6"/>
  <c r="B3268" i="6"/>
  <c r="Q3267" i="6"/>
  <c r="P3267" i="6"/>
  <c r="N3267" i="6"/>
  <c r="M3267" i="6"/>
  <c r="L3267" i="6"/>
  <c r="K3267" i="6"/>
  <c r="J3267" i="6"/>
  <c r="I3267" i="6"/>
  <c r="H3267" i="6"/>
  <c r="G3267" i="6"/>
  <c r="F3267" i="6"/>
  <c r="D3267" i="6"/>
  <c r="U3267" i="6" s="1"/>
  <c r="C3267" i="6"/>
  <c r="B3267" i="6"/>
  <c r="E3267" i="6" s="1"/>
  <c r="Q3266" i="6"/>
  <c r="N3266" i="6"/>
  <c r="M3266" i="6"/>
  <c r="L3266" i="6"/>
  <c r="K3266" i="6"/>
  <c r="J3266" i="6"/>
  <c r="I3266" i="6"/>
  <c r="P3266" i="6" s="1"/>
  <c r="H3266" i="6"/>
  <c r="G3266" i="6"/>
  <c r="F3266" i="6"/>
  <c r="D3266" i="6"/>
  <c r="U3266" i="6" s="1"/>
  <c r="C3266" i="6"/>
  <c r="B3266" i="6"/>
  <c r="Q3265" i="6"/>
  <c r="P3265" i="6"/>
  <c r="N3265" i="6"/>
  <c r="M3265" i="6"/>
  <c r="L3265" i="6"/>
  <c r="K3265" i="6"/>
  <c r="J3265" i="6"/>
  <c r="I3265" i="6"/>
  <c r="H3265" i="6"/>
  <c r="G3265" i="6"/>
  <c r="F3265" i="6"/>
  <c r="D3265" i="6"/>
  <c r="U3265" i="6" s="1"/>
  <c r="C3265" i="6"/>
  <c r="B3265" i="6"/>
  <c r="E3265" i="6" s="1"/>
  <c r="Q3264" i="6"/>
  <c r="N3264" i="6"/>
  <c r="M3264" i="6"/>
  <c r="L3264" i="6"/>
  <c r="K3264" i="6"/>
  <c r="J3264" i="6"/>
  <c r="I3264" i="6"/>
  <c r="P3264" i="6" s="1"/>
  <c r="H3264" i="6"/>
  <c r="G3264" i="6"/>
  <c r="F3264" i="6"/>
  <c r="D3264" i="6"/>
  <c r="U3264" i="6" s="1"/>
  <c r="C3264" i="6"/>
  <c r="B3264" i="6"/>
  <c r="Q3263" i="6"/>
  <c r="P3263" i="6"/>
  <c r="N3263" i="6"/>
  <c r="M3263" i="6"/>
  <c r="L3263" i="6"/>
  <c r="K3263" i="6"/>
  <c r="J3263" i="6"/>
  <c r="I3263" i="6"/>
  <c r="H3263" i="6"/>
  <c r="G3263" i="6"/>
  <c r="F3263" i="6"/>
  <c r="D3263" i="6"/>
  <c r="U3263" i="6" s="1"/>
  <c r="C3263" i="6"/>
  <c r="B3263" i="6"/>
  <c r="E3263" i="6" s="1"/>
  <c r="Q3262" i="6"/>
  <c r="N3262" i="6"/>
  <c r="M3262" i="6"/>
  <c r="L3262" i="6"/>
  <c r="K3262" i="6"/>
  <c r="J3262" i="6"/>
  <c r="I3262" i="6"/>
  <c r="P3262" i="6" s="1"/>
  <c r="H3262" i="6"/>
  <c r="G3262" i="6"/>
  <c r="F3262" i="6"/>
  <c r="D3262" i="6"/>
  <c r="U3262" i="6" s="1"/>
  <c r="C3262" i="6"/>
  <c r="B3262" i="6"/>
  <c r="Q3261" i="6"/>
  <c r="P3261" i="6"/>
  <c r="N3261" i="6"/>
  <c r="M3261" i="6"/>
  <c r="L3261" i="6"/>
  <c r="K3261" i="6"/>
  <c r="J3261" i="6"/>
  <c r="I3261" i="6"/>
  <c r="H3261" i="6"/>
  <c r="G3261" i="6"/>
  <c r="F3261" i="6"/>
  <c r="D3261" i="6"/>
  <c r="U3261" i="6" s="1"/>
  <c r="C3261" i="6"/>
  <c r="B3261" i="6"/>
  <c r="E3261" i="6" s="1"/>
  <c r="Q3260" i="6"/>
  <c r="N3260" i="6"/>
  <c r="M3260" i="6"/>
  <c r="L3260" i="6"/>
  <c r="K3260" i="6"/>
  <c r="J3260" i="6"/>
  <c r="I3260" i="6"/>
  <c r="P3260" i="6" s="1"/>
  <c r="H3260" i="6"/>
  <c r="G3260" i="6"/>
  <c r="F3260" i="6"/>
  <c r="D3260" i="6"/>
  <c r="U3260" i="6" s="1"/>
  <c r="C3260" i="6"/>
  <c r="B3260" i="6"/>
  <c r="Q3259" i="6"/>
  <c r="P3259" i="6"/>
  <c r="N3259" i="6"/>
  <c r="M3259" i="6"/>
  <c r="L3259" i="6"/>
  <c r="K3259" i="6"/>
  <c r="J3259" i="6"/>
  <c r="I3259" i="6"/>
  <c r="H3259" i="6"/>
  <c r="G3259" i="6"/>
  <c r="F3259" i="6"/>
  <c r="D3259" i="6"/>
  <c r="U3259" i="6" s="1"/>
  <c r="C3259" i="6"/>
  <c r="B3259" i="6"/>
  <c r="E3259" i="6" s="1"/>
  <c r="Q3258" i="6"/>
  <c r="N3258" i="6"/>
  <c r="M3258" i="6"/>
  <c r="L3258" i="6"/>
  <c r="K3258" i="6"/>
  <c r="J3258" i="6"/>
  <c r="I3258" i="6"/>
  <c r="P3258" i="6" s="1"/>
  <c r="H3258" i="6"/>
  <c r="G3258" i="6"/>
  <c r="F3258" i="6"/>
  <c r="D3258" i="6"/>
  <c r="U3258" i="6" s="1"/>
  <c r="C3258" i="6"/>
  <c r="B3258" i="6"/>
  <c r="Q3257" i="6"/>
  <c r="P3257" i="6"/>
  <c r="N3257" i="6"/>
  <c r="M3257" i="6"/>
  <c r="L3257" i="6"/>
  <c r="K3257" i="6"/>
  <c r="J3257" i="6"/>
  <c r="I3257" i="6"/>
  <c r="H3257" i="6"/>
  <c r="G3257" i="6"/>
  <c r="F3257" i="6"/>
  <c r="D3257" i="6"/>
  <c r="U3257" i="6" s="1"/>
  <c r="C3257" i="6"/>
  <c r="B3257" i="6"/>
  <c r="E3257" i="6" s="1"/>
  <c r="Q3256" i="6"/>
  <c r="N3256" i="6"/>
  <c r="M3256" i="6"/>
  <c r="L3256" i="6"/>
  <c r="K3256" i="6"/>
  <c r="J3256" i="6"/>
  <c r="I3256" i="6"/>
  <c r="P3256" i="6" s="1"/>
  <c r="H3256" i="6"/>
  <c r="G3256" i="6"/>
  <c r="F3256" i="6"/>
  <c r="D3256" i="6"/>
  <c r="U3256" i="6" s="1"/>
  <c r="C3256" i="6"/>
  <c r="B3256" i="6"/>
  <c r="Q3255" i="6"/>
  <c r="P3255" i="6"/>
  <c r="N3255" i="6"/>
  <c r="M3255" i="6"/>
  <c r="L3255" i="6"/>
  <c r="K3255" i="6"/>
  <c r="J3255" i="6"/>
  <c r="I3255" i="6"/>
  <c r="H3255" i="6"/>
  <c r="G3255" i="6"/>
  <c r="F3255" i="6"/>
  <c r="D3255" i="6"/>
  <c r="U3255" i="6" s="1"/>
  <c r="C3255" i="6"/>
  <c r="B3255" i="6"/>
  <c r="E3255" i="6" s="1"/>
  <c r="Q3254" i="6"/>
  <c r="N3254" i="6"/>
  <c r="M3254" i="6"/>
  <c r="L3254" i="6"/>
  <c r="K3254" i="6"/>
  <c r="J3254" i="6"/>
  <c r="I3254" i="6"/>
  <c r="P3254" i="6" s="1"/>
  <c r="H3254" i="6"/>
  <c r="G3254" i="6"/>
  <c r="F3254" i="6"/>
  <c r="D3254" i="6"/>
  <c r="U3254" i="6" s="1"/>
  <c r="C3254" i="6"/>
  <c r="B3254" i="6"/>
  <c r="Q3253" i="6"/>
  <c r="P3253" i="6"/>
  <c r="N3253" i="6"/>
  <c r="M3253" i="6"/>
  <c r="L3253" i="6"/>
  <c r="K3253" i="6"/>
  <c r="J3253" i="6"/>
  <c r="I3253" i="6"/>
  <c r="H3253" i="6"/>
  <c r="G3253" i="6"/>
  <c r="F3253" i="6"/>
  <c r="D3253" i="6"/>
  <c r="U3253" i="6" s="1"/>
  <c r="C3253" i="6"/>
  <c r="B3253" i="6"/>
  <c r="E3253" i="6" s="1"/>
  <c r="Q3252" i="6"/>
  <c r="N3252" i="6"/>
  <c r="M3252" i="6"/>
  <c r="L3252" i="6"/>
  <c r="K3252" i="6"/>
  <c r="J3252" i="6"/>
  <c r="I3252" i="6"/>
  <c r="P3252" i="6" s="1"/>
  <c r="H3252" i="6"/>
  <c r="G3252" i="6"/>
  <c r="F3252" i="6"/>
  <c r="D3252" i="6"/>
  <c r="U3252" i="6" s="1"/>
  <c r="C3252" i="6"/>
  <c r="B3252" i="6"/>
  <c r="Q3251" i="6"/>
  <c r="P3251" i="6"/>
  <c r="N3251" i="6"/>
  <c r="M3251" i="6"/>
  <c r="L3251" i="6"/>
  <c r="K3251" i="6"/>
  <c r="J3251" i="6"/>
  <c r="I3251" i="6"/>
  <c r="H3251" i="6"/>
  <c r="G3251" i="6"/>
  <c r="F3251" i="6"/>
  <c r="D3251" i="6"/>
  <c r="U3251" i="6" s="1"/>
  <c r="C3251" i="6"/>
  <c r="B3251" i="6"/>
  <c r="E3251" i="6" s="1"/>
  <c r="Q3250" i="6"/>
  <c r="N3250" i="6"/>
  <c r="M3250" i="6"/>
  <c r="L3250" i="6"/>
  <c r="K3250" i="6"/>
  <c r="J3250" i="6"/>
  <c r="I3250" i="6"/>
  <c r="P3250" i="6" s="1"/>
  <c r="H3250" i="6"/>
  <c r="G3250" i="6"/>
  <c r="F3250" i="6"/>
  <c r="D3250" i="6"/>
  <c r="U3250" i="6" s="1"/>
  <c r="C3250" i="6"/>
  <c r="B3250" i="6"/>
  <c r="Q3249" i="6"/>
  <c r="P3249" i="6"/>
  <c r="N3249" i="6"/>
  <c r="M3249" i="6"/>
  <c r="L3249" i="6"/>
  <c r="K3249" i="6"/>
  <c r="J3249" i="6"/>
  <c r="I3249" i="6"/>
  <c r="H3249" i="6"/>
  <c r="G3249" i="6"/>
  <c r="F3249" i="6"/>
  <c r="D3249" i="6"/>
  <c r="U3249" i="6" s="1"/>
  <c r="C3249" i="6"/>
  <c r="B3249" i="6"/>
  <c r="E3249" i="6" s="1"/>
  <c r="Q3248" i="6"/>
  <c r="N3248" i="6"/>
  <c r="M3248" i="6"/>
  <c r="L3248" i="6"/>
  <c r="K3248" i="6"/>
  <c r="J3248" i="6"/>
  <c r="I3248" i="6"/>
  <c r="P3248" i="6" s="1"/>
  <c r="H3248" i="6"/>
  <c r="G3248" i="6"/>
  <c r="F3248" i="6"/>
  <c r="D3248" i="6"/>
  <c r="U3248" i="6" s="1"/>
  <c r="C3248" i="6"/>
  <c r="B3248" i="6"/>
  <c r="Q3247" i="6"/>
  <c r="P3247" i="6"/>
  <c r="N3247" i="6"/>
  <c r="M3247" i="6"/>
  <c r="L3247" i="6"/>
  <c r="K3247" i="6"/>
  <c r="J3247" i="6"/>
  <c r="I3247" i="6"/>
  <c r="H3247" i="6"/>
  <c r="G3247" i="6"/>
  <c r="F3247" i="6"/>
  <c r="D3247" i="6"/>
  <c r="U3247" i="6" s="1"/>
  <c r="C3247" i="6"/>
  <c r="B3247" i="6"/>
  <c r="E3247" i="6" s="1"/>
  <c r="Q3246" i="6"/>
  <c r="N3246" i="6"/>
  <c r="M3246" i="6"/>
  <c r="L3246" i="6"/>
  <c r="K3246" i="6"/>
  <c r="J3246" i="6"/>
  <c r="I3246" i="6"/>
  <c r="P3246" i="6" s="1"/>
  <c r="H3246" i="6"/>
  <c r="G3246" i="6"/>
  <c r="F3246" i="6"/>
  <c r="D3246" i="6"/>
  <c r="U3246" i="6" s="1"/>
  <c r="C3246" i="6"/>
  <c r="B3246" i="6"/>
  <c r="Q3245" i="6"/>
  <c r="P3245" i="6"/>
  <c r="N3245" i="6"/>
  <c r="M3245" i="6"/>
  <c r="L3245" i="6"/>
  <c r="K3245" i="6"/>
  <c r="J3245" i="6"/>
  <c r="I3245" i="6"/>
  <c r="H3245" i="6"/>
  <c r="G3245" i="6"/>
  <c r="F3245" i="6"/>
  <c r="D3245" i="6"/>
  <c r="U3245" i="6" s="1"/>
  <c r="C3245" i="6"/>
  <c r="B3245" i="6"/>
  <c r="E3245" i="6" s="1"/>
  <c r="Q3244" i="6"/>
  <c r="N3244" i="6"/>
  <c r="M3244" i="6"/>
  <c r="L3244" i="6"/>
  <c r="K3244" i="6"/>
  <c r="J3244" i="6"/>
  <c r="I3244" i="6"/>
  <c r="P3244" i="6" s="1"/>
  <c r="H3244" i="6"/>
  <c r="G3244" i="6"/>
  <c r="F3244" i="6"/>
  <c r="D3244" i="6"/>
  <c r="U3244" i="6" s="1"/>
  <c r="C3244" i="6"/>
  <c r="B3244" i="6"/>
  <c r="Q3243" i="6"/>
  <c r="P3243" i="6"/>
  <c r="N3243" i="6"/>
  <c r="M3243" i="6"/>
  <c r="L3243" i="6"/>
  <c r="K3243" i="6"/>
  <c r="J3243" i="6"/>
  <c r="I3243" i="6"/>
  <c r="H3243" i="6"/>
  <c r="G3243" i="6"/>
  <c r="F3243" i="6"/>
  <c r="D3243" i="6"/>
  <c r="U3243" i="6" s="1"/>
  <c r="C3243" i="6"/>
  <c r="B3243" i="6"/>
  <c r="E3243" i="6" s="1"/>
  <c r="Q3242" i="6"/>
  <c r="N3242" i="6"/>
  <c r="M3242" i="6"/>
  <c r="L3242" i="6"/>
  <c r="K3242" i="6"/>
  <c r="J3242" i="6"/>
  <c r="I3242" i="6"/>
  <c r="P3242" i="6" s="1"/>
  <c r="H3242" i="6"/>
  <c r="G3242" i="6"/>
  <c r="F3242" i="6"/>
  <c r="D3242" i="6"/>
  <c r="U3242" i="6" s="1"/>
  <c r="C3242" i="6"/>
  <c r="B3242" i="6"/>
  <c r="Q3241" i="6"/>
  <c r="P3241" i="6"/>
  <c r="N3241" i="6"/>
  <c r="M3241" i="6"/>
  <c r="L3241" i="6"/>
  <c r="K3241" i="6"/>
  <c r="J3241" i="6"/>
  <c r="I3241" i="6"/>
  <c r="H3241" i="6"/>
  <c r="G3241" i="6"/>
  <c r="F3241" i="6"/>
  <c r="D3241" i="6"/>
  <c r="U3241" i="6" s="1"/>
  <c r="C3241" i="6"/>
  <c r="B3241" i="6"/>
  <c r="E3241" i="6" s="1"/>
  <c r="Q3240" i="6"/>
  <c r="N3240" i="6"/>
  <c r="M3240" i="6"/>
  <c r="L3240" i="6"/>
  <c r="K3240" i="6"/>
  <c r="J3240" i="6"/>
  <c r="I3240" i="6"/>
  <c r="P3240" i="6" s="1"/>
  <c r="H3240" i="6"/>
  <c r="G3240" i="6"/>
  <c r="F3240" i="6"/>
  <c r="D3240" i="6"/>
  <c r="U3240" i="6" s="1"/>
  <c r="C3240" i="6"/>
  <c r="B3240" i="6"/>
  <c r="Q3239" i="6"/>
  <c r="P3239" i="6"/>
  <c r="N3239" i="6"/>
  <c r="M3239" i="6"/>
  <c r="L3239" i="6"/>
  <c r="K3239" i="6"/>
  <c r="J3239" i="6"/>
  <c r="I3239" i="6"/>
  <c r="H3239" i="6"/>
  <c r="G3239" i="6"/>
  <c r="F3239" i="6"/>
  <c r="D3239" i="6"/>
  <c r="U3239" i="6" s="1"/>
  <c r="C3239" i="6"/>
  <c r="B3239" i="6"/>
  <c r="E3239" i="6" s="1"/>
  <c r="Q3238" i="6"/>
  <c r="N3238" i="6"/>
  <c r="M3238" i="6"/>
  <c r="L3238" i="6"/>
  <c r="K3238" i="6"/>
  <c r="J3238" i="6"/>
  <c r="I3238" i="6"/>
  <c r="P3238" i="6" s="1"/>
  <c r="H3238" i="6"/>
  <c r="G3238" i="6"/>
  <c r="F3238" i="6"/>
  <c r="D3238" i="6"/>
  <c r="U3238" i="6" s="1"/>
  <c r="C3238" i="6"/>
  <c r="B3238" i="6"/>
  <c r="Q3237" i="6"/>
  <c r="P3237" i="6"/>
  <c r="N3237" i="6"/>
  <c r="M3237" i="6"/>
  <c r="L3237" i="6"/>
  <c r="K3237" i="6"/>
  <c r="J3237" i="6"/>
  <c r="I3237" i="6"/>
  <c r="H3237" i="6"/>
  <c r="G3237" i="6"/>
  <c r="F3237" i="6"/>
  <c r="D3237" i="6"/>
  <c r="U3237" i="6" s="1"/>
  <c r="C3237" i="6"/>
  <c r="B3237" i="6"/>
  <c r="E3237" i="6" s="1"/>
  <c r="Q3236" i="6"/>
  <c r="N3236" i="6"/>
  <c r="M3236" i="6"/>
  <c r="L3236" i="6"/>
  <c r="K3236" i="6"/>
  <c r="J3236" i="6"/>
  <c r="I3236" i="6"/>
  <c r="P3236" i="6" s="1"/>
  <c r="H3236" i="6"/>
  <c r="G3236" i="6"/>
  <c r="F3236" i="6"/>
  <c r="D3236" i="6"/>
  <c r="U3236" i="6" s="1"/>
  <c r="C3236" i="6"/>
  <c r="B3236" i="6"/>
  <c r="Q3235" i="6"/>
  <c r="P3235" i="6"/>
  <c r="N3235" i="6"/>
  <c r="M3235" i="6"/>
  <c r="L3235" i="6"/>
  <c r="K3235" i="6"/>
  <c r="J3235" i="6"/>
  <c r="I3235" i="6"/>
  <c r="H3235" i="6"/>
  <c r="G3235" i="6"/>
  <c r="F3235" i="6"/>
  <c r="D3235" i="6"/>
  <c r="U3235" i="6" s="1"/>
  <c r="C3235" i="6"/>
  <c r="B3235" i="6"/>
  <c r="E3235" i="6" s="1"/>
  <c r="Q3234" i="6"/>
  <c r="N3234" i="6"/>
  <c r="M3234" i="6"/>
  <c r="L3234" i="6"/>
  <c r="K3234" i="6"/>
  <c r="J3234" i="6"/>
  <c r="I3234" i="6"/>
  <c r="P3234" i="6" s="1"/>
  <c r="H3234" i="6"/>
  <c r="G3234" i="6"/>
  <c r="F3234" i="6"/>
  <c r="D3234" i="6"/>
  <c r="U3234" i="6" s="1"/>
  <c r="C3234" i="6"/>
  <c r="B3234" i="6"/>
  <c r="Q3233" i="6"/>
  <c r="P3233" i="6"/>
  <c r="N3233" i="6"/>
  <c r="M3233" i="6"/>
  <c r="L3233" i="6"/>
  <c r="K3233" i="6"/>
  <c r="J3233" i="6"/>
  <c r="I3233" i="6"/>
  <c r="H3233" i="6"/>
  <c r="G3233" i="6"/>
  <c r="F3233" i="6"/>
  <c r="D3233" i="6"/>
  <c r="U3233" i="6" s="1"/>
  <c r="C3233" i="6"/>
  <c r="B3233" i="6"/>
  <c r="E3233" i="6" s="1"/>
  <c r="Q3232" i="6"/>
  <c r="N3232" i="6"/>
  <c r="M3232" i="6"/>
  <c r="L3232" i="6"/>
  <c r="K3232" i="6"/>
  <c r="J3232" i="6"/>
  <c r="I3232" i="6"/>
  <c r="P3232" i="6" s="1"/>
  <c r="H3232" i="6"/>
  <c r="G3232" i="6"/>
  <c r="F3232" i="6"/>
  <c r="D3232" i="6"/>
  <c r="U3232" i="6" s="1"/>
  <c r="C3232" i="6"/>
  <c r="B3232" i="6"/>
  <c r="Q3231" i="6"/>
  <c r="P3231" i="6"/>
  <c r="N3231" i="6"/>
  <c r="M3231" i="6"/>
  <c r="L3231" i="6"/>
  <c r="K3231" i="6"/>
  <c r="J3231" i="6"/>
  <c r="I3231" i="6"/>
  <c r="H3231" i="6"/>
  <c r="G3231" i="6"/>
  <c r="F3231" i="6"/>
  <c r="D3231" i="6"/>
  <c r="U3231" i="6" s="1"/>
  <c r="C3231" i="6"/>
  <c r="B3231" i="6"/>
  <c r="E3231" i="6" s="1"/>
  <c r="Q3230" i="6"/>
  <c r="N3230" i="6"/>
  <c r="M3230" i="6"/>
  <c r="L3230" i="6"/>
  <c r="K3230" i="6"/>
  <c r="J3230" i="6"/>
  <c r="I3230" i="6"/>
  <c r="P3230" i="6" s="1"/>
  <c r="H3230" i="6"/>
  <c r="G3230" i="6"/>
  <c r="F3230" i="6"/>
  <c r="D3230" i="6"/>
  <c r="U3230" i="6" s="1"/>
  <c r="C3230" i="6"/>
  <c r="B3230" i="6"/>
  <c r="Q3229" i="6"/>
  <c r="P3229" i="6"/>
  <c r="N3229" i="6"/>
  <c r="M3229" i="6"/>
  <c r="L3229" i="6"/>
  <c r="K3229" i="6"/>
  <c r="J3229" i="6"/>
  <c r="I3229" i="6"/>
  <c r="H3229" i="6"/>
  <c r="G3229" i="6"/>
  <c r="F3229" i="6"/>
  <c r="D3229" i="6"/>
  <c r="U3229" i="6" s="1"/>
  <c r="C3229" i="6"/>
  <c r="B3229" i="6"/>
  <c r="E3229" i="6" s="1"/>
  <c r="Q3228" i="6"/>
  <c r="N3228" i="6"/>
  <c r="M3228" i="6"/>
  <c r="L3228" i="6"/>
  <c r="K3228" i="6"/>
  <c r="J3228" i="6"/>
  <c r="I3228" i="6"/>
  <c r="P3228" i="6" s="1"/>
  <c r="H3228" i="6"/>
  <c r="G3228" i="6"/>
  <c r="F3228" i="6"/>
  <c r="D3228" i="6"/>
  <c r="U3228" i="6" s="1"/>
  <c r="C3228" i="6"/>
  <c r="B3228" i="6"/>
  <c r="Q3227" i="6"/>
  <c r="P3227" i="6"/>
  <c r="N3227" i="6"/>
  <c r="M3227" i="6"/>
  <c r="L3227" i="6"/>
  <c r="K3227" i="6"/>
  <c r="J3227" i="6"/>
  <c r="I3227" i="6"/>
  <c r="H3227" i="6"/>
  <c r="G3227" i="6"/>
  <c r="F3227" i="6"/>
  <c r="D3227" i="6"/>
  <c r="U3227" i="6" s="1"/>
  <c r="C3227" i="6"/>
  <c r="B3227" i="6"/>
  <c r="E3227" i="6" s="1"/>
  <c r="Q3226" i="6"/>
  <c r="N3226" i="6"/>
  <c r="M3226" i="6"/>
  <c r="L3226" i="6"/>
  <c r="K3226" i="6"/>
  <c r="J3226" i="6"/>
  <c r="I3226" i="6"/>
  <c r="P3226" i="6" s="1"/>
  <c r="H3226" i="6"/>
  <c r="G3226" i="6"/>
  <c r="F3226" i="6"/>
  <c r="D3226" i="6"/>
  <c r="U3226" i="6" s="1"/>
  <c r="C3226" i="6"/>
  <c r="B3226" i="6"/>
  <c r="Q3225" i="6"/>
  <c r="P3225" i="6"/>
  <c r="N3225" i="6"/>
  <c r="M3225" i="6"/>
  <c r="L3225" i="6"/>
  <c r="K3225" i="6"/>
  <c r="J3225" i="6"/>
  <c r="I3225" i="6"/>
  <c r="H3225" i="6"/>
  <c r="G3225" i="6"/>
  <c r="F3225" i="6"/>
  <c r="D3225" i="6"/>
  <c r="U3225" i="6" s="1"/>
  <c r="C3225" i="6"/>
  <c r="B3225" i="6"/>
  <c r="Q3224" i="6"/>
  <c r="N3224" i="6"/>
  <c r="M3224" i="6"/>
  <c r="L3224" i="6"/>
  <c r="K3224" i="6"/>
  <c r="J3224" i="6"/>
  <c r="I3224" i="6"/>
  <c r="P3224" i="6" s="1"/>
  <c r="H3224" i="6"/>
  <c r="G3224" i="6"/>
  <c r="F3224" i="6"/>
  <c r="D3224" i="6"/>
  <c r="U3224" i="6" s="1"/>
  <c r="C3224" i="6"/>
  <c r="B3224" i="6"/>
  <c r="Q3223" i="6"/>
  <c r="P3223" i="6"/>
  <c r="N3223" i="6"/>
  <c r="M3223" i="6"/>
  <c r="L3223" i="6"/>
  <c r="K3223" i="6"/>
  <c r="J3223" i="6"/>
  <c r="I3223" i="6"/>
  <c r="H3223" i="6"/>
  <c r="G3223" i="6"/>
  <c r="F3223" i="6"/>
  <c r="D3223" i="6"/>
  <c r="U3223" i="6" s="1"/>
  <c r="C3223" i="6"/>
  <c r="B3223" i="6"/>
  <c r="E3223" i="6" s="1"/>
  <c r="Q3222" i="6"/>
  <c r="N3222" i="6"/>
  <c r="M3222" i="6"/>
  <c r="L3222" i="6"/>
  <c r="K3222" i="6"/>
  <c r="J3222" i="6"/>
  <c r="I3222" i="6"/>
  <c r="P3222" i="6" s="1"/>
  <c r="H3222" i="6"/>
  <c r="G3222" i="6"/>
  <c r="F3222" i="6"/>
  <c r="D3222" i="6"/>
  <c r="U3222" i="6" s="1"/>
  <c r="C3222" i="6"/>
  <c r="B3222" i="6"/>
  <c r="Q3221" i="6"/>
  <c r="P3221" i="6"/>
  <c r="N3221" i="6"/>
  <c r="M3221" i="6"/>
  <c r="L3221" i="6"/>
  <c r="K3221" i="6"/>
  <c r="J3221" i="6"/>
  <c r="I3221" i="6"/>
  <c r="H3221" i="6"/>
  <c r="G3221" i="6"/>
  <c r="F3221" i="6"/>
  <c r="D3221" i="6"/>
  <c r="U3221" i="6" s="1"/>
  <c r="C3221" i="6"/>
  <c r="B3221" i="6"/>
  <c r="E3221" i="6" s="1"/>
  <c r="Q3220" i="6"/>
  <c r="N3220" i="6"/>
  <c r="M3220" i="6"/>
  <c r="L3220" i="6"/>
  <c r="K3220" i="6"/>
  <c r="J3220" i="6"/>
  <c r="I3220" i="6"/>
  <c r="P3220" i="6" s="1"/>
  <c r="H3220" i="6"/>
  <c r="G3220" i="6"/>
  <c r="F3220" i="6"/>
  <c r="D3220" i="6"/>
  <c r="U3220" i="6" s="1"/>
  <c r="C3220" i="6"/>
  <c r="B3220" i="6"/>
  <c r="Q3219" i="6"/>
  <c r="P3219" i="6"/>
  <c r="N3219" i="6"/>
  <c r="M3219" i="6"/>
  <c r="L3219" i="6"/>
  <c r="K3219" i="6"/>
  <c r="J3219" i="6"/>
  <c r="I3219" i="6"/>
  <c r="H3219" i="6"/>
  <c r="G3219" i="6"/>
  <c r="F3219" i="6"/>
  <c r="D3219" i="6"/>
  <c r="U3219" i="6" s="1"/>
  <c r="C3219" i="6"/>
  <c r="B3219" i="6"/>
  <c r="E3219" i="6" s="1"/>
  <c r="Q3218" i="6"/>
  <c r="N3218" i="6"/>
  <c r="M3218" i="6"/>
  <c r="L3218" i="6"/>
  <c r="K3218" i="6"/>
  <c r="J3218" i="6"/>
  <c r="I3218" i="6"/>
  <c r="P3218" i="6" s="1"/>
  <c r="H3218" i="6"/>
  <c r="G3218" i="6"/>
  <c r="F3218" i="6"/>
  <c r="D3218" i="6"/>
  <c r="U3218" i="6" s="1"/>
  <c r="C3218" i="6"/>
  <c r="B3218" i="6"/>
  <c r="Q3217" i="6"/>
  <c r="P3217" i="6"/>
  <c r="N3217" i="6"/>
  <c r="M3217" i="6"/>
  <c r="L3217" i="6"/>
  <c r="K3217" i="6"/>
  <c r="J3217" i="6"/>
  <c r="I3217" i="6"/>
  <c r="H3217" i="6"/>
  <c r="G3217" i="6"/>
  <c r="F3217" i="6"/>
  <c r="D3217" i="6"/>
  <c r="U3217" i="6" s="1"/>
  <c r="C3217" i="6"/>
  <c r="B3217" i="6"/>
  <c r="Q3216" i="6"/>
  <c r="N3216" i="6"/>
  <c r="M3216" i="6"/>
  <c r="L3216" i="6"/>
  <c r="K3216" i="6"/>
  <c r="J3216" i="6"/>
  <c r="I3216" i="6"/>
  <c r="P3216" i="6" s="1"/>
  <c r="H3216" i="6"/>
  <c r="G3216" i="6"/>
  <c r="F3216" i="6"/>
  <c r="D3216" i="6"/>
  <c r="U3216" i="6" s="1"/>
  <c r="C3216" i="6"/>
  <c r="B3216" i="6"/>
  <c r="Q3215" i="6"/>
  <c r="P3215" i="6"/>
  <c r="N3215" i="6"/>
  <c r="M3215" i="6"/>
  <c r="L3215" i="6"/>
  <c r="K3215" i="6"/>
  <c r="J3215" i="6"/>
  <c r="I3215" i="6"/>
  <c r="H3215" i="6"/>
  <c r="G3215" i="6"/>
  <c r="F3215" i="6"/>
  <c r="D3215" i="6"/>
  <c r="U3215" i="6" s="1"/>
  <c r="C3215" i="6"/>
  <c r="B3215" i="6"/>
  <c r="E3215" i="6" s="1"/>
  <c r="Q3214" i="6"/>
  <c r="N3214" i="6"/>
  <c r="M3214" i="6"/>
  <c r="L3214" i="6"/>
  <c r="K3214" i="6"/>
  <c r="J3214" i="6"/>
  <c r="I3214" i="6"/>
  <c r="P3214" i="6" s="1"/>
  <c r="H3214" i="6"/>
  <c r="G3214" i="6"/>
  <c r="F3214" i="6"/>
  <c r="D3214" i="6"/>
  <c r="U3214" i="6" s="1"/>
  <c r="C3214" i="6"/>
  <c r="B3214" i="6"/>
  <c r="Q3213" i="6"/>
  <c r="P3213" i="6"/>
  <c r="N3213" i="6"/>
  <c r="M3213" i="6"/>
  <c r="L3213" i="6"/>
  <c r="K3213" i="6"/>
  <c r="J3213" i="6"/>
  <c r="I3213" i="6"/>
  <c r="H3213" i="6"/>
  <c r="G3213" i="6"/>
  <c r="F3213" i="6"/>
  <c r="D3213" i="6"/>
  <c r="U3213" i="6" s="1"/>
  <c r="C3213" i="6"/>
  <c r="B3213" i="6"/>
  <c r="E3213" i="6" s="1"/>
  <c r="Q3212" i="6"/>
  <c r="N3212" i="6"/>
  <c r="M3212" i="6"/>
  <c r="L3212" i="6"/>
  <c r="K3212" i="6"/>
  <c r="J3212" i="6"/>
  <c r="I3212" i="6"/>
  <c r="P3212" i="6" s="1"/>
  <c r="H3212" i="6"/>
  <c r="G3212" i="6"/>
  <c r="F3212" i="6"/>
  <c r="D3212" i="6"/>
  <c r="U3212" i="6" s="1"/>
  <c r="C3212" i="6"/>
  <c r="B3212" i="6"/>
  <c r="Q3211" i="6"/>
  <c r="P3211" i="6"/>
  <c r="N3211" i="6"/>
  <c r="M3211" i="6"/>
  <c r="L3211" i="6"/>
  <c r="K3211" i="6"/>
  <c r="J3211" i="6"/>
  <c r="I3211" i="6"/>
  <c r="H3211" i="6"/>
  <c r="G3211" i="6"/>
  <c r="F3211" i="6"/>
  <c r="D3211" i="6"/>
  <c r="U3211" i="6" s="1"/>
  <c r="C3211" i="6"/>
  <c r="B3211" i="6"/>
  <c r="E3211" i="6" s="1"/>
  <c r="Q3210" i="6"/>
  <c r="N3210" i="6"/>
  <c r="M3210" i="6"/>
  <c r="L3210" i="6"/>
  <c r="K3210" i="6"/>
  <c r="J3210" i="6"/>
  <c r="I3210" i="6"/>
  <c r="P3210" i="6" s="1"/>
  <c r="H3210" i="6"/>
  <c r="G3210" i="6"/>
  <c r="F3210" i="6"/>
  <c r="D3210" i="6"/>
  <c r="U3210" i="6" s="1"/>
  <c r="C3210" i="6"/>
  <c r="B3210" i="6"/>
  <c r="Q3209" i="6"/>
  <c r="P3209" i="6"/>
  <c r="N3209" i="6"/>
  <c r="M3209" i="6"/>
  <c r="L3209" i="6"/>
  <c r="K3209" i="6"/>
  <c r="J3209" i="6"/>
  <c r="I3209" i="6"/>
  <c r="H3209" i="6"/>
  <c r="G3209" i="6"/>
  <c r="F3209" i="6"/>
  <c r="D3209" i="6"/>
  <c r="U3209" i="6" s="1"/>
  <c r="C3209" i="6"/>
  <c r="B3209" i="6"/>
  <c r="Q3208" i="6"/>
  <c r="N3208" i="6"/>
  <c r="M3208" i="6"/>
  <c r="L3208" i="6"/>
  <c r="K3208" i="6"/>
  <c r="J3208" i="6"/>
  <c r="I3208" i="6"/>
  <c r="P3208" i="6" s="1"/>
  <c r="H3208" i="6"/>
  <c r="G3208" i="6"/>
  <c r="F3208" i="6"/>
  <c r="D3208" i="6"/>
  <c r="U3208" i="6" s="1"/>
  <c r="C3208" i="6"/>
  <c r="B3208" i="6"/>
  <c r="Q3207" i="6"/>
  <c r="P3207" i="6"/>
  <c r="N3207" i="6"/>
  <c r="M3207" i="6"/>
  <c r="L3207" i="6"/>
  <c r="K3207" i="6"/>
  <c r="J3207" i="6"/>
  <c r="I3207" i="6"/>
  <c r="H3207" i="6"/>
  <c r="G3207" i="6"/>
  <c r="F3207" i="6"/>
  <c r="D3207" i="6"/>
  <c r="U3207" i="6" s="1"/>
  <c r="C3207" i="6"/>
  <c r="B3207" i="6"/>
  <c r="E3207" i="6" s="1"/>
  <c r="Q3206" i="6"/>
  <c r="N3206" i="6"/>
  <c r="M3206" i="6"/>
  <c r="L3206" i="6"/>
  <c r="K3206" i="6"/>
  <c r="J3206" i="6"/>
  <c r="I3206" i="6"/>
  <c r="P3206" i="6" s="1"/>
  <c r="H3206" i="6"/>
  <c r="G3206" i="6"/>
  <c r="F3206" i="6"/>
  <c r="D3206" i="6"/>
  <c r="U3206" i="6" s="1"/>
  <c r="C3206" i="6"/>
  <c r="B3206" i="6"/>
  <c r="Q3205" i="6"/>
  <c r="P3205" i="6"/>
  <c r="N3205" i="6"/>
  <c r="M3205" i="6"/>
  <c r="L3205" i="6"/>
  <c r="K3205" i="6"/>
  <c r="J3205" i="6"/>
  <c r="I3205" i="6"/>
  <c r="H3205" i="6"/>
  <c r="G3205" i="6"/>
  <c r="F3205" i="6"/>
  <c r="D3205" i="6"/>
  <c r="U3205" i="6" s="1"/>
  <c r="C3205" i="6"/>
  <c r="B3205" i="6"/>
  <c r="Q3204" i="6"/>
  <c r="N3204" i="6"/>
  <c r="M3204" i="6"/>
  <c r="L3204" i="6"/>
  <c r="K3204" i="6"/>
  <c r="J3204" i="6"/>
  <c r="I3204" i="6"/>
  <c r="P3204" i="6" s="1"/>
  <c r="H3204" i="6"/>
  <c r="G3204" i="6"/>
  <c r="F3204" i="6"/>
  <c r="D3204" i="6"/>
  <c r="U3204" i="6" s="1"/>
  <c r="C3204" i="6"/>
  <c r="B3204" i="6"/>
  <c r="Q3203" i="6"/>
  <c r="P3203" i="6"/>
  <c r="N3203" i="6"/>
  <c r="M3203" i="6"/>
  <c r="L3203" i="6"/>
  <c r="K3203" i="6"/>
  <c r="J3203" i="6"/>
  <c r="I3203" i="6"/>
  <c r="H3203" i="6"/>
  <c r="G3203" i="6"/>
  <c r="F3203" i="6"/>
  <c r="D3203" i="6"/>
  <c r="U3203" i="6" s="1"/>
  <c r="C3203" i="6"/>
  <c r="B3203" i="6"/>
  <c r="Q3202" i="6"/>
  <c r="N3202" i="6"/>
  <c r="M3202" i="6"/>
  <c r="L3202" i="6"/>
  <c r="K3202" i="6"/>
  <c r="J3202" i="6"/>
  <c r="I3202" i="6"/>
  <c r="P3202" i="6" s="1"/>
  <c r="H3202" i="6"/>
  <c r="G3202" i="6"/>
  <c r="F3202" i="6"/>
  <c r="D3202" i="6"/>
  <c r="U3202" i="6" s="1"/>
  <c r="C3202" i="6"/>
  <c r="B3202" i="6"/>
  <c r="Q3201" i="6"/>
  <c r="P3201" i="6"/>
  <c r="N3201" i="6"/>
  <c r="M3201" i="6"/>
  <c r="L3201" i="6"/>
  <c r="K3201" i="6"/>
  <c r="J3201" i="6"/>
  <c r="I3201" i="6"/>
  <c r="H3201" i="6"/>
  <c r="G3201" i="6"/>
  <c r="F3201" i="6"/>
  <c r="D3201" i="6"/>
  <c r="U3201" i="6" s="1"/>
  <c r="C3201" i="6"/>
  <c r="B3201" i="6"/>
  <c r="Q3200" i="6"/>
  <c r="N3200" i="6"/>
  <c r="M3200" i="6"/>
  <c r="L3200" i="6"/>
  <c r="K3200" i="6"/>
  <c r="J3200" i="6"/>
  <c r="I3200" i="6"/>
  <c r="P3200" i="6" s="1"/>
  <c r="H3200" i="6"/>
  <c r="G3200" i="6"/>
  <c r="F3200" i="6"/>
  <c r="D3200" i="6"/>
  <c r="U3200" i="6" s="1"/>
  <c r="C3200" i="6"/>
  <c r="B3200" i="6"/>
  <c r="Q3199" i="6"/>
  <c r="P3199" i="6"/>
  <c r="N3199" i="6"/>
  <c r="M3199" i="6"/>
  <c r="L3199" i="6"/>
  <c r="K3199" i="6"/>
  <c r="J3199" i="6"/>
  <c r="I3199" i="6"/>
  <c r="H3199" i="6"/>
  <c r="G3199" i="6"/>
  <c r="F3199" i="6"/>
  <c r="D3199" i="6"/>
  <c r="U3199" i="6" s="1"/>
  <c r="C3199" i="6"/>
  <c r="B3199" i="6"/>
  <c r="Q3198" i="6"/>
  <c r="N3198" i="6"/>
  <c r="M3198" i="6"/>
  <c r="L3198" i="6"/>
  <c r="K3198" i="6"/>
  <c r="J3198" i="6"/>
  <c r="I3198" i="6"/>
  <c r="P3198" i="6" s="1"/>
  <c r="H3198" i="6"/>
  <c r="G3198" i="6"/>
  <c r="F3198" i="6"/>
  <c r="D3198" i="6"/>
  <c r="U3198" i="6" s="1"/>
  <c r="C3198" i="6"/>
  <c r="B3198" i="6"/>
  <c r="Q3197" i="6"/>
  <c r="P3197" i="6"/>
  <c r="N3197" i="6"/>
  <c r="M3197" i="6"/>
  <c r="L3197" i="6"/>
  <c r="K3197" i="6"/>
  <c r="J3197" i="6"/>
  <c r="I3197" i="6"/>
  <c r="H3197" i="6"/>
  <c r="G3197" i="6"/>
  <c r="F3197" i="6"/>
  <c r="D3197" i="6"/>
  <c r="U3197" i="6" s="1"/>
  <c r="C3197" i="6"/>
  <c r="B3197" i="6"/>
  <c r="Q3196" i="6"/>
  <c r="N3196" i="6"/>
  <c r="M3196" i="6"/>
  <c r="L3196" i="6"/>
  <c r="K3196" i="6"/>
  <c r="J3196" i="6"/>
  <c r="I3196" i="6"/>
  <c r="P3196" i="6" s="1"/>
  <c r="H3196" i="6"/>
  <c r="G3196" i="6"/>
  <c r="F3196" i="6"/>
  <c r="D3196" i="6"/>
  <c r="U3196" i="6" s="1"/>
  <c r="C3196" i="6"/>
  <c r="B3196" i="6"/>
  <c r="Q3195" i="6"/>
  <c r="P3195" i="6"/>
  <c r="N3195" i="6"/>
  <c r="M3195" i="6"/>
  <c r="L3195" i="6"/>
  <c r="K3195" i="6"/>
  <c r="J3195" i="6"/>
  <c r="I3195" i="6"/>
  <c r="H3195" i="6"/>
  <c r="G3195" i="6"/>
  <c r="F3195" i="6"/>
  <c r="D3195" i="6"/>
  <c r="U3195" i="6" s="1"/>
  <c r="C3195" i="6"/>
  <c r="B3195" i="6"/>
  <c r="Q3194" i="6"/>
  <c r="N3194" i="6"/>
  <c r="M3194" i="6"/>
  <c r="L3194" i="6"/>
  <c r="K3194" i="6"/>
  <c r="J3194" i="6"/>
  <c r="I3194" i="6"/>
  <c r="P3194" i="6" s="1"/>
  <c r="H3194" i="6"/>
  <c r="G3194" i="6"/>
  <c r="F3194" i="6"/>
  <c r="D3194" i="6"/>
  <c r="U3194" i="6" s="1"/>
  <c r="C3194" i="6"/>
  <c r="B3194" i="6"/>
  <c r="Q3193" i="6"/>
  <c r="P3193" i="6"/>
  <c r="N3193" i="6"/>
  <c r="M3193" i="6"/>
  <c r="L3193" i="6"/>
  <c r="K3193" i="6"/>
  <c r="J3193" i="6"/>
  <c r="I3193" i="6"/>
  <c r="H3193" i="6"/>
  <c r="G3193" i="6"/>
  <c r="F3193" i="6"/>
  <c r="D3193" i="6"/>
  <c r="U3193" i="6" s="1"/>
  <c r="C3193" i="6"/>
  <c r="B3193" i="6"/>
  <c r="Q3192" i="6"/>
  <c r="N3192" i="6"/>
  <c r="M3192" i="6"/>
  <c r="L3192" i="6"/>
  <c r="K3192" i="6"/>
  <c r="J3192" i="6"/>
  <c r="I3192" i="6"/>
  <c r="P3192" i="6" s="1"/>
  <c r="H3192" i="6"/>
  <c r="G3192" i="6"/>
  <c r="F3192" i="6"/>
  <c r="D3192" i="6"/>
  <c r="U3192" i="6" s="1"/>
  <c r="C3192" i="6"/>
  <c r="B3192" i="6"/>
  <c r="Q3191" i="6"/>
  <c r="P3191" i="6"/>
  <c r="N3191" i="6"/>
  <c r="M3191" i="6"/>
  <c r="L3191" i="6"/>
  <c r="K3191" i="6"/>
  <c r="J3191" i="6"/>
  <c r="I3191" i="6"/>
  <c r="H3191" i="6"/>
  <c r="G3191" i="6"/>
  <c r="F3191" i="6"/>
  <c r="D3191" i="6"/>
  <c r="U3191" i="6" s="1"/>
  <c r="C3191" i="6"/>
  <c r="B3191" i="6"/>
  <c r="Q3190" i="6"/>
  <c r="N3190" i="6"/>
  <c r="M3190" i="6"/>
  <c r="L3190" i="6"/>
  <c r="K3190" i="6"/>
  <c r="J3190" i="6"/>
  <c r="I3190" i="6"/>
  <c r="P3190" i="6" s="1"/>
  <c r="H3190" i="6"/>
  <c r="G3190" i="6"/>
  <c r="F3190" i="6"/>
  <c r="D3190" i="6"/>
  <c r="U3190" i="6" s="1"/>
  <c r="C3190" i="6"/>
  <c r="B3190" i="6"/>
  <c r="Q3189" i="6"/>
  <c r="P3189" i="6"/>
  <c r="N3189" i="6"/>
  <c r="M3189" i="6"/>
  <c r="L3189" i="6"/>
  <c r="K3189" i="6"/>
  <c r="J3189" i="6"/>
  <c r="I3189" i="6"/>
  <c r="H3189" i="6"/>
  <c r="G3189" i="6"/>
  <c r="F3189" i="6"/>
  <c r="D3189" i="6"/>
  <c r="U3189" i="6" s="1"/>
  <c r="C3189" i="6"/>
  <c r="B3189" i="6"/>
  <c r="Q3188" i="6"/>
  <c r="N3188" i="6"/>
  <c r="M3188" i="6"/>
  <c r="L3188" i="6"/>
  <c r="K3188" i="6"/>
  <c r="J3188" i="6"/>
  <c r="I3188" i="6"/>
  <c r="P3188" i="6" s="1"/>
  <c r="H3188" i="6"/>
  <c r="G3188" i="6"/>
  <c r="F3188" i="6"/>
  <c r="D3188" i="6"/>
  <c r="U3188" i="6" s="1"/>
  <c r="C3188" i="6"/>
  <c r="B3188" i="6"/>
  <c r="Q3187" i="6"/>
  <c r="P3187" i="6"/>
  <c r="N3187" i="6"/>
  <c r="M3187" i="6"/>
  <c r="L3187" i="6"/>
  <c r="K3187" i="6"/>
  <c r="J3187" i="6"/>
  <c r="I3187" i="6"/>
  <c r="H3187" i="6"/>
  <c r="G3187" i="6"/>
  <c r="F3187" i="6"/>
  <c r="D3187" i="6"/>
  <c r="U3187" i="6" s="1"/>
  <c r="C3187" i="6"/>
  <c r="B3187" i="6"/>
  <c r="Q3186" i="6"/>
  <c r="N3186" i="6"/>
  <c r="M3186" i="6"/>
  <c r="L3186" i="6"/>
  <c r="K3186" i="6"/>
  <c r="J3186" i="6"/>
  <c r="I3186" i="6"/>
  <c r="P3186" i="6" s="1"/>
  <c r="H3186" i="6"/>
  <c r="G3186" i="6"/>
  <c r="F3186" i="6"/>
  <c r="D3186" i="6"/>
  <c r="U3186" i="6" s="1"/>
  <c r="C3186" i="6"/>
  <c r="B3186" i="6"/>
  <c r="Q3185" i="6"/>
  <c r="P3185" i="6"/>
  <c r="N3185" i="6"/>
  <c r="M3185" i="6"/>
  <c r="L3185" i="6"/>
  <c r="K3185" i="6"/>
  <c r="J3185" i="6"/>
  <c r="I3185" i="6"/>
  <c r="H3185" i="6"/>
  <c r="G3185" i="6"/>
  <c r="F3185" i="6"/>
  <c r="D3185" i="6"/>
  <c r="U3185" i="6" s="1"/>
  <c r="C3185" i="6"/>
  <c r="B3185" i="6"/>
  <c r="Q3184" i="6"/>
  <c r="N3184" i="6"/>
  <c r="M3184" i="6"/>
  <c r="L3184" i="6"/>
  <c r="K3184" i="6"/>
  <c r="J3184" i="6"/>
  <c r="I3184" i="6"/>
  <c r="P3184" i="6" s="1"/>
  <c r="H3184" i="6"/>
  <c r="G3184" i="6"/>
  <c r="F3184" i="6"/>
  <c r="D3184" i="6"/>
  <c r="U3184" i="6" s="1"/>
  <c r="C3184" i="6"/>
  <c r="B3184" i="6"/>
  <c r="Q3183" i="6"/>
  <c r="P3183" i="6"/>
  <c r="N3183" i="6"/>
  <c r="M3183" i="6"/>
  <c r="L3183" i="6"/>
  <c r="K3183" i="6"/>
  <c r="J3183" i="6"/>
  <c r="I3183" i="6"/>
  <c r="H3183" i="6"/>
  <c r="G3183" i="6"/>
  <c r="F3183" i="6"/>
  <c r="D3183" i="6"/>
  <c r="U3183" i="6" s="1"/>
  <c r="C3183" i="6"/>
  <c r="B3183" i="6"/>
  <c r="Q3182" i="6"/>
  <c r="N3182" i="6"/>
  <c r="M3182" i="6"/>
  <c r="L3182" i="6"/>
  <c r="K3182" i="6"/>
  <c r="J3182" i="6"/>
  <c r="I3182" i="6"/>
  <c r="P3182" i="6" s="1"/>
  <c r="H3182" i="6"/>
  <c r="G3182" i="6"/>
  <c r="F3182" i="6"/>
  <c r="D3182" i="6"/>
  <c r="U3182" i="6" s="1"/>
  <c r="C3182" i="6"/>
  <c r="B3182" i="6"/>
  <c r="Q3181" i="6"/>
  <c r="P3181" i="6"/>
  <c r="N3181" i="6"/>
  <c r="M3181" i="6"/>
  <c r="L3181" i="6"/>
  <c r="K3181" i="6"/>
  <c r="J3181" i="6"/>
  <c r="I3181" i="6"/>
  <c r="H3181" i="6"/>
  <c r="G3181" i="6"/>
  <c r="F3181" i="6"/>
  <c r="D3181" i="6"/>
  <c r="U3181" i="6" s="1"/>
  <c r="C3181" i="6"/>
  <c r="B3181" i="6"/>
  <c r="Q3180" i="6"/>
  <c r="N3180" i="6"/>
  <c r="M3180" i="6"/>
  <c r="L3180" i="6"/>
  <c r="K3180" i="6"/>
  <c r="J3180" i="6"/>
  <c r="I3180" i="6"/>
  <c r="P3180" i="6" s="1"/>
  <c r="H3180" i="6"/>
  <c r="G3180" i="6"/>
  <c r="F3180" i="6"/>
  <c r="D3180" i="6"/>
  <c r="U3180" i="6" s="1"/>
  <c r="C3180" i="6"/>
  <c r="B3180" i="6"/>
  <c r="Q3179" i="6"/>
  <c r="P3179" i="6"/>
  <c r="N3179" i="6"/>
  <c r="M3179" i="6"/>
  <c r="L3179" i="6"/>
  <c r="K3179" i="6"/>
  <c r="J3179" i="6"/>
  <c r="I3179" i="6"/>
  <c r="H3179" i="6"/>
  <c r="G3179" i="6"/>
  <c r="F3179" i="6"/>
  <c r="D3179" i="6"/>
  <c r="U3179" i="6" s="1"/>
  <c r="C3179" i="6"/>
  <c r="B3179" i="6"/>
  <c r="Q3178" i="6"/>
  <c r="N3178" i="6"/>
  <c r="M3178" i="6"/>
  <c r="L3178" i="6"/>
  <c r="K3178" i="6"/>
  <c r="J3178" i="6"/>
  <c r="I3178" i="6"/>
  <c r="P3178" i="6" s="1"/>
  <c r="H3178" i="6"/>
  <c r="G3178" i="6"/>
  <c r="F3178" i="6"/>
  <c r="D3178" i="6"/>
  <c r="U3178" i="6" s="1"/>
  <c r="C3178" i="6"/>
  <c r="B3178" i="6"/>
  <c r="Q3177" i="6"/>
  <c r="P3177" i="6"/>
  <c r="N3177" i="6"/>
  <c r="M3177" i="6"/>
  <c r="L3177" i="6"/>
  <c r="K3177" i="6"/>
  <c r="J3177" i="6"/>
  <c r="I3177" i="6"/>
  <c r="H3177" i="6"/>
  <c r="G3177" i="6"/>
  <c r="F3177" i="6"/>
  <c r="D3177" i="6"/>
  <c r="U3177" i="6" s="1"/>
  <c r="C3177" i="6"/>
  <c r="B3177" i="6"/>
  <c r="Q3176" i="6"/>
  <c r="N3176" i="6"/>
  <c r="M3176" i="6"/>
  <c r="L3176" i="6"/>
  <c r="K3176" i="6"/>
  <c r="J3176" i="6"/>
  <c r="I3176" i="6"/>
  <c r="P3176" i="6" s="1"/>
  <c r="H3176" i="6"/>
  <c r="G3176" i="6"/>
  <c r="F3176" i="6"/>
  <c r="D3176" i="6"/>
  <c r="U3176" i="6" s="1"/>
  <c r="C3176" i="6"/>
  <c r="B3176" i="6"/>
  <c r="Q3175" i="6"/>
  <c r="P3175" i="6"/>
  <c r="N3175" i="6"/>
  <c r="M3175" i="6"/>
  <c r="L3175" i="6"/>
  <c r="K3175" i="6"/>
  <c r="J3175" i="6"/>
  <c r="I3175" i="6"/>
  <c r="H3175" i="6"/>
  <c r="G3175" i="6"/>
  <c r="F3175" i="6"/>
  <c r="D3175" i="6"/>
  <c r="U3175" i="6" s="1"/>
  <c r="C3175" i="6"/>
  <c r="B3175" i="6"/>
  <c r="Q3174" i="6"/>
  <c r="N3174" i="6"/>
  <c r="M3174" i="6"/>
  <c r="L3174" i="6"/>
  <c r="K3174" i="6"/>
  <c r="J3174" i="6"/>
  <c r="I3174" i="6"/>
  <c r="P3174" i="6" s="1"/>
  <c r="H3174" i="6"/>
  <c r="G3174" i="6"/>
  <c r="F3174" i="6"/>
  <c r="D3174" i="6"/>
  <c r="U3174" i="6" s="1"/>
  <c r="C3174" i="6"/>
  <c r="B3174" i="6"/>
  <c r="Q3173" i="6"/>
  <c r="P3173" i="6"/>
  <c r="N3173" i="6"/>
  <c r="M3173" i="6"/>
  <c r="L3173" i="6"/>
  <c r="K3173" i="6"/>
  <c r="J3173" i="6"/>
  <c r="I3173" i="6"/>
  <c r="H3173" i="6"/>
  <c r="G3173" i="6"/>
  <c r="F3173" i="6"/>
  <c r="D3173" i="6"/>
  <c r="U3173" i="6" s="1"/>
  <c r="C3173" i="6"/>
  <c r="B3173" i="6"/>
  <c r="Q3172" i="6"/>
  <c r="N3172" i="6"/>
  <c r="M3172" i="6"/>
  <c r="L3172" i="6"/>
  <c r="K3172" i="6"/>
  <c r="J3172" i="6"/>
  <c r="I3172" i="6"/>
  <c r="P3172" i="6" s="1"/>
  <c r="H3172" i="6"/>
  <c r="G3172" i="6"/>
  <c r="F3172" i="6"/>
  <c r="D3172" i="6"/>
  <c r="U3172" i="6" s="1"/>
  <c r="C3172" i="6"/>
  <c r="B3172" i="6"/>
  <c r="Q3171" i="6"/>
  <c r="P3171" i="6"/>
  <c r="N3171" i="6"/>
  <c r="M3171" i="6"/>
  <c r="L3171" i="6"/>
  <c r="K3171" i="6"/>
  <c r="J3171" i="6"/>
  <c r="I3171" i="6"/>
  <c r="H3171" i="6"/>
  <c r="G3171" i="6"/>
  <c r="F3171" i="6"/>
  <c r="D3171" i="6"/>
  <c r="U3171" i="6" s="1"/>
  <c r="C3171" i="6"/>
  <c r="B3171" i="6"/>
  <c r="Q3170" i="6"/>
  <c r="N3170" i="6"/>
  <c r="M3170" i="6"/>
  <c r="L3170" i="6"/>
  <c r="K3170" i="6"/>
  <c r="J3170" i="6"/>
  <c r="I3170" i="6"/>
  <c r="P3170" i="6" s="1"/>
  <c r="H3170" i="6"/>
  <c r="G3170" i="6"/>
  <c r="F3170" i="6"/>
  <c r="D3170" i="6"/>
  <c r="U3170" i="6" s="1"/>
  <c r="C3170" i="6"/>
  <c r="B3170" i="6"/>
  <c r="Q3169" i="6"/>
  <c r="P3169" i="6"/>
  <c r="N3169" i="6"/>
  <c r="M3169" i="6"/>
  <c r="L3169" i="6"/>
  <c r="K3169" i="6"/>
  <c r="J3169" i="6"/>
  <c r="I3169" i="6"/>
  <c r="H3169" i="6"/>
  <c r="G3169" i="6"/>
  <c r="F3169" i="6"/>
  <c r="D3169" i="6"/>
  <c r="U3169" i="6" s="1"/>
  <c r="C3169" i="6"/>
  <c r="B3169" i="6"/>
  <c r="Q3168" i="6"/>
  <c r="N3168" i="6"/>
  <c r="M3168" i="6"/>
  <c r="L3168" i="6"/>
  <c r="K3168" i="6"/>
  <c r="J3168" i="6"/>
  <c r="I3168" i="6"/>
  <c r="P3168" i="6" s="1"/>
  <c r="H3168" i="6"/>
  <c r="G3168" i="6"/>
  <c r="F3168" i="6"/>
  <c r="D3168" i="6"/>
  <c r="U3168" i="6" s="1"/>
  <c r="C3168" i="6"/>
  <c r="B3168" i="6"/>
  <c r="Q3167" i="6"/>
  <c r="P3167" i="6"/>
  <c r="N3167" i="6"/>
  <c r="M3167" i="6"/>
  <c r="L3167" i="6"/>
  <c r="K3167" i="6"/>
  <c r="J3167" i="6"/>
  <c r="I3167" i="6"/>
  <c r="H3167" i="6"/>
  <c r="G3167" i="6"/>
  <c r="F3167" i="6"/>
  <c r="D3167" i="6"/>
  <c r="U3167" i="6" s="1"/>
  <c r="C3167" i="6"/>
  <c r="B3167" i="6"/>
  <c r="Q3166" i="6"/>
  <c r="N3166" i="6"/>
  <c r="M3166" i="6"/>
  <c r="L3166" i="6"/>
  <c r="K3166" i="6"/>
  <c r="J3166" i="6"/>
  <c r="I3166" i="6"/>
  <c r="P3166" i="6" s="1"/>
  <c r="H3166" i="6"/>
  <c r="G3166" i="6"/>
  <c r="F3166" i="6"/>
  <c r="D3166" i="6"/>
  <c r="U3166" i="6" s="1"/>
  <c r="C3166" i="6"/>
  <c r="B3166" i="6"/>
  <c r="Q3165" i="6"/>
  <c r="P3165" i="6"/>
  <c r="N3165" i="6"/>
  <c r="M3165" i="6"/>
  <c r="L3165" i="6"/>
  <c r="K3165" i="6"/>
  <c r="J3165" i="6"/>
  <c r="I3165" i="6"/>
  <c r="H3165" i="6"/>
  <c r="G3165" i="6"/>
  <c r="F3165" i="6"/>
  <c r="D3165" i="6"/>
  <c r="U3165" i="6" s="1"/>
  <c r="C3165" i="6"/>
  <c r="B3165" i="6"/>
  <c r="Q3164" i="6"/>
  <c r="N3164" i="6"/>
  <c r="M3164" i="6"/>
  <c r="L3164" i="6"/>
  <c r="K3164" i="6"/>
  <c r="J3164" i="6"/>
  <c r="I3164" i="6"/>
  <c r="P3164" i="6" s="1"/>
  <c r="H3164" i="6"/>
  <c r="G3164" i="6"/>
  <c r="F3164" i="6"/>
  <c r="D3164" i="6"/>
  <c r="U3164" i="6" s="1"/>
  <c r="C3164" i="6"/>
  <c r="B3164" i="6"/>
  <c r="Q3163" i="6"/>
  <c r="P3163" i="6"/>
  <c r="N3163" i="6"/>
  <c r="M3163" i="6"/>
  <c r="L3163" i="6"/>
  <c r="K3163" i="6"/>
  <c r="J3163" i="6"/>
  <c r="I3163" i="6"/>
  <c r="H3163" i="6"/>
  <c r="G3163" i="6"/>
  <c r="F3163" i="6"/>
  <c r="D3163" i="6"/>
  <c r="U3163" i="6" s="1"/>
  <c r="C3163" i="6"/>
  <c r="B3163" i="6"/>
  <c r="Q3162" i="6"/>
  <c r="N3162" i="6"/>
  <c r="M3162" i="6"/>
  <c r="L3162" i="6"/>
  <c r="K3162" i="6"/>
  <c r="J3162" i="6"/>
  <c r="I3162" i="6"/>
  <c r="P3162" i="6" s="1"/>
  <c r="H3162" i="6"/>
  <c r="G3162" i="6"/>
  <c r="F3162" i="6"/>
  <c r="D3162" i="6"/>
  <c r="U3162" i="6" s="1"/>
  <c r="C3162" i="6"/>
  <c r="B3162" i="6"/>
  <c r="Q3161" i="6"/>
  <c r="P3161" i="6"/>
  <c r="N3161" i="6"/>
  <c r="M3161" i="6"/>
  <c r="L3161" i="6"/>
  <c r="K3161" i="6"/>
  <c r="J3161" i="6"/>
  <c r="I3161" i="6"/>
  <c r="H3161" i="6"/>
  <c r="G3161" i="6"/>
  <c r="F3161" i="6"/>
  <c r="D3161" i="6"/>
  <c r="U3161" i="6" s="1"/>
  <c r="C3161" i="6"/>
  <c r="B3161" i="6"/>
  <c r="Q3160" i="6"/>
  <c r="N3160" i="6"/>
  <c r="M3160" i="6"/>
  <c r="L3160" i="6"/>
  <c r="K3160" i="6"/>
  <c r="J3160" i="6"/>
  <c r="I3160" i="6"/>
  <c r="P3160" i="6" s="1"/>
  <c r="H3160" i="6"/>
  <c r="G3160" i="6"/>
  <c r="F3160" i="6"/>
  <c r="D3160" i="6"/>
  <c r="U3160" i="6" s="1"/>
  <c r="C3160" i="6"/>
  <c r="B3160" i="6"/>
  <c r="Q3159" i="6"/>
  <c r="P3159" i="6"/>
  <c r="N3159" i="6"/>
  <c r="M3159" i="6"/>
  <c r="L3159" i="6"/>
  <c r="K3159" i="6"/>
  <c r="J3159" i="6"/>
  <c r="I3159" i="6"/>
  <c r="H3159" i="6"/>
  <c r="G3159" i="6"/>
  <c r="F3159" i="6"/>
  <c r="D3159" i="6"/>
  <c r="U3159" i="6" s="1"/>
  <c r="C3159" i="6"/>
  <c r="B3159" i="6"/>
  <c r="Q3158" i="6"/>
  <c r="N3158" i="6"/>
  <c r="M3158" i="6"/>
  <c r="L3158" i="6"/>
  <c r="K3158" i="6"/>
  <c r="J3158" i="6"/>
  <c r="I3158" i="6"/>
  <c r="P3158" i="6" s="1"/>
  <c r="H3158" i="6"/>
  <c r="G3158" i="6"/>
  <c r="F3158" i="6"/>
  <c r="D3158" i="6"/>
  <c r="U3158" i="6" s="1"/>
  <c r="C3158" i="6"/>
  <c r="B3158" i="6"/>
  <c r="Q3157" i="6"/>
  <c r="P3157" i="6"/>
  <c r="N3157" i="6"/>
  <c r="M3157" i="6"/>
  <c r="L3157" i="6"/>
  <c r="K3157" i="6"/>
  <c r="J3157" i="6"/>
  <c r="I3157" i="6"/>
  <c r="H3157" i="6"/>
  <c r="G3157" i="6"/>
  <c r="F3157" i="6"/>
  <c r="D3157" i="6"/>
  <c r="U3157" i="6" s="1"/>
  <c r="C3157" i="6"/>
  <c r="B3157" i="6"/>
  <c r="Q3156" i="6"/>
  <c r="N3156" i="6"/>
  <c r="M3156" i="6"/>
  <c r="L3156" i="6"/>
  <c r="K3156" i="6"/>
  <c r="J3156" i="6"/>
  <c r="I3156" i="6"/>
  <c r="P3156" i="6" s="1"/>
  <c r="H3156" i="6"/>
  <c r="G3156" i="6"/>
  <c r="F3156" i="6"/>
  <c r="D3156" i="6"/>
  <c r="U3156" i="6" s="1"/>
  <c r="C3156" i="6"/>
  <c r="B3156" i="6"/>
  <c r="Q3155" i="6"/>
  <c r="P3155" i="6"/>
  <c r="N3155" i="6"/>
  <c r="M3155" i="6"/>
  <c r="L3155" i="6"/>
  <c r="K3155" i="6"/>
  <c r="J3155" i="6"/>
  <c r="I3155" i="6"/>
  <c r="H3155" i="6"/>
  <c r="G3155" i="6"/>
  <c r="F3155" i="6"/>
  <c r="D3155" i="6"/>
  <c r="U3155" i="6" s="1"/>
  <c r="C3155" i="6"/>
  <c r="B3155" i="6"/>
  <c r="Q3154" i="6"/>
  <c r="N3154" i="6"/>
  <c r="M3154" i="6"/>
  <c r="L3154" i="6"/>
  <c r="K3154" i="6"/>
  <c r="J3154" i="6"/>
  <c r="I3154" i="6"/>
  <c r="P3154" i="6" s="1"/>
  <c r="H3154" i="6"/>
  <c r="G3154" i="6"/>
  <c r="F3154" i="6"/>
  <c r="D3154" i="6"/>
  <c r="U3154" i="6" s="1"/>
  <c r="C3154" i="6"/>
  <c r="B3154" i="6"/>
  <c r="Q3153" i="6"/>
  <c r="P3153" i="6"/>
  <c r="N3153" i="6"/>
  <c r="M3153" i="6"/>
  <c r="L3153" i="6"/>
  <c r="K3153" i="6"/>
  <c r="J3153" i="6"/>
  <c r="I3153" i="6"/>
  <c r="H3153" i="6"/>
  <c r="G3153" i="6"/>
  <c r="F3153" i="6"/>
  <c r="D3153" i="6"/>
  <c r="U3153" i="6" s="1"/>
  <c r="C3153" i="6"/>
  <c r="B3153" i="6"/>
  <c r="Q3152" i="6"/>
  <c r="N3152" i="6"/>
  <c r="M3152" i="6"/>
  <c r="L3152" i="6"/>
  <c r="K3152" i="6"/>
  <c r="J3152" i="6"/>
  <c r="I3152" i="6"/>
  <c r="P3152" i="6" s="1"/>
  <c r="H3152" i="6"/>
  <c r="G3152" i="6"/>
  <c r="F3152" i="6"/>
  <c r="D3152" i="6"/>
  <c r="U3152" i="6" s="1"/>
  <c r="C3152" i="6"/>
  <c r="B3152" i="6"/>
  <c r="Q3151" i="6"/>
  <c r="P3151" i="6"/>
  <c r="N3151" i="6"/>
  <c r="M3151" i="6"/>
  <c r="L3151" i="6"/>
  <c r="K3151" i="6"/>
  <c r="J3151" i="6"/>
  <c r="I3151" i="6"/>
  <c r="H3151" i="6"/>
  <c r="G3151" i="6"/>
  <c r="F3151" i="6"/>
  <c r="D3151" i="6"/>
  <c r="U3151" i="6" s="1"/>
  <c r="C3151" i="6"/>
  <c r="B3151" i="6"/>
  <c r="Q3150" i="6"/>
  <c r="N3150" i="6"/>
  <c r="M3150" i="6"/>
  <c r="L3150" i="6"/>
  <c r="K3150" i="6"/>
  <c r="J3150" i="6"/>
  <c r="I3150" i="6"/>
  <c r="P3150" i="6" s="1"/>
  <c r="H3150" i="6"/>
  <c r="G3150" i="6"/>
  <c r="F3150" i="6"/>
  <c r="D3150" i="6"/>
  <c r="U3150" i="6" s="1"/>
  <c r="C3150" i="6"/>
  <c r="B3150" i="6"/>
  <c r="Q3149" i="6"/>
  <c r="P3149" i="6"/>
  <c r="N3149" i="6"/>
  <c r="M3149" i="6"/>
  <c r="L3149" i="6"/>
  <c r="K3149" i="6"/>
  <c r="J3149" i="6"/>
  <c r="I3149" i="6"/>
  <c r="H3149" i="6"/>
  <c r="G3149" i="6"/>
  <c r="F3149" i="6"/>
  <c r="D3149" i="6"/>
  <c r="U3149" i="6" s="1"/>
  <c r="C3149" i="6"/>
  <c r="B3149" i="6"/>
  <c r="Q3148" i="6"/>
  <c r="N3148" i="6"/>
  <c r="M3148" i="6"/>
  <c r="L3148" i="6"/>
  <c r="K3148" i="6"/>
  <c r="J3148" i="6"/>
  <c r="I3148" i="6"/>
  <c r="P3148" i="6" s="1"/>
  <c r="H3148" i="6"/>
  <c r="G3148" i="6"/>
  <c r="F3148" i="6"/>
  <c r="D3148" i="6"/>
  <c r="U3148" i="6" s="1"/>
  <c r="C3148" i="6"/>
  <c r="B3148" i="6"/>
  <c r="Q3147" i="6"/>
  <c r="P3147" i="6"/>
  <c r="N3147" i="6"/>
  <c r="M3147" i="6"/>
  <c r="L3147" i="6"/>
  <c r="K3147" i="6"/>
  <c r="J3147" i="6"/>
  <c r="I3147" i="6"/>
  <c r="H3147" i="6"/>
  <c r="G3147" i="6"/>
  <c r="F3147" i="6"/>
  <c r="D3147" i="6"/>
  <c r="U3147" i="6" s="1"/>
  <c r="C3147" i="6"/>
  <c r="B3147" i="6"/>
  <c r="Q3146" i="6"/>
  <c r="N3146" i="6"/>
  <c r="M3146" i="6"/>
  <c r="L3146" i="6"/>
  <c r="K3146" i="6"/>
  <c r="J3146" i="6"/>
  <c r="I3146" i="6"/>
  <c r="P3146" i="6" s="1"/>
  <c r="H3146" i="6"/>
  <c r="G3146" i="6"/>
  <c r="F3146" i="6"/>
  <c r="D3146" i="6"/>
  <c r="U3146" i="6" s="1"/>
  <c r="C3146" i="6"/>
  <c r="B3146" i="6"/>
  <c r="Q3145" i="6"/>
  <c r="P3145" i="6"/>
  <c r="N3145" i="6"/>
  <c r="M3145" i="6"/>
  <c r="L3145" i="6"/>
  <c r="K3145" i="6"/>
  <c r="J3145" i="6"/>
  <c r="I3145" i="6"/>
  <c r="H3145" i="6"/>
  <c r="G3145" i="6"/>
  <c r="F3145" i="6"/>
  <c r="D3145" i="6"/>
  <c r="U3145" i="6" s="1"/>
  <c r="C3145" i="6"/>
  <c r="B3145" i="6"/>
  <c r="Q3144" i="6"/>
  <c r="N3144" i="6"/>
  <c r="M3144" i="6"/>
  <c r="L3144" i="6"/>
  <c r="K3144" i="6"/>
  <c r="J3144" i="6"/>
  <c r="I3144" i="6"/>
  <c r="P3144" i="6" s="1"/>
  <c r="H3144" i="6"/>
  <c r="G3144" i="6"/>
  <c r="F3144" i="6"/>
  <c r="D3144" i="6"/>
  <c r="U3144" i="6" s="1"/>
  <c r="C3144" i="6"/>
  <c r="B3144" i="6"/>
  <c r="Q3143" i="6"/>
  <c r="P3143" i="6"/>
  <c r="N3143" i="6"/>
  <c r="M3143" i="6"/>
  <c r="L3143" i="6"/>
  <c r="K3143" i="6"/>
  <c r="J3143" i="6"/>
  <c r="I3143" i="6"/>
  <c r="H3143" i="6"/>
  <c r="G3143" i="6"/>
  <c r="F3143" i="6"/>
  <c r="D3143" i="6"/>
  <c r="U3143" i="6" s="1"/>
  <c r="C3143" i="6"/>
  <c r="B3143" i="6"/>
  <c r="Q3142" i="6"/>
  <c r="N3142" i="6"/>
  <c r="M3142" i="6"/>
  <c r="L3142" i="6"/>
  <c r="K3142" i="6"/>
  <c r="J3142" i="6"/>
  <c r="I3142" i="6"/>
  <c r="P3142" i="6" s="1"/>
  <c r="H3142" i="6"/>
  <c r="G3142" i="6"/>
  <c r="F3142" i="6"/>
  <c r="D3142" i="6"/>
  <c r="U3142" i="6" s="1"/>
  <c r="C3142" i="6"/>
  <c r="B3142" i="6"/>
  <c r="Q3141" i="6"/>
  <c r="P3141" i="6"/>
  <c r="N3141" i="6"/>
  <c r="M3141" i="6"/>
  <c r="L3141" i="6"/>
  <c r="K3141" i="6"/>
  <c r="J3141" i="6"/>
  <c r="I3141" i="6"/>
  <c r="H3141" i="6"/>
  <c r="G3141" i="6"/>
  <c r="F3141" i="6"/>
  <c r="D3141" i="6"/>
  <c r="U3141" i="6" s="1"/>
  <c r="C3141" i="6"/>
  <c r="B3141" i="6"/>
  <c r="Q3140" i="6"/>
  <c r="N3140" i="6"/>
  <c r="M3140" i="6"/>
  <c r="L3140" i="6"/>
  <c r="K3140" i="6"/>
  <c r="J3140" i="6"/>
  <c r="I3140" i="6"/>
  <c r="P3140" i="6" s="1"/>
  <c r="H3140" i="6"/>
  <c r="G3140" i="6"/>
  <c r="F3140" i="6"/>
  <c r="D3140" i="6"/>
  <c r="U3140" i="6" s="1"/>
  <c r="C3140" i="6"/>
  <c r="B3140" i="6"/>
  <c r="Q3139" i="6"/>
  <c r="P3139" i="6"/>
  <c r="N3139" i="6"/>
  <c r="M3139" i="6"/>
  <c r="L3139" i="6"/>
  <c r="K3139" i="6"/>
  <c r="J3139" i="6"/>
  <c r="I3139" i="6"/>
  <c r="H3139" i="6"/>
  <c r="G3139" i="6"/>
  <c r="F3139" i="6"/>
  <c r="D3139" i="6"/>
  <c r="U3139" i="6" s="1"/>
  <c r="C3139" i="6"/>
  <c r="B3139" i="6"/>
  <c r="Q3138" i="6"/>
  <c r="N3138" i="6"/>
  <c r="M3138" i="6"/>
  <c r="L3138" i="6"/>
  <c r="K3138" i="6"/>
  <c r="J3138" i="6"/>
  <c r="I3138" i="6"/>
  <c r="P3138" i="6" s="1"/>
  <c r="H3138" i="6"/>
  <c r="G3138" i="6"/>
  <c r="F3138" i="6"/>
  <c r="D3138" i="6"/>
  <c r="U3138" i="6" s="1"/>
  <c r="C3138" i="6"/>
  <c r="B3138" i="6"/>
  <c r="Q3137" i="6"/>
  <c r="P3137" i="6"/>
  <c r="N3137" i="6"/>
  <c r="M3137" i="6"/>
  <c r="L3137" i="6"/>
  <c r="K3137" i="6"/>
  <c r="J3137" i="6"/>
  <c r="I3137" i="6"/>
  <c r="H3137" i="6"/>
  <c r="G3137" i="6"/>
  <c r="F3137" i="6"/>
  <c r="D3137" i="6"/>
  <c r="U3137" i="6" s="1"/>
  <c r="C3137" i="6"/>
  <c r="B3137" i="6"/>
  <c r="Q3136" i="6"/>
  <c r="N3136" i="6"/>
  <c r="M3136" i="6"/>
  <c r="L3136" i="6"/>
  <c r="K3136" i="6"/>
  <c r="J3136" i="6"/>
  <c r="I3136" i="6"/>
  <c r="P3136" i="6" s="1"/>
  <c r="H3136" i="6"/>
  <c r="G3136" i="6"/>
  <c r="F3136" i="6"/>
  <c r="D3136" i="6"/>
  <c r="U3136" i="6" s="1"/>
  <c r="C3136" i="6"/>
  <c r="B3136" i="6"/>
  <c r="Q3135" i="6"/>
  <c r="P3135" i="6"/>
  <c r="N3135" i="6"/>
  <c r="M3135" i="6"/>
  <c r="L3135" i="6"/>
  <c r="K3135" i="6"/>
  <c r="J3135" i="6"/>
  <c r="I3135" i="6"/>
  <c r="H3135" i="6"/>
  <c r="G3135" i="6"/>
  <c r="F3135" i="6"/>
  <c r="D3135" i="6"/>
  <c r="U3135" i="6" s="1"/>
  <c r="C3135" i="6"/>
  <c r="B3135" i="6"/>
  <c r="Q3134" i="6"/>
  <c r="N3134" i="6"/>
  <c r="M3134" i="6"/>
  <c r="L3134" i="6"/>
  <c r="K3134" i="6"/>
  <c r="J3134" i="6"/>
  <c r="I3134" i="6"/>
  <c r="P3134" i="6" s="1"/>
  <c r="H3134" i="6"/>
  <c r="G3134" i="6"/>
  <c r="F3134" i="6"/>
  <c r="D3134" i="6"/>
  <c r="U3134" i="6" s="1"/>
  <c r="C3134" i="6"/>
  <c r="B3134" i="6"/>
  <c r="Q3133" i="6"/>
  <c r="P3133" i="6"/>
  <c r="N3133" i="6"/>
  <c r="M3133" i="6"/>
  <c r="L3133" i="6"/>
  <c r="K3133" i="6"/>
  <c r="J3133" i="6"/>
  <c r="I3133" i="6"/>
  <c r="H3133" i="6"/>
  <c r="G3133" i="6"/>
  <c r="F3133" i="6"/>
  <c r="D3133" i="6"/>
  <c r="U3133" i="6" s="1"/>
  <c r="C3133" i="6"/>
  <c r="B3133" i="6"/>
  <c r="Q3132" i="6"/>
  <c r="N3132" i="6"/>
  <c r="M3132" i="6"/>
  <c r="L3132" i="6"/>
  <c r="K3132" i="6"/>
  <c r="J3132" i="6"/>
  <c r="I3132" i="6"/>
  <c r="P3132" i="6" s="1"/>
  <c r="H3132" i="6"/>
  <c r="G3132" i="6"/>
  <c r="F3132" i="6"/>
  <c r="D3132" i="6"/>
  <c r="U3132" i="6" s="1"/>
  <c r="C3132" i="6"/>
  <c r="B3132" i="6"/>
  <c r="Q3131" i="6"/>
  <c r="P3131" i="6"/>
  <c r="N3131" i="6"/>
  <c r="M3131" i="6"/>
  <c r="L3131" i="6"/>
  <c r="K3131" i="6"/>
  <c r="J3131" i="6"/>
  <c r="I3131" i="6"/>
  <c r="H3131" i="6"/>
  <c r="G3131" i="6"/>
  <c r="F3131" i="6"/>
  <c r="D3131" i="6"/>
  <c r="U3131" i="6" s="1"/>
  <c r="C3131" i="6"/>
  <c r="B3131" i="6"/>
  <c r="Q3130" i="6"/>
  <c r="N3130" i="6"/>
  <c r="M3130" i="6"/>
  <c r="L3130" i="6"/>
  <c r="K3130" i="6"/>
  <c r="J3130" i="6"/>
  <c r="I3130" i="6"/>
  <c r="P3130" i="6" s="1"/>
  <c r="H3130" i="6"/>
  <c r="G3130" i="6"/>
  <c r="F3130" i="6"/>
  <c r="D3130" i="6"/>
  <c r="U3130" i="6" s="1"/>
  <c r="C3130" i="6"/>
  <c r="B3130" i="6"/>
  <c r="Q3129" i="6"/>
  <c r="P3129" i="6"/>
  <c r="N3129" i="6"/>
  <c r="M3129" i="6"/>
  <c r="L3129" i="6"/>
  <c r="K3129" i="6"/>
  <c r="J3129" i="6"/>
  <c r="I3129" i="6"/>
  <c r="H3129" i="6"/>
  <c r="G3129" i="6"/>
  <c r="F3129" i="6"/>
  <c r="D3129" i="6"/>
  <c r="U3129" i="6" s="1"/>
  <c r="C3129" i="6"/>
  <c r="B3129" i="6"/>
  <c r="Q3128" i="6"/>
  <c r="N3128" i="6"/>
  <c r="M3128" i="6"/>
  <c r="L3128" i="6"/>
  <c r="K3128" i="6"/>
  <c r="J3128" i="6"/>
  <c r="I3128" i="6"/>
  <c r="P3128" i="6" s="1"/>
  <c r="H3128" i="6"/>
  <c r="G3128" i="6"/>
  <c r="F3128" i="6"/>
  <c r="D3128" i="6"/>
  <c r="U3128" i="6" s="1"/>
  <c r="C3128" i="6"/>
  <c r="B3128" i="6"/>
  <c r="Q3127" i="6"/>
  <c r="P3127" i="6"/>
  <c r="N3127" i="6"/>
  <c r="M3127" i="6"/>
  <c r="L3127" i="6"/>
  <c r="K3127" i="6"/>
  <c r="J3127" i="6"/>
  <c r="I3127" i="6"/>
  <c r="H3127" i="6"/>
  <c r="G3127" i="6"/>
  <c r="F3127" i="6"/>
  <c r="D3127" i="6"/>
  <c r="U3127" i="6" s="1"/>
  <c r="C3127" i="6"/>
  <c r="B3127" i="6"/>
  <c r="Q3126" i="6"/>
  <c r="N3126" i="6"/>
  <c r="M3126" i="6"/>
  <c r="L3126" i="6"/>
  <c r="K3126" i="6"/>
  <c r="J3126" i="6"/>
  <c r="I3126" i="6"/>
  <c r="P3126" i="6" s="1"/>
  <c r="H3126" i="6"/>
  <c r="G3126" i="6"/>
  <c r="F3126" i="6"/>
  <c r="D3126" i="6"/>
  <c r="U3126" i="6" s="1"/>
  <c r="C3126" i="6"/>
  <c r="B3126" i="6"/>
  <c r="Q3125" i="6"/>
  <c r="P3125" i="6"/>
  <c r="N3125" i="6"/>
  <c r="M3125" i="6"/>
  <c r="L3125" i="6"/>
  <c r="K3125" i="6"/>
  <c r="J3125" i="6"/>
  <c r="I3125" i="6"/>
  <c r="H3125" i="6"/>
  <c r="G3125" i="6"/>
  <c r="F3125" i="6"/>
  <c r="D3125" i="6"/>
  <c r="U3125" i="6" s="1"/>
  <c r="C3125" i="6"/>
  <c r="B3125" i="6"/>
  <c r="Q3124" i="6"/>
  <c r="N3124" i="6"/>
  <c r="M3124" i="6"/>
  <c r="L3124" i="6"/>
  <c r="K3124" i="6"/>
  <c r="J3124" i="6"/>
  <c r="I3124" i="6"/>
  <c r="P3124" i="6" s="1"/>
  <c r="H3124" i="6"/>
  <c r="G3124" i="6"/>
  <c r="F3124" i="6"/>
  <c r="D3124" i="6"/>
  <c r="U3124" i="6" s="1"/>
  <c r="C3124" i="6"/>
  <c r="B3124" i="6"/>
  <c r="Q3123" i="6"/>
  <c r="P3123" i="6"/>
  <c r="N3123" i="6"/>
  <c r="M3123" i="6"/>
  <c r="L3123" i="6"/>
  <c r="K3123" i="6"/>
  <c r="J3123" i="6"/>
  <c r="I3123" i="6"/>
  <c r="H3123" i="6"/>
  <c r="G3123" i="6"/>
  <c r="F3123" i="6"/>
  <c r="D3123" i="6"/>
  <c r="U3123" i="6" s="1"/>
  <c r="C3123" i="6"/>
  <c r="B3123" i="6"/>
  <c r="Q3122" i="6"/>
  <c r="N3122" i="6"/>
  <c r="M3122" i="6"/>
  <c r="L3122" i="6"/>
  <c r="K3122" i="6"/>
  <c r="J3122" i="6"/>
  <c r="I3122" i="6"/>
  <c r="P3122" i="6" s="1"/>
  <c r="H3122" i="6"/>
  <c r="G3122" i="6"/>
  <c r="F3122" i="6"/>
  <c r="D3122" i="6"/>
  <c r="U3122" i="6" s="1"/>
  <c r="C3122" i="6"/>
  <c r="B3122" i="6"/>
  <c r="Q3121" i="6"/>
  <c r="P3121" i="6"/>
  <c r="N3121" i="6"/>
  <c r="M3121" i="6"/>
  <c r="L3121" i="6"/>
  <c r="K3121" i="6"/>
  <c r="J3121" i="6"/>
  <c r="I3121" i="6"/>
  <c r="H3121" i="6"/>
  <c r="G3121" i="6"/>
  <c r="F3121" i="6"/>
  <c r="D3121" i="6"/>
  <c r="U3121" i="6" s="1"/>
  <c r="C3121" i="6"/>
  <c r="B3121" i="6"/>
  <c r="Q3120" i="6"/>
  <c r="N3120" i="6"/>
  <c r="M3120" i="6"/>
  <c r="L3120" i="6"/>
  <c r="K3120" i="6"/>
  <c r="J3120" i="6"/>
  <c r="I3120" i="6"/>
  <c r="P3120" i="6" s="1"/>
  <c r="H3120" i="6"/>
  <c r="G3120" i="6"/>
  <c r="F3120" i="6"/>
  <c r="D3120" i="6"/>
  <c r="U3120" i="6" s="1"/>
  <c r="C3120" i="6"/>
  <c r="B3120" i="6"/>
  <c r="Q3119" i="6"/>
  <c r="P3119" i="6"/>
  <c r="N3119" i="6"/>
  <c r="M3119" i="6"/>
  <c r="L3119" i="6"/>
  <c r="K3119" i="6"/>
  <c r="J3119" i="6"/>
  <c r="I3119" i="6"/>
  <c r="H3119" i="6"/>
  <c r="G3119" i="6"/>
  <c r="F3119" i="6"/>
  <c r="D3119" i="6"/>
  <c r="U3119" i="6" s="1"/>
  <c r="C3119" i="6"/>
  <c r="B3119" i="6"/>
  <c r="Q3118" i="6"/>
  <c r="N3118" i="6"/>
  <c r="M3118" i="6"/>
  <c r="L3118" i="6"/>
  <c r="K3118" i="6"/>
  <c r="J3118" i="6"/>
  <c r="I3118" i="6"/>
  <c r="P3118" i="6" s="1"/>
  <c r="H3118" i="6"/>
  <c r="G3118" i="6"/>
  <c r="F3118" i="6"/>
  <c r="D3118" i="6"/>
  <c r="U3118" i="6" s="1"/>
  <c r="C3118" i="6"/>
  <c r="B3118" i="6"/>
  <c r="Q3117" i="6"/>
  <c r="P3117" i="6"/>
  <c r="N3117" i="6"/>
  <c r="M3117" i="6"/>
  <c r="L3117" i="6"/>
  <c r="K3117" i="6"/>
  <c r="J3117" i="6"/>
  <c r="I3117" i="6"/>
  <c r="H3117" i="6"/>
  <c r="G3117" i="6"/>
  <c r="F3117" i="6"/>
  <c r="D3117" i="6"/>
  <c r="U3117" i="6" s="1"/>
  <c r="C3117" i="6"/>
  <c r="B3117" i="6"/>
  <c r="Q3116" i="6"/>
  <c r="N3116" i="6"/>
  <c r="M3116" i="6"/>
  <c r="L3116" i="6"/>
  <c r="K3116" i="6"/>
  <c r="J3116" i="6"/>
  <c r="I3116" i="6"/>
  <c r="P3116" i="6" s="1"/>
  <c r="H3116" i="6"/>
  <c r="G3116" i="6"/>
  <c r="F3116" i="6"/>
  <c r="D3116" i="6"/>
  <c r="U3116" i="6" s="1"/>
  <c r="C3116" i="6"/>
  <c r="B3116" i="6"/>
  <c r="Q3115" i="6"/>
  <c r="P3115" i="6"/>
  <c r="N3115" i="6"/>
  <c r="M3115" i="6"/>
  <c r="L3115" i="6"/>
  <c r="K3115" i="6"/>
  <c r="J3115" i="6"/>
  <c r="I3115" i="6"/>
  <c r="H3115" i="6"/>
  <c r="G3115" i="6"/>
  <c r="F3115" i="6"/>
  <c r="D3115" i="6"/>
  <c r="U3115" i="6" s="1"/>
  <c r="C3115" i="6"/>
  <c r="B3115" i="6"/>
  <c r="Q3114" i="6"/>
  <c r="N3114" i="6"/>
  <c r="M3114" i="6"/>
  <c r="L3114" i="6"/>
  <c r="K3114" i="6"/>
  <c r="J3114" i="6"/>
  <c r="I3114" i="6"/>
  <c r="P3114" i="6" s="1"/>
  <c r="H3114" i="6"/>
  <c r="G3114" i="6"/>
  <c r="F3114" i="6"/>
  <c r="D3114" i="6"/>
  <c r="U3114" i="6" s="1"/>
  <c r="C3114" i="6"/>
  <c r="B3114" i="6"/>
  <c r="Q3113" i="6"/>
  <c r="P3113" i="6"/>
  <c r="N3113" i="6"/>
  <c r="M3113" i="6"/>
  <c r="L3113" i="6"/>
  <c r="K3113" i="6"/>
  <c r="J3113" i="6"/>
  <c r="I3113" i="6"/>
  <c r="H3113" i="6"/>
  <c r="G3113" i="6"/>
  <c r="F3113" i="6"/>
  <c r="D3113" i="6"/>
  <c r="U3113" i="6" s="1"/>
  <c r="C3113" i="6"/>
  <c r="B3113" i="6"/>
  <c r="Q3112" i="6"/>
  <c r="N3112" i="6"/>
  <c r="M3112" i="6"/>
  <c r="L3112" i="6"/>
  <c r="K3112" i="6"/>
  <c r="J3112" i="6"/>
  <c r="I3112" i="6"/>
  <c r="P3112" i="6" s="1"/>
  <c r="H3112" i="6"/>
  <c r="G3112" i="6"/>
  <c r="F3112" i="6"/>
  <c r="D3112" i="6"/>
  <c r="U3112" i="6" s="1"/>
  <c r="C3112" i="6"/>
  <c r="B3112" i="6"/>
  <c r="Q3111" i="6"/>
  <c r="P3111" i="6"/>
  <c r="N3111" i="6"/>
  <c r="M3111" i="6"/>
  <c r="L3111" i="6"/>
  <c r="K3111" i="6"/>
  <c r="J3111" i="6"/>
  <c r="I3111" i="6"/>
  <c r="H3111" i="6"/>
  <c r="G3111" i="6"/>
  <c r="F3111" i="6"/>
  <c r="D3111" i="6"/>
  <c r="U3111" i="6" s="1"/>
  <c r="C3111" i="6"/>
  <c r="B3111" i="6"/>
  <c r="Q3110" i="6"/>
  <c r="N3110" i="6"/>
  <c r="M3110" i="6"/>
  <c r="L3110" i="6"/>
  <c r="K3110" i="6"/>
  <c r="J3110" i="6"/>
  <c r="I3110" i="6"/>
  <c r="P3110" i="6" s="1"/>
  <c r="H3110" i="6"/>
  <c r="G3110" i="6"/>
  <c r="F3110" i="6"/>
  <c r="D3110" i="6"/>
  <c r="U3110" i="6" s="1"/>
  <c r="C3110" i="6"/>
  <c r="B3110" i="6"/>
  <c r="Q3109" i="6"/>
  <c r="P3109" i="6"/>
  <c r="N3109" i="6"/>
  <c r="M3109" i="6"/>
  <c r="L3109" i="6"/>
  <c r="K3109" i="6"/>
  <c r="J3109" i="6"/>
  <c r="I3109" i="6"/>
  <c r="H3109" i="6"/>
  <c r="G3109" i="6"/>
  <c r="F3109" i="6"/>
  <c r="D3109" i="6"/>
  <c r="U3109" i="6" s="1"/>
  <c r="C3109" i="6"/>
  <c r="B3109" i="6"/>
  <c r="Q3108" i="6"/>
  <c r="N3108" i="6"/>
  <c r="M3108" i="6"/>
  <c r="L3108" i="6"/>
  <c r="K3108" i="6"/>
  <c r="J3108" i="6"/>
  <c r="I3108" i="6"/>
  <c r="P3108" i="6" s="1"/>
  <c r="H3108" i="6"/>
  <c r="G3108" i="6"/>
  <c r="F3108" i="6"/>
  <c r="D3108" i="6"/>
  <c r="U3108" i="6" s="1"/>
  <c r="C3108" i="6"/>
  <c r="B3108" i="6"/>
  <c r="Q3107" i="6"/>
  <c r="P3107" i="6"/>
  <c r="N3107" i="6"/>
  <c r="M3107" i="6"/>
  <c r="L3107" i="6"/>
  <c r="K3107" i="6"/>
  <c r="J3107" i="6"/>
  <c r="I3107" i="6"/>
  <c r="H3107" i="6"/>
  <c r="G3107" i="6"/>
  <c r="F3107" i="6"/>
  <c r="D3107" i="6"/>
  <c r="U3107" i="6" s="1"/>
  <c r="C3107" i="6"/>
  <c r="B3107" i="6"/>
  <c r="Q3106" i="6"/>
  <c r="N3106" i="6"/>
  <c r="M3106" i="6"/>
  <c r="L3106" i="6"/>
  <c r="K3106" i="6"/>
  <c r="J3106" i="6"/>
  <c r="I3106" i="6"/>
  <c r="P3106" i="6" s="1"/>
  <c r="H3106" i="6"/>
  <c r="G3106" i="6"/>
  <c r="F3106" i="6"/>
  <c r="D3106" i="6"/>
  <c r="U3106" i="6" s="1"/>
  <c r="C3106" i="6"/>
  <c r="B3106" i="6"/>
  <c r="Q3105" i="6"/>
  <c r="P3105" i="6"/>
  <c r="N3105" i="6"/>
  <c r="M3105" i="6"/>
  <c r="L3105" i="6"/>
  <c r="K3105" i="6"/>
  <c r="J3105" i="6"/>
  <c r="I3105" i="6"/>
  <c r="H3105" i="6"/>
  <c r="G3105" i="6"/>
  <c r="F3105" i="6"/>
  <c r="D3105" i="6"/>
  <c r="U3105" i="6" s="1"/>
  <c r="C3105" i="6"/>
  <c r="B3105" i="6"/>
  <c r="Q3104" i="6"/>
  <c r="N3104" i="6"/>
  <c r="M3104" i="6"/>
  <c r="L3104" i="6"/>
  <c r="K3104" i="6"/>
  <c r="J3104" i="6"/>
  <c r="I3104" i="6"/>
  <c r="P3104" i="6" s="1"/>
  <c r="H3104" i="6"/>
  <c r="G3104" i="6"/>
  <c r="F3104" i="6"/>
  <c r="D3104" i="6"/>
  <c r="U3104" i="6" s="1"/>
  <c r="C3104" i="6"/>
  <c r="B3104" i="6"/>
  <c r="Q3103" i="6"/>
  <c r="P3103" i="6"/>
  <c r="N3103" i="6"/>
  <c r="M3103" i="6"/>
  <c r="L3103" i="6"/>
  <c r="K3103" i="6"/>
  <c r="J3103" i="6"/>
  <c r="I3103" i="6"/>
  <c r="H3103" i="6"/>
  <c r="G3103" i="6"/>
  <c r="F3103" i="6"/>
  <c r="D3103" i="6"/>
  <c r="U3103" i="6" s="1"/>
  <c r="C3103" i="6"/>
  <c r="B3103" i="6"/>
  <c r="Q3102" i="6"/>
  <c r="N3102" i="6"/>
  <c r="M3102" i="6"/>
  <c r="L3102" i="6"/>
  <c r="K3102" i="6"/>
  <c r="J3102" i="6"/>
  <c r="I3102" i="6"/>
  <c r="P3102" i="6" s="1"/>
  <c r="H3102" i="6"/>
  <c r="G3102" i="6"/>
  <c r="F3102" i="6"/>
  <c r="D3102" i="6"/>
  <c r="U3102" i="6" s="1"/>
  <c r="C3102" i="6"/>
  <c r="B3102" i="6"/>
  <c r="Q3101" i="6"/>
  <c r="P3101" i="6"/>
  <c r="N3101" i="6"/>
  <c r="M3101" i="6"/>
  <c r="L3101" i="6"/>
  <c r="K3101" i="6"/>
  <c r="J3101" i="6"/>
  <c r="I3101" i="6"/>
  <c r="H3101" i="6"/>
  <c r="G3101" i="6"/>
  <c r="F3101" i="6"/>
  <c r="D3101" i="6"/>
  <c r="U3101" i="6" s="1"/>
  <c r="C3101" i="6"/>
  <c r="B3101" i="6"/>
  <c r="Q3100" i="6"/>
  <c r="N3100" i="6"/>
  <c r="M3100" i="6"/>
  <c r="L3100" i="6"/>
  <c r="K3100" i="6"/>
  <c r="J3100" i="6"/>
  <c r="I3100" i="6"/>
  <c r="P3100" i="6" s="1"/>
  <c r="H3100" i="6"/>
  <c r="G3100" i="6"/>
  <c r="F3100" i="6"/>
  <c r="D3100" i="6"/>
  <c r="U3100" i="6" s="1"/>
  <c r="C3100" i="6"/>
  <c r="B3100" i="6"/>
  <c r="Q3099" i="6"/>
  <c r="P3099" i="6"/>
  <c r="N3099" i="6"/>
  <c r="M3099" i="6"/>
  <c r="L3099" i="6"/>
  <c r="K3099" i="6"/>
  <c r="J3099" i="6"/>
  <c r="I3099" i="6"/>
  <c r="H3099" i="6"/>
  <c r="G3099" i="6"/>
  <c r="F3099" i="6"/>
  <c r="D3099" i="6"/>
  <c r="U3099" i="6" s="1"/>
  <c r="C3099" i="6"/>
  <c r="B3099" i="6"/>
  <c r="Q3098" i="6"/>
  <c r="N3098" i="6"/>
  <c r="M3098" i="6"/>
  <c r="L3098" i="6"/>
  <c r="K3098" i="6"/>
  <c r="J3098" i="6"/>
  <c r="I3098" i="6"/>
  <c r="P3098" i="6" s="1"/>
  <c r="H3098" i="6"/>
  <c r="G3098" i="6"/>
  <c r="F3098" i="6"/>
  <c r="D3098" i="6"/>
  <c r="U3098" i="6" s="1"/>
  <c r="C3098" i="6"/>
  <c r="B3098" i="6"/>
  <c r="Q3097" i="6"/>
  <c r="P3097" i="6"/>
  <c r="N3097" i="6"/>
  <c r="M3097" i="6"/>
  <c r="L3097" i="6"/>
  <c r="K3097" i="6"/>
  <c r="J3097" i="6"/>
  <c r="I3097" i="6"/>
  <c r="H3097" i="6"/>
  <c r="G3097" i="6"/>
  <c r="F3097" i="6"/>
  <c r="D3097" i="6"/>
  <c r="U3097" i="6" s="1"/>
  <c r="C3097" i="6"/>
  <c r="B3097" i="6"/>
  <c r="Q3096" i="6"/>
  <c r="N3096" i="6"/>
  <c r="M3096" i="6"/>
  <c r="L3096" i="6"/>
  <c r="K3096" i="6"/>
  <c r="J3096" i="6"/>
  <c r="I3096" i="6"/>
  <c r="P3096" i="6" s="1"/>
  <c r="H3096" i="6"/>
  <c r="G3096" i="6"/>
  <c r="F3096" i="6"/>
  <c r="D3096" i="6"/>
  <c r="U3096" i="6" s="1"/>
  <c r="C3096" i="6"/>
  <c r="B3096" i="6"/>
  <c r="Q3095" i="6"/>
  <c r="P3095" i="6"/>
  <c r="N3095" i="6"/>
  <c r="M3095" i="6"/>
  <c r="L3095" i="6"/>
  <c r="K3095" i="6"/>
  <c r="J3095" i="6"/>
  <c r="I3095" i="6"/>
  <c r="H3095" i="6"/>
  <c r="G3095" i="6"/>
  <c r="F3095" i="6"/>
  <c r="D3095" i="6"/>
  <c r="U3095" i="6" s="1"/>
  <c r="C3095" i="6"/>
  <c r="B3095" i="6"/>
  <c r="Q3094" i="6"/>
  <c r="N3094" i="6"/>
  <c r="M3094" i="6"/>
  <c r="L3094" i="6"/>
  <c r="K3094" i="6"/>
  <c r="J3094" i="6"/>
  <c r="I3094" i="6"/>
  <c r="P3094" i="6" s="1"/>
  <c r="H3094" i="6"/>
  <c r="G3094" i="6"/>
  <c r="F3094" i="6"/>
  <c r="D3094" i="6"/>
  <c r="U3094" i="6" s="1"/>
  <c r="C3094" i="6"/>
  <c r="B3094" i="6"/>
  <c r="Q3093" i="6"/>
  <c r="P3093" i="6"/>
  <c r="N3093" i="6"/>
  <c r="M3093" i="6"/>
  <c r="L3093" i="6"/>
  <c r="K3093" i="6"/>
  <c r="J3093" i="6"/>
  <c r="I3093" i="6"/>
  <c r="H3093" i="6"/>
  <c r="G3093" i="6"/>
  <c r="F3093" i="6"/>
  <c r="D3093" i="6"/>
  <c r="U3093" i="6" s="1"/>
  <c r="C3093" i="6"/>
  <c r="B3093" i="6"/>
  <c r="Q3092" i="6"/>
  <c r="N3092" i="6"/>
  <c r="M3092" i="6"/>
  <c r="L3092" i="6"/>
  <c r="K3092" i="6"/>
  <c r="J3092" i="6"/>
  <c r="I3092" i="6"/>
  <c r="P3092" i="6" s="1"/>
  <c r="H3092" i="6"/>
  <c r="G3092" i="6"/>
  <c r="F3092" i="6"/>
  <c r="D3092" i="6"/>
  <c r="U3092" i="6" s="1"/>
  <c r="C3092" i="6"/>
  <c r="B3092" i="6"/>
  <c r="Q3091" i="6"/>
  <c r="P3091" i="6"/>
  <c r="N3091" i="6"/>
  <c r="M3091" i="6"/>
  <c r="L3091" i="6"/>
  <c r="K3091" i="6"/>
  <c r="J3091" i="6"/>
  <c r="I3091" i="6"/>
  <c r="H3091" i="6"/>
  <c r="G3091" i="6"/>
  <c r="F3091" i="6"/>
  <c r="D3091" i="6"/>
  <c r="U3091" i="6" s="1"/>
  <c r="C3091" i="6"/>
  <c r="B3091" i="6"/>
  <c r="Q3090" i="6"/>
  <c r="N3090" i="6"/>
  <c r="M3090" i="6"/>
  <c r="L3090" i="6"/>
  <c r="K3090" i="6"/>
  <c r="J3090" i="6"/>
  <c r="I3090" i="6"/>
  <c r="P3090" i="6" s="1"/>
  <c r="H3090" i="6"/>
  <c r="G3090" i="6"/>
  <c r="F3090" i="6"/>
  <c r="D3090" i="6"/>
  <c r="U3090" i="6" s="1"/>
  <c r="C3090" i="6"/>
  <c r="B3090" i="6"/>
  <c r="Q3089" i="6"/>
  <c r="P3089" i="6"/>
  <c r="N3089" i="6"/>
  <c r="M3089" i="6"/>
  <c r="L3089" i="6"/>
  <c r="K3089" i="6"/>
  <c r="J3089" i="6"/>
  <c r="I3089" i="6"/>
  <c r="H3089" i="6"/>
  <c r="G3089" i="6"/>
  <c r="F3089" i="6"/>
  <c r="D3089" i="6"/>
  <c r="U3089" i="6" s="1"/>
  <c r="C3089" i="6"/>
  <c r="B3089" i="6"/>
  <c r="Q3088" i="6"/>
  <c r="N3088" i="6"/>
  <c r="M3088" i="6"/>
  <c r="L3088" i="6"/>
  <c r="K3088" i="6"/>
  <c r="J3088" i="6"/>
  <c r="I3088" i="6"/>
  <c r="P3088" i="6" s="1"/>
  <c r="H3088" i="6"/>
  <c r="G3088" i="6"/>
  <c r="F3088" i="6"/>
  <c r="D3088" i="6"/>
  <c r="U3088" i="6" s="1"/>
  <c r="C3088" i="6"/>
  <c r="B3088" i="6"/>
  <c r="Q3087" i="6"/>
  <c r="P3087" i="6"/>
  <c r="N3087" i="6"/>
  <c r="M3087" i="6"/>
  <c r="L3087" i="6"/>
  <c r="K3087" i="6"/>
  <c r="J3087" i="6"/>
  <c r="I3087" i="6"/>
  <c r="H3087" i="6"/>
  <c r="G3087" i="6"/>
  <c r="F3087" i="6"/>
  <c r="D3087" i="6"/>
  <c r="U3087" i="6" s="1"/>
  <c r="C3087" i="6"/>
  <c r="B3087" i="6"/>
  <c r="Q3086" i="6"/>
  <c r="N3086" i="6"/>
  <c r="M3086" i="6"/>
  <c r="L3086" i="6"/>
  <c r="K3086" i="6"/>
  <c r="J3086" i="6"/>
  <c r="I3086" i="6"/>
  <c r="P3086" i="6" s="1"/>
  <c r="H3086" i="6"/>
  <c r="G3086" i="6"/>
  <c r="F3086" i="6"/>
  <c r="D3086" i="6"/>
  <c r="U3086" i="6" s="1"/>
  <c r="C3086" i="6"/>
  <c r="B3086" i="6"/>
  <c r="Q3085" i="6"/>
  <c r="P3085" i="6"/>
  <c r="N3085" i="6"/>
  <c r="M3085" i="6"/>
  <c r="L3085" i="6"/>
  <c r="K3085" i="6"/>
  <c r="J3085" i="6"/>
  <c r="I3085" i="6"/>
  <c r="H3085" i="6"/>
  <c r="G3085" i="6"/>
  <c r="F3085" i="6"/>
  <c r="D3085" i="6"/>
  <c r="U3085" i="6" s="1"/>
  <c r="C3085" i="6"/>
  <c r="B3085" i="6"/>
  <c r="Q3084" i="6"/>
  <c r="N3084" i="6"/>
  <c r="M3084" i="6"/>
  <c r="L3084" i="6"/>
  <c r="K3084" i="6"/>
  <c r="J3084" i="6"/>
  <c r="I3084" i="6"/>
  <c r="P3084" i="6" s="1"/>
  <c r="H3084" i="6"/>
  <c r="G3084" i="6"/>
  <c r="F3084" i="6"/>
  <c r="D3084" i="6"/>
  <c r="U3084" i="6" s="1"/>
  <c r="C3084" i="6"/>
  <c r="B3084" i="6"/>
  <c r="Q3083" i="6"/>
  <c r="P3083" i="6"/>
  <c r="N3083" i="6"/>
  <c r="M3083" i="6"/>
  <c r="L3083" i="6"/>
  <c r="K3083" i="6"/>
  <c r="J3083" i="6"/>
  <c r="I3083" i="6"/>
  <c r="H3083" i="6"/>
  <c r="G3083" i="6"/>
  <c r="F3083" i="6"/>
  <c r="D3083" i="6"/>
  <c r="U3083" i="6" s="1"/>
  <c r="C3083" i="6"/>
  <c r="B3083" i="6"/>
  <c r="Q3082" i="6"/>
  <c r="N3082" i="6"/>
  <c r="M3082" i="6"/>
  <c r="L3082" i="6"/>
  <c r="K3082" i="6"/>
  <c r="J3082" i="6"/>
  <c r="I3082" i="6"/>
  <c r="P3082" i="6" s="1"/>
  <c r="H3082" i="6"/>
  <c r="G3082" i="6"/>
  <c r="F3082" i="6"/>
  <c r="D3082" i="6"/>
  <c r="U3082" i="6" s="1"/>
  <c r="C3082" i="6"/>
  <c r="B3082" i="6"/>
  <c r="Q3081" i="6"/>
  <c r="P3081" i="6"/>
  <c r="N3081" i="6"/>
  <c r="M3081" i="6"/>
  <c r="L3081" i="6"/>
  <c r="K3081" i="6"/>
  <c r="J3081" i="6"/>
  <c r="I3081" i="6"/>
  <c r="H3081" i="6"/>
  <c r="G3081" i="6"/>
  <c r="F3081" i="6"/>
  <c r="D3081" i="6"/>
  <c r="U3081" i="6" s="1"/>
  <c r="C3081" i="6"/>
  <c r="B3081" i="6"/>
  <c r="Q3080" i="6"/>
  <c r="N3080" i="6"/>
  <c r="M3080" i="6"/>
  <c r="L3080" i="6"/>
  <c r="K3080" i="6"/>
  <c r="J3080" i="6"/>
  <c r="I3080" i="6"/>
  <c r="P3080" i="6" s="1"/>
  <c r="H3080" i="6"/>
  <c r="G3080" i="6"/>
  <c r="F3080" i="6"/>
  <c r="D3080" i="6"/>
  <c r="U3080" i="6" s="1"/>
  <c r="C3080" i="6"/>
  <c r="B3080" i="6"/>
  <c r="Q3079" i="6"/>
  <c r="P3079" i="6"/>
  <c r="N3079" i="6"/>
  <c r="M3079" i="6"/>
  <c r="L3079" i="6"/>
  <c r="K3079" i="6"/>
  <c r="J3079" i="6"/>
  <c r="I3079" i="6"/>
  <c r="H3079" i="6"/>
  <c r="G3079" i="6"/>
  <c r="F3079" i="6"/>
  <c r="D3079" i="6"/>
  <c r="U3079" i="6" s="1"/>
  <c r="C3079" i="6"/>
  <c r="B3079" i="6"/>
  <c r="Q3078" i="6"/>
  <c r="N3078" i="6"/>
  <c r="M3078" i="6"/>
  <c r="L3078" i="6"/>
  <c r="K3078" i="6"/>
  <c r="J3078" i="6"/>
  <c r="I3078" i="6"/>
  <c r="P3078" i="6" s="1"/>
  <c r="H3078" i="6"/>
  <c r="G3078" i="6"/>
  <c r="F3078" i="6"/>
  <c r="D3078" i="6"/>
  <c r="U3078" i="6" s="1"/>
  <c r="C3078" i="6"/>
  <c r="B3078" i="6"/>
  <c r="Q3077" i="6"/>
  <c r="P3077" i="6"/>
  <c r="N3077" i="6"/>
  <c r="M3077" i="6"/>
  <c r="L3077" i="6"/>
  <c r="K3077" i="6"/>
  <c r="J3077" i="6"/>
  <c r="I3077" i="6"/>
  <c r="H3077" i="6"/>
  <c r="G3077" i="6"/>
  <c r="F3077" i="6"/>
  <c r="D3077" i="6"/>
  <c r="U3077" i="6" s="1"/>
  <c r="C3077" i="6"/>
  <c r="B3077" i="6"/>
  <c r="Q3076" i="6"/>
  <c r="N3076" i="6"/>
  <c r="M3076" i="6"/>
  <c r="L3076" i="6"/>
  <c r="K3076" i="6"/>
  <c r="J3076" i="6"/>
  <c r="I3076" i="6"/>
  <c r="P3076" i="6" s="1"/>
  <c r="H3076" i="6"/>
  <c r="G3076" i="6"/>
  <c r="F3076" i="6"/>
  <c r="D3076" i="6"/>
  <c r="U3076" i="6" s="1"/>
  <c r="C3076" i="6"/>
  <c r="B3076" i="6"/>
  <c r="Q3075" i="6"/>
  <c r="P3075" i="6"/>
  <c r="N3075" i="6"/>
  <c r="M3075" i="6"/>
  <c r="L3075" i="6"/>
  <c r="K3075" i="6"/>
  <c r="J3075" i="6"/>
  <c r="I3075" i="6"/>
  <c r="H3075" i="6"/>
  <c r="G3075" i="6"/>
  <c r="F3075" i="6"/>
  <c r="D3075" i="6"/>
  <c r="U3075" i="6" s="1"/>
  <c r="C3075" i="6"/>
  <c r="B3075" i="6"/>
  <c r="Q3074" i="6"/>
  <c r="N3074" i="6"/>
  <c r="M3074" i="6"/>
  <c r="L3074" i="6"/>
  <c r="K3074" i="6"/>
  <c r="J3074" i="6"/>
  <c r="I3074" i="6"/>
  <c r="P3074" i="6" s="1"/>
  <c r="H3074" i="6"/>
  <c r="G3074" i="6"/>
  <c r="F3074" i="6"/>
  <c r="D3074" i="6"/>
  <c r="U3074" i="6" s="1"/>
  <c r="C3074" i="6"/>
  <c r="B3074" i="6"/>
  <c r="Q3073" i="6"/>
  <c r="P3073" i="6"/>
  <c r="N3073" i="6"/>
  <c r="M3073" i="6"/>
  <c r="L3073" i="6"/>
  <c r="K3073" i="6"/>
  <c r="J3073" i="6"/>
  <c r="I3073" i="6"/>
  <c r="H3073" i="6"/>
  <c r="G3073" i="6"/>
  <c r="F3073" i="6"/>
  <c r="D3073" i="6"/>
  <c r="U3073" i="6" s="1"/>
  <c r="C3073" i="6"/>
  <c r="B3073" i="6"/>
  <c r="Q3072" i="6"/>
  <c r="N3072" i="6"/>
  <c r="M3072" i="6"/>
  <c r="L3072" i="6"/>
  <c r="K3072" i="6"/>
  <c r="J3072" i="6"/>
  <c r="I3072" i="6"/>
  <c r="P3072" i="6" s="1"/>
  <c r="H3072" i="6"/>
  <c r="G3072" i="6"/>
  <c r="F3072" i="6"/>
  <c r="D3072" i="6"/>
  <c r="U3072" i="6" s="1"/>
  <c r="C3072" i="6"/>
  <c r="B3072" i="6"/>
  <c r="Q3071" i="6"/>
  <c r="P3071" i="6"/>
  <c r="N3071" i="6"/>
  <c r="M3071" i="6"/>
  <c r="L3071" i="6"/>
  <c r="K3071" i="6"/>
  <c r="J3071" i="6"/>
  <c r="I3071" i="6"/>
  <c r="H3071" i="6"/>
  <c r="G3071" i="6"/>
  <c r="F3071" i="6"/>
  <c r="D3071" i="6"/>
  <c r="U3071" i="6" s="1"/>
  <c r="C3071" i="6"/>
  <c r="B3071" i="6"/>
  <c r="Q3070" i="6"/>
  <c r="N3070" i="6"/>
  <c r="M3070" i="6"/>
  <c r="L3070" i="6"/>
  <c r="K3070" i="6"/>
  <c r="J3070" i="6"/>
  <c r="I3070" i="6"/>
  <c r="P3070" i="6" s="1"/>
  <c r="H3070" i="6"/>
  <c r="G3070" i="6"/>
  <c r="F3070" i="6"/>
  <c r="D3070" i="6"/>
  <c r="U3070" i="6" s="1"/>
  <c r="C3070" i="6"/>
  <c r="B3070" i="6"/>
  <c r="Q3069" i="6"/>
  <c r="P3069" i="6"/>
  <c r="N3069" i="6"/>
  <c r="M3069" i="6"/>
  <c r="L3069" i="6"/>
  <c r="K3069" i="6"/>
  <c r="J3069" i="6"/>
  <c r="I3069" i="6"/>
  <c r="H3069" i="6"/>
  <c r="G3069" i="6"/>
  <c r="F3069" i="6"/>
  <c r="D3069" i="6"/>
  <c r="U3069" i="6" s="1"/>
  <c r="C3069" i="6"/>
  <c r="B3069" i="6"/>
  <c r="Q3068" i="6"/>
  <c r="N3068" i="6"/>
  <c r="M3068" i="6"/>
  <c r="L3068" i="6"/>
  <c r="K3068" i="6"/>
  <c r="J3068" i="6"/>
  <c r="I3068" i="6"/>
  <c r="P3068" i="6" s="1"/>
  <c r="H3068" i="6"/>
  <c r="G3068" i="6"/>
  <c r="F3068" i="6"/>
  <c r="D3068" i="6"/>
  <c r="U3068" i="6" s="1"/>
  <c r="C3068" i="6"/>
  <c r="B3068" i="6"/>
  <c r="Q3067" i="6"/>
  <c r="P3067" i="6"/>
  <c r="N3067" i="6"/>
  <c r="M3067" i="6"/>
  <c r="L3067" i="6"/>
  <c r="K3067" i="6"/>
  <c r="J3067" i="6"/>
  <c r="I3067" i="6"/>
  <c r="H3067" i="6"/>
  <c r="G3067" i="6"/>
  <c r="F3067" i="6"/>
  <c r="D3067" i="6"/>
  <c r="U3067" i="6" s="1"/>
  <c r="C3067" i="6"/>
  <c r="B3067" i="6"/>
  <c r="Q3066" i="6"/>
  <c r="N3066" i="6"/>
  <c r="M3066" i="6"/>
  <c r="L3066" i="6"/>
  <c r="K3066" i="6"/>
  <c r="J3066" i="6"/>
  <c r="I3066" i="6"/>
  <c r="P3066" i="6" s="1"/>
  <c r="H3066" i="6"/>
  <c r="G3066" i="6"/>
  <c r="F3066" i="6"/>
  <c r="D3066" i="6"/>
  <c r="U3066" i="6" s="1"/>
  <c r="C3066" i="6"/>
  <c r="B3066" i="6"/>
  <c r="Q3065" i="6"/>
  <c r="P3065" i="6"/>
  <c r="N3065" i="6"/>
  <c r="M3065" i="6"/>
  <c r="L3065" i="6"/>
  <c r="K3065" i="6"/>
  <c r="J3065" i="6"/>
  <c r="I3065" i="6"/>
  <c r="H3065" i="6"/>
  <c r="G3065" i="6"/>
  <c r="F3065" i="6"/>
  <c r="D3065" i="6"/>
  <c r="U3065" i="6" s="1"/>
  <c r="C3065" i="6"/>
  <c r="B3065" i="6"/>
  <c r="Q3064" i="6"/>
  <c r="N3064" i="6"/>
  <c r="M3064" i="6"/>
  <c r="L3064" i="6"/>
  <c r="K3064" i="6"/>
  <c r="J3064" i="6"/>
  <c r="I3064" i="6"/>
  <c r="P3064" i="6" s="1"/>
  <c r="H3064" i="6"/>
  <c r="G3064" i="6"/>
  <c r="F3064" i="6"/>
  <c r="D3064" i="6"/>
  <c r="U3064" i="6" s="1"/>
  <c r="C3064" i="6"/>
  <c r="B3064" i="6"/>
  <c r="Q3063" i="6"/>
  <c r="P3063" i="6"/>
  <c r="N3063" i="6"/>
  <c r="M3063" i="6"/>
  <c r="L3063" i="6"/>
  <c r="K3063" i="6"/>
  <c r="J3063" i="6"/>
  <c r="I3063" i="6"/>
  <c r="H3063" i="6"/>
  <c r="G3063" i="6"/>
  <c r="F3063" i="6"/>
  <c r="D3063" i="6"/>
  <c r="U3063" i="6" s="1"/>
  <c r="C3063" i="6"/>
  <c r="B3063" i="6"/>
  <c r="Q3062" i="6"/>
  <c r="N3062" i="6"/>
  <c r="M3062" i="6"/>
  <c r="L3062" i="6"/>
  <c r="K3062" i="6"/>
  <c r="J3062" i="6"/>
  <c r="I3062" i="6"/>
  <c r="P3062" i="6" s="1"/>
  <c r="H3062" i="6"/>
  <c r="G3062" i="6"/>
  <c r="F3062" i="6"/>
  <c r="D3062" i="6"/>
  <c r="U3062" i="6" s="1"/>
  <c r="C3062" i="6"/>
  <c r="B3062" i="6"/>
  <c r="Q3061" i="6"/>
  <c r="P3061" i="6"/>
  <c r="N3061" i="6"/>
  <c r="M3061" i="6"/>
  <c r="L3061" i="6"/>
  <c r="K3061" i="6"/>
  <c r="J3061" i="6"/>
  <c r="I3061" i="6"/>
  <c r="H3061" i="6"/>
  <c r="G3061" i="6"/>
  <c r="F3061" i="6"/>
  <c r="D3061" i="6"/>
  <c r="U3061" i="6" s="1"/>
  <c r="C3061" i="6"/>
  <c r="B3061" i="6"/>
  <c r="Q3060" i="6"/>
  <c r="N3060" i="6"/>
  <c r="M3060" i="6"/>
  <c r="L3060" i="6"/>
  <c r="K3060" i="6"/>
  <c r="J3060" i="6"/>
  <c r="I3060" i="6"/>
  <c r="P3060" i="6" s="1"/>
  <c r="H3060" i="6"/>
  <c r="G3060" i="6"/>
  <c r="F3060" i="6"/>
  <c r="D3060" i="6"/>
  <c r="U3060" i="6" s="1"/>
  <c r="C3060" i="6"/>
  <c r="B3060" i="6"/>
  <c r="Q3059" i="6"/>
  <c r="P3059" i="6"/>
  <c r="N3059" i="6"/>
  <c r="M3059" i="6"/>
  <c r="L3059" i="6"/>
  <c r="K3059" i="6"/>
  <c r="J3059" i="6"/>
  <c r="I3059" i="6"/>
  <c r="H3059" i="6"/>
  <c r="G3059" i="6"/>
  <c r="F3059" i="6"/>
  <c r="D3059" i="6"/>
  <c r="U3059" i="6" s="1"/>
  <c r="C3059" i="6"/>
  <c r="B3059" i="6"/>
  <c r="Q3058" i="6"/>
  <c r="N3058" i="6"/>
  <c r="M3058" i="6"/>
  <c r="L3058" i="6"/>
  <c r="K3058" i="6"/>
  <c r="J3058" i="6"/>
  <c r="I3058" i="6"/>
  <c r="P3058" i="6" s="1"/>
  <c r="H3058" i="6"/>
  <c r="G3058" i="6"/>
  <c r="F3058" i="6"/>
  <c r="D3058" i="6"/>
  <c r="U3058" i="6" s="1"/>
  <c r="C3058" i="6"/>
  <c r="B3058" i="6"/>
  <c r="Q3057" i="6"/>
  <c r="P3057" i="6"/>
  <c r="N3057" i="6"/>
  <c r="M3057" i="6"/>
  <c r="L3057" i="6"/>
  <c r="K3057" i="6"/>
  <c r="J3057" i="6"/>
  <c r="I3057" i="6"/>
  <c r="H3057" i="6"/>
  <c r="G3057" i="6"/>
  <c r="F3057" i="6"/>
  <c r="D3057" i="6"/>
  <c r="U3057" i="6" s="1"/>
  <c r="C3057" i="6"/>
  <c r="B3057" i="6"/>
  <c r="Q3056" i="6"/>
  <c r="N3056" i="6"/>
  <c r="M3056" i="6"/>
  <c r="L3056" i="6"/>
  <c r="K3056" i="6"/>
  <c r="J3056" i="6"/>
  <c r="I3056" i="6"/>
  <c r="P3056" i="6" s="1"/>
  <c r="H3056" i="6"/>
  <c r="G3056" i="6"/>
  <c r="F3056" i="6"/>
  <c r="D3056" i="6"/>
  <c r="U3056" i="6" s="1"/>
  <c r="C3056" i="6"/>
  <c r="B3056" i="6"/>
  <c r="Q3055" i="6"/>
  <c r="P3055" i="6"/>
  <c r="N3055" i="6"/>
  <c r="M3055" i="6"/>
  <c r="L3055" i="6"/>
  <c r="K3055" i="6"/>
  <c r="J3055" i="6"/>
  <c r="I3055" i="6"/>
  <c r="H3055" i="6"/>
  <c r="G3055" i="6"/>
  <c r="F3055" i="6"/>
  <c r="D3055" i="6"/>
  <c r="U3055" i="6" s="1"/>
  <c r="C3055" i="6"/>
  <c r="B3055" i="6"/>
  <c r="Q3054" i="6"/>
  <c r="N3054" i="6"/>
  <c r="M3054" i="6"/>
  <c r="L3054" i="6"/>
  <c r="K3054" i="6"/>
  <c r="J3054" i="6"/>
  <c r="I3054" i="6"/>
  <c r="P3054" i="6" s="1"/>
  <c r="H3054" i="6"/>
  <c r="G3054" i="6"/>
  <c r="F3054" i="6"/>
  <c r="D3054" i="6"/>
  <c r="U3054" i="6" s="1"/>
  <c r="C3054" i="6"/>
  <c r="B3054" i="6"/>
  <c r="Q3053" i="6"/>
  <c r="P3053" i="6"/>
  <c r="N3053" i="6"/>
  <c r="M3053" i="6"/>
  <c r="L3053" i="6"/>
  <c r="K3053" i="6"/>
  <c r="J3053" i="6"/>
  <c r="I3053" i="6"/>
  <c r="H3053" i="6"/>
  <c r="G3053" i="6"/>
  <c r="F3053" i="6"/>
  <c r="D3053" i="6"/>
  <c r="U3053" i="6" s="1"/>
  <c r="C3053" i="6"/>
  <c r="B3053" i="6"/>
  <c r="Q3052" i="6"/>
  <c r="N3052" i="6"/>
  <c r="M3052" i="6"/>
  <c r="L3052" i="6"/>
  <c r="K3052" i="6"/>
  <c r="J3052" i="6"/>
  <c r="I3052" i="6"/>
  <c r="P3052" i="6" s="1"/>
  <c r="H3052" i="6"/>
  <c r="G3052" i="6"/>
  <c r="F3052" i="6"/>
  <c r="D3052" i="6"/>
  <c r="U3052" i="6" s="1"/>
  <c r="C3052" i="6"/>
  <c r="B3052" i="6"/>
  <c r="Q3051" i="6"/>
  <c r="P3051" i="6"/>
  <c r="N3051" i="6"/>
  <c r="M3051" i="6"/>
  <c r="L3051" i="6"/>
  <c r="K3051" i="6"/>
  <c r="J3051" i="6"/>
  <c r="I3051" i="6"/>
  <c r="H3051" i="6"/>
  <c r="G3051" i="6"/>
  <c r="F3051" i="6"/>
  <c r="D3051" i="6"/>
  <c r="U3051" i="6" s="1"/>
  <c r="C3051" i="6"/>
  <c r="B3051" i="6"/>
  <c r="E3051" i="6" s="1"/>
  <c r="Q3050" i="6"/>
  <c r="N3050" i="6"/>
  <c r="M3050" i="6"/>
  <c r="L3050" i="6"/>
  <c r="K3050" i="6"/>
  <c r="J3050" i="6"/>
  <c r="I3050" i="6"/>
  <c r="P3050" i="6" s="1"/>
  <c r="H3050" i="6"/>
  <c r="G3050" i="6"/>
  <c r="F3050" i="6"/>
  <c r="D3050" i="6"/>
  <c r="U3050" i="6" s="1"/>
  <c r="C3050" i="6"/>
  <c r="B3050" i="6"/>
  <c r="Q3049" i="6"/>
  <c r="P3049" i="6"/>
  <c r="N3049" i="6"/>
  <c r="M3049" i="6"/>
  <c r="L3049" i="6"/>
  <c r="K3049" i="6"/>
  <c r="J3049" i="6"/>
  <c r="I3049" i="6"/>
  <c r="H3049" i="6"/>
  <c r="G3049" i="6"/>
  <c r="F3049" i="6"/>
  <c r="D3049" i="6"/>
  <c r="U3049" i="6" s="1"/>
  <c r="C3049" i="6"/>
  <c r="B3049" i="6"/>
  <c r="E3049" i="6" s="1"/>
  <c r="Q3048" i="6"/>
  <c r="N3048" i="6"/>
  <c r="M3048" i="6"/>
  <c r="L3048" i="6"/>
  <c r="K3048" i="6"/>
  <c r="J3048" i="6"/>
  <c r="I3048" i="6"/>
  <c r="P3048" i="6" s="1"/>
  <c r="H3048" i="6"/>
  <c r="G3048" i="6"/>
  <c r="F3048" i="6"/>
  <c r="D3048" i="6"/>
  <c r="U3048" i="6" s="1"/>
  <c r="C3048" i="6"/>
  <c r="B3048" i="6"/>
  <c r="Q3047" i="6"/>
  <c r="P3047" i="6"/>
  <c r="N3047" i="6"/>
  <c r="M3047" i="6"/>
  <c r="L3047" i="6"/>
  <c r="K3047" i="6"/>
  <c r="J3047" i="6"/>
  <c r="I3047" i="6"/>
  <c r="H3047" i="6"/>
  <c r="G3047" i="6"/>
  <c r="F3047" i="6"/>
  <c r="D3047" i="6"/>
  <c r="U3047" i="6" s="1"/>
  <c r="C3047" i="6"/>
  <c r="B3047" i="6"/>
  <c r="Q3046" i="6"/>
  <c r="N3046" i="6"/>
  <c r="M3046" i="6"/>
  <c r="L3046" i="6"/>
  <c r="K3046" i="6"/>
  <c r="J3046" i="6"/>
  <c r="I3046" i="6"/>
  <c r="P3046" i="6" s="1"/>
  <c r="H3046" i="6"/>
  <c r="G3046" i="6"/>
  <c r="F3046" i="6"/>
  <c r="D3046" i="6"/>
  <c r="U3046" i="6" s="1"/>
  <c r="C3046" i="6"/>
  <c r="B3046" i="6"/>
  <c r="Q3045" i="6"/>
  <c r="P3045" i="6"/>
  <c r="N3045" i="6"/>
  <c r="M3045" i="6"/>
  <c r="L3045" i="6"/>
  <c r="K3045" i="6"/>
  <c r="J3045" i="6"/>
  <c r="I3045" i="6"/>
  <c r="H3045" i="6"/>
  <c r="G3045" i="6"/>
  <c r="F3045" i="6"/>
  <c r="D3045" i="6"/>
  <c r="U3045" i="6" s="1"/>
  <c r="C3045" i="6"/>
  <c r="B3045" i="6"/>
  <c r="Q3044" i="6"/>
  <c r="N3044" i="6"/>
  <c r="M3044" i="6"/>
  <c r="L3044" i="6"/>
  <c r="K3044" i="6"/>
  <c r="J3044" i="6"/>
  <c r="I3044" i="6"/>
  <c r="P3044" i="6" s="1"/>
  <c r="H3044" i="6"/>
  <c r="G3044" i="6"/>
  <c r="F3044" i="6"/>
  <c r="D3044" i="6"/>
  <c r="U3044" i="6" s="1"/>
  <c r="C3044" i="6"/>
  <c r="B3044" i="6"/>
  <c r="Q3043" i="6"/>
  <c r="P3043" i="6"/>
  <c r="N3043" i="6"/>
  <c r="M3043" i="6"/>
  <c r="L3043" i="6"/>
  <c r="K3043" i="6"/>
  <c r="J3043" i="6"/>
  <c r="I3043" i="6"/>
  <c r="H3043" i="6"/>
  <c r="G3043" i="6"/>
  <c r="F3043" i="6"/>
  <c r="D3043" i="6"/>
  <c r="U3043" i="6" s="1"/>
  <c r="C3043" i="6"/>
  <c r="B3043" i="6"/>
  <c r="E3043" i="6" s="1"/>
  <c r="Q3042" i="6"/>
  <c r="N3042" i="6"/>
  <c r="M3042" i="6"/>
  <c r="L3042" i="6"/>
  <c r="K3042" i="6"/>
  <c r="J3042" i="6"/>
  <c r="I3042" i="6"/>
  <c r="P3042" i="6" s="1"/>
  <c r="H3042" i="6"/>
  <c r="G3042" i="6"/>
  <c r="F3042" i="6"/>
  <c r="D3042" i="6"/>
  <c r="U3042" i="6" s="1"/>
  <c r="C3042" i="6"/>
  <c r="B3042" i="6"/>
  <c r="Q3041" i="6"/>
  <c r="P3041" i="6"/>
  <c r="N3041" i="6"/>
  <c r="M3041" i="6"/>
  <c r="L3041" i="6"/>
  <c r="K3041" i="6"/>
  <c r="J3041" i="6"/>
  <c r="I3041" i="6"/>
  <c r="H3041" i="6"/>
  <c r="G3041" i="6"/>
  <c r="F3041" i="6"/>
  <c r="D3041" i="6"/>
  <c r="U3041" i="6" s="1"/>
  <c r="C3041" i="6"/>
  <c r="B3041" i="6"/>
  <c r="E3041" i="6" s="1"/>
  <c r="Q3040" i="6"/>
  <c r="N3040" i="6"/>
  <c r="M3040" i="6"/>
  <c r="L3040" i="6"/>
  <c r="K3040" i="6"/>
  <c r="J3040" i="6"/>
  <c r="I3040" i="6"/>
  <c r="P3040" i="6" s="1"/>
  <c r="H3040" i="6"/>
  <c r="G3040" i="6"/>
  <c r="F3040" i="6"/>
  <c r="D3040" i="6"/>
  <c r="U3040" i="6" s="1"/>
  <c r="C3040" i="6"/>
  <c r="B3040" i="6"/>
  <c r="Q3039" i="6"/>
  <c r="P3039" i="6"/>
  <c r="N3039" i="6"/>
  <c r="M3039" i="6"/>
  <c r="L3039" i="6"/>
  <c r="K3039" i="6"/>
  <c r="J3039" i="6"/>
  <c r="I3039" i="6"/>
  <c r="H3039" i="6"/>
  <c r="G3039" i="6"/>
  <c r="F3039" i="6"/>
  <c r="D3039" i="6"/>
  <c r="U3039" i="6" s="1"/>
  <c r="C3039" i="6"/>
  <c r="B3039" i="6"/>
  <c r="Q3038" i="6"/>
  <c r="N3038" i="6"/>
  <c r="M3038" i="6"/>
  <c r="L3038" i="6"/>
  <c r="K3038" i="6"/>
  <c r="J3038" i="6"/>
  <c r="I3038" i="6"/>
  <c r="P3038" i="6" s="1"/>
  <c r="H3038" i="6"/>
  <c r="G3038" i="6"/>
  <c r="F3038" i="6"/>
  <c r="D3038" i="6"/>
  <c r="U3038" i="6" s="1"/>
  <c r="C3038" i="6"/>
  <c r="B3038" i="6"/>
  <c r="E3038" i="6" s="1"/>
  <c r="Q3037" i="6"/>
  <c r="N3037" i="6"/>
  <c r="M3037" i="6"/>
  <c r="L3037" i="6"/>
  <c r="K3037" i="6"/>
  <c r="J3037" i="6"/>
  <c r="I3037" i="6"/>
  <c r="P3037" i="6" s="1"/>
  <c r="H3037" i="6"/>
  <c r="G3037" i="6"/>
  <c r="F3037" i="6"/>
  <c r="D3037" i="6"/>
  <c r="U3037" i="6" s="1"/>
  <c r="C3037" i="6"/>
  <c r="B3037" i="6"/>
  <c r="Q3036" i="6"/>
  <c r="P3036" i="6"/>
  <c r="N3036" i="6"/>
  <c r="M3036" i="6"/>
  <c r="L3036" i="6"/>
  <c r="K3036" i="6"/>
  <c r="J3036" i="6"/>
  <c r="I3036" i="6"/>
  <c r="H3036" i="6"/>
  <c r="G3036" i="6"/>
  <c r="F3036" i="6"/>
  <c r="D3036" i="6"/>
  <c r="U3036" i="6" s="1"/>
  <c r="C3036" i="6"/>
  <c r="B3036" i="6"/>
  <c r="E3036" i="6" s="1"/>
  <c r="Q3035" i="6"/>
  <c r="N3035" i="6"/>
  <c r="M3035" i="6"/>
  <c r="L3035" i="6"/>
  <c r="K3035" i="6"/>
  <c r="J3035" i="6"/>
  <c r="I3035" i="6"/>
  <c r="P3035" i="6" s="1"/>
  <c r="H3035" i="6"/>
  <c r="G3035" i="6"/>
  <c r="F3035" i="6"/>
  <c r="D3035" i="6"/>
  <c r="U3035" i="6" s="1"/>
  <c r="C3035" i="6"/>
  <c r="B3035" i="6"/>
  <c r="Q3034" i="6"/>
  <c r="P3034" i="6"/>
  <c r="N3034" i="6"/>
  <c r="M3034" i="6"/>
  <c r="L3034" i="6"/>
  <c r="K3034" i="6"/>
  <c r="J3034" i="6"/>
  <c r="I3034" i="6"/>
  <c r="H3034" i="6"/>
  <c r="G3034" i="6"/>
  <c r="F3034" i="6"/>
  <c r="D3034" i="6"/>
  <c r="U3034" i="6" s="1"/>
  <c r="C3034" i="6"/>
  <c r="B3034" i="6"/>
  <c r="E3034" i="6" s="1"/>
  <c r="Q3033" i="6"/>
  <c r="N3033" i="6"/>
  <c r="M3033" i="6"/>
  <c r="L3033" i="6"/>
  <c r="K3033" i="6"/>
  <c r="J3033" i="6"/>
  <c r="I3033" i="6"/>
  <c r="P3033" i="6" s="1"/>
  <c r="H3033" i="6"/>
  <c r="G3033" i="6"/>
  <c r="F3033" i="6"/>
  <c r="D3033" i="6"/>
  <c r="U3033" i="6" s="1"/>
  <c r="C3033" i="6"/>
  <c r="B3033" i="6"/>
  <c r="Q3032" i="6"/>
  <c r="P3032" i="6"/>
  <c r="N3032" i="6"/>
  <c r="M3032" i="6"/>
  <c r="L3032" i="6"/>
  <c r="K3032" i="6"/>
  <c r="J3032" i="6"/>
  <c r="I3032" i="6"/>
  <c r="H3032" i="6"/>
  <c r="G3032" i="6"/>
  <c r="F3032" i="6"/>
  <c r="D3032" i="6"/>
  <c r="U3032" i="6" s="1"/>
  <c r="C3032" i="6"/>
  <c r="B3032" i="6"/>
  <c r="E3032" i="6" s="1"/>
  <c r="Q3031" i="6"/>
  <c r="N3031" i="6"/>
  <c r="M3031" i="6"/>
  <c r="L3031" i="6"/>
  <c r="K3031" i="6"/>
  <c r="J3031" i="6"/>
  <c r="I3031" i="6"/>
  <c r="P3031" i="6" s="1"/>
  <c r="H3031" i="6"/>
  <c r="G3031" i="6"/>
  <c r="F3031" i="6"/>
  <c r="D3031" i="6"/>
  <c r="U3031" i="6" s="1"/>
  <c r="C3031" i="6"/>
  <c r="B3031" i="6"/>
  <c r="Q3030" i="6"/>
  <c r="P3030" i="6"/>
  <c r="N3030" i="6"/>
  <c r="M3030" i="6"/>
  <c r="L3030" i="6"/>
  <c r="K3030" i="6"/>
  <c r="J3030" i="6"/>
  <c r="I3030" i="6"/>
  <c r="H3030" i="6"/>
  <c r="G3030" i="6"/>
  <c r="F3030" i="6"/>
  <c r="D3030" i="6"/>
  <c r="U3030" i="6" s="1"/>
  <c r="C3030" i="6"/>
  <c r="B3030" i="6"/>
  <c r="E3030" i="6" s="1"/>
  <c r="Q3029" i="6"/>
  <c r="N3029" i="6"/>
  <c r="M3029" i="6"/>
  <c r="L3029" i="6"/>
  <c r="K3029" i="6"/>
  <c r="J3029" i="6"/>
  <c r="I3029" i="6"/>
  <c r="P3029" i="6" s="1"/>
  <c r="H3029" i="6"/>
  <c r="G3029" i="6"/>
  <c r="F3029" i="6"/>
  <c r="D3029" i="6"/>
  <c r="U3029" i="6" s="1"/>
  <c r="C3029" i="6"/>
  <c r="B3029" i="6"/>
  <c r="Q3028" i="6"/>
  <c r="P3028" i="6"/>
  <c r="N3028" i="6"/>
  <c r="M3028" i="6"/>
  <c r="L3028" i="6"/>
  <c r="K3028" i="6"/>
  <c r="J3028" i="6"/>
  <c r="I3028" i="6"/>
  <c r="H3028" i="6"/>
  <c r="G3028" i="6"/>
  <c r="F3028" i="6"/>
  <c r="D3028" i="6"/>
  <c r="U3028" i="6" s="1"/>
  <c r="C3028" i="6"/>
  <c r="B3028" i="6"/>
  <c r="E3028" i="6" s="1"/>
  <c r="Q3027" i="6"/>
  <c r="N3027" i="6"/>
  <c r="M3027" i="6"/>
  <c r="L3027" i="6"/>
  <c r="K3027" i="6"/>
  <c r="J3027" i="6"/>
  <c r="I3027" i="6"/>
  <c r="P3027" i="6" s="1"/>
  <c r="H3027" i="6"/>
  <c r="G3027" i="6"/>
  <c r="F3027" i="6"/>
  <c r="D3027" i="6"/>
  <c r="U3027" i="6" s="1"/>
  <c r="C3027" i="6"/>
  <c r="B3027" i="6"/>
  <c r="Q3026" i="6"/>
  <c r="P3026" i="6"/>
  <c r="N3026" i="6"/>
  <c r="M3026" i="6"/>
  <c r="L3026" i="6"/>
  <c r="K3026" i="6"/>
  <c r="J3026" i="6"/>
  <c r="I3026" i="6"/>
  <c r="H3026" i="6"/>
  <c r="G3026" i="6"/>
  <c r="F3026" i="6"/>
  <c r="D3026" i="6"/>
  <c r="U3026" i="6" s="1"/>
  <c r="C3026" i="6"/>
  <c r="B3026" i="6"/>
  <c r="E3026" i="6" s="1"/>
  <c r="Q3025" i="6"/>
  <c r="N3025" i="6"/>
  <c r="M3025" i="6"/>
  <c r="L3025" i="6"/>
  <c r="K3025" i="6"/>
  <c r="J3025" i="6"/>
  <c r="I3025" i="6"/>
  <c r="P3025" i="6" s="1"/>
  <c r="H3025" i="6"/>
  <c r="G3025" i="6"/>
  <c r="F3025" i="6"/>
  <c r="D3025" i="6"/>
  <c r="U3025" i="6" s="1"/>
  <c r="C3025" i="6"/>
  <c r="B3025" i="6"/>
  <c r="Q3024" i="6"/>
  <c r="P3024" i="6"/>
  <c r="N3024" i="6"/>
  <c r="M3024" i="6"/>
  <c r="L3024" i="6"/>
  <c r="K3024" i="6"/>
  <c r="J3024" i="6"/>
  <c r="I3024" i="6"/>
  <c r="H3024" i="6"/>
  <c r="G3024" i="6"/>
  <c r="F3024" i="6"/>
  <c r="D3024" i="6"/>
  <c r="U3024" i="6" s="1"/>
  <c r="C3024" i="6"/>
  <c r="B3024" i="6"/>
  <c r="E3024" i="6" s="1"/>
  <c r="Q3023" i="6"/>
  <c r="N3023" i="6"/>
  <c r="M3023" i="6"/>
  <c r="L3023" i="6"/>
  <c r="K3023" i="6"/>
  <c r="J3023" i="6"/>
  <c r="I3023" i="6"/>
  <c r="P3023" i="6" s="1"/>
  <c r="H3023" i="6"/>
  <c r="G3023" i="6"/>
  <c r="F3023" i="6"/>
  <c r="D3023" i="6"/>
  <c r="U3023" i="6" s="1"/>
  <c r="C3023" i="6"/>
  <c r="B3023" i="6"/>
  <c r="Q3022" i="6"/>
  <c r="P3022" i="6"/>
  <c r="N3022" i="6"/>
  <c r="M3022" i="6"/>
  <c r="L3022" i="6"/>
  <c r="K3022" i="6"/>
  <c r="J3022" i="6"/>
  <c r="I3022" i="6"/>
  <c r="H3022" i="6"/>
  <c r="G3022" i="6"/>
  <c r="F3022" i="6"/>
  <c r="D3022" i="6"/>
  <c r="U3022" i="6" s="1"/>
  <c r="C3022" i="6"/>
  <c r="B3022" i="6"/>
  <c r="E3022" i="6" s="1"/>
  <c r="Q3021" i="6"/>
  <c r="N3021" i="6"/>
  <c r="M3021" i="6"/>
  <c r="L3021" i="6"/>
  <c r="K3021" i="6"/>
  <c r="J3021" i="6"/>
  <c r="I3021" i="6"/>
  <c r="P3021" i="6" s="1"/>
  <c r="H3021" i="6"/>
  <c r="G3021" i="6"/>
  <c r="F3021" i="6"/>
  <c r="D3021" i="6"/>
  <c r="U3021" i="6" s="1"/>
  <c r="C3021" i="6"/>
  <c r="B3021" i="6"/>
  <c r="Q3020" i="6"/>
  <c r="P3020" i="6"/>
  <c r="N3020" i="6"/>
  <c r="M3020" i="6"/>
  <c r="L3020" i="6"/>
  <c r="K3020" i="6"/>
  <c r="J3020" i="6"/>
  <c r="I3020" i="6"/>
  <c r="H3020" i="6"/>
  <c r="G3020" i="6"/>
  <c r="F3020" i="6"/>
  <c r="D3020" i="6"/>
  <c r="U3020" i="6" s="1"/>
  <c r="C3020" i="6"/>
  <c r="B3020" i="6"/>
  <c r="E3020" i="6" s="1"/>
  <c r="Q3019" i="6"/>
  <c r="N3019" i="6"/>
  <c r="M3019" i="6"/>
  <c r="L3019" i="6"/>
  <c r="K3019" i="6"/>
  <c r="J3019" i="6"/>
  <c r="I3019" i="6"/>
  <c r="P3019" i="6" s="1"/>
  <c r="H3019" i="6"/>
  <c r="G3019" i="6"/>
  <c r="F3019" i="6"/>
  <c r="D3019" i="6"/>
  <c r="U3019" i="6" s="1"/>
  <c r="C3019" i="6"/>
  <c r="B3019" i="6"/>
  <c r="Q3018" i="6"/>
  <c r="P3018" i="6"/>
  <c r="N3018" i="6"/>
  <c r="M3018" i="6"/>
  <c r="L3018" i="6"/>
  <c r="K3018" i="6"/>
  <c r="J3018" i="6"/>
  <c r="I3018" i="6"/>
  <c r="H3018" i="6"/>
  <c r="G3018" i="6"/>
  <c r="F3018" i="6"/>
  <c r="D3018" i="6"/>
  <c r="U3018" i="6" s="1"/>
  <c r="C3018" i="6"/>
  <c r="B3018" i="6"/>
  <c r="Q3017" i="6"/>
  <c r="N3017" i="6"/>
  <c r="M3017" i="6"/>
  <c r="L3017" i="6"/>
  <c r="K3017" i="6"/>
  <c r="J3017" i="6"/>
  <c r="I3017" i="6"/>
  <c r="P3017" i="6" s="1"/>
  <c r="H3017" i="6"/>
  <c r="G3017" i="6"/>
  <c r="F3017" i="6"/>
  <c r="D3017" i="6"/>
  <c r="U3017" i="6" s="1"/>
  <c r="C3017" i="6"/>
  <c r="B3017" i="6"/>
  <c r="Q3016" i="6"/>
  <c r="P3016" i="6"/>
  <c r="N3016" i="6"/>
  <c r="M3016" i="6"/>
  <c r="L3016" i="6"/>
  <c r="K3016" i="6"/>
  <c r="J3016" i="6"/>
  <c r="I3016" i="6"/>
  <c r="H3016" i="6"/>
  <c r="G3016" i="6"/>
  <c r="F3016" i="6"/>
  <c r="D3016" i="6"/>
  <c r="U3016" i="6" s="1"/>
  <c r="C3016" i="6"/>
  <c r="B3016" i="6"/>
  <c r="Q3015" i="6"/>
  <c r="N3015" i="6"/>
  <c r="M3015" i="6"/>
  <c r="L3015" i="6"/>
  <c r="K3015" i="6"/>
  <c r="J3015" i="6"/>
  <c r="I3015" i="6"/>
  <c r="P3015" i="6" s="1"/>
  <c r="H3015" i="6"/>
  <c r="G3015" i="6"/>
  <c r="F3015" i="6"/>
  <c r="D3015" i="6"/>
  <c r="U3015" i="6" s="1"/>
  <c r="C3015" i="6"/>
  <c r="B3015" i="6"/>
  <c r="Q3014" i="6"/>
  <c r="P3014" i="6"/>
  <c r="N3014" i="6"/>
  <c r="M3014" i="6"/>
  <c r="L3014" i="6"/>
  <c r="K3014" i="6"/>
  <c r="J3014" i="6"/>
  <c r="I3014" i="6"/>
  <c r="H3014" i="6"/>
  <c r="G3014" i="6"/>
  <c r="F3014" i="6"/>
  <c r="D3014" i="6"/>
  <c r="U3014" i="6" s="1"/>
  <c r="C3014" i="6"/>
  <c r="B3014" i="6"/>
  <c r="Q3013" i="6"/>
  <c r="N3013" i="6"/>
  <c r="M3013" i="6"/>
  <c r="L3013" i="6"/>
  <c r="K3013" i="6"/>
  <c r="J3013" i="6"/>
  <c r="I3013" i="6"/>
  <c r="P3013" i="6" s="1"/>
  <c r="H3013" i="6"/>
  <c r="G3013" i="6"/>
  <c r="F3013" i="6"/>
  <c r="D3013" i="6"/>
  <c r="U3013" i="6" s="1"/>
  <c r="C3013" i="6"/>
  <c r="B3013" i="6"/>
  <c r="Q3012" i="6"/>
  <c r="P3012" i="6"/>
  <c r="N3012" i="6"/>
  <c r="M3012" i="6"/>
  <c r="L3012" i="6"/>
  <c r="K3012" i="6"/>
  <c r="J3012" i="6"/>
  <c r="I3012" i="6"/>
  <c r="H3012" i="6"/>
  <c r="G3012" i="6"/>
  <c r="F3012" i="6"/>
  <c r="D3012" i="6"/>
  <c r="U3012" i="6" s="1"/>
  <c r="C3012" i="6"/>
  <c r="B3012" i="6"/>
  <c r="Q3011" i="6"/>
  <c r="N3011" i="6"/>
  <c r="M3011" i="6"/>
  <c r="L3011" i="6"/>
  <c r="K3011" i="6"/>
  <c r="J3011" i="6"/>
  <c r="I3011" i="6"/>
  <c r="P3011" i="6" s="1"/>
  <c r="H3011" i="6"/>
  <c r="G3011" i="6"/>
  <c r="F3011" i="6"/>
  <c r="D3011" i="6"/>
  <c r="U3011" i="6" s="1"/>
  <c r="C3011" i="6"/>
  <c r="B3011" i="6"/>
  <c r="Q3010" i="6"/>
  <c r="P3010" i="6"/>
  <c r="N3010" i="6"/>
  <c r="M3010" i="6"/>
  <c r="L3010" i="6"/>
  <c r="K3010" i="6"/>
  <c r="J3010" i="6"/>
  <c r="I3010" i="6"/>
  <c r="H3010" i="6"/>
  <c r="G3010" i="6"/>
  <c r="F3010" i="6"/>
  <c r="D3010" i="6"/>
  <c r="U3010" i="6" s="1"/>
  <c r="C3010" i="6"/>
  <c r="B3010" i="6"/>
  <c r="Q3009" i="6"/>
  <c r="N3009" i="6"/>
  <c r="M3009" i="6"/>
  <c r="L3009" i="6"/>
  <c r="K3009" i="6"/>
  <c r="J3009" i="6"/>
  <c r="I3009" i="6"/>
  <c r="P3009" i="6" s="1"/>
  <c r="H3009" i="6"/>
  <c r="G3009" i="6"/>
  <c r="F3009" i="6"/>
  <c r="D3009" i="6"/>
  <c r="U3009" i="6" s="1"/>
  <c r="C3009" i="6"/>
  <c r="B3009" i="6"/>
  <c r="Q3008" i="6"/>
  <c r="P3008" i="6"/>
  <c r="N3008" i="6"/>
  <c r="M3008" i="6"/>
  <c r="L3008" i="6"/>
  <c r="K3008" i="6"/>
  <c r="J3008" i="6"/>
  <c r="I3008" i="6"/>
  <c r="H3008" i="6"/>
  <c r="G3008" i="6"/>
  <c r="F3008" i="6"/>
  <c r="D3008" i="6"/>
  <c r="U3008" i="6" s="1"/>
  <c r="C3008" i="6"/>
  <c r="B3008" i="6"/>
  <c r="Q3007" i="6"/>
  <c r="N3007" i="6"/>
  <c r="M3007" i="6"/>
  <c r="L3007" i="6"/>
  <c r="K3007" i="6"/>
  <c r="J3007" i="6"/>
  <c r="I3007" i="6"/>
  <c r="P3007" i="6" s="1"/>
  <c r="H3007" i="6"/>
  <c r="G3007" i="6"/>
  <c r="F3007" i="6"/>
  <c r="D3007" i="6"/>
  <c r="U3007" i="6" s="1"/>
  <c r="C3007" i="6"/>
  <c r="B3007" i="6"/>
  <c r="Q3006" i="6"/>
  <c r="P3006" i="6"/>
  <c r="N3006" i="6"/>
  <c r="M3006" i="6"/>
  <c r="L3006" i="6"/>
  <c r="K3006" i="6"/>
  <c r="J3006" i="6"/>
  <c r="I3006" i="6"/>
  <c r="H3006" i="6"/>
  <c r="G3006" i="6"/>
  <c r="F3006" i="6"/>
  <c r="D3006" i="6"/>
  <c r="U3006" i="6" s="1"/>
  <c r="C3006" i="6"/>
  <c r="B3006" i="6"/>
  <c r="Q3005" i="6"/>
  <c r="N3005" i="6"/>
  <c r="M3005" i="6"/>
  <c r="L3005" i="6"/>
  <c r="K3005" i="6"/>
  <c r="J3005" i="6"/>
  <c r="I3005" i="6"/>
  <c r="P3005" i="6" s="1"/>
  <c r="H3005" i="6"/>
  <c r="G3005" i="6"/>
  <c r="F3005" i="6"/>
  <c r="D3005" i="6"/>
  <c r="U3005" i="6" s="1"/>
  <c r="C3005" i="6"/>
  <c r="B3005" i="6"/>
  <c r="Q3004" i="6"/>
  <c r="P3004" i="6"/>
  <c r="N3004" i="6"/>
  <c r="M3004" i="6"/>
  <c r="L3004" i="6"/>
  <c r="K3004" i="6"/>
  <c r="J3004" i="6"/>
  <c r="I3004" i="6"/>
  <c r="H3004" i="6"/>
  <c r="G3004" i="6"/>
  <c r="F3004" i="6"/>
  <c r="D3004" i="6"/>
  <c r="U3004" i="6" s="1"/>
  <c r="C3004" i="6"/>
  <c r="B3004" i="6"/>
  <c r="Q3003" i="6"/>
  <c r="N3003" i="6"/>
  <c r="M3003" i="6"/>
  <c r="L3003" i="6"/>
  <c r="K3003" i="6"/>
  <c r="J3003" i="6"/>
  <c r="I3003" i="6"/>
  <c r="P3003" i="6" s="1"/>
  <c r="H3003" i="6"/>
  <c r="G3003" i="6"/>
  <c r="F3003" i="6"/>
  <c r="D3003" i="6"/>
  <c r="U3003" i="6" s="1"/>
  <c r="C3003" i="6"/>
  <c r="B3003" i="6"/>
  <c r="Q3002" i="6"/>
  <c r="N3002" i="6"/>
  <c r="M3002" i="6"/>
  <c r="L3002" i="6"/>
  <c r="K3002" i="6"/>
  <c r="J3002" i="6"/>
  <c r="I3002" i="6"/>
  <c r="P3002" i="6" s="1"/>
  <c r="H3002" i="6"/>
  <c r="G3002" i="6"/>
  <c r="F3002" i="6"/>
  <c r="D3002" i="6"/>
  <c r="U3002" i="6" s="1"/>
  <c r="C3002" i="6"/>
  <c r="B3002" i="6"/>
  <c r="Q3001" i="6"/>
  <c r="P3001" i="6"/>
  <c r="N3001" i="6"/>
  <c r="M3001" i="6"/>
  <c r="L3001" i="6"/>
  <c r="K3001" i="6"/>
  <c r="J3001" i="6"/>
  <c r="I3001" i="6"/>
  <c r="H3001" i="6"/>
  <c r="G3001" i="6"/>
  <c r="F3001" i="6"/>
  <c r="D3001" i="6"/>
  <c r="U3001" i="6" s="1"/>
  <c r="C3001" i="6"/>
  <c r="B3001" i="6"/>
  <c r="E3001" i="6" s="1"/>
  <c r="Q3000" i="6"/>
  <c r="N3000" i="6"/>
  <c r="M3000" i="6"/>
  <c r="L3000" i="6"/>
  <c r="K3000" i="6"/>
  <c r="J3000" i="6"/>
  <c r="I3000" i="6"/>
  <c r="P3000" i="6" s="1"/>
  <c r="H3000" i="6"/>
  <c r="G3000" i="6"/>
  <c r="F3000" i="6"/>
  <c r="D3000" i="6"/>
  <c r="U3000" i="6" s="1"/>
  <c r="C3000" i="6"/>
  <c r="B3000" i="6"/>
  <c r="Q2999" i="6"/>
  <c r="N2999" i="6"/>
  <c r="M2999" i="6"/>
  <c r="L2999" i="6"/>
  <c r="K2999" i="6"/>
  <c r="J2999" i="6"/>
  <c r="I2999" i="6"/>
  <c r="P2999" i="6" s="1"/>
  <c r="H2999" i="6"/>
  <c r="G2999" i="6"/>
  <c r="F2999" i="6"/>
  <c r="D2999" i="6"/>
  <c r="U2999" i="6" s="1"/>
  <c r="C2999" i="6"/>
  <c r="B2999" i="6"/>
  <c r="E2999" i="6" s="1"/>
  <c r="Q2998" i="6"/>
  <c r="P2998" i="6"/>
  <c r="N2998" i="6"/>
  <c r="M2998" i="6"/>
  <c r="L2998" i="6"/>
  <c r="K2998" i="6"/>
  <c r="J2998" i="6"/>
  <c r="I2998" i="6"/>
  <c r="H2998" i="6"/>
  <c r="G2998" i="6"/>
  <c r="F2998" i="6"/>
  <c r="D2998" i="6"/>
  <c r="U2998" i="6" s="1"/>
  <c r="C2998" i="6"/>
  <c r="B2998" i="6"/>
  <c r="E2998" i="6" s="1"/>
  <c r="Q2997" i="6"/>
  <c r="N2997" i="6"/>
  <c r="M2997" i="6"/>
  <c r="L2997" i="6"/>
  <c r="K2997" i="6"/>
  <c r="J2997" i="6"/>
  <c r="I2997" i="6"/>
  <c r="P2997" i="6" s="1"/>
  <c r="H2997" i="6"/>
  <c r="G2997" i="6"/>
  <c r="F2997" i="6"/>
  <c r="D2997" i="6"/>
  <c r="U2997" i="6" s="1"/>
  <c r="C2997" i="6"/>
  <c r="B2997" i="6"/>
  <c r="E2997" i="6" s="1"/>
  <c r="Q2996" i="6"/>
  <c r="P2996" i="6"/>
  <c r="N2996" i="6"/>
  <c r="M2996" i="6"/>
  <c r="L2996" i="6"/>
  <c r="K2996" i="6"/>
  <c r="J2996" i="6"/>
  <c r="I2996" i="6"/>
  <c r="H2996" i="6"/>
  <c r="G2996" i="6"/>
  <c r="F2996" i="6"/>
  <c r="D2996" i="6"/>
  <c r="U2996" i="6" s="1"/>
  <c r="C2996" i="6"/>
  <c r="B2996" i="6"/>
  <c r="E2996" i="6" s="1"/>
  <c r="Q2995" i="6"/>
  <c r="N2995" i="6"/>
  <c r="M2995" i="6"/>
  <c r="L2995" i="6"/>
  <c r="K2995" i="6"/>
  <c r="J2995" i="6"/>
  <c r="I2995" i="6"/>
  <c r="P2995" i="6" s="1"/>
  <c r="H2995" i="6"/>
  <c r="G2995" i="6"/>
  <c r="F2995" i="6"/>
  <c r="D2995" i="6"/>
  <c r="U2995" i="6" s="1"/>
  <c r="C2995" i="6"/>
  <c r="B2995" i="6"/>
  <c r="E2995" i="6" s="1"/>
  <c r="Q2994" i="6"/>
  <c r="P2994" i="6"/>
  <c r="N2994" i="6"/>
  <c r="M2994" i="6"/>
  <c r="L2994" i="6"/>
  <c r="K2994" i="6"/>
  <c r="J2994" i="6"/>
  <c r="I2994" i="6"/>
  <c r="H2994" i="6"/>
  <c r="G2994" i="6"/>
  <c r="F2994" i="6"/>
  <c r="D2994" i="6"/>
  <c r="U2994" i="6" s="1"/>
  <c r="C2994" i="6"/>
  <c r="B2994" i="6"/>
  <c r="E2994" i="6" s="1"/>
  <c r="Q2993" i="6"/>
  <c r="N2993" i="6"/>
  <c r="M2993" i="6"/>
  <c r="L2993" i="6"/>
  <c r="K2993" i="6"/>
  <c r="J2993" i="6"/>
  <c r="I2993" i="6"/>
  <c r="P2993" i="6" s="1"/>
  <c r="H2993" i="6"/>
  <c r="G2993" i="6"/>
  <c r="F2993" i="6"/>
  <c r="D2993" i="6"/>
  <c r="U2993" i="6" s="1"/>
  <c r="C2993" i="6"/>
  <c r="B2993" i="6"/>
  <c r="E2993" i="6" s="1"/>
  <c r="Q2992" i="6"/>
  <c r="P2992" i="6"/>
  <c r="N2992" i="6"/>
  <c r="M2992" i="6"/>
  <c r="L2992" i="6"/>
  <c r="K2992" i="6"/>
  <c r="J2992" i="6"/>
  <c r="I2992" i="6"/>
  <c r="H2992" i="6"/>
  <c r="G2992" i="6"/>
  <c r="F2992" i="6"/>
  <c r="D2992" i="6"/>
  <c r="U2992" i="6" s="1"/>
  <c r="C2992" i="6"/>
  <c r="B2992" i="6"/>
  <c r="E2992" i="6" s="1"/>
  <c r="Q2991" i="6"/>
  <c r="N2991" i="6"/>
  <c r="M2991" i="6"/>
  <c r="L2991" i="6"/>
  <c r="K2991" i="6"/>
  <c r="J2991" i="6"/>
  <c r="I2991" i="6"/>
  <c r="P2991" i="6" s="1"/>
  <c r="H2991" i="6"/>
  <c r="G2991" i="6"/>
  <c r="F2991" i="6"/>
  <c r="D2991" i="6"/>
  <c r="U2991" i="6" s="1"/>
  <c r="C2991" i="6"/>
  <c r="B2991" i="6"/>
  <c r="E2991" i="6" s="1"/>
  <c r="Q2990" i="6"/>
  <c r="P2990" i="6"/>
  <c r="N2990" i="6"/>
  <c r="M2990" i="6"/>
  <c r="L2990" i="6"/>
  <c r="K2990" i="6"/>
  <c r="J2990" i="6"/>
  <c r="I2990" i="6"/>
  <c r="H2990" i="6"/>
  <c r="G2990" i="6"/>
  <c r="F2990" i="6"/>
  <c r="D2990" i="6"/>
  <c r="U2990" i="6" s="1"/>
  <c r="C2990" i="6"/>
  <c r="B2990" i="6"/>
  <c r="E2990" i="6" s="1"/>
  <c r="Q2989" i="6"/>
  <c r="N2989" i="6"/>
  <c r="M2989" i="6"/>
  <c r="L2989" i="6"/>
  <c r="K2989" i="6"/>
  <c r="J2989" i="6"/>
  <c r="I2989" i="6"/>
  <c r="P2989" i="6" s="1"/>
  <c r="H2989" i="6"/>
  <c r="G2989" i="6"/>
  <c r="F2989" i="6"/>
  <c r="D2989" i="6"/>
  <c r="U2989" i="6" s="1"/>
  <c r="C2989" i="6"/>
  <c r="B2989" i="6"/>
  <c r="E2989" i="6" s="1"/>
  <c r="Q2988" i="6"/>
  <c r="P2988" i="6"/>
  <c r="N2988" i="6"/>
  <c r="M2988" i="6"/>
  <c r="L2988" i="6"/>
  <c r="K2988" i="6"/>
  <c r="J2988" i="6"/>
  <c r="I2988" i="6"/>
  <c r="H2988" i="6"/>
  <c r="G2988" i="6"/>
  <c r="F2988" i="6"/>
  <c r="D2988" i="6"/>
  <c r="U2988" i="6" s="1"/>
  <c r="C2988" i="6"/>
  <c r="B2988" i="6"/>
  <c r="E2988" i="6" s="1"/>
  <c r="Q2987" i="6"/>
  <c r="N2987" i="6"/>
  <c r="M2987" i="6"/>
  <c r="L2987" i="6"/>
  <c r="K2987" i="6"/>
  <c r="J2987" i="6"/>
  <c r="I2987" i="6"/>
  <c r="P2987" i="6" s="1"/>
  <c r="H2987" i="6"/>
  <c r="G2987" i="6"/>
  <c r="F2987" i="6"/>
  <c r="D2987" i="6"/>
  <c r="U2987" i="6" s="1"/>
  <c r="C2987" i="6"/>
  <c r="B2987" i="6"/>
  <c r="E2987" i="6" s="1"/>
  <c r="Q2986" i="6"/>
  <c r="P2986" i="6"/>
  <c r="N2986" i="6"/>
  <c r="M2986" i="6"/>
  <c r="L2986" i="6"/>
  <c r="K2986" i="6"/>
  <c r="J2986" i="6"/>
  <c r="I2986" i="6"/>
  <c r="H2986" i="6"/>
  <c r="G2986" i="6"/>
  <c r="F2986" i="6"/>
  <c r="D2986" i="6"/>
  <c r="U2986" i="6" s="1"/>
  <c r="C2986" i="6"/>
  <c r="B2986" i="6"/>
  <c r="E2986" i="6" s="1"/>
  <c r="Q2985" i="6"/>
  <c r="N2985" i="6"/>
  <c r="M2985" i="6"/>
  <c r="L2985" i="6"/>
  <c r="K2985" i="6"/>
  <c r="J2985" i="6"/>
  <c r="I2985" i="6"/>
  <c r="P2985" i="6" s="1"/>
  <c r="H2985" i="6"/>
  <c r="G2985" i="6"/>
  <c r="F2985" i="6"/>
  <c r="D2985" i="6"/>
  <c r="U2985" i="6" s="1"/>
  <c r="C2985" i="6"/>
  <c r="B2985" i="6"/>
  <c r="E2985" i="6" s="1"/>
  <c r="Q2984" i="6"/>
  <c r="P2984" i="6"/>
  <c r="N2984" i="6"/>
  <c r="M2984" i="6"/>
  <c r="L2984" i="6"/>
  <c r="K2984" i="6"/>
  <c r="J2984" i="6"/>
  <c r="I2984" i="6"/>
  <c r="H2984" i="6"/>
  <c r="G2984" i="6"/>
  <c r="F2984" i="6"/>
  <c r="D2984" i="6"/>
  <c r="U2984" i="6" s="1"/>
  <c r="C2984" i="6"/>
  <c r="B2984" i="6"/>
  <c r="E2984" i="6" s="1"/>
  <c r="Q2983" i="6"/>
  <c r="N2983" i="6"/>
  <c r="M2983" i="6"/>
  <c r="L2983" i="6"/>
  <c r="K2983" i="6"/>
  <c r="J2983" i="6"/>
  <c r="I2983" i="6"/>
  <c r="P2983" i="6" s="1"/>
  <c r="H2983" i="6"/>
  <c r="G2983" i="6"/>
  <c r="F2983" i="6"/>
  <c r="D2983" i="6"/>
  <c r="U2983" i="6" s="1"/>
  <c r="C2983" i="6"/>
  <c r="B2983" i="6"/>
  <c r="E2983" i="6" s="1"/>
  <c r="Q2982" i="6"/>
  <c r="P2982" i="6"/>
  <c r="N2982" i="6"/>
  <c r="M2982" i="6"/>
  <c r="L2982" i="6"/>
  <c r="K2982" i="6"/>
  <c r="J2982" i="6"/>
  <c r="I2982" i="6"/>
  <c r="H2982" i="6"/>
  <c r="G2982" i="6"/>
  <c r="F2982" i="6"/>
  <c r="D2982" i="6"/>
  <c r="U2982" i="6" s="1"/>
  <c r="C2982" i="6"/>
  <c r="B2982" i="6"/>
  <c r="E2982" i="6" s="1"/>
  <c r="Q2981" i="6"/>
  <c r="N2981" i="6"/>
  <c r="M2981" i="6"/>
  <c r="L2981" i="6"/>
  <c r="K2981" i="6"/>
  <c r="J2981" i="6"/>
  <c r="I2981" i="6"/>
  <c r="P2981" i="6" s="1"/>
  <c r="H2981" i="6"/>
  <c r="G2981" i="6"/>
  <c r="F2981" i="6"/>
  <c r="D2981" i="6"/>
  <c r="U2981" i="6" s="1"/>
  <c r="C2981" i="6"/>
  <c r="B2981" i="6"/>
  <c r="E2981" i="6" s="1"/>
  <c r="Q2980" i="6"/>
  <c r="P2980" i="6"/>
  <c r="N2980" i="6"/>
  <c r="M2980" i="6"/>
  <c r="L2980" i="6"/>
  <c r="K2980" i="6"/>
  <c r="J2980" i="6"/>
  <c r="I2980" i="6"/>
  <c r="H2980" i="6"/>
  <c r="G2980" i="6"/>
  <c r="F2980" i="6"/>
  <c r="D2980" i="6"/>
  <c r="U2980" i="6" s="1"/>
  <c r="C2980" i="6"/>
  <c r="B2980" i="6"/>
  <c r="E2980" i="6" s="1"/>
  <c r="Q2979" i="6"/>
  <c r="N2979" i="6"/>
  <c r="M2979" i="6"/>
  <c r="L2979" i="6"/>
  <c r="K2979" i="6"/>
  <c r="J2979" i="6"/>
  <c r="I2979" i="6"/>
  <c r="P2979" i="6" s="1"/>
  <c r="H2979" i="6"/>
  <c r="G2979" i="6"/>
  <c r="F2979" i="6"/>
  <c r="D2979" i="6"/>
  <c r="U2979" i="6" s="1"/>
  <c r="C2979" i="6"/>
  <c r="B2979" i="6"/>
  <c r="E2979" i="6" s="1"/>
  <c r="Q2978" i="6"/>
  <c r="P2978" i="6"/>
  <c r="N2978" i="6"/>
  <c r="M2978" i="6"/>
  <c r="L2978" i="6"/>
  <c r="K2978" i="6"/>
  <c r="J2978" i="6"/>
  <c r="I2978" i="6"/>
  <c r="H2978" i="6"/>
  <c r="G2978" i="6"/>
  <c r="F2978" i="6"/>
  <c r="D2978" i="6"/>
  <c r="U2978" i="6" s="1"/>
  <c r="C2978" i="6"/>
  <c r="B2978" i="6"/>
  <c r="E2978" i="6" s="1"/>
  <c r="Q2977" i="6"/>
  <c r="N2977" i="6"/>
  <c r="M2977" i="6"/>
  <c r="L2977" i="6"/>
  <c r="K2977" i="6"/>
  <c r="J2977" i="6"/>
  <c r="I2977" i="6"/>
  <c r="P2977" i="6" s="1"/>
  <c r="H2977" i="6"/>
  <c r="G2977" i="6"/>
  <c r="F2977" i="6"/>
  <c r="D2977" i="6"/>
  <c r="U2977" i="6" s="1"/>
  <c r="C2977" i="6"/>
  <c r="B2977" i="6"/>
  <c r="E2977" i="6" s="1"/>
  <c r="Q2976" i="6"/>
  <c r="P2976" i="6"/>
  <c r="N2976" i="6"/>
  <c r="M2976" i="6"/>
  <c r="L2976" i="6"/>
  <c r="K2976" i="6"/>
  <c r="J2976" i="6"/>
  <c r="I2976" i="6"/>
  <c r="H2976" i="6"/>
  <c r="G2976" i="6"/>
  <c r="F2976" i="6"/>
  <c r="D2976" i="6"/>
  <c r="U2976" i="6" s="1"/>
  <c r="C2976" i="6"/>
  <c r="B2976" i="6"/>
  <c r="E2976" i="6" s="1"/>
  <c r="Q2975" i="6"/>
  <c r="N2975" i="6"/>
  <c r="M2975" i="6"/>
  <c r="L2975" i="6"/>
  <c r="K2975" i="6"/>
  <c r="J2975" i="6"/>
  <c r="I2975" i="6"/>
  <c r="P2975" i="6" s="1"/>
  <c r="H2975" i="6"/>
  <c r="G2975" i="6"/>
  <c r="F2975" i="6"/>
  <c r="D2975" i="6"/>
  <c r="U2975" i="6" s="1"/>
  <c r="C2975" i="6"/>
  <c r="B2975" i="6"/>
  <c r="E2975" i="6" s="1"/>
  <c r="Q2974" i="6"/>
  <c r="P2974" i="6"/>
  <c r="N2974" i="6"/>
  <c r="M2974" i="6"/>
  <c r="L2974" i="6"/>
  <c r="K2974" i="6"/>
  <c r="J2974" i="6"/>
  <c r="I2974" i="6"/>
  <c r="H2974" i="6"/>
  <c r="G2974" i="6"/>
  <c r="F2974" i="6"/>
  <c r="D2974" i="6"/>
  <c r="U2974" i="6" s="1"/>
  <c r="C2974" i="6"/>
  <c r="B2974" i="6"/>
  <c r="E2974" i="6" s="1"/>
  <c r="Q2973" i="6"/>
  <c r="N2973" i="6"/>
  <c r="M2973" i="6"/>
  <c r="L2973" i="6"/>
  <c r="K2973" i="6"/>
  <c r="J2973" i="6"/>
  <c r="I2973" i="6"/>
  <c r="P2973" i="6" s="1"/>
  <c r="H2973" i="6"/>
  <c r="G2973" i="6"/>
  <c r="F2973" i="6"/>
  <c r="D2973" i="6"/>
  <c r="U2973" i="6" s="1"/>
  <c r="C2973" i="6"/>
  <c r="B2973" i="6"/>
  <c r="E2973" i="6" s="1"/>
  <c r="Q2972" i="6"/>
  <c r="P2972" i="6"/>
  <c r="N2972" i="6"/>
  <c r="M2972" i="6"/>
  <c r="L2972" i="6"/>
  <c r="K2972" i="6"/>
  <c r="J2972" i="6"/>
  <c r="I2972" i="6"/>
  <c r="H2972" i="6"/>
  <c r="G2972" i="6"/>
  <c r="F2972" i="6"/>
  <c r="D2972" i="6"/>
  <c r="U2972" i="6" s="1"/>
  <c r="C2972" i="6"/>
  <c r="B2972" i="6"/>
  <c r="E2972" i="6" s="1"/>
  <c r="Q2971" i="6"/>
  <c r="N2971" i="6"/>
  <c r="M2971" i="6"/>
  <c r="L2971" i="6"/>
  <c r="K2971" i="6"/>
  <c r="J2971" i="6"/>
  <c r="I2971" i="6"/>
  <c r="P2971" i="6" s="1"/>
  <c r="H2971" i="6"/>
  <c r="G2971" i="6"/>
  <c r="F2971" i="6"/>
  <c r="D2971" i="6"/>
  <c r="U2971" i="6" s="1"/>
  <c r="C2971" i="6"/>
  <c r="B2971" i="6"/>
  <c r="E2971" i="6" s="1"/>
  <c r="Q2970" i="6"/>
  <c r="P2970" i="6"/>
  <c r="N2970" i="6"/>
  <c r="M2970" i="6"/>
  <c r="L2970" i="6"/>
  <c r="K2970" i="6"/>
  <c r="J2970" i="6"/>
  <c r="I2970" i="6"/>
  <c r="H2970" i="6"/>
  <c r="G2970" i="6"/>
  <c r="F2970" i="6"/>
  <c r="D2970" i="6"/>
  <c r="U2970" i="6" s="1"/>
  <c r="C2970" i="6"/>
  <c r="B2970" i="6"/>
  <c r="E2970" i="6" s="1"/>
  <c r="Q2969" i="6"/>
  <c r="N2969" i="6"/>
  <c r="M2969" i="6"/>
  <c r="L2969" i="6"/>
  <c r="K2969" i="6"/>
  <c r="J2969" i="6"/>
  <c r="I2969" i="6"/>
  <c r="P2969" i="6" s="1"/>
  <c r="H2969" i="6"/>
  <c r="G2969" i="6"/>
  <c r="F2969" i="6"/>
  <c r="D2969" i="6"/>
  <c r="U2969" i="6" s="1"/>
  <c r="C2969" i="6"/>
  <c r="B2969" i="6"/>
  <c r="E2969" i="6" s="1"/>
  <c r="Q2968" i="6"/>
  <c r="P2968" i="6"/>
  <c r="N2968" i="6"/>
  <c r="M2968" i="6"/>
  <c r="L2968" i="6"/>
  <c r="K2968" i="6"/>
  <c r="J2968" i="6"/>
  <c r="I2968" i="6"/>
  <c r="H2968" i="6"/>
  <c r="G2968" i="6"/>
  <c r="F2968" i="6"/>
  <c r="D2968" i="6"/>
  <c r="U2968" i="6" s="1"/>
  <c r="C2968" i="6"/>
  <c r="B2968" i="6"/>
  <c r="E2968" i="6" s="1"/>
  <c r="Q2967" i="6"/>
  <c r="N2967" i="6"/>
  <c r="M2967" i="6"/>
  <c r="L2967" i="6"/>
  <c r="K2967" i="6"/>
  <c r="J2967" i="6"/>
  <c r="I2967" i="6"/>
  <c r="P2967" i="6" s="1"/>
  <c r="H2967" i="6"/>
  <c r="G2967" i="6"/>
  <c r="F2967" i="6"/>
  <c r="D2967" i="6"/>
  <c r="U2967" i="6" s="1"/>
  <c r="C2967" i="6"/>
  <c r="B2967" i="6"/>
  <c r="E2967" i="6" s="1"/>
  <c r="Q2966" i="6"/>
  <c r="P2966" i="6"/>
  <c r="N2966" i="6"/>
  <c r="M2966" i="6"/>
  <c r="L2966" i="6"/>
  <c r="K2966" i="6"/>
  <c r="J2966" i="6"/>
  <c r="I2966" i="6"/>
  <c r="H2966" i="6"/>
  <c r="G2966" i="6"/>
  <c r="F2966" i="6"/>
  <c r="D2966" i="6"/>
  <c r="U2966" i="6" s="1"/>
  <c r="C2966" i="6"/>
  <c r="B2966" i="6"/>
  <c r="E2966" i="6" s="1"/>
  <c r="Q2965" i="6"/>
  <c r="N2965" i="6"/>
  <c r="M2965" i="6"/>
  <c r="L2965" i="6"/>
  <c r="K2965" i="6"/>
  <c r="J2965" i="6"/>
  <c r="I2965" i="6"/>
  <c r="P2965" i="6" s="1"/>
  <c r="H2965" i="6"/>
  <c r="G2965" i="6"/>
  <c r="F2965" i="6"/>
  <c r="D2965" i="6"/>
  <c r="U2965" i="6" s="1"/>
  <c r="C2965" i="6"/>
  <c r="B2965" i="6"/>
  <c r="E2965" i="6" s="1"/>
  <c r="Q2964" i="6"/>
  <c r="P2964" i="6"/>
  <c r="N2964" i="6"/>
  <c r="M2964" i="6"/>
  <c r="L2964" i="6"/>
  <c r="K2964" i="6"/>
  <c r="J2964" i="6"/>
  <c r="I2964" i="6"/>
  <c r="H2964" i="6"/>
  <c r="G2964" i="6"/>
  <c r="F2964" i="6"/>
  <c r="D2964" i="6"/>
  <c r="U2964" i="6" s="1"/>
  <c r="C2964" i="6"/>
  <c r="B2964" i="6"/>
  <c r="E2964" i="6" s="1"/>
  <c r="Q2963" i="6"/>
  <c r="N2963" i="6"/>
  <c r="M2963" i="6"/>
  <c r="L2963" i="6"/>
  <c r="K2963" i="6"/>
  <c r="J2963" i="6"/>
  <c r="I2963" i="6"/>
  <c r="P2963" i="6" s="1"/>
  <c r="H2963" i="6"/>
  <c r="G2963" i="6"/>
  <c r="F2963" i="6"/>
  <c r="D2963" i="6"/>
  <c r="U2963" i="6" s="1"/>
  <c r="C2963" i="6"/>
  <c r="B2963" i="6"/>
  <c r="E2963" i="6" s="1"/>
  <c r="Q2962" i="6"/>
  <c r="P2962" i="6"/>
  <c r="N2962" i="6"/>
  <c r="M2962" i="6"/>
  <c r="L2962" i="6"/>
  <c r="K2962" i="6"/>
  <c r="J2962" i="6"/>
  <c r="I2962" i="6"/>
  <c r="H2962" i="6"/>
  <c r="G2962" i="6"/>
  <c r="F2962" i="6"/>
  <c r="D2962" i="6"/>
  <c r="U2962" i="6" s="1"/>
  <c r="C2962" i="6"/>
  <c r="B2962" i="6"/>
  <c r="E2962" i="6" s="1"/>
  <c r="Q2961" i="6"/>
  <c r="N2961" i="6"/>
  <c r="M2961" i="6"/>
  <c r="L2961" i="6"/>
  <c r="K2961" i="6"/>
  <c r="J2961" i="6"/>
  <c r="I2961" i="6"/>
  <c r="P2961" i="6" s="1"/>
  <c r="H2961" i="6"/>
  <c r="G2961" i="6"/>
  <c r="F2961" i="6"/>
  <c r="D2961" i="6"/>
  <c r="U2961" i="6" s="1"/>
  <c r="C2961" i="6"/>
  <c r="B2961" i="6"/>
  <c r="E2961" i="6" s="1"/>
  <c r="Q2960" i="6"/>
  <c r="P2960" i="6"/>
  <c r="N2960" i="6"/>
  <c r="M2960" i="6"/>
  <c r="L2960" i="6"/>
  <c r="K2960" i="6"/>
  <c r="J2960" i="6"/>
  <c r="I2960" i="6"/>
  <c r="H2960" i="6"/>
  <c r="G2960" i="6"/>
  <c r="F2960" i="6"/>
  <c r="D2960" i="6"/>
  <c r="U2960" i="6" s="1"/>
  <c r="C2960" i="6"/>
  <c r="B2960" i="6"/>
  <c r="E2960" i="6" s="1"/>
  <c r="Q2959" i="6"/>
  <c r="N2959" i="6"/>
  <c r="M2959" i="6"/>
  <c r="L2959" i="6"/>
  <c r="K2959" i="6"/>
  <c r="J2959" i="6"/>
  <c r="I2959" i="6"/>
  <c r="P2959" i="6" s="1"/>
  <c r="H2959" i="6"/>
  <c r="G2959" i="6"/>
  <c r="F2959" i="6"/>
  <c r="D2959" i="6"/>
  <c r="U2959" i="6" s="1"/>
  <c r="C2959" i="6"/>
  <c r="B2959" i="6"/>
  <c r="E2959" i="6" s="1"/>
  <c r="Q2958" i="6"/>
  <c r="P2958" i="6"/>
  <c r="N2958" i="6"/>
  <c r="M2958" i="6"/>
  <c r="L2958" i="6"/>
  <c r="K2958" i="6"/>
  <c r="J2958" i="6"/>
  <c r="I2958" i="6"/>
  <c r="H2958" i="6"/>
  <c r="G2958" i="6"/>
  <c r="F2958" i="6"/>
  <c r="D2958" i="6"/>
  <c r="U2958" i="6" s="1"/>
  <c r="C2958" i="6"/>
  <c r="B2958" i="6"/>
  <c r="E2958" i="6" s="1"/>
  <c r="Q2957" i="6"/>
  <c r="N2957" i="6"/>
  <c r="M2957" i="6"/>
  <c r="L2957" i="6"/>
  <c r="K2957" i="6"/>
  <c r="J2957" i="6"/>
  <c r="I2957" i="6"/>
  <c r="P2957" i="6" s="1"/>
  <c r="H2957" i="6"/>
  <c r="G2957" i="6"/>
  <c r="F2957" i="6"/>
  <c r="D2957" i="6"/>
  <c r="U2957" i="6" s="1"/>
  <c r="C2957" i="6"/>
  <c r="B2957" i="6"/>
  <c r="E2957" i="6" s="1"/>
  <c r="Q2956" i="6"/>
  <c r="P2956" i="6"/>
  <c r="N2956" i="6"/>
  <c r="M2956" i="6"/>
  <c r="L2956" i="6"/>
  <c r="K2956" i="6"/>
  <c r="J2956" i="6"/>
  <c r="I2956" i="6"/>
  <c r="H2956" i="6"/>
  <c r="G2956" i="6"/>
  <c r="F2956" i="6"/>
  <c r="D2956" i="6"/>
  <c r="U2956" i="6" s="1"/>
  <c r="C2956" i="6"/>
  <c r="B2956" i="6"/>
  <c r="E2956" i="6" s="1"/>
  <c r="Q2955" i="6"/>
  <c r="N2955" i="6"/>
  <c r="M2955" i="6"/>
  <c r="L2955" i="6"/>
  <c r="K2955" i="6"/>
  <c r="J2955" i="6"/>
  <c r="I2955" i="6"/>
  <c r="P2955" i="6" s="1"/>
  <c r="H2955" i="6"/>
  <c r="G2955" i="6"/>
  <c r="F2955" i="6"/>
  <c r="D2955" i="6"/>
  <c r="U2955" i="6" s="1"/>
  <c r="C2955" i="6"/>
  <c r="B2955" i="6"/>
  <c r="E2955" i="6" s="1"/>
  <c r="Q2954" i="6"/>
  <c r="P2954" i="6"/>
  <c r="N2954" i="6"/>
  <c r="M2954" i="6"/>
  <c r="L2954" i="6"/>
  <c r="K2954" i="6"/>
  <c r="J2954" i="6"/>
  <c r="I2954" i="6"/>
  <c r="H2954" i="6"/>
  <c r="G2954" i="6"/>
  <c r="F2954" i="6"/>
  <c r="D2954" i="6"/>
  <c r="U2954" i="6" s="1"/>
  <c r="C2954" i="6"/>
  <c r="B2954" i="6"/>
  <c r="E2954" i="6" s="1"/>
  <c r="Q2953" i="6"/>
  <c r="N2953" i="6"/>
  <c r="M2953" i="6"/>
  <c r="L2953" i="6"/>
  <c r="K2953" i="6"/>
  <c r="J2953" i="6"/>
  <c r="I2953" i="6"/>
  <c r="P2953" i="6" s="1"/>
  <c r="H2953" i="6"/>
  <c r="G2953" i="6"/>
  <c r="F2953" i="6"/>
  <c r="D2953" i="6"/>
  <c r="U2953" i="6" s="1"/>
  <c r="C2953" i="6"/>
  <c r="B2953" i="6"/>
  <c r="E2953" i="6" s="1"/>
  <c r="Q2952" i="6"/>
  <c r="P2952" i="6"/>
  <c r="N2952" i="6"/>
  <c r="M2952" i="6"/>
  <c r="L2952" i="6"/>
  <c r="K2952" i="6"/>
  <c r="J2952" i="6"/>
  <c r="I2952" i="6"/>
  <c r="H2952" i="6"/>
  <c r="G2952" i="6"/>
  <c r="F2952" i="6"/>
  <c r="D2952" i="6"/>
  <c r="U2952" i="6" s="1"/>
  <c r="C2952" i="6"/>
  <c r="B2952" i="6"/>
  <c r="E2952" i="6" s="1"/>
  <c r="Q2951" i="6"/>
  <c r="N2951" i="6"/>
  <c r="M2951" i="6"/>
  <c r="L2951" i="6"/>
  <c r="K2951" i="6"/>
  <c r="J2951" i="6"/>
  <c r="I2951" i="6"/>
  <c r="P2951" i="6" s="1"/>
  <c r="H2951" i="6"/>
  <c r="G2951" i="6"/>
  <c r="F2951" i="6"/>
  <c r="D2951" i="6"/>
  <c r="U2951" i="6" s="1"/>
  <c r="C2951" i="6"/>
  <c r="B2951" i="6"/>
  <c r="E2951" i="6" s="1"/>
  <c r="Q2950" i="6"/>
  <c r="P2950" i="6"/>
  <c r="N2950" i="6"/>
  <c r="M2950" i="6"/>
  <c r="L2950" i="6"/>
  <c r="K2950" i="6"/>
  <c r="J2950" i="6"/>
  <c r="I2950" i="6"/>
  <c r="H2950" i="6"/>
  <c r="G2950" i="6"/>
  <c r="F2950" i="6"/>
  <c r="D2950" i="6"/>
  <c r="U2950" i="6" s="1"/>
  <c r="C2950" i="6"/>
  <c r="B2950" i="6"/>
  <c r="E2950" i="6" s="1"/>
  <c r="Q2949" i="6"/>
  <c r="N2949" i="6"/>
  <c r="M2949" i="6"/>
  <c r="L2949" i="6"/>
  <c r="K2949" i="6"/>
  <c r="J2949" i="6"/>
  <c r="I2949" i="6"/>
  <c r="P2949" i="6" s="1"/>
  <c r="H2949" i="6"/>
  <c r="G2949" i="6"/>
  <c r="F2949" i="6"/>
  <c r="D2949" i="6"/>
  <c r="U2949" i="6" s="1"/>
  <c r="C2949" i="6"/>
  <c r="B2949" i="6"/>
  <c r="E2949" i="6" s="1"/>
  <c r="Q2948" i="6"/>
  <c r="P2948" i="6"/>
  <c r="N2948" i="6"/>
  <c r="M2948" i="6"/>
  <c r="L2948" i="6"/>
  <c r="K2948" i="6"/>
  <c r="J2948" i="6"/>
  <c r="I2948" i="6"/>
  <c r="H2948" i="6"/>
  <c r="G2948" i="6"/>
  <c r="F2948" i="6"/>
  <c r="D2948" i="6"/>
  <c r="U2948" i="6" s="1"/>
  <c r="C2948" i="6"/>
  <c r="B2948" i="6"/>
  <c r="E2948" i="6" s="1"/>
  <c r="Q2947" i="6"/>
  <c r="N2947" i="6"/>
  <c r="M2947" i="6"/>
  <c r="L2947" i="6"/>
  <c r="K2947" i="6"/>
  <c r="J2947" i="6"/>
  <c r="I2947" i="6"/>
  <c r="P2947" i="6" s="1"/>
  <c r="H2947" i="6"/>
  <c r="G2947" i="6"/>
  <c r="F2947" i="6"/>
  <c r="D2947" i="6"/>
  <c r="U2947" i="6" s="1"/>
  <c r="C2947" i="6"/>
  <c r="B2947" i="6"/>
  <c r="E2947" i="6" s="1"/>
  <c r="Q2946" i="6"/>
  <c r="P2946" i="6"/>
  <c r="N2946" i="6"/>
  <c r="M2946" i="6"/>
  <c r="L2946" i="6"/>
  <c r="K2946" i="6"/>
  <c r="J2946" i="6"/>
  <c r="I2946" i="6"/>
  <c r="H2946" i="6"/>
  <c r="G2946" i="6"/>
  <c r="F2946" i="6"/>
  <c r="D2946" i="6"/>
  <c r="U2946" i="6" s="1"/>
  <c r="C2946" i="6"/>
  <c r="B2946" i="6"/>
  <c r="E2946" i="6" s="1"/>
  <c r="Q2945" i="6"/>
  <c r="N2945" i="6"/>
  <c r="M2945" i="6"/>
  <c r="L2945" i="6"/>
  <c r="K2945" i="6"/>
  <c r="J2945" i="6"/>
  <c r="I2945" i="6"/>
  <c r="P2945" i="6" s="1"/>
  <c r="H2945" i="6"/>
  <c r="G2945" i="6"/>
  <c r="F2945" i="6"/>
  <c r="D2945" i="6"/>
  <c r="U2945" i="6" s="1"/>
  <c r="C2945" i="6"/>
  <c r="B2945" i="6"/>
  <c r="E2945" i="6" s="1"/>
  <c r="Q2944" i="6"/>
  <c r="P2944" i="6"/>
  <c r="N2944" i="6"/>
  <c r="M2944" i="6"/>
  <c r="L2944" i="6"/>
  <c r="K2944" i="6"/>
  <c r="J2944" i="6"/>
  <c r="I2944" i="6"/>
  <c r="H2944" i="6"/>
  <c r="G2944" i="6"/>
  <c r="F2944" i="6"/>
  <c r="D2944" i="6"/>
  <c r="U2944" i="6" s="1"/>
  <c r="C2944" i="6"/>
  <c r="B2944" i="6"/>
  <c r="E2944" i="6" s="1"/>
  <c r="Q2943" i="6"/>
  <c r="N2943" i="6"/>
  <c r="M2943" i="6"/>
  <c r="L2943" i="6"/>
  <c r="K2943" i="6"/>
  <c r="J2943" i="6"/>
  <c r="I2943" i="6"/>
  <c r="P2943" i="6" s="1"/>
  <c r="H2943" i="6"/>
  <c r="G2943" i="6"/>
  <c r="F2943" i="6"/>
  <c r="D2943" i="6"/>
  <c r="U2943" i="6" s="1"/>
  <c r="C2943" i="6"/>
  <c r="B2943" i="6"/>
  <c r="E2943" i="6" s="1"/>
  <c r="Q2942" i="6"/>
  <c r="P2942" i="6"/>
  <c r="N2942" i="6"/>
  <c r="M2942" i="6"/>
  <c r="L2942" i="6"/>
  <c r="K2942" i="6"/>
  <c r="J2942" i="6"/>
  <c r="I2942" i="6"/>
  <c r="H2942" i="6"/>
  <c r="G2942" i="6"/>
  <c r="F2942" i="6"/>
  <c r="D2942" i="6"/>
  <c r="U2942" i="6" s="1"/>
  <c r="C2942" i="6"/>
  <c r="B2942" i="6"/>
  <c r="E2942" i="6" s="1"/>
  <c r="Q2941" i="6"/>
  <c r="N2941" i="6"/>
  <c r="M2941" i="6"/>
  <c r="L2941" i="6"/>
  <c r="K2941" i="6"/>
  <c r="J2941" i="6"/>
  <c r="I2941" i="6"/>
  <c r="P2941" i="6" s="1"/>
  <c r="H2941" i="6"/>
  <c r="G2941" i="6"/>
  <c r="F2941" i="6"/>
  <c r="D2941" i="6"/>
  <c r="U2941" i="6" s="1"/>
  <c r="C2941" i="6"/>
  <c r="B2941" i="6"/>
  <c r="E2941" i="6" s="1"/>
  <c r="Q2940" i="6"/>
  <c r="P2940" i="6"/>
  <c r="N2940" i="6"/>
  <c r="M2940" i="6"/>
  <c r="L2940" i="6"/>
  <c r="K2940" i="6"/>
  <c r="J2940" i="6"/>
  <c r="I2940" i="6"/>
  <c r="H2940" i="6"/>
  <c r="G2940" i="6"/>
  <c r="F2940" i="6"/>
  <c r="D2940" i="6"/>
  <c r="U2940" i="6" s="1"/>
  <c r="C2940" i="6"/>
  <c r="B2940" i="6"/>
  <c r="E2940" i="6" s="1"/>
  <c r="Q2939" i="6"/>
  <c r="N2939" i="6"/>
  <c r="M2939" i="6"/>
  <c r="L2939" i="6"/>
  <c r="K2939" i="6"/>
  <c r="J2939" i="6"/>
  <c r="I2939" i="6"/>
  <c r="P2939" i="6" s="1"/>
  <c r="H2939" i="6"/>
  <c r="G2939" i="6"/>
  <c r="F2939" i="6"/>
  <c r="D2939" i="6"/>
  <c r="U2939" i="6" s="1"/>
  <c r="C2939" i="6"/>
  <c r="B2939" i="6"/>
  <c r="E2939" i="6" s="1"/>
  <c r="Q2938" i="6"/>
  <c r="P2938" i="6"/>
  <c r="N2938" i="6"/>
  <c r="M2938" i="6"/>
  <c r="L2938" i="6"/>
  <c r="K2938" i="6"/>
  <c r="J2938" i="6"/>
  <c r="I2938" i="6"/>
  <c r="H2938" i="6"/>
  <c r="G2938" i="6"/>
  <c r="F2938" i="6"/>
  <c r="D2938" i="6"/>
  <c r="U2938" i="6" s="1"/>
  <c r="C2938" i="6"/>
  <c r="B2938" i="6"/>
  <c r="E2938" i="6" s="1"/>
  <c r="Q2937" i="6"/>
  <c r="N2937" i="6"/>
  <c r="M2937" i="6"/>
  <c r="L2937" i="6"/>
  <c r="K2937" i="6"/>
  <c r="J2937" i="6"/>
  <c r="I2937" i="6"/>
  <c r="P2937" i="6" s="1"/>
  <c r="H2937" i="6"/>
  <c r="G2937" i="6"/>
  <c r="F2937" i="6"/>
  <c r="D2937" i="6"/>
  <c r="U2937" i="6" s="1"/>
  <c r="C2937" i="6"/>
  <c r="B2937" i="6"/>
  <c r="E2937" i="6" s="1"/>
  <c r="Q2936" i="6"/>
  <c r="P2936" i="6"/>
  <c r="N2936" i="6"/>
  <c r="M2936" i="6"/>
  <c r="L2936" i="6"/>
  <c r="K2936" i="6"/>
  <c r="J2936" i="6"/>
  <c r="I2936" i="6"/>
  <c r="H2936" i="6"/>
  <c r="G2936" i="6"/>
  <c r="F2936" i="6"/>
  <c r="D2936" i="6"/>
  <c r="U2936" i="6" s="1"/>
  <c r="C2936" i="6"/>
  <c r="B2936" i="6"/>
  <c r="E2936" i="6" s="1"/>
  <c r="Q2935" i="6"/>
  <c r="N2935" i="6"/>
  <c r="M2935" i="6"/>
  <c r="L2935" i="6"/>
  <c r="K2935" i="6"/>
  <c r="J2935" i="6"/>
  <c r="I2935" i="6"/>
  <c r="P2935" i="6" s="1"/>
  <c r="H2935" i="6"/>
  <c r="G2935" i="6"/>
  <c r="F2935" i="6"/>
  <c r="D2935" i="6"/>
  <c r="U2935" i="6" s="1"/>
  <c r="C2935" i="6"/>
  <c r="B2935" i="6"/>
  <c r="E2935" i="6" s="1"/>
  <c r="Q2934" i="6"/>
  <c r="P2934" i="6"/>
  <c r="N2934" i="6"/>
  <c r="M2934" i="6"/>
  <c r="L2934" i="6"/>
  <c r="K2934" i="6"/>
  <c r="J2934" i="6"/>
  <c r="I2934" i="6"/>
  <c r="H2934" i="6"/>
  <c r="G2934" i="6"/>
  <c r="F2934" i="6"/>
  <c r="D2934" i="6"/>
  <c r="U2934" i="6" s="1"/>
  <c r="C2934" i="6"/>
  <c r="B2934" i="6"/>
  <c r="E2934" i="6" s="1"/>
  <c r="Q2933" i="6"/>
  <c r="N2933" i="6"/>
  <c r="M2933" i="6"/>
  <c r="L2933" i="6"/>
  <c r="K2933" i="6"/>
  <c r="J2933" i="6"/>
  <c r="I2933" i="6"/>
  <c r="P2933" i="6" s="1"/>
  <c r="H2933" i="6"/>
  <c r="G2933" i="6"/>
  <c r="F2933" i="6"/>
  <c r="D2933" i="6"/>
  <c r="U2933" i="6" s="1"/>
  <c r="C2933" i="6"/>
  <c r="B2933" i="6"/>
  <c r="E2933" i="6" s="1"/>
  <c r="Q2932" i="6"/>
  <c r="P2932" i="6"/>
  <c r="N2932" i="6"/>
  <c r="M2932" i="6"/>
  <c r="L2932" i="6"/>
  <c r="K2932" i="6"/>
  <c r="J2932" i="6"/>
  <c r="I2932" i="6"/>
  <c r="H2932" i="6"/>
  <c r="G2932" i="6"/>
  <c r="F2932" i="6"/>
  <c r="D2932" i="6"/>
  <c r="U2932" i="6" s="1"/>
  <c r="C2932" i="6"/>
  <c r="B2932" i="6"/>
  <c r="E2932" i="6" s="1"/>
  <c r="Q2931" i="6"/>
  <c r="N2931" i="6"/>
  <c r="M2931" i="6"/>
  <c r="L2931" i="6"/>
  <c r="K2931" i="6"/>
  <c r="J2931" i="6"/>
  <c r="I2931" i="6"/>
  <c r="P2931" i="6" s="1"/>
  <c r="H2931" i="6"/>
  <c r="G2931" i="6"/>
  <c r="F2931" i="6"/>
  <c r="D2931" i="6"/>
  <c r="U2931" i="6" s="1"/>
  <c r="C2931" i="6"/>
  <c r="B2931" i="6"/>
  <c r="E2931" i="6" s="1"/>
  <c r="Q2930" i="6"/>
  <c r="P2930" i="6"/>
  <c r="N2930" i="6"/>
  <c r="M2930" i="6"/>
  <c r="L2930" i="6"/>
  <c r="K2930" i="6"/>
  <c r="J2930" i="6"/>
  <c r="I2930" i="6"/>
  <c r="H2930" i="6"/>
  <c r="G2930" i="6"/>
  <c r="F2930" i="6"/>
  <c r="D2930" i="6"/>
  <c r="U2930" i="6" s="1"/>
  <c r="C2930" i="6"/>
  <c r="B2930" i="6"/>
  <c r="E2930" i="6" s="1"/>
  <c r="Q2929" i="6"/>
  <c r="N2929" i="6"/>
  <c r="M2929" i="6"/>
  <c r="L2929" i="6"/>
  <c r="K2929" i="6"/>
  <c r="J2929" i="6"/>
  <c r="I2929" i="6"/>
  <c r="P2929" i="6" s="1"/>
  <c r="H2929" i="6"/>
  <c r="G2929" i="6"/>
  <c r="F2929" i="6"/>
  <c r="D2929" i="6"/>
  <c r="U2929" i="6" s="1"/>
  <c r="C2929" i="6"/>
  <c r="B2929" i="6"/>
  <c r="E2929" i="6" s="1"/>
  <c r="Q2928" i="6"/>
  <c r="P2928" i="6"/>
  <c r="N2928" i="6"/>
  <c r="M2928" i="6"/>
  <c r="L2928" i="6"/>
  <c r="K2928" i="6"/>
  <c r="J2928" i="6"/>
  <c r="I2928" i="6"/>
  <c r="H2928" i="6"/>
  <c r="G2928" i="6"/>
  <c r="F2928" i="6"/>
  <c r="D2928" i="6"/>
  <c r="U2928" i="6" s="1"/>
  <c r="C2928" i="6"/>
  <c r="B2928" i="6"/>
  <c r="E2928" i="6" s="1"/>
  <c r="Q2927" i="6"/>
  <c r="N2927" i="6"/>
  <c r="M2927" i="6"/>
  <c r="L2927" i="6"/>
  <c r="K2927" i="6"/>
  <c r="J2927" i="6"/>
  <c r="I2927" i="6"/>
  <c r="P2927" i="6" s="1"/>
  <c r="H2927" i="6"/>
  <c r="G2927" i="6"/>
  <c r="F2927" i="6"/>
  <c r="D2927" i="6"/>
  <c r="U2927" i="6" s="1"/>
  <c r="C2927" i="6"/>
  <c r="B2927" i="6"/>
  <c r="E2927" i="6" s="1"/>
  <c r="Q2926" i="6"/>
  <c r="P2926" i="6"/>
  <c r="N2926" i="6"/>
  <c r="M2926" i="6"/>
  <c r="L2926" i="6"/>
  <c r="K2926" i="6"/>
  <c r="J2926" i="6"/>
  <c r="I2926" i="6"/>
  <c r="H2926" i="6"/>
  <c r="G2926" i="6"/>
  <c r="F2926" i="6"/>
  <c r="D2926" i="6"/>
  <c r="U2926" i="6" s="1"/>
  <c r="C2926" i="6"/>
  <c r="B2926" i="6"/>
  <c r="E2926" i="6" s="1"/>
  <c r="Q2925" i="6"/>
  <c r="N2925" i="6"/>
  <c r="M2925" i="6"/>
  <c r="L2925" i="6"/>
  <c r="K2925" i="6"/>
  <c r="J2925" i="6"/>
  <c r="I2925" i="6"/>
  <c r="P2925" i="6" s="1"/>
  <c r="H2925" i="6"/>
  <c r="G2925" i="6"/>
  <c r="F2925" i="6"/>
  <c r="D2925" i="6"/>
  <c r="U2925" i="6" s="1"/>
  <c r="C2925" i="6"/>
  <c r="B2925" i="6"/>
  <c r="E2925" i="6" s="1"/>
  <c r="Q2924" i="6"/>
  <c r="P2924" i="6"/>
  <c r="N2924" i="6"/>
  <c r="M2924" i="6"/>
  <c r="L2924" i="6"/>
  <c r="K2924" i="6"/>
  <c r="J2924" i="6"/>
  <c r="I2924" i="6"/>
  <c r="H2924" i="6"/>
  <c r="G2924" i="6"/>
  <c r="F2924" i="6"/>
  <c r="D2924" i="6"/>
  <c r="U2924" i="6" s="1"/>
  <c r="C2924" i="6"/>
  <c r="B2924" i="6"/>
  <c r="E2924" i="6" s="1"/>
  <c r="Q2923" i="6"/>
  <c r="N2923" i="6"/>
  <c r="M2923" i="6"/>
  <c r="L2923" i="6"/>
  <c r="K2923" i="6"/>
  <c r="J2923" i="6"/>
  <c r="I2923" i="6"/>
  <c r="P2923" i="6" s="1"/>
  <c r="H2923" i="6"/>
  <c r="G2923" i="6"/>
  <c r="F2923" i="6"/>
  <c r="D2923" i="6"/>
  <c r="U2923" i="6" s="1"/>
  <c r="C2923" i="6"/>
  <c r="B2923" i="6"/>
  <c r="E2923" i="6" s="1"/>
  <c r="Q2922" i="6"/>
  <c r="P2922" i="6"/>
  <c r="N2922" i="6"/>
  <c r="M2922" i="6"/>
  <c r="L2922" i="6"/>
  <c r="K2922" i="6"/>
  <c r="J2922" i="6"/>
  <c r="I2922" i="6"/>
  <c r="H2922" i="6"/>
  <c r="G2922" i="6"/>
  <c r="F2922" i="6"/>
  <c r="D2922" i="6"/>
  <c r="U2922" i="6" s="1"/>
  <c r="C2922" i="6"/>
  <c r="B2922" i="6"/>
  <c r="E2922" i="6" s="1"/>
  <c r="Q2921" i="6"/>
  <c r="N2921" i="6"/>
  <c r="M2921" i="6"/>
  <c r="L2921" i="6"/>
  <c r="K2921" i="6"/>
  <c r="J2921" i="6"/>
  <c r="I2921" i="6"/>
  <c r="P2921" i="6" s="1"/>
  <c r="H2921" i="6"/>
  <c r="G2921" i="6"/>
  <c r="F2921" i="6"/>
  <c r="D2921" i="6"/>
  <c r="U2921" i="6" s="1"/>
  <c r="C2921" i="6"/>
  <c r="B2921" i="6"/>
  <c r="E2921" i="6" s="1"/>
  <c r="Q2920" i="6"/>
  <c r="P2920" i="6"/>
  <c r="N2920" i="6"/>
  <c r="M2920" i="6"/>
  <c r="L2920" i="6"/>
  <c r="K2920" i="6"/>
  <c r="J2920" i="6"/>
  <c r="I2920" i="6"/>
  <c r="H2920" i="6"/>
  <c r="G2920" i="6"/>
  <c r="F2920" i="6"/>
  <c r="D2920" i="6"/>
  <c r="U2920" i="6" s="1"/>
  <c r="C2920" i="6"/>
  <c r="B2920" i="6"/>
  <c r="E2920" i="6" s="1"/>
  <c r="Q2919" i="6"/>
  <c r="N2919" i="6"/>
  <c r="M2919" i="6"/>
  <c r="L2919" i="6"/>
  <c r="K2919" i="6"/>
  <c r="J2919" i="6"/>
  <c r="I2919" i="6"/>
  <c r="P2919" i="6" s="1"/>
  <c r="H2919" i="6"/>
  <c r="G2919" i="6"/>
  <c r="F2919" i="6"/>
  <c r="D2919" i="6"/>
  <c r="U2919" i="6" s="1"/>
  <c r="C2919" i="6"/>
  <c r="B2919" i="6"/>
  <c r="E2919" i="6" s="1"/>
  <c r="Q2918" i="6"/>
  <c r="P2918" i="6"/>
  <c r="N2918" i="6"/>
  <c r="M2918" i="6"/>
  <c r="L2918" i="6"/>
  <c r="K2918" i="6"/>
  <c r="J2918" i="6"/>
  <c r="I2918" i="6"/>
  <c r="H2918" i="6"/>
  <c r="G2918" i="6"/>
  <c r="F2918" i="6"/>
  <c r="D2918" i="6"/>
  <c r="U2918" i="6" s="1"/>
  <c r="C2918" i="6"/>
  <c r="B2918" i="6"/>
  <c r="E2918" i="6" s="1"/>
  <c r="Q2917" i="6"/>
  <c r="N2917" i="6"/>
  <c r="M2917" i="6"/>
  <c r="L2917" i="6"/>
  <c r="K2917" i="6"/>
  <c r="J2917" i="6"/>
  <c r="I2917" i="6"/>
  <c r="P2917" i="6" s="1"/>
  <c r="H2917" i="6"/>
  <c r="G2917" i="6"/>
  <c r="F2917" i="6"/>
  <c r="D2917" i="6"/>
  <c r="U2917" i="6" s="1"/>
  <c r="C2917" i="6"/>
  <c r="B2917" i="6"/>
  <c r="E2917" i="6" s="1"/>
  <c r="Q2916" i="6"/>
  <c r="P2916" i="6"/>
  <c r="N2916" i="6"/>
  <c r="M2916" i="6"/>
  <c r="L2916" i="6"/>
  <c r="K2916" i="6"/>
  <c r="J2916" i="6"/>
  <c r="I2916" i="6"/>
  <c r="H2916" i="6"/>
  <c r="G2916" i="6"/>
  <c r="F2916" i="6"/>
  <c r="D2916" i="6"/>
  <c r="U2916" i="6" s="1"/>
  <c r="C2916" i="6"/>
  <c r="B2916" i="6"/>
  <c r="E2916" i="6" s="1"/>
  <c r="Q2915" i="6"/>
  <c r="N2915" i="6"/>
  <c r="M2915" i="6"/>
  <c r="L2915" i="6"/>
  <c r="K2915" i="6"/>
  <c r="J2915" i="6"/>
  <c r="I2915" i="6"/>
  <c r="P2915" i="6" s="1"/>
  <c r="H2915" i="6"/>
  <c r="G2915" i="6"/>
  <c r="F2915" i="6"/>
  <c r="D2915" i="6"/>
  <c r="U2915" i="6" s="1"/>
  <c r="C2915" i="6"/>
  <c r="B2915" i="6"/>
  <c r="E2915" i="6" s="1"/>
  <c r="Q2914" i="6"/>
  <c r="P2914" i="6"/>
  <c r="N2914" i="6"/>
  <c r="M2914" i="6"/>
  <c r="L2914" i="6"/>
  <c r="K2914" i="6"/>
  <c r="J2914" i="6"/>
  <c r="I2914" i="6"/>
  <c r="H2914" i="6"/>
  <c r="G2914" i="6"/>
  <c r="F2914" i="6"/>
  <c r="D2914" i="6"/>
  <c r="U2914" i="6" s="1"/>
  <c r="C2914" i="6"/>
  <c r="B2914" i="6"/>
  <c r="E2914" i="6" s="1"/>
  <c r="Q2913" i="6"/>
  <c r="N2913" i="6"/>
  <c r="M2913" i="6"/>
  <c r="L2913" i="6"/>
  <c r="K2913" i="6"/>
  <c r="J2913" i="6"/>
  <c r="I2913" i="6"/>
  <c r="P2913" i="6" s="1"/>
  <c r="H2913" i="6"/>
  <c r="G2913" i="6"/>
  <c r="F2913" i="6"/>
  <c r="D2913" i="6"/>
  <c r="U2913" i="6" s="1"/>
  <c r="C2913" i="6"/>
  <c r="B2913" i="6"/>
  <c r="E2913" i="6" s="1"/>
  <c r="Q2912" i="6"/>
  <c r="P2912" i="6"/>
  <c r="N2912" i="6"/>
  <c r="M2912" i="6"/>
  <c r="L2912" i="6"/>
  <c r="K2912" i="6"/>
  <c r="J2912" i="6"/>
  <c r="I2912" i="6"/>
  <c r="H2912" i="6"/>
  <c r="G2912" i="6"/>
  <c r="F2912" i="6"/>
  <c r="D2912" i="6"/>
  <c r="U2912" i="6" s="1"/>
  <c r="C2912" i="6"/>
  <c r="B2912" i="6"/>
  <c r="E2912" i="6" s="1"/>
  <c r="Q2911" i="6"/>
  <c r="N2911" i="6"/>
  <c r="M2911" i="6"/>
  <c r="L2911" i="6"/>
  <c r="K2911" i="6"/>
  <c r="J2911" i="6"/>
  <c r="I2911" i="6"/>
  <c r="P2911" i="6" s="1"/>
  <c r="H2911" i="6"/>
  <c r="G2911" i="6"/>
  <c r="F2911" i="6"/>
  <c r="D2911" i="6"/>
  <c r="U2911" i="6" s="1"/>
  <c r="C2911" i="6"/>
  <c r="B2911" i="6"/>
  <c r="E2911" i="6" s="1"/>
  <c r="Q2910" i="6"/>
  <c r="P2910" i="6"/>
  <c r="N2910" i="6"/>
  <c r="M2910" i="6"/>
  <c r="L2910" i="6"/>
  <c r="K2910" i="6"/>
  <c r="J2910" i="6"/>
  <c r="I2910" i="6"/>
  <c r="H2910" i="6"/>
  <c r="G2910" i="6"/>
  <c r="F2910" i="6"/>
  <c r="D2910" i="6"/>
  <c r="U2910" i="6" s="1"/>
  <c r="C2910" i="6"/>
  <c r="B2910" i="6"/>
  <c r="E2910" i="6" s="1"/>
  <c r="Q2909" i="6"/>
  <c r="N2909" i="6"/>
  <c r="M2909" i="6"/>
  <c r="L2909" i="6"/>
  <c r="K2909" i="6"/>
  <c r="J2909" i="6"/>
  <c r="I2909" i="6"/>
  <c r="P2909" i="6" s="1"/>
  <c r="H2909" i="6"/>
  <c r="G2909" i="6"/>
  <c r="F2909" i="6"/>
  <c r="D2909" i="6"/>
  <c r="U2909" i="6" s="1"/>
  <c r="C2909" i="6"/>
  <c r="B2909" i="6"/>
  <c r="E2909" i="6" s="1"/>
  <c r="Q2908" i="6"/>
  <c r="P2908" i="6"/>
  <c r="N2908" i="6"/>
  <c r="M2908" i="6"/>
  <c r="L2908" i="6"/>
  <c r="K2908" i="6"/>
  <c r="J2908" i="6"/>
  <c r="I2908" i="6"/>
  <c r="H2908" i="6"/>
  <c r="G2908" i="6"/>
  <c r="F2908" i="6"/>
  <c r="D2908" i="6"/>
  <c r="U2908" i="6" s="1"/>
  <c r="C2908" i="6"/>
  <c r="B2908" i="6"/>
  <c r="E2908" i="6" s="1"/>
  <c r="Q2907" i="6"/>
  <c r="N2907" i="6"/>
  <c r="M2907" i="6"/>
  <c r="L2907" i="6"/>
  <c r="K2907" i="6"/>
  <c r="J2907" i="6"/>
  <c r="I2907" i="6"/>
  <c r="P2907" i="6" s="1"/>
  <c r="H2907" i="6"/>
  <c r="G2907" i="6"/>
  <c r="F2907" i="6"/>
  <c r="D2907" i="6"/>
  <c r="U2907" i="6" s="1"/>
  <c r="C2907" i="6"/>
  <c r="B2907" i="6"/>
  <c r="E2907" i="6" s="1"/>
  <c r="Q2906" i="6"/>
  <c r="P2906" i="6"/>
  <c r="N2906" i="6"/>
  <c r="M2906" i="6"/>
  <c r="L2906" i="6"/>
  <c r="K2906" i="6"/>
  <c r="J2906" i="6"/>
  <c r="I2906" i="6"/>
  <c r="H2906" i="6"/>
  <c r="G2906" i="6"/>
  <c r="F2906" i="6"/>
  <c r="D2906" i="6"/>
  <c r="U2906" i="6" s="1"/>
  <c r="C2906" i="6"/>
  <c r="B2906" i="6"/>
  <c r="E2906" i="6" s="1"/>
  <c r="Q2905" i="6"/>
  <c r="N2905" i="6"/>
  <c r="M2905" i="6"/>
  <c r="L2905" i="6"/>
  <c r="K2905" i="6"/>
  <c r="J2905" i="6"/>
  <c r="I2905" i="6"/>
  <c r="P2905" i="6" s="1"/>
  <c r="H2905" i="6"/>
  <c r="G2905" i="6"/>
  <c r="F2905" i="6"/>
  <c r="D2905" i="6"/>
  <c r="U2905" i="6" s="1"/>
  <c r="C2905" i="6"/>
  <c r="B2905" i="6"/>
  <c r="E2905" i="6" s="1"/>
  <c r="Q2904" i="6"/>
  <c r="P2904" i="6"/>
  <c r="N2904" i="6"/>
  <c r="M2904" i="6"/>
  <c r="L2904" i="6"/>
  <c r="K2904" i="6"/>
  <c r="J2904" i="6"/>
  <c r="I2904" i="6"/>
  <c r="H2904" i="6"/>
  <c r="G2904" i="6"/>
  <c r="F2904" i="6"/>
  <c r="D2904" i="6"/>
  <c r="U2904" i="6" s="1"/>
  <c r="C2904" i="6"/>
  <c r="B2904" i="6"/>
  <c r="E2904" i="6" s="1"/>
  <c r="Q2903" i="6"/>
  <c r="N2903" i="6"/>
  <c r="M2903" i="6"/>
  <c r="L2903" i="6"/>
  <c r="K2903" i="6"/>
  <c r="J2903" i="6"/>
  <c r="I2903" i="6"/>
  <c r="P2903" i="6" s="1"/>
  <c r="H2903" i="6"/>
  <c r="G2903" i="6"/>
  <c r="F2903" i="6"/>
  <c r="D2903" i="6"/>
  <c r="U2903" i="6" s="1"/>
  <c r="C2903" i="6"/>
  <c r="B2903" i="6"/>
  <c r="E2903" i="6" s="1"/>
  <c r="Q2902" i="6"/>
  <c r="P2902" i="6"/>
  <c r="N2902" i="6"/>
  <c r="M2902" i="6"/>
  <c r="L2902" i="6"/>
  <c r="K2902" i="6"/>
  <c r="J2902" i="6"/>
  <c r="I2902" i="6"/>
  <c r="H2902" i="6"/>
  <c r="G2902" i="6"/>
  <c r="F2902" i="6"/>
  <c r="D2902" i="6"/>
  <c r="U2902" i="6" s="1"/>
  <c r="C2902" i="6"/>
  <c r="B2902" i="6"/>
  <c r="E2902" i="6" s="1"/>
  <c r="Q2901" i="6"/>
  <c r="N2901" i="6"/>
  <c r="M2901" i="6"/>
  <c r="L2901" i="6"/>
  <c r="K2901" i="6"/>
  <c r="J2901" i="6"/>
  <c r="I2901" i="6"/>
  <c r="P2901" i="6" s="1"/>
  <c r="H2901" i="6"/>
  <c r="G2901" i="6"/>
  <c r="F2901" i="6"/>
  <c r="D2901" i="6"/>
  <c r="U2901" i="6" s="1"/>
  <c r="C2901" i="6"/>
  <c r="B2901" i="6"/>
  <c r="E2901" i="6" s="1"/>
  <c r="Q2900" i="6"/>
  <c r="P2900" i="6"/>
  <c r="N2900" i="6"/>
  <c r="M2900" i="6"/>
  <c r="L2900" i="6"/>
  <c r="K2900" i="6"/>
  <c r="J2900" i="6"/>
  <c r="I2900" i="6"/>
  <c r="H2900" i="6"/>
  <c r="G2900" i="6"/>
  <c r="F2900" i="6"/>
  <c r="D2900" i="6"/>
  <c r="U2900" i="6" s="1"/>
  <c r="C2900" i="6"/>
  <c r="B2900" i="6"/>
  <c r="E2900" i="6" s="1"/>
  <c r="Q2899" i="6"/>
  <c r="N2899" i="6"/>
  <c r="M2899" i="6"/>
  <c r="L2899" i="6"/>
  <c r="K2899" i="6"/>
  <c r="J2899" i="6"/>
  <c r="I2899" i="6"/>
  <c r="P2899" i="6" s="1"/>
  <c r="H2899" i="6"/>
  <c r="G2899" i="6"/>
  <c r="F2899" i="6"/>
  <c r="D2899" i="6"/>
  <c r="U2899" i="6" s="1"/>
  <c r="C2899" i="6"/>
  <c r="B2899" i="6"/>
  <c r="E2899" i="6" s="1"/>
  <c r="Q2898" i="6"/>
  <c r="P2898" i="6"/>
  <c r="N2898" i="6"/>
  <c r="M2898" i="6"/>
  <c r="L2898" i="6"/>
  <c r="K2898" i="6"/>
  <c r="J2898" i="6"/>
  <c r="I2898" i="6"/>
  <c r="H2898" i="6"/>
  <c r="G2898" i="6"/>
  <c r="F2898" i="6"/>
  <c r="D2898" i="6"/>
  <c r="U2898" i="6" s="1"/>
  <c r="C2898" i="6"/>
  <c r="B2898" i="6"/>
  <c r="E2898" i="6" s="1"/>
  <c r="Q2897" i="6"/>
  <c r="N2897" i="6"/>
  <c r="M2897" i="6"/>
  <c r="L2897" i="6"/>
  <c r="K2897" i="6"/>
  <c r="J2897" i="6"/>
  <c r="I2897" i="6"/>
  <c r="P2897" i="6" s="1"/>
  <c r="H2897" i="6"/>
  <c r="G2897" i="6"/>
  <c r="F2897" i="6"/>
  <c r="D2897" i="6"/>
  <c r="U2897" i="6" s="1"/>
  <c r="C2897" i="6"/>
  <c r="B2897" i="6"/>
  <c r="E2897" i="6" s="1"/>
  <c r="Q2896" i="6"/>
  <c r="P2896" i="6"/>
  <c r="N2896" i="6"/>
  <c r="M2896" i="6"/>
  <c r="L2896" i="6"/>
  <c r="K2896" i="6"/>
  <c r="J2896" i="6"/>
  <c r="I2896" i="6"/>
  <c r="H2896" i="6"/>
  <c r="G2896" i="6"/>
  <c r="F2896" i="6"/>
  <c r="D2896" i="6"/>
  <c r="U2896" i="6" s="1"/>
  <c r="C2896" i="6"/>
  <c r="B2896" i="6"/>
  <c r="E2896" i="6" s="1"/>
  <c r="Q2895" i="6"/>
  <c r="N2895" i="6"/>
  <c r="M2895" i="6"/>
  <c r="L2895" i="6"/>
  <c r="K2895" i="6"/>
  <c r="J2895" i="6"/>
  <c r="I2895" i="6"/>
  <c r="P2895" i="6" s="1"/>
  <c r="H2895" i="6"/>
  <c r="G2895" i="6"/>
  <c r="F2895" i="6"/>
  <c r="D2895" i="6"/>
  <c r="U2895" i="6" s="1"/>
  <c r="C2895" i="6"/>
  <c r="B2895" i="6"/>
  <c r="E2895" i="6" s="1"/>
  <c r="Q2894" i="6"/>
  <c r="P2894" i="6"/>
  <c r="N2894" i="6"/>
  <c r="M2894" i="6"/>
  <c r="L2894" i="6"/>
  <c r="K2894" i="6"/>
  <c r="J2894" i="6"/>
  <c r="I2894" i="6"/>
  <c r="H2894" i="6"/>
  <c r="G2894" i="6"/>
  <c r="F2894" i="6"/>
  <c r="D2894" i="6"/>
  <c r="U2894" i="6" s="1"/>
  <c r="C2894" i="6"/>
  <c r="B2894" i="6"/>
  <c r="E2894" i="6" s="1"/>
  <c r="Q2893" i="6"/>
  <c r="N2893" i="6"/>
  <c r="M2893" i="6"/>
  <c r="L2893" i="6"/>
  <c r="K2893" i="6"/>
  <c r="J2893" i="6"/>
  <c r="I2893" i="6"/>
  <c r="P2893" i="6" s="1"/>
  <c r="H2893" i="6"/>
  <c r="G2893" i="6"/>
  <c r="F2893" i="6"/>
  <c r="D2893" i="6"/>
  <c r="U2893" i="6" s="1"/>
  <c r="C2893" i="6"/>
  <c r="B2893" i="6"/>
  <c r="E2893" i="6" s="1"/>
  <c r="Q2892" i="6"/>
  <c r="P2892" i="6"/>
  <c r="N2892" i="6"/>
  <c r="M2892" i="6"/>
  <c r="L2892" i="6"/>
  <c r="K2892" i="6"/>
  <c r="J2892" i="6"/>
  <c r="I2892" i="6"/>
  <c r="H2892" i="6"/>
  <c r="G2892" i="6"/>
  <c r="F2892" i="6"/>
  <c r="D2892" i="6"/>
  <c r="U2892" i="6" s="1"/>
  <c r="C2892" i="6"/>
  <c r="B2892" i="6"/>
  <c r="E2892" i="6" s="1"/>
  <c r="Q2891" i="6"/>
  <c r="N2891" i="6"/>
  <c r="M2891" i="6"/>
  <c r="L2891" i="6"/>
  <c r="K2891" i="6"/>
  <c r="J2891" i="6"/>
  <c r="I2891" i="6"/>
  <c r="P2891" i="6" s="1"/>
  <c r="H2891" i="6"/>
  <c r="G2891" i="6"/>
  <c r="F2891" i="6"/>
  <c r="D2891" i="6"/>
  <c r="U2891" i="6" s="1"/>
  <c r="C2891" i="6"/>
  <c r="B2891" i="6"/>
  <c r="E2891" i="6" s="1"/>
  <c r="Q2890" i="6"/>
  <c r="P2890" i="6"/>
  <c r="N2890" i="6"/>
  <c r="M2890" i="6"/>
  <c r="L2890" i="6"/>
  <c r="K2890" i="6"/>
  <c r="J2890" i="6"/>
  <c r="I2890" i="6"/>
  <c r="H2890" i="6"/>
  <c r="G2890" i="6"/>
  <c r="F2890" i="6"/>
  <c r="D2890" i="6"/>
  <c r="U2890" i="6" s="1"/>
  <c r="C2890" i="6"/>
  <c r="B2890" i="6"/>
  <c r="E2890" i="6" s="1"/>
  <c r="Q2889" i="6"/>
  <c r="N2889" i="6"/>
  <c r="M2889" i="6"/>
  <c r="L2889" i="6"/>
  <c r="K2889" i="6"/>
  <c r="J2889" i="6"/>
  <c r="I2889" i="6"/>
  <c r="P2889" i="6" s="1"/>
  <c r="H2889" i="6"/>
  <c r="G2889" i="6"/>
  <c r="F2889" i="6"/>
  <c r="D2889" i="6"/>
  <c r="U2889" i="6" s="1"/>
  <c r="C2889" i="6"/>
  <c r="B2889" i="6"/>
  <c r="E2889" i="6" s="1"/>
  <c r="Q2888" i="6"/>
  <c r="P2888" i="6"/>
  <c r="N2888" i="6"/>
  <c r="M2888" i="6"/>
  <c r="L2888" i="6"/>
  <c r="K2888" i="6"/>
  <c r="J2888" i="6"/>
  <c r="I2888" i="6"/>
  <c r="H2888" i="6"/>
  <c r="G2888" i="6"/>
  <c r="F2888" i="6"/>
  <c r="D2888" i="6"/>
  <c r="U2888" i="6" s="1"/>
  <c r="C2888" i="6"/>
  <c r="B2888" i="6"/>
  <c r="E2888" i="6" s="1"/>
  <c r="Q2887" i="6"/>
  <c r="N2887" i="6"/>
  <c r="M2887" i="6"/>
  <c r="L2887" i="6"/>
  <c r="K2887" i="6"/>
  <c r="J2887" i="6"/>
  <c r="I2887" i="6"/>
  <c r="P2887" i="6" s="1"/>
  <c r="H2887" i="6"/>
  <c r="G2887" i="6"/>
  <c r="F2887" i="6"/>
  <c r="D2887" i="6"/>
  <c r="U2887" i="6" s="1"/>
  <c r="C2887" i="6"/>
  <c r="B2887" i="6"/>
  <c r="E2887" i="6" s="1"/>
  <c r="Q2886" i="6"/>
  <c r="P2886" i="6"/>
  <c r="N2886" i="6"/>
  <c r="M2886" i="6"/>
  <c r="L2886" i="6"/>
  <c r="K2886" i="6"/>
  <c r="J2886" i="6"/>
  <c r="I2886" i="6"/>
  <c r="H2886" i="6"/>
  <c r="G2886" i="6"/>
  <c r="F2886" i="6"/>
  <c r="D2886" i="6"/>
  <c r="U2886" i="6" s="1"/>
  <c r="C2886" i="6"/>
  <c r="B2886" i="6"/>
  <c r="E2886" i="6" s="1"/>
  <c r="Q2885" i="6"/>
  <c r="N2885" i="6"/>
  <c r="M2885" i="6"/>
  <c r="L2885" i="6"/>
  <c r="K2885" i="6"/>
  <c r="J2885" i="6"/>
  <c r="I2885" i="6"/>
  <c r="P2885" i="6" s="1"/>
  <c r="H2885" i="6"/>
  <c r="G2885" i="6"/>
  <c r="F2885" i="6"/>
  <c r="D2885" i="6"/>
  <c r="U2885" i="6" s="1"/>
  <c r="C2885" i="6"/>
  <c r="B2885" i="6"/>
  <c r="E2885" i="6" s="1"/>
  <c r="Q2884" i="6"/>
  <c r="P2884" i="6"/>
  <c r="N2884" i="6"/>
  <c r="M2884" i="6"/>
  <c r="L2884" i="6"/>
  <c r="K2884" i="6"/>
  <c r="J2884" i="6"/>
  <c r="I2884" i="6"/>
  <c r="H2884" i="6"/>
  <c r="G2884" i="6"/>
  <c r="F2884" i="6"/>
  <c r="D2884" i="6"/>
  <c r="U2884" i="6" s="1"/>
  <c r="C2884" i="6"/>
  <c r="B2884" i="6"/>
  <c r="E2884" i="6" s="1"/>
  <c r="Q2883" i="6"/>
  <c r="N2883" i="6"/>
  <c r="M2883" i="6"/>
  <c r="L2883" i="6"/>
  <c r="K2883" i="6"/>
  <c r="J2883" i="6"/>
  <c r="I2883" i="6"/>
  <c r="P2883" i="6" s="1"/>
  <c r="H2883" i="6"/>
  <c r="G2883" i="6"/>
  <c r="F2883" i="6"/>
  <c r="D2883" i="6"/>
  <c r="U2883" i="6" s="1"/>
  <c r="C2883" i="6"/>
  <c r="B2883" i="6"/>
  <c r="E2883" i="6" s="1"/>
  <c r="Q2882" i="6"/>
  <c r="P2882" i="6"/>
  <c r="N2882" i="6"/>
  <c r="M2882" i="6"/>
  <c r="L2882" i="6"/>
  <c r="K2882" i="6"/>
  <c r="J2882" i="6"/>
  <c r="I2882" i="6"/>
  <c r="H2882" i="6"/>
  <c r="G2882" i="6"/>
  <c r="F2882" i="6"/>
  <c r="D2882" i="6"/>
  <c r="U2882" i="6" s="1"/>
  <c r="C2882" i="6"/>
  <c r="B2882" i="6"/>
  <c r="E2882" i="6" s="1"/>
  <c r="Q2881" i="6"/>
  <c r="N2881" i="6"/>
  <c r="M2881" i="6"/>
  <c r="L2881" i="6"/>
  <c r="K2881" i="6"/>
  <c r="J2881" i="6"/>
  <c r="I2881" i="6"/>
  <c r="P2881" i="6" s="1"/>
  <c r="H2881" i="6"/>
  <c r="G2881" i="6"/>
  <c r="F2881" i="6"/>
  <c r="D2881" i="6"/>
  <c r="U2881" i="6" s="1"/>
  <c r="C2881" i="6"/>
  <c r="B2881" i="6"/>
  <c r="E2881" i="6" s="1"/>
  <c r="Q2880" i="6"/>
  <c r="P2880" i="6"/>
  <c r="N2880" i="6"/>
  <c r="M2880" i="6"/>
  <c r="L2880" i="6"/>
  <c r="K2880" i="6"/>
  <c r="J2880" i="6"/>
  <c r="I2880" i="6"/>
  <c r="H2880" i="6"/>
  <c r="G2880" i="6"/>
  <c r="F2880" i="6"/>
  <c r="D2880" i="6"/>
  <c r="U2880" i="6" s="1"/>
  <c r="C2880" i="6"/>
  <c r="B2880" i="6"/>
  <c r="E2880" i="6" s="1"/>
  <c r="Q2879" i="6"/>
  <c r="N2879" i="6"/>
  <c r="M2879" i="6"/>
  <c r="L2879" i="6"/>
  <c r="K2879" i="6"/>
  <c r="J2879" i="6"/>
  <c r="I2879" i="6"/>
  <c r="P2879" i="6" s="1"/>
  <c r="H2879" i="6"/>
  <c r="G2879" i="6"/>
  <c r="F2879" i="6"/>
  <c r="D2879" i="6"/>
  <c r="U2879" i="6" s="1"/>
  <c r="C2879" i="6"/>
  <c r="B2879" i="6"/>
  <c r="E2879" i="6" s="1"/>
  <c r="Q2878" i="6"/>
  <c r="P2878" i="6"/>
  <c r="N2878" i="6"/>
  <c r="M2878" i="6"/>
  <c r="L2878" i="6"/>
  <c r="K2878" i="6"/>
  <c r="J2878" i="6"/>
  <c r="I2878" i="6"/>
  <c r="H2878" i="6"/>
  <c r="G2878" i="6"/>
  <c r="F2878" i="6"/>
  <c r="D2878" i="6"/>
  <c r="U2878" i="6" s="1"/>
  <c r="C2878" i="6"/>
  <c r="B2878" i="6"/>
  <c r="E2878" i="6" s="1"/>
  <c r="Q2877" i="6"/>
  <c r="N2877" i="6"/>
  <c r="M2877" i="6"/>
  <c r="L2877" i="6"/>
  <c r="K2877" i="6"/>
  <c r="J2877" i="6"/>
  <c r="I2877" i="6"/>
  <c r="P2877" i="6" s="1"/>
  <c r="H2877" i="6"/>
  <c r="G2877" i="6"/>
  <c r="F2877" i="6"/>
  <c r="D2877" i="6"/>
  <c r="U2877" i="6" s="1"/>
  <c r="C2877" i="6"/>
  <c r="B2877" i="6"/>
  <c r="E2877" i="6" s="1"/>
  <c r="Q2876" i="6"/>
  <c r="P2876" i="6"/>
  <c r="N2876" i="6"/>
  <c r="M2876" i="6"/>
  <c r="L2876" i="6"/>
  <c r="K2876" i="6"/>
  <c r="J2876" i="6"/>
  <c r="I2876" i="6"/>
  <c r="H2876" i="6"/>
  <c r="G2876" i="6"/>
  <c r="F2876" i="6"/>
  <c r="D2876" i="6"/>
  <c r="U2876" i="6" s="1"/>
  <c r="C2876" i="6"/>
  <c r="B2876" i="6"/>
  <c r="E2876" i="6" s="1"/>
  <c r="Q2875" i="6"/>
  <c r="N2875" i="6"/>
  <c r="M2875" i="6"/>
  <c r="L2875" i="6"/>
  <c r="K2875" i="6"/>
  <c r="J2875" i="6"/>
  <c r="I2875" i="6"/>
  <c r="P2875" i="6" s="1"/>
  <c r="H2875" i="6"/>
  <c r="G2875" i="6"/>
  <c r="F2875" i="6"/>
  <c r="D2875" i="6"/>
  <c r="U2875" i="6" s="1"/>
  <c r="C2875" i="6"/>
  <c r="B2875" i="6"/>
  <c r="E2875" i="6" s="1"/>
  <c r="Q2874" i="6"/>
  <c r="P2874" i="6"/>
  <c r="N2874" i="6"/>
  <c r="M2874" i="6"/>
  <c r="L2874" i="6"/>
  <c r="K2874" i="6"/>
  <c r="J2874" i="6"/>
  <c r="I2874" i="6"/>
  <c r="H2874" i="6"/>
  <c r="G2874" i="6"/>
  <c r="F2874" i="6"/>
  <c r="D2874" i="6"/>
  <c r="U2874" i="6" s="1"/>
  <c r="C2874" i="6"/>
  <c r="B2874" i="6"/>
  <c r="E2874" i="6" s="1"/>
  <c r="Q2873" i="6"/>
  <c r="N2873" i="6"/>
  <c r="M2873" i="6"/>
  <c r="L2873" i="6"/>
  <c r="K2873" i="6"/>
  <c r="J2873" i="6"/>
  <c r="I2873" i="6"/>
  <c r="P2873" i="6" s="1"/>
  <c r="H2873" i="6"/>
  <c r="G2873" i="6"/>
  <c r="F2873" i="6"/>
  <c r="D2873" i="6"/>
  <c r="U2873" i="6" s="1"/>
  <c r="C2873" i="6"/>
  <c r="B2873" i="6"/>
  <c r="E2873" i="6" s="1"/>
  <c r="Q2872" i="6"/>
  <c r="P2872" i="6"/>
  <c r="N2872" i="6"/>
  <c r="M2872" i="6"/>
  <c r="L2872" i="6"/>
  <c r="K2872" i="6"/>
  <c r="J2872" i="6"/>
  <c r="I2872" i="6"/>
  <c r="H2872" i="6"/>
  <c r="G2872" i="6"/>
  <c r="F2872" i="6"/>
  <c r="D2872" i="6"/>
  <c r="U2872" i="6" s="1"/>
  <c r="C2872" i="6"/>
  <c r="B2872" i="6"/>
  <c r="E2872" i="6" s="1"/>
  <c r="Q2871" i="6"/>
  <c r="N2871" i="6"/>
  <c r="M2871" i="6"/>
  <c r="L2871" i="6"/>
  <c r="K2871" i="6"/>
  <c r="J2871" i="6"/>
  <c r="I2871" i="6"/>
  <c r="P2871" i="6" s="1"/>
  <c r="H2871" i="6"/>
  <c r="G2871" i="6"/>
  <c r="F2871" i="6"/>
  <c r="D2871" i="6"/>
  <c r="U2871" i="6" s="1"/>
  <c r="C2871" i="6"/>
  <c r="B2871" i="6"/>
  <c r="E2871" i="6" s="1"/>
  <c r="Q2870" i="6"/>
  <c r="P2870" i="6"/>
  <c r="N2870" i="6"/>
  <c r="M2870" i="6"/>
  <c r="L2870" i="6"/>
  <c r="K2870" i="6"/>
  <c r="J2870" i="6"/>
  <c r="I2870" i="6"/>
  <c r="H2870" i="6"/>
  <c r="G2870" i="6"/>
  <c r="F2870" i="6"/>
  <c r="D2870" i="6"/>
  <c r="U2870" i="6" s="1"/>
  <c r="C2870" i="6"/>
  <c r="B2870" i="6"/>
  <c r="E2870" i="6" s="1"/>
  <c r="Q2869" i="6"/>
  <c r="N2869" i="6"/>
  <c r="M2869" i="6"/>
  <c r="L2869" i="6"/>
  <c r="K2869" i="6"/>
  <c r="J2869" i="6"/>
  <c r="I2869" i="6"/>
  <c r="P2869" i="6" s="1"/>
  <c r="H2869" i="6"/>
  <c r="G2869" i="6"/>
  <c r="F2869" i="6"/>
  <c r="D2869" i="6"/>
  <c r="U2869" i="6" s="1"/>
  <c r="C2869" i="6"/>
  <c r="B2869" i="6"/>
  <c r="E2869" i="6" s="1"/>
  <c r="Q2868" i="6"/>
  <c r="P2868" i="6"/>
  <c r="N2868" i="6"/>
  <c r="M2868" i="6"/>
  <c r="L2868" i="6"/>
  <c r="K2868" i="6"/>
  <c r="J2868" i="6"/>
  <c r="I2868" i="6"/>
  <c r="H2868" i="6"/>
  <c r="G2868" i="6"/>
  <c r="F2868" i="6"/>
  <c r="D2868" i="6"/>
  <c r="U2868" i="6" s="1"/>
  <c r="C2868" i="6"/>
  <c r="B2868" i="6"/>
  <c r="E2868" i="6" s="1"/>
  <c r="Q2867" i="6"/>
  <c r="N2867" i="6"/>
  <c r="M2867" i="6"/>
  <c r="L2867" i="6"/>
  <c r="K2867" i="6"/>
  <c r="J2867" i="6"/>
  <c r="I2867" i="6"/>
  <c r="P2867" i="6" s="1"/>
  <c r="H2867" i="6"/>
  <c r="G2867" i="6"/>
  <c r="F2867" i="6"/>
  <c r="D2867" i="6"/>
  <c r="U2867" i="6" s="1"/>
  <c r="C2867" i="6"/>
  <c r="B2867" i="6"/>
  <c r="E2867" i="6" s="1"/>
  <c r="Q2866" i="6"/>
  <c r="P2866" i="6"/>
  <c r="N2866" i="6"/>
  <c r="M2866" i="6"/>
  <c r="L2866" i="6"/>
  <c r="K2866" i="6"/>
  <c r="J2866" i="6"/>
  <c r="I2866" i="6"/>
  <c r="H2866" i="6"/>
  <c r="G2866" i="6"/>
  <c r="F2866" i="6"/>
  <c r="D2866" i="6"/>
  <c r="U2866" i="6" s="1"/>
  <c r="C2866" i="6"/>
  <c r="B2866" i="6"/>
  <c r="E2866" i="6" s="1"/>
  <c r="Q2865" i="6"/>
  <c r="N2865" i="6"/>
  <c r="M2865" i="6"/>
  <c r="L2865" i="6"/>
  <c r="K2865" i="6"/>
  <c r="J2865" i="6"/>
  <c r="I2865" i="6"/>
  <c r="P2865" i="6" s="1"/>
  <c r="H2865" i="6"/>
  <c r="G2865" i="6"/>
  <c r="F2865" i="6"/>
  <c r="D2865" i="6"/>
  <c r="U2865" i="6" s="1"/>
  <c r="C2865" i="6"/>
  <c r="B2865" i="6"/>
  <c r="E2865" i="6" s="1"/>
  <c r="Q2864" i="6"/>
  <c r="P2864" i="6"/>
  <c r="N2864" i="6"/>
  <c r="M2864" i="6"/>
  <c r="L2864" i="6"/>
  <c r="K2864" i="6"/>
  <c r="J2864" i="6"/>
  <c r="I2864" i="6"/>
  <c r="H2864" i="6"/>
  <c r="G2864" i="6"/>
  <c r="F2864" i="6"/>
  <c r="D2864" i="6"/>
  <c r="U2864" i="6" s="1"/>
  <c r="C2864" i="6"/>
  <c r="B2864" i="6"/>
  <c r="E2864" i="6" s="1"/>
  <c r="Q2863" i="6"/>
  <c r="N2863" i="6"/>
  <c r="M2863" i="6"/>
  <c r="L2863" i="6"/>
  <c r="K2863" i="6"/>
  <c r="J2863" i="6"/>
  <c r="I2863" i="6"/>
  <c r="P2863" i="6" s="1"/>
  <c r="H2863" i="6"/>
  <c r="G2863" i="6"/>
  <c r="F2863" i="6"/>
  <c r="D2863" i="6"/>
  <c r="U2863" i="6" s="1"/>
  <c r="C2863" i="6"/>
  <c r="B2863" i="6"/>
  <c r="E2863" i="6" s="1"/>
  <c r="Q2862" i="6"/>
  <c r="P2862" i="6"/>
  <c r="N2862" i="6"/>
  <c r="M2862" i="6"/>
  <c r="L2862" i="6"/>
  <c r="K2862" i="6"/>
  <c r="J2862" i="6"/>
  <c r="I2862" i="6"/>
  <c r="H2862" i="6"/>
  <c r="G2862" i="6"/>
  <c r="F2862" i="6"/>
  <c r="D2862" i="6"/>
  <c r="U2862" i="6" s="1"/>
  <c r="C2862" i="6"/>
  <c r="B2862" i="6"/>
  <c r="E2862" i="6" s="1"/>
  <c r="Q2861" i="6"/>
  <c r="N2861" i="6"/>
  <c r="M2861" i="6"/>
  <c r="L2861" i="6"/>
  <c r="K2861" i="6"/>
  <c r="J2861" i="6"/>
  <c r="I2861" i="6"/>
  <c r="P2861" i="6" s="1"/>
  <c r="H2861" i="6"/>
  <c r="G2861" i="6"/>
  <c r="F2861" i="6"/>
  <c r="D2861" i="6"/>
  <c r="U2861" i="6" s="1"/>
  <c r="C2861" i="6"/>
  <c r="B2861" i="6"/>
  <c r="E2861" i="6" s="1"/>
  <c r="Q2860" i="6"/>
  <c r="P2860" i="6"/>
  <c r="N2860" i="6"/>
  <c r="M2860" i="6"/>
  <c r="L2860" i="6"/>
  <c r="K2860" i="6"/>
  <c r="J2860" i="6"/>
  <c r="I2860" i="6"/>
  <c r="H2860" i="6"/>
  <c r="G2860" i="6"/>
  <c r="F2860" i="6"/>
  <c r="D2860" i="6"/>
  <c r="U2860" i="6" s="1"/>
  <c r="C2860" i="6"/>
  <c r="B2860" i="6"/>
  <c r="E2860" i="6" s="1"/>
  <c r="Q2859" i="6"/>
  <c r="N2859" i="6"/>
  <c r="M2859" i="6"/>
  <c r="L2859" i="6"/>
  <c r="K2859" i="6"/>
  <c r="J2859" i="6"/>
  <c r="I2859" i="6"/>
  <c r="P2859" i="6" s="1"/>
  <c r="H2859" i="6"/>
  <c r="G2859" i="6"/>
  <c r="F2859" i="6"/>
  <c r="D2859" i="6"/>
  <c r="U2859" i="6" s="1"/>
  <c r="C2859" i="6"/>
  <c r="B2859" i="6"/>
  <c r="E2859" i="6" s="1"/>
  <c r="Q2858" i="6"/>
  <c r="P2858" i="6"/>
  <c r="N2858" i="6"/>
  <c r="M2858" i="6"/>
  <c r="L2858" i="6"/>
  <c r="K2858" i="6"/>
  <c r="J2858" i="6"/>
  <c r="I2858" i="6"/>
  <c r="H2858" i="6"/>
  <c r="G2858" i="6"/>
  <c r="F2858" i="6"/>
  <c r="D2858" i="6"/>
  <c r="U2858" i="6" s="1"/>
  <c r="C2858" i="6"/>
  <c r="B2858" i="6"/>
  <c r="E2858" i="6" s="1"/>
  <c r="Q2857" i="6"/>
  <c r="N2857" i="6"/>
  <c r="M2857" i="6"/>
  <c r="L2857" i="6"/>
  <c r="K2857" i="6"/>
  <c r="J2857" i="6"/>
  <c r="I2857" i="6"/>
  <c r="P2857" i="6" s="1"/>
  <c r="H2857" i="6"/>
  <c r="G2857" i="6"/>
  <c r="F2857" i="6"/>
  <c r="D2857" i="6"/>
  <c r="U2857" i="6" s="1"/>
  <c r="C2857" i="6"/>
  <c r="B2857" i="6"/>
  <c r="E2857" i="6" s="1"/>
  <c r="Q2856" i="6"/>
  <c r="P2856" i="6"/>
  <c r="N2856" i="6"/>
  <c r="M2856" i="6"/>
  <c r="L2856" i="6"/>
  <c r="K2856" i="6"/>
  <c r="J2856" i="6"/>
  <c r="I2856" i="6"/>
  <c r="H2856" i="6"/>
  <c r="G2856" i="6"/>
  <c r="F2856" i="6"/>
  <c r="D2856" i="6"/>
  <c r="U2856" i="6" s="1"/>
  <c r="C2856" i="6"/>
  <c r="B2856" i="6"/>
  <c r="E2856" i="6" s="1"/>
  <c r="Q2855" i="6"/>
  <c r="N2855" i="6"/>
  <c r="M2855" i="6"/>
  <c r="L2855" i="6"/>
  <c r="K2855" i="6"/>
  <c r="J2855" i="6"/>
  <c r="I2855" i="6"/>
  <c r="P2855" i="6" s="1"/>
  <c r="H2855" i="6"/>
  <c r="G2855" i="6"/>
  <c r="F2855" i="6"/>
  <c r="D2855" i="6"/>
  <c r="U2855" i="6" s="1"/>
  <c r="C2855" i="6"/>
  <c r="B2855" i="6"/>
  <c r="E2855" i="6" s="1"/>
  <c r="Q2854" i="6"/>
  <c r="P2854" i="6"/>
  <c r="N2854" i="6"/>
  <c r="M2854" i="6"/>
  <c r="L2854" i="6"/>
  <c r="K2854" i="6"/>
  <c r="J2854" i="6"/>
  <c r="I2854" i="6"/>
  <c r="H2854" i="6"/>
  <c r="G2854" i="6"/>
  <c r="F2854" i="6"/>
  <c r="D2854" i="6"/>
  <c r="U2854" i="6" s="1"/>
  <c r="C2854" i="6"/>
  <c r="B2854" i="6"/>
  <c r="E2854" i="6" s="1"/>
  <c r="Q2853" i="6"/>
  <c r="N2853" i="6"/>
  <c r="M2853" i="6"/>
  <c r="L2853" i="6"/>
  <c r="K2853" i="6"/>
  <c r="J2853" i="6"/>
  <c r="I2853" i="6"/>
  <c r="P2853" i="6" s="1"/>
  <c r="H2853" i="6"/>
  <c r="G2853" i="6"/>
  <c r="F2853" i="6"/>
  <c r="D2853" i="6"/>
  <c r="U2853" i="6" s="1"/>
  <c r="C2853" i="6"/>
  <c r="B2853" i="6"/>
  <c r="E2853" i="6" s="1"/>
  <c r="Q2852" i="6"/>
  <c r="P2852" i="6"/>
  <c r="N2852" i="6"/>
  <c r="M2852" i="6"/>
  <c r="L2852" i="6"/>
  <c r="K2852" i="6"/>
  <c r="J2852" i="6"/>
  <c r="I2852" i="6"/>
  <c r="H2852" i="6"/>
  <c r="G2852" i="6"/>
  <c r="F2852" i="6"/>
  <c r="D2852" i="6"/>
  <c r="U2852" i="6" s="1"/>
  <c r="C2852" i="6"/>
  <c r="B2852" i="6"/>
  <c r="E2852" i="6" s="1"/>
  <c r="Q2851" i="6"/>
  <c r="N2851" i="6"/>
  <c r="M2851" i="6"/>
  <c r="L2851" i="6"/>
  <c r="K2851" i="6"/>
  <c r="J2851" i="6"/>
  <c r="I2851" i="6"/>
  <c r="P2851" i="6" s="1"/>
  <c r="H2851" i="6"/>
  <c r="G2851" i="6"/>
  <c r="F2851" i="6"/>
  <c r="D2851" i="6"/>
  <c r="U2851" i="6" s="1"/>
  <c r="C2851" i="6"/>
  <c r="B2851" i="6"/>
  <c r="E2851" i="6" s="1"/>
  <c r="Q2850" i="6"/>
  <c r="P2850" i="6"/>
  <c r="N2850" i="6"/>
  <c r="M2850" i="6"/>
  <c r="L2850" i="6"/>
  <c r="K2850" i="6"/>
  <c r="J2850" i="6"/>
  <c r="I2850" i="6"/>
  <c r="H2850" i="6"/>
  <c r="G2850" i="6"/>
  <c r="F2850" i="6"/>
  <c r="D2850" i="6"/>
  <c r="U2850" i="6" s="1"/>
  <c r="C2850" i="6"/>
  <c r="B2850" i="6"/>
  <c r="E2850" i="6" s="1"/>
  <c r="Q2849" i="6"/>
  <c r="N2849" i="6"/>
  <c r="M2849" i="6"/>
  <c r="L2849" i="6"/>
  <c r="K2849" i="6"/>
  <c r="J2849" i="6"/>
  <c r="I2849" i="6"/>
  <c r="P2849" i="6" s="1"/>
  <c r="H2849" i="6"/>
  <c r="G2849" i="6"/>
  <c r="F2849" i="6"/>
  <c r="D2849" i="6"/>
  <c r="U2849" i="6" s="1"/>
  <c r="C2849" i="6"/>
  <c r="B2849" i="6"/>
  <c r="E2849" i="6" s="1"/>
  <c r="Q2848" i="6"/>
  <c r="P2848" i="6"/>
  <c r="N2848" i="6"/>
  <c r="M2848" i="6"/>
  <c r="L2848" i="6"/>
  <c r="K2848" i="6"/>
  <c r="J2848" i="6"/>
  <c r="I2848" i="6"/>
  <c r="H2848" i="6"/>
  <c r="G2848" i="6"/>
  <c r="F2848" i="6"/>
  <c r="D2848" i="6"/>
  <c r="U2848" i="6" s="1"/>
  <c r="C2848" i="6"/>
  <c r="B2848" i="6"/>
  <c r="E2848" i="6" s="1"/>
  <c r="Q2847" i="6"/>
  <c r="N2847" i="6"/>
  <c r="M2847" i="6"/>
  <c r="L2847" i="6"/>
  <c r="K2847" i="6"/>
  <c r="J2847" i="6"/>
  <c r="I2847" i="6"/>
  <c r="P2847" i="6" s="1"/>
  <c r="H2847" i="6"/>
  <c r="G2847" i="6"/>
  <c r="F2847" i="6"/>
  <c r="D2847" i="6"/>
  <c r="U2847" i="6" s="1"/>
  <c r="C2847" i="6"/>
  <c r="B2847" i="6"/>
  <c r="E2847" i="6" s="1"/>
  <c r="Q2846" i="6"/>
  <c r="P2846" i="6"/>
  <c r="N2846" i="6"/>
  <c r="M2846" i="6"/>
  <c r="L2846" i="6"/>
  <c r="K2846" i="6"/>
  <c r="J2846" i="6"/>
  <c r="I2846" i="6"/>
  <c r="H2846" i="6"/>
  <c r="G2846" i="6"/>
  <c r="F2846" i="6"/>
  <c r="D2846" i="6"/>
  <c r="U2846" i="6" s="1"/>
  <c r="C2846" i="6"/>
  <c r="B2846" i="6"/>
  <c r="E2846" i="6" s="1"/>
  <c r="Q2845" i="6"/>
  <c r="N2845" i="6"/>
  <c r="M2845" i="6"/>
  <c r="L2845" i="6"/>
  <c r="K2845" i="6"/>
  <c r="J2845" i="6"/>
  <c r="I2845" i="6"/>
  <c r="P2845" i="6" s="1"/>
  <c r="H2845" i="6"/>
  <c r="G2845" i="6"/>
  <c r="F2845" i="6"/>
  <c r="D2845" i="6"/>
  <c r="U2845" i="6" s="1"/>
  <c r="C2845" i="6"/>
  <c r="B2845" i="6"/>
  <c r="E2845" i="6" s="1"/>
  <c r="Q2844" i="6"/>
  <c r="P2844" i="6"/>
  <c r="N2844" i="6"/>
  <c r="M2844" i="6"/>
  <c r="L2844" i="6"/>
  <c r="K2844" i="6"/>
  <c r="J2844" i="6"/>
  <c r="I2844" i="6"/>
  <c r="H2844" i="6"/>
  <c r="G2844" i="6"/>
  <c r="F2844" i="6"/>
  <c r="D2844" i="6"/>
  <c r="U2844" i="6" s="1"/>
  <c r="C2844" i="6"/>
  <c r="B2844" i="6"/>
  <c r="E2844" i="6" s="1"/>
  <c r="Q2843" i="6"/>
  <c r="N2843" i="6"/>
  <c r="M2843" i="6"/>
  <c r="L2843" i="6"/>
  <c r="K2843" i="6"/>
  <c r="J2843" i="6"/>
  <c r="I2843" i="6"/>
  <c r="P2843" i="6" s="1"/>
  <c r="H2843" i="6"/>
  <c r="G2843" i="6"/>
  <c r="F2843" i="6"/>
  <c r="D2843" i="6"/>
  <c r="U2843" i="6" s="1"/>
  <c r="C2843" i="6"/>
  <c r="B2843" i="6"/>
  <c r="E2843" i="6" s="1"/>
  <c r="Q2842" i="6"/>
  <c r="P2842" i="6"/>
  <c r="N2842" i="6"/>
  <c r="M2842" i="6"/>
  <c r="L2842" i="6"/>
  <c r="K2842" i="6"/>
  <c r="J2842" i="6"/>
  <c r="I2842" i="6"/>
  <c r="H2842" i="6"/>
  <c r="G2842" i="6"/>
  <c r="F2842" i="6"/>
  <c r="D2842" i="6"/>
  <c r="U2842" i="6" s="1"/>
  <c r="C2842" i="6"/>
  <c r="B2842" i="6"/>
  <c r="E2842" i="6" s="1"/>
  <c r="Q2841" i="6"/>
  <c r="N2841" i="6"/>
  <c r="M2841" i="6"/>
  <c r="L2841" i="6"/>
  <c r="K2841" i="6"/>
  <c r="J2841" i="6"/>
  <c r="I2841" i="6"/>
  <c r="P2841" i="6" s="1"/>
  <c r="H2841" i="6"/>
  <c r="G2841" i="6"/>
  <c r="F2841" i="6"/>
  <c r="D2841" i="6"/>
  <c r="U2841" i="6" s="1"/>
  <c r="C2841" i="6"/>
  <c r="B2841" i="6"/>
  <c r="E2841" i="6" s="1"/>
  <c r="Q2840" i="6"/>
  <c r="P2840" i="6"/>
  <c r="N2840" i="6"/>
  <c r="M2840" i="6"/>
  <c r="L2840" i="6"/>
  <c r="K2840" i="6"/>
  <c r="J2840" i="6"/>
  <c r="I2840" i="6"/>
  <c r="H2840" i="6"/>
  <c r="G2840" i="6"/>
  <c r="F2840" i="6"/>
  <c r="D2840" i="6"/>
  <c r="U2840" i="6" s="1"/>
  <c r="C2840" i="6"/>
  <c r="B2840" i="6"/>
  <c r="E2840" i="6" s="1"/>
  <c r="Q2839" i="6"/>
  <c r="N2839" i="6"/>
  <c r="M2839" i="6"/>
  <c r="L2839" i="6"/>
  <c r="K2839" i="6"/>
  <c r="J2839" i="6"/>
  <c r="I2839" i="6"/>
  <c r="P2839" i="6" s="1"/>
  <c r="H2839" i="6"/>
  <c r="G2839" i="6"/>
  <c r="F2839" i="6"/>
  <c r="D2839" i="6"/>
  <c r="U2839" i="6" s="1"/>
  <c r="C2839" i="6"/>
  <c r="B2839" i="6"/>
  <c r="E2839" i="6" s="1"/>
  <c r="Q2838" i="6"/>
  <c r="P2838" i="6"/>
  <c r="N2838" i="6"/>
  <c r="M2838" i="6"/>
  <c r="L2838" i="6"/>
  <c r="K2838" i="6"/>
  <c r="J2838" i="6"/>
  <c r="I2838" i="6"/>
  <c r="H2838" i="6"/>
  <c r="G2838" i="6"/>
  <c r="F2838" i="6"/>
  <c r="D2838" i="6"/>
  <c r="U2838" i="6" s="1"/>
  <c r="C2838" i="6"/>
  <c r="B2838" i="6"/>
  <c r="E2838" i="6" s="1"/>
  <c r="Q2837" i="6"/>
  <c r="N2837" i="6"/>
  <c r="M2837" i="6"/>
  <c r="L2837" i="6"/>
  <c r="K2837" i="6"/>
  <c r="J2837" i="6"/>
  <c r="I2837" i="6"/>
  <c r="P2837" i="6" s="1"/>
  <c r="H2837" i="6"/>
  <c r="G2837" i="6"/>
  <c r="F2837" i="6"/>
  <c r="D2837" i="6"/>
  <c r="U2837" i="6" s="1"/>
  <c r="C2837" i="6"/>
  <c r="B2837" i="6"/>
  <c r="E2837" i="6" s="1"/>
  <c r="Q2836" i="6"/>
  <c r="P2836" i="6"/>
  <c r="N2836" i="6"/>
  <c r="M2836" i="6"/>
  <c r="L2836" i="6"/>
  <c r="K2836" i="6"/>
  <c r="J2836" i="6"/>
  <c r="I2836" i="6"/>
  <c r="H2836" i="6"/>
  <c r="G2836" i="6"/>
  <c r="F2836" i="6"/>
  <c r="D2836" i="6"/>
  <c r="U2836" i="6" s="1"/>
  <c r="C2836" i="6"/>
  <c r="B2836" i="6"/>
  <c r="Q2835" i="6"/>
  <c r="N2835" i="6"/>
  <c r="M2835" i="6"/>
  <c r="L2835" i="6"/>
  <c r="K2835" i="6"/>
  <c r="J2835" i="6"/>
  <c r="I2835" i="6"/>
  <c r="P2835" i="6" s="1"/>
  <c r="H2835" i="6"/>
  <c r="G2835" i="6"/>
  <c r="F2835" i="6"/>
  <c r="D2835" i="6"/>
  <c r="U2835" i="6" s="1"/>
  <c r="C2835" i="6"/>
  <c r="B2835" i="6"/>
  <c r="Q2834" i="6"/>
  <c r="P2834" i="6"/>
  <c r="N2834" i="6"/>
  <c r="M2834" i="6"/>
  <c r="L2834" i="6"/>
  <c r="K2834" i="6"/>
  <c r="J2834" i="6"/>
  <c r="I2834" i="6"/>
  <c r="H2834" i="6"/>
  <c r="G2834" i="6"/>
  <c r="F2834" i="6"/>
  <c r="D2834" i="6"/>
  <c r="U2834" i="6" s="1"/>
  <c r="C2834" i="6"/>
  <c r="B2834" i="6"/>
  <c r="Q2833" i="6"/>
  <c r="N2833" i="6"/>
  <c r="M2833" i="6"/>
  <c r="L2833" i="6"/>
  <c r="K2833" i="6"/>
  <c r="J2833" i="6"/>
  <c r="I2833" i="6"/>
  <c r="P2833" i="6" s="1"/>
  <c r="H2833" i="6"/>
  <c r="G2833" i="6"/>
  <c r="F2833" i="6"/>
  <c r="D2833" i="6"/>
  <c r="U2833" i="6" s="1"/>
  <c r="C2833" i="6"/>
  <c r="B2833" i="6"/>
  <c r="Q2832" i="6"/>
  <c r="P2832" i="6"/>
  <c r="N2832" i="6"/>
  <c r="M2832" i="6"/>
  <c r="L2832" i="6"/>
  <c r="K2832" i="6"/>
  <c r="J2832" i="6"/>
  <c r="I2832" i="6"/>
  <c r="H2832" i="6"/>
  <c r="G2832" i="6"/>
  <c r="F2832" i="6"/>
  <c r="D2832" i="6"/>
  <c r="U2832" i="6" s="1"/>
  <c r="C2832" i="6"/>
  <c r="B2832" i="6"/>
  <c r="Q2831" i="6"/>
  <c r="N2831" i="6"/>
  <c r="M2831" i="6"/>
  <c r="L2831" i="6"/>
  <c r="K2831" i="6"/>
  <c r="J2831" i="6"/>
  <c r="I2831" i="6"/>
  <c r="P2831" i="6" s="1"/>
  <c r="H2831" i="6"/>
  <c r="G2831" i="6"/>
  <c r="F2831" i="6"/>
  <c r="D2831" i="6"/>
  <c r="U2831" i="6" s="1"/>
  <c r="C2831" i="6"/>
  <c r="B2831" i="6"/>
  <c r="Q2830" i="6"/>
  <c r="P2830" i="6"/>
  <c r="N2830" i="6"/>
  <c r="M2830" i="6"/>
  <c r="L2830" i="6"/>
  <c r="K2830" i="6"/>
  <c r="J2830" i="6"/>
  <c r="I2830" i="6"/>
  <c r="H2830" i="6"/>
  <c r="G2830" i="6"/>
  <c r="F2830" i="6"/>
  <c r="D2830" i="6"/>
  <c r="U2830" i="6" s="1"/>
  <c r="C2830" i="6"/>
  <c r="B2830" i="6"/>
  <c r="Q2829" i="6"/>
  <c r="N2829" i="6"/>
  <c r="M2829" i="6"/>
  <c r="L2829" i="6"/>
  <c r="K2829" i="6"/>
  <c r="J2829" i="6"/>
  <c r="I2829" i="6"/>
  <c r="P2829" i="6" s="1"/>
  <c r="H2829" i="6"/>
  <c r="G2829" i="6"/>
  <c r="F2829" i="6"/>
  <c r="D2829" i="6"/>
  <c r="U2829" i="6" s="1"/>
  <c r="C2829" i="6"/>
  <c r="B2829" i="6"/>
  <c r="Q2828" i="6"/>
  <c r="P2828" i="6"/>
  <c r="N2828" i="6"/>
  <c r="M2828" i="6"/>
  <c r="L2828" i="6"/>
  <c r="K2828" i="6"/>
  <c r="J2828" i="6"/>
  <c r="I2828" i="6"/>
  <c r="H2828" i="6"/>
  <c r="G2828" i="6"/>
  <c r="F2828" i="6"/>
  <c r="D2828" i="6"/>
  <c r="U2828" i="6" s="1"/>
  <c r="C2828" i="6"/>
  <c r="B2828" i="6"/>
  <c r="Q2827" i="6"/>
  <c r="N2827" i="6"/>
  <c r="M2827" i="6"/>
  <c r="L2827" i="6"/>
  <c r="K2827" i="6"/>
  <c r="J2827" i="6"/>
  <c r="I2827" i="6"/>
  <c r="P2827" i="6" s="1"/>
  <c r="H2827" i="6"/>
  <c r="G2827" i="6"/>
  <c r="F2827" i="6"/>
  <c r="D2827" i="6"/>
  <c r="U2827" i="6" s="1"/>
  <c r="C2827" i="6"/>
  <c r="B2827" i="6"/>
  <c r="Q2826" i="6"/>
  <c r="P2826" i="6"/>
  <c r="N2826" i="6"/>
  <c r="M2826" i="6"/>
  <c r="L2826" i="6"/>
  <c r="K2826" i="6"/>
  <c r="J2826" i="6"/>
  <c r="I2826" i="6"/>
  <c r="H2826" i="6"/>
  <c r="G2826" i="6"/>
  <c r="F2826" i="6"/>
  <c r="D2826" i="6"/>
  <c r="U2826" i="6" s="1"/>
  <c r="C2826" i="6"/>
  <c r="B2826" i="6"/>
  <c r="Q2825" i="6"/>
  <c r="N2825" i="6"/>
  <c r="M2825" i="6"/>
  <c r="L2825" i="6"/>
  <c r="K2825" i="6"/>
  <c r="J2825" i="6"/>
  <c r="I2825" i="6"/>
  <c r="P2825" i="6" s="1"/>
  <c r="H2825" i="6"/>
  <c r="G2825" i="6"/>
  <c r="F2825" i="6"/>
  <c r="D2825" i="6"/>
  <c r="U2825" i="6" s="1"/>
  <c r="C2825" i="6"/>
  <c r="B2825" i="6"/>
  <c r="Q2824" i="6"/>
  <c r="P2824" i="6"/>
  <c r="N2824" i="6"/>
  <c r="M2824" i="6"/>
  <c r="L2824" i="6"/>
  <c r="K2824" i="6"/>
  <c r="J2824" i="6"/>
  <c r="I2824" i="6"/>
  <c r="H2824" i="6"/>
  <c r="G2824" i="6"/>
  <c r="F2824" i="6"/>
  <c r="D2824" i="6"/>
  <c r="U2824" i="6" s="1"/>
  <c r="C2824" i="6"/>
  <c r="B2824" i="6"/>
  <c r="Q2823" i="6"/>
  <c r="N2823" i="6"/>
  <c r="M2823" i="6"/>
  <c r="L2823" i="6"/>
  <c r="K2823" i="6"/>
  <c r="J2823" i="6"/>
  <c r="I2823" i="6"/>
  <c r="P2823" i="6" s="1"/>
  <c r="H2823" i="6"/>
  <c r="G2823" i="6"/>
  <c r="F2823" i="6"/>
  <c r="D2823" i="6"/>
  <c r="U2823" i="6" s="1"/>
  <c r="C2823" i="6"/>
  <c r="B2823" i="6"/>
  <c r="Q2822" i="6"/>
  <c r="P2822" i="6"/>
  <c r="N2822" i="6"/>
  <c r="M2822" i="6"/>
  <c r="L2822" i="6"/>
  <c r="K2822" i="6"/>
  <c r="J2822" i="6"/>
  <c r="I2822" i="6"/>
  <c r="H2822" i="6"/>
  <c r="G2822" i="6"/>
  <c r="F2822" i="6"/>
  <c r="D2822" i="6"/>
  <c r="U2822" i="6" s="1"/>
  <c r="C2822" i="6"/>
  <c r="B2822" i="6"/>
  <c r="Q2821" i="6"/>
  <c r="N2821" i="6"/>
  <c r="M2821" i="6"/>
  <c r="L2821" i="6"/>
  <c r="K2821" i="6"/>
  <c r="J2821" i="6"/>
  <c r="I2821" i="6"/>
  <c r="P2821" i="6" s="1"/>
  <c r="H2821" i="6"/>
  <c r="G2821" i="6"/>
  <c r="F2821" i="6"/>
  <c r="D2821" i="6"/>
  <c r="U2821" i="6" s="1"/>
  <c r="C2821" i="6"/>
  <c r="B2821" i="6"/>
  <c r="Q2820" i="6"/>
  <c r="P2820" i="6"/>
  <c r="N2820" i="6"/>
  <c r="M2820" i="6"/>
  <c r="L2820" i="6"/>
  <c r="K2820" i="6"/>
  <c r="J2820" i="6"/>
  <c r="I2820" i="6"/>
  <c r="H2820" i="6"/>
  <c r="G2820" i="6"/>
  <c r="F2820" i="6"/>
  <c r="D2820" i="6"/>
  <c r="U2820" i="6" s="1"/>
  <c r="C2820" i="6"/>
  <c r="B2820" i="6"/>
  <c r="Q2819" i="6"/>
  <c r="N2819" i="6"/>
  <c r="M2819" i="6"/>
  <c r="L2819" i="6"/>
  <c r="K2819" i="6"/>
  <c r="J2819" i="6"/>
  <c r="I2819" i="6"/>
  <c r="P2819" i="6" s="1"/>
  <c r="H2819" i="6"/>
  <c r="G2819" i="6"/>
  <c r="F2819" i="6"/>
  <c r="D2819" i="6"/>
  <c r="U2819" i="6" s="1"/>
  <c r="C2819" i="6"/>
  <c r="B2819" i="6"/>
  <c r="Q2818" i="6"/>
  <c r="P2818" i="6"/>
  <c r="N2818" i="6"/>
  <c r="M2818" i="6"/>
  <c r="L2818" i="6"/>
  <c r="K2818" i="6"/>
  <c r="J2818" i="6"/>
  <c r="I2818" i="6"/>
  <c r="H2818" i="6"/>
  <c r="G2818" i="6"/>
  <c r="F2818" i="6"/>
  <c r="D2818" i="6"/>
  <c r="U2818" i="6" s="1"/>
  <c r="C2818" i="6"/>
  <c r="B2818" i="6"/>
  <c r="Q2817" i="6"/>
  <c r="N2817" i="6"/>
  <c r="M2817" i="6"/>
  <c r="L2817" i="6"/>
  <c r="K2817" i="6"/>
  <c r="J2817" i="6"/>
  <c r="I2817" i="6"/>
  <c r="P2817" i="6" s="1"/>
  <c r="H2817" i="6"/>
  <c r="G2817" i="6"/>
  <c r="F2817" i="6"/>
  <c r="D2817" i="6"/>
  <c r="U2817" i="6" s="1"/>
  <c r="C2817" i="6"/>
  <c r="B2817" i="6"/>
  <c r="Q2816" i="6"/>
  <c r="P2816" i="6"/>
  <c r="N2816" i="6"/>
  <c r="M2816" i="6"/>
  <c r="L2816" i="6"/>
  <c r="K2816" i="6"/>
  <c r="J2816" i="6"/>
  <c r="I2816" i="6"/>
  <c r="H2816" i="6"/>
  <c r="G2816" i="6"/>
  <c r="F2816" i="6"/>
  <c r="D2816" i="6"/>
  <c r="U2816" i="6" s="1"/>
  <c r="C2816" i="6"/>
  <c r="B2816" i="6"/>
  <c r="Q2815" i="6"/>
  <c r="N2815" i="6"/>
  <c r="M2815" i="6"/>
  <c r="L2815" i="6"/>
  <c r="K2815" i="6"/>
  <c r="J2815" i="6"/>
  <c r="I2815" i="6"/>
  <c r="P2815" i="6" s="1"/>
  <c r="H2815" i="6"/>
  <c r="G2815" i="6"/>
  <c r="F2815" i="6"/>
  <c r="D2815" i="6"/>
  <c r="U2815" i="6" s="1"/>
  <c r="C2815" i="6"/>
  <c r="B2815" i="6"/>
  <c r="Q2814" i="6"/>
  <c r="P2814" i="6"/>
  <c r="N2814" i="6"/>
  <c r="M2814" i="6"/>
  <c r="L2814" i="6"/>
  <c r="K2814" i="6"/>
  <c r="J2814" i="6"/>
  <c r="I2814" i="6"/>
  <c r="H2814" i="6"/>
  <c r="G2814" i="6"/>
  <c r="F2814" i="6"/>
  <c r="D2814" i="6"/>
  <c r="U2814" i="6" s="1"/>
  <c r="C2814" i="6"/>
  <c r="B2814" i="6"/>
  <c r="Q2813" i="6"/>
  <c r="N2813" i="6"/>
  <c r="M2813" i="6"/>
  <c r="L2813" i="6"/>
  <c r="K2813" i="6"/>
  <c r="J2813" i="6"/>
  <c r="I2813" i="6"/>
  <c r="P2813" i="6" s="1"/>
  <c r="H2813" i="6"/>
  <c r="G2813" i="6"/>
  <c r="F2813" i="6"/>
  <c r="D2813" i="6"/>
  <c r="U2813" i="6" s="1"/>
  <c r="C2813" i="6"/>
  <c r="B2813" i="6"/>
  <c r="Q2812" i="6"/>
  <c r="P2812" i="6"/>
  <c r="N2812" i="6"/>
  <c r="M2812" i="6"/>
  <c r="L2812" i="6"/>
  <c r="K2812" i="6"/>
  <c r="J2812" i="6"/>
  <c r="I2812" i="6"/>
  <c r="H2812" i="6"/>
  <c r="G2812" i="6"/>
  <c r="F2812" i="6"/>
  <c r="D2812" i="6"/>
  <c r="U2812" i="6" s="1"/>
  <c r="C2812" i="6"/>
  <c r="B2812" i="6"/>
  <c r="Q2811" i="6"/>
  <c r="N2811" i="6"/>
  <c r="M2811" i="6"/>
  <c r="L2811" i="6"/>
  <c r="K2811" i="6"/>
  <c r="J2811" i="6"/>
  <c r="I2811" i="6"/>
  <c r="P2811" i="6" s="1"/>
  <c r="H2811" i="6"/>
  <c r="G2811" i="6"/>
  <c r="F2811" i="6"/>
  <c r="D2811" i="6"/>
  <c r="U2811" i="6" s="1"/>
  <c r="C2811" i="6"/>
  <c r="B2811" i="6"/>
  <c r="Q2810" i="6"/>
  <c r="P2810" i="6"/>
  <c r="N2810" i="6"/>
  <c r="M2810" i="6"/>
  <c r="L2810" i="6"/>
  <c r="K2810" i="6"/>
  <c r="J2810" i="6"/>
  <c r="I2810" i="6"/>
  <c r="H2810" i="6"/>
  <c r="G2810" i="6"/>
  <c r="F2810" i="6"/>
  <c r="D2810" i="6"/>
  <c r="U2810" i="6" s="1"/>
  <c r="C2810" i="6"/>
  <c r="B2810" i="6"/>
  <c r="Q2809" i="6"/>
  <c r="N2809" i="6"/>
  <c r="M2809" i="6"/>
  <c r="L2809" i="6"/>
  <c r="K2809" i="6"/>
  <c r="J2809" i="6"/>
  <c r="I2809" i="6"/>
  <c r="P2809" i="6" s="1"/>
  <c r="H2809" i="6"/>
  <c r="G2809" i="6"/>
  <c r="F2809" i="6"/>
  <c r="D2809" i="6"/>
  <c r="U2809" i="6" s="1"/>
  <c r="C2809" i="6"/>
  <c r="B2809" i="6"/>
  <c r="Q2808" i="6"/>
  <c r="P2808" i="6"/>
  <c r="N2808" i="6"/>
  <c r="M2808" i="6"/>
  <c r="L2808" i="6"/>
  <c r="K2808" i="6"/>
  <c r="J2808" i="6"/>
  <c r="I2808" i="6"/>
  <c r="H2808" i="6"/>
  <c r="G2808" i="6"/>
  <c r="F2808" i="6"/>
  <c r="D2808" i="6"/>
  <c r="U2808" i="6" s="1"/>
  <c r="C2808" i="6"/>
  <c r="B2808" i="6"/>
  <c r="Q2807" i="6"/>
  <c r="N2807" i="6"/>
  <c r="M2807" i="6"/>
  <c r="L2807" i="6"/>
  <c r="K2807" i="6"/>
  <c r="J2807" i="6"/>
  <c r="I2807" i="6"/>
  <c r="P2807" i="6" s="1"/>
  <c r="H2807" i="6"/>
  <c r="G2807" i="6"/>
  <c r="F2807" i="6"/>
  <c r="D2807" i="6"/>
  <c r="U2807" i="6" s="1"/>
  <c r="C2807" i="6"/>
  <c r="B2807" i="6"/>
  <c r="Q2806" i="6"/>
  <c r="P2806" i="6"/>
  <c r="N2806" i="6"/>
  <c r="M2806" i="6"/>
  <c r="L2806" i="6"/>
  <c r="K2806" i="6"/>
  <c r="J2806" i="6"/>
  <c r="I2806" i="6"/>
  <c r="H2806" i="6"/>
  <c r="G2806" i="6"/>
  <c r="F2806" i="6"/>
  <c r="D2806" i="6"/>
  <c r="U2806" i="6" s="1"/>
  <c r="C2806" i="6"/>
  <c r="B2806" i="6"/>
  <c r="Q2805" i="6"/>
  <c r="N2805" i="6"/>
  <c r="M2805" i="6"/>
  <c r="L2805" i="6"/>
  <c r="K2805" i="6"/>
  <c r="J2805" i="6"/>
  <c r="I2805" i="6"/>
  <c r="P2805" i="6" s="1"/>
  <c r="H2805" i="6"/>
  <c r="G2805" i="6"/>
  <c r="F2805" i="6"/>
  <c r="D2805" i="6"/>
  <c r="U2805" i="6" s="1"/>
  <c r="C2805" i="6"/>
  <c r="B2805" i="6"/>
  <c r="Q2804" i="6"/>
  <c r="P2804" i="6"/>
  <c r="N2804" i="6"/>
  <c r="M2804" i="6"/>
  <c r="L2804" i="6"/>
  <c r="K2804" i="6"/>
  <c r="J2804" i="6"/>
  <c r="I2804" i="6"/>
  <c r="H2804" i="6"/>
  <c r="G2804" i="6"/>
  <c r="F2804" i="6"/>
  <c r="D2804" i="6"/>
  <c r="U2804" i="6" s="1"/>
  <c r="C2804" i="6"/>
  <c r="B2804" i="6"/>
  <c r="Q2803" i="6"/>
  <c r="N2803" i="6"/>
  <c r="M2803" i="6"/>
  <c r="L2803" i="6"/>
  <c r="K2803" i="6"/>
  <c r="J2803" i="6"/>
  <c r="I2803" i="6"/>
  <c r="P2803" i="6" s="1"/>
  <c r="H2803" i="6"/>
  <c r="G2803" i="6"/>
  <c r="F2803" i="6"/>
  <c r="D2803" i="6"/>
  <c r="U2803" i="6" s="1"/>
  <c r="C2803" i="6"/>
  <c r="B2803" i="6"/>
  <c r="Q2802" i="6"/>
  <c r="P2802" i="6"/>
  <c r="N2802" i="6"/>
  <c r="M2802" i="6"/>
  <c r="L2802" i="6"/>
  <c r="K2802" i="6"/>
  <c r="J2802" i="6"/>
  <c r="I2802" i="6"/>
  <c r="H2802" i="6"/>
  <c r="G2802" i="6"/>
  <c r="F2802" i="6"/>
  <c r="D2802" i="6"/>
  <c r="U2802" i="6" s="1"/>
  <c r="C2802" i="6"/>
  <c r="B2802" i="6"/>
  <c r="Q2801" i="6"/>
  <c r="N2801" i="6"/>
  <c r="M2801" i="6"/>
  <c r="L2801" i="6"/>
  <c r="K2801" i="6"/>
  <c r="J2801" i="6"/>
  <c r="I2801" i="6"/>
  <c r="P2801" i="6" s="1"/>
  <c r="H2801" i="6"/>
  <c r="G2801" i="6"/>
  <c r="F2801" i="6"/>
  <c r="D2801" i="6"/>
  <c r="U2801" i="6" s="1"/>
  <c r="C2801" i="6"/>
  <c r="B2801" i="6"/>
  <c r="Q2800" i="6"/>
  <c r="P2800" i="6"/>
  <c r="N2800" i="6"/>
  <c r="M2800" i="6"/>
  <c r="L2800" i="6"/>
  <c r="K2800" i="6"/>
  <c r="J2800" i="6"/>
  <c r="I2800" i="6"/>
  <c r="H2800" i="6"/>
  <c r="G2800" i="6"/>
  <c r="F2800" i="6"/>
  <c r="D2800" i="6"/>
  <c r="U2800" i="6" s="1"/>
  <c r="C2800" i="6"/>
  <c r="B2800" i="6"/>
  <c r="Q2799" i="6"/>
  <c r="N2799" i="6"/>
  <c r="M2799" i="6"/>
  <c r="L2799" i="6"/>
  <c r="K2799" i="6"/>
  <c r="J2799" i="6"/>
  <c r="I2799" i="6"/>
  <c r="P2799" i="6" s="1"/>
  <c r="H2799" i="6"/>
  <c r="G2799" i="6"/>
  <c r="F2799" i="6"/>
  <c r="D2799" i="6"/>
  <c r="U2799" i="6" s="1"/>
  <c r="C2799" i="6"/>
  <c r="B2799" i="6"/>
  <c r="Q2798" i="6"/>
  <c r="P2798" i="6"/>
  <c r="N2798" i="6"/>
  <c r="M2798" i="6"/>
  <c r="L2798" i="6"/>
  <c r="K2798" i="6"/>
  <c r="J2798" i="6"/>
  <c r="I2798" i="6"/>
  <c r="H2798" i="6"/>
  <c r="G2798" i="6"/>
  <c r="F2798" i="6"/>
  <c r="D2798" i="6"/>
  <c r="U2798" i="6" s="1"/>
  <c r="C2798" i="6"/>
  <c r="B2798" i="6"/>
  <c r="Q2797" i="6"/>
  <c r="N2797" i="6"/>
  <c r="M2797" i="6"/>
  <c r="L2797" i="6"/>
  <c r="K2797" i="6"/>
  <c r="J2797" i="6"/>
  <c r="I2797" i="6"/>
  <c r="P2797" i="6" s="1"/>
  <c r="H2797" i="6"/>
  <c r="G2797" i="6"/>
  <c r="F2797" i="6"/>
  <c r="D2797" i="6"/>
  <c r="U2797" i="6" s="1"/>
  <c r="C2797" i="6"/>
  <c r="B2797" i="6"/>
  <c r="Q2796" i="6"/>
  <c r="P2796" i="6"/>
  <c r="N2796" i="6"/>
  <c r="M2796" i="6"/>
  <c r="L2796" i="6"/>
  <c r="K2796" i="6"/>
  <c r="J2796" i="6"/>
  <c r="I2796" i="6"/>
  <c r="H2796" i="6"/>
  <c r="G2796" i="6"/>
  <c r="F2796" i="6"/>
  <c r="D2796" i="6"/>
  <c r="U2796" i="6" s="1"/>
  <c r="C2796" i="6"/>
  <c r="B2796" i="6"/>
  <c r="Q2795" i="6"/>
  <c r="N2795" i="6"/>
  <c r="M2795" i="6"/>
  <c r="L2795" i="6"/>
  <c r="K2795" i="6"/>
  <c r="J2795" i="6"/>
  <c r="I2795" i="6"/>
  <c r="P2795" i="6" s="1"/>
  <c r="H2795" i="6"/>
  <c r="G2795" i="6"/>
  <c r="F2795" i="6"/>
  <c r="D2795" i="6"/>
  <c r="U2795" i="6" s="1"/>
  <c r="C2795" i="6"/>
  <c r="B2795" i="6"/>
  <c r="Q2794" i="6"/>
  <c r="P2794" i="6"/>
  <c r="N2794" i="6"/>
  <c r="M2794" i="6"/>
  <c r="L2794" i="6"/>
  <c r="K2794" i="6"/>
  <c r="J2794" i="6"/>
  <c r="I2794" i="6"/>
  <c r="H2794" i="6"/>
  <c r="G2794" i="6"/>
  <c r="F2794" i="6"/>
  <c r="D2794" i="6"/>
  <c r="U2794" i="6" s="1"/>
  <c r="C2794" i="6"/>
  <c r="B2794" i="6"/>
  <c r="Q2793" i="6"/>
  <c r="N2793" i="6"/>
  <c r="M2793" i="6"/>
  <c r="L2793" i="6"/>
  <c r="K2793" i="6"/>
  <c r="J2793" i="6"/>
  <c r="I2793" i="6"/>
  <c r="P2793" i="6" s="1"/>
  <c r="H2793" i="6"/>
  <c r="G2793" i="6"/>
  <c r="F2793" i="6"/>
  <c r="D2793" i="6"/>
  <c r="U2793" i="6" s="1"/>
  <c r="C2793" i="6"/>
  <c r="B2793" i="6"/>
  <c r="Q2792" i="6"/>
  <c r="P2792" i="6"/>
  <c r="N2792" i="6"/>
  <c r="M2792" i="6"/>
  <c r="L2792" i="6"/>
  <c r="K2792" i="6"/>
  <c r="J2792" i="6"/>
  <c r="I2792" i="6"/>
  <c r="H2792" i="6"/>
  <c r="G2792" i="6"/>
  <c r="F2792" i="6"/>
  <c r="D2792" i="6"/>
  <c r="U2792" i="6" s="1"/>
  <c r="C2792" i="6"/>
  <c r="B2792" i="6"/>
  <c r="Q2791" i="6"/>
  <c r="N2791" i="6"/>
  <c r="M2791" i="6"/>
  <c r="L2791" i="6"/>
  <c r="K2791" i="6"/>
  <c r="J2791" i="6"/>
  <c r="I2791" i="6"/>
  <c r="P2791" i="6" s="1"/>
  <c r="H2791" i="6"/>
  <c r="G2791" i="6"/>
  <c r="F2791" i="6"/>
  <c r="D2791" i="6"/>
  <c r="U2791" i="6" s="1"/>
  <c r="C2791" i="6"/>
  <c r="B2791" i="6"/>
  <c r="Q2790" i="6"/>
  <c r="P2790" i="6"/>
  <c r="N2790" i="6"/>
  <c r="M2790" i="6"/>
  <c r="L2790" i="6"/>
  <c r="K2790" i="6"/>
  <c r="J2790" i="6"/>
  <c r="I2790" i="6"/>
  <c r="H2790" i="6"/>
  <c r="G2790" i="6"/>
  <c r="F2790" i="6"/>
  <c r="D2790" i="6"/>
  <c r="U2790" i="6" s="1"/>
  <c r="C2790" i="6"/>
  <c r="B2790" i="6"/>
  <c r="Q2789" i="6"/>
  <c r="N2789" i="6"/>
  <c r="M2789" i="6"/>
  <c r="L2789" i="6"/>
  <c r="K2789" i="6"/>
  <c r="J2789" i="6"/>
  <c r="I2789" i="6"/>
  <c r="P2789" i="6" s="1"/>
  <c r="H2789" i="6"/>
  <c r="G2789" i="6"/>
  <c r="F2789" i="6"/>
  <c r="D2789" i="6"/>
  <c r="U2789" i="6" s="1"/>
  <c r="C2789" i="6"/>
  <c r="B2789" i="6"/>
  <c r="Q2788" i="6"/>
  <c r="P2788" i="6"/>
  <c r="N2788" i="6"/>
  <c r="M2788" i="6"/>
  <c r="L2788" i="6"/>
  <c r="K2788" i="6"/>
  <c r="J2788" i="6"/>
  <c r="I2788" i="6"/>
  <c r="H2788" i="6"/>
  <c r="G2788" i="6"/>
  <c r="F2788" i="6"/>
  <c r="D2788" i="6"/>
  <c r="U2788" i="6" s="1"/>
  <c r="C2788" i="6"/>
  <c r="B2788" i="6"/>
  <c r="Q2787" i="6"/>
  <c r="N2787" i="6"/>
  <c r="M2787" i="6"/>
  <c r="L2787" i="6"/>
  <c r="K2787" i="6"/>
  <c r="J2787" i="6"/>
  <c r="I2787" i="6"/>
  <c r="P2787" i="6" s="1"/>
  <c r="H2787" i="6"/>
  <c r="G2787" i="6"/>
  <c r="F2787" i="6"/>
  <c r="D2787" i="6"/>
  <c r="U2787" i="6" s="1"/>
  <c r="C2787" i="6"/>
  <c r="B2787" i="6"/>
  <c r="Q2786" i="6"/>
  <c r="P2786" i="6"/>
  <c r="N2786" i="6"/>
  <c r="M2786" i="6"/>
  <c r="L2786" i="6"/>
  <c r="K2786" i="6"/>
  <c r="J2786" i="6"/>
  <c r="I2786" i="6"/>
  <c r="H2786" i="6"/>
  <c r="G2786" i="6"/>
  <c r="F2786" i="6"/>
  <c r="D2786" i="6"/>
  <c r="U2786" i="6" s="1"/>
  <c r="C2786" i="6"/>
  <c r="B2786" i="6"/>
  <c r="Q2785" i="6"/>
  <c r="N2785" i="6"/>
  <c r="M2785" i="6"/>
  <c r="L2785" i="6"/>
  <c r="K2785" i="6"/>
  <c r="J2785" i="6"/>
  <c r="I2785" i="6"/>
  <c r="P2785" i="6" s="1"/>
  <c r="H2785" i="6"/>
  <c r="G2785" i="6"/>
  <c r="F2785" i="6"/>
  <c r="D2785" i="6"/>
  <c r="U2785" i="6" s="1"/>
  <c r="C2785" i="6"/>
  <c r="B2785" i="6"/>
  <c r="Q2784" i="6"/>
  <c r="P2784" i="6"/>
  <c r="N2784" i="6"/>
  <c r="M2784" i="6"/>
  <c r="L2784" i="6"/>
  <c r="K2784" i="6"/>
  <c r="J2784" i="6"/>
  <c r="I2784" i="6"/>
  <c r="H2784" i="6"/>
  <c r="G2784" i="6"/>
  <c r="F2784" i="6"/>
  <c r="D2784" i="6"/>
  <c r="U2784" i="6" s="1"/>
  <c r="C2784" i="6"/>
  <c r="B2784" i="6"/>
  <c r="Q2783" i="6"/>
  <c r="N2783" i="6"/>
  <c r="M2783" i="6"/>
  <c r="L2783" i="6"/>
  <c r="K2783" i="6"/>
  <c r="J2783" i="6"/>
  <c r="I2783" i="6"/>
  <c r="P2783" i="6" s="1"/>
  <c r="H2783" i="6"/>
  <c r="G2783" i="6"/>
  <c r="F2783" i="6"/>
  <c r="D2783" i="6"/>
  <c r="U2783" i="6" s="1"/>
  <c r="C2783" i="6"/>
  <c r="B2783" i="6"/>
  <c r="Q2782" i="6"/>
  <c r="P2782" i="6"/>
  <c r="N2782" i="6"/>
  <c r="M2782" i="6"/>
  <c r="L2782" i="6"/>
  <c r="K2782" i="6"/>
  <c r="J2782" i="6"/>
  <c r="I2782" i="6"/>
  <c r="H2782" i="6"/>
  <c r="G2782" i="6"/>
  <c r="F2782" i="6"/>
  <c r="D2782" i="6"/>
  <c r="U2782" i="6" s="1"/>
  <c r="C2782" i="6"/>
  <c r="B2782" i="6"/>
  <c r="Q2781" i="6"/>
  <c r="N2781" i="6"/>
  <c r="M2781" i="6"/>
  <c r="L2781" i="6"/>
  <c r="K2781" i="6"/>
  <c r="J2781" i="6"/>
  <c r="I2781" i="6"/>
  <c r="P2781" i="6" s="1"/>
  <c r="H2781" i="6"/>
  <c r="G2781" i="6"/>
  <c r="F2781" i="6"/>
  <c r="D2781" i="6"/>
  <c r="U2781" i="6" s="1"/>
  <c r="C2781" i="6"/>
  <c r="B2781" i="6"/>
  <c r="Q2780" i="6"/>
  <c r="P2780" i="6"/>
  <c r="N2780" i="6"/>
  <c r="M2780" i="6"/>
  <c r="L2780" i="6"/>
  <c r="K2780" i="6"/>
  <c r="J2780" i="6"/>
  <c r="I2780" i="6"/>
  <c r="H2780" i="6"/>
  <c r="G2780" i="6"/>
  <c r="F2780" i="6"/>
  <c r="D2780" i="6"/>
  <c r="U2780" i="6" s="1"/>
  <c r="C2780" i="6"/>
  <c r="B2780" i="6"/>
  <c r="Q2779" i="6"/>
  <c r="N2779" i="6"/>
  <c r="M2779" i="6"/>
  <c r="L2779" i="6"/>
  <c r="K2779" i="6"/>
  <c r="J2779" i="6"/>
  <c r="I2779" i="6"/>
  <c r="P2779" i="6" s="1"/>
  <c r="H2779" i="6"/>
  <c r="G2779" i="6"/>
  <c r="F2779" i="6"/>
  <c r="D2779" i="6"/>
  <c r="U2779" i="6" s="1"/>
  <c r="C2779" i="6"/>
  <c r="B2779" i="6"/>
  <c r="Q2778" i="6"/>
  <c r="P2778" i="6"/>
  <c r="N2778" i="6"/>
  <c r="M2778" i="6"/>
  <c r="L2778" i="6"/>
  <c r="K2778" i="6"/>
  <c r="J2778" i="6"/>
  <c r="I2778" i="6"/>
  <c r="H2778" i="6"/>
  <c r="G2778" i="6"/>
  <c r="F2778" i="6"/>
  <c r="D2778" i="6"/>
  <c r="U2778" i="6" s="1"/>
  <c r="C2778" i="6"/>
  <c r="B2778" i="6"/>
  <c r="Q2777" i="6"/>
  <c r="N2777" i="6"/>
  <c r="M2777" i="6"/>
  <c r="L2777" i="6"/>
  <c r="K2777" i="6"/>
  <c r="J2777" i="6"/>
  <c r="I2777" i="6"/>
  <c r="P2777" i="6" s="1"/>
  <c r="H2777" i="6"/>
  <c r="G2777" i="6"/>
  <c r="F2777" i="6"/>
  <c r="D2777" i="6"/>
  <c r="U2777" i="6" s="1"/>
  <c r="C2777" i="6"/>
  <c r="B2777" i="6"/>
  <c r="Q2776" i="6"/>
  <c r="P2776" i="6"/>
  <c r="N2776" i="6"/>
  <c r="M2776" i="6"/>
  <c r="L2776" i="6"/>
  <c r="K2776" i="6"/>
  <c r="J2776" i="6"/>
  <c r="I2776" i="6"/>
  <c r="H2776" i="6"/>
  <c r="G2776" i="6"/>
  <c r="F2776" i="6"/>
  <c r="D2776" i="6"/>
  <c r="U2776" i="6" s="1"/>
  <c r="C2776" i="6"/>
  <c r="B2776" i="6"/>
  <c r="Q2775" i="6"/>
  <c r="N2775" i="6"/>
  <c r="M2775" i="6"/>
  <c r="L2775" i="6"/>
  <c r="K2775" i="6"/>
  <c r="J2775" i="6"/>
  <c r="I2775" i="6"/>
  <c r="P2775" i="6" s="1"/>
  <c r="H2775" i="6"/>
  <c r="G2775" i="6"/>
  <c r="F2775" i="6"/>
  <c r="D2775" i="6"/>
  <c r="U2775" i="6" s="1"/>
  <c r="C2775" i="6"/>
  <c r="B2775" i="6"/>
  <c r="Q2774" i="6"/>
  <c r="P2774" i="6"/>
  <c r="N2774" i="6"/>
  <c r="M2774" i="6"/>
  <c r="L2774" i="6"/>
  <c r="K2774" i="6"/>
  <c r="J2774" i="6"/>
  <c r="I2774" i="6"/>
  <c r="H2774" i="6"/>
  <c r="G2774" i="6"/>
  <c r="F2774" i="6"/>
  <c r="D2774" i="6"/>
  <c r="U2774" i="6" s="1"/>
  <c r="C2774" i="6"/>
  <c r="B2774" i="6"/>
  <c r="Q2773" i="6"/>
  <c r="N2773" i="6"/>
  <c r="M2773" i="6"/>
  <c r="L2773" i="6"/>
  <c r="K2773" i="6"/>
  <c r="J2773" i="6"/>
  <c r="I2773" i="6"/>
  <c r="P2773" i="6" s="1"/>
  <c r="H2773" i="6"/>
  <c r="G2773" i="6"/>
  <c r="F2773" i="6"/>
  <c r="D2773" i="6"/>
  <c r="U2773" i="6" s="1"/>
  <c r="C2773" i="6"/>
  <c r="B2773" i="6"/>
  <c r="Q2772" i="6"/>
  <c r="P2772" i="6"/>
  <c r="N2772" i="6"/>
  <c r="M2772" i="6"/>
  <c r="L2772" i="6"/>
  <c r="K2772" i="6"/>
  <c r="J2772" i="6"/>
  <c r="I2772" i="6"/>
  <c r="H2772" i="6"/>
  <c r="G2772" i="6"/>
  <c r="F2772" i="6"/>
  <c r="D2772" i="6"/>
  <c r="U2772" i="6" s="1"/>
  <c r="C2772" i="6"/>
  <c r="B2772" i="6"/>
  <c r="Q2771" i="6"/>
  <c r="N2771" i="6"/>
  <c r="M2771" i="6"/>
  <c r="L2771" i="6"/>
  <c r="K2771" i="6"/>
  <c r="J2771" i="6"/>
  <c r="I2771" i="6"/>
  <c r="P2771" i="6" s="1"/>
  <c r="H2771" i="6"/>
  <c r="G2771" i="6"/>
  <c r="F2771" i="6"/>
  <c r="D2771" i="6"/>
  <c r="U2771" i="6" s="1"/>
  <c r="C2771" i="6"/>
  <c r="B2771" i="6"/>
  <c r="Q2770" i="6"/>
  <c r="P2770" i="6"/>
  <c r="N2770" i="6"/>
  <c r="M2770" i="6"/>
  <c r="L2770" i="6"/>
  <c r="K2770" i="6"/>
  <c r="J2770" i="6"/>
  <c r="I2770" i="6"/>
  <c r="H2770" i="6"/>
  <c r="G2770" i="6"/>
  <c r="F2770" i="6"/>
  <c r="D2770" i="6"/>
  <c r="U2770" i="6" s="1"/>
  <c r="C2770" i="6"/>
  <c r="B2770" i="6"/>
  <c r="Q2769" i="6"/>
  <c r="N2769" i="6"/>
  <c r="M2769" i="6"/>
  <c r="L2769" i="6"/>
  <c r="K2769" i="6"/>
  <c r="J2769" i="6"/>
  <c r="I2769" i="6"/>
  <c r="P2769" i="6" s="1"/>
  <c r="H2769" i="6"/>
  <c r="G2769" i="6"/>
  <c r="F2769" i="6"/>
  <c r="D2769" i="6"/>
  <c r="U2769" i="6" s="1"/>
  <c r="C2769" i="6"/>
  <c r="B2769" i="6"/>
  <c r="Q2768" i="6"/>
  <c r="P2768" i="6"/>
  <c r="N2768" i="6"/>
  <c r="M2768" i="6"/>
  <c r="L2768" i="6"/>
  <c r="K2768" i="6"/>
  <c r="J2768" i="6"/>
  <c r="I2768" i="6"/>
  <c r="H2768" i="6"/>
  <c r="G2768" i="6"/>
  <c r="F2768" i="6"/>
  <c r="D2768" i="6"/>
  <c r="U2768" i="6" s="1"/>
  <c r="C2768" i="6"/>
  <c r="B2768" i="6"/>
  <c r="Q2767" i="6"/>
  <c r="N2767" i="6"/>
  <c r="M2767" i="6"/>
  <c r="L2767" i="6"/>
  <c r="K2767" i="6"/>
  <c r="J2767" i="6"/>
  <c r="I2767" i="6"/>
  <c r="P2767" i="6" s="1"/>
  <c r="H2767" i="6"/>
  <c r="G2767" i="6"/>
  <c r="F2767" i="6"/>
  <c r="D2767" i="6"/>
  <c r="U2767" i="6" s="1"/>
  <c r="C2767" i="6"/>
  <c r="B2767" i="6"/>
  <c r="Q2766" i="6"/>
  <c r="P2766" i="6"/>
  <c r="N2766" i="6"/>
  <c r="M2766" i="6"/>
  <c r="L2766" i="6"/>
  <c r="K2766" i="6"/>
  <c r="J2766" i="6"/>
  <c r="I2766" i="6"/>
  <c r="H2766" i="6"/>
  <c r="G2766" i="6"/>
  <c r="F2766" i="6"/>
  <c r="D2766" i="6"/>
  <c r="U2766" i="6" s="1"/>
  <c r="C2766" i="6"/>
  <c r="B2766" i="6"/>
  <c r="Q2765" i="6"/>
  <c r="N2765" i="6"/>
  <c r="M2765" i="6"/>
  <c r="L2765" i="6"/>
  <c r="K2765" i="6"/>
  <c r="J2765" i="6"/>
  <c r="I2765" i="6"/>
  <c r="P2765" i="6" s="1"/>
  <c r="H2765" i="6"/>
  <c r="G2765" i="6"/>
  <c r="F2765" i="6"/>
  <c r="D2765" i="6"/>
  <c r="U2765" i="6" s="1"/>
  <c r="C2765" i="6"/>
  <c r="B2765" i="6"/>
  <c r="Q2764" i="6"/>
  <c r="P2764" i="6"/>
  <c r="N2764" i="6"/>
  <c r="M2764" i="6"/>
  <c r="L2764" i="6"/>
  <c r="K2764" i="6"/>
  <c r="J2764" i="6"/>
  <c r="I2764" i="6"/>
  <c r="H2764" i="6"/>
  <c r="G2764" i="6"/>
  <c r="F2764" i="6"/>
  <c r="D2764" i="6"/>
  <c r="U2764" i="6" s="1"/>
  <c r="C2764" i="6"/>
  <c r="B2764" i="6"/>
  <c r="Q2763" i="6"/>
  <c r="N2763" i="6"/>
  <c r="M2763" i="6"/>
  <c r="L2763" i="6"/>
  <c r="K2763" i="6"/>
  <c r="J2763" i="6"/>
  <c r="I2763" i="6"/>
  <c r="P2763" i="6" s="1"/>
  <c r="H2763" i="6"/>
  <c r="G2763" i="6"/>
  <c r="F2763" i="6"/>
  <c r="D2763" i="6"/>
  <c r="U2763" i="6" s="1"/>
  <c r="C2763" i="6"/>
  <c r="B2763" i="6"/>
  <c r="Q2762" i="6"/>
  <c r="P2762" i="6"/>
  <c r="N2762" i="6"/>
  <c r="M2762" i="6"/>
  <c r="L2762" i="6"/>
  <c r="K2762" i="6"/>
  <c r="J2762" i="6"/>
  <c r="I2762" i="6"/>
  <c r="H2762" i="6"/>
  <c r="G2762" i="6"/>
  <c r="F2762" i="6"/>
  <c r="D2762" i="6"/>
  <c r="U2762" i="6" s="1"/>
  <c r="C2762" i="6"/>
  <c r="B2762" i="6"/>
  <c r="Q2761" i="6"/>
  <c r="N2761" i="6"/>
  <c r="M2761" i="6"/>
  <c r="L2761" i="6"/>
  <c r="K2761" i="6"/>
  <c r="J2761" i="6"/>
  <c r="I2761" i="6"/>
  <c r="P2761" i="6" s="1"/>
  <c r="H2761" i="6"/>
  <c r="G2761" i="6"/>
  <c r="F2761" i="6"/>
  <c r="D2761" i="6"/>
  <c r="U2761" i="6" s="1"/>
  <c r="C2761" i="6"/>
  <c r="B2761" i="6"/>
  <c r="Q2760" i="6"/>
  <c r="P2760" i="6"/>
  <c r="N2760" i="6"/>
  <c r="M2760" i="6"/>
  <c r="L2760" i="6"/>
  <c r="K2760" i="6"/>
  <c r="J2760" i="6"/>
  <c r="I2760" i="6"/>
  <c r="H2760" i="6"/>
  <c r="G2760" i="6"/>
  <c r="F2760" i="6"/>
  <c r="D2760" i="6"/>
  <c r="U2760" i="6" s="1"/>
  <c r="C2760" i="6"/>
  <c r="B2760" i="6"/>
  <c r="Q2759" i="6"/>
  <c r="N2759" i="6"/>
  <c r="M2759" i="6"/>
  <c r="L2759" i="6"/>
  <c r="K2759" i="6"/>
  <c r="J2759" i="6"/>
  <c r="I2759" i="6"/>
  <c r="P2759" i="6" s="1"/>
  <c r="H2759" i="6"/>
  <c r="G2759" i="6"/>
  <c r="F2759" i="6"/>
  <c r="D2759" i="6"/>
  <c r="U2759" i="6" s="1"/>
  <c r="C2759" i="6"/>
  <c r="B2759" i="6"/>
  <c r="Q2758" i="6"/>
  <c r="P2758" i="6"/>
  <c r="N2758" i="6"/>
  <c r="M2758" i="6"/>
  <c r="L2758" i="6"/>
  <c r="K2758" i="6"/>
  <c r="J2758" i="6"/>
  <c r="I2758" i="6"/>
  <c r="H2758" i="6"/>
  <c r="G2758" i="6"/>
  <c r="F2758" i="6"/>
  <c r="D2758" i="6"/>
  <c r="U2758" i="6" s="1"/>
  <c r="C2758" i="6"/>
  <c r="B2758" i="6"/>
  <c r="Q2757" i="6"/>
  <c r="N2757" i="6"/>
  <c r="M2757" i="6"/>
  <c r="L2757" i="6"/>
  <c r="K2757" i="6"/>
  <c r="J2757" i="6"/>
  <c r="I2757" i="6"/>
  <c r="P2757" i="6" s="1"/>
  <c r="H2757" i="6"/>
  <c r="G2757" i="6"/>
  <c r="F2757" i="6"/>
  <c r="D2757" i="6"/>
  <c r="U2757" i="6" s="1"/>
  <c r="C2757" i="6"/>
  <c r="B2757" i="6"/>
  <c r="Q2756" i="6"/>
  <c r="P2756" i="6"/>
  <c r="N2756" i="6"/>
  <c r="M2756" i="6"/>
  <c r="L2756" i="6"/>
  <c r="K2756" i="6"/>
  <c r="J2756" i="6"/>
  <c r="I2756" i="6"/>
  <c r="H2756" i="6"/>
  <c r="G2756" i="6"/>
  <c r="F2756" i="6"/>
  <c r="D2756" i="6"/>
  <c r="U2756" i="6" s="1"/>
  <c r="C2756" i="6"/>
  <c r="B2756" i="6"/>
  <c r="Q2755" i="6"/>
  <c r="N2755" i="6"/>
  <c r="M2755" i="6"/>
  <c r="L2755" i="6"/>
  <c r="K2755" i="6"/>
  <c r="J2755" i="6"/>
  <c r="I2755" i="6"/>
  <c r="P2755" i="6" s="1"/>
  <c r="H2755" i="6"/>
  <c r="G2755" i="6"/>
  <c r="F2755" i="6"/>
  <c r="D2755" i="6"/>
  <c r="U2755" i="6" s="1"/>
  <c r="C2755" i="6"/>
  <c r="B2755" i="6"/>
  <c r="Q2754" i="6"/>
  <c r="P2754" i="6"/>
  <c r="N2754" i="6"/>
  <c r="M2754" i="6"/>
  <c r="L2754" i="6"/>
  <c r="K2754" i="6"/>
  <c r="J2754" i="6"/>
  <c r="I2754" i="6"/>
  <c r="H2754" i="6"/>
  <c r="G2754" i="6"/>
  <c r="F2754" i="6"/>
  <c r="D2754" i="6"/>
  <c r="U2754" i="6" s="1"/>
  <c r="C2754" i="6"/>
  <c r="B2754" i="6"/>
  <c r="Q2753" i="6"/>
  <c r="N2753" i="6"/>
  <c r="M2753" i="6"/>
  <c r="L2753" i="6"/>
  <c r="K2753" i="6"/>
  <c r="J2753" i="6"/>
  <c r="I2753" i="6"/>
  <c r="P2753" i="6" s="1"/>
  <c r="H2753" i="6"/>
  <c r="G2753" i="6"/>
  <c r="F2753" i="6"/>
  <c r="D2753" i="6"/>
  <c r="U2753" i="6" s="1"/>
  <c r="C2753" i="6"/>
  <c r="B2753" i="6"/>
  <c r="Q2752" i="6"/>
  <c r="P2752" i="6"/>
  <c r="N2752" i="6"/>
  <c r="M2752" i="6"/>
  <c r="L2752" i="6"/>
  <c r="K2752" i="6"/>
  <c r="J2752" i="6"/>
  <c r="I2752" i="6"/>
  <c r="H2752" i="6"/>
  <c r="G2752" i="6"/>
  <c r="F2752" i="6"/>
  <c r="D2752" i="6"/>
  <c r="U2752" i="6" s="1"/>
  <c r="C2752" i="6"/>
  <c r="B2752" i="6"/>
  <c r="Q2751" i="6"/>
  <c r="N2751" i="6"/>
  <c r="M2751" i="6"/>
  <c r="L2751" i="6"/>
  <c r="K2751" i="6"/>
  <c r="J2751" i="6"/>
  <c r="I2751" i="6"/>
  <c r="P2751" i="6" s="1"/>
  <c r="H2751" i="6"/>
  <c r="G2751" i="6"/>
  <c r="F2751" i="6"/>
  <c r="D2751" i="6"/>
  <c r="U2751" i="6" s="1"/>
  <c r="C2751" i="6"/>
  <c r="B2751" i="6"/>
  <c r="Q2750" i="6"/>
  <c r="P2750" i="6"/>
  <c r="N2750" i="6"/>
  <c r="M2750" i="6"/>
  <c r="L2750" i="6"/>
  <c r="K2750" i="6"/>
  <c r="J2750" i="6"/>
  <c r="I2750" i="6"/>
  <c r="H2750" i="6"/>
  <c r="G2750" i="6"/>
  <c r="F2750" i="6"/>
  <c r="D2750" i="6"/>
  <c r="U2750" i="6" s="1"/>
  <c r="C2750" i="6"/>
  <c r="B2750" i="6"/>
  <c r="Q2749" i="6"/>
  <c r="N2749" i="6"/>
  <c r="M2749" i="6"/>
  <c r="L2749" i="6"/>
  <c r="K2749" i="6"/>
  <c r="J2749" i="6"/>
  <c r="I2749" i="6"/>
  <c r="P2749" i="6" s="1"/>
  <c r="H2749" i="6"/>
  <c r="G2749" i="6"/>
  <c r="F2749" i="6"/>
  <c r="D2749" i="6"/>
  <c r="U2749" i="6" s="1"/>
  <c r="C2749" i="6"/>
  <c r="B2749" i="6"/>
  <c r="Q2748" i="6"/>
  <c r="P2748" i="6"/>
  <c r="N2748" i="6"/>
  <c r="M2748" i="6"/>
  <c r="L2748" i="6"/>
  <c r="K2748" i="6"/>
  <c r="J2748" i="6"/>
  <c r="I2748" i="6"/>
  <c r="H2748" i="6"/>
  <c r="G2748" i="6"/>
  <c r="F2748" i="6"/>
  <c r="D2748" i="6"/>
  <c r="U2748" i="6" s="1"/>
  <c r="C2748" i="6"/>
  <c r="B2748" i="6"/>
  <c r="Q2747" i="6"/>
  <c r="N2747" i="6"/>
  <c r="M2747" i="6"/>
  <c r="L2747" i="6"/>
  <c r="K2747" i="6"/>
  <c r="J2747" i="6"/>
  <c r="I2747" i="6"/>
  <c r="P2747" i="6" s="1"/>
  <c r="H2747" i="6"/>
  <c r="G2747" i="6"/>
  <c r="F2747" i="6"/>
  <c r="D2747" i="6"/>
  <c r="U2747" i="6" s="1"/>
  <c r="C2747" i="6"/>
  <c r="B2747" i="6"/>
  <c r="Q2746" i="6"/>
  <c r="P2746" i="6"/>
  <c r="N2746" i="6"/>
  <c r="M2746" i="6"/>
  <c r="L2746" i="6"/>
  <c r="K2746" i="6"/>
  <c r="J2746" i="6"/>
  <c r="I2746" i="6"/>
  <c r="H2746" i="6"/>
  <c r="G2746" i="6"/>
  <c r="F2746" i="6"/>
  <c r="D2746" i="6"/>
  <c r="U2746" i="6" s="1"/>
  <c r="C2746" i="6"/>
  <c r="B2746" i="6"/>
  <c r="Q2745" i="6"/>
  <c r="N2745" i="6"/>
  <c r="M2745" i="6"/>
  <c r="L2745" i="6"/>
  <c r="K2745" i="6"/>
  <c r="J2745" i="6"/>
  <c r="I2745" i="6"/>
  <c r="P2745" i="6" s="1"/>
  <c r="H2745" i="6"/>
  <c r="G2745" i="6"/>
  <c r="F2745" i="6"/>
  <c r="D2745" i="6"/>
  <c r="U2745" i="6" s="1"/>
  <c r="C2745" i="6"/>
  <c r="B2745" i="6"/>
  <c r="Q2744" i="6"/>
  <c r="P2744" i="6"/>
  <c r="N2744" i="6"/>
  <c r="M2744" i="6"/>
  <c r="L2744" i="6"/>
  <c r="K2744" i="6"/>
  <c r="J2744" i="6"/>
  <c r="I2744" i="6"/>
  <c r="H2744" i="6"/>
  <c r="G2744" i="6"/>
  <c r="F2744" i="6"/>
  <c r="D2744" i="6"/>
  <c r="U2744" i="6" s="1"/>
  <c r="C2744" i="6"/>
  <c r="B2744" i="6"/>
  <c r="Q2743" i="6"/>
  <c r="N2743" i="6"/>
  <c r="M2743" i="6"/>
  <c r="L2743" i="6"/>
  <c r="K2743" i="6"/>
  <c r="J2743" i="6"/>
  <c r="I2743" i="6"/>
  <c r="P2743" i="6" s="1"/>
  <c r="H2743" i="6"/>
  <c r="G2743" i="6"/>
  <c r="F2743" i="6"/>
  <c r="D2743" i="6"/>
  <c r="U2743" i="6" s="1"/>
  <c r="C2743" i="6"/>
  <c r="B2743" i="6"/>
  <c r="Q2742" i="6"/>
  <c r="P2742" i="6"/>
  <c r="N2742" i="6"/>
  <c r="M2742" i="6"/>
  <c r="L2742" i="6"/>
  <c r="K2742" i="6"/>
  <c r="J2742" i="6"/>
  <c r="I2742" i="6"/>
  <c r="H2742" i="6"/>
  <c r="G2742" i="6"/>
  <c r="F2742" i="6"/>
  <c r="D2742" i="6"/>
  <c r="U2742" i="6" s="1"/>
  <c r="C2742" i="6"/>
  <c r="B2742" i="6"/>
  <c r="Q2741" i="6"/>
  <c r="N2741" i="6"/>
  <c r="M2741" i="6"/>
  <c r="L2741" i="6"/>
  <c r="K2741" i="6"/>
  <c r="J2741" i="6"/>
  <c r="I2741" i="6"/>
  <c r="P2741" i="6" s="1"/>
  <c r="H2741" i="6"/>
  <c r="G2741" i="6"/>
  <c r="F2741" i="6"/>
  <c r="D2741" i="6"/>
  <c r="U2741" i="6" s="1"/>
  <c r="C2741" i="6"/>
  <c r="B2741" i="6"/>
  <c r="Q2740" i="6"/>
  <c r="P2740" i="6"/>
  <c r="N2740" i="6"/>
  <c r="M2740" i="6"/>
  <c r="L2740" i="6"/>
  <c r="K2740" i="6"/>
  <c r="J2740" i="6"/>
  <c r="I2740" i="6"/>
  <c r="H2740" i="6"/>
  <c r="G2740" i="6"/>
  <c r="F2740" i="6"/>
  <c r="D2740" i="6"/>
  <c r="U2740" i="6" s="1"/>
  <c r="C2740" i="6"/>
  <c r="B2740" i="6"/>
  <c r="Q2739" i="6"/>
  <c r="N2739" i="6"/>
  <c r="M2739" i="6"/>
  <c r="L2739" i="6"/>
  <c r="K2739" i="6"/>
  <c r="J2739" i="6"/>
  <c r="I2739" i="6"/>
  <c r="P2739" i="6" s="1"/>
  <c r="H2739" i="6"/>
  <c r="G2739" i="6"/>
  <c r="F2739" i="6"/>
  <c r="D2739" i="6"/>
  <c r="U2739" i="6" s="1"/>
  <c r="C2739" i="6"/>
  <c r="B2739" i="6"/>
  <c r="Q2738" i="6"/>
  <c r="P2738" i="6"/>
  <c r="N2738" i="6"/>
  <c r="M2738" i="6"/>
  <c r="L2738" i="6"/>
  <c r="K2738" i="6"/>
  <c r="J2738" i="6"/>
  <c r="I2738" i="6"/>
  <c r="H2738" i="6"/>
  <c r="G2738" i="6"/>
  <c r="F2738" i="6"/>
  <c r="D2738" i="6"/>
  <c r="U2738" i="6" s="1"/>
  <c r="C2738" i="6"/>
  <c r="B2738" i="6"/>
  <c r="Q2737" i="6"/>
  <c r="N2737" i="6"/>
  <c r="M2737" i="6"/>
  <c r="L2737" i="6"/>
  <c r="K2737" i="6"/>
  <c r="J2737" i="6"/>
  <c r="I2737" i="6"/>
  <c r="P2737" i="6" s="1"/>
  <c r="H2737" i="6"/>
  <c r="G2737" i="6"/>
  <c r="F2737" i="6"/>
  <c r="D2737" i="6"/>
  <c r="U2737" i="6" s="1"/>
  <c r="C2737" i="6"/>
  <c r="B2737" i="6"/>
  <c r="Q2736" i="6"/>
  <c r="P2736" i="6"/>
  <c r="N2736" i="6"/>
  <c r="M2736" i="6"/>
  <c r="L2736" i="6"/>
  <c r="K2736" i="6"/>
  <c r="J2736" i="6"/>
  <c r="I2736" i="6"/>
  <c r="H2736" i="6"/>
  <c r="G2736" i="6"/>
  <c r="F2736" i="6"/>
  <c r="D2736" i="6"/>
  <c r="U2736" i="6" s="1"/>
  <c r="C2736" i="6"/>
  <c r="B2736" i="6"/>
  <c r="Q2735" i="6"/>
  <c r="N2735" i="6"/>
  <c r="M2735" i="6"/>
  <c r="L2735" i="6"/>
  <c r="K2735" i="6"/>
  <c r="J2735" i="6"/>
  <c r="I2735" i="6"/>
  <c r="P2735" i="6" s="1"/>
  <c r="H2735" i="6"/>
  <c r="G2735" i="6"/>
  <c r="F2735" i="6"/>
  <c r="D2735" i="6"/>
  <c r="U2735" i="6" s="1"/>
  <c r="C2735" i="6"/>
  <c r="B2735" i="6"/>
  <c r="Q2734" i="6"/>
  <c r="P2734" i="6"/>
  <c r="N2734" i="6"/>
  <c r="M2734" i="6"/>
  <c r="L2734" i="6"/>
  <c r="K2734" i="6"/>
  <c r="J2734" i="6"/>
  <c r="I2734" i="6"/>
  <c r="H2734" i="6"/>
  <c r="G2734" i="6"/>
  <c r="F2734" i="6"/>
  <c r="D2734" i="6"/>
  <c r="U2734" i="6" s="1"/>
  <c r="C2734" i="6"/>
  <c r="B2734" i="6"/>
  <c r="Q2733" i="6"/>
  <c r="N2733" i="6"/>
  <c r="M2733" i="6"/>
  <c r="L2733" i="6"/>
  <c r="K2733" i="6"/>
  <c r="J2733" i="6"/>
  <c r="I2733" i="6"/>
  <c r="P2733" i="6" s="1"/>
  <c r="H2733" i="6"/>
  <c r="G2733" i="6"/>
  <c r="F2733" i="6"/>
  <c r="D2733" i="6"/>
  <c r="U2733" i="6" s="1"/>
  <c r="C2733" i="6"/>
  <c r="B2733" i="6"/>
  <c r="Q2732" i="6"/>
  <c r="P2732" i="6"/>
  <c r="N2732" i="6"/>
  <c r="M2732" i="6"/>
  <c r="L2732" i="6"/>
  <c r="K2732" i="6"/>
  <c r="J2732" i="6"/>
  <c r="I2732" i="6"/>
  <c r="H2732" i="6"/>
  <c r="G2732" i="6"/>
  <c r="F2732" i="6"/>
  <c r="D2732" i="6"/>
  <c r="U2732" i="6" s="1"/>
  <c r="C2732" i="6"/>
  <c r="B2732" i="6"/>
  <c r="Q2731" i="6"/>
  <c r="N2731" i="6"/>
  <c r="M2731" i="6"/>
  <c r="L2731" i="6"/>
  <c r="K2731" i="6"/>
  <c r="J2731" i="6"/>
  <c r="I2731" i="6"/>
  <c r="P2731" i="6" s="1"/>
  <c r="H2731" i="6"/>
  <c r="G2731" i="6"/>
  <c r="F2731" i="6"/>
  <c r="D2731" i="6"/>
  <c r="U2731" i="6" s="1"/>
  <c r="C2731" i="6"/>
  <c r="B2731" i="6"/>
  <c r="Q2730" i="6"/>
  <c r="P2730" i="6"/>
  <c r="N2730" i="6"/>
  <c r="M2730" i="6"/>
  <c r="L2730" i="6"/>
  <c r="K2730" i="6"/>
  <c r="J2730" i="6"/>
  <c r="I2730" i="6"/>
  <c r="H2730" i="6"/>
  <c r="G2730" i="6"/>
  <c r="F2730" i="6"/>
  <c r="D2730" i="6"/>
  <c r="U2730" i="6" s="1"/>
  <c r="C2730" i="6"/>
  <c r="B2730" i="6"/>
  <c r="Q2729" i="6"/>
  <c r="N2729" i="6"/>
  <c r="M2729" i="6"/>
  <c r="L2729" i="6"/>
  <c r="K2729" i="6"/>
  <c r="J2729" i="6"/>
  <c r="I2729" i="6"/>
  <c r="P2729" i="6" s="1"/>
  <c r="H2729" i="6"/>
  <c r="G2729" i="6"/>
  <c r="F2729" i="6"/>
  <c r="D2729" i="6"/>
  <c r="U2729" i="6" s="1"/>
  <c r="C2729" i="6"/>
  <c r="B2729" i="6"/>
  <c r="Q2728" i="6"/>
  <c r="P2728" i="6"/>
  <c r="N2728" i="6"/>
  <c r="M2728" i="6"/>
  <c r="L2728" i="6"/>
  <c r="K2728" i="6"/>
  <c r="J2728" i="6"/>
  <c r="I2728" i="6"/>
  <c r="H2728" i="6"/>
  <c r="G2728" i="6"/>
  <c r="F2728" i="6"/>
  <c r="D2728" i="6"/>
  <c r="U2728" i="6" s="1"/>
  <c r="C2728" i="6"/>
  <c r="B2728" i="6"/>
  <c r="Q2727" i="6"/>
  <c r="N2727" i="6"/>
  <c r="M2727" i="6"/>
  <c r="L2727" i="6"/>
  <c r="K2727" i="6"/>
  <c r="J2727" i="6"/>
  <c r="I2727" i="6"/>
  <c r="P2727" i="6" s="1"/>
  <c r="H2727" i="6"/>
  <c r="G2727" i="6"/>
  <c r="F2727" i="6"/>
  <c r="D2727" i="6"/>
  <c r="U2727" i="6" s="1"/>
  <c r="C2727" i="6"/>
  <c r="B2727" i="6"/>
  <c r="Q2726" i="6"/>
  <c r="P2726" i="6"/>
  <c r="N2726" i="6"/>
  <c r="M2726" i="6"/>
  <c r="L2726" i="6"/>
  <c r="K2726" i="6"/>
  <c r="J2726" i="6"/>
  <c r="I2726" i="6"/>
  <c r="H2726" i="6"/>
  <c r="G2726" i="6"/>
  <c r="F2726" i="6"/>
  <c r="D2726" i="6"/>
  <c r="U2726" i="6" s="1"/>
  <c r="C2726" i="6"/>
  <c r="B2726" i="6"/>
  <c r="Q2725" i="6"/>
  <c r="N2725" i="6"/>
  <c r="M2725" i="6"/>
  <c r="L2725" i="6"/>
  <c r="K2725" i="6"/>
  <c r="J2725" i="6"/>
  <c r="I2725" i="6"/>
  <c r="P2725" i="6" s="1"/>
  <c r="H2725" i="6"/>
  <c r="G2725" i="6"/>
  <c r="F2725" i="6"/>
  <c r="D2725" i="6"/>
  <c r="U2725" i="6" s="1"/>
  <c r="C2725" i="6"/>
  <c r="B2725" i="6"/>
  <c r="Q2724" i="6"/>
  <c r="P2724" i="6"/>
  <c r="N2724" i="6"/>
  <c r="M2724" i="6"/>
  <c r="L2724" i="6"/>
  <c r="K2724" i="6"/>
  <c r="J2724" i="6"/>
  <c r="I2724" i="6"/>
  <c r="H2724" i="6"/>
  <c r="G2724" i="6"/>
  <c r="F2724" i="6"/>
  <c r="D2724" i="6"/>
  <c r="U2724" i="6" s="1"/>
  <c r="C2724" i="6"/>
  <c r="B2724" i="6"/>
  <c r="Q2723" i="6"/>
  <c r="N2723" i="6"/>
  <c r="M2723" i="6"/>
  <c r="L2723" i="6"/>
  <c r="K2723" i="6"/>
  <c r="J2723" i="6"/>
  <c r="I2723" i="6"/>
  <c r="P2723" i="6" s="1"/>
  <c r="H2723" i="6"/>
  <c r="G2723" i="6"/>
  <c r="F2723" i="6"/>
  <c r="D2723" i="6"/>
  <c r="U2723" i="6" s="1"/>
  <c r="C2723" i="6"/>
  <c r="B2723" i="6"/>
  <c r="Q2722" i="6"/>
  <c r="P2722" i="6"/>
  <c r="N2722" i="6"/>
  <c r="M2722" i="6"/>
  <c r="L2722" i="6"/>
  <c r="K2722" i="6"/>
  <c r="J2722" i="6"/>
  <c r="I2722" i="6"/>
  <c r="H2722" i="6"/>
  <c r="G2722" i="6"/>
  <c r="F2722" i="6"/>
  <c r="D2722" i="6"/>
  <c r="U2722" i="6" s="1"/>
  <c r="C2722" i="6"/>
  <c r="B2722" i="6"/>
  <c r="Q2721" i="6"/>
  <c r="N2721" i="6"/>
  <c r="M2721" i="6"/>
  <c r="L2721" i="6"/>
  <c r="K2721" i="6"/>
  <c r="J2721" i="6"/>
  <c r="I2721" i="6"/>
  <c r="P2721" i="6" s="1"/>
  <c r="H2721" i="6"/>
  <c r="G2721" i="6"/>
  <c r="F2721" i="6"/>
  <c r="D2721" i="6"/>
  <c r="U2721" i="6" s="1"/>
  <c r="C2721" i="6"/>
  <c r="B2721" i="6"/>
  <c r="Q2720" i="6"/>
  <c r="P2720" i="6"/>
  <c r="N2720" i="6"/>
  <c r="M2720" i="6"/>
  <c r="L2720" i="6"/>
  <c r="K2720" i="6"/>
  <c r="J2720" i="6"/>
  <c r="I2720" i="6"/>
  <c r="H2720" i="6"/>
  <c r="G2720" i="6"/>
  <c r="F2720" i="6"/>
  <c r="D2720" i="6"/>
  <c r="U2720" i="6" s="1"/>
  <c r="C2720" i="6"/>
  <c r="B2720" i="6"/>
  <c r="Q2719" i="6"/>
  <c r="N2719" i="6"/>
  <c r="M2719" i="6"/>
  <c r="L2719" i="6"/>
  <c r="K2719" i="6"/>
  <c r="J2719" i="6"/>
  <c r="I2719" i="6"/>
  <c r="P2719" i="6" s="1"/>
  <c r="H2719" i="6"/>
  <c r="G2719" i="6"/>
  <c r="F2719" i="6"/>
  <c r="D2719" i="6"/>
  <c r="U2719" i="6" s="1"/>
  <c r="C2719" i="6"/>
  <c r="B2719" i="6"/>
  <c r="Q2718" i="6"/>
  <c r="P2718" i="6"/>
  <c r="N2718" i="6"/>
  <c r="M2718" i="6"/>
  <c r="L2718" i="6"/>
  <c r="K2718" i="6"/>
  <c r="J2718" i="6"/>
  <c r="I2718" i="6"/>
  <c r="H2718" i="6"/>
  <c r="G2718" i="6"/>
  <c r="F2718" i="6"/>
  <c r="D2718" i="6"/>
  <c r="U2718" i="6" s="1"/>
  <c r="C2718" i="6"/>
  <c r="B2718" i="6"/>
  <c r="Q2717" i="6"/>
  <c r="N2717" i="6"/>
  <c r="M2717" i="6"/>
  <c r="L2717" i="6"/>
  <c r="K2717" i="6"/>
  <c r="J2717" i="6"/>
  <c r="I2717" i="6"/>
  <c r="P2717" i="6" s="1"/>
  <c r="H2717" i="6"/>
  <c r="G2717" i="6"/>
  <c r="F2717" i="6"/>
  <c r="D2717" i="6"/>
  <c r="U2717" i="6" s="1"/>
  <c r="C2717" i="6"/>
  <c r="B2717" i="6"/>
  <c r="Q2716" i="6"/>
  <c r="P2716" i="6"/>
  <c r="N2716" i="6"/>
  <c r="M2716" i="6"/>
  <c r="L2716" i="6"/>
  <c r="K2716" i="6"/>
  <c r="J2716" i="6"/>
  <c r="I2716" i="6"/>
  <c r="H2716" i="6"/>
  <c r="G2716" i="6"/>
  <c r="F2716" i="6"/>
  <c r="D2716" i="6"/>
  <c r="U2716" i="6" s="1"/>
  <c r="C2716" i="6"/>
  <c r="B2716" i="6"/>
  <c r="Q2715" i="6"/>
  <c r="N2715" i="6"/>
  <c r="M2715" i="6"/>
  <c r="L2715" i="6"/>
  <c r="K2715" i="6"/>
  <c r="J2715" i="6"/>
  <c r="I2715" i="6"/>
  <c r="P2715" i="6" s="1"/>
  <c r="H2715" i="6"/>
  <c r="G2715" i="6"/>
  <c r="F2715" i="6"/>
  <c r="D2715" i="6"/>
  <c r="U2715" i="6" s="1"/>
  <c r="C2715" i="6"/>
  <c r="B2715" i="6"/>
  <c r="Q2714" i="6"/>
  <c r="P2714" i="6"/>
  <c r="N2714" i="6"/>
  <c r="M2714" i="6"/>
  <c r="L2714" i="6"/>
  <c r="K2714" i="6"/>
  <c r="J2714" i="6"/>
  <c r="I2714" i="6"/>
  <c r="H2714" i="6"/>
  <c r="G2714" i="6"/>
  <c r="F2714" i="6"/>
  <c r="D2714" i="6"/>
  <c r="U2714" i="6" s="1"/>
  <c r="C2714" i="6"/>
  <c r="B2714" i="6"/>
  <c r="Q2713" i="6"/>
  <c r="N2713" i="6"/>
  <c r="M2713" i="6"/>
  <c r="L2713" i="6"/>
  <c r="K2713" i="6"/>
  <c r="J2713" i="6"/>
  <c r="I2713" i="6"/>
  <c r="P2713" i="6" s="1"/>
  <c r="H2713" i="6"/>
  <c r="G2713" i="6"/>
  <c r="F2713" i="6"/>
  <c r="D2713" i="6"/>
  <c r="U2713" i="6" s="1"/>
  <c r="C2713" i="6"/>
  <c r="B2713" i="6"/>
  <c r="Q2712" i="6"/>
  <c r="P2712" i="6"/>
  <c r="N2712" i="6"/>
  <c r="M2712" i="6"/>
  <c r="L2712" i="6"/>
  <c r="K2712" i="6"/>
  <c r="J2712" i="6"/>
  <c r="I2712" i="6"/>
  <c r="H2712" i="6"/>
  <c r="G2712" i="6"/>
  <c r="F2712" i="6"/>
  <c r="D2712" i="6"/>
  <c r="U2712" i="6" s="1"/>
  <c r="C2712" i="6"/>
  <c r="B2712" i="6"/>
  <c r="Q2711" i="6"/>
  <c r="N2711" i="6"/>
  <c r="M2711" i="6"/>
  <c r="L2711" i="6"/>
  <c r="K2711" i="6"/>
  <c r="J2711" i="6"/>
  <c r="I2711" i="6"/>
  <c r="P2711" i="6" s="1"/>
  <c r="H2711" i="6"/>
  <c r="G2711" i="6"/>
  <c r="F2711" i="6"/>
  <c r="D2711" i="6"/>
  <c r="U2711" i="6" s="1"/>
  <c r="C2711" i="6"/>
  <c r="B2711" i="6"/>
  <c r="Q2710" i="6"/>
  <c r="P2710" i="6"/>
  <c r="N2710" i="6"/>
  <c r="M2710" i="6"/>
  <c r="L2710" i="6"/>
  <c r="K2710" i="6"/>
  <c r="J2710" i="6"/>
  <c r="I2710" i="6"/>
  <c r="H2710" i="6"/>
  <c r="G2710" i="6"/>
  <c r="F2710" i="6"/>
  <c r="D2710" i="6"/>
  <c r="U2710" i="6" s="1"/>
  <c r="C2710" i="6"/>
  <c r="B2710" i="6"/>
  <c r="Q2709" i="6"/>
  <c r="N2709" i="6"/>
  <c r="M2709" i="6"/>
  <c r="L2709" i="6"/>
  <c r="K2709" i="6"/>
  <c r="J2709" i="6"/>
  <c r="I2709" i="6"/>
  <c r="P2709" i="6" s="1"/>
  <c r="H2709" i="6"/>
  <c r="G2709" i="6"/>
  <c r="F2709" i="6"/>
  <c r="D2709" i="6"/>
  <c r="U2709" i="6" s="1"/>
  <c r="C2709" i="6"/>
  <c r="B2709" i="6"/>
  <c r="Q2708" i="6"/>
  <c r="P2708" i="6"/>
  <c r="N2708" i="6"/>
  <c r="M2708" i="6"/>
  <c r="L2708" i="6"/>
  <c r="K2708" i="6"/>
  <c r="J2708" i="6"/>
  <c r="I2708" i="6"/>
  <c r="H2708" i="6"/>
  <c r="G2708" i="6"/>
  <c r="F2708" i="6"/>
  <c r="D2708" i="6"/>
  <c r="U2708" i="6" s="1"/>
  <c r="C2708" i="6"/>
  <c r="B2708" i="6"/>
  <c r="Q2707" i="6"/>
  <c r="N2707" i="6"/>
  <c r="M2707" i="6"/>
  <c r="L2707" i="6"/>
  <c r="K2707" i="6"/>
  <c r="J2707" i="6"/>
  <c r="I2707" i="6"/>
  <c r="P2707" i="6" s="1"/>
  <c r="H2707" i="6"/>
  <c r="G2707" i="6"/>
  <c r="F2707" i="6"/>
  <c r="D2707" i="6"/>
  <c r="U2707" i="6" s="1"/>
  <c r="C2707" i="6"/>
  <c r="B2707" i="6"/>
  <c r="Q2706" i="6"/>
  <c r="P2706" i="6"/>
  <c r="N2706" i="6"/>
  <c r="M2706" i="6"/>
  <c r="L2706" i="6"/>
  <c r="K2706" i="6"/>
  <c r="J2706" i="6"/>
  <c r="I2706" i="6"/>
  <c r="H2706" i="6"/>
  <c r="G2706" i="6"/>
  <c r="F2706" i="6"/>
  <c r="D2706" i="6"/>
  <c r="U2706" i="6" s="1"/>
  <c r="C2706" i="6"/>
  <c r="B2706" i="6"/>
  <c r="Q2705" i="6"/>
  <c r="N2705" i="6"/>
  <c r="M2705" i="6"/>
  <c r="L2705" i="6"/>
  <c r="K2705" i="6"/>
  <c r="J2705" i="6"/>
  <c r="I2705" i="6"/>
  <c r="P2705" i="6" s="1"/>
  <c r="H2705" i="6"/>
  <c r="G2705" i="6"/>
  <c r="F2705" i="6"/>
  <c r="D2705" i="6"/>
  <c r="U2705" i="6" s="1"/>
  <c r="C2705" i="6"/>
  <c r="B2705" i="6"/>
  <c r="Q2704" i="6"/>
  <c r="P2704" i="6"/>
  <c r="N2704" i="6"/>
  <c r="M2704" i="6"/>
  <c r="L2704" i="6"/>
  <c r="K2704" i="6"/>
  <c r="J2704" i="6"/>
  <c r="I2704" i="6"/>
  <c r="H2704" i="6"/>
  <c r="G2704" i="6"/>
  <c r="F2704" i="6"/>
  <c r="D2704" i="6"/>
  <c r="U2704" i="6" s="1"/>
  <c r="C2704" i="6"/>
  <c r="B2704" i="6"/>
  <c r="Q2703" i="6"/>
  <c r="N2703" i="6"/>
  <c r="M2703" i="6"/>
  <c r="L2703" i="6"/>
  <c r="K2703" i="6"/>
  <c r="J2703" i="6"/>
  <c r="I2703" i="6"/>
  <c r="P2703" i="6" s="1"/>
  <c r="H2703" i="6"/>
  <c r="G2703" i="6"/>
  <c r="F2703" i="6"/>
  <c r="D2703" i="6"/>
  <c r="U2703" i="6" s="1"/>
  <c r="C2703" i="6"/>
  <c r="B2703" i="6"/>
  <c r="Q2702" i="6"/>
  <c r="P2702" i="6"/>
  <c r="N2702" i="6"/>
  <c r="M2702" i="6"/>
  <c r="L2702" i="6"/>
  <c r="K2702" i="6"/>
  <c r="J2702" i="6"/>
  <c r="I2702" i="6"/>
  <c r="H2702" i="6"/>
  <c r="G2702" i="6"/>
  <c r="F2702" i="6"/>
  <c r="D2702" i="6"/>
  <c r="U2702" i="6" s="1"/>
  <c r="C2702" i="6"/>
  <c r="B2702" i="6"/>
  <c r="Q2701" i="6"/>
  <c r="N2701" i="6"/>
  <c r="M2701" i="6"/>
  <c r="L2701" i="6"/>
  <c r="K2701" i="6"/>
  <c r="J2701" i="6"/>
  <c r="I2701" i="6"/>
  <c r="P2701" i="6" s="1"/>
  <c r="H2701" i="6"/>
  <c r="G2701" i="6"/>
  <c r="F2701" i="6"/>
  <c r="D2701" i="6"/>
  <c r="U2701" i="6" s="1"/>
  <c r="C2701" i="6"/>
  <c r="B2701" i="6"/>
  <c r="Q2700" i="6"/>
  <c r="P2700" i="6"/>
  <c r="N2700" i="6"/>
  <c r="M2700" i="6"/>
  <c r="L2700" i="6"/>
  <c r="K2700" i="6"/>
  <c r="J2700" i="6"/>
  <c r="I2700" i="6"/>
  <c r="H2700" i="6"/>
  <c r="G2700" i="6"/>
  <c r="F2700" i="6"/>
  <c r="D2700" i="6"/>
  <c r="U2700" i="6" s="1"/>
  <c r="C2700" i="6"/>
  <c r="B2700" i="6"/>
  <c r="Q2699" i="6"/>
  <c r="N2699" i="6"/>
  <c r="M2699" i="6"/>
  <c r="L2699" i="6"/>
  <c r="K2699" i="6"/>
  <c r="J2699" i="6"/>
  <c r="I2699" i="6"/>
  <c r="P2699" i="6" s="1"/>
  <c r="H2699" i="6"/>
  <c r="G2699" i="6"/>
  <c r="F2699" i="6"/>
  <c r="D2699" i="6"/>
  <c r="U2699" i="6" s="1"/>
  <c r="C2699" i="6"/>
  <c r="B2699" i="6"/>
  <c r="Q2698" i="6"/>
  <c r="P2698" i="6"/>
  <c r="N2698" i="6"/>
  <c r="M2698" i="6"/>
  <c r="L2698" i="6"/>
  <c r="K2698" i="6"/>
  <c r="J2698" i="6"/>
  <c r="I2698" i="6"/>
  <c r="H2698" i="6"/>
  <c r="G2698" i="6"/>
  <c r="F2698" i="6"/>
  <c r="D2698" i="6"/>
  <c r="U2698" i="6" s="1"/>
  <c r="C2698" i="6"/>
  <c r="B2698" i="6"/>
  <c r="Q2697" i="6"/>
  <c r="N2697" i="6"/>
  <c r="M2697" i="6"/>
  <c r="L2697" i="6"/>
  <c r="K2697" i="6"/>
  <c r="J2697" i="6"/>
  <c r="I2697" i="6"/>
  <c r="P2697" i="6" s="1"/>
  <c r="H2697" i="6"/>
  <c r="G2697" i="6"/>
  <c r="F2697" i="6"/>
  <c r="D2697" i="6"/>
  <c r="U2697" i="6" s="1"/>
  <c r="C2697" i="6"/>
  <c r="B2697" i="6"/>
  <c r="Q2696" i="6"/>
  <c r="P2696" i="6"/>
  <c r="N2696" i="6"/>
  <c r="M2696" i="6"/>
  <c r="L2696" i="6"/>
  <c r="K2696" i="6"/>
  <c r="J2696" i="6"/>
  <c r="I2696" i="6"/>
  <c r="H2696" i="6"/>
  <c r="G2696" i="6"/>
  <c r="F2696" i="6"/>
  <c r="D2696" i="6"/>
  <c r="U2696" i="6" s="1"/>
  <c r="C2696" i="6"/>
  <c r="B2696" i="6"/>
  <c r="Q2695" i="6"/>
  <c r="N2695" i="6"/>
  <c r="M2695" i="6"/>
  <c r="L2695" i="6"/>
  <c r="K2695" i="6"/>
  <c r="J2695" i="6"/>
  <c r="I2695" i="6"/>
  <c r="P2695" i="6" s="1"/>
  <c r="H2695" i="6"/>
  <c r="G2695" i="6"/>
  <c r="F2695" i="6"/>
  <c r="D2695" i="6"/>
  <c r="U2695" i="6" s="1"/>
  <c r="C2695" i="6"/>
  <c r="B2695" i="6"/>
  <c r="Q2694" i="6"/>
  <c r="P2694" i="6"/>
  <c r="N2694" i="6"/>
  <c r="M2694" i="6"/>
  <c r="L2694" i="6"/>
  <c r="K2694" i="6"/>
  <c r="J2694" i="6"/>
  <c r="I2694" i="6"/>
  <c r="H2694" i="6"/>
  <c r="G2694" i="6"/>
  <c r="F2694" i="6"/>
  <c r="D2694" i="6"/>
  <c r="U2694" i="6" s="1"/>
  <c r="C2694" i="6"/>
  <c r="B2694" i="6"/>
  <c r="Q2693" i="6"/>
  <c r="N2693" i="6"/>
  <c r="M2693" i="6"/>
  <c r="L2693" i="6"/>
  <c r="K2693" i="6"/>
  <c r="J2693" i="6"/>
  <c r="I2693" i="6"/>
  <c r="P2693" i="6" s="1"/>
  <c r="H2693" i="6"/>
  <c r="G2693" i="6"/>
  <c r="F2693" i="6"/>
  <c r="D2693" i="6"/>
  <c r="U2693" i="6" s="1"/>
  <c r="C2693" i="6"/>
  <c r="B2693" i="6"/>
  <c r="Q2692" i="6"/>
  <c r="P2692" i="6"/>
  <c r="N2692" i="6"/>
  <c r="M2692" i="6"/>
  <c r="L2692" i="6"/>
  <c r="K2692" i="6"/>
  <c r="J2692" i="6"/>
  <c r="I2692" i="6"/>
  <c r="H2692" i="6"/>
  <c r="G2692" i="6"/>
  <c r="F2692" i="6"/>
  <c r="D2692" i="6"/>
  <c r="U2692" i="6" s="1"/>
  <c r="C2692" i="6"/>
  <c r="B2692" i="6"/>
  <c r="Q2691" i="6"/>
  <c r="N2691" i="6"/>
  <c r="M2691" i="6"/>
  <c r="L2691" i="6"/>
  <c r="K2691" i="6"/>
  <c r="J2691" i="6"/>
  <c r="I2691" i="6"/>
  <c r="P2691" i="6" s="1"/>
  <c r="H2691" i="6"/>
  <c r="G2691" i="6"/>
  <c r="F2691" i="6"/>
  <c r="D2691" i="6"/>
  <c r="U2691" i="6" s="1"/>
  <c r="C2691" i="6"/>
  <c r="B2691" i="6"/>
  <c r="Q2690" i="6"/>
  <c r="P2690" i="6"/>
  <c r="N2690" i="6"/>
  <c r="M2690" i="6"/>
  <c r="L2690" i="6"/>
  <c r="K2690" i="6"/>
  <c r="J2690" i="6"/>
  <c r="I2690" i="6"/>
  <c r="H2690" i="6"/>
  <c r="G2690" i="6"/>
  <c r="F2690" i="6"/>
  <c r="D2690" i="6"/>
  <c r="U2690" i="6" s="1"/>
  <c r="C2690" i="6"/>
  <c r="B2690" i="6"/>
  <c r="Q2689" i="6"/>
  <c r="N2689" i="6"/>
  <c r="M2689" i="6"/>
  <c r="L2689" i="6"/>
  <c r="K2689" i="6"/>
  <c r="J2689" i="6"/>
  <c r="I2689" i="6"/>
  <c r="P2689" i="6" s="1"/>
  <c r="H2689" i="6"/>
  <c r="G2689" i="6"/>
  <c r="F2689" i="6"/>
  <c r="D2689" i="6"/>
  <c r="U2689" i="6" s="1"/>
  <c r="C2689" i="6"/>
  <c r="B2689" i="6"/>
  <c r="Q2688" i="6"/>
  <c r="P2688" i="6"/>
  <c r="N2688" i="6"/>
  <c r="M2688" i="6"/>
  <c r="L2688" i="6"/>
  <c r="K2688" i="6"/>
  <c r="J2688" i="6"/>
  <c r="I2688" i="6"/>
  <c r="H2688" i="6"/>
  <c r="G2688" i="6"/>
  <c r="F2688" i="6"/>
  <c r="D2688" i="6"/>
  <c r="U2688" i="6" s="1"/>
  <c r="C2688" i="6"/>
  <c r="B2688" i="6"/>
  <c r="Q2687" i="6"/>
  <c r="N2687" i="6"/>
  <c r="M2687" i="6"/>
  <c r="L2687" i="6"/>
  <c r="K2687" i="6"/>
  <c r="J2687" i="6"/>
  <c r="I2687" i="6"/>
  <c r="P2687" i="6" s="1"/>
  <c r="H2687" i="6"/>
  <c r="G2687" i="6"/>
  <c r="F2687" i="6"/>
  <c r="D2687" i="6"/>
  <c r="U2687" i="6" s="1"/>
  <c r="C2687" i="6"/>
  <c r="B2687" i="6"/>
  <c r="Q2686" i="6"/>
  <c r="P2686" i="6"/>
  <c r="N2686" i="6"/>
  <c r="M2686" i="6"/>
  <c r="L2686" i="6"/>
  <c r="K2686" i="6"/>
  <c r="J2686" i="6"/>
  <c r="I2686" i="6"/>
  <c r="H2686" i="6"/>
  <c r="G2686" i="6"/>
  <c r="F2686" i="6"/>
  <c r="D2686" i="6"/>
  <c r="U2686" i="6" s="1"/>
  <c r="C2686" i="6"/>
  <c r="B2686" i="6"/>
  <c r="Q2685" i="6"/>
  <c r="N2685" i="6"/>
  <c r="M2685" i="6"/>
  <c r="L2685" i="6"/>
  <c r="K2685" i="6"/>
  <c r="J2685" i="6"/>
  <c r="I2685" i="6"/>
  <c r="P2685" i="6" s="1"/>
  <c r="H2685" i="6"/>
  <c r="G2685" i="6"/>
  <c r="F2685" i="6"/>
  <c r="D2685" i="6"/>
  <c r="U2685" i="6" s="1"/>
  <c r="C2685" i="6"/>
  <c r="B2685" i="6"/>
  <c r="Q2684" i="6"/>
  <c r="P2684" i="6"/>
  <c r="N2684" i="6"/>
  <c r="M2684" i="6"/>
  <c r="L2684" i="6"/>
  <c r="K2684" i="6"/>
  <c r="J2684" i="6"/>
  <c r="I2684" i="6"/>
  <c r="H2684" i="6"/>
  <c r="G2684" i="6"/>
  <c r="F2684" i="6"/>
  <c r="D2684" i="6"/>
  <c r="U2684" i="6" s="1"/>
  <c r="C2684" i="6"/>
  <c r="B2684" i="6"/>
  <c r="Q2683" i="6"/>
  <c r="N2683" i="6"/>
  <c r="M2683" i="6"/>
  <c r="L2683" i="6"/>
  <c r="K2683" i="6"/>
  <c r="J2683" i="6"/>
  <c r="I2683" i="6"/>
  <c r="P2683" i="6" s="1"/>
  <c r="H2683" i="6"/>
  <c r="G2683" i="6"/>
  <c r="F2683" i="6"/>
  <c r="D2683" i="6"/>
  <c r="U2683" i="6" s="1"/>
  <c r="C2683" i="6"/>
  <c r="B2683" i="6"/>
  <c r="Q2682" i="6"/>
  <c r="P2682" i="6"/>
  <c r="N2682" i="6"/>
  <c r="M2682" i="6"/>
  <c r="L2682" i="6"/>
  <c r="K2682" i="6"/>
  <c r="J2682" i="6"/>
  <c r="I2682" i="6"/>
  <c r="H2682" i="6"/>
  <c r="G2682" i="6"/>
  <c r="F2682" i="6"/>
  <c r="D2682" i="6"/>
  <c r="U2682" i="6" s="1"/>
  <c r="C2682" i="6"/>
  <c r="B2682" i="6"/>
  <c r="Q2681" i="6"/>
  <c r="N2681" i="6"/>
  <c r="M2681" i="6"/>
  <c r="L2681" i="6"/>
  <c r="K2681" i="6"/>
  <c r="J2681" i="6"/>
  <c r="I2681" i="6"/>
  <c r="P2681" i="6" s="1"/>
  <c r="H2681" i="6"/>
  <c r="G2681" i="6"/>
  <c r="F2681" i="6"/>
  <c r="D2681" i="6"/>
  <c r="U2681" i="6" s="1"/>
  <c r="C2681" i="6"/>
  <c r="B2681" i="6"/>
  <c r="Q2680" i="6"/>
  <c r="P2680" i="6"/>
  <c r="N2680" i="6"/>
  <c r="M2680" i="6"/>
  <c r="L2680" i="6"/>
  <c r="K2680" i="6"/>
  <c r="J2680" i="6"/>
  <c r="I2680" i="6"/>
  <c r="H2680" i="6"/>
  <c r="G2680" i="6"/>
  <c r="F2680" i="6"/>
  <c r="D2680" i="6"/>
  <c r="U2680" i="6" s="1"/>
  <c r="C2680" i="6"/>
  <c r="B2680" i="6"/>
  <c r="Q2679" i="6"/>
  <c r="N2679" i="6"/>
  <c r="M2679" i="6"/>
  <c r="L2679" i="6"/>
  <c r="K2679" i="6"/>
  <c r="J2679" i="6"/>
  <c r="I2679" i="6"/>
  <c r="P2679" i="6" s="1"/>
  <c r="H2679" i="6"/>
  <c r="G2679" i="6"/>
  <c r="F2679" i="6"/>
  <c r="D2679" i="6"/>
  <c r="U2679" i="6" s="1"/>
  <c r="C2679" i="6"/>
  <c r="B2679" i="6"/>
  <c r="Q2678" i="6"/>
  <c r="P2678" i="6"/>
  <c r="N2678" i="6"/>
  <c r="M2678" i="6"/>
  <c r="L2678" i="6"/>
  <c r="K2678" i="6"/>
  <c r="J2678" i="6"/>
  <c r="I2678" i="6"/>
  <c r="H2678" i="6"/>
  <c r="G2678" i="6"/>
  <c r="F2678" i="6"/>
  <c r="D2678" i="6"/>
  <c r="U2678" i="6" s="1"/>
  <c r="C2678" i="6"/>
  <c r="B2678" i="6"/>
  <c r="Q2677" i="6"/>
  <c r="N2677" i="6"/>
  <c r="M2677" i="6"/>
  <c r="L2677" i="6"/>
  <c r="K2677" i="6"/>
  <c r="J2677" i="6"/>
  <c r="I2677" i="6"/>
  <c r="P2677" i="6" s="1"/>
  <c r="H2677" i="6"/>
  <c r="G2677" i="6"/>
  <c r="F2677" i="6"/>
  <c r="D2677" i="6"/>
  <c r="U2677" i="6" s="1"/>
  <c r="C2677" i="6"/>
  <c r="B2677" i="6"/>
  <c r="Q2676" i="6"/>
  <c r="P2676" i="6"/>
  <c r="N2676" i="6"/>
  <c r="M2676" i="6"/>
  <c r="L2676" i="6"/>
  <c r="K2676" i="6"/>
  <c r="J2676" i="6"/>
  <c r="I2676" i="6"/>
  <c r="H2676" i="6"/>
  <c r="G2676" i="6"/>
  <c r="F2676" i="6"/>
  <c r="D2676" i="6"/>
  <c r="U2676" i="6" s="1"/>
  <c r="C2676" i="6"/>
  <c r="B2676" i="6"/>
  <c r="Q2675" i="6"/>
  <c r="N2675" i="6"/>
  <c r="M2675" i="6"/>
  <c r="L2675" i="6"/>
  <c r="K2675" i="6"/>
  <c r="J2675" i="6"/>
  <c r="I2675" i="6"/>
  <c r="P2675" i="6" s="1"/>
  <c r="H2675" i="6"/>
  <c r="G2675" i="6"/>
  <c r="F2675" i="6"/>
  <c r="D2675" i="6"/>
  <c r="U2675" i="6" s="1"/>
  <c r="C2675" i="6"/>
  <c r="B2675" i="6"/>
  <c r="Q2674" i="6"/>
  <c r="P2674" i="6"/>
  <c r="N2674" i="6"/>
  <c r="M2674" i="6"/>
  <c r="L2674" i="6"/>
  <c r="K2674" i="6"/>
  <c r="J2674" i="6"/>
  <c r="I2674" i="6"/>
  <c r="H2674" i="6"/>
  <c r="G2674" i="6"/>
  <c r="F2674" i="6"/>
  <c r="D2674" i="6"/>
  <c r="U2674" i="6" s="1"/>
  <c r="C2674" i="6"/>
  <c r="B2674" i="6"/>
  <c r="Q2673" i="6"/>
  <c r="N2673" i="6"/>
  <c r="M2673" i="6"/>
  <c r="L2673" i="6"/>
  <c r="K2673" i="6"/>
  <c r="J2673" i="6"/>
  <c r="I2673" i="6"/>
  <c r="P2673" i="6" s="1"/>
  <c r="H2673" i="6"/>
  <c r="G2673" i="6"/>
  <c r="F2673" i="6"/>
  <c r="D2673" i="6"/>
  <c r="U2673" i="6" s="1"/>
  <c r="C2673" i="6"/>
  <c r="B2673" i="6"/>
  <c r="Q2672" i="6"/>
  <c r="P2672" i="6"/>
  <c r="N2672" i="6"/>
  <c r="M2672" i="6"/>
  <c r="L2672" i="6"/>
  <c r="K2672" i="6"/>
  <c r="J2672" i="6"/>
  <c r="I2672" i="6"/>
  <c r="H2672" i="6"/>
  <c r="G2672" i="6"/>
  <c r="F2672" i="6"/>
  <c r="D2672" i="6"/>
  <c r="U2672" i="6" s="1"/>
  <c r="C2672" i="6"/>
  <c r="B2672" i="6"/>
  <c r="Q2671" i="6"/>
  <c r="N2671" i="6"/>
  <c r="M2671" i="6"/>
  <c r="L2671" i="6"/>
  <c r="K2671" i="6"/>
  <c r="J2671" i="6"/>
  <c r="I2671" i="6"/>
  <c r="P2671" i="6" s="1"/>
  <c r="H2671" i="6"/>
  <c r="G2671" i="6"/>
  <c r="F2671" i="6"/>
  <c r="D2671" i="6"/>
  <c r="U2671" i="6" s="1"/>
  <c r="C2671" i="6"/>
  <c r="B2671" i="6"/>
  <c r="Q2670" i="6"/>
  <c r="P2670" i="6"/>
  <c r="N2670" i="6"/>
  <c r="M2670" i="6"/>
  <c r="L2670" i="6"/>
  <c r="K2670" i="6"/>
  <c r="J2670" i="6"/>
  <c r="I2670" i="6"/>
  <c r="H2670" i="6"/>
  <c r="G2670" i="6"/>
  <c r="F2670" i="6"/>
  <c r="D2670" i="6"/>
  <c r="U2670" i="6" s="1"/>
  <c r="C2670" i="6"/>
  <c r="B2670" i="6"/>
  <c r="Q2669" i="6"/>
  <c r="N2669" i="6"/>
  <c r="M2669" i="6"/>
  <c r="L2669" i="6"/>
  <c r="K2669" i="6"/>
  <c r="J2669" i="6"/>
  <c r="I2669" i="6"/>
  <c r="P2669" i="6" s="1"/>
  <c r="H2669" i="6"/>
  <c r="G2669" i="6"/>
  <c r="F2669" i="6"/>
  <c r="D2669" i="6"/>
  <c r="U2669" i="6" s="1"/>
  <c r="C2669" i="6"/>
  <c r="B2669" i="6"/>
  <c r="Q2668" i="6"/>
  <c r="P2668" i="6"/>
  <c r="N2668" i="6"/>
  <c r="M2668" i="6"/>
  <c r="L2668" i="6"/>
  <c r="K2668" i="6"/>
  <c r="J2668" i="6"/>
  <c r="I2668" i="6"/>
  <c r="H2668" i="6"/>
  <c r="G2668" i="6"/>
  <c r="F2668" i="6"/>
  <c r="D2668" i="6"/>
  <c r="U2668" i="6" s="1"/>
  <c r="C2668" i="6"/>
  <c r="B2668" i="6"/>
  <c r="Q2667" i="6"/>
  <c r="N2667" i="6"/>
  <c r="M2667" i="6"/>
  <c r="L2667" i="6"/>
  <c r="K2667" i="6"/>
  <c r="J2667" i="6"/>
  <c r="I2667" i="6"/>
  <c r="P2667" i="6" s="1"/>
  <c r="H2667" i="6"/>
  <c r="G2667" i="6"/>
  <c r="F2667" i="6"/>
  <c r="D2667" i="6"/>
  <c r="U2667" i="6" s="1"/>
  <c r="C2667" i="6"/>
  <c r="B2667" i="6"/>
  <c r="Q2666" i="6"/>
  <c r="P2666" i="6"/>
  <c r="N2666" i="6"/>
  <c r="M2666" i="6"/>
  <c r="L2666" i="6"/>
  <c r="K2666" i="6"/>
  <c r="J2666" i="6"/>
  <c r="I2666" i="6"/>
  <c r="H2666" i="6"/>
  <c r="G2666" i="6"/>
  <c r="F2666" i="6"/>
  <c r="D2666" i="6"/>
  <c r="U2666" i="6" s="1"/>
  <c r="C2666" i="6"/>
  <c r="B2666" i="6"/>
  <c r="Q2665" i="6"/>
  <c r="N2665" i="6"/>
  <c r="M2665" i="6"/>
  <c r="L2665" i="6"/>
  <c r="K2665" i="6"/>
  <c r="J2665" i="6"/>
  <c r="I2665" i="6"/>
  <c r="P2665" i="6" s="1"/>
  <c r="H2665" i="6"/>
  <c r="G2665" i="6"/>
  <c r="F2665" i="6"/>
  <c r="D2665" i="6"/>
  <c r="U2665" i="6" s="1"/>
  <c r="C2665" i="6"/>
  <c r="B2665" i="6"/>
  <c r="Q2664" i="6"/>
  <c r="P2664" i="6"/>
  <c r="N2664" i="6"/>
  <c r="M2664" i="6"/>
  <c r="L2664" i="6"/>
  <c r="K2664" i="6"/>
  <c r="J2664" i="6"/>
  <c r="I2664" i="6"/>
  <c r="H2664" i="6"/>
  <c r="G2664" i="6"/>
  <c r="F2664" i="6"/>
  <c r="D2664" i="6"/>
  <c r="U2664" i="6" s="1"/>
  <c r="C2664" i="6"/>
  <c r="B2664" i="6"/>
  <c r="Q2663" i="6"/>
  <c r="N2663" i="6"/>
  <c r="M2663" i="6"/>
  <c r="L2663" i="6"/>
  <c r="K2663" i="6"/>
  <c r="J2663" i="6"/>
  <c r="I2663" i="6"/>
  <c r="P2663" i="6" s="1"/>
  <c r="H2663" i="6"/>
  <c r="G2663" i="6"/>
  <c r="F2663" i="6"/>
  <c r="D2663" i="6"/>
  <c r="U2663" i="6" s="1"/>
  <c r="C2663" i="6"/>
  <c r="B2663" i="6"/>
  <c r="Q2662" i="6"/>
  <c r="P2662" i="6"/>
  <c r="N2662" i="6"/>
  <c r="M2662" i="6"/>
  <c r="L2662" i="6"/>
  <c r="K2662" i="6"/>
  <c r="J2662" i="6"/>
  <c r="I2662" i="6"/>
  <c r="H2662" i="6"/>
  <c r="G2662" i="6"/>
  <c r="F2662" i="6"/>
  <c r="D2662" i="6"/>
  <c r="U2662" i="6" s="1"/>
  <c r="C2662" i="6"/>
  <c r="B2662" i="6"/>
  <c r="Q2661" i="6"/>
  <c r="N2661" i="6"/>
  <c r="M2661" i="6"/>
  <c r="L2661" i="6"/>
  <c r="K2661" i="6"/>
  <c r="J2661" i="6"/>
  <c r="I2661" i="6"/>
  <c r="P2661" i="6" s="1"/>
  <c r="H2661" i="6"/>
  <c r="G2661" i="6"/>
  <c r="F2661" i="6"/>
  <c r="D2661" i="6"/>
  <c r="U2661" i="6" s="1"/>
  <c r="C2661" i="6"/>
  <c r="B2661" i="6"/>
  <c r="Q2660" i="6"/>
  <c r="P2660" i="6"/>
  <c r="N2660" i="6"/>
  <c r="M2660" i="6"/>
  <c r="L2660" i="6"/>
  <c r="K2660" i="6"/>
  <c r="J2660" i="6"/>
  <c r="I2660" i="6"/>
  <c r="H2660" i="6"/>
  <c r="G2660" i="6"/>
  <c r="F2660" i="6"/>
  <c r="D2660" i="6"/>
  <c r="U2660" i="6" s="1"/>
  <c r="C2660" i="6"/>
  <c r="B2660" i="6"/>
  <c r="Q2659" i="6"/>
  <c r="N2659" i="6"/>
  <c r="M2659" i="6"/>
  <c r="L2659" i="6"/>
  <c r="K2659" i="6"/>
  <c r="J2659" i="6"/>
  <c r="I2659" i="6"/>
  <c r="P2659" i="6" s="1"/>
  <c r="H2659" i="6"/>
  <c r="G2659" i="6"/>
  <c r="F2659" i="6"/>
  <c r="D2659" i="6"/>
  <c r="U2659" i="6" s="1"/>
  <c r="C2659" i="6"/>
  <c r="B2659" i="6"/>
  <c r="Q2658" i="6"/>
  <c r="P2658" i="6"/>
  <c r="N2658" i="6"/>
  <c r="M2658" i="6"/>
  <c r="L2658" i="6"/>
  <c r="K2658" i="6"/>
  <c r="J2658" i="6"/>
  <c r="I2658" i="6"/>
  <c r="H2658" i="6"/>
  <c r="G2658" i="6"/>
  <c r="F2658" i="6"/>
  <c r="D2658" i="6"/>
  <c r="U2658" i="6" s="1"/>
  <c r="C2658" i="6"/>
  <c r="B2658" i="6"/>
  <c r="Q2657" i="6"/>
  <c r="N2657" i="6"/>
  <c r="M2657" i="6"/>
  <c r="L2657" i="6"/>
  <c r="K2657" i="6"/>
  <c r="J2657" i="6"/>
  <c r="I2657" i="6"/>
  <c r="P2657" i="6" s="1"/>
  <c r="H2657" i="6"/>
  <c r="G2657" i="6"/>
  <c r="F2657" i="6"/>
  <c r="D2657" i="6"/>
  <c r="U2657" i="6" s="1"/>
  <c r="C2657" i="6"/>
  <c r="B2657" i="6"/>
  <c r="Q2656" i="6"/>
  <c r="P2656" i="6"/>
  <c r="N2656" i="6"/>
  <c r="M2656" i="6"/>
  <c r="L2656" i="6"/>
  <c r="K2656" i="6"/>
  <c r="J2656" i="6"/>
  <c r="I2656" i="6"/>
  <c r="H2656" i="6"/>
  <c r="G2656" i="6"/>
  <c r="F2656" i="6"/>
  <c r="D2656" i="6"/>
  <c r="U2656" i="6" s="1"/>
  <c r="C2656" i="6"/>
  <c r="B2656" i="6"/>
  <c r="Q2655" i="6"/>
  <c r="N2655" i="6"/>
  <c r="M2655" i="6"/>
  <c r="L2655" i="6"/>
  <c r="K2655" i="6"/>
  <c r="J2655" i="6"/>
  <c r="I2655" i="6"/>
  <c r="P2655" i="6" s="1"/>
  <c r="H2655" i="6"/>
  <c r="G2655" i="6"/>
  <c r="F2655" i="6"/>
  <c r="D2655" i="6"/>
  <c r="U2655" i="6" s="1"/>
  <c r="C2655" i="6"/>
  <c r="B2655" i="6"/>
  <c r="Q2654" i="6"/>
  <c r="P2654" i="6"/>
  <c r="N2654" i="6"/>
  <c r="M2654" i="6"/>
  <c r="L2654" i="6"/>
  <c r="K2654" i="6"/>
  <c r="J2654" i="6"/>
  <c r="I2654" i="6"/>
  <c r="H2654" i="6"/>
  <c r="G2654" i="6"/>
  <c r="F2654" i="6"/>
  <c r="D2654" i="6"/>
  <c r="U2654" i="6" s="1"/>
  <c r="C2654" i="6"/>
  <c r="B2654" i="6"/>
  <c r="Q2653" i="6"/>
  <c r="N2653" i="6"/>
  <c r="M2653" i="6"/>
  <c r="L2653" i="6"/>
  <c r="K2653" i="6"/>
  <c r="J2653" i="6"/>
  <c r="I2653" i="6"/>
  <c r="P2653" i="6" s="1"/>
  <c r="H2653" i="6"/>
  <c r="G2653" i="6"/>
  <c r="F2653" i="6"/>
  <c r="D2653" i="6"/>
  <c r="U2653" i="6" s="1"/>
  <c r="C2653" i="6"/>
  <c r="B2653" i="6"/>
  <c r="Q2652" i="6"/>
  <c r="P2652" i="6"/>
  <c r="N2652" i="6"/>
  <c r="M2652" i="6"/>
  <c r="L2652" i="6"/>
  <c r="K2652" i="6"/>
  <c r="J2652" i="6"/>
  <c r="I2652" i="6"/>
  <c r="H2652" i="6"/>
  <c r="G2652" i="6"/>
  <c r="F2652" i="6"/>
  <c r="D2652" i="6"/>
  <c r="U2652" i="6" s="1"/>
  <c r="C2652" i="6"/>
  <c r="B2652" i="6"/>
  <c r="Q2651" i="6"/>
  <c r="N2651" i="6"/>
  <c r="M2651" i="6"/>
  <c r="L2651" i="6"/>
  <c r="K2651" i="6"/>
  <c r="J2651" i="6"/>
  <c r="I2651" i="6"/>
  <c r="P2651" i="6" s="1"/>
  <c r="H2651" i="6"/>
  <c r="G2651" i="6"/>
  <c r="F2651" i="6"/>
  <c r="D2651" i="6"/>
  <c r="U2651" i="6" s="1"/>
  <c r="C2651" i="6"/>
  <c r="B2651" i="6"/>
  <c r="Q2650" i="6"/>
  <c r="P2650" i="6"/>
  <c r="N2650" i="6"/>
  <c r="M2650" i="6"/>
  <c r="L2650" i="6"/>
  <c r="K2650" i="6"/>
  <c r="J2650" i="6"/>
  <c r="I2650" i="6"/>
  <c r="H2650" i="6"/>
  <c r="G2650" i="6"/>
  <c r="F2650" i="6"/>
  <c r="D2650" i="6"/>
  <c r="U2650" i="6" s="1"/>
  <c r="C2650" i="6"/>
  <c r="B2650" i="6"/>
  <c r="Q2649" i="6"/>
  <c r="N2649" i="6"/>
  <c r="M2649" i="6"/>
  <c r="L2649" i="6"/>
  <c r="K2649" i="6"/>
  <c r="J2649" i="6"/>
  <c r="I2649" i="6"/>
  <c r="P2649" i="6" s="1"/>
  <c r="H2649" i="6"/>
  <c r="G2649" i="6"/>
  <c r="F2649" i="6"/>
  <c r="D2649" i="6"/>
  <c r="U2649" i="6" s="1"/>
  <c r="C2649" i="6"/>
  <c r="B2649" i="6"/>
  <c r="Q2648" i="6"/>
  <c r="P2648" i="6"/>
  <c r="N2648" i="6"/>
  <c r="M2648" i="6"/>
  <c r="L2648" i="6"/>
  <c r="K2648" i="6"/>
  <c r="J2648" i="6"/>
  <c r="I2648" i="6"/>
  <c r="H2648" i="6"/>
  <c r="G2648" i="6"/>
  <c r="F2648" i="6"/>
  <c r="D2648" i="6"/>
  <c r="U2648" i="6" s="1"/>
  <c r="C2648" i="6"/>
  <c r="B2648" i="6"/>
  <c r="Q2647" i="6"/>
  <c r="N2647" i="6"/>
  <c r="M2647" i="6"/>
  <c r="L2647" i="6"/>
  <c r="K2647" i="6"/>
  <c r="J2647" i="6"/>
  <c r="I2647" i="6"/>
  <c r="P2647" i="6" s="1"/>
  <c r="H2647" i="6"/>
  <c r="G2647" i="6"/>
  <c r="F2647" i="6"/>
  <c r="D2647" i="6"/>
  <c r="U2647" i="6" s="1"/>
  <c r="C2647" i="6"/>
  <c r="B2647" i="6"/>
  <c r="Q2646" i="6"/>
  <c r="P2646" i="6"/>
  <c r="N2646" i="6"/>
  <c r="M2646" i="6"/>
  <c r="L2646" i="6"/>
  <c r="K2646" i="6"/>
  <c r="J2646" i="6"/>
  <c r="I2646" i="6"/>
  <c r="H2646" i="6"/>
  <c r="G2646" i="6"/>
  <c r="F2646" i="6"/>
  <c r="D2646" i="6"/>
  <c r="U2646" i="6" s="1"/>
  <c r="C2646" i="6"/>
  <c r="B2646" i="6"/>
  <c r="Q2645" i="6"/>
  <c r="N2645" i="6"/>
  <c r="M2645" i="6"/>
  <c r="L2645" i="6"/>
  <c r="K2645" i="6"/>
  <c r="J2645" i="6"/>
  <c r="I2645" i="6"/>
  <c r="P2645" i="6" s="1"/>
  <c r="H2645" i="6"/>
  <c r="G2645" i="6"/>
  <c r="F2645" i="6"/>
  <c r="D2645" i="6"/>
  <c r="U2645" i="6" s="1"/>
  <c r="C2645" i="6"/>
  <c r="B2645" i="6"/>
  <c r="Q2644" i="6"/>
  <c r="P2644" i="6"/>
  <c r="N2644" i="6"/>
  <c r="M2644" i="6"/>
  <c r="L2644" i="6"/>
  <c r="K2644" i="6"/>
  <c r="J2644" i="6"/>
  <c r="I2644" i="6"/>
  <c r="H2644" i="6"/>
  <c r="G2644" i="6"/>
  <c r="F2644" i="6"/>
  <c r="D2644" i="6"/>
  <c r="U2644" i="6" s="1"/>
  <c r="C2644" i="6"/>
  <c r="B2644" i="6"/>
  <c r="Q2643" i="6"/>
  <c r="N2643" i="6"/>
  <c r="M2643" i="6"/>
  <c r="L2643" i="6"/>
  <c r="K2643" i="6"/>
  <c r="J2643" i="6"/>
  <c r="I2643" i="6"/>
  <c r="P2643" i="6" s="1"/>
  <c r="H2643" i="6"/>
  <c r="G2643" i="6"/>
  <c r="F2643" i="6"/>
  <c r="D2643" i="6"/>
  <c r="U2643" i="6" s="1"/>
  <c r="C2643" i="6"/>
  <c r="B2643" i="6"/>
  <c r="Q2642" i="6"/>
  <c r="P2642" i="6"/>
  <c r="N2642" i="6"/>
  <c r="M2642" i="6"/>
  <c r="L2642" i="6"/>
  <c r="K2642" i="6"/>
  <c r="J2642" i="6"/>
  <c r="I2642" i="6"/>
  <c r="H2642" i="6"/>
  <c r="G2642" i="6"/>
  <c r="F2642" i="6"/>
  <c r="D2642" i="6"/>
  <c r="U2642" i="6" s="1"/>
  <c r="C2642" i="6"/>
  <c r="B2642" i="6"/>
  <c r="Q2641" i="6"/>
  <c r="N2641" i="6"/>
  <c r="M2641" i="6"/>
  <c r="L2641" i="6"/>
  <c r="K2641" i="6"/>
  <c r="J2641" i="6"/>
  <c r="I2641" i="6"/>
  <c r="P2641" i="6" s="1"/>
  <c r="H2641" i="6"/>
  <c r="G2641" i="6"/>
  <c r="F2641" i="6"/>
  <c r="D2641" i="6"/>
  <c r="U2641" i="6" s="1"/>
  <c r="C2641" i="6"/>
  <c r="B2641" i="6"/>
  <c r="Q2640" i="6"/>
  <c r="P2640" i="6"/>
  <c r="N2640" i="6"/>
  <c r="M2640" i="6"/>
  <c r="L2640" i="6"/>
  <c r="K2640" i="6"/>
  <c r="J2640" i="6"/>
  <c r="I2640" i="6"/>
  <c r="H2640" i="6"/>
  <c r="G2640" i="6"/>
  <c r="F2640" i="6"/>
  <c r="D2640" i="6"/>
  <c r="U2640" i="6" s="1"/>
  <c r="C2640" i="6"/>
  <c r="B2640" i="6"/>
  <c r="Q2639" i="6"/>
  <c r="N2639" i="6"/>
  <c r="M2639" i="6"/>
  <c r="L2639" i="6"/>
  <c r="K2639" i="6"/>
  <c r="J2639" i="6"/>
  <c r="I2639" i="6"/>
  <c r="P2639" i="6" s="1"/>
  <c r="H2639" i="6"/>
  <c r="G2639" i="6"/>
  <c r="F2639" i="6"/>
  <c r="D2639" i="6"/>
  <c r="U2639" i="6" s="1"/>
  <c r="C2639" i="6"/>
  <c r="B2639" i="6"/>
  <c r="Q2638" i="6"/>
  <c r="P2638" i="6"/>
  <c r="N2638" i="6"/>
  <c r="M2638" i="6"/>
  <c r="L2638" i="6"/>
  <c r="K2638" i="6"/>
  <c r="J2638" i="6"/>
  <c r="I2638" i="6"/>
  <c r="H2638" i="6"/>
  <c r="G2638" i="6"/>
  <c r="F2638" i="6"/>
  <c r="D2638" i="6"/>
  <c r="U2638" i="6" s="1"/>
  <c r="C2638" i="6"/>
  <c r="B2638" i="6"/>
  <c r="Q2637" i="6"/>
  <c r="N2637" i="6"/>
  <c r="M2637" i="6"/>
  <c r="L2637" i="6"/>
  <c r="K2637" i="6"/>
  <c r="J2637" i="6"/>
  <c r="I2637" i="6"/>
  <c r="P2637" i="6" s="1"/>
  <c r="H2637" i="6"/>
  <c r="G2637" i="6"/>
  <c r="F2637" i="6"/>
  <c r="D2637" i="6"/>
  <c r="U2637" i="6" s="1"/>
  <c r="C2637" i="6"/>
  <c r="B2637" i="6"/>
  <c r="Q2636" i="6"/>
  <c r="P2636" i="6"/>
  <c r="N2636" i="6"/>
  <c r="M2636" i="6"/>
  <c r="L2636" i="6"/>
  <c r="K2636" i="6"/>
  <c r="J2636" i="6"/>
  <c r="I2636" i="6"/>
  <c r="H2636" i="6"/>
  <c r="G2636" i="6"/>
  <c r="F2636" i="6"/>
  <c r="D2636" i="6"/>
  <c r="U2636" i="6" s="1"/>
  <c r="C2636" i="6"/>
  <c r="B2636" i="6"/>
  <c r="Q2635" i="6"/>
  <c r="N2635" i="6"/>
  <c r="M2635" i="6"/>
  <c r="L2635" i="6"/>
  <c r="K2635" i="6"/>
  <c r="J2635" i="6"/>
  <c r="I2635" i="6"/>
  <c r="P2635" i="6" s="1"/>
  <c r="H2635" i="6"/>
  <c r="G2635" i="6"/>
  <c r="F2635" i="6"/>
  <c r="D2635" i="6"/>
  <c r="U2635" i="6" s="1"/>
  <c r="C2635" i="6"/>
  <c r="B2635" i="6"/>
  <c r="Q2634" i="6"/>
  <c r="P2634" i="6"/>
  <c r="N2634" i="6"/>
  <c r="M2634" i="6"/>
  <c r="L2634" i="6"/>
  <c r="K2634" i="6"/>
  <c r="J2634" i="6"/>
  <c r="I2634" i="6"/>
  <c r="H2634" i="6"/>
  <c r="G2634" i="6"/>
  <c r="F2634" i="6"/>
  <c r="D2634" i="6"/>
  <c r="U2634" i="6" s="1"/>
  <c r="C2634" i="6"/>
  <c r="B2634" i="6"/>
  <c r="Q2633" i="6"/>
  <c r="N2633" i="6"/>
  <c r="M2633" i="6"/>
  <c r="L2633" i="6"/>
  <c r="K2633" i="6"/>
  <c r="J2633" i="6"/>
  <c r="I2633" i="6"/>
  <c r="P2633" i="6" s="1"/>
  <c r="H2633" i="6"/>
  <c r="G2633" i="6"/>
  <c r="F2633" i="6"/>
  <c r="D2633" i="6"/>
  <c r="U2633" i="6" s="1"/>
  <c r="C2633" i="6"/>
  <c r="B2633" i="6"/>
  <c r="Q2632" i="6"/>
  <c r="P2632" i="6"/>
  <c r="N2632" i="6"/>
  <c r="M2632" i="6"/>
  <c r="L2632" i="6"/>
  <c r="K2632" i="6"/>
  <c r="J2632" i="6"/>
  <c r="I2632" i="6"/>
  <c r="H2632" i="6"/>
  <c r="G2632" i="6"/>
  <c r="F2632" i="6"/>
  <c r="D2632" i="6"/>
  <c r="U2632" i="6" s="1"/>
  <c r="C2632" i="6"/>
  <c r="B2632" i="6"/>
  <c r="Q2631" i="6"/>
  <c r="N2631" i="6"/>
  <c r="M2631" i="6"/>
  <c r="L2631" i="6"/>
  <c r="K2631" i="6"/>
  <c r="J2631" i="6"/>
  <c r="I2631" i="6"/>
  <c r="P2631" i="6" s="1"/>
  <c r="H2631" i="6"/>
  <c r="G2631" i="6"/>
  <c r="F2631" i="6"/>
  <c r="D2631" i="6"/>
  <c r="U2631" i="6" s="1"/>
  <c r="C2631" i="6"/>
  <c r="B2631" i="6"/>
  <c r="Q2630" i="6"/>
  <c r="P2630" i="6"/>
  <c r="N2630" i="6"/>
  <c r="M2630" i="6"/>
  <c r="L2630" i="6"/>
  <c r="K2630" i="6"/>
  <c r="J2630" i="6"/>
  <c r="I2630" i="6"/>
  <c r="H2630" i="6"/>
  <c r="G2630" i="6"/>
  <c r="F2630" i="6"/>
  <c r="D2630" i="6"/>
  <c r="U2630" i="6" s="1"/>
  <c r="C2630" i="6"/>
  <c r="B2630" i="6"/>
  <c r="Q2629" i="6"/>
  <c r="N2629" i="6"/>
  <c r="M2629" i="6"/>
  <c r="L2629" i="6"/>
  <c r="K2629" i="6"/>
  <c r="J2629" i="6"/>
  <c r="I2629" i="6"/>
  <c r="P2629" i="6" s="1"/>
  <c r="H2629" i="6"/>
  <c r="G2629" i="6"/>
  <c r="F2629" i="6"/>
  <c r="D2629" i="6"/>
  <c r="U2629" i="6" s="1"/>
  <c r="C2629" i="6"/>
  <c r="B2629" i="6"/>
  <c r="Q2628" i="6"/>
  <c r="P2628" i="6"/>
  <c r="N2628" i="6"/>
  <c r="M2628" i="6"/>
  <c r="L2628" i="6"/>
  <c r="K2628" i="6"/>
  <c r="J2628" i="6"/>
  <c r="I2628" i="6"/>
  <c r="H2628" i="6"/>
  <c r="G2628" i="6"/>
  <c r="F2628" i="6"/>
  <c r="D2628" i="6"/>
  <c r="U2628" i="6" s="1"/>
  <c r="C2628" i="6"/>
  <c r="B2628" i="6"/>
  <c r="Q2627" i="6"/>
  <c r="N2627" i="6"/>
  <c r="M2627" i="6"/>
  <c r="L2627" i="6"/>
  <c r="K2627" i="6"/>
  <c r="J2627" i="6"/>
  <c r="I2627" i="6"/>
  <c r="P2627" i="6" s="1"/>
  <c r="H2627" i="6"/>
  <c r="G2627" i="6"/>
  <c r="F2627" i="6"/>
  <c r="D2627" i="6"/>
  <c r="U2627" i="6" s="1"/>
  <c r="C2627" i="6"/>
  <c r="B2627" i="6"/>
  <c r="Q2626" i="6"/>
  <c r="P2626" i="6"/>
  <c r="N2626" i="6"/>
  <c r="M2626" i="6"/>
  <c r="L2626" i="6"/>
  <c r="K2626" i="6"/>
  <c r="J2626" i="6"/>
  <c r="I2626" i="6"/>
  <c r="H2626" i="6"/>
  <c r="G2626" i="6"/>
  <c r="F2626" i="6"/>
  <c r="D2626" i="6"/>
  <c r="U2626" i="6" s="1"/>
  <c r="C2626" i="6"/>
  <c r="B2626" i="6"/>
  <c r="Q2625" i="6"/>
  <c r="N2625" i="6"/>
  <c r="M2625" i="6"/>
  <c r="L2625" i="6"/>
  <c r="K2625" i="6"/>
  <c r="J2625" i="6"/>
  <c r="I2625" i="6"/>
  <c r="P2625" i="6" s="1"/>
  <c r="H2625" i="6"/>
  <c r="G2625" i="6"/>
  <c r="F2625" i="6"/>
  <c r="D2625" i="6"/>
  <c r="U2625" i="6" s="1"/>
  <c r="C2625" i="6"/>
  <c r="B2625" i="6"/>
  <c r="Q2624" i="6"/>
  <c r="P2624" i="6"/>
  <c r="N2624" i="6"/>
  <c r="M2624" i="6"/>
  <c r="L2624" i="6"/>
  <c r="K2624" i="6"/>
  <c r="J2624" i="6"/>
  <c r="I2624" i="6"/>
  <c r="H2624" i="6"/>
  <c r="G2624" i="6"/>
  <c r="F2624" i="6"/>
  <c r="D2624" i="6"/>
  <c r="U2624" i="6" s="1"/>
  <c r="C2624" i="6"/>
  <c r="B2624" i="6"/>
  <c r="Q2623" i="6"/>
  <c r="N2623" i="6"/>
  <c r="M2623" i="6"/>
  <c r="L2623" i="6"/>
  <c r="K2623" i="6"/>
  <c r="J2623" i="6"/>
  <c r="I2623" i="6"/>
  <c r="P2623" i="6" s="1"/>
  <c r="H2623" i="6"/>
  <c r="G2623" i="6"/>
  <c r="F2623" i="6"/>
  <c r="D2623" i="6"/>
  <c r="U2623" i="6" s="1"/>
  <c r="C2623" i="6"/>
  <c r="B2623" i="6"/>
  <c r="Q2622" i="6"/>
  <c r="P2622" i="6"/>
  <c r="N2622" i="6"/>
  <c r="M2622" i="6"/>
  <c r="L2622" i="6"/>
  <c r="K2622" i="6"/>
  <c r="J2622" i="6"/>
  <c r="I2622" i="6"/>
  <c r="H2622" i="6"/>
  <c r="G2622" i="6"/>
  <c r="F2622" i="6"/>
  <c r="D2622" i="6"/>
  <c r="U2622" i="6" s="1"/>
  <c r="C2622" i="6"/>
  <c r="B2622" i="6"/>
  <c r="Q2621" i="6"/>
  <c r="N2621" i="6"/>
  <c r="M2621" i="6"/>
  <c r="L2621" i="6"/>
  <c r="K2621" i="6"/>
  <c r="J2621" i="6"/>
  <c r="I2621" i="6"/>
  <c r="P2621" i="6" s="1"/>
  <c r="H2621" i="6"/>
  <c r="G2621" i="6"/>
  <c r="F2621" i="6"/>
  <c r="D2621" i="6"/>
  <c r="U2621" i="6" s="1"/>
  <c r="C2621" i="6"/>
  <c r="B2621" i="6"/>
  <c r="Q2620" i="6"/>
  <c r="P2620" i="6"/>
  <c r="N2620" i="6"/>
  <c r="M2620" i="6"/>
  <c r="L2620" i="6"/>
  <c r="K2620" i="6"/>
  <c r="J2620" i="6"/>
  <c r="I2620" i="6"/>
  <c r="H2620" i="6"/>
  <c r="G2620" i="6"/>
  <c r="F2620" i="6"/>
  <c r="D2620" i="6"/>
  <c r="U2620" i="6" s="1"/>
  <c r="C2620" i="6"/>
  <c r="B2620" i="6"/>
  <c r="Q2619" i="6"/>
  <c r="N2619" i="6"/>
  <c r="M2619" i="6"/>
  <c r="L2619" i="6"/>
  <c r="K2619" i="6"/>
  <c r="J2619" i="6"/>
  <c r="I2619" i="6"/>
  <c r="P2619" i="6" s="1"/>
  <c r="H2619" i="6"/>
  <c r="G2619" i="6"/>
  <c r="F2619" i="6"/>
  <c r="D2619" i="6"/>
  <c r="U2619" i="6" s="1"/>
  <c r="C2619" i="6"/>
  <c r="B2619" i="6"/>
  <c r="Q2618" i="6"/>
  <c r="P2618" i="6"/>
  <c r="N2618" i="6"/>
  <c r="M2618" i="6"/>
  <c r="L2618" i="6"/>
  <c r="K2618" i="6"/>
  <c r="J2618" i="6"/>
  <c r="I2618" i="6"/>
  <c r="H2618" i="6"/>
  <c r="G2618" i="6"/>
  <c r="F2618" i="6"/>
  <c r="D2618" i="6"/>
  <c r="U2618" i="6" s="1"/>
  <c r="C2618" i="6"/>
  <c r="B2618" i="6"/>
  <c r="Q2617" i="6"/>
  <c r="N2617" i="6"/>
  <c r="M2617" i="6"/>
  <c r="L2617" i="6"/>
  <c r="K2617" i="6"/>
  <c r="J2617" i="6"/>
  <c r="I2617" i="6"/>
  <c r="P2617" i="6" s="1"/>
  <c r="H2617" i="6"/>
  <c r="G2617" i="6"/>
  <c r="F2617" i="6"/>
  <c r="D2617" i="6"/>
  <c r="U2617" i="6" s="1"/>
  <c r="C2617" i="6"/>
  <c r="B2617" i="6"/>
  <c r="Q2616" i="6"/>
  <c r="P2616" i="6"/>
  <c r="N2616" i="6"/>
  <c r="M2616" i="6"/>
  <c r="L2616" i="6"/>
  <c r="K2616" i="6"/>
  <c r="J2616" i="6"/>
  <c r="I2616" i="6"/>
  <c r="H2616" i="6"/>
  <c r="G2616" i="6"/>
  <c r="F2616" i="6"/>
  <c r="D2616" i="6"/>
  <c r="U2616" i="6" s="1"/>
  <c r="C2616" i="6"/>
  <c r="B2616" i="6"/>
  <c r="Q2615" i="6"/>
  <c r="N2615" i="6"/>
  <c r="M2615" i="6"/>
  <c r="L2615" i="6"/>
  <c r="K2615" i="6"/>
  <c r="J2615" i="6"/>
  <c r="I2615" i="6"/>
  <c r="P2615" i="6" s="1"/>
  <c r="H2615" i="6"/>
  <c r="G2615" i="6"/>
  <c r="F2615" i="6"/>
  <c r="D2615" i="6"/>
  <c r="U2615" i="6" s="1"/>
  <c r="C2615" i="6"/>
  <c r="B2615" i="6"/>
  <c r="Q2614" i="6"/>
  <c r="P2614" i="6"/>
  <c r="N2614" i="6"/>
  <c r="M2614" i="6"/>
  <c r="L2614" i="6"/>
  <c r="K2614" i="6"/>
  <c r="J2614" i="6"/>
  <c r="I2614" i="6"/>
  <c r="H2614" i="6"/>
  <c r="G2614" i="6"/>
  <c r="F2614" i="6"/>
  <c r="D2614" i="6"/>
  <c r="U2614" i="6" s="1"/>
  <c r="C2614" i="6"/>
  <c r="B2614" i="6"/>
  <c r="Q2613" i="6"/>
  <c r="N2613" i="6"/>
  <c r="M2613" i="6"/>
  <c r="L2613" i="6"/>
  <c r="K2613" i="6"/>
  <c r="J2613" i="6"/>
  <c r="I2613" i="6"/>
  <c r="P2613" i="6" s="1"/>
  <c r="H2613" i="6"/>
  <c r="G2613" i="6"/>
  <c r="F2613" i="6"/>
  <c r="D2613" i="6"/>
  <c r="U2613" i="6" s="1"/>
  <c r="C2613" i="6"/>
  <c r="B2613" i="6"/>
  <c r="Q2612" i="6"/>
  <c r="P2612" i="6"/>
  <c r="N2612" i="6"/>
  <c r="M2612" i="6"/>
  <c r="L2612" i="6"/>
  <c r="K2612" i="6"/>
  <c r="J2612" i="6"/>
  <c r="I2612" i="6"/>
  <c r="H2612" i="6"/>
  <c r="G2612" i="6"/>
  <c r="F2612" i="6"/>
  <c r="D2612" i="6"/>
  <c r="U2612" i="6" s="1"/>
  <c r="C2612" i="6"/>
  <c r="B2612" i="6"/>
  <c r="Q2611" i="6"/>
  <c r="N2611" i="6"/>
  <c r="M2611" i="6"/>
  <c r="L2611" i="6"/>
  <c r="K2611" i="6"/>
  <c r="J2611" i="6"/>
  <c r="I2611" i="6"/>
  <c r="P2611" i="6" s="1"/>
  <c r="H2611" i="6"/>
  <c r="G2611" i="6"/>
  <c r="F2611" i="6"/>
  <c r="D2611" i="6"/>
  <c r="U2611" i="6" s="1"/>
  <c r="C2611" i="6"/>
  <c r="B2611" i="6"/>
  <c r="Q2610" i="6"/>
  <c r="P2610" i="6"/>
  <c r="N2610" i="6"/>
  <c r="M2610" i="6"/>
  <c r="L2610" i="6"/>
  <c r="K2610" i="6"/>
  <c r="J2610" i="6"/>
  <c r="I2610" i="6"/>
  <c r="H2610" i="6"/>
  <c r="G2610" i="6"/>
  <c r="F2610" i="6"/>
  <c r="D2610" i="6"/>
  <c r="U2610" i="6" s="1"/>
  <c r="C2610" i="6"/>
  <c r="B2610" i="6"/>
  <c r="Q2609" i="6"/>
  <c r="N2609" i="6"/>
  <c r="M2609" i="6"/>
  <c r="L2609" i="6"/>
  <c r="K2609" i="6"/>
  <c r="J2609" i="6"/>
  <c r="I2609" i="6"/>
  <c r="P2609" i="6" s="1"/>
  <c r="H2609" i="6"/>
  <c r="G2609" i="6"/>
  <c r="F2609" i="6"/>
  <c r="D2609" i="6"/>
  <c r="U2609" i="6" s="1"/>
  <c r="C2609" i="6"/>
  <c r="B2609" i="6"/>
  <c r="Q2608" i="6"/>
  <c r="P2608" i="6"/>
  <c r="N2608" i="6"/>
  <c r="M2608" i="6"/>
  <c r="L2608" i="6"/>
  <c r="K2608" i="6"/>
  <c r="J2608" i="6"/>
  <c r="I2608" i="6"/>
  <c r="H2608" i="6"/>
  <c r="G2608" i="6"/>
  <c r="F2608" i="6"/>
  <c r="D2608" i="6"/>
  <c r="U2608" i="6" s="1"/>
  <c r="C2608" i="6"/>
  <c r="B2608" i="6"/>
  <c r="Q2607" i="6"/>
  <c r="N2607" i="6"/>
  <c r="M2607" i="6"/>
  <c r="L2607" i="6"/>
  <c r="K2607" i="6"/>
  <c r="J2607" i="6"/>
  <c r="I2607" i="6"/>
  <c r="P2607" i="6" s="1"/>
  <c r="H2607" i="6"/>
  <c r="G2607" i="6"/>
  <c r="F2607" i="6"/>
  <c r="D2607" i="6"/>
  <c r="U2607" i="6" s="1"/>
  <c r="C2607" i="6"/>
  <c r="B2607" i="6"/>
  <c r="Q2606" i="6"/>
  <c r="P2606" i="6"/>
  <c r="N2606" i="6"/>
  <c r="M2606" i="6"/>
  <c r="L2606" i="6"/>
  <c r="K2606" i="6"/>
  <c r="J2606" i="6"/>
  <c r="I2606" i="6"/>
  <c r="H2606" i="6"/>
  <c r="G2606" i="6"/>
  <c r="F2606" i="6"/>
  <c r="D2606" i="6"/>
  <c r="U2606" i="6" s="1"/>
  <c r="C2606" i="6"/>
  <c r="B2606" i="6"/>
  <c r="Q2605" i="6"/>
  <c r="N2605" i="6"/>
  <c r="M2605" i="6"/>
  <c r="L2605" i="6"/>
  <c r="K2605" i="6"/>
  <c r="J2605" i="6"/>
  <c r="I2605" i="6"/>
  <c r="P2605" i="6" s="1"/>
  <c r="H2605" i="6"/>
  <c r="G2605" i="6"/>
  <c r="F2605" i="6"/>
  <c r="D2605" i="6"/>
  <c r="U2605" i="6" s="1"/>
  <c r="C2605" i="6"/>
  <c r="B2605" i="6"/>
  <c r="Q2604" i="6"/>
  <c r="P2604" i="6"/>
  <c r="N2604" i="6"/>
  <c r="M2604" i="6"/>
  <c r="L2604" i="6"/>
  <c r="K2604" i="6"/>
  <c r="J2604" i="6"/>
  <c r="I2604" i="6"/>
  <c r="H2604" i="6"/>
  <c r="G2604" i="6"/>
  <c r="F2604" i="6"/>
  <c r="D2604" i="6"/>
  <c r="U2604" i="6" s="1"/>
  <c r="C2604" i="6"/>
  <c r="B2604" i="6"/>
  <c r="Q2603" i="6"/>
  <c r="N2603" i="6"/>
  <c r="M2603" i="6"/>
  <c r="L2603" i="6"/>
  <c r="K2603" i="6"/>
  <c r="J2603" i="6"/>
  <c r="I2603" i="6"/>
  <c r="P2603" i="6" s="1"/>
  <c r="H2603" i="6"/>
  <c r="G2603" i="6"/>
  <c r="F2603" i="6"/>
  <c r="D2603" i="6"/>
  <c r="U2603" i="6" s="1"/>
  <c r="C2603" i="6"/>
  <c r="B2603" i="6"/>
  <c r="Q2602" i="6"/>
  <c r="P2602" i="6"/>
  <c r="N2602" i="6"/>
  <c r="M2602" i="6"/>
  <c r="L2602" i="6"/>
  <c r="K2602" i="6"/>
  <c r="J2602" i="6"/>
  <c r="I2602" i="6"/>
  <c r="H2602" i="6"/>
  <c r="G2602" i="6"/>
  <c r="F2602" i="6"/>
  <c r="D2602" i="6"/>
  <c r="U2602" i="6" s="1"/>
  <c r="C2602" i="6"/>
  <c r="B2602" i="6"/>
  <c r="Q2601" i="6"/>
  <c r="N2601" i="6"/>
  <c r="M2601" i="6"/>
  <c r="L2601" i="6"/>
  <c r="K2601" i="6"/>
  <c r="J2601" i="6"/>
  <c r="I2601" i="6"/>
  <c r="P2601" i="6" s="1"/>
  <c r="H2601" i="6"/>
  <c r="G2601" i="6"/>
  <c r="F2601" i="6"/>
  <c r="D2601" i="6"/>
  <c r="U2601" i="6" s="1"/>
  <c r="C2601" i="6"/>
  <c r="B2601" i="6"/>
  <c r="Q2600" i="6"/>
  <c r="P2600" i="6"/>
  <c r="N2600" i="6"/>
  <c r="M2600" i="6"/>
  <c r="L2600" i="6"/>
  <c r="K2600" i="6"/>
  <c r="J2600" i="6"/>
  <c r="I2600" i="6"/>
  <c r="H2600" i="6"/>
  <c r="G2600" i="6"/>
  <c r="F2600" i="6"/>
  <c r="D2600" i="6"/>
  <c r="U2600" i="6" s="1"/>
  <c r="C2600" i="6"/>
  <c r="B2600" i="6"/>
  <c r="Q2599" i="6"/>
  <c r="N2599" i="6"/>
  <c r="M2599" i="6"/>
  <c r="L2599" i="6"/>
  <c r="K2599" i="6"/>
  <c r="J2599" i="6"/>
  <c r="I2599" i="6"/>
  <c r="P2599" i="6" s="1"/>
  <c r="H2599" i="6"/>
  <c r="G2599" i="6"/>
  <c r="F2599" i="6"/>
  <c r="D2599" i="6"/>
  <c r="U2599" i="6" s="1"/>
  <c r="C2599" i="6"/>
  <c r="B2599" i="6"/>
  <c r="Q2598" i="6"/>
  <c r="P2598" i="6"/>
  <c r="N2598" i="6"/>
  <c r="M2598" i="6"/>
  <c r="L2598" i="6"/>
  <c r="K2598" i="6"/>
  <c r="J2598" i="6"/>
  <c r="I2598" i="6"/>
  <c r="H2598" i="6"/>
  <c r="G2598" i="6"/>
  <c r="F2598" i="6"/>
  <c r="D2598" i="6"/>
  <c r="U2598" i="6" s="1"/>
  <c r="C2598" i="6"/>
  <c r="B2598" i="6"/>
  <c r="Q2597" i="6"/>
  <c r="N2597" i="6"/>
  <c r="M2597" i="6"/>
  <c r="L2597" i="6"/>
  <c r="K2597" i="6"/>
  <c r="J2597" i="6"/>
  <c r="I2597" i="6"/>
  <c r="P2597" i="6" s="1"/>
  <c r="H2597" i="6"/>
  <c r="G2597" i="6"/>
  <c r="F2597" i="6"/>
  <c r="D2597" i="6"/>
  <c r="U2597" i="6" s="1"/>
  <c r="C2597" i="6"/>
  <c r="B2597" i="6"/>
  <c r="Q2596" i="6"/>
  <c r="P2596" i="6"/>
  <c r="N2596" i="6"/>
  <c r="M2596" i="6"/>
  <c r="L2596" i="6"/>
  <c r="K2596" i="6"/>
  <c r="J2596" i="6"/>
  <c r="I2596" i="6"/>
  <c r="H2596" i="6"/>
  <c r="G2596" i="6"/>
  <c r="F2596" i="6"/>
  <c r="D2596" i="6"/>
  <c r="U2596" i="6" s="1"/>
  <c r="C2596" i="6"/>
  <c r="B2596" i="6"/>
  <c r="Q2595" i="6"/>
  <c r="N2595" i="6"/>
  <c r="M2595" i="6"/>
  <c r="L2595" i="6"/>
  <c r="K2595" i="6"/>
  <c r="J2595" i="6"/>
  <c r="I2595" i="6"/>
  <c r="P2595" i="6" s="1"/>
  <c r="H2595" i="6"/>
  <c r="G2595" i="6"/>
  <c r="F2595" i="6"/>
  <c r="D2595" i="6"/>
  <c r="U2595" i="6" s="1"/>
  <c r="C2595" i="6"/>
  <c r="B2595" i="6"/>
  <c r="Q2594" i="6"/>
  <c r="P2594" i="6"/>
  <c r="N2594" i="6"/>
  <c r="M2594" i="6"/>
  <c r="L2594" i="6"/>
  <c r="K2594" i="6"/>
  <c r="J2594" i="6"/>
  <c r="I2594" i="6"/>
  <c r="H2594" i="6"/>
  <c r="G2594" i="6"/>
  <c r="F2594" i="6"/>
  <c r="D2594" i="6"/>
  <c r="U2594" i="6" s="1"/>
  <c r="C2594" i="6"/>
  <c r="B2594" i="6"/>
  <c r="Q2593" i="6"/>
  <c r="N2593" i="6"/>
  <c r="M2593" i="6"/>
  <c r="L2593" i="6"/>
  <c r="K2593" i="6"/>
  <c r="J2593" i="6"/>
  <c r="I2593" i="6"/>
  <c r="P2593" i="6" s="1"/>
  <c r="H2593" i="6"/>
  <c r="G2593" i="6"/>
  <c r="F2593" i="6"/>
  <c r="D2593" i="6"/>
  <c r="U2593" i="6" s="1"/>
  <c r="C2593" i="6"/>
  <c r="B2593" i="6"/>
  <c r="Q2592" i="6"/>
  <c r="P2592" i="6"/>
  <c r="N2592" i="6"/>
  <c r="M2592" i="6"/>
  <c r="L2592" i="6"/>
  <c r="K2592" i="6"/>
  <c r="J2592" i="6"/>
  <c r="I2592" i="6"/>
  <c r="H2592" i="6"/>
  <c r="G2592" i="6"/>
  <c r="F2592" i="6"/>
  <c r="D2592" i="6"/>
  <c r="U2592" i="6" s="1"/>
  <c r="C2592" i="6"/>
  <c r="B2592" i="6"/>
  <c r="Q2591" i="6"/>
  <c r="N2591" i="6"/>
  <c r="M2591" i="6"/>
  <c r="L2591" i="6"/>
  <c r="K2591" i="6"/>
  <c r="J2591" i="6"/>
  <c r="I2591" i="6"/>
  <c r="P2591" i="6" s="1"/>
  <c r="H2591" i="6"/>
  <c r="G2591" i="6"/>
  <c r="F2591" i="6"/>
  <c r="D2591" i="6"/>
  <c r="U2591" i="6" s="1"/>
  <c r="C2591" i="6"/>
  <c r="B2591" i="6"/>
  <c r="Q2590" i="6"/>
  <c r="P2590" i="6"/>
  <c r="N2590" i="6"/>
  <c r="M2590" i="6"/>
  <c r="L2590" i="6"/>
  <c r="K2590" i="6"/>
  <c r="J2590" i="6"/>
  <c r="I2590" i="6"/>
  <c r="H2590" i="6"/>
  <c r="G2590" i="6"/>
  <c r="F2590" i="6"/>
  <c r="D2590" i="6"/>
  <c r="U2590" i="6" s="1"/>
  <c r="C2590" i="6"/>
  <c r="B2590" i="6"/>
  <c r="Q2589" i="6"/>
  <c r="N2589" i="6"/>
  <c r="M2589" i="6"/>
  <c r="L2589" i="6"/>
  <c r="K2589" i="6"/>
  <c r="J2589" i="6"/>
  <c r="I2589" i="6"/>
  <c r="P2589" i="6" s="1"/>
  <c r="H2589" i="6"/>
  <c r="G2589" i="6"/>
  <c r="F2589" i="6"/>
  <c r="D2589" i="6"/>
  <c r="U2589" i="6" s="1"/>
  <c r="C2589" i="6"/>
  <c r="B2589" i="6"/>
  <c r="Q2588" i="6"/>
  <c r="P2588" i="6"/>
  <c r="N2588" i="6"/>
  <c r="M2588" i="6"/>
  <c r="L2588" i="6"/>
  <c r="K2588" i="6"/>
  <c r="J2588" i="6"/>
  <c r="I2588" i="6"/>
  <c r="H2588" i="6"/>
  <c r="G2588" i="6"/>
  <c r="F2588" i="6"/>
  <c r="D2588" i="6"/>
  <c r="U2588" i="6" s="1"/>
  <c r="C2588" i="6"/>
  <c r="B2588" i="6"/>
  <c r="Q2587" i="6"/>
  <c r="N2587" i="6"/>
  <c r="M2587" i="6"/>
  <c r="L2587" i="6"/>
  <c r="K2587" i="6"/>
  <c r="J2587" i="6"/>
  <c r="I2587" i="6"/>
  <c r="P2587" i="6" s="1"/>
  <c r="H2587" i="6"/>
  <c r="G2587" i="6"/>
  <c r="F2587" i="6"/>
  <c r="D2587" i="6"/>
  <c r="U2587" i="6" s="1"/>
  <c r="C2587" i="6"/>
  <c r="B2587" i="6"/>
  <c r="Q2586" i="6"/>
  <c r="P2586" i="6"/>
  <c r="N2586" i="6"/>
  <c r="M2586" i="6"/>
  <c r="L2586" i="6"/>
  <c r="K2586" i="6"/>
  <c r="J2586" i="6"/>
  <c r="I2586" i="6"/>
  <c r="H2586" i="6"/>
  <c r="G2586" i="6"/>
  <c r="F2586" i="6"/>
  <c r="D2586" i="6"/>
  <c r="U2586" i="6" s="1"/>
  <c r="C2586" i="6"/>
  <c r="B2586" i="6"/>
  <c r="Q2585" i="6"/>
  <c r="N2585" i="6"/>
  <c r="M2585" i="6"/>
  <c r="L2585" i="6"/>
  <c r="K2585" i="6"/>
  <c r="J2585" i="6"/>
  <c r="I2585" i="6"/>
  <c r="P2585" i="6" s="1"/>
  <c r="H2585" i="6"/>
  <c r="G2585" i="6"/>
  <c r="F2585" i="6"/>
  <c r="D2585" i="6"/>
  <c r="U2585" i="6" s="1"/>
  <c r="C2585" i="6"/>
  <c r="B2585" i="6"/>
  <c r="Q2584" i="6"/>
  <c r="P2584" i="6"/>
  <c r="N2584" i="6"/>
  <c r="M2584" i="6"/>
  <c r="L2584" i="6"/>
  <c r="K2584" i="6"/>
  <c r="J2584" i="6"/>
  <c r="I2584" i="6"/>
  <c r="H2584" i="6"/>
  <c r="G2584" i="6"/>
  <c r="F2584" i="6"/>
  <c r="D2584" i="6"/>
  <c r="U2584" i="6" s="1"/>
  <c r="C2584" i="6"/>
  <c r="B2584" i="6"/>
  <c r="Q2583" i="6"/>
  <c r="N2583" i="6"/>
  <c r="M2583" i="6"/>
  <c r="L2583" i="6"/>
  <c r="K2583" i="6"/>
  <c r="J2583" i="6"/>
  <c r="I2583" i="6"/>
  <c r="P2583" i="6" s="1"/>
  <c r="H2583" i="6"/>
  <c r="G2583" i="6"/>
  <c r="F2583" i="6"/>
  <c r="D2583" i="6"/>
  <c r="U2583" i="6" s="1"/>
  <c r="C2583" i="6"/>
  <c r="B2583" i="6"/>
  <c r="Q2582" i="6"/>
  <c r="P2582" i="6"/>
  <c r="N2582" i="6"/>
  <c r="M2582" i="6"/>
  <c r="L2582" i="6"/>
  <c r="K2582" i="6"/>
  <c r="J2582" i="6"/>
  <c r="I2582" i="6"/>
  <c r="H2582" i="6"/>
  <c r="G2582" i="6"/>
  <c r="F2582" i="6"/>
  <c r="D2582" i="6"/>
  <c r="U2582" i="6" s="1"/>
  <c r="C2582" i="6"/>
  <c r="B2582" i="6"/>
  <c r="Q2581" i="6"/>
  <c r="N2581" i="6"/>
  <c r="M2581" i="6"/>
  <c r="L2581" i="6"/>
  <c r="K2581" i="6"/>
  <c r="J2581" i="6"/>
  <c r="I2581" i="6"/>
  <c r="P2581" i="6" s="1"/>
  <c r="H2581" i="6"/>
  <c r="G2581" i="6"/>
  <c r="F2581" i="6"/>
  <c r="D2581" i="6"/>
  <c r="U2581" i="6" s="1"/>
  <c r="C2581" i="6"/>
  <c r="B2581" i="6"/>
  <c r="Q2580" i="6"/>
  <c r="P2580" i="6"/>
  <c r="N2580" i="6"/>
  <c r="M2580" i="6"/>
  <c r="L2580" i="6"/>
  <c r="K2580" i="6"/>
  <c r="J2580" i="6"/>
  <c r="I2580" i="6"/>
  <c r="H2580" i="6"/>
  <c r="G2580" i="6"/>
  <c r="F2580" i="6"/>
  <c r="D2580" i="6"/>
  <c r="U2580" i="6" s="1"/>
  <c r="C2580" i="6"/>
  <c r="B2580" i="6"/>
  <c r="Q2579" i="6"/>
  <c r="N2579" i="6"/>
  <c r="M2579" i="6"/>
  <c r="L2579" i="6"/>
  <c r="K2579" i="6"/>
  <c r="J2579" i="6"/>
  <c r="I2579" i="6"/>
  <c r="P2579" i="6" s="1"/>
  <c r="H2579" i="6"/>
  <c r="G2579" i="6"/>
  <c r="F2579" i="6"/>
  <c r="D2579" i="6"/>
  <c r="U2579" i="6" s="1"/>
  <c r="C2579" i="6"/>
  <c r="B2579" i="6"/>
  <c r="Q2578" i="6"/>
  <c r="P2578" i="6"/>
  <c r="N2578" i="6"/>
  <c r="M2578" i="6"/>
  <c r="L2578" i="6"/>
  <c r="K2578" i="6"/>
  <c r="J2578" i="6"/>
  <c r="I2578" i="6"/>
  <c r="H2578" i="6"/>
  <c r="G2578" i="6"/>
  <c r="F2578" i="6"/>
  <c r="D2578" i="6"/>
  <c r="U2578" i="6" s="1"/>
  <c r="C2578" i="6"/>
  <c r="B2578" i="6"/>
  <c r="Q2577" i="6"/>
  <c r="N2577" i="6"/>
  <c r="M2577" i="6"/>
  <c r="L2577" i="6"/>
  <c r="K2577" i="6"/>
  <c r="J2577" i="6"/>
  <c r="I2577" i="6"/>
  <c r="P2577" i="6" s="1"/>
  <c r="H2577" i="6"/>
  <c r="G2577" i="6"/>
  <c r="F2577" i="6"/>
  <c r="D2577" i="6"/>
  <c r="U2577" i="6" s="1"/>
  <c r="C2577" i="6"/>
  <c r="B2577" i="6"/>
  <c r="Q2576" i="6"/>
  <c r="P2576" i="6"/>
  <c r="N2576" i="6"/>
  <c r="M2576" i="6"/>
  <c r="L2576" i="6"/>
  <c r="K2576" i="6"/>
  <c r="J2576" i="6"/>
  <c r="I2576" i="6"/>
  <c r="H2576" i="6"/>
  <c r="G2576" i="6"/>
  <c r="F2576" i="6"/>
  <c r="D2576" i="6"/>
  <c r="U2576" i="6" s="1"/>
  <c r="C2576" i="6"/>
  <c r="B2576" i="6"/>
  <c r="Q2575" i="6"/>
  <c r="N2575" i="6"/>
  <c r="M2575" i="6"/>
  <c r="L2575" i="6"/>
  <c r="K2575" i="6"/>
  <c r="J2575" i="6"/>
  <c r="I2575" i="6"/>
  <c r="P2575" i="6" s="1"/>
  <c r="H2575" i="6"/>
  <c r="G2575" i="6"/>
  <c r="F2575" i="6"/>
  <c r="D2575" i="6"/>
  <c r="U2575" i="6" s="1"/>
  <c r="C2575" i="6"/>
  <c r="B2575" i="6"/>
  <c r="Q2574" i="6"/>
  <c r="P2574" i="6"/>
  <c r="N2574" i="6"/>
  <c r="M2574" i="6"/>
  <c r="L2574" i="6"/>
  <c r="K2574" i="6"/>
  <c r="J2574" i="6"/>
  <c r="I2574" i="6"/>
  <c r="H2574" i="6"/>
  <c r="G2574" i="6"/>
  <c r="F2574" i="6"/>
  <c r="D2574" i="6"/>
  <c r="U2574" i="6" s="1"/>
  <c r="C2574" i="6"/>
  <c r="B2574" i="6"/>
  <c r="Q2573" i="6"/>
  <c r="N2573" i="6"/>
  <c r="M2573" i="6"/>
  <c r="L2573" i="6"/>
  <c r="K2573" i="6"/>
  <c r="J2573" i="6"/>
  <c r="I2573" i="6"/>
  <c r="P2573" i="6" s="1"/>
  <c r="H2573" i="6"/>
  <c r="G2573" i="6"/>
  <c r="F2573" i="6"/>
  <c r="D2573" i="6"/>
  <c r="U2573" i="6" s="1"/>
  <c r="C2573" i="6"/>
  <c r="B2573" i="6"/>
  <c r="Q2572" i="6"/>
  <c r="P2572" i="6"/>
  <c r="N2572" i="6"/>
  <c r="M2572" i="6"/>
  <c r="L2572" i="6"/>
  <c r="K2572" i="6"/>
  <c r="J2572" i="6"/>
  <c r="I2572" i="6"/>
  <c r="H2572" i="6"/>
  <c r="G2572" i="6"/>
  <c r="F2572" i="6"/>
  <c r="D2572" i="6"/>
  <c r="U2572" i="6" s="1"/>
  <c r="C2572" i="6"/>
  <c r="B2572" i="6"/>
  <c r="Q2571" i="6"/>
  <c r="N2571" i="6"/>
  <c r="M2571" i="6"/>
  <c r="L2571" i="6"/>
  <c r="K2571" i="6"/>
  <c r="J2571" i="6"/>
  <c r="I2571" i="6"/>
  <c r="P2571" i="6" s="1"/>
  <c r="H2571" i="6"/>
  <c r="G2571" i="6"/>
  <c r="F2571" i="6"/>
  <c r="D2571" i="6"/>
  <c r="U2571" i="6" s="1"/>
  <c r="C2571" i="6"/>
  <c r="B2571" i="6"/>
  <c r="Q2570" i="6"/>
  <c r="P2570" i="6"/>
  <c r="N2570" i="6"/>
  <c r="M2570" i="6"/>
  <c r="L2570" i="6"/>
  <c r="K2570" i="6"/>
  <c r="J2570" i="6"/>
  <c r="I2570" i="6"/>
  <c r="H2570" i="6"/>
  <c r="G2570" i="6"/>
  <c r="F2570" i="6"/>
  <c r="D2570" i="6"/>
  <c r="U2570" i="6" s="1"/>
  <c r="C2570" i="6"/>
  <c r="B2570" i="6"/>
  <c r="Q2569" i="6"/>
  <c r="N2569" i="6"/>
  <c r="M2569" i="6"/>
  <c r="L2569" i="6"/>
  <c r="K2569" i="6"/>
  <c r="J2569" i="6"/>
  <c r="I2569" i="6"/>
  <c r="P2569" i="6" s="1"/>
  <c r="H2569" i="6"/>
  <c r="G2569" i="6"/>
  <c r="F2569" i="6"/>
  <c r="D2569" i="6"/>
  <c r="U2569" i="6" s="1"/>
  <c r="C2569" i="6"/>
  <c r="B2569" i="6"/>
  <c r="Q2568" i="6"/>
  <c r="P2568" i="6"/>
  <c r="N2568" i="6"/>
  <c r="M2568" i="6"/>
  <c r="L2568" i="6"/>
  <c r="K2568" i="6"/>
  <c r="J2568" i="6"/>
  <c r="I2568" i="6"/>
  <c r="H2568" i="6"/>
  <c r="G2568" i="6"/>
  <c r="F2568" i="6"/>
  <c r="D2568" i="6"/>
  <c r="U2568" i="6" s="1"/>
  <c r="C2568" i="6"/>
  <c r="B2568" i="6"/>
  <c r="Q2567" i="6"/>
  <c r="N2567" i="6"/>
  <c r="M2567" i="6"/>
  <c r="L2567" i="6"/>
  <c r="K2567" i="6"/>
  <c r="J2567" i="6"/>
  <c r="I2567" i="6"/>
  <c r="P2567" i="6" s="1"/>
  <c r="H2567" i="6"/>
  <c r="G2567" i="6"/>
  <c r="F2567" i="6"/>
  <c r="D2567" i="6"/>
  <c r="U2567" i="6" s="1"/>
  <c r="C2567" i="6"/>
  <c r="B2567" i="6"/>
  <c r="Q2566" i="6"/>
  <c r="P2566" i="6"/>
  <c r="N2566" i="6"/>
  <c r="M2566" i="6"/>
  <c r="L2566" i="6"/>
  <c r="K2566" i="6"/>
  <c r="J2566" i="6"/>
  <c r="I2566" i="6"/>
  <c r="H2566" i="6"/>
  <c r="G2566" i="6"/>
  <c r="F2566" i="6"/>
  <c r="D2566" i="6"/>
  <c r="U2566" i="6" s="1"/>
  <c r="C2566" i="6"/>
  <c r="B2566" i="6"/>
  <c r="Q2565" i="6"/>
  <c r="N2565" i="6"/>
  <c r="M2565" i="6"/>
  <c r="L2565" i="6"/>
  <c r="K2565" i="6"/>
  <c r="J2565" i="6"/>
  <c r="I2565" i="6"/>
  <c r="P2565" i="6" s="1"/>
  <c r="H2565" i="6"/>
  <c r="G2565" i="6"/>
  <c r="F2565" i="6"/>
  <c r="D2565" i="6"/>
  <c r="U2565" i="6" s="1"/>
  <c r="C2565" i="6"/>
  <c r="B2565" i="6"/>
  <c r="Q2564" i="6"/>
  <c r="P2564" i="6"/>
  <c r="N2564" i="6"/>
  <c r="M2564" i="6"/>
  <c r="L2564" i="6"/>
  <c r="K2564" i="6"/>
  <c r="J2564" i="6"/>
  <c r="I2564" i="6"/>
  <c r="H2564" i="6"/>
  <c r="G2564" i="6"/>
  <c r="F2564" i="6"/>
  <c r="D2564" i="6"/>
  <c r="U2564" i="6" s="1"/>
  <c r="C2564" i="6"/>
  <c r="B2564" i="6"/>
  <c r="Q2563" i="6"/>
  <c r="N2563" i="6"/>
  <c r="M2563" i="6"/>
  <c r="L2563" i="6"/>
  <c r="K2563" i="6"/>
  <c r="J2563" i="6"/>
  <c r="I2563" i="6"/>
  <c r="P2563" i="6" s="1"/>
  <c r="H2563" i="6"/>
  <c r="G2563" i="6"/>
  <c r="F2563" i="6"/>
  <c r="D2563" i="6"/>
  <c r="U2563" i="6" s="1"/>
  <c r="C2563" i="6"/>
  <c r="B2563" i="6"/>
  <c r="Q2562" i="6"/>
  <c r="P2562" i="6"/>
  <c r="N2562" i="6"/>
  <c r="M2562" i="6"/>
  <c r="L2562" i="6"/>
  <c r="K2562" i="6"/>
  <c r="J2562" i="6"/>
  <c r="I2562" i="6"/>
  <c r="H2562" i="6"/>
  <c r="G2562" i="6"/>
  <c r="F2562" i="6"/>
  <c r="D2562" i="6"/>
  <c r="U2562" i="6" s="1"/>
  <c r="C2562" i="6"/>
  <c r="B2562" i="6"/>
  <c r="Q2561" i="6"/>
  <c r="N2561" i="6"/>
  <c r="M2561" i="6"/>
  <c r="L2561" i="6"/>
  <c r="K2561" i="6"/>
  <c r="J2561" i="6"/>
  <c r="I2561" i="6"/>
  <c r="P2561" i="6" s="1"/>
  <c r="H2561" i="6"/>
  <c r="G2561" i="6"/>
  <c r="F2561" i="6"/>
  <c r="D2561" i="6"/>
  <c r="U2561" i="6" s="1"/>
  <c r="C2561" i="6"/>
  <c r="B2561" i="6"/>
  <c r="Q2560" i="6"/>
  <c r="P2560" i="6"/>
  <c r="N2560" i="6"/>
  <c r="M2560" i="6"/>
  <c r="L2560" i="6"/>
  <c r="K2560" i="6"/>
  <c r="J2560" i="6"/>
  <c r="I2560" i="6"/>
  <c r="H2560" i="6"/>
  <c r="G2560" i="6"/>
  <c r="F2560" i="6"/>
  <c r="D2560" i="6"/>
  <c r="U2560" i="6" s="1"/>
  <c r="C2560" i="6"/>
  <c r="B2560" i="6"/>
  <c r="Q2559" i="6"/>
  <c r="N2559" i="6"/>
  <c r="M2559" i="6"/>
  <c r="L2559" i="6"/>
  <c r="K2559" i="6"/>
  <c r="J2559" i="6"/>
  <c r="I2559" i="6"/>
  <c r="P2559" i="6" s="1"/>
  <c r="H2559" i="6"/>
  <c r="G2559" i="6"/>
  <c r="F2559" i="6"/>
  <c r="D2559" i="6"/>
  <c r="U2559" i="6" s="1"/>
  <c r="C2559" i="6"/>
  <c r="B2559" i="6"/>
  <c r="Q2558" i="6"/>
  <c r="P2558" i="6"/>
  <c r="N2558" i="6"/>
  <c r="M2558" i="6"/>
  <c r="L2558" i="6"/>
  <c r="K2558" i="6"/>
  <c r="J2558" i="6"/>
  <c r="I2558" i="6"/>
  <c r="H2558" i="6"/>
  <c r="G2558" i="6"/>
  <c r="F2558" i="6"/>
  <c r="D2558" i="6"/>
  <c r="U2558" i="6" s="1"/>
  <c r="C2558" i="6"/>
  <c r="B2558" i="6"/>
  <c r="Q2557" i="6"/>
  <c r="N2557" i="6"/>
  <c r="M2557" i="6"/>
  <c r="L2557" i="6"/>
  <c r="K2557" i="6"/>
  <c r="J2557" i="6"/>
  <c r="I2557" i="6"/>
  <c r="P2557" i="6" s="1"/>
  <c r="H2557" i="6"/>
  <c r="G2557" i="6"/>
  <c r="F2557" i="6"/>
  <c r="D2557" i="6"/>
  <c r="U2557" i="6" s="1"/>
  <c r="C2557" i="6"/>
  <c r="B2557" i="6"/>
  <c r="Q2556" i="6"/>
  <c r="P2556" i="6"/>
  <c r="N2556" i="6"/>
  <c r="M2556" i="6"/>
  <c r="L2556" i="6"/>
  <c r="K2556" i="6"/>
  <c r="J2556" i="6"/>
  <c r="I2556" i="6"/>
  <c r="H2556" i="6"/>
  <c r="G2556" i="6"/>
  <c r="F2556" i="6"/>
  <c r="D2556" i="6"/>
  <c r="U2556" i="6" s="1"/>
  <c r="C2556" i="6"/>
  <c r="B2556" i="6"/>
  <c r="Q2555" i="6"/>
  <c r="N2555" i="6"/>
  <c r="M2555" i="6"/>
  <c r="L2555" i="6"/>
  <c r="K2555" i="6"/>
  <c r="J2555" i="6"/>
  <c r="I2555" i="6"/>
  <c r="P2555" i="6" s="1"/>
  <c r="H2555" i="6"/>
  <c r="G2555" i="6"/>
  <c r="F2555" i="6"/>
  <c r="D2555" i="6"/>
  <c r="U2555" i="6" s="1"/>
  <c r="C2555" i="6"/>
  <c r="B2555" i="6"/>
  <c r="Q2554" i="6"/>
  <c r="P2554" i="6"/>
  <c r="N2554" i="6"/>
  <c r="M2554" i="6"/>
  <c r="L2554" i="6"/>
  <c r="K2554" i="6"/>
  <c r="J2554" i="6"/>
  <c r="I2554" i="6"/>
  <c r="H2554" i="6"/>
  <c r="G2554" i="6"/>
  <c r="F2554" i="6"/>
  <c r="D2554" i="6"/>
  <c r="U2554" i="6" s="1"/>
  <c r="C2554" i="6"/>
  <c r="B2554" i="6"/>
  <c r="Q2553" i="6"/>
  <c r="N2553" i="6"/>
  <c r="M2553" i="6"/>
  <c r="L2553" i="6"/>
  <c r="K2553" i="6"/>
  <c r="J2553" i="6"/>
  <c r="I2553" i="6"/>
  <c r="P2553" i="6" s="1"/>
  <c r="H2553" i="6"/>
  <c r="G2553" i="6"/>
  <c r="F2553" i="6"/>
  <c r="D2553" i="6"/>
  <c r="U2553" i="6" s="1"/>
  <c r="C2553" i="6"/>
  <c r="B2553" i="6"/>
  <c r="Q2552" i="6"/>
  <c r="P2552" i="6"/>
  <c r="N2552" i="6"/>
  <c r="M2552" i="6"/>
  <c r="L2552" i="6"/>
  <c r="K2552" i="6"/>
  <c r="J2552" i="6"/>
  <c r="I2552" i="6"/>
  <c r="H2552" i="6"/>
  <c r="G2552" i="6"/>
  <c r="F2552" i="6"/>
  <c r="D2552" i="6"/>
  <c r="U2552" i="6" s="1"/>
  <c r="C2552" i="6"/>
  <c r="B2552" i="6"/>
  <c r="Q2551" i="6"/>
  <c r="N2551" i="6"/>
  <c r="M2551" i="6"/>
  <c r="L2551" i="6"/>
  <c r="K2551" i="6"/>
  <c r="J2551" i="6"/>
  <c r="I2551" i="6"/>
  <c r="P2551" i="6" s="1"/>
  <c r="H2551" i="6"/>
  <c r="G2551" i="6"/>
  <c r="F2551" i="6"/>
  <c r="D2551" i="6"/>
  <c r="U2551" i="6" s="1"/>
  <c r="C2551" i="6"/>
  <c r="B2551" i="6"/>
  <c r="Q2550" i="6"/>
  <c r="P2550" i="6"/>
  <c r="N2550" i="6"/>
  <c r="M2550" i="6"/>
  <c r="L2550" i="6"/>
  <c r="K2550" i="6"/>
  <c r="J2550" i="6"/>
  <c r="I2550" i="6"/>
  <c r="H2550" i="6"/>
  <c r="G2550" i="6"/>
  <c r="F2550" i="6"/>
  <c r="D2550" i="6"/>
  <c r="U2550" i="6" s="1"/>
  <c r="C2550" i="6"/>
  <c r="B2550" i="6"/>
  <c r="Q2549" i="6"/>
  <c r="N2549" i="6"/>
  <c r="M2549" i="6"/>
  <c r="L2549" i="6"/>
  <c r="K2549" i="6"/>
  <c r="J2549" i="6"/>
  <c r="I2549" i="6"/>
  <c r="P2549" i="6" s="1"/>
  <c r="H2549" i="6"/>
  <c r="G2549" i="6"/>
  <c r="F2549" i="6"/>
  <c r="D2549" i="6"/>
  <c r="U2549" i="6" s="1"/>
  <c r="C2549" i="6"/>
  <c r="B2549" i="6"/>
  <c r="Q2548" i="6"/>
  <c r="P2548" i="6"/>
  <c r="N2548" i="6"/>
  <c r="M2548" i="6"/>
  <c r="L2548" i="6"/>
  <c r="K2548" i="6"/>
  <c r="J2548" i="6"/>
  <c r="I2548" i="6"/>
  <c r="H2548" i="6"/>
  <c r="G2548" i="6"/>
  <c r="F2548" i="6"/>
  <c r="D2548" i="6"/>
  <c r="U2548" i="6" s="1"/>
  <c r="C2548" i="6"/>
  <c r="B2548" i="6"/>
  <c r="Q2547" i="6"/>
  <c r="N2547" i="6"/>
  <c r="M2547" i="6"/>
  <c r="L2547" i="6"/>
  <c r="K2547" i="6"/>
  <c r="J2547" i="6"/>
  <c r="I2547" i="6"/>
  <c r="P2547" i="6" s="1"/>
  <c r="H2547" i="6"/>
  <c r="G2547" i="6"/>
  <c r="F2547" i="6"/>
  <c r="D2547" i="6"/>
  <c r="U2547" i="6" s="1"/>
  <c r="C2547" i="6"/>
  <c r="B2547" i="6"/>
  <c r="Q2546" i="6"/>
  <c r="P2546" i="6"/>
  <c r="N2546" i="6"/>
  <c r="M2546" i="6"/>
  <c r="L2546" i="6"/>
  <c r="K2546" i="6"/>
  <c r="J2546" i="6"/>
  <c r="I2546" i="6"/>
  <c r="H2546" i="6"/>
  <c r="G2546" i="6"/>
  <c r="F2546" i="6"/>
  <c r="D2546" i="6"/>
  <c r="U2546" i="6" s="1"/>
  <c r="C2546" i="6"/>
  <c r="B2546" i="6"/>
  <c r="Q2545" i="6"/>
  <c r="N2545" i="6"/>
  <c r="M2545" i="6"/>
  <c r="L2545" i="6"/>
  <c r="K2545" i="6"/>
  <c r="J2545" i="6"/>
  <c r="I2545" i="6"/>
  <c r="P2545" i="6" s="1"/>
  <c r="H2545" i="6"/>
  <c r="G2545" i="6"/>
  <c r="F2545" i="6"/>
  <c r="D2545" i="6"/>
  <c r="U2545" i="6" s="1"/>
  <c r="C2545" i="6"/>
  <c r="B2545" i="6"/>
  <c r="Q2544" i="6"/>
  <c r="P2544" i="6"/>
  <c r="N2544" i="6"/>
  <c r="M2544" i="6"/>
  <c r="L2544" i="6"/>
  <c r="K2544" i="6"/>
  <c r="J2544" i="6"/>
  <c r="I2544" i="6"/>
  <c r="H2544" i="6"/>
  <c r="G2544" i="6"/>
  <c r="F2544" i="6"/>
  <c r="D2544" i="6"/>
  <c r="U2544" i="6" s="1"/>
  <c r="C2544" i="6"/>
  <c r="B2544" i="6"/>
  <c r="Q2543" i="6"/>
  <c r="N2543" i="6"/>
  <c r="M2543" i="6"/>
  <c r="L2543" i="6"/>
  <c r="K2543" i="6"/>
  <c r="J2543" i="6"/>
  <c r="I2543" i="6"/>
  <c r="P2543" i="6" s="1"/>
  <c r="H2543" i="6"/>
  <c r="G2543" i="6"/>
  <c r="F2543" i="6"/>
  <c r="D2543" i="6"/>
  <c r="U2543" i="6" s="1"/>
  <c r="C2543" i="6"/>
  <c r="B2543" i="6"/>
  <c r="Q2542" i="6"/>
  <c r="P2542" i="6"/>
  <c r="N2542" i="6"/>
  <c r="M2542" i="6"/>
  <c r="L2542" i="6"/>
  <c r="K2542" i="6"/>
  <c r="J2542" i="6"/>
  <c r="I2542" i="6"/>
  <c r="H2542" i="6"/>
  <c r="G2542" i="6"/>
  <c r="F2542" i="6"/>
  <c r="D2542" i="6"/>
  <c r="U2542" i="6" s="1"/>
  <c r="C2542" i="6"/>
  <c r="B2542" i="6"/>
  <c r="Q2541" i="6"/>
  <c r="N2541" i="6"/>
  <c r="M2541" i="6"/>
  <c r="L2541" i="6"/>
  <c r="K2541" i="6"/>
  <c r="J2541" i="6"/>
  <c r="I2541" i="6"/>
  <c r="P2541" i="6" s="1"/>
  <c r="H2541" i="6"/>
  <c r="G2541" i="6"/>
  <c r="F2541" i="6"/>
  <c r="D2541" i="6"/>
  <c r="U2541" i="6" s="1"/>
  <c r="C2541" i="6"/>
  <c r="B2541" i="6"/>
  <c r="Q2540" i="6"/>
  <c r="P2540" i="6"/>
  <c r="N2540" i="6"/>
  <c r="M2540" i="6"/>
  <c r="L2540" i="6"/>
  <c r="K2540" i="6"/>
  <c r="J2540" i="6"/>
  <c r="I2540" i="6"/>
  <c r="H2540" i="6"/>
  <c r="G2540" i="6"/>
  <c r="F2540" i="6"/>
  <c r="D2540" i="6"/>
  <c r="U2540" i="6" s="1"/>
  <c r="C2540" i="6"/>
  <c r="B2540" i="6"/>
  <c r="Q2539" i="6"/>
  <c r="N2539" i="6"/>
  <c r="M2539" i="6"/>
  <c r="L2539" i="6"/>
  <c r="K2539" i="6"/>
  <c r="J2539" i="6"/>
  <c r="I2539" i="6"/>
  <c r="P2539" i="6" s="1"/>
  <c r="H2539" i="6"/>
  <c r="G2539" i="6"/>
  <c r="F2539" i="6"/>
  <c r="D2539" i="6"/>
  <c r="U2539" i="6" s="1"/>
  <c r="C2539" i="6"/>
  <c r="B2539" i="6"/>
  <c r="Q2538" i="6"/>
  <c r="P2538" i="6"/>
  <c r="N2538" i="6"/>
  <c r="M2538" i="6"/>
  <c r="L2538" i="6"/>
  <c r="K2538" i="6"/>
  <c r="J2538" i="6"/>
  <c r="I2538" i="6"/>
  <c r="H2538" i="6"/>
  <c r="G2538" i="6"/>
  <c r="F2538" i="6"/>
  <c r="D2538" i="6"/>
  <c r="U2538" i="6" s="1"/>
  <c r="C2538" i="6"/>
  <c r="B2538" i="6"/>
  <c r="Q2537" i="6"/>
  <c r="N2537" i="6"/>
  <c r="M2537" i="6"/>
  <c r="L2537" i="6"/>
  <c r="K2537" i="6"/>
  <c r="J2537" i="6"/>
  <c r="I2537" i="6"/>
  <c r="P2537" i="6" s="1"/>
  <c r="H2537" i="6"/>
  <c r="G2537" i="6"/>
  <c r="F2537" i="6"/>
  <c r="D2537" i="6"/>
  <c r="U2537" i="6" s="1"/>
  <c r="C2537" i="6"/>
  <c r="B2537" i="6"/>
  <c r="Q2536" i="6"/>
  <c r="P2536" i="6"/>
  <c r="N2536" i="6"/>
  <c r="M2536" i="6"/>
  <c r="L2536" i="6"/>
  <c r="K2536" i="6"/>
  <c r="J2536" i="6"/>
  <c r="I2536" i="6"/>
  <c r="H2536" i="6"/>
  <c r="G2536" i="6"/>
  <c r="F2536" i="6"/>
  <c r="D2536" i="6"/>
  <c r="U2536" i="6" s="1"/>
  <c r="C2536" i="6"/>
  <c r="B2536" i="6"/>
  <c r="Q2535" i="6"/>
  <c r="N2535" i="6"/>
  <c r="M2535" i="6"/>
  <c r="L2535" i="6"/>
  <c r="K2535" i="6"/>
  <c r="J2535" i="6"/>
  <c r="I2535" i="6"/>
  <c r="P2535" i="6" s="1"/>
  <c r="H2535" i="6"/>
  <c r="G2535" i="6"/>
  <c r="F2535" i="6"/>
  <c r="D2535" i="6"/>
  <c r="U2535" i="6" s="1"/>
  <c r="C2535" i="6"/>
  <c r="B2535" i="6"/>
  <c r="Q2534" i="6"/>
  <c r="P2534" i="6"/>
  <c r="N2534" i="6"/>
  <c r="M2534" i="6"/>
  <c r="L2534" i="6"/>
  <c r="K2534" i="6"/>
  <c r="J2534" i="6"/>
  <c r="I2534" i="6"/>
  <c r="H2534" i="6"/>
  <c r="G2534" i="6"/>
  <c r="F2534" i="6"/>
  <c r="D2534" i="6"/>
  <c r="U2534" i="6" s="1"/>
  <c r="C2534" i="6"/>
  <c r="B2534" i="6"/>
  <c r="Q2533" i="6"/>
  <c r="N2533" i="6"/>
  <c r="M2533" i="6"/>
  <c r="L2533" i="6"/>
  <c r="K2533" i="6"/>
  <c r="J2533" i="6"/>
  <c r="I2533" i="6"/>
  <c r="P2533" i="6" s="1"/>
  <c r="H2533" i="6"/>
  <c r="G2533" i="6"/>
  <c r="F2533" i="6"/>
  <c r="D2533" i="6"/>
  <c r="U2533" i="6" s="1"/>
  <c r="C2533" i="6"/>
  <c r="B2533" i="6"/>
  <c r="Q2532" i="6"/>
  <c r="P2532" i="6"/>
  <c r="N2532" i="6"/>
  <c r="M2532" i="6"/>
  <c r="L2532" i="6"/>
  <c r="K2532" i="6"/>
  <c r="J2532" i="6"/>
  <c r="I2532" i="6"/>
  <c r="H2532" i="6"/>
  <c r="G2532" i="6"/>
  <c r="F2532" i="6"/>
  <c r="D2532" i="6"/>
  <c r="U2532" i="6" s="1"/>
  <c r="C2532" i="6"/>
  <c r="B2532" i="6"/>
  <c r="Q2531" i="6"/>
  <c r="N2531" i="6"/>
  <c r="M2531" i="6"/>
  <c r="L2531" i="6"/>
  <c r="K2531" i="6"/>
  <c r="J2531" i="6"/>
  <c r="I2531" i="6"/>
  <c r="P2531" i="6" s="1"/>
  <c r="H2531" i="6"/>
  <c r="G2531" i="6"/>
  <c r="F2531" i="6"/>
  <c r="D2531" i="6"/>
  <c r="U2531" i="6" s="1"/>
  <c r="C2531" i="6"/>
  <c r="B2531" i="6"/>
  <c r="Q2530" i="6"/>
  <c r="P2530" i="6"/>
  <c r="N2530" i="6"/>
  <c r="M2530" i="6"/>
  <c r="L2530" i="6"/>
  <c r="K2530" i="6"/>
  <c r="J2530" i="6"/>
  <c r="I2530" i="6"/>
  <c r="H2530" i="6"/>
  <c r="G2530" i="6"/>
  <c r="F2530" i="6"/>
  <c r="D2530" i="6"/>
  <c r="U2530" i="6" s="1"/>
  <c r="C2530" i="6"/>
  <c r="B2530" i="6"/>
  <c r="Q2529" i="6"/>
  <c r="N2529" i="6"/>
  <c r="M2529" i="6"/>
  <c r="L2529" i="6"/>
  <c r="K2529" i="6"/>
  <c r="J2529" i="6"/>
  <c r="I2529" i="6"/>
  <c r="P2529" i="6" s="1"/>
  <c r="H2529" i="6"/>
  <c r="G2529" i="6"/>
  <c r="F2529" i="6"/>
  <c r="D2529" i="6"/>
  <c r="U2529" i="6" s="1"/>
  <c r="C2529" i="6"/>
  <c r="B2529" i="6"/>
  <c r="Q2528" i="6"/>
  <c r="P2528" i="6"/>
  <c r="N2528" i="6"/>
  <c r="M2528" i="6"/>
  <c r="L2528" i="6"/>
  <c r="K2528" i="6"/>
  <c r="J2528" i="6"/>
  <c r="I2528" i="6"/>
  <c r="H2528" i="6"/>
  <c r="G2528" i="6"/>
  <c r="F2528" i="6"/>
  <c r="D2528" i="6"/>
  <c r="U2528" i="6" s="1"/>
  <c r="C2528" i="6"/>
  <c r="B2528" i="6"/>
  <c r="Q2527" i="6"/>
  <c r="N2527" i="6"/>
  <c r="M2527" i="6"/>
  <c r="L2527" i="6"/>
  <c r="K2527" i="6"/>
  <c r="J2527" i="6"/>
  <c r="I2527" i="6"/>
  <c r="P2527" i="6" s="1"/>
  <c r="H2527" i="6"/>
  <c r="G2527" i="6"/>
  <c r="F2527" i="6"/>
  <c r="D2527" i="6"/>
  <c r="U2527" i="6" s="1"/>
  <c r="C2527" i="6"/>
  <c r="B2527" i="6"/>
  <c r="Q2526" i="6"/>
  <c r="P2526" i="6"/>
  <c r="N2526" i="6"/>
  <c r="M2526" i="6"/>
  <c r="L2526" i="6"/>
  <c r="K2526" i="6"/>
  <c r="J2526" i="6"/>
  <c r="I2526" i="6"/>
  <c r="H2526" i="6"/>
  <c r="G2526" i="6"/>
  <c r="F2526" i="6"/>
  <c r="D2526" i="6"/>
  <c r="U2526" i="6" s="1"/>
  <c r="C2526" i="6"/>
  <c r="B2526" i="6"/>
  <c r="Q2525" i="6"/>
  <c r="N2525" i="6"/>
  <c r="M2525" i="6"/>
  <c r="L2525" i="6"/>
  <c r="K2525" i="6"/>
  <c r="J2525" i="6"/>
  <c r="I2525" i="6"/>
  <c r="P2525" i="6" s="1"/>
  <c r="H2525" i="6"/>
  <c r="G2525" i="6"/>
  <c r="F2525" i="6"/>
  <c r="D2525" i="6"/>
  <c r="U2525" i="6" s="1"/>
  <c r="C2525" i="6"/>
  <c r="B2525" i="6"/>
  <c r="Q2524" i="6"/>
  <c r="P2524" i="6"/>
  <c r="N2524" i="6"/>
  <c r="M2524" i="6"/>
  <c r="L2524" i="6"/>
  <c r="K2524" i="6"/>
  <c r="J2524" i="6"/>
  <c r="I2524" i="6"/>
  <c r="H2524" i="6"/>
  <c r="G2524" i="6"/>
  <c r="F2524" i="6"/>
  <c r="D2524" i="6"/>
  <c r="U2524" i="6" s="1"/>
  <c r="C2524" i="6"/>
  <c r="B2524" i="6"/>
  <c r="Q2523" i="6"/>
  <c r="N2523" i="6"/>
  <c r="M2523" i="6"/>
  <c r="L2523" i="6"/>
  <c r="K2523" i="6"/>
  <c r="J2523" i="6"/>
  <c r="I2523" i="6"/>
  <c r="P2523" i="6" s="1"/>
  <c r="H2523" i="6"/>
  <c r="G2523" i="6"/>
  <c r="F2523" i="6"/>
  <c r="D2523" i="6"/>
  <c r="U2523" i="6" s="1"/>
  <c r="C2523" i="6"/>
  <c r="B2523" i="6"/>
  <c r="Q2522" i="6"/>
  <c r="P2522" i="6"/>
  <c r="N2522" i="6"/>
  <c r="M2522" i="6"/>
  <c r="L2522" i="6"/>
  <c r="K2522" i="6"/>
  <c r="J2522" i="6"/>
  <c r="I2522" i="6"/>
  <c r="H2522" i="6"/>
  <c r="G2522" i="6"/>
  <c r="F2522" i="6"/>
  <c r="D2522" i="6"/>
  <c r="U2522" i="6" s="1"/>
  <c r="C2522" i="6"/>
  <c r="B2522" i="6"/>
  <c r="Q2521" i="6"/>
  <c r="N2521" i="6"/>
  <c r="M2521" i="6"/>
  <c r="L2521" i="6"/>
  <c r="K2521" i="6"/>
  <c r="J2521" i="6"/>
  <c r="I2521" i="6"/>
  <c r="P2521" i="6" s="1"/>
  <c r="H2521" i="6"/>
  <c r="G2521" i="6"/>
  <c r="F2521" i="6"/>
  <c r="D2521" i="6"/>
  <c r="U2521" i="6" s="1"/>
  <c r="C2521" i="6"/>
  <c r="B2521" i="6"/>
  <c r="Q2520" i="6"/>
  <c r="P2520" i="6"/>
  <c r="N2520" i="6"/>
  <c r="M2520" i="6"/>
  <c r="L2520" i="6"/>
  <c r="K2520" i="6"/>
  <c r="J2520" i="6"/>
  <c r="I2520" i="6"/>
  <c r="H2520" i="6"/>
  <c r="G2520" i="6"/>
  <c r="F2520" i="6"/>
  <c r="D2520" i="6"/>
  <c r="U2520" i="6" s="1"/>
  <c r="C2520" i="6"/>
  <c r="B2520" i="6"/>
  <c r="Q2519" i="6"/>
  <c r="N2519" i="6"/>
  <c r="M2519" i="6"/>
  <c r="L2519" i="6"/>
  <c r="K2519" i="6"/>
  <c r="J2519" i="6"/>
  <c r="I2519" i="6"/>
  <c r="P2519" i="6" s="1"/>
  <c r="H2519" i="6"/>
  <c r="G2519" i="6"/>
  <c r="F2519" i="6"/>
  <c r="D2519" i="6"/>
  <c r="U2519" i="6" s="1"/>
  <c r="C2519" i="6"/>
  <c r="B2519" i="6"/>
  <c r="Q2518" i="6"/>
  <c r="P2518" i="6"/>
  <c r="N2518" i="6"/>
  <c r="M2518" i="6"/>
  <c r="L2518" i="6"/>
  <c r="K2518" i="6"/>
  <c r="J2518" i="6"/>
  <c r="I2518" i="6"/>
  <c r="H2518" i="6"/>
  <c r="G2518" i="6"/>
  <c r="F2518" i="6"/>
  <c r="D2518" i="6"/>
  <c r="U2518" i="6" s="1"/>
  <c r="C2518" i="6"/>
  <c r="B2518" i="6"/>
  <c r="Q2517" i="6"/>
  <c r="N2517" i="6"/>
  <c r="M2517" i="6"/>
  <c r="L2517" i="6"/>
  <c r="K2517" i="6"/>
  <c r="J2517" i="6"/>
  <c r="I2517" i="6"/>
  <c r="P2517" i="6" s="1"/>
  <c r="H2517" i="6"/>
  <c r="G2517" i="6"/>
  <c r="F2517" i="6"/>
  <c r="D2517" i="6"/>
  <c r="U2517" i="6" s="1"/>
  <c r="C2517" i="6"/>
  <c r="B2517" i="6"/>
  <c r="Q2516" i="6"/>
  <c r="P2516" i="6"/>
  <c r="N2516" i="6"/>
  <c r="M2516" i="6"/>
  <c r="L2516" i="6"/>
  <c r="K2516" i="6"/>
  <c r="J2516" i="6"/>
  <c r="I2516" i="6"/>
  <c r="H2516" i="6"/>
  <c r="G2516" i="6"/>
  <c r="F2516" i="6"/>
  <c r="D2516" i="6"/>
  <c r="U2516" i="6" s="1"/>
  <c r="C2516" i="6"/>
  <c r="B2516" i="6"/>
  <c r="Q2515" i="6"/>
  <c r="N2515" i="6"/>
  <c r="M2515" i="6"/>
  <c r="L2515" i="6"/>
  <c r="K2515" i="6"/>
  <c r="J2515" i="6"/>
  <c r="I2515" i="6"/>
  <c r="P2515" i="6" s="1"/>
  <c r="H2515" i="6"/>
  <c r="G2515" i="6"/>
  <c r="F2515" i="6"/>
  <c r="D2515" i="6"/>
  <c r="U2515" i="6" s="1"/>
  <c r="C2515" i="6"/>
  <c r="B2515" i="6"/>
  <c r="Q2514" i="6"/>
  <c r="P2514" i="6"/>
  <c r="N2514" i="6"/>
  <c r="M2514" i="6"/>
  <c r="L2514" i="6"/>
  <c r="K2514" i="6"/>
  <c r="J2514" i="6"/>
  <c r="I2514" i="6"/>
  <c r="H2514" i="6"/>
  <c r="G2514" i="6"/>
  <c r="F2514" i="6"/>
  <c r="D2514" i="6"/>
  <c r="U2514" i="6" s="1"/>
  <c r="C2514" i="6"/>
  <c r="B2514" i="6"/>
  <c r="Q2513" i="6"/>
  <c r="N2513" i="6"/>
  <c r="M2513" i="6"/>
  <c r="L2513" i="6"/>
  <c r="K2513" i="6"/>
  <c r="J2513" i="6"/>
  <c r="I2513" i="6"/>
  <c r="P2513" i="6" s="1"/>
  <c r="H2513" i="6"/>
  <c r="G2513" i="6"/>
  <c r="F2513" i="6"/>
  <c r="D2513" i="6"/>
  <c r="U2513" i="6" s="1"/>
  <c r="C2513" i="6"/>
  <c r="B2513" i="6"/>
  <c r="Q2512" i="6"/>
  <c r="P2512" i="6"/>
  <c r="N2512" i="6"/>
  <c r="M2512" i="6"/>
  <c r="L2512" i="6"/>
  <c r="K2512" i="6"/>
  <c r="J2512" i="6"/>
  <c r="I2512" i="6"/>
  <c r="H2512" i="6"/>
  <c r="G2512" i="6"/>
  <c r="F2512" i="6"/>
  <c r="D2512" i="6"/>
  <c r="U2512" i="6" s="1"/>
  <c r="C2512" i="6"/>
  <c r="B2512" i="6"/>
  <c r="Q2511" i="6"/>
  <c r="N2511" i="6"/>
  <c r="M2511" i="6"/>
  <c r="L2511" i="6"/>
  <c r="K2511" i="6"/>
  <c r="J2511" i="6"/>
  <c r="I2511" i="6"/>
  <c r="P2511" i="6" s="1"/>
  <c r="H2511" i="6"/>
  <c r="G2511" i="6"/>
  <c r="F2511" i="6"/>
  <c r="D2511" i="6"/>
  <c r="U2511" i="6" s="1"/>
  <c r="C2511" i="6"/>
  <c r="B2511" i="6"/>
  <c r="Q2510" i="6"/>
  <c r="P2510" i="6"/>
  <c r="N2510" i="6"/>
  <c r="M2510" i="6"/>
  <c r="L2510" i="6"/>
  <c r="K2510" i="6"/>
  <c r="J2510" i="6"/>
  <c r="I2510" i="6"/>
  <c r="H2510" i="6"/>
  <c r="G2510" i="6"/>
  <c r="F2510" i="6"/>
  <c r="D2510" i="6"/>
  <c r="U2510" i="6" s="1"/>
  <c r="C2510" i="6"/>
  <c r="B2510" i="6"/>
  <c r="Q2509" i="6"/>
  <c r="N2509" i="6"/>
  <c r="M2509" i="6"/>
  <c r="L2509" i="6"/>
  <c r="K2509" i="6"/>
  <c r="J2509" i="6"/>
  <c r="I2509" i="6"/>
  <c r="P2509" i="6" s="1"/>
  <c r="H2509" i="6"/>
  <c r="G2509" i="6"/>
  <c r="F2509" i="6"/>
  <c r="D2509" i="6"/>
  <c r="U2509" i="6" s="1"/>
  <c r="C2509" i="6"/>
  <c r="B2509" i="6"/>
  <c r="Q2508" i="6"/>
  <c r="P2508" i="6"/>
  <c r="N2508" i="6"/>
  <c r="M2508" i="6"/>
  <c r="L2508" i="6"/>
  <c r="K2508" i="6"/>
  <c r="J2508" i="6"/>
  <c r="I2508" i="6"/>
  <c r="H2508" i="6"/>
  <c r="G2508" i="6"/>
  <c r="F2508" i="6"/>
  <c r="D2508" i="6"/>
  <c r="U2508" i="6" s="1"/>
  <c r="C2508" i="6"/>
  <c r="B2508" i="6"/>
  <c r="Q2507" i="6"/>
  <c r="N2507" i="6"/>
  <c r="M2507" i="6"/>
  <c r="L2507" i="6"/>
  <c r="K2507" i="6"/>
  <c r="J2507" i="6"/>
  <c r="I2507" i="6"/>
  <c r="P2507" i="6" s="1"/>
  <c r="H2507" i="6"/>
  <c r="G2507" i="6"/>
  <c r="F2507" i="6"/>
  <c r="D2507" i="6"/>
  <c r="U2507" i="6" s="1"/>
  <c r="C2507" i="6"/>
  <c r="B2507" i="6"/>
  <c r="Q2506" i="6"/>
  <c r="P2506" i="6"/>
  <c r="N2506" i="6"/>
  <c r="M2506" i="6"/>
  <c r="L2506" i="6"/>
  <c r="K2506" i="6"/>
  <c r="J2506" i="6"/>
  <c r="I2506" i="6"/>
  <c r="H2506" i="6"/>
  <c r="G2506" i="6"/>
  <c r="F2506" i="6"/>
  <c r="D2506" i="6"/>
  <c r="U2506" i="6" s="1"/>
  <c r="C2506" i="6"/>
  <c r="B2506" i="6"/>
  <c r="Q2505" i="6"/>
  <c r="N2505" i="6"/>
  <c r="M2505" i="6"/>
  <c r="L2505" i="6"/>
  <c r="K2505" i="6"/>
  <c r="J2505" i="6"/>
  <c r="I2505" i="6"/>
  <c r="P2505" i="6" s="1"/>
  <c r="H2505" i="6"/>
  <c r="G2505" i="6"/>
  <c r="F2505" i="6"/>
  <c r="D2505" i="6"/>
  <c r="U2505" i="6" s="1"/>
  <c r="C2505" i="6"/>
  <c r="B2505" i="6"/>
  <c r="Q2504" i="6"/>
  <c r="P2504" i="6"/>
  <c r="N2504" i="6"/>
  <c r="M2504" i="6"/>
  <c r="L2504" i="6"/>
  <c r="K2504" i="6"/>
  <c r="J2504" i="6"/>
  <c r="I2504" i="6"/>
  <c r="H2504" i="6"/>
  <c r="G2504" i="6"/>
  <c r="F2504" i="6"/>
  <c r="D2504" i="6"/>
  <c r="U2504" i="6" s="1"/>
  <c r="C2504" i="6"/>
  <c r="B2504" i="6"/>
  <c r="Q2503" i="6"/>
  <c r="N2503" i="6"/>
  <c r="M2503" i="6"/>
  <c r="L2503" i="6"/>
  <c r="K2503" i="6"/>
  <c r="J2503" i="6"/>
  <c r="I2503" i="6"/>
  <c r="P2503" i="6" s="1"/>
  <c r="H2503" i="6"/>
  <c r="G2503" i="6"/>
  <c r="F2503" i="6"/>
  <c r="D2503" i="6"/>
  <c r="U2503" i="6" s="1"/>
  <c r="C2503" i="6"/>
  <c r="B2503" i="6"/>
  <c r="Q2502" i="6"/>
  <c r="P2502" i="6"/>
  <c r="N2502" i="6"/>
  <c r="M2502" i="6"/>
  <c r="L2502" i="6"/>
  <c r="K2502" i="6"/>
  <c r="J2502" i="6"/>
  <c r="I2502" i="6"/>
  <c r="H2502" i="6"/>
  <c r="G2502" i="6"/>
  <c r="F2502" i="6"/>
  <c r="D2502" i="6"/>
  <c r="U2502" i="6" s="1"/>
  <c r="C2502" i="6"/>
  <c r="B2502" i="6"/>
  <c r="Q2501" i="6"/>
  <c r="N2501" i="6"/>
  <c r="M2501" i="6"/>
  <c r="L2501" i="6"/>
  <c r="K2501" i="6"/>
  <c r="J2501" i="6"/>
  <c r="I2501" i="6"/>
  <c r="P2501" i="6" s="1"/>
  <c r="H2501" i="6"/>
  <c r="G2501" i="6"/>
  <c r="F2501" i="6"/>
  <c r="D2501" i="6"/>
  <c r="U2501" i="6" s="1"/>
  <c r="C2501" i="6"/>
  <c r="B2501" i="6"/>
  <c r="Q2500" i="6"/>
  <c r="P2500" i="6"/>
  <c r="N2500" i="6"/>
  <c r="M2500" i="6"/>
  <c r="L2500" i="6"/>
  <c r="K2500" i="6"/>
  <c r="J2500" i="6"/>
  <c r="I2500" i="6"/>
  <c r="H2500" i="6"/>
  <c r="G2500" i="6"/>
  <c r="F2500" i="6"/>
  <c r="D2500" i="6"/>
  <c r="U2500" i="6" s="1"/>
  <c r="C2500" i="6"/>
  <c r="B2500" i="6"/>
  <c r="Q2499" i="6"/>
  <c r="N2499" i="6"/>
  <c r="M2499" i="6"/>
  <c r="L2499" i="6"/>
  <c r="K2499" i="6"/>
  <c r="J2499" i="6"/>
  <c r="I2499" i="6"/>
  <c r="P2499" i="6" s="1"/>
  <c r="H2499" i="6"/>
  <c r="G2499" i="6"/>
  <c r="F2499" i="6"/>
  <c r="D2499" i="6"/>
  <c r="U2499" i="6" s="1"/>
  <c r="C2499" i="6"/>
  <c r="B2499" i="6"/>
  <c r="Q2498" i="6"/>
  <c r="P2498" i="6"/>
  <c r="N2498" i="6"/>
  <c r="M2498" i="6"/>
  <c r="L2498" i="6"/>
  <c r="K2498" i="6"/>
  <c r="J2498" i="6"/>
  <c r="I2498" i="6"/>
  <c r="H2498" i="6"/>
  <c r="G2498" i="6"/>
  <c r="F2498" i="6"/>
  <c r="D2498" i="6"/>
  <c r="U2498" i="6" s="1"/>
  <c r="C2498" i="6"/>
  <c r="B2498" i="6"/>
  <c r="Q2497" i="6"/>
  <c r="N2497" i="6"/>
  <c r="M2497" i="6"/>
  <c r="L2497" i="6"/>
  <c r="K2497" i="6"/>
  <c r="J2497" i="6"/>
  <c r="I2497" i="6"/>
  <c r="P2497" i="6" s="1"/>
  <c r="H2497" i="6"/>
  <c r="G2497" i="6"/>
  <c r="F2497" i="6"/>
  <c r="D2497" i="6"/>
  <c r="U2497" i="6" s="1"/>
  <c r="C2497" i="6"/>
  <c r="B2497" i="6"/>
  <c r="Q2496" i="6"/>
  <c r="P2496" i="6"/>
  <c r="N2496" i="6"/>
  <c r="M2496" i="6"/>
  <c r="L2496" i="6"/>
  <c r="K2496" i="6"/>
  <c r="J2496" i="6"/>
  <c r="I2496" i="6"/>
  <c r="H2496" i="6"/>
  <c r="G2496" i="6"/>
  <c r="F2496" i="6"/>
  <c r="D2496" i="6"/>
  <c r="U2496" i="6" s="1"/>
  <c r="C2496" i="6"/>
  <c r="B2496" i="6"/>
  <c r="Q2495" i="6"/>
  <c r="N2495" i="6"/>
  <c r="M2495" i="6"/>
  <c r="L2495" i="6"/>
  <c r="K2495" i="6"/>
  <c r="J2495" i="6"/>
  <c r="I2495" i="6"/>
  <c r="P2495" i="6" s="1"/>
  <c r="H2495" i="6"/>
  <c r="G2495" i="6"/>
  <c r="F2495" i="6"/>
  <c r="D2495" i="6"/>
  <c r="U2495" i="6" s="1"/>
  <c r="C2495" i="6"/>
  <c r="B2495" i="6"/>
  <c r="Q2494" i="6"/>
  <c r="P2494" i="6"/>
  <c r="N2494" i="6"/>
  <c r="M2494" i="6"/>
  <c r="L2494" i="6"/>
  <c r="K2494" i="6"/>
  <c r="J2494" i="6"/>
  <c r="I2494" i="6"/>
  <c r="H2494" i="6"/>
  <c r="G2494" i="6"/>
  <c r="F2494" i="6"/>
  <c r="D2494" i="6"/>
  <c r="U2494" i="6" s="1"/>
  <c r="C2494" i="6"/>
  <c r="B2494" i="6"/>
  <c r="Q2493" i="6"/>
  <c r="N2493" i="6"/>
  <c r="M2493" i="6"/>
  <c r="L2493" i="6"/>
  <c r="K2493" i="6"/>
  <c r="J2493" i="6"/>
  <c r="I2493" i="6"/>
  <c r="P2493" i="6" s="1"/>
  <c r="H2493" i="6"/>
  <c r="G2493" i="6"/>
  <c r="F2493" i="6"/>
  <c r="D2493" i="6"/>
  <c r="U2493" i="6" s="1"/>
  <c r="C2493" i="6"/>
  <c r="B2493" i="6"/>
  <c r="Q2492" i="6"/>
  <c r="P2492" i="6"/>
  <c r="N2492" i="6"/>
  <c r="M2492" i="6"/>
  <c r="L2492" i="6"/>
  <c r="K2492" i="6"/>
  <c r="J2492" i="6"/>
  <c r="I2492" i="6"/>
  <c r="H2492" i="6"/>
  <c r="G2492" i="6"/>
  <c r="F2492" i="6"/>
  <c r="D2492" i="6"/>
  <c r="U2492" i="6" s="1"/>
  <c r="C2492" i="6"/>
  <c r="B2492" i="6"/>
  <c r="Q2491" i="6"/>
  <c r="N2491" i="6"/>
  <c r="M2491" i="6"/>
  <c r="L2491" i="6"/>
  <c r="K2491" i="6"/>
  <c r="J2491" i="6"/>
  <c r="I2491" i="6"/>
  <c r="P2491" i="6" s="1"/>
  <c r="H2491" i="6"/>
  <c r="G2491" i="6"/>
  <c r="F2491" i="6"/>
  <c r="D2491" i="6"/>
  <c r="U2491" i="6" s="1"/>
  <c r="C2491" i="6"/>
  <c r="B2491" i="6"/>
  <c r="Q2490" i="6"/>
  <c r="P2490" i="6"/>
  <c r="N2490" i="6"/>
  <c r="M2490" i="6"/>
  <c r="L2490" i="6"/>
  <c r="K2490" i="6"/>
  <c r="J2490" i="6"/>
  <c r="I2490" i="6"/>
  <c r="H2490" i="6"/>
  <c r="G2490" i="6"/>
  <c r="F2490" i="6"/>
  <c r="D2490" i="6"/>
  <c r="U2490" i="6" s="1"/>
  <c r="C2490" i="6"/>
  <c r="B2490" i="6"/>
  <c r="Q2489" i="6"/>
  <c r="N2489" i="6"/>
  <c r="M2489" i="6"/>
  <c r="L2489" i="6"/>
  <c r="K2489" i="6"/>
  <c r="J2489" i="6"/>
  <c r="I2489" i="6"/>
  <c r="P2489" i="6" s="1"/>
  <c r="H2489" i="6"/>
  <c r="G2489" i="6"/>
  <c r="F2489" i="6"/>
  <c r="D2489" i="6"/>
  <c r="U2489" i="6" s="1"/>
  <c r="C2489" i="6"/>
  <c r="B2489" i="6"/>
  <c r="Q2488" i="6"/>
  <c r="P2488" i="6"/>
  <c r="N2488" i="6"/>
  <c r="M2488" i="6"/>
  <c r="L2488" i="6"/>
  <c r="K2488" i="6"/>
  <c r="J2488" i="6"/>
  <c r="I2488" i="6"/>
  <c r="H2488" i="6"/>
  <c r="G2488" i="6"/>
  <c r="F2488" i="6"/>
  <c r="D2488" i="6"/>
  <c r="U2488" i="6" s="1"/>
  <c r="C2488" i="6"/>
  <c r="B2488" i="6"/>
  <c r="Q2487" i="6"/>
  <c r="N2487" i="6"/>
  <c r="M2487" i="6"/>
  <c r="L2487" i="6"/>
  <c r="K2487" i="6"/>
  <c r="J2487" i="6"/>
  <c r="I2487" i="6"/>
  <c r="P2487" i="6" s="1"/>
  <c r="H2487" i="6"/>
  <c r="G2487" i="6"/>
  <c r="F2487" i="6"/>
  <c r="D2487" i="6"/>
  <c r="U2487" i="6" s="1"/>
  <c r="C2487" i="6"/>
  <c r="B2487" i="6"/>
  <c r="Q2486" i="6"/>
  <c r="P2486" i="6"/>
  <c r="N2486" i="6"/>
  <c r="M2486" i="6"/>
  <c r="L2486" i="6"/>
  <c r="K2486" i="6"/>
  <c r="J2486" i="6"/>
  <c r="I2486" i="6"/>
  <c r="H2486" i="6"/>
  <c r="G2486" i="6"/>
  <c r="F2486" i="6"/>
  <c r="D2486" i="6"/>
  <c r="U2486" i="6" s="1"/>
  <c r="C2486" i="6"/>
  <c r="B2486" i="6"/>
  <c r="Q2485" i="6"/>
  <c r="N2485" i="6"/>
  <c r="M2485" i="6"/>
  <c r="L2485" i="6"/>
  <c r="K2485" i="6"/>
  <c r="J2485" i="6"/>
  <c r="I2485" i="6"/>
  <c r="P2485" i="6" s="1"/>
  <c r="H2485" i="6"/>
  <c r="G2485" i="6"/>
  <c r="F2485" i="6"/>
  <c r="D2485" i="6"/>
  <c r="U2485" i="6" s="1"/>
  <c r="C2485" i="6"/>
  <c r="B2485" i="6"/>
  <c r="Q2484" i="6"/>
  <c r="P2484" i="6"/>
  <c r="N2484" i="6"/>
  <c r="M2484" i="6"/>
  <c r="L2484" i="6"/>
  <c r="K2484" i="6"/>
  <c r="J2484" i="6"/>
  <c r="I2484" i="6"/>
  <c r="H2484" i="6"/>
  <c r="G2484" i="6"/>
  <c r="F2484" i="6"/>
  <c r="D2484" i="6"/>
  <c r="U2484" i="6" s="1"/>
  <c r="C2484" i="6"/>
  <c r="B2484" i="6"/>
  <c r="Q2483" i="6"/>
  <c r="N2483" i="6"/>
  <c r="M2483" i="6"/>
  <c r="L2483" i="6"/>
  <c r="K2483" i="6"/>
  <c r="J2483" i="6"/>
  <c r="I2483" i="6"/>
  <c r="P2483" i="6" s="1"/>
  <c r="H2483" i="6"/>
  <c r="G2483" i="6"/>
  <c r="F2483" i="6"/>
  <c r="D2483" i="6"/>
  <c r="U2483" i="6" s="1"/>
  <c r="C2483" i="6"/>
  <c r="B2483" i="6"/>
  <c r="Q2482" i="6"/>
  <c r="P2482" i="6"/>
  <c r="N2482" i="6"/>
  <c r="M2482" i="6"/>
  <c r="L2482" i="6"/>
  <c r="K2482" i="6"/>
  <c r="J2482" i="6"/>
  <c r="I2482" i="6"/>
  <c r="H2482" i="6"/>
  <c r="G2482" i="6"/>
  <c r="F2482" i="6"/>
  <c r="D2482" i="6"/>
  <c r="U2482" i="6" s="1"/>
  <c r="C2482" i="6"/>
  <c r="B2482" i="6"/>
  <c r="Q2481" i="6"/>
  <c r="N2481" i="6"/>
  <c r="M2481" i="6"/>
  <c r="L2481" i="6"/>
  <c r="K2481" i="6"/>
  <c r="J2481" i="6"/>
  <c r="I2481" i="6"/>
  <c r="P2481" i="6" s="1"/>
  <c r="H2481" i="6"/>
  <c r="G2481" i="6"/>
  <c r="F2481" i="6"/>
  <c r="D2481" i="6"/>
  <c r="U2481" i="6" s="1"/>
  <c r="C2481" i="6"/>
  <c r="B2481" i="6"/>
  <c r="Q2480" i="6"/>
  <c r="P2480" i="6"/>
  <c r="N2480" i="6"/>
  <c r="M2480" i="6"/>
  <c r="L2480" i="6"/>
  <c r="K2480" i="6"/>
  <c r="J2480" i="6"/>
  <c r="I2480" i="6"/>
  <c r="H2480" i="6"/>
  <c r="G2480" i="6"/>
  <c r="F2480" i="6"/>
  <c r="D2480" i="6"/>
  <c r="U2480" i="6" s="1"/>
  <c r="C2480" i="6"/>
  <c r="B2480" i="6"/>
  <c r="Q2479" i="6"/>
  <c r="N2479" i="6"/>
  <c r="M2479" i="6"/>
  <c r="L2479" i="6"/>
  <c r="K2479" i="6"/>
  <c r="J2479" i="6"/>
  <c r="I2479" i="6"/>
  <c r="P2479" i="6" s="1"/>
  <c r="H2479" i="6"/>
  <c r="G2479" i="6"/>
  <c r="F2479" i="6"/>
  <c r="D2479" i="6"/>
  <c r="U2479" i="6" s="1"/>
  <c r="C2479" i="6"/>
  <c r="B2479" i="6"/>
  <c r="Q2478" i="6"/>
  <c r="P2478" i="6"/>
  <c r="N2478" i="6"/>
  <c r="M2478" i="6"/>
  <c r="L2478" i="6"/>
  <c r="K2478" i="6"/>
  <c r="J2478" i="6"/>
  <c r="I2478" i="6"/>
  <c r="H2478" i="6"/>
  <c r="G2478" i="6"/>
  <c r="F2478" i="6"/>
  <c r="D2478" i="6"/>
  <c r="U2478" i="6" s="1"/>
  <c r="C2478" i="6"/>
  <c r="B2478" i="6"/>
  <c r="Q2477" i="6"/>
  <c r="N2477" i="6"/>
  <c r="M2477" i="6"/>
  <c r="L2477" i="6"/>
  <c r="K2477" i="6"/>
  <c r="J2477" i="6"/>
  <c r="I2477" i="6"/>
  <c r="P2477" i="6" s="1"/>
  <c r="H2477" i="6"/>
  <c r="G2477" i="6"/>
  <c r="F2477" i="6"/>
  <c r="D2477" i="6"/>
  <c r="U2477" i="6" s="1"/>
  <c r="C2477" i="6"/>
  <c r="B2477" i="6"/>
  <c r="Q2476" i="6"/>
  <c r="P2476" i="6"/>
  <c r="N2476" i="6"/>
  <c r="M2476" i="6"/>
  <c r="L2476" i="6"/>
  <c r="K2476" i="6"/>
  <c r="J2476" i="6"/>
  <c r="I2476" i="6"/>
  <c r="H2476" i="6"/>
  <c r="G2476" i="6"/>
  <c r="F2476" i="6"/>
  <c r="D2476" i="6"/>
  <c r="U2476" i="6" s="1"/>
  <c r="C2476" i="6"/>
  <c r="B2476" i="6"/>
  <c r="Q2475" i="6"/>
  <c r="N2475" i="6"/>
  <c r="M2475" i="6"/>
  <c r="L2475" i="6"/>
  <c r="K2475" i="6"/>
  <c r="J2475" i="6"/>
  <c r="I2475" i="6"/>
  <c r="P2475" i="6" s="1"/>
  <c r="H2475" i="6"/>
  <c r="G2475" i="6"/>
  <c r="F2475" i="6"/>
  <c r="D2475" i="6"/>
  <c r="U2475" i="6" s="1"/>
  <c r="C2475" i="6"/>
  <c r="B2475" i="6"/>
  <c r="Q2474" i="6"/>
  <c r="P2474" i="6"/>
  <c r="N2474" i="6"/>
  <c r="M2474" i="6"/>
  <c r="L2474" i="6"/>
  <c r="K2474" i="6"/>
  <c r="J2474" i="6"/>
  <c r="I2474" i="6"/>
  <c r="H2474" i="6"/>
  <c r="G2474" i="6"/>
  <c r="F2474" i="6"/>
  <c r="D2474" i="6"/>
  <c r="U2474" i="6" s="1"/>
  <c r="C2474" i="6"/>
  <c r="B2474" i="6"/>
  <c r="Q2473" i="6"/>
  <c r="N2473" i="6"/>
  <c r="M2473" i="6"/>
  <c r="L2473" i="6"/>
  <c r="K2473" i="6"/>
  <c r="J2473" i="6"/>
  <c r="I2473" i="6"/>
  <c r="P2473" i="6" s="1"/>
  <c r="H2473" i="6"/>
  <c r="G2473" i="6"/>
  <c r="F2473" i="6"/>
  <c r="D2473" i="6"/>
  <c r="U2473" i="6" s="1"/>
  <c r="C2473" i="6"/>
  <c r="B2473" i="6"/>
  <c r="Q2472" i="6"/>
  <c r="P2472" i="6"/>
  <c r="N2472" i="6"/>
  <c r="M2472" i="6"/>
  <c r="L2472" i="6"/>
  <c r="K2472" i="6"/>
  <c r="J2472" i="6"/>
  <c r="I2472" i="6"/>
  <c r="H2472" i="6"/>
  <c r="G2472" i="6"/>
  <c r="F2472" i="6"/>
  <c r="D2472" i="6"/>
  <c r="U2472" i="6" s="1"/>
  <c r="C2472" i="6"/>
  <c r="B2472" i="6"/>
  <c r="Q2471" i="6"/>
  <c r="N2471" i="6"/>
  <c r="M2471" i="6"/>
  <c r="L2471" i="6"/>
  <c r="K2471" i="6"/>
  <c r="J2471" i="6"/>
  <c r="I2471" i="6"/>
  <c r="P2471" i="6" s="1"/>
  <c r="H2471" i="6"/>
  <c r="G2471" i="6"/>
  <c r="F2471" i="6"/>
  <c r="D2471" i="6"/>
  <c r="U2471" i="6" s="1"/>
  <c r="C2471" i="6"/>
  <c r="B2471" i="6"/>
  <c r="Q2470" i="6"/>
  <c r="P2470" i="6"/>
  <c r="N2470" i="6"/>
  <c r="M2470" i="6"/>
  <c r="L2470" i="6"/>
  <c r="K2470" i="6"/>
  <c r="J2470" i="6"/>
  <c r="I2470" i="6"/>
  <c r="H2470" i="6"/>
  <c r="G2470" i="6"/>
  <c r="F2470" i="6"/>
  <c r="D2470" i="6"/>
  <c r="U2470" i="6" s="1"/>
  <c r="C2470" i="6"/>
  <c r="B2470" i="6"/>
  <c r="Q2469" i="6"/>
  <c r="N2469" i="6"/>
  <c r="M2469" i="6"/>
  <c r="L2469" i="6"/>
  <c r="K2469" i="6"/>
  <c r="J2469" i="6"/>
  <c r="I2469" i="6"/>
  <c r="P2469" i="6" s="1"/>
  <c r="H2469" i="6"/>
  <c r="G2469" i="6"/>
  <c r="F2469" i="6"/>
  <c r="D2469" i="6"/>
  <c r="U2469" i="6" s="1"/>
  <c r="C2469" i="6"/>
  <c r="B2469" i="6"/>
  <c r="Q2468" i="6"/>
  <c r="P2468" i="6"/>
  <c r="N2468" i="6"/>
  <c r="M2468" i="6"/>
  <c r="L2468" i="6"/>
  <c r="K2468" i="6"/>
  <c r="J2468" i="6"/>
  <c r="I2468" i="6"/>
  <c r="H2468" i="6"/>
  <c r="G2468" i="6"/>
  <c r="F2468" i="6"/>
  <c r="D2468" i="6"/>
  <c r="U2468" i="6" s="1"/>
  <c r="C2468" i="6"/>
  <c r="B2468" i="6"/>
  <c r="Q2467" i="6"/>
  <c r="N2467" i="6"/>
  <c r="M2467" i="6"/>
  <c r="L2467" i="6"/>
  <c r="K2467" i="6"/>
  <c r="J2467" i="6"/>
  <c r="I2467" i="6"/>
  <c r="P2467" i="6" s="1"/>
  <c r="H2467" i="6"/>
  <c r="G2467" i="6"/>
  <c r="F2467" i="6"/>
  <c r="D2467" i="6"/>
  <c r="U2467" i="6" s="1"/>
  <c r="C2467" i="6"/>
  <c r="B2467" i="6"/>
  <c r="Q2466" i="6"/>
  <c r="P2466" i="6"/>
  <c r="N2466" i="6"/>
  <c r="M2466" i="6"/>
  <c r="L2466" i="6"/>
  <c r="K2466" i="6"/>
  <c r="J2466" i="6"/>
  <c r="I2466" i="6"/>
  <c r="H2466" i="6"/>
  <c r="G2466" i="6"/>
  <c r="F2466" i="6"/>
  <c r="D2466" i="6"/>
  <c r="U2466" i="6" s="1"/>
  <c r="C2466" i="6"/>
  <c r="B2466" i="6"/>
  <c r="Q2465" i="6"/>
  <c r="N2465" i="6"/>
  <c r="M2465" i="6"/>
  <c r="L2465" i="6"/>
  <c r="K2465" i="6"/>
  <c r="J2465" i="6"/>
  <c r="I2465" i="6"/>
  <c r="P2465" i="6" s="1"/>
  <c r="H2465" i="6"/>
  <c r="G2465" i="6"/>
  <c r="F2465" i="6"/>
  <c r="D2465" i="6"/>
  <c r="U2465" i="6" s="1"/>
  <c r="C2465" i="6"/>
  <c r="B2465" i="6"/>
  <c r="Q2464" i="6"/>
  <c r="P2464" i="6"/>
  <c r="N2464" i="6"/>
  <c r="M2464" i="6"/>
  <c r="L2464" i="6"/>
  <c r="K2464" i="6"/>
  <c r="J2464" i="6"/>
  <c r="I2464" i="6"/>
  <c r="H2464" i="6"/>
  <c r="G2464" i="6"/>
  <c r="F2464" i="6"/>
  <c r="D2464" i="6"/>
  <c r="U2464" i="6" s="1"/>
  <c r="C2464" i="6"/>
  <c r="B2464" i="6"/>
  <c r="Q2463" i="6"/>
  <c r="N2463" i="6"/>
  <c r="M2463" i="6"/>
  <c r="L2463" i="6"/>
  <c r="K2463" i="6"/>
  <c r="J2463" i="6"/>
  <c r="I2463" i="6"/>
  <c r="P2463" i="6" s="1"/>
  <c r="H2463" i="6"/>
  <c r="G2463" i="6"/>
  <c r="F2463" i="6"/>
  <c r="D2463" i="6"/>
  <c r="U2463" i="6" s="1"/>
  <c r="C2463" i="6"/>
  <c r="B2463" i="6"/>
  <c r="Q2462" i="6"/>
  <c r="P2462" i="6"/>
  <c r="N2462" i="6"/>
  <c r="M2462" i="6"/>
  <c r="L2462" i="6"/>
  <c r="K2462" i="6"/>
  <c r="J2462" i="6"/>
  <c r="I2462" i="6"/>
  <c r="H2462" i="6"/>
  <c r="G2462" i="6"/>
  <c r="F2462" i="6"/>
  <c r="D2462" i="6"/>
  <c r="U2462" i="6" s="1"/>
  <c r="C2462" i="6"/>
  <c r="B2462" i="6"/>
  <c r="Q2461" i="6"/>
  <c r="N2461" i="6"/>
  <c r="M2461" i="6"/>
  <c r="L2461" i="6"/>
  <c r="K2461" i="6"/>
  <c r="J2461" i="6"/>
  <c r="I2461" i="6"/>
  <c r="P2461" i="6" s="1"/>
  <c r="H2461" i="6"/>
  <c r="G2461" i="6"/>
  <c r="F2461" i="6"/>
  <c r="D2461" i="6"/>
  <c r="U2461" i="6" s="1"/>
  <c r="C2461" i="6"/>
  <c r="B2461" i="6"/>
  <c r="Q2460" i="6"/>
  <c r="P2460" i="6"/>
  <c r="N2460" i="6"/>
  <c r="M2460" i="6"/>
  <c r="L2460" i="6"/>
  <c r="K2460" i="6"/>
  <c r="J2460" i="6"/>
  <c r="I2460" i="6"/>
  <c r="H2460" i="6"/>
  <c r="G2460" i="6"/>
  <c r="F2460" i="6"/>
  <c r="D2460" i="6"/>
  <c r="U2460" i="6" s="1"/>
  <c r="C2460" i="6"/>
  <c r="B2460" i="6"/>
  <c r="Q2459" i="6"/>
  <c r="N2459" i="6"/>
  <c r="M2459" i="6"/>
  <c r="L2459" i="6"/>
  <c r="K2459" i="6"/>
  <c r="J2459" i="6"/>
  <c r="I2459" i="6"/>
  <c r="P2459" i="6" s="1"/>
  <c r="H2459" i="6"/>
  <c r="G2459" i="6"/>
  <c r="F2459" i="6"/>
  <c r="D2459" i="6"/>
  <c r="U2459" i="6" s="1"/>
  <c r="C2459" i="6"/>
  <c r="B2459" i="6"/>
  <c r="Q2458" i="6"/>
  <c r="P2458" i="6"/>
  <c r="N2458" i="6"/>
  <c r="M2458" i="6"/>
  <c r="L2458" i="6"/>
  <c r="K2458" i="6"/>
  <c r="J2458" i="6"/>
  <c r="I2458" i="6"/>
  <c r="H2458" i="6"/>
  <c r="G2458" i="6"/>
  <c r="F2458" i="6"/>
  <c r="D2458" i="6"/>
  <c r="U2458" i="6" s="1"/>
  <c r="C2458" i="6"/>
  <c r="B2458" i="6"/>
  <c r="Q2457" i="6"/>
  <c r="N2457" i="6"/>
  <c r="M2457" i="6"/>
  <c r="L2457" i="6"/>
  <c r="K2457" i="6"/>
  <c r="J2457" i="6"/>
  <c r="I2457" i="6"/>
  <c r="P2457" i="6" s="1"/>
  <c r="H2457" i="6"/>
  <c r="G2457" i="6"/>
  <c r="F2457" i="6"/>
  <c r="D2457" i="6"/>
  <c r="U2457" i="6" s="1"/>
  <c r="C2457" i="6"/>
  <c r="B2457" i="6"/>
  <c r="Q2456" i="6"/>
  <c r="P2456" i="6"/>
  <c r="N2456" i="6"/>
  <c r="M2456" i="6"/>
  <c r="L2456" i="6"/>
  <c r="K2456" i="6"/>
  <c r="J2456" i="6"/>
  <c r="I2456" i="6"/>
  <c r="H2456" i="6"/>
  <c r="G2456" i="6"/>
  <c r="F2456" i="6"/>
  <c r="D2456" i="6"/>
  <c r="U2456" i="6" s="1"/>
  <c r="C2456" i="6"/>
  <c r="B2456" i="6"/>
  <c r="Q2455" i="6"/>
  <c r="N2455" i="6"/>
  <c r="M2455" i="6"/>
  <c r="L2455" i="6"/>
  <c r="K2455" i="6"/>
  <c r="J2455" i="6"/>
  <c r="I2455" i="6"/>
  <c r="P2455" i="6" s="1"/>
  <c r="H2455" i="6"/>
  <c r="G2455" i="6"/>
  <c r="F2455" i="6"/>
  <c r="D2455" i="6"/>
  <c r="U2455" i="6" s="1"/>
  <c r="C2455" i="6"/>
  <c r="B2455" i="6"/>
  <c r="Q2454" i="6"/>
  <c r="P2454" i="6"/>
  <c r="N2454" i="6"/>
  <c r="M2454" i="6"/>
  <c r="L2454" i="6"/>
  <c r="K2454" i="6"/>
  <c r="J2454" i="6"/>
  <c r="I2454" i="6"/>
  <c r="H2454" i="6"/>
  <c r="G2454" i="6"/>
  <c r="F2454" i="6"/>
  <c r="D2454" i="6"/>
  <c r="U2454" i="6" s="1"/>
  <c r="C2454" i="6"/>
  <c r="B2454" i="6"/>
  <c r="Q2453" i="6"/>
  <c r="N2453" i="6"/>
  <c r="M2453" i="6"/>
  <c r="L2453" i="6"/>
  <c r="K2453" i="6"/>
  <c r="J2453" i="6"/>
  <c r="I2453" i="6"/>
  <c r="P2453" i="6" s="1"/>
  <c r="H2453" i="6"/>
  <c r="G2453" i="6"/>
  <c r="F2453" i="6"/>
  <c r="D2453" i="6"/>
  <c r="U2453" i="6" s="1"/>
  <c r="C2453" i="6"/>
  <c r="B2453" i="6"/>
  <c r="Q2452" i="6"/>
  <c r="P2452" i="6"/>
  <c r="N2452" i="6"/>
  <c r="M2452" i="6"/>
  <c r="L2452" i="6"/>
  <c r="K2452" i="6"/>
  <c r="J2452" i="6"/>
  <c r="I2452" i="6"/>
  <c r="H2452" i="6"/>
  <c r="G2452" i="6"/>
  <c r="F2452" i="6"/>
  <c r="D2452" i="6"/>
  <c r="U2452" i="6" s="1"/>
  <c r="C2452" i="6"/>
  <c r="B2452" i="6"/>
  <c r="Q2451" i="6"/>
  <c r="N2451" i="6"/>
  <c r="M2451" i="6"/>
  <c r="L2451" i="6"/>
  <c r="K2451" i="6"/>
  <c r="J2451" i="6"/>
  <c r="I2451" i="6"/>
  <c r="P2451" i="6" s="1"/>
  <c r="H2451" i="6"/>
  <c r="G2451" i="6"/>
  <c r="F2451" i="6"/>
  <c r="D2451" i="6"/>
  <c r="U2451" i="6" s="1"/>
  <c r="C2451" i="6"/>
  <c r="B2451" i="6"/>
  <c r="Q2450" i="6"/>
  <c r="P2450" i="6"/>
  <c r="N2450" i="6"/>
  <c r="M2450" i="6"/>
  <c r="L2450" i="6"/>
  <c r="K2450" i="6"/>
  <c r="J2450" i="6"/>
  <c r="I2450" i="6"/>
  <c r="H2450" i="6"/>
  <c r="G2450" i="6"/>
  <c r="F2450" i="6"/>
  <c r="D2450" i="6"/>
  <c r="U2450" i="6" s="1"/>
  <c r="C2450" i="6"/>
  <c r="B2450" i="6"/>
  <c r="Q2449" i="6"/>
  <c r="N2449" i="6"/>
  <c r="M2449" i="6"/>
  <c r="L2449" i="6"/>
  <c r="K2449" i="6"/>
  <c r="J2449" i="6"/>
  <c r="I2449" i="6"/>
  <c r="P2449" i="6" s="1"/>
  <c r="H2449" i="6"/>
  <c r="G2449" i="6"/>
  <c r="F2449" i="6"/>
  <c r="D2449" i="6"/>
  <c r="U2449" i="6" s="1"/>
  <c r="C2449" i="6"/>
  <c r="B2449" i="6"/>
  <c r="Q2448" i="6"/>
  <c r="P2448" i="6"/>
  <c r="N2448" i="6"/>
  <c r="M2448" i="6"/>
  <c r="L2448" i="6"/>
  <c r="K2448" i="6"/>
  <c r="J2448" i="6"/>
  <c r="I2448" i="6"/>
  <c r="H2448" i="6"/>
  <c r="G2448" i="6"/>
  <c r="F2448" i="6"/>
  <c r="D2448" i="6"/>
  <c r="U2448" i="6" s="1"/>
  <c r="C2448" i="6"/>
  <c r="B2448" i="6"/>
  <c r="Q2447" i="6"/>
  <c r="N2447" i="6"/>
  <c r="M2447" i="6"/>
  <c r="L2447" i="6"/>
  <c r="K2447" i="6"/>
  <c r="J2447" i="6"/>
  <c r="I2447" i="6"/>
  <c r="P2447" i="6" s="1"/>
  <c r="H2447" i="6"/>
  <c r="G2447" i="6"/>
  <c r="F2447" i="6"/>
  <c r="D2447" i="6"/>
  <c r="U2447" i="6" s="1"/>
  <c r="C2447" i="6"/>
  <c r="B2447" i="6"/>
  <c r="Q2446" i="6"/>
  <c r="P2446" i="6"/>
  <c r="N2446" i="6"/>
  <c r="M2446" i="6"/>
  <c r="L2446" i="6"/>
  <c r="K2446" i="6"/>
  <c r="J2446" i="6"/>
  <c r="I2446" i="6"/>
  <c r="H2446" i="6"/>
  <c r="G2446" i="6"/>
  <c r="F2446" i="6"/>
  <c r="D2446" i="6"/>
  <c r="U2446" i="6" s="1"/>
  <c r="C2446" i="6"/>
  <c r="B2446" i="6"/>
  <c r="Q2445" i="6"/>
  <c r="N2445" i="6"/>
  <c r="M2445" i="6"/>
  <c r="L2445" i="6"/>
  <c r="K2445" i="6"/>
  <c r="J2445" i="6"/>
  <c r="I2445" i="6"/>
  <c r="P2445" i="6" s="1"/>
  <c r="H2445" i="6"/>
  <c r="G2445" i="6"/>
  <c r="F2445" i="6"/>
  <c r="D2445" i="6"/>
  <c r="U2445" i="6" s="1"/>
  <c r="C2445" i="6"/>
  <c r="B2445" i="6"/>
  <c r="Q2444" i="6"/>
  <c r="P2444" i="6"/>
  <c r="N2444" i="6"/>
  <c r="M2444" i="6"/>
  <c r="L2444" i="6"/>
  <c r="K2444" i="6"/>
  <c r="J2444" i="6"/>
  <c r="I2444" i="6"/>
  <c r="H2444" i="6"/>
  <c r="G2444" i="6"/>
  <c r="F2444" i="6"/>
  <c r="D2444" i="6"/>
  <c r="U2444" i="6" s="1"/>
  <c r="C2444" i="6"/>
  <c r="B2444" i="6"/>
  <c r="Q2443" i="6"/>
  <c r="N2443" i="6"/>
  <c r="M2443" i="6"/>
  <c r="L2443" i="6"/>
  <c r="K2443" i="6"/>
  <c r="J2443" i="6"/>
  <c r="I2443" i="6"/>
  <c r="P2443" i="6" s="1"/>
  <c r="H2443" i="6"/>
  <c r="G2443" i="6"/>
  <c r="F2443" i="6"/>
  <c r="D2443" i="6"/>
  <c r="U2443" i="6" s="1"/>
  <c r="C2443" i="6"/>
  <c r="B2443" i="6"/>
  <c r="Q2442" i="6"/>
  <c r="P2442" i="6"/>
  <c r="N2442" i="6"/>
  <c r="M2442" i="6"/>
  <c r="L2442" i="6"/>
  <c r="K2442" i="6"/>
  <c r="J2442" i="6"/>
  <c r="I2442" i="6"/>
  <c r="H2442" i="6"/>
  <c r="G2442" i="6"/>
  <c r="F2442" i="6"/>
  <c r="D2442" i="6"/>
  <c r="U2442" i="6" s="1"/>
  <c r="C2442" i="6"/>
  <c r="B2442" i="6"/>
  <c r="Q2441" i="6"/>
  <c r="N2441" i="6"/>
  <c r="M2441" i="6"/>
  <c r="L2441" i="6"/>
  <c r="K2441" i="6"/>
  <c r="J2441" i="6"/>
  <c r="I2441" i="6"/>
  <c r="P2441" i="6" s="1"/>
  <c r="H2441" i="6"/>
  <c r="G2441" i="6"/>
  <c r="F2441" i="6"/>
  <c r="D2441" i="6"/>
  <c r="U2441" i="6" s="1"/>
  <c r="C2441" i="6"/>
  <c r="B2441" i="6"/>
  <c r="Q2440" i="6"/>
  <c r="P2440" i="6"/>
  <c r="N2440" i="6"/>
  <c r="M2440" i="6"/>
  <c r="L2440" i="6"/>
  <c r="K2440" i="6"/>
  <c r="J2440" i="6"/>
  <c r="I2440" i="6"/>
  <c r="H2440" i="6"/>
  <c r="G2440" i="6"/>
  <c r="F2440" i="6"/>
  <c r="D2440" i="6"/>
  <c r="U2440" i="6" s="1"/>
  <c r="C2440" i="6"/>
  <c r="B2440" i="6"/>
  <c r="Q2439" i="6"/>
  <c r="N2439" i="6"/>
  <c r="M2439" i="6"/>
  <c r="L2439" i="6"/>
  <c r="K2439" i="6"/>
  <c r="J2439" i="6"/>
  <c r="I2439" i="6"/>
  <c r="P2439" i="6" s="1"/>
  <c r="H2439" i="6"/>
  <c r="G2439" i="6"/>
  <c r="F2439" i="6"/>
  <c r="D2439" i="6"/>
  <c r="U2439" i="6" s="1"/>
  <c r="C2439" i="6"/>
  <c r="B2439" i="6"/>
  <c r="Q2438" i="6"/>
  <c r="P2438" i="6"/>
  <c r="N2438" i="6"/>
  <c r="M2438" i="6"/>
  <c r="L2438" i="6"/>
  <c r="K2438" i="6"/>
  <c r="J2438" i="6"/>
  <c r="I2438" i="6"/>
  <c r="H2438" i="6"/>
  <c r="G2438" i="6"/>
  <c r="F2438" i="6"/>
  <c r="D2438" i="6"/>
  <c r="U2438" i="6" s="1"/>
  <c r="C2438" i="6"/>
  <c r="B2438" i="6"/>
  <c r="Q2437" i="6"/>
  <c r="N2437" i="6"/>
  <c r="M2437" i="6"/>
  <c r="L2437" i="6"/>
  <c r="K2437" i="6"/>
  <c r="J2437" i="6"/>
  <c r="I2437" i="6"/>
  <c r="P2437" i="6" s="1"/>
  <c r="H2437" i="6"/>
  <c r="G2437" i="6"/>
  <c r="F2437" i="6"/>
  <c r="D2437" i="6"/>
  <c r="U2437" i="6" s="1"/>
  <c r="C2437" i="6"/>
  <c r="B2437" i="6"/>
  <c r="Q2436" i="6"/>
  <c r="P2436" i="6"/>
  <c r="N2436" i="6"/>
  <c r="M2436" i="6"/>
  <c r="L2436" i="6"/>
  <c r="K2436" i="6"/>
  <c r="J2436" i="6"/>
  <c r="I2436" i="6"/>
  <c r="H2436" i="6"/>
  <c r="G2436" i="6"/>
  <c r="F2436" i="6"/>
  <c r="D2436" i="6"/>
  <c r="U2436" i="6" s="1"/>
  <c r="C2436" i="6"/>
  <c r="B2436" i="6"/>
  <c r="Q2435" i="6"/>
  <c r="N2435" i="6"/>
  <c r="M2435" i="6"/>
  <c r="L2435" i="6"/>
  <c r="K2435" i="6"/>
  <c r="J2435" i="6"/>
  <c r="I2435" i="6"/>
  <c r="P2435" i="6" s="1"/>
  <c r="H2435" i="6"/>
  <c r="G2435" i="6"/>
  <c r="F2435" i="6"/>
  <c r="D2435" i="6"/>
  <c r="U2435" i="6" s="1"/>
  <c r="C2435" i="6"/>
  <c r="B2435" i="6"/>
  <c r="Q2434" i="6"/>
  <c r="P2434" i="6"/>
  <c r="N2434" i="6"/>
  <c r="M2434" i="6"/>
  <c r="L2434" i="6"/>
  <c r="K2434" i="6"/>
  <c r="J2434" i="6"/>
  <c r="I2434" i="6"/>
  <c r="H2434" i="6"/>
  <c r="G2434" i="6"/>
  <c r="F2434" i="6"/>
  <c r="D2434" i="6"/>
  <c r="U2434" i="6" s="1"/>
  <c r="C2434" i="6"/>
  <c r="B2434" i="6"/>
  <c r="Q2433" i="6"/>
  <c r="N2433" i="6"/>
  <c r="M2433" i="6"/>
  <c r="L2433" i="6"/>
  <c r="K2433" i="6"/>
  <c r="J2433" i="6"/>
  <c r="I2433" i="6"/>
  <c r="P2433" i="6" s="1"/>
  <c r="H2433" i="6"/>
  <c r="G2433" i="6"/>
  <c r="F2433" i="6"/>
  <c r="D2433" i="6"/>
  <c r="U2433" i="6" s="1"/>
  <c r="C2433" i="6"/>
  <c r="B2433" i="6"/>
  <c r="Q2432" i="6"/>
  <c r="P2432" i="6"/>
  <c r="N2432" i="6"/>
  <c r="M2432" i="6"/>
  <c r="L2432" i="6"/>
  <c r="K2432" i="6"/>
  <c r="J2432" i="6"/>
  <c r="I2432" i="6"/>
  <c r="H2432" i="6"/>
  <c r="G2432" i="6"/>
  <c r="F2432" i="6"/>
  <c r="D2432" i="6"/>
  <c r="U2432" i="6" s="1"/>
  <c r="C2432" i="6"/>
  <c r="B2432" i="6"/>
  <c r="Q2431" i="6"/>
  <c r="N2431" i="6"/>
  <c r="M2431" i="6"/>
  <c r="L2431" i="6"/>
  <c r="K2431" i="6"/>
  <c r="J2431" i="6"/>
  <c r="I2431" i="6"/>
  <c r="P2431" i="6" s="1"/>
  <c r="H2431" i="6"/>
  <c r="G2431" i="6"/>
  <c r="F2431" i="6"/>
  <c r="D2431" i="6"/>
  <c r="U2431" i="6" s="1"/>
  <c r="C2431" i="6"/>
  <c r="B2431" i="6"/>
  <c r="Q2430" i="6"/>
  <c r="P2430" i="6"/>
  <c r="N2430" i="6"/>
  <c r="M2430" i="6"/>
  <c r="L2430" i="6"/>
  <c r="K2430" i="6"/>
  <c r="J2430" i="6"/>
  <c r="I2430" i="6"/>
  <c r="H2430" i="6"/>
  <c r="G2430" i="6"/>
  <c r="F2430" i="6"/>
  <c r="D2430" i="6"/>
  <c r="U2430" i="6" s="1"/>
  <c r="C2430" i="6"/>
  <c r="B2430" i="6"/>
  <c r="Q2429" i="6"/>
  <c r="N2429" i="6"/>
  <c r="M2429" i="6"/>
  <c r="L2429" i="6"/>
  <c r="K2429" i="6"/>
  <c r="J2429" i="6"/>
  <c r="I2429" i="6"/>
  <c r="P2429" i="6" s="1"/>
  <c r="H2429" i="6"/>
  <c r="G2429" i="6"/>
  <c r="F2429" i="6"/>
  <c r="D2429" i="6"/>
  <c r="U2429" i="6" s="1"/>
  <c r="C2429" i="6"/>
  <c r="B2429" i="6"/>
  <c r="Q2428" i="6"/>
  <c r="P2428" i="6"/>
  <c r="N2428" i="6"/>
  <c r="M2428" i="6"/>
  <c r="L2428" i="6"/>
  <c r="K2428" i="6"/>
  <c r="J2428" i="6"/>
  <c r="I2428" i="6"/>
  <c r="H2428" i="6"/>
  <c r="G2428" i="6"/>
  <c r="F2428" i="6"/>
  <c r="D2428" i="6"/>
  <c r="U2428" i="6" s="1"/>
  <c r="C2428" i="6"/>
  <c r="B2428" i="6"/>
  <c r="Q2427" i="6"/>
  <c r="N2427" i="6"/>
  <c r="M2427" i="6"/>
  <c r="L2427" i="6"/>
  <c r="K2427" i="6"/>
  <c r="J2427" i="6"/>
  <c r="I2427" i="6"/>
  <c r="P2427" i="6" s="1"/>
  <c r="H2427" i="6"/>
  <c r="G2427" i="6"/>
  <c r="F2427" i="6"/>
  <c r="D2427" i="6"/>
  <c r="U2427" i="6" s="1"/>
  <c r="C2427" i="6"/>
  <c r="B2427" i="6"/>
  <c r="Q2426" i="6"/>
  <c r="P2426" i="6"/>
  <c r="N2426" i="6"/>
  <c r="M2426" i="6"/>
  <c r="L2426" i="6"/>
  <c r="K2426" i="6"/>
  <c r="J2426" i="6"/>
  <c r="I2426" i="6"/>
  <c r="H2426" i="6"/>
  <c r="G2426" i="6"/>
  <c r="F2426" i="6"/>
  <c r="D2426" i="6"/>
  <c r="U2426" i="6" s="1"/>
  <c r="C2426" i="6"/>
  <c r="B2426" i="6"/>
  <c r="Q2425" i="6"/>
  <c r="N2425" i="6"/>
  <c r="M2425" i="6"/>
  <c r="L2425" i="6"/>
  <c r="K2425" i="6"/>
  <c r="J2425" i="6"/>
  <c r="I2425" i="6"/>
  <c r="P2425" i="6" s="1"/>
  <c r="H2425" i="6"/>
  <c r="G2425" i="6"/>
  <c r="F2425" i="6"/>
  <c r="D2425" i="6"/>
  <c r="U2425" i="6" s="1"/>
  <c r="C2425" i="6"/>
  <c r="B2425" i="6"/>
  <c r="Q2424" i="6"/>
  <c r="P2424" i="6"/>
  <c r="N2424" i="6"/>
  <c r="M2424" i="6"/>
  <c r="L2424" i="6"/>
  <c r="K2424" i="6"/>
  <c r="J2424" i="6"/>
  <c r="I2424" i="6"/>
  <c r="H2424" i="6"/>
  <c r="G2424" i="6"/>
  <c r="F2424" i="6"/>
  <c r="D2424" i="6"/>
  <c r="U2424" i="6" s="1"/>
  <c r="C2424" i="6"/>
  <c r="B2424" i="6"/>
  <c r="Q2423" i="6"/>
  <c r="N2423" i="6"/>
  <c r="M2423" i="6"/>
  <c r="L2423" i="6"/>
  <c r="K2423" i="6"/>
  <c r="J2423" i="6"/>
  <c r="I2423" i="6"/>
  <c r="P2423" i="6" s="1"/>
  <c r="H2423" i="6"/>
  <c r="G2423" i="6"/>
  <c r="F2423" i="6"/>
  <c r="D2423" i="6"/>
  <c r="U2423" i="6" s="1"/>
  <c r="C2423" i="6"/>
  <c r="B2423" i="6"/>
  <c r="Q2422" i="6"/>
  <c r="P2422" i="6"/>
  <c r="N2422" i="6"/>
  <c r="M2422" i="6"/>
  <c r="L2422" i="6"/>
  <c r="K2422" i="6"/>
  <c r="J2422" i="6"/>
  <c r="I2422" i="6"/>
  <c r="H2422" i="6"/>
  <c r="G2422" i="6"/>
  <c r="F2422" i="6"/>
  <c r="D2422" i="6"/>
  <c r="U2422" i="6" s="1"/>
  <c r="C2422" i="6"/>
  <c r="B2422" i="6"/>
  <c r="Q2421" i="6"/>
  <c r="N2421" i="6"/>
  <c r="M2421" i="6"/>
  <c r="L2421" i="6"/>
  <c r="K2421" i="6"/>
  <c r="J2421" i="6"/>
  <c r="I2421" i="6"/>
  <c r="P2421" i="6" s="1"/>
  <c r="H2421" i="6"/>
  <c r="G2421" i="6"/>
  <c r="F2421" i="6"/>
  <c r="D2421" i="6"/>
  <c r="U2421" i="6" s="1"/>
  <c r="C2421" i="6"/>
  <c r="B2421" i="6"/>
  <c r="Q2420" i="6"/>
  <c r="P2420" i="6"/>
  <c r="N2420" i="6"/>
  <c r="M2420" i="6"/>
  <c r="L2420" i="6"/>
  <c r="K2420" i="6"/>
  <c r="J2420" i="6"/>
  <c r="I2420" i="6"/>
  <c r="H2420" i="6"/>
  <c r="G2420" i="6"/>
  <c r="F2420" i="6"/>
  <c r="D2420" i="6"/>
  <c r="U2420" i="6" s="1"/>
  <c r="C2420" i="6"/>
  <c r="B2420" i="6"/>
  <c r="Q2419" i="6"/>
  <c r="N2419" i="6"/>
  <c r="M2419" i="6"/>
  <c r="L2419" i="6"/>
  <c r="K2419" i="6"/>
  <c r="J2419" i="6"/>
  <c r="I2419" i="6"/>
  <c r="P2419" i="6" s="1"/>
  <c r="H2419" i="6"/>
  <c r="G2419" i="6"/>
  <c r="F2419" i="6"/>
  <c r="D2419" i="6"/>
  <c r="U2419" i="6" s="1"/>
  <c r="C2419" i="6"/>
  <c r="B2419" i="6"/>
  <c r="Q2418" i="6"/>
  <c r="P2418" i="6"/>
  <c r="N2418" i="6"/>
  <c r="M2418" i="6"/>
  <c r="L2418" i="6"/>
  <c r="K2418" i="6"/>
  <c r="J2418" i="6"/>
  <c r="I2418" i="6"/>
  <c r="H2418" i="6"/>
  <c r="G2418" i="6"/>
  <c r="F2418" i="6"/>
  <c r="D2418" i="6"/>
  <c r="U2418" i="6" s="1"/>
  <c r="C2418" i="6"/>
  <c r="B2418" i="6"/>
  <c r="Q2417" i="6"/>
  <c r="N2417" i="6"/>
  <c r="M2417" i="6"/>
  <c r="L2417" i="6"/>
  <c r="K2417" i="6"/>
  <c r="J2417" i="6"/>
  <c r="I2417" i="6"/>
  <c r="P2417" i="6" s="1"/>
  <c r="H2417" i="6"/>
  <c r="G2417" i="6"/>
  <c r="F2417" i="6"/>
  <c r="D2417" i="6"/>
  <c r="U2417" i="6" s="1"/>
  <c r="C2417" i="6"/>
  <c r="B2417" i="6"/>
  <c r="Q2416" i="6"/>
  <c r="P2416" i="6"/>
  <c r="N2416" i="6"/>
  <c r="M2416" i="6"/>
  <c r="L2416" i="6"/>
  <c r="K2416" i="6"/>
  <c r="J2416" i="6"/>
  <c r="I2416" i="6"/>
  <c r="H2416" i="6"/>
  <c r="G2416" i="6"/>
  <c r="F2416" i="6"/>
  <c r="D2416" i="6"/>
  <c r="U2416" i="6" s="1"/>
  <c r="C2416" i="6"/>
  <c r="B2416" i="6"/>
  <c r="Q2415" i="6"/>
  <c r="N2415" i="6"/>
  <c r="M2415" i="6"/>
  <c r="L2415" i="6"/>
  <c r="K2415" i="6"/>
  <c r="J2415" i="6"/>
  <c r="I2415" i="6"/>
  <c r="P2415" i="6" s="1"/>
  <c r="H2415" i="6"/>
  <c r="G2415" i="6"/>
  <c r="F2415" i="6"/>
  <c r="D2415" i="6"/>
  <c r="U2415" i="6" s="1"/>
  <c r="C2415" i="6"/>
  <c r="B2415" i="6"/>
  <c r="Q2414" i="6"/>
  <c r="P2414" i="6"/>
  <c r="N2414" i="6"/>
  <c r="M2414" i="6"/>
  <c r="L2414" i="6"/>
  <c r="K2414" i="6"/>
  <c r="J2414" i="6"/>
  <c r="I2414" i="6"/>
  <c r="H2414" i="6"/>
  <c r="G2414" i="6"/>
  <c r="F2414" i="6"/>
  <c r="D2414" i="6"/>
  <c r="U2414" i="6" s="1"/>
  <c r="C2414" i="6"/>
  <c r="B2414" i="6"/>
  <c r="Q2413" i="6"/>
  <c r="N2413" i="6"/>
  <c r="M2413" i="6"/>
  <c r="L2413" i="6"/>
  <c r="K2413" i="6"/>
  <c r="J2413" i="6"/>
  <c r="I2413" i="6"/>
  <c r="P2413" i="6" s="1"/>
  <c r="H2413" i="6"/>
  <c r="G2413" i="6"/>
  <c r="F2413" i="6"/>
  <c r="D2413" i="6"/>
  <c r="U2413" i="6" s="1"/>
  <c r="C2413" i="6"/>
  <c r="B2413" i="6"/>
  <c r="Q2412" i="6"/>
  <c r="P2412" i="6"/>
  <c r="N2412" i="6"/>
  <c r="M2412" i="6"/>
  <c r="L2412" i="6"/>
  <c r="K2412" i="6"/>
  <c r="J2412" i="6"/>
  <c r="I2412" i="6"/>
  <c r="H2412" i="6"/>
  <c r="G2412" i="6"/>
  <c r="F2412" i="6"/>
  <c r="D2412" i="6"/>
  <c r="U2412" i="6" s="1"/>
  <c r="C2412" i="6"/>
  <c r="B2412" i="6"/>
  <c r="Q2411" i="6"/>
  <c r="N2411" i="6"/>
  <c r="M2411" i="6"/>
  <c r="L2411" i="6"/>
  <c r="K2411" i="6"/>
  <c r="J2411" i="6"/>
  <c r="I2411" i="6"/>
  <c r="P2411" i="6" s="1"/>
  <c r="H2411" i="6"/>
  <c r="G2411" i="6"/>
  <c r="F2411" i="6"/>
  <c r="D2411" i="6"/>
  <c r="U2411" i="6" s="1"/>
  <c r="C2411" i="6"/>
  <c r="B2411" i="6"/>
  <c r="Q2410" i="6"/>
  <c r="P2410" i="6"/>
  <c r="N2410" i="6"/>
  <c r="M2410" i="6"/>
  <c r="L2410" i="6"/>
  <c r="K2410" i="6"/>
  <c r="J2410" i="6"/>
  <c r="I2410" i="6"/>
  <c r="H2410" i="6"/>
  <c r="G2410" i="6"/>
  <c r="F2410" i="6"/>
  <c r="D2410" i="6"/>
  <c r="U2410" i="6" s="1"/>
  <c r="C2410" i="6"/>
  <c r="B2410" i="6"/>
  <c r="Q2409" i="6"/>
  <c r="N2409" i="6"/>
  <c r="M2409" i="6"/>
  <c r="L2409" i="6"/>
  <c r="K2409" i="6"/>
  <c r="J2409" i="6"/>
  <c r="I2409" i="6"/>
  <c r="P2409" i="6" s="1"/>
  <c r="H2409" i="6"/>
  <c r="G2409" i="6"/>
  <c r="F2409" i="6"/>
  <c r="D2409" i="6"/>
  <c r="U2409" i="6" s="1"/>
  <c r="C2409" i="6"/>
  <c r="B2409" i="6"/>
  <c r="Q2408" i="6"/>
  <c r="P2408" i="6"/>
  <c r="N2408" i="6"/>
  <c r="M2408" i="6"/>
  <c r="L2408" i="6"/>
  <c r="K2408" i="6"/>
  <c r="J2408" i="6"/>
  <c r="I2408" i="6"/>
  <c r="H2408" i="6"/>
  <c r="G2408" i="6"/>
  <c r="F2408" i="6"/>
  <c r="D2408" i="6"/>
  <c r="U2408" i="6" s="1"/>
  <c r="C2408" i="6"/>
  <c r="B2408" i="6"/>
  <c r="Q2407" i="6"/>
  <c r="N2407" i="6"/>
  <c r="M2407" i="6"/>
  <c r="L2407" i="6"/>
  <c r="K2407" i="6"/>
  <c r="J2407" i="6"/>
  <c r="I2407" i="6"/>
  <c r="P2407" i="6" s="1"/>
  <c r="H2407" i="6"/>
  <c r="G2407" i="6"/>
  <c r="F2407" i="6"/>
  <c r="D2407" i="6"/>
  <c r="U2407" i="6" s="1"/>
  <c r="C2407" i="6"/>
  <c r="B2407" i="6"/>
  <c r="Q2406" i="6"/>
  <c r="P2406" i="6"/>
  <c r="N2406" i="6"/>
  <c r="M2406" i="6"/>
  <c r="L2406" i="6"/>
  <c r="K2406" i="6"/>
  <c r="J2406" i="6"/>
  <c r="I2406" i="6"/>
  <c r="H2406" i="6"/>
  <c r="G2406" i="6"/>
  <c r="F2406" i="6"/>
  <c r="D2406" i="6"/>
  <c r="U2406" i="6" s="1"/>
  <c r="C2406" i="6"/>
  <c r="B2406" i="6"/>
  <c r="Q2405" i="6"/>
  <c r="N2405" i="6"/>
  <c r="M2405" i="6"/>
  <c r="L2405" i="6"/>
  <c r="K2405" i="6"/>
  <c r="J2405" i="6"/>
  <c r="I2405" i="6"/>
  <c r="P2405" i="6" s="1"/>
  <c r="H2405" i="6"/>
  <c r="G2405" i="6"/>
  <c r="F2405" i="6"/>
  <c r="D2405" i="6"/>
  <c r="U2405" i="6" s="1"/>
  <c r="C2405" i="6"/>
  <c r="B2405" i="6"/>
  <c r="Q2404" i="6"/>
  <c r="P2404" i="6"/>
  <c r="N2404" i="6"/>
  <c r="M2404" i="6"/>
  <c r="L2404" i="6"/>
  <c r="K2404" i="6"/>
  <c r="J2404" i="6"/>
  <c r="I2404" i="6"/>
  <c r="H2404" i="6"/>
  <c r="G2404" i="6"/>
  <c r="F2404" i="6"/>
  <c r="D2404" i="6"/>
  <c r="U2404" i="6" s="1"/>
  <c r="C2404" i="6"/>
  <c r="B2404" i="6"/>
  <c r="Q2403" i="6"/>
  <c r="N2403" i="6"/>
  <c r="M2403" i="6"/>
  <c r="L2403" i="6"/>
  <c r="K2403" i="6"/>
  <c r="J2403" i="6"/>
  <c r="I2403" i="6"/>
  <c r="P2403" i="6" s="1"/>
  <c r="H2403" i="6"/>
  <c r="G2403" i="6"/>
  <c r="F2403" i="6"/>
  <c r="D2403" i="6"/>
  <c r="U2403" i="6" s="1"/>
  <c r="C2403" i="6"/>
  <c r="B2403" i="6"/>
  <c r="Q2402" i="6"/>
  <c r="P2402" i="6"/>
  <c r="N2402" i="6"/>
  <c r="M2402" i="6"/>
  <c r="L2402" i="6"/>
  <c r="K2402" i="6"/>
  <c r="J2402" i="6"/>
  <c r="I2402" i="6"/>
  <c r="H2402" i="6"/>
  <c r="G2402" i="6"/>
  <c r="F2402" i="6"/>
  <c r="D2402" i="6"/>
  <c r="U2402" i="6" s="1"/>
  <c r="C2402" i="6"/>
  <c r="B2402" i="6"/>
  <c r="Q2401" i="6"/>
  <c r="N2401" i="6"/>
  <c r="M2401" i="6"/>
  <c r="L2401" i="6"/>
  <c r="K2401" i="6"/>
  <c r="J2401" i="6"/>
  <c r="I2401" i="6"/>
  <c r="P2401" i="6" s="1"/>
  <c r="H2401" i="6"/>
  <c r="G2401" i="6"/>
  <c r="F2401" i="6"/>
  <c r="D2401" i="6"/>
  <c r="U2401" i="6" s="1"/>
  <c r="C2401" i="6"/>
  <c r="B2401" i="6"/>
  <c r="Q2400" i="6"/>
  <c r="P2400" i="6"/>
  <c r="N2400" i="6"/>
  <c r="M2400" i="6"/>
  <c r="L2400" i="6"/>
  <c r="K2400" i="6"/>
  <c r="J2400" i="6"/>
  <c r="I2400" i="6"/>
  <c r="H2400" i="6"/>
  <c r="G2400" i="6"/>
  <c r="F2400" i="6"/>
  <c r="D2400" i="6"/>
  <c r="U2400" i="6" s="1"/>
  <c r="C2400" i="6"/>
  <c r="B2400" i="6"/>
  <c r="Q2399" i="6"/>
  <c r="N2399" i="6"/>
  <c r="M2399" i="6"/>
  <c r="L2399" i="6"/>
  <c r="K2399" i="6"/>
  <c r="J2399" i="6"/>
  <c r="I2399" i="6"/>
  <c r="P2399" i="6" s="1"/>
  <c r="H2399" i="6"/>
  <c r="G2399" i="6"/>
  <c r="F2399" i="6"/>
  <c r="D2399" i="6"/>
  <c r="U2399" i="6" s="1"/>
  <c r="C2399" i="6"/>
  <c r="B2399" i="6"/>
  <c r="Q2398" i="6"/>
  <c r="P2398" i="6"/>
  <c r="N2398" i="6"/>
  <c r="M2398" i="6"/>
  <c r="L2398" i="6"/>
  <c r="K2398" i="6"/>
  <c r="J2398" i="6"/>
  <c r="I2398" i="6"/>
  <c r="H2398" i="6"/>
  <c r="G2398" i="6"/>
  <c r="F2398" i="6"/>
  <c r="D2398" i="6"/>
  <c r="U2398" i="6" s="1"/>
  <c r="C2398" i="6"/>
  <c r="B2398" i="6"/>
  <c r="Q2397" i="6"/>
  <c r="N2397" i="6"/>
  <c r="M2397" i="6"/>
  <c r="L2397" i="6"/>
  <c r="K2397" i="6"/>
  <c r="J2397" i="6"/>
  <c r="I2397" i="6"/>
  <c r="P2397" i="6" s="1"/>
  <c r="H2397" i="6"/>
  <c r="G2397" i="6"/>
  <c r="F2397" i="6"/>
  <c r="D2397" i="6"/>
  <c r="U2397" i="6" s="1"/>
  <c r="C2397" i="6"/>
  <c r="B2397" i="6"/>
  <c r="Q2396" i="6"/>
  <c r="P2396" i="6"/>
  <c r="N2396" i="6"/>
  <c r="M2396" i="6"/>
  <c r="L2396" i="6"/>
  <c r="K2396" i="6"/>
  <c r="J2396" i="6"/>
  <c r="I2396" i="6"/>
  <c r="H2396" i="6"/>
  <c r="G2396" i="6"/>
  <c r="F2396" i="6"/>
  <c r="D2396" i="6"/>
  <c r="U2396" i="6" s="1"/>
  <c r="C2396" i="6"/>
  <c r="B2396" i="6"/>
  <c r="Q2395" i="6"/>
  <c r="N2395" i="6"/>
  <c r="M2395" i="6"/>
  <c r="L2395" i="6"/>
  <c r="K2395" i="6"/>
  <c r="J2395" i="6"/>
  <c r="I2395" i="6"/>
  <c r="P2395" i="6" s="1"/>
  <c r="H2395" i="6"/>
  <c r="G2395" i="6"/>
  <c r="F2395" i="6"/>
  <c r="D2395" i="6"/>
  <c r="U2395" i="6" s="1"/>
  <c r="C2395" i="6"/>
  <c r="B2395" i="6"/>
  <c r="Q2394" i="6"/>
  <c r="N2394" i="6"/>
  <c r="M2394" i="6"/>
  <c r="L2394" i="6"/>
  <c r="K2394" i="6"/>
  <c r="J2394" i="6"/>
  <c r="I2394" i="6"/>
  <c r="P2394" i="6" s="1"/>
  <c r="H2394" i="6"/>
  <c r="G2394" i="6"/>
  <c r="F2394" i="6"/>
  <c r="D2394" i="6"/>
  <c r="U2394" i="6" s="1"/>
  <c r="C2394" i="6"/>
  <c r="B2394" i="6"/>
  <c r="Q2393" i="6"/>
  <c r="P2393" i="6"/>
  <c r="N2393" i="6"/>
  <c r="M2393" i="6"/>
  <c r="L2393" i="6"/>
  <c r="K2393" i="6"/>
  <c r="J2393" i="6"/>
  <c r="I2393" i="6"/>
  <c r="H2393" i="6"/>
  <c r="G2393" i="6"/>
  <c r="F2393" i="6"/>
  <c r="D2393" i="6"/>
  <c r="U2393" i="6" s="1"/>
  <c r="C2393" i="6"/>
  <c r="B2393" i="6"/>
  <c r="Q2392" i="6"/>
  <c r="N2392" i="6"/>
  <c r="M2392" i="6"/>
  <c r="L2392" i="6"/>
  <c r="K2392" i="6"/>
  <c r="J2392" i="6"/>
  <c r="I2392" i="6"/>
  <c r="P2392" i="6" s="1"/>
  <c r="H2392" i="6"/>
  <c r="G2392" i="6"/>
  <c r="F2392" i="6"/>
  <c r="D2392" i="6"/>
  <c r="U2392" i="6" s="1"/>
  <c r="C2392" i="6"/>
  <c r="B2392" i="6"/>
  <c r="Q2391" i="6"/>
  <c r="P2391" i="6"/>
  <c r="N2391" i="6"/>
  <c r="M2391" i="6"/>
  <c r="L2391" i="6"/>
  <c r="K2391" i="6"/>
  <c r="J2391" i="6"/>
  <c r="I2391" i="6"/>
  <c r="H2391" i="6"/>
  <c r="G2391" i="6"/>
  <c r="F2391" i="6"/>
  <c r="D2391" i="6"/>
  <c r="U2391" i="6" s="1"/>
  <c r="C2391" i="6"/>
  <c r="B2391" i="6"/>
  <c r="Q2390" i="6"/>
  <c r="N2390" i="6"/>
  <c r="M2390" i="6"/>
  <c r="L2390" i="6"/>
  <c r="K2390" i="6"/>
  <c r="J2390" i="6"/>
  <c r="I2390" i="6"/>
  <c r="P2390" i="6" s="1"/>
  <c r="H2390" i="6"/>
  <c r="G2390" i="6"/>
  <c r="F2390" i="6"/>
  <c r="D2390" i="6"/>
  <c r="U2390" i="6" s="1"/>
  <c r="C2390" i="6"/>
  <c r="B2390" i="6"/>
  <c r="Q2389" i="6"/>
  <c r="P2389" i="6"/>
  <c r="N2389" i="6"/>
  <c r="M2389" i="6"/>
  <c r="L2389" i="6"/>
  <c r="K2389" i="6"/>
  <c r="J2389" i="6"/>
  <c r="I2389" i="6"/>
  <c r="H2389" i="6"/>
  <c r="G2389" i="6"/>
  <c r="F2389" i="6"/>
  <c r="D2389" i="6"/>
  <c r="U2389" i="6" s="1"/>
  <c r="C2389" i="6"/>
  <c r="B2389" i="6"/>
  <c r="Q2388" i="6"/>
  <c r="N2388" i="6"/>
  <c r="M2388" i="6"/>
  <c r="L2388" i="6"/>
  <c r="K2388" i="6"/>
  <c r="J2388" i="6"/>
  <c r="I2388" i="6"/>
  <c r="P2388" i="6" s="1"/>
  <c r="H2388" i="6"/>
  <c r="G2388" i="6"/>
  <c r="F2388" i="6"/>
  <c r="D2388" i="6"/>
  <c r="U2388" i="6" s="1"/>
  <c r="C2388" i="6"/>
  <c r="B2388" i="6"/>
  <c r="Q2387" i="6"/>
  <c r="P2387" i="6"/>
  <c r="N2387" i="6"/>
  <c r="M2387" i="6"/>
  <c r="L2387" i="6"/>
  <c r="K2387" i="6"/>
  <c r="J2387" i="6"/>
  <c r="I2387" i="6"/>
  <c r="H2387" i="6"/>
  <c r="G2387" i="6"/>
  <c r="F2387" i="6"/>
  <c r="D2387" i="6"/>
  <c r="U2387" i="6" s="1"/>
  <c r="C2387" i="6"/>
  <c r="B2387" i="6"/>
  <c r="Q2386" i="6"/>
  <c r="N2386" i="6"/>
  <c r="M2386" i="6"/>
  <c r="L2386" i="6"/>
  <c r="K2386" i="6"/>
  <c r="J2386" i="6"/>
  <c r="I2386" i="6"/>
  <c r="P2386" i="6" s="1"/>
  <c r="H2386" i="6"/>
  <c r="G2386" i="6"/>
  <c r="F2386" i="6"/>
  <c r="D2386" i="6"/>
  <c r="U2386" i="6" s="1"/>
  <c r="C2386" i="6"/>
  <c r="B2386" i="6"/>
  <c r="Q2385" i="6"/>
  <c r="P2385" i="6"/>
  <c r="N2385" i="6"/>
  <c r="M2385" i="6"/>
  <c r="L2385" i="6"/>
  <c r="K2385" i="6"/>
  <c r="J2385" i="6"/>
  <c r="I2385" i="6"/>
  <c r="H2385" i="6"/>
  <c r="G2385" i="6"/>
  <c r="F2385" i="6"/>
  <c r="D2385" i="6"/>
  <c r="U2385" i="6" s="1"/>
  <c r="C2385" i="6"/>
  <c r="B2385" i="6"/>
  <c r="Q2384" i="6"/>
  <c r="N2384" i="6"/>
  <c r="M2384" i="6"/>
  <c r="L2384" i="6"/>
  <c r="K2384" i="6"/>
  <c r="J2384" i="6"/>
  <c r="I2384" i="6"/>
  <c r="P2384" i="6" s="1"/>
  <c r="H2384" i="6"/>
  <c r="G2384" i="6"/>
  <c r="F2384" i="6"/>
  <c r="D2384" i="6"/>
  <c r="U2384" i="6" s="1"/>
  <c r="C2384" i="6"/>
  <c r="B2384" i="6"/>
  <c r="Q2383" i="6"/>
  <c r="P2383" i="6"/>
  <c r="N2383" i="6"/>
  <c r="M2383" i="6"/>
  <c r="L2383" i="6"/>
  <c r="K2383" i="6"/>
  <c r="J2383" i="6"/>
  <c r="I2383" i="6"/>
  <c r="H2383" i="6"/>
  <c r="G2383" i="6"/>
  <c r="F2383" i="6"/>
  <c r="D2383" i="6"/>
  <c r="U2383" i="6" s="1"/>
  <c r="C2383" i="6"/>
  <c r="B2383" i="6"/>
  <c r="Q2382" i="6"/>
  <c r="N2382" i="6"/>
  <c r="M2382" i="6"/>
  <c r="L2382" i="6"/>
  <c r="K2382" i="6"/>
  <c r="J2382" i="6"/>
  <c r="I2382" i="6"/>
  <c r="P2382" i="6" s="1"/>
  <c r="H2382" i="6"/>
  <c r="G2382" i="6"/>
  <c r="F2382" i="6"/>
  <c r="D2382" i="6"/>
  <c r="U2382" i="6" s="1"/>
  <c r="C2382" i="6"/>
  <c r="B2382" i="6"/>
  <c r="Q2381" i="6"/>
  <c r="P2381" i="6"/>
  <c r="N2381" i="6"/>
  <c r="M2381" i="6"/>
  <c r="L2381" i="6"/>
  <c r="K2381" i="6"/>
  <c r="J2381" i="6"/>
  <c r="I2381" i="6"/>
  <c r="H2381" i="6"/>
  <c r="G2381" i="6"/>
  <c r="F2381" i="6"/>
  <c r="D2381" i="6"/>
  <c r="U2381" i="6" s="1"/>
  <c r="C2381" i="6"/>
  <c r="B2381" i="6"/>
  <c r="Q2380" i="6"/>
  <c r="N2380" i="6"/>
  <c r="M2380" i="6"/>
  <c r="L2380" i="6"/>
  <c r="K2380" i="6"/>
  <c r="J2380" i="6"/>
  <c r="I2380" i="6"/>
  <c r="P2380" i="6" s="1"/>
  <c r="H2380" i="6"/>
  <c r="G2380" i="6"/>
  <c r="F2380" i="6"/>
  <c r="D2380" i="6"/>
  <c r="U2380" i="6" s="1"/>
  <c r="C2380" i="6"/>
  <c r="B2380" i="6"/>
  <c r="Q2379" i="6"/>
  <c r="P2379" i="6"/>
  <c r="N2379" i="6"/>
  <c r="M2379" i="6"/>
  <c r="L2379" i="6"/>
  <c r="K2379" i="6"/>
  <c r="J2379" i="6"/>
  <c r="I2379" i="6"/>
  <c r="H2379" i="6"/>
  <c r="G2379" i="6"/>
  <c r="F2379" i="6"/>
  <c r="D2379" i="6"/>
  <c r="U2379" i="6" s="1"/>
  <c r="C2379" i="6"/>
  <c r="B2379" i="6"/>
  <c r="Q2378" i="6"/>
  <c r="N2378" i="6"/>
  <c r="M2378" i="6"/>
  <c r="L2378" i="6"/>
  <c r="K2378" i="6"/>
  <c r="J2378" i="6"/>
  <c r="I2378" i="6"/>
  <c r="P2378" i="6" s="1"/>
  <c r="H2378" i="6"/>
  <c r="G2378" i="6"/>
  <c r="F2378" i="6"/>
  <c r="D2378" i="6"/>
  <c r="U2378" i="6" s="1"/>
  <c r="C2378" i="6"/>
  <c r="B2378" i="6"/>
  <c r="Q2377" i="6"/>
  <c r="P2377" i="6"/>
  <c r="N2377" i="6"/>
  <c r="M2377" i="6"/>
  <c r="L2377" i="6"/>
  <c r="K2377" i="6"/>
  <c r="J2377" i="6"/>
  <c r="I2377" i="6"/>
  <c r="H2377" i="6"/>
  <c r="G2377" i="6"/>
  <c r="F2377" i="6"/>
  <c r="D2377" i="6"/>
  <c r="U2377" i="6" s="1"/>
  <c r="C2377" i="6"/>
  <c r="B2377" i="6"/>
  <c r="Q2376" i="6"/>
  <c r="N2376" i="6"/>
  <c r="M2376" i="6"/>
  <c r="L2376" i="6"/>
  <c r="K2376" i="6"/>
  <c r="J2376" i="6"/>
  <c r="I2376" i="6"/>
  <c r="P2376" i="6" s="1"/>
  <c r="H2376" i="6"/>
  <c r="G2376" i="6"/>
  <c r="F2376" i="6"/>
  <c r="D2376" i="6"/>
  <c r="U2376" i="6" s="1"/>
  <c r="C2376" i="6"/>
  <c r="B2376" i="6"/>
  <c r="Q2375" i="6"/>
  <c r="P2375" i="6"/>
  <c r="N2375" i="6"/>
  <c r="M2375" i="6"/>
  <c r="L2375" i="6"/>
  <c r="K2375" i="6"/>
  <c r="J2375" i="6"/>
  <c r="I2375" i="6"/>
  <c r="H2375" i="6"/>
  <c r="G2375" i="6"/>
  <c r="F2375" i="6"/>
  <c r="D2375" i="6"/>
  <c r="U2375" i="6" s="1"/>
  <c r="C2375" i="6"/>
  <c r="B2375" i="6"/>
  <c r="Q2374" i="6"/>
  <c r="N2374" i="6"/>
  <c r="M2374" i="6"/>
  <c r="L2374" i="6"/>
  <c r="K2374" i="6"/>
  <c r="J2374" i="6"/>
  <c r="I2374" i="6"/>
  <c r="P2374" i="6" s="1"/>
  <c r="H2374" i="6"/>
  <c r="G2374" i="6"/>
  <c r="F2374" i="6"/>
  <c r="D2374" i="6"/>
  <c r="U2374" i="6" s="1"/>
  <c r="C2374" i="6"/>
  <c r="B2374" i="6"/>
  <c r="Q2373" i="6"/>
  <c r="P2373" i="6"/>
  <c r="N2373" i="6"/>
  <c r="M2373" i="6"/>
  <c r="L2373" i="6"/>
  <c r="K2373" i="6"/>
  <c r="J2373" i="6"/>
  <c r="I2373" i="6"/>
  <c r="H2373" i="6"/>
  <c r="G2373" i="6"/>
  <c r="F2373" i="6"/>
  <c r="D2373" i="6"/>
  <c r="U2373" i="6" s="1"/>
  <c r="C2373" i="6"/>
  <c r="B2373" i="6"/>
  <c r="Q2372" i="6"/>
  <c r="N2372" i="6"/>
  <c r="M2372" i="6"/>
  <c r="L2372" i="6"/>
  <c r="K2372" i="6"/>
  <c r="J2372" i="6"/>
  <c r="I2372" i="6"/>
  <c r="P2372" i="6" s="1"/>
  <c r="H2372" i="6"/>
  <c r="G2372" i="6"/>
  <c r="F2372" i="6"/>
  <c r="D2372" i="6"/>
  <c r="U2372" i="6" s="1"/>
  <c r="C2372" i="6"/>
  <c r="B2372" i="6"/>
  <c r="Q2371" i="6"/>
  <c r="P2371" i="6"/>
  <c r="N2371" i="6"/>
  <c r="M2371" i="6"/>
  <c r="L2371" i="6"/>
  <c r="K2371" i="6"/>
  <c r="J2371" i="6"/>
  <c r="I2371" i="6"/>
  <c r="H2371" i="6"/>
  <c r="G2371" i="6"/>
  <c r="F2371" i="6"/>
  <c r="D2371" i="6"/>
  <c r="U2371" i="6" s="1"/>
  <c r="C2371" i="6"/>
  <c r="B2371" i="6"/>
  <c r="Q2370" i="6"/>
  <c r="N2370" i="6"/>
  <c r="M2370" i="6"/>
  <c r="L2370" i="6"/>
  <c r="K2370" i="6"/>
  <c r="J2370" i="6"/>
  <c r="I2370" i="6"/>
  <c r="P2370" i="6" s="1"/>
  <c r="H2370" i="6"/>
  <c r="G2370" i="6"/>
  <c r="F2370" i="6"/>
  <c r="D2370" i="6"/>
  <c r="U2370" i="6" s="1"/>
  <c r="C2370" i="6"/>
  <c r="B2370" i="6"/>
  <c r="Q2369" i="6"/>
  <c r="P2369" i="6"/>
  <c r="N2369" i="6"/>
  <c r="M2369" i="6"/>
  <c r="L2369" i="6"/>
  <c r="K2369" i="6"/>
  <c r="J2369" i="6"/>
  <c r="I2369" i="6"/>
  <c r="H2369" i="6"/>
  <c r="G2369" i="6"/>
  <c r="F2369" i="6"/>
  <c r="D2369" i="6"/>
  <c r="U2369" i="6" s="1"/>
  <c r="C2369" i="6"/>
  <c r="B2369" i="6"/>
  <c r="Q2368" i="6"/>
  <c r="N2368" i="6"/>
  <c r="M2368" i="6"/>
  <c r="L2368" i="6"/>
  <c r="K2368" i="6"/>
  <c r="J2368" i="6"/>
  <c r="I2368" i="6"/>
  <c r="P2368" i="6" s="1"/>
  <c r="H2368" i="6"/>
  <c r="G2368" i="6"/>
  <c r="F2368" i="6"/>
  <c r="D2368" i="6"/>
  <c r="U2368" i="6" s="1"/>
  <c r="C2368" i="6"/>
  <c r="B2368" i="6"/>
  <c r="Q2367" i="6"/>
  <c r="P2367" i="6"/>
  <c r="N2367" i="6"/>
  <c r="M2367" i="6"/>
  <c r="L2367" i="6"/>
  <c r="K2367" i="6"/>
  <c r="J2367" i="6"/>
  <c r="I2367" i="6"/>
  <c r="H2367" i="6"/>
  <c r="G2367" i="6"/>
  <c r="F2367" i="6"/>
  <c r="D2367" i="6"/>
  <c r="U2367" i="6" s="1"/>
  <c r="C2367" i="6"/>
  <c r="B2367" i="6"/>
  <c r="Q2366" i="6"/>
  <c r="N2366" i="6"/>
  <c r="M2366" i="6"/>
  <c r="L2366" i="6"/>
  <c r="K2366" i="6"/>
  <c r="J2366" i="6"/>
  <c r="I2366" i="6"/>
  <c r="P2366" i="6" s="1"/>
  <c r="H2366" i="6"/>
  <c r="G2366" i="6"/>
  <c r="F2366" i="6"/>
  <c r="D2366" i="6"/>
  <c r="U2366" i="6" s="1"/>
  <c r="C2366" i="6"/>
  <c r="B2366" i="6"/>
  <c r="Q2365" i="6"/>
  <c r="P2365" i="6"/>
  <c r="N2365" i="6"/>
  <c r="M2365" i="6"/>
  <c r="L2365" i="6"/>
  <c r="K2365" i="6"/>
  <c r="J2365" i="6"/>
  <c r="I2365" i="6"/>
  <c r="H2365" i="6"/>
  <c r="G2365" i="6"/>
  <c r="F2365" i="6"/>
  <c r="D2365" i="6"/>
  <c r="U2365" i="6" s="1"/>
  <c r="C2365" i="6"/>
  <c r="B2365" i="6"/>
  <c r="Q2364" i="6"/>
  <c r="N2364" i="6"/>
  <c r="M2364" i="6"/>
  <c r="L2364" i="6"/>
  <c r="K2364" i="6"/>
  <c r="J2364" i="6"/>
  <c r="I2364" i="6"/>
  <c r="P2364" i="6" s="1"/>
  <c r="H2364" i="6"/>
  <c r="G2364" i="6"/>
  <c r="F2364" i="6"/>
  <c r="D2364" i="6"/>
  <c r="U2364" i="6" s="1"/>
  <c r="C2364" i="6"/>
  <c r="B2364" i="6"/>
  <c r="Q2363" i="6"/>
  <c r="P2363" i="6"/>
  <c r="N2363" i="6"/>
  <c r="M2363" i="6"/>
  <c r="L2363" i="6"/>
  <c r="K2363" i="6"/>
  <c r="J2363" i="6"/>
  <c r="I2363" i="6"/>
  <c r="H2363" i="6"/>
  <c r="G2363" i="6"/>
  <c r="F2363" i="6"/>
  <c r="D2363" i="6"/>
  <c r="U2363" i="6" s="1"/>
  <c r="C2363" i="6"/>
  <c r="B2363" i="6"/>
  <c r="Q2362" i="6"/>
  <c r="N2362" i="6"/>
  <c r="M2362" i="6"/>
  <c r="L2362" i="6"/>
  <c r="K2362" i="6"/>
  <c r="J2362" i="6"/>
  <c r="I2362" i="6"/>
  <c r="P2362" i="6" s="1"/>
  <c r="H2362" i="6"/>
  <c r="G2362" i="6"/>
  <c r="F2362" i="6"/>
  <c r="D2362" i="6"/>
  <c r="U2362" i="6" s="1"/>
  <c r="C2362" i="6"/>
  <c r="B2362" i="6"/>
  <c r="Q2361" i="6"/>
  <c r="P2361" i="6"/>
  <c r="N2361" i="6"/>
  <c r="M2361" i="6"/>
  <c r="L2361" i="6"/>
  <c r="K2361" i="6"/>
  <c r="J2361" i="6"/>
  <c r="I2361" i="6"/>
  <c r="H2361" i="6"/>
  <c r="G2361" i="6"/>
  <c r="F2361" i="6"/>
  <c r="D2361" i="6"/>
  <c r="U2361" i="6" s="1"/>
  <c r="C2361" i="6"/>
  <c r="B2361" i="6"/>
  <c r="Q2360" i="6"/>
  <c r="N2360" i="6"/>
  <c r="M2360" i="6"/>
  <c r="L2360" i="6"/>
  <c r="K2360" i="6"/>
  <c r="J2360" i="6"/>
  <c r="I2360" i="6"/>
  <c r="P2360" i="6" s="1"/>
  <c r="H2360" i="6"/>
  <c r="G2360" i="6"/>
  <c r="F2360" i="6"/>
  <c r="D2360" i="6"/>
  <c r="U2360" i="6" s="1"/>
  <c r="C2360" i="6"/>
  <c r="B2360" i="6"/>
  <c r="Q2359" i="6"/>
  <c r="P2359" i="6"/>
  <c r="N2359" i="6"/>
  <c r="M2359" i="6"/>
  <c r="L2359" i="6"/>
  <c r="K2359" i="6"/>
  <c r="J2359" i="6"/>
  <c r="I2359" i="6"/>
  <c r="H2359" i="6"/>
  <c r="G2359" i="6"/>
  <c r="F2359" i="6"/>
  <c r="D2359" i="6"/>
  <c r="U2359" i="6" s="1"/>
  <c r="C2359" i="6"/>
  <c r="B2359" i="6"/>
  <c r="Q2358" i="6"/>
  <c r="N2358" i="6"/>
  <c r="M2358" i="6"/>
  <c r="L2358" i="6"/>
  <c r="K2358" i="6"/>
  <c r="J2358" i="6"/>
  <c r="I2358" i="6"/>
  <c r="P2358" i="6" s="1"/>
  <c r="H2358" i="6"/>
  <c r="G2358" i="6"/>
  <c r="F2358" i="6"/>
  <c r="D2358" i="6"/>
  <c r="U2358" i="6" s="1"/>
  <c r="C2358" i="6"/>
  <c r="B2358" i="6"/>
  <c r="Q2357" i="6"/>
  <c r="P2357" i="6"/>
  <c r="N2357" i="6"/>
  <c r="M2357" i="6"/>
  <c r="L2357" i="6"/>
  <c r="K2357" i="6"/>
  <c r="J2357" i="6"/>
  <c r="I2357" i="6"/>
  <c r="H2357" i="6"/>
  <c r="G2357" i="6"/>
  <c r="F2357" i="6"/>
  <c r="D2357" i="6"/>
  <c r="U2357" i="6" s="1"/>
  <c r="C2357" i="6"/>
  <c r="B2357" i="6"/>
  <c r="Q2356" i="6"/>
  <c r="N2356" i="6"/>
  <c r="M2356" i="6"/>
  <c r="L2356" i="6"/>
  <c r="K2356" i="6"/>
  <c r="J2356" i="6"/>
  <c r="I2356" i="6"/>
  <c r="P2356" i="6" s="1"/>
  <c r="H2356" i="6"/>
  <c r="G2356" i="6"/>
  <c r="F2356" i="6"/>
  <c r="D2356" i="6"/>
  <c r="U2356" i="6" s="1"/>
  <c r="C2356" i="6"/>
  <c r="B2356" i="6"/>
  <c r="Q2355" i="6"/>
  <c r="P2355" i="6"/>
  <c r="N2355" i="6"/>
  <c r="M2355" i="6"/>
  <c r="L2355" i="6"/>
  <c r="K2355" i="6"/>
  <c r="J2355" i="6"/>
  <c r="I2355" i="6"/>
  <c r="H2355" i="6"/>
  <c r="G2355" i="6"/>
  <c r="F2355" i="6"/>
  <c r="D2355" i="6"/>
  <c r="U2355" i="6" s="1"/>
  <c r="C2355" i="6"/>
  <c r="B2355" i="6"/>
  <c r="Q2354" i="6"/>
  <c r="N2354" i="6"/>
  <c r="M2354" i="6"/>
  <c r="L2354" i="6"/>
  <c r="K2354" i="6"/>
  <c r="J2354" i="6"/>
  <c r="I2354" i="6"/>
  <c r="P2354" i="6" s="1"/>
  <c r="H2354" i="6"/>
  <c r="G2354" i="6"/>
  <c r="F2354" i="6"/>
  <c r="D2354" i="6"/>
  <c r="U2354" i="6" s="1"/>
  <c r="C2354" i="6"/>
  <c r="B2354" i="6"/>
  <c r="Q2353" i="6"/>
  <c r="P2353" i="6"/>
  <c r="N2353" i="6"/>
  <c r="M2353" i="6"/>
  <c r="L2353" i="6"/>
  <c r="K2353" i="6"/>
  <c r="J2353" i="6"/>
  <c r="I2353" i="6"/>
  <c r="H2353" i="6"/>
  <c r="G2353" i="6"/>
  <c r="F2353" i="6"/>
  <c r="D2353" i="6"/>
  <c r="U2353" i="6" s="1"/>
  <c r="C2353" i="6"/>
  <c r="B2353" i="6"/>
  <c r="Q2352" i="6"/>
  <c r="N2352" i="6"/>
  <c r="M2352" i="6"/>
  <c r="L2352" i="6"/>
  <c r="K2352" i="6"/>
  <c r="J2352" i="6"/>
  <c r="I2352" i="6"/>
  <c r="P2352" i="6" s="1"/>
  <c r="H2352" i="6"/>
  <c r="G2352" i="6"/>
  <c r="F2352" i="6"/>
  <c r="D2352" i="6"/>
  <c r="U2352" i="6" s="1"/>
  <c r="C2352" i="6"/>
  <c r="B2352" i="6"/>
  <c r="Q2351" i="6"/>
  <c r="P2351" i="6"/>
  <c r="N2351" i="6"/>
  <c r="M2351" i="6"/>
  <c r="L2351" i="6"/>
  <c r="K2351" i="6"/>
  <c r="J2351" i="6"/>
  <c r="I2351" i="6"/>
  <c r="H2351" i="6"/>
  <c r="G2351" i="6"/>
  <c r="F2351" i="6"/>
  <c r="D2351" i="6"/>
  <c r="U2351" i="6" s="1"/>
  <c r="C2351" i="6"/>
  <c r="B2351" i="6"/>
  <c r="Q2350" i="6"/>
  <c r="N2350" i="6"/>
  <c r="M2350" i="6"/>
  <c r="L2350" i="6"/>
  <c r="K2350" i="6"/>
  <c r="J2350" i="6"/>
  <c r="I2350" i="6"/>
  <c r="P2350" i="6" s="1"/>
  <c r="H2350" i="6"/>
  <c r="G2350" i="6"/>
  <c r="F2350" i="6"/>
  <c r="D2350" i="6"/>
  <c r="U2350" i="6" s="1"/>
  <c r="C2350" i="6"/>
  <c r="B2350" i="6"/>
  <c r="Q2349" i="6"/>
  <c r="P2349" i="6"/>
  <c r="N2349" i="6"/>
  <c r="M2349" i="6"/>
  <c r="L2349" i="6"/>
  <c r="K2349" i="6"/>
  <c r="J2349" i="6"/>
  <c r="I2349" i="6"/>
  <c r="H2349" i="6"/>
  <c r="G2349" i="6"/>
  <c r="F2349" i="6"/>
  <c r="D2349" i="6"/>
  <c r="U2349" i="6" s="1"/>
  <c r="C2349" i="6"/>
  <c r="B2349" i="6"/>
  <c r="Q2348" i="6"/>
  <c r="N2348" i="6"/>
  <c r="M2348" i="6"/>
  <c r="L2348" i="6"/>
  <c r="K2348" i="6"/>
  <c r="J2348" i="6"/>
  <c r="I2348" i="6"/>
  <c r="P2348" i="6" s="1"/>
  <c r="H2348" i="6"/>
  <c r="G2348" i="6"/>
  <c r="F2348" i="6"/>
  <c r="D2348" i="6"/>
  <c r="U2348" i="6" s="1"/>
  <c r="C2348" i="6"/>
  <c r="B2348" i="6"/>
  <c r="Q2347" i="6"/>
  <c r="P2347" i="6"/>
  <c r="N2347" i="6"/>
  <c r="M2347" i="6"/>
  <c r="L2347" i="6"/>
  <c r="K2347" i="6"/>
  <c r="J2347" i="6"/>
  <c r="I2347" i="6"/>
  <c r="H2347" i="6"/>
  <c r="G2347" i="6"/>
  <c r="F2347" i="6"/>
  <c r="D2347" i="6"/>
  <c r="U2347" i="6" s="1"/>
  <c r="C2347" i="6"/>
  <c r="B2347" i="6"/>
  <c r="Q2346" i="6"/>
  <c r="N2346" i="6"/>
  <c r="M2346" i="6"/>
  <c r="L2346" i="6"/>
  <c r="K2346" i="6"/>
  <c r="J2346" i="6"/>
  <c r="I2346" i="6"/>
  <c r="P2346" i="6" s="1"/>
  <c r="H2346" i="6"/>
  <c r="G2346" i="6"/>
  <c r="F2346" i="6"/>
  <c r="D2346" i="6"/>
  <c r="U2346" i="6" s="1"/>
  <c r="C2346" i="6"/>
  <c r="B2346" i="6"/>
  <c r="Q2345" i="6"/>
  <c r="P2345" i="6"/>
  <c r="N2345" i="6"/>
  <c r="M2345" i="6"/>
  <c r="L2345" i="6"/>
  <c r="K2345" i="6"/>
  <c r="J2345" i="6"/>
  <c r="I2345" i="6"/>
  <c r="H2345" i="6"/>
  <c r="G2345" i="6"/>
  <c r="F2345" i="6"/>
  <c r="D2345" i="6"/>
  <c r="U2345" i="6" s="1"/>
  <c r="C2345" i="6"/>
  <c r="B2345" i="6"/>
  <c r="Q2344" i="6"/>
  <c r="N2344" i="6"/>
  <c r="M2344" i="6"/>
  <c r="L2344" i="6"/>
  <c r="K2344" i="6"/>
  <c r="J2344" i="6"/>
  <c r="I2344" i="6"/>
  <c r="P2344" i="6" s="1"/>
  <c r="H2344" i="6"/>
  <c r="G2344" i="6"/>
  <c r="F2344" i="6"/>
  <c r="D2344" i="6"/>
  <c r="U2344" i="6" s="1"/>
  <c r="C2344" i="6"/>
  <c r="B2344" i="6"/>
  <c r="Q2343" i="6"/>
  <c r="P2343" i="6"/>
  <c r="N2343" i="6"/>
  <c r="M2343" i="6"/>
  <c r="L2343" i="6"/>
  <c r="K2343" i="6"/>
  <c r="J2343" i="6"/>
  <c r="I2343" i="6"/>
  <c r="H2343" i="6"/>
  <c r="G2343" i="6"/>
  <c r="F2343" i="6"/>
  <c r="D2343" i="6"/>
  <c r="U2343" i="6" s="1"/>
  <c r="C2343" i="6"/>
  <c r="B2343" i="6"/>
  <c r="Q2342" i="6"/>
  <c r="N2342" i="6"/>
  <c r="M2342" i="6"/>
  <c r="L2342" i="6"/>
  <c r="K2342" i="6"/>
  <c r="J2342" i="6"/>
  <c r="I2342" i="6"/>
  <c r="P2342" i="6" s="1"/>
  <c r="H2342" i="6"/>
  <c r="G2342" i="6"/>
  <c r="F2342" i="6"/>
  <c r="D2342" i="6"/>
  <c r="U2342" i="6" s="1"/>
  <c r="C2342" i="6"/>
  <c r="B2342" i="6"/>
  <c r="Q2341" i="6"/>
  <c r="P2341" i="6"/>
  <c r="N2341" i="6"/>
  <c r="M2341" i="6"/>
  <c r="L2341" i="6"/>
  <c r="K2341" i="6"/>
  <c r="J2341" i="6"/>
  <c r="I2341" i="6"/>
  <c r="H2341" i="6"/>
  <c r="G2341" i="6"/>
  <c r="F2341" i="6"/>
  <c r="D2341" i="6"/>
  <c r="U2341" i="6" s="1"/>
  <c r="C2341" i="6"/>
  <c r="B2341" i="6"/>
  <c r="Q2340" i="6"/>
  <c r="N2340" i="6"/>
  <c r="M2340" i="6"/>
  <c r="L2340" i="6"/>
  <c r="K2340" i="6"/>
  <c r="J2340" i="6"/>
  <c r="I2340" i="6"/>
  <c r="P2340" i="6" s="1"/>
  <c r="H2340" i="6"/>
  <c r="G2340" i="6"/>
  <c r="F2340" i="6"/>
  <c r="D2340" i="6"/>
  <c r="U2340" i="6" s="1"/>
  <c r="C2340" i="6"/>
  <c r="B2340" i="6"/>
  <c r="Q2339" i="6"/>
  <c r="P2339" i="6"/>
  <c r="N2339" i="6"/>
  <c r="M2339" i="6"/>
  <c r="L2339" i="6"/>
  <c r="K2339" i="6"/>
  <c r="J2339" i="6"/>
  <c r="I2339" i="6"/>
  <c r="H2339" i="6"/>
  <c r="G2339" i="6"/>
  <c r="F2339" i="6"/>
  <c r="D2339" i="6"/>
  <c r="U2339" i="6" s="1"/>
  <c r="C2339" i="6"/>
  <c r="B2339" i="6"/>
  <c r="Q2338" i="6"/>
  <c r="N2338" i="6"/>
  <c r="M2338" i="6"/>
  <c r="L2338" i="6"/>
  <c r="K2338" i="6"/>
  <c r="J2338" i="6"/>
  <c r="I2338" i="6"/>
  <c r="P2338" i="6" s="1"/>
  <c r="H2338" i="6"/>
  <c r="G2338" i="6"/>
  <c r="F2338" i="6"/>
  <c r="D2338" i="6"/>
  <c r="U2338" i="6" s="1"/>
  <c r="C2338" i="6"/>
  <c r="B2338" i="6"/>
  <c r="Q2337" i="6"/>
  <c r="P2337" i="6"/>
  <c r="N2337" i="6"/>
  <c r="M2337" i="6"/>
  <c r="L2337" i="6"/>
  <c r="K2337" i="6"/>
  <c r="J2337" i="6"/>
  <c r="I2337" i="6"/>
  <c r="H2337" i="6"/>
  <c r="G2337" i="6"/>
  <c r="F2337" i="6"/>
  <c r="D2337" i="6"/>
  <c r="U2337" i="6" s="1"/>
  <c r="C2337" i="6"/>
  <c r="B2337" i="6"/>
  <c r="Q2336" i="6"/>
  <c r="N2336" i="6"/>
  <c r="M2336" i="6"/>
  <c r="L2336" i="6"/>
  <c r="K2336" i="6"/>
  <c r="J2336" i="6"/>
  <c r="I2336" i="6"/>
  <c r="P2336" i="6" s="1"/>
  <c r="H2336" i="6"/>
  <c r="G2336" i="6"/>
  <c r="F2336" i="6"/>
  <c r="D2336" i="6"/>
  <c r="U2336" i="6" s="1"/>
  <c r="C2336" i="6"/>
  <c r="B2336" i="6"/>
  <c r="Q2335" i="6"/>
  <c r="P2335" i="6"/>
  <c r="N2335" i="6"/>
  <c r="M2335" i="6"/>
  <c r="L2335" i="6"/>
  <c r="K2335" i="6"/>
  <c r="J2335" i="6"/>
  <c r="I2335" i="6"/>
  <c r="H2335" i="6"/>
  <c r="G2335" i="6"/>
  <c r="F2335" i="6"/>
  <c r="D2335" i="6"/>
  <c r="U2335" i="6" s="1"/>
  <c r="C2335" i="6"/>
  <c r="B2335" i="6"/>
  <c r="Q2334" i="6"/>
  <c r="N2334" i="6"/>
  <c r="M2334" i="6"/>
  <c r="L2334" i="6"/>
  <c r="K2334" i="6"/>
  <c r="J2334" i="6"/>
  <c r="I2334" i="6"/>
  <c r="P2334" i="6" s="1"/>
  <c r="H2334" i="6"/>
  <c r="G2334" i="6"/>
  <c r="F2334" i="6"/>
  <c r="D2334" i="6"/>
  <c r="U2334" i="6" s="1"/>
  <c r="C2334" i="6"/>
  <c r="B2334" i="6"/>
  <c r="Q2333" i="6"/>
  <c r="P2333" i="6"/>
  <c r="N2333" i="6"/>
  <c r="M2333" i="6"/>
  <c r="L2333" i="6"/>
  <c r="K2333" i="6"/>
  <c r="J2333" i="6"/>
  <c r="I2333" i="6"/>
  <c r="H2333" i="6"/>
  <c r="G2333" i="6"/>
  <c r="F2333" i="6"/>
  <c r="D2333" i="6"/>
  <c r="U2333" i="6" s="1"/>
  <c r="C2333" i="6"/>
  <c r="B2333" i="6"/>
  <c r="Q2332" i="6"/>
  <c r="N2332" i="6"/>
  <c r="M2332" i="6"/>
  <c r="L2332" i="6"/>
  <c r="K2332" i="6"/>
  <c r="J2332" i="6"/>
  <c r="I2332" i="6"/>
  <c r="P2332" i="6" s="1"/>
  <c r="H2332" i="6"/>
  <c r="G2332" i="6"/>
  <c r="F2332" i="6"/>
  <c r="D2332" i="6"/>
  <c r="U2332" i="6" s="1"/>
  <c r="C2332" i="6"/>
  <c r="B2332" i="6"/>
  <c r="Q2331" i="6"/>
  <c r="P2331" i="6"/>
  <c r="N2331" i="6"/>
  <c r="M2331" i="6"/>
  <c r="L2331" i="6"/>
  <c r="K2331" i="6"/>
  <c r="J2331" i="6"/>
  <c r="I2331" i="6"/>
  <c r="H2331" i="6"/>
  <c r="G2331" i="6"/>
  <c r="F2331" i="6"/>
  <c r="D2331" i="6"/>
  <c r="U2331" i="6" s="1"/>
  <c r="C2331" i="6"/>
  <c r="B2331" i="6"/>
  <c r="Q2330" i="6"/>
  <c r="N2330" i="6"/>
  <c r="M2330" i="6"/>
  <c r="L2330" i="6"/>
  <c r="K2330" i="6"/>
  <c r="J2330" i="6"/>
  <c r="I2330" i="6"/>
  <c r="P2330" i="6" s="1"/>
  <c r="H2330" i="6"/>
  <c r="G2330" i="6"/>
  <c r="F2330" i="6"/>
  <c r="D2330" i="6"/>
  <c r="U2330" i="6" s="1"/>
  <c r="C2330" i="6"/>
  <c r="B2330" i="6"/>
  <c r="Q2329" i="6"/>
  <c r="P2329" i="6"/>
  <c r="N2329" i="6"/>
  <c r="M2329" i="6"/>
  <c r="L2329" i="6"/>
  <c r="K2329" i="6"/>
  <c r="J2329" i="6"/>
  <c r="I2329" i="6"/>
  <c r="H2329" i="6"/>
  <c r="G2329" i="6"/>
  <c r="F2329" i="6"/>
  <c r="D2329" i="6"/>
  <c r="U2329" i="6" s="1"/>
  <c r="C2329" i="6"/>
  <c r="B2329" i="6"/>
  <c r="Q2328" i="6"/>
  <c r="N2328" i="6"/>
  <c r="M2328" i="6"/>
  <c r="L2328" i="6"/>
  <c r="K2328" i="6"/>
  <c r="J2328" i="6"/>
  <c r="I2328" i="6"/>
  <c r="P2328" i="6" s="1"/>
  <c r="H2328" i="6"/>
  <c r="G2328" i="6"/>
  <c r="F2328" i="6"/>
  <c r="D2328" i="6"/>
  <c r="U2328" i="6" s="1"/>
  <c r="C2328" i="6"/>
  <c r="B2328" i="6"/>
  <c r="Q2327" i="6"/>
  <c r="P2327" i="6"/>
  <c r="N2327" i="6"/>
  <c r="M2327" i="6"/>
  <c r="L2327" i="6"/>
  <c r="K2327" i="6"/>
  <c r="J2327" i="6"/>
  <c r="I2327" i="6"/>
  <c r="H2327" i="6"/>
  <c r="G2327" i="6"/>
  <c r="F2327" i="6"/>
  <c r="D2327" i="6"/>
  <c r="U2327" i="6" s="1"/>
  <c r="C2327" i="6"/>
  <c r="B2327" i="6"/>
  <c r="Q2326" i="6"/>
  <c r="N2326" i="6"/>
  <c r="M2326" i="6"/>
  <c r="L2326" i="6"/>
  <c r="K2326" i="6"/>
  <c r="J2326" i="6"/>
  <c r="I2326" i="6"/>
  <c r="P2326" i="6" s="1"/>
  <c r="H2326" i="6"/>
  <c r="G2326" i="6"/>
  <c r="F2326" i="6"/>
  <c r="D2326" i="6"/>
  <c r="U2326" i="6" s="1"/>
  <c r="C2326" i="6"/>
  <c r="B2326" i="6"/>
  <c r="Q2325" i="6"/>
  <c r="P2325" i="6"/>
  <c r="N2325" i="6"/>
  <c r="M2325" i="6"/>
  <c r="L2325" i="6"/>
  <c r="K2325" i="6"/>
  <c r="J2325" i="6"/>
  <c r="I2325" i="6"/>
  <c r="H2325" i="6"/>
  <c r="G2325" i="6"/>
  <c r="F2325" i="6"/>
  <c r="D2325" i="6"/>
  <c r="U2325" i="6" s="1"/>
  <c r="C2325" i="6"/>
  <c r="B2325" i="6"/>
  <c r="Q2324" i="6"/>
  <c r="N2324" i="6"/>
  <c r="M2324" i="6"/>
  <c r="L2324" i="6"/>
  <c r="K2324" i="6"/>
  <c r="J2324" i="6"/>
  <c r="I2324" i="6"/>
  <c r="P2324" i="6" s="1"/>
  <c r="H2324" i="6"/>
  <c r="G2324" i="6"/>
  <c r="F2324" i="6"/>
  <c r="D2324" i="6"/>
  <c r="U2324" i="6" s="1"/>
  <c r="C2324" i="6"/>
  <c r="B2324" i="6"/>
  <c r="Q2323" i="6"/>
  <c r="P2323" i="6"/>
  <c r="N2323" i="6"/>
  <c r="M2323" i="6"/>
  <c r="L2323" i="6"/>
  <c r="K2323" i="6"/>
  <c r="J2323" i="6"/>
  <c r="I2323" i="6"/>
  <c r="H2323" i="6"/>
  <c r="G2323" i="6"/>
  <c r="F2323" i="6"/>
  <c r="D2323" i="6"/>
  <c r="U2323" i="6" s="1"/>
  <c r="C2323" i="6"/>
  <c r="B2323" i="6"/>
  <c r="Q2322" i="6"/>
  <c r="N2322" i="6"/>
  <c r="M2322" i="6"/>
  <c r="L2322" i="6"/>
  <c r="K2322" i="6"/>
  <c r="J2322" i="6"/>
  <c r="I2322" i="6"/>
  <c r="P2322" i="6" s="1"/>
  <c r="H2322" i="6"/>
  <c r="G2322" i="6"/>
  <c r="F2322" i="6"/>
  <c r="D2322" i="6"/>
  <c r="U2322" i="6" s="1"/>
  <c r="C2322" i="6"/>
  <c r="B2322" i="6"/>
  <c r="Q2321" i="6"/>
  <c r="P2321" i="6"/>
  <c r="N2321" i="6"/>
  <c r="M2321" i="6"/>
  <c r="L2321" i="6"/>
  <c r="K2321" i="6"/>
  <c r="J2321" i="6"/>
  <c r="I2321" i="6"/>
  <c r="H2321" i="6"/>
  <c r="G2321" i="6"/>
  <c r="F2321" i="6"/>
  <c r="D2321" i="6"/>
  <c r="U2321" i="6" s="1"/>
  <c r="C2321" i="6"/>
  <c r="B2321" i="6"/>
  <c r="Q2320" i="6"/>
  <c r="N2320" i="6"/>
  <c r="M2320" i="6"/>
  <c r="L2320" i="6"/>
  <c r="K2320" i="6"/>
  <c r="J2320" i="6"/>
  <c r="I2320" i="6"/>
  <c r="P2320" i="6" s="1"/>
  <c r="H2320" i="6"/>
  <c r="G2320" i="6"/>
  <c r="F2320" i="6"/>
  <c r="D2320" i="6"/>
  <c r="U2320" i="6" s="1"/>
  <c r="C2320" i="6"/>
  <c r="B2320" i="6"/>
  <c r="Q2319" i="6"/>
  <c r="P2319" i="6"/>
  <c r="N2319" i="6"/>
  <c r="M2319" i="6"/>
  <c r="L2319" i="6"/>
  <c r="K2319" i="6"/>
  <c r="J2319" i="6"/>
  <c r="I2319" i="6"/>
  <c r="H2319" i="6"/>
  <c r="G2319" i="6"/>
  <c r="F2319" i="6"/>
  <c r="D2319" i="6"/>
  <c r="U2319" i="6" s="1"/>
  <c r="C2319" i="6"/>
  <c r="B2319" i="6"/>
  <c r="Q2318" i="6"/>
  <c r="N2318" i="6"/>
  <c r="M2318" i="6"/>
  <c r="L2318" i="6"/>
  <c r="K2318" i="6"/>
  <c r="J2318" i="6"/>
  <c r="I2318" i="6"/>
  <c r="P2318" i="6" s="1"/>
  <c r="H2318" i="6"/>
  <c r="G2318" i="6"/>
  <c r="F2318" i="6"/>
  <c r="D2318" i="6"/>
  <c r="U2318" i="6" s="1"/>
  <c r="C2318" i="6"/>
  <c r="B2318" i="6"/>
  <c r="Q2317" i="6"/>
  <c r="P2317" i="6"/>
  <c r="N2317" i="6"/>
  <c r="M2317" i="6"/>
  <c r="L2317" i="6"/>
  <c r="K2317" i="6"/>
  <c r="J2317" i="6"/>
  <c r="I2317" i="6"/>
  <c r="H2317" i="6"/>
  <c r="G2317" i="6"/>
  <c r="F2317" i="6"/>
  <c r="D2317" i="6"/>
  <c r="U2317" i="6" s="1"/>
  <c r="C2317" i="6"/>
  <c r="B2317" i="6"/>
  <c r="Q2316" i="6"/>
  <c r="N2316" i="6"/>
  <c r="M2316" i="6"/>
  <c r="L2316" i="6"/>
  <c r="K2316" i="6"/>
  <c r="J2316" i="6"/>
  <c r="I2316" i="6"/>
  <c r="P2316" i="6" s="1"/>
  <c r="H2316" i="6"/>
  <c r="G2316" i="6"/>
  <c r="F2316" i="6"/>
  <c r="D2316" i="6"/>
  <c r="U2316" i="6" s="1"/>
  <c r="C2316" i="6"/>
  <c r="B2316" i="6"/>
  <c r="Q2315" i="6"/>
  <c r="P2315" i="6"/>
  <c r="N2315" i="6"/>
  <c r="M2315" i="6"/>
  <c r="L2315" i="6"/>
  <c r="K2315" i="6"/>
  <c r="J2315" i="6"/>
  <c r="I2315" i="6"/>
  <c r="H2315" i="6"/>
  <c r="G2315" i="6"/>
  <c r="F2315" i="6"/>
  <c r="D2315" i="6"/>
  <c r="U2315" i="6" s="1"/>
  <c r="C2315" i="6"/>
  <c r="B2315" i="6"/>
  <c r="Q2314" i="6"/>
  <c r="N2314" i="6"/>
  <c r="M2314" i="6"/>
  <c r="L2314" i="6"/>
  <c r="K2314" i="6"/>
  <c r="J2314" i="6"/>
  <c r="I2314" i="6"/>
  <c r="P2314" i="6" s="1"/>
  <c r="H2314" i="6"/>
  <c r="G2314" i="6"/>
  <c r="F2314" i="6"/>
  <c r="D2314" i="6"/>
  <c r="U2314" i="6" s="1"/>
  <c r="C2314" i="6"/>
  <c r="B2314" i="6"/>
  <c r="Q2313" i="6"/>
  <c r="P2313" i="6"/>
  <c r="N2313" i="6"/>
  <c r="M2313" i="6"/>
  <c r="L2313" i="6"/>
  <c r="K2313" i="6"/>
  <c r="J2313" i="6"/>
  <c r="I2313" i="6"/>
  <c r="H2313" i="6"/>
  <c r="G2313" i="6"/>
  <c r="F2313" i="6"/>
  <c r="D2313" i="6"/>
  <c r="U2313" i="6" s="1"/>
  <c r="C2313" i="6"/>
  <c r="B2313" i="6"/>
  <c r="Q2312" i="6"/>
  <c r="N2312" i="6"/>
  <c r="M2312" i="6"/>
  <c r="L2312" i="6"/>
  <c r="K2312" i="6"/>
  <c r="J2312" i="6"/>
  <c r="I2312" i="6"/>
  <c r="P2312" i="6" s="1"/>
  <c r="H2312" i="6"/>
  <c r="G2312" i="6"/>
  <c r="F2312" i="6"/>
  <c r="D2312" i="6"/>
  <c r="U2312" i="6" s="1"/>
  <c r="C2312" i="6"/>
  <c r="B2312" i="6"/>
  <c r="Q2311" i="6"/>
  <c r="P2311" i="6"/>
  <c r="N2311" i="6"/>
  <c r="M2311" i="6"/>
  <c r="L2311" i="6"/>
  <c r="K2311" i="6"/>
  <c r="J2311" i="6"/>
  <c r="I2311" i="6"/>
  <c r="H2311" i="6"/>
  <c r="G2311" i="6"/>
  <c r="F2311" i="6"/>
  <c r="D2311" i="6"/>
  <c r="U2311" i="6" s="1"/>
  <c r="C2311" i="6"/>
  <c r="B2311" i="6"/>
  <c r="Q2310" i="6"/>
  <c r="N2310" i="6"/>
  <c r="M2310" i="6"/>
  <c r="L2310" i="6"/>
  <c r="K2310" i="6"/>
  <c r="J2310" i="6"/>
  <c r="I2310" i="6"/>
  <c r="P2310" i="6" s="1"/>
  <c r="H2310" i="6"/>
  <c r="G2310" i="6"/>
  <c r="F2310" i="6"/>
  <c r="D2310" i="6"/>
  <c r="U2310" i="6" s="1"/>
  <c r="C2310" i="6"/>
  <c r="B2310" i="6"/>
  <c r="Q2309" i="6"/>
  <c r="P2309" i="6"/>
  <c r="N2309" i="6"/>
  <c r="M2309" i="6"/>
  <c r="L2309" i="6"/>
  <c r="K2309" i="6"/>
  <c r="J2309" i="6"/>
  <c r="I2309" i="6"/>
  <c r="H2309" i="6"/>
  <c r="G2309" i="6"/>
  <c r="F2309" i="6"/>
  <c r="D2309" i="6"/>
  <c r="U2309" i="6" s="1"/>
  <c r="C2309" i="6"/>
  <c r="B2309" i="6"/>
  <c r="Q2308" i="6"/>
  <c r="N2308" i="6"/>
  <c r="M2308" i="6"/>
  <c r="L2308" i="6"/>
  <c r="K2308" i="6"/>
  <c r="J2308" i="6"/>
  <c r="I2308" i="6"/>
  <c r="P2308" i="6" s="1"/>
  <c r="H2308" i="6"/>
  <c r="G2308" i="6"/>
  <c r="F2308" i="6"/>
  <c r="D2308" i="6"/>
  <c r="U2308" i="6" s="1"/>
  <c r="C2308" i="6"/>
  <c r="B2308" i="6"/>
  <c r="Q2307" i="6"/>
  <c r="P2307" i="6"/>
  <c r="N2307" i="6"/>
  <c r="M2307" i="6"/>
  <c r="L2307" i="6"/>
  <c r="K2307" i="6"/>
  <c r="J2307" i="6"/>
  <c r="I2307" i="6"/>
  <c r="H2307" i="6"/>
  <c r="G2307" i="6"/>
  <c r="F2307" i="6"/>
  <c r="D2307" i="6"/>
  <c r="U2307" i="6" s="1"/>
  <c r="C2307" i="6"/>
  <c r="B2307" i="6"/>
  <c r="Q2306" i="6"/>
  <c r="N2306" i="6"/>
  <c r="M2306" i="6"/>
  <c r="L2306" i="6"/>
  <c r="K2306" i="6"/>
  <c r="J2306" i="6"/>
  <c r="I2306" i="6"/>
  <c r="P2306" i="6" s="1"/>
  <c r="H2306" i="6"/>
  <c r="G2306" i="6"/>
  <c r="F2306" i="6"/>
  <c r="D2306" i="6"/>
  <c r="U2306" i="6" s="1"/>
  <c r="C2306" i="6"/>
  <c r="B2306" i="6"/>
  <c r="Q2305" i="6"/>
  <c r="P2305" i="6"/>
  <c r="N2305" i="6"/>
  <c r="M2305" i="6"/>
  <c r="L2305" i="6"/>
  <c r="K2305" i="6"/>
  <c r="J2305" i="6"/>
  <c r="I2305" i="6"/>
  <c r="H2305" i="6"/>
  <c r="G2305" i="6"/>
  <c r="F2305" i="6"/>
  <c r="D2305" i="6"/>
  <c r="U2305" i="6" s="1"/>
  <c r="C2305" i="6"/>
  <c r="B2305" i="6"/>
  <c r="Q2304" i="6"/>
  <c r="N2304" i="6"/>
  <c r="M2304" i="6"/>
  <c r="L2304" i="6"/>
  <c r="K2304" i="6"/>
  <c r="J2304" i="6"/>
  <c r="I2304" i="6"/>
  <c r="P2304" i="6" s="1"/>
  <c r="H2304" i="6"/>
  <c r="G2304" i="6"/>
  <c r="F2304" i="6"/>
  <c r="D2304" i="6"/>
  <c r="U2304" i="6" s="1"/>
  <c r="C2304" i="6"/>
  <c r="B2304" i="6"/>
  <c r="Q2303" i="6"/>
  <c r="P2303" i="6"/>
  <c r="N2303" i="6"/>
  <c r="M2303" i="6"/>
  <c r="L2303" i="6"/>
  <c r="K2303" i="6"/>
  <c r="J2303" i="6"/>
  <c r="I2303" i="6"/>
  <c r="H2303" i="6"/>
  <c r="G2303" i="6"/>
  <c r="F2303" i="6"/>
  <c r="D2303" i="6"/>
  <c r="U2303" i="6" s="1"/>
  <c r="C2303" i="6"/>
  <c r="B2303" i="6"/>
  <c r="Q2302" i="6"/>
  <c r="N2302" i="6"/>
  <c r="M2302" i="6"/>
  <c r="L2302" i="6"/>
  <c r="K2302" i="6"/>
  <c r="J2302" i="6"/>
  <c r="I2302" i="6"/>
  <c r="P2302" i="6" s="1"/>
  <c r="H2302" i="6"/>
  <c r="G2302" i="6"/>
  <c r="F2302" i="6"/>
  <c r="D2302" i="6"/>
  <c r="U2302" i="6" s="1"/>
  <c r="C2302" i="6"/>
  <c r="B2302" i="6"/>
  <c r="Q2301" i="6"/>
  <c r="P2301" i="6"/>
  <c r="N2301" i="6"/>
  <c r="M2301" i="6"/>
  <c r="L2301" i="6"/>
  <c r="K2301" i="6"/>
  <c r="J2301" i="6"/>
  <c r="I2301" i="6"/>
  <c r="H2301" i="6"/>
  <c r="G2301" i="6"/>
  <c r="F2301" i="6"/>
  <c r="D2301" i="6"/>
  <c r="U2301" i="6" s="1"/>
  <c r="C2301" i="6"/>
  <c r="B2301" i="6"/>
  <c r="Q2300" i="6"/>
  <c r="N2300" i="6"/>
  <c r="M2300" i="6"/>
  <c r="L2300" i="6"/>
  <c r="K2300" i="6"/>
  <c r="J2300" i="6"/>
  <c r="I2300" i="6"/>
  <c r="P2300" i="6" s="1"/>
  <c r="H2300" i="6"/>
  <c r="G2300" i="6"/>
  <c r="F2300" i="6"/>
  <c r="D2300" i="6"/>
  <c r="U2300" i="6" s="1"/>
  <c r="C2300" i="6"/>
  <c r="B2300" i="6"/>
  <c r="Q2299" i="6"/>
  <c r="P2299" i="6"/>
  <c r="N2299" i="6"/>
  <c r="M2299" i="6"/>
  <c r="L2299" i="6"/>
  <c r="K2299" i="6"/>
  <c r="J2299" i="6"/>
  <c r="I2299" i="6"/>
  <c r="H2299" i="6"/>
  <c r="G2299" i="6"/>
  <c r="F2299" i="6"/>
  <c r="D2299" i="6"/>
  <c r="U2299" i="6" s="1"/>
  <c r="C2299" i="6"/>
  <c r="B2299" i="6"/>
  <c r="Q2298" i="6"/>
  <c r="N2298" i="6"/>
  <c r="M2298" i="6"/>
  <c r="L2298" i="6"/>
  <c r="K2298" i="6"/>
  <c r="J2298" i="6"/>
  <c r="I2298" i="6"/>
  <c r="P2298" i="6" s="1"/>
  <c r="H2298" i="6"/>
  <c r="G2298" i="6"/>
  <c r="F2298" i="6"/>
  <c r="D2298" i="6"/>
  <c r="U2298" i="6" s="1"/>
  <c r="C2298" i="6"/>
  <c r="B2298" i="6"/>
  <c r="Q2297" i="6"/>
  <c r="P2297" i="6"/>
  <c r="N2297" i="6"/>
  <c r="M2297" i="6"/>
  <c r="L2297" i="6"/>
  <c r="K2297" i="6"/>
  <c r="J2297" i="6"/>
  <c r="I2297" i="6"/>
  <c r="H2297" i="6"/>
  <c r="G2297" i="6"/>
  <c r="F2297" i="6"/>
  <c r="D2297" i="6"/>
  <c r="U2297" i="6" s="1"/>
  <c r="C2297" i="6"/>
  <c r="B2297" i="6"/>
  <c r="Q2296" i="6"/>
  <c r="N2296" i="6"/>
  <c r="M2296" i="6"/>
  <c r="L2296" i="6"/>
  <c r="K2296" i="6"/>
  <c r="J2296" i="6"/>
  <c r="I2296" i="6"/>
  <c r="P2296" i="6" s="1"/>
  <c r="H2296" i="6"/>
  <c r="G2296" i="6"/>
  <c r="F2296" i="6"/>
  <c r="D2296" i="6"/>
  <c r="U2296" i="6" s="1"/>
  <c r="C2296" i="6"/>
  <c r="B2296" i="6"/>
  <c r="Q2295" i="6"/>
  <c r="P2295" i="6"/>
  <c r="N2295" i="6"/>
  <c r="M2295" i="6"/>
  <c r="L2295" i="6"/>
  <c r="K2295" i="6"/>
  <c r="J2295" i="6"/>
  <c r="I2295" i="6"/>
  <c r="H2295" i="6"/>
  <c r="G2295" i="6"/>
  <c r="F2295" i="6"/>
  <c r="D2295" i="6"/>
  <c r="U2295" i="6" s="1"/>
  <c r="C2295" i="6"/>
  <c r="B2295" i="6"/>
  <c r="Q2294" i="6"/>
  <c r="N2294" i="6"/>
  <c r="M2294" i="6"/>
  <c r="L2294" i="6"/>
  <c r="K2294" i="6"/>
  <c r="J2294" i="6"/>
  <c r="I2294" i="6"/>
  <c r="P2294" i="6" s="1"/>
  <c r="H2294" i="6"/>
  <c r="G2294" i="6"/>
  <c r="F2294" i="6"/>
  <c r="D2294" i="6"/>
  <c r="U2294" i="6" s="1"/>
  <c r="C2294" i="6"/>
  <c r="B2294" i="6"/>
  <c r="Q2293" i="6"/>
  <c r="P2293" i="6"/>
  <c r="N2293" i="6"/>
  <c r="M2293" i="6"/>
  <c r="L2293" i="6"/>
  <c r="K2293" i="6"/>
  <c r="J2293" i="6"/>
  <c r="I2293" i="6"/>
  <c r="H2293" i="6"/>
  <c r="G2293" i="6"/>
  <c r="F2293" i="6"/>
  <c r="D2293" i="6"/>
  <c r="U2293" i="6" s="1"/>
  <c r="C2293" i="6"/>
  <c r="B2293" i="6"/>
  <c r="Q2292" i="6"/>
  <c r="N2292" i="6"/>
  <c r="M2292" i="6"/>
  <c r="L2292" i="6"/>
  <c r="K2292" i="6"/>
  <c r="J2292" i="6"/>
  <c r="I2292" i="6"/>
  <c r="P2292" i="6" s="1"/>
  <c r="H2292" i="6"/>
  <c r="G2292" i="6"/>
  <c r="F2292" i="6"/>
  <c r="D2292" i="6"/>
  <c r="U2292" i="6" s="1"/>
  <c r="C2292" i="6"/>
  <c r="B2292" i="6"/>
  <c r="Q2291" i="6"/>
  <c r="P2291" i="6"/>
  <c r="N2291" i="6"/>
  <c r="M2291" i="6"/>
  <c r="L2291" i="6"/>
  <c r="K2291" i="6"/>
  <c r="J2291" i="6"/>
  <c r="I2291" i="6"/>
  <c r="H2291" i="6"/>
  <c r="G2291" i="6"/>
  <c r="F2291" i="6"/>
  <c r="D2291" i="6"/>
  <c r="U2291" i="6" s="1"/>
  <c r="C2291" i="6"/>
  <c r="B2291" i="6"/>
  <c r="Q2290" i="6"/>
  <c r="N2290" i="6"/>
  <c r="M2290" i="6"/>
  <c r="L2290" i="6"/>
  <c r="K2290" i="6"/>
  <c r="J2290" i="6"/>
  <c r="I2290" i="6"/>
  <c r="P2290" i="6" s="1"/>
  <c r="H2290" i="6"/>
  <c r="G2290" i="6"/>
  <c r="F2290" i="6"/>
  <c r="D2290" i="6"/>
  <c r="U2290" i="6" s="1"/>
  <c r="C2290" i="6"/>
  <c r="B2290" i="6"/>
  <c r="Q2289" i="6"/>
  <c r="P2289" i="6"/>
  <c r="N2289" i="6"/>
  <c r="M2289" i="6"/>
  <c r="L2289" i="6"/>
  <c r="K2289" i="6"/>
  <c r="J2289" i="6"/>
  <c r="I2289" i="6"/>
  <c r="H2289" i="6"/>
  <c r="G2289" i="6"/>
  <c r="F2289" i="6"/>
  <c r="D2289" i="6"/>
  <c r="U2289" i="6" s="1"/>
  <c r="C2289" i="6"/>
  <c r="B2289" i="6"/>
  <c r="Q2288" i="6"/>
  <c r="N2288" i="6"/>
  <c r="M2288" i="6"/>
  <c r="L2288" i="6"/>
  <c r="K2288" i="6"/>
  <c r="J2288" i="6"/>
  <c r="I2288" i="6"/>
  <c r="P2288" i="6" s="1"/>
  <c r="H2288" i="6"/>
  <c r="G2288" i="6"/>
  <c r="F2288" i="6"/>
  <c r="D2288" i="6"/>
  <c r="U2288" i="6" s="1"/>
  <c r="C2288" i="6"/>
  <c r="B2288" i="6"/>
  <c r="Q2287" i="6"/>
  <c r="P2287" i="6"/>
  <c r="N2287" i="6"/>
  <c r="M2287" i="6"/>
  <c r="L2287" i="6"/>
  <c r="K2287" i="6"/>
  <c r="J2287" i="6"/>
  <c r="I2287" i="6"/>
  <c r="H2287" i="6"/>
  <c r="G2287" i="6"/>
  <c r="F2287" i="6"/>
  <c r="D2287" i="6"/>
  <c r="U2287" i="6" s="1"/>
  <c r="C2287" i="6"/>
  <c r="B2287" i="6"/>
  <c r="Q2286" i="6"/>
  <c r="N2286" i="6"/>
  <c r="M2286" i="6"/>
  <c r="L2286" i="6"/>
  <c r="K2286" i="6"/>
  <c r="J2286" i="6"/>
  <c r="I2286" i="6"/>
  <c r="P2286" i="6" s="1"/>
  <c r="H2286" i="6"/>
  <c r="G2286" i="6"/>
  <c r="F2286" i="6"/>
  <c r="D2286" i="6"/>
  <c r="U2286" i="6" s="1"/>
  <c r="C2286" i="6"/>
  <c r="B2286" i="6"/>
  <c r="Q2285" i="6"/>
  <c r="P2285" i="6"/>
  <c r="N2285" i="6"/>
  <c r="M2285" i="6"/>
  <c r="L2285" i="6"/>
  <c r="K2285" i="6"/>
  <c r="J2285" i="6"/>
  <c r="I2285" i="6"/>
  <c r="H2285" i="6"/>
  <c r="G2285" i="6"/>
  <c r="F2285" i="6"/>
  <c r="D2285" i="6"/>
  <c r="U2285" i="6" s="1"/>
  <c r="C2285" i="6"/>
  <c r="B2285" i="6"/>
  <c r="Q2284" i="6"/>
  <c r="N2284" i="6"/>
  <c r="M2284" i="6"/>
  <c r="L2284" i="6"/>
  <c r="K2284" i="6"/>
  <c r="J2284" i="6"/>
  <c r="I2284" i="6"/>
  <c r="P2284" i="6" s="1"/>
  <c r="H2284" i="6"/>
  <c r="G2284" i="6"/>
  <c r="F2284" i="6"/>
  <c r="D2284" i="6"/>
  <c r="U2284" i="6" s="1"/>
  <c r="C2284" i="6"/>
  <c r="B2284" i="6"/>
  <c r="Q2283" i="6"/>
  <c r="P2283" i="6"/>
  <c r="N2283" i="6"/>
  <c r="M2283" i="6"/>
  <c r="L2283" i="6"/>
  <c r="K2283" i="6"/>
  <c r="J2283" i="6"/>
  <c r="I2283" i="6"/>
  <c r="H2283" i="6"/>
  <c r="G2283" i="6"/>
  <c r="F2283" i="6"/>
  <c r="D2283" i="6"/>
  <c r="U2283" i="6" s="1"/>
  <c r="C2283" i="6"/>
  <c r="B2283" i="6"/>
  <c r="Q2282" i="6"/>
  <c r="N2282" i="6"/>
  <c r="M2282" i="6"/>
  <c r="L2282" i="6"/>
  <c r="K2282" i="6"/>
  <c r="J2282" i="6"/>
  <c r="I2282" i="6"/>
  <c r="P2282" i="6" s="1"/>
  <c r="H2282" i="6"/>
  <c r="G2282" i="6"/>
  <c r="F2282" i="6"/>
  <c r="D2282" i="6"/>
  <c r="U2282" i="6" s="1"/>
  <c r="C2282" i="6"/>
  <c r="B2282" i="6"/>
  <c r="Q2281" i="6"/>
  <c r="P2281" i="6"/>
  <c r="N2281" i="6"/>
  <c r="M2281" i="6"/>
  <c r="L2281" i="6"/>
  <c r="K2281" i="6"/>
  <c r="J2281" i="6"/>
  <c r="I2281" i="6"/>
  <c r="H2281" i="6"/>
  <c r="G2281" i="6"/>
  <c r="F2281" i="6"/>
  <c r="D2281" i="6"/>
  <c r="U2281" i="6" s="1"/>
  <c r="C2281" i="6"/>
  <c r="B2281" i="6"/>
  <c r="Q2280" i="6"/>
  <c r="N2280" i="6"/>
  <c r="M2280" i="6"/>
  <c r="L2280" i="6"/>
  <c r="K2280" i="6"/>
  <c r="J2280" i="6"/>
  <c r="I2280" i="6"/>
  <c r="P2280" i="6" s="1"/>
  <c r="H2280" i="6"/>
  <c r="G2280" i="6"/>
  <c r="F2280" i="6"/>
  <c r="D2280" i="6"/>
  <c r="U2280" i="6" s="1"/>
  <c r="C2280" i="6"/>
  <c r="B2280" i="6"/>
  <c r="Q2279" i="6"/>
  <c r="P2279" i="6"/>
  <c r="N2279" i="6"/>
  <c r="M2279" i="6"/>
  <c r="L2279" i="6"/>
  <c r="K2279" i="6"/>
  <c r="J2279" i="6"/>
  <c r="I2279" i="6"/>
  <c r="H2279" i="6"/>
  <c r="G2279" i="6"/>
  <c r="F2279" i="6"/>
  <c r="D2279" i="6"/>
  <c r="U2279" i="6" s="1"/>
  <c r="C2279" i="6"/>
  <c r="B2279" i="6"/>
  <c r="Q2278" i="6"/>
  <c r="N2278" i="6"/>
  <c r="M2278" i="6"/>
  <c r="L2278" i="6"/>
  <c r="K2278" i="6"/>
  <c r="J2278" i="6"/>
  <c r="I2278" i="6"/>
  <c r="P2278" i="6" s="1"/>
  <c r="H2278" i="6"/>
  <c r="G2278" i="6"/>
  <c r="F2278" i="6"/>
  <c r="D2278" i="6"/>
  <c r="U2278" i="6" s="1"/>
  <c r="C2278" i="6"/>
  <c r="B2278" i="6"/>
  <c r="Q2277" i="6"/>
  <c r="P2277" i="6"/>
  <c r="N2277" i="6"/>
  <c r="M2277" i="6"/>
  <c r="L2277" i="6"/>
  <c r="K2277" i="6"/>
  <c r="J2277" i="6"/>
  <c r="I2277" i="6"/>
  <c r="H2277" i="6"/>
  <c r="G2277" i="6"/>
  <c r="F2277" i="6"/>
  <c r="D2277" i="6"/>
  <c r="U2277" i="6" s="1"/>
  <c r="C2277" i="6"/>
  <c r="B2277" i="6"/>
  <c r="Q2276" i="6"/>
  <c r="N2276" i="6"/>
  <c r="M2276" i="6"/>
  <c r="L2276" i="6"/>
  <c r="K2276" i="6"/>
  <c r="J2276" i="6"/>
  <c r="I2276" i="6"/>
  <c r="P2276" i="6" s="1"/>
  <c r="H2276" i="6"/>
  <c r="G2276" i="6"/>
  <c r="F2276" i="6"/>
  <c r="D2276" i="6"/>
  <c r="U2276" i="6" s="1"/>
  <c r="C2276" i="6"/>
  <c r="B2276" i="6"/>
  <c r="Q2275" i="6"/>
  <c r="P2275" i="6"/>
  <c r="N2275" i="6"/>
  <c r="M2275" i="6"/>
  <c r="L2275" i="6"/>
  <c r="K2275" i="6"/>
  <c r="J2275" i="6"/>
  <c r="I2275" i="6"/>
  <c r="H2275" i="6"/>
  <c r="G2275" i="6"/>
  <c r="F2275" i="6"/>
  <c r="D2275" i="6"/>
  <c r="U2275" i="6" s="1"/>
  <c r="C2275" i="6"/>
  <c r="B2275" i="6"/>
  <c r="Q2274" i="6"/>
  <c r="N2274" i="6"/>
  <c r="M2274" i="6"/>
  <c r="L2274" i="6"/>
  <c r="K2274" i="6"/>
  <c r="J2274" i="6"/>
  <c r="I2274" i="6"/>
  <c r="P2274" i="6" s="1"/>
  <c r="H2274" i="6"/>
  <c r="G2274" i="6"/>
  <c r="F2274" i="6"/>
  <c r="D2274" i="6"/>
  <c r="U2274" i="6" s="1"/>
  <c r="C2274" i="6"/>
  <c r="B2274" i="6"/>
  <c r="Q2273" i="6"/>
  <c r="P2273" i="6"/>
  <c r="N2273" i="6"/>
  <c r="M2273" i="6"/>
  <c r="L2273" i="6"/>
  <c r="K2273" i="6"/>
  <c r="J2273" i="6"/>
  <c r="I2273" i="6"/>
  <c r="H2273" i="6"/>
  <c r="G2273" i="6"/>
  <c r="F2273" i="6"/>
  <c r="D2273" i="6"/>
  <c r="U2273" i="6" s="1"/>
  <c r="C2273" i="6"/>
  <c r="B2273" i="6"/>
  <c r="Q2272" i="6"/>
  <c r="N2272" i="6"/>
  <c r="M2272" i="6"/>
  <c r="L2272" i="6"/>
  <c r="K2272" i="6"/>
  <c r="J2272" i="6"/>
  <c r="I2272" i="6"/>
  <c r="P2272" i="6" s="1"/>
  <c r="H2272" i="6"/>
  <c r="G2272" i="6"/>
  <c r="F2272" i="6"/>
  <c r="D2272" i="6"/>
  <c r="U2272" i="6" s="1"/>
  <c r="C2272" i="6"/>
  <c r="B2272" i="6"/>
  <c r="Q2271" i="6"/>
  <c r="P2271" i="6"/>
  <c r="N2271" i="6"/>
  <c r="M2271" i="6"/>
  <c r="L2271" i="6"/>
  <c r="K2271" i="6"/>
  <c r="J2271" i="6"/>
  <c r="I2271" i="6"/>
  <c r="H2271" i="6"/>
  <c r="G2271" i="6"/>
  <c r="F2271" i="6"/>
  <c r="D2271" i="6"/>
  <c r="U2271" i="6" s="1"/>
  <c r="C2271" i="6"/>
  <c r="B2271" i="6"/>
  <c r="Q2270" i="6"/>
  <c r="N2270" i="6"/>
  <c r="M2270" i="6"/>
  <c r="L2270" i="6"/>
  <c r="K2270" i="6"/>
  <c r="J2270" i="6"/>
  <c r="I2270" i="6"/>
  <c r="P2270" i="6" s="1"/>
  <c r="H2270" i="6"/>
  <c r="G2270" i="6"/>
  <c r="F2270" i="6"/>
  <c r="D2270" i="6"/>
  <c r="U2270" i="6" s="1"/>
  <c r="C2270" i="6"/>
  <c r="B2270" i="6"/>
  <c r="Q2269" i="6"/>
  <c r="P2269" i="6"/>
  <c r="N2269" i="6"/>
  <c r="M2269" i="6"/>
  <c r="L2269" i="6"/>
  <c r="K2269" i="6"/>
  <c r="J2269" i="6"/>
  <c r="I2269" i="6"/>
  <c r="H2269" i="6"/>
  <c r="G2269" i="6"/>
  <c r="F2269" i="6"/>
  <c r="D2269" i="6"/>
  <c r="U2269" i="6" s="1"/>
  <c r="C2269" i="6"/>
  <c r="B2269" i="6"/>
  <c r="Q2268" i="6"/>
  <c r="N2268" i="6"/>
  <c r="M2268" i="6"/>
  <c r="L2268" i="6"/>
  <c r="K2268" i="6"/>
  <c r="J2268" i="6"/>
  <c r="I2268" i="6"/>
  <c r="P2268" i="6" s="1"/>
  <c r="H2268" i="6"/>
  <c r="G2268" i="6"/>
  <c r="F2268" i="6"/>
  <c r="D2268" i="6"/>
  <c r="U2268" i="6" s="1"/>
  <c r="C2268" i="6"/>
  <c r="B2268" i="6"/>
  <c r="Q2267" i="6"/>
  <c r="P2267" i="6"/>
  <c r="N2267" i="6"/>
  <c r="M2267" i="6"/>
  <c r="L2267" i="6"/>
  <c r="K2267" i="6"/>
  <c r="J2267" i="6"/>
  <c r="I2267" i="6"/>
  <c r="H2267" i="6"/>
  <c r="G2267" i="6"/>
  <c r="F2267" i="6"/>
  <c r="D2267" i="6"/>
  <c r="U2267" i="6" s="1"/>
  <c r="C2267" i="6"/>
  <c r="B2267" i="6"/>
  <c r="Q2266" i="6"/>
  <c r="N2266" i="6"/>
  <c r="M2266" i="6"/>
  <c r="L2266" i="6"/>
  <c r="K2266" i="6"/>
  <c r="J2266" i="6"/>
  <c r="I2266" i="6"/>
  <c r="P2266" i="6" s="1"/>
  <c r="H2266" i="6"/>
  <c r="G2266" i="6"/>
  <c r="F2266" i="6"/>
  <c r="D2266" i="6"/>
  <c r="U2266" i="6" s="1"/>
  <c r="C2266" i="6"/>
  <c r="B2266" i="6"/>
  <c r="Q2265" i="6"/>
  <c r="P2265" i="6"/>
  <c r="N2265" i="6"/>
  <c r="M2265" i="6"/>
  <c r="L2265" i="6"/>
  <c r="K2265" i="6"/>
  <c r="J2265" i="6"/>
  <c r="I2265" i="6"/>
  <c r="H2265" i="6"/>
  <c r="G2265" i="6"/>
  <c r="F2265" i="6"/>
  <c r="D2265" i="6"/>
  <c r="U2265" i="6" s="1"/>
  <c r="C2265" i="6"/>
  <c r="B2265" i="6"/>
  <c r="Q2264" i="6"/>
  <c r="N2264" i="6"/>
  <c r="M2264" i="6"/>
  <c r="L2264" i="6"/>
  <c r="K2264" i="6"/>
  <c r="J2264" i="6"/>
  <c r="I2264" i="6"/>
  <c r="P2264" i="6" s="1"/>
  <c r="H2264" i="6"/>
  <c r="G2264" i="6"/>
  <c r="F2264" i="6"/>
  <c r="D2264" i="6"/>
  <c r="U2264" i="6" s="1"/>
  <c r="C2264" i="6"/>
  <c r="B2264" i="6"/>
  <c r="Q2263" i="6"/>
  <c r="P2263" i="6"/>
  <c r="N2263" i="6"/>
  <c r="M2263" i="6"/>
  <c r="L2263" i="6"/>
  <c r="K2263" i="6"/>
  <c r="J2263" i="6"/>
  <c r="I2263" i="6"/>
  <c r="H2263" i="6"/>
  <c r="G2263" i="6"/>
  <c r="F2263" i="6"/>
  <c r="D2263" i="6"/>
  <c r="U2263" i="6" s="1"/>
  <c r="C2263" i="6"/>
  <c r="B2263" i="6"/>
  <c r="Q2262" i="6"/>
  <c r="N2262" i="6"/>
  <c r="M2262" i="6"/>
  <c r="L2262" i="6"/>
  <c r="K2262" i="6"/>
  <c r="J2262" i="6"/>
  <c r="I2262" i="6"/>
  <c r="P2262" i="6" s="1"/>
  <c r="H2262" i="6"/>
  <c r="G2262" i="6"/>
  <c r="F2262" i="6"/>
  <c r="D2262" i="6"/>
  <c r="U2262" i="6" s="1"/>
  <c r="C2262" i="6"/>
  <c r="B2262" i="6"/>
  <c r="Q2261" i="6"/>
  <c r="P2261" i="6"/>
  <c r="N2261" i="6"/>
  <c r="M2261" i="6"/>
  <c r="L2261" i="6"/>
  <c r="K2261" i="6"/>
  <c r="J2261" i="6"/>
  <c r="I2261" i="6"/>
  <c r="H2261" i="6"/>
  <c r="G2261" i="6"/>
  <c r="F2261" i="6"/>
  <c r="D2261" i="6"/>
  <c r="U2261" i="6" s="1"/>
  <c r="C2261" i="6"/>
  <c r="B2261" i="6"/>
  <c r="Q2260" i="6"/>
  <c r="N2260" i="6"/>
  <c r="M2260" i="6"/>
  <c r="L2260" i="6"/>
  <c r="K2260" i="6"/>
  <c r="J2260" i="6"/>
  <c r="I2260" i="6"/>
  <c r="P2260" i="6" s="1"/>
  <c r="H2260" i="6"/>
  <c r="G2260" i="6"/>
  <c r="F2260" i="6"/>
  <c r="D2260" i="6"/>
  <c r="U2260" i="6" s="1"/>
  <c r="C2260" i="6"/>
  <c r="B2260" i="6"/>
  <c r="Q2259" i="6"/>
  <c r="P2259" i="6"/>
  <c r="N2259" i="6"/>
  <c r="M2259" i="6"/>
  <c r="L2259" i="6"/>
  <c r="K2259" i="6"/>
  <c r="J2259" i="6"/>
  <c r="I2259" i="6"/>
  <c r="H2259" i="6"/>
  <c r="G2259" i="6"/>
  <c r="F2259" i="6"/>
  <c r="D2259" i="6"/>
  <c r="U2259" i="6" s="1"/>
  <c r="C2259" i="6"/>
  <c r="B2259" i="6"/>
  <c r="Q2258" i="6"/>
  <c r="N2258" i="6"/>
  <c r="M2258" i="6"/>
  <c r="L2258" i="6"/>
  <c r="K2258" i="6"/>
  <c r="J2258" i="6"/>
  <c r="I2258" i="6"/>
  <c r="P2258" i="6" s="1"/>
  <c r="H2258" i="6"/>
  <c r="G2258" i="6"/>
  <c r="F2258" i="6"/>
  <c r="D2258" i="6"/>
  <c r="U2258" i="6" s="1"/>
  <c r="C2258" i="6"/>
  <c r="B2258" i="6"/>
  <c r="Q2257" i="6"/>
  <c r="P2257" i="6"/>
  <c r="N2257" i="6"/>
  <c r="M2257" i="6"/>
  <c r="L2257" i="6"/>
  <c r="K2257" i="6"/>
  <c r="J2257" i="6"/>
  <c r="I2257" i="6"/>
  <c r="H2257" i="6"/>
  <c r="G2257" i="6"/>
  <c r="F2257" i="6"/>
  <c r="D2257" i="6"/>
  <c r="U2257" i="6" s="1"/>
  <c r="C2257" i="6"/>
  <c r="B2257" i="6"/>
  <c r="Q2256" i="6"/>
  <c r="N2256" i="6"/>
  <c r="M2256" i="6"/>
  <c r="L2256" i="6"/>
  <c r="K2256" i="6"/>
  <c r="J2256" i="6"/>
  <c r="I2256" i="6"/>
  <c r="P2256" i="6" s="1"/>
  <c r="H2256" i="6"/>
  <c r="G2256" i="6"/>
  <c r="F2256" i="6"/>
  <c r="D2256" i="6"/>
  <c r="U2256" i="6" s="1"/>
  <c r="C2256" i="6"/>
  <c r="B2256" i="6"/>
  <c r="Q2255" i="6"/>
  <c r="P2255" i="6"/>
  <c r="N2255" i="6"/>
  <c r="M2255" i="6"/>
  <c r="L2255" i="6"/>
  <c r="K2255" i="6"/>
  <c r="J2255" i="6"/>
  <c r="I2255" i="6"/>
  <c r="H2255" i="6"/>
  <c r="G2255" i="6"/>
  <c r="F2255" i="6"/>
  <c r="D2255" i="6"/>
  <c r="U2255" i="6" s="1"/>
  <c r="C2255" i="6"/>
  <c r="B2255" i="6"/>
  <c r="Q2254" i="6"/>
  <c r="N2254" i="6"/>
  <c r="M2254" i="6"/>
  <c r="L2254" i="6"/>
  <c r="K2254" i="6"/>
  <c r="J2254" i="6"/>
  <c r="I2254" i="6"/>
  <c r="P2254" i="6" s="1"/>
  <c r="H2254" i="6"/>
  <c r="G2254" i="6"/>
  <c r="F2254" i="6"/>
  <c r="D2254" i="6"/>
  <c r="U2254" i="6" s="1"/>
  <c r="C2254" i="6"/>
  <c r="B2254" i="6"/>
  <c r="Q2253" i="6"/>
  <c r="P2253" i="6"/>
  <c r="N2253" i="6"/>
  <c r="M2253" i="6"/>
  <c r="L2253" i="6"/>
  <c r="K2253" i="6"/>
  <c r="J2253" i="6"/>
  <c r="I2253" i="6"/>
  <c r="H2253" i="6"/>
  <c r="G2253" i="6"/>
  <c r="F2253" i="6"/>
  <c r="D2253" i="6"/>
  <c r="U2253" i="6" s="1"/>
  <c r="C2253" i="6"/>
  <c r="B2253" i="6"/>
  <c r="Q2252" i="6"/>
  <c r="N2252" i="6"/>
  <c r="M2252" i="6"/>
  <c r="L2252" i="6"/>
  <c r="K2252" i="6"/>
  <c r="J2252" i="6"/>
  <c r="I2252" i="6"/>
  <c r="P2252" i="6" s="1"/>
  <c r="H2252" i="6"/>
  <c r="G2252" i="6"/>
  <c r="F2252" i="6"/>
  <c r="D2252" i="6"/>
  <c r="U2252" i="6" s="1"/>
  <c r="C2252" i="6"/>
  <c r="B2252" i="6"/>
  <c r="Q2251" i="6"/>
  <c r="P2251" i="6"/>
  <c r="N2251" i="6"/>
  <c r="M2251" i="6"/>
  <c r="L2251" i="6"/>
  <c r="K2251" i="6"/>
  <c r="J2251" i="6"/>
  <c r="I2251" i="6"/>
  <c r="H2251" i="6"/>
  <c r="G2251" i="6"/>
  <c r="F2251" i="6"/>
  <c r="D2251" i="6"/>
  <c r="U2251" i="6" s="1"/>
  <c r="C2251" i="6"/>
  <c r="B2251" i="6"/>
  <c r="Q2250" i="6"/>
  <c r="N2250" i="6"/>
  <c r="M2250" i="6"/>
  <c r="L2250" i="6"/>
  <c r="K2250" i="6"/>
  <c r="J2250" i="6"/>
  <c r="I2250" i="6"/>
  <c r="P2250" i="6" s="1"/>
  <c r="H2250" i="6"/>
  <c r="G2250" i="6"/>
  <c r="F2250" i="6"/>
  <c r="D2250" i="6"/>
  <c r="U2250" i="6" s="1"/>
  <c r="C2250" i="6"/>
  <c r="B2250" i="6"/>
  <c r="Q2249" i="6"/>
  <c r="P2249" i="6"/>
  <c r="N2249" i="6"/>
  <c r="M2249" i="6"/>
  <c r="L2249" i="6"/>
  <c r="K2249" i="6"/>
  <c r="J2249" i="6"/>
  <c r="I2249" i="6"/>
  <c r="H2249" i="6"/>
  <c r="G2249" i="6"/>
  <c r="F2249" i="6"/>
  <c r="D2249" i="6"/>
  <c r="U2249" i="6" s="1"/>
  <c r="C2249" i="6"/>
  <c r="B2249" i="6"/>
  <c r="Q2248" i="6"/>
  <c r="N2248" i="6"/>
  <c r="M2248" i="6"/>
  <c r="L2248" i="6"/>
  <c r="K2248" i="6"/>
  <c r="J2248" i="6"/>
  <c r="I2248" i="6"/>
  <c r="P2248" i="6" s="1"/>
  <c r="H2248" i="6"/>
  <c r="G2248" i="6"/>
  <c r="F2248" i="6"/>
  <c r="D2248" i="6"/>
  <c r="U2248" i="6" s="1"/>
  <c r="C2248" i="6"/>
  <c r="B2248" i="6"/>
  <c r="Q2247" i="6"/>
  <c r="P2247" i="6"/>
  <c r="N2247" i="6"/>
  <c r="M2247" i="6"/>
  <c r="L2247" i="6"/>
  <c r="K2247" i="6"/>
  <c r="J2247" i="6"/>
  <c r="I2247" i="6"/>
  <c r="H2247" i="6"/>
  <c r="G2247" i="6"/>
  <c r="F2247" i="6"/>
  <c r="D2247" i="6"/>
  <c r="U2247" i="6" s="1"/>
  <c r="C2247" i="6"/>
  <c r="B2247" i="6"/>
  <c r="Q2246" i="6"/>
  <c r="N2246" i="6"/>
  <c r="M2246" i="6"/>
  <c r="L2246" i="6"/>
  <c r="K2246" i="6"/>
  <c r="J2246" i="6"/>
  <c r="I2246" i="6"/>
  <c r="P2246" i="6" s="1"/>
  <c r="H2246" i="6"/>
  <c r="G2246" i="6"/>
  <c r="F2246" i="6"/>
  <c r="D2246" i="6"/>
  <c r="U2246" i="6" s="1"/>
  <c r="C2246" i="6"/>
  <c r="B2246" i="6"/>
  <c r="Q2245" i="6"/>
  <c r="P2245" i="6"/>
  <c r="N2245" i="6"/>
  <c r="M2245" i="6"/>
  <c r="L2245" i="6"/>
  <c r="K2245" i="6"/>
  <c r="J2245" i="6"/>
  <c r="I2245" i="6"/>
  <c r="H2245" i="6"/>
  <c r="G2245" i="6"/>
  <c r="F2245" i="6"/>
  <c r="D2245" i="6"/>
  <c r="U2245" i="6" s="1"/>
  <c r="C2245" i="6"/>
  <c r="B2245" i="6"/>
  <c r="Q2244" i="6"/>
  <c r="N2244" i="6"/>
  <c r="M2244" i="6"/>
  <c r="L2244" i="6"/>
  <c r="K2244" i="6"/>
  <c r="J2244" i="6"/>
  <c r="I2244" i="6"/>
  <c r="P2244" i="6" s="1"/>
  <c r="H2244" i="6"/>
  <c r="G2244" i="6"/>
  <c r="F2244" i="6"/>
  <c r="D2244" i="6"/>
  <c r="U2244" i="6" s="1"/>
  <c r="C2244" i="6"/>
  <c r="B2244" i="6"/>
  <c r="Q2243" i="6"/>
  <c r="P2243" i="6"/>
  <c r="N2243" i="6"/>
  <c r="M2243" i="6"/>
  <c r="L2243" i="6"/>
  <c r="K2243" i="6"/>
  <c r="J2243" i="6"/>
  <c r="I2243" i="6"/>
  <c r="H2243" i="6"/>
  <c r="G2243" i="6"/>
  <c r="F2243" i="6"/>
  <c r="D2243" i="6"/>
  <c r="U2243" i="6" s="1"/>
  <c r="C2243" i="6"/>
  <c r="B2243" i="6"/>
  <c r="Q2242" i="6"/>
  <c r="N2242" i="6"/>
  <c r="M2242" i="6"/>
  <c r="L2242" i="6"/>
  <c r="K2242" i="6"/>
  <c r="J2242" i="6"/>
  <c r="I2242" i="6"/>
  <c r="P2242" i="6" s="1"/>
  <c r="H2242" i="6"/>
  <c r="G2242" i="6"/>
  <c r="F2242" i="6"/>
  <c r="D2242" i="6"/>
  <c r="U2242" i="6" s="1"/>
  <c r="C2242" i="6"/>
  <c r="B2242" i="6"/>
  <c r="Q2241" i="6"/>
  <c r="P2241" i="6"/>
  <c r="N2241" i="6"/>
  <c r="M2241" i="6"/>
  <c r="L2241" i="6"/>
  <c r="K2241" i="6"/>
  <c r="J2241" i="6"/>
  <c r="I2241" i="6"/>
  <c r="H2241" i="6"/>
  <c r="G2241" i="6"/>
  <c r="F2241" i="6"/>
  <c r="D2241" i="6"/>
  <c r="U2241" i="6" s="1"/>
  <c r="C2241" i="6"/>
  <c r="B2241" i="6"/>
  <c r="Q2240" i="6"/>
  <c r="N2240" i="6"/>
  <c r="M2240" i="6"/>
  <c r="L2240" i="6"/>
  <c r="K2240" i="6"/>
  <c r="J2240" i="6"/>
  <c r="I2240" i="6"/>
  <c r="P2240" i="6" s="1"/>
  <c r="H2240" i="6"/>
  <c r="G2240" i="6"/>
  <c r="F2240" i="6"/>
  <c r="D2240" i="6"/>
  <c r="U2240" i="6" s="1"/>
  <c r="C2240" i="6"/>
  <c r="B2240" i="6"/>
  <c r="Q2239" i="6"/>
  <c r="P2239" i="6"/>
  <c r="N2239" i="6"/>
  <c r="M2239" i="6"/>
  <c r="L2239" i="6"/>
  <c r="K2239" i="6"/>
  <c r="J2239" i="6"/>
  <c r="I2239" i="6"/>
  <c r="H2239" i="6"/>
  <c r="G2239" i="6"/>
  <c r="F2239" i="6"/>
  <c r="D2239" i="6"/>
  <c r="U2239" i="6" s="1"/>
  <c r="C2239" i="6"/>
  <c r="B2239" i="6"/>
  <c r="Q2238" i="6"/>
  <c r="N2238" i="6"/>
  <c r="M2238" i="6"/>
  <c r="L2238" i="6"/>
  <c r="K2238" i="6"/>
  <c r="J2238" i="6"/>
  <c r="I2238" i="6"/>
  <c r="P2238" i="6" s="1"/>
  <c r="H2238" i="6"/>
  <c r="G2238" i="6"/>
  <c r="F2238" i="6"/>
  <c r="D2238" i="6"/>
  <c r="U2238" i="6" s="1"/>
  <c r="C2238" i="6"/>
  <c r="B2238" i="6"/>
  <c r="Q2237" i="6"/>
  <c r="P2237" i="6"/>
  <c r="N2237" i="6"/>
  <c r="M2237" i="6"/>
  <c r="L2237" i="6"/>
  <c r="K2237" i="6"/>
  <c r="J2237" i="6"/>
  <c r="I2237" i="6"/>
  <c r="H2237" i="6"/>
  <c r="G2237" i="6"/>
  <c r="F2237" i="6"/>
  <c r="D2237" i="6"/>
  <c r="U2237" i="6" s="1"/>
  <c r="C2237" i="6"/>
  <c r="B2237" i="6"/>
  <c r="Q2236" i="6"/>
  <c r="N2236" i="6"/>
  <c r="M2236" i="6"/>
  <c r="L2236" i="6"/>
  <c r="K2236" i="6"/>
  <c r="J2236" i="6"/>
  <c r="I2236" i="6"/>
  <c r="P2236" i="6" s="1"/>
  <c r="H2236" i="6"/>
  <c r="G2236" i="6"/>
  <c r="F2236" i="6"/>
  <c r="D2236" i="6"/>
  <c r="U2236" i="6" s="1"/>
  <c r="C2236" i="6"/>
  <c r="B2236" i="6"/>
  <c r="Q2235" i="6"/>
  <c r="P2235" i="6"/>
  <c r="N2235" i="6"/>
  <c r="M2235" i="6"/>
  <c r="L2235" i="6"/>
  <c r="K2235" i="6"/>
  <c r="J2235" i="6"/>
  <c r="I2235" i="6"/>
  <c r="H2235" i="6"/>
  <c r="G2235" i="6"/>
  <c r="F2235" i="6"/>
  <c r="D2235" i="6"/>
  <c r="U2235" i="6" s="1"/>
  <c r="C2235" i="6"/>
  <c r="B2235" i="6"/>
  <c r="Q2234" i="6"/>
  <c r="N2234" i="6"/>
  <c r="M2234" i="6"/>
  <c r="L2234" i="6"/>
  <c r="K2234" i="6"/>
  <c r="J2234" i="6"/>
  <c r="I2234" i="6"/>
  <c r="P2234" i="6" s="1"/>
  <c r="H2234" i="6"/>
  <c r="G2234" i="6"/>
  <c r="F2234" i="6"/>
  <c r="D2234" i="6"/>
  <c r="U2234" i="6" s="1"/>
  <c r="C2234" i="6"/>
  <c r="B2234" i="6"/>
  <c r="Q2233" i="6"/>
  <c r="P2233" i="6"/>
  <c r="N2233" i="6"/>
  <c r="M2233" i="6"/>
  <c r="L2233" i="6"/>
  <c r="K2233" i="6"/>
  <c r="J2233" i="6"/>
  <c r="I2233" i="6"/>
  <c r="H2233" i="6"/>
  <c r="G2233" i="6"/>
  <c r="F2233" i="6"/>
  <c r="D2233" i="6"/>
  <c r="U2233" i="6" s="1"/>
  <c r="C2233" i="6"/>
  <c r="B2233" i="6"/>
  <c r="Q2232" i="6"/>
  <c r="N2232" i="6"/>
  <c r="M2232" i="6"/>
  <c r="L2232" i="6"/>
  <c r="K2232" i="6"/>
  <c r="J2232" i="6"/>
  <c r="I2232" i="6"/>
  <c r="P2232" i="6" s="1"/>
  <c r="H2232" i="6"/>
  <c r="G2232" i="6"/>
  <c r="F2232" i="6"/>
  <c r="D2232" i="6"/>
  <c r="U2232" i="6" s="1"/>
  <c r="C2232" i="6"/>
  <c r="B2232" i="6"/>
  <c r="Q2231" i="6"/>
  <c r="P2231" i="6"/>
  <c r="N2231" i="6"/>
  <c r="M2231" i="6"/>
  <c r="L2231" i="6"/>
  <c r="K2231" i="6"/>
  <c r="J2231" i="6"/>
  <c r="I2231" i="6"/>
  <c r="H2231" i="6"/>
  <c r="G2231" i="6"/>
  <c r="F2231" i="6"/>
  <c r="D2231" i="6"/>
  <c r="U2231" i="6" s="1"/>
  <c r="C2231" i="6"/>
  <c r="B2231" i="6"/>
  <c r="Q2230" i="6"/>
  <c r="N2230" i="6"/>
  <c r="M2230" i="6"/>
  <c r="L2230" i="6"/>
  <c r="K2230" i="6"/>
  <c r="J2230" i="6"/>
  <c r="I2230" i="6"/>
  <c r="P2230" i="6" s="1"/>
  <c r="H2230" i="6"/>
  <c r="G2230" i="6"/>
  <c r="F2230" i="6"/>
  <c r="D2230" i="6"/>
  <c r="U2230" i="6" s="1"/>
  <c r="C2230" i="6"/>
  <c r="B2230" i="6"/>
  <c r="Q2229" i="6"/>
  <c r="P2229" i="6"/>
  <c r="N2229" i="6"/>
  <c r="M2229" i="6"/>
  <c r="L2229" i="6"/>
  <c r="K2229" i="6"/>
  <c r="J2229" i="6"/>
  <c r="I2229" i="6"/>
  <c r="H2229" i="6"/>
  <c r="G2229" i="6"/>
  <c r="F2229" i="6"/>
  <c r="D2229" i="6"/>
  <c r="U2229" i="6" s="1"/>
  <c r="C2229" i="6"/>
  <c r="B2229" i="6"/>
  <c r="Q2228" i="6"/>
  <c r="N2228" i="6"/>
  <c r="M2228" i="6"/>
  <c r="L2228" i="6"/>
  <c r="K2228" i="6"/>
  <c r="J2228" i="6"/>
  <c r="I2228" i="6"/>
  <c r="P2228" i="6" s="1"/>
  <c r="H2228" i="6"/>
  <c r="G2228" i="6"/>
  <c r="F2228" i="6"/>
  <c r="D2228" i="6"/>
  <c r="U2228" i="6" s="1"/>
  <c r="C2228" i="6"/>
  <c r="B2228" i="6"/>
  <c r="Q2227" i="6"/>
  <c r="P2227" i="6"/>
  <c r="N2227" i="6"/>
  <c r="M2227" i="6"/>
  <c r="L2227" i="6"/>
  <c r="K2227" i="6"/>
  <c r="J2227" i="6"/>
  <c r="I2227" i="6"/>
  <c r="H2227" i="6"/>
  <c r="G2227" i="6"/>
  <c r="F2227" i="6"/>
  <c r="D2227" i="6"/>
  <c r="U2227" i="6" s="1"/>
  <c r="C2227" i="6"/>
  <c r="B2227" i="6"/>
  <c r="Q2226" i="6"/>
  <c r="N2226" i="6"/>
  <c r="M2226" i="6"/>
  <c r="L2226" i="6"/>
  <c r="K2226" i="6"/>
  <c r="J2226" i="6"/>
  <c r="I2226" i="6"/>
  <c r="P2226" i="6" s="1"/>
  <c r="H2226" i="6"/>
  <c r="G2226" i="6"/>
  <c r="F2226" i="6"/>
  <c r="D2226" i="6"/>
  <c r="U2226" i="6" s="1"/>
  <c r="C2226" i="6"/>
  <c r="B2226" i="6"/>
  <c r="Q2225" i="6"/>
  <c r="P2225" i="6"/>
  <c r="N2225" i="6"/>
  <c r="M2225" i="6"/>
  <c r="L2225" i="6"/>
  <c r="K2225" i="6"/>
  <c r="J2225" i="6"/>
  <c r="I2225" i="6"/>
  <c r="H2225" i="6"/>
  <c r="G2225" i="6"/>
  <c r="F2225" i="6"/>
  <c r="D2225" i="6"/>
  <c r="U2225" i="6" s="1"/>
  <c r="C2225" i="6"/>
  <c r="B2225" i="6"/>
  <c r="Q2224" i="6"/>
  <c r="N2224" i="6"/>
  <c r="M2224" i="6"/>
  <c r="L2224" i="6"/>
  <c r="K2224" i="6"/>
  <c r="J2224" i="6"/>
  <c r="I2224" i="6"/>
  <c r="P2224" i="6" s="1"/>
  <c r="H2224" i="6"/>
  <c r="G2224" i="6"/>
  <c r="F2224" i="6"/>
  <c r="D2224" i="6"/>
  <c r="U2224" i="6" s="1"/>
  <c r="C2224" i="6"/>
  <c r="B2224" i="6"/>
  <c r="Q2223" i="6"/>
  <c r="P2223" i="6"/>
  <c r="N2223" i="6"/>
  <c r="M2223" i="6"/>
  <c r="L2223" i="6"/>
  <c r="K2223" i="6"/>
  <c r="J2223" i="6"/>
  <c r="I2223" i="6"/>
  <c r="H2223" i="6"/>
  <c r="G2223" i="6"/>
  <c r="F2223" i="6"/>
  <c r="D2223" i="6"/>
  <c r="U2223" i="6" s="1"/>
  <c r="C2223" i="6"/>
  <c r="B2223" i="6"/>
  <c r="Q2222" i="6"/>
  <c r="N2222" i="6"/>
  <c r="M2222" i="6"/>
  <c r="L2222" i="6"/>
  <c r="K2222" i="6"/>
  <c r="J2222" i="6"/>
  <c r="I2222" i="6"/>
  <c r="P2222" i="6" s="1"/>
  <c r="H2222" i="6"/>
  <c r="G2222" i="6"/>
  <c r="F2222" i="6"/>
  <c r="D2222" i="6"/>
  <c r="U2222" i="6" s="1"/>
  <c r="C2222" i="6"/>
  <c r="B2222" i="6"/>
  <c r="Q2221" i="6"/>
  <c r="P2221" i="6"/>
  <c r="N2221" i="6"/>
  <c r="M2221" i="6"/>
  <c r="L2221" i="6"/>
  <c r="K2221" i="6"/>
  <c r="J2221" i="6"/>
  <c r="I2221" i="6"/>
  <c r="H2221" i="6"/>
  <c r="G2221" i="6"/>
  <c r="F2221" i="6"/>
  <c r="D2221" i="6"/>
  <c r="U2221" i="6" s="1"/>
  <c r="C2221" i="6"/>
  <c r="B2221" i="6"/>
  <c r="Q2220" i="6"/>
  <c r="N2220" i="6"/>
  <c r="M2220" i="6"/>
  <c r="L2220" i="6"/>
  <c r="K2220" i="6"/>
  <c r="J2220" i="6"/>
  <c r="I2220" i="6"/>
  <c r="P2220" i="6" s="1"/>
  <c r="H2220" i="6"/>
  <c r="G2220" i="6"/>
  <c r="F2220" i="6"/>
  <c r="D2220" i="6"/>
  <c r="U2220" i="6" s="1"/>
  <c r="C2220" i="6"/>
  <c r="B2220" i="6"/>
  <c r="Q2219" i="6"/>
  <c r="P2219" i="6"/>
  <c r="N2219" i="6"/>
  <c r="M2219" i="6"/>
  <c r="L2219" i="6"/>
  <c r="K2219" i="6"/>
  <c r="J2219" i="6"/>
  <c r="I2219" i="6"/>
  <c r="H2219" i="6"/>
  <c r="G2219" i="6"/>
  <c r="F2219" i="6"/>
  <c r="D2219" i="6"/>
  <c r="U2219" i="6" s="1"/>
  <c r="C2219" i="6"/>
  <c r="B2219" i="6"/>
  <c r="Q2218" i="6"/>
  <c r="N2218" i="6"/>
  <c r="M2218" i="6"/>
  <c r="L2218" i="6"/>
  <c r="K2218" i="6"/>
  <c r="J2218" i="6"/>
  <c r="I2218" i="6"/>
  <c r="P2218" i="6" s="1"/>
  <c r="H2218" i="6"/>
  <c r="G2218" i="6"/>
  <c r="F2218" i="6"/>
  <c r="D2218" i="6"/>
  <c r="U2218" i="6" s="1"/>
  <c r="C2218" i="6"/>
  <c r="B2218" i="6"/>
  <c r="Q2217" i="6"/>
  <c r="P2217" i="6"/>
  <c r="N2217" i="6"/>
  <c r="M2217" i="6"/>
  <c r="L2217" i="6"/>
  <c r="K2217" i="6"/>
  <c r="J2217" i="6"/>
  <c r="I2217" i="6"/>
  <c r="H2217" i="6"/>
  <c r="G2217" i="6"/>
  <c r="F2217" i="6"/>
  <c r="D2217" i="6"/>
  <c r="U2217" i="6" s="1"/>
  <c r="C2217" i="6"/>
  <c r="B2217" i="6"/>
  <c r="Q2216" i="6"/>
  <c r="N2216" i="6"/>
  <c r="M2216" i="6"/>
  <c r="L2216" i="6"/>
  <c r="K2216" i="6"/>
  <c r="J2216" i="6"/>
  <c r="I2216" i="6"/>
  <c r="P2216" i="6" s="1"/>
  <c r="H2216" i="6"/>
  <c r="G2216" i="6"/>
  <c r="F2216" i="6"/>
  <c r="D2216" i="6"/>
  <c r="U2216" i="6" s="1"/>
  <c r="C2216" i="6"/>
  <c r="B2216" i="6"/>
  <c r="Q2215" i="6"/>
  <c r="P2215" i="6"/>
  <c r="N2215" i="6"/>
  <c r="M2215" i="6"/>
  <c r="L2215" i="6"/>
  <c r="K2215" i="6"/>
  <c r="J2215" i="6"/>
  <c r="I2215" i="6"/>
  <c r="H2215" i="6"/>
  <c r="G2215" i="6"/>
  <c r="F2215" i="6"/>
  <c r="D2215" i="6"/>
  <c r="U2215" i="6" s="1"/>
  <c r="C2215" i="6"/>
  <c r="B2215" i="6"/>
  <c r="Q2214" i="6"/>
  <c r="N2214" i="6"/>
  <c r="M2214" i="6"/>
  <c r="L2214" i="6"/>
  <c r="K2214" i="6"/>
  <c r="J2214" i="6"/>
  <c r="I2214" i="6"/>
  <c r="P2214" i="6" s="1"/>
  <c r="H2214" i="6"/>
  <c r="G2214" i="6"/>
  <c r="F2214" i="6"/>
  <c r="D2214" i="6"/>
  <c r="U2214" i="6" s="1"/>
  <c r="C2214" i="6"/>
  <c r="B2214" i="6"/>
  <c r="Q2213" i="6"/>
  <c r="P2213" i="6"/>
  <c r="N2213" i="6"/>
  <c r="M2213" i="6"/>
  <c r="L2213" i="6"/>
  <c r="K2213" i="6"/>
  <c r="J2213" i="6"/>
  <c r="I2213" i="6"/>
  <c r="H2213" i="6"/>
  <c r="G2213" i="6"/>
  <c r="F2213" i="6"/>
  <c r="D2213" i="6"/>
  <c r="U2213" i="6" s="1"/>
  <c r="C2213" i="6"/>
  <c r="B2213" i="6"/>
  <c r="Q2212" i="6"/>
  <c r="N2212" i="6"/>
  <c r="M2212" i="6"/>
  <c r="L2212" i="6"/>
  <c r="K2212" i="6"/>
  <c r="J2212" i="6"/>
  <c r="I2212" i="6"/>
  <c r="P2212" i="6" s="1"/>
  <c r="H2212" i="6"/>
  <c r="G2212" i="6"/>
  <c r="F2212" i="6"/>
  <c r="D2212" i="6"/>
  <c r="U2212" i="6" s="1"/>
  <c r="C2212" i="6"/>
  <c r="B2212" i="6"/>
  <c r="Q2211" i="6"/>
  <c r="P2211" i="6"/>
  <c r="N2211" i="6"/>
  <c r="M2211" i="6"/>
  <c r="L2211" i="6"/>
  <c r="K2211" i="6"/>
  <c r="J2211" i="6"/>
  <c r="I2211" i="6"/>
  <c r="H2211" i="6"/>
  <c r="G2211" i="6"/>
  <c r="F2211" i="6"/>
  <c r="D2211" i="6"/>
  <c r="U2211" i="6" s="1"/>
  <c r="C2211" i="6"/>
  <c r="B2211" i="6"/>
  <c r="Q2210" i="6"/>
  <c r="N2210" i="6"/>
  <c r="M2210" i="6"/>
  <c r="L2210" i="6"/>
  <c r="K2210" i="6"/>
  <c r="J2210" i="6"/>
  <c r="I2210" i="6"/>
  <c r="P2210" i="6" s="1"/>
  <c r="H2210" i="6"/>
  <c r="G2210" i="6"/>
  <c r="F2210" i="6"/>
  <c r="D2210" i="6"/>
  <c r="U2210" i="6" s="1"/>
  <c r="C2210" i="6"/>
  <c r="B2210" i="6"/>
  <c r="Q2209" i="6"/>
  <c r="P2209" i="6"/>
  <c r="N2209" i="6"/>
  <c r="M2209" i="6"/>
  <c r="L2209" i="6"/>
  <c r="K2209" i="6"/>
  <c r="J2209" i="6"/>
  <c r="I2209" i="6"/>
  <c r="H2209" i="6"/>
  <c r="G2209" i="6"/>
  <c r="F2209" i="6"/>
  <c r="D2209" i="6"/>
  <c r="U2209" i="6" s="1"/>
  <c r="C2209" i="6"/>
  <c r="B2209" i="6"/>
  <c r="Q2208" i="6"/>
  <c r="N2208" i="6"/>
  <c r="M2208" i="6"/>
  <c r="L2208" i="6"/>
  <c r="K2208" i="6"/>
  <c r="J2208" i="6"/>
  <c r="I2208" i="6"/>
  <c r="P2208" i="6" s="1"/>
  <c r="H2208" i="6"/>
  <c r="G2208" i="6"/>
  <c r="F2208" i="6"/>
  <c r="D2208" i="6"/>
  <c r="U2208" i="6" s="1"/>
  <c r="C2208" i="6"/>
  <c r="B2208" i="6"/>
  <c r="Q2207" i="6"/>
  <c r="P2207" i="6"/>
  <c r="N2207" i="6"/>
  <c r="M2207" i="6"/>
  <c r="L2207" i="6"/>
  <c r="K2207" i="6"/>
  <c r="J2207" i="6"/>
  <c r="I2207" i="6"/>
  <c r="H2207" i="6"/>
  <c r="G2207" i="6"/>
  <c r="F2207" i="6"/>
  <c r="D2207" i="6"/>
  <c r="U2207" i="6" s="1"/>
  <c r="C2207" i="6"/>
  <c r="B2207" i="6"/>
  <c r="Q2206" i="6"/>
  <c r="N2206" i="6"/>
  <c r="M2206" i="6"/>
  <c r="L2206" i="6"/>
  <c r="K2206" i="6"/>
  <c r="J2206" i="6"/>
  <c r="I2206" i="6"/>
  <c r="P2206" i="6" s="1"/>
  <c r="H2206" i="6"/>
  <c r="G2206" i="6"/>
  <c r="F2206" i="6"/>
  <c r="D2206" i="6"/>
  <c r="U2206" i="6" s="1"/>
  <c r="C2206" i="6"/>
  <c r="B2206" i="6"/>
  <c r="Q2205" i="6"/>
  <c r="P2205" i="6"/>
  <c r="N2205" i="6"/>
  <c r="M2205" i="6"/>
  <c r="L2205" i="6"/>
  <c r="K2205" i="6"/>
  <c r="J2205" i="6"/>
  <c r="I2205" i="6"/>
  <c r="H2205" i="6"/>
  <c r="G2205" i="6"/>
  <c r="F2205" i="6"/>
  <c r="D2205" i="6"/>
  <c r="U2205" i="6" s="1"/>
  <c r="C2205" i="6"/>
  <c r="B2205" i="6"/>
  <c r="Q2204" i="6"/>
  <c r="N2204" i="6"/>
  <c r="M2204" i="6"/>
  <c r="L2204" i="6"/>
  <c r="K2204" i="6"/>
  <c r="J2204" i="6"/>
  <c r="I2204" i="6"/>
  <c r="P2204" i="6" s="1"/>
  <c r="H2204" i="6"/>
  <c r="G2204" i="6"/>
  <c r="F2204" i="6"/>
  <c r="D2204" i="6"/>
  <c r="U2204" i="6" s="1"/>
  <c r="C2204" i="6"/>
  <c r="B2204" i="6"/>
  <c r="Q2203" i="6"/>
  <c r="P2203" i="6"/>
  <c r="N2203" i="6"/>
  <c r="M2203" i="6"/>
  <c r="L2203" i="6"/>
  <c r="K2203" i="6"/>
  <c r="J2203" i="6"/>
  <c r="I2203" i="6"/>
  <c r="H2203" i="6"/>
  <c r="G2203" i="6"/>
  <c r="F2203" i="6"/>
  <c r="D2203" i="6"/>
  <c r="U2203" i="6" s="1"/>
  <c r="C2203" i="6"/>
  <c r="B2203" i="6"/>
  <c r="Q2202" i="6"/>
  <c r="N2202" i="6"/>
  <c r="M2202" i="6"/>
  <c r="L2202" i="6"/>
  <c r="K2202" i="6"/>
  <c r="J2202" i="6"/>
  <c r="I2202" i="6"/>
  <c r="P2202" i="6" s="1"/>
  <c r="H2202" i="6"/>
  <c r="G2202" i="6"/>
  <c r="F2202" i="6"/>
  <c r="D2202" i="6"/>
  <c r="U2202" i="6" s="1"/>
  <c r="C2202" i="6"/>
  <c r="B2202" i="6"/>
  <c r="Q2201" i="6"/>
  <c r="P2201" i="6"/>
  <c r="N2201" i="6"/>
  <c r="M2201" i="6"/>
  <c r="L2201" i="6"/>
  <c r="K2201" i="6"/>
  <c r="J2201" i="6"/>
  <c r="I2201" i="6"/>
  <c r="H2201" i="6"/>
  <c r="G2201" i="6"/>
  <c r="F2201" i="6"/>
  <c r="D2201" i="6"/>
  <c r="U2201" i="6" s="1"/>
  <c r="C2201" i="6"/>
  <c r="B2201" i="6"/>
  <c r="Q2200" i="6"/>
  <c r="N2200" i="6"/>
  <c r="M2200" i="6"/>
  <c r="L2200" i="6"/>
  <c r="K2200" i="6"/>
  <c r="J2200" i="6"/>
  <c r="I2200" i="6"/>
  <c r="P2200" i="6" s="1"/>
  <c r="H2200" i="6"/>
  <c r="G2200" i="6"/>
  <c r="F2200" i="6"/>
  <c r="D2200" i="6"/>
  <c r="U2200" i="6" s="1"/>
  <c r="C2200" i="6"/>
  <c r="B2200" i="6"/>
  <c r="Q2199" i="6"/>
  <c r="P2199" i="6"/>
  <c r="N2199" i="6"/>
  <c r="M2199" i="6"/>
  <c r="L2199" i="6"/>
  <c r="K2199" i="6"/>
  <c r="J2199" i="6"/>
  <c r="I2199" i="6"/>
  <c r="H2199" i="6"/>
  <c r="G2199" i="6"/>
  <c r="F2199" i="6"/>
  <c r="D2199" i="6"/>
  <c r="U2199" i="6" s="1"/>
  <c r="C2199" i="6"/>
  <c r="B2199" i="6"/>
  <c r="Q2198" i="6"/>
  <c r="N2198" i="6"/>
  <c r="M2198" i="6"/>
  <c r="L2198" i="6"/>
  <c r="K2198" i="6"/>
  <c r="J2198" i="6"/>
  <c r="I2198" i="6"/>
  <c r="P2198" i="6" s="1"/>
  <c r="H2198" i="6"/>
  <c r="G2198" i="6"/>
  <c r="F2198" i="6"/>
  <c r="D2198" i="6"/>
  <c r="U2198" i="6" s="1"/>
  <c r="C2198" i="6"/>
  <c r="B2198" i="6"/>
  <c r="Q2197" i="6"/>
  <c r="P2197" i="6"/>
  <c r="N2197" i="6"/>
  <c r="M2197" i="6"/>
  <c r="L2197" i="6"/>
  <c r="K2197" i="6"/>
  <c r="J2197" i="6"/>
  <c r="I2197" i="6"/>
  <c r="H2197" i="6"/>
  <c r="G2197" i="6"/>
  <c r="F2197" i="6"/>
  <c r="D2197" i="6"/>
  <c r="U2197" i="6" s="1"/>
  <c r="C2197" i="6"/>
  <c r="B2197" i="6"/>
  <c r="Q2196" i="6"/>
  <c r="N2196" i="6"/>
  <c r="M2196" i="6"/>
  <c r="L2196" i="6"/>
  <c r="K2196" i="6"/>
  <c r="J2196" i="6"/>
  <c r="I2196" i="6"/>
  <c r="P2196" i="6" s="1"/>
  <c r="H2196" i="6"/>
  <c r="G2196" i="6"/>
  <c r="F2196" i="6"/>
  <c r="D2196" i="6"/>
  <c r="U2196" i="6" s="1"/>
  <c r="C2196" i="6"/>
  <c r="B2196" i="6"/>
  <c r="Q2195" i="6"/>
  <c r="P2195" i="6"/>
  <c r="N2195" i="6"/>
  <c r="M2195" i="6"/>
  <c r="L2195" i="6"/>
  <c r="K2195" i="6"/>
  <c r="J2195" i="6"/>
  <c r="I2195" i="6"/>
  <c r="H2195" i="6"/>
  <c r="G2195" i="6"/>
  <c r="F2195" i="6"/>
  <c r="D2195" i="6"/>
  <c r="U2195" i="6" s="1"/>
  <c r="C2195" i="6"/>
  <c r="B2195" i="6"/>
  <c r="Q2194" i="6"/>
  <c r="N2194" i="6"/>
  <c r="M2194" i="6"/>
  <c r="L2194" i="6"/>
  <c r="K2194" i="6"/>
  <c r="J2194" i="6"/>
  <c r="I2194" i="6"/>
  <c r="P2194" i="6" s="1"/>
  <c r="H2194" i="6"/>
  <c r="G2194" i="6"/>
  <c r="F2194" i="6"/>
  <c r="D2194" i="6"/>
  <c r="U2194" i="6" s="1"/>
  <c r="C2194" i="6"/>
  <c r="B2194" i="6"/>
  <c r="Q2193" i="6"/>
  <c r="P2193" i="6"/>
  <c r="N2193" i="6"/>
  <c r="M2193" i="6"/>
  <c r="L2193" i="6"/>
  <c r="K2193" i="6"/>
  <c r="J2193" i="6"/>
  <c r="I2193" i="6"/>
  <c r="H2193" i="6"/>
  <c r="G2193" i="6"/>
  <c r="F2193" i="6"/>
  <c r="D2193" i="6"/>
  <c r="U2193" i="6" s="1"/>
  <c r="C2193" i="6"/>
  <c r="B2193" i="6"/>
  <c r="Q2192" i="6"/>
  <c r="N2192" i="6"/>
  <c r="M2192" i="6"/>
  <c r="L2192" i="6"/>
  <c r="K2192" i="6"/>
  <c r="J2192" i="6"/>
  <c r="I2192" i="6"/>
  <c r="P2192" i="6" s="1"/>
  <c r="H2192" i="6"/>
  <c r="G2192" i="6"/>
  <c r="F2192" i="6"/>
  <c r="D2192" i="6"/>
  <c r="U2192" i="6" s="1"/>
  <c r="C2192" i="6"/>
  <c r="B2192" i="6"/>
  <c r="Q2191" i="6"/>
  <c r="P2191" i="6"/>
  <c r="N2191" i="6"/>
  <c r="M2191" i="6"/>
  <c r="L2191" i="6"/>
  <c r="K2191" i="6"/>
  <c r="J2191" i="6"/>
  <c r="I2191" i="6"/>
  <c r="H2191" i="6"/>
  <c r="G2191" i="6"/>
  <c r="F2191" i="6"/>
  <c r="D2191" i="6"/>
  <c r="U2191" i="6" s="1"/>
  <c r="C2191" i="6"/>
  <c r="B2191" i="6"/>
  <c r="Q2190" i="6"/>
  <c r="N2190" i="6"/>
  <c r="M2190" i="6"/>
  <c r="L2190" i="6"/>
  <c r="K2190" i="6"/>
  <c r="J2190" i="6"/>
  <c r="I2190" i="6"/>
  <c r="P2190" i="6" s="1"/>
  <c r="H2190" i="6"/>
  <c r="G2190" i="6"/>
  <c r="F2190" i="6"/>
  <c r="D2190" i="6"/>
  <c r="U2190" i="6" s="1"/>
  <c r="C2190" i="6"/>
  <c r="B2190" i="6"/>
  <c r="Q2189" i="6"/>
  <c r="P2189" i="6"/>
  <c r="N2189" i="6"/>
  <c r="M2189" i="6"/>
  <c r="L2189" i="6"/>
  <c r="K2189" i="6"/>
  <c r="J2189" i="6"/>
  <c r="I2189" i="6"/>
  <c r="H2189" i="6"/>
  <c r="G2189" i="6"/>
  <c r="F2189" i="6"/>
  <c r="D2189" i="6"/>
  <c r="U2189" i="6" s="1"/>
  <c r="C2189" i="6"/>
  <c r="B2189" i="6"/>
  <c r="Q2188" i="6"/>
  <c r="N2188" i="6"/>
  <c r="M2188" i="6"/>
  <c r="L2188" i="6"/>
  <c r="K2188" i="6"/>
  <c r="J2188" i="6"/>
  <c r="I2188" i="6"/>
  <c r="P2188" i="6" s="1"/>
  <c r="H2188" i="6"/>
  <c r="G2188" i="6"/>
  <c r="F2188" i="6"/>
  <c r="D2188" i="6"/>
  <c r="U2188" i="6" s="1"/>
  <c r="C2188" i="6"/>
  <c r="B2188" i="6"/>
  <c r="Q2187" i="6"/>
  <c r="P2187" i="6"/>
  <c r="N2187" i="6"/>
  <c r="M2187" i="6"/>
  <c r="L2187" i="6"/>
  <c r="K2187" i="6"/>
  <c r="J2187" i="6"/>
  <c r="I2187" i="6"/>
  <c r="H2187" i="6"/>
  <c r="G2187" i="6"/>
  <c r="F2187" i="6"/>
  <c r="D2187" i="6"/>
  <c r="U2187" i="6" s="1"/>
  <c r="C2187" i="6"/>
  <c r="B2187" i="6"/>
  <c r="Q2186" i="6"/>
  <c r="N2186" i="6"/>
  <c r="M2186" i="6"/>
  <c r="L2186" i="6"/>
  <c r="K2186" i="6"/>
  <c r="J2186" i="6"/>
  <c r="I2186" i="6"/>
  <c r="P2186" i="6" s="1"/>
  <c r="H2186" i="6"/>
  <c r="G2186" i="6"/>
  <c r="F2186" i="6"/>
  <c r="D2186" i="6"/>
  <c r="U2186" i="6" s="1"/>
  <c r="C2186" i="6"/>
  <c r="B2186" i="6"/>
  <c r="Q2185" i="6"/>
  <c r="P2185" i="6"/>
  <c r="N2185" i="6"/>
  <c r="M2185" i="6"/>
  <c r="L2185" i="6"/>
  <c r="K2185" i="6"/>
  <c r="J2185" i="6"/>
  <c r="I2185" i="6"/>
  <c r="H2185" i="6"/>
  <c r="G2185" i="6"/>
  <c r="F2185" i="6"/>
  <c r="D2185" i="6"/>
  <c r="U2185" i="6" s="1"/>
  <c r="C2185" i="6"/>
  <c r="B2185" i="6"/>
  <c r="Q2184" i="6"/>
  <c r="N2184" i="6"/>
  <c r="M2184" i="6"/>
  <c r="L2184" i="6"/>
  <c r="K2184" i="6"/>
  <c r="J2184" i="6"/>
  <c r="I2184" i="6"/>
  <c r="P2184" i="6" s="1"/>
  <c r="H2184" i="6"/>
  <c r="G2184" i="6"/>
  <c r="F2184" i="6"/>
  <c r="D2184" i="6"/>
  <c r="U2184" i="6" s="1"/>
  <c r="C2184" i="6"/>
  <c r="B2184" i="6"/>
  <c r="Q2183" i="6"/>
  <c r="P2183" i="6"/>
  <c r="N2183" i="6"/>
  <c r="M2183" i="6"/>
  <c r="L2183" i="6"/>
  <c r="K2183" i="6"/>
  <c r="J2183" i="6"/>
  <c r="I2183" i="6"/>
  <c r="H2183" i="6"/>
  <c r="G2183" i="6"/>
  <c r="F2183" i="6"/>
  <c r="D2183" i="6"/>
  <c r="U2183" i="6" s="1"/>
  <c r="C2183" i="6"/>
  <c r="B2183" i="6"/>
  <c r="Q2182" i="6"/>
  <c r="N2182" i="6"/>
  <c r="M2182" i="6"/>
  <c r="L2182" i="6"/>
  <c r="K2182" i="6"/>
  <c r="J2182" i="6"/>
  <c r="I2182" i="6"/>
  <c r="P2182" i="6" s="1"/>
  <c r="H2182" i="6"/>
  <c r="G2182" i="6"/>
  <c r="F2182" i="6"/>
  <c r="D2182" i="6"/>
  <c r="U2182" i="6" s="1"/>
  <c r="C2182" i="6"/>
  <c r="B2182" i="6"/>
  <c r="Q2181" i="6"/>
  <c r="P2181" i="6"/>
  <c r="N2181" i="6"/>
  <c r="M2181" i="6"/>
  <c r="L2181" i="6"/>
  <c r="K2181" i="6"/>
  <c r="J2181" i="6"/>
  <c r="I2181" i="6"/>
  <c r="H2181" i="6"/>
  <c r="G2181" i="6"/>
  <c r="F2181" i="6"/>
  <c r="D2181" i="6"/>
  <c r="U2181" i="6" s="1"/>
  <c r="C2181" i="6"/>
  <c r="B2181" i="6"/>
  <c r="Q2180" i="6"/>
  <c r="N2180" i="6"/>
  <c r="M2180" i="6"/>
  <c r="L2180" i="6"/>
  <c r="K2180" i="6"/>
  <c r="J2180" i="6"/>
  <c r="I2180" i="6"/>
  <c r="P2180" i="6" s="1"/>
  <c r="H2180" i="6"/>
  <c r="G2180" i="6"/>
  <c r="F2180" i="6"/>
  <c r="E2180" i="6"/>
  <c r="D2180" i="6"/>
  <c r="U2180" i="6" s="1"/>
  <c r="C2180" i="6"/>
  <c r="B2180" i="6"/>
  <c r="Q2179" i="6"/>
  <c r="N2179" i="6"/>
  <c r="M2179" i="6"/>
  <c r="L2179" i="6"/>
  <c r="K2179" i="6"/>
  <c r="J2179" i="6"/>
  <c r="I2179" i="6"/>
  <c r="P2179" i="6" s="1"/>
  <c r="H2179" i="6"/>
  <c r="G2179" i="6"/>
  <c r="F2179" i="6"/>
  <c r="E2179" i="6"/>
  <c r="D2179" i="6"/>
  <c r="U2179" i="6" s="1"/>
  <c r="C2179" i="6"/>
  <c r="B2179" i="6"/>
  <c r="Q2178" i="6"/>
  <c r="N2178" i="6"/>
  <c r="M2178" i="6"/>
  <c r="L2178" i="6"/>
  <c r="K2178" i="6"/>
  <c r="J2178" i="6"/>
  <c r="I2178" i="6"/>
  <c r="P2178" i="6" s="1"/>
  <c r="H2178" i="6"/>
  <c r="G2178" i="6"/>
  <c r="F2178" i="6"/>
  <c r="D2178" i="6"/>
  <c r="U2178" i="6" s="1"/>
  <c r="C2178" i="6"/>
  <c r="B2178" i="6"/>
  <c r="E2178" i="6" s="1"/>
  <c r="Q2177" i="6"/>
  <c r="N2177" i="6"/>
  <c r="M2177" i="6"/>
  <c r="L2177" i="6"/>
  <c r="K2177" i="6"/>
  <c r="J2177" i="6"/>
  <c r="I2177" i="6"/>
  <c r="P2177" i="6" s="1"/>
  <c r="H2177" i="6"/>
  <c r="G2177" i="6"/>
  <c r="F2177" i="6"/>
  <c r="D2177" i="6"/>
  <c r="U2177" i="6" s="1"/>
  <c r="C2177" i="6"/>
  <c r="B2177" i="6"/>
  <c r="U2176" i="6"/>
  <c r="Q2176" i="6"/>
  <c r="N2176" i="6"/>
  <c r="M2176" i="6"/>
  <c r="L2176" i="6"/>
  <c r="K2176" i="6"/>
  <c r="J2176" i="6"/>
  <c r="I2176" i="6"/>
  <c r="P2176" i="6" s="1"/>
  <c r="H2176" i="6"/>
  <c r="G2176" i="6"/>
  <c r="F2176" i="6"/>
  <c r="D2176" i="6"/>
  <c r="C2176" i="6"/>
  <c r="E2176" i="6" s="1"/>
  <c r="B2176" i="6"/>
  <c r="Q2175" i="6"/>
  <c r="N2175" i="6"/>
  <c r="M2175" i="6"/>
  <c r="L2175" i="6"/>
  <c r="K2175" i="6"/>
  <c r="J2175" i="6"/>
  <c r="I2175" i="6"/>
  <c r="P2175" i="6" s="1"/>
  <c r="H2175" i="6"/>
  <c r="G2175" i="6"/>
  <c r="F2175" i="6"/>
  <c r="D2175" i="6"/>
  <c r="U2175" i="6" s="1"/>
  <c r="C2175" i="6"/>
  <c r="B2175" i="6"/>
  <c r="Q2174" i="6"/>
  <c r="N2174" i="6"/>
  <c r="M2174" i="6"/>
  <c r="L2174" i="6"/>
  <c r="K2174" i="6"/>
  <c r="J2174" i="6"/>
  <c r="I2174" i="6"/>
  <c r="P2174" i="6" s="1"/>
  <c r="H2174" i="6"/>
  <c r="G2174" i="6"/>
  <c r="F2174" i="6"/>
  <c r="D2174" i="6"/>
  <c r="U2174" i="6" s="1"/>
  <c r="C2174" i="6"/>
  <c r="E2174" i="6" s="1"/>
  <c r="B2174" i="6"/>
  <c r="Q2173" i="6"/>
  <c r="N2173" i="6"/>
  <c r="M2173" i="6"/>
  <c r="L2173" i="6"/>
  <c r="K2173" i="6"/>
  <c r="J2173" i="6"/>
  <c r="I2173" i="6"/>
  <c r="P2173" i="6" s="1"/>
  <c r="H2173" i="6"/>
  <c r="G2173" i="6"/>
  <c r="F2173" i="6"/>
  <c r="D2173" i="6"/>
  <c r="U2173" i="6" s="1"/>
  <c r="C2173" i="6"/>
  <c r="E2173" i="6" s="1"/>
  <c r="B2173" i="6"/>
  <c r="Q2172" i="6"/>
  <c r="P2172" i="6"/>
  <c r="N2172" i="6"/>
  <c r="M2172" i="6"/>
  <c r="L2172" i="6"/>
  <c r="K2172" i="6"/>
  <c r="J2172" i="6"/>
  <c r="I2172" i="6"/>
  <c r="H2172" i="6"/>
  <c r="G2172" i="6"/>
  <c r="F2172" i="6"/>
  <c r="D2172" i="6"/>
  <c r="U2172" i="6" s="1"/>
  <c r="C2172" i="6"/>
  <c r="B2172" i="6"/>
  <c r="Q2171" i="6"/>
  <c r="P2171" i="6"/>
  <c r="N2171" i="6"/>
  <c r="M2171" i="6"/>
  <c r="L2171" i="6"/>
  <c r="K2171" i="6"/>
  <c r="J2171" i="6"/>
  <c r="I2171" i="6"/>
  <c r="H2171" i="6"/>
  <c r="G2171" i="6"/>
  <c r="F2171" i="6"/>
  <c r="D2171" i="6"/>
  <c r="U2171" i="6" s="1"/>
  <c r="C2171" i="6"/>
  <c r="B2171" i="6"/>
  <c r="Q2170" i="6"/>
  <c r="N2170" i="6"/>
  <c r="M2170" i="6"/>
  <c r="L2170" i="6"/>
  <c r="K2170" i="6"/>
  <c r="J2170" i="6"/>
  <c r="I2170" i="6"/>
  <c r="P2170" i="6" s="1"/>
  <c r="H2170" i="6"/>
  <c r="G2170" i="6"/>
  <c r="F2170" i="6"/>
  <c r="D2170" i="6"/>
  <c r="U2170" i="6" s="1"/>
  <c r="C2170" i="6"/>
  <c r="E2170" i="6" s="1"/>
  <c r="B2170" i="6"/>
  <c r="Q2169" i="6"/>
  <c r="N2169" i="6"/>
  <c r="M2169" i="6"/>
  <c r="L2169" i="6"/>
  <c r="K2169" i="6"/>
  <c r="J2169" i="6"/>
  <c r="I2169" i="6"/>
  <c r="P2169" i="6" s="1"/>
  <c r="H2169" i="6"/>
  <c r="G2169" i="6"/>
  <c r="F2169" i="6"/>
  <c r="D2169" i="6"/>
  <c r="U2169" i="6" s="1"/>
  <c r="C2169" i="6"/>
  <c r="E2169" i="6" s="1"/>
  <c r="B2169" i="6"/>
  <c r="Q2168" i="6"/>
  <c r="P2168" i="6"/>
  <c r="N2168" i="6"/>
  <c r="M2168" i="6"/>
  <c r="L2168" i="6"/>
  <c r="K2168" i="6"/>
  <c r="J2168" i="6"/>
  <c r="I2168" i="6"/>
  <c r="H2168" i="6"/>
  <c r="G2168" i="6"/>
  <c r="F2168" i="6"/>
  <c r="D2168" i="6"/>
  <c r="U2168" i="6" s="1"/>
  <c r="C2168" i="6"/>
  <c r="B2168" i="6"/>
  <c r="Q2167" i="6"/>
  <c r="P2167" i="6"/>
  <c r="N2167" i="6"/>
  <c r="M2167" i="6"/>
  <c r="L2167" i="6"/>
  <c r="K2167" i="6"/>
  <c r="J2167" i="6"/>
  <c r="I2167" i="6"/>
  <c r="H2167" i="6"/>
  <c r="G2167" i="6"/>
  <c r="F2167" i="6"/>
  <c r="D2167" i="6"/>
  <c r="U2167" i="6" s="1"/>
  <c r="C2167" i="6"/>
  <c r="B2167" i="6"/>
  <c r="Q2166" i="6"/>
  <c r="N2166" i="6"/>
  <c r="M2166" i="6"/>
  <c r="L2166" i="6"/>
  <c r="K2166" i="6"/>
  <c r="J2166" i="6"/>
  <c r="I2166" i="6"/>
  <c r="P2166" i="6" s="1"/>
  <c r="H2166" i="6"/>
  <c r="G2166" i="6"/>
  <c r="F2166" i="6"/>
  <c r="D2166" i="6"/>
  <c r="U2166" i="6" s="1"/>
  <c r="C2166" i="6"/>
  <c r="E2166" i="6" s="1"/>
  <c r="B2166" i="6"/>
  <c r="Q2165" i="6"/>
  <c r="N2165" i="6"/>
  <c r="M2165" i="6"/>
  <c r="L2165" i="6"/>
  <c r="K2165" i="6"/>
  <c r="J2165" i="6"/>
  <c r="I2165" i="6"/>
  <c r="P2165" i="6" s="1"/>
  <c r="H2165" i="6"/>
  <c r="G2165" i="6"/>
  <c r="F2165" i="6"/>
  <c r="D2165" i="6"/>
  <c r="U2165" i="6" s="1"/>
  <c r="C2165" i="6"/>
  <c r="E2165" i="6" s="1"/>
  <c r="B2165" i="6"/>
  <c r="Q2164" i="6"/>
  <c r="P2164" i="6"/>
  <c r="N2164" i="6"/>
  <c r="M2164" i="6"/>
  <c r="L2164" i="6"/>
  <c r="K2164" i="6"/>
  <c r="J2164" i="6"/>
  <c r="I2164" i="6"/>
  <c r="H2164" i="6"/>
  <c r="G2164" i="6"/>
  <c r="F2164" i="6"/>
  <c r="D2164" i="6"/>
  <c r="U2164" i="6" s="1"/>
  <c r="C2164" i="6"/>
  <c r="B2164" i="6"/>
  <c r="Q2163" i="6"/>
  <c r="P2163" i="6"/>
  <c r="N2163" i="6"/>
  <c r="M2163" i="6"/>
  <c r="L2163" i="6"/>
  <c r="K2163" i="6"/>
  <c r="J2163" i="6"/>
  <c r="I2163" i="6"/>
  <c r="H2163" i="6"/>
  <c r="G2163" i="6"/>
  <c r="F2163" i="6"/>
  <c r="D2163" i="6"/>
  <c r="U2163" i="6" s="1"/>
  <c r="C2163" i="6"/>
  <c r="B2163" i="6"/>
  <c r="Q2162" i="6"/>
  <c r="N2162" i="6"/>
  <c r="M2162" i="6"/>
  <c r="L2162" i="6"/>
  <c r="K2162" i="6"/>
  <c r="J2162" i="6"/>
  <c r="I2162" i="6"/>
  <c r="P2162" i="6" s="1"/>
  <c r="H2162" i="6"/>
  <c r="G2162" i="6"/>
  <c r="F2162" i="6"/>
  <c r="D2162" i="6"/>
  <c r="U2162" i="6" s="1"/>
  <c r="C2162" i="6"/>
  <c r="E2162" i="6" s="1"/>
  <c r="B2162" i="6"/>
  <c r="Q2161" i="6"/>
  <c r="N2161" i="6"/>
  <c r="M2161" i="6"/>
  <c r="L2161" i="6"/>
  <c r="K2161" i="6"/>
  <c r="J2161" i="6"/>
  <c r="I2161" i="6"/>
  <c r="P2161" i="6" s="1"/>
  <c r="H2161" i="6"/>
  <c r="G2161" i="6"/>
  <c r="F2161" i="6"/>
  <c r="D2161" i="6"/>
  <c r="U2161" i="6" s="1"/>
  <c r="C2161" i="6"/>
  <c r="E2161" i="6" s="1"/>
  <c r="B2161" i="6"/>
  <c r="Q2160" i="6"/>
  <c r="P2160" i="6"/>
  <c r="N2160" i="6"/>
  <c r="M2160" i="6"/>
  <c r="L2160" i="6"/>
  <c r="K2160" i="6"/>
  <c r="J2160" i="6"/>
  <c r="I2160" i="6"/>
  <c r="H2160" i="6"/>
  <c r="G2160" i="6"/>
  <c r="F2160" i="6"/>
  <c r="D2160" i="6"/>
  <c r="U2160" i="6" s="1"/>
  <c r="C2160" i="6"/>
  <c r="B2160" i="6"/>
  <c r="Q2159" i="6"/>
  <c r="P2159" i="6"/>
  <c r="N2159" i="6"/>
  <c r="M2159" i="6"/>
  <c r="L2159" i="6"/>
  <c r="K2159" i="6"/>
  <c r="J2159" i="6"/>
  <c r="I2159" i="6"/>
  <c r="H2159" i="6"/>
  <c r="G2159" i="6"/>
  <c r="F2159" i="6"/>
  <c r="D2159" i="6"/>
  <c r="U2159" i="6" s="1"/>
  <c r="C2159" i="6"/>
  <c r="B2159" i="6"/>
  <c r="Q2158" i="6"/>
  <c r="N2158" i="6"/>
  <c r="M2158" i="6"/>
  <c r="L2158" i="6"/>
  <c r="K2158" i="6"/>
  <c r="J2158" i="6"/>
  <c r="I2158" i="6"/>
  <c r="P2158" i="6" s="1"/>
  <c r="H2158" i="6"/>
  <c r="G2158" i="6"/>
  <c r="F2158" i="6"/>
  <c r="D2158" i="6"/>
  <c r="U2158" i="6" s="1"/>
  <c r="C2158" i="6"/>
  <c r="E2158" i="6" s="1"/>
  <c r="B2158" i="6"/>
  <c r="Q2157" i="6"/>
  <c r="N2157" i="6"/>
  <c r="M2157" i="6"/>
  <c r="L2157" i="6"/>
  <c r="K2157" i="6"/>
  <c r="J2157" i="6"/>
  <c r="I2157" i="6"/>
  <c r="P2157" i="6" s="1"/>
  <c r="H2157" i="6"/>
  <c r="G2157" i="6"/>
  <c r="F2157" i="6"/>
  <c r="D2157" i="6"/>
  <c r="U2157" i="6" s="1"/>
  <c r="C2157" i="6"/>
  <c r="E2157" i="6" s="1"/>
  <c r="B2157" i="6"/>
  <c r="Q2156" i="6"/>
  <c r="P2156" i="6"/>
  <c r="N2156" i="6"/>
  <c r="M2156" i="6"/>
  <c r="L2156" i="6"/>
  <c r="K2156" i="6"/>
  <c r="J2156" i="6"/>
  <c r="I2156" i="6"/>
  <c r="H2156" i="6"/>
  <c r="G2156" i="6"/>
  <c r="F2156" i="6"/>
  <c r="D2156" i="6"/>
  <c r="U2156" i="6" s="1"/>
  <c r="C2156" i="6"/>
  <c r="B2156" i="6"/>
  <c r="Q2155" i="6"/>
  <c r="P2155" i="6"/>
  <c r="N2155" i="6"/>
  <c r="M2155" i="6"/>
  <c r="L2155" i="6"/>
  <c r="K2155" i="6"/>
  <c r="J2155" i="6"/>
  <c r="I2155" i="6"/>
  <c r="H2155" i="6"/>
  <c r="G2155" i="6"/>
  <c r="F2155" i="6"/>
  <c r="D2155" i="6"/>
  <c r="U2155" i="6" s="1"/>
  <c r="C2155" i="6"/>
  <c r="B2155" i="6"/>
  <c r="Q2154" i="6"/>
  <c r="N2154" i="6"/>
  <c r="M2154" i="6"/>
  <c r="L2154" i="6"/>
  <c r="K2154" i="6"/>
  <c r="J2154" i="6"/>
  <c r="I2154" i="6"/>
  <c r="P2154" i="6" s="1"/>
  <c r="H2154" i="6"/>
  <c r="G2154" i="6"/>
  <c r="F2154" i="6"/>
  <c r="D2154" i="6"/>
  <c r="U2154" i="6" s="1"/>
  <c r="C2154" i="6"/>
  <c r="E2154" i="6" s="1"/>
  <c r="B2154" i="6"/>
  <c r="Q2153" i="6"/>
  <c r="N2153" i="6"/>
  <c r="M2153" i="6"/>
  <c r="L2153" i="6"/>
  <c r="K2153" i="6"/>
  <c r="J2153" i="6"/>
  <c r="I2153" i="6"/>
  <c r="P2153" i="6" s="1"/>
  <c r="H2153" i="6"/>
  <c r="G2153" i="6"/>
  <c r="F2153" i="6"/>
  <c r="D2153" i="6"/>
  <c r="U2153" i="6" s="1"/>
  <c r="C2153" i="6"/>
  <c r="E2153" i="6" s="1"/>
  <c r="B2153" i="6"/>
  <c r="Q2152" i="6"/>
  <c r="P2152" i="6"/>
  <c r="N2152" i="6"/>
  <c r="M2152" i="6"/>
  <c r="L2152" i="6"/>
  <c r="K2152" i="6"/>
  <c r="J2152" i="6"/>
  <c r="I2152" i="6"/>
  <c r="H2152" i="6"/>
  <c r="G2152" i="6"/>
  <c r="F2152" i="6"/>
  <c r="D2152" i="6"/>
  <c r="U2152" i="6" s="1"/>
  <c r="C2152" i="6"/>
  <c r="B2152" i="6"/>
  <c r="Q2151" i="6"/>
  <c r="P2151" i="6"/>
  <c r="N2151" i="6"/>
  <c r="M2151" i="6"/>
  <c r="L2151" i="6"/>
  <c r="K2151" i="6"/>
  <c r="J2151" i="6"/>
  <c r="I2151" i="6"/>
  <c r="H2151" i="6"/>
  <c r="G2151" i="6"/>
  <c r="F2151" i="6"/>
  <c r="D2151" i="6"/>
  <c r="U2151" i="6" s="1"/>
  <c r="C2151" i="6"/>
  <c r="B2151" i="6"/>
  <c r="Q2150" i="6"/>
  <c r="N2150" i="6"/>
  <c r="M2150" i="6"/>
  <c r="L2150" i="6"/>
  <c r="K2150" i="6"/>
  <c r="J2150" i="6"/>
  <c r="I2150" i="6"/>
  <c r="P2150" i="6" s="1"/>
  <c r="H2150" i="6"/>
  <c r="G2150" i="6"/>
  <c r="F2150" i="6"/>
  <c r="D2150" i="6"/>
  <c r="U2150" i="6" s="1"/>
  <c r="C2150" i="6"/>
  <c r="E2150" i="6" s="1"/>
  <c r="B2150" i="6"/>
  <c r="Q2149" i="6"/>
  <c r="N2149" i="6"/>
  <c r="M2149" i="6"/>
  <c r="L2149" i="6"/>
  <c r="K2149" i="6"/>
  <c r="J2149" i="6"/>
  <c r="I2149" i="6"/>
  <c r="P2149" i="6" s="1"/>
  <c r="H2149" i="6"/>
  <c r="G2149" i="6"/>
  <c r="F2149" i="6"/>
  <c r="D2149" i="6"/>
  <c r="U2149" i="6" s="1"/>
  <c r="C2149" i="6"/>
  <c r="E2149" i="6" s="1"/>
  <c r="B2149" i="6"/>
  <c r="Q2148" i="6"/>
  <c r="P2148" i="6"/>
  <c r="N2148" i="6"/>
  <c r="M2148" i="6"/>
  <c r="L2148" i="6"/>
  <c r="K2148" i="6"/>
  <c r="J2148" i="6"/>
  <c r="I2148" i="6"/>
  <c r="H2148" i="6"/>
  <c r="G2148" i="6"/>
  <c r="F2148" i="6"/>
  <c r="D2148" i="6"/>
  <c r="U2148" i="6" s="1"/>
  <c r="C2148" i="6"/>
  <c r="B2148" i="6"/>
  <c r="Q2147" i="6"/>
  <c r="P2147" i="6"/>
  <c r="N2147" i="6"/>
  <c r="M2147" i="6"/>
  <c r="L2147" i="6"/>
  <c r="K2147" i="6"/>
  <c r="J2147" i="6"/>
  <c r="I2147" i="6"/>
  <c r="H2147" i="6"/>
  <c r="G2147" i="6"/>
  <c r="F2147" i="6"/>
  <c r="D2147" i="6"/>
  <c r="U2147" i="6" s="1"/>
  <c r="C2147" i="6"/>
  <c r="B2147" i="6"/>
  <c r="Q2146" i="6"/>
  <c r="N2146" i="6"/>
  <c r="M2146" i="6"/>
  <c r="L2146" i="6"/>
  <c r="K2146" i="6"/>
  <c r="J2146" i="6"/>
  <c r="I2146" i="6"/>
  <c r="P2146" i="6" s="1"/>
  <c r="H2146" i="6"/>
  <c r="G2146" i="6"/>
  <c r="F2146" i="6"/>
  <c r="D2146" i="6"/>
  <c r="U2146" i="6" s="1"/>
  <c r="C2146" i="6"/>
  <c r="E2146" i="6" s="1"/>
  <c r="B2146" i="6"/>
  <c r="Q2145" i="6"/>
  <c r="N2145" i="6"/>
  <c r="M2145" i="6"/>
  <c r="L2145" i="6"/>
  <c r="K2145" i="6"/>
  <c r="J2145" i="6"/>
  <c r="I2145" i="6"/>
  <c r="P2145" i="6" s="1"/>
  <c r="H2145" i="6"/>
  <c r="G2145" i="6"/>
  <c r="F2145" i="6"/>
  <c r="D2145" i="6"/>
  <c r="U2145" i="6" s="1"/>
  <c r="C2145" i="6"/>
  <c r="E2145" i="6" s="1"/>
  <c r="B2145" i="6"/>
  <c r="Q2144" i="6"/>
  <c r="P2144" i="6"/>
  <c r="N2144" i="6"/>
  <c r="M2144" i="6"/>
  <c r="L2144" i="6"/>
  <c r="K2144" i="6"/>
  <c r="J2144" i="6"/>
  <c r="I2144" i="6"/>
  <c r="H2144" i="6"/>
  <c r="G2144" i="6"/>
  <c r="F2144" i="6"/>
  <c r="D2144" i="6"/>
  <c r="U2144" i="6" s="1"/>
  <c r="C2144" i="6"/>
  <c r="B2144" i="6"/>
  <c r="Q2143" i="6"/>
  <c r="P2143" i="6"/>
  <c r="N2143" i="6"/>
  <c r="M2143" i="6"/>
  <c r="L2143" i="6"/>
  <c r="K2143" i="6"/>
  <c r="J2143" i="6"/>
  <c r="I2143" i="6"/>
  <c r="H2143" i="6"/>
  <c r="G2143" i="6"/>
  <c r="F2143" i="6"/>
  <c r="D2143" i="6"/>
  <c r="U2143" i="6" s="1"/>
  <c r="C2143" i="6"/>
  <c r="B2143" i="6"/>
  <c r="Q2142" i="6"/>
  <c r="N2142" i="6"/>
  <c r="M2142" i="6"/>
  <c r="L2142" i="6"/>
  <c r="K2142" i="6"/>
  <c r="J2142" i="6"/>
  <c r="I2142" i="6"/>
  <c r="P2142" i="6" s="1"/>
  <c r="H2142" i="6"/>
  <c r="G2142" i="6"/>
  <c r="F2142" i="6"/>
  <c r="D2142" i="6"/>
  <c r="U2142" i="6" s="1"/>
  <c r="C2142" i="6"/>
  <c r="E2142" i="6" s="1"/>
  <c r="B2142" i="6"/>
  <c r="Q2141" i="6"/>
  <c r="N2141" i="6"/>
  <c r="M2141" i="6"/>
  <c r="L2141" i="6"/>
  <c r="K2141" i="6"/>
  <c r="J2141" i="6"/>
  <c r="I2141" i="6"/>
  <c r="P2141" i="6" s="1"/>
  <c r="H2141" i="6"/>
  <c r="G2141" i="6"/>
  <c r="F2141" i="6"/>
  <c r="D2141" i="6"/>
  <c r="U2141" i="6" s="1"/>
  <c r="C2141" i="6"/>
  <c r="E2141" i="6" s="1"/>
  <c r="B2141" i="6"/>
  <c r="Q2140" i="6"/>
  <c r="P2140" i="6"/>
  <c r="N2140" i="6"/>
  <c r="M2140" i="6"/>
  <c r="L2140" i="6"/>
  <c r="K2140" i="6"/>
  <c r="J2140" i="6"/>
  <c r="I2140" i="6"/>
  <c r="H2140" i="6"/>
  <c r="G2140" i="6"/>
  <c r="F2140" i="6"/>
  <c r="D2140" i="6"/>
  <c r="U2140" i="6" s="1"/>
  <c r="C2140" i="6"/>
  <c r="B2140" i="6"/>
  <c r="Q2139" i="6"/>
  <c r="P2139" i="6"/>
  <c r="N2139" i="6"/>
  <c r="M2139" i="6"/>
  <c r="L2139" i="6"/>
  <c r="K2139" i="6"/>
  <c r="J2139" i="6"/>
  <c r="I2139" i="6"/>
  <c r="H2139" i="6"/>
  <c r="G2139" i="6"/>
  <c r="F2139" i="6"/>
  <c r="D2139" i="6"/>
  <c r="U2139" i="6" s="1"/>
  <c r="C2139" i="6"/>
  <c r="B2139" i="6"/>
  <c r="Q2138" i="6"/>
  <c r="N2138" i="6"/>
  <c r="M2138" i="6"/>
  <c r="L2138" i="6"/>
  <c r="K2138" i="6"/>
  <c r="J2138" i="6"/>
  <c r="I2138" i="6"/>
  <c r="P2138" i="6" s="1"/>
  <c r="H2138" i="6"/>
  <c r="G2138" i="6"/>
  <c r="F2138" i="6"/>
  <c r="D2138" i="6"/>
  <c r="U2138" i="6" s="1"/>
  <c r="C2138" i="6"/>
  <c r="E2138" i="6" s="1"/>
  <c r="B2138" i="6"/>
  <c r="Q2137" i="6"/>
  <c r="N2137" i="6"/>
  <c r="M2137" i="6"/>
  <c r="L2137" i="6"/>
  <c r="K2137" i="6"/>
  <c r="J2137" i="6"/>
  <c r="I2137" i="6"/>
  <c r="P2137" i="6" s="1"/>
  <c r="H2137" i="6"/>
  <c r="G2137" i="6"/>
  <c r="F2137" i="6"/>
  <c r="D2137" i="6"/>
  <c r="U2137" i="6" s="1"/>
  <c r="C2137" i="6"/>
  <c r="E2137" i="6" s="1"/>
  <c r="B2137" i="6"/>
  <c r="Q2136" i="6"/>
  <c r="P2136" i="6"/>
  <c r="N2136" i="6"/>
  <c r="M2136" i="6"/>
  <c r="L2136" i="6"/>
  <c r="K2136" i="6"/>
  <c r="J2136" i="6"/>
  <c r="I2136" i="6"/>
  <c r="H2136" i="6"/>
  <c r="G2136" i="6"/>
  <c r="F2136" i="6"/>
  <c r="D2136" i="6"/>
  <c r="U2136" i="6" s="1"/>
  <c r="C2136" i="6"/>
  <c r="B2136" i="6"/>
  <c r="Q2135" i="6"/>
  <c r="P2135" i="6"/>
  <c r="N2135" i="6"/>
  <c r="M2135" i="6"/>
  <c r="L2135" i="6"/>
  <c r="K2135" i="6"/>
  <c r="J2135" i="6"/>
  <c r="I2135" i="6"/>
  <c r="H2135" i="6"/>
  <c r="G2135" i="6"/>
  <c r="F2135" i="6"/>
  <c r="D2135" i="6"/>
  <c r="U2135" i="6" s="1"/>
  <c r="C2135" i="6"/>
  <c r="B2135" i="6"/>
  <c r="Q2134" i="6"/>
  <c r="N2134" i="6"/>
  <c r="M2134" i="6"/>
  <c r="L2134" i="6"/>
  <c r="K2134" i="6"/>
  <c r="J2134" i="6"/>
  <c r="I2134" i="6"/>
  <c r="P2134" i="6" s="1"/>
  <c r="H2134" i="6"/>
  <c r="G2134" i="6"/>
  <c r="F2134" i="6"/>
  <c r="D2134" i="6"/>
  <c r="U2134" i="6" s="1"/>
  <c r="C2134" i="6"/>
  <c r="E2134" i="6" s="1"/>
  <c r="B2134" i="6"/>
  <c r="Q2133" i="6"/>
  <c r="N2133" i="6"/>
  <c r="M2133" i="6"/>
  <c r="L2133" i="6"/>
  <c r="K2133" i="6"/>
  <c r="J2133" i="6"/>
  <c r="I2133" i="6"/>
  <c r="P2133" i="6" s="1"/>
  <c r="H2133" i="6"/>
  <c r="G2133" i="6"/>
  <c r="F2133" i="6"/>
  <c r="D2133" i="6"/>
  <c r="U2133" i="6" s="1"/>
  <c r="C2133" i="6"/>
  <c r="E2133" i="6" s="1"/>
  <c r="B2133" i="6"/>
  <c r="Q2132" i="6"/>
  <c r="P2132" i="6"/>
  <c r="N2132" i="6"/>
  <c r="M2132" i="6"/>
  <c r="L2132" i="6"/>
  <c r="K2132" i="6"/>
  <c r="J2132" i="6"/>
  <c r="I2132" i="6"/>
  <c r="H2132" i="6"/>
  <c r="G2132" i="6"/>
  <c r="F2132" i="6"/>
  <c r="D2132" i="6"/>
  <c r="U2132" i="6" s="1"/>
  <c r="C2132" i="6"/>
  <c r="B2132" i="6"/>
  <c r="Q2131" i="6"/>
  <c r="P2131" i="6"/>
  <c r="N2131" i="6"/>
  <c r="M2131" i="6"/>
  <c r="L2131" i="6"/>
  <c r="K2131" i="6"/>
  <c r="J2131" i="6"/>
  <c r="I2131" i="6"/>
  <c r="H2131" i="6"/>
  <c r="G2131" i="6"/>
  <c r="F2131" i="6"/>
  <c r="D2131" i="6"/>
  <c r="U2131" i="6" s="1"/>
  <c r="C2131" i="6"/>
  <c r="B2131" i="6"/>
  <c r="Q2130" i="6"/>
  <c r="N2130" i="6"/>
  <c r="M2130" i="6"/>
  <c r="L2130" i="6"/>
  <c r="K2130" i="6"/>
  <c r="J2130" i="6"/>
  <c r="I2130" i="6"/>
  <c r="P2130" i="6" s="1"/>
  <c r="H2130" i="6"/>
  <c r="G2130" i="6"/>
  <c r="F2130" i="6"/>
  <c r="D2130" i="6"/>
  <c r="U2130" i="6" s="1"/>
  <c r="C2130" i="6"/>
  <c r="E2130" i="6" s="1"/>
  <c r="B2130" i="6"/>
  <c r="Q2129" i="6"/>
  <c r="N2129" i="6"/>
  <c r="M2129" i="6"/>
  <c r="L2129" i="6"/>
  <c r="K2129" i="6"/>
  <c r="J2129" i="6"/>
  <c r="I2129" i="6"/>
  <c r="P2129" i="6" s="1"/>
  <c r="H2129" i="6"/>
  <c r="G2129" i="6"/>
  <c r="F2129" i="6"/>
  <c r="D2129" i="6"/>
  <c r="U2129" i="6" s="1"/>
  <c r="C2129" i="6"/>
  <c r="E2129" i="6" s="1"/>
  <c r="B2129" i="6"/>
  <c r="Q2128" i="6"/>
  <c r="P2128" i="6"/>
  <c r="N2128" i="6"/>
  <c r="M2128" i="6"/>
  <c r="L2128" i="6"/>
  <c r="K2128" i="6"/>
  <c r="J2128" i="6"/>
  <c r="I2128" i="6"/>
  <c r="H2128" i="6"/>
  <c r="G2128" i="6"/>
  <c r="F2128" i="6"/>
  <c r="D2128" i="6"/>
  <c r="U2128" i="6" s="1"/>
  <c r="C2128" i="6"/>
  <c r="B2128" i="6"/>
  <c r="Q2127" i="6"/>
  <c r="P2127" i="6"/>
  <c r="N2127" i="6"/>
  <c r="M2127" i="6"/>
  <c r="L2127" i="6"/>
  <c r="K2127" i="6"/>
  <c r="J2127" i="6"/>
  <c r="I2127" i="6"/>
  <c r="H2127" i="6"/>
  <c r="G2127" i="6"/>
  <c r="F2127" i="6"/>
  <c r="D2127" i="6"/>
  <c r="U2127" i="6" s="1"/>
  <c r="C2127" i="6"/>
  <c r="B2127" i="6"/>
  <c r="Q2126" i="6"/>
  <c r="N2126" i="6"/>
  <c r="M2126" i="6"/>
  <c r="L2126" i="6"/>
  <c r="K2126" i="6"/>
  <c r="J2126" i="6"/>
  <c r="I2126" i="6"/>
  <c r="P2126" i="6" s="1"/>
  <c r="H2126" i="6"/>
  <c r="G2126" i="6"/>
  <c r="F2126" i="6"/>
  <c r="D2126" i="6"/>
  <c r="U2126" i="6" s="1"/>
  <c r="C2126" i="6"/>
  <c r="E2126" i="6" s="1"/>
  <c r="B2126" i="6"/>
  <c r="Q2125" i="6"/>
  <c r="N2125" i="6"/>
  <c r="M2125" i="6"/>
  <c r="L2125" i="6"/>
  <c r="K2125" i="6"/>
  <c r="J2125" i="6"/>
  <c r="I2125" i="6"/>
  <c r="P2125" i="6" s="1"/>
  <c r="H2125" i="6"/>
  <c r="G2125" i="6"/>
  <c r="F2125" i="6"/>
  <c r="D2125" i="6"/>
  <c r="U2125" i="6" s="1"/>
  <c r="C2125" i="6"/>
  <c r="E2125" i="6" s="1"/>
  <c r="B2125" i="6"/>
  <c r="Q2124" i="6"/>
  <c r="P2124" i="6"/>
  <c r="N2124" i="6"/>
  <c r="M2124" i="6"/>
  <c r="L2124" i="6"/>
  <c r="K2124" i="6"/>
  <c r="J2124" i="6"/>
  <c r="I2124" i="6"/>
  <c r="H2124" i="6"/>
  <c r="G2124" i="6"/>
  <c r="F2124" i="6"/>
  <c r="D2124" i="6"/>
  <c r="U2124" i="6" s="1"/>
  <c r="C2124" i="6"/>
  <c r="B2124" i="6"/>
  <c r="Q2123" i="6"/>
  <c r="P2123" i="6"/>
  <c r="N2123" i="6"/>
  <c r="M2123" i="6"/>
  <c r="L2123" i="6"/>
  <c r="K2123" i="6"/>
  <c r="J2123" i="6"/>
  <c r="I2123" i="6"/>
  <c r="H2123" i="6"/>
  <c r="G2123" i="6"/>
  <c r="F2123" i="6"/>
  <c r="D2123" i="6"/>
  <c r="U2123" i="6" s="1"/>
  <c r="C2123" i="6"/>
  <c r="B2123" i="6"/>
  <c r="Q2122" i="6"/>
  <c r="N2122" i="6"/>
  <c r="M2122" i="6"/>
  <c r="L2122" i="6"/>
  <c r="K2122" i="6"/>
  <c r="J2122" i="6"/>
  <c r="I2122" i="6"/>
  <c r="P2122" i="6" s="1"/>
  <c r="H2122" i="6"/>
  <c r="G2122" i="6"/>
  <c r="F2122" i="6"/>
  <c r="D2122" i="6"/>
  <c r="U2122" i="6" s="1"/>
  <c r="C2122" i="6"/>
  <c r="E2122" i="6" s="1"/>
  <c r="B2122" i="6"/>
  <c r="Q2121" i="6"/>
  <c r="N2121" i="6"/>
  <c r="M2121" i="6"/>
  <c r="L2121" i="6"/>
  <c r="K2121" i="6"/>
  <c r="J2121" i="6"/>
  <c r="I2121" i="6"/>
  <c r="P2121" i="6" s="1"/>
  <c r="H2121" i="6"/>
  <c r="G2121" i="6"/>
  <c r="F2121" i="6"/>
  <c r="D2121" i="6"/>
  <c r="U2121" i="6" s="1"/>
  <c r="C2121" i="6"/>
  <c r="E2121" i="6" s="1"/>
  <c r="B2121" i="6"/>
  <c r="Q2120" i="6"/>
  <c r="P2120" i="6"/>
  <c r="N2120" i="6"/>
  <c r="M2120" i="6"/>
  <c r="L2120" i="6"/>
  <c r="K2120" i="6"/>
  <c r="J2120" i="6"/>
  <c r="I2120" i="6"/>
  <c r="H2120" i="6"/>
  <c r="G2120" i="6"/>
  <c r="F2120" i="6"/>
  <c r="D2120" i="6"/>
  <c r="U2120" i="6" s="1"/>
  <c r="C2120" i="6"/>
  <c r="B2120" i="6"/>
  <c r="Q2119" i="6"/>
  <c r="P2119" i="6"/>
  <c r="N2119" i="6"/>
  <c r="M2119" i="6"/>
  <c r="L2119" i="6"/>
  <c r="K2119" i="6"/>
  <c r="J2119" i="6"/>
  <c r="I2119" i="6"/>
  <c r="H2119" i="6"/>
  <c r="G2119" i="6"/>
  <c r="F2119" i="6"/>
  <c r="D2119" i="6"/>
  <c r="U2119" i="6" s="1"/>
  <c r="C2119" i="6"/>
  <c r="B2119" i="6"/>
  <c r="Q2118" i="6"/>
  <c r="N2118" i="6"/>
  <c r="M2118" i="6"/>
  <c r="L2118" i="6"/>
  <c r="K2118" i="6"/>
  <c r="J2118" i="6"/>
  <c r="I2118" i="6"/>
  <c r="P2118" i="6" s="1"/>
  <c r="H2118" i="6"/>
  <c r="G2118" i="6"/>
  <c r="F2118" i="6"/>
  <c r="D2118" i="6"/>
  <c r="U2118" i="6" s="1"/>
  <c r="C2118" i="6"/>
  <c r="E2118" i="6" s="1"/>
  <c r="B2118" i="6"/>
  <c r="Q2117" i="6"/>
  <c r="N2117" i="6"/>
  <c r="M2117" i="6"/>
  <c r="L2117" i="6"/>
  <c r="K2117" i="6"/>
  <c r="J2117" i="6"/>
  <c r="I2117" i="6"/>
  <c r="P2117" i="6" s="1"/>
  <c r="H2117" i="6"/>
  <c r="G2117" i="6"/>
  <c r="F2117" i="6"/>
  <c r="D2117" i="6"/>
  <c r="U2117" i="6" s="1"/>
  <c r="C2117" i="6"/>
  <c r="E2117" i="6" s="1"/>
  <c r="B2117" i="6"/>
  <c r="Q2116" i="6"/>
  <c r="P2116" i="6"/>
  <c r="N2116" i="6"/>
  <c r="M2116" i="6"/>
  <c r="L2116" i="6"/>
  <c r="K2116" i="6"/>
  <c r="J2116" i="6"/>
  <c r="I2116" i="6"/>
  <c r="H2116" i="6"/>
  <c r="G2116" i="6"/>
  <c r="F2116" i="6"/>
  <c r="D2116" i="6"/>
  <c r="U2116" i="6" s="1"/>
  <c r="C2116" i="6"/>
  <c r="B2116" i="6"/>
  <c r="Q2115" i="6"/>
  <c r="P2115" i="6"/>
  <c r="N2115" i="6"/>
  <c r="M2115" i="6"/>
  <c r="L2115" i="6"/>
  <c r="K2115" i="6"/>
  <c r="J2115" i="6"/>
  <c r="I2115" i="6"/>
  <c r="H2115" i="6"/>
  <c r="G2115" i="6"/>
  <c r="F2115" i="6"/>
  <c r="D2115" i="6"/>
  <c r="U2115" i="6" s="1"/>
  <c r="C2115" i="6"/>
  <c r="B2115" i="6"/>
  <c r="Q2114" i="6"/>
  <c r="N2114" i="6"/>
  <c r="M2114" i="6"/>
  <c r="L2114" i="6"/>
  <c r="K2114" i="6"/>
  <c r="J2114" i="6"/>
  <c r="I2114" i="6"/>
  <c r="P2114" i="6" s="1"/>
  <c r="H2114" i="6"/>
  <c r="G2114" i="6"/>
  <c r="F2114" i="6"/>
  <c r="D2114" i="6"/>
  <c r="U2114" i="6" s="1"/>
  <c r="C2114" i="6"/>
  <c r="E2114" i="6" s="1"/>
  <c r="B2114" i="6"/>
  <c r="Q2113" i="6"/>
  <c r="N2113" i="6"/>
  <c r="M2113" i="6"/>
  <c r="L2113" i="6"/>
  <c r="K2113" i="6"/>
  <c r="J2113" i="6"/>
  <c r="I2113" i="6"/>
  <c r="P2113" i="6" s="1"/>
  <c r="H2113" i="6"/>
  <c r="G2113" i="6"/>
  <c r="F2113" i="6"/>
  <c r="D2113" i="6"/>
  <c r="U2113" i="6" s="1"/>
  <c r="C2113" i="6"/>
  <c r="E2113" i="6" s="1"/>
  <c r="B2113" i="6"/>
  <c r="Q2112" i="6"/>
  <c r="P2112" i="6"/>
  <c r="N2112" i="6"/>
  <c r="M2112" i="6"/>
  <c r="L2112" i="6"/>
  <c r="K2112" i="6"/>
  <c r="J2112" i="6"/>
  <c r="I2112" i="6"/>
  <c r="H2112" i="6"/>
  <c r="G2112" i="6"/>
  <c r="F2112" i="6"/>
  <c r="D2112" i="6"/>
  <c r="U2112" i="6" s="1"/>
  <c r="C2112" i="6"/>
  <c r="B2112" i="6"/>
  <c r="Q2111" i="6"/>
  <c r="P2111" i="6"/>
  <c r="N2111" i="6"/>
  <c r="M2111" i="6"/>
  <c r="L2111" i="6"/>
  <c r="K2111" i="6"/>
  <c r="J2111" i="6"/>
  <c r="I2111" i="6"/>
  <c r="H2111" i="6"/>
  <c r="G2111" i="6"/>
  <c r="F2111" i="6"/>
  <c r="D2111" i="6"/>
  <c r="U2111" i="6" s="1"/>
  <c r="C2111" i="6"/>
  <c r="B2111" i="6"/>
  <c r="Q2110" i="6"/>
  <c r="N2110" i="6"/>
  <c r="M2110" i="6"/>
  <c r="L2110" i="6"/>
  <c r="K2110" i="6"/>
  <c r="J2110" i="6"/>
  <c r="I2110" i="6"/>
  <c r="P2110" i="6" s="1"/>
  <c r="H2110" i="6"/>
  <c r="G2110" i="6"/>
  <c r="F2110" i="6"/>
  <c r="D2110" i="6"/>
  <c r="U2110" i="6" s="1"/>
  <c r="C2110" i="6"/>
  <c r="E2110" i="6" s="1"/>
  <c r="B2110" i="6"/>
  <c r="Q2109" i="6"/>
  <c r="N2109" i="6"/>
  <c r="M2109" i="6"/>
  <c r="L2109" i="6"/>
  <c r="K2109" i="6"/>
  <c r="J2109" i="6"/>
  <c r="I2109" i="6"/>
  <c r="P2109" i="6" s="1"/>
  <c r="H2109" i="6"/>
  <c r="G2109" i="6"/>
  <c r="F2109" i="6"/>
  <c r="D2109" i="6"/>
  <c r="U2109" i="6" s="1"/>
  <c r="C2109" i="6"/>
  <c r="E2109" i="6" s="1"/>
  <c r="B2109" i="6"/>
  <c r="Q2108" i="6"/>
  <c r="P2108" i="6"/>
  <c r="N2108" i="6"/>
  <c r="M2108" i="6"/>
  <c r="L2108" i="6"/>
  <c r="K2108" i="6"/>
  <c r="J2108" i="6"/>
  <c r="I2108" i="6"/>
  <c r="H2108" i="6"/>
  <c r="G2108" i="6"/>
  <c r="F2108" i="6"/>
  <c r="D2108" i="6"/>
  <c r="U2108" i="6" s="1"/>
  <c r="C2108" i="6"/>
  <c r="B2108" i="6"/>
  <c r="Q2107" i="6"/>
  <c r="P2107" i="6"/>
  <c r="N2107" i="6"/>
  <c r="M2107" i="6"/>
  <c r="L2107" i="6"/>
  <c r="K2107" i="6"/>
  <c r="J2107" i="6"/>
  <c r="I2107" i="6"/>
  <c r="H2107" i="6"/>
  <c r="G2107" i="6"/>
  <c r="F2107" i="6"/>
  <c r="D2107" i="6"/>
  <c r="U2107" i="6" s="1"/>
  <c r="C2107" i="6"/>
  <c r="B2107" i="6"/>
  <c r="Q2106" i="6"/>
  <c r="N2106" i="6"/>
  <c r="M2106" i="6"/>
  <c r="L2106" i="6"/>
  <c r="K2106" i="6"/>
  <c r="J2106" i="6"/>
  <c r="I2106" i="6"/>
  <c r="P2106" i="6" s="1"/>
  <c r="H2106" i="6"/>
  <c r="G2106" i="6"/>
  <c r="F2106" i="6"/>
  <c r="D2106" i="6"/>
  <c r="U2106" i="6" s="1"/>
  <c r="C2106" i="6"/>
  <c r="E2106" i="6" s="1"/>
  <c r="B2106" i="6"/>
  <c r="Q2105" i="6"/>
  <c r="N2105" i="6"/>
  <c r="M2105" i="6"/>
  <c r="L2105" i="6"/>
  <c r="K2105" i="6"/>
  <c r="J2105" i="6"/>
  <c r="I2105" i="6"/>
  <c r="P2105" i="6" s="1"/>
  <c r="H2105" i="6"/>
  <c r="G2105" i="6"/>
  <c r="F2105" i="6"/>
  <c r="D2105" i="6"/>
  <c r="U2105" i="6" s="1"/>
  <c r="C2105" i="6"/>
  <c r="E2105" i="6" s="1"/>
  <c r="B2105" i="6"/>
  <c r="Q2104" i="6"/>
  <c r="P2104" i="6"/>
  <c r="N2104" i="6"/>
  <c r="M2104" i="6"/>
  <c r="L2104" i="6"/>
  <c r="K2104" i="6"/>
  <c r="J2104" i="6"/>
  <c r="I2104" i="6"/>
  <c r="H2104" i="6"/>
  <c r="G2104" i="6"/>
  <c r="F2104" i="6"/>
  <c r="D2104" i="6"/>
  <c r="U2104" i="6" s="1"/>
  <c r="C2104" i="6"/>
  <c r="B2104" i="6"/>
  <c r="Q2103" i="6"/>
  <c r="P2103" i="6"/>
  <c r="N2103" i="6"/>
  <c r="M2103" i="6"/>
  <c r="L2103" i="6"/>
  <c r="K2103" i="6"/>
  <c r="J2103" i="6"/>
  <c r="I2103" i="6"/>
  <c r="H2103" i="6"/>
  <c r="G2103" i="6"/>
  <c r="F2103" i="6"/>
  <c r="D2103" i="6"/>
  <c r="U2103" i="6" s="1"/>
  <c r="C2103" i="6"/>
  <c r="B2103" i="6"/>
  <c r="Q2102" i="6"/>
  <c r="N2102" i="6"/>
  <c r="M2102" i="6"/>
  <c r="L2102" i="6"/>
  <c r="K2102" i="6"/>
  <c r="J2102" i="6"/>
  <c r="I2102" i="6"/>
  <c r="P2102" i="6" s="1"/>
  <c r="H2102" i="6"/>
  <c r="G2102" i="6"/>
  <c r="F2102" i="6"/>
  <c r="D2102" i="6"/>
  <c r="U2102" i="6" s="1"/>
  <c r="C2102" i="6"/>
  <c r="E2102" i="6" s="1"/>
  <c r="B2102" i="6"/>
  <c r="Q2101" i="6"/>
  <c r="N2101" i="6"/>
  <c r="M2101" i="6"/>
  <c r="L2101" i="6"/>
  <c r="K2101" i="6"/>
  <c r="J2101" i="6"/>
  <c r="I2101" i="6"/>
  <c r="P2101" i="6" s="1"/>
  <c r="H2101" i="6"/>
  <c r="G2101" i="6"/>
  <c r="F2101" i="6"/>
  <c r="D2101" i="6"/>
  <c r="U2101" i="6" s="1"/>
  <c r="C2101" i="6"/>
  <c r="E2101" i="6" s="1"/>
  <c r="B2101" i="6"/>
  <c r="Q2100" i="6"/>
  <c r="P2100" i="6"/>
  <c r="N2100" i="6"/>
  <c r="M2100" i="6"/>
  <c r="L2100" i="6"/>
  <c r="K2100" i="6"/>
  <c r="J2100" i="6"/>
  <c r="I2100" i="6"/>
  <c r="H2100" i="6"/>
  <c r="G2100" i="6"/>
  <c r="F2100" i="6"/>
  <c r="D2100" i="6"/>
  <c r="U2100" i="6" s="1"/>
  <c r="C2100" i="6"/>
  <c r="B2100" i="6"/>
  <c r="Q2099" i="6"/>
  <c r="P2099" i="6"/>
  <c r="N2099" i="6"/>
  <c r="M2099" i="6"/>
  <c r="L2099" i="6"/>
  <c r="K2099" i="6"/>
  <c r="J2099" i="6"/>
  <c r="I2099" i="6"/>
  <c r="H2099" i="6"/>
  <c r="G2099" i="6"/>
  <c r="F2099" i="6"/>
  <c r="D2099" i="6"/>
  <c r="U2099" i="6" s="1"/>
  <c r="C2099" i="6"/>
  <c r="B2099" i="6"/>
  <c r="Q2098" i="6"/>
  <c r="N2098" i="6"/>
  <c r="M2098" i="6"/>
  <c r="L2098" i="6"/>
  <c r="K2098" i="6"/>
  <c r="J2098" i="6"/>
  <c r="I2098" i="6"/>
  <c r="P2098" i="6" s="1"/>
  <c r="H2098" i="6"/>
  <c r="G2098" i="6"/>
  <c r="F2098" i="6"/>
  <c r="D2098" i="6"/>
  <c r="U2098" i="6" s="1"/>
  <c r="C2098" i="6"/>
  <c r="E2098" i="6" s="1"/>
  <c r="B2098" i="6"/>
  <c r="Q2097" i="6"/>
  <c r="N2097" i="6"/>
  <c r="M2097" i="6"/>
  <c r="L2097" i="6"/>
  <c r="K2097" i="6"/>
  <c r="J2097" i="6"/>
  <c r="I2097" i="6"/>
  <c r="P2097" i="6" s="1"/>
  <c r="H2097" i="6"/>
  <c r="G2097" i="6"/>
  <c r="F2097" i="6"/>
  <c r="D2097" i="6"/>
  <c r="U2097" i="6" s="1"/>
  <c r="C2097" i="6"/>
  <c r="E2097" i="6" s="1"/>
  <c r="B2097" i="6"/>
  <c r="Q2096" i="6"/>
  <c r="P2096" i="6"/>
  <c r="N2096" i="6"/>
  <c r="M2096" i="6"/>
  <c r="L2096" i="6"/>
  <c r="K2096" i="6"/>
  <c r="J2096" i="6"/>
  <c r="I2096" i="6"/>
  <c r="H2096" i="6"/>
  <c r="G2096" i="6"/>
  <c r="F2096" i="6"/>
  <c r="D2096" i="6"/>
  <c r="U2096" i="6" s="1"/>
  <c r="C2096" i="6"/>
  <c r="B2096" i="6"/>
  <c r="Q2095" i="6"/>
  <c r="P2095" i="6"/>
  <c r="N2095" i="6"/>
  <c r="M2095" i="6"/>
  <c r="L2095" i="6"/>
  <c r="K2095" i="6"/>
  <c r="J2095" i="6"/>
  <c r="I2095" i="6"/>
  <c r="H2095" i="6"/>
  <c r="G2095" i="6"/>
  <c r="F2095" i="6"/>
  <c r="D2095" i="6"/>
  <c r="U2095" i="6" s="1"/>
  <c r="C2095" i="6"/>
  <c r="B2095" i="6"/>
  <c r="Q2094" i="6"/>
  <c r="N2094" i="6"/>
  <c r="M2094" i="6"/>
  <c r="L2094" i="6"/>
  <c r="K2094" i="6"/>
  <c r="J2094" i="6"/>
  <c r="I2094" i="6"/>
  <c r="P2094" i="6" s="1"/>
  <c r="H2094" i="6"/>
  <c r="G2094" i="6"/>
  <c r="F2094" i="6"/>
  <c r="D2094" i="6"/>
  <c r="U2094" i="6" s="1"/>
  <c r="C2094" i="6"/>
  <c r="E2094" i="6" s="1"/>
  <c r="B2094" i="6"/>
  <c r="Q2093" i="6"/>
  <c r="N2093" i="6"/>
  <c r="M2093" i="6"/>
  <c r="L2093" i="6"/>
  <c r="K2093" i="6"/>
  <c r="J2093" i="6"/>
  <c r="I2093" i="6"/>
  <c r="P2093" i="6" s="1"/>
  <c r="H2093" i="6"/>
  <c r="G2093" i="6"/>
  <c r="F2093" i="6"/>
  <c r="D2093" i="6"/>
  <c r="U2093" i="6" s="1"/>
  <c r="C2093" i="6"/>
  <c r="E2093" i="6" s="1"/>
  <c r="B2093" i="6"/>
  <c r="Q2092" i="6"/>
  <c r="P2092" i="6"/>
  <c r="N2092" i="6"/>
  <c r="M2092" i="6"/>
  <c r="L2092" i="6"/>
  <c r="K2092" i="6"/>
  <c r="J2092" i="6"/>
  <c r="I2092" i="6"/>
  <c r="H2092" i="6"/>
  <c r="G2092" i="6"/>
  <c r="F2092" i="6"/>
  <c r="D2092" i="6"/>
  <c r="U2092" i="6" s="1"/>
  <c r="C2092" i="6"/>
  <c r="B2092" i="6"/>
  <c r="Q2091" i="6"/>
  <c r="P2091" i="6"/>
  <c r="N2091" i="6"/>
  <c r="M2091" i="6"/>
  <c r="L2091" i="6"/>
  <c r="K2091" i="6"/>
  <c r="J2091" i="6"/>
  <c r="I2091" i="6"/>
  <c r="H2091" i="6"/>
  <c r="G2091" i="6"/>
  <c r="F2091" i="6"/>
  <c r="D2091" i="6"/>
  <c r="U2091" i="6" s="1"/>
  <c r="C2091" i="6"/>
  <c r="B2091" i="6"/>
  <c r="Q2090" i="6"/>
  <c r="N2090" i="6"/>
  <c r="M2090" i="6"/>
  <c r="L2090" i="6"/>
  <c r="K2090" i="6"/>
  <c r="J2090" i="6"/>
  <c r="I2090" i="6"/>
  <c r="P2090" i="6" s="1"/>
  <c r="H2090" i="6"/>
  <c r="G2090" i="6"/>
  <c r="F2090" i="6"/>
  <c r="D2090" i="6"/>
  <c r="U2090" i="6" s="1"/>
  <c r="C2090" i="6"/>
  <c r="E2090" i="6" s="1"/>
  <c r="B2090" i="6"/>
  <c r="Q2089" i="6"/>
  <c r="N2089" i="6"/>
  <c r="M2089" i="6"/>
  <c r="L2089" i="6"/>
  <c r="K2089" i="6"/>
  <c r="J2089" i="6"/>
  <c r="I2089" i="6"/>
  <c r="P2089" i="6" s="1"/>
  <c r="H2089" i="6"/>
  <c r="G2089" i="6"/>
  <c r="F2089" i="6"/>
  <c r="D2089" i="6"/>
  <c r="U2089" i="6" s="1"/>
  <c r="C2089" i="6"/>
  <c r="E2089" i="6" s="1"/>
  <c r="B2089" i="6"/>
  <c r="Q2088" i="6"/>
  <c r="P2088" i="6"/>
  <c r="N2088" i="6"/>
  <c r="M2088" i="6"/>
  <c r="L2088" i="6"/>
  <c r="K2088" i="6"/>
  <c r="J2088" i="6"/>
  <c r="I2088" i="6"/>
  <c r="H2088" i="6"/>
  <c r="G2088" i="6"/>
  <c r="F2088" i="6"/>
  <c r="D2088" i="6"/>
  <c r="U2088" i="6" s="1"/>
  <c r="C2088" i="6"/>
  <c r="B2088" i="6"/>
  <c r="Q2087" i="6"/>
  <c r="P2087" i="6"/>
  <c r="N2087" i="6"/>
  <c r="M2087" i="6"/>
  <c r="L2087" i="6"/>
  <c r="K2087" i="6"/>
  <c r="J2087" i="6"/>
  <c r="I2087" i="6"/>
  <c r="H2087" i="6"/>
  <c r="G2087" i="6"/>
  <c r="F2087" i="6"/>
  <c r="D2087" i="6"/>
  <c r="U2087" i="6" s="1"/>
  <c r="C2087" i="6"/>
  <c r="B2087" i="6"/>
  <c r="Q2086" i="6"/>
  <c r="N2086" i="6"/>
  <c r="M2086" i="6"/>
  <c r="L2086" i="6"/>
  <c r="K2086" i="6"/>
  <c r="J2086" i="6"/>
  <c r="I2086" i="6"/>
  <c r="P2086" i="6" s="1"/>
  <c r="H2086" i="6"/>
  <c r="G2086" i="6"/>
  <c r="F2086" i="6"/>
  <c r="D2086" i="6"/>
  <c r="U2086" i="6" s="1"/>
  <c r="C2086" i="6"/>
  <c r="E2086" i="6" s="1"/>
  <c r="B2086" i="6"/>
  <c r="Q2085" i="6"/>
  <c r="N2085" i="6"/>
  <c r="M2085" i="6"/>
  <c r="L2085" i="6"/>
  <c r="K2085" i="6"/>
  <c r="J2085" i="6"/>
  <c r="I2085" i="6"/>
  <c r="P2085" i="6" s="1"/>
  <c r="H2085" i="6"/>
  <c r="G2085" i="6"/>
  <c r="F2085" i="6"/>
  <c r="D2085" i="6"/>
  <c r="U2085" i="6" s="1"/>
  <c r="C2085" i="6"/>
  <c r="E2085" i="6" s="1"/>
  <c r="B2085" i="6"/>
  <c r="Q2084" i="6"/>
  <c r="P2084" i="6"/>
  <c r="N2084" i="6"/>
  <c r="M2084" i="6"/>
  <c r="L2084" i="6"/>
  <c r="K2084" i="6"/>
  <c r="J2084" i="6"/>
  <c r="I2084" i="6"/>
  <c r="H2084" i="6"/>
  <c r="G2084" i="6"/>
  <c r="F2084" i="6"/>
  <c r="D2084" i="6"/>
  <c r="U2084" i="6" s="1"/>
  <c r="C2084" i="6"/>
  <c r="B2084" i="6"/>
  <c r="Q2083" i="6"/>
  <c r="P2083" i="6"/>
  <c r="N2083" i="6"/>
  <c r="M2083" i="6"/>
  <c r="L2083" i="6"/>
  <c r="K2083" i="6"/>
  <c r="J2083" i="6"/>
  <c r="I2083" i="6"/>
  <c r="H2083" i="6"/>
  <c r="G2083" i="6"/>
  <c r="F2083" i="6"/>
  <c r="D2083" i="6"/>
  <c r="U2083" i="6" s="1"/>
  <c r="C2083" i="6"/>
  <c r="B2083" i="6"/>
  <c r="Q2082" i="6"/>
  <c r="N2082" i="6"/>
  <c r="M2082" i="6"/>
  <c r="L2082" i="6"/>
  <c r="K2082" i="6"/>
  <c r="J2082" i="6"/>
  <c r="I2082" i="6"/>
  <c r="P2082" i="6" s="1"/>
  <c r="H2082" i="6"/>
  <c r="G2082" i="6"/>
  <c r="F2082" i="6"/>
  <c r="D2082" i="6"/>
  <c r="U2082" i="6" s="1"/>
  <c r="C2082" i="6"/>
  <c r="E2082" i="6" s="1"/>
  <c r="B2082" i="6"/>
  <c r="Q2081" i="6"/>
  <c r="N2081" i="6"/>
  <c r="M2081" i="6"/>
  <c r="L2081" i="6"/>
  <c r="K2081" i="6"/>
  <c r="J2081" i="6"/>
  <c r="I2081" i="6"/>
  <c r="P2081" i="6" s="1"/>
  <c r="H2081" i="6"/>
  <c r="G2081" i="6"/>
  <c r="F2081" i="6"/>
  <c r="D2081" i="6"/>
  <c r="U2081" i="6" s="1"/>
  <c r="C2081" i="6"/>
  <c r="E2081" i="6" s="1"/>
  <c r="B2081" i="6"/>
  <c r="Q2080" i="6"/>
  <c r="P2080" i="6"/>
  <c r="N2080" i="6"/>
  <c r="M2080" i="6"/>
  <c r="L2080" i="6"/>
  <c r="K2080" i="6"/>
  <c r="J2080" i="6"/>
  <c r="I2080" i="6"/>
  <c r="H2080" i="6"/>
  <c r="G2080" i="6"/>
  <c r="F2080" i="6"/>
  <c r="D2080" i="6"/>
  <c r="U2080" i="6" s="1"/>
  <c r="C2080" i="6"/>
  <c r="B2080" i="6"/>
  <c r="Q2079" i="6"/>
  <c r="P2079" i="6"/>
  <c r="N2079" i="6"/>
  <c r="M2079" i="6"/>
  <c r="L2079" i="6"/>
  <c r="K2079" i="6"/>
  <c r="J2079" i="6"/>
  <c r="I2079" i="6"/>
  <c r="H2079" i="6"/>
  <c r="G2079" i="6"/>
  <c r="F2079" i="6"/>
  <c r="D2079" i="6"/>
  <c r="U2079" i="6" s="1"/>
  <c r="C2079" i="6"/>
  <c r="B2079" i="6"/>
  <c r="Q2078" i="6"/>
  <c r="N2078" i="6"/>
  <c r="M2078" i="6"/>
  <c r="L2078" i="6"/>
  <c r="K2078" i="6"/>
  <c r="J2078" i="6"/>
  <c r="I2078" i="6"/>
  <c r="P2078" i="6" s="1"/>
  <c r="H2078" i="6"/>
  <c r="G2078" i="6"/>
  <c r="F2078" i="6"/>
  <c r="D2078" i="6"/>
  <c r="U2078" i="6" s="1"/>
  <c r="C2078" i="6"/>
  <c r="E2078" i="6" s="1"/>
  <c r="B2078" i="6"/>
  <c r="Q2077" i="6"/>
  <c r="N2077" i="6"/>
  <c r="M2077" i="6"/>
  <c r="L2077" i="6"/>
  <c r="K2077" i="6"/>
  <c r="J2077" i="6"/>
  <c r="I2077" i="6"/>
  <c r="P2077" i="6" s="1"/>
  <c r="H2077" i="6"/>
  <c r="G2077" i="6"/>
  <c r="F2077" i="6"/>
  <c r="D2077" i="6"/>
  <c r="U2077" i="6" s="1"/>
  <c r="C2077" i="6"/>
  <c r="E2077" i="6" s="1"/>
  <c r="B2077" i="6"/>
  <c r="Q2076" i="6"/>
  <c r="P2076" i="6"/>
  <c r="N2076" i="6"/>
  <c r="M2076" i="6"/>
  <c r="L2076" i="6"/>
  <c r="K2076" i="6"/>
  <c r="J2076" i="6"/>
  <c r="I2076" i="6"/>
  <c r="H2076" i="6"/>
  <c r="G2076" i="6"/>
  <c r="F2076" i="6"/>
  <c r="D2076" i="6"/>
  <c r="U2076" i="6" s="1"/>
  <c r="C2076" i="6"/>
  <c r="B2076" i="6"/>
  <c r="Q2075" i="6"/>
  <c r="P2075" i="6"/>
  <c r="N2075" i="6"/>
  <c r="M2075" i="6"/>
  <c r="L2075" i="6"/>
  <c r="K2075" i="6"/>
  <c r="J2075" i="6"/>
  <c r="I2075" i="6"/>
  <c r="H2075" i="6"/>
  <c r="G2075" i="6"/>
  <c r="F2075" i="6"/>
  <c r="D2075" i="6"/>
  <c r="U2075" i="6" s="1"/>
  <c r="C2075" i="6"/>
  <c r="B2075" i="6"/>
  <c r="Q2074" i="6"/>
  <c r="N2074" i="6"/>
  <c r="M2074" i="6"/>
  <c r="L2074" i="6"/>
  <c r="K2074" i="6"/>
  <c r="J2074" i="6"/>
  <c r="I2074" i="6"/>
  <c r="P2074" i="6" s="1"/>
  <c r="H2074" i="6"/>
  <c r="G2074" i="6"/>
  <c r="F2074" i="6"/>
  <c r="D2074" i="6"/>
  <c r="U2074" i="6" s="1"/>
  <c r="C2074" i="6"/>
  <c r="E2074" i="6" s="1"/>
  <c r="B2074" i="6"/>
  <c r="Q2073" i="6"/>
  <c r="N2073" i="6"/>
  <c r="M2073" i="6"/>
  <c r="L2073" i="6"/>
  <c r="K2073" i="6"/>
  <c r="J2073" i="6"/>
  <c r="I2073" i="6"/>
  <c r="P2073" i="6" s="1"/>
  <c r="H2073" i="6"/>
  <c r="G2073" i="6"/>
  <c r="F2073" i="6"/>
  <c r="D2073" i="6"/>
  <c r="U2073" i="6" s="1"/>
  <c r="C2073" i="6"/>
  <c r="E2073" i="6" s="1"/>
  <c r="B2073" i="6"/>
  <c r="Q2072" i="6"/>
  <c r="P2072" i="6"/>
  <c r="N2072" i="6"/>
  <c r="M2072" i="6"/>
  <c r="L2072" i="6"/>
  <c r="K2072" i="6"/>
  <c r="J2072" i="6"/>
  <c r="I2072" i="6"/>
  <c r="H2072" i="6"/>
  <c r="G2072" i="6"/>
  <c r="F2072" i="6"/>
  <c r="D2072" i="6"/>
  <c r="U2072" i="6" s="1"/>
  <c r="C2072" i="6"/>
  <c r="B2072" i="6"/>
  <c r="Q2071" i="6"/>
  <c r="P2071" i="6"/>
  <c r="N2071" i="6"/>
  <c r="M2071" i="6"/>
  <c r="L2071" i="6"/>
  <c r="K2071" i="6"/>
  <c r="J2071" i="6"/>
  <c r="I2071" i="6"/>
  <c r="H2071" i="6"/>
  <c r="G2071" i="6"/>
  <c r="F2071" i="6"/>
  <c r="D2071" i="6"/>
  <c r="U2071" i="6" s="1"/>
  <c r="C2071" i="6"/>
  <c r="B2071" i="6"/>
  <c r="Q2070" i="6"/>
  <c r="N2070" i="6"/>
  <c r="M2070" i="6"/>
  <c r="L2070" i="6"/>
  <c r="K2070" i="6"/>
  <c r="J2070" i="6"/>
  <c r="I2070" i="6"/>
  <c r="P2070" i="6" s="1"/>
  <c r="H2070" i="6"/>
  <c r="G2070" i="6"/>
  <c r="F2070" i="6"/>
  <c r="D2070" i="6"/>
  <c r="U2070" i="6" s="1"/>
  <c r="C2070" i="6"/>
  <c r="E2070" i="6" s="1"/>
  <c r="B2070" i="6"/>
  <c r="Q2069" i="6"/>
  <c r="N2069" i="6"/>
  <c r="M2069" i="6"/>
  <c r="L2069" i="6"/>
  <c r="K2069" i="6"/>
  <c r="J2069" i="6"/>
  <c r="I2069" i="6"/>
  <c r="P2069" i="6" s="1"/>
  <c r="H2069" i="6"/>
  <c r="G2069" i="6"/>
  <c r="F2069" i="6"/>
  <c r="D2069" i="6"/>
  <c r="U2069" i="6" s="1"/>
  <c r="C2069" i="6"/>
  <c r="E2069" i="6" s="1"/>
  <c r="B2069" i="6"/>
  <c r="Q2068" i="6"/>
  <c r="P2068" i="6"/>
  <c r="N2068" i="6"/>
  <c r="M2068" i="6"/>
  <c r="L2068" i="6"/>
  <c r="K2068" i="6"/>
  <c r="J2068" i="6"/>
  <c r="I2068" i="6"/>
  <c r="H2068" i="6"/>
  <c r="G2068" i="6"/>
  <c r="F2068" i="6"/>
  <c r="D2068" i="6"/>
  <c r="U2068" i="6" s="1"/>
  <c r="C2068" i="6"/>
  <c r="B2068" i="6"/>
  <c r="Q2067" i="6"/>
  <c r="P2067" i="6"/>
  <c r="N2067" i="6"/>
  <c r="M2067" i="6"/>
  <c r="L2067" i="6"/>
  <c r="K2067" i="6"/>
  <c r="J2067" i="6"/>
  <c r="I2067" i="6"/>
  <c r="H2067" i="6"/>
  <c r="G2067" i="6"/>
  <c r="F2067" i="6"/>
  <c r="D2067" i="6"/>
  <c r="U2067" i="6" s="1"/>
  <c r="C2067" i="6"/>
  <c r="B2067" i="6"/>
  <c r="Q2066" i="6"/>
  <c r="N2066" i="6"/>
  <c r="M2066" i="6"/>
  <c r="L2066" i="6"/>
  <c r="K2066" i="6"/>
  <c r="J2066" i="6"/>
  <c r="I2066" i="6"/>
  <c r="P2066" i="6" s="1"/>
  <c r="H2066" i="6"/>
  <c r="G2066" i="6"/>
  <c r="F2066" i="6"/>
  <c r="D2066" i="6"/>
  <c r="U2066" i="6" s="1"/>
  <c r="C2066" i="6"/>
  <c r="E2066" i="6" s="1"/>
  <c r="B2066" i="6"/>
  <c r="Q2065" i="6"/>
  <c r="N2065" i="6"/>
  <c r="M2065" i="6"/>
  <c r="L2065" i="6"/>
  <c r="K2065" i="6"/>
  <c r="J2065" i="6"/>
  <c r="I2065" i="6"/>
  <c r="P2065" i="6" s="1"/>
  <c r="H2065" i="6"/>
  <c r="G2065" i="6"/>
  <c r="F2065" i="6"/>
  <c r="D2065" i="6"/>
  <c r="U2065" i="6" s="1"/>
  <c r="C2065" i="6"/>
  <c r="E2065" i="6" s="1"/>
  <c r="B2065" i="6"/>
  <c r="Q2064" i="6"/>
  <c r="P2064" i="6"/>
  <c r="N2064" i="6"/>
  <c r="M2064" i="6"/>
  <c r="L2064" i="6"/>
  <c r="K2064" i="6"/>
  <c r="J2064" i="6"/>
  <c r="I2064" i="6"/>
  <c r="H2064" i="6"/>
  <c r="G2064" i="6"/>
  <c r="F2064" i="6"/>
  <c r="D2064" i="6"/>
  <c r="U2064" i="6" s="1"/>
  <c r="C2064" i="6"/>
  <c r="B2064" i="6"/>
  <c r="Q2063" i="6"/>
  <c r="P2063" i="6"/>
  <c r="N2063" i="6"/>
  <c r="M2063" i="6"/>
  <c r="L2063" i="6"/>
  <c r="K2063" i="6"/>
  <c r="J2063" i="6"/>
  <c r="I2063" i="6"/>
  <c r="H2063" i="6"/>
  <c r="G2063" i="6"/>
  <c r="F2063" i="6"/>
  <c r="D2063" i="6"/>
  <c r="U2063" i="6" s="1"/>
  <c r="C2063" i="6"/>
  <c r="B2063" i="6"/>
  <c r="Q2062" i="6"/>
  <c r="N2062" i="6"/>
  <c r="M2062" i="6"/>
  <c r="L2062" i="6"/>
  <c r="K2062" i="6"/>
  <c r="J2062" i="6"/>
  <c r="I2062" i="6"/>
  <c r="P2062" i="6" s="1"/>
  <c r="H2062" i="6"/>
  <c r="G2062" i="6"/>
  <c r="F2062" i="6"/>
  <c r="D2062" i="6"/>
  <c r="U2062" i="6" s="1"/>
  <c r="C2062" i="6"/>
  <c r="E2062" i="6" s="1"/>
  <c r="B2062" i="6"/>
  <c r="Q2061" i="6"/>
  <c r="N2061" i="6"/>
  <c r="M2061" i="6"/>
  <c r="L2061" i="6"/>
  <c r="K2061" i="6"/>
  <c r="J2061" i="6"/>
  <c r="I2061" i="6"/>
  <c r="P2061" i="6" s="1"/>
  <c r="H2061" i="6"/>
  <c r="G2061" i="6"/>
  <c r="F2061" i="6"/>
  <c r="D2061" i="6"/>
  <c r="U2061" i="6" s="1"/>
  <c r="C2061" i="6"/>
  <c r="E2061" i="6" s="1"/>
  <c r="B2061" i="6"/>
  <c r="Q2060" i="6"/>
  <c r="P2060" i="6"/>
  <c r="N2060" i="6"/>
  <c r="M2060" i="6"/>
  <c r="L2060" i="6"/>
  <c r="K2060" i="6"/>
  <c r="J2060" i="6"/>
  <c r="I2060" i="6"/>
  <c r="H2060" i="6"/>
  <c r="G2060" i="6"/>
  <c r="F2060" i="6"/>
  <c r="D2060" i="6"/>
  <c r="U2060" i="6" s="1"/>
  <c r="C2060" i="6"/>
  <c r="B2060" i="6"/>
  <c r="Q2059" i="6"/>
  <c r="P2059" i="6"/>
  <c r="N2059" i="6"/>
  <c r="M2059" i="6"/>
  <c r="L2059" i="6"/>
  <c r="K2059" i="6"/>
  <c r="J2059" i="6"/>
  <c r="I2059" i="6"/>
  <c r="H2059" i="6"/>
  <c r="G2059" i="6"/>
  <c r="F2059" i="6"/>
  <c r="D2059" i="6"/>
  <c r="U2059" i="6" s="1"/>
  <c r="C2059" i="6"/>
  <c r="B2059" i="6"/>
  <c r="Q2058" i="6"/>
  <c r="N2058" i="6"/>
  <c r="M2058" i="6"/>
  <c r="L2058" i="6"/>
  <c r="K2058" i="6"/>
  <c r="J2058" i="6"/>
  <c r="I2058" i="6"/>
  <c r="P2058" i="6" s="1"/>
  <c r="H2058" i="6"/>
  <c r="G2058" i="6"/>
  <c r="F2058" i="6"/>
  <c r="D2058" i="6"/>
  <c r="U2058" i="6" s="1"/>
  <c r="C2058" i="6"/>
  <c r="E2058" i="6" s="1"/>
  <c r="B2058" i="6"/>
  <c r="Q2057" i="6"/>
  <c r="N2057" i="6"/>
  <c r="M2057" i="6"/>
  <c r="L2057" i="6"/>
  <c r="K2057" i="6"/>
  <c r="J2057" i="6"/>
  <c r="I2057" i="6"/>
  <c r="P2057" i="6" s="1"/>
  <c r="H2057" i="6"/>
  <c r="G2057" i="6"/>
  <c r="F2057" i="6"/>
  <c r="D2057" i="6"/>
  <c r="U2057" i="6" s="1"/>
  <c r="C2057" i="6"/>
  <c r="E2057" i="6" s="1"/>
  <c r="B2057" i="6"/>
  <c r="Q2056" i="6"/>
  <c r="P2056" i="6"/>
  <c r="N2056" i="6"/>
  <c r="M2056" i="6"/>
  <c r="L2056" i="6"/>
  <c r="K2056" i="6"/>
  <c r="J2056" i="6"/>
  <c r="I2056" i="6"/>
  <c r="H2056" i="6"/>
  <c r="G2056" i="6"/>
  <c r="F2056" i="6"/>
  <c r="D2056" i="6"/>
  <c r="U2056" i="6" s="1"/>
  <c r="C2056" i="6"/>
  <c r="B2056" i="6"/>
  <c r="Q2055" i="6"/>
  <c r="P2055" i="6"/>
  <c r="N2055" i="6"/>
  <c r="M2055" i="6"/>
  <c r="L2055" i="6"/>
  <c r="K2055" i="6"/>
  <c r="J2055" i="6"/>
  <c r="I2055" i="6"/>
  <c r="H2055" i="6"/>
  <c r="G2055" i="6"/>
  <c r="F2055" i="6"/>
  <c r="D2055" i="6"/>
  <c r="U2055" i="6" s="1"/>
  <c r="C2055" i="6"/>
  <c r="B2055" i="6"/>
  <c r="Q2054" i="6"/>
  <c r="N2054" i="6"/>
  <c r="M2054" i="6"/>
  <c r="L2054" i="6"/>
  <c r="K2054" i="6"/>
  <c r="J2054" i="6"/>
  <c r="I2054" i="6"/>
  <c r="P2054" i="6" s="1"/>
  <c r="H2054" i="6"/>
  <c r="G2054" i="6"/>
  <c r="F2054" i="6"/>
  <c r="D2054" i="6"/>
  <c r="U2054" i="6" s="1"/>
  <c r="C2054" i="6"/>
  <c r="E2054" i="6" s="1"/>
  <c r="B2054" i="6"/>
  <c r="Q2053" i="6"/>
  <c r="N2053" i="6"/>
  <c r="M2053" i="6"/>
  <c r="L2053" i="6"/>
  <c r="K2053" i="6"/>
  <c r="J2053" i="6"/>
  <c r="I2053" i="6"/>
  <c r="P2053" i="6" s="1"/>
  <c r="H2053" i="6"/>
  <c r="G2053" i="6"/>
  <c r="F2053" i="6"/>
  <c r="D2053" i="6"/>
  <c r="U2053" i="6" s="1"/>
  <c r="C2053" i="6"/>
  <c r="E2053" i="6" s="1"/>
  <c r="B2053" i="6"/>
  <c r="Q2052" i="6"/>
  <c r="P2052" i="6"/>
  <c r="N2052" i="6"/>
  <c r="M2052" i="6"/>
  <c r="L2052" i="6"/>
  <c r="K2052" i="6"/>
  <c r="J2052" i="6"/>
  <c r="I2052" i="6"/>
  <c r="H2052" i="6"/>
  <c r="G2052" i="6"/>
  <c r="F2052" i="6"/>
  <c r="D2052" i="6"/>
  <c r="U2052" i="6" s="1"/>
  <c r="C2052" i="6"/>
  <c r="B2052" i="6"/>
  <c r="Q2051" i="6"/>
  <c r="P2051" i="6"/>
  <c r="N2051" i="6"/>
  <c r="M2051" i="6"/>
  <c r="L2051" i="6"/>
  <c r="K2051" i="6"/>
  <c r="J2051" i="6"/>
  <c r="I2051" i="6"/>
  <c r="H2051" i="6"/>
  <c r="G2051" i="6"/>
  <c r="F2051" i="6"/>
  <c r="D2051" i="6"/>
  <c r="U2051" i="6" s="1"/>
  <c r="C2051" i="6"/>
  <c r="B2051" i="6"/>
  <c r="Q2050" i="6"/>
  <c r="N2050" i="6"/>
  <c r="M2050" i="6"/>
  <c r="L2050" i="6"/>
  <c r="K2050" i="6"/>
  <c r="J2050" i="6"/>
  <c r="I2050" i="6"/>
  <c r="P2050" i="6" s="1"/>
  <c r="H2050" i="6"/>
  <c r="G2050" i="6"/>
  <c r="F2050" i="6"/>
  <c r="D2050" i="6"/>
  <c r="U2050" i="6" s="1"/>
  <c r="C2050" i="6"/>
  <c r="E2050" i="6" s="1"/>
  <c r="B2050" i="6"/>
  <c r="Q2049" i="6"/>
  <c r="N2049" i="6"/>
  <c r="M2049" i="6"/>
  <c r="L2049" i="6"/>
  <c r="K2049" i="6"/>
  <c r="J2049" i="6"/>
  <c r="I2049" i="6"/>
  <c r="P2049" i="6" s="1"/>
  <c r="H2049" i="6"/>
  <c r="G2049" i="6"/>
  <c r="F2049" i="6"/>
  <c r="D2049" i="6"/>
  <c r="U2049" i="6" s="1"/>
  <c r="C2049" i="6"/>
  <c r="E2049" i="6" s="1"/>
  <c r="B2049" i="6"/>
  <c r="Q2048" i="6"/>
  <c r="P2048" i="6"/>
  <c r="N2048" i="6"/>
  <c r="M2048" i="6"/>
  <c r="L2048" i="6"/>
  <c r="K2048" i="6"/>
  <c r="J2048" i="6"/>
  <c r="I2048" i="6"/>
  <c r="H2048" i="6"/>
  <c r="G2048" i="6"/>
  <c r="F2048" i="6"/>
  <c r="D2048" i="6"/>
  <c r="U2048" i="6" s="1"/>
  <c r="C2048" i="6"/>
  <c r="B2048" i="6"/>
  <c r="Q2047" i="6"/>
  <c r="P2047" i="6"/>
  <c r="N2047" i="6"/>
  <c r="M2047" i="6"/>
  <c r="L2047" i="6"/>
  <c r="K2047" i="6"/>
  <c r="J2047" i="6"/>
  <c r="I2047" i="6"/>
  <c r="H2047" i="6"/>
  <c r="G2047" i="6"/>
  <c r="F2047" i="6"/>
  <c r="D2047" i="6"/>
  <c r="U2047" i="6" s="1"/>
  <c r="C2047" i="6"/>
  <c r="B2047" i="6"/>
  <c r="Q2046" i="6"/>
  <c r="N2046" i="6"/>
  <c r="M2046" i="6"/>
  <c r="L2046" i="6"/>
  <c r="K2046" i="6"/>
  <c r="J2046" i="6"/>
  <c r="I2046" i="6"/>
  <c r="P2046" i="6" s="1"/>
  <c r="H2046" i="6"/>
  <c r="G2046" i="6"/>
  <c r="F2046" i="6"/>
  <c r="D2046" i="6"/>
  <c r="U2046" i="6" s="1"/>
  <c r="C2046" i="6"/>
  <c r="E2046" i="6" s="1"/>
  <c r="B2046" i="6"/>
  <c r="Q2045" i="6"/>
  <c r="N2045" i="6"/>
  <c r="M2045" i="6"/>
  <c r="L2045" i="6"/>
  <c r="K2045" i="6"/>
  <c r="J2045" i="6"/>
  <c r="I2045" i="6"/>
  <c r="P2045" i="6" s="1"/>
  <c r="H2045" i="6"/>
  <c r="G2045" i="6"/>
  <c r="F2045" i="6"/>
  <c r="D2045" i="6"/>
  <c r="U2045" i="6" s="1"/>
  <c r="C2045" i="6"/>
  <c r="E2045" i="6" s="1"/>
  <c r="B2045" i="6"/>
  <c r="Q2044" i="6"/>
  <c r="P2044" i="6"/>
  <c r="N2044" i="6"/>
  <c r="M2044" i="6"/>
  <c r="L2044" i="6"/>
  <c r="K2044" i="6"/>
  <c r="J2044" i="6"/>
  <c r="I2044" i="6"/>
  <c r="H2044" i="6"/>
  <c r="G2044" i="6"/>
  <c r="F2044" i="6"/>
  <c r="D2044" i="6"/>
  <c r="U2044" i="6" s="1"/>
  <c r="C2044" i="6"/>
  <c r="B2044" i="6"/>
  <c r="Q2043" i="6"/>
  <c r="P2043" i="6"/>
  <c r="N2043" i="6"/>
  <c r="M2043" i="6"/>
  <c r="L2043" i="6"/>
  <c r="K2043" i="6"/>
  <c r="J2043" i="6"/>
  <c r="I2043" i="6"/>
  <c r="H2043" i="6"/>
  <c r="G2043" i="6"/>
  <c r="F2043" i="6"/>
  <c r="D2043" i="6"/>
  <c r="U2043" i="6" s="1"/>
  <c r="C2043" i="6"/>
  <c r="B2043" i="6"/>
  <c r="Q2042" i="6"/>
  <c r="N2042" i="6"/>
  <c r="M2042" i="6"/>
  <c r="L2042" i="6"/>
  <c r="K2042" i="6"/>
  <c r="J2042" i="6"/>
  <c r="I2042" i="6"/>
  <c r="P2042" i="6" s="1"/>
  <c r="H2042" i="6"/>
  <c r="G2042" i="6"/>
  <c r="F2042" i="6"/>
  <c r="D2042" i="6"/>
  <c r="U2042" i="6" s="1"/>
  <c r="C2042" i="6"/>
  <c r="E2042" i="6" s="1"/>
  <c r="B2042" i="6"/>
  <c r="Q2041" i="6"/>
  <c r="N2041" i="6"/>
  <c r="M2041" i="6"/>
  <c r="L2041" i="6"/>
  <c r="K2041" i="6"/>
  <c r="J2041" i="6"/>
  <c r="I2041" i="6"/>
  <c r="P2041" i="6" s="1"/>
  <c r="H2041" i="6"/>
  <c r="G2041" i="6"/>
  <c r="F2041" i="6"/>
  <c r="D2041" i="6"/>
  <c r="U2041" i="6" s="1"/>
  <c r="C2041" i="6"/>
  <c r="E2041" i="6" s="1"/>
  <c r="B2041" i="6"/>
  <c r="Q2040" i="6"/>
  <c r="P2040" i="6"/>
  <c r="N2040" i="6"/>
  <c r="M2040" i="6"/>
  <c r="L2040" i="6"/>
  <c r="K2040" i="6"/>
  <c r="J2040" i="6"/>
  <c r="I2040" i="6"/>
  <c r="H2040" i="6"/>
  <c r="G2040" i="6"/>
  <c r="F2040" i="6"/>
  <c r="D2040" i="6"/>
  <c r="U2040" i="6" s="1"/>
  <c r="C2040" i="6"/>
  <c r="B2040" i="6"/>
  <c r="Q2039" i="6"/>
  <c r="P2039" i="6"/>
  <c r="N2039" i="6"/>
  <c r="M2039" i="6"/>
  <c r="L2039" i="6"/>
  <c r="K2039" i="6"/>
  <c r="J2039" i="6"/>
  <c r="I2039" i="6"/>
  <c r="H2039" i="6"/>
  <c r="G2039" i="6"/>
  <c r="F2039" i="6"/>
  <c r="D2039" i="6"/>
  <c r="U2039" i="6" s="1"/>
  <c r="C2039" i="6"/>
  <c r="B2039" i="6"/>
  <c r="Q2038" i="6"/>
  <c r="N2038" i="6"/>
  <c r="M2038" i="6"/>
  <c r="L2038" i="6"/>
  <c r="K2038" i="6"/>
  <c r="J2038" i="6"/>
  <c r="I2038" i="6"/>
  <c r="P2038" i="6" s="1"/>
  <c r="H2038" i="6"/>
  <c r="G2038" i="6"/>
  <c r="F2038" i="6"/>
  <c r="D2038" i="6"/>
  <c r="U2038" i="6" s="1"/>
  <c r="C2038" i="6"/>
  <c r="E2038" i="6" s="1"/>
  <c r="B2038" i="6"/>
  <c r="Q2037" i="6"/>
  <c r="N2037" i="6"/>
  <c r="M2037" i="6"/>
  <c r="L2037" i="6"/>
  <c r="K2037" i="6"/>
  <c r="J2037" i="6"/>
  <c r="I2037" i="6"/>
  <c r="P2037" i="6" s="1"/>
  <c r="H2037" i="6"/>
  <c r="G2037" i="6"/>
  <c r="F2037" i="6"/>
  <c r="D2037" i="6"/>
  <c r="U2037" i="6" s="1"/>
  <c r="C2037" i="6"/>
  <c r="E2037" i="6" s="1"/>
  <c r="B2037" i="6"/>
  <c r="Q2036" i="6"/>
  <c r="P2036" i="6"/>
  <c r="N2036" i="6"/>
  <c r="M2036" i="6"/>
  <c r="L2036" i="6"/>
  <c r="K2036" i="6"/>
  <c r="J2036" i="6"/>
  <c r="I2036" i="6"/>
  <c r="H2036" i="6"/>
  <c r="G2036" i="6"/>
  <c r="F2036" i="6"/>
  <c r="D2036" i="6"/>
  <c r="U2036" i="6" s="1"/>
  <c r="C2036" i="6"/>
  <c r="B2036" i="6"/>
  <c r="Q2035" i="6"/>
  <c r="P2035" i="6"/>
  <c r="N2035" i="6"/>
  <c r="M2035" i="6"/>
  <c r="L2035" i="6"/>
  <c r="K2035" i="6"/>
  <c r="J2035" i="6"/>
  <c r="I2035" i="6"/>
  <c r="H2035" i="6"/>
  <c r="G2035" i="6"/>
  <c r="F2035" i="6"/>
  <c r="D2035" i="6"/>
  <c r="U2035" i="6" s="1"/>
  <c r="C2035" i="6"/>
  <c r="B2035" i="6"/>
  <c r="Q2034" i="6"/>
  <c r="N2034" i="6"/>
  <c r="M2034" i="6"/>
  <c r="L2034" i="6"/>
  <c r="K2034" i="6"/>
  <c r="J2034" i="6"/>
  <c r="I2034" i="6"/>
  <c r="P2034" i="6" s="1"/>
  <c r="H2034" i="6"/>
  <c r="G2034" i="6"/>
  <c r="F2034" i="6"/>
  <c r="D2034" i="6"/>
  <c r="U2034" i="6" s="1"/>
  <c r="C2034" i="6"/>
  <c r="E2034" i="6" s="1"/>
  <c r="B2034" i="6"/>
  <c r="Q2033" i="6"/>
  <c r="N2033" i="6"/>
  <c r="M2033" i="6"/>
  <c r="L2033" i="6"/>
  <c r="K2033" i="6"/>
  <c r="J2033" i="6"/>
  <c r="I2033" i="6"/>
  <c r="P2033" i="6" s="1"/>
  <c r="H2033" i="6"/>
  <c r="G2033" i="6"/>
  <c r="F2033" i="6"/>
  <c r="D2033" i="6"/>
  <c r="U2033" i="6" s="1"/>
  <c r="C2033" i="6"/>
  <c r="E2033" i="6" s="1"/>
  <c r="B2033" i="6"/>
  <c r="Q2032" i="6"/>
  <c r="P2032" i="6"/>
  <c r="N2032" i="6"/>
  <c r="M2032" i="6"/>
  <c r="L2032" i="6"/>
  <c r="K2032" i="6"/>
  <c r="J2032" i="6"/>
  <c r="I2032" i="6"/>
  <c r="H2032" i="6"/>
  <c r="G2032" i="6"/>
  <c r="F2032" i="6"/>
  <c r="D2032" i="6"/>
  <c r="U2032" i="6" s="1"/>
  <c r="C2032" i="6"/>
  <c r="B2032" i="6"/>
  <c r="Q2031" i="6"/>
  <c r="P2031" i="6"/>
  <c r="N2031" i="6"/>
  <c r="M2031" i="6"/>
  <c r="L2031" i="6"/>
  <c r="K2031" i="6"/>
  <c r="J2031" i="6"/>
  <c r="I2031" i="6"/>
  <c r="H2031" i="6"/>
  <c r="G2031" i="6"/>
  <c r="F2031" i="6"/>
  <c r="D2031" i="6"/>
  <c r="U2031" i="6" s="1"/>
  <c r="C2031" i="6"/>
  <c r="B2031" i="6"/>
  <c r="Q2030" i="6"/>
  <c r="N2030" i="6"/>
  <c r="M2030" i="6"/>
  <c r="L2030" i="6"/>
  <c r="K2030" i="6"/>
  <c r="J2030" i="6"/>
  <c r="I2030" i="6"/>
  <c r="P2030" i="6" s="1"/>
  <c r="H2030" i="6"/>
  <c r="G2030" i="6"/>
  <c r="F2030" i="6"/>
  <c r="D2030" i="6"/>
  <c r="U2030" i="6" s="1"/>
  <c r="C2030" i="6"/>
  <c r="E2030" i="6" s="1"/>
  <c r="B2030" i="6"/>
  <c r="Q2029" i="6"/>
  <c r="N2029" i="6"/>
  <c r="M2029" i="6"/>
  <c r="L2029" i="6"/>
  <c r="K2029" i="6"/>
  <c r="J2029" i="6"/>
  <c r="I2029" i="6"/>
  <c r="P2029" i="6" s="1"/>
  <c r="H2029" i="6"/>
  <c r="G2029" i="6"/>
  <c r="F2029" i="6"/>
  <c r="D2029" i="6"/>
  <c r="U2029" i="6" s="1"/>
  <c r="C2029" i="6"/>
  <c r="E2029" i="6" s="1"/>
  <c r="B2029" i="6"/>
  <c r="Q2028" i="6"/>
  <c r="P2028" i="6"/>
  <c r="N2028" i="6"/>
  <c r="M2028" i="6"/>
  <c r="L2028" i="6"/>
  <c r="K2028" i="6"/>
  <c r="J2028" i="6"/>
  <c r="I2028" i="6"/>
  <c r="H2028" i="6"/>
  <c r="G2028" i="6"/>
  <c r="F2028" i="6"/>
  <c r="D2028" i="6"/>
  <c r="U2028" i="6" s="1"/>
  <c r="C2028" i="6"/>
  <c r="B2028" i="6"/>
  <c r="Q2027" i="6"/>
  <c r="P2027" i="6"/>
  <c r="N2027" i="6"/>
  <c r="M2027" i="6"/>
  <c r="L2027" i="6"/>
  <c r="K2027" i="6"/>
  <c r="J2027" i="6"/>
  <c r="I2027" i="6"/>
  <c r="H2027" i="6"/>
  <c r="G2027" i="6"/>
  <c r="F2027" i="6"/>
  <c r="D2027" i="6"/>
  <c r="U2027" i="6" s="1"/>
  <c r="C2027" i="6"/>
  <c r="B2027" i="6"/>
  <c r="Q2026" i="6"/>
  <c r="N2026" i="6"/>
  <c r="M2026" i="6"/>
  <c r="L2026" i="6"/>
  <c r="K2026" i="6"/>
  <c r="J2026" i="6"/>
  <c r="I2026" i="6"/>
  <c r="P2026" i="6" s="1"/>
  <c r="H2026" i="6"/>
  <c r="G2026" i="6"/>
  <c r="F2026" i="6"/>
  <c r="D2026" i="6"/>
  <c r="U2026" i="6" s="1"/>
  <c r="C2026" i="6"/>
  <c r="E2026" i="6" s="1"/>
  <c r="B2026" i="6"/>
  <c r="Q2025" i="6"/>
  <c r="N2025" i="6"/>
  <c r="M2025" i="6"/>
  <c r="L2025" i="6"/>
  <c r="K2025" i="6"/>
  <c r="J2025" i="6"/>
  <c r="I2025" i="6"/>
  <c r="P2025" i="6" s="1"/>
  <c r="H2025" i="6"/>
  <c r="G2025" i="6"/>
  <c r="F2025" i="6"/>
  <c r="D2025" i="6"/>
  <c r="U2025" i="6" s="1"/>
  <c r="C2025" i="6"/>
  <c r="E2025" i="6" s="1"/>
  <c r="B2025" i="6"/>
  <c r="Q2024" i="6"/>
  <c r="P2024" i="6"/>
  <c r="N2024" i="6"/>
  <c r="M2024" i="6"/>
  <c r="L2024" i="6"/>
  <c r="K2024" i="6"/>
  <c r="J2024" i="6"/>
  <c r="I2024" i="6"/>
  <c r="H2024" i="6"/>
  <c r="G2024" i="6"/>
  <c r="F2024" i="6"/>
  <c r="D2024" i="6"/>
  <c r="U2024" i="6" s="1"/>
  <c r="C2024" i="6"/>
  <c r="B2024" i="6"/>
  <c r="Q2023" i="6"/>
  <c r="P2023" i="6"/>
  <c r="N2023" i="6"/>
  <c r="M2023" i="6"/>
  <c r="L2023" i="6"/>
  <c r="K2023" i="6"/>
  <c r="J2023" i="6"/>
  <c r="I2023" i="6"/>
  <c r="H2023" i="6"/>
  <c r="G2023" i="6"/>
  <c r="F2023" i="6"/>
  <c r="D2023" i="6"/>
  <c r="U2023" i="6" s="1"/>
  <c r="C2023" i="6"/>
  <c r="B2023" i="6"/>
  <c r="Q2022" i="6"/>
  <c r="N2022" i="6"/>
  <c r="M2022" i="6"/>
  <c r="L2022" i="6"/>
  <c r="K2022" i="6"/>
  <c r="J2022" i="6"/>
  <c r="I2022" i="6"/>
  <c r="P2022" i="6" s="1"/>
  <c r="H2022" i="6"/>
  <c r="G2022" i="6"/>
  <c r="F2022" i="6"/>
  <c r="D2022" i="6"/>
  <c r="U2022" i="6" s="1"/>
  <c r="C2022" i="6"/>
  <c r="E2022" i="6" s="1"/>
  <c r="B2022" i="6"/>
  <c r="Q2021" i="6"/>
  <c r="N2021" i="6"/>
  <c r="M2021" i="6"/>
  <c r="L2021" i="6"/>
  <c r="K2021" i="6"/>
  <c r="J2021" i="6"/>
  <c r="I2021" i="6"/>
  <c r="P2021" i="6" s="1"/>
  <c r="H2021" i="6"/>
  <c r="G2021" i="6"/>
  <c r="F2021" i="6"/>
  <c r="D2021" i="6"/>
  <c r="U2021" i="6" s="1"/>
  <c r="C2021" i="6"/>
  <c r="E2021" i="6" s="1"/>
  <c r="B2021" i="6"/>
  <c r="Q2020" i="6"/>
  <c r="P2020" i="6"/>
  <c r="N2020" i="6"/>
  <c r="M2020" i="6"/>
  <c r="L2020" i="6"/>
  <c r="K2020" i="6"/>
  <c r="J2020" i="6"/>
  <c r="I2020" i="6"/>
  <c r="H2020" i="6"/>
  <c r="G2020" i="6"/>
  <c r="F2020" i="6"/>
  <c r="D2020" i="6"/>
  <c r="U2020" i="6" s="1"/>
  <c r="C2020" i="6"/>
  <c r="B2020" i="6"/>
  <c r="Q2019" i="6"/>
  <c r="P2019" i="6"/>
  <c r="N2019" i="6"/>
  <c r="M2019" i="6"/>
  <c r="L2019" i="6"/>
  <c r="K2019" i="6"/>
  <c r="J2019" i="6"/>
  <c r="I2019" i="6"/>
  <c r="H2019" i="6"/>
  <c r="G2019" i="6"/>
  <c r="F2019" i="6"/>
  <c r="D2019" i="6"/>
  <c r="U2019" i="6" s="1"/>
  <c r="C2019" i="6"/>
  <c r="B2019" i="6"/>
  <c r="Q2018" i="6"/>
  <c r="N2018" i="6"/>
  <c r="M2018" i="6"/>
  <c r="L2018" i="6"/>
  <c r="K2018" i="6"/>
  <c r="J2018" i="6"/>
  <c r="I2018" i="6"/>
  <c r="P2018" i="6" s="1"/>
  <c r="H2018" i="6"/>
  <c r="G2018" i="6"/>
  <c r="F2018" i="6"/>
  <c r="D2018" i="6"/>
  <c r="U2018" i="6" s="1"/>
  <c r="C2018" i="6"/>
  <c r="E2018" i="6" s="1"/>
  <c r="B2018" i="6"/>
  <c r="Q2017" i="6"/>
  <c r="N2017" i="6"/>
  <c r="M2017" i="6"/>
  <c r="L2017" i="6"/>
  <c r="K2017" i="6"/>
  <c r="J2017" i="6"/>
  <c r="I2017" i="6"/>
  <c r="P2017" i="6" s="1"/>
  <c r="H2017" i="6"/>
  <c r="G2017" i="6"/>
  <c r="F2017" i="6"/>
  <c r="D2017" i="6"/>
  <c r="U2017" i="6" s="1"/>
  <c r="C2017" i="6"/>
  <c r="E2017" i="6" s="1"/>
  <c r="B2017" i="6"/>
  <c r="Q2016" i="6"/>
  <c r="P2016" i="6"/>
  <c r="N2016" i="6"/>
  <c r="M2016" i="6"/>
  <c r="L2016" i="6"/>
  <c r="K2016" i="6"/>
  <c r="J2016" i="6"/>
  <c r="I2016" i="6"/>
  <c r="H2016" i="6"/>
  <c r="G2016" i="6"/>
  <c r="F2016" i="6"/>
  <c r="D2016" i="6"/>
  <c r="U2016" i="6" s="1"/>
  <c r="C2016" i="6"/>
  <c r="B2016" i="6"/>
  <c r="Q2015" i="6"/>
  <c r="P2015" i="6"/>
  <c r="N2015" i="6"/>
  <c r="M2015" i="6"/>
  <c r="L2015" i="6"/>
  <c r="K2015" i="6"/>
  <c r="J2015" i="6"/>
  <c r="I2015" i="6"/>
  <c r="H2015" i="6"/>
  <c r="G2015" i="6"/>
  <c r="F2015" i="6"/>
  <c r="D2015" i="6"/>
  <c r="U2015" i="6" s="1"/>
  <c r="C2015" i="6"/>
  <c r="B2015" i="6"/>
  <c r="Q2014" i="6"/>
  <c r="N2014" i="6"/>
  <c r="M2014" i="6"/>
  <c r="L2014" i="6"/>
  <c r="K2014" i="6"/>
  <c r="J2014" i="6"/>
  <c r="I2014" i="6"/>
  <c r="P2014" i="6" s="1"/>
  <c r="H2014" i="6"/>
  <c r="G2014" i="6"/>
  <c r="F2014" i="6"/>
  <c r="D2014" i="6"/>
  <c r="U2014" i="6" s="1"/>
  <c r="C2014" i="6"/>
  <c r="E2014" i="6" s="1"/>
  <c r="B2014" i="6"/>
  <c r="Q2013" i="6"/>
  <c r="N2013" i="6"/>
  <c r="M2013" i="6"/>
  <c r="L2013" i="6"/>
  <c r="K2013" i="6"/>
  <c r="J2013" i="6"/>
  <c r="I2013" i="6"/>
  <c r="P2013" i="6" s="1"/>
  <c r="H2013" i="6"/>
  <c r="G2013" i="6"/>
  <c r="F2013" i="6"/>
  <c r="D2013" i="6"/>
  <c r="U2013" i="6" s="1"/>
  <c r="C2013" i="6"/>
  <c r="E2013" i="6" s="1"/>
  <c r="B2013" i="6"/>
  <c r="Q2012" i="6"/>
  <c r="P2012" i="6"/>
  <c r="N2012" i="6"/>
  <c r="M2012" i="6"/>
  <c r="L2012" i="6"/>
  <c r="K2012" i="6"/>
  <c r="J2012" i="6"/>
  <c r="I2012" i="6"/>
  <c r="H2012" i="6"/>
  <c r="G2012" i="6"/>
  <c r="F2012" i="6"/>
  <c r="D2012" i="6"/>
  <c r="U2012" i="6" s="1"/>
  <c r="C2012" i="6"/>
  <c r="B2012" i="6"/>
  <c r="Q2011" i="6"/>
  <c r="P2011" i="6"/>
  <c r="N2011" i="6"/>
  <c r="M2011" i="6"/>
  <c r="L2011" i="6"/>
  <c r="K2011" i="6"/>
  <c r="J2011" i="6"/>
  <c r="I2011" i="6"/>
  <c r="H2011" i="6"/>
  <c r="G2011" i="6"/>
  <c r="F2011" i="6"/>
  <c r="D2011" i="6"/>
  <c r="U2011" i="6" s="1"/>
  <c r="C2011" i="6"/>
  <c r="B2011" i="6"/>
  <c r="Q2010" i="6"/>
  <c r="N2010" i="6"/>
  <c r="M2010" i="6"/>
  <c r="L2010" i="6"/>
  <c r="K2010" i="6"/>
  <c r="J2010" i="6"/>
  <c r="I2010" i="6"/>
  <c r="P2010" i="6" s="1"/>
  <c r="H2010" i="6"/>
  <c r="G2010" i="6"/>
  <c r="F2010" i="6"/>
  <c r="D2010" i="6"/>
  <c r="U2010" i="6" s="1"/>
  <c r="C2010" i="6"/>
  <c r="E2010" i="6" s="1"/>
  <c r="B2010" i="6"/>
  <c r="Q2009" i="6"/>
  <c r="N2009" i="6"/>
  <c r="M2009" i="6"/>
  <c r="L2009" i="6"/>
  <c r="K2009" i="6"/>
  <c r="J2009" i="6"/>
  <c r="I2009" i="6"/>
  <c r="P2009" i="6" s="1"/>
  <c r="H2009" i="6"/>
  <c r="G2009" i="6"/>
  <c r="F2009" i="6"/>
  <c r="D2009" i="6"/>
  <c r="U2009" i="6" s="1"/>
  <c r="C2009" i="6"/>
  <c r="E2009" i="6" s="1"/>
  <c r="B2009" i="6"/>
  <c r="Q2008" i="6"/>
  <c r="P2008" i="6"/>
  <c r="N2008" i="6"/>
  <c r="M2008" i="6"/>
  <c r="L2008" i="6"/>
  <c r="K2008" i="6"/>
  <c r="J2008" i="6"/>
  <c r="I2008" i="6"/>
  <c r="H2008" i="6"/>
  <c r="G2008" i="6"/>
  <c r="F2008" i="6"/>
  <c r="D2008" i="6"/>
  <c r="U2008" i="6" s="1"/>
  <c r="C2008" i="6"/>
  <c r="B2008" i="6"/>
  <c r="Q2007" i="6"/>
  <c r="P2007" i="6"/>
  <c r="N2007" i="6"/>
  <c r="M2007" i="6"/>
  <c r="L2007" i="6"/>
  <c r="K2007" i="6"/>
  <c r="J2007" i="6"/>
  <c r="I2007" i="6"/>
  <c r="H2007" i="6"/>
  <c r="G2007" i="6"/>
  <c r="F2007" i="6"/>
  <c r="D2007" i="6"/>
  <c r="U2007" i="6" s="1"/>
  <c r="C2007" i="6"/>
  <c r="B2007" i="6"/>
  <c r="Q2006" i="6"/>
  <c r="N2006" i="6"/>
  <c r="M2006" i="6"/>
  <c r="L2006" i="6"/>
  <c r="K2006" i="6"/>
  <c r="J2006" i="6"/>
  <c r="I2006" i="6"/>
  <c r="P2006" i="6" s="1"/>
  <c r="H2006" i="6"/>
  <c r="G2006" i="6"/>
  <c r="F2006" i="6"/>
  <c r="D2006" i="6"/>
  <c r="U2006" i="6" s="1"/>
  <c r="C2006" i="6"/>
  <c r="E2006" i="6" s="1"/>
  <c r="B2006" i="6"/>
  <c r="Q2005" i="6"/>
  <c r="N2005" i="6"/>
  <c r="M2005" i="6"/>
  <c r="L2005" i="6"/>
  <c r="K2005" i="6"/>
  <c r="J2005" i="6"/>
  <c r="I2005" i="6"/>
  <c r="P2005" i="6" s="1"/>
  <c r="H2005" i="6"/>
  <c r="G2005" i="6"/>
  <c r="F2005" i="6"/>
  <c r="D2005" i="6"/>
  <c r="U2005" i="6" s="1"/>
  <c r="C2005" i="6"/>
  <c r="E2005" i="6" s="1"/>
  <c r="B2005" i="6"/>
  <c r="Q2004" i="6"/>
  <c r="P2004" i="6"/>
  <c r="N2004" i="6"/>
  <c r="M2004" i="6"/>
  <c r="L2004" i="6"/>
  <c r="K2004" i="6"/>
  <c r="J2004" i="6"/>
  <c r="I2004" i="6"/>
  <c r="H2004" i="6"/>
  <c r="G2004" i="6"/>
  <c r="F2004" i="6"/>
  <c r="D2004" i="6"/>
  <c r="U2004" i="6" s="1"/>
  <c r="C2004" i="6"/>
  <c r="B2004" i="6"/>
  <c r="Q2003" i="6"/>
  <c r="P2003" i="6"/>
  <c r="N2003" i="6"/>
  <c r="M2003" i="6"/>
  <c r="L2003" i="6"/>
  <c r="K2003" i="6"/>
  <c r="J2003" i="6"/>
  <c r="I2003" i="6"/>
  <c r="H2003" i="6"/>
  <c r="G2003" i="6"/>
  <c r="F2003" i="6"/>
  <c r="D2003" i="6"/>
  <c r="U2003" i="6" s="1"/>
  <c r="C2003" i="6"/>
  <c r="B2003" i="6"/>
  <c r="Q2002" i="6"/>
  <c r="N2002" i="6"/>
  <c r="M2002" i="6"/>
  <c r="L2002" i="6"/>
  <c r="K2002" i="6"/>
  <c r="J2002" i="6"/>
  <c r="I2002" i="6"/>
  <c r="P2002" i="6" s="1"/>
  <c r="H2002" i="6"/>
  <c r="G2002" i="6"/>
  <c r="F2002" i="6"/>
  <c r="D2002" i="6"/>
  <c r="U2002" i="6" s="1"/>
  <c r="C2002" i="6"/>
  <c r="E2002" i="6" s="1"/>
  <c r="B2002" i="6"/>
  <c r="Q2001" i="6"/>
  <c r="N2001" i="6"/>
  <c r="M2001" i="6"/>
  <c r="L2001" i="6"/>
  <c r="K2001" i="6"/>
  <c r="J2001" i="6"/>
  <c r="I2001" i="6"/>
  <c r="P2001" i="6" s="1"/>
  <c r="H2001" i="6"/>
  <c r="G2001" i="6"/>
  <c r="F2001" i="6"/>
  <c r="D2001" i="6"/>
  <c r="U2001" i="6" s="1"/>
  <c r="C2001" i="6"/>
  <c r="E2001" i="6" s="1"/>
  <c r="B2001" i="6"/>
  <c r="Q2000" i="6"/>
  <c r="P2000" i="6"/>
  <c r="N2000" i="6"/>
  <c r="M2000" i="6"/>
  <c r="L2000" i="6"/>
  <c r="K2000" i="6"/>
  <c r="J2000" i="6"/>
  <c r="I2000" i="6"/>
  <c r="H2000" i="6"/>
  <c r="G2000" i="6"/>
  <c r="F2000" i="6"/>
  <c r="D2000" i="6"/>
  <c r="U2000" i="6" s="1"/>
  <c r="C2000" i="6"/>
  <c r="B2000" i="6"/>
  <c r="Q1999" i="6"/>
  <c r="P1999" i="6"/>
  <c r="N1999" i="6"/>
  <c r="M1999" i="6"/>
  <c r="L1999" i="6"/>
  <c r="K1999" i="6"/>
  <c r="J1999" i="6"/>
  <c r="I1999" i="6"/>
  <c r="H1999" i="6"/>
  <c r="G1999" i="6"/>
  <c r="F1999" i="6"/>
  <c r="D1999" i="6"/>
  <c r="U1999" i="6" s="1"/>
  <c r="C1999" i="6"/>
  <c r="B1999" i="6"/>
  <c r="Q1998" i="6"/>
  <c r="N1998" i="6"/>
  <c r="M1998" i="6"/>
  <c r="L1998" i="6"/>
  <c r="K1998" i="6"/>
  <c r="J1998" i="6"/>
  <c r="I1998" i="6"/>
  <c r="P1998" i="6" s="1"/>
  <c r="H1998" i="6"/>
  <c r="G1998" i="6"/>
  <c r="F1998" i="6"/>
  <c r="D1998" i="6"/>
  <c r="U1998" i="6" s="1"/>
  <c r="C1998" i="6"/>
  <c r="E1998" i="6" s="1"/>
  <c r="B1998" i="6"/>
  <c r="Q1997" i="6"/>
  <c r="N1997" i="6"/>
  <c r="M1997" i="6"/>
  <c r="L1997" i="6"/>
  <c r="K1997" i="6"/>
  <c r="J1997" i="6"/>
  <c r="I1997" i="6"/>
  <c r="P1997" i="6" s="1"/>
  <c r="H1997" i="6"/>
  <c r="G1997" i="6"/>
  <c r="F1997" i="6"/>
  <c r="D1997" i="6"/>
  <c r="U1997" i="6" s="1"/>
  <c r="C1997" i="6"/>
  <c r="E1997" i="6" s="1"/>
  <c r="B1997" i="6"/>
  <c r="Q1996" i="6"/>
  <c r="P1996" i="6"/>
  <c r="N1996" i="6"/>
  <c r="M1996" i="6"/>
  <c r="L1996" i="6"/>
  <c r="K1996" i="6"/>
  <c r="J1996" i="6"/>
  <c r="I1996" i="6"/>
  <c r="H1996" i="6"/>
  <c r="G1996" i="6"/>
  <c r="F1996" i="6"/>
  <c r="D1996" i="6"/>
  <c r="U1996" i="6" s="1"/>
  <c r="C1996" i="6"/>
  <c r="B1996" i="6"/>
  <c r="Q1995" i="6"/>
  <c r="P1995" i="6"/>
  <c r="N1995" i="6"/>
  <c r="M1995" i="6"/>
  <c r="L1995" i="6"/>
  <c r="K1995" i="6"/>
  <c r="J1995" i="6"/>
  <c r="I1995" i="6"/>
  <c r="H1995" i="6"/>
  <c r="G1995" i="6"/>
  <c r="F1995" i="6"/>
  <c r="D1995" i="6"/>
  <c r="U1995" i="6" s="1"/>
  <c r="C1995" i="6"/>
  <c r="B1995" i="6"/>
  <c r="Q1994" i="6"/>
  <c r="N1994" i="6"/>
  <c r="M1994" i="6"/>
  <c r="L1994" i="6"/>
  <c r="K1994" i="6"/>
  <c r="J1994" i="6"/>
  <c r="I1994" i="6"/>
  <c r="P1994" i="6" s="1"/>
  <c r="H1994" i="6"/>
  <c r="G1994" i="6"/>
  <c r="F1994" i="6"/>
  <c r="D1994" i="6"/>
  <c r="U1994" i="6" s="1"/>
  <c r="C1994" i="6"/>
  <c r="E1994" i="6" s="1"/>
  <c r="B1994" i="6"/>
  <c r="Q1993" i="6"/>
  <c r="N1993" i="6"/>
  <c r="M1993" i="6"/>
  <c r="L1993" i="6"/>
  <c r="K1993" i="6"/>
  <c r="J1993" i="6"/>
  <c r="I1993" i="6"/>
  <c r="P1993" i="6" s="1"/>
  <c r="H1993" i="6"/>
  <c r="G1993" i="6"/>
  <c r="F1993" i="6"/>
  <c r="D1993" i="6"/>
  <c r="U1993" i="6" s="1"/>
  <c r="C1993" i="6"/>
  <c r="E1993" i="6" s="1"/>
  <c r="B1993" i="6"/>
  <c r="Q1992" i="6"/>
  <c r="P1992" i="6"/>
  <c r="N1992" i="6"/>
  <c r="M1992" i="6"/>
  <c r="L1992" i="6"/>
  <c r="K1992" i="6"/>
  <c r="J1992" i="6"/>
  <c r="I1992" i="6"/>
  <c r="H1992" i="6"/>
  <c r="G1992" i="6"/>
  <c r="F1992" i="6"/>
  <c r="D1992" i="6"/>
  <c r="U1992" i="6" s="1"/>
  <c r="C1992" i="6"/>
  <c r="B1992" i="6"/>
  <c r="Q1991" i="6"/>
  <c r="P1991" i="6"/>
  <c r="N1991" i="6"/>
  <c r="M1991" i="6"/>
  <c r="L1991" i="6"/>
  <c r="K1991" i="6"/>
  <c r="J1991" i="6"/>
  <c r="I1991" i="6"/>
  <c r="H1991" i="6"/>
  <c r="G1991" i="6"/>
  <c r="F1991" i="6"/>
  <c r="D1991" i="6"/>
  <c r="U1991" i="6" s="1"/>
  <c r="C1991" i="6"/>
  <c r="B1991" i="6"/>
  <c r="Q1990" i="6"/>
  <c r="N1990" i="6"/>
  <c r="M1990" i="6"/>
  <c r="L1990" i="6"/>
  <c r="K1990" i="6"/>
  <c r="J1990" i="6"/>
  <c r="I1990" i="6"/>
  <c r="P1990" i="6" s="1"/>
  <c r="H1990" i="6"/>
  <c r="G1990" i="6"/>
  <c r="F1990" i="6"/>
  <c r="D1990" i="6"/>
  <c r="U1990" i="6" s="1"/>
  <c r="C1990" i="6"/>
  <c r="E1990" i="6" s="1"/>
  <c r="B1990" i="6"/>
  <c r="Q1989" i="6"/>
  <c r="N1989" i="6"/>
  <c r="M1989" i="6"/>
  <c r="L1989" i="6"/>
  <c r="K1989" i="6"/>
  <c r="J1989" i="6"/>
  <c r="I1989" i="6"/>
  <c r="P1989" i="6" s="1"/>
  <c r="H1989" i="6"/>
  <c r="G1989" i="6"/>
  <c r="F1989" i="6"/>
  <c r="D1989" i="6"/>
  <c r="U1989" i="6" s="1"/>
  <c r="C1989" i="6"/>
  <c r="E1989" i="6" s="1"/>
  <c r="B1989" i="6"/>
  <c r="Q1988" i="6"/>
  <c r="P1988" i="6"/>
  <c r="N1988" i="6"/>
  <c r="M1988" i="6"/>
  <c r="L1988" i="6"/>
  <c r="K1988" i="6"/>
  <c r="J1988" i="6"/>
  <c r="I1988" i="6"/>
  <c r="H1988" i="6"/>
  <c r="G1988" i="6"/>
  <c r="F1988" i="6"/>
  <c r="D1988" i="6"/>
  <c r="U1988" i="6" s="1"/>
  <c r="C1988" i="6"/>
  <c r="B1988" i="6"/>
  <c r="Q1987" i="6"/>
  <c r="P1987" i="6"/>
  <c r="N1987" i="6"/>
  <c r="M1987" i="6"/>
  <c r="L1987" i="6"/>
  <c r="K1987" i="6"/>
  <c r="J1987" i="6"/>
  <c r="I1987" i="6"/>
  <c r="H1987" i="6"/>
  <c r="G1987" i="6"/>
  <c r="F1987" i="6"/>
  <c r="D1987" i="6"/>
  <c r="U1987" i="6" s="1"/>
  <c r="C1987" i="6"/>
  <c r="B1987" i="6"/>
  <c r="Q1986" i="6"/>
  <c r="N1986" i="6"/>
  <c r="M1986" i="6"/>
  <c r="L1986" i="6"/>
  <c r="K1986" i="6"/>
  <c r="J1986" i="6"/>
  <c r="I1986" i="6"/>
  <c r="P1986" i="6" s="1"/>
  <c r="H1986" i="6"/>
  <c r="G1986" i="6"/>
  <c r="F1986" i="6"/>
  <c r="D1986" i="6"/>
  <c r="U1986" i="6" s="1"/>
  <c r="C1986" i="6"/>
  <c r="E1986" i="6" s="1"/>
  <c r="B1986" i="6"/>
  <c r="Q1985" i="6"/>
  <c r="N1985" i="6"/>
  <c r="M1985" i="6"/>
  <c r="L1985" i="6"/>
  <c r="K1985" i="6"/>
  <c r="J1985" i="6"/>
  <c r="I1985" i="6"/>
  <c r="P1985" i="6" s="1"/>
  <c r="H1985" i="6"/>
  <c r="G1985" i="6"/>
  <c r="F1985" i="6"/>
  <c r="D1985" i="6"/>
  <c r="U1985" i="6" s="1"/>
  <c r="C1985" i="6"/>
  <c r="E1985" i="6" s="1"/>
  <c r="B1985" i="6"/>
  <c r="Q1984" i="6"/>
  <c r="P1984" i="6"/>
  <c r="N1984" i="6"/>
  <c r="M1984" i="6"/>
  <c r="L1984" i="6"/>
  <c r="K1984" i="6"/>
  <c r="J1984" i="6"/>
  <c r="I1984" i="6"/>
  <c r="H1984" i="6"/>
  <c r="G1984" i="6"/>
  <c r="F1984" i="6"/>
  <c r="D1984" i="6"/>
  <c r="U1984" i="6" s="1"/>
  <c r="C1984" i="6"/>
  <c r="B1984" i="6"/>
  <c r="Q1983" i="6"/>
  <c r="P1983" i="6"/>
  <c r="N1983" i="6"/>
  <c r="M1983" i="6"/>
  <c r="L1983" i="6"/>
  <c r="K1983" i="6"/>
  <c r="J1983" i="6"/>
  <c r="I1983" i="6"/>
  <c r="H1983" i="6"/>
  <c r="G1983" i="6"/>
  <c r="F1983" i="6"/>
  <c r="D1983" i="6"/>
  <c r="U1983" i="6" s="1"/>
  <c r="C1983" i="6"/>
  <c r="B1983" i="6"/>
  <c r="Q1982" i="6"/>
  <c r="N1982" i="6"/>
  <c r="M1982" i="6"/>
  <c r="L1982" i="6"/>
  <c r="K1982" i="6"/>
  <c r="J1982" i="6"/>
  <c r="I1982" i="6"/>
  <c r="P1982" i="6" s="1"/>
  <c r="H1982" i="6"/>
  <c r="G1982" i="6"/>
  <c r="F1982" i="6"/>
  <c r="D1982" i="6"/>
  <c r="U1982" i="6" s="1"/>
  <c r="C1982" i="6"/>
  <c r="E1982" i="6" s="1"/>
  <c r="B1982" i="6"/>
  <c r="Q1981" i="6"/>
  <c r="N1981" i="6"/>
  <c r="M1981" i="6"/>
  <c r="L1981" i="6"/>
  <c r="K1981" i="6"/>
  <c r="J1981" i="6"/>
  <c r="I1981" i="6"/>
  <c r="P1981" i="6" s="1"/>
  <c r="H1981" i="6"/>
  <c r="G1981" i="6"/>
  <c r="F1981" i="6"/>
  <c r="D1981" i="6"/>
  <c r="U1981" i="6" s="1"/>
  <c r="C1981" i="6"/>
  <c r="E1981" i="6" s="1"/>
  <c r="B1981" i="6"/>
  <c r="Q1980" i="6"/>
  <c r="P1980" i="6"/>
  <c r="N1980" i="6"/>
  <c r="M1980" i="6"/>
  <c r="L1980" i="6"/>
  <c r="K1980" i="6"/>
  <c r="J1980" i="6"/>
  <c r="I1980" i="6"/>
  <c r="H1980" i="6"/>
  <c r="G1980" i="6"/>
  <c r="F1980" i="6"/>
  <c r="D1980" i="6"/>
  <c r="U1980" i="6" s="1"/>
  <c r="C1980" i="6"/>
  <c r="B1980" i="6"/>
  <c r="Q1979" i="6"/>
  <c r="P1979" i="6"/>
  <c r="N1979" i="6"/>
  <c r="M1979" i="6"/>
  <c r="L1979" i="6"/>
  <c r="K1979" i="6"/>
  <c r="J1979" i="6"/>
  <c r="I1979" i="6"/>
  <c r="H1979" i="6"/>
  <c r="G1979" i="6"/>
  <c r="F1979" i="6"/>
  <c r="D1979" i="6"/>
  <c r="U1979" i="6" s="1"/>
  <c r="C1979" i="6"/>
  <c r="B1979" i="6"/>
  <c r="Q1978" i="6"/>
  <c r="N1978" i="6"/>
  <c r="M1978" i="6"/>
  <c r="L1978" i="6"/>
  <c r="K1978" i="6"/>
  <c r="J1978" i="6"/>
  <c r="I1978" i="6"/>
  <c r="P1978" i="6" s="1"/>
  <c r="H1978" i="6"/>
  <c r="G1978" i="6"/>
  <c r="F1978" i="6"/>
  <c r="D1978" i="6"/>
  <c r="U1978" i="6" s="1"/>
  <c r="C1978" i="6"/>
  <c r="E1978" i="6" s="1"/>
  <c r="B1978" i="6"/>
  <c r="Q1977" i="6"/>
  <c r="N1977" i="6"/>
  <c r="M1977" i="6"/>
  <c r="L1977" i="6"/>
  <c r="K1977" i="6"/>
  <c r="J1977" i="6"/>
  <c r="I1977" i="6"/>
  <c r="P1977" i="6" s="1"/>
  <c r="H1977" i="6"/>
  <c r="G1977" i="6"/>
  <c r="F1977" i="6"/>
  <c r="D1977" i="6"/>
  <c r="U1977" i="6" s="1"/>
  <c r="C1977" i="6"/>
  <c r="E1977" i="6" s="1"/>
  <c r="B1977" i="6"/>
  <c r="Q1976" i="6"/>
  <c r="P1976" i="6"/>
  <c r="N1976" i="6"/>
  <c r="M1976" i="6"/>
  <c r="L1976" i="6"/>
  <c r="K1976" i="6"/>
  <c r="J1976" i="6"/>
  <c r="I1976" i="6"/>
  <c r="H1976" i="6"/>
  <c r="G1976" i="6"/>
  <c r="F1976" i="6"/>
  <c r="D1976" i="6"/>
  <c r="U1976" i="6" s="1"/>
  <c r="C1976" i="6"/>
  <c r="B1976" i="6"/>
  <c r="Q1975" i="6"/>
  <c r="P1975" i="6"/>
  <c r="N1975" i="6"/>
  <c r="M1975" i="6"/>
  <c r="L1975" i="6"/>
  <c r="K1975" i="6"/>
  <c r="J1975" i="6"/>
  <c r="I1975" i="6"/>
  <c r="H1975" i="6"/>
  <c r="G1975" i="6"/>
  <c r="F1975" i="6"/>
  <c r="D1975" i="6"/>
  <c r="U1975" i="6" s="1"/>
  <c r="C1975" i="6"/>
  <c r="B1975" i="6"/>
  <c r="Q1974" i="6"/>
  <c r="N1974" i="6"/>
  <c r="M1974" i="6"/>
  <c r="L1974" i="6"/>
  <c r="K1974" i="6"/>
  <c r="J1974" i="6"/>
  <c r="I1974" i="6"/>
  <c r="P1974" i="6" s="1"/>
  <c r="H1974" i="6"/>
  <c r="G1974" i="6"/>
  <c r="F1974" i="6"/>
  <c r="D1974" i="6"/>
  <c r="U1974" i="6" s="1"/>
  <c r="C1974" i="6"/>
  <c r="E1974" i="6" s="1"/>
  <c r="B1974" i="6"/>
  <c r="Q1973" i="6"/>
  <c r="N1973" i="6"/>
  <c r="M1973" i="6"/>
  <c r="L1973" i="6"/>
  <c r="K1973" i="6"/>
  <c r="J1973" i="6"/>
  <c r="I1973" i="6"/>
  <c r="P1973" i="6" s="1"/>
  <c r="H1973" i="6"/>
  <c r="G1973" i="6"/>
  <c r="F1973" i="6"/>
  <c r="D1973" i="6"/>
  <c r="U1973" i="6" s="1"/>
  <c r="C1973" i="6"/>
  <c r="E1973" i="6" s="1"/>
  <c r="B1973" i="6"/>
  <c r="Q1972" i="6"/>
  <c r="P1972" i="6"/>
  <c r="N1972" i="6"/>
  <c r="M1972" i="6"/>
  <c r="L1972" i="6"/>
  <c r="K1972" i="6"/>
  <c r="J1972" i="6"/>
  <c r="I1972" i="6"/>
  <c r="H1972" i="6"/>
  <c r="G1972" i="6"/>
  <c r="F1972" i="6"/>
  <c r="D1972" i="6"/>
  <c r="U1972" i="6" s="1"/>
  <c r="C1972" i="6"/>
  <c r="B1972" i="6"/>
  <c r="Q1971" i="6"/>
  <c r="P1971" i="6"/>
  <c r="N1971" i="6"/>
  <c r="M1971" i="6"/>
  <c r="L1971" i="6"/>
  <c r="K1971" i="6"/>
  <c r="J1971" i="6"/>
  <c r="I1971" i="6"/>
  <c r="H1971" i="6"/>
  <c r="G1971" i="6"/>
  <c r="F1971" i="6"/>
  <c r="D1971" i="6"/>
  <c r="U1971" i="6" s="1"/>
  <c r="C1971" i="6"/>
  <c r="B1971" i="6"/>
  <c r="Q1970" i="6"/>
  <c r="N1970" i="6"/>
  <c r="M1970" i="6"/>
  <c r="L1970" i="6"/>
  <c r="K1970" i="6"/>
  <c r="J1970" i="6"/>
  <c r="I1970" i="6"/>
  <c r="P1970" i="6" s="1"/>
  <c r="H1970" i="6"/>
  <c r="G1970" i="6"/>
  <c r="F1970" i="6"/>
  <c r="D1970" i="6"/>
  <c r="U1970" i="6" s="1"/>
  <c r="C1970" i="6"/>
  <c r="E1970" i="6" s="1"/>
  <c r="B1970" i="6"/>
  <c r="Q1969" i="6"/>
  <c r="N1969" i="6"/>
  <c r="M1969" i="6"/>
  <c r="L1969" i="6"/>
  <c r="K1969" i="6"/>
  <c r="J1969" i="6"/>
  <c r="I1969" i="6"/>
  <c r="P1969" i="6" s="1"/>
  <c r="H1969" i="6"/>
  <c r="G1969" i="6"/>
  <c r="F1969" i="6"/>
  <c r="D1969" i="6"/>
  <c r="U1969" i="6" s="1"/>
  <c r="C1969" i="6"/>
  <c r="E1969" i="6" s="1"/>
  <c r="B1969" i="6"/>
  <c r="Q1968" i="6"/>
  <c r="P1968" i="6"/>
  <c r="N1968" i="6"/>
  <c r="M1968" i="6"/>
  <c r="L1968" i="6"/>
  <c r="K1968" i="6"/>
  <c r="J1968" i="6"/>
  <c r="I1968" i="6"/>
  <c r="H1968" i="6"/>
  <c r="G1968" i="6"/>
  <c r="F1968" i="6"/>
  <c r="D1968" i="6"/>
  <c r="U1968" i="6" s="1"/>
  <c r="C1968" i="6"/>
  <c r="B1968" i="6"/>
  <c r="Q1967" i="6"/>
  <c r="P1967" i="6"/>
  <c r="N1967" i="6"/>
  <c r="M1967" i="6"/>
  <c r="L1967" i="6"/>
  <c r="K1967" i="6"/>
  <c r="J1967" i="6"/>
  <c r="I1967" i="6"/>
  <c r="H1967" i="6"/>
  <c r="G1967" i="6"/>
  <c r="F1967" i="6"/>
  <c r="D1967" i="6"/>
  <c r="U1967" i="6" s="1"/>
  <c r="C1967" i="6"/>
  <c r="B1967" i="6"/>
  <c r="Q1966" i="6"/>
  <c r="N1966" i="6"/>
  <c r="M1966" i="6"/>
  <c r="L1966" i="6"/>
  <c r="K1966" i="6"/>
  <c r="J1966" i="6"/>
  <c r="I1966" i="6"/>
  <c r="P1966" i="6" s="1"/>
  <c r="H1966" i="6"/>
  <c r="G1966" i="6"/>
  <c r="F1966" i="6"/>
  <c r="D1966" i="6"/>
  <c r="U1966" i="6" s="1"/>
  <c r="C1966" i="6"/>
  <c r="E1966" i="6" s="1"/>
  <c r="B1966" i="6"/>
  <c r="Q1965" i="6"/>
  <c r="N1965" i="6"/>
  <c r="M1965" i="6"/>
  <c r="L1965" i="6"/>
  <c r="K1965" i="6"/>
  <c r="J1965" i="6"/>
  <c r="I1965" i="6"/>
  <c r="P1965" i="6" s="1"/>
  <c r="H1965" i="6"/>
  <c r="G1965" i="6"/>
  <c r="F1965" i="6"/>
  <c r="D1965" i="6"/>
  <c r="U1965" i="6" s="1"/>
  <c r="C1965" i="6"/>
  <c r="E1965" i="6" s="1"/>
  <c r="B1965" i="6"/>
  <c r="Q1964" i="6"/>
  <c r="P1964" i="6"/>
  <c r="N1964" i="6"/>
  <c r="M1964" i="6"/>
  <c r="L1964" i="6"/>
  <c r="K1964" i="6"/>
  <c r="J1964" i="6"/>
  <c r="I1964" i="6"/>
  <c r="H1964" i="6"/>
  <c r="G1964" i="6"/>
  <c r="F1964" i="6"/>
  <c r="D1964" i="6"/>
  <c r="U1964" i="6" s="1"/>
  <c r="C1964" i="6"/>
  <c r="B1964" i="6"/>
  <c r="Q1963" i="6"/>
  <c r="P1963" i="6"/>
  <c r="N1963" i="6"/>
  <c r="M1963" i="6"/>
  <c r="L1963" i="6"/>
  <c r="K1963" i="6"/>
  <c r="J1963" i="6"/>
  <c r="I1963" i="6"/>
  <c r="H1963" i="6"/>
  <c r="G1963" i="6"/>
  <c r="F1963" i="6"/>
  <c r="D1963" i="6"/>
  <c r="U1963" i="6" s="1"/>
  <c r="C1963" i="6"/>
  <c r="B1963" i="6"/>
  <c r="Q1962" i="6"/>
  <c r="N1962" i="6"/>
  <c r="M1962" i="6"/>
  <c r="L1962" i="6"/>
  <c r="K1962" i="6"/>
  <c r="J1962" i="6"/>
  <c r="I1962" i="6"/>
  <c r="P1962" i="6" s="1"/>
  <c r="H1962" i="6"/>
  <c r="G1962" i="6"/>
  <c r="F1962" i="6"/>
  <c r="D1962" i="6"/>
  <c r="U1962" i="6" s="1"/>
  <c r="C1962" i="6"/>
  <c r="E1962" i="6" s="1"/>
  <c r="B1962" i="6"/>
  <c r="Q1961" i="6"/>
  <c r="N1961" i="6"/>
  <c r="M1961" i="6"/>
  <c r="L1961" i="6"/>
  <c r="K1961" i="6"/>
  <c r="J1961" i="6"/>
  <c r="I1961" i="6"/>
  <c r="P1961" i="6" s="1"/>
  <c r="H1961" i="6"/>
  <c r="G1961" i="6"/>
  <c r="F1961" i="6"/>
  <c r="D1961" i="6"/>
  <c r="U1961" i="6" s="1"/>
  <c r="C1961" i="6"/>
  <c r="E1961" i="6" s="1"/>
  <c r="B1961" i="6"/>
  <c r="Q1960" i="6"/>
  <c r="P1960" i="6"/>
  <c r="N1960" i="6"/>
  <c r="M1960" i="6"/>
  <c r="L1960" i="6"/>
  <c r="K1960" i="6"/>
  <c r="J1960" i="6"/>
  <c r="I1960" i="6"/>
  <c r="H1960" i="6"/>
  <c r="G1960" i="6"/>
  <c r="F1960" i="6"/>
  <c r="D1960" i="6"/>
  <c r="U1960" i="6" s="1"/>
  <c r="C1960" i="6"/>
  <c r="B1960" i="6"/>
  <c r="Q1959" i="6"/>
  <c r="P1959" i="6"/>
  <c r="N1959" i="6"/>
  <c r="M1959" i="6"/>
  <c r="L1959" i="6"/>
  <c r="K1959" i="6"/>
  <c r="J1959" i="6"/>
  <c r="I1959" i="6"/>
  <c r="H1959" i="6"/>
  <c r="G1959" i="6"/>
  <c r="F1959" i="6"/>
  <c r="D1959" i="6"/>
  <c r="U1959" i="6" s="1"/>
  <c r="C1959" i="6"/>
  <c r="B1959" i="6"/>
  <c r="Q1958" i="6"/>
  <c r="N1958" i="6"/>
  <c r="M1958" i="6"/>
  <c r="L1958" i="6"/>
  <c r="K1958" i="6"/>
  <c r="J1958" i="6"/>
  <c r="I1958" i="6"/>
  <c r="P1958" i="6" s="1"/>
  <c r="H1958" i="6"/>
  <c r="G1958" i="6"/>
  <c r="F1958" i="6"/>
  <c r="D1958" i="6"/>
  <c r="U1958" i="6" s="1"/>
  <c r="C1958" i="6"/>
  <c r="E1958" i="6" s="1"/>
  <c r="B1958" i="6"/>
  <c r="Q1957" i="6"/>
  <c r="N1957" i="6"/>
  <c r="M1957" i="6"/>
  <c r="L1957" i="6"/>
  <c r="K1957" i="6"/>
  <c r="J1957" i="6"/>
  <c r="I1957" i="6"/>
  <c r="P1957" i="6" s="1"/>
  <c r="H1957" i="6"/>
  <c r="G1957" i="6"/>
  <c r="F1957" i="6"/>
  <c r="D1957" i="6"/>
  <c r="U1957" i="6" s="1"/>
  <c r="C1957" i="6"/>
  <c r="E1957" i="6" s="1"/>
  <c r="B1957" i="6"/>
  <c r="Q1956" i="6"/>
  <c r="P1956" i="6"/>
  <c r="N1956" i="6"/>
  <c r="M1956" i="6"/>
  <c r="L1956" i="6"/>
  <c r="K1956" i="6"/>
  <c r="J1956" i="6"/>
  <c r="I1956" i="6"/>
  <c r="H1956" i="6"/>
  <c r="G1956" i="6"/>
  <c r="F1956" i="6"/>
  <c r="D1956" i="6"/>
  <c r="U1956" i="6" s="1"/>
  <c r="C1956" i="6"/>
  <c r="B1956" i="6"/>
  <c r="Q1955" i="6"/>
  <c r="P1955" i="6"/>
  <c r="N1955" i="6"/>
  <c r="M1955" i="6"/>
  <c r="L1955" i="6"/>
  <c r="K1955" i="6"/>
  <c r="J1955" i="6"/>
  <c r="I1955" i="6"/>
  <c r="H1955" i="6"/>
  <c r="G1955" i="6"/>
  <c r="F1955" i="6"/>
  <c r="D1955" i="6"/>
  <c r="U1955" i="6" s="1"/>
  <c r="C1955" i="6"/>
  <c r="B1955" i="6"/>
  <c r="Q1954" i="6"/>
  <c r="N1954" i="6"/>
  <c r="M1954" i="6"/>
  <c r="L1954" i="6"/>
  <c r="K1954" i="6"/>
  <c r="J1954" i="6"/>
  <c r="I1954" i="6"/>
  <c r="P1954" i="6" s="1"/>
  <c r="H1954" i="6"/>
  <c r="G1954" i="6"/>
  <c r="F1954" i="6"/>
  <c r="D1954" i="6"/>
  <c r="U1954" i="6" s="1"/>
  <c r="C1954" i="6"/>
  <c r="E1954" i="6" s="1"/>
  <c r="B1954" i="6"/>
  <c r="Q1953" i="6"/>
  <c r="N1953" i="6"/>
  <c r="M1953" i="6"/>
  <c r="L1953" i="6"/>
  <c r="K1953" i="6"/>
  <c r="J1953" i="6"/>
  <c r="I1953" i="6"/>
  <c r="P1953" i="6" s="1"/>
  <c r="H1953" i="6"/>
  <c r="G1953" i="6"/>
  <c r="F1953" i="6"/>
  <c r="D1953" i="6"/>
  <c r="U1953" i="6" s="1"/>
  <c r="C1953" i="6"/>
  <c r="E1953" i="6" s="1"/>
  <c r="B1953" i="6"/>
  <c r="Q1952" i="6"/>
  <c r="P1952" i="6"/>
  <c r="N1952" i="6"/>
  <c r="M1952" i="6"/>
  <c r="L1952" i="6"/>
  <c r="K1952" i="6"/>
  <c r="J1952" i="6"/>
  <c r="I1952" i="6"/>
  <c r="H1952" i="6"/>
  <c r="G1952" i="6"/>
  <c r="F1952" i="6"/>
  <c r="D1952" i="6"/>
  <c r="U1952" i="6" s="1"/>
  <c r="C1952" i="6"/>
  <c r="B1952" i="6"/>
  <c r="Q1951" i="6"/>
  <c r="P1951" i="6"/>
  <c r="N1951" i="6"/>
  <c r="M1951" i="6"/>
  <c r="L1951" i="6"/>
  <c r="K1951" i="6"/>
  <c r="J1951" i="6"/>
  <c r="I1951" i="6"/>
  <c r="H1951" i="6"/>
  <c r="G1951" i="6"/>
  <c r="F1951" i="6"/>
  <c r="D1951" i="6"/>
  <c r="U1951" i="6" s="1"/>
  <c r="C1951" i="6"/>
  <c r="B1951" i="6"/>
  <c r="Q1950" i="6"/>
  <c r="N1950" i="6"/>
  <c r="M1950" i="6"/>
  <c r="L1950" i="6"/>
  <c r="K1950" i="6"/>
  <c r="J1950" i="6"/>
  <c r="I1950" i="6"/>
  <c r="P1950" i="6" s="1"/>
  <c r="H1950" i="6"/>
  <c r="G1950" i="6"/>
  <c r="F1950" i="6"/>
  <c r="D1950" i="6"/>
  <c r="U1950" i="6" s="1"/>
  <c r="C1950" i="6"/>
  <c r="E1950" i="6" s="1"/>
  <c r="B1950" i="6"/>
  <c r="Q1949" i="6"/>
  <c r="N1949" i="6"/>
  <c r="M1949" i="6"/>
  <c r="L1949" i="6"/>
  <c r="K1949" i="6"/>
  <c r="J1949" i="6"/>
  <c r="I1949" i="6"/>
  <c r="P1949" i="6" s="1"/>
  <c r="H1949" i="6"/>
  <c r="G1949" i="6"/>
  <c r="F1949" i="6"/>
  <c r="D1949" i="6"/>
  <c r="U1949" i="6" s="1"/>
  <c r="C1949" i="6"/>
  <c r="E1949" i="6" s="1"/>
  <c r="B1949" i="6"/>
  <c r="Q1948" i="6"/>
  <c r="P1948" i="6"/>
  <c r="N1948" i="6"/>
  <c r="M1948" i="6"/>
  <c r="L1948" i="6"/>
  <c r="K1948" i="6"/>
  <c r="J1948" i="6"/>
  <c r="I1948" i="6"/>
  <c r="H1948" i="6"/>
  <c r="G1948" i="6"/>
  <c r="F1948" i="6"/>
  <c r="D1948" i="6"/>
  <c r="U1948" i="6" s="1"/>
  <c r="C1948" i="6"/>
  <c r="B1948" i="6"/>
  <c r="Q1947" i="6"/>
  <c r="P1947" i="6"/>
  <c r="N1947" i="6"/>
  <c r="M1947" i="6"/>
  <c r="L1947" i="6"/>
  <c r="K1947" i="6"/>
  <c r="J1947" i="6"/>
  <c r="I1947" i="6"/>
  <c r="H1947" i="6"/>
  <c r="G1947" i="6"/>
  <c r="F1947" i="6"/>
  <c r="D1947" i="6"/>
  <c r="U1947" i="6" s="1"/>
  <c r="C1947" i="6"/>
  <c r="B1947" i="6"/>
  <c r="Q1946" i="6"/>
  <c r="N1946" i="6"/>
  <c r="M1946" i="6"/>
  <c r="L1946" i="6"/>
  <c r="K1946" i="6"/>
  <c r="J1946" i="6"/>
  <c r="I1946" i="6"/>
  <c r="P1946" i="6" s="1"/>
  <c r="H1946" i="6"/>
  <c r="G1946" i="6"/>
  <c r="F1946" i="6"/>
  <c r="D1946" i="6"/>
  <c r="U1946" i="6" s="1"/>
  <c r="C1946" i="6"/>
  <c r="E1946" i="6" s="1"/>
  <c r="B1946" i="6"/>
  <c r="Q1945" i="6"/>
  <c r="N1945" i="6"/>
  <c r="M1945" i="6"/>
  <c r="L1945" i="6"/>
  <c r="K1945" i="6"/>
  <c r="J1945" i="6"/>
  <c r="I1945" i="6"/>
  <c r="P1945" i="6" s="1"/>
  <c r="H1945" i="6"/>
  <c r="G1945" i="6"/>
  <c r="F1945" i="6"/>
  <c r="D1945" i="6"/>
  <c r="U1945" i="6" s="1"/>
  <c r="C1945" i="6"/>
  <c r="E1945" i="6" s="1"/>
  <c r="B1945" i="6"/>
  <c r="Q1944" i="6"/>
  <c r="P1944" i="6"/>
  <c r="N1944" i="6"/>
  <c r="M1944" i="6"/>
  <c r="L1944" i="6"/>
  <c r="K1944" i="6"/>
  <c r="J1944" i="6"/>
  <c r="I1944" i="6"/>
  <c r="H1944" i="6"/>
  <c r="G1944" i="6"/>
  <c r="F1944" i="6"/>
  <c r="D1944" i="6"/>
  <c r="U1944" i="6" s="1"/>
  <c r="C1944" i="6"/>
  <c r="B1944" i="6"/>
  <c r="Q1943" i="6"/>
  <c r="P1943" i="6"/>
  <c r="N1943" i="6"/>
  <c r="M1943" i="6"/>
  <c r="L1943" i="6"/>
  <c r="K1943" i="6"/>
  <c r="J1943" i="6"/>
  <c r="I1943" i="6"/>
  <c r="H1943" i="6"/>
  <c r="G1943" i="6"/>
  <c r="F1943" i="6"/>
  <c r="D1943" i="6"/>
  <c r="U1943" i="6" s="1"/>
  <c r="C1943" i="6"/>
  <c r="B1943" i="6"/>
  <c r="Q1942" i="6"/>
  <c r="N1942" i="6"/>
  <c r="M1942" i="6"/>
  <c r="L1942" i="6"/>
  <c r="K1942" i="6"/>
  <c r="J1942" i="6"/>
  <c r="I1942" i="6"/>
  <c r="P1942" i="6" s="1"/>
  <c r="H1942" i="6"/>
  <c r="G1942" i="6"/>
  <c r="F1942" i="6"/>
  <c r="D1942" i="6"/>
  <c r="U1942" i="6" s="1"/>
  <c r="C1942" i="6"/>
  <c r="E1942" i="6" s="1"/>
  <c r="B1942" i="6"/>
  <c r="Q1941" i="6"/>
  <c r="N1941" i="6"/>
  <c r="M1941" i="6"/>
  <c r="L1941" i="6"/>
  <c r="K1941" i="6"/>
  <c r="J1941" i="6"/>
  <c r="I1941" i="6"/>
  <c r="P1941" i="6" s="1"/>
  <c r="H1941" i="6"/>
  <c r="G1941" i="6"/>
  <c r="F1941" i="6"/>
  <c r="D1941" i="6"/>
  <c r="U1941" i="6" s="1"/>
  <c r="C1941" i="6"/>
  <c r="E1941" i="6" s="1"/>
  <c r="B1941" i="6"/>
  <c r="Q1940" i="6"/>
  <c r="P1940" i="6"/>
  <c r="N1940" i="6"/>
  <c r="M1940" i="6"/>
  <c r="L1940" i="6"/>
  <c r="K1940" i="6"/>
  <c r="J1940" i="6"/>
  <c r="I1940" i="6"/>
  <c r="H1940" i="6"/>
  <c r="G1940" i="6"/>
  <c r="F1940" i="6"/>
  <c r="D1940" i="6"/>
  <c r="U1940" i="6" s="1"/>
  <c r="C1940" i="6"/>
  <c r="B1940" i="6"/>
  <c r="Q1939" i="6"/>
  <c r="P1939" i="6"/>
  <c r="N1939" i="6"/>
  <c r="M1939" i="6"/>
  <c r="L1939" i="6"/>
  <c r="K1939" i="6"/>
  <c r="J1939" i="6"/>
  <c r="I1939" i="6"/>
  <c r="H1939" i="6"/>
  <c r="G1939" i="6"/>
  <c r="F1939" i="6"/>
  <c r="D1939" i="6"/>
  <c r="U1939" i="6" s="1"/>
  <c r="C1939" i="6"/>
  <c r="B1939" i="6"/>
  <c r="U1938" i="6"/>
  <c r="Q1938" i="6"/>
  <c r="N1938" i="6"/>
  <c r="M1938" i="6"/>
  <c r="L1938" i="6"/>
  <c r="K1938" i="6"/>
  <c r="J1938" i="6"/>
  <c r="I1938" i="6"/>
  <c r="P1938" i="6" s="1"/>
  <c r="H1938" i="6"/>
  <c r="G1938" i="6"/>
  <c r="F1938" i="6"/>
  <c r="D1938" i="6"/>
  <c r="C1938" i="6"/>
  <c r="E1938" i="6" s="1"/>
  <c r="B1938" i="6"/>
  <c r="Q1937" i="6"/>
  <c r="N1937" i="6"/>
  <c r="M1937" i="6"/>
  <c r="L1937" i="6"/>
  <c r="K1937" i="6"/>
  <c r="J1937" i="6"/>
  <c r="I1937" i="6"/>
  <c r="P1937" i="6" s="1"/>
  <c r="H1937" i="6"/>
  <c r="G1937" i="6"/>
  <c r="F1937" i="6"/>
  <c r="D1937" i="6"/>
  <c r="U1937" i="6" s="1"/>
  <c r="C1937" i="6"/>
  <c r="E1937" i="6" s="1"/>
  <c r="B1937" i="6"/>
  <c r="Q1936" i="6"/>
  <c r="P1936" i="6"/>
  <c r="N1936" i="6"/>
  <c r="M1936" i="6"/>
  <c r="L1936" i="6"/>
  <c r="K1936" i="6"/>
  <c r="J1936" i="6"/>
  <c r="I1936" i="6"/>
  <c r="H1936" i="6"/>
  <c r="G1936" i="6"/>
  <c r="F1936" i="6"/>
  <c r="D1936" i="6"/>
  <c r="U1936" i="6" s="1"/>
  <c r="C1936" i="6"/>
  <c r="B1936" i="6"/>
  <c r="Q1935" i="6"/>
  <c r="P1935" i="6"/>
  <c r="N1935" i="6"/>
  <c r="M1935" i="6"/>
  <c r="L1935" i="6"/>
  <c r="K1935" i="6"/>
  <c r="J1935" i="6"/>
  <c r="I1935" i="6"/>
  <c r="H1935" i="6"/>
  <c r="G1935" i="6"/>
  <c r="F1935" i="6"/>
  <c r="D1935" i="6"/>
  <c r="U1935" i="6" s="1"/>
  <c r="C1935" i="6"/>
  <c r="B1935" i="6"/>
  <c r="Q1934" i="6"/>
  <c r="N1934" i="6"/>
  <c r="M1934" i="6"/>
  <c r="L1934" i="6"/>
  <c r="K1934" i="6"/>
  <c r="J1934" i="6"/>
  <c r="I1934" i="6"/>
  <c r="P1934" i="6" s="1"/>
  <c r="H1934" i="6"/>
  <c r="G1934" i="6"/>
  <c r="F1934" i="6"/>
  <c r="D1934" i="6"/>
  <c r="U1934" i="6" s="1"/>
  <c r="C1934" i="6"/>
  <c r="E1934" i="6" s="1"/>
  <c r="B1934" i="6"/>
  <c r="Q1933" i="6"/>
  <c r="N1933" i="6"/>
  <c r="M1933" i="6"/>
  <c r="L1933" i="6"/>
  <c r="K1933" i="6"/>
  <c r="J1933" i="6"/>
  <c r="I1933" i="6"/>
  <c r="P1933" i="6" s="1"/>
  <c r="H1933" i="6"/>
  <c r="G1933" i="6"/>
  <c r="F1933" i="6"/>
  <c r="D1933" i="6"/>
  <c r="U1933" i="6" s="1"/>
  <c r="C1933" i="6"/>
  <c r="E1933" i="6" s="1"/>
  <c r="B1933" i="6"/>
  <c r="Q1932" i="6"/>
  <c r="P1932" i="6"/>
  <c r="N1932" i="6"/>
  <c r="M1932" i="6"/>
  <c r="L1932" i="6"/>
  <c r="K1932" i="6"/>
  <c r="J1932" i="6"/>
  <c r="I1932" i="6"/>
  <c r="H1932" i="6"/>
  <c r="G1932" i="6"/>
  <c r="F1932" i="6"/>
  <c r="D1932" i="6"/>
  <c r="U1932" i="6" s="1"/>
  <c r="C1932" i="6"/>
  <c r="B1932" i="6"/>
  <c r="Q1931" i="6"/>
  <c r="P1931" i="6"/>
  <c r="N1931" i="6"/>
  <c r="M1931" i="6"/>
  <c r="L1931" i="6"/>
  <c r="K1931" i="6"/>
  <c r="J1931" i="6"/>
  <c r="I1931" i="6"/>
  <c r="H1931" i="6"/>
  <c r="G1931" i="6"/>
  <c r="F1931" i="6"/>
  <c r="D1931" i="6"/>
  <c r="U1931" i="6" s="1"/>
  <c r="C1931" i="6"/>
  <c r="B1931" i="6"/>
  <c r="Q1930" i="6"/>
  <c r="N1930" i="6"/>
  <c r="M1930" i="6"/>
  <c r="L1930" i="6"/>
  <c r="K1930" i="6"/>
  <c r="J1930" i="6"/>
  <c r="I1930" i="6"/>
  <c r="P1930" i="6" s="1"/>
  <c r="H1930" i="6"/>
  <c r="G1930" i="6"/>
  <c r="F1930" i="6"/>
  <c r="D1930" i="6"/>
  <c r="U1930" i="6" s="1"/>
  <c r="C1930" i="6"/>
  <c r="E1930" i="6" s="1"/>
  <c r="B1930" i="6"/>
  <c r="Q1929" i="6"/>
  <c r="N1929" i="6"/>
  <c r="M1929" i="6"/>
  <c r="L1929" i="6"/>
  <c r="K1929" i="6"/>
  <c r="J1929" i="6"/>
  <c r="I1929" i="6"/>
  <c r="P1929" i="6" s="1"/>
  <c r="H1929" i="6"/>
  <c r="G1929" i="6"/>
  <c r="F1929" i="6"/>
  <c r="D1929" i="6"/>
  <c r="U1929" i="6" s="1"/>
  <c r="C1929" i="6"/>
  <c r="E1929" i="6" s="1"/>
  <c r="B1929" i="6"/>
  <c r="Q1928" i="6"/>
  <c r="P1928" i="6"/>
  <c r="N1928" i="6"/>
  <c r="M1928" i="6"/>
  <c r="L1928" i="6"/>
  <c r="K1928" i="6"/>
  <c r="J1928" i="6"/>
  <c r="I1928" i="6"/>
  <c r="H1928" i="6"/>
  <c r="G1928" i="6"/>
  <c r="F1928" i="6"/>
  <c r="D1928" i="6"/>
  <c r="U1928" i="6" s="1"/>
  <c r="C1928" i="6"/>
  <c r="B1928" i="6"/>
  <c r="Q1927" i="6"/>
  <c r="P1927" i="6"/>
  <c r="N1927" i="6"/>
  <c r="M1927" i="6"/>
  <c r="L1927" i="6"/>
  <c r="K1927" i="6"/>
  <c r="J1927" i="6"/>
  <c r="I1927" i="6"/>
  <c r="H1927" i="6"/>
  <c r="G1927" i="6"/>
  <c r="F1927" i="6"/>
  <c r="D1927" i="6"/>
  <c r="U1927" i="6" s="1"/>
  <c r="C1927" i="6"/>
  <c r="B1927" i="6"/>
  <c r="Q1926" i="6"/>
  <c r="N1926" i="6"/>
  <c r="M1926" i="6"/>
  <c r="L1926" i="6"/>
  <c r="K1926" i="6"/>
  <c r="J1926" i="6"/>
  <c r="I1926" i="6"/>
  <c r="P1926" i="6" s="1"/>
  <c r="H1926" i="6"/>
  <c r="G1926" i="6"/>
  <c r="F1926" i="6"/>
  <c r="D1926" i="6"/>
  <c r="U1926" i="6" s="1"/>
  <c r="C1926" i="6"/>
  <c r="E1926" i="6" s="1"/>
  <c r="B1926" i="6"/>
  <c r="Q1925" i="6"/>
  <c r="N1925" i="6"/>
  <c r="M1925" i="6"/>
  <c r="L1925" i="6"/>
  <c r="K1925" i="6"/>
  <c r="J1925" i="6"/>
  <c r="I1925" i="6"/>
  <c r="P1925" i="6" s="1"/>
  <c r="H1925" i="6"/>
  <c r="G1925" i="6"/>
  <c r="F1925" i="6"/>
  <c r="D1925" i="6"/>
  <c r="U1925" i="6" s="1"/>
  <c r="C1925" i="6"/>
  <c r="E1925" i="6" s="1"/>
  <c r="B1925" i="6"/>
  <c r="Q1924" i="6"/>
  <c r="P1924" i="6"/>
  <c r="N1924" i="6"/>
  <c r="M1924" i="6"/>
  <c r="L1924" i="6"/>
  <c r="K1924" i="6"/>
  <c r="J1924" i="6"/>
  <c r="I1924" i="6"/>
  <c r="H1924" i="6"/>
  <c r="G1924" i="6"/>
  <c r="F1924" i="6"/>
  <c r="D1924" i="6"/>
  <c r="U1924" i="6" s="1"/>
  <c r="C1924" i="6"/>
  <c r="B1924" i="6"/>
  <c r="Q1923" i="6"/>
  <c r="P1923" i="6"/>
  <c r="N1923" i="6"/>
  <c r="M1923" i="6"/>
  <c r="L1923" i="6"/>
  <c r="K1923" i="6"/>
  <c r="J1923" i="6"/>
  <c r="I1923" i="6"/>
  <c r="H1923" i="6"/>
  <c r="G1923" i="6"/>
  <c r="F1923" i="6"/>
  <c r="D1923" i="6"/>
  <c r="U1923" i="6" s="1"/>
  <c r="C1923" i="6"/>
  <c r="B1923" i="6"/>
  <c r="Q1922" i="6"/>
  <c r="N1922" i="6"/>
  <c r="M1922" i="6"/>
  <c r="L1922" i="6"/>
  <c r="K1922" i="6"/>
  <c r="J1922" i="6"/>
  <c r="I1922" i="6"/>
  <c r="P1922" i="6" s="1"/>
  <c r="H1922" i="6"/>
  <c r="G1922" i="6"/>
  <c r="F1922" i="6"/>
  <c r="D1922" i="6"/>
  <c r="U1922" i="6" s="1"/>
  <c r="C1922" i="6"/>
  <c r="E1922" i="6" s="1"/>
  <c r="B1922" i="6"/>
  <c r="Q1921" i="6"/>
  <c r="N1921" i="6"/>
  <c r="M1921" i="6"/>
  <c r="L1921" i="6"/>
  <c r="K1921" i="6"/>
  <c r="J1921" i="6"/>
  <c r="I1921" i="6"/>
  <c r="P1921" i="6" s="1"/>
  <c r="H1921" i="6"/>
  <c r="G1921" i="6"/>
  <c r="F1921" i="6"/>
  <c r="D1921" i="6"/>
  <c r="U1921" i="6" s="1"/>
  <c r="C1921" i="6"/>
  <c r="E1921" i="6" s="1"/>
  <c r="B1921" i="6"/>
  <c r="Q1920" i="6"/>
  <c r="P1920" i="6"/>
  <c r="N1920" i="6"/>
  <c r="M1920" i="6"/>
  <c r="L1920" i="6"/>
  <c r="K1920" i="6"/>
  <c r="J1920" i="6"/>
  <c r="I1920" i="6"/>
  <c r="H1920" i="6"/>
  <c r="G1920" i="6"/>
  <c r="F1920" i="6"/>
  <c r="D1920" i="6"/>
  <c r="U1920" i="6" s="1"/>
  <c r="C1920" i="6"/>
  <c r="B1920" i="6"/>
  <c r="Q1919" i="6"/>
  <c r="P1919" i="6"/>
  <c r="N1919" i="6"/>
  <c r="M1919" i="6"/>
  <c r="L1919" i="6"/>
  <c r="K1919" i="6"/>
  <c r="J1919" i="6"/>
  <c r="I1919" i="6"/>
  <c r="H1919" i="6"/>
  <c r="G1919" i="6"/>
  <c r="F1919" i="6"/>
  <c r="D1919" i="6"/>
  <c r="U1919" i="6" s="1"/>
  <c r="C1919" i="6"/>
  <c r="B1919" i="6"/>
  <c r="Q1918" i="6"/>
  <c r="N1918" i="6"/>
  <c r="M1918" i="6"/>
  <c r="L1918" i="6"/>
  <c r="K1918" i="6"/>
  <c r="J1918" i="6"/>
  <c r="I1918" i="6"/>
  <c r="P1918" i="6" s="1"/>
  <c r="H1918" i="6"/>
  <c r="G1918" i="6"/>
  <c r="F1918" i="6"/>
  <c r="D1918" i="6"/>
  <c r="U1918" i="6" s="1"/>
  <c r="C1918" i="6"/>
  <c r="E1918" i="6" s="1"/>
  <c r="B1918" i="6"/>
  <c r="Q1917" i="6"/>
  <c r="N1917" i="6"/>
  <c r="M1917" i="6"/>
  <c r="L1917" i="6"/>
  <c r="K1917" i="6"/>
  <c r="J1917" i="6"/>
  <c r="I1917" i="6"/>
  <c r="P1917" i="6" s="1"/>
  <c r="H1917" i="6"/>
  <c r="G1917" i="6"/>
  <c r="F1917" i="6"/>
  <c r="D1917" i="6"/>
  <c r="U1917" i="6" s="1"/>
  <c r="C1917" i="6"/>
  <c r="E1917" i="6" s="1"/>
  <c r="B1917" i="6"/>
  <c r="Q1916" i="6"/>
  <c r="P1916" i="6"/>
  <c r="N1916" i="6"/>
  <c r="M1916" i="6"/>
  <c r="L1916" i="6"/>
  <c r="K1916" i="6"/>
  <c r="J1916" i="6"/>
  <c r="I1916" i="6"/>
  <c r="H1916" i="6"/>
  <c r="G1916" i="6"/>
  <c r="F1916" i="6"/>
  <c r="D1916" i="6"/>
  <c r="U1916" i="6" s="1"/>
  <c r="C1916" i="6"/>
  <c r="E1916" i="6" s="1"/>
  <c r="B1916" i="6"/>
  <c r="Q1915" i="6"/>
  <c r="P1915" i="6"/>
  <c r="N1915" i="6"/>
  <c r="M1915" i="6"/>
  <c r="L1915" i="6"/>
  <c r="K1915" i="6"/>
  <c r="J1915" i="6"/>
  <c r="I1915" i="6"/>
  <c r="H1915" i="6"/>
  <c r="G1915" i="6"/>
  <c r="F1915" i="6"/>
  <c r="D1915" i="6"/>
  <c r="U1915" i="6" s="1"/>
  <c r="C1915" i="6"/>
  <c r="B1915" i="6"/>
  <c r="Q1914" i="6"/>
  <c r="N1914" i="6"/>
  <c r="M1914" i="6"/>
  <c r="L1914" i="6"/>
  <c r="K1914" i="6"/>
  <c r="J1914" i="6"/>
  <c r="I1914" i="6"/>
  <c r="P1914" i="6" s="1"/>
  <c r="H1914" i="6"/>
  <c r="G1914" i="6"/>
  <c r="F1914" i="6"/>
  <c r="D1914" i="6"/>
  <c r="U1914" i="6" s="1"/>
  <c r="C1914" i="6"/>
  <c r="E1914" i="6" s="1"/>
  <c r="B1914" i="6"/>
  <c r="Q1913" i="6"/>
  <c r="N1913" i="6"/>
  <c r="M1913" i="6"/>
  <c r="L1913" i="6"/>
  <c r="K1913" i="6"/>
  <c r="J1913" i="6"/>
  <c r="I1913" i="6"/>
  <c r="P1913" i="6" s="1"/>
  <c r="H1913" i="6"/>
  <c r="G1913" i="6"/>
  <c r="F1913" i="6"/>
  <c r="D1913" i="6"/>
  <c r="U1913" i="6" s="1"/>
  <c r="C1913" i="6"/>
  <c r="E1913" i="6" s="1"/>
  <c r="B1913" i="6"/>
  <c r="Q1912" i="6"/>
  <c r="P1912" i="6"/>
  <c r="N1912" i="6"/>
  <c r="M1912" i="6"/>
  <c r="L1912" i="6"/>
  <c r="K1912" i="6"/>
  <c r="J1912" i="6"/>
  <c r="I1912" i="6"/>
  <c r="H1912" i="6"/>
  <c r="G1912" i="6"/>
  <c r="F1912" i="6"/>
  <c r="D1912" i="6"/>
  <c r="U1912" i="6" s="1"/>
  <c r="C1912" i="6"/>
  <c r="E1912" i="6" s="1"/>
  <c r="B1912" i="6"/>
  <c r="Q1911" i="6"/>
  <c r="P1911" i="6"/>
  <c r="N1911" i="6"/>
  <c r="M1911" i="6"/>
  <c r="L1911" i="6"/>
  <c r="K1911" i="6"/>
  <c r="J1911" i="6"/>
  <c r="I1911" i="6"/>
  <c r="H1911" i="6"/>
  <c r="G1911" i="6"/>
  <c r="F1911" i="6"/>
  <c r="D1911" i="6"/>
  <c r="U1911" i="6" s="1"/>
  <c r="C1911" i="6"/>
  <c r="B1911" i="6"/>
  <c r="Q1910" i="6"/>
  <c r="N1910" i="6"/>
  <c r="M1910" i="6"/>
  <c r="L1910" i="6"/>
  <c r="K1910" i="6"/>
  <c r="J1910" i="6"/>
  <c r="I1910" i="6"/>
  <c r="P1910" i="6" s="1"/>
  <c r="H1910" i="6"/>
  <c r="G1910" i="6"/>
  <c r="F1910" i="6"/>
  <c r="D1910" i="6"/>
  <c r="U1910" i="6" s="1"/>
  <c r="C1910" i="6"/>
  <c r="E1910" i="6" s="1"/>
  <c r="B1910" i="6"/>
  <c r="Q1909" i="6"/>
  <c r="N1909" i="6"/>
  <c r="M1909" i="6"/>
  <c r="L1909" i="6"/>
  <c r="K1909" i="6"/>
  <c r="J1909" i="6"/>
  <c r="I1909" i="6"/>
  <c r="P1909" i="6" s="1"/>
  <c r="H1909" i="6"/>
  <c r="G1909" i="6"/>
  <c r="F1909" i="6"/>
  <c r="D1909" i="6"/>
  <c r="U1909" i="6" s="1"/>
  <c r="C1909" i="6"/>
  <c r="E1909" i="6" s="1"/>
  <c r="B1909" i="6"/>
  <c r="Q1908" i="6"/>
  <c r="P1908" i="6"/>
  <c r="N1908" i="6"/>
  <c r="M1908" i="6"/>
  <c r="L1908" i="6"/>
  <c r="K1908" i="6"/>
  <c r="J1908" i="6"/>
  <c r="I1908" i="6"/>
  <c r="H1908" i="6"/>
  <c r="G1908" i="6"/>
  <c r="F1908" i="6"/>
  <c r="D1908" i="6"/>
  <c r="U1908" i="6" s="1"/>
  <c r="C1908" i="6"/>
  <c r="E1908" i="6" s="1"/>
  <c r="B1908" i="6"/>
  <c r="Q1907" i="6"/>
  <c r="P1907" i="6"/>
  <c r="N1907" i="6"/>
  <c r="M1907" i="6"/>
  <c r="L1907" i="6"/>
  <c r="K1907" i="6"/>
  <c r="J1907" i="6"/>
  <c r="I1907" i="6"/>
  <c r="H1907" i="6"/>
  <c r="G1907" i="6"/>
  <c r="F1907" i="6"/>
  <c r="D1907" i="6"/>
  <c r="U1907" i="6" s="1"/>
  <c r="C1907" i="6"/>
  <c r="B1907" i="6"/>
  <c r="Q1906" i="6"/>
  <c r="N1906" i="6"/>
  <c r="M1906" i="6"/>
  <c r="L1906" i="6"/>
  <c r="K1906" i="6"/>
  <c r="J1906" i="6"/>
  <c r="I1906" i="6"/>
  <c r="P1906" i="6" s="1"/>
  <c r="H1906" i="6"/>
  <c r="G1906" i="6"/>
  <c r="F1906" i="6"/>
  <c r="D1906" i="6"/>
  <c r="U1906" i="6" s="1"/>
  <c r="C1906" i="6"/>
  <c r="E1906" i="6" s="1"/>
  <c r="B1906" i="6"/>
  <c r="Q1905" i="6"/>
  <c r="N1905" i="6"/>
  <c r="M1905" i="6"/>
  <c r="L1905" i="6"/>
  <c r="K1905" i="6"/>
  <c r="J1905" i="6"/>
  <c r="I1905" i="6"/>
  <c r="P1905" i="6" s="1"/>
  <c r="H1905" i="6"/>
  <c r="G1905" i="6"/>
  <c r="F1905" i="6"/>
  <c r="D1905" i="6"/>
  <c r="U1905" i="6" s="1"/>
  <c r="C1905" i="6"/>
  <c r="B1905" i="6"/>
  <c r="Q1904" i="6"/>
  <c r="P1904" i="6"/>
  <c r="N1904" i="6"/>
  <c r="M1904" i="6"/>
  <c r="L1904" i="6"/>
  <c r="K1904" i="6"/>
  <c r="J1904" i="6"/>
  <c r="I1904" i="6"/>
  <c r="H1904" i="6"/>
  <c r="G1904" i="6"/>
  <c r="F1904" i="6"/>
  <c r="D1904" i="6"/>
  <c r="U1904" i="6" s="1"/>
  <c r="C1904" i="6"/>
  <c r="E1904" i="6" s="1"/>
  <c r="B1904" i="6"/>
  <c r="Q1903" i="6"/>
  <c r="P1903" i="6"/>
  <c r="N1903" i="6"/>
  <c r="M1903" i="6"/>
  <c r="L1903" i="6"/>
  <c r="K1903" i="6"/>
  <c r="J1903" i="6"/>
  <c r="I1903" i="6"/>
  <c r="H1903" i="6"/>
  <c r="G1903" i="6"/>
  <c r="F1903" i="6"/>
  <c r="D1903" i="6"/>
  <c r="U1903" i="6" s="1"/>
  <c r="C1903" i="6"/>
  <c r="B1903" i="6"/>
  <c r="Q1902" i="6"/>
  <c r="N1902" i="6"/>
  <c r="M1902" i="6"/>
  <c r="L1902" i="6"/>
  <c r="K1902" i="6"/>
  <c r="J1902" i="6"/>
  <c r="I1902" i="6"/>
  <c r="P1902" i="6" s="1"/>
  <c r="H1902" i="6"/>
  <c r="G1902" i="6"/>
  <c r="F1902" i="6"/>
  <c r="D1902" i="6"/>
  <c r="U1902" i="6" s="1"/>
  <c r="C1902" i="6"/>
  <c r="E1902" i="6" s="1"/>
  <c r="B1902" i="6"/>
  <c r="Q1901" i="6"/>
  <c r="N1901" i="6"/>
  <c r="M1901" i="6"/>
  <c r="L1901" i="6"/>
  <c r="K1901" i="6"/>
  <c r="J1901" i="6"/>
  <c r="I1901" i="6"/>
  <c r="P1901" i="6" s="1"/>
  <c r="H1901" i="6"/>
  <c r="G1901" i="6"/>
  <c r="F1901" i="6"/>
  <c r="D1901" i="6"/>
  <c r="U1901" i="6" s="1"/>
  <c r="C1901" i="6"/>
  <c r="E1901" i="6" s="1"/>
  <c r="B1901" i="6"/>
  <c r="Q1900" i="6"/>
  <c r="P1900" i="6"/>
  <c r="N1900" i="6"/>
  <c r="M1900" i="6"/>
  <c r="L1900" i="6"/>
  <c r="K1900" i="6"/>
  <c r="J1900" i="6"/>
  <c r="I1900" i="6"/>
  <c r="H1900" i="6"/>
  <c r="G1900" i="6"/>
  <c r="F1900" i="6"/>
  <c r="D1900" i="6"/>
  <c r="U1900" i="6" s="1"/>
  <c r="C1900" i="6"/>
  <c r="B1900" i="6"/>
  <c r="Q1899" i="6"/>
  <c r="N1899" i="6"/>
  <c r="M1899" i="6"/>
  <c r="L1899" i="6"/>
  <c r="K1899" i="6"/>
  <c r="J1899" i="6"/>
  <c r="I1899" i="6"/>
  <c r="P1899" i="6" s="1"/>
  <c r="H1899" i="6"/>
  <c r="G1899" i="6"/>
  <c r="F1899" i="6"/>
  <c r="D1899" i="6"/>
  <c r="U1899" i="6" s="1"/>
  <c r="C1899" i="6"/>
  <c r="B1899" i="6"/>
  <c r="U1898" i="6"/>
  <c r="Q1898" i="6"/>
  <c r="N1898" i="6"/>
  <c r="M1898" i="6"/>
  <c r="L1898" i="6"/>
  <c r="K1898" i="6"/>
  <c r="J1898" i="6"/>
  <c r="I1898" i="6"/>
  <c r="P1898" i="6" s="1"/>
  <c r="H1898" i="6"/>
  <c r="G1898" i="6"/>
  <c r="F1898" i="6"/>
  <c r="D1898" i="6"/>
  <c r="C1898" i="6"/>
  <c r="E1898" i="6" s="1"/>
  <c r="B1898" i="6"/>
  <c r="Q1897" i="6"/>
  <c r="P1897" i="6"/>
  <c r="N1897" i="6"/>
  <c r="M1897" i="6"/>
  <c r="L1897" i="6"/>
  <c r="K1897" i="6"/>
  <c r="J1897" i="6"/>
  <c r="I1897" i="6"/>
  <c r="H1897" i="6"/>
  <c r="G1897" i="6"/>
  <c r="F1897" i="6"/>
  <c r="D1897" i="6"/>
  <c r="U1897" i="6" s="1"/>
  <c r="C1897" i="6"/>
  <c r="B1897" i="6"/>
  <c r="Q1896" i="6"/>
  <c r="P1896" i="6"/>
  <c r="N1896" i="6"/>
  <c r="M1896" i="6"/>
  <c r="L1896" i="6"/>
  <c r="K1896" i="6"/>
  <c r="J1896" i="6"/>
  <c r="I1896" i="6"/>
  <c r="H1896" i="6"/>
  <c r="G1896" i="6"/>
  <c r="F1896" i="6"/>
  <c r="D1896" i="6"/>
  <c r="U1896" i="6" s="1"/>
  <c r="C1896" i="6"/>
  <c r="E1896" i="6" s="1"/>
  <c r="B1896" i="6"/>
  <c r="Q1895" i="6"/>
  <c r="P1895" i="6"/>
  <c r="N1895" i="6"/>
  <c r="M1895" i="6"/>
  <c r="L1895" i="6"/>
  <c r="K1895" i="6"/>
  <c r="J1895" i="6"/>
  <c r="I1895" i="6"/>
  <c r="H1895" i="6"/>
  <c r="G1895" i="6"/>
  <c r="F1895" i="6"/>
  <c r="D1895" i="6"/>
  <c r="U1895" i="6" s="1"/>
  <c r="C1895" i="6"/>
  <c r="B1895" i="6"/>
  <c r="Q1894" i="6"/>
  <c r="N1894" i="6"/>
  <c r="M1894" i="6"/>
  <c r="L1894" i="6"/>
  <c r="K1894" i="6"/>
  <c r="J1894" i="6"/>
  <c r="I1894" i="6"/>
  <c r="P1894" i="6" s="1"/>
  <c r="H1894" i="6"/>
  <c r="G1894" i="6"/>
  <c r="F1894" i="6"/>
  <c r="D1894" i="6"/>
  <c r="U1894" i="6" s="1"/>
  <c r="C1894" i="6"/>
  <c r="E1894" i="6" s="1"/>
  <c r="B1894" i="6"/>
  <c r="U1893" i="6"/>
  <c r="Q1893" i="6"/>
  <c r="N1893" i="6"/>
  <c r="M1893" i="6"/>
  <c r="L1893" i="6"/>
  <c r="K1893" i="6"/>
  <c r="J1893" i="6"/>
  <c r="I1893" i="6"/>
  <c r="P1893" i="6" s="1"/>
  <c r="H1893" i="6"/>
  <c r="G1893" i="6"/>
  <c r="F1893" i="6"/>
  <c r="D1893" i="6"/>
  <c r="C1893" i="6"/>
  <c r="E1893" i="6" s="1"/>
  <c r="B1893" i="6"/>
  <c r="Q1892" i="6"/>
  <c r="P1892" i="6"/>
  <c r="N1892" i="6"/>
  <c r="M1892" i="6"/>
  <c r="L1892" i="6"/>
  <c r="K1892" i="6"/>
  <c r="J1892" i="6"/>
  <c r="I1892" i="6"/>
  <c r="H1892" i="6"/>
  <c r="G1892" i="6"/>
  <c r="F1892" i="6"/>
  <c r="D1892" i="6"/>
  <c r="U1892" i="6" s="1"/>
  <c r="C1892" i="6"/>
  <c r="B1892" i="6"/>
  <c r="Q1891" i="6"/>
  <c r="N1891" i="6"/>
  <c r="M1891" i="6"/>
  <c r="L1891" i="6"/>
  <c r="K1891" i="6"/>
  <c r="J1891" i="6"/>
  <c r="I1891" i="6"/>
  <c r="P1891" i="6" s="1"/>
  <c r="H1891" i="6"/>
  <c r="G1891" i="6"/>
  <c r="F1891" i="6"/>
  <c r="D1891" i="6"/>
  <c r="U1891" i="6" s="1"/>
  <c r="C1891" i="6"/>
  <c r="B1891" i="6"/>
  <c r="U1890" i="6"/>
  <c r="Q1890" i="6"/>
  <c r="N1890" i="6"/>
  <c r="M1890" i="6"/>
  <c r="L1890" i="6"/>
  <c r="K1890" i="6"/>
  <c r="J1890" i="6"/>
  <c r="I1890" i="6"/>
  <c r="P1890" i="6" s="1"/>
  <c r="H1890" i="6"/>
  <c r="G1890" i="6"/>
  <c r="F1890" i="6"/>
  <c r="D1890" i="6"/>
  <c r="C1890" i="6"/>
  <c r="E1890" i="6" s="1"/>
  <c r="B1890" i="6"/>
  <c r="Q1889" i="6"/>
  <c r="P1889" i="6"/>
  <c r="N1889" i="6"/>
  <c r="M1889" i="6"/>
  <c r="L1889" i="6"/>
  <c r="K1889" i="6"/>
  <c r="J1889" i="6"/>
  <c r="I1889" i="6"/>
  <c r="H1889" i="6"/>
  <c r="G1889" i="6"/>
  <c r="F1889" i="6"/>
  <c r="D1889" i="6"/>
  <c r="U1889" i="6" s="1"/>
  <c r="C1889" i="6"/>
  <c r="B1889" i="6"/>
  <c r="Q1888" i="6"/>
  <c r="P1888" i="6"/>
  <c r="N1888" i="6"/>
  <c r="M1888" i="6"/>
  <c r="L1888" i="6"/>
  <c r="K1888" i="6"/>
  <c r="J1888" i="6"/>
  <c r="I1888" i="6"/>
  <c r="H1888" i="6"/>
  <c r="G1888" i="6"/>
  <c r="F1888" i="6"/>
  <c r="D1888" i="6"/>
  <c r="U1888" i="6" s="1"/>
  <c r="C1888" i="6"/>
  <c r="E1888" i="6" s="1"/>
  <c r="B1888" i="6"/>
  <c r="Q1887" i="6"/>
  <c r="P1887" i="6"/>
  <c r="N1887" i="6"/>
  <c r="M1887" i="6"/>
  <c r="L1887" i="6"/>
  <c r="K1887" i="6"/>
  <c r="J1887" i="6"/>
  <c r="I1887" i="6"/>
  <c r="H1887" i="6"/>
  <c r="G1887" i="6"/>
  <c r="F1887" i="6"/>
  <c r="D1887" i="6"/>
  <c r="U1887" i="6" s="1"/>
  <c r="C1887" i="6"/>
  <c r="B1887" i="6"/>
  <c r="Q1886" i="6"/>
  <c r="N1886" i="6"/>
  <c r="M1886" i="6"/>
  <c r="L1886" i="6"/>
  <c r="K1886" i="6"/>
  <c r="J1886" i="6"/>
  <c r="I1886" i="6"/>
  <c r="P1886" i="6" s="1"/>
  <c r="H1886" i="6"/>
  <c r="G1886" i="6"/>
  <c r="F1886" i="6"/>
  <c r="D1886" i="6"/>
  <c r="U1886" i="6" s="1"/>
  <c r="C1886" i="6"/>
  <c r="E1886" i="6" s="1"/>
  <c r="B1886" i="6"/>
  <c r="Q1885" i="6"/>
  <c r="N1885" i="6"/>
  <c r="M1885" i="6"/>
  <c r="L1885" i="6"/>
  <c r="K1885" i="6"/>
  <c r="J1885" i="6"/>
  <c r="I1885" i="6"/>
  <c r="P1885" i="6" s="1"/>
  <c r="H1885" i="6"/>
  <c r="G1885" i="6"/>
  <c r="F1885" i="6"/>
  <c r="D1885" i="6"/>
  <c r="U1885" i="6" s="1"/>
  <c r="C1885" i="6"/>
  <c r="E1885" i="6" s="1"/>
  <c r="B1885" i="6"/>
  <c r="Q1884" i="6"/>
  <c r="P1884" i="6"/>
  <c r="N1884" i="6"/>
  <c r="M1884" i="6"/>
  <c r="L1884" i="6"/>
  <c r="K1884" i="6"/>
  <c r="J1884" i="6"/>
  <c r="I1884" i="6"/>
  <c r="H1884" i="6"/>
  <c r="G1884" i="6"/>
  <c r="F1884" i="6"/>
  <c r="D1884" i="6"/>
  <c r="U1884" i="6" s="1"/>
  <c r="C1884" i="6"/>
  <c r="B1884" i="6"/>
  <c r="Q1883" i="6"/>
  <c r="N1883" i="6"/>
  <c r="M1883" i="6"/>
  <c r="L1883" i="6"/>
  <c r="K1883" i="6"/>
  <c r="J1883" i="6"/>
  <c r="I1883" i="6"/>
  <c r="P1883" i="6" s="1"/>
  <c r="H1883" i="6"/>
  <c r="G1883" i="6"/>
  <c r="F1883" i="6"/>
  <c r="D1883" i="6"/>
  <c r="U1883" i="6" s="1"/>
  <c r="C1883" i="6"/>
  <c r="B1883" i="6"/>
  <c r="U1882" i="6"/>
  <c r="Q1882" i="6"/>
  <c r="N1882" i="6"/>
  <c r="M1882" i="6"/>
  <c r="L1882" i="6"/>
  <c r="K1882" i="6"/>
  <c r="J1882" i="6"/>
  <c r="I1882" i="6"/>
  <c r="P1882" i="6" s="1"/>
  <c r="H1882" i="6"/>
  <c r="G1882" i="6"/>
  <c r="F1882" i="6"/>
  <c r="D1882" i="6"/>
  <c r="C1882" i="6"/>
  <c r="E1882" i="6" s="1"/>
  <c r="B1882" i="6"/>
  <c r="Q1881" i="6"/>
  <c r="P1881" i="6"/>
  <c r="N1881" i="6"/>
  <c r="M1881" i="6"/>
  <c r="L1881" i="6"/>
  <c r="K1881" i="6"/>
  <c r="J1881" i="6"/>
  <c r="I1881" i="6"/>
  <c r="H1881" i="6"/>
  <c r="G1881" i="6"/>
  <c r="F1881" i="6"/>
  <c r="D1881" i="6"/>
  <c r="U1881" i="6" s="1"/>
  <c r="C1881" i="6"/>
  <c r="B1881" i="6"/>
  <c r="Q1880" i="6"/>
  <c r="P1880" i="6"/>
  <c r="N1880" i="6"/>
  <c r="M1880" i="6"/>
  <c r="L1880" i="6"/>
  <c r="K1880" i="6"/>
  <c r="J1880" i="6"/>
  <c r="I1880" i="6"/>
  <c r="H1880" i="6"/>
  <c r="G1880" i="6"/>
  <c r="F1880" i="6"/>
  <c r="D1880" i="6"/>
  <c r="U1880" i="6" s="1"/>
  <c r="C1880" i="6"/>
  <c r="B1880" i="6"/>
  <c r="Q1879" i="6"/>
  <c r="P1879" i="6"/>
  <c r="N1879" i="6"/>
  <c r="M1879" i="6"/>
  <c r="L1879" i="6"/>
  <c r="K1879" i="6"/>
  <c r="J1879" i="6"/>
  <c r="I1879" i="6"/>
  <c r="H1879" i="6"/>
  <c r="G1879" i="6"/>
  <c r="F1879" i="6"/>
  <c r="D1879" i="6"/>
  <c r="U1879" i="6" s="1"/>
  <c r="C1879" i="6"/>
  <c r="B1879" i="6"/>
  <c r="U1878" i="6"/>
  <c r="Q1878" i="6"/>
  <c r="N1878" i="6"/>
  <c r="M1878" i="6"/>
  <c r="L1878" i="6"/>
  <c r="K1878" i="6"/>
  <c r="J1878" i="6"/>
  <c r="I1878" i="6"/>
  <c r="P1878" i="6" s="1"/>
  <c r="H1878" i="6"/>
  <c r="G1878" i="6"/>
  <c r="F1878" i="6"/>
  <c r="D1878" i="6"/>
  <c r="C1878" i="6"/>
  <c r="E1878" i="6" s="1"/>
  <c r="B1878" i="6"/>
  <c r="U1877" i="6"/>
  <c r="Q1877" i="6"/>
  <c r="N1877" i="6"/>
  <c r="M1877" i="6"/>
  <c r="L1877" i="6"/>
  <c r="K1877" i="6"/>
  <c r="J1877" i="6"/>
  <c r="I1877" i="6"/>
  <c r="P1877" i="6" s="1"/>
  <c r="H1877" i="6"/>
  <c r="G1877" i="6"/>
  <c r="F1877" i="6"/>
  <c r="D1877" i="6"/>
  <c r="C1877" i="6"/>
  <c r="B1877" i="6"/>
  <c r="Q1876" i="6"/>
  <c r="P1876" i="6"/>
  <c r="N1876" i="6"/>
  <c r="M1876" i="6"/>
  <c r="L1876" i="6"/>
  <c r="K1876" i="6"/>
  <c r="J1876" i="6"/>
  <c r="I1876" i="6"/>
  <c r="H1876" i="6"/>
  <c r="G1876" i="6"/>
  <c r="F1876" i="6"/>
  <c r="D1876" i="6"/>
  <c r="U1876" i="6" s="1"/>
  <c r="C1876" i="6"/>
  <c r="B1876" i="6"/>
  <c r="Q1875" i="6"/>
  <c r="N1875" i="6"/>
  <c r="M1875" i="6"/>
  <c r="L1875" i="6"/>
  <c r="K1875" i="6"/>
  <c r="J1875" i="6"/>
  <c r="I1875" i="6"/>
  <c r="P1875" i="6" s="1"/>
  <c r="H1875" i="6"/>
  <c r="G1875" i="6"/>
  <c r="F1875" i="6"/>
  <c r="D1875" i="6"/>
  <c r="U1875" i="6" s="1"/>
  <c r="C1875" i="6"/>
  <c r="B1875" i="6"/>
  <c r="U1874" i="6"/>
  <c r="Q1874" i="6"/>
  <c r="N1874" i="6"/>
  <c r="M1874" i="6"/>
  <c r="L1874" i="6"/>
  <c r="K1874" i="6"/>
  <c r="J1874" i="6"/>
  <c r="I1874" i="6"/>
  <c r="P1874" i="6" s="1"/>
  <c r="H1874" i="6"/>
  <c r="G1874" i="6"/>
  <c r="F1874" i="6"/>
  <c r="D1874" i="6"/>
  <c r="C1874" i="6"/>
  <c r="E1874" i="6" s="1"/>
  <c r="B1874" i="6"/>
  <c r="Q1873" i="6"/>
  <c r="P1873" i="6"/>
  <c r="N1873" i="6"/>
  <c r="M1873" i="6"/>
  <c r="L1873" i="6"/>
  <c r="K1873" i="6"/>
  <c r="J1873" i="6"/>
  <c r="I1873" i="6"/>
  <c r="H1873" i="6"/>
  <c r="G1873" i="6"/>
  <c r="F1873" i="6"/>
  <c r="D1873" i="6"/>
  <c r="U1873" i="6" s="1"/>
  <c r="C1873" i="6"/>
  <c r="B1873" i="6"/>
  <c r="Q1872" i="6"/>
  <c r="P1872" i="6"/>
  <c r="N1872" i="6"/>
  <c r="M1872" i="6"/>
  <c r="L1872" i="6"/>
  <c r="K1872" i="6"/>
  <c r="J1872" i="6"/>
  <c r="I1872" i="6"/>
  <c r="H1872" i="6"/>
  <c r="G1872" i="6"/>
  <c r="F1872" i="6"/>
  <c r="D1872" i="6"/>
  <c r="U1872" i="6" s="1"/>
  <c r="C1872" i="6"/>
  <c r="B1872" i="6"/>
  <c r="Q1871" i="6"/>
  <c r="P1871" i="6"/>
  <c r="N1871" i="6"/>
  <c r="M1871" i="6"/>
  <c r="L1871" i="6"/>
  <c r="K1871" i="6"/>
  <c r="J1871" i="6"/>
  <c r="I1871" i="6"/>
  <c r="H1871" i="6"/>
  <c r="G1871" i="6"/>
  <c r="F1871" i="6"/>
  <c r="D1871" i="6"/>
  <c r="U1871" i="6" s="1"/>
  <c r="C1871" i="6"/>
  <c r="B1871" i="6"/>
  <c r="U1870" i="6"/>
  <c r="Q1870" i="6"/>
  <c r="N1870" i="6"/>
  <c r="M1870" i="6"/>
  <c r="L1870" i="6"/>
  <c r="K1870" i="6"/>
  <c r="J1870" i="6"/>
  <c r="I1870" i="6"/>
  <c r="P1870" i="6" s="1"/>
  <c r="H1870" i="6"/>
  <c r="G1870" i="6"/>
  <c r="F1870" i="6"/>
  <c r="D1870" i="6"/>
  <c r="C1870" i="6"/>
  <c r="E1870" i="6" s="1"/>
  <c r="B1870" i="6"/>
  <c r="U1869" i="6"/>
  <c r="Q1869" i="6"/>
  <c r="N1869" i="6"/>
  <c r="M1869" i="6"/>
  <c r="L1869" i="6"/>
  <c r="K1869" i="6"/>
  <c r="J1869" i="6"/>
  <c r="I1869" i="6"/>
  <c r="P1869" i="6" s="1"/>
  <c r="H1869" i="6"/>
  <c r="G1869" i="6"/>
  <c r="F1869" i="6"/>
  <c r="D1869" i="6"/>
  <c r="C1869" i="6"/>
  <c r="B1869" i="6"/>
  <c r="Q1868" i="6"/>
  <c r="P1868" i="6"/>
  <c r="N1868" i="6"/>
  <c r="M1868" i="6"/>
  <c r="L1868" i="6"/>
  <c r="K1868" i="6"/>
  <c r="J1868" i="6"/>
  <c r="I1868" i="6"/>
  <c r="H1868" i="6"/>
  <c r="G1868" i="6"/>
  <c r="F1868" i="6"/>
  <c r="D1868" i="6"/>
  <c r="U1868" i="6" s="1"/>
  <c r="C1868" i="6"/>
  <c r="E1868" i="6" s="1"/>
  <c r="B1868" i="6"/>
  <c r="Q1867" i="6"/>
  <c r="P1867" i="6"/>
  <c r="N1867" i="6"/>
  <c r="M1867" i="6"/>
  <c r="L1867" i="6"/>
  <c r="K1867" i="6"/>
  <c r="J1867" i="6"/>
  <c r="I1867" i="6"/>
  <c r="H1867" i="6"/>
  <c r="G1867" i="6"/>
  <c r="F1867" i="6"/>
  <c r="D1867" i="6"/>
  <c r="U1867" i="6" s="1"/>
  <c r="C1867" i="6"/>
  <c r="B1867" i="6"/>
  <c r="Q1866" i="6"/>
  <c r="N1866" i="6"/>
  <c r="M1866" i="6"/>
  <c r="L1866" i="6"/>
  <c r="K1866" i="6"/>
  <c r="J1866" i="6"/>
  <c r="I1866" i="6"/>
  <c r="P1866" i="6" s="1"/>
  <c r="H1866" i="6"/>
  <c r="G1866" i="6"/>
  <c r="F1866" i="6"/>
  <c r="D1866" i="6"/>
  <c r="U1866" i="6" s="1"/>
  <c r="C1866" i="6"/>
  <c r="E1866" i="6" s="1"/>
  <c r="B1866" i="6"/>
  <c r="Q1865" i="6"/>
  <c r="N1865" i="6"/>
  <c r="M1865" i="6"/>
  <c r="L1865" i="6"/>
  <c r="K1865" i="6"/>
  <c r="J1865" i="6"/>
  <c r="I1865" i="6"/>
  <c r="P1865" i="6" s="1"/>
  <c r="H1865" i="6"/>
  <c r="G1865" i="6"/>
  <c r="F1865" i="6"/>
  <c r="D1865" i="6"/>
  <c r="U1865" i="6" s="1"/>
  <c r="C1865" i="6"/>
  <c r="B1865" i="6"/>
  <c r="Q1864" i="6"/>
  <c r="P1864" i="6"/>
  <c r="N1864" i="6"/>
  <c r="M1864" i="6"/>
  <c r="L1864" i="6"/>
  <c r="K1864" i="6"/>
  <c r="J1864" i="6"/>
  <c r="I1864" i="6"/>
  <c r="H1864" i="6"/>
  <c r="G1864" i="6"/>
  <c r="F1864" i="6"/>
  <c r="D1864" i="6"/>
  <c r="U1864" i="6" s="1"/>
  <c r="C1864" i="6"/>
  <c r="E1864" i="6" s="1"/>
  <c r="B1864" i="6"/>
  <c r="Q1863" i="6"/>
  <c r="P1863" i="6"/>
  <c r="N1863" i="6"/>
  <c r="M1863" i="6"/>
  <c r="L1863" i="6"/>
  <c r="K1863" i="6"/>
  <c r="J1863" i="6"/>
  <c r="I1863" i="6"/>
  <c r="H1863" i="6"/>
  <c r="G1863" i="6"/>
  <c r="F1863" i="6"/>
  <c r="D1863" i="6"/>
  <c r="U1863" i="6" s="1"/>
  <c r="C1863" i="6"/>
  <c r="B1863" i="6"/>
  <c r="Q1862" i="6"/>
  <c r="N1862" i="6"/>
  <c r="M1862" i="6"/>
  <c r="L1862" i="6"/>
  <c r="K1862" i="6"/>
  <c r="J1862" i="6"/>
  <c r="I1862" i="6"/>
  <c r="P1862" i="6" s="1"/>
  <c r="H1862" i="6"/>
  <c r="G1862" i="6"/>
  <c r="F1862" i="6"/>
  <c r="D1862" i="6"/>
  <c r="U1862" i="6" s="1"/>
  <c r="C1862" i="6"/>
  <c r="E1862" i="6" s="1"/>
  <c r="B1862" i="6"/>
  <c r="Q1861" i="6"/>
  <c r="N1861" i="6"/>
  <c r="M1861" i="6"/>
  <c r="L1861" i="6"/>
  <c r="K1861" i="6"/>
  <c r="J1861" i="6"/>
  <c r="I1861" i="6"/>
  <c r="P1861" i="6" s="1"/>
  <c r="H1861" i="6"/>
  <c r="G1861" i="6"/>
  <c r="F1861" i="6"/>
  <c r="D1861" i="6"/>
  <c r="U1861" i="6" s="1"/>
  <c r="C1861" i="6"/>
  <c r="B1861" i="6"/>
  <c r="Q1860" i="6"/>
  <c r="P1860" i="6"/>
  <c r="N1860" i="6"/>
  <c r="M1860" i="6"/>
  <c r="L1860" i="6"/>
  <c r="K1860" i="6"/>
  <c r="J1860" i="6"/>
  <c r="I1860" i="6"/>
  <c r="H1860" i="6"/>
  <c r="G1860" i="6"/>
  <c r="F1860" i="6"/>
  <c r="D1860" i="6"/>
  <c r="U1860" i="6" s="1"/>
  <c r="C1860" i="6"/>
  <c r="E1860" i="6" s="1"/>
  <c r="B1860" i="6"/>
  <c r="Q1859" i="6"/>
  <c r="P1859" i="6"/>
  <c r="N1859" i="6"/>
  <c r="M1859" i="6"/>
  <c r="L1859" i="6"/>
  <c r="K1859" i="6"/>
  <c r="J1859" i="6"/>
  <c r="I1859" i="6"/>
  <c r="H1859" i="6"/>
  <c r="G1859" i="6"/>
  <c r="F1859" i="6"/>
  <c r="D1859" i="6"/>
  <c r="U1859" i="6" s="1"/>
  <c r="C1859" i="6"/>
  <c r="B1859" i="6"/>
  <c r="Q1858" i="6"/>
  <c r="N1858" i="6"/>
  <c r="M1858" i="6"/>
  <c r="L1858" i="6"/>
  <c r="K1858" i="6"/>
  <c r="J1858" i="6"/>
  <c r="I1858" i="6"/>
  <c r="P1858" i="6" s="1"/>
  <c r="H1858" i="6"/>
  <c r="G1858" i="6"/>
  <c r="F1858" i="6"/>
  <c r="D1858" i="6"/>
  <c r="U1858" i="6" s="1"/>
  <c r="C1858" i="6"/>
  <c r="E1858" i="6" s="1"/>
  <c r="B1858" i="6"/>
  <c r="U1857" i="6"/>
  <c r="Q1857" i="6"/>
  <c r="N1857" i="6"/>
  <c r="M1857" i="6"/>
  <c r="L1857" i="6"/>
  <c r="K1857" i="6"/>
  <c r="J1857" i="6"/>
  <c r="I1857" i="6"/>
  <c r="P1857" i="6" s="1"/>
  <c r="H1857" i="6"/>
  <c r="G1857" i="6"/>
  <c r="F1857" i="6"/>
  <c r="D1857" i="6"/>
  <c r="C1857" i="6"/>
  <c r="B1857" i="6"/>
  <c r="Q1856" i="6"/>
  <c r="P1856" i="6"/>
  <c r="N1856" i="6"/>
  <c r="M1856" i="6"/>
  <c r="L1856" i="6"/>
  <c r="K1856" i="6"/>
  <c r="J1856" i="6"/>
  <c r="I1856" i="6"/>
  <c r="H1856" i="6"/>
  <c r="G1856" i="6"/>
  <c r="F1856" i="6"/>
  <c r="D1856" i="6"/>
  <c r="U1856" i="6" s="1"/>
  <c r="C1856" i="6"/>
  <c r="E1856" i="6" s="1"/>
  <c r="B1856" i="6"/>
  <c r="Q1855" i="6"/>
  <c r="P1855" i="6"/>
  <c r="N1855" i="6"/>
  <c r="M1855" i="6"/>
  <c r="L1855" i="6"/>
  <c r="K1855" i="6"/>
  <c r="J1855" i="6"/>
  <c r="I1855" i="6"/>
  <c r="H1855" i="6"/>
  <c r="G1855" i="6"/>
  <c r="F1855" i="6"/>
  <c r="D1855" i="6"/>
  <c r="U1855" i="6" s="1"/>
  <c r="C1855" i="6"/>
  <c r="B1855" i="6"/>
  <c r="Q1854" i="6"/>
  <c r="N1854" i="6"/>
  <c r="M1854" i="6"/>
  <c r="L1854" i="6"/>
  <c r="K1854" i="6"/>
  <c r="J1854" i="6"/>
  <c r="I1854" i="6"/>
  <c r="P1854" i="6" s="1"/>
  <c r="H1854" i="6"/>
  <c r="G1854" i="6"/>
  <c r="F1854" i="6"/>
  <c r="D1854" i="6"/>
  <c r="U1854" i="6" s="1"/>
  <c r="C1854" i="6"/>
  <c r="E1854" i="6" s="1"/>
  <c r="B1854" i="6"/>
  <c r="U1853" i="6"/>
  <c r="Q1853" i="6"/>
  <c r="N1853" i="6"/>
  <c r="M1853" i="6"/>
  <c r="L1853" i="6"/>
  <c r="K1853" i="6"/>
  <c r="J1853" i="6"/>
  <c r="I1853" i="6"/>
  <c r="P1853" i="6" s="1"/>
  <c r="H1853" i="6"/>
  <c r="G1853" i="6"/>
  <c r="F1853" i="6"/>
  <c r="D1853" i="6"/>
  <c r="C1853" i="6"/>
  <c r="B1853" i="6"/>
  <c r="Q1852" i="6"/>
  <c r="P1852" i="6"/>
  <c r="N1852" i="6"/>
  <c r="M1852" i="6"/>
  <c r="L1852" i="6"/>
  <c r="K1852" i="6"/>
  <c r="J1852" i="6"/>
  <c r="I1852" i="6"/>
  <c r="H1852" i="6"/>
  <c r="G1852" i="6"/>
  <c r="F1852" i="6"/>
  <c r="D1852" i="6"/>
  <c r="U1852" i="6" s="1"/>
  <c r="C1852" i="6"/>
  <c r="E1852" i="6" s="1"/>
  <c r="B1852" i="6"/>
  <c r="Q1851" i="6"/>
  <c r="P1851" i="6"/>
  <c r="N1851" i="6"/>
  <c r="M1851" i="6"/>
  <c r="L1851" i="6"/>
  <c r="K1851" i="6"/>
  <c r="J1851" i="6"/>
  <c r="I1851" i="6"/>
  <c r="H1851" i="6"/>
  <c r="G1851" i="6"/>
  <c r="F1851" i="6"/>
  <c r="D1851" i="6"/>
  <c r="U1851" i="6" s="1"/>
  <c r="C1851" i="6"/>
  <c r="B1851" i="6"/>
  <c r="Q1850" i="6"/>
  <c r="N1850" i="6"/>
  <c r="M1850" i="6"/>
  <c r="L1850" i="6"/>
  <c r="K1850" i="6"/>
  <c r="J1850" i="6"/>
  <c r="I1850" i="6"/>
  <c r="P1850" i="6" s="1"/>
  <c r="H1850" i="6"/>
  <c r="G1850" i="6"/>
  <c r="F1850" i="6"/>
  <c r="D1850" i="6"/>
  <c r="U1850" i="6" s="1"/>
  <c r="C1850" i="6"/>
  <c r="E1850" i="6" s="1"/>
  <c r="B1850" i="6"/>
  <c r="Q1849" i="6"/>
  <c r="N1849" i="6"/>
  <c r="M1849" i="6"/>
  <c r="L1849" i="6"/>
  <c r="K1849" i="6"/>
  <c r="J1849" i="6"/>
  <c r="I1849" i="6"/>
  <c r="P1849" i="6" s="1"/>
  <c r="H1849" i="6"/>
  <c r="G1849" i="6"/>
  <c r="F1849" i="6"/>
  <c r="D1849" i="6"/>
  <c r="U1849" i="6" s="1"/>
  <c r="C1849" i="6"/>
  <c r="B1849" i="6"/>
  <c r="Q1848" i="6"/>
  <c r="P1848" i="6"/>
  <c r="N1848" i="6"/>
  <c r="M1848" i="6"/>
  <c r="L1848" i="6"/>
  <c r="K1848" i="6"/>
  <c r="J1848" i="6"/>
  <c r="I1848" i="6"/>
  <c r="H1848" i="6"/>
  <c r="G1848" i="6"/>
  <c r="F1848" i="6"/>
  <c r="D1848" i="6"/>
  <c r="U1848" i="6" s="1"/>
  <c r="C1848" i="6"/>
  <c r="E1848" i="6" s="1"/>
  <c r="B1848" i="6"/>
  <c r="Q1847" i="6"/>
  <c r="P1847" i="6"/>
  <c r="N1847" i="6"/>
  <c r="M1847" i="6"/>
  <c r="L1847" i="6"/>
  <c r="K1847" i="6"/>
  <c r="J1847" i="6"/>
  <c r="I1847" i="6"/>
  <c r="H1847" i="6"/>
  <c r="G1847" i="6"/>
  <c r="F1847" i="6"/>
  <c r="D1847" i="6"/>
  <c r="U1847" i="6" s="1"/>
  <c r="C1847" i="6"/>
  <c r="B1847" i="6"/>
  <c r="Q1846" i="6"/>
  <c r="N1846" i="6"/>
  <c r="M1846" i="6"/>
  <c r="L1846" i="6"/>
  <c r="K1846" i="6"/>
  <c r="J1846" i="6"/>
  <c r="I1846" i="6"/>
  <c r="P1846" i="6" s="1"/>
  <c r="H1846" i="6"/>
  <c r="G1846" i="6"/>
  <c r="F1846" i="6"/>
  <c r="D1846" i="6"/>
  <c r="U1846" i="6" s="1"/>
  <c r="C1846" i="6"/>
  <c r="E1846" i="6" s="1"/>
  <c r="B1846" i="6"/>
  <c r="Q1845" i="6"/>
  <c r="N1845" i="6"/>
  <c r="M1845" i="6"/>
  <c r="L1845" i="6"/>
  <c r="K1845" i="6"/>
  <c r="J1845" i="6"/>
  <c r="I1845" i="6"/>
  <c r="P1845" i="6" s="1"/>
  <c r="H1845" i="6"/>
  <c r="G1845" i="6"/>
  <c r="F1845" i="6"/>
  <c r="D1845" i="6"/>
  <c r="U1845" i="6" s="1"/>
  <c r="C1845" i="6"/>
  <c r="B1845" i="6"/>
  <c r="Q1844" i="6"/>
  <c r="P1844" i="6"/>
  <c r="N1844" i="6"/>
  <c r="M1844" i="6"/>
  <c r="L1844" i="6"/>
  <c r="K1844" i="6"/>
  <c r="J1844" i="6"/>
  <c r="I1844" i="6"/>
  <c r="H1844" i="6"/>
  <c r="G1844" i="6"/>
  <c r="F1844" i="6"/>
  <c r="D1844" i="6"/>
  <c r="U1844" i="6" s="1"/>
  <c r="C1844" i="6"/>
  <c r="E1844" i="6" s="1"/>
  <c r="B1844" i="6"/>
  <c r="Q1843" i="6"/>
  <c r="P1843" i="6"/>
  <c r="N1843" i="6"/>
  <c r="M1843" i="6"/>
  <c r="L1843" i="6"/>
  <c r="K1843" i="6"/>
  <c r="J1843" i="6"/>
  <c r="I1843" i="6"/>
  <c r="H1843" i="6"/>
  <c r="G1843" i="6"/>
  <c r="F1843" i="6"/>
  <c r="D1843" i="6"/>
  <c r="U1843" i="6" s="1"/>
  <c r="C1843" i="6"/>
  <c r="B1843" i="6"/>
  <c r="Q1842" i="6"/>
  <c r="N1842" i="6"/>
  <c r="M1842" i="6"/>
  <c r="L1842" i="6"/>
  <c r="K1842" i="6"/>
  <c r="J1842" i="6"/>
  <c r="I1842" i="6"/>
  <c r="P1842" i="6" s="1"/>
  <c r="H1842" i="6"/>
  <c r="G1842" i="6"/>
  <c r="F1842" i="6"/>
  <c r="D1842" i="6"/>
  <c r="U1842" i="6" s="1"/>
  <c r="C1842" i="6"/>
  <c r="E1842" i="6" s="1"/>
  <c r="B1842" i="6"/>
  <c r="U1841" i="6"/>
  <c r="Q1841" i="6"/>
  <c r="N1841" i="6"/>
  <c r="M1841" i="6"/>
  <c r="L1841" i="6"/>
  <c r="K1841" i="6"/>
  <c r="J1841" i="6"/>
  <c r="I1841" i="6"/>
  <c r="P1841" i="6" s="1"/>
  <c r="H1841" i="6"/>
  <c r="G1841" i="6"/>
  <c r="F1841" i="6"/>
  <c r="D1841" i="6"/>
  <c r="C1841" i="6"/>
  <c r="B1841" i="6"/>
  <c r="Q1840" i="6"/>
  <c r="P1840" i="6"/>
  <c r="N1840" i="6"/>
  <c r="M1840" i="6"/>
  <c r="L1840" i="6"/>
  <c r="K1840" i="6"/>
  <c r="J1840" i="6"/>
  <c r="I1840" i="6"/>
  <c r="H1840" i="6"/>
  <c r="G1840" i="6"/>
  <c r="F1840" i="6"/>
  <c r="D1840" i="6"/>
  <c r="U1840" i="6" s="1"/>
  <c r="C1840" i="6"/>
  <c r="E1840" i="6" s="1"/>
  <c r="B1840" i="6"/>
  <c r="Q1839" i="6"/>
  <c r="P1839" i="6"/>
  <c r="N1839" i="6"/>
  <c r="M1839" i="6"/>
  <c r="L1839" i="6"/>
  <c r="K1839" i="6"/>
  <c r="J1839" i="6"/>
  <c r="I1839" i="6"/>
  <c r="H1839" i="6"/>
  <c r="G1839" i="6"/>
  <c r="F1839" i="6"/>
  <c r="D1839" i="6"/>
  <c r="U1839" i="6" s="1"/>
  <c r="C1839" i="6"/>
  <c r="B1839" i="6"/>
  <c r="Q1838" i="6"/>
  <c r="N1838" i="6"/>
  <c r="M1838" i="6"/>
  <c r="L1838" i="6"/>
  <c r="K1838" i="6"/>
  <c r="J1838" i="6"/>
  <c r="I1838" i="6"/>
  <c r="P1838" i="6" s="1"/>
  <c r="H1838" i="6"/>
  <c r="G1838" i="6"/>
  <c r="F1838" i="6"/>
  <c r="D1838" i="6"/>
  <c r="U1838" i="6" s="1"/>
  <c r="C1838" i="6"/>
  <c r="E1838" i="6" s="1"/>
  <c r="B1838" i="6"/>
  <c r="U1837" i="6"/>
  <c r="Q1837" i="6"/>
  <c r="N1837" i="6"/>
  <c r="M1837" i="6"/>
  <c r="L1837" i="6"/>
  <c r="K1837" i="6"/>
  <c r="J1837" i="6"/>
  <c r="I1837" i="6"/>
  <c r="P1837" i="6" s="1"/>
  <c r="H1837" i="6"/>
  <c r="G1837" i="6"/>
  <c r="F1837" i="6"/>
  <c r="D1837" i="6"/>
  <c r="C1837" i="6"/>
  <c r="B1837" i="6"/>
  <c r="Q1836" i="6"/>
  <c r="P1836" i="6"/>
  <c r="N1836" i="6"/>
  <c r="M1836" i="6"/>
  <c r="L1836" i="6"/>
  <c r="K1836" i="6"/>
  <c r="J1836" i="6"/>
  <c r="I1836" i="6"/>
  <c r="H1836" i="6"/>
  <c r="G1836" i="6"/>
  <c r="F1836" i="6"/>
  <c r="D1836" i="6"/>
  <c r="U1836" i="6" s="1"/>
  <c r="C1836" i="6"/>
  <c r="E1836" i="6" s="1"/>
  <c r="B1836" i="6"/>
  <c r="Q1835" i="6"/>
  <c r="P1835" i="6"/>
  <c r="N1835" i="6"/>
  <c r="M1835" i="6"/>
  <c r="L1835" i="6"/>
  <c r="K1835" i="6"/>
  <c r="J1835" i="6"/>
  <c r="I1835" i="6"/>
  <c r="H1835" i="6"/>
  <c r="G1835" i="6"/>
  <c r="F1835" i="6"/>
  <c r="D1835" i="6"/>
  <c r="U1835" i="6" s="1"/>
  <c r="C1835" i="6"/>
  <c r="B1835" i="6"/>
  <c r="Q1834" i="6"/>
  <c r="N1834" i="6"/>
  <c r="M1834" i="6"/>
  <c r="L1834" i="6"/>
  <c r="K1834" i="6"/>
  <c r="J1834" i="6"/>
  <c r="I1834" i="6"/>
  <c r="P1834" i="6" s="1"/>
  <c r="H1834" i="6"/>
  <c r="G1834" i="6"/>
  <c r="F1834" i="6"/>
  <c r="D1834" i="6"/>
  <c r="U1834" i="6" s="1"/>
  <c r="C1834" i="6"/>
  <c r="E1834" i="6" s="1"/>
  <c r="B1834" i="6"/>
  <c r="Q1833" i="6"/>
  <c r="N1833" i="6"/>
  <c r="M1833" i="6"/>
  <c r="L1833" i="6"/>
  <c r="K1833" i="6"/>
  <c r="J1833" i="6"/>
  <c r="I1833" i="6"/>
  <c r="P1833" i="6" s="1"/>
  <c r="H1833" i="6"/>
  <c r="G1833" i="6"/>
  <c r="F1833" i="6"/>
  <c r="D1833" i="6"/>
  <c r="U1833" i="6" s="1"/>
  <c r="C1833" i="6"/>
  <c r="B1833" i="6"/>
  <c r="Q1832" i="6"/>
  <c r="P1832" i="6"/>
  <c r="N1832" i="6"/>
  <c r="M1832" i="6"/>
  <c r="L1832" i="6"/>
  <c r="K1832" i="6"/>
  <c r="J1832" i="6"/>
  <c r="I1832" i="6"/>
  <c r="H1832" i="6"/>
  <c r="G1832" i="6"/>
  <c r="F1832" i="6"/>
  <c r="D1832" i="6"/>
  <c r="U1832" i="6" s="1"/>
  <c r="C1832" i="6"/>
  <c r="E1832" i="6" s="1"/>
  <c r="B1832" i="6"/>
  <c r="Q1831" i="6"/>
  <c r="P1831" i="6"/>
  <c r="N1831" i="6"/>
  <c r="M1831" i="6"/>
  <c r="L1831" i="6"/>
  <c r="K1831" i="6"/>
  <c r="J1831" i="6"/>
  <c r="I1831" i="6"/>
  <c r="H1831" i="6"/>
  <c r="G1831" i="6"/>
  <c r="F1831" i="6"/>
  <c r="D1831" i="6"/>
  <c r="U1831" i="6" s="1"/>
  <c r="C1831" i="6"/>
  <c r="B1831" i="6"/>
  <c r="Q1830" i="6"/>
  <c r="N1830" i="6"/>
  <c r="M1830" i="6"/>
  <c r="L1830" i="6"/>
  <c r="K1830" i="6"/>
  <c r="J1830" i="6"/>
  <c r="I1830" i="6"/>
  <c r="P1830" i="6" s="1"/>
  <c r="H1830" i="6"/>
  <c r="G1830" i="6"/>
  <c r="F1830" i="6"/>
  <c r="D1830" i="6"/>
  <c r="U1830" i="6" s="1"/>
  <c r="C1830" i="6"/>
  <c r="E1830" i="6" s="1"/>
  <c r="B1830" i="6"/>
  <c r="Q1829" i="6"/>
  <c r="N1829" i="6"/>
  <c r="M1829" i="6"/>
  <c r="L1829" i="6"/>
  <c r="K1829" i="6"/>
  <c r="J1829" i="6"/>
  <c r="I1829" i="6"/>
  <c r="P1829" i="6" s="1"/>
  <c r="H1829" i="6"/>
  <c r="G1829" i="6"/>
  <c r="F1829" i="6"/>
  <c r="D1829" i="6"/>
  <c r="U1829" i="6" s="1"/>
  <c r="C1829" i="6"/>
  <c r="B1829" i="6"/>
  <c r="Q1828" i="6"/>
  <c r="P1828" i="6"/>
  <c r="N1828" i="6"/>
  <c r="M1828" i="6"/>
  <c r="L1828" i="6"/>
  <c r="K1828" i="6"/>
  <c r="J1828" i="6"/>
  <c r="I1828" i="6"/>
  <c r="H1828" i="6"/>
  <c r="G1828" i="6"/>
  <c r="F1828" i="6"/>
  <c r="D1828" i="6"/>
  <c r="U1828" i="6" s="1"/>
  <c r="C1828" i="6"/>
  <c r="E1828" i="6" s="1"/>
  <c r="B1828" i="6"/>
  <c r="Q1827" i="6"/>
  <c r="P1827" i="6"/>
  <c r="N1827" i="6"/>
  <c r="M1827" i="6"/>
  <c r="L1827" i="6"/>
  <c r="K1827" i="6"/>
  <c r="J1827" i="6"/>
  <c r="I1827" i="6"/>
  <c r="H1827" i="6"/>
  <c r="G1827" i="6"/>
  <c r="F1827" i="6"/>
  <c r="D1827" i="6"/>
  <c r="U1827" i="6" s="1"/>
  <c r="C1827" i="6"/>
  <c r="B1827" i="6"/>
  <c r="Q1826" i="6"/>
  <c r="N1826" i="6"/>
  <c r="M1826" i="6"/>
  <c r="L1826" i="6"/>
  <c r="K1826" i="6"/>
  <c r="J1826" i="6"/>
  <c r="I1826" i="6"/>
  <c r="P1826" i="6" s="1"/>
  <c r="H1826" i="6"/>
  <c r="G1826" i="6"/>
  <c r="F1826" i="6"/>
  <c r="D1826" i="6"/>
  <c r="U1826" i="6" s="1"/>
  <c r="C1826" i="6"/>
  <c r="B1826" i="6"/>
  <c r="U1825" i="6"/>
  <c r="Q1825" i="6"/>
  <c r="N1825" i="6"/>
  <c r="M1825" i="6"/>
  <c r="L1825" i="6"/>
  <c r="K1825" i="6"/>
  <c r="J1825" i="6"/>
  <c r="I1825" i="6"/>
  <c r="P1825" i="6" s="1"/>
  <c r="H1825" i="6"/>
  <c r="G1825" i="6"/>
  <c r="F1825" i="6"/>
  <c r="D1825" i="6"/>
  <c r="C1825" i="6"/>
  <c r="B1825" i="6"/>
  <c r="E1825" i="6" s="1"/>
  <c r="Q1824" i="6"/>
  <c r="P1824" i="6"/>
  <c r="N1824" i="6"/>
  <c r="M1824" i="6"/>
  <c r="L1824" i="6"/>
  <c r="K1824" i="6"/>
  <c r="J1824" i="6"/>
  <c r="I1824" i="6"/>
  <c r="H1824" i="6"/>
  <c r="G1824" i="6"/>
  <c r="F1824" i="6"/>
  <c r="D1824" i="6"/>
  <c r="U1824" i="6" s="1"/>
  <c r="C1824" i="6"/>
  <c r="B1824" i="6"/>
  <c r="Q1823" i="6"/>
  <c r="P1823" i="6"/>
  <c r="N1823" i="6"/>
  <c r="M1823" i="6"/>
  <c r="L1823" i="6"/>
  <c r="K1823" i="6"/>
  <c r="J1823" i="6"/>
  <c r="I1823" i="6"/>
  <c r="H1823" i="6"/>
  <c r="G1823" i="6"/>
  <c r="F1823" i="6"/>
  <c r="D1823" i="6"/>
  <c r="U1823" i="6" s="1"/>
  <c r="C1823" i="6"/>
  <c r="B1823" i="6"/>
  <c r="E1823" i="6" s="1"/>
  <c r="Q1822" i="6"/>
  <c r="N1822" i="6"/>
  <c r="M1822" i="6"/>
  <c r="L1822" i="6"/>
  <c r="K1822" i="6"/>
  <c r="J1822" i="6"/>
  <c r="I1822" i="6"/>
  <c r="P1822" i="6" s="1"/>
  <c r="H1822" i="6"/>
  <c r="G1822" i="6"/>
  <c r="F1822" i="6"/>
  <c r="D1822" i="6"/>
  <c r="U1822" i="6" s="1"/>
  <c r="C1822" i="6"/>
  <c r="B1822" i="6"/>
  <c r="U1821" i="6"/>
  <c r="Q1821" i="6"/>
  <c r="N1821" i="6"/>
  <c r="M1821" i="6"/>
  <c r="L1821" i="6"/>
  <c r="K1821" i="6"/>
  <c r="J1821" i="6"/>
  <c r="I1821" i="6"/>
  <c r="P1821" i="6" s="1"/>
  <c r="H1821" i="6"/>
  <c r="G1821" i="6"/>
  <c r="F1821" i="6"/>
  <c r="D1821" i="6"/>
  <c r="C1821" i="6"/>
  <c r="B1821" i="6"/>
  <c r="E1821" i="6" s="1"/>
  <c r="Q1820" i="6"/>
  <c r="P1820" i="6"/>
  <c r="N1820" i="6"/>
  <c r="M1820" i="6"/>
  <c r="L1820" i="6"/>
  <c r="K1820" i="6"/>
  <c r="J1820" i="6"/>
  <c r="I1820" i="6"/>
  <c r="H1820" i="6"/>
  <c r="G1820" i="6"/>
  <c r="F1820" i="6"/>
  <c r="D1820" i="6"/>
  <c r="U1820" i="6" s="1"/>
  <c r="C1820" i="6"/>
  <c r="B1820" i="6"/>
  <c r="Q1819" i="6"/>
  <c r="P1819" i="6"/>
  <c r="N1819" i="6"/>
  <c r="M1819" i="6"/>
  <c r="L1819" i="6"/>
  <c r="K1819" i="6"/>
  <c r="J1819" i="6"/>
  <c r="I1819" i="6"/>
  <c r="H1819" i="6"/>
  <c r="G1819" i="6"/>
  <c r="F1819" i="6"/>
  <c r="D1819" i="6"/>
  <c r="U1819" i="6" s="1"/>
  <c r="C1819" i="6"/>
  <c r="B1819" i="6"/>
  <c r="E1819" i="6" s="1"/>
  <c r="Q1818" i="6"/>
  <c r="N1818" i="6"/>
  <c r="M1818" i="6"/>
  <c r="L1818" i="6"/>
  <c r="K1818" i="6"/>
  <c r="J1818" i="6"/>
  <c r="I1818" i="6"/>
  <c r="P1818" i="6" s="1"/>
  <c r="H1818" i="6"/>
  <c r="G1818" i="6"/>
  <c r="F1818" i="6"/>
  <c r="D1818" i="6"/>
  <c r="U1818" i="6" s="1"/>
  <c r="C1818" i="6"/>
  <c r="B1818" i="6"/>
  <c r="Q1817" i="6"/>
  <c r="N1817" i="6"/>
  <c r="M1817" i="6"/>
  <c r="L1817" i="6"/>
  <c r="K1817" i="6"/>
  <c r="J1817" i="6"/>
  <c r="I1817" i="6"/>
  <c r="P1817" i="6" s="1"/>
  <c r="H1817" i="6"/>
  <c r="G1817" i="6"/>
  <c r="F1817" i="6"/>
  <c r="D1817" i="6"/>
  <c r="U1817" i="6" s="1"/>
  <c r="C1817" i="6"/>
  <c r="B1817" i="6"/>
  <c r="E1817" i="6" s="1"/>
  <c r="Q1816" i="6"/>
  <c r="P1816" i="6"/>
  <c r="N1816" i="6"/>
  <c r="M1816" i="6"/>
  <c r="L1816" i="6"/>
  <c r="K1816" i="6"/>
  <c r="J1816" i="6"/>
  <c r="I1816" i="6"/>
  <c r="H1816" i="6"/>
  <c r="G1816" i="6"/>
  <c r="F1816" i="6"/>
  <c r="D1816" i="6"/>
  <c r="U1816" i="6" s="1"/>
  <c r="C1816" i="6"/>
  <c r="B1816" i="6"/>
  <c r="Q1815" i="6"/>
  <c r="P1815" i="6"/>
  <c r="N1815" i="6"/>
  <c r="M1815" i="6"/>
  <c r="L1815" i="6"/>
  <c r="K1815" i="6"/>
  <c r="J1815" i="6"/>
  <c r="I1815" i="6"/>
  <c r="H1815" i="6"/>
  <c r="G1815" i="6"/>
  <c r="F1815" i="6"/>
  <c r="D1815" i="6"/>
  <c r="U1815" i="6" s="1"/>
  <c r="C1815" i="6"/>
  <c r="B1815" i="6"/>
  <c r="E1815" i="6" s="1"/>
  <c r="Q1814" i="6"/>
  <c r="N1814" i="6"/>
  <c r="M1814" i="6"/>
  <c r="L1814" i="6"/>
  <c r="K1814" i="6"/>
  <c r="J1814" i="6"/>
  <c r="I1814" i="6"/>
  <c r="P1814" i="6" s="1"/>
  <c r="H1814" i="6"/>
  <c r="G1814" i="6"/>
  <c r="F1814" i="6"/>
  <c r="D1814" i="6"/>
  <c r="U1814" i="6" s="1"/>
  <c r="C1814" i="6"/>
  <c r="B1814" i="6"/>
  <c r="Q1813" i="6"/>
  <c r="N1813" i="6"/>
  <c r="M1813" i="6"/>
  <c r="L1813" i="6"/>
  <c r="K1813" i="6"/>
  <c r="J1813" i="6"/>
  <c r="I1813" i="6"/>
  <c r="P1813" i="6" s="1"/>
  <c r="H1813" i="6"/>
  <c r="G1813" i="6"/>
  <c r="F1813" i="6"/>
  <c r="D1813" i="6"/>
  <c r="U1813" i="6" s="1"/>
  <c r="C1813" i="6"/>
  <c r="B1813" i="6"/>
  <c r="E1813" i="6" s="1"/>
  <c r="Q1812" i="6"/>
  <c r="P1812" i="6"/>
  <c r="N1812" i="6"/>
  <c r="M1812" i="6"/>
  <c r="L1812" i="6"/>
  <c r="K1812" i="6"/>
  <c r="J1812" i="6"/>
  <c r="I1812" i="6"/>
  <c r="H1812" i="6"/>
  <c r="G1812" i="6"/>
  <c r="F1812" i="6"/>
  <c r="D1812" i="6"/>
  <c r="U1812" i="6" s="1"/>
  <c r="C1812" i="6"/>
  <c r="B1812" i="6"/>
  <c r="Q1811" i="6"/>
  <c r="P1811" i="6"/>
  <c r="N1811" i="6"/>
  <c r="M1811" i="6"/>
  <c r="L1811" i="6"/>
  <c r="K1811" i="6"/>
  <c r="J1811" i="6"/>
  <c r="I1811" i="6"/>
  <c r="H1811" i="6"/>
  <c r="G1811" i="6"/>
  <c r="F1811" i="6"/>
  <c r="D1811" i="6"/>
  <c r="U1811" i="6" s="1"/>
  <c r="C1811" i="6"/>
  <c r="B1811" i="6"/>
  <c r="E1811" i="6" s="1"/>
  <c r="Q1810" i="6"/>
  <c r="N1810" i="6"/>
  <c r="M1810" i="6"/>
  <c r="L1810" i="6"/>
  <c r="K1810" i="6"/>
  <c r="J1810" i="6"/>
  <c r="I1810" i="6"/>
  <c r="P1810" i="6" s="1"/>
  <c r="H1810" i="6"/>
  <c r="G1810" i="6"/>
  <c r="F1810" i="6"/>
  <c r="D1810" i="6"/>
  <c r="U1810" i="6" s="1"/>
  <c r="C1810" i="6"/>
  <c r="B1810" i="6"/>
  <c r="U1809" i="6"/>
  <c r="Q1809" i="6"/>
  <c r="N1809" i="6"/>
  <c r="M1809" i="6"/>
  <c r="L1809" i="6"/>
  <c r="K1809" i="6"/>
  <c r="J1809" i="6"/>
  <c r="I1809" i="6"/>
  <c r="P1809" i="6" s="1"/>
  <c r="H1809" i="6"/>
  <c r="G1809" i="6"/>
  <c r="F1809" i="6"/>
  <c r="D1809" i="6"/>
  <c r="C1809" i="6"/>
  <c r="B1809" i="6"/>
  <c r="E1809" i="6" s="1"/>
  <c r="Q1808" i="6"/>
  <c r="P1808" i="6"/>
  <c r="N1808" i="6"/>
  <c r="M1808" i="6"/>
  <c r="L1808" i="6"/>
  <c r="K1808" i="6"/>
  <c r="J1808" i="6"/>
  <c r="I1808" i="6"/>
  <c r="H1808" i="6"/>
  <c r="G1808" i="6"/>
  <c r="F1808" i="6"/>
  <c r="D1808" i="6"/>
  <c r="U1808" i="6" s="1"/>
  <c r="C1808" i="6"/>
  <c r="B1808" i="6"/>
  <c r="Q1807" i="6"/>
  <c r="P1807" i="6"/>
  <c r="N1807" i="6"/>
  <c r="M1807" i="6"/>
  <c r="L1807" i="6"/>
  <c r="K1807" i="6"/>
  <c r="J1807" i="6"/>
  <c r="I1807" i="6"/>
  <c r="H1807" i="6"/>
  <c r="G1807" i="6"/>
  <c r="F1807" i="6"/>
  <c r="D1807" i="6"/>
  <c r="U1807" i="6" s="1"/>
  <c r="C1807" i="6"/>
  <c r="B1807" i="6"/>
  <c r="E1807" i="6" s="1"/>
  <c r="Q1806" i="6"/>
  <c r="N1806" i="6"/>
  <c r="M1806" i="6"/>
  <c r="L1806" i="6"/>
  <c r="K1806" i="6"/>
  <c r="J1806" i="6"/>
  <c r="I1806" i="6"/>
  <c r="P1806" i="6" s="1"/>
  <c r="H1806" i="6"/>
  <c r="G1806" i="6"/>
  <c r="F1806" i="6"/>
  <c r="D1806" i="6"/>
  <c r="U1806" i="6" s="1"/>
  <c r="C1806" i="6"/>
  <c r="B1806" i="6"/>
  <c r="U1805" i="6"/>
  <c r="Q1805" i="6"/>
  <c r="N1805" i="6"/>
  <c r="M1805" i="6"/>
  <c r="L1805" i="6"/>
  <c r="K1805" i="6"/>
  <c r="J1805" i="6"/>
  <c r="I1805" i="6"/>
  <c r="P1805" i="6" s="1"/>
  <c r="H1805" i="6"/>
  <c r="G1805" i="6"/>
  <c r="F1805" i="6"/>
  <c r="D1805" i="6"/>
  <c r="C1805" i="6"/>
  <c r="B1805" i="6"/>
  <c r="E1805" i="6" s="1"/>
  <c r="Q1804" i="6"/>
  <c r="P1804" i="6"/>
  <c r="N1804" i="6"/>
  <c r="M1804" i="6"/>
  <c r="L1804" i="6"/>
  <c r="K1804" i="6"/>
  <c r="J1804" i="6"/>
  <c r="I1804" i="6"/>
  <c r="H1804" i="6"/>
  <c r="G1804" i="6"/>
  <c r="F1804" i="6"/>
  <c r="D1804" i="6"/>
  <c r="U1804" i="6" s="1"/>
  <c r="C1804" i="6"/>
  <c r="B1804" i="6"/>
  <c r="Q1803" i="6"/>
  <c r="P1803" i="6"/>
  <c r="N1803" i="6"/>
  <c r="M1803" i="6"/>
  <c r="L1803" i="6"/>
  <c r="K1803" i="6"/>
  <c r="J1803" i="6"/>
  <c r="I1803" i="6"/>
  <c r="H1803" i="6"/>
  <c r="G1803" i="6"/>
  <c r="F1803" i="6"/>
  <c r="D1803" i="6"/>
  <c r="U1803" i="6" s="1"/>
  <c r="C1803" i="6"/>
  <c r="B1803" i="6"/>
  <c r="E1803" i="6" s="1"/>
  <c r="Q1802" i="6"/>
  <c r="N1802" i="6"/>
  <c r="M1802" i="6"/>
  <c r="L1802" i="6"/>
  <c r="K1802" i="6"/>
  <c r="J1802" i="6"/>
  <c r="I1802" i="6"/>
  <c r="P1802" i="6" s="1"/>
  <c r="H1802" i="6"/>
  <c r="G1802" i="6"/>
  <c r="F1802" i="6"/>
  <c r="D1802" i="6"/>
  <c r="U1802" i="6" s="1"/>
  <c r="C1802" i="6"/>
  <c r="B1802" i="6"/>
  <c r="Q1801" i="6"/>
  <c r="N1801" i="6"/>
  <c r="M1801" i="6"/>
  <c r="L1801" i="6"/>
  <c r="K1801" i="6"/>
  <c r="J1801" i="6"/>
  <c r="I1801" i="6"/>
  <c r="P1801" i="6" s="1"/>
  <c r="H1801" i="6"/>
  <c r="G1801" i="6"/>
  <c r="F1801" i="6"/>
  <c r="D1801" i="6"/>
  <c r="U1801" i="6" s="1"/>
  <c r="C1801" i="6"/>
  <c r="B1801" i="6"/>
  <c r="E1801" i="6" s="1"/>
  <c r="Q1800" i="6"/>
  <c r="P1800" i="6"/>
  <c r="N1800" i="6"/>
  <c r="M1800" i="6"/>
  <c r="L1800" i="6"/>
  <c r="K1800" i="6"/>
  <c r="J1800" i="6"/>
  <c r="I1800" i="6"/>
  <c r="H1800" i="6"/>
  <c r="G1800" i="6"/>
  <c r="F1800" i="6"/>
  <c r="D1800" i="6"/>
  <c r="U1800" i="6" s="1"/>
  <c r="C1800" i="6"/>
  <c r="B1800" i="6"/>
  <c r="Q1799" i="6"/>
  <c r="P1799" i="6"/>
  <c r="N1799" i="6"/>
  <c r="M1799" i="6"/>
  <c r="L1799" i="6"/>
  <c r="K1799" i="6"/>
  <c r="J1799" i="6"/>
  <c r="I1799" i="6"/>
  <c r="H1799" i="6"/>
  <c r="G1799" i="6"/>
  <c r="F1799" i="6"/>
  <c r="D1799" i="6"/>
  <c r="U1799" i="6" s="1"/>
  <c r="C1799" i="6"/>
  <c r="B1799" i="6"/>
  <c r="E1799" i="6" s="1"/>
  <c r="Q1798" i="6"/>
  <c r="N1798" i="6"/>
  <c r="M1798" i="6"/>
  <c r="L1798" i="6"/>
  <c r="K1798" i="6"/>
  <c r="J1798" i="6"/>
  <c r="I1798" i="6"/>
  <c r="P1798" i="6" s="1"/>
  <c r="H1798" i="6"/>
  <c r="G1798" i="6"/>
  <c r="F1798" i="6"/>
  <c r="D1798" i="6"/>
  <c r="U1798" i="6" s="1"/>
  <c r="C1798" i="6"/>
  <c r="B1798" i="6"/>
  <c r="Q1797" i="6"/>
  <c r="N1797" i="6"/>
  <c r="M1797" i="6"/>
  <c r="L1797" i="6"/>
  <c r="K1797" i="6"/>
  <c r="J1797" i="6"/>
  <c r="I1797" i="6"/>
  <c r="P1797" i="6" s="1"/>
  <c r="H1797" i="6"/>
  <c r="G1797" i="6"/>
  <c r="F1797" i="6"/>
  <c r="D1797" i="6"/>
  <c r="U1797" i="6" s="1"/>
  <c r="C1797" i="6"/>
  <c r="B1797" i="6"/>
  <c r="E1797" i="6" s="1"/>
  <c r="Q1796" i="6"/>
  <c r="P1796" i="6"/>
  <c r="N1796" i="6"/>
  <c r="M1796" i="6"/>
  <c r="L1796" i="6"/>
  <c r="K1796" i="6"/>
  <c r="J1796" i="6"/>
  <c r="I1796" i="6"/>
  <c r="H1796" i="6"/>
  <c r="G1796" i="6"/>
  <c r="F1796" i="6"/>
  <c r="D1796" i="6"/>
  <c r="U1796" i="6" s="1"/>
  <c r="C1796" i="6"/>
  <c r="B1796" i="6"/>
  <c r="Q1795" i="6"/>
  <c r="P1795" i="6"/>
  <c r="N1795" i="6"/>
  <c r="M1795" i="6"/>
  <c r="L1795" i="6"/>
  <c r="K1795" i="6"/>
  <c r="J1795" i="6"/>
  <c r="I1795" i="6"/>
  <c r="H1795" i="6"/>
  <c r="G1795" i="6"/>
  <c r="F1795" i="6"/>
  <c r="D1795" i="6"/>
  <c r="U1795" i="6" s="1"/>
  <c r="C1795" i="6"/>
  <c r="B1795" i="6"/>
  <c r="E1795" i="6" s="1"/>
  <c r="Q1794" i="6"/>
  <c r="N1794" i="6"/>
  <c r="M1794" i="6"/>
  <c r="L1794" i="6"/>
  <c r="K1794" i="6"/>
  <c r="J1794" i="6"/>
  <c r="I1794" i="6"/>
  <c r="P1794" i="6" s="1"/>
  <c r="H1794" i="6"/>
  <c r="G1794" i="6"/>
  <c r="F1794" i="6"/>
  <c r="D1794" i="6"/>
  <c r="U1794" i="6" s="1"/>
  <c r="C1794" i="6"/>
  <c r="B1794" i="6"/>
  <c r="U1793" i="6"/>
  <c r="Q1793" i="6"/>
  <c r="N1793" i="6"/>
  <c r="M1793" i="6"/>
  <c r="L1793" i="6"/>
  <c r="K1793" i="6"/>
  <c r="J1793" i="6"/>
  <c r="I1793" i="6"/>
  <c r="P1793" i="6" s="1"/>
  <c r="H1793" i="6"/>
  <c r="G1793" i="6"/>
  <c r="F1793" i="6"/>
  <c r="D1793" i="6"/>
  <c r="C1793" i="6"/>
  <c r="B1793" i="6"/>
  <c r="E1793" i="6" s="1"/>
  <c r="Q1792" i="6"/>
  <c r="P1792" i="6"/>
  <c r="N1792" i="6"/>
  <c r="M1792" i="6"/>
  <c r="L1792" i="6"/>
  <c r="K1792" i="6"/>
  <c r="J1792" i="6"/>
  <c r="I1792" i="6"/>
  <c r="H1792" i="6"/>
  <c r="G1792" i="6"/>
  <c r="F1792" i="6"/>
  <c r="D1792" i="6"/>
  <c r="U1792" i="6" s="1"/>
  <c r="C1792" i="6"/>
  <c r="B1792" i="6"/>
  <c r="Q1791" i="6"/>
  <c r="P1791" i="6"/>
  <c r="N1791" i="6"/>
  <c r="M1791" i="6"/>
  <c r="L1791" i="6"/>
  <c r="K1791" i="6"/>
  <c r="J1791" i="6"/>
  <c r="I1791" i="6"/>
  <c r="H1791" i="6"/>
  <c r="G1791" i="6"/>
  <c r="F1791" i="6"/>
  <c r="D1791" i="6"/>
  <c r="U1791" i="6" s="1"/>
  <c r="C1791" i="6"/>
  <c r="B1791" i="6"/>
  <c r="E1791" i="6" s="1"/>
  <c r="Q1790" i="6"/>
  <c r="N1790" i="6"/>
  <c r="M1790" i="6"/>
  <c r="L1790" i="6"/>
  <c r="K1790" i="6"/>
  <c r="J1790" i="6"/>
  <c r="I1790" i="6"/>
  <c r="P1790" i="6" s="1"/>
  <c r="H1790" i="6"/>
  <c r="G1790" i="6"/>
  <c r="F1790" i="6"/>
  <c r="D1790" i="6"/>
  <c r="U1790" i="6" s="1"/>
  <c r="C1790" i="6"/>
  <c r="B1790" i="6"/>
  <c r="U1789" i="6"/>
  <c r="Q1789" i="6"/>
  <c r="N1789" i="6"/>
  <c r="M1789" i="6"/>
  <c r="L1789" i="6"/>
  <c r="K1789" i="6"/>
  <c r="J1789" i="6"/>
  <c r="I1789" i="6"/>
  <c r="P1789" i="6" s="1"/>
  <c r="H1789" i="6"/>
  <c r="G1789" i="6"/>
  <c r="F1789" i="6"/>
  <c r="D1789" i="6"/>
  <c r="C1789" i="6"/>
  <c r="B1789" i="6"/>
  <c r="E1789" i="6" s="1"/>
  <c r="Q1788" i="6"/>
  <c r="P1788" i="6"/>
  <c r="N1788" i="6"/>
  <c r="M1788" i="6"/>
  <c r="L1788" i="6"/>
  <c r="K1788" i="6"/>
  <c r="J1788" i="6"/>
  <c r="I1788" i="6"/>
  <c r="H1788" i="6"/>
  <c r="G1788" i="6"/>
  <c r="F1788" i="6"/>
  <c r="D1788" i="6"/>
  <c r="U1788" i="6" s="1"/>
  <c r="C1788" i="6"/>
  <c r="B1788" i="6"/>
  <c r="Q1787" i="6"/>
  <c r="P1787" i="6"/>
  <c r="N1787" i="6"/>
  <c r="M1787" i="6"/>
  <c r="L1787" i="6"/>
  <c r="K1787" i="6"/>
  <c r="J1787" i="6"/>
  <c r="I1787" i="6"/>
  <c r="H1787" i="6"/>
  <c r="G1787" i="6"/>
  <c r="F1787" i="6"/>
  <c r="D1787" i="6"/>
  <c r="U1787" i="6" s="1"/>
  <c r="C1787" i="6"/>
  <c r="B1787" i="6"/>
  <c r="E1787" i="6" s="1"/>
  <c r="Q1786" i="6"/>
  <c r="N1786" i="6"/>
  <c r="M1786" i="6"/>
  <c r="L1786" i="6"/>
  <c r="K1786" i="6"/>
  <c r="J1786" i="6"/>
  <c r="I1786" i="6"/>
  <c r="P1786" i="6" s="1"/>
  <c r="H1786" i="6"/>
  <c r="G1786" i="6"/>
  <c r="F1786" i="6"/>
  <c r="D1786" i="6"/>
  <c r="U1786" i="6" s="1"/>
  <c r="C1786" i="6"/>
  <c r="B1786" i="6"/>
  <c r="U1785" i="6"/>
  <c r="Q1785" i="6"/>
  <c r="N1785" i="6"/>
  <c r="M1785" i="6"/>
  <c r="L1785" i="6"/>
  <c r="K1785" i="6"/>
  <c r="J1785" i="6"/>
  <c r="I1785" i="6"/>
  <c r="P1785" i="6" s="1"/>
  <c r="H1785" i="6"/>
  <c r="G1785" i="6"/>
  <c r="F1785" i="6"/>
  <c r="D1785" i="6"/>
  <c r="C1785" i="6"/>
  <c r="B1785" i="6"/>
  <c r="E1785" i="6" s="1"/>
  <c r="Q1784" i="6"/>
  <c r="P1784" i="6"/>
  <c r="N1784" i="6"/>
  <c r="M1784" i="6"/>
  <c r="L1784" i="6"/>
  <c r="K1784" i="6"/>
  <c r="J1784" i="6"/>
  <c r="I1784" i="6"/>
  <c r="H1784" i="6"/>
  <c r="G1784" i="6"/>
  <c r="F1784" i="6"/>
  <c r="D1784" i="6"/>
  <c r="U1784" i="6" s="1"/>
  <c r="C1784" i="6"/>
  <c r="B1784" i="6"/>
  <c r="Q1783" i="6"/>
  <c r="P1783" i="6"/>
  <c r="N1783" i="6"/>
  <c r="M1783" i="6"/>
  <c r="L1783" i="6"/>
  <c r="K1783" i="6"/>
  <c r="J1783" i="6"/>
  <c r="I1783" i="6"/>
  <c r="H1783" i="6"/>
  <c r="G1783" i="6"/>
  <c r="F1783" i="6"/>
  <c r="D1783" i="6"/>
  <c r="U1783" i="6" s="1"/>
  <c r="C1783" i="6"/>
  <c r="B1783" i="6"/>
  <c r="E1783" i="6" s="1"/>
  <c r="Q1782" i="6"/>
  <c r="N1782" i="6"/>
  <c r="M1782" i="6"/>
  <c r="L1782" i="6"/>
  <c r="K1782" i="6"/>
  <c r="J1782" i="6"/>
  <c r="I1782" i="6"/>
  <c r="P1782" i="6" s="1"/>
  <c r="H1782" i="6"/>
  <c r="G1782" i="6"/>
  <c r="F1782" i="6"/>
  <c r="D1782" i="6"/>
  <c r="U1782" i="6" s="1"/>
  <c r="C1782" i="6"/>
  <c r="B1782" i="6"/>
  <c r="Q1781" i="6"/>
  <c r="N1781" i="6"/>
  <c r="M1781" i="6"/>
  <c r="L1781" i="6"/>
  <c r="K1781" i="6"/>
  <c r="J1781" i="6"/>
  <c r="I1781" i="6"/>
  <c r="P1781" i="6" s="1"/>
  <c r="H1781" i="6"/>
  <c r="G1781" i="6"/>
  <c r="F1781" i="6"/>
  <c r="D1781" i="6"/>
  <c r="U1781" i="6" s="1"/>
  <c r="C1781" i="6"/>
  <c r="B1781" i="6"/>
  <c r="E1781" i="6" s="1"/>
  <c r="Q1780" i="6"/>
  <c r="P1780" i="6"/>
  <c r="N1780" i="6"/>
  <c r="M1780" i="6"/>
  <c r="L1780" i="6"/>
  <c r="K1780" i="6"/>
  <c r="J1780" i="6"/>
  <c r="I1780" i="6"/>
  <c r="H1780" i="6"/>
  <c r="G1780" i="6"/>
  <c r="F1780" i="6"/>
  <c r="D1780" i="6"/>
  <c r="U1780" i="6" s="1"/>
  <c r="C1780" i="6"/>
  <c r="B1780" i="6"/>
  <c r="Q1779" i="6"/>
  <c r="P1779" i="6"/>
  <c r="N1779" i="6"/>
  <c r="M1779" i="6"/>
  <c r="L1779" i="6"/>
  <c r="K1779" i="6"/>
  <c r="J1779" i="6"/>
  <c r="I1779" i="6"/>
  <c r="H1779" i="6"/>
  <c r="G1779" i="6"/>
  <c r="F1779" i="6"/>
  <c r="D1779" i="6"/>
  <c r="U1779" i="6" s="1"/>
  <c r="C1779" i="6"/>
  <c r="B1779" i="6"/>
  <c r="E1779" i="6" s="1"/>
  <c r="Q1778" i="6"/>
  <c r="N1778" i="6"/>
  <c r="M1778" i="6"/>
  <c r="L1778" i="6"/>
  <c r="K1778" i="6"/>
  <c r="J1778" i="6"/>
  <c r="I1778" i="6"/>
  <c r="P1778" i="6" s="1"/>
  <c r="H1778" i="6"/>
  <c r="G1778" i="6"/>
  <c r="F1778" i="6"/>
  <c r="D1778" i="6"/>
  <c r="U1778" i="6" s="1"/>
  <c r="C1778" i="6"/>
  <c r="B1778" i="6"/>
  <c r="U1777" i="6"/>
  <c r="Q1777" i="6"/>
  <c r="N1777" i="6"/>
  <c r="M1777" i="6"/>
  <c r="L1777" i="6"/>
  <c r="K1777" i="6"/>
  <c r="J1777" i="6"/>
  <c r="I1777" i="6"/>
  <c r="P1777" i="6" s="1"/>
  <c r="H1777" i="6"/>
  <c r="G1777" i="6"/>
  <c r="F1777" i="6"/>
  <c r="D1777" i="6"/>
  <c r="C1777" i="6"/>
  <c r="B1777" i="6"/>
  <c r="E1777" i="6" s="1"/>
  <c r="Q1776" i="6"/>
  <c r="P1776" i="6"/>
  <c r="N1776" i="6"/>
  <c r="M1776" i="6"/>
  <c r="L1776" i="6"/>
  <c r="K1776" i="6"/>
  <c r="J1776" i="6"/>
  <c r="I1776" i="6"/>
  <c r="H1776" i="6"/>
  <c r="G1776" i="6"/>
  <c r="F1776" i="6"/>
  <c r="D1776" i="6"/>
  <c r="U1776" i="6" s="1"/>
  <c r="C1776" i="6"/>
  <c r="B1776" i="6"/>
  <c r="Q1775" i="6"/>
  <c r="P1775" i="6"/>
  <c r="N1775" i="6"/>
  <c r="M1775" i="6"/>
  <c r="L1775" i="6"/>
  <c r="K1775" i="6"/>
  <c r="J1775" i="6"/>
  <c r="I1775" i="6"/>
  <c r="H1775" i="6"/>
  <c r="G1775" i="6"/>
  <c r="F1775" i="6"/>
  <c r="D1775" i="6"/>
  <c r="U1775" i="6" s="1"/>
  <c r="C1775" i="6"/>
  <c r="B1775" i="6"/>
  <c r="E1775" i="6" s="1"/>
  <c r="Q1774" i="6"/>
  <c r="N1774" i="6"/>
  <c r="M1774" i="6"/>
  <c r="L1774" i="6"/>
  <c r="K1774" i="6"/>
  <c r="J1774" i="6"/>
  <c r="I1774" i="6"/>
  <c r="P1774" i="6" s="1"/>
  <c r="H1774" i="6"/>
  <c r="G1774" i="6"/>
  <c r="F1774" i="6"/>
  <c r="D1774" i="6"/>
  <c r="U1774" i="6" s="1"/>
  <c r="C1774" i="6"/>
  <c r="B1774" i="6"/>
  <c r="U1773" i="6"/>
  <c r="Q1773" i="6"/>
  <c r="N1773" i="6"/>
  <c r="M1773" i="6"/>
  <c r="L1773" i="6"/>
  <c r="K1773" i="6"/>
  <c r="J1773" i="6"/>
  <c r="I1773" i="6"/>
  <c r="P1773" i="6" s="1"/>
  <c r="H1773" i="6"/>
  <c r="G1773" i="6"/>
  <c r="F1773" i="6"/>
  <c r="D1773" i="6"/>
  <c r="C1773" i="6"/>
  <c r="B1773" i="6"/>
  <c r="E1773" i="6" s="1"/>
  <c r="Q1772" i="6"/>
  <c r="P1772" i="6"/>
  <c r="N1772" i="6"/>
  <c r="M1772" i="6"/>
  <c r="L1772" i="6"/>
  <c r="K1772" i="6"/>
  <c r="J1772" i="6"/>
  <c r="I1772" i="6"/>
  <c r="H1772" i="6"/>
  <c r="G1772" i="6"/>
  <c r="F1772" i="6"/>
  <c r="D1772" i="6"/>
  <c r="U1772" i="6" s="1"/>
  <c r="C1772" i="6"/>
  <c r="B1772" i="6"/>
  <c r="Q1771" i="6"/>
  <c r="P1771" i="6"/>
  <c r="N1771" i="6"/>
  <c r="M1771" i="6"/>
  <c r="L1771" i="6"/>
  <c r="K1771" i="6"/>
  <c r="J1771" i="6"/>
  <c r="I1771" i="6"/>
  <c r="H1771" i="6"/>
  <c r="G1771" i="6"/>
  <c r="F1771" i="6"/>
  <c r="D1771" i="6"/>
  <c r="U1771" i="6" s="1"/>
  <c r="C1771" i="6"/>
  <c r="B1771" i="6"/>
  <c r="E1771" i="6" s="1"/>
  <c r="Q1770" i="6"/>
  <c r="N1770" i="6"/>
  <c r="M1770" i="6"/>
  <c r="L1770" i="6"/>
  <c r="K1770" i="6"/>
  <c r="J1770" i="6"/>
  <c r="I1770" i="6"/>
  <c r="P1770" i="6" s="1"/>
  <c r="H1770" i="6"/>
  <c r="G1770" i="6"/>
  <c r="F1770" i="6"/>
  <c r="D1770" i="6"/>
  <c r="U1770" i="6" s="1"/>
  <c r="C1770" i="6"/>
  <c r="B1770" i="6"/>
  <c r="U1769" i="6"/>
  <c r="Q1769" i="6"/>
  <c r="N1769" i="6"/>
  <c r="M1769" i="6"/>
  <c r="L1769" i="6"/>
  <c r="K1769" i="6"/>
  <c r="J1769" i="6"/>
  <c r="I1769" i="6"/>
  <c r="P1769" i="6" s="1"/>
  <c r="H1769" i="6"/>
  <c r="G1769" i="6"/>
  <c r="F1769" i="6"/>
  <c r="D1769" i="6"/>
  <c r="C1769" i="6"/>
  <c r="B1769" i="6"/>
  <c r="E1769" i="6" s="1"/>
  <c r="Q1768" i="6"/>
  <c r="P1768" i="6"/>
  <c r="N1768" i="6"/>
  <c r="M1768" i="6"/>
  <c r="L1768" i="6"/>
  <c r="K1768" i="6"/>
  <c r="J1768" i="6"/>
  <c r="I1768" i="6"/>
  <c r="H1768" i="6"/>
  <c r="G1768" i="6"/>
  <c r="F1768" i="6"/>
  <c r="D1768" i="6"/>
  <c r="U1768" i="6" s="1"/>
  <c r="C1768" i="6"/>
  <c r="B1768" i="6"/>
  <c r="Q1767" i="6"/>
  <c r="P1767" i="6"/>
  <c r="N1767" i="6"/>
  <c r="M1767" i="6"/>
  <c r="L1767" i="6"/>
  <c r="K1767" i="6"/>
  <c r="J1767" i="6"/>
  <c r="I1767" i="6"/>
  <c r="H1767" i="6"/>
  <c r="G1767" i="6"/>
  <c r="F1767" i="6"/>
  <c r="D1767" i="6"/>
  <c r="U1767" i="6" s="1"/>
  <c r="C1767" i="6"/>
  <c r="B1767" i="6"/>
  <c r="E1767" i="6" s="1"/>
  <c r="Q1766" i="6"/>
  <c r="N1766" i="6"/>
  <c r="M1766" i="6"/>
  <c r="L1766" i="6"/>
  <c r="K1766" i="6"/>
  <c r="J1766" i="6"/>
  <c r="I1766" i="6"/>
  <c r="P1766" i="6" s="1"/>
  <c r="H1766" i="6"/>
  <c r="G1766" i="6"/>
  <c r="F1766" i="6"/>
  <c r="D1766" i="6"/>
  <c r="U1766" i="6" s="1"/>
  <c r="C1766" i="6"/>
  <c r="B1766" i="6"/>
  <c r="Q1765" i="6"/>
  <c r="N1765" i="6"/>
  <c r="M1765" i="6"/>
  <c r="L1765" i="6"/>
  <c r="K1765" i="6"/>
  <c r="J1765" i="6"/>
  <c r="I1765" i="6"/>
  <c r="P1765" i="6" s="1"/>
  <c r="H1765" i="6"/>
  <c r="G1765" i="6"/>
  <c r="F1765" i="6"/>
  <c r="D1765" i="6"/>
  <c r="U1765" i="6" s="1"/>
  <c r="C1765" i="6"/>
  <c r="B1765" i="6"/>
  <c r="E1765" i="6" s="1"/>
  <c r="Q1764" i="6"/>
  <c r="P1764" i="6"/>
  <c r="N1764" i="6"/>
  <c r="M1764" i="6"/>
  <c r="L1764" i="6"/>
  <c r="K1764" i="6"/>
  <c r="J1764" i="6"/>
  <c r="I1764" i="6"/>
  <c r="H1764" i="6"/>
  <c r="G1764" i="6"/>
  <c r="F1764" i="6"/>
  <c r="D1764" i="6"/>
  <c r="U1764" i="6" s="1"/>
  <c r="C1764" i="6"/>
  <c r="B1764" i="6"/>
  <c r="Q1763" i="6"/>
  <c r="P1763" i="6"/>
  <c r="N1763" i="6"/>
  <c r="M1763" i="6"/>
  <c r="L1763" i="6"/>
  <c r="K1763" i="6"/>
  <c r="J1763" i="6"/>
  <c r="I1763" i="6"/>
  <c r="H1763" i="6"/>
  <c r="G1763" i="6"/>
  <c r="F1763" i="6"/>
  <c r="D1763" i="6"/>
  <c r="U1763" i="6" s="1"/>
  <c r="C1763" i="6"/>
  <c r="B1763" i="6"/>
  <c r="E1763" i="6" s="1"/>
  <c r="Q1762" i="6"/>
  <c r="N1762" i="6"/>
  <c r="M1762" i="6"/>
  <c r="L1762" i="6"/>
  <c r="K1762" i="6"/>
  <c r="J1762" i="6"/>
  <c r="I1762" i="6"/>
  <c r="P1762" i="6" s="1"/>
  <c r="H1762" i="6"/>
  <c r="G1762" i="6"/>
  <c r="F1762" i="6"/>
  <c r="D1762" i="6"/>
  <c r="U1762" i="6" s="1"/>
  <c r="C1762" i="6"/>
  <c r="B1762" i="6"/>
  <c r="U1761" i="6"/>
  <c r="Q1761" i="6"/>
  <c r="N1761" i="6"/>
  <c r="M1761" i="6"/>
  <c r="L1761" i="6"/>
  <c r="K1761" i="6"/>
  <c r="J1761" i="6"/>
  <c r="I1761" i="6"/>
  <c r="P1761" i="6" s="1"/>
  <c r="H1761" i="6"/>
  <c r="G1761" i="6"/>
  <c r="F1761" i="6"/>
  <c r="D1761" i="6"/>
  <c r="C1761" i="6"/>
  <c r="B1761" i="6"/>
  <c r="E1761" i="6" s="1"/>
  <c r="Q1760" i="6"/>
  <c r="P1760" i="6"/>
  <c r="N1760" i="6"/>
  <c r="M1760" i="6"/>
  <c r="L1760" i="6"/>
  <c r="K1760" i="6"/>
  <c r="J1760" i="6"/>
  <c r="I1760" i="6"/>
  <c r="H1760" i="6"/>
  <c r="G1760" i="6"/>
  <c r="F1760" i="6"/>
  <c r="D1760" i="6"/>
  <c r="U1760" i="6" s="1"/>
  <c r="C1760" i="6"/>
  <c r="B1760" i="6"/>
  <c r="Q1759" i="6"/>
  <c r="P1759" i="6"/>
  <c r="N1759" i="6"/>
  <c r="M1759" i="6"/>
  <c r="L1759" i="6"/>
  <c r="K1759" i="6"/>
  <c r="J1759" i="6"/>
  <c r="I1759" i="6"/>
  <c r="H1759" i="6"/>
  <c r="G1759" i="6"/>
  <c r="F1759" i="6"/>
  <c r="D1759" i="6"/>
  <c r="U1759" i="6" s="1"/>
  <c r="C1759" i="6"/>
  <c r="B1759" i="6"/>
  <c r="E1759" i="6" s="1"/>
  <c r="Q1758" i="6"/>
  <c r="N1758" i="6"/>
  <c r="M1758" i="6"/>
  <c r="L1758" i="6"/>
  <c r="K1758" i="6"/>
  <c r="J1758" i="6"/>
  <c r="I1758" i="6"/>
  <c r="P1758" i="6" s="1"/>
  <c r="H1758" i="6"/>
  <c r="G1758" i="6"/>
  <c r="F1758" i="6"/>
  <c r="D1758" i="6"/>
  <c r="U1758" i="6" s="1"/>
  <c r="C1758" i="6"/>
  <c r="B1758" i="6"/>
  <c r="U1757" i="6"/>
  <c r="Q1757" i="6"/>
  <c r="N1757" i="6"/>
  <c r="M1757" i="6"/>
  <c r="L1757" i="6"/>
  <c r="K1757" i="6"/>
  <c r="J1757" i="6"/>
  <c r="I1757" i="6"/>
  <c r="P1757" i="6" s="1"/>
  <c r="H1757" i="6"/>
  <c r="G1757" i="6"/>
  <c r="F1757" i="6"/>
  <c r="D1757" i="6"/>
  <c r="C1757" i="6"/>
  <c r="B1757" i="6"/>
  <c r="E1757" i="6" s="1"/>
  <c r="Q1756" i="6"/>
  <c r="P1756" i="6"/>
  <c r="N1756" i="6"/>
  <c r="M1756" i="6"/>
  <c r="L1756" i="6"/>
  <c r="K1756" i="6"/>
  <c r="J1756" i="6"/>
  <c r="I1756" i="6"/>
  <c r="H1756" i="6"/>
  <c r="G1756" i="6"/>
  <c r="F1756" i="6"/>
  <c r="D1756" i="6"/>
  <c r="U1756" i="6" s="1"/>
  <c r="C1756" i="6"/>
  <c r="B1756" i="6"/>
  <c r="Q1755" i="6"/>
  <c r="P1755" i="6"/>
  <c r="N1755" i="6"/>
  <c r="M1755" i="6"/>
  <c r="L1755" i="6"/>
  <c r="K1755" i="6"/>
  <c r="J1755" i="6"/>
  <c r="I1755" i="6"/>
  <c r="H1755" i="6"/>
  <c r="G1755" i="6"/>
  <c r="F1755" i="6"/>
  <c r="D1755" i="6"/>
  <c r="U1755" i="6" s="1"/>
  <c r="C1755" i="6"/>
  <c r="B1755" i="6"/>
  <c r="E1755" i="6" s="1"/>
  <c r="Q1754" i="6"/>
  <c r="N1754" i="6"/>
  <c r="M1754" i="6"/>
  <c r="L1754" i="6"/>
  <c r="K1754" i="6"/>
  <c r="J1754" i="6"/>
  <c r="I1754" i="6"/>
  <c r="P1754" i="6" s="1"/>
  <c r="H1754" i="6"/>
  <c r="G1754" i="6"/>
  <c r="F1754" i="6"/>
  <c r="D1754" i="6"/>
  <c r="U1754" i="6" s="1"/>
  <c r="C1754" i="6"/>
  <c r="B1754" i="6"/>
  <c r="U1753" i="6"/>
  <c r="Q1753" i="6"/>
  <c r="N1753" i="6"/>
  <c r="M1753" i="6"/>
  <c r="L1753" i="6"/>
  <c r="K1753" i="6"/>
  <c r="J1753" i="6"/>
  <c r="I1753" i="6"/>
  <c r="P1753" i="6" s="1"/>
  <c r="H1753" i="6"/>
  <c r="G1753" i="6"/>
  <c r="F1753" i="6"/>
  <c r="D1753" i="6"/>
  <c r="C1753" i="6"/>
  <c r="B1753" i="6"/>
  <c r="E1753" i="6" s="1"/>
  <c r="Q1752" i="6"/>
  <c r="P1752" i="6"/>
  <c r="N1752" i="6"/>
  <c r="M1752" i="6"/>
  <c r="L1752" i="6"/>
  <c r="K1752" i="6"/>
  <c r="J1752" i="6"/>
  <c r="I1752" i="6"/>
  <c r="H1752" i="6"/>
  <c r="G1752" i="6"/>
  <c r="F1752" i="6"/>
  <c r="D1752" i="6"/>
  <c r="U1752" i="6" s="1"/>
  <c r="C1752" i="6"/>
  <c r="B1752" i="6"/>
  <c r="Q1751" i="6"/>
  <c r="P1751" i="6"/>
  <c r="N1751" i="6"/>
  <c r="M1751" i="6"/>
  <c r="L1751" i="6"/>
  <c r="K1751" i="6"/>
  <c r="J1751" i="6"/>
  <c r="I1751" i="6"/>
  <c r="H1751" i="6"/>
  <c r="G1751" i="6"/>
  <c r="F1751" i="6"/>
  <c r="D1751" i="6"/>
  <c r="U1751" i="6" s="1"/>
  <c r="C1751" i="6"/>
  <c r="B1751" i="6"/>
  <c r="E1751" i="6" s="1"/>
  <c r="Q1750" i="6"/>
  <c r="N1750" i="6"/>
  <c r="M1750" i="6"/>
  <c r="L1750" i="6"/>
  <c r="K1750" i="6"/>
  <c r="J1750" i="6"/>
  <c r="I1750" i="6"/>
  <c r="P1750" i="6" s="1"/>
  <c r="H1750" i="6"/>
  <c r="G1750" i="6"/>
  <c r="F1750" i="6"/>
  <c r="D1750" i="6"/>
  <c r="U1750" i="6" s="1"/>
  <c r="C1750" i="6"/>
  <c r="B1750" i="6"/>
  <c r="Q1749" i="6"/>
  <c r="N1749" i="6"/>
  <c r="M1749" i="6"/>
  <c r="L1749" i="6"/>
  <c r="K1749" i="6"/>
  <c r="J1749" i="6"/>
  <c r="I1749" i="6"/>
  <c r="P1749" i="6" s="1"/>
  <c r="H1749" i="6"/>
  <c r="G1749" i="6"/>
  <c r="F1749" i="6"/>
  <c r="D1749" i="6"/>
  <c r="U1749" i="6" s="1"/>
  <c r="C1749" i="6"/>
  <c r="B1749" i="6"/>
  <c r="E1749" i="6" s="1"/>
  <c r="Q1748" i="6"/>
  <c r="P1748" i="6"/>
  <c r="N1748" i="6"/>
  <c r="M1748" i="6"/>
  <c r="L1748" i="6"/>
  <c r="K1748" i="6"/>
  <c r="J1748" i="6"/>
  <c r="I1748" i="6"/>
  <c r="H1748" i="6"/>
  <c r="G1748" i="6"/>
  <c r="F1748" i="6"/>
  <c r="D1748" i="6"/>
  <c r="U1748" i="6" s="1"/>
  <c r="C1748" i="6"/>
  <c r="B1748" i="6"/>
  <c r="Q1747" i="6"/>
  <c r="P1747" i="6"/>
  <c r="N1747" i="6"/>
  <c r="M1747" i="6"/>
  <c r="L1747" i="6"/>
  <c r="K1747" i="6"/>
  <c r="J1747" i="6"/>
  <c r="I1747" i="6"/>
  <c r="H1747" i="6"/>
  <c r="G1747" i="6"/>
  <c r="F1747" i="6"/>
  <c r="D1747" i="6"/>
  <c r="U1747" i="6" s="1"/>
  <c r="C1747" i="6"/>
  <c r="B1747" i="6"/>
  <c r="E1747" i="6" s="1"/>
  <c r="Q1746" i="6"/>
  <c r="N1746" i="6"/>
  <c r="M1746" i="6"/>
  <c r="L1746" i="6"/>
  <c r="K1746" i="6"/>
  <c r="J1746" i="6"/>
  <c r="I1746" i="6"/>
  <c r="P1746" i="6" s="1"/>
  <c r="H1746" i="6"/>
  <c r="G1746" i="6"/>
  <c r="F1746" i="6"/>
  <c r="D1746" i="6"/>
  <c r="U1746" i="6" s="1"/>
  <c r="C1746" i="6"/>
  <c r="B1746" i="6"/>
  <c r="U1745" i="6"/>
  <c r="Q1745" i="6"/>
  <c r="N1745" i="6"/>
  <c r="M1745" i="6"/>
  <c r="L1745" i="6"/>
  <c r="K1745" i="6"/>
  <c r="J1745" i="6"/>
  <c r="I1745" i="6"/>
  <c r="P1745" i="6" s="1"/>
  <c r="H1745" i="6"/>
  <c r="G1745" i="6"/>
  <c r="F1745" i="6"/>
  <c r="D1745" i="6"/>
  <c r="C1745" i="6"/>
  <c r="B1745" i="6"/>
  <c r="E1745" i="6" s="1"/>
  <c r="Q1744" i="6"/>
  <c r="P1744" i="6"/>
  <c r="N1744" i="6"/>
  <c r="M1744" i="6"/>
  <c r="L1744" i="6"/>
  <c r="K1744" i="6"/>
  <c r="J1744" i="6"/>
  <c r="I1744" i="6"/>
  <c r="H1744" i="6"/>
  <c r="G1744" i="6"/>
  <c r="F1744" i="6"/>
  <c r="D1744" i="6"/>
  <c r="U1744" i="6" s="1"/>
  <c r="C1744" i="6"/>
  <c r="B1744" i="6"/>
  <c r="Q1743" i="6"/>
  <c r="P1743" i="6"/>
  <c r="N1743" i="6"/>
  <c r="M1743" i="6"/>
  <c r="L1743" i="6"/>
  <c r="K1743" i="6"/>
  <c r="J1743" i="6"/>
  <c r="I1743" i="6"/>
  <c r="H1743" i="6"/>
  <c r="G1743" i="6"/>
  <c r="F1743" i="6"/>
  <c r="D1743" i="6"/>
  <c r="U1743" i="6" s="1"/>
  <c r="C1743" i="6"/>
  <c r="B1743" i="6"/>
  <c r="E1743" i="6" s="1"/>
  <c r="Q1742" i="6"/>
  <c r="N1742" i="6"/>
  <c r="M1742" i="6"/>
  <c r="L1742" i="6"/>
  <c r="K1742" i="6"/>
  <c r="J1742" i="6"/>
  <c r="I1742" i="6"/>
  <c r="P1742" i="6" s="1"/>
  <c r="H1742" i="6"/>
  <c r="G1742" i="6"/>
  <c r="F1742" i="6"/>
  <c r="D1742" i="6"/>
  <c r="U1742" i="6" s="1"/>
  <c r="C1742" i="6"/>
  <c r="B1742" i="6"/>
  <c r="U1741" i="6"/>
  <c r="Q1741" i="6"/>
  <c r="N1741" i="6"/>
  <c r="M1741" i="6"/>
  <c r="L1741" i="6"/>
  <c r="K1741" i="6"/>
  <c r="J1741" i="6"/>
  <c r="I1741" i="6"/>
  <c r="P1741" i="6" s="1"/>
  <c r="H1741" i="6"/>
  <c r="G1741" i="6"/>
  <c r="F1741" i="6"/>
  <c r="D1741" i="6"/>
  <c r="C1741" i="6"/>
  <c r="B1741" i="6"/>
  <c r="E1741" i="6" s="1"/>
  <c r="Q1740" i="6"/>
  <c r="P1740" i="6"/>
  <c r="N1740" i="6"/>
  <c r="M1740" i="6"/>
  <c r="L1740" i="6"/>
  <c r="K1740" i="6"/>
  <c r="J1740" i="6"/>
  <c r="I1740" i="6"/>
  <c r="H1740" i="6"/>
  <c r="G1740" i="6"/>
  <c r="F1740" i="6"/>
  <c r="D1740" i="6"/>
  <c r="U1740" i="6" s="1"/>
  <c r="C1740" i="6"/>
  <c r="B1740" i="6"/>
  <c r="Q1739" i="6"/>
  <c r="P1739" i="6"/>
  <c r="N1739" i="6"/>
  <c r="M1739" i="6"/>
  <c r="L1739" i="6"/>
  <c r="K1739" i="6"/>
  <c r="J1739" i="6"/>
  <c r="I1739" i="6"/>
  <c r="H1739" i="6"/>
  <c r="G1739" i="6"/>
  <c r="F1739" i="6"/>
  <c r="D1739" i="6"/>
  <c r="U1739" i="6" s="1"/>
  <c r="C1739" i="6"/>
  <c r="B1739" i="6"/>
  <c r="E1739" i="6" s="1"/>
  <c r="Q1738" i="6"/>
  <c r="N1738" i="6"/>
  <c r="M1738" i="6"/>
  <c r="L1738" i="6"/>
  <c r="K1738" i="6"/>
  <c r="J1738" i="6"/>
  <c r="I1738" i="6"/>
  <c r="P1738" i="6" s="1"/>
  <c r="H1738" i="6"/>
  <c r="G1738" i="6"/>
  <c r="F1738" i="6"/>
  <c r="D1738" i="6"/>
  <c r="U1738" i="6" s="1"/>
  <c r="C1738" i="6"/>
  <c r="B1738" i="6"/>
  <c r="U1737" i="6"/>
  <c r="Q1737" i="6"/>
  <c r="N1737" i="6"/>
  <c r="M1737" i="6"/>
  <c r="L1737" i="6"/>
  <c r="K1737" i="6"/>
  <c r="J1737" i="6"/>
  <c r="I1737" i="6"/>
  <c r="P1737" i="6" s="1"/>
  <c r="H1737" i="6"/>
  <c r="G1737" i="6"/>
  <c r="F1737" i="6"/>
  <c r="D1737" i="6"/>
  <c r="C1737" i="6"/>
  <c r="B1737" i="6"/>
  <c r="E1737" i="6" s="1"/>
  <c r="Q1736" i="6"/>
  <c r="P1736" i="6"/>
  <c r="N1736" i="6"/>
  <c r="M1736" i="6"/>
  <c r="L1736" i="6"/>
  <c r="K1736" i="6"/>
  <c r="J1736" i="6"/>
  <c r="I1736" i="6"/>
  <c r="H1736" i="6"/>
  <c r="G1736" i="6"/>
  <c r="F1736" i="6"/>
  <c r="D1736" i="6"/>
  <c r="U1736" i="6" s="1"/>
  <c r="C1736" i="6"/>
  <c r="B1736" i="6"/>
  <c r="Q1735" i="6"/>
  <c r="P1735" i="6"/>
  <c r="N1735" i="6"/>
  <c r="M1735" i="6"/>
  <c r="L1735" i="6"/>
  <c r="K1735" i="6"/>
  <c r="J1735" i="6"/>
  <c r="I1735" i="6"/>
  <c r="H1735" i="6"/>
  <c r="G1735" i="6"/>
  <c r="F1735" i="6"/>
  <c r="D1735" i="6"/>
  <c r="U1735" i="6" s="1"/>
  <c r="C1735" i="6"/>
  <c r="B1735" i="6"/>
  <c r="E1735" i="6" s="1"/>
  <c r="Q1734" i="6"/>
  <c r="N1734" i="6"/>
  <c r="M1734" i="6"/>
  <c r="L1734" i="6"/>
  <c r="K1734" i="6"/>
  <c r="J1734" i="6"/>
  <c r="I1734" i="6"/>
  <c r="P1734" i="6" s="1"/>
  <c r="H1734" i="6"/>
  <c r="G1734" i="6"/>
  <c r="F1734" i="6"/>
  <c r="D1734" i="6"/>
  <c r="U1734" i="6" s="1"/>
  <c r="C1734" i="6"/>
  <c r="B1734" i="6"/>
  <c r="Q1733" i="6"/>
  <c r="N1733" i="6"/>
  <c r="M1733" i="6"/>
  <c r="L1733" i="6"/>
  <c r="K1733" i="6"/>
  <c r="J1733" i="6"/>
  <c r="I1733" i="6"/>
  <c r="P1733" i="6" s="1"/>
  <c r="H1733" i="6"/>
  <c r="G1733" i="6"/>
  <c r="F1733" i="6"/>
  <c r="D1733" i="6"/>
  <c r="U1733" i="6" s="1"/>
  <c r="C1733" i="6"/>
  <c r="B1733" i="6"/>
  <c r="E1733" i="6" s="1"/>
  <c r="Q1732" i="6"/>
  <c r="P1732" i="6"/>
  <c r="N1732" i="6"/>
  <c r="M1732" i="6"/>
  <c r="L1732" i="6"/>
  <c r="K1732" i="6"/>
  <c r="J1732" i="6"/>
  <c r="I1732" i="6"/>
  <c r="H1732" i="6"/>
  <c r="G1732" i="6"/>
  <c r="F1732" i="6"/>
  <c r="D1732" i="6"/>
  <c r="U1732" i="6" s="1"/>
  <c r="C1732" i="6"/>
  <c r="B1732" i="6"/>
  <c r="Q1731" i="6"/>
  <c r="P1731" i="6"/>
  <c r="N1731" i="6"/>
  <c r="M1731" i="6"/>
  <c r="L1731" i="6"/>
  <c r="K1731" i="6"/>
  <c r="J1731" i="6"/>
  <c r="I1731" i="6"/>
  <c r="H1731" i="6"/>
  <c r="G1731" i="6"/>
  <c r="F1731" i="6"/>
  <c r="D1731" i="6"/>
  <c r="U1731" i="6" s="1"/>
  <c r="C1731" i="6"/>
  <c r="B1731" i="6"/>
  <c r="E1731" i="6" s="1"/>
  <c r="Q1730" i="6"/>
  <c r="N1730" i="6"/>
  <c r="M1730" i="6"/>
  <c r="L1730" i="6"/>
  <c r="K1730" i="6"/>
  <c r="J1730" i="6"/>
  <c r="I1730" i="6"/>
  <c r="P1730" i="6" s="1"/>
  <c r="H1730" i="6"/>
  <c r="G1730" i="6"/>
  <c r="F1730" i="6"/>
  <c r="D1730" i="6"/>
  <c r="U1730" i="6" s="1"/>
  <c r="C1730" i="6"/>
  <c r="B1730" i="6"/>
  <c r="U1729" i="6"/>
  <c r="Q1729" i="6"/>
  <c r="N1729" i="6"/>
  <c r="M1729" i="6"/>
  <c r="L1729" i="6"/>
  <c r="K1729" i="6"/>
  <c r="J1729" i="6"/>
  <c r="I1729" i="6"/>
  <c r="P1729" i="6" s="1"/>
  <c r="H1729" i="6"/>
  <c r="G1729" i="6"/>
  <c r="F1729" i="6"/>
  <c r="D1729" i="6"/>
  <c r="C1729" i="6"/>
  <c r="B1729" i="6"/>
  <c r="E1729" i="6" s="1"/>
  <c r="Q1728" i="6"/>
  <c r="P1728" i="6"/>
  <c r="N1728" i="6"/>
  <c r="M1728" i="6"/>
  <c r="L1728" i="6"/>
  <c r="K1728" i="6"/>
  <c r="J1728" i="6"/>
  <c r="I1728" i="6"/>
  <c r="H1728" i="6"/>
  <c r="G1728" i="6"/>
  <c r="F1728" i="6"/>
  <c r="D1728" i="6"/>
  <c r="U1728" i="6" s="1"/>
  <c r="C1728" i="6"/>
  <c r="B1728" i="6"/>
  <c r="Q1727" i="6"/>
  <c r="P1727" i="6"/>
  <c r="N1727" i="6"/>
  <c r="M1727" i="6"/>
  <c r="L1727" i="6"/>
  <c r="K1727" i="6"/>
  <c r="J1727" i="6"/>
  <c r="I1727" i="6"/>
  <c r="H1727" i="6"/>
  <c r="G1727" i="6"/>
  <c r="F1727" i="6"/>
  <c r="D1727" i="6"/>
  <c r="U1727" i="6" s="1"/>
  <c r="C1727" i="6"/>
  <c r="B1727" i="6"/>
  <c r="E1727" i="6" s="1"/>
  <c r="Q1726" i="6"/>
  <c r="N1726" i="6"/>
  <c r="M1726" i="6"/>
  <c r="L1726" i="6"/>
  <c r="K1726" i="6"/>
  <c r="J1726" i="6"/>
  <c r="I1726" i="6"/>
  <c r="P1726" i="6" s="1"/>
  <c r="H1726" i="6"/>
  <c r="G1726" i="6"/>
  <c r="F1726" i="6"/>
  <c r="D1726" i="6"/>
  <c r="U1726" i="6" s="1"/>
  <c r="C1726" i="6"/>
  <c r="B1726" i="6"/>
  <c r="U1725" i="6"/>
  <c r="Q1725" i="6"/>
  <c r="N1725" i="6"/>
  <c r="M1725" i="6"/>
  <c r="L1725" i="6"/>
  <c r="K1725" i="6"/>
  <c r="J1725" i="6"/>
  <c r="I1725" i="6"/>
  <c r="P1725" i="6" s="1"/>
  <c r="H1725" i="6"/>
  <c r="G1725" i="6"/>
  <c r="F1725" i="6"/>
  <c r="D1725" i="6"/>
  <c r="C1725" i="6"/>
  <c r="B1725" i="6"/>
  <c r="E1725" i="6" s="1"/>
  <c r="Q1724" i="6"/>
  <c r="P1724" i="6"/>
  <c r="N1724" i="6"/>
  <c r="M1724" i="6"/>
  <c r="L1724" i="6"/>
  <c r="K1724" i="6"/>
  <c r="J1724" i="6"/>
  <c r="I1724" i="6"/>
  <c r="H1724" i="6"/>
  <c r="G1724" i="6"/>
  <c r="F1724" i="6"/>
  <c r="D1724" i="6"/>
  <c r="U1724" i="6" s="1"/>
  <c r="C1724" i="6"/>
  <c r="B1724" i="6"/>
  <c r="Q1723" i="6"/>
  <c r="P1723" i="6"/>
  <c r="N1723" i="6"/>
  <c r="M1723" i="6"/>
  <c r="L1723" i="6"/>
  <c r="K1723" i="6"/>
  <c r="J1723" i="6"/>
  <c r="I1723" i="6"/>
  <c r="H1723" i="6"/>
  <c r="G1723" i="6"/>
  <c r="F1723" i="6"/>
  <c r="D1723" i="6"/>
  <c r="U1723" i="6" s="1"/>
  <c r="C1723" i="6"/>
  <c r="B1723" i="6"/>
  <c r="E1723" i="6" s="1"/>
  <c r="Q1722" i="6"/>
  <c r="N1722" i="6"/>
  <c r="M1722" i="6"/>
  <c r="L1722" i="6"/>
  <c r="K1722" i="6"/>
  <c r="J1722" i="6"/>
  <c r="I1722" i="6"/>
  <c r="P1722" i="6" s="1"/>
  <c r="H1722" i="6"/>
  <c r="G1722" i="6"/>
  <c r="F1722" i="6"/>
  <c r="D1722" i="6"/>
  <c r="U1722" i="6" s="1"/>
  <c r="C1722" i="6"/>
  <c r="B1722" i="6"/>
  <c r="U1721" i="6"/>
  <c r="Q1721" i="6"/>
  <c r="N1721" i="6"/>
  <c r="M1721" i="6"/>
  <c r="L1721" i="6"/>
  <c r="K1721" i="6"/>
  <c r="J1721" i="6"/>
  <c r="I1721" i="6"/>
  <c r="P1721" i="6" s="1"/>
  <c r="H1721" i="6"/>
  <c r="G1721" i="6"/>
  <c r="F1721" i="6"/>
  <c r="D1721" i="6"/>
  <c r="C1721" i="6"/>
  <c r="B1721" i="6"/>
  <c r="E1721" i="6" s="1"/>
  <c r="Q1720" i="6"/>
  <c r="P1720" i="6"/>
  <c r="N1720" i="6"/>
  <c r="M1720" i="6"/>
  <c r="L1720" i="6"/>
  <c r="K1720" i="6"/>
  <c r="J1720" i="6"/>
  <c r="I1720" i="6"/>
  <c r="H1720" i="6"/>
  <c r="G1720" i="6"/>
  <c r="F1720" i="6"/>
  <c r="D1720" i="6"/>
  <c r="U1720" i="6" s="1"/>
  <c r="C1720" i="6"/>
  <c r="B1720" i="6"/>
  <c r="Q1719" i="6"/>
  <c r="P1719" i="6"/>
  <c r="N1719" i="6"/>
  <c r="M1719" i="6"/>
  <c r="L1719" i="6"/>
  <c r="K1719" i="6"/>
  <c r="J1719" i="6"/>
  <c r="I1719" i="6"/>
  <c r="H1719" i="6"/>
  <c r="G1719" i="6"/>
  <c r="F1719" i="6"/>
  <c r="D1719" i="6"/>
  <c r="U1719" i="6" s="1"/>
  <c r="C1719" i="6"/>
  <c r="B1719" i="6"/>
  <c r="E1719" i="6" s="1"/>
  <c r="Q1718" i="6"/>
  <c r="N1718" i="6"/>
  <c r="M1718" i="6"/>
  <c r="L1718" i="6"/>
  <c r="K1718" i="6"/>
  <c r="J1718" i="6"/>
  <c r="I1718" i="6"/>
  <c r="P1718" i="6" s="1"/>
  <c r="H1718" i="6"/>
  <c r="G1718" i="6"/>
  <c r="F1718" i="6"/>
  <c r="D1718" i="6"/>
  <c r="U1718" i="6" s="1"/>
  <c r="C1718" i="6"/>
  <c r="B1718" i="6"/>
  <c r="Q1717" i="6"/>
  <c r="N1717" i="6"/>
  <c r="M1717" i="6"/>
  <c r="L1717" i="6"/>
  <c r="K1717" i="6"/>
  <c r="J1717" i="6"/>
  <c r="I1717" i="6"/>
  <c r="P1717" i="6" s="1"/>
  <c r="H1717" i="6"/>
  <c r="G1717" i="6"/>
  <c r="F1717" i="6"/>
  <c r="D1717" i="6"/>
  <c r="U1717" i="6" s="1"/>
  <c r="C1717" i="6"/>
  <c r="B1717" i="6"/>
  <c r="E1717" i="6" s="1"/>
  <c r="Q1716" i="6"/>
  <c r="P1716" i="6"/>
  <c r="N1716" i="6"/>
  <c r="M1716" i="6"/>
  <c r="L1716" i="6"/>
  <c r="K1716" i="6"/>
  <c r="J1716" i="6"/>
  <c r="I1716" i="6"/>
  <c r="H1716" i="6"/>
  <c r="G1716" i="6"/>
  <c r="F1716" i="6"/>
  <c r="D1716" i="6"/>
  <c r="U1716" i="6" s="1"/>
  <c r="C1716" i="6"/>
  <c r="B1716" i="6"/>
  <c r="Q1715" i="6"/>
  <c r="P1715" i="6"/>
  <c r="N1715" i="6"/>
  <c r="M1715" i="6"/>
  <c r="L1715" i="6"/>
  <c r="K1715" i="6"/>
  <c r="J1715" i="6"/>
  <c r="I1715" i="6"/>
  <c r="H1715" i="6"/>
  <c r="G1715" i="6"/>
  <c r="F1715" i="6"/>
  <c r="D1715" i="6"/>
  <c r="U1715" i="6" s="1"/>
  <c r="C1715" i="6"/>
  <c r="B1715" i="6"/>
  <c r="E1715" i="6" s="1"/>
  <c r="Q1714" i="6"/>
  <c r="N1714" i="6"/>
  <c r="M1714" i="6"/>
  <c r="L1714" i="6"/>
  <c r="K1714" i="6"/>
  <c r="J1714" i="6"/>
  <c r="I1714" i="6"/>
  <c r="P1714" i="6" s="1"/>
  <c r="H1714" i="6"/>
  <c r="G1714" i="6"/>
  <c r="F1714" i="6"/>
  <c r="D1714" i="6"/>
  <c r="U1714" i="6" s="1"/>
  <c r="C1714" i="6"/>
  <c r="B1714" i="6"/>
  <c r="U1713" i="6"/>
  <c r="Q1713" i="6"/>
  <c r="N1713" i="6"/>
  <c r="M1713" i="6"/>
  <c r="L1713" i="6"/>
  <c r="K1713" i="6"/>
  <c r="J1713" i="6"/>
  <c r="I1713" i="6"/>
  <c r="P1713" i="6" s="1"/>
  <c r="H1713" i="6"/>
  <c r="G1713" i="6"/>
  <c r="F1713" i="6"/>
  <c r="D1713" i="6"/>
  <c r="C1713" i="6"/>
  <c r="B1713" i="6"/>
  <c r="E1713" i="6" s="1"/>
  <c r="Q1712" i="6"/>
  <c r="P1712" i="6"/>
  <c r="N1712" i="6"/>
  <c r="M1712" i="6"/>
  <c r="L1712" i="6"/>
  <c r="K1712" i="6"/>
  <c r="J1712" i="6"/>
  <c r="I1712" i="6"/>
  <c r="H1712" i="6"/>
  <c r="G1712" i="6"/>
  <c r="F1712" i="6"/>
  <c r="D1712" i="6"/>
  <c r="U1712" i="6" s="1"/>
  <c r="C1712" i="6"/>
  <c r="B1712" i="6"/>
  <c r="Q1711" i="6"/>
  <c r="P1711" i="6"/>
  <c r="N1711" i="6"/>
  <c r="M1711" i="6"/>
  <c r="L1711" i="6"/>
  <c r="K1711" i="6"/>
  <c r="J1711" i="6"/>
  <c r="I1711" i="6"/>
  <c r="H1711" i="6"/>
  <c r="G1711" i="6"/>
  <c r="F1711" i="6"/>
  <c r="D1711" i="6"/>
  <c r="U1711" i="6" s="1"/>
  <c r="C1711" i="6"/>
  <c r="B1711" i="6"/>
  <c r="E1711" i="6" s="1"/>
  <c r="Q1710" i="6"/>
  <c r="N1710" i="6"/>
  <c r="M1710" i="6"/>
  <c r="L1710" i="6"/>
  <c r="K1710" i="6"/>
  <c r="J1710" i="6"/>
  <c r="I1710" i="6"/>
  <c r="P1710" i="6" s="1"/>
  <c r="H1710" i="6"/>
  <c r="G1710" i="6"/>
  <c r="F1710" i="6"/>
  <c r="D1710" i="6"/>
  <c r="U1710" i="6" s="1"/>
  <c r="C1710" i="6"/>
  <c r="B1710" i="6"/>
  <c r="U1709" i="6"/>
  <c r="Q1709" i="6"/>
  <c r="N1709" i="6"/>
  <c r="M1709" i="6"/>
  <c r="L1709" i="6"/>
  <c r="K1709" i="6"/>
  <c r="J1709" i="6"/>
  <c r="I1709" i="6"/>
  <c r="P1709" i="6" s="1"/>
  <c r="H1709" i="6"/>
  <c r="G1709" i="6"/>
  <c r="F1709" i="6"/>
  <c r="D1709" i="6"/>
  <c r="C1709" i="6"/>
  <c r="B1709" i="6"/>
  <c r="E1709" i="6" s="1"/>
  <c r="Q1708" i="6"/>
  <c r="P1708" i="6"/>
  <c r="N1708" i="6"/>
  <c r="M1708" i="6"/>
  <c r="L1708" i="6"/>
  <c r="K1708" i="6"/>
  <c r="J1708" i="6"/>
  <c r="I1708" i="6"/>
  <c r="H1708" i="6"/>
  <c r="G1708" i="6"/>
  <c r="F1708" i="6"/>
  <c r="D1708" i="6"/>
  <c r="U1708" i="6" s="1"/>
  <c r="C1708" i="6"/>
  <c r="B1708" i="6"/>
  <c r="Q1707" i="6"/>
  <c r="P1707" i="6"/>
  <c r="N1707" i="6"/>
  <c r="M1707" i="6"/>
  <c r="L1707" i="6"/>
  <c r="K1707" i="6"/>
  <c r="J1707" i="6"/>
  <c r="I1707" i="6"/>
  <c r="H1707" i="6"/>
  <c r="G1707" i="6"/>
  <c r="F1707" i="6"/>
  <c r="D1707" i="6"/>
  <c r="U1707" i="6" s="1"/>
  <c r="C1707" i="6"/>
  <c r="B1707" i="6"/>
  <c r="E1707" i="6" s="1"/>
  <c r="Q1706" i="6"/>
  <c r="N1706" i="6"/>
  <c r="M1706" i="6"/>
  <c r="L1706" i="6"/>
  <c r="K1706" i="6"/>
  <c r="J1706" i="6"/>
  <c r="I1706" i="6"/>
  <c r="P1706" i="6" s="1"/>
  <c r="H1706" i="6"/>
  <c r="G1706" i="6"/>
  <c r="F1706" i="6"/>
  <c r="D1706" i="6"/>
  <c r="U1706" i="6" s="1"/>
  <c r="C1706" i="6"/>
  <c r="B1706" i="6"/>
  <c r="U1705" i="6"/>
  <c r="Q1705" i="6"/>
  <c r="N1705" i="6"/>
  <c r="M1705" i="6"/>
  <c r="L1705" i="6"/>
  <c r="K1705" i="6"/>
  <c r="J1705" i="6"/>
  <c r="I1705" i="6"/>
  <c r="P1705" i="6" s="1"/>
  <c r="H1705" i="6"/>
  <c r="G1705" i="6"/>
  <c r="F1705" i="6"/>
  <c r="D1705" i="6"/>
  <c r="C1705" i="6"/>
  <c r="B1705" i="6"/>
  <c r="E1705" i="6" s="1"/>
  <c r="Q1704" i="6"/>
  <c r="P1704" i="6"/>
  <c r="N1704" i="6"/>
  <c r="M1704" i="6"/>
  <c r="L1704" i="6"/>
  <c r="K1704" i="6"/>
  <c r="J1704" i="6"/>
  <c r="I1704" i="6"/>
  <c r="H1704" i="6"/>
  <c r="G1704" i="6"/>
  <c r="F1704" i="6"/>
  <c r="D1704" i="6"/>
  <c r="U1704" i="6" s="1"/>
  <c r="C1704" i="6"/>
  <c r="B1704" i="6"/>
  <c r="E1704" i="6" s="1"/>
  <c r="Q1703" i="6"/>
  <c r="N1703" i="6"/>
  <c r="M1703" i="6"/>
  <c r="L1703" i="6"/>
  <c r="K1703" i="6"/>
  <c r="J1703" i="6"/>
  <c r="I1703" i="6"/>
  <c r="P1703" i="6" s="1"/>
  <c r="H1703" i="6"/>
  <c r="G1703" i="6"/>
  <c r="F1703" i="6"/>
  <c r="D1703" i="6"/>
  <c r="U1703" i="6" s="1"/>
  <c r="C1703" i="6"/>
  <c r="B1703" i="6"/>
  <c r="E1703" i="6" s="1"/>
  <c r="Q1702" i="6"/>
  <c r="P1702" i="6"/>
  <c r="N1702" i="6"/>
  <c r="M1702" i="6"/>
  <c r="L1702" i="6"/>
  <c r="K1702" i="6"/>
  <c r="J1702" i="6"/>
  <c r="I1702" i="6"/>
  <c r="H1702" i="6"/>
  <c r="G1702" i="6"/>
  <c r="F1702" i="6"/>
  <c r="D1702" i="6"/>
  <c r="U1702" i="6" s="1"/>
  <c r="C1702" i="6"/>
  <c r="B1702" i="6"/>
  <c r="E1702" i="6" s="1"/>
  <c r="Q1701" i="6"/>
  <c r="N1701" i="6"/>
  <c r="M1701" i="6"/>
  <c r="L1701" i="6"/>
  <c r="K1701" i="6"/>
  <c r="J1701" i="6"/>
  <c r="I1701" i="6"/>
  <c r="P1701" i="6" s="1"/>
  <c r="H1701" i="6"/>
  <c r="G1701" i="6"/>
  <c r="F1701" i="6"/>
  <c r="D1701" i="6"/>
  <c r="U1701" i="6" s="1"/>
  <c r="C1701" i="6"/>
  <c r="B1701" i="6"/>
  <c r="E1701" i="6" s="1"/>
  <c r="Q1700" i="6"/>
  <c r="P1700" i="6"/>
  <c r="N1700" i="6"/>
  <c r="M1700" i="6"/>
  <c r="L1700" i="6"/>
  <c r="K1700" i="6"/>
  <c r="J1700" i="6"/>
  <c r="I1700" i="6"/>
  <c r="H1700" i="6"/>
  <c r="G1700" i="6"/>
  <c r="F1700" i="6"/>
  <c r="D1700" i="6"/>
  <c r="U1700" i="6" s="1"/>
  <c r="C1700" i="6"/>
  <c r="B1700" i="6"/>
  <c r="E1700" i="6" s="1"/>
  <c r="Q1699" i="6"/>
  <c r="N1699" i="6"/>
  <c r="M1699" i="6"/>
  <c r="L1699" i="6"/>
  <c r="K1699" i="6"/>
  <c r="J1699" i="6"/>
  <c r="I1699" i="6"/>
  <c r="P1699" i="6" s="1"/>
  <c r="H1699" i="6"/>
  <c r="G1699" i="6"/>
  <c r="F1699" i="6"/>
  <c r="D1699" i="6"/>
  <c r="U1699" i="6" s="1"/>
  <c r="C1699" i="6"/>
  <c r="B1699" i="6"/>
  <c r="E1699" i="6" s="1"/>
  <c r="Q1698" i="6"/>
  <c r="P1698" i="6"/>
  <c r="N1698" i="6"/>
  <c r="M1698" i="6"/>
  <c r="L1698" i="6"/>
  <c r="K1698" i="6"/>
  <c r="J1698" i="6"/>
  <c r="I1698" i="6"/>
  <c r="H1698" i="6"/>
  <c r="G1698" i="6"/>
  <c r="F1698" i="6"/>
  <c r="D1698" i="6"/>
  <c r="U1698" i="6" s="1"/>
  <c r="C1698" i="6"/>
  <c r="B1698" i="6"/>
  <c r="E1698" i="6" s="1"/>
  <c r="Q1697" i="6"/>
  <c r="N1697" i="6"/>
  <c r="M1697" i="6"/>
  <c r="L1697" i="6"/>
  <c r="K1697" i="6"/>
  <c r="J1697" i="6"/>
  <c r="I1697" i="6"/>
  <c r="P1697" i="6" s="1"/>
  <c r="H1697" i="6"/>
  <c r="G1697" i="6"/>
  <c r="F1697" i="6"/>
  <c r="D1697" i="6"/>
  <c r="U1697" i="6" s="1"/>
  <c r="C1697" i="6"/>
  <c r="B1697" i="6"/>
  <c r="E1697" i="6" s="1"/>
  <c r="Q1696" i="6"/>
  <c r="P1696" i="6"/>
  <c r="N1696" i="6"/>
  <c r="M1696" i="6"/>
  <c r="L1696" i="6"/>
  <c r="K1696" i="6"/>
  <c r="J1696" i="6"/>
  <c r="I1696" i="6"/>
  <c r="H1696" i="6"/>
  <c r="G1696" i="6"/>
  <c r="F1696" i="6"/>
  <c r="D1696" i="6"/>
  <c r="U1696" i="6" s="1"/>
  <c r="C1696" i="6"/>
  <c r="B1696" i="6"/>
  <c r="E1696" i="6" s="1"/>
  <c r="Q1695" i="6"/>
  <c r="N1695" i="6"/>
  <c r="M1695" i="6"/>
  <c r="L1695" i="6"/>
  <c r="K1695" i="6"/>
  <c r="J1695" i="6"/>
  <c r="I1695" i="6"/>
  <c r="P1695" i="6" s="1"/>
  <c r="H1695" i="6"/>
  <c r="G1695" i="6"/>
  <c r="F1695" i="6"/>
  <c r="D1695" i="6"/>
  <c r="U1695" i="6" s="1"/>
  <c r="C1695" i="6"/>
  <c r="B1695" i="6"/>
  <c r="E1695" i="6" s="1"/>
  <c r="Q1694" i="6"/>
  <c r="P1694" i="6"/>
  <c r="N1694" i="6"/>
  <c r="M1694" i="6"/>
  <c r="L1694" i="6"/>
  <c r="K1694" i="6"/>
  <c r="J1694" i="6"/>
  <c r="I1694" i="6"/>
  <c r="H1694" i="6"/>
  <c r="G1694" i="6"/>
  <c r="F1694" i="6"/>
  <c r="D1694" i="6"/>
  <c r="U1694" i="6" s="1"/>
  <c r="C1694" i="6"/>
  <c r="B1694" i="6"/>
  <c r="E1694" i="6" s="1"/>
  <c r="Q1693" i="6"/>
  <c r="N1693" i="6"/>
  <c r="M1693" i="6"/>
  <c r="L1693" i="6"/>
  <c r="K1693" i="6"/>
  <c r="J1693" i="6"/>
  <c r="I1693" i="6"/>
  <c r="P1693" i="6" s="1"/>
  <c r="H1693" i="6"/>
  <c r="G1693" i="6"/>
  <c r="F1693" i="6"/>
  <c r="D1693" i="6"/>
  <c r="U1693" i="6" s="1"/>
  <c r="C1693" i="6"/>
  <c r="B1693" i="6"/>
  <c r="E1693" i="6" s="1"/>
  <c r="Q1692" i="6"/>
  <c r="P1692" i="6"/>
  <c r="N1692" i="6"/>
  <c r="M1692" i="6"/>
  <c r="L1692" i="6"/>
  <c r="K1692" i="6"/>
  <c r="J1692" i="6"/>
  <c r="I1692" i="6"/>
  <c r="H1692" i="6"/>
  <c r="G1692" i="6"/>
  <c r="F1692" i="6"/>
  <c r="D1692" i="6"/>
  <c r="U1692" i="6" s="1"/>
  <c r="C1692" i="6"/>
  <c r="B1692" i="6"/>
  <c r="E1692" i="6" s="1"/>
  <c r="Q1691" i="6"/>
  <c r="N1691" i="6"/>
  <c r="M1691" i="6"/>
  <c r="L1691" i="6"/>
  <c r="K1691" i="6"/>
  <c r="J1691" i="6"/>
  <c r="I1691" i="6"/>
  <c r="P1691" i="6" s="1"/>
  <c r="H1691" i="6"/>
  <c r="G1691" i="6"/>
  <c r="F1691" i="6"/>
  <c r="D1691" i="6"/>
  <c r="U1691" i="6" s="1"/>
  <c r="C1691" i="6"/>
  <c r="B1691" i="6"/>
  <c r="E1691" i="6" s="1"/>
  <c r="Q1690" i="6"/>
  <c r="P1690" i="6"/>
  <c r="N1690" i="6"/>
  <c r="M1690" i="6"/>
  <c r="L1690" i="6"/>
  <c r="K1690" i="6"/>
  <c r="J1690" i="6"/>
  <c r="I1690" i="6"/>
  <c r="H1690" i="6"/>
  <c r="G1690" i="6"/>
  <c r="F1690" i="6"/>
  <c r="D1690" i="6"/>
  <c r="U1690" i="6" s="1"/>
  <c r="C1690" i="6"/>
  <c r="B1690" i="6"/>
  <c r="E1690" i="6" s="1"/>
  <c r="Q1689" i="6"/>
  <c r="N1689" i="6"/>
  <c r="M1689" i="6"/>
  <c r="L1689" i="6"/>
  <c r="K1689" i="6"/>
  <c r="J1689" i="6"/>
  <c r="I1689" i="6"/>
  <c r="P1689" i="6" s="1"/>
  <c r="H1689" i="6"/>
  <c r="G1689" i="6"/>
  <c r="F1689" i="6"/>
  <c r="D1689" i="6"/>
  <c r="U1689" i="6" s="1"/>
  <c r="C1689" i="6"/>
  <c r="B1689" i="6"/>
  <c r="E1689" i="6" s="1"/>
  <c r="Q1688" i="6"/>
  <c r="P1688" i="6"/>
  <c r="N1688" i="6"/>
  <c r="M1688" i="6"/>
  <c r="L1688" i="6"/>
  <c r="K1688" i="6"/>
  <c r="J1688" i="6"/>
  <c r="I1688" i="6"/>
  <c r="H1688" i="6"/>
  <c r="G1688" i="6"/>
  <c r="F1688" i="6"/>
  <c r="D1688" i="6"/>
  <c r="U1688" i="6" s="1"/>
  <c r="C1688" i="6"/>
  <c r="B1688" i="6"/>
  <c r="E1688" i="6" s="1"/>
  <c r="Q1687" i="6"/>
  <c r="N1687" i="6"/>
  <c r="M1687" i="6"/>
  <c r="L1687" i="6"/>
  <c r="K1687" i="6"/>
  <c r="J1687" i="6"/>
  <c r="I1687" i="6"/>
  <c r="P1687" i="6" s="1"/>
  <c r="H1687" i="6"/>
  <c r="G1687" i="6"/>
  <c r="F1687" i="6"/>
  <c r="D1687" i="6"/>
  <c r="U1687" i="6" s="1"/>
  <c r="C1687" i="6"/>
  <c r="B1687" i="6"/>
  <c r="E1687" i="6" s="1"/>
  <c r="Q1686" i="6"/>
  <c r="P1686" i="6"/>
  <c r="N1686" i="6"/>
  <c r="M1686" i="6"/>
  <c r="L1686" i="6"/>
  <c r="K1686" i="6"/>
  <c r="J1686" i="6"/>
  <c r="I1686" i="6"/>
  <c r="H1686" i="6"/>
  <c r="G1686" i="6"/>
  <c r="F1686" i="6"/>
  <c r="D1686" i="6"/>
  <c r="U1686" i="6" s="1"/>
  <c r="C1686" i="6"/>
  <c r="B1686" i="6"/>
  <c r="E1686" i="6" s="1"/>
  <c r="Q1685" i="6"/>
  <c r="N1685" i="6"/>
  <c r="M1685" i="6"/>
  <c r="L1685" i="6"/>
  <c r="K1685" i="6"/>
  <c r="J1685" i="6"/>
  <c r="I1685" i="6"/>
  <c r="P1685" i="6" s="1"/>
  <c r="H1685" i="6"/>
  <c r="G1685" i="6"/>
  <c r="F1685" i="6"/>
  <c r="D1685" i="6"/>
  <c r="U1685" i="6" s="1"/>
  <c r="C1685" i="6"/>
  <c r="B1685" i="6"/>
  <c r="E1685" i="6" s="1"/>
  <c r="Q1684" i="6"/>
  <c r="P1684" i="6"/>
  <c r="N1684" i="6"/>
  <c r="M1684" i="6"/>
  <c r="L1684" i="6"/>
  <c r="K1684" i="6"/>
  <c r="J1684" i="6"/>
  <c r="I1684" i="6"/>
  <c r="H1684" i="6"/>
  <c r="G1684" i="6"/>
  <c r="F1684" i="6"/>
  <c r="D1684" i="6"/>
  <c r="U1684" i="6" s="1"/>
  <c r="C1684" i="6"/>
  <c r="B1684" i="6"/>
  <c r="E1684" i="6" s="1"/>
  <c r="Q1683" i="6"/>
  <c r="N1683" i="6"/>
  <c r="M1683" i="6"/>
  <c r="L1683" i="6"/>
  <c r="K1683" i="6"/>
  <c r="J1683" i="6"/>
  <c r="I1683" i="6"/>
  <c r="P1683" i="6" s="1"/>
  <c r="H1683" i="6"/>
  <c r="G1683" i="6"/>
  <c r="F1683" i="6"/>
  <c r="D1683" i="6"/>
  <c r="U1683" i="6" s="1"/>
  <c r="C1683" i="6"/>
  <c r="B1683" i="6"/>
  <c r="E1683" i="6" s="1"/>
  <c r="Q1682" i="6"/>
  <c r="P1682" i="6"/>
  <c r="N1682" i="6"/>
  <c r="M1682" i="6"/>
  <c r="L1682" i="6"/>
  <c r="K1682" i="6"/>
  <c r="J1682" i="6"/>
  <c r="I1682" i="6"/>
  <c r="H1682" i="6"/>
  <c r="G1682" i="6"/>
  <c r="F1682" i="6"/>
  <c r="D1682" i="6"/>
  <c r="U1682" i="6" s="1"/>
  <c r="C1682" i="6"/>
  <c r="B1682" i="6"/>
  <c r="E1682" i="6" s="1"/>
  <c r="Q1681" i="6"/>
  <c r="N1681" i="6"/>
  <c r="M1681" i="6"/>
  <c r="L1681" i="6"/>
  <c r="K1681" i="6"/>
  <c r="J1681" i="6"/>
  <c r="I1681" i="6"/>
  <c r="P1681" i="6" s="1"/>
  <c r="H1681" i="6"/>
  <c r="G1681" i="6"/>
  <c r="F1681" i="6"/>
  <c r="D1681" i="6"/>
  <c r="U1681" i="6" s="1"/>
  <c r="C1681" i="6"/>
  <c r="B1681" i="6"/>
  <c r="E1681" i="6" s="1"/>
  <c r="Q1680" i="6"/>
  <c r="P1680" i="6"/>
  <c r="N1680" i="6"/>
  <c r="M1680" i="6"/>
  <c r="L1680" i="6"/>
  <c r="K1680" i="6"/>
  <c r="J1680" i="6"/>
  <c r="I1680" i="6"/>
  <c r="H1680" i="6"/>
  <c r="G1680" i="6"/>
  <c r="F1680" i="6"/>
  <c r="D1680" i="6"/>
  <c r="U1680" i="6" s="1"/>
  <c r="C1680" i="6"/>
  <c r="B1680" i="6"/>
  <c r="E1680" i="6" s="1"/>
  <c r="Q1679" i="6"/>
  <c r="N1679" i="6"/>
  <c r="M1679" i="6"/>
  <c r="L1679" i="6"/>
  <c r="K1679" i="6"/>
  <c r="J1679" i="6"/>
  <c r="I1679" i="6"/>
  <c r="P1679" i="6" s="1"/>
  <c r="H1679" i="6"/>
  <c r="G1679" i="6"/>
  <c r="F1679" i="6"/>
  <c r="D1679" i="6"/>
  <c r="U1679" i="6" s="1"/>
  <c r="C1679" i="6"/>
  <c r="B1679" i="6"/>
  <c r="E1679" i="6" s="1"/>
  <c r="Q1678" i="6"/>
  <c r="P1678" i="6"/>
  <c r="N1678" i="6"/>
  <c r="M1678" i="6"/>
  <c r="L1678" i="6"/>
  <c r="K1678" i="6"/>
  <c r="J1678" i="6"/>
  <c r="I1678" i="6"/>
  <c r="H1678" i="6"/>
  <c r="G1678" i="6"/>
  <c r="F1678" i="6"/>
  <c r="D1678" i="6"/>
  <c r="U1678" i="6" s="1"/>
  <c r="C1678" i="6"/>
  <c r="B1678" i="6"/>
  <c r="E1678" i="6" s="1"/>
  <c r="Q1677" i="6"/>
  <c r="N1677" i="6"/>
  <c r="M1677" i="6"/>
  <c r="L1677" i="6"/>
  <c r="K1677" i="6"/>
  <c r="J1677" i="6"/>
  <c r="I1677" i="6"/>
  <c r="P1677" i="6" s="1"/>
  <c r="H1677" i="6"/>
  <c r="G1677" i="6"/>
  <c r="F1677" i="6"/>
  <c r="D1677" i="6"/>
  <c r="U1677" i="6" s="1"/>
  <c r="C1677" i="6"/>
  <c r="B1677" i="6"/>
  <c r="E1677" i="6" s="1"/>
  <c r="Q1676" i="6"/>
  <c r="P1676" i="6"/>
  <c r="N1676" i="6"/>
  <c r="M1676" i="6"/>
  <c r="L1676" i="6"/>
  <c r="K1676" i="6"/>
  <c r="J1676" i="6"/>
  <c r="I1676" i="6"/>
  <c r="H1676" i="6"/>
  <c r="G1676" i="6"/>
  <c r="F1676" i="6"/>
  <c r="D1676" i="6"/>
  <c r="U1676" i="6" s="1"/>
  <c r="C1676" i="6"/>
  <c r="B1676" i="6"/>
  <c r="E1676" i="6" s="1"/>
  <c r="Q1675" i="6"/>
  <c r="N1675" i="6"/>
  <c r="M1675" i="6"/>
  <c r="L1675" i="6"/>
  <c r="K1675" i="6"/>
  <c r="J1675" i="6"/>
  <c r="I1675" i="6"/>
  <c r="P1675" i="6" s="1"/>
  <c r="H1675" i="6"/>
  <c r="G1675" i="6"/>
  <c r="F1675" i="6"/>
  <c r="D1675" i="6"/>
  <c r="U1675" i="6" s="1"/>
  <c r="C1675" i="6"/>
  <c r="B1675" i="6"/>
  <c r="E1675" i="6" s="1"/>
  <c r="Q1674" i="6"/>
  <c r="P1674" i="6"/>
  <c r="N1674" i="6"/>
  <c r="M1674" i="6"/>
  <c r="L1674" i="6"/>
  <c r="K1674" i="6"/>
  <c r="J1674" i="6"/>
  <c r="I1674" i="6"/>
  <c r="H1674" i="6"/>
  <c r="G1674" i="6"/>
  <c r="F1674" i="6"/>
  <c r="D1674" i="6"/>
  <c r="U1674" i="6" s="1"/>
  <c r="C1674" i="6"/>
  <c r="B1674" i="6"/>
  <c r="E1674" i="6" s="1"/>
  <c r="Q1673" i="6"/>
  <c r="N1673" i="6"/>
  <c r="M1673" i="6"/>
  <c r="L1673" i="6"/>
  <c r="K1673" i="6"/>
  <c r="J1673" i="6"/>
  <c r="I1673" i="6"/>
  <c r="P1673" i="6" s="1"/>
  <c r="H1673" i="6"/>
  <c r="G1673" i="6"/>
  <c r="F1673" i="6"/>
  <c r="D1673" i="6"/>
  <c r="U1673" i="6" s="1"/>
  <c r="C1673" i="6"/>
  <c r="B1673" i="6"/>
  <c r="E1673" i="6" s="1"/>
  <c r="Q1672" i="6"/>
  <c r="P1672" i="6"/>
  <c r="N1672" i="6"/>
  <c r="M1672" i="6"/>
  <c r="L1672" i="6"/>
  <c r="K1672" i="6"/>
  <c r="J1672" i="6"/>
  <c r="I1672" i="6"/>
  <c r="H1672" i="6"/>
  <c r="G1672" i="6"/>
  <c r="F1672" i="6"/>
  <c r="D1672" i="6"/>
  <c r="U1672" i="6" s="1"/>
  <c r="C1672" i="6"/>
  <c r="B1672" i="6"/>
  <c r="E1672" i="6" s="1"/>
  <c r="Q1671" i="6"/>
  <c r="N1671" i="6"/>
  <c r="M1671" i="6"/>
  <c r="L1671" i="6"/>
  <c r="K1671" i="6"/>
  <c r="J1671" i="6"/>
  <c r="I1671" i="6"/>
  <c r="P1671" i="6" s="1"/>
  <c r="H1671" i="6"/>
  <c r="G1671" i="6"/>
  <c r="F1671" i="6"/>
  <c r="D1671" i="6"/>
  <c r="U1671" i="6" s="1"/>
  <c r="C1671" i="6"/>
  <c r="B1671" i="6"/>
  <c r="E1671" i="6" s="1"/>
  <c r="Q1670" i="6"/>
  <c r="P1670" i="6"/>
  <c r="N1670" i="6"/>
  <c r="M1670" i="6"/>
  <c r="L1670" i="6"/>
  <c r="K1670" i="6"/>
  <c r="J1670" i="6"/>
  <c r="I1670" i="6"/>
  <c r="H1670" i="6"/>
  <c r="G1670" i="6"/>
  <c r="F1670" i="6"/>
  <c r="D1670" i="6"/>
  <c r="U1670" i="6" s="1"/>
  <c r="C1670" i="6"/>
  <c r="B1670" i="6"/>
  <c r="E1670" i="6" s="1"/>
  <c r="Q1669" i="6"/>
  <c r="N1669" i="6"/>
  <c r="M1669" i="6"/>
  <c r="L1669" i="6"/>
  <c r="K1669" i="6"/>
  <c r="J1669" i="6"/>
  <c r="I1669" i="6"/>
  <c r="P1669" i="6" s="1"/>
  <c r="H1669" i="6"/>
  <c r="G1669" i="6"/>
  <c r="F1669" i="6"/>
  <c r="D1669" i="6"/>
  <c r="U1669" i="6" s="1"/>
  <c r="C1669" i="6"/>
  <c r="B1669" i="6"/>
  <c r="E1669" i="6" s="1"/>
  <c r="Q1668" i="6"/>
  <c r="P1668" i="6"/>
  <c r="N1668" i="6"/>
  <c r="M1668" i="6"/>
  <c r="L1668" i="6"/>
  <c r="K1668" i="6"/>
  <c r="J1668" i="6"/>
  <c r="I1668" i="6"/>
  <c r="H1668" i="6"/>
  <c r="G1668" i="6"/>
  <c r="F1668" i="6"/>
  <c r="D1668" i="6"/>
  <c r="U1668" i="6" s="1"/>
  <c r="C1668" i="6"/>
  <c r="B1668" i="6"/>
  <c r="E1668" i="6" s="1"/>
  <c r="Q1667" i="6"/>
  <c r="N1667" i="6"/>
  <c r="M1667" i="6"/>
  <c r="L1667" i="6"/>
  <c r="K1667" i="6"/>
  <c r="J1667" i="6"/>
  <c r="I1667" i="6"/>
  <c r="P1667" i="6" s="1"/>
  <c r="H1667" i="6"/>
  <c r="G1667" i="6"/>
  <c r="F1667" i="6"/>
  <c r="D1667" i="6"/>
  <c r="U1667" i="6" s="1"/>
  <c r="C1667" i="6"/>
  <c r="B1667" i="6"/>
  <c r="E1667" i="6" s="1"/>
  <c r="Q1666" i="6"/>
  <c r="P1666" i="6"/>
  <c r="N1666" i="6"/>
  <c r="M1666" i="6"/>
  <c r="L1666" i="6"/>
  <c r="K1666" i="6"/>
  <c r="J1666" i="6"/>
  <c r="I1666" i="6"/>
  <c r="H1666" i="6"/>
  <c r="G1666" i="6"/>
  <c r="F1666" i="6"/>
  <c r="D1666" i="6"/>
  <c r="U1666" i="6" s="1"/>
  <c r="C1666" i="6"/>
  <c r="B1666" i="6"/>
  <c r="E1666" i="6" s="1"/>
  <c r="Q1665" i="6"/>
  <c r="N1665" i="6"/>
  <c r="M1665" i="6"/>
  <c r="L1665" i="6"/>
  <c r="K1665" i="6"/>
  <c r="J1665" i="6"/>
  <c r="I1665" i="6"/>
  <c r="P1665" i="6" s="1"/>
  <c r="H1665" i="6"/>
  <c r="G1665" i="6"/>
  <c r="F1665" i="6"/>
  <c r="D1665" i="6"/>
  <c r="U1665" i="6" s="1"/>
  <c r="C1665" i="6"/>
  <c r="B1665" i="6"/>
  <c r="E1665" i="6" s="1"/>
  <c r="Q1664" i="6"/>
  <c r="P1664" i="6"/>
  <c r="N1664" i="6"/>
  <c r="M1664" i="6"/>
  <c r="L1664" i="6"/>
  <c r="K1664" i="6"/>
  <c r="J1664" i="6"/>
  <c r="I1664" i="6"/>
  <c r="H1664" i="6"/>
  <c r="G1664" i="6"/>
  <c r="F1664" i="6"/>
  <c r="D1664" i="6"/>
  <c r="U1664" i="6" s="1"/>
  <c r="C1664" i="6"/>
  <c r="B1664" i="6"/>
  <c r="E1664" i="6" s="1"/>
  <c r="Q1663" i="6"/>
  <c r="N1663" i="6"/>
  <c r="M1663" i="6"/>
  <c r="L1663" i="6"/>
  <c r="K1663" i="6"/>
  <c r="J1663" i="6"/>
  <c r="I1663" i="6"/>
  <c r="P1663" i="6" s="1"/>
  <c r="H1663" i="6"/>
  <c r="G1663" i="6"/>
  <c r="F1663" i="6"/>
  <c r="D1663" i="6"/>
  <c r="U1663" i="6" s="1"/>
  <c r="C1663" i="6"/>
  <c r="B1663" i="6"/>
  <c r="E1663" i="6" s="1"/>
  <c r="Q1662" i="6"/>
  <c r="P1662" i="6"/>
  <c r="N1662" i="6"/>
  <c r="M1662" i="6"/>
  <c r="L1662" i="6"/>
  <c r="K1662" i="6"/>
  <c r="J1662" i="6"/>
  <c r="I1662" i="6"/>
  <c r="H1662" i="6"/>
  <c r="G1662" i="6"/>
  <c r="F1662" i="6"/>
  <c r="D1662" i="6"/>
  <c r="U1662" i="6" s="1"/>
  <c r="C1662" i="6"/>
  <c r="B1662" i="6"/>
  <c r="E1662" i="6" s="1"/>
  <c r="Q1661" i="6"/>
  <c r="N1661" i="6"/>
  <c r="M1661" i="6"/>
  <c r="L1661" i="6"/>
  <c r="K1661" i="6"/>
  <c r="J1661" i="6"/>
  <c r="I1661" i="6"/>
  <c r="P1661" i="6" s="1"/>
  <c r="H1661" i="6"/>
  <c r="G1661" i="6"/>
  <c r="F1661" i="6"/>
  <c r="D1661" i="6"/>
  <c r="U1661" i="6" s="1"/>
  <c r="C1661" i="6"/>
  <c r="B1661" i="6"/>
  <c r="E1661" i="6" s="1"/>
  <c r="Q1660" i="6"/>
  <c r="P1660" i="6"/>
  <c r="N1660" i="6"/>
  <c r="M1660" i="6"/>
  <c r="L1660" i="6"/>
  <c r="K1660" i="6"/>
  <c r="J1660" i="6"/>
  <c r="I1660" i="6"/>
  <c r="H1660" i="6"/>
  <c r="G1660" i="6"/>
  <c r="F1660" i="6"/>
  <c r="D1660" i="6"/>
  <c r="U1660" i="6" s="1"/>
  <c r="C1660" i="6"/>
  <c r="B1660" i="6"/>
  <c r="E1660" i="6" s="1"/>
  <c r="Q1659" i="6"/>
  <c r="N1659" i="6"/>
  <c r="M1659" i="6"/>
  <c r="L1659" i="6"/>
  <c r="K1659" i="6"/>
  <c r="J1659" i="6"/>
  <c r="I1659" i="6"/>
  <c r="P1659" i="6" s="1"/>
  <c r="H1659" i="6"/>
  <c r="G1659" i="6"/>
  <c r="F1659" i="6"/>
  <c r="D1659" i="6"/>
  <c r="U1659" i="6" s="1"/>
  <c r="C1659" i="6"/>
  <c r="B1659" i="6"/>
  <c r="E1659" i="6" s="1"/>
  <c r="Q1658" i="6"/>
  <c r="P1658" i="6"/>
  <c r="N1658" i="6"/>
  <c r="M1658" i="6"/>
  <c r="L1658" i="6"/>
  <c r="K1658" i="6"/>
  <c r="J1658" i="6"/>
  <c r="I1658" i="6"/>
  <c r="H1658" i="6"/>
  <c r="G1658" i="6"/>
  <c r="F1658" i="6"/>
  <c r="D1658" i="6"/>
  <c r="U1658" i="6" s="1"/>
  <c r="C1658" i="6"/>
  <c r="B1658" i="6"/>
  <c r="E1658" i="6" s="1"/>
  <c r="Q1657" i="6"/>
  <c r="N1657" i="6"/>
  <c r="M1657" i="6"/>
  <c r="L1657" i="6"/>
  <c r="K1657" i="6"/>
  <c r="J1657" i="6"/>
  <c r="I1657" i="6"/>
  <c r="P1657" i="6" s="1"/>
  <c r="H1657" i="6"/>
  <c r="G1657" i="6"/>
  <c r="F1657" i="6"/>
  <c r="D1657" i="6"/>
  <c r="U1657" i="6" s="1"/>
  <c r="C1657" i="6"/>
  <c r="B1657" i="6"/>
  <c r="E1657" i="6" s="1"/>
  <c r="Q1656" i="6"/>
  <c r="P1656" i="6"/>
  <c r="N1656" i="6"/>
  <c r="M1656" i="6"/>
  <c r="L1656" i="6"/>
  <c r="K1656" i="6"/>
  <c r="J1656" i="6"/>
  <c r="I1656" i="6"/>
  <c r="H1656" i="6"/>
  <c r="G1656" i="6"/>
  <c r="F1656" i="6"/>
  <c r="D1656" i="6"/>
  <c r="U1656" i="6" s="1"/>
  <c r="C1656" i="6"/>
  <c r="B1656" i="6"/>
  <c r="E1656" i="6" s="1"/>
  <c r="Q1655" i="6"/>
  <c r="N1655" i="6"/>
  <c r="M1655" i="6"/>
  <c r="L1655" i="6"/>
  <c r="K1655" i="6"/>
  <c r="J1655" i="6"/>
  <c r="I1655" i="6"/>
  <c r="P1655" i="6" s="1"/>
  <c r="H1655" i="6"/>
  <c r="G1655" i="6"/>
  <c r="F1655" i="6"/>
  <c r="D1655" i="6"/>
  <c r="U1655" i="6" s="1"/>
  <c r="C1655" i="6"/>
  <c r="B1655" i="6"/>
  <c r="E1655" i="6" s="1"/>
  <c r="Q1654" i="6"/>
  <c r="P1654" i="6"/>
  <c r="N1654" i="6"/>
  <c r="M1654" i="6"/>
  <c r="L1654" i="6"/>
  <c r="K1654" i="6"/>
  <c r="J1654" i="6"/>
  <c r="I1654" i="6"/>
  <c r="H1654" i="6"/>
  <c r="G1654" i="6"/>
  <c r="F1654" i="6"/>
  <c r="D1654" i="6"/>
  <c r="U1654" i="6" s="1"/>
  <c r="C1654" i="6"/>
  <c r="B1654" i="6"/>
  <c r="E1654" i="6" s="1"/>
  <c r="Q1653" i="6"/>
  <c r="N1653" i="6"/>
  <c r="M1653" i="6"/>
  <c r="L1653" i="6"/>
  <c r="K1653" i="6"/>
  <c r="J1653" i="6"/>
  <c r="I1653" i="6"/>
  <c r="P1653" i="6" s="1"/>
  <c r="H1653" i="6"/>
  <c r="G1653" i="6"/>
  <c r="F1653" i="6"/>
  <c r="D1653" i="6"/>
  <c r="U1653" i="6" s="1"/>
  <c r="C1653" i="6"/>
  <c r="B1653" i="6"/>
  <c r="E1653" i="6" s="1"/>
  <c r="Q1652" i="6"/>
  <c r="P1652" i="6"/>
  <c r="N1652" i="6"/>
  <c r="M1652" i="6"/>
  <c r="L1652" i="6"/>
  <c r="K1652" i="6"/>
  <c r="J1652" i="6"/>
  <c r="I1652" i="6"/>
  <c r="H1652" i="6"/>
  <c r="G1652" i="6"/>
  <c r="F1652" i="6"/>
  <c r="D1652" i="6"/>
  <c r="U1652" i="6" s="1"/>
  <c r="C1652" i="6"/>
  <c r="B1652" i="6"/>
  <c r="E1652" i="6" s="1"/>
  <c r="Q1651" i="6"/>
  <c r="N1651" i="6"/>
  <c r="M1651" i="6"/>
  <c r="L1651" i="6"/>
  <c r="K1651" i="6"/>
  <c r="J1651" i="6"/>
  <c r="I1651" i="6"/>
  <c r="P1651" i="6" s="1"/>
  <c r="H1651" i="6"/>
  <c r="G1651" i="6"/>
  <c r="F1651" i="6"/>
  <c r="D1651" i="6"/>
  <c r="U1651" i="6" s="1"/>
  <c r="C1651" i="6"/>
  <c r="B1651" i="6"/>
  <c r="E1651" i="6" s="1"/>
  <c r="Q1650" i="6"/>
  <c r="P1650" i="6"/>
  <c r="N1650" i="6"/>
  <c r="M1650" i="6"/>
  <c r="L1650" i="6"/>
  <c r="K1650" i="6"/>
  <c r="J1650" i="6"/>
  <c r="I1650" i="6"/>
  <c r="H1650" i="6"/>
  <c r="G1650" i="6"/>
  <c r="F1650" i="6"/>
  <c r="D1650" i="6"/>
  <c r="U1650" i="6" s="1"/>
  <c r="C1650" i="6"/>
  <c r="B1650" i="6"/>
  <c r="E1650" i="6" s="1"/>
  <c r="Q1649" i="6"/>
  <c r="N1649" i="6"/>
  <c r="M1649" i="6"/>
  <c r="L1649" i="6"/>
  <c r="K1649" i="6"/>
  <c r="J1649" i="6"/>
  <c r="I1649" i="6"/>
  <c r="P1649" i="6" s="1"/>
  <c r="H1649" i="6"/>
  <c r="G1649" i="6"/>
  <c r="F1649" i="6"/>
  <c r="D1649" i="6"/>
  <c r="U1649" i="6" s="1"/>
  <c r="C1649" i="6"/>
  <c r="B1649" i="6"/>
  <c r="E1649" i="6" s="1"/>
  <c r="Q1648" i="6"/>
  <c r="P1648" i="6"/>
  <c r="N1648" i="6"/>
  <c r="M1648" i="6"/>
  <c r="L1648" i="6"/>
  <c r="K1648" i="6"/>
  <c r="J1648" i="6"/>
  <c r="I1648" i="6"/>
  <c r="H1648" i="6"/>
  <c r="G1648" i="6"/>
  <c r="F1648" i="6"/>
  <c r="D1648" i="6"/>
  <c r="U1648" i="6" s="1"/>
  <c r="C1648" i="6"/>
  <c r="B1648" i="6"/>
  <c r="E1648" i="6" s="1"/>
  <c r="Q1647" i="6"/>
  <c r="N1647" i="6"/>
  <c r="M1647" i="6"/>
  <c r="L1647" i="6"/>
  <c r="K1647" i="6"/>
  <c r="J1647" i="6"/>
  <c r="I1647" i="6"/>
  <c r="P1647" i="6" s="1"/>
  <c r="H1647" i="6"/>
  <c r="G1647" i="6"/>
  <c r="F1647" i="6"/>
  <c r="D1647" i="6"/>
  <c r="U1647" i="6" s="1"/>
  <c r="C1647" i="6"/>
  <c r="B1647" i="6"/>
  <c r="E1647" i="6" s="1"/>
  <c r="Q1646" i="6"/>
  <c r="P1646" i="6"/>
  <c r="N1646" i="6"/>
  <c r="M1646" i="6"/>
  <c r="L1646" i="6"/>
  <c r="K1646" i="6"/>
  <c r="J1646" i="6"/>
  <c r="I1646" i="6"/>
  <c r="H1646" i="6"/>
  <c r="G1646" i="6"/>
  <c r="F1646" i="6"/>
  <c r="D1646" i="6"/>
  <c r="U1646" i="6" s="1"/>
  <c r="C1646" i="6"/>
  <c r="B1646" i="6"/>
  <c r="E1646" i="6" s="1"/>
  <c r="Q1645" i="6"/>
  <c r="N1645" i="6"/>
  <c r="M1645" i="6"/>
  <c r="L1645" i="6"/>
  <c r="K1645" i="6"/>
  <c r="J1645" i="6"/>
  <c r="I1645" i="6"/>
  <c r="P1645" i="6" s="1"/>
  <c r="H1645" i="6"/>
  <c r="G1645" i="6"/>
  <c r="F1645" i="6"/>
  <c r="D1645" i="6"/>
  <c r="U1645" i="6" s="1"/>
  <c r="C1645" i="6"/>
  <c r="B1645" i="6"/>
  <c r="E1645" i="6" s="1"/>
  <c r="Q1644" i="6"/>
  <c r="P1644" i="6"/>
  <c r="N1644" i="6"/>
  <c r="M1644" i="6"/>
  <c r="L1644" i="6"/>
  <c r="K1644" i="6"/>
  <c r="J1644" i="6"/>
  <c r="I1644" i="6"/>
  <c r="H1644" i="6"/>
  <c r="G1644" i="6"/>
  <c r="F1644" i="6"/>
  <c r="D1644" i="6"/>
  <c r="U1644" i="6" s="1"/>
  <c r="C1644" i="6"/>
  <c r="B1644" i="6"/>
  <c r="E1644" i="6" s="1"/>
  <c r="Q1643" i="6"/>
  <c r="N1643" i="6"/>
  <c r="M1643" i="6"/>
  <c r="L1643" i="6"/>
  <c r="K1643" i="6"/>
  <c r="J1643" i="6"/>
  <c r="I1643" i="6"/>
  <c r="P1643" i="6" s="1"/>
  <c r="H1643" i="6"/>
  <c r="G1643" i="6"/>
  <c r="F1643" i="6"/>
  <c r="D1643" i="6"/>
  <c r="U1643" i="6" s="1"/>
  <c r="C1643" i="6"/>
  <c r="B1643" i="6"/>
  <c r="E1643" i="6" s="1"/>
  <c r="Q1642" i="6"/>
  <c r="P1642" i="6"/>
  <c r="N1642" i="6"/>
  <c r="M1642" i="6"/>
  <c r="L1642" i="6"/>
  <c r="K1642" i="6"/>
  <c r="J1642" i="6"/>
  <c r="I1642" i="6"/>
  <c r="H1642" i="6"/>
  <c r="G1642" i="6"/>
  <c r="F1642" i="6"/>
  <c r="D1642" i="6"/>
  <c r="U1642" i="6" s="1"/>
  <c r="C1642" i="6"/>
  <c r="B1642" i="6"/>
  <c r="E1642" i="6" s="1"/>
  <c r="Q1641" i="6"/>
  <c r="N1641" i="6"/>
  <c r="M1641" i="6"/>
  <c r="L1641" i="6"/>
  <c r="K1641" i="6"/>
  <c r="J1641" i="6"/>
  <c r="I1641" i="6"/>
  <c r="P1641" i="6" s="1"/>
  <c r="H1641" i="6"/>
  <c r="G1641" i="6"/>
  <c r="F1641" i="6"/>
  <c r="D1641" i="6"/>
  <c r="U1641" i="6" s="1"/>
  <c r="C1641" i="6"/>
  <c r="B1641" i="6"/>
  <c r="E1641" i="6" s="1"/>
  <c r="Q1640" i="6"/>
  <c r="P1640" i="6"/>
  <c r="N1640" i="6"/>
  <c r="M1640" i="6"/>
  <c r="L1640" i="6"/>
  <c r="K1640" i="6"/>
  <c r="J1640" i="6"/>
  <c r="I1640" i="6"/>
  <c r="H1640" i="6"/>
  <c r="G1640" i="6"/>
  <c r="F1640" i="6"/>
  <c r="D1640" i="6"/>
  <c r="U1640" i="6" s="1"/>
  <c r="C1640" i="6"/>
  <c r="B1640" i="6"/>
  <c r="E1640" i="6" s="1"/>
  <c r="Q1639" i="6"/>
  <c r="N1639" i="6"/>
  <c r="M1639" i="6"/>
  <c r="L1639" i="6"/>
  <c r="K1639" i="6"/>
  <c r="J1639" i="6"/>
  <c r="I1639" i="6"/>
  <c r="P1639" i="6" s="1"/>
  <c r="H1639" i="6"/>
  <c r="G1639" i="6"/>
  <c r="F1639" i="6"/>
  <c r="D1639" i="6"/>
  <c r="U1639" i="6" s="1"/>
  <c r="C1639" i="6"/>
  <c r="B1639" i="6"/>
  <c r="E1639" i="6" s="1"/>
  <c r="Q1638" i="6"/>
  <c r="P1638" i="6"/>
  <c r="N1638" i="6"/>
  <c r="M1638" i="6"/>
  <c r="L1638" i="6"/>
  <c r="K1638" i="6"/>
  <c r="J1638" i="6"/>
  <c r="I1638" i="6"/>
  <c r="H1638" i="6"/>
  <c r="G1638" i="6"/>
  <c r="F1638" i="6"/>
  <c r="D1638" i="6"/>
  <c r="U1638" i="6" s="1"/>
  <c r="C1638" i="6"/>
  <c r="B1638" i="6"/>
  <c r="E1638" i="6" s="1"/>
  <c r="Q1637" i="6"/>
  <c r="N1637" i="6"/>
  <c r="M1637" i="6"/>
  <c r="L1637" i="6"/>
  <c r="K1637" i="6"/>
  <c r="J1637" i="6"/>
  <c r="I1637" i="6"/>
  <c r="P1637" i="6" s="1"/>
  <c r="H1637" i="6"/>
  <c r="G1637" i="6"/>
  <c r="F1637" i="6"/>
  <c r="D1637" i="6"/>
  <c r="U1637" i="6" s="1"/>
  <c r="C1637" i="6"/>
  <c r="B1637" i="6"/>
  <c r="E1637" i="6" s="1"/>
  <c r="Q1636" i="6"/>
  <c r="P1636" i="6"/>
  <c r="N1636" i="6"/>
  <c r="M1636" i="6"/>
  <c r="L1636" i="6"/>
  <c r="K1636" i="6"/>
  <c r="J1636" i="6"/>
  <c r="I1636" i="6"/>
  <c r="H1636" i="6"/>
  <c r="G1636" i="6"/>
  <c r="F1636" i="6"/>
  <c r="D1636" i="6"/>
  <c r="U1636" i="6" s="1"/>
  <c r="C1636" i="6"/>
  <c r="B1636" i="6"/>
  <c r="E1636" i="6" s="1"/>
  <c r="Q1635" i="6"/>
  <c r="N1635" i="6"/>
  <c r="M1635" i="6"/>
  <c r="L1635" i="6"/>
  <c r="K1635" i="6"/>
  <c r="J1635" i="6"/>
  <c r="I1635" i="6"/>
  <c r="P1635" i="6" s="1"/>
  <c r="H1635" i="6"/>
  <c r="G1635" i="6"/>
  <c r="F1635" i="6"/>
  <c r="D1635" i="6"/>
  <c r="U1635" i="6" s="1"/>
  <c r="C1635" i="6"/>
  <c r="B1635" i="6"/>
  <c r="E1635" i="6" s="1"/>
  <c r="Q1634" i="6"/>
  <c r="P1634" i="6"/>
  <c r="N1634" i="6"/>
  <c r="M1634" i="6"/>
  <c r="L1634" i="6"/>
  <c r="K1634" i="6"/>
  <c r="J1634" i="6"/>
  <c r="I1634" i="6"/>
  <c r="H1634" i="6"/>
  <c r="G1634" i="6"/>
  <c r="F1634" i="6"/>
  <c r="D1634" i="6"/>
  <c r="U1634" i="6" s="1"/>
  <c r="C1634" i="6"/>
  <c r="B1634" i="6"/>
  <c r="E1634" i="6" s="1"/>
  <c r="Q1633" i="6"/>
  <c r="N1633" i="6"/>
  <c r="M1633" i="6"/>
  <c r="L1633" i="6"/>
  <c r="K1633" i="6"/>
  <c r="J1633" i="6"/>
  <c r="I1633" i="6"/>
  <c r="P1633" i="6" s="1"/>
  <c r="H1633" i="6"/>
  <c r="G1633" i="6"/>
  <c r="F1633" i="6"/>
  <c r="D1633" i="6"/>
  <c r="U1633" i="6" s="1"/>
  <c r="C1633" i="6"/>
  <c r="B1633" i="6"/>
  <c r="E1633" i="6" s="1"/>
  <c r="Q1632" i="6"/>
  <c r="P1632" i="6"/>
  <c r="N1632" i="6"/>
  <c r="M1632" i="6"/>
  <c r="L1632" i="6"/>
  <c r="K1632" i="6"/>
  <c r="J1632" i="6"/>
  <c r="I1632" i="6"/>
  <c r="H1632" i="6"/>
  <c r="G1632" i="6"/>
  <c r="F1632" i="6"/>
  <c r="D1632" i="6"/>
  <c r="U1632" i="6" s="1"/>
  <c r="C1632" i="6"/>
  <c r="B1632" i="6"/>
  <c r="E1632" i="6" s="1"/>
  <c r="Q1631" i="6"/>
  <c r="N1631" i="6"/>
  <c r="M1631" i="6"/>
  <c r="L1631" i="6"/>
  <c r="K1631" i="6"/>
  <c r="J1631" i="6"/>
  <c r="I1631" i="6"/>
  <c r="P1631" i="6" s="1"/>
  <c r="H1631" i="6"/>
  <c r="G1631" i="6"/>
  <c r="F1631" i="6"/>
  <c r="D1631" i="6"/>
  <c r="U1631" i="6" s="1"/>
  <c r="C1631" i="6"/>
  <c r="B1631" i="6"/>
  <c r="E1631" i="6" s="1"/>
  <c r="Q1630" i="6"/>
  <c r="P1630" i="6"/>
  <c r="N1630" i="6"/>
  <c r="M1630" i="6"/>
  <c r="L1630" i="6"/>
  <c r="K1630" i="6"/>
  <c r="J1630" i="6"/>
  <c r="I1630" i="6"/>
  <c r="H1630" i="6"/>
  <c r="G1630" i="6"/>
  <c r="F1630" i="6"/>
  <c r="D1630" i="6"/>
  <c r="U1630" i="6" s="1"/>
  <c r="C1630" i="6"/>
  <c r="B1630" i="6"/>
  <c r="E1630" i="6" s="1"/>
  <c r="Q1629" i="6"/>
  <c r="N1629" i="6"/>
  <c r="M1629" i="6"/>
  <c r="L1629" i="6"/>
  <c r="K1629" i="6"/>
  <c r="J1629" i="6"/>
  <c r="I1629" i="6"/>
  <c r="P1629" i="6" s="1"/>
  <c r="H1629" i="6"/>
  <c r="G1629" i="6"/>
  <c r="F1629" i="6"/>
  <c r="D1629" i="6"/>
  <c r="U1629" i="6" s="1"/>
  <c r="C1629" i="6"/>
  <c r="B1629" i="6"/>
  <c r="E1629" i="6" s="1"/>
  <c r="Q1628" i="6"/>
  <c r="P1628" i="6"/>
  <c r="N1628" i="6"/>
  <c r="M1628" i="6"/>
  <c r="L1628" i="6"/>
  <c r="K1628" i="6"/>
  <c r="J1628" i="6"/>
  <c r="I1628" i="6"/>
  <c r="H1628" i="6"/>
  <c r="G1628" i="6"/>
  <c r="F1628" i="6"/>
  <c r="D1628" i="6"/>
  <c r="U1628" i="6" s="1"/>
  <c r="C1628" i="6"/>
  <c r="B1628" i="6"/>
  <c r="E1628" i="6" s="1"/>
  <c r="Q1627" i="6"/>
  <c r="N1627" i="6"/>
  <c r="M1627" i="6"/>
  <c r="L1627" i="6"/>
  <c r="K1627" i="6"/>
  <c r="J1627" i="6"/>
  <c r="I1627" i="6"/>
  <c r="P1627" i="6" s="1"/>
  <c r="H1627" i="6"/>
  <c r="G1627" i="6"/>
  <c r="F1627" i="6"/>
  <c r="D1627" i="6"/>
  <c r="U1627" i="6" s="1"/>
  <c r="C1627" i="6"/>
  <c r="B1627" i="6"/>
  <c r="E1627" i="6" s="1"/>
  <c r="Q1626" i="6"/>
  <c r="P1626" i="6"/>
  <c r="N1626" i="6"/>
  <c r="M1626" i="6"/>
  <c r="L1626" i="6"/>
  <c r="K1626" i="6"/>
  <c r="J1626" i="6"/>
  <c r="I1626" i="6"/>
  <c r="H1626" i="6"/>
  <c r="G1626" i="6"/>
  <c r="F1626" i="6"/>
  <c r="D1626" i="6"/>
  <c r="U1626" i="6" s="1"/>
  <c r="C1626" i="6"/>
  <c r="B1626" i="6"/>
  <c r="E1626" i="6" s="1"/>
  <c r="Q1625" i="6"/>
  <c r="N1625" i="6"/>
  <c r="M1625" i="6"/>
  <c r="L1625" i="6"/>
  <c r="K1625" i="6"/>
  <c r="J1625" i="6"/>
  <c r="I1625" i="6"/>
  <c r="P1625" i="6" s="1"/>
  <c r="H1625" i="6"/>
  <c r="G1625" i="6"/>
  <c r="F1625" i="6"/>
  <c r="D1625" i="6"/>
  <c r="U1625" i="6" s="1"/>
  <c r="C1625" i="6"/>
  <c r="B1625" i="6"/>
  <c r="E1625" i="6" s="1"/>
  <c r="Q1624" i="6"/>
  <c r="P1624" i="6"/>
  <c r="N1624" i="6"/>
  <c r="M1624" i="6"/>
  <c r="L1624" i="6"/>
  <c r="K1624" i="6"/>
  <c r="J1624" i="6"/>
  <c r="I1624" i="6"/>
  <c r="H1624" i="6"/>
  <c r="G1624" i="6"/>
  <c r="F1624" i="6"/>
  <c r="D1624" i="6"/>
  <c r="U1624" i="6" s="1"/>
  <c r="C1624" i="6"/>
  <c r="B1624" i="6"/>
  <c r="E1624" i="6" s="1"/>
  <c r="Q1623" i="6"/>
  <c r="N1623" i="6"/>
  <c r="M1623" i="6"/>
  <c r="L1623" i="6"/>
  <c r="K1623" i="6"/>
  <c r="J1623" i="6"/>
  <c r="I1623" i="6"/>
  <c r="P1623" i="6" s="1"/>
  <c r="H1623" i="6"/>
  <c r="G1623" i="6"/>
  <c r="F1623" i="6"/>
  <c r="D1623" i="6"/>
  <c r="U1623" i="6" s="1"/>
  <c r="C1623" i="6"/>
  <c r="B1623" i="6"/>
  <c r="E1623" i="6" s="1"/>
  <c r="Q1622" i="6"/>
  <c r="P1622" i="6"/>
  <c r="N1622" i="6"/>
  <c r="M1622" i="6"/>
  <c r="L1622" i="6"/>
  <c r="K1622" i="6"/>
  <c r="J1622" i="6"/>
  <c r="I1622" i="6"/>
  <c r="H1622" i="6"/>
  <c r="G1622" i="6"/>
  <c r="F1622" i="6"/>
  <c r="D1622" i="6"/>
  <c r="U1622" i="6" s="1"/>
  <c r="C1622" i="6"/>
  <c r="B1622" i="6"/>
  <c r="E1622" i="6" s="1"/>
  <c r="Q1621" i="6"/>
  <c r="N1621" i="6"/>
  <c r="M1621" i="6"/>
  <c r="L1621" i="6"/>
  <c r="K1621" i="6"/>
  <c r="J1621" i="6"/>
  <c r="I1621" i="6"/>
  <c r="P1621" i="6" s="1"/>
  <c r="H1621" i="6"/>
  <c r="G1621" i="6"/>
  <c r="F1621" i="6"/>
  <c r="D1621" i="6"/>
  <c r="U1621" i="6" s="1"/>
  <c r="C1621" i="6"/>
  <c r="B1621" i="6"/>
  <c r="E1621" i="6" s="1"/>
  <c r="Q1620" i="6"/>
  <c r="P1620" i="6"/>
  <c r="N1620" i="6"/>
  <c r="M1620" i="6"/>
  <c r="L1620" i="6"/>
  <c r="K1620" i="6"/>
  <c r="J1620" i="6"/>
  <c r="I1620" i="6"/>
  <c r="H1620" i="6"/>
  <c r="G1620" i="6"/>
  <c r="F1620" i="6"/>
  <c r="D1620" i="6"/>
  <c r="U1620" i="6" s="1"/>
  <c r="C1620" i="6"/>
  <c r="B1620" i="6"/>
  <c r="E1620" i="6" s="1"/>
  <c r="Q1619" i="6"/>
  <c r="N1619" i="6"/>
  <c r="M1619" i="6"/>
  <c r="L1619" i="6"/>
  <c r="K1619" i="6"/>
  <c r="J1619" i="6"/>
  <c r="I1619" i="6"/>
  <c r="P1619" i="6" s="1"/>
  <c r="H1619" i="6"/>
  <c r="G1619" i="6"/>
  <c r="F1619" i="6"/>
  <c r="D1619" i="6"/>
  <c r="U1619" i="6" s="1"/>
  <c r="C1619" i="6"/>
  <c r="B1619" i="6"/>
  <c r="E1619" i="6" s="1"/>
  <c r="Q1618" i="6"/>
  <c r="P1618" i="6"/>
  <c r="N1618" i="6"/>
  <c r="M1618" i="6"/>
  <c r="L1618" i="6"/>
  <c r="K1618" i="6"/>
  <c r="J1618" i="6"/>
  <c r="I1618" i="6"/>
  <c r="H1618" i="6"/>
  <c r="G1618" i="6"/>
  <c r="F1618" i="6"/>
  <c r="D1618" i="6"/>
  <c r="U1618" i="6" s="1"/>
  <c r="C1618" i="6"/>
  <c r="B1618" i="6"/>
  <c r="E1618" i="6" s="1"/>
  <c r="Q1617" i="6"/>
  <c r="N1617" i="6"/>
  <c r="M1617" i="6"/>
  <c r="L1617" i="6"/>
  <c r="K1617" i="6"/>
  <c r="J1617" i="6"/>
  <c r="I1617" i="6"/>
  <c r="P1617" i="6" s="1"/>
  <c r="H1617" i="6"/>
  <c r="G1617" i="6"/>
  <c r="F1617" i="6"/>
  <c r="D1617" i="6"/>
  <c r="U1617" i="6" s="1"/>
  <c r="C1617" i="6"/>
  <c r="B1617" i="6"/>
  <c r="E1617" i="6" s="1"/>
  <c r="Q1616" i="6"/>
  <c r="P1616" i="6"/>
  <c r="N1616" i="6"/>
  <c r="M1616" i="6"/>
  <c r="L1616" i="6"/>
  <c r="K1616" i="6"/>
  <c r="J1616" i="6"/>
  <c r="I1616" i="6"/>
  <c r="H1616" i="6"/>
  <c r="G1616" i="6"/>
  <c r="F1616" i="6"/>
  <c r="D1616" i="6"/>
  <c r="U1616" i="6" s="1"/>
  <c r="C1616" i="6"/>
  <c r="B1616" i="6"/>
  <c r="E1616" i="6" s="1"/>
  <c r="Q1615" i="6"/>
  <c r="N1615" i="6"/>
  <c r="M1615" i="6"/>
  <c r="L1615" i="6"/>
  <c r="K1615" i="6"/>
  <c r="J1615" i="6"/>
  <c r="I1615" i="6"/>
  <c r="P1615" i="6" s="1"/>
  <c r="H1615" i="6"/>
  <c r="G1615" i="6"/>
  <c r="F1615" i="6"/>
  <c r="D1615" i="6"/>
  <c r="U1615" i="6" s="1"/>
  <c r="C1615" i="6"/>
  <c r="B1615" i="6"/>
  <c r="E1615" i="6" s="1"/>
  <c r="Q1614" i="6"/>
  <c r="P1614" i="6"/>
  <c r="N1614" i="6"/>
  <c r="M1614" i="6"/>
  <c r="L1614" i="6"/>
  <c r="K1614" i="6"/>
  <c r="J1614" i="6"/>
  <c r="I1614" i="6"/>
  <c r="H1614" i="6"/>
  <c r="G1614" i="6"/>
  <c r="F1614" i="6"/>
  <c r="D1614" i="6"/>
  <c r="U1614" i="6" s="1"/>
  <c r="C1614" i="6"/>
  <c r="B1614" i="6"/>
  <c r="E1614" i="6" s="1"/>
  <c r="Q1613" i="6"/>
  <c r="N1613" i="6"/>
  <c r="M1613" i="6"/>
  <c r="L1613" i="6"/>
  <c r="K1613" i="6"/>
  <c r="J1613" i="6"/>
  <c r="I1613" i="6"/>
  <c r="P1613" i="6" s="1"/>
  <c r="H1613" i="6"/>
  <c r="G1613" i="6"/>
  <c r="F1613" i="6"/>
  <c r="D1613" i="6"/>
  <c r="U1613" i="6" s="1"/>
  <c r="C1613" i="6"/>
  <c r="B1613" i="6"/>
  <c r="E1613" i="6" s="1"/>
  <c r="Q1612" i="6"/>
  <c r="P1612" i="6"/>
  <c r="N1612" i="6"/>
  <c r="M1612" i="6"/>
  <c r="L1612" i="6"/>
  <c r="K1612" i="6"/>
  <c r="J1612" i="6"/>
  <c r="I1612" i="6"/>
  <c r="H1612" i="6"/>
  <c r="G1612" i="6"/>
  <c r="F1612" i="6"/>
  <c r="D1612" i="6"/>
  <c r="U1612" i="6" s="1"/>
  <c r="C1612" i="6"/>
  <c r="B1612" i="6"/>
  <c r="E1612" i="6" s="1"/>
  <c r="Q1611" i="6"/>
  <c r="N1611" i="6"/>
  <c r="M1611" i="6"/>
  <c r="L1611" i="6"/>
  <c r="K1611" i="6"/>
  <c r="J1611" i="6"/>
  <c r="I1611" i="6"/>
  <c r="P1611" i="6" s="1"/>
  <c r="H1611" i="6"/>
  <c r="G1611" i="6"/>
  <c r="F1611" i="6"/>
  <c r="D1611" i="6"/>
  <c r="U1611" i="6" s="1"/>
  <c r="C1611" i="6"/>
  <c r="B1611" i="6"/>
  <c r="E1611" i="6" s="1"/>
  <c r="Q1610" i="6"/>
  <c r="P1610" i="6"/>
  <c r="N1610" i="6"/>
  <c r="M1610" i="6"/>
  <c r="L1610" i="6"/>
  <c r="K1610" i="6"/>
  <c r="J1610" i="6"/>
  <c r="I1610" i="6"/>
  <c r="H1610" i="6"/>
  <c r="G1610" i="6"/>
  <c r="F1610" i="6"/>
  <c r="D1610" i="6"/>
  <c r="U1610" i="6" s="1"/>
  <c r="C1610" i="6"/>
  <c r="B1610" i="6"/>
  <c r="E1610" i="6" s="1"/>
  <c r="Q1609" i="6"/>
  <c r="N1609" i="6"/>
  <c r="M1609" i="6"/>
  <c r="L1609" i="6"/>
  <c r="K1609" i="6"/>
  <c r="J1609" i="6"/>
  <c r="I1609" i="6"/>
  <c r="P1609" i="6" s="1"/>
  <c r="H1609" i="6"/>
  <c r="G1609" i="6"/>
  <c r="F1609" i="6"/>
  <c r="D1609" i="6"/>
  <c r="U1609" i="6" s="1"/>
  <c r="C1609" i="6"/>
  <c r="B1609" i="6"/>
  <c r="E1609" i="6" s="1"/>
  <c r="Q1608" i="6"/>
  <c r="P1608" i="6"/>
  <c r="N1608" i="6"/>
  <c r="M1608" i="6"/>
  <c r="L1608" i="6"/>
  <c r="K1608" i="6"/>
  <c r="J1608" i="6"/>
  <c r="I1608" i="6"/>
  <c r="H1608" i="6"/>
  <c r="G1608" i="6"/>
  <c r="F1608" i="6"/>
  <c r="D1608" i="6"/>
  <c r="U1608" i="6" s="1"/>
  <c r="C1608" i="6"/>
  <c r="B1608" i="6"/>
  <c r="E1608" i="6" s="1"/>
  <c r="Q1607" i="6"/>
  <c r="N1607" i="6"/>
  <c r="M1607" i="6"/>
  <c r="L1607" i="6"/>
  <c r="K1607" i="6"/>
  <c r="J1607" i="6"/>
  <c r="I1607" i="6"/>
  <c r="P1607" i="6" s="1"/>
  <c r="H1607" i="6"/>
  <c r="G1607" i="6"/>
  <c r="F1607" i="6"/>
  <c r="D1607" i="6"/>
  <c r="U1607" i="6" s="1"/>
  <c r="C1607" i="6"/>
  <c r="B1607" i="6"/>
  <c r="E1607" i="6" s="1"/>
  <c r="Q1606" i="6"/>
  <c r="P1606" i="6"/>
  <c r="N1606" i="6"/>
  <c r="M1606" i="6"/>
  <c r="L1606" i="6"/>
  <c r="K1606" i="6"/>
  <c r="J1606" i="6"/>
  <c r="I1606" i="6"/>
  <c r="H1606" i="6"/>
  <c r="G1606" i="6"/>
  <c r="F1606" i="6"/>
  <c r="D1606" i="6"/>
  <c r="U1606" i="6" s="1"/>
  <c r="C1606" i="6"/>
  <c r="B1606" i="6"/>
  <c r="E1606" i="6" s="1"/>
  <c r="Q1605" i="6"/>
  <c r="N1605" i="6"/>
  <c r="M1605" i="6"/>
  <c r="L1605" i="6"/>
  <c r="K1605" i="6"/>
  <c r="J1605" i="6"/>
  <c r="I1605" i="6"/>
  <c r="P1605" i="6" s="1"/>
  <c r="H1605" i="6"/>
  <c r="G1605" i="6"/>
  <c r="F1605" i="6"/>
  <c r="D1605" i="6"/>
  <c r="U1605" i="6" s="1"/>
  <c r="C1605" i="6"/>
  <c r="B1605" i="6"/>
  <c r="E1605" i="6" s="1"/>
  <c r="Q1604" i="6"/>
  <c r="P1604" i="6"/>
  <c r="N1604" i="6"/>
  <c r="M1604" i="6"/>
  <c r="L1604" i="6"/>
  <c r="K1604" i="6"/>
  <c r="J1604" i="6"/>
  <c r="I1604" i="6"/>
  <c r="H1604" i="6"/>
  <c r="G1604" i="6"/>
  <c r="F1604" i="6"/>
  <c r="D1604" i="6"/>
  <c r="U1604" i="6" s="1"/>
  <c r="C1604" i="6"/>
  <c r="B1604" i="6"/>
  <c r="E1604" i="6" s="1"/>
  <c r="Q1603" i="6"/>
  <c r="N1603" i="6"/>
  <c r="M1603" i="6"/>
  <c r="L1603" i="6"/>
  <c r="K1603" i="6"/>
  <c r="J1603" i="6"/>
  <c r="I1603" i="6"/>
  <c r="P1603" i="6" s="1"/>
  <c r="H1603" i="6"/>
  <c r="G1603" i="6"/>
  <c r="F1603" i="6"/>
  <c r="D1603" i="6"/>
  <c r="U1603" i="6" s="1"/>
  <c r="C1603" i="6"/>
  <c r="B1603" i="6"/>
  <c r="E1603" i="6" s="1"/>
  <c r="Q1602" i="6"/>
  <c r="P1602" i="6"/>
  <c r="N1602" i="6"/>
  <c r="M1602" i="6"/>
  <c r="L1602" i="6"/>
  <c r="K1602" i="6"/>
  <c r="J1602" i="6"/>
  <c r="I1602" i="6"/>
  <c r="H1602" i="6"/>
  <c r="G1602" i="6"/>
  <c r="F1602" i="6"/>
  <c r="D1602" i="6"/>
  <c r="U1602" i="6" s="1"/>
  <c r="C1602" i="6"/>
  <c r="B1602" i="6"/>
  <c r="E1602" i="6" s="1"/>
  <c r="Q1601" i="6"/>
  <c r="N1601" i="6"/>
  <c r="M1601" i="6"/>
  <c r="L1601" i="6"/>
  <c r="K1601" i="6"/>
  <c r="J1601" i="6"/>
  <c r="I1601" i="6"/>
  <c r="P1601" i="6" s="1"/>
  <c r="H1601" i="6"/>
  <c r="G1601" i="6"/>
  <c r="F1601" i="6"/>
  <c r="D1601" i="6"/>
  <c r="U1601" i="6" s="1"/>
  <c r="C1601" i="6"/>
  <c r="B1601" i="6"/>
  <c r="E1601" i="6" s="1"/>
  <c r="Q1600" i="6"/>
  <c r="P1600" i="6"/>
  <c r="N1600" i="6"/>
  <c r="M1600" i="6"/>
  <c r="L1600" i="6"/>
  <c r="K1600" i="6"/>
  <c r="J1600" i="6"/>
  <c r="I1600" i="6"/>
  <c r="H1600" i="6"/>
  <c r="G1600" i="6"/>
  <c r="F1600" i="6"/>
  <c r="D1600" i="6"/>
  <c r="U1600" i="6" s="1"/>
  <c r="C1600" i="6"/>
  <c r="B1600" i="6"/>
  <c r="E1600" i="6" s="1"/>
  <c r="Q1599" i="6"/>
  <c r="N1599" i="6"/>
  <c r="M1599" i="6"/>
  <c r="L1599" i="6"/>
  <c r="K1599" i="6"/>
  <c r="J1599" i="6"/>
  <c r="I1599" i="6"/>
  <c r="P1599" i="6" s="1"/>
  <c r="H1599" i="6"/>
  <c r="G1599" i="6"/>
  <c r="F1599" i="6"/>
  <c r="D1599" i="6"/>
  <c r="U1599" i="6" s="1"/>
  <c r="C1599" i="6"/>
  <c r="B1599" i="6"/>
  <c r="E1599" i="6" s="1"/>
  <c r="Q1598" i="6"/>
  <c r="P1598" i="6"/>
  <c r="N1598" i="6"/>
  <c r="M1598" i="6"/>
  <c r="L1598" i="6"/>
  <c r="K1598" i="6"/>
  <c r="J1598" i="6"/>
  <c r="I1598" i="6"/>
  <c r="H1598" i="6"/>
  <c r="G1598" i="6"/>
  <c r="F1598" i="6"/>
  <c r="D1598" i="6"/>
  <c r="U1598" i="6" s="1"/>
  <c r="C1598" i="6"/>
  <c r="B1598" i="6"/>
  <c r="E1598" i="6" s="1"/>
  <c r="Q1597" i="6"/>
  <c r="N1597" i="6"/>
  <c r="M1597" i="6"/>
  <c r="L1597" i="6"/>
  <c r="K1597" i="6"/>
  <c r="J1597" i="6"/>
  <c r="I1597" i="6"/>
  <c r="P1597" i="6" s="1"/>
  <c r="H1597" i="6"/>
  <c r="G1597" i="6"/>
  <c r="F1597" i="6"/>
  <c r="D1597" i="6"/>
  <c r="U1597" i="6" s="1"/>
  <c r="C1597" i="6"/>
  <c r="B1597" i="6"/>
  <c r="E1597" i="6" s="1"/>
  <c r="Q1596" i="6"/>
  <c r="P1596" i="6"/>
  <c r="N1596" i="6"/>
  <c r="M1596" i="6"/>
  <c r="L1596" i="6"/>
  <c r="K1596" i="6"/>
  <c r="J1596" i="6"/>
  <c r="I1596" i="6"/>
  <c r="H1596" i="6"/>
  <c r="G1596" i="6"/>
  <c r="F1596" i="6"/>
  <c r="D1596" i="6"/>
  <c r="U1596" i="6" s="1"/>
  <c r="C1596" i="6"/>
  <c r="B1596" i="6"/>
  <c r="E1596" i="6" s="1"/>
  <c r="Q1595" i="6"/>
  <c r="N1595" i="6"/>
  <c r="M1595" i="6"/>
  <c r="L1595" i="6"/>
  <c r="K1595" i="6"/>
  <c r="J1595" i="6"/>
  <c r="I1595" i="6"/>
  <c r="P1595" i="6" s="1"/>
  <c r="H1595" i="6"/>
  <c r="G1595" i="6"/>
  <c r="F1595" i="6"/>
  <c r="D1595" i="6"/>
  <c r="U1595" i="6" s="1"/>
  <c r="C1595" i="6"/>
  <c r="B1595" i="6"/>
  <c r="E1595" i="6" s="1"/>
  <c r="Q1594" i="6"/>
  <c r="P1594" i="6"/>
  <c r="N1594" i="6"/>
  <c r="M1594" i="6"/>
  <c r="L1594" i="6"/>
  <c r="K1594" i="6"/>
  <c r="J1594" i="6"/>
  <c r="I1594" i="6"/>
  <c r="H1594" i="6"/>
  <c r="G1594" i="6"/>
  <c r="F1594" i="6"/>
  <c r="D1594" i="6"/>
  <c r="U1594" i="6" s="1"/>
  <c r="C1594" i="6"/>
  <c r="B1594" i="6"/>
  <c r="E1594" i="6" s="1"/>
  <c r="Q1593" i="6"/>
  <c r="N1593" i="6"/>
  <c r="M1593" i="6"/>
  <c r="L1593" i="6"/>
  <c r="K1593" i="6"/>
  <c r="J1593" i="6"/>
  <c r="I1593" i="6"/>
  <c r="P1593" i="6" s="1"/>
  <c r="H1593" i="6"/>
  <c r="G1593" i="6"/>
  <c r="F1593" i="6"/>
  <c r="D1593" i="6"/>
  <c r="U1593" i="6" s="1"/>
  <c r="C1593" i="6"/>
  <c r="B1593" i="6"/>
  <c r="E1593" i="6" s="1"/>
  <c r="Q1592" i="6"/>
  <c r="P1592" i="6"/>
  <c r="N1592" i="6"/>
  <c r="M1592" i="6"/>
  <c r="L1592" i="6"/>
  <c r="K1592" i="6"/>
  <c r="J1592" i="6"/>
  <c r="I1592" i="6"/>
  <c r="H1592" i="6"/>
  <c r="G1592" i="6"/>
  <c r="F1592" i="6"/>
  <c r="D1592" i="6"/>
  <c r="U1592" i="6" s="1"/>
  <c r="C1592" i="6"/>
  <c r="B1592" i="6"/>
  <c r="E1592" i="6" s="1"/>
  <c r="Q1591" i="6"/>
  <c r="N1591" i="6"/>
  <c r="M1591" i="6"/>
  <c r="L1591" i="6"/>
  <c r="K1591" i="6"/>
  <c r="J1591" i="6"/>
  <c r="I1591" i="6"/>
  <c r="P1591" i="6" s="1"/>
  <c r="H1591" i="6"/>
  <c r="G1591" i="6"/>
  <c r="F1591" i="6"/>
  <c r="D1591" i="6"/>
  <c r="U1591" i="6" s="1"/>
  <c r="C1591" i="6"/>
  <c r="B1591" i="6"/>
  <c r="E1591" i="6" s="1"/>
  <c r="Q1590" i="6"/>
  <c r="P1590" i="6"/>
  <c r="N1590" i="6"/>
  <c r="M1590" i="6"/>
  <c r="L1590" i="6"/>
  <c r="K1590" i="6"/>
  <c r="J1590" i="6"/>
  <c r="I1590" i="6"/>
  <c r="H1590" i="6"/>
  <c r="G1590" i="6"/>
  <c r="F1590" i="6"/>
  <c r="D1590" i="6"/>
  <c r="U1590" i="6" s="1"/>
  <c r="C1590" i="6"/>
  <c r="B1590" i="6"/>
  <c r="E1590" i="6" s="1"/>
  <c r="Q1589" i="6"/>
  <c r="N1589" i="6"/>
  <c r="M1589" i="6"/>
  <c r="L1589" i="6"/>
  <c r="K1589" i="6"/>
  <c r="J1589" i="6"/>
  <c r="I1589" i="6"/>
  <c r="P1589" i="6" s="1"/>
  <c r="H1589" i="6"/>
  <c r="G1589" i="6"/>
  <c r="F1589" i="6"/>
  <c r="D1589" i="6"/>
  <c r="U1589" i="6" s="1"/>
  <c r="C1589" i="6"/>
  <c r="B1589" i="6"/>
  <c r="E1589" i="6" s="1"/>
  <c r="Q1588" i="6"/>
  <c r="P1588" i="6"/>
  <c r="N1588" i="6"/>
  <c r="M1588" i="6"/>
  <c r="L1588" i="6"/>
  <c r="K1588" i="6"/>
  <c r="J1588" i="6"/>
  <c r="I1588" i="6"/>
  <c r="H1588" i="6"/>
  <c r="G1588" i="6"/>
  <c r="F1588" i="6"/>
  <c r="D1588" i="6"/>
  <c r="U1588" i="6" s="1"/>
  <c r="C1588" i="6"/>
  <c r="B1588" i="6"/>
  <c r="E1588" i="6" s="1"/>
  <c r="Q1587" i="6"/>
  <c r="N1587" i="6"/>
  <c r="M1587" i="6"/>
  <c r="L1587" i="6"/>
  <c r="K1587" i="6"/>
  <c r="J1587" i="6"/>
  <c r="I1587" i="6"/>
  <c r="P1587" i="6" s="1"/>
  <c r="H1587" i="6"/>
  <c r="G1587" i="6"/>
  <c r="F1587" i="6"/>
  <c r="D1587" i="6"/>
  <c r="U1587" i="6" s="1"/>
  <c r="C1587" i="6"/>
  <c r="B1587" i="6"/>
  <c r="E1587" i="6" s="1"/>
  <c r="Q1586" i="6"/>
  <c r="P1586" i="6"/>
  <c r="N1586" i="6"/>
  <c r="M1586" i="6"/>
  <c r="L1586" i="6"/>
  <c r="K1586" i="6"/>
  <c r="J1586" i="6"/>
  <c r="I1586" i="6"/>
  <c r="H1586" i="6"/>
  <c r="G1586" i="6"/>
  <c r="F1586" i="6"/>
  <c r="D1586" i="6"/>
  <c r="U1586" i="6" s="1"/>
  <c r="C1586" i="6"/>
  <c r="B1586" i="6"/>
  <c r="E1586" i="6" s="1"/>
  <c r="Q1585" i="6"/>
  <c r="N1585" i="6"/>
  <c r="M1585" i="6"/>
  <c r="L1585" i="6"/>
  <c r="K1585" i="6"/>
  <c r="J1585" i="6"/>
  <c r="I1585" i="6"/>
  <c r="P1585" i="6" s="1"/>
  <c r="H1585" i="6"/>
  <c r="G1585" i="6"/>
  <c r="F1585" i="6"/>
  <c r="D1585" i="6"/>
  <c r="U1585" i="6" s="1"/>
  <c r="C1585" i="6"/>
  <c r="B1585" i="6"/>
  <c r="E1585" i="6" s="1"/>
  <c r="Q1584" i="6"/>
  <c r="P1584" i="6"/>
  <c r="N1584" i="6"/>
  <c r="M1584" i="6"/>
  <c r="L1584" i="6"/>
  <c r="K1584" i="6"/>
  <c r="J1584" i="6"/>
  <c r="I1584" i="6"/>
  <c r="H1584" i="6"/>
  <c r="G1584" i="6"/>
  <c r="F1584" i="6"/>
  <c r="D1584" i="6"/>
  <c r="U1584" i="6" s="1"/>
  <c r="C1584" i="6"/>
  <c r="B1584" i="6"/>
  <c r="E1584" i="6" s="1"/>
  <c r="Q1583" i="6"/>
  <c r="N1583" i="6"/>
  <c r="M1583" i="6"/>
  <c r="L1583" i="6"/>
  <c r="K1583" i="6"/>
  <c r="J1583" i="6"/>
  <c r="I1583" i="6"/>
  <c r="P1583" i="6" s="1"/>
  <c r="H1583" i="6"/>
  <c r="G1583" i="6"/>
  <c r="F1583" i="6"/>
  <c r="D1583" i="6"/>
  <c r="U1583" i="6" s="1"/>
  <c r="C1583" i="6"/>
  <c r="B1583" i="6"/>
  <c r="E1583" i="6" s="1"/>
  <c r="Q1582" i="6"/>
  <c r="P1582" i="6"/>
  <c r="N1582" i="6"/>
  <c r="M1582" i="6"/>
  <c r="L1582" i="6"/>
  <c r="K1582" i="6"/>
  <c r="J1582" i="6"/>
  <c r="I1582" i="6"/>
  <c r="H1582" i="6"/>
  <c r="G1582" i="6"/>
  <c r="F1582" i="6"/>
  <c r="D1582" i="6"/>
  <c r="U1582" i="6" s="1"/>
  <c r="C1582" i="6"/>
  <c r="B1582" i="6"/>
  <c r="E1582" i="6" s="1"/>
  <c r="Q1581" i="6"/>
  <c r="N1581" i="6"/>
  <c r="M1581" i="6"/>
  <c r="L1581" i="6"/>
  <c r="K1581" i="6"/>
  <c r="J1581" i="6"/>
  <c r="I1581" i="6"/>
  <c r="P1581" i="6" s="1"/>
  <c r="H1581" i="6"/>
  <c r="G1581" i="6"/>
  <c r="F1581" i="6"/>
  <c r="D1581" i="6"/>
  <c r="U1581" i="6" s="1"/>
  <c r="C1581" i="6"/>
  <c r="B1581" i="6"/>
  <c r="E1581" i="6" s="1"/>
  <c r="Q1580" i="6"/>
  <c r="P1580" i="6"/>
  <c r="N1580" i="6"/>
  <c r="M1580" i="6"/>
  <c r="L1580" i="6"/>
  <c r="K1580" i="6"/>
  <c r="J1580" i="6"/>
  <c r="I1580" i="6"/>
  <c r="H1580" i="6"/>
  <c r="G1580" i="6"/>
  <c r="F1580" i="6"/>
  <c r="D1580" i="6"/>
  <c r="U1580" i="6" s="1"/>
  <c r="C1580" i="6"/>
  <c r="B1580" i="6"/>
  <c r="E1580" i="6" s="1"/>
  <c r="Q1579" i="6"/>
  <c r="N1579" i="6"/>
  <c r="M1579" i="6"/>
  <c r="L1579" i="6"/>
  <c r="K1579" i="6"/>
  <c r="J1579" i="6"/>
  <c r="I1579" i="6"/>
  <c r="P1579" i="6" s="1"/>
  <c r="H1579" i="6"/>
  <c r="G1579" i="6"/>
  <c r="F1579" i="6"/>
  <c r="D1579" i="6"/>
  <c r="U1579" i="6" s="1"/>
  <c r="C1579" i="6"/>
  <c r="B1579" i="6"/>
  <c r="E1579" i="6" s="1"/>
  <c r="Q1578" i="6"/>
  <c r="P1578" i="6"/>
  <c r="N1578" i="6"/>
  <c r="M1578" i="6"/>
  <c r="L1578" i="6"/>
  <c r="K1578" i="6"/>
  <c r="J1578" i="6"/>
  <c r="I1578" i="6"/>
  <c r="H1578" i="6"/>
  <c r="G1578" i="6"/>
  <c r="F1578" i="6"/>
  <c r="D1578" i="6"/>
  <c r="U1578" i="6" s="1"/>
  <c r="C1578" i="6"/>
  <c r="B1578" i="6"/>
  <c r="E1578" i="6" s="1"/>
  <c r="Q1577" i="6"/>
  <c r="N1577" i="6"/>
  <c r="M1577" i="6"/>
  <c r="L1577" i="6"/>
  <c r="K1577" i="6"/>
  <c r="J1577" i="6"/>
  <c r="I1577" i="6"/>
  <c r="P1577" i="6" s="1"/>
  <c r="H1577" i="6"/>
  <c r="G1577" i="6"/>
  <c r="F1577" i="6"/>
  <c r="D1577" i="6"/>
  <c r="U1577" i="6" s="1"/>
  <c r="C1577" i="6"/>
  <c r="B1577" i="6"/>
  <c r="E1577" i="6" s="1"/>
  <c r="Q1576" i="6"/>
  <c r="P1576" i="6"/>
  <c r="N1576" i="6"/>
  <c r="M1576" i="6"/>
  <c r="L1576" i="6"/>
  <c r="K1576" i="6"/>
  <c r="J1576" i="6"/>
  <c r="I1576" i="6"/>
  <c r="H1576" i="6"/>
  <c r="G1576" i="6"/>
  <c r="F1576" i="6"/>
  <c r="D1576" i="6"/>
  <c r="U1576" i="6" s="1"/>
  <c r="C1576" i="6"/>
  <c r="B1576" i="6"/>
  <c r="E1576" i="6" s="1"/>
  <c r="Q1575" i="6"/>
  <c r="N1575" i="6"/>
  <c r="M1575" i="6"/>
  <c r="L1575" i="6"/>
  <c r="K1575" i="6"/>
  <c r="J1575" i="6"/>
  <c r="I1575" i="6"/>
  <c r="P1575" i="6" s="1"/>
  <c r="H1575" i="6"/>
  <c r="G1575" i="6"/>
  <c r="F1575" i="6"/>
  <c r="D1575" i="6"/>
  <c r="U1575" i="6" s="1"/>
  <c r="C1575" i="6"/>
  <c r="B1575" i="6"/>
  <c r="E1575" i="6" s="1"/>
  <c r="Q1574" i="6"/>
  <c r="P1574" i="6"/>
  <c r="N1574" i="6"/>
  <c r="M1574" i="6"/>
  <c r="L1574" i="6"/>
  <c r="K1574" i="6"/>
  <c r="J1574" i="6"/>
  <c r="I1574" i="6"/>
  <c r="H1574" i="6"/>
  <c r="G1574" i="6"/>
  <c r="F1574" i="6"/>
  <c r="D1574" i="6"/>
  <c r="U1574" i="6" s="1"/>
  <c r="C1574" i="6"/>
  <c r="B1574" i="6"/>
  <c r="E1574" i="6" s="1"/>
  <c r="Q1573" i="6"/>
  <c r="N1573" i="6"/>
  <c r="M1573" i="6"/>
  <c r="L1573" i="6"/>
  <c r="K1573" i="6"/>
  <c r="J1573" i="6"/>
  <c r="I1573" i="6"/>
  <c r="P1573" i="6" s="1"/>
  <c r="H1573" i="6"/>
  <c r="G1573" i="6"/>
  <c r="F1573" i="6"/>
  <c r="D1573" i="6"/>
  <c r="U1573" i="6" s="1"/>
  <c r="C1573" i="6"/>
  <c r="B1573" i="6"/>
  <c r="E1573" i="6" s="1"/>
  <c r="Q1572" i="6"/>
  <c r="P1572" i="6"/>
  <c r="N1572" i="6"/>
  <c r="M1572" i="6"/>
  <c r="L1572" i="6"/>
  <c r="K1572" i="6"/>
  <c r="J1572" i="6"/>
  <c r="I1572" i="6"/>
  <c r="H1572" i="6"/>
  <c r="G1572" i="6"/>
  <c r="F1572" i="6"/>
  <c r="D1572" i="6"/>
  <c r="U1572" i="6" s="1"/>
  <c r="C1572" i="6"/>
  <c r="B1572" i="6"/>
  <c r="E1572" i="6" s="1"/>
  <c r="Q1571" i="6"/>
  <c r="N1571" i="6"/>
  <c r="M1571" i="6"/>
  <c r="L1571" i="6"/>
  <c r="K1571" i="6"/>
  <c r="J1571" i="6"/>
  <c r="I1571" i="6"/>
  <c r="P1571" i="6" s="1"/>
  <c r="H1571" i="6"/>
  <c r="G1571" i="6"/>
  <c r="F1571" i="6"/>
  <c r="D1571" i="6"/>
  <c r="U1571" i="6" s="1"/>
  <c r="C1571" i="6"/>
  <c r="B1571" i="6"/>
  <c r="E1571" i="6" s="1"/>
  <c r="Q1570" i="6"/>
  <c r="P1570" i="6"/>
  <c r="N1570" i="6"/>
  <c r="M1570" i="6"/>
  <c r="L1570" i="6"/>
  <c r="K1570" i="6"/>
  <c r="J1570" i="6"/>
  <c r="I1570" i="6"/>
  <c r="H1570" i="6"/>
  <c r="G1570" i="6"/>
  <c r="F1570" i="6"/>
  <c r="D1570" i="6"/>
  <c r="U1570" i="6" s="1"/>
  <c r="C1570" i="6"/>
  <c r="B1570" i="6"/>
  <c r="E1570" i="6" s="1"/>
  <c r="Q1569" i="6"/>
  <c r="N1569" i="6"/>
  <c r="M1569" i="6"/>
  <c r="L1569" i="6"/>
  <c r="K1569" i="6"/>
  <c r="J1569" i="6"/>
  <c r="I1569" i="6"/>
  <c r="P1569" i="6" s="1"/>
  <c r="H1569" i="6"/>
  <c r="G1569" i="6"/>
  <c r="F1569" i="6"/>
  <c r="D1569" i="6"/>
  <c r="U1569" i="6" s="1"/>
  <c r="C1569" i="6"/>
  <c r="B1569" i="6"/>
  <c r="E1569" i="6" s="1"/>
  <c r="Q1568" i="6"/>
  <c r="P1568" i="6"/>
  <c r="N1568" i="6"/>
  <c r="M1568" i="6"/>
  <c r="L1568" i="6"/>
  <c r="K1568" i="6"/>
  <c r="J1568" i="6"/>
  <c r="I1568" i="6"/>
  <c r="H1568" i="6"/>
  <c r="G1568" i="6"/>
  <c r="F1568" i="6"/>
  <c r="D1568" i="6"/>
  <c r="U1568" i="6" s="1"/>
  <c r="C1568" i="6"/>
  <c r="B1568" i="6"/>
  <c r="E1568" i="6" s="1"/>
  <c r="Q1567" i="6"/>
  <c r="N1567" i="6"/>
  <c r="M1567" i="6"/>
  <c r="L1567" i="6"/>
  <c r="K1567" i="6"/>
  <c r="J1567" i="6"/>
  <c r="I1567" i="6"/>
  <c r="P1567" i="6" s="1"/>
  <c r="H1567" i="6"/>
  <c r="G1567" i="6"/>
  <c r="F1567" i="6"/>
  <c r="D1567" i="6"/>
  <c r="U1567" i="6" s="1"/>
  <c r="C1567" i="6"/>
  <c r="B1567" i="6"/>
  <c r="E1567" i="6" s="1"/>
  <c r="Q1566" i="6"/>
  <c r="P1566" i="6"/>
  <c r="N1566" i="6"/>
  <c r="M1566" i="6"/>
  <c r="L1566" i="6"/>
  <c r="K1566" i="6"/>
  <c r="J1566" i="6"/>
  <c r="I1566" i="6"/>
  <c r="H1566" i="6"/>
  <c r="G1566" i="6"/>
  <c r="F1566" i="6"/>
  <c r="D1566" i="6"/>
  <c r="U1566" i="6" s="1"/>
  <c r="C1566" i="6"/>
  <c r="B1566" i="6"/>
  <c r="E1566" i="6" s="1"/>
  <c r="Q1565" i="6"/>
  <c r="N1565" i="6"/>
  <c r="M1565" i="6"/>
  <c r="L1565" i="6"/>
  <c r="K1565" i="6"/>
  <c r="J1565" i="6"/>
  <c r="I1565" i="6"/>
  <c r="P1565" i="6" s="1"/>
  <c r="H1565" i="6"/>
  <c r="G1565" i="6"/>
  <c r="F1565" i="6"/>
  <c r="D1565" i="6"/>
  <c r="U1565" i="6" s="1"/>
  <c r="C1565" i="6"/>
  <c r="B1565" i="6"/>
  <c r="E1565" i="6" s="1"/>
  <c r="Q1564" i="6"/>
  <c r="P1564" i="6"/>
  <c r="N1564" i="6"/>
  <c r="M1564" i="6"/>
  <c r="L1564" i="6"/>
  <c r="K1564" i="6"/>
  <c r="J1564" i="6"/>
  <c r="I1564" i="6"/>
  <c r="H1564" i="6"/>
  <c r="G1564" i="6"/>
  <c r="F1564" i="6"/>
  <c r="D1564" i="6"/>
  <c r="U1564" i="6" s="1"/>
  <c r="C1564" i="6"/>
  <c r="B1564" i="6"/>
  <c r="E1564" i="6" s="1"/>
  <c r="Q1563" i="6"/>
  <c r="N1563" i="6"/>
  <c r="M1563" i="6"/>
  <c r="L1563" i="6"/>
  <c r="K1563" i="6"/>
  <c r="J1563" i="6"/>
  <c r="I1563" i="6"/>
  <c r="P1563" i="6" s="1"/>
  <c r="H1563" i="6"/>
  <c r="G1563" i="6"/>
  <c r="F1563" i="6"/>
  <c r="D1563" i="6"/>
  <c r="U1563" i="6" s="1"/>
  <c r="C1563" i="6"/>
  <c r="B1563" i="6"/>
  <c r="E1563" i="6" s="1"/>
  <c r="Q1562" i="6"/>
  <c r="P1562" i="6"/>
  <c r="N1562" i="6"/>
  <c r="M1562" i="6"/>
  <c r="L1562" i="6"/>
  <c r="K1562" i="6"/>
  <c r="J1562" i="6"/>
  <c r="I1562" i="6"/>
  <c r="H1562" i="6"/>
  <c r="G1562" i="6"/>
  <c r="F1562" i="6"/>
  <c r="D1562" i="6"/>
  <c r="U1562" i="6" s="1"/>
  <c r="C1562" i="6"/>
  <c r="B1562" i="6"/>
  <c r="E1562" i="6" s="1"/>
  <c r="Q1561" i="6"/>
  <c r="N1561" i="6"/>
  <c r="M1561" i="6"/>
  <c r="L1561" i="6"/>
  <c r="K1561" i="6"/>
  <c r="J1561" i="6"/>
  <c r="I1561" i="6"/>
  <c r="P1561" i="6" s="1"/>
  <c r="H1561" i="6"/>
  <c r="G1561" i="6"/>
  <c r="F1561" i="6"/>
  <c r="D1561" i="6"/>
  <c r="U1561" i="6" s="1"/>
  <c r="C1561" i="6"/>
  <c r="B1561" i="6"/>
  <c r="E1561" i="6" s="1"/>
  <c r="Q1560" i="6"/>
  <c r="P1560" i="6"/>
  <c r="N1560" i="6"/>
  <c r="M1560" i="6"/>
  <c r="L1560" i="6"/>
  <c r="K1560" i="6"/>
  <c r="J1560" i="6"/>
  <c r="I1560" i="6"/>
  <c r="H1560" i="6"/>
  <c r="G1560" i="6"/>
  <c r="F1560" i="6"/>
  <c r="D1560" i="6"/>
  <c r="U1560" i="6" s="1"/>
  <c r="C1560" i="6"/>
  <c r="B1560" i="6"/>
  <c r="E1560" i="6" s="1"/>
  <c r="Q1559" i="6"/>
  <c r="N1559" i="6"/>
  <c r="M1559" i="6"/>
  <c r="L1559" i="6"/>
  <c r="K1559" i="6"/>
  <c r="J1559" i="6"/>
  <c r="I1559" i="6"/>
  <c r="P1559" i="6" s="1"/>
  <c r="H1559" i="6"/>
  <c r="G1559" i="6"/>
  <c r="F1559" i="6"/>
  <c r="D1559" i="6"/>
  <c r="U1559" i="6" s="1"/>
  <c r="C1559" i="6"/>
  <c r="B1559" i="6"/>
  <c r="E1559" i="6" s="1"/>
  <c r="Q1558" i="6"/>
  <c r="P1558" i="6"/>
  <c r="N1558" i="6"/>
  <c r="M1558" i="6"/>
  <c r="L1558" i="6"/>
  <c r="K1558" i="6"/>
  <c r="J1558" i="6"/>
  <c r="I1558" i="6"/>
  <c r="H1558" i="6"/>
  <c r="G1558" i="6"/>
  <c r="F1558" i="6"/>
  <c r="D1558" i="6"/>
  <c r="U1558" i="6" s="1"/>
  <c r="C1558" i="6"/>
  <c r="B1558" i="6"/>
  <c r="E1558" i="6" s="1"/>
  <c r="Q1557" i="6"/>
  <c r="N1557" i="6"/>
  <c r="M1557" i="6"/>
  <c r="L1557" i="6"/>
  <c r="K1557" i="6"/>
  <c r="J1557" i="6"/>
  <c r="I1557" i="6"/>
  <c r="P1557" i="6" s="1"/>
  <c r="H1557" i="6"/>
  <c r="G1557" i="6"/>
  <c r="F1557" i="6"/>
  <c r="D1557" i="6"/>
  <c r="U1557" i="6" s="1"/>
  <c r="C1557" i="6"/>
  <c r="B1557" i="6"/>
  <c r="E1557" i="6" s="1"/>
  <c r="Q1556" i="6"/>
  <c r="P1556" i="6"/>
  <c r="N1556" i="6"/>
  <c r="M1556" i="6"/>
  <c r="L1556" i="6"/>
  <c r="K1556" i="6"/>
  <c r="J1556" i="6"/>
  <c r="I1556" i="6"/>
  <c r="H1556" i="6"/>
  <c r="G1556" i="6"/>
  <c r="F1556" i="6"/>
  <c r="D1556" i="6"/>
  <c r="U1556" i="6" s="1"/>
  <c r="C1556" i="6"/>
  <c r="B1556" i="6"/>
  <c r="E1556" i="6" s="1"/>
  <c r="Q1555" i="6"/>
  <c r="N1555" i="6"/>
  <c r="M1555" i="6"/>
  <c r="L1555" i="6"/>
  <c r="K1555" i="6"/>
  <c r="J1555" i="6"/>
  <c r="I1555" i="6"/>
  <c r="P1555" i="6" s="1"/>
  <c r="H1555" i="6"/>
  <c r="G1555" i="6"/>
  <c r="F1555" i="6"/>
  <c r="D1555" i="6"/>
  <c r="U1555" i="6" s="1"/>
  <c r="C1555" i="6"/>
  <c r="B1555" i="6"/>
  <c r="E1555" i="6" s="1"/>
  <c r="Q1554" i="6"/>
  <c r="P1554" i="6"/>
  <c r="N1554" i="6"/>
  <c r="M1554" i="6"/>
  <c r="L1554" i="6"/>
  <c r="K1554" i="6"/>
  <c r="J1554" i="6"/>
  <c r="I1554" i="6"/>
  <c r="H1554" i="6"/>
  <c r="G1554" i="6"/>
  <c r="F1554" i="6"/>
  <c r="D1554" i="6"/>
  <c r="U1554" i="6" s="1"/>
  <c r="C1554" i="6"/>
  <c r="B1554" i="6"/>
  <c r="E1554" i="6" s="1"/>
  <c r="Q1553" i="6"/>
  <c r="N1553" i="6"/>
  <c r="M1553" i="6"/>
  <c r="L1553" i="6"/>
  <c r="K1553" i="6"/>
  <c r="J1553" i="6"/>
  <c r="I1553" i="6"/>
  <c r="P1553" i="6" s="1"/>
  <c r="H1553" i="6"/>
  <c r="G1553" i="6"/>
  <c r="F1553" i="6"/>
  <c r="D1553" i="6"/>
  <c r="U1553" i="6" s="1"/>
  <c r="C1553" i="6"/>
  <c r="B1553" i="6"/>
  <c r="E1553" i="6" s="1"/>
  <c r="Q1552" i="6"/>
  <c r="P1552" i="6"/>
  <c r="N1552" i="6"/>
  <c r="M1552" i="6"/>
  <c r="L1552" i="6"/>
  <c r="K1552" i="6"/>
  <c r="J1552" i="6"/>
  <c r="I1552" i="6"/>
  <c r="H1552" i="6"/>
  <c r="G1552" i="6"/>
  <c r="F1552" i="6"/>
  <c r="D1552" i="6"/>
  <c r="U1552" i="6" s="1"/>
  <c r="C1552" i="6"/>
  <c r="B1552" i="6"/>
  <c r="E1552" i="6" s="1"/>
  <c r="Q1551" i="6"/>
  <c r="N1551" i="6"/>
  <c r="M1551" i="6"/>
  <c r="L1551" i="6"/>
  <c r="K1551" i="6"/>
  <c r="J1551" i="6"/>
  <c r="I1551" i="6"/>
  <c r="P1551" i="6" s="1"/>
  <c r="H1551" i="6"/>
  <c r="G1551" i="6"/>
  <c r="F1551" i="6"/>
  <c r="D1551" i="6"/>
  <c r="U1551" i="6" s="1"/>
  <c r="C1551" i="6"/>
  <c r="B1551" i="6"/>
  <c r="E1551" i="6" s="1"/>
  <c r="Q1550" i="6"/>
  <c r="P1550" i="6"/>
  <c r="N1550" i="6"/>
  <c r="M1550" i="6"/>
  <c r="L1550" i="6"/>
  <c r="K1550" i="6"/>
  <c r="J1550" i="6"/>
  <c r="I1550" i="6"/>
  <c r="H1550" i="6"/>
  <c r="G1550" i="6"/>
  <c r="F1550" i="6"/>
  <c r="D1550" i="6"/>
  <c r="U1550" i="6" s="1"/>
  <c r="C1550" i="6"/>
  <c r="B1550" i="6"/>
  <c r="E1550" i="6" s="1"/>
  <c r="Q1549" i="6"/>
  <c r="N1549" i="6"/>
  <c r="M1549" i="6"/>
  <c r="L1549" i="6"/>
  <c r="K1549" i="6"/>
  <c r="J1549" i="6"/>
  <c r="I1549" i="6"/>
  <c r="P1549" i="6" s="1"/>
  <c r="H1549" i="6"/>
  <c r="G1549" i="6"/>
  <c r="F1549" i="6"/>
  <c r="D1549" i="6"/>
  <c r="U1549" i="6" s="1"/>
  <c r="C1549" i="6"/>
  <c r="B1549" i="6"/>
  <c r="E1549" i="6" s="1"/>
  <c r="Q1548" i="6"/>
  <c r="P1548" i="6"/>
  <c r="N1548" i="6"/>
  <c r="M1548" i="6"/>
  <c r="L1548" i="6"/>
  <c r="K1548" i="6"/>
  <c r="J1548" i="6"/>
  <c r="I1548" i="6"/>
  <c r="H1548" i="6"/>
  <c r="G1548" i="6"/>
  <c r="F1548" i="6"/>
  <c r="D1548" i="6"/>
  <c r="U1548" i="6" s="1"/>
  <c r="C1548" i="6"/>
  <c r="B1548" i="6"/>
  <c r="E1548" i="6" s="1"/>
  <c r="Q1547" i="6"/>
  <c r="N1547" i="6"/>
  <c r="M1547" i="6"/>
  <c r="L1547" i="6"/>
  <c r="K1547" i="6"/>
  <c r="J1547" i="6"/>
  <c r="I1547" i="6"/>
  <c r="P1547" i="6" s="1"/>
  <c r="H1547" i="6"/>
  <c r="G1547" i="6"/>
  <c r="F1547" i="6"/>
  <c r="D1547" i="6"/>
  <c r="U1547" i="6" s="1"/>
  <c r="C1547" i="6"/>
  <c r="B1547" i="6"/>
  <c r="E1547" i="6" s="1"/>
  <c r="Q1546" i="6"/>
  <c r="P1546" i="6"/>
  <c r="N1546" i="6"/>
  <c r="M1546" i="6"/>
  <c r="L1546" i="6"/>
  <c r="K1546" i="6"/>
  <c r="J1546" i="6"/>
  <c r="I1546" i="6"/>
  <c r="H1546" i="6"/>
  <c r="G1546" i="6"/>
  <c r="F1546" i="6"/>
  <c r="D1546" i="6"/>
  <c r="U1546" i="6" s="1"/>
  <c r="C1546" i="6"/>
  <c r="B1546" i="6"/>
  <c r="E1546" i="6" s="1"/>
  <c r="Q1545" i="6"/>
  <c r="N1545" i="6"/>
  <c r="M1545" i="6"/>
  <c r="L1545" i="6"/>
  <c r="K1545" i="6"/>
  <c r="J1545" i="6"/>
  <c r="I1545" i="6"/>
  <c r="P1545" i="6" s="1"/>
  <c r="H1545" i="6"/>
  <c r="G1545" i="6"/>
  <c r="F1545" i="6"/>
  <c r="D1545" i="6"/>
  <c r="U1545" i="6" s="1"/>
  <c r="C1545" i="6"/>
  <c r="B1545" i="6"/>
  <c r="E1545" i="6" s="1"/>
  <c r="Q1544" i="6"/>
  <c r="P1544" i="6"/>
  <c r="N1544" i="6"/>
  <c r="M1544" i="6"/>
  <c r="L1544" i="6"/>
  <c r="K1544" i="6"/>
  <c r="J1544" i="6"/>
  <c r="I1544" i="6"/>
  <c r="H1544" i="6"/>
  <c r="G1544" i="6"/>
  <c r="F1544" i="6"/>
  <c r="D1544" i="6"/>
  <c r="U1544" i="6" s="1"/>
  <c r="C1544" i="6"/>
  <c r="B1544" i="6"/>
  <c r="E1544" i="6" s="1"/>
  <c r="Q1543" i="6"/>
  <c r="N1543" i="6"/>
  <c r="M1543" i="6"/>
  <c r="L1543" i="6"/>
  <c r="K1543" i="6"/>
  <c r="J1543" i="6"/>
  <c r="I1543" i="6"/>
  <c r="P1543" i="6" s="1"/>
  <c r="H1543" i="6"/>
  <c r="G1543" i="6"/>
  <c r="F1543" i="6"/>
  <c r="D1543" i="6"/>
  <c r="U1543" i="6" s="1"/>
  <c r="C1543" i="6"/>
  <c r="B1543" i="6"/>
  <c r="E1543" i="6" s="1"/>
  <c r="Q1542" i="6"/>
  <c r="P1542" i="6"/>
  <c r="N1542" i="6"/>
  <c r="M1542" i="6"/>
  <c r="L1542" i="6"/>
  <c r="K1542" i="6"/>
  <c r="J1542" i="6"/>
  <c r="I1542" i="6"/>
  <c r="H1542" i="6"/>
  <c r="G1542" i="6"/>
  <c r="F1542" i="6"/>
  <c r="D1542" i="6"/>
  <c r="U1542" i="6" s="1"/>
  <c r="C1542" i="6"/>
  <c r="B1542" i="6"/>
  <c r="E1542" i="6" s="1"/>
  <c r="Q1541" i="6"/>
  <c r="N1541" i="6"/>
  <c r="M1541" i="6"/>
  <c r="L1541" i="6"/>
  <c r="K1541" i="6"/>
  <c r="J1541" i="6"/>
  <c r="I1541" i="6"/>
  <c r="P1541" i="6" s="1"/>
  <c r="H1541" i="6"/>
  <c r="G1541" i="6"/>
  <c r="F1541" i="6"/>
  <c r="D1541" i="6"/>
  <c r="U1541" i="6" s="1"/>
  <c r="C1541" i="6"/>
  <c r="B1541" i="6"/>
  <c r="E1541" i="6" s="1"/>
  <c r="Q1540" i="6"/>
  <c r="P1540" i="6"/>
  <c r="N1540" i="6"/>
  <c r="M1540" i="6"/>
  <c r="L1540" i="6"/>
  <c r="K1540" i="6"/>
  <c r="J1540" i="6"/>
  <c r="I1540" i="6"/>
  <c r="H1540" i="6"/>
  <c r="G1540" i="6"/>
  <c r="F1540" i="6"/>
  <c r="D1540" i="6"/>
  <c r="U1540" i="6" s="1"/>
  <c r="C1540" i="6"/>
  <c r="B1540" i="6"/>
  <c r="E1540" i="6" s="1"/>
  <c r="Q1539" i="6"/>
  <c r="N1539" i="6"/>
  <c r="M1539" i="6"/>
  <c r="L1539" i="6"/>
  <c r="K1539" i="6"/>
  <c r="J1539" i="6"/>
  <c r="I1539" i="6"/>
  <c r="P1539" i="6" s="1"/>
  <c r="H1539" i="6"/>
  <c r="G1539" i="6"/>
  <c r="F1539" i="6"/>
  <c r="D1539" i="6"/>
  <c r="U1539" i="6" s="1"/>
  <c r="C1539" i="6"/>
  <c r="B1539" i="6"/>
  <c r="E1539" i="6" s="1"/>
  <c r="Q1538" i="6"/>
  <c r="P1538" i="6"/>
  <c r="N1538" i="6"/>
  <c r="M1538" i="6"/>
  <c r="L1538" i="6"/>
  <c r="K1538" i="6"/>
  <c r="J1538" i="6"/>
  <c r="I1538" i="6"/>
  <c r="H1538" i="6"/>
  <c r="G1538" i="6"/>
  <c r="F1538" i="6"/>
  <c r="D1538" i="6"/>
  <c r="U1538" i="6" s="1"/>
  <c r="C1538" i="6"/>
  <c r="B1538" i="6"/>
  <c r="E1538" i="6" s="1"/>
  <c r="Q1537" i="6"/>
  <c r="N1537" i="6"/>
  <c r="M1537" i="6"/>
  <c r="L1537" i="6"/>
  <c r="K1537" i="6"/>
  <c r="J1537" i="6"/>
  <c r="I1537" i="6"/>
  <c r="P1537" i="6" s="1"/>
  <c r="H1537" i="6"/>
  <c r="G1537" i="6"/>
  <c r="F1537" i="6"/>
  <c r="D1537" i="6"/>
  <c r="U1537" i="6" s="1"/>
  <c r="C1537" i="6"/>
  <c r="B1537" i="6"/>
  <c r="E1537" i="6" s="1"/>
  <c r="Q1536" i="6"/>
  <c r="P1536" i="6"/>
  <c r="N1536" i="6"/>
  <c r="M1536" i="6"/>
  <c r="L1536" i="6"/>
  <c r="K1536" i="6"/>
  <c r="J1536" i="6"/>
  <c r="I1536" i="6"/>
  <c r="H1536" i="6"/>
  <c r="G1536" i="6"/>
  <c r="F1536" i="6"/>
  <c r="D1536" i="6"/>
  <c r="U1536" i="6" s="1"/>
  <c r="C1536" i="6"/>
  <c r="B1536" i="6"/>
  <c r="E1536" i="6" s="1"/>
  <c r="Q1535" i="6"/>
  <c r="N1535" i="6"/>
  <c r="M1535" i="6"/>
  <c r="L1535" i="6"/>
  <c r="K1535" i="6"/>
  <c r="J1535" i="6"/>
  <c r="I1535" i="6"/>
  <c r="P1535" i="6" s="1"/>
  <c r="H1535" i="6"/>
  <c r="G1535" i="6"/>
  <c r="F1535" i="6"/>
  <c r="D1535" i="6"/>
  <c r="U1535" i="6" s="1"/>
  <c r="C1535" i="6"/>
  <c r="B1535" i="6"/>
  <c r="E1535" i="6" s="1"/>
  <c r="Q1534" i="6"/>
  <c r="P1534" i="6"/>
  <c r="N1534" i="6"/>
  <c r="M1534" i="6"/>
  <c r="L1534" i="6"/>
  <c r="K1534" i="6"/>
  <c r="J1534" i="6"/>
  <c r="I1534" i="6"/>
  <c r="H1534" i="6"/>
  <c r="G1534" i="6"/>
  <c r="F1534" i="6"/>
  <c r="D1534" i="6"/>
  <c r="U1534" i="6" s="1"/>
  <c r="C1534" i="6"/>
  <c r="B1534" i="6"/>
  <c r="E1534" i="6" s="1"/>
  <c r="Q1533" i="6"/>
  <c r="N1533" i="6"/>
  <c r="M1533" i="6"/>
  <c r="L1533" i="6"/>
  <c r="K1533" i="6"/>
  <c r="J1533" i="6"/>
  <c r="I1533" i="6"/>
  <c r="P1533" i="6" s="1"/>
  <c r="H1533" i="6"/>
  <c r="G1533" i="6"/>
  <c r="F1533" i="6"/>
  <c r="D1533" i="6"/>
  <c r="U1533" i="6" s="1"/>
  <c r="C1533" i="6"/>
  <c r="B1533" i="6"/>
  <c r="E1533" i="6" s="1"/>
  <c r="Q1532" i="6"/>
  <c r="P1532" i="6"/>
  <c r="N1532" i="6"/>
  <c r="M1532" i="6"/>
  <c r="L1532" i="6"/>
  <c r="K1532" i="6"/>
  <c r="J1532" i="6"/>
  <c r="I1532" i="6"/>
  <c r="H1532" i="6"/>
  <c r="G1532" i="6"/>
  <c r="F1532" i="6"/>
  <c r="D1532" i="6"/>
  <c r="U1532" i="6" s="1"/>
  <c r="C1532" i="6"/>
  <c r="B1532" i="6"/>
  <c r="E1532" i="6" s="1"/>
  <c r="Q1531" i="6"/>
  <c r="N1531" i="6"/>
  <c r="M1531" i="6"/>
  <c r="L1531" i="6"/>
  <c r="K1531" i="6"/>
  <c r="J1531" i="6"/>
  <c r="I1531" i="6"/>
  <c r="P1531" i="6" s="1"/>
  <c r="H1531" i="6"/>
  <c r="G1531" i="6"/>
  <c r="F1531" i="6"/>
  <c r="D1531" i="6"/>
  <c r="U1531" i="6" s="1"/>
  <c r="C1531" i="6"/>
  <c r="B1531" i="6"/>
  <c r="Q1530" i="6"/>
  <c r="P1530" i="6"/>
  <c r="N1530" i="6"/>
  <c r="M1530" i="6"/>
  <c r="L1530" i="6"/>
  <c r="K1530" i="6"/>
  <c r="J1530" i="6"/>
  <c r="I1530" i="6"/>
  <c r="H1530" i="6"/>
  <c r="G1530" i="6"/>
  <c r="F1530" i="6"/>
  <c r="D1530" i="6"/>
  <c r="U1530" i="6" s="1"/>
  <c r="C1530" i="6"/>
  <c r="B1530" i="6"/>
  <c r="E1530" i="6" s="1"/>
  <c r="Q1529" i="6"/>
  <c r="N1529" i="6"/>
  <c r="M1529" i="6"/>
  <c r="L1529" i="6"/>
  <c r="K1529" i="6"/>
  <c r="J1529" i="6"/>
  <c r="I1529" i="6"/>
  <c r="P1529" i="6" s="1"/>
  <c r="H1529" i="6"/>
  <c r="G1529" i="6"/>
  <c r="F1529" i="6"/>
  <c r="D1529" i="6"/>
  <c r="U1529" i="6" s="1"/>
  <c r="C1529" i="6"/>
  <c r="B1529" i="6"/>
  <c r="E1529" i="6" s="1"/>
  <c r="Q1528" i="6"/>
  <c r="P1528" i="6"/>
  <c r="N1528" i="6"/>
  <c r="M1528" i="6"/>
  <c r="L1528" i="6"/>
  <c r="K1528" i="6"/>
  <c r="J1528" i="6"/>
  <c r="I1528" i="6"/>
  <c r="H1528" i="6"/>
  <c r="G1528" i="6"/>
  <c r="F1528" i="6"/>
  <c r="D1528" i="6"/>
  <c r="U1528" i="6" s="1"/>
  <c r="C1528" i="6"/>
  <c r="B1528" i="6"/>
  <c r="E1528" i="6" s="1"/>
  <c r="Q1527" i="6"/>
  <c r="N1527" i="6"/>
  <c r="M1527" i="6"/>
  <c r="L1527" i="6"/>
  <c r="K1527" i="6"/>
  <c r="J1527" i="6"/>
  <c r="I1527" i="6"/>
  <c r="P1527" i="6" s="1"/>
  <c r="H1527" i="6"/>
  <c r="G1527" i="6"/>
  <c r="F1527" i="6"/>
  <c r="D1527" i="6"/>
  <c r="U1527" i="6" s="1"/>
  <c r="C1527" i="6"/>
  <c r="B1527" i="6"/>
  <c r="Q1526" i="6"/>
  <c r="P1526" i="6"/>
  <c r="N1526" i="6"/>
  <c r="M1526" i="6"/>
  <c r="L1526" i="6"/>
  <c r="K1526" i="6"/>
  <c r="J1526" i="6"/>
  <c r="I1526" i="6"/>
  <c r="H1526" i="6"/>
  <c r="G1526" i="6"/>
  <c r="F1526" i="6"/>
  <c r="D1526" i="6"/>
  <c r="U1526" i="6" s="1"/>
  <c r="C1526" i="6"/>
  <c r="B1526" i="6"/>
  <c r="E1526" i="6" s="1"/>
  <c r="Q1525" i="6"/>
  <c r="N1525" i="6"/>
  <c r="M1525" i="6"/>
  <c r="L1525" i="6"/>
  <c r="K1525" i="6"/>
  <c r="J1525" i="6"/>
  <c r="I1525" i="6"/>
  <c r="P1525" i="6" s="1"/>
  <c r="H1525" i="6"/>
  <c r="G1525" i="6"/>
  <c r="F1525" i="6"/>
  <c r="D1525" i="6"/>
  <c r="U1525" i="6" s="1"/>
  <c r="C1525" i="6"/>
  <c r="B1525" i="6"/>
  <c r="Q1524" i="6"/>
  <c r="P1524" i="6"/>
  <c r="N1524" i="6"/>
  <c r="M1524" i="6"/>
  <c r="L1524" i="6"/>
  <c r="K1524" i="6"/>
  <c r="J1524" i="6"/>
  <c r="I1524" i="6"/>
  <c r="H1524" i="6"/>
  <c r="G1524" i="6"/>
  <c r="F1524" i="6"/>
  <c r="D1524" i="6"/>
  <c r="U1524" i="6" s="1"/>
  <c r="C1524" i="6"/>
  <c r="B1524" i="6"/>
  <c r="E1524" i="6" s="1"/>
  <c r="Q1523" i="6"/>
  <c r="N1523" i="6"/>
  <c r="M1523" i="6"/>
  <c r="L1523" i="6"/>
  <c r="K1523" i="6"/>
  <c r="J1523" i="6"/>
  <c r="I1523" i="6"/>
  <c r="P1523" i="6" s="1"/>
  <c r="H1523" i="6"/>
  <c r="G1523" i="6"/>
  <c r="F1523" i="6"/>
  <c r="D1523" i="6"/>
  <c r="U1523" i="6" s="1"/>
  <c r="C1523" i="6"/>
  <c r="B1523" i="6"/>
  <c r="Q1522" i="6"/>
  <c r="P1522" i="6"/>
  <c r="N1522" i="6"/>
  <c r="M1522" i="6"/>
  <c r="L1522" i="6"/>
  <c r="K1522" i="6"/>
  <c r="J1522" i="6"/>
  <c r="I1522" i="6"/>
  <c r="H1522" i="6"/>
  <c r="G1522" i="6"/>
  <c r="F1522" i="6"/>
  <c r="D1522" i="6"/>
  <c r="U1522" i="6" s="1"/>
  <c r="C1522" i="6"/>
  <c r="B1522" i="6"/>
  <c r="E1522" i="6" s="1"/>
  <c r="Q1521" i="6"/>
  <c r="N1521" i="6"/>
  <c r="M1521" i="6"/>
  <c r="L1521" i="6"/>
  <c r="K1521" i="6"/>
  <c r="J1521" i="6"/>
  <c r="I1521" i="6"/>
  <c r="P1521" i="6" s="1"/>
  <c r="H1521" i="6"/>
  <c r="G1521" i="6"/>
  <c r="F1521" i="6"/>
  <c r="D1521" i="6"/>
  <c r="U1521" i="6" s="1"/>
  <c r="C1521" i="6"/>
  <c r="B1521" i="6"/>
  <c r="Q1520" i="6"/>
  <c r="P1520" i="6"/>
  <c r="N1520" i="6"/>
  <c r="M1520" i="6"/>
  <c r="L1520" i="6"/>
  <c r="K1520" i="6"/>
  <c r="J1520" i="6"/>
  <c r="I1520" i="6"/>
  <c r="H1520" i="6"/>
  <c r="G1520" i="6"/>
  <c r="F1520" i="6"/>
  <c r="D1520" i="6"/>
  <c r="U1520" i="6" s="1"/>
  <c r="C1520" i="6"/>
  <c r="B1520" i="6"/>
  <c r="E1520" i="6" s="1"/>
  <c r="Q1519" i="6"/>
  <c r="N1519" i="6"/>
  <c r="M1519" i="6"/>
  <c r="L1519" i="6"/>
  <c r="K1519" i="6"/>
  <c r="J1519" i="6"/>
  <c r="I1519" i="6"/>
  <c r="P1519" i="6" s="1"/>
  <c r="H1519" i="6"/>
  <c r="G1519" i="6"/>
  <c r="F1519" i="6"/>
  <c r="D1519" i="6"/>
  <c r="U1519" i="6" s="1"/>
  <c r="C1519" i="6"/>
  <c r="B1519" i="6"/>
  <c r="Q1518" i="6"/>
  <c r="P1518" i="6"/>
  <c r="N1518" i="6"/>
  <c r="M1518" i="6"/>
  <c r="L1518" i="6"/>
  <c r="K1518" i="6"/>
  <c r="J1518" i="6"/>
  <c r="I1518" i="6"/>
  <c r="H1518" i="6"/>
  <c r="G1518" i="6"/>
  <c r="F1518" i="6"/>
  <c r="D1518" i="6"/>
  <c r="U1518" i="6" s="1"/>
  <c r="C1518" i="6"/>
  <c r="B1518" i="6"/>
  <c r="E1518" i="6" s="1"/>
  <c r="Q1517" i="6"/>
  <c r="N1517" i="6"/>
  <c r="M1517" i="6"/>
  <c r="L1517" i="6"/>
  <c r="K1517" i="6"/>
  <c r="J1517" i="6"/>
  <c r="I1517" i="6"/>
  <c r="P1517" i="6" s="1"/>
  <c r="H1517" i="6"/>
  <c r="G1517" i="6"/>
  <c r="F1517" i="6"/>
  <c r="D1517" i="6"/>
  <c r="U1517" i="6" s="1"/>
  <c r="C1517" i="6"/>
  <c r="B1517" i="6"/>
  <c r="Q1516" i="6"/>
  <c r="P1516" i="6"/>
  <c r="N1516" i="6"/>
  <c r="M1516" i="6"/>
  <c r="L1516" i="6"/>
  <c r="K1516" i="6"/>
  <c r="J1516" i="6"/>
  <c r="I1516" i="6"/>
  <c r="H1516" i="6"/>
  <c r="G1516" i="6"/>
  <c r="F1516" i="6"/>
  <c r="D1516" i="6"/>
  <c r="U1516" i="6" s="1"/>
  <c r="C1516" i="6"/>
  <c r="B1516" i="6"/>
  <c r="E1516" i="6" s="1"/>
  <c r="Q1515" i="6"/>
  <c r="N1515" i="6"/>
  <c r="M1515" i="6"/>
  <c r="L1515" i="6"/>
  <c r="K1515" i="6"/>
  <c r="J1515" i="6"/>
  <c r="I1515" i="6"/>
  <c r="P1515" i="6" s="1"/>
  <c r="H1515" i="6"/>
  <c r="G1515" i="6"/>
  <c r="F1515" i="6"/>
  <c r="D1515" i="6"/>
  <c r="U1515" i="6" s="1"/>
  <c r="C1515" i="6"/>
  <c r="B1515" i="6"/>
  <c r="Q1514" i="6"/>
  <c r="P1514" i="6"/>
  <c r="N1514" i="6"/>
  <c r="M1514" i="6"/>
  <c r="L1514" i="6"/>
  <c r="K1514" i="6"/>
  <c r="J1514" i="6"/>
  <c r="I1514" i="6"/>
  <c r="H1514" i="6"/>
  <c r="G1514" i="6"/>
  <c r="F1514" i="6"/>
  <c r="D1514" i="6"/>
  <c r="U1514" i="6" s="1"/>
  <c r="C1514" i="6"/>
  <c r="B1514" i="6"/>
  <c r="E1514" i="6" s="1"/>
  <c r="Q1513" i="6"/>
  <c r="N1513" i="6"/>
  <c r="M1513" i="6"/>
  <c r="L1513" i="6"/>
  <c r="K1513" i="6"/>
  <c r="J1513" i="6"/>
  <c r="I1513" i="6"/>
  <c r="P1513" i="6" s="1"/>
  <c r="H1513" i="6"/>
  <c r="G1513" i="6"/>
  <c r="F1513" i="6"/>
  <c r="D1513" i="6"/>
  <c r="U1513" i="6" s="1"/>
  <c r="C1513" i="6"/>
  <c r="B1513" i="6"/>
  <c r="Q1512" i="6"/>
  <c r="P1512" i="6"/>
  <c r="N1512" i="6"/>
  <c r="M1512" i="6"/>
  <c r="L1512" i="6"/>
  <c r="K1512" i="6"/>
  <c r="J1512" i="6"/>
  <c r="I1512" i="6"/>
  <c r="H1512" i="6"/>
  <c r="G1512" i="6"/>
  <c r="F1512" i="6"/>
  <c r="D1512" i="6"/>
  <c r="U1512" i="6" s="1"/>
  <c r="C1512" i="6"/>
  <c r="B1512" i="6"/>
  <c r="E1512" i="6" s="1"/>
  <c r="Q1511" i="6"/>
  <c r="N1511" i="6"/>
  <c r="M1511" i="6"/>
  <c r="L1511" i="6"/>
  <c r="K1511" i="6"/>
  <c r="J1511" i="6"/>
  <c r="I1511" i="6"/>
  <c r="P1511" i="6" s="1"/>
  <c r="H1511" i="6"/>
  <c r="G1511" i="6"/>
  <c r="F1511" i="6"/>
  <c r="D1511" i="6"/>
  <c r="U1511" i="6" s="1"/>
  <c r="C1511" i="6"/>
  <c r="B1511" i="6"/>
  <c r="Q1510" i="6"/>
  <c r="P1510" i="6"/>
  <c r="N1510" i="6"/>
  <c r="M1510" i="6"/>
  <c r="L1510" i="6"/>
  <c r="K1510" i="6"/>
  <c r="J1510" i="6"/>
  <c r="I1510" i="6"/>
  <c r="H1510" i="6"/>
  <c r="G1510" i="6"/>
  <c r="F1510" i="6"/>
  <c r="D1510" i="6"/>
  <c r="U1510" i="6" s="1"/>
  <c r="C1510" i="6"/>
  <c r="B1510" i="6"/>
  <c r="E1510" i="6" s="1"/>
  <c r="Q1509" i="6"/>
  <c r="N1509" i="6"/>
  <c r="M1509" i="6"/>
  <c r="L1509" i="6"/>
  <c r="K1509" i="6"/>
  <c r="J1509" i="6"/>
  <c r="I1509" i="6"/>
  <c r="P1509" i="6" s="1"/>
  <c r="H1509" i="6"/>
  <c r="G1509" i="6"/>
  <c r="F1509" i="6"/>
  <c r="D1509" i="6"/>
  <c r="U1509" i="6" s="1"/>
  <c r="C1509" i="6"/>
  <c r="B1509" i="6"/>
  <c r="Q1508" i="6"/>
  <c r="P1508" i="6"/>
  <c r="N1508" i="6"/>
  <c r="M1508" i="6"/>
  <c r="L1508" i="6"/>
  <c r="K1508" i="6"/>
  <c r="J1508" i="6"/>
  <c r="I1508" i="6"/>
  <c r="H1508" i="6"/>
  <c r="G1508" i="6"/>
  <c r="F1508" i="6"/>
  <c r="D1508" i="6"/>
  <c r="U1508" i="6" s="1"/>
  <c r="C1508" i="6"/>
  <c r="B1508" i="6"/>
  <c r="E1508" i="6" s="1"/>
  <c r="Q1507" i="6"/>
  <c r="N1507" i="6"/>
  <c r="M1507" i="6"/>
  <c r="L1507" i="6"/>
  <c r="K1507" i="6"/>
  <c r="J1507" i="6"/>
  <c r="I1507" i="6"/>
  <c r="P1507" i="6" s="1"/>
  <c r="H1507" i="6"/>
  <c r="G1507" i="6"/>
  <c r="F1507" i="6"/>
  <c r="D1507" i="6"/>
  <c r="U1507" i="6" s="1"/>
  <c r="C1507" i="6"/>
  <c r="B1507" i="6"/>
  <c r="Q1506" i="6"/>
  <c r="P1506" i="6"/>
  <c r="N1506" i="6"/>
  <c r="M1506" i="6"/>
  <c r="L1506" i="6"/>
  <c r="K1506" i="6"/>
  <c r="J1506" i="6"/>
  <c r="I1506" i="6"/>
  <c r="H1506" i="6"/>
  <c r="G1506" i="6"/>
  <c r="F1506" i="6"/>
  <c r="D1506" i="6"/>
  <c r="U1506" i="6" s="1"/>
  <c r="C1506" i="6"/>
  <c r="B1506" i="6"/>
  <c r="E1506" i="6" s="1"/>
  <c r="Q1505" i="6"/>
  <c r="N1505" i="6"/>
  <c r="M1505" i="6"/>
  <c r="L1505" i="6"/>
  <c r="K1505" i="6"/>
  <c r="J1505" i="6"/>
  <c r="I1505" i="6"/>
  <c r="P1505" i="6" s="1"/>
  <c r="H1505" i="6"/>
  <c r="G1505" i="6"/>
  <c r="F1505" i="6"/>
  <c r="D1505" i="6"/>
  <c r="U1505" i="6" s="1"/>
  <c r="C1505" i="6"/>
  <c r="B1505" i="6"/>
  <c r="Q1504" i="6"/>
  <c r="P1504" i="6"/>
  <c r="N1504" i="6"/>
  <c r="M1504" i="6"/>
  <c r="L1504" i="6"/>
  <c r="K1504" i="6"/>
  <c r="J1504" i="6"/>
  <c r="I1504" i="6"/>
  <c r="H1504" i="6"/>
  <c r="G1504" i="6"/>
  <c r="F1504" i="6"/>
  <c r="D1504" i="6"/>
  <c r="U1504" i="6" s="1"/>
  <c r="C1504" i="6"/>
  <c r="B1504" i="6"/>
  <c r="E1504" i="6" s="1"/>
  <c r="Q1503" i="6"/>
  <c r="N1503" i="6"/>
  <c r="M1503" i="6"/>
  <c r="L1503" i="6"/>
  <c r="K1503" i="6"/>
  <c r="J1503" i="6"/>
  <c r="I1503" i="6"/>
  <c r="P1503" i="6" s="1"/>
  <c r="H1503" i="6"/>
  <c r="G1503" i="6"/>
  <c r="F1503" i="6"/>
  <c r="D1503" i="6"/>
  <c r="U1503" i="6" s="1"/>
  <c r="C1503" i="6"/>
  <c r="B1503" i="6"/>
  <c r="Q1502" i="6"/>
  <c r="P1502" i="6"/>
  <c r="N1502" i="6"/>
  <c r="M1502" i="6"/>
  <c r="L1502" i="6"/>
  <c r="K1502" i="6"/>
  <c r="J1502" i="6"/>
  <c r="I1502" i="6"/>
  <c r="H1502" i="6"/>
  <c r="G1502" i="6"/>
  <c r="F1502" i="6"/>
  <c r="D1502" i="6"/>
  <c r="U1502" i="6" s="1"/>
  <c r="C1502" i="6"/>
  <c r="B1502" i="6"/>
  <c r="E1502" i="6" s="1"/>
  <c r="Q1501" i="6"/>
  <c r="N1501" i="6"/>
  <c r="M1501" i="6"/>
  <c r="L1501" i="6"/>
  <c r="K1501" i="6"/>
  <c r="J1501" i="6"/>
  <c r="I1501" i="6"/>
  <c r="P1501" i="6" s="1"/>
  <c r="H1501" i="6"/>
  <c r="G1501" i="6"/>
  <c r="F1501" i="6"/>
  <c r="D1501" i="6"/>
  <c r="U1501" i="6" s="1"/>
  <c r="C1501" i="6"/>
  <c r="B1501" i="6"/>
  <c r="Q1500" i="6"/>
  <c r="P1500" i="6"/>
  <c r="N1500" i="6"/>
  <c r="M1500" i="6"/>
  <c r="L1500" i="6"/>
  <c r="K1500" i="6"/>
  <c r="J1500" i="6"/>
  <c r="I1500" i="6"/>
  <c r="H1500" i="6"/>
  <c r="G1500" i="6"/>
  <c r="F1500" i="6"/>
  <c r="D1500" i="6"/>
  <c r="U1500" i="6" s="1"/>
  <c r="C1500" i="6"/>
  <c r="B1500" i="6"/>
  <c r="E1500" i="6" s="1"/>
  <c r="Q1499" i="6"/>
  <c r="N1499" i="6"/>
  <c r="M1499" i="6"/>
  <c r="L1499" i="6"/>
  <c r="K1499" i="6"/>
  <c r="J1499" i="6"/>
  <c r="I1499" i="6"/>
  <c r="P1499" i="6" s="1"/>
  <c r="H1499" i="6"/>
  <c r="G1499" i="6"/>
  <c r="F1499" i="6"/>
  <c r="D1499" i="6"/>
  <c r="U1499" i="6" s="1"/>
  <c r="C1499" i="6"/>
  <c r="B1499" i="6"/>
  <c r="Q1498" i="6"/>
  <c r="P1498" i="6"/>
  <c r="N1498" i="6"/>
  <c r="M1498" i="6"/>
  <c r="L1498" i="6"/>
  <c r="K1498" i="6"/>
  <c r="J1498" i="6"/>
  <c r="I1498" i="6"/>
  <c r="H1498" i="6"/>
  <c r="G1498" i="6"/>
  <c r="F1498" i="6"/>
  <c r="D1498" i="6"/>
  <c r="U1498" i="6" s="1"/>
  <c r="C1498" i="6"/>
  <c r="B1498" i="6"/>
  <c r="E1498" i="6" s="1"/>
  <c r="Q1497" i="6"/>
  <c r="N1497" i="6"/>
  <c r="M1497" i="6"/>
  <c r="L1497" i="6"/>
  <c r="K1497" i="6"/>
  <c r="J1497" i="6"/>
  <c r="I1497" i="6"/>
  <c r="P1497" i="6" s="1"/>
  <c r="H1497" i="6"/>
  <c r="G1497" i="6"/>
  <c r="F1497" i="6"/>
  <c r="D1497" i="6"/>
  <c r="U1497" i="6" s="1"/>
  <c r="C1497" i="6"/>
  <c r="B1497" i="6"/>
  <c r="Q1496" i="6"/>
  <c r="P1496" i="6"/>
  <c r="N1496" i="6"/>
  <c r="M1496" i="6"/>
  <c r="L1496" i="6"/>
  <c r="K1496" i="6"/>
  <c r="J1496" i="6"/>
  <c r="I1496" i="6"/>
  <c r="H1496" i="6"/>
  <c r="G1496" i="6"/>
  <c r="F1496" i="6"/>
  <c r="D1496" i="6"/>
  <c r="U1496" i="6" s="1"/>
  <c r="C1496" i="6"/>
  <c r="B1496" i="6"/>
  <c r="E1496" i="6" s="1"/>
  <c r="Q1495" i="6"/>
  <c r="N1495" i="6"/>
  <c r="M1495" i="6"/>
  <c r="L1495" i="6"/>
  <c r="K1495" i="6"/>
  <c r="J1495" i="6"/>
  <c r="I1495" i="6"/>
  <c r="P1495" i="6" s="1"/>
  <c r="H1495" i="6"/>
  <c r="G1495" i="6"/>
  <c r="F1495" i="6"/>
  <c r="D1495" i="6"/>
  <c r="U1495" i="6" s="1"/>
  <c r="C1495" i="6"/>
  <c r="B1495" i="6"/>
  <c r="Q1494" i="6"/>
  <c r="P1494" i="6"/>
  <c r="N1494" i="6"/>
  <c r="M1494" i="6"/>
  <c r="L1494" i="6"/>
  <c r="K1494" i="6"/>
  <c r="J1494" i="6"/>
  <c r="I1494" i="6"/>
  <c r="H1494" i="6"/>
  <c r="G1494" i="6"/>
  <c r="F1494" i="6"/>
  <c r="D1494" i="6"/>
  <c r="U1494" i="6" s="1"/>
  <c r="C1494" i="6"/>
  <c r="B1494" i="6"/>
  <c r="E1494" i="6" s="1"/>
  <c r="Q1493" i="6"/>
  <c r="N1493" i="6"/>
  <c r="M1493" i="6"/>
  <c r="L1493" i="6"/>
  <c r="K1493" i="6"/>
  <c r="J1493" i="6"/>
  <c r="I1493" i="6"/>
  <c r="P1493" i="6" s="1"/>
  <c r="H1493" i="6"/>
  <c r="G1493" i="6"/>
  <c r="F1493" i="6"/>
  <c r="D1493" i="6"/>
  <c r="U1493" i="6" s="1"/>
  <c r="C1493" i="6"/>
  <c r="B1493" i="6"/>
  <c r="Q1492" i="6"/>
  <c r="P1492" i="6"/>
  <c r="N1492" i="6"/>
  <c r="M1492" i="6"/>
  <c r="L1492" i="6"/>
  <c r="K1492" i="6"/>
  <c r="J1492" i="6"/>
  <c r="I1492" i="6"/>
  <c r="H1492" i="6"/>
  <c r="G1492" i="6"/>
  <c r="F1492" i="6"/>
  <c r="D1492" i="6"/>
  <c r="U1492" i="6" s="1"/>
  <c r="C1492" i="6"/>
  <c r="B1492" i="6"/>
  <c r="E1492" i="6" s="1"/>
  <c r="Q1491" i="6"/>
  <c r="N1491" i="6"/>
  <c r="M1491" i="6"/>
  <c r="L1491" i="6"/>
  <c r="K1491" i="6"/>
  <c r="J1491" i="6"/>
  <c r="I1491" i="6"/>
  <c r="P1491" i="6" s="1"/>
  <c r="H1491" i="6"/>
  <c r="G1491" i="6"/>
  <c r="F1491" i="6"/>
  <c r="D1491" i="6"/>
  <c r="U1491" i="6" s="1"/>
  <c r="C1491" i="6"/>
  <c r="B1491" i="6"/>
  <c r="Q1490" i="6"/>
  <c r="P1490" i="6"/>
  <c r="N1490" i="6"/>
  <c r="M1490" i="6"/>
  <c r="L1490" i="6"/>
  <c r="K1490" i="6"/>
  <c r="J1490" i="6"/>
  <c r="I1490" i="6"/>
  <c r="H1490" i="6"/>
  <c r="G1490" i="6"/>
  <c r="F1490" i="6"/>
  <c r="D1490" i="6"/>
  <c r="U1490" i="6" s="1"/>
  <c r="C1490" i="6"/>
  <c r="B1490" i="6"/>
  <c r="E1490" i="6" s="1"/>
  <c r="Q1489" i="6"/>
  <c r="N1489" i="6"/>
  <c r="M1489" i="6"/>
  <c r="L1489" i="6"/>
  <c r="K1489" i="6"/>
  <c r="J1489" i="6"/>
  <c r="I1489" i="6"/>
  <c r="P1489" i="6" s="1"/>
  <c r="H1489" i="6"/>
  <c r="G1489" i="6"/>
  <c r="F1489" i="6"/>
  <c r="D1489" i="6"/>
  <c r="U1489" i="6" s="1"/>
  <c r="C1489" i="6"/>
  <c r="B1489" i="6"/>
  <c r="Q1488" i="6"/>
  <c r="P1488" i="6"/>
  <c r="N1488" i="6"/>
  <c r="M1488" i="6"/>
  <c r="L1488" i="6"/>
  <c r="K1488" i="6"/>
  <c r="J1488" i="6"/>
  <c r="I1488" i="6"/>
  <c r="H1488" i="6"/>
  <c r="G1488" i="6"/>
  <c r="F1488" i="6"/>
  <c r="D1488" i="6"/>
  <c r="U1488" i="6" s="1"/>
  <c r="C1488" i="6"/>
  <c r="B1488" i="6"/>
  <c r="E1488" i="6" s="1"/>
  <c r="Q1487" i="6"/>
  <c r="N1487" i="6"/>
  <c r="M1487" i="6"/>
  <c r="L1487" i="6"/>
  <c r="K1487" i="6"/>
  <c r="J1487" i="6"/>
  <c r="I1487" i="6"/>
  <c r="P1487" i="6" s="1"/>
  <c r="H1487" i="6"/>
  <c r="G1487" i="6"/>
  <c r="F1487" i="6"/>
  <c r="D1487" i="6"/>
  <c r="U1487" i="6" s="1"/>
  <c r="C1487" i="6"/>
  <c r="B1487" i="6"/>
  <c r="Q1486" i="6"/>
  <c r="P1486" i="6"/>
  <c r="N1486" i="6"/>
  <c r="M1486" i="6"/>
  <c r="L1486" i="6"/>
  <c r="K1486" i="6"/>
  <c r="J1486" i="6"/>
  <c r="I1486" i="6"/>
  <c r="H1486" i="6"/>
  <c r="G1486" i="6"/>
  <c r="F1486" i="6"/>
  <c r="D1486" i="6"/>
  <c r="U1486" i="6" s="1"/>
  <c r="C1486" i="6"/>
  <c r="B1486" i="6"/>
  <c r="E1486" i="6" s="1"/>
  <c r="Q1485" i="6"/>
  <c r="N1485" i="6"/>
  <c r="M1485" i="6"/>
  <c r="L1485" i="6"/>
  <c r="K1485" i="6"/>
  <c r="J1485" i="6"/>
  <c r="I1485" i="6"/>
  <c r="P1485" i="6" s="1"/>
  <c r="H1485" i="6"/>
  <c r="G1485" i="6"/>
  <c r="F1485" i="6"/>
  <c r="D1485" i="6"/>
  <c r="U1485" i="6" s="1"/>
  <c r="C1485" i="6"/>
  <c r="B1485" i="6"/>
  <c r="Q1484" i="6"/>
  <c r="P1484" i="6"/>
  <c r="N1484" i="6"/>
  <c r="M1484" i="6"/>
  <c r="L1484" i="6"/>
  <c r="K1484" i="6"/>
  <c r="J1484" i="6"/>
  <c r="I1484" i="6"/>
  <c r="H1484" i="6"/>
  <c r="G1484" i="6"/>
  <c r="F1484" i="6"/>
  <c r="D1484" i="6"/>
  <c r="U1484" i="6" s="1"/>
  <c r="C1484" i="6"/>
  <c r="B1484" i="6"/>
  <c r="E1484" i="6" s="1"/>
  <c r="Q1483" i="6"/>
  <c r="N1483" i="6"/>
  <c r="M1483" i="6"/>
  <c r="L1483" i="6"/>
  <c r="K1483" i="6"/>
  <c r="J1483" i="6"/>
  <c r="I1483" i="6"/>
  <c r="P1483" i="6" s="1"/>
  <c r="H1483" i="6"/>
  <c r="G1483" i="6"/>
  <c r="F1483" i="6"/>
  <c r="D1483" i="6"/>
  <c r="U1483" i="6" s="1"/>
  <c r="C1483" i="6"/>
  <c r="B1483" i="6"/>
  <c r="Q1482" i="6"/>
  <c r="P1482" i="6"/>
  <c r="N1482" i="6"/>
  <c r="M1482" i="6"/>
  <c r="L1482" i="6"/>
  <c r="K1482" i="6"/>
  <c r="J1482" i="6"/>
  <c r="I1482" i="6"/>
  <c r="H1482" i="6"/>
  <c r="G1482" i="6"/>
  <c r="F1482" i="6"/>
  <c r="D1482" i="6"/>
  <c r="U1482" i="6" s="1"/>
  <c r="C1482" i="6"/>
  <c r="B1482" i="6"/>
  <c r="E1482" i="6" s="1"/>
  <c r="Q1481" i="6"/>
  <c r="N1481" i="6"/>
  <c r="M1481" i="6"/>
  <c r="L1481" i="6"/>
  <c r="K1481" i="6"/>
  <c r="J1481" i="6"/>
  <c r="I1481" i="6"/>
  <c r="P1481" i="6" s="1"/>
  <c r="H1481" i="6"/>
  <c r="G1481" i="6"/>
  <c r="F1481" i="6"/>
  <c r="D1481" i="6"/>
  <c r="U1481" i="6" s="1"/>
  <c r="C1481" i="6"/>
  <c r="B1481" i="6"/>
  <c r="Q1480" i="6"/>
  <c r="P1480" i="6"/>
  <c r="N1480" i="6"/>
  <c r="M1480" i="6"/>
  <c r="L1480" i="6"/>
  <c r="K1480" i="6"/>
  <c r="J1480" i="6"/>
  <c r="I1480" i="6"/>
  <c r="H1480" i="6"/>
  <c r="G1480" i="6"/>
  <c r="F1480" i="6"/>
  <c r="D1480" i="6"/>
  <c r="U1480" i="6" s="1"/>
  <c r="C1480" i="6"/>
  <c r="B1480" i="6"/>
  <c r="E1480" i="6" s="1"/>
  <c r="Q1479" i="6"/>
  <c r="N1479" i="6"/>
  <c r="M1479" i="6"/>
  <c r="L1479" i="6"/>
  <c r="K1479" i="6"/>
  <c r="J1479" i="6"/>
  <c r="I1479" i="6"/>
  <c r="P1479" i="6" s="1"/>
  <c r="H1479" i="6"/>
  <c r="G1479" i="6"/>
  <c r="F1479" i="6"/>
  <c r="D1479" i="6"/>
  <c r="U1479" i="6" s="1"/>
  <c r="C1479" i="6"/>
  <c r="B1479" i="6"/>
  <c r="Q1478" i="6"/>
  <c r="P1478" i="6"/>
  <c r="N1478" i="6"/>
  <c r="M1478" i="6"/>
  <c r="L1478" i="6"/>
  <c r="K1478" i="6"/>
  <c r="J1478" i="6"/>
  <c r="I1478" i="6"/>
  <c r="H1478" i="6"/>
  <c r="G1478" i="6"/>
  <c r="F1478" i="6"/>
  <c r="D1478" i="6"/>
  <c r="U1478" i="6" s="1"/>
  <c r="C1478" i="6"/>
  <c r="B1478" i="6"/>
  <c r="E1478" i="6" s="1"/>
  <c r="Q1477" i="6"/>
  <c r="N1477" i="6"/>
  <c r="M1477" i="6"/>
  <c r="L1477" i="6"/>
  <c r="K1477" i="6"/>
  <c r="J1477" i="6"/>
  <c r="I1477" i="6"/>
  <c r="P1477" i="6" s="1"/>
  <c r="H1477" i="6"/>
  <c r="G1477" i="6"/>
  <c r="F1477" i="6"/>
  <c r="D1477" i="6"/>
  <c r="U1477" i="6" s="1"/>
  <c r="C1477" i="6"/>
  <c r="B1477" i="6"/>
  <c r="Q1476" i="6"/>
  <c r="P1476" i="6"/>
  <c r="N1476" i="6"/>
  <c r="M1476" i="6"/>
  <c r="L1476" i="6"/>
  <c r="K1476" i="6"/>
  <c r="J1476" i="6"/>
  <c r="I1476" i="6"/>
  <c r="H1476" i="6"/>
  <c r="G1476" i="6"/>
  <c r="F1476" i="6"/>
  <c r="D1476" i="6"/>
  <c r="U1476" i="6" s="1"/>
  <c r="C1476" i="6"/>
  <c r="B1476" i="6"/>
  <c r="E1476" i="6" s="1"/>
  <c r="Q1475" i="6"/>
  <c r="N1475" i="6"/>
  <c r="M1475" i="6"/>
  <c r="L1475" i="6"/>
  <c r="K1475" i="6"/>
  <c r="J1475" i="6"/>
  <c r="I1475" i="6"/>
  <c r="P1475" i="6" s="1"/>
  <c r="H1475" i="6"/>
  <c r="G1475" i="6"/>
  <c r="F1475" i="6"/>
  <c r="D1475" i="6"/>
  <c r="U1475" i="6" s="1"/>
  <c r="C1475" i="6"/>
  <c r="B1475" i="6"/>
  <c r="Q1474" i="6"/>
  <c r="P1474" i="6"/>
  <c r="N1474" i="6"/>
  <c r="M1474" i="6"/>
  <c r="L1474" i="6"/>
  <c r="K1474" i="6"/>
  <c r="J1474" i="6"/>
  <c r="I1474" i="6"/>
  <c r="H1474" i="6"/>
  <c r="G1474" i="6"/>
  <c r="F1474" i="6"/>
  <c r="D1474" i="6"/>
  <c r="U1474" i="6" s="1"/>
  <c r="C1474" i="6"/>
  <c r="B1474" i="6"/>
  <c r="E1474" i="6" s="1"/>
  <c r="Q1473" i="6"/>
  <c r="N1473" i="6"/>
  <c r="M1473" i="6"/>
  <c r="L1473" i="6"/>
  <c r="K1473" i="6"/>
  <c r="J1473" i="6"/>
  <c r="I1473" i="6"/>
  <c r="P1473" i="6" s="1"/>
  <c r="H1473" i="6"/>
  <c r="G1473" i="6"/>
  <c r="F1473" i="6"/>
  <c r="D1473" i="6"/>
  <c r="U1473" i="6" s="1"/>
  <c r="C1473" i="6"/>
  <c r="B1473" i="6"/>
  <c r="Q1472" i="6"/>
  <c r="P1472" i="6"/>
  <c r="N1472" i="6"/>
  <c r="M1472" i="6"/>
  <c r="L1472" i="6"/>
  <c r="K1472" i="6"/>
  <c r="J1472" i="6"/>
  <c r="I1472" i="6"/>
  <c r="H1472" i="6"/>
  <c r="G1472" i="6"/>
  <c r="F1472" i="6"/>
  <c r="D1472" i="6"/>
  <c r="U1472" i="6" s="1"/>
  <c r="C1472" i="6"/>
  <c r="B1472" i="6"/>
  <c r="E1472" i="6" s="1"/>
  <c r="Q1471" i="6"/>
  <c r="N1471" i="6"/>
  <c r="M1471" i="6"/>
  <c r="L1471" i="6"/>
  <c r="K1471" i="6"/>
  <c r="J1471" i="6"/>
  <c r="I1471" i="6"/>
  <c r="P1471" i="6" s="1"/>
  <c r="H1471" i="6"/>
  <c r="G1471" i="6"/>
  <c r="F1471" i="6"/>
  <c r="D1471" i="6"/>
  <c r="U1471" i="6" s="1"/>
  <c r="C1471" i="6"/>
  <c r="B1471" i="6"/>
  <c r="Q1470" i="6"/>
  <c r="P1470" i="6"/>
  <c r="N1470" i="6"/>
  <c r="M1470" i="6"/>
  <c r="L1470" i="6"/>
  <c r="K1470" i="6"/>
  <c r="J1470" i="6"/>
  <c r="I1470" i="6"/>
  <c r="H1470" i="6"/>
  <c r="G1470" i="6"/>
  <c r="F1470" i="6"/>
  <c r="D1470" i="6"/>
  <c r="U1470" i="6" s="1"/>
  <c r="C1470" i="6"/>
  <c r="B1470" i="6"/>
  <c r="E1470" i="6" s="1"/>
  <c r="Q1469" i="6"/>
  <c r="N1469" i="6"/>
  <c r="M1469" i="6"/>
  <c r="L1469" i="6"/>
  <c r="K1469" i="6"/>
  <c r="J1469" i="6"/>
  <c r="I1469" i="6"/>
  <c r="P1469" i="6" s="1"/>
  <c r="H1469" i="6"/>
  <c r="G1469" i="6"/>
  <c r="F1469" i="6"/>
  <c r="D1469" i="6"/>
  <c r="U1469" i="6" s="1"/>
  <c r="C1469" i="6"/>
  <c r="B1469" i="6"/>
  <c r="Q1468" i="6"/>
  <c r="P1468" i="6"/>
  <c r="N1468" i="6"/>
  <c r="M1468" i="6"/>
  <c r="L1468" i="6"/>
  <c r="K1468" i="6"/>
  <c r="J1468" i="6"/>
  <c r="I1468" i="6"/>
  <c r="H1468" i="6"/>
  <c r="G1468" i="6"/>
  <c r="F1468" i="6"/>
  <c r="D1468" i="6"/>
  <c r="U1468" i="6" s="1"/>
  <c r="C1468" i="6"/>
  <c r="B1468" i="6"/>
  <c r="E1468" i="6" s="1"/>
  <c r="Q1467" i="6"/>
  <c r="N1467" i="6"/>
  <c r="M1467" i="6"/>
  <c r="L1467" i="6"/>
  <c r="K1467" i="6"/>
  <c r="J1467" i="6"/>
  <c r="I1467" i="6"/>
  <c r="P1467" i="6" s="1"/>
  <c r="H1467" i="6"/>
  <c r="G1467" i="6"/>
  <c r="F1467" i="6"/>
  <c r="D1467" i="6"/>
  <c r="U1467" i="6" s="1"/>
  <c r="C1467" i="6"/>
  <c r="B1467" i="6"/>
  <c r="Q1466" i="6"/>
  <c r="P1466" i="6"/>
  <c r="N1466" i="6"/>
  <c r="M1466" i="6"/>
  <c r="L1466" i="6"/>
  <c r="K1466" i="6"/>
  <c r="J1466" i="6"/>
  <c r="I1466" i="6"/>
  <c r="H1466" i="6"/>
  <c r="G1466" i="6"/>
  <c r="F1466" i="6"/>
  <c r="D1466" i="6"/>
  <c r="U1466" i="6" s="1"/>
  <c r="C1466" i="6"/>
  <c r="B1466" i="6"/>
  <c r="E1466" i="6" s="1"/>
  <c r="Q1465" i="6"/>
  <c r="N1465" i="6"/>
  <c r="M1465" i="6"/>
  <c r="L1465" i="6"/>
  <c r="K1465" i="6"/>
  <c r="J1465" i="6"/>
  <c r="I1465" i="6"/>
  <c r="P1465" i="6" s="1"/>
  <c r="H1465" i="6"/>
  <c r="G1465" i="6"/>
  <c r="F1465" i="6"/>
  <c r="D1465" i="6"/>
  <c r="U1465" i="6" s="1"/>
  <c r="C1465" i="6"/>
  <c r="B1465" i="6"/>
  <c r="Q1464" i="6"/>
  <c r="P1464" i="6"/>
  <c r="N1464" i="6"/>
  <c r="M1464" i="6"/>
  <c r="L1464" i="6"/>
  <c r="K1464" i="6"/>
  <c r="J1464" i="6"/>
  <c r="I1464" i="6"/>
  <c r="H1464" i="6"/>
  <c r="G1464" i="6"/>
  <c r="F1464" i="6"/>
  <c r="D1464" i="6"/>
  <c r="U1464" i="6" s="1"/>
  <c r="C1464" i="6"/>
  <c r="B1464" i="6"/>
  <c r="E1464" i="6" s="1"/>
  <c r="Q1463" i="6"/>
  <c r="N1463" i="6"/>
  <c r="M1463" i="6"/>
  <c r="L1463" i="6"/>
  <c r="K1463" i="6"/>
  <c r="J1463" i="6"/>
  <c r="I1463" i="6"/>
  <c r="P1463" i="6" s="1"/>
  <c r="H1463" i="6"/>
  <c r="G1463" i="6"/>
  <c r="F1463" i="6"/>
  <c r="D1463" i="6"/>
  <c r="U1463" i="6" s="1"/>
  <c r="C1463" i="6"/>
  <c r="B1463" i="6"/>
  <c r="Q1462" i="6"/>
  <c r="P1462" i="6"/>
  <c r="N1462" i="6"/>
  <c r="M1462" i="6"/>
  <c r="L1462" i="6"/>
  <c r="K1462" i="6"/>
  <c r="J1462" i="6"/>
  <c r="I1462" i="6"/>
  <c r="H1462" i="6"/>
  <c r="G1462" i="6"/>
  <c r="F1462" i="6"/>
  <c r="D1462" i="6"/>
  <c r="U1462" i="6" s="1"/>
  <c r="C1462" i="6"/>
  <c r="B1462" i="6"/>
  <c r="E1462" i="6" s="1"/>
  <c r="Q1461" i="6"/>
  <c r="N1461" i="6"/>
  <c r="M1461" i="6"/>
  <c r="L1461" i="6"/>
  <c r="K1461" i="6"/>
  <c r="J1461" i="6"/>
  <c r="I1461" i="6"/>
  <c r="P1461" i="6" s="1"/>
  <c r="H1461" i="6"/>
  <c r="G1461" i="6"/>
  <c r="F1461" i="6"/>
  <c r="D1461" i="6"/>
  <c r="U1461" i="6" s="1"/>
  <c r="C1461" i="6"/>
  <c r="B1461" i="6"/>
  <c r="Q1460" i="6"/>
  <c r="P1460" i="6"/>
  <c r="N1460" i="6"/>
  <c r="M1460" i="6"/>
  <c r="L1460" i="6"/>
  <c r="K1460" i="6"/>
  <c r="J1460" i="6"/>
  <c r="I1460" i="6"/>
  <c r="H1460" i="6"/>
  <c r="G1460" i="6"/>
  <c r="F1460" i="6"/>
  <c r="D1460" i="6"/>
  <c r="U1460" i="6" s="1"/>
  <c r="C1460" i="6"/>
  <c r="B1460" i="6"/>
  <c r="E1460" i="6" s="1"/>
  <c r="Q1459" i="6"/>
  <c r="N1459" i="6"/>
  <c r="M1459" i="6"/>
  <c r="L1459" i="6"/>
  <c r="K1459" i="6"/>
  <c r="J1459" i="6"/>
  <c r="I1459" i="6"/>
  <c r="P1459" i="6" s="1"/>
  <c r="H1459" i="6"/>
  <c r="G1459" i="6"/>
  <c r="F1459" i="6"/>
  <c r="D1459" i="6"/>
  <c r="U1459" i="6" s="1"/>
  <c r="C1459" i="6"/>
  <c r="B1459" i="6"/>
  <c r="Q1458" i="6"/>
  <c r="P1458" i="6"/>
  <c r="N1458" i="6"/>
  <c r="M1458" i="6"/>
  <c r="L1458" i="6"/>
  <c r="K1458" i="6"/>
  <c r="J1458" i="6"/>
  <c r="I1458" i="6"/>
  <c r="H1458" i="6"/>
  <c r="G1458" i="6"/>
  <c r="F1458" i="6"/>
  <c r="D1458" i="6"/>
  <c r="U1458" i="6" s="1"/>
  <c r="C1458" i="6"/>
  <c r="B1458" i="6"/>
  <c r="E1458" i="6" s="1"/>
  <c r="Q1457" i="6"/>
  <c r="N1457" i="6"/>
  <c r="M1457" i="6"/>
  <c r="L1457" i="6"/>
  <c r="K1457" i="6"/>
  <c r="J1457" i="6"/>
  <c r="I1457" i="6"/>
  <c r="P1457" i="6" s="1"/>
  <c r="H1457" i="6"/>
  <c r="G1457" i="6"/>
  <c r="F1457" i="6"/>
  <c r="D1457" i="6"/>
  <c r="U1457" i="6" s="1"/>
  <c r="C1457" i="6"/>
  <c r="B1457" i="6"/>
  <c r="Q1456" i="6"/>
  <c r="P1456" i="6"/>
  <c r="N1456" i="6"/>
  <c r="M1456" i="6"/>
  <c r="L1456" i="6"/>
  <c r="K1456" i="6"/>
  <c r="J1456" i="6"/>
  <c r="I1456" i="6"/>
  <c r="H1456" i="6"/>
  <c r="G1456" i="6"/>
  <c r="F1456" i="6"/>
  <c r="D1456" i="6"/>
  <c r="U1456" i="6" s="1"/>
  <c r="C1456" i="6"/>
  <c r="B1456" i="6"/>
  <c r="E1456" i="6" s="1"/>
  <c r="Q1455" i="6"/>
  <c r="N1455" i="6"/>
  <c r="M1455" i="6"/>
  <c r="L1455" i="6"/>
  <c r="K1455" i="6"/>
  <c r="J1455" i="6"/>
  <c r="I1455" i="6"/>
  <c r="P1455" i="6" s="1"/>
  <c r="H1455" i="6"/>
  <c r="G1455" i="6"/>
  <c r="F1455" i="6"/>
  <c r="D1455" i="6"/>
  <c r="U1455" i="6" s="1"/>
  <c r="C1455" i="6"/>
  <c r="B1455" i="6"/>
  <c r="Q1454" i="6"/>
  <c r="P1454" i="6"/>
  <c r="N1454" i="6"/>
  <c r="M1454" i="6"/>
  <c r="L1454" i="6"/>
  <c r="K1454" i="6"/>
  <c r="J1454" i="6"/>
  <c r="I1454" i="6"/>
  <c r="H1454" i="6"/>
  <c r="G1454" i="6"/>
  <c r="F1454" i="6"/>
  <c r="D1454" i="6"/>
  <c r="U1454" i="6" s="1"/>
  <c r="C1454" i="6"/>
  <c r="B1454" i="6"/>
  <c r="E1454" i="6" s="1"/>
  <c r="Q1453" i="6"/>
  <c r="N1453" i="6"/>
  <c r="M1453" i="6"/>
  <c r="L1453" i="6"/>
  <c r="K1453" i="6"/>
  <c r="J1453" i="6"/>
  <c r="I1453" i="6"/>
  <c r="P1453" i="6" s="1"/>
  <c r="H1453" i="6"/>
  <c r="G1453" i="6"/>
  <c r="F1453" i="6"/>
  <c r="D1453" i="6"/>
  <c r="U1453" i="6" s="1"/>
  <c r="C1453" i="6"/>
  <c r="B1453" i="6"/>
  <c r="Q1452" i="6"/>
  <c r="P1452" i="6"/>
  <c r="N1452" i="6"/>
  <c r="M1452" i="6"/>
  <c r="L1452" i="6"/>
  <c r="K1452" i="6"/>
  <c r="J1452" i="6"/>
  <c r="I1452" i="6"/>
  <c r="H1452" i="6"/>
  <c r="G1452" i="6"/>
  <c r="F1452" i="6"/>
  <c r="D1452" i="6"/>
  <c r="U1452" i="6" s="1"/>
  <c r="C1452" i="6"/>
  <c r="B1452" i="6"/>
  <c r="E1452" i="6" s="1"/>
  <c r="Q1451" i="6"/>
  <c r="N1451" i="6"/>
  <c r="M1451" i="6"/>
  <c r="L1451" i="6"/>
  <c r="K1451" i="6"/>
  <c r="J1451" i="6"/>
  <c r="I1451" i="6"/>
  <c r="P1451" i="6" s="1"/>
  <c r="H1451" i="6"/>
  <c r="G1451" i="6"/>
  <c r="F1451" i="6"/>
  <c r="D1451" i="6"/>
  <c r="U1451" i="6" s="1"/>
  <c r="C1451" i="6"/>
  <c r="B1451" i="6"/>
  <c r="Q1450" i="6"/>
  <c r="P1450" i="6"/>
  <c r="N1450" i="6"/>
  <c r="M1450" i="6"/>
  <c r="L1450" i="6"/>
  <c r="K1450" i="6"/>
  <c r="J1450" i="6"/>
  <c r="I1450" i="6"/>
  <c r="H1450" i="6"/>
  <c r="G1450" i="6"/>
  <c r="F1450" i="6"/>
  <c r="D1450" i="6"/>
  <c r="U1450" i="6" s="1"/>
  <c r="C1450" i="6"/>
  <c r="B1450" i="6"/>
  <c r="E1450" i="6" s="1"/>
  <c r="Q1449" i="6"/>
  <c r="N1449" i="6"/>
  <c r="M1449" i="6"/>
  <c r="L1449" i="6"/>
  <c r="K1449" i="6"/>
  <c r="J1449" i="6"/>
  <c r="I1449" i="6"/>
  <c r="P1449" i="6" s="1"/>
  <c r="H1449" i="6"/>
  <c r="G1449" i="6"/>
  <c r="F1449" i="6"/>
  <c r="D1449" i="6"/>
  <c r="U1449" i="6" s="1"/>
  <c r="C1449" i="6"/>
  <c r="B1449" i="6"/>
  <c r="Q1448" i="6"/>
  <c r="P1448" i="6"/>
  <c r="N1448" i="6"/>
  <c r="M1448" i="6"/>
  <c r="L1448" i="6"/>
  <c r="K1448" i="6"/>
  <c r="J1448" i="6"/>
  <c r="I1448" i="6"/>
  <c r="H1448" i="6"/>
  <c r="G1448" i="6"/>
  <c r="F1448" i="6"/>
  <c r="D1448" i="6"/>
  <c r="U1448" i="6" s="1"/>
  <c r="C1448" i="6"/>
  <c r="B1448" i="6"/>
  <c r="E1448" i="6" s="1"/>
  <c r="Q1447" i="6"/>
  <c r="N1447" i="6"/>
  <c r="M1447" i="6"/>
  <c r="L1447" i="6"/>
  <c r="K1447" i="6"/>
  <c r="J1447" i="6"/>
  <c r="I1447" i="6"/>
  <c r="P1447" i="6" s="1"/>
  <c r="H1447" i="6"/>
  <c r="G1447" i="6"/>
  <c r="F1447" i="6"/>
  <c r="D1447" i="6"/>
  <c r="U1447" i="6" s="1"/>
  <c r="C1447" i="6"/>
  <c r="B1447" i="6"/>
  <c r="Q1446" i="6"/>
  <c r="P1446" i="6"/>
  <c r="N1446" i="6"/>
  <c r="M1446" i="6"/>
  <c r="L1446" i="6"/>
  <c r="K1446" i="6"/>
  <c r="J1446" i="6"/>
  <c r="I1446" i="6"/>
  <c r="H1446" i="6"/>
  <c r="G1446" i="6"/>
  <c r="F1446" i="6"/>
  <c r="D1446" i="6"/>
  <c r="U1446" i="6" s="1"/>
  <c r="C1446" i="6"/>
  <c r="B1446" i="6"/>
  <c r="E1446" i="6" s="1"/>
  <c r="Q1445" i="6"/>
  <c r="N1445" i="6"/>
  <c r="M1445" i="6"/>
  <c r="L1445" i="6"/>
  <c r="K1445" i="6"/>
  <c r="J1445" i="6"/>
  <c r="I1445" i="6"/>
  <c r="P1445" i="6" s="1"/>
  <c r="H1445" i="6"/>
  <c r="G1445" i="6"/>
  <c r="F1445" i="6"/>
  <c r="D1445" i="6"/>
  <c r="U1445" i="6" s="1"/>
  <c r="C1445" i="6"/>
  <c r="B1445" i="6"/>
  <c r="Q1444" i="6"/>
  <c r="P1444" i="6"/>
  <c r="N1444" i="6"/>
  <c r="M1444" i="6"/>
  <c r="L1444" i="6"/>
  <c r="K1444" i="6"/>
  <c r="J1444" i="6"/>
  <c r="I1444" i="6"/>
  <c r="H1444" i="6"/>
  <c r="G1444" i="6"/>
  <c r="F1444" i="6"/>
  <c r="D1444" i="6"/>
  <c r="U1444" i="6" s="1"/>
  <c r="C1444" i="6"/>
  <c r="B1444" i="6"/>
  <c r="E1444" i="6" s="1"/>
  <c r="Q1443" i="6"/>
  <c r="N1443" i="6"/>
  <c r="M1443" i="6"/>
  <c r="L1443" i="6"/>
  <c r="K1443" i="6"/>
  <c r="J1443" i="6"/>
  <c r="I1443" i="6"/>
  <c r="P1443" i="6" s="1"/>
  <c r="H1443" i="6"/>
  <c r="G1443" i="6"/>
  <c r="F1443" i="6"/>
  <c r="D1443" i="6"/>
  <c r="U1443" i="6" s="1"/>
  <c r="C1443" i="6"/>
  <c r="B1443" i="6"/>
  <c r="Q1442" i="6"/>
  <c r="P1442" i="6"/>
  <c r="N1442" i="6"/>
  <c r="M1442" i="6"/>
  <c r="L1442" i="6"/>
  <c r="K1442" i="6"/>
  <c r="J1442" i="6"/>
  <c r="I1442" i="6"/>
  <c r="H1442" i="6"/>
  <c r="G1442" i="6"/>
  <c r="F1442" i="6"/>
  <c r="D1442" i="6"/>
  <c r="U1442" i="6" s="1"/>
  <c r="C1442" i="6"/>
  <c r="B1442" i="6"/>
  <c r="E1442" i="6" s="1"/>
  <c r="Q1441" i="6"/>
  <c r="N1441" i="6"/>
  <c r="M1441" i="6"/>
  <c r="L1441" i="6"/>
  <c r="K1441" i="6"/>
  <c r="J1441" i="6"/>
  <c r="I1441" i="6"/>
  <c r="P1441" i="6" s="1"/>
  <c r="H1441" i="6"/>
  <c r="G1441" i="6"/>
  <c r="F1441" i="6"/>
  <c r="D1441" i="6"/>
  <c r="U1441" i="6" s="1"/>
  <c r="C1441" i="6"/>
  <c r="B1441" i="6"/>
  <c r="Q1440" i="6"/>
  <c r="P1440" i="6"/>
  <c r="N1440" i="6"/>
  <c r="M1440" i="6"/>
  <c r="L1440" i="6"/>
  <c r="K1440" i="6"/>
  <c r="J1440" i="6"/>
  <c r="I1440" i="6"/>
  <c r="H1440" i="6"/>
  <c r="G1440" i="6"/>
  <c r="F1440" i="6"/>
  <c r="D1440" i="6"/>
  <c r="U1440" i="6" s="1"/>
  <c r="C1440" i="6"/>
  <c r="B1440" i="6"/>
  <c r="E1440" i="6" s="1"/>
  <c r="Q1439" i="6"/>
  <c r="N1439" i="6"/>
  <c r="M1439" i="6"/>
  <c r="L1439" i="6"/>
  <c r="K1439" i="6"/>
  <c r="J1439" i="6"/>
  <c r="I1439" i="6"/>
  <c r="P1439" i="6" s="1"/>
  <c r="H1439" i="6"/>
  <c r="G1439" i="6"/>
  <c r="F1439" i="6"/>
  <c r="D1439" i="6"/>
  <c r="U1439" i="6" s="1"/>
  <c r="C1439" i="6"/>
  <c r="B1439" i="6"/>
  <c r="Q1438" i="6"/>
  <c r="P1438" i="6"/>
  <c r="N1438" i="6"/>
  <c r="M1438" i="6"/>
  <c r="L1438" i="6"/>
  <c r="K1438" i="6"/>
  <c r="J1438" i="6"/>
  <c r="I1438" i="6"/>
  <c r="H1438" i="6"/>
  <c r="G1438" i="6"/>
  <c r="F1438" i="6"/>
  <c r="D1438" i="6"/>
  <c r="U1438" i="6" s="1"/>
  <c r="C1438" i="6"/>
  <c r="B1438" i="6"/>
  <c r="E1438" i="6" s="1"/>
  <c r="Q1437" i="6"/>
  <c r="N1437" i="6"/>
  <c r="M1437" i="6"/>
  <c r="L1437" i="6"/>
  <c r="K1437" i="6"/>
  <c r="J1437" i="6"/>
  <c r="I1437" i="6"/>
  <c r="P1437" i="6" s="1"/>
  <c r="H1437" i="6"/>
  <c r="G1437" i="6"/>
  <c r="F1437" i="6"/>
  <c r="D1437" i="6"/>
  <c r="U1437" i="6" s="1"/>
  <c r="C1437" i="6"/>
  <c r="B1437" i="6"/>
  <c r="Q1436" i="6"/>
  <c r="P1436" i="6"/>
  <c r="N1436" i="6"/>
  <c r="M1436" i="6"/>
  <c r="L1436" i="6"/>
  <c r="K1436" i="6"/>
  <c r="J1436" i="6"/>
  <c r="I1436" i="6"/>
  <c r="H1436" i="6"/>
  <c r="G1436" i="6"/>
  <c r="F1436" i="6"/>
  <c r="D1436" i="6"/>
  <c r="U1436" i="6" s="1"/>
  <c r="C1436" i="6"/>
  <c r="B1436" i="6"/>
  <c r="E1436" i="6" s="1"/>
  <c r="Q1435" i="6"/>
  <c r="N1435" i="6"/>
  <c r="M1435" i="6"/>
  <c r="L1435" i="6"/>
  <c r="K1435" i="6"/>
  <c r="J1435" i="6"/>
  <c r="I1435" i="6"/>
  <c r="P1435" i="6" s="1"/>
  <c r="H1435" i="6"/>
  <c r="G1435" i="6"/>
  <c r="F1435" i="6"/>
  <c r="D1435" i="6"/>
  <c r="U1435" i="6" s="1"/>
  <c r="C1435" i="6"/>
  <c r="B1435" i="6"/>
  <c r="Q1434" i="6"/>
  <c r="P1434" i="6"/>
  <c r="N1434" i="6"/>
  <c r="M1434" i="6"/>
  <c r="L1434" i="6"/>
  <c r="K1434" i="6"/>
  <c r="J1434" i="6"/>
  <c r="I1434" i="6"/>
  <c r="H1434" i="6"/>
  <c r="G1434" i="6"/>
  <c r="F1434" i="6"/>
  <c r="D1434" i="6"/>
  <c r="U1434" i="6" s="1"/>
  <c r="C1434" i="6"/>
  <c r="B1434" i="6"/>
  <c r="E1434" i="6" s="1"/>
  <c r="Q1433" i="6"/>
  <c r="N1433" i="6"/>
  <c r="M1433" i="6"/>
  <c r="L1433" i="6"/>
  <c r="K1433" i="6"/>
  <c r="J1433" i="6"/>
  <c r="I1433" i="6"/>
  <c r="P1433" i="6" s="1"/>
  <c r="H1433" i="6"/>
  <c r="G1433" i="6"/>
  <c r="F1433" i="6"/>
  <c r="D1433" i="6"/>
  <c r="U1433" i="6" s="1"/>
  <c r="C1433" i="6"/>
  <c r="B1433" i="6"/>
  <c r="Q1432" i="6"/>
  <c r="P1432" i="6"/>
  <c r="N1432" i="6"/>
  <c r="M1432" i="6"/>
  <c r="L1432" i="6"/>
  <c r="K1432" i="6"/>
  <c r="J1432" i="6"/>
  <c r="I1432" i="6"/>
  <c r="H1432" i="6"/>
  <c r="G1432" i="6"/>
  <c r="F1432" i="6"/>
  <c r="D1432" i="6"/>
  <c r="U1432" i="6" s="1"/>
  <c r="C1432" i="6"/>
  <c r="B1432" i="6"/>
  <c r="E1432" i="6" s="1"/>
  <c r="Q1431" i="6"/>
  <c r="N1431" i="6"/>
  <c r="M1431" i="6"/>
  <c r="L1431" i="6"/>
  <c r="K1431" i="6"/>
  <c r="J1431" i="6"/>
  <c r="I1431" i="6"/>
  <c r="P1431" i="6" s="1"/>
  <c r="H1431" i="6"/>
  <c r="G1431" i="6"/>
  <c r="F1431" i="6"/>
  <c r="D1431" i="6"/>
  <c r="U1431" i="6" s="1"/>
  <c r="C1431" i="6"/>
  <c r="B1431" i="6"/>
  <c r="Q1430" i="6"/>
  <c r="P1430" i="6"/>
  <c r="N1430" i="6"/>
  <c r="M1430" i="6"/>
  <c r="L1430" i="6"/>
  <c r="K1430" i="6"/>
  <c r="J1430" i="6"/>
  <c r="I1430" i="6"/>
  <c r="H1430" i="6"/>
  <c r="G1430" i="6"/>
  <c r="F1430" i="6"/>
  <c r="D1430" i="6"/>
  <c r="U1430" i="6" s="1"/>
  <c r="C1430" i="6"/>
  <c r="B1430" i="6"/>
  <c r="E1430" i="6" s="1"/>
  <c r="Q1429" i="6"/>
  <c r="N1429" i="6"/>
  <c r="M1429" i="6"/>
  <c r="L1429" i="6"/>
  <c r="K1429" i="6"/>
  <c r="J1429" i="6"/>
  <c r="I1429" i="6"/>
  <c r="P1429" i="6" s="1"/>
  <c r="H1429" i="6"/>
  <c r="G1429" i="6"/>
  <c r="F1429" i="6"/>
  <c r="D1429" i="6"/>
  <c r="U1429" i="6" s="1"/>
  <c r="C1429" i="6"/>
  <c r="B1429" i="6"/>
  <c r="Q1428" i="6"/>
  <c r="P1428" i="6"/>
  <c r="N1428" i="6"/>
  <c r="M1428" i="6"/>
  <c r="L1428" i="6"/>
  <c r="K1428" i="6"/>
  <c r="J1428" i="6"/>
  <c r="I1428" i="6"/>
  <c r="H1428" i="6"/>
  <c r="G1428" i="6"/>
  <c r="F1428" i="6"/>
  <c r="D1428" i="6"/>
  <c r="U1428" i="6" s="1"/>
  <c r="C1428" i="6"/>
  <c r="B1428" i="6"/>
  <c r="E1428" i="6" s="1"/>
  <c r="Q1427" i="6"/>
  <c r="N1427" i="6"/>
  <c r="M1427" i="6"/>
  <c r="L1427" i="6"/>
  <c r="K1427" i="6"/>
  <c r="J1427" i="6"/>
  <c r="I1427" i="6"/>
  <c r="P1427" i="6" s="1"/>
  <c r="H1427" i="6"/>
  <c r="G1427" i="6"/>
  <c r="F1427" i="6"/>
  <c r="D1427" i="6"/>
  <c r="U1427" i="6" s="1"/>
  <c r="C1427" i="6"/>
  <c r="B1427" i="6"/>
  <c r="Q1426" i="6"/>
  <c r="P1426" i="6"/>
  <c r="N1426" i="6"/>
  <c r="M1426" i="6"/>
  <c r="L1426" i="6"/>
  <c r="K1426" i="6"/>
  <c r="J1426" i="6"/>
  <c r="I1426" i="6"/>
  <c r="H1426" i="6"/>
  <c r="G1426" i="6"/>
  <c r="F1426" i="6"/>
  <c r="D1426" i="6"/>
  <c r="U1426" i="6" s="1"/>
  <c r="C1426" i="6"/>
  <c r="B1426" i="6"/>
  <c r="E1426" i="6" s="1"/>
  <c r="Q1425" i="6"/>
  <c r="N1425" i="6"/>
  <c r="M1425" i="6"/>
  <c r="L1425" i="6"/>
  <c r="K1425" i="6"/>
  <c r="J1425" i="6"/>
  <c r="I1425" i="6"/>
  <c r="P1425" i="6" s="1"/>
  <c r="H1425" i="6"/>
  <c r="G1425" i="6"/>
  <c r="F1425" i="6"/>
  <c r="D1425" i="6"/>
  <c r="U1425" i="6" s="1"/>
  <c r="C1425" i="6"/>
  <c r="B1425" i="6"/>
  <c r="Q1424" i="6"/>
  <c r="P1424" i="6"/>
  <c r="N1424" i="6"/>
  <c r="M1424" i="6"/>
  <c r="L1424" i="6"/>
  <c r="K1424" i="6"/>
  <c r="J1424" i="6"/>
  <c r="I1424" i="6"/>
  <c r="H1424" i="6"/>
  <c r="G1424" i="6"/>
  <c r="F1424" i="6"/>
  <c r="D1424" i="6"/>
  <c r="U1424" i="6" s="1"/>
  <c r="C1424" i="6"/>
  <c r="B1424" i="6"/>
  <c r="E1424" i="6" s="1"/>
  <c r="Q1423" i="6"/>
  <c r="N1423" i="6"/>
  <c r="M1423" i="6"/>
  <c r="L1423" i="6"/>
  <c r="K1423" i="6"/>
  <c r="J1423" i="6"/>
  <c r="I1423" i="6"/>
  <c r="P1423" i="6" s="1"/>
  <c r="H1423" i="6"/>
  <c r="G1423" i="6"/>
  <c r="F1423" i="6"/>
  <c r="D1423" i="6"/>
  <c r="U1423" i="6" s="1"/>
  <c r="C1423" i="6"/>
  <c r="B1423" i="6"/>
  <c r="Q1422" i="6"/>
  <c r="P1422" i="6"/>
  <c r="N1422" i="6"/>
  <c r="M1422" i="6"/>
  <c r="L1422" i="6"/>
  <c r="K1422" i="6"/>
  <c r="J1422" i="6"/>
  <c r="I1422" i="6"/>
  <c r="H1422" i="6"/>
  <c r="G1422" i="6"/>
  <c r="F1422" i="6"/>
  <c r="D1422" i="6"/>
  <c r="U1422" i="6" s="1"/>
  <c r="C1422" i="6"/>
  <c r="B1422" i="6"/>
  <c r="E1422" i="6" s="1"/>
  <c r="Q1421" i="6"/>
  <c r="N1421" i="6"/>
  <c r="M1421" i="6"/>
  <c r="L1421" i="6"/>
  <c r="K1421" i="6"/>
  <c r="J1421" i="6"/>
  <c r="I1421" i="6"/>
  <c r="P1421" i="6" s="1"/>
  <c r="H1421" i="6"/>
  <c r="G1421" i="6"/>
  <c r="F1421" i="6"/>
  <c r="D1421" i="6"/>
  <c r="U1421" i="6" s="1"/>
  <c r="C1421" i="6"/>
  <c r="B1421" i="6"/>
  <c r="Q1420" i="6"/>
  <c r="P1420" i="6"/>
  <c r="N1420" i="6"/>
  <c r="M1420" i="6"/>
  <c r="L1420" i="6"/>
  <c r="K1420" i="6"/>
  <c r="J1420" i="6"/>
  <c r="I1420" i="6"/>
  <c r="H1420" i="6"/>
  <c r="G1420" i="6"/>
  <c r="F1420" i="6"/>
  <c r="D1420" i="6"/>
  <c r="U1420" i="6" s="1"/>
  <c r="C1420" i="6"/>
  <c r="B1420" i="6"/>
  <c r="E1420" i="6" s="1"/>
  <c r="Q1419" i="6"/>
  <c r="N1419" i="6"/>
  <c r="M1419" i="6"/>
  <c r="L1419" i="6"/>
  <c r="K1419" i="6"/>
  <c r="J1419" i="6"/>
  <c r="I1419" i="6"/>
  <c r="P1419" i="6" s="1"/>
  <c r="H1419" i="6"/>
  <c r="G1419" i="6"/>
  <c r="F1419" i="6"/>
  <c r="D1419" i="6"/>
  <c r="U1419" i="6" s="1"/>
  <c r="C1419" i="6"/>
  <c r="B1419" i="6"/>
  <c r="Q1418" i="6"/>
  <c r="P1418" i="6"/>
  <c r="N1418" i="6"/>
  <c r="M1418" i="6"/>
  <c r="L1418" i="6"/>
  <c r="K1418" i="6"/>
  <c r="J1418" i="6"/>
  <c r="I1418" i="6"/>
  <c r="H1418" i="6"/>
  <c r="G1418" i="6"/>
  <c r="F1418" i="6"/>
  <c r="D1418" i="6"/>
  <c r="U1418" i="6" s="1"/>
  <c r="C1418" i="6"/>
  <c r="B1418" i="6"/>
  <c r="E1418" i="6" s="1"/>
  <c r="Q1417" i="6"/>
  <c r="N1417" i="6"/>
  <c r="M1417" i="6"/>
  <c r="L1417" i="6"/>
  <c r="K1417" i="6"/>
  <c r="J1417" i="6"/>
  <c r="I1417" i="6"/>
  <c r="P1417" i="6" s="1"/>
  <c r="H1417" i="6"/>
  <c r="G1417" i="6"/>
  <c r="F1417" i="6"/>
  <c r="D1417" i="6"/>
  <c r="U1417" i="6" s="1"/>
  <c r="C1417" i="6"/>
  <c r="B1417" i="6"/>
  <c r="Q1416" i="6"/>
  <c r="P1416" i="6"/>
  <c r="N1416" i="6"/>
  <c r="M1416" i="6"/>
  <c r="L1416" i="6"/>
  <c r="K1416" i="6"/>
  <c r="J1416" i="6"/>
  <c r="I1416" i="6"/>
  <c r="H1416" i="6"/>
  <c r="G1416" i="6"/>
  <c r="F1416" i="6"/>
  <c r="D1416" i="6"/>
  <c r="U1416" i="6" s="1"/>
  <c r="C1416" i="6"/>
  <c r="B1416" i="6"/>
  <c r="E1416" i="6" s="1"/>
  <c r="Q1415" i="6"/>
  <c r="N1415" i="6"/>
  <c r="M1415" i="6"/>
  <c r="L1415" i="6"/>
  <c r="K1415" i="6"/>
  <c r="J1415" i="6"/>
  <c r="I1415" i="6"/>
  <c r="P1415" i="6" s="1"/>
  <c r="H1415" i="6"/>
  <c r="G1415" i="6"/>
  <c r="F1415" i="6"/>
  <c r="D1415" i="6"/>
  <c r="U1415" i="6" s="1"/>
  <c r="C1415" i="6"/>
  <c r="B1415" i="6"/>
  <c r="Q1414" i="6"/>
  <c r="P1414" i="6"/>
  <c r="N1414" i="6"/>
  <c r="M1414" i="6"/>
  <c r="L1414" i="6"/>
  <c r="K1414" i="6"/>
  <c r="J1414" i="6"/>
  <c r="I1414" i="6"/>
  <c r="H1414" i="6"/>
  <c r="G1414" i="6"/>
  <c r="F1414" i="6"/>
  <c r="D1414" i="6"/>
  <c r="U1414" i="6" s="1"/>
  <c r="C1414" i="6"/>
  <c r="B1414" i="6"/>
  <c r="E1414" i="6" s="1"/>
  <c r="Q1413" i="6"/>
  <c r="N1413" i="6"/>
  <c r="M1413" i="6"/>
  <c r="L1413" i="6"/>
  <c r="K1413" i="6"/>
  <c r="J1413" i="6"/>
  <c r="I1413" i="6"/>
  <c r="P1413" i="6" s="1"/>
  <c r="H1413" i="6"/>
  <c r="G1413" i="6"/>
  <c r="F1413" i="6"/>
  <c r="D1413" i="6"/>
  <c r="U1413" i="6" s="1"/>
  <c r="C1413" i="6"/>
  <c r="B1413" i="6"/>
  <c r="Q1412" i="6"/>
  <c r="P1412" i="6"/>
  <c r="N1412" i="6"/>
  <c r="M1412" i="6"/>
  <c r="L1412" i="6"/>
  <c r="K1412" i="6"/>
  <c r="J1412" i="6"/>
  <c r="I1412" i="6"/>
  <c r="H1412" i="6"/>
  <c r="G1412" i="6"/>
  <c r="F1412" i="6"/>
  <c r="D1412" i="6"/>
  <c r="U1412" i="6" s="1"/>
  <c r="C1412" i="6"/>
  <c r="B1412" i="6"/>
  <c r="E1412" i="6" s="1"/>
  <c r="Q1411" i="6"/>
  <c r="N1411" i="6"/>
  <c r="M1411" i="6"/>
  <c r="L1411" i="6"/>
  <c r="K1411" i="6"/>
  <c r="J1411" i="6"/>
  <c r="I1411" i="6"/>
  <c r="P1411" i="6" s="1"/>
  <c r="H1411" i="6"/>
  <c r="G1411" i="6"/>
  <c r="F1411" i="6"/>
  <c r="D1411" i="6"/>
  <c r="U1411" i="6" s="1"/>
  <c r="C1411" i="6"/>
  <c r="B1411" i="6"/>
  <c r="Q1410" i="6"/>
  <c r="P1410" i="6"/>
  <c r="N1410" i="6"/>
  <c r="M1410" i="6"/>
  <c r="L1410" i="6"/>
  <c r="K1410" i="6"/>
  <c r="J1410" i="6"/>
  <c r="I1410" i="6"/>
  <c r="H1410" i="6"/>
  <c r="G1410" i="6"/>
  <c r="F1410" i="6"/>
  <c r="D1410" i="6"/>
  <c r="U1410" i="6" s="1"/>
  <c r="C1410" i="6"/>
  <c r="B1410" i="6"/>
  <c r="E1410" i="6" s="1"/>
  <c r="Q1409" i="6"/>
  <c r="N1409" i="6"/>
  <c r="M1409" i="6"/>
  <c r="L1409" i="6"/>
  <c r="K1409" i="6"/>
  <c r="J1409" i="6"/>
  <c r="I1409" i="6"/>
  <c r="P1409" i="6" s="1"/>
  <c r="H1409" i="6"/>
  <c r="G1409" i="6"/>
  <c r="F1409" i="6"/>
  <c r="D1409" i="6"/>
  <c r="U1409" i="6" s="1"/>
  <c r="C1409" i="6"/>
  <c r="B1409" i="6"/>
  <c r="Q1408" i="6"/>
  <c r="P1408" i="6"/>
  <c r="N1408" i="6"/>
  <c r="M1408" i="6"/>
  <c r="L1408" i="6"/>
  <c r="K1408" i="6"/>
  <c r="J1408" i="6"/>
  <c r="I1408" i="6"/>
  <c r="H1408" i="6"/>
  <c r="G1408" i="6"/>
  <c r="F1408" i="6"/>
  <c r="D1408" i="6"/>
  <c r="U1408" i="6" s="1"/>
  <c r="C1408" i="6"/>
  <c r="B1408" i="6"/>
  <c r="E1408" i="6" s="1"/>
  <c r="Q1407" i="6"/>
  <c r="N1407" i="6"/>
  <c r="M1407" i="6"/>
  <c r="L1407" i="6"/>
  <c r="K1407" i="6"/>
  <c r="J1407" i="6"/>
  <c r="I1407" i="6"/>
  <c r="P1407" i="6" s="1"/>
  <c r="H1407" i="6"/>
  <c r="G1407" i="6"/>
  <c r="F1407" i="6"/>
  <c r="D1407" i="6"/>
  <c r="U1407" i="6" s="1"/>
  <c r="C1407" i="6"/>
  <c r="B1407" i="6"/>
  <c r="Q1406" i="6"/>
  <c r="P1406" i="6"/>
  <c r="N1406" i="6"/>
  <c r="M1406" i="6"/>
  <c r="L1406" i="6"/>
  <c r="K1406" i="6"/>
  <c r="J1406" i="6"/>
  <c r="I1406" i="6"/>
  <c r="H1406" i="6"/>
  <c r="G1406" i="6"/>
  <c r="F1406" i="6"/>
  <c r="D1406" i="6"/>
  <c r="U1406" i="6" s="1"/>
  <c r="C1406" i="6"/>
  <c r="B1406" i="6"/>
  <c r="E1406" i="6" s="1"/>
  <c r="Q1405" i="6"/>
  <c r="N1405" i="6"/>
  <c r="M1405" i="6"/>
  <c r="L1405" i="6"/>
  <c r="K1405" i="6"/>
  <c r="J1405" i="6"/>
  <c r="I1405" i="6"/>
  <c r="P1405" i="6" s="1"/>
  <c r="H1405" i="6"/>
  <c r="G1405" i="6"/>
  <c r="F1405" i="6"/>
  <c r="D1405" i="6"/>
  <c r="U1405" i="6" s="1"/>
  <c r="C1405" i="6"/>
  <c r="B1405" i="6"/>
  <c r="Q1404" i="6"/>
  <c r="P1404" i="6"/>
  <c r="N1404" i="6"/>
  <c r="M1404" i="6"/>
  <c r="L1404" i="6"/>
  <c r="K1404" i="6"/>
  <c r="J1404" i="6"/>
  <c r="I1404" i="6"/>
  <c r="H1404" i="6"/>
  <c r="G1404" i="6"/>
  <c r="F1404" i="6"/>
  <c r="D1404" i="6"/>
  <c r="U1404" i="6" s="1"/>
  <c r="C1404" i="6"/>
  <c r="B1404" i="6"/>
  <c r="E1404" i="6" s="1"/>
  <c r="Q1403" i="6"/>
  <c r="N1403" i="6"/>
  <c r="M1403" i="6"/>
  <c r="L1403" i="6"/>
  <c r="K1403" i="6"/>
  <c r="J1403" i="6"/>
  <c r="I1403" i="6"/>
  <c r="P1403" i="6" s="1"/>
  <c r="H1403" i="6"/>
  <c r="G1403" i="6"/>
  <c r="F1403" i="6"/>
  <c r="D1403" i="6"/>
  <c r="U1403" i="6" s="1"/>
  <c r="C1403" i="6"/>
  <c r="B1403" i="6"/>
  <c r="Q1402" i="6"/>
  <c r="P1402" i="6"/>
  <c r="N1402" i="6"/>
  <c r="M1402" i="6"/>
  <c r="L1402" i="6"/>
  <c r="K1402" i="6"/>
  <c r="J1402" i="6"/>
  <c r="I1402" i="6"/>
  <c r="H1402" i="6"/>
  <c r="G1402" i="6"/>
  <c r="F1402" i="6"/>
  <c r="D1402" i="6"/>
  <c r="U1402" i="6" s="1"/>
  <c r="C1402" i="6"/>
  <c r="B1402" i="6"/>
  <c r="E1402" i="6" s="1"/>
  <c r="Q1401" i="6"/>
  <c r="N1401" i="6"/>
  <c r="M1401" i="6"/>
  <c r="L1401" i="6"/>
  <c r="K1401" i="6"/>
  <c r="J1401" i="6"/>
  <c r="I1401" i="6"/>
  <c r="P1401" i="6" s="1"/>
  <c r="H1401" i="6"/>
  <c r="G1401" i="6"/>
  <c r="F1401" i="6"/>
  <c r="D1401" i="6"/>
  <c r="U1401" i="6" s="1"/>
  <c r="C1401" i="6"/>
  <c r="B1401" i="6"/>
  <c r="Q1400" i="6"/>
  <c r="P1400" i="6"/>
  <c r="N1400" i="6"/>
  <c r="M1400" i="6"/>
  <c r="L1400" i="6"/>
  <c r="K1400" i="6"/>
  <c r="J1400" i="6"/>
  <c r="I1400" i="6"/>
  <c r="H1400" i="6"/>
  <c r="G1400" i="6"/>
  <c r="F1400" i="6"/>
  <c r="D1400" i="6"/>
  <c r="U1400" i="6" s="1"/>
  <c r="C1400" i="6"/>
  <c r="B1400" i="6"/>
  <c r="E1400" i="6" s="1"/>
  <c r="Q1399" i="6"/>
  <c r="N1399" i="6"/>
  <c r="M1399" i="6"/>
  <c r="L1399" i="6"/>
  <c r="K1399" i="6"/>
  <c r="J1399" i="6"/>
  <c r="I1399" i="6"/>
  <c r="P1399" i="6" s="1"/>
  <c r="H1399" i="6"/>
  <c r="G1399" i="6"/>
  <c r="F1399" i="6"/>
  <c r="D1399" i="6"/>
  <c r="U1399" i="6" s="1"/>
  <c r="C1399" i="6"/>
  <c r="B1399" i="6"/>
  <c r="Q1398" i="6"/>
  <c r="P1398" i="6"/>
  <c r="N1398" i="6"/>
  <c r="M1398" i="6"/>
  <c r="L1398" i="6"/>
  <c r="K1398" i="6"/>
  <c r="J1398" i="6"/>
  <c r="I1398" i="6"/>
  <c r="H1398" i="6"/>
  <c r="G1398" i="6"/>
  <c r="F1398" i="6"/>
  <c r="D1398" i="6"/>
  <c r="U1398" i="6" s="1"/>
  <c r="C1398" i="6"/>
  <c r="B1398" i="6"/>
  <c r="E1398" i="6" s="1"/>
  <c r="Q1397" i="6"/>
  <c r="N1397" i="6"/>
  <c r="M1397" i="6"/>
  <c r="L1397" i="6"/>
  <c r="K1397" i="6"/>
  <c r="J1397" i="6"/>
  <c r="I1397" i="6"/>
  <c r="P1397" i="6" s="1"/>
  <c r="H1397" i="6"/>
  <c r="G1397" i="6"/>
  <c r="F1397" i="6"/>
  <c r="D1397" i="6"/>
  <c r="U1397" i="6" s="1"/>
  <c r="C1397" i="6"/>
  <c r="B1397" i="6"/>
  <c r="Q1396" i="6"/>
  <c r="P1396" i="6"/>
  <c r="N1396" i="6"/>
  <c r="M1396" i="6"/>
  <c r="L1396" i="6"/>
  <c r="K1396" i="6"/>
  <c r="J1396" i="6"/>
  <c r="I1396" i="6"/>
  <c r="H1396" i="6"/>
  <c r="G1396" i="6"/>
  <c r="F1396" i="6"/>
  <c r="D1396" i="6"/>
  <c r="U1396" i="6" s="1"/>
  <c r="C1396" i="6"/>
  <c r="B1396" i="6"/>
  <c r="E1396" i="6" s="1"/>
  <c r="Q1395" i="6"/>
  <c r="N1395" i="6"/>
  <c r="M1395" i="6"/>
  <c r="L1395" i="6"/>
  <c r="K1395" i="6"/>
  <c r="J1395" i="6"/>
  <c r="I1395" i="6"/>
  <c r="P1395" i="6" s="1"/>
  <c r="H1395" i="6"/>
  <c r="G1395" i="6"/>
  <c r="F1395" i="6"/>
  <c r="D1395" i="6"/>
  <c r="U1395" i="6" s="1"/>
  <c r="C1395" i="6"/>
  <c r="B1395" i="6"/>
  <c r="Q1394" i="6"/>
  <c r="P1394" i="6"/>
  <c r="N1394" i="6"/>
  <c r="M1394" i="6"/>
  <c r="L1394" i="6"/>
  <c r="K1394" i="6"/>
  <c r="J1394" i="6"/>
  <c r="I1394" i="6"/>
  <c r="H1394" i="6"/>
  <c r="G1394" i="6"/>
  <c r="F1394" i="6"/>
  <c r="D1394" i="6"/>
  <c r="U1394" i="6" s="1"/>
  <c r="C1394" i="6"/>
  <c r="B1394" i="6"/>
  <c r="E1394" i="6" s="1"/>
  <c r="Q1393" i="6"/>
  <c r="N1393" i="6"/>
  <c r="M1393" i="6"/>
  <c r="L1393" i="6"/>
  <c r="K1393" i="6"/>
  <c r="J1393" i="6"/>
  <c r="I1393" i="6"/>
  <c r="P1393" i="6" s="1"/>
  <c r="H1393" i="6"/>
  <c r="G1393" i="6"/>
  <c r="F1393" i="6"/>
  <c r="D1393" i="6"/>
  <c r="U1393" i="6" s="1"/>
  <c r="C1393" i="6"/>
  <c r="B1393" i="6"/>
  <c r="Q1392" i="6"/>
  <c r="P1392" i="6"/>
  <c r="N1392" i="6"/>
  <c r="M1392" i="6"/>
  <c r="L1392" i="6"/>
  <c r="K1392" i="6"/>
  <c r="J1392" i="6"/>
  <c r="I1392" i="6"/>
  <c r="H1392" i="6"/>
  <c r="G1392" i="6"/>
  <c r="F1392" i="6"/>
  <c r="D1392" i="6"/>
  <c r="U1392" i="6" s="1"/>
  <c r="C1392" i="6"/>
  <c r="B1392" i="6"/>
  <c r="E1392" i="6" s="1"/>
  <c r="Q1391" i="6"/>
  <c r="N1391" i="6"/>
  <c r="M1391" i="6"/>
  <c r="L1391" i="6"/>
  <c r="K1391" i="6"/>
  <c r="J1391" i="6"/>
  <c r="I1391" i="6"/>
  <c r="P1391" i="6" s="1"/>
  <c r="H1391" i="6"/>
  <c r="G1391" i="6"/>
  <c r="F1391" i="6"/>
  <c r="D1391" i="6"/>
  <c r="U1391" i="6" s="1"/>
  <c r="C1391" i="6"/>
  <c r="B1391" i="6"/>
  <c r="Q1390" i="6"/>
  <c r="P1390" i="6"/>
  <c r="N1390" i="6"/>
  <c r="M1390" i="6"/>
  <c r="L1390" i="6"/>
  <c r="K1390" i="6"/>
  <c r="J1390" i="6"/>
  <c r="I1390" i="6"/>
  <c r="H1390" i="6"/>
  <c r="G1390" i="6"/>
  <c r="F1390" i="6"/>
  <c r="D1390" i="6"/>
  <c r="U1390" i="6" s="1"/>
  <c r="C1390" i="6"/>
  <c r="B1390" i="6"/>
  <c r="E1390" i="6" s="1"/>
  <c r="Q1389" i="6"/>
  <c r="N1389" i="6"/>
  <c r="M1389" i="6"/>
  <c r="L1389" i="6"/>
  <c r="K1389" i="6"/>
  <c r="J1389" i="6"/>
  <c r="I1389" i="6"/>
  <c r="P1389" i="6" s="1"/>
  <c r="H1389" i="6"/>
  <c r="G1389" i="6"/>
  <c r="F1389" i="6"/>
  <c r="D1389" i="6"/>
  <c r="U1389" i="6" s="1"/>
  <c r="C1389" i="6"/>
  <c r="B1389" i="6"/>
  <c r="Q1388" i="6"/>
  <c r="P1388" i="6"/>
  <c r="N1388" i="6"/>
  <c r="M1388" i="6"/>
  <c r="L1388" i="6"/>
  <c r="K1388" i="6"/>
  <c r="J1388" i="6"/>
  <c r="I1388" i="6"/>
  <c r="H1388" i="6"/>
  <c r="G1388" i="6"/>
  <c r="F1388" i="6"/>
  <c r="D1388" i="6"/>
  <c r="U1388" i="6" s="1"/>
  <c r="C1388" i="6"/>
  <c r="B1388" i="6"/>
  <c r="E1388" i="6" s="1"/>
  <c r="Q1387" i="6"/>
  <c r="N1387" i="6"/>
  <c r="M1387" i="6"/>
  <c r="L1387" i="6"/>
  <c r="K1387" i="6"/>
  <c r="J1387" i="6"/>
  <c r="I1387" i="6"/>
  <c r="P1387" i="6" s="1"/>
  <c r="H1387" i="6"/>
  <c r="G1387" i="6"/>
  <c r="F1387" i="6"/>
  <c r="D1387" i="6"/>
  <c r="U1387" i="6" s="1"/>
  <c r="C1387" i="6"/>
  <c r="B1387" i="6"/>
  <c r="Q1386" i="6"/>
  <c r="P1386" i="6"/>
  <c r="N1386" i="6"/>
  <c r="M1386" i="6"/>
  <c r="L1386" i="6"/>
  <c r="K1386" i="6"/>
  <c r="J1386" i="6"/>
  <c r="I1386" i="6"/>
  <c r="H1386" i="6"/>
  <c r="G1386" i="6"/>
  <c r="F1386" i="6"/>
  <c r="D1386" i="6"/>
  <c r="U1386" i="6" s="1"/>
  <c r="C1386" i="6"/>
  <c r="B1386" i="6"/>
  <c r="E1386" i="6" s="1"/>
  <c r="Q1385" i="6"/>
  <c r="N1385" i="6"/>
  <c r="M1385" i="6"/>
  <c r="L1385" i="6"/>
  <c r="K1385" i="6"/>
  <c r="J1385" i="6"/>
  <c r="I1385" i="6"/>
  <c r="P1385" i="6" s="1"/>
  <c r="H1385" i="6"/>
  <c r="G1385" i="6"/>
  <c r="F1385" i="6"/>
  <c r="D1385" i="6"/>
  <c r="U1385" i="6" s="1"/>
  <c r="C1385" i="6"/>
  <c r="B1385" i="6"/>
  <c r="Q1384" i="6"/>
  <c r="P1384" i="6"/>
  <c r="N1384" i="6"/>
  <c r="M1384" i="6"/>
  <c r="L1384" i="6"/>
  <c r="K1384" i="6"/>
  <c r="J1384" i="6"/>
  <c r="I1384" i="6"/>
  <c r="H1384" i="6"/>
  <c r="G1384" i="6"/>
  <c r="F1384" i="6"/>
  <c r="D1384" i="6"/>
  <c r="U1384" i="6" s="1"/>
  <c r="C1384" i="6"/>
  <c r="B1384" i="6"/>
  <c r="E1384" i="6" s="1"/>
  <c r="Q1383" i="6"/>
  <c r="N1383" i="6"/>
  <c r="M1383" i="6"/>
  <c r="L1383" i="6"/>
  <c r="K1383" i="6"/>
  <c r="J1383" i="6"/>
  <c r="I1383" i="6"/>
  <c r="P1383" i="6" s="1"/>
  <c r="H1383" i="6"/>
  <c r="G1383" i="6"/>
  <c r="F1383" i="6"/>
  <c r="D1383" i="6"/>
  <c r="U1383" i="6" s="1"/>
  <c r="C1383" i="6"/>
  <c r="B1383" i="6"/>
  <c r="Q1382" i="6"/>
  <c r="P1382" i="6"/>
  <c r="N1382" i="6"/>
  <c r="M1382" i="6"/>
  <c r="L1382" i="6"/>
  <c r="K1382" i="6"/>
  <c r="J1382" i="6"/>
  <c r="I1382" i="6"/>
  <c r="H1382" i="6"/>
  <c r="G1382" i="6"/>
  <c r="F1382" i="6"/>
  <c r="D1382" i="6"/>
  <c r="U1382" i="6" s="1"/>
  <c r="C1382" i="6"/>
  <c r="B1382" i="6"/>
  <c r="E1382" i="6" s="1"/>
  <c r="Q1381" i="6"/>
  <c r="N1381" i="6"/>
  <c r="M1381" i="6"/>
  <c r="L1381" i="6"/>
  <c r="K1381" i="6"/>
  <c r="J1381" i="6"/>
  <c r="I1381" i="6"/>
  <c r="P1381" i="6" s="1"/>
  <c r="H1381" i="6"/>
  <c r="G1381" i="6"/>
  <c r="F1381" i="6"/>
  <c r="D1381" i="6"/>
  <c r="U1381" i="6" s="1"/>
  <c r="C1381" i="6"/>
  <c r="B1381" i="6"/>
  <c r="Q1380" i="6"/>
  <c r="P1380" i="6"/>
  <c r="N1380" i="6"/>
  <c r="M1380" i="6"/>
  <c r="L1380" i="6"/>
  <c r="K1380" i="6"/>
  <c r="J1380" i="6"/>
  <c r="I1380" i="6"/>
  <c r="H1380" i="6"/>
  <c r="G1380" i="6"/>
  <c r="F1380" i="6"/>
  <c r="D1380" i="6"/>
  <c r="U1380" i="6" s="1"/>
  <c r="C1380" i="6"/>
  <c r="B1380" i="6"/>
  <c r="E1380" i="6" s="1"/>
  <c r="Q1379" i="6"/>
  <c r="N1379" i="6"/>
  <c r="M1379" i="6"/>
  <c r="L1379" i="6"/>
  <c r="K1379" i="6"/>
  <c r="J1379" i="6"/>
  <c r="I1379" i="6"/>
  <c r="P1379" i="6" s="1"/>
  <c r="H1379" i="6"/>
  <c r="G1379" i="6"/>
  <c r="F1379" i="6"/>
  <c r="D1379" i="6"/>
  <c r="U1379" i="6" s="1"/>
  <c r="C1379" i="6"/>
  <c r="B1379" i="6"/>
  <c r="Q1378" i="6"/>
  <c r="P1378" i="6"/>
  <c r="N1378" i="6"/>
  <c r="M1378" i="6"/>
  <c r="L1378" i="6"/>
  <c r="K1378" i="6"/>
  <c r="J1378" i="6"/>
  <c r="I1378" i="6"/>
  <c r="H1378" i="6"/>
  <c r="G1378" i="6"/>
  <c r="F1378" i="6"/>
  <c r="D1378" i="6"/>
  <c r="U1378" i="6" s="1"/>
  <c r="C1378" i="6"/>
  <c r="B1378" i="6"/>
  <c r="E1378" i="6" s="1"/>
  <c r="Q1377" i="6"/>
  <c r="N1377" i="6"/>
  <c r="M1377" i="6"/>
  <c r="L1377" i="6"/>
  <c r="K1377" i="6"/>
  <c r="J1377" i="6"/>
  <c r="I1377" i="6"/>
  <c r="P1377" i="6" s="1"/>
  <c r="H1377" i="6"/>
  <c r="G1377" i="6"/>
  <c r="F1377" i="6"/>
  <c r="D1377" i="6"/>
  <c r="U1377" i="6" s="1"/>
  <c r="C1377" i="6"/>
  <c r="B1377" i="6"/>
  <c r="Q1376" i="6"/>
  <c r="P1376" i="6"/>
  <c r="N1376" i="6"/>
  <c r="M1376" i="6"/>
  <c r="L1376" i="6"/>
  <c r="K1376" i="6"/>
  <c r="J1376" i="6"/>
  <c r="I1376" i="6"/>
  <c r="H1376" i="6"/>
  <c r="G1376" i="6"/>
  <c r="F1376" i="6"/>
  <c r="D1376" i="6"/>
  <c r="U1376" i="6" s="1"/>
  <c r="C1376" i="6"/>
  <c r="B1376" i="6"/>
  <c r="E1376" i="6" s="1"/>
  <c r="Q1375" i="6"/>
  <c r="N1375" i="6"/>
  <c r="M1375" i="6"/>
  <c r="L1375" i="6"/>
  <c r="K1375" i="6"/>
  <c r="J1375" i="6"/>
  <c r="I1375" i="6"/>
  <c r="P1375" i="6" s="1"/>
  <c r="H1375" i="6"/>
  <c r="G1375" i="6"/>
  <c r="F1375" i="6"/>
  <c r="D1375" i="6"/>
  <c r="U1375" i="6" s="1"/>
  <c r="C1375" i="6"/>
  <c r="B1375" i="6"/>
  <c r="Q1374" i="6"/>
  <c r="P1374" i="6"/>
  <c r="N1374" i="6"/>
  <c r="M1374" i="6"/>
  <c r="L1374" i="6"/>
  <c r="K1374" i="6"/>
  <c r="J1374" i="6"/>
  <c r="I1374" i="6"/>
  <c r="H1374" i="6"/>
  <c r="G1374" i="6"/>
  <c r="F1374" i="6"/>
  <c r="D1374" i="6"/>
  <c r="U1374" i="6" s="1"/>
  <c r="C1374" i="6"/>
  <c r="B1374" i="6"/>
  <c r="E1374" i="6" s="1"/>
  <c r="Q1373" i="6"/>
  <c r="N1373" i="6"/>
  <c r="M1373" i="6"/>
  <c r="L1373" i="6"/>
  <c r="K1373" i="6"/>
  <c r="J1373" i="6"/>
  <c r="I1373" i="6"/>
  <c r="P1373" i="6" s="1"/>
  <c r="H1373" i="6"/>
  <c r="G1373" i="6"/>
  <c r="F1373" i="6"/>
  <c r="D1373" i="6"/>
  <c r="U1373" i="6" s="1"/>
  <c r="C1373" i="6"/>
  <c r="B1373" i="6"/>
  <c r="Q1372" i="6"/>
  <c r="P1372" i="6"/>
  <c r="N1372" i="6"/>
  <c r="M1372" i="6"/>
  <c r="L1372" i="6"/>
  <c r="K1372" i="6"/>
  <c r="J1372" i="6"/>
  <c r="I1372" i="6"/>
  <c r="H1372" i="6"/>
  <c r="G1372" i="6"/>
  <c r="F1372" i="6"/>
  <c r="D1372" i="6"/>
  <c r="U1372" i="6" s="1"/>
  <c r="C1372" i="6"/>
  <c r="B1372" i="6"/>
  <c r="E1372" i="6" s="1"/>
  <c r="Q1371" i="6"/>
  <c r="N1371" i="6"/>
  <c r="M1371" i="6"/>
  <c r="L1371" i="6"/>
  <c r="K1371" i="6"/>
  <c r="J1371" i="6"/>
  <c r="I1371" i="6"/>
  <c r="P1371" i="6" s="1"/>
  <c r="H1371" i="6"/>
  <c r="G1371" i="6"/>
  <c r="F1371" i="6"/>
  <c r="D1371" i="6"/>
  <c r="U1371" i="6" s="1"/>
  <c r="C1371" i="6"/>
  <c r="B1371" i="6"/>
  <c r="Q1370" i="6"/>
  <c r="P1370" i="6"/>
  <c r="N1370" i="6"/>
  <c r="M1370" i="6"/>
  <c r="L1370" i="6"/>
  <c r="K1370" i="6"/>
  <c r="J1370" i="6"/>
  <c r="I1370" i="6"/>
  <c r="H1370" i="6"/>
  <c r="G1370" i="6"/>
  <c r="F1370" i="6"/>
  <c r="D1370" i="6"/>
  <c r="U1370" i="6" s="1"/>
  <c r="C1370" i="6"/>
  <c r="B1370" i="6"/>
  <c r="E1370" i="6" s="1"/>
  <c r="Q1369" i="6"/>
  <c r="N1369" i="6"/>
  <c r="M1369" i="6"/>
  <c r="L1369" i="6"/>
  <c r="K1369" i="6"/>
  <c r="J1369" i="6"/>
  <c r="I1369" i="6"/>
  <c r="P1369" i="6" s="1"/>
  <c r="H1369" i="6"/>
  <c r="G1369" i="6"/>
  <c r="F1369" i="6"/>
  <c r="D1369" i="6"/>
  <c r="U1369" i="6" s="1"/>
  <c r="C1369" i="6"/>
  <c r="B1369" i="6"/>
  <c r="Q1368" i="6"/>
  <c r="P1368" i="6"/>
  <c r="N1368" i="6"/>
  <c r="M1368" i="6"/>
  <c r="L1368" i="6"/>
  <c r="K1368" i="6"/>
  <c r="J1368" i="6"/>
  <c r="I1368" i="6"/>
  <c r="H1368" i="6"/>
  <c r="G1368" i="6"/>
  <c r="F1368" i="6"/>
  <c r="D1368" i="6"/>
  <c r="U1368" i="6" s="1"/>
  <c r="C1368" i="6"/>
  <c r="B1368" i="6"/>
  <c r="E1368" i="6" s="1"/>
  <c r="Q1367" i="6"/>
  <c r="N1367" i="6"/>
  <c r="M1367" i="6"/>
  <c r="L1367" i="6"/>
  <c r="K1367" i="6"/>
  <c r="J1367" i="6"/>
  <c r="I1367" i="6"/>
  <c r="P1367" i="6" s="1"/>
  <c r="H1367" i="6"/>
  <c r="G1367" i="6"/>
  <c r="F1367" i="6"/>
  <c r="D1367" i="6"/>
  <c r="U1367" i="6" s="1"/>
  <c r="C1367" i="6"/>
  <c r="B1367" i="6"/>
  <c r="Q1366" i="6"/>
  <c r="P1366" i="6"/>
  <c r="N1366" i="6"/>
  <c r="M1366" i="6"/>
  <c r="L1366" i="6"/>
  <c r="K1366" i="6"/>
  <c r="J1366" i="6"/>
  <c r="I1366" i="6"/>
  <c r="H1366" i="6"/>
  <c r="G1366" i="6"/>
  <c r="F1366" i="6"/>
  <c r="D1366" i="6"/>
  <c r="U1366" i="6" s="1"/>
  <c r="C1366" i="6"/>
  <c r="B1366" i="6"/>
  <c r="E1366" i="6" s="1"/>
  <c r="Q1365" i="6"/>
  <c r="N1365" i="6"/>
  <c r="M1365" i="6"/>
  <c r="L1365" i="6"/>
  <c r="K1365" i="6"/>
  <c r="J1365" i="6"/>
  <c r="I1365" i="6"/>
  <c r="P1365" i="6" s="1"/>
  <c r="H1365" i="6"/>
  <c r="G1365" i="6"/>
  <c r="F1365" i="6"/>
  <c r="D1365" i="6"/>
  <c r="U1365" i="6" s="1"/>
  <c r="C1365" i="6"/>
  <c r="B1365" i="6"/>
  <c r="Q1364" i="6"/>
  <c r="P1364" i="6"/>
  <c r="N1364" i="6"/>
  <c r="M1364" i="6"/>
  <c r="L1364" i="6"/>
  <c r="K1364" i="6"/>
  <c r="J1364" i="6"/>
  <c r="I1364" i="6"/>
  <c r="H1364" i="6"/>
  <c r="G1364" i="6"/>
  <c r="F1364" i="6"/>
  <c r="D1364" i="6"/>
  <c r="U1364" i="6" s="1"/>
  <c r="C1364" i="6"/>
  <c r="B1364" i="6"/>
  <c r="E1364" i="6" s="1"/>
  <c r="Q1363" i="6"/>
  <c r="N1363" i="6"/>
  <c r="M1363" i="6"/>
  <c r="L1363" i="6"/>
  <c r="K1363" i="6"/>
  <c r="J1363" i="6"/>
  <c r="I1363" i="6"/>
  <c r="P1363" i="6" s="1"/>
  <c r="H1363" i="6"/>
  <c r="G1363" i="6"/>
  <c r="F1363" i="6"/>
  <c r="D1363" i="6"/>
  <c r="U1363" i="6" s="1"/>
  <c r="C1363" i="6"/>
  <c r="B1363" i="6"/>
  <c r="Q1362" i="6"/>
  <c r="P1362" i="6"/>
  <c r="N1362" i="6"/>
  <c r="M1362" i="6"/>
  <c r="L1362" i="6"/>
  <c r="K1362" i="6"/>
  <c r="J1362" i="6"/>
  <c r="I1362" i="6"/>
  <c r="H1362" i="6"/>
  <c r="G1362" i="6"/>
  <c r="F1362" i="6"/>
  <c r="D1362" i="6"/>
  <c r="U1362" i="6" s="1"/>
  <c r="C1362" i="6"/>
  <c r="B1362" i="6"/>
  <c r="E1362" i="6" s="1"/>
  <c r="Q1361" i="6"/>
  <c r="N1361" i="6"/>
  <c r="M1361" i="6"/>
  <c r="L1361" i="6"/>
  <c r="K1361" i="6"/>
  <c r="J1361" i="6"/>
  <c r="I1361" i="6"/>
  <c r="P1361" i="6" s="1"/>
  <c r="H1361" i="6"/>
  <c r="G1361" i="6"/>
  <c r="F1361" i="6"/>
  <c r="D1361" i="6"/>
  <c r="U1361" i="6" s="1"/>
  <c r="C1361" i="6"/>
  <c r="B1361" i="6"/>
  <c r="Q1360" i="6"/>
  <c r="P1360" i="6"/>
  <c r="N1360" i="6"/>
  <c r="M1360" i="6"/>
  <c r="L1360" i="6"/>
  <c r="K1360" i="6"/>
  <c r="J1360" i="6"/>
  <c r="I1360" i="6"/>
  <c r="H1360" i="6"/>
  <c r="G1360" i="6"/>
  <c r="F1360" i="6"/>
  <c r="D1360" i="6"/>
  <c r="U1360" i="6" s="1"/>
  <c r="C1360" i="6"/>
  <c r="B1360" i="6"/>
  <c r="E1360" i="6" s="1"/>
  <c r="Q1359" i="6"/>
  <c r="N1359" i="6"/>
  <c r="M1359" i="6"/>
  <c r="L1359" i="6"/>
  <c r="K1359" i="6"/>
  <c r="J1359" i="6"/>
  <c r="I1359" i="6"/>
  <c r="P1359" i="6" s="1"/>
  <c r="H1359" i="6"/>
  <c r="G1359" i="6"/>
  <c r="F1359" i="6"/>
  <c r="D1359" i="6"/>
  <c r="U1359" i="6" s="1"/>
  <c r="C1359" i="6"/>
  <c r="B1359" i="6"/>
  <c r="Q1358" i="6"/>
  <c r="P1358" i="6"/>
  <c r="N1358" i="6"/>
  <c r="M1358" i="6"/>
  <c r="L1358" i="6"/>
  <c r="K1358" i="6"/>
  <c r="J1358" i="6"/>
  <c r="I1358" i="6"/>
  <c r="H1358" i="6"/>
  <c r="G1358" i="6"/>
  <c r="F1358" i="6"/>
  <c r="D1358" i="6"/>
  <c r="U1358" i="6" s="1"/>
  <c r="C1358" i="6"/>
  <c r="B1358" i="6"/>
  <c r="E1358" i="6" s="1"/>
  <c r="Q1357" i="6"/>
  <c r="N1357" i="6"/>
  <c r="M1357" i="6"/>
  <c r="L1357" i="6"/>
  <c r="K1357" i="6"/>
  <c r="J1357" i="6"/>
  <c r="I1357" i="6"/>
  <c r="P1357" i="6" s="1"/>
  <c r="H1357" i="6"/>
  <c r="G1357" i="6"/>
  <c r="F1357" i="6"/>
  <c r="D1357" i="6"/>
  <c r="U1357" i="6" s="1"/>
  <c r="C1357" i="6"/>
  <c r="B1357" i="6"/>
  <c r="Q1356" i="6"/>
  <c r="P1356" i="6"/>
  <c r="N1356" i="6"/>
  <c r="M1356" i="6"/>
  <c r="L1356" i="6"/>
  <c r="K1356" i="6"/>
  <c r="J1356" i="6"/>
  <c r="I1356" i="6"/>
  <c r="H1356" i="6"/>
  <c r="G1356" i="6"/>
  <c r="F1356" i="6"/>
  <c r="D1356" i="6"/>
  <c r="U1356" i="6" s="1"/>
  <c r="C1356" i="6"/>
  <c r="B1356" i="6"/>
  <c r="E1356" i="6" s="1"/>
  <c r="Q1355" i="6"/>
  <c r="N1355" i="6"/>
  <c r="M1355" i="6"/>
  <c r="L1355" i="6"/>
  <c r="K1355" i="6"/>
  <c r="J1355" i="6"/>
  <c r="I1355" i="6"/>
  <c r="P1355" i="6" s="1"/>
  <c r="H1355" i="6"/>
  <c r="G1355" i="6"/>
  <c r="F1355" i="6"/>
  <c r="D1355" i="6"/>
  <c r="U1355" i="6" s="1"/>
  <c r="C1355" i="6"/>
  <c r="B1355" i="6"/>
  <c r="Q1354" i="6"/>
  <c r="P1354" i="6"/>
  <c r="N1354" i="6"/>
  <c r="M1354" i="6"/>
  <c r="L1354" i="6"/>
  <c r="K1354" i="6"/>
  <c r="J1354" i="6"/>
  <c r="I1354" i="6"/>
  <c r="H1354" i="6"/>
  <c r="G1354" i="6"/>
  <c r="F1354" i="6"/>
  <c r="D1354" i="6"/>
  <c r="U1354" i="6" s="1"/>
  <c r="C1354" i="6"/>
  <c r="B1354" i="6"/>
  <c r="E1354" i="6" s="1"/>
  <c r="Q1353" i="6"/>
  <c r="N1353" i="6"/>
  <c r="M1353" i="6"/>
  <c r="L1353" i="6"/>
  <c r="K1353" i="6"/>
  <c r="J1353" i="6"/>
  <c r="I1353" i="6"/>
  <c r="P1353" i="6" s="1"/>
  <c r="H1353" i="6"/>
  <c r="G1353" i="6"/>
  <c r="F1353" i="6"/>
  <c r="D1353" i="6"/>
  <c r="U1353" i="6" s="1"/>
  <c r="C1353" i="6"/>
  <c r="B1353" i="6"/>
  <c r="Q1352" i="6"/>
  <c r="P1352" i="6"/>
  <c r="N1352" i="6"/>
  <c r="M1352" i="6"/>
  <c r="L1352" i="6"/>
  <c r="K1352" i="6"/>
  <c r="J1352" i="6"/>
  <c r="I1352" i="6"/>
  <c r="H1352" i="6"/>
  <c r="G1352" i="6"/>
  <c r="F1352" i="6"/>
  <c r="D1352" i="6"/>
  <c r="U1352" i="6" s="1"/>
  <c r="C1352" i="6"/>
  <c r="B1352" i="6"/>
  <c r="E1352" i="6" s="1"/>
  <c r="Q1351" i="6"/>
  <c r="N1351" i="6"/>
  <c r="M1351" i="6"/>
  <c r="L1351" i="6"/>
  <c r="K1351" i="6"/>
  <c r="J1351" i="6"/>
  <c r="I1351" i="6"/>
  <c r="P1351" i="6" s="1"/>
  <c r="H1351" i="6"/>
  <c r="G1351" i="6"/>
  <c r="F1351" i="6"/>
  <c r="D1351" i="6"/>
  <c r="U1351" i="6" s="1"/>
  <c r="C1351" i="6"/>
  <c r="B1351" i="6"/>
  <c r="Q1350" i="6"/>
  <c r="P1350" i="6"/>
  <c r="N1350" i="6"/>
  <c r="M1350" i="6"/>
  <c r="L1350" i="6"/>
  <c r="K1350" i="6"/>
  <c r="J1350" i="6"/>
  <c r="I1350" i="6"/>
  <c r="H1350" i="6"/>
  <c r="G1350" i="6"/>
  <c r="F1350" i="6"/>
  <c r="D1350" i="6"/>
  <c r="U1350" i="6" s="1"/>
  <c r="C1350" i="6"/>
  <c r="B1350" i="6"/>
  <c r="E1350" i="6" s="1"/>
  <c r="Q1349" i="6"/>
  <c r="N1349" i="6"/>
  <c r="M1349" i="6"/>
  <c r="L1349" i="6"/>
  <c r="K1349" i="6"/>
  <c r="J1349" i="6"/>
  <c r="I1349" i="6"/>
  <c r="P1349" i="6" s="1"/>
  <c r="H1349" i="6"/>
  <c r="G1349" i="6"/>
  <c r="F1349" i="6"/>
  <c r="D1349" i="6"/>
  <c r="U1349" i="6" s="1"/>
  <c r="C1349" i="6"/>
  <c r="B1349" i="6"/>
  <c r="Q1348" i="6"/>
  <c r="P1348" i="6"/>
  <c r="N1348" i="6"/>
  <c r="M1348" i="6"/>
  <c r="L1348" i="6"/>
  <c r="K1348" i="6"/>
  <c r="J1348" i="6"/>
  <c r="I1348" i="6"/>
  <c r="H1348" i="6"/>
  <c r="G1348" i="6"/>
  <c r="F1348" i="6"/>
  <c r="D1348" i="6"/>
  <c r="U1348" i="6" s="1"/>
  <c r="C1348" i="6"/>
  <c r="B1348" i="6"/>
  <c r="E1348" i="6" s="1"/>
  <c r="Q1347" i="6"/>
  <c r="N1347" i="6"/>
  <c r="M1347" i="6"/>
  <c r="L1347" i="6"/>
  <c r="K1347" i="6"/>
  <c r="J1347" i="6"/>
  <c r="I1347" i="6"/>
  <c r="P1347" i="6" s="1"/>
  <c r="H1347" i="6"/>
  <c r="G1347" i="6"/>
  <c r="F1347" i="6"/>
  <c r="D1347" i="6"/>
  <c r="U1347" i="6" s="1"/>
  <c r="C1347" i="6"/>
  <c r="B1347" i="6"/>
  <c r="Q1346" i="6"/>
  <c r="P1346" i="6"/>
  <c r="N1346" i="6"/>
  <c r="M1346" i="6"/>
  <c r="L1346" i="6"/>
  <c r="K1346" i="6"/>
  <c r="J1346" i="6"/>
  <c r="I1346" i="6"/>
  <c r="H1346" i="6"/>
  <c r="G1346" i="6"/>
  <c r="F1346" i="6"/>
  <c r="D1346" i="6"/>
  <c r="U1346" i="6" s="1"/>
  <c r="C1346" i="6"/>
  <c r="B1346" i="6"/>
  <c r="E1346" i="6" s="1"/>
  <c r="Q1345" i="6"/>
  <c r="N1345" i="6"/>
  <c r="M1345" i="6"/>
  <c r="L1345" i="6"/>
  <c r="K1345" i="6"/>
  <c r="J1345" i="6"/>
  <c r="I1345" i="6"/>
  <c r="P1345" i="6" s="1"/>
  <c r="H1345" i="6"/>
  <c r="G1345" i="6"/>
  <c r="F1345" i="6"/>
  <c r="D1345" i="6"/>
  <c r="U1345" i="6" s="1"/>
  <c r="C1345" i="6"/>
  <c r="B1345" i="6"/>
  <c r="Q1344" i="6"/>
  <c r="P1344" i="6"/>
  <c r="N1344" i="6"/>
  <c r="M1344" i="6"/>
  <c r="L1344" i="6"/>
  <c r="K1344" i="6"/>
  <c r="J1344" i="6"/>
  <c r="I1344" i="6"/>
  <c r="H1344" i="6"/>
  <c r="G1344" i="6"/>
  <c r="F1344" i="6"/>
  <c r="D1344" i="6"/>
  <c r="U1344" i="6" s="1"/>
  <c r="C1344" i="6"/>
  <c r="B1344" i="6"/>
  <c r="E1344" i="6" s="1"/>
  <c r="Q1343" i="6"/>
  <c r="N1343" i="6"/>
  <c r="M1343" i="6"/>
  <c r="L1343" i="6"/>
  <c r="K1343" i="6"/>
  <c r="J1343" i="6"/>
  <c r="I1343" i="6"/>
  <c r="P1343" i="6" s="1"/>
  <c r="H1343" i="6"/>
  <c r="G1343" i="6"/>
  <c r="F1343" i="6"/>
  <c r="D1343" i="6"/>
  <c r="U1343" i="6" s="1"/>
  <c r="C1343" i="6"/>
  <c r="B1343" i="6"/>
  <c r="Q1342" i="6"/>
  <c r="P1342" i="6"/>
  <c r="N1342" i="6"/>
  <c r="M1342" i="6"/>
  <c r="L1342" i="6"/>
  <c r="K1342" i="6"/>
  <c r="J1342" i="6"/>
  <c r="I1342" i="6"/>
  <c r="H1342" i="6"/>
  <c r="G1342" i="6"/>
  <c r="F1342" i="6"/>
  <c r="D1342" i="6"/>
  <c r="U1342" i="6" s="1"/>
  <c r="C1342" i="6"/>
  <c r="B1342" i="6"/>
  <c r="E1342" i="6" s="1"/>
  <c r="Q1341" i="6"/>
  <c r="N1341" i="6"/>
  <c r="M1341" i="6"/>
  <c r="L1341" i="6"/>
  <c r="K1341" i="6"/>
  <c r="J1341" i="6"/>
  <c r="I1341" i="6"/>
  <c r="P1341" i="6" s="1"/>
  <c r="H1341" i="6"/>
  <c r="G1341" i="6"/>
  <c r="F1341" i="6"/>
  <c r="D1341" i="6"/>
  <c r="U1341" i="6" s="1"/>
  <c r="C1341" i="6"/>
  <c r="B1341" i="6"/>
  <c r="Q1340" i="6"/>
  <c r="P1340" i="6"/>
  <c r="N1340" i="6"/>
  <c r="M1340" i="6"/>
  <c r="L1340" i="6"/>
  <c r="K1340" i="6"/>
  <c r="J1340" i="6"/>
  <c r="I1340" i="6"/>
  <c r="H1340" i="6"/>
  <c r="G1340" i="6"/>
  <c r="F1340" i="6"/>
  <c r="D1340" i="6"/>
  <c r="U1340" i="6" s="1"/>
  <c r="C1340" i="6"/>
  <c r="B1340" i="6"/>
  <c r="E1340" i="6" s="1"/>
  <c r="Q1339" i="6"/>
  <c r="N1339" i="6"/>
  <c r="M1339" i="6"/>
  <c r="L1339" i="6"/>
  <c r="K1339" i="6"/>
  <c r="J1339" i="6"/>
  <c r="I1339" i="6"/>
  <c r="P1339" i="6" s="1"/>
  <c r="H1339" i="6"/>
  <c r="G1339" i="6"/>
  <c r="F1339" i="6"/>
  <c r="D1339" i="6"/>
  <c r="U1339" i="6" s="1"/>
  <c r="C1339" i="6"/>
  <c r="B1339" i="6"/>
  <c r="Q1338" i="6"/>
  <c r="P1338" i="6"/>
  <c r="N1338" i="6"/>
  <c r="M1338" i="6"/>
  <c r="L1338" i="6"/>
  <c r="K1338" i="6"/>
  <c r="J1338" i="6"/>
  <c r="I1338" i="6"/>
  <c r="H1338" i="6"/>
  <c r="G1338" i="6"/>
  <c r="F1338" i="6"/>
  <c r="D1338" i="6"/>
  <c r="U1338" i="6" s="1"/>
  <c r="C1338" i="6"/>
  <c r="B1338" i="6"/>
  <c r="E1338" i="6" s="1"/>
  <c r="Q1337" i="6"/>
  <c r="N1337" i="6"/>
  <c r="M1337" i="6"/>
  <c r="L1337" i="6"/>
  <c r="K1337" i="6"/>
  <c r="J1337" i="6"/>
  <c r="I1337" i="6"/>
  <c r="P1337" i="6" s="1"/>
  <c r="H1337" i="6"/>
  <c r="G1337" i="6"/>
  <c r="F1337" i="6"/>
  <c r="D1337" i="6"/>
  <c r="U1337" i="6" s="1"/>
  <c r="C1337" i="6"/>
  <c r="B1337" i="6"/>
  <c r="Q1336" i="6"/>
  <c r="P1336" i="6"/>
  <c r="N1336" i="6"/>
  <c r="M1336" i="6"/>
  <c r="L1336" i="6"/>
  <c r="K1336" i="6"/>
  <c r="J1336" i="6"/>
  <c r="I1336" i="6"/>
  <c r="H1336" i="6"/>
  <c r="G1336" i="6"/>
  <c r="F1336" i="6"/>
  <c r="D1336" i="6"/>
  <c r="U1336" i="6" s="1"/>
  <c r="C1336" i="6"/>
  <c r="B1336" i="6"/>
  <c r="E1336" i="6" s="1"/>
  <c r="Q1335" i="6"/>
  <c r="N1335" i="6"/>
  <c r="M1335" i="6"/>
  <c r="L1335" i="6"/>
  <c r="K1335" i="6"/>
  <c r="J1335" i="6"/>
  <c r="I1335" i="6"/>
  <c r="P1335" i="6" s="1"/>
  <c r="H1335" i="6"/>
  <c r="G1335" i="6"/>
  <c r="F1335" i="6"/>
  <c r="D1335" i="6"/>
  <c r="U1335" i="6" s="1"/>
  <c r="C1335" i="6"/>
  <c r="B1335" i="6"/>
  <c r="Q1334" i="6"/>
  <c r="P1334" i="6"/>
  <c r="N1334" i="6"/>
  <c r="M1334" i="6"/>
  <c r="L1334" i="6"/>
  <c r="K1334" i="6"/>
  <c r="J1334" i="6"/>
  <c r="I1334" i="6"/>
  <c r="H1334" i="6"/>
  <c r="G1334" i="6"/>
  <c r="F1334" i="6"/>
  <c r="D1334" i="6"/>
  <c r="U1334" i="6" s="1"/>
  <c r="C1334" i="6"/>
  <c r="B1334" i="6"/>
  <c r="E1334" i="6" s="1"/>
  <c r="Q1333" i="6"/>
  <c r="N1333" i="6"/>
  <c r="M1333" i="6"/>
  <c r="L1333" i="6"/>
  <c r="K1333" i="6"/>
  <c r="J1333" i="6"/>
  <c r="I1333" i="6"/>
  <c r="P1333" i="6" s="1"/>
  <c r="H1333" i="6"/>
  <c r="G1333" i="6"/>
  <c r="F1333" i="6"/>
  <c r="D1333" i="6"/>
  <c r="U1333" i="6" s="1"/>
  <c r="C1333" i="6"/>
  <c r="B1333" i="6"/>
  <c r="Q1332" i="6"/>
  <c r="P1332" i="6"/>
  <c r="N1332" i="6"/>
  <c r="M1332" i="6"/>
  <c r="L1332" i="6"/>
  <c r="K1332" i="6"/>
  <c r="J1332" i="6"/>
  <c r="I1332" i="6"/>
  <c r="H1332" i="6"/>
  <c r="G1332" i="6"/>
  <c r="F1332" i="6"/>
  <c r="D1332" i="6"/>
  <c r="U1332" i="6" s="1"/>
  <c r="C1332" i="6"/>
  <c r="B1332" i="6"/>
  <c r="E1332" i="6" s="1"/>
  <c r="Q1331" i="6"/>
  <c r="N1331" i="6"/>
  <c r="M1331" i="6"/>
  <c r="L1331" i="6"/>
  <c r="K1331" i="6"/>
  <c r="J1331" i="6"/>
  <c r="I1331" i="6"/>
  <c r="P1331" i="6" s="1"/>
  <c r="H1331" i="6"/>
  <c r="G1331" i="6"/>
  <c r="F1331" i="6"/>
  <c r="D1331" i="6"/>
  <c r="U1331" i="6" s="1"/>
  <c r="C1331" i="6"/>
  <c r="B1331" i="6"/>
  <c r="Q1330" i="6"/>
  <c r="P1330" i="6"/>
  <c r="N1330" i="6"/>
  <c r="M1330" i="6"/>
  <c r="L1330" i="6"/>
  <c r="K1330" i="6"/>
  <c r="J1330" i="6"/>
  <c r="I1330" i="6"/>
  <c r="H1330" i="6"/>
  <c r="G1330" i="6"/>
  <c r="F1330" i="6"/>
  <c r="D1330" i="6"/>
  <c r="U1330" i="6" s="1"/>
  <c r="C1330" i="6"/>
  <c r="B1330" i="6"/>
  <c r="E1330" i="6" s="1"/>
  <c r="Q1329" i="6"/>
  <c r="N1329" i="6"/>
  <c r="M1329" i="6"/>
  <c r="L1329" i="6"/>
  <c r="K1329" i="6"/>
  <c r="J1329" i="6"/>
  <c r="I1329" i="6"/>
  <c r="P1329" i="6" s="1"/>
  <c r="H1329" i="6"/>
  <c r="G1329" i="6"/>
  <c r="F1329" i="6"/>
  <c r="D1329" i="6"/>
  <c r="U1329" i="6" s="1"/>
  <c r="C1329" i="6"/>
  <c r="B1329" i="6"/>
  <c r="Q1328" i="6"/>
  <c r="P1328" i="6"/>
  <c r="N1328" i="6"/>
  <c r="M1328" i="6"/>
  <c r="L1328" i="6"/>
  <c r="K1328" i="6"/>
  <c r="J1328" i="6"/>
  <c r="I1328" i="6"/>
  <c r="H1328" i="6"/>
  <c r="G1328" i="6"/>
  <c r="F1328" i="6"/>
  <c r="D1328" i="6"/>
  <c r="U1328" i="6" s="1"/>
  <c r="C1328" i="6"/>
  <c r="B1328" i="6"/>
  <c r="E1328" i="6" s="1"/>
  <c r="Q1327" i="6"/>
  <c r="N1327" i="6"/>
  <c r="M1327" i="6"/>
  <c r="L1327" i="6"/>
  <c r="K1327" i="6"/>
  <c r="J1327" i="6"/>
  <c r="I1327" i="6"/>
  <c r="P1327" i="6" s="1"/>
  <c r="H1327" i="6"/>
  <c r="G1327" i="6"/>
  <c r="F1327" i="6"/>
  <c r="D1327" i="6"/>
  <c r="U1327" i="6" s="1"/>
  <c r="C1327" i="6"/>
  <c r="B1327" i="6"/>
  <c r="Q1326" i="6"/>
  <c r="P1326" i="6"/>
  <c r="N1326" i="6"/>
  <c r="M1326" i="6"/>
  <c r="L1326" i="6"/>
  <c r="K1326" i="6"/>
  <c r="J1326" i="6"/>
  <c r="I1326" i="6"/>
  <c r="H1326" i="6"/>
  <c r="G1326" i="6"/>
  <c r="F1326" i="6"/>
  <c r="D1326" i="6"/>
  <c r="U1326" i="6" s="1"/>
  <c r="C1326" i="6"/>
  <c r="B1326" i="6"/>
  <c r="E1326" i="6" s="1"/>
  <c r="Q1325" i="6"/>
  <c r="N1325" i="6"/>
  <c r="M1325" i="6"/>
  <c r="L1325" i="6"/>
  <c r="K1325" i="6"/>
  <c r="J1325" i="6"/>
  <c r="I1325" i="6"/>
  <c r="P1325" i="6" s="1"/>
  <c r="H1325" i="6"/>
  <c r="G1325" i="6"/>
  <c r="F1325" i="6"/>
  <c r="D1325" i="6"/>
  <c r="U1325" i="6" s="1"/>
  <c r="C1325" i="6"/>
  <c r="B1325" i="6"/>
  <c r="Q1324" i="6"/>
  <c r="P1324" i="6"/>
  <c r="N1324" i="6"/>
  <c r="M1324" i="6"/>
  <c r="L1324" i="6"/>
  <c r="K1324" i="6"/>
  <c r="J1324" i="6"/>
  <c r="I1324" i="6"/>
  <c r="H1324" i="6"/>
  <c r="G1324" i="6"/>
  <c r="F1324" i="6"/>
  <c r="D1324" i="6"/>
  <c r="U1324" i="6" s="1"/>
  <c r="C1324" i="6"/>
  <c r="B1324" i="6"/>
  <c r="E1324" i="6" s="1"/>
  <c r="Q1323" i="6"/>
  <c r="N1323" i="6"/>
  <c r="M1323" i="6"/>
  <c r="L1323" i="6"/>
  <c r="K1323" i="6"/>
  <c r="J1323" i="6"/>
  <c r="I1323" i="6"/>
  <c r="P1323" i="6" s="1"/>
  <c r="H1323" i="6"/>
  <c r="G1323" i="6"/>
  <c r="F1323" i="6"/>
  <c r="D1323" i="6"/>
  <c r="U1323" i="6" s="1"/>
  <c r="C1323" i="6"/>
  <c r="B1323" i="6"/>
  <c r="Q1322" i="6"/>
  <c r="P1322" i="6"/>
  <c r="N1322" i="6"/>
  <c r="M1322" i="6"/>
  <c r="L1322" i="6"/>
  <c r="K1322" i="6"/>
  <c r="J1322" i="6"/>
  <c r="I1322" i="6"/>
  <c r="H1322" i="6"/>
  <c r="G1322" i="6"/>
  <c r="F1322" i="6"/>
  <c r="D1322" i="6"/>
  <c r="U1322" i="6" s="1"/>
  <c r="C1322" i="6"/>
  <c r="B1322" i="6"/>
  <c r="E1322" i="6" s="1"/>
  <c r="Q1321" i="6"/>
  <c r="N1321" i="6"/>
  <c r="M1321" i="6"/>
  <c r="L1321" i="6"/>
  <c r="K1321" i="6"/>
  <c r="J1321" i="6"/>
  <c r="I1321" i="6"/>
  <c r="P1321" i="6" s="1"/>
  <c r="H1321" i="6"/>
  <c r="G1321" i="6"/>
  <c r="F1321" i="6"/>
  <c r="D1321" i="6"/>
  <c r="U1321" i="6" s="1"/>
  <c r="C1321" i="6"/>
  <c r="B1321" i="6"/>
  <c r="Q1320" i="6"/>
  <c r="P1320" i="6"/>
  <c r="N1320" i="6"/>
  <c r="M1320" i="6"/>
  <c r="L1320" i="6"/>
  <c r="K1320" i="6"/>
  <c r="J1320" i="6"/>
  <c r="I1320" i="6"/>
  <c r="H1320" i="6"/>
  <c r="G1320" i="6"/>
  <c r="F1320" i="6"/>
  <c r="D1320" i="6"/>
  <c r="U1320" i="6" s="1"/>
  <c r="C1320" i="6"/>
  <c r="B1320" i="6"/>
  <c r="E1320" i="6" s="1"/>
  <c r="Q1319" i="6"/>
  <c r="N1319" i="6"/>
  <c r="M1319" i="6"/>
  <c r="L1319" i="6"/>
  <c r="K1319" i="6"/>
  <c r="J1319" i="6"/>
  <c r="I1319" i="6"/>
  <c r="P1319" i="6" s="1"/>
  <c r="H1319" i="6"/>
  <c r="G1319" i="6"/>
  <c r="F1319" i="6"/>
  <c r="D1319" i="6"/>
  <c r="U1319" i="6" s="1"/>
  <c r="C1319" i="6"/>
  <c r="B1319" i="6"/>
  <c r="Q1318" i="6"/>
  <c r="P1318" i="6"/>
  <c r="N1318" i="6"/>
  <c r="M1318" i="6"/>
  <c r="L1318" i="6"/>
  <c r="K1318" i="6"/>
  <c r="J1318" i="6"/>
  <c r="I1318" i="6"/>
  <c r="H1318" i="6"/>
  <c r="G1318" i="6"/>
  <c r="F1318" i="6"/>
  <c r="D1318" i="6"/>
  <c r="U1318" i="6" s="1"/>
  <c r="C1318" i="6"/>
  <c r="B1318" i="6"/>
  <c r="E1318" i="6" s="1"/>
  <c r="Q1317" i="6"/>
  <c r="N1317" i="6"/>
  <c r="M1317" i="6"/>
  <c r="L1317" i="6"/>
  <c r="K1317" i="6"/>
  <c r="J1317" i="6"/>
  <c r="I1317" i="6"/>
  <c r="P1317" i="6" s="1"/>
  <c r="H1317" i="6"/>
  <c r="G1317" i="6"/>
  <c r="F1317" i="6"/>
  <c r="D1317" i="6"/>
  <c r="U1317" i="6" s="1"/>
  <c r="C1317" i="6"/>
  <c r="B1317" i="6"/>
  <c r="Q1316" i="6"/>
  <c r="P1316" i="6"/>
  <c r="N1316" i="6"/>
  <c r="M1316" i="6"/>
  <c r="L1316" i="6"/>
  <c r="K1316" i="6"/>
  <c r="J1316" i="6"/>
  <c r="I1316" i="6"/>
  <c r="H1316" i="6"/>
  <c r="G1316" i="6"/>
  <c r="F1316" i="6"/>
  <c r="D1316" i="6"/>
  <c r="U1316" i="6" s="1"/>
  <c r="C1316" i="6"/>
  <c r="B1316" i="6"/>
  <c r="E1316" i="6" s="1"/>
  <c r="Q1315" i="6"/>
  <c r="N1315" i="6"/>
  <c r="M1315" i="6"/>
  <c r="L1315" i="6"/>
  <c r="K1315" i="6"/>
  <c r="J1315" i="6"/>
  <c r="I1315" i="6"/>
  <c r="P1315" i="6" s="1"/>
  <c r="H1315" i="6"/>
  <c r="G1315" i="6"/>
  <c r="F1315" i="6"/>
  <c r="D1315" i="6"/>
  <c r="U1315" i="6" s="1"/>
  <c r="C1315" i="6"/>
  <c r="B1315" i="6"/>
  <c r="Q1314" i="6"/>
  <c r="P1314" i="6"/>
  <c r="N1314" i="6"/>
  <c r="M1314" i="6"/>
  <c r="L1314" i="6"/>
  <c r="K1314" i="6"/>
  <c r="J1314" i="6"/>
  <c r="I1314" i="6"/>
  <c r="H1314" i="6"/>
  <c r="G1314" i="6"/>
  <c r="F1314" i="6"/>
  <c r="D1314" i="6"/>
  <c r="U1314" i="6" s="1"/>
  <c r="C1314" i="6"/>
  <c r="B1314" i="6"/>
  <c r="E1314" i="6" s="1"/>
  <c r="Q1313" i="6"/>
  <c r="N1313" i="6"/>
  <c r="M1313" i="6"/>
  <c r="L1313" i="6"/>
  <c r="K1313" i="6"/>
  <c r="J1313" i="6"/>
  <c r="I1313" i="6"/>
  <c r="P1313" i="6" s="1"/>
  <c r="H1313" i="6"/>
  <c r="G1313" i="6"/>
  <c r="F1313" i="6"/>
  <c r="D1313" i="6"/>
  <c r="U1313" i="6" s="1"/>
  <c r="C1313" i="6"/>
  <c r="B1313" i="6"/>
  <c r="Q1312" i="6"/>
  <c r="P1312" i="6"/>
  <c r="N1312" i="6"/>
  <c r="M1312" i="6"/>
  <c r="L1312" i="6"/>
  <c r="K1312" i="6"/>
  <c r="J1312" i="6"/>
  <c r="I1312" i="6"/>
  <c r="H1312" i="6"/>
  <c r="G1312" i="6"/>
  <c r="F1312" i="6"/>
  <c r="D1312" i="6"/>
  <c r="U1312" i="6" s="1"/>
  <c r="C1312" i="6"/>
  <c r="B1312" i="6"/>
  <c r="E1312" i="6" s="1"/>
  <c r="Q1311" i="6"/>
  <c r="N1311" i="6"/>
  <c r="M1311" i="6"/>
  <c r="L1311" i="6"/>
  <c r="K1311" i="6"/>
  <c r="J1311" i="6"/>
  <c r="I1311" i="6"/>
  <c r="P1311" i="6" s="1"/>
  <c r="H1311" i="6"/>
  <c r="G1311" i="6"/>
  <c r="F1311" i="6"/>
  <c r="D1311" i="6"/>
  <c r="U1311" i="6" s="1"/>
  <c r="C1311" i="6"/>
  <c r="B1311" i="6"/>
  <c r="Q1310" i="6"/>
  <c r="P1310" i="6"/>
  <c r="N1310" i="6"/>
  <c r="M1310" i="6"/>
  <c r="L1310" i="6"/>
  <c r="K1310" i="6"/>
  <c r="J1310" i="6"/>
  <c r="I1310" i="6"/>
  <c r="H1310" i="6"/>
  <c r="G1310" i="6"/>
  <c r="F1310" i="6"/>
  <c r="D1310" i="6"/>
  <c r="U1310" i="6" s="1"/>
  <c r="C1310" i="6"/>
  <c r="B1310" i="6"/>
  <c r="E1310" i="6" s="1"/>
  <c r="Q1309" i="6"/>
  <c r="N1309" i="6"/>
  <c r="M1309" i="6"/>
  <c r="L1309" i="6"/>
  <c r="K1309" i="6"/>
  <c r="J1309" i="6"/>
  <c r="I1309" i="6"/>
  <c r="P1309" i="6" s="1"/>
  <c r="H1309" i="6"/>
  <c r="G1309" i="6"/>
  <c r="F1309" i="6"/>
  <c r="D1309" i="6"/>
  <c r="U1309" i="6" s="1"/>
  <c r="C1309" i="6"/>
  <c r="B1309" i="6"/>
  <c r="Q1308" i="6"/>
  <c r="P1308" i="6"/>
  <c r="N1308" i="6"/>
  <c r="M1308" i="6"/>
  <c r="L1308" i="6"/>
  <c r="K1308" i="6"/>
  <c r="J1308" i="6"/>
  <c r="I1308" i="6"/>
  <c r="H1308" i="6"/>
  <c r="G1308" i="6"/>
  <c r="F1308" i="6"/>
  <c r="D1308" i="6"/>
  <c r="U1308" i="6" s="1"/>
  <c r="C1308" i="6"/>
  <c r="B1308" i="6"/>
  <c r="E1308" i="6" s="1"/>
  <c r="Q1307" i="6"/>
  <c r="N1307" i="6"/>
  <c r="M1307" i="6"/>
  <c r="L1307" i="6"/>
  <c r="K1307" i="6"/>
  <c r="J1307" i="6"/>
  <c r="I1307" i="6"/>
  <c r="P1307" i="6" s="1"/>
  <c r="H1307" i="6"/>
  <c r="G1307" i="6"/>
  <c r="F1307" i="6"/>
  <c r="D1307" i="6"/>
  <c r="U1307" i="6" s="1"/>
  <c r="C1307" i="6"/>
  <c r="B1307" i="6"/>
  <c r="Q1306" i="6"/>
  <c r="P1306" i="6"/>
  <c r="N1306" i="6"/>
  <c r="M1306" i="6"/>
  <c r="L1306" i="6"/>
  <c r="K1306" i="6"/>
  <c r="J1306" i="6"/>
  <c r="I1306" i="6"/>
  <c r="H1306" i="6"/>
  <c r="G1306" i="6"/>
  <c r="F1306" i="6"/>
  <c r="D1306" i="6"/>
  <c r="U1306" i="6" s="1"/>
  <c r="C1306" i="6"/>
  <c r="B1306" i="6"/>
  <c r="E1306" i="6" s="1"/>
  <c r="Q1305" i="6"/>
  <c r="N1305" i="6"/>
  <c r="M1305" i="6"/>
  <c r="L1305" i="6"/>
  <c r="K1305" i="6"/>
  <c r="J1305" i="6"/>
  <c r="I1305" i="6"/>
  <c r="P1305" i="6" s="1"/>
  <c r="H1305" i="6"/>
  <c r="G1305" i="6"/>
  <c r="F1305" i="6"/>
  <c r="D1305" i="6"/>
  <c r="U1305" i="6" s="1"/>
  <c r="C1305" i="6"/>
  <c r="B1305" i="6"/>
  <c r="Q1304" i="6"/>
  <c r="P1304" i="6"/>
  <c r="N1304" i="6"/>
  <c r="M1304" i="6"/>
  <c r="L1304" i="6"/>
  <c r="K1304" i="6"/>
  <c r="J1304" i="6"/>
  <c r="I1304" i="6"/>
  <c r="H1304" i="6"/>
  <c r="G1304" i="6"/>
  <c r="F1304" i="6"/>
  <c r="D1304" i="6"/>
  <c r="U1304" i="6" s="1"/>
  <c r="C1304" i="6"/>
  <c r="B1304" i="6"/>
  <c r="E1304" i="6" s="1"/>
  <c r="Q1303" i="6"/>
  <c r="N1303" i="6"/>
  <c r="M1303" i="6"/>
  <c r="L1303" i="6"/>
  <c r="K1303" i="6"/>
  <c r="J1303" i="6"/>
  <c r="I1303" i="6"/>
  <c r="P1303" i="6" s="1"/>
  <c r="H1303" i="6"/>
  <c r="G1303" i="6"/>
  <c r="F1303" i="6"/>
  <c r="D1303" i="6"/>
  <c r="U1303" i="6" s="1"/>
  <c r="C1303" i="6"/>
  <c r="B1303" i="6"/>
  <c r="Q1302" i="6"/>
  <c r="P1302" i="6"/>
  <c r="N1302" i="6"/>
  <c r="M1302" i="6"/>
  <c r="L1302" i="6"/>
  <c r="K1302" i="6"/>
  <c r="J1302" i="6"/>
  <c r="I1302" i="6"/>
  <c r="H1302" i="6"/>
  <c r="G1302" i="6"/>
  <c r="F1302" i="6"/>
  <c r="D1302" i="6"/>
  <c r="U1302" i="6" s="1"/>
  <c r="C1302" i="6"/>
  <c r="B1302" i="6"/>
  <c r="E1302" i="6" s="1"/>
  <c r="Q1301" i="6"/>
  <c r="N1301" i="6"/>
  <c r="M1301" i="6"/>
  <c r="L1301" i="6"/>
  <c r="K1301" i="6"/>
  <c r="J1301" i="6"/>
  <c r="I1301" i="6"/>
  <c r="P1301" i="6" s="1"/>
  <c r="H1301" i="6"/>
  <c r="G1301" i="6"/>
  <c r="F1301" i="6"/>
  <c r="D1301" i="6"/>
  <c r="U1301" i="6" s="1"/>
  <c r="C1301" i="6"/>
  <c r="B1301" i="6"/>
  <c r="Q1300" i="6"/>
  <c r="P1300" i="6"/>
  <c r="N1300" i="6"/>
  <c r="M1300" i="6"/>
  <c r="L1300" i="6"/>
  <c r="K1300" i="6"/>
  <c r="J1300" i="6"/>
  <c r="I1300" i="6"/>
  <c r="H1300" i="6"/>
  <c r="G1300" i="6"/>
  <c r="F1300" i="6"/>
  <c r="D1300" i="6"/>
  <c r="U1300" i="6" s="1"/>
  <c r="C1300" i="6"/>
  <c r="B1300" i="6"/>
  <c r="E1300" i="6" s="1"/>
  <c r="Q1299" i="6"/>
  <c r="N1299" i="6"/>
  <c r="M1299" i="6"/>
  <c r="L1299" i="6"/>
  <c r="K1299" i="6"/>
  <c r="J1299" i="6"/>
  <c r="I1299" i="6"/>
  <c r="P1299" i="6" s="1"/>
  <c r="H1299" i="6"/>
  <c r="G1299" i="6"/>
  <c r="F1299" i="6"/>
  <c r="D1299" i="6"/>
  <c r="U1299" i="6" s="1"/>
  <c r="C1299" i="6"/>
  <c r="B1299" i="6"/>
  <c r="Q1298" i="6"/>
  <c r="P1298" i="6"/>
  <c r="N1298" i="6"/>
  <c r="M1298" i="6"/>
  <c r="L1298" i="6"/>
  <c r="K1298" i="6"/>
  <c r="J1298" i="6"/>
  <c r="I1298" i="6"/>
  <c r="H1298" i="6"/>
  <c r="G1298" i="6"/>
  <c r="F1298" i="6"/>
  <c r="D1298" i="6"/>
  <c r="U1298" i="6" s="1"/>
  <c r="C1298" i="6"/>
  <c r="B1298" i="6"/>
  <c r="E1298" i="6" s="1"/>
  <c r="Q1297" i="6"/>
  <c r="N1297" i="6"/>
  <c r="M1297" i="6"/>
  <c r="L1297" i="6"/>
  <c r="K1297" i="6"/>
  <c r="J1297" i="6"/>
  <c r="I1297" i="6"/>
  <c r="P1297" i="6" s="1"/>
  <c r="H1297" i="6"/>
  <c r="G1297" i="6"/>
  <c r="F1297" i="6"/>
  <c r="D1297" i="6"/>
  <c r="U1297" i="6" s="1"/>
  <c r="C1297" i="6"/>
  <c r="B1297" i="6"/>
  <c r="Q1296" i="6"/>
  <c r="P1296" i="6"/>
  <c r="N1296" i="6"/>
  <c r="M1296" i="6"/>
  <c r="L1296" i="6"/>
  <c r="K1296" i="6"/>
  <c r="J1296" i="6"/>
  <c r="I1296" i="6"/>
  <c r="H1296" i="6"/>
  <c r="G1296" i="6"/>
  <c r="F1296" i="6"/>
  <c r="D1296" i="6"/>
  <c r="U1296" i="6" s="1"/>
  <c r="C1296" i="6"/>
  <c r="B1296" i="6"/>
  <c r="E1296" i="6" s="1"/>
  <c r="Q1295" i="6"/>
  <c r="N1295" i="6"/>
  <c r="M1295" i="6"/>
  <c r="L1295" i="6"/>
  <c r="K1295" i="6"/>
  <c r="J1295" i="6"/>
  <c r="I1295" i="6"/>
  <c r="P1295" i="6" s="1"/>
  <c r="H1295" i="6"/>
  <c r="G1295" i="6"/>
  <c r="F1295" i="6"/>
  <c r="D1295" i="6"/>
  <c r="U1295" i="6" s="1"/>
  <c r="C1295" i="6"/>
  <c r="B1295" i="6"/>
  <c r="Q1294" i="6"/>
  <c r="P1294" i="6"/>
  <c r="N1294" i="6"/>
  <c r="M1294" i="6"/>
  <c r="L1294" i="6"/>
  <c r="K1294" i="6"/>
  <c r="J1294" i="6"/>
  <c r="I1294" i="6"/>
  <c r="H1294" i="6"/>
  <c r="G1294" i="6"/>
  <c r="F1294" i="6"/>
  <c r="D1294" i="6"/>
  <c r="U1294" i="6" s="1"/>
  <c r="C1294" i="6"/>
  <c r="B1294" i="6"/>
  <c r="E1294" i="6" s="1"/>
  <c r="Q1293" i="6"/>
  <c r="N1293" i="6"/>
  <c r="M1293" i="6"/>
  <c r="L1293" i="6"/>
  <c r="K1293" i="6"/>
  <c r="J1293" i="6"/>
  <c r="I1293" i="6"/>
  <c r="P1293" i="6" s="1"/>
  <c r="H1293" i="6"/>
  <c r="G1293" i="6"/>
  <c r="F1293" i="6"/>
  <c r="D1293" i="6"/>
  <c r="U1293" i="6" s="1"/>
  <c r="C1293" i="6"/>
  <c r="B1293" i="6"/>
  <c r="Q1292" i="6"/>
  <c r="P1292" i="6"/>
  <c r="N1292" i="6"/>
  <c r="M1292" i="6"/>
  <c r="L1292" i="6"/>
  <c r="K1292" i="6"/>
  <c r="J1292" i="6"/>
  <c r="I1292" i="6"/>
  <c r="H1292" i="6"/>
  <c r="G1292" i="6"/>
  <c r="F1292" i="6"/>
  <c r="D1292" i="6"/>
  <c r="U1292" i="6" s="1"/>
  <c r="C1292" i="6"/>
  <c r="B1292" i="6"/>
  <c r="E1292" i="6" s="1"/>
  <c r="Q1291" i="6"/>
  <c r="N1291" i="6"/>
  <c r="M1291" i="6"/>
  <c r="L1291" i="6"/>
  <c r="K1291" i="6"/>
  <c r="J1291" i="6"/>
  <c r="I1291" i="6"/>
  <c r="P1291" i="6" s="1"/>
  <c r="H1291" i="6"/>
  <c r="G1291" i="6"/>
  <c r="F1291" i="6"/>
  <c r="D1291" i="6"/>
  <c r="U1291" i="6" s="1"/>
  <c r="C1291" i="6"/>
  <c r="B1291" i="6"/>
  <c r="Q1290" i="6"/>
  <c r="P1290" i="6"/>
  <c r="N1290" i="6"/>
  <c r="M1290" i="6"/>
  <c r="L1290" i="6"/>
  <c r="K1290" i="6"/>
  <c r="J1290" i="6"/>
  <c r="I1290" i="6"/>
  <c r="H1290" i="6"/>
  <c r="G1290" i="6"/>
  <c r="F1290" i="6"/>
  <c r="D1290" i="6"/>
  <c r="U1290" i="6" s="1"/>
  <c r="C1290" i="6"/>
  <c r="B1290" i="6"/>
  <c r="E1290" i="6" s="1"/>
  <c r="Q1289" i="6"/>
  <c r="N1289" i="6"/>
  <c r="M1289" i="6"/>
  <c r="L1289" i="6"/>
  <c r="K1289" i="6"/>
  <c r="J1289" i="6"/>
  <c r="I1289" i="6"/>
  <c r="P1289" i="6" s="1"/>
  <c r="H1289" i="6"/>
  <c r="G1289" i="6"/>
  <c r="F1289" i="6"/>
  <c r="D1289" i="6"/>
  <c r="U1289" i="6" s="1"/>
  <c r="C1289" i="6"/>
  <c r="B1289" i="6"/>
  <c r="Q1288" i="6"/>
  <c r="P1288" i="6"/>
  <c r="N1288" i="6"/>
  <c r="M1288" i="6"/>
  <c r="L1288" i="6"/>
  <c r="K1288" i="6"/>
  <c r="J1288" i="6"/>
  <c r="I1288" i="6"/>
  <c r="H1288" i="6"/>
  <c r="G1288" i="6"/>
  <c r="F1288" i="6"/>
  <c r="D1288" i="6"/>
  <c r="U1288" i="6" s="1"/>
  <c r="C1288" i="6"/>
  <c r="B1288" i="6"/>
  <c r="E1288" i="6" s="1"/>
  <c r="Q1287" i="6"/>
  <c r="N1287" i="6"/>
  <c r="M1287" i="6"/>
  <c r="L1287" i="6"/>
  <c r="K1287" i="6"/>
  <c r="J1287" i="6"/>
  <c r="I1287" i="6"/>
  <c r="P1287" i="6" s="1"/>
  <c r="H1287" i="6"/>
  <c r="G1287" i="6"/>
  <c r="F1287" i="6"/>
  <c r="D1287" i="6"/>
  <c r="U1287" i="6" s="1"/>
  <c r="C1287" i="6"/>
  <c r="B1287" i="6"/>
  <c r="Q1286" i="6"/>
  <c r="P1286" i="6"/>
  <c r="N1286" i="6"/>
  <c r="M1286" i="6"/>
  <c r="L1286" i="6"/>
  <c r="K1286" i="6"/>
  <c r="J1286" i="6"/>
  <c r="I1286" i="6"/>
  <c r="H1286" i="6"/>
  <c r="G1286" i="6"/>
  <c r="F1286" i="6"/>
  <c r="D1286" i="6"/>
  <c r="U1286" i="6" s="1"/>
  <c r="C1286" i="6"/>
  <c r="B1286" i="6"/>
  <c r="E1286" i="6" s="1"/>
  <c r="Q1285" i="6"/>
  <c r="N1285" i="6"/>
  <c r="M1285" i="6"/>
  <c r="L1285" i="6"/>
  <c r="K1285" i="6"/>
  <c r="J1285" i="6"/>
  <c r="I1285" i="6"/>
  <c r="P1285" i="6" s="1"/>
  <c r="H1285" i="6"/>
  <c r="G1285" i="6"/>
  <c r="F1285" i="6"/>
  <c r="D1285" i="6"/>
  <c r="U1285" i="6" s="1"/>
  <c r="C1285" i="6"/>
  <c r="B1285" i="6"/>
  <c r="Q1284" i="6"/>
  <c r="P1284" i="6"/>
  <c r="N1284" i="6"/>
  <c r="M1284" i="6"/>
  <c r="L1284" i="6"/>
  <c r="K1284" i="6"/>
  <c r="J1284" i="6"/>
  <c r="I1284" i="6"/>
  <c r="H1284" i="6"/>
  <c r="G1284" i="6"/>
  <c r="F1284" i="6"/>
  <c r="D1284" i="6"/>
  <c r="U1284" i="6" s="1"/>
  <c r="C1284" i="6"/>
  <c r="B1284" i="6"/>
  <c r="E1284" i="6" s="1"/>
  <c r="Q1283" i="6"/>
  <c r="N1283" i="6"/>
  <c r="M1283" i="6"/>
  <c r="L1283" i="6"/>
  <c r="K1283" i="6"/>
  <c r="J1283" i="6"/>
  <c r="I1283" i="6"/>
  <c r="P1283" i="6" s="1"/>
  <c r="H1283" i="6"/>
  <c r="G1283" i="6"/>
  <c r="F1283" i="6"/>
  <c r="D1283" i="6"/>
  <c r="U1283" i="6" s="1"/>
  <c r="C1283" i="6"/>
  <c r="B1283" i="6"/>
  <c r="Q1282" i="6"/>
  <c r="P1282" i="6"/>
  <c r="N1282" i="6"/>
  <c r="M1282" i="6"/>
  <c r="L1282" i="6"/>
  <c r="K1282" i="6"/>
  <c r="J1282" i="6"/>
  <c r="I1282" i="6"/>
  <c r="H1282" i="6"/>
  <c r="G1282" i="6"/>
  <c r="F1282" i="6"/>
  <c r="D1282" i="6"/>
  <c r="U1282" i="6" s="1"/>
  <c r="C1282" i="6"/>
  <c r="B1282" i="6"/>
  <c r="E1282" i="6" s="1"/>
  <c r="Q1281" i="6"/>
  <c r="N1281" i="6"/>
  <c r="M1281" i="6"/>
  <c r="L1281" i="6"/>
  <c r="K1281" i="6"/>
  <c r="J1281" i="6"/>
  <c r="I1281" i="6"/>
  <c r="P1281" i="6" s="1"/>
  <c r="H1281" i="6"/>
  <c r="G1281" i="6"/>
  <c r="F1281" i="6"/>
  <c r="D1281" i="6"/>
  <c r="U1281" i="6" s="1"/>
  <c r="C1281" i="6"/>
  <c r="B1281" i="6"/>
  <c r="Q1280" i="6"/>
  <c r="P1280" i="6"/>
  <c r="N1280" i="6"/>
  <c r="M1280" i="6"/>
  <c r="L1280" i="6"/>
  <c r="K1280" i="6"/>
  <c r="J1280" i="6"/>
  <c r="I1280" i="6"/>
  <c r="H1280" i="6"/>
  <c r="G1280" i="6"/>
  <c r="F1280" i="6"/>
  <c r="D1280" i="6"/>
  <c r="U1280" i="6" s="1"/>
  <c r="C1280" i="6"/>
  <c r="B1280" i="6"/>
  <c r="E1280" i="6" s="1"/>
  <c r="Q1279" i="6"/>
  <c r="N1279" i="6"/>
  <c r="M1279" i="6"/>
  <c r="L1279" i="6"/>
  <c r="K1279" i="6"/>
  <c r="J1279" i="6"/>
  <c r="I1279" i="6"/>
  <c r="P1279" i="6" s="1"/>
  <c r="H1279" i="6"/>
  <c r="G1279" i="6"/>
  <c r="F1279" i="6"/>
  <c r="D1279" i="6"/>
  <c r="U1279" i="6" s="1"/>
  <c r="C1279" i="6"/>
  <c r="B1279" i="6"/>
  <c r="Q1278" i="6"/>
  <c r="P1278" i="6"/>
  <c r="N1278" i="6"/>
  <c r="M1278" i="6"/>
  <c r="L1278" i="6"/>
  <c r="K1278" i="6"/>
  <c r="J1278" i="6"/>
  <c r="I1278" i="6"/>
  <c r="H1278" i="6"/>
  <c r="G1278" i="6"/>
  <c r="F1278" i="6"/>
  <c r="D1278" i="6"/>
  <c r="U1278" i="6" s="1"/>
  <c r="C1278" i="6"/>
  <c r="B1278" i="6"/>
  <c r="E1278" i="6" s="1"/>
  <c r="Q1277" i="6"/>
  <c r="N1277" i="6"/>
  <c r="M1277" i="6"/>
  <c r="L1277" i="6"/>
  <c r="K1277" i="6"/>
  <c r="J1277" i="6"/>
  <c r="I1277" i="6"/>
  <c r="P1277" i="6" s="1"/>
  <c r="H1277" i="6"/>
  <c r="G1277" i="6"/>
  <c r="F1277" i="6"/>
  <c r="D1277" i="6"/>
  <c r="U1277" i="6" s="1"/>
  <c r="C1277" i="6"/>
  <c r="B1277" i="6"/>
  <c r="Q1276" i="6"/>
  <c r="P1276" i="6"/>
  <c r="N1276" i="6"/>
  <c r="M1276" i="6"/>
  <c r="L1276" i="6"/>
  <c r="K1276" i="6"/>
  <c r="J1276" i="6"/>
  <c r="I1276" i="6"/>
  <c r="H1276" i="6"/>
  <c r="G1276" i="6"/>
  <c r="F1276" i="6"/>
  <c r="D1276" i="6"/>
  <c r="U1276" i="6" s="1"/>
  <c r="C1276" i="6"/>
  <c r="B1276" i="6"/>
  <c r="E1276" i="6" s="1"/>
  <c r="Q1275" i="6"/>
  <c r="N1275" i="6"/>
  <c r="M1275" i="6"/>
  <c r="L1275" i="6"/>
  <c r="K1275" i="6"/>
  <c r="J1275" i="6"/>
  <c r="I1275" i="6"/>
  <c r="P1275" i="6" s="1"/>
  <c r="H1275" i="6"/>
  <c r="G1275" i="6"/>
  <c r="F1275" i="6"/>
  <c r="D1275" i="6"/>
  <c r="U1275" i="6" s="1"/>
  <c r="C1275" i="6"/>
  <c r="B1275" i="6"/>
  <c r="Q1274" i="6"/>
  <c r="P1274" i="6"/>
  <c r="N1274" i="6"/>
  <c r="M1274" i="6"/>
  <c r="L1274" i="6"/>
  <c r="K1274" i="6"/>
  <c r="J1274" i="6"/>
  <c r="I1274" i="6"/>
  <c r="H1274" i="6"/>
  <c r="G1274" i="6"/>
  <c r="F1274" i="6"/>
  <c r="D1274" i="6"/>
  <c r="U1274" i="6" s="1"/>
  <c r="C1274" i="6"/>
  <c r="B1274" i="6"/>
  <c r="E1274" i="6" s="1"/>
  <c r="Q1273" i="6"/>
  <c r="N1273" i="6"/>
  <c r="M1273" i="6"/>
  <c r="L1273" i="6"/>
  <c r="K1273" i="6"/>
  <c r="J1273" i="6"/>
  <c r="I1273" i="6"/>
  <c r="P1273" i="6" s="1"/>
  <c r="H1273" i="6"/>
  <c r="G1273" i="6"/>
  <c r="F1273" i="6"/>
  <c r="D1273" i="6"/>
  <c r="U1273" i="6" s="1"/>
  <c r="C1273" i="6"/>
  <c r="B1273" i="6"/>
  <c r="Q1272" i="6"/>
  <c r="P1272" i="6"/>
  <c r="N1272" i="6"/>
  <c r="M1272" i="6"/>
  <c r="L1272" i="6"/>
  <c r="K1272" i="6"/>
  <c r="J1272" i="6"/>
  <c r="I1272" i="6"/>
  <c r="H1272" i="6"/>
  <c r="G1272" i="6"/>
  <c r="F1272" i="6"/>
  <c r="D1272" i="6"/>
  <c r="U1272" i="6" s="1"/>
  <c r="C1272" i="6"/>
  <c r="B1272" i="6"/>
  <c r="E1272" i="6" s="1"/>
  <c r="Q1271" i="6"/>
  <c r="N1271" i="6"/>
  <c r="M1271" i="6"/>
  <c r="L1271" i="6"/>
  <c r="K1271" i="6"/>
  <c r="J1271" i="6"/>
  <c r="I1271" i="6"/>
  <c r="P1271" i="6" s="1"/>
  <c r="H1271" i="6"/>
  <c r="G1271" i="6"/>
  <c r="F1271" i="6"/>
  <c r="D1271" i="6"/>
  <c r="U1271" i="6" s="1"/>
  <c r="C1271" i="6"/>
  <c r="B1271" i="6"/>
  <c r="Q1270" i="6"/>
  <c r="P1270" i="6"/>
  <c r="N1270" i="6"/>
  <c r="M1270" i="6"/>
  <c r="L1270" i="6"/>
  <c r="K1270" i="6"/>
  <c r="J1270" i="6"/>
  <c r="I1270" i="6"/>
  <c r="H1270" i="6"/>
  <c r="G1270" i="6"/>
  <c r="F1270" i="6"/>
  <c r="D1270" i="6"/>
  <c r="U1270" i="6" s="1"/>
  <c r="C1270" i="6"/>
  <c r="B1270" i="6"/>
  <c r="E1270" i="6" s="1"/>
  <c r="Q1269" i="6"/>
  <c r="N1269" i="6"/>
  <c r="M1269" i="6"/>
  <c r="L1269" i="6"/>
  <c r="K1269" i="6"/>
  <c r="J1269" i="6"/>
  <c r="I1269" i="6"/>
  <c r="P1269" i="6" s="1"/>
  <c r="H1269" i="6"/>
  <c r="G1269" i="6"/>
  <c r="F1269" i="6"/>
  <c r="D1269" i="6"/>
  <c r="U1269" i="6" s="1"/>
  <c r="C1269" i="6"/>
  <c r="B1269" i="6"/>
  <c r="Q1268" i="6"/>
  <c r="P1268" i="6"/>
  <c r="N1268" i="6"/>
  <c r="M1268" i="6"/>
  <c r="L1268" i="6"/>
  <c r="K1268" i="6"/>
  <c r="J1268" i="6"/>
  <c r="I1268" i="6"/>
  <c r="H1268" i="6"/>
  <c r="G1268" i="6"/>
  <c r="F1268" i="6"/>
  <c r="D1268" i="6"/>
  <c r="U1268" i="6" s="1"/>
  <c r="C1268" i="6"/>
  <c r="B1268" i="6"/>
  <c r="E1268" i="6" s="1"/>
  <c r="Q1267" i="6"/>
  <c r="N1267" i="6"/>
  <c r="M1267" i="6"/>
  <c r="L1267" i="6"/>
  <c r="K1267" i="6"/>
  <c r="J1267" i="6"/>
  <c r="I1267" i="6"/>
  <c r="P1267" i="6" s="1"/>
  <c r="H1267" i="6"/>
  <c r="G1267" i="6"/>
  <c r="F1267" i="6"/>
  <c r="D1267" i="6"/>
  <c r="U1267" i="6" s="1"/>
  <c r="C1267" i="6"/>
  <c r="B1267" i="6"/>
  <c r="Q1266" i="6"/>
  <c r="P1266" i="6"/>
  <c r="N1266" i="6"/>
  <c r="M1266" i="6"/>
  <c r="L1266" i="6"/>
  <c r="K1266" i="6"/>
  <c r="J1266" i="6"/>
  <c r="I1266" i="6"/>
  <c r="H1266" i="6"/>
  <c r="G1266" i="6"/>
  <c r="F1266" i="6"/>
  <c r="D1266" i="6"/>
  <c r="U1266" i="6" s="1"/>
  <c r="C1266" i="6"/>
  <c r="B1266" i="6"/>
  <c r="E1266" i="6" s="1"/>
  <c r="Q1265" i="6"/>
  <c r="N1265" i="6"/>
  <c r="M1265" i="6"/>
  <c r="L1265" i="6"/>
  <c r="K1265" i="6"/>
  <c r="J1265" i="6"/>
  <c r="I1265" i="6"/>
  <c r="P1265" i="6" s="1"/>
  <c r="H1265" i="6"/>
  <c r="G1265" i="6"/>
  <c r="F1265" i="6"/>
  <c r="D1265" i="6"/>
  <c r="U1265" i="6" s="1"/>
  <c r="C1265" i="6"/>
  <c r="B1265" i="6"/>
  <c r="Q1264" i="6"/>
  <c r="P1264" i="6"/>
  <c r="N1264" i="6"/>
  <c r="M1264" i="6"/>
  <c r="L1264" i="6"/>
  <c r="K1264" i="6"/>
  <c r="J1264" i="6"/>
  <c r="I1264" i="6"/>
  <c r="H1264" i="6"/>
  <c r="G1264" i="6"/>
  <c r="F1264" i="6"/>
  <c r="D1264" i="6"/>
  <c r="U1264" i="6" s="1"/>
  <c r="C1264" i="6"/>
  <c r="B1264" i="6"/>
  <c r="E1264" i="6" s="1"/>
  <c r="Q1263" i="6"/>
  <c r="N1263" i="6"/>
  <c r="M1263" i="6"/>
  <c r="L1263" i="6"/>
  <c r="K1263" i="6"/>
  <c r="J1263" i="6"/>
  <c r="I1263" i="6"/>
  <c r="P1263" i="6" s="1"/>
  <c r="H1263" i="6"/>
  <c r="G1263" i="6"/>
  <c r="F1263" i="6"/>
  <c r="D1263" i="6"/>
  <c r="U1263" i="6" s="1"/>
  <c r="C1263" i="6"/>
  <c r="B1263" i="6"/>
  <c r="Q1262" i="6"/>
  <c r="P1262" i="6"/>
  <c r="N1262" i="6"/>
  <c r="M1262" i="6"/>
  <c r="L1262" i="6"/>
  <c r="K1262" i="6"/>
  <c r="J1262" i="6"/>
  <c r="I1262" i="6"/>
  <c r="H1262" i="6"/>
  <c r="G1262" i="6"/>
  <c r="F1262" i="6"/>
  <c r="D1262" i="6"/>
  <c r="U1262" i="6" s="1"/>
  <c r="C1262" i="6"/>
  <c r="B1262" i="6"/>
  <c r="E1262" i="6" s="1"/>
  <c r="Q1261" i="6"/>
  <c r="N1261" i="6"/>
  <c r="M1261" i="6"/>
  <c r="L1261" i="6"/>
  <c r="K1261" i="6"/>
  <c r="J1261" i="6"/>
  <c r="I1261" i="6"/>
  <c r="P1261" i="6" s="1"/>
  <c r="H1261" i="6"/>
  <c r="G1261" i="6"/>
  <c r="F1261" i="6"/>
  <c r="D1261" i="6"/>
  <c r="U1261" i="6" s="1"/>
  <c r="C1261" i="6"/>
  <c r="B1261" i="6"/>
  <c r="Q1260" i="6"/>
  <c r="P1260" i="6"/>
  <c r="N1260" i="6"/>
  <c r="M1260" i="6"/>
  <c r="L1260" i="6"/>
  <c r="K1260" i="6"/>
  <c r="J1260" i="6"/>
  <c r="I1260" i="6"/>
  <c r="H1260" i="6"/>
  <c r="G1260" i="6"/>
  <c r="F1260" i="6"/>
  <c r="D1260" i="6"/>
  <c r="U1260" i="6" s="1"/>
  <c r="C1260" i="6"/>
  <c r="B1260" i="6"/>
  <c r="E1260" i="6" s="1"/>
  <c r="Q1259" i="6"/>
  <c r="N1259" i="6"/>
  <c r="M1259" i="6"/>
  <c r="L1259" i="6"/>
  <c r="K1259" i="6"/>
  <c r="J1259" i="6"/>
  <c r="I1259" i="6"/>
  <c r="P1259" i="6" s="1"/>
  <c r="H1259" i="6"/>
  <c r="G1259" i="6"/>
  <c r="F1259" i="6"/>
  <c r="D1259" i="6"/>
  <c r="U1259" i="6" s="1"/>
  <c r="C1259" i="6"/>
  <c r="B1259" i="6"/>
  <c r="Q1258" i="6"/>
  <c r="P1258" i="6"/>
  <c r="N1258" i="6"/>
  <c r="M1258" i="6"/>
  <c r="L1258" i="6"/>
  <c r="K1258" i="6"/>
  <c r="J1258" i="6"/>
  <c r="I1258" i="6"/>
  <c r="H1258" i="6"/>
  <c r="G1258" i="6"/>
  <c r="F1258" i="6"/>
  <c r="D1258" i="6"/>
  <c r="U1258" i="6" s="1"/>
  <c r="C1258" i="6"/>
  <c r="B1258" i="6"/>
  <c r="E1258" i="6" s="1"/>
  <c r="Q1257" i="6"/>
  <c r="N1257" i="6"/>
  <c r="M1257" i="6"/>
  <c r="L1257" i="6"/>
  <c r="K1257" i="6"/>
  <c r="J1257" i="6"/>
  <c r="I1257" i="6"/>
  <c r="P1257" i="6" s="1"/>
  <c r="H1257" i="6"/>
  <c r="G1257" i="6"/>
  <c r="F1257" i="6"/>
  <c r="D1257" i="6"/>
  <c r="U1257" i="6" s="1"/>
  <c r="C1257" i="6"/>
  <c r="B1257" i="6"/>
  <c r="Q1256" i="6"/>
  <c r="P1256" i="6"/>
  <c r="N1256" i="6"/>
  <c r="M1256" i="6"/>
  <c r="L1256" i="6"/>
  <c r="K1256" i="6"/>
  <c r="J1256" i="6"/>
  <c r="I1256" i="6"/>
  <c r="H1256" i="6"/>
  <c r="G1256" i="6"/>
  <c r="F1256" i="6"/>
  <c r="D1256" i="6"/>
  <c r="U1256" i="6" s="1"/>
  <c r="C1256" i="6"/>
  <c r="B1256" i="6"/>
  <c r="E1256" i="6" s="1"/>
  <c r="Q1255" i="6"/>
  <c r="N1255" i="6"/>
  <c r="M1255" i="6"/>
  <c r="L1255" i="6"/>
  <c r="K1255" i="6"/>
  <c r="J1255" i="6"/>
  <c r="I1255" i="6"/>
  <c r="P1255" i="6" s="1"/>
  <c r="H1255" i="6"/>
  <c r="G1255" i="6"/>
  <c r="F1255" i="6"/>
  <c r="D1255" i="6"/>
  <c r="U1255" i="6" s="1"/>
  <c r="C1255" i="6"/>
  <c r="B1255" i="6"/>
  <c r="Q1254" i="6"/>
  <c r="P1254" i="6"/>
  <c r="N1254" i="6"/>
  <c r="M1254" i="6"/>
  <c r="L1254" i="6"/>
  <c r="K1254" i="6"/>
  <c r="J1254" i="6"/>
  <c r="I1254" i="6"/>
  <c r="H1254" i="6"/>
  <c r="G1254" i="6"/>
  <c r="F1254" i="6"/>
  <c r="D1254" i="6"/>
  <c r="U1254" i="6" s="1"/>
  <c r="C1254" i="6"/>
  <c r="B1254" i="6"/>
  <c r="E1254" i="6" s="1"/>
  <c r="Q1253" i="6"/>
  <c r="N1253" i="6"/>
  <c r="M1253" i="6"/>
  <c r="L1253" i="6"/>
  <c r="K1253" i="6"/>
  <c r="J1253" i="6"/>
  <c r="I1253" i="6"/>
  <c r="P1253" i="6" s="1"/>
  <c r="H1253" i="6"/>
  <c r="G1253" i="6"/>
  <c r="F1253" i="6"/>
  <c r="D1253" i="6"/>
  <c r="U1253" i="6" s="1"/>
  <c r="C1253" i="6"/>
  <c r="B1253" i="6"/>
  <c r="Q1252" i="6"/>
  <c r="P1252" i="6"/>
  <c r="N1252" i="6"/>
  <c r="M1252" i="6"/>
  <c r="L1252" i="6"/>
  <c r="K1252" i="6"/>
  <c r="J1252" i="6"/>
  <c r="I1252" i="6"/>
  <c r="H1252" i="6"/>
  <c r="G1252" i="6"/>
  <c r="F1252" i="6"/>
  <c r="D1252" i="6"/>
  <c r="U1252" i="6" s="1"/>
  <c r="C1252" i="6"/>
  <c r="B1252" i="6"/>
  <c r="E1252" i="6" s="1"/>
  <c r="Q1251" i="6"/>
  <c r="N1251" i="6"/>
  <c r="M1251" i="6"/>
  <c r="L1251" i="6"/>
  <c r="K1251" i="6"/>
  <c r="J1251" i="6"/>
  <c r="I1251" i="6"/>
  <c r="P1251" i="6" s="1"/>
  <c r="H1251" i="6"/>
  <c r="G1251" i="6"/>
  <c r="F1251" i="6"/>
  <c r="D1251" i="6"/>
  <c r="U1251" i="6" s="1"/>
  <c r="C1251" i="6"/>
  <c r="B1251" i="6"/>
  <c r="Q1250" i="6"/>
  <c r="P1250" i="6"/>
  <c r="N1250" i="6"/>
  <c r="M1250" i="6"/>
  <c r="L1250" i="6"/>
  <c r="K1250" i="6"/>
  <c r="J1250" i="6"/>
  <c r="I1250" i="6"/>
  <c r="H1250" i="6"/>
  <c r="G1250" i="6"/>
  <c r="F1250" i="6"/>
  <c r="D1250" i="6"/>
  <c r="U1250" i="6" s="1"/>
  <c r="C1250" i="6"/>
  <c r="B1250" i="6"/>
  <c r="E1250" i="6" s="1"/>
  <c r="Q1249" i="6"/>
  <c r="N1249" i="6"/>
  <c r="M1249" i="6"/>
  <c r="L1249" i="6"/>
  <c r="K1249" i="6"/>
  <c r="J1249" i="6"/>
  <c r="I1249" i="6"/>
  <c r="P1249" i="6" s="1"/>
  <c r="H1249" i="6"/>
  <c r="G1249" i="6"/>
  <c r="F1249" i="6"/>
  <c r="D1249" i="6"/>
  <c r="U1249" i="6" s="1"/>
  <c r="C1249" i="6"/>
  <c r="B1249" i="6"/>
  <c r="Q1248" i="6"/>
  <c r="P1248" i="6"/>
  <c r="N1248" i="6"/>
  <c r="M1248" i="6"/>
  <c r="L1248" i="6"/>
  <c r="K1248" i="6"/>
  <c r="J1248" i="6"/>
  <c r="I1248" i="6"/>
  <c r="H1248" i="6"/>
  <c r="G1248" i="6"/>
  <c r="F1248" i="6"/>
  <c r="D1248" i="6"/>
  <c r="U1248" i="6" s="1"/>
  <c r="C1248" i="6"/>
  <c r="B1248" i="6"/>
  <c r="E1248" i="6" s="1"/>
  <c r="Q1247" i="6"/>
  <c r="N1247" i="6"/>
  <c r="M1247" i="6"/>
  <c r="L1247" i="6"/>
  <c r="K1247" i="6"/>
  <c r="J1247" i="6"/>
  <c r="I1247" i="6"/>
  <c r="P1247" i="6" s="1"/>
  <c r="H1247" i="6"/>
  <c r="G1247" i="6"/>
  <c r="F1247" i="6"/>
  <c r="D1247" i="6"/>
  <c r="U1247" i="6" s="1"/>
  <c r="C1247" i="6"/>
  <c r="B1247" i="6"/>
  <c r="Q1246" i="6"/>
  <c r="P1246" i="6"/>
  <c r="N1246" i="6"/>
  <c r="M1246" i="6"/>
  <c r="L1246" i="6"/>
  <c r="K1246" i="6"/>
  <c r="J1246" i="6"/>
  <c r="I1246" i="6"/>
  <c r="H1246" i="6"/>
  <c r="G1246" i="6"/>
  <c r="F1246" i="6"/>
  <c r="D1246" i="6"/>
  <c r="U1246" i="6" s="1"/>
  <c r="C1246" i="6"/>
  <c r="B1246" i="6"/>
  <c r="E1246" i="6" s="1"/>
  <c r="Q1245" i="6"/>
  <c r="N1245" i="6"/>
  <c r="M1245" i="6"/>
  <c r="L1245" i="6"/>
  <c r="K1245" i="6"/>
  <c r="J1245" i="6"/>
  <c r="I1245" i="6"/>
  <c r="P1245" i="6" s="1"/>
  <c r="H1245" i="6"/>
  <c r="G1245" i="6"/>
  <c r="F1245" i="6"/>
  <c r="D1245" i="6"/>
  <c r="U1245" i="6" s="1"/>
  <c r="C1245" i="6"/>
  <c r="B1245" i="6"/>
  <c r="Q1244" i="6"/>
  <c r="P1244" i="6"/>
  <c r="N1244" i="6"/>
  <c r="M1244" i="6"/>
  <c r="L1244" i="6"/>
  <c r="K1244" i="6"/>
  <c r="J1244" i="6"/>
  <c r="I1244" i="6"/>
  <c r="H1244" i="6"/>
  <c r="G1244" i="6"/>
  <c r="F1244" i="6"/>
  <c r="D1244" i="6"/>
  <c r="U1244" i="6" s="1"/>
  <c r="C1244" i="6"/>
  <c r="B1244" i="6"/>
  <c r="E1244" i="6" s="1"/>
  <c r="Q1243" i="6"/>
  <c r="N1243" i="6"/>
  <c r="M1243" i="6"/>
  <c r="L1243" i="6"/>
  <c r="K1243" i="6"/>
  <c r="J1243" i="6"/>
  <c r="I1243" i="6"/>
  <c r="P1243" i="6" s="1"/>
  <c r="H1243" i="6"/>
  <c r="G1243" i="6"/>
  <c r="F1243" i="6"/>
  <c r="D1243" i="6"/>
  <c r="U1243" i="6" s="1"/>
  <c r="C1243" i="6"/>
  <c r="B1243" i="6"/>
  <c r="Q1242" i="6"/>
  <c r="P1242" i="6"/>
  <c r="N1242" i="6"/>
  <c r="M1242" i="6"/>
  <c r="L1242" i="6"/>
  <c r="K1242" i="6"/>
  <c r="J1242" i="6"/>
  <c r="I1242" i="6"/>
  <c r="H1242" i="6"/>
  <c r="G1242" i="6"/>
  <c r="F1242" i="6"/>
  <c r="D1242" i="6"/>
  <c r="U1242" i="6" s="1"/>
  <c r="C1242" i="6"/>
  <c r="B1242" i="6"/>
  <c r="E1242" i="6" s="1"/>
  <c r="Q1241" i="6"/>
  <c r="N1241" i="6"/>
  <c r="M1241" i="6"/>
  <c r="L1241" i="6"/>
  <c r="K1241" i="6"/>
  <c r="J1241" i="6"/>
  <c r="I1241" i="6"/>
  <c r="P1241" i="6" s="1"/>
  <c r="H1241" i="6"/>
  <c r="G1241" i="6"/>
  <c r="F1241" i="6"/>
  <c r="D1241" i="6"/>
  <c r="U1241" i="6" s="1"/>
  <c r="C1241" i="6"/>
  <c r="B1241" i="6"/>
  <c r="Q1240" i="6"/>
  <c r="P1240" i="6"/>
  <c r="N1240" i="6"/>
  <c r="M1240" i="6"/>
  <c r="L1240" i="6"/>
  <c r="K1240" i="6"/>
  <c r="J1240" i="6"/>
  <c r="I1240" i="6"/>
  <c r="H1240" i="6"/>
  <c r="G1240" i="6"/>
  <c r="F1240" i="6"/>
  <c r="D1240" i="6"/>
  <c r="U1240" i="6" s="1"/>
  <c r="C1240" i="6"/>
  <c r="B1240" i="6"/>
  <c r="E1240" i="6" s="1"/>
  <c r="Q1239" i="6"/>
  <c r="N1239" i="6"/>
  <c r="M1239" i="6"/>
  <c r="L1239" i="6"/>
  <c r="K1239" i="6"/>
  <c r="J1239" i="6"/>
  <c r="I1239" i="6"/>
  <c r="P1239" i="6" s="1"/>
  <c r="H1239" i="6"/>
  <c r="G1239" i="6"/>
  <c r="F1239" i="6"/>
  <c r="D1239" i="6"/>
  <c r="U1239" i="6" s="1"/>
  <c r="C1239" i="6"/>
  <c r="B1239" i="6"/>
  <c r="Q1238" i="6"/>
  <c r="P1238" i="6"/>
  <c r="N1238" i="6"/>
  <c r="M1238" i="6"/>
  <c r="L1238" i="6"/>
  <c r="K1238" i="6"/>
  <c r="J1238" i="6"/>
  <c r="I1238" i="6"/>
  <c r="H1238" i="6"/>
  <c r="G1238" i="6"/>
  <c r="F1238" i="6"/>
  <c r="D1238" i="6"/>
  <c r="U1238" i="6" s="1"/>
  <c r="C1238" i="6"/>
  <c r="B1238" i="6"/>
  <c r="E1238" i="6" s="1"/>
  <c r="Q1237" i="6"/>
  <c r="N1237" i="6"/>
  <c r="M1237" i="6"/>
  <c r="L1237" i="6"/>
  <c r="K1237" i="6"/>
  <c r="J1237" i="6"/>
  <c r="I1237" i="6"/>
  <c r="P1237" i="6" s="1"/>
  <c r="H1237" i="6"/>
  <c r="G1237" i="6"/>
  <c r="F1237" i="6"/>
  <c r="D1237" i="6"/>
  <c r="U1237" i="6" s="1"/>
  <c r="C1237" i="6"/>
  <c r="B1237" i="6"/>
  <c r="Q1236" i="6"/>
  <c r="P1236" i="6"/>
  <c r="N1236" i="6"/>
  <c r="M1236" i="6"/>
  <c r="L1236" i="6"/>
  <c r="K1236" i="6"/>
  <c r="J1236" i="6"/>
  <c r="I1236" i="6"/>
  <c r="H1236" i="6"/>
  <c r="G1236" i="6"/>
  <c r="F1236" i="6"/>
  <c r="D1236" i="6"/>
  <c r="U1236" i="6" s="1"/>
  <c r="C1236" i="6"/>
  <c r="B1236" i="6"/>
  <c r="E1236" i="6" s="1"/>
  <c r="Q1235" i="6"/>
  <c r="N1235" i="6"/>
  <c r="M1235" i="6"/>
  <c r="L1235" i="6"/>
  <c r="K1235" i="6"/>
  <c r="J1235" i="6"/>
  <c r="I1235" i="6"/>
  <c r="P1235" i="6" s="1"/>
  <c r="H1235" i="6"/>
  <c r="G1235" i="6"/>
  <c r="F1235" i="6"/>
  <c r="D1235" i="6"/>
  <c r="U1235" i="6" s="1"/>
  <c r="C1235" i="6"/>
  <c r="B1235" i="6"/>
  <c r="Q1234" i="6"/>
  <c r="P1234" i="6"/>
  <c r="N1234" i="6"/>
  <c r="M1234" i="6"/>
  <c r="L1234" i="6"/>
  <c r="K1234" i="6"/>
  <c r="J1234" i="6"/>
  <c r="I1234" i="6"/>
  <c r="H1234" i="6"/>
  <c r="G1234" i="6"/>
  <c r="F1234" i="6"/>
  <c r="D1234" i="6"/>
  <c r="U1234" i="6" s="1"/>
  <c r="C1234" i="6"/>
  <c r="B1234" i="6"/>
  <c r="E1234" i="6" s="1"/>
  <c r="Q1233" i="6"/>
  <c r="N1233" i="6"/>
  <c r="M1233" i="6"/>
  <c r="L1233" i="6"/>
  <c r="K1233" i="6"/>
  <c r="J1233" i="6"/>
  <c r="I1233" i="6"/>
  <c r="P1233" i="6" s="1"/>
  <c r="H1233" i="6"/>
  <c r="G1233" i="6"/>
  <c r="F1233" i="6"/>
  <c r="D1233" i="6"/>
  <c r="U1233" i="6" s="1"/>
  <c r="C1233" i="6"/>
  <c r="B1233" i="6"/>
  <c r="Q1232" i="6"/>
  <c r="P1232" i="6"/>
  <c r="N1232" i="6"/>
  <c r="M1232" i="6"/>
  <c r="L1232" i="6"/>
  <c r="K1232" i="6"/>
  <c r="J1232" i="6"/>
  <c r="I1232" i="6"/>
  <c r="H1232" i="6"/>
  <c r="G1232" i="6"/>
  <c r="F1232" i="6"/>
  <c r="D1232" i="6"/>
  <c r="U1232" i="6" s="1"/>
  <c r="C1232" i="6"/>
  <c r="B1232" i="6"/>
  <c r="E1232" i="6" s="1"/>
  <c r="Q1231" i="6"/>
  <c r="N1231" i="6"/>
  <c r="M1231" i="6"/>
  <c r="L1231" i="6"/>
  <c r="K1231" i="6"/>
  <c r="J1231" i="6"/>
  <c r="I1231" i="6"/>
  <c r="P1231" i="6" s="1"/>
  <c r="H1231" i="6"/>
  <c r="G1231" i="6"/>
  <c r="F1231" i="6"/>
  <c r="D1231" i="6"/>
  <c r="U1231" i="6" s="1"/>
  <c r="C1231" i="6"/>
  <c r="B1231" i="6"/>
  <c r="Q1230" i="6"/>
  <c r="P1230" i="6"/>
  <c r="N1230" i="6"/>
  <c r="M1230" i="6"/>
  <c r="L1230" i="6"/>
  <c r="K1230" i="6"/>
  <c r="J1230" i="6"/>
  <c r="I1230" i="6"/>
  <c r="H1230" i="6"/>
  <c r="G1230" i="6"/>
  <c r="F1230" i="6"/>
  <c r="D1230" i="6"/>
  <c r="U1230" i="6" s="1"/>
  <c r="C1230" i="6"/>
  <c r="B1230" i="6"/>
  <c r="E1230" i="6" s="1"/>
  <c r="Q1229" i="6"/>
  <c r="N1229" i="6"/>
  <c r="M1229" i="6"/>
  <c r="L1229" i="6"/>
  <c r="K1229" i="6"/>
  <c r="J1229" i="6"/>
  <c r="I1229" i="6"/>
  <c r="P1229" i="6" s="1"/>
  <c r="H1229" i="6"/>
  <c r="G1229" i="6"/>
  <c r="F1229" i="6"/>
  <c r="D1229" i="6"/>
  <c r="U1229" i="6" s="1"/>
  <c r="C1229" i="6"/>
  <c r="B1229" i="6"/>
  <c r="Q1228" i="6"/>
  <c r="P1228" i="6"/>
  <c r="N1228" i="6"/>
  <c r="M1228" i="6"/>
  <c r="L1228" i="6"/>
  <c r="K1228" i="6"/>
  <c r="J1228" i="6"/>
  <c r="I1228" i="6"/>
  <c r="H1228" i="6"/>
  <c r="G1228" i="6"/>
  <c r="F1228" i="6"/>
  <c r="D1228" i="6"/>
  <c r="U1228" i="6" s="1"/>
  <c r="C1228" i="6"/>
  <c r="B1228" i="6"/>
  <c r="E1228" i="6" s="1"/>
  <c r="Q1227" i="6"/>
  <c r="N1227" i="6"/>
  <c r="M1227" i="6"/>
  <c r="L1227" i="6"/>
  <c r="K1227" i="6"/>
  <c r="J1227" i="6"/>
  <c r="I1227" i="6"/>
  <c r="P1227" i="6" s="1"/>
  <c r="H1227" i="6"/>
  <c r="G1227" i="6"/>
  <c r="F1227" i="6"/>
  <c r="D1227" i="6"/>
  <c r="U1227" i="6" s="1"/>
  <c r="C1227" i="6"/>
  <c r="B1227" i="6"/>
  <c r="Q1226" i="6"/>
  <c r="P1226" i="6"/>
  <c r="N1226" i="6"/>
  <c r="M1226" i="6"/>
  <c r="L1226" i="6"/>
  <c r="K1226" i="6"/>
  <c r="J1226" i="6"/>
  <c r="I1226" i="6"/>
  <c r="H1226" i="6"/>
  <c r="G1226" i="6"/>
  <c r="F1226" i="6"/>
  <c r="D1226" i="6"/>
  <c r="U1226" i="6" s="1"/>
  <c r="C1226" i="6"/>
  <c r="B1226" i="6"/>
  <c r="E1226" i="6" s="1"/>
  <c r="Q1225" i="6"/>
  <c r="N1225" i="6"/>
  <c r="M1225" i="6"/>
  <c r="L1225" i="6"/>
  <c r="K1225" i="6"/>
  <c r="J1225" i="6"/>
  <c r="I1225" i="6"/>
  <c r="P1225" i="6" s="1"/>
  <c r="H1225" i="6"/>
  <c r="G1225" i="6"/>
  <c r="F1225" i="6"/>
  <c r="D1225" i="6"/>
  <c r="U1225" i="6" s="1"/>
  <c r="C1225" i="6"/>
  <c r="B1225" i="6"/>
  <c r="Q1224" i="6"/>
  <c r="P1224" i="6"/>
  <c r="N1224" i="6"/>
  <c r="M1224" i="6"/>
  <c r="L1224" i="6"/>
  <c r="K1224" i="6"/>
  <c r="J1224" i="6"/>
  <c r="I1224" i="6"/>
  <c r="H1224" i="6"/>
  <c r="G1224" i="6"/>
  <c r="F1224" i="6"/>
  <c r="D1224" i="6"/>
  <c r="U1224" i="6" s="1"/>
  <c r="C1224" i="6"/>
  <c r="B1224" i="6"/>
  <c r="E1224" i="6" s="1"/>
  <c r="Q1223" i="6"/>
  <c r="N1223" i="6"/>
  <c r="M1223" i="6"/>
  <c r="L1223" i="6"/>
  <c r="K1223" i="6"/>
  <c r="J1223" i="6"/>
  <c r="I1223" i="6"/>
  <c r="P1223" i="6" s="1"/>
  <c r="H1223" i="6"/>
  <c r="G1223" i="6"/>
  <c r="F1223" i="6"/>
  <c r="D1223" i="6"/>
  <c r="U1223" i="6" s="1"/>
  <c r="C1223" i="6"/>
  <c r="B1223" i="6"/>
  <c r="Q1222" i="6"/>
  <c r="P1222" i="6"/>
  <c r="N1222" i="6"/>
  <c r="M1222" i="6"/>
  <c r="L1222" i="6"/>
  <c r="K1222" i="6"/>
  <c r="J1222" i="6"/>
  <c r="I1222" i="6"/>
  <c r="H1222" i="6"/>
  <c r="G1222" i="6"/>
  <c r="F1222" i="6"/>
  <c r="D1222" i="6"/>
  <c r="U1222" i="6" s="1"/>
  <c r="C1222" i="6"/>
  <c r="B1222" i="6"/>
  <c r="E1222" i="6" s="1"/>
  <c r="Q1221" i="6"/>
  <c r="N1221" i="6"/>
  <c r="M1221" i="6"/>
  <c r="L1221" i="6"/>
  <c r="K1221" i="6"/>
  <c r="J1221" i="6"/>
  <c r="I1221" i="6"/>
  <c r="P1221" i="6" s="1"/>
  <c r="H1221" i="6"/>
  <c r="G1221" i="6"/>
  <c r="F1221" i="6"/>
  <c r="D1221" i="6"/>
  <c r="U1221" i="6" s="1"/>
  <c r="C1221" i="6"/>
  <c r="B1221" i="6"/>
  <c r="Q1220" i="6"/>
  <c r="P1220" i="6"/>
  <c r="N1220" i="6"/>
  <c r="M1220" i="6"/>
  <c r="L1220" i="6"/>
  <c r="K1220" i="6"/>
  <c r="J1220" i="6"/>
  <c r="I1220" i="6"/>
  <c r="H1220" i="6"/>
  <c r="G1220" i="6"/>
  <c r="F1220" i="6"/>
  <c r="D1220" i="6"/>
  <c r="U1220" i="6" s="1"/>
  <c r="C1220" i="6"/>
  <c r="B1220" i="6"/>
  <c r="E1220" i="6" s="1"/>
  <c r="Q1219" i="6"/>
  <c r="N1219" i="6"/>
  <c r="M1219" i="6"/>
  <c r="L1219" i="6"/>
  <c r="K1219" i="6"/>
  <c r="J1219" i="6"/>
  <c r="I1219" i="6"/>
  <c r="P1219" i="6" s="1"/>
  <c r="H1219" i="6"/>
  <c r="G1219" i="6"/>
  <c r="F1219" i="6"/>
  <c r="D1219" i="6"/>
  <c r="U1219" i="6" s="1"/>
  <c r="C1219" i="6"/>
  <c r="B1219" i="6"/>
  <c r="Q1218" i="6"/>
  <c r="P1218" i="6"/>
  <c r="N1218" i="6"/>
  <c r="M1218" i="6"/>
  <c r="L1218" i="6"/>
  <c r="K1218" i="6"/>
  <c r="J1218" i="6"/>
  <c r="I1218" i="6"/>
  <c r="H1218" i="6"/>
  <c r="G1218" i="6"/>
  <c r="F1218" i="6"/>
  <c r="D1218" i="6"/>
  <c r="U1218" i="6" s="1"/>
  <c r="C1218" i="6"/>
  <c r="B1218" i="6"/>
  <c r="E1218" i="6" s="1"/>
  <c r="Q1217" i="6"/>
  <c r="N1217" i="6"/>
  <c r="M1217" i="6"/>
  <c r="L1217" i="6"/>
  <c r="K1217" i="6"/>
  <c r="J1217" i="6"/>
  <c r="I1217" i="6"/>
  <c r="P1217" i="6" s="1"/>
  <c r="H1217" i="6"/>
  <c r="G1217" i="6"/>
  <c r="F1217" i="6"/>
  <c r="D1217" i="6"/>
  <c r="U1217" i="6" s="1"/>
  <c r="C1217" i="6"/>
  <c r="B1217" i="6"/>
  <c r="Q1216" i="6"/>
  <c r="P1216" i="6"/>
  <c r="N1216" i="6"/>
  <c r="M1216" i="6"/>
  <c r="L1216" i="6"/>
  <c r="K1216" i="6"/>
  <c r="J1216" i="6"/>
  <c r="I1216" i="6"/>
  <c r="H1216" i="6"/>
  <c r="G1216" i="6"/>
  <c r="F1216" i="6"/>
  <c r="D1216" i="6"/>
  <c r="U1216" i="6" s="1"/>
  <c r="C1216" i="6"/>
  <c r="B1216" i="6"/>
  <c r="E1216" i="6" s="1"/>
  <c r="Q1215" i="6"/>
  <c r="N1215" i="6"/>
  <c r="M1215" i="6"/>
  <c r="L1215" i="6"/>
  <c r="K1215" i="6"/>
  <c r="J1215" i="6"/>
  <c r="I1215" i="6"/>
  <c r="P1215" i="6" s="1"/>
  <c r="H1215" i="6"/>
  <c r="G1215" i="6"/>
  <c r="F1215" i="6"/>
  <c r="D1215" i="6"/>
  <c r="U1215" i="6" s="1"/>
  <c r="C1215" i="6"/>
  <c r="B1215" i="6"/>
  <c r="Q1214" i="6"/>
  <c r="P1214" i="6"/>
  <c r="N1214" i="6"/>
  <c r="M1214" i="6"/>
  <c r="L1214" i="6"/>
  <c r="K1214" i="6"/>
  <c r="J1214" i="6"/>
  <c r="I1214" i="6"/>
  <c r="H1214" i="6"/>
  <c r="G1214" i="6"/>
  <c r="F1214" i="6"/>
  <c r="D1214" i="6"/>
  <c r="U1214" i="6" s="1"/>
  <c r="C1214" i="6"/>
  <c r="B1214" i="6"/>
  <c r="E1214" i="6" s="1"/>
  <c r="Q1213" i="6"/>
  <c r="N1213" i="6"/>
  <c r="M1213" i="6"/>
  <c r="L1213" i="6"/>
  <c r="K1213" i="6"/>
  <c r="J1213" i="6"/>
  <c r="I1213" i="6"/>
  <c r="P1213" i="6" s="1"/>
  <c r="H1213" i="6"/>
  <c r="G1213" i="6"/>
  <c r="F1213" i="6"/>
  <c r="D1213" i="6"/>
  <c r="U1213" i="6" s="1"/>
  <c r="C1213" i="6"/>
  <c r="B1213" i="6"/>
  <c r="Q1212" i="6"/>
  <c r="P1212" i="6"/>
  <c r="N1212" i="6"/>
  <c r="M1212" i="6"/>
  <c r="L1212" i="6"/>
  <c r="K1212" i="6"/>
  <c r="J1212" i="6"/>
  <c r="I1212" i="6"/>
  <c r="H1212" i="6"/>
  <c r="G1212" i="6"/>
  <c r="F1212" i="6"/>
  <c r="D1212" i="6"/>
  <c r="U1212" i="6" s="1"/>
  <c r="C1212" i="6"/>
  <c r="B1212" i="6"/>
  <c r="E1212" i="6" s="1"/>
  <c r="Q1211" i="6"/>
  <c r="N1211" i="6"/>
  <c r="M1211" i="6"/>
  <c r="L1211" i="6"/>
  <c r="K1211" i="6"/>
  <c r="J1211" i="6"/>
  <c r="I1211" i="6"/>
  <c r="P1211" i="6" s="1"/>
  <c r="H1211" i="6"/>
  <c r="G1211" i="6"/>
  <c r="F1211" i="6"/>
  <c r="D1211" i="6"/>
  <c r="U1211" i="6" s="1"/>
  <c r="C1211" i="6"/>
  <c r="B1211" i="6"/>
  <c r="Q1210" i="6"/>
  <c r="P1210" i="6"/>
  <c r="N1210" i="6"/>
  <c r="M1210" i="6"/>
  <c r="L1210" i="6"/>
  <c r="K1210" i="6"/>
  <c r="J1210" i="6"/>
  <c r="I1210" i="6"/>
  <c r="H1210" i="6"/>
  <c r="G1210" i="6"/>
  <c r="F1210" i="6"/>
  <c r="D1210" i="6"/>
  <c r="U1210" i="6" s="1"/>
  <c r="C1210" i="6"/>
  <c r="B1210" i="6"/>
  <c r="E1210" i="6" s="1"/>
  <c r="Q1209" i="6"/>
  <c r="N1209" i="6"/>
  <c r="M1209" i="6"/>
  <c r="L1209" i="6"/>
  <c r="K1209" i="6"/>
  <c r="J1209" i="6"/>
  <c r="I1209" i="6"/>
  <c r="P1209" i="6" s="1"/>
  <c r="H1209" i="6"/>
  <c r="G1209" i="6"/>
  <c r="F1209" i="6"/>
  <c r="D1209" i="6"/>
  <c r="U1209" i="6" s="1"/>
  <c r="C1209" i="6"/>
  <c r="B1209" i="6"/>
  <c r="Q1208" i="6"/>
  <c r="P1208" i="6"/>
  <c r="N1208" i="6"/>
  <c r="M1208" i="6"/>
  <c r="L1208" i="6"/>
  <c r="K1208" i="6"/>
  <c r="J1208" i="6"/>
  <c r="I1208" i="6"/>
  <c r="H1208" i="6"/>
  <c r="G1208" i="6"/>
  <c r="F1208" i="6"/>
  <c r="D1208" i="6"/>
  <c r="U1208" i="6" s="1"/>
  <c r="C1208" i="6"/>
  <c r="B1208" i="6"/>
  <c r="E1208" i="6" s="1"/>
  <c r="Q1207" i="6"/>
  <c r="N1207" i="6"/>
  <c r="M1207" i="6"/>
  <c r="L1207" i="6"/>
  <c r="K1207" i="6"/>
  <c r="J1207" i="6"/>
  <c r="I1207" i="6"/>
  <c r="P1207" i="6" s="1"/>
  <c r="H1207" i="6"/>
  <c r="G1207" i="6"/>
  <c r="F1207" i="6"/>
  <c r="D1207" i="6"/>
  <c r="U1207" i="6" s="1"/>
  <c r="C1207" i="6"/>
  <c r="B1207" i="6"/>
  <c r="Q1206" i="6"/>
  <c r="P1206" i="6"/>
  <c r="N1206" i="6"/>
  <c r="M1206" i="6"/>
  <c r="L1206" i="6"/>
  <c r="K1206" i="6"/>
  <c r="J1206" i="6"/>
  <c r="I1206" i="6"/>
  <c r="H1206" i="6"/>
  <c r="G1206" i="6"/>
  <c r="F1206" i="6"/>
  <c r="D1206" i="6"/>
  <c r="U1206" i="6" s="1"/>
  <c r="C1206" i="6"/>
  <c r="B1206" i="6"/>
  <c r="E1206" i="6" s="1"/>
  <c r="Q1205" i="6"/>
  <c r="N1205" i="6"/>
  <c r="M1205" i="6"/>
  <c r="L1205" i="6"/>
  <c r="K1205" i="6"/>
  <c r="J1205" i="6"/>
  <c r="I1205" i="6"/>
  <c r="P1205" i="6" s="1"/>
  <c r="H1205" i="6"/>
  <c r="G1205" i="6"/>
  <c r="F1205" i="6"/>
  <c r="D1205" i="6"/>
  <c r="U1205" i="6" s="1"/>
  <c r="C1205" i="6"/>
  <c r="B1205" i="6"/>
  <c r="Q1204" i="6"/>
  <c r="P1204" i="6"/>
  <c r="N1204" i="6"/>
  <c r="M1204" i="6"/>
  <c r="L1204" i="6"/>
  <c r="K1204" i="6"/>
  <c r="J1204" i="6"/>
  <c r="I1204" i="6"/>
  <c r="H1204" i="6"/>
  <c r="G1204" i="6"/>
  <c r="F1204" i="6"/>
  <c r="D1204" i="6"/>
  <c r="U1204" i="6" s="1"/>
  <c r="C1204" i="6"/>
  <c r="B1204" i="6"/>
  <c r="E1204" i="6" s="1"/>
  <c r="Q1203" i="6"/>
  <c r="N1203" i="6"/>
  <c r="M1203" i="6"/>
  <c r="L1203" i="6"/>
  <c r="K1203" i="6"/>
  <c r="J1203" i="6"/>
  <c r="I1203" i="6"/>
  <c r="P1203" i="6" s="1"/>
  <c r="H1203" i="6"/>
  <c r="G1203" i="6"/>
  <c r="F1203" i="6"/>
  <c r="D1203" i="6"/>
  <c r="U1203" i="6" s="1"/>
  <c r="C1203" i="6"/>
  <c r="B1203" i="6"/>
  <c r="Q1202" i="6"/>
  <c r="P1202" i="6"/>
  <c r="N1202" i="6"/>
  <c r="M1202" i="6"/>
  <c r="L1202" i="6"/>
  <c r="K1202" i="6"/>
  <c r="J1202" i="6"/>
  <c r="I1202" i="6"/>
  <c r="H1202" i="6"/>
  <c r="G1202" i="6"/>
  <c r="F1202" i="6"/>
  <c r="D1202" i="6"/>
  <c r="U1202" i="6" s="1"/>
  <c r="C1202" i="6"/>
  <c r="B1202" i="6"/>
  <c r="E1202" i="6" s="1"/>
  <c r="Q1201" i="6"/>
  <c r="N1201" i="6"/>
  <c r="M1201" i="6"/>
  <c r="L1201" i="6"/>
  <c r="K1201" i="6"/>
  <c r="J1201" i="6"/>
  <c r="I1201" i="6"/>
  <c r="P1201" i="6" s="1"/>
  <c r="H1201" i="6"/>
  <c r="G1201" i="6"/>
  <c r="F1201" i="6"/>
  <c r="D1201" i="6"/>
  <c r="U1201" i="6" s="1"/>
  <c r="C1201" i="6"/>
  <c r="B1201" i="6"/>
  <c r="Q1200" i="6"/>
  <c r="P1200" i="6"/>
  <c r="N1200" i="6"/>
  <c r="M1200" i="6"/>
  <c r="L1200" i="6"/>
  <c r="K1200" i="6"/>
  <c r="J1200" i="6"/>
  <c r="I1200" i="6"/>
  <c r="H1200" i="6"/>
  <c r="G1200" i="6"/>
  <c r="F1200" i="6"/>
  <c r="D1200" i="6"/>
  <c r="U1200" i="6" s="1"/>
  <c r="C1200" i="6"/>
  <c r="B1200" i="6"/>
  <c r="E1200" i="6" s="1"/>
  <c r="Q1199" i="6"/>
  <c r="N1199" i="6"/>
  <c r="M1199" i="6"/>
  <c r="L1199" i="6"/>
  <c r="K1199" i="6"/>
  <c r="J1199" i="6"/>
  <c r="I1199" i="6"/>
  <c r="P1199" i="6" s="1"/>
  <c r="H1199" i="6"/>
  <c r="G1199" i="6"/>
  <c r="F1199" i="6"/>
  <c r="D1199" i="6"/>
  <c r="U1199" i="6" s="1"/>
  <c r="C1199" i="6"/>
  <c r="B1199" i="6"/>
  <c r="Q1198" i="6"/>
  <c r="P1198" i="6"/>
  <c r="N1198" i="6"/>
  <c r="M1198" i="6"/>
  <c r="L1198" i="6"/>
  <c r="K1198" i="6"/>
  <c r="J1198" i="6"/>
  <c r="I1198" i="6"/>
  <c r="H1198" i="6"/>
  <c r="G1198" i="6"/>
  <c r="F1198" i="6"/>
  <c r="D1198" i="6"/>
  <c r="U1198" i="6" s="1"/>
  <c r="C1198" i="6"/>
  <c r="B1198" i="6"/>
  <c r="E1198" i="6" s="1"/>
  <c r="Q1197" i="6"/>
  <c r="N1197" i="6"/>
  <c r="M1197" i="6"/>
  <c r="L1197" i="6"/>
  <c r="K1197" i="6"/>
  <c r="J1197" i="6"/>
  <c r="I1197" i="6"/>
  <c r="P1197" i="6" s="1"/>
  <c r="H1197" i="6"/>
  <c r="G1197" i="6"/>
  <c r="F1197" i="6"/>
  <c r="D1197" i="6"/>
  <c r="U1197" i="6" s="1"/>
  <c r="C1197" i="6"/>
  <c r="B1197" i="6"/>
  <c r="Q1196" i="6"/>
  <c r="P1196" i="6"/>
  <c r="N1196" i="6"/>
  <c r="M1196" i="6"/>
  <c r="L1196" i="6"/>
  <c r="K1196" i="6"/>
  <c r="J1196" i="6"/>
  <c r="I1196" i="6"/>
  <c r="H1196" i="6"/>
  <c r="G1196" i="6"/>
  <c r="F1196" i="6"/>
  <c r="D1196" i="6"/>
  <c r="U1196" i="6" s="1"/>
  <c r="C1196" i="6"/>
  <c r="B1196" i="6"/>
  <c r="E1196" i="6" s="1"/>
  <c r="Q1195" i="6"/>
  <c r="N1195" i="6"/>
  <c r="M1195" i="6"/>
  <c r="L1195" i="6"/>
  <c r="K1195" i="6"/>
  <c r="J1195" i="6"/>
  <c r="I1195" i="6"/>
  <c r="P1195" i="6" s="1"/>
  <c r="H1195" i="6"/>
  <c r="G1195" i="6"/>
  <c r="F1195" i="6"/>
  <c r="D1195" i="6"/>
  <c r="U1195" i="6" s="1"/>
  <c r="C1195" i="6"/>
  <c r="B1195" i="6"/>
  <c r="Q1194" i="6"/>
  <c r="P1194" i="6"/>
  <c r="N1194" i="6"/>
  <c r="M1194" i="6"/>
  <c r="L1194" i="6"/>
  <c r="K1194" i="6"/>
  <c r="J1194" i="6"/>
  <c r="I1194" i="6"/>
  <c r="H1194" i="6"/>
  <c r="G1194" i="6"/>
  <c r="F1194" i="6"/>
  <c r="D1194" i="6"/>
  <c r="U1194" i="6" s="1"/>
  <c r="C1194" i="6"/>
  <c r="B1194" i="6"/>
  <c r="E1194" i="6" s="1"/>
  <c r="Q1193" i="6"/>
  <c r="N1193" i="6"/>
  <c r="M1193" i="6"/>
  <c r="L1193" i="6"/>
  <c r="K1193" i="6"/>
  <c r="J1193" i="6"/>
  <c r="I1193" i="6"/>
  <c r="P1193" i="6" s="1"/>
  <c r="H1193" i="6"/>
  <c r="G1193" i="6"/>
  <c r="F1193" i="6"/>
  <c r="D1193" i="6"/>
  <c r="U1193" i="6" s="1"/>
  <c r="C1193" i="6"/>
  <c r="B1193" i="6"/>
  <c r="Q1192" i="6"/>
  <c r="P1192" i="6"/>
  <c r="N1192" i="6"/>
  <c r="M1192" i="6"/>
  <c r="L1192" i="6"/>
  <c r="K1192" i="6"/>
  <c r="J1192" i="6"/>
  <c r="I1192" i="6"/>
  <c r="H1192" i="6"/>
  <c r="G1192" i="6"/>
  <c r="F1192" i="6"/>
  <c r="D1192" i="6"/>
  <c r="U1192" i="6" s="1"/>
  <c r="C1192" i="6"/>
  <c r="B1192" i="6"/>
  <c r="E1192" i="6" s="1"/>
  <c r="Q1191" i="6"/>
  <c r="N1191" i="6"/>
  <c r="M1191" i="6"/>
  <c r="L1191" i="6"/>
  <c r="K1191" i="6"/>
  <c r="J1191" i="6"/>
  <c r="I1191" i="6"/>
  <c r="P1191" i="6" s="1"/>
  <c r="H1191" i="6"/>
  <c r="G1191" i="6"/>
  <c r="F1191" i="6"/>
  <c r="D1191" i="6"/>
  <c r="U1191" i="6" s="1"/>
  <c r="C1191" i="6"/>
  <c r="B1191" i="6"/>
  <c r="Q1190" i="6"/>
  <c r="P1190" i="6"/>
  <c r="N1190" i="6"/>
  <c r="M1190" i="6"/>
  <c r="L1190" i="6"/>
  <c r="K1190" i="6"/>
  <c r="J1190" i="6"/>
  <c r="I1190" i="6"/>
  <c r="H1190" i="6"/>
  <c r="G1190" i="6"/>
  <c r="F1190" i="6"/>
  <c r="D1190" i="6"/>
  <c r="U1190" i="6" s="1"/>
  <c r="C1190" i="6"/>
  <c r="B1190" i="6"/>
  <c r="E1190" i="6" s="1"/>
  <c r="Q1189" i="6"/>
  <c r="N1189" i="6"/>
  <c r="M1189" i="6"/>
  <c r="L1189" i="6"/>
  <c r="K1189" i="6"/>
  <c r="J1189" i="6"/>
  <c r="I1189" i="6"/>
  <c r="P1189" i="6" s="1"/>
  <c r="H1189" i="6"/>
  <c r="G1189" i="6"/>
  <c r="F1189" i="6"/>
  <c r="D1189" i="6"/>
  <c r="U1189" i="6" s="1"/>
  <c r="C1189" i="6"/>
  <c r="B1189" i="6"/>
  <c r="Q1188" i="6"/>
  <c r="P1188" i="6"/>
  <c r="N1188" i="6"/>
  <c r="M1188" i="6"/>
  <c r="L1188" i="6"/>
  <c r="K1188" i="6"/>
  <c r="J1188" i="6"/>
  <c r="I1188" i="6"/>
  <c r="H1188" i="6"/>
  <c r="G1188" i="6"/>
  <c r="F1188" i="6"/>
  <c r="D1188" i="6"/>
  <c r="U1188" i="6" s="1"/>
  <c r="C1188" i="6"/>
  <c r="B1188" i="6"/>
  <c r="E1188" i="6" s="1"/>
  <c r="Q1187" i="6"/>
  <c r="N1187" i="6"/>
  <c r="M1187" i="6"/>
  <c r="L1187" i="6"/>
  <c r="K1187" i="6"/>
  <c r="J1187" i="6"/>
  <c r="I1187" i="6"/>
  <c r="P1187" i="6" s="1"/>
  <c r="H1187" i="6"/>
  <c r="G1187" i="6"/>
  <c r="F1187" i="6"/>
  <c r="D1187" i="6"/>
  <c r="U1187" i="6" s="1"/>
  <c r="C1187" i="6"/>
  <c r="B1187" i="6"/>
  <c r="Q1186" i="6"/>
  <c r="P1186" i="6"/>
  <c r="N1186" i="6"/>
  <c r="M1186" i="6"/>
  <c r="L1186" i="6"/>
  <c r="K1186" i="6"/>
  <c r="J1186" i="6"/>
  <c r="I1186" i="6"/>
  <c r="H1186" i="6"/>
  <c r="G1186" i="6"/>
  <c r="F1186" i="6"/>
  <c r="D1186" i="6"/>
  <c r="U1186" i="6" s="1"/>
  <c r="C1186" i="6"/>
  <c r="B1186" i="6"/>
  <c r="E1186" i="6" s="1"/>
  <c r="Q1185" i="6"/>
  <c r="N1185" i="6"/>
  <c r="M1185" i="6"/>
  <c r="L1185" i="6"/>
  <c r="K1185" i="6"/>
  <c r="J1185" i="6"/>
  <c r="I1185" i="6"/>
  <c r="P1185" i="6" s="1"/>
  <c r="H1185" i="6"/>
  <c r="G1185" i="6"/>
  <c r="F1185" i="6"/>
  <c r="D1185" i="6"/>
  <c r="U1185" i="6" s="1"/>
  <c r="C1185" i="6"/>
  <c r="B1185" i="6"/>
  <c r="Q1184" i="6"/>
  <c r="P1184" i="6"/>
  <c r="N1184" i="6"/>
  <c r="M1184" i="6"/>
  <c r="L1184" i="6"/>
  <c r="K1184" i="6"/>
  <c r="J1184" i="6"/>
  <c r="I1184" i="6"/>
  <c r="H1184" i="6"/>
  <c r="G1184" i="6"/>
  <c r="F1184" i="6"/>
  <c r="D1184" i="6"/>
  <c r="U1184" i="6" s="1"/>
  <c r="C1184" i="6"/>
  <c r="B1184" i="6"/>
  <c r="E1184" i="6" s="1"/>
  <c r="Q1183" i="6"/>
  <c r="N1183" i="6"/>
  <c r="M1183" i="6"/>
  <c r="L1183" i="6"/>
  <c r="K1183" i="6"/>
  <c r="J1183" i="6"/>
  <c r="I1183" i="6"/>
  <c r="P1183" i="6" s="1"/>
  <c r="H1183" i="6"/>
  <c r="G1183" i="6"/>
  <c r="F1183" i="6"/>
  <c r="D1183" i="6"/>
  <c r="U1183" i="6" s="1"/>
  <c r="C1183" i="6"/>
  <c r="B1183" i="6"/>
  <c r="Q1182" i="6"/>
  <c r="P1182" i="6"/>
  <c r="N1182" i="6"/>
  <c r="M1182" i="6"/>
  <c r="L1182" i="6"/>
  <c r="K1182" i="6"/>
  <c r="J1182" i="6"/>
  <c r="I1182" i="6"/>
  <c r="H1182" i="6"/>
  <c r="G1182" i="6"/>
  <c r="F1182" i="6"/>
  <c r="D1182" i="6"/>
  <c r="U1182" i="6" s="1"/>
  <c r="C1182" i="6"/>
  <c r="B1182" i="6"/>
  <c r="E1182" i="6" s="1"/>
  <c r="Q1181" i="6"/>
  <c r="N1181" i="6"/>
  <c r="M1181" i="6"/>
  <c r="L1181" i="6"/>
  <c r="K1181" i="6"/>
  <c r="J1181" i="6"/>
  <c r="I1181" i="6"/>
  <c r="P1181" i="6" s="1"/>
  <c r="H1181" i="6"/>
  <c r="G1181" i="6"/>
  <c r="F1181" i="6"/>
  <c r="D1181" i="6"/>
  <c r="U1181" i="6" s="1"/>
  <c r="C1181" i="6"/>
  <c r="B1181" i="6"/>
  <c r="Q1180" i="6"/>
  <c r="P1180" i="6"/>
  <c r="N1180" i="6"/>
  <c r="M1180" i="6"/>
  <c r="L1180" i="6"/>
  <c r="K1180" i="6"/>
  <c r="J1180" i="6"/>
  <c r="I1180" i="6"/>
  <c r="H1180" i="6"/>
  <c r="G1180" i="6"/>
  <c r="F1180" i="6"/>
  <c r="D1180" i="6"/>
  <c r="U1180" i="6" s="1"/>
  <c r="C1180" i="6"/>
  <c r="B1180" i="6"/>
  <c r="E1180" i="6" s="1"/>
  <c r="Q1179" i="6"/>
  <c r="N1179" i="6"/>
  <c r="M1179" i="6"/>
  <c r="L1179" i="6"/>
  <c r="K1179" i="6"/>
  <c r="J1179" i="6"/>
  <c r="I1179" i="6"/>
  <c r="P1179" i="6" s="1"/>
  <c r="H1179" i="6"/>
  <c r="G1179" i="6"/>
  <c r="F1179" i="6"/>
  <c r="D1179" i="6"/>
  <c r="U1179" i="6" s="1"/>
  <c r="C1179" i="6"/>
  <c r="B1179" i="6"/>
  <c r="Q1178" i="6"/>
  <c r="P1178" i="6"/>
  <c r="N1178" i="6"/>
  <c r="M1178" i="6"/>
  <c r="L1178" i="6"/>
  <c r="K1178" i="6"/>
  <c r="J1178" i="6"/>
  <c r="I1178" i="6"/>
  <c r="H1178" i="6"/>
  <c r="G1178" i="6"/>
  <c r="F1178" i="6"/>
  <c r="D1178" i="6"/>
  <c r="U1178" i="6" s="1"/>
  <c r="C1178" i="6"/>
  <c r="B1178" i="6"/>
  <c r="E1178" i="6" s="1"/>
  <c r="Q1177" i="6"/>
  <c r="N1177" i="6"/>
  <c r="M1177" i="6"/>
  <c r="L1177" i="6"/>
  <c r="K1177" i="6"/>
  <c r="J1177" i="6"/>
  <c r="I1177" i="6"/>
  <c r="P1177" i="6" s="1"/>
  <c r="H1177" i="6"/>
  <c r="G1177" i="6"/>
  <c r="F1177" i="6"/>
  <c r="D1177" i="6"/>
  <c r="U1177" i="6" s="1"/>
  <c r="C1177" i="6"/>
  <c r="B1177" i="6"/>
  <c r="Q1176" i="6"/>
  <c r="P1176" i="6"/>
  <c r="N1176" i="6"/>
  <c r="M1176" i="6"/>
  <c r="L1176" i="6"/>
  <c r="K1176" i="6"/>
  <c r="J1176" i="6"/>
  <c r="I1176" i="6"/>
  <c r="H1176" i="6"/>
  <c r="G1176" i="6"/>
  <c r="F1176" i="6"/>
  <c r="D1176" i="6"/>
  <c r="U1176" i="6" s="1"/>
  <c r="C1176" i="6"/>
  <c r="B1176" i="6"/>
  <c r="E1176" i="6" s="1"/>
  <c r="Q1175" i="6"/>
  <c r="N1175" i="6"/>
  <c r="M1175" i="6"/>
  <c r="L1175" i="6"/>
  <c r="K1175" i="6"/>
  <c r="J1175" i="6"/>
  <c r="I1175" i="6"/>
  <c r="P1175" i="6" s="1"/>
  <c r="H1175" i="6"/>
  <c r="G1175" i="6"/>
  <c r="F1175" i="6"/>
  <c r="D1175" i="6"/>
  <c r="U1175" i="6" s="1"/>
  <c r="C1175" i="6"/>
  <c r="B1175" i="6"/>
  <c r="Q1174" i="6"/>
  <c r="P1174" i="6"/>
  <c r="N1174" i="6"/>
  <c r="M1174" i="6"/>
  <c r="L1174" i="6"/>
  <c r="K1174" i="6"/>
  <c r="J1174" i="6"/>
  <c r="I1174" i="6"/>
  <c r="H1174" i="6"/>
  <c r="G1174" i="6"/>
  <c r="F1174" i="6"/>
  <c r="D1174" i="6"/>
  <c r="U1174" i="6" s="1"/>
  <c r="C1174" i="6"/>
  <c r="B1174" i="6"/>
  <c r="E1174" i="6" s="1"/>
  <c r="Q1173" i="6"/>
  <c r="N1173" i="6"/>
  <c r="M1173" i="6"/>
  <c r="L1173" i="6"/>
  <c r="K1173" i="6"/>
  <c r="J1173" i="6"/>
  <c r="I1173" i="6"/>
  <c r="P1173" i="6" s="1"/>
  <c r="H1173" i="6"/>
  <c r="G1173" i="6"/>
  <c r="F1173" i="6"/>
  <c r="D1173" i="6"/>
  <c r="U1173" i="6" s="1"/>
  <c r="C1173" i="6"/>
  <c r="B1173" i="6"/>
  <c r="Q1172" i="6"/>
  <c r="P1172" i="6"/>
  <c r="N1172" i="6"/>
  <c r="M1172" i="6"/>
  <c r="L1172" i="6"/>
  <c r="K1172" i="6"/>
  <c r="J1172" i="6"/>
  <c r="I1172" i="6"/>
  <c r="H1172" i="6"/>
  <c r="G1172" i="6"/>
  <c r="F1172" i="6"/>
  <c r="D1172" i="6"/>
  <c r="U1172" i="6" s="1"/>
  <c r="C1172" i="6"/>
  <c r="B1172" i="6"/>
  <c r="E1172" i="6" s="1"/>
  <c r="Q1171" i="6"/>
  <c r="N1171" i="6"/>
  <c r="M1171" i="6"/>
  <c r="L1171" i="6"/>
  <c r="K1171" i="6"/>
  <c r="J1171" i="6"/>
  <c r="I1171" i="6"/>
  <c r="P1171" i="6" s="1"/>
  <c r="H1171" i="6"/>
  <c r="G1171" i="6"/>
  <c r="F1171" i="6"/>
  <c r="D1171" i="6"/>
  <c r="U1171" i="6" s="1"/>
  <c r="C1171" i="6"/>
  <c r="B1171" i="6"/>
  <c r="Q1170" i="6"/>
  <c r="P1170" i="6"/>
  <c r="N1170" i="6"/>
  <c r="M1170" i="6"/>
  <c r="L1170" i="6"/>
  <c r="K1170" i="6"/>
  <c r="J1170" i="6"/>
  <c r="I1170" i="6"/>
  <c r="H1170" i="6"/>
  <c r="G1170" i="6"/>
  <c r="F1170" i="6"/>
  <c r="D1170" i="6"/>
  <c r="U1170" i="6" s="1"/>
  <c r="C1170" i="6"/>
  <c r="B1170" i="6"/>
  <c r="E1170" i="6" s="1"/>
  <c r="Q1169" i="6"/>
  <c r="N1169" i="6"/>
  <c r="M1169" i="6"/>
  <c r="L1169" i="6"/>
  <c r="K1169" i="6"/>
  <c r="J1169" i="6"/>
  <c r="I1169" i="6"/>
  <c r="P1169" i="6" s="1"/>
  <c r="H1169" i="6"/>
  <c r="G1169" i="6"/>
  <c r="F1169" i="6"/>
  <c r="D1169" i="6"/>
  <c r="U1169" i="6" s="1"/>
  <c r="C1169" i="6"/>
  <c r="B1169" i="6"/>
  <c r="Q1168" i="6"/>
  <c r="P1168" i="6"/>
  <c r="N1168" i="6"/>
  <c r="M1168" i="6"/>
  <c r="L1168" i="6"/>
  <c r="K1168" i="6"/>
  <c r="J1168" i="6"/>
  <c r="I1168" i="6"/>
  <c r="H1168" i="6"/>
  <c r="G1168" i="6"/>
  <c r="F1168" i="6"/>
  <c r="D1168" i="6"/>
  <c r="U1168" i="6" s="1"/>
  <c r="C1168" i="6"/>
  <c r="B1168" i="6"/>
  <c r="E1168" i="6" s="1"/>
  <c r="Q1167" i="6"/>
  <c r="N1167" i="6"/>
  <c r="M1167" i="6"/>
  <c r="L1167" i="6"/>
  <c r="K1167" i="6"/>
  <c r="J1167" i="6"/>
  <c r="I1167" i="6"/>
  <c r="P1167" i="6" s="1"/>
  <c r="H1167" i="6"/>
  <c r="G1167" i="6"/>
  <c r="F1167" i="6"/>
  <c r="D1167" i="6"/>
  <c r="U1167" i="6" s="1"/>
  <c r="C1167" i="6"/>
  <c r="B1167" i="6"/>
  <c r="Q1166" i="6"/>
  <c r="P1166" i="6"/>
  <c r="N1166" i="6"/>
  <c r="M1166" i="6"/>
  <c r="L1166" i="6"/>
  <c r="K1166" i="6"/>
  <c r="J1166" i="6"/>
  <c r="I1166" i="6"/>
  <c r="H1166" i="6"/>
  <c r="G1166" i="6"/>
  <c r="F1166" i="6"/>
  <c r="D1166" i="6"/>
  <c r="U1166" i="6" s="1"/>
  <c r="C1166" i="6"/>
  <c r="B1166" i="6"/>
  <c r="E1166" i="6" s="1"/>
  <c r="Q1165" i="6"/>
  <c r="N1165" i="6"/>
  <c r="M1165" i="6"/>
  <c r="L1165" i="6"/>
  <c r="K1165" i="6"/>
  <c r="J1165" i="6"/>
  <c r="I1165" i="6"/>
  <c r="P1165" i="6" s="1"/>
  <c r="H1165" i="6"/>
  <c r="G1165" i="6"/>
  <c r="F1165" i="6"/>
  <c r="D1165" i="6"/>
  <c r="U1165" i="6" s="1"/>
  <c r="C1165" i="6"/>
  <c r="B1165" i="6"/>
  <c r="Q1164" i="6"/>
  <c r="P1164" i="6"/>
  <c r="N1164" i="6"/>
  <c r="M1164" i="6"/>
  <c r="L1164" i="6"/>
  <c r="K1164" i="6"/>
  <c r="J1164" i="6"/>
  <c r="I1164" i="6"/>
  <c r="H1164" i="6"/>
  <c r="G1164" i="6"/>
  <c r="F1164" i="6"/>
  <c r="D1164" i="6"/>
  <c r="U1164" i="6" s="1"/>
  <c r="C1164" i="6"/>
  <c r="B1164" i="6"/>
  <c r="E1164" i="6" s="1"/>
  <c r="Q1163" i="6"/>
  <c r="N1163" i="6"/>
  <c r="M1163" i="6"/>
  <c r="L1163" i="6"/>
  <c r="K1163" i="6"/>
  <c r="J1163" i="6"/>
  <c r="I1163" i="6"/>
  <c r="P1163" i="6" s="1"/>
  <c r="H1163" i="6"/>
  <c r="G1163" i="6"/>
  <c r="F1163" i="6"/>
  <c r="D1163" i="6"/>
  <c r="U1163" i="6" s="1"/>
  <c r="C1163" i="6"/>
  <c r="B1163" i="6"/>
  <c r="Q1162" i="6"/>
  <c r="P1162" i="6"/>
  <c r="N1162" i="6"/>
  <c r="M1162" i="6"/>
  <c r="L1162" i="6"/>
  <c r="K1162" i="6"/>
  <c r="J1162" i="6"/>
  <c r="I1162" i="6"/>
  <c r="H1162" i="6"/>
  <c r="G1162" i="6"/>
  <c r="F1162" i="6"/>
  <c r="D1162" i="6"/>
  <c r="U1162" i="6" s="1"/>
  <c r="C1162" i="6"/>
  <c r="B1162" i="6"/>
  <c r="E1162" i="6" s="1"/>
  <c r="Q1161" i="6"/>
  <c r="N1161" i="6"/>
  <c r="M1161" i="6"/>
  <c r="L1161" i="6"/>
  <c r="K1161" i="6"/>
  <c r="J1161" i="6"/>
  <c r="I1161" i="6"/>
  <c r="P1161" i="6" s="1"/>
  <c r="H1161" i="6"/>
  <c r="G1161" i="6"/>
  <c r="F1161" i="6"/>
  <c r="D1161" i="6"/>
  <c r="U1161" i="6" s="1"/>
  <c r="C1161" i="6"/>
  <c r="B1161" i="6"/>
  <c r="Q1160" i="6"/>
  <c r="P1160" i="6"/>
  <c r="N1160" i="6"/>
  <c r="M1160" i="6"/>
  <c r="L1160" i="6"/>
  <c r="K1160" i="6"/>
  <c r="J1160" i="6"/>
  <c r="I1160" i="6"/>
  <c r="H1160" i="6"/>
  <c r="G1160" i="6"/>
  <c r="F1160" i="6"/>
  <c r="D1160" i="6"/>
  <c r="U1160" i="6" s="1"/>
  <c r="C1160" i="6"/>
  <c r="B1160" i="6"/>
  <c r="E1160" i="6" s="1"/>
  <c r="Q1159" i="6"/>
  <c r="N1159" i="6"/>
  <c r="M1159" i="6"/>
  <c r="L1159" i="6"/>
  <c r="K1159" i="6"/>
  <c r="J1159" i="6"/>
  <c r="I1159" i="6"/>
  <c r="P1159" i="6" s="1"/>
  <c r="H1159" i="6"/>
  <c r="G1159" i="6"/>
  <c r="F1159" i="6"/>
  <c r="D1159" i="6"/>
  <c r="U1159" i="6" s="1"/>
  <c r="C1159" i="6"/>
  <c r="B1159" i="6"/>
  <c r="Q1158" i="6"/>
  <c r="P1158" i="6"/>
  <c r="N1158" i="6"/>
  <c r="M1158" i="6"/>
  <c r="L1158" i="6"/>
  <c r="K1158" i="6"/>
  <c r="J1158" i="6"/>
  <c r="I1158" i="6"/>
  <c r="H1158" i="6"/>
  <c r="G1158" i="6"/>
  <c r="F1158" i="6"/>
  <c r="D1158" i="6"/>
  <c r="U1158" i="6" s="1"/>
  <c r="C1158" i="6"/>
  <c r="B1158" i="6"/>
  <c r="E1158" i="6" s="1"/>
  <c r="Q1157" i="6"/>
  <c r="N1157" i="6"/>
  <c r="M1157" i="6"/>
  <c r="L1157" i="6"/>
  <c r="K1157" i="6"/>
  <c r="J1157" i="6"/>
  <c r="I1157" i="6"/>
  <c r="P1157" i="6" s="1"/>
  <c r="H1157" i="6"/>
  <c r="G1157" i="6"/>
  <c r="F1157" i="6"/>
  <c r="D1157" i="6"/>
  <c r="U1157" i="6" s="1"/>
  <c r="C1157" i="6"/>
  <c r="B1157" i="6"/>
  <c r="Q1156" i="6"/>
  <c r="P1156" i="6"/>
  <c r="N1156" i="6"/>
  <c r="M1156" i="6"/>
  <c r="L1156" i="6"/>
  <c r="K1156" i="6"/>
  <c r="J1156" i="6"/>
  <c r="I1156" i="6"/>
  <c r="H1156" i="6"/>
  <c r="G1156" i="6"/>
  <c r="F1156" i="6"/>
  <c r="D1156" i="6"/>
  <c r="U1156" i="6" s="1"/>
  <c r="C1156" i="6"/>
  <c r="B1156" i="6"/>
  <c r="E1156" i="6" s="1"/>
  <c r="Q1155" i="6"/>
  <c r="N1155" i="6"/>
  <c r="M1155" i="6"/>
  <c r="L1155" i="6"/>
  <c r="K1155" i="6"/>
  <c r="J1155" i="6"/>
  <c r="I1155" i="6"/>
  <c r="P1155" i="6" s="1"/>
  <c r="H1155" i="6"/>
  <c r="G1155" i="6"/>
  <c r="F1155" i="6"/>
  <c r="D1155" i="6"/>
  <c r="U1155" i="6" s="1"/>
  <c r="C1155" i="6"/>
  <c r="B1155" i="6"/>
  <c r="Q1154" i="6"/>
  <c r="P1154" i="6"/>
  <c r="N1154" i="6"/>
  <c r="M1154" i="6"/>
  <c r="L1154" i="6"/>
  <c r="K1154" i="6"/>
  <c r="J1154" i="6"/>
  <c r="I1154" i="6"/>
  <c r="H1154" i="6"/>
  <c r="G1154" i="6"/>
  <c r="F1154" i="6"/>
  <c r="D1154" i="6"/>
  <c r="U1154" i="6" s="1"/>
  <c r="C1154" i="6"/>
  <c r="B1154" i="6"/>
  <c r="E1154" i="6" s="1"/>
  <c r="Q1153" i="6"/>
  <c r="N1153" i="6"/>
  <c r="M1153" i="6"/>
  <c r="L1153" i="6"/>
  <c r="K1153" i="6"/>
  <c r="J1153" i="6"/>
  <c r="I1153" i="6"/>
  <c r="P1153" i="6" s="1"/>
  <c r="H1153" i="6"/>
  <c r="G1153" i="6"/>
  <c r="F1153" i="6"/>
  <c r="D1153" i="6"/>
  <c r="U1153" i="6" s="1"/>
  <c r="C1153" i="6"/>
  <c r="B1153" i="6"/>
  <c r="Q1152" i="6"/>
  <c r="P1152" i="6"/>
  <c r="N1152" i="6"/>
  <c r="M1152" i="6"/>
  <c r="L1152" i="6"/>
  <c r="K1152" i="6"/>
  <c r="J1152" i="6"/>
  <c r="I1152" i="6"/>
  <c r="H1152" i="6"/>
  <c r="G1152" i="6"/>
  <c r="F1152" i="6"/>
  <c r="D1152" i="6"/>
  <c r="U1152" i="6" s="1"/>
  <c r="C1152" i="6"/>
  <c r="B1152" i="6"/>
  <c r="E1152" i="6" s="1"/>
  <c r="Q1151" i="6"/>
  <c r="N1151" i="6"/>
  <c r="M1151" i="6"/>
  <c r="L1151" i="6"/>
  <c r="K1151" i="6"/>
  <c r="J1151" i="6"/>
  <c r="I1151" i="6"/>
  <c r="P1151" i="6" s="1"/>
  <c r="H1151" i="6"/>
  <c r="G1151" i="6"/>
  <c r="F1151" i="6"/>
  <c r="D1151" i="6"/>
  <c r="U1151" i="6" s="1"/>
  <c r="C1151" i="6"/>
  <c r="B1151" i="6"/>
  <c r="Q1150" i="6"/>
  <c r="P1150" i="6"/>
  <c r="N1150" i="6"/>
  <c r="M1150" i="6"/>
  <c r="L1150" i="6"/>
  <c r="K1150" i="6"/>
  <c r="J1150" i="6"/>
  <c r="I1150" i="6"/>
  <c r="H1150" i="6"/>
  <c r="G1150" i="6"/>
  <c r="F1150" i="6"/>
  <c r="D1150" i="6"/>
  <c r="U1150" i="6" s="1"/>
  <c r="C1150" i="6"/>
  <c r="B1150" i="6"/>
  <c r="E1150" i="6" s="1"/>
  <c r="Q1149" i="6"/>
  <c r="N1149" i="6"/>
  <c r="M1149" i="6"/>
  <c r="L1149" i="6"/>
  <c r="K1149" i="6"/>
  <c r="J1149" i="6"/>
  <c r="I1149" i="6"/>
  <c r="P1149" i="6" s="1"/>
  <c r="H1149" i="6"/>
  <c r="G1149" i="6"/>
  <c r="F1149" i="6"/>
  <c r="D1149" i="6"/>
  <c r="U1149" i="6" s="1"/>
  <c r="C1149" i="6"/>
  <c r="B1149" i="6"/>
  <c r="Q1148" i="6"/>
  <c r="P1148" i="6"/>
  <c r="N1148" i="6"/>
  <c r="M1148" i="6"/>
  <c r="L1148" i="6"/>
  <c r="K1148" i="6"/>
  <c r="J1148" i="6"/>
  <c r="I1148" i="6"/>
  <c r="H1148" i="6"/>
  <c r="G1148" i="6"/>
  <c r="F1148" i="6"/>
  <c r="D1148" i="6"/>
  <c r="U1148" i="6" s="1"/>
  <c r="C1148" i="6"/>
  <c r="B1148" i="6"/>
  <c r="E1148" i="6" s="1"/>
  <c r="Q1147" i="6"/>
  <c r="N1147" i="6"/>
  <c r="M1147" i="6"/>
  <c r="L1147" i="6"/>
  <c r="K1147" i="6"/>
  <c r="J1147" i="6"/>
  <c r="I1147" i="6"/>
  <c r="P1147" i="6" s="1"/>
  <c r="H1147" i="6"/>
  <c r="G1147" i="6"/>
  <c r="F1147" i="6"/>
  <c r="D1147" i="6"/>
  <c r="U1147" i="6" s="1"/>
  <c r="C1147" i="6"/>
  <c r="B1147" i="6"/>
  <c r="Q1146" i="6"/>
  <c r="P1146" i="6"/>
  <c r="N1146" i="6"/>
  <c r="M1146" i="6"/>
  <c r="L1146" i="6"/>
  <c r="K1146" i="6"/>
  <c r="J1146" i="6"/>
  <c r="I1146" i="6"/>
  <c r="H1146" i="6"/>
  <c r="G1146" i="6"/>
  <c r="F1146" i="6"/>
  <c r="D1146" i="6"/>
  <c r="U1146" i="6" s="1"/>
  <c r="C1146" i="6"/>
  <c r="B1146" i="6"/>
  <c r="E1146" i="6" s="1"/>
  <c r="Q1145" i="6"/>
  <c r="N1145" i="6"/>
  <c r="M1145" i="6"/>
  <c r="L1145" i="6"/>
  <c r="K1145" i="6"/>
  <c r="J1145" i="6"/>
  <c r="I1145" i="6"/>
  <c r="P1145" i="6" s="1"/>
  <c r="H1145" i="6"/>
  <c r="G1145" i="6"/>
  <c r="F1145" i="6"/>
  <c r="D1145" i="6"/>
  <c r="U1145" i="6" s="1"/>
  <c r="C1145" i="6"/>
  <c r="B1145" i="6"/>
  <c r="Q1144" i="6"/>
  <c r="P1144" i="6"/>
  <c r="N1144" i="6"/>
  <c r="M1144" i="6"/>
  <c r="L1144" i="6"/>
  <c r="K1144" i="6"/>
  <c r="J1144" i="6"/>
  <c r="I1144" i="6"/>
  <c r="H1144" i="6"/>
  <c r="G1144" i="6"/>
  <c r="F1144" i="6"/>
  <c r="D1144" i="6"/>
  <c r="U1144" i="6" s="1"/>
  <c r="C1144" i="6"/>
  <c r="B1144" i="6"/>
  <c r="E1144" i="6" s="1"/>
  <c r="Q1143" i="6"/>
  <c r="N1143" i="6"/>
  <c r="M1143" i="6"/>
  <c r="L1143" i="6"/>
  <c r="K1143" i="6"/>
  <c r="J1143" i="6"/>
  <c r="I1143" i="6"/>
  <c r="P1143" i="6" s="1"/>
  <c r="H1143" i="6"/>
  <c r="G1143" i="6"/>
  <c r="F1143" i="6"/>
  <c r="D1143" i="6"/>
  <c r="U1143" i="6" s="1"/>
  <c r="C1143" i="6"/>
  <c r="B1143" i="6"/>
  <c r="Q1142" i="6"/>
  <c r="P1142" i="6"/>
  <c r="N1142" i="6"/>
  <c r="M1142" i="6"/>
  <c r="L1142" i="6"/>
  <c r="K1142" i="6"/>
  <c r="J1142" i="6"/>
  <c r="I1142" i="6"/>
  <c r="H1142" i="6"/>
  <c r="G1142" i="6"/>
  <c r="F1142" i="6"/>
  <c r="D1142" i="6"/>
  <c r="U1142" i="6" s="1"/>
  <c r="C1142" i="6"/>
  <c r="B1142" i="6"/>
  <c r="E1142" i="6" s="1"/>
  <c r="Q1141" i="6"/>
  <c r="N1141" i="6"/>
  <c r="M1141" i="6"/>
  <c r="L1141" i="6"/>
  <c r="K1141" i="6"/>
  <c r="J1141" i="6"/>
  <c r="I1141" i="6"/>
  <c r="P1141" i="6" s="1"/>
  <c r="H1141" i="6"/>
  <c r="G1141" i="6"/>
  <c r="F1141" i="6"/>
  <c r="D1141" i="6"/>
  <c r="U1141" i="6" s="1"/>
  <c r="C1141" i="6"/>
  <c r="B1141" i="6"/>
  <c r="Q1140" i="6"/>
  <c r="P1140" i="6"/>
  <c r="N1140" i="6"/>
  <c r="M1140" i="6"/>
  <c r="L1140" i="6"/>
  <c r="K1140" i="6"/>
  <c r="J1140" i="6"/>
  <c r="I1140" i="6"/>
  <c r="H1140" i="6"/>
  <c r="G1140" i="6"/>
  <c r="F1140" i="6"/>
  <c r="D1140" i="6"/>
  <c r="U1140" i="6" s="1"/>
  <c r="C1140" i="6"/>
  <c r="B1140" i="6"/>
  <c r="E1140" i="6" s="1"/>
  <c r="Q1139" i="6"/>
  <c r="N1139" i="6"/>
  <c r="M1139" i="6"/>
  <c r="L1139" i="6"/>
  <c r="K1139" i="6"/>
  <c r="J1139" i="6"/>
  <c r="I1139" i="6"/>
  <c r="P1139" i="6" s="1"/>
  <c r="H1139" i="6"/>
  <c r="G1139" i="6"/>
  <c r="F1139" i="6"/>
  <c r="D1139" i="6"/>
  <c r="U1139" i="6" s="1"/>
  <c r="C1139" i="6"/>
  <c r="B1139" i="6"/>
  <c r="Q1138" i="6"/>
  <c r="P1138" i="6"/>
  <c r="N1138" i="6"/>
  <c r="M1138" i="6"/>
  <c r="L1138" i="6"/>
  <c r="K1138" i="6"/>
  <c r="J1138" i="6"/>
  <c r="I1138" i="6"/>
  <c r="H1138" i="6"/>
  <c r="G1138" i="6"/>
  <c r="F1138" i="6"/>
  <c r="D1138" i="6"/>
  <c r="U1138" i="6" s="1"/>
  <c r="C1138" i="6"/>
  <c r="B1138" i="6"/>
  <c r="E1138" i="6" s="1"/>
  <c r="Q1137" i="6"/>
  <c r="N1137" i="6"/>
  <c r="M1137" i="6"/>
  <c r="L1137" i="6"/>
  <c r="K1137" i="6"/>
  <c r="J1137" i="6"/>
  <c r="I1137" i="6"/>
  <c r="P1137" i="6" s="1"/>
  <c r="H1137" i="6"/>
  <c r="G1137" i="6"/>
  <c r="F1137" i="6"/>
  <c r="D1137" i="6"/>
  <c r="U1137" i="6" s="1"/>
  <c r="C1137" i="6"/>
  <c r="B1137" i="6"/>
  <c r="Q1136" i="6"/>
  <c r="P1136" i="6"/>
  <c r="N1136" i="6"/>
  <c r="M1136" i="6"/>
  <c r="L1136" i="6"/>
  <c r="K1136" i="6"/>
  <c r="J1136" i="6"/>
  <c r="I1136" i="6"/>
  <c r="H1136" i="6"/>
  <c r="G1136" i="6"/>
  <c r="F1136" i="6"/>
  <c r="D1136" i="6"/>
  <c r="U1136" i="6" s="1"/>
  <c r="C1136" i="6"/>
  <c r="B1136" i="6"/>
  <c r="E1136" i="6" s="1"/>
  <c r="Q1135" i="6"/>
  <c r="N1135" i="6"/>
  <c r="M1135" i="6"/>
  <c r="L1135" i="6"/>
  <c r="K1135" i="6"/>
  <c r="J1135" i="6"/>
  <c r="I1135" i="6"/>
  <c r="P1135" i="6" s="1"/>
  <c r="H1135" i="6"/>
  <c r="G1135" i="6"/>
  <c r="F1135" i="6"/>
  <c r="D1135" i="6"/>
  <c r="U1135" i="6" s="1"/>
  <c r="C1135" i="6"/>
  <c r="B1135" i="6"/>
  <c r="Q1134" i="6"/>
  <c r="P1134" i="6"/>
  <c r="N1134" i="6"/>
  <c r="M1134" i="6"/>
  <c r="L1134" i="6"/>
  <c r="K1134" i="6"/>
  <c r="J1134" i="6"/>
  <c r="I1134" i="6"/>
  <c r="H1134" i="6"/>
  <c r="G1134" i="6"/>
  <c r="F1134" i="6"/>
  <c r="D1134" i="6"/>
  <c r="U1134" i="6" s="1"/>
  <c r="C1134" i="6"/>
  <c r="B1134" i="6"/>
  <c r="E1134" i="6" s="1"/>
  <c r="Q1133" i="6"/>
  <c r="N1133" i="6"/>
  <c r="M1133" i="6"/>
  <c r="L1133" i="6"/>
  <c r="K1133" i="6"/>
  <c r="J1133" i="6"/>
  <c r="I1133" i="6"/>
  <c r="P1133" i="6" s="1"/>
  <c r="H1133" i="6"/>
  <c r="G1133" i="6"/>
  <c r="F1133" i="6"/>
  <c r="D1133" i="6"/>
  <c r="U1133" i="6" s="1"/>
  <c r="C1133" i="6"/>
  <c r="B1133" i="6"/>
  <c r="Q1132" i="6"/>
  <c r="P1132" i="6"/>
  <c r="N1132" i="6"/>
  <c r="M1132" i="6"/>
  <c r="L1132" i="6"/>
  <c r="K1132" i="6"/>
  <c r="J1132" i="6"/>
  <c r="I1132" i="6"/>
  <c r="H1132" i="6"/>
  <c r="G1132" i="6"/>
  <c r="F1132" i="6"/>
  <c r="D1132" i="6"/>
  <c r="U1132" i="6" s="1"/>
  <c r="C1132" i="6"/>
  <c r="B1132" i="6"/>
  <c r="E1132" i="6" s="1"/>
  <c r="Q1131" i="6"/>
  <c r="N1131" i="6"/>
  <c r="M1131" i="6"/>
  <c r="L1131" i="6"/>
  <c r="K1131" i="6"/>
  <c r="J1131" i="6"/>
  <c r="I1131" i="6"/>
  <c r="P1131" i="6" s="1"/>
  <c r="H1131" i="6"/>
  <c r="G1131" i="6"/>
  <c r="F1131" i="6"/>
  <c r="D1131" i="6"/>
  <c r="U1131" i="6" s="1"/>
  <c r="C1131" i="6"/>
  <c r="B1131" i="6"/>
  <c r="Q1130" i="6"/>
  <c r="P1130" i="6"/>
  <c r="N1130" i="6"/>
  <c r="M1130" i="6"/>
  <c r="L1130" i="6"/>
  <c r="K1130" i="6"/>
  <c r="J1130" i="6"/>
  <c r="I1130" i="6"/>
  <c r="H1130" i="6"/>
  <c r="G1130" i="6"/>
  <c r="F1130" i="6"/>
  <c r="D1130" i="6"/>
  <c r="U1130" i="6" s="1"/>
  <c r="C1130" i="6"/>
  <c r="B1130" i="6"/>
  <c r="E1130" i="6" s="1"/>
  <c r="Q1129" i="6"/>
  <c r="N1129" i="6"/>
  <c r="M1129" i="6"/>
  <c r="L1129" i="6"/>
  <c r="K1129" i="6"/>
  <c r="J1129" i="6"/>
  <c r="I1129" i="6"/>
  <c r="P1129" i="6" s="1"/>
  <c r="H1129" i="6"/>
  <c r="G1129" i="6"/>
  <c r="F1129" i="6"/>
  <c r="D1129" i="6"/>
  <c r="U1129" i="6" s="1"/>
  <c r="C1129" i="6"/>
  <c r="B1129" i="6"/>
  <c r="Q1128" i="6"/>
  <c r="P1128" i="6"/>
  <c r="N1128" i="6"/>
  <c r="M1128" i="6"/>
  <c r="L1128" i="6"/>
  <c r="K1128" i="6"/>
  <c r="J1128" i="6"/>
  <c r="I1128" i="6"/>
  <c r="H1128" i="6"/>
  <c r="G1128" i="6"/>
  <c r="F1128" i="6"/>
  <c r="D1128" i="6"/>
  <c r="U1128" i="6" s="1"/>
  <c r="C1128" i="6"/>
  <c r="B1128" i="6"/>
  <c r="E1128" i="6" s="1"/>
  <c r="Q1127" i="6"/>
  <c r="N1127" i="6"/>
  <c r="M1127" i="6"/>
  <c r="L1127" i="6"/>
  <c r="K1127" i="6"/>
  <c r="J1127" i="6"/>
  <c r="I1127" i="6"/>
  <c r="P1127" i="6" s="1"/>
  <c r="H1127" i="6"/>
  <c r="G1127" i="6"/>
  <c r="F1127" i="6"/>
  <c r="D1127" i="6"/>
  <c r="U1127" i="6" s="1"/>
  <c r="C1127" i="6"/>
  <c r="B1127" i="6"/>
  <c r="Q1126" i="6"/>
  <c r="P1126" i="6"/>
  <c r="N1126" i="6"/>
  <c r="M1126" i="6"/>
  <c r="L1126" i="6"/>
  <c r="K1126" i="6"/>
  <c r="J1126" i="6"/>
  <c r="I1126" i="6"/>
  <c r="H1126" i="6"/>
  <c r="G1126" i="6"/>
  <c r="F1126" i="6"/>
  <c r="D1126" i="6"/>
  <c r="U1126" i="6" s="1"/>
  <c r="C1126" i="6"/>
  <c r="B1126" i="6"/>
  <c r="E1126" i="6" s="1"/>
  <c r="Q1125" i="6"/>
  <c r="N1125" i="6"/>
  <c r="M1125" i="6"/>
  <c r="L1125" i="6"/>
  <c r="K1125" i="6"/>
  <c r="J1125" i="6"/>
  <c r="I1125" i="6"/>
  <c r="P1125" i="6" s="1"/>
  <c r="H1125" i="6"/>
  <c r="G1125" i="6"/>
  <c r="F1125" i="6"/>
  <c r="D1125" i="6"/>
  <c r="U1125" i="6" s="1"/>
  <c r="C1125" i="6"/>
  <c r="B1125" i="6"/>
  <c r="Q1124" i="6"/>
  <c r="P1124" i="6"/>
  <c r="N1124" i="6"/>
  <c r="M1124" i="6"/>
  <c r="L1124" i="6"/>
  <c r="K1124" i="6"/>
  <c r="J1124" i="6"/>
  <c r="I1124" i="6"/>
  <c r="H1124" i="6"/>
  <c r="G1124" i="6"/>
  <c r="F1124" i="6"/>
  <c r="D1124" i="6"/>
  <c r="U1124" i="6" s="1"/>
  <c r="C1124" i="6"/>
  <c r="B1124" i="6"/>
  <c r="E1124" i="6" s="1"/>
  <c r="Q1123" i="6"/>
  <c r="N1123" i="6"/>
  <c r="M1123" i="6"/>
  <c r="L1123" i="6"/>
  <c r="K1123" i="6"/>
  <c r="J1123" i="6"/>
  <c r="I1123" i="6"/>
  <c r="P1123" i="6" s="1"/>
  <c r="H1123" i="6"/>
  <c r="G1123" i="6"/>
  <c r="F1123" i="6"/>
  <c r="D1123" i="6"/>
  <c r="U1123" i="6" s="1"/>
  <c r="C1123" i="6"/>
  <c r="B1123" i="6"/>
  <c r="Q1122" i="6"/>
  <c r="P1122" i="6"/>
  <c r="N1122" i="6"/>
  <c r="M1122" i="6"/>
  <c r="L1122" i="6"/>
  <c r="K1122" i="6"/>
  <c r="J1122" i="6"/>
  <c r="I1122" i="6"/>
  <c r="H1122" i="6"/>
  <c r="G1122" i="6"/>
  <c r="F1122" i="6"/>
  <c r="D1122" i="6"/>
  <c r="U1122" i="6" s="1"/>
  <c r="C1122" i="6"/>
  <c r="B1122" i="6"/>
  <c r="E1122" i="6" s="1"/>
  <c r="Q1121" i="6"/>
  <c r="N1121" i="6"/>
  <c r="M1121" i="6"/>
  <c r="L1121" i="6"/>
  <c r="K1121" i="6"/>
  <c r="J1121" i="6"/>
  <c r="I1121" i="6"/>
  <c r="P1121" i="6" s="1"/>
  <c r="H1121" i="6"/>
  <c r="G1121" i="6"/>
  <c r="F1121" i="6"/>
  <c r="D1121" i="6"/>
  <c r="U1121" i="6" s="1"/>
  <c r="C1121" i="6"/>
  <c r="B1121" i="6"/>
  <c r="Q1120" i="6"/>
  <c r="P1120" i="6"/>
  <c r="N1120" i="6"/>
  <c r="M1120" i="6"/>
  <c r="L1120" i="6"/>
  <c r="K1120" i="6"/>
  <c r="J1120" i="6"/>
  <c r="I1120" i="6"/>
  <c r="H1120" i="6"/>
  <c r="G1120" i="6"/>
  <c r="F1120" i="6"/>
  <c r="D1120" i="6"/>
  <c r="U1120" i="6" s="1"/>
  <c r="C1120" i="6"/>
  <c r="B1120" i="6"/>
  <c r="E1120" i="6" s="1"/>
  <c r="Q1119" i="6"/>
  <c r="N1119" i="6"/>
  <c r="M1119" i="6"/>
  <c r="L1119" i="6"/>
  <c r="K1119" i="6"/>
  <c r="J1119" i="6"/>
  <c r="I1119" i="6"/>
  <c r="P1119" i="6" s="1"/>
  <c r="H1119" i="6"/>
  <c r="G1119" i="6"/>
  <c r="F1119" i="6"/>
  <c r="D1119" i="6"/>
  <c r="U1119" i="6" s="1"/>
  <c r="C1119" i="6"/>
  <c r="B1119" i="6"/>
  <c r="Q1118" i="6"/>
  <c r="P1118" i="6"/>
  <c r="N1118" i="6"/>
  <c r="M1118" i="6"/>
  <c r="L1118" i="6"/>
  <c r="K1118" i="6"/>
  <c r="J1118" i="6"/>
  <c r="I1118" i="6"/>
  <c r="H1118" i="6"/>
  <c r="G1118" i="6"/>
  <c r="F1118" i="6"/>
  <c r="D1118" i="6"/>
  <c r="U1118" i="6" s="1"/>
  <c r="C1118" i="6"/>
  <c r="B1118" i="6"/>
  <c r="E1118" i="6" s="1"/>
  <c r="Q1117" i="6"/>
  <c r="N1117" i="6"/>
  <c r="M1117" i="6"/>
  <c r="L1117" i="6"/>
  <c r="K1117" i="6"/>
  <c r="J1117" i="6"/>
  <c r="I1117" i="6"/>
  <c r="P1117" i="6" s="1"/>
  <c r="H1117" i="6"/>
  <c r="G1117" i="6"/>
  <c r="F1117" i="6"/>
  <c r="D1117" i="6"/>
  <c r="U1117" i="6" s="1"/>
  <c r="C1117" i="6"/>
  <c r="B1117" i="6"/>
  <c r="Q1116" i="6"/>
  <c r="P1116" i="6"/>
  <c r="N1116" i="6"/>
  <c r="M1116" i="6"/>
  <c r="L1116" i="6"/>
  <c r="K1116" i="6"/>
  <c r="J1116" i="6"/>
  <c r="I1116" i="6"/>
  <c r="H1116" i="6"/>
  <c r="G1116" i="6"/>
  <c r="F1116" i="6"/>
  <c r="D1116" i="6"/>
  <c r="U1116" i="6" s="1"/>
  <c r="C1116" i="6"/>
  <c r="B1116" i="6"/>
  <c r="E1116" i="6" s="1"/>
  <c r="Q1115" i="6"/>
  <c r="N1115" i="6"/>
  <c r="M1115" i="6"/>
  <c r="L1115" i="6"/>
  <c r="K1115" i="6"/>
  <c r="J1115" i="6"/>
  <c r="I1115" i="6"/>
  <c r="P1115" i="6" s="1"/>
  <c r="H1115" i="6"/>
  <c r="G1115" i="6"/>
  <c r="F1115" i="6"/>
  <c r="D1115" i="6"/>
  <c r="U1115" i="6" s="1"/>
  <c r="C1115" i="6"/>
  <c r="B1115" i="6"/>
  <c r="Q1114" i="6"/>
  <c r="P1114" i="6"/>
  <c r="N1114" i="6"/>
  <c r="M1114" i="6"/>
  <c r="L1114" i="6"/>
  <c r="K1114" i="6"/>
  <c r="J1114" i="6"/>
  <c r="I1114" i="6"/>
  <c r="H1114" i="6"/>
  <c r="G1114" i="6"/>
  <c r="F1114" i="6"/>
  <c r="D1114" i="6"/>
  <c r="U1114" i="6" s="1"/>
  <c r="C1114" i="6"/>
  <c r="B1114" i="6"/>
  <c r="E1114" i="6" s="1"/>
  <c r="Q1113" i="6"/>
  <c r="N1113" i="6"/>
  <c r="M1113" i="6"/>
  <c r="L1113" i="6"/>
  <c r="K1113" i="6"/>
  <c r="J1113" i="6"/>
  <c r="I1113" i="6"/>
  <c r="P1113" i="6" s="1"/>
  <c r="H1113" i="6"/>
  <c r="G1113" i="6"/>
  <c r="F1113" i="6"/>
  <c r="D1113" i="6"/>
  <c r="U1113" i="6" s="1"/>
  <c r="C1113" i="6"/>
  <c r="B1113" i="6"/>
  <c r="Q1112" i="6"/>
  <c r="P1112" i="6"/>
  <c r="N1112" i="6"/>
  <c r="M1112" i="6"/>
  <c r="L1112" i="6"/>
  <c r="K1112" i="6"/>
  <c r="J1112" i="6"/>
  <c r="I1112" i="6"/>
  <c r="H1112" i="6"/>
  <c r="G1112" i="6"/>
  <c r="F1112" i="6"/>
  <c r="D1112" i="6"/>
  <c r="U1112" i="6" s="1"/>
  <c r="C1112" i="6"/>
  <c r="B1112" i="6"/>
  <c r="E1112" i="6" s="1"/>
  <c r="Q1111" i="6"/>
  <c r="N1111" i="6"/>
  <c r="M1111" i="6"/>
  <c r="L1111" i="6"/>
  <c r="K1111" i="6"/>
  <c r="J1111" i="6"/>
  <c r="I1111" i="6"/>
  <c r="P1111" i="6" s="1"/>
  <c r="H1111" i="6"/>
  <c r="G1111" i="6"/>
  <c r="F1111" i="6"/>
  <c r="D1111" i="6"/>
  <c r="U1111" i="6" s="1"/>
  <c r="C1111" i="6"/>
  <c r="B1111" i="6"/>
  <c r="Q1110" i="6"/>
  <c r="P1110" i="6"/>
  <c r="N1110" i="6"/>
  <c r="M1110" i="6"/>
  <c r="L1110" i="6"/>
  <c r="K1110" i="6"/>
  <c r="J1110" i="6"/>
  <c r="I1110" i="6"/>
  <c r="H1110" i="6"/>
  <c r="G1110" i="6"/>
  <c r="F1110" i="6"/>
  <c r="D1110" i="6"/>
  <c r="U1110" i="6" s="1"/>
  <c r="C1110" i="6"/>
  <c r="B1110" i="6"/>
  <c r="E1110" i="6" s="1"/>
  <c r="Q1109" i="6"/>
  <c r="N1109" i="6"/>
  <c r="M1109" i="6"/>
  <c r="L1109" i="6"/>
  <c r="K1109" i="6"/>
  <c r="J1109" i="6"/>
  <c r="I1109" i="6"/>
  <c r="P1109" i="6" s="1"/>
  <c r="H1109" i="6"/>
  <c r="G1109" i="6"/>
  <c r="F1109" i="6"/>
  <c r="D1109" i="6"/>
  <c r="U1109" i="6" s="1"/>
  <c r="C1109" i="6"/>
  <c r="B1109" i="6"/>
  <c r="Q1108" i="6"/>
  <c r="P1108" i="6"/>
  <c r="N1108" i="6"/>
  <c r="M1108" i="6"/>
  <c r="L1108" i="6"/>
  <c r="K1108" i="6"/>
  <c r="J1108" i="6"/>
  <c r="I1108" i="6"/>
  <c r="H1108" i="6"/>
  <c r="G1108" i="6"/>
  <c r="F1108" i="6"/>
  <c r="D1108" i="6"/>
  <c r="U1108" i="6" s="1"/>
  <c r="C1108" i="6"/>
  <c r="B1108" i="6"/>
  <c r="E1108" i="6" s="1"/>
  <c r="Q1107" i="6"/>
  <c r="N1107" i="6"/>
  <c r="M1107" i="6"/>
  <c r="L1107" i="6"/>
  <c r="K1107" i="6"/>
  <c r="J1107" i="6"/>
  <c r="I1107" i="6"/>
  <c r="P1107" i="6" s="1"/>
  <c r="H1107" i="6"/>
  <c r="G1107" i="6"/>
  <c r="F1107" i="6"/>
  <c r="D1107" i="6"/>
  <c r="U1107" i="6" s="1"/>
  <c r="C1107" i="6"/>
  <c r="B1107" i="6"/>
  <c r="Q1106" i="6"/>
  <c r="P1106" i="6"/>
  <c r="N1106" i="6"/>
  <c r="M1106" i="6"/>
  <c r="L1106" i="6"/>
  <c r="K1106" i="6"/>
  <c r="J1106" i="6"/>
  <c r="I1106" i="6"/>
  <c r="H1106" i="6"/>
  <c r="G1106" i="6"/>
  <c r="F1106" i="6"/>
  <c r="D1106" i="6"/>
  <c r="U1106" i="6" s="1"/>
  <c r="C1106" i="6"/>
  <c r="B1106" i="6"/>
  <c r="E1106" i="6" s="1"/>
  <c r="Q1105" i="6"/>
  <c r="N1105" i="6"/>
  <c r="M1105" i="6"/>
  <c r="L1105" i="6"/>
  <c r="K1105" i="6"/>
  <c r="J1105" i="6"/>
  <c r="I1105" i="6"/>
  <c r="P1105" i="6" s="1"/>
  <c r="H1105" i="6"/>
  <c r="G1105" i="6"/>
  <c r="F1105" i="6"/>
  <c r="D1105" i="6"/>
  <c r="U1105" i="6" s="1"/>
  <c r="C1105" i="6"/>
  <c r="B1105" i="6"/>
  <c r="Q1104" i="6"/>
  <c r="P1104" i="6"/>
  <c r="N1104" i="6"/>
  <c r="M1104" i="6"/>
  <c r="L1104" i="6"/>
  <c r="K1104" i="6"/>
  <c r="J1104" i="6"/>
  <c r="I1104" i="6"/>
  <c r="H1104" i="6"/>
  <c r="G1104" i="6"/>
  <c r="F1104" i="6"/>
  <c r="D1104" i="6"/>
  <c r="U1104" i="6" s="1"/>
  <c r="C1104" i="6"/>
  <c r="B1104" i="6"/>
  <c r="E1104" i="6" s="1"/>
  <c r="Q1103" i="6"/>
  <c r="N1103" i="6"/>
  <c r="M1103" i="6"/>
  <c r="L1103" i="6"/>
  <c r="K1103" i="6"/>
  <c r="J1103" i="6"/>
  <c r="I1103" i="6"/>
  <c r="P1103" i="6" s="1"/>
  <c r="H1103" i="6"/>
  <c r="G1103" i="6"/>
  <c r="F1103" i="6"/>
  <c r="D1103" i="6"/>
  <c r="U1103" i="6" s="1"/>
  <c r="C1103" i="6"/>
  <c r="B1103" i="6"/>
  <c r="Q1102" i="6"/>
  <c r="P1102" i="6"/>
  <c r="N1102" i="6"/>
  <c r="M1102" i="6"/>
  <c r="L1102" i="6"/>
  <c r="K1102" i="6"/>
  <c r="J1102" i="6"/>
  <c r="I1102" i="6"/>
  <c r="H1102" i="6"/>
  <c r="G1102" i="6"/>
  <c r="F1102" i="6"/>
  <c r="D1102" i="6"/>
  <c r="U1102" i="6" s="1"/>
  <c r="C1102" i="6"/>
  <c r="B1102" i="6"/>
  <c r="E1102" i="6" s="1"/>
  <c r="Q1101" i="6"/>
  <c r="N1101" i="6"/>
  <c r="M1101" i="6"/>
  <c r="L1101" i="6"/>
  <c r="K1101" i="6"/>
  <c r="J1101" i="6"/>
  <c r="I1101" i="6"/>
  <c r="P1101" i="6" s="1"/>
  <c r="H1101" i="6"/>
  <c r="G1101" i="6"/>
  <c r="F1101" i="6"/>
  <c r="D1101" i="6"/>
  <c r="U1101" i="6" s="1"/>
  <c r="C1101" i="6"/>
  <c r="B1101" i="6"/>
  <c r="Q1100" i="6"/>
  <c r="P1100" i="6"/>
  <c r="N1100" i="6"/>
  <c r="M1100" i="6"/>
  <c r="L1100" i="6"/>
  <c r="K1100" i="6"/>
  <c r="J1100" i="6"/>
  <c r="I1100" i="6"/>
  <c r="H1100" i="6"/>
  <c r="G1100" i="6"/>
  <c r="F1100" i="6"/>
  <c r="D1100" i="6"/>
  <c r="U1100" i="6" s="1"/>
  <c r="C1100" i="6"/>
  <c r="B1100" i="6"/>
  <c r="E1100" i="6" s="1"/>
  <c r="Q1099" i="6"/>
  <c r="N1099" i="6"/>
  <c r="M1099" i="6"/>
  <c r="L1099" i="6"/>
  <c r="K1099" i="6"/>
  <c r="J1099" i="6"/>
  <c r="I1099" i="6"/>
  <c r="P1099" i="6" s="1"/>
  <c r="H1099" i="6"/>
  <c r="G1099" i="6"/>
  <c r="F1099" i="6"/>
  <c r="D1099" i="6"/>
  <c r="U1099" i="6" s="1"/>
  <c r="C1099" i="6"/>
  <c r="B1099" i="6"/>
  <c r="Q1098" i="6"/>
  <c r="P1098" i="6"/>
  <c r="N1098" i="6"/>
  <c r="M1098" i="6"/>
  <c r="L1098" i="6"/>
  <c r="K1098" i="6"/>
  <c r="J1098" i="6"/>
  <c r="I1098" i="6"/>
  <c r="H1098" i="6"/>
  <c r="G1098" i="6"/>
  <c r="F1098" i="6"/>
  <c r="D1098" i="6"/>
  <c r="U1098" i="6" s="1"/>
  <c r="C1098" i="6"/>
  <c r="B1098" i="6"/>
  <c r="E1098" i="6" s="1"/>
  <c r="Q1097" i="6"/>
  <c r="N1097" i="6"/>
  <c r="M1097" i="6"/>
  <c r="L1097" i="6"/>
  <c r="K1097" i="6"/>
  <c r="J1097" i="6"/>
  <c r="I1097" i="6"/>
  <c r="P1097" i="6" s="1"/>
  <c r="H1097" i="6"/>
  <c r="G1097" i="6"/>
  <c r="F1097" i="6"/>
  <c r="D1097" i="6"/>
  <c r="U1097" i="6" s="1"/>
  <c r="C1097" i="6"/>
  <c r="B1097" i="6"/>
  <c r="Q1096" i="6"/>
  <c r="P1096" i="6"/>
  <c r="N1096" i="6"/>
  <c r="M1096" i="6"/>
  <c r="L1096" i="6"/>
  <c r="K1096" i="6"/>
  <c r="J1096" i="6"/>
  <c r="I1096" i="6"/>
  <c r="H1096" i="6"/>
  <c r="G1096" i="6"/>
  <c r="F1096" i="6"/>
  <c r="D1096" i="6"/>
  <c r="U1096" i="6" s="1"/>
  <c r="C1096" i="6"/>
  <c r="B1096" i="6"/>
  <c r="E1096" i="6" s="1"/>
  <c r="Q1095" i="6"/>
  <c r="N1095" i="6"/>
  <c r="M1095" i="6"/>
  <c r="L1095" i="6"/>
  <c r="K1095" i="6"/>
  <c r="J1095" i="6"/>
  <c r="I1095" i="6"/>
  <c r="P1095" i="6" s="1"/>
  <c r="H1095" i="6"/>
  <c r="G1095" i="6"/>
  <c r="F1095" i="6"/>
  <c r="D1095" i="6"/>
  <c r="U1095" i="6" s="1"/>
  <c r="C1095" i="6"/>
  <c r="B1095" i="6"/>
  <c r="Q1094" i="6"/>
  <c r="P1094" i="6"/>
  <c r="N1094" i="6"/>
  <c r="M1094" i="6"/>
  <c r="L1094" i="6"/>
  <c r="K1094" i="6"/>
  <c r="J1094" i="6"/>
  <c r="I1094" i="6"/>
  <c r="H1094" i="6"/>
  <c r="G1094" i="6"/>
  <c r="F1094" i="6"/>
  <c r="D1094" i="6"/>
  <c r="U1094" i="6" s="1"/>
  <c r="C1094" i="6"/>
  <c r="B1094" i="6"/>
  <c r="E1094" i="6" s="1"/>
  <c r="Q1093" i="6"/>
  <c r="N1093" i="6"/>
  <c r="M1093" i="6"/>
  <c r="L1093" i="6"/>
  <c r="K1093" i="6"/>
  <c r="J1093" i="6"/>
  <c r="I1093" i="6"/>
  <c r="P1093" i="6" s="1"/>
  <c r="H1093" i="6"/>
  <c r="G1093" i="6"/>
  <c r="F1093" i="6"/>
  <c r="D1093" i="6"/>
  <c r="U1093" i="6" s="1"/>
  <c r="C1093" i="6"/>
  <c r="B1093" i="6"/>
  <c r="Q1092" i="6"/>
  <c r="P1092" i="6"/>
  <c r="N1092" i="6"/>
  <c r="M1092" i="6"/>
  <c r="L1092" i="6"/>
  <c r="K1092" i="6"/>
  <c r="J1092" i="6"/>
  <c r="I1092" i="6"/>
  <c r="H1092" i="6"/>
  <c r="G1092" i="6"/>
  <c r="F1092" i="6"/>
  <c r="D1092" i="6"/>
  <c r="U1092" i="6" s="1"/>
  <c r="C1092" i="6"/>
  <c r="B1092" i="6"/>
  <c r="E1092" i="6" s="1"/>
  <c r="Q1091" i="6"/>
  <c r="N1091" i="6"/>
  <c r="M1091" i="6"/>
  <c r="L1091" i="6"/>
  <c r="K1091" i="6"/>
  <c r="J1091" i="6"/>
  <c r="I1091" i="6"/>
  <c r="P1091" i="6" s="1"/>
  <c r="H1091" i="6"/>
  <c r="G1091" i="6"/>
  <c r="F1091" i="6"/>
  <c r="D1091" i="6"/>
  <c r="U1091" i="6" s="1"/>
  <c r="C1091" i="6"/>
  <c r="B1091" i="6"/>
  <c r="Q1090" i="6"/>
  <c r="P1090" i="6"/>
  <c r="N1090" i="6"/>
  <c r="M1090" i="6"/>
  <c r="L1090" i="6"/>
  <c r="K1090" i="6"/>
  <c r="J1090" i="6"/>
  <c r="I1090" i="6"/>
  <c r="H1090" i="6"/>
  <c r="G1090" i="6"/>
  <c r="F1090" i="6"/>
  <c r="D1090" i="6"/>
  <c r="U1090" i="6" s="1"/>
  <c r="C1090" i="6"/>
  <c r="B1090" i="6"/>
  <c r="E1090" i="6" s="1"/>
  <c r="Q1089" i="6"/>
  <c r="N1089" i="6"/>
  <c r="M1089" i="6"/>
  <c r="L1089" i="6"/>
  <c r="K1089" i="6"/>
  <c r="J1089" i="6"/>
  <c r="I1089" i="6"/>
  <c r="P1089" i="6" s="1"/>
  <c r="H1089" i="6"/>
  <c r="G1089" i="6"/>
  <c r="F1089" i="6"/>
  <c r="D1089" i="6"/>
  <c r="U1089" i="6" s="1"/>
  <c r="C1089" i="6"/>
  <c r="B1089" i="6"/>
  <c r="Q1088" i="6"/>
  <c r="P1088" i="6"/>
  <c r="N1088" i="6"/>
  <c r="M1088" i="6"/>
  <c r="L1088" i="6"/>
  <c r="K1088" i="6"/>
  <c r="J1088" i="6"/>
  <c r="I1088" i="6"/>
  <c r="H1088" i="6"/>
  <c r="G1088" i="6"/>
  <c r="F1088" i="6"/>
  <c r="D1088" i="6"/>
  <c r="U1088" i="6" s="1"/>
  <c r="C1088" i="6"/>
  <c r="B1088" i="6"/>
  <c r="E1088" i="6" s="1"/>
  <c r="Q1087" i="6"/>
  <c r="N1087" i="6"/>
  <c r="M1087" i="6"/>
  <c r="L1087" i="6"/>
  <c r="K1087" i="6"/>
  <c r="J1087" i="6"/>
  <c r="I1087" i="6"/>
  <c r="P1087" i="6" s="1"/>
  <c r="H1087" i="6"/>
  <c r="G1087" i="6"/>
  <c r="F1087" i="6"/>
  <c r="D1087" i="6"/>
  <c r="U1087" i="6" s="1"/>
  <c r="C1087" i="6"/>
  <c r="B1087" i="6"/>
  <c r="Q1086" i="6"/>
  <c r="P1086" i="6"/>
  <c r="N1086" i="6"/>
  <c r="M1086" i="6"/>
  <c r="L1086" i="6"/>
  <c r="K1086" i="6"/>
  <c r="J1086" i="6"/>
  <c r="I1086" i="6"/>
  <c r="H1086" i="6"/>
  <c r="G1086" i="6"/>
  <c r="F1086" i="6"/>
  <c r="D1086" i="6"/>
  <c r="U1086" i="6" s="1"/>
  <c r="C1086" i="6"/>
  <c r="B1086" i="6"/>
  <c r="E1086" i="6" s="1"/>
  <c r="Q1085" i="6"/>
  <c r="N1085" i="6"/>
  <c r="M1085" i="6"/>
  <c r="L1085" i="6"/>
  <c r="K1085" i="6"/>
  <c r="J1085" i="6"/>
  <c r="I1085" i="6"/>
  <c r="P1085" i="6" s="1"/>
  <c r="H1085" i="6"/>
  <c r="G1085" i="6"/>
  <c r="F1085" i="6"/>
  <c r="D1085" i="6"/>
  <c r="U1085" i="6" s="1"/>
  <c r="C1085" i="6"/>
  <c r="B1085" i="6"/>
  <c r="Q1084" i="6"/>
  <c r="P1084" i="6"/>
  <c r="N1084" i="6"/>
  <c r="M1084" i="6"/>
  <c r="L1084" i="6"/>
  <c r="K1084" i="6"/>
  <c r="J1084" i="6"/>
  <c r="I1084" i="6"/>
  <c r="H1084" i="6"/>
  <c r="G1084" i="6"/>
  <c r="F1084" i="6"/>
  <c r="D1084" i="6"/>
  <c r="U1084" i="6" s="1"/>
  <c r="C1084" i="6"/>
  <c r="B1084" i="6"/>
  <c r="E1084" i="6" s="1"/>
  <c r="Q1083" i="6"/>
  <c r="N1083" i="6"/>
  <c r="M1083" i="6"/>
  <c r="L1083" i="6"/>
  <c r="K1083" i="6"/>
  <c r="J1083" i="6"/>
  <c r="I1083" i="6"/>
  <c r="P1083" i="6" s="1"/>
  <c r="H1083" i="6"/>
  <c r="G1083" i="6"/>
  <c r="F1083" i="6"/>
  <c r="D1083" i="6"/>
  <c r="U1083" i="6" s="1"/>
  <c r="C1083" i="6"/>
  <c r="B1083" i="6"/>
  <c r="Q1082" i="6"/>
  <c r="P1082" i="6"/>
  <c r="N1082" i="6"/>
  <c r="M1082" i="6"/>
  <c r="L1082" i="6"/>
  <c r="K1082" i="6"/>
  <c r="J1082" i="6"/>
  <c r="I1082" i="6"/>
  <c r="H1082" i="6"/>
  <c r="G1082" i="6"/>
  <c r="F1082" i="6"/>
  <c r="D1082" i="6"/>
  <c r="U1082" i="6" s="1"/>
  <c r="C1082" i="6"/>
  <c r="B1082" i="6"/>
  <c r="E1082" i="6" s="1"/>
  <c r="Q1081" i="6"/>
  <c r="N1081" i="6"/>
  <c r="M1081" i="6"/>
  <c r="L1081" i="6"/>
  <c r="K1081" i="6"/>
  <c r="J1081" i="6"/>
  <c r="I1081" i="6"/>
  <c r="P1081" i="6" s="1"/>
  <c r="H1081" i="6"/>
  <c r="G1081" i="6"/>
  <c r="F1081" i="6"/>
  <c r="D1081" i="6"/>
  <c r="U1081" i="6" s="1"/>
  <c r="C1081" i="6"/>
  <c r="B1081" i="6"/>
  <c r="Q1080" i="6"/>
  <c r="P1080" i="6"/>
  <c r="N1080" i="6"/>
  <c r="M1080" i="6"/>
  <c r="L1080" i="6"/>
  <c r="K1080" i="6"/>
  <c r="J1080" i="6"/>
  <c r="I1080" i="6"/>
  <c r="H1080" i="6"/>
  <c r="G1080" i="6"/>
  <c r="F1080" i="6"/>
  <c r="D1080" i="6"/>
  <c r="U1080" i="6" s="1"/>
  <c r="C1080" i="6"/>
  <c r="B1080" i="6"/>
  <c r="E1080" i="6" s="1"/>
  <c r="Q1079" i="6"/>
  <c r="N1079" i="6"/>
  <c r="M1079" i="6"/>
  <c r="L1079" i="6"/>
  <c r="K1079" i="6"/>
  <c r="J1079" i="6"/>
  <c r="I1079" i="6"/>
  <c r="P1079" i="6" s="1"/>
  <c r="H1079" i="6"/>
  <c r="G1079" i="6"/>
  <c r="F1079" i="6"/>
  <c r="D1079" i="6"/>
  <c r="U1079" i="6" s="1"/>
  <c r="C1079" i="6"/>
  <c r="B1079" i="6"/>
  <c r="Q1078" i="6"/>
  <c r="P1078" i="6"/>
  <c r="N1078" i="6"/>
  <c r="M1078" i="6"/>
  <c r="L1078" i="6"/>
  <c r="K1078" i="6"/>
  <c r="J1078" i="6"/>
  <c r="I1078" i="6"/>
  <c r="H1078" i="6"/>
  <c r="G1078" i="6"/>
  <c r="F1078" i="6"/>
  <c r="D1078" i="6"/>
  <c r="U1078" i="6" s="1"/>
  <c r="C1078" i="6"/>
  <c r="B1078" i="6"/>
  <c r="Q1077" i="6"/>
  <c r="N1077" i="6"/>
  <c r="M1077" i="6"/>
  <c r="L1077" i="6"/>
  <c r="K1077" i="6"/>
  <c r="J1077" i="6"/>
  <c r="I1077" i="6"/>
  <c r="P1077" i="6" s="1"/>
  <c r="H1077" i="6"/>
  <c r="G1077" i="6"/>
  <c r="F1077" i="6"/>
  <c r="D1077" i="6"/>
  <c r="U1077" i="6" s="1"/>
  <c r="C1077" i="6"/>
  <c r="B1077" i="6"/>
  <c r="Q1076" i="6"/>
  <c r="P1076" i="6"/>
  <c r="N1076" i="6"/>
  <c r="M1076" i="6"/>
  <c r="L1076" i="6"/>
  <c r="K1076" i="6"/>
  <c r="J1076" i="6"/>
  <c r="I1076" i="6"/>
  <c r="H1076" i="6"/>
  <c r="G1076" i="6"/>
  <c r="F1076" i="6"/>
  <c r="D1076" i="6"/>
  <c r="U1076" i="6" s="1"/>
  <c r="C1076" i="6"/>
  <c r="B1076" i="6"/>
  <c r="Q1075" i="6"/>
  <c r="N1075" i="6"/>
  <c r="M1075" i="6"/>
  <c r="L1075" i="6"/>
  <c r="K1075" i="6"/>
  <c r="J1075" i="6"/>
  <c r="I1075" i="6"/>
  <c r="P1075" i="6" s="1"/>
  <c r="H1075" i="6"/>
  <c r="G1075" i="6"/>
  <c r="F1075" i="6"/>
  <c r="D1075" i="6"/>
  <c r="U1075" i="6" s="1"/>
  <c r="C1075" i="6"/>
  <c r="B1075" i="6"/>
  <c r="Q1074" i="6"/>
  <c r="P1074" i="6"/>
  <c r="N1074" i="6"/>
  <c r="M1074" i="6"/>
  <c r="L1074" i="6"/>
  <c r="K1074" i="6"/>
  <c r="J1074" i="6"/>
  <c r="I1074" i="6"/>
  <c r="H1074" i="6"/>
  <c r="G1074" i="6"/>
  <c r="F1074" i="6"/>
  <c r="D1074" i="6"/>
  <c r="U1074" i="6" s="1"/>
  <c r="C1074" i="6"/>
  <c r="B1074" i="6"/>
  <c r="E1074" i="6" s="1"/>
  <c r="Q1073" i="6"/>
  <c r="N1073" i="6"/>
  <c r="M1073" i="6"/>
  <c r="L1073" i="6"/>
  <c r="K1073" i="6"/>
  <c r="J1073" i="6"/>
  <c r="I1073" i="6"/>
  <c r="P1073" i="6" s="1"/>
  <c r="H1073" i="6"/>
  <c r="G1073" i="6"/>
  <c r="F1073" i="6"/>
  <c r="D1073" i="6"/>
  <c r="U1073" i="6" s="1"/>
  <c r="C1073" i="6"/>
  <c r="B1073" i="6"/>
  <c r="Q1072" i="6"/>
  <c r="P1072" i="6"/>
  <c r="N1072" i="6"/>
  <c r="M1072" i="6"/>
  <c r="L1072" i="6"/>
  <c r="K1072" i="6"/>
  <c r="J1072" i="6"/>
  <c r="I1072" i="6"/>
  <c r="H1072" i="6"/>
  <c r="G1072" i="6"/>
  <c r="F1072" i="6"/>
  <c r="D1072" i="6"/>
  <c r="U1072" i="6" s="1"/>
  <c r="C1072" i="6"/>
  <c r="B1072" i="6"/>
  <c r="E1072" i="6" s="1"/>
  <c r="Q1071" i="6"/>
  <c r="N1071" i="6"/>
  <c r="M1071" i="6"/>
  <c r="L1071" i="6"/>
  <c r="K1071" i="6"/>
  <c r="J1071" i="6"/>
  <c r="I1071" i="6"/>
  <c r="P1071" i="6" s="1"/>
  <c r="H1071" i="6"/>
  <c r="G1071" i="6"/>
  <c r="F1071" i="6"/>
  <c r="D1071" i="6"/>
  <c r="U1071" i="6" s="1"/>
  <c r="C1071" i="6"/>
  <c r="B1071" i="6"/>
  <c r="Q1070" i="6"/>
  <c r="P1070" i="6"/>
  <c r="N1070" i="6"/>
  <c r="M1070" i="6"/>
  <c r="L1070" i="6"/>
  <c r="K1070" i="6"/>
  <c r="J1070" i="6"/>
  <c r="I1070" i="6"/>
  <c r="H1070" i="6"/>
  <c r="G1070" i="6"/>
  <c r="F1070" i="6"/>
  <c r="D1070" i="6"/>
  <c r="U1070" i="6" s="1"/>
  <c r="C1070" i="6"/>
  <c r="B1070" i="6"/>
  <c r="Q1069" i="6"/>
  <c r="N1069" i="6"/>
  <c r="M1069" i="6"/>
  <c r="L1069" i="6"/>
  <c r="K1069" i="6"/>
  <c r="J1069" i="6"/>
  <c r="I1069" i="6"/>
  <c r="P1069" i="6" s="1"/>
  <c r="H1069" i="6"/>
  <c r="G1069" i="6"/>
  <c r="F1069" i="6"/>
  <c r="D1069" i="6"/>
  <c r="U1069" i="6" s="1"/>
  <c r="C1069" i="6"/>
  <c r="B1069" i="6"/>
  <c r="Q1068" i="6"/>
  <c r="P1068" i="6"/>
  <c r="N1068" i="6"/>
  <c r="M1068" i="6"/>
  <c r="L1068" i="6"/>
  <c r="K1068" i="6"/>
  <c r="J1068" i="6"/>
  <c r="I1068" i="6"/>
  <c r="H1068" i="6"/>
  <c r="G1068" i="6"/>
  <c r="F1068" i="6"/>
  <c r="D1068" i="6"/>
  <c r="U1068" i="6" s="1"/>
  <c r="C1068" i="6"/>
  <c r="B1068" i="6"/>
  <c r="Q1067" i="6"/>
  <c r="N1067" i="6"/>
  <c r="M1067" i="6"/>
  <c r="L1067" i="6"/>
  <c r="K1067" i="6"/>
  <c r="J1067" i="6"/>
  <c r="I1067" i="6"/>
  <c r="P1067" i="6" s="1"/>
  <c r="H1067" i="6"/>
  <c r="G1067" i="6"/>
  <c r="F1067" i="6"/>
  <c r="D1067" i="6"/>
  <c r="U1067" i="6" s="1"/>
  <c r="C1067" i="6"/>
  <c r="B1067" i="6"/>
  <c r="Q1066" i="6"/>
  <c r="P1066" i="6"/>
  <c r="N1066" i="6"/>
  <c r="M1066" i="6"/>
  <c r="L1066" i="6"/>
  <c r="K1066" i="6"/>
  <c r="J1066" i="6"/>
  <c r="I1066" i="6"/>
  <c r="H1066" i="6"/>
  <c r="G1066" i="6"/>
  <c r="F1066" i="6"/>
  <c r="D1066" i="6"/>
  <c r="U1066" i="6" s="1"/>
  <c r="C1066" i="6"/>
  <c r="B1066" i="6"/>
  <c r="E1066" i="6" s="1"/>
  <c r="Q1065" i="6"/>
  <c r="N1065" i="6"/>
  <c r="M1065" i="6"/>
  <c r="L1065" i="6"/>
  <c r="K1065" i="6"/>
  <c r="J1065" i="6"/>
  <c r="I1065" i="6"/>
  <c r="P1065" i="6" s="1"/>
  <c r="H1065" i="6"/>
  <c r="G1065" i="6"/>
  <c r="F1065" i="6"/>
  <c r="D1065" i="6"/>
  <c r="U1065" i="6" s="1"/>
  <c r="C1065" i="6"/>
  <c r="B1065" i="6"/>
  <c r="Q1064" i="6"/>
  <c r="P1064" i="6"/>
  <c r="N1064" i="6"/>
  <c r="M1064" i="6"/>
  <c r="L1064" i="6"/>
  <c r="K1064" i="6"/>
  <c r="J1064" i="6"/>
  <c r="I1064" i="6"/>
  <c r="H1064" i="6"/>
  <c r="G1064" i="6"/>
  <c r="F1064" i="6"/>
  <c r="D1064" i="6"/>
  <c r="U1064" i="6" s="1"/>
  <c r="C1064" i="6"/>
  <c r="B1064" i="6"/>
  <c r="E1064" i="6" s="1"/>
  <c r="Q1063" i="6"/>
  <c r="N1063" i="6"/>
  <c r="M1063" i="6"/>
  <c r="L1063" i="6"/>
  <c r="K1063" i="6"/>
  <c r="J1063" i="6"/>
  <c r="I1063" i="6"/>
  <c r="P1063" i="6" s="1"/>
  <c r="H1063" i="6"/>
  <c r="G1063" i="6"/>
  <c r="F1063" i="6"/>
  <c r="D1063" i="6"/>
  <c r="U1063" i="6" s="1"/>
  <c r="C1063" i="6"/>
  <c r="B1063" i="6"/>
  <c r="Q1062" i="6"/>
  <c r="P1062" i="6"/>
  <c r="N1062" i="6"/>
  <c r="M1062" i="6"/>
  <c r="L1062" i="6"/>
  <c r="K1062" i="6"/>
  <c r="J1062" i="6"/>
  <c r="I1062" i="6"/>
  <c r="H1062" i="6"/>
  <c r="G1062" i="6"/>
  <c r="F1062" i="6"/>
  <c r="D1062" i="6"/>
  <c r="U1062" i="6" s="1"/>
  <c r="C1062" i="6"/>
  <c r="B1062" i="6"/>
  <c r="Q1061" i="6"/>
  <c r="N1061" i="6"/>
  <c r="M1061" i="6"/>
  <c r="L1061" i="6"/>
  <c r="K1061" i="6"/>
  <c r="J1061" i="6"/>
  <c r="I1061" i="6"/>
  <c r="P1061" i="6" s="1"/>
  <c r="H1061" i="6"/>
  <c r="G1061" i="6"/>
  <c r="F1061" i="6"/>
  <c r="D1061" i="6"/>
  <c r="U1061" i="6" s="1"/>
  <c r="C1061" i="6"/>
  <c r="B1061" i="6"/>
  <c r="Q1060" i="6"/>
  <c r="P1060" i="6"/>
  <c r="N1060" i="6"/>
  <c r="M1060" i="6"/>
  <c r="L1060" i="6"/>
  <c r="K1060" i="6"/>
  <c r="J1060" i="6"/>
  <c r="I1060" i="6"/>
  <c r="H1060" i="6"/>
  <c r="G1060" i="6"/>
  <c r="F1060" i="6"/>
  <c r="D1060" i="6"/>
  <c r="U1060" i="6" s="1"/>
  <c r="C1060" i="6"/>
  <c r="B1060" i="6"/>
  <c r="Q1059" i="6"/>
  <c r="N1059" i="6"/>
  <c r="M1059" i="6"/>
  <c r="L1059" i="6"/>
  <c r="K1059" i="6"/>
  <c r="J1059" i="6"/>
  <c r="I1059" i="6"/>
  <c r="P1059" i="6" s="1"/>
  <c r="H1059" i="6"/>
  <c r="G1059" i="6"/>
  <c r="F1059" i="6"/>
  <c r="D1059" i="6"/>
  <c r="U1059" i="6" s="1"/>
  <c r="C1059" i="6"/>
  <c r="B1059" i="6"/>
  <c r="Q1058" i="6"/>
  <c r="P1058" i="6"/>
  <c r="N1058" i="6"/>
  <c r="M1058" i="6"/>
  <c r="L1058" i="6"/>
  <c r="K1058" i="6"/>
  <c r="J1058" i="6"/>
  <c r="I1058" i="6"/>
  <c r="H1058" i="6"/>
  <c r="G1058" i="6"/>
  <c r="F1058" i="6"/>
  <c r="D1058" i="6"/>
  <c r="U1058" i="6" s="1"/>
  <c r="C1058" i="6"/>
  <c r="B1058" i="6"/>
  <c r="E1058" i="6" s="1"/>
  <c r="Q1057" i="6"/>
  <c r="N1057" i="6"/>
  <c r="M1057" i="6"/>
  <c r="L1057" i="6"/>
  <c r="K1057" i="6"/>
  <c r="J1057" i="6"/>
  <c r="I1057" i="6"/>
  <c r="P1057" i="6" s="1"/>
  <c r="H1057" i="6"/>
  <c r="G1057" i="6"/>
  <c r="F1057" i="6"/>
  <c r="D1057" i="6"/>
  <c r="U1057" i="6" s="1"/>
  <c r="C1057" i="6"/>
  <c r="B1057" i="6"/>
  <c r="Q1056" i="6"/>
  <c r="P1056" i="6"/>
  <c r="N1056" i="6"/>
  <c r="M1056" i="6"/>
  <c r="L1056" i="6"/>
  <c r="K1056" i="6"/>
  <c r="J1056" i="6"/>
  <c r="I1056" i="6"/>
  <c r="H1056" i="6"/>
  <c r="G1056" i="6"/>
  <c r="F1056" i="6"/>
  <c r="D1056" i="6"/>
  <c r="U1056" i="6" s="1"/>
  <c r="C1056" i="6"/>
  <c r="B1056" i="6"/>
  <c r="E1056" i="6" s="1"/>
  <c r="Q1055" i="6"/>
  <c r="N1055" i="6"/>
  <c r="M1055" i="6"/>
  <c r="L1055" i="6"/>
  <c r="K1055" i="6"/>
  <c r="J1055" i="6"/>
  <c r="I1055" i="6"/>
  <c r="P1055" i="6" s="1"/>
  <c r="H1055" i="6"/>
  <c r="G1055" i="6"/>
  <c r="F1055" i="6"/>
  <c r="D1055" i="6"/>
  <c r="U1055" i="6" s="1"/>
  <c r="C1055" i="6"/>
  <c r="B1055" i="6"/>
  <c r="Q1054" i="6"/>
  <c r="P1054" i="6"/>
  <c r="N1054" i="6"/>
  <c r="M1054" i="6"/>
  <c r="L1054" i="6"/>
  <c r="K1054" i="6"/>
  <c r="J1054" i="6"/>
  <c r="I1054" i="6"/>
  <c r="H1054" i="6"/>
  <c r="G1054" i="6"/>
  <c r="F1054" i="6"/>
  <c r="D1054" i="6"/>
  <c r="U1054" i="6" s="1"/>
  <c r="C1054" i="6"/>
  <c r="B1054" i="6"/>
  <c r="Q1053" i="6"/>
  <c r="N1053" i="6"/>
  <c r="M1053" i="6"/>
  <c r="L1053" i="6"/>
  <c r="K1053" i="6"/>
  <c r="J1053" i="6"/>
  <c r="I1053" i="6"/>
  <c r="P1053" i="6" s="1"/>
  <c r="H1053" i="6"/>
  <c r="G1053" i="6"/>
  <c r="F1053" i="6"/>
  <c r="D1053" i="6"/>
  <c r="U1053" i="6" s="1"/>
  <c r="C1053" i="6"/>
  <c r="B1053" i="6"/>
  <c r="Q1052" i="6"/>
  <c r="P1052" i="6"/>
  <c r="N1052" i="6"/>
  <c r="M1052" i="6"/>
  <c r="L1052" i="6"/>
  <c r="K1052" i="6"/>
  <c r="J1052" i="6"/>
  <c r="I1052" i="6"/>
  <c r="H1052" i="6"/>
  <c r="G1052" i="6"/>
  <c r="F1052" i="6"/>
  <c r="D1052" i="6"/>
  <c r="U1052" i="6" s="1"/>
  <c r="C1052" i="6"/>
  <c r="B1052" i="6"/>
  <c r="Q1051" i="6"/>
  <c r="N1051" i="6"/>
  <c r="M1051" i="6"/>
  <c r="L1051" i="6"/>
  <c r="K1051" i="6"/>
  <c r="J1051" i="6"/>
  <c r="I1051" i="6"/>
  <c r="P1051" i="6" s="1"/>
  <c r="H1051" i="6"/>
  <c r="G1051" i="6"/>
  <c r="F1051" i="6"/>
  <c r="D1051" i="6"/>
  <c r="U1051" i="6" s="1"/>
  <c r="C1051" i="6"/>
  <c r="B1051" i="6"/>
  <c r="Q1050" i="6"/>
  <c r="P1050" i="6"/>
  <c r="N1050" i="6"/>
  <c r="M1050" i="6"/>
  <c r="L1050" i="6"/>
  <c r="K1050" i="6"/>
  <c r="J1050" i="6"/>
  <c r="I1050" i="6"/>
  <c r="H1050" i="6"/>
  <c r="G1050" i="6"/>
  <c r="F1050" i="6"/>
  <c r="D1050" i="6"/>
  <c r="U1050" i="6" s="1"/>
  <c r="C1050" i="6"/>
  <c r="B1050" i="6"/>
  <c r="E1050" i="6" s="1"/>
  <c r="Q1049" i="6"/>
  <c r="N1049" i="6"/>
  <c r="M1049" i="6"/>
  <c r="L1049" i="6"/>
  <c r="K1049" i="6"/>
  <c r="J1049" i="6"/>
  <c r="I1049" i="6"/>
  <c r="P1049" i="6" s="1"/>
  <c r="H1049" i="6"/>
  <c r="G1049" i="6"/>
  <c r="F1049" i="6"/>
  <c r="D1049" i="6"/>
  <c r="U1049" i="6" s="1"/>
  <c r="C1049" i="6"/>
  <c r="B1049" i="6"/>
  <c r="Q1048" i="6"/>
  <c r="P1048" i="6"/>
  <c r="N1048" i="6"/>
  <c r="M1048" i="6"/>
  <c r="L1048" i="6"/>
  <c r="K1048" i="6"/>
  <c r="J1048" i="6"/>
  <c r="I1048" i="6"/>
  <c r="H1048" i="6"/>
  <c r="G1048" i="6"/>
  <c r="F1048" i="6"/>
  <c r="D1048" i="6"/>
  <c r="U1048" i="6" s="1"/>
  <c r="C1048" i="6"/>
  <c r="B1048" i="6"/>
  <c r="E1048" i="6" s="1"/>
  <c r="Q1047" i="6"/>
  <c r="N1047" i="6"/>
  <c r="M1047" i="6"/>
  <c r="L1047" i="6"/>
  <c r="K1047" i="6"/>
  <c r="J1047" i="6"/>
  <c r="I1047" i="6"/>
  <c r="P1047" i="6" s="1"/>
  <c r="H1047" i="6"/>
  <c r="G1047" i="6"/>
  <c r="F1047" i="6"/>
  <c r="D1047" i="6"/>
  <c r="U1047" i="6" s="1"/>
  <c r="C1047" i="6"/>
  <c r="B1047" i="6"/>
  <c r="Q1046" i="6"/>
  <c r="P1046" i="6"/>
  <c r="N1046" i="6"/>
  <c r="M1046" i="6"/>
  <c r="L1046" i="6"/>
  <c r="K1046" i="6"/>
  <c r="J1046" i="6"/>
  <c r="I1046" i="6"/>
  <c r="H1046" i="6"/>
  <c r="G1046" i="6"/>
  <c r="F1046" i="6"/>
  <c r="D1046" i="6"/>
  <c r="U1046" i="6" s="1"/>
  <c r="C1046" i="6"/>
  <c r="B1046" i="6"/>
  <c r="Q1045" i="6"/>
  <c r="N1045" i="6"/>
  <c r="M1045" i="6"/>
  <c r="L1045" i="6"/>
  <c r="K1045" i="6"/>
  <c r="J1045" i="6"/>
  <c r="I1045" i="6"/>
  <c r="P1045" i="6" s="1"/>
  <c r="H1045" i="6"/>
  <c r="G1045" i="6"/>
  <c r="F1045" i="6"/>
  <c r="D1045" i="6"/>
  <c r="U1045" i="6" s="1"/>
  <c r="C1045" i="6"/>
  <c r="B1045" i="6"/>
  <c r="Q1044" i="6"/>
  <c r="P1044" i="6"/>
  <c r="N1044" i="6"/>
  <c r="M1044" i="6"/>
  <c r="L1044" i="6"/>
  <c r="K1044" i="6"/>
  <c r="J1044" i="6"/>
  <c r="I1044" i="6"/>
  <c r="H1044" i="6"/>
  <c r="G1044" i="6"/>
  <c r="F1044" i="6"/>
  <c r="D1044" i="6"/>
  <c r="U1044" i="6" s="1"/>
  <c r="C1044" i="6"/>
  <c r="B1044" i="6"/>
  <c r="Q1043" i="6"/>
  <c r="N1043" i="6"/>
  <c r="M1043" i="6"/>
  <c r="L1043" i="6"/>
  <c r="K1043" i="6"/>
  <c r="J1043" i="6"/>
  <c r="I1043" i="6"/>
  <c r="P1043" i="6" s="1"/>
  <c r="H1043" i="6"/>
  <c r="G1043" i="6"/>
  <c r="F1043" i="6"/>
  <c r="D1043" i="6"/>
  <c r="U1043" i="6" s="1"/>
  <c r="C1043" i="6"/>
  <c r="B1043" i="6"/>
  <c r="Q1042" i="6"/>
  <c r="P1042" i="6"/>
  <c r="N1042" i="6"/>
  <c r="M1042" i="6"/>
  <c r="L1042" i="6"/>
  <c r="K1042" i="6"/>
  <c r="J1042" i="6"/>
  <c r="I1042" i="6"/>
  <c r="H1042" i="6"/>
  <c r="G1042" i="6"/>
  <c r="F1042" i="6"/>
  <c r="D1042" i="6"/>
  <c r="U1042" i="6" s="1"/>
  <c r="C1042" i="6"/>
  <c r="B1042" i="6"/>
  <c r="E1042" i="6" s="1"/>
  <c r="Q1041" i="6"/>
  <c r="N1041" i="6"/>
  <c r="M1041" i="6"/>
  <c r="L1041" i="6"/>
  <c r="K1041" i="6"/>
  <c r="J1041" i="6"/>
  <c r="I1041" i="6"/>
  <c r="P1041" i="6" s="1"/>
  <c r="H1041" i="6"/>
  <c r="G1041" i="6"/>
  <c r="F1041" i="6"/>
  <c r="D1041" i="6"/>
  <c r="U1041" i="6" s="1"/>
  <c r="C1041" i="6"/>
  <c r="B1041" i="6"/>
  <c r="Q1040" i="6"/>
  <c r="P1040" i="6"/>
  <c r="N1040" i="6"/>
  <c r="M1040" i="6"/>
  <c r="L1040" i="6"/>
  <c r="K1040" i="6"/>
  <c r="J1040" i="6"/>
  <c r="I1040" i="6"/>
  <c r="H1040" i="6"/>
  <c r="G1040" i="6"/>
  <c r="F1040" i="6"/>
  <c r="D1040" i="6"/>
  <c r="U1040" i="6" s="1"/>
  <c r="C1040" i="6"/>
  <c r="B1040" i="6"/>
  <c r="E1040" i="6" s="1"/>
  <c r="Q1039" i="6"/>
  <c r="N1039" i="6"/>
  <c r="M1039" i="6"/>
  <c r="L1039" i="6"/>
  <c r="K1039" i="6"/>
  <c r="J1039" i="6"/>
  <c r="I1039" i="6"/>
  <c r="P1039" i="6" s="1"/>
  <c r="H1039" i="6"/>
  <c r="G1039" i="6"/>
  <c r="F1039" i="6"/>
  <c r="D1039" i="6"/>
  <c r="U1039" i="6" s="1"/>
  <c r="C1039" i="6"/>
  <c r="B1039" i="6"/>
  <c r="Q1038" i="6"/>
  <c r="P1038" i="6"/>
  <c r="N1038" i="6"/>
  <c r="M1038" i="6"/>
  <c r="L1038" i="6"/>
  <c r="K1038" i="6"/>
  <c r="J1038" i="6"/>
  <c r="I1038" i="6"/>
  <c r="H1038" i="6"/>
  <c r="G1038" i="6"/>
  <c r="F1038" i="6"/>
  <c r="D1038" i="6"/>
  <c r="U1038" i="6" s="1"/>
  <c r="C1038" i="6"/>
  <c r="B1038" i="6"/>
  <c r="Q1037" i="6"/>
  <c r="N1037" i="6"/>
  <c r="M1037" i="6"/>
  <c r="L1037" i="6"/>
  <c r="K1037" i="6"/>
  <c r="J1037" i="6"/>
  <c r="I1037" i="6"/>
  <c r="P1037" i="6" s="1"/>
  <c r="H1037" i="6"/>
  <c r="G1037" i="6"/>
  <c r="F1037" i="6"/>
  <c r="D1037" i="6"/>
  <c r="U1037" i="6" s="1"/>
  <c r="C1037" i="6"/>
  <c r="B1037" i="6"/>
  <c r="Q1036" i="6"/>
  <c r="P1036" i="6"/>
  <c r="N1036" i="6"/>
  <c r="M1036" i="6"/>
  <c r="L1036" i="6"/>
  <c r="K1036" i="6"/>
  <c r="J1036" i="6"/>
  <c r="I1036" i="6"/>
  <c r="H1036" i="6"/>
  <c r="G1036" i="6"/>
  <c r="F1036" i="6"/>
  <c r="D1036" i="6"/>
  <c r="U1036" i="6" s="1"/>
  <c r="C1036" i="6"/>
  <c r="B1036" i="6"/>
  <c r="Q1035" i="6"/>
  <c r="N1035" i="6"/>
  <c r="M1035" i="6"/>
  <c r="L1035" i="6"/>
  <c r="K1035" i="6"/>
  <c r="J1035" i="6"/>
  <c r="I1035" i="6"/>
  <c r="P1035" i="6" s="1"/>
  <c r="H1035" i="6"/>
  <c r="G1035" i="6"/>
  <c r="F1035" i="6"/>
  <c r="D1035" i="6"/>
  <c r="U1035" i="6" s="1"/>
  <c r="C1035" i="6"/>
  <c r="B1035" i="6"/>
  <c r="Q1034" i="6"/>
  <c r="P1034" i="6"/>
  <c r="N1034" i="6"/>
  <c r="M1034" i="6"/>
  <c r="L1034" i="6"/>
  <c r="K1034" i="6"/>
  <c r="J1034" i="6"/>
  <c r="I1034" i="6"/>
  <c r="H1034" i="6"/>
  <c r="G1034" i="6"/>
  <c r="F1034" i="6"/>
  <c r="D1034" i="6"/>
  <c r="U1034" i="6" s="1"/>
  <c r="C1034" i="6"/>
  <c r="B1034" i="6"/>
  <c r="E1034" i="6" s="1"/>
  <c r="Q1033" i="6"/>
  <c r="N1033" i="6"/>
  <c r="M1033" i="6"/>
  <c r="L1033" i="6"/>
  <c r="K1033" i="6"/>
  <c r="J1033" i="6"/>
  <c r="I1033" i="6"/>
  <c r="P1033" i="6" s="1"/>
  <c r="H1033" i="6"/>
  <c r="G1033" i="6"/>
  <c r="F1033" i="6"/>
  <c r="D1033" i="6"/>
  <c r="U1033" i="6" s="1"/>
  <c r="C1033" i="6"/>
  <c r="B1033" i="6"/>
  <c r="Q1032" i="6"/>
  <c r="P1032" i="6"/>
  <c r="N1032" i="6"/>
  <c r="M1032" i="6"/>
  <c r="L1032" i="6"/>
  <c r="K1032" i="6"/>
  <c r="J1032" i="6"/>
  <c r="I1032" i="6"/>
  <c r="H1032" i="6"/>
  <c r="G1032" i="6"/>
  <c r="F1032" i="6"/>
  <c r="D1032" i="6"/>
  <c r="U1032" i="6" s="1"/>
  <c r="C1032" i="6"/>
  <c r="B1032" i="6"/>
  <c r="E1032" i="6" s="1"/>
  <c r="Q1031" i="6"/>
  <c r="N1031" i="6"/>
  <c r="M1031" i="6"/>
  <c r="L1031" i="6"/>
  <c r="K1031" i="6"/>
  <c r="J1031" i="6"/>
  <c r="I1031" i="6"/>
  <c r="P1031" i="6" s="1"/>
  <c r="H1031" i="6"/>
  <c r="G1031" i="6"/>
  <c r="F1031" i="6"/>
  <c r="D1031" i="6"/>
  <c r="U1031" i="6" s="1"/>
  <c r="C1031" i="6"/>
  <c r="B1031" i="6"/>
  <c r="Q1030" i="6"/>
  <c r="P1030" i="6"/>
  <c r="N1030" i="6"/>
  <c r="M1030" i="6"/>
  <c r="L1030" i="6"/>
  <c r="K1030" i="6"/>
  <c r="J1030" i="6"/>
  <c r="I1030" i="6"/>
  <c r="H1030" i="6"/>
  <c r="G1030" i="6"/>
  <c r="F1030" i="6"/>
  <c r="D1030" i="6"/>
  <c r="U1030" i="6" s="1"/>
  <c r="C1030" i="6"/>
  <c r="B1030" i="6"/>
  <c r="Q1029" i="6"/>
  <c r="N1029" i="6"/>
  <c r="M1029" i="6"/>
  <c r="L1029" i="6"/>
  <c r="K1029" i="6"/>
  <c r="J1029" i="6"/>
  <c r="I1029" i="6"/>
  <c r="P1029" i="6" s="1"/>
  <c r="H1029" i="6"/>
  <c r="G1029" i="6"/>
  <c r="F1029" i="6"/>
  <c r="D1029" i="6"/>
  <c r="U1029" i="6" s="1"/>
  <c r="C1029" i="6"/>
  <c r="B1029" i="6"/>
  <c r="E1029" i="6" s="1"/>
  <c r="Q1028" i="6"/>
  <c r="N1028" i="6"/>
  <c r="M1028" i="6"/>
  <c r="L1028" i="6"/>
  <c r="K1028" i="6"/>
  <c r="J1028" i="6"/>
  <c r="I1028" i="6"/>
  <c r="P1028" i="6" s="1"/>
  <c r="H1028" i="6"/>
  <c r="G1028" i="6"/>
  <c r="F1028" i="6"/>
  <c r="D1028" i="6"/>
  <c r="U1028" i="6" s="1"/>
  <c r="C1028" i="6"/>
  <c r="B1028" i="6"/>
  <c r="Q1027" i="6"/>
  <c r="P1027" i="6"/>
  <c r="N1027" i="6"/>
  <c r="M1027" i="6"/>
  <c r="L1027" i="6"/>
  <c r="K1027" i="6"/>
  <c r="J1027" i="6"/>
  <c r="I1027" i="6"/>
  <c r="H1027" i="6"/>
  <c r="G1027" i="6"/>
  <c r="F1027" i="6"/>
  <c r="D1027" i="6"/>
  <c r="U1027" i="6" s="1"/>
  <c r="C1027" i="6"/>
  <c r="B1027" i="6"/>
  <c r="E1027" i="6" s="1"/>
  <c r="Q1026" i="6"/>
  <c r="N1026" i="6"/>
  <c r="M1026" i="6"/>
  <c r="L1026" i="6"/>
  <c r="K1026" i="6"/>
  <c r="J1026" i="6"/>
  <c r="I1026" i="6"/>
  <c r="P1026" i="6" s="1"/>
  <c r="H1026" i="6"/>
  <c r="G1026" i="6"/>
  <c r="F1026" i="6"/>
  <c r="D1026" i="6"/>
  <c r="U1026" i="6" s="1"/>
  <c r="C1026" i="6"/>
  <c r="B1026" i="6"/>
  <c r="Q1025" i="6"/>
  <c r="P1025" i="6"/>
  <c r="N1025" i="6"/>
  <c r="M1025" i="6"/>
  <c r="L1025" i="6"/>
  <c r="K1025" i="6"/>
  <c r="J1025" i="6"/>
  <c r="I1025" i="6"/>
  <c r="H1025" i="6"/>
  <c r="G1025" i="6"/>
  <c r="F1025" i="6"/>
  <c r="D1025" i="6"/>
  <c r="U1025" i="6" s="1"/>
  <c r="C1025" i="6"/>
  <c r="B1025" i="6"/>
  <c r="E1025" i="6" s="1"/>
  <c r="Q1024" i="6"/>
  <c r="N1024" i="6"/>
  <c r="M1024" i="6"/>
  <c r="L1024" i="6"/>
  <c r="K1024" i="6"/>
  <c r="J1024" i="6"/>
  <c r="I1024" i="6"/>
  <c r="P1024" i="6" s="1"/>
  <c r="H1024" i="6"/>
  <c r="G1024" i="6"/>
  <c r="F1024" i="6"/>
  <c r="D1024" i="6"/>
  <c r="U1024" i="6" s="1"/>
  <c r="C1024" i="6"/>
  <c r="B1024" i="6"/>
  <c r="Q1023" i="6"/>
  <c r="P1023" i="6"/>
  <c r="N1023" i="6"/>
  <c r="M1023" i="6"/>
  <c r="L1023" i="6"/>
  <c r="K1023" i="6"/>
  <c r="J1023" i="6"/>
  <c r="I1023" i="6"/>
  <c r="H1023" i="6"/>
  <c r="G1023" i="6"/>
  <c r="F1023" i="6"/>
  <c r="D1023" i="6"/>
  <c r="U1023" i="6" s="1"/>
  <c r="C1023" i="6"/>
  <c r="B1023" i="6"/>
  <c r="E1023" i="6" s="1"/>
  <c r="Q1022" i="6"/>
  <c r="N1022" i="6"/>
  <c r="M1022" i="6"/>
  <c r="L1022" i="6"/>
  <c r="K1022" i="6"/>
  <c r="J1022" i="6"/>
  <c r="I1022" i="6"/>
  <c r="P1022" i="6" s="1"/>
  <c r="H1022" i="6"/>
  <c r="G1022" i="6"/>
  <c r="F1022" i="6"/>
  <c r="D1022" i="6"/>
  <c r="U1022" i="6" s="1"/>
  <c r="C1022" i="6"/>
  <c r="B1022" i="6"/>
  <c r="Q1021" i="6"/>
  <c r="P1021" i="6"/>
  <c r="N1021" i="6"/>
  <c r="M1021" i="6"/>
  <c r="L1021" i="6"/>
  <c r="K1021" i="6"/>
  <c r="J1021" i="6"/>
  <c r="I1021" i="6"/>
  <c r="H1021" i="6"/>
  <c r="G1021" i="6"/>
  <c r="F1021" i="6"/>
  <c r="D1021" i="6"/>
  <c r="U1021" i="6" s="1"/>
  <c r="C1021" i="6"/>
  <c r="B1021" i="6"/>
  <c r="E1021" i="6" s="1"/>
  <c r="Q1020" i="6"/>
  <c r="N1020" i="6"/>
  <c r="M1020" i="6"/>
  <c r="L1020" i="6"/>
  <c r="K1020" i="6"/>
  <c r="J1020" i="6"/>
  <c r="I1020" i="6"/>
  <c r="P1020" i="6" s="1"/>
  <c r="H1020" i="6"/>
  <c r="G1020" i="6"/>
  <c r="F1020" i="6"/>
  <c r="D1020" i="6"/>
  <c r="U1020" i="6" s="1"/>
  <c r="C1020" i="6"/>
  <c r="B1020" i="6"/>
  <c r="Q1019" i="6"/>
  <c r="P1019" i="6"/>
  <c r="N1019" i="6"/>
  <c r="M1019" i="6"/>
  <c r="L1019" i="6"/>
  <c r="K1019" i="6"/>
  <c r="J1019" i="6"/>
  <c r="I1019" i="6"/>
  <c r="H1019" i="6"/>
  <c r="G1019" i="6"/>
  <c r="F1019" i="6"/>
  <c r="D1019" i="6"/>
  <c r="U1019" i="6" s="1"/>
  <c r="C1019" i="6"/>
  <c r="B1019" i="6"/>
  <c r="E1019" i="6" s="1"/>
  <c r="Q1018" i="6"/>
  <c r="N1018" i="6"/>
  <c r="M1018" i="6"/>
  <c r="L1018" i="6"/>
  <c r="K1018" i="6"/>
  <c r="J1018" i="6"/>
  <c r="I1018" i="6"/>
  <c r="P1018" i="6" s="1"/>
  <c r="H1018" i="6"/>
  <c r="G1018" i="6"/>
  <c r="F1018" i="6"/>
  <c r="D1018" i="6"/>
  <c r="U1018" i="6" s="1"/>
  <c r="C1018" i="6"/>
  <c r="B1018" i="6"/>
  <c r="Q1017" i="6"/>
  <c r="P1017" i="6"/>
  <c r="N1017" i="6"/>
  <c r="M1017" i="6"/>
  <c r="L1017" i="6"/>
  <c r="K1017" i="6"/>
  <c r="J1017" i="6"/>
  <c r="I1017" i="6"/>
  <c r="H1017" i="6"/>
  <c r="G1017" i="6"/>
  <c r="F1017" i="6"/>
  <c r="D1017" i="6"/>
  <c r="U1017" i="6" s="1"/>
  <c r="C1017" i="6"/>
  <c r="B1017" i="6"/>
  <c r="E1017" i="6" s="1"/>
  <c r="Q1016" i="6"/>
  <c r="N1016" i="6"/>
  <c r="M1016" i="6"/>
  <c r="L1016" i="6"/>
  <c r="K1016" i="6"/>
  <c r="J1016" i="6"/>
  <c r="I1016" i="6"/>
  <c r="P1016" i="6" s="1"/>
  <c r="H1016" i="6"/>
  <c r="G1016" i="6"/>
  <c r="F1016" i="6"/>
  <c r="D1016" i="6"/>
  <c r="U1016" i="6" s="1"/>
  <c r="C1016" i="6"/>
  <c r="B1016" i="6"/>
  <c r="Q1015" i="6"/>
  <c r="P1015" i="6"/>
  <c r="N1015" i="6"/>
  <c r="M1015" i="6"/>
  <c r="L1015" i="6"/>
  <c r="K1015" i="6"/>
  <c r="J1015" i="6"/>
  <c r="I1015" i="6"/>
  <c r="H1015" i="6"/>
  <c r="G1015" i="6"/>
  <c r="F1015" i="6"/>
  <c r="D1015" i="6"/>
  <c r="U1015" i="6" s="1"/>
  <c r="C1015" i="6"/>
  <c r="B1015" i="6"/>
  <c r="E1015" i="6" s="1"/>
  <c r="Q1014" i="6"/>
  <c r="N1014" i="6"/>
  <c r="M1014" i="6"/>
  <c r="L1014" i="6"/>
  <c r="K1014" i="6"/>
  <c r="J1014" i="6"/>
  <c r="I1014" i="6"/>
  <c r="P1014" i="6" s="1"/>
  <c r="H1014" i="6"/>
  <c r="G1014" i="6"/>
  <c r="F1014" i="6"/>
  <c r="D1014" i="6"/>
  <c r="U1014" i="6" s="1"/>
  <c r="C1014" i="6"/>
  <c r="B1014" i="6"/>
  <c r="Q1013" i="6"/>
  <c r="P1013" i="6"/>
  <c r="N1013" i="6"/>
  <c r="M1013" i="6"/>
  <c r="L1013" i="6"/>
  <c r="K1013" i="6"/>
  <c r="J1013" i="6"/>
  <c r="I1013" i="6"/>
  <c r="H1013" i="6"/>
  <c r="G1013" i="6"/>
  <c r="F1013" i="6"/>
  <c r="D1013" i="6"/>
  <c r="U1013" i="6" s="1"/>
  <c r="C1013" i="6"/>
  <c r="B1013" i="6"/>
  <c r="E1013" i="6" s="1"/>
  <c r="Q1012" i="6"/>
  <c r="N1012" i="6"/>
  <c r="M1012" i="6"/>
  <c r="L1012" i="6"/>
  <c r="K1012" i="6"/>
  <c r="J1012" i="6"/>
  <c r="I1012" i="6"/>
  <c r="P1012" i="6" s="1"/>
  <c r="H1012" i="6"/>
  <c r="G1012" i="6"/>
  <c r="F1012" i="6"/>
  <c r="D1012" i="6"/>
  <c r="U1012" i="6" s="1"/>
  <c r="C1012" i="6"/>
  <c r="B1012" i="6"/>
  <c r="Q1011" i="6"/>
  <c r="P1011" i="6"/>
  <c r="N1011" i="6"/>
  <c r="M1011" i="6"/>
  <c r="L1011" i="6"/>
  <c r="K1011" i="6"/>
  <c r="J1011" i="6"/>
  <c r="I1011" i="6"/>
  <c r="H1011" i="6"/>
  <c r="G1011" i="6"/>
  <c r="F1011" i="6"/>
  <c r="D1011" i="6"/>
  <c r="U1011" i="6" s="1"/>
  <c r="C1011" i="6"/>
  <c r="B1011" i="6"/>
  <c r="E1011" i="6" s="1"/>
  <c r="Q1010" i="6"/>
  <c r="N1010" i="6"/>
  <c r="M1010" i="6"/>
  <c r="L1010" i="6"/>
  <c r="K1010" i="6"/>
  <c r="J1010" i="6"/>
  <c r="I1010" i="6"/>
  <c r="P1010" i="6" s="1"/>
  <c r="H1010" i="6"/>
  <c r="G1010" i="6"/>
  <c r="F1010" i="6"/>
  <c r="D1010" i="6"/>
  <c r="U1010" i="6" s="1"/>
  <c r="C1010" i="6"/>
  <c r="B1010" i="6"/>
  <c r="Q1009" i="6"/>
  <c r="P1009" i="6"/>
  <c r="N1009" i="6"/>
  <c r="M1009" i="6"/>
  <c r="L1009" i="6"/>
  <c r="K1009" i="6"/>
  <c r="J1009" i="6"/>
  <c r="I1009" i="6"/>
  <c r="H1009" i="6"/>
  <c r="G1009" i="6"/>
  <c r="F1009" i="6"/>
  <c r="D1009" i="6"/>
  <c r="U1009" i="6" s="1"/>
  <c r="C1009" i="6"/>
  <c r="B1009" i="6"/>
  <c r="E1009" i="6" s="1"/>
  <c r="Q1008" i="6"/>
  <c r="N1008" i="6"/>
  <c r="M1008" i="6"/>
  <c r="L1008" i="6"/>
  <c r="K1008" i="6"/>
  <c r="J1008" i="6"/>
  <c r="I1008" i="6"/>
  <c r="P1008" i="6" s="1"/>
  <c r="H1008" i="6"/>
  <c r="G1008" i="6"/>
  <c r="F1008" i="6"/>
  <c r="D1008" i="6"/>
  <c r="U1008" i="6" s="1"/>
  <c r="C1008" i="6"/>
  <c r="B1008" i="6"/>
  <c r="Q1007" i="6"/>
  <c r="P1007" i="6"/>
  <c r="N1007" i="6"/>
  <c r="M1007" i="6"/>
  <c r="L1007" i="6"/>
  <c r="K1007" i="6"/>
  <c r="J1007" i="6"/>
  <c r="I1007" i="6"/>
  <c r="H1007" i="6"/>
  <c r="G1007" i="6"/>
  <c r="F1007" i="6"/>
  <c r="D1007" i="6"/>
  <c r="U1007" i="6" s="1"/>
  <c r="C1007" i="6"/>
  <c r="B1007" i="6"/>
  <c r="E1007" i="6" s="1"/>
  <c r="Q1006" i="6"/>
  <c r="N1006" i="6"/>
  <c r="M1006" i="6"/>
  <c r="L1006" i="6"/>
  <c r="K1006" i="6"/>
  <c r="J1006" i="6"/>
  <c r="I1006" i="6"/>
  <c r="P1006" i="6" s="1"/>
  <c r="H1006" i="6"/>
  <c r="G1006" i="6"/>
  <c r="F1006" i="6"/>
  <c r="D1006" i="6"/>
  <c r="U1006" i="6" s="1"/>
  <c r="C1006" i="6"/>
  <c r="B1006" i="6"/>
  <c r="Q1005" i="6"/>
  <c r="P1005" i="6"/>
  <c r="N1005" i="6"/>
  <c r="M1005" i="6"/>
  <c r="L1005" i="6"/>
  <c r="K1005" i="6"/>
  <c r="J1005" i="6"/>
  <c r="I1005" i="6"/>
  <c r="H1005" i="6"/>
  <c r="G1005" i="6"/>
  <c r="F1005" i="6"/>
  <c r="D1005" i="6"/>
  <c r="U1005" i="6" s="1"/>
  <c r="C1005" i="6"/>
  <c r="B1005" i="6"/>
  <c r="E1005" i="6" s="1"/>
  <c r="Q1004" i="6"/>
  <c r="N1004" i="6"/>
  <c r="M1004" i="6"/>
  <c r="L1004" i="6"/>
  <c r="K1004" i="6"/>
  <c r="J1004" i="6"/>
  <c r="I1004" i="6"/>
  <c r="P1004" i="6" s="1"/>
  <c r="H1004" i="6"/>
  <c r="G1004" i="6"/>
  <c r="F1004" i="6"/>
  <c r="D1004" i="6"/>
  <c r="U1004" i="6" s="1"/>
  <c r="C1004" i="6"/>
  <c r="B1004" i="6"/>
  <c r="Q1003" i="6"/>
  <c r="P1003" i="6"/>
  <c r="N1003" i="6"/>
  <c r="M1003" i="6"/>
  <c r="L1003" i="6"/>
  <c r="K1003" i="6"/>
  <c r="J1003" i="6"/>
  <c r="I1003" i="6"/>
  <c r="H1003" i="6"/>
  <c r="G1003" i="6"/>
  <c r="F1003" i="6"/>
  <c r="D1003" i="6"/>
  <c r="U1003" i="6" s="1"/>
  <c r="C1003" i="6"/>
  <c r="B1003" i="6"/>
  <c r="E1003" i="6" s="1"/>
  <c r="Q1002" i="6"/>
  <c r="N1002" i="6"/>
  <c r="M1002" i="6"/>
  <c r="L1002" i="6"/>
  <c r="K1002" i="6"/>
  <c r="J1002" i="6"/>
  <c r="I1002" i="6"/>
  <c r="P1002" i="6" s="1"/>
  <c r="H1002" i="6"/>
  <c r="G1002" i="6"/>
  <c r="F1002" i="6"/>
  <c r="D1002" i="6"/>
  <c r="U1002" i="6" s="1"/>
  <c r="C1002" i="6"/>
  <c r="B1002" i="6"/>
  <c r="Q1001" i="6"/>
  <c r="P1001" i="6"/>
  <c r="N1001" i="6"/>
  <c r="M1001" i="6"/>
  <c r="L1001" i="6"/>
  <c r="K1001" i="6"/>
  <c r="J1001" i="6"/>
  <c r="I1001" i="6"/>
  <c r="H1001" i="6"/>
  <c r="G1001" i="6"/>
  <c r="F1001" i="6"/>
  <c r="D1001" i="6"/>
  <c r="U1001" i="6" s="1"/>
  <c r="C1001" i="6"/>
  <c r="B1001" i="6"/>
  <c r="E1001" i="6" s="1"/>
  <c r="Q1000" i="6"/>
  <c r="N1000" i="6"/>
  <c r="M1000" i="6"/>
  <c r="L1000" i="6"/>
  <c r="K1000" i="6"/>
  <c r="J1000" i="6"/>
  <c r="I1000" i="6"/>
  <c r="P1000" i="6" s="1"/>
  <c r="H1000" i="6"/>
  <c r="G1000" i="6"/>
  <c r="F1000" i="6"/>
  <c r="D1000" i="6"/>
  <c r="U1000" i="6" s="1"/>
  <c r="C1000" i="6"/>
  <c r="B1000" i="6"/>
  <c r="Q999" i="6"/>
  <c r="P999" i="6"/>
  <c r="N999" i="6"/>
  <c r="M999" i="6"/>
  <c r="L999" i="6"/>
  <c r="K999" i="6"/>
  <c r="J999" i="6"/>
  <c r="I999" i="6"/>
  <c r="H999" i="6"/>
  <c r="G999" i="6"/>
  <c r="F999" i="6"/>
  <c r="D999" i="6"/>
  <c r="U999" i="6" s="1"/>
  <c r="C999" i="6"/>
  <c r="B999" i="6"/>
  <c r="E999" i="6" s="1"/>
  <c r="Q998" i="6"/>
  <c r="N998" i="6"/>
  <c r="M998" i="6"/>
  <c r="L998" i="6"/>
  <c r="K998" i="6"/>
  <c r="J998" i="6"/>
  <c r="I998" i="6"/>
  <c r="P998" i="6" s="1"/>
  <c r="H998" i="6"/>
  <c r="G998" i="6"/>
  <c r="F998" i="6"/>
  <c r="D998" i="6"/>
  <c r="U998" i="6" s="1"/>
  <c r="C998" i="6"/>
  <c r="B998" i="6"/>
  <c r="Q997" i="6"/>
  <c r="P997" i="6"/>
  <c r="N997" i="6"/>
  <c r="M997" i="6"/>
  <c r="L997" i="6"/>
  <c r="K997" i="6"/>
  <c r="J997" i="6"/>
  <c r="I997" i="6"/>
  <c r="H997" i="6"/>
  <c r="G997" i="6"/>
  <c r="F997" i="6"/>
  <c r="D997" i="6"/>
  <c r="U997" i="6" s="1"/>
  <c r="C997" i="6"/>
  <c r="B997" i="6"/>
  <c r="E997" i="6" s="1"/>
  <c r="Q996" i="6"/>
  <c r="N996" i="6"/>
  <c r="M996" i="6"/>
  <c r="L996" i="6"/>
  <c r="K996" i="6"/>
  <c r="J996" i="6"/>
  <c r="I996" i="6"/>
  <c r="P996" i="6" s="1"/>
  <c r="H996" i="6"/>
  <c r="G996" i="6"/>
  <c r="F996" i="6"/>
  <c r="D996" i="6"/>
  <c r="U996" i="6" s="1"/>
  <c r="C996" i="6"/>
  <c r="B996" i="6"/>
  <c r="Q995" i="6"/>
  <c r="P995" i="6"/>
  <c r="N995" i="6"/>
  <c r="M995" i="6"/>
  <c r="L995" i="6"/>
  <c r="K995" i="6"/>
  <c r="J995" i="6"/>
  <c r="I995" i="6"/>
  <c r="H995" i="6"/>
  <c r="G995" i="6"/>
  <c r="F995" i="6"/>
  <c r="D995" i="6"/>
  <c r="U995" i="6" s="1"/>
  <c r="C995" i="6"/>
  <c r="B995" i="6"/>
  <c r="E995" i="6" s="1"/>
  <c r="Q994" i="6"/>
  <c r="N994" i="6"/>
  <c r="M994" i="6"/>
  <c r="L994" i="6"/>
  <c r="K994" i="6"/>
  <c r="J994" i="6"/>
  <c r="I994" i="6"/>
  <c r="P994" i="6" s="1"/>
  <c r="H994" i="6"/>
  <c r="G994" i="6"/>
  <c r="F994" i="6"/>
  <c r="D994" i="6"/>
  <c r="U994" i="6" s="1"/>
  <c r="C994" i="6"/>
  <c r="B994" i="6"/>
  <c r="Q993" i="6"/>
  <c r="P993" i="6"/>
  <c r="N993" i="6"/>
  <c r="M993" i="6"/>
  <c r="L993" i="6"/>
  <c r="K993" i="6"/>
  <c r="J993" i="6"/>
  <c r="I993" i="6"/>
  <c r="H993" i="6"/>
  <c r="G993" i="6"/>
  <c r="F993" i="6"/>
  <c r="D993" i="6"/>
  <c r="U993" i="6" s="1"/>
  <c r="C993" i="6"/>
  <c r="B993" i="6"/>
  <c r="E993" i="6" s="1"/>
  <c r="Q992" i="6"/>
  <c r="N992" i="6"/>
  <c r="M992" i="6"/>
  <c r="L992" i="6"/>
  <c r="K992" i="6"/>
  <c r="J992" i="6"/>
  <c r="I992" i="6"/>
  <c r="P992" i="6" s="1"/>
  <c r="H992" i="6"/>
  <c r="G992" i="6"/>
  <c r="F992" i="6"/>
  <c r="D992" i="6"/>
  <c r="U992" i="6" s="1"/>
  <c r="C992" i="6"/>
  <c r="B992" i="6"/>
  <c r="Q991" i="6"/>
  <c r="P991" i="6"/>
  <c r="N991" i="6"/>
  <c r="M991" i="6"/>
  <c r="L991" i="6"/>
  <c r="K991" i="6"/>
  <c r="J991" i="6"/>
  <c r="I991" i="6"/>
  <c r="H991" i="6"/>
  <c r="G991" i="6"/>
  <c r="F991" i="6"/>
  <c r="D991" i="6"/>
  <c r="U991" i="6" s="1"/>
  <c r="C991" i="6"/>
  <c r="B991" i="6"/>
  <c r="E991" i="6" s="1"/>
  <c r="Q990" i="6"/>
  <c r="N990" i="6"/>
  <c r="M990" i="6"/>
  <c r="L990" i="6"/>
  <c r="K990" i="6"/>
  <c r="J990" i="6"/>
  <c r="I990" i="6"/>
  <c r="P990" i="6" s="1"/>
  <c r="H990" i="6"/>
  <c r="G990" i="6"/>
  <c r="F990" i="6"/>
  <c r="D990" i="6"/>
  <c r="U990" i="6" s="1"/>
  <c r="C990" i="6"/>
  <c r="B990" i="6"/>
  <c r="Q989" i="6"/>
  <c r="P989" i="6"/>
  <c r="N989" i="6"/>
  <c r="M989" i="6"/>
  <c r="L989" i="6"/>
  <c r="K989" i="6"/>
  <c r="J989" i="6"/>
  <c r="I989" i="6"/>
  <c r="H989" i="6"/>
  <c r="G989" i="6"/>
  <c r="F989" i="6"/>
  <c r="D989" i="6"/>
  <c r="U989" i="6" s="1"/>
  <c r="C989" i="6"/>
  <c r="B989" i="6"/>
  <c r="E989" i="6" s="1"/>
  <c r="Q988" i="6"/>
  <c r="N988" i="6"/>
  <c r="M988" i="6"/>
  <c r="L988" i="6"/>
  <c r="K988" i="6"/>
  <c r="J988" i="6"/>
  <c r="I988" i="6"/>
  <c r="P988" i="6" s="1"/>
  <c r="H988" i="6"/>
  <c r="G988" i="6"/>
  <c r="F988" i="6"/>
  <c r="D988" i="6"/>
  <c r="U988" i="6" s="1"/>
  <c r="C988" i="6"/>
  <c r="B988" i="6"/>
  <c r="Q987" i="6"/>
  <c r="P987" i="6"/>
  <c r="N987" i="6"/>
  <c r="M987" i="6"/>
  <c r="L987" i="6"/>
  <c r="K987" i="6"/>
  <c r="J987" i="6"/>
  <c r="I987" i="6"/>
  <c r="H987" i="6"/>
  <c r="G987" i="6"/>
  <c r="F987" i="6"/>
  <c r="D987" i="6"/>
  <c r="U987" i="6" s="1"/>
  <c r="C987" i="6"/>
  <c r="B987" i="6"/>
  <c r="E987" i="6" s="1"/>
  <c r="Q986" i="6"/>
  <c r="N986" i="6"/>
  <c r="M986" i="6"/>
  <c r="L986" i="6"/>
  <c r="K986" i="6"/>
  <c r="J986" i="6"/>
  <c r="I986" i="6"/>
  <c r="P986" i="6" s="1"/>
  <c r="H986" i="6"/>
  <c r="G986" i="6"/>
  <c r="F986" i="6"/>
  <c r="D986" i="6"/>
  <c r="U986" i="6" s="1"/>
  <c r="C986" i="6"/>
  <c r="B986" i="6"/>
  <c r="Q985" i="6"/>
  <c r="P985" i="6"/>
  <c r="N985" i="6"/>
  <c r="M985" i="6"/>
  <c r="L985" i="6"/>
  <c r="K985" i="6"/>
  <c r="J985" i="6"/>
  <c r="I985" i="6"/>
  <c r="H985" i="6"/>
  <c r="G985" i="6"/>
  <c r="F985" i="6"/>
  <c r="D985" i="6"/>
  <c r="U985" i="6" s="1"/>
  <c r="C985" i="6"/>
  <c r="B985" i="6"/>
  <c r="E985" i="6" s="1"/>
  <c r="Q984" i="6"/>
  <c r="N984" i="6"/>
  <c r="M984" i="6"/>
  <c r="L984" i="6"/>
  <c r="K984" i="6"/>
  <c r="J984" i="6"/>
  <c r="I984" i="6"/>
  <c r="P984" i="6" s="1"/>
  <c r="H984" i="6"/>
  <c r="G984" i="6"/>
  <c r="F984" i="6"/>
  <c r="D984" i="6"/>
  <c r="U984" i="6" s="1"/>
  <c r="C984" i="6"/>
  <c r="B984" i="6"/>
  <c r="Q983" i="6"/>
  <c r="P983" i="6"/>
  <c r="N983" i="6"/>
  <c r="M983" i="6"/>
  <c r="L983" i="6"/>
  <c r="K983" i="6"/>
  <c r="J983" i="6"/>
  <c r="I983" i="6"/>
  <c r="H983" i="6"/>
  <c r="G983" i="6"/>
  <c r="F983" i="6"/>
  <c r="D983" i="6"/>
  <c r="U983" i="6" s="1"/>
  <c r="C983" i="6"/>
  <c r="B983" i="6"/>
  <c r="E983" i="6" s="1"/>
  <c r="Q982" i="6"/>
  <c r="N982" i="6"/>
  <c r="M982" i="6"/>
  <c r="L982" i="6"/>
  <c r="K982" i="6"/>
  <c r="J982" i="6"/>
  <c r="I982" i="6"/>
  <c r="P982" i="6" s="1"/>
  <c r="H982" i="6"/>
  <c r="G982" i="6"/>
  <c r="F982" i="6"/>
  <c r="D982" i="6"/>
  <c r="U982" i="6" s="1"/>
  <c r="C982" i="6"/>
  <c r="B982" i="6"/>
  <c r="Q981" i="6"/>
  <c r="P981" i="6"/>
  <c r="N981" i="6"/>
  <c r="M981" i="6"/>
  <c r="L981" i="6"/>
  <c r="K981" i="6"/>
  <c r="J981" i="6"/>
  <c r="I981" i="6"/>
  <c r="H981" i="6"/>
  <c r="G981" i="6"/>
  <c r="F981" i="6"/>
  <c r="D981" i="6"/>
  <c r="U981" i="6" s="1"/>
  <c r="C981" i="6"/>
  <c r="B981" i="6"/>
  <c r="E981" i="6" s="1"/>
  <c r="Q980" i="6"/>
  <c r="N980" i="6"/>
  <c r="M980" i="6"/>
  <c r="L980" i="6"/>
  <c r="K980" i="6"/>
  <c r="J980" i="6"/>
  <c r="I980" i="6"/>
  <c r="P980" i="6" s="1"/>
  <c r="H980" i="6"/>
  <c r="G980" i="6"/>
  <c r="F980" i="6"/>
  <c r="D980" i="6"/>
  <c r="U980" i="6" s="1"/>
  <c r="C980" i="6"/>
  <c r="B980" i="6"/>
  <c r="Q979" i="6"/>
  <c r="P979" i="6"/>
  <c r="N979" i="6"/>
  <c r="M979" i="6"/>
  <c r="L979" i="6"/>
  <c r="K979" i="6"/>
  <c r="J979" i="6"/>
  <c r="I979" i="6"/>
  <c r="H979" i="6"/>
  <c r="G979" i="6"/>
  <c r="F979" i="6"/>
  <c r="D979" i="6"/>
  <c r="U979" i="6" s="1"/>
  <c r="C979" i="6"/>
  <c r="B979" i="6"/>
  <c r="E979" i="6" s="1"/>
  <c r="Q978" i="6"/>
  <c r="N978" i="6"/>
  <c r="M978" i="6"/>
  <c r="L978" i="6"/>
  <c r="K978" i="6"/>
  <c r="J978" i="6"/>
  <c r="I978" i="6"/>
  <c r="P978" i="6" s="1"/>
  <c r="H978" i="6"/>
  <c r="G978" i="6"/>
  <c r="F978" i="6"/>
  <c r="D978" i="6"/>
  <c r="U978" i="6" s="1"/>
  <c r="C978" i="6"/>
  <c r="B978" i="6"/>
  <c r="Q977" i="6"/>
  <c r="P977" i="6"/>
  <c r="N977" i="6"/>
  <c r="M977" i="6"/>
  <c r="L977" i="6"/>
  <c r="K977" i="6"/>
  <c r="J977" i="6"/>
  <c r="I977" i="6"/>
  <c r="H977" i="6"/>
  <c r="G977" i="6"/>
  <c r="F977" i="6"/>
  <c r="D977" i="6"/>
  <c r="U977" i="6" s="1"/>
  <c r="C977" i="6"/>
  <c r="B977" i="6"/>
  <c r="E977" i="6" s="1"/>
  <c r="Q976" i="6"/>
  <c r="N976" i="6"/>
  <c r="M976" i="6"/>
  <c r="L976" i="6"/>
  <c r="K976" i="6"/>
  <c r="J976" i="6"/>
  <c r="I976" i="6"/>
  <c r="P976" i="6" s="1"/>
  <c r="H976" i="6"/>
  <c r="G976" i="6"/>
  <c r="F976" i="6"/>
  <c r="D976" i="6"/>
  <c r="U976" i="6" s="1"/>
  <c r="C976" i="6"/>
  <c r="B976" i="6"/>
  <c r="Q975" i="6"/>
  <c r="P975" i="6"/>
  <c r="N975" i="6"/>
  <c r="M975" i="6"/>
  <c r="L975" i="6"/>
  <c r="K975" i="6"/>
  <c r="J975" i="6"/>
  <c r="I975" i="6"/>
  <c r="H975" i="6"/>
  <c r="G975" i="6"/>
  <c r="F975" i="6"/>
  <c r="D975" i="6"/>
  <c r="U975" i="6" s="1"/>
  <c r="C975" i="6"/>
  <c r="B975" i="6"/>
  <c r="E975" i="6" s="1"/>
  <c r="Q974" i="6"/>
  <c r="N974" i="6"/>
  <c r="M974" i="6"/>
  <c r="L974" i="6"/>
  <c r="K974" i="6"/>
  <c r="J974" i="6"/>
  <c r="I974" i="6"/>
  <c r="P974" i="6" s="1"/>
  <c r="H974" i="6"/>
  <c r="G974" i="6"/>
  <c r="F974" i="6"/>
  <c r="D974" i="6"/>
  <c r="U974" i="6" s="1"/>
  <c r="C974" i="6"/>
  <c r="B974" i="6"/>
  <c r="Q973" i="6"/>
  <c r="P973" i="6"/>
  <c r="N973" i="6"/>
  <c r="M973" i="6"/>
  <c r="L973" i="6"/>
  <c r="K973" i="6"/>
  <c r="J973" i="6"/>
  <c r="I973" i="6"/>
  <c r="H973" i="6"/>
  <c r="G973" i="6"/>
  <c r="F973" i="6"/>
  <c r="D973" i="6"/>
  <c r="U973" i="6" s="1"/>
  <c r="C973" i="6"/>
  <c r="B973" i="6"/>
  <c r="E973" i="6" s="1"/>
  <c r="Q972" i="6"/>
  <c r="N972" i="6"/>
  <c r="M972" i="6"/>
  <c r="L972" i="6"/>
  <c r="K972" i="6"/>
  <c r="J972" i="6"/>
  <c r="I972" i="6"/>
  <c r="P972" i="6" s="1"/>
  <c r="H972" i="6"/>
  <c r="G972" i="6"/>
  <c r="F972" i="6"/>
  <c r="D972" i="6"/>
  <c r="U972" i="6" s="1"/>
  <c r="C972" i="6"/>
  <c r="B972" i="6"/>
  <c r="Q971" i="6"/>
  <c r="P971" i="6"/>
  <c r="N971" i="6"/>
  <c r="M971" i="6"/>
  <c r="L971" i="6"/>
  <c r="K971" i="6"/>
  <c r="J971" i="6"/>
  <c r="I971" i="6"/>
  <c r="H971" i="6"/>
  <c r="G971" i="6"/>
  <c r="F971" i="6"/>
  <c r="D971" i="6"/>
  <c r="U971" i="6" s="1"/>
  <c r="C971" i="6"/>
  <c r="B971" i="6"/>
  <c r="E971" i="6" s="1"/>
  <c r="Q970" i="6"/>
  <c r="N970" i="6"/>
  <c r="M970" i="6"/>
  <c r="L970" i="6"/>
  <c r="K970" i="6"/>
  <c r="J970" i="6"/>
  <c r="I970" i="6"/>
  <c r="P970" i="6" s="1"/>
  <c r="H970" i="6"/>
  <c r="G970" i="6"/>
  <c r="F970" i="6"/>
  <c r="D970" i="6"/>
  <c r="U970" i="6" s="1"/>
  <c r="C970" i="6"/>
  <c r="B970" i="6"/>
  <c r="Q969" i="6"/>
  <c r="P969" i="6"/>
  <c r="N969" i="6"/>
  <c r="M969" i="6"/>
  <c r="L969" i="6"/>
  <c r="K969" i="6"/>
  <c r="J969" i="6"/>
  <c r="I969" i="6"/>
  <c r="H969" i="6"/>
  <c r="G969" i="6"/>
  <c r="F969" i="6"/>
  <c r="D969" i="6"/>
  <c r="U969" i="6" s="1"/>
  <c r="C969" i="6"/>
  <c r="B969" i="6"/>
  <c r="E969" i="6" s="1"/>
  <c r="Q968" i="6"/>
  <c r="N968" i="6"/>
  <c r="M968" i="6"/>
  <c r="L968" i="6"/>
  <c r="K968" i="6"/>
  <c r="J968" i="6"/>
  <c r="I968" i="6"/>
  <c r="P968" i="6" s="1"/>
  <c r="H968" i="6"/>
  <c r="G968" i="6"/>
  <c r="F968" i="6"/>
  <c r="D968" i="6"/>
  <c r="U968" i="6" s="1"/>
  <c r="C968" i="6"/>
  <c r="B968" i="6"/>
  <c r="Q967" i="6"/>
  <c r="P967" i="6"/>
  <c r="N967" i="6"/>
  <c r="M967" i="6"/>
  <c r="L967" i="6"/>
  <c r="K967" i="6"/>
  <c r="J967" i="6"/>
  <c r="I967" i="6"/>
  <c r="H967" i="6"/>
  <c r="G967" i="6"/>
  <c r="F967" i="6"/>
  <c r="D967" i="6"/>
  <c r="U967" i="6" s="1"/>
  <c r="C967" i="6"/>
  <c r="B967" i="6"/>
  <c r="E967" i="6" s="1"/>
  <c r="Q966" i="6"/>
  <c r="N966" i="6"/>
  <c r="M966" i="6"/>
  <c r="L966" i="6"/>
  <c r="K966" i="6"/>
  <c r="J966" i="6"/>
  <c r="I966" i="6"/>
  <c r="P966" i="6" s="1"/>
  <c r="H966" i="6"/>
  <c r="G966" i="6"/>
  <c r="F966" i="6"/>
  <c r="D966" i="6"/>
  <c r="U966" i="6" s="1"/>
  <c r="C966" i="6"/>
  <c r="B966" i="6"/>
  <c r="Q965" i="6"/>
  <c r="P965" i="6"/>
  <c r="N965" i="6"/>
  <c r="M965" i="6"/>
  <c r="L965" i="6"/>
  <c r="K965" i="6"/>
  <c r="J965" i="6"/>
  <c r="I965" i="6"/>
  <c r="H965" i="6"/>
  <c r="G965" i="6"/>
  <c r="F965" i="6"/>
  <c r="D965" i="6"/>
  <c r="U965" i="6" s="1"/>
  <c r="C965" i="6"/>
  <c r="B965" i="6"/>
  <c r="E965" i="6" s="1"/>
  <c r="Q964" i="6"/>
  <c r="N964" i="6"/>
  <c r="M964" i="6"/>
  <c r="L964" i="6"/>
  <c r="K964" i="6"/>
  <c r="J964" i="6"/>
  <c r="I964" i="6"/>
  <c r="P964" i="6" s="1"/>
  <c r="H964" i="6"/>
  <c r="G964" i="6"/>
  <c r="F964" i="6"/>
  <c r="D964" i="6"/>
  <c r="U964" i="6" s="1"/>
  <c r="C964" i="6"/>
  <c r="B964" i="6"/>
  <c r="Q963" i="6"/>
  <c r="P963" i="6"/>
  <c r="N963" i="6"/>
  <c r="M963" i="6"/>
  <c r="L963" i="6"/>
  <c r="K963" i="6"/>
  <c r="J963" i="6"/>
  <c r="I963" i="6"/>
  <c r="H963" i="6"/>
  <c r="G963" i="6"/>
  <c r="F963" i="6"/>
  <c r="D963" i="6"/>
  <c r="U963" i="6" s="1"/>
  <c r="C963" i="6"/>
  <c r="B963" i="6"/>
  <c r="E963" i="6" s="1"/>
  <c r="Q962" i="6"/>
  <c r="N962" i="6"/>
  <c r="M962" i="6"/>
  <c r="L962" i="6"/>
  <c r="K962" i="6"/>
  <c r="J962" i="6"/>
  <c r="I962" i="6"/>
  <c r="P962" i="6" s="1"/>
  <c r="H962" i="6"/>
  <c r="G962" i="6"/>
  <c r="F962" i="6"/>
  <c r="D962" i="6"/>
  <c r="U962" i="6" s="1"/>
  <c r="C962" i="6"/>
  <c r="B962" i="6"/>
  <c r="Q961" i="6"/>
  <c r="P961" i="6"/>
  <c r="N961" i="6"/>
  <c r="M961" i="6"/>
  <c r="L961" i="6"/>
  <c r="K961" i="6"/>
  <c r="J961" i="6"/>
  <c r="I961" i="6"/>
  <c r="H961" i="6"/>
  <c r="G961" i="6"/>
  <c r="F961" i="6"/>
  <c r="D961" i="6"/>
  <c r="U961" i="6" s="1"/>
  <c r="C961" i="6"/>
  <c r="B961" i="6"/>
  <c r="E961" i="6" s="1"/>
  <c r="Q960" i="6"/>
  <c r="N960" i="6"/>
  <c r="M960" i="6"/>
  <c r="L960" i="6"/>
  <c r="K960" i="6"/>
  <c r="J960" i="6"/>
  <c r="I960" i="6"/>
  <c r="P960" i="6" s="1"/>
  <c r="H960" i="6"/>
  <c r="G960" i="6"/>
  <c r="F960" i="6"/>
  <c r="D960" i="6"/>
  <c r="U960" i="6" s="1"/>
  <c r="C960" i="6"/>
  <c r="B960" i="6"/>
  <c r="Q959" i="6"/>
  <c r="P959" i="6"/>
  <c r="N959" i="6"/>
  <c r="M959" i="6"/>
  <c r="L959" i="6"/>
  <c r="K959" i="6"/>
  <c r="J959" i="6"/>
  <c r="I959" i="6"/>
  <c r="H959" i="6"/>
  <c r="G959" i="6"/>
  <c r="F959" i="6"/>
  <c r="D959" i="6"/>
  <c r="U959" i="6" s="1"/>
  <c r="C959" i="6"/>
  <c r="B959" i="6"/>
  <c r="E959" i="6" s="1"/>
  <c r="Q958" i="6"/>
  <c r="N958" i="6"/>
  <c r="M958" i="6"/>
  <c r="L958" i="6"/>
  <c r="K958" i="6"/>
  <c r="J958" i="6"/>
  <c r="I958" i="6"/>
  <c r="P958" i="6" s="1"/>
  <c r="H958" i="6"/>
  <c r="G958" i="6"/>
  <c r="F958" i="6"/>
  <c r="D958" i="6"/>
  <c r="U958" i="6" s="1"/>
  <c r="C958" i="6"/>
  <c r="B958" i="6"/>
  <c r="Q957" i="6"/>
  <c r="P957" i="6"/>
  <c r="N957" i="6"/>
  <c r="M957" i="6"/>
  <c r="L957" i="6"/>
  <c r="K957" i="6"/>
  <c r="J957" i="6"/>
  <c r="I957" i="6"/>
  <c r="H957" i="6"/>
  <c r="G957" i="6"/>
  <c r="F957" i="6"/>
  <c r="D957" i="6"/>
  <c r="U957" i="6" s="1"/>
  <c r="C957" i="6"/>
  <c r="B957" i="6"/>
  <c r="E957" i="6" s="1"/>
  <c r="Q956" i="6"/>
  <c r="N956" i="6"/>
  <c r="M956" i="6"/>
  <c r="L956" i="6"/>
  <c r="K956" i="6"/>
  <c r="J956" i="6"/>
  <c r="I956" i="6"/>
  <c r="P956" i="6" s="1"/>
  <c r="H956" i="6"/>
  <c r="G956" i="6"/>
  <c r="F956" i="6"/>
  <c r="D956" i="6"/>
  <c r="U956" i="6" s="1"/>
  <c r="C956" i="6"/>
  <c r="B956" i="6"/>
  <c r="Q955" i="6"/>
  <c r="P955" i="6"/>
  <c r="N955" i="6"/>
  <c r="M955" i="6"/>
  <c r="L955" i="6"/>
  <c r="K955" i="6"/>
  <c r="J955" i="6"/>
  <c r="I955" i="6"/>
  <c r="H955" i="6"/>
  <c r="G955" i="6"/>
  <c r="F955" i="6"/>
  <c r="D955" i="6"/>
  <c r="U955" i="6" s="1"/>
  <c r="C955" i="6"/>
  <c r="B955" i="6"/>
  <c r="E955" i="6" s="1"/>
  <c r="Q954" i="6"/>
  <c r="N954" i="6"/>
  <c r="M954" i="6"/>
  <c r="L954" i="6"/>
  <c r="K954" i="6"/>
  <c r="J954" i="6"/>
  <c r="I954" i="6"/>
  <c r="P954" i="6" s="1"/>
  <c r="H954" i="6"/>
  <c r="G954" i="6"/>
  <c r="F954" i="6"/>
  <c r="D954" i="6"/>
  <c r="U954" i="6" s="1"/>
  <c r="C954" i="6"/>
  <c r="B954" i="6"/>
  <c r="Q953" i="6"/>
  <c r="P953" i="6"/>
  <c r="N953" i="6"/>
  <c r="M953" i="6"/>
  <c r="L953" i="6"/>
  <c r="K953" i="6"/>
  <c r="J953" i="6"/>
  <c r="I953" i="6"/>
  <c r="H953" i="6"/>
  <c r="G953" i="6"/>
  <c r="F953" i="6"/>
  <c r="D953" i="6"/>
  <c r="U953" i="6" s="1"/>
  <c r="C953" i="6"/>
  <c r="B953" i="6"/>
  <c r="E953" i="6" s="1"/>
  <c r="Q952" i="6"/>
  <c r="N952" i="6"/>
  <c r="M952" i="6"/>
  <c r="L952" i="6"/>
  <c r="K952" i="6"/>
  <c r="J952" i="6"/>
  <c r="I952" i="6"/>
  <c r="P952" i="6" s="1"/>
  <c r="H952" i="6"/>
  <c r="G952" i="6"/>
  <c r="F952" i="6"/>
  <c r="D952" i="6"/>
  <c r="U952" i="6" s="1"/>
  <c r="C952" i="6"/>
  <c r="B952" i="6"/>
  <c r="Q951" i="6"/>
  <c r="P951" i="6"/>
  <c r="N951" i="6"/>
  <c r="M951" i="6"/>
  <c r="L951" i="6"/>
  <c r="K951" i="6"/>
  <c r="J951" i="6"/>
  <c r="I951" i="6"/>
  <c r="H951" i="6"/>
  <c r="G951" i="6"/>
  <c r="F951" i="6"/>
  <c r="D951" i="6"/>
  <c r="U951" i="6" s="1"/>
  <c r="C951" i="6"/>
  <c r="B951" i="6"/>
  <c r="E951" i="6" s="1"/>
  <c r="Q950" i="6"/>
  <c r="N950" i="6"/>
  <c r="M950" i="6"/>
  <c r="L950" i="6"/>
  <c r="K950" i="6"/>
  <c r="J950" i="6"/>
  <c r="I950" i="6"/>
  <c r="P950" i="6" s="1"/>
  <c r="H950" i="6"/>
  <c r="G950" i="6"/>
  <c r="F950" i="6"/>
  <c r="D950" i="6"/>
  <c r="U950" i="6" s="1"/>
  <c r="C950" i="6"/>
  <c r="B950" i="6"/>
  <c r="Q949" i="6"/>
  <c r="P949" i="6"/>
  <c r="N949" i="6"/>
  <c r="M949" i="6"/>
  <c r="L949" i="6"/>
  <c r="K949" i="6"/>
  <c r="J949" i="6"/>
  <c r="I949" i="6"/>
  <c r="H949" i="6"/>
  <c r="G949" i="6"/>
  <c r="F949" i="6"/>
  <c r="D949" i="6"/>
  <c r="U949" i="6" s="1"/>
  <c r="C949" i="6"/>
  <c r="B949" i="6"/>
  <c r="E949" i="6" s="1"/>
  <c r="Q948" i="6"/>
  <c r="N948" i="6"/>
  <c r="M948" i="6"/>
  <c r="L948" i="6"/>
  <c r="K948" i="6"/>
  <c r="J948" i="6"/>
  <c r="I948" i="6"/>
  <c r="P948" i="6" s="1"/>
  <c r="H948" i="6"/>
  <c r="G948" i="6"/>
  <c r="F948" i="6"/>
  <c r="D948" i="6"/>
  <c r="U948" i="6" s="1"/>
  <c r="C948" i="6"/>
  <c r="B948" i="6"/>
  <c r="Q947" i="6"/>
  <c r="P947" i="6"/>
  <c r="N947" i="6"/>
  <c r="M947" i="6"/>
  <c r="L947" i="6"/>
  <c r="K947" i="6"/>
  <c r="J947" i="6"/>
  <c r="I947" i="6"/>
  <c r="H947" i="6"/>
  <c r="G947" i="6"/>
  <c r="F947" i="6"/>
  <c r="D947" i="6"/>
  <c r="U947" i="6" s="1"/>
  <c r="C947" i="6"/>
  <c r="B947" i="6"/>
  <c r="E947" i="6" s="1"/>
  <c r="Q946" i="6"/>
  <c r="N946" i="6"/>
  <c r="M946" i="6"/>
  <c r="L946" i="6"/>
  <c r="K946" i="6"/>
  <c r="J946" i="6"/>
  <c r="I946" i="6"/>
  <c r="P946" i="6" s="1"/>
  <c r="H946" i="6"/>
  <c r="G946" i="6"/>
  <c r="F946" i="6"/>
  <c r="D946" i="6"/>
  <c r="U946" i="6" s="1"/>
  <c r="C946" i="6"/>
  <c r="B946" i="6"/>
  <c r="Q945" i="6"/>
  <c r="P945" i="6"/>
  <c r="N945" i="6"/>
  <c r="M945" i="6"/>
  <c r="L945" i="6"/>
  <c r="K945" i="6"/>
  <c r="J945" i="6"/>
  <c r="I945" i="6"/>
  <c r="H945" i="6"/>
  <c r="G945" i="6"/>
  <c r="F945" i="6"/>
  <c r="D945" i="6"/>
  <c r="U945" i="6" s="1"/>
  <c r="C945" i="6"/>
  <c r="B945" i="6"/>
  <c r="E945" i="6" s="1"/>
  <c r="Q944" i="6"/>
  <c r="N944" i="6"/>
  <c r="M944" i="6"/>
  <c r="L944" i="6"/>
  <c r="K944" i="6"/>
  <c r="J944" i="6"/>
  <c r="I944" i="6"/>
  <c r="P944" i="6" s="1"/>
  <c r="H944" i="6"/>
  <c r="G944" i="6"/>
  <c r="F944" i="6"/>
  <c r="D944" i="6"/>
  <c r="U944" i="6" s="1"/>
  <c r="C944" i="6"/>
  <c r="B944" i="6"/>
  <c r="Q943" i="6"/>
  <c r="P943" i="6"/>
  <c r="N943" i="6"/>
  <c r="M943" i="6"/>
  <c r="L943" i="6"/>
  <c r="K943" i="6"/>
  <c r="J943" i="6"/>
  <c r="I943" i="6"/>
  <c r="H943" i="6"/>
  <c r="G943" i="6"/>
  <c r="F943" i="6"/>
  <c r="D943" i="6"/>
  <c r="U943" i="6" s="1"/>
  <c r="C943" i="6"/>
  <c r="B943" i="6"/>
  <c r="E943" i="6" s="1"/>
  <c r="Q942" i="6"/>
  <c r="N942" i="6"/>
  <c r="M942" i="6"/>
  <c r="L942" i="6"/>
  <c r="K942" i="6"/>
  <c r="J942" i="6"/>
  <c r="I942" i="6"/>
  <c r="P942" i="6" s="1"/>
  <c r="H942" i="6"/>
  <c r="G942" i="6"/>
  <c r="F942" i="6"/>
  <c r="D942" i="6"/>
  <c r="U942" i="6" s="1"/>
  <c r="C942" i="6"/>
  <c r="B942" i="6"/>
  <c r="Q941" i="6"/>
  <c r="P941" i="6"/>
  <c r="N941" i="6"/>
  <c r="M941" i="6"/>
  <c r="L941" i="6"/>
  <c r="K941" i="6"/>
  <c r="J941" i="6"/>
  <c r="I941" i="6"/>
  <c r="H941" i="6"/>
  <c r="G941" i="6"/>
  <c r="F941" i="6"/>
  <c r="D941" i="6"/>
  <c r="U941" i="6" s="1"/>
  <c r="C941" i="6"/>
  <c r="B941" i="6"/>
  <c r="E941" i="6" s="1"/>
  <c r="Q940" i="6"/>
  <c r="N940" i="6"/>
  <c r="M940" i="6"/>
  <c r="L940" i="6"/>
  <c r="K940" i="6"/>
  <c r="J940" i="6"/>
  <c r="I940" i="6"/>
  <c r="P940" i="6" s="1"/>
  <c r="H940" i="6"/>
  <c r="G940" i="6"/>
  <c r="F940" i="6"/>
  <c r="D940" i="6"/>
  <c r="U940" i="6" s="1"/>
  <c r="C940" i="6"/>
  <c r="B940" i="6"/>
  <c r="Q939" i="6"/>
  <c r="P939" i="6"/>
  <c r="N939" i="6"/>
  <c r="M939" i="6"/>
  <c r="L939" i="6"/>
  <c r="K939" i="6"/>
  <c r="J939" i="6"/>
  <c r="I939" i="6"/>
  <c r="H939" i="6"/>
  <c r="G939" i="6"/>
  <c r="F939" i="6"/>
  <c r="D939" i="6"/>
  <c r="U939" i="6" s="1"/>
  <c r="C939" i="6"/>
  <c r="B939" i="6"/>
  <c r="E939" i="6" s="1"/>
  <c r="Q938" i="6"/>
  <c r="N938" i="6"/>
  <c r="M938" i="6"/>
  <c r="L938" i="6"/>
  <c r="K938" i="6"/>
  <c r="J938" i="6"/>
  <c r="I938" i="6"/>
  <c r="P938" i="6" s="1"/>
  <c r="H938" i="6"/>
  <c r="G938" i="6"/>
  <c r="F938" i="6"/>
  <c r="D938" i="6"/>
  <c r="U938" i="6" s="1"/>
  <c r="C938" i="6"/>
  <c r="B938" i="6"/>
  <c r="Q937" i="6"/>
  <c r="P937" i="6"/>
  <c r="N937" i="6"/>
  <c r="M937" i="6"/>
  <c r="L937" i="6"/>
  <c r="K937" i="6"/>
  <c r="J937" i="6"/>
  <c r="I937" i="6"/>
  <c r="H937" i="6"/>
  <c r="G937" i="6"/>
  <c r="F937" i="6"/>
  <c r="D937" i="6"/>
  <c r="U937" i="6" s="1"/>
  <c r="C937" i="6"/>
  <c r="B937" i="6"/>
  <c r="E937" i="6" s="1"/>
  <c r="Q936" i="6"/>
  <c r="N936" i="6"/>
  <c r="M936" i="6"/>
  <c r="L936" i="6"/>
  <c r="K936" i="6"/>
  <c r="J936" i="6"/>
  <c r="I936" i="6"/>
  <c r="P936" i="6" s="1"/>
  <c r="H936" i="6"/>
  <c r="G936" i="6"/>
  <c r="F936" i="6"/>
  <c r="D936" i="6"/>
  <c r="U936" i="6" s="1"/>
  <c r="C936" i="6"/>
  <c r="B936" i="6"/>
  <c r="Q935" i="6"/>
  <c r="P935" i="6"/>
  <c r="N935" i="6"/>
  <c r="M935" i="6"/>
  <c r="L935" i="6"/>
  <c r="K935" i="6"/>
  <c r="J935" i="6"/>
  <c r="I935" i="6"/>
  <c r="H935" i="6"/>
  <c r="G935" i="6"/>
  <c r="F935" i="6"/>
  <c r="D935" i="6"/>
  <c r="U935" i="6" s="1"/>
  <c r="C935" i="6"/>
  <c r="B935" i="6"/>
  <c r="E935" i="6" s="1"/>
  <c r="Q934" i="6"/>
  <c r="N934" i="6"/>
  <c r="M934" i="6"/>
  <c r="L934" i="6"/>
  <c r="K934" i="6"/>
  <c r="J934" i="6"/>
  <c r="I934" i="6"/>
  <c r="P934" i="6" s="1"/>
  <c r="H934" i="6"/>
  <c r="G934" i="6"/>
  <c r="F934" i="6"/>
  <c r="D934" i="6"/>
  <c r="U934" i="6" s="1"/>
  <c r="C934" i="6"/>
  <c r="B934" i="6"/>
  <c r="Q933" i="6"/>
  <c r="P933" i="6"/>
  <c r="N933" i="6"/>
  <c r="M933" i="6"/>
  <c r="L933" i="6"/>
  <c r="K933" i="6"/>
  <c r="J933" i="6"/>
  <c r="I933" i="6"/>
  <c r="H933" i="6"/>
  <c r="G933" i="6"/>
  <c r="F933" i="6"/>
  <c r="D933" i="6"/>
  <c r="U933" i="6" s="1"/>
  <c r="C933" i="6"/>
  <c r="B933" i="6"/>
  <c r="E933" i="6" s="1"/>
  <c r="Q932" i="6"/>
  <c r="N932" i="6"/>
  <c r="M932" i="6"/>
  <c r="L932" i="6"/>
  <c r="K932" i="6"/>
  <c r="J932" i="6"/>
  <c r="I932" i="6"/>
  <c r="P932" i="6" s="1"/>
  <c r="H932" i="6"/>
  <c r="G932" i="6"/>
  <c r="F932" i="6"/>
  <c r="D932" i="6"/>
  <c r="U932" i="6" s="1"/>
  <c r="C932" i="6"/>
  <c r="B932" i="6"/>
  <c r="Q931" i="6"/>
  <c r="P931" i="6"/>
  <c r="N931" i="6"/>
  <c r="M931" i="6"/>
  <c r="L931" i="6"/>
  <c r="K931" i="6"/>
  <c r="J931" i="6"/>
  <c r="I931" i="6"/>
  <c r="H931" i="6"/>
  <c r="G931" i="6"/>
  <c r="F931" i="6"/>
  <c r="D931" i="6"/>
  <c r="U931" i="6" s="1"/>
  <c r="C931" i="6"/>
  <c r="B931" i="6"/>
  <c r="E931" i="6" s="1"/>
  <c r="Q930" i="6"/>
  <c r="N930" i="6"/>
  <c r="M930" i="6"/>
  <c r="L930" i="6"/>
  <c r="K930" i="6"/>
  <c r="J930" i="6"/>
  <c r="I930" i="6"/>
  <c r="P930" i="6" s="1"/>
  <c r="H930" i="6"/>
  <c r="G930" i="6"/>
  <c r="F930" i="6"/>
  <c r="D930" i="6"/>
  <c r="U930" i="6" s="1"/>
  <c r="C930" i="6"/>
  <c r="B930" i="6"/>
  <c r="Q929" i="6"/>
  <c r="P929" i="6"/>
  <c r="N929" i="6"/>
  <c r="M929" i="6"/>
  <c r="L929" i="6"/>
  <c r="K929" i="6"/>
  <c r="J929" i="6"/>
  <c r="I929" i="6"/>
  <c r="H929" i="6"/>
  <c r="G929" i="6"/>
  <c r="F929" i="6"/>
  <c r="D929" i="6"/>
  <c r="U929" i="6" s="1"/>
  <c r="C929" i="6"/>
  <c r="B929" i="6"/>
  <c r="E929" i="6" s="1"/>
  <c r="Q928" i="6"/>
  <c r="N928" i="6"/>
  <c r="M928" i="6"/>
  <c r="L928" i="6"/>
  <c r="K928" i="6"/>
  <c r="J928" i="6"/>
  <c r="I928" i="6"/>
  <c r="P928" i="6" s="1"/>
  <c r="H928" i="6"/>
  <c r="G928" i="6"/>
  <c r="F928" i="6"/>
  <c r="D928" i="6"/>
  <c r="U928" i="6" s="1"/>
  <c r="C928" i="6"/>
  <c r="B928" i="6"/>
  <c r="Q927" i="6"/>
  <c r="P927" i="6"/>
  <c r="N927" i="6"/>
  <c r="M927" i="6"/>
  <c r="L927" i="6"/>
  <c r="K927" i="6"/>
  <c r="J927" i="6"/>
  <c r="I927" i="6"/>
  <c r="H927" i="6"/>
  <c r="G927" i="6"/>
  <c r="F927" i="6"/>
  <c r="D927" i="6"/>
  <c r="U927" i="6" s="1"/>
  <c r="C927" i="6"/>
  <c r="B927" i="6"/>
  <c r="E927" i="6" s="1"/>
  <c r="Q926" i="6"/>
  <c r="N926" i="6"/>
  <c r="M926" i="6"/>
  <c r="L926" i="6"/>
  <c r="K926" i="6"/>
  <c r="J926" i="6"/>
  <c r="I926" i="6"/>
  <c r="P926" i="6" s="1"/>
  <c r="H926" i="6"/>
  <c r="G926" i="6"/>
  <c r="F926" i="6"/>
  <c r="D926" i="6"/>
  <c r="U926" i="6" s="1"/>
  <c r="C926" i="6"/>
  <c r="B926" i="6"/>
  <c r="Q925" i="6"/>
  <c r="P925" i="6"/>
  <c r="N925" i="6"/>
  <c r="M925" i="6"/>
  <c r="L925" i="6"/>
  <c r="K925" i="6"/>
  <c r="J925" i="6"/>
  <c r="I925" i="6"/>
  <c r="H925" i="6"/>
  <c r="G925" i="6"/>
  <c r="F925" i="6"/>
  <c r="D925" i="6"/>
  <c r="U925" i="6" s="1"/>
  <c r="C925" i="6"/>
  <c r="B925" i="6"/>
  <c r="E925" i="6" s="1"/>
  <c r="Q924" i="6"/>
  <c r="N924" i="6"/>
  <c r="M924" i="6"/>
  <c r="L924" i="6"/>
  <c r="K924" i="6"/>
  <c r="J924" i="6"/>
  <c r="I924" i="6"/>
  <c r="P924" i="6" s="1"/>
  <c r="H924" i="6"/>
  <c r="G924" i="6"/>
  <c r="F924" i="6"/>
  <c r="D924" i="6"/>
  <c r="U924" i="6" s="1"/>
  <c r="C924" i="6"/>
  <c r="B924" i="6"/>
  <c r="Q923" i="6"/>
  <c r="P923" i="6"/>
  <c r="N923" i="6"/>
  <c r="M923" i="6"/>
  <c r="L923" i="6"/>
  <c r="K923" i="6"/>
  <c r="J923" i="6"/>
  <c r="I923" i="6"/>
  <c r="H923" i="6"/>
  <c r="G923" i="6"/>
  <c r="F923" i="6"/>
  <c r="D923" i="6"/>
  <c r="U923" i="6" s="1"/>
  <c r="C923" i="6"/>
  <c r="B923" i="6"/>
  <c r="E923" i="6" s="1"/>
  <c r="Q922" i="6"/>
  <c r="N922" i="6"/>
  <c r="M922" i="6"/>
  <c r="L922" i="6"/>
  <c r="K922" i="6"/>
  <c r="J922" i="6"/>
  <c r="I922" i="6"/>
  <c r="P922" i="6" s="1"/>
  <c r="H922" i="6"/>
  <c r="G922" i="6"/>
  <c r="F922" i="6"/>
  <c r="D922" i="6"/>
  <c r="U922" i="6" s="1"/>
  <c r="C922" i="6"/>
  <c r="B922" i="6"/>
  <c r="Q921" i="6"/>
  <c r="P921" i="6"/>
  <c r="N921" i="6"/>
  <c r="M921" i="6"/>
  <c r="L921" i="6"/>
  <c r="K921" i="6"/>
  <c r="J921" i="6"/>
  <c r="I921" i="6"/>
  <c r="H921" i="6"/>
  <c r="G921" i="6"/>
  <c r="F921" i="6"/>
  <c r="D921" i="6"/>
  <c r="U921" i="6" s="1"/>
  <c r="C921" i="6"/>
  <c r="B921" i="6"/>
  <c r="E921" i="6" s="1"/>
  <c r="Q920" i="6"/>
  <c r="N920" i="6"/>
  <c r="M920" i="6"/>
  <c r="L920" i="6"/>
  <c r="K920" i="6"/>
  <c r="J920" i="6"/>
  <c r="I920" i="6"/>
  <c r="P920" i="6" s="1"/>
  <c r="H920" i="6"/>
  <c r="G920" i="6"/>
  <c r="F920" i="6"/>
  <c r="D920" i="6"/>
  <c r="U920" i="6" s="1"/>
  <c r="C920" i="6"/>
  <c r="B920" i="6"/>
  <c r="Q919" i="6"/>
  <c r="P919" i="6"/>
  <c r="N919" i="6"/>
  <c r="M919" i="6"/>
  <c r="L919" i="6"/>
  <c r="K919" i="6"/>
  <c r="J919" i="6"/>
  <c r="I919" i="6"/>
  <c r="H919" i="6"/>
  <c r="G919" i="6"/>
  <c r="F919" i="6"/>
  <c r="D919" i="6"/>
  <c r="U919" i="6" s="1"/>
  <c r="C919" i="6"/>
  <c r="B919" i="6"/>
  <c r="E919" i="6" s="1"/>
  <c r="Q918" i="6"/>
  <c r="N918" i="6"/>
  <c r="M918" i="6"/>
  <c r="L918" i="6"/>
  <c r="K918" i="6"/>
  <c r="J918" i="6"/>
  <c r="I918" i="6"/>
  <c r="P918" i="6" s="1"/>
  <c r="H918" i="6"/>
  <c r="G918" i="6"/>
  <c r="F918" i="6"/>
  <c r="D918" i="6"/>
  <c r="U918" i="6" s="1"/>
  <c r="C918" i="6"/>
  <c r="B918" i="6"/>
  <c r="Q917" i="6"/>
  <c r="P917" i="6"/>
  <c r="N917" i="6"/>
  <c r="M917" i="6"/>
  <c r="L917" i="6"/>
  <c r="K917" i="6"/>
  <c r="J917" i="6"/>
  <c r="I917" i="6"/>
  <c r="H917" i="6"/>
  <c r="G917" i="6"/>
  <c r="F917" i="6"/>
  <c r="D917" i="6"/>
  <c r="U917" i="6" s="1"/>
  <c r="C917" i="6"/>
  <c r="B917" i="6"/>
  <c r="E917" i="6" s="1"/>
  <c r="Q916" i="6"/>
  <c r="N916" i="6"/>
  <c r="M916" i="6"/>
  <c r="L916" i="6"/>
  <c r="K916" i="6"/>
  <c r="J916" i="6"/>
  <c r="I916" i="6"/>
  <c r="P916" i="6" s="1"/>
  <c r="H916" i="6"/>
  <c r="G916" i="6"/>
  <c r="F916" i="6"/>
  <c r="D916" i="6"/>
  <c r="U916" i="6" s="1"/>
  <c r="C916" i="6"/>
  <c r="B916" i="6"/>
  <c r="Q915" i="6"/>
  <c r="P915" i="6"/>
  <c r="N915" i="6"/>
  <c r="M915" i="6"/>
  <c r="L915" i="6"/>
  <c r="K915" i="6"/>
  <c r="J915" i="6"/>
  <c r="I915" i="6"/>
  <c r="H915" i="6"/>
  <c r="G915" i="6"/>
  <c r="F915" i="6"/>
  <c r="D915" i="6"/>
  <c r="U915" i="6" s="1"/>
  <c r="C915" i="6"/>
  <c r="B915" i="6"/>
  <c r="E915" i="6" s="1"/>
  <c r="Q914" i="6"/>
  <c r="N914" i="6"/>
  <c r="M914" i="6"/>
  <c r="L914" i="6"/>
  <c r="K914" i="6"/>
  <c r="J914" i="6"/>
  <c r="I914" i="6"/>
  <c r="P914" i="6" s="1"/>
  <c r="H914" i="6"/>
  <c r="G914" i="6"/>
  <c r="F914" i="6"/>
  <c r="D914" i="6"/>
  <c r="U914" i="6" s="1"/>
  <c r="C914" i="6"/>
  <c r="B914" i="6"/>
  <c r="Q913" i="6"/>
  <c r="P913" i="6"/>
  <c r="N913" i="6"/>
  <c r="M913" i="6"/>
  <c r="L913" i="6"/>
  <c r="K913" i="6"/>
  <c r="J913" i="6"/>
  <c r="I913" i="6"/>
  <c r="H913" i="6"/>
  <c r="G913" i="6"/>
  <c r="F913" i="6"/>
  <c r="D913" i="6"/>
  <c r="U913" i="6" s="1"/>
  <c r="C913" i="6"/>
  <c r="B913" i="6"/>
  <c r="E913" i="6" s="1"/>
  <c r="Q912" i="6"/>
  <c r="N912" i="6"/>
  <c r="M912" i="6"/>
  <c r="L912" i="6"/>
  <c r="K912" i="6"/>
  <c r="J912" i="6"/>
  <c r="I912" i="6"/>
  <c r="P912" i="6" s="1"/>
  <c r="H912" i="6"/>
  <c r="G912" i="6"/>
  <c r="F912" i="6"/>
  <c r="D912" i="6"/>
  <c r="U912" i="6" s="1"/>
  <c r="C912" i="6"/>
  <c r="B912" i="6"/>
  <c r="Q911" i="6"/>
  <c r="P911" i="6"/>
  <c r="N911" i="6"/>
  <c r="M911" i="6"/>
  <c r="L911" i="6"/>
  <c r="K911" i="6"/>
  <c r="J911" i="6"/>
  <c r="I911" i="6"/>
  <c r="H911" i="6"/>
  <c r="G911" i="6"/>
  <c r="F911" i="6"/>
  <c r="D911" i="6"/>
  <c r="U911" i="6" s="1"/>
  <c r="C911" i="6"/>
  <c r="B911" i="6"/>
  <c r="E911" i="6" s="1"/>
  <c r="Q910" i="6"/>
  <c r="N910" i="6"/>
  <c r="M910" i="6"/>
  <c r="L910" i="6"/>
  <c r="K910" i="6"/>
  <c r="J910" i="6"/>
  <c r="I910" i="6"/>
  <c r="P910" i="6" s="1"/>
  <c r="H910" i="6"/>
  <c r="G910" i="6"/>
  <c r="F910" i="6"/>
  <c r="D910" i="6"/>
  <c r="U910" i="6" s="1"/>
  <c r="C910" i="6"/>
  <c r="B910" i="6"/>
  <c r="Q909" i="6"/>
  <c r="P909" i="6"/>
  <c r="N909" i="6"/>
  <c r="M909" i="6"/>
  <c r="L909" i="6"/>
  <c r="K909" i="6"/>
  <c r="J909" i="6"/>
  <c r="I909" i="6"/>
  <c r="H909" i="6"/>
  <c r="G909" i="6"/>
  <c r="F909" i="6"/>
  <c r="D909" i="6"/>
  <c r="U909" i="6" s="1"/>
  <c r="C909" i="6"/>
  <c r="B909" i="6"/>
  <c r="E909" i="6" s="1"/>
  <c r="Q908" i="6"/>
  <c r="N908" i="6"/>
  <c r="M908" i="6"/>
  <c r="L908" i="6"/>
  <c r="K908" i="6"/>
  <c r="J908" i="6"/>
  <c r="I908" i="6"/>
  <c r="P908" i="6" s="1"/>
  <c r="H908" i="6"/>
  <c r="G908" i="6"/>
  <c r="F908" i="6"/>
  <c r="D908" i="6"/>
  <c r="U908" i="6" s="1"/>
  <c r="C908" i="6"/>
  <c r="B908" i="6"/>
  <c r="Q907" i="6"/>
  <c r="P907" i="6"/>
  <c r="N907" i="6"/>
  <c r="M907" i="6"/>
  <c r="L907" i="6"/>
  <c r="K907" i="6"/>
  <c r="J907" i="6"/>
  <c r="I907" i="6"/>
  <c r="H907" i="6"/>
  <c r="G907" i="6"/>
  <c r="F907" i="6"/>
  <c r="D907" i="6"/>
  <c r="U907" i="6" s="1"/>
  <c r="C907" i="6"/>
  <c r="B907" i="6"/>
  <c r="E907" i="6" s="1"/>
  <c r="Q906" i="6"/>
  <c r="N906" i="6"/>
  <c r="M906" i="6"/>
  <c r="L906" i="6"/>
  <c r="K906" i="6"/>
  <c r="J906" i="6"/>
  <c r="I906" i="6"/>
  <c r="P906" i="6" s="1"/>
  <c r="H906" i="6"/>
  <c r="G906" i="6"/>
  <c r="F906" i="6"/>
  <c r="D906" i="6"/>
  <c r="U906" i="6" s="1"/>
  <c r="C906" i="6"/>
  <c r="B906" i="6"/>
  <c r="Q905" i="6"/>
  <c r="P905" i="6"/>
  <c r="N905" i="6"/>
  <c r="M905" i="6"/>
  <c r="L905" i="6"/>
  <c r="K905" i="6"/>
  <c r="J905" i="6"/>
  <c r="I905" i="6"/>
  <c r="H905" i="6"/>
  <c r="G905" i="6"/>
  <c r="F905" i="6"/>
  <c r="D905" i="6"/>
  <c r="U905" i="6" s="1"/>
  <c r="C905" i="6"/>
  <c r="B905" i="6"/>
  <c r="E905" i="6" s="1"/>
  <c r="Q904" i="6"/>
  <c r="N904" i="6"/>
  <c r="M904" i="6"/>
  <c r="L904" i="6"/>
  <c r="K904" i="6"/>
  <c r="J904" i="6"/>
  <c r="I904" i="6"/>
  <c r="P904" i="6" s="1"/>
  <c r="H904" i="6"/>
  <c r="G904" i="6"/>
  <c r="F904" i="6"/>
  <c r="D904" i="6"/>
  <c r="U904" i="6" s="1"/>
  <c r="C904" i="6"/>
  <c r="B904" i="6"/>
  <c r="Q903" i="6"/>
  <c r="P903" i="6"/>
  <c r="N903" i="6"/>
  <c r="M903" i="6"/>
  <c r="L903" i="6"/>
  <c r="K903" i="6"/>
  <c r="J903" i="6"/>
  <c r="I903" i="6"/>
  <c r="H903" i="6"/>
  <c r="G903" i="6"/>
  <c r="F903" i="6"/>
  <c r="D903" i="6"/>
  <c r="U903" i="6" s="1"/>
  <c r="C903" i="6"/>
  <c r="B903" i="6"/>
  <c r="E903" i="6" s="1"/>
  <c r="Q902" i="6"/>
  <c r="N902" i="6"/>
  <c r="M902" i="6"/>
  <c r="L902" i="6"/>
  <c r="K902" i="6"/>
  <c r="J902" i="6"/>
  <c r="I902" i="6"/>
  <c r="P902" i="6" s="1"/>
  <c r="H902" i="6"/>
  <c r="G902" i="6"/>
  <c r="F902" i="6"/>
  <c r="D902" i="6"/>
  <c r="U902" i="6" s="1"/>
  <c r="C902" i="6"/>
  <c r="B902" i="6"/>
  <c r="Q901" i="6"/>
  <c r="P901" i="6"/>
  <c r="N901" i="6"/>
  <c r="M901" i="6"/>
  <c r="L901" i="6"/>
  <c r="K901" i="6"/>
  <c r="J901" i="6"/>
  <c r="I901" i="6"/>
  <c r="H901" i="6"/>
  <c r="G901" i="6"/>
  <c r="F901" i="6"/>
  <c r="D901" i="6"/>
  <c r="U901" i="6" s="1"/>
  <c r="C901" i="6"/>
  <c r="B901" i="6"/>
  <c r="E901" i="6" s="1"/>
  <c r="Q900" i="6"/>
  <c r="N900" i="6"/>
  <c r="M900" i="6"/>
  <c r="L900" i="6"/>
  <c r="K900" i="6"/>
  <c r="J900" i="6"/>
  <c r="I900" i="6"/>
  <c r="P900" i="6" s="1"/>
  <c r="H900" i="6"/>
  <c r="G900" i="6"/>
  <c r="F900" i="6"/>
  <c r="D900" i="6"/>
  <c r="U900" i="6" s="1"/>
  <c r="C900" i="6"/>
  <c r="B900" i="6"/>
  <c r="Q899" i="6"/>
  <c r="P899" i="6"/>
  <c r="N899" i="6"/>
  <c r="M899" i="6"/>
  <c r="L899" i="6"/>
  <c r="K899" i="6"/>
  <c r="J899" i="6"/>
  <c r="I899" i="6"/>
  <c r="H899" i="6"/>
  <c r="G899" i="6"/>
  <c r="F899" i="6"/>
  <c r="D899" i="6"/>
  <c r="U899" i="6" s="1"/>
  <c r="C899" i="6"/>
  <c r="B899" i="6"/>
  <c r="E899" i="6" s="1"/>
  <c r="Q898" i="6"/>
  <c r="N898" i="6"/>
  <c r="M898" i="6"/>
  <c r="L898" i="6"/>
  <c r="K898" i="6"/>
  <c r="J898" i="6"/>
  <c r="I898" i="6"/>
  <c r="P898" i="6" s="1"/>
  <c r="H898" i="6"/>
  <c r="G898" i="6"/>
  <c r="F898" i="6"/>
  <c r="D898" i="6"/>
  <c r="U898" i="6" s="1"/>
  <c r="C898" i="6"/>
  <c r="B898" i="6"/>
  <c r="Q897" i="6"/>
  <c r="P897" i="6"/>
  <c r="N897" i="6"/>
  <c r="M897" i="6"/>
  <c r="L897" i="6"/>
  <c r="K897" i="6"/>
  <c r="J897" i="6"/>
  <c r="I897" i="6"/>
  <c r="H897" i="6"/>
  <c r="G897" i="6"/>
  <c r="F897" i="6"/>
  <c r="D897" i="6"/>
  <c r="U897" i="6" s="1"/>
  <c r="C897" i="6"/>
  <c r="B897" i="6"/>
  <c r="E897" i="6" s="1"/>
  <c r="Q896" i="6"/>
  <c r="N896" i="6"/>
  <c r="M896" i="6"/>
  <c r="L896" i="6"/>
  <c r="K896" i="6"/>
  <c r="J896" i="6"/>
  <c r="I896" i="6"/>
  <c r="P896" i="6" s="1"/>
  <c r="H896" i="6"/>
  <c r="G896" i="6"/>
  <c r="F896" i="6"/>
  <c r="D896" i="6"/>
  <c r="U896" i="6" s="1"/>
  <c r="C896" i="6"/>
  <c r="B896" i="6"/>
  <c r="Q895" i="6"/>
  <c r="P895" i="6"/>
  <c r="N895" i="6"/>
  <c r="M895" i="6"/>
  <c r="L895" i="6"/>
  <c r="K895" i="6"/>
  <c r="J895" i="6"/>
  <c r="I895" i="6"/>
  <c r="H895" i="6"/>
  <c r="G895" i="6"/>
  <c r="F895" i="6"/>
  <c r="D895" i="6"/>
  <c r="U895" i="6" s="1"/>
  <c r="C895" i="6"/>
  <c r="B895" i="6"/>
  <c r="E895" i="6" s="1"/>
  <c r="Q894" i="6"/>
  <c r="N894" i="6"/>
  <c r="M894" i="6"/>
  <c r="L894" i="6"/>
  <c r="K894" i="6"/>
  <c r="J894" i="6"/>
  <c r="I894" i="6"/>
  <c r="P894" i="6" s="1"/>
  <c r="H894" i="6"/>
  <c r="G894" i="6"/>
  <c r="F894" i="6"/>
  <c r="D894" i="6"/>
  <c r="U894" i="6" s="1"/>
  <c r="C894" i="6"/>
  <c r="B894" i="6"/>
  <c r="Q893" i="6"/>
  <c r="P893" i="6"/>
  <c r="N893" i="6"/>
  <c r="M893" i="6"/>
  <c r="L893" i="6"/>
  <c r="K893" i="6"/>
  <c r="J893" i="6"/>
  <c r="I893" i="6"/>
  <c r="H893" i="6"/>
  <c r="G893" i="6"/>
  <c r="F893" i="6"/>
  <c r="D893" i="6"/>
  <c r="U893" i="6" s="1"/>
  <c r="C893" i="6"/>
  <c r="B893" i="6"/>
  <c r="E893" i="6" s="1"/>
  <c r="Q892" i="6"/>
  <c r="N892" i="6"/>
  <c r="M892" i="6"/>
  <c r="L892" i="6"/>
  <c r="K892" i="6"/>
  <c r="J892" i="6"/>
  <c r="I892" i="6"/>
  <c r="P892" i="6" s="1"/>
  <c r="H892" i="6"/>
  <c r="G892" i="6"/>
  <c r="F892" i="6"/>
  <c r="D892" i="6"/>
  <c r="U892" i="6" s="1"/>
  <c r="C892" i="6"/>
  <c r="B892" i="6"/>
  <c r="Q891" i="6"/>
  <c r="P891" i="6"/>
  <c r="N891" i="6"/>
  <c r="M891" i="6"/>
  <c r="L891" i="6"/>
  <c r="K891" i="6"/>
  <c r="J891" i="6"/>
  <c r="I891" i="6"/>
  <c r="H891" i="6"/>
  <c r="G891" i="6"/>
  <c r="F891" i="6"/>
  <c r="D891" i="6"/>
  <c r="U891" i="6" s="1"/>
  <c r="C891" i="6"/>
  <c r="B891" i="6"/>
  <c r="E891" i="6" s="1"/>
  <c r="Q890" i="6"/>
  <c r="N890" i="6"/>
  <c r="M890" i="6"/>
  <c r="L890" i="6"/>
  <c r="K890" i="6"/>
  <c r="J890" i="6"/>
  <c r="I890" i="6"/>
  <c r="P890" i="6" s="1"/>
  <c r="H890" i="6"/>
  <c r="G890" i="6"/>
  <c r="F890" i="6"/>
  <c r="D890" i="6"/>
  <c r="U890" i="6" s="1"/>
  <c r="C890" i="6"/>
  <c r="B890" i="6"/>
  <c r="Q889" i="6"/>
  <c r="P889" i="6"/>
  <c r="N889" i="6"/>
  <c r="M889" i="6"/>
  <c r="L889" i="6"/>
  <c r="K889" i="6"/>
  <c r="J889" i="6"/>
  <c r="I889" i="6"/>
  <c r="H889" i="6"/>
  <c r="G889" i="6"/>
  <c r="F889" i="6"/>
  <c r="D889" i="6"/>
  <c r="U889" i="6" s="1"/>
  <c r="C889" i="6"/>
  <c r="B889" i="6"/>
  <c r="E889" i="6" s="1"/>
  <c r="Q888" i="6"/>
  <c r="N888" i="6"/>
  <c r="M888" i="6"/>
  <c r="L888" i="6"/>
  <c r="K888" i="6"/>
  <c r="J888" i="6"/>
  <c r="I888" i="6"/>
  <c r="P888" i="6" s="1"/>
  <c r="H888" i="6"/>
  <c r="G888" i="6"/>
  <c r="F888" i="6"/>
  <c r="D888" i="6"/>
  <c r="U888" i="6" s="1"/>
  <c r="C888" i="6"/>
  <c r="B888" i="6"/>
  <c r="Q887" i="6"/>
  <c r="P887" i="6"/>
  <c r="N887" i="6"/>
  <c r="M887" i="6"/>
  <c r="L887" i="6"/>
  <c r="K887" i="6"/>
  <c r="J887" i="6"/>
  <c r="I887" i="6"/>
  <c r="H887" i="6"/>
  <c r="G887" i="6"/>
  <c r="F887" i="6"/>
  <c r="D887" i="6"/>
  <c r="U887" i="6" s="1"/>
  <c r="C887" i="6"/>
  <c r="B887" i="6"/>
  <c r="E887" i="6" s="1"/>
  <c r="Q886" i="6"/>
  <c r="N886" i="6"/>
  <c r="M886" i="6"/>
  <c r="L886" i="6"/>
  <c r="K886" i="6"/>
  <c r="J886" i="6"/>
  <c r="I886" i="6"/>
  <c r="P886" i="6" s="1"/>
  <c r="H886" i="6"/>
  <c r="G886" i="6"/>
  <c r="F886" i="6"/>
  <c r="D886" i="6"/>
  <c r="U886" i="6" s="1"/>
  <c r="C886" i="6"/>
  <c r="B886" i="6"/>
  <c r="Q885" i="6"/>
  <c r="P885" i="6"/>
  <c r="N885" i="6"/>
  <c r="M885" i="6"/>
  <c r="L885" i="6"/>
  <c r="K885" i="6"/>
  <c r="J885" i="6"/>
  <c r="I885" i="6"/>
  <c r="H885" i="6"/>
  <c r="G885" i="6"/>
  <c r="F885" i="6"/>
  <c r="D885" i="6"/>
  <c r="U885" i="6" s="1"/>
  <c r="C885" i="6"/>
  <c r="B885" i="6"/>
  <c r="E885" i="6" s="1"/>
  <c r="Q884" i="6"/>
  <c r="N884" i="6"/>
  <c r="M884" i="6"/>
  <c r="L884" i="6"/>
  <c r="K884" i="6"/>
  <c r="J884" i="6"/>
  <c r="I884" i="6"/>
  <c r="P884" i="6" s="1"/>
  <c r="H884" i="6"/>
  <c r="G884" i="6"/>
  <c r="F884" i="6"/>
  <c r="D884" i="6"/>
  <c r="U884" i="6" s="1"/>
  <c r="C884" i="6"/>
  <c r="B884" i="6"/>
  <c r="Q883" i="6"/>
  <c r="P883" i="6"/>
  <c r="N883" i="6"/>
  <c r="M883" i="6"/>
  <c r="L883" i="6"/>
  <c r="K883" i="6"/>
  <c r="J883" i="6"/>
  <c r="I883" i="6"/>
  <c r="H883" i="6"/>
  <c r="G883" i="6"/>
  <c r="F883" i="6"/>
  <c r="D883" i="6"/>
  <c r="U883" i="6" s="1"/>
  <c r="C883" i="6"/>
  <c r="B883" i="6"/>
  <c r="E883" i="6" s="1"/>
  <c r="Q882" i="6"/>
  <c r="N882" i="6"/>
  <c r="M882" i="6"/>
  <c r="L882" i="6"/>
  <c r="K882" i="6"/>
  <c r="J882" i="6"/>
  <c r="I882" i="6"/>
  <c r="P882" i="6" s="1"/>
  <c r="H882" i="6"/>
  <c r="G882" i="6"/>
  <c r="F882" i="6"/>
  <c r="D882" i="6"/>
  <c r="U882" i="6" s="1"/>
  <c r="C882" i="6"/>
  <c r="B882" i="6"/>
  <c r="Q881" i="6"/>
  <c r="P881" i="6"/>
  <c r="N881" i="6"/>
  <c r="M881" i="6"/>
  <c r="L881" i="6"/>
  <c r="K881" i="6"/>
  <c r="J881" i="6"/>
  <c r="I881" i="6"/>
  <c r="H881" i="6"/>
  <c r="G881" i="6"/>
  <c r="F881" i="6"/>
  <c r="D881" i="6"/>
  <c r="U881" i="6" s="1"/>
  <c r="C881" i="6"/>
  <c r="B881" i="6"/>
  <c r="E881" i="6" s="1"/>
  <c r="Q880" i="6"/>
  <c r="N880" i="6"/>
  <c r="M880" i="6"/>
  <c r="L880" i="6"/>
  <c r="K880" i="6"/>
  <c r="J880" i="6"/>
  <c r="I880" i="6"/>
  <c r="P880" i="6" s="1"/>
  <c r="H880" i="6"/>
  <c r="G880" i="6"/>
  <c r="F880" i="6"/>
  <c r="D880" i="6"/>
  <c r="U880" i="6" s="1"/>
  <c r="C880" i="6"/>
  <c r="B880" i="6"/>
  <c r="Q879" i="6"/>
  <c r="P879" i="6"/>
  <c r="N879" i="6"/>
  <c r="M879" i="6"/>
  <c r="L879" i="6"/>
  <c r="K879" i="6"/>
  <c r="J879" i="6"/>
  <c r="I879" i="6"/>
  <c r="H879" i="6"/>
  <c r="G879" i="6"/>
  <c r="F879" i="6"/>
  <c r="D879" i="6"/>
  <c r="U879" i="6" s="1"/>
  <c r="C879" i="6"/>
  <c r="B879" i="6"/>
  <c r="E879" i="6" s="1"/>
  <c r="Q878" i="6"/>
  <c r="N878" i="6"/>
  <c r="M878" i="6"/>
  <c r="L878" i="6"/>
  <c r="K878" i="6"/>
  <c r="J878" i="6"/>
  <c r="I878" i="6"/>
  <c r="P878" i="6" s="1"/>
  <c r="H878" i="6"/>
  <c r="G878" i="6"/>
  <c r="F878" i="6"/>
  <c r="D878" i="6"/>
  <c r="U878" i="6" s="1"/>
  <c r="C878" i="6"/>
  <c r="B878" i="6"/>
  <c r="Q877" i="6"/>
  <c r="P877" i="6"/>
  <c r="N877" i="6"/>
  <c r="M877" i="6"/>
  <c r="L877" i="6"/>
  <c r="K877" i="6"/>
  <c r="J877" i="6"/>
  <c r="I877" i="6"/>
  <c r="H877" i="6"/>
  <c r="G877" i="6"/>
  <c r="F877" i="6"/>
  <c r="D877" i="6"/>
  <c r="U877" i="6" s="1"/>
  <c r="C877" i="6"/>
  <c r="B877" i="6"/>
  <c r="E877" i="6" s="1"/>
  <c r="Q876" i="6"/>
  <c r="N876" i="6"/>
  <c r="M876" i="6"/>
  <c r="L876" i="6"/>
  <c r="K876" i="6"/>
  <c r="J876" i="6"/>
  <c r="I876" i="6"/>
  <c r="P876" i="6" s="1"/>
  <c r="H876" i="6"/>
  <c r="G876" i="6"/>
  <c r="F876" i="6"/>
  <c r="D876" i="6"/>
  <c r="U876" i="6" s="1"/>
  <c r="C876" i="6"/>
  <c r="B876" i="6"/>
  <c r="Q875" i="6"/>
  <c r="P875" i="6"/>
  <c r="N875" i="6"/>
  <c r="M875" i="6"/>
  <c r="L875" i="6"/>
  <c r="K875" i="6"/>
  <c r="J875" i="6"/>
  <c r="I875" i="6"/>
  <c r="H875" i="6"/>
  <c r="G875" i="6"/>
  <c r="F875" i="6"/>
  <c r="D875" i="6"/>
  <c r="U875" i="6" s="1"/>
  <c r="C875" i="6"/>
  <c r="B875" i="6"/>
  <c r="E875" i="6" s="1"/>
  <c r="Q874" i="6"/>
  <c r="N874" i="6"/>
  <c r="M874" i="6"/>
  <c r="L874" i="6"/>
  <c r="K874" i="6"/>
  <c r="J874" i="6"/>
  <c r="I874" i="6"/>
  <c r="P874" i="6" s="1"/>
  <c r="H874" i="6"/>
  <c r="G874" i="6"/>
  <c r="F874" i="6"/>
  <c r="D874" i="6"/>
  <c r="U874" i="6" s="1"/>
  <c r="C874" i="6"/>
  <c r="B874" i="6"/>
  <c r="Q873" i="6"/>
  <c r="P873" i="6"/>
  <c r="N873" i="6"/>
  <c r="M873" i="6"/>
  <c r="L873" i="6"/>
  <c r="K873" i="6"/>
  <c r="J873" i="6"/>
  <c r="I873" i="6"/>
  <c r="H873" i="6"/>
  <c r="G873" i="6"/>
  <c r="F873" i="6"/>
  <c r="D873" i="6"/>
  <c r="U873" i="6" s="1"/>
  <c r="C873" i="6"/>
  <c r="B873" i="6"/>
  <c r="E873" i="6" s="1"/>
  <c r="Q872" i="6"/>
  <c r="N872" i="6"/>
  <c r="M872" i="6"/>
  <c r="L872" i="6"/>
  <c r="K872" i="6"/>
  <c r="J872" i="6"/>
  <c r="I872" i="6"/>
  <c r="P872" i="6" s="1"/>
  <c r="H872" i="6"/>
  <c r="G872" i="6"/>
  <c r="F872" i="6"/>
  <c r="D872" i="6"/>
  <c r="U872" i="6" s="1"/>
  <c r="C872" i="6"/>
  <c r="B872" i="6"/>
  <c r="Q871" i="6"/>
  <c r="P871" i="6"/>
  <c r="N871" i="6"/>
  <c r="M871" i="6"/>
  <c r="L871" i="6"/>
  <c r="K871" i="6"/>
  <c r="J871" i="6"/>
  <c r="I871" i="6"/>
  <c r="H871" i="6"/>
  <c r="G871" i="6"/>
  <c r="F871" i="6"/>
  <c r="D871" i="6"/>
  <c r="U871" i="6" s="1"/>
  <c r="C871" i="6"/>
  <c r="B871" i="6"/>
  <c r="E871" i="6" s="1"/>
  <c r="Q870" i="6"/>
  <c r="N870" i="6"/>
  <c r="M870" i="6"/>
  <c r="L870" i="6"/>
  <c r="K870" i="6"/>
  <c r="J870" i="6"/>
  <c r="I870" i="6"/>
  <c r="P870" i="6" s="1"/>
  <c r="H870" i="6"/>
  <c r="G870" i="6"/>
  <c r="F870" i="6"/>
  <c r="D870" i="6"/>
  <c r="U870" i="6" s="1"/>
  <c r="C870" i="6"/>
  <c r="B870" i="6"/>
  <c r="Q869" i="6"/>
  <c r="P869" i="6"/>
  <c r="N869" i="6"/>
  <c r="M869" i="6"/>
  <c r="L869" i="6"/>
  <c r="K869" i="6"/>
  <c r="J869" i="6"/>
  <c r="I869" i="6"/>
  <c r="H869" i="6"/>
  <c r="G869" i="6"/>
  <c r="F869" i="6"/>
  <c r="D869" i="6"/>
  <c r="U869" i="6" s="1"/>
  <c r="C869" i="6"/>
  <c r="B869" i="6"/>
  <c r="E869" i="6" s="1"/>
  <c r="Q868" i="6"/>
  <c r="N868" i="6"/>
  <c r="M868" i="6"/>
  <c r="L868" i="6"/>
  <c r="K868" i="6"/>
  <c r="J868" i="6"/>
  <c r="I868" i="6"/>
  <c r="P868" i="6" s="1"/>
  <c r="H868" i="6"/>
  <c r="G868" i="6"/>
  <c r="F868" i="6"/>
  <c r="D868" i="6"/>
  <c r="U868" i="6" s="1"/>
  <c r="C868" i="6"/>
  <c r="B868" i="6"/>
  <c r="Q867" i="6"/>
  <c r="P867" i="6"/>
  <c r="N867" i="6"/>
  <c r="M867" i="6"/>
  <c r="L867" i="6"/>
  <c r="K867" i="6"/>
  <c r="J867" i="6"/>
  <c r="I867" i="6"/>
  <c r="H867" i="6"/>
  <c r="G867" i="6"/>
  <c r="F867" i="6"/>
  <c r="D867" i="6"/>
  <c r="U867" i="6" s="1"/>
  <c r="C867" i="6"/>
  <c r="B867" i="6"/>
  <c r="E867" i="6" s="1"/>
  <c r="Q866" i="6"/>
  <c r="N866" i="6"/>
  <c r="M866" i="6"/>
  <c r="L866" i="6"/>
  <c r="K866" i="6"/>
  <c r="J866" i="6"/>
  <c r="I866" i="6"/>
  <c r="P866" i="6" s="1"/>
  <c r="H866" i="6"/>
  <c r="G866" i="6"/>
  <c r="F866" i="6"/>
  <c r="D866" i="6"/>
  <c r="U866" i="6" s="1"/>
  <c r="C866" i="6"/>
  <c r="B866" i="6"/>
  <c r="Q865" i="6"/>
  <c r="P865" i="6"/>
  <c r="N865" i="6"/>
  <c r="M865" i="6"/>
  <c r="L865" i="6"/>
  <c r="K865" i="6"/>
  <c r="J865" i="6"/>
  <c r="I865" i="6"/>
  <c r="H865" i="6"/>
  <c r="G865" i="6"/>
  <c r="F865" i="6"/>
  <c r="D865" i="6"/>
  <c r="U865" i="6" s="1"/>
  <c r="C865" i="6"/>
  <c r="B865" i="6"/>
  <c r="E865" i="6" s="1"/>
  <c r="Q864" i="6"/>
  <c r="N864" i="6"/>
  <c r="M864" i="6"/>
  <c r="L864" i="6"/>
  <c r="K864" i="6"/>
  <c r="J864" i="6"/>
  <c r="I864" i="6"/>
  <c r="P864" i="6" s="1"/>
  <c r="H864" i="6"/>
  <c r="G864" i="6"/>
  <c r="F864" i="6"/>
  <c r="D864" i="6"/>
  <c r="U864" i="6" s="1"/>
  <c r="C864" i="6"/>
  <c r="B864" i="6"/>
  <c r="Q863" i="6"/>
  <c r="P863" i="6"/>
  <c r="N863" i="6"/>
  <c r="M863" i="6"/>
  <c r="L863" i="6"/>
  <c r="K863" i="6"/>
  <c r="J863" i="6"/>
  <c r="I863" i="6"/>
  <c r="H863" i="6"/>
  <c r="G863" i="6"/>
  <c r="F863" i="6"/>
  <c r="D863" i="6"/>
  <c r="U863" i="6" s="1"/>
  <c r="C863" i="6"/>
  <c r="B863" i="6"/>
  <c r="E863" i="6" s="1"/>
  <c r="Q862" i="6"/>
  <c r="N862" i="6"/>
  <c r="M862" i="6"/>
  <c r="L862" i="6"/>
  <c r="K862" i="6"/>
  <c r="J862" i="6"/>
  <c r="I862" i="6"/>
  <c r="P862" i="6" s="1"/>
  <c r="H862" i="6"/>
  <c r="G862" i="6"/>
  <c r="F862" i="6"/>
  <c r="D862" i="6"/>
  <c r="U862" i="6" s="1"/>
  <c r="C862" i="6"/>
  <c r="B862" i="6"/>
  <c r="Q861" i="6"/>
  <c r="P861" i="6"/>
  <c r="N861" i="6"/>
  <c r="M861" i="6"/>
  <c r="L861" i="6"/>
  <c r="K861" i="6"/>
  <c r="J861" i="6"/>
  <c r="I861" i="6"/>
  <c r="H861" i="6"/>
  <c r="G861" i="6"/>
  <c r="F861" i="6"/>
  <c r="D861" i="6"/>
  <c r="U861" i="6" s="1"/>
  <c r="C861" i="6"/>
  <c r="B861" i="6"/>
  <c r="E861" i="6" s="1"/>
  <c r="Q860" i="6"/>
  <c r="N860" i="6"/>
  <c r="M860" i="6"/>
  <c r="L860" i="6"/>
  <c r="K860" i="6"/>
  <c r="J860" i="6"/>
  <c r="I860" i="6"/>
  <c r="P860" i="6" s="1"/>
  <c r="H860" i="6"/>
  <c r="G860" i="6"/>
  <c r="F860" i="6"/>
  <c r="D860" i="6"/>
  <c r="U860" i="6" s="1"/>
  <c r="C860" i="6"/>
  <c r="B860" i="6"/>
  <c r="Q859" i="6"/>
  <c r="P859" i="6"/>
  <c r="N859" i="6"/>
  <c r="M859" i="6"/>
  <c r="L859" i="6"/>
  <c r="K859" i="6"/>
  <c r="J859" i="6"/>
  <c r="I859" i="6"/>
  <c r="H859" i="6"/>
  <c r="G859" i="6"/>
  <c r="F859" i="6"/>
  <c r="D859" i="6"/>
  <c r="U859" i="6" s="1"/>
  <c r="C859" i="6"/>
  <c r="B859" i="6"/>
  <c r="E859" i="6" s="1"/>
  <c r="Q858" i="6"/>
  <c r="N858" i="6"/>
  <c r="M858" i="6"/>
  <c r="L858" i="6"/>
  <c r="K858" i="6"/>
  <c r="J858" i="6"/>
  <c r="I858" i="6"/>
  <c r="P858" i="6" s="1"/>
  <c r="H858" i="6"/>
  <c r="G858" i="6"/>
  <c r="F858" i="6"/>
  <c r="D858" i="6"/>
  <c r="U858" i="6" s="1"/>
  <c r="C858" i="6"/>
  <c r="B858" i="6"/>
  <c r="Q857" i="6"/>
  <c r="P857" i="6"/>
  <c r="N857" i="6"/>
  <c r="M857" i="6"/>
  <c r="L857" i="6"/>
  <c r="K857" i="6"/>
  <c r="J857" i="6"/>
  <c r="I857" i="6"/>
  <c r="H857" i="6"/>
  <c r="G857" i="6"/>
  <c r="F857" i="6"/>
  <c r="D857" i="6"/>
  <c r="U857" i="6" s="1"/>
  <c r="C857" i="6"/>
  <c r="B857" i="6"/>
  <c r="E857" i="6" s="1"/>
  <c r="Q856" i="6"/>
  <c r="N856" i="6"/>
  <c r="M856" i="6"/>
  <c r="L856" i="6"/>
  <c r="K856" i="6"/>
  <c r="J856" i="6"/>
  <c r="I856" i="6"/>
  <c r="P856" i="6" s="1"/>
  <c r="H856" i="6"/>
  <c r="G856" i="6"/>
  <c r="F856" i="6"/>
  <c r="D856" i="6"/>
  <c r="U856" i="6" s="1"/>
  <c r="C856" i="6"/>
  <c r="B856" i="6"/>
  <c r="Q855" i="6"/>
  <c r="P855" i="6"/>
  <c r="N855" i="6"/>
  <c r="M855" i="6"/>
  <c r="L855" i="6"/>
  <c r="K855" i="6"/>
  <c r="J855" i="6"/>
  <c r="I855" i="6"/>
  <c r="H855" i="6"/>
  <c r="G855" i="6"/>
  <c r="F855" i="6"/>
  <c r="D855" i="6"/>
  <c r="U855" i="6" s="1"/>
  <c r="C855" i="6"/>
  <c r="B855" i="6"/>
  <c r="E855" i="6" s="1"/>
  <c r="Q854" i="6"/>
  <c r="N854" i="6"/>
  <c r="M854" i="6"/>
  <c r="L854" i="6"/>
  <c r="K854" i="6"/>
  <c r="J854" i="6"/>
  <c r="I854" i="6"/>
  <c r="P854" i="6" s="1"/>
  <c r="H854" i="6"/>
  <c r="G854" i="6"/>
  <c r="F854" i="6"/>
  <c r="D854" i="6"/>
  <c r="U854" i="6" s="1"/>
  <c r="C854" i="6"/>
  <c r="B854" i="6"/>
  <c r="Q853" i="6"/>
  <c r="P853" i="6"/>
  <c r="N853" i="6"/>
  <c r="M853" i="6"/>
  <c r="L853" i="6"/>
  <c r="K853" i="6"/>
  <c r="J853" i="6"/>
  <c r="I853" i="6"/>
  <c r="H853" i="6"/>
  <c r="G853" i="6"/>
  <c r="F853" i="6"/>
  <c r="D853" i="6"/>
  <c r="U853" i="6" s="1"/>
  <c r="C853" i="6"/>
  <c r="B853" i="6"/>
  <c r="E853" i="6" s="1"/>
  <c r="Q852" i="6"/>
  <c r="N852" i="6"/>
  <c r="M852" i="6"/>
  <c r="L852" i="6"/>
  <c r="K852" i="6"/>
  <c r="J852" i="6"/>
  <c r="I852" i="6"/>
  <c r="P852" i="6" s="1"/>
  <c r="H852" i="6"/>
  <c r="G852" i="6"/>
  <c r="F852" i="6"/>
  <c r="D852" i="6"/>
  <c r="U852" i="6" s="1"/>
  <c r="C852" i="6"/>
  <c r="B852" i="6"/>
  <c r="Q851" i="6"/>
  <c r="P851" i="6"/>
  <c r="N851" i="6"/>
  <c r="M851" i="6"/>
  <c r="L851" i="6"/>
  <c r="K851" i="6"/>
  <c r="J851" i="6"/>
  <c r="I851" i="6"/>
  <c r="H851" i="6"/>
  <c r="G851" i="6"/>
  <c r="F851" i="6"/>
  <c r="D851" i="6"/>
  <c r="U851" i="6" s="1"/>
  <c r="C851" i="6"/>
  <c r="B851" i="6"/>
  <c r="E851" i="6" s="1"/>
  <c r="Q850" i="6"/>
  <c r="N850" i="6"/>
  <c r="M850" i="6"/>
  <c r="L850" i="6"/>
  <c r="K850" i="6"/>
  <c r="J850" i="6"/>
  <c r="I850" i="6"/>
  <c r="P850" i="6" s="1"/>
  <c r="H850" i="6"/>
  <c r="G850" i="6"/>
  <c r="F850" i="6"/>
  <c r="D850" i="6"/>
  <c r="U850" i="6" s="1"/>
  <c r="C850" i="6"/>
  <c r="B850" i="6"/>
  <c r="Q849" i="6"/>
  <c r="P849" i="6"/>
  <c r="N849" i="6"/>
  <c r="M849" i="6"/>
  <c r="L849" i="6"/>
  <c r="K849" i="6"/>
  <c r="J849" i="6"/>
  <c r="I849" i="6"/>
  <c r="H849" i="6"/>
  <c r="G849" i="6"/>
  <c r="F849" i="6"/>
  <c r="D849" i="6"/>
  <c r="U849" i="6" s="1"/>
  <c r="C849" i="6"/>
  <c r="B849" i="6"/>
  <c r="E849" i="6" s="1"/>
  <c r="Q848" i="6"/>
  <c r="N848" i="6"/>
  <c r="M848" i="6"/>
  <c r="L848" i="6"/>
  <c r="K848" i="6"/>
  <c r="J848" i="6"/>
  <c r="I848" i="6"/>
  <c r="P848" i="6" s="1"/>
  <c r="H848" i="6"/>
  <c r="G848" i="6"/>
  <c r="F848" i="6"/>
  <c r="D848" i="6"/>
  <c r="U848" i="6" s="1"/>
  <c r="C848" i="6"/>
  <c r="B848" i="6"/>
  <c r="Q847" i="6"/>
  <c r="P847" i="6"/>
  <c r="N847" i="6"/>
  <c r="M847" i="6"/>
  <c r="L847" i="6"/>
  <c r="K847" i="6"/>
  <c r="J847" i="6"/>
  <c r="I847" i="6"/>
  <c r="H847" i="6"/>
  <c r="G847" i="6"/>
  <c r="F847" i="6"/>
  <c r="D847" i="6"/>
  <c r="U847" i="6" s="1"/>
  <c r="C847" i="6"/>
  <c r="B847" i="6"/>
  <c r="E847" i="6" s="1"/>
  <c r="Q846" i="6"/>
  <c r="N846" i="6"/>
  <c r="M846" i="6"/>
  <c r="L846" i="6"/>
  <c r="K846" i="6"/>
  <c r="J846" i="6"/>
  <c r="I846" i="6"/>
  <c r="P846" i="6" s="1"/>
  <c r="H846" i="6"/>
  <c r="G846" i="6"/>
  <c r="F846" i="6"/>
  <c r="D846" i="6"/>
  <c r="U846" i="6" s="1"/>
  <c r="C846" i="6"/>
  <c r="B846" i="6"/>
  <c r="Q845" i="6"/>
  <c r="P845" i="6"/>
  <c r="N845" i="6"/>
  <c r="M845" i="6"/>
  <c r="L845" i="6"/>
  <c r="K845" i="6"/>
  <c r="J845" i="6"/>
  <c r="I845" i="6"/>
  <c r="H845" i="6"/>
  <c r="G845" i="6"/>
  <c r="F845" i="6"/>
  <c r="D845" i="6"/>
  <c r="U845" i="6" s="1"/>
  <c r="C845" i="6"/>
  <c r="B845" i="6"/>
  <c r="E845" i="6" s="1"/>
  <c r="Q844" i="6"/>
  <c r="N844" i="6"/>
  <c r="M844" i="6"/>
  <c r="L844" i="6"/>
  <c r="K844" i="6"/>
  <c r="J844" i="6"/>
  <c r="I844" i="6"/>
  <c r="P844" i="6" s="1"/>
  <c r="H844" i="6"/>
  <c r="G844" i="6"/>
  <c r="F844" i="6"/>
  <c r="D844" i="6"/>
  <c r="U844" i="6" s="1"/>
  <c r="C844" i="6"/>
  <c r="B844" i="6"/>
  <c r="Q843" i="6"/>
  <c r="P843" i="6"/>
  <c r="N843" i="6"/>
  <c r="M843" i="6"/>
  <c r="L843" i="6"/>
  <c r="K843" i="6"/>
  <c r="J843" i="6"/>
  <c r="I843" i="6"/>
  <c r="H843" i="6"/>
  <c r="G843" i="6"/>
  <c r="F843" i="6"/>
  <c r="D843" i="6"/>
  <c r="U843" i="6" s="1"/>
  <c r="C843" i="6"/>
  <c r="B843" i="6"/>
  <c r="E843" i="6" s="1"/>
  <c r="Q842" i="6"/>
  <c r="N842" i="6"/>
  <c r="M842" i="6"/>
  <c r="L842" i="6"/>
  <c r="K842" i="6"/>
  <c r="J842" i="6"/>
  <c r="I842" i="6"/>
  <c r="P842" i="6" s="1"/>
  <c r="H842" i="6"/>
  <c r="G842" i="6"/>
  <c r="F842" i="6"/>
  <c r="D842" i="6"/>
  <c r="U842" i="6" s="1"/>
  <c r="C842" i="6"/>
  <c r="B842" i="6"/>
  <c r="Q841" i="6"/>
  <c r="P841" i="6"/>
  <c r="N841" i="6"/>
  <c r="M841" i="6"/>
  <c r="L841" i="6"/>
  <c r="K841" i="6"/>
  <c r="J841" i="6"/>
  <c r="I841" i="6"/>
  <c r="H841" i="6"/>
  <c r="G841" i="6"/>
  <c r="F841" i="6"/>
  <c r="D841" i="6"/>
  <c r="U841" i="6" s="1"/>
  <c r="C841" i="6"/>
  <c r="B841" i="6"/>
  <c r="E841" i="6" s="1"/>
  <c r="Q840" i="6"/>
  <c r="N840" i="6"/>
  <c r="M840" i="6"/>
  <c r="L840" i="6"/>
  <c r="K840" i="6"/>
  <c r="J840" i="6"/>
  <c r="I840" i="6"/>
  <c r="P840" i="6" s="1"/>
  <c r="H840" i="6"/>
  <c r="G840" i="6"/>
  <c r="F840" i="6"/>
  <c r="D840" i="6"/>
  <c r="U840" i="6" s="1"/>
  <c r="C840" i="6"/>
  <c r="B840" i="6"/>
  <c r="Q839" i="6"/>
  <c r="P839" i="6"/>
  <c r="N839" i="6"/>
  <c r="M839" i="6"/>
  <c r="L839" i="6"/>
  <c r="K839" i="6"/>
  <c r="J839" i="6"/>
  <c r="I839" i="6"/>
  <c r="H839" i="6"/>
  <c r="G839" i="6"/>
  <c r="F839" i="6"/>
  <c r="D839" i="6"/>
  <c r="U839" i="6" s="1"/>
  <c r="C839" i="6"/>
  <c r="B839" i="6"/>
  <c r="E839" i="6" s="1"/>
  <c r="Q838" i="6"/>
  <c r="N838" i="6"/>
  <c r="M838" i="6"/>
  <c r="L838" i="6"/>
  <c r="K838" i="6"/>
  <c r="J838" i="6"/>
  <c r="I838" i="6"/>
  <c r="P838" i="6" s="1"/>
  <c r="H838" i="6"/>
  <c r="G838" i="6"/>
  <c r="F838" i="6"/>
  <c r="D838" i="6"/>
  <c r="U838" i="6" s="1"/>
  <c r="C838" i="6"/>
  <c r="B838" i="6"/>
  <c r="Q837" i="6"/>
  <c r="P837" i="6"/>
  <c r="N837" i="6"/>
  <c r="M837" i="6"/>
  <c r="L837" i="6"/>
  <c r="K837" i="6"/>
  <c r="J837" i="6"/>
  <c r="I837" i="6"/>
  <c r="H837" i="6"/>
  <c r="G837" i="6"/>
  <c r="F837" i="6"/>
  <c r="D837" i="6"/>
  <c r="U837" i="6" s="1"/>
  <c r="C837" i="6"/>
  <c r="B837" i="6"/>
  <c r="E837" i="6" s="1"/>
  <c r="Q836" i="6"/>
  <c r="N836" i="6"/>
  <c r="M836" i="6"/>
  <c r="L836" i="6"/>
  <c r="K836" i="6"/>
  <c r="J836" i="6"/>
  <c r="I836" i="6"/>
  <c r="P836" i="6" s="1"/>
  <c r="H836" i="6"/>
  <c r="G836" i="6"/>
  <c r="F836" i="6"/>
  <c r="D836" i="6"/>
  <c r="U836" i="6" s="1"/>
  <c r="C836" i="6"/>
  <c r="B836" i="6"/>
  <c r="Q835" i="6"/>
  <c r="P835" i="6"/>
  <c r="N835" i="6"/>
  <c r="M835" i="6"/>
  <c r="L835" i="6"/>
  <c r="K835" i="6"/>
  <c r="J835" i="6"/>
  <c r="I835" i="6"/>
  <c r="H835" i="6"/>
  <c r="G835" i="6"/>
  <c r="F835" i="6"/>
  <c r="D835" i="6"/>
  <c r="U835" i="6" s="1"/>
  <c r="C835" i="6"/>
  <c r="B835" i="6"/>
  <c r="E835" i="6" s="1"/>
  <c r="Q834" i="6"/>
  <c r="N834" i="6"/>
  <c r="M834" i="6"/>
  <c r="L834" i="6"/>
  <c r="K834" i="6"/>
  <c r="J834" i="6"/>
  <c r="I834" i="6"/>
  <c r="P834" i="6" s="1"/>
  <c r="H834" i="6"/>
  <c r="G834" i="6"/>
  <c r="F834" i="6"/>
  <c r="D834" i="6"/>
  <c r="U834" i="6" s="1"/>
  <c r="C834" i="6"/>
  <c r="B834" i="6"/>
  <c r="Q833" i="6"/>
  <c r="P833" i="6"/>
  <c r="N833" i="6"/>
  <c r="M833" i="6"/>
  <c r="L833" i="6"/>
  <c r="K833" i="6"/>
  <c r="J833" i="6"/>
  <c r="I833" i="6"/>
  <c r="H833" i="6"/>
  <c r="G833" i="6"/>
  <c r="F833" i="6"/>
  <c r="D833" i="6"/>
  <c r="U833" i="6" s="1"/>
  <c r="C833" i="6"/>
  <c r="B833" i="6"/>
  <c r="E833" i="6" s="1"/>
  <c r="Q832" i="6"/>
  <c r="N832" i="6"/>
  <c r="M832" i="6"/>
  <c r="L832" i="6"/>
  <c r="K832" i="6"/>
  <c r="J832" i="6"/>
  <c r="I832" i="6"/>
  <c r="P832" i="6" s="1"/>
  <c r="H832" i="6"/>
  <c r="G832" i="6"/>
  <c r="F832" i="6"/>
  <c r="D832" i="6"/>
  <c r="U832" i="6" s="1"/>
  <c r="C832" i="6"/>
  <c r="B832" i="6"/>
  <c r="Q831" i="6"/>
  <c r="P831" i="6"/>
  <c r="N831" i="6"/>
  <c r="M831" i="6"/>
  <c r="L831" i="6"/>
  <c r="K831" i="6"/>
  <c r="J831" i="6"/>
  <c r="I831" i="6"/>
  <c r="H831" i="6"/>
  <c r="G831" i="6"/>
  <c r="F831" i="6"/>
  <c r="D831" i="6"/>
  <c r="U831" i="6" s="1"/>
  <c r="C831" i="6"/>
  <c r="B831" i="6"/>
  <c r="E831" i="6" s="1"/>
  <c r="Q830" i="6"/>
  <c r="N830" i="6"/>
  <c r="M830" i="6"/>
  <c r="L830" i="6"/>
  <c r="K830" i="6"/>
  <c r="J830" i="6"/>
  <c r="I830" i="6"/>
  <c r="P830" i="6" s="1"/>
  <c r="H830" i="6"/>
  <c r="G830" i="6"/>
  <c r="F830" i="6"/>
  <c r="D830" i="6"/>
  <c r="U830" i="6" s="1"/>
  <c r="C830" i="6"/>
  <c r="B830" i="6"/>
  <c r="Q829" i="6"/>
  <c r="P829" i="6"/>
  <c r="N829" i="6"/>
  <c r="M829" i="6"/>
  <c r="L829" i="6"/>
  <c r="K829" i="6"/>
  <c r="J829" i="6"/>
  <c r="I829" i="6"/>
  <c r="H829" i="6"/>
  <c r="G829" i="6"/>
  <c r="F829" i="6"/>
  <c r="D829" i="6"/>
  <c r="U829" i="6" s="1"/>
  <c r="C829" i="6"/>
  <c r="B829" i="6"/>
  <c r="E829" i="6" s="1"/>
  <c r="Q828" i="6"/>
  <c r="N828" i="6"/>
  <c r="M828" i="6"/>
  <c r="L828" i="6"/>
  <c r="K828" i="6"/>
  <c r="J828" i="6"/>
  <c r="I828" i="6"/>
  <c r="P828" i="6" s="1"/>
  <c r="H828" i="6"/>
  <c r="G828" i="6"/>
  <c r="F828" i="6"/>
  <c r="D828" i="6"/>
  <c r="U828" i="6" s="1"/>
  <c r="C828" i="6"/>
  <c r="B828" i="6"/>
  <c r="Q827" i="6"/>
  <c r="P827" i="6"/>
  <c r="N827" i="6"/>
  <c r="M827" i="6"/>
  <c r="L827" i="6"/>
  <c r="K827" i="6"/>
  <c r="J827" i="6"/>
  <c r="I827" i="6"/>
  <c r="H827" i="6"/>
  <c r="G827" i="6"/>
  <c r="F827" i="6"/>
  <c r="D827" i="6"/>
  <c r="U827" i="6" s="1"/>
  <c r="C827" i="6"/>
  <c r="B827" i="6"/>
  <c r="E827" i="6" s="1"/>
  <c r="Q826" i="6"/>
  <c r="N826" i="6"/>
  <c r="M826" i="6"/>
  <c r="L826" i="6"/>
  <c r="K826" i="6"/>
  <c r="J826" i="6"/>
  <c r="I826" i="6"/>
  <c r="P826" i="6" s="1"/>
  <c r="H826" i="6"/>
  <c r="G826" i="6"/>
  <c r="F826" i="6"/>
  <c r="D826" i="6"/>
  <c r="U826" i="6" s="1"/>
  <c r="C826" i="6"/>
  <c r="B826" i="6"/>
  <c r="Q825" i="6"/>
  <c r="P825" i="6"/>
  <c r="N825" i="6"/>
  <c r="M825" i="6"/>
  <c r="L825" i="6"/>
  <c r="K825" i="6"/>
  <c r="J825" i="6"/>
  <c r="I825" i="6"/>
  <c r="H825" i="6"/>
  <c r="G825" i="6"/>
  <c r="F825" i="6"/>
  <c r="D825" i="6"/>
  <c r="U825" i="6" s="1"/>
  <c r="C825" i="6"/>
  <c r="B825" i="6"/>
  <c r="E825" i="6" s="1"/>
  <c r="Q824" i="6"/>
  <c r="N824" i="6"/>
  <c r="M824" i="6"/>
  <c r="L824" i="6"/>
  <c r="K824" i="6"/>
  <c r="J824" i="6"/>
  <c r="I824" i="6"/>
  <c r="P824" i="6" s="1"/>
  <c r="H824" i="6"/>
  <c r="G824" i="6"/>
  <c r="F824" i="6"/>
  <c r="D824" i="6"/>
  <c r="U824" i="6" s="1"/>
  <c r="C824" i="6"/>
  <c r="B824" i="6"/>
  <c r="Q823" i="6"/>
  <c r="P823" i="6"/>
  <c r="N823" i="6"/>
  <c r="M823" i="6"/>
  <c r="L823" i="6"/>
  <c r="K823" i="6"/>
  <c r="J823" i="6"/>
  <c r="I823" i="6"/>
  <c r="H823" i="6"/>
  <c r="G823" i="6"/>
  <c r="F823" i="6"/>
  <c r="D823" i="6"/>
  <c r="U823" i="6" s="1"/>
  <c r="C823" i="6"/>
  <c r="B823" i="6"/>
  <c r="E823" i="6" s="1"/>
  <c r="Q822" i="6"/>
  <c r="N822" i="6"/>
  <c r="M822" i="6"/>
  <c r="L822" i="6"/>
  <c r="K822" i="6"/>
  <c r="J822" i="6"/>
  <c r="I822" i="6"/>
  <c r="P822" i="6" s="1"/>
  <c r="H822" i="6"/>
  <c r="G822" i="6"/>
  <c r="F822" i="6"/>
  <c r="D822" i="6"/>
  <c r="U822" i="6" s="1"/>
  <c r="C822" i="6"/>
  <c r="B822" i="6"/>
  <c r="Q821" i="6"/>
  <c r="P821" i="6"/>
  <c r="N821" i="6"/>
  <c r="M821" i="6"/>
  <c r="L821" i="6"/>
  <c r="K821" i="6"/>
  <c r="J821" i="6"/>
  <c r="I821" i="6"/>
  <c r="H821" i="6"/>
  <c r="G821" i="6"/>
  <c r="F821" i="6"/>
  <c r="D821" i="6"/>
  <c r="U821" i="6" s="1"/>
  <c r="C821" i="6"/>
  <c r="B821" i="6"/>
  <c r="E821" i="6" s="1"/>
  <c r="Q820" i="6"/>
  <c r="N820" i="6"/>
  <c r="M820" i="6"/>
  <c r="L820" i="6"/>
  <c r="K820" i="6"/>
  <c r="J820" i="6"/>
  <c r="I820" i="6"/>
  <c r="P820" i="6" s="1"/>
  <c r="H820" i="6"/>
  <c r="G820" i="6"/>
  <c r="F820" i="6"/>
  <c r="D820" i="6"/>
  <c r="U820" i="6" s="1"/>
  <c r="C820" i="6"/>
  <c r="B820" i="6"/>
  <c r="Q819" i="6"/>
  <c r="P819" i="6"/>
  <c r="N819" i="6"/>
  <c r="M819" i="6"/>
  <c r="L819" i="6"/>
  <c r="K819" i="6"/>
  <c r="J819" i="6"/>
  <c r="I819" i="6"/>
  <c r="H819" i="6"/>
  <c r="G819" i="6"/>
  <c r="F819" i="6"/>
  <c r="D819" i="6"/>
  <c r="U819" i="6" s="1"/>
  <c r="C819" i="6"/>
  <c r="B819" i="6"/>
  <c r="E819" i="6" s="1"/>
  <c r="Q818" i="6"/>
  <c r="N818" i="6"/>
  <c r="M818" i="6"/>
  <c r="L818" i="6"/>
  <c r="K818" i="6"/>
  <c r="J818" i="6"/>
  <c r="I818" i="6"/>
  <c r="P818" i="6" s="1"/>
  <c r="H818" i="6"/>
  <c r="G818" i="6"/>
  <c r="F818" i="6"/>
  <c r="D818" i="6"/>
  <c r="U818" i="6" s="1"/>
  <c r="C818" i="6"/>
  <c r="B818" i="6"/>
  <c r="Q817" i="6"/>
  <c r="P817" i="6"/>
  <c r="N817" i="6"/>
  <c r="M817" i="6"/>
  <c r="L817" i="6"/>
  <c r="K817" i="6"/>
  <c r="J817" i="6"/>
  <c r="I817" i="6"/>
  <c r="H817" i="6"/>
  <c r="G817" i="6"/>
  <c r="F817" i="6"/>
  <c r="D817" i="6"/>
  <c r="U817" i="6" s="1"/>
  <c r="C817" i="6"/>
  <c r="B817" i="6"/>
  <c r="E817" i="6" s="1"/>
  <c r="Q816" i="6"/>
  <c r="N816" i="6"/>
  <c r="M816" i="6"/>
  <c r="L816" i="6"/>
  <c r="K816" i="6"/>
  <c r="J816" i="6"/>
  <c r="I816" i="6"/>
  <c r="P816" i="6" s="1"/>
  <c r="H816" i="6"/>
  <c r="G816" i="6"/>
  <c r="F816" i="6"/>
  <c r="D816" i="6"/>
  <c r="U816" i="6" s="1"/>
  <c r="C816" i="6"/>
  <c r="B816" i="6"/>
  <c r="Q815" i="6"/>
  <c r="P815" i="6"/>
  <c r="N815" i="6"/>
  <c r="M815" i="6"/>
  <c r="L815" i="6"/>
  <c r="K815" i="6"/>
  <c r="J815" i="6"/>
  <c r="I815" i="6"/>
  <c r="H815" i="6"/>
  <c r="G815" i="6"/>
  <c r="F815" i="6"/>
  <c r="D815" i="6"/>
  <c r="U815" i="6" s="1"/>
  <c r="C815" i="6"/>
  <c r="B815" i="6"/>
  <c r="E815" i="6" s="1"/>
  <c r="Q814" i="6"/>
  <c r="N814" i="6"/>
  <c r="M814" i="6"/>
  <c r="L814" i="6"/>
  <c r="K814" i="6"/>
  <c r="J814" i="6"/>
  <c r="I814" i="6"/>
  <c r="P814" i="6" s="1"/>
  <c r="H814" i="6"/>
  <c r="G814" i="6"/>
  <c r="F814" i="6"/>
  <c r="D814" i="6"/>
  <c r="U814" i="6" s="1"/>
  <c r="C814" i="6"/>
  <c r="B814" i="6"/>
  <c r="Q813" i="6"/>
  <c r="P813" i="6"/>
  <c r="N813" i="6"/>
  <c r="M813" i="6"/>
  <c r="L813" i="6"/>
  <c r="K813" i="6"/>
  <c r="J813" i="6"/>
  <c r="I813" i="6"/>
  <c r="H813" i="6"/>
  <c r="G813" i="6"/>
  <c r="F813" i="6"/>
  <c r="D813" i="6"/>
  <c r="U813" i="6" s="1"/>
  <c r="C813" i="6"/>
  <c r="B813" i="6"/>
  <c r="E813" i="6" s="1"/>
  <c r="Q812" i="6"/>
  <c r="N812" i="6"/>
  <c r="M812" i="6"/>
  <c r="L812" i="6"/>
  <c r="K812" i="6"/>
  <c r="J812" i="6"/>
  <c r="I812" i="6"/>
  <c r="P812" i="6" s="1"/>
  <c r="H812" i="6"/>
  <c r="G812" i="6"/>
  <c r="F812" i="6"/>
  <c r="D812" i="6"/>
  <c r="U812" i="6" s="1"/>
  <c r="C812" i="6"/>
  <c r="B812" i="6"/>
  <c r="Q811" i="6"/>
  <c r="P811" i="6"/>
  <c r="N811" i="6"/>
  <c r="M811" i="6"/>
  <c r="L811" i="6"/>
  <c r="K811" i="6"/>
  <c r="J811" i="6"/>
  <c r="I811" i="6"/>
  <c r="H811" i="6"/>
  <c r="G811" i="6"/>
  <c r="F811" i="6"/>
  <c r="D811" i="6"/>
  <c r="U811" i="6" s="1"/>
  <c r="C811" i="6"/>
  <c r="B811" i="6"/>
  <c r="E811" i="6" s="1"/>
  <c r="Q810" i="6"/>
  <c r="N810" i="6"/>
  <c r="M810" i="6"/>
  <c r="L810" i="6"/>
  <c r="K810" i="6"/>
  <c r="J810" i="6"/>
  <c r="I810" i="6"/>
  <c r="P810" i="6" s="1"/>
  <c r="H810" i="6"/>
  <c r="G810" i="6"/>
  <c r="F810" i="6"/>
  <c r="D810" i="6"/>
  <c r="U810" i="6" s="1"/>
  <c r="C810" i="6"/>
  <c r="B810" i="6"/>
  <c r="Q809" i="6"/>
  <c r="P809" i="6"/>
  <c r="N809" i="6"/>
  <c r="M809" i="6"/>
  <c r="L809" i="6"/>
  <c r="K809" i="6"/>
  <c r="J809" i="6"/>
  <c r="I809" i="6"/>
  <c r="H809" i="6"/>
  <c r="G809" i="6"/>
  <c r="F809" i="6"/>
  <c r="D809" i="6"/>
  <c r="U809" i="6" s="1"/>
  <c r="C809" i="6"/>
  <c r="B809" i="6"/>
  <c r="E809" i="6" s="1"/>
  <c r="Q808" i="6"/>
  <c r="N808" i="6"/>
  <c r="M808" i="6"/>
  <c r="L808" i="6"/>
  <c r="K808" i="6"/>
  <c r="J808" i="6"/>
  <c r="I808" i="6"/>
  <c r="P808" i="6" s="1"/>
  <c r="H808" i="6"/>
  <c r="G808" i="6"/>
  <c r="F808" i="6"/>
  <c r="D808" i="6"/>
  <c r="U808" i="6" s="1"/>
  <c r="C808" i="6"/>
  <c r="B808" i="6"/>
  <c r="Q807" i="6"/>
  <c r="P807" i="6"/>
  <c r="N807" i="6"/>
  <c r="M807" i="6"/>
  <c r="L807" i="6"/>
  <c r="K807" i="6"/>
  <c r="J807" i="6"/>
  <c r="I807" i="6"/>
  <c r="H807" i="6"/>
  <c r="G807" i="6"/>
  <c r="F807" i="6"/>
  <c r="D807" i="6"/>
  <c r="U807" i="6" s="1"/>
  <c r="C807" i="6"/>
  <c r="B807" i="6"/>
  <c r="E807" i="6" s="1"/>
  <c r="Q806" i="6"/>
  <c r="N806" i="6"/>
  <c r="M806" i="6"/>
  <c r="L806" i="6"/>
  <c r="K806" i="6"/>
  <c r="J806" i="6"/>
  <c r="I806" i="6"/>
  <c r="P806" i="6" s="1"/>
  <c r="H806" i="6"/>
  <c r="G806" i="6"/>
  <c r="F806" i="6"/>
  <c r="D806" i="6"/>
  <c r="U806" i="6" s="1"/>
  <c r="C806" i="6"/>
  <c r="B806" i="6"/>
  <c r="Q805" i="6"/>
  <c r="P805" i="6"/>
  <c r="N805" i="6"/>
  <c r="M805" i="6"/>
  <c r="L805" i="6"/>
  <c r="K805" i="6"/>
  <c r="J805" i="6"/>
  <c r="I805" i="6"/>
  <c r="H805" i="6"/>
  <c r="G805" i="6"/>
  <c r="F805" i="6"/>
  <c r="D805" i="6"/>
  <c r="U805" i="6" s="1"/>
  <c r="C805" i="6"/>
  <c r="B805" i="6"/>
  <c r="E805" i="6" s="1"/>
  <c r="Q804" i="6"/>
  <c r="N804" i="6"/>
  <c r="M804" i="6"/>
  <c r="L804" i="6"/>
  <c r="K804" i="6"/>
  <c r="J804" i="6"/>
  <c r="I804" i="6"/>
  <c r="P804" i="6" s="1"/>
  <c r="H804" i="6"/>
  <c r="G804" i="6"/>
  <c r="F804" i="6"/>
  <c r="D804" i="6"/>
  <c r="U804" i="6" s="1"/>
  <c r="C804" i="6"/>
  <c r="B804" i="6"/>
  <c r="Q803" i="6"/>
  <c r="P803" i="6"/>
  <c r="N803" i="6"/>
  <c r="M803" i="6"/>
  <c r="L803" i="6"/>
  <c r="K803" i="6"/>
  <c r="J803" i="6"/>
  <c r="I803" i="6"/>
  <c r="H803" i="6"/>
  <c r="G803" i="6"/>
  <c r="F803" i="6"/>
  <c r="D803" i="6"/>
  <c r="U803" i="6" s="1"/>
  <c r="C803" i="6"/>
  <c r="B803" i="6"/>
  <c r="E803" i="6" s="1"/>
  <c r="Q802" i="6"/>
  <c r="N802" i="6"/>
  <c r="M802" i="6"/>
  <c r="L802" i="6"/>
  <c r="K802" i="6"/>
  <c r="J802" i="6"/>
  <c r="I802" i="6"/>
  <c r="P802" i="6" s="1"/>
  <c r="H802" i="6"/>
  <c r="G802" i="6"/>
  <c r="F802" i="6"/>
  <c r="D802" i="6"/>
  <c r="U802" i="6" s="1"/>
  <c r="C802" i="6"/>
  <c r="B802" i="6"/>
  <c r="Q801" i="6"/>
  <c r="P801" i="6"/>
  <c r="N801" i="6"/>
  <c r="M801" i="6"/>
  <c r="L801" i="6"/>
  <c r="K801" i="6"/>
  <c r="J801" i="6"/>
  <c r="I801" i="6"/>
  <c r="H801" i="6"/>
  <c r="G801" i="6"/>
  <c r="F801" i="6"/>
  <c r="D801" i="6"/>
  <c r="U801" i="6" s="1"/>
  <c r="C801" i="6"/>
  <c r="B801" i="6"/>
  <c r="E801" i="6" s="1"/>
  <c r="Q800" i="6"/>
  <c r="N800" i="6"/>
  <c r="M800" i="6"/>
  <c r="L800" i="6"/>
  <c r="K800" i="6"/>
  <c r="J800" i="6"/>
  <c r="I800" i="6"/>
  <c r="P800" i="6" s="1"/>
  <c r="H800" i="6"/>
  <c r="G800" i="6"/>
  <c r="F800" i="6"/>
  <c r="D800" i="6"/>
  <c r="U800" i="6" s="1"/>
  <c r="C800" i="6"/>
  <c r="B800" i="6"/>
  <c r="Q799" i="6"/>
  <c r="P799" i="6"/>
  <c r="N799" i="6"/>
  <c r="M799" i="6"/>
  <c r="L799" i="6"/>
  <c r="K799" i="6"/>
  <c r="J799" i="6"/>
  <c r="I799" i="6"/>
  <c r="H799" i="6"/>
  <c r="G799" i="6"/>
  <c r="F799" i="6"/>
  <c r="D799" i="6"/>
  <c r="U799" i="6" s="1"/>
  <c r="C799" i="6"/>
  <c r="B799" i="6"/>
  <c r="E799" i="6" s="1"/>
  <c r="Q798" i="6"/>
  <c r="N798" i="6"/>
  <c r="M798" i="6"/>
  <c r="L798" i="6"/>
  <c r="K798" i="6"/>
  <c r="J798" i="6"/>
  <c r="I798" i="6"/>
  <c r="P798" i="6" s="1"/>
  <c r="H798" i="6"/>
  <c r="G798" i="6"/>
  <c r="F798" i="6"/>
  <c r="D798" i="6"/>
  <c r="U798" i="6" s="1"/>
  <c r="C798" i="6"/>
  <c r="B798" i="6"/>
  <c r="Q797" i="6"/>
  <c r="P797" i="6"/>
  <c r="N797" i="6"/>
  <c r="M797" i="6"/>
  <c r="L797" i="6"/>
  <c r="K797" i="6"/>
  <c r="J797" i="6"/>
  <c r="I797" i="6"/>
  <c r="H797" i="6"/>
  <c r="G797" i="6"/>
  <c r="F797" i="6"/>
  <c r="D797" i="6"/>
  <c r="U797" i="6" s="1"/>
  <c r="C797" i="6"/>
  <c r="B797" i="6"/>
  <c r="E797" i="6" s="1"/>
  <c r="Q796" i="6"/>
  <c r="N796" i="6"/>
  <c r="M796" i="6"/>
  <c r="L796" i="6"/>
  <c r="K796" i="6"/>
  <c r="J796" i="6"/>
  <c r="I796" i="6"/>
  <c r="P796" i="6" s="1"/>
  <c r="H796" i="6"/>
  <c r="G796" i="6"/>
  <c r="F796" i="6"/>
  <c r="D796" i="6"/>
  <c r="U796" i="6" s="1"/>
  <c r="C796" i="6"/>
  <c r="B796" i="6"/>
  <c r="Q795" i="6"/>
  <c r="P795" i="6"/>
  <c r="N795" i="6"/>
  <c r="M795" i="6"/>
  <c r="L795" i="6"/>
  <c r="K795" i="6"/>
  <c r="J795" i="6"/>
  <c r="I795" i="6"/>
  <c r="H795" i="6"/>
  <c r="G795" i="6"/>
  <c r="F795" i="6"/>
  <c r="D795" i="6"/>
  <c r="U795" i="6" s="1"/>
  <c r="C795" i="6"/>
  <c r="B795" i="6"/>
  <c r="E795" i="6" s="1"/>
  <c r="Q794" i="6"/>
  <c r="N794" i="6"/>
  <c r="M794" i="6"/>
  <c r="L794" i="6"/>
  <c r="K794" i="6"/>
  <c r="J794" i="6"/>
  <c r="I794" i="6"/>
  <c r="P794" i="6" s="1"/>
  <c r="H794" i="6"/>
  <c r="G794" i="6"/>
  <c r="F794" i="6"/>
  <c r="D794" i="6"/>
  <c r="U794" i="6" s="1"/>
  <c r="C794" i="6"/>
  <c r="B794" i="6"/>
  <c r="Q793" i="6"/>
  <c r="P793" i="6"/>
  <c r="N793" i="6"/>
  <c r="M793" i="6"/>
  <c r="L793" i="6"/>
  <c r="K793" i="6"/>
  <c r="J793" i="6"/>
  <c r="I793" i="6"/>
  <c r="H793" i="6"/>
  <c r="G793" i="6"/>
  <c r="F793" i="6"/>
  <c r="D793" i="6"/>
  <c r="U793" i="6" s="1"/>
  <c r="C793" i="6"/>
  <c r="B793" i="6"/>
  <c r="E793" i="6" s="1"/>
  <c r="Q792" i="6"/>
  <c r="N792" i="6"/>
  <c r="M792" i="6"/>
  <c r="L792" i="6"/>
  <c r="K792" i="6"/>
  <c r="J792" i="6"/>
  <c r="I792" i="6"/>
  <c r="P792" i="6" s="1"/>
  <c r="H792" i="6"/>
  <c r="G792" i="6"/>
  <c r="F792" i="6"/>
  <c r="D792" i="6"/>
  <c r="U792" i="6" s="1"/>
  <c r="C792" i="6"/>
  <c r="B792" i="6"/>
  <c r="Q791" i="6"/>
  <c r="P791" i="6"/>
  <c r="N791" i="6"/>
  <c r="M791" i="6"/>
  <c r="L791" i="6"/>
  <c r="K791" i="6"/>
  <c r="J791" i="6"/>
  <c r="I791" i="6"/>
  <c r="H791" i="6"/>
  <c r="G791" i="6"/>
  <c r="F791" i="6"/>
  <c r="D791" i="6"/>
  <c r="U791" i="6" s="1"/>
  <c r="C791" i="6"/>
  <c r="B791" i="6"/>
  <c r="E791" i="6" s="1"/>
  <c r="Q790" i="6"/>
  <c r="N790" i="6"/>
  <c r="M790" i="6"/>
  <c r="L790" i="6"/>
  <c r="K790" i="6"/>
  <c r="J790" i="6"/>
  <c r="I790" i="6"/>
  <c r="P790" i="6" s="1"/>
  <c r="H790" i="6"/>
  <c r="G790" i="6"/>
  <c r="F790" i="6"/>
  <c r="D790" i="6"/>
  <c r="U790" i="6" s="1"/>
  <c r="C790" i="6"/>
  <c r="B790" i="6"/>
  <c r="Q789" i="6"/>
  <c r="P789" i="6"/>
  <c r="N789" i="6"/>
  <c r="M789" i="6"/>
  <c r="L789" i="6"/>
  <c r="K789" i="6"/>
  <c r="J789" i="6"/>
  <c r="I789" i="6"/>
  <c r="H789" i="6"/>
  <c r="G789" i="6"/>
  <c r="F789" i="6"/>
  <c r="D789" i="6"/>
  <c r="U789" i="6" s="1"/>
  <c r="C789" i="6"/>
  <c r="B789" i="6"/>
  <c r="E789" i="6" s="1"/>
  <c r="Q788" i="6"/>
  <c r="N788" i="6"/>
  <c r="M788" i="6"/>
  <c r="L788" i="6"/>
  <c r="K788" i="6"/>
  <c r="J788" i="6"/>
  <c r="I788" i="6"/>
  <c r="P788" i="6" s="1"/>
  <c r="H788" i="6"/>
  <c r="G788" i="6"/>
  <c r="F788" i="6"/>
  <c r="D788" i="6"/>
  <c r="U788" i="6" s="1"/>
  <c r="C788" i="6"/>
  <c r="B788" i="6"/>
  <c r="Q787" i="6"/>
  <c r="P787" i="6"/>
  <c r="N787" i="6"/>
  <c r="M787" i="6"/>
  <c r="L787" i="6"/>
  <c r="K787" i="6"/>
  <c r="J787" i="6"/>
  <c r="I787" i="6"/>
  <c r="H787" i="6"/>
  <c r="G787" i="6"/>
  <c r="F787" i="6"/>
  <c r="D787" i="6"/>
  <c r="U787" i="6" s="1"/>
  <c r="C787" i="6"/>
  <c r="B787" i="6"/>
  <c r="E787" i="6" s="1"/>
  <c r="Q786" i="6"/>
  <c r="N786" i="6"/>
  <c r="M786" i="6"/>
  <c r="L786" i="6"/>
  <c r="K786" i="6"/>
  <c r="J786" i="6"/>
  <c r="I786" i="6"/>
  <c r="P786" i="6" s="1"/>
  <c r="H786" i="6"/>
  <c r="G786" i="6"/>
  <c r="F786" i="6"/>
  <c r="D786" i="6"/>
  <c r="U786" i="6" s="1"/>
  <c r="C786" i="6"/>
  <c r="B786" i="6"/>
  <c r="Q785" i="6"/>
  <c r="P785" i="6"/>
  <c r="N785" i="6"/>
  <c r="M785" i="6"/>
  <c r="L785" i="6"/>
  <c r="K785" i="6"/>
  <c r="J785" i="6"/>
  <c r="I785" i="6"/>
  <c r="H785" i="6"/>
  <c r="G785" i="6"/>
  <c r="F785" i="6"/>
  <c r="D785" i="6"/>
  <c r="U785" i="6" s="1"/>
  <c r="C785" i="6"/>
  <c r="B785" i="6"/>
  <c r="E785" i="6" s="1"/>
  <c r="Q784" i="6"/>
  <c r="N784" i="6"/>
  <c r="M784" i="6"/>
  <c r="L784" i="6"/>
  <c r="K784" i="6"/>
  <c r="J784" i="6"/>
  <c r="I784" i="6"/>
  <c r="P784" i="6" s="1"/>
  <c r="H784" i="6"/>
  <c r="G784" i="6"/>
  <c r="F784" i="6"/>
  <c r="D784" i="6"/>
  <c r="U784" i="6" s="1"/>
  <c r="C784" i="6"/>
  <c r="B784" i="6"/>
  <c r="Q783" i="6"/>
  <c r="P783" i="6"/>
  <c r="N783" i="6"/>
  <c r="M783" i="6"/>
  <c r="L783" i="6"/>
  <c r="K783" i="6"/>
  <c r="J783" i="6"/>
  <c r="I783" i="6"/>
  <c r="H783" i="6"/>
  <c r="G783" i="6"/>
  <c r="F783" i="6"/>
  <c r="D783" i="6"/>
  <c r="U783" i="6" s="1"/>
  <c r="C783" i="6"/>
  <c r="B783" i="6"/>
  <c r="E783" i="6" s="1"/>
  <c r="Q782" i="6"/>
  <c r="N782" i="6"/>
  <c r="M782" i="6"/>
  <c r="L782" i="6"/>
  <c r="K782" i="6"/>
  <c r="J782" i="6"/>
  <c r="I782" i="6"/>
  <c r="P782" i="6" s="1"/>
  <c r="H782" i="6"/>
  <c r="G782" i="6"/>
  <c r="F782" i="6"/>
  <c r="D782" i="6"/>
  <c r="U782" i="6" s="1"/>
  <c r="C782" i="6"/>
  <c r="B782" i="6"/>
  <c r="Q781" i="6"/>
  <c r="P781" i="6"/>
  <c r="N781" i="6"/>
  <c r="M781" i="6"/>
  <c r="L781" i="6"/>
  <c r="K781" i="6"/>
  <c r="J781" i="6"/>
  <c r="I781" i="6"/>
  <c r="H781" i="6"/>
  <c r="G781" i="6"/>
  <c r="F781" i="6"/>
  <c r="D781" i="6"/>
  <c r="U781" i="6" s="1"/>
  <c r="C781" i="6"/>
  <c r="B781" i="6"/>
  <c r="E781" i="6" s="1"/>
  <c r="Q780" i="6"/>
  <c r="N780" i="6"/>
  <c r="M780" i="6"/>
  <c r="L780" i="6"/>
  <c r="K780" i="6"/>
  <c r="J780" i="6"/>
  <c r="I780" i="6"/>
  <c r="P780" i="6" s="1"/>
  <c r="H780" i="6"/>
  <c r="G780" i="6"/>
  <c r="F780" i="6"/>
  <c r="D780" i="6"/>
  <c r="U780" i="6" s="1"/>
  <c r="C780" i="6"/>
  <c r="B780" i="6"/>
  <c r="Q779" i="6"/>
  <c r="P779" i="6"/>
  <c r="N779" i="6"/>
  <c r="M779" i="6"/>
  <c r="L779" i="6"/>
  <c r="K779" i="6"/>
  <c r="J779" i="6"/>
  <c r="I779" i="6"/>
  <c r="H779" i="6"/>
  <c r="G779" i="6"/>
  <c r="F779" i="6"/>
  <c r="D779" i="6"/>
  <c r="U779" i="6" s="1"/>
  <c r="C779" i="6"/>
  <c r="B779" i="6"/>
  <c r="E779" i="6" s="1"/>
  <c r="Q778" i="6"/>
  <c r="N778" i="6"/>
  <c r="M778" i="6"/>
  <c r="L778" i="6"/>
  <c r="K778" i="6"/>
  <c r="J778" i="6"/>
  <c r="I778" i="6"/>
  <c r="P778" i="6" s="1"/>
  <c r="H778" i="6"/>
  <c r="G778" i="6"/>
  <c r="F778" i="6"/>
  <c r="D778" i="6"/>
  <c r="U778" i="6" s="1"/>
  <c r="C778" i="6"/>
  <c r="B778" i="6"/>
  <c r="Q777" i="6"/>
  <c r="P777" i="6"/>
  <c r="N777" i="6"/>
  <c r="M777" i="6"/>
  <c r="L777" i="6"/>
  <c r="K777" i="6"/>
  <c r="J777" i="6"/>
  <c r="I777" i="6"/>
  <c r="H777" i="6"/>
  <c r="G777" i="6"/>
  <c r="F777" i="6"/>
  <c r="D777" i="6"/>
  <c r="U777" i="6" s="1"/>
  <c r="C777" i="6"/>
  <c r="B777" i="6"/>
  <c r="E777" i="6" s="1"/>
  <c r="Q776" i="6"/>
  <c r="N776" i="6"/>
  <c r="M776" i="6"/>
  <c r="L776" i="6"/>
  <c r="K776" i="6"/>
  <c r="J776" i="6"/>
  <c r="I776" i="6"/>
  <c r="P776" i="6" s="1"/>
  <c r="H776" i="6"/>
  <c r="G776" i="6"/>
  <c r="F776" i="6"/>
  <c r="D776" i="6"/>
  <c r="U776" i="6" s="1"/>
  <c r="C776" i="6"/>
  <c r="B776" i="6"/>
  <c r="Q775" i="6"/>
  <c r="P775" i="6"/>
  <c r="N775" i="6"/>
  <c r="M775" i="6"/>
  <c r="L775" i="6"/>
  <c r="K775" i="6"/>
  <c r="J775" i="6"/>
  <c r="I775" i="6"/>
  <c r="H775" i="6"/>
  <c r="G775" i="6"/>
  <c r="F775" i="6"/>
  <c r="D775" i="6"/>
  <c r="U775" i="6" s="1"/>
  <c r="C775" i="6"/>
  <c r="B775" i="6"/>
  <c r="E775" i="6" s="1"/>
  <c r="Q774" i="6"/>
  <c r="N774" i="6"/>
  <c r="M774" i="6"/>
  <c r="L774" i="6"/>
  <c r="K774" i="6"/>
  <c r="J774" i="6"/>
  <c r="I774" i="6"/>
  <c r="P774" i="6" s="1"/>
  <c r="H774" i="6"/>
  <c r="G774" i="6"/>
  <c r="F774" i="6"/>
  <c r="D774" i="6"/>
  <c r="U774" i="6" s="1"/>
  <c r="C774" i="6"/>
  <c r="B774" i="6"/>
  <c r="Q773" i="6"/>
  <c r="P773" i="6"/>
  <c r="N773" i="6"/>
  <c r="M773" i="6"/>
  <c r="L773" i="6"/>
  <c r="K773" i="6"/>
  <c r="J773" i="6"/>
  <c r="I773" i="6"/>
  <c r="H773" i="6"/>
  <c r="G773" i="6"/>
  <c r="F773" i="6"/>
  <c r="D773" i="6"/>
  <c r="U773" i="6" s="1"/>
  <c r="C773" i="6"/>
  <c r="B773" i="6"/>
  <c r="E773" i="6" s="1"/>
  <c r="Q772" i="6"/>
  <c r="N772" i="6"/>
  <c r="M772" i="6"/>
  <c r="L772" i="6"/>
  <c r="K772" i="6"/>
  <c r="J772" i="6"/>
  <c r="I772" i="6"/>
  <c r="P772" i="6" s="1"/>
  <c r="H772" i="6"/>
  <c r="G772" i="6"/>
  <c r="F772" i="6"/>
  <c r="D772" i="6"/>
  <c r="U772" i="6" s="1"/>
  <c r="C772" i="6"/>
  <c r="B772" i="6"/>
  <c r="Q771" i="6"/>
  <c r="P771" i="6"/>
  <c r="N771" i="6"/>
  <c r="M771" i="6"/>
  <c r="L771" i="6"/>
  <c r="K771" i="6"/>
  <c r="J771" i="6"/>
  <c r="I771" i="6"/>
  <c r="H771" i="6"/>
  <c r="G771" i="6"/>
  <c r="F771" i="6"/>
  <c r="D771" i="6"/>
  <c r="U771" i="6" s="1"/>
  <c r="C771" i="6"/>
  <c r="B771" i="6"/>
  <c r="E771" i="6" s="1"/>
  <c r="Q770" i="6"/>
  <c r="N770" i="6"/>
  <c r="M770" i="6"/>
  <c r="L770" i="6"/>
  <c r="K770" i="6"/>
  <c r="J770" i="6"/>
  <c r="I770" i="6"/>
  <c r="P770" i="6" s="1"/>
  <c r="H770" i="6"/>
  <c r="G770" i="6"/>
  <c r="F770" i="6"/>
  <c r="D770" i="6"/>
  <c r="U770" i="6" s="1"/>
  <c r="C770" i="6"/>
  <c r="B770" i="6"/>
  <c r="Q769" i="6"/>
  <c r="P769" i="6"/>
  <c r="N769" i="6"/>
  <c r="M769" i="6"/>
  <c r="L769" i="6"/>
  <c r="K769" i="6"/>
  <c r="J769" i="6"/>
  <c r="I769" i="6"/>
  <c r="H769" i="6"/>
  <c r="G769" i="6"/>
  <c r="F769" i="6"/>
  <c r="D769" i="6"/>
  <c r="U769" i="6" s="1"/>
  <c r="C769" i="6"/>
  <c r="B769" i="6"/>
  <c r="E769" i="6" s="1"/>
  <c r="Q768" i="6"/>
  <c r="N768" i="6"/>
  <c r="M768" i="6"/>
  <c r="L768" i="6"/>
  <c r="K768" i="6"/>
  <c r="J768" i="6"/>
  <c r="I768" i="6"/>
  <c r="P768" i="6" s="1"/>
  <c r="H768" i="6"/>
  <c r="G768" i="6"/>
  <c r="F768" i="6"/>
  <c r="D768" i="6"/>
  <c r="U768" i="6" s="1"/>
  <c r="C768" i="6"/>
  <c r="B768" i="6"/>
  <c r="Q767" i="6"/>
  <c r="P767" i="6"/>
  <c r="N767" i="6"/>
  <c r="M767" i="6"/>
  <c r="L767" i="6"/>
  <c r="K767" i="6"/>
  <c r="J767" i="6"/>
  <c r="I767" i="6"/>
  <c r="H767" i="6"/>
  <c r="G767" i="6"/>
  <c r="F767" i="6"/>
  <c r="D767" i="6"/>
  <c r="U767" i="6" s="1"/>
  <c r="C767" i="6"/>
  <c r="B767" i="6"/>
  <c r="E767" i="6" s="1"/>
  <c r="Q766" i="6"/>
  <c r="N766" i="6"/>
  <c r="M766" i="6"/>
  <c r="L766" i="6"/>
  <c r="K766" i="6"/>
  <c r="J766" i="6"/>
  <c r="I766" i="6"/>
  <c r="P766" i="6" s="1"/>
  <c r="H766" i="6"/>
  <c r="G766" i="6"/>
  <c r="F766" i="6"/>
  <c r="D766" i="6"/>
  <c r="U766" i="6" s="1"/>
  <c r="C766" i="6"/>
  <c r="B766" i="6"/>
  <c r="Q765" i="6"/>
  <c r="P765" i="6"/>
  <c r="N765" i="6"/>
  <c r="M765" i="6"/>
  <c r="L765" i="6"/>
  <c r="K765" i="6"/>
  <c r="J765" i="6"/>
  <c r="I765" i="6"/>
  <c r="H765" i="6"/>
  <c r="G765" i="6"/>
  <c r="F765" i="6"/>
  <c r="D765" i="6"/>
  <c r="U765" i="6" s="1"/>
  <c r="C765" i="6"/>
  <c r="B765" i="6"/>
  <c r="E765" i="6" s="1"/>
  <c r="Q764" i="6"/>
  <c r="N764" i="6"/>
  <c r="M764" i="6"/>
  <c r="L764" i="6"/>
  <c r="K764" i="6"/>
  <c r="J764" i="6"/>
  <c r="I764" i="6"/>
  <c r="P764" i="6" s="1"/>
  <c r="H764" i="6"/>
  <c r="G764" i="6"/>
  <c r="F764" i="6"/>
  <c r="D764" i="6"/>
  <c r="U764" i="6" s="1"/>
  <c r="C764" i="6"/>
  <c r="B764" i="6"/>
  <c r="Q763" i="6"/>
  <c r="P763" i="6"/>
  <c r="N763" i="6"/>
  <c r="M763" i="6"/>
  <c r="L763" i="6"/>
  <c r="K763" i="6"/>
  <c r="J763" i="6"/>
  <c r="I763" i="6"/>
  <c r="H763" i="6"/>
  <c r="G763" i="6"/>
  <c r="F763" i="6"/>
  <c r="D763" i="6"/>
  <c r="U763" i="6" s="1"/>
  <c r="C763" i="6"/>
  <c r="B763" i="6"/>
  <c r="E763" i="6" s="1"/>
  <c r="Q762" i="6"/>
  <c r="N762" i="6"/>
  <c r="M762" i="6"/>
  <c r="L762" i="6"/>
  <c r="K762" i="6"/>
  <c r="J762" i="6"/>
  <c r="I762" i="6"/>
  <c r="P762" i="6" s="1"/>
  <c r="H762" i="6"/>
  <c r="G762" i="6"/>
  <c r="F762" i="6"/>
  <c r="D762" i="6"/>
  <c r="U762" i="6" s="1"/>
  <c r="C762" i="6"/>
  <c r="B762" i="6"/>
  <c r="Q761" i="6"/>
  <c r="P761" i="6"/>
  <c r="N761" i="6"/>
  <c r="M761" i="6"/>
  <c r="L761" i="6"/>
  <c r="K761" i="6"/>
  <c r="J761" i="6"/>
  <c r="I761" i="6"/>
  <c r="H761" i="6"/>
  <c r="G761" i="6"/>
  <c r="F761" i="6"/>
  <c r="D761" i="6"/>
  <c r="U761" i="6" s="1"/>
  <c r="C761" i="6"/>
  <c r="B761" i="6"/>
  <c r="E761" i="6" s="1"/>
  <c r="Q760" i="6"/>
  <c r="N760" i="6"/>
  <c r="M760" i="6"/>
  <c r="L760" i="6"/>
  <c r="K760" i="6"/>
  <c r="J760" i="6"/>
  <c r="I760" i="6"/>
  <c r="P760" i="6" s="1"/>
  <c r="H760" i="6"/>
  <c r="G760" i="6"/>
  <c r="F760" i="6"/>
  <c r="D760" i="6"/>
  <c r="U760" i="6" s="1"/>
  <c r="C760" i="6"/>
  <c r="B760" i="6"/>
  <c r="Q759" i="6"/>
  <c r="P759" i="6"/>
  <c r="N759" i="6"/>
  <c r="M759" i="6"/>
  <c r="L759" i="6"/>
  <c r="K759" i="6"/>
  <c r="J759" i="6"/>
  <c r="I759" i="6"/>
  <c r="H759" i="6"/>
  <c r="G759" i="6"/>
  <c r="F759" i="6"/>
  <c r="D759" i="6"/>
  <c r="U759" i="6" s="1"/>
  <c r="C759" i="6"/>
  <c r="B759" i="6"/>
  <c r="E759" i="6" s="1"/>
  <c r="Q758" i="6"/>
  <c r="N758" i="6"/>
  <c r="M758" i="6"/>
  <c r="L758" i="6"/>
  <c r="K758" i="6"/>
  <c r="J758" i="6"/>
  <c r="I758" i="6"/>
  <c r="P758" i="6" s="1"/>
  <c r="H758" i="6"/>
  <c r="G758" i="6"/>
  <c r="F758" i="6"/>
  <c r="D758" i="6"/>
  <c r="U758" i="6" s="1"/>
  <c r="C758" i="6"/>
  <c r="B758" i="6"/>
  <c r="Q757" i="6"/>
  <c r="P757" i="6"/>
  <c r="N757" i="6"/>
  <c r="M757" i="6"/>
  <c r="L757" i="6"/>
  <c r="K757" i="6"/>
  <c r="J757" i="6"/>
  <c r="I757" i="6"/>
  <c r="H757" i="6"/>
  <c r="G757" i="6"/>
  <c r="F757" i="6"/>
  <c r="D757" i="6"/>
  <c r="U757" i="6" s="1"/>
  <c r="C757" i="6"/>
  <c r="B757" i="6"/>
  <c r="E757" i="6" s="1"/>
  <c r="Q756" i="6"/>
  <c r="N756" i="6"/>
  <c r="M756" i="6"/>
  <c r="L756" i="6"/>
  <c r="K756" i="6"/>
  <c r="J756" i="6"/>
  <c r="I756" i="6"/>
  <c r="P756" i="6" s="1"/>
  <c r="H756" i="6"/>
  <c r="G756" i="6"/>
  <c r="F756" i="6"/>
  <c r="D756" i="6"/>
  <c r="U756" i="6" s="1"/>
  <c r="C756" i="6"/>
  <c r="B756" i="6"/>
  <c r="Q755" i="6"/>
  <c r="P755" i="6"/>
  <c r="N755" i="6"/>
  <c r="M755" i="6"/>
  <c r="L755" i="6"/>
  <c r="K755" i="6"/>
  <c r="J755" i="6"/>
  <c r="I755" i="6"/>
  <c r="H755" i="6"/>
  <c r="G755" i="6"/>
  <c r="F755" i="6"/>
  <c r="D755" i="6"/>
  <c r="U755" i="6" s="1"/>
  <c r="C755" i="6"/>
  <c r="B755" i="6"/>
  <c r="E755" i="6" s="1"/>
  <c r="Q754" i="6"/>
  <c r="N754" i="6"/>
  <c r="M754" i="6"/>
  <c r="L754" i="6"/>
  <c r="K754" i="6"/>
  <c r="J754" i="6"/>
  <c r="I754" i="6"/>
  <c r="P754" i="6" s="1"/>
  <c r="H754" i="6"/>
  <c r="G754" i="6"/>
  <c r="F754" i="6"/>
  <c r="D754" i="6"/>
  <c r="U754" i="6" s="1"/>
  <c r="C754" i="6"/>
  <c r="B754" i="6"/>
  <c r="Q753" i="6"/>
  <c r="P753" i="6"/>
  <c r="N753" i="6"/>
  <c r="M753" i="6"/>
  <c r="L753" i="6"/>
  <c r="K753" i="6"/>
  <c r="J753" i="6"/>
  <c r="I753" i="6"/>
  <c r="H753" i="6"/>
  <c r="G753" i="6"/>
  <c r="F753" i="6"/>
  <c r="D753" i="6"/>
  <c r="U753" i="6" s="1"/>
  <c r="C753" i="6"/>
  <c r="B753" i="6"/>
  <c r="E753" i="6" s="1"/>
  <c r="Q752" i="6"/>
  <c r="N752" i="6"/>
  <c r="M752" i="6"/>
  <c r="L752" i="6"/>
  <c r="K752" i="6"/>
  <c r="J752" i="6"/>
  <c r="I752" i="6"/>
  <c r="P752" i="6" s="1"/>
  <c r="H752" i="6"/>
  <c r="G752" i="6"/>
  <c r="F752" i="6"/>
  <c r="D752" i="6"/>
  <c r="U752" i="6" s="1"/>
  <c r="C752" i="6"/>
  <c r="B752" i="6"/>
  <c r="Q751" i="6"/>
  <c r="P751" i="6"/>
  <c r="N751" i="6"/>
  <c r="M751" i="6"/>
  <c r="L751" i="6"/>
  <c r="K751" i="6"/>
  <c r="J751" i="6"/>
  <c r="I751" i="6"/>
  <c r="H751" i="6"/>
  <c r="G751" i="6"/>
  <c r="F751" i="6"/>
  <c r="D751" i="6"/>
  <c r="U751" i="6" s="1"/>
  <c r="C751" i="6"/>
  <c r="B751" i="6"/>
  <c r="E751" i="6" s="1"/>
  <c r="Q750" i="6"/>
  <c r="N750" i="6"/>
  <c r="M750" i="6"/>
  <c r="L750" i="6"/>
  <c r="K750" i="6"/>
  <c r="J750" i="6"/>
  <c r="I750" i="6"/>
  <c r="P750" i="6" s="1"/>
  <c r="H750" i="6"/>
  <c r="G750" i="6"/>
  <c r="F750" i="6"/>
  <c r="D750" i="6"/>
  <c r="U750" i="6" s="1"/>
  <c r="C750" i="6"/>
  <c r="B750" i="6"/>
  <c r="Q749" i="6"/>
  <c r="P749" i="6"/>
  <c r="N749" i="6"/>
  <c r="M749" i="6"/>
  <c r="L749" i="6"/>
  <c r="K749" i="6"/>
  <c r="J749" i="6"/>
  <c r="I749" i="6"/>
  <c r="H749" i="6"/>
  <c r="G749" i="6"/>
  <c r="F749" i="6"/>
  <c r="D749" i="6"/>
  <c r="U749" i="6" s="1"/>
  <c r="C749" i="6"/>
  <c r="B749" i="6"/>
  <c r="E749" i="6" s="1"/>
  <c r="Q748" i="6"/>
  <c r="N748" i="6"/>
  <c r="M748" i="6"/>
  <c r="L748" i="6"/>
  <c r="K748" i="6"/>
  <c r="J748" i="6"/>
  <c r="I748" i="6"/>
  <c r="P748" i="6" s="1"/>
  <c r="H748" i="6"/>
  <c r="G748" i="6"/>
  <c r="F748" i="6"/>
  <c r="D748" i="6"/>
  <c r="U748" i="6" s="1"/>
  <c r="C748" i="6"/>
  <c r="B748" i="6"/>
  <c r="Q747" i="6"/>
  <c r="P747" i="6"/>
  <c r="N747" i="6"/>
  <c r="M747" i="6"/>
  <c r="L747" i="6"/>
  <c r="K747" i="6"/>
  <c r="J747" i="6"/>
  <c r="I747" i="6"/>
  <c r="H747" i="6"/>
  <c r="G747" i="6"/>
  <c r="F747" i="6"/>
  <c r="D747" i="6"/>
  <c r="U747" i="6" s="1"/>
  <c r="C747" i="6"/>
  <c r="B747" i="6"/>
  <c r="E747" i="6" s="1"/>
  <c r="Q746" i="6"/>
  <c r="N746" i="6"/>
  <c r="M746" i="6"/>
  <c r="L746" i="6"/>
  <c r="K746" i="6"/>
  <c r="J746" i="6"/>
  <c r="I746" i="6"/>
  <c r="P746" i="6" s="1"/>
  <c r="H746" i="6"/>
  <c r="G746" i="6"/>
  <c r="F746" i="6"/>
  <c r="D746" i="6"/>
  <c r="U746" i="6" s="1"/>
  <c r="C746" i="6"/>
  <c r="B746" i="6"/>
  <c r="Q745" i="6"/>
  <c r="P745" i="6"/>
  <c r="N745" i="6"/>
  <c r="M745" i="6"/>
  <c r="L745" i="6"/>
  <c r="K745" i="6"/>
  <c r="J745" i="6"/>
  <c r="I745" i="6"/>
  <c r="H745" i="6"/>
  <c r="G745" i="6"/>
  <c r="F745" i="6"/>
  <c r="D745" i="6"/>
  <c r="U745" i="6" s="1"/>
  <c r="C745" i="6"/>
  <c r="B745" i="6"/>
  <c r="E745" i="6" s="1"/>
  <c r="Q744" i="6"/>
  <c r="N744" i="6"/>
  <c r="M744" i="6"/>
  <c r="L744" i="6"/>
  <c r="K744" i="6"/>
  <c r="J744" i="6"/>
  <c r="I744" i="6"/>
  <c r="P744" i="6" s="1"/>
  <c r="H744" i="6"/>
  <c r="G744" i="6"/>
  <c r="F744" i="6"/>
  <c r="D744" i="6"/>
  <c r="U744" i="6" s="1"/>
  <c r="C744" i="6"/>
  <c r="B744" i="6"/>
  <c r="Q743" i="6"/>
  <c r="P743" i="6"/>
  <c r="N743" i="6"/>
  <c r="M743" i="6"/>
  <c r="L743" i="6"/>
  <c r="K743" i="6"/>
  <c r="J743" i="6"/>
  <c r="I743" i="6"/>
  <c r="H743" i="6"/>
  <c r="G743" i="6"/>
  <c r="F743" i="6"/>
  <c r="D743" i="6"/>
  <c r="U743" i="6" s="1"/>
  <c r="C743" i="6"/>
  <c r="B743" i="6"/>
  <c r="E743" i="6" s="1"/>
  <c r="Q742" i="6"/>
  <c r="N742" i="6"/>
  <c r="M742" i="6"/>
  <c r="L742" i="6"/>
  <c r="K742" i="6"/>
  <c r="J742" i="6"/>
  <c r="I742" i="6"/>
  <c r="P742" i="6" s="1"/>
  <c r="H742" i="6"/>
  <c r="G742" i="6"/>
  <c r="F742" i="6"/>
  <c r="D742" i="6"/>
  <c r="U742" i="6" s="1"/>
  <c r="C742" i="6"/>
  <c r="B742" i="6"/>
  <c r="Q741" i="6"/>
  <c r="P741" i="6"/>
  <c r="N741" i="6"/>
  <c r="M741" i="6"/>
  <c r="L741" i="6"/>
  <c r="K741" i="6"/>
  <c r="J741" i="6"/>
  <c r="I741" i="6"/>
  <c r="H741" i="6"/>
  <c r="G741" i="6"/>
  <c r="F741" i="6"/>
  <c r="D741" i="6"/>
  <c r="U741" i="6" s="1"/>
  <c r="C741" i="6"/>
  <c r="B741" i="6"/>
  <c r="E741" i="6" s="1"/>
  <c r="Q740" i="6"/>
  <c r="N740" i="6"/>
  <c r="M740" i="6"/>
  <c r="L740" i="6"/>
  <c r="K740" i="6"/>
  <c r="J740" i="6"/>
  <c r="I740" i="6"/>
  <c r="P740" i="6" s="1"/>
  <c r="H740" i="6"/>
  <c r="G740" i="6"/>
  <c r="F740" i="6"/>
  <c r="D740" i="6"/>
  <c r="U740" i="6" s="1"/>
  <c r="C740" i="6"/>
  <c r="B740" i="6"/>
  <c r="Q739" i="6"/>
  <c r="P739" i="6"/>
  <c r="N739" i="6"/>
  <c r="M739" i="6"/>
  <c r="L739" i="6"/>
  <c r="K739" i="6"/>
  <c r="J739" i="6"/>
  <c r="I739" i="6"/>
  <c r="H739" i="6"/>
  <c r="G739" i="6"/>
  <c r="F739" i="6"/>
  <c r="D739" i="6"/>
  <c r="U739" i="6" s="1"/>
  <c r="C739" i="6"/>
  <c r="B739" i="6"/>
  <c r="E739" i="6" s="1"/>
  <c r="Q738" i="6"/>
  <c r="N738" i="6"/>
  <c r="M738" i="6"/>
  <c r="L738" i="6"/>
  <c r="K738" i="6"/>
  <c r="J738" i="6"/>
  <c r="I738" i="6"/>
  <c r="P738" i="6" s="1"/>
  <c r="H738" i="6"/>
  <c r="G738" i="6"/>
  <c r="F738" i="6"/>
  <c r="D738" i="6"/>
  <c r="U738" i="6" s="1"/>
  <c r="C738" i="6"/>
  <c r="B738" i="6"/>
  <c r="Q737" i="6"/>
  <c r="P737" i="6"/>
  <c r="N737" i="6"/>
  <c r="M737" i="6"/>
  <c r="L737" i="6"/>
  <c r="K737" i="6"/>
  <c r="J737" i="6"/>
  <c r="I737" i="6"/>
  <c r="H737" i="6"/>
  <c r="G737" i="6"/>
  <c r="F737" i="6"/>
  <c r="D737" i="6"/>
  <c r="U737" i="6" s="1"/>
  <c r="C737" i="6"/>
  <c r="B737" i="6"/>
  <c r="E737" i="6" s="1"/>
  <c r="Q736" i="6"/>
  <c r="N736" i="6"/>
  <c r="M736" i="6"/>
  <c r="L736" i="6"/>
  <c r="K736" i="6"/>
  <c r="J736" i="6"/>
  <c r="I736" i="6"/>
  <c r="P736" i="6" s="1"/>
  <c r="H736" i="6"/>
  <c r="G736" i="6"/>
  <c r="F736" i="6"/>
  <c r="D736" i="6"/>
  <c r="U736" i="6" s="1"/>
  <c r="C736" i="6"/>
  <c r="B736" i="6"/>
  <c r="Q735" i="6"/>
  <c r="P735" i="6"/>
  <c r="N735" i="6"/>
  <c r="M735" i="6"/>
  <c r="L735" i="6"/>
  <c r="K735" i="6"/>
  <c r="J735" i="6"/>
  <c r="I735" i="6"/>
  <c r="H735" i="6"/>
  <c r="G735" i="6"/>
  <c r="F735" i="6"/>
  <c r="D735" i="6"/>
  <c r="U735" i="6" s="1"/>
  <c r="C735" i="6"/>
  <c r="B735" i="6"/>
  <c r="E735" i="6" s="1"/>
  <c r="Q734" i="6"/>
  <c r="N734" i="6"/>
  <c r="M734" i="6"/>
  <c r="L734" i="6"/>
  <c r="K734" i="6"/>
  <c r="J734" i="6"/>
  <c r="I734" i="6"/>
  <c r="P734" i="6" s="1"/>
  <c r="H734" i="6"/>
  <c r="G734" i="6"/>
  <c r="F734" i="6"/>
  <c r="D734" i="6"/>
  <c r="U734" i="6" s="1"/>
  <c r="C734" i="6"/>
  <c r="B734" i="6"/>
  <c r="Q733" i="6"/>
  <c r="P733" i="6"/>
  <c r="N733" i="6"/>
  <c r="M733" i="6"/>
  <c r="L733" i="6"/>
  <c r="K733" i="6"/>
  <c r="J733" i="6"/>
  <c r="I733" i="6"/>
  <c r="H733" i="6"/>
  <c r="G733" i="6"/>
  <c r="F733" i="6"/>
  <c r="D733" i="6"/>
  <c r="U733" i="6" s="1"/>
  <c r="C733" i="6"/>
  <c r="B733" i="6"/>
  <c r="E733" i="6" s="1"/>
  <c r="Q732" i="6"/>
  <c r="N732" i="6"/>
  <c r="M732" i="6"/>
  <c r="L732" i="6"/>
  <c r="K732" i="6"/>
  <c r="J732" i="6"/>
  <c r="I732" i="6"/>
  <c r="P732" i="6" s="1"/>
  <c r="H732" i="6"/>
  <c r="G732" i="6"/>
  <c r="F732" i="6"/>
  <c r="D732" i="6"/>
  <c r="U732" i="6" s="1"/>
  <c r="C732" i="6"/>
  <c r="B732" i="6"/>
  <c r="Q731" i="6"/>
  <c r="P731" i="6"/>
  <c r="N731" i="6"/>
  <c r="M731" i="6"/>
  <c r="L731" i="6"/>
  <c r="K731" i="6"/>
  <c r="J731" i="6"/>
  <c r="I731" i="6"/>
  <c r="H731" i="6"/>
  <c r="G731" i="6"/>
  <c r="F731" i="6"/>
  <c r="D731" i="6"/>
  <c r="U731" i="6" s="1"/>
  <c r="C731" i="6"/>
  <c r="B731" i="6"/>
  <c r="E731" i="6" s="1"/>
  <c r="Q730" i="6"/>
  <c r="N730" i="6"/>
  <c r="M730" i="6"/>
  <c r="L730" i="6"/>
  <c r="K730" i="6"/>
  <c r="J730" i="6"/>
  <c r="I730" i="6"/>
  <c r="P730" i="6" s="1"/>
  <c r="H730" i="6"/>
  <c r="G730" i="6"/>
  <c r="F730" i="6"/>
  <c r="D730" i="6"/>
  <c r="U730" i="6" s="1"/>
  <c r="C730" i="6"/>
  <c r="B730" i="6"/>
  <c r="Q729" i="6"/>
  <c r="P729" i="6"/>
  <c r="N729" i="6"/>
  <c r="M729" i="6"/>
  <c r="L729" i="6"/>
  <c r="K729" i="6"/>
  <c r="J729" i="6"/>
  <c r="I729" i="6"/>
  <c r="H729" i="6"/>
  <c r="G729" i="6"/>
  <c r="F729" i="6"/>
  <c r="D729" i="6"/>
  <c r="U729" i="6" s="1"/>
  <c r="C729" i="6"/>
  <c r="B729" i="6"/>
  <c r="E729" i="6" s="1"/>
  <c r="Q728" i="6"/>
  <c r="N728" i="6"/>
  <c r="M728" i="6"/>
  <c r="L728" i="6"/>
  <c r="K728" i="6"/>
  <c r="J728" i="6"/>
  <c r="I728" i="6"/>
  <c r="P728" i="6" s="1"/>
  <c r="H728" i="6"/>
  <c r="G728" i="6"/>
  <c r="F728" i="6"/>
  <c r="D728" i="6"/>
  <c r="U728" i="6" s="1"/>
  <c r="C728" i="6"/>
  <c r="B728" i="6"/>
  <c r="Q727" i="6"/>
  <c r="P727" i="6"/>
  <c r="N727" i="6"/>
  <c r="M727" i="6"/>
  <c r="L727" i="6"/>
  <c r="K727" i="6"/>
  <c r="J727" i="6"/>
  <c r="I727" i="6"/>
  <c r="H727" i="6"/>
  <c r="G727" i="6"/>
  <c r="F727" i="6"/>
  <c r="D727" i="6"/>
  <c r="U727" i="6" s="1"/>
  <c r="C727" i="6"/>
  <c r="B727" i="6"/>
  <c r="E727" i="6" s="1"/>
  <c r="Q726" i="6"/>
  <c r="N726" i="6"/>
  <c r="M726" i="6"/>
  <c r="L726" i="6"/>
  <c r="K726" i="6"/>
  <c r="J726" i="6"/>
  <c r="I726" i="6"/>
  <c r="P726" i="6" s="1"/>
  <c r="H726" i="6"/>
  <c r="G726" i="6"/>
  <c r="F726" i="6"/>
  <c r="D726" i="6"/>
  <c r="U726" i="6" s="1"/>
  <c r="C726" i="6"/>
  <c r="B726" i="6"/>
  <c r="Q725" i="6"/>
  <c r="P725" i="6"/>
  <c r="N725" i="6"/>
  <c r="M725" i="6"/>
  <c r="L725" i="6"/>
  <c r="K725" i="6"/>
  <c r="J725" i="6"/>
  <c r="I725" i="6"/>
  <c r="H725" i="6"/>
  <c r="G725" i="6"/>
  <c r="F725" i="6"/>
  <c r="D725" i="6"/>
  <c r="U725" i="6" s="1"/>
  <c r="C725" i="6"/>
  <c r="B725" i="6"/>
  <c r="E725" i="6" s="1"/>
  <c r="Q724" i="6"/>
  <c r="N724" i="6"/>
  <c r="M724" i="6"/>
  <c r="L724" i="6"/>
  <c r="K724" i="6"/>
  <c r="J724" i="6"/>
  <c r="I724" i="6"/>
  <c r="P724" i="6" s="1"/>
  <c r="H724" i="6"/>
  <c r="G724" i="6"/>
  <c r="F724" i="6"/>
  <c r="D724" i="6"/>
  <c r="U724" i="6" s="1"/>
  <c r="C724" i="6"/>
  <c r="B724" i="6"/>
  <c r="Q723" i="6"/>
  <c r="P723" i="6"/>
  <c r="N723" i="6"/>
  <c r="M723" i="6"/>
  <c r="L723" i="6"/>
  <c r="K723" i="6"/>
  <c r="J723" i="6"/>
  <c r="I723" i="6"/>
  <c r="H723" i="6"/>
  <c r="G723" i="6"/>
  <c r="F723" i="6"/>
  <c r="D723" i="6"/>
  <c r="U723" i="6" s="1"/>
  <c r="C723" i="6"/>
  <c r="B723" i="6"/>
  <c r="E723" i="6" s="1"/>
  <c r="Q722" i="6"/>
  <c r="N722" i="6"/>
  <c r="M722" i="6"/>
  <c r="L722" i="6"/>
  <c r="K722" i="6"/>
  <c r="J722" i="6"/>
  <c r="I722" i="6"/>
  <c r="P722" i="6" s="1"/>
  <c r="H722" i="6"/>
  <c r="G722" i="6"/>
  <c r="F722" i="6"/>
  <c r="D722" i="6"/>
  <c r="U722" i="6" s="1"/>
  <c r="C722" i="6"/>
  <c r="B722" i="6"/>
  <c r="Q721" i="6"/>
  <c r="P721" i="6"/>
  <c r="N721" i="6"/>
  <c r="M721" i="6"/>
  <c r="L721" i="6"/>
  <c r="K721" i="6"/>
  <c r="J721" i="6"/>
  <c r="I721" i="6"/>
  <c r="H721" i="6"/>
  <c r="G721" i="6"/>
  <c r="F721" i="6"/>
  <c r="D721" i="6"/>
  <c r="U721" i="6" s="1"/>
  <c r="C721" i="6"/>
  <c r="B721" i="6"/>
  <c r="E721" i="6" s="1"/>
  <c r="Q720" i="6"/>
  <c r="N720" i="6"/>
  <c r="M720" i="6"/>
  <c r="L720" i="6"/>
  <c r="K720" i="6"/>
  <c r="J720" i="6"/>
  <c r="I720" i="6"/>
  <c r="P720" i="6" s="1"/>
  <c r="H720" i="6"/>
  <c r="G720" i="6"/>
  <c r="F720" i="6"/>
  <c r="D720" i="6"/>
  <c r="U720" i="6" s="1"/>
  <c r="C720" i="6"/>
  <c r="B720" i="6"/>
  <c r="Q719" i="6"/>
  <c r="P719" i="6"/>
  <c r="N719" i="6"/>
  <c r="M719" i="6"/>
  <c r="L719" i="6"/>
  <c r="K719" i="6"/>
  <c r="J719" i="6"/>
  <c r="I719" i="6"/>
  <c r="H719" i="6"/>
  <c r="G719" i="6"/>
  <c r="F719" i="6"/>
  <c r="D719" i="6"/>
  <c r="U719" i="6" s="1"/>
  <c r="C719" i="6"/>
  <c r="B719" i="6"/>
  <c r="E719" i="6" s="1"/>
  <c r="Q718" i="6"/>
  <c r="N718" i="6"/>
  <c r="M718" i="6"/>
  <c r="L718" i="6"/>
  <c r="K718" i="6"/>
  <c r="J718" i="6"/>
  <c r="I718" i="6"/>
  <c r="P718" i="6" s="1"/>
  <c r="H718" i="6"/>
  <c r="G718" i="6"/>
  <c r="F718" i="6"/>
  <c r="D718" i="6"/>
  <c r="U718" i="6" s="1"/>
  <c r="C718" i="6"/>
  <c r="B718" i="6"/>
  <c r="Q717" i="6"/>
  <c r="P717" i="6"/>
  <c r="N717" i="6"/>
  <c r="M717" i="6"/>
  <c r="L717" i="6"/>
  <c r="K717" i="6"/>
  <c r="J717" i="6"/>
  <c r="I717" i="6"/>
  <c r="H717" i="6"/>
  <c r="G717" i="6"/>
  <c r="F717" i="6"/>
  <c r="D717" i="6"/>
  <c r="U717" i="6" s="1"/>
  <c r="C717" i="6"/>
  <c r="B717" i="6"/>
  <c r="E717" i="6" s="1"/>
  <c r="Q716" i="6"/>
  <c r="N716" i="6"/>
  <c r="M716" i="6"/>
  <c r="L716" i="6"/>
  <c r="K716" i="6"/>
  <c r="J716" i="6"/>
  <c r="I716" i="6"/>
  <c r="P716" i="6" s="1"/>
  <c r="H716" i="6"/>
  <c r="G716" i="6"/>
  <c r="F716" i="6"/>
  <c r="D716" i="6"/>
  <c r="U716" i="6" s="1"/>
  <c r="C716" i="6"/>
  <c r="B716" i="6"/>
  <c r="Q715" i="6"/>
  <c r="P715" i="6"/>
  <c r="N715" i="6"/>
  <c r="M715" i="6"/>
  <c r="L715" i="6"/>
  <c r="K715" i="6"/>
  <c r="J715" i="6"/>
  <c r="I715" i="6"/>
  <c r="H715" i="6"/>
  <c r="G715" i="6"/>
  <c r="F715" i="6"/>
  <c r="D715" i="6"/>
  <c r="U715" i="6" s="1"/>
  <c r="C715" i="6"/>
  <c r="B715" i="6"/>
  <c r="E715" i="6" s="1"/>
  <c r="Q714" i="6"/>
  <c r="N714" i="6"/>
  <c r="M714" i="6"/>
  <c r="L714" i="6"/>
  <c r="K714" i="6"/>
  <c r="J714" i="6"/>
  <c r="I714" i="6"/>
  <c r="P714" i="6" s="1"/>
  <c r="H714" i="6"/>
  <c r="G714" i="6"/>
  <c r="F714" i="6"/>
  <c r="D714" i="6"/>
  <c r="U714" i="6" s="1"/>
  <c r="C714" i="6"/>
  <c r="B714" i="6"/>
  <c r="Q713" i="6"/>
  <c r="P713" i="6"/>
  <c r="N713" i="6"/>
  <c r="M713" i="6"/>
  <c r="L713" i="6"/>
  <c r="K713" i="6"/>
  <c r="J713" i="6"/>
  <c r="I713" i="6"/>
  <c r="H713" i="6"/>
  <c r="G713" i="6"/>
  <c r="F713" i="6"/>
  <c r="D713" i="6"/>
  <c r="U713" i="6" s="1"/>
  <c r="C713" i="6"/>
  <c r="B713" i="6"/>
  <c r="E713" i="6" s="1"/>
  <c r="Q712" i="6"/>
  <c r="N712" i="6"/>
  <c r="M712" i="6"/>
  <c r="L712" i="6"/>
  <c r="K712" i="6"/>
  <c r="J712" i="6"/>
  <c r="I712" i="6"/>
  <c r="P712" i="6" s="1"/>
  <c r="H712" i="6"/>
  <c r="G712" i="6"/>
  <c r="F712" i="6"/>
  <c r="D712" i="6"/>
  <c r="U712" i="6" s="1"/>
  <c r="C712" i="6"/>
  <c r="B712" i="6"/>
  <c r="Q711" i="6"/>
  <c r="P711" i="6"/>
  <c r="N711" i="6"/>
  <c r="M711" i="6"/>
  <c r="L711" i="6"/>
  <c r="K711" i="6"/>
  <c r="J711" i="6"/>
  <c r="I711" i="6"/>
  <c r="H711" i="6"/>
  <c r="G711" i="6"/>
  <c r="F711" i="6"/>
  <c r="D711" i="6"/>
  <c r="U711" i="6" s="1"/>
  <c r="C711" i="6"/>
  <c r="B711" i="6"/>
  <c r="E711" i="6" s="1"/>
  <c r="Q710" i="6"/>
  <c r="N710" i="6"/>
  <c r="M710" i="6"/>
  <c r="L710" i="6"/>
  <c r="K710" i="6"/>
  <c r="J710" i="6"/>
  <c r="I710" i="6"/>
  <c r="P710" i="6" s="1"/>
  <c r="H710" i="6"/>
  <c r="G710" i="6"/>
  <c r="F710" i="6"/>
  <c r="D710" i="6"/>
  <c r="U710" i="6" s="1"/>
  <c r="C710" i="6"/>
  <c r="B710" i="6"/>
  <c r="Q709" i="6"/>
  <c r="P709" i="6"/>
  <c r="N709" i="6"/>
  <c r="M709" i="6"/>
  <c r="L709" i="6"/>
  <c r="K709" i="6"/>
  <c r="J709" i="6"/>
  <c r="I709" i="6"/>
  <c r="H709" i="6"/>
  <c r="G709" i="6"/>
  <c r="F709" i="6"/>
  <c r="D709" i="6"/>
  <c r="U709" i="6" s="1"/>
  <c r="C709" i="6"/>
  <c r="B709" i="6"/>
  <c r="E709" i="6" s="1"/>
  <c r="Q708" i="6"/>
  <c r="N708" i="6"/>
  <c r="M708" i="6"/>
  <c r="L708" i="6"/>
  <c r="K708" i="6"/>
  <c r="J708" i="6"/>
  <c r="I708" i="6"/>
  <c r="P708" i="6" s="1"/>
  <c r="H708" i="6"/>
  <c r="G708" i="6"/>
  <c r="F708" i="6"/>
  <c r="D708" i="6"/>
  <c r="U708" i="6" s="1"/>
  <c r="C708" i="6"/>
  <c r="B708" i="6"/>
  <c r="Q707" i="6"/>
  <c r="P707" i="6"/>
  <c r="N707" i="6"/>
  <c r="M707" i="6"/>
  <c r="L707" i="6"/>
  <c r="K707" i="6"/>
  <c r="J707" i="6"/>
  <c r="I707" i="6"/>
  <c r="H707" i="6"/>
  <c r="G707" i="6"/>
  <c r="F707" i="6"/>
  <c r="D707" i="6"/>
  <c r="U707" i="6" s="1"/>
  <c r="C707" i="6"/>
  <c r="B707" i="6"/>
  <c r="E707" i="6" s="1"/>
  <c r="Q706" i="6"/>
  <c r="N706" i="6"/>
  <c r="M706" i="6"/>
  <c r="L706" i="6"/>
  <c r="K706" i="6"/>
  <c r="J706" i="6"/>
  <c r="I706" i="6"/>
  <c r="P706" i="6" s="1"/>
  <c r="H706" i="6"/>
  <c r="G706" i="6"/>
  <c r="F706" i="6"/>
  <c r="D706" i="6"/>
  <c r="U706" i="6" s="1"/>
  <c r="C706" i="6"/>
  <c r="B706" i="6"/>
  <c r="Q705" i="6"/>
  <c r="P705" i="6"/>
  <c r="N705" i="6"/>
  <c r="M705" i="6"/>
  <c r="L705" i="6"/>
  <c r="K705" i="6"/>
  <c r="J705" i="6"/>
  <c r="I705" i="6"/>
  <c r="H705" i="6"/>
  <c r="G705" i="6"/>
  <c r="F705" i="6"/>
  <c r="D705" i="6"/>
  <c r="U705" i="6" s="1"/>
  <c r="C705" i="6"/>
  <c r="B705" i="6"/>
  <c r="E705" i="6" s="1"/>
  <c r="Q704" i="6"/>
  <c r="N704" i="6"/>
  <c r="M704" i="6"/>
  <c r="L704" i="6"/>
  <c r="K704" i="6"/>
  <c r="J704" i="6"/>
  <c r="I704" i="6"/>
  <c r="P704" i="6" s="1"/>
  <c r="H704" i="6"/>
  <c r="G704" i="6"/>
  <c r="F704" i="6"/>
  <c r="D704" i="6"/>
  <c r="U704" i="6" s="1"/>
  <c r="C704" i="6"/>
  <c r="B704" i="6"/>
  <c r="Q703" i="6"/>
  <c r="P703" i="6"/>
  <c r="N703" i="6"/>
  <c r="M703" i="6"/>
  <c r="L703" i="6"/>
  <c r="K703" i="6"/>
  <c r="J703" i="6"/>
  <c r="I703" i="6"/>
  <c r="H703" i="6"/>
  <c r="G703" i="6"/>
  <c r="F703" i="6"/>
  <c r="D703" i="6"/>
  <c r="U703" i="6" s="1"/>
  <c r="C703" i="6"/>
  <c r="B703" i="6"/>
  <c r="E703" i="6" s="1"/>
  <c r="Q702" i="6"/>
  <c r="N702" i="6"/>
  <c r="M702" i="6"/>
  <c r="L702" i="6"/>
  <c r="K702" i="6"/>
  <c r="J702" i="6"/>
  <c r="I702" i="6"/>
  <c r="P702" i="6" s="1"/>
  <c r="H702" i="6"/>
  <c r="G702" i="6"/>
  <c r="F702" i="6"/>
  <c r="D702" i="6"/>
  <c r="U702" i="6" s="1"/>
  <c r="C702" i="6"/>
  <c r="B702" i="6"/>
  <c r="Q701" i="6"/>
  <c r="P701" i="6"/>
  <c r="N701" i="6"/>
  <c r="M701" i="6"/>
  <c r="L701" i="6"/>
  <c r="K701" i="6"/>
  <c r="J701" i="6"/>
  <c r="I701" i="6"/>
  <c r="H701" i="6"/>
  <c r="G701" i="6"/>
  <c r="F701" i="6"/>
  <c r="D701" i="6"/>
  <c r="U701" i="6" s="1"/>
  <c r="C701" i="6"/>
  <c r="B701" i="6"/>
  <c r="E701" i="6" s="1"/>
  <c r="Q700" i="6"/>
  <c r="N700" i="6"/>
  <c r="M700" i="6"/>
  <c r="L700" i="6"/>
  <c r="K700" i="6"/>
  <c r="J700" i="6"/>
  <c r="I700" i="6"/>
  <c r="P700" i="6" s="1"/>
  <c r="H700" i="6"/>
  <c r="G700" i="6"/>
  <c r="F700" i="6"/>
  <c r="D700" i="6"/>
  <c r="U700" i="6" s="1"/>
  <c r="C700" i="6"/>
  <c r="B700" i="6"/>
  <c r="Q699" i="6"/>
  <c r="P699" i="6"/>
  <c r="N699" i="6"/>
  <c r="M699" i="6"/>
  <c r="L699" i="6"/>
  <c r="K699" i="6"/>
  <c r="J699" i="6"/>
  <c r="I699" i="6"/>
  <c r="H699" i="6"/>
  <c r="G699" i="6"/>
  <c r="F699" i="6"/>
  <c r="D699" i="6"/>
  <c r="U699" i="6" s="1"/>
  <c r="C699" i="6"/>
  <c r="B699" i="6"/>
  <c r="E699" i="6" s="1"/>
  <c r="Q698" i="6"/>
  <c r="N698" i="6"/>
  <c r="M698" i="6"/>
  <c r="L698" i="6"/>
  <c r="K698" i="6"/>
  <c r="J698" i="6"/>
  <c r="I698" i="6"/>
  <c r="P698" i="6" s="1"/>
  <c r="H698" i="6"/>
  <c r="G698" i="6"/>
  <c r="F698" i="6"/>
  <c r="D698" i="6"/>
  <c r="U698" i="6" s="1"/>
  <c r="C698" i="6"/>
  <c r="B698" i="6"/>
  <c r="Q697" i="6"/>
  <c r="P697" i="6"/>
  <c r="N697" i="6"/>
  <c r="M697" i="6"/>
  <c r="L697" i="6"/>
  <c r="K697" i="6"/>
  <c r="J697" i="6"/>
  <c r="I697" i="6"/>
  <c r="H697" i="6"/>
  <c r="G697" i="6"/>
  <c r="F697" i="6"/>
  <c r="D697" i="6"/>
  <c r="U697" i="6" s="1"/>
  <c r="C697" i="6"/>
  <c r="B697" i="6"/>
  <c r="E697" i="6" s="1"/>
  <c r="Q696" i="6"/>
  <c r="N696" i="6"/>
  <c r="M696" i="6"/>
  <c r="L696" i="6"/>
  <c r="K696" i="6"/>
  <c r="J696" i="6"/>
  <c r="I696" i="6"/>
  <c r="P696" i="6" s="1"/>
  <c r="H696" i="6"/>
  <c r="G696" i="6"/>
  <c r="F696" i="6"/>
  <c r="D696" i="6"/>
  <c r="U696" i="6" s="1"/>
  <c r="C696" i="6"/>
  <c r="B696" i="6"/>
  <c r="Q695" i="6"/>
  <c r="P695" i="6"/>
  <c r="N695" i="6"/>
  <c r="M695" i="6"/>
  <c r="L695" i="6"/>
  <c r="K695" i="6"/>
  <c r="J695" i="6"/>
  <c r="I695" i="6"/>
  <c r="H695" i="6"/>
  <c r="G695" i="6"/>
  <c r="F695" i="6"/>
  <c r="D695" i="6"/>
  <c r="U695" i="6" s="1"/>
  <c r="C695" i="6"/>
  <c r="B695" i="6"/>
  <c r="E695" i="6" s="1"/>
  <c r="Q694" i="6"/>
  <c r="N694" i="6"/>
  <c r="M694" i="6"/>
  <c r="L694" i="6"/>
  <c r="K694" i="6"/>
  <c r="J694" i="6"/>
  <c r="I694" i="6"/>
  <c r="P694" i="6" s="1"/>
  <c r="H694" i="6"/>
  <c r="G694" i="6"/>
  <c r="F694" i="6"/>
  <c r="D694" i="6"/>
  <c r="U694" i="6" s="1"/>
  <c r="C694" i="6"/>
  <c r="B694" i="6"/>
  <c r="Q693" i="6"/>
  <c r="P693" i="6"/>
  <c r="N693" i="6"/>
  <c r="M693" i="6"/>
  <c r="L693" i="6"/>
  <c r="K693" i="6"/>
  <c r="J693" i="6"/>
  <c r="I693" i="6"/>
  <c r="H693" i="6"/>
  <c r="G693" i="6"/>
  <c r="F693" i="6"/>
  <c r="D693" i="6"/>
  <c r="U693" i="6" s="1"/>
  <c r="C693" i="6"/>
  <c r="B693" i="6"/>
  <c r="E693" i="6" s="1"/>
  <c r="Q692" i="6"/>
  <c r="N692" i="6"/>
  <c r="M692" i="6"/>
  <c r="L692" i="6"/>
  <c r="K692" i="6"/>
  <c r="J692" i="6"/>
  <c r="I692" i="6"/>
  <c r="P692" i="6" s="1"/>
  <c r="H692" i="6"/>
  <c r="G692" i="6"/>
  <c r="F692" i="6"/>
  <c r="D692" i="6"/>
  <c r="U692" i="6" s="1"/>
  <c r="C692" i="6"/>
  <c r="B692" i="6"/>
  <c r="Q691" i="6"/>
  <c r="P691" i="6"/>
  <c r="N691" i="6"/>
  <c r="M691" i="6"/>
  <c r="L691" i="6"/>
  <c r="K691" i="6"/>
  <c r="J691" i="6"/>
  <c r="I691" i="6"/>
  <c r="H691" i="6"/>
  <c r="G691" i="6"/>
  <c r="F691" i="6"/>
  <c r="D691" i="6"/>
  <c r="U691" i="6" s="1"/>
  <c r="C691" i="6"/>
  <c r="B691" i="6"/>
  <c r="E691" i="6" s="1"/>
  <c r="Q690" i="6"/>
  <c r="N690" i="6"/>
  <c r="M690" i="6"/>
  <c r="L690" i="6"/>
  <c r="K690" i="6"/>
  <c r="J690" i="6"/>
  <c r="I690" i="6"/>
  <c r="P690" i="6" s="1"/>
  <c r="H690" i="6"/>
  <c r="G690" i="6"/>
  <c r="F690" i="6"/>
  <c r="D690" i="6"/>
  <c r="U690" i="6" s="1"/>
  <c r="C690" i="6"/>
  <c r="B690" i="6"/>
  <c r="Q689" i="6"/>
  <c r="P689" i="6"/>
  <c r="N689" i="6"/>
  <c r="M689" i="6"/>
  <c r="L689" i="6"/>
  <c r="K689" i="6"/>
  <c r="J689" i="6"/>
  <c r="I689" i="6"/>
  <c r="H689" i="6"/>
  <c r="G689" i="6"/>
  <c r="F689" i="6"/>
  <c r="D689" i="6"/>
  <c r="U689" i="6" s="1"/>
  <c r="C689" i="6"/>
  <c r="B689" i="6"/>
  <c r="E689" i="6" s="1"/>
  <c r="Q688" i="6"/>
  <c r="N688" i="6"/>
  <c r="M688" i="6"/>
  <c r="L688" i="6"/>
  <c r="K688" i="6"/>
  <c r="J688" i="6"/>
  <c r="I688" i="6"/>
  <c r="P688" i="6" s="1"/>
  <c r="H688" i="6"/>
  <c r="G688" i="6"/>
  <c r="F688" i="6"/>
  <c r="D688" i="6"/>
  <c r="U688" i="6" s="1"/>
  <c r="C688" i="6"/>
  <c r="B688" i="6"/>
  <c r="Q687" i="6"/>
  <c r="P687" i="6"/>
  <c r="N687" i="6"/>
  <c r="M687" i="6"/>
  <c r="L687" i="6"/>
  <c r="K687" i="6"/>
  <c r="J687" i="6"/>
  <c r="I687" i="6"/>
  <c r="H687" i="6"/>
  <c r="G687" i="6"/>
  <c r="F687" i="6"/>
  <c r="D687" i="6"/>
  <c r="U687" i="6" s="1"/>
  <c r="C687" i="6"/>
  <c r="B687" i="6"/>
  <c r="E687" i="6" s="1"/>
  <c r="Q686" i="6"/>
  <c r="N686" i="6"/>
  <c r="M686" i="6"/>
  <c r="L686" i="6"/>
  <c r="K686" i="6"/>
  <c r="J686" i="6"/>
  <c r="I686" i="6"/>
  <c r="P686" i="6" s="1"/>
  <c r="H686" i="6"/>
  <c r="G686" i="6"/>
  <c r="F686" i="6"/>
  <c r="D686" i="6"/>
  <c r="U686" i="6" s="1"/>
  <c r="C686" i="6"/>
  <c r="B686" i="6"/>
  <c r="Q685" i="6"/>
  <c r="P685" i="6"/>
  <c r="N685" i="6"/>
  <c r="M685" i="6"/>
  <c r="L685" i="6"/>
  <c r="K685" i="6"/>
  <c r="J685" i="6"/>
  <c r="I685" i="6"/>
  <c r="H685" i="6"/>
  <c r="G685" i="6"/>
  <c r="F685" i="6"/>
  <c r="D685" i="6"/>
  <c r="U685" i="6" s="1"/>
  <c r="C685" i="6"/>
  <c r="B685" i="6"/>
  <c r="E685" i="6" s="1"/>
  <c r="Q684" i="6"/>
  <c r="N684" i="6"/>
  <c r="M684" i="6"/>
  <c r="L684" i="6"/>
  <c r="K684" i="6"/>
  <c r="J684" i="6"/>
  <c r="I684" i="6"/>
  <c r="P684" i="6" s="1"/>
  <c r="H684" i="6"/>
  <c r="G684" i="6"/>
  <c r="F684" i="6"/>
  <c r="D684" i="6"/>
  <c r="U684" i="6" s="1"/>
  <c r="C684" i="6"/>
  <c r="B684" i="6"/>
  <c r="Q683" i="6"/>
  <c r="P683" i="6"/>
  <c r="N683" i="6"/>
  <c r="M683" i="6"/>
  <c r="L683" i="6"/>
  <c r="K683" i="6"/>
  <c r="J683" i="6"/>
  <c r="I683" i="6"/>
  <c r="H683" i="6"/>
  <c r="G683" i="6"/>
  <c r="F683" i="6"/>
  <c r="D683" i="6"/>
  <c r="U683" i="6" s="1"/>
  <c r="C683" i="6"/>
  <c r="B683" i="6"/>
  <c r="E683" i="6" s="1"/>
  <c r="Q682" i="6"/>
  <c r="N682" i="6"/>
  <c r="M682" i="6"/>
  <c r="L682" i="6"/>
  <c r="K682" i="6"/>
  <c r="J682" i="6"/>
  <c r="I682" i="6"/>
  <c r="P682" i="6" s="1"/>
  <c r="H682" i="6"/>
  <c r="G682" i="6"/>
  <c r="F682" i="6"/>
  <c r="D682" i="6"/>
  <c r="U682" i="6" s="1"/>
  <c r="C682" i="6"/>
  <c r="B682" i="6"/>
  <c r="Q681" i="6"/>
  <c r="P681" i="6"/>
  <c r="N681" i="6"/>
  <c r="M681" i="6"/>
  <c r="L681" i="6"/>
  <c r="K681" i="6"/>
  <c r="J681" i="6"/>
  <c r="I681" i="6"/>
  <c r="H681" i="6"/>
  <c r="G681" i="6"/>
  <c r="F681" i="6"/>
  <c r="D681" i="6"/>
  <c r="U681" i="6" s="1"/>
  <c r="C681" i="6"/>
  <c r="B681" i="6"/>
  <c r="E681" i="6" s="1"/>
  <c r="Q680" i="6"/>
  <c r="N680" i="6"/>
  <c r="M680" i="6"/>
  <c r="L680" i="6"/>
  <c r="K680" i="6"/>
  <c r="J680" i="6"/>
  <c r="I680" i="6"/>
  <c r="P680" i="6" s="1"/>
  <c r="H680" i="6"/>
  <c r="G680" i="6"/>
  <c r="F680" i="6"/>
  <c r="D680" i="6"/>
  <c r="U680" i="6" s="1"/>
  <c r="C680" i="6"/>
  <c r="B680" i="6"/>
  <c r="Q679" i="6"/>
  <c r="P679" i="6"/>
  <c r="N679" i="6"/>
  <c r="M679" i="6"/>
  <c r="L679" i="6"/>
  <c r="K679" i="6"/>
  <c r="J679" i="6"/>
  <c r="I679" i="6"/>
  <c r="H679" i="6"/>
  <c r="G679" i="6"/>
  <c r="F679" i="6"/>
  <c r="D679" i="6"/>
  <c r="U679" i="6" s="1"/>
  <c r="C679" i="6"/>
  <c r="B679" i="6"/>
  <c r="E679" i="6" s="1"/>
  <c r="Q678" i="6"/>
  <c r="N678" i="6"/>
  <c r="M678" i="6"/>
  <c r="L678" i="6"/>
  <c r="K678" i="6"/>
  <c r="J678" i="6"/>
  <c r="I678" i="6"/>
  <c r="P678" i="6" s="1"/>
  <c r="H678" i="6"/>
  <c r="G678" i="6"/>
  <c r="F678" i="6"/>
  <c r="D678" i="6"/>
  <c r="U678" i="6" s="1"/>
  <c r="C678" i="6"/>
  <c r="B678" i="6"/>
  <c r="Q677" i="6"/>
  <c r="P677" i="6"/>
  <c r="N677" i="6"/>
  <c r="M677" i="6"/>
  <c r="L677" i="6"/>
  <c r="K677" i="6"/>
  <c r="J677" i="6"/>
  <c r="I677" i="6"/>
  <c r="H677" i="6"/>
  <c r="G677" i="6"/>
  <c r="F677" i="6"/>
  <c r="D677" i="6"/>
  <c r="U677" i="6" s="1"/>
  <c r="C677" i="6"/>
  <c r="B677" i="6"/>
  <c r="E677" i="6" s="1"/>
  <c r="Q676" i="6"/>
  <c r="N676" i="6"/>
  <c r="M676" i="6"/>
  <c r="L676" i="6"/>
  <c r="K676" i="6"/>
  <c r="J676" i="6"/>
  <c r="I676" i="6"/>
  <c r="P676" i="6" s="1"/>
  <c r="H676" i="6"/>
  <c r="G676" i="6"/>
  <c r="F676" i="6"/>
  <c r="D676" i="6"/>
  <c r="U676" i="6" s="1"/>
  <c r="C676" i="6"/>
  <c r="B676" i="6"/>
  <c r="Q675" i="6"/>
  <c r="P675" i="6"/>
  <c r="N675" i="6"/>
  <c r="M675" i="6"/>
  <c r="L675" i="6"/>
  <c r="K675" i="6"/>
  <c r="J675" i="6"/>
  <c r="I675" i="6"/>
  <c r="H675" i="6"/>
  <c r="G675" i="6"/>
  <c r="F675" i="6"/>
  <c r="D675" i="6"/>
  <c r="U675" i="6" s="1"/>
  <c r="C675" i="6"/>
  <c r="B675" i="6"/>
  <c r="E675" i="6" s="1"/>
  <c r="Q674" i="6"/>
  <c r="N674" i="6"/>
  <c r="M674" i="6"/>
  <c r="L674" i="6"/>
  <c r="K674" i="6"/>
  <c r="J674" i="6"/>
  <c r="I674" i="6"/>
  <c r="P674" i="6" s="1"/>
  <c r="H674" i="6"/>
  <c r="G674" i="6"/>
  <c r="F674" i="6"/>
  <c r="D674" i="6"/>
  <c r="U674" i="6" s="1"/>
  <c r="C674" i="6"/>
  <c r="B674" i="6"/>
  <c r="Q673" i="6"/>
  <c r="P673" i="6"/>
  <c r="N673" i="6"/>
  <c r="M673" i="6"/>
  <c r="L673" i="6"/>
  <c r="K673" i="6"/>
  <c r="J673" i="6"/>
  <c r="I673" i="6"/>
  <c r="H673" i="6"/>
  <c r="G673" i="6"/>
  <c r="F673" i="6"/>
  <c r="D673" i="6"/>
  <c r="U673" i="6" s="1"/>
  <c r="C673" i="6"/>
  <c r="B673" i="6"/>
  <c r="E673" i="6" s="1"/>
  <c r="Q672" i="6"/>
  <c r="N672" i="6"/>
  <c r="M672" i="6"/>
  <c r="L672" i="6"/>
  <c r="K672" i="6"/>
  <c r="J672" i="6"/>
  <c r="I672" i="6"/>
  <c r="P672" i="6" s="1"/>
  <c r="H672" i="6"/>
  <c r="G672" i="6"/>
  <c r="F672" i="6"/>
  <c r="D672" i="6"/>
  <c r="U672" i="6" s="1"/>
  <c r="C672" i="6"/>
  <c r="B672" i="6"/>
  <c r="Q671" i="6"/>
  <c r="P671" i="6"/>
  <c r="N671" i="6"/>
  <c r="M671" i="6"/>
  <c r="L671" i="6"/>
  <c r="K671" i="6"/>
  <c r="J671" i="6"/>
  <c r="I671" i="6"/>
  <c r="H671" i="6"/>
  <c r="G671" i="6"/>
  <c r="F671" i="6"/>
  <c r="D671" i="6"/>
  <c r="U671" i="6" s="1"/>
  <c r="C671" i="6"/>
  <c r="B671" i="6"/>
  <c r="E671" i="6" s="1"/>
  <c r="Q670" i="6"/>
  <c r="N670" i="6"/>
  <c r="M670" i="6"/>
  <c r="L670" i="6"/>
  <c r="K670" i="6"/>
  <c r="J670" i="6"/>
  <c r="I670" i="6"/>
  <c r="P670" i="6" s="1"/>
  <c r="H670" i="6"/>
  <c r="G670" i="6"/>
  <c r="F670" i="6"/>
  <c r="D670" i="6"/>
  <c r="U670" i="6" s="1"/>
  <c r="C670" i="6"/>
  <c r="B670" i="6"/>
  <c r="Q669" i="6"/>
  <c r="P669" i="6"/>
  <c r="N669" i="6"/>
  <c r="M669" i="6"/>
  <c r="L669" i="6"/>
  <c r="K669" i="6"/>
  <c r="J669" i="6"/>
  <c r="I669" i="6"/>
  <c r="H669" i="6"/>
  <c r="G669" i="6"/>
  <c r="F669" i="6"/>
  <c r="D669" i="6"/>
  <c r="U669" i="6" s="1"/>
  <c r="C669" i="6"/>
  <c r="B669" i="6"/>
  <c r="E669" i="6" s="1"/>
  <c r="Q668" i="6"/>
  <c r="N668" i="6"/>
  <c r="M668" i="6"/>
  <c r="L668" i="6"/>
  <c r="K668" i="6"/>
  <c r="J668" i="6"/>
  <c r="I668" i="6"/>
  <c r="P668" i="6" s="1"/>
  <c r="H668" i="6"/>
  <c r="G668" i="6"/>
  <c r="F668" i="6"/>
  <c r="D668" i="6"/>
  <c r="U668" i="6" s="1"/>
  <c r="C668" i="6"/>
  <c r="B668" i="6"/>
  <c r="Q667" i="6"/>
  <c r="P667" i="6"/>
  <c r="N667" i="6"/>
  <c r="M667" i="6"/>
  <c r="L667" i="6"/>
  <c r="K667" i="6"/>
  <c r="J667" i="6"/>
  <c r="I667" i="6"/>
  <c r="H667" i="6"/>
  <c r="G667" i="6"/>
  <c r="F667" i="6"/>
  <c r="D667" i="6"/>
  <c r="U667" i="6" s="1"/>
  <c r="C667" i="6"/>
  <c r="B667" i="6"/>
  <c r="E667" i="6" s="1"/>
  <c r="Q666" i="6"/>
  <c r="N666" i="6"/>
  <c r="M666" i="6"/>
  <c r="L666" i="6"/>
  <c r="K666" i="6"/>
  <c r="J666" i="6"/>
  <c r="I666" i="6"/>
  <c r="P666" i="6" s="1"/>
  <c r="H666" i="6"/>
  <c r="G666" i="6"/>
  <c r="F666" i="6"/>
  <c r="D666" i="6"/>
  <c r="U666" i="6" s="1"/>
  <c r="C666" i="6"/>
  <c r="B666" i="6"/>
  <c r="Q665" i="6"/>
  <c r="P665" i="6"/>
  <c r="N665" i="6"/>
  <c r="M665" i="6"/>
  <c r="L665" i="6"/>
  <c r="K665" i="6"/>
  <c r="J665" i="6"/>
  <c r="I665" i="6"/>
  <c r="H665" i="6"/>
  <c r="G665" i="6"/>
  <c r="F665" i="6"/>
  <c r="D665" i="6"/>
  <c r="U665" i="6" s="1"/>
  <c r="C665" i="6"/>
  <c r="B665" i="6"/>
  <c r="E665" i="6" s="1"/>
  <c r="Q664" i="6"/>
  <c r="N664" i="6"/>
  <c r="M664" i="6"/>
  <c r="L664" i="6"/>
  <c r="K664" i="6"/>
  <c r="J664" i="6"/>
  <c r="I664" i="6"/>
  <c r="P664" i="6" s="1"/>
  <c r="H664" i="6"/>
  <c r="G664" i="6"/>
  <c r="F664" i="6"/>
  <c r="D664" i="6"/>
  <c r="U664" i="6" s="1"/>
  <c r="C664" i="6"/>
  <c r="B664" i="6"/>
  <c r="Q663" i="6"/>
  <c r="P663" i="6"/>
  <c r="N663" i="6"/>
  <c r="M663" i="6"/>
  <c r="L663" i="6"/>
  <c r="K663" i="6"/>
  <c r="J663" i="6"/>
  <c r="I663" i="6"/>
  <c r="H663" i="6"/>
  <c r="G663" i="6"/>
  <c r="F663" i="6"/>
  <c r="D663" i="6"/>
  <c r="U663" i="6" s="1"/>
  <c r="C663" i="6"/>
  <c r="B663" i="6"/>
  <c r="E663" i="6" s="1"/>
  <c r="Q662" i="6"/>
  <c r="N662" i="6"/>
  <c r="M662" i="6"/>
  <c r="L662" i="6"/>
  <c r="K662" i="6"/>
  <c r="J662" i="6"/>
  <c r="I662" i="6"/>
  <c r="P662" i="6" s="1"/>
  <c r="H662" i="6"/>
  <c r="G662" i="6"/>
  <c r="F662" i="6"/>
  <c r="D662" i="6"/>
  <c r="U662" i="6" s="1"/>
  <c r="C662" i="6"/>
  <c r="B662" i="6"/>
  <c r="Q661" i="6"/>
  <c r="P661" i="6"/>
  <c r="N661" i="6"/>
  <c r="M661" i="6"/>
  <c r="L661" i="6"/>
  <c r="K661" i="6"/>
  <c r="J661" i="6"/>
  <c r="I661" i="6"/>
  <c r="H661" i="6"/>
  <c r="G661" i="6"/>
  <c r="F661" i="6"/>
  <c r="D661" i="6"/>
  <c r="U661" i="6" s="1"/>
  <c r="C661" i="6"/>
  <c r="B661" i="6"/>
  <c r="E661" i="6" s="1"/>
  <c r="Q660" i="6"/>
  <c r="N660" i="6"/>
  <c r="M660" i="6"/>
  <c r="L660" i="6"/>
  <c r="K660" i="6"/>
  <c r="J660" i="6"/>
  <c r="I660" i="6"/>
  <c r="P660" i="6" s="1"/>
  <c r="H660" i="6"/>
  <c r="G660" i="6"/>
  <c r="F660" i="6"/>
  <c r="D660" i="6"/>
  <c r="U660" i="6" s="1"/>
  <c r="C660" i="6"/>
  <c r="B660" i="6"/>
  <c r="Q659" i="6"/>
  <c r="P659" i="6"/>
  <c r="N659" i="6"/>
  <c r="M659" i="6"/>
  <c r="L659" i="6"/>
  <c r="K659" i="6"/>
  <c r="J659" i="6"/>
  <c r="I659" i="6"/>
  <c r="H659" i="6"/>
  <c r="G659" i="6"/>
  <c r="F659" i="6"/>
  <c r="D659" i="6"/>
  <c r="U659" i="6" s="1"/>
  <c r="C659" i="6"/>
  <c r="B659" i="6"/>
  <c r="E659" i="6" s="1"/>
  <c r="Q658" i="6"/>
  <c r="N658" i="6"/>
  <c r="M658" i="6"/>
  <c r="L658" i="6"/>
  <c r="K658" i="6"/>
  <c r="J658" i="6"/>
  <c r="I658" i="6"/>
  <c r="P658" i="6" s="1"/>
  <c r="H658" i="6"/>
  <c r="G658" i="6"/>
  <c r="F658" i="6"/>
  <c r="D658" i="6"/>
  <c r="U658" i="6" s="1"/>
  <c r="C658" i="6"/>
  <c r="B658" i="6"/>
  <c r="Q657" i="6"/>
  <c r="P657" i="6"/>
  <c r="N657" i="6"/>
  <c r="M657" i="6"/>
  <c r="L657" i="6"/>
  <c r="K657" i="6"/>
  <c r="J657" i="6"/>
  <c r="I657" i="6"/>
  <c r="H657" i="6"/>
  <c r="G657" i="6"/>
  <c r="F657" i="6"/>
  <c r="D657" i="6"/>
  <c r="U657" i="6" s="1"/>
  <c r="C657" i="6"/>
  <c r="B657" i="6"/>
  <c r="E657" i="6" s="1"/>
  <c r="Q656" i="6"/>
  <c r="N656" i="6"/>
  <c r="M656" i="6"/>
  <c r="L656" i="6"/>
  <c r="K656" i="6"/>
  <c r="J656" i="6"/>
  <c r="I656" i="6"/>
  <c r="P656" i="6" s="1"/>
  <c r="H656" i="6"/>
  <c r="G656" i="6"/>
  <c r="F656" i="6"/>
  <c r="D656" i="6"/>
  <c r="U656" i="6" s="1"/>
  <c r="C656" i="6"/>
  <c r="B656" i="6"/>
  <c r="Q655" i="6"/>
  <c r="P655" i="6"/>
  <c r="N655" i="6"/>
  <c r="M655" i="6"/>
  <c r="L655" i="6"/>
  <c r="K655" i="6"/>
  <c r="J655" i="6"/>
  <c r="I655" i="6"/>
  <c r="H655" i="6"/>
  <c r="G655" i="6"/>
  <c r="F655" i="6"/>
  <c r="D655" i="6"/>
  <c r="U655" i="6" s="1"/>
  <c r="C655" i="6"/>
  <c r="B655" i="6"/>
  <c r="E655" i="6" s="1"/>
  <c r="Q654" i="6"/>
  <c r="N654" i="6"/>
  <c r="M654" i="6"/>
  <c r="L654" i="6"/>
  <c r="K654" i="6"/>
  <c r="J654" i="6"/>
  <c r="I654" i="6"/>
  <c r="P654" i="6" s="1"/>
  <c r="H654" i="6"/>
  <c r="G654" i="6"/>
  <c r="F654" i="6"/>
  <c r="D654" i="6"/>
  <c r="U654" i="6" s="1"/>
  <c r="C654" i="6"/>
  <c r="B654" i="6"/>
  <c r="Q653" i="6"/>
  <c r="P653" i="6"/>
  <c r="N653" i="6"/>
  <c r="M653" i="6"/>
  <c r="L653" i="6"/>
  <c r="K653" i="6"/>
  <c r="J653" i="6"/>
  <c r="I653" i="6"/>
  <c r="H653" i="6"/>
  <c r="G653" i="6"/>
  <c r="F653" i="6"/>
  <c r="D653" i="6"/>
  <c r="U653" i="6" s="1"/>
  <c r="C653" i="6"/>
  <c r="B653" i="6"/>
  <c r="E653" i="6" s="1"/>
  <c r="Q652" i="6"/>
  <c r="N652" i="6"/>
  <c r="M652" i="6"/>
  <c r="L652" i="6"/>
  <c r="K652" i="6"/>
  <c r="J652" i="6"/>
  <c r="I652" i="6"/>
  <c r="P652" i="6" s="1"/>
  <c r="H652" i="6"/>
  <c r="G652" i="6"/>
  <c r="F652" i="6"/>
  <c r="D652" i="6"/>
  <c r="U652" i="6" s="1"/>
  <c r="C652" i="6"/>
  <c r="B652" i="6"/>
  <c r="Q651" i="6"/>
  <c r="P651" i="6"/>
  <c r="N651" i="6"/>
  <c r="M651" i="6"/>
  <c r="L651" i="6"/>
  <c r="K651" i="6"/>
  <c r="J651" i="6"/>
  <c r="I651" i="6"/>
  <c r="H651" i="6"/>
  <c r="G651" i="6"/>
  <c r="F651" i="6"/>
  <c r="D651" i="6"/>
  <c r="U651" i="6" s="1"/>
  <c r="C651" i="6"/>
  <c r="B651" i="6"/>
  <c r="E651" i="6" s="1"/>
  <c r="Q650" i="6"/>
  <c r="N650" i="6"/>
  <c r="M650" i="6"/>
  <c r="L650" i="6"/>
  <c r="K650" i="6"/>
  <c r="J650" i="6"/>
  <c r="I650" i="6"/>
  <c r="P650" i="6" s="1"/>
  <c r="H650" i="6"/>
  <c r="G650" i="6"/>
  <c r="F650" i="6"/>
  <c r="D650" i="6"/>
  <c r="U650" i="6" s="1"/>
  <c r="C650" i="6"/>
  <c r="B650" i="6"/>
  <c r="Q649" i="6"/>
  <c r="P649" i="6"/>
  <c r="N649" i="6"/>
  <c r="M649" i="6"/>
  <c r="L649" i="6"/>
  <c r="K649" i="6"/>
  <c r="J649" i="6"/>
  <c r="I649" i="6"/>
  <c r="H649" i="6"/>
  <c r="G649" i="6"/>
  <c r="F649" i="6"/>
  <c r="D649" i="6"/>
  <c r="U649" i="6" s="1"/>
  <c r="C649" i="6"/>
  <c r="B649" i="6"/>
  <c r="E649" i="6" s="1"/>
  <c r="Q648" i="6"/>
  <c r="N648" i="6"/>
  <c r="M648" i="6"/>
  <c r="L648" i="6"/>
  <c r="K648" i="6"/>
  <c r="J648" i="6"/>
  <c r="I648" i="6"/>
  <c r="P648" i="6" s="1"/>
  <c r="H648" i="6"/>
  <c r="G648" i="6"/>
  <c r="F648" i="6"/>
  <c r="D648" i="6"/>
  <c r="U648" i="6" s="1"/>
  <c r="C648" i="6"/>
  <c r="B648" i="6"/>
  <c r="Q647" i="6"/>
  <c r="P647" i="6"/>
  <c r="N647" i="6"/>
  <c r="M647" i="6"/>
  <c r="L647" i="6"/>
  <c r="K647" i="6"/>
  <c r="J647" i="6"/>
  <c r="I647" i="6"/>
  <c r="H647" i="6"/>
  <c r="G647" i="6"/>
  <c r="F647" i="6"/>
  <c r="D647" i="6"/>
  <c r="U647" i="6" s="1"/>
  <c r="C647" i="6"/>
  <c r="B647" i="6"/>
  <c r="E647" i="6" s="1"/>
  <c r="Q646" i="6"/>
  <c r="N646" i="6"/>
  <c r="M646" i="6"/>
  <c r="L646" i="6"/>
  <c r="K646" i="6"/>
  <c r="J646" i="6"/>
  <c r="I646" i="6"/>
  <c r="P646" i="6" s="1"/>
  <c r="H646" i="6"/>
  <c r="G646" i="6"/>
  <c r="F646" i="6"/>
  <c r="D646" i="6"/>
  <c r="U646" i="6" s="1"/>
  <c r="C646" i="6"/>
  <c r="B646" i="6"/>
  <c r="Q645" i="6"/>
  <c r="P645" i="6"/>
  <c r="N645" i="6"/>
  <c r="M645" i="6"/>
  <c r="L645" i="6"/>
  <c r="K645" i="6"/>
  <c r="J645" i="6"/>
  <c r="I645" i="6"/>
  <c r="H645" i="6"/>
  <c r="G645" i="6"/>
  <c r="F645" i="6"/>
  <c r="D645" i="6"/>
  <c r="U645" i="6" s="1"/>
  <c r="C645" i="6"/>
  <c r="B645" i="6"/>
  <c r="E645" i="6" s="1"/>
  <c r="Q644" i="6"/>
  <c r="N644" i="6"/>
  <c r="M644" i="6"/>
  <c r="L644" i="6"/>
  <c r="K644" i="6"/>
  <c r="J644" i="6"/>
  <c r="I644" i="6"/>
  <c r="P644" i="6" s="1"/>
  <c r="H644" i="6"/>
  <c r="G644" i="6"/>
  <c r="F644" i="6"/>
  <c r="D644" i="6"/>
  <c r="U644" i="6" s="1"/>
  <c r="C644" i="6"/>
  <c r="B644" i="6"/>
  <c r="Q643" i="6"/>
  <c r="P643" i="6"/>
  <c r="N643" i="6"/>
  <c r="M643" i="6"/>
  <c r="L643" i="6"/>
  <c r="K643" i="6"/>
  <c r="J643" i="6"/>
  <c r="I643" i="6"/>
  <c r="H643" i="6"/>
  <c r="G643" i="6"/>
  <c r="F643" i="6"/>
  <c r="D643" i="6"/>
  <c r="U643" i="6" s="1"/>
  <c r="C643" i="6"/>
  <c r="B643" i="6"/>
  <c r="E643" i="6" s="1"/>
  <c r="Q642" i="6"/>
  <c r="N642" i="6"/>
  <c r="M642" i="6"/>
  <c r="L642" i="6"/>
  <c r="K642" i="6"/>
  <c r="J642" i="6"/>
  <c r="I642" i="6"/>
  <c r="P642" i="6" s="1"/>
  <c r="H642" i="6"/>
  <c r="G642" i="6"/>
  <c r="F642" i="6"/>
  <c r="D642" i="6"/>
  <c r="U642" i="6" s="1"/>
  <c r="C642" i="6"/>
  <c r="B642" i="6"/>
  <c r="Q641" i="6"/>
  <c r="P641" i="6"/>
  <c r="N641" i="6"/>
  <c r="M641" i="6"/>
  <c r="L641" i="6"/>
  <c r="K641" i="6"/>
  <c r="J641" i="6"/>
  <c r="I641" i="6"/>
  <c r="H641" i="6"/>
  <c r="G641" i="6"/>
  <c r="F641" i="6"/>
  <c r="D641" i="6"/>
  <c r="U641" i="6" s="1"/>
  <c r="C641" i="6"/>
  <c r="B641" i="6"/>
  <c r="E641" i="6" s="1"/>
  <c r="Q640" i="6"/>
  <c r="N640" i="6"/>
  <c r="M640" i="6"/>
  <c r="L640" i="6"/>
  <c r="K640" i="6"/>
  <c r="J640" i="6"/>
  <c r="I640" i="6"/>
  <c r="P640" i="6" s="1"/>
  <c r="H640" i="6"/>
  <c r="G640" i="6"/>
  <c r="F640" i="6"/>
  <c r="D640" i="6"/>
  <c r="U640" i="6" s="1"/>
  <c r="C640" i="6"/>
  <c r="B640" i="6"/>
  <c r="Q639" i="6"/>
  <c r="P639" i="6"/>
  <c r="N639" i="6"/>
  <c r="M639" i="6"/>
  <c r="L639" i="6"/>
  <c r="K639" i="6"/>
  <c r="J639" i="6"/>
  <c r="I639" i="6"/>
  <c r="H639" i="6"/>
  <c r="G639" i="6"/>
  <c r="F639" i="6"/>
  <c r="D639" i="6"/>
  <c r="U639" i="6" s="1"/>
  <c r="C639" i="6"/>
  <c r="B639" i="6"/>
  <c r="E639" i="6" s="1"/>
  <c r="Q638" i="6"/>
  <c r="N638" i="6"/>
  <c r="M638" i="6"/>
  <c r="L638" i="6"/>
  <c r="K638" i="6"/>
  <c r="J638" i="6"/>
  <c r="I638" i="6"/>
  <c r="P638" i="6" s="1"/>
  <c r="H638" i="6"/>
  <c r="G638" i="6"/>
  <c r="F638" i="6"/>
  <c r="D638" i="6"/>
  <c r="U638" i="6" s="1"/>
  <c r="C638" i="6"/>
  <c r="B638" i="6"/>
  <c r="Q637" i="6"/>
  <c r="P637" i="6"/>
  <c r="N637" i="6"/>
  <c r="M637" i="6"/>
  <c r="L637" i="6"/>
  <c r="K637" i="6"/>
  <c r="J637" i="6"/>
  <c r="I637" i="6"/>
  <c r="H637" i="6"/>
  <c r="G637" i="6"/>
  <c r="F637" i="6"/>
  <c r="D637" i="6"/>
  <c r="U637" i="6" s="1"/>
  <c r="C637" i="6"/>
  <c r="B637" i="6"/>
  <c r="E637" i="6" s="1"/>
  <c r="Q636" i="6"/>
  <c r="N636" i="6"/>
  <c r="M636" i="6"/>
  <c r="L636" i="6"/>
  <c r="K636" i="6"/>
  <c r="J636" i="6"/>
  <c r="I636" i="6"/>
  <c r="P636" i="6" s="1"/>
  <c r="H636" i="6"/>
  <c r="G636" i="6"/>
  <c r="F636" i="6"/>
  <c r="D636" i="6"/>
  <c r="U636" i="6" s="1"/>
  <c r="C636" i="6"/>
  <c r="B636" i="6"/>
  <c r="Q635" i="6"/>
  <c r="P635" i="6"/>
  <c r="N635" i="6"/>
  <c r="M635" i="6"/>
  <c r="L635" i="6"/>
  <c r="K635" i="6"/>
  <c r="J635" i="6"/>
  <c r="I635" i="6"/>
  <c r="H635" i="6"/>
  <c r="G635" i="6"/>
  <c r="F635" i="6"/>
  <c r="D635" i="6"/>
  <c r="U635" i="6" s="1"/>
  <c r="C635" i="6"/>
  <c r="B635" i="6"/>
  <c r="E635" i="6" s="1"/>
  <c r="Q634" i="6"/>
  <c r="N634" i="6"/>
  <c r="M634" i="6"/>
  <c r="L634" i="6"/>
  <c r="K634" i="6"/>
  <c r="J634" i="6"/>
  <c r="I634" i="6"/>
  <c r="P634" i="6" s="1"/>
  <c r="H634" i="6"/>
  <c r="G634" i="6"/>
  <c r="F634" i="6"/>
  <c r="D634" i="6"/>
  <c r="U634" i="6" s="1"/>
  <c r="C634" i="6"/>
  <c r="B634" i="6"/>
  <c r="Q633" i="6"/>
  <c r="P633" i="6"/>
  <c r="N633" i="6"/>
  <c r="M633" i="6"/>
  <c r="L633" i="6"/>
  <c r="K633" i="6"/>
  <c r="J633" i="6"/>
  <c r="I633" i="6"/>
  <c r="H633" i="6"/>
  <c r="G633" i="6"/>
  <c r="F633" i="6"/>
  <c r="D633" i="6"/>
  <c r="U633" i="6" s="1"/>
  <c r="C633" i="6"/>
  <c r="B633" i="6"/>
  <c r="E633" i="6" s="1"/>
  <c r="Q632" i="6"/>
  <c r="N632" i="6"/>
  <c r="M632" i="6"/>
  <c r="L632" i="6"/>
  <c r="K632" i="6"/>
  <c r="J632" i="6"/>
  <c r="I632" i="6"/>
  <c r="P632" i="6" s="1"/>
  <c r="H632" i="6"/>
  <c r="G632" i="6"/>
  <c r="F632" i="6"/>
  <c r="D632" i="6"/>
  <c r="U632" i="6" s="1"/>
  <c r="C632" i="6"/>
  <c r="B632" i="6"/>
  <c r="Q631" i="6"/>
  <c r="P631" i="6"/>
  <c r="N631" i="6"/>
  <c r="M631" i="6"/>
  <c r="L631" i="6"/>
  <c r="K631" i="6"/>
  <c r="J631" i="6"/>
  <c r="I631" i="6"/>
  <c r="H631" i="6"/>
  <c r="G631" i="6"/>
  <c r="F631" i="6"/>
  <c r="D631" i="6"/>
  <c r="U631" i="6" s="1"/>
  <c r="C631" i="6"/>
  <c r="B631" i="6"/>
  <c r="E631" i="6" s="1"/>
  <c r="Q630" i="6"/>
  <c r="N630" i="6"/>
  <c r="M630" i="6"/>
  <c r="L630" i="6"/>
  <c r="K630" i="6"/>
  <c r="J630" i="6"/>
  <c r="I630" i="6"/>
  <c r="P630" i="6" s="1"/>
  <c r="H630" i="6"/>
  <c r="G630" i="6"/>
  <c r="F630" i="6"/>
  <c r="D630" i="6"/>
  <c r="U630" i="6" s="1"/>
  <c r="C630" i="6"/>
  <c r="B630" i="6"/>
  <c r="Q629" i="6"/>
  <c r="P629" i="6"/>
  <c r="N629" i="6"/>
  <c r="M629" i="6"/>
  <c r="L629" i="6"/>
  <c r="K629" i="6"/>
  <c r="J629" i="6"/>
  <c r="I629" i="6"/>
  <c r="H629" i="6"/>
  <c r="G629" i="6"/>
  <c r="F629" i="6"/>
  <c r="D629" i="6"/>
  <c r="U629" i="6" s="1"/>
  <c r="C629" i="6"/>
  <c r="B629" i="6"/>
  <c r="E629" i="6" s="1"/>
  <c r="Q628" i="6"/>
  <c r="N628" i="6"/>
  <c r="M628" i="6"/>
  <c r="L628" i="6"/>
  <c r="K628" i="6"/>
  <c r="J628" i="6"/>
  <c r="I628" i="6"/>
  <c r="P628" i="6" s="1"/>
  <c r="H628" i="6"/>
  <c r="G628" i="6"/>
  <c r="F628" i="6"/>
  <c r="D628" i="6"/>
  <c r="U628" i="6" s="1"/>
  <c r="C628" i="6"/>
  <c r="B628" i="6"/>
  <c r="Q627" i="6"/>
  <c r="P627" i="6"/>
  <c r="N627" i="6"/>
  <c r="M627" i="6"/>
  <c r="L627" i="6"/>
  <c r="K627" i="6"/>
  <c r="J627" i="6"/>
  <c r="I627" i="6"/>
  <c r="H627" i="6"/>
  <c r="G627" i="6"/>
  <c r="F627" i="6"/>
  <c r="D627" i="6"/>
  <c r="U627" i="6" s="1"/>
  <c r="C627" i="6"/>
  <c r="B627" i="6"/>
  <c r="E627" i="6" s="1"/>
  <c r="Q626" i="6"/>
  <c r="N626" i="6"/>
  <c r="M626" i="6"/>
  <c r="L626" i="6"/>
  <c r="K626" i="6"/>
  <c r="J626" i="6"/>
  <c r="I626" i="6"/>
  <c r="P626" i="6" s="1"/>
  <c r="H626" i="6"/>
  <c r="G626" i="6"/>
  <c r="F626" i="6"/>
  <c r="D626" i="6"/>
  <c r="U626" i="6" s="1"/>
  <c r="C626" i="6"/>
  <c r="B626" i="6"/>
  <c r="Q625" i="6"/>
  <c r="P625" i="6"/>
  <c r="N625" i="6"/>
  <c r="M625" i="6"/>
  <c r="L625" i="6"/>
  <c r="K625" i="6"/>
  <c r="J625" i="6"/>
  <c r="I625" i="6"/>
  <c r="H625" i="6"/>
  <c r="G625" i="6"/>
  <c r="F625" i="6"/>
  <c r="D625" i="6"/>
  <c r="U625" i="6" s="1"/>
  <c r="C625" i="6"/>
  <c r="B625" i="6"/>
  <c r="E625" i="6" s="1"/>
  <c r="Q624" i="6"/>
  <c r="N624" i="6"/>
  <c r="M624" i="6"/>
  <c r="L624" i="6"/>
  <c r="K624" i="6"/>
  <c r="J624" i="6"/>
  <c r="I624" i="6"/>
  <c r="P624" i="6" s="1"/>
  <c r="H624" i="6"/>
  <c r="G624" i="6"/>
  <c r="F624" i="6"/>
  <c r="D624" i="6"/>
  <c r="U624" i="6" s="1"/>
  <c r="C624" i="6"/>
  <c r="B624" i="6"/>
  <c r="Q623" i="6"/>
  <c r="P623" i="6"/>
  <c r="N623" i="6"/>
  <c r="M623" i="6"/>
  <c r="L623" i="6"/>
  <c r="K623" i="6"/>
  <c r="J623" i="6"/>
  <c r="I623" i="6"/>
  <c r="H623" i="6"/>
  <c r="G623" i="6"/>
  <c r="F623" i="6"/>
  <c r="D623" i="6"/>
  <c r="U623" i="6" s="1"/>
  <c r="C623" i="6"/>
  <c r="B623" i="6"/>
  <c r="E623" i="6" s="1"/>
  <c r="Q622" i="6"/>
  <c r="N622" i="6"/>
  <c r="M622" i="6"/>
  <c r="L622" i="6"/>
  <c r="K622" i="6"/>
  <c r="J622" i="6"/>
  <c r="I622" i="6"/>
  <c r="P622" i="6" s="1"/>
  <c r="H622" i="6"/>
  <c r="G622" i="6"/>
  <c r="F622" i="6"/>
  <c r="D622" i="6"/>
  <c r="U622" i="6" s="1"/>
  <c r="C622" i="6"/>
  <c r="B622" i="6"/>
  <c r="Q621" i="6"/>
  <c r="P621" i="6"/>
  <c r="N621" i="6"/>
  <c r="M621" i="6"/>
  <c r="L621" i="6"/>
  <c r="K621" i="6"/>
  <c r="J621" i="6"/>
  <c r="I621" i="6"/>
  <c r="H621" i="6"/>
  <c r="G621" i="6"/>
  <c r="F621" i="6"/>
  <c r="D621" i="6"/>
  <c r="U621" i="6" s="1"/>
  <c r="C621" i="6"/>
  <c r="B621" i="6"/>
  <c r="E621" i="6" s="1"/>
  <c r="Q620" i="6"/>
  <c r="N620" i="6"/>
  <c r="M620" i="6"/>
  <c r="L620" i="6"/>
  <c r="K620" i="6"/>
  <c r="J620" i="6"/>
  <c r="I620" i="6"/>
  <c r="P620" i="6" s="1"/>
  <c r="H620" i="6"/>
  <c r="G620" i="6"/>
  <c r="F620" i="6"/>
  <c r="D620" i="6"/>
  <c r="U620" i="6" s="1"/>
  <c r="C620" i="6"/>
  <c r="B620" i="6"/>
  <c r="Q619" i="6"/>
  <c r="P619" i="6"/>
  <c r="N619" i="6"/>
  <c r="M619" i="6"/>
  <c r="L619" i="6"/>
  <c r="K619" i="6"/>
  <c r="J619" i="6"/>
  <c r="I619" i="6"/>
  <c r="H619" i="6"/>
  <c r="G619" i="6"/>
  <c r="F619" i="6"/>
  <c r="D619" i="6"/>
  <c r="U619" i="6" s="1"/>
  <c r="C619" i="6"/>
  <c r="B619" i="6"/>
  <c r="E619" i="6" s="1"/>
  <c r="Q618" i="6"/>
  <c r="N618" i="6"/>
  <c r="M618" i="6"/>
  <c r="L618" i="6"/>
  <c r="K618" i="6"/>
  <c r="J618" i="6"/>
  <c r="I618" i="6"/>
  <c r="P618" i="6" s="1"/>
  <c r="H618" i="6"/>
  <c r="G618" i="6"/>
  <c r="F618" i="6"/>
  <c r="D618" i="6"/>
  <c r="U618" i="6" s="1"/>
  <c r="C618" i="6"/>
  <c r="B618" i="6"/>
  <c r="Q617" i="6"/>
  <c r="P617" i="6"/>
  <c r="N617" i="6"/>
  <c r="M617" i="6"/>
  <c r="L617" i="6"/>
  <c r="K617" i="6"/>
  <c r="J617" i="6"/>
  <c r="I617" i="6"/>
  <c r="H617" i="6"/>
  <c r="G617" i="6"/>
  <c r="F617" i="6"/>
  <c r="D617" i="6"/>
  <c r="U617" i="6" s="1"/>
  <c r="C617" i="6"/>
  <c r="B617" i="6"/>
  <c r="E617" i="6" s="1"/>
  <c r="Q616" i="6"/>
  <c r="N616" i="6"/>
  <c r="M616" i="6"/>
  <c r="L616" i="6"/>
  <c r="K616" i="6"/>
  <c r="J616" i="6"/>
  <c r="I616" i="6"/>
  <c r="P616" i="6" s="1"/>
  <c r="H616" i="6"/>
  <c r="G616" i="6"/>
  <c r="F616" i="6"/>
  <c r="D616" i="6"/>
  <c r="U616" i="6" s="1"/>
  <c r="C616" i="6"/>
  <c r="B616" i="6"/>
  <c r="Q615" i="6"/>
  <c r="P615" i="6"/>
  <c r="N615" i="6"/>
  <c r="M615" i="6"/>
  <c r="L615" i="6"/>
  <c r="K615" i="6"/>
  <c r="J615" i="6"/>
  <c r="I615" i="6"/>
  <c r="H615" i="6"/>
  <c r="G615" i="6"/>
  <c r="F615" i="6"/>
  <c r="D615" i="6"/>
  <c r="U615" i="6" s="1"/>
  <c r="C615" i="6"/>
  <c r="B615" i="6"/>
  <c r="E615" i="6" s="1"/>
  <c r="Q614" i="6"/>
  <c r="N614" i="6"/>
  <c r="M614" i="6"/>
  <c r="L614" i="6"/>
  <c r="K614" i="6"/>
  <c r="J614" i="6"/>
  <c r="I614" i="6"/>
  <c r="P614" i="6" s="1"/>
  <c r="H614" i="6"/>
  <c r="G614" i="6"/>
  <c r="F614" i="6"/>
  <c r="D614" i="6"/>
  <c r="U614" i="6" s="1"/>
  <c r="C614" i="6"/>
  <c r="B614" i="6"/>
  <c r="Q613" i="6"/>
  <c r="P613" i="6"/>
  <c r="N613" i="6"/>
  <c r="M613" i="6"/>
  <c r="L613" i="6"/>
  <c r="K613" i="6"/>
  <c r="J613" i="6"/>
  <c r="I613" i="6"/>
  <c r="H613" i="6"/>
  <c r="G613" i="6"/>
  <c r="F613" i="6"/>
  <c r="D613" i="6"/>
  <c r="U613" i="6" s="1"/>
  <c r="C613" i="6"/>
  <c r="B613" i="6"/>
  <c r="E613" i="6" s="1"/>
  <c r="Q612" i="6"/>
  <c r="N612" i="6"/>
  <c r="M612" i="6"/>
  <c r="L612" i="6"/>
  <c r="K612" i="6"/>
  <c r="J612" i="6"/>
  <c r="I612" i="6"/>
  <c r="P612" i="6" s="1"/>
  <c r="H612" i="6"/>
  <c r="G612" i="6"/>
  <c r="F612" i="6"/>
  <c r="D612" i="6"/>
  <c r="U612" i="6" s="1"/>
  <c r="C612" i="6"/>
  <c r="B612" i="6"/>
  <c r="Q611" i="6"/>
  <c r="P611" i="6"/>
  <c r="N611" i="6"/>
  <c r="M611" i="6"/>
  <c r="L611" i="6"/>
  <c r="K611" i="6"/>
  <c r="J611" i="6"/>
  <c r="I611" i="6"/>
  <c r="H611" i="6"/>
  <c r="G611" i="6"/>
  <c r="F611" i="6"/>
  <c r="D611" i="6"/>
  <c r="U611" i="6" s="1"/>
  <c r="C611" i="6"/>
  <c r="B611" i="6"/>
  <c r="E611" i="6" s="1"/>
  <c r="Q610" i="6"/>
  <c r="N610" i="6"/>
  <c r="M610" i="6"/>
  <c r="L610" i="6"/>
  <c r="K610" i="6"/>
  <c r="J610" i="6"/>
  <c r="I610" i="6"/>
  <c r="P610" i="6" s="1"/>
  <c r="H610" i="6"/>
  <c r="G610" i="6"/>
  <c r="F610" i="6"/>
  <c r="D610" i="6"/>
  <c r="U610" i="6" s="1"/>
  <c r="C610" i="6"/>
  <c r="B610" i="6"/>
  <c r="Q609" i="6"/>
  <c r="P609" i="6"/>
  <c r="N609" i="6"/>
  <c r="M609" i="6"/>
  <c r="L609" i="6"/>
  <c r="K609" i="6"/>
  <c r="J609" i="6"/>
  <c r="I609" i="6"/>
  <c r="H609" i="6"/>
  <c r="G609" i="6"/>
  <c r="F609" i="6"/>
  <c r="D609" i="6"/>
  <c r="U609" i="6" s="1"/>
  <c r="C609" i="6"/>
  <c r="B609" i="6"/>
  <c r="E609" i="6" s="1"/>
  <c r="Q608" i="6"/>
  <c r="N608" i="6"/>
  <c r="M608" i="6"/>
  <c r="L608" i="6"/>
  <c r="K608" i="6"/>
  <c r="J608" i="6"/>
  <c r="I608" i="6"/>
  <c r="P608" i="6" s="1"/>
  <c r="H608" i="6"/>
  <c r="G608" i="6"/>
  <c r="F608" i="6"/>
  <c r="D608" i="6"/>
  <c r="U608" i="6" s="1"/>
  <c r="C608" i="6"/>
  <c r="B608" i="6"/>
  <c r="Q607" i="6"/>
  <c r="P607" i="6"/>
  <c r="N607" i="6"/>
  <c r="M607" i="6"/>
  <c r="L607" i="6"/>
  <c r="K607" i="6"/>
  <c r="J607" i="6"/>
  <c r="I607" i="6"/>
  <c r="H607" i="6"/>
  <c r="G607" i="6"/>
  <c r="F607" i="6"/>
  <c r="D607" i="6"/>
  <c r="U607" i="6" s="1"/>
  <c r="C607" i="6"/>
  <c r="B607" i="6"/>
  <c r="E607" i="6" s="1"/>
  <c r="Q606" i="6"/>
  <c r="N606" i="6"/>
  <c r="M606" i="6"/>
  <c r="L606" i="6"/>
  <c r="K606" i="6"/>
  <c r="J606" i="6"/>
  <c r="I606" i="6"/>
  <c r="P606" i="6" s="1"/>
  <c r="H606" i="6"/>
  <c r="G606" i="6"/>
  <c r="F606" i="6"/>
  <c r="D606" i="6"/>
  <c r="U606" i="6" s="1"/>
  <c r="C606" i="6"/>
  <c r="B606" i="6"/>
  <c r="Q605" i="6"/>
  <c r="P605" i="6"/>
  <c r="N605" i="6"/>
  <c r="M605" i="6"/>
  <c r="L605" i="6"/>
  <c r="K605" i="6"/>
  <c r="J605" i="6"/>
  <c r="I605" i="6"/>
  <c r="H605" i="6"/>
  <c r="G605" i="6"/>
  <c r="F605" i="6"/>
  <c r="D605" i="6"/>
  <c r="U605" i="6" s="1"/>
  <c r="C605" i="6"/>
  <c r="B605" i="6"/>
  <c r="E605" i="6" s="1"/>
  <c r="Q604" i="6"/>
  <c r="N604" i="6"/>
  <c r="M604" i="6"/>
  <c r="L604" i="6"/>
  <c r="K604" i="6"/>
  <c r="J604" i="6"/>
  <c r="I604" i="6"/>
  <c r="P604" i="6" s="1"/>
  <c r="H604" i="6"/>
  <c r="G604" i="6"/>
  <c r="F604" i="6"/>
  <c r="D604" i="6"/>
  <c r="U604" i="6" s="1"/>
  <c r="C604" i="6"/>
  <c r="B604" i="6"/>
  <c r="Q603" i="6"/>
  <c r="P603" i="6"/>
  <c r="N603" i="6"/>
  <c r="M603" i="6"/>
  <c r="L603" i="6"/>
  <c r="K603" i="6"/>
  <c r="J603" i="6"/>
  <c r="I603" i="6"/>
  <c r="H603" i="6"/>
  <c r="G603" i="6"/>
  <c r="F603" i="6"/>
  <c r="D603" i="6"/>
  <c r="U603" i="6" s="1"/>
  <c r="C603" i="6"/>
  <c r="B603" i="6"/>
  <c r="E603" i="6" s="1"/>
  <c r="U302" i="6"/>
  <c r="Q302" i="6"/>
  <c r="N302" i="6"/>
  <c r="M302" i="6"/>
  <c r="L302" i="6"/>
  <c r="K302" i="6"/>
  <c r="J302" i="6"/>
  <c r="I302" i="6"/>
  <c r="P302" i="6" s="1"/>
  <c r="H302" i="6"/>
  <c r="G302" i="6"/>
  <c r="F302" i="6"/>
  <c r="E302" i="6"/>
  <c r="D302" i="6"/>
  <c r="C302" i="6"/>
  <c r="B302" i="6"/>
  <c r="U301" i="6"/>
  <c r="Q301" i="6"/>
  <c r="N301" i="6"/>
  <c r="M301" i="6"/>
  <c r="L301" i="6"/>
  <c r="K301" i="6"/>
  <c r="J301" i="6"/>
  <c r="I301" i="6"/>
  <c r="P301" i="6" s="1"/>
  <c r="H301" i="6"/>
  <c r="G301" i="6"/>
  <c r="F301" i="6"/>
  <c r="E301" i="6"/>
  <c r="D301" i="6"/>
  <c r="C301" i="6"/>
  <c r="B301" i="6"/>
  <c r="U300" i="6"/>
  <c r="Q300" i="6"/>
  <c r="N300" i="6"/>
  <c r="M300" i="6"/>
  <c r="L300" i="6"/>
  <c r="K300" i="6"/>
  <c r="J300" i="6"/>
  <c r="I300" i="6"/>
  <c r="P300" i="6" s="1"/>
  <c r="H300" i="6"/>
  <c r="G300" i="6"/>
  <c r="F300" i="6"/>
  <c r="E300" i="6"/>
  <c r="D300" i="6"/>
  <c r="C300" i="6"/>
  <c r="B300" i="6"/>
  <c r="U299" i="6"/>
  <c r="Q299" i="6"/>
  <c r="N299" i="6"/>
  <c r="M299" i="6"/>
  <c r="L299" i="6"/>
  <c r="K299" i="6"/>
  <c r="J299" i="6"/>
  <c r="I299" i="6"/>
  <c r="P299" i="6" s="1"/>
  <c r="H299" i="6"/>
  <c r="G299" i="6"/>
  <c r="F299" i="6"/>
  <c r="E299" i="6"/>
  <c r="D299" i="6"/>
  <c r="C299" i="6"/>
  <c r="B299" i="6"/>
  <c r="U298" i="6"/>
  <c r="Q298" i="6"/>
  <c r="N298" i="6"/>
  <c r="M298" i="6"/>
  <c r="L298" i="6"/>
  <c r="K298" i="6"/>
  <c r="J298" i="6"/>
  <c r="I298" i="6"/>
  <c r="P298" i="6" s="1"/>
  <c r="H298" i="6"/>
  <c r="G298" i="6"/>
  <c r="F298" i="6"/>
  <c r="E298" i="6"/>
  <c r="D298" i="6"/>
  <c r="C298" i="6"/>
  <c r="B298" i="6"/>
  <c r="U297" i="6"/>
  <c r="Q297" i="6"/>
  <c r="N297" i="6"/>
  <c r="M297" i="6"/>
  <c r="L297" i="6"/>
  <c r="K297" i="6"/>
  <c r="J297" i="6"/>
  <c r="I297" i="6"/>
  <c r="P297" i="6" s="1"/>
  <c r="H297" i="6"/>
  <c r="G297" i="6"/>
  <c r="F297" i="6"/>
  <c r="E297" i="6"/>
  <c r="D297" i="6"/>
  <c r="C297" i="6"/>
  <c r="B297" i="6"/>
  <c r="U296" i="6"/>
  <c r="Q296" i="6"/>
  <c r="N296" i="6"/>
  <c r="M296" i="6"/>
  <c r="L296" i="6"/>
  <c r="K296" i="6"/>
  <c r="J296" i="6"/>
  <c r="I296" i="6"/>
  <c r="P296" i="6" s="1"/>
  <c r="H296" i="6"/>
  <c r="G296" i="6"/>
  <c r="F296" i="6"/>
  <c r="E296" i="6"/>
  <c r="D296" i="6"/>
  <c r="C296" i="6"/>
  <c r="B296" i="6"/>
  <c r="U295" i="6"/>
  <c r="Q295" i="6"/>
  <c r="N295" i="6"/>
  <c r="M295" i="6"/>
  <c r="L295" i="6"/>
  <c r="K295" i="6"/>
  <c r="J295" i="6"/>
  <c r="I295" i="6"/>
  <c r="P295" i="6" s="1"/>
  <c r="H295" i="6"/>
  <c r="G295" i="6"/>
  <c r="F295" i="6"/>
  <c r="E295" i="6"/>
  <c r="D295" i="6"/>
  <c r="C295" i="6"/>
  <c r="B295" i="6"/>
  <c r="U294" i="6"/>
  <c r="Q294" i="6"/>
  <c r="N294" i="6"/>
  <c r="M294" i="6"/>
  <c r="L294" i="6"/>
  <c r="K294" i="6"/>
  <c r="J294" i="6"/>
  <c r="I294" i="6"/>
  <c r="P294" i="6" s="1"/>
  <c r="H294" i="6"/>
  <c r="G294" i="6"/>
  <c r="F294" i="6"/>
  <c r="E294" i="6"/>
  <c r="D294" i="6"/>
  <c r="C294" i="6"/>
  <c r="B294" i="6"/>
  <c r="U293" i="6"/>
  <c r="Q293" i="6"/>
  <c r="N293" i="6"/>
  <c r="M293" i="6"/>
  <c r="L293" i="6"/>
  <c r="K293" i="6"/>
  <c r="J293" i="6"/>
  <c r="I293" i="6"/>
  <c r="P293" i="6" s="1"/>
  <c r="H293" i="6"/>
  <c r="G293" i="6"/>
  <c r="F293" i="6"/>
  <c r="E293" i="6"/>
  <c r="D293" i="6"/>
  <c r="C293" i="6"/>
  <c r="B293" i="6"/>
  <c r="U292" i="6"/>
  <c r="Q292" i="6"/>
  <c r="N292" i="6"/>
  <c r="M292" i="6"/>
  <c r="L292" i="6"/>
  <c r="K292" i="6"/>
  <c r="J292" i="6"/>
  <c r="I292" i="6"/>
  <c r="P292" i="6" s="1"/>
  <c r="H292" i="6"/>
  <c r="G292" i="6"/>
  <c r="F292" i="6"/>
  <c r="E292" i="6"/>
  <c r="D292" i="6"/>
  <c r="C292" i="6"/>
  <c r="B292" i="6"/>
  <c r="U291" i="6"/>
  <c r="Q291" i="6"/>
  <c r="N291" i="6"/>
  <c r="M291" i="6"/>
  <c r="L291" i="6"/>
  <c r="K291" i="6"/>
  <c r="J291" i="6"/>
  <c r="I291" i="6"/>
  <c r="P291" i="6" s="1"/>
  <c r="H291" i="6"/>
  <c r="G291" i="6"/>
  <c r="F291" i="6"/>
  <c r="E291" i="6"/>
  <c r="D291" i="6"/>
  <c r="C291" i="6"/>
  <c r="B291" i="6"/>
  <c r="U290" i="6"/>
  <c r="Q290" i="6"/>
  <c r="N290" i="6"/>
  <c r="M290" i="6"/>
  <c r="L290" i="6"/>
  <c r="K290" i="6"/>
  <c r="J290" i="6"/>
  <c r="I290" i="6"/>
  <c r="P290" i="6" s="1"/>
  <c r="H290" i="6"/>
  <c r="G290" i="6"/>
  <c r="F290" i="6"/>
  <c r="E290" i="6"/>
  <c r="D290" i="6"/>
  <c r="C290" i="6"/>
  <c r="B290" i="6"/>
  <c r="U289" i="6"/>
  <c r="Q289" i="6"/>
  <c r="N289" i="6"/>
  <c r="M289" i="6"/>
  <c r="L289" i="6"/>
  <c r="K289" i="6"/>
  <c r="J289" i="6"/>
  <c r="I289" i="6"/>
  <c r="P289" i="6" s="1"/>
  <c r="H289" i="6"/>
  <c r="G289" i="6"/>
  <c r="F289" i="6"/>
  <c r="E289" i="6"/>
  <c r="D289" i="6"/>
  <c r="C289" i="6"/>
  <c r="B289" i="6"/>
  <c r="U288" i="6"/>
  <c r="Q288" i="6"/>
  <c r="N288" i="6"/>
  <c r="M288" i="6"/>
  <c r="L288" i="6"/>
  <c r="K288" i="6"/>
  <c r="J288" i="6"/>
  <c r="I288" i="6"/>
  <c r="P288" i="6" s="1"/>
  <c r="H288" i="6"/>
  <c r="G288" i="6"/>
  <c r="F288" i="6"/>
  <c r="E288" i="6"/>
  <c r="D288" i="6"/>
  <c r="C288" i="6"/>
  <c r="B288" i="6"/>
  <c r="U287" i="6"/>
  <c r="Q287" i="6"/>
  <c r="N287" i="6"/>
  <c r="M287" i="6"/>
  <c r="L287" i="6"/>
  <c r="K287" i="6"/>
  <c r="J287" i="6"/>
  <c r="I287" i="6"/>
  <c r="P287" i="6" s="1"/>
  <c r="H287" i="6"/>
  <c r="G287" i="6"/>
  <c r="F287" i="6"/>
  <c r="E287" i="6"/>
  <c r="D287" i="6"/>
  <c r="C287" i="6"/>
  <c r="B287" i="6"/>
  <c r="U286" i="6"/>
  <c r="Q286" i="6"/>
  <c r="N286" i="6"/>
  <c r="M286" i="6"/>
  <c r="L286" i="6"/>
  <c r="K286" i="6"/>
  <c r="J286" i="6"/>
  <c r="I286" i="6"/>
  <c r="P286" i="6" s="1"/>
  <c r="H286" i="6"/>
  <c r="G286" i="6"/>
  <c r="F286" i="6"/>
  <c r="E286" i="6"/>
  <c r="D286" i="6"/>
  <c r="C286" i="6"/>
  <c r="B286" i="6"/>
  <c r="U285" i="6"/>
  <c r="Q285" i="6"/>
  <c r="N285" i="6"/>
  <c r="M285" i="6"/>
  <c r="L285" i="6"/>
  <c r="K285" i="6"/>
  <c r="J285" i="6"/>
  <c r="I285" i="6"/>
  <c r="P285" i="6" s="1"/>
  <c r="H285" i="6"/>
  <c r="G285" i="6"/>
  <c r="F285" i="6"/>
  <c r="E285" i="6"/>
  <c r="D285" i="6"/>
  <c r="C285" i="6"/>
  <c r="B285" i="6"/>
  <c r="U284" i="6"/>
  <c r="Q284" i="6"/>
  <c r="N284" i="6"/>
  <c r="M284" i="6"/>
  <c r="L284" i="6"/>
  <c r="K284" i="6"/>
  <c r="J284" i="6"/>
  <c r="I284" i="6"/>
  <c r="P284" i="6" s="1"/>
  <c r="H284" i="6"/>
  <c r="G284" i="6"/>
  <c r="F284" i="6"/>
  <c r="E284" i="6"/>
  <c r="D284" i="6"/>
  <c r="C284" i="6"/>
  <c r="B284" i="6"/>
  <c r="U283" i="6"/>
  <c r="Q283" i="6"/>
  <c r="N283" i="6"/>
  <c r="M283" i="6"/>
  <c r="L283" i="6"/>
  <c r="K283" i="6"/>
  <c r="J283" i="6"/>
  <c r="I283" i="6"/>
  <c r="P283" i="6" s="1"/>
  <c r="H283" i="6"/>
  <c r="G283" i="6"/>
  <c r="F283" i="6"/>
  <c r="E283" i="6"/>
  <c r="D283" i="6"/>
  <c r="C283" i="6"/>
  <c r="B283" i="6"/>
  <c r="U282" i="6"/>
  <c r="Q282" i="6"/>
  <c r="N282" i="6"/>
  <c r="M282" i="6"/>
  <c r="L282" i="6"/>
  <c r="K282" i="6"/>
  <c r="J282" i="6"/>
  <c r="I282" i="6"/>
  <c r="P282" i="6" s="1"/>
  <c r="H282" i="6"/>
  <c r="G282" i="6"/>
  <c r="F282" i="6"/>
  <c r="E282" i="6"/>
  <c r="D282" i="6"/>
  <c r="C282" i="6"/>
  <c r="B282" i="6"/>
  <c r="U281" i="6"/>
  <c r="Q281" i="6"/>
  <c r="N281" i="6"/>
  <c r="M281" i="6"/>
  <c r="L281" i="6"/>
  <c r="K281" i="6"/>
  <c r="J281" i="6"/>
  <c r="I281" i="6"/>
  <c r="P281" i="6" s="1"/>
  <c r="H281" i="6"/>
  <c r="G281" i="6"/>
  <c r="F281" i="6"/>
  <c r="E281" i="6"/>
  <c r="D281" i="6"/>
  <c r="C281" i="6"/>
  <c r="B281" i="6"/>
  <c r="U280" i="6"/>
  <c r="Q280" i="6"/>
  <c r="N280" i="6"/>
  <c r="M280" i="6"/>
  <c r="L280" i="6"/>
  <c r="K280" i="6"/>
  <c r="J280" i="6"/>
  <c r="I280" i="6"/>
  <c r="P280" i="6" s="1"/>
  <c r="H280" i="6"/>
  <c r="G280" i="6"/>
  <c r="F280" i="6"/>
  <c r="E280" i="6"/>
  <c r="D280" i="6"/>
  <c r="C280" i="6"/>
  <c r="B280" i="6"/>
  <c r="U279" i="6"/>
  <c r="Q279" i="6"/>
  <c r="N279" i="6"/>
  <c r="M279" i="6"/>
  <c r="L279" i="6"/>
  <c r="K279" i="6"/>
  <c r="J279" i="6"/>
  <c r="I279" i="6"/>
  <c r="P279" i="6" s="1"/>
  <c r="H279" i="6"/>
  <c r="G279" i="6"/>
  <c r="F279" i="6"/>
  <c r="E279" i="6"/>
  <c r="D279" i="6"/>
  <c r="C279" i="6"/>
  <c r="B279" i="6"/>
  <c r="U278" i="6"/>
  <c r="Q278" i="6"/>
  <c r="N278" i="6"/>
  <c r="M278" i="6"/>
  <c r="L278" i="6"/>
  <c r="K278" i="6"/>
  <c r="J278" i="6"/>
  <c r="I278" i="6"/>
  <c r="P278" i="6" s="1"/>
  <c r="H278" i="6"/>
  <c r="G278" i="6"/>
  <c r="F278" i="6"/>
  <c r="E278" i="6"/>
  <c r="D278" i="6"/>
  <c r="C278" i="6"/>
  <c r="B278" i="6"/>
  <c r="U277" i="6"/>
  <c r="Q277" i="6"/>
  <c r="N277" i="6"/>
  <c r="M277" i="6"/>
  <c r="L277" i="6"/>
  <c r="K277" i="6"/>
  <c r="J277" i="6"/>
  <c r="I277" i="6"/>
  <c r="P277" i="6" s="1"/>
  <c r="H277" i="6"/>
  <c r="G277" i="6"/>
  <c r="F277" i="6"/>
  <c r="E277" i="6"/>
  <c r="D277" i="6"/>
  <c r="C277" i="6"/>
  <c r="B277" i="6"/>
  <c r="U276" i="6"/>
  <c r="Q276" i="6"/>
  <c r="N276" i="6"/>
  <c r="M276" i="6"/>
  <c r="L276" i="6"/>
  <c r="K276" i="6"/>
  <c r="J276" i="6"/>
  <c r="I276" i="6"/>
  <c r="P276" i="6" s="1"/>
  <c r="H276" i="6"/>
  <c r="G276" i="6"/>
  <c r="F276" i="6"/>
  <c r="E276" i="6"/>
  <c r="D276" i="6"/>
  <c r="C276" i="6"/>
  <c r="B276" i="6"/>
  <c r="U275" i="6"/>
  <c r="Q275" i="6"/>
  <c r="N275" i="6"/>
  <c r="M275" i="6"/>
  <c r="L275" i="6"/>
  <c r="K275" i="6"/>
  <c r="J275" i="6"/>
  <c r="I275" i="6"/>
  <c r="P275" i="6" s="1"/>
  <c r="H275" i="6"/>
  <c r="G275" i="6"/>
  <c r="F275" i="6"/>
  <c r="E275" i="6"/>
  <c r="D275" i="6"/>
  <c r="C275" i="6"/>
  <c r="B275" i="6"/>
  <c r="U274" i="6"/>
  <c r="Q274" i="6"/>
  <c r="N274" i="6"/>
  <c r="M274" i="6"/>
  <c r="L274" i="6"/>
  <c r="K274" i="6"/>
  <c r="J274" i="6"/>
  <c r="I274" i="6"/>
  <c r="P274" i="6" s="1"/>
  <c r="H274" i="6"/>
  <c r="G274" i="6"/>
  <c r="F274" i="6"/>
  <c r="E274" i="6"/>
  <c r="D274" i="6"/>
  <c r="C274" i="6"/>
  <c r="B274" i="6"/>
  <c r="U273" i="6"/>
  <c r="Q273" i="6"/>
  <c r="N273" i="6"/>
  <c r="M273" i="6"/>
  <c r="L273" i="6"/>
  <c r="K273" i="6"/>
  <c r="J273" i="6"/>
  <c r="I273" i="6"/>
  <c r="P273" i="6" s="1"/>
  <c r="H273" i="6"/>
  <c r="G273" i="6"/>
  <c r="F273" i="6"/>
  <c r="E273" i="6"/>
  <c r="D273" i="6"/>
  <c r="C273" i="6"/>
  <c r="B273" i="6"/>
  <c r="U272" i="6"/>
  <c r="Q272" i="6"/>
  <c r="N272" i="6"/>
  <c r="M272" i="6"/>
  <c r="L272" i="6"/>
  <c r="K272" i="6"/>
  <c r="J272" i="6"/>
  <c r="I272" i="6"/>
  <c r="P272" i="6" s="1"/>
  <c r="H272" i="6"/>
  <c r="G272" i="6"/>
  <c r="F272" i="6"/>
  <c r="E272" i="6"/>
  <c r="D272" i="6"/>
  <c r="C272" i="6"/>
  <c r="B272" i="6"/>
  <c r="U271" i="6"/>
  <c r="Q271" i="6"/>
  <c r="N271" i="6"/>
  <c r="M271" i="6"/>
  <c r="L271" i="6"/>
  <c r="K271" i="6"/>
  <c r="J271" i="6"/>
  <c r="I271" i="6"/>
  <c r="P271" i="6" s="1"/>
  <c r="H271" i="6"/>
  <c r="G271" i="6"/>
  <c r="F271" i="6"/>
  <c r="E271" i="6"/>
  <c r="D271" i="6"/>
  <c r="C271" i="6"/>
  <c r="B271" i="6"/>
  <c r="U270" i="6"/>
  <c r="Q270" i="6"/>
  <c r="N270" i="6"/>
  <c r="M270" i="6"/>
  <c r="L270" i="6"/>
  <c r="K270" i="6"/>
  <c r="J270" i="6"/>
  <c r="I270" i="6"/>
  <c r="P270" i="6" s="1"/>
  <c r="H270" i="6"/>
  <c r="G270" i="6"/>
  <c r="F270" i="6"/>
  <c r="E270" i="6"/>
  <c r="D270" i="6"/>
  <c r="C270" i="6"/>
  <c r="B270" i="6"/>
  <c r="U269" i="6"/>
  <c r="Q269" i="6"/>
  <c r="N269" i="6"/>
  <c r="M269" i="6"/>
  <c r="L269" i="6"/>
  <c r="K269" i="6"/>
  <c r="J269" i="6"/>
  <c r="I269" i="6"/>
  <c r="P269" i="6" s="1"/>
  <c r="H269" i="6"/>
  <c r="G269" i="6"/>
  <c r="F269" i="6"/>
  <c r="E269" i="6"/>
  <c r="D269" i="6"/>
  <c r="C269" i="6"/>
  <c r="B269" i="6"/>
  <c r="U268" i="6"/>
  <c r="Q268" i="6"/>
  <c r="N268" i="6"/>
  <c r="M268" i="6"/>
  <c r="L268" i="6"/>
  <c r="K268" i="6"/>
  <c r="J268" i="6"/>
  <c r="I268" i="6"/>
  <c r="P268" i="6" s="1"/>
  <c r="H268" i="6"/>
  <c r="G268" i="6"/>
  <c r="F268" i="6"/>
  <c r="E268" i="6"/>
  <c r="D268" i="6"/>
  <c r="C268" i="6"/>
  <c r="B268" i="6"/>
  <c r="U267" i="6"/>
  <c r="Q267" i="6"/>
  <c r="N267" i="6"/>
  <c r="M267" i="6"/>
  <c r="L267" i="6"/>
  <c r="K267" i="6"/>
  <c r="J267" i="6"/>
  <c r="I267" i="6"/>
  <c r="P267" i="6" s="1"/>
  <c r="H267" i="6"/>
  <c r="G267" i="6"/>
  <c r="F267" i="6"/>
  <c r="E267" i="6"/>
  <c r="D267" i="6"/>
  <c r="C267" i="6"/>
  <c r="B267" i="6"/>
  <c r="U266" i="6"/>
  <c r="Q266" i="6"/>
  <c r="N266" i="6"/>
  <c r="M266" i="6"/>
  <c r="L266" i="6"/>
  <c r="K266" i="6"/>
  <c r="J266" i="6"/>
  <c r="I266" i="6"/>
  <c r="P266" i="6" s="1"/>
  <c r="H266" i="6"/>
  <c r="G266" i="6"/>
  <c r="F266" i="6"/>
  <c r="E266" i="6"/>
  <c r="D266" i="6"/>
  <c r="C266" i="6"/>
  <c r="B266" i="6"/>
  <c r="U265" i="6"/>
  <c r="Q265" i="6"/>
  <c r="N265" i="6"/>
  <c r="M265" i="6"/>
  <c r="L265" i="6"/>
  <c r="K265" i="6"/>
  <c r="J265" i="6"/>
  <c r="I265" i="6"/>
  <c r="P265" i="6" s="1"/>
  <c r="H265" i="6"/>
  <c r="G265" i="6"/>
  <c r="F265" i="6"/>
  <c r="E265" i="6"/>
  <c r="D265" i="6"/>
  <c r="C265" i="6"/>
  <c r="B265" i="6"/>
  <c r="U264" i="6"/>
  <c r="Q264" i="6"/>
  <c r="N264" i="6"/>
  <c r="M264" i="6"/>
  <c r="L264" i="6"/>
  <c r="K264" i="6"/>
  <c r="J264" i="6"/>
  <c r="I264" i="6"/>
  <c r="P264" i="6" s="1"/>
  <c r="H264" i="6"/>
  <c r="G264" i="6"/>
  <c r="F264" i="6"/>
  <c r="E264" i="6"/>
  <c r="D264" i="6"/>
  <c r="C264" i="6"/>
  <c r="B264" i="6"/>
  <c r="U263" i="6"/>
  <c r="Q263" i="6"/>
  <c r="N263" i="6"/>
  <c r="M263" i="6"/>
  <c r="L263" i="6"/>
  <c r="K263" i="6"/>
  <c r="J263" i="6"/>
  <c r="I263" i="6"/>
  <c r="P263" i="6" s="1"/>
  <c r="H263" i="6"/>
  <c r="G263" i="6"/>
  <c r="F263" i="6"/>
  <c r="E263" i="6"/>
  <c r="D263" i="6"/>
  <c r="C263" i="6"/>
  <c r="B263" i="6"/>
  <c r="U262" i="6"/>
  <c r="Q262" i="6"/>
  <c r="N262" i="6"/>
  <c r="M262" i="6"/>
  <c r="L262" i="6"/>
  <c r="K262" i="6"/>
  <c r="J262" i="6"/>
  <c r="I262" i="6"/>
  <c r="P262" i="6" s="1"/>
  <c r="H262" i="6"/>
  <c r="G262" i="6"/>
  <c r="F262" i="6"/>
  <c r="E262" i="6"/>
  <c r="D262" i="6"/>
  <c r="C262" i="6"/>
  <c r="B262" i="6"/>
  <c r="U261" i="6"/>
  <c r="Q261" i="6"/>
  <c r="N261" i="6"/>
  <c r="M261" i="6"/>
  <c r="L261" i="6"/>
  <c r="K261" i="6"/>
  <c r="J261" i="6"/>
  <c r="I261" i="6"/>
  <c r="P261" i="6" s="1"/>
  <c r="H261" i="6"/>
  <c r="G261" i="6"/>
  <c r="F261" i="6"/>
  <c r="E261" i="6"/>
  <c r="D261" i="6"/>
  <c r="C261" i="6"/>
  <c r="B261" i="6"/>
  <c r="U260" i="6"/>
  <c r="Q260" i="6"/>
  <c r="N260" i="6"/>
  <c r="M260" i="6"/>
  <c r="L260" i="6"/>
  <c r="K260" i="6"/>
  <c r="J260" i="6"/>
  <c r="I260" i="6"/>
  <c r="P260" i="6" s="1"/>
  <c r="H260" i="6"/>
  <c r="G260" i="6"/>
  <c r="F260" i="6"/>
  <c r="E260" i="6"/>
  <c r="D260" i="6"/>
  <c r="C260" i="6"/>
  <c r="B260" i="6"/>
  <c r="U259" i="6"/>
  <c r="Q259" i="6"/>
  <c r="N259" i="6"/>
  <c r="M259" i="6"/>
  <c r="L259" i="6"/>
  <c r="K259" i="6"/>
  <c r="J259" i="6"/>
  <c r="I259" i="6"/>
  <c r="P259" i="6" s="1"/>
  <c r="H259" i="6"/>
  <c r="G259" i="6"/>
  <c r="F259" i="6"/>
  <c r="E259" i="6"/>
  <c r="D259" i="6"/>
  <c r="C259" i="6"/>
  <c r="B259" i="6"/>
  <c r="U258" i="6"/>
  <c r="Q258" i="6"/>
  <c r="N258" i="6"/>
  <c r="M258" i="6"/>
  <c r="L258" i="6"/>
  <c r="K258" i="6"/>
  <c r="J258" i="6"/>
  <c r="I258" i="6"/>
  <c r="P258" i="6" s="1"/>
  <c r="H258" i="6"/>
  <c r="G258" i="6"/>
  <c r="F258" i="6"/>
  <c r="E258" i="6"/>
  <c r="D258" i="6"/>
  <c r="C258" i="6"/>
  <c r="B258" i="6"/>
  <c r="U257" i="6"/>
  <c r="Q257" i="6"/>
  <c r="N257" i="6"/>
  <c r="M257" i="6"/>
  <c r="L257" i="6"/>
  <c r="K257" i="6"/>
  <c r="J257" i="6"/>
  <c r="I257" i="6"/>
  <c r="P257" i="6" s="1"/>
  <c r="H257" i="6"/>
  <c r="G257" i="6"/>
  <c r="F257" i="6"/>
  <c r="E257" i="6"/>
  <c r="D257" i="6"/>
  <c r="C257" i="6"/>
  <c r="B257" i="6"/>
  <c r="U256" i="6"/>
  <c r="Q256" i="6"/>
  <c r="N256" i="6"/>
  <c r="M256" i="6"/>
  <c r="L256" i="6"/>
  <c r="K256" i="6"/>
  <c r="J256" i="6"/>
  <c r="I256" i="6"/>
  <c r="P256" i="6" s="1"/>
  <c r="H256" i="6"/>
  <c r="G256" i="6"/>
  <c r="F256" i="6"/>
  <c r="E256" i="6"/>
  <c r="D256" i="6"/>
  <c r="C256" i="6"/>
  <c r="B256" i="6"/>
  <c r="U255" i="6"/>
  <c r="Q255" i="6"/>
  <c r="N255" i="6"/>
  <c r="M255" i="6"/>
  <c r="L255" i="6"/>
  <c r="K255" i="6"/>
  <c r="J255" i="6"/>
  <c r="I255" i="6"/>
  <c r="P255" i="6" s="1"/>
  <c r="H255" i="6"/>
  <c r="G255" i="6"/>
  <c r="F255" i="6"/>
  <c r="E255" i="6"/>
  <c r="D255" i="6"/>
  <c r="C255" i="6"/>
  <c r="B255" i="6"/>
  <c r="U254" i="6"/>
  <c r="Q254" i="6"/>
  <c r="N254" i="6"/>
  <c r="M254" i="6"/>
  <c r="L254" i="6"/>
  <c r="K254" i="6"/>
  <c r="J254" i="6"/>
  <c r="I254" i="6"/>
  <c r="P254" i="6" s="1"/>
  <c r="H254" i="6"/>
  <c r="G254" i="6"/>
  <c r="F254" i="6"/>
  <c r="E254" i="6"/>
  <c r="D254" i="6"/>
  <c r="C254" i="6"/>
  <c r="B254" i="6"/>
  <c r="U253" i="6"/>
  <c r="Q253" i="6"/>
  <c r="N253" i="6"/>
  <c r="M253" i="6"/>
  <c r="L253" i="6"/>
  <c r="K253" i="6"/>
  <c r="J253" i="6"/>
  <c r="I253" i="6"/>
  <c r="P253" i="6" s="1"/>
  <c r="H253" i="6"/>
  <c r="G253" i="6"/>
  <c r="F253" i="6"/>
  <c r="E253" i="6"/>
  <c r="D253" i="6"/>
  <c r="C253" i="6"/>
  <c r="B253" i="6"/>
  <c r="U252" i="6"/>
  <c r="Q252" i="6"/>
  <c r="N252" i="6"/>
  <c r="M252" i="6"/>
  <c r="L252" i="6"/>
  <c r="K252" i="6"/>
  <c r="J252" i="6"/>
  <c r="I252" i="6"/>
  <c r="P252" i="6" s="1"/>
  <c r="H252" i="6"/>
  <c r="G252" i="6"/>
  <c r="F252" i="6"/>
  <c r="E252" i="6"/>
  <c r="D252" i="6"/>
  <c r="C252" i="6"/>
  <c r="B252" i="6"/>
  <c r="U251" i="6"/>
  <c r="Q251" i="6"/>
  <c r="N251" i="6"/>
  <c r="M251" i="6"/>
  <c r="L251" i="6"/>
  <c r="K251" i="6"/>
  <c r="J251" i="6"/>
  <c r="I251" i="6"/>
  <c r="P251" i="6" s="1"/>
  <c r="H251" i="6"/>
  <c r="G251" i="6"/>
  <c r="F251" i="6"/>
  <c r="D251" i="6"/>
  <c r="C251" i="6"/>
  <c r="B251" i="6"/>
  <c r="E251" i="6" s="1"/>
  <c r="U250" i="6"/>
  <c r="Q250" i="6"/>
  <c r="N250" i="6"/>
  <c r="M250" i="6"/>
  <c r="L250" i="6"/>
  <c r="K250" i="6"/>
  <c r="J250" i="6"/>
  <c r="I250" i="6"/>
  <c r="P250" i="6" s="1"/>
  <c r="H250" i="6"/>
  <c r="G250" i="6"/>
  <c r="F250" i="6"/>
  <c r="E250" i="6"/>
  <c r="D250" i="6"/>
  <c r="C250" i="6"/>
  <c r="B250" i="6"/>
  <c r="U249" i="6"/>
  <c r="Q249" i="6"/>
  <c r="N249" i="6"/>
  <c r="M249" i="6"/>
  <c r="L249" i="6"/>
  <c r="K249" i="6"/>
  <c r="J249" i="6"/>
  <c r="I249" i="6"/>
  <c r="P249" i="6" s="1"/>
  <c r="H249" i="6"/>
  <c r="G249" i="6"/>
  <c r="F249" i="6"/>
  <c r="E249" i="6"/>
  <c r="D249" i="6"/>
  <c r="C249" i="6"/>
  <c r="B249" i="6"/>
  <c r="U248" i="6"/>
  <c r="Q248" i="6"/>
  <c r="N248" i="6"/>
  <c r="M248" i="6"/>
  <c r="L248" i="6"/>
  <c r="K248" i="6"/>
  <c r="J248" i="6"/>
  <c r="I248" i="6"/>
  <c r="P248" i="6" s="1"/>
  <c r="H248" i="6"/>
  <c r="G248" i="6"/>
  <c r="F248" i="6"/>
  <c r="E248" i="6"/>
  <c r="D248" i="6"/>
  <c r="C248" i="6"/>
  <c r="B248" i="6"/>
  <c r="U247" i="6"/>
  <c r="Q247" i="6"/>
  <c r="N247" i="6"/>
  <c r="M247" i="6"/>
  <c r="L247" i="6"/>
  <c r="K247" i="6"/>
  <c r="J247" i="6"/>
  <c r="I247" i="6"/>
  <c r="P247" i="6" s="1"/>
  <c r="H247" i="6"/>
  <c r="G247" i="6"/>
  <c r="F247" i="6"/>
  <c r="D247" i="6"/>
  <c r="C247" i="6"/>
  <c r="B247" i="6"/>
  <c r="E247" i="6" s="1"/>
  <c r="U246" i="6"/>
  <c r="Q246" i="6"/>
  <c r="N246" i="6"/>
  <c r="M246" i="6"/>
  <c r="L246" i="6"/>
  <c r="K246" i="6"/>
  <c r="J246" i="6"/>
  <c r="I246" i="6"/>
  <c r="P246" i="6" s="1"/>
  <c r="H246" i="6"/>
  <c r="G246" i="6"/>
  <c r="F246" i="6"/>
  <c r="E246" i="6"/>
  <c r="D246" i="6"/>
  <c r="C246" i="6"/>
  <c r="B246" i="6"/>
  <c r="U245" i="6"/>
  <c r="Q245" i="6"/>
  <c r="N245" i="6"/>
  <c r="M245" i="6"/>
  <c r="L245" i="6"/>
  <c r="K245" i="6"/>
  <c r="J245" i="6"/>
  <c r="I245" i="6"/>
  <c r="P245" i="6" s="1"/>
  <c r="H245" i="6"/>
  <c r="G245" i="6"/>
  <c r="F245" i="6"/>
  <c r="E245" i="6"/>
  <c r="D245" i="6"/>
  <c r="C245" i="6"/>
  <c r="B245" i="6"/>
  <c r="U244" i="6"/>
  <c r="Q244" i="6"/>
  <c r="N244" i="6"/>
  <c r="M244" i="6"/>
  <c r="L244" i="6"/>
  <c r="K244" i="6"/>
  <c r="J244" i="6"/>
  <c r="I244" i="6"/>
  <c r="P244" i="6" s="1"/>
  <c r="H244" i="6"/>
  <c r="G244" i="6"/>
  <c r="F244" i="6"/>
  <c r="E244" i="6"/>
  <c r="D244" i="6"/>
  <c r="C244" i="6"/>
  <c r="B244" i="6"/>
  <c r="U243" i="6"/>
  <c r="Q243" i="6"/>
  <c r="N243" i="6"/>
  <c r="M243" i="6"/>
  <c r="L243" i="6"/>
  <c r="K243" i="6"/>
  <c r="J243" i="6"/>
  <c r="I243" i="6"/>
  <c r="P243" i="6" s="1"/>
  <c r="H243" i="6"/>
  <c r="G243" i="6"/>
  <c r="F243" i="6"/>
  <c r="D243" i="6"/>
  <c r="C243" i="6"/>
  <c r="B243" i="6"/>
  <c r="E243" i="6" s="1"/>
  <c r="U242" i="6"/>
  <c r="Q242" i="6"/>
  <c r="N242" i="6"/>
  <c r="M242" i="6"/>
  <c r="L242" i="6"/>
  <c r="K242" i="6"/>
  <c r="J242" i="6"/>
  <c r="I242" i="6"/>
  <c r="P242" i="6" s="1"/>
  <c r="H242" i="6"/>
  <c r="G242" i="6"/>
  <c r="F242" i="6"/>
  <c r="E242" i="6"/>
  <c r="D242" i="6"/>
  <c r="C242" i="6"/>
  <c r="B242" i="6"/>
  <c r="U241" i="6"/>
  <c r="Q241" i="6"/>
  <c r="N241" i="6"/>
  <c r="M241" i="6"/>
  <c r="L241" i="6"/>
  <c r="K241" i="6"/>
  <c r="J241" i="6"/>
  <c r="I241" i="6"/>
  <c r="P241" i="6" s="1"/>
  <c r="H241" i="6"/>
  <c r="G241" i="6"/>
  <c r="F241" i="6"/>
  <c r="E241" i="6"/>
  <c r="D241" i="6"/>
  <c r="C241" i="6"/>
  <c r="B241" i="6"/>
  <c r="U240" i="6"/>
  <c r="Q240" i="6"/>
  <c r="N240" i="6"/>
  <c r="M240" i="6"/>
  <c r="L240" i="6"/>
  <c r="K240" i="6"/>
  <c r="J240" i="6"/>
  <c r="I240" i="6"/>
  <c r="P240" i="6" s="1"/>
  <c r="H240" i="6"/>
  <c r="G240" i="6"/>
  <c r="F240" i="6"/>
  <c r="E240" i="6"/>
  <c r="D240" i="6"/>
  <c r="C240" i="6"/>
  <c r="B240" i="6"/>
  <c r="U239" i="6"/>
  <c r="Q239" i="6"/>
  <c r="N239" i="6"/>
  <c r="M239" i="6"/>
  <c r="L239" i="6"/>
  <c r="K239" i="6"/>
  <c r="J239" i="6"/>
  <c r="I239" i="6"/>
  <c r="P239" i="6" s="1"/>
  <c r="H239" i="6"/>
  <c r="G239" i="6"/>
  <c r="F239" i="6"/>
  <c r="D239" i="6"/>
  <c r="C239" i="6"/>
  <c r="B239" i="6"/>
  <c r="E239" i="6" s="1"/>
  <c r="U238" i="6"/>
  <c r="Q238" i="6"/>
  <c r="N238" i="6"/>
  <c r="M238" i="6"/>
  <c r="L238" i="6"/>
  <c r="K238" i="6"/>
  <c r="J238" i="6"/>
  <c r="I238" i="6"/>
  <c r="P238" i="6" s="1"/>
  <c r="H238" i="6"/>
  <c r="G238" i="6"/>
  <c r="F238" i="6"/>
  <c r="E238" i="6"/>
  <c r="D238" i="6"/>
  <c r="C238" i="6"/>
  <c r="B238" i="6"/>
  <c r="U237" i="6"/>
  <c r="Q237" i="6"/>
  <c r="N237" i="6"/>
  <c r="M237" i="6"/>
  <c r="L237" i="6"/>
  <c r="K237" i="6"/>
  <c r="J237" i="6"/>
  <c r="I237" i="6"/>
  <c r="P237" i="6" s="1"/>
  <c r="H237" i="6"/>
  <c r="G237" i="6"/>
  <c r="F237" i="6"/>
  <c r="E237" i="6"/>
  <c r="D237" i="6"/>
  <c r="C237" i="6"/>
  <c r="B237" i="6"/>
  <c r="U236" i="6"/>
  <c r="Q236" i="6"/>
  <c r="N236" i="6"/>
  <c r="M236" i="6"/>
  <c r="L236" i="6"/>
  <c r="K236" i="6"/>
  <c r="J236" i="6"/>
  <c r="I236" i="6"/>
  <c r="P236" i="6" s="1"/>
  <c r="H236" i="6"/>
  <c r="G236" i="6"/>
  <c r="F236" i="6"/>
  <c r="E236" i="6"/>
  <c r="D236" i="6"/>
  <c r="C236" i="6"/>
  <c r="B236" i="6"/>
  <c r="U235" i="6"/>
  <c r="Q235" i="6"/>
  <c r="N235" i="6"/>
  <c r="M235" i="6"/>
  <c r="L235" i="6"/>
  <c r="K235" i="6"/>
  <c r="J235" i="6"/>
  <c r="I235" i="6"/>
  <c r="P235" i="6" s="1"/>
  <c r="H235" i="6"/>
  <c r="G235" i="6"/>
  <c r="F235" i="6"/>
  <c r="D235" i="6"/>
  <c r="C235" i="6"/>
  <c r="B235" i="6"/>
  <c r="E235" i="6" s="1"/>
  <c r="U234" i="6"/>
  <c r="Q234" i="6"/>
  <c r="N234" i="6"/>
  <c r="M234" i="6"/>
  <c r="L234" i="6"/>
  <c r="K234" i="6"/>
  <c r="J234" i="6"/>
  <c r="I234" i="6"/>
  <c r="P234" i="6" s="1"/>
  <c r="H234" i="6"/>
  <c r="G234" i="6"/>
  <c r="F234" i="6"/>
  <c r="E234" i="6"/>
  <c r="D234" i="6"/>
  <c r="C234" i="6"/>
  <c r="B234" i="6"/>
  <c r="U233" i="6"/>
  <c r="Q233" i="6"/>
  <c r="N233" i="6"/>
  <c r="M233" i="6"/>
  <c r="L233" i="6"/>
  <c r="K233" i="6"/>
  <c r="J233" i="6"/>
  <c r="I233" i="6"/>
  <c r="P233" i="6" s="1"/>
  <c r="H233" i="6"/>
  <c r="G233" i="6"/>
  <c r="F233" i="6"/>
  <c r="E233" i="6"/>
  <c r="D233" i="6"/>
  <c r="C233" i="6"/>
  <c r="B233" i="6"/>
  <c r="U232" i="6"/>
  <c r="Q232" i="6"/>
  <c r="N232" i="6"/>
  <c r="M232" i="6"/>
  <c r="L232" i="6"/>
  <c r="K232" i="6"/>
  <c r="J232" i="6"/>
  <c r="I232" i="6"/>
  <c r="P232" i="6" s="1"/>
  <c r="H232" i="6"/>
  <c r="G232" i="6"/>
  <c r="F232" i="6"/>
  <c r="E232" i="6"/>
  <c r="D232" i="6"/>
  <c r="C232" i="6"/>
  <c r="B232" i="6"/>
  <c r="U231" i="6"/>
  <c r="Q231" i="6"/>
  <c r="N231" i="6"/>
  <c r="M231" i="6"/>
  <c r="L231" i="6"/>
  <c r="K231" i="6"/>
  <c r="J231" i="6"/>
  <c r="I231" i="6"/>
  <c r="P231" i="6" s="1"/>
  <c r="H231" i="6"/>
  <c r="G231" i="6"/>
  <c r="F231" i="6"/>
  <c r="D231" i="6"/>
  <c r="C231" i="6"/>
  <c r="B231" i="6"/>
  <c r="E231" i="6" s="1"/>
  <c r="U230" i="6"/>
  <c r="Q230" i="6"/>
  <c r="N230" i="6"/>
  <c r="M230" i="6"/>
  <c r="L230" i="6"/>
  <c r="K230" i="6"/>
  <c r="J230" i="6"/>
  <c r="I230" i="6"/>
  <c r="P230" i="6" s="1"/>
  <c r="H230" i="6"/>
  <c r="G230" i="6"/>
  <c r="F230" i="6"/>
  <c r="E230" i="6"/>
  <c r="D230" i="6"/>
  <c r="C230" i="6"/>
  <c r="B230" i="6"/>
  <c r="U229" i="6"/>
  <c r="Q229" i="6"/>
  <c r="N229" i="6"/>
  <c r="M229" i="6"/>
  <c r="L229" i="6"/>
  <c r="K229" i="6"/>
  <c r="J229" i="6"/>
  <c r="I229" i="6"/>
  <c r="P229" i="6" s="1"/>
  <c r="H229" i="6"/>
  <c r="G229" i="6"/>
  <c r="F229" i="6"/>
  <c r="E229" i="6"/>
  <c r="D229" i="6"/>
  <c r="C229" i="6"/>
  <c r="B229" i="6"/>
  <c r="U228" i="6"/>
  <c r="Q228" i="6"/>
  <c r="N228" i="6"/>
  <c r="M228" i="6"/>
  <c r="L228" i="6"/>
  <c r="K228" i="6"/>
  <c r="J228" i="6"/>
  <c r="I228" i="6"/>
  <c r="P228" i="6" s="1"/>
  <c r="H228" i="6"/>
  <c r="G228" i="6"/>
  <c r="F228" i="6"/>
  <c r="E228" i="6"/>
  <c r="D228" i="6"/>
  <c r="C228" i="6"/>
  <c r="B228" i="6"/>
  <c r="U227" i="6"/>
  <c r="Q227" i="6"/>
  <c r="N227" i="6"/>
  <c r="M227" i="6"/>
  <c r="L227" i="6"/>
  <c r="K227" i="6"/>
  <c r="J227" i="6"/>
  <c r="I227" i="6"/>
  <c r="P227" i="6" s="1"/>
  <c r="H227" i="6"/>
  <c r="G227" i="6"/>
  <c r="F227" i="6"/>
  <c r="D227" i="6"/>
  <c r="C227" i="6"/>
  <c r="B227" i="6"/>
  <c r="E227" i="6" s="1"/>
  <c r="U226" i="6"/>
  <c r="Q226" i="6"/>
  <c r="N226" i="6"/>
  <c r="M226" i="6"/>
  <c r="L226" i="6"/>
  <c r="K226" i="6"/>
  <c r="J226" i="6"/>
  <c r="I226" i="6"/>
  <c r="P226" i="6" s="1"/>
  <c r="H226" i="6"/>
  <c r="G226" i="6"/>
  <c r="F226" i="6"/>
  <c r="E226" i="6"/>
  <c r="D226" i="6"/>
  <c r="C226" i="6"/>
  <c r="B226" i="6"/>
  <c r="U225" i="6"/>
  <c r="Q225" i="6"/>
  <c r="N225" i="6"/>
  <c r="M225" i="6"/>
  <c r="L225" i="6"/>
  <c r="K225" i="6"/>
  <c r="J225" i="6"/>
  <c r="I225" i="6"/>
  <c r="P225" i="6" s="1"/>
  <c r="H225" i="6"/>
  <c r="G225" i="6"/>
  <c r="F225" i="6"/>
  <c r="E225" i="6"/>
  <c r="D225" i="6"/>
  <c r="C225" i="6"/>
  <c r="B225" i="6"/>
  <c r="U224" i="6"/>
  <c r="Q224" i="6"/>
  <c r="N224" i="6"/>
  <c r="M224" i="6"/>
  <c r="L224" i="6"/>
  <c r="K224" i="6"/>
  <c r="J224" i="6"/>
  <c r="I224" i="6"/>
  <c r="P224" i="6" s="1"/>
  <c r="H224" i="6"/>
  <c r="G224" i="6"/>
  <c r="F224" i="6"/>
  <c r="E224" i="6"/>
  <c r="D224" i="6"/>
  <c r="C224" i="6"/>
  <c r="B224" i="6"/>
  <c r="U223" i="6"/>
  <c r="Q223" i="6"/>
  <c r="N223" i="6"/>
  <c r="M223" i="6"/>
  <c r="L223" i="6"/>
  <c r="K223" i="6"/>
  <c r="J223" i="6"/>
  <c r="I223" i="6"/>
  <c r="P223" i="6" s="1"/>
  <c r="H223" i="6"/>
  <c r="G223" i="6"/>
  <c r="F223" i="6"/>
  <c r="D223" i="6"/>
  <c r="C223" i="6"/>
  <c r="B223" i="6"/>
  <c r="E223" i="6" s="1"/>
  <c r="U222" i="6"/>
  <c r="Q222" i="6"/>
  <c r="N222" i="6"/>
  <c r="M222" i="6"/>
  <c r="L222" i="6"/>
  <c r="K222" i="6"/>
  <c r="J222" i="6"/>
  <c r="I222" i="6"/>
  <c r="P222" i="6" s="1"/>
  <c r="H222" i="6"/>
  <c r="G222" i="6"/>
  <c r="F222" i="6"/>
  <c r="D222" i="6"/>
  <c r="C222" i="6"/>
  <c r="B222" i="6"/>
  <c r="E222" i="6" s="1"/>
  <c r="U221" i="6"/>
  <c r="Q221" i="6"/>
  <c r="N221" i="6"/>
  <c r="M221" i="6"/>
  <c r="L221" i="6"/>
  <c r="K221" i="6"/>
  <c r="J221" i="6"/>
  <c r="I221" i="6"/>
  <c r="P221" i="6" s="1"/>
  <c r="H221" i="6"/>
  <c r="G221" i="6"/>
  <c r="F221" i="6"/>
  <c r="D221" i="6"/>
  <c r="C221" i="6"/>
  <c r="B221" i="6"/>
  <c r="E221" i="6" s="1"/>
  <c r="U220" i="6"/>
  <c r="Q220" i="6"/>
  <c r="N220" i="6"/>
  <c r="M220" i="6"/>
  <c r="L220" i="6"/>
  <c r="K220" i="6"/>
  <c r="J220" i="6"/>
  <c r="I220" i="6"/>
  <c r="P220" i="6" s="1"/>
  <c r="H220" i="6"/>
  <c r="G220" i="6"/>
  <c r="F220" i="6"/>
  <c r="D220" i="6"/>
  <c r="C220" i="6"/>
  <c r="B220" i="6"/>
  <c r="E220" i="6" s="1"/>
  <c r="U219" i="6"/>
  <c r="Q219" i="6"/>
  <c r="N219" i="6"/>
  <c r="M219" i="6"/>
  <c r="L219" i="6"/>
  <c r="K219" i="6"/>
  <c r="J219" i="6"/>
  <c r="I219" i="6"/>
  <c r="P219" i="6" s="1"/>
  <c r="H219" i="6"/>
  <c r="G219" i="6"/>
  <c r="F219" i="6"/>
  <c r="D219" i="6"/>
  <c r="C219" i="6"/>
  <c r="B219" i="6"/>
  <c r="E219" i="6" s="1"/>
  <c r="U218" i="6"/>
  <c r="Q218" i="6"/>
  <c r="N218" i="6"/>
  <c r="M218" i="6"/>
  <c r="L218" i="6"/>
  <c r="K218" i="6"/>
  <c r="J218" i="6"/>
  <c r="I218" i="6"/>
  <c r="P218" i="6" s="1"/>
  <c r="H218" i="6"/>
  <c r="G218" i="6"/>
  <c r="F218" i="6"/>
  <c r="D218" i="6"/>
  <c r="C218" i="6"/>
  <c r="B218" i="6"/>
  <c r="E218" i="6" s="1"/>
  <c r="U217" i="6"/>
  <c r="Q217" i="6"/>
  <c r="P217" i="6"/>
  <c r="N217" i="6"/>
  <c r="M217" i="6"/>
  <c r="L217" i="6"/>
  <c r="K217" i="6"/>
  <c r="J217" i="6"/>
  <c r="I217" i="6"/>
  <c r="H217" i="6"/>
  <c r="G217" i="6"/>
  <c r="F217" i="6"/>
  <c r="D217" i="6"/>
  <c r="C217" i="6"/>
  <c r="B217" i="6"/>
  <c r="E217" i="6" s="1"/>
  <c r="U216" i="6"/>
  <c r="Q216" i="6"/>
  <c r="P216" i="6"/>
  <c r="N216" i="6"/>
  <c r="M216" i="6"/>
  <c r="L216" i="6"/>
  <c r="K216" i="6"/>
  <c r="J216" i="6"/>
  <c r="I216" i="6"/>
  <c r="H216" i="6"/>
  <c r="G216" i="6"/>
  <c r="F216" i="6"/>
  <c r="D216" i="6"/>
  <c r="C216" i="6"/>
  <c r="B216" i="6"/>
  <c r="E216" i="6" s="1"/>
  <c r="U215" i="6"/>
  <c r="Q215" i="6"/>
  <c r="P215" i="6"/>
  <c r="N215" i="6"/>
  <c r="M215" i="6"/>
  <c r="L215" i="6"/>
  <c r="K215" i="6"/>
  <c r="J215" i="6"/>
  <c r="I215" i="6"/>
  <c r="H215" i="6"/>
  <c r="G215" i="6"/>
  <c r="F215" i="6"/>
  <c r="D215" i="6"/>
  <c r="C215" i="6"/>
  <c r="B215" i="6"/>
  <c r="E215" i="6" s="1"/>
  <c r="U214" i="6"/>
  <c r="Q214" i="6"/>
  <c r="P214" i="6"/>
  <c r="N214" i="6"/>
  <c r="M214" i="6"/>
  <c r="L214" i="6"/>
  <c r="K214" i="6"/>
  <c r="J214" i="6"/>
  <c r="I214" i="6"/>
  <c r="H214" i="6"/>
  <c r="G214" i="6"/>
  <c r="F214" i="6"/>
  <c r="D214" i="6"/>
  <c r="C214" i="6"/>
  <c r="B214" i="6"/>
  <c r="E214" i="6" s="1"/>
  <c r="U213" i="6"/>
  <c r="Q213" i="6"/>
  <c r="P213" i="6"/>
  <c r="N213" i="6"/>
  <c r="M213" i="6"/>
  <c r="L213" i="6"/>
  <c r="K213" i="6"/>
  <c r="J213" i="6"/>
  <c r="I213" i="6"/>
  <c r="H213" i="6"/>
  <c r="G213" i="6"/>
  <c r="F213" i="6"/>
  <c r="D213" i="6"/>
  <c r="C213" i="6"/>
  <c r="B213" i="6"/>
  <c r="E213" i="6" s="1"/>
  <c r="U212" i="6"/>
  <c r="Q212" i="6"/>
  <c r="P212" i="6"/>
  <c r="N212" i="6"/>
  <c r="M212" i="6"/>
  <c r="L212" i="6"/>
  <c r="K212" i="6"/>
  <c r="J212" i="6"/>
  <c r="I212" i="6"/>
  <c r="H212" i="6"/>
  <c r="G212" i="6"/>
  <c r="F212" i="6"/>
  <c r="D212" i="6"/>
  <c r="C212" i="6"/>
  <c r="B212" i="6"/>
  <c r="E212" i="6" s="1"/>
  <c r="U211" i="6"/>
  <c r="Q211" i="6"/>
  <c r="P211" i="6"/>
  <c r="N211" i="6"/>
  <c r="M211" i="6"/>
  <c r="L211" i="6"/>
  <c r="K211" i="6"/>
  <c r="J211" i="6"/>
  <c r="I211" i="6"/>
  <c r="H211" i="6"/>
  <c r="G211" i="6"/>
  <c r="F211" i="6"/>
  <c r="D211" i="6"/>
  <c r="C211" i="6"/>
  <c r="B211" i="6"/>
  <c r="E211" i="6" s="1"/>
  <c r="U210" i="6"/>
  <c r="Q210" i="6"/>
  <c r="P210" i="6"/>
  <c r="N210" i="6"/>
  <c r="M210" i="6"/>
  <c r="L210" i="6"/>
  <c r="K210" i="6"/>
  <c r="J210" i="6"/>
  <c r="I210" i="6"/>
  <c r="H210" i="6"/>
  <c r="G210" i="6"/>
  <c r="F210" i="6"/>
  <c r="D210" i="6"/>
  <c r="C210" i="6"/>
  <c r="B210" i="6"/>
  <c r="E210" i="6" s="1"/>
  <c r="U209" i="6"/>
  <c r="Q209" i="6"/>
  <c r="P209" i="6"/>
  <c r="N209" i="6"/>
  <c r="M209" i="6"/>
  <c r="L209" i="6"/>
  <c r="K209" i="6"/>
  <c r="J209" i="6"/>
  <c r="I209" i="6"/>
  <c r="H209" i="6"/>
  <c r="G209" i="6"/>
  <c r="F209" i="6"/>
  <c r="D209" i="6"/>
  <c r="C209" i="6"/>
  <c r="B209" i="6"/>
  <c r="E209" i="6" s="1"/>
  <c r="U208" i="6"/>
  <c r="Q208" i="6"/>
  <c r="P208" i="6"/>
  <c r="N208" i="6"/>
  <c r="M208" i="6"/>
  <c r="L208" i="6"/>
  <c r="K208" i="6"/>
  <c r="J208" i="6"/>
  <c r="I208" i="6"/>
  <c r="H208" i="6"/>
  <c r="G208" i="6"/>
  <c r="F208" i="6"/>
  <c r="D208" i="6"/>
  <c r="C208" i="6"/>
  <c r="B208" i="6"/>
  <c r="E208" i="6" s="1"/>
  <c r="U207" i="6"/>
  <c r="Q207" i="6"/>
  <c r="P207" i="6"/>
  <c r="N207" i="6"/>
  <c r="M207" i="6"/>
  <c r="L207" i="6"/>
  <c r="K207" i="6"/>
  <c r="J207" i="6"/>
  <c r="I207" i="6"/>
  <c r="H207" i="6"/>
  <c r="G207" i="6"/>
  <c r="F207" i="6"/>
  <c r="D207" i="6"/>
  <c r="C207" i="6"/>
  <c r="B207" i="6"/>
  <c r="E207" i="6" s="1"/>
  <c r="U206" i="6"/>
  <c r="Q206" i="6"/>
  <c r="P206" i="6"/>
  <c r="N206" i="6"/>
  <c r="M206" i="6"/>
  <c r="L206" i="6"/>
  <c r="K206" i="6"/>
  <c r="J206" i="6"/>
  <c r="I206" i="6"/>
  <c r="H206" i="6"/>
  <c r="G206" i="6"/>
  <c r="F206" i="6"/>
  <c r="D206" i="6"/>
  <c r="C206" i="6"/>
  <c r="B206" i="6"/>
  <c r="E206" i="6" s="1"/>
  <c r="U205" i="6"/>
  <c r="Q205" i="6"/>
  <c r="P205" i="6"/>
  <c r="N205" i="6"/>
  <c r="M205" i="6"/>
  <c r="L205" i="6"/>
  <c r="K205" i="6"/>
  <c r="J205" i="6"/>
  <c r="I205" i="6"/>
  <c r="H205" i="6"/>
  <c r="G205" i="6"/>
  <c r="F205" i="6"/>
  <c r="D205" i="6"/>
  <c r="C205" i="6"/>
  <c r="B205" i="6"/>
  <c r="E205" i="6" s="1"/>
  <c r="U204" i="6"/>
  <c r="Q204" i="6"/>
  <c r="P204" i="6"/>
  <c r="N204" i="6"/>
  <c r="M204" i="6"/>
  <c r="L204" i="6"/>
  <c r="K204" i="6"/>
  <c r="J204" i="6"/>
  <c r="I204" i="6"/>
  <c r="H204" i="6"/>
  <c r="G204" i="6"/>
  <c r="F204" i="6"/>
  <c r="D204" i="6"/>
  <c r="C204" i="6"/>
  <c r="B204" i="6"/>
  <c r="E204" i="6" s="1"/>
  <c r="U203" i="6"/>
  <c r="Q203" i="6"/>
  <c r="P203" i="6"/>
  <c r="N203" i="6"/>
  <c r="M203" i="6"/>
  <c r="L203" i="6"/>
  <c r="K203" i="6"/>
  <c r="J203" i="6"/>
  <c r="I203" i="6"/>
  <c r="H203" i="6"/>
  <c r="G203" i="6"/>
  <c r="F203" i="6"/>
  <c r="D203" i="6"/>
  <c r="C203" i="6"/>
  <c r="B203" i="6"/>
  <c r="E203" i="6" s="1"/>
  <c r="U202" i="6"/>
  <c r="Q202" i="6"/>
  <c r="P202" i="6"/>
  <c r="N202" i="6"/>
  <c r="M202" i="6"/>
  <c r="L202" i="6"/>
  <c r="K202" i="6"/>
  <c r="J202" i="6"/>
  <c r="I202" i="6"/>
  <c r="H202" i="6"/>
  <c r="G202" i="6"/>
  <c r="F202" i="6"/>
  <c r="D202" i="6"/>
  <c r="C202" i="6"/>
  <c r="B202" i="6"/>
  <c r="E202" i="6" s="1"/>
  <c r="U201" i="6"/>
  <c r="Q201" i="6"/>
  <c r="P201" i="6"/>
  <c r="N201" i="6"/>
  <c r="M201" i="6"/>
  <c r="L201" i="6"/>
  <c r="K201" i="6"/>
  <c r="J201" i="6"/>
  <c r="I201" i="6"/>
  <c r="H201" i="6"/>
  <c r="G201" i="6"/>
  <c r="F201" i="6"/>
  <c r="D201" i="6"/>
  <c r="C201" i="6"/>
  <c r="B201" i="6"/>
  <c r="E201" i="6" s="1"/>
  <c r="U200" i="6"/>
  <c r="Q200" i="6"/>
  <c r="P200" i="6"/>
  <c r="N200" i="6"/>
  <c r="M200" i="6"/>
  <c r="L200" i="6"/>
  <c r="K200" i="6"/>
  <c r="J200" i="6"/>
  <c r="I200" i="6"/>
  <c r="H200" i="6"/>
  <c r="G200" i="6"/>
  <c r="F200" i="6"/>
  <c r="D200" i="6"/>
  <c r="C200" i="6"/>
  <c r="B200" i="6"/>
  <c r="E200" i="6" s="1"/>
  <c r="U199" i="6"/>
  <c r="Q199" i="6"/>
  <c r="P199" i="6"/>
  <c r="N199" i="6"/>
  <c r="M199" i="6"/>
  <c r="L199" i="6"/>
  <c r="K199" i="6"/>
  <c r="J199" i="6"/>
  <c r="I199" i="6"/>
  <c r="H199" i="6"/>
  <c r="G199" i="6"/>
  <c r="F199" i="6"/>
  <c r="D199" i="6"/>
  <c r="C199" i="6"/>
  <c r="B199" i="6"/>
  <c r="E199" i="6" s="1"/>
  <c r="Q198" i="6"/>
  <c r="P198" i="6"/>
  <c r="N198" i="6"/>
  <c r="M198" i="6"/>
  <c r="L198" i="6"/>
  <c r="K198" i="6"/>
  <c r="J198" i="6"/>
  <c r="I198" i="6"/>
  <c r="H198" i="6"/>
  <c r="G198" i="6"/>
  <c r="F198" i="6"/>
  <c r="D198" i="6"/>
  <c r="U198" i="6" s="1"/>
  <c r="C198" i="6"/>
  <c r="B198" i="6"/>
  <c r="E198" i="6" s="1"/>
  <c r="Q197" i="6"/>
  <c r="P197" i="6"/>
  <c r="N197" i="6"/>
  <c r="M197" i="6"/>
  <c r="L197" i="6"/>
  <c r="K197" i="6"/>
  <c r="J197" i="6"/>
  <c r="I197" i="6"/>
  <c r="H197" i="6"/>
  <c r="G197" i="6"/>
  <c r="F197" i="6"/>
  <c r="D197" i="6"/>
  <c r="U197" i="6" s="1"/>
  <c r="C197" i="6"/>
  <c r="B197" i="6"/>
  <c r="E197" i="6" s="1"/>
  <c r="Q196" i="6"/>
  <c r="P196" i="6"/>
  <c r="N196" i="6"/>
  <c r="M196" i="6"/>
  <c r="L196" i="6"/>
  <c r="K196" i="6"/>
  <c r="J196" i="6"/>
  <c r="I196" i="6"/>
  <c r="H196" i="6"/>
  <c r="G196" i="6"/>
  <c r="F196" i="6"/>
  <c r="D196" i="6"/>
  <c r="U196" i="6" s="1"/>
  <c r="C196" i="6"/>
  <c r="B196" i="6"/>
  <c r="E196" i="6" s="1"/>
  <c r="Q195" i="6"/>
  <c r="P195" i="6"/>
  <c r="N195" i="6"/>
  <c r="M195" i="6"/>
  <c r="L195" i="6"/>
  <c r="K195" i="6"/>
  <c r="J195" i="6"/>
  <c r="I195" i="6"/>
  <c r="H195" i="6"/>
  <c r="G195" i="6"/>
  <c r="F195" i="6"/>
  <c r="D195" i="6"/>
  <c r="U195" i="6" s="1"/>
  <c r="C195" i="6"/>
  <c r="B195" i="6"/>
  <c r="E195" i="6" s="1"/>
  <c r="Q194" i="6"/>
  <c r="P194" i="6"/>
  <c r="N194" i="6"/>
  <c r="M194" i="6"/>
  <c r="L194" i="6"/>
  <c r="K194" i="6"/>
  <c r="J194" i="6"/>
  <c r="I194" i="6"/>
  <c r="H194" i="6"/>
  <c r="G194" i="6"/>
  <c r="F194" i="6"/>
  <c r="D194" i="6"/>
  <c r="U194" i="6" s="1"/>
  <c r="C194" i="6"/>
  <c r="B194" i="6"/>
  <c r="E194" i="6" s="1"/>
  <c r="Q193" i="6"/>
  <c r="P193" i="6"/>
  <c r="N193" i="6"/>
  <c r="M193" i="6"/>
  <c r="L193" i="6"/>
  <c r="K193" i="6"/>
  <c r="J193" i="6"/>
  <c r="I193" i="6"/>
  <c r="H193" i="6"/>
  <c r="G193" i="6"/>
  <c r="F193" i="6"/>
  <c r="D193" i="6"/>
  <c r="U193" i="6" s="1"/>
  <c r="C193" i="6"/>
  <c r="B193" i="6"/>
  <c r="E193" i="6" s="1"/>
  <c r="Q192" i="6"/>
  <c r="P192" i="6"/>
  <c r="N192" i="6"/>
  <c r="M192" i="6"/>
  <c r="L192" i="6"/>
  <c r="K192" i="6"/>
  <c r="J192" i="6"/>
  <c r="I192" i="6"/>
  <c r="H192" i="6"/>
  <c r="G192" i="6"/>
  <c r="F192" i="6"/>
  <c r="D192" i="6"/>
  <c r="U192" i="6" s="1"/>
  <c r="C192" i="6"/>
  <c r="B192" i="6"/>
  <c r="E192" i="6" s="1"/>
  <c r="Q191" i="6"/>
  <c r="P191" i="6"/>
  <c r="N191" i="6"/>
  <c r="M191" i="6"/>
  <c r="L191" i="6"/>
  <c r="K191" i="6"/>
  <c r="J191" i="6"/>
  <c r="I191" i="6"/>
  <c r="H191" i="6"/>
  <c r="G191" i="6"/>
  <c r="F191" i="6"/>
  <c r="D191" i="6"/>
  <c r="U191" i="6" s="1"/>
  <c r="C191" i="6"/>
  <c r="B191" i="6"/>
  <c r="E191" i="6" s="1"/>
  <c r="Q190" i="6"/>
  <c r="P190" i="6"/>
  <c r="N190" i="6"/>
  <c r="M190" i="6"/>
  <c r="L190" i="6"/>
  <c r="K190" i="6"/>
  <c r="J190" i="6"/>
  <c r="I190" i="6"/>
  <c r="H190" i="6"/>
  <c r="G190" i="6"/>
  <c r="F190" i="6"/>
  <c r="D190" i="6"/>
  <c r="U190" i="6" s="1"/>
  <c r="C190" i="6"/>
  <c r="B190" i="6"/>
  <c r="E190" i="6" s="1"/>
  <c r="Q189" i="6"/>
  <c r="P189" i="6"/>
  <c r="N189" i="6"/>
  <c r="M189" i="6"/>
  <c r="L189" i="6"/>
  <c r="K189" i="6"/>
  <c r="J189" i="6"/>
  <c r="I189" i="6"/>
  <c r="H189" i="6"/>
  <c r="G189" i="6"/>
  <c r="F189" i="6"/>
  <c r="D189" i="6"/>
  <c r="U189" i="6" s="1"/>
  <c r="C189" i="6"/>
  <c r="B189" i="6"/>
  <c r="E189" i="6" s="1"/>
  <c r="Q188" i="6"/>
  <c r="P188" i="6"/>
  <c r="N188" i="6"/>
  <c r="M188" i="6"/>
  <c r="L188" i="6"/>
  <c r="K188" i="6"/>
  <c r="J188" i="6"/>
  <c r="I188" i="6"/>
  <c r="H188" i="6"/>
  <c r="G188" i="6"/>
  <c r="F188" i="6"/>
  <c r="D188" i="6"/>
  <c r="U188" i="6" s="1"/>
  <c r="C188" i="6"/>
  <c r="B188" i="6"/>
  <c r="E188" i="6" s="1"/>
  <c r="Q187" i="6"/>
  <c r="P187" i="6"/>
  <c r="N187" i="6"/>
  <c r="M187" i="6"/>
  <c r="L187" i="6"/>
  <c r="K187" i="6"/>
  <c r="J187" i="6"/>
  <c r="I187" i="6"/>
  <c r="H187" i="6"/>
  <c r="G187" i="6"/>
  <c r="F187" i="6"/>
  <c r="D187" i="6"/>
  <c r="U187" i="6" s="1"/>
  <c r="C187" i="6"/>
  <c r="B187" i="6"/>
  <c r="E187" i="6" s="1"/>
  <c r="Q186" i="6"/>
  <c r="P186" i="6"/>
  <c r="N186" i="6"/>
  <c r="M186" i="6"/>
  <c r="L186" i="6"/>
  <c r="K186" i="6"/>
  <c r="J186" i="6"/>
  <c r="I186" i="6"/>
  <c r="H186" i="6"/>
  <c r="G186" i="6"/>
  <c r="F186" i="6"/>
  <c r="D186" i="6"/>
  <c r="U186" i="6" s="1"/>
  <c r="C186" i="6"/>
  <c r="B186" i="6"/>
  <c r="E186" i="6" s="1"/>
  <c r="Q185" i="6"/>
  <c r="P185" i="6"/>
  <c r="N185" i="6"/>
  <c r="M185" i="6"/>
  <c r="L185" i="6"/>
  <c r="K185" i="6"/>
  <c r="J185" i="6"/>
  <c r="I185" i="6"/>
  <c r="H185" i="6"/>
  <c r="G185" i="6"/>
  <c r="F185" i="6"/>
  <c r="D185" i="6"/>
  <c r="U185" i="6" s="1"/>
  <c r="C185" i="6"/>
  <c r="B185" i="6"/>
  <c r="E185" i="6" s="1"/>
  <c r="Q184" i="6"/>
  <c r="P184" i="6"/>
  <c r="N184" i="6"/>
  <c r="M184" i="6"/>
  <c r="L184" i="6"/>
  <c r="K184" i="6"/>
  <c r="J184" i="6"/>
  <c r="I184" i="6"/>
  <c r="H184" i="6"/>
  <c r="G184" i="6"/>
  <c r="F184" i="6"/>
  <c r="D184" i="6"/>
  <c r="U184" i="6" s="1"/>
  <c r="C184" i="6"/>
  <c r="B184" i="6"/>
  <c r="E184" i="6" s="1"/>
  <c r="Q183" i="6"/>
  <c r="P183" i="6"/>
  <c r="N183" i="6"/>
  <c r="M183" i="6"/>
  <c r="L183" i="6"/>
  <c r="K183" i="6"/>
  <c r="J183" i="6"/>
  <c r="I183" i="6"/>
  <c r="H183" i="6"/>
  <c r="G183" i="6"/>
  <c r="F183" i="6"/>
  <c r="D183" i="6"/>
  <c r="U183" i="6" s="1"/>
  <c r="C183" i="6"/>
  <c r="B183" i="6"/>
  <c r="E183" i="6" s="1"/>
  <c r="Q182" i="6"/>
  <c r="P182" i="6"/>
  <c r="N182" i="6"/>
  <c r="M182" i="6"/>
  <c r="L182" i="6"/>
  <c r="K182" i="6"/>
  <c r="J182" i="6"/>
  <c r="I182" i="6"/>
  <c r="H182" i="6"/>
  <c r="G182" i="6"/>
  <c r="F182" i="6"/>
  <c r="D182" i="6"/>
  <c r="U182" i="6" s="1"/>
  <c r="C182" i="6"/>
  <c r="B182" i="6"/>
  <c r="E182" i="6" s="1"/>
  <c r="Q181" i="6"/>
  <c r="P181" i="6"/>
  <c r="N181" i="6"/>
  <c r="M181" i="6"/>
  <c r="L181" i="6"/>
  <c r="K181" i="6"/>
  <c r="J181" i="6"/>
  <c r="I181" i="6"/>
  <c r="H181" i="6"/>
  <c r="G181" i="6"/>
  <c r="F181" i="6"/>
  <c r="D181" i="6"/>
  <c r="U181" i="6" s="1"/>
  <c r="C181" i="6"/>
  <c r="B181" i="6"/>
  <c r="E181" i="6" s="1"/>
  <c r="Q180" i="6"/>
  <c r="P180" i="6"/>
  <c r="N180" i="6"/>
  <c r="M180" i="6"/>
  <c r="L180" i="6"/>
  <c r="K180" i="6"/>
  <c r="J180" i="6"/>
  <c r="I180" i="6"/>
  <c r="H180" i="6"/>
  <c r="G180" i="6"/>
  <c r="F180" i="6"/>
  <c r="D180" i="6"/>
  <c r="U180" i="6" s="1"/>
  <c r="C180" i="6"/>
  <c r="B180" i="6"/>
  <c r="E180" i="6" s="1"/>
  <c r="Q179" i="6"/>
  <c r="P179" i="6"/>
  <c r="N179" i="6"/>
  <c r="M179" i="6"/>
  <c r="L179" i="6"/>
  <c r="K179" i="6"/>
  <c r="J179" i="6"/>
  <c r="I179" i="6"/>
  <c r="H179" i="6"/>
  <c r="G179" i="6"/>
  <c r="F179" i="6"/>
  <c r="D179" i="6"/>
  <c r="U179" i="6" s="1"/>
  <c r="C179" i="6"/>
  <c r="B179" i="6"/>
  <c r="E179" i="6" s="1"/>
  <c r="Q178" i="6"/>
  <c r="P178" i="6"/>
  <c r="N178" i="6"/>
  <c r="M178" i="6"/>
  <c r="L178" i="6"/>
  <c r="K178" i="6"/>
  <c r="J178" i="6"/>
  <c r="I178" i="6"/>
  <c r="H178" i="6"/>
  <c r="G178" i="6"/>
  <c r="F178" i="6"/>
  <c r="D178" i="6"/>
  <c r="U178" i="6" s="1"/>
  <c r="C178" i="6"/>
  <c r="B178" i="6"/>
  <c r="E178" i="6" s="1"/>
  <c r="Q177" i="6"/>
  <c r="P177" i="6"/>
  <c r="N177" i="6"/>
  <c r="M177" i="6"/>
  <c r="L177" i="6"/>
  <c r="K177" i="6"/>
  <c r="J177" i="6"/>
  <c r="I177" i="6"/>
  <c r="H177" i="6"/>
  <c r="G177" i="6"/>
  <c r="F177" i="6"/>
  <c r="D177" i="6"/>
  <c r="U177" i="6" s="1"/>
  <c r="C177" i="6"/>
  <c r="B177" i="6"/>
  <c r="E177" i="6" s="1"/>
  <c r="Q176" i="6"/>
  <c r="P176" i="6"/>
  <c r="N176" i="6"/>
  <c r="M176" i="6"/>
  <c r="L176" i="6"/>
  <c r="K176" i="6"/>
  <c r="J176" i="6"/>
  <c r="I176" i="6"/>
  <c r="H176" i="6"/>
  <c r="G176" i="6"/>
  <c r="F176" i="6"/>
  <c r="D176" i="6"/>
  <c r="U176" i="6" s="1"/>
  <c r="C176" i="6"/>
  <c r="B176" i="6"/>
  <c r="E176" i="6" s="1"/>
  <c r="Q175" i="6"/>
  <c r="P175" i="6"/>
  <c r="N175" i="6"/>
  <c r="M175" i="6"/>
  <c r="L175" i="6"/>
  <c r="K175" i="6"/>
  <c r="J175" i="6"/>
  <c r="I175" i="6"/>
  <c r="H175" i="6"/>
  <c r="G175" i="6"/>
  <c r="F175" i="6"/>
  <c r="D175" i="6"/>
  <c r="U175" i="6" s="1"/>
  <c r="C175" i="6"/>
  <c r="B175" i="6"/>
  <c r="E175" i="6" s="1"/>
  <c r="Q174" i="6"/>
  <c r="P174" i="6"/>
  <c r="N174" i="6"/>
  <c r="M174" i="6"/>
  <c r="L174" i="6"/>
  <c r="K174" i="6"/>
  <c r="J174" i="6"/>
  <c r="I174" i="6"/>
  <c r="H174" i="6"/>
  <c r="G174" i="6"/>
  <c r="F174" i="6"/>
  <c r="D174" i="6"/>
  <c r="U174" i="6" s="1"/>
  <c r="C174" i="6"/>
  <c r="B174" i="6"/>
  <c r="E174" i="6" s="1"/>
  <c r="Q173" i="6"/>
  <c r="P173" i="6"/>
  <c r="N173" i="6"/>
  <c r="M173" i="6"/>
  <c r="L173" i="6"/>
  <c r="K173" i="6"/>
  <c r="J173" i="6"/>
  <c r="I173" i="6"/>
  <c r="H173" i="6"/>
  <c r="G173" i="6"/>
  <c r="F173" i="6"/>
  <c r="D173" i="6"/>
  <c r="U173" i="6" s="1"/>
  <c r="C173" i="6"/>
  <c r="B173" i="6"/>
  <c r="E173" i="6" s="1"/>
  <c r="Q172" i="6"/>
  <c r="P172" i="6"/>
  <c r="N172" i="6"/>
  <c r="M172" i="6"/>
  <c r="L172" i="6"/>
  <c r="K172" i="6"/>
  <c r="J172" i="6"/>
  <c r="I172" i="6"/>
  <c r="H172" i="6"/>
  <c r="G172" i="6"/>
  <c r="F172" i="6"/>
  <c r="D172" i="6"/>
  <c r="U172" i="6" s="1"/>
  <c r="C172" i="6"/>
  <c r="B172" i="6"/>
  <c r="E172" i="6" s="1"/>
  <c r="Q171" i="6"/>
  <c r="P171" i="6"/>
  <c r="N171" i="6"/>
  <c r="M171" i="6"/>
  <c r="L171" i="6"/>
  <c r="K171" i="6"/>
  <c r="J171" i="6"/>
  <c r="I171" i="6"/>
  <c r="H171" i="6"/>
  <c r="G171" i="6"/>
  <c r="F171" i="6"/>
  <c r="D171" i="6"/>
  <c r="U171" i="6" s="1"/>
  <c r="C171" i="6"/>
  <c r="B171" i="6"/>
  <c r="E171" i="6" s="1"/>
  <c r="Q170" i="6"/>
  <c r="P170" i="6"/>
  <c r="N170" i="6"/>
  <c r="M170" i="6"/>
  <c r="L170" i="6"/>
  <c r="K170" i="6"/>
  <c r="J170" i="6"/>
  <c r="I170" i="6"/>
  <c r="H170" i="6"/>
  <c r="G170" i="6"/>
  <c r="F170" i="6"/>
  <c r="D170" i="6"/>
  <c r="U170" i="6" s="1"/>
  <c r="C170" i="6"/>
  <c r="B170" i="6"/>
  <c r="E170" i="6" s="1"/>
  <c r="Q169" i="6"/>
  <c r="P169" i="6"/>
  <c r="N169" i="6"/>
  <c r="M169" i="6"/>
  <c r="L169" i="6"/>
  <c r="K169" i="6"/>
  <c r="J169" i="6"/>
  <c r="I169" i="6"/>
  <c r="H169" i="6"/>
  <c r="G169" i="6"/>
  <c r="F169" i="6"/>
  <c r="D169" i="6"/>
  <c r="U169" i="6" s="1"/>
  <c r="C169" i="6"/>
  <c r="B169" i="6"/>
  <c r="E169" i="6" s="1"/>
  <c r="Q168" i="6"/>
  <c r="P168" i="6"/>
  <c r="N168" i="6"/>
  <c r="M168" i="6"/>
  <c r="L168" i="6"/>
  <c r="K168" i="6"/>
  <c r="J168" i="6"/>
  <c r="I168" i="6"/>
  <c r="H168" i="6"/>
  <c r="G168" i="6"/>
  <c r="F168" i="6"/>
  <c r="D168" i="6"/>
  <c r="U168" i="6" s="1"/>
  <c r="C168" i="6"/>
  <c r="B168" i="6"/>
  <c r="E168" i="6" s="1"/>
  <c r="Q167" i="6"/>
  <c r="P167" i="6"/>
  <c r="N167" i="6"/>
  <c r="M167" i="6"/>
  <c r="L167" i="6"/>
  <c r="K167" i="6"/>
  <c r="J167" i="6"/>
  <c r="I167" i="6"/>
  <c r="H167" i="6"/>
  <c r="G167" i="6"/>
  <c r="F167" i="6"/>
  <c r="D167" i="6"/>
  <c r="U167" i="6" s="1"/>
  <c r="C167" i="6"/>
  <c r="B167" i="6"/>
  <c r="E167" i="6" s="1"/>
  <c r="Q166" i="6"/>
  <c r="P166" i="6"/>
  <c r="N166" i="6"/>
  <c r="M166" i="6"/>
  <c r="L166" i="6"/>
  <c r="K166" i="6"/>
  <c r="J166" i="6"/>
  <c r="I166" i="6"/>
  <c r="H166" i="6"/>
  <c r="G166" i="6"/>
  <c r="F166" i="6"/>
  <c r="D166" i="6"/>
  <c r="U166" i="6" s="1"/>
  <c r="C166" i="6"/>
  <c r="B166" i="6"/>
  <c r="E166" i="6" s="1"/>
  <c r="Q165" i="6"/>
  <c r="P165" i="6"/>
  <c r="N165" i="6"/>
  <c r="M165" i="6"/>
  <c r="L165" i="6"/>
  <c r="K165" i="6"/>
  <c r="J165" i="6"/>
  <c r="I165" i="6"/>
  <c r="H165" i="6"/>
  <c r="G165" i="6"/>
  <c r="F165" i="6"/>
  <c r="D165" i="6"/>
  <c r="U165" i="6" s="1"/>
  <c r="C165" i="6"/>
  <c r="B165" i="6"/>
  <c r="E165" i="6" s="1"/>
  <c r="Q164" i="6"/>
  <c r="P164" i="6"/>
  <c r="N164" i="6"/>
  <c r="M164" i="6"/>
  <c r="L164" i="6"/>
  <c r="K164" i="6"/>
  <c r="J164" i="6"/>
  <c r="I164" i="6"/>
  <c r="H164" i="6"/>
  <c r="G164" i="6"/>
  <c r="F164" i="6"/>
  <c r="D164" i="6"/>
  <c r="U164" i="6" s="1"/>
  <c r="C164" i="6"/>
  <c r="B164" i="6"/>
  <c r="E164" i="6" s="1"/>
  <c r="Q163" i="6"/>
  <c r="P163" i="6"/>
  <c r="N163" i="6"/>
  <c r="M163" i="6"/>
  <c r="L163" i="6"/>
  <c r="K163" i="6"/>
  <c r="J163" i="6"/>
  <c r="I163" i="6"/>
  <c r="H163" i="6"/>
  <c r="G163" i="6"/>
  <c r="F163" i="6"/>
  <c r="D163" i="6"/>
  <c r="U163" i="6" s="1"/>
  <c r="C163" i="6"/>
  <c r="B163" i="6"/>
  <c r="E163" i="6" s="1"/>
  <c r="Q162" i="6"/>
  <c r="P162" i="6"/>
  <c r="N162" i="6"/>
  <c r="M162" i="6"/>
  <c r="L162" i="6"/>
  <c r="K162" i="6"/>
  <c r="J162" i="6"/>
  <c r="I162" i="6"/>
  <c r="H162" i="6"/>
  <c r="G162" i="6"/>
  <c r="F162" i="6"/>
  <c r="D162" i="6"/>
  <c r="U162" i="6" s="1"/>
  <c r="C162" i="6"/>
  <c r="B162" i="6"/>
  <c r="E162" i="6" s="1"/>
  <c r="Q161" i="6"/>
  <c r="P161" i="6"/>
  <c r="N161" i="6"/>
  <c r="M161" i="6"/>
  <c r="L161" i="6"/>
  <c r="K161" i="6"/>
  <c r="J161" i="6"/>
  <c r="I161" i="6"/>
  <c r="H161" i="6"/>
  <c r="G161" i="6"/>
  <c r="F161" i="6"/>
  <c r="D161" i="6"/>
  <c r="U161" i="6" s="1"/>
  <c r="C161" i="6"/>
  <c r="B161" i="6"/>
  <c r="E161" i="6" s="1"/>
  <c r="Q160" i="6"/>
  <c r="P160" i="6"/>
  <c r="N160" i="6"/>
  <c r="M160" i="6"/>
  <c r="L160" i="6"/>
  <c r="K160" i="6"/>
  <c r="J160" i="6"/>
  <c r="I160" i="6"/>
  <c r="H160" i="6"/>
  <c r="G160" i="6"/>
  <c r="F160" i="6"/>
  <c r="D160" i="6"/>
  <c r="U160" i="6" s="1"/>
  <c r="C160" i="6"/>
  <c r="B160" i="6"/>
  <c r="E160" i="6" s="1"/>
  <c r="Q159" i="6"/>
  <c r="P159" i="6"/>
  <c r="N159" i="6"/>
  <c r="M159" i="6"/>
  <c r="L159" i="6"/>
  <c r="K159" i="6"/>
  <c r="J159" i="6"/>
  <c r="I159" i="6"/>
  <c r="H159" i="6"/>
  <c r="G159" i="6"/>
  <c r="F159" i="6"/>
  <c r="D159" i="6"/>
  <c r="U159" i="6" s="1"/>
  <c r="C159" i="6"/>
  <c r="B159" i="6"/>
  <c r="E159" i="6" s="1"/>
  <c r="Q158" i="6"/>
  <c r="P158" i="6"/>
  <c r="N158" i="6"/>
  <c r="M158" i="6"/>
  <c r="L158" i="6"/>
  <c r="K158" i="6"/>
  <c r="J158" i="6"/>
  <c r="I158" i="6"/>
  <c r="H158" i="6"/>
  <c r="G158" i="6"/>
  <c r="F158" i="6"/>
  <c r="D158" i="6"/>
  <c r="U158" i="6" s="1"/>
  <c r="C158" i="6"/>
  <c r="B158" i="6"/>
  <c r="E158" i="6" s="1"/>
  <c r="Q157" i="6"/>
  <c r="P157" i="6"/>
  <c r="N157" i="6"/>
  <c r="M157" i="6"/>
  <c r="L157" i="6"/>
  <c r="K157" i="6"/>
  <c r="J157" i="6"/>
  <c r="I157" i="6"/>
  <c r="H157" i="6"/>
  <c r="G157" i="6"/>
  <c r="F157" i="6"/>
  <c r="D157" i="6"/>
  <c r="U157" i="6" s="1"/>
  <c r="C157" i="6"/>
  <c r="B157" i="6"/>
  <c r="E157" i="6" s="1"/>
  <c r="Q156" i="6"/>
  <c r="P156" i="6"/>
  <c r="N156" i="6"/>
  <c r="M156" i="6"/>
  <c r="L156" i="6"/>
  <c r="K156" i="6"/>
  <c r="J156" i="6"/>
  <c r="I156" i="6"/>
  <c r="H156" i="6"/>
  <c r="G156" i="6"/>
  <c r="F156" i="6"/>
  <c r="D156" i="6"/>
  <c r="U156" i="6" s="1"/>
  <c r="C156" i="6"/>
  <c r="B156" i="6"/>
  <c r="E156" i="6" s="1"/>
  <c r="Q155" i="6"/>
  <c r="P155" i="6"/>
  <c r="N155" i="6"/>
  <c r="M155" i="6"/>
  <c r="L155" i="6"/>
  <c r="K155" i="6"/>
  <c r="J155" i="6"/>
  <c r="I155" i="6"/>
  <c r="H155" i="6"/>
  <c r="G155" i="6"/>
  <c r="F155" i="6"/>
  <c r="D155" i="6"/>
  <c r="U155" i="6" s="1"/>
  <c r="C155" i="6"/>
  <c r="B155" i="6"/>
  <c r="E155" i="6" s="1"/>
  <c r="Q154" i="6"/>
  <c r="P154" i="6"/>
  <c r="N154" i="6"/>
  <c r="M154" i="6"/>
  <c r="L154" i="6"/>
  <c r="K154" i="6"/>
  <c r="J154" i="6"/>
  <c r="I154" i="6"/>
  <c r="H154" i="6"/>
  <c r="G154" i="6"/>
  <c r="F154" i="6"/>
  <c r="D154" i="6"/>
  <c r="U154" i="6" s="1"/>
  <c r="C154" i="6"/>
  <c r="B154" i="6"/>
  <c r="E154" i="6" s="1"/>
  <c r="Q153" i="6"/>
  <c r="P153" i="6"/>
  <c r="N153" i="6"/>
  <c r="M153" i="6"/>
  <c r="L153" i="6"/>
  <c r="K153" i="6"/>
  <c r="J153" i="6"/>
  <c r="I153" i="6"/>
  <c r="H153" i="6"/>
  <c r="G153" i="6"/>
  <c r="F153" i="6"/>
  <c r="D153" i="6"/>
  <c r="U153" i="6" s="1"/>
  <c r="C153" i="6"/>
  <c r="B153" i="6"/>
  <c r="E153" i="6" s="1"/>
  <c r="Q152" i="6"/>
  <c r="P152" i="6"/>
  <c r="N152" i="6"/>
  <c r="M152" i="6"/>
  <c r="L152" i="6"/>
  <c r="K152" i="6"/>
  <c r="J152" i="6"/>
  <c r="I152" i="6"/>
  <c r="H152" i="6"/>
  <c r="G152" i="6"/>
  <c r="F152" i="6"/>
  <c r="D152" i="6"/>
  <c r="U152" i="6" s="1"/>
  <c r="C152" i="6"/>
  <c r="B152" i="6"/>
  <c r="E152" i="6" s="1"/>
  <c r="Q151" i="6"/>
  <c r="P151" i="6"/>
  <c r="N151" i="6"/>
  <c r="M151" i="6"/>
  <c r="L151" i="6"/>
  <c r="K151" i="6"/>
  <c r="J151" i="6"/>
  <c r="I151" i="6"/>
  <c r="H151" i="6"/>
  <c r="G151" i="6"/>
  <c r="F151" i="6"/>
  <c r="D151" i="6"/>
  <c r="U151" i="6" s="1"/>
  <c r="C151" i="6"/>
  <c r="B151" i="6"/>
  <c r="E151" i="6" s="1"/>
  <c r="Q150" i="6"/>
  <c r="P150" i="6"/>
  <c r="N150" i="6"/>
  <c r="M150" i="6"/>
  <c r="L150" i="6"/>
  <c r="K150" i="6"/>
  <c r="J150" i="6"/>
  <c r="I150" i="6"/>
  <c r="H150" i="6"/>
  <c r="G150" i="6"/>
  <c r="F150" i="6"/>
  <c r="D150" i="6"/>
  <c r="U150" i="6" s="1"/>
  <c r="C150" i="6"/>
  <c r="B150" i="6"/>
  <c r="E150" i="6" s="1"/>
  <c r="Q149" i="6"/>
  <c r="P149" i="6"/>
  <c r="N149" i="6"/>
  <c r="M149" i="6"/>
  <c r="L149" i="6"/>
  <c r="K149" i="6"/>
  <c r="J149" i="6"/>
  <c r="I149" i="6"/>
  <c r="H149" i="6"/>
  <c r="G149" i="6"/>
  <c r="F149" i="6"/>
  <c r="D149" i="6"/>
  <c r="U149" i="6" s="1"/>
  <c r="C149" i="6"/>
  <c r="B149" i="6"/>
  <c r="E149" i="6" s="1"/>
  <c r="Q148" i="6"/>
  <c r="P148" i="6"/>
  <c r="N148" i="6"/>
  <c r="M148" i="6"/>
  <c r="L148" i="6"/>
  <c r="K148" i="6"/>
  <c r="J148" i="6"/>
  <c r="I148" i="6"/>
  <c r="H148" i="6"/>
  <c r="G148" i="6"/>
  <c r="F148" i="6"/>
  <c r="D148" i="6"/>
  <c r="U148" i="6" s="1"/>
  <c r="C148" i="6"/>
  <c r="B148" i="6"/>
  <c r="E148" i="6" s="1"/>
  <c r="Q147" i="6"/>
  <c r="P147" i="6"/>
  <c r="N147" i="6"/>
  <c r="M147" i="6"/>
  <c r="L147" i="6"/>
  <c r="K147" i="6"/>
  <c r="J147" i="6"/>
  <c r="I147" i="6"/>
  <c r="H147" i="6"/>
  <c r="G147" i="6"/>
  <c r="F147" i="6"/>
  <c r="D147" i="6"/>
  <c r="U147" i="6" s="1"/>
  <c r="C147" i="6"/>
  <c r="B147" i="6"/>
  <c r="E147" i="6" s="1"/>
  <c r="Q146" i="6"/>
  <c r="P146" i="6"/>
  <c r="N146" i="6"/>
  <c r="M146" i="6"/>
  <c r="L146" i="6"/>
  <c r="K146" i="6"/>
  <c r="J146" i="6"/>
  <c r="I146" i="6"/>
  <c r="H146" i="6"/>
  <c r="G146" i="6"/>
  <c r="F146" i="6"/>
  <c r="D146" i="6"/>
  <c r="U146" i="6" s="1"/>
  <c r="C146" i="6"/>
  <c r="B146" i="6"/>
  <c r="E146" i="6" s="1"/>
  <c r="Q145" i="6"/>
  <c r="P145" i="6"/>
  <c r="N145" i="6"/>
  <c r="M145" i="6"/>
  <c r="L145" i="6"/>
  <c r="K145" i="6"/>
  <c r="J145" i="6"/>
  <c r="I145" i="6"/>
  <c r="H145" i="6"/>
  <c r="G145" i="6"/>
  <c r="F145" i="6"/>
  <c r="D145" i="6"/>
  <c r="U145" i="6" s="1"/>
  <c r="C145" i="6"/>
  <c r="B145" i="6"/>
  <c r="E145" i="6" s="1"/>
  <c r="Q144" i="6"/>
  <c r="P144" i="6"/>
  <c r="N144" i="6"/>
  <c r="M144" i="6"/>
  <c r="L144" i="6"/>
  <c r="K144" i="6"/>
  <c r="J144" i="6"/>
  <c r="I144" i="6"/>
  <c r="H144" i="6"/>
  <c r="G144" i="6"/>
  <c r="F144" i="6"/>
  <c r="D144" i="6"/>
  <c r="U144" i="6" s="1"/>
  <c r="C144" i="6"/>
  <c r="B144" i="6"/>
  <c r="E144" i="6" s="1"/>
  <c r="Q143" i="6"/>
  <c r="P143" i="6"/>
  <c r="N143" i="6"/>
  <c r="M143" i="6"/>
  <c r="L143" i="6"/>
  <c r="K143" i="6"/>
  <c r="J143" i="6"/>
  <c r="I143" i="6"/>
  <c r="H143" i="6"/>
  <c r="G143" i="6"/>
  <c r="F143" i="6"/>
  <c r="D143" i="6"/>
  <c r="U143" i="6" s="1"/>
  <c r="C143" i="6"/>
  <c r="B143" i="6"/>
  <c r="E143" i="6" s="1"/>
  <c r="Q142" i="6"/>
  <c r="P142" i="6"/>
  <c r="N142" i="6"/>
  <c r="M142" i="6"/>
  <c r="L142" i="6"/>
  <c r="K142" i="6"/>
  <c r="J142" i="6"/>
  <c r="I142" i="6"/>
  <c r="H142" i="6"/>
  <c r="G142" i="6"/>
  <c r="F142" i="6"/>
  <c r="D142" i="6"/>
  <c r="U142" i="6" s="1"/>
  <c r="C142" i="6"/>
  <c r="B142" i="6"/>
  <c r="E142" i="6" s="1"/>
  <c r="Q141" i="6"/>
  <c r="P141" i="6"/>
  <c r="N141" i="6"/>
  <c r="M141" i="6"/>
  <c r="L141" i="6"/>
  <c r="K141" i="6"/>
  <c r="J141" i="6"/>
  <c r="I141" i="6"/>
  <c r="H141" i="6"/>
  <c r="G141" i="6"/>
  <c r="F141" i="6"/>
  <c r="D141" i="6"/>
  <c r="U141" i="6" s="1"/>
  <c r="C141" i="6"/>
  <c r="B141" i="6"/>
  <c r="E141" i="6" s="1"/>
  <c r="Q140" i="6"/>
  <c r="P140" i="6"/>
  <c r="N140" i="6"/>
  <c r="M140" i="6"/>
  <c r="L140" i="6"/>
  <c r="K140" i="6"/>
  <c r="J140" i="6"/>
  <c r="I140" i="6"/>
  <c r="H140" i="6"/>
  <c r="G140" i="6"/>
  <c r="F140" i="6"/>
  <c r="D140" i="6"/>
  <c r="U140" i="6" s="1"/>
  <c r="C140" i="6"/>
  <c r="B140" i="6"/>
  <c r="E140" i="6" s="1"/>
  <c r="Q139" i="6"/>
  <c r="P139" i="6"/>
  <c r="N139" i="6"/>
  <c r="M139" i="6"/>
  <c r="L139" i="6"/>
  <c r="K139" i="6"/>
  <c r="J139" i="6"/>
  <c r="I139" i="6"/>
  <c r="H139" i="6"/>
  <c r="G139" i="6"/>
  <c r="F139" i="6"/>
  <c r="D139" i="6"/>
  <c r="U139" i="6" s="1"/>
  <c r="C139" i="6"/>
  <c r="B139" i="6"/>
  <c r="E139" i="6" s="1"/>
  <c r="Q138" i="6"/>
  <c r="P138" i="6"/>
  <c r="N138" i="6"/>
  <c r="M138" i="6"/>
  <c r="L138" i="6"/>
  <c r="K138" i="6"/>
  <c r="J138" i="6"/>
  <c r="I138" i="6"/>
  <c r="H138" i="6"/>
  <c r="G138" i="6"/>
  <c r="F138" i="6"/>
  <c r="D138" i="6"/>
  <c r="U138" i="6" s="1"/>
  <c r="C138" i="6"/>
  <c r="B138" i="6"/>
  <c r="E138" i="6" s="1"/>
  <c r="Q137" i="6"/>
  <c r="P137" i="6"/>
  <c r="N137" i="6"/>
  <c r="M137" i="6"/>
  <c r="L137" i="6"/>
  <c r="K137" i="6"/>
  <c r="J137" i="6"/>
  <c r="I137" i="6"/>
  <c r="H137" i="6"/>
  <c r="G137" i="6"/>
  <c r="F137" i="6"/>
  <c r="D137" i="6"/>
  <c r="U137" i="6" s="1"/>
  <c r="C137" i="6"/>
  <c r="B137" i="6"/>
  <c r="E137" i="6" s="1"/>
  <c r="Q136" i="6"/>
  <c r="P136" i="6"/>
  <c r="N136" i="6"/>
  <c r="M136" i="6"/>
  <c r="L136" i="6"/>
  <c r="K136" i="6"/>
  <c r="J136" i="6"/>
  <c r="I136" i="6"/>
  <c r="H136" i="6"/>
  <c r="G136" i="6"/>
  <c r="F136" i="6"/>
  <c r="D136" i="6"/>
  <c r="U136" i="6" s="1"/>
  <c r="C136" i="6"/>
  <c r="B136" i="6"/>
  <c r="E136" i="6" s="1"/>
  <c r="Q135" i="6"/>
  <c r="P135" i="6"/>
  <c r="N135" i="6"/>
  <c r="M135" i="6"/>
  <c r="L135" i="6"/>
  <c r="K135" i="6"/>
  <c r="J135" i="6"/>
  <c r="I135" i="6"/>
  <c r="H135" i="6"/>
  <c r="G135" i="6"/>
  <c r="F135" i="6"/>
  <c r="D135" i="6"/>
  <c r="U135" i="6" s="1"/>
  <c r="C135" i="6"/>
  <c r="B135" i="6"/>
  <c r="E135" i="6" s="1"/>
  <c r="Q134" i="6"/>
  <c r="P134" i="6"/>
  <c r="N134" i="6"/>
  <c r="M134" i="6"/>
  <c r="L134" i="6"/>
  <c r="K134" i="6"/>
  <c r="J134" i="6"/>
  <c r="I134" i="6"/>
  <c r="H134" i="6"/>
  <c r="G134" i="6"/>
  <c r="F134" i="6"/>
  <c r="D134" i="6"/>
  <c r="U134" i="6" s="1"/>
  <c r="C134" i="6"/>
  <c r="B134" i="6"/>
  <c r="E134" i="6" s="1"/>
  <c r="Q133" i="6"/>
  <c r="P133" i="6"/>
  <c r="N133" i="6"/>
  <c r="M133" i="6"/>
  <c r="L133" i="6"/>
  <c r="K133" i="6"/>
  <c r="J133" i="6"/>
  <c r="I133" i="6"/>
  <c r="H133" i="6"/>
  <c r="G133" i="6"/>
  <c r="F133" i="6"/>
  <c r="D133" i="6"/>
  <c r="U133" i="6" s="1"/>
  <c r="C133" i="6"/>
  <c r="B133" i="6"/>
  <c r="E133" i="6" s="1"/>
  <c r="Q132" i="6"/>
  <c r="P132" i="6"/>
  <c r="N132" i="6"/>
  <c r="M132" i="6"/>
  <c r="L132" i="6"/>
  <c r="K132" i="6"/>
  <c r="J132" i="6"/>
  <c r="I132" i="6"/>
  <c r="H132" i="6"/>
  <c r="G132" i="6"/>
  <c r="F132" i="6"/>
  <c r="D132" i="6"/>
  <c r="U132" i="6" s="1"/>
  <c r="C132" i="6"/>
  <c r="B132" i="6"/>
  <c r="E132" i="6" s="1"/>
  <c r="Q131" i="6"/>
  <c r="P131" i="6"/>
  <c r="N131" i="6"/>
  <c r="M131" i="6"/>
  <c r="L131" i="6"/>
  <c r="K131" i="6"/>
  <c r="J131" i="6"/>
  <c r="I131" i="6"/>
  <c r="H131" i="6"/>
  <c r="G131" i="6"/>
  <c r="F131" i="6"/>
  <c r="D131" i="6"/>
  <c r="U131" i="6" s="1"/>
  <c r="C131" i="6"/>
  <c r="B131" i="6"/>
  <c r="E131" i="6" s="1"/>
  <c r="Q130" i="6"/>
  <c r="P130" i="6"/>
  <c r="N130" i="6"/>
  <c r="M130" i="6"/>
  <c r="L130" i="6"/>
  <c r="K130" i="6"/>
  <c r="J130" i="6"/>
  <c r="I130" i="6"/>
  <c r="H130" i="6"/>
  <c r="G130" i="6"/>
  <c r="F130" i="6"/>
  <c r="D130" i="6"/>
  <c r="U130" i="6" s="1"/>
  <c r="C130" i="6"/>
  <c r="B130" i="6"/>
  <c r="E130" i="6" s="1"/>
  <c r="Q129" i="6"/>
  <c r="P129" i="6"/>
  <c r="N129" i="6"/>
  <c r="M129" i="6"/>
  <c r="L129" i="6"/>
  <c r="K129" i="6"/>
  <c r="J129" i="6"/>
  <c r="I129" i="6"/>
  <c r="H129" i="6"/>
  <c r="G129" i="6"/>
  <c r="F129" i="6"/>
  <c r="D129" i="6"/>
  <c r="U129" i="6" s="1"/>
  <c r="C129" i="6"/>
  <c r="B129" i="6"/>
  <c r="E129" i="6" s="1"/>
  <c r="Q128" i="6"/>
  <c r="P128" i="6"/>
  <c r="N128" i="6"/>
  <c r="M128" i="6"/>
  <c r="L128" i="6"/>
  <c r="K128" i="6"/>
  <c r="J128" i="6"/>
  <c r="I128" i="6"/>
  <c r="H128" i="6"/>
  <c r="G128" i="6"/>
  <c r="F128" i="6"/>
  <c r="D128" i="6"/>
  <c r="U128" i="6" s="1"/>
  <c r="C128" i="6"/>
  <c r="B128" i="6"/>
  <c r="E128" i="6" s="1"/>
  <c r="Q127" i="6"/>
  <c r="P127" i="6"/>
  <c r="N127" i="6"/>
  <c r="M127" i="6"/>
  <c r="L127" i="6"/>
  <c r="K127" i="6"/>
  <c r="J127" i="6"/>
  <c r="I127" i="6"/>
  <c r="H127" i="6"/>
  <c r="G127" i="6"/>
  <c r="F127" i="6"/>
  <c r="D127" i="6"/>
  <c r="U127" i="6" s="1"/>
  <c r="C127" i="6"/>
  <c r="B127" i="6"/>
  <c r="E127" i="6" s="1"/>
  <c r="Q126" i="6"/>
  <c r="P126" i="6"/>
  <c r="N126" i="6"/>
  <c r="M126" i="6"/>
  <c r="L126" i="6"/>
  <c r="K126" i="6"/>
  <c r="J126" i="6"/>
  <c r="I126" i="6"/>
  <c r="H126" i="6"/>
  <c r="G126" i="6"/>
  <c r="F126" i="6"/>
  <c r="D126" i="6"/>
  <c r="U126" i="6" s="1"/>
  <c r="C126" i="6"/>
  <c r="B126" i="6"/>
  <c r="E126" i="6" s="1"/>
  <c r="Q125" i="6"/>
  <c r="P125" i="6"/>
  <c r="N125" i="6"/>
  <c r="M125" i="6"/>
  <c r="L125" i="6"/>
  <c r="K125" i="6"/>
  <c r="J125" i="6"/>
  <c r="I125" i="6"/>
  <c r="H125" i="6"/>
  <c r="G125" i="6"/>
  <c r="F125" i="6"/>
  <c r="D125" i="6"/>
  <c r="U125" i="6" s="1"/>
  <c r="C125" i="6"/>
  <c r="B125" i="6"/>
  <c r="E125" i="6" s="1"/>
  <c r="Q124" i="6"/>
  <c r="P124" i="6"/>
  <c r="N124" i="6"/>
  <c r="M124" i="6"/>
  <c r="L124" i="6"/>
  <c r="K124" i="6"/>
  <c r="J124" i="6"/>
  <c r="I124" i="6"/>
  <c r="H124" i="6"/>
  <c r="G124" i="6"/>
  <c r="F124" i="6"/>
  <c r="D124" i="6"/>
  <c r="U124" i="6" s="1"/>
  <c r="C124" i="6"/>
  <c r="B124" i="6"/>
  <c r="E124" i="6" s="1"/>
  <c r="Q123" i="6"/>
  <c r="P123" i="6"/>
  <c r="N123" i="6"/>
  <c r="M123" i="6"/>
  <c r="L123" i="6"/>
  <c r="K123" i="6"/>
  <c r="J123" i="6"/>
  <c r="I123" i="6"/>
  <c r="H123" i="6"/>
  <c r="G123" i="6"/>
  <c r="F123" i="6"/>
  <c r="D123" i="6"/>
  <c r="U123" i="6" s="1"/>
  <c r="C123" i="6"/>
  <c r="B123" i="6"/>
  <c r="E123" i="6" s="1"/>
  <c r="Q122" i="6"/>
  <c r="P122" i="6"/>
  <c r="N122" i="6"/>
  <c r="M122" i="6"/>
  <c r="L122" i="6"/>
  <c r="K122" i="6"/>
  <c r="J122" i="6"/>
  <c r="I122" i="6"/>
  <c r="H122" i="6"/>
  <c r="G122" i="6"/>
  <c r="F122" i="6"/>
  <c r="D122" i="6"/>
  <c r="U122" i="6" s="1"/>
  <c r="C122" i="6"/>
  <c r="B122" i="6"/>
  <c r="E122" i="6" s="1"/>
  <c r="Q121" i="6"/>
  <c r="P121" i="6"/>
  <c r="N121" i="6"/>
  <c r="M121" i="6"/>
  <c r="L121" i="6"/>
  <c r="K121" i="6"/>
  <c r="J121" i="6"/>
  <c r="I121" i="6"/>
  <c r="H121" i="6"/>
  <c r="G121" i="6"/>
  <c r="F121" i="6"/>
  <c r="D121" i="6"/>
  <c r="U121" i="6" s="1"/>
  <c r="C121" i="6"/>
  <c r="B121" i="6"/>
  <c r="E121" i="6" s="1"/>
  <c r="Q120" i="6"/>
  <c r="P120" i="6"/>
  <c r="N120" i="6"/>
  <c r="M120" i="6"/>
  <c r="L120" i="6"/>
  <c r="K120" i="6"/>
  <c r="J120" i="6"/>
  <c r="I120" i="6"/>
  <c r="H120" i="6"/>
  <c r="G120" i="6"/>
  <c r="F120" i="6"/>
  <c r="D120" i="6"/>
  <c r="U120" i="6" s="1"/>
  <c r="C120" i="6"/>
  <c r="B120" i="6"/>
  <c r="E120" i="6" s="1"/>
  <c r="Q119" i="6"/>
  <c r="P119" i="6"/>
  <c r="N119" i="6"/>
  <c r="M119" i="6"/>
  <c r="L119" i="6"/>
  <c r="K119" i="6"/>
  <c r="J119" i="6"/>
  <c r="I119" i="6"/>
  <c r="H119" i="6"/>
  <c r="G119" i="6"/>
  <c r="F119" i="6"/>
  <c r="D119" i="6"/>
  <c r="U119" i="6" s="1"/>
  <c r="C119" i="6"/>
  <c r="B119" i="6"/>
  <c r="E119" i="6" s="1"/>
  <c r="Q118" i="6"/>
  <c r="P118" i="6"/>
  <c r="N118" i="6"/>
  <c r="M118" i="6"/>
  <c r="L118" i="6"/>
  <c r="K118" i="6"/>
  <c r="J118" i="6"/>
  <c r="I118" i="6"/>
  <c r="H118" i="6"/>
  <c r="G118" i="6"/>
  <c r="F118" i="6"/>
  <c r="D118" i="6"/>
  <c r="U118" i="6" s="1"/>
  <c r="C118" i="6"/>
  <c r="B118" i="6"/>
  <c r="E118" i="6" s="1"/>
  <c r="Q117" i="6"/>
  <c r="P117" i="6"/>
  <c r="N117" i="6"/>
  <c r="M117" i="6"/>
  <c r="L117" i="6"/>
  <c r="K117" i="6"/>
  <c r="J117" i="6"/>
  <c r="I117" i="6"/>
  <c r="H117" i="6"/>
  <c r="G117" i="6"/>
  <c r="F117" i="6"/>
  <c r="D117" i="6"/>
  <c r="U117" i="6" s="1"/>
  <c r="C117" i="6"/>
  <c r="B117" i="6"/>
  <c r="E117" i="6" s="1"/>
  <c r="Q116" i="6"/>
  <c r="P116" i="6"/>
  <c r="N116" i="6"/>
  <c r="M116" i="6"/>
  <c r="L116" i="6"/>
  <c r="K116" i="6"/>
  <c r="J116" i="6"/>
  <c r="I116" i="6"/>
  <c r="H116" i="6"/>
  <c r="G116" i="6"/>
  <c r="F116" i="6"/>
  <c r="D116" i="6"/>
  <c r="U116" i="6" s="1"/>
  <c r="C116" i="6"/>
  <c r="B116" i="6"/>
  <c r="E116" i="6" s="1"/>
  <c r="Q115" i="6"/>
  <c r="P115" i="6"/>
  <c r="N115" i="6"/>
  <c r="M115" i="6"/>
  <c r="L115" i="6"/>
  <c r="K115" i="6"/>
  <c r="J115" i="6"/>
  <c r="I115" i="6"/>
  <c r="H115" i="6"/>
  <c r="G115" i="6"/>
  <c r="F115" i="6"/>
  <c r="D115" i="6"/>
  <c r="U115" i="6" s="1"/>
  <c r="C115" i="6"/>
  <c r="B115" i="6"/>
  <c r="E115" i="6" s="1"/>
  <c r="Q114" i="6"/>
  <c r="P114" i="6"/>
  <c r="N114" i="6"/>
  <c r="M114" i="6"/>
  <c r="L114" i="6"/>
  <c r="K114" i="6"/>
  <c r="J114" i="6"/>
  <c r="I114" i="6"/>
  <c r="H114" i="6"/>
  <c r="G114" i="6"/>
  <c r="F114" i="6"/>
  <c r="D114" i="6"/>
  <c r="U114" i="6" s="1"/>
  <c r="C114" i="6"/>
  <c r="B114" i="6"/>
  <c r="E114" i="6" s="1"/>
  <c r="Q113" i="6"/>
  <c r="P113" i="6"/>
  <c r="N113" i="6"/>
  <c r="M113" i="6"/>
  <c r="L113" i="6"/>
  <c r="K113" i="6"/>
  <c r="J113" i="6"/>
  <c r="I113" i="6"/>
  <c r="H113" i="6"/>
  <c r="G113" i="6"/>
  <c r="F113" i="6"/>
  <c r="D113" i="6"/>
  <c r="U113" i="6" s="1"/>
  <c r="C113" i="6"/>
  <c r="B113" i="6"/>
  <c r="E113" i="6" s="1"/>
  <c r="Q112" i="6"/>
  <c r="P112" i="6"/>
  <c r="N112" i="6"/>
  <c r="M112" i="6"/>
  <c r="L112" i="6"/>
  <c r="K112" i="6"/>
  <c r="J112" i="6"/>
  <c r="I112" i="6"/>
  <c r="H112" i="6"/>
  <c r="G112" i="6"/>
  <c r="F112" i="6"/>
  <c r="D112" i="6"/>
  <c r="U112" i="6" s="1"/>
  <c r="C112" i="6"/>
  <c r="B112" i="6"/>
  <c r="E112" i="6" s="1"/>
  <c r="Q111" i="6"/>
  <c r="P111" i="6"/>
  <c r="N111" i="6"/>
  <c r="M111" i="6"/>
  <c r="L111" i="6"/>
  <c r="K111" i="6"/>
  <c r="J111" i="6"/>
  <c r="I111" i="6"/>
  <c r="H111" i="6"/>
  <c r="G111" i="6"/>
  <c r="F111" i="6"/>
  <c r="D111" i="6"/>
  <c r="U111" i="6" s="1"/>
  <c r="C111" i="6"/>
  <c r="B111" i="6"/>
  <c r="E111" i="6" s="1"/>
  <c r="Q110" i="6"/>
  <c r="P110" i="6"/>
  <c r="N110" i="6"/>
  <c r="M110" i="6"/>
  <c r="L110" i="6"/>
  <c r="K110" i="6"/>
  <c r="J110" i="6"/>
  <c r="I110" i="6"/>
  <c r="H110" i="6"/>
  <c r="G110" i="6"/>
  <c r="F110" i="6"/>
  <c r="D110" i="6"/>
  <c r="U110" i="6" s="1"/>
  <c r="C110" i="6"/>
  <c r="B110" i="6"/>
  <c r="E110" i="6" s="1"/>
  <c r="Q109" i="6"/>
  <c r="P109" i="6"/>
  <c r="N109" i="6"/>
  <c r="M109" i="6"/>
  <c r="L109" i="6"/>
  <c r="K109" i="6"/>
  <c r="J109" i="6"/>
  <c r="I109" i="6"/>
  <c r="H109" i="6"/>
  <c r="G109" i="6"/>
  <c r="F109" i="6"/>
  <c r="D109" i="6"/>
  <c r="U109" i="6" s="1"/>
  <c r="C109" i="6"/>
  <c r="B109" i="6"/>
  <c r="E109" i="6" s="1"/>
  <c r="Q108" i="6"/>
  <c r="P108" i="6"/>
  <c r="N108" i="6"/>
  <c r="M108" i="6"/>
  <c r="L108" i="6"/>
  <c r="K108" i="6"/>
  <c r="J108" i="6"/>
  <c r="I108" i="6"/>
  <c r="H108" i="6"/>
  <c r="G108" i="6"/>
  <c r="F108" i="6"/>
  <c r="D108" i="6"/>
  <c r="U108" i="6" s="1"/>
  <c r="C108" i="6"/>
  <c r="B108" i="6"/>
  <c r="E108" i="6" s="1"/>
  <c r="Q107" i="6"/>
  <c r="P107" i="6"/>
  <c r="N107" i="6"/>
  <c r="M107" i="6"/>
  <c r="L107" i="6"/>
  <c r="K107" i="6"/>
  <c r="J107" i="6"/>
  <c r="I107" i="6"/>
  <c r="H107" i="6"/>
  <c r="G107" i="6"/>
  <c r="F107" i="6"/>
  <c r="D107" i="6"/>
  <c r="U107" i="6" s="1"/>
  <c r="C107" i="6"/>
  <c r="B107" i="6"/>
  <c r="E107" i="6" s="1"/>
  <c r="Q106" i="6"/>
  <c r="P106" i="6"/>
  <c r="N106" i="6"/>
  <c r="M106" i="6"/>
  <c r="L106" i="6"/>
  <c r="K106" i="6"/>
  <c r="J106" i="6"/>
  <c r="I106" i="6"/>
  <c r="H106" i="6"/>
  <c r="G106" i="6"/>
  <c r="F106" i="6"/>
  <c r="D106" i="6"/>
  <c r="U106" i="6" s="1"/>
  <c r="C106" i="6"/>
  <c r="B106" i="6"/>
  <c r="E106" i="6" s="1"/>
  <c r="Q105" i="6"/>
  <c r="P105" i="6"/>
  <c r="N105" i="6"/>
  <c r="M105" i="6"/>
  <c r="L105" i="6"/>
  <c r="K105" i="6"/>
  <c r="J105" i="6"/>
  <c r="I105" i="6"/>
  <c r="H105" i="6"/>
  <c r="G105" i="6"/>
  <c r="F105" i="6"/>
  <c r="D105" i="6"/>
  <c r="U105" i="6" s="1"/>
  <c r="C105" i="6"/>
  <c r="B105" i="6"/>
  <c r="E105" i="6" s="1"/>
  <c r="Q104" i="6"/>
  <c r="P104" i="6"/>
  <c r="N104" i="6"/>
  <c r="M104" i="6"/>
  <c r="L104" i="6"/>
  <c r="K104" i="6"/>
  <c r="J104" i="6"/>
  <c r="I104" i="6"/>
  <c r="H104" i="6"/>
  <c r="G104" i="6"/>
  <c r="F104" i="6"/>
  <c r="D104" i="6"/>
  <c r="U104" i="6" s="1"/>
  <c r="C104" i="6"/>
  <c r="B104" i="6"/>
  <c r="E104" i="6" s="1"/>
  <c r="Q103" i="6"/>
  <c r="P103" i="6"/>
  <c r="N103" i="6"/>
  <c r="M103" i="6"/>
  <c r="L103" i="6"/>
  <c r="K103" i="6"/>
  <c r="J103" i="6"/>
  <c r="I103" i="6"/>
  <c r="H103" i="6"/>
  <c r="G103" i="6"/>
  <c r="F103" i="6"/>
  <c r="D103" i="6"/>
  <c r="U103" i="6" s="1"/>
  <c r="C103" i="6"/>
  <c r="B103" i="6"/>
  <c r="E103" i="6" s="1"/>
  <c r="Q102" i="6"/>
  <c r="P102" i="6"/>
  <c r="N102" i="6"/>
  <c r="M102" i="6"/>
  <c r="L102" i="6"/>
  <c r="K102" i="6"/>
  <c r="J102" i="6"/>
  <c r="I102" i="6"/>
  <c r="H102" i="6"/>
  <c r="G102" i="6"/>
  <c r="F102" i="6"/>
  <c r="D102" i="6"/>
  <c r="U102" i="6" s="1"/>
  <c r="C102" i="6"/>
  <c r="B102" i="6"/>
  <c r="E102" i="6" s="1"/>
  <c r="Q101" i="6"/>
  <c r="P101" i="6"/>
  <c r="N101" i="6"/>
  <c r="M101" i="6"/>
  <c r="L101" i="6"/>
  <c r="K101" i="6"/>
  <c r="J101" i="6"/>
  <c r="I101" i="6"/>
  <c r="H101" i="6"/>
  <c r="G101" i="6"/>
  <c r="F101" i="6"/>
  <c r="D101" i="6"/>
  <c r="U101" i="6" s="1"/>
  <c r="C101" i="6"/>
  <c r="B101" i="6"/>
  <c r="E101" i="6" s="1"/>
  <c r="Q100" i="6"/>
  <c r="P100" i="6"/>
  <c r="N100" i="6"/>
  <c r="M100" i="6"/>
  <c r="L100" i="6"/>
  <c r="K100" i="6"/>
  <c r="J100" i="6"/>
  <c r="I100" i="6"/>
  <c r="H100" i="6"/>
  <c r="G100" i="6"/>
  <c r="F100" i="6"/>
  <c r="D100" i="6"/>
  <c r="U100" i="6" s="1"/>
  <c r="C100" i="6"/>
  <c r="B100" i="6"/>
  <c r="E100" i="6" s="1"/>
  <c r="Q99" i="6"/>
  <c r="P99" i="6"/>
  <c r="N99" i="6"/>
  <c r="M99" i="6"/>
  <c r="L99" i="6"/>
  <c r="K99" i="6"/>
  <c r="J99" i="6"/>
  <c r="I99" i="6"/>
  <c r="H99" i="6"/>
  <c r="G99" i="6"/>
  <c r="F99" i="6"/>
  <c r="D99" i="6"/>
  <c r="U99" i="6" s="1"/>
  <c r="C99" i="6"/>
  <c r="B99" i="6"/>
  <c r="E99" i="6" s="1"/>
  <c r="Q98" i="6"/>
  <c r="P98" i="6"/>
  <c r="N98" i="6"/>
  <c r="M98" i="6"/>
  <c r="L98" i="6"/>
  <c r="K98" i="6"/>
  <c r="J98" i="6"/>
  <c r="I98" i="6"/>
  <c r="H98" i="6"/>
  <c r="G98" i="6"/>
  <c r="F98" i="6"/>
  <c r="D98" i="6"/>
  <c r="U98" i="6" s="1"/>
  <c r="C98" i="6"/>
  <c r="B98" i="6"/>
  <c r="E98" i="6" s="1"/>
  <c r="Q97" i="6"/>
  <c r="P97" i="6"/>
  <c r="N97" i="6"/>
  <c r="M97" i="6"/>
  <c r="L97" i="6"/>
  <c r="K97" i="6"/>
  <c r="J97" i="6"/>
  <c r="I97" i="6"/>
  <c r="H97" i="6"/>
  <c r="G97" i="6"/>
  <c r="F97" i="6"/>
  <c r="D97" i="6"/>
  <c r="U97" i="6" s="1"/>
  <c r="C97" i="6"/>
  <c r="B97" i="6"/>
  <c r="E97" i="6" s="1"/>
  <c r="Q96" i="6"/>
  <c r="P96" i="6"/>
  <c r="N96" i="6"/>
  <c r="M96" i="6"/>
  <c r="L96" i="6"/>
  <c r="K96" i="6"/>
  <c r="J96" i="6"/>
  <c r="I96" i="6"/>
  <c r="H96" i="6"/>
  <c r="G96" i="6"/>
  <c r="F96" i="6"/>
  <c r="D96" i="6"/>
  <c r="U96" i="6" s="1"/>
  <c r="C96" i="6"/>
  <c r="B96" i="6"/>
  <c r="E96" i="6" s="1"/>
  <c r="Q95" i="6"/>
  <c r="P95" i="6"/>
  <c r="N95" i="6"/>
  <c r="M95" i="6"/>
  <c r="L95" i="6"/>
  <c r="K95" i="6"/>
  <c r="J95" i="6"/>
  <c r="I95" i="6"/>
  <c r="H95" i="6"/>
  <c r="G95" i="6"/>
  <c r="F95" i="6"/>
  <c r="D95" i="6"/>
  <c r="U95" i="6" s="1"/>
  <c r="C95" i="6"/>
  <c r="B95" i="6"/>
  <c r="E95" i="6" s="1"/>
  <c r="Q94" i="6"/>
  <c r="P94" i="6"/>
  <c r="N94" i="6"/>
  <c r="M94" i="6"/>
  <c r="L94" i="6"/>
  <c r="K94" i="6"/>
  <c r="J94" i="6"/>
  <c r="I94" i="6"/>
  <c r="H94" i="6"/>
  <c r="G94" i="6"/>
  <c r="F94" i="6"/>
  <c r="D94" i="6"/>
  <c r="U94" i="6" s="1"/>
  <c r="C94" i="6"/>
  <c r="B94" i="6"/>
  <c r="E94" i="6" s="1"/>
  <c r="Q93" i="6"/>
  <c r="P93" i="6"/>
  <c r="N93" i="6"/>
  <c r="M93" i="6"/>
  <c r="L93" i="6"/>
  <c r="K93" i="6"/>
  <c r="J93" i="6"/>
  <c r="I93" i="6"/>
  <c r="H93" i="6"/>
  <c r="G93" i="6"/>
  <c r="F93" i="6"/>
  <c r="D93" i="6"/>
  <c r="U93" i="6" s="1"/>
  <c r="C93" i="6"/>
  <c r="B93" i="6"/>
  <c r="E93" i="6" s="1"/>
  <c r="Q92" i="6"/>
  <c r="P92" i="6"/>
  <c r="N92" i="6"/>
  <c r="M92" i="6"/>
  <c r="L92" i="6"/>
  <c r="K92" i="6"/>
  <c r="J92" i="6"/>
  <c r="I92" i="6"/>
  <c r="H92" i="6"/>
  <c r="G92" i="6"/>
  <c r="F92" i="6"/>
  <c r="D92" i="6"/>
  <c r="U92" i="6" s="1"/>
  <c r="C92" i="6"/>
  <c r="B92" i="6"/>
  <c r="E92" i="6" s="1"/>
  <c r="Q91" i="6"/>
  <c r="P91" i="6"/>
  <c r="N91" i="6"/>
  <c r="M91" i="6"/>
  <c r="L91" i="6"/>
  <c r="K91" i="6"/>
  <c r="J91" i="6"/>
  <c r="I91" i="6"/>
  <c r="H91" i="6"/>
  <c r="G91" i="6"/>
  <c r="F91" i="6"/>
  <c r="D91" i="6"/>
  <c r="U91" i="6" s="1"/>
  <c r="C91" i="6"/>
  <c r="B91" i="6"/>
  <c r="E91" i="6" s="1"/>
  <c r="Q90" i="6"/>
  <c r="P90" i="6"/>
  <c r="N90" i="6"/>
  <c r="M90" i="6"/>
  <c r="L90" i="6"/>
  <c r="K90" i="6"/>
  <c r="J90" i="6"/>
  <c r="I90" i="6"/>
  <c r="H90" i="6"/>
  <c r="G90" i="6"/>
  <c r="F90" i="6"/>
  <c r="D90" i="6"/>
  <c r="U90" i="6" s="1"/>
  <c r="C90" i="6"/>
  <c r="B90" i="6"/>
  <c r="E90" i="6" s="1"/>
  <c r="Q89" i="6"/>
  <c r="P89" i="6"/>
  <c r="N89" i="6"/>
  <c r="M89" i="6"/>
  <c r="L89" i="6"/>
  <c r="K89" i="6"/>
  <c r="J89" i="6"/>
  <c r="I89" i="6"/>
  <c r="H89" i="6"/>
  <c r="G89" i="6"/>
  <c r="F89" i="6"/>
  <c r="D89" i="6"/>
  <c r="U89" i="6" s="1"/>
  <c r="C89" i="6"/>
  <c r="B89" i="6"/>
  <c r="E89" i="6" s="1"/>
  <c r="Q88" i="6"/>
  <c r="P88" i="6"/>
  <c r="N88" i="6"/>
  <c r="M88" i="6"/>
  <c r="L88" i="6"/>
  <c r="K88" i="6"/>
  <c r="J88" i="6"/>
  <c r="I88" i="6"/>
  <c r="H88" i="6"/>
  <c r="G88" i="6"/>
  <c r="F88" i="6"/>
  <c r="D88" i="6"/>
  <c r="U88" i="6" s="1"/>
  <c r="C88" i="6"/>
  <c r="B88" i="6"/>
  <c r="E88" i="6" s="1"/>
  <c r="Q87" i="6"/>
  <c r="P87" i="6"/>
  <c r="N87" i="6"/>
  <c r="M87" i="6"/>
  <c r="L87" i="6"/>
  <c r="K87" i="6"/>
  <c r="J87" i="6"/>
  <c r="I87" i="6"/>
  <c r="H87" i="6"/>
  <c r="G87" i="6"/>
  <c r="F87" i="6"/>
  <c r="D87" i="6"/>
  <c r="U87" i="6" s="1"/>
  <c r="C87" i="6"/>
  <c r="B87" i="6"/>
  <c r="E87" i="6" s="1"/>
  <c r="Q86" i="6"/>
  <c r="P86" i="6"/>
  <c r="N86" i="6"/>
  <c r="M86" i="6"/>
  <c r="L86" i="6"/>
  <c r="K86" i="6"/>
  <c r="J86" i="6"/>
  <c r="I86" i="6"/>
  <c r="H86" i="6"/>
  <c r="G86" i="6"/>
  <c r="F86" i="6"/>
  <c r="D86" i="6"/>
  <c r="U86" i="6" s="1"/>
  <c r="C86" i="6"/>
  <c r="B86" i="6"/>
  <c r="E86" i="6" s="1"/>
  <c r="Q85" i="6"/>
  <c r="P85" i="6"/>
  <c r="N85" i="6"/>
  <c r="M85" i="6"/>
  <c r="L85" i="6"/>
  <c r="K85" i="6"/>
  <c r="J85" i="6"/>
  <c r="I85" i="6"/>
  <c r="H85" i="6"/>
  <c r="G85" i="6"/>
  <c r="F85" i="6"/>
  <c r="D85" i="6"/>
  <c r="U85" i="6" s="1"/>
  <c r="C85" i="6"/>
  <c r="B85" i="6"/>
  <c r="E85" i="6" s="1"/>
  <c r="Q84" i="6"/>
  <c r="P84" i="6"/>
  <c r="N84" i="6"/>
  <c r="M84" i="6"/>
  <c r="L84" i="6"/>
  <c r="K84" i="6"/>
  <c r="J84" i="6"/>
  <c r="I84" i="6"/>
  <c r="H84" i="6"/>
  <c r="G84" i="6"/>
  <c r="F84" i="6"/>
  <c r="D84" i="6"/>
  <c r="U84" i="6" s="1"/>
  <c r="C84" i="6"/>
  <c r="B84" i="6"/>
  <c r="E84" i="6" s="1"/>
  <c r="Q83" i="6"/>
  <c r="P83" i="6"/>
  <c r="N83" i="6"/>
  <c r="M83" i="6"/>
  <c r="L83" i="6"/>
  <c r="K83" i="6"/>
  <c r="J83" i="6"/>
  <c r="I83" i="6"/>
  <c r="H83" i="6"/>
  <c r="G83" i="6"/>
  <c r="F83" i="6"/>
  <c r="D83" i="6"/>
  <c r="U83" i="6" s="1"/>
  <c r="C83" i="6"/>
  <c r="B83" i="6"/>
  <c r="E83" i="6" s="1"/>
  <c r="Q82" i="6"/>
  <c r="P82" i="6"/>
  <c r="N82" i="6"/>
  <c r="M82" i="6"/>
  <c r="L82" i="6"/>
  <c r="K82" i="6"/>
  <c r="J82" i="6"/>
  <c r="I82" i="6"/>
  <c r="H82" i="6"/>
  <c r="G82" i="6"/>
  <c r="F82" i="6"/>
  <c r="D82" i="6"/>
  <c r="U82" i="6" s="1"/>
  <c r="C82" i="6"/>
  <c r="B82" i="6"/>
  <c r="E82" i="6" s="1"/>
  <c r="Q81" i="6"/>
  <c r="P81" i="6"/>
  <c r="N81" i="6"/>
  <c r="M81" i="6"/>
  <c r="L81" i="6"/>
  <c r="K81" i="6"/>
  <c r="J81" i="6"/>
  <c r="I81" i="6"/>
  <c r="H81" i="6"/>
  <c r="G81" i="6"/>
  <c r="F81" i="6"/>
  <c r="D81" i="6"/>
  <c r="U81" i="6" s="1"/>
  <c r="C81" i="6"/>
  <c r="B81" i="6"/>
  <c r="E81" i="6" s="1"/>
  <c r="Q80" i="6"/>
  <c r="P80" i="6"/>
  <c r="N80" i="6"/>
  <c r="M80" i="6"/>
  <c r="L80" i="6"/>
  <c r="K80" i="6"/>
  <c r="J80" i="6"/>
  <c r="I80" i="6"/>
  <c r="H80" i="6"/>
  <c r="G80" i="6"/>
  <c r="F80" i="6"/>
  <c r="D80" i="6"/>
  <c r="U80" i="6" s="1"/>
  <c r="C80" i="6"/>
  <c r="B80" i="6"/>
  <c r="E80" i="6" s="1"/>
  <c r="Q79" i="6"/>
  <c r="P79" i="6"/>
  <c r="N79" i="6"/>
  <c r="M79" i="6"/>
  <c r="L79" i="6"/>
  <c r="K79" i="6"/>
  <c r="J79" i="6"/>
  <c r="I79" i="6"/>
  <c r="H79" i="6"/>
  <c r="G79" i="6"/>
  <c r="F79" i="6"/>
  <c r="D79" i="6"/>
  <c r="U79" i="6" s="1"/>
  <c r="C79" i="6"/>
  <c r="B79" i="6"/>
  <c r="E79" i="6" s="1"/>
  <c r="Q78" i="6"/>
  <c r="P78" i="6"/>
  <c r="N78" i="6"/>
  <c r="M78" i="6"/>
  <c r="L78" i="6"/>
  <c r="K78" i="6"/>
  <c r="J78" i="6"/>
  <c r="I78" i="6"/>
  <c r="H78" i="6"/>
  <c r="G78" i="6"/>
  <c r="F78" i="6"/>
  <c r="D78" i="6"/>
  <c r="U78" i="6" s="1"/>
  <c r="C78" i="6"/>
  <c r="B78" i="6"/>
  <c r="E78" i="6" s="1"/>
  <c r="Q77" i="6"/>
  <c r="P77" i="6"/>
  <c r="N77" i="6"/>
  <c r="M77" i="6"/>
  <c r="L77" i="6"/>
  <c r="K77" i="6"/>
  <c r="J77" i="6"/>
  <c r="I77" i="6"/>
  <c r="H77" i="6"/>
  <c r="G77" i="6"/>
  <c r="F77" i="6"/>
  <c r="D77" i="6"/>
  <c r="U77" i="6" s="1"/>
  <c r="C77" i="6"/>
  <c r="B77" i="6"/>
  <c r="E77" i="6" s="1"/>
  <c r="Q76" i="6"/>
  <c r="P76" i="6"/>
  <c r="N76" i="6"/>
  <c r="M76" i="6"/>
  <c r="L76" i="6"/>
  <c r="K76" i="6"/>
  <c r="J76" i="6"/>
  <c r="I76" i="6"/>
  <c r="H76" i="6"/>
  <c r="G76" i="6"/>
  <c r="F76" i="6"/>
  <c r="D76" i="6"/>
  <c r="U76" i="6" s="1"/>
  <c r="C76" i="6"/>
  <c r="B76" i="6"/>
  <c r="E76" i="6" s="1"/>
  <c r="Q75" i="6"/>
  <c r="P75" i="6"/>
  <c r="N75" i="6"/>
  <c r="M75" i="6"/>
  <c r="L75" i="6"/>
  <c r="K75" i="6"/>
  <c r="J75" i="6"/>
  <c r="I75" i="6"/>
  <c r="H75" i="6"/>
  <c r="G75" i="6"/>
  <c r="F75" i="6"/>
  <c r="D75" i="6"/>
  <c r="U75" i="6" s="1"/>
  <c r="C75" i="6"/>
  <c r="B75" i="6"/>
  <c r="E75" i="6" s="1"/>
  <c r="Q74" i="6"/>
  <c r="P74" i="6"/>
  <c r="N74" i="6"/>
  <c r="M74" i="6"/>
  <c r="L74" i="6"/>
  <c r="K74" i="6"/>
  <c r="J74" i="6"/>
  <c r="I74" i="6"/>
  <c r="H74" i="6"/>
  <c r="G74" i="6"/>
  <c r="F74" i="6"/>
  <c r="D74" i="6"/>
  <c r="U74" i="6" s="1"/>
  <c r="C74" i="6"/>
  <c r="B74" i="6"/>
  <c r="E74" i="6" s="1"/>
  <c r="Q73" i="6"/>
  <c r="P73" i="6"/>
  <c r="N73" i="6"/>
  <c r="M73" i="6"/>
  <c r="L73" i="6"/>
  <c r="K73" i="6"/>
  <c r="J73" i="6"/>
  <c r="I73" i="6"/>
  <c r="H73" i="6"/>
  <c r="G73" i="6"/>
  <c r="F73" i="6"/>
  <c r="D73" i="6"/>
  <c r="U73" i="6" s="1"/>
  <c r="C73" i="6"/>
  <c r="B73" i="6"/>
  <c r="E73" i="6" s="1"/>
  <c r="Q72" i="6"/>
  <c r="P72" i="6"/>
  <c r="N72" i="6"/>
  <c r="M72" i="6"/>
  <c r="L72" i="6"/>
  <c r="K72" i="6"/>
  <c r="J72" i="6"/>
  <c r="I72" i="6"/>
  <c r="H72" i="6"/>
  <c r="G72" i="6"/>
  <c r="F72" i="6"/>
  <c r="D72" i="6"/>
  <c r="U72" i="6" s="1"/>
  <c r="C72" i="6"/>
  <c r="B72" i="6"/>
  <c r="E72" i="6" s="1"/>
  <c r="Q71" i="6"/>
  <c r="P71" i="6"/>
  <c r="N71" i="6"/>
  <c r="M71" i="6"/>
  <c r="L71" i="6"/>
  <c r="K71" i="6"/>
  <c r="J71" i="6"/>
  <c r="I71" i="6"/>
  <c r="H71" i="6"/>
  <c r="G71" i="6"/>
  <c r="F71" i="6"/>
  <c r="D71" i="6"/>
  <c r="U71" i="6" s="1"/>
  <c r="C71" i="6"/>
  <c r="B71" i="6"/>
  <c r="E71" i="6" s="1"/>
  <c r="Q70" i="6"/>
  <c r="P70" i="6"/>
  <c r="N70" i="6"/>
  <c r="M70" i="6"/>
  <c r="L70" i="6"/>
  <c r="K70" i="6"/>
  <c r="J70" i="6"/>
  <c r="I70" i="6"/>
  <c r="H70" i="6"/>
  <c r="G70" i="6"/>
  <c r="F70" i="6"/>
  <c r="D70" i="6"/>
  <c r="U70" i="6" s="1"/>
  <c r="C70" i="6"/>
  <c r="B70" i="6"/>
  <c r="E70" i="6" s="1"/>
  <c r="Q69" i="6"/>
  <c r="P69" i="6"/>
  <c r="N69" i="6"/>
  <c r="M69" i="6"/>
  <c r="L69" i="6"/>
  <c r="K69" i="6"/>
  <c r="J69" i="6"/>
  <c r="I69" i="6"/>
  <c r="H69" i="6"/>
  <c r="G69" i="6"/>
  <c r="F69" i="6"/>
  <c r="D69" i="6"/>
  <c r="U69" i="6" s="1"/>
  <c r="C69" i="6"/>
  <c r="B69" i="6"/>
  <c r="E69" i="6" s="1"/>
  <c r="Q68" i="6"/>
  <c r="P68" i="6"/>
  <c r="N68" i="6"/>
  <c r="M68" i="6"/>
  <c r="L68" i="6"/>
  <c r="K68" i="6"/>
  <c r="J68" i="6"/>
  <c r="I68" i="6"/>
  <c r="H68" i="6"/>
  <c r="G68" i="6"/>
  <c r="F68" i="6"/>
  <c r="D68" i="6"/>
  <c r="U68" i="6" s="1"/>
  <c r="C68" i="6"/>
  <c r="B68" i="6"/>
  <c r="E68" i="6" s="1"/>
  <c r="Q67" i="6"/>
  <c r="P67" i="6"/>
  <c r="N67" i="6"/>
  <c r="M67" i="6"/>
  <c r="L67" i="6"/>
  <c r="K67" i="6"/>
  <c r="J67" i="6"/>
  <c r="I67" i="6"/>
  <c r="H67" i="6"/>
  <c r="G67" i="6"/>
  <c r="F67" i="6"/>
  <c r="D67" i="6"/>
  <c r="U67" i="6" s="1"/>
  <c r="C67" i="6"/>
  <c r="B67" i="6"/>
  <c r="E67" i="6" s="1"/>
  <c r="Q66" i="6"/>
  <c r="P66" i="6"/>
  <c r="N66" i="6"/>
  <c r="M66" i="6"/>
  <c r="L66" i="6"/>
  <c r="K66" i="6"/>
  <c r="J66" i="6"/>
  <c r="I66" i="6"/>
  <c r="H66" i="6"/>
  <c r="G66" i="6"/>
  <c r="F66" i="6"/>
  <c r="D66" i="6"/>
  <c r="U66" i="6" s="1"/>
  <c r="C66" i="6"/>
  <c r="B66" i="6"/>
  <c r="E66" i="6" s="1"/>
  <c r="Q65" i="6"/>
  <c r="P65" i="6"/>
  <c r="N65" i="6"/>
  <c r="M65" i="6"/>
  <c r="L65" i="6"/>
  <c r="K65" i="6"/>
  <c r="J65" i="6"/>
  <c r="I65" i="6"/>
  <c r="H65" i="6"/>
  <c r="G65" i="6"/>
  <c r="F65" i="6"/>
  <c r="D65" i="6"/>
  <c r="U65" i="6" s="1"/>
  <c r="C65" i="6"/>
  <c r="B65" i="6"/>
  <c r="E65" i="6" s="1"/>
  <c r="Q64" i="6"/>
  <c r="P64" i="6"/>
  <c r="N64" i="6"/>
  <c r="M64" i="6"/>
  <c r="L64" i="6"/>
  <c r="K64" i="6"/>
  <c r="J64" i="6"/>
  <c r="I64" i="6"/>
  <c r="H64" i="6"/>
  <c r="G64" i="6"/>
  <c r="F64" i="6"/>
  <c r="D64" i="6"/>
  <c r="U64" i="6" s="1"/>
  <c r="C64" i="6"/>
  <c r="B64" i="6"/>
  <c r="E64" i="6" s="1"/>
  <c r="Q63" i="6"/>
  <c r="P63" i="6"/>
  <c r="N63" i="6"/>
  <c r="M63" i="6"/>
  <c r="L63" i="6"/>
  <c r="K63" i="6"/>
  <c r="J63" i="6"/>
  <c r="I63" i="6"/>
  <c r="H63" i="6"/>
  <c r="G63" i="6"/>
  <c r="F63" i="6"/>
  <c r="D63" i="6"/>
  <c r="U63" i="6" s="1"/>
  <c r="C63" i="6"/>
  <c r="B63" i="6"/>
  <c r="E63" i="6" s="1"/>
  <c r="Q62" i="6"/>
  <c r="P62" i="6"/>
  <c r="N62" i="6"/>
  <c r="M62" i="6"/>
  <c r="L62" i="6"/>
  <c r="K62" i="6"/>
  <c r="J62" i="6"/>
  <c r="I62" i="6"/>
  <c r="H62" i="6"/>
  <c r="G62" i="6"/>
  <c r="F62" i="6"/>
  <c r="D62" i="6"/>
  <c r="U62" i="6" s="1"/>
  <c r="C62" i="6"/>
  <c r="B62" i="6"/>
  <c r="E62" i="6" s="1"/>
  <c r="Q61" i="6"/>
  <c r="P61" i="6"/>
  <c r="N61" i="6"/>
  <c r="M61" i="6"/>
  <c r="L61" i="6"/>
  <c r="K61" i="6"/>
  <c r="J61" i="6"/>
  <c r="I61" i="6"/>
  <c r="H61" i="6"/>
  <c r="G61" i="6"/>
  <c r="F61" i="6"/>
  <c r="D61" i="6"/>
  <c r="U61" i="6" s="1"/>
  <c r="C61" i="6"/>
  <c r="B61" i="6"/>
  <c r="E61" i="6" s="1"/>
  <c r="Q60" i="6"/>
  <c r="P60" i="6"/>
  <c r="N60" i="6"/>
  <c r="M60" i="6"/>
  <c r="L60" i="6"/>
  <c r="K60" i="6"/>
  <c r="J60" i="6"/>
  <c r="I60" i="6"/>
  <c r="H60" i="6"/>
  <c r="G60" i="6"/>
  <c r="F60" i="6"/>
  <c r="D60" i="6"/>
  <c r="U60" i="6" s="1"/>
  <c r="C60" i="6"/>
  <c r="B60" i="6"/>
  <c r="E60" i="6" s="1"/>
  <c r="Q59" i="6"/>
  <c r="P59" i="6"/>
  <c r="N59" i="6"/>
  <c r="M59" i="6"/>
  <c r="L59" i="6"/>
  <c r="K59" i="6"/>
  <c r="J59" i="6"/>
  <c r="I59" i="6"/>
  <c r="H59" i="6"/>
  <c r="G59" i="6"/>
  <c r="F59" i="6"/>
  <c r="D59" i="6"/>
  <c r="U59" i="6" s="1"/>
  <c r="C59" i="6"/>
  <c r="B59" i="6"/>
  <c r="E59" i="6" s="1"/>
  <c r="Q58" i="6"/>
  <c r="P58" i="6"/>
  <c r="N58" i="6"/>
  <c r="M58" i="6"/>
  <c r="L58" i="6"/>
  <c r="K58" i="6"/>
  <c r="J58" i="6"/>
  <c r="I58" i="6"/>
  <c r="H58" i="6"/>
  <c r="G58" i="6"/>
  <c r="F58" i="6"/>
  <c r="D58" i="6"/>
  <c r="U58" i="6" s="1"/>
  <c r="C58" i="6"/>
  <c r="B58" i="6"/>
  <c r="E58" i="6" s="1"/>
  <c r="Q57" i="6"/>
  <c r="P57" i="6"/>
  <c r="N57" i="6"/>
  <c r="M57" i="6"/>
  <c r="L57" i="6"/>
  <c r="K57" i="6"/>
  <c r="J57" i="6"/>
  <c r="I57" i="6"/>
  <c r="H57" i="6"/>
  <c r="G57" i="6"/>
  <c r="F57" i="6"/>
  <c r="D57" i="6"/>
  <c r="U57" i="6" s="1"/>
  <c r="C57" i="6"/>
  <c r="B57" i="6"/>
  <c r="E57" i="6" s="1"/>
  <c r="Q56" i="6"/>
  <c r="P56" i="6"/>
  <c r="N56" i="6"/>
  <c r="M56" i="6"/>
  <c r="L56" i="6"/>
  <c r="K56" i="6"/>
  <c r="J56" i="6"/>
  <c r="I56" i="6"/>
  <c r="H56" i="6"/>
  <c r="G56" i="6"/>
  <c r="F56" i="6"/>
  <c r="D56" i="6"/>
  <c r="U56" i="6" s="1"/>
  <c r="C56" i="6"/>
  <c r="B56" i="6"/>
  <c r="E56" i="6" s="1"/>
  <c r="Q55" i="6"/>
  <c r="P55" i="6"/>
  <c r="N55" i="6"/>
  <c r="M55" i="6"/>
  <c r="L55" i="6"/>
  <c r="K55" i="6"/>
  <c r="J55" i="6"/>
  <c r="I55" i="6"/>
  <c r="H55" i="6"/>
  <c r="G55" i="6"/>
  <c r="F55" i="6"/>
  <c r="D55" i="6"/>
  <c r="U55" i="6" s="1"/>
  <c r="C55" i="6"/>
  <c r="B55" i="6"/>
  <c r="E55" i="6" s="1"/>
  <c r="Q54" i="6"/>
  <c r="P54" i="6"/>
  <c r="N54" i="6"/>
  <c r="M54" i="6"/>
  <c r="L54" i="6"/>
  <c r="K54" i="6"/>
  <c r="J54" i="6"/>
  <c r="I54" i="6"/>
  <c r="H54" i="6"/>
  <c r="G54" i="6"/>
  <c r="F54" i="6"/>
  <c r="D54" i="6"/>
  <c r="U54" i="6" s="1"/>
  <c r="C54" i="6"/>
  <c r="B54" i="6"/>
  <c r="E54" i="6" s="1"/>
  <c r="Q53" i="6"/>
  <c r="P53" i="6"/>
  <c r="N53" i="6"/>
  <c r="M53" i="6"/>
  <c r="L53" i="6"/>
  <c r="K53" i="6"/>
  <c r="J53" i="6"/>
  <c r="I53" i="6"/>
  <c r="H53" i="6"/>
  <c r="G53" i="6"/>
  <c r="F53" i="6"/>
  <c r="D53" i="6"/>
  <c r="U53" i="6" s="1"/>
  <c r="C53" i="6"/>
  <c r="B53" i="6"/>
  <c r="E53" i="6" s="1"/>
  <c r="Q52" i="6"/>
  <c r="P52" i="6"/>
  <c r="N52" i="6"/>
  <c r="M52" i="6"/>
  <c r="L52" i="6"/>
  <c r="K52" i="6"/>
  <c r="J52" i="6"/>
  <c r="I52" i="6"/>
  <c r="H52" i="6"/>
  <c r="G52" i="6"/>
  <c r="F52" i="6"/>
  <c r="D52" i="6"/>
  <c r="U52" i="6" s="1"/>
  <c r="C52" i="6"/>
  <c r="B52" i="6"/>
  <c r="E52" i="6" s="1"/>
  <c r="Q51" i="6"/>
  <c r="P51" i="6"/>
  <c r="N51" i="6"/>
  <c r="M51" i="6"/>
  <c r="L51" i="6"/>
  <c r="K51" i="6"/>
  <c r="J51" i="6"/>
  <c r="I51" i="6"/>
  <c r="H51" i="6"/>
  <c r="G51" i="6"/>
  <c r="F51" i="6"/>
  <c r="D51" i="6"/>
  <c r="U51" i="6" s="1"/>
  <c r="C51" i="6"/>
  <c r="B51" i="6"/>
  <c r="E51" i="6" s="1"/>
  <c r="Q50" i="6"/>
  <c r="P50" i="6"/>
  <c r="N50" i="6"/>
  <c r="M50" i="6"/>
  <c r="L50" i="6"/>
  <c r="K50" i="6"/>
  <c r="J50" i="6"/>
  <c r="I50" i="6"/>
  <c r="H50" i="6"/>
  <c r="G50" i="6"/>
  <c r="F50" i="6"/>
  <c r="D50" i="6"/>
  <c r="U50" i="6" s="1"/>
  <c r="C50" i="6"/>
  <c r="B50" i="6"/>
  <c r="E50" i="6" s="1"/>
  <c r="Q49" i="6"/>
  <c r="P49" i="6"/>
  <c r="N49" i="6"/>
  <c r="M49" i="6"/>
  <c r="L49" i="6"/>
  <c r="K49" i="6"/>
  <c r="J49" i="6"/>
  <c r="I49" i="6"/>
  <c r="H49" i="6"/>
  <c r="G49" i="6"/>
  <c r="F49" i="6"/>
  <c r="D49" i="6"/>
  <c r="U49" i="6" s="1"/>
  <c r="C49" i="6"/>
  <c r="B49" i="6"/>
  <c r="E49" i="6" s="1"/>
  <c r="Q48" i="6"/>
  <c r="P48" i="6"/>
  <c r="N48" i="6"/>
  <c r="M48" i="6"/>
  <c r="L48" i="6"/>
  <c r="K48" i="6"/>
  <c r="J48" i="6"/>
  <c r="I48" i="6"/>
  <c r="H48" i="6"/>
  <c r="G48" i="6"/>
  <c r="F48" i="6"/>
  <c r="D48" i="6"/>
  <c r="U48" i="6" s="1"/>
  <c r="C48" i="6"/>
  <c r="B48" i="6"/>
  <c r="E48" i="6" s="1"/>
  <c r="Q47" i="6"/>
  <c r="P47" i="6"/>
  <c r="N47" i="6"/>
  <c r="M47" i="6"/>
  <c r="L47" i="6"/>
  <c r="K47" i="6"/>
  <c r="J47" i="6"/>
  <c r="I47" i="6"/>
  <c r="H47" i="6"/>
  <c r="G47" i="6"/>
  <c r="F47" i="6"/>
  <c r="D47" i="6"/>
  <c r="U47" i="6" s="1"/>
  <c r="C47" i="6"/>
  <c r="B47" i="6"/>
  <c r="E47" i="6" s="1"/>
  <c r="Q46" i="6"/>
  <c r="P46" i="6"/>
  <c r="N46" i="6"/>
  <c r="M46" i="6"/>
  <c r="L46" i="6"/>
  <c r="K46" i="6"/>
  <c r="J46" i="6"/>
  <c r="I46" i="6"/>
  <c r="H46" i="6"/>
  <c r="G46" i="6"/>
  <c r="F46" i="6"/>
  <c r="D46" i="6"/>
  <c r="U46" i="6" s="1"/>
  <c r="C46" i="6"/>
  <c r="B46" i="6"/>
  <c r="E46" i="6" s="1"/>
  <c r="Q45" i="6"/>
  <c r="P45" i="6"/>
  <c r="N45" i="6"/>
  <c r="M45" i="6"/>
  <c r="L45" i="6"/>
  <c r="K45" i="6"/>
  <c r="J45" i="6"/>
  <c r="I45" i="6"/>
  <c r="H45" i="6"/>
  <c r="G45" i="6"/>
  <c r="F45" i="6"/>
  <c r="D45" i="6"/>
  <c r="U45" i="6" s="1"/>
  <c r="C45" i="6"/>
  <c r="B45" i="6"/>
  <c r="E45" i="6" s="1"/>
  <c r="Q44" i="6"/>
  <c r="P44" i="6"/>
  <c r="N44" i="6"/>
  <c r="M44" i="6"/>
  <c r="L44" i="6"/>
  <c r="K44" i="6"/>
  <c r="J44" i="6"/>
  <c r="I44" i="6"/>
  <c r="H44" i="6"/>
  <c r="G44" i="6"/>
  <c r="F44" i="6"/>
  <c r="D44" i="6"/>
  <c r="U44" i="6" s="1"/>
  <c r="C44" i="6"/>
  <c r="B44" i="6"/>
  <c r="E44" i="6" s="1"/>
  <c r="Q43" i="6"/>
  <c r="P43" i="6"/>
  <c r="N43" i="6"/>
  <c r="M43" i="6"/>
  <c r="L43" i="6"/>
  <c r="K43" i="6"/>
  <c r="J43" i="6"/>
  <c r="I43" i="6"/>
  <c r="H43" i="6"/>
  <c r="G43" i="6"/>
  <c r="F43" i="6"/>
  <c r="D43" i="6"/>
  <c r="U43" i="6" s="1"/>
  <c r="C43" i="6"/>
  <c r="B43" i="6"/>
  <c r="E43" i="6" s="1"/>
  <c r="Q42" i="6"/>
  <c r="P42" i="6"/>
  <c r="N42" i="6"/>
  <c r="M42" i="6"/>
  <c r="L42" i="6"/>
  <c r="K42" i="6"/>
  <c r="J42" i="6"/>
  <c r="I42" i="6"/>
  <c r="H42" i="6"/>
  <c r="G42" i="6"/>
  <c r="F42" i="6"/>
  <c r="D42" i="6"/>
  <c r="U42" i="6" s="1"/>
  <c r="C42" i="6"/>
  <c r="B42" i="6"/>
  <c r="E42" i="6" s="1"/>
  <c r="Q41" i="6"/>
  <c r="P41" i="6"/>
  <c r="N41" i="6"/>
  <c r="M41" i="6"/>
  <c r="L41" i="6"/>
  <c r="K41" i="6"/>
  <c r="J41" i="6"/>
  <c r="I41" i="6"/>
  <c r="H41" i="6"/>
  <c r="G41" i="6"/>
  <c r="F41" i="6"/>
  <c r="D41" i="6"/>
  <c r="U41" i="6" s="1"/>
  <c r="C41" i="6"/>
  <c r="B41" i="6"/>
  <c r="E41" i="6" s="1"/>
  <c r="Q40" i="6"/>
  <c r="P40" i="6"/>
  <c r="N40" i="6"/>
  <c r="M40" i="6"/>
  <c r="L40" i="6"/>
  <c r="K40" i="6"/>
  <c r="J40" i="6"/>
  <c r="I40" i="6"/>
  <c r="H40" i="6"/>
  <c r="G40" i="6"/>
  <c r="F40" i="6"/>
  <c r="D40" i="6"/>
  <c r="U40" i="6" s="1"/>
  <c r="C40" i="6"/>
  <c r="B40" i="6"/>
  <c r="E40" i="6" s="1"/>
  <c r="Q39" i="6"/>
  <c r="P39" i="6"/>
  <c r="N39" i="6"/>
  <c r="M39" i="6"/>
  <c r="L39" i="6"/>
  <c r="K39" i="6"/>
  <c r="J39" i="6"/>
  <c r="I39" i="6"/>
  <c r="H39" i="6"/>
  <c r="G39" i="6"/>
  <c r="F39" i="6"/>
  <c r="D39" i="6"/>
  <c r="U39" i="6" s="1"/>
  <c r="C39" i="6"/>
  <c r="B39" i="6"/>
  <c r="E39" i="6" s="1"/>
  <c r="Q38" i="6"/>
  <c r="P38" i="6"/>
  <c r="N38" i="6"/>
  <c r="M38" i="6"/>
  <c r="L38" i="6"/>
  <c r="K38" i="6"/>
  <c r="J38" i="6"/>
  <c r="I38" i="6"/>
  <c r="H38" i="6"/>
  <c r="G38" i="6"/>
  <c r="F38" i="6"/>
  <c r="D38" i="6"/>
  <c r="U38" i="6" s="1"/>
  <c r="C38" i="6"/>
  <c r="B38" i="6"/>
  <c r="E38" i="6" s="1"/>
  <c r="Q37" i="6"/>
  <c r="P37" i="6"/>
  <c r="N37" i="6"/>
  <c r="M37" i="6"/>
  <c r="L37" i="6"/>
  <c r="K37" i="6"/>
  <c r="J37" i="6"/>
  <c r="I37" i="6"/>
  <c r="H37" i="6"/>
  <c r="G37" i="6"/>
  <c r="F37" i="6"/>
  <c r="D37" i="6"/>
  <c r="U37" i="6" s="1"/>
  <c r="C37" i="6"/>
  <c r="B37" i="6"/>
  <c r="E37" i="6" s="1"/>
  <c r="Q36" i="6"/>
  <c r="P36" i="6"/>
  <c r="N36" i="6"/>
  <c r="M36" i="6"/>
  <c r="L36" i="6"/>
  <c r="K36" i="6"/>
  <c r="J36" i="6"/>
  <c r="I36" i="6"/>
  <c r="H36" i="6"/>
  <c r="G36" i="6"/>
  <c r="F36" i="6"/>
  <c r="D36" i="6"/>
  <c r="U36" i="6" s="1"/>
  <c r="C36" i="6"/>
  <c r="B36" i="6"/>
  <c r="E36" i="6" s="1"/>
  <c r="Q35" i="6"/>
  <c r="P35" i="6"/>
  <c r="N35" i="6"/>
  <c r="M35" i="6"/>
  <c r="L35" i="6"/>
  <c r="K35" i="6"/>
  <c r="J35" i="6"/>
  <c r="I35" i="6"/>
  <c r="H35" i="6"/>
  <c r="G35" i="6"/>
  <c r="F35" i="6"/>
  <c r="D35" i="6"/>
  <c r="U35" i="6" s="1"/>
  <c r="C35" i="6"/>
  <c r="B35" i="6"/>
  <c r="E35" i="6" s="1"/>
  <c r="Q34" i="6"/>
  <c r="P34" i="6"/>
  <c r="N34" i="6"/>
  <c r="M34" i="6"/>
  <c r="L34" i="6"/>
  <c r="K34" i="6"/>
  <c r="J34" i="6"/>
  <c r="I34" i="6"/>
  <c r="H34" i="6"/>
  <c r="G34" i="6"/>
  <c r="F34" i="6"/>
  <c r="D34" i="6"/>
  <c r="U34" i="6" s="1"/>
  <c r="C34" i="6"/>
  <c r="B34" i="6"/>
  <c r="E34" i="6" s="1"/>
  <c r="Q33" i="6"/>
  <c r="P33" i="6"/>
  <c r="N33" i="6"/>
  <c r="M33" i="6"/>
  <c r="L33" i="6"/>
  <c r="K33" i="6"/>
  <c r="J33" i="6"/>
  <c r="I33" i="6"/>
  <c r="H33" i="6"/>
  <c r="G33" i="6"/>
  <c r="F33" i="6"/>
  <c r="D33" i="6"/>
  <c r="U33" i="6" s="1"/>
  <c r="C33" i="6"/>
  <c r="B33" i="6"/>
  <c r="E33" i="6" s="1"/>
  <c r="Q32" i="6"/>
  <c r="P32" i="6"/>
  <c r="N32" i="6"/>
  <c r="M32" i="6"/>
  <c r="L32" i="6"/>
  <c r="K32" i="6"/>
  <c r="J32" i="6"/>
  <c r="I32" i="6"/>
  <c r="H32" i="6"/>
  <c r="G32" i="6"/>
  <c r="F32" i="6"/>
  <c r="D32" i="6"/>
  <c r="U32" i="6" s="1"/>
  <c r="C32" i="6"/>
  <c r="B32" i="6"/>
  <c r="E32" i="6" s="1"/>
  <c r="Q31" i="6"/>
  <c r="P31" i="6"/>
  <c r="N31" i="6"/>
  <c r="M31" i="6"/>
  <c r="L31" i="6"/>
  <c r="K31" i="6"/>
  <c r="J31" i="6"/>
  <c r="I31" i="6"/>
  <c r="H31" i="6"/>
  <c r="G31" i="6"/>
  <c r="F31" i="6"/>
  <c r="D31" i="6"/>
  <c r="U31" i="6" s="1"/>
  <c r="C31" i="6"/>
  <c r="B31" i="6"/>
  <c r="E31" i="6" s="1"/>
  <c r="Q30" i="6"/>
  <c r="P30" i="6"/>
  <c r="N30" i="6"/>
  <c r="M30" i="6"/>
  <c r="L30" i="6"/>
  <c r="K30" i="6"/>
  <c r="J30" i="6"/>
  <c r="I30" i="6"/>
  <c r="H30" i="6"/>
  <c r="G30" i="6"/>
  <c r="F30" i="6"/>
  <c r="D30" i="6"/>
  <c r="U30" i="6" s="1"/>
  <c r="C30" i="6"/>
  <c r="B30" i="6"/>
  <c r="E30" i="6" s="1"/>
  <c r="Q29" i="6"/>
  <c r="P29" i="6"/>
  <c r="N29" i="6"/>
  <c r="M29" i="6"/>
  <c r="L29" i="6"/>
  <c r="K29" i="6"/>
  <c r="J29" i="6"/>
  <c r="I29" i="6"/>
  <c r="H29" i="6"/>
  <c r="G29" i="6"/>
  <c r="F29" i="6"/>
  <c r="D29" i="6"/>
  <c r="U29" i="6" s="1"/>
  <c r="C29" i="6"/>
  <c r="B29" i="6"/>
  <c r="E29" i="6" s="1"/>
  <c r="Q28" i="6"/>
  <c r="P28" i="6"/>
  <c r="N28" i="6"/>
  <c r="M28" i="6"/>
  <c r="L28" i="6"/>
  <c r="K28" i="6"/>
  <c r="J28" i="6"/>
  <c r="I28" i="6"/>
  <c r="H28" i="6"/>
  <c r="G28" i="6"/>
  <c r="F28" i="6"/>
  <c r="D28" i="6"/>
  <c r="U28" i="6" s="1"/>
  <c r="C28" i="6"/>
  <c r="B28" i="6"/>
  <c r="E28" i="6" s="1"/>
  <c r="Q27" i="6"/>
  <c r="P27" i="6"/>
  <c r="N27" i="6"/>
  <c r="M27" i="6"/>
  <c r="L27" i="6"/>
  <c r="K27" i="6"/>
  <c r="J27" i="6"/>
  <c r="I27" i="6"/>
  <c r="H27" i="6"/>
  <c r="G27" i="6"/>
  <c r="F27" i="6"/>
  <c r="D27" i="6"/>
  <c r="U27" i="6" s="1"/>
  <c r="C27" i="6"/>
  <c r="B27" i="6"/>
  <c r="E27" i="6" s="1"/>
  <c r="Q26" i="6"/>
  <c r="P26" i="6"/>
  <c r="N26" i="6"/>
  <c r="M26" i="6"/>
  <c r="L26" i="6"/>
  <c r="K26" i="6"/>
  <c r="J26" i="6"/>
  <c r="I26" i="6"/>
  <c r="H26" i="6"/>
  <c r="G26" i="6"/>
  <c r="F26" i="6"/>
  <c r="D26" i="6"/>
  <c r="U26" i="6" s="1"/>
  <c r="C26" i="6"/>
  <c r="B26" i="6"/>
  <c r="E26" i="6" s="1"/>
  <c r="Q25" i="6"/>
  <c r="P25" i="6"/>
  <c r="N25" i="6"/>
  <c r="M25" i="6"/>
  <c r="L25" i="6"/>
  <c r="K25" i="6"/>
  <c r="J25" i="6"/>
  <c r="I25" i="6"/>
  <c r="H25" i="6"/>
  <c r="G25" i="6"/>
  <c r="F25" i="6"/>
  <c r="D25" i="6"/>
  <c r="U25" i="6" s="1"/>
  <c r="C25" i="6"/>
  <c r="B25" i="6"/>
  <c r="E25" i="6" s="1"/>
  <c r="Q24" i="6"/>
  <c r="P24" i="6"/>
  <c r="N24" i="6"/>
  <c r="M24" i="6"/>
  <c r="L24" i="6"/>
  <c r="K24" i="6"/>
  <c r="J24" i="6"/>
  <c r="I24" i="6"/>
  <c r="H24" i="6"/>
  <c r="G24" i="6"/>
  <c r="F24" i="6"/>
  <c r="D24" i="6"/>
  <c r="U24" i="6" s="1"/>
  <c r="C24" i="6"/>
  <c r="B24" i="6"/>
  <c r="E24" i="6" s="1"/>
  <c r="Q23" i="6"/>
  <c r="P23" i="6"/>
  <c r="N23" i="6"/>
  <c r="M23" i="6"/>
  <c r="L23" i="6"/>
  <c r="K23" i="6"/>
  <c r="J23" i="6"/>
  <c r="I23" i="6"/>
  <c r="H23" i="6"/>
  <c r="G23" i="6"/>
  <c r="F23" i="6"/>
  <c r="D23" i="6"/>
  <c r="U23" i="6" s="1"/>
  <c r="C23" i="6"/>
  <c r="B23" i="6"/>
  <c r="E23" i="6" s="1"/>
  <c r="Q22" i="6"/>
  <c r="P22" i="6"/>
  <c r="N22" i="6"/>
  <c r="M22" i="6"/>
  <c r="L22" i="6"/>
  <c r="K22" i="6"/>
  <c r="J22" i="6"/>
  <c r="I22" i="6"/>
  <c r="H22" i="6"/>
  <c r="G22" i="6"/>
  <c r="F22" i="6"/>
  <c r="D22" i="6"/>
  <c r="U22" i="6" s="1"/>
  <c r="C22" i="6"/>
  <c r="B22" i="6"/>
  <c r="E22" i="6" s="1"/>
  <c r="Q21" i="6"/>
  <c r="P21" i="6"/>
  <c r="N21" i="6"/>
  <c r="M21" i="6"/>
  <c r="L21" i="6"/>
  <c r="K21" i="6"/>
  <c r="J21" i="6"/>
  <c r="I21" i="6"/>
  <c r="H21" i="6"/>
  <c r="G21" i="6"/>
  <c r="F21" i="6"/>
  <c r="D21" i="6"/>
  <c r="U21" i="6" s="1"/>
  <c r="C21" i="6"/>
  <c r="B21" i="6"/>
  <c r="E21" i="6" s="1"/>
  <c r="Q20" i="6"/>
  <c r="P20" i="6"/>
  <c r="N20" i="6"/>
  <c r="M20" i="6"/>
  <c r="L20" i="6"/>
  <c r="K20" i="6"/>
  <c r="J20" i="6"/>
  <c r="I20" i="6"/>
  <c r="H20" i="6"/>
  <c r="G20" i="6"/>
  <c r="F20" i="6"/>
  <c r="D20" i="6"/>
  <c r="U20" i="6" s="1"/>
  <c r="C20" i="6"/>
  <c r="B20" i="6"/>
  <c r="E20" i="6" s="1"/>
  <c r="Q19" i="6"/>
  <c r="P19" i="6"/>
  <c r="N19" i="6"/>
  <c r="M19" i="6"/>
  <c r="L19" i="6"/>
  <c r="K19" i="6"/>
  <c r="J19" i="6"/>
  <c r="I19" i="6"/>
  <c r="H19" i="6"/>
  <c r="G19" i="6"/>
  <c r="F19" i="6"/>
  <c r="D19" i="6"/>
  <c r="U19" i="6" s="1"/>
  <c r="C19" i="6"/>
  <c r="B19" i="6"/>
  <c r="E19" i="6" s="1"/>
  <c r="Q18" i="6"/>
  <c r="P18" i="6"/>
  <c r="N18" i="6"/>
  <c r="M18" i="6"/>
  <c r="L18" i="6"/>
  <c r="K18" i="6"/>
  <c r="J18" i="6"/>
  <c r="I18" i="6"/>
  <c r="H18" i="6"/>
  <c r="G18" i="6"/>
  <c r="F18" i="6"/>
  <c r="D18" i="6"/>
  <c r="U18" i="6" s="1"/>
  <c r="C18" i="6"/>
  <c r="B18" i="6"/>
  <c r="E18" i="6" s="1"/>
  <c r="Q17" i="6"/>
  <c r="P17" i="6"/>
  <c r="N17" i="6"/>
  <c r="M17" i="6"/>
  <c r="L17" i="6"/>
  <c r="K17" i="6"/>
  <c r="J17" i="6"/>
  <c r="I17" i="6"/>
  <c r="H17" i="6"/>
  <c r="G17" i="6"/>
  <c r="F17" i="6"/>
  <c r="D17" i="6"/>
  <c r="U17" i="6" s="1"/>
  <c r="C17" i="6"/>
  <c r="B17" i="6"/>
  <c r="E17" i="6" s="1"/>
  <c r="Q16" i="6"/>
  <c r="P16" i="6"/>
  <c r="N16" i="6"/>
  <c r="M16" i="6"/>
  <c r="L16" i="6"/>
  <c r="K16" i="6"/>
  <c r="J16" i="6"/>
  <c r="I16" i="6"/>
  <c r="H16" i="6"/>
  <c r="G16" i="6"/>
  <c r="F16" i="6"/>
  <c r="D16" i="6"/>
  <c r="U16" i="6" s="1"/>
  <c r="C16" i="6"/>
  <c r="B16" i="6"/>
  <c r="E16" i="6" s="1"/>
  <c r="Q15" i="6"/>
  <c r="P15" i="6"/>
  <c r="N15" i="6"/>
  <c r="M15" i="6"/>
  <c r="L15" i="6"/>
  <c r="K15" i="6"/>
  <c r="J15" i="6"/>
  <c r="I15" i="6"/>
  <c r="H15" i="6"/>
  <c r="G15" i="6"/>
  <c r="F15" i="6"/>
  <c r="D15" i="6"/>
  <c r="U15" i="6" s="1"/>
  <c r="C15" i="6"/>
  <c r="B15" i="6"/>
  <c r="E15" i="6" s="1"/>
  <c r="Q14" i="6"/>
  <c r="P14" i="6"/>
  <c r="N14" i="6"/>
  <c r="M14" i="6"/>
  <c r="L14" i="6"/>
  <c r="K14" i="6"/>
  <c r="J14" i="6"/>
  <c r="I14" i="6"/>
  <c r="H14" i="6"/>
  <c r="G14" i="6"/>
  <c r="F14" i="6"/>
  <c r="D14" i="6"/>
  <c r="U14" i="6" s="1"/>
  <c r="C14" i="6"/>
  <c r="B14" i="6"/>
  <c r="E14" i="6" s="1"/>
  <c r="Q13" i="6"/>
  <c r="P13" i="6"/>
  <c r="N13" i="6"/>
  <c r="M13" i="6"/>
  <c r="L13" i="6"/>
  <c r="K13" i="6"/>
  <c r="J13" i="6"/>
  <c r="I13" i="6"/>
  <c r="H13" i="6"/>
  <c r="G13" i="6"/>
  <c r="F13" i="6"/>
  <c r="D13" i="6"/>
  <c r="U13" i="6" s="1"/>
  <c r="C13" i="6"/>
  <c r="B13" i="6"/>
  <c r="E13" i="6" s="1"/>
  <c r="Q12" i="6"/>
  <c r="P12" i="6"/>
  <c r="N12" i="6"/>
  <c r="M12" i="6"/>
  <c r="L12" i="6"/>
  <c r="K12" i="6"/>
  <c r="J12" i="6"/>
  <c r="I12" i="6"/>
  <c r="H12" i="6"/>
  <c r="G12" i="6"/>
  <c r="F12" i="6"/>
  <c r="D12" i="6"/>
  <c r="U12" i="6" s="1"/>
  <c r="C12" i="6"/>
  <c r="B12" i="6"/>
  <c r="E12" i="6" s="1"/>
  <c r="Q11" i="6"/>
  <c r="P11" i="6"/>
  <c r="N11" i="6"/>
  <c r="M11" i="6"/>
  <c r="L11" i="6"/>
  <c r="K11" i="6"/>
  <c r="J11" i="6"/>
  <c r="I11" i="6"/>
  <c r="H11" i="6"/>
  <c r="G11" i="6"/>
  <c r="F11" i="6"/>
  <c r="D11" i="6"/>
  <c r="U11" i="6" s="1"/>
  <c r="C11" i="6"/>
  <c r="B11" i="6"/>
  <c r="E11" i="6" s="1"/>
  <c r="Q10" i="6"/>
  <c r="P10" i="6"/>
  <c r="N10" i="6"/>
  <c r="M10" i="6"/>
  <c r="L10" i="6"/>
  <c r="K10" i="6"/>
  <c r="J10" i="6"/>
  <c r="I10" i="6"/>
  <c r="H10" i="6"/>
  <c r="G10" i="6"/>
  <c r="F10" i="6"/>
  <c r="D10" i="6"/>
  <c r="U10" i="6" s="1"/>
  <c r="C10" i="6"/>
  <c r="B10" i="6"/>
  <c r="E10" i="6" s="1"/>
  <c r="Q9" i="6"/>
  <c r="P9" i="6"/>
  <c r="N9" i="6"/>
  <c r="M9" i="6"/>
  <c r="L9" i="6"/>
  <c r="K9" i="6"/>
  <c r="J9" i="6"/>
  <c r="I9" i="6"/>
  <c r="H9" i="6"/>
  <c r="G9" i="6"/>
  <c r="F9" i="6"/>
  <c r="D9" i="6"/>
  <c r="U9" i="6" s="1"/>
  <c r="C9" i="6"/>
  <c r="B9" i="6"/>
  <c r="E9" i="6" s="1"/>
  <c r="Q8" i="6"/>
  <c r="P8" i="6"/>
  <c r="N8" i="6"/>
  <c r="M8" i="6"/>
  <c r="L8" i="6"/>
  <c r="K8" i="6"/>
  <c r="J8" i="6"/>
  <c r="I8" i="6"/>
  <c r="H8" i="6"/>
  <c r="G8" i="6"/>
  <c r="F8" i="6"/>
  <c r="D8" i="6"/>
  <c r="U8" i="6" s="1"/>
  <c r="C8" i="6"/>
  <c r="B8" i="6"/>
  <c r="E8" i="6" s="1"/>
  <c r="Q7" i="6"/>
  <c r="P7" i="6"/>
  <c r="N7" i="6"/>
  <c r="M7" i="6"/>
  <c r="L7" i="6"/>
  <c r="K7" i="6"/>
  <c r="J7" i="6"/>
  <c r="I7" i="6"/>
  <c r="H7" i="6"/>
  <c r="G7" i="6"/>
  <c r="F7" i="6"/>
  <c r="D7" i="6"/>
  <c r="U7" i="6" s="1"/>
  <c r="C7" i="6"/>
  <c r="B7" i="6"/>
  <c r="E7" i="6" s="1"/>
  <c r="Q6" i="6"/>
  <c r="P6" i="6"/>
  <c r="N6" i="6"/>
  <c r="M6" i="6"/>
  <c r="L6" i="6"/>
  <c r="K6" i="6"/>
  <c r="J6" i="6"/>
  <c r="I6" i="6"/>
  <c r="H6" i="6"/>
  <c r="G6" i="6"/>
  <c r="F6" i="6"/>
  <c r="D6" i="6"/>
  <c r="U6" i="6" s="1"/>
  <c r="C6" i="6"/>
  <c r="B6" i="6"/>
  <c r="E6" i="6" s="1"/>
  <c r="Q5" i="6"/>
  <c r="P5" i="6"/>
  <c r="N5" i="6"/>
  <c r="M5" i="6"/>
  <c r="L5" i="6"/>
  <c r="K5" i="6"/>
  <c r="J5" i="6"/>
  <c r="I5" i="6"/>
  <c r="H5" i="6"/>
  <c r="G5" i="6"/>
  <c r="F5" i="6"/>
  <c r="D5" i="6"/>
  <c r="U5" i="6" s="1"/>
  <c r="C5" i="6"/>
  <c r="B5" i="6"/>
  <c r="E5" i="6" s="1"/>
  <c r="Q4" i="6"/>
  <c r="P4" i="6"/>
  <c r="N4" i="6"/>
  <c r="M4" i="6"/>
  <c r="L4" i="6"/>
  <c r="K4" i="6"/>
  <c r="J4" i="6"/>
  <c r="I4" i="6"/>
  <c r="H4" i="6"/>
  <c r="G4" i="6"/>
  <c r="F4" i="6"/>
  <c r="D4" i="6"/>
  <c r="U4" i="6" s="1"/>
  <c r="C4" i="6"/>
  <c r="B4" i="6"/>
  <c r="E4" i="6" s="1"/>
  <c r="Q3" i="6"/>
  <c r="P3" i="6"/>
  <c r="N3" i="6"/>
  <c r="M3" i="6"/>
  <c r="L3" i="6"/>
  <c r="K3" i="6"/>
  <c r="J3" i="6"/>
  <c r="I3" i="6"/>
  <c r="H3" i="6"/>
  <c r="G3" i="6"/>
  <c r="F3" i="6"/>
  <c r="D3" i="6"/>
  <c r="U3" i="6" s="1"/>
  <c r="C3" i="6"/>
  <c r="B3" i="6"/>
  <c r="E3" i="6" s="1"/>
  <c r="E108" i="4"/>
  <c r="E107" i="4"/>
  <c r="E106" i="4"/>
  <c r="E105" i="4"/>
  <c r="E104" i="4"/>
  <c r="E103" i="4"/>
  <c r="E102" i="4"/>
  <c r="E101" i="4"/>
  <c r="E100" i="4"/>
  <c r="E99" i="4"/>
  <c r="E98" i="4"/>
  <c r="E97" i="4"/>
  <c r="E96" i="4"/>
  <c r="E95" i="4"/>
  <c r="E94" i="4"/>
  <c r="E93" i="4"/>
  <c r="E92" i="4"/>
  <c r="E91" i="4"/>
  <c r="E90" i="4"/>
  <c r="E89" i="4"/>
  <c r="E88" i="4"/>
  <c r="E87" i="4"/>
  <c r="E86" i="4"/>
  <c r="E85" i="4"/>
  <c r="E84" i="4"/>
  <c r="E83" i="4"/>
  <c r="E82" i="4"/>
  <c r="E81" i="4"/>
  <c r="E80" i="4"/>
  <c r="E79" i="4"/>
  <c r="E78" i="4"/>
  <c r="E77" i="4"/>
  <c r="E76" i="4"/>
  <c r="E75" i="4"/>
  <c r="E74" i="4"/>
  <c r="E73" i="4"/>
  <c r="E72" i="4"/>
  <c r="E71" i="4"/>
  <c r="E70" i="4"/>
  <c r="E69" i="4"/>
  <c r="E68" i="4"/>
  <c r="E67" i="4"/>
  <c r="E66" i="4"/>
  <c r="E65" i="4"/>
  <c r="E64" i="4"/>
  <c r="E63" i="4"/>
  <c r="E62" i="4"/>
  <c r="E61" i="4"/>
  <c r="E60" i="4"/>
  <c r="E59" i="4"/>
  <c r="E58" i="4"/>
  <c r="E57" i="4"/>
  <c r="E56" i="4"/>
  <c r="E55" i="4"/>
  <c r="E54" i="4"/>
  <c r="E53" i="4"/>
  <c r="E52" i="4"/>
  <c r="E51" i="4"/>
  <c r="E50" i="4"/>
  <c r="E49" i="4"/>
  <c r="E48" i="4"/>
  <c r="E47" i="4"/>
  <c r="E46" i="4"/>
  <c r="E45" i="4"/>
  <c r="E44" i="4"/>
  <c r="E43" i="4"/>
  <c r="E42" i="4"/>
  <c r="E41" i="4"/>
  <c r="E40" i="4"/>
  <c r="E39" i="4"/>
  <c r="E38" i="4"/>
  <c r="E37" i="4"/>
  <c r="E36" i="4"/>
  <c r="E35" i="4"/>
  <c r="E34" i="4"/>
  <c r="E33" i="4"/>
  <c r="E32" i="4"/>
  <c r="E31" i="4"/>
  <c r="E30" i="4"/>
  <c r="E29" i="4"/>
  <c r="E28" i="4"/>
  <c r="E27" i="4"/>
  <c r="E26" i="4"/>
  <c r="E25" i="4"/>
  <c r="E24" i="4"/>
  <c r="E23" i="4"/>
  <c r="E22" i="4"/>
  <c r="E21" i="4"/>
  <c r="E20" i="4"/>
  <c r="E19" i="4"/>
  <c r="E18" i="4"/>
  <c r="E17" i="4"/>
  <c r="E16" i="4"/>
  <c r="E15" i="4"/>
  <c r="E14" i="4"/>
  <c r="E13" i="4"/>
  <c r="E12" i="4"/>
  <c r="E11" i="4"/>
  <c r="E10" i="4"/>
  <c r="E9" i="4"/>
  <c r="E8" i="4"/>
  <c r="E7" i="4"/>
  <c r="E6" i="4"/>
  <c r="E5" i="4"/>
  <c r="E4" i="4"/>
  <c r="E3" i="4"/>
  <c r="E2" i="4"/>
  <c r="J4802" i="7"/>
  <c r="F4802" i="7"/>
  <c r="B4802" i="7"/>
  <c r="J4801" i="7"/>
  <c r="F4801" i="7"/>
  <c r="B4801" i="7"/>
  <c r="J4800" i="7"/>
  <c r="F4800" i="7"/>
  <c r="B4800" i="7"/>
  <c r="J4799" i="7"/>
  <c r="F4799" i="7"/>
  <c r="B4799" i="7"/>
  <c r="K4798" i="7"/>
  <c r="F4798" i="7"/>
  <c r="B4798" i="7"/>
  <c r="D4797" i="7"/>
  <c r="K4796" i="7"/>
  <c r="F4796" i="7"/>
  <c r="B4796" i="7"/>
  <c r="K4795" i="7"/>
  <c r="F4795" i="7"/>
  <c r="B4795" i="7"/>
  <c r="K4794" i="7"/>
  <c r="F4794" i="7"/>
  <c r="B4794" i="7"/>
  <c r="K4793" i="7"/>
  <c r="G4793" i="7"/>
  <c r="C4793" i="7"/>
  <c r="K4792" i="7"/>
  <c r="G4792" i="7"/>
  <c r="C4792" i="7"/>
  <c r="L4791" i="7"/>
  <c r="G4791" i="7"/>
  <c r="C4791" i="7"/>
  <c r="L4790" i="7"/>
  <c r="G4790" i="7"/>
  <c r="C4790" i="7"/>
  <c r="K4789" i="7"/>
  <c r="G4789" i="7"/>
  <c r="C4789" i="7"/>
  <c r="L4788" i="7"/>
  <c r="G4788" i="7"/>
  <c r="C4788" i="7"/>
  <c r="L4787" i="7"/>
  <c r="H4787" i="7"/>
  <c r="D4787" i="7"/>
  <c r="Q4786" i="7"/>
  <c r="M4786" i="7"/>
  <c r="H4786" i="7"/>
  <c r="D4786" i="7"/>
  <c r="Q4785" i="7"/>
  <c r="F4785" i="7"/>
  <c r="Q4784" i="7"/>
  <c r="M4784" i="7"/>
  <c r="H4784" i="7"/>
  <c r="D4784" i="7"/>
  <c r="Q4783" i="7"/>
  <c r="L4783" i="7"/>
  <c r="H4783" i="7"/>
  <c r="D4783" i="7"/>
  <c r="Q4782" i="7"/>
  <c r="M4782" i="7"/>
  <c r="H4782" i="7"/>
  <c r="D4782" i="7"/>
  <c r="Q4781" i="7"/>
  <c r="M4781" i="7"/>
  <c r="H4781" i="7"/>
  <c r="D4781" i="7"/>
  <c r="Q4780" i="7"/>
  <c r="M4780" i="7"/>
  <c r="H4780" i="7"/>
  <c r="D4780" i="7"/>
  <c r="Q4779" i="7"/>
  <c r="M4779" i="7"/>
  <c r="H4779" i="7"/>
  <c r="D4779" i="7"/>
  <c r="Q4778" i="7"/>
  <c r="L4778" i="7"/>
  <c r="H4778" i="7"/>
  <c r="D4778" i="7"/>
  <c r="Q4777" i="7"/>
  <c r="M4777" i="7"/>
  <c r="H4777" i="7"/>
  <c r="D4777" i="7"/>
  <c r="Q4776" i="7"/>
  <c r="M4776" i="7"/>
  <c r="H4776" i="7"/>
  <c r="D4776" i="7"/>
  <c r="Q4775" i="7"/>
  <c r="M4775" i="7"/>
  <c r="H4775" i="7"/>
  <c r="D4775" i="7"/>
  <c r="Q4774" i="7"/>
  <c r="M4774" i="7"/>
  <c r="H4774" i="7"/>
  <c r="D4774" i="7"/>
  <c r="Q4773" i="7"/>
  <c r="M4773" i="7"/>
  <c r="H4773" i="7"/>
  <c r="D4773" i="7"/>
  <c r="Q4772" i="7"/>
  <c r="M4772" i="7"/>
  <c r="H4772" i="7"/>
  <c r="D4772" i="7"/>
  <c r="Q4771" i="7"/>
  <c r="M4771" i="7"/>
  <c r="H4771" i="7"/>
  <c r="D4771" i="7"/>
  <c r="M4802" i="7"/>
  <c r="I4802" i="7"/>
  <c r="E4802" i="7"/>
  <c r="A4802" i="7"/>
  <c r="M4801" i="7"/>
  <c r="I4801" i="7"/>
  <c r="E4801" i="7"/>
  <c r="A4801" i="7"/>
  <c r="M4800" i="7"/>
  <c r="I4800" i="7"/>
  <c r="E4800" i="7"/>
  <c r="A4800" i="7"/>
  <c r="M4799" i="7"/>
  <c r="I4799" i="7"/>
  <c r="E4799" i="7"/>
  <c r="A4799" i="7"/>
  <c r="N4798" i="7"/>
  <c r="J4798" i="7"/>
  <c r="E4798" i="7"/>
  <c r="A4798" i="7"/>
  <c r="K4797" i="7"/>
  <c r="A4797" i="7"/>
  <c r="N4796" i="7"/>
  <c r="J4796" i="7"/>
  <c r="E4796" i="7"/>
  <c r="A4796" i="7"/>
  <c r="N4795" i="7"/>
  <c r="J4795" i="7"/>
  <c r="E4795" i="7"/>
  <c r="A4795" i="7"/>
  <c r="N4794" i="7"/>
  <c r="J4794" i="7"/>
  <c r="E4794" i="7"/>
  <c r="A4794" i="7"/>
  <c r="N4793" i="7"/>
  <c r="J4793" i="7"/>
  <c r="F4793" i="7"/>
  <c r="B4793" i="7"/>
  <c r="J4792" i="7"/>
  <c r="F4792" i="7"/>
  <c r="B4792" i="7"/>
  <c r="K4791" i="7"/>
  <c r="F4791" i="7"/>
  <c r="B4791" i="7"/>
  <c r="K4790" i="7"/>
  <c r="F4790" i="7"/>
  <c r="B4790" i="7"/>
  <c r="J4789" i="7"/>
  <c r="L4802" i="7"/>
  <c r="D4802" i="7"/>
  <c r="L4801" i="7"/>
  <c r="D4801" i="7"/>
  <c r="L4800" i="7"/>
  <c r="D4800" i="7"/>
  <c r="L4799" i="7"/>
  <c r="D4799" i="7"/>
  <c r="M4798" i="7"/>
  <c r="D4798" i="7"/>
  <c r="F4797" i="7"/>
  <c r="M4796" i="7"/>
  <c r="D4796" i="7"/>
  <c r="M4795" i="7"/>
  <c r="D4795" i="7"/>
  <c r="M4794" i="7"/>
  <c r="D4794" i="7"/>
  <c r="M4793" i="7"/>
  <c r="E4793" i="7"/>
  <c r="M4792" i="7"/>
  <c r="E4792" i="7"/>
  <c r="H4791" i="7"/>
  <c r="Q4790" i="7"/>
  <c r="J4790" i="7"/>
  <c r="A4790" i="7"/>
  <c r="I4789" i="7"/>
  <c r="D4789" i="7"/>
  <c r="K4788" i="7"/>
  <c r="E4788" i="7"/>
  <c r="Q4787" i="7"/>
  <c r="K4787" i="7"/>
  <c r="F4787" i="7"/>
  <c r="A4787" i="7"/>
  <c r="L4786" i="7"/>
  <c r="F4786" i="7"/>
  <c r="A4786" i="7"/>
  <c r="E4785" i="7"/>
  <c r="J4784" i="7"/>
  <c r="C4784" i="7"/>
  <c r="I4783" i="7"/>
  <c r="C4783" i="7"/>
  <c r="J4782" i="7"/>
  <c r="C4782" i="7"/>
  <c r="J4781" i="7"/>
  <c r="C4781" i="7"/>
  <c r="J4780" i="7"/>
  <c r="C4780" i="7"/>
  <c r="J4779" i="7"/>
  <c r="C4779" i="7"/>
  <c r="I4778" i="7"/>
  <c r="C4778" i="7"/>
  <c r="J4777" i="7"/>
  <c r="C4777" i="7"/>
  <c r="J4776" i="7"/>
  <c r="C4776" i="7"/>
  <c r="J4775" i="7"/>
  <c r="C4775" i="7"/>
  <c r="J4774" i="7"/>
  <c r="C4774" i="7"/>
  <c r="J4773" i="7"/>
  <c r="C4773" i="7"/>
  <c r="J4772" i="7"/>
  <c r="C4772" i="7"/>
  <c r="J4771" i="7"/>
  <c r="C4771" i="7"/>
  <c r="K4770" i="7"/>
  <c r="F4770" i="7"/>
  <c r="B4770" i="7"/>
  <c r="K4769" i="7"/>
  <c r="F4769" i="7"/>
  <c r="B4769" i="7"/>
  <c r="J4768" i="7"/>
  <c r="E4768" i="7"/>
  <c r="A4768" i="7"/>
  <c r="N4767" i="7"/>
  <c r="J4767" i="7"/>
  <c r="E4767" i="7"/>
  <c r="A4767" i="7"/>
  <c r="N4766" i="7"/>
  <c r="J4766" i="7"/>
  <c r="E4766" i="7"/>
  <c r="A4766" i="7"/>
  <c r="N4765" i="7"/>
  <c r="H4765" i="7"/>
  <c r="D4765" i="7"/>
  <c r="Q4764" i="7"/>
  <c r="M4764" i="7"/>
  <c r="H4764" i="7"/>
  <c r="D4764" i="7"/>
  <c r="Q4763" i="7"/>
  <c r="M4763" i="7"/>
  <c r="H4763" i="7"/>
  <c r="D4763" i="7"/>
  <c r="Q4762" i="7"/>
  <c r="M4762" i="7"/>
  <c r="H4762" i="7"/>
  <c r="D4762" i="7"/>
  <c r="Q4761" i="7"/>
  <c r="M4761" i="7"/>
  <c r="H4761" i="7"/>
  <c r="D4761" i="7"/>
  <c r="Q4760" i="7"/>
  <c r="M4760" i="7"/>
  <c r="I4760" i="7"/>
  <c r="E4760" i="7"/>
  <c r="A4760" i="7"/>
  <c r="N4759" i="7"/>
  <c r="J4759" i="7"/>
  <c r="E4759" i="7"/>
  <c r="A4759" i="7"/>
  <c r="N4758" i="7"/>
  <c r="J4758" i="7"/>
  <c r="E4758" i="7"/>
  <c r="A4758" i="7"/>
  <c r="N4757" i="7"/>
  <c r="J4757" i="7"/>
  <c r="E4757" i="7"/>
  <c r="A4757" i="7"/>
  <c r="N4756" i="7"/>
  <c r="J4756" i="7"/>
  <c r="E4756" i="7"/>
  <c r="A4756" i="7"/>
  <c r="M4755" i="7"/>
  <c r="I4755" i="7"/>
  <c r="E4755" i="7"/>
  <c r="A4755" i="7"/>
  <c r="N4754" i="7"/>
  <c r="J4754" i="7"/>
  <c r="E4754" i="7"/>
  <c r="A4754" i="7"/>
  <c r="N4753" i="7"/>
  <c r="J4753" i="7"/>
  <c r="E4753" i="7"/>
  <c r="A4753" i="7"/>
  <c r="N4752" i="7"/>
  <c r="J4752" i="7"/>
  <c r="E4752" i="7"/>
  <c r="A4752" i="7"/>
  <c r="N4751" i="7"/>
  <c r="J4751" i="7"/>
  <c r="E4751" i="7"/>
  <c r="A4751" i="7"/>
  <c r="N4750" i="7"/>
  <c r="J4750" i="7"/>
  <c r="E4750" i="7"/>
  <c r="A4750" i="7"/>
  <c r="N4749" i="7"/>
  <c r="J4749" i="7"/>
  <c r="E4749" i="7"/>
  <c r="A4749" i="7"/>
  <c r="N4748" i="7"/>
  <c r="J4748" i="7"/>
  <c r="E4748" i="7"/>
  <c r="A4748" i="7"/>
  <c r="N4747" i="7"/>
  <c r="J4747" i="7"/>
  <c r="E4747" i="7"/>
  <c r="A4747" i="7"/>
  <c r="N4746" i="7"/>
  <c r="J4746" i="7"/>
  <c r="E4746" i="7"/>
  <c r="A4746" i="7"/>
  <c r="N4745" i="7"/>
  <c r="J4745" i="7"/>
  <c r="E4745" i="7"/>
  <c r="A4745" i="7"/>
  <c r="N4744" i="7"/>
  <c r="J4744" i="7"/>
  <c r="E4744" i="7"/>
  <c r="A4744" i="7"/>
  <c r="N4743" i="7"/>
  <c r="J4743" i="7"/>
  <c r="E4743" i="7"/>
  <c r="A4743" i="7"/>
  <c r="N4742" i="7"/>
  <c r="J4742" i="7"/>
  <c r="E4742" i="7"/>
  <c r="K4802" i="7"/>
  <c r="C4802" i="7"/>
  <c r="K4801" i="7"/>
  <c r="C4801" i="7"/>
  <c r="K4800" i="7"/>
  <c r="C4800" i="7"/>
  <c r="K4799" i="7"/>
  <c r="C4799" i="7"/>
  <c r="L4798" i="7"/>
  <c r="C4798" i="7"/>
  <c r="E4797" i="7"/>
  <c r="L4796" i="7"/>
  <c r="C4796" i="7"/>
  <c r="L4795" i="7"/>
  <c r="C4795" i="7"/>
  <c r="L4794" i="7"/>
  <c r="C4794" i="7"/>
  <c r="L4793" i="7"/>
  <c r="D4793" i="7"/>
  <c r="L4792" i="7"/>
  <c r="D4792" i="7"/>
  <c r="N4791" i="7"/>
  <c r="E4791" i="7"/>
  <c r="H4790" i="7"/>
  <c r="Q4789" i="7"/>
  <c r="H4789" i="7"/>
  <c r="B4789" i="7"/>
  <c r="J4788" i="7"/>
  <c r="D4788" i="7"/>
  <c r="J4787" i="7"/>
  <c r="E4787" i="7"/>
  <c r="K4786" i="7"/>
  <c r="E4786" i="7"/>
  <c r="D4785" i="7"/>
  <c r="N4784" i="7"/>
  <c r="G4784" i="7"/>
  <c r="B4784" i="7"/>
  <c r="M4783" i="7"/>
  <c r="G4783" i="7"/>
  <c r="B4783" i="7"/>
  <c r="N4782" i="7"/>
  <c r="G4782" i="7"/>
  <c r="B4782" i="7"/>
  <c r="N4781" i="7"/>
  <c r="G4781" i="7"/>
  <c r="B4781" i="7"/>
  <c r="N4780" i="7"/>
  <c r="G4780" i="7"/>
  <c r="B4780" i="7"/>
  <c r="N4779" i="7"/>
  <c r="G4779" i="7"/>
  <c r="B4779" i="7"/>
  <c r="M4778" i="7"/>
  <c r="G4778" i="7"/>
  <c r="B4778" i="7"/>
  <c r="N4777" i="7"/>
  <c r="G4777" i="7"/>
  <c r="B4777" i="7"/>
  <c r="N4776" i="7"/>
  <c r="G4776" i="7"/>
  <c r="B4776" i="7"/>
  <c r="N4775" i="7"/>
  <c r="G4775" i="7"/>
  <c r="B4775" i="7"/>
  <c r="N4774" i="7"/>
  <c r="G4774" i="7"/>
  <c r="B4774" i="7"/>
  <c r="N4773" i="7"/>
  <c r="G4773" i="7"/>
  <c r="B4773" i="7"/>
  <c r="N4772" i="7"/>
  <c r="G4772" i="7"/>
  <c r="B4772" i="7"/>
  <c r="N4771" i="7"/>
  <c r="G4771" i="7"/>
  <c r="B4771" i="7"/>
  <c r="J4770" i="7"/>
  <c r="E4770" i="7"/>
  <c r="A4770" i="7"/>
  <c r="N4769" i="7"/>
  <c r="J4769" i="7"/>
  <c r="E4769" i="7"/>
  <c r="A4769" i="7"/>
  <c r="N4768" i="7"/>
  <c r="H4768" i="7"/>
  <c r="D4768" i="7"/>
  <c r="Q4767" i="7"/>
  <c r="M4767" i="7"/>
  <c r="H4767" i="7"/>
  <c r="D4767" i="7"/>
  <c r="Q4766" i="7"/>
  <c r="M4766" i="7"/>
  <c r="H4766" i="7"/>
  <c r="D4766" i="7"/>
  <c r="Q4765" i="7"/>
  <c r="M4765" i="7"/>
  <c r="G4765" i="7"/>
  <c r="C4765" i="7"/>
  <c r="L4764" i="7"/>
  <c r="G4764" i="7"/>
  <c r="C4764" i="7"/>
  <c r="L4763" i="7"/>
  <c r="G4763" i="7"/>
  <c r="C4763" i="7"/>
  <c r="L4762" i="7"/>
  <c r="G4762" i="7"/>
  <c r="C4762" i="7"/>
  <c r="L4761" i="7"/>
  <c r="G4761" i="7"/>
  <c r="C4761" i="7"/>
  <c r="L4760" i="7"/>
  <c r="H4760" i="7"/>
  <c r="D4760" i="7"/>
  <c r="Q4759" i="7"/>
  <c r="M4759" i="7"/>
  <c r="H4759" i="7"/>
  <c r="D4759" i="7"/>
  <c r="Q4758" i="7"/>
  <c r="M4758" i="7"/>
  <c r="Q4802" i="7"/>
  <c r="H4802" i="7"/>
  <c r="Q4801" i="7"/>
  <c r="H4801" i="7"/>
  <c r="Q4800" i="7"/>
  <c r="H4800" i="7"/>
  <c r="Q4799" i="7"/>
  <c r="H4799" i="7"/>
  <c r="Q4798" i="7"/>
  <c r="H4798" i="7"/>
  <c r="Q4797" i="7"/>
  <c r="Q4796" i="7"/>
  <c r="H4796" i="7"/>
  <c r="Q4795" i="7"/>
  <c r="H4795" i="7"/>
  <c r="Q4794" i="7"/>
  <c r="H4794" i="7"/>
  <c r="Q4793" i="7"/>
  <c r="I4793" i="7"/>
  <c r="A4793" i="7"/>
  <c r="I4792" i="7"/>
  <c r="A4792" i="7"/>
  <c r="M4791" i="7"/>
  <c r="D4791" i="7"/>
  <c r="N4790" i="7"/>
  <c r="E4790" i="7"/>
  <c r="M4789" i="7"/>
  <c r="F4789" i="7"/>
  <c r="A4789" i="7"/>
  <c r="N4788" i="7"/>
  <c r="H4788" i="7"/>
  <c r="B4788" i="7"/>
  <c r="N4787" i="7"/>
  <c r="I4787" i="7"/>
  <c r="C4787" i="7"/>
  <c r="J4786" i="7"/>
  <c r="C4786" i="7"/>
  <c r="A4785" i="7"/>
  <c r="L4784" i="7"/>
  <c r="F4784" i="7"/>
  <c r="G4802" i="7"/>
  <c r="G4801" i="7"/>
  <c r="G4800" i="7"/>
  <c r="G4799" i="7"/>
  <c r="G4798" i="7"/>
  <c r="G4796" i="7"/>
  <c r="G4795" i="7"/>
  <c r="G4794" i="7"/>
  <c r="H4793" i="7"/>
  <c r="Q4792" i="7"/>
  <c r="H4792" i="7"/>
  <c r="Q4791" i="7"/>
  <c r="J4791" i="7"/>
  <c r="A4791" i="7"/>
  <c r="M4790" i="7"/>
  <c r="D4790" i="7"/>
  <c r="L4789" i="7"/>
  <c r="E4789" i="7"/>
  <c r="Q4788" i="7"/>
  <c r="M4788" i="7"/>
  <c r="F4788" i="7"/>
  <c r="A4788" i="7"/>
  <c r="M4787" i="7"/>
  <c r="G4787" i="7"/>
  <c r="B4787" i="7"/>
  <c r="N4786" i="7"/>
  <c r="G4786" i="7"/>
  <c r="B4786" i="7"/>
  <c r="K4785" i="7"/>
  <c r="K4784" i="7"/>
  <c r="E4784" i="7"/>
  <c r="J4783" i="7"/>
  <c r="E4783" i="7"/>
  <c r="K4782" i="7"/>
  <c r="E4782" i="7"/>
  <c r="K4781" i="7"/>
  <c r="E4781" i="7"/>
  <c r="K4780" i="7"/>
  <c r="E4780" i="7"/>
  <c r="K4779" i="7"/>
  <c r="E4779" i="7"/>
  <c r="J4778" i="7"/>
  <c r="E4778" i="7"/>
  <c r="K4777" i="7"/>
  <c r="E4777" i="7"/>
  <c r="K4776" i="7"/>
  <c r="E4776" i="7"/>
  <c r="K4775" i="7"/>
  <c r="E4775" i="7"/>
  <c r="K4774" i="7"/>
  <c r="E4774" i="7"/>
  <c r="K4773" i="7"/>
  <c r="E4773" i="7"/>
  <c r="K4772" i="7"/>
  <c r="E4772" i="7"/>
  <c r="K4771" i="7"/>
  <c r="E4771" i="7"/>
  <c r="Q4770" i="7"/>
  <c r="M4770" i="7"/>
  <c r="G4770" i="7"/>
  <c r="C4770" i="7"/>
  <c r="L4769" i="7"/>
  <c r="G4769" i="7"/>
  <c r="C4769" i="7"/>
  <c r="K4768" i="7"/>
  <c r="F4768" i="7"/>
  <c r="B4768" i="7"/>
  <c r="K4767" i="7"/>
  <c r="F4767" i="7"/>
  <c r="B4767" i="7"/>
  <c r="K4766" i="7"/>
  <c r="F4766" i="7"/>
  <c r="B4766" i="7"/>
  <c r="J4765" i="7"/>
  <c r="E4765" i="7"/>
  <c r="A4765" i="7"/>
  <c r="N4764" i="7"/>
  <c r="J4764" i="7"/>
  <c r="E4764" i="7"/>
  <c r="A4764" i="7"/>
  <c r="N4763" i="7"/>
  <c r="J4763" i="7"/>
  <c r="E4763" i="7"/>
  <c r="A4763" i="7"/>
  <c r="N4762" i="7"/>
  <c r="J4762" i="7"/>
  <c r="E4762" i="7"/>
  <c r="A4762" i="7"/>
  <c r="N4761" i="7"/>
  <c r="J4761" i="7"/>
  <c r="E4761" i="7"/>
  <c r="A4761" i="7"/>
  <c r="N4760" i="7"/>
  <c r="J4760" i="7"/>
  <c r="F4760" i="7"/>
  <c r="B4760" i="7"/>
  <c r="K4759" i="7"/>
  <c r="F4759" i="7"/>
  <c r="B4759" i="7"/>
  <c r="K4758" i="7"/>
  <c r="F4758" i="7"/>
  <c r="B4758" i="7"/>
  <c r="K4757" i="7"/>
  <c r="F4757" i="7"/>
  <c r="B4757" i="7"/>
  <c r="K4756" i="7"/>
  <c r="A4783" i="7"/>
  <c r="A4782" i="7"/>
  <c r="A4781" i="7"/>
  <c r="A4780" i="7"/>
  <c r="A4779" i="7"/>
  <c r="Q4769" i="7"/>
  <c r="D4769" i="7"/>
  <c r="G4768" i="7"/>
  <c r="G4767" i="7"/>
  <c r="G4766" i="7"/>
  <c r="F4765" i="7"/>
  <c r="K4764" i="7"/>
  <c r="B4762" i="7"/>
  <c r="F4761" i="7"/>
  <c r="G4760" i="7"/>
  <c r="G4759" i="7"/>
  <c r="H4758" i="7"/>
  <c r="Q4757" i="7"/>
  <c r="H4757" i="7"/>
  <c r="Q4756" i="7"/>
  <c r="H4756" i="7"/>
  <c r="C4756" i="7"/>
  <c r="H4755" i="7"/>
  <c r="C4755" i="7"/>
  <c r="H4754" i="7"/>
  <c r="C4754" i="7"/>
  <c r="H4753" i="7"/>
  <c r="C4753" i="7"/>
  <c r="H4752" i="7"/>
  <c r="C4752" i="7"/>
  <c r="H4751" i="7"/>
  <c r="C4751" i="7"/>
  <c r="H4750" i="7"/>
  <c r="C4750" i="7"/>
  <c r="H4749" i="7"/>
  <c r="C4749" i="7"/>
  <c r="H4748" i="7"/>
  <c r="C4748" i="7"/>
  <c r="H4747" i="7"/>
  <c r="C4747" i="7"/>
  <c r="H4746" i="7"/>
  <c r="C4746" i="7"/>
  <c r="H4745" i="7"/>
  <c r="C4745" i="7"/>
  <c r="H4744" i="7"/>
  <c r="C4744" i="7"/>
  <c r="H4743" i="7"/>
  <c r="C4743" i="7"/>
  <c r="H4742" i="7"/>
  <c r="C4742" i="7"/>
  <c r="L4741" i="7"/>
  <c r="H4741" i="7"/>
  <c r="D4741" i="7"/>
  <c r="Q4740" i="7"/>
  <c r="M4740" i="7"/>
  <c r="H4740" i="7"/>
  <c r="D4740" i="7"/>
  <c r="Q4739" i="7"/>
  <c r="M4739" i="7"/>
  <c r="H4739" i="7"/>
  <c r="D4739" i="7"/>
  <c r="Q4738" i="7"/>
  <c r="M4738" i="7"/>
  <c r="H4738" i="7"/>
  <c r="D4738" i="7"/>
  <c r="Q4737" i="7"/>
  <c r="M4737" i="7"/>
  <c r="H4737" i="7"/>
  <c r="D4737" i="7"/>
  <c r="Q4736" i="7"/>
  <c r="M4736" i="7"/>
  <c r="H4736" i="7"/>
  <c r="D4736" i="7"/>
  <c r="Q4735" i="7"/>
  <c r="L4735" i="7"/>
  <c r="H4735" i="7"/>
  <c r="D4735" i="7"/>
  <c r="Q4734" i="7"/>
  <c r="M4734" i="7"/>
  <c r="H4734" i="7"/>
  <c r="D4734" i="7"/>
  <c r="Q4733" i="7"/>
  <c r="M4733" i="7"/>
  <c r="H4733" i="7"/>
  <c r="D4733" i="7"/>
  <c r="Q4732" i="7"/>
  <c r="M4732" i="7"/>
  <c r="H4732" i="7"/>
  <c r="D4732" i="7"/>
  <c r="Q4731" i="7"/>
  <c r="M4731" i="7"/>
  <c r="H4731" i="7"/>
  <c r="D4731" i="7"/>
  <c r="Q4730" i="7"/>
  <c r="M4730" i="7"/>
  <c r="H4730" i="7"/>
  <c r="D4730" i="7"/>
  <c r="Q4729" i="7"/>
  <c r="M4729" i="7"/>
  <c r="H4729" i="7"/>
  <c r="D4729" i="7"/>
  <c r="Q4728" i="7"/>
  <c r="M4728" i="7"/>
  <c r="G4728" i="7"/>
  <c r="C4728" i="7"/>
  <c r="A4784" i="7"/>
  <c r="K4778" i="7"/>
  <c r="L4777" i="7"/>
  <c r="L4776" i="7"/>
  <c r="L4775" i="7"/>
  <c r="L4774" i="7"/>
  <c r="L4773" i="7"/>
  <c r="L4772" i="7"/>
  <c r="L4771" i="7"/>
  <c r="N4770" i="7"/>
  <c r="Q4768" i="7"/>
  <c r="C4768" i="7"/>
  <c r="C4767" i="7"/>
  <c r="C4766" i="7"/>
  <c r="B4765" i="7"/>
  <c r="F4764" i="7"/>
  <c r="K4763" i="7"/>
  <c r="B4761" i="7"/>
  <c r="C4760" i="7"/>
  <c r="C4759" i="7"/>
  <c r="G4758" i="7"/>
  <c r="G4757" i="7"/>
  <c r="G4756" i="7"/>
  <c r="B4756" i="7"/>
  <c r="L4755" i="7"/>
  <c r="G4755" i="7"/>
  <c r="B4755" i="7"/>
  <c r="M4754" i="7"/>
  <c r="G4754" i="7"/>
  <c r="B4754" i="7"/>
  <c r="M4753" i="7"/>
  <c r="G4753" i="7"/>
  <c r="B4753" i="7"/>
  <c r="M4752" i="7"/>
  <c r="G4752" i="7"/>
  <c r="B4752" i="7"/>
  <c r="M4751" i="7"/>
  <c r="G4751" i="7"/>
  <c r="B4751" i="7"/>
  <c r="M4750" i="7"/>
  <c r="G4750" i="7"/>
  <c r="B4750" i="7"/>
  <c r="M4749" i="7"/>
  <c r="G4749" i="7"/>
  <c r="B4749" i="7"/>
  <c r="M4748" i="7"/>
  <c r="G4748" i="7"/>
  <c r="B4748" i="7"/>
  <c r="M4747" i="7"/>
  <c r="G4747" i="7"/>
  <c r="B4747" i="7"/>
  <c r="M4746" i="7"/>
  <c r="G4746" i="7"/>
  <c r="B4746" i="7"/>
  <c r="M4745" i="7"/>
  <c r="G4745" i="7"/>
  <c r="B4745" i="7"/>
  <c r="M4744" i="7"/>
  <c r="G4744" i="7"/>
  <c r="B4744" i="7"/>
  <c r="M4743" i="7"/>
  <c r="G4743" i="7"/>
  <c r="B4743" i="7"/>
  <c r="M4742" i="7"/>
  <c r="G4742" i="7"/>
  <c r="B4742" i="7"/>
  <c r="K4741" i="7"/>
  <c r="G4741" i="7"/>
  <c r="C4741" i="7"/>
  <c r="L4740" i="7"/>
  <c r="G4740" i="7"/>
  <c r="C4740" i="7"/>
  <c r="L4739" i="7"/>
  <c r="G4739" i="7"/>
  <c r="C4739" i="7"/>
  <c r="L4738" i="7"/>
  <c r="G4738" i="7"/>
  <c r="C4738" i="7"/>
  <c r="L4737" i="7"/>
  <c r="G4737" i="7"/>
  <c r="C4737" i="7"/>
  <c r="L4736" i="7"/>
  <c r="G4736" i="7"/>
  <c r="C4736" i="7"/>
  <c r="K4735" i="7"/>
  <c r="G4735" i="7"/>
  <c r="C4735" i="7"/>
  <c r="L4734" i="7"/>
  <c r="G4734" i="7"/>
  <c r="C4734" i="7"/>
  <c r="L4733" i="7"/>
  <c r="G4733" i="7"/>
  <c r="C4733" i="7"/>
  <c r="L4732" i="7"/>
  <c r="G4732" i="7"/>
  <c r="C4732" i="7"/>
  <c r="L4731" i="7"/>
  <c r="G4731" i="7"/>
  <c r="C4731" i="7"/>
  <c r="L4730" i="7"/>
  <c r="G4730" i="7"/>
  <c r="C4730" i="7"/>
  <c r="L4729" i="7"/>
  <c r="G4729" i="7"/>
  <c r="C4729" i="7"/>
  <c r="K4728" i="7"/>
  <c r="F4728" i="7"/>
  <c r="B4728" i="7"/>
  <c r="J4727" i="7"/>
  <c r="E4727" i="7"/>
  <c r="A4727" i="7"/>
  <c r="N4726" i="7"/>
  <c r="H4726" i="7"/>
  <c r="D4726" i="7"/>
  <c r="Q4725" i="7"/>
  <c r="M4725" i="7"/>
  <c r="G4725" i="7"/>
  <c r="C4725" i="7"/>
  <c r="L4724" i="7"/>
  <c r="H4724" i="7"/>
  <c r="D4724" i="7"/>
  <c r="Q4723" i="7"/>
  <c r="M4723" i="7"/>
  <c r="H4723" i="7"/>
  <c r="D4723" i="7"/>
  <c r="Q4722" i="7"/>
  <c r="M4722" i="7"/>
  <c r="H4722" i="7"/>
  <c r="D4722" i="7"/>
  <c r="Q4721" i="7"/>
  <c r="M4721" i="7"/>
  <c r="H4721" i="7"/>
  <c r="D4721" i="7"/>
  <c r="Q4720" i="7"/>
  <c r="M4720" i="7"/>
  <c r="H4720" i="7"/>
  <c r="D4720" i="7"/>
  <c r="Q4719" i="7"/>
  <c r="L4719" i="7"/>
  <c r="H4719" i="7"/>
  <c r="D4719" i="7"/>
  <c r="Q4718" i="7"/>
  <c r="M4718" i="7"/>
  <c r="H4718" i="7"/>
  <c r="D4718" i="7"/>
  <c r="Q4717" i="7"/>
  <c r="L4717" i="7"/>
  <c r="H4717" i="7"/>
  <c r="D4717" i="7"/>
  <c r="Q4716" i="7"/>
  <c r="M4716" i="7"/>
  <c r="H4716" i="7"/>
  <c r="D4716" i="7"/>
  <c r="Q4715" i="7"/>
  <c r="M4715" i="7"/>
  <c r="H4715" i="7"/>
  <c r="D4715" i="7"/>
  <c r="Q4714" i="7"/>
  <c r="M4714" i="7"/>
  <c r="H4714" i="7"/>
  <c r="D4714" i="7"/>
  <c r="Q4713" i="7"/>
  <c r="M4713" i="7"/>
  <c r="H4713" i="7"/>
  <c r="D4713" i="7"/>
  <c r="Q4712" i="7"/>
  <c r="M4712" i="7"/>
  <c r="H4712" i="7"/>
  <c r="D4712" i="7"/>
  <c r="Q4711" i="7"/>
  <c r="M4711" i="7"/>
  <c r="H4711" i="7"/>
  <c r="D4711" i="7"/>
  <c r="Q4710" i="7"/>
  <c r="M4710" i="7"/>
  <c r="H4710" i="7"/>
  <c r="K4783" i="7"/>
  <c r="L4782" i="7"/>
  <c r="L4781" i="7"/>
  <c r="L4780" i="7"/>
  <c r="L4779" i="7"/>
  <c r="F4778" i="7"/>
  <c r="F4777" i="7"/>
  <c r="F4776" i="7"/>
  <c r="F4775" i="7"/>
  <c r="F4774" i="7"/>
  <c r="F4773" i="7"/>
  <c r="F4772" i="7"/>
  <c r="F4771" i="7"/>
  <c r="H4770" i="7"/>
  <c r="M4769" i="7"/>
  <c r="B4764" i="7"/>
  <c r="F4763" i="7"/>
  <c r="K4762" i="7"/>
  <c r="D4758" i="7"/>
  <c r="M4757" i="7"/>
  <c r="D4757" i="7"/>
  <c r="M4756" i="7"/>
  <c r="F4756" i="7"/>
  <c r="Q4755" i="7"/>
  <c r="K4755" i="7"/>
  <c r="F4755" i="7"/>
  <c r="Q4754" i="7"/>
  <c r="L4754" i="7"/>
  <c r="F4754" i="7"/>
  <c r="Q4753" i="7"/>
  <c r="L4753" i="7"/>
  <c r="F4753" i="7"/>
  <c r="Q4752" i="7"/>
  <c r="L4752" i="7"/>
  <c r="F4752" i="7"/>
  <c r="Q4751" i="7"/>
  <c r="L4751" i="7"/>
  <c r="F4751" i="7"/>
  <c r="Q4750" i="7"/>
  <c r="L4750" i="7"/>
  <c r="F4750" i="7"/>
  <c r="Q4749" i="7"/>
  <c r="L4749" i="7"/>
  <c r="F4749" i="7"/>
  <c r="Q4748" i="7"/>
  <c r="L4748" i="7"/>
  <c r="F4748" i="7"/>
  <c r="Q4747" i="7"/>
  <c r="L4747" i="7"/>
  <c r="F4747" i="7"/>
  <c r="Q4746" i="7"/>
  <c r="L4746" i="7"/>
  <c r="F4746" i="7"/>
  <c r="Q4745" i="7"/>
  <c r="L4745" i="7"/>
  <c r="F4745" i="7"/>
  <c r="Q4744" i="7"/>
  <c r="L4744" i="7"/>
  <c r="F4744" i="7"/>
  <c r="Q4743" i="7"/>
  <c r="L4743" i="7"/>
  <c r="F4743" i="7"/>
  <c r="Q4742" i="7"/>
  <c r="L4742" i="7"/>
  <c r="F4742" i="7"/>
  <c r="A4742" i="7"/>
  <c r="N4741" i="7"/>
  <c r="J4741" i="7"/>
  <c r="F4741" i="7"/>
  <c r="B4741" i="7"/>
  <c r="K4740" i="7"/>
  <c r="F4740" i="7"/>
  <c r="B4740" i="7"/>
  <c r="K4739" i="7"/>
  <c r="F4739" i="7"/>
  <c r="B4739" i="7"/>
  <c r="K4738" i="7"/>
  <c r="F4738" i="7"/>
  <c r="B4738" i="7"/>
  <c r="K4737" i="7"/>
  <c r="F4737" i="7"/>
  <c r="B4737" i="7"/>
  <c r="K4736" i="7"/>
  <c r="F4736" i="7"/>
  <c r="B4736" i="7"/>
  <c r="J4735" i="7"/>
  <c r="F4735" i="7"/>
  <c r="B4735" i="7"/>
  <c r="K4734" i="7"/>
  <c r="F4734" i="7"/>
  <c r="B4734" i="7"/>
  <c r="K4733" i="7"/>
  <c r="F4733" i="7"/>
  <c r="B4733" i="7"/>
  <c r="K4732" i="7"/>
  <c r="F4732" i="7"/>
  <c r="B4732" i="7"/>
  <c r="K4731" i="7"/>
  <c r="F4731" i="7"/>
  <c r="B4731" i="7"/>
  <c r="K4730" i="7"/>
  <c r="F4730" i="7"/>
  <c r="B4730" i="7"/>
  <c r="K4729" i="7"/>
  <c r="F4729" i="7"/>
  <c r="B4729" i="7"/>
  <c r="A4777" i="7"/>
  <c r="A4775" i="7"/>
  <c r="A4773" i="7"/>
  <c r="A4771" i="7"/>
  <c r="H4769" i="7"/>
  <c r="L4767" i="7"/>
  <c r="K4765" i="7"/>
  <c r="B4763" i="7"/>
  <c r="K4761" i="7"/>
  <c r="L4757" i="7"/>
  <c r="D4756" i="7"/>
  <c r="K4753" i="7"/>
  <c r="D4752" i="7"/>
  <c r="K4749" i="7"/>
  <c r="D4748" i="7"/>
  <c r="K4745" i="7"/>
  <c r="D4744" i="7"/>
  <c r="M4741" i="7"/>
  <c r="A4740" i="7"/>
  <c r="E4739" i="7"/>
  <c r="J4738" i="7"/>
  <c r="N4737" i="7"/>
  <c r="A4736" i="7"/>
  <c r="A4735" i="7"/>
  <c r="E4734" i="7"/>
  <c r="J4733" i="7"/>
  <c r="N4732" i="7"/>
  <c r="A4731" i="7"/>
  <c r="E4730" i="7"/>
  <c r="J4729" i="7"/>
  <c r="E4728" i="7"/>
  <c r="H4727" i="7"/>
  <c r="C4727" i="7"/>
  <c r="G4726" i="7"/>
  <c r="B4726" i="7"/>
  <c r="N4725" i="7"/>
  <c r="F4725" i="7"/>
  <c r="A4725" i="7"/>
  <c r="M4724" i="7"/>
  <c r="G4724" i="7"/>
  <c r="B4724" i="7"/>
  <c r="N4723" i="7"/>
  <c r="G4723" i="7"/>
  <c r="B4723" i="7"/>
  <c r="N4722" i="7"/>
  <c r="G4722" i="7"/>
  <c r="B4722" i="7"/>
  <c r="N4721" i="7"/>
  <c r="G4721" i="7"/>
  <c r="B4721" i="7"/>
  <c r="N4720" i="7"/>
  <c r="G4720" i="7"/>
  <c r="B4720" i="7"/>
  <c r="M4719" i="7"/>
  <c r="G4719" i="7"/>
  <c r="B4719" i="7"/>
  <c r="N4718" i="7"/>
  <c r="G4718" i="7"/>
  <c r="B4718" i="7"/>
  <c r="M4717" i="7"/>
  <c r="G4717" i="7"/>
  <c r="B4717" i="7"/>
  <c r="N4716" i="7"/>
  <c r="G4716" i="7"/>
  <c r="B4716" i="7"/>
  <c r="N4715" i="7"/>
  <c r="G4715" i="7"/>
  <c r="B4715" i="7"/>
  <c r="N4714" i="7"/>
  <c r="G4714" i="7"/>
  <c r="B4714" i="7"/>
  <c r="N4713" i="7"/>
  <c r="G4713" i="7"/>
  <c r="B4713" i="7"/>
  <c r="N4712" i="7"/>
  <c r="G4712" i="7"/>
  <c r="B4712" i="7"/>
  <c r="N4711" i="7"/>
  <c r="G4711" i="7"/>
  <c r="B4711" i="7"/>
  <c r="N4710" i="7"/>
  <c r="G4710" i="7"/>
  <c r="C4710" i="7"/>
  <c r="K4709" i="7"/>
  <c r="G4709" i="7"/>
  <c r="C4709" i="7"/>
  <c r="K4708" i="7"/>
  <c r="G4708" i="7"/>
  <c r="C4708" i="7"/>
  <c r="L4707" i="7"/>
  <c r="H4707" i="7"/>
  <c r="D4707" i="7"/>
  <c r="Q4706" i="7"/>
  <c r="M4706" i="7"/>
  <c r="I4706" i="7"/>
  <c r="E4706" i="7"/>
  <c r="A4706" i="7"/>
  <c r="N4705" i="7"/>
  <c r="J4705" i="7"/>
  <c r="E4705" i="7"/>
  <c r="A4705" i="7"/>
  <c r="N4704" i="7"/>
  <c r="J4704" i="7"/>
  <c r="E4704" i="7"/>
  <c r="A4704" i="7"/>
  <c r="N4703" i="7"/>
  <c r="J4703" i="7"/>
  <c r="E4703" i="7"/>
  <c r="A4703" i="7"/>
  <c r="N4702" i="7"/>
  <c r="J4702" i="7"/>
  <c r="E4702" i="7"/>
  <c r="A4702" i="7"/>
  <c r="N4701" i="7"/>
  <c r="J4701" i="7"/>
  <c r="E4701" i="7"/>
  <c r="A4701" i="7"/>
  <c r="N4700" i="7"/>
  <c r="J4700" i="7"/>
  <c r="E4700" i="7"/>
  <c r="A4700" i="7"/>
  <c r="N4699" i="7"/>
  <c r="J4699" i="7"/>
  <c r="E4699" i="7"/>
  <c r="A4699" i="7"/>
  <c r="N4698" i="7"/>
  <c r="J4698" i="7"/>
  <c r="E4698" i="7"/>
  <c r="A4698" i="7"/>
  <c r="N4697" i="7"/>
  <c r="J4697" i="7"/>
  <c r="E4697" i="7"/>
  <c r="A4697" i="7"/>
  <c r="N4696" i="7"/>
  <c r="J4696" i="7"/>
  <c r="E4696" i="7"/>
  <c r="A4696" i="7"/>
  <c r="N4695" i="7"/>
  <c r="J4695" i="7"/>
  <c r="E4695" i="7"/>
  <c r="A4695" i="7"/>
  <c r="N4694" i="7"/>
  <c r="J4694" i="7"/>
  <c r="E4694" i="7"/>
  <c r="A4694" i="7"/>
  <c r="N4693" i="7"/>
  <c r="J4693" i="7"/>
  <c r="E4693" i="7"/>
  <c r="A4693" i="7"/>
  <c r="N4692" i="7"/>
  <c r="J4692" i="7"/>
  <c r="E4692" i="7"/>
  <c r="A4692" i="7"/>
  <c r="N4691" i="7"/>
  <c r="J4691" i="7"/>
  <c r="E4691" i="7"/>
  <c r="A4691" i="7"/>
  <c r="N4690" i="7"/>
  <c r="J4690" i="7"/>
  <c r="E4690" i="7"/>
  <c r="A4690" i="7"/>
  <c r="N4689" i="7"/>
  <c r="J4689" i="7"/>
  <c r="E4689" i="7"/>
  <c r="A4689" i="7"/>
  <c r="N4688" i="7"/>
  <c r="J4688" i="7"/>
  <c r="E4688" i="7"/>
  <c r="A4688" i="7"/>
  <c r="N4687" i="7"/>
  <c r="J4687" i="7"/>
  <c r="E4687" i="7"/>
  <c r="A4687" i="7"/>
  <c r="M4686" i="7"/>
  <c r="I4686" i="7"/>
  <c r="E4686" i="7"/>
  <c r="A4686" i="7"/>
  <c r="N4685" i="7"/>
  <c r="J4685" i="7"/>
  <c r="E4685" i="7"/>
  <c r="A4685" i="7"/>
  <c r="N4684" i="7"/>
  <c r="J4684" i="7"/>
  <c r="E4684" i="7"/>
  <c r="A4684" i="7"/>
  <c r="N4683" i="7"/>
  <c r="J4683" i="7"/>
  <c r="E4683" i="7"/>
  <c r="A4683" i="7"/>
  <c r="N4682" i="7"/>
  <c r="J4682" i="7"/>
  <c r="E4682" i="7"/>
  <c r="A4682" i="7"/>
  <c r="M4681" i="7"/>
  <c r="I4681" i="7"/>
  <c r="E4681" i="7"/>
  <c r="A4681" i="7"/>
  <c r="M4680" i="7"/>
  <c r="I4680" i="7"/>
  <c r="E4680" i="7"/>
  <c r="A4680" i="7"/>
  <c r="N4679" i="7"/>
  <c r="H4679" i="7"/>
  <c r="D4679" i="7"/>
  <c r="Q4678" i="7"/>
  <c r="M4678" i="7"/>
  <c r="H4678" i="7"/>
  <c r="D4678" i="7"/>
  <c r="Q4677" i="7"/>
  <c r="M4677" i="7"/>
  <c r="H4677" i="7"/>
  <c r="D4677" i="7"/>
  <c r="Q4676" i="7"/>
  <c r="M4676" i="7"/>
  <c r="H4676" i="7"/>
  <c r="D4676" i="7"/>
  <c r="Q4675" i="7"/>
  <c r="M4675" i="7"/>
  <c r="H4675" i="7"/>
  <c r="D4675" i="7"/>
  <c r="Q4674" i="7"/>
  <c r="M4674" i="7"/>
  <c r="H4674" i="7"/>
  <c r="D4674" i="7"/>
  <c r="Q4673" i="7"/>
  <c r="M4673" i="7"/>
  <c r="H4673" i="7"/>
  <c r="D4673" i="7"/>
  <c r="Q4672" i="7"/>
  <c r="M4672" i="7"/>
  <c r="H4672" i="7"/>
  <c r="D4672" i="7"/>
  <c r="Q4671" i="7"/>
  <c r="M4671" i="7"/>
  <c r="H4671" i="7"/>
  <c r="D4671" i="7"/>
  <c r="Q4670" i="7"/>
  <c r="L4670" i="7"/>
  <c r="H4670" i="7"/>
  <c r="D4670" i="7"/>
  <c r="Q4669" i="7"/>
  <c r="M4669" i="7"/>
  <c r="H4669" i="7"/>
  <c r="D4669" i="7"/>
  <c r="Q4668" i="7"/>
  <c r="M4668" i="7"/>
  <c r="H4668" i="7"/>
  <c r="D4668" i="7"/>
  <c r="F4783" i="7"/>
  <c r="F4781" i="7"/>
  <c r="F4779" i="7"/>
  <c r="K4760" i="7"/>
  <c r="L4758" i="7"/>
  <c r="C4757" i="7"/>
  <c r="K4754" i="7"/>
  <c r="D4753" i="7"/>
  <c r="K4750" i="7"/>
  <c r="D4749" i="7"/>
  <c r="K4746" i="7"/>
  <c r="D4745" i="7"/>
  <c r="K4742" i="7"/>
  <c r="I4741" i="7"/>
  <c r="N4740" i="7"/>
  <c r="A4739" i="7"/>
  <c r="E4738" i="7"/>
  <c r="J4737" i="7"/>
  <c r="N4736" i="7"/>
  <c r="M4735" i="7"/>
  <c r="A4734" i="7"/>
  <c r="E4733" i="7"/>
  <c r="J4732" i="7"/>
  <c r="N4731" i="7"/>
  <c r="A4730" i="7"/>
  <c r="E4729" i="7"/>
  <c r="N4728" i="7"/>
  <c r="D4728" i="7"/>
  <c r="N4727" i="7"/>
  <c r="G4727" i="7"/>
  <c r="B4727" i="7"/>
  <c r="M4726" i="7"/>
  <c r="F4726" i="7"/>
  <c r="A4726" i="7"/>
  <c r="K4725" i="7"/>
  <c r="E4725" i="7"/>
  <c r="Q4724" i="7"/>
  <c r="K4724" i="7"/>
  <c r="F4724" i="7"/>
  <c r="A4724" i="7"/>
  <c r="L4723" i="7"/>
  <c r="F4723" i="7"/>
  <c r="A4723" i="7"/>
  <c r="L4722" i="7"/>
  <c r="F4722" i="7"/>
  <c r="A4722" i="7"/>
  <c r="L4721" i="7"/>
  <c r="F4721" i="7"/>
  <c r="A4721" i="7"/>
  <c r="L4720" i="7"/>
  <c r="F4720" i="7"/>
  <c r="A4720" i="7"/>
  <c r="K4719" i="7"/>
  <c r="F4719" i="7"/>
  <c r="A4719" i="7"/>
  <c r="L4718" i="7"/>
  <c r="F4718" i="7"/>
  <c r="A4718" i="7"/>
  <c r="K4717" i="7"/>
  <c r="F4717" i="7"/>
  <c r="A4717" i="7"/>
  <c r="L4716" i="7"/>
  <c r="F4716" i="7"/>
  <c r="A4716" i="7"/>
  <c r="L4715" i="7"/>
  <c r="F4715" i="7"/>
  <c r="A4715" i="7"/>
  <c r="L4714" i="7"/>
  <c r="F4714" i="7"/>
  <c r="A4714" i="7"/>
  <c r="L4713" i="7"/>
  <c r="F4713" i="7"/>
  <c r="A4713" i="7"/>
  <c r="L4712" i="7"/>
  <c r="F4712" i="7"/>
  <c r="A4712" i="7"/>
  <c r="L4711" i="7"/>
  <c r="F4711" i="7"/>
  <c r="A4711" i="7"/>
  <c r="L4710" i="7"/>
  <c r="F4710" i="7"/>
  <c r="B4710" i="7"/>
  <c r="J4709" i="7"/>
  <c r="F4709" i="7"/>
  <c r="B4709" i="7"/>
  <c r="J4708" i="7"/>
  <c r="F4708" i="7"/>
  <c r="B4708" i="7"/>
  <c r="K4707" i="7"/>
  <c r="G4707" i="7"/>
  <c r="C4707" i="7"/>
  <c r="L4706" i="7"/>
  <c r="H4706" i="7"/>
  <c r="D4706" i="7"/>
  <c r="Q4705" i="7"/>
  <c r="M4705" i="7"/>
  <c r="H4705" i="7"/>
  <c r="D4705" i="7"/>
  <c r="Q4704" i="7"/>
  <c r="M4704" i="7"/>
  <c r="H4704" i="7"/>
  <c r="D4704" i="7"/>
  <c r="Q4703" i="7"/>
  <c r="M4703" i="7"/>
  <c r="H4703" i="7"/>
  <c r="D4703" i="7"/>
  <c r="Q4702" i="7"/>
  <c r="M4702" i="7"/>
  <c r="H4702" i="7"/>
  <c r="D4702" i="7"/>
  <c r="Q4701" i="7"/>
  <c r="M4701" i="7"/>
  <c r="H4701" i="7"/>
  <c r="D4701" i="7"/>
  <c r="Q4700" i="7"/>
  <c r="M4700" i="7"/>
  <c r="H4700" i="7"/>
  <c r="D4700" i="7"/>
  <c r="Q4699" i="7"/>
  <c r="M4699" i="7"/>
  <c r="H4699" i="7"/>
  <c r="D4699" i="7"/>
  <c r="Q4698" i="7"/>
  <c r="M4698" i="7"/>
  <c r="H4698" i="7"/>
  <c r="D4698" i="7"/>
  <c r="Q4697" i="7"/>
  <c r="M4697" i="7"/>
  <c r="H4697" i="7"/>
  <c r="D4697" i="7"/>
  <c r="Q4696" i="7"/>
  <c r="M4696" i="7"/>
  <c r="H4696" i="7"/>
  <c r="D4696" i="7"/>
  <c r="Q4695" i="7"/>
  <c r="M4695" i="7"/>
  <c r="H4695" i="7"/>
  <c r="D4695" i="7"/>
  <c r="Q4694" i="7"/>
  <c r="M4694" i="7"/>
  <c r="H4694" i="7"/>
  <c r="D4694" i="7"/>
  <c r="Q4693" i="7"/>
  <c r="M4693" i="7"/>
  <c r="H4693" i="7"/>
  <c r="D4693" i="7"/>
  <c r="Q4692" i="7"/>
  <c r="M4692" i="7"/>
  <c r="H4692" i="7"/>
  <c r="D4692" i="7"/>
  <c r="Q4691" i="7"/>
  <c r="M4691" i="7"/>
  <c r="H4691" i="7"/>
  <c r="D4691" i="7"/>
  <c r="Q4690" i="7"/>
  <c r="M4690" i="7"/>
  <c r="H4690" i="7"/>
  <c r="D4690" i="7"/>
  <c r="Q4689" i="7"/>
  <c r="M4689" i="7"/>
  <c r="H4689" i="7"/>
  <c r="D4689" i="7"/>
  <c r="Q4688" i="7"/>
  <c r="M4688" i="7"/>
  <c r="H4688" i="7"/>
  <c r="D4688" i="7"/>
  <c r="Q4687" i="7"/>
  <c r="M4687" i="7"/>
  <c r="H4687" i="7"/>
  <c r="D4687" i="7"/>
  <c r="Q4686" i="7"/>
  <c r="L4686" i="7"/>
  <c r="H4686" i="7"/>
  <c r="D4686" i="7"/>
  <c r="Q4685" i="7"/>
  <c r="M4685" i="7"/>
  <c r="H4685" i="7"/>
  <c r="D4685" i="7"/>
  <c r="Q4684" i="7"/>
  <c r="M4684" i="7"/>
  <c r="H4684" i="7"/>
  <c r="D4684" i="7"/>
  <c r="Q4683" i="7"/>
  <c r="M4683" i="7"/>
  <c r="H4683" i="7"/>
  <c r="D4683" i="7"/>
  <c r="Q4682" i="7"/>
  <c r="M4682" i="7"/>
  <c r="H4682" i="7"/>
  <c r="D4682" i="7"/>
  <c r="Q4681" i="7"/>
  <c r="L4681" i="7"/>
  <c r="H4681" i="7"/>
  <c r="D4681" i="7"/>
  <c r="Q4680" i="7"/>
  <c r="L4680" i="7"/>
  <c r="H4680" i="7"/>
  <c r="D4680" i="7"/>
  <c r="Q4679" i="7"/>
  <c r="M4679" i="7"/>
  <c r="G4679" i="7"/>
  <c r="C4679" i="7"/>
  <c r="L4678" i="7"/>
  <c r="G4678" i="7"/>
  <c r="C4678" i="7"/>
  <c r="L4677" i="7"/>
  <c r="G4677" i="7"/>
  <c r="C4677" i="7"/>
  <c r="L4676" i="7"/>
  <c r="G4676" i="7"/>
  <c r="A4772" i="7"/>
  <c r="C4758" i="7"/>
  <c r="J4755" i="7"/>
  <c r="K4751" i="7"/>
  <c r="K4747" i="7"/>
  <c r="K4743" i="7"/>
  <c r="Q4741" i="7"/>
  <c r="J4740" i="7"/>
  <c r="J4739" i="7"/>
  <c r="J4736" i="7"/>
  <c r="N4733" i="7"/>
  <c r="A4732" i="7"/>
  <c r="N4729" i="7"/>
  <c r="H4728" i="7"/>
  <c r="M4727" i="7"/>
  <c r="Q4726" i="7"/>
  <c r="E4726" i="7"/>
  <c r="J4725" i="7"/>
  <c r="E4724" i="7"/>
  <c r="K4723" i="7"/>
  <c r="E4722" i="7"/>
  <c r="K4721" i="7"/>
  <c r="E4720" i="7"/>
  <c r="J4719" i="7"/>
  <c r="E4718" i="7"/>
  <c r="J4717" i="7"/>
  <c r="E4716" i="7"/>
  <c r="K4715" i="7"/>
  <c r="E4714" i="7"/>
  <c r="K4713" i="7"/>
  <c r="E4712" i="7"/>
  <c r="K4711" i="7"/>
  <c r="E4710" i="7"/>
  <c r="M4709" i="7"/>
  <c r="E4709" i="7"/>
  <c r="M4708" i="7"/>
  <c r="E4708" i="7"/>
  <c r="N4707" i="7"/>
  <c r="F4707" i="7"/>
  <c r="G4706" i="7"/>
  <c r="G4705" i="7"/>
  <c r="G4704" i="7"/>
  <c r="G4703" i="7"/>
  <c r="G4702" i="7"/>
  <c r="G4701" i="7"/>
  <c r="G4700" i="7"/>
  <c r="G4699" i="7"/>
  <c r="G4698" i="7"/>
  <c r="G4697" i="7"/>
  <c r="G4696" i="7"/>
  <c r="G4695" i="7"/>
  <c r="G4694" i="7"/>
  <c r="G4693" i="7"/>
  <c r="G4692" i="7"/>
  <c r="G4691" i="7"/>
  <c r="G4690" i="7"/>
  <c r="G4689" i="7"/>
  <c r="G4688" i="7"/>
  <c r="G4687" i="7"/>
  <c r="G4686" i="7"/>
  <c r="G4685" i="7"/>
  <c r="G4684" i="7"/>
  <c r="G4683" i="7"/>
  <c r="G4682" i="7"/>
  <c r="G4681" i="7"/>
  <c r="G4680" i="7"/>
  <c r="F4679" i="7"/>
  <c r="J4678" i="7"/>
  <c r="A4678" i="7"/>
  <c r="K4677" i="7"/>
  <c r="B4677" i="7"/>
  <c r="N4676" i="7"/>
  <c r="E4676" i="7"/>
  <c r="K4675" i="7"/>
  <c r="E4675" i="7"/>
  <c r="K4674" i="7"/>
  <c r="E4674" i="7"/>
  <c r="K4673" i="7"/>
  <c r="E4673" i="7"/>
  <c r="K4672" i="7"/>
  <c r="E4672" i="7"/>
  <c r="K4671" i="7"/>
  <c r="E4671" i="7"/>
  <c r="J4670" i="7"/>
  <c r="E4670" i="7"/>
  <c r="K4669" i="7"/>
  <c r="E4669" i="7"/>
  <c r="K4668" i="7"/>
  <c r="E4668" i="7"/>
  <c r="Q4667" i="7"/>
  <c r="M4667" i="7"/>
  <c r="H4667" i="7"/>
  <c r="D4667" i="7"/>
  <c r="Q4666" i="7"/>
  <c r="M4666" i="7"/>
  <c r="H4666" i="7"/>
  <c r="D4666" i="7"/>
  <c r="Q4665" i="7"/>
  <c r="M4665" i="7"/>
  <c r="H4665" i="7"/>
  <c r="D4665" i="7"/>
  <c r="Q4664" i="7"/>
  <c r="M4664" i="7"/>
  <c r="H4664" i="7"/>
  <c r="D4664" i="7"/>
  <c r="Q4663" i="7"/>
  <c r="M4663" i="7"/>
  <c r="H4663" i="7"/>
  <c r="D4663" i="7"/>
  <c r="Q4662" i="7"/>
  <c r="M4662" i="7"/>
  <c r="H4662" i="7"/>
  <c r="D4662" i="7"/>
  <c r="Q4661" i="7"/>
  <c r="M4661" i="7"/>
  <c r="H4661" i="7"/>
  <c r="D4661" i="7"/>
  <c r="Q4660" i="7"/>
  <c r="M4660" i="7"/>
  <c r="H4660" i="7"/>
  <c r="D4660" i="7"/>
  <c r="Q4659" i="7"/>
  <c r="M4659" i="7"/>
  <c r="G4659" i="7"/>
  <c r="C4659" i="7"/>
  <c r="L4658" i="7"/>
  <c r="G4658" i="7"/>
  <c r="C4658" i="7"/>
  <c r="L4657" i="7"/>
  <c r="G4657" i="7"/>
  <c r="C4657" i="7"/>
  <c r="K4656" i="7"/>
  <c r="F4656" i="7"/>
  <c r="B4656" i="7"/>
  <c r="J4655" i="7"/>
  <c r="E4655" i="7"/>
  <c r="A4655" i="7"/>
  <c r="N4654" i="7"/>
  <c r="J4654" i="7"/>
  <c r="E4654" i="7"/>
  <c r="A4654" i="7"/>
  <c r="N4653" i="7"/>
  <c r="H4653" i="7"/>
  <c r="D4653" i="7"/>
  <c r="Q4652" i="7"/>
  <c r="M4652" i="7"/>
  <c r="G4652" i="7"/>
  <c r="C4652" i="7"/>
  <c r="K4651" i="7"/>
  <c r="F4651" i="7"/>
  <c r="B4651" i="7"/>
  <c r="K4650" i="7"/>
  <c r="F4650" i="7"/>
  <c r="B4650" i="7"/>
  <c r="K4649" i="7"/>
  <c r="F4649" i="7"/>
  <c r="B4649" i="7"/>
  <c r="K4648" i="7"/>
  <c r="F4648" i="7"/>
  <c r="B4648" i="7"/>
  <c r="J4647" i="7"/>
  <c r="E4647" i="7"/>
  <c r="A4647" i="7"/>
  <c r="N4646" i="7"/>
  <c r="H4646" i="7"/>
  <c r="D4646" i="7"/>
  <c r="Q4645" i="7"/>
  <c r="M4645" i="7"/>
  <c r="G4645" i="7"/>
  <c r="C4645" i="7"/>
  <c r="K4644" i="7"/>
  <c r="F4644" i="7"/>
  <c r="B4644" i="7"/>
  <c r="K4643" i="7"/>
  <c r="F4643" i="7"/>
  <c r="F4780" i="7"/>
  <c r="A4774" i="7"/>
  <c r="L4766" i="7"/>
  <c r="D4755" i="7"/>
  <c r="D4751" i="7"/>
  <c r="D4747" i="7"/>
  <c r="D4743" i="7"/>
  <c r="E4741" i="7"/>
  <c r="E4740" i="7"/>
  <c r="E4737" i="7"/>
  <c r="E4736" i="7"/>
  <c r="N4734" i="7"/>
  <c r="A4733" i="7"/>
  <c r="N4730" i="7"/>
  <c r="A4729" i="7"/>
  <c r="A4728" i="7"/>
  <c r="K4727" i="7"/>
  <c r="C4726" i="7"/>
  <c r="H4725" i="7"/>
  <c r="N4724" i="7"/>
  <c r="C4724" i="7"/>
  <c r="J4723" i="7"/>
  <c r="C4722" i="7"/>
  <c r="J4721" i="7"/>
  <c r="C4720" i="7"/>
  <c r="I4719" i="7"/>
  <c r="C4718" i="7"/>
  <c r="I4717" i="7"/>
  <c r="C4716" i="7"/>
  <c r="J4715" i="7"/>
  <c r="C4714" i="7"/>
  <c r="J4713" i="7"/>
  <c r="C4712" i="7"/>
  <c r="J4711" i="7"/>
  <c r="D4710" i="7"/>
  <c r="L4709" i="7"/>
  <c r="D4709" i="7"/>
  <c r="L4708" i="7"/>
  <c r="D4708" i="7"/>
  <c r="M4707" i="7"/>
  <c r="E4707" i="7"/>
  <c r="N4706" i="7"/>
  <c r="F4706" i="7"/>
  <c r="F4705" i="7"/>
  <c r="F4704" i="7"/>
  <c r="F4703" i="7"/>
  <c r="F4702" i="7"/>
  <c r="F4701" i="7"/>
  <c r="F4700" i="7"/>
  <c r="F4699" i="7"/>
  <c r="F4698" i="7"/>
  <c r="F4697" i="7"/>
  <c r="F4696" i="7"/>
  <c r="F4695" i="7"/>
  <c r="F4694" i="7"/>
  <c r="F4693" i="7"/>
  <c r="F4692" i="7"/>
  <c r="F4691" i="7"/>
  <c r="F4690" i="7"/>
  <c r="F4689" i="7"/>
  <c r="F4688" i="7"/>
  <c r="F4687" i="7"/>
  <c r="F4686" i="7"/>
  <c r="F4685" i="7"/>
  <c r="F4684" i="7"/>
  <c r="F4683" i="7"/>
  <c r="F4682" i="7"/>
  <c r="F4681" i="7"/>
  <c r="F4680" i="7"/>
  <c r="E4679" i="7"/>
  <c r="F4678" i="7"/>
  <c r="J4677" i="7"/>
  <c r="A4677" i="7"/>
  <c r="K4676" i="7"/>
  <c r="C4676" i="7"/>
  <c r="J4675" i="7"/>
  <c r="C4675" i="7"/>
  <c r="J4674" i="7"/>
  <c r="C4674" i="7"/>
  <c r="J4673" i="7"/>
  <c r="C4673" i="7"/>
  <c r="J4672" i="7"/>
  <c r="C4672" i="7"/>
  <c r="J4671" i="7"/>
  <c r="C4671" i="7"/>
  <c r="I4670" i="7"/>
  <c r="C4670" i="7"/>
  <c r="J4669" i="7"/>
  <c r="C4669" i="7"/>
  <c r="J4668" i="7"/>
  <c r="C4668" i="7"/>
  <c r="L4667" i="7"/>
  <c r="G4667" i="7"/>
  <c r="C4667" i="7"/>
  <c r="L4666" i="7"/>
  <c r="G4666" i="7"/>
  <c r="C4666" i="7"/>
  <c r="L4665" i="7"/>
  <c r="G4665" i="7"/>
  <c r="C4665" i="7"/>
  <c r="L4664" i="7"/>
  <c r="G4664" i="7"/>
  <c r="C4664" i="7"/>
  <c r="L4663" i="7"/>
  <c r="G4663" i="7"/>
  <c r="C4663" i="7"/>
  <c r="L4662" i="7"/>
  <c r="G4662" i="7"/>
  <c r="C4662" i="7"/>
  <c r="L4661" i="7"/>
  <c r="G4661" i="7"/>
  <c r="C4661" i="7"/>
  <c r="L4660" i="7"/>
  <c r="G4660" i="7"/>
  <c r="C4660" i="7"/>
  <c r="K4659" i="7"/>
  <c r="F4659" i="7"/>
  <c r="B4659" i="7"/>
  <c r="K4658" i="7"/>
  <c r="F4658" i="7"/>
  <c r="B4658" i="7"/>
  <c r="K4657" i="7"/>
  <c r="F4657" i="7"/>
  <c r="B4657" i="7"/>
  <c r="J4656" i="7"/>
  <c r="E4656" i="7"/>
  <c r="A4656" i="7"/>
  <c r="N4655" i="7"/>
  <c r="H4655" i="7"/>
  <c r="D4655" i="7"/>
  <c r="Q4654" i="7"/>
  <c r="M4654" i="7"/>
  <c r="H4654" i="7"/>
  <c r="D4654" i="7"/>
  <c r="Q4653" i="7"/>
  <c r="M4653" i="7"/>
  <c r="G4653" i="7"/>
  <c r="C4653" i="7"/>
  <c r="K4652" i="7"/>
  <c r="F4652" i="7"/>
  <c r="B4652" i="7"/>
  <c r="J4651" i="7"/>
  <c r="E4651" i="7"/>
  <c r="A4651" i="7"/>
  <c r="N4650" i="7"/>
  <c r="J4650" i="7"/>
  <c r="E4650" i="7"/>
  <c r="A4650" i="7"/>
  <c r="N4649" i="7"/>
  <c r="J4649" i="7"/>
  <c r="E4649" i="7"/>
  <c r="A4649" i="7"/>
  <c r="N4648" i="7"/>
  <c r="J4648" i="7"/>
  <c r="E4648" i="7"/>
  <c r="A4648" i="7"/>
  <c r="N4647" i="7"/>
  <c r="H4647" i="7"/>
  <c r="D4647" i="7"/>
  <c r="Q4646" i="7"/>
  <c r="M4646" i="7"/>
  <c r="G4646" i="7"/>
  <c r="C4646" i="7"/>
  <c r="K4645" i="7"/>
  <c r="F4645" i="7"/>
  <c r="B4645" i="7"/>
  <c r="J4644" i="7"/>
  <c r="E4644" i="7"/>
  <c r="A4644" i="7"/>
  <c r="N4643" i="7"/>
  <c r="J4643" i="7"/>
  <c r="E4643" i="7"/>
  <c r="A4643" i="7"/>
  <c r="N4642" i="7"/>
  <c r="J4642" i="7"/>
  <c r="E4642" i="7"/>
  <c r="A4642" i="7"/>
  <c r="N4641" i="7"/>
  <c r="J4641" i="7"/>
  <c r="E4641" i="7"/>
  <c r="A4641" i="7"/>
  <c r="N4640" i="7"/>
  <c r="J4640" i="7"/>
  <c r="D4770" i="7"/>
  <c r="K4748" i="7"/>
  <c r="A4738" i="7"/>
  <c r="I4735" i="7"/>
  <c r="J4731" i="7"/>
  <c r="K4726" i="7"/>
  <c r="D4725" i="7"/>
  <c r="K4720" i="7"/>
  <c r="E4719" i="7"/>
  <c r="J4718" i="7"/>
  <c r="C4717" i="7"/>
  <c r="K4712" i="7"/>
  <c r="E4711" i="7"/>
  <c r="J4710" i="7"/>
  <c r="H4709" i="7"/>
  <c r="H4708" i="7"/>
  <c r="I4707" i="7"/>
  <c r="J4706" i="7"/>
  <c r="L4705" i="7"/>
  <c r="B4704" i="7"/>
  <c r="C4703" i="7"/>
  <c r="K4702" i="7"/>
  <c r="L4701" i="7"/>
  <c r="B4700" i="7"/>
  <c r="C4699" i="7"/>
  <c r="K4698" i="7"/>
  <c r="L4697" i="7"/>
  <c r="B4696" i="7"/>
  <c r="C4695" i="7"/>
  <c r="K4694" i="7"/>
  <c r="L4693" i="7"/>
  <c r="B4692" i="7"/>
  <c r="C4691" i="7"/>
  <c r="K4690" i="7"/>
  <c r="L4689" i="7"/>
  <c r="B4688" i="7"/>
  <c r="C4687" i="7"/>
  <c r="C4686" i="7"/>
  <c r="K4685" i="7"/>
  <c r="L4684" i="7"/>
  <c r="B4683" i="7"/>
  <c r="C4682" i="7"/>
  <c r="C4681" i="7"/>
  <c r="C4680" i="7"/>
  <c r="J4679" i="7"/>
  <c r="N4678" i="7"/>
  <c r="E4677" i="7"/>
  <c r="F4676" i="7"/>
  <c r="N4675" i="7"/>
  <c r="B4675" i="7"/>
  <c r="L4674" i="7"/>
  <c r="A4674" i="7"/>
  <c r="G4673" i="7"/>
  <c r="F4672" i="7"/>
  <c r="N4671" i="7"/>
  <c r="B4671" i="7"/>
  <c r="G4670" i="7"/>
  <c r="F4669" i="7"/>
  <c r="N4668" i="7"/>
  <c r="B4668" i="7"/>
  <c r="N4667" i="7"/>
  <c r="E4667" i="7"/>
  <c r="F4666" i="7"/>
  <c r="J4665" i="7"/>
  <c r="A4665" i="7"/>
  <c r="K4664" i="7"/>
  <c r="B4664" i="7"/>
  <c r="N4663" i="7"/>
  <c r="E4663" i="7"/>
  <c r="F4662" i="7"/>
  <c r="J4661" i="7"/>
  <c r="A4661" i="7"/>
  <c r="K4660" i="7"/>
  <c r="B4660" i="7"/>
  <c r="N4659" i="7"/>
  <c r="D4659" i="7"/>
  <c r="N4658" i="7"/>
  <c r="E4658" i="7"/>
  <c r="H4657" i="7"/>
  <c r="Q4656" i="7"/>
  <c r="H4656" i="7"/>
  <c r="Q4655" i="7"/>
  <c r="G4655" i="7"/>
  <c r="G4654" i="7"/>
  <c r="F4653" i="7"/>
  <c r="H4652" i="7"/>
  <c r="Q4651" i="7"/>
  <c r="H4651" i="7"/>
  <c r="Q4650" i="7"/>
  <c r="H4650" i="7"/>
  <c r="Q4649" i="7"/>
  <c r="H4649" i="7"/>
  <c r="Q4648" i="7"/>
  <c r="H4648" i="7"/>
  <c r="Q4647" i="7"/>
  <c r="G4647" i="7"/>
  <c r="F4646" i="7"/>
  <c r="H4645" i="7"/>
  <c r="Q4644" i="7"/>
  <c r="H4644" i="7"/>
  <c r="Q4643" i="7"/>
  <c r="H4643" i="7"/>
  <c r="B4643" i="7"/>
  <c r="M4642" i="7"/>
  <c r="G4642" i="7"/>
  <c r="B4642" i="7"/>
  <c r="M4641" i="7"/>
  <c r="G4641" i="7"/>
  <c r="B4641" i="7"/>
  <c r="M4640" i="7"/>
  <c r="G4640" i="7"/>
  <c r="C4640" i="7"/>
  <c r="L4639" i="7"/>
  <c r="G4639" i="7"/>
  <c r="C4639" i="7"/>
  <c r="L4638" i="7"/>
  <c r="G4638" i="7"/>
  <c r="C4638" i="7"/>
  <c r="L4637" i="7"/>
  <c r="G4637" i="7"/>
  <c r="C4637" i="7"/>
  <c r="L4636" i="7"/>
  <c r="G4636" i="7"/>
  <c r="C4636" i="7"/>
  <c r="L4635" i="7"/>
  <c r="G4635" i="7"/>
  <c r="C4635" i="7"/>
  <c r="L4634" i="7"/>
  <c r="G4634" i="7"/>
  <c r="C4634" i="7"/>
  <c r="L4633" i="7"/>
  <c r="G4633" i="7"/>
  <c r="C4633" i="7"/>
  <c r="K4632" i="7"/>
  <c r="G4632" i="7"/>
  <c r="C4632" i="7"/>
  <c r="K4631" i="7"/>
  <c r="F4631" i="7"/>
  <c r="B4631" i="7"/>
  <c r="K4630" i="7"/>
  <c r="F4630" i="7"/>
  <c r="B4630" i="7"/>
  <c r="K4629" i="7"/>
  <c r="F4629" i="7"/>
  <c r="B4629" i="7"/>
  <c r="J4628" i="7"/>
  <c r="E4628" i="7"/>
  <c r="A4628" i="7"/>
  <c r="N4627" i="7"/>
  <c r="H4627" i="7"/>
  <c r="D4627" i="7"/>
  <c r="Q4626" i="7"/>
  <c r="M4626" i="7"/>
  <c r="H4626" i="7"/>
  <c r="D4626" i="7"/>
  <c r="Q4625" i="7"/>
  <c r="M4625" i="7"/>
  <c r="H4625" i="7"/>
  <c r="D4625" i="7"/>
  <c r="Q4624" i="7"/>
  <c r="M4624" i="7"/>
  <c r="H4624" i="7"/>
  <c r="D4624" i="7"/>
  <c r="Q4623" i="7"/>
  <c r="M4623" i="7"/>
  <c r="H4623" i="7"/>
  <c r="D4623" i="7"/>
  <c r="Q4622" i="7"/>
  <c r="M4622" i="7"/>
  <c r="G4622" i="7"/>
  <c r="C4622" i="7"/>
  <c r="K4621" i="7"/>
  <c r="F4621" i="7"/>
  <c r="B4621" i="7"/>
  <c r="J4620" i="7"/>
  <c r="E4620" i="7"/>
  <c r="A4620" i="7"/>
  <c r="N4619" i="7"/>
  <c r="H4619" i="7"/>
  <c r="D4619" i="7"/>
  <c r="Q4618" i="7"/>
  <c r="M4618" i="7"/>
  <c r="H4618" i="7"/>
  <c r="D4618" i="7"/>
  <c r="Q4617" i="7"/>
  <c r="M4617" i="7"/>
  <c r="G4617" i="7"/>
  <c r="C4617" i="7"/>
  <c r="L4616" i="7"/>
  <c r="G4616" i="7"/>
  <c r="C4616" i="7"/>
  <c r="K4615" i="7"/>
  <c r="F4615" i="7"/>
  <c r="B4615" i="7"/>
  <c r="J4614" i="7"/>
  <c r="E4614" i="7"/>
  <c r="A4614" i="7"/>
  <c r="N4613" i="7"/>
  <c r="J4613" i="7"/>
  <c r="E4613" i="7"/>
  <c r="A4613" i="7"/>
  <c r="N4612" i="7"/>
  <c r="J4612" i="7"/>
  <c r="E4612" i="7"/>
  <c r="A4612" i="7"/>
  <c r="N4611" i="7"/>
  <c r="J4611" i="7"/>
  <c r="E4611" i="7"/>
  <c r="A4611" i="7"/>
  <c r="N4610" i="7"/>
  <c r="H4610" i="7"/>
  <c r="D4610" i="7"/>
  <c r="Q4609" i="7"/>
  <c r="M4609" i="7"/>
  <c r="H4609" i="7"/>
  <c r="D4609" i="7"/>
  <c r="Q4608" i="7"/>
  <c r="M4608" i="7"/>
  <c r="H4608" i="7"/>
  <c r="D4608" i="7"/>
  <c r="Q4607" i="7"/>
  <c r="M4607" i="7"/>
  <c r="G4607" i="7"/>
  <c r="C4607" i="7"/>
  <c r="L4606" i="7"/>
  <c r="G4606" i="7"/>
  <c r="C4606" i="7"/>
  <c r="L4605" i="7"/>
  <c r="G4605" i="7"/>
  <c r="C4605" i="7"/>
  <c r="L4604" i="7"/>
  <c r="G4604" i="7"/>
  <c r="C4604" i="7"/>
  <c r="L4603" i="7"/>
  <c r="G4603" i="7"/>
  <c r="C4603" i="7"/>
  <c r="L4602" i="7"/>
  <c r="G4602" i="7"/>
  <c r="C4602" i="7"/>
  <c r="L4601" i="7"/>
  <c r="A4776" i="7"/>
  <c r="L4759" i="7"/>
  <c r="L4756" i="7"/>
  <c r="D4750" i="7"/>
  <c r="D4742" i="7"/>
  <c r="N4739" i="7"/>
  <c r="E4735" i="7"/>
  <c r="E4731" i="7"/>
  <c r="F4727" i="7"/>
  <c r="J4726" i="7"/>
  <c r="B4725" i="7"/>
  <c r="K4722" i="7"/>
  <c r="E4721" i="7"/>
  <c r="J4720" i="7"/>
  <c r="C4719" i="7"/>
  <c r="K4714" i="7"/>
  <c r="E4713" i="7"/>
  <c r="J4712" i="7"/>
  <c r="C4711" i="7"/>
  <c r="A4710" i="7"/>
  <c r="A4709" i="7"/>
  <c r="A4708" i="7"/>
  <c r="B4707" i="7"/>
  <c r="C4706" i="7"/>
  <c r="K4705" i="7"/>
  <c r="L4704" i="7"/>
  <c r="B4703" i="7"/>
  <c r="C4702" i="7"/>
  <c r="K4701" i="7"/>
  <c r="L4700" i="7"/>
  <c r="B4699" i="7"/>
  <c r="C4698" i="7"/>
  <c r="K4697" i="7"/>
  <c r="L4696" i="7"/>
  <c r="B4695" i="7"/>
  <c r="C4694" i="7"/>
  <c r="K4693" i="7"/>
  <c r="L4692" i="7"/>
  <c r="B4691" i="7"/>
  <c r="C4690" i="7"/>
  <c r="K4689" i="7"/>
  <c r="L4688" i="7"/>
  <c r="B4687" i="7"/>
  <c r="B4686" i="7"/>
  <c r="C4685" i="7"/>
  <c r="K4684" i="7"/>
  <c r="L4683" i="7"/>
  <c r="B4682" i="7"/>
  <c r="B4681" i="7"/>
  <c r="B4680" i="7"/>
  <c r="B4679" i="7"/>
  <c r="K4678" i="7"/>
  <c r="B4676" i="7"/>
  <c r="L4675" i="7"/>
  <c r="A4675" i="7"/>
  <c r="G4674" i="7"/>
  <c r="F4673" i="7"/>
  <c r="N4672" i="7"/>
  <c r="B4672" i="7"/>
  <c r="L4671" i="7"/>
  <c r="A4671" i="7"/>
  <c r="F4670" i="7"/>
  <c r="N4669" i="7"/>
  <c r="B4669" i="7"/>
  <c r="L4668" i="7"/>
  <c r="A4668" i="7"/>
  <c r="K4667" i="7"/>
  <c r="B4667" i="7"/>
  <c r="N4666" i="7"/>
  <c r="E4666" i="7"/>
  <c r="F4665" i="7"/>
  <c r="J4664" i="7"/>
  <c r="A4664" i="7"/>
  <c r="K4663" i="7"/>
  <c r="B4663" i="7"/>
  <c r="N4662" i="7"/>
  <c r="E4662" i="7"/>
  <c r="F4661" i="7"/>
  <c r="J4660" i="7"/>
  <c r="A4660" i="7"/>
  <c r="J4659" i="7"/>
  <c r="A4659" i="7"/>
  <c r="M4658" i="7"/>
  <c r="D4658" i="7"/>
  <c r="N4657" i="7"/>
  <c r="E4657" i="7"/>
  <c r="G4656" i="7"/>
  <c r="F4655" i="7"/>
  <c r="F4654" i="7"/>
  <c r="E4653" i="7"/>
  <c r="E4652" i="7"/>
  <c r="G4651" i="7"/>
  <c r="G4650" i="7"/>
  <c r="G4649" i="7"/>
  <c r="G4648" i="7"/>
  <c r="F4647" i="7"/>
  <c r="E4646" i="7"/>
  <c r="E4645" i="7"/>
  <c r="G4644" i="7"/>
  <c r="G4643" i="7"/>
  <c r="Q4642" i="7"/>
  <c r="L4642" i="7"/>
  <c r="F4642" i="7"/>
  <c r="Q4641" i="7"/>
  <c r="L4641" i="7"/>
  <c r="F4641" i="7"/>
  <c r="Q4640" i="7"/>
  <c r="L4640" i="7"/>
  <c r="F4640" i="7"/>
  <c r="B4640" i="7"/>
  <c r="K4639" i="7"/>
  <c r="F4639" i="7"/>
  <c r="B4639" i="7"/>
  <c r="K4638" i="7"/>
  <c r="F4638" i="7"/>
  <c r="B4638" i="7"/>
  <c r="K4637" i="7"/>
  <c r="F4637" i="7"/>
  <c r="B4637" i="7"/>
  <c r="K4636" i="7"/>
  <c r="F4636" i="7"/>
  <c r="B4636" i="7"/>
  <c r="K4635" i="7"/>
  <c r="F4635" i="7"/>
  <c r="B4635" i="7"/>
  <c r="K4634" i="7"/>
  <c r="F4634" i="7"/>
  <c r="B4634" i="7"/>
  <c r="K4633" i="7"/>
  <c r="F4633" i="7"/>
  <c r="B4633" i="7"/>
  <c r="J4632" i="7"/>
  <c r="F4632" i="7"/>
  <c r="B4632" i="7"/>
  <c r="J4631" i="7"/>
  <c r="E4631" i="7"/>
  <c r="A4631" i="7"/>
  <c r="N4630" i="7"/>
  <c r="J4630" i="7"/>
  <c r="E4630" i="7"/>
  <c r="A4630" i="7"/>
  <c r="N4629" i="7"/>
  <c r="J4629" i="7"/>
  <c r="E4629" i="7"/>
  <c r="A4629" i="7"/>
  <c r="N4628" i="7"/>
  <c r="H4628" i="7"/>
  <c r="D4628" i="7"/>
  <c r="Q4627" i="7"/>
  <c r="M4627" i="7"/>
  <c r="G4627" i="7"/>
  <c r="C4627" i="7"/>
  <c r="L4626" i="7"/>
  <c r="G4626" i="7"/>
  <c r="C4626" i="7"/>
  <c r="L4625" i="7"/>
  <c r="G4625" i="7"/>
  <c r="C4625" i="7"/>
  <c r="L4624" i="7"/>
  <c r="G4624" i="7"/>
  <c r="C4624" i="7"/>
  <c r="L4623" i="7"/>
  <c r="G4623" i="7"/>
  <c r="C4623" i="7"/>
  <c r="K4622" i="7"/>
  <c r="F4622" i="7"/>
  <c r="B4622" i="7"/>
  <c r="J4621" i="7"/>
  <c r="E4621" i="7"/>
  <c r="A4621" i="7"/>
  <c r="N4620" i="7"/>
  <c r="H4620" i="7"/>
  <c r="D4620" i="7"/>
  <c r="Q4619" i="7"/>
  <c r="M4619" i="7"/>
  <c r="G4619" i="7"/>
  <c r="C4619" i="7"/>
  <c r="L4618" i="7"/>
  <c r="G4618" i="7"/>
  <c r="C4618" i="7"/>
  <c r="K4617" i="7"/>
  <c r="F4617" i="7"/>
  <c r="B4617" i="7"/>
  <c r="K4616" i="7"/>
  <c r="F4616" i="7"/>
  <c r="B4616" i="7"/>
  <c r="J4615" i="7"/>
  <c r="E4615" i="7"/>
  <c r="A4615" i="7"/>
  <c r="N4614" i="7"/>
  <c r="H4614" i="7"/>
  <c r="D4614" i="7"/>
  <c r="Q4613" i="7"/>
  <c r="M4613" i="7"/>
  <c r="H4613" i="7"/>
  <c r="D4613" i="7"/>
  <c r="Q4612" i="7"/>
  <c r="M4612" i="7"/>
  <c r="H4612" i="7"/>
  <c r="D4612" i="7"/>
  <c r="Q4611" i="7"/>
  <c r="M4611" i="7"/>
  <c r="H4611" i="7"/>
  <c r="D4611" i="7"/>
  <c r="Q4610" i="7"/>
  <c r="M4610" i="7"/>
  <c r="G4610" i="7"/>
  <c r="C4610" i="7"/>
  <c r="L4609" i="7"/>
  <c r="G4609" i="7"/>
  <c r="C4609" i="7"/>
  <c r="L4608" i="7"/>
  <c r="G4608" i="7"/>
  <c r="C4608" i="7"/>
  <c r="K4607" i="7"/>
  <c r="F4607" i="7"/>
  <c r="B4607" i="7"/>
  <c r="K4606" i="7"/>
  <c r="F4606" i="7"/>
  <c r="B4606" i="7"/>
  <c r="K4605" i="7"/>
  <c r="F4605" i="7"/>
  <c r="B4605" i="7"/>
  <c r="K4604" i="7"/>
  <c r="F4604" i="7"/>
  <c r="B4604" i="7"/>
  <c r="K4603" i="7"/>
  <c r="F4782" i="7"/>
  <c r="A4778" i="7"/>
  <c r="F4762" i="7"/>
  <c r="K4752" i="7"/>
  <c r="K4744" i="7"/>
  <c r="A4741" i="7"/>
  <c r="A4737" i="7"/>
  <c r="E4732" i="7"/>
  <c r="J4728" i="7"/>
  <c r="D4727" i="7"/>
  <c r="J4724" i="7"/>
  <c r="E4723" i="7"/>
  <c r="J4722" i="7"/>
  <c r="C4721" i="7"/>
  <c r="K4716" i="7"/>
  <c r="E4715" i="7"/>
  <c r="J4714" i="7"/>
  <c r="C4713" i="7"/>
  <c r="Q4709" i="7"/>
  <c r="Q4708" i="7"/>
  <c r="Q4707" i="7"/>
  <c r="A4707" i="7"/>
  <c r="B4706" i="7"/>
  <c r="C4705" i="7"/>
  <c r="K4704" i="7"/>
  <c r="L4703" i="7"/>
  <c r="B4702" i="7"/>
  <c r="C4701" i="7"/>
  <c r="K4700" i="7"/>
  <c r="L4699" i="7"/>
  <c r="B4698" i="7"/>
  <c r="C4697" i="7"/>
  <c r="K4696" i="7"/>
  <c r="L4695" i="7"/>
  <c r="B4694" i="7"/>
  <c r="C4693" i="7"/>
  <c r="K4692" i="7"/>
  <c r="L4691" i="7"/>
  <c r="B4690" i="7"/>
  <c r="C4689" i="7"/>
  <c r="K4688" i="7"/>
  <c r="L4687" i="7"/>
  <c r="K4686" i="7"/>
  <c r="B4685" i="7"/>
  <c r="C4684" i="7"/>
  <c r="K4683" i="7"/>
  <c r="L4682" i="7"/>
  <c r="K4681" i="7"/>
  <c r="K4680" i="7"/>
  <c r="A4679" i="7"/>
  <c r="E4678" i="7"/>
  <c r="N4677" i="7"/>
  <c r="A4676" i="7"/>
  <c r="G4675" i="7"/>
  <c r="F4674" i="7"/>
  <c r="N4673" i="7"/>
  <c r="B4673" i="7"/>
  <c r="L4672" i="7"/>
  <c r="A4672" i="7"/>
  <c r="G4671" i="7"/>
  <c r="M4670" i="7"/>
  <c r="B4670" i="7"/>
  <c r="L4669" i="7"/>
  <c r="A4669" i="7"/>
  <c r="G4668" i="7"/>
  <c r="J4667" i="7"/>
  <c r="A4667" i="7"/>
  <c r="K4666" i="7"/>
  <c r="B4666" i="7"/>
  <c r="N4665" i="7"/>
  <c r="E4665" i="7"/>
  <c r="F4664" i="7"/>
  <c r="J4663" i="7"/>
  <c r="A4663" i="7"/>
  <c r="K4662" i="7"/>
  <c r="B4662" i="7"/>
  <c r="N4661" i="7"/>
  <c r="E4661" i="7"/>
  <c r="F4660" i="7"/>
  <c r="H4659" i="7"/>
  <c r="Q4658" i="7"/>
  <c r="J4658" i="7"/>
  <c r="A4658" i="7"/>
  <c r="M4657" i="7"/>
  <c r="D4657" i="7"/>
  <c r="N4656" i="7"/>
  <c r="D4656" i="7"/>
  <c r="M4655" i="7"/>
  <c r="C4655" i="7"/>
  <c r="L4654" i="7"/>
  <c r="C4654" i="7"/>
  <c r="K4653" i="7"/>
  <c r="B4653" i="7"/>
  <c r="N4652" i="7"/>
  <c r="D4652" i="7"/>
  <c r="N4651" i="7"/>
  <c r="D4651" i="7"/>
  <c r="M4650" i="7"/>
  <c r="D4650" i="7"/>
  <c r="M4649" i="7"/>
  <c r="D4649" i="7"/>
  <c r="M4648" i="7"/>
  <c r="D4648" i="7"/>
  <c r="M4647" i="7"/>
  <c r="C4647" i="7"/>
  <c r="K4646" i="7"/>
  <c r="B4646" i="7"/>
  <c r="N4645" i="7"/>
  <c r="D4645" i="7"/>
  <c r="N4644" i="7"/>
  <c r="D4644" i="7"/>
  <c r="M4643" i="7"/>
  <c r="D4643" i="7"/>
  <c r="K4642" i="7"/>
  <c r="D4642" i="7"/>
  <c r="K4641" i="7"/>
  <c r="D4641" i="7"/>
  <c r="K4640" i="7"/>
  <c r="E4640" i="7"/>
  <c r="A4640" i="7"/>
  <c r="N4639" i="7"/>
  <c r="J4639" i="7"/>
  <c r="E4639" i="7"/>
  <c r="A4639" i="7"/>
  <c r="N4638" i="7"/>
  <c r="J4638" i="7"/>
  <c r="E4638" i="7"/>
  <c r="A4638" i="7"/>
  <c r="N4637" i="7"/>
  <c r="J4637" i="7"/>
  <c r="E4637" i="7"/>
  <c r="A4637" i="7"/>
  <c r="N4636" i="7"/>
  <c r="J4636" i="7"/>
  <c r="E4636" i="7"/>
  <c r="A4636" i="7"/>
  <c r="N4635" i="7"/>
  <c r="J4635" i="7"/>
  <c r="E4635" i="7"/>
  <c r="A4635" i="7"/>
  <c r="N4634" i="7"/>
  <c r="J4634" i="7"/>
  <c r="E4634" i="7"/>
  <c r="A4634" i="7"/>
  <c r="N4633" i="7"/>
  <c r="J4633" i="7"/>
  <c r="E4633" i="7"/>
  <c r="A4633" i="7"/>
  <c r="M4632" i="7"/>
  <c r="I4632" i="7"/>
  <c r="E4632" i="7"/>
  <c r="A4632" i="7"/>
  <c r="N4631" i="7"/>
  <c r="H4631" i="7"/>
  <c r="D4631" i="7"/>
  <c r="Q4630" i="7"/>
  <c r="M4630" i="7"/>
  <c r="H4630" i="7"/>
  <c r="D4630" i="7"/>
  <c r="Q4629" i="7"/>
  <c r="M4629" i="7"/>
  <c r="H4629" i="7"/>
  <c r="D4629" i="7"/>
  <c r="Q4628" i="7"/>
  <c r="M4628" i="7"/>
  <c r="G4628" i="7"/>
  <c r="C4628" i="7"/>
  <c r="K4627" i="7"/>
  <c r="F4627" i="7"/>
  <c r="B4627" i="7"/>
  <c r="K4626" i="7"/>
  <c r="F4626" i="7"/>
  <c r="B4626" i="7"/>
  <c r="K4625" i="7"/>
  <c r="F4625" i="7"/>
  <c r="B4625" i="7"/>
  <c r="K4624" i="7"/>
  <c r="F4624" i="7"/>
  <c r="B4624" i="7"/>
  <c r="K4623" i="7"/>
  <c r="F4623" i="7"/>
  <c r="B4623" i="7"/>
  <c r="J4622" i="7"/>
  <c r="E4622" i="7"/>
  <c r="A4622" i="7"/>
  <c r="N4621" i="7"/>
  <c r="H4621" i="7"/>
  <c r="D4621" i="7"/>
  <c r="Q4620" i="7"/>
  <c r="M4620" i="7"/>
  <c r="G4620" i="7"/>
  <c r="C4620" i="7"/>
  <c r="K4619" i="7"/>
  <c r="F4619" i="7"/>
  <c r="B4619" i="7"/>
  <c r="K4618" i="7"/>
  <c r="F4618" i="7"/>
  <c r="B4618" i="7"/>
  <c r="J4617" i="7"/>
  <c r="E4617" i="7"/>
  <c r="A4617" i="7"/>
  <c r="N4616" i="7"/>
  <c r="J4616" i="7"/>
  <c r="E4616" i="7"/>
  <c r="A4616" i="7"/>
  <c r="N4615" i="7"/>
  <c r="H4615" i="7"/>
  <c r="D4615" i="7"/>
  <c r="Q4614" i="7"/>
  <c r="M4614" i="7"/>
  <c r="G4614" i="7"/>
  <c r="C4614" i="7"/>
  <c r="L4613" i="7"/>
  <c r="G4613" i="7"/>
  <c r="C4613" i="7"/>
  <c r="L4612" i="7"/>
  <c r="G4612" i="7"/>
  <c r="C4612" i="7"/>
  <c r="L4611" i="7"/>
  <c r="G4611" i="7"/>
  <c r="C4611" i="7"/>
  <c r="K4610" i="7"/>
  <c r="F4610" i="7"/>
  <c r="B4610" i="7"/>
  <c r="K4609" i="7"/>
  <c r="F4609" i="7"/>
  <c r="B4609" i="7"/>
  <c r="K4608" i="7"/>
  <c r="F4608" i="7"/>
  <c r="B4608" i="7"/>
  <c r="J4607" i="7"/>
  <c r="E4607" i="7"/>
  <c r="A4607" i="7"/>
  <c r="D4754" i="7"/>
  <c r="C4723" i="7"/>
  <c r="I4708" i="7"/>
  <c r="B4705" i="7"/>
  <c r="K4703" i="7"/>
  <c r="B4701" i="7"/>
  <c r="K4699" i="7"/>
  <c r="B4697" i="7"/>
  <c r="K4695" i="7"/>
  <c r="B4693" i="7"/>
  <c r="K4691" i="7"/>
  <c r="B4689" i="7"/>
  <c r="K4687" i="7"/>
  <c r="B4674" i="7"/>
  <c r="K4670" i="7"/>
  <c r="F4667" i="7"/>
  <c r="N4664" i="7"/>
  <c r="F4663" i="7"/>
  <c r="N4660" i="7"/>
  <c r="E4659" i="7"/>
  <c r="M4656" i="7"/>
  <c r="B4655" i="7"/>
  <c r="J4652" i="7"/>
  <c r="C4651" i="7"/>
  <c r="L4648" i="7"/>
  <c r="B4647" i="7"/>
  <c r="M4644" i="7"/>
  <c r="C4643" i="7"/>
  <c r="C4642" i="7"/>
  <c r="C4641" i="7"/>
  <c r="D4640" i="7"/>
  <c r="H4639" i="7"/>
  <c r="M4638" i="7"/>
  <c r="Q4636" i="7"/>
  <c r="D4636" i="7"/>
  <c r="H4635" i="7"/>
  <c r="M4634" i="7"/>
  <c r="Q4632" i="7"/>
  <c r="Q4631" i="7"/>
  <c r="C4631" i="7"/>
  <c r="C4630" i="7"/>
  <c r="C4629" i="7"/>
  <c r="B4628" i="7"/>
  <c r="E4627" i="7"/>
  <c r="J4626" i="7"/>
  <c r="N4625" i="7"/>
  <c r="A4624" i="7"/>
  <c r="E4623" i="7"/>
  <c r="H4622" i="7"/>
  <c r="M4621" i="7"/>
  <c r="K4620" i="7"/>
  <c r="A4618" i="7"/>
  <c r="D4617" i="7"/>
  <c r="H4616" i="7"/>
  <c r="M4615" i="7"/>
  <c r="K4614" i="7"/>
  <c r="B4612" i="7"/>
  <c r="F4611" i="7"/>
  <c r="J4610" i="7"/>
  <c r="N4609" i="7"/>
  <c r="A4608" i="7"/>
  <c r="D4607" i="7"/>
  <c r="M4606" i="7"/>
  <c r="D4606" i="7"/>
  <c r="N4605" i="7"/>
  <c r="E4605" i="7"/>
  <c r="H4604" i="7"/>
  <c r="Q4603" i="7"/>
  <c r="J4603" i="7"/>
  <c r="D4603" i="7"/>
  <c r="K4602" i="7"/>
  <c r="E4602" i="7"/>
  <c r="Q4601" i="7"/>
  <c r="M4601" i="7"/>
  <c r="G4601" i="7"/>
  <c r="C4601" i="7"/>
  <c r="L4600" i="7"/>
  <c r="G4600" i="7"/>
  <c r="C4600" i="7"/>
  <c r="L4599" i="7"/>
  <c r="G4599" i="7"/>
  <c r="C4599" i="7"/>
  <c r="L4598" i="7"/>
  <c r="G4598" i="7"/>
  <c r="C4598" i="7"/>
  <c r="L4597" i="7"/>
  <c r="G4597" i="7"/>
  <c r="C4597" i="7"/>
  <c r="L4596" i="7"/>
  <c r="G4596" i="7"/>
  <c r="C4596" i="7"/>
  <c r="L4595" i="7"/>
  <c r="G4595" i="7"/>
  <c r="C4595" i="7"/>
  <c r="L4594" i="7"/>
  <c r="G4594" i="7"/>
  <c r="C4594" i="7"/>
  <c r="K4593" i="7"/>
  <c r="F4593" i="7"/>
  <c r="B4593" i="7"/>
  <c r="K4592" i="7"/>
  <c r="F4592" i="7"/>
  <c r="B4592" i="7"/>
  <c r="K4591" i="7"/>
  <c r="F4591" i="7"/>
  <c r="B4591" i="7"/>
  <c r="J4590" i="7"/>
  <c r="E4590" i="7"/>
  <c r="A4590" i="7"/>
  <c r="N4589" i="7"/>
  <c r="J4589" i="7"/>
  <c r="E4589" i="7"/>
  <c r="A4589" i="7"/>
  <c r="N4588" i="7"/>
  <c r="J4588" i="7"/>
  <c r="E4588" i="7"/>
  <c r="A4588" i="7"/>
  <c r="N4587" i="7"/>
  <c r="J4587" i="7"/>
  <c r="E4587" i="7"/>
  <c r="A4587" i="7"/>
  <c r="N4586" i="7"/>
  <c r="J4586" i="7"/>
  <c r="E4586" i="7"/>
  <c r="A4586" i="7"/>
  <c r="N4585" i="7"/>
  <c r="J4585" i="7"/>
  <c r="E4585" i="7"/>
  <c r="A4585" i="7"/>
  <c r="N4584" i="7"/>
  <c r="J4584" i="7"/>
  <c r="E4584" i="7"/>
  <c r="A4584" i="7"/>
  <c r="N4583" i="7"/>
  <c r="J4583" i="7"/>
  <c r="E4583" i="7"/>
  <c r="A4583" i="7"/>
  <c r="N4582" i="7"/>
  <c r="J4582" i="7"/>
  <c r="E4582" i="7"/>
  <c r="A4582" i="7"/>
  <c r="N4581" i="7"/>
  <c r="J4581" i="7"/>
  <c r="E4581" i="7"/>
  <c r="A4581" i="7"/>
  <c r="N4580" i="7"/>
  <c r="J4580" i="7"/>
  <c r="E4580" i="7"/>
  <c r="A4580" i="7"/>
  <c r="N4579" i="7"/>
  <c r="J4579" i="7"/>
  <c r="E4579" i="7"/>
  <c r="A4579" i="7"/>
  <c r="N4578" i="7"/>
  <c r="J4578" i="7"/>
  <c r="E4578" i="7"/>
  <c r="A4578" i="7"/>
  <c r="N4577" i="7"/>
  <c r="J4577" i="7"/>
  <c r="E4577" i="7"/>
  <c r="A4577" i="7"/>
  <c r="N4576" i="7"/>
  <c r="J4576" i="7"/>
  <c r="E4576" i="7"/>
  <c r="A4576" i="7"/>
  <c r="N4575" i="7"/>
  <c r="J4575" i="7"/>
  <c r="E4575" i="7"/>
  <c r="A4575" i="7"/>
  <c r="N4574" i="7"/>
  <c r="J4574" i="7"/>
  <c r="E4574" i="7"/>
  <c r="A4574" i="7"/>
  <c r="N4573" i="7"/>
  <c r="J4573" i="7"/>
  <c r="E4573" i="7"/>
  <c r="A4573" i="7"/>
  <c r="N4572" i="7"/>
  <c r="J4572" i="7"/>
  <c r="E4572" i="7"/>
  <c r="A4572" i="7"/>
  <c r="N4571" i="7"/>
  <c r="H4571" i="7"/>
  <c r="D4571" i="7"/>
  <c r="Q4570" i="7"/>
  <c r="M4570" i="7"/>
  <c r="H4570" i="7"/>
  <c r="D4570" i="7"/>
  <c r="Q4569" i="7"/>
  <c r="M4569" i="7"/>
  <c r="H4569" i="7"/>
  <c r="D4569" i="7"/>
  <c r="Q4568" i="7"/>
  <c r="M4568" i="7"/>
  <c r="H4568" i="7"/>
  <c r="D4568" i="7"/>
  <c r="Q4567" i="7"/>
  <c r="M4567" i="7"/>
  <c r="G4567" i="7"/>
  <c r="C4567" i="7"/>
  <c r="L4566" i="7"/>
  <c r="G4566" i="7"/>
  <c r="C4566" i="7"/>
  <c r="L4565" i="7"/>
  <c r="G4565" i="7"/>
  <c r="C4565" i="7"/>
  <c r="L4564" i="7"/>
  <c r="G4564" i="7"/>
  <c r="C4564" i="7"/>
  <c r="L4563" i="7"/>
  <c r="G4563" i="7"/>
  <c r="C4563" i="7"/>
  <c r="L4562" i="7"/>
  <c r="G4562" i="7"/>
  <c r="C4562" i="7"/>
  <c r="D4746" i="7"/>
  <c r="N4738" i="7"/>
  <c r="J4734" i="7"/>
  <c r="Q4727" i="7"/>
  <c r="J4716" i="7"/>
  <c r="J4707" i="7"/>
  <c r="J4686" i="7"/>
  <c r="B4684" i="7"/>
  <c r="K4682" i="7"/>
  <c r="K4679" i="7"/>
  <c r="F4677" i="7"/>
  <c r="F4675" i="7"/>
  <c r="G4672" i="7"/>
  <c r="A4670" i="7"/>
  <c r="F4668" i="7"/>
  <c r="K4665" i="7"/>
  <c r="E4664" i="7"/>
  <c r="K4661" i="7"/>
  <c r="E4660" i="7"/>
  <c r="J4657" i="7"/>
  <c r="C4656" i="7"/>
  <c r="J4653" i="7"/>
  <c r="A4652" i="7"/>
  <c r="L4649" i="7"/>
  <c r="C4648" i="7"/>
  <c r="J4645" i="7"/>
  <c r="C4644" i="7"/>
  <c r="Q4639" i="7"/>
  <c r="D4639" i="7"/>
  <c r="H4638" i="7"/>
  <c r="M4637" i="7"/>
  <c r="Q4635" i="7"/>
  <c r="D4635" i="7"/>
  <c r="H4634" i="7"/>
  <c r="M4633" i="7"/>
  <c r="L4632" i="7"/>
  <c r="A4627" i="7"/>
  <c r="E4626" i="7"/>
  <c r="J4625" i="7"/>
  <c r="N4624" i="7"/>
  <c r="A4623" i="7"/>
  <c r="D4622" i="7"/>
  <c r="G4621" i="7"/>
  <c r="F4620" i="7"/>
  <c r="J4619" i="7"/>
  <c r="N4618" i="7"/>
  <c r="Q4616" i="7"/>
  <c r="D4616" i="7"/>
  <c r="G4615" i="7"/>
  <c r="F4614" i="7"/>
  <c r="K4613" i="7"/>
  <c r="B4611" i="7"/>
  <c r="E4610" i="7"/>
  <c r="J4609" i="7"/>
  <c r="N4608" i="7"/>
  <c r="Q4606" i="7"/>
  <c r="J4606" i="7"/>
  <c r="A4606" i="7"/>
  <c r="M4605" i="7"/>
  <c r="D4605" i="7"/>
  <c r="N4604" i="7"/>
  <c r="E4604" i="7"/>
  <c r="H4603" i="7"/>
  <c r="B4603" i="7"/>
  <c r="J4602" i="7"/>
  <c r="D4602" i="7"/>
  <c r="K4601" i="7"/>
  <c r="F4601" i="7"/>
  <c r="B4601" i="7"/>
  <c r="K4600" i="7"/>
  <c r="F4600" i="7"/>
  <c r="B4600" i="7"/>
  <c r="K4599" i="7"/>
  <c r="F4599" i="7"/>
  <c r="B4599" i="7"/>
  <c r="K4598" i="7"/>
  <c r="F4598" i="7"/>
  <c r="B4598" i="7"/>
  <c r="K4597" i="7"/>
  <c r="F4597" i="7"/>
  <c r="B4597" i="7"/>
  <c r="K4596" i="7"/>
  <c r="F4596" i="7"/>
  <c r="B4596" i="7"/>
  <c r="K4595" i="7"/>
  <c r="F4595" i="7"/>
  <c r="B4595" i="7"/>
  <c r="K4594" i="7"/>
  <c r="F4594" i="7"/>
  <c r="B4594" i="7"/>
  <c r="J4593" i="7"/>
  <c r="E4593" i="7"/>
  <c r="A4593" i="7"/>
  <c r="N4592" i="7"/>
  <c r="J4592" i="7"/>
  <c r="E4592" i="7"/>
  <c r="A4592" i="7"/>
  <c r="N4591" i="7"/>
  <c r="J4591" i="7"/>
  <c r="E4591" i="7"/>
  <c r="A4591" i="7"/>
  <c r="N4590" i="7"/>
  <c r="H4590" i="7"/>
  <c r="D4590" i="7"/>
  <c r="Q4589" i="7"/>
  <c r="M4589" i="7"/>
  <c r="H4589" i="7"/>
  <c r="D4589" i="7"/>
  <c r="Q4588" i="7"/>
  <c r="M4588" i="7"/>
  <c r="H4588" i="7"/>
  <c r="D4588" i="7"/>
  <c r="Q4587" i="7"/>
  <c r="M4587" i="7"/>
  <c r="H4587" i="7"/>
  <c r="D4587" i="7"/>
  <c r="Q4586" i="7"/>
  <c r="M4586" i="7"/>
  <c r="H4586" i="7"/>
  <c r="D4586" i="7"/>
  <c r="Q4585" i="7"/>
  <c r="M4585" i="7"/>
  <c r="H4585" i="7"/>
  <c r="D4585" i="7"/>
  <c r="Q4584" i="7"/>
  <c r="M4584" i="7"/>
  <c r="H4584" i="7"/>
  <c r="D4584" i="7"/>
  <c r="Q4583" i="7"/>
  <c r="M4583" i="7"/>
  <c r="H4583" i="7"/>
  <c r="D4583" i="7"/>
  <c r="Q4582" i="7"/>
  <c r="M4582" i="7"/>
  <c r="H4582" i="7"/>
  <c r="D4582" i="7"/>
  <c r="Q4581" i="7"/>
  <c r="M4581" i="7"/>
  <c r="H4581" i="7"/>
  <c r="D4581" i="7"/>
  <c r="Q4580" i="7"/>
  <c r="M4580" i="7"/>
  <c r="H4580" i="7"/>
  <c r="D4580" i="7"/>
  <c r="Q4579" i="7"/>
  <c r="M4579" i="7"/>
  <c r="H4579" i="7"/>
  <c r="D4579" i="7"/>
  <c r="Q4578" i="7"/>
  <c r="M4578" i="7"/>
  <c r="H4578" i="7"/>
  <c r="D4578" i="7"/>
  <c r="Q4577" i="7"/>
  <c r="M4577" i="7"/>
  <c r="H4577" i="7"/>
  <c r="D4577" i="7"/>
  <c r="Q4576" i="7"/>
  <c r="M4576" i="7"/>
  <c r="H4576" i="7"/>
  <c r="D4576" i="7"/>
  <c r="Q4575" i="7"/>
  <c r="M4575" i="7"/>
  <c r="H4575" i="7"/>
  <c r="D4575" i="7"/>
  <c r="Q4574" i="7"/>
  <c r="M4574" i="7"/>
  <c r="H4574" i="7"/>
  <c r="D4574" i="7"/>
  <c r="Q4573" i="7"/>
  <c r="M4573" i="7"/>
  <c r="H4573" i="7"/>
  <c r="D4573" i="7"/>
  <c r="Q4572" i="7"/>
  <c r="M4572" i="7"/>
  <c r="H4572" i="7"/>
  <c r="D4572" i="7"/>
  <c r="Q4571" i="7"/>
  <c r="M4571" i="7"/>
  <c r="G4571" i="7"/>
  <c r="C4571" i="7"/>
  <c r="L4570" i="7"/>
  <c r="G4570" i="7"/>
  <c r="C4570" i="7"/>
  <c r="L4569" i="7"/>
  <c r="G4569" i="7"/>
  <c r="C4569" i="7"/>
  <c r="L4568" i="7"/>
  <c r="G4568" i="7"/>
  <c r="C4568" i="7"/>
  <c r="K4567" i="7"/>
  <c r="F4567" i="7"/>
  <c r="B4567" i="7"/>
  <c r="K4566" i="7"/>
  <c r="F4566" i="7"/>
  <c r="B4566" i="7"/>
  <c r="K4565" i="7"/>
  <c r="F4565" i="7"/>
  <c r="B4565" i="7"/>
  <c r="K4564" i="7"/>
  <c r="F4564" i="7"/>
  <c r="B4564" i="7"/>
  <c r="K4563" i="7"/>
  <c r="F4563" i="7"/>
  <c r="B4563" i="7"/>
  <c r="K4562" i="7"/>
  <c r="F4562" i="7"/>
  <c r="B4562" i="7"/>
  <c r="J4730" i="7"/>
  <c r="I4724" i="7"/>
  <c r="K4718" i="7"/>
  <c r="K4710" i="7"/>
  <c r="K4706" i="7"/>
  <c r="C4704" i="7"/>
  <c r="L4702" i="7"/>
  <c r="C4700" i="7"/>
  <c r="L4698" i="7"/>
  <c r="C4696" i="7"/>
  <c r="L4694" i="7"/>
  <c r="C4692" i="7"/>
  <c r="L4690" i="7"/>
  <c r="C4688" i="7"/>
  <c r="J4681" i="7"/>
  <c r="L4673" i="7"/>
  <c r="J4666" i="7"/>
  <c r="B4665" i="7"/>
  <c r="J4662" i="7"/>
  <c r="B4661" i="7"/>
  <c r="H4658" i="7"/>
  <c r="A4657" i="7"/>
  <c r="K4654" i="7"/>
  <c r="A4653" i="7"/>
  <c r="L4650" i="7"/>
  <c r="C4649" i="7"/>
  <c r="J4646" i="7"/>
  <c r="A4645" i="7"/>
  <c r="Q4638" i="7"/>
  <c r="D4638" i="7"/>
  <c r="H4637" i="7"/>
  <c r="M4636" i="7"/>
  <c r="Q4634" i="7"/>
  <c r="D4634" i="7"/>
  <c r="H4633" i="7"/>
  <c r="H4632" i="7"/>
  <c r="M4631" i="7"/>
  <c r="L4630" i="7"/>
  <c r="L4629" i="7"/>
  <c r="K4628" i="7"/>
  <c r="A4626" i="7"/>
  <c r="E4625" i="7"/>
  <c r="J4624" i="7"/>
  <c r="N4623" i="7"/>
  <c r="Q4621" i="7"/>
  <c r="C4621" i="7"/>
  <c r="B4620" i="7"/>
  <c r="E4619" i="7"/>
  <c r="J4618" i="7"/>
  <c r="N4617" i="7"/>
  <c r="Q4615" i="7"/>
  <c r="C4615" i="7"/>
  <c r="B4614" i="7"/>
  <c r="F4613" i="7"/>
  <c r="K4612" i="7"/>
  <c r="A4610" i="7"/>
  <c r="E4609" i="7"/>
  <c r="J4608" i="7"/>
  <c r="N4607" i="7"/>
  <c r="H4606" i="7"/>
  <c r="Q4605" i="7"/>
  <c r="J4605" i="7"/>
  <c r="A4605" i="7"/>
  <c r="M4604" i="7"/>
  <c r="D4604" i="7"/>
  <c r="N4603" i="7"/>
  <c r="F4603" i="7"/>
  <c r="A4603" i="7"/>
  <c r="N4602" i="7"/>
  <c r="H4602" i="7"/>
  <c r="B4602" i="7"/>
  <c r="J4601" i="7"/>
  <c r="E4601" i="7"/>
  <c r="A4601" i="7"/>
  <c r="N4600" i="7"/>
  <c r="J4600" i="7"/>
  <c r="E4600" i="7"/>
  <c r="A4600" i="7"/>
  <c r="N4599" i="7"/>
  <c r="J4599" i="7"/>
  <c r="E4599" i="7"/>
  <c r="A4599" i="7"/>
  <c r="N4598" i="7"/>
  <c r="J4598" i="7"/>
  <c r="E4598" i="7"/>
  <c r="A4598" i="7"/>
  <c r="N4597" i="7"/>
  <c r="J4597" i="7"/>
  <c r="E4597" i="7"/>
  <c r="A4597" i="7"/>
  <c r="N4596" i="7"/>
  <c r="J4596" i="7"/>
  <c r="E4596" i="7"/>
  <c r="A4596" i="7"/>
  <c r="N4595" i="7"/>
  <c r="J4595" i="7"/>
  <c r="E4595" i="7"/>
  <c r="A4595" i="7"/>
  <c r="N4594" i="7"/>
  <c r="J4594" i="7"/>
  <c r="E4594" i="7"/>
  <c r="A4594" i="7"/>
  <c r="N4593" i="7"/>
  <c r="H4593" i="7"/>
  <c r="D4593" i="7"/>
  <c r="Q4592" i="7"/>
  <c r="M4592" i="7"/>
  <c r="H4592" i="7"/>
  <c r="D4592" i="7"/>
  <c r="Q4591" i="7"/>
  <c r="M4591" i="7"/>
  <c r="H4591" i="7"/>
  <c r="D4591" i="7"/>
  <c r="Q4590" i="7"/>
  <c r="M4590" i="7"/>
  <c r="G4590" i="7"/>
  <c r="C4590" i="7"/>
  <c r="L4589" i="7"/>
  <c r="G4589" i="7"/>
  <c r="C4589" i="7"/>
  <c r="L4588" i="7"/>
  <c r="G4588" i="7"/>
  <c r="C4588" i="7"/>
  <c r="L4587" i="7"/>
  <c r="G4587" i="7"/>
  <c r="C4587" i="7"/>
  <c r="L4586" i="7"/>
  <c r="G4586" i="7"/>
  <c r="C4586" i="7"/>
  <c r="L4585" i="7"/>
  <c r="G4585" i="7"/>
  <c r="C4585" i="7"/>
  <c r="L4584" i="7"/>
  <c r="G4584" i="7"/>
  <c r="C4584" i="7"/>
  <c r="L4583" i="7"/>
  <c r="G4583" i="7"/>
  <c r="C4583" i="7"/>
  <c r="L4582" i="7"/>
  <c r="G4582" i="7"/>
  <c r="C4582" i="7"/>
  <c r="L4581" i="7"/>
  <c r="G4581" i="7"/>
  <c r="C4581" i="7"/>
  <c r="L4580" i="7"/>
  <c r="G4580" i="7"/>
  <c r="C4580" i="7"/>
  <c r="L4579" i="7"/>
  <c r="G4579" i="7"/>
  <c r="C4579" i="7"/>
  <c r="L4578" i="7"/>
  <c r="G4578" i="7"/>
  <c r="C4578" i="7"/>
  <c r="L4577" i="7"/>
  <c r="G4577" i="7"/>
  <c r="C4577" i="7"/>
  <c r="L4576" i="7"/>
  <c r="G4576" i="7"/>
  <c r="C4576" i="7"/>
  <c r="L4575" i="7"/>
  <c r="G4575" i="7"/>
  <c r="C4575" i="7"/>
  <c r="L4574" i="7"/>
  <c r="G4574" i="7"/>
  <c r="C4574" i="7"/>
  <c r="L4573" i="7"/>
  <c r="M4768" i="7"/>
  <c r="E4717" i="7"/>
  <c r="C4715" i="7"/>
  <c r="I4709" i="7"/>
  <c r="L4685" i="7"/>
  <c r="C4683" i="7"/>
  <c r="J4680" i="7"/>
  <c r="B4678" i="7"/>
  <c r="J4676" i="7"/>
  <c r="N4674" i="7"/>
  <c r="A4673" i="7"/>
  <c r="F4671" i="7"/>
  <c r="G4669" i="7"/>
  <c r="A4666" i="7"/>
  <c r="A4662" i="7"/>
  <c r="Q4657" i="7"/>
  <c r="K4655" i="7"/>
  <c r="B4654" i="7"/>
  <c r="M4651" i="7"/>
  <c r="C4650" i="7"/>
  <c r="K4647" i="7"/>
  <c r="A4646" i="7"/>
  <c r="L4643" i="7"/>
  <c r="H4642" i="7"/>
  <c r="H4641" i="7"/>
  <c r="H4640" i="7"/>
  <c r="M4639" i="7"/>
  <c r="Q4637" i="7"/>
  <c r="D4637" i="7"/>
  <c r="H4636" i="7"/>
  <c r="M4635" i="7"/>
  <c r="Q4633" i="7"/>
  <c r="D4633" i="7"/>
  <c r="D4632" i="7"/>
  <c r="G4631" i="7"/>
  <c r="G4630" i="7"/>
  <c r="G4629" i="7"/>
  <c r="F4628" i="7"/>
  <c r="J4627" i="7"/>
  <c r="N4626" i="7"/>
  <c r="A4625" i="7"/>
  <c r="E4624" i="7"/>
  <c r="J4623" i="7"/>
  <c r="N4622" i="7"/>
  <c r="A4619" i="7"/>
  <c r="E4618" i="7"/>
  <c r="H4617" i="7"/>
  <c r="M4616" i="7"/>
  <c r="B4613" i="7"/>
  <c r="F4612" i="7"/>
  <c r="K4611" i="7"/>
  <c r="A4609" i="7"/>
  <c r="E4608" i="7"/>
  <c r="H4607" i="7"/>
  <c r="N4606" i="7"/>
  <c r="E4606" i="7"/>
  <c r="H4605" i="7"/>
  <c r="Q4604" i="7"/>
  <c r="J4604" i="7"/>
  <c r="A4604" i="7"/>
  <c r="M4603" i="7"/>
  <c r="E4603" i="7"/>
  <c r="Q4602" i="7"/>
  <c r="M4602" i="7"/>
  <c r="F4602" i="7"/>
  <c r="A4602" i="7"/>
  <c r="N4601" i="7"/>
  <c r="H4601" i="7"/>
  <c r="D4601" i="7"/>
  <c r="Q4600" i="7"/>
  <c r="M4600" i="7"/>
  <c r="H4600" i="7"/>
  <c r="D4600" i="7"/>
  <c r="Q4599" i="7"/>
  <c r="M4599" i="7"/>
  <c r="H4599" i="7"/>
  <c r="D4599" i="7"/>
  <c r="Q4598" i="7"/>
  <c r="M4598" i="7"/>
  <c r="H4598" i="7"/>
  <c r="D4598" i="7"/>
  <c r="Q4597" i="7"/>
  <c r="M4597" i="7"/>
  <c r="H4597" i="7"/>
  <c r="D4597" i="7"/>
  <c r="Q4596" i="7"/>
  <c r="M4596" i="7"/>
  <c r="H4596" i="7"/>
  <c r="D4596" i="7"/>
  <c r="Q4595" i="7"/>
  <c r="M4595" i="7"/>
  <c r="H4595" i="7"/>
  <c r="D4595" i="7"/>
  <c r="Q4594" i="7"/>
  <c r="M4594" i="7"/>
  <c r="H4594" i="7"/>
  <c r="D4594" i="7"/>
  <c r="Q4593" i="7"/>
  <c r="L4593" i="7"/>
  <c r="G4593" i="7"/>
  <c r="C4593" i="7"/>
  <c r="L4592" i="7"/>
  <c r="G4592" i="7"/>
  <c r="C4592" i="7"/>
  <c r="L4591" i="7"/>
  <c r="G4591" i="7"/>
  <c r="C4591" i="7"/>
  <c r="K4590" i="7"/>
  <c r="F4590" i="7"/>
  <c r="B4590" i="7"/>
  <c r="K4589" i="7"/>
  <c r="F4589" i="7"/>
  <c r="B4589" i="7"/>
  <c r="K4588" i="7"/>
  <c r="F4588" i="7"/>
  <c r="B4588" i="7"/>
  <c r="K4587" i="7"/>
  <c r="F4587" i="7"/>
  <c r="B4587" i="7"/>
  <c r="K4586" i="7"/>
  <c r="F4586" i="7"/>
  <c r="B4586" i="7"/>
  <c r="K4585" i="7"/>
  <c r="F4585" i="7"/>
  <c r="B4585" i="7"/>
  <c r="K4584" i="7"/>
  <c r="F4584" i="7"/>
  <c r="B4584" i="7"/>
  <c r="K4583" i="7"/>
  <c r="F4583" i="7"/>
  <c r="B4583" i="7"/>
  <c r="K4582" i="7"/>
  <c r="F4582" i="7"/>
  <c r="B4582" i="7"/>
  <c r="K4581" i="7"/>
  <c r="F4581" i="7"/>
  <c r="B4581" i="7"/>
  <c r="K4580" i="7"/>
  <c r="F4580" i="7"/>
  <c r="B4580" i="7"/>
  <c r="K4579" i="7"/>
  <c r="F4579" i="7"/>
  <c r="B4579" i="7"/>
  <c r="K4578" i="7"/>
  <c r="F4578" i="7"/>
  <c r="B4578" i="7"/>
  <c r="K4577" i="7"/>
  <c r="F4577" i="7"/>
  <c r="B4577" i="7"/>
  <c r="K4576" i="7"/>
  <c r="F4576" i="7"/>
  <c r="B4576" i="7"/>
  <c r="K4575" i="7"/>
  <c r="F4575" i="7"/>
  <c r="B4575" i="7"/>
  <c r="K4574" i="7"/>
  <c r="F4574" i="7"/>
  <c r="B4574" i="7"/>
  <c r="K4573" i="7"/>
  <c r="F4573" i="7"/>
  <c r="B4573" i="7"/>
  <c r="K4572" i="7"/>
  <c r="F4572" i="7"/>
  <c r="B4572" i="7"/>
  <c r="J4571" i="7"/>
  <c r="E4571" i="7"/>
  <c r="A4571" i="7"/>
  <c r="N4570" i="7"/>
  <c r="J4570" i="7"/>
  <c r="E4570" i="7"/>
  <c r="A4570" i="7"/>
  <c r="N4569" i="7"/>
  <c r="J4569" i="7"/>
  <c r="E4569" i="7"/>
  <c r="A4569" i="7"/>
  <c r="N4568" i="7"/>
  <c r="J4568" i="7"/>
  <c r="E4568" i="7"/>
  <c r="A4568" i="7"/>
  <c r="N4567" i="7"/>
  <c r="H4567" i="7"/>
  <c r="D4567" i="7"/>
  <c r="Q4566" i="7"/>
  <c r="M4566" i="7"/>
  <c r="H4566" i="7"/>
  <c r="D4566" i="7"/>
  <c r="Q4565" i="7"/>
  <c r="M4565" i="7"/>
  <c r="H4565" i="7"/>
  <c r="D4565" i="7"/>
  <c r="Q4564" i="7"/>
  <c r="M4564" i="7"/>
  <c r="H4564" i="7"/>
  <c r="D4564" i="7"/>
  <c r="Q4563" i="7"/>
  <c r="M4563" i="7"/>
  <c r="H4563" i="7"/>
  <c r="D4563" i="7"/>
  <c r="Q4562" i="7"/>
  <c r="M4562" i="7"/>
  <c r="H4562" i="7"/>
  <c r="D4562" i="7"/>
  <c r="Q4561" i="7"/>
  <c r="M4561" i="7"/>
  <c r="H4561" i="7"/>
  <c r="D4561" i="7"/>
  <c r="Q4560" i="7"/>
  <c r="M4560" i="7"/>
  <c r="H4560" i="7"/>
  <c r="D4560" i="7"/>
  <c r="Q4559" i="7"/>
  <c r="M4559" i="7"/>
  <c r="H4559" i="7"/>
  <c r="D4559" i="7"/>
  <c r="Q4558" i="7"/>
  <c r="M4558" i="7"/>
  <c r="H4558" i="7"/>
  <c r="D4558" i="7"/>
  <c r="Q4557" i="7"/>
  <c r="M4557" i="7"/>
  <c r="H4557" i="7"/>
  <c r="B4570" i="7"/>
  <c r="F4569" i="7"/>
  <c r="K4568" i="7"/>
  <c r="A4566" i="7"/>
  <c r="E4565" i="7"/>
  <c r="J4564" i="7"/>
  <c r="N4563" i="7"/>
  <c r="A4562" i="7"/>
  <c r="K4561" i="7"/>
  <c r="E4561" i="7"/>
  <c r="K4560" i="7"/>
  <c r="E4560" i="7"/>
  <c r="K4559" i="7"/>
  <c r="E4559" i="7"/>
  <c r="K4558" i="7"/>
  <c r="E4558" i="7"/>
  <c r="K4557" i="7"/>
  <c r="E4557" i="7"/>
  <c r="A4557" i="7"/>
  <c r="N4556" i="7"/>
  <c r="J4556" i="7"/>
  <c r="E4556" i="7"/>
  <c r="A4556" i="7"/>
  <c r="N4555" i="7"/>
  <c r="J4555" i="7"/>
  <c r="E4555" i="7"/>
  <c r="A4555" i="7"/>
  <c r="N4554" i="7"/>
  <c r="J4554" i="7"/>
  <c r="E4554" i="7"/>
  <c r="A4554" i="7"/>
  <c r="N4553" i="7"/>
  <c r="J4553" i="7"/>
  <c r="E4553" i="7"/>
  <c r="A4553" i="7"/>
  <c r="N4552" i="7"/>
  <c r="J4552" i="7"/>
  <c r="E4552" i="7"/>
  <c r="A4552" i="7"/>
  <c r="N4551" i="7"/>
  <c r="J4551" i="7"/>
  <c r="E4551" i="7"/>
  <c r="A4551" i="7"/>
  <c r="N4550" i="7"/>
  <c r="J4550" i="7"/>
  <c r="E4550" i="7"/>
  <c r="A4550" i="7"/>
  <c r="N4549" i="7"/>
  <c r="J4549" i="7"/>
  <c r="E4549" i="7"/>
  <c r="A4549" i="7"/>
  <c r="N4548" i="7"/>
  <c r="J4548" i="7"/>
  <c r="E4548" i="7"/>
  <c r="A4548" i="7"/>
  <c r="N4547" i="7"/>
  <c r="J4547" i="7"/>
  <c r="E4547" i="7"/>
  <c r="A4547" i="7"/>
  <c r="N4546" i="7"/>
  <c r="J4546" i="7"/>
  <c r="E4546" i="7"/>
  <c r="A4546" i="7"/>
  <c r="N4545" i="7"/>
  <c r="J4545" i="7"/>
  <c r="E4545" i="7"/>
  <c r="A4545" i="7"/>
  <c r="N4544" i="7"/>
  <c r="J4544" i="7"/>
  <c r="E4544" i="7"/>
  <c r="A4544" i="7"/>
  <c r="N4543" i="7"/>
  <c r="J4543" i="7"/>
  <c r="E4543" i="7"/>
  <c r="A4543" i="7"/>
  <c r="N4542" i="7"/>
  <c r="J4542" i="7"/>
  <c r="E4542" i="7"/>
  <c r="A4542" i="7"/>
  <c r="N4541" i="7"/>
  <c r="J4541" i="7"/>
  <c r="E4541" i="7"/>
  <c r="A4541" i="7"/>
  <c r="N4540" i="7"/>
  <c r="J4540" i="7"/>
  <c r="E4540" i="7"/>
  <c r="A4540" i="7"/>
  <c r="N4539" i="7"/>
  <c r="J4539" i="7"/>
  <c r="E4539" i="7"/>
  <c r="A4539" i="7"/>
  <c r="N4538" i="7"/>
  <c r="J4538" i="7"/>
  <c r="E4538" i="7"/>
  <c r="A4538" i="7"/>
  <c r="N4537" i="7"/>
  <c r="J4537" i="7"/>
  <c r="E4537" i="7"/>
  <c r="A4537" i="7"/>
  <c r="N4536" i="7"/>
  <c r="J4536" i="7"/>
  <c r="E4536" i="7"/>
  <c r="A4536" i="7"/>
  <c r="N4535" i="7"/>
  <c r="J4535" i="7"/>
  <c r="E4535" i="7"/>
  <c r="A4535" i="7"/>
  <c r="N4534" i="7"/>
  <c r="J4534" i="7"/>
  <c r="E4534" i="7"/>
  <c r="A4534" i="7"/>
  <c r="N4533" i="7"/>
  <c r="J4533" i="7"/>
  <c r="E4533" i="7"/>
  <c r="A4533" i="7"/>
  <c r="N4532" i="7"/>
  <c r="J4532" i="7"/>
  <c r="E4532" i="7"/>
  <c r="A4532" i="7"/>
  <c r="N4531" i="7"/>
  <c r="J4531" i="7"/>
  <c r="E4531" i="7"/>
  <c r="A4531" i="7"/>
  <c r="N4530" i="7"/>
  <c r="J4530" i="7"/>
  <c r="E4530" i="7"/>
  <c r="A4530" i="7"/>
  <c r="N4529" i="7"/>
  <c r="J4529" i="7"/>
  <c r="E4529" i="7"/>
  <c r="A4529" i="7"/>
  <c r="N4528" i="7"/>
  <c r="J4528" i="7"/>
  <c r="E4528" i="7"/>
  <c r="A4528" i="7"/>
  <c r="N4527" i="7"/>
  <c r="J4527" i="7"/>
  <c r="E4527" i="7"/>
  <c r="A4527" i="7"/>
  <c r="N4526" i="7"/>
  <c r="J4526" i="7"/>
  <c r="E4526" i="7"/>
  <c r="A4526" i="7"/>
  <c r="N4525" i="7"/>
  <c r="J4525" i="7"/>
  <c r="E4525" i="7"/>
  <c r="A4525" i="7"/>
  <c r="N4524" i="7"/>
  <c r="J4524" i="7"/>
  <c r="E4524" i="7"/>
  <c r="A4524" i="7"/>
  <c r="N4523" i="7"/>
  <c r="J4523" i="7"/>
  <c r="E4523" i="7"/>
  <c r="A4523" i="7"/>
  <c r="N4522" i="7"/>
  <c r="J4522" i="7"/>
  <c r="E4522" i="7"/>
  <c r="A4522" i="7"/>
  <c r="N4521" i="7"/>
  <c r="J4521" i="7"/>
  <c r="E4521" i="7"/>
  <c r="A4521" i="7"/>
  <c r="N4520" i="7"/>
  <c r="J4520" i="7"/>
  <c r="E4520" i="7"/>
  <c r="A4520" i="7"/>
  <c r="N4519" i="7"/>
  <c r="J4519" i="7"/>
  <c r="E4519" i="7"/>
  <c r="A4519" i="7"/>
  <c r="N4518" i="7"/>
  <c r="J4518" i="7"/>
  <c r="E4518" i="7"/>
  <c r="A4518" i="7"/>
  <c r="N4517" i="7"/>
  <c r="J4517" i="7"/>
  <c r="E4517" i="7"/>
  <c r="A4517" i="7"/>
  <c r="N4516" i="7"/>
  <c r="J4516" i="7"/>
  <c r="E4516" i="7"/>
  <c r="A4516" i="7"/>
  <c r="N4515" i="7"/>
  <c r="J4515" i="7"/>
  <c r="E4515" i="7"/>
  <c r="A4515" i="7"/>
  <c r="N4514" i="7"/>
  <c r="J4514" i="7"/>
  <c r="E4514" i="7"/>
  <c r="A4514" i="7"/>
  <c r="N4513" i="7"/>
  <c r="J4513" i="7"/>
  <c r="E4513" i="7"/>
  <c r="A4513" i="7"/>
  <c r="N4512" i="7"/>
  <c r="J4512" i="7"/>
  <c r="E4512" i="7"/>
  <c r="A4512" i="7"/>
  <c r="N4511" i="7"/>
  <c r="J4511" i="7"/>
  <c r="E4511" i="7"/>
  <c r="A4511" i="7"/>
  <c r="N4510" i="7"/>
  <c r="J4510" i="7"/>
  <c r="E4510" i="7"/>
  <c r="A4510" i="7"/>
  <c r="N4509" i="7"/>
  <c r="J4509" i="7"/>
  <c r="E4509" i="7"/>
  <c r="A4509" i="7"/>
  <c r="N4508" i="7"/>
  <c r="J4508" i="7"/>
  <c r="E4508" i="7"/>
  <c r="A4508" i="7"/>
  <c r="N4507" i="7"/>
  <c r="J4507" i="7"/>
  <c r="E4507" i="7"/>
  <c r="A4507" i="7"/>
  <c r="N4506" i="7"/>
  <c r="J4506" i="7"/>
  <c r="E4506" i="7"/>
  <c r="A4506" i="7"/>
  <c r="N4505" i="7"/>
  <c r="J4505" i="7"/>
  <c r="E4505" i="7"/>
  <c r="A4505" i="7"/>
  <c r="M4504" i="7"/>
  <c r="H4504" i="7"/>
  <c r="D4504" i="7"/>
  <c r="Q4503" i="7"/>
  <c r="M4503" i="7"/>
  <c r="H4503" i="7"/>
  <c r="D4503" i="7"/>
  <c r="Q4502" i="7"/>
  <c r="M4502" i="7"/>
  <c r="H4502" i="7"/>
  <c r="D4502" i="7"/>
  <c r="Q4501" i="7"/>
  <c r="M4501" i="7"/>
  <c r="H4501" i="7"/>
  <c r="D4501" i="7"/>
  <c r="Q4500" i="7"/>
  <c r="M4500" i="7"/>
  <c r="H4500" i="7"/>
  <c r="D4500" i="7"/>
  <c r="Q4499" i="7"/>
  <c r="M4499" i="7"/>
  <c r="H4499" i="7"/>
  <c r="D4499" i="7"/>
  <c r="Q4498" i="7"/>
  <c r="M4498" i="7"/>
  <c r="H4498" i="7"/>
  <c r="D4498" i="7"/>
  <c r="Q4497" i="7"/>
  <c r="M4497" i="7"/>
  <c r="H4497" i="7"/>
  <c r="D4497" i="7"/>
  <c r="Q4496" i="7"/>
  <c r="M4496" i="7"/>
  <c r="H4496" i="7"/>
  <c r="D4496" i="7"/>
  <c r="Q4495" i="7"/>
  <c r="M4495" i="7"/>
  <c r="H4495" i="7"/>
  <c r="D4495" i="7"/>
  <c r="Q4494" i="7"/>
  <c r="M4494" i="7"/>
  <c r="H4494" i="7"/>
  <c r="D4494" i="7"/>
  <c r="Q4493" i="7"/>
  <c r="M4493" i="7"/>
  <c r="H4493" i="7"/>
  <c r="D4493" i="7"/>
  <c r="Q4492" i="7"/>
  <c r="M4492" i="7"/>
  <c r="H4492" i="7"/>
  <c r="D4492" i="7"/>
  <c r="Q4491" i="7"/>
  <c r="M4491" i="7"/>
  <c r="H4491" i="7"/>
  <c r="D4491" i="7"/>
  <c r="Q4490" i="7"/>
  <c r="M4490" i="7"/>
  <c r="H4490" i="7"/>
  <c r="D4490" i="7"/>
  <c r="Q4489" i="7"/>
  <c r="M4489" i="7"/>
  <c r="H4489" i="7"/>
  <c r="D4489" i="7"/>
  <c r="Q4488" i="7"/>
  <c r="M4488" i="7"/>
  <c r="H4488" i="7"/>
  <c r="D4488" i="7"/>
  <c r="Q4487" i="7"/>
  <c r="M4487" i="7"/>
  <c r="H4487" i="7"/>
  <c r="D4487" i="7"/>
  <c r="Q4486" i="7"/>
  <c r="M4486" i="7"/>
  <c r="H4486" i="7"/>
  <c r="D4486" i="7"/>
  <c r="Q4485" i="7"/>
  <c r="M4485" i="7"/>
  <c r="H4485" i="7"/>
  <c r="D4485" i="7"/>
  <c r="Q4484" i="7"/>
  <c r="M4484" i="7"/>
  <c r="H4484" i="7"/>
  <c r="D4484" i="7"/>
  <c r="Q4483" i="7"/>
  <c r="M4483" i="7"/>
  <c r="H4483" i="7"/>
  <c r="D4483" i="7"/>
  <c r="Q4482" i="7"/>
  <c r="M4482" i="7"/>
  <c r="H4482" i="7"/>
  <c r="D4482" i="7"/>
  <c r="Q4481" i="7"/>
  <c r="M4481" i="7"/>
  <c r="H4481" i="7"/>
  <c r="D4481" i="7"/>
  <c r="Q4480" i="7"/>
  <c r="M4480" i="7"/>
  <c r="H4480" i="7"/>
  <c r="D4480" i="7"/>
  <c r="Q4479" i="7"/>
  <c r="M4479" i="7"/>
  <c r="H4479" i="7"/>
  <c r="D4479" i="7"/>
  <c r="Q4478" i="7"/>
  <c r="M4478" i="7"/>
  <c r="H4478" i="7"/>
  <c r="D4478" i="7"/>
  <c r="Q4477" i="7"/>
  <c r="M4477" i="7"/>
  <c r="H4477" i="7"/>
  <c r="D4477" i="7"/>
  <c r="Q4476" i="7"/>
  <c r="M4476" i="7"/>
  <c r="H4476" i="7"/>
  <c r="D4476" i="7"/>
  <c r="Q4475" i="7"/>
  <c r="M4475" i="7"/>
  <c r="H4475" i="7"/>
  <c r="D4475" i="7"/>
  <c r="Q4474" i="7"/>
  <c r="M4474" i="7"/>
  <c r="H4474" i="7"/>
  <c r="D4474" i="7"/>
  <c r="Q4473" i="7"/>
  <c r="M4473" i="7"/>
  <c r="H4473" i="7"/>
  <c r="D4473" i="7"/>
  <c r="Q4472" i="7"/>
  <c r="M4472" i="7"/>
  <c r="H4472" i="7"/>
  <c r="D4472" i="7"/>
  <c r="Q4471" i="7"/>
  <c r="M4471" i="7"/>
  <c r="H4471" i="7"/>
  <c r="D4471" i="7"/>
  <c r="Q4470" i="7"/>
  <c r="M4470" i="7"/>
  <c r="H4470" i="7"/>
  <c r="D4470" i="7"/>
  <c r="Q4469" i="7"/>
  <c r="M4469" i="7"/>
  <c r="H4469" i="7"/>
  <c r="D4469" i="7"/>
  <c r="Q4468" i="7"/>
  <c r="M4468" i="7"/>
  <c r="H4468" i="7"/>
  <c r="D4468" i="7"/>
  <c r="Q4467" i="7"/>
  <c r="M4467" i="7"/>
  <c r="H4467" i="7"/>
  <c r="D4467" i="7"/>
  <c r="Q4466" i="7"/>
  <c r="M4466" i="7"/>
  <c r="H4466" i="7"/>
  <c r="D4466" i="7"/>
  <c r="Q4465" i="7"/>
  <c r="M4465" i="7"/>
  <c r="H4465" i="7"/>
  <c r="D4465" i="7"/>
  <c r="Q4464" i="7"/>
  <c r="M4464" i="7"/>
  <c r="H4464" i="7"/>
  <c r="D4464" i="7"/>
  <c r="Q4463" i="7"/>
  <c r="M4463" i="7"/>
  <c r="H4463" i="7"/>
  <c r="D4463" i="7"/>
  <c r="Q4462" i="7"/>
  <c r="M4462" i="7"/>
  <c r="H4462" i="7"/>
  <c r="D4462" i="7"/>
  <c r="Q4461" i="7"/>
  <c r="M4461" i="7"/>
  <c r="G4461" i="7"/>
  <c r="C4461" i="7"/>
  <c r="L4460" i="7"/>
  <c r="G4460" i="7"/>
  <c r="C4460" i="7"/>
  <c r="L4459" i="7"/>
  <c r="G4459" i="7"/>
  <c r="C4459" i="7"/>
  <c r="L4458" i="7"/>
  <c r="G4458" i="7"/>
  <c r="C4458" i="7"/>
  <c r="L4457" i="7"/>
  <c r="G4457" i="7"/>
  <c r="C4457" i="7"/>
  <c r="L4456" i="7"/>
  <c r="G4456" i="7"/>
  <c r="C4456" i="7"/>
  <c r="L4455" i="7"/>
  <c r="G4455" i="7"/>
  <c r="C4455" i="7"/>
  <c r="L4454" i="7"/>
  <c r="G4454" i="7"/>
  <c r="C4454" i="7"/>
  <c r="L4453" i="7"/>
  <c r="G4453" i="7"/>
  <c r="C4453" i="7"/>
  <c r="L4452" i="7"/>
  <c r="G4452" i="7"/>
  <c r="C4452" i="7"/>
  <c r="L4451" i="7"/>
  <c r="G4451" i="7"/>
  <c r="C4451" i="7"/>
  <c r="L4450" i="7"/>
  <c r="G4450" i="7"/>
  <c r="C4450" i="7"/>
  <c r="L4449" i="7"/>
  <c r="G4449" i="7"/>
  <c r="C4449" i="7"/>
  <c r="L4448" i="7"/>
  <c r="G4448" i="7"/>
  <c r="C4448" i="7"/>
  <c r="L4447" i="7"/>
  <c r="G4447" i="7"/>
  <c r="C4447" i="7"/>
  <c r="L4446" i="7"/>
  <c r="G4446" i="7"/>
  <c r="C4446" i="7"/>
  <c r="L4445" i="7"/>
  <c r="G4445" i="7"/>
  <c r="C4445" i="7"/>
  <c r="L4444" i="7"/>
  <c r="G4444" i="7"/>
  <c r="C4444" i="7"/>
  <c r="L4443" i="7"/>
  <c r="G4443" i="7"/>
  <c r="C4443" i="7"/>
  <c r="L4442" i="7"/>
  <c r="G4442" i="7"/>
  <c r="C4442" i="7"/>
  <c r="L4441" i="7"/>
  <c r="L4572" i="7"/>
  <c r="K4571" i="7"/>
  <c r="B4569" i="7"/>
  <c r="F4568" i="7"/>
  <c r="J4567" i="7"/>
  <c r="N4566" i="7"/>
  <c r="A4565" i="7"/>
  <c r="E4564" i="7"/>
  <c r="J4563" i="7"/>
  <c r="N4562" i="7"/>
  <c r="J4561" i="7"/>
  <c r="C4561" i="7"/>
  <c r="J4560" i="7"/>
  <c r="C4560" i="7"/>
  <c r="J4559" i="7"/>
  <c r="C4559" i="7"/>
  <c r="J4558" i="7"/>
  <c r="C4558" i="7"/>
  <c r="J4557" i="7"/>
  <c r="D4557" i="7"/>
  <c r="Q4556" i="7"/>
  <c r="M4556" i="7"/>
  <c r="H4556" i="7"/>
  <c r="D4556" i="7"/>
  <c r="Q4555" i="7"/>
  <c r="M4555" i="7"/>
  <c r="H4555" i="7"/>
  <c r="D4555" i="7"/>
  <c r="Q4554" i="7"/>
  <c r="M4554" i="7"/>
  <c r="H4554" i="7"/>
  <c r="D4554" i="7"/>
  <c r="Q4553" i="7"/>
  <c r="M4553" i="7"/>
  <c r="H4553" i="7"/>
  <c r="D4553" i="7"/>
  <c r="Q4552" i="7"/>
  <c r="M4552" i="7"/>
  <c r="H4552" i="7"/>
  <c r="D4552" i="7"/>
  <c r="Q4551" i="7"/>
  <c r="M4551" i="7"/>
  <c r="H4551" i="7"/>
  <c r="D4551" i="7"/>
  <c r="Q4550" i="7"/>
  <c r="M4550" i="7"/>
  <c r="H4550" i="7"/>
  <c r="D4550" i="7"/>
  <c r="Q4549" i="7"/>
  <c r="M4549" i="7"/>
  <c r="H4549" i="7"/>
  <c r="D4549" i="7"/>
  <c r="Q4548" i="7"/>
  <c r="M4548" i="7"/>
  <c r="H4548" i="7"/>
  <c r="D4548" i="7"/>
  <c r="Q4547" i="7"/>
  <c r="M4547" i="7"/>
  <c r="H4547" i="7"/>
  <c r="D4547" i="7"/>
  <c r="Q4546" i="7"/>
  <c r="M4546" i="7"/>
  <c r="H4546" i="7"/>
  <c r="D4546" i="7"/>
  <c r="Q4545" i="7"/>
  <c r="M4545" i="7"/>
  <c r="H4545" i="7"/>
  <c r="D4545" i="7"/>
  <c r="Q4544" i="7"/>
  <c r="M4544" i="7"/>
  <c r="H4544" i="7"/>
  <c r="D4544" i="7"/>
  <c r="Q4543" i="7"/>
  <c r="M4543" i="7"/>
  <c r="H4543" i="7"/>
  <c r="D4543" i="7"/>
  <c r="Q4542" i="7"/>
  <c r="M4542" i="7"/>
  <c r="H4542" i="7"/>
  <c r="D4542" i="7"/>
  <c r="Q4541" i="7"/>
  <c r="M4541" i="7"/>
  <c r="H4541" i="7"/>
  <c r="D4541" i="7"/>
  <c r="Q4540" i="7"/>
  <c r="M4540" i="7"/>
  <c r="H4540" i="7"/>
  <c r="D4540" i="7"/>
  <c r="Q4539" i="7"/>
  <c r="M4539" i="7"/>
  <c r="H4539" i="7"/>
  <c r="D4539" i="7"/>
  <c r="Q4538" i="7"/>
  <c r="M4538" i="7"/>
  <c r="H4538" i="7"/>
  <c r="D4538" i="7"/>
  <c r="Q4537" i="7"/>
  <c r="M4537" i="7"/>
  <c r="H4537" i="7"/>
  <c r="D4537" i="7"/>
  <c r="Q4536" i="7"/>
  <c r="M4536" i="7"/>
  <c r="H4536" i="7"/>
  <c r="D4536" i="7"/>
  <c r="Q4535" i="7"/>
  <c r="M4535" i="7"/>
  <c r="H4535" i="7"/>
  <c r="D4535" i="7"/>
  <c r="Q4534" i="7"/>
  <c r="M4534" i="7"/>
  <c r="H4534" i="7"/>
  <c r="D4534" i="7"/>
  <c r="Q4533" i="7"/>
  <c r="M4533" i="7"/>
  <c r="H4533" i="7"/>
  <c r="D4533" i="7"/>
  <c r="Q4532" i="7"/>
  <c r="M4532" i="7"/>
  <c r="H4532" i="7"/>
  <c r="D4532" i="7"/>
  <c r="Q4531" i="7"/>
  <c r="M4531" i="7"/>
  <c r="H4531" i="7"/>
  <c r="D4531" i="7"/>
  <c r="Q4530" i="7"/>
  <c r="M4530" i="7"/>
  <c r="H4530" i="7"/>
  <c r="D4530" i="7"/>
  <c r="Q4529" i="7"/>
  <c r="M4529" i="7"/>
  <c r="H4529" i="7"/>
  <c r="D4529" i="7"/>
  <c r="Q4528" i="7"/>
  <c r="M4528" i="7"/>
  <c r="H4528" i="7"/>
  <c r="D4528" i="7"/>
  <c r="Q4527" i="7"/>
  <c r="M4527" i="7"/>
  <c r="H4527" i="7"/>
  <c r="D4527" i="7"/>
  <c r="Q4526" i="7"/>
  <c r="M4526" i="7"/>
  <c r="H4526" i="7"/>
  <c r="D4526" i="7"/>
  <c r="Q4525" i="7"/>
  <c r="M4525" i="7"/>
  <c r="H4525" i="7"/>
  <c r="D4525" i="7"/>
  <c r="Q4524" i="7"/>
  <c r="M4524" i="7"/>
  <c r="H4524" i="7"/>
  <c r="D4524" i="7"/>
  <c r="Q4523" i="7"/>
  <c r="M4523" i="7"/>
  <c r="H4523" i="7"/>
  <c r="D4523" i="7"/>
  <c r="Q4522" i="7"/>
  <c r="M4522" i="7"/>
  <c r="H4522" i="7"/>
  <c r="D4522" i="7"/>
  <c r="Q4521" i="7"/>
  <c r="M4521" i="7"/>
  <c r="H4521" i="7"/>
  <c r="D4521" i="7"/>
  <c r="Q4520" i="7"/>
  <c r="M4520" i="7"/>
  <c r="H4520" i="7"/>
  <c r="D4520" i="7"/>
  <c r="Q4519" i="7"/>
  <c r="M4519" i="7"/>
  <c r="H4519" i="7"/>
  <c r="D4519" i="7"/>
  <c r="Q4518" i="7"/>
  <c r="M4518" i="7"/>
  <c r="H4518" i="7"/>
  <c r="D4518" i="7"/>
  <c r="Q4517" i="7"/>
  <c r="M4517" i="7"/>
  <c r="H4517" i="7"/>
  <c r="D4517" i="7"/>
  <c r="Q4516" i="7"/>
  <c r="M4516" i="7"/>
  <c r="H4516" i="7"/>
  <c r="D4516" i="7"/>
  <c r="Q4515" i="7"/>
  <c r="M4515" i="7"/>
  <c r="H4515" i="7"/>
  <c r="D4515" i="7"/>
  <c r="Q4514" i="7"/>
  <c r="M4514" i="7"/>
  <c r="H4514" i="7"/>
  <c r="D4514" i="7"/>
  <c r="Q4513" i="7"/>
  <c r="M4513" i="7"/>
  <c r="H4513" i="7"/>
  <c r="D4513" i="7"/>
  <c r="Q4512" i="7"/>
  <c r="M4512" i="7"/>
  <c r="H4512" i="7"/>
  <c r="D4512" i="7"/>
  <c r="Q4511" i="7"/>
  <c r="M4511" i="7"/>
  <c r="H4511" i="7"/>
  <c r="D4511" i="7"/>
  <c r="Q4510" i="7"/>
  <c r="M4510" i="7"/>
  <c r="H4510" i="7"/>
  <c r="D4510" i="7"/>
  <c r="Q4509" i="7"/>
  <c r="M4509" i="7"/>
  <c r="H4509" i="7"/>
  <c r="D4509" i="7"/>
  <c r="Q4508" i="7"/>
  <c r="M4508" i="7"/>
  <c r="H4508" i="7"/>
  <c r="D4508" i="7"/>
  <c r="Q4507" i="7"/>
  <c r="M4507" i="7"/>
  <c r="H4507" i="7"/>
  <c r="D4507" i="7"/>
  <c r="Q4506" i="7"/>
  <c r="M4506" i="7"/>
  <c r="H4506" i="7"/>
  <c r="D4506" i="7"/>
  <c r="Q4505" i="7"/>
  <c r="M4505" i="7"/>
  <c r="H4505" i="7"/>
  <c r="D4505" i="7"/>
  <c r="Q4504" i="7"/>
  <c r="L4504" i="7"/>
  <c r="G4504" i="7"/>
  <c r="C4504" i="7"/>
  <c r="L4503" i="7"/>
  <c r="G4503" i="7"/>
  <c r="C4503" i="7"/>
  <c r="L4502" i="7"/>
  <c r="G4502" i="7"/>
  <c r="C4502" i="7"/>
  <c r="L4501" i="7"/>
  <c r="G4501" i="7"/>
  <c r="C4501" i="7"/>
  <c r="L4500" i="7"/>
  <c r="G4500" i="7"/>
  <c r="C4500" i="7"/>
  <c r="L4499" i="7"/>
  <c r="G4499" i="7"/>
  <c r="C4499" i="7"/>
  <c r="L4498" i="7"/>
  <c r="G4498" i="7"/>
  <c r="C4498" i="7"/>
  <c r="L4497" i="7"/>
  <c r="G4497" i="7"/>
  <c r="C4497" i="7"/>
  <c r="L4496" i="7"/>
  <c r="G4496" i="7"/>
  <c r="C4496" i="7"/>
  <c r="L4495" i="7"/>
  <c r="G4495" i="7"/>
  <c r="C4495" i="7"/>
  <c r="L4494" i="7"/>
  <c r="G4494" i="7"/>
  <c r="C4494" i="7"/>
  <c r="L4493" i="7"/>
  <c r="G4493" i="7"/>
  <c r="C4493" i="7"/>
  <c r="L4492" i="7"/>
  <c r="G4492" i="7"/>
  <c r="C4492" i="7"/>
  <c r="L4491" i="7"/>
  <c r="G4491" i="7"/>
  <c r="C4491" i="7"/>
  <c r="L4490" i="7"/>
  <c r="G4490" i="7"/>
  <c r="C4490" i="7"/>
  <c r="L4489" i="7"/>
  <c r="G4489" i="7"/>
  <c r="C4489" i="7"/>
  <c r="L4488" i="7"/>
  <c r="G4488" i="7"/>
  <c r="C4488" i="7"/>
  <c r="L4487" i="7"/>
  <c r="G4487" i="7"/>
  <c r="C4487" i="7"/>
  <c r="L4486" i="7"/>
  <c r="G4486" i="7"/>
  <c r="C4486" i="7"/>
  <c r="L4485" i="7"/>
  <c r="G4485" i="7"/>
  <c r="C4485" i="7"/>
  <c r="L4484" i="7"/>
  <c r="G4484" i="7"/>
  <c r="C4484" i="7"/>
  <c r="L4483" i="7"/>
  <c r="G4483" i="7"/>
  <c r="C4483" i="7"/>
  <c r="L4482" i="7"/>
  <c r="G4482" i="7"/>
  <c r="C4482" i="7"/>
  <c r="L4481" i="7"/>
  <c r="G4481" i="7"/>
  <c r="C4481" i="7"/>
  <c r="L4480" i="7"/>
  <c r="G4480" i="7"/>
  <c r="C4480" i="7"/>
  <c r="L4479" i="7"/>
  <c r="G4479" i="7"/>
  <c r="C4479" i="7"/>
  <c r="G4573" i="7"/>
  <c r="G4572" i="7"/>
  <c r="F4571" i="7"/>
  <c r="K4570" i="7"/>
  <c r="B4568" i="7"/>
  <c r="E4567" i="7"/>
  <c r="J4566" i="7"/>
  <c r="N4565" i="7"/>
  <c r="A4564" i="7"/>
  <c r="E4563" i="7"/>
  <c r="J4562" i="7"/>
  <c r="N4561" i="7"/>
  <c r="G4561" i="7"/>
  <c r="B4561" i="7"/>
  <c r="N4560" i="7"/>
  <c r="G4560" i="7"/>
  <c r="B4560" i="7"/>
  <c r="N4559" i="7"/>
  <c r="G4559" i="7"/>
  <c r="B4559" i="7"/>
  <c r="N4558" i="7"/>
  <c r="G4558" i="7"/>
  <c r="B4558" i="7"/>
  <c r="N4557" i="7"/>
  <c r="G4557" i="7"/>
  <c r="C4557" i="7"/>
  <c r="L4556" i="7"/>
  <c r="G4556" i="7"/>
  <c r="C4556" i="7"/>
  <c r="L4555" i="7"/>
  <c r="G4555" i="7"/>
  <c r="C4555" i="7"/>
  <c r="L4554" i="7"/>
  <c r="G4554" i="7"/>
  <c r="C4554" i="7"/>
  <c r="L4553" i="7"/>
  <c r="G4553" i="7"/>
  <c r="C4553" i="7"/>
  <c r="L4552" i="7"/>
  <c r="G4552" i="7"/>
  <c r="C4552" i="7"/>
  <c r="L4551" i="7"/>
  <c r="G4551" i="7"/>
  <c r="C4551" i="7"/>
  <c r="L4550" i="7"/>
  <c r="G4550" i="7"/>
  <c r="C4550" i="7"/>
  <c r="L4549" i="7"/>
  <c r="G4549" i="7"/>
  <c r="C4549" i="7"/>
  <c r="L4548" i="7"/>
  <c r="G4548" i="7"/>
  <c r="C4548" i="7"/>
  <c r="L4547" i="7"/>
  <c r="G4547" i="7"/>
  <c r="C4547" i="7"/>
  <c r="L4546" i="7"/>
  <c r="G4546" i="7"/>
  <c r="C4546" i="7"/>
  <c r="L4545" i="7"/>
  <c r="G4545" i="7"/>
  <c r="C4545" i="7"/>
  <c r="L4544" i="7"/>
  <c r="G4544" i="7"/>
  <c r="C4544" i="7"/>
  <c r="L4543" i="7"/>
  <c r="G4543" i="7"/>
  <c r="C4543" i="7"/>
  <c r="L4542" i="7"/>
  <c r="G4542" i="7"/>
  <c r="C4542" i="7"/>
  <c r="L4541" i="7"/>
  <c r="G4541" i="7"/>
  <c r="C4541" i="7"/>
  <c r="L4540" i="7"/>
  <c r="G4540" i="7"/>
  <c r="C4540" i="7"/>
  <c r="L4539" i="7"/>
  <c r="G4539" i="7"/>
  <c r="C4539" i="7"/>
  <c r="L4538" i="7"/>
  <c r="G4538" i="7"/>
  <c r="C4538" i="7"/>
  <c r="L4537" i="7"/>
  <c r="G4537" i="7"/>
  <c r="C4537" i="7"/>
  <c r="L4536" i="7"/>
  <c r="G4536" i="7"/>
  <c r="C4536" i="7"/>
  <c r="L4535" i="7"/>
  <c r="G4535" i="7"/>
  <c r="C4535" i="7"/>
  <c r="L4534" i="7"/>
  <c r="G4534" i="7"/>
  <c r="C4534" i="7"/>
  <c r="L4533" i="7"/>
  <c r="G4533" i="7"/>
  <c r="C4533" i="7"/>
  <c r="L4532" i="7"/>
  <c r="G4532" i="7"/>
  <c r="C4532" i="7"/>
  <c r="L4531" i="7"/>
  <c r="G4531" i="7"/>
  <c r="C4531" i="7"/>
  <c r="L4530" i="7"/>
  <c r="G4530" i="7"/>
  <c r="C4530" i="7"/>
  <c r="L4529" i="7"/>
  <c r="G4529" i="7"/>
  <c r="C4529" i="7"/>
  <c r="L4528" i="7"/>
  <c r="G4528" i="7"/>
  <c r="C4528" i="7"/>
  <c r="L4527" i="7"/>
  <c r="G4527" i="7"/>
  <c r="C4527" i="7"/>
  <c r="L4526" i="7"/>
  <c r="G4526" i="7"/>
  <c r="C4526" i="7"/>
  <c r="L4525" i="7"/>
  <c r="G4525" i="7"/>
  <c r="C4525" i="7"/>
  <c r="L4524" i="7"/>
  <c r="G4524" i="7"/>
  <c r="C4524" i="7"/>
  <c r="L4523" i="7"/>
  <c r="G4523" i="7"/>
  <c r="C4523" i="7"/>
  <c r="L4522" i="7"/>
  <c r="G4522" i="7"/>
  <c r="C4522" i="7"/>
  <c r="L4521" i="7"/>
  <c r="G4521" i="7"/>
  <c r="C4521" i="7"/>
  <c r="L4520" i="7"/>
  <c r="G4520" i="7"/>
  <c r="C4520" i="7"/>
  <c r="L4519" i="7"/>
  <c r="G4519" i="7"/>
  <c r="C4519" i="7"/>
  <c r="L4518" i="7"/>
  <c r="G4518" i="7"/>
  <c r="C4518" i="7"/>
  <c r="L4517" i="7"/>
  <c r="G4517" i="7"/>
  <c r="C4517" i="7"/>
  <c r="L4516" i="7"/>
  <c r="G4516" i="7"/>
  <c r="C4516" i="7"/>
  <c r="L4515" i="7"/>
  <c r="G4515" i="7"/>
  <c r="C4515" i="7"/>
  <c r="L4514" i="7"/>
  <c r="G4514" i="7"/>
  <c r="C4514" i="7"/>
  <c r="L4513" i="7"/>
  <c r="G4513" i="7"/>
  <c r="C4513" i="7"/>
  <c r="L4512" i="7"/>
  <c r="G4512" i="7"/>
  <c r="C4512" i="7"/>
  <c r="L4511" i="7"/>
  <c r="G4511" i="7"/>
  <c r="C4511" i="7"/>
  <c r="L4510" i="7"/>
  <c r="G4510" i="7"/>
  <c r="C4510" i="7"/>
  <c r="L4509" i="7"/>
  <c r="G4509" i="7"/>
  <c r="C4509" i="7"/>
  <c r="L4508" i="7"/>
  <c r="G4508" i="7"/>
  <c r="C4508" i="7"/>
  <c r="L4507" i="7"/>
  <c r="G4507" i="7"/>
  <c r="C4507" i="7"/>
  <c r="L4506" i="7"/>
  <c r="G4506" i="7"/>
  <c r="C4506" i="7"/>
  <c r="L4505" i="7"/>
  <c r="G4505" i="7"/>
  <c r="C4505" i="7"/>
  <c r="K4504" i="7"/>
  <c r="F4504" i="7"/>
  <c r="B4504" i="7"/>
  <c r="K4503" i="7"/>
  <c r="F4503" i="7"/>
  <c r="B4503" i="7"/>
  <c r="K4502" i="7"/>
  <c r="F4502" i="7"/>
  <c r="B4502" i="7"/>
  <c r="K4501" i="7"/>
  <c r="F4501" i="7"/>
  <c r="B4501" i="7"/>
  <c r="K4500" i="7"/>
  <c r="F4500" i="7"/>
  <c r="B4500" i="7"/>
  <c r="K4499" i="7"/>
  <c r="F4499" i="7"/>
  <c r="B4499" i="7"/>
  <c r="K4498" i="7"/>
  <c r="F4498" i="7"/>
  <c r="B4498" i="7"/>
  <c r="K4497" i="7"/>
  <c r="F4497" i="7"/>
  <c r="B4497" i="7"/>
  <c r="K4496" i="7"/>
  <c r="F4496" i="7"/>
  <c r="B4496" i="7"/>
  <c r="K4495" i="7"/>
  <c r="F4495" i="7"/>
  <c r="B4495" i="7"/>
  <c r="K4494" i="7"/>
  <c r="F4494" i="7"/>
  <c r="B4494" i="7"/>
  <c r="K4493" i="7"/>
  <c r="F4493" i="7"/>
  <c r="B4493" i="7"/>
  <c r="K4492" i="7"/>
  <c r="F4492" i="7"/>
  <c r="B4492" i="7"/>
  <c r="K4491" i="7"/>
  <c r="F4491" i="7"/>
  <c r="B4491" i="7"/>
  <c r="K4490" i="7"/>
  <c r="F4490" i="7"/>
  <c r="B4490" i="7"/>
  <c r="K4489" i="7"/>
  <c r="F4489" i="7"/>
  <c r="B4489" i="7"/>
  <c r="K4488" i="7"/>
  <c r="F4488" i="7"/>
  <c r="B4488" i="7"/>
  <c r="K4487" i="7"/>
  <c r="F4487" i="7"/>
  <c r="B4487" i="7"/>
  <c r="K4486" i="7"/>
  <c r="F4486" i="7"/>
  <c r="B4486" i="7"/>
  <c r="K4485" i="7"/>
  <c r="F4485" i="7"/>
  <c r="B4485" i="7"/>
  <c r="K4484" i="7"/>
  <c r="F4484" i="7"/>
  <c r="B4484" i="7"/>
  <c r="K4483" i="7"/>
  <c r="F4483" i="7"/>
  <c r="B4483" i="7"/>
  <c r="K4482" i="7"/>
  <c r="F4482" i="7"/>
  <c r="B4482" i="7"/>
  <c r="K4481" i="7"/>
  <c r="F4481" i="7"/>
  <c r="B4481" i="7"/>
  <c r="K4480" i="7"/>
  <c r="F4480" i="7"/>
  <c r="B4480" i="7"/>
  <c r="K4479" i="7"/>
  <c r="F4479" i="7"/>
  <c r="B4479" i="7"/>
  <c r="K4478" i="7"/>
  <c r="F4478" i="7"/>
  <c r="B4478" i="7"/>
  <c r="K4477" i="7"/>
  <c r="F4477" i="7"/>
  <c r="B4477" i="7"/>
  <c r="K4476" i="7"/>
  <c r="F4476" i="7"/>
  <c r="B4476" i="7"/>
  <c r="K4475" i="7"/>
  <c r="F4475" i="7"/>
  <c r="B4475" i="7"/>
  <c r="K4474" i="7"/>
  <c r="F4474" i="7"/>
  <c r="B4474" i="7"/>
  <c r="K4473" i="7"/>
  <c r="F4473" i="7"/>
  <c r="B4473" i="7"/>
  <c r="K4472" i="7"/>
  <c r="F4472" i="7"/>
  <c r="B4472" i="7"/>
  <c r="K4471" i="7"/>
  <c r="F4471" i="7"/>
  <c r="B4471" i="7"/>
  <c r="K4470" i="7"/>
  <c r="F4470" i="7"/>
  <c r="B4470" i="7"/>
  <c r="K4469" i="7"/>
  <c r="F4469" i="7"/>
  <c r="B4469" i="7"/>
  <c r="K4468" i="7"/>
  <c r="F4468" i="7"/>
  <c r="B4468" i="7"/>
  <c r="K4467" i="7"/>
  <c r="F4467" i="7"/>
  <c r="B4467" i="7"/>
  <c r="K4466" i="7"/>
  <c r="F4466" i="7"/>
  <c r="B4466" i="7"/>
  <c r="K4465" i="7"/>
  <c r="F4465" i="7"/>
  <c r="B4465" i="7"/>
  <c r="K4464" i="7"/>
  <c r="F4464" i="7"/>
  <c r="B4464" i="7"/>
  <c r="K4463" i="7"/>
  <c r="F4463" i="7"/>
  <c r="B4463" i="7"/>
  <c r="K4462" i="7"/>
  <c r="F4462" i="7"/>
  <c r="B4462" i="7"/>
  <c r="J4461" i="7"/>
  <c r="E4461" i="7"/>
  <c r="A4461" i="7"/>
  <c r="N4460" i="7"/>
  <c r="J4460" i="7"/>
  <c r="E4460" i="7"/>
  <c r="A4460" i="7"/>
  <c r="N4459" i="7"/>
  <c r="J4459" i="7"/>
  <c r="E4459" i="7"/>
  <c r="A4459" i="7"/>
  <c r="N4458" i="7"/>
  <c r="J4458" i="7"/>
  <c r="E4458" i="7"/>
  <c r="A4458" i="7"/>
  <c r="N4457" i="7"/>
  <c r="J4457" i="7"/>
  <c r="E4457" i="7"/>
  <c r="A4457" i="7"/>
  <c r="N4456" i="7"/>
  <c r="J4456" i="7"/>
  <c r="E4456" i="7"/>
  <c r="A4456" i="7"/>
  <c r="N4455" i="7"/>
  <c r="J4455" i="7"/>
  <c r="E4455" i="7"/>
  <c r="A4455" i="7"/>
  <c r="N4454" i="7"/>
  <c r="J4454" i="7"/>
  <c r="E4454" i="7"/>
  <c r="A4454" i="7"/>
  <c r="N4453" i="7"/>
  <c r="J4453" i="7"/>
  <c r="E4453" i="7"/>
  <c r="A4453" i="7"/>
  <c r="C4573" i="7"/>
  <c r="C4572" i="7"/>
  <c r="B4571" i="7"/>
  <c r="F4570" i="7"/>
  <c r="K4569" i="7"/>
  <c r="A4567" i="7"/>
  <c r="E4566" i="7"/>
  <c r="J4565" i="7"/>
  <c r="N4564" i="7"/>
  <c r="A4563" i="7"/>
  <c r="E4562" i="7"/>
  <c r="L4561" i="7"/>
  <c r="F4561" i="7"/>
  <c r="A4561" i="7"/>
  <c r="L4560" i="7"/>
  <c r="F4560" i="7"/>
  <c r="A4560" i="7"/>
  <c r="L4559" i="7"/>
  <c r="F4559" i="7"/>
  <c r="A4559" i="7"/>
  <c r="L4558" i="7"/>
  <c r="F4558" i="7"/>
  <c r="A4558" i="7"/>
  <c r="L4557" i="7"/>
  <c r="F4557" i="7"/>
  <c r="B4557" i="7"/>
  <c r="K4556" i="7"/>
  <c r="F4556" i="7"/>
  <c r="B4556" i="7"/>
  <c r="K4555" i="7"/>
  <c r="F4555" i="7"/>
  <c r="B4555" i="7"/>
  <c r="K4554" i="7"/>
  <c r="F4554" i="7"/>
  <c r="B4554" i="7"/>
  <c r="K4553" i="7"/>
  <c r="F4553" i="7"/>
  <c r="B4553" i="7"/>
  <c r="K4552" i="7"/>
  <c r="F4552" i="7"/>
  <c r="B4552" i="7"/>
  <c r="K4551" i="7"/>
  <c r="F4551" i="7"/>
  <c r="B4551" i="7"/>
  <c r="K4550" i="7"/>
  <c r="F4550" i="7"/>
  <c r="B4550" i="7"/>
  <c r="K4549" i="7"/>
  <c r="F4549" i="7"/>
  <c r="B4549" i="7"/>
  <c r="K4548" i="7"/>
  <c r="F4548" i="7"/>
  <c r="B4548" i="7"/>
  <c r="K4547" i="7"/>
  <c r="F4547" i="7"/>
  <c r="B4547" i="7"/>
  <c r="K4546" i="7"/>
  <c r="F4546" i="7"/>
  <c r="B4546" i="7"/>
  <c r="K4545" i="7"/>
  <c r="F4545" i="7"/>
  <c r="B4545" i="7"/>
  <c r="K4544" i="7"/>
  <c r="F4544" i="7"/>
  <c r="B4544" i="7"/>
  <c r="K4543" i="7"/>
  <c r="F4543" i="7"/>
  <c r="B4543" i="7"/>
  <c r="K4542" i="7"/>
  <c r="F4542" i="7"/>
  <c r="B4542" i="7"/>
  <c r="K4541" i="7"/>
  <c r="F4541" i="7"/>
  <c r="B4541" i="7"/>
  <c r="K4540" i="7"/>
  <c r="F4540" i="7"/>
  <c r="B4540" i="7"/>
  <c r="K4539" i="7"/>
  <c r="F4539" i="7"/>
  <c r="B4539" i="7"/>
  <c r="K4538" i="7"/>
  <c r="F4538" i="7"/>
  <c r="B4538" i="7"/>
  <c r="K4537" i="7"/>
  <c r="F4537" i="7"/>
  <c r="B4537" i="7"/>
  <c r="K4536" i="7"/>
  <c r="F4536" i="7"/>
  <c r="B4536" i="7"/>
  <c r="K4535" i="7"/>
  <c r="F4535" i="7"/>
  <c r="B4535" i="7"/>
  <c r="K4534" i="7"/>
  <c r="F4534" i="7"/>
  <c r="B4534" i="7"/>
  <c r="K4533" i="7"/>
  <c r="F4533" i="7"/>
  <c r="B4533" i="7"/>
  <c r="K4532" i="7"/>
  <c r="F4532" i="7"/>
  <c r="B4532" i="7"/>
  <c r="K4531" i="7"/>
  <c r="F4531" i="7"/>
  <c r="B4531" i="7"/>
  <c r="K4530" i="7"/>
  <c r="F4530" i="7"/>
  <c r="B4530" i="7"/>
  <c r="K4529" i="7"/>
  <c r="F4529" i="7"/>
  <c r="B4529" i="7"/>
  <c r="K4528" i="7"/>
  <c r="F4528" i="7"/>
  <c r="B4528" i="7"/>
  <c r="K4527" i="7"/>
  <c r="F4527" i="7"/>
  <c r="B4527" i="7"/>
  <c r="K4526" i="7"/>
  <c r="F4526" i="7"/>
  <c r="B4526" i="7"/>
  <c r="K4525" i="7"/>
  <c r="F4525" i="7"/>
  <c r="B4525" i="7"/>
  <c r="K4524" i="7"/>
  <c r="F4524" i="7"/>
  <c r="B4524" i="7"/>
  <c r="K4523" i="7"/>
  <c r="F4523" i="7"/>
  <c r="B4523" i="7"/>
  <c r="K4522" i="7"/>
  <c r="F4522" i="7"/>
  <c r="B4522" i="7"/>
  <c r="K4521" i="7"/>
  <c r="F4521" i="7"/>
  <c r="B4521" i="7"/>
  <c r="K4520" i="7"/>
  <c r="F4520" i="7"/>
  <c r="B4520" i="7"/>
  <c r="K4519" i="7"/>
  <c r="F4519" i="7"/>
  <c r="B4519" i="7"/>
  <c r="K4518" i="7"/>
  <c r="F4518" i="7"/>
  <c r="B4518" i="7"/>
  <c r="K4517" i="7"/>
  <c r="F4517" i="7"/>
  <c r="B4517" i="7"/>
  <c r="K4516" i="7"/>
  <c r="F4516" i="7"/>
  <c r="B4516" i="7"/>
  <c r="K4515" i="7"/>
  <c r="F4515" i="7"/>
  <c r="B4515" i="7"/>
  <c r="K4514" i="7"/>
  <c r="F4514" i="7"/>
  <c r="B4514" i="7"/>
  <c r="K4513" i="7"/>
  <c r="F4513" i="7"/>
  <c r="B4513" i="7"/>
  <c r="K4512" i="7"/>
  <c r="F4512" i="7"/>
  <c r="B4512" i="7"/>
  <c r="K4511" i="7"/>
  <c r="F4511" i="7"/>
  <c r="B4511" i="7"/>
  <c r="K4510" i="7"/>
  <c r="F4510" i="7"/>
  <c r="B4510" i="7"/>
  <c r="K4509" i="7"/>
  <c r="F4509" i="7"/>
  <c r="B4509" i="7"/>
  <c r="K4508" i="7"/>
  <c r="F4508" i="7"/>
  <c r="B4508" i="7"/>
  <c r="K4507" i="7"/>
  <c r="F4507" i="7"/>
  <c r="B4507" i="7"/>
  <c r="K4506" i="7"/>
  <c r="F4506" i="7"/>
  <c r="B4506" i="7"/>
  <c r="K4505" i="7"/>
  <c r="F4505" i="7"/>
  <c r="B4505" i="7"/>
  <c r="N4504" i="7"/>
  <c r="J4504" i="7"/>
  <c r="E4504" i="7"/>
  <c r="A4504" i="7"/>
  <c r="N4503" i="7"/>
  <c r="J4503" i="7"/>
  <c r="E4503" i="7"/>
  <c r="A4503" i="7"/>
  <c r="N4502" i="7"/>
  <c r="J4502" i="7"/>
  <c r="E4502" i="7"/>
  <c r="A4502" i="7"/>
  <c r="N4501" i="7"/>
  <c r="J4501" i="7"/>
  <c r="E4501" i="7"/>
  <c r="A4501" i="7"/>
  <c r="N4500" i="7"/>
  <c r="J4500" i="7"/>
  <c r="E4500" i="7"/>
  <c r="A4500" i="7"/>
  <c r="N4499" i="7"/>
  <c r="J4499" i="7"/>
  <c r="E4499" i="7"/>
  <c r="A4499" i="7"/>
  <c r="N4498" i="7"/>
  <c r="J4498" i="7"/>
  <c r="E4498" i="7"/>
  <c r="A4498" i="7"/>
  <c r="N4497" i="7"/>
  <c r="J4497" i="7"/>
  <c r="E4497" i="7"/>
  <c r="A4497" i="7"/>
  <c r="N4496" i="7"/>
  <c r="J4496" i="7"/>
  <c r="E4496" i="7"/>
  <c r="A4496" i="7"/>
  <c r="N4495" i="7"/>
  <c r="J4495" i="7"/>
  <c r="E4495" i="7"/>
  <c r="A4495" i="7"/>
  <c r="N4494" i="7"/>
  <c r="J4494" i="7"/>
  <c r="E4494" i="7"/>
  <c r="A4494" i="7"/>
  <c r="N4493" i="7"/>
  <c r="J4493" i="7"/>
  <c r="E4493" i="7"/>
  <c r="A4493" i="7"/>
  <c r="N4492" i="7"/>
  <c r="J4492" i="7"/>
  <c r="E4492" i="7"/>
  <c r="A4492" i="7"/>
  <c r="N4491" i="7"/>
  <c r="J4491" i="7"/>
  <c r="E4491" i="7"/>
  <c r="A4491" i="7"/>
  <c r="N4490" i="7"/>
  <c r="J4490" i="7"/>
  <c r="E4490" i="7"/>
  <c r="A4490" i="7"/>
  <c r="N4489" i="7"/>
  <c r="J4489" i="7"/>
  <c r="E4489" i="7"/>
  <c r="A4489" i="7"/>
  <c r="N4488" i="7"/>
  <c r="J4488" i="7"/>
  <c r="E4488" i="7"/>
  <c r="A4488" i="7"/>
  <c r="N4487" i="7"/>
  <c r="J4487" i="7"/>
  <c r="E4487" i="7"/>
  <c r="A4487" i="7"/>
  <c r="N4486" i="7"/>
  <c r="J4486" i="7"/>
  <c r="E4486" i="7"/>
  <c r="A4486" i="7"/>
  <c r="N4485" i="7"/>
  <c r="J4485" i="7"/>
  <c r="E4485" i="7"/>
  <c r="A4485" i="7"/>
  <c r="N4484" i="7"/>
  <c r="J4484" i="7"/>
  <c r="E4484" i="7"/>
  <c r="A4484" i="7"/>
  <c r="N4483" i="7"/>
  <c r="J4483" i="7"/>
  <c r="E4483" i="7"/>
  <c r="A4483" i="7"/>
  <c r="N4482" i="7"/>
  <c r="J4482" i="7"/>
  <c r="E4482" i="7"/>
  <c r="A4482" i="7"/>
  <c r="N4481" i="7"/>
  <c r="J4481" i="7"/>
  <c r="E4481" i="7"/>
  <c r="A4481" i="7"/>
  <c r="N4480" i="7"/>
  <c r="J4480" i="7"/>
  <c r="E4480" i="7"/>
  <c r="A4480" i="7"/>
  <c r="N4479" i="7"/>
  <c r="J4479" i="7"/>
  <c r="E4479" i="7"/>
  <c r="A4479" i="7"/>
  <c r="N4478" i="7"/>
  <c r="J4478" i="7"/>
  <c r="E4478" i="7"/>
  <c r="A4478" i="7"/>
  <c r="N4477" i="7"/>
  <c r="J4477" i="7"/>
  <c r="E4477" i="7"/>
  <c r="A4477" i="7"/>
  <c r="N4476" i="7"/>
  <c r="J4476" i="7"/>
  <c r="E4476" i="7"/>
  <c r="A4476" i="7"/>
  <c r="N4475" i="7"/>
  <c r="J4475" i="7"/>
  <c r="E4475" i="7"/>
  <c r="A4475" i="7"/>
  <c r="N4474" i="7"/>
  <c r="J4474" i="7"/>
  <c r="E4474" i="7"/>
  <c r="A4474" i="7"/>
  <c r="N4473" i="7"/>
  <c r="J4473" i="7"/>
  <c r="E4473" i="7"/>
  <c r="A4473" i="7"/>
  <c r="N4472" i="7"/>
  <c r="J4472" i="7"/>
  <c r="E4472" i="7"/>
  <c r="A4472" i="7"/>
  <c r="N4471" i="7"/>
  <c r="J4471" i="7"/>
  <c r="E4471" i="7"/>
  <c r="A4471" i="7"/>
  <c r="N4470" i="7"/>
  <c r="J4470" i="7"/>
  <c r="E4470" i="7"/>
  <c r="A4470" i="7"/>
  <c r="N4469" i="7"/>
  <c r="J4469" i="7"/>
  <c r="E4469" i="7"/>
  <c r="A4469" i="7"/>
  <c r="N4468" i="7"/>
  <c r="J4468" i="7"/>
  <c r="E4468" i="7"/>
  <c r="A4468" i="7"/>
  <c r="N4467" i="7"/>
  <c r="J4467" i="7"/>
  <c r="E4467" i="7"/>
  <c r="A4467" i="7"/>
  <c r="N4466" i="7"/>
  <c r="J4466" i="7"/>
  <c r="E4466" i="7"/>
  <c r="A4466" i="7"/>
  <c r="N4465" i="7"/>
  <c r="J4465" i="7"/>
  <c r="E4465" i="7"/>
  <c r="A4465" i="7"/>
  <c r="N4464" i="7"/>
  <c r="J4464" i="7"/>
  <c r="E4464" i="7"/>
  <c r="A4464" i="7"/>
  <c r="N4463" i="7"/>
  <c r="J4463" i="7"/>
  <c r="E4463" i="7"/>
  <c r="A4463" i="7"/>
  <c r="N4462" i="7"/>
  <c r="J4462" i="7"/>
  <c r="E4462" i="7"/>
  <c r="A4462" i="7"/>
  <c r="N4461" i="7"/>
  <c r="H4461" i="7"/>
  <c r="D4461" i="7"/>
  <c r="Q4460" i="7"/>
  <c r="M4460" i="7"/>
  <c r="H4460" i="7"/>
  <c r="D4460" i="7"/>
  <c r="Q4459" i="7"/>
  <c r="M4459" i="7"/>
  <c r="H4459" i="7"/>
  <c r="D4459" i="7"/>
  <c r="Q4458" i="7"/>
  <c r="M4458" i="7"/>
  <c r="H4458" i="7"/>
  <c r="D4458" i="7"/>
  <c r="Q4457" i="7"/>
  <c r="M4457" i="7"/>
  <c r="H4457" i="7"/>
  <c r="D4457" i="7"/>
  <c r="Q4456" i="7"/>
  <c r="M4456" i="7"/>
  <c r="H4456" i="7"/>
  <c r="D4456" i="7"/>
  <c r="Q4455" i="7"/>
  <c r="M4455" i="7"/>
  <c r="H4455" i="7"/>
  <c r="D4455" i="7"/>
  <c r="Q4454" i="7"/>
  <c r="M4454" i="7"/>
  <c r="H4454" i="7"/>
  <c r="D4454" i="7"/>
  <c r="Q4453" i="7"/>
  <c r="M4453" i="7"/>
  <c r="H4453" i="7"/>
  <c r="D4453" i="7"/>
  <c r="Q4452" i="7"/>
  <c r="M4452" i="7"/>
  <c r="H4452" i="7"/>
  <c r="D4452" i="7"/>
  <c r="Q4451" i="7"/>
  <c r="M4451" i="7"/>
  <c r="H4451" i="7"/>
  <c r="D4451" i="7"/>
  <c r="Q4450" i="7"/>
  <c r="M4450" i="7"/>
  <c r="H4450" i="7"/>
  <c r="D4450" i="7"/>
  <c r="Q4449" i="7"/>
  <c r="M4449" i="7"/>
  <c r="H4449" i="7"/>
  <c r="D4449" i="7"/>
  <c r="Q4448" i="7"/>
  <c r="M4448" i="7"/>
  <c r="H4448" i="7"/>
  <c r="D4448" i="7"/>
  <c r="Q4447" i="7"/>
  <c r="M4447" i="7"/>
  <c r="H4447" i="7"/>
  <c r="D4447" i="7"/>
  <c r="Q4446" i="7"/>
  <c r="M4446" i="7"/>
  <c r="H4446" i="7"/>
  <c r="D4446" i="7"/>
  <c r="Q4445" i="7"/>
  <c r="M4445" i="7"/>
  <c r="H4445" i="7"/>
  <c r="D4445" i="7"/>
  <c r="Q4444" i="7"/>
  <c r="M4444" i="7"/>
  <c r="H4444" i="7"/>
  <c r="D4444" i="7"/>
  <c r="Q4443" i="7"/>
  <c r="M4443" i="7"/>
  <c r="H4443" i="7"/>
  <c r="D4443" i="7"/>
  <c r="Q4442" i="7"/>
  <c r="M4442" i="7"/>
  <c r="H4442" i="7"/>
  <c r="L4478" i="7"/>
  <c r="L4477" i="7"/>
  <c r="L4476" i="7"/>
  <c r="L4475" i="7"/>
  <c r="L4474" i="7"/>
  <c r="L4473" i="7"/>
  <c r="L4472" i="7"/>
  <c r="L4471" i="7"/>
  <c r="L4470" i="7"/>
  <c r="L4469" i="7"/>
  <c r="L4468" i="7"/>
  <c r="L4467" i="7"/>
  <c r="L4466" i="7"/>
  <c r="L4465" i="7"/>
  <c r="L4464" i="7"/>
  <c r="L4463" i="7"/>
  <c r="L4462" i="7"/>
  <c r="K4461" i="7"/>
  <c r="B4459" i="7"/>
  <c r="F4458" i="7"/>
  <c r="K4457" i="7"/>
  <c r="B4455" i="7"/>
  <c r="F4454" i="7"/>
  <c r="K4453" i="7"/>
  <c r="F4452" i="7"/>
  <c r="J4451" i="7"/>
  <c r="A4451" i="7"/>
  <c r="K4450" i="7"/>
  <c r="B4450" i="7"/>
  <c r="N4449" i="7"/>
  <c r="E4449" i="7"/>
  <c r="F4448" i="7"/>
  <c r="J4447" i="7"/>
  <c r="A4447" i="7"/>
  <c r="K4446" i="7"/>
  <c r="B4446" i="7"/>
  <c r="N4445" i="7"/>
  <c r="E4445" i="7"/>
  <c r="F4444" i="7"/>
  <c r="J4443" i="7"/>
  <c r="A4443" i="7"/>
  <c r="K4442" i="7"/>
  <c r="D4442" i="7"/>
  <c r="K4441" i="7"/>
  <c r="F4441" i="7"/>
  <c r="B4441" i="7"/>
  <c r="K4440" i="7"/>
  <c r="F4440" i="7"/>
  <c r="B4440" i="7"/>
  <c r="K4439" i="7"/>
  <c r="F4439" i="7"/>
  <c r="B4439" i="7"/>
  <c r="K4438" i="7"/>
  <c r="F4438" i="7"/>
  <c r="B4438" i="7"/>
  <c r="K4437" i="7"/>
  <c r="F4437" i="7"/>
  <c r="B4437" i="7"/>
  <c r="K4436" i="7"/>
  <c r="F4436" i="7"/>
  <c r="B4436" i="7"/>
  <c r="K4435" i="7"/>
  <c r="F4435" i="7"/>
  <c r="B4435" i="7"/>
  <c r="K4434" i="7"/>
  <c r="F4434" i="7"/>
  <c r="B4434" i="7"/>
  <c r="K4433" i="7"/>
  <c r="F4433" i="7"/>
  <c r="B4433" i="7"/>
  <c r="K4432" i="7"/>
  <c r="F4432" i="7"/>
  <c r="B4432" i="7"/>
  <c r="K4431" i="7"/>
  <c r="F4431" i="7"/>
  <c r="B4431" i="7"/>
  <c r="K4430" i="7"/>
  <c r="F4430" i="7"/>
  <c r="B4430" i="7"/>
  <c r="J4429" i="7"/>
  <c r="E4429" i="7"/>
  <c r="A4429" i="7"/>
  <c r="N4428" i="7"/>
  <c r="J4428" i="7"/>
  <c r="E4428" i="7"/>
  <c r="A4428" i="7"/>
  <c r="N4427" i="7"/>
  <c r="J4427" i="7"/>
  <c r="E4427" i="7"/>
  <c r="A4427" i="7"/>
  <c r="N4426" i="7"/>
  <c r="J4426" i="7"/>
  <c r="E4426" i="7"/>
  <c r="A4426" i="7"/>
  <c r="N4425" i="7"/>
  <c r="J4425" i="7"/>
  <c r="E4425" i="7"/>
  <c r="A4425" i="7"/>
  <c r="N4424" i="7"/>
  <c r="J4424" i="7"/>
  <c r="E4424" i="7"/>
  <c r="A4424" i="7"/>
  <c r="N4423" i="7"/>
  <c r="J4423" i="7"/>
  <c r="E4423" i="7"/>
  <c r="A4423" i="7"/>
  <c r="N4422" i="7"/>
  <c r="J4422" i="7"/>
  <c r="E4422" i="7"/>
  <c r="A4422" i="7"/>
  <c r="N4421" i="7"/>
  <c r="J4421" i="7"/>
  <c r="E4421" i="7"/>
  <c r="A4421" i="7"/>
  <c r="N4420" i="7"/>
  <c r="J4420" i="7"/>
  <c r="E4420" i="7"/>
  <c r="A4420" i="7"/>
  <c r="N4419" i="7"/>
  <c r="J4419" i="7"/>
  <c r="E4419" i="7"/>
  <c r="A4419" i="7"/>
  <c r="N4418" i="7"/>
  <c r="J4418" i="7"/>
  <c r="E4418" i="7"/>
  <c r="A4418" i="7"/>
  <c r="N4417" i="7"/>
  <c r="J4417" i="7"/>
  <c r="E4417" i="7"/>
  <c r="A4417" i="7"/>
  <c r="N4416" i="7"/>
  <c r="J4416" i="7"/>
  <c r="E4416" i="7"/>
  <c r="A4416" i="7"/>
  <c r="N4415" i="7"/>
  <c r="J4415" i="7"/>
  <c r="E4415" i="7"/>
  <c r="A4415" i="7"/>
  <c r="N4414" i="7"/>
  <c r="J4414" i="7"/>
  <c r="E4414" i="7"/>
  <c r="A4414" i="7"/>
  <c r="N4413" i="7"/>
  <c r="H4413" i="7"/>
  <c r="D4413" i="7"/>
  <c r="Q4412" i="7"/>
  <c r="M4412" i="7"/>
  <c r="H4412" i="7"/>
  <c r="D4412" i="7"/>
  <c r="Q4411" i="7"/>
  <c r="M4411" i="7"/>
  <c r="H4411" i="7"/>
  <c r="D4411" i="7"/>
  <c r="Q4410" i="7"/>
  <c r="M4410" i="7"/>
  <c r="H4410" i="7"/>
  <c r="D4410" i="7"/>
  <c r="Q4409" i="7"/>
  <c r="M4409" i="7"/>
  <c r="H4409" i="7"/>
  <c r="D4409" i="7"/>
  <c r="Q4408" i="7"/>
  <c r="M4408" i="7"/>
  <c r="H4408" i="7"/>
  <c r="D4408" i="7"/>
  <c r="Q4407" i="7"/>
  <c r="M4407" i="7"/>
  <c r="H4407" i="7"/>
  <c r="D4407" i="7"/>
  <c r="Q4406" i="7"/>
  <c r="M4406" i="7"/>
  <c r="H4406" i="7"/>
  <c r="D4406" i="7"/>
  <c r="Q4405" i="7"/>
  <c r="M4405" i="7"/>
  <c r="H4405" i="7"/>
  <c r="D4405" i="7"/>
  <c r="Q4404" i="7"/>
  <c r="M4404" i="7"/>
  <c r="H4404" i="7"/>
  <c r="D4404" i="7"/>
  <c r="Q4403" i="7"/>
  <c r="M4403" i="7"/>
  <c r="H4403" i="7"/>
  <c r="D4403" i="7"/>
  <c r="Q4402" i="7"/>
  <c r="M4402" i="7"/>
  <c r="H4402" i="7"/>
  <c r="D4402" i="7"/>
  <c r="Q4401" i="7"/>
  <c r="M4401" i="7"/>
  <c r="H4401" i="7"/>
  <c r="D4401" i="7"/>
  <c r="Q4400" i="7"/>
  <c r="M4400" i="7"/>
  <c r="H4400" i="7"/>
  <c r="D4400" i="7"/>
  <c r="Q4399" i="7"/>
  <c r="M4399" i="7"/>
  <c r="H4399" i="7"/>
  <c r="D4399" i="7"/>
  <c r="Q4398" i="7"/>
  <c r="M4398" i="7"/>
  <c r="H4398" i="7"/>
  <c r="D4398" i="7"/>
  <c r="Q4397" i="7"/>
  <c r="M4397" i="7"/>
  <c r="H4397" i="7"/>
  <c r="D4397" i="7"/>
  <c r="Q4396" i="7"/>
  <c r="M4396" i="7"/>
  <c r="H4396" i="7"/>
  <c r="D4396" i="7"/>
  <c r="Q4395" i="7"/>
  <c r="M4395" i="7"/>
  <c r="H4395" i="7"/>
  <c r="D4395" i="7"/>
  <c r="Q4394" i="7"/>
  <c r="M4394" i="7"/>
  <c r="H4394" i="7"/>
  <c r="D4394" i="7"/>
  <c r="Q4393" i="7"/>
  <c r="M4393" i="7"/>
  <c r="H4393" i="7"/>
  <c r="D4393" i="7"/>
  <c r="Q4392" i="7"/>
  <c r="M4392" i="7"/>
  <c r="H4392" i="7"/>
  <c r="D4392" i="7"/>
  <c r="Q4391" i="7"/>
  <c r="M4391" i="7"/>
  <c r="H4391" i="7"/>
  <c r="D4391" i="7"/>
  <c r="Q4390" i="7"/>
  <c r="M4390" i="7"/>
  <c r="H4390" i="7"/>
  <c r="D4390" i="7"/>
  <c r="Q4389" i="7"/>
  <c r="M4389" i="7"/>
  <c r="H4389" i="7"/>
  <c r="D4389" i="7"/>
  <c r="Q4388" i="7"/>
  <c r="M4388" i="7"/>
  <c r="H4388" i="7"/>
  <c r="D4388" i="7"/>
  <c r="Q4387" i="7"/>
  <c r="M4387" i="7"/>
  <c r="H4387" i="7"/>
  <c r="D4387" i="7"/>
  <c r="Q4386" i="7"/>
  <c r="M4386" i="7"/>
  <c r="H4386" i="7"/>
  <c r="D4386" i="7"/>
  <c r="Q4385" i="7"/>
  <c r="M4385" i="7"/>
  <c r="H4385" i="7"/>
  <c r="D4385" i="7"/>
  <c r="Q4384" i="7"/>
  <c r="M4384" i="7"/>
  <c r="H4384" i="7"/>
  <c r="D4384" i="7"/>
  <c r="Q4383" i="7"/>
  <c r="M4383" i="7"/>
  <c r="H4383" i="7"/>
  <c r="D4383" i="7"/>
  <c r="Q4382" i="7"/>
  <c r="M4382" i="7"/>
  <c r="H4382" i="7"/>
  <c r="D4382" i="7"/>
  <c r="Q4381" i="7"/>
  <c r="M4381" i="7"/>
  <c r="H4381" i="7"/>
  <c r="D4381" i="7"/>
  <c r="Q4380" i="7"/>
  <c r="M4380" i="7"/>
  <c r="H4380" i="7"/>
  <c r="D4380" i="7"/>
  <c r="Q4379" i="7"/>
  <c r="M4379" i="7"/>
  <c r="H4379" i="7"/>
  <c r="D4379" i="7"/>
  <c r="Q4378" i="7"/>
  <c r="M4378" i="7"/>
  <c r="H4378" i="7"/>
  <c r="D4378" i="7"/>
  <c r="Q4377" i="7"/>
  <c r="M4377" i="7"/>
  <c r="I4377" i="7"/>
  <c r="E4377" i="7"/>
  <c r="A4377" i="7"/>
  <c r="N4376" i="7"/>
  <c r="J4376" i="7"/>
  <c r="E4376" i="7"/>
  <c r="A4376" i="7"/>
  <c r="N4375" i="7"/>
  <c r="J4375" i="7"/>
  <c r="E4375" i="7"/>
  <c r="A4375" i="7"/>
  <c r="N4374" i="7"/>
  <c r="J4374" i="7"/>
  <c r="E4374" i="7"/>
  <c r="A4374" i="7"/>
  <c r="N4373" i="7"/>
  <c r="J4373" i="7"/>
  <c r="E4373" i="7"/>
  <c r="A4373" i="7"/>
  <c r="N4372" i="7"/>
  <c r="J4372" i="7"/>
  <c r="E4372" i="7"/>
  <c r="A4372" i="7"/>
  <c r="N4371" i="7"/>
  <c r="J4371" i="7"/>
  <c r="E4371" i="7"/>
  <c r="A4371" i="7"/>
  <c r="N4370" i="7"/>
  <c r="J4370" i="7"/>
  <c r="E4370" i="7"/>
  <c r="A4370" i="7"/>
  <c r="N4369" i="7"/>
  <c r="J4369" i="7"/>
  <c r="E4369" i="7"/>
  <c r="A4369" i="7"/>
  <c r="N4368" i="7"/>
  <c r="J4368" i="7"/>
  <c r="E4368" i="7"/>
  <c r="A4368" i="7"/>
  <c r="N4367" i="7"/>
  <c r="J4367" i="7"/>
  <c r="E4367" i="7"/>
  <c r="A4367" i="7"/>
  <c r="N4366" i="7"/>
  <c r="J4366" i="7"/>
  <c r="E4366" i="7"/>
  <c r="A4366" i="7"/>
  <c r="N4365" i="7"/>
  <c r="J4365" i="7"/>
  <c r="E4365" i="7"/>
  <c r="A4365" i="7"/>
  <c r="N4364" i="7"/>
  <c r="J4364" i="7"/>
  <c r="E4364" i="7"/>
  <c r="A4364" i="7"/>
  <c r="N4363" i="7"/>
  <c r="J4363" i="7"/>
  <c r="E4363" i="7"/>
  <c r="A4363" i="7"/>
  <c r="N4362" i="7"/>
  <c r="J4362" i="7"/>
  <c r="E4362" i="7"/>
  <c r="A4362" i="7"/>
  <c r="N4361" i="7"/>
  <c r="J4361" i="7"/>
  <c r="E4361" i="7"/>
  <c r="A4361" i="7"/>
  <c r="N4360" i="7"/>
  <c r="J4360" i="7"/>
  <c r="E4360" i="7"/>
  <c r="A4360" i="7"/>
  <c r="N4359" i="7"/>
  <c r="G4359" i="7"/>
  <c r="C4359" i="7"/>
  <c r="L4358" i="7"/>
  <c r="G4358" i="7"/>
  <c r="C4358" i="7"/>
  <c r="L4357" i="7"/>
  <c r="G4357" i="7"/>
  <c r="C4357" i="7"/>
  <c r="L4356" i="7"/>
  <c r="G4356" i="7"/>
  <c r="C4356" i="7"/>
  <c r="L4355" i="7"/>
  <c r="G4355" i="7"/>
  <c r="C4355" i="7"/>
  <c r="L4354" i="7"/>
  <c r="G4354" i="7"/>
  <c r="C4354" i="7"/>
  <c r="L4353" i="7"/>
  <c r="G4353" i="7"/>
  <c r="C4353" i="7"/>
  <c r="L4352" i="7"/>
  <c r="G4352" i="7"/>
  <c r="C4352" i="7"/>
  <c r="L4351" i="7"/>
  <c r="G4351" i="7"/>
  <c r="C4351" i="7"/>
  <c r="L4350" i="7"/>
  <c r="G4350" i="7"/>
  <c r="C4350" i="7"/>
  <c r="L4349" i="7"/>
  <c r="G4349" i="7"/>
  <c r="C4349" i="7"/>
  <c r="K4348" i="7"/>
  <c r="F4348" i="7"/>
  <c r="B4348" i="7"/>
  <c r="K4347" i="7"/>
  <c r="F4347" i="7"/>
  <c r="B4347" i="7"/>
  <c r="K4346" i="7"/>
  <c r="F4346" i="7"/>
  <c r="B4346" i="7"/>
  <c r="K4345" i="7"/>
  <c r="F4345" i="7"/>
  <c r="B4345" i="7"/>
  <c r="K4344" i="7"/>
  <c r="F4344" i="7"/>
  <c r="B4344" i="7"/>
  <c r="K4343" i="7"/>
  <c r="F4343" i="7"/>
  <c r="B4343" i="7"/>
  <c r="K4342" i="7"/>
  <c r="F4342" i="7"/>
  <c r="B4342" i="7"/>
  <c r="K4341" i="7"/>
  <c r="F4341" i="7"/>
  <c r="B4341" i="7"/>
  <c r="K4340" i="7"/>
  <c r="F4340" i="7"/>
  <c r="B4340" i="7"/>
  <c r="K4339" i="7"/>
  <c r="F4339" i="7"/>
  <c r="B4339" i="7"/>
  <c r="K4338" i="7"/>
  <c r="F4338" i="7"/>
  <c r="B4338" i="7"/>
  <c r="K4337" i="7"/>
  <c r="F4337" i="7"/>
  <c r="B4337" i="7"/>
  <c r="K4336" i="7"/>
  <c r="F4336" i="7"/>
  <c r="B4336" i="7"/>
  <c r="K4335" i="7"/>
  <c r="F4335" i="7"/>
  <c r="B4335" i="7"/>
  <c r="K4334" i="7"/>
  <c r="F4334" i="7"/>
  <c r="B4334" i="7"/>
  <c r="K4333" i="7"/>
  <c r="F4333" i="7"/>
  <c r="B4333" i="7"/>
  <c r="K4332" i="7"/>
  <c r="G4332" i="7"/>
  <c r="C4332" i="7"/>
  <c r="L4331" i="7"/>
  <c r="H4331" i="7"/>
  <c r="D4331" i="7"/>
  <c r="Q4330" i="7"/>
  <c r="M4330" i="7"/>
  <c r="H4330" i="7"/>
  <c r="D4330" i="7"/>
  <c r="Q4329" i="7"/>
  <c r="M4329" i="7"/>
  <c r="H4329" i="7"/>
  <c r="D4329" i="7"/>
  <c r="Q4328" i="7"/>
  <c r="M4328" i="7"/>
  <c r="H4328" i="7"/>
  <c r="D4328" i="7"/>
  <c r="Q4327" i="7"/>
  <c r="M4327" i="7"/>
  <c r="H4327" i="7"/>
  <c r="G4478" i="7"/>
  <c r="G4477" i="7"/>
  <c r="G4476" i="7"/>
  <c r="G4475" i="7"/>
  <c r="G4474" i="7"/>
  <c r="G4473" i="7"/>
  <c r="G4472" i="7"/>
  <c r="G4471" i="7"/>
  <c r="G4470" i="7"/>
  <c r="G4469" i="7"/>
  <c r="G4468" i="7"/>
  <c r="G4467" i="7"/>
  <c r="G4466" i="7"/>
  <c r="G4465" i="7"/>
  <c r="G4464" i="7"/>
  <c r="G4463" i="7"/>
  <c r="G4462" i="7"/>
  <c r="F4461" i="7"/>
  <c r="K4460" i="7"/>
  <c r="B4458" i="7"/>
  <c r="F4457" i="7"/>
  <c r="K4456" i="7"/>
  <c r="B4454" i="7"/>
  <c r="F4453" i="7"/>
  <c r="N4452" i="7"/>
  <c r="E4452" i="7"/>
  <c r="F4451" i="7"/>
  <c r="J4450" i="7"/>
  <c r="A4450" i="7"/>
  <c r="K4449" i="7"/>
  <c r="B4449" i="7"/>
  <c r="N4448" i="7"/>
  <c r="E4448" i="7"/>
  <c r="F4447" i="7"/>
  <c r="J4446" i="7"/>
  <c r="A4446" i="7"/>
  <c r="K4445" i="7"/>
  <c r="B4445" i="7"/>
  <c r="N4444" i="7"/>
  <c r="E4444" i="7"/>
  <c r="F4443" i="7"/>
  <c r="J4442" i="7"/>
  <c r="B4442" i="7"/>
  <c r="J4441" i="7"/>
  <c r="E4441" i="7"/>
  <c r="A4441" i="7"/>
  <c r="N4440" i="7"/>
  <c r="J4440" i="7"/>
  <c r="E4440" i="7"/>
  <c r="A4440" i="7"/>
  <c r="N4439" i="7"/>
  <c r="J4439" i="7"/>
  <c r="E4439" i="7"/>
  <c r="A4439" i="7"/>
  <c r="N4438" i="7"/>
  <c r="J4438" i="7"/>
  <c r="E4438" i="7"/>
  <c r="A4438" i="7"/>
  <c r="N4437" i="7"/>
  <c r="J4437" i="7"/>
  <c r="E4437" i="7"/>
  <c r="A4437" i="7"/>
  <c r="N4436" i="7"/>
  <c r="J4436" i="7"/>
  <c r="E4436" i="7"/>
  <c r="A4436" i="7"/>
  <c r="N4435" i="7"/>
  <c r="J4435" i="7"/>
  <c r="E4435" i="7"/>
  <c r="A4435" i="7"/>
  <c r="N4434" i="7"/>
  <c r="J4434" i="7"/>
  <c r="E4434" i="7"/>
  <c r="A4434" i="7"/>
  <c r="N4433" i="7"/>
  <c r="J4433" i="7"/>
  <c r="E4433" i="7"/>
  <c r="A4433" i="7"/>
  <c r="N4432" i="7"/>
  <c r="J4432" i="7"/>
  <c r="E4432" i="7"/>
  <c r="A4432" i="7"/>
  <c r="N4431" i="7"/>
  <c r="J4431" i="7"/>
  <c r="E4431" i="7"/>
  <c r="A4431" i="7"/>
  <c r="N4430" i="7"/>
  <c r="J4430" i="7"/>
  <c r="E4430" i="7"/>
  <c r="A4430" i="7"/>
  <c r="N4429" i="7"/>
  <c r="H4429" i="7"/>
  <c r="D4429" i="7"/>
  <c r="Q4428" i="7"/>
  <c r="M4428" i="7"/>
  <c r="H4428" i="7"/>
  <c r="D4428" i="7"/>
  <c r="Q4427" i="7"/>
  <c r="M4427" i="7"/>
  <c r="H4427" i="7"/>
  <c r="D4427" i="7"/>
  <c r="Q4426" i="7"/>
  <c r="M4426" i="7"/>
  <c r="H4426" i="7"/>
  <c r="D4426" i="7"/>
  <c r="Q4425" i="7"/>
  <c r="M4425" i="7"/>
  <c r="H4425" i="7"/>
  <c r="D4425" i="7"/>
  <c r="Q4424" i="7"/>
  <c r="M4424" i="7"/>
  <c r="H4424" i="7"/>
  <c r="D4424" i="7"/>
  <c r="Q4423" i="7"/>
  <c r="M4423" i="7"/>
  <c r="H4423" i="7"/>
  <c r="D4423" i="7"/>
  <c r="Q4422" i="7"/>
  <c r="M4422" i="7"/>
  <c r="H4422" i="7"/>
  <c r="D4422" i="7"/>
  <c r="Q4421" i="7"/>
  <c r="M4421" i="7"/>
  <c r="H4421" i="7"/>
  <c r="D4421" i="7"/>
  <c r="Q4420" i="7"/>
  <c r="M4420" i="7"/>
  <c r="H4420" i="7"/>
  <c r="D4420" i="7"/>
  <c r="Q4419" i="7"/>
  <c r="M4419" i="7"/>
  <c r="H4419" i="7"/>
  <c r="D4419" i="7"/>
  <c r="Q4418" i="7"/>
  <c r="M4418" i="7"/>
  <c r="H4418" i="7"/>
  <c r="D4418" i="7"/>
  <c r="Q4417" i="7"/>
  <c r="M4417" i="7"/>
  <c r="H4417" i="7"/>
  <c r="D4417" i="7"/>
  <c r="Q4416" i="7"/>
  <c r="M4416" i="7"/>
  <c r="H4416" i="7"/>
  <c r="D4416" i="7"/>
  <c r="Q4415" i="7"/>
  <c r="M4415" i="7"/>
  <c r="H4415" i="7"/>
  <c r="D4415" i="7"/>
  <c r="Q4414" i="7"/>
  <c r="M4414" i="7"/>
  <c r="H4414" i="7"/>
  <c r="D4414" i="7"/>
  <c r="Q4413" i="7"/>
  <c r="M4413" i="7"/>
  <c r="G4413" i="7"/>
  <c r="C4413" i="7"/>
  <c r="L4412" i="7"/>
  <c r="G4412" i="7"/>
  <c r="C4412" i="7"/>
  <c r="L4411" i="7"/>
  <c r="G4411" i="7"/>
  <c r="C4411" i="7"/>
  <c r="L4410" i="7"/>
  <c r="G4410" i="7"/>
  <c r="C4410" i="7"/>
  <c r="L4409" i="7"/>
  <c r="G4409" i="7"/>
  <c r="C4409" i="7"/>
  <c r="L4408" i="7"/>
  <c r="G4408" i="7"/>
  <c r="C4408" i="7"/>
  <c r="L4407" i="7"/>
  <c r="G4407" i="7"/>
  <c r="C4407" i="7"/>
  <c r="L4406" i="7"/>
  <c r="G4406" i="7"/>
  <c r="C4406" i="7"/>
  <c r="L4405" i="7"/>
  <c r="G4405" i="7"/>
  <c r="C4405" i="7"/>
  <c r="L4404" i="7"/>
  <c r="G4404" i="7"/>
  <c r="C4404" i="7"/>
  <c r="L4403" i="7"/>
  <c r="G4403" i="7"/>
  <c r="C4403" i="7"/>
  <c r="L4402" i="7"/>
  <c r="G4402" i="7"/>
  <c r="C4402" i="7"/>
  <c r="L4401" i="7"/>
  <c r="G4401" i="7"/>
  <c r="C4401" i="7"/>
  <c r="L4400" i="7"/>
  <c r="G4400" i="7"/>
  <c r="C4400" i="7"/>
  <c r="L4399" i="7"/>
  <c r="G4399" i="7"/>
  <c r="C4399" i="7"/>
  <c r="L4398" i="7"/>
  <c r="G4398" i="7"/>
  <c r="C4398" i="7"/>
  <c r="L4397" i="7"/>
  <c r="G4397" i="7"/>
  <c r="C4397" i="7"/>
  <c r="L4396" i="7"/>
  <c r="G4396" i="7"/>
  <c r="C4396" i="7"/>
  <c r="L4395" i="7"/>
  <c r="G4395" i="7"/>
  <c r="C4395" i="7"/>
  <c r="L4394" i="7"/>
  <c r="G4394" i="7"/>
  <c r="C4394" i="7"/>
  <c r="L4393" i="7"/>
  <c r="G4393" i="7"/>
  <c r="C4393" i="7"/>
  <c r="L4392" i="7"/>
  <c r="G4392" i="7"/>
  <c r="C4392" i="7"/>
  <c r="L4391" i="7"/>
  <c r="G4391" i="7"/>
  <c r="C4391" i="7"/>
  <c r="L4390" i="7"/>
  <c r="G4390" i="7"/>
  <c r="C4390" i="7"/>
  <c r="L4389" i="7"/>
  <c r="G4389" i="7"/>
  <c r="C4389" i="7"/>
  <c r="L4388" i="7"/>
  <c r="G4388" i="7"/>
  <c r="C4388" i="7"/>
  <c r="L4387" i="7"/>
  <c r="G4387" i="7"/>
  <c r="C4387" i="7"/>
  <c r="L4386" i="7"/>
  <c r="G4386" i="7"/>
  <c r="C4386" i="7"/>
  <c r="L4385" i="7"/>
  <c r="G4385" i="7"/>
  <c r="C4385" i="7"/>
  <c r="L4384" i="7"/>
  <c r="G4384" i="7"/>
  <c r="C4384" i="7"/>
  <c r="L4383" i="7"/>
  <c r="G4383" i="7"/>
  <c r="C4383" i="7"/>
  <c r="L4382" i="7"/>
  <c r="G4382" i="7"/>
  <c r="C4382" i="7"/>
  <c r="L4381" i="7"/>
  <c r="G4381" i="7"/>
  <c r="C4381" i="7"/>
  <c r="L4380" i="7"/>
  <c r="G4380" i="7"/>
  <c r="C4380" i="7"/>
  <c r="L4379" i="7"/>
  <c r="G4379" i="7"/>
  <c r="C4379" i="7"/>
  <c r="L4378" i="7"/>
  <c r="G4378" i="7"/>
  <c r="C4378" i="7"/>
  <c r="L4377" i="7"/>
  <c r="H4377" i="7"/>
  <c r="D4377" i="7"/>
  <c r="Q4376" i="7"/>
  <c r="M4376" i="7"/>
  <c r="H4376" i="7"/>
  <c r="D4376" i="7"/>
  <c r="Q4375" i="7"/>
  <c r="M4375" i="7"/>
  <c r="H4375" i="7"/>
  <c r="D4375" i="7"/>
  <c r="Q4374" i="7"/>
  <c r="M4374" i="7"/>
  <c r="H4374" i="7"/>
  <c r="D4374" i="7"/>
  <c r="Q4373" i="7"/>
  <c r="M4373" i="7"/>
  <c r="H4373" i="7"/>
  <c r="D4373" i="7"/>
  <c r="Q4372" i="7"/>
  <c r="M4372" i="7"/>
  <c r="H4372" i="7"/>
  <c r="D4372" i="7"/>
  <c r="Q4371" i="7"/>
  <c r="M4371" i="7"/>
  <c r="H4371" i="7"/>
  <c r="D4371" i="7"/>
  <c r="Q4370" i="7"/>
  <c r="M4370" i="7"/>
  <c r="H4370" i="7"/>
  <c r="D4370" i="7"/>
  <c r="Q4369" i="7"/>
  <c r="M4369" i="7"/>
  <c r="H4369" i="7"/>
  <c r="D4369" i="7"/>
  <c r="Q4368" i="7"/>
  <c r="M4368" i="7"/>
  <c r="H4368" i="7"/>
  <c r="D4368" i="7"/>
  <c r="Q4367" i="7"/>
  <c r="M4367" i="7"/>
  <c r="H4367" i="7"/>
  <c r="D4367" i="7"/>
  <c r="Q4366" i="7"/>
  <c r="M4366" i="7"/>
  <c r="H4366" i="7"/>
  <c r="D4366" i="7"/>
  <c r="Q4365" i="7"/>
  <c r="M4365" i="7"/>
  <c r="H4365" i="7"/>
  <c r="D4365" i="7"/>
  <c r="Q4364" i="7"/>
  <c r="M4364" i="7"/>
  <c r="H4364" i="7"/>
  <c r="D4364" i="7"/>
  <c r="Q4363" i="7"/>
  <c r="M4363" i="7"/>
  <c r="H4363" i="7"/>
  <c r="D4363" i="7"/>
  <c r="Q4362" i="7"/>
  <c r="M4362" i="7"/>
  <c r="H4362" i="7"/>
  <c r="D4362" i="7"/>
  <c r="Q4361" i="7"/>
  <c r="M4361" i="7"/>
  <c r="H4361" i="7"/>
  <c r="D4361" i="7"/>
  <c r="Q4360" i="7"/>
  <c r="M4360" i="7"/>
  <c r="H4360" i="7"/>
  <c r="D4360" i="7"/>
  <c r="Q4359" i="7"/>
  <c r="K4359" i="7"/>
  <c r="F4359" i="7"/>
  <c r="B4359" i="7"/>
  <c r="K4358" i="7"/>
  <c r="F4358" i="7"/>
  <c r="B4358" i="7"/>
  <c r="K4357" i="7"/>
  <c r="F4357" i="7"/>
  <c r="B4357" i="7"/>
  <c r="K4356" i="7"/>
  <c r="F4356" i="7"/>
  <c r="B4356" i="7"/>
  <c r="K4355" i="7"/>
  <c r="F4355" i="7"/>
  <c r="B4355" i="7"/>
  <c r="K4354" i="7"/>
  <c r="F4354" i="7"/>
  <c r="B4354" i="7"/>
  <c r="K4353" i="7"/>
  <c r="F4353" i="7"/>
  <c r="B4353" i="7"/>
  <c r="K4352" i="7"/>
  <c r="F4352" i="7"/>
  <c r="B4352" i="7"/>
  <c r="K4351" i="7"/>
  <c r="F4351" i="7"/>
  <c r="B4351" i="7"/>
  <c r="K4350" i="7"/>
  <c r="F4350" i="7"/>
  <c r="B4350" i="7"/>
  <c r="K4349" i="7"/>
  <c r="F4349" i="7"/>
  <c r="B4349" i="7"/>
  <c r="J4348" i="7"/>
  <c r="E4348" i="7"/>
  <c r="A4348" i="7"/>
  <c r="N4347" i="7"/>
  <c r="J4347" i="7"/>
  <c r="E4347" i="7"/>
  <c r="A4347" i="7"/>
  <c r="N4346" i="7"/>
  <c r="J4346" i="7"/>
  <c r="E4346" i="7"/>
  <c r="A4346" i="7"/>
  <c r="N4345" i="7"/>
  <c r="J4345" i="7"/>
  <c r="E4345" i="7"/>
  <c r="A4345" i="7"/>
  <c r="N4344" i="7"/>
  <c r="J4344" i="7"/>
  <c r="E4344" i="7"/>
  <c r="A4344" i="7"/>
  <c r="N4343" i="7"/>
  <c r="J4343" i="7"/>
  <c r="E4343" i="7"/>
  <c r="A4343" i="7"/>
  <c r="N4342" i="7"/>
  <c r="J4342" i="7"/>
  <c r="E4342" i="7"/>
  <c r="A4342" i="7"/>
  <c r="N4341" i="7"/>
  <c r="J4341" i="7"/>
  <c r="E4341" i="7"/>
  <c r="A4341" i="7"/>
  <c r="N4340" i="7"/>
  <c r="J4340" i="7"/>
  <c r="E4340" i="7"/>
  <c r="A4340" i="7"/>
  <c r="N4339" i="7"/>
  <c r="J4339" i="7"/>
  <c r="E4339" i="7"/>
  <c r="A4339" i="7"/>
  <c r="N4338" i="7"/>
  <c r="J4338" i="7"/>
  <c r="E4338" i="7"/>
  <c r="C4478" i="7"/>
  <c r="C4477" i="7"/>
  <c r="C4476" i="7"/>
  <c r="C4475" i="7"/>
  <c r="C4474" i="7"/>
  <c r="C4473" i="7"/>
  <c r="C4472" i="7"/>
  <c r="C4471" i="7"/>
  <c r="C4470" i="7"/>
  <c r="C4469" i="7"/>
  <c r="C4468" i="7"/>
  <c r="C4467" i="7"/>
  <c r="C4466" i="7"/>
  <c r="C4465" i="7"/>
  <c r="C4464" i="7"/>
  <c r="C4463" i="7"/>
  <c r="C4462" i="7"/>
  <c r="B4461" i="7"/>
  <c r="F4460" i="7"/>
  <c r="K4459" i="7"/>
  <c r="B4457" i="7"/>
  <c r="F4456" i="7"/>
  <c r="K4455" i="7"/>
  <c r="B4453" i="7"/>
  <c r="K4452" i="7"/>
  <c r="B4452" i="7"/>
  <c r="N4451" i="7"/>
  <c r="E4451" i="7"/>
  <c r="F4450" i="7"/>
  <c r="J4449" i="7"/>
  <c r="A4449" i="7"/>
  <c r="K4448" i="7"/>
  <c r="B4448" i="7"/>
  <c r="N4447" i="7"/>
  <c r="E4447" i="7"/>
  <c r="F4446" i="7"/>
  <c r="J4445" i="7"/>
  <c r="A4445" i="7"/>
  <c r="K4444" i="7"/>
  <c r="B4444" i="7"/>
  <c r="N4443" i="7"/>
  <c r="E4443" i="7"/>
  <c r="F4442" i="7"/>
  <c r="A4442" i="7"/>
  <c r="N4441" i="7"/>
  <c r="H4441" i="7"/>
  <c r="D4441" i="7"/>
  <c r="Q4440" i="7"/>
  <c r="M4440" i="7"/>
  <c r="H4440" i="7"/>
  <c r="D4440" i="7"/>
  <c r="Q4439" i="7"/>
  <c r="M4439" i="7"/>
  <c r="H4439" i="7"/>
  <c r="D4439" i="7"/>
  <c r="Q4438" i="7"/>
  <c r="M4438" i="7"/>
  <c r="H4438" i="7"/>
  <c r="D4438" i="7"/>
  <c r="Q4437" i="7"/>
  <c r="M4437" i="7"/>
  <c r="H4437" i="7"/>
  <c r="D4437" i="7"/>
  <c r="Q4436" i="7"/>
  <c r="M4436" i="7"/>
  <c r="H4436" i="7"/>
  <c r="D4436" i="7"/>
  <c r="Q4435" i="7"/>
  <c r="M4435" i="7"/>
  <c r="H4435" i="7"/>
  <c r="D4435" i="7"/>
  <c r="Q4434" i="7"/>
  <c r="M4434" i="7"/>
  <c r="H4434" i="7"/>
  <c r="D4434" i="7"/>
  <c r="Q4433" i="7"/>
  <c r="M4433" i="7"/>
  <c r="H4433" i="7"/>
  <c r="D4433" i="7"/>
  <c r="Q4432" i="7"/>
  <c r="M4432" i="7"/>
  <c r="H4432" i="7"/>
  <c r="D4432" i="7"/>
  <c r="Q4431" i="7"/>
  <c r="M4431" i="7"/>
  <c r="H4431" i="7"/>
  <c r="D4431" i="7"/>
  <c r="Q4430" i="7"/>
  <c r="M4430" i="7"/>
  <c r="H4430" i="7"/>
  <c r="D4430" i="7"/>
  <c r="Q4429" i="7"/>
  <c r="M4429" i="7"/>
  <c r="G4429" i="7"/>
  <c r="C4429" i="7"/>
  <c r="L4428" i="7"/>
  <c r="G4428" i="7"/>
  <c r="C4428" i="7"/>
  <c r="L4427" i="7"/>
  <c r="G4427" i="7"/>
  <c r="C4427" i="7"/>
  <c r="L4426" i="7"/>
  <c r="G4426" i="7"/>
  <c r="C4426" i="7"/>
  <c r="L4425" i="7"/>
  <c r="G4425" i="7"/>
  <c r="C4425" i="7"/>
  <c r="L4424" i="7"/>
  <c r="G4424" i="7"/>
  <c r="C4424" i="7"/>
  <c r="L4423" i="7"/>
  <c r="G4423" i="7"/>
  <c r="C4423" i="7"/>
  <c r="L4422" i="7"/>
  <c r="G4422" i="7"/>
  <c r="C4422" i="7"/>
  <c r="L4421" i="7"/>
  <c r="G4421" i="7"/>
  <c r="C4421" i="7"/>
  <c r="L4420" i="7"/>
  <c r="G4420" i="7"/>
  <c r="C4420" i="7"/>
  <c r="L4419" i="7"/>
  <c r="G4419" i="7"/>
  <c r="C4419" i="7"/>
  <c r="L4418" i="7"/>
  <c r="G4418" i="7"/>
  <c r="C4418" i="7"/>
  <c r="L4417" i="7"/>
  <c r="G4417" i="7"/>
  <c r="C4417" i="7"/>
  <c r="L4416" i="7"/>
  <c r="G4416" i="7"/>
  <c r="C4416" i="7"/>
  <c r="L4415" i="7"/>
  <c r="G4415" i="7"/>
  <c r="C4415" i="7"/>
  <c r="L4414" i="7"/>
  <c r="G4414" i="7"/>
  <c r="C4414" i="7"/>
  <c r="K4413" i="7"/>
  <c r="F4413" i="7"/>
  <c r="B4413" i="7"/>
  <c r="K4412" i="7"/>
  <c r="F4412" i="7"/>
  <c r="B4412" i="7"/>
  <c r="K4411" i="7"/>
  <c r="F4411" i="7"/>
  <c r="B4411" i="7"/>
  <c r="K4410" i="7"/>
  <c r="F4410" i="7"/>
  <c r="B4410" i="7"/>
  <c r="K4409" i="7"/>
  <c r="F4409" i="7"/>
  <c r="B4409" i="7"/>
  <c r="K4408" i="7"/>
  <c r="F4408" i="7"/>
  <c r="B4408" i="7"/>
  <c r="K4407" i="7"/>
  <c r="F4407" i="7"/>
  <c r="B4407" i="7"/>
  <c r="K4406" i="7"/>
  <c r="F4406" i="7"/>
  <c r="B4406" i="7"/>
  <c r="K4405" i="7"/>
  <c r="F4405" i="7"/>
  <c r="B4405" i="7"/>
  <c r="K4404" i="7"/>
  <c r="F4404" i="7"/>
  <c r="B4404" i="7"/>
  <c r="K4403" i="7"/>
  <c r="F4403" i="7"/>
  <c r="B4403" i="7"/>
  <c r="K4402" i="7"/>
  <c r="F4402" i="7"/>
  <c r="B4402" i="7"/>
  <c r="K4401" i="7"/>
  <c r="F4401" i="7"/>
  <c r="B4401" i="7"/>
  <c r="K4400" i="7"/>
  <c r="F4400" i="7"/>
  <c r="B4400" i="7"/>
  <c r="K4399" i="7"/>
  <c r="F4399" i="7"/>
  <c r="B4399" i="7"/>
  <c r="K4398" i="7"/>
  <c r="F4398" i="7"/>
  <c r="B4398" i="7"/>
  <c r="K4397" i="7"/>
  <c r="F4397" i="7"/>
  <c r="B4397" i="7"/>
  <c r="K4396" i="7"/>
  <c r="F4396" i="7"/>
  <c r="B4396" i="7"/>
  <c r="K4395" i="7"/>
  <c r="F4395" i="7"/>
  <c r="B4395" i="7"/>
  <c r="K4394" i="7"/>
  <c r="F4394" i="7"/>
  <c r="B4394" i="7"/>
  <c r="K4393" i="7"/>
  <c r="F4393" i="7"/>
  <c r="B4393" i="7"/>
  <c r="K4392" i="7"/>
  <c r="F4392" i="7"/>
  <c r="B4392" i="7"/>
  <c r="K4391" i="7"/>
  <c r="F4391" i="7"/>
  <c r="B4391" i="7"/>
  <c r="K4390" i="7"/>
  <c r="F4390" i="7"/>
  <c r="B4390" i="7"/>
  <c r="K4389" i="7"/>
  <c r="F4389" i="7"/>
  <c r="B4389" i="7"/>
  <c r="K4388" i="7"/>
  <c r="F4388" i="7"/>
  <c r="B4388" i="7"/>
  <c r="K4387" i="7"/>
  <c r="F4387" i="7"/>
  <c r="B4387" i="7"/>
  <c r="K4386" i="7"/>
  <c r="F4386" i="7"/>
  <c r="B4386" i="7"/>
  <c r="K4385" i="7"/>
  <c r="F4385" i="7"/>
  <c r="B4385" i="7"/>
  <c r="K4384" i="7"/>
  <c r="F4384" i="7"/>
  <c r="B4384" i="7"/>
  <c r="K4383" i="7"/>
  <c r="F4383" i="7"/>
  <c r="B4383" i="7"/>
  <c r="K4382" i="7"/>
  <c r="F4382" i="7"/>
  <c r="B4382" i="7"/>
  <c r="K4381" i="7"/>
  <c r="F4381" i="7"/>
  <c r="B4381" i="7"/>
  <c r="K4380" i="7"/>
  <c r="F4380" i="7"/>
  <c r="B4380" i="7"/>
  <c r="K4379" i="7"/>
  <c r="F4379" i="7"/>
  <c r="B4379" i="7"/>
  <c r="K4378" i="7"/>
  <c r="F4378" i="7"/>
  <c r="B4378" i="7"/>
  <c r="K4377" i="7"/>
  <c r="G4377" i="7"/>
  <c r="C4377" i="7"/>
  <c r="L4376" i="7"/>
  <c r="G4376" i="7"/>
  <c r="C4376" i="7"/>
  <c r="L4375" i="7"/>
  <c r="G4375" i="7"/>
  <c r="C4375" i="7"/>
  <c r="L4374" i="7"/>
  <c r="G4374" i="7"/>
  <c r="C4374" i="7"/>
  <c r="L4373" i="7"/>
  <c r="G4373" i="7"/>
  <c r="C4373" i="7"/>
  <c r="L4372" i="7"/>
  <c r="G4372" i="7"/>
  <c r="C4372" i="7"/>
  <c r="L4371" i="7"/>
  <c r="G4371" i="7"/>
  <c r="C4371" i="7"/>
  <c r="L4370" i="7"/>
  <c r="G4370" i="7"/>
  <c r="C4370" i="7"/>
  <c r="L4369" i="7"/>
  <c r="G4369" i="7"/>
  <c r="C4369" i="7"/>
  <c r="L4368" i="7"/>
  <c r="G4368" i="7"/>
  <c r="C4368" i="7"/>
  <c r="L4367" i="7"/>
  <c r="G4367" i="7"/>
  <c r="C4367" i="7"/>
  <c r="L4366" i="7"/>
  <c r="G4366" i="7"/>
  <c r="C4366" i="7"/>
  <c r="L4365" i="7"/>
  <c r="G4365" i="7"/>
  <c r="C4365" i="7"/>
  <c r="L4364" i="7"/>
  <c r="G4364" i="7"/>
  <c r="C4364" i="7"/>
  <c r="L4363" i="7"/>
  <c r="G4363" i="7"/>
  <c r="C4363" i="7"/>
  <c r="L4362" i="7"/>
  <c r="G4362" i="7"/>
  <c r="C4362" i="7"/>
  <c r="L4361" i="7"/>
  <c r="G4361" i="7"/>
  <c r="C4361" i="7"/>
  <c r="L4360" i="7"/>
  <c r="G4360" i="7"/>
  <c r="C4360" i="7"/>
  <c r="J4359" i="7"/>
  <c r="E4359" i="7"/>
  <c r="A4359" i="7"/>
  <c r="N4358" i="7"/>
  <c r="J4358" i="7"/>
  <c r="E4358" i="7"/>
  <c r="A4358" i="7"/>
  <c r="N4357" i="7"/>
  <c r="J4357" i="7"/>
  <c r="E4357" i="7"/>
  <c r="A4357" i="7"/>
  <c r="N4356" i="7"/>
  <c r="J4356" i="7"/>
  <c r="E4356" i="7"/>
  <c r="A4356" i="7"/>
  <c r="N4355" i="7"/>
  <c r="J4355" i="7"/>
  <c r="E4355" i="7"/>
  <c r="A4355" i="7"/>
  <c r="N4354" i="7"/>
  <c r="J4354" i="7"/>
  <c r="E4354" i="7"/>
  <c r="A4354" i="7"/>
  <c r="N4353" i="7"/>
  <c r="J4353" i="7"/>
  <c r="E4353" i="7"/>
  <c r="A4353" i="7"/>
  <c r="N4352" i="7"/>
  <c r="J4352" i="7"/>
  <c r="E4352" i="7"/>
  <c r="A4352" i="7"/>
  <c r="N4351" i="7"/>
  <c r="J4351" i="7"/>
  <c r="E4351" i="7"/>
  <c r="A4351" i="7"/>
  <c r="N4350" i="7"/>
  <c r="J4350" i="7"/>
  <c r="E4350" i="7"/>
  <c r="A4350" i="7"/>
  <c r="N4349" i="7"/>
  <c r="J4349" i="7"/>
  <c r="E4349" i="7"/>
  <c r="A4349" i="7"/>
  <c r="N4348" i="7"/>
  <c r="H4348" i="7"/>
  <c r="D4348" i="7"/>
  <c r="Q4347" i="7"/>
  <c r="M4347" i="7"/>
  <c r="H4347" i="7"/>
  <c r="D4347" i="7"/>
  <c r="Q4346" i="7"/>
  <c r="M4346" i="7"/>
  <c r="H4346" i="7"/>
  <c r="D4346" i="7"/>
  <c r="Q4345" i="7"/>
  <c r="M4345" i="7"/>
  <c r="H4345" i="7"/>
  <c r="D4345" i="7"/>
  <c r="Q4344" i="7"/>
  <c r="M4344" i="7"/>
  <c r="H4344" i="7"/>
  <c r="D4344" i="7"/>
  <c r="Q4343" i="7"/>
  <c r="M4343" i="7"/>
  <c r="H4343" i="7"/>
  <c r="D4343" i="7"/>
  <c r="Q4342" i="7"/>
  <c r="M4342" i="7"/>
  <c r="H4342" i="7"/>
  <c r="D4342" i="7"/>
  <c r="Q4341" i="7"/>
  <c r="M4341" i="7"/>
  <c r="H4341" i="7"/>
  <c r="D4341" i="7"/>
  <c r="Q4340" i="7"/>
  <c r="M4340" i="7"/>
  <c r="H4340" i="7"/>
  <c r="D4340" i="7"/>
  <c r="Q4339" i="7"/>
  <c r="M4339" i="7"/>
  <c r="H4339" i="7"/>
  <c r="D4339" i="7"/>
  <c r="Q4338" i="7"/>
  <c r="M4338" i="7"/>
  <c r="H4338" i="7"/>
  <c r="D4338" i="7"/>
  <c r="Q4337" i="7"/>
  <c r="M4337" i="7"/>
  <c r="H4337" i="7"/>
  <c r="D4337" i="7"/>
  <c r="Q4336" i="7"/>
  <c r="M4336" i="7"/>
  <c r="H4336" i="7"/>
  <c r="D4336" i="7"/>
  <c r="Q4335" i="7"/>
  <c r="M4335" i="7"/>
  <c r="H4335" i="7"/>
  <c r="D4335" i="7"/>
  <c r="Q4334" i="7"/>
  <c r="M4334" i="7"/>
  <c r="B4460" i="7"/>
  <c r="F4459" i="7"/>
  <c r="K4458" i="7"/>
  <c r="B4456" i="7"/>
  <c r="F4455" i="7"/>
  <c r="K4454" i="7"/>
  <c r="J4452" i="7"/>
  <c r="A4452" i="7"/>
  <c r="K4451" i="7"/>
  <c r="B4451" i="7"/>
  <c r="N4450" i="7"/>
  <c r="E4450" i="7"/>
  <c r="F4449" i="7"/>
  <c r="J4448" i="7"/>
  <c r="A4448" i="7"/>
  <c r="K4447" i="7"/>
  <c r="B4447" i="7"/>
  <c r="N4446" i="7"/>
  <c r="E4446" i="7"/>
  <c r="F4445" i="7"/>
  <c r="J4444" i="7"/>
  <c r="A4444" i="7"/>
  <c r="K4443" i="7"/>
  <c r="B4443" i="7"/>
  <c r="N4442" i="7"/>
  <c r="E4442" i="7"/>
  <c r="Q4441" i="7"/>
  <c r="M4441" i="7"/>
  <c r="G4441" i="7"/>
  <c r="C4441" i="7"/>
  <c r="L4440" i="7"/>
  <c r="G4440" i="7"/>
  <c r="C4440" i="7"/>
  <c r="L4439" i="7"/>
  <c r="G4439" i="7"/>
  <c r="C4439" i="7"/>
  <c r="L4438" i="7"/>
  <c r="G4438" i="7"/>
  <c r="C4438" i="7"/>
  <c r="L4437" i="7"/>
  <c r="G4437" i="7"/>
  <c r="C4437" i="7"/>
  <c r="L4436" i="7"/>
  <c r="G4436" i="7"/>
  <c r="C4436" i="7"/>
  <c r="L4435" i="7"/>
  <c r="G4435" i="7"/>
  <c r="C4435" i="7"/>
  <c r="L4434" i="7"/>
  <c r="G4434" i="7"/>
  <c r="C4434" i="7"/>
  <c r="L4433" i="7"/>
  <c r="G4433" i="7"/>
  <c r="C4433" i="7"/>
  <c r="L4432" i="7"/>
  <c r="G4432" i="7"/>
  <c r="C4432" i="7"/>
  <c r="L4431" i="7"/>
  <c r="G4431" i="7"/>
  <c r="C4431" i="7"/>
  <c r="L4430" i="7"/>
  <c r="G4430" i="7"/>
  <c r="C4430" i="7"/>
  <c r="K4429" i="7"/>
  <c r="F4429" i="7"/>
  <c r="B4429" i="7"/>
  <c r="K4428" i="7"/>
  <c r="F4428" i="7"/>
  <c r="B4428" i="7"/>
  <c r="K4427" i="7"/>
  <c r="F4427" i="7"/>
  <c r="B4427" i="7"/>
  <c r="K4426" i="7"/>
  <c r="F4426" i="7"/>
  <c r="B4426" i="7"/>
  <c r="K4425" i="7"/>
  <c r="F4425" i="7"/>
  <c r="B4425" i="7"/>
  <c r="K4424" i="7"/>
  <c r="F4424" i="7"/>
  <c r="B4424" i="7"/>
  <c r="K4423" i="7"/>
  <c r="F4423" i="7"/>
  <c r="B4423" i="7"/>
  <c r="K4422" i="7"/>
  <c r="F4422" i="7"/>
  <c r="B4422" i="7"/>
  <c r="K4421" i="7"/>
  <c r="F4421" i="7"/>
  <c r="B4421" i="7"/>
  <c r="K4420" i="7"/>
  <c r="F4420" i="7"/>
  <c r="B4420" i="7"/>
  <c r="K4419" i="7"/>
  <c r="F4419" i="7"/>
  <c r="B4419" i="7"/>
  <c r="K4418" i="7"/>
  <c r="F4418" i="7"/>
  <c r="B4418" i="7"/>
  <c r="K4417" i="7"/>
  <c r="F4417" i="7"/>
  <c r="B4417" i="7"/>
  <c r="K4416" i="7"/>
  <c r="F4416" i="7"/>
  <c r="B4416" i="7"/>
  <c r="K4415" i="7"/>
  <c r="F4415" i="7"/>
  <c r="B4415" i="7"/>
  <c r="K4414" i="7"/>
  <c r="F4414" i="7"/>
  <c r="B4414" i="7"/>
  <c r="J4413" i="7"/>
  <c r="E4413" i="7"/>
  <c r="A4413" i="7"/>
  <c r="N4412" i="7"/>
  <c r="J4412" i="7"/>
  <c r="E4412" i="7"/>
  <c r="A4412" i="7"/>
  <c r="N4411" i="7"/>
  <c r="J4411" i="7"/>
  <c r="E4411" i="7"/>
  <c r="A4411" i="7"/>
  <c r="N4410" i="7"/>
  <c r="J4410" i="7"/>
  <c r="E4410" i="7"/>
  <c r="A4410" i="7"/>
  <c r="N4409" i="7"/>
  <c r="J4409" i="7"/>
  <c r="E4409" i="7"/>
  <c r="A4409" i="7"/>
  <c r="N4408" i="7"/>
  <c r="J4408" i="7"/>
  <c r="E4408" i="7"/>
  <c r="A4408" i="7"/>
  <c r="N4407" i="7"/>
  <c r="J4407" i="7"/>
  <c r="E4407" i="7"/>
  <c r="A4407" i="7"/>
  <c r="N4406" i="7"/>
  <c r="J4406" i="7"/>
  <c r="E4406" i="7"/>
  <c r="A4406" i="7"/>
  <c r="N4405" i="7"/>
  <c r="J4405" i="7"/>
  <c r="E4405" i="7"/>
  <c r="A4405" i="7"/>
  <c r="N4404" i="7"/>
  <c r="J4404" i="7"/>
  <c r="E4404" i="7"/>
  <c r="A4404" i="7"/>
  <c r="N4403" i="7"/>
  <c r="J4403" i="7"/>
  <c r="E4403" i="7"/>
  <c r="A4403" i="7"/>
  <c r="N4402" i="7"/>
  <c r="J4402" i="7"/>
  <c r="E4402" i="7"/>
  <c r="A4402" i="7"/>
  <c r="N4401" i="7"/>
  <c r="J4401" i="7"/>
  <c r="E4401" i="7"/>
  <c r="A4401" i="7"/>
  <c r="N4400" i="7"/>
  <c r="J4400" i="7"/>
  <c r="E4400" i="7"/>
  <c r="A4400" i="7"/>
  <c r="N4399" i="7"/>
  <c r="J4399" i="7"/>
  <c r="E4399" i="7"/>
  <c r="A4399" i="7"/>
  <c r="N4398" i="7"/>
  <c r="J4398" i="7"/>
  <c r="E4398" i="7"/>
  <c r="A4398" i="7"/>
  <c r="N4397" i="7"/>
  <c r="J4397" i="7"/>
  <c r="E4397" i="7"/>
  <c r="A4397" i="7"/>
  <c r="N4396" i="7"/>
  <c r="J4396" i="7"/>
  <c r="E4396" i="7"/>
  <c r="A4396" i="7"/>
  <c r="N4395" i="7"/>
  <c r="J4395" i="7"/>
  <c r="E4395" i="7"/>
  <c r="A4395" i="7"/>
  <c r="N4394" i="7"/>
  <c r="J4394" i="7"/>
  <c r="E4394" i="7"/>
  <c r="A4394" i="7"/>
  <c r="N4393" i="7"/>
  <c r="J4393" i="7"/>
  <c r="E4393" i="7"/>
  <c r="A4393" i="7"/>
  <c r="N4392" i="7"/>
  <c r="J4392" i="7"/>
  <c r="E4392" i="7"/>
  <c r="A4392" i="7"/>
  <c r="N4391" i="7"/>
  <c r="J4391" i="7"/>
  <c r="E4391" i="7"/>
  <c r="A4391" i="7"/>
  <c r="N4390" i="7"/>
  <c r="J4390" i="7"/>
  <c r="E4390" i="7"/>
  <c r="A4390" i="7"/>
  <c r="N4389" i="7"/>
  <c r="J4389" i="7"/>
  <c r="E4389" i="7"/>
  <c r="A4389" i="7"/>
  <c r="N4388" i="7"/>
  <c r="J4388" i="7"/>
  <c r="E4388" i="7"/>
  <c r="A4388" i="7"/>
  <c r="N4387" i="7"/>
  <c r="J4387" i="7"/>
  <c r="E4387" i="7"/>
  <c r="A4387" i="7"/>
  <c r="N4386" i="7"/>
  <c r="J4386" i="7"/>
  <c r="E4386" i="7"/>
  <c r="A4386" i="7"/>
  <c r="N4385" i="7"/>
  <c r="J4385" i="7"/>
  <c r="E4385" i="7"/>
  <c r="A4385" i="7"/>
  <c r="N4384" i="7"/>
  <c r="J4384" i="7"/>
  <c r="E4384" i="7"/>
  <c r="A4384" i="7"/>
  <c r="N4383" i="7"/>
  <c r="J4383" i="7"/>
  <c r="E4383" i="7"/>
  <c r="A4383" i="7"/>
  <c r="N4382" i="7"/>
  <c r="J4382" i="7"/>
  <c r="E4382" i="7"/>
  <c r="A4382" i="7"/>
  <c r="N4381" i="7"/>
  <c r="J4381" i="7"/>
  <c r="E4381" i="7"/>
  <c r="A4381" i="7"/>
  <c r="N4380" i="7"/>
  <c r="J4380" i="7"/>
  <c r="E4380" i="7"/>
  <c r="A4380" i="7"/>
  <c r="N4379" i="7"/>
  <c r="J4379" i="7"/>
  <c r="E4379" i="7"/>
  <c r="A4379" i="7"/>
  <c r="N4378" i="7"/>
  <c r="J4378" i="7"/>
  <c r="E4378" i="7"/>
  <c r="A4378" i="7"/>
  <c r="N4377" i="7"/>
  <c r="J4377" i="7"/>
  <c r="F4377" i="7"/>
  <c r="B4377" i="7"/>
  <c r="K4376" i="7"/>
  <c r="F4376" i="7"/>
  <c r="B4376" i="7"/>
  <c r="K4375" i="7"/>
  <c r="F4375" i="7"/>
  <c r="B4375" i="7"/>
  <c r="K4374" i="7"/>
  <c r="F4374" i="7"/>
  <c r="B4374" i="7"/>
  <c r="K4373" i="7"/>
  <c r="F4373" i="7"/>
  <c r="B4373" i="7"/>
  <c r="K4372" i="7"/>
  <c r="F4372" i="7"/>
  <c r="B4372" i="7"/>
  <c r="K4371" i="7"/>
  <c r="F4371" i="7"/>
  <c r="B4371" i="7"/>
  <c r="K4370" i="7"/>
  <c r="F4370" i="7"/>
  <c r="B4370" i="7"/>
  <c r="K4369" i="7"/>
  <c r="F4369" i="7"/>
  <c r="B4369" i="7"/>
  <c r="K4368" i="7"/>
  <c r="F4368" i="7"/>
  <c r="B4368" i="7"/>
  <c r="K4367" i="7"/>
  <c r="F4367" i="7"/>
  <c r="B4367" i="7"/>
  <c r="K4366" i="7"/>
  <c r="F4366" i="7"/>
  <c r="B4366" i="7"/>
  <c r="K4365" i="7"/>
  <c r="F4365" i="7"/>
  <c r="B4365" i="7"/>
  <c r="K4364" i="7"/>
  <c r="F4364" i="7"/>
  <c r="B4364" i="7"/>
  <c r="K4363" i="7"/>
  <c r="F4363" i="7"/>
  <c r="B4363" i="7"/>
  <c r="K4362" i="7"/>
  <c r="F4362" i="7"/>
  <c r="B4362" i="7"/>
  <c r="K4361" i="7"/>
  <c r="F4361" i="7"/>
  <c r="B4361" i="7"/>
  <c r="K4360" i="7"/>
  <c r="F4360" i="7"/>
  <c r="B4360" i="7"/>
  <c r="H4359" i="7"/>
  <c r="D4359" i="7"/>
  <c r="Q4358" i="7"/>
  <c r="M4358" i="7"/>
  <c r="H4358" i="7"/>
  <c r="D4358" i="7"/>
  <c r="Q4357" i="7"/>
  <c r="M4357" i="7"/>
  <c r="H4357" i="7"/>
  <c r="D4357" i="7"/>
  <c r="Q4356" i="7"/>
  <c r="M4356" i="7"/>
  <c r="H4356" i="7"/>
  <c r="D4356" i="7"/>
  <c r="Q4355" i="7"/>
  <c r="M4355" i="7"/>
  <c r="H4355" i="7"/>
  <c r="D4355" i="7"/>
  <c r="Q4354" i="7"/>
  <c r="M4354" i="7"/>
  <c r="H4354" i="7"/>
  <c r="D4354" i="7"/>
  <c r="Q4353" i="7"/>
  <c r="M4353" i="7"/>
  <c r="H4353" i="7"/>
  <c r="D4353" i="7"/>
  <c r="Q4352" i="7"/>
  <c r="M4352" i="7"/>
  <c r="H4352" i="7"/>
  <c r="D4352" i="7"/>
  <c r="Q4351" i="7"/>
  <c r="M4351" i="7"/>
  <c r="H4351" i="7"/>
  <c r="D4351" i="7"/>
  <c r="Q4350" i="7"/>
  <c r="M4350" i="7"/>
  <c r="H4350" i="7"/>
  <c r="D4350" i="7"/>
  <c r="Q4349" i="7"/>
  <c r="M4349" i="7"/>
  <c r="H4349" i="7"/>
  <c r="D4349" i="7"/>
  <c r="Q4348" i="7"/>
  <c r="M4348" i="7"/>
  <c r="G4348" i="7"/>
  <c r="C4348" i="7"/>
  <c r="L4347" i="7"/>
  <c r="G4347" i="7"/>
  <c r="C4347" i="7"/>
  <c r="L4346" i="7"/>
  <c r="G4346" i="7"/>
  <c r="C4346" i="7"/>
  <c r="L4345" i="7"/>
  <c r="G4345" i="7"/>
  <c r="C4345" i="7"/>
  <c r="L4344" i="7"/>
  <c r="G4344" i="7"/>
  <c r="C4344" i="7"/>
  <c r="L4343" i="7"/>
  <c r="G4343" i="7"/>
  <c r="C4343" i="7"/>
  <c r="L4342" i="7"/>
  <c r="G4342" i="7"/>
  <c r="C4342" i="7"/>
  <c r="L4341" i="7"/>
  <c r="G4341" i="7"/>
  <c r="C4341" i="7"/>
  <c r="L4340" i="7"/>
  <c r="G4340" i="7"/>
  <c r="C4340" i="7"/>
  <c r="L4339" i="7"/>
  <c r="G4339" i="7"/>
  <c r="C4339" i="7"/>
  <c r="L4338" i="7"/>
  <c r="G4338" i="7"/>
  <c r="C4338" i="7"/>
  <c r="L4337" i="7"/>
  <c r="G4337" i="7"/>
  <c r="C4337" i="7"/>
  <c r="L4336" i="7"/>
  <c r="G4336" i="7"/>
  <c r="C4336" i="7"/>
  <c r="L4335" i="7"/>
  <c r="G4335" i="7"/>
  <c r="C4335" i="7"/>
  <c r="L4334" i="7"/>
  <c r="G4334" i="7"/>
  <c r="C4334" i="7"/>
  <c r="L4333" i="7"/>
  <c r="G4333" i="7"/>
  <c r="C4333" i="7"/>
  <c r="L4332" i="7"/>
  <c r="A4337" i="7"/>
  <c r="E4336" i="7"/>
  <c r="J4335" i="7"/>
  <c r="N4334" i="7"/>
  <c r="D4334" i="7"/>
  <c r="N4333" i="7"/>
  <c r="E4333" i="7"/>
  <c r="N4332" i="7"/>
  <c r="H4332" i="7"/>
  <c r="B4332" i="7"/>
  <c r="N4331" i="7"/>
  <c r="I4331" i="7"/>
  <c r="C4331" i="7"/>
  <c r="J4330" i="7"/>
  <c r="C4330" i="7"/>
  <c r="J4329" i="7"/>
  <c r="C4329" i="7"/>
  <c r="J4328" i="7"/>
  <c r="C4328" i="7"/>
  <c r="J4327" i="7"/>
  <c r="D4327" i="7"/>
  <c r="Q4326" i="7"/>
  <c r="M4326" i="7"/>
  <c r="H4326" i="7"/>
  <c r="D4326" i="7"/>
  <c r="Q4325" i="7"/>
  <c r="M4325" i="7"/>
  <c r="H4325" i="7"/>
  <c r="D4325" i="7"/>
  <c r="Q4324" i="7"/>
  <c r="L4324" i="7"/>
  <c r="H4324" i="7"/>
  <c r="D4324" i="7"/>
  <c r="Q4323" i="7"/>
  <c r="M4323" i="7"/>
  <c r="H4323" i="7"/>
  <c r="D4323" i="7"/>
  <c r="Q4322" i="7"/>
  <c r="M4322" i="7"/>
  <c r="H4322" i="7"/>
  <c r="D4322" i="7"/>
  <c r="Q4321" i="7"/>
  <c r="M4321" i="7"/>
  <c r="H4321" i="7"/>
  <c r="D4321" i="7"/>
  <c r="Q4320" i="7"/>
  <c r="M4320" i="7"/>
  <c r="H4320" i="7"/>
  <c r="D4320" i="7"/>
  <c r="Q4319" i="7"/>
  <c r="M4319" i="7"/>
  <c r="H4319" i="7"/>
  <c r="D4319" i="7"/>
  <c r="Q4318" i="7"/>
  <c r="M4318" i="7"/>
  <c r="H4318" i="7"/>
  <c r="D4318" i="7"/>
  <c r="Q4317" i="7"/>
  <c r="M4317" i="7"/>
  <c r="H4317" i="7"/>
  <c r="D4317" i="7"/>
  <c r="Q4316" i="7"/>
  <c r="M4316" i="7"/>
  <c r="H4316" i="7"/>
  <c r="D4316" i="7"/>
  <c r="Q4315" i="7"/>
  <c r="M4315" i="7"/>
  <c r="H4315" i="7"/>
  <c r="D4315" i="7"/>
  <c r="Q4314" i="7"/>
  <c r="M4314" i="7"/>
  <c r="H4314" i="7"/>
  <c r="D4314" i="7"/>
  <c r="Q4313" i="7"/>
  <c r="M4313" i="7"/>
  <c r="H4313" i="7"/>
  <c r="D4313" i="7"/>
  <c r="Q4312" i="7"/>
  <c r="M4312" i="7"/>
  <c r="H4312" i="7"/>
  <c r="D4312" i="7"/>
  <c r="Q4311" i="7"/>
  <c r="M4311" i="7"/>
  <c r="H4311" i="7"/>
  <c r="D4311" i="7"/>
  <c r="Q4310" i="7"/>
  <c r="M4310" i="7"/>
  <c r="H4310" i="7"/>
  <c r="D4310" i="7"/>
  <c r="Q4309" i="7"/>
  <c r="M4309" i="7"/>
  <c r="H4309" i="7"/>
  <c r="D4309" i="7"/>
  <c r="Q4308" i="7"/>
  <c r="M4308" i="7"/>
  <c r="H4308" i="7"/>
  <c r="D4308" i="7"/>
  <c r="Q4307" i="7"/>
  <c r="M4307" i="7"/>
  <c r="H4307" i="7"/>
  <c r="D4307" i="7"/>
  <c r="Q4306" i="7"/>
  <c r="M4306" i="7"/>
  <c r="H4306" i="7"/>
  <c r="D4306" i="7"/>
  <c r="Q4305" i="7"/>
  <c r="M4305" i="7"/>
  <c r="H4305" i="7"/>
  <c r="D4305" i="7"/>
  <c r="Q4304" i="7"/>
  <c r="M4304" i="7"/>
  <c r="H4304" i="7"/>
  <c r="D4304" i="7"/>
  <c r="Q4303" i="7"/>
  <c r="M4303" i="7"/>
  <c r="G4303" i="7"/>
  <c r="C4303" i="7"/>
  <c r="L4302" i="7"/>
  <c r="G4302" i="7"/>
  <c r="C4302" i="7"/>
  <c r="L4301" i="7"/>
  <c r="G4301" i="7"/>
  <c r="C4301" i="7"/>
  <c r="L4300" i="7"/>
  <c r="G4300" i="7"/>
  <c r="C4300" i="7"/>
  <c r="L4299" i="7"/>
  <c r="G4299" i="7"/>
  <c r="C4299" i="7"/>
  <c r="L4298" i="7"/>
  <c r="G4298" i="7"/>
  <c r="C4298" i="7"/>
  <c r="L4297" i="7"/>
  <c r="G4297" i="7"/>
  <c r="C4297" i="7"/>
  <c r="L4296" i="7"/>
  <c r="G4296" i="7"/>
  <c r="C4296" i="7"/>
  <c r="L4295" i="7"/>
  <c r="G4295" i="7"/>
  <c r="C4295" i="7"/>
  <c r="L4294" i="7"/>
  <c r="G4294" i="7"/>
  <c r="C4294" i="7"/>
  <c r="L4293" i="7"/>
  <c r="G4293" i="7"/>
  <c r="C4293" i="7"/>
  <c r="L4292" i="7"/>
  <c r="G4292" i="7"/>
  <c r="C4292" i="7"/>
  <c r="L4291" i="7"/>
  <c r="G4291" i="7"/>
  <c r="C4291" i="7"/>
  <c r="L4290" i="7"/>
  <c r="G4290" i="7"/>
  <c r="C4290" i="7"/>
  <c r="L4289" i="7"/>
  <c r="G4289" i="7"/>
  <c r="C4289" i="7"/>
  <c r="L4288" i="7"/>
  <c r="G4288" i="7"/>
  <c r="C4288" i="7"/>
  <c r="L4287" i="7"/>
  <c r="G4287" i="7"/>
  <c r="C4287" i="7"/>
  <c r="L4286" i="7"/>
  <c r="G4286" i="7"/>
  <c r="C4286" i="7"/>
  <c r="L4285" i="7"/>
  <c r="G4285" i="7"/>
  <c r="C4285" i="7"/>
  <c r="L4284" i="7"/>
  <c r="G4284" i="7"/>
  <c r="C4284" i="7"/>
  <c r="L4283" i="7"/>
  <c r="G4283" i="7"/>
  <c r="C4283" i="7"/>
  <c r="L4282" i="7"/>
  <c r="G4282" i="7"/>
  <c r="C4282" i="7"/>
  <c r="K4281" i="7"/>
  <c r="F4281" i="7"/>
  <c r="B4281" i="7"/>
  <c r="K4280" i="7"/>
  <c r="F4280" i="7"/>
  <c r="B4280" i="7"/>
  <c r="J4279" i="7"/>
  <c r="E4279" i="7"/>
  <c r="A4279" i="7"/>
  <c r="N4278" i="7"/>
  <c r="H4278" i="7"/>
  <c r="D4278" i="7"/>
  <c r="Q4277" i="7"/>
  <c r="M4277" i="7"/>
  <c r="H4277" i="7"/>
  <c r="D4277" i="7"/>
  <c r="Q4276" i="7"/>
  <c r="M4276" i="7"/>
  <c r="H4276" i="7"/>
  <c r="D4276" i="7"/>
  <c r="Q4275" i="7"/>
  <c r="M4275" i="7"/>
  <c r="H4275" i="7"/>
  <c r="D4275" i="7"/>
  <c r="Q4274" i="7"/>
  <c r="M4274" i="7"/>
  <c r="H4274" i="7"/>
  <c r="D4274" i="7"/>
  <c r="Q4273" i="7"/>
  <c r="M4273" i="7"/>
  <c r="H4273" i="7"/>
  <c r="D4273" i="7"/>
  <c r="Q4272" i="7"/>
  <c r="M4272" i="7"/>
  <c r="H4272" i="7"/>
  <c r="D4272" i="7"/>
  <c r="Q4271" i="7"/>
  <c r="M4271" i="7"/>
  <c r="H4271" i="7"/>
  <c r="D4271" i="7"/>
  <c r="Q4270" i="7"/>
  <c r="M4270" i="7"/>
  <c r="H4270" i="7"/>
  <c r="D4270" i="7"/>
  <c r="Q4269" i="7"/>
  <c r="M4269" i="7"/>
  <c r="G4269" i="7"/>
  <c r="C4269" i="7"/>
  <c r="L4268" i="7"/>
  <c r="G4268" i="7"/>
  <c r="C4268" i="7"/>
  <c r="L4267" i="7"/>
  <c r="G4267" i="7"/>
  <c r="C4267" i="7"/>
  <c r="L4266" i="7"/>
  <c r="G4266" i="7"/>
  <c r="C4266" i="7"/>
  <c r="L4265" i="7"/>
  <c r="G4265" i="7"/>
  <c r="C4265" i="7"/>
  <c r="L4264" i="7"/>
  <c r="G4264" i="7"/>
  <c r="C4264" i="7"/>
  <c r="L4263" i="7"/>
  <c r="G4263" i="7"/>
  <c r="C4263" i="7"/>
  <c r="K4262" i="7"/>
  <c r="F4262" i="7"/>
  <c r="B4262" i="7"/>
  <c r="J4261" i="7"/>
  <c r="E4261" i="7"/>
  <c r="A4261" i="7"/>
  <c r="N4260" i="7"/>
  <c r="J4260" i="7"/>
  <c r="E4260" i="7"/>
  <c r="A4260" i="7"/>
  <c r="N4259" i="7"/>
  <c r="J4259" i="7"/>
  <c r="E4259" i="7"/>
  <c r="A4259" i="7"/>
  <c r="N4258" i="7"/>
  <c r="J4258" i="7"/>
  <c r="E4258" i="7"/>
  <c r="A4258" i="7"/>
  <c r="N4257" i="7"/>
  <c r="J4257" i="7"/>
  <c r="E4257" i="7"/>
  <c r="A4257" i="7"/>
  <c r="N4256" i="7"/>
  <c r="J4256" i="7"/>
  <c r="E4256" i="7"/>
  <c r="A4256" i="7"/>
  <c r="N4255" i="7"/>
  <c r="J4255" i="7"/>
  <c r="E4255" i="7"/>
  <c r="A4255" i="7"/>
  <c r="N4254" i="7"/>
  <c r="J4254" i="7"/>
  <c r="E4254" i="7"/>
  <c r="A4254" i="7"/>
  <c r="N4253" i="7"/>
  <c r="J4253" i="7"/>
  <c r="E4253" i="7"/>
  <c r="A4253" i="7"/>
  <c r="N4252" i="7"/>
  <c r="J4252" i="7"/>
  <c r="E4252" i="7"/>
  <c r="A4252" i="7"/>
  <c r="N4251" i="7"/>
  <c r="J4251" i="7"/>
  <c r="E4251" i="7"/>
  <c r="A4251" i="7"/>
  <c r="N4250" i="7"/>
  <c r="J4250" i="7"/>
  <c r="E4250" i="7"/>
  <c r="A4250" i="7"/>
  <c r="N4249" i="7"/>
  <c r="J4249" i="7"/>
  <c r="E4249" i="7"/>
  <c r="A4249" i="7"/>
  <c r="N4248" i="7"/>
  <c r="J4248" i="7"/>
  <c r="E4248" i="7"/>
  <c r="A4248" i="7"/>
  <c r="N4247" i="7"/>
  <c r="J4247" i="7"/>
  <c r="E4247" i="7"/>
  <c r="A4247" i="7"/>
  <c r="N4246" i="7"/>
  <c r="J4246" i="7"/>
  <c r="E4246" i="7"/>
  <c r="A4246" i="7"/>
  <c r="N4245" i="7"/>
  <c r="J4245" i="7"/>
  <c r="E4245" i="7"/>
  <c r="A4245" i="7"/>
  <c r="N4244" i="7"/>
  <c r="J4244" i="7"/>
  <c r="E4244" i="7"/>
  <c r="A4244" i="7"/>
  <c r="N4243" i="7"/>
  <c r="J4243" i="7"/>
  <c r="E4243" i="7"/>
  <c r="A4243" i="7"/>
  <c r="N4242" i="7"/>
  <c r="J4242" i="7"/>
  <c r="E4242" i="7"/>
  <c r="A4242" i="7"/>
  <c r="N4241" i="7"/>
  <c r="J4241" i="7"/>
  <c r="E4241" i="7"/>
  <c r="A4241" i="7"/>
  <c r="N4240" i="7"/>
  <c r="J4240" i="7"/>
  <c r="E4240" i="7"/>
  <c r="A4240" i="7"/>
  <c r="N4239" i="7"/>
  <c r="J4239" i="7"/>
  <c r="E4239" i="7"/>
  <c r="A4239" i="7"/>
  <c r="N4238" i="7"/>
  <c r="J4238" i="7"/>
  <c r="E4238" i="7"/>
  <c r="A4238" i="7"/>
  <c r="N4237" i="7"/>
  <c r="J4237" i="7"/>
  <c r="E4237" i="7"/>
  <c r="A4237" i="7"/>
  <c r="N4236" i="7"/>
  <c r="J4236" i="7"/>
  <c r="E4236" i="7"/>
  <c r="A4236" i="7"/>
  <c r="N4235" i="7"/>
  <c r="J4235" i="7"/>
  <c r="E4235" i="7"/>
  <c r="A4235" i="7"/>
  <c r="N4234" i="7"/>
  <c r="H4234" i="7"/>
  <c r="D4234" i="7"/>
  <c r="Q4233" i="7"/>
  <c r="M4233" i="7"/>
  <c r="G4233" i="7"/>
  <c r="C4233" i="7"/>
  <c r="K4232" i="7"/>
  <c r="F4232" i="7"/>
  <c r="B4232" i="7"/>
  <c r="J4231" i="7"/>
  <c r="E4231" i="7"/>
  <c r="A4231" i="7"/>
  <c r="N4230" i="7"/>
  <c r="J4230" i="7"/>
  <c r="E4230" i="7"/>
  <c r="A4230" i="7"/>
  <c r="N4229" i="7"/>
  <c r="J4229" i="7"/>
  <c r="E4229" i="7"/>
  <c r="A4229" i="7"/>
  <c r="N4228" i="7"/>
  <c r="H4228" i="7"/>
  <c r="D4228" i="7"/>
  <c r="Q4227" i="7"/>
  <c r="M4227" i="7"/>
  <c r="G4227" i="7"/>
  <c r="C4227" i="7"/>
  <c r="K4226" i="7"/>
  <c r="F4226" i="7"/>
  <c r="B4226" i="7"/>
  <c r="K4225" i="7"/>
  <c r="F4225" i="7"/>
  <c r="B4225" i="7"/>
  <c r="J4224" i="7"/>
  <c r="E4224" i="7"/>
  <c r="A4224" i="7"/>
  <c r="N4223" i="7"/>
  <c r="J4223" i="7"/>
  <c r="E4223" i="7"/>
  <c r="A4223" i="7"/>
  <c r="N4222" i="7"/>
  <c r="H4222" i="7"/>
  <c r="D4222" i="7"/>
  <c r="Q4221" i="7"/>
  <c r="M4221" i="7"/>
  <c r="H4221" i="7"/>
  <c r="D4221" i="7"/>
  <c r="Q4220" i="7"/>
  <c r="M4220" i="7"/>
  <c r="H4220" i="7"/>
  <c r="D4220" i="7"/>
  <c r="Q4219" i="7"/>
  <c r="M4219" i="7"/>
  <c r="H4219" i="7"/>
  <c r="D4219" i="7"/>
  <c r="Q4218" i="7"/>
  <c r="M4218" i="7"/>
  <c r="H4218" i="7"/>
  <c r="D4218" i="7"/>
  <c r="Q4217" i="7"/>
  <c r="M4217" i="7"/>
  <c r="H4217" i="7"/>
  <c r="D4217" i="7"/>
  <c r="Q4216" i="7"/>
  <c r="M4216" i="7"/>
  <c r="H4216" i="7"/>
  <c r="D4216" i="7"/>
  <c r="Q4215" i="7"/>
  <c r="M4215" i="7"/>
  <c r="H4215" i="7"/>
  <c r="D4215" i="7"/>
  <c r="Q4214" i="7"/>
  <c r="M4214" i="7"/>
  <c r="H4214" i="7"/>
  <c r="D4214" i="7"/>
  <c r="Q4213" i="7"/>
  <c r="M4213" i="7"/>
  <c r="H4213" i="7"/>
  <c r="D4213" i="7"/>
  <c r="Q4212" i="7"/>
  <c r="M4212" i="7"/>
  <c r="H4212" i="7"/>
  <c r="D4212" i="7"/>
  <c r="Q4211" i="7"/>
  <c r="M4211" i="7"/>
  <c r="H4211" i="7"/>
  <c r="D4211" i="7"/>
  <c r="Q4210" i="7"/>
  <c r="M4210" i="7"/>
  <c r="H4210" i="7"/>
  <c r="D4210" i="7"/>
  <c r="Q4209" i="7"/>
  <c r="M4209" i="7"/>
  <c r="H4209" i="7"/>
  <c r="D4209" i="7"/>
  <c r="Q4208" i="7"/>
  <c r="M4208" i="7"/>
  <c r="H4208" i="7"/>
  <c r="D4208" i="7"/>
  <c r="Q4207" i="7"/>
  <c r="M4207" i="7"/>
  <c r="H4207" i="7"/>
  <c r="D4207" i="7"/>
  <c r="Q4206" i="7"/>
  <c r="M4206" i="7"/>
  <c r="H4206" i="7"/>
  <c r="N4337" i="7"/>
  <c r="A4336" i="7"/>
  <c r="E4335" i="7"/>
  <c r="J4334" i="7"/>
  <c r="A4334" i="7"/>
  <c r="M4333" i="7"/>
  <c r="D4333" i="7"/>
  <c r="M4332" i="7"/>
  <c r="F4332" i="7"/>
  <c r="A4332" i="7"/>
  <c r="M4331" i="7"/>
  <c r="G4331" i="7"/>
  <c r="B4331" i="7"/>
  <c r="N4330" i="7"/>
  <c r="G4330" i="7"/>
  <c r="B4330" i="7"/>
  <c r="N4329" i="7"/>
  <c r="G4329" i="7"/>
  <c r="B4329" i="7"/>
  <c r="N4328" i="7"/>
  <c r="G4328" i="7"/>
  <c r="B4328" i="7"/>
  <c r="N4327" i="7"/>
  <c r="G4327" i="7"/>
  <c r="C4327" i="7"/>
  <c r="L4326" i="7"/>
  <c r="G4326" i="7"/>
  <c r="C4326" i="7"/>
  <c r="L4325" i="7"/>
  <c r="G4325" i="7"/>
  <c r="C4325" i="7"/>
  <c r="K4324" i="7"/>
  <c r="G4324" i="7"/>
  <c r="C4324" i="7"/>
  <c r="L4323" i="7"/>
  <c r="G4323" i="7"/>
  <c r="C4323" i="7"/>
  <c r="L4322" i="7"/>
  <c r="G4322" i="7"/>
  <c r="C4322" i="7"/>
  <c r="L4321" i="7"/>
  <c r="G4321" i="7"/>
  <c r="C4321" i="7"/>
  <c r="L4320" i="7"/>
  <c r="G4320" i="7"/>
  <c r="C4320" i="7"/>
  <c r="L4319" i="7"/>
  <c r="G4319" i="7"/>
  <c r="C4319" i="7"/>
  <c r="L4318" i="7"/>
  <c r="G4318" i="7"/>
  <c r="C4318" i="7"/>
  <c r="L4317" i="7"/>
  <c r="G4317" i="7"/>
  <c r="C4317" i="7"/>
  <c r="L4316" i="7"/>
  <c r="G4316" i="7"/>
  <c r="C4316" i="7"/>
  <c r="L4315" i="7"/>
  <c r="G4315" i="7"/>
  <c r="C4315" i="7"/>
  <c r="L4314" i="7"/>
  <c r="G4314" i="7"/>
  <c r="C4314" i="7"/>
  <c r="L4313" i="7"/>
  <c r="G4313" i="7"/>
  <c r="C4313" i="7"/>
  <c r="L4312" i="7"/>
  <c r="G4312" i="7"/>
  <c r="C4312" i="7"/>
  <c r="L4311" i="7"/>
  <c r="G4311" i="7"/>
  <c r="C4311" i="7"/>
  <c r="L4310" i="7"/>
  <c r="G4310" i="7"/>
  <c r="C4310" i="7"/>
  <c r="L4309" i="7"/>
  <c r="G4309" i="7"/>
  <c r="C4309" i="7"/>
  <c r="L4308" i="7"/>
  <c r="G4308" i="7"/>
  <c r="C4308" i="7"/>
  <c r="L4307" i="7"/>
  <c r="G4307" i="7"/>
  <c r="C4307" i="7"/>
  <c r="L4306" i="7"/>
  <c r="G4306" i="7"/>
  <c r="C4306" i="7"/>
  <c r="L4305" i="7"/>
  <c r="G4305" i="7"/>
  <c r="C4305" i="7"/>
  <c r="L4304" i="7"/>
  <c r="G4304" i="7"/>
  <c r="C4304" i="7"/>
  <c r="K4303" i="7"/>
  <c r="F4303" i="7"/>
  <c r="B4303" i="7"/>
  <c r="K4302" i="7"/>
  <c r="F4302" i="7"/>
  <c r="B4302" i="7"/>
  <c r="K4301" i="7"/>
  <c r="F4301" i="7"/>
  <c r="B4301" i="7"/>
  <c r="K4300" i="7"/>
  <c r="F4300" i="7"/>
  <c r="B4300" i="7"/>
  <c r="K4299" i="7"/>
  <c r="F4299" i="7"/>
  <c r="B4299" i="7"/>
  <c r="K4298" i="7"/>
  <c r="F4298" i="7"/>
  <c r="B4298" i="7"/>
  <c r="K4297" i="7"/>
  <c r="F4297" i="7"/>
  <c r="B4297" i="7"/>
  <c r="K4296" i="7"/>
  <c r="F4296" i="7"/>
  <c r="B4296" i="7"/>
  <c r="K4295" i="7"/>
  <c r="F4295" i="7"/>
  <c r="B4295" i="7"/>
  <c r="K4294" i="7"/>
  <c r="F4294" i="7"/>
  <c r="B4294" i="7"/>
  <c r="K4293" i="7"/>
  <c r="F4293" i="7"/>
  <c r="B4293" i="7"/>
  <c r="K4292" i="7"/>
  <c r="F4292" i="7"/>
  <c r="B4292" i="7"/>
  <c r="K4291" i="7"/>
  <c r="F4291" i="7"/>
  <c r="B4291" i="7"/>
  <c r="K4290" i="7"/>
  <c r="F4290" i="7"/>
  <c r="B4290" i="7"/>
  <c r="K4289" i="7"/>
  <c r="F4289" i="7"/>
  <c r="B4289" i="7"/>
  <c r="K4288" i="7"/>
  <c r="F4288" i="7"/>
  <c r="B4288" i="7"/>
  <c r="K4287" i="7"/>
  <c r="F4287" i="7"/>
  <c r="B4287" i="7"/>
  <c r="K4286" i="7"/>
  <c r="F4286" i="7"/>
  <c r="B4286" i="7"/>
  <c r="K4285" i="7"/>
  <c r="F4285" i="7"/>
  <c r="B4285" i="7"/>
  <c r="K4284" i="7"/>
  <c r="F4284" i="7"/>
  <c r="B4284" i="7"/>
  <c r="K4283" i="7"/>
  <c r="F4283" i="7"/>
  <c r="B4283" i="7"/>
  <c r="K4282" i="7"/>
  <c r="F4282" i="7"/>
  <c r="B4282" i="7"/>
  <c r="J4281" i="7"/>
  <c r="E4281" i="7"/>
  <c r="A4281" i="7"/>
  <c r="N4280" i="7"/>
  <c r="J4280" i="7"/>
  <c r="E4280" i="7"/>
  <c r="A4280" i="7"/>
  <c r="N4279" i="7"/>
  <c r="H4279" i="7"/>
  <c r="D4279" i="7"/>
  <c r="Q4278" i="7"/>
  <c r="M4278" i="7"/>
  <c r="G4278" i="7"/>
  <c r="C4278" i="7"/>
  <c r="L4277" i="7"/>
  <c r="G4277" i="7"/>
  <c r="C4277" i="7"/>
  <c r="L4276" i="7"/>
  <c r="G4276" i="7"/>
  <c r="C4276" i="7"/>
  <c r="L4275" i="7"/>
  <c r="G4275" i="7"/>
  <c r="C4275" i="7"/>
  <c r="L4274" i="7"/>
  <c r="G4274" i="7"/>
  <c r="C4274" i="7"/>
  <c r="L4273" i="7"/>
  <c r="G4273" i="7"/>
  <c r="C4273" i="7"/>
  <c r="L4272" i="7"/>
  <c r="G4272" i="7"/>
  <c r="C4272" i="7"/>
  <c r="L4271" i="7"/>
  <c r="G4271" i="7"/>
  <c r="C4271" i="7"/>
  <c r="L4270" i="7"/>
  <c r="G4270" i="7"/>
  <c r="C4270" i="7"/>
  <c r="K4269" i="7"/>
  <c r="F4269" i="7"/>
  <c r="B4269" i="7"/>
  <c r="K4268" i="7"/>
  <c r="F4268" i="7"/>
  <c r="B4268" i="7"/>
  <c r="K4267" i="7"/>
  <c r="F4267" i="7"/>
  <c r="B4267" i="7"/>
  <c r="K4266" i="7"/>
  <c r="F4266" i="7"/>
  <c r="B4266" i="7"/>
  <c r="K4265" i="7"/>
  <c r="F4265" i="7"/>
  <c r="B4265" i="7"/>
  <c r="K4264" i="7"/>
  <c r="F4264" i="7"/>
  <c r="B4264" i="7"/>
  <c r="K4263" i="7"/>
  <c r="F4263" i="7"/>
  <c r="B4263" i="7"/>
  <c r="J4262" i="7"/>
  <c r="E4262" i="7"/>
  <c r="A4262" i="7"/>
  <c r="N4261" i="7"/>
  <c r="H4261" i="7"/>
  <c r="D4261" i="7"/>
  <c r="Q4260" i="7"/>
  <c r="M4260" i="7"/>
  <c r="H4260" i="7"/>
  <c r="D4260" i="7"/>
  <c r="Q4259" i="7"/>
  <c r="M4259" i="7"/>
  <c r="H4259" i="7"/>
  <c r="D4259" i="7"/>
  <c r="Q4258" i="7"/>
  <c r="M4258" i="7"/>
  <c r="H4258" i="7"/>
  <c r="D4258" i="7"/>
  <c r="Q4257" i="7"/>
  <c r="M4257" i="7"/>
  <c r="H4257" i="7"/>
  <c r="D4257" i="7"/>
  <c r="Q4256" i="7"/>
  <c r="M4256" i="7"/>
  <c r="H4256" i="7"/>
  <c r="D4256" i="7"/>
  <c r="Q4255" i="7"/>
  <c r="M4255" i="7"/>
  <c r="H4255" i="7"/>
  <c r="D4255" i="7"/>
  <c r="Q4254" i="7"/>
  <c r="M4254" i="7"/>
  <c r="H4254" i="7"/>
  <c r="D4254" i="7"/>
  <c r="Q4253" i="7"/>
  <c r="M4253" i="7"/>
  <c r="H4253" i="7"/>
  <c r="D4253" i="7"/>
  <c r="Q4252" i="7"/>
  <c r="M4252" i="7"/>
  <c r="H4252" i="7"/>
  <c r="D4252" i="7"/>
  <c r="Q4251" i="7"/>
  <c r="M4251" i="7"/>
  <c r="H4251" i="7"/>
  <c r="D4251" i="7"/>
  <c r="Q4250" i="7"/>
  <c r="M4250" i="7"/>
  <c r="H4250" i="7"/>
  <c r="D4250" i="7"/>
  <c r="Q4249" i="7"/>
  <c r="M4249" i="7"/>
  <c r="H4249" i="7"/>
  <c r="D4249" i="7"/>
  <c r="Q4248" i="7"/>
  <c r="M4248" i="7"/>
  <c r="H4248" i="7"/>
  <c r="D4248" i="7"/>
  <c r="Q4247" i="7"/>
  <c r="M4247" i="7"/>
  <c r="H4247" i="7"/>
  <c r="D4247" i="7"/>
  <c r="Q4246" i="7"/>
  <c r="M4246" i="7"/>
  <c r="H4246" i="7"/>
  <c r="D4246" i="7"/>
  <c r="Q4245" i="7"/>
  <c r="M4245" i="7"/>
  <c r="H4245" i="7"/>
  <c r="D4245" i="7"/>
  <c r="Q4244" i="7"/>
  <c r="M4244" i="7"/>
  <c r="H4244" i="7"/>
  <c r="D4244" i="7"/>
  <c r="Q4243" i="7"/>
  <c r="M4243" i="7"/>
  <c r="H4243" i="7"/>
  <c r="D4243" i="7"/>
  <c r="Q4242" i="7"/>
  <c r="M4242" i="7"/>
  <c r="H4242" i="7"/>
  <c r="D4242" i="7"/>
  <c r="Q4241" i="7"/>
  <c r="M4241" i="7"/>
  <c r="H4241" i="7"/>
  <c r="D4241" i="7"/>
  <c r="Q4240" i="7"/>
  <c r="M4240" i="7"/>
  <c r="H4240" i="7"/>
  <c r="D4240" i="7"/>
  <c r="Q4239" i="7"/>
  <c r="M4239" i="7"/>
  <c r="H4239" i="7"/>
  <c r="D4239" i="7"/>
  <c r="Q4238" i="7"/>
  <c r="M4238" i="7"/>
  <c r="H4238" i="7"/>
  <c r="D4238" i="7"/>
  <c r="Q4237" i="7"/>
  <c r="M4237" i="7"/>
  <c r="H4237" i="7"/>
  <c r="D4237" i="7"/>
  <c r="Q4236" i="7"/>
  <c r="M4236" i="7"/>
  <c r="H4236" i="7"/>
  <c r="D4236" i="7"/>
  <c r="Q4235" i="7"/>
  <c r="M4235" i="7"/>
  <c r="H4235" i="7"/>
  <c r="D4235" i="7"/>
  <c r="Q4234" i="7"/>
  <c r="M4234" i="7"/>
  <c r="G4234" i="7"/>
  <c r="C4234" i="7"/>
  <c r="K4233" i="7"/>
  <c r="F4233" i="7"/>
  <c r="B4233" i="7"/>
  <c r="J4232" i="7"/>
  <c r="E4232" i="7"/>
  <c r="A4232" i="7"/>
  <c r="N4231" i="7"/>
  <c r="H4231" i="7"/>
  <c r="D4231" i="7"/>
  <c r="Q4230" i="7"/>
  <c r="M4230" i="7"/>
  <c r="H4230" i="7"/>
  <c r="D4230" i="7"/>
  <c r="Q4229" i="7"/>
  <c r="M4229" i="7"/>
  <c r="H4229" i="7"/>
  <c r="D4229" i="7"/>
  <c r="Q4228" i="7"/>
  <c r="M4228" i="7"/>
  <c r="G4228" i="7"/>
  <c r="C4228" i="7"/>
  <c r="K4227" i="7"/>
  <c r="F4227" i="7"/>
  <c r="B4227" i="7"/>
  <c r="J4226" i="7"/>
  <c r="E4226" i="7"/>
  <c r="A4226" i="7"/>
  <c r="N4225" i="7"/>
  <c r="J4225" i="7"/>
  <c r="E4225" i="7"/>
  <c r="A4225" i="7"/>
  <c r="N4224" i="7"/>
  <c r="H4224" i="7"/>
  <c r="D4224" i="7"/>
  <c r="Q4223" i="7"/>
  <c r="M4223" i="7"/>
  <c r="H4223" i="7"/>
  <c r="D4223" i="7"/>
  <c r="Q4222" i="7"/>
  <c r="M4222" i="7"/>
  <c r="G4222" i="7"/>
  <c r="C4222" i="7"/>
  <c r="L4221" i="7"/>
  <c r="G4221" i="7"/>
  <c r="C4221" i="7"/>
  <c r="L4220" i="7"/>
  <c r="G4220" i="7"/>
  <c r="C4220" i="7"/>
  <c r="L4219" i="7"/>
  <c r="G4219" i="7"/>
  <c r="C4219" i="7"/>
  <c r="L4218" i="7"/>
  <c r="G4218" i="7"/>
  <c r="C4218" i="7"/>
  <c r="L4217" i="7"/>
  <c r="G4217" i="7"/>
  <c r="C4217" i="7"/>
  <c r="L4216" i="7"/>
  <c r="G4216" i="7"/>
  <c r="C4216" i="7"/>
  <c r="L4215" i="7"/>
  <c r="G4215" i="7"/>
  <c r="C4215" i="7"/>
  <c r="L4214" i="7"/>
  <c r="G4214" i="7"/>
  <c r="C4214" i="7"/>
  <c r="L4213" i="7"/>
  <c r="G4213" i="7"/>
  <c r="C4213" i="7"/>
  <c r="L4212" i="7"/>
  <c r="G4212" i="7"/>
  <c r="C4212" i="7"/>
  <c r="L4211" i="7"/>
  <c r="G4211" i="7"/>
  <c r="C4211" i="7"/>
  <c r="L4210" i="7"/>
  <c r="G4210" i="7"/>
  <c r="C4210" i="7"/>
  <c r="L4209" i="7"/>
  <c r="G4209" i="7"/>
  <c r="C4209" i="7"/>
  <c r="L4208" i="7"/>
  <c r="G4208" i="7"/>
  <c r="C4208" i="7"/>
  <c r="L4207" i="7"/>
  <c r="G4207" i="7"/>
  <c r="C4207" i="7"/>
  <c r="J4337" i="7"/>
  <c r="N4336" i="7"/>
  <c r="A4335" i="7"/>
  <c r="H4334" i="7"/>
  <c r="Q4333" i="7"/>
  <c r="J4333" i="7"/>
  <c r="A4333" i="7"/>
  <c r="J4332" i="7"/>
  <c r="E4332" i="7"/>
  <c r="Q4331" i="7"/>
  <c r="K4331" i="7"/>
  <c r="F4331" i="7"/>
  <c r="A4331" i="7"/>
  <c r="L4330" i="7"/>
  <c r="F4330" i="7"/>
  <c r="A4330" i="7"/>
  <c r="L4329" i="7"/>
  <c r="F4329" i="7"/>
  <c r="A4329" i="7"/>
  <c r="L4328" i="7"/>
  <c r="F4328" i="7"/>
  <c r="A4328" i="7"/>
  <c r="L4327" i="7"/>
  <c r="F4327" i="7"/>
  <c r="B4327" i="7"/>
  <c r="K4326" i="7"/>
  <c r="F4326" i="7"/>
  <c r="B4326" i="7"/>
  <c r="K4325" i="7"/>
  <c r="F4325" i="7"/>
  <c r="B4325" i="7"/>
  <c r="J4324" i="7"/>
  <c r="F4324" i="7"/>
  <c r="B4324" i="7"/>
  <c r="K4323" i="7"/>
  <c r="F4323" i="7"/>
  <c r="B4323" i="7"/>
  <c r="K4322" i="7"/>
  <c r="F4322" i="7"/>
  <c r="B4322" i="7"/>
  <c r="K4321" i="7"/>
  <c r="F4321" i="7"/>
  <c r="B4321" i="7"/>
  <c r="K4320" i="7"/>
  <c r="F4320" i="7"/>
  <c r="B4320" i="7"/>
  <c r="K4319" i="7"/>
  <c r="F4319" i="7"/>
  <c r="B4319" i="7"/>
  <c r="K4318" i="7"/>
  <c r="F4318" i="7"/>
  <c r="B4318" i="7"/>
  <c r="K4317" i="7"/>
  <c r="F4317" i="7"/>
  <c r="B4317" i="7"/>
  <c r="K4316" i="7"/>
  <c r="F4316" i="7"/>
  <c r="B4316" i="7"/>
  <c r="K4315" i="7"/>
  <c r="F4315" i="7"/>
  <c r="B4315" i="7"/>
  <c r="K4314" i="7"/>
  <c r="F4314" i="7"/>
  <c r="B4314" i="7"/>
  <c r="K4313" i="7"/>
  <c r="F4313" i="7"/>
  <c r="B4313" i="7"/>
  <c r="K4312" i="7"/>
  <c r="F4312" i="7"/>
  <c r="B4312" i="7"/>
  <c r="K4311" i="7"/>
  <c r="F4311" i="7"/>
  <c r="B4311" i="7"/>
  <c r="K4310" i="7"/>
  <c r="F4310" i="7"/>
  <c r="B4310" i="7"/>
  <c r="K4309" i="7"/>
  <c r="F4309" i="7"/>
  <c r="B4309" i="7"/>
  <c r="K4308" i="7"/>
  <c r="F4308" i="7"/>
  <c r="B4308" i="7"/>
  <c r="K4307" i="7"/>
  <c r="F4307" i="7"/>
  <c r="B4307" i="7"/>
  <c r="K4306" i="7"/>
  <c r="F4306" i="7"/>
  <c r="B4306" i="7"/>
  <c r="K4305" i="7"/>
  <c r="F4305" i="7"/>
  <c r="B4305" i="7"/>
  <c r="K4304" i="7"/>
  <c r="F4304" i="7"/>
  <c r="B4304" i="7"/>
  <c r="J4303" i="7"/>
  <c r="E4303" i="7"/>
  <c r="A4303" i="7"/>
  <c r="N4302" i="7"/>
  <c r="J4302" i="7"/>
  <c r="E4302" i="7"/>
  <c r="A4302" i="7"/>
  <c r="N4301" i="7"/>
  <c r="J4301" i="7"/>
  <c r="E4301" i="7"/>
  <c r="A4301" i="7"/>
  <c r="N4300" i="7"/>
  <c r="J4300" i="7"/>
  <c r="E4300" i="7"/>
  <c r="A4300" i="7"/>
  <c r="N4299" i="7"/>
  <c r="J4299" i="7"/>
  <c r="E4299" i="7"/>
  <c r="A4299" i="7"/>
  <c r="N4298" i="7"/>
  <c r="J4298" i="7"/>
  <c r="E4298" i="7"/>
  <c r="A4298" i="7"/>
  <c r="N4297" i="7"/>
  <c r="J4297" i="7"/>
  <c r="E4297" i="7"/>
  <c r="A4297" i="7"/>
  <c r="N4296" i="7"/>
  <c r="J4296" i="7"/>
  <c r="E4296" i="7"/>
  <c r="A4296" i="7"/>
  <c r="N4295" i="7"/>
  <c r="J4295" i="7"/>
  <c r="E4295" i="7"/>
  <c r="A4295" i="7"/>
  <c r="N4294" i="7"/>
  <c r="J4294" i="7"/>
  <c r="E4294" i="7"/>
  <c r="A4294" i="7"/>
  <c r="N4293" i="7"/>
  <c r="J4293" i="7"/>
  <c r="E4293" i="7"/>
  <c r="A4293" i="7"/>
  <c r="N4292" i="7"/>
  <c r="J4292" i="7"/>
  <c r="E4292" i="7"/>
  <c r="A4292" i="7"/>
  <c r="N4291" i="7"/>
  <c r="J4291" i="7"/>
  <c r="E4291" i="7"/>
  <c r="A4291" i="7"/>
  <c r="N4290" i="7"/>
  <c r="J4290" i="7"/>
  <c r="E4290" i="7"/>
  <c r="A4290" i="7"/>
  <c r="N4289" i="7"/>
  <c r="J4289" i="7"/>
  <c r="E4289" i="7"/>
  <c r="A4289" i="7"/>
  <c r="N4288" i="7"/>
  <c r="J4288" i="7"/>
  <c r="E4288" i="7"/>
  <c r="A4288" i="7"/>
  <c r="N4287" i="7"/>
  <c r="J4287" i="7"/>
  <c r="E4287" i="7"/>
  <c r="A4287" i="7"/>
  <c r="N4286" i="7"/>
  <c r="J4286" i="7"/>
  <c r="E4286" i="7"/>
  <c r="A4286" i="7"/>
  <c r="N4285" i="7"/>
  <c r="J4285" i="7"/>
  <c r="E4285" i="7"/>
  <c r="A4285" i="7"/>
  <c r="N4284" i="7"/>
  <c r="J4284" i="7"/>
  <c r="E4284" i="7"/>
  <c r="A4284" i="7"/>
  <c r="N4283" i="7"/>
  <c r="J4283" i="7"/>
  <c r="E4283" i="7"/>
  <c r="A4283" i="7"/>
  <c r="N4282" i="7"/>
  <c r="J4282" i="7"/>
  <c r="E4282" i="7"/>
  <c r="A4282" i="7"/>
  <c r="N4281" i="7"/>
  <c r="H4281" i="7"/>
  <c r="D4281" i="7"/>
  <c r="Q4280" i="7"/>
  <c r="M4280" i="7"/>
  <c r="H4280" i="7"/>
  <c r="D4280" i="7"/>
  <c r="Q4279" i="7"/>
  <c r="M4279" i="7"/>
  <c r="G4279" i="7"/>
  <c r="C4279" i="7"/>
  <c r="K4278" i="7"/>
  <c r="F4278" i="7"/>
  <c r="B4278" i="7"/>
  <c r="K4277" i="7"/>
  <c r="F4277" i="7"/>
  <c r="B4277" i="7"/>
  <c r="K4276" i="7"/>
  <c r="F4276" i="7"/>
  <c r="B4276" i="7"/>
  <c r="K4275" i="7"/>
  <c r="F4275" i="7"/>
  <c r="B4275" i="7"/>
  <c r="K4274" i="7"/>
  <c r="F4274" i="7"/>
  <c r="B4274" i="7"/>
  <c r="K4273" i="7"/>
  <c r="F4273" i="7"/>
  <c r="B4273" i="7"/>
  <c r="K4272" i="7"/>
  <c r="F4272" i="7"/>
  <c r="B4272" i="7"/>
  <c r="K4271" i="7"/>
  <c r="F4271" i="7"/>
  <c r="B4271" i="7"/>
  <c r="K4270" i="7"/>
  <c r="F4270" i="7"/>
  <c r="B4270" i="7"/>
  <c r="J4269" i="7"/>
  <c r="E4269" i="7"/>
  <c r="A4269" i="7"/>
  <c r="N4268" i="7"/>
  <c r="J4268" i="7"/>
  <c r="E4268" i="7"/>
  <c r="A4268" i="7"/>
  <c r="N4267" i="7"/>
  <c r="J4267" i="7"/>
  <c r="E4267" i="7"/>
  <c r="A4267" i="7"/>
  <c r="N4266" i="7"/>
  <c r="J4266" i="7"/>
  <c r="E4266" i="7"/>
  <c r="A4266" i="7"/>
  <c r="N4265" i="7"/>
  <c r="J4265" i="7"/>
  <c r="E4265" i="7"/>
  <c r="A4265" i="7"/>
  <c r="N4264" i="7"/>
  <c r="J4264" i="7"/>
  <c r="E4264" i="7"/>
  <c r="A4264" i="7"/>
  <c r="N4263" i="7"/>
  <c r="J4263" i="7"/>
  <c r="E4263" i="7"/>
  <c r="A4263" i="7"/>
  <c r="N4262" i="7"/>
  <c r="H4262" i="7"/>
  <c r="D4262" i="7"/>
  <c r="Q4261" i="7"/>
  <c r="M4261" i="7"/>
  <c r="G4261" i="7"/>
  <c r="C4261" i="7"/>
  <c r="L4260" i="7"/>
  <c r="G4260" i="7"/>
  <c r="C4260" i="7"/>
  <c r="L4259" i="7"/>
  <c r="G4259" i="7"/>
  <c r="C4259" i="7"/>
  <c r="L4258" i="7"/>
  <c r="G4258" i="7"/>
  <c r="C4258" i="7"/>
  <c r="L4257" i="7"/>
  <c r="G4257" i="7"/>
  <c r="C4257" i="7"/>
  <c r="L4256" i="7"/>
  <c r="G4256" i="7"/>
  <c r="C4256" i="7"/>
  <c r="L4255" i="7"/>
  <c r="G4255" i="7"/>
  <c r="C4255" i="7"/>
  <c r="L4254" i="7"/>
  <c r="G4254" i="7"/>
  <c r="C4254" i="7"/>
  <c r="L4253" i="7"/>
  <c r="G4253" i="7"/>
  <c r="C4253" i="7"/>
  <c r="L4252" i="7"/>
  <c r="G4252" i="7"/>
  <c r="C4252" i="7"/>
  <c r="L4251" i="7"/>
  <c r="G4251" i="7"/>
  <c r="C4251" i="7"/>
  <c r="L4250" i="7"/>
  <c r="G4250" i="7"/>
  <c r="C4250" i="7"/>
  <c r="L4249" i="7"/>
  <c r="G4249" i="7"/>
  <c r="C4249" i="7"/>
  <c r="L4248" i="7"/>
  <c r="G4248" i="7"/>
  <c r="C4248" i="7"/>
  <c r="L4247" i="7"/>
  <c r="G4247" i="7"/>
  <c r="C4247" i="7"/>
  <c r="L4246" i="7"/>
  <c r="G4246" i="7"/>
  <c r="C4246" i="7"/>
  <c r="L4245" i="7"/>
  <c r="G4245" i="7"/>
  <c r="C4245" i="7"/>
  <c r="L4244" i="7"/>
  <c r="G4244" i="7"/>
  <c r="C4244" i="7"/>
  <c r="L4243" i="7"/>
  <c r="G4243" i="7"/>
  <c r="C4243" i="7"/>
  <c r="L4242" i="7"/>
  <c r="G4242" i="7"/>
  <c r="C4242" i="7"/>
  <c r="L4241" i="7"/>
  <c r="G4241" i="7"/>
  <c r="C4241" i="7"/>
  <c r="L4240" i="7"/>
  <c r="G4240" i="7"/>
  <c r="C4240" i="7"/>
  <c r="L4239" i="7"/>
  <c r="G4239" i="7"/>
  <c r="C4239" i="7"/>
  <c r="L4238" i="7"/>
  <c r="G4238" i="7"/>
  <c r="C4238" i="7"/>
  <c r="L4237" i="7"/>
  <c r="G4237" i="7"/>
  <c r="C4237" i="7"/>
  <c r="L4236" i="7"/>
  <c r="G4236" i="7"/>
  <c r="C4236" i="7"/>
  <c r="L4235" i="7"/>
  <c r="G4235" i="7"/>
  <c r="C4235" i="7"/>
  <c r="K4234" i="7"/>
  <c r="F4234" i="7"/>
  <c r="B4234" i="7"/>
  <c r="J4233" i="7"/>
  <c r="E4233" i="7"/>
  <c r="A4233" i="7"/>
  <c r="N4232" i="7"/>
  <c r="H4232" i="7"/>
  <c r="D4232" i="7"/>
  <c r="Q4231" i="7"/>
  <c r="M4231" i="7"/>
  <c r="G4231" i="7"/>
  <c r="C4231" i="7"/>
  <c r="L4230" i="7"/>
  <c r="G4230" i="7"/>
  <c r="C4230" i="7"/>
  <c r="L4229" i="7"/>
  <c r="G4229" i="7"/>
  <c r="C4229" i="7"/>
  <c r="K4228" i="7"/>
  <c r="F4228" i="7"/>
  <c r="B4228" i="7"/>
  <c r="J4227" i="7"/>
  <c r="E4227" i="7"/>
  <c r="A4227" i="7"/>
  <c r="N4226" i="7"/>
  <c r="H4226" i="7"/>
  <c r="D4226" i="7"/>
  <c r="Q4225" i="7"/>
  <c r="M4225" i="7"/>
  <c r="H4225" i="7"/>
  <c r="D4225" i="7"/>
  <c r="Q4224" i="7"/>
  <c r="M4224" i="7"/>
  <c r="G4224" i="7"/>
  <c r="C4224" i="7"/>
  <c r="L4223" i="7"/>
  <c r="G4223" i="7"/>
  <c r="C4223" i="7"/>
  <c r="K4222" i="7"/>
  <c r="F4222" i="7"/>
  <c r="B4222" i="7"/>
  <c r="K4221" i="7"/>
  <c r="F4221" i="7"/>
  <c r="B4221" i="7"/>
  <c r="K4220" i="7"/>
  <c r="F4220" i="7"/>
  <c r="B4220" i="7"/>
  <c r="K4219" i="7"/>
  <c r="F4219" i="7"/>
  <c r="B4219" i="7"/>
  <c r="K4218" i="7"/>
  <c r="F4218" i="7"/>
  <c r="B4218" i="7"/>
  <c r="K4217" i="7"/>
  <c r="F4217" i="7"/>
  <c r="B4217" i="7"/>
  <c r="K4216" i="7"/>
  <c r="F4216" i="7"/>
  <c r="B4216" i="7"/>
  <c r="K4215" i="7"/>
  <c r="F4215" i="7"/>
  <c r="B4215" i="7"/>
  <c r="K4214" i="7"/>
  <c r="F4214" i="7"/>
  <c r="B4214" i="7"/>
  <c r="K4213" i="7"/>
  <c r="F4213" i="7"/>
  <c r="B4213" i="7"/>
  <c r="K4212" i="7"/>
  <c r="F4212" i="7"/>
  <c r="B4212" i="7"/>
  <c r="K4211" i="7"/>
  <c r="F4211" i="7"/>
  <c r="B4211" i="7"/>
  <c r="K4210" i="7"/>
  <c r="F4210" i="7"/>
  <c r="B4210" i="7"/>
  <c r="K4209" i="7"/>
  <c r="F4209" i="7"/>
  <c r="B4209" i="7"/>
  <c r="K4208" i="7"/>
  <c r="F4208" i="7"/>
  <c r="B4208" i="7"/>
  <c r="K4207" i="7"/>
  <c r="F4207" i="7"/>
  <c r="B4207" i="7"/>
  <c r="K4206" i="7"/>
  <c r="F4206" i="7"/>
  <c r="B4206" i="7"/>
  <c r="K4205" i="7"/>
  <c r="F4205" i="7"/>
  <c r="B4205" i="7"/>
  <c r="J4204" i="7"/>
  <c r="F4204" i="7"/>
  <c r="B4204" i="7"/>
  <c r="J4203" i="7"/>
  <c r="F4203" i="7"/>
  <c r="B4203" i="7"/>
  <c r="A4338" i="7"/>
  <c r="E4337" i="7"/>
  <c r="J4336" i="7"/>
  <c r="N4335" i="7"/>
  <c r="E4334" i="7"/>
  <c r="H4333" i="7"/>
  <c r="Q4332" i="7"/>
  <c r="I4332" i="7"/>
  <c r="D4332" i="7"/>
  <c r="J4331" i="7"/>
  <c r="E4331" i="7"/>
  <c r="K4330" i="7"/>
  <c r="E4330" i="7"/>
  <c r="K4329" i="7"/>
  <c r="E4329" i="7"/>
  <c r="K4328" i="7"/>
  <c r="E4328" i="7"/>
  <c r="K4327" i="7"/>
  <c r="E4327" i="7"/>
  <c r="A4327" i="7"/>
  <c r="N4326" i="7"/>
  <c r="J4326" i="7"/>
  <c r="E4326" i="7"/>
  <c r="A4326" i="7"/>
  <c r="N4325" i="7"/>
  <c r="J4325" i="7"/>
  <c r="E4325" i="7"/>
  <c r="A4325" i="7"/>
  <c r="M4324" i="7"/>
  <c r="I4324" i="7"/>
  <c r="E4324" i="7"/>
  <c r="A4324" i="7"/>
  <c r="N4323" i="7"/>
  <c r="J4323" i="7"/>
  <c r="E4323" i="7"/>
  <c r="A4323" i="7"/>
  <c r="N4322" i="7"/>
  <c r="J4322" i="7"/>
  <c r="E4322" i="7"/>
  <c r="A4322" i="7"/>
  <c r="N4321" i="7"/>
  <c r="J4321" i="7"/>
  <c r="E4321" i="7"/>
  <c r="A4321" i="7"/>
  <c r="N4320" i="7"/>
  <c r="J4320" i="7"/>
  <c r="E4320" i="7"/>
  <c r="A4320" i="7"/>
  <c r="N4319" i="7"/>
  <c r="J4319" i="7"/>
  <c r="E4319" i="7"/>
  <c r="A4319" i="7"/>
  <c r="N4318" i="7"/>
  <c r="J4318" i="7"/>
  <c r="E4318" i="7"/>
  <c r="A4318" i="7"/>
  <c r="N4317" i="7"/>
  <c r="J4317" i="7"/>
  <c r="E4317" i="7"/>
  <c r="A4317" i="7"/>
  <c r="N4316" i="7"/>
  <c r="J4316" i="7"/>
  <c r="E4316" i="7"/>
  <c r="A4316" i="7"/>
  <c r="N4315" i="7"/>
  <c r="J4315" i="7"/>
  <c r="E4315" i="7"/>
  <c r="A4315" i="7"/>
  <c r="N4314" i="7"/>
  <c r="J4314" i="7"/>
  <c r="E4314" i="7"/>
  <c r="A4314" i="7"/>
  <c r="N4313" i="7"/>
  <c r="J4313" i="7"/>
  <c r="E4313" i="7"/>
  <c r="A4313" i="7"/>
  <c r="N4312" i="7"/>
  <c r="J4312" i="7"/>
  <c r="E4312" i="7"/>
  <c r="A4312" i="7"/>
  <c r="N4311" i="7"/>
  <c r="J4311" i="7"/>
  <c r="E4311" i="7"/>
  <c r="A4311" i="7"/>
  <c r="N4310" i="7"/>
  <c r="J4310" i="7"/>
  <c r="E4310" i="7"/>
  <c r="A4310" i="7"/>
  <c r="N4309" i="7"/>
  <c r="J4309" i="7"/>
  <c r="E4309" i="7"/>
  <c r="A4309" i="7"/>
  <c r="N4308" i="7"/>
  <c r="J4308" i="7"/>
  <c r="E4308" i="7"/>
  <c r="A4308" i="7"/>
  <c r="N4307" i="7"/>
  <c r="J4307" i="7"/>
  <c r="E4307" i="7"/>
  <c r="A4307" i="7"/>
  <c r="N4306" i="7"/>
  <c r="J4306" i="7"/>
  <c r="E4306" i="7"/>
  <c r="A4306" i="7"/>
  <c r="N4305" i="7"/>
  <c r="J4305" i="7"/>
  <c r="E4305" i="7"/>
  <c r="A4305" i="7"/>
  <c r="N4304" i="7"/>
  <c r="J4304" i="7"/>
  <c r="E4304" i="7"/>
  <c r="A4304" i="7"/>
  <c r="N4303" i="7"/>
  <c r="H4303" i="7"/>
  <c r="D4303" i="7"/>
  <c r="Q4302" i="7"/>
  <c r="M4302" i="7"/>
  <c r="H4302" i="7"/>
  <c r="D4302" i="7"/>
  <c r="Q4301" i="7"/>
  <c r="M4301" i="7"/>
  <c r="H4301" i="7"/>
  <c r="D4301" i="7"/>
  <c r="Q4300" i="7"/>
  <c r="M4300" i="7"/>
  <c r="H4300" i="7"/>
  <c r="D4300" i="7"/>
  <c r="Q4299" i="7"/>
  <c r="M4299" i="7"/>
  <c r="H4299" i="7"/>
  <c r="D4299" i="7"/>
  <c r="Q4298" i="7"/>
  <c r="M4298" i="7"/>
  <c r="H4298" i="7"/>
  <c r="D4298" i="7"/>
  <c r="Q4297" i="7"/>
  <c r="M4297" i="7"/>
  <c r="H4297" i="7"/>
  <c r="D4297" i="7"/>
  <c r="Q4296" i="7"/>
  <c r="M4296" i="7"/>
  <c r="H4296" i="7"/>
  <c r="D4296" i="7"/>
  <c r="Q4295" i="7"/>
  <c r="M4295" i="7"/>
  <c r="H4295" i="7"/>
  <c r="D4295" i="7"/>
  <c r="Q4294" i="7"/>
  <c r="M4294" i="7"/>
  <c r="H4294" i="7"/>
  <c r="D4294" i="7"/>
  <c r="Q4293" i="7"/>
  <c r="M4293" i="7"/>
  <c r="H4293" i="7"/>
  <c r="D4293" i="7"/>
  <c r="Q4292" i="7"/>
  <c r="M4292" i="7"/>
  <c r="H4292" i="7"/>
  <c r="D4292" i="7"/>
  <c r="Q4291" i="7"/>
  <c r="M4291" i="7"/>
  <c r="H4291" i="7"/>
  <c r="D4291" i="7"/>
  <c r="Q4290" i="7"/>
  <c r="M4290" i="7"/>
  <c r="H4290" i="7"/>
  <c r="D4290" i="7"/>
  <c r="Q4289" i="7"/>
  <c r="M4289" i="7"/>
  <c r="H4289" i="7"/>
  <c r="D4289" i="7"/>
  <c r="Q4288" i="7"/>
  <c r="M4288" i="7"/>
  <c r="H4288" i="7"/>
  <c r="D4288" i="7"/>
  <c r="Q4287" i="7"/>
  <c r="M4287" i="7"/>
  <c r="H4287" i="7"/>
  <c r="D4287" i="7"/>
  <c r="Q4286" i="7"/>
  <c r="M4286" i="7"/>
  <c r="H4286" i="7"/>
  <c r="D4286" i="7"/>
  <c r="Q4285" i="7"/>
  <c r="M4285" i="7"/>
  <c r="H4285" i="7"/>
  <c r="D4285" i="7"/>
  <c r="Q4284" i="7"/>
  <c r="M4284" i="7"/>
  <c r="H4284" i="7"/>
  <c r="D4284" i="7"/>
  <c r="Q4283" i="7"/>
  <c r="M4283" i="7"/>
  <c r="H4283" i="7"/>
  <c r="D4283" i="7"/>
  <c r="Q4282" i="7"/>
  <c r="M4282" i="7"/>
  <c r="H4282" i="7"/>
  <c r="D4282" i="7"/>
  <c r="Q4281" i="7"/>
  <c r="M4281" i="7"/>
  <c r="G4281" i="7"/>
  <c r="C4281" i="7"/>
  <c r="L4280" i="7"/>
  <c r="G4280" i="7"/>
  <c r="C4280" i="7"/>
  <c r="K4279" i="7"/>
  <c r="F4279" i="7"/>
  <c r="B4279" i="7"/>
  <c r="J4278" i="7"/>
  <c r="E4278" i="7"/>
  <c r="A4278" i="7"/>
  <c r="N4277" i="7"/>
  <c r="J4277" i="7"/>
  <c r="E4277" i="7"/>
  <c r="A4277" i="7"/>
  <c r="N4276" i="7"/>
  <c r="J4276" i="7"/>
  <c r="E4276" i="7"/>
  <c r="A4276" i="7"/>
  <c r="N4275" i="7"/>
  <c r="J4275" i="7"/>
  <c r="E4275" i="7"/>
  <c r="A4275" i="7"/>
  <c r="N4274" i="7"/>
  <c r="J4274" i="7"/>
  <c r="E4274" i="7"/>
  <c r="A4274" i="7"/>
  <c r="N4273" i="7"/>
  <c r="J4273" i="7"/>
  <c r="E4273" i="7"/>
  <c r="A4273" i="7"/>
  <c r="N4272" i="7"/>
  <c r="J4272" i="7"/>
  <c r="E4272" i="7"/>
  <c r="A4272" i="7"/>
  <c r="N4271" i="7"/>
  <c r="J4271" i="7"/>
  <c r="E4271" i="7"/>
  <c r="A4271" i="7"/>
  <c r="N4270" i="7"/>
  <c r="J4270" i="7"/>
  <c r="E4270" i="7"/>
  <c r="A4270" i="7"/>
  <c r="N4269" i="7"/>
  <c r="H4269" i="7"/>
  <c r="D4269" i="7"/>
  <c r="Q4268" i="7"/>
  <c r="M4268" i="7"/>
  <c r="H4268" i="7"/>
  <c r="D4268" i="7"/>
  <c r="Q4267" i="7"/>
  <c r="M4267" i="7"/>
  <c r="H4267" i="7"/>
  <c r="D4267" i="7"/>
  <c r="Q4266" i="7"/>
  <c r="M4266" i="7"/>
  <c r="H4266" i="7"/>
  <c r="D4266" i="7"/>
  <c r="Q4265" i="7"/>
  <c r="M4265" i="7"/>
  <c r="H4265" i="7"/>
  <c r="D4265" i="7"/>
  <c r="Q4264" i="7"/>
  <c r="M4264" i="7"/>
  <c r="H4264" i="7"/>
  <c r="D4264" i="7"/>
  <c r="Q4263" i="7"/>
  <c r="M4263" i="7"/>
  <c r="H4263" i="7"/>
  <c r="D4263" i="7"/>
  <c r="Q4262" i="7"/>
  <c r="L4262" i="7"/>
  <c r="G4262" i="7"/>
  <c r="C4262" i="7"/>
  <c r="K4261" i="7"/>
  <c r="F4261" i="7"/>
  <c r="B4261" i="7"/>
  <c r="K4260" i="7"/>
  <c r="F4260" i="7"/>
  <c r="B4260" i="7"/>
  <c r="K4259" i="7"/>
  <c r="F4259" i="7"/>
  <c r="B4259" i="7"/>
  <c r="K4258" i="7"/>
  <c r="F4258" i="7"/>
  <c r="B4258" i="7"/>
  <c r="K4257" i="7"/>
  <c r="F4257" i="7"/>
  <c r="B4257" i="7"/>
  <c r="K4256" i="7"/>
  <c r="F4256" i="7"/>
  <c r="B4256" i="7"/>
  <c r="K4255" i="7"/>
  <c r="F4255" i="7"/>
  <c r="B4255" i="7"/>
  <c r="K4254" i="7"/>
  <c r="F4254" i="7"/>
  <c r="B4254" i="7"/>
  <c r="K4253" i="7"/>
  <c r="F4253" i="7"/>
  <c r="B4253" i="7"/>
  <c r="K4252" i="7"/>
  <c r="F4252" i="7"/>
  <c r="B4252" i="7"/>
  <c r="K4251" i="7"/>
  <c r="F4251" i="7"/>
  <c r="B4251" i="7"/>
  <c r="K4250" i="7"/>
  <c r="F4250" i="7"/>
  <c r="B4250" i="7"/>
  <c r="K4249" i="7"/>
  <c r="F4249" i="7"/>
  <c r="B4249" i="7"/>
  <c r="K4248" i="7"/>
  <c r="F4248" i="7"/>
  <c r="B4248" i="7"/>
  <c r="K4247" i="7"/>
  <c r="F4247" i="7"/>
  <c r="B4247" i="7"/>
  <c r="K4246" i="7"/>
  <c r="F4246" i="7"/>
  <c r="B4246" i="7"/>
  <c r="K4245" i="7"/>
  <c r="F4245" i="7"/>
  <c r="B4245" i="7"/>
  <c r="K4244" i="7"/>
  <c r="F4244" i="7"/>
  <c r="B4244" i="7"/>
  <c r="K4243" i="7"/>
  <c r="F4243" i="7"/>
  <c r="B4243" i="7"/>
  <c r="K4242" i="7"/>
  <c r="F4242" i="7"/>
  <c r="B4242" i="7"/>
  <c r="K4241" i="7"/>
  <c r="F4241" i="7"/>
  <c r="B4241" i="7"/>
  <c r="K4240" i="7"/>
  <c r="F4240" i="7"/>
  <c r="B4240" i="7"/>
  <c r="K4239" i="7"/>
  <c r="F4239" i="7"/>
  <c r="B4239" i="7"/>
  <c r="K4238" i="7"/>
  <c r="F4238" i="7"/>
  <c r="B4238" i="7"/>
  <c r="K4237" i="7"/>
  <c r="F4237" i="7"/>
  <c r="B4237" i="7"/>
  <c r="K4236" i="7"/>
  <c r="F4236" i="7"/>
  <c r="B4236" i="7"/>
  <c r="K4235" i="7"/>
  <c r="F4235" i="7"/>
  <c r="B4235" i="7"/>
  <c r="J4234" i="7"/>
  <c r="E4234" i="7"/>
  <c r="A4234" i="7"/>
  <c r="N4233" i="7"/>
  <c r="H4233" i="7"/>
  <c r="D4233" i="7"/>
  <c r="Q4232" i="7"/>
  <c r="M4232" i="7"/>
  <c r="G4232" i="7"/>
  <c r="C4232" i="7"/>
  <c r="K4231" i="7"/>
  <c r="F4231" i="7"/>
  <c r="B4231" i="7"/>
  <c r="K4230" i="7"/>
  <c r="F4230" i="7"/>
  <c r="B4230" i="7"/>
  <c r="K4229" i="7"/>
  <c r="F4229" i="7"/>
  <c r="B4229" i="7"/>
  <c r="J4228" i="7"/>
  <c r="E4228" i="7"/>
  <c r="A4228" i="7"/>
  <c r="N4227" i="7"/>
  <c r="H4227" i="7"/>
  <c r="D4227" i="7"/>
  <c r="Q4226" i="7"/>
  <c r="M4226" i="7"/>
  <c r="G4226" i="7"/>
  <c r="C4226" i="7"/>
  <c r="L4225" i="7"/>
  <c r="G4225" i="7"/>
  <c r="C4225" i="7"/>
  <c r="K4224" i="7"/>
  <c r="F4224" i="7"/>
  <c r="B4224" i="7"/>
  <c r="K4223" i="7"/>
  <c r="F4223" i="7"/>
  <c r="B4223" i="7"/>
  <c r="J4222" i="7"/>
  <c r="E4222" i="7"/>
  <c r="A4222" i="7"/>
  <c r="N4221" i="7"/>
  <c r="J4221" i="7"/>
  <c r="E4221" i="7"/>
  <c r="A4221" i="7"/>
  <c r="N4220" i="7"/>
  <c r="J4220" i="7"/>
  <c r="E4220" i="7"/>
  <c r="A4220" i="7"/>
  <c r="N4219" i="7"/>
  <c r="J4219" i="7"/>
  <c r="E4219" i="7"/>
  <c r="A4219" i="7"/>
  <c r="N4218" i="7"/>
  <c r="J4218" i="7"/>
  <c r="E4218" i="7"/>
  <c r="A4218" i="7"/>
  <c r="N4217" i="7"/>
  <c r="J4217" i="7"/>
  <c r="E4217" i="7"/>
  <c r="A4217" i="7"/>
  <c r="N4216" i="7"/>
  <c r="J4216" i="7"/>
  <c r="E4216" i="7"/>
  <c r="A4216" i="7"/>
  <c r="N4215" i="7"/>
  <c r="J4215" i="7"/>
  <c r="E4215" i="7"/>
  <c r="A4215" i="7"/>
  <c r="N4214" i="7"/>
  <c r="J4214" i="7"/>
  <c r="E4214" i="7"/>
  <c r="A4214" i="7"/>
  <c r="N4213" i="7"/>
  <c r="J4213" i="7"/>
  <c r="E4213" i="7"/>
  <c r="A4213" i="7"/>
  <c r="N4212" i="7"/>
  <c r="J4212" i="7"/>
  <c r="E4212" i="7"/>
  <c r="A4212" i="7"/>
  <c r="N4211" i="7"/>
  <c r="J4211" i="7"/>
  <c r="E4211" i="7"/>
  <c r="A4211" i="7"/>
  <c r="N4210" i="7"/>
  <c r="J4210" i="7"/>
  <c r="E4210" i="7"/>
  <c r="A4210" i="7"/>
  <c r="N4209" i="7"/>
  <c r="J4209" i="7"/>
  <c r="E4209" i="7"/>
  <c r="A4209" i="7"/>
  <c r="N4208" i="7"/>
  <c r="J4208" i="7"/>
  <c r="E4208" i="7"/>
  <c r="A4208" i="7"/>
  <c r="N4207" i="7"/>
  <c r="J4207" i="7"/>
  <c r="E4207" i="7"/>
  <c r="A4207" i="7"/>
  <c r="N4206" i="7"/>
  <c r="J4206" i="7"/>
  <c r="E4206" i="7"/>
  <c r="A4206" i="7"/>
  <c r="N4205" i="7"/>
  <c r="J4205" i="7"/>
  <c r="E4205" i="7"/>
  <c r="A4205" i="7"/>
  <c r="M4204" i="7"/>
  <c r="I4204" i="7"/>
  <c r="E4204" i="7"/>
  <c r="A4204" i="7"/>
  <c r="M4203" i="7"/>
  <c r="I4203" i="7"/>
  <c r="E4203" i="7"/>
  <c r="A4203" i="7"/>
  <c r="K4202" i="7"/>
  <c r="A4201" i="7"/>
  <c r="K4200" i="7"/>
  <c r="A4199" i="7"/>
  <c r="K4198" i="7"/>
  <c r="A4197" i="7"/>
  <c r="K4196" i="7"/>
  <c r="A4195" i="7"/>
  <c r="K4194" i="7"/>
  <c r="A4193" i="7"/>
  <c r="K4192" i="7"/>
  <c r="A4191" i="7"/>
  <c r="K4190" i="7"/>
  <c r="A4189" i="7"/>
  <c r="K4188" i="7"/>
  <c r="A4187" i="7"/>
  <c r="K4186" i="7"/>
  <c r="A4185" i="7"/>
  <c r="K4184" i="7"/>
  <c r="A4183" i="7"/>
  <c r="K4182" i="7"/>
  <c r="L4206" i="7"/>
  <c r="Q4205" i="7"/>
  <c r="H4205" i="7"/>
  <c r="Q4204" i="7"/>
  <c r="H4204" i="7"/>
  <c r="Q4203" i="7"/>
  <c r="H4203" i="7"/>
  <c r="Q4202" i="7"/>
  <c r="A4202" i="7"/>
  <c r="K4201" i="7"/>
  <c r="Q4198" i="7"/>
  <c r="A4198" i="7"/>
  <c r="K4197" i="7"/>
  <c r="Q4194" i="7"/>
  <c r="A4194" i="7"/>
  <c r="K4193" i="7"/>
  <c r="Q4190" i="7"/>
  <c r="A4190" i="7"/>
  <c r="K4189" i="7"/>
  <c r="Q4186" i="7"/>
  <c r="A4186" i="7"/>
  <c r="K4185" i="7"/>
  <c r="Q4182" i="7"/>
  <c r="A4182" i="7"/>
  <c r="K4181" i="7"/>
  <c r="A4180" i="7"/>
  <c r="K4179" i="7"/>
  <c r="A4178" i="7"/>
  <c r="K4177" i="7"/>
  <c r="A4176" i="7"/>
  <c r="K4175" i="7"/>
  <c r="A4174" i="7"/>
  <c r="K4173" i="7"/>
  <c r="A4172" i="7"/>
  <c r="K4171" i="7"/>
  <c r="A4170" i="7"/>
  <c r="K4169" i="7"/>
  <c r="A4168" i="7"/>
  <c r="K4167" i="7"/>
  <c r="A4166" i="7"/>
  <c r="K4165" i="7"/>
  <c r="A4164" i="7"/>
  <c r="K4163" i="7"/>
  <c r="A4162" i="7"/>
  <c r="K4161" i="7"/>
  <c r="A4160" i="7"/>
  <c r="K4159" i="7"/>
  <c r="A4158" i="7"/>
  <c r="K4157" i="7"/>
  <c r="A4156" i="7"/>
  <c r="K4155" i="7"/>
  <c r="A4154" i="7"/>
  <c r="K4153" i="7"/>
  <c r="A4152" i="7"/>
  <c r="K4151" i="7"/>
  <c r="A4150" i="7"/>
  <c r="K4149" i="7"/>
  <c r="A4148" i="7"/>
  <c r="K4147" i="7"/>
  <c r="A4146" i="7"/>
  <c r="K4145" i="7"/>
  <c r="A4144" i="7"/>
  <c r="K4143" i="7"/>
  <c r="A4142" i="7"/>
  <c r="K4141" i="7"/>
  <c r="A4140" i="7"/>
  <c r="K4139" i="7"/>
  <c r="A4138" i="7"/>
  <c r="K4137" i="7"/>
  <c r="A4136" i="7"/>
  <c r="K4135" i="7"/>
  <c r="A4134" i="7"/>
  <c r="K4133" i="7"/>
  <c r="A4132" i="7"/>
  <c r="K4131" i="7"/>
  <c r="A4130" i="7"/>
  <c r="K4129" i="7"/>
  <c r="A4128" i="7"/>
  <c r="K4127" i="7"/>
  <c r="A4126" i="7"/>
  <c r="K4125" i="7"/>
  <c r="A4124" i="7"/>
  <c r="K4123" i="7"/>
  <c r="A4122" i="7"/>
  <c r="K4121" i="7"/>
  <c r="A4120" i="7"/>
  <c r="K4119" i="7"/>
  <c r="A4118" i="7"/>
  <c r="K4117" i="7"/>
  <c r="A4116" i="7"/>
  <c r="K4115" i="7"/>
  <c r="A4114" i="7"/>
  <c r="K4113" i="7"/>
  <c r="A4112" i="7"/>
  <c r="K4111" i="7"/>
  <c r="A4110" i="7"/>
  <c r="K4109" i="7"/>
  <c r="A4108" i="7"/>
  <c r="K4107" i="7"/>
  <c r="A4106" i="7"/>
  <c r="K4105" i="7"/>
  <c r="A4104" i="7"/>
  <c r="K4103" i="7"/>
  <c r="A4102" i="7"/>
  <c r="K4101" i="7"/>
  <c r="A4100" i="7"/>
  <c r="K4099" i="7"/>
  <c r="A4098" i="7"/>
  <c r="K4097" i="7"/>
  <c r="A4096" i="7"/>
  <c r="K4095" i="7"/>
  <c r="A4094" i="7"/>
  <c r="K4093" i="7"/>
  <c r="A4092" i="7"/>
  <c r="K4091" i="7"/>
  <c r="A4090" i="7"/>
  <c r="K4089" i="7"/>
  <c r="A4088" i="7"/>
  <c r="K4087" i="7"/>
  <c r="A4086" i="7"/>
  <c r="K4085" i="7"/>
  <c r="A4084" i="7"/>
  <c r="K4083" i="7"/>
  <c r="A4082" i="7"/>
  <c r="K4081" i="7"/>
  <c r="A4080" i="7"/>
  <c r="K4079" i="7"/>
  <c r="A4078" i="7"/>
  <c r="K4077" i="7"/>
  <c r="A4076" i="7"/>
  <c r="K4075" i="7"/>
  <c r="A4074" i="7"/>
  <c r="K4073" i="7"/>
  <c r="A4072" i="7"/>
  <c r="K4071" i="7"/>
  <c r="A4070" i="7"/>
  <c r="K4069" i="7"/>
  <c r="A4068" i="7"/>
  <c r="K4067" i="7"/>
  <c r="A4066" i="7"/>
  <c r="K4065" i="7"/>
  <c r="A4064" i="7"/>
  <c r="K4063" i="7"/>
  <c r="A4062" i="7"/>
  <c r="K4061" i="7"/>
  <c r="A4060" i="7"/>
  <c r="K4059" i="7"/>
  <c r="A4058" i="7"/>
  <c r="K4057" i="7"/>
  <c r="A4056" i="7"/>
  <c r="K4055" i="7"/>
  <c r="A4054" i="7"/>
  <c r="K4053" i="7"/>
  <c r="A4052" i="7"/>
  <c r="K4051" i="7"/>
  <c r="A4050" i="7"/>
  <c r="K4049" i="7"/>
  <c r="A4048" i="7"/>
  <c r="K4047" i="7"/>
  <c r="A4046" i="7"/>
  <c r="K4045" i="7"/>
  <c r="A4044" i="7"/>
  <c r="K4043" i="7"/>
  <c r="A4042" i="7"/>
  <c r="K4041" i="7"/>
  <c r="A4040" i="7"/>
  <c r="K4039" i="7"/>
  <c r="A4038" i="7"/>
  <c r="K4037" i="7"/>
  <c r="A4036" i="7"/>
  <c r="K4035" i="7"/>
  <c r="A4034" i="7"/>
  <c r="K4033" i="7"/>
  <c r="A4032" i="7"/>
  <c r="K4031" i="7"/>
  <c r="A4030" i="7"/>
  <c r="K4029" i="7"/>
  <c r="A4028" i="7"/>
  <c r="K4027" i="7"/>
  <c r="A4026" i="7"/>
  <c r="K4025" i="7"/>
  <c r="A4024" i="7"/>
  <c r="K4023" i="7"/>
  <c r="A4022" i="7"/>
  <c r="K4021" i="7"/>
  <c r="A4020" i="7"/>
  <c r="K4019" i="7"/>
  <c r="A4018" i="7"/>
  <c r="K4017" i="7"/>
  <c r="A4016" i="7"/>
  <c r="K4015" i="7"/>
  <c r="A4014" i="7"/>
  <c r="K4013" i="7"/>
  <c r="A4012" i="7"/>
  <c r="K4011" i="7"/>
  <c r="A4010" i="7"/>
  <c r="K4009" i="7"/>
  <c r="A4008" i="7"/>
  <c r="K4007" i="7"/>
  <c r="A4006" i="7"/>
  <c r="K4005" i="7"/>
  <c r="A4004" i="7"/>
  <c r="K4003" i="7"/>
  <c r="A4002" i="7"/>
  <c r="K4001" i="7"/>
  <c r="A4000" i="7"/>
  <c r="K3999" i="7"/>
  <c r="A3998" i="7"/>
  <c r="K3997" i="7"/>
  <c r="A3996" i="7"/>
  <c r="K3995" i="7"/>
  <c r="A3994" i="7"/>
  <c r="K3993" i="7"/>
  <c r="A3992" i="7"/>
  <c r="K3991" i="7"/>
  <c r="A3990" i="7"/>
  <c r="K3989" i="7"/>
  <c r="A3988" i="7"/>
  <c r="K3987" i="7"/>
  <c r="A3986" i="7"/>
  <c r="K3985" i="7"/>
  <c r="A3984" i="7"/>
  <c r="K3983" i="7"/>
  <c r="A3982" i="7"/>
  <c r="K3981" i="7"/>
  <c r="A3980" i="7"/>
  <c r="K3979" i="7"/>
  <c r="A3978" i="7"/>
  <c r="K3977" i="7"/>
  <c r="A3976" i="7"/>
  <c r="K3975" i="7"/>
  <c r="A3974" i="7"/>
  <c r="K3973" i="7"/>
  <c r="A3972" i="7"/>
  <c r="K3971" i="7"/>
  <c r="A3970" i="7"/>
  <c r="K3969" i="7"/>
  <c r="A3968" i="7"/>
  <c r="K3967" i="7"/>
  <c r="A3966" i="7"/>
  <c r="K3965" i="7"/>
  <c r="A3964" i="7"/>
  <c r="K3963" i="7"/>
  <c r="A3962" i="7"/>
  <c r="K3961" i="7"/>
  <c r="A3960" i="7"/>
  <c r="K3959" i="7"/>
  <c r="A3958" i="7"/>
  <c r="K3957" i="7"/>
  <c r="A3956" i="7"/>
  <c r="K3955" i="7"/>
  <c r="A3954" i="7"/>
  <c r="K3953" i="7"/>
  <c r="A3952" i="7"/>
  <c r="K3951" i="7"/>
  <c r="A3950" i="7"/>
  <c r="K3949" i="7"/>
  <c r="A3948" i="7"/>
  <c r="K3947" i="7"/>
  <c r="A3946" i="7"/>
  <c r="K3945" i="7"/>
  <c r="L3944" i="7"/>
  <c r="F3944" i="7"/>
  <c r="B3944" i="7"/>
  <c r="J3943" i="7"/>
  <c r="F3943" i="7"/>
  <c r="B3943" i="7"/>
  <c r="J3942" i="7"/>
  <c r="F3942" i="7"/>
  <c r="B3942" i="7"/>
  <c r="J3941" i="7"/>
  <c r="F3941" i="7"/>
  <c r="B3941" i="7"/>
  <c r="D3940" i="7"/>
  <c r="D3939" i="7"/>
  <c r="K3938" i="7"/>
  <c r="E3938" i="7"/>
  <c r="A3938" i="7"/>
  <c r="N3937" i="7"/>
  <c r="H3937" i="7"/>
  <c r="D3937" i="7"/>
  <c r="Q3936" i="7"/>
  <c r="M3936" i="7"/>
  <c r="G3936" i="7"/>
  <c r="C3936" i="7"/>
  <c r="L3935" i="7"/>
  <c r="F3935" i="7"/>
  <c r="B3935" i="7"/>
  <c r="K3934" i="7"/>
  <c r="E3934" i="7"/>
  <c r="A3934" i="7"/>
  <c r="N3933" i="7"/>
  <c r="H3933" i="7"/>
  <c r="D3933" i="7"/>
  <c r="Q3932" i="7"/>
  <c r="M3932" i="7"/>
  <c r="F3932" i="7"/>
  <c r="B3932" i="7"/>
  <c r="H3931" i="7"/>
  <c r="D3931" i="7"/>
  <c r="Q3930" i="7"/>
  <c r="M3930" i="7"/>
  <c r="G3930" i="7"/>
  <c r="C3930" i="7"/>
  <c r="H3929" i="7"/>
  <c r="D3929" i="7"/>
  <c r="Q3928" i="7"/>
  <c r="M3928" i="7"/>
  <c r="F3928" i="7"/>
  <c r="B3928" i="7"/>
  <c r="H3927" i="7"/>
  <c r="D3927" i="7"/>
  <c r="Q3926" i="7"/>
  <c r="M3926" i="7"/>
  <c r="G3926" i="7"/>
  <c r="C3926" i="7"/>
  <c r="L3925" i="7"/>
  <c r="F3925" i="7"/>
  <c r="B3925" i="7"/>
  <c r="H3924" i="7"/>
  <c r="D3924" i="7"/>
  <c r="Q3923" i="7"/>
  <c r="M3923" i="7"/>
  <c r="G3923" i="7"/>
  <c r="C3923" i="7"/>
  <c r="L3922" i="7"/>
  <c r="F3922" i="7"/>
  <c r="B3922" i="7"/>
  <c r="K3921" i="7"/>
  <c r="E3921" i="7"/>
  <c r="A3921" i="7"/>
  <c r="N3920" i="7"/>
  <c r="H3920" i="7"/>
  <c r="D3920" i="7"/>
  <c r="Q3919" i="7"/>
  <c r="M3919" i="7"/>
  <c r="G3919" i="7"/>
  <c r="C3919" i="7"/>
  <c r="L3918" i="7"/>
  <c r="F3918" i="7"/>
  <c r="B3918" i="7"/>
  <c r="K3917" i="7"/>
  <c r="E3917" i="7"/>
  <c r="A3917" i="7"/>
  <c r="N3916" i="7"/>
  <c r="G3916" i="7"/>
  <c r="C3916" i="7"/>
  <c r="L3915" i="7"/>
  <c r="F3915" i="7"/>
  <c r="B3915" i="7"/>
  <c r="K3914" i="7"/>
  <c r="E3914" i="7"/>
  <c r="A3914" i="7"/>
  <c r="N3913" i="7"/>
  <c r="H3913" i="7"/>
  <c r="D3913" i="7"/>
  <c r="Q3912" i="7"/>
  <c r="M3912" i="7"/>
  <c r="G3912" i="7"/>
  <c r="C3912" i="7"/>
  <c r="L3911" i="7"/>
  <c r="F3911" i="7"/>
  <c r="B3911" i="7"/>
  <c r="K3910" i="7"/>
  <c r="E3910" i="7"/>
  <c r="A3910" i="7"/>
  <c r="N3909" i="7"/>
  <c r="H3909" i="7"/>
  <c r="D3909" i="7"/>
  <c r="Q3908" i="7"/>
  <c r="M3908" i="7"/>
  <c r="G3908" i="7"/>
  <c r="C3908" i="7"/>
  <c r="D3907" i="7"/>
  <c r="K3906" i="7"/>
  <c r="E3906" i="7"/>
  <c r="A3906" i="7"/>
  <c r="N3905" i="7"/>
  <c r="H3905" i="7"/>
  <c r="D3905" i="7"/>
  <c r="Q3904" i="7"/>
  <c r="M3904" i="7"/>
  <c r="G3904" i="7"/>
  <c r="C3904" i="7"/>
  <c r="L3903" i="7"/>
  <c r="F3903" i="7"/>
  <c r="B3903" i="7"/>
  <c r="K3902" i="7"/>
  <c r="A3900" i="7"/>
  <c r="D3899" i="7"/>
  <c r="K3898" i="7"/>
  <c r="A3896" i="7"/>
  <c r="D3895" i="7"/>
  <c r="K3894" i="7"/>
  <c r="A3892" i="7"/>
  <c r="D3891" i="7"/>
  <c r="K3890" i="7"/>
  <c r="A3888" i="7"/>
  <c r="D3887" i="7"/>
  <c r="K3886" i="7"/>
  <c r="A3884" i="7"/>
  <c r="D3883" i="7"/>
  <c r="K3882" i="7"/>
  <c r="A3880" i="7"/>
  <c r="D3879" i="7"/>
  <c r="K3878" i="7"/>
  <c r="A3876" i="7"/>
  <c r="D3875" i="7"/>
  <c r="K3874" i="7"/>
  <c r="A3872" i="7"/>
  <c r="D3871" i="7"/>
  <c r="K3870" i="7"/>
  <c r="A3868" i="7"/>
  <c r="D3867" i="7"/>
  <c r="K3866" i="7"/>
  <c r="A3864" i="7"/>
  <c r="D3863" i="7"/>
  <c r="K3862" i="7"/>
  <c r="A3860" i="7"/>
  <c r="D3859" i="7"/>
  <c r="K3858" i="7"/>
  <c r="A3856" i="7"/>
  <c r="D3855" i="7"/>
  <c r="K3854" i="7"/>
  <c r="A3852" i="7"/>
  <c r="D3851" i="7"/>
  <c r="K3850" i="7"/>
  <c r="A3848" i="7"/>
  <c r="D3847" i="7"/>
  <c r="K3846" i="7"/>
  <c r="A3844" i="7"/>
  <c r="D3843" i="7"/>
  <c r="K3842" i="7"/>
  <c r="A3840" i="7"/>
  <c r="D3839" i="7"/>
  <c r="K3838" i="7"/>
  <c r="A3836" i="7"/>
  <c r="D3835" i="7"/>
  <c r="K3834" i="7"/>
  <c r="A3832" i="7"/>
  <c r="D3831" i="7"/>
  <c r="K3830" i="7"/>
  <c r="A3828" i="7"/>
  <c r="D3827" i="7"/>
  <c r="K3826" i="7"/>
  <c r="A3824" i="7"/>
  <c r="D3823" i="7"/>
  <c r="K3822" i="7"/>
  <c r="A3820" i="7"/>
  <c r="D3819" i="7"/>
  <c r="K3818" i="7"/>
  <c r="A3816" i="7"/>
  <c r="D3815" i="7"/>
  <c r="K3814" i="7"/>
  <c r="A3812" i="7"/>
  <c r="D3811" i="7"/>
  <c r="K3810" i="7"/>
  <c r="A3808" i="7"/>
  <c r="D3807" i="7"/>
  <c r="K3806" i="7"/>
  <c r="A3804" i="7"/>
  <c r="D3803" i="7"/>
  <c r="K3802" i="7"/>
  <c r="A3800" i="7"/>
  <c r="D3799" i="7"/>
  <c r="K3798" i="7"/>
  <c r="A3796" i="7"/>
  <c r="D3795" i="7"/>
  <c r="K3794" i="7"/>
  <c r="A3792" i="7"/>
  <c r="D3791" i="7"/>
  <c r="K3790" i="7"/>
  <c r="G4206" i="7"/>
  <c r="G4205" i="7"/>
  <c r="G4204" i="7"/>
  <c r="G4203" i="7"/>
  <c r="Q4201" i="7"/>
  <c r="D4201" i="7"/>
  <c r="D4200" i="7"/>
  <c r="Q4197" i="7"/>
  <c r="D4197" i="7"/>
  <c r="D4196" i="7"/>
  <c r="Q4193" i="7"/>
  <c r="D4193" i="7"/>
  <c r="D4192" i="7"/>
  <c r="Q4189" i="7"/>
  <c r="D4189" i="7"/>
  <c r="D4188" i="7"/>
  <c r="Q4185" i="7"/>
  <c r="D4185" i="7"/>
  <c r="D4184" i="7"/>
  <c r="Q4181" i="7"/>
  <c r="D4181" i="7"/>
  <c r="Q4179" i="7"/>
  <c r="D4179" i="7"/>
  <c r="Q4177" i="7"/>
  <c r="D4177" i="7"/>
  <c r="Q4175" i="7"/>
  <c r="D4175" i="7"/>
  <c r="Q4173" i="7"/>
  <c r="D4173" i="7"/>
  <c r="Q4171" i="7"/>
  <c r="D4171" i="7"/>
  <c r="Q4169" i="7"/>
  <c r="D4169" i="7"/>
  <c r="Q4167" i="7"/>
  <c r="D4167" i="7"/>
  <c r="Q4165" i="7"/>
  <c r="D4165" i="7"/>
  <c r="Q4163" i="7"/>
  <c r="D4163" i="7"/>
  <c r="Q4161" i="7"/>
  <c r="D4161" i="7"/>
  <c r="Q4159" i="7"/>
  <c r="D4159" i="7"/>
  <c r="Q4157" i="7"/>
  <c r="D4157" i="7"/>
  <c r="Q4155" i="7"/>
  <c r="D4155" i="7"/>
  <c r="Q4153" i="7"/>
  <c r="D4153" i="7"/>
  <c r="Q4151" i="7"/>
  <c r="D4151" i="7"/>
  <c r="Q4149" i="7"/>
  <c r="D4149" i="7"/>
  <c r="Q4147" i="7"/>
  <c r="D4147" i="7"/>
  <c r="Q4145" i="7"/>
  <c r="D4145" i="7"/>
  <c r="Q4143" i="7"/>
  <c r="D4143" i="7"/>
  <c r="Q4141" i="7"/>
  <c r="D4141" i="7"/>
  <c r="Q4139" i="7"/>
  <c r="D4139" i="7"/>
  <c r="Q4137" i="7"/>
  <c r="D4137" i="7"/>
  <c r="Q4135" i="7"/>
  <c r="D4135" i="7"/>
  <c r="Q4133" i="7"/>
  <c r="D4133" i="7"/>
  <c r="Q4131" i="7"/>
  <c r="D4131" i="7"/>
  <c r="Q4129" i="7"/>
  <c r="D4129" i="7"/>
  <c r="Q4127" i="7"/>
  <c r="D4127" i="7"/>
  <c r="Q4125" i="7"/>
  <c r="D4125" i="7"/>
  <c r="Q4123" i="7"/>
  <c r="D4123" i="7"/>
  <c r="Q4121" i="7"/>
  <c r="D4121" i="7"/>
  <c r="Q4119" i="7"/>
  <c r="D4119" i="7"/>
  <c r="Q4117" i="7"/>
  <c r="D4117" i="7"/>
  <c r="Q4115" i="7"/>
  <c r="D4115" i="7"/>
  <c r="Q4113" i="7"/>
  <c r="D4113" i="7"/>
  <c r="Q4111" i="7"/>
  <c r="D4111" i="7"/>
  <c r="Q4109" i="7"/>
  <c r="D4109" i="7"/>
  <c r="Q4107" i="7"/>
  <c r="D4107" i="7"/>
  <c r="Q4105" i="7"/>
  <c r="D4105" i="7"/>
  <c r="Q4103" i="7"/>
  <c r="D4103" i="7"/>
  <c r="Q4101" i="7"/>
  <c r="D4101" i="7"/>
  <c r="Q4099" i="7"/>
  <c r="D4099" i="7"/>
  <c r="Q4097" i="7"/>
  <c r="D4097" i="7"/>
  <c r="Q4095" i="7"/>
  <c r="D4095" i="7"/>
  <c r="Q4093" i="7"/>
  <c r="D4093" i="7"/>
  <c r="Q4091" i="7"/>
  <c r="D4091" i="7"/>
  <c r="Q4089" i="7"/>
  <c r="D4089" i="7"/>
  <c r="Q4087" i="7"/>
  <c r="D4087" i="7"/>
  <c r="Q4085" i="7"/>
  <c r="D4085" i="7"/>
  <c r="Q4083" i="7"/>
  <c r="D4083" i="7"/>
  <c r="Q4081" i="7"/>
  <c r="D4081" i="7"/>
  <c r="Q4079" i="7"/>
  <c r="D4079" i="7"/>
  <c r="Q4077" i="7"/>
  <c r="D4077" i="7"/>
  <c r="Q4075" i="7"/>
  <c r="D4075" i="7"/>
  <c r="Q4073" i="7"/>
  <c r="D4073" i="7"/>
  <c r="Q4071" i="7"/>
  <c r="D4071" i="7"/>
  <c r="Q4069" i="7"/>
  <c r="D4069" i="7"/>
  <c r="Q4067" i="7"/>
  <c r="D4067" i="7"/>
  <c r="Q4065" i="7"/>
  <c r="D4065" i="7"/>
  <c r="Q4063" i="7"/>
  <c r="D4063" i="7"/>
  <c r="Q4061" i="7"/>
  <c r="D4061" i="7"/>
  <c r="Q4059" i="7"/>
  <c r="D4059" i="7"/>
  <c r="Q4057" i="7"/>
  <c r="D4057" i="7"/>
  <c r="Q4055" i="7"/>
  <c r="D4055" i="7"/>
  <c r="Q4053" i="7"/>
  <c r="D4053" i="7"/>
  <c r="Q4051" i="7"/>
  <c r="D4051" i="7"/>
  <c r="Q4049" i="7"/>
  <c r="D4049" i="7"/>
  <c r="Q4047" i="7"/>
  <c r="D4047" i="7"/>
  <c r="Q4045" i="7"/>
  <c r="D4045" i="7"/>
  <c r="Q4043" i="7"/>
  <c r="D4043" i="7"/>
  <c r="Q4041" i="7"/>
  <c r="D4041" i="7"/>
  <c r="Q4039" i="7"/>
  <c r="D4039" i="7"/>
  <c r="Q4037" i="7"/>
  <c r="D4037" i="7"/>
  <c r="Q4035" i="7"/>
  <c r="D4035" i="7"/>
  <c r="Q4033" i="7"/>
  <c r="D4033" i="7"/>
  <c r="Q4031" i="7"/>
  <c r="D4031" i="7"/>
  <c r="Q4029" i="7"/>
  <c r="D4029" i="7"/>
  <c r="Q4027" i="7"/>
  <c r="D4027" i="7"/>
  <c r="Q4025" i="7"/>
  <c r="D4025" i="7"/>
  <c r="Q4023" i="7"/>
  <c r="D4023" i="7"/>
  <c r="Q4021" i="7"/>
  <c r="D4021" i="7"/>
  <c r="Q4019" i="7"/>
  <c r="D4019" i="7"/>
  <c r="Q4017" i="7"/>
  <c r="D4017" i="7"/>
  <c r="Q4015" i="7"/>
  <c r="D4015" i="7"/>
  <c r="Q4013" i="7"/>
  <c r="D4013" i="7"/>
  <c r="Q4011" i="7"/>
  <c r="D4011" i="7"/>
  <c r="Q4009" i="7"/>
  <c r="D4009" i="7"/>
  <c r="Q4007" i="7"/>
  <c r="D4007" i="7"/>
  <c r="Q4005" i="7"/>
  <c r="D4005" i="7"/>
  <c r="Q4003" i="7"/>
  <c r="D4003" i="7"/>
  <c r="Q4001" i="7"/>
  <c r="D4001" i="7"/>
  <c r="Q3999" i="7"/>
  <c r="D3999" i="7"/>
  <c r="Q3997" i="7"/>
  <c r="D3997" i="7"/>
  <c r="Q3995" i="7"/>
  <c r="D3995" i="7"/>
  <c r="Q3993" i="7"/>
  <c r="D3993" i="7"/>
  <c r="Q3991" i="7"/>
  <c r="D3991" i="7"/>
  <c r="Q3989" i="7"/>
  <c r="D3989" i="7"/>
  <c r="Q3987" i="7"/>
  <c r="D3987" i="7"/>
  <c r="Q3985" i="7"/>
  <c r="D3985" i="7"/>
  <c r="Q3983" i="7"/>
  <c r="D3983" i="7"/>
  <c r="Q3981" i="7"/>
  <c r="D3981" i="7"/>
  <c r="Q3979" i="7"/>
  <c r="D3979" i="7"/>
  <c r="Q3977" i="7"/>
  <c r="D3977" i="7"/>
  <c r="Q3975" i="7"/>
  <c r="D3975" i="7"/>
  <c r="Q3973" i="7"/>
  <c r="D3973" i="7"/>
  <c r="Q3971" i="7"/>
  <c r="D3971" i="7"/>
  <c r="Q3969" i="7"/>
  <c r="D3969" i="7"/>
  <c r="Q3967" i="7"/>
  <c r="D3967" i="7"/>
  <c r="Q3965" i="7"/>
  <c r="D3965" i="7"/>
  <c r="Q3963" i="7"/>
  <c r="D3963" i="7"/>
  <c r="Q3961" i="7"/>
  <c r="D3961" i="7"/>
  <c r="Q3959" i="7"/>
  <c r="D3959" i="7"/>
  <c r="Q3957" i="7"/>
  <c r="D3957" i="7"/>
  <c r="Q3955" i="7"/>
  <c r="D3955" i="7"/>
  <c r="Q3953" i="7"/>
  <c r="D3953" i="7"/>
  <c r="Q3951" i="7"/>
  <c r="D3951" i="7"/>
  <c r="Q3949" i="7"/>
  <c r="D3949" i="7"/>
  <c r="Q3947" i="7"/>
  <c r="D3947" i="7"/>
  <c r="Q3945" i="7"/>
  <c r="D3945" i="7"/>
  <c r="K3944" i="7"/>
  <c r="E3944" i="7"/>
  <c r="A3944" i="7"/>
  <c r="M3943" i="7"/>
  <c r="I3943" i="7"/>
  <c r="E3943" i="7"/>
  <c r="A3943" i="7"/>
  <c r="M3942" i="7"/>
  <c r="I3942" i="7"/>
  <c r="E3942" i="7"/>
  <c r="A3942" i="7"/>
  <c r="M3941" i="7"/>
  <c r="I3941" i="7"/>
  <c r="E3941" i="7"/>
  <c r="A3941" i="7"/>
  <c r="K3940" i="7"/>
  <c r="A3940" i="7"/>
  <c r="K3939" i="7"/>
  <c r="A3939" i="7"/>
  <c r="N3938" i="7"/>
  <c r="H3938" i="7"/>
  <c r="D3938" i="7"/>
  <c r="Q3937" i="7"/>
  <c r="M3937" i="7"/>
  <c r="G3937" i="7"/>
  <c r="C3937" i="7"/>
  <c r="L3936" i="7"/>
  <c r="F3936" i="7"/>
  <c r="B3936" i="7"/>
  <c r="K3935" i="7"/>
  <c r="E3935" i="7"/>
  <c r="A3935" i="7"/>
  <c r="N3934" i="7"/>
  <c r="H3934" i="7"/>
  <c r="D3934" i="7"/>
  <c r="Q3933" i="7"/>
  <c r="M3933" i="7"/>
  <c r="G3933" i="7"/>
  <c r="C3933" i="7"/>
  <c r="K3932" i="7"/>
  <c r="E3932" i="7"/>
  <c r="A3932" i="7"/>
  <c r="N3931" i="7"/>
  <c r="G3931" i="7"/>
  <c r="C3931" i="7"/>
  <c r="L3930" i="7"/>
  <c r="F3930" i="7"/>
  <c r="B3930" i="7"/>
  <c r="G3929" i="7"/>
  <c r="C3929" i="7"/>
  <c r="K3928" i="7"/>
  <c r="E3928" i="7"/>
  <c r="A3928" i="7"/>
  <c r="N3927" i="7"/>
  <c r="G3927" i="7"/>
  <c r="C3927" i="7"/>
  <c r="L3926" i="7"/>
  <c r="F3926" i="7"/>
  <c r="B3926" i="7"/>
  <c r="K3925" i="7"/>
  <c r="E3925" i="7"/>
  <c r="A3925" i="7"/>
  <c r="N3924" i="7"/>
  <c r="G3924" i="7"/>
  <c r="C3924" i="7"/>
  <c r="L3923" i="7"/>
  <c r="F3923" i="7"/>
  <c r="B3923" i="7"/>
  <c r="K3922" i="7"/>
  <c r="E3922" i="7"/>
  <c r="A3922" i="7"/>
  <c r="N3921" i="7"/>
  <c r="H3921" i="7"/>
  <c r="D3921" i="7"/>
  <c r="Q3920" i="7"/>
  <c r="M3920" i="7"/>
  <c r="G3920" i="7"/>
  <c r="C3920" i="7"/>
  <c r="L3919" i="7"/>
  <c r="F3919" i="7"/>
  <c r="B3919" i="7"/>
  <c r="K3918" i="7"/>
  <c r="E3918" i="7"/>
  <c r="A3918" i="7"/>
  <c r="N3917" i="7"/>
  <c r="H3917" i="7"/>
  <c r="D3917" i="7"/>
  <c r="Q3916" i="7"/>
  <c r="M3916" i="7"/>
  <c r="F3916" i="7"/>
  <c r="B3916" i="7"/>
  <c r="K3915" i="7"/>
  <c r="E3915" i="7"/>
  <c r="A3915" i="7"/>
  <c r="N3914" i="7"/>
  <c r="H3914" i="7"/>
  <c r="D3914" i="7"/>
  <c r="Q3913" i="7"/>
  <c r="M3913" i="7"/>
  <c r="G3913" i="7"/>
  <c r="C3913" i="7"/>
  <c r="L3912" i="7"/>
  <c r="F3912" i="7"/>
  <c r="B3912" i="7"/>
  <c r="K3911" i="7"/>
  <c r="E3911" i="7"/>
  <c r="A3911" i="7"/>
  <c r="N3910" i="7"/>
  <c r="H3910" i="7"/>
  <c r="D3910" i="7"/>
  <c r="Q3909" i="7"/>
  <c r="M3909" i="7"/>
  <c r="G3909" i="7"/>
  <c r="C3909" i="7"/>
  <c r="L3908" i="7"/>
  <c r="F3908" i="7"/>
  <c r="B3908" i="7"/>
  <c r="A3907" i="7"/>
  <c r="N3906" i="7"/>
  <c r="H3906" i="7"/>
  <c r="D3906" i="7"/>
  <c r="Q3905" i="7"/>
  <c r="M3905" i="7"/>
  <c r="G3905" i="7"/>
  <c r="C3905" i="7"/>
  <c r="L3904" i="7"/>
  <c r="F3904" i="7"/>
  <c r="B3904" i="7"/>
  <c r="K3903" i="7"/>
  <c r="E3903" i="7"/>
  <c r="A3903" i="7"/>
  <c r="D3902" i="7"/>
  <c r="K3901" i="7"/>
  <c r="A3899" i="7"/>
  <c r="D3898" i="7"/>
  <c r="K3897" i="7"/>
  <c r="A3895" i="7"/>
  <c r="D3894" i="7"/>
  <c r="K3893" i="7"/>
  <c r="A3891" i="7"/>
  <c r="D3890" i="7"/>
  <c r="K3889" i="7"/>
  <c r="A3887" i="7"/>
  <c r="D3886" i="7"/>
  <c r="K3885" i="7"/>
  <c r="A3883" i="7"/>
  <c r="D3882" i="7"/>
  <c r="K3881" i="7"/>
  <c r="A3879" i="7"/>
  <c r="D3878" i="7"/>
  <c r="K3877" i="7"/>
  <c r="A3875" i="7"/>
  <c r="D3874" i="7"/>
  <c r="K3873" i="7"/>
  <c r="A3871" i="7"/>
  <c r="D3870" i="7"/>
  <c r="K3869" i="7"/>
  <c r="A3867" i="7"/>
  <c r="D3866" i="7"/>
  <c r="K3865" i="7"/>
  <c r="A3863" i="7"/>
  <c r="D3862" i="7"/>
  <c r="K3861" i="7"/>
  <c r="A3859" i="7"/>
  <c r="D3858" i="7"/>
  <c r="K3857" i="7"/>
  <c r="A3855" i="7"/>
  <c r="D3854" i="7"/>
  <c r="K3853" i="7"/>
  <c r="A3851" i="7"/>
  <c r="D3850" i="7"/>
  <c r="K3849" i="7"/>
  <c r="A3847" i="7"/>
  <c r="D3846" i="7"/>
  <c r="K3845" i="7"/>
  <c r="A3843" i="7"/>
  <c r="D3842" i="7"/>
  <c r="K3841" i="7"/>
  <c r="A3839" i="7"/>
  <c r="D3838" i="7"/>
  <c r="K3837" i="7"/>
  <c r="A3835" i="7"/>
  <c r="D3834" i="7"/>
  <c r="K3833" i="7"/>
  <c r="A3831" i="7"/>
  <c r="D3830" i="7"/>
  <c r="K3829" i="7"/>
  <c r="A3827" i="7"/>
  <c r="D3826" i="7"/>
  <c r="K3825" i="7"/>
  <c r="A3823" i="7"/>
  <c r="D3822" i="7"/>
  <c r="K3821" i="7"/>
  <c r="A3819" i="7"/>
  <c r="D3818" i="7"/>
  <c r="K3817" i="7"/>
  <c r="A3815" i="7"/>
  <c r="D3814" i="7"/>
  <c r="K3813" i="7"/>
  <c r="A3811" i="7"/>
  <c r="D3810" i="7"/>
  <c r="K3809" i="7"/>
  <c r="A3807" i="7"/>
  <c r="D3806" i="7"/>
  <c r="K3805" i="7"/>
  <c r="A3803" i="7"/>
  <c r="D3802" i="7"/>
  <c r="K3801" i="7"/>
  <c r="A3799" i="7"/>
  <c r="D3798" i="7"/>
  <c r="K3797" i="7"/>
  <c r="A3795" i="7"/>
  <c r="D3794" i="7"/>
  <c r="K3793" i="7"/>
  <c r="A3791" i="7"/>
  <c r="D3790" i="7"/>
  <c r="K3789" i="7"/>
  <c r="A3787" i="7"/>
  <c r="D3786" i="7"/>
  <c r="K3785" i="7"/>
  <c r="A3783" i="7"/>
  <c r="D3782" i="7"/>
  <c r="K3781" i="7"/>
  <c r="A3779" i="7"/>
  <c r="D3778" i="7"/>
  <c r="K3777" i="7"/>
  <c r="A3775" i="7"/>
  <c r="D3774" i="7"/>
  <c r="K3773" i="7"/>
  <c r="H3772" i="7"/>
  <c r="D3772" i="7"/>
  <c r="I3771" i="7"/>
  <c r="E3771" i="7"/>
  <c r="A3771" i="7"/>
  <c r="J3770" i="7"/>
  <c r="D4206" i="7"/>
  <c r="M4205" i="7"/>
  <c r="D4205" i="7"/>
  <c r="L4204" i="7"/>
  <c r="D4204" i="7"/>
  <c r="L4203" i="7"/>
  <c r="D4203" i="7"/>
  <c r="Q4200" i="7"/>
  <c r="A4200" i="7"/>
  <c r="K4199" i="7"/>
  <c r="Q4196" i="7"/>
  <c r="A4196" i="7"/>
  <c r="K4195" i="7"/>
  <c r="Q4192" i="7"/>
  <c r="A4192" i="7"/>
  <c r="K4191" i="7"/>
  <c r="Q4188" i="7"/>
  <c r="A4188" i="7"/>
  <c r="K4187" i="7"/>
  <c r="Q4184" i="7"/>
  <c r="A4184" i="7"/>
  <c r="K4183" i="7"/>
  <c r="A4181" i="7"/>
  <c r="K4180" i="7"/>
  <c r="A4179" i="7"/>
  <c r="K4178" i="7"/>
  <c r="A4177" i="7"/>
  <c r="K4176" i="7"/>
  <c r="A4175" i="7"/>
  <c r="K4174" i="7"/>
  <c r="A4173" i="7"/>
  <c r="K4172" i="7"/>
  <c r="A4171" i="7"/>
  <c r="K4170" i="7"/>
  <c r="A4169" i="7"/>
  <c r="K4168" i="7"/>
  <c r="A4167" i="7"/>
  <c r="K4166" i="7"/>
  <c r="A4165" i="7"/>
  <c r="K4164" i="7"/>
  <c r="A4163" i="7"/>
  <c r="K4162" i="7"/>
  <c r="A4161" i="7"/>
  <c r="K4160" i="7"/>
  <c r="A4159" i="7"/>
  <c r="K4158" i="7"/>
  <c r="A4157" i="7"/>
  <c r="K4156" i="7"/>
  <c r="A4155" i="7"/>
  <c r="K4154" i="7"/>
  <c r="A4153" i="7"/>
  <c r="K4152" i="7"/>
  <c r="A4151" i="7"/>
  <c r="K4150" i="7"/>
  <c r="A4149" i="7"/>
  <c r="K4148" i="7"/>
  <c r="A4147" i="7"/>
  <c r="K4146" i="7"/>
  <c r="A4145" i="7"/>
  <c r="K4144" i="7"/>
  <c r="A4143" i="7"/>
  <c r="K4142" i="7"/>
  <c r="A4141" i="7"/>
  <c r="K4140" i="7"/>
  <c r="A4139" i="7"/>
  <c r="K4138" i="7"/>
  <c r="A4137" i="7"/>
  <c r="K4136" i="7"/>
  <c r="A4135" i="7"/>
  <c r="K4134" i="7"/>
  <c r="A4133" i="7"/>
  <c r="K4132" i="7"/>
  <c r="A4131" i="7"/>
  <c r="K4130" i="7"/>
  <c r="A4129" i="7"/>
  <c r="K4128" i="7"/>
  <c r="A4127" i="7"/>
  <c r="K4126" i="7"/>
  <c r="A4125" i="7"/>
  <c r="K4124" i="7"/>
  <c r="A4123" i="7"/>
  <c r="K4122" i="7"/>
  <c r="A4121" i="7"/>
  <c r="K4120" i="7"/>
  <c r="A4119" i="7"/>
  <c r="K4118" i="7"/>
  <c r="A4117" i="7"/>
  <c r="K4116" i="7"/>
  <c r="A4115" i="7"/>
  <c r="K4114" i="7"/>
  <c r="A4113" i="7"/>
  <c r="K4112" i="7"/>
  <c r="A4111" i="7"/>
  <c r="K4110" i="7"/>
  <c r="A4109" i="7"/>
  <c r="K4108" i="7"/>
  <c r="A4107" i="7"/>
  <c r="K4106" i="7"/>
  <c r="A4105" i="7"/>
  <c r="K4104" i="7"/>
  <c r="A4103" i="7"/>
  <c r="K4102" i="7"/>
  <c r="A4101" i="7"/>
  <c r="K4100" i="7"/>
  <c r="A4099" i="7"/>
  <c r="K4098" i="7"/>
  <c r="A4097" i="7"/>
  <c r="K4096" i="7"/>
  <c r="A4095" i="7"/>
  <c r="K4094" i="7"/>
  <c r="A4093" i="7"/>
  <c r="K4092" i="7"/>
  <c r="A4091" i="7"/>
  <c r="K4090" i="7"/>
  <c r="A4089" i="7"/>
  <c r="K4088" i="7"/>
  <c r="A4087" i="7"/>
  <c r="K4086" i="7"/>
  <c r="A4085" i="7"/>
  <c r="K4084" i="7"/>
  <c r="A4083" i="7"/>
  <c r="K4082" i="7"/>
  <c r="A4081" i="7"/>
  <c r="K4080" i="7"/>
  <c r="A4079" i="7"/>
  <c r="K4078" i="7"/>
  <c r="A4077" i="7"/>
  <c r="K4076" i="7"/>
  <c r="A4075" i="7"/>
  <c r="K4074" i="7"/>
  <c r="A4073" i="7"/>
  <c r="K4072" i="7"/>
  <c r="A4071" i="7"/>
  <c r="K4070" i="7"/>
  <c r="A4069" i="7"/>
  <c r="K4068" i="7"/>
  <c r="A4067" i="7"/>
  <c r="K4066" i="7"/>
  <c r="A4065" i="7"/>
  <c r="K4064" i="7"/>
  <c r="A4063" i="7"/>
  <c r="K4062" i="7"/>
  <c r="A4061" i="7"/>
  <c r="K4060" i="7"/>
  <c r="A4059" i="7"/>
  <c r="K4058" i="7"/>
  <c r="A4057" i="7"/>
  <c r="K4056" i="7"/>
  <c r="A4055" i="7"/>
  <c r="K4054" i="7"/>
  <c r="A4053" i="7"/>
  <c r="K4052" i="7"/>
  <c r="A4051" i="7"/>
  <c r="K4050" i="7"/>
  <c r="A4049" i="7"/>
  <c r="K4048" i="7"/>
  <c r="A4047" i="7"/>
  <c r="K4046" i="7"/>
  <c r="A4045" i="7"/>
  <c r="K4044" i="7"/>
  <c r="A4043" i="7"/>
  <c r="K4042" i="7"/>
  <c r="A4041" i="7"/>
  <c r="K4040" i="7"/>
  <c r="A4039" i="7"/>
  <c r="K4038" i="7"/>
  <c r="A4037" i="7"/>
  <c r="K4036" i="7"/>
  <c r="A4035" i="7"/>
  <c r="K4034" i="7"/>
  <c r="A4033" i="7"/>
  <c r="K4032" i="7"/>
  <c r="A4031" i="7"/>
  <c r="K4030" i="7"/>
  <c r="A4029" i="7"/>
  <c r="K4028" i="7"/>
  <c r="A4027" i="7"/>
  <c r="K4026" i="7"/>
  <c r="A4025" i="7"/>
  <c r="K4024" i="7"/>
  <c r="A4023" i="7"/>
  <c r="K4022" i="7"/>
  <c r="A4021" i="7"/>
  <c r="K4020" i="7"/>
  <c r="A4019" i="7"/>
  <c r="K4018" i="7"/>
  <c r="A4017" i="7"/>
  <c r="K4016" i="7"/>
  <c r="A4015" i="7"/>
  <c r="K4014" i="7"/>
  <c r="A4013" i="7"/>
  <c r="K4012" i="7"/>
  <c r="A4011" i="7"/>
  <c r="K4010" i="7"/>
  <c r="A4009" i="7"/>
  <c r="K4008" i="7"/>
  <c r="A4007" i="7"/>
  <c r="K4006" i="7"/>
  <c r="A4005" i="7"/>
  <c r="K4004" i="7"/>
  <c r="A4003" i="7"/>
  <c r="K4002" i="7"/>
  <c r="A4001" i="7"/>
  <c r="K4000" i="7"/>
  <c r="A3999" i="7"/>
  <c r="K3998" i="7"/>
  <c r="A3997" i="7"/>
  <c r="K3996" i="7"/>
  <c r="A3995" i="7"/>
  <c r="K3994" i="7"/>
  <c r="A3993" i="7"/>
  <c r="K3992" i="7"/>
  <c r="A3991" i="7"/>
  <c r="K3990" i="7"/>
  <c r="A3989" i="7"/>
  <c r="K3988" i="7"/>
  <c r="A3987" i="7"/>
  <c r="K3986" i="7"/>
  <c r="A3985" i="7"/>
  <c r="K3984" i="7"/>
  <c r="A3983" i="7"/>
  <c r="K3982" i="7"/>
  <c r="A3981" i="7"/>
  <c r="K3980" i="7"/>
  <c r="A3979" i="7"/>
  <c r="K3978" i="7"/>
  <c r="A3977" i="7"/>
  <c r="K3976" i="7"/>
  <c r="A3975" i="7"/>
  <c r="K3974" i="7"/>
  <c r="A3973" i="7"/>
  <c r="K3972" i="7"/>
  <c r="A3971" i="7"/>
  <c r="K3970" i="7"/>
  <c r="A3969" i="7"/>
  <c r="K3968" i="7"/>
  <c r="A3967" i="7"/>
  <c r="K3966" i="7"/>
  <c r="A3965" i="7"/>
  <c r="K3964" i="7"/>
  <c r="A3963" i="7"/>
  <c r="K3962" i="7"/>
  <c r="A3961" i="7"/>
  <c r="K3960" i="7"/>
  <c r="A3959" i="7"/>
  <c r="K3958" i="7"/>
  <c r="A3957" i="7"/>
  <c r="K3956" i="7"/>
  <c r="A3955" i="7"/>
  <c r="K3954" i="7"/>
  <c r="A3953" i="7"/>
  <c r="K3952" i="7"/>
  <c r="A3951" i="7"/>
  <c r="K3950" i="7"/>
  <c r="A3949" i="7"/>
  <c r="K3948" i="7"/>
  <c r="A3947" i="7"/>
  <c r="K3946" i="7"/>
  <c r="A3945" i="7"/>
  <c r="N3944" i="7"/>
  <c r="H3944" i="7"/>
  <c r="D3944" i="7"/>
  <c r="Q3943" i="7"/>
  <c r="L3943" i="7"/>
  <c r="H3943" i="7"/>
  <c r="D3943" i="7"/>
  <c r="Q3942" i="7"/>
  <c r="L3942" i="7"/>
  <c r="H3942" i="7"/>
  <c r="D3942" i="7"/>
  <c r="Q3941" i="7"/>
  <c r="L3941" i="7"/>
  <c r="H3941" i="7"/>
  <c r="D3941" i="7"/>
  <c r="Q3940" i="7"/>
  <c r="F3940" i="7"/>
  <c r="Q3939" i="7"/>
  <c r="F3939" i="7"/>
  <c r="Q3938" i="7"/>
  <c r="M3938" i="7"/>
  <c r="G3938" i="7"/>
  <c r="C3938" i="7"/>
  <c r="L3937" i="7"/>
  <c r="F3937" i="7"/>
  <c r="B3937" i="7"/>
  <c r="K3936" i="7"/>
  <c r="E3936" i="7"/>
  <c r="A3936" i="7"/>
  <c r="N3935" i="7"/>
  <c r="H3935" i="7"/>
  <c r="D3935" i="7"/>
  <c r="Q3934" i="7"/>
  <c r="M3934" i="7"/>
  <c r="G3934" i="7"/>
  <c r="C3934" i="7"/>
  <c r="L3933" i="7"/>
  <c r="F3933" i="7"/>
  <c r="B3933" i="7"/>
  <c r="H3932" i="7"/>
  <c r="D3932" i="7"/>
  <c r="Q3931" i="7"/>
  <c r="M3931" i="7"/>
  <c r="F3931" i="7"/>
  <c r="B3931" i="7"/>
  <c r="K3930" i="7"/>
  <c r="E3930" i="7"/>
  <c r="A3930" i="7"/>
  <c r="N3929" i="7"/>
  <c r="F3929" i="7"/>
  <c r="B3929" i="7"/>
  <c r="H3928" i="7"/>
  <c r="D3928" i="7"/>
  <c r="Q3927" i="7"/>
  <c r="M3927" i="7"/>
  <c r="F3927" i="7"/>
  <c r="B3927" i="7"/>
  <c r="K3926" i="7"/>
  <c r="E3926" i="7"/>
  <c r="A3926" i="7"/>
  <c r="N3925" i="7"/>
  <c r="H3925" i="7"/>
  <c r="D3925" i="7"/>
  <c r="Q3924" i="7"/>
  <c r="M3924" i="7"/>
  <c r="F3924" i="7"/>
  <c r="B3924" i="7"/>
  <c r="K3923" i="7"/>
  <c r="E3923" i="7"/>
  <c r="A3923" i="7"/>
  <c r="N3922" i="7"/>
  <c r="H3922" i="7"/>
  <c r="D3922" i="7"/>
  <c r="Q3921" i="7"/>
  <c r="M3921" i="7"/>
  <c r="G3921" i="7"/>
  <c r="C3921" i="7"/>
  <c r="L3920" i="7"/>
  <c r="F3920" i="7"/>
  <c r="B3920" i="7"/>
  <c r="K3919" i="7"/>
  <c r="E3919" i="7"/>
  <c r="A3919" i="7"/>
  <c r="N3918" i="7"/>
  <c r="H3918" i="7"/>
  <c r="D3918" i="7"/>
  <c r="Q3917" i="7"/>
  <c r="M3917" i="7"/>
  <c r="G3917" i="7"/>
  <c r="C3917" i="7"/>
  <c r="K3916" i="7"/>
  <c r="E3916" i="7"/>
  <c r="A3916" i="7"/>
  <c r="N3915" i="7"/>
  <c r="H3915" i="7"/>
  <c r="D3915" i="7"/>
  <c r="Q3914" i="7"/>
  <c r="M3914" i="7"/>
  <c r="G3914" i="7"/>
  <c r="C3914" i="7"/>
  <c r="L3913" i="7"/>
  <c r="F3913" i="7"/>
  <c r="B3913" i="7"/>
  <c r="K3912" i="7"/>
  <c r="E3912" i="7"/>
  <c r="A3912" i="7"/>
  <c r="N3911" i="7"/>
  <c r="H3911" i="7"/>
  <c r="D3911" i="7"/>
  <c r="Q3910" i="7"/>
  <c r="M3910" i="7"/>
  <c r="G3910" i="7"/>
  <c r="C3910" i="7"/>
  <c r="L3909" i="7"/>
  <c r="F3909" i="7"/>
  <c r="B3909" i="7"/>
  <c r="K3908" i="7"/>
  <c r="E3908" i="7"/>
  <c r="A3908" i="7"/>
  <c r="K3907" i="7"/>
  <c r="Q3906" i="7"/>
  <c r="M3906" i="7"/>
  <c r="G3906" i="7"/>
  <c r="C3906" i="7"/>
  <c r="L3905" i="7"/>
  <c r="F3905" i="7"/>
  <c r="B3905" i="7"/>
  <c r="K3904" i="7"/>
  <c r="E3904" i="7"/>
  <c r="A3904" i="7"/>
  <c r="N3903" i="7"/>
  <c r="H3903" i="7"/>
  <c r="D3903" i="7"/>
  <c r="A3902" i="7"/>
  <c r="D3901" i="7"/>
  <c r="K3900" i="7"/>
  <c r="A3898" i="7"/>
  <c r="D3897" i="7"/>
  <c r="K3896" i="7"/>
  <c r="A3894" i="7"/>
  <c r="D3893" i="7"/>
  <c r="K3892" i="7"/>
  <c r="A3890" i="7"/>
  <c r="D3889" i="7"/>
  <c r="K3888" i="7"/>
  <c r="A3886" i="7"/>
  <c r="D3885" i="7"/>
  <c r="K3884" i="7"/>
  <c r="A3882" i="7"/>
  <c r="D3881" i="7"/>
  <c r="K3880" i="7"/>
  <c r="A3878" i="7"/>
  <c r="D3877" i="7"/>
  <c r="K3876" i="7"/>
  <c r="A3874" i="7"/>
  <c r="D3873" i="7"/>
  <c r="K3872" i="7"/>
  <c r="A3870" i="7"/>
  <c r="D3869" i="7"/>
  <c r="K3868" i="7"/>
  <c r="A3866" i="7"/>
  <c r="D3865" i="7"/>
  <c r="K3864" i="7"/>
  <c r="A3862" i="7"/>
  <c r="D3861" i="7"/>
  <c r="K3860" i="7"/>
  <c r="A3858" i="7"/>
  <c r="D3857" i="7"/>
  <c r="K3856" i="7"/>
  <c r="A3854" i="7"/>
  <c r="D3853" i="7"/>
  <c r="K3852" i="7"/>
  <c r="A3850" i="7"/>
  <c r="D3849" i="7"/>
  <c r="K3848" i="7"/>
  <c r="A3846" i="7"/>
  <c r="D3845" i="7"/>
  <c r="K3844" i="7"/>
  <c r="C4206" i="7"/>
  <c r="L4205" i="7"/>
  <c r="C4205" i="7"/>
  <c r="K4204" i="7"/>
  <c r="C4204" i="7"/>
  <c r="K4203" i="7"/>
  <c r="C4203" i="7"/>
  <c r="D4202" i="7"/>
  <c r="Q4199" i="7"/>
  <c r="D4199" i="7"/>
  <c r="D4198" i="7"/>
  <c r="Q4195" i="7"/>
  <c r="D4195" i="7"/>
  <c r="D4194" i="7"/>
  <c r="Q4191" i="7"/>
  <c r="D4191" i="7"/>
  <c r="D4190" i="7"/>
  <c r="Q4187" i="7"/>
  <c r="D4187" i="7"/>
  <c r="D4186" i="7"/>
  <c r="Q4183" i="7"/>
  <c r="D4183" i="7"/>
  <c r="D4182" i="7"/>
  <c r="Q4180" i="7"/>
  <c r="D4180" i="7"/>
  <c r="Q4178" i="7"/>
  <c r="D4178" i="7"/>
  <c r="Q4176" i="7"/>
  <c r="D4176" i="7"/>
  <c r="Q4174" i="7"/>
  <c r="D4174" i="7"/>
  <c r="Q4172" i="7"/>
  <c r="D4172" i="7"/>
  <c r="Q4170" i="7"/>
  <c r="D4170" i="7"/>
  <c r="Q4168" i="7"/>
  <c r="D4168" i="7"/>
  <c r="Q4166" i="7"/>
  <c r="D4166" i="7"/>
  <c r="Q4164" i="7"/>
  <c r="D4164" i="7"/>
  <c r="Q4162" i="7"/>
  <c r="D4162" i="7"/>
  <c r="Q4160" i="7"/>
  <c r="D4160" i="7"/>
  <c r="Q4158" i="7"/>
  <c r="D4158" i="7"/>
  <c r="Q4156" i="7"/>
  <c r="D4156" i="7"/>
  <c r="Q4154" i="7"/>
  <c r="D4154" i="7"/>
  <c r="Q4152" i="7"/>
  <c r="D4152" i="7"/>
  <c r="Q4150" i="7"/>
  <c r="D4150" i="7"/>
  <c r="Q4148" i="7"/>
  <c r="D4148" i="7"/>
  <c r="Q4146" i="7"/>
  <c r="D4146" i="7"/>
  <c r="Q4144" i="7"/>
  <c r="D4144" i="7"/>
  <c r="Q4142" i="7"/>
  <c r="D4142" i="7"/>
  <c r="Q4140" i="7"/>
  <c r="D4140" i="7"/>
  <c r="Q4138" i="7"/>
  <c r="D4138" i="7"/>
  <c r="Q4136" i="7"/>
  <c r="D4136" i="7"/>
  <c r="Q4134" i="7"/>
  <c r="D4134" i="7"/>
  <c r="Q4132" i="7"/>
  <c r="D4132" i="7"/>
  <c r="Q4130" i="7"/>
  <c r="D4130" i="7"/>
  <c r="Q4128" i="7"/>
  <c r="D4128" i="7"/>
  <c r="Q4126" i="7"/>
  <c r="D4126" i="7"/>
  <c r="Q4124" i="7"/>
  <c r="D4124" i="7"/>
  <c r="Q4122" i="7"/>
  <c r="D4122" i="7"/>
  <c r="Q4120" i="7"/>
  <c r="D4120" i="7"/>
  <c r="Q4118" i="7"/>
  <c r="D4118" i="7"/>
  <c r="Q4116" i="7"/>
  <c r="D4116" i="7"/>
  <c r="Q4114" i="7"/>
  <c r="D4114" i="7"/>
  <c r="Q4112" i="7"/>
  <c r="D4112" i="7"/>
  <c r="Q4110" i="7"/>
  <c r="D4110" i="7"/>
  <c r="Q4108" i="7"/>
  <c r="D4108" i="7"/>
  <c r="Q4106" i="7"/>
  <c r="D4106" i="7"/>
  <c r="Q4104" i="7"/>
  <c r="D4104" i="7"/>
  <c r="Q4102" i="7"/>
  <c r="D4102" i="7"/>
  <c r="Q4100" i="7"/>
  <c r="D4100" i="7"/>
  <c r="Q4098" i="7"/>
  <c r="D4098" i="7"/>
  <c r="Q4096" i="7"/>
  <c r="D4096" i="7"/>
  <c r="Q4094" i="7"/>
  <c r="D4094" i="7"/>
  <c r="Q4092" i="7"/>
  <c r="D4092" i="7"/>
  <c r="Q4090" i="7"/>
  <c r="D4090" i="7"/>
  <c r="Q4088" i="7"/>
  <c r="D4088" i="7"/>
  <c r="Q4086" i="7"/>
  <c r="D4086" i="7"/>
  <c r="Q4084" i="7"/>
  <c r="D4084" i="7"/>
  <c r="Q4082" i="7"/>
  <c r="D4082" i="7"/>
  <c r="Q4080" i="7"/>
  <c r="D4080" i="7"/>
  <c r="Q4078" i="7"/>
  <c r="D4078" i="7"/>
  <c r="Q4076" i="7"/>
  <c r="D4076" i="7"/>
  <c r="Q4074" i="7"/>
  <c r="D4074" i="7"/>
  <c r="Q4072" i="7"/>
  <c r="D4072" i="7"/>
  <c r="Q4070" i="7"/>
  <c r="D4070" i="7"/>
  <c r="Q4068" i="7"/>
  <c r="D4068" i="7"/>
  <c r="Q4066" i="7"/>
  <c r="D4066" i="7"/>
  <c r="Q4064" i="7"/>
  <c r="D4064" i="7"/>
  <c r="Q4062" i="7"/>
  <c r="D4062" i="7"/>
  <c r="Q4060" i="7"/>
  <c r="D4060" i="7"/>
  <c r="Q4058" i="7"/>
  <c r="D4058" i="7"/>
  <c r="Q4056" i="7"/>
  <c r="D4056" i="7"/>
  <c r="Q4054" i="7"/>
  <c r="D4054" i="7"/>
  <c r="Q4052" i="7"/>
  <c r="D4052" i="7"/>
  <c r="Q4050" i="7"/>
  <c r="D4050" i="7"/>
  <c r="Q4048" i="7"/>
  <c r="D4048" i="7"/>
  <c r="Q4046" i="7"/>
  <c r="D4046" i="7"/>
  <c r="Q4044" i="7"/>
  <c r="D4044" i="7"/>
  <c r="Q4042" i="7"/>
  <c r="D4042" i="7"/>
  <c r="Q4040" i="7"/>
  <c r="D4040" i="7"/>
  <c r="Q4038" i="7"/>
  <c r="D4038" i="7"/>
  <c r="Q4036" i="7"/>
  <c r="D4036" i="7"/>
  <c r="Q4034" i="7"/>
  <c r="D4034" i="7"/>
  <c r="Q4032" i="7"/>
  <c r="D4032" i="7"/>
  <c r="Q4030" i="7"/>
  <c r="D4030" i="7"/>
  <c r="Q4028" i="7"/>
  <c r="D4028" i="7"/>
  <c r="Q4026" i="7"/>
  <c r="D4026" i="7"/>
  <c r="Q4024" i="7"/>
  <c r="D4024" i="7"/>
  <c r="Q4022" i="7"/>
  <c r="D4022" i="7"/>
  <c r="Q4020" i="7"/>
  <c r="D4020" i="7"/>
  <c r="Q4018" i="7"/>
  <c r="D4018" i="7"/>
  <c r="Q4016" i="7"/>
  <c r="D4016" i="7"/>
  <c r="Q4014" i="7"/>
  <c r="D4014" i="7"/>
  <c r="Q4012" i="7"/>
  <c r="D4012" i="7"/>
  <c r="Q4010" i="7"/>
  <c r="D4010" i="7"/>
  <c r="Q4008" i="7"/>
  <c r="D4008" i="7"/>
  <c r="Q4006" i="7"/>
  <c r="D4006" i="7"/>
  <c r="Q4004" i="7"/>
  <c r="D4004" i="7"/>
  <c r="Q4002" i="7"/>
  <c r="D4002" i="7"/>
  <c r="Q4000" i="7"/>
  <c r="D4000" i="7"/>
  <c r="Q3998" i="7"/>
  <c r="D3998" i="7"/>
  <c r="Q3996" i="7"/>
  <c r="D3996" i="7"/>
  <c r="Q3994" i="7"/>
  <c r="D3994" i="7"/>
  <c r="Q3992" i="7"/>
  <c r="D3992" i="7"/>
  <c r="Q3990" i="7"/>
  <c r="D3990" i="7"/>
  <c r="Q3988" i="7"/>
  <c r="D3988" i="7"/>
  <c r="Q3986" i="7"/>
  <c r="D3986" i="7"/>
  <c r="Q3984" i="7"/>
  <c r="D3984" i="7"/>
  <c r="Q3982" i="7"/>
  <c r="D3982" i="7"/>
  <c r="Q3980" i="7"/>
  <c r="D3980" i="7"/>
  <c r="Q3978" i="7"/>
  <c r="D3978" i="7"/>
  <c r="Q3976" i="7"/>
  <c r="D3976" i="7"/>
  <c r="Q3974" i="7"/>
  <c r="D3974" i="7"/>
  <c r="Q3972" i="7"/>
  <c r="D3972" i="7"/>
  <c r="Q3970" i="7"/>
  <c r="D3970" i="7"/>
  <c r="Q3968" i="7"/>
  <c r="D3968" i="7"/>
  <c r="Q3966" i="7"/>
  <c r="D3966" i="7"/>
  <c r="Q3964" i="7"/>
  <c r="D3964" i="7"/>
  <c r="Q3962" i="7"/>
  <c r="D3962" i="7"/>
  <c r="Q3960" i="7"/>
  <c r="D3960" i="7"/>
  <c r="Q3958" i="7"/>
  <c r="D3958" i="7"/>
  <c r="Q3956" i="7"/>
  <c r="D3956" i="7"/>
  <c r="Q3954" i="7"/>
  <c r="D3954" i="7"/>
  <c r="Q3952" i="7"/>
  <c r="D3952" i="7"/>
  <c r="Q3950" i="7"/>
  <c r="D3950" i="7"/>
  <c r="Q3948" i="7"/>
  <c r="D3948" i="7"/>
  <c r="Q3946" i="7"/>
  <c r="D3946" i="7"/>
  <c r="Q3944" i="7"/>
  <c r="M3944" i="7"/>
  <c r="G3944" i="7"/>
  <c r="C3944" i="7"/>
  <c r="K3943" i="7"/>
  <c r="G3943" i="7"/>
  <c r="C3943" i="7"/>
  <c r="K3942" i="7"/>
  <c r="G3942" i="7"/>
  <c r="C3942" i="7"/>
  <c r="K3941" i="7"/>
  <c r="G3941" i="7"/>
  <c r="C3941" i="7"/>
  <c r="E3940" i="7"/>
  <c r="E3939" i="7"/>
  <c r="L3938" i="7"/>
  <c r="F3938" i="7"/>
  <c r="B3938" i="7"/>
  <c r="K3937" i="7"/>
  <c r="E3937" i="7"/>
  <c r="A3937" i="7"/>
  <c r="N3936" i="7"/>
  <c r="H3936" i="7"/>
  <c r="D3936" i="7"/>
  <c r="Q3935" i="7"/>
  <c r="M3935" i="7"/>
  <c r="G3935" i="7"/>
  <c r="C3935" i="7"/>
  <c r="L3934" i="7"/>
  <c r="F3934" i="7"/>
  <c r="B3934" i="7"/>
  <c r="K3933" i="7"/>
  <c r="E3933" i="7"/>
  <c r="A3933" i="7"/>
  <c r="N3932" i="7"/>
  <c r="G3932" i="7"/>
  <c r="C3932" i="7"/>
  <c r="K3931" i="7"/>
  <c r="E3931" i="7"/>
  <c r="A3931" i="7"/>
  <c r="N3930" i="7"/>
  <c r="H3930" i="7"/>
  <c r="D3930" i="7"/>
  <c r="Q3929" i="7"/>
  <c r="K3929" i="7"/>
  <c r="E3929" i="7"/>
  <c r="A3929" i="7"/>
  <c r="N3928" i="7"/>
  <c r="G3928" i="7"/>
  <c r="C3928" i="7"/>
  <c r="K3927" i="7"/>
  <c r="E3927" i="7"/>
  <c r="A3927" i="7"/>
  <c r="N3926" i="7"/>
  <c r="H3926" i="7"/>
  <c r="D3926" i="7"/>
  <c r="Q3925" i="7"/>
  <c r="M3925" i="7"/>
  <c r="G3925" i="7"/>
  <c r="C3925" i="7"/>
  <c r="K3924" i="7"/>
  <c r="E3924" i="7"/>
  <c r="A3924" i="7"/>
  <c r="N3923" i="7"/>
  <c r="H3923" i="7"/>
  <c r="D3923" i="7"/>
  <c r="Q3922" i="7"/>
  <c r="M3922" i="7"/>
  <c r="G3922" i="7"/>
  <c r="C3922" i="7"/>
  <c r="L3921" i="7"/>
  <c r="F3921" i="7"/>
  <c r="B3921" i="7"/>
  <c r="K3920" i="7"/>
  <c r="E3920" i="7"/>
  <c r="A3920" i="7"/>
  <c r="N3919" i="7"/>
  <c r="H3919" i="7"/>
  <c r="D3919" i="7"/>
  <c r="Q3918" i="7"/>
  <c r="M3918" i="7"/>
  <c r="G3918" i="7"/>
  <c r="C3918" i="7"/>
  <c r="L3917" i="7"/>
  <c r="F3917" i="7"/>
  <c r="B3917" i="7"/>
  <c r="H3916" i="7"/>
  <c r="D3916" i="7"/>
  <c r="Q3915" i="7"/>
  <c r="M3915" i="7"/>
  <c r="G3915" i="7"/>
  <c r="C3915" i="7"/>
  <c r="L3914" i="7"/>
  <c r="F3914" i="7"/>
  <c r="B3914" i="7"/>
  <c r="K3913" i="7"/>
  <c r="E3913" i="7"/>
  <c r="A3913" i="7"/>
  <c r="N3912" i="7"/>
  <c r="H3912" i="7"/>
  <c r="D3912" i="7"/>
  <c r="Q3911" i="7"/>
  <c r="M3911" i="7"/>
  <c r="G3911" i="7"/>
  <c r="C3911" i="7"/>
  <c r="L3910" i="7"/>
  <c r="F3910" i="7"/>
  <c r="B3910" i="7"/>
  <c r="K3909" i="7"/>
  <c r="E3909" i="7"/>
  <c r="A3909" i="7"/>
  <c r="N3908" i="7"/>
  <c r="H3908" i="7"/>
  <c r="D3908" i="7"/>
  <c r="Q3907" i="7"/>
  <c r="F3907" i="7"/>
  <c r="L3906" i="7"/>
  <c r="F3906" i="7"/>
  <c r="B3906" i="7"/>
  <c r="K3905" i="7"/>
  <c r="E3905" i="7"/>
  <c r="A3905" i="7"/>
  <c r="N3904" i="7"/>
  <c r="H3904" i="7"/>
  <c r="D3904" i="7"/>
  <c r="Q3903" i="7"/>
  <c r="M3903" i="7"/>
  <c r="G3903" i="7"/>
  <c r="C3903" i="7"/>
  <c r="A3901" i="7"/>
  <c r="D3900" i="7"/>
  <c r="K3899" i="7"/>
  <c r="A3897" i="7"/>
  <c r="D3896" i="7"/>
  <c r="K3895" i="7"/>
  <c r="A3893" i="7"/>
  <c r="D3892" i="7"/>
  <c r="K3891" i="7"/>
  <c r="A3889" i="7"/>
  <c r="D3888" i="7"/>
  <c r="K3887" i="7"/>
  <c r="A3885" i="7"/>
  <c r="D3884" i="7"/>
  <c r="K3883" i="7"/>
  <c r="A3881" i="7"/>
  <c r="D3880" i="7"/>
  <c r="K3879" i="7"/>
  <c r="A3877" i="7"/>
  <c r="D3876" i="7"/>
  <c r="K3875" i="7"/>
  <c r="A3873" i="7"/>
  <c r="D3872" i="7"/>
  <c r="K3871" i="7"/>
  <c r="A3869" i="7"/>
  <c r="D3868" i="7"/>
  <c r="K3867" i="7"/>
  <c r="A3865" i="7"/>
  <c r="D3864" i="7"/>
  <c r="K3863" i="7"/>
  <c r="A3861" i="7"/>
  <c r="D3860" i="7"/>
  <c r="K3859" i="7"/>
  <c r="A3857" i="7"/>
  <c r="D3856" i="7"/>
  <c r="K3855" i="7"/>
  <c r="A3853" i="7"/>
  <c r="D3852" i="7"/>
  <c r="K3851" i="7"/>
  <c r="A3849" i="7"/>
  <c r="D3848" i="7"/>
  <c r="K3847" i="7"/>
  <c r="A3845" i="7"/>
  <c r="D3844" i="7"/>
  <c r="K3843" i="7"/>
  <c r="A3841" i="7"/>
  <c r="D3840" i="7"/>
  <c r="K3839" i="7"/>
  <c r="A3837" i="7"/>
  <c r="D3836" i="7"/>
  <c r="K3835" i="7"/>
  <c r="A3833" i="7"/>
  <c r="D3832" i="7"/>
  <c r="K3831" i="7"/>
  <c r="A3829" i="7"/>
  <c r="D3828" i="7"/>
  <c r="K3827" i="7"/>
  <c r="A3825" i="7"/>
  <c r="D3824" i="7"/>
  <c r="K3823" i="7"/>
  <c r="A3821" i="7"/>
  <c r="D3820" i="7"/>
  <c r="K3819" i="7"/>
  <c r="A3817" i="7"/>
  <c r="D3816" i="7"/>
  <c r="K3815" i="7"/>
  <c r="A3813" i="7"/>
  <c r="D3812" i="7"/>
  <c r="K3811" i="7"/>
  <c r="A3809" i="7"/>
  <c r="D3808" i="7"/>
  <c r="K3807" i="7"/>
  <c r="A3805" i="7"/>
  <c r="D3804" i="7"/>
  <c r="K3803" i="7"/>
  <c r="A3801" i="7"/>
  <c r="D3800" i="7"/>
  <c r="K3799" i="7"/>
  <c r="A3797" i="7"/>
  <c r="D3796" i="7"/>
  <c r="K3795" i="7"/>
  <c r="A3793" i="7"/>
  <c r="D3792" i="7"/>
  <c r="K3791" i="7"/>
  <c r="A3789" i="7"/>
  <c r="D3788" i="7"/>
  <c r="K3787" i="7"/>
  <c r="A3785" i="7"/>
  <c r="D3784" i="7"/>
  <c r="K3783" i="7"/>
  <c r="A3781" i="7"/>
  <c r="D3780" i="7"/>
  <c r="K3779" i="7"/>
  <c r="A3777" i="7"/>
  <c r="D3776" i="7"/>
  <c r="K3775" i="7"/>
  <c r="A3773" i="7"/>
  <c r="J3772" i="7"/>
  <c r="F3772" i="7"/>
  <c r="B3772" i="7"/>
  <c r="K3771" i="7"/>
  <c r="G3771" i="7"/>
  <c r="C3771" i="7"/>
  <c r="H3770" i="7"/>
  <c r="D3770" i="7"/>
  <c r="I3769" i="7"/>
  <c r="E3769" i="7"/>
  <c r="A3769" i="7"/>
  <c r="F3768" i="7"/>
  <c r="I3767" i="7"/>
  <c r="E3767" i="7"/>
  <c r="A3767" i="7"/>
  <c r="J3766" i="7"/>
  <c r="F3766" i="7"/>
  <c r="B3766" i="7"/>
  <c r="K3765" i="7"/>
  <c r="F3765" i="7"/>
  <c r="B3765" i="7"/>
  <c r="K3764" i="7"/>
  <c r="F3764" i="7"/>
  <c r="B3764" i="7"/>
  <c r="K3763" i="7"/>
  <c r="F3763" i="7"/>
  <c r="B3763" i="7"/>
  <c r="K3762" i="7"/>
  <c r="K3836" i="7"/>
  <c r="D3833" i="7"/>
  <c r="A3830" i="7"/>
  <c r="K3820" i="7"/>
  <c r="D3817" i="7"/>
  <c r="A3814" i="7"/>
  <c r="K3804" i="7"/>
  <c r="D3801" i="7"/>
  <c r="A3798" i="7"/>
  <c r="K3788" i="7"/>
  <c r="D3787" i="7"/>
  <c r="A3786" i="7"/>
  <c r="K3780" i="7"/>
  <c r="D3779" i="7"/>
  <c r="A3778" i="7"/>
  <c r="I3772" i="7"/>
  <c r="A3772" i="7"/>
  <c r="F3771" i="7"/>
  <c r="K3770" i="7"/>
  <c r="E3770" i="7"/>
  <c r="G3769" i="7"/>
  <c r="B3769" i="7"/>
  <c r="E3768" i="7"/>
  <c r="K3767" i="7"/>
  <c r="F3767" i="7"/>
  <c r="H3766" i="7"/>
  <c r="C3766" i="7"/>
  <c r="J3765" i="7"/>
  <c r="D3765" i="7"/>
  <c r="E3764" i="7"/>
  <c r="G3763" i="7"/>
  <c r="A3763" i="7"/>
  <c r="I3762" i="7"/>
  <c r="E3762" i="7"/>
  <c r="A3762" i="7"/>
  <c r="J3761" i="7"/>
  <c r="E3761" i="7"/>
  <c r="A3761" i="7"/>
  <c r="J3760" i="7"/>
  <c r="F3760" i="7"/>
  <c r="B3760" i="7"/>
  <c r="K3759" i="7"/>
  <c r="G3759" i="7"/>
  <c r="C3759" i="7"/>
  <c r="G3758" i="7"/>
  <c r="C3758" i="7"/>
  <c r="G3757" i="7"/>
  <c r="C3757" i="7"/>
  <c r="G3756" i="7"/>
  <c r="C3756" i="7"/>
  <c r="G3755" i="7"/>
  <c r="C3755" i="7"/>
  <c r="G3754" i="7"/>
  <c r="C3754" i="7"/>
  <c r="G3753" i="7"/>
  <c r="C3753" i="7"/>
  <c r="G3752" i="7"/>
  <c r="C3752" i="7"/>
  <c r="G3751" i="7"/>
  <c r="C3751" i="7"/>
  <c r="G3750" i="7"/>
  <c r="C3750" i="7"/>
  <c r="G3749" i="7"/>
  <c r="C3749" i="7"/>
  <c r="G3748" i="7"/>
  <c r="C3748" i="7"/>
  <c r="G3747" i="7"/>
  <c r="C3747" i="7"/>
  <c r="G3746" i="7"/>
  <c r="C3746" i="7"/>
  <c r="G3745" i="7"/>
  <c r="C3745" i="7"/>
  <c r="H3744" i="7"/>
  <c r="D3744" i="7"/>
  <c r="H3743" i="7"/>
  <c r="D3743" i="7"/>
  <c r="E3742" i="7"/>
  <c r="H3741" i="7"/>
  <c r="D3741" i="7"/>
  <c r="I3740" i="7"/>
  <c r="E3740" i="7"/>
  <c r="A3740" i="7"/>
  <c r="J3739" i="7"/>
  <c r="F3739" i="7"/>
  <c r="B3739" i="7"/>
  <c r="K3738" i="7"/>
  <c r="G3738" i="7"/>
  <c r="C3738" i="7"/>
  <c r="D3737" i="7"/>
  <c r="K3736" i="7"/>
  <c r="G3736" i="7"/>
  <c r="C3736" i="7"/>
  <c r="H3735" i="7"/>
  <c r="D3735" i="7"/>
  <c r="E3734" i="7"/>
  <c r="H3733" i="7"/>
  <c r="D3733" i="7"/>
  <c r="I3732" i="7"/>
  <c r="E3732" i="7"/>
  <c r="A3732" i="7"/>
  <c r="J3731" i="7"/>
  <c r="F3731" i="7"/>
  <c r="B3731" i="7"/>
  <c r="K3730" i="7"/>
  <c r="F3730" i="7"/>
  <c r="B3730" i="7"/>
  <c r="K3729" i="7"/>
  <c r="G3729" i="7"/>
  <c r="C3729" i="7"/>
  <c r="D3728" i="7"/>
  <c r="K3727" i="7"/>
  <c r="G3727" i="7"/>
  <c r="C3727" i="7"/>
  <c r="H3726" i="7"/>
  <c r="D3726" i="7"/>
  <c r="I3725" i="7"/>
  <c r="E3725" i="7"/>
  <c r="A3725" i="7"/>
  <c r="J3724" i="7"/>
  <c r="F3724" i="7"/>
  <c r="B3724" i="7"/>
  <c r="K3723" i="7"/>
  <c r="F3723" i="7"/>
  <c r="B3723" i="7"/>
  <c r="K3722" i="7"/>
  <c r="F3722" i="7"/>
  <c r="B3722" i="7"/>
  <c r="K3721" i="7"/>
  <c r="G3721" i="7"/>
  <c r="C3721" i="7"/>
  <c r="I3719" i="7"/>
  <c r="E3719" i="7"/>
  <c r="A3719" i="7"/>
  <c r="J3718" i="7"/>
  <c r="E3718" i="7"/>
  <c r="A3718" i="7"/>
  <c r="J3717" i="7"/>
  <c r="E3717" i="7"/>
  <c r="A3717" i="7"/>
  <c r="J3716" i="7"/>
  <c r="E3716" i="7"/>
  <c r="A3716" i="7"/>
  <c r="J3715" i="7"/>
  <c r="E3715" i="7"/>
  <c r="A3715" i="7"/>
  <c r="F3714" i="7"/>
  <c r="I3713" i="7"/>
  <c r="E3713" i="7"/>
  <c r="A3713" i="7"/>
  <c r="J3712" i="7"/>
  <c r="E3712" i="7"/>
  <c r="A3712" i="7"/>
  <c r="J3711" i="7"/>
  <c r="E3711" i="7"/>
  <c r="A3711" i="7"/>
  <c r="J3710" i="7"/>
  <c r="E3710" i="7"/>
  <c r="A3710" i="7"/>
  <c r="J3709" i="7"/>
  <c r="E3709" i="7"/>
  <c r="A3709" i="7"/>
  <c r="J3708" i="7"/>
  <c r="E3708" i="7"/>
  <c r="A3708" i="7"/>
  <c r="J3707" i="7"/>
  <c r="E3707" i="7"/>
  <c r="A3707" i="7"/>
  <c r="J3706" i="7"/>
  <c r="E3706" i="7"/>
  <c r="A3706" i="7"/>
  <c r="J3705" i="7"/>
  <c r="E3705" i="7"/>
  <c r="A3705" i="7"/>
  <c r="J3704" i="7"/>
  <c r="E3704" i="7"/>
  <c r="A3704" i="7"/>
  <c r="J3703" i="7"/>
  <c r="E3703" i="7"/>
  <c r="A3703" i="7"/>
  <c r="J3702" i="7"/>
  <c r="E3702" i="7"/>
  <c r="A3702" i="7"/>
  <c r="J3701" i="7"/>
  <c r="E3701" i="7"/>
  <c r="A3701" i="7"/>
  <c r="J3700" i="7"/>
  <c r="F3700" i="7"/>
  <c r="B3700" i="7"/>
  <c r="K3699" i="7"/>
  <c r="F3699" i="7"/>
  <c r="B3699" i="7"/>
  <c r="K3698" i="7"/>
  <c r="F3698" i="7"/>
  <c r="B3698" i="7"/>
  <c r="K3697" i="7"/>
  <c r="F3697" i="7"/>
  <c r="B3697" i="7"/>
  <c r="K3696" i="7"/>
  <c r="F3696" i="7"/>
  <c r="B3696" i="7"/>
  <c r="K3695" i="7"/>
  <c r="F3695" i="7"/>
  <c r="B3695" i="7"/>
  <c r="K3694" i="7"/>
  <c r="F3694" i="7"/>
  <c r="B3694" i="7"/>
  <c r="K3693" i="7"/>
  <c r="F3693" i="7"/>
  <c r="B3693" i="7"/>
  <c r="K3692" i="7"/>
  <c r="F3692" i="7"/>
  <c r="B3692" i="7"/>
  <c r="K3691" i="7"/>
  <c r="F3691" i="7"/>
  <c r="B3691" i="7"/>
  <c r="K3690" i="7"/>
  <c r="G3690" i="7"/>
  <c r="C3690" i="7"/>
  <c r="H3689" i="7"/>
  <c r="D3689" i="7"/>
  <c r="H3688" i="7"/>
  <c r="D3688" i="7"/>
  <c r="H3687" i="7"/>
  <c r="D3687" i="7"/>
  <c r="H3686" i="7"/>
  <c r="D3686" i="7"/>
  <c r="H3685" i="7"/>
  <c r="D3685" i="7"/>
  <c r="H3684" i="7"/>
  <c r="D3684" i="7"/>
  <c r="H3683" i="7"/>
  <c r="D3683" i="7"/>
  <c r="H3682" i="7"/>
  <c r="D3682" i="7"/>
  <c r="H3681" i="7"/>
  <c r="D3681" i="7"/>
  <c r="H3680" i="7"/>
  <c r="D3680" i="7"/>
  <c r="H3679" i="7"/>
  <c r="D3679" i="7"/>
  <c r="H3678" i="7"/>
  <c r="D3678" i="7"/>
  <c r="H3677" i="7"/>
  <c r="D3677" i="7"/>
  <c r="H3676" i="7"/>
  <c r="D3676" i="7"/>
  <c r="H3675" i="7"/>
  <c r="D3675" i="7"/>
  <c r="H3674" i="7"/>
  <c r="D3674" i="7"/>
  <c r="H3673" i="7"/>
  <c r="D3673" i="7"/>
  <c r="H3672" i="7"/>
  <c r="D3672" i="7"/>
  <c r="H3671" i="7"/>
  <c r="D3671" i="7"/>
  <c r="H3670" i="7"/>
  <c r="D3670" i="7"/>
  <c r="H3669" i="7"/>
  <c r="D3669" i="7"/>
  <c r="H3668" i="7"/>
  <c r="D3668" i="7"/>
  <c r="H3667" i="7"/>
  <c r="D3667" i="7"/>
  <c r="H3666" i="7"/>
  <c r="D3666" i="7"/>
  <c r="H3665" i="7"/>
  <c r="D3665" i="7"/>
  <c r="H3664" i="7"/>
  <c r="D3664" i="7"/>
  <c r="H3663" i="7"/>
  <c r="D3663" i="7"/>
  <c r="H3662" i="7"/>
  <c r="D3662" i="7"/>
  <c r="H3661" i="7"/>
  <c r="D3661" i="7"/>
  <c r="H3660" i="7"/>
  <c r="D3660" i="7"/>
  <c r="H3659" i="7"/>
  <c r="D3659" i="7"/>
  <c r="H3658" i="7"/>
  <c r="D3658" i="7"/>
  <c r="H3657" i="7"/>
  <c r="D3657" i="7"/>
  <c r="H3656" i="7"/>
  <c r="D3656" i="7"/>
  <c r="H3655" i="7"/>
  <c r="D3655" i="7"/>
  <c r="H3654" i="7"/>
  <c r="D3654" i="7"/>
  <c r="H3653" i="7"/>
  <c r="D3653" i="7"/>
  <c r="H3652" i="7"/>
  <c r="D3652" i="7"/>
  <c r="H3651" i="7"/>
  <c r="D3651" i="7"/>
  <c r="H3650" i="7"/>
  <c r="D3650" i="7"/>
  <c r="H3649" i="7"/>
  <c r="D3649" i="7"/>
  <c r="H3648" i="7"/>
  <c r="D3648" i="7"/>
  <c r="H3647" i="7"/>
  <c r="D3647" i="7"/>
  <c r="H3646" i="7"/>
  <c r="D3646" i="7"/>
  <c r="H3645" i="7"/>
  <c r="D3645" i="7"/>
  <c r="I3644" i="7"/>
  <c r="E3644" i="7"/>
  <c r="A3644" i="7"/>
  <c r="J3643" i="7"/>
  <c r="E3643" i="7"/>
  <c r="A3643" i="7"/>
  <c r="J3642" i="7"/>
  <c r="E3642" i="7"/>
  <c r="A3642" i="7"/>
  <c r="J3641" i="7"/>
  <c r="E3641" i="7"/>
  <c r="A3641" i="7"/>
  <c r="J3640" i="7"/>
  <c r="E3640" i="7"/>
  <c r="A3640" i="7"/>
  <c r="J3639" i="7"/>
  <c r="E3639" i="7"/>
  <c r="A3639" i="7"/>
  <c r="J3638" i="7"/>
  <c r="E3638" i="7"/>
  <c r="A3638" i="7"/>
  <c r="J3637" i="7"/>
  <c r="E3637" i="7"/>
  <c r="A3637" i="7"/>
  <c r="J3636" i="7"/>
  <c r="E3636" i="7"/>
  <c r="A3636" i="7"/>
  <c r="J3635" i="7"/>
  <c r="E3635" i="7"/>
  <c r="A3635" i="7"/>
  <c r="J3634" i="7"/>
  <c r="E3634" i="7"/>
  <c r="A3634" i="7"/>
  <c r="J3633" i="7"/>
  <c r="E3633" i="7"/>
  <c r="A3633" i="7"/>
  <c r="J3632" i="7"/>
  <c r="E3632" i="7"/>
  <c r="A3632" i="7"/>
  <c r="J3631" i="7"/>
  <c r="E3631" i="7"/>
  <c r="A3631" i="7"/>
  <c r="J3630" i="7"/>
  <c r="E3630" i="7"/>
  <c r="A3630" i="7"/>
  <c r="J3629" i="7"/>
  <c r="E3629" i="7"/>
  <c r="A3629" i="7"/>
  <c r="J3628" i="7"/>
  <c r="E3628" i="7"/>
  <c r="A3628" i="7"/>
  <c r="J3627" i="7"/>
  <c r="E3627" i="7"/>
  <c r="A3627" i="7"/>
  <c r="J3626" i="7"/>
  <c r="E3626" i="7"/>
  <c r="A3626" i="7"/>
  <c r="J3625" i="7"/>
  <c r="E3625" i="7"/>
  <c r="A3625" i="7"/>
  <c r="J3624" i="7"/>
  <c r="E3624" i="7"/>
  <c r="A3624" i="7"/>
  <c r="J3623" i="7"/>
  <c r="E3623" i="7"/>
  <c r="A3623" i="7"/>
  <c r="J3622" i="7"/>
  <c r="E3622" i="7"/>
  <c r="A3622" i="7"/>
  <c r="J3621" i="7"/>
  <c r="E3621" i="7"/>
  <c r="A3621" i="7"/>
  <c r="J3620" i="7"/>
  <c r="E3620" i="7"/>
  <c r="A3620" i="7"/>
  <c r="J3619" i="7"/>
  <c r="E3619" i="7"/>
  <c r="A3619" i="7"/>
  <c r="J3618" i="7"/>
  <c r="E3618" i="7"/>
  <c r="A3618" i="7"/>
  <c r="J3617" i="7"/>
  <c r="E3617" i="7"/>
  <c r="A3617" i="7"/>
  <c r="J3616" i="7"/>
  <c r="E3616" i="7"/>
  <c r="A3616" i="7"/>
  <c r="J3615" i="7"/>
  <c r="E3615" i="7"/>
  <c r="A3615" i="7"/>
  <c r="J3614" i="7"/>
  <c r="E3614" i="7"/>
  <c r="A3614" i="7"/>
  <c r="J3613" i="7"/>
  <c r="E3613" i="7"/>
  <c r="A3613" i="7"/>
  <c r="J3612" i="7"/>
  <c r="E3612" i="7"/>
  <c r="A3612" i="7"/>
  <c r="J3611" i="7"/>
  <c r="E3611" i="7"/>
  <c r="A3611" i="7"/>
  <c r="J3610" i="7"/>
  <c r="E3610" i="7"/>
  <c r="A3610" i="7"/>
  <c r="J3609" i="7"/>
  <c r="E3609" i="7"/>
  <c r="A3609" i="7"/>
  <c r="J3608" i="7"/>
  <c r="E3608" i="7"/>
  <c r="A3608" i="7"/>
  <c r="J3607" i="7"/>
  <c r="E3607" i="7"/>
  <c r="A3607" i="7"/>
  <c r="J3606" i="7"/>
  <c r="E3606" i="7"/>
  <c r="A3606" i="7"/>
  <c r="J3605" i="7"/>
  <c r="E3605" i="7"/>
  <c r="A3605" i="7"/>
  <c r="J3604" i="7"/>
  <c r="E3604" i="7"/>
  <c r="A3604" i="7"/>
  <c r="J3603" i="7"/>
  <c r="E3603" i="7"/>
  <c r="A3603" i="7"/>
  <c r="Q3302" i="7"/>
  <c r="D3302" i="7"/>
  <c r="Q3300" i="7"/>
  <c r="D3300" i="7"/>
  <c r="Q3298" i="7"/>
  <c r="D3298" i="7"/>
  <c r="Q3296" i="7"/>
  <c r="D3296" i="7"/>
  <c r="Q3294" i="7"/>
  <c r="D3294" i="7"/>
  <c r="Q3292" i="7"/>
  <c r="D3292" i="7"/>
  <c r="Q3290" i="7"/>
  <c r="D3290" i="7"/>
  <c r="Q3288" i="7"/>
  <c r="D3288" i="7"/>
  <c r="Q3286" i="7"/>
  <c r="D3286" i="7"/>
  <c r="Q3284" i="7"/>
  <c r="D3284" i="7"/>
  <c r="Q3282" i="7"/>
  <c r="D3282" i="7"/>
  <c r="K3840" i="7"/>
  <c r="D3837" i="7"/>
  <c r="A3834" i="7"/>
  <c r="K3824" i="7"/>
  <c r="D3821" i="7"/>
  <c r="A3818" i="7"/>
  <c r="K3808" i="7"/>
  <c r="D3805" i="7"/>
  <c r="A3802" i="7"/>
  <c r="K3792" i="7"/>
  <c r="D3789" i="7"/>
  <c r="A3788" i="7"/>
  <c r="K3782" i="7"/>
  <c r="D3781" i="7"/>
  <c r="A3780" i="7"/>
  <c r="K3774" i="7"/>
  <c r="D3773" i="7"/>
  <c r="G3772" i="7"/>
  <c r="D3771" i="7"/>
  <c r="I3770" i="7"/>
  <c r="C3770" i="7"/>
  <c r="K3769" i="7"/>
  <c r="F3769" i="7"/>
  <c r="D3768" i="7"/>
  <c r="J3767" i="7"/>
  <c r="D3767" i="7"/>
  <c r="G3766" i="7"/>
  <c r="A3766" i="7"/>
  <c r="H3765" i="7"/>
  <c r="C3765" i="7"/>
  <c r="J3764" i="7"/>
  <c r="D3764" i="7"/>
  <c r="E3763" i="7"/>
  <c r="H3762" i="7"/>
  <c r="D3762" i="7"/>
  <c r="H3761" i="7"/>
  <c r="D3761" i="7"/>
  <c r="I3760" i="7"/>
  <c r="E3760" i="7"/>
  <c r="A3760" i="7"/>
  <c r="J3759" i="7"/>
  <c r="F3759" i="7"/>
  <c r="B3759" i="7"/>
  <c r="K3758" i="7"/>
  <c r="F3758" i="7"/>
  <c r="B3758" i="7"/>
  <c r="K3757" i="7"/>
  <c r="F3757" i="7"/>
  <c r="B3757" i="7"/>
  <c r="K3756" i="7"/>
  <c r="F3756" i="7"/>
  <c r="B3756" i="7"/>
  <c r="K3755" i="7"/>
  <c r="F3755" i="7"/>
  <c r="B3755" i="7"/>
  <c r="K3754" i="7"/>
  <c r="F3754" i="7"/>
  <c r="B3754" i="7"/>
  <c r="K3753" i="7"/>
  <c r="F3753" i="7"/>
  <c r="B3753" i="7"/>
  <c r="K3752" i="7"/>
  <c r="F3752" i="7"/>
  <c r="B3752" i="7"/>
  <c r="K3751" i="7"/>
  <c r="F3751" i="7"/>
  <c r="B3751" i="7"/>
  <c r="K3750" i="7"/>
  <c r="F3750" i="7"/>
  <c r="B3750" i="7"/>
  <c r="K3749" i="7"/>
  <c r="F3749" i="7"/>
  <c r="B3749" i="7"/>
  <c r="K3748" i="7"/>
  <c r="F3748" i="7"/>
  <c r="B3748" i="7"/>
  <c r="K3747" i="7"/>
  <c r="F3747" i="7"/>
  <c r="B3747" i="7"/>
  <c r="K3746" i="7"/>
  <c r="F3746" i="7"/>
  <c r="B3746" i="7"/>
  <c r="K3745" i="7"/>
  <c r="F3745" i="7"/>
  <c r="B3745" i="7"/>
  <c r="K3744" i="7"/>
  <c r="G3744" i="7"/>
  <c r="C3744" i="7"/>
  <c r="G3743" i="7"/>
  <c r="C3743" i="7"/>
  <c r="D3742" i="7"/>
  <c r="K3741" i="7"/>
  <c r="G3741" i="7"/>
  <c r="C3741" i="7"/>
  <c r="H3740" i="7"/>
  <c r="D3740" i="7"/>
  <c r="I3739" i="7"/>
  <c r="E3739" i="7"/>
  <c r="A3739" i="7"/>
  <c r="J3738" i="7"/>
  <c r="F3738" i="7"/>
  <c r="B3738" i="7"/>
  <c r="K3737" i="7"/>
  <c r="A3737" i="7"/>
  <c r="J3736" i="7"/>
  <c r="F3736" i="7"/>
  <c r="B3736" i="7"/>
  <c r="K3735" i="7"/>
  <c r="G3735" i="7"/>
  <c r="C3735" i="7"/>
  <c r="D3734" i="7"/>
  <c r="K3733" i="7"/>
  <c r="G3733" i="7"/>
  <c r="C3733" i="7"/>
  <c r="H3732" i="7"/>
  <c r="D3732" i="7"/>
  <c r="I3731" i="7"/>
  <c r="E3731" i="7"/>
  <c r="A3731" i="7"/>
  <c r="J3730" i="7"/>
  <c r="E3730" i="7"/>
  <c r="A3730" i="7"/>
  <c r="J3729" i="7"/>
  <c r="F3729" i="7"/>
  <c r="B3729" i="7"/>
  <c r="K3728" i="7"/>
  <c r="A3728" i="7"/>
  <c r="J3727" i="7"/>
  <c r="F3727" i="7"/>
  <c r="B3727" i="7"/>
  <c r="K3726" i="7"/>
  <c r="G3726" i="7"/>
  <c r="C3726" i="7"/>
  <c r="H3725" i="7"/>
  <c r="D3725" i="7"/>
  <c r="I3724" i="7"/>
  <c r="E3724" i="7"/>
  <c r="A3724" i="7"/>
  <c r="J3723" i="7"/>
  <c r="E3723" i="7"/>
  <c r="A3723" i="7"/>
  <c r="J3722" i="7"/>
  <c r="E3722" i="7"/>
  <c r="A3722" i="7"/>
  <c r="J3721" i="7"/>
  <c r="F3721" i="7"/>
  <c r="B3721" i="7"/>
  <c r="K3720" i="7"/>
  <c r="H3719" i="7"/>
  <c r="D3719" i="7"/>
  <c r="H3718" i="7"/>
  <c r="D3718" i="7"/>
  <c r="H3717" i="7"/>
  <c r="D3717" i="7"/>
  <c r="H3716" i="7"/>
  <c r="D3716" i="7"/>
  <c r="H3715" i="7"/>
  <c r="D3715" i="7"/>
  <c r="E3714" i="7"/>
  <c r="H3713" i="7"/>
  <c r="D3713" i="7"/>
  <c r="H3712" i="7"/>
  <c r="D3712" i="7"/>
  <c r="H3711" i="7"/>
  <c r="D3711" i="7"/>
  <c r="H3710" i="7"/>
  <c r="D3710" i="7"/>
  <c r="H3709" i="7"/>
  <c r="D3709" i="7"/>
  <c r="H3708" i="7"/>
  <c r="D3708" i="7"/>
  <c r="H3707" i="7"/>
  <c r="D3707" i="7"/>
  <c r="H3706" i="7"/>
  <c r="D3706" i="7"/>
  <c r="H3705" i="7"/>
  <c r="D3705" i="7"/>
  <c r="H3704" i="7"/>
  <c r="D3704" i="7"/>
  <c r="H3703" i="7"/>
  <c r="D3703" i="7"/>
  <c r="H3702" i="7"/>
  <c r="D3702" i="7"/>
  <c r="H3701" i="7"/>
  <c r="D3701" i="7"/>
  <c r="I3700" i="7"/>
  <c r="E3700" i="7"/>
  <c r="A3700" i="7"/>
  <c r="J3699" i="7"/>
  <c r="E3699" i="7"/>
  <c r="A3699" i="7"/>
  <c r="J3698" i="7"/>
  <c r="E3698" i="7"/>
  <c r="A3698" i="7"/>
  <c r="J3697" i="7"/>
  <c r="E3697" i="7"/>
  <c r="A3697" i="7"/>
  <c r="J3696" i="7"/>
  <c r="E3696" i="7"/>
  <c r="A3696" i="7"/>
  <c r="J3695" i="7"/>
  <c r="E3695" i="7"/>
  <c r="A3695" i="7"/>
  <c r="J3694" i="7"/>
  <c r="E3694" i="7"/>
  <c r="A3694" i="7"/>
  <c r="J3693" i="7"/>
  <c r="E3693" i="7"/>
  <c r="A3693" i="7"/>
  <c r="J3692" i="7"/>
  <c r="E3692" i="7"/>
  <c r="A3692" i="7"/>
  <c r="J3691" i="7"/>
  <c r="E3691" i="7"/>
  <c r="A3691" i="7"/>
  <c r="J3690" i="7"/>
  <c r="F3690" i="7"/>
  <c r="B3690" i="7"/>
  <c r="K3689" i="7"/>
  <c r="G3689" i="7"/>
  <c r="C3689" i="7"/>
  <c r="G3688" i="7"/>
  <c r="C3688" i="7"/>
  <c r="G3687" i="7"/>
  <c r="C3687" i="7"/>
  <c r="G3686" i="7"/>
  <c r="C3686" i="7"/>
  <c r="G3685" i="7"/>
  <c r="C3685" i="7"/>
  <c r="G3684" i="7"/>
  <c r="C3684" i="7"/>
  <c r="G3683" i="7"/>
  <c r="C3683" i="7"/>
  <c r="G3682" i="7"/>
  <c r="C3682" i="7"/>
  <c r="G3681" i="7"/>
  <c r="C3681" i="7"/>
  <c r="G3680" i="7"/>
  <c r="C3680" i="7"/>
  <c r="G3679" i="7"/>
  <c r="C3679" i="7"/>
  <c r="G3678" i="7"/>
  <c r="C3678" i="7"/>
  <c r="G3677" i="7"/>
  <c r="C3677" i="7"/>
  <c r="G3676" i="7"/>
  <c r="C3676" i="7"/>
  <c r="G3675" i="7"/>
  <c r="C3675" i="7"/>
  <c r="G3674" i="7"/>
  <c r="C3674" i="7"/>
  <c r="G3673" i="7"/>
  <c r="C3673" i="7"/>
  <c r="G3672" i="7"/>
  <c r="C3672" i="7"/>
  <c r="G3671" i="7"/>
  <c r="C3671" i="7"/>
  <c r="G3670" i="7"/>
  <c r="C3670" i="7"/>
  <c r="G3669" i="7"/>
  <c r="C3669" i="7"/>
  <c r="G3668" i="7"/>
  <c r="C3668" i="7"/>
  <c r="G3667" i="7"/>
  <c r="C3667" i="7"/>
  <c r="G3666" i="7"/>
  <c r="C3666" i="7"/>
  <c r="G3665" i="7"/>
  <c r="C3665" i="7"/>
  <c r="G3664" i="7"/>
  <c r="C3664" i="7"/>
  <c r="G3663" i="7"/>
  <c r="C3663" i="7"/>
  <c r="G3662" i="7"/>
  <c r="C3662" i="7"/>
  <c r="G3661" i="7"/>
  <c r="C3661" i="7"/>
  <c r="G3660" i="7"/>
  <c r="C3660" i="7"/>
  <c r="G3659" i="7"/>
  <c r="C3659" i="7"/>
  <c r="G3658" i="7"/>
  <c r="C3658" i="7"/>
  <c r="G3657" i="7"/>
  <c r="C3657" i="7"/>
  <c r="G3656" i="7"/>
  <c r="C3656" i="7"/>
  <c r="G3655" i="7"/>
  <c r="C3655" i="7"/>
  <c r="G3654" i="7"/>
  <c r="C3654" i="7"/>
  <c r="G3653" i="7"/>
  <c r="C3653" i="7"/>
  <c r="G3652" i="7"/>
  <c r="C3652" i="7"/>
  <c r="G3651" i="7"/>
  <c r="C3651" i="7"/>
  <c r="G3650" i="7"/>
  <c r="C3650" i="7"/>
  <c r="G3649" i="7"/>
  <c r="C3649" i="7"/>
  <c r="G3648" i="7"/>
  <c r="C3648" i="7"/>
  <c r="G3647" i="7"/>
  <c r="C3647" i="7"/>
  <c r="G3646" i="7"/>
  <c r="C3646" i="7"/>
  <c r="G3645" i="7"/>
  <c r="C3645" i="7"/>
  <c r="H3644" i="7"/>
  <c r="D3644" i="7"/>
  <c r="H3643" i="7"/>
  <c r="D3643" i="7"/>
  <c r="H3642" i="7"/>
  <c r="D3642" i="7"/>
  <c r="H3641" i="7"/>
  <c r="D3641" i="7"/>
  <c r="H3640" i="7"/>
  <c r="D3640" i="7"/>
  <c r="H3639" i="7"/>
  <c r="D3639" i="7"/>
  <c r="H3638" i="7"/>
  <c r="D3638" i="7"/>
  <c r="H3637" i="7"/>
  <c r="D3637" i="7"/>
  <c r="H3636" i="7"/>
  <c r="D3636" i="7"/>
  <c r="H3635" i="7"/>
  <c r="D3635" i="7"/>
  <c r="H3634" i="7"/>
  <c r="D3634" i="7"/>
  <c r="H3633" i="7"/>
  <c r="D3633" i="7"/>
  <c r="H3632" i="7"/>
  <c r="D3632" i="7"/>
  <c r="H3631" i="7"/>
  <c r="D3631" i="7"/>
  <c r="H3630" i="7"/>
  <c r="D3630" i="7"/>
  <c r="H3629" i="7"/>
  <c r="D3629" i="7"/>
  <c r="H3628" i="7"/>
  <c r="D3628" i="7"/>
  <c r="H3627" i="7"/>
  <c r="D3627" i="7"/>
  <c r="H3626" i="7"/>
  <c r="D3626" i="7"/>
  <c r="H3625" i="7"/>
  <c r="D3625" i="7"/>
  <c r="H3624" i="7"/>
  <c r="D3624" i="7"/>
  <c r="H3623" i="7"/>
  <c r="D3623" i="7"/>
  <c r="H3622" i="7"/>
  <c r="D3622" i="7"/>
  <c r="H3621" i="7"/>
  <c r="D3621" i="7"/>
  <c r="H3620" i="7"/>
  <c r="D3620" i="7"/>
  <c r="H3619" i="7"/>
  <c r="D3619" i="7"/>
  <c r="H3618" i="7"/>
  <c r="D3618" i="7"/>
  <c r="H3617" i="7"/>
  <c r="D3617" i="7"/>
  <c r="H3616" i="7"/>
  <c r="D3616" i="7"/>
  <c r="H3615" i="7"/>
  <c r="D3615" i="7"/>
  <c r="H3614" i="7"/>
  <c r="D3614" i="7"/>
  <c r="H3613" i="7"/>
  <c r="D3613" i="7"/>
  <c r="H3612" i="7"/>
  <c r="D3612" i="7"/>
  <c r="H3611" i="7"/>
  <c r="D3611" i="7"/>
  <c r="H3610" i="7"/>
  <c r="D3610" i="7"/>
  <c r="H3609" i="7"/>
  <c r="D3609" i="7"/>
  <c r="H3608" i="7"/>
  <c r="D3608" i="7"/>
  <c r="H3607" i="7"/>
  <c r="D3607" i="7"/>
  <c r="H3606" i="7"/>
  <c r="D3606" i="7"/>
  <c r="H3605" i="7"/>
  <c r="D3605" i="7"/>
  <c r="H3604" i="7"/>
  <c r="D3604" i="7"/>
  <c r="H3603" i="7"/>
  <c r="D3603" i="7"/>
  <c r="A3302" i="7"/>
  <c r="K3301" i="7"/>
  <c r="A3300" i="7"/>
  <c r="K3299" i="7"/>
  <c r="A3298" i="7"/>
  <c r="K3297" i="7"/>
  <c r="A3296" i="7"/>
  <c r="K3295" i="7"/>
  <c r="A3294" i="7"/>
  <c r="K3293" i="7"/>
  <c r="A3292" i="7"/>
  <c r="K3291" i="7"/>
  <c r="A3290" i="7"/>
  <c r="K3289" i="7"/>
  <c r="A3288" i="7"/>
  <c r="K3287" i="7"/>
  <c r="A3286" i="7"/>
  <c r="K3285" i="7"/>
  <c r="A3284" i="7"/>
  <c r="K3283" i="7"/>
  <c r="A3282" i="7"/>
  <c r="K3281" i="7"/>
  <c r="A3280" i="7"/>
  <c r="K3279" i="7"/>
  <c r="A3278" i="7"/>
  <c r="K3277" i="7"/>
  <c r="A3276" i="7"/>
  <c r="K3275" i="7"/>
  <c r="A3274" i="7"/>
  <c r="K3273" i="7"/>
  <c r="A3272" i="7"/>
  <c r="K3271" i="7"/>
  <c r="A3270" i="7"/>
  <c r="K3269" i="7"/>
  <c r="A3268" i="7"/>
  <c r="K3267" i="7"/>
  <c r="A3266" i="7"/>
  <c r="K3265" i="7"/>
  <c r="A3264" i="7"/>
  <c r="K3263" i="7"/>
  <c r="A3262" i="7"/>
  <c r="K3261" i="7"/>
  <c r="A3260" i="7"/>
  <c r="K3259" i="7"/>
  <c r="A3258" i="7"/>
  <c r="K3257" i="7"/>
  <c r="A3256" i="7"/>
  <c r="K3255" i="7"/>
  <c r="A3254" i="7"/>
  <c r="K3253" i="7"/>
  <c r="A3252" i="7"/>
  <c r="K3251" i="7"/>
  <c r="A3250" i="7"/>
  <c r="K3249" i="7"/>
  <c r="A3248" i="7"/>
  <c r="K3247" i="7"/>
  <c r="A3246" i="7"/>
  <c r="K3245" i="7"/>
  <c r="A3244" i="7"/>
  <c r="K3243" i="7"/>
  <c r="A3242" i="7"/>
  <c r="K3241" i="7"/>
  <c r="A3240" i="7"/>
  <c r="K3239" i="7"/>
  <c r="A3238" i="7"/>
  <c r="K3237" i="7"/>
  <c r="A3236" i="7"/>
  <c r="K3235" i="7"/>
  <c r="A3234" i="7"/>
  <c r="K3233" i="7"/>
  <c r="A3232" i="7"/>
  <c r="K3231" i="7"/>
  <c r="A3230" i="7"/>
  <c r="K3229" i="7"/>
  <c r="A3228" i="7"/>
  <c r="K3227" i="7"/>
  <c r="A3226" i="7"/>
  <c r="K3225" i="7"/>
  <c r="A3224" i="7"/>
  <c r="K3223" i="7"/>
  <c r="A3222" i="7"/>
  <c r="K3221" i="7"/>
  <c r="A3220" i="7"/>
  <c r="K3219" i="7"/>
  <c r="A3218" i="7"/>
  <c r="K3217" i="7"/>
  <c r="A3216" i="7"/>
  <c r="K3215" i="7"/>
  <c r="A3214" i="7"/>
  <c r="K3213" i="7"/>
  <c r="A3212" i="7"/>
  <c r="K3211" i="7"/>
  <c r="A3210" i="7"/>
  <c r="K3209" i="7"/>
  <c r="A3208" i="7"/>
  <c r="K3207" i="7"/>
  <c r="A3206" i="7"/>
  <c r="K3205" i="7"/>
  <c r="A3204" i="7"/>
  <c r="K3203" i="7"/>
  <c r="A3202" i="7"/>
  <c r="K3201" i="7"/>
  <c r="A3200" i="7"/>
  <c r="K3199" i="7"/>
  <c r="A3198" i="7"/>
  <c r="K3197" i="7"/>
  <c r="A3196" i="7"/>
  <c r="K3195" i="7"/>
  <c r="A3194" i="7"/>
  <c r="K3193" i="7"/>
  <c r="A3192" i="7"/>
  <c r="K3191" i="7"/>
  <c r="A3190" i="7"/>
  <c r="K3189" i="7"/>
  <c r="A3188" i="7"/>
  <c r="K3187" i="7"/>
  <c r="A3186" i="7"/>
  <c r="K3185" i="7"/>
  <c r="A3184" i="7"/>
  <c r="K3183" i="7"/>
  <c r="A3182" i="7"/>
  <c r="K3181" i="7"/>
  <c r="A3180" i="7"/>
  <c r="K3179" i="7"/>
  <c r="A3178" i="7"/>
  <c r="K3177" i="7"/>
  <c r="A3176" i="7"/>
  <c r="K3175" i="7"/>
  <c r="D3841" i="7"/>
  <c r="A3838" i="7"/>
  <c r="K3828" i="7"/>
  <c r="D3825" i="7"/>
  <c r="A3822" i="7"/>
  <c r="K3812" i="7"/>
  <c r="D3809" i="7"/>
  <c r="A3806" i="7"/>
  <c r="K3796" i="7"/>
  <c r="D3793" i="7"/>
  <c r="A3790" i="7"/>
  <c r="K3784" i="7"/>
  <c r="D3783" i="7"/>
  <c r="A3782" i="7"/>
  <c r="K3776" i="7"/>
  <c r="D3775" i="7"/>
  <c r="A3774" i="7"/>
  <c r="E3772" i="7"/>
  <c r="J3771" i="7"/>
  <c r="B3771" i="7"/>
  <c r="G3770" i="7"/>
  <c r="B3770" i="7"/>
  <c r="J3769" i="7"/>
  <c r="D3769" i="7"/>
  <c r="A3768" i="7"/>
  <c r="H3767" i="7"/>
  <c r="C3767" i="7"/>
  <c r="K3766" i="7"/>
  <c r="E3766" i="7"/>
  <c r="G3765" i="7"/>
  <c r="A3765" i="7"/>
  <c r="H3764" i="7"/>
  <c r="C3764" i="7"/>
  <c r="J3763" i="7"/>
  <c r="D3763" i="7"/>
  <c r="G3762" i="7"/>
  <c r="C3762" i="7"/>
  <c r="G3761" i="7"/>
  <c r="C3761" i="7"/>
  <c r="H3760" i="7"/>
  <c r="D3760" i="7"/>
  <c r="I3759" i="7"/>
  <c r="E3759" i="7"/>
  <c r="A3759" i="7"/>
  <c r="J3758" i="7"/>
  <c r="E3758" i="7"/>
  <c r="A3758" i="7"/>
  <c r="J3757" i="7"/>
  <c r="E3757" i="7"/>
  <c r="A3757" i="7"/>
  <c r="J3756" i="7"/>
  <c r="E3756" i="7"/>
  <c r="A3756" i="7"/>
  <c r="J3755" i="7"/>
  <c r="E3755" i="7"/>
  <c r="A3755" i="7"/>
  <c r="J3754" i="7"/>
  <c r="E3754" i="7"/>
  <c r="A3754" i="7"/>
  <c r="J3753" i="7"/>
  <c r="E3753" i="7"/>
  <c r="A3753" i="7"/>
  <c r="J3752" i="7"/>
  <c r="E3752" i="7"/>
  <c r="A3752" i="7"/>
  <c r="J3751" i="7"/>
  <c r="E3751" i="7"/>
  <c r="A3751" i="7"/>
  <c r="J3750" i="7"/>
  <c r="E3750" i="7"/>
  <c r="A3750" i="7"/>
  <c r="J3749" i="7"/>
  <c r="E3749" i="7"/>
  <c r="A3749" i="7"/>
  <c r="J3748" i="7"/>
  <c r="E3748" i="7"/>
  <c r="A3748" i="7"/>
  <c r="J3747" i="7"/>
  <c r="E3747" i="7"/>
  <c r="A3747" i="7"/>
  <c r="J3746" i="7"/>
  <c r="E3746" i="7"/>
  <c r="A3746" i="7"/>
  <c r="J3745" i="7"/>
  <c r="E3745" i="7"/>
  <c r="A3745" i="7"/>
  <c r="J3744" i="7"/>
  <c r="F3744" i="7"/>
  <c r="B3744" i="7"/>
  <c r="K3743" i="7"/>
  <c r="F3743" i="7"/>
  <c r="B3743" i="7"/>
  <c r="K3742" i="7"/>
  <c r="A3742" i="7"/>
  <c r="J3741" i="7"/>
  <c r="F3741" i="7"/>
  <c r="B3741" i="7"/>
  <c r="K3740" i="7"/>
  <c r="G3740" i="7"/>
  <c r="C3740" i="7"/>
  <c r="H3739" i="7"/>
  <c r="D3739" i="7"/>
  <c r="I3738" i="7"/>
  <c r="E3738" i="7"/>
  <c r="A3738" i="7"/>
  <c r="F3737" i="7"/>
  <c r="I3736" i="7"/>
  <c r="E3736" i="7"/>
  <c r="A3736" i="7"/>
  <c r="J3735" i="7"/>
  <c r="F3735" i="7"/>
  <c r="B3735" i="7"/>
  <c r="K3734" i="7"/>
  <c r="A3734" i="7"/>
  <c r="J3733" i="7"/>
  <c r="F3733" i="7"/>
  <c r="B3733" i="7"/>
  <c r="K3732" i="7"/>
  <c r="G3732" i="7"/>
  <c r="C3732" i="7"/>
  <c r="H3731" i="7"/>
  <c r="D3731" i="7"/>
  <c r="H3730" i="7"/>
  <c r="D3730" i="7"/>
  <c r="I3729" i="7"/>
  <c r="E3729" i="7"/>
  <c r="A3729" i="7"/>
  <c r="F3728" i="7"/>
  <c r="I3727" i="7"/>
  <c r="E3727" i="7"/>
  <c r="A3727" i="7"/>
  <c r="J3726" i="7"/>
  <c r="F3726" i="7"/>
  <c r="B3726" i="7"/>
  <c r="K3725" i="7"/>
  <c r="G3725" i="7"/>
  <c r="C3725" i="7"/>
  <c r="H3724" i="7"/>
  <c r="D3724" i="7"/>
  <c r="H3723" i="7"/>
  <c r="D3723" i="7"/>
  <c r="H3722" i="7"/>
  <c r="D3722" i="7"/>
  <c r="I3721" i="7"/>
  <c r="E3721" i="7"/>
  <c r="A3721" i="7"/>
  <c r="D3720" i="7"/>
  <c r="K3719" i="7"/>
  <c r="G3719" i="7"/>
  <c r="C3719" i="7"/>
  <c r="G3718" i="7"/>
  <c r="C3718" i="7"/>
  <c r="G3717" i="7"/>
  <c r="C3717" i="7"/>
  <c r="G3716" i="7"/>
  <c r="C3716" i="7"/>
  <c r="G3715" i="7"/>
  <c r="C3715" i="7"/>
  <c r="D3714" i="7"/>
  <c r="K3713" i="7"/>
  <c r="G3713" i="7"/>
  <c r="C3713" i="7"/>
  <c r="G3712" i="7"/>
  <c r="C3712" i="7"/>
  <c r="G3711" i="7"/>
  <c r="C3711" i="7"/>
  <c r="G3710" i="7"/>
  <c r="C3710" i="7"/>
  <c r="G3709" i="7"/>
  <c r="C3709" i="7"/>
  <c r="G3708" i="7"/>
  <c r="C3708" i="7"/>
  <c r="G3707" i="7"/>
  <c r="C3707" i="7"/>
  <c r="G3706" i="7"/>
  <c r="C3706" i="7"/>
  <c r="G3705" i="7"/>
  <c r="C3705" i="7"/>
  <c r="G3704" i="7"/>
  <c r="C3704" i="7"/>
  <c r="G3703" i="7"/>
  <c r="C3703" i="7"/>
  <c r="G3702" i="7"/>
  <c r="C3702" i="7"/>
  <c r="G3701" i="7"/>
  <c r="C3701" i="7"/>
  <c r="H3700" i="7"/>
  <c r="D3700" i="7"/>
  <c r="H3699" i="7"/>
  <c r="D3699" i="7"/>
  <c r="H3698" i="7"/>
  <c r="D3698" i="7"/>
  <c r="H3697" i="7"/>
  <c r="D3697" i="7"/>
  <c r="H3696" i="7"/>
  <c r="D3696" i="7"/>
  <c r="H3695" i="7"/>
  <c r="D3695" i="7"/>
  <c r="H3694" i="7"/>
  <c r="D3694" i="7"/>
  <c r="H3693" i="7"/>
  <c r="D3693" i="7"/>
  <c r="H3692" i="7"/>
  <c r="D3692" i="7"/>
  <c r="H3691" i="7"/>
  <c r="D3691" i="7"/>
  <c r="I3690" i="7"/>
  <c r="E3690" i="7"/>
  <c r="A3690" i="7"/>
  <c r="J3689" i="7"/>
  <c r="F3689" i="7"/>
  <c r="B3689" i="7"/>
  <c r="K3688" i="7"/>
  <c r="F3688" i="7"/>
  <c r="B3688" i="7"/>
  <c r="K3687" i="7"/>
  <c r="F3687" i="7"/>
  <c r="B3687" i="7"/>
  <c r="K3686" i="7"/>
  <c r="F3686" i="7"/>
  <c r="B3686" i="7"/>
  <c r="K3685" i="7"/>
  <c r="F3685" i="7"/>
  <c r="B3685" i="7"/>
  <c r="K3684" i="7"/>
  <c r="F3684" i="7"/>
  <c r="B3684" i="7"/>
  <c r="K3683" i="7"/>
  <c r="F3683" i="7"/>
  <c r="B3683" i="7"/>
  <c r="K3682" i="7"/>
  <c r="F3682" i="7"/>
  <c r="B3682" i="7"/>
  <c r="K3681" i="7"/>
  <c r="F3681" i="7"/>
  <c r="B3681" i="7"/>
  <c r="K3680" i="7"/>
  <c r="F3680" i="7"/>
  <c r="B3680" i="7"/>
  <c r="K3679" i="7"/>
  <c r="F3679" i="7"/>
  <c r="B3679" i="7"/>
  <c r="K3678" i="7"/>
  <c r="F3678" i="7"/>
  <c r="B3678" i="7"/>
  <c r="K3677" i="7"/>
  <c r="F3677" i="7"/>
  <c r="B3677" i="7"/>
  <c r="K3676" i="7"/>
  <c r="F3676" i="7"/>
  <c r="B3676" i="7"/>
  <c r="K3675" i="7"/>
  <c r="F3675" i="7"/>
  <c r="B3675" i="7"/>
  <c r="K3674" i="7"/>
  <c r="F3674" i="7"/>
  <c r="B3674" i="7"/>
  <c r="K3673" i="7"/>
  <c r="F3673" i="7"/>
  <c r="B3673" i="7"/>
  <c r="K3672" i="7"/>
  <c r="F3672" i="7"/>
  <c r="B3672" i="7"/>
  <c r="K3671" i="7"/>
  <c r="F3671" i="7"/>
  <c r="B3671" i="7"/>
  <c r="K3670" i="7"/>
  <c r="F3670" i="7"/>
  <c r="B3670" i="7"/>
  <c r="K3669" i="7"/>
  <c r="F3669" i="7"/>
  <c r="B3669" i="7"/>
  <c r="K3668" i="7"/>
  <c r="F3668" i="7"/>
  <c r="B3668" i="7"/>
  <c r="K3667" i="7"/>
  <c r="F3667" i="7"/>
  <c r="B3667" i="7"/>
  <c r="K3666" i="7"/>
  <c r="F3666" i="7"/>
  <c r="B3666" i="7"/>
  <c r="K3665" i="7"/>
  <c r="F3665" i="7"/>
  <c r="B3665" i="7"/>
  <c r="K3664" i="7"/>
  <c r="F3664" i="7"/>
  <c r="B3664" i="7"/>
  <c r="K3663" i="7"/>
  <c r="F3663" i="7"/>
  <c r="B3663" i="7"/>
  <c r="K3662" i="7"/>
  <c r="F3662" i="7"/>
  <c r="B3662" i="7"/>
  <c r="K3661" i="7"/>
  <c r="F3661" i="7"/>
  <c r="B3661" i="7"/>
  <c r="K3660" i="7"/>
  <c r="F3660" i="7"/>
  <c r="B3660" i="7"/>
  <c r="K3659" i="7"/>
  <c r="F3659" i="7"/>
  <c r="B3659" i="7"/>
  <c r="K3658" i="7"/>
  <c r="F3658" i="7"/>
  <c r="B3658" i="7"/>
  <c r="K3657" i="7"/>
  <c r="F3657" i="7"/>
  <c r="B3657" i="7"/>
  <c r="K3656" i="7"/>
  <c r="F3656" i="7"/>
  <c r="B3656" i="7"/>
  <c r="K3655" i="7"/>
  <c r="F3655" i="7"/>
  <c r="B3655" i="7"/>
  <c r="K3654" i="7"/>
  <c r="F3654" i="7"/>
  <c r="B3654" i="7"/>
  <c r="K3653" i="7"/>
  <c r="F3653" i="7"/>
  <c r="B3653" i="7"/>
  <c r="K3652" i="7"/>
  <c r="F3652" i="7"/>
  <c r="B3652" i="7"/>
  <c r="K3651" i="7"/>
  <c r="F3651" i="7"/>
  <c r="B3651" i="7"/>
  <c r="K3650" i="7"/>
  <c r="F3650" i="7"/>
  <c r="B3650" i="7"/>
  <c r="K3649" i="7"/>
  <c r="F3649" i="7"/>
  <c r="B3649" i="7"/>
  <c r="K3648" i="7"/>
  <c r="F3648" i="7"/>
  <c r="B3648" i="7"/>
  <c r="K3647" i="7"/>
  <c r="F3647" i="7"/>
  <c r="B3647" i="7"/>
  <c r="K3646" i="7"/>
  <c r="F3646" i="7"/>
  <c r="B3646" i="7"/>
  <c r="K3645" i="7"/>
  <c r="F3645" i="7"/>
  <c r="B3645" i="7"/>
  <c r="K3644" i="7"/>
  <c r="G3644" i="7"/>
  <c r="C3644" i="7"/>
  <c r="G3643" i="7"/>
  <c r="C3643" i="7"/>
  <c r="G3642" i="7"/>
  <c r="C3642" i="7"/>
  <c r="G3641" i="7"/>
  <c r="C3641" i="7"/>
  <c r="G3640" i="7"/>
  <c r="C3640" i="7"/>
  <c r="G3639" i="7"/>
  <c r="C3639" i="7"/>
  <c r="G3638" i="7"/>
  <c r="C3638" i="7"/>
  <c r="G3637" i="7"/>
  <c r="C3637" i="7"/>
  <c r="G3636" i="7"/>
  <c r="C3636" i="7"/>
  <c r="G3635" i="7"/>
  <c r="C3635" i="7"/>
  <c r="G3634" i="7"/>
  <c r="C3634" i="7"/>
  <c r="G3633" i="7"/>
  <c r="C3633" i="7"/>
  <c r="G3632" i="7"/>
  <c r="C3632" i="7"/>
  <c r="G3631" i="7"/>
  <c r="C3631" i="7"/>
  <c r="G3630" i="7"/>
  <c r="C3630" i="7"/>
  <c r="G3629" i="7"/>
  <c r="C3629" i="7"/>
  <c r="G3628" i="7"/>
  <c r="C3628" i="7"/>
  <c r="G3627" i="7"/>
  <c r="C3627" i="7"/>
  <c r="G3626" i="7"/>
  <c r="C3626" i="7"/>
  <c r="G3625" i="7"/>
  <c r="C3625" i="7"/>
  <c r="G3624" i="7"/>
  <c r="C3624" i="7"/>
  <c r="G3623" i="7"/>
  <c r="C3623" i="7"/>
  <c r="G3622" i="7"/>
  <c r="C3622" i="7"/>
  <c r="G3621" i="7"/>
  <c r="C3621" i="7"/>
  <c r="G3620" i="7"/>
  <c r="C3620" i="7"/>
  <c r="G3619" i="7"/>
  <c r="C3619" i="7"/>
  <c r="G3618" i="7"/>
  <c r="C3618" i="7"/>
  <c r="G3617" i="7"/>
  <c r="C3617" i="7"/>
  <c r="G3616" i="7"/>
  <c r="C3616" i="7"/>
  <c r="G3615" i="7"/>
  <c r="C3615" i="7"/>
  <c r="G3614" i="7"/>
  <c r="C3614" i="7"/>
  <c r="G3613" i="7"/>
  <c r="C3613" i="7"/>
  <c r="G3612" i="7"/>
  <c r="C3612" i="7"/>
  <c r="G3611" i="7"/>
  <c r="C3611" i="7"/>
  <c r="G3610" i="7"/>
  <c r="C3610" i="7"/>
  <c r="G3609" i="7"/>
  <c r="C3609" i="7"/>
  <c r="G3608" i="7"/>
  <c r="C3608" i="7"/>
  <c r="G3607" i="7"/>
  <c r="C3607" i="7"/>
  <c r="G3606" i="7"/>
  <c r="C3606" i="7"/>
  <c r="G3605" i="7"/>
  <c r="C3605" i="7"/>
  <c r="G3604" i="7"/>
  <c r="C3604" i="7"/>
  <c r="G3603" i="7"/>
  <c r="C3603" i="7"/>
  <c r="L3303" i="7"/>
  <c r="Q3301" i="7"/>
  <c r="D3301" i="7"/>
  <c r="Q3299" i="7"/>
  <c r="D3299" i="7"/>
  <c r="Q3297" i="7"/>
  <c r="D3297" i="7"/>
  <c r="Q3295" i="7"/>
  <c r="D3295" i="7"/>
  <c r="Q3293" i="7"/>
  <c r="D3293" i="7"/>
  <c r="Q3291" i="7"/>
  <c r="D3291" i="7"/>
  <c r="Q3289" i="7"/>
  <c r="D3289" i="7"/>
  <c r="Q3287" i="7"/>
  <c r="D3287" i="7"/>
  <c r="Q3285" i="7"/>
  <c r="D3285" i="7"/>
  <c r="Q3283" i="7"/>
  <c r="D3283" i="7"/>
  <c r="Q3281" i="7"/>
  <c r="D3281" i="7"/>
  <c r="Q3279" i="7"/>
  <c r="D3279" i="7"/>
  <c r="Q3277" i="7"/>
  <c r="D3277" i="7"/>
  <c r="Q3275" i="7"/>
  <c r="D3275" i="7"/>
  <c r="Q3273" i="7"/>
  <c r="D3273" i="7"/>
  <c r="Q3271" i="7"/>
  <c r="D3271" i="7"/>
  <c r="Q3269" i="7"/>
  <c r="D3269" i="7"/>
  <c r="Q3267" i="7"/>
  <c r="D3267" i="7"/>
  <c r="Q3265" i="7"/>
  <c r="D3265" i="7"/>
  <c r="Q3263" i="7"/>
  <c r="D3263" i="7"/>
  <c r="Q3261" i="7"/>
  <c r="D3261" i="7"/>
  <c r="Q3259" i="7"/>
  <c r="D3259" i="7"/>
  <c r="Q3257" i="7"/>
  <c r="D3257" i="7"/>
  <c r="Q3255" i="7"/>
  <c r="D3255" i="7"/>
  <c r="Q3253" i="7"/>
  <c r="D3253" i="7"/>
  <c r="Q3251" i="7"/>
  <c r="D3251" i="7"/>
  <c r="Q3249" i="7"/>
  <c r="D3249" i="7"/>
  <c r="Q3247" i="7"/>
  <c r="D3247" i="7"/>
  <c r="Q3245" i="7"/>
  <c r="D3245" i="7"/>
  <c r="Q3243" i="7"/>
  <c r="D3243" i="7"/>
  <c r="Q3241" i="7"/>
  <c r="D3241" i="7"/>
  <c r="Q3239" i="7"/>
  <c r="D3239" i="7"/>
  <c r="Q3237" i="7"/>
  <c r="D3237" i="7"/>
  <c r="Q3235" i="7"/>
  <c r="D3235" i="7"/>
  <c r="Q3233" i="7"/>
  <c r="D3233" i="7"/>
  <c r="Q3231" i="7"/>
  <c r="D3231" i="7"/>
  <c r="Q3229" i="7"/>
  <c r="D3229" i="7"/>
  <c r="Q3227" i="7"/>
  <c r="D3227" i="7"/>
  <c r="Q3225" i="7"/>
  <c r="D3225" i="7"/>
  <c r="Q3223" i="7"/>
  <c r="D3223" i="7"/>
  <c r="Q3221" i="7"/>
  <c r="D3221" i="7"/>
  <c r="Q3219" i="7"/>
  <c r="D3219" i="7"/>
  <c r="Q3217" i="7"/>
  <c r="D3217" i="7"/>
  <c r="Q3215" i="7"/>
  <c r="D3215" i="7"/>
  <c r="Q3213" i="7"/>
  <c r="D3213" i="7"/>
  <c r="Q3211" i="7"/>
  <c r="D3211" i="7"/>
  <c r="Q3209" i="7"/>
  <c r="D3209" i="7"/>
  <c r="Q3207" i="7"/>
  <c r="D3207" i="7"/>
  <c r="Q3205" i="7"/>
  <c r="D3205" i="7"/>
  <c r="Q3203" i="7"/>
  <c r="D3203" i="7"/>
  <c r="Q3201" i="7"/>
  <c r="D3201" i="7"/>
  <c r="Q3199" i="7"/>
  <c r="D3199" i="7"/>
  <c r="Q3197" i="7"/>
  <c r="D3197" i="7"/>
  <c r="Q3195" i="7"/>
  <c r="D3195" i="7"/>
  <c r="Q3193" i="7"/>
  <c r="D3193" i="7"/>
  <c r="Q3191" i="7"/>
  <c r="D3191" i="7"/>
  <c r="Q3189" i="7"/>
  <c r="D3189" i="7"/>
  <c r="Q3187" i="7"/>
  <c r="D3187" i="7"/>
  <c r="Q3185" i="7"/>
  <c r="D3185" i="7"/>
  <c r="Q3183" i="7"/>
  <c r="D3183" i="7"/>
  <c r="Q3181" i="7"/>
  <c r="D3181" i="7"/>
  <c r="Q3179" i="7"/>
  <c r="D3179" i="7"/>
  <c r="Q3177" i="7"/>
  <c r="D3177" i="7"/>
  <c r="Q3175" i="7"/>
  <c r="D3175" i="7"/>
  <c r="Q3173" i="7"/>
  <c r="D3173" i="7"/>
  <c r="Q3171" i="7"/>
  <c r="D3171" i="7"/>
  <c r="Q3169" i="7"/>
  <c r="D3169" i="7"/>
  <c r="Q3167" i="7"/>
  <c r="D3167" i="7"/>
  <c r="Q3165" i="7"/>
  <c r="D3165" i="7"/>
  <c r="Q3163" i="7"/>
  <c r="D3163" i="7"/>
  <c r="Q3161" i="7"/>
  <c r="D3161" i="7"/>
  <c r="Q3159" i="7"/>
  <c r="D3159" i="7"/>
  <c r="Q3157" i="7"/>
  <c r="D3157" i="7"/>
  <c r="Q3155" i="7"/>
  <c r="D3155" i="7"/>
  <c r="Q3153" i="7"/>
  <c r="D3153" i="7"/>
  <c r="Q3151" i="7"/>
  <c r="D3151" i="7"/>
  <c r="Q3149" i="7"/>
  <c r="D3149" i="7"/>
  <c r="Q3147" i="7"/>
  <c r="D3147" i="7"/>
  <c r="Q3145" i="7"/>
  <c r="D3145" i="7"/>
  <c r="Q3143" i="7"/>
  <c r="D3143" i="7"/>
  <c r="Q3141" i="7"/>
  <c r="D3141" i="7"/>
  <c r="Q3139" i="7"/>
  <c r="D3139" i="7"/>
  <c r="Q3137" i="7"/>
  <c r="D3137" i="7"/>
  <c r="Q3135" i="7"/>
  <c r="D3135" i="7"/>
  <c r="Q3133" i="7"/>
  <c r="D3133" i="7"/>
  <c r="Q3131" i="7"/>
  <c r="D3131" i="7"/>
  <c r="Q3129" i="7"/>
  <c r="D3129" i="7"/>
  <c r="Q3127" i="7"/>
  <c r="D3127" i="7"/>
  <c r="Q3125" i="7"/>
  <c r="D3125" i="7"/>
  <c r="Q3123" i="7"/>
  <c r="D3123" i="7"/>
  <c r="Q3121" i="7"/>
  <c r="D3121" i="7"/>
  <c r="Q3119" i="7"/>
  <c r="D3119" i="7"/>
  <c r="Q3117" i="7"/>
  <c r="D3117" i="7"/>
  <c r="Q3115" i="7"/>
  <c r="D3115" i="7"/>
  <c r="Q3113" i="7"/>
  <c r="D3113" i="7"/>
  <c r="Q3111" i="7"/>
  <c r="D3111" i="7"/>
  <c r="Q3109" i="7"/>
  <c r="D3109" i="7"/>
  <c r="Q3107" i="7"/>
  <c r="D3107" i="7"/>
  <c r="Q3105" i="7"/>
  <c r="D3105" i="7"/>
  <c r="Q3103" i="7"/>
  <c r="D3103" i="7"/>
  <c r="Q3101" i="7"/>
  <c r="D3101" i="7"/>
  <c r="Q3099" i="7"/>
  <c r="D3099" i="7"/>
  <c r="Q3097" i="7"/>
  <c r="D3097" i="7"/>
  <c r="Q3095" i="7"/>
  <c r="D3095" i="7"/>
  <c r="Q3093" i="7"/>
  <c r="D3093" i="7"/>
  <c r="Q3091" i="7"/>
  <c r="D3091" i="7"/>
  <c r="Q3089" i="7"/>
  <c r="F3089" i="7"/>
  <c r="Q3088" i="7"/>
  <c r="F3088" i="7"/>
  <c r="Q3087" i="7"/>
  <c r="M3087" i="7"/>
  <c r="H3087" i="7"/>
  <c r="D3087" i="7"/>
  <c r="Q3086" i="7"/>
  <c r="M3086" i="7"/>
  <c r="H3086" i="7"/>
  <c r="D3086" i="7"/>
  <c r="Q3085" i="7"/>
  <c r="M3085" i="7"/>
  <c r="H3085" i="7"/>
  <c r="D3085" i="7"/>
  <c r="Q3084" i="7"/>
  <c r="F3084" i="7"/>
  <c r="Q3083" i="7"/>
  <c r="M3083" i="7"/>
  <c r="H3083" i="7"/>
  <c r="D3083" i="7"/>
  <c r="Q3082" i="7"/>
  <c r="M3082" i="7"/>
  <c r="H3082" i="7"/>
  <c r="D3082" i="7"/>
  <c r="Q3081" i="7"/>
  <c r="L3081" i="7"/>
  <c r="H3081" i="7"/>
  <c r="D3081" i="7"/>
  <c r="Q3080" i="7"/>
  <c r="L3080" i="7"/>
  <c r="H3080" i="7"/>
  <c r="D3080" i="7"/>
  <c r="Q3079" i="7"/>
  <c r="M3079" i="7"/>
  <c r="H3079" i="7"/>
  <c r="D3079" i="7"/>
  <c r="Q3078" i="7"/>
  <c r="L3078" i="7"/>
  <c r="H3078" i="7"/>
  <c r="D3078" i="7"/>
  <c r="Q3077" i="7"/>
  <c r="M3077" i="7"/>
  <c r="H3077" i="7"/>
  <c r="D3077" i="7"/>
  <c r="Q3076" i="7"/>
  <c r="M3076" i="7"/>
  <c r="H3076" i="7"/>
  <c r="D3076" i="7"/>
  <c r="Q3075" i="7"/>
  <c r="L3075" i="7"/>
  <c r="H3075" i="7"/>
  <c r="D3075" i="7"/>
  <c r="Q3074" i="7"/>
  <c r="M3074" i="7"/>
  <c r="H3074" i="7"/>
  <c r="D3074" i="7"/>
  <c r="Q3073" i="7"/>
  <c r="M3073" i="7"/>
  <c r="H3073" i="7"/>
  <c r="D3073" i="7"/>
  <c r="Q3072" i="7"/>
  <c r="M3072" i="7"/>
  <c r="H3072" i="7"/>
  <c r="D3072" i="7"/>
  <c r="Q3071" i="7"/>
  <c r="M3071" i="7"/>
  <c r="H3071" i="7"/>
  <c r="D3071" i="7"/>
  <c r="Q3070" i="7"/>
  <c r="M3070" i="7"/>
  <c r="H3070" i="7"/>
  <c r="D3070" i="7"/>
  <c r="Q3069" i="7"/>
  <c r="L3069" i="7"/>
  <c r="H3069" i="7"/>
  <c r="D3069" i="7"/>
  <c r="Q3068" i="7"/>
  <c r="M3068" i="7"/>
  <c r="H3068" i="7"/>
  <c r="D3068" i="7"/>
  <c r="Q3067" i="7"/>
  <c r="M3067" i="7"/>
  <c r="H3067" i="7"/>
  <c r="D3067" i="7"/>
  <c r="Q3066" i="7"/>
  <c r="L3066" i="7"/>
  <c r="H3066" i="7"/>
  <c r="D3066" i="7"/>
  <c r="Q3065" i="7"/>
  <c r="M3065" i="7"/>
  <c r="H3065" i="7"/>
  <c r="D3065" i="7"/>
  <c r="Q3064" i="7"/>
  <c r="M3064" i="7"/>
  <c r="H3064" i="7"/>
  <c r="D3064" i="7"/>
  <c r="Q3063" i="7"/>
  <c r="L3063" i="7"/>
  <c r="H3063" i="7"/>
  <c r="D3063" i="7"/>
  <c r="Q3062" i="7"/>
  <c r="M3062" i="7"/>
  <c r="H3062" i="7"/>
  <c r="D3062" i="7"/>
  <c r="Q3061" i="7"/>
  <c r="M3061" i="7"/>
  <c r="H3061" i="7"/>
  <c r="D3061" i="7"/>
  <c r="Q3060" i="7"/>
  <c r="M3060" i="7"/>
  <c r="H3060" i="7"/>
  <c r="D3060" i="7"/>
  <c r="Q3059" i="7"/>
  <c r="M3059" i="7"/>
  <c r="H3059" i="7"/>
  <c r="D3059" i="7"/>
  <c r="Q3058" i="7"/>
  <c r="M3058" i="7"/>
  <c r="H3058" i="7"/>
  <c r="D3058" i="7"/>
  <c r="Q3057" i="7"/>
  <c r="M3057" i="7"/>
  <c r="H3057" i="7"/>
  <c r="D3057" i="7"/>
  <c r="Q3056" i="7"/>
  <c r="M3056" i="7"/>
  <c r="H3056" i="7"/>
  <c r="D3056" i="7"/>
  <c r="Q3055" i="7"/>
  <c r="M3055" i="7"/>
  <c r="H3055" i="7"/>
  <c r="D3055" i="7"/>
  <c r="Q3054" i="7"/>
  <c r="M3054" i="7"/>
  <c r="H3054" i="7"/>
  <c r="D3054" i="7"/>
  <c r="Q3053" i="7"/>
  <c r="M3053" i="7"/>
  <c r="H3053" i="7"/>
  <c r="D3053" i="7"/>
  <c r="Q3052" i="7"/>
  <c r="M3052" i="7"/>
  <c r="H3052" i="7"/>
  <c r="D3052" i="7"/>
  <c r="Q3051" i="7"/>
  <c r="M3051" i="7"/>
  <c r="H3051" i="7"/>
  <c r="D3051" i="7"/>
  <c r="Q3050" i="7"/>
  <c r="M3050" i="7"/>
  <c r="H3050" i="7"/>
  <c r="D3050" i="7"/>
  <c r="Q3049" i="7"/>
  <c r="M3049" i="7"/>
  <c r="H3049" i="7"/>
  <c r="D3049" i="7"/>
  <c r="Q3048" i="7"/>
  <c r="M3048" i="7"/>
  <c r="H3048" i="7"/>
  <c r="D3048" i="7"/>
  <c r="Q3047" i="7"/>
  <c r="M3047" i="7"/>
  <c r="H3047" i="7"/>
  <c r="D3047" i="7"/>
  <c r="Q3046" i="7"/>
  <c r="M3046" i="7"/>
  <c r="H3046" i="7"/>
  <c r="D3046" i="7"/>
  <c r="Q3045" i="7"/>
  <c r="M3045" i="7"/>
  <c r="H3045" i="7"/>
  <c r="D3045" i="7"/>
  <c r="Q3044" i="7"/>
  <c r="M3044" i="7"/>
  <c r="H3044" i="7"/>
  <c r="D3044" i="7"/>
  <c r="Q3043" i="7"/>
  <c r="M3043" i="7"/>
  <c r="H3043" i="7"/>
  <c r="D3043" i="7"/>
  <c r="Q3042" i="7"/>
  <c r="M3042" i="7"/>
  <c r="H3042" i="7"/>
  <c r="D3042" i="7"/>
  <c r="Q3041" i="7"/>
  <c r="M3041" i="7"/>
  <c r="H3041" i="7"/>
  <c r="D3041" i="7"/>
  <c r="Q3040" i="7"/>
  <c r="M3040" i="7"/>
  <c r="H3040" i="7"/>
  <c r="D3040" i="7"/>
  <c r="Q3039" i="7"/>
  <c r="M3039" i="7"/>
  <c r="H3039" i="7"/>
  <c r="D3039" i="7"/>
  <c r="Q3038" i="7"/>
  <c r="M3038" i="7"/>
  <c r="H3038" i="7"/>
  <c r="D3038" i="7"/>
  <c r="Q3037" i="7"/>
  <c r="M3037" i="7"/>
  <c r="H3037" i="7"/>
  <c r="D3037" i="7"/>
  <c r="Q3036" i="7"/>
  <c r="M3036" i="7"/>
  <c r="H3036" i="7"/>
  <c r="D3036" i="7"/>
  <c r="Q3035" i="7"/>
  <c r="M3035" i="7"/>
  <c r="H3035" i="7"/>
  <c r="D3035" i="7"/>
  <c r="Q3034" i="7"/>
  <c r="M3034" i="7"/>
  <c r="H3034" i="7"/>
  <c r="D3034" i="7"/>
  <c r="Q3033" i="7"/>
  <c r="M3033" i="7"/>
  <c r="H3033" i="7"/>
  <c r="D3033" i="7"/>
  <c r="Q3032" i="7"/>
  <c r="M3032" i="7"/>
  <c r="H3032" i="7"/>
  <c r="D3032" i="7"/>
  <c r="Q3031" i="7"/>
  <c r="M3031" i="7"/>
  <c r="H3031" i="7"/>
  <c r="D3031" i="7"/>
  <c r="Q3030" i="7"/>
  <c r="M3030" i="7"/>
  <c r="H3030" i="7"/>
  <c r="D3030" i="7"/>
  <c r="Q3029" i="7"/>
  <c r="M3029" i="7"/>
  <c r="H3029" i="7"/>
  <c r="D3029" i="7"/>
  <c r="Q3028" i="7"/>
  <c r="M3028" i="7"/>
  <c r="H3028" i="7"/>
  <c r="D3028" i="7"/>
  <c r="Q3027" i="7"/>
  <c r="M3027" i="7"/>
  <c r="H3027" i="7"/>
  <c r="D3027" i="7"/>
  <c r="Q3026" i="7"/>
  <c r="M3026" i="7"/>
  <c r="H3026" i="7"/>
  <c r="D3026" i="7"/>
  <c r="Q3025" i="7"/>
  <c r="M3025" i="7"/>
  <c r="H3025" i="7"/>
  <c r="D3025" i="7"/>
  <c r="Q3024" i="7"/>
  <c r="M3024" i="7"/>
  <c r="H3024" i="7"/>
  <c r="D3024" i="7"/>
  <c r="Q3023" i="7"/>
  <c r="M3023" i="7"/>
  <c r="H3023" i="7"/>
  <c r="D3023" i="7"/>
  <c r="Q3022" i="7"/>
  <c r="M3022" i="7"/>
  <c r="H3022" i="7"/>
  <c r="D3022" i="7"/>
  <c r="Q3021" i="7"/>
  <c r="M3021" i="7"/>
  <c r="H3021" i="7"/>
  <c r="D3021" i="7"/>
  <c r="A3842" i="7"/>
  <c r="K3832" i="7"/>
  <c r="D3829" i="7"/>
  <c r="A3826" i="7"/>
  <c r="K3816" i="7"/>
  <c r="D3813" i="7"/>
  <c r="A3810" i="7"/>
  <c r="K3800" i="7"/>
  <c r="D3797" i="7"/>
  <c r="A3794" i="7"/>
  <c r="K3786" i="7"/>
  <c r="D3785" i="7"/>
  <c r="A3784" i="7"/>
  <c r="K3778" i="7"/>
  <c r="D3777" i="7"/>
  <c r="A3776" i="7"/>
  <c r="K3772" i="7"/>
  <c r="C3772" i="7"/>
  <c r="H3771" i="7"/>
  <c r="F3770" i="7"/>
  <c r="A3770" i="7"/>
  <c r="H3769" i="7"/>
  <c r="C3769" i="7"/>
  <c r="K3768" i="7"/>
  <c r="G3767" i="7"/>
  <c r="B3767" i="7"/>
  <c r="I3766" i="7"/>
  <c r="D3766" i="7"/>
  <c r="E3765" i="7"/>
  <c r="G3764" i="7"/>
  <c r="A3764" i="7"/>
  <c r="H3763" i="7"/>
  <c r="C3763" i="7"/>
  <c r="J3762" i="7"/>
  <c r="F3762" i="7"/>
  <c r="B3762" i="7"/>
  <c r="K3761" i="7"/>
  <c r="F3761" i="7"/>
  <c r="B3761" i="7"/>
  <c r="K3760" i="7"/>
  <c r="G3760" i="7"/>
  <c r="C3760" i="7"/>
  <c r="H3759" i="7"/>
  <c r="D3759" i="7"/>
  <c r="H3758" i="7"/>
  <c r="D3758" i="7"/>
  <c r="H3757" i="7"/>
  <c r="D3757" i="7"/>
  <c r="H3756" i="7"/>
  <c r="D3756" i="7"/>
  <c r="H3755" i="7"/>
  <c r="D3755" i="7"/>
  <c r="H3754" i="7"/>
  <c r="D3754" i="7"/>
  <c r="H3753" i="7"/>
  <c r="D3753" i="7"/>
  <c r="H3752" i="7"/>
  <c r="D3752" i="7"/>
  <c r="H3751" i="7"/>
  <c r="D3751" i="7"/>
  <c r="H3750" i="7"/>
  <c r="D3750" i="7"/>
  <c r="H3749" i="7"/>
  <c r="D3749" i="7"/>
  <c r="H3748" i="7"/>
  <c r="D3748" i="7"/>
  <c r="H3747" i="7"/>
  <c r="D3747" i="7"/>
  <c r="H3746" i="7"/>
  <c r="D3746" i="7"/>
  <c r="H3745" i="7"/>
  <c r="D3745" i="7"/>
  <c r="I3744" i="7"/>
  <c r="E3744" i="7"/>
  <c r="A3744" i="7"/>
  <c r="J3743" i="7"/>
  <c r="E3743" i="7"/>
  <c r="A3743" i="7"/>
  <c r="F3742" i="7"/>
  <c r="I3741" i="7"/>
  <c r="E3741" i="7"/>
  <c r="A3741" i="7"/>
  <c r="J3740" i="7"/>
  <c r="F3740" i="7"/>
  <c r="B3740" i="7"/>
  <c r="K3739" i="7"/>
  <c r="G3739" i="7"/>
  <c r="C3739" i="7"/>
  <c r="H3738" i="7"/>
  <c r="D3738" i="7"/>
  <c r="E3737" i="7"/>
  <c r="H3736" i="7"/>
  <c r="D3736" i="7"/>
  <c r="I3735" i="7"/>
  <c r="E3735" i="7"/>
  <c r="A3735" i="7"/>
  <c r="F3734" i="7"/>
  <c r="I3733" i="7"/>
  <c r="E3733" i="7"/>
  <c r="A3733" i="7"/>
  <c r="J3732" i="7"/>
  <c r="F3732" i="7"/>
  <c r="B3732" i="7"/>
  <c r="K3731" i="7"/>
  <c r="G3731" i="7"/>
  <c r="C3731" i="7"/>
  <c r="G3730" i="7"/>
  <c r="C3730" i="7"/>
  <c r="H3729" i="7"/>
  <c r="D3729" i="7"/>
  <c r="E3728" i="7"/>
  <c r="H3727" i="7"/>
  <c r="D3727" i="7"/>
  <c r="I3726" i="7"/>
  <c r="E3726" i="7"/>
  <c r="A3726" i="7"/>
  <c r="J3725" i="7"/>
  <c r="F3725" i="7"/>
  <c r="B3725" i="7"/>
  <c r="K3724" i="7"/>
  <c r="G3724" i="7"/>
  <c r="C3724" i="7"/>
  <c r="G3723" i="7"/>
  <c r="C3723" i="7"/>
  <c r="G3722" i="7"/>
  <c r="C3722" i="7"/>
  <c r="H3721" i="7"/>
  <c r="D3721" i="7"/>
  <c r="A3720" i="7"/>
  <c r="J3719" i="7"/>
  <c r="F3719" i="7"/>
  <c r="B3719" i="7"/>
  <c r="K3718" i="7"/>
  <c r="F3718" i="7"/>
  <c r="B3718" i="7"/>
  <c r="K3717" i="7"/>
  <c r="F3717" i="7"/>
  <c r="B3717" i="7"/>
  <c r="K3716" i="7"/>
  <c r="F3716" i="7"/>
  <c r="B3716" i="7"/>
  <c r="K3715" i="7"/>
  <c r="F3715" i="7"/>
  <c r="B3715" i="7"/>
  <c r="K3714" i="7"/>
  <c r="A3714" i="7"/>
  <c r="J3713" i="7"/>
  <c r="F3713" i="7"/>
  <c r="B3713" i="7"/>
  <c r="K3712" i="7"/>
  <c r="F3712" i="7"/>
  <c r="B3712" i="7"/>
  <c r="K3711" i="7"/>
  <c r="F3711" i="7"/>
  <c r="B3711" i="7"/>
  <c r="K3710" i="7"/>
  <c r="F3710" i="7"/>
  <c r="B3710" i="7"/>
  <c r="K3709" i="7"/>
  <c r="F3709" i="7"/>
  <c r="B3709" i="7"/>
  <c r="K3708" i="7"/>
  <c r="F3708" i="7"/>
  <c r="B3708" i="7"/>
  <c r="K3707" i="7"/>
  <c r="F3707" i="7"/>
  <c r="B3707" i="7"/>
  <c r="K3706" i="7"/>
  <c r="F3706" i="7"/>
  <c r="B3706" i="7"/>
  <c r="K3705" i="7"/>
  <c r="F3705" i="7"/>
  <c r="B3705" i="7"/>
  <c r="K3704" i="7"/>
  <c r="F3704" i="7"/>
  <c r="B3704" i="7"/>
  <c r="K3703" i="7"/>
  <c r="F3703" i="7"/>
  <c r="B3703" i="7"/>
  <c r="K3702" i="7"/>
  <c r="F3702" i="7"/>
  <c r="B3702" i="7"/>
  <c r="K3701" i="7"/>
  <c r="F3701" i="7"/>
  <c r="B3701" i="7"/>
  <c r="K3700" i="7"/>
  <c r="G3700" i="7"/>
  <c r="C3700" i="7"/>
  <c r="G3699" i="7"/>
  <c r="C3699" i="7"/>
  <c r="G3698" i="7"/>
  <c r="C3698" i="7"/>
  <c r="G3697" i="7"/>
  <c r="C3697" i="7"/>
  <c r="G3696" i="7"/>
  <c r="C3696" i="7"/>
  <c r="G3695" i="7"/>
  <c r="C3695" i="7"/>
  <c r="G3694" i="7"/>
  <c r="C3694" i="7"/>
  <c r="G3693" i="7"/>
  <c r="C3693" i="7"/>
  <c r="G3692" i="7"/>
  <c r="C3692" i="7"/>
  <c r="G3691" i="7"/>
  <c r="C3691" i="7"/>
  <c r="H3690" i="7"/>
  <c r="D3690" i="7"/>
  <c r="I3689" i="7"/>
  <c r="E3689" i="7"/>
  <c r="A3689" i="7"/>
  <c r="J3688" i="7"/>
  <c r="E3688" i="7"/>
  <c r="A3688" i="7"/>
  <c r="J3687" i="7"/>
  <c r="E3687" i="7"/>
  <c r="A3687" i="7"/>
  <c r="J3686" i="7"/>
  <c r="E3686" i="7"/>
  <c r="A3686" i="7"/>
  <c r="J3685" i="7"/>
  <c r="E3685" i="7"/>
  <c r="A3685" i="7"/>
  <c r="J3684" i="7"/>
  <c r="E3684" i="7"/>
  <c r="A3684" i="7"/>
  <c r="J3683" i="7"/>
  <c r="E3683" i="7"/>
  <c r="A3683" i="7"/>
  <c r="J3682" i="7"/>
  <c r="E3682" i="7"/>
  <c r="A3682" i="7"/>
  <c r="J3681" i="7"/>
  <c r="E3681" i="7"/>
  <c r="A3681" i="7"/>
  <c r="J3680" i="7"/>
  <c r="E3680" i="7"/>
  <c r="A3680" i="7"/>
  <c r="J3679" i="7"/>
  <c r="E3679" i="7"/>
  <c r="A3679" i="7"/>
  <c r="J3678" i="7"/>
  <c r="E3678" i="7"/>
  <c r="A3678" i="7"/>
  <c r="J3677" i="7"/>
  <c r="E3677" i="7"/>
  <c r="A3677" i="7"/>
  <c r="J3676" i="7"/>
  <c r="E3676" i="7"/>
  <c r="A3676" i="7"/>
  <c r="J3675" i="7"/>
  <c r="E3675" i="7"/>
  <c r="A3675" i="7"/>
  <c r="J3674" i="7"/>
  <c r="E3674" i="7"/>
  <c r="A3674" i="7"/>
  <c r="J3673" i="7"/>
  <c r="E3673" i="7"/>
  <c r="A3673" i="7"/>
  <c r="J3672" i="7"/>
  <c r="E3672" i="7"/>
  <c r="A3672" i="7"/>
  <c r="J3671" i="7"/>
  <c r="E3671" i="7"/>
  <c r="A3671" i="7"/>
  <c r="J3670" i="7"/>
  <c r="E3670" i="7"/>
  <c r="A3670" i="7"/>
  <c r="J3669" i="7"/>
  <c r="E3669" i="7"/>
  <c r="A3669" i="7"/>
  <c r="J3668" i="7"/>
  <c r="E3668" i="7"/>
  <c r="A3668" i="7"/>
  <c r="J3667" i="7"/>
  <c r="E3667" i="7"/>
  <c r="A3667" i="7"/>
  <c r="J3666" i="7"/>
  <c r="E3666" i="7"/>
  <c r="A3666" i="7"/>
  <c r="J3665" i="7"/>
  <c r="E3665" i="7"/>
  <c r="A3665" i="7"/>
  <c r="J3664" i="7"/>
  <c r="E3664" i="7"/>
  <c r="A3664" i="7"/>
  <c r="J3663" i="7"/>
  <c r="E3663" i="7"/>
  <c r="A3663" i="7"/>
  <c r="J3662" i="7"/>
  <c r="E3662" i="7"/>
  <c r="A3662" i="7"/>
  <c r="J3661" i="7"/>
  <c r="E3661" i="7"/>
  <c r="A3661" i="7"/>
  <c r="J3660" i="7"/>
  <c r="E3660" i="7"/>
  <c r="A3660" i="7"/>
  <c r="J3659" i="7"/>
  <c r="E3659" i="7"/>
  <c r="A3659" i="7"/>
  <c r="J3658" i="7"/>
  <c r="E3658" i="7"/>
  <c r="A3658" i="7"/>
  <c r="J3657" i="7"/>
  <c r="E3657" i="7"/>
  <c r="A3657" i="7"/>
  <c r="J3656" i="7"/>
  <c r="E3656" i="7"/>
  <c r="A3656" i="7"/>
  <c r="J3655" i="7"/>
  <c r="E3655" i="7"/>
  <c r="A3655" i="7"/>
  <c r="J3654" i="7"/>
  <c r="E3654" i="7"/>
  <c r="A3654" i="7"/>
  <c r="J3653" i="7"/>
  <c r="E3653" i="7"/>
  <c r="A3653" i="7"/>
  <c r="J3652" i="7"/>
  <c r="E3652" i="7"/>
  <c r="A3652" i="7"/>
  <c r="J3651" i="7"/>
  <c r="E3651" i="7"/>
  <c r="A3651" i="7"/>
  <c r="J3650" i="7"/>
  <c r="E3650" i="7"/>
  <c r="A3650" i="7"/>
  <c r="J3649" i="7"/>
  <c r="E3649" i="7"/>
  <c r="A3649" i="7"/>
  <c r="J3648" i="7"/>
  <c r="E3648" i="7"/>
  <c r="A3648" i="7"/>
  <c r="J3647" i="7"/>
  <c r="E3647" i="7"/>
  <c r="A3647" i="7"/>
  <c r="J3646" i="7"/>
  <c r="E3646" i="7"/>
  <c r="A3646" i="7"/>
  <c r="J3645" i="7"/>
  <c r="E3645" i="7"/>
  <c r="A3645" i="7"/>
  <c r="J3644" i="7"/>
  <c r="F3644" i="7"/>
  <c r="B3644" i="7"/>
  <c r="K3643" i="7"/>
  <c r="F3643" i="7"/>
  <c r="B3643" i="7"/>
  <c r="K3642" i="7"/>
  <c r="F3642" i="7"/>
  <c r="B3642" i="7"/>
  <c r="K3641" i="7"/>
  <c r="F3641" i="7"/>
  <c r="B3641" i="7"/>
  <c r="K3640" i="7"/>
  <c r="F3640" i="7"/>
  <c r="B3640" i="7"/>
  <c r="K3639" i="7"/>
  <c r="F3639" i="7"/>
  <c r="B3639" i="7"/>
  <c r="K3638" i="7"/>
  <c r="F3638" i="7"/>
  <c r="B3638" i="7"/>
  <c r="K3637" i="7"/>
  <c r="F3637" i="7"/>
  <c r="B3637" i="7"/>
  <c r="K3636" i="7"/>
  <c r="F3636" i="7"/>
  <c r="B3636" i="7"/>
  <c r="K3635" i="7"/>
  <c r="F3635" i="7"/>
  <c r="B3635" i="7"/>
  <c r="K3634" i="7"/>
  <c r="F3634" i="7"/>
  <c r="B3634" i="7"/>
  <c r="K3633" i="7"/>
  <c r="F3633" i="7"/>
  <c r="B3633" i="7"/>
  <c r="K3632" i="7"/>
  <c r="F3632" i="7"/>
  <c r="B3632" i="7"/>
  <c r="K3631" i="7"/>
  <c r="F3631" i="7"/>
  <c r="B3631" i="7"/>
  <c r="K3630" i="7"/>
  <c r="F3630" i="7"/>
  <c r="B3630" i="7"/>
  <c r="K3629" i="7"/>
  <c r="F3629" i="7"/>
  <c r="B3629" i="7"/>
  <c r="K3628" i="7"/>
  <c r="F3628" i="7"/>
  <c r="B3628" i="7"/>
  <c r="K3627" i="7"/>
  <c r="F3627" i="7"/>
  <c r="B3627" i="7"/>
  <c r="K3626" i="7"/>
  <c r="F3626" i="7"/>
  <c r="B3626" i="7"/>
  <c r="K3625" i="7"/>
  <c r="F3625" i="7"/>
  <c r="B3625" i="7"/>
  <c r="K3624" i="7"/>
  <c r="F3624" i="7"/>
  <c r="B3624" i="7"/>
  <c r="K3623" i="7"/>
  <c r="F3623" i="7"/>
  <c r="B3623" i="7"/>
  <c r="K3622" i="7"/>
  <c r="F3622" i="7"/>
  <c r="B3622" i="7"/>
  <c r="K3621" i="7"/>
  <c r="F3621" i="7"/>
  <c r="B3621" i="7"/>
  <c r="K3620" i="7"/>
  <c r="F3620" i="7"/>
  <c r="B3620" i="7"/>
  <c r="K3619" i="7"/>
  <c r="F3619" i="7"/>
  <c r="B3619" i="7"/>
  <c r="K3618" i="7"/>
  <c r="F3618" i="7"/>
  <c r="B3618" i="7"/>
  <c r="K3617" i="7"/>
  <c r="F3617" i="7"/>
  <c r="B3617" i="7"/>
  <c r="K3616" i="7"/>
  <c r="F3616" i="7"/>
  <c r="B3616" i="7"/>
  <c r="K3615" i="7"/>
  <c r="F3615" i="7"/>
  <c r="B3615" i="7"/>
  <c r="K3614" i="7"/>
  <c r="F3614" i="7"/>
  <c r="B3614" i="7"/>
  <c r="K3613" i="7"/>
  <c r="F3613" i="7"/>
  <c r="B3613" i="7"/>
  <c r="K3612" i="7"/>
  <c r="F3612" i="7"/>
  <c r="B3612" i="7"/>
  <c r="K3611" i="7"/>
  <c r="F3611" i="7"/>
  <c r="B3611" i="7"/>
  <c r="K3610" i="7"/>
  <c r="F3610" i="7"/>
  <c r="B3610" i="7"/>
  <c r="K3609" i="7"/>
  <c r="F3609" i="7"/>
  <c r="B3609" i="7"/>
  <c r="K3608" i="7"/>
  <c r="F3608" i="7"/>
  <c r="B3608" i="7"/>
  <c r="K3607" i="7"/>
  <c r="F3607" i="7"/>
  <c r="B3607" i="7"/>
  <c r="K3606" i="7"/>
  <c r="F3606" i="7"/>
  <c r="B3606" i="7"/>
  <c r="K3605" i="7"/>
  <c r="F3605" i="7"/>
  <c r="B3605" i="7"/>
  <c r="K3604" i="7"/>
  <c r="F3604" i="7"/>
  <c r="B3604" i="7"/>
  <c r="K3603" i="7"/>
  <c r="F3603" i="7"/>
  <c r="B3603" i="7"/>
  <c r="Q3303" i="7"/>
  <c r="A3303" i="7"/>
  <c r="K3302" i="7"/>
  <c r="A3301" i="7"/>
  <c r="K3300" i="7"/>
  <c r="A3299" i="7"/>
  <c r="K3298" i="7"/>
  <c r="A3297" i="7"/>
  <c r="K3296" i="7"/>
  <c r="A3295" i="7"/>
  <c r="K3294" i="7"/>
  <c r="A3293" i="7"/>
  <c r="K3292" i="7"/>
  <c r="A3291" i="7"/>
  <c r="K3290" i="7"/>
  <c r="A3289" i="7"/>
  <c r="K3288" i="7"/>
  <c r="A3287" i="7"/>
  <c r="K3286" i="7"/>
  <c r="A3285" i="7"/>
  <c r="K3284" i="7"/>
  <c r="A3283" i="7"/>
  <c r="K3282" i="7"/>
  <c r="A3281" i="7"/>
  <c r="K3280" i="7"/>
  <c r="A3279" i="7"/>
  <c r="K3278" i="7"/>
  <c r="A3277" i="7"/>
  <c r="K3276" i="7"/>
  <c r="A3275" i="7"/>
  <c r="K3274" i="7"/>
  <c r="A3273" i="7"/>
  <c r="K3272" i="7"/>
  <c r="A3271" i="7"/>
  <c r="K3270" i="7"/>
  <c r="A3269" i="7"/>
  <c r="K3268" i="7"/>
  <c r="A3267" i="7"/>
  <c r="K3266" i="7"/>
  <c r="A3265" i="7"/>
  <c r="K3264" i="7"/>
  <c r="A3263" i="7"/>
  <c r="K3262" i="7"/>
  <c r="A3261" i="7"/>
  <c r="K3260" i="7"/>
  <c r="A3259" i="7"/>
  <c r="K3258" i="7"/>
  <c r="A3257" i="7"/>
  <c r="K3256" i="7"/>
  <c r="A3255" i="7"/>
  <c r="K3254" i="7"/>
  <c r="A3253" i="7"/>
  <c r="K3252" i="7"/>
  <c r="A3251" i="7"/>
  <c r="K3250" i="7"/>
  <c r="A3249" i="7"/>
  <c r="K3248" i="7"/>
  <c r="A3247" i="7"/>
  <c r="K3246" i="7"/>
  <c r="A3245" i="7"/>
  <c r="K3244" i="7"/>
  <c r="A3243" i="7"/>
  <c r="K3242" i="7"/>
  <c r="A3241" i="7"/>
  <c r="K3240" i="7"/>
  <c r="A3239" i="7"/>
  <c r="K3238" i="7"/>
  <c r="A3237" i="7"/>
  <c r="K3236" i="7"/>
  <c r="A3235" i="7"/>
  <c r="K3234" i="7"/>
  <c r="A3233" i="7"/>
  <c r="K3232" i="7"/>
  <c r="A3231" i="7"/>
  <c r="K3230" i="7"/>
  <c r="A3229" i="7"/>
  <c r="K3228" i="7"/>
  <c r="A3227" i="7"/>
  <c r="K3226" i="7"/>
  <c r="A3225" i="7"/>
  <c r="K3224" i="7"/>
  <c r="A3223" i="7"/>
  <c r="K3222" i="7"/>
  <c r="A3221" i="7"/>
  <c r="K3220" i="7"/>
  <c r="A3219" i="7"/>
  <c r="K3218" i="7"/>
  <c r="A3217" i="7"/>
  <c r="K3216" i="7"/>
  <c r="A3215" i="7"/>
  <c r="K3214" i="7"/>
  <c r="A3213" i="7"/>
  <c r="K3212" i="7"/>
  <c r="A3211" i="7"/>
  <c r="K3210" i="7"/>
  <c r="A3209" i="7"/>
  <c r="K3208" i="7"/>
  <c r="A3207" i="7"/>
  <c r="K3206" i="7"/>
  <c r="A3205" i="7"/>
  <c r="K3204" i="7"/>
  <c r="A3203" i="7"/>
  <c r="K3202" i="7"/>
  <c r="A3201" i="7"/>
  <c r="K3200" i="7"/>
  <c r="A3199" i="7"/>
  <c r="K3198" i="7"/>
  <c r="A3197" i="7"/>
  <c r="K3196" i="7"/>
  <c r="A3195" i="7"/>
  <c r="K3194" i="7"/>
  <c r="A3193" i="7"/>
  <c r="K3192" i="7"/>
  <c r="A3191" i="7"/>
  <c r="K3190" i="7"/>
  <c r="A3189" i="7"/>
  <c r="K3188" i="7"/>
  <c r="A3187" i="7"/>
  <c r="K3186" i="7"/>
  <c r="A3185" i="7"/>
  <c r="K3184" i="7"/>
  <c r="A3183" i="7"/>
  <c r="K3182" i="7"/>
  <c r="A3181" i="7"/>
  <c r="K3180" i="7"/>
  <c r="A3179" i="7"/>
  <c r="K3178" i="7"/>
  <c r="A3177" i="7"/>
  <c r="K3176" i="7"/>
  <c r="A3175" i="7"/>
  <c r="K3174" i="7"/>
  <c r="A3173" i="7"/>
  <c r="K3172" i="7"/>
  <c r="A3171" i="7"/>
  <c r="K3170" i="7"/>
  <c r="A3169" i="7"/>
  <c r="K3168" i="7"/>
  <c r="A3167" i="7"/>
  <c r="K3166" i="7"/>
  <c r="A3165" i="7"/>
  <c r="K3164" i="7"/>
  <c r="A3163" i="7"/>
  <c r="K3162" i="7"/>
  <c r="A3161" i="7"/>
  <c r="K3160" i="7"/>
  <c r="A3159" i="7"/>
  <c r="K3158" i="7"/>
  <c r="A3157" i="7"/>
  <c r="K3156" i="7"/>
  <c r="A3155" i="7"/>
  <c r="K3154" i="7"/>
  <c r="A3153" i="7"/>
  <c r="K3152" i="7"/>
  <c r="A3151" i="7"/>
  <c r="K3150" i="7"/>
  <c r="A3149" i="7"/>
  <c r="K3148" i="7"/>
  <c r="A3147" i="7"/>
  <c r="K3146" i="7"/>
  <c r="A3145" i="7"/>
  <c r="K3144" i="7"/>
  <c r="A3143" i="7"/>
  <c r="K3142" i="7"/>
  <c r="A3141" i="7"/>
  <c r="K3140" i="7"/>
  <c r="A3139" i="7"/>
  <c r="K3138" i="7"/>
  <c r="A3137" i="7"/>
  <c r="K3136" i="7"/>
  <c r="A3135" i="7"/>
  <c r="K3134" i="7"/>
  <c r="A3133" i="7"/>
  <c r="K3132" i="7"/>
  <c r="A3131" i="7"/>
  <c r="K3130" i="7"/>
  <c r="A3129" i="7"/>
  <c r="K3128" i="7"/>
  <c r="A3127" i="7"/>
  <c r="K3126" i="7"/>
  <c r="A3125" i="7"/>
  <c r="K3124" i="7"/>
  <c r="A3123" i="7"/>
  <c r="K3122" i="7"/>
  <c r="A3121" i="7"/>
  <c r="K3120" i="7"/>
  <c r="A3119" i="7"/>
  <c r="K3118" i="7"/>
  <c r="A3117" i="7"/>
  <c r="K3116" i="7"/>
  <c r="A3115" i="7"/>
  <c r="K3114" i="7"/>
  <c r="A3113" i="7"/>
  <c r="K3112" i="7"/>
  <c r="A3111" i="7"/>
  <c r="K3110" i="7"/>
  <c r="A3109" i="7"/>
  <c r="K3108" i="7"/>
  <c r="A3107" i="7"/>
  <c r="K3106" i="7"/>
  <c r="A3105" i="7"/>
  <c r="K3104" i="7"/>
  <c r="A3103" i="7"/>
  <c r="K3102" i="7"/>
  <c r="A3101" i="7"/>
  <c r="K3100" i="7"/>
  <c r="A3099" i="7"/>
  <c r="K3098" i="7"/>
  <c r="A3097" i="7"/>
  <c r="K3096" i="7"/>
  <c r="A3095" i="7"/>
  <c r="K3094" i="7"/>
  <c r="A3093" i="7"/>
  <c r="K3092" i="7"/>
  <c r="A3091" i="7"/>
  <c r="K3090" i="7"/>
  <c r="E3089" i="7"/>
  <c r="E3088" i="7"/>
  <c r="L3087" i="7"/>
  <c r="G3087" i="7"/>
  <c r="C3087" i="7"/>
  <c r="D3280" i="7"/>
  <c r="D3276" i="7"/>
  <c r="D3272" i="7"/>
  <c r="D3268" i="7"/>
  <c r="D3264" i="7"/>
  <c r="D3260" i="7"/>
  <c r="D3256" i="7"/>
  <c r="D3252" i="7"/>
  <c r="D3248" i="7"/>
  <c r="D3244" i="7"/>
  <c r="D3240" i="7"/>
  <c r="D3236" i="7"/>
  <c r="D3232" i="7"/>
  <c r="D3228" i="7"/>
  <c r="D3224" i="7"/>
  <c r="D3220" i="7"/>
  <c r="D3216" i="7"/>
  <c r="D3212" i="7"/>
  <c r="D3208" i="7"/>
  <c r="D3204" i="7"/>
  <c r="D3200" i="7"/>
  <c r="D3196" i="7"/>
  <c r="D3192" i="7"/>
  <c r="D3188" i="7"/>
  <c r="D3184" i="7"/>
  <c r="D3180" i="7"/>
  <c r="D3176" i="7"/>
  <c r="A3089" i="7"/>
  <c r="D3088" i="7"/>
  <c r="N3087" i="7"/>
  <c r="E3087" i="7"/>
  <c r="J3086" i="7"/>
  <c r="C3086" i="7"/>
  <c r="J3085" i="7"/>
  <c r="C3085" i="7"/>
  <c r="A3084" i="7"/>
  <c r="L3083" i="7"/>
  <c r="F3083" i="7"/>
  <c r="A3083" i="7"/>
  <c r="L3082" i="7"/>
  <c r="F3082" i="7"/>
  <c r="A3082" i="7"/>
  <c r="K3081" i="7"/>
  <c r="F3081" i="7"/>
  <c r="A3081" i="7"/>
  <c r="K3080" i="7"/>
  <c r="F3080" i="7"/>
  <c r="A3080" i="7"/>
  <c r="L3079" i="7"/>
  <c r="F3079" i="7"/>
  <c r="A3079" i="7"/>
  <c r="K3078" i="7"/>
  <c r="F3078" i="7"/>
  <c r="A3078" i="7"/>
  <c r="L3077" i="7"/>
  <c r="F3077" i="7"/>
  <c r="A3077" i="7"/>
  <c r="L3076" i="7"/>
  <c r="F3076" i="7"/>
  <c r="A3076" i="7"/>
  <c r="K3075" i="7"/>
  <c r="F3075" i="7"/>
  <c r="A3075" i="7"/>
  <c r="L3074" i="7"/>
  <c r="F3074" i="7"/>
  <c r="A3074" i="7"/>
  <c r="L3073" i="7"/>
  <c r="F3073" i="7"/>
  <c r="A3073" i="7"/>
  <c r="L3072" i="7"/>
  <c r="F3072" i="7"/>
  <c r="A3072" i="7"/>
  <c r="L3071" i="7"/>
  <c r="F3071" i="7"/>
  <c r="A3071" i="7"/>
  <c r="L3070" i="7"/>
  <c r="F3070" i="7"/>
  <c r="A3070" i="7"/>
  <c r="K3069" i="7"/>
  <c r="F3069" i="7"/>
  <c r="A3069" i="7"/>
  <c r="L3068" i="7"/>
  <c r="F3068" i="7"/>
  <c r="A3068" i="7"/>
  <c r="L3067" i="7"/>
  <c r="F3067" i="7"/>
  <c r="A3067" i="7"/>
  <c r="K3066" i="7"/>
  <c r="F3066" i="7"/>
  <c r="A3066" i="7"/>
  <c r="L3065" i="7"/>
  <c r="F3065" i="7"/>
  <c r="A3065" i="7"/>
  <c r="L3064" i="7"/>
  <c r="F3064" i="7"/>
  <c r="A3064" i="7"/>
  <c r="K3063" i="7"/>
  <c r="F3063" i="7"/>
  <c r="A3063" i="7"/>
  <c r="L3062" i="7"/>
  <c r="F3062" i="7"/>
  <c r="A3062" i="7"/>
  <c r="L3061" i="7"/>
  <c r="F3061" i="7"/>
  <c r="A3061" i="7"/>
  <c r="L3060" i="7"/>
  <c r="F3060" i="7"/>
  <c r="A3060" i="7"/>
  <c r="L3059" i="7"/>
  <c r="F3059" i="7"/>
  <c r="A3059" i="7"/>
  <c r="L3058" i="7"/>
  <c r="F3058" i="7"/>
  <c r="A3058" i="7"/>
  <c r="L3057" i="7"/>
  <c r="F3057" i="7"/>
  <c r="A3057" i="7"/>
  <c r="L3056" i="7"/>
  <c r="F3056" i="7"/>
  <c r="A3056" i="7"/>
  <c r="L3055" i="7"/>
  <c r="F3055" i="7"/>
  <c r="A3055" i="7"/>
  <c r="L3054" i="7"/>
  <c r="F3054" i="7"/>
  <c r="A3054" i="7"/>
  <c r="L3053" i="7"/>
  <c r="F3053" i="7"/>
  <c r="A3053" i="7"/>
  <c r="L3052" i="7"/>
  <c r="F3052" i="7"/>
  <c r="A3052" i="7"/>
  <c r="L3051" i="7"/>
  <c r="F3051" i="7"/>
  <c r="A3051" i="7"/>
  <c r="L3050" i="7"/>
  <c r="F3050" i="7"/>
  <c r="A3050" i="7"/>
  <c r="L3049" i="7"/>
  <c r="F3049" i="7"/>
  <c r="A3049" i="7"/>
  <c r="L3048" i="7"/>
  <c r="F3048" i="7"/>
  <c r="A3048" i="7"/>
  <c r="L3047" i="7"/>
  <c r="F3047" i="7"/>
  <c r="A3047" i="7"/>
  <c r="L3046" i="7"/>
  <c r="F3046" i="7"/>
  <c r="A3046" i="7"/>
  <c r="L3045" i="7"/>
  <c r="F3045" i="7"/>
  <c r="A3045" i="7"/>
  <c r="L3044" i="7"/>
  <c r="F3044" i="7"/>
  <c r="A3044" i="7"/>
  <c r="L3043" i="7"/>
  <c r="F3043" i="7"/>
  <c r="A3043" i="7"/>
  <c r="L3042" i="7"/>
  <c r="F3042" i="7"/>
  <c r="A3042" i="7"/>
  <c r="L3041" i="7"/>
  <c r="F3041" i="7"/>
  <c r="A3041" i="7"/>
  <c r="L3040" i="7"/>
  <c r="F3040" i="7"/>
  <c r="A3040" i="7"/>
  <c r="L3039" i="7"/>
  <c r="F3039" i="7"/>
  <c r="A3039" i="7"/>
  <c r="L3038" i="7"/>
  <c r="F3038" i="7"/>
  <c r="A3038" i="7"/>
  <c r="L3037" i="7"/>
  <c r="F3037" i="7"/>
  <c r="A3037" i="7"/>
  <c r="L3036" i="7"/>
  <c r="F3036" i="7"/>
  <c r="A3036" i="7"/>
  <c r="L3035" i="7"/>
  <c r="F3035" i="7"/>
  <c r="A3035" i="7"/>
  <c r="L3034" i="7"/>
  <c r="F3034" i="7"/>
  <c r="A3034" i="7"/>
  <c r="L3033" i="7"/>
  <c r="F3033" i="7"/>
  <c r="A3033" i="7"/>
  <c r="L3032" i="7"/>
  <c r="F3032" i="7"/>
  <c r="A3032" i="7"/>
  <c r="L3031" i="7"/>
  <c r="F3031" i="7"/>
  <c r="A3031" i="7"/>
  <c r="L3030" i="7"/>
  <c r="F3030" i="7"/>
  <c r="A3030" i="7"/>
  <c r="L3029" i="7"/>
  <c r="F3029" i="7"/>
  <c r="A3029" i="7"/>
  <c r="L3028" i="7"/>
  <c r="F3028" i="7"/>
  <c r="A3028" i="7"/>
  <c r="L3027" i="7"/>
  <c r="F3027" i="7"/>
  <c r="A3027" i="7"/>
  <c r="L3026" i="7"/>
  <c r="F3026" i="7"/>
  <c r="A3026" i="7"/>
  <c r="L3025" i="7"/>
  <c r="F3025" i="7"/>
  <c r="A3025" i="7"/>
  <c r="L3024" i="7"/>
  <c r="F3024" i="7"/>
  <c r="A3024" i="7"/>
  <c r="L3023" i="7"/>
  <c r="F3023" i="7"/>
  <c r="A3023" i="7"/>
  <c r="L3022" i="7"/>
  <c r="F3022" i="7"/>
  <c r="A3022" i="7"/>
  <c r="L3021" i="7"/>
  <c r="F3021" i="7"/>
  <c r="A3021" i="7"/>
  <c r="N3020" i="7"/>
  <c r="J3020" i="7"/>
  <c r="E3020" i="7"/>
  <c r="A3020" i="7"/>
  <c r="N3019" i="7"/>
  <c r="J3019" i="7"/>
  <c r="E3019" i="7"/>
  <c r="A3019" i="7"/>
  <c r="N3018" i="7"/>
  <c r="J3018" i="7"/>
  <c r="E3018" i="7"/>
  <c r="A3018" i="7"/>
  <c r="N3017" i="7"/>
  <c r="J3017" i="7"/>
  <c r="E3017" i="7"/>
  <c r="A3017" i="7"/>
  <c r="N3016" i="7"/>
  <c r="J3016" i="7"/>
  <c r="E3016" i="7"/>
  <c r="A3016" i="7"/>
  <c r="N3015" i="7"/>
  <c r="J3015" i="7"/>
  <c r="E3015" i="7"/>
  <c r="A3015" i="7"/>
  <c r="N3014" i="7"/>
  <c r="H3014" i="7"/>
  <c r="D3014" i="7"/>
  <c r="Q3013" i="7"/>
  <c r="M3013" i="7"/>
  <c r="H3013" i="7"/>
  <c r="D3013" i="7"/>
  <c r="Q3012" i="7"/>
  <c r="M3012" i="7"/>
  <c r="H3012" i="7"/>
  <c r="D3012" i="7"/>
  <c r="Q3011" i="7"/>
  <c r="M3011" i="7"/>
  <c r="G3011" i="7"/>
  <c r="C3011" i="7"/>
  <c r="K3010" i="7"/>
  <c r="F3010" i="7"/>
  <c r="B3010" i="7"/>
  <c r="J3009" i="7"/>
  <c r="E3009" i="7"/>
  <c r="A3009" i="7"/>
  <c r="N3008" i="7"/>
  <c r="H3008" i="7"/>
  <c r="D3008" i="7"/>
  <c r="Q3007" i="7"/>
  <c r="M3007" i="7"/>
  <c r="G3007" i="7"/>
  <c r="C3007" i="7"/>
  <c r="K3006" i="7"/>
  <c r="F3006" i="7"/>
  <c r="B3006" i="7"/>
  <c r="K3005" i="7"/>
  <c r="F3005" i="7"/>
  <c r="B3005" i="7"/>
  <c r="K3004" i="7"/>
  <c r="F3004" i="7"/>
  <c r="B3004" i="7"/>
  <c r="K3003" i="7"/>
  <c r="F3003" i="7"/>
  <c r="B3003" i="7"/>
  <c r="Q3001" i="7"/>
  <c r="D3001" i="7"/>
  <c r="Q2999" i="7"/>
  <c r="D2999" i="7"/>
  <c r="Q2997" i="7"/>
  <c r="D2997" i="7"/>
  <c r="Q2995" i="7"/>
  <c r="D2995" i="7"/>
  <c r="Q2993" i="7"/>
  <c r="D2993" i="7"/>
  <c r="Q2991" i="7"/>
  <c r="D2991" i="7"/>
  <c r="Q2989" i="7"/>
  <c r="D2989" i="7"/>
  <c r="Q2987" i="7"/>
  <c r="D2987" i="7"/>
  <c r="Q2985" i="7"/>
  <c r="D2985" i="7"/>
  <c r="Q2983" i="7"/>
  <c r="D2983" i="7"/>
  <c r="Q2981" i="7"/>
  <c r="D2981" i="7"/>
  <c r="Q2979" i="7"/>
  <c r="D2979" i="7"/>
  <c r="Q2977" i="7"/>
  <c r="D2977" i="7"/>
  <c r="Q2975" i="7"/>
  <c r="D2975" i="7"/>
  <c r="Q2973" i="7"/>
  <c r="D2973" i="7"/>
  <c r="Q2971" i="7"/>
  <c r="D2971" i="7"/>
  <c r="Q2969" i="7"/>
  <c r="D2969" i="7"/>
  <c r="Q2967" i="7"/>
  <c r="D2967" i="7"/>
  <c r="Q2965" i="7"/>
  <c r="D2965" i="7"/>
  <c r="Q2963" i="7"/>
  <c r="D2963" i="7"/>
  <c r="Q2961" i="7"/>
  <c r="D2961" i="7"/>
  <c r="Q2959" i="7"/>
  <c r="D2959" i="7"/>
  <c r="Q2957" i="7"/>
  <c r="D2957" i="7"/>
  <c r="Q2955" i="7"/>
  <c r="D2955" i="7"/>
  <c r="Q2953" i="7"/>
  <c r="D2953" i="7"/>
  <c r="Q2951" i="7"/>
  <c r="D2951" i="7"/>
  <c r="Q2949" i="7"/>
  <c r="D2949" i="7"/>
  <c r="Q2947" i="7"/>
  <c r="D2947" i="7"/>
  <c r="Q2945" i="7"/>
  <c r="D2945" i="7"/>
  <c r="Q2943" i="7"/>
  <c r="D2943" i="7"/>
  <c r="Q2941" i="7"/>
  <c r="D2941" i="7"/>
  <c r="Q2939" i="7"/>
  <c r="D2939" i="7"/>
  <c r="Q2937" i="7"/>
  <c r="D2937" i="7"/>
  <c r="Q2935" i="7"/>
  <c r="D2935" i="7"/>
  <c r="Q2933" i="7"/>
  <c r="D2933" i="7"/>
  <c r="Q2931" i="7"/>
  <c r="D2931" i="7"/>
  <c r="Q2929" i="7"/>
  <c r="D2929" i="7"/>
  <c r="Q2927" i="7"/>
  <c r="D2927" i="7"/>
  <c r="Q2925" i="7"/>
  <c r="D2925" i="7"/>
  <c r="Q2923" i="7"/>
  <c r="D2923" i="7"/>
  <c r="Q2921" i="7"/>
  <c r="D2921" i="7"/>
  <c r="Q2919" i="7"/>
  <c r="D2919" i="7"/>
  <c r="Q2917" i="7"/>
  <c r="D2917" i="7"/>
  <c r="Q2915" i="7"/>
  <c r="D2915" i="7"/>
  <c r="Q2913" i="7"/>
  <c r="D2913" i="7"/>
  <c r="Q2911" i="7"/>
  <c r="D2911" i="7"/>
  <c r="Q2909" i="7"/>
  <c r="D2909" i="7"/>
  <c r="Q2907" i="7"/>
  <c r="D2907" i="7"/>
  <c r="Q2905" i="7"/>
  <c r="D2905" i="7"/>
  <c r="Q2903" i="7"/>
  <c r="D2903" i="7"/>
  <c r="Q2901" i="7"/>
  <c r="D2901" i="7"/>
  <c r="Q2899" i="7"/>
  <c r="D2899" i="7"/>
  <c r="Q2897" i="7"/>
  <c r="D2897" i="7"/>
  <c r="Q2895" i="7"/>
  <c r="D2895" i="7"/>
  <c r="Q2893" i="7"/>
  <c r="D2893" i="7"/>
  <c r="Q2891" i="7"/>
  <c r="D2891" i="7"/>
  <c r="Q2889" i="7"/>
  <c r="D2889" i="7"/>
  <c r="Q2887" i="7"/>
  <c r="D2887" i="7"/>
  <c r="Q2885" i="7"/>
  <c r="D2885" i="7"/>
  <c r="Q2883" i="7"/>
  <c r="D2883" i="7"/>
  <c r="Q2881" i="7"/>
  <c r="D2881" i="7"/>
  <c r="Q2879" i="7"/>
  <c r="D2879" i="7"/>
  <c r="Q2877" i="7"/>
  <c r="D2877" i="7"/>
  <c r="Q2875" i="7"/>
  <c r="D2875" i="7"/>
  <c r="Q2873" i="7"/>
  <c r="D2873" i="7"/>
  <c r="Q2871" i="7"/>
  <c r="D2871" i="7"/>
  <c r="Q2869" i="7"/>
  <c r="D2869" i="7"/>
  <c r="Q2867" i="7"/>
  <c r="D2867" i="7"/>
  <c r="Q2865" i="7"/>
  <c r="D2865" i="7"/>
  <c r="Q2863" i="7"/>
  <c r="D2863" i="7"/>
  <c r="Q2861" i="7"/>
  <c r="D2861" i="7"/>
  <c r="Q2859" i="7"/>
  <c r="D2859" i="7"/>
  <c r="Q2857" i="7"/>
  <c r="D2857" i="7"/>
  <c r="Q2855" i="7"/>
  <c r="D2855" i="7"/>
  <c r="Q2853" i="7"/>
  <c r="D2853" i="7"/>
  <c r="Q2851" i="7"/>
  <c r="D2851" i="7"/>
  <c r="Q2849" i="7"/>
  <c r="D2849" i="7"/>
  <c r="Q2847" i="7"/>
  <c r="D2847" i="7"/>
  <c r="Q2845" i="7"/>
  <c r="D2845" i="7"/>
  <c r="Q2843" i="7"/>
  <c r="D2843" i="7"/>
  <c r="Q2841" i="7"/>
  <c r="D2841" i="7"/>
  <c r="H2840" i="7"/>
  <c r="D2840" i="7"/>
  <c r="Q2839" i="7"/>
  <c r="J2839" i="7"/>
  <c r="F2839" i="7"/>
  <c r="B2839" i="7"/>
  <c r="J2838" i="7"/>
  <c r="F2838" i="7"/>
  <c r="B2838" i="7"/>
  <c r="J2837" i="7"/>
  <c r="F2837" i="7"/>
  <c r="B2837" i="7"/>
  <c r="J2836" i="7"/>
  <c r="F2836" i="7"/>
  <c r="B2836" i="7"/>
  <c r="J2835" i="7"/>
  <c r="F2835" i="7"/>
  <c r="B2835" i="7"/>
  <c r="J2834" i="7"/>
  <c r="F2834" i="7"/>
  <c r="B2834" i="7"/>
  <c r="J2833" i="7"/>
  <c r="F2833" i="7"/>
  <c r="B2833" i="7"/>
  <c r="J2832" i="7"/>
  <c r="F2832" i="7"/>
  <c r="B2832" i="7"/>
  <c r="K2831" i="7"/>
  <c r="F2831" i="7"/>
  <c r="B2831" i="7"/>
  <c r="K2830" i="7"/>
  <c r="F2830" i="7"/>
  <c r="B2830" i="7"/>
  <c r="K2829" i="7"/>
  <c r="G2829" i="7"/>
  <c r="C2829" i="7"/>
  <c r="E2828" i="7"/>
  <c r="L2827" i="7"/>
  <c r="G2827" i="7"/>
  <c r="C2827" i="7"/>
  <c r="E2826" i="7"/>
  <c r="E2825" i="7"/>
  <c r="E2824" i="7"/>
  <c r="K2823" i="7"/>
  <c r="G2823" i="7"/>
  <c r="C2823" i="7"/>
  <c r="K2822" i="7"/>
  <c r="G2822" i="7"/>
  <c r="C2822" i="7"/>
  <c r="L2821" i="7"/>
  <c r="G2821" i="7"/>
  <c r="C2821" i="7"/>
  <c r="K2820" i="7"/>
  <c r="G2820" i="7"/>
  <c r="C2820" i="7"/>
  <c r="L2819" i="7"/>
  <c r="G2819" i="7"/>
  <c r="C2819" i="7"/>
  <c r="L2818" i="7"/>
  <c r="H2818" i="7"/>
  <c r="D2818" i="7"/>
  <c r="Q2817" i="7"/>
  <c r="M2817" i="7"/>
  <c r="H2817" i="7"/>
  <c r="D2817" i="7"/>
  <c r="Q2816" i="7"/>
  <c r="M2816" i="7"/>
  <c r="H2816" i="7"/>
  <c r="D2816" i="7"/>
  <c r="Q2815" i="7"/>
  <c r="M2815" i="7"/>
  <c r="I2815" i="7"/>
  <c r="E2815" i="7"/>
  <c r="A2815" i="7"/>
  <c r="M2814" i="7"/>
  <c r="I2814" i="7"/>
  <c r="E2814" i="7"/>
  <c r="A2814" i="7"/>
  <c r="M2813" i="7"/>
  <c r="I2813" i="7"/>
  <c r="E2813" i="7"/>
  <c r="A2813" i="7"/>
  <c r="M2812" i="7"/>
  <c r="I2812" i="7"/>
  <c r="E2812" i="7"/>
  <c r="A2812" i="7"/>
  <c r="N2811" i="7"/>
  <c r="J2811" i="7"/>
  <c r="E2811" i="7"/>
  <c r="A2811" i="7"/>
  <c r="M2810" i="7"/>
  <c r="I2810" i="7"/>
  <c r="E2810" i="7"/>
  <c r="A2810" i="7"/>
  <c r="N2809" i="7"/>
  <c r="J2809" i="7"/>
  <c r="F2809" i="7"/>
  <c r="B2809" i="7"/>
  <c r="J2808" i="7"/>
  <c r="F2808" i="7"/>
  <c r="B2808" i="7"/>
  <c r="D2807" i="7"/>
  <c r="D2806" i="7"/>
  <c r="D2805" i="7"/>
  <c r="J2804" i="7"/>
  <c r="F2804" i="7"/>
  <c r="B2804" i="7"/>
  <c r="J2803" i="7"/>
  <c r="F2803" i="7"/>
  <c r="B2803" i="7"/>
  <c r="K2802" i="7"/>
  <c r="G2802" i="7"/>
  <c r="C2802" i="7"/>
  <c r="L2801" i="7"/>
  <c r="H2801" i="7"/>
  <c r="D2801" i="7"/>
  <c r="Q2800" i="7"/>
  <c r="L2800" i="7"/>
  <c r="H2800" i="7"/>
  <c r="D2800" i="7"/>
  <c r="Q2799" i="7"/>
  <c r="E2799" i="7"/>
  <c r="D2798" i="7"/>
  <c r="A2797" i="7"/>
  <c r="N2796" i="7"/>
  <c r="J2796" i="7"/>
  <c r="E2796" i="7"/>
  <c r="A2796" i="7"/>
  <c r="M2795" i="7"/>
  <c r="I2795" i="7"/>
  <c r="E2795" i="7"/>
  <c r="A2795" i="7"/>
  <c r="N2794" i="7"/>
  <c r="J2794" i="7"/>
  <c r="E2794" i="7"/>
  <c r="A2794" i="7"/>
  <c r="N2793" i="7"/>
  <c r="J2793" i="7"/>
  <c r="E2793" i="7"/>
  <c r="A2793" i="7"/>
  <c r="N2792" i="7"/>
  <c r="G2792" i="7"/>
  <c r="C2792" i="7"/>
  <c r="J2791" i="7"/>
  <c r="E2791" i="7"/>
  <c r="A2791" i="7"/>
  <c r="N2790" i="7"/>
  <c r="J2790" i="7"/>
  <c r="E2790" i="7"/>
  <c r="A2790" i="7"/>
  <c r="N2789" i="7"/>
  <c r="J2789" i="7"/>
  <c r="E2789" i="7"/>
  <c r="A2789" i="7"/>
  <c r="N2788" i="7"/>
  <c r="G2788" i="7"/>
  <c r="C2788" i="7"/>
  <c r="L2787" i="7"/>
  <c r="G2787" i="7"/>
  <c r="C2787" i="7"/>
  <c r="L2786" i="7"/>
  <c r="G2786" i="7"/>
  <c r="C2786" i="7"/>
  <c r="L2785" i="7"/>
  <c r="G2785" i="7"/>
  <c r="C2785" i="7"/>
  <c r="L2784" i="7"/>
  <c r="G2784" i="7"/>
  <c r="C2784" i="7"/>
  <c r="L2783" i="7"/>
  <c r="G2783" i="7"/>
  <c r="C2783" i="7"/>
  <c r="L2782" i="7"/>
  <c r="G2782" i="7"/>
  <c r="C2782" i="7"/>
  <c r="L2781" i="7"/>
  <c r="G2781" i="7"/>
  <c r="C2781" i="7"/>
  <c r="K2780" i="7"/>
  <c r="F2780" i="7"/>
  <c r="B2780" i="7"/>
  <c r="K2779" i="7"/>
  <c r="F2779" i="7"/>
  <c r="B2779" i="7"/>
  <c r="K2778" i="7"/>
  <c r="F2778" i="7"/>
  <c r="B2778" i="7"/>
  <c r="J2777" i="7"/>
  <c r="E2777" i="7"/>
  <c r="A2777" i="7"/>
  <c r="N2776" i="7"/>
  <c r="H2776" i="7"/>
  <c r="D2776" i="7"/>
  <c r="Q2775" i="7"/>
  <c r="M2775" i="7"/>
  <c r="G2775" i="7"/>
  <c r="C2775" i="7"/>
  <c r="K2774" i="7"/>
  <c r="F2774" i="7"/>
  <c r="B2774" i="7"/>
  <c r="K2773" i="7"/>
  <c r="F2773" i="7"/>
  <c r="B2773" i="7"/>
  <c r="J2772" i="7"/>
  <c r="E2772" i="7"/>
  <c r="A2772" i="7"/>
  <c r="N2771" i="7"/>
  <c r="H2771" i="7"/>
  <c r="D2771" i="7"/>
  <c r="Q2770" i="7"/>
  <c r="M2770" i="7"/>
  <c r="H2770" i="7"/>
  <c r="D2770" i="7"/>
  <c r="Q2769" i="7"/>
  <c r="M2769" i="7"/>
  <c r="G2769" i="7"/>
  <c r="C2769" i="7"/>
  <c r="K2768" i="7"/>
  <c r="F2768" i="7"/>
  <c r="B2768" i="7"/>
  <c r="J2767" i="7"/>
  <c r="E2767" i="7"/>
  <c r="A2767" i="7"/>
  <c r="N2766" i="7"/>
  <c r="J2766" i="7"/>
  <c r="E2766" i="7"/>
  <c r="A2766" i="7"/>
  <c r="N2765" i="7"/>
  <c r="J2765" i="7"/>
  <c r="E2765" i="7"/>
  <c r="A2765" i="7"/>
  <c r="N2764" i="7"/>
  <c r="H2764" i="7"/>
  <c r="D2764" i="7"/>
  <c r="Q2763" i="7"/>
  <c r="M2763" i="7"/>
  <c r="G2763" i="7"/>
  <c r="C2763" i="7"/>
  <c r="K2762" i="7"/>
  <c r="F2762" i="7"/>
  <c r="B2762" i="7"/>
  <c r="J2761" i="7"/>
  <c r="E2761" i="7"/>
  <c r="A2761" i="7"/>
  <c r="N2760" i="7"/>
  <c r="H2760" i="7"/>
  <c r="D2760" i="7"/>
  <c r="Q2759" i="7"/>
  <c r="M2759" i="7"/>
  <c r="G2759" i="7"/>
  <c r="C2759" i="7"/>
  <c r="K2758" i="7"/>
  <c r="F2758" i="7"/>
  <c r="B2758" i="7"/>
  <c r="K2757" i="7"/>
  <c r="F2757" i="7"/>
  <c r="B2757" i="7"/>
  <c r="J2756" i="7"/>
  <c r="E2756" i="7"/>
  <c r="A2756" i="7"/>
  <c r="N2755" i="7"/>
  <c r="J2755" i="7"/>
  <c r="E2755" i="7"/>
  <c r="A2755" i="7"/>
  <c r="N2754" i="7"/>
  <c r="J2754" i="7"/>
  <c r="E2754" i="7"/>
  <c r="A2754" i="7"/>
  <c r="N2753" i="7"/>
  <c r="J2753" i="7"/>
  <c r="E2753" i="7"/>
  <c r="A2753" i="7"/>
  <c r="N2752" i="7"/>
  <c r="J2752" i="7"/>
  <c r="E2752" i="7"/>
  <c r="A2752" i="7"/>
  <c r="N2751" i="7"/>
  <c r="J2751" i="7"/>
  <c r="E2751" i="7"/>
  <c r="A2751" i="7"/>
  <c r="N2750" i="7"/>
  <c r="J2750" i="7"/>
  <c r="E2750" i="7"/>
  <c r="A2750" i="7"/>
  <c r="N2749" i="7"/>
  <c r="J2749" i="7"/>
  <c r="E2749" i="7"/>
  <c r="A2749" i="7"/>
  <c r="N2748" i="7"/>
  <c r="H2748" i="7"/>
  <c r="D2748" i="7"/>
  <c r="Q2747" i="7"/>
  <c r="M2747" i="7"/>
  <c r="H2747" i="7"/>
  <c r="D2747" i="7"/>
  <c r="Q2746" i="7"/>
  <c r="M2746" i="7"/>
  <c r="H2746" i="7"/>
  <c r="D2746" i="7"/>
  <c r="Q2745" i="7"/>
  <c r="M2745" i="7"/>
  <c r="G2745" i="7"/>
  <c r="C2745" i="7"/>
  <c r="K2744" i="7"/>
  <c r="F2744" i="7"/>
  <c r="B2744" i="7"/>
  <c r="K2743" i="7"/>
  <c r="F2743" i="7"/>
  <c r="B2743" i="7"/>
  <c r="K2742" i="7"/>
  <c r="F2742" i="7"/>
  <c r="B2742" i="7"/>
  <c r="K2741" i="7"/>
  <c r="F2741" i="7"/>
  <c r="B2741" i="7"/>
  <c r="K2740" i="7"/>
  <c r="F2740" i="7"/>
  <c r="B2740" i="7"/>
  <c r="K2739" i="7"/>
  <c r="F2739" i="7"/>
  <c r="B2739" i="7"/>
  <c r="K2738" i="7"/>
  <c r="F2738" i="7"/>
  <c r="B2738" i="7"/>
  <c r="J2737" i="7"/>
  <c r="E2737" i="7"/>
  <c r="A2737" i="7"/>
  <c r="N2736" i="7"/>
  <c r="J2736" i="7"/>
  <c r="E2736" i="7"/>
  <c r="A2736" i="7"/>
  <c r="N2735" i="7"/>
  <c r="J2735" i="7"/>
  <c r="E2735" i="7"/>
  <c r="A2735" i="7"/>
  <c r="N2734" i="7"/>
  <c r="J2734" i="7"/>
  <c r="E2734" i="7"/>
  <c r="A2734" i="7"/>
  <c r="N2733" i="7"/>
  <c r="J2733" i="7"/>
  <c r="E2733" i="7"/>
  <c r="A2733" i="7"/>
  <c r="N2732" i="7"/>
  <c r="J2732" i="7"/>
  <c r="E2732" i="7"/>
  <c r="A2732" i="7"/>
  <c r="N2731" i="7"/>
  <c r="J2731" i="7"/>
  <c r="E2731" i="7"/>
  <c r="A2731" i="7"/>
  <c r="N2730" i="7"/>
  <c r="H2730" i="7"/>
  <c r="D2730" i="7"/>
  <c r="Q2729" i="7"/>
  <c r="M2729" i="7"/>
  <c r="H2729" i="7"/>
  <c r="D2729" i="7"/>
  <c r="Q2728" i="7"/>
  <c r="M2728" i="7"/>
  <c r="H2728" i="7"/>
  <c r="D2728" i="7"/>
  <c r="Q2727" i="7"/>
  <c r="M2727" i="7"/>
  <c r="H2727" i="7"/>
  <c r="D2727" i="7"/>
  <c r="Q2726" i="7"/>
  <c r="M2726" i="7"/>
  <c r="H2726" i="7"/>
  <c r="D2726" i="7"/>
  <c r="Q2725" i="7"/>
  <c r="M2725" i="7"/>
  <c r="G2725" i="7"/>
  <c r="C2725" i="7"/>
  <c r="K2724" i="7"/>
  <c r="F2724" i="7"/>
  <c r="B2724" i="7"/>
  <c r="K2723" i="7"/>
  <c r="F2723" i="7"/>
  <c r="B2723" i="7"/>
  <c r="K2722" i="7"/>
  <c r="F2722" i="7"/>
  <c r="B2722" i="7"/>
  <c r="K2721" i="7"/>
  <c r="F2721" i="7"/>
  <c r="B2721" i="7"/>
  <c r="K2720" i="7"/>
  <c r="G2720" i="7"/>
  <c r="C2720" i="7"/>
  <c r="L2719" i="7"/>
  <c r="H2719" i="7"/>
  <c r="D2719" i="7"/>
  <c r="Q2718" i="7"/>
  <c r="L2718" i="7"/>
  <c r="H2718" i="7"/>
  <c r="D2718" i="7"/>
  <c r="Q2717" i="7"/>
  <c r="M2717" i="7"/>
  <c r="I2717" i="7"/>
  <c r="E2717" i="7"/>
  <c r="A2717" i="7"/>
  <c r="M2716" i="7"/>
  <c r="I2716" i="7"/>
  <c r="E2716" i="7"/>
  <c r="A2716" i="7"/>
  <c r="N2715" i="7"/>
  <c r="J2715" i="7"/>
  <c r="E2715" i="7"/>
  <c r="A2715" i="7"/>
  <c r="M2714" i="7"/>
  <c r="I2714" i="7"/>
  <c r="E2714" i="7"/>
  <c r="A2714" i="7"/>
  <c r="K2713" i="7"/>
  <c r="A2713" i="7"/>
  <c r="M2712" i="7"/>
  <c r="I2712" i="7"/>
  <c r="E2712" i="7"/>
  <c r="A2712" i="7"/>
  <c r="N2711" i="7"/>
  <c r="J2711" i="7"/>
  <c r="F2711" i="7"/>
  <c r="B2711" i="7"/>
  <c r="K2710" i="7"/>
  <c r="F2710" i="7"/>
  <c r="B2710" i="7"/>
  <c r="K2709" i="7"/>
  <c r="F2709" i="7"/>
  <c r="B2709" i="7"/>
  <c r="J2708" i="7"/>
  <c r="F2708" i="7"/>
  <c r="B2708" i="7"/>
  <c r="K2707" i="7"/>
  <c r="F2707" i="7"/>
  <c r="B2707" i="7"/>
  <c r="K2706" i="7"/>
  <c r="G2706" i="7"/>
  <c r="C2706" i="7"/>
  <c r="L2705" i="7"/>
  <c r="H2705" i="7"/>
  <c r="D2705" i="7"/>
  <c r="Q2704" i="7"/>
  <c r="L2704" i="7"/>
  <c r="H2704" i="7"/>
  <c r="D2704" i="7"/>
  <c r="Q2703" i="7"/>
  <c r="K2703" i="7"/>
  <c r="A2703" i="7"/>
  <c r="K2702" i="7"/>
  <c r="A2701" i="7"/>
  <c r="K2700" i="7"/>
  <c r="A2699" i="7"/>
  <c r="K2698" i="7"/>
  <c r="A2697" i="7"/>
  <c r="K2696" i="7"/>
  <c r="A2695" i="7"/>
  <c r="K2694" i="7"/>
  <c r="A2693" i="7"/>
  <c r="K2692" i="7"/>
  <c r="A2691" i="7"/>
  <c r="K2690" i="7"/>
  <c r="A2689" i="7"/>
  <c r="K2688" i="7"/>
  <c r="A2687" i="7"/>
  <c r="K2686" i="7"/>
  <c r="A2685" i="7"/>
  <c r="K2684" i="7"/>
  <c r="A2683" i="7"/>
  <c r="K2682" i="7"/>
  <c r="A2681" i="7"/>
  <c r="K2680" i="7"/>
  <c r="A2679" i="7"/>
  <c r="K2678" i="7"/>
  <c r="A2677" i="7"/>
  <c r="K2676" i="7"/>
  <c r="A2675" i="7"/>
  <c r="K2674" i="7"/>
  <c r="A2673" i="7"/>
  <c r="K2672" i="7"/>
  <c r="A2671" i="7"/>
  <c r="K2670" i="7"/>
  <c r="A2669" i="7"/>
  <c r="K2668" i="7"/>
  <c r="A2667" i="7"/>
  <c r="K2666" i="7"/>
  <c r="Q3280" i="7"/>
  <c r="Q3276" i="7"/>
  <c r="Q3272" i="7"/>
  <c r="Q3268" i="7"/>
  <c r="Q3264" i="7"/>
  <c r="Q3260" i="7"/>
  <c r="Q3256" i="7"/>
  <c r="Q3252" i="7"/>
  <c r="Q3248" i="7"/>
  <c r="Q3244" i="7"/>
  <c r="Q3240" i="7"/>
  <c r="Q3236" i="7"/>
  <c r="Q3232" i="7"/>
  <c r="Q3228" i="7"/>
  <c r="Q3224" i="7"/>
  <c r="Q3220" i="7"/>
  <c r="Q3216" i="7"/>
  <c r="Q3212" i="7"/>
  <c r="Q3208" i="7"/>
  <c r="Q3204" i="7"/>
  <c r="Q3200" i="7"/>
  <c r="Q3196" i="7"/>
  <c r="Q3192" i="7"/>
  <c r="Q3188" i="7"/>
  <c r="Q3184" i="7"/>
  <c r="Q3180" i="7"/>
  <c r="Q3176" i="7"/>
  <c r="A3088" i="7"/>
  <c r="K3087" i="7"/>
  <c r="B3087" i="7"/>
  <c r="N3086" i="7"/>
  <c r="G3086" i="7"/>
  <c r="B3086" i="7"/>
  <c r="N3085" i="7"/>
  <c r="G3085" i="7"/>
  <c r="B3085" i="7"/>
  <c r="K3084" i="7"/>
  <c r="K3083" i="7"/>
  <c r="E3083" i="7"/>
  <c r="K3082" i="7"/>
  <c r="E3082" i="7"/>
  <c r="J3081" i="7"/>
  <c r="E3081" i="7"/>
  <c r="J3080" i="7"/>
  <c r="E3080" i="7"/>
  <c r="K3079" i="7"/>
  <c r="E3079" i="7"/>
  <c r="J3078" i="7"/>
  <c r="E3078" i="7"/>
  <c r="K3077" i="7"/>
  <c r="E3077" i="7"/>
  <c r="K3076" i="7"/>
  <c r="E3076" i="7"/>
  <c r="J3075" i="7"/>
  <c r="E3075" i="7"/>
  <c r="K3074" i="7"/>
  <c r="E3074" i="7"/>
  <c r="K3073" i="7"/>
  <c r="E3073" i="7"/>
  <c r="K3072" i="7"/>
  <c r="E3072" i="7"/>
  <c r="K3071" i="7"/>
  <c r="E3071" i="7"/>
  <c r="K3070" i="7"/>
  <c r="E3070" i="7"/>
  <c r="J3069" i="7"/>
  <c r="E3069" i="7"/>
  <c r="K3068" i="7"/>
  <c r="E3068" i="7"/>
  <c r="K3067" i="7"/>
  <c r="E3067" i="7"/>
  <c r="J3066" i="7"/>
  <c r="E3066" i="7"/>
  <c r="K3065" i="7"/>
  <c r="E3065" i="7"/>
  <c r="K3064" i="7"/>
  <c r="E3064" i="7"/>
  <c r="J3063" i="7"/>
  <c r="E3063" i="7"/>
  <c r="K3062" i="7"/>
  <c r="E3062" i="7"/>
  <c r="K3061" i="7"/>
  <c r="E3061" i="7"/>
  <c r="K3060" i="7"/>
  <c r="E3060" i="7"/>
  <c r="K3059" i="7"/>
  <c r="E3059" i="7"/>
  <c r="K3058" i="7"/>
  <c r="E3058" i="7"/>
  <c r="K3057" i="7"/>
  <c r="E3057" i="7"/>
  <c r="K3056" i="7"/>
  <c r="E3056" i="7"/>
  <c r="K3055" i="7"/>
  <c r="E3055" i="7"/>
  <c r="K3054" i="7"/>
  <c r="E3054" i="7"/>
  <c r="K3053" i="7"/>
  <c r="E3053" i="7"/>
  <c r="K3052" i="7"/>
  <c r="E3052" i="7"/>
  <c r="K3051" i="7"/>
  <c r="E3051" i="7"/>
  <c r="K3050" i="7"/>
  <c r="E3050" i="7"/>
  <c r="K3049" i="7"/>
  <c r="E3049" i="7"/>
  <c r="K3048" i="7"/>
  <c r="E3048" i="7"/>
  <c r="K3047" i="7"/>
  <c r="E3047" i="7"/>
  <c r="K3046" i="7"/>
  <c r="E3046" i="7"/>
  <c r="K3045" i="7"/>
  <c r="E3045" i="7"/>
  <c r="K3044" i="7"/>
  <c r="E3044" i="7"/>
  <c r="K3043" i="7"/>
  <c r="E3043" i="7"/>
  <c r="K3042" i="7"/>
  <c r="E3042" i="7"/>
  <c r="K3041" i="7"/>
  <c r="E3041" i="7"/>
  <c r="K3040" i="7"/>
  <c r="E3040" i="7"/>
  <c r="K3039" i="7"/>
  <c r="E3039" i="7"/>
  <c r="K3038" i="7"/>
  <c r="E3038" i="7"/>
  <c r="K3037" i="7"/>
  <c r="E3037" i="7"/>
  <c r="K3036" i="7"/>
  <c r="E3036" i="7"/>
  <c r="K3035" i="7"/>
  <c r="E3035" i="7"/>
  <c r="K3034" i="7"/>
  <c r="E3034" i="7"/>
  <c r="K3033" i="7"/>
  <c r="E3033" i="7"/>
  <c r="K3032" i="7"/>
  <c r="E3032" i="7"/>
  <c r="K3031" i="7"/>
  <c r="E3031" i="7"/>
  <c r="K3030" i="7"/>
  <c r="E3030" i="7"/>
  <c r="K3029" i="7"/>
  <c r="E3029" i="7"/>
  <c r="K3028" i="7"/>
  <c r="E3028" i="7"/>
  <c r="K3027" i="7"/>
  <c r="E3027" i="7"/>
  <c r="K3026" i="7"/>
  <c r="E3026" i="7"/>
  <c r="K3025" i="7"/>
  <c r="E3025" i="7"/>
  <c r="K3024" i="7"/>
  <c r="E3024" i="7"/>
  <c r="K3023" i="7"/>
  <c r="E3023" i="7"/>
  <c r="K3022" i="7"/>
  <c r="E3022" i="7"/>
  <c r="K3021" i="7"/>
  <c r="E3021" i="7"/>
  <c r="Q3020" i="7"/>
  <c r="M3020" i="7"/>
  <c r="H3020" i="7"/>
  <c r="D3020" i="7"/>
  <c r="Q3019" i="7"/>
  <c r="M3019" i="7"/>
  <c r="H3019" i="7"/>
  <c r="D3019" i="7"/>
  <c r="Q3018" i="7"/>
  <c r="M3018" i="7"/>
  <c r="H3018" i="7"/>
  <c r="D3018" i="7"/>
  <c r="Q3017" i="7"/>
  <c r="M3017" i="7"/>
  <c r="H3017" i="7"/>
  <c r="D3017" i="7"/>
  <c r="Q3016" i="7"/>
  <c r="M3016" i="7"/>
  <c r="H3016" i="7"/>
  <c r="D3016" i="7"/>
  <c r="Q3015" i="7"/>
  <c r="M3015" i="7"/>
  <c r="H3015" i="7"/>
  <c r="D3015" i="7"/>
  <c r="Q3014" i="7"/>
  <c r="M3014" i="7"/>
  <c r="G3014" i="7"/>
  <c r="C3014" i="7"/>
  <c r="L3013" i="7"/>
  <c r="G3013" i="7"/>
  <c r="C3013" i="7"/>
  <c r="L3012" i="7"/>
  <c r="G3012" i="7"/>
  <c r="C3012" i="7"/>
  <c r="K3011" i="7"/>
  <c r="F3011" i="7"/>
  <c r="B3011" i="7"/>
  <c r="J3010" i="7"/>
  <c r="E3010" i="7"/>
  <c r="A3010" i="7"/>
  <c r="N3009" i="7"/>
  <c r="H3009" i="7"/>
  <c r="D3009" i="7"/>
  <c r="Q3008" i="7"/>
  <c r="M3008" i="7"/>
  <c r="G3008" i="7"/>
  <c r="C3008" i="7"/>
  <c r="K3007" i="7"/>
  <c r="F3007" i="7"/>
  <c r="B3007" i="7"/>
  <c r="J3006" i="7"/>
  <c r="E3006" i="7"/>
  <c r="A3006" i="7"/>
  <c r="N3005" i="7"/>
  <c r="J3005" i="7"/>
  <c r="E3005" i="7"/>
  <c r="A3005" i="7"/>
  <c r="N3004" i="7"/>
  <c r="J3004" i="7"/>
  <c r="E3004" i="7"/>
  <c r="A3004" i="7"/>
  <c r="N3003" i="7"/>
  <c r="J3003" i="7"/>
  <c r="E3003" i="7"/>
  <c r="A3003" i="7"/>
  <c r="K3002" i="7"/>
  <c r="A3001" i="7"/>
  <c r="K3000" i="7"/>
  <c r="A2999" i="7"/>
  <c r="K2998" i="7"/>
  <c r="A2997" i="7"/>
  <c r="K2996" i="7"/>
  <c r="A2995" i="7"/>
  <c r="K2994" i="7"/>
  <c r="A2993" i="7"/>
  <c r="K2992" i="7"/>
  <c r="A2991" i="7"/>
  <c r="K2990" i="7"/>
  <c r="A2989" i="7"/>
  <c r="K2988" i="7"/>
  <c r="A2987" i="7"/>
  <c r="K2986" i="7"/>
  <c r="A2985" i="7"/>
  <c r="K2984" i="7"/>
  <c r="A2983" i="7"/>
  <c r="K2982" i="7"/>
  <c r="A2981" i="7"/>
  <c r="K2980" i="7"/>
  <c r="A2979" i="7"/>
  <c r="K2978" i="7"/>
  <c r="A2977" i="7"/>
  <c r="K2976" i="7"/>
  <c r="A2975" i="7"/>
  <c r="K2974" i="7"/>
  <c r="A2973" i="7"/>
  <c r="K2972" i="7"/>
  <c r="A2971" i="7"/>
  <c r="K2970" i="7"/>
  <c r="A2969" i="7"/>
  <c r="K2968" i="7"/>
  <c r="A2967" i="7"/>
  <c r="K2966" i="7"/>
  <c r="A2965" i="7"/>
  <c r="K2964" i="7"/>
  <c r="A2963" i="7"/>
  <c r="K2962" i="7"/>
  <c r="A2961" i="7"/>
  <c r="K2960" i="7"/>
  <c r="A2959" i="7"/>
  <c r="K2958" i="7"/>
  <c r="A2957" i="7"/>
  <c r="K2956" i="7"/>
  <c r="A2955" i="7"/>
  <c r="K2954" i="7"/>
  <c r="A2953" i="7"/>
  <c r="K2952" i="7"/>
  <c r="A2951" i="7"/>
  <c r="K2950" i="7"/>
  <c r="A2949" i="7"/>
  <c r="K2948" i="7"/>
  <c r="A2947" i="7"/>
  <c r="K2946" i="7"/>
  <c r="A2945" i="7"/>
  <c r="K2944" i="7"/>
  <c r="A2943" i="7"/>
  <c r="K2942" i="7"/>
  <c r="A2941" i="7"/>
  <c r="K2940" i="7"/>
  <c r="A2939" i="7"/>
  <c r="K2938" i="7"/>
  <c r="A2937" i="7"/>
  <c r="K2936" i="7"/>
  <c r="A2935" i="7"/>
  <c r="K2934" i="7"/>
  <c r="A2933" i="7"/>
  <c r="K2932" i="7"/>
  <c r="A2931" i="7"/>
  <c r="K2930" i="7"/>
  <c r="A2929" i="7"/>
  <c r="K2928" i="7"/>
  <c r="A2927" i="7"/>
  <c r="K2926" i="7"/>
  <c r="A2925" i="7"/>
  <c r="K2924" i="7"/>
  <c r="A2923" i="7"/>
  <c r="K2922" i="7"/>
  <c r="A2921" i="7"/>
  <c r="K2920" i="7"/>
  <c r="A2919" i="7"/>
  <c r="K2918" i="7"/>
  <c r="A2917" i="7"/>
  <c r="K2916" i="7"/>
  <c r="A2915" i="7"/>
  <c r="K2914" i="7"/>
  <c r="A2913" i="7"/>
  <c r="K2912" i="7"/>
  <c r="A2911" i="7"/>
  <c r="K2910" i="7"/>
  <c r="A2909" i="7"/>
  <c r="K2908" i="7"/>
  <c r="A2907" i="7"/>
  <c r="K2906" i="7"/>
  <c r="A2905" i="7"/>
  <c r="K2904" i="7"/>
  <c r="A2903" i="7"/>
  <c r="K2902" i="7"/>
  <c r="A2901" i="7"/>
  <c r="K2900" i="7"/>
  <c r="A2899" i="7"/>
  <c r="K2898" i="7"/>
  <c r="A2897" i="7"/>
  <c r="K2896" i="7"/>
  <c r="A2895" i="7"/>
  <c r="K2894" i="7"/>
  <c r="A2893" i="7"/>
  <c r="K2892" i="7"/>
  <c r="A2891" i="7"/>
  <c r="K2890" i="7"/>
  <c r="A2889" i="7"/>
  <c r="K2888" i="7"/>
  <c r="A2887" i="7"/>
  <c r="K2886" i="7"/>
  <c r="A2885" i="7"/>
  <c r="K2884" i="7"/>
  <c r="A2883" i="7"/>
  <c r="K2882" i="7"/>
  <c r="A2881" i="7"/>
  <c r="K2880" i="7"/>
  <c r="A2879" i="7"/>
  <c r="K2878" i="7"/>
  <c r="A2877" i="7"/>
  <c r="K2876" i="7"/>
  <c r="A2875" i="7"/>
  <c r="K2874" i="7"/>
  <c r="A2873" i="7"/>
  <c r="K2872" i="7"/>
  <c r="A2871" i="7"/>
  <c r="K2870" i="7"/>
  <c r="A2869" i="7"/>
  <c r="K2868" i="7"/>
  <c r="A2867" i="7"/>
  <c r="K2866" i="7"/>
  <c r="A2865" i="7"/>
  <c r="K2864" i="7"/>
  <c r="A2863" i="7"/>
  <c r="K2862" i="7"/>
  <c r="A2861" i="7"/>
  <c r="K2860" i="7"/>
  <c r="A2859" i="7"/>
  <c r="K2858" i="7"/>
  <c r="A2857" i="7"/>
  <c r="K2856" i="7"/>
  <c r="A2855" i="7"/>
  <c r="K2854" i="7"/>
  <c r="A2853" i="7"/>
  <c r="K2852" i="7"/>
  <c r="A2851" i="7"/>
  <c r="K2850" i="7"/>
  <c r="A2849" i="7"/>
  <c r="K2848" i="7"/>
  <c r="A2847" i="7"/>
  <c r="K2846" i="7"/>
  <c r="A2845" i="7"/>
  <c r="K2844" i="7"/>
  <c r="A2843" i="7"/>
  <c r="K2842" i="7"/>
  <c r="A2841" i="7"/>
  <c r="K2840" i="7"/>
  <c r="G2840" i="7"/>
  <c r="C2840" i="7"/>
  <c r="I2839" i="7"/>
  <c r="E2839" i="7"/>
  <c r="A2839" i="7"/>
  <c r="M2838" i="7"/>
  <c r="I2838" i="7"/>
  <c r="E2838" i="7"/>
  <c r="A2838" i="7"/>
  <c r="M2837" i="7"/>
  <c r="I2837" i="7"/>
  <c r="E2837" i="7"/>
  <c r="A2837" i="7"/>
  <c r="M2836" i="7"/>
  <c r="I2836" i="7"/>
  <c r="E2836" i="7"/>
  <c r="A2836" i="7"/>
  <c r="M2835" i="7"/>
  <c r="I2835" i="7"/>
  <c r="E2835" i="7"/>
  <c r="A2835" i="7"/>
  <c r="M2834" i="7"/>
  <c r="I2834" i="7"/>
  <c r="E2834" i="7"/>
  <c r="A2834" i="7"/>
  <c r="M2833" i="7"/>
  <c r="I2833" i="7"/>
  <c r="E2833" i="7"/>
  <c r="A2833" i="7"/>
  <c r="M2832" i="7"/>
  <c r="I2832" i="7"/>
  <c r="E2832" i="7"/>
  <c r="A2832" i="7"/>
  <c r="N2831" i="7"/>
  <c r="J2831" i="7"/>
  <c r="E2831" i="7"/>
  <c r="A2831" i="7"/>
  <c r="N2830" i="7"/>
  <c r="J2830" i="7"/>
  <c r="E2830" i="7"/>
  <c r="A2830" i="7"/>
  <c r="N2829" i="7"/>
  <c r="J2829" i="7"/>
  <c r="F2829" i="7"/>
  <c r="B2829" i="7"/>
  <c r="D2828" i="7"/>
  <c r="K2827" i="7"/>
  <c r="F2827" i="7"/>
  <c r="B2827" i="7"/>
  <c r="D2826" i="7"/>
  <c r="D2825" i="7"/>
  <c r="D2824" i="7"/>
  <c r="J2823" i="7"/>
  <c r="F2823" i="7"/>
  <c r="B2823" i="7"/>
  <c r="J2822" i="7"/>
  <c r="F2822" i="7"/>
  <c r="B2822" i="7"/>
  <c r="K2821" i="7"/>
  <c r="F2821" i="7"/>
  <c r="B2821" i="7"/>
  <c r="J2820" i="7"/>
  <c r="F2820" i="7"/>
  <c r="B2820" i="7"/>
  <c r="K2819" i="7"/>
  <c r="F2819" i="7"/>
  <c r="B2819" i="7"/>
  <c r="K2818" i="7"/>
  <c r="G2818" i="7"/>
  <c r="C2818" i="7"/>
  <c r="L2817" i="7"/>
  <c r="G2817" i="7"/>
  <c r="C2817" i="7"/>
  <c r="L2816" i="7"/>
  <c r="G2816" i="7"/>
  <c r="C2816" i="7"/>
  <c r="L2815" i="7"/>
  <c r="H2815" i="7"/>
  <c r="D2815" i="7"/>
  <c r="Q2814" i="7"/>
  <c r="L2814" i="7"/>
  <c r="H2814" i="7"/>
  <c r="D2814" i="7"/>
  <c r="Q2813" i="7"/>
  <c r="L2813" i="7"/>
  <c r="H2813" i="7"/>
  <c r="D2813" i="7"/>
  <c r="Q2812" i="7"/>
  <c r="L2812" i="7"/>
  <c r="H2812" i="7"/>
  <c r="D2812" i="7"/>
  <c r="Q2811" i="7"/>
  <c r="M2811" i="7"/>
  <c r="H2811" i="7"/>
  <c r="D2811" i="7"/>
  <c r="Q2810" i="7"/>
  <c r="L2810" i="7"/>
  <c r="H2810" i="7"/>
  <c r="D2810" i="7"/>
  <c r="Q2809" i="7"/>
  <c r="M2809" i="7"/>
  <c r="I2809" i="7"/>
  <c r="E2809" i="7"/>
  <c r="A2809" i="7"/>
  <c r="M2808" i="7"/>
  <c r="I2808" i="7"/>
  <c r="E2808" i="7"/>
  <c r="A2808" i="7"/>
  <c r="K2807" i="7"/>
  <c r="A2807" i="7"/>
  <c r="K2806" i="7"/>
  <c r="A2806" i="7"/>
  <c r="K2805" i="7"/>
  <c r="A2805" i="7"/>
  <c r="M2804" i="7"/>
  <c r="I2804" i="7"/>
  <c r="E2804" i="7"/>
  <c r="A2804" i="7"/>
  <c r="M2803" i="7"/>
  <c r="I2803" i="7"/>
  <c r="E2803" i="7"/>
  <c r="A2803" i="7"/>
  <c r="N2802" i="7"/>
  <c r="J2802" i="7"/>
  <c r="F2802" i="7"/>
  <c r="B2802" i="7"/>
  <c r="K2801" i="7"/>
  <c r="G2801" i="7"/>
  <c r="C2801" i="7"/>
  <c r="K2800" i="7"/>
  <c r="G2800" i="7"/>
  <c r="C2800" i="7"/>
  <c r="D2799" i="7"/>
  <c r="A2798" i="7"/>
  <c r="K2797" i="7"/>
  <c r="Q2796" i="7"/>
  <c r="M2796" i="7"/>
  <c r="H2796" i="7"/>
  <c r="D2796" i="7"/>
  <c r="Q2795" i="7"/>
  <c r="L2795" i="7"/>
  <c r="H2795" i="7"/>
  <c r="D2795" i="7"/>
  <c r="Q2794" i="7"/>
  <c r="M2794" i="7"/>
  <c r="H2794" i="7"/>
  <c r="D2794" i="7"/>
  <c r="Q2793" i="7"/>
  <c r="M2793" i="7"/>
  <c r="H2793" i="7"/>
  <c r="D2793" i="7"/>
  <c r="Q2792" i="7"/>
  <c r="K2792" i="7"/>
  <c r="F2792" i="7"/>
  <c r="B2792" i="7"/>
  <c r="H2791" i="7"/>
  <c r="D2791" i="7"/>
  <c r="Q2790" i="7"/>
  <c r="M2790" i="7"/>
  <c r="H2790" i="7"/>
  <c r="D2790" i="7"/>
  <c r="Q2789" i="7"/>
  <c r="M2789" i="7"/>
  <c r="H2789" i="7"/>
  <c r="D2789" i="7"/>
  <c r="Q2788" i="7"/>
  <c r="K2788" i="7"/>
  <c r="F2788" i="7"/>
  <c r="B2788" i="7"/>
  <c r="K2787" i="7"/>
  <c r="F2787" i="7"/>
  <c r="B2787" i="7"/>
  <c r="K2786" i="7"/>
  <c r="F2786" i="7"/>
  <c r="B2786" i="7"/>
  <c r="K2785" i="7"/>
  <c r="F2785" i="7"/>
  <c r="B2785" i="7"/>
  <c r="K2784" i="7"/>
  <c r="F2784" i="7"/>
  <c r="B2784" i="7"/>
  <c r="K2783" i="7"/>
  <c r="F2783" i="7"/>
  <c r="B2783" i="7"/>
  <c r="K2782" i="7"/>
  <c r="F2782" i="7"/>
  <c r="B2782" i="7"/>
  <c r="K2781" i="7"/>
  <c r="F2781" i="7"/>
  <c r="B2781" i="7"/>
  <c r="J2780" i="7"/>
  <c r="E2780" i="7"/>
  <c r="A2780" i="7"/>
  <c r="N2779" i="7"/>
  <c r="J2779" i="7"/>
  <c r="E2779" i="7"/>
  <c r="A2779" i="7"/>
  <c r="N2778" i="7"/>
  <c r="J2778" i="7"/>
  <c r="E2778" i="7"/>
  <c r="A2778" i="7"/>
  <c r="N2777" i="7"/>
  <c r="H2777" i="7"/>
  <c r="D2777" i="7"/>
  <c r="Q2776" i="7"/>
  <c r="M2776" i="7"/>
  <c r="G2776" i="7"/>
  <c r="C2776" i="7"/>
  <c r="K2775" i="7"/>
  <c r="F2775" i="7"/>
  <c r="B2775" i="7"/>
  <c r="J2774" i="7"/>
  <c r="E2774" i="7"/>
  <c r="A2774" i="7"/>
  <c r="N2773" i="7"/>
  <c r="J2773" i="7"/>
  <c r="E2773" i="7"/>
  <c r="A2773" i="7"/>
  <c r="N2772" i="7"/>
  <c r="H2772" i="7"/>
  <c r="D2772" i="7"/>
  <c r="Q2771" i="7"/>
  <c r="M2771" i="7"/>
  <c r="G2771" i="7"/>
  <c r="C2771" i="7"/>
  <c r="L2770" i="7"/>
  <c r="G2770" i="7"/>
  <c r="C2770" i="7"/>
  <c r="K2769" i="7"/>
  <c r="F2769" i="7"/>
  <c r="B2769" i="7"/>
  <c r="J2768" i="7"/>
  <c r="E2768" i="7"/>
  <c r="A2768" i="7"/>
  <c r="N2767" i="7"/>
  <c r="H2767" i="7"/>
  <c r="D2767" i="7"/>
  <c r="Q2766" i="7"/>
  <c r="M2766" i="7"/>
  <c r="H2766" i="7"/>
  <c r="D2766" i="7"/>
  <c r="Q2765" i="7"/>
  <c r="M2765" i="7"/>
  <c r="H2765" i="7"/>
  <c r="D2765" i="7"/>
  <c r="Q2764" i="7"/>
  <c r="M2764" i="7"/>
  <c r="G2764" i="7"/>
  <c r="C2764" i="7"/>
  <c r="K2763" i="7"/>
  <c r="F2763" i="7"/>
  <c r="B2763" i="7"/>
  <c r="J2762" i="7"/>
  <c r="E2762" i="7"/>
  <c r="A2762" i="7"/>
  <c r="N2761" i="7"/>
  <c r="H2761" i="7"/>
  <c r="D2761" i="7"/>
  <c r="Q2760" i="7"/>
  <c r="M2760" i="7"/>
  <c r="G2760" i="7"/>
  <c r="C2760" i="7"/>
  <c r="K2759" i="7"/>
  <c r="F2759" i="7"/>
  <c r="B2759" i="7"/>
  <c r="J2758" i="7"/>
  <c r="E2758" i="7"/>
  <c r="A2758" i="7"/>
  <c r="N2757" i="7"/>
  <c r="J2757" i="7"/>
  <c r="E2757" i="7"/>
  <c r="A2757" i="7"/>
  <c r="N2756" i="7"/>
  <c r="H2756" i="7"/>
  <c r="D2756" i="7"/>
  <c r="Q2755" i="7"/>
  <c r="M2755" i="7"/>
  <c r="H2755" i="7"/>
  <c r="D2755" i="7"/>
  <c r="Q2754" i="7"/>
  <c r="M2754" i="7"/>
  <c r="H2754" i="7"/>
  <c r="D2754" i="7"/>
  <c r="Q2753" i="7"/>
  <c r="M2753" i="7"/>
  <c r="H2753" i="7"/>
  <c r="D2753" i="7"/>
  <c r="Q2752" i="7"/>
  <c r="M2752" i="7"/>
  <c r="H2752" i="7"/>
  <c r="D2752" i="7"/>
  <c r="Q2751" i="7"/>
  <c r="M2751" i="7"/>
  <c r="H2751" i="7"/>
  <c r="D2751" i="7"/>
  <c r="Q2750" i="7"/>
  <c r="M2750" i="7"/>
  <c r="H2750" i="7"/>
  <c r="D2750" i="7"/>
  <c r="Q2749" i="7"/>
  <c r="M2749" i="7"/>
  <c r="H2749" i="7"/>
  <c r="D2749" i="7"/>
  <c r="Q2748" i="7"/>
  <c r="M2748" i="7"/>
  <c r="G2748" i="7"/>
  <c r="C2748" i="7"/>
  <c r="L2747" i="7"/>
  <c r="G2747" i="7"/>
  <c r="C2747" i="7"/>
  <c r="L2746" i="7"/>
  <c r="G2746" i="7"/>
  <c r="C2746" i="7"/>
  <c r="K2745" i="7"/>
  <c r="F2745" i="7"/>
  <c r="B2745" i="7"/>
  <c r="J2744" i="7"/>
  <c r="E2744" i="7"/>
  <c r="A2744" i="7"/>
  <c r="N2743" i="7"/>
  <c r="J2743" i="7"/>
  <c r="E2743" i="7"/>
  <c r="A2743" i="7"/>
  <c r="N2742" i="7"/>
  <c r="J2742" i="7"/>
  <c r="E2742" i="7"/>
  <c r="A2742" i="7"/>
  <c r="N2741" i="7"/>
  <c r="J2741" i="7"/>
  <c r="E2741" i="7"/>
  <c r="A2741" i="7"/>
  <c r="N2740" i="7"/>
  <c r="J2740" i="7"/>
  <c r="E2740" i="7"/>
  <c r="A2740" i="7"/>
  <c r="N2739" i="7"/>
  <c r="J2739" i="7"/>
  <c r="E2739" i="7"/>
  <c r="A2739" i="7"/>
  <c r="N2738" i="7"/>
  <c r="J2738" i="7"/>
  <c r="E2738" i="7"/>
  <c r="A2738" i="7"/>
  <c r="N2737" i="7"/>
  <c r="H2737" i="7"/>
  <c r="D2737" i="7"/>
  <c r="Q2736" i="7"/>
  <c r="M2736" i="7"/>
  <c r="H2736" i="7"/>
  <c r="D2736" i="7"/>
  <c r="Q2735" i="7"/>
  <c r="M2735" i="7"/>
  <c r="H2735" i="7"/>
  <c r="D2735" i="7"/>
  <c r="Q2734" i="7"/>
  <c r="M2734" i="7"/>
  <c r="H2734" i="7"/>
  <c r="D2734" i="7"/>
  <c r="Q2733" i="7"/>
  <c r="M2733" i="7"/>
  <c r="H2733" i="7"/>
  <c r="D2733" i="7"/>
  <c r="Q2732" i="7"/>
  <c r="M2732" i="7"/>
  <c r="H2732" i="7"/>
  <c r="D2732" i="7"/>
  <c r="Q2731" i="7"/>
  <c r="M2731" i="7"/>
  <c r="H2731" i="7"/>
  <c r="D2731" i="7"/>
  <c r="Q2730" i="7"/>
  <c r="M2730" i="7"/>
  <c r="G2730" i="7"/>
  <c r="C2730" i="7"/>
  <c r="L2729" i="7"/>
  <c r="G2729" i="7"/>
  <c r="C2729" i="7"/>
  <c r="L2728" i="7"/>
  <c r="G2728" i="7"/>
  <c r="C2728" i="7"/>
  <c r="L2727" i="7"/>
  <c r="G2727" i="7"/>
  <c r="C2727" i="7"/>
  <c r="L2726" i="7"/>
  <c r="G2726" i="7"/>
  <c r="C2726" i="7"/>
  <c r="K2725" i="7"/>
  <c r="F2725" i="7"/>
  <c r="B2725" i="7"/>
  <c r="J2724" i="7"/>
  <c r="E2724" i="7"/>
  <c r="A2724" i="7"/>
  <c r="N2723" i="7"/>
  <c r="J2723" i="7"/>
  <c r="E2723" i="7"/>
  <c r="A2723" i="7"/>
  <c r="N2722" i="7"/>
  <c r="J2722" i="7"/>
  <c r="E2722" i="7"/>
  <c r="A2722" i="7"/>
  <c r="N2721" i="7"/>
  <c r="J2721" i="7"/>
  <c r="E2721" i="7"/>
  <c r="A2721" i="7"/>
  <c r="N2720" i="7"/>
  <c r="J2720" i="7"/>
  <c r="F2720" i="7"/>
  <c r="B2720" i="7"/>
  <c r="K2719" i="7"/>
  <c r="G2719" i="7"/>
  <c r="C2719" i="7"/>
  <c r="K2718" i="7"/>
  <c r="G2718" i="7"/>
  <c r="C2718" i="7"/>
  <c r="L2717" i="7"/>
  <c r="H2717" i="7"/>
  <c r="D2717" i="7"/>
  <c r="Q2716" i="7"/>
  <c r="L2716" i="7"/>
  <c r="H2716" i="7"/>
  <c r="D2716" i="7"/>
  <c r="Q2715" i="7"/>
  <c r="M2715" i="7"/>
  <c r="H2715" i="7"/>
  <c r="D2715" i="7"/>
  <c r="Q2714" i="7"/>
  <c r="L2714" i="7"/>
  <c r="H2714" i="7"/>
  <c r="D2714" i="7"/>
  <c r="Q2713" i="7"/>
  <c r="F2713" i="7"/>
  <c r="Q2712" i="7"/>
  <c r="L2712" i="7"/>
  <c r="H2712" i="7"/>
  <c r="D2712" i="7"/>
  <c r="Q2711" i="7"/>
  <c r="M2711" i="7"/>
  <c r="I2711" i="7"/>
  <c r="E2711" i="7"/>
  <c r="A2711" i="7"/>
  <c r="N2710" i="7"/>
  <c r="J2710" i="7"/>
  <c r="E2710" i="7"/>
  <c r="A2710" i="7"/>
  <c r="N2709" i="7"/>
  <c r="J2709" i="7"/>
  <c r="E2709" i="7"/>
  <c r="A2709" i="7"/>
  <c r="M2708" i="7"/>
  <c r="I2708" i="7"/>
  <c r="E2708" i="7"/>
  <c r="A2708" i="7"/>
  <c r="N2707" i="7"/>
  <c r="J2707" i="7"/>
  <c r="E2707" i="7"/>
  <c r="A2707" i="7"/>
  <c r="N2706" i="7"/>
  <c r="J2706" i="7"/>
  <c r="F2706" i="7"/>
  <c r="B2706" i="7"/>
  <c r="K2705" i="7"/>
  <c r="G2705" i="7"/>
  <c r="C2705" i="7"/>
  <c r="K2704" i="7"/>
  <c r="G2704" i="7"/>
  <c r="C2704" i="7"/>
  <c r="F2703" i="7"/>
  <c r="Q2702" i="7"/>
  <c r="D2702" i="7"/>
  <c r="Q2700" i="7"/>
  <c r="D2700" i="7"/>
  <c r="Q2698" i="7"/>
  <c r="D2698" i="7"/>
  <c r="Q2696" i="7"/>
  <c r="D2696" i="7"/>
  <c r="Q2694" i="7"/>
  <c r="D2694" i="7"/>
  <c r="Q2692" i="7"/>
  <c r="D2692" i="7"/>
  <c r="Q2690" i="7"/>
  <c r="D2690" i="7"/>
  <c r="Q2688" i="7"/>
  <c r="D2688" i="7"/>
  <c r="Q2686" i="7"/>
  <c r="D2686" i="7"/>
  <c r="Q2684" i="7"/>
  <c r="D2684" i="7"/>
  <c r="Q2682" i="7"/>
  <c r="D2682" i="7"/>
  <c r="Q2680" i="7"/>
  <c r="D2680" i="7"/>
  <c r="Q2678" i="7"/>
  <c r="D2678" i="7"/>
  <c r="Q2676" i="7"/>
  <c r="D2676" i="7"/>
  <c r="Q2674" i="7"/>
  <c r="D2674" i="7"/>
  <c r="Q2672" i="7"/>
  <c r="D2672" i="7"/>
  <c r="D3278" i="7"/>
  <c r="D3274" i="7"/>
  <c r="D3270" i="7"/>
  <c r="D3266" i="7"/>
  <c r="D3262" i="7"/>
  <c r="D3258" i="7"/>
  <c r="D3254" i="7"/>
  <c r="D3250" i="7"/>
  <c r="D3246" i="7"/>
  <c r="D3242" i="7"/>
  <c r="D3238" i="7"/>
  <c r="D3234" i="7"/>
  <c r="D3230" i="7"/>
  <c r="D3226" i="7"/>
  <c r="D3222" i="7"/>
  <c r="D3218" i="7"/>
  <c r="D3214" i="7"/>
  <c r="D3210" i="7"/>
  <c r="D3206" i="7"/>
  <c r="D3202" i="7"/>
  <c r="D3198" i="7"/>
  <c r="D3194" i="7"/>
  <c r="D3190" i="7"/>
  <c r="D3186" i="7"/>
  <c r="D3182" i="7"/>
  <c r="D3178" i="7"/>
  <c r="D3174" i="7"/>
  <c r="K3173" i="7"/>
  <c r="D3172" i="7"/>
  <c r="K3171" i="7"/>
  <c r="D3170" i="7"/>
  <c r="K3169" i="7"/>
  <c r="D3168" i="7"/>
  <c r="K3167" i="7"/>
  <c r="D3166" i="7"/>
  <c r="K3165" i="7"/>
  <c r="D3164" i="7"/>
  <c r="K3163" i="7"/>
  <c r="D3162" i="7"/>
  <c r="K3161" i="7"/>
  <c r="D3160" i="7"/>
  <c r="K3159" i="7"/>
  <c r="D3158" i="7"/>
  <c r="K3157" i="7"/>
  <c r="D3156" i="7"/>
  <c r="K3155" i="7"/>
  <c r="D3154" i="7"/>
  <c r="K3153" i="7"/>
  <c r="D3152" i="7"/>
  <c r="K3151" i="7"/>
  <c r="D3150" i="7"/>
  <c r="K3149" i="7"/>
  <c r="D3148" i="7"/>
  <c r="K3147" i="7"/>
  <c r="D3146" i="7"/>
  <c r="K3145" i="7"/>
  <c r="D3144" i="7"/>
  <c r="K3143" i="7"/>
  <c r="D3142" i="7"/>
  <c r="K3141" i="7"/>
  <c r="D3140" i="7"/>
  <c r="K3139" i="7"/>
  <c r="D3138" i="7"/>
  <c r="K3137" i="7"/>
  <c r="D3136" i="7"/>
  <c r="K3135" i="7"/>
  <c r="D3134" i="7"/>
  <c r="K3133" i="7"/>
  <c r="D3132" i="7"/>
  <c r="K3131" i="7"/>
  <c r="D3130" i="7"/>
  <c r="K3129" i="7"/>
  <c r="D3128" i="7"/>
  <c r="K3127" i="7"/>
  <c r="D3126" i="7"/>
  <c r="K3125" i="7"/>
  <c r="D3124" i="7"/>
  <c r="K3123" i="7"/>
  <c r="D3122" i="7"/>
  <c r="K3121" i="7"/>
  <c r="D3120" i="7"/>
  <c r="K3119" i="7"/>
  <c r="D3118" i="7"/>
  <c r="K3117" i="7"/>
  <c r="D3116" i="7"/>
  <c r="K3115" i="7"/>
  <c r="D3114" i="7"/>
  <c r="K3113" i="7"/>
  <c r="D3112" i="7"/>
  <c r="K3111" i="7"/>
  <c r="D3110" i="7"/>
  <c r="K3109" i="7"/>
  <c r="D3108" i="7"/>
  <c r="K3107" i="7"/>
  <c r="D3106" i="7"/>
  <c r="K3105" i="7"/>
  <c r="D3104" i="7"/>
  <c r="K3103" i="7"/>
  <c r="D3102" i="7"/>
  <c r="K3101" i="7"/>
  <c r="D3100" i="7"/>
  <c r="K3099" i="7"/>
  <c r="D3098" i="7"/>
  <c r="K3097" i="7"/>
  <c r="D3096" i="7"/>
  <c r="K3095" i="7"/>
  <c r="D3094" i="7"/>
  <c r="K3093" i="7"/>
  <c r="D3092" i="7"/>
  <c r="K3091" i="7"/>
  <c r="D3090" i="7"/>
  <c r="K3089" i="7"/>
  <c r="J3087" i="7"/>
  <c r="A3087" i="7"/>
  <c r="L3086" i="7"/>
  <c r="F3086" i="7"/>
  <c r="A3086" i="7"/>
  <c r="L3085" i="7"/>
  <c r="F3085" i="7"/>
  <c r="A3085" i="7"/>
  <c r="E3084" i="7"/>
  <c r="J3083" i="7"/>
  <c r="C3083" i="7"/>
  <c r="J3082" i="7"/>
  <c r="C3082" i="7"/>
  <c r="I3081" i="7"/>
  <c r="C3081" i="7"/>
  <c r="I3080" i="7"/>
  <c r="C3080" i="7"/>
  <c r="J3079" i="7"/>
  <c r="C3079" i="7"/>
  <c r="I3078" i="7"/>
  <c r="C3078" i="7"/>
  <c r="J3077" i="7"/>
  <c r="C3077" i="7"/>
  <c r="J3076" i="7"/>
  <c r="C3076" i="7"/>
  <c r="I3075" i="7"/>
  <c r="C3075" i="7"/>
  <c r="J3074" i="7"/>
  <c r="C3074" i="7"/>
  <c r="J3073" i="7"/>
  <c r="C3073" i="7"/>
  <c r="J3072" i="7"/>
  <c r="C3072" i="7"/>
  <c r="J3071" i="7"/>
  <c r="C3071" i="7"/>
  <c r="J3070" i="7"/>
  <c r="C3070" i="7"/>
  <c r="I3069" i="7"/>
  <c r="C3069" i="7"/>
  <c r="J3068" i="7"/>
  <c r="C3068" i="7"/>
  <c r="J3067" i="7"/>
  <c r="C3067" i="7"/>
  <c r="I3066" i="7"/>
  <c r="C3066" i="7"/>
  <c r="J3065" i="7"/>
  <c r="C3065" i="7"/>
  <c r="J3064" i="7"/>
  <c r="C3064" i="7"/>
  <c r="I3063" i="7"/>
  <c r="C3063" i="7"/>
  <c r="J3062" i="7"/>
  <c r="C3062" i="7"/>
  <c r="J3061" i="7"/>
  <c r="C3061" i="7"/>
  <c r="J3060" i="7"/>
  <c r="C3060" i="7"/>
  <c r="J3059" i="7"/>
  <c r="C3059" i="7"/>
  <c r="J3058" i="7"/>
  <c r="C3058" i="7"/>
  <c r="J3057" i="7"/>
  <c r="C3057" i="7"/>
  <c r="J3056" i="7"/>
  <c r="C3056" i="7"/>
  <c r="J3055" i="7"/>
  <c r="C3055" i="7"/>
  <c r="J3054" i="7"/>
  <c r="C3054" i="7"/>
  <c r="J3053" i="7"/>
  <c r="C3053" i="7"/>
  <c r="J3052" i="7"/>
  <c r="C3052" i="7"/>
  <c r="J3051" i="7"/>
  <c r="C3051" i="7"/>
  <c r="J3050" i="7"/>
  <c r="C3050" i="7"/>
  <c r="J3049" i="7"/>
  <c r="C3049" i="7"/>
  <c r="J3048" i="7"/>
  <c r="C3048" i="7"/>
  <c r="J3047" i="7"/>
  <c r="C3047" i="7"/>
  <c r="J3046" i="7"/>
  <c r="C3046" i="7"/>
  <c r="J3045" i="7"/>
  <c r="C3045" i="7"/>
  <c r="J3044" i="7"/>
  <c r="C3044" i="7"/>
  <c r="J3043" i="7"/>
  <c r="C3043" i="7"/>
  <c r="J3042" i="7"/>
  <c r="C3042" i="7"/>
  <c r="J3041" i="7"/>
  <c r="C3041" i="7"/>
  <c r="J3040" i="7"/>
  <c r="C3040" i="7"/>
  <c r="J3039" i="7"/>
  <c r="C3039" i="7"/>
  <c r="J3038" i="7"/>
  <c r="C3038" i="7"/>
  <c r="J3037" i="7"/>
  <c r="C3037" i="7"/>
  <c r="J3036" i="7"/>
  <c r="C3036" i="7"/>
  <c r="J3035" i="7"/>
  <c r="C3035" i="7"/>
  <c r="J3034" i="7"/>
  <c r="C3034" i="7"/>
  <c r="J3033" i="7"/>
  <c r="C3033" i="7"/>
  <c r="J3032" i="7"/>
  <c r="C3032" i="7"/>
  <c r="J3031" i="7"/>
  <c r="C3031" i="7"/>
  <c r="J3030" i="7"/>
  <c r="C3030" i="7"/>
  <c r="J3029" i="7"/>
  <c r="C3029" i="7"/>
  <c r="J3028" i="7"/>
  <c r="C3028" i="7"/>
  <c r="J3027" i="7"/>
  <c r="C3027" i="7"/>
  <c r="J3026" i="7"/>
  <c r="C3026" i="7"/>
  <c r="J3025" i="7"/>
  <c r="C3025" i="7"/>
  <c r="J3024" i="7"/>
  <c r="C3024" i="7"/>
  <c r="J3023" i="7"/>
  <c r="C3023" i="7"/>
  <c r="J3022" i="7"/>
  <c r="C3022" i="7"/>
  <c r="J3021" i="7"/>
  <c r="C3021" i="7"/>
  <c r="L3020" i="7"/>
  <c r="G3020" i="7"/>
  <c r="C3020" i="7"/>
  <c r="L3019" i="7"/>
  <c r="G3019" i="7"/>
  <c r="C3019" i="7"/>
  <c r="L3018" i="7"/>
  <c r="G3018" i="7"/>
  <c r="C3018" i="7"/>
  <c r="L3017" i="7"/>
  <c r="G3017" i="7"/>
  <c r="C3017" i="7"/>
  <c r="L3016" i="7"/>
  <c r="G3016" i="7"/>
  <c r="C3016" i="7"/>
  <c r="L3015" i="7"/>
  <c r="G3015" i="7"/>
  <c r="C3015" i="7"/>
  <c r="K3014" i="7"/>
  <c r="F3014" i="7"/>
  <c r="B3014" i="7"/>
  <c r="K3013" i="7"/>
  <c r="F3013" i="7"/>
  <c r="B3013" i="7"/>
  <c r="K3012" i="7"/>
  <c r="F3012" i="7"/>
  <c r="B3012" i="7"/>
  <c r="J3011" i="7"/>
  <c r="E3011" i="7"/>
  <c r="A3011" i="7"/>
  <c r="N3010" i="7"/>
  <c r="H3010" i="7"/>
  <c r="D3010" i="7"/>
  <c r="Q3009" i="7"/>
  <c r="M3009" i="7"/>
  <c r="G3009" i="7"/>
  <c r="C3009" i="7"/>
  <c r="K3008" i="7"/>
  <c r="F3008" i="7"/>
  <c r="B3008" i="7"/>
  <c r="J3007" i="7"/>
  <c r="E3007" i="7"/>
  <c r="A3007" i="7"/>
  <c r="N3006" i="7"/>
  <c r="H3006" i="7"/>
  <c r="D3006" i="7"/>
  <c r="Q3005" i="7"/>
  <c r="M3005" i="7"/>
  <c r="H3005" i="7"/>
  <c r="D3005" i="7"/>
  <c r="Q3004" i="7"/>
  <c r="M3004" i="7"/>
  <c r="H3004" i="7"/>
  <c r="D3004" i="7"/>
  <c r="Q3003" i="7"/>
  <c r="M3003" i="7"/>
  <c r="H3003" i="7"/>
  <c r="D3003" i="7"/>
  <c r="Q3002" i="7"/>
  <c r="D3002" i="7"/>
  <c r="Q3000" i="7"/>
  <c r="D3000" i="7"/>
  <c r="Q2998" i="7"/>
  <c r="D2998" i="7"/>
  <c r="Q2996" i="7"/>
  <c r="D2996" i="7"/>
  <c r="Q2994" i="7"/>
  <c r="D2994" i="7"/>
  <c r="Q2992" i="7"/>
  <c r="D2992" i="7"/>
  <c r="Q2990" i="7"/>
  <c r="D2990" i="7"/>
  <c r="Q2988" i="7"/>
  <c r="D2988" i="7"/>
  <c r="Q2986" i="7"/>
  <c r="D2986" i="7"/>
  <c r="Q2984" i="7"/>
  <c r="D2984" i="7"/>
  <c r="Q2982" i="7"/>
  <c r="D2982" i="7"/>
  <c r="Q2980" i="7"/>
  <c r="D2980" i="7"/>
  <c r="Q2978" i="7"/>
  <c r="D2978" i="7"/>
  <c r="Q2976" i="7"/>
  <c r="D2976" i="7"/>
  <c r="Q2974" i="7"/>
  <c r="D2974" i="7"/>
  <c r="Q2972" i="7"/>
  <c r="D2972" i="7"/>
  <c r="Q2970" i="7"/>
  <c r="D2970" i="7"/>
  <c r="Q2968" i="7"/>
  <c r="D2968" i="7"/>
  <c r="Q2966" i="7"/>
  <c r="D2966" i="7"/>
  <c r="Q2964" i="7"/>
  <c r="D2964" i="7"/>
  <c r="Q2962" i="7"/>
  <c r="D2962" i="7"/>
  <c r="Q2960" i="7"/>
  <c r="D2960" i="7"/>
  <c r="Q2958" i="7"/>
  <c r="D2958" i="7"/>
  <c r="Q2956" i="7"/>
  <c r="D2956" i="7"/>
  <c r="Q2954" i="7"/>
  <c r="D2954" i="7"/>
  <c r="Q2952" i="7"/>
  <c r="D2952" i="7"/>
  <c r="Q2950" i="7"/>
  <c r="D2950" i="7"/>
  <c r="Q2948" i="7"/>
  <c r="D2948" i="7"/>
  <c r="Q2946" i="7"/>
  <c r="D2946" i="7"/>
  <c r="Q2944" i="7"/>
  <c r="D2944" i="7"/>
  <c r="Q2942" i="7"/>
  <c r="D2942" i="7"/>
  <c r="Q2940" i="7"/>
  <c r="D2940" i="7"/>
  <c r="Q2938" i="7"/>
  <c r="D2938" i="7"/>
  <c r="Q2936" i="7"/>
  <c r="D2936" i="7"/>
  <c r="Q2934" i="7"/>
  <c r="D2934" i="7"/>
  <c r="Q2932" i="7"/>
  <c r="D2932" i="7"/>
  <c r="Q2930" i="7"/>
  <c r="D2930" i="7"/>
  <c r="Q2928" i="7"/>
  <c r="D2928" i="7"/>
  <c r="Q2926" i="7"/>
  <c r="D2926" i="7"/>
  <c r="Q2924" i="7"/>
  <c r="D2924" i="7"/>
  <c r="Q2922" i="7"/>
  <c r="D2922" i="7"/>
  <c r="Q2920" i="7"/>
  <c r="D2920" i="7"/>
  <c r="Q2918" i="7"/>
  <c r="D2918" i="7"/>
  <c r="Q2916" i="7"/>
  <c r="D2916" i="7"/>
  <c r="Q2914" i="7"/>
  <c r="D2914" i="7"/>
  <c r="Q2912" i="7"/>
  <c r="D2912" i="7"/>
  <c r="Q2910" i="7"/>
  <c r="D2910" i="7"/>
  <c r="Q2908" i="7"/>
  <c r="D2908" i="7"/>
  <c r="Q2906" i="7"/>
  <c r="D2906" i="7"/>
  <c r="Q2904" i="7"/>
  <c r="D2904" i="7"/>
  <c r="Q2902" i="7"/>
  <c r="D2902" i="7"/>
  <c r="Q2900" i="7"/>
  <c r="D2900" i="7"/>
  <c r="Q2898" i="7"/>
  <c r="D2898" i="7"/>
  <c r="Q2896" i="7"/>
  <c r="D2896" i="7"/>
  <c r="Q2894" i="7"/>
  <c r="D2894" i="7"/>
  <c r="Q2892" i="7"/>
  <c r="D2892" i="7"/>
  <c r="Q2890" i="7"/>
  <c r="D2890" i="7"/>
  <c r="Q2888" i="7"/>
  <c r="D2888" i="7"/>
  <c r="Q2886" i="7"/>
  <c r="D2886" i="7"/>
  <c r="Q2884" i="7"/>
  <c r="D2884" i="7"/>
  <c r="Q2882" i="7"/>
  <c r="D2882" i="7"/>
  <c r="Q2880" i="7"/>
  <c r="D2880" i="7"/>
  <c r="Q2878" i="7"/>
  <c r="D2878" i="7"/>
  <c r="Q2876" i="7"/>
  <c r="D2876" i="7"/>
  <c r="Q2874" i="7"/>
  <c r="D2874" i="7"/>
  <c r="Q2872" i="7"/>
  <c r="D2872" i="7"/>
  <c r="Q2870" i="7"/>
  <c r="D2870" i="7"/>
  <c r="Q2868" i="7"/>
  <c r="D2868" i="7"/>
  <c r="Q2866" i="7"/>
  <c r="D2866" i="7"/>
  <c r="Q2864" i="7"/>
  <c r="D2864" i="7"/>
  <c r="Q2862" i="7"/>
  <c r="D2862" i="7"/>
  <c r="Q2860" i="7"/>
  <c r="D2860" i="7"/>
  <c r="Q2858" i="7"/>
  <c r="D2858" i="7"/>
  <c r="Q2856" i="7"/>
  <c r="D2856" i="7"/>
  <c r="Q2854" i="7"/>
  <c r="D2854" i="7"/>
  <c r="Q2852" i="7"/>
  <c r="D2852" i="7"/>
  <c r="Q2850" i="7"/>
  <c r="D2850" i="7"/>
  <c r="Q2848" i="7"/>
  <c r="D2848" i="7"/>
  <c r="Q2846" i="7"/>
  <c r="D2846" i="7"/>
  <c r="Q2844" i="7"/>
  <c r="D2844" i="7"/>
  <c r="Q2842" i="7"/>
  <c r="D2842" i="7"/>
  <c r="Q2840" i="7"/>
  <c r="J2840" i="7"/>
  <c r="F2840" i="7"/>
  <c r="B2840" i="7"/>
  <c r="H2839" i="7"/>
  <c r="D2839" i="7"/>
  <c r="Q2838" i="7"/>
  <c r="L2838" i="7"/>
  <c r="H2838" i="7"/>
  <c r="D2838" i="7"/>
  <c r="Q2837" i="7"/>
  <c r="L2837" i="7"/>
  <c r="H2837" i="7"/>
  <c r="D2837" i="7"/>
  <c r="Q2836" i="7"/>
  <c r="L2836" i="7"/>
  <c r="H2836" i="7"/>
  <c r="D2836" i="7"/>
  <c r="Q2835" i="7"/>
  <c r="L2835" i="7"/>
  <c r="H2835" i="7"/>
  <c r="D2835" i="7"/>
  <c r="Q2834" i="7"/>
  <c r="L2834" i="7"/>
  <c r="H2834" i="7"/>
  <c r="D2834" i="7"/>
  <c r="Q2833" i="7"/>
  <c r="L2833" i="7"/>
  <c r="H2833" i="7"/>
  <c r="D2833" i="7"/>
  <c r="Q2832" i="7"/>
  <c r="L2832" i="7"/>
  <c r="H2832" i="7"/>
  <c r="D2832" i="7"/>
  <c r="Q2831" i="7"/>
  <c r="M2831" i="7"/>
  <c r="H2831" i="7"/>
  <c r="D2831" i="7"/>
  <c r="Q2830" i="7"/>
  <c r="M2830" i="7"/>
  <c r="H2830" i="7"/>
  <c r="D2830" i="7"/>
  <c r="Q2829" i="7"/>
  <c r="M2829" i="7"/>
  <c r="I2829" i="7"/>
  <c r="E2829" i="7"/>
  <c r="A2829" i="7"/>
  <c r="K2828" i="7"/>
  <c r="A2828" i="7"/>
  <c r="N2827" i="7"/>
  <c r="J2827" i="7"/>
  <c r="E2827" i="7"/>
  <c r="A2827" i="7"/>
  <c r="K2826" i="7"/>
  <c r="A2826" i="7"/>
  <c r="K2825" i="7"/>
  <c r="A2825" i="7"/>
  <c r="K2824" i="7"/>
  <c r="A2824" i="7"/>
  <c r="M2823" i="7"/>
  <c r="I2823" i="7"/>
  <c r="E2823" i="7"/>
  <c r="A2823" i="7"/>
  <c r="M2822" i="7"/>
  <c r="I2822" i="7"/>
  <c r="E2822" i="7"/>
  <c r="A2822" i="7"/>
  <c r="N2821" i="7"/>
  <c r="J2821" i="7"/>
  <c r="E2821" i="7"/>
  <c r="A2821" i="7"/>
  <c r="M2820" i="7"/>
  <c r="I2820" i="7"/>
  <c r="E2820" i="7"/>
  <c r="A2820" i="7"/>
  <c r="N2819" i="7"/>
  <c r="J2819" i="7"/>
  <c r="E2819" i="7"/>
  <c r="A2819" i="7"/>
  <c r="N2818" i="7"/>
  <c r="J2818" i="7"/>
  <c r="F2818" i="7"/>
  <c r="B2818" i="7"/>
  <c r="K2817" i="7"/>
  <c r="F2817" i="7"/>
  <c r="B2817" i="7"/>
  <c r="K2816" i="7"/>
  <c r="F2816" i="7"/>
  <c r="B2816" i="7"/>
  <c r="K2815" i="7"/>
  <c r="G2815" i="7"/>
  <c r="C2815" i="7"/>
  <c r="K2814" i="7"/>
  <c r="G2814" i="7"/>
  <c r="C2814" i="7"/>
  <c r="K2813" i="7"/>
  <c r="G2813" i="7"/>
  <c r="C2813" i="7"/>
  <c r="K2812" i="7"/>
  <c r="G2812" i="7"/>
  <c r="C2812" i="7"/>
  <c r="L2811" i="7"/>
  <c r="G2811" i="7"/>
  <c r="C2811" i="7"/>
  <c r="K2810" i="7"/>
  <c r="G2810" i="7"/>
  <c r="C2810" i="7"/>
  <c r="L2809" i="7"/>
  <c r="H2809" i="7"/>
  <c r="D2809" i="7"/>
  <c r="Q2808" i="7"/>
  <c r="L2808" i="7"/>
  <c r="H2808" i="7"/>
  <c r="D2808" i="7"/>
  <c r="Q2807" i="7"/>
  <c r="F2807" i="7"/>
  <c r="Q2806" i="7"/>
  <c r="F2806" i="7"/>
  <c r="Q2805" i="7"/>
  <c r="F2805" i="7"/>
  <c r="Q2804" i="7"/>
  <c r="L2804" i="7"/>
  <c r="H2804" i="7"/>
  <c r="D2804" i="7"/>
  <c r="Q2803" i="7"/>
  <c r="L2803" i="7"/>
  <c r="H2803" i="7"/>
  <c r="D2803" i="7"/>
  <c r="Q2802" i="7"/>
  <c r="M2802" i="7"/>
  <c r="I2802" i="7"/>
  <c r="E2802" i="7"/>
  <c r="A2802" i="7"/>
  <c r="N2801" i="7"/>
  <c r="J2801" i="7"/>
  <c r="F2801" i="7"/>
  <c r="B2801" i="7"/>
  <c r="J2800" i="7"/>
  <c r="F2800" i="7"/>
  <c r="B2800" i="7"/>
  <c r="A2799" i="7"/>
  <c r="K2798" i="7"/>
  <c r="Q2797" i="7"/>
  <c r="E2797" i="7"/>
  <c r="L2796" i="7"/>
  <c r="G2796" i="7"/>
  <c r="C2796" i="7"/>
  <c r="K2795" i="7"/>
  <c r="G2795" i="7"/>
  <c r="C2795" i="7"/>
  <c r="L2794" i="7"/>
  <c r="G2794" i="7"/>
  <c r="C2794" i="7"/>
  <c r="L2793" i="7"/>
  <c r="G2793" i="7"/>
  <c r="C2793" i="7"/>
  <c r="J2792" i="7"/>
  <c r="E2792" i="7"/>
  <c r="A2792" i="7"/>
  <c r="N2791" i="7"/>
  <c r="G2791" i="7"/>
  <c r="C2791" i="7"/>
  <c r="L2790" i="7"/>
  <c r="G2790" i="7"/>
  <c r="C2790" i="7"/>
  <c r="L2789" i="7"/>
  <c r="G2789" i="7"/>
  <c r="C2789" i="7"/>
  <c r="J2788" i="7"/>
  <c r="E2788" i="7"/>
  <c r="A2788" i="7"/>
  <c r="N2787" i="7"/>
  <c r="J2787" i="7"/>
  <c r="E2787" i="7"/>
  <c r="A2787" i="7"/>
  <c r="N2786" i="7"/>
  <c r="J2786" i="7"/>
  <c r="E2786" i="7"/>
  <c r="A2786" i="7"/>
  <c r="N2785" i="7"/>
  <c r="J2785" i="7"/>
  <c r="E2785" i="7"/>
  <c r="A2785" i="7"/>
  <c r="N2784" i="7"/>
  <c r="J2784" i="7"/>
  <c r="E2784" i="7"/>
  <c r="A2784" i="7"/>
  <c r="N2783" i="7"/>
  <c r="J2783" i="7"/>
  <c r="E2783" i="7"/>
  <c r="A2783" i="7"/>
  <c r="N2782" i="7"/>
  <c r="J2782" i="7"/>
  <c r="E2782" i="7"/>
  <c r="A2782" i="7"/>
  <c r="N2781" i="7"/>
  <c r="J2781" i="7"/>
  <c r="E2781" i="7"/>
  <c r="A2781" i="7"/>
  <c r="N2780" i="7"/>
  <c r="H2780" i="7"/>
  <c r="D2780" i="7"/>
  <c r="Q2779" i="7"/>
  <c r="M2779" i="7"/>
  <c r="H2779" i="7"/>
  <c r="D2779" i="7"/>
  <c r="Q2778" i="7"/>
  <c r="M2778" i="7"/>
  <c r="H2778" i="7"/>
  <c r="D2778" i="7"/>
  <c r="Q2777" i="7"/>
  <c r="M2777" i="7"/>
  <c r="G2777" i="7"/>
  <c r="C2777" i="7"/>
  <c r="K2776" i="7"/>
  <c r="F2776" i="7"/>
  <c r="B2776" i="7"/>
  <c r="J2775" i="7"/>
  <c r="E2775" i="7"/>
  <c r="A2775" i="7"/>
  <c r="N2774" i="7"/>
  <c r="H2774" i="7"/>
  <c r="D2774" i="7"/>
  <c r="Q2773" i="7"/>
  <c r="M2773" i="7"/>
  <c r="H2773" i="7"/>
  <c r="D2773" i="7"/>
  <c r="Q2772" i="7"/>
  <c r="M2772" i="7"/>
  <c r="G2772" i="7"/>
  <c r="C2772" i="7"/>
  <c r="K2771" i="7"/>
  <c r="F2771" i="7"/>
  <c r="B2771" i="7"/>
  <c r="K2770" i="7"/>
  <c r="F2770" i="7"/>
  <c r="B2770" i="7"/>
  <c r="J2769" i="7"/>
  <c r="E2769" i="7"/>
  <c r="A2769" i="7"/>
  <c r="N2768" i="7"/>
  <c r="H2768" i="7"/>
  <c r="D2768" i="7"/>
  <c r="Q2767" i="7"/>
  <c r="M2767" i="7"/>
  <c r="G2767" i="7"/>
  <c r="C2767" i="7"/>
  <c r="L2766" i="7"/>
  <c r="G2766" i="7"/>
  <c r="C2766" i="7"/>
  <c r="L2765" i="7"/>
  <c r="G2765" i="7"/>
  <c r="C2765" i="7"/>
  <c r="K2764" i="7"/>
  <c r="F2764" i="7"/>
  <c r="B2764" i="7"/>
  <c r="J2763" i="7"/>
  <c r="E2763" i="7"/>
  <c r="A2763" i="7"/>
  <c r="N2762" i="7"/>
  <c r="H2762" i="7"/>
  <c r="D2762" i="7"/>
  <c r="Q2761" i="7"/>
  <c r="M2761" i="7"/>
  <c r="G2761" i="7"/>
  <c r="C2761" i="7"/>
  <c r="K2760" i="7"/>
  <c r="F2760" i="7"/>
  <c r="B2760" i="7"/>
  <c r="J2759" i="7"/>
  <c r="E2759" i="7"/>
  <c r="A2759" i="7"/>
  <c r="N2758" i="7"/>
  <c r="H2758" i="7"/>
  <c r="D2758" i="7"/>
  <c r="Q2757" i="7"/>
  <c r="M2757" i="7"/>
  <c r="H2757" i="7"/>
  <c r="D2757" i="7"/>
  <c r="Q2756" i="7"/>
  <c r="M2756" i="7"/>
  <c r="G2756" i="7"/>
  <c r="C2756" i="7"/>
  <c r="L2755" i="7"/>
  <c r="G2755" i="7"/>
  <c r="C2755" i="7"/>
  <c r="L2754" i="7"/>
  <c r="G2754" i="7"/>
  <c r="C2754" i="7"/>
  <c r="L2753" i="7"/>
  <c r="G2753" i="7"/>
  <c r="C2753" i="7"/>
  <c r="L2752" i="7"/>
  <c r="G2752" i="7"/>
  <c r="C2752" i="7"/>
  <c r="L2751" i="7"/>
  <c r="G2751" i="7"/>
  <c r="C2751" i="7"/>
  <c r="L2750" i="7"/>
  <c r="G2750" i="7"/>
  <c r="C2750" i="7"/>
  <c r="L2749" i="7"/>
  <c r="G2749" i="7"/>
  <c r="C2749" i="7"/>
  <c r="K2748" i="7"/>
  <c r="F2748" i="7"/>
  <c r="B2748" i="7"/>
  <c r="K2747" i="7"/>
  <c r="F2747" i="7"/>
  <c r="B2747" i="7"/>
  <c r="K2746" i="7"/>
  <c r="F2746" i="7"/>
  <c r="B2746" i="7"/>
  <c r="J2745" i="7"/>
  <c r="E2745" i="7"/>
  <c r="A2745" i="7"/>
  <c r="N2744" i="7"/>
  <c r="H2744" i="7"/>
  <c r="D2744" i="7"/>
  <c r="Q2743" i="7"/>
  <c r="M2743" i="7"/>
  <c r="H2743" i="7"/>
  <c r="D2743" i="7"/>
  <c r="Q2742" i="7"/>
  <c r="M2742" i="7"/>
  <c r="H2742" i="7"/>
  <c r="D2742" i="7"/>
  <c r="Q2741" i="7"/>
  <c r="M2741" i="7"/>
  <c r="H2741" i="7"/>
  <c r="D2741" i="7"/>
  <c r="Q2740" i="7"/>
  <c r="M2740" i="7"/>
  <c r="H2740" i="7"/>
  <c r="D2740" i="7"/>
  <c r="Q2739" i="7"/>
  <c r="M2739" i="7"/>
  <c r="H2739" i="7"/>
  <c r="D2739" i="7"/>
  <c r="Q2738" i="7"/>
  <c r="M2738" i="7"/>
  <c r="H2738" i="7"/>
  <c r="D2738" i="7"/>
  <c r="Q2737" i="7"/>
  <c r="M2737" i="7"/>
  <c r="G2737" i="7"/>
  <c r="C2737" i="7"/>
  <c r="L2736" i="7"/>
  <c r="G2736" i="7"/>
  <c r="C2736" i="7"/>
  <c r="L2735" i="7"/>
  <c r="G2735" i="7"/>
  <c r="C2735" i="7"/>
  <c r="L2734" i="7"/>
  <c r="G2734" i="7"/>
  <c r="C2734" i="7"/>
  <c r="L2733" i="7"/>
  <c r="G2733" i="7"/>
  <c r="C2733" i="7"/>
  <c r="L2732" i="7"/>
  <c r="G2732" i="7"/>
  <c r="C2732" i="7"/>
  <c r="L2731" i="7"/>
  <c r="G2731" i="7"/>
  <c r="C2731" i="7"/>
  <c r="K2730" i="7"/>
  <c r="F2730" i="7"/>
  <c r="B2730" i="7"/>
  <c r="K2729" i="7"/>
  <c r="F2729" i="7"/>
  <c r="B2729" i="7"/>
  <c r="K2728" i="7"/>
  <c r="F2728" i="7"/>
  <c r="B2728" i="7"/>
  <c r="K2727" i="7"/>
  <c r="F2727" i="7"/>
  <c r="B2727" i="7"/>
  <c r="K2726" i="7"/>
  <c r="F2726" i="7"/>
  <c r="B2726" i="7"/>
  <c r="J2725" i="7"/>
  <c r="E2725" i="7"/>
  <c r="A2725" i="7"/>
  <c r="N2724" i="7"/>
  <c r="H2724" i="7"/>
  <c r="D2724" i="7"/>
  <c r="Q2723" i="7"/>
  <c r="M2723" i="7"/>
  <c r="H2723" i="7"/>
  <c r="D2723" i="7"/>
  <c r="Q2722" i="7"/>
  <c r="M2722" i="7"/>
  <c r="H2722" i="7"/>
  <c r="D2722" i="7"/>
  <c r="Q2721" i="7"/>
  <c r="M2721" i="7"/>
  <c r="H2721" i="7"/>
  <c r="D2721" i="7"/>
  <c r="Q2720" i="7"/>
  <c r="M2720" i="7"/>
  <c r="I2720" i="7"/>
  <c r="E2720" i="7"/>
  <c r="A2720" i="7"/>
  <c r="N2719" i="7"/>
  <c r="J2719" i="7"/>
  <c r="F2719" i="7"/>
  <c r="B2719" i="7"/>
  <c r="J2718" i="7"/>
  <c r="F2718" i="7"/>
  <c r="B2718" i="7"/>
  <c r="K2717" i="7"/>
  <c r="G2717" i="7"/>
  <c r="C2717" i="7"/>
  <c r="K2716" i="7"/>
  <c r="G2716" i="7"/>
  <c r="C2716" i="7"/>
  <c r="L2715" i="7"/>
  <c r="G2715" i="7"/>
  <c r="C2715" i="7"/>
  <c r="K2714" i="7"/>
  <c r="G2714" i="7"/>
  <c r="C2714" i="7"/>
  <c r="E2713" i="7"/>
  <c r="K2712" i="7"/>
  <c r="G2712" i="7"/>
  <c r="C2712" i="7"/>
  <c r="L2711" i="7"/>
  <c r="H2711" i="7"/>
  <c r="D2711" i="7"/>
  <c r="Q2710" i="7"/>
  <c r="M2710" i="7"/>
  <c r="H2710" i="7"/>
  <c r="D2710" i="7"/>
  <c r="Q2709" i="7"/>
  <c r="M2709" i="7"/>
  <c r="H2709" i="7"/>
  <c r="D2709" i="7"/>
  <c r="Q2708" i="7"/>
  <c r="L2708" i="7"/>
  <c r="H2708" i="7"/>
  <c r="D2708" i="7"/>
  <c r="Q2707" i="7"/>
  <c r="M2707" i="7"/>
  <c r="H2707" i="7"/>
  <c r="D2707" i="7"/>
  <c r="Q3278" i="7"/>
  <c r="Q3274" i="7"/>
  <c r="Q3270" i="7"/>
  <c r="Q3266" i="7"/>
  <c r="Q3262" i="7"/>
  <c r="Q3258" i="7"/>
  <c r="Q3254" i="7"/>
  <c r="Q3250" i="7"/>
  <c r="Q3246" i="7"/>
  <c r="Q3242" i="7"/>
  <c r="Q3238" i="7"/>
  <c r="Q3234" i="7"/>
  <c r="Q3230" i="7"/>
  <c r="Q3226" i="7"/>
  <c r="Q3222" i="7"/>
  <c r="Q3218" i="7"/>
  <c r="Q3214" i="7"/>
  <c r="Q3210" i="7"/>
  <c r="Q3206" i="7"/>
  <c r="Q3202" i="7"/>
  <c r="Q3198" i="7"/>
  <c r="Q3194" i="7"/>
  <c r="Q3190" i="7"/>
  <c r="Q3186" i="7"/>
  <c r="Q3182" i="7"/>
  <c r="Q3178" i="7"/>
  <c r="Q3174" i="7"/>
  <c r="A3174" i="7"/>
  <c r="Q3172" i="7"/>
  <c r="A3172" i="7"/>
  <c r="Q3170" i="7"/>
  <c r="A3170" i="7"/>
  <c r="Q3168" i="7"/>
  <c r="A3168" i="7"/>
  <c r="Q3166" i="7"/>
  <c r="A3166" i="7"/>
  <c r="Q3164" i="7"/>
  <c r="A3164" i="7"/>
  <c r="Q3162" i="7"/>
  <c r="A3162" i="7"/>
  <c r="Q3160" i="7"/>
  <c r="A3160" i="7"/>
  <c r="Q3158" i="7"/>
  <c r="A3158" i="7"/>
  <c r="Q3156" i="7"/>
  <c r="A3156" i="7"/>
  <c r="Q3154" i="7"/>
  <c r="A3154" i="7"/>
  <c r="Q3152" i="7"/>
  <c r="A3152" i="7"/>
  <c r="Q3150" i="7"/>
  <c r="A3150" i="7"/>
  <c r="Q3148" i="7"/>
  <c r="A3148" i="7"/>
  <c r="Q3146" i="7"/>
  <c r="A3146" i="7"/>
  <c r="Q3144" i="7"/>
  <c r="A3144" i="7"/>
  <c r="Q3142" i="7"/>
  <c r="A3142" i="7"/>
  <c r="Q3140" i="7"/>
  <c r="A3140" i="7"/>
  <c r="Q3138" i="7"/>
  <c r="A3138" i="7"/>
  <c r="Q3136" i="7"/>
  <c r="A3136" i="7"/>
  <c r="Q3134" i="7"/>
  <c r="A3134" i="7"/>
  <c r="Q3132" i="7"/>
  <c r="A3132" i="7"/>
  <c r="Q3130" i="7"/>
  <c r="A3130" i="7"/>
  <c r="Q3128" i="7"/>
  <c r="A3128" i="7"/>
  <c r="Q3126" i="7"/>
  <c r="A3126" i="7"/>
  <c r="Q3124" i="7"/>
  <c r="A3124" i="7"/>
  <c r="Q3122" i="7"/>
  <c r="A3122" i="7"/>
  <c r="Q3120" i="7"/>
  <c r="A3120" i="7"/>
  <c r="Q3118" i="7"/>
  <c r="A3118" i="7"/>
  <c r="Q3116" i="7"/>
  <c r="A3116" i="7"/>
  <c r="Q3114" i="7"/>
  <c r="A3114" i="7"/>
  <c r="Q3112" i="7"/>
  <c r="A3112" i="7"/>
  <c r="Q3110" i="7"/>
  <c r="A3110" i="7"/>
  <c r="Q3108" i="7"/>
  <c r="A3108" i="7"/>
  <c r="Q3106" i="7"/>
  <c r="A3106" i="7"/>
  <c r="Q3104" i="7"/>
  <c r="A3104" i="7"/>
  <c r="Q3102" i="7"/>
  <c r="A3102" i="7"/>
  <c r="Q3100" i="7"/>
  <c r="A3100" i="7"/>
  <c r="Q3098" i="7"/>
  <c r="A3098" i="7"/>
  <c r="Q3096" i="7"/>
  <c r="A3096" i="7"/>
  <c r="Q3094" i="7"/>
  <c r="A3094" i="7"/>
  <c r="Q3092" i="7"/>
  <c r="A3092" i="7"/>
  <c r="Q3090" i="7"/>
  <c r="A3090" i="7"/>
  <c r="D3089" i="7"/>
  <c r="K3088" i="7"/>
  <c r="F3087" i="7"/>
  <c r="K3086" i="7"/>
  <c r="E3086" i="7"/>
  <c r="K3085" i="7"/>
  <c r="E3085" i="7"/>
  <c r="D3084" i="7"/>
  <c r="N3083" i="7"/>
  <c r="G3083" i="7"/>
  <c r="B3083" i="7"/>
  <c r="N3082" i="7"/>
  <c r="G3082" i="7"/>
  <c r="B3082" i="7"/>
  <c r="M3081" i="7"/>
  <c r="G3081" i="7"/>
  <c r="B3081" i="7"/>
  <c r="M3080" i="7"/>
  <c r="G3080" i="7"/>
  <c r="B3080" i="7"/>
  <c r="N3079" i="7"/>
  <c r="G3079" i="7"/>
  <c r="B3079" i="7"/>
  <c r="M3078" i="7"/>
  <c r="G3078" i="7"/>
  <c r="B3078" i="7"/>
  <c r="N3077" i="7"/>
  <c r="G3077" i="7"/>
  <c r="B3077" i="7"/>
  <c r="N3076" i="7"/>
  <c r="G3076" i="7"/>
  <c r="B3076" i="7"/>
  <c r="M3075" i="7"/>
  <c r="G3075" i="7"/>
  <c r="B3075" i="7"/>
  <c r="N3074" i="7"/>
  <c r="G3074" i="7"/>
  <c r="B3074" i="7"/>
  <c r="N3073" i="7"/>
  <c r="G3073" i="7"/>
  <c r="B3073" i="7"/>
  <c r="N3072" i="7"/>
  <c r="G3072" i="7"/>
  <c r="B3072" i="7"/>
  <c r="N3071" i="7"/>
  <c r="G3071" i="7"/>
  <c r="B3071" i="7"/>
  <c r="N3070" i="7"/>
  <c r="G3070" i="7"/>
  <c r="B3070" i="7"/>
  <c r="M3069" i="7"/>
  <c r="G3069" i="7"/>
  <c r="B3069" i="7"/>
  <c r="N3068" i="7"/>
  <c r="G3068" i="7"/>
  <c r="B3068" i="7"/>
  <c r="N3067" i="7"/>
  <c r="G3067" i="7"/>
  <c r="B3067" i="7"/>
  <c r="M3066" i="7"/>
  <c r="G3066" i="7"/>
  <c r="B3066" i="7"/>
  <c r="N3065" i="7"/>
  <c r="G3065" i="7"/>
  <c r="B3065" i="7"/>
  <c r="N3064" i="7"/>
  <c r="G3064" i="7"/>
  <c r="B3064" i="7"/>
  <c r="M3063" i="7"/>
  <c r="G3063" i="7"/>
  <c r="B3063" i="7"/>
  <c r="N3062" i="7"/>
  <c r="G3062" i="7"/>
  <c r="B3062" i="7"/>
  <c r="N3061" i="7"/>
  <c r="G3061" i="7"/>
  <c r="B3061" i="7"/>
  <c r="N3060" i="7"/>
  <c r="G3060" i="7"/>
  <c r="B3060" i="7"/>
  <c r="N3059" i="7"/>
  <c r="G3059" i="7"/>
  <c r="B3059" i="7"/>
  <c r="N3058" i="7"/>
  <c r="G3058" i="7"/>
  <c r="B3058" i="7"/>
  <c r="N3057" i="7"/>
  <c r="G3057" i="7"/>
  <c r="B3057" i="7"/>
  <c r="N3056" i="7"/>
  <c r="G3056" i="7"/>
  <c r="B3056" i="7"/>
  <c r="N3055" i="7"/>
  <c r="G3055" i="7"/>
  <c r="B3055" i="7"/>
  <c r="N3054" i="7"/>
  <c r="G3054" i="7"/>
  <c r="B3054" i="7"/>
  <c r="N3053" i="7"/>
  <c r="G3053" i="7"/>
  <c r="B3053" i="7"/>
  <c r="N3052" i="7"/>
  <c r="G3052" i="7"/>
  <c r="B3052" i="7"/>
  <c r="N3051" i="7"/>
  <c r="G3051" i="7"/>
  <c r="B3051" i="7"/>
  <c r="N3050" i="7"/>
  <c r="G3050" i="7"/>
  <c r="B3050" i="7"/>
  <c r="N3049" i="7"/>
  <c r="G3049" i="7"/>
  <c r="B3049" i="7"/>
  <c r="N3048" i="7"/>
  <c r="G3048" i="7"/>
  <c r="B3048" i="7"/>
  <c r="N3047" i="7"/>
  <c r="G3047" i="7"/>
  <c r="B3047" i="7"/>
  <c r="N3046" i="7"/>
  <c r="G3046" i="7"/>
  <c r="B3046" i="7"/>
  <c r="N3045" i="7"/>
  <c r="G3045" i="7"/>
  <c r="B3045" i="7"/>
  <c r="N3044" i="7"/>
  <c r="G3044" i="7"/>
  <c r="B3044" i="7"/>
  <c r="N3043" i="7"/>
  <c r="G3043" i="7"/>
  <c r="B3043" i="7"/>
  <c r="N3042" i="7"/>
  <c r="G3042" i="7"/>
  <c r="B3042" i="7"/>
  <c r="N3041" i="7"/>
  <c r="G3041" i="7"/>
  <c r="B3041" i="7"/>
  <c r="N3040" i="7"/>
  <c r="G3040" i="7"/>
  <c r="B3040" i="7"/>
  <c r="N3039" i="7"/>
  <c r="G3039" i="7"/>
  <c r="B3039" i="7"/>
  <c r="N3038" i="7"/>
  <c r="G3038" i="7"/>
  <c r="B3038" i="7"/>
  <c r="N3037" i="7"/>
  <c r="G3037" i="7"/>
  <c r="B3037" i="7"/>
  <c r="N3036" i="7"/>
  <c r="G3036" i="7"/>
  <c r="B3036" i="7"/>
  <c r="N3035" i="7"/>
  <c r="G3035" i="7"/>
  <c r="B3035" i="7"/>
  <c r="N3034" i="7"/>
  <c r="G3034" i="7"/>
  <c r="B3034" i="7"/>
  <c r="N3033" i="7"/>
  <c r="G3033" i="7"/>
  <c r="B3033" i="7"/>
  <c r="N3032" i="7"/>
  <c r="G3032" i="7"/>
  <c r="B3032" i="7"/>
  <c r="N3031" i="7"/>
  <c r="G3031" i="7"/>
  <c r="B3031" i="7"/>
  <c r="N3030" i="7"/>
  <c r="G3030" i="7"/>
  <c r="B3030" i="7"/>
  <c r="N3029" i="7"/>
  <c r="G3029" i="7"/>
  <c r="B3029" i="7"/>
  <c r="N3028" i="7"/>
  <c r="G3028" i="7"/>
  <c r="B3028" i="7"/>
  <c r="N3027" i="7"/>
  <c r="G3027" i="7"/>
  <c r="B3027" i="7"/>
  <c r="N3026" i="7"/>
  <c r="G3026" i="7"/>
  <c r="B3026" i="7"/>
  <c r="N3025" i="7"/>
  <c r="G3025" i="7"/>
  <c r="B3025" i="7"/>
  <c r="N3024" i="7"/>
  <c r="G3024" i="7"/>
  <c r="B3024" i="7"/>
  <c r="N3023" i="7"/>
  <c r="G3023" i="7"/>
  <c r="B3023" i="7"/>
  <c r="N3022" i="7"/>
  <c r="G3022" i="7"/>
  <c r="B3022" i="7"/>
  <c r="N3021" i="7"/>
  <c r="G3021" i="7"/>
  <c r="B3021" i="7"/>
  <c r="K3020" i="7"/>
  <c r="F3020" i="7"/>
  <c r="B3020" i="7"/>
  <c r="K3019" i="7"/>
  <c r="F3019" i="7"/>
  <c r="B3019" i="7"/>
  <c r="K3018" i="7"/>
  <c r="F3018" i="7"/>
  <c r="B3018" i="7"/>
  <c r="K3017" i="7"/>
  <c r="F3017" i="7"/>
  <c r="B3017" i="7"/>
  <c r="K3016" i="7"/>
  <c r="F3016" i="7"/>
  <c r="B3016" i="7"/>
  <c r="K3015" i="7"/>
  <c r="F3015" i="7"/>
  <c r="B3015" i="7"/>
  <c r="J3014" i="7"/>
  <c r="E3014" i="7"/>
  <c r="A3014" i="7"/>
  <c r="N3013" i="7"/>
  <c r="J3013" i="7"/>
  <c r="E3013" i="7"/>
  <c r="A3013" i="7"/>
  <c r="N3012" i="7"/>
  <c r="J3012" i="7"/>
  <c r="E3012" i="7"/>
  <c r="A3012" i="7"/>
  <c r="N3011" i="7"/>
  <c r="H3011" i="7"/>
  <c r="D3011" i="7"/>
  <c r="Q3010" i="7"/>
  <c r="M3010" i="7"/>
  <c r="G3010" i="7"/>
  <c r="C3010" i="7"/>
  <c r="K3009" i="7"/>
  <c r="F3009" i="7"/>
  <c r="B3009" i="7"/>
  <c r="J3008" i="7"/>
  <c r="E3008" i="7"/>
  <c r="A3008" i="7"/>
  <c r="N3007" i="7"/>
  <c r="H3007" i="7"/>
  <c r="D3007" i="7"/>
  <c r="Q3006" i="7"/>
  <c r="M3006" i="7"/>
  <c r="G3006" i="7"/>
  <c r="C3006" i="7"/>
  <c r="L3005" i="7"/>
  <c r="G3005" i="7"/>
  <c r="C3005" i="7"/>
  <c r="L3004" i="7"/>
  <c r="G3004" i="7"/>
  <c r="C3004" i="7"/>
  <c r="L3003" i="7"/>
  <c r="G3003" i="7"/>
  <c r="C3003" i="7"/>
  <c r="A3002" i="7"/>
  <c r="K3001" i="7"/>
  <c r="A3000" i="7"/>
  <c r="K2999" i="7"/>
  <c r="A2998" i="7"/>
  <c r="K2997" i="7"/>
  <c r="A2996" i="7"/>
  <c r="K2995" i="7"/>
  <c r="A2994" i="7"/>
  <c r="K2993" i="7"/>
  <c r="A2992" i="7"/>
  <c r="K2991" i="7"/>
  <c r="A2990" i="7"/>
  <c r="K2989" i="7"/>
  <c r="A2988" i="7"/>
  <c r="K2987" i="7"/>
  <c r="A2986" i="7"/>
  <c r="K2985" i="7"/>
  <c r="A2984" i="7"/>
  <c r="K2983" i="7"/>
  <c r="A2982" i="7"/>
  <c r="K2981" i="7"/>
  <c r="A2980" i="7"/>
  <c r="K2979" i="7"/>
  <c r="A2978" i="7"/>
  <c r="K2977" i="7"/>
  <c r="A2976" i="7"/>
  <c r="K2975" i="7"/>
  <c r="A2974" i="7"/>
  <c r="K2973" i="7"/>
  <c r="A2972" i="7"/>
  <c r="K2971" i="7"/>
  <c r="A2970" i="7"/>
  <c r="K2969" i="7"/>
  <c r="A2968" i="7"/>
  <c r="K2967" i="7"/>
  <c r="A2966" i="7"/>
  <c r="K2965" i="7"/>
  <c r="A2964" i="7"/>
  <c r="K2963" i="7"/>
  <c r="A2962" i="7"/>
  <c r="K2961" i="7"/>
  <c r="A2960" i="7"/>
  <c r="K2959" i="7"/>
  <c r="A2958" i="7"/>
  <c r="K2957" i="7"/>
  <c r="A2956" i="7"/>
  <c r="K2955" i="7"/>
  <c r="A2954" i="7"/>
  <c r="K2953" i="7"/>
  <c r="A2952" i="7"/>
  <c r="K2951" i="7"/>
  <c r="A2950" i="7"/>
  <c r="K2949" i="7"/>
  <c r="A2948" i="7"/>
  <c r="K2947" i="7"/>
  <c r="A2946" i="7"/>
  <c r="K2945" i="7"/>
  <c r="A2944" i="7"/>
  <c r="K2943" i="7"/>
  <c r="A2942" i="7"/>
  <c r="K2941" i="7"/>
  <c r="A2940" i="7"/>
  <c r="K2939" i="7"/>
  <c r="A2938" i="7"/>
  <c r="K2937" i="7"/>
  <c r="A2936" i="7"/>
  <c r="K2935" i="7"/>
  <c r="A2934" i="7"/>
  <c r="K2933" i="7"/>
  <c r="A2932" i="7"/>
  <c r="K2931" i="7"/>
  <c r="A2930" i="7"/>
  <c r="K2929" i="7"/>
  <c r="A2928" i="7"/>
  <c r="K2927" i="7"/>
  <c r="A2926" i="7"/>
  <c r="K2925" i="7"/>
  <c r="A2924" i="7"/>
  <c r="K2923" i="7"/>
  <c r="A2922" i="7"/>
  <c r="K2921" i="7"/>
  <c r="A2920" i="7"/>
  <c r="K2919" i="7"/>
  <c r="A2918" i="7"/>
  <c r="K2917" i="7"/>
  <c r="A2916" i="7"/>
  <c r="K2915" i="7"/>
  <c r="A2914" i="7"/>
  <c r="K2913" i="7"/>
  <c r="A2912" i="7"/>
  <c r="K2911" i="7"/>
  <c r="A2910" i="7"/>
  <c r="K2909" i="7"/>
  <c r="A2908" i="7"/>
  <c r="K2907" i="7"/>
  <c r="A2906" i="7"/>
  <c r="K2905" i="7"/>
  <c r="A2904" i="7"/>
  <c r="K2903" i="7"/>
  <c r="A2902" i="7"/>
  <c r="K2901" i="7"/>
  <c r="A2900" i="7"/>
  <c r="K2899" i="7"/>
  <c r="A2898" i="7"/>
  <c r="K2897" i="7"/>
  <c r="A2896" i="7"/>
  <c r="K2895" i="7"/>
  <c r="A2894" i="7"/>
  <c r="K2893" i="7"/>
  <c r="A2892" i="7"/>
  <c r="K2891" i="7"/>
  <c r="A2890" i="7"/>
  <c r="K2889" i="7"/>
  <c r="A2888" i="7"/>
  <c r="K2887" i="7"/>
  <c r="A2886" i="7"/>
  <c r="K2885" i="7"/>
  <c r="A2884" i="7"/>
  <c r="K2883" i="7"/>
  <c r="A2882" i="7"/>
  <c r="K2881" i="7"/>
  <c r="A2880" i="7"/>
  <c r="K2879" i="7"/>
  <c r="A2878" i="7"/>
  <c r="K2877" i="7"/>
  <c r="A2876" i="7"/>
  <c r="K2875" i="7"/>
  <c r="A2874" i="7"/>
  <c r="K2873" i="7"/>
  <c r="A2872" i="7"/>
  <c r="K2871" i="7"/>
  <c r="A2870" i="7"/>
  <c r="K2869" i="7"/>
  <c r="A2868" i="7"/>
  <c r="K2867" i="7"/>
  <c r="A2866" i="7"/>
  <c r="K2865" i="7"/>
  <c r="A2864" i="7"/>
  <c r="K2863" i="7"/>
  <c r="A2862" i="7"/>
  <c r="K2861" i="7"/>
  <c r="A2860" i="7"/>
  <c r="K2859" i="7"/>
  <c r="A2858" i="7"/>
  <c r="K2857" i="7"/>
  <c r="A2856" i="7"/>
  <c r="K2855" i="7"/>
  <c r="A2854" i="7"/>
  <c r="K2853" i="7"/>
  <c r="A2852" i="7"/>
  <c r="K2851" i="7"/>
  <c r="A2850" i="7"/>
  <c r="K2849" i="7"/>
  <c r="A2848" i="7"/>
  <c r="K2847" i="7"/>
  <c r="A2846" i="7"/>
  <c r="K2845" i="7"/>
  <c r="A2844" i="7"/>
  <c r="K2843" i="7"/>
  <c r="A2842" i="7"/>
  <c r="K2841" i="7"/>
  <c r="I2840" i="7"/>
  <c r="E2840" i="7"/>
  <c r="A2840" i="7"/>
  <c r="K2839" i="7"/>
  <c r="G2839" i="7"/>
  <c r="C2839" i="7"/>
  <c r="K2838" i="7"/>
  <c r="G2838" i="7"/>
  <c r="C2838" i="7"/>
  <c r="K2837" i="7"/>
  <c r="G2837" i="7"/>
  <c r="C2837" i="7"/>
  <c r="K2836" i="7"/>
  <c r="G2836" i="7"/>
  <c r="C2836" i="7"/>
  <c r="K2835" i="7"/>
  <c r="G2835" i="7"/>
  <c r="C2835" i="7"/>
  <c r="K2834" i="7"/>
  <c r="G2834" i="7"/>
  <c r="C2834" i="7"/>
  <c r="K2833" i="7"/>
  <c r="G2833" i="7"/>
  <c r="C2833" i="7"/>
  <c r="K2832" i="7"/>
  <c r="G2832" i="7"/>
  <c r="C2832" i="7"/>
  <c r="L2831" i="7"/>
  <c r="G2831" i="7"/>
  <c r="C2831" i="7"/>
  <c r="L2830" i="7"/>
  <c r="G2830" i="7"/>
  <c r="C2830" i="7"/>
  <c r="L2829" i="7"/>
  <c r="H2829" i="7"/>
  <c r="D2829" i="7"/>
  <c r="Q2828" i="7"/>
  <c r="F2828" i="7"/>
  <c r="Q2827" i="7"/>
  <c r="M2827" i="7"/>
  <c r="H2827" i="7"/>
  <c r="D2827" i="7"/>
  <c r="Q2826" i="7"/>
  <c r="F2826" i="7"/>
  <c r="Q2825" i="7"/>
  <c r="F2825" i="7"/>
  <c r="Q2824" i="7"/>
  <c r="F2824" i="7"/>
  <c r="Q2823" i="7"/>
  <c r="L2823" i="7"/>
  <c r="H2823" i="7"/>
  <c r="D2823" i="7"/>
  <c r="Q2822" i="7"/>
  <c r="L2822" i="7"/>
  <c r="H2822" i="7"/>
  <c r="D2822" i="7"/>
  <c r="Q2821" i="7"/>
  <c r="M2821" i="7"/>
  <c r="H2821" i="7"/>
  <c r="D2821" i="7"/>
  <c r="Q2820" i="7"/>
  <c r="L2820" i="7"/>
  <c r="H2820" i="7"/>
  <c r="D2820" i="7"/>
  <c r="Q2819" i="7"/>
  <c r="M2819" i="7"/>
  <c r="H2819" i="7"/>
  <c r="D2819" i="7"/>
  <c r="Q2818" i="7"/>
  <c r="M2818" i="7"/>
  <c r="I2818" i="7"/>
  <c r="E2818" i="7"/>
  <c r="A2818" i="7"/>
  <c r="N2817" i="7"/>
  <c r="J2817" i="7"/>
  <c r="E2817" i="7"/>
  <c r="A2817" i="7"/>
  <c r="N2816" i="7"/>
  <c r="J2816" i="7"/>
  <c r="E2816" i="7"/>
  <c r="A2816" i="7"/>
  <c r="N2815" i="7"/>
  <c r="J2815" i="7"/>
  <c r="F2815" i="7"/>
  <c r="B2815" i="7"/>
  <c r="J2814" i="7"/>
  <c r="F2814" i="7"/>
  <c r="B2814" i="7"/>
  <c r="J2813" i="7"/>
  <c r="F2813" i="7"/>
  <c r="B2813" i="7"/>
  <c r="J2812" i="7"/>
  <c r="F2812" i="7"/>
  <c r="B2812" i="7"/>
  <c r="K2811" i="7"/>
  <c r="F2811" i="7"/>
  <c r="B2811" i="7"/>
  <c r="J2810" i="7"/>
  <c r="F2810" i="7"/>
  <c r="B2810" i="7"/>
  <c r="K2809" i="7"/>
  <c r="G2809" i="7"/>
  <c r="C2809" i="7"/>
  <c r="K2808" i="7"/>
  <c r="G2808" i="7"/>
  <c r="C2808" i="7"/>
  <c r="E2807" i="7"/>
  <c r="E2806" i="7"/>
  <c r="E2805" i="7"/>
  <c r="K2804" i="7"/>
  <c r="G2804" i="7"/>
  <c r="C2804" i="7"/>
  <c r="K2803" i="7"/>
  <c r="G2803" i="7"/>
  <c r="C2803" i="7"/>
  <c r="L2802" i="7"/>
  <c r="H2802" i="7"/>
  <c r="D2802" i="7"/>
  <c r="Q2801" i="7"/>
  <c r="M2801" i="7"/>
  <c r="I2801" i="7"/>
  <c r="E2801" i="7"/>
  <c r="A2801" i="7"/>
  <c r="M2800" i="7"/>
  <c r="I2800" i="7"/>
  <c r="E2800" i="7"/>
  <c r="A2800" i="7"/>
  <c r="K2799" i="7"/>
  <c r="Q2798" i="7"/>
  <c r="E2798" i="7"/>
  <c r="D2797" i="7"/>
  <c r="F2796" i="7"/>
  <c r="F2795" i="7"/>
  <c r="K2794" i="7"/>
  <c r="Q2791" i="7"/>
  <c r="B2791" i="7"/>
  <c r="F2790" i="7"/>
  <c r="K2789" i="7"/>
  <c r="Q2786" i="7"/>
  <c r="D2786" i="7"/>
  <c r="H2785" i="7"/>
  <c r="M2784" i="7"/>
  <c r="Q2782" i="7"/>
  <c r="D2782" i="7"/>
  <c r="H2781" i="7"/>
  <c r="L2780" i="7"/>
  <c r="L2779" i="7"/>
  <c r="L2778" i="7"/>
  <c r="K2777" i="7"/>
  <c r="Q2774" i="7"/>
  <c r="C2774" i="7"/>
  <c r="C2773" i="7"/>
  <c r="B2772" i="7"/>
  <c r="E2771" i="7"/>
  <c r="J2770" i="7"/>
  <c r="N2769" i="7"/>
  <c r="B2766" i="7"/>
  <c r="F2765" i="7"/>
  <c r="J2764" i="7"/>
  <c r="N2763" i="7"/>
  <c r="A2760" i="7"/>
  <c r="D2759" i="7"/>
  <c r="G2758" i="7"/>
  <c r="G2757" i="7"/>
  <c r="F2756" i="7"/>
  <c r="K2755" i="7"/>
  <c r="B2753" i="7"/>
  <c r="F2752" i="7"/>
  <c r="K2751" i="7"/>
  <c r="B2749" i="7"/>
  <c r="E2748" i="7"/>
  <c r="J2747" i="7"/>
  <c r="N2746" i="7"/>
  <c r="Q2744" i="7"/>
  <c r="C2744" i="7"/>
  <c r="C2743" i="7"/>
  <c r="C2742" i="7"/>
  <c r="C2741" i="7"/>
  <c r="C2740" i="7"/>
  <c r="C2739" i="7"/>
  <c r="C2738" i="7"/>
  <c r="B2737" i="7"/>
  <c r="F2736" i="7"/>
  <c r="K2735" i="7"/>
  <c r="B2733" i="7"/>
  <c r="F2732" i="7"/>
  <c r="K2731" i="7"/>
  <c r="A2729" i="7"/>
  <c r="E2728" i="7"/>
  <c r="J2727" i="7"/>
  <c r="N2726" i="7"/>
  <c r="Q2724" i="7"/>
  <c r="C2724" i="7"/>
  <c r="C2723" i="7"/>
  <c r="C2722" i="7"/>
  <c r="C2721" i="7"/>
  <c r="D2720" i="7"/>
  <c r="E2719" i="7"/>
  <c r="E2718" i="7"/>
  <c r="F2717" i="7"/>
  <c r="F2716" i="7"/>
  <c r="K2715" i="7"/>
  <c r="J2714" i="7"/>
  <c r="F2712" i="7"/>
  <c r="G2711" i="7"/>
  <c r="G2710" i="7"/>
  <c r="G2709" i="7"/>
  <c r="G2708" i="7"/>
  <c r="G2707" i="7"/>
  <c r="M2706" i="7"/>
  <c r="E2706" i="7"/>
  <c r="N2705" i="7"/>
  <c r="F2705" i="7"/>
  <c r="F2704" i="7"/>
  <c r="D2703" i="7"/>
  <c r="Q2701" i="7"/>
  <c r="D2701" i="7"/>
  <c r="Q2699" i="7"/>
  <c r="D2699" i="7"/>
  <c r="Q2697" i="7"/>
  <c r="D2697" i="7"/>
  <c r="Q2695" i="7"/>
  <c r="D2695" i="7"/>
  <c r="Q2693" i="7"/>
  <c r="D2693" i="7"/>
  <c r="Q2691" i="7"/>
  <c r="D2691" i="7"/>
  <c r="Q2689" i="7"/>
  <c r="D2689" i="7"/>
  <c r="Q2687" i="7"/>
  <c r="D2687" i="7"/>
  <c r="Q2685" i="7"/>
  <c r="D2685" i="7"/>
  <c r="Q2683" i="7"/>
  <c r="D2683" i="7"/>
  <c r="Q2681" i="7"/>
  <c r="D2681" i="7"/>
  <c r="Q2679" i="7"/>
  <c r="D2679" i="7"/>
  <c r="Q2677" i="7"/>
  <c r="D2677" i="7"/>
  <c r="Q2675" i="7"/>
  <c r="D2675" i="7"/>
  <c r="Q2673" i="7"/>
  <c r="D2673" i="7"/>
  <c r="Q2671" i="7"/>
  <c r="D2671" i="7"/>
  <c r="D2670" i="7"/>
  <c r="Q2667" i="7"/>
  <c r="D2667" i="7"/>
  <c r="D2666" i="7"/>
  <c r="Q2664" i="7"/>
  <c r="D2664" i="7"/>
  <c r="Q2662" i="7"/>
  <c r="D2662" i="7"/>
  <c r="Q2660" i="7"/>
  <c r="D2660" i="7"/>
  <c r="Q2658" i="7"/>
  <c r="D2658" i="7"/>
  <c r="Q2656" i="7"/>
  <c r="D2656" i="7"/>
  <c r="Q2654" i="7"/>
  <c r="D2654" i="7"/>
  <c r="Q2652" i="7"/>
  <c r="D2652" i="7"/>
  <c r="Q2650" i="7"/>
  <c r="D2650" i="7"/>
  <c r="Q2648" i="7"/>
  <c r="D2648" i="7"/>
  <c r="Q2646" i="7"/>
  <c r="D2646" i="7"/>
  <c r="Q2644" i="7"/>
  <c r="D2644" i="7"/>
  <c r="Q2642" i="7"/>
  <c r="D2642" i="7"/>
  <c r="Q2640" i="7"/>
  <c r="D2640" i="7"/>
  <c r="Q2638" i="7"/>
  <c r="D2638" i="7"/>
  <c r="Q2636" i="7"/>
  <c r="D2636" i="7"/>
  <c r="Q2634" i="7"/>
  <c r="D2634" i="7"/>
  <c r="Q2632" i="7"/>
  <c r="D2632" i="7"/>
  <c r="Q2630" i="7"/>
  <c r="D2630" i="7"/>
  <c r="Q2628" i="7"/>
  <c r="D2628" i="7"/>
  <c r="Q2626" i="7"/>
  <c r="D2626" i="7"/>
  <c r="Q2624" i="7"/>
  <c r="D2624" i="7"/>
  <c r="Q2622" i="7"/>
  <c r="D2622" i="7"/>
  <c r="Q2620" i="7"/>
  <c r="D2620" i="7"/>
  <c r="Q2618" i="7"/>
  <c r="D2618" i="7"/>
  <c r="Q2616" i="7"/>
  <c r="D2616" i="7"/>
  <c r="Q2614" i="7"/>
  <c r="D2614" i="7"/>
  <c r="Q2612" i="7"/>
  <c r="D2612" i="7"/>
  <c r="Q2610" i="7"/>
  <c r="D2610" i="7"/>
  <c r="Q2608" i="7"/>
  <c r="D2608" i="7"/>
  <c r="Q2606" i="7"/>
  <c r="D2606" i="7"/>
  <c r="Q2604" i="7"/>
  <c r="D2604" i="7"/>
  <c r="Q2602" i="7"/>
  <c r="D2602" i="7"/>
  <c r="Q2600" i="7"/>
  <c r="D2600" i="7"/>
  <c r="Q2598" i="7"/>
  <c r="D2598" i="7"/>
  <c r="Q2596" i="7"/>
  <c r="D2596" i="7"/>
  <c r="Q2594" i="7"/>
  <c r="D2594" i="7"/>
  <c r="Q2592" i="7"/>
  <c r="D2592" i="7"/>
  <c r="J2591" i="7"/>
  <c r="F2591" i="7"/>
  <c r="B2591" i="7"/>
  <c r="K2590" i="7"/>
  <c r="F2590" i="7"/>
  <c r="B2590" i="7"/>
  <c r="K2589" i="7"/>
  <c r="G2589" i="7"/>
  <c r="C2589" i="7"/>
  <c r="K2588" i="7"/>
  <c r="G2588" i="7"/>
  <c r="C2588" i="7"/>
  <c r="K2587" i="7"/>
  <c r="G2587" i="7"/>
  <c r="C2587" i="7"/>
  <c r="K2586" i="7"/>
  <c r="G2586" i="7"/>
  <c r="C2586" i="7"/>
  <c r="K2585" i="7"/>
  <c r="G2585" i="7"/>
  <c r="C2585" i="7"/>
  <c r="K2584" i="7"/>
  <c r="G2584" i="7"/>
  <c r="C2584" i="7"/>
  <c r="L2583" i="7"/>
  <c r="H2583" i="7"/>
  <c r="D2583" i="7"/>
  <c r="Q2582" i="7"/>
  <c r="L2582" i="7"/>
  <c r="H2582" i="7"/>
  <c r="D2582" i="7"/>
  <c r="Q2581" i="7"/>
  <c r="J2581" i="7"/>
  <c r="F2581" i="7"/>
  <c r="B2581" i="7"/>
  <c r="J2580" i="7"/>
  <c r="A2580" i="7"/>
  <c r="M2579" i="7"/>
  <c r="I2579" i="7"/>
  <c r="E2579" i="7"/>
  <c r="A2579" i="7"/>
  <c r="N2578" i="7"/>
  <c r="J2578" i="7"/>
  <c r="F2578" i="7"/>
  <c r="B2578" i="7"/>
  <c r="K2577" i="7"/>
  <c r="F2577" i="7"/>
  <c r="B2577" i="7"/>
  <c r="K2576" i="7"/>
  <c r="F2576" i="7"/>
  <c r="B2576" i="7"/>
  <c r="J2575" i="7"/>
  <c r="F2575" i="7"/>
  <c r="B2575" i="7"/>
  <c r="K2574" i="7"/>
  <c r="F2574" i="7"/>
  <c r="B2574" i="7"/>
  <c r="J2573" i="7"/>
  <c r="F2573" i="7"/>
  <c r="B2573" i="7"/>
  <c r="K2572" i="7"/>
  <c r="F2572" i="7"/>
  <c r="B2572" i="7"/>
  <c r="K2571" i="7"/>
  <c r="F2571" i="7"/>
  <c r="B2571" i="7"/>
  <c r="K2570" i="7"/>
  <c r="F2570" i="7"/>
  <c r="B2570" i="7"/>
  <c r="J2569" i="7"/>
  <c r="F2569" i="7"/>
  <c r="B2569" i="7"/>
  <c r="K2568" i="7"/>
  <c r="G2568" i="7"/>
  <c r="C2568" i="7"/>
  <c r="L2567" i="7"/>
  <c r="G2567" i="7"/>
  <c r="C2567" i="7"/>
  <c r="K2566" i="7"/>
  <c r="G2566" i="7"/>
  <c r="C2566" i="7"/>
  <c r="K2565" i="7"/>
  <c r="G2565" i="7"/>
  <c r="C2565" i="7"/>
  <c r="K2564" i="7"/>
  <c r="G2564" i="7"/>
  <c r="C2564" i="7"/>
  <c r="K2563" i="7"/>
  <c r="G2563" i="7"/>
  <c r="C2563" i="7"/>
  <c r="K2562" i="7"/>
  <c r="G2562" i="7"/>
  <c r="C2562" i="7"/>
  <c r="K2561" i="7"/>
  <c r="G2561" i="7"/>
  <c r="C2561" i="7"/>
  <c r="K2560" i="7"/>
  <c r="G2560" i="7"/>
  <c r="C2560" i="7"/>
  <c r="K2559" i="7"/>
  <c r="G2559" i="7"/>
  <c r="C2559" i="7"/>
  <c r="K2558" i="7"/>
  <c r="G2558" i="7"/>
  <c r="C2558" i="7"/>
  <c r="L2557" i="7"/>
  <c r="H2557" i="7"/>
  <c r="D2557" i="7"/>
  <c r="Q2556" i="7"/>
  <c r="M2556" i="7"/>
  <c r="I2556" i="7"/>
  <c r="E2556" i="7"/>
  <c r="A2556" i="7"/>
  <c r="N2555" i="7"/>
  <c r="J2555" i="7"/>
  <c r="F2555" i="7"/>
  <c r="B2555" i="7"/>
  <c r="K2554" i="7"/>
  <c r="G2554" i="7"/>
  <c r="C2554" i="7"/>
  <c r="K2553" i="7"/>
  <c r="G2553" i="7"/>
  <c r="C2553" i="7"/>
  <c r="K2552" i="7"/>
  <c r="G2552" i="7"/>
  <c r="C2552" i="7"/>
  <c r="K2551" i="7"/>
  <c r="G2551" i="7"/>
  <c r="C2551" i="7"/>
  <c r="K2550" i="7"/>
  <c r="G2550" i="7"/>
  <c r="C2550" i="7"/>
  <c r="K2549" i="7"/>
  <c r="G2549" i="7"/>
  <c r="C2549" i="7"/>
  <c r="L2548" i="7"/>
  <c r="G2548" i="7"/>
  <c r="C2548" i="7"/>
  <c r="K2547" i="7"/>
  <c r="G2547" i="7"/>
  <c r="C2547" i="7"/>
  <c r="E2546" i="7"/>
  <c r="K2545" i="7"/>
  <c r="G2545" i="7"/>
  <c r="C2545" i="7"/>
  <c r="K2544" i="7"/>
  <c r="G2544" i="7"/>
  <c r="C2544" i="7"/>
  <c r="K2543" i="7"/>
  <c r="G2543" i="7"/>
  <c r="C2543" i="7"/>
  <c r="K2542" i="7"/>
  <c r="G2542" i="7"/>
  <c r="C2542" i="7"/>
  <c r="K2541" i="7"/>
  <c r="G2541" i="7"/>
  <c r="C2541" i="7"/>
  <c r="K2540" i="7"/>
  <c r="G2540" i="7"/>
  <c r="C2540" i="7"/>
  <c r="K2539" i="7"/>
  <c r="G2539" i="7"/>
  <c r="C2539" i="7"/>
  <c r="D2538" i="7"/>
  <c r="J2537" i="7"/>
  <c r="A2537" i="7"/>
  <c r="M2536" i="7"/>
  <c r="I2536" i="7"/>
  <c r="E2536" i="7"/>
  <c r="A2536" i="7"/>
  <c r="M2535" i="7"/>
  <c r="I2535" i="7"/>
  <c r="E2535" i="7"/>
  <c r="A2535" i="7"/>
  <c r="M2534" i="7"/>
  <c r="I2534" i="7"/>
  <c r="E2534" i="7"/>
  <c r="A2534" i="7"/>
  <c r="N2533" i="7"/>
  <c r="J2533" i="7"/>
  <c r="E2533" i="7"/>
  <c r="A2533" i="7"/>
  <c r="N2532" i="7"/>
  <c r="J2532" i="7"/>
  <c r="E2532" i="7"/>
  <c r="A2532" i="7"/>
  <c r="N2531" i="7"/>
  <c r="H2531" i="7"/>
  <c r="D2531" i="7"/>
  <c r="Q2530" i="7"/>
  <c r="M2530" i="7"/>
  <c r="H2530" i="7"/>
  <c r="D2530" i="7"/>
  <c r="Q2529" i="7"/>
  <c r="M2529" i="7"/>
  <c r="H2529" i="7"/>
  <c r="D2529" i="7"/>
  <c r="Q2528" i="7"/>
  <c r="M2528" i="7"/>
  <c r="H2528" i="7"/>
  <c r="D2528" i="7"/>
  <c r="Q2527" i="7"/>
  <c r="M2527" i="7"/>
  <c r="H2527" i="7"/>
  <c r="D2527" i="7"/>
  <c r="Q2526" i="7"/>
  <c r="M2526" i="7"/>
  <c r="H2526" i="7"/>
  <c r="D2526" i="7"/>
  <c r="Q2525" i="7"/>
  <c r="M2525" i="7"/>
  <c r="H2525" i="7"/>
  <c r="D2525" i="7"/>
  <c r="Q2524" i="7"/>
  <c r="L2524" i="7"/>
  <c r="H2524" i="7"/>
  <c r="D2524" i="7"/>
  <c r="Q2523" i="7"/>
  <c r="L2523" i="7"/>
  <c r="H2523" i="7"/>
  <c r="D2523" i="7"/>
  <c r="Q2522" i="7"/>
  <c r="L2522" i="7"/>
  <c r="H2522" i="7"/>
  <c r="D2522" i="7"/>
  <c r="Q2521" i="7"/>
  <c r="L2521" i="7"/>
  <c r="H2521" i="7"/>
  <c r="D2521" i="7"/>
  <c r="Q2520" i="7"/>
  <c r="L2520" i="7"/>
  <c r="H2520" i="7"/>
  <c r="D2520" i="7"/>
  <c r="Q2519" i="7"/>
  <c r="L2519" i="7"/>
  <c r="H2519" i="7"/>
  <c r="D2519" i="7"/>
  <c r="Q2518" i="7"/>
  <c r="L2518" i="7"/>
  <c r="H2518" i="7"/>
  <c r="D2518" i="7"/>
  <c r="Q2517" i="7"/>
  <c r="L2517" i="7"/>
  <c r="H2517" i="7"/>
  <c r="D2517" i="7"/>
  <c r="Q2516" i="7"/>
  <c r="M2516" i="7"/>
  <c r="H2516" i="7"/>
  <c r="D2516" i="7"/>
  <c r="Q2515" i="7"/>
  <c r="J2515" i="7"/>
  <c r="A2515" i="7"/>
  <c r="N2514" i="7"/>
  <c r="J2514" i="7"/>
  <c r="E2514" i="7"/>
  <c r="A2514" i="7"/>
  <c r="N2513" i="7"/>
  <c r="J2513" i="7"/>
  <c r="E2513" i="7"/>
  <c r="A2513" i="7"/>
  <c r="N2512" i="7"/>
  <c r="J2512" i="7"/>
  <c r="E2512" i="7"/>
  <c r="A2512" i="7"/>
  <c r="N2511" i="7"/>
  <c r="J2511" i="7"/>
  <c r="E2511" i="7"/>
  <c r="A2511" i="7"/>
  <c r="N2510" i="7"/>
  <c r="J2510" i="7"/>
  <c r="E2510" i="7"/>
  <c r="A2510" i="7"/>
  <c r="N2509" i="7"/>
  <c r="J2509" i="7"/>
  <c r="E2509" i="7"/>
  <c r="A2509" i="7"/>
  <c r="N2508" i="7"/>
  <c r="J2508" i="7"/>
  <c r="E2508" i="7"/>
  <c r="A2508" i="7"/>
  <c r="N2507" i="7"/>
  <c r="J2507" i="7"/>
  <c r="E2507" i="7"/>
  <c r="A2507" i="7"/>
  <c r="N2506" i="7"/>
  <c r="J2506" i="7"/>
  <c r="E2506" i="7"/>
  <c r="A2506" i="7"/>
  <c r="N2505" i="7"/>
  <c r="J2505" i="7"/>
  <c r="E2505" i="7"/>
  <c r="A2505" i="7"/>
  <c r="N2504" i="7"/>
  <c r="H2504" i="7"/>
  <c r="D2504" i="7"/>
  <c r="Q2503" i="7"/>
  <c r="M2503" i="7"/>
  <c r="G2503" i="7"/>
  <c r="C2503" i="7"/>
  <c r="K2502" i="7"/>
  <c r="F2502" i="7"/>
  <c r="B2502" i="7"/>
  <c r="K2501" i="7"/>
  <c r="F2501" i="7"/>
  <c r="B2501" i="7"/>
  <c r="K2500" i="7"/>
  <c r="F2500" i="7"/>
  <c r="B2500" i="7"/>
  <c r="K2499" i="7"/>
  <c r="F2499" i="7"/>
  <c r="B2499" i="7"/>
  <c r="J2498" i="7"/>
  <c r="E2498" i="7"/>
  <c r="A2498" i="7"/>
  <c r="N2497" i="7"/>
  <c r="J2497" i="7"/>
  <c r="E2497" i="7"/>
  <c r="A2497" i="7"/>
  <c r="N2496" i="7"/>
  <c r="J2496" i="7"/>
  <c r="E2496" i="7"/>
  <c r="A2496" i="7"/>
  <c r="N2495" i="7"/>
  <c r="J2495" i="7"/>
  <c r="E2495" i="7"/>
  <c r="A2495" i="7"/>
  <c r="N2494" i="7"/>
  <c r="H2494" i="7"/>
  <c r="D2494" i="7"/>
  <c r="Q2493" i="7"/>
  <c r="M2493" i="7"/>
  <c r="H2493" i="7"/>
  <c r="D2493" i="7"/>
  <c r="Q2492" i="7"/>
  <c r="M2492" i="7"/>
  <c r="G2492" i="7"/>
  <c r="C2492" i="7"/>
  <c r="L2491" i="7"/>
  <c r="G2491" i="7"/>
  <c r="C2491" i="7"/>
  <c r="L2490" i="7"/>
  <c r="G2490" i="7"/>
  <c r="C2490" i="7"/>
  <c r="L2489" i="7"/>
  <c r="G2489" i="7"/>
  <c r="C2489" i="7"/>
  <c r="L2488" i="7"/>
  <c r="G2488" i="7"/>
  <c r="C2488" i="7"/>
  <c r="L2487" i="7"/>
  <c r="G2487" i="7"/>
  <c r="C2487" i="7"/>
  <c r="L2486" i="7"/>
  <c r="G2486" i="7"/>
  <c r="C2486" i="7"/>
  <c r="L2485" i="7"/>
  <c r="G2485" i="7"/>
  <c r="C2485" i="7"/>
  <c r="L2484" i="7"/>
  <c r="G2484" i="7"/>
  <c r="C2484" i="7"/>
  <c r="L2483" i="7"/>
  <c r="G2483" i="7"/>
  <c r="C2483" i="7"/>
  <c r="L2482" i="7"/>
  <c r="G2482" i="7"/>
  <c r="C2482" i="7"/>
  <c r="L2481" i="7"/>
  <c r="G2481" i="7"/>
  <c r="C2481" i="7"/>
  <c r="L2480" i="7"/>
  <c r="G2480" i="7"/>
  <c r="C2480" i="7"/>
  <c r="L2479" i="7"/>
  <c r="G2479" i="7"/>
  <c r="C2479" i="7"/>
  <c r="L2478" i="7"/>
  <c r="G2478" i="7"/>
  <c r="C2478" i="7"/>
  <c r="L2477" i="7"/>
  <c r="G2477" i="7"/>
  <c r="C2477" i="7"/>
  <c r="L2476" i="7"/>
  <c r="G2476" i="7"/>
  <c r="C2476" i="7"/>
  <c r="L2475" i="7"/>
  <c r="G2475" i="7"/>
  <c r="C2475" i="7"/>
  <c r="L2474" i="7"/>
  <c r="G2474" i="7"/>
  <c r="C2474" i="7"/>
  <c r="L2473" i="7"/>
  <c r="G2473" i="7"/>
  <c r="C2473" i="7"/>
  <c r="L2472" i="7"/>
  <c r="G2472" i="7"/>
  <c r="C2472" i="7"/>
  <c r="L2471" i="7"/>
  <c r="G2471" i="7"/>
  <c r="C2471" i="7"/>
  <c r="L2470" i="7"/>
  <c r="G2470" i="7"/>
  <c r="C2470" i="7"/>
  <c r="L2469" i="7"/>
  <c r="G2469" i="7"/>
  <c r="C2469" i="7"/>
  <c r="J2468" i="7"/>
  <c r="E2468" i="7"/>
  <c r="A2468" i="7"/>
  <c r="N2467" i="7"/>
  <c r="J2467" i="7"/>
  <c r="E2467" i="7"/>
  <c r="A2467" i="7"/>
  <c r="N2466" i="7"/>
  <c r="J2466" i="7"/>
  <c r="E2466" i="7"/>
  <c r="A2466" i="7"/>
  <c r="N2465" i="7"/>
  <c r="J2465" i="7"/>
  <c r="E2465" i="7"/>
  <c r="A2465" i="7"/>
  <c r="N2464" i="7"/>
  <c r="H2464" i="7"/>
  <c r="D2464" i="7"/>
  <c r="Q2463" i="7"/>
  <c r="M2463" i="7"/>
  <c r="G2463" i="7"/>
  <c r="C2463" i="7"/>
  <c r="K2462" i="7"/>
  <c r="F2462" i="7"/>
  <c r="B2462" i="7"/>
  <c r="J2461" i="7"/>
  <c r="E2461" i="7"/>
  <c r="A2461" i="7"/>
  <c r="N2460" i="7"/>
  <c r="H2460" i="7"/>
  <c r="D2460" i="7"/>
  <c r="Q2459" i="7"/>
  <c r="M2459" i="7"/>
  <c r="H2459" i="7"/>
  <c r="D2459" i="7"/>
  <c r="Q2458" i="7"/>
  <c r="M2458" i="7"/>
  <c r="H2458" i="7"/>
  <c r="D2458" i="7"/>
  <c r="Q2457" i="7"/>
  <c r="M2457" i="7"/>
  <c r="H2457" i="7"/>
  <c r="D2457" i="7"/>
  <c r="Q2456" i="7"/>
  <c r="M2456" i="7"/>
  <c r="H2456" i="7"/>
  <c r="D2456" i="7"/>
  <c r="Q2455" i="7"/>
  <c r="M2455" i="7"/>
  <c r="H2455" i="7"/>
  <c r="D2455" i="7"/>
  <c r="Q2454" i="7"/>
  <c r="M2454" i="7"/>
  <c r="H2454" i="7"/>
  <c r="D2454" i="7"/>
  <c r="Q2453" i="7"/>
  <c r="M2453" i="7"/>
  <c r="H2453" i="7"/>
  <c r="D2453" i="7"/>
  <c r="Q2452" i="7"/>
  <c r="M2452" i="7"/>
  <c r="H2452" i="7"/>
  <c r="D2452" i="7"/>
  <c r="Q2451" i="7"/>
  <c r="M2451" i="7"/>
  <c r="H2451" i="7"/>
  <c r="D2451" i="7"/>
  <c r="Q2450" i="7"/>
  <c r="M2450" i="7"/>
  <c r="H2450" i="7"/>
  <c r="D2450" i="7"/>
  <c r="Q2449" i="7"/>
  <c r="M2449" i="7"/>
  <c r="H2449" i="7"/>
  <c r="D2449" i="7"/>
  <c r="Q2448" i="7"/>
  <c r="M2448" i="7"/>
  <c r="H2448" i="7"/>
  <c r="D2448" i="7"/>
  <c r="Q2447" i="7"/>
  <c r="M2447" i="7"/>
  <c r="H2447" i="7"/>
  <c r="D2447" i="7"/>
  <c r="Q2446" i="7"/>
  <c r="M2446" i="7"/>
  <c r="H2446" i="7"/>
  <c r="D2446" i="7"/>
  <c r="Q2445" i="7"/>
  <c r="M2445" i="7"/>
  <c r="H2445" i="7"/>
  <c r="D2445" i="7"/>
  <c r="Q2444" i="7"/>
  <c r="M2444" i="7"/>
  <c r="H2444" i="7"/>
  <c r="D2444" i="7"/>
  <c r="Q2443" i="7"/>
  <c r="M2443" i="7"/>
  <c r="H2443" i="7"/>
  <c r="D2443" i="7"/>
  <c r="Q2442" i="7"/>
  <c r="M2442" i="7"/>
  <c r="H2442" i="7"/>
  <c r="D2442" i="7"/>
  <c r="Q2441" i="7"/>
  <c r="M2441" i="7"/>
  <c r="H2441" i="7"/>
  <c r="D2441" i="7"/>
  <c r="Q2440" i="7"/>
  <c r="M2440" i="7"/>
  <c r="G2440" i="7"/>
  <c r="C2440" i="7"/>
  <c r="K2439" i="7"/>
  <c r="F2439" i="7"/>
  <c r="B2439" i="7"/>
  <c r="K2438" i="7"/>
  <c r="F2438" i="7"/>
  <c r="B2438" i="7"/>
  <c r="K2437" i="7"/>
  <c r="F2437" i="7"/>
  <c r="B2437" i="7"/>
  <c r="J2436" i="7"/>
  <c r="E2436" i="7"/>
  <c r="A2436" i="7"/>
  <c r="N2435" i="7"/>
  <c r="J2435" i="7"/>
  <c r="E2435" i="7"/>
  <c r="A2435" i="7"/>
  <c r="N2434" i="7"/>
  <c r="H2434" i="7"/>
  <c r="D2434" i="7"/>
  <c r="Q2433" i="7"/>
  <c r="M2433" i="7"/>
  <c r="H2433" i="7"/>
  <c r="D2433" i="7"/>
  <c r="Q2432" i="7"/>
  <c r="M2432" i="7"/>
  <c r="H2432" i="7"/>
  <c r="D2432" i="7"/>
  <c r="Q2431" i="7"/>
  <c r="M2431" i="7"/>
  <c r="H2431" i="7"/>
  <c r="D2431" i="7"/>
  <c r="Q2430" i="7"/>
  <c r="M2430" i="7"/>
  <c r="H2430" i="7"/>
  <c r="D2430" i="7"/>
  <c r="Q2429" i="7"/>
  <c r="M2429" i="7"/>
  <c r="H2429" i="7"/>
  <c r="D2429" i="7"/>
  <c r="Q2428" i="7"/>
  <c r="M2428" i="7"/>
  <c r="H2428" i="7"/>
  <c r="D2428" i="7"/>
  <c r="Q2427" i="7"/>
  <c r="M2427" i="7"/>
  <c r="H2427" i="7"/>
  <c r="D2427" i="7"/>
  <c r="Q2426" i="7"/>
  <c r="M2426" i="7"/>
  <c r="H2426" i="7"/>
  <c r="D2426" i="7"/>
  <c r="Q2425" i="7"/>
  <c r="M2425" i="7"/>
  <c r="H2425" i="7"/>
  <c r="D2425" i="7"/>
  <c r="Q2424" i="7"/>
  <c r="M2424" i="7"/>
  <c r="H2424" i="7"/>
  <c r="D2424" i="7"/>
  <c r="Q2423" i="7"/>
  <c r="M2423" i="7"/>
  <c r="H2423" i="7"/>
  <c r="D2423" i="7"/>
  <c r="Q2422" i="7"/>
  <c r="M2422" i="7"/>
  <c r="H2422" i="7"/>
  <c r="D2422" i="7"/>
  <c r="Q2421" i="7"/>
  <c r="M2421" i="7"/>
  <c r="H2421" i="7"/>
  <c r="D2421" i="7"/>
  <c r="Q2420" i="7"/>
  <c r="M2420" i="7"/>
  <c r="H2420" i="7"/>
  <c r="D2420" i="7"/>
  <c r="Q2419" i="7"/>
  <c r="M2419" i="7"/>
  <c r="H2419" i="7"/>
  <c r="D2419" i="7"/>
  <c r="Q2418" i="7"/>
  <c r="M2418" i="7"/>
  <c r="H2418" i="7"/>
  <c r="D2418" i="7"/>
  <c r="Q2417" i="7"/>
  <c r="M2417" i="7"/>
  <c r="H2417" i="7"/>
  <c r="D2417" i="7"/>
  <c r="Q2416" i="7"/>
  <c r="M2416" i="7"/>
  <c r="H2416" i="7"/>
  <c r="D2416" i="7"/>
  <c r="Q2415" i="7"/>
  <c r="M2415" i="7"/>
  <c r="H2415" i="7"/>
  <c r="D2415" i="7"/>
  <c r="Q2414" i="7"/>
  <c r="M2414" i="7"/>
  <c r="H2414" i="7"/>
  <c r="D2414" i="7"/>
  <c r="Q2413" i="7"/>
  <c r="M2413" i="7"/>
  <c r="H2413" i="7"/>
  <c r="D2413" i="7"/>
  <c r="Q2412" i="7"/>
  <c r="M2412" i="7"/>
  <c r="H2412" i="7"/>
  <c r="D2412" i="7"/>
  <c r="Q2411" i="7"/>
  <c r="M2411" i="7"/>
  <c r="H2411" i="7"/>
  <c r="D2411" i="7"/>
  <c r="Q2410" i="7"/>
  <c r="M2410" i="7"/>
  <c r="H2410" i="7"/>
  <c r="D2410" i="7"/>
  <c r="Q2409" i="7"/>
  <c r="M2409" i="7"/>
  <c r="H2409" i="7"/>
  <c r="D2409" i="7"/>
  <c r="Q2408" i="7"/>
  <c r="M2408" i="7"/>
  <c r="H2408" i="7"/>
  <c r="D2408" i="7"/>
  <c r="Q2407" i="7"/>
  <c r="M2407" i="7"/>
  <c r="H2407" i="7"/>
  <c r="D2407" i="7"/>
  <c r="Q2406" i="7"/>
  <c r="M2406" i="7"/>
  <c r="G2406" i="7"/>
  <c r="C2406" i="7"/>
  <c r="K2405" i="7"/>
  <c r="F2405" i="7"/>
  <c r="B2405" i="7"/>
  <c r="J2404" i="7"/>
  <c r="E2404" i="7"/>
  <c r="A2404" i="7"/>
  <c r="N2403" i="7"/>
  <c r="J2403" i="7"/>
  <c r="E2403" i="7"/>
  <c r="A2403" i="7"/>
  <c r="M2402" i="7"/>
  <c r="I2402" i="7"/>
  <c r="E2402" i="7"/>
  <c r="A2402" i="7"/>
  <c r="M2401" i="7"/>
  <c r="I2401" i="7"/>
  <c r="E2401" i="7"/>
  <c r="A2401" i="7"/>
  <c r="M2400" i="7"/>
  <c r="I2400" i="7"/>
  <c r="E2400" i="7"/>
  <c r="A2400" i="7"/>
  <c r="M2399" i="7"/>
  <c r="I2399" i="7"/>
  <c r="E2399" i="7"/>
  <c r="A2399" i="7"/>
  <c r="M2398" i="7"/>
  <c r="I2398" i="7"/>
  <c r="E2398" i="7"/>
  <c r="A2398" i="7"/>
  <c r="M2397" i="7"/>
  <c r="I2397" i="7"/>
  <c r="E2397" i="7"/>
  <c r="A2397" i="7"/>
  <c r="K2396" i="7"/>
  <c r="A2396" i="7"/>
  <c r="N2395" i="7"/>
  <c r="J2395" i="7"/>
  <c r="F2395" i="7"/>
  <c r="B2395" i="7"/>
  <c r="K2394" i="7"/>
  <c r="F2394" i="7"/>
  <c r="B2394" i="7"/>
  <c r="D2393" i="7"/>
  <c r="K2392" i="7"/>
  <c r="F2392" i="7"/>
  <c r="B2392" i="7"/>
  <c r="D2391" i="7"/>
  <c r="K2390" i="7"/>
  <c r="F2390" i="7"/>
  <c r="B2390" i="7"/>
  <c r="J2389" i="7"/>
  <c r="F2389" i="7"/>
  <c r="B2389" i="7"/>
  <c r="K2388" i="7"/>
  <c r="G2388" i="7"/>
  <c r="C2388" i="7"/>
  <c r="K2387" i="7"/>
  <c r="G2387" i="7"/>
  <c r="C2387" i="7"/>
  <c r="L2386" i="7"/>
  <c r="G2386" i="7"/>
  <c r="C2386" i="7"/>
  <c r="L2385" i="7"/>
  <c r="H2385" i="7"/>
  <c r="D2385" i="7"/>
  <c r="B2796" i="7"/>
  <c r="B2795" i="7"/>
  <c r="F2794" i="7"/>
  <c r="K2793" i="7"/>
  <c r="B2790" i="7"/>
  <c r="F2789" i="7"/>
  <c r="H2788" i="7"/>
  <c r="M2787" i="7"/>
  <c r="Q2785" i="7"/>
  <c r="D2785" i="7"/>
  <c r="H2784" i="7"/>
  <c r="M2783" i="7"/>
  <c r="Q2781" i="7"/>
  <c r="D2781" i="7"/>
  <c r="G2780" i="7"/>
  <c r="G2779" i="7"/>
  <c r="G2778" i="7"/>
  <c r="F2777" i="7"/>
  <c r="J2776" i="7"/>
  <c r="N2775" i="7"/>
  <c r="A2771" i="7"/>
  <c r="E2770" i="7"/>
  <c r="H2769" i="7"/>
  <c r="M2768" i="7"/>
  <c r="K2767" i="7"/>
  <c r="B2765" i="7"/>
  <c r="E2764" i="7"/>
  <c r="H2763" i="7"/>
  <c r="M2762" i="7"/>
  <c r="K2761" i="7"/>
  <c r="Q2758" i="7"/>
  <c r="C2758" i="7"/>
  <c r="C2757" i="7"/>
  <c r="B2756" i="7"/>
  <c r="F2755" i="7"/>
  <c r="K2754" i="7"/>
  <c r="B2752" i="7"/>
  <c r="F2751" i="7"/>
  <c r="K2750" i="7"/>
  <c r="A2748" i="7"/>
  <c r="E2747" i="7"/>
  <c r="J2746" i="7"/>
  <c r="N2745" i="7"/>
  <c r="B2736" i="7"/>
  <c r="F2735" i="7"/>
  <c r="K2734" i="7"/>
  <c r="B2732" i="7"/>
  <c r="F2731" i="7"/>
  <c r="J2730" i="7"/>
  <c r="N2729" i="7"/>
  <c r="A2728" i="7"/>
  <c r="E2727" i="7"/>
  <c r="J2726" i="7"/>
  <c r="N2725" i="7"/>
  <c r="Q2719" i="7"/>
  <c r="A2719" i="7"/>
  <c r="A2718" i="7"/>
  <c r="B2717" i="7"/>
  <c r="B2716" i="7"/>
  <c r="F2715" i="7"/>
  <c r="F2714" i="7"/>
  <c r="D2713" i="7"/>
  <c r="B2712" i="7"/>
  <c r="C2711" i="7"/>
  <c r="C2710" i="7"/>
  <c r="C2709" i="7"/>
  <c r="C2708" i="7"/>
  <c r="C2707" i="7"/>
  <c r="L2706" i="7"/>
  <c r="D2706" i="7"/>
  <c r="M2705" i="7"/>
  <c r="E2705" i="7"/>
  <c r="M2704" i="7"/>
  <c r="E2704" i="7"/>
  <c r="Q2670" i="7"/>
  <c r="A2670" i="7"/>
  <c r="K2669" i="7"/>
  <c r="Q2666" i="7"/>
  <c r="A2666" i="7"/>
  <c r="K2665" i="7"/>
  <c r="A2664" i="7"/>
  <c r="K2663" i="7"/>
  <c r="A2662" i="7"/>
  <c r="K2661" i="7"/>
  <c r="A2660" i="7"/>
  <c r="K2659" i="7"/>
  <c r="A2658" i="7"/>
  <c r="K2657" i="7"/>
  <c r="A2656" i="7"/>
  <c r="K2655" i="7"/>
  <c r="A2654" i="7"/>
  <c r="K2653" i="7"/>
  <c r="A2652" i="7"/>
  <c r="K2651" i="7"/>
  <c r="A2650" i="7"/>
  <c r="K2649" i="7"/>
  <c r="A2648" i="7"/>
  <c r="K2647" i="7"/>
  <c r="A2646" i="7"/>
  <c r="K2645" i="7"/>
  <c r="A2644" i="7"/>
  <c r="K2643" i="7"/>
  <c r="A2642" i="7"/>
  <c r="K2641" i="7"/>
  <c r="A2640" i="7"/>
  <c r="K2639" i="7"/>
  <c r="A2638" i="7"/>
  <c r="K2637" i="7"/>
  <c r="A2636" i="7"/>
  <c r="K2635" i="7"/>
  <c r="A2634" i="7"/>
  <c r="K2633" i="7"/>
  <c r="A2632" i="7"/>
  <c r="K2631" i="7"/>
  <c r="A2630" i="7"/>
  <c r="K2629" i="7"/>
  <c r="A2628" i="7"/>
  <c r="K2627" i="7"/>
  <c r="A2626" i="7"/>
  <c r="K2625" i="7"/>
  <c r="A2624" i="7"/>
  <c r="K2623" i="7"/>
  <c r="A2622" i="7"/>
  <c r="K2621" i="7"/>
  <c r="A2620" i="7"/>
  <c r="K2619" i="7"/>
  <c r="A2618" i="7"/>
  <c r="K2617" i="7"/>
  <c r="A2616" i="7"/>
  <c r="K2615" i="7"/>
  <c r="A2614" i="7"/>
  <c r="K2613" i="7"/>
  <c r="A2612" i="7"/>
  <c r="K2611" i="7"/>
  <c r="A2610" i="7"/>
  <c r="K2609" i="7"/>
  <c r="A2608" i="7"/>
  <c r="K2607" i="7"/>
  <c r="A2606" i="7"/>
  <c r="K2605" i="7"/>
  <c r="A2604" i="7"/>
  <c r="K2603" i="7"/>
  <c r="A2602" i="7"/>
  <c r="K2601" i="7"/>
  <c r="A2600" i="7"/>
  <c r="K2599" i="7"/>
  <c r="A2598" i="7"/>
  <c r="K2597" i="7"/>
  <c r="A2596" i="7"/>
  <c r="K2595" i="7"/>
  <c r="A2594" i="7"/>
  <c r="K2593" i="7"/>
  <c r="A2592" i="7"/>
  <c r="M2591" i="7"/>
  <c r="I2591" i="7"/>
  <c r="E2591" i="7"/>
  <c r="A2591" i="7"/>
  <c r="N2590" i="7"/>
  <c r="J2590" i="7"/>
  <c r="E2590" i="7"/>
  <c r="A2590" i="7"/>
  <c r="N2589" i="7"/>
  <c r="J2589" i="7"/>
  <c r="F2589" i="7"/>
  <c r="B2589" i="7"/>
  <c r="J2588" i="7"/>
  <c r="F2588" i="7"/>
  <c r="B2588" i="7"/>
  <c r="J2587" i="7"/>
  <c r="F2587" i="7"/>
  <c r="B2587" i="7"/>
  <c r="J2586" i="7"/>
  <c r="F2586" i="7"/>
  <c r="B2586" i="7"/>
  <c r="J2585" i="7"/>
  <c r="F2585" i="7"/>
  <c r="B2585" i="7"/>
  <c r="J2584" i="7"/>
  <c r="F2584" i="7"/>
  <c r="B2584" i="7"/>
  <c r="K2583" i="7"/>
  <c r="G2583" i="7"/>
  <c r="C2583" i="7"/>
  <c r="K2582" i="7"/>
  <c r="G2582" i="7"/>
  <c r="C2582" i="7"/>
  <c r="I2581" i="7"/>
  <c r="E2581" i="7"/>
  <c r="A2581" i="7"/>
  <c r="F2580" i="7"/>
  <c r="Q2579" i="7"/>
  <c r="L2579" i="7"/>
  <c r="H2579" i="7"/>
  <c r="D2579" i="7"/>
  <c r="Q2578" i="7"/>
  <c r="M2578" i="7"/>
  <c r="I2578" i="7"/>
  <c r="E2578" i="7"/>
  <c r="A2578" i="7"/>
  <c r="N2577" i="7"/>
  <c r="J2577" i="7"/>
  <c r="E2577" i="7"/>
  <c r="A2577" i="7"/>
  <c r="N2576" i="7"/>
  <c r="J2576" i="7"/>
  <c r="E2576" i="7"/>
  <c r="A2576" i="7"/>
  <c r="M2575" i="7"/>
  <c r="I2575" i="7"/>
  <c r="E2575" i="7"/>
  <c r="A2575" i="7"/>
  <c r="N2574" i="7"/>
  <c r="J2574" i="7"/>
  <c r="E2574" i="7"/>
  <c r="A2574" i="7"/>
  <c r="M2573" i="7"/>
  <c r="I2573" i="7"/>
  <c r="E2573" i="7"/>
  <c r="A2573" i="7"/>
  <c r="N2572" i="7"/>
  <c r="J2572" i="7"/>
  <c r="E2572" i="7"/>
  <c r="A2572" i="7"/>
  <c r="N2571" i="7"/>
  <c r="J2571" i="7"/>
  <c r="E2571" i="7"/>
  <c r="A2571" i="7"/>
  <c r="N2570" i="7"/>
  <c r="J2570" i="7"/>
  <c r="E2570" i="7"/>
  <c r="A2570" i="7"/>
  <c r="M2569" i="7"/>
  <c r="I2569" i="7"/>
  <c r="E2569" i="7"/>
  <c r="A2569" i="7"/>
  <c r="N2568" i="7"/>
  <c r="J2568" i="7"/>
  <c r="F2568" i="7"/>
  <c r="B2568" i="7"/>
  <c r="K2567" i="7"/>
  <c r="F2567" i="7"/>
  <c r="B2567" i="7"/>
  <c r="J2566" i="7"/>
  <c r="F2566" i="7"/>
  <c r="B2566" i="7"/>
  <c r="J2565" i="7"/>
  <c r="F2565" i="7"/>
  <c r="B2565" i="7"/>
  <c r="J2564" i="7"/>
  <c r="F2564" i="7"/>
  <c r="B2564" i="7"/>
  <c r="J2563" i="7"/>
  <c r="F2563" i="7"/>
  <c r="B2563" i="7"/>
  <c r="J2562" i="7"/>
  <c r="F2562" i="7"/>
  <c r="B2562" i="7"/>
  <c r="J2561" i="7"/>
  <c r="F2561" i="7"/>
  <c r="B2561" i="7"/>
  <c r="J2560" i="7"/>
  <c r="F2560" i="7"/>
  <c r="B2560" i="7"/>
  <c r="J2559" i="7"/>
  <c r="F2559" i="7"/>
  <c r="B2559" i="7"/>
  <c r="J2558" i="7"/>
  <c r="F2558" i="7"/>
  <c r="B2558" i="7"/>
  <c r="K2557" i="7"/>
  <c r="G2557" i="7"/>
  <c r="C2557" i="7"/>
  <c r="L2556" i="7"/>
  <c r="H2556" i="7"/>
  <c r="D2556" i="7"/>
  <c r="Q2555" i="7"/>
  <c r="M2555" i="7"/>
  <c r="I2555" i="7"/>
  <c r="E2555" i="7"/>
  <c r="A2555" i="7"/>
  <c r="N2554" i="7"/>
  <c r="J2554" i="7"/>
  <c r="F2554" i="7"/>
  <c r="B2554" i="7"/>
  <c r="J2553" i="7"/>
  <c r="F2553" i="7"/>
  <c r="B2553" i="7"/>
  <c r="J2552" i="7"/>
  <c r="F2552" i="7"/>
  <c r="B2552" i="7"/>
  <c r="J2551" i="7"/>
  <c r="F2551" i="7"/>
  <c r="B2551" i="7"/>
  <c r="J2550" i="7"/>
  <c r="F2550" i="7"/>
  <c r="B2550" i="7"/>
  <c r="J2549" i="7"/>
  <c r="F2549" i="7"/>
  <c r="B2549" i="7"/>
  <c r="K2548" i="7"/>
  <c r="F2548" i="7"/>
  <c r="B2548" i="7"/>
  <c r="J2547" i="7"/>
  <c r="F2547" i="7"/>
  <c r="B2547" i="7"/>
  <c r="D2546" i="7"/>
  <c r="J2545" i="7"/>
  <c r="F2545" i="7"/>
  <c r="B2545" i="7"/>
  <c r="J2544" i="7"/>
  <c r="F2544" i="7"/>
  <c r="B2544" i="7"/>
  <c r="J2543" i="7"/>
  <c r="F2543" i="7"/>
  <c r="B2543" i="7"/>
  <c r="J2542" i="7"/>
  <c r="F2542" i="7"/>
  <c r="B2542" i="7"/>
  <c r="J2541" i="7"/>
  <c r="F2541" i="7"/>
  <c r="B2541" i="7"/>
  <c r="J2540" i="7"/>
  <c r="F2540" i="7"/>
  <c r="B2540" i="7"/>
  <c r="J2539" i="7"/>
  <c r="F2539" i="7"/>
  <c r="B2539" i="7"/>
  <c r="J2538" i="7"/>
  <c r="A2538" i="7"/>
  <c r="F2537" i="7"/>
  <c r="Q2536" i="7"/>
  <c r="L2536" i="7"/>
  <c r="H2536" i="7"/>
  <c r="D2536" i="7"/>
  <c r="Q2535" i="7"/>
  <c r="L2535" i="7"/>
  <c r="H2535" i="7"/>
  <c r="D2535" i="7"/>
  <c r="Q2534" i="7"/>
  <c r="L2534" i="7"/>
  <c r="H2534" i="7"/>
  <c r="D2534" i="7"/>
  <c r="Q2533" i="7"/>
  <c r="M2533" i="7"/>
  <c r="H2533" i="7"/>
  <c r="D2533" i="7"/>
  <c r="Q2532" i="7"/>
  <c r="M2532" i="7"/>
  <c r="H2532" i="7"/>
  <c r="D2532" i="7"/>
  <c r="Q2531" i="7"/>
  <c r="L2531" i="7"/>
  <c r="G2531" i="7"/>
  <c r="C2531" i="7"/>
  <c r="L2530" i="7"/>
  <c r="G2530" i="7"/>
  <c r="C2530" i="7"/>
  <c r="L2529" i="7"/>
  <c r="G2529" i="7"/>
  <c r="C2529" i="7"/>
  <c r="L2528" i="7"/>
  <c r="G2528" i="7"/>
  <c r="C2528" i="7"/>
  <c r="L2527" i="7"/>
  <c r="G2527" i="7"/>
  <c r="C2527" i="7"/>
  <c r="L2526" i="7"/>
  <c r="G2526" i="7"/>
  <c r="C2526" i="7"/>
  <c r="L2525" i="7"/>
  <c r="G2525" i="7"/>
  <c r="C2525" i="7"/>
  <c r="K2524" i="7"/>
  <c r="G2524" i="7"/>
  <c r="C2524" i="7"/>
  <c r="K2523" i="7"/>
  <c r="G2523" i="7"/>
  <c r="C2523" i="7"/>
  <c r="K2522" i="7"/>
  <c r="G2522" i="7"/>
  <c r="C2522" i="7"/>
  <c r="K2521" i="7"/>
  <c r="G2521" i="7"/>
  <c r="C2521" i="7"/>
  <c r="K2520" i="7"/>
  <c r="G2520" i="7"/>
  <c r="C2520" i="7"/>
  <c r="K2519" i="7"/>
  <c r="G2519" i="7"/>
  <c r="C2519" i="7"/>
  <c r="K2518" i="7"/>
  <c r="G2518" i="7"/>
  <c r="C2518" i="7"/>
  <c r="K2517" i="7"/>
  <c r="G2517" i="7"/>
  <c r="C2517" i="7"/>
  <c r="L2516" i="7"/>
  <c r="G2516" i="7"/>
  <c r="C2516" i="7"/>
  <c r="F2515" i="7"/>
  <c r="Q2514" i="7"/>
  <c r="M2514" i="7"/>
  <c r="H2514" i="7"/>
  <c r="D2514" i="7"/>
  <c r="Q2513" i="7"/>
  <c r="M2513" i="7"/>
  <c r="H2513" i="7"/>
  <c r="D2513" i="7"/>
  <c r="Q2512" i="7"/>
  <c r="M2512" i="7"/>
  <c r="H2512" i="7"/>
  <c r="D2512" i="7"/>
  <c r="Q2511" i="7"/>
  <c r="M2511" i="7"/>
  <c r="H2511" i="7"/>
  <c r="D2511" i="7"/>
  <c r="Q2510" i="7"/>
  <c r="M2510" i="7"/>
  <c r="H2510" i="7"/>
  <c r="D2510" i="7"/>
  <c r="Q2509" i="7"/>
  <c r="M2509" i="7"/>
  <c r="H2509" i="7"/>
  <c r="D2509" i="7"/>
  <c r="Q2508" i="7"/>
  <c r="M2508" i="7"/>
  <c r="H2508" i="7"/>
  <c r="D2508" i="7"/>
  <c r="Q2507" i="7"/>
  <c r="M2507" i="7"/>
  <c r="H2507" i="7"/>
  <c r="D2507" i="7"/>
  <c r="Q2506" i="7"/>
  <c r="M2506" i="7"/>
  <c r="H2506" i="7"/>
  <c r="D2506" i="7"/>
  <c r="Q2505" i="7"/>
  <c r="M2505" i="7"/>
  <c r="H2505" i="7"/>
  <c r="D2505" i="7"/>
  <c r="Q2504" i="7"/>
  <c r="M2504" i="7"/>
  <c r="G2504" i="7"/>
  <c r="C2504" i="7"/>
  <c r="K2503" i="7"/>
  <c r="F2503" i="7"/>
  <c r="B2503" i="7"/>
  <c r="J2502" i="7"/>
  <c r="E2502" i="7"/>
  <c r="A2502" i="7"/>
  <c r="N2501" i="7"/>
  <c r="J2501" i="7"/>
  <c r="E2501" i="7"/>
  <c r="A2501" i="7"/>
  <c r="N2500" i="7"/>
  <c r="J2500" i="7"/>
  <c r="E2500" i="7"/>
  <c r="A2500" i="7"/>
  <c r="N2499" i="7"/>
  <c r="J2499" i="7"/>
  <c r="E2499" i="7"/>
  <c r="A2499" i="7"/>
  <c r="N2498" i="7"/>
  <c r="H2498" i="7"/>
  <c r="D2498" i="7"/>
  <c r="Q2497" i="7"/>
  <c r="M2497" i="7"/>
  <c r="H2497" i="7"/>
  <c r="D2497" i="7"/>
  <c r="Q2496" i="7"/>
  <c r="M2496" i="7"/>
  <c r="H2496" i="7"/>
  <c r="D2496" i="7"/>
  <c r="Q2495" i="7"/>
  <c r="M2495" i="7"/>
  <c r="H2495" i="7"/>
  <c r="D2495" i="7"/>
  <c r="Q2494" i="7"/>
  <c r="M2494" i="7"/>
  <c r="G2494" i="7"/>
  <c r="C2494" i="7"/>
  <c r="L2493" i="7"/>
  <c r="G2493" i="7"/>
  <c r="C2493" i="7"/>
  <c r="K2492" i="7"/>
  <c r="F2492" i="7"/>
  <c r="B2492" i="7"/>
  <c r="K2491" i="7"/>
  <c r="F2491" i="7"/>
  <c r="B2491" i="7"/>
  <c r="K2490" i="7"/>
  <c r="F2490" i="7"/>
  <c r="B2490" i="7"/>
  <c r="K2489" i="7"/>
  <c r="F2489" i="7"/>
  <c r="B2489" i="7"/>
  <c r="K2488" i="7"/>
  <c r="F2488" i="7"/>
  <c r="B2488" i="7"/>
  <c r="K2487" i="7"/>
  <c r="F2487" i="7"/>
  <c r="B2487" i="7"/>
  <c r="K2486" i="7"/>
  <c r="F2486" i="7"/>
  <c r="B2486" i="7"/>
  <c r="K2485" i="7"/>
  <c r="F2485" i="7"/>
  <c r="B2485" i="7"/>
  <c r="K2484" i="7"/>
  <c r="F2484" i="7"/>
  <c r="B2484" i="7"/>
  <c r="K2483" i="7"/>
  <c r="F2483" i="7"/>
  <c r="B2483" i="7"/>
  <c r="K2482" i="7"/>
  <c r="F2482" i="7"/>
  <c r="B2482" i="7"/>
  <c r="K2481" i="7"/>
  <c r="F2481" i="7"/>
  <c r="B2481" i="7"/>
  <c r="K2480" i="7"/>
  <c r="F2480" i="7"/>
  <c r="B2480" i="7"/>
  <c r="K2479" i="7"/>
  <c r="F2479" i="7"/>
  <c r="B2479" i="7"/>
  <c r="K2478" i="7"/>
  <c r="F2478" i="7"/>
  <c r="B2478" i="7"/>
  <c r="K2477" i="7"/>
  <c r="F2477" i="7"/>
  <c r="B2477" i="7"/>
  <c r="K2476" i="7"/>
  <c r="F2476" i="7"/>
  <c r="B2476" i="7"/>
  <c r="K2475" i="7"/>
  <c r="F2475" i="7"/>
  <c r="B2475" i="7"/>
  <c r="K2474" i="7"/>
  <c r="F2474" i="7"/>
  <c r="B2474" i="7"/>
  <c r="K2473" i="7"/>
  <c r="F2473" i="7"/>
  <c r="B2473" i="7"/>
  <c r="K2472" i="7"/>
  <c r="F2472" i="7"/>
  <c r="B2472" i="7"/>
  <c r="K2471" i="7"/>
  <c r="F2471" i="7"/>
  <c r="B2471" i="7"/>
  <c r="K2470" i="7"/>
  <c r="F2470" i="7"/>
  <c r="B2470" i="7"/>
  <c r="K2469" i="7"/>
  <c r="F2469" i="7"/>
  <c r="B2469" i="7"/>
  <c r="H2468" i="7"/>
  <c r="D2468" i="7"/>
  <c r="Q2467" i="7"/>
  <c r="M2467" i="7"/>
  <c r="H2467" i="7"/>
  <c r="D2467" i="7"/>
  <c r="Q2466" i="7"/>
  <c r="M2466" i="7"/>
  <c r="H2466" i="7"/>
  <c r="D2466" i="7"/>
  <c r="Q2465" i="7"/>
  <c r="M2465" i="7"/>
  <c r="H2465" i="7"/>
  <c r="D2465" i="7"/>
  <c r="Q2464" i="7"/>
  <c r="M2464" i="7"/>
  <c r="G2464" i="7"/>
  <c r="C2464" i="7"/>
  <c r="K2463" i="7"/>
  <c r="F2463" i="7"/>
  <c r="B2463" i="7"/>
  <c r="J2462" i="7"/>
  <c r="E2462" i="7"/>
  <c r="A2462" i="7"/>
  <c r="N2461" i="7"/>
  <c r="H2461" i="7"/>
  <c r="D2461" i="7"/>
  <c r="Q2460" i="7"/>
  <c r="M2460" i="7"/>
  <c r="G2460" i="7"/>
  <c r="C2460" i="7"/>
  <c r="L2459" i="7"/>
  <c r="G2459" i="7"/>
  <c r="C2459" i="7"/>
  <c r="L2458" i="7"/>
  <c r="G2458" i="7"/>
  <c r="C2458" i="7"/>
  <c r="L2457" i="7"/>
  <c r="G2457" i="7"/>
  <c r="C2457" i="7"/>
  <c r="L2456" i="7"/>
  <c r="G2456" i="7"/>
  <c r="C2456" i="7"/>
  <c r="L2455" i="7"/>
  <c r="G2455" i="7"/>
  <c r="C2455" i="7"/>
  <c r="L2454" i="7"/>
  <c r="G2454" i="7"/>
  <c r="C2454" i="7"/>
  <c r="L2453" i="7"/>
  <c r="G2453" i="7"/>
  <c r="C2453" i="7"/>
  <c r="L2452" i="7"/>
  <c r="G2452" i="7"/>
  <c r="C2452" i="7"/>
  <c r="L2451" i="7"/>
  <c r="G2451" i="7"/>
  <c r="C2451" i="7"/>
  <c r="L2450" i="7"/>
  <c r="G2450" i="7"/>
  <c r="C2450" i="7"/>
  <c r="L2449" i="7"/>
  <c r="G2449" i="7"/>
  <c r="C2449" i="7"/>
  <c r="L2448" i="7"/>
  <c r="G2448" i="7"/>
  <c r="C2448" i="7"/>
  <c r="L2447" i="7"/>
  <c r="G2447" i="7"/>
  <c r="C2447" i="7"/>
  <c r="L2446" i="7"/>
  <c r="G2446" i="7"/>
  <c r="C2446" i="7"/>
  <c r="L2445" i="7"/>
  <c r="G2445" i="7"/>
  <c r="C2445" i="7"/>
  <c r="L2444" i="7"/>
  <c r="G2444" i="7"/>
  <c r="C2444" i="7"/>
  <c r="L2443" i="7"/>
  <c r="G2443" i="7"/>
  <c r="C2443" i="7"/>
  <c r="L2442" i="7"/>
  <c r="G2442" i="7"/>
  <c r="C2442" i="7"/>
  <c r="L2441" i="7"/>
  <c r="G2441" i="7"/>
  <c r="C2441" i="7"/>
  <c r="K2440" i="7"/>
  <c r="F2440" i="7"/>
  <c r="B2440" i="7"/>
  <c r="J2439" i="7"/>
  <c r="E2439" i="7"/>
  <c r="A2439" i="7"/>
  <c r="N2438" i="7"/>
  <c r="J2438" i="7"/>
  <c r="E2438" i="7"/>
  <c r="A2438" i="7"/>
  <c r="N2437" i="7"/>
  <c r="J2437" i="7"/>
  <c r="E2437" i="7"/>
  <c r="A2437" i="7"/>
  <c r="N2436" i="7"/>
  <c r="H2436" i="7"/>
  <c r="D2436" i="7"/>
  <c r="Q2435" i="7"/>
  <c r="M2435" i="7"/>
  <c r="H2435" i="7"/>
  <c r="D2435" i="7"/>
  <c r="Q2434" i="7"/>
  <c r="M2434" i="7"/>
  <c r="G2434" i="7"/>
  <c r="C2434" i="7"/>
  <c r="L2433" i="7"/>
  <c r="G2433" i="7"/>
  <c r="C2433" i="7"/>
  <c r="L2432" i="7"/>
  <c r="G2432" i="7"/>
  <c r="C2432" i="7"/>
  <c r="L2431" i="7"/>
  <c r="G2431" i="7"/>
  <c r="C2431" i="7"/>
  <c r="L2430" i="7"/>
  <c r="G2430" i="7"/>
  <c r="C2430" i="7"/>
  <c r="L2429" i="7"/>
  <c r="G2429" i="7"/>
  <c r="C2429" i="7"/>
  <c r="L2428" i="7"/>
  <c r="G2428" i="7"/>
  <c r="C2428" i="7"/>
  <c r="L2427" i="7"/>
  <c r="G2427" i="7"/>
  <c r="C2427" i="7"/>
  <c r="L2426" i="7"/>
  <c r="G2426" i="7"/>
  <c r="C2426" i="7"/>
  <c r="L2425" i="7"/>
  <c r="G2425" i="7"/>
  <c r="C2425" i="7"/>
  <c r="L2424" i="7"/>
  <c r="G2424" i="7"/>
  <c r="C2424" i="7"/>
  <c r="L2423" i="7"/>
  <c r="G2423" i="7"/>
  <c r="C2423" i="7"/>
  <c r="L2422" i="7"/>
  <c r="G2422" i="7"/>
  <c r="C2422" i="7"/>
  <c r="L2421" i="7"/>
  <c r="G2421" i="7"/>
  <c r="C2421" i="7"/>
  <c r="L2420" i="7"/>
  <c r="G2420" i="7"/>
  <c r="C2420" i="7"/>
  <c r="L2419" i="7"/>
  <c r="G2419" i="7"/>
  <c r="C2419" i="7"/>
  <c r="L2418" i="7"/>
  <c r="G2418" i="7"/>
  <c r="C2418" i="7"/>
  <c r="L2417" i="7"/>
  <c r="G2417" i="7"/>
  <c r="C2417" i="7"/>
  <c r="L2416" i="7"/>
  <c r="G2416" i="7"/>
  <c r="C2416" i="7"/>
  <c r="L2415" i="7"/>
  <c r="G2415" i="7"/>
  <c r="C2415" i="7"/>
  <c r="L2414" i="7"/>
  <c r="G2414" i="7"/>
  <c r="C2414" i="7"/>
  <c r="L2413" i="7"/>
  <c r="G2413" i="7"/>
  <c r="C2413" i="7"/>
  <c r="L2412" i="7"/>
  <c r="G2412" i="7"/>
  <c r="C2412" i="7"/>
  <c r="L2411" i="7"/>
  <c r="G2411" i="7"/>
  <c r="C2411" i="7"/>
  <c r="L2410" i="7"/>
  <c r="G2410" i="7"/>
  <c r="C2410" i="7"/>
  <c r="L2409" i="7"/>
  <c r="G2409" i="7"/>
  <c r="C2409" i="7"/>
  <c r="L2408" i="7"/>
  <c r="G2408" i="7"/>
  <c r="C2408" i="7"/>
  <c r="L2407" i="7"/>
  <c r="G2407" i="7"/>
  <c r="C2407" i="7"/>
  <c r="K2406" i="7"/>
  <c r="F2406" i="7"/>
  <c r="B2406" i="7"/>
  <c r="J2405" i="7"/>
  <c r="E2405" i="7"/>
  <c r="A2405" i="7"/>
  <c r="N2404" i="7"/>
  <c r="H2404" i="7"/>
  <c r="D2404" i="7"/>
  <c r="Q2403" i="7"/>
  <c r="M2403" i="7"/>
  <c r="H2403" i="7"/>
  <c r="D2403" i="7"/>
  <c r="Q2402" i="7"/>
  <c r="L2402" i="7"/>
  <c r="H2402" i="7"/>
  <c r="D2402" i="7"/>
  <c r="Q2401" i="7"/>
  <c r="L2401" i="7"/>
  <c r="H2401" i="7"/>
  <c r="D2401" i="7"/>
  <c r="Q2400" i="7"/>
  <c r="L2400" i="7"/>
  <c r="H2400" i="7"/>
  <c r="D2400" i="7"/>
  <c r="Q2399" i="7"/>
  <c r="L2399" i="7"/>
  <c r="H2399" i="7"/>
  <c r="D2399" i="7"/>
  <c r="Q2398" i="7"/>
  <c r="L2398" i="7"/>
  <c r="H2398" i="7"/>
  <c r="D2398" i="7"/>
  <c r="Q2397" i="7"/>
  <c r="L2397" i="7"/>
  <c r="H2397" i="7"/>
  <c r="D2397" i="7"/>
  <c r="Q2396" i="7"/>
  <c r="F2396" i="7"/>
  <c r="Q2395" i="7"/>
  <c r="M2395" i="7"/>
  <c r="I2395" i="7"/>
  <c r="E2395" i="7"/>
  <c r="A2395" i="7"/>
  <c r="N2394" i="7"/>
  <c r="J2394" i="7"/>
  <c r="E2394" i="7"/>
  <c r="A2394" i="7"/>
  <c r="K2393" i="7"/>
  <c r="A2393" i="7"/>
  <c r="N2392" i="7"/>
  <c r="J2392" i="7"/>
  <c r="E2392" i="7"/>
  <c r="A2392" i="7"/>
  <c r="K2391" i="7"/>
  <c r="A2391" i="7"/>
  <c r="N2390" i="7"/>
  <c r="J2390" i="7"/>
  <c r="E2390" i="7"/>
  <c r="A2390" i="7"/>
  <c r="M2389" i="7"/>
  <c r="I2389" i="7"/>
  <c r="E2389" i="7"/>
  <c r="A2389" i="7"/>
  <c r="N2388" i="7"/>
  <c r="J2388" i="7"/>
  <c r="F2388" i="7"/>
  <c r="B2388" i="7"/>
  <c r="J2387" i="7"/>
  <c r="F2387" i="7"/>
  <c r="B2387" i="7"/>
  <c r="K2386" i="7"/>
  <c r="F2386" i="7"/>
  <c r="B2386" i="7"/>
  <c r="K2385" i="7"/>
  <c r="G2385" i="7"/>
  <c r="C2385" i="7"/>
  <c r="L2384" i="7"/>
  <c r="H2384" i="7"/>
  <c r="D2384" i="7"/>
  <c r="Q2383" i="7"/>
  <c r="L2383" i="7"/>
  <c r="H2383" i="7"/>
  <c r="D2383" i="7"/>
  <c r="Q2382" i="7"/>
  <c r="M2382" i="7"/>
  <c r="H2382" i="7"/>
  <c r="D2382" i="7"/>
  <c r="Q2381" i="7"/>
  <c r="L2381" i="7"/>
  <c r="H2381" i="7"/>
  <c r="D2381" i="7"/>
  <c r="Q2380" i="7"/>
  <c r="M2380" i="7"/>
  <c r="I2380" i="7"/>
  <c r="E2380" i="7"/>
  <c r="A2380" i="7"/>
  <c r="N2379" i="7"/>
  <c r="J2379" i="7"/>
  <c r="E2379" i="7"/>
  <c r="A2379" i="7"/>
  <c r="N2378" i="7"/>
  <c r="J2378" i="7"/>
  <c r="E2378" i="7"/>
  <c r="A2378" i="7"/>
  <c r="M2377" i="7"/>
  <c r="I2377" i="7"/>
  <c r="E2377" i="7"/>
  <c r="A2377" i="7"/>
  <c r="N2376" i="7"/>
  <c r="J2376" i="7"/>
  <c r="E2376" i="7"/>
  <c r="A2376" i="7"/>
  <c r="M2375" i="7"/>
  <c r="I2375" i="7"/>
  <c r="E2375" i="7"/>
  <c r="A2375" i="7"/>
  <c r="M2374" i="7"/>
  <c r="I2374" i="7"/>
  <c r="E2374" i="7"/>
  <c r="A2374" i="7"/>
  <c r="M2373" i="7"/>
  <c r="I2373" i="7"/>
  <c r="E2373" i="7"/>
  <c r="A2373" i="7"/>
  <c r="M2372" i="7"/>
  <c r="I2372" i="7"/>
  <c r="E2372" i="7"/>
  <c r="A2372" i="7"/>
  <c r="N2371" i="7"/>
  <c r="J2371" i="7"/>
  <c r="E2371" i="7"/>
  <c r="A2371" i="7"/>
  <c r="M2370" i="7"/>
  <c r="I2370" i="7"/>
  <c r="E2370" i="7"/>
  <c r="A2370" i="7"/>
  <c r="E2369" i="7"/>
  <c r="L2368" i="7"/>
  <c r="G2368" i="7"/>
  <c r="C2368" i="7"/>
  <c r="L2367" i="7"/>
  <c r="G2367" i="7"/>
  <c r="C2367" i="7"/>
  <c r="K2366" i="7"/>
  <c r="G2366" i="7"/>
  <c r="C2366" i="7"/>
  <c r="B2794" i="7"/>
  <c r="F2793" i="7"/>
  <c r="H2792" i="7"/>
  <c r="K2791" i="7"/>
  <c r="B2789" i="7"/>
  <c r="D2788" i="7"/>
  <c r="H2787" i="7"/>
  <c r="M2786" i="7"/>
  <c r="Q2784" i="7"/>
  <c r="D2784" i="7"/>
  <c r="H2783" i="7"/>
  <c r="M2782" i="7"/>
  <c r="Q2780" i="7"/>
  <c r="C2780" i="7"/>
  <c r="C2779" i="7"/>
  <c r="C2778" i="7"/>
  <c r="B2777" i="7"/>
  <c r="E2776" i="7"/>
  <c r="H2775" i="7"/>
  <c r="M2774" i="7"/>
  <c r="L2773" i="7"/>
  <c r="K2772" i="7"/>
  <c r="A2770" i="7"/>
  <c r="D2769" i="7"/>
  <c r="G2768" i="7"/>
  <c r="F2767" i="7"/>
  <c r="K2766" i="7"/>
  <c r="A2764" i="7"/>
  <c r="D2763" i="7"/>
  <c r="G2762" i="7"/>
  <c r="F2761" i="7"/>
  <c r="J2760" i="7"/>
  <c r="N2759" i="7"/>
  <c r="B2755" i="7"/>
  <c r="F2754" i="7"/>
  <c r="K2753" i="7"/>
  <c r="B2751" i="7"/>
  <c r="F2750" i="7"/>
  <c r="K2749" i="7"/>
  <c r="A2747" i="7"/>
  <c r="E2746" i="7"/>
  <c r="H2745" i="7"/>
  <c r="M2744" i="7"/>
  <c r="L2743" i="7"/>
  <c r="L2742" i="7"/>
  <c r="L2741" i="7"/>
  <c r="L2740" i="7"/>
  <c r="L2739" i="7"/>
  <c r="L2738" i="7"/>
  <c r="K2737" i="7"/>
  <c r="B2735" i="7"/>
  <c r="F2734" i="7"/>
  <c r="K2733" i="7"/>
  <c r="B2731" i="7"/>
  <c r="E2730" i="7"/>
  <c r="J2729" i="7"/>
  <c r="N2728" i="7"/>
  <c r="A2727" i="7"/>
  <c r="E2726" i="7"/>
  <c r="H2725" i="7"/>
  <c r="M2724" i="7"/>
  <c r="L2723" i="7"/>
  <c r="L2722" i="7"/>
  <c r="L2721" i="7"/>
  <c r="L2720" i="7"/>
  <c r="M2719" i="7"/>
  <c r="M2718" i="7"/>
  <c r="N2717" i="7"/>
  <c r="B2715" i="7"/>
  <c r="B2714" i="7"/>
  <c r="Q2706" i="7"/>
  <c r="I2706" i="7"/>
  <c r="A2706" i="7"/>
  <c r="J2705" i="7"/>
  <c r="B2705" i="7"/>
  <c r="J2704" i="7"/>
  <c r="B2704" i="7"/>
  <c r="L2703" i="7"/>
  <c r="Q2669" i="7"/>
  <c r="D2669" i="7"/>
  <c r="D2668" i="7"/>
  <c r="Q2665" i="7"/>
  <c r="D2665" i="7"/>
  <c r="Q2663" i="7"/>
  <c r="D2663" i="7"/>
  <c r="Q2661" i="7"/>
  <c r="D2661" i="7"/>
  <c r="Q2659" i="7"/>
  <c r="D2659" i="7"/>
  <c r="Q2657" i="7"/>
  <c r="D2657" i="7"/>
  <c r="Q2655" i="7"/>
  <c r="D2655" i="7"/>
  <c r="Q2653" i="7"/>
  <c r="D2653" i="7"/>
  <c r="Q2651" i="7"/>
  <c r="D2651" i="7"/>
  <c r="Q2649" i="7"/>
  <c r="D2649" i="7"/>
  <c r="Q2647" i="7"/>
  <c r="D2647" i="7"/>
  <c r="Q2645" i="7"/>
  <c r="D2645" i="7"/>
  <c r="Q2643" i="7"/>
  <c r="D2643" i="7"/>
  <c r="Q2641" i="7"/>
  <c r="D2641" i="7"/>
  <c r="Q2639" i="7"/>
  <c r="D2639" i="7"/>
  <c r="Q2637" i="7"/>
  <c r="D2637" i="7"/>
  <c r="Q2635" i="7"/>
  <c r="D2635" i="7"/>
  <c r="Q2633" i="7"/>
  <c r="D2633" i="7"/>
  <c r="Q2631" i="7"/>
  <c r="D2631" i="7"/>
  <c r="Q2629" i="7"/>
  <c r="D2629" i="7"/>
  <c r="Q2627" i="7"/>
  <c r="D2627" i="7"/>
  <c r="Q2625" i="7"/>
  <c r="D2625" i="7"/>
  <c r="Q2623" i="7"/>
  <c r="D2623" i="7"/>
  <c r="Q2621" i="7"/>
  <c r="D2621" i="7"/>
  <c r="Q2619" i="7"/>
  <c r="D2619" i="7"/>
  <c r="Q2617" i="7"/>
  <c r="D2617" i="7"/>
  <c r="Q2615" i="7"/>
  <c r="D2615" i="7"/>
  <c r="Q2613" i="7"/>
  <c r="D2613" i="7"/>
  <c r="Q2611" i="7"/>
  <c r="D2611" i="7"/>
  <c r="Q2609" i="7"/>
  <c r="D2609" i="7"/>
  <c r="Q2607" i="7"/>
  <c r="D2607" i="7"/>
  <c r="Q2605" i="7"/>
  <c r="D2605" i="7"/>
  <c r="Q2603" i="7"/>
  <c r="D2603" i="7"/>
  <c r="Q2601" i="7"/>
  <c r="D2601" i="7"/>
  <c r="Q2599" i="7"/>
  <c r="D2599" i="7"/>
  <c r="Q2597" i="7"/>
  <c r="D2597" i="7"/>
  <c r="Q2595" i="7"/>
  <c r="D2595" i="7"/>
  <c r="Q2593" i="7"/>
  <c r="D2593" i="7"/>
  <c r="Q2591" i="7"/>
  <c r="L2591" i="7"/>
  <c r="H2591" i="7"/>
  <c r="D2591" i="7"/>
  <c r="Q2590" i="7"/>
  <c r="M2590" i="7"/>
  <c r="H2590" i="7"/>
  <c r="D2590" i="7"/>
  <c r="Q2589" i="7"/>
  <c r="M2589" i="7"/>
  <c r="I2589" i="7"/>
  <c r="E2589" i="7"/>
  <c r="A2589" i="7"/>
  <c r="M2588" i="7"/>
  <c r="I2588" i="7"/>
  <c r="E2588" i="7"/>
  <c r="A2588" i="7"/>
  <c r="M2587" i="7"/>
  <c r="I2587" i="7"/>
  <c r="E2587" i="7"/>
  <c r="A2587" i="7"/>
  <c r="M2586" i="7"/>
  <c r="I2586" i="7"/>
  <c r="E2586" i="7"/>
  <c r="A2586" i="7"/>
  <c r="M2585" i="7"/>
  <c r="I2585" i="7"/>
  <c r="E2585" i="7"/>
  <c r="A2585" i="7"/>
  <c r="M2584" i="7"/>
  <c r="I2584" i="7"/>
  <c r="E2584" i="7"/>
  <c r="A2584" i="7"/>
  <c r="N2583" i="7"/>
  <c r="J2583" i="7"/>
  <c r="F2583" i="7"/>
  <c r="B2583" i="7"/>
  <c r="J2582" i="7"/>
  <c r="F2582" i="7"/>
  <c r="B2582" i="7"/>
  <c r="H2581" i="7"/>
  <c r="D2581" i="7"/>
  <c r="E2580" i="7"/>
  <c r="K2579" i="7"/>
  <c r="G2579" i="7"/>
  <c r="C2579" i="7"/>
  <c r="L2578" i="7"/>
  <c r="H2578" i="7"/>
  <c r="D2578" i="7"/>
  <c r="Q2577" i="7"/>
  <c r="M2577" i="7"/>
  <c r="H2577" i="7"/>
  <c r="D2577" i="7"/>
  <c r="Q2576" i="7"/>
  <c r="M2576" i="7"/>
  <c r="H2576" i="7"/>
  <c r="D2576" i="7"/>
  <c r="Q2575" i="7"/>
  <c r="L2575" i="7"/>
  <c r="H2575" i="7"/>
  <c r="D2575" i="7"/>
  <c r="Q2574" i="7"/>
  <c r="M2574" i="7"/>
  <c r="H2574" i="7"/>
  <c r="D2574" i="7"/>
  <c r="Q2573" i="7"/>
  <c r="L2573" i="7"/>
  <c r="H2573" i="7"/>
  <c r="D2573" i="7"/>
  <c r="Q2572" i="7"/>
  <c r="M2572" i="7"/>
  <c r="H2572" i="7"/>
  <c r="D2572" i="7"/>
  <c r="Q2571" i="7"/>
  <c r="M2571" i="7"/>
  <c r="H2571" i="7"/>
  <c r="D2571" i="7"/>
  <c r="Q2570" i="7"/>
  <c r="M2570" i="7"/>
  <c r="H2570" i="7"/>
  <c r="D2570" i="7"/>
  <c r="Q2569" i="7"/>
  <c r="L2569" i="7"/>
  <c r="H2569" i="7"/>
  <c r="D2569" i="7"/>
  <c r="Q2568" i="7"/>
  <c r="M2568" i="7"/>
  <c r="I2568" i="7"/>
  <c r="E2568" i="7"/>
  <c r="A2568" i="7"/>
  <c r="N2567" i="7"/>
  <c r="J2567" i="7"/>
  <c r="E2567" i="7"/>
  <c r="A2567" i="7"/>
  <c r="M2566" i="7"/>
  <c r="I2566" i="7"/>
  <c r="E2566" i="7"/>
  <c r="A2566" i="7"/>
  <c r="M2565" i="7"/>
  <c r="I2565" i="7"/>
  <c r="E2565" i="7"/>
  <c r="A2565" i="7"/>
  <c r="M2564" i="7"/>
  <c r="I2564" i="7"/>
  <c r="E2564" i="7"/>
  <c r="A2564" i="7"/>
  <c r="M2563" i="7"/>
  <c r="I2563" i="7"/>
  <c r="E2563" i="7"/>
  <c r="A2563" i="7"/>
  <c r="M2562" i="7"/>
  <c r="I2562" i="7"/>
  <c r="E2562" i="7"/>
  <c r="A2562" i="7"/>
  <c r="M2561" i="7"/>
  <c r="I2561" i="7"/>
  <c r="E2561" i="7"/>
  <c r="A2561" i="7"/>
  <c r="M2560" i="7"/>
  <c r="I2560" i="7"/>
  <c r="E2560" i="7"/>
  <c r="A2560" i="7"/>
  <c r="M2559" i="7"/>
  <c r="I2559" i="7"/>
  <c r="E2559" i="7"/>
  <c r="A2559" i="7"/>
  <c r="M2558" i="7"/>
  <c r="I2558" i="7"/>
  <c r="E2558" i="7"/>
  <c r="A2558" i="7"/>
  <c r="N2557" i="7"/>
  <c r="J2557" i="7"/>
  <c r="F2557" i="7"/>
  <c r="B2557" i="7"/>
  <c r="K2556" i="7"/>
  <c r="G2556" i="7"/>
  <c r="C2556" i="7"/>
  <c r="L2555" i="7"/>
  <c r="H2555" i="7"/>
  <c r="D2555" i="7"/>
  <c r="Q2554" i="7"/>
  <c r="M2554" i="7"/>
  <c r="I2554" i="7"/>
  <c r="E2554" i="7"/>
  <c r="A2554" i="7"/>
  <c r="M2553" i="7"/>
  <c r="I2553" i="7"/>
  <c r="E2553" i="7"/>
  <c r="A2553" i="7"/>
  <c r="M2552" i="7"/>
  <c r="I2552" i="7"/>
  <c r="E2552" i="7"/>
  <c r="A2552" i="7"/>
  <c r="M2551" i="7"/>
  <c r="I2551" i="7"/>
  <c r="E2551" i="7"/>
  <c r="A2551" i="7"/>
  <c r="M2550" i="7"/>
  <c r="I2550" i="7"/>
  <c r="E2550" i="7"/>
  <c r="A2550" i="7"/>
  <c r="M2549" i="7"/>
  <c r="I2549" i="7"/>
  <c r="E2549" i="7"/>
  <c r="A2549" i="7"/>
  <c r="N2548" i="7"/>
  <c r="J2548" i="7"/>
  <c r="E2548" i="7"/>
  <c r="A2548" i="7"/>
  <c r="M2547" i="7"/>
  <c r="I2547" i="7"/>
  <c r="E2547" i="7"/>
  <c r="A2547" i="7"/>
  <c r="K2546" i="7"/>
  <c r="A2546" i="7"/>
  <c r="M2545" i="7"/>
  <c r="I2545" i="7"/>
  <c r="E2545" i="7"/>
  <c r="A2545" i="7"/>
  <c r="M2544" i="7"/>
  <c r="I2544" i="7"/>
  <c r="E2544" i="7"/>
  <c r="A2544" i="7"/>
  <c r="M2543" i="7"/>
  <c r="I2543" i="7"/>
  <c r="E2543" i="7"/>
  <c r="A2543" i="7"/>
  <c r="M2542" i="7"/>
  <c r="I2542" i="7"/>
  <c r="E2542" i="7"/>
  <c r="A2542" i="7"/>
  <c r="M2541" i="7"/>
  <c r="I2541" i="7"/>
  <c r="E2541" i="7"/>
  <c r="A2541" i="7"/>
  <c r="M2540" i="7"/>
  <c r="I2540" i="7"/>
  <c r="E2540" i="7"/>
  <c r="A2540" i="7"/>
  <c r="M2539" i="7"/>
  <c r="I2539" i="7"/>
  <c r="E2539" i="7"/>
  <c r="A2539" i="7"/>
  <c r="F2538" i="7"/>
  <c r="E2537" i="7"/>
  <c r="K2536" i="7"/>
  <c r="G2536" i="7"/>
  <c r="C2536" i="7"/>
  <c r="K2535" i="7"/>
  <c r="G2535" i="7"/>
  <c r="C2535" i="7"/>
  <c r="K2534" i="7"/>
  <c r="G2534" i="7"/>
  <c r="C2534" i="7"/>
  <c r="L2533" i="7"/>
  <c r="G2533" i="7"/>
  <c r="C2533" i="7"/>
  <c r="L2532" i="7"/>
  <c r="G2532" i="7"/>
  <c r="C2532" i="7"/>
  <c r="K2531" i="7"/>
  <c r="F2531" i="7"/>
  <c r="B2531" i="7"/>
  <c r="K2530" i="7"/>
  <c r="F2530" i="7"/>
  <c r="B2530" i="7"/>
  <c r="K2529" i="7"/>
  <c r="F2529" i="7"/>
  <c r="B2529" i="7"/>
  <c r="K2528" i="7"/>
  <c r="F2528" i="7"/>
  <c r="B2528" i="7"/>
  <c r="K2527" i="7"/>
  <c r="F2527" i="7"/>
  <c r="B2527" i="7"/>
  <c r="K2526" i="7"/>
  <c r="F2526" i="7"/>
  <c r="B2526" i="7"/>
  <c r="K2525" i="7"/>
  <c r="F2525" i="7"/>
  <c r="B2525" i="7"/>
  <c r="J2524" i="7"/>
  <c r="F2524" i="7"/>
  <c r="B2524" i="7"/>
  <c r="J2523" i="7"/>
  <c r="F2523" i="7"/>
  <c r="B2523" i="7"/>
  <c r="J2522" i="7"/>
  <c r="F2522" i="7"/>
  <c r="B2522" i="7"/>
  <c r="J2521" i="7"/>
  <c r="F2521" i="7"/>
  <c r="B2521" i="7"/>
  <c r="J2520" i="7"/>
  <c r="F2520" i="7"/>
  <c r="B2520" i="7"/>
  <c r="J2519" i="7"/>
  <c r="F2519" i="7"/>
  <c r="B2519" i="7"/>
  <c r="J2518" i="7"/>
  <c r="F2518" i="7"/>
  <c r="B2518" i="7"/>
  <c r="J2517" i="7"/>
  <c r="F2517" i="7"/>
  <c r="B2517" i="7"/>
  <c r="K2516" i="7"/>
  <c r="F2516" i="7"/>
  <c r="B2516" i="7"/>
  <c r="E2515" i="7"/>
  <c r="L2514" i="7"/>
  <c r="G2514" i="7"/>
  <c r="C2514" i="7"/>
  <c r="L2513" i="7"/>
  <c r="G2513" i="7"/>
  <c r="C2513" i="7"/>
  <c r="L2512" i="7"/>
  <c r="G2512" i="7"/>
  <c r="C2512" i="7"/>
  <c r="L2511" i="7"/>
  <c r="G2511" i="7"/>
  <c r="C2511" i="7"/>
  <c r="L2510" i="7"/>
  <c r="G2510" i="7"/>
  <c r="C2510" i="7"/>
  <c r="L2509" i="7"/>
  <c r="G2509" i="7"/>
  <c r="C2509" i="7"/>
  <c r="L2508" i="7"/>
  <c r="G2508" i="7"/>
  <c r="C2508" i="7"/>
  <c r="L2507" i="7"/>
  <c r="G2507" i="7"/>
  <c r="C2507" i="7"/>
  <c r="L2506" i="7"/>
  <c r="G2506" i="7"/>
  <c r="C2506" i="7"/>
  <c r="L2505" i="7"/>
  <c r="G2505" i="7"/>
  <c r="C2505" i="7"/>
  <c r="K2504" i="7"/>
  <c r="F2504" i="7"/>
  <c r="B2504" i="7"/>
  <c r="J2503" i="7"/>
  <c r="E2503" i="7"/>
  <c r="A2503" i="7"/>
  <c r="N2502" i="7"/>
  <c r="H2502" i="7"/>
  <c r="D2502" i="7"/>
  <c r="Q2501" i="7"/>
  <c r="M2501" i="7"/>
  <c r="H2501" i="7"/>
  <c r="D2501" i="7"/>
  <c r="Q2500" i="7"/>
  <c r="M2500" i="7"/>
  <c r="H2500" i="7"/>
  <c r="D2500" i="7"/>
  <c r="Q2499" i="7"/>
  <c r="M2499" i="7"/>
  <c r="H2499" i="7"/>
  <c r="D2499" i="7"/>
  <c r="Q2498" i="7"/>
  <c r="M2498" i="7"/>
  <c r="G2498" i="7"/>
  <c r="C2498" i="7"/>
  <c r="L2497" i="7"/>
  <c r="G2497" i="7"/>
  <c r="C2497" i="7"/>
  <c r="L2496" i="7"/>
  <c r="G2496" i="7"/>
  <c r="C2496" i="7"/>
  <c r="L2495" i="7"/>
  <c r="G2495" i="7"/>
  <c r="C2495" i="7"/>
  <c r="K2494" i="7"/>
  <c r="F2494" i="7"/>
  <c r="B2494" i="7"/>
  <c r="K2493" i="7"/>
  <c r="F2493" i="7"/>
  <c r="B2493" i="7"/>
  <c r="J2492" i="7"/>
  <c r="E2492" i="7"/>
  <c r="A2492" i="7"/>
  <c r="N2491" i="7"/>
  <c r="J2491" i="7"/>
  <c r="E2491" i="7"/>
  <c r="A2491" i="7"/>
  <c r="N2490" i="7"/>
  <c r="J2490" i="7"/>
  <c r="E2490" i="7"/>
  <c r="A2490" i="7"/>
  <c r="N2489" i="7"/>
  <c r="J2489" i="7"/>
  <c r="E2489" i="7"/>
  <c r="A2489" i="7"/>
  <c r="N2488" i="7"/>
  <c r="J2488" i="7"/>
  <c r="E2488" i="7"/>
  <c r="A2488" i="7"/>
  <c r="N2487" i="7"/>
  <c r="J2487" i="7"/>
  <c r="E2487" i="7"/>
  <c r="A2487" i="7"/>
  <c r="N2486" i="7"/>
  <c r="J2486" i="7"/>
  <c r="E2486" i="7"/>
  <c r="A2486" i="7"/>
  <c r="N2485" i="7"/>
  <c r="J2485" i="7"/>
  <c r="E2485" i="7"/>
  <c r="A2485" i="7"/>
  <c r="N2484" i="7"/>
  <c r="J2484" i="7"/>
  <c r="E2484" i="7"/>
  <c r="A2484" i="7"/>
  <c r="N2483" i="7"/>
  <c r="J2483" i="7"/>
  <c r="E2483" i="7"/>
  <c r="A2483" i="7"/>
  <c r="N2482" i="7"/>
  <c r="J2482" i="7"/>
  <c r="E2482" i="7"/>
  <c r="A2482" i="7"/>
  <c r="N2481" i="7"/>
  <c r="J2481" i="7"/>
  <c r="E2481" i="7"/>
  <c r="A2481" i="7"/>
  <c r="N2480" i="7"/>
  <c r="J2480" i="7"/>
  <c r="E2480" i="7"/>
  <c r="A2480" i="7"/>
  <c r="N2479" i="7"/>
  <c r="J2479" i="7"/>
  <c r="E2479" i="7"/>
  <c r="A2479" i="7"/>
  <c r="N2478" i="7"/>
  <c r="J2478" i="7"/>
  <c r="E2478" i="7"/>
  <c r="A2478" i="7"/>
  <c r="N2477" i="7"/>
  <c r="J2477" i="7"/>
  <c r="E2477" i="7"/>
  <c r="A2477" i="7"/>
  <c r="N2476" i="7"/>
  <c r="J2476" i="7"/>
  <c r="E2476" i="7"/>
  <c r="A2476" i="7"/>
  <c r="N2475" i="7"/>
  <c r="J2475" i="7"/>
  <c r="E2475" i="7"/>
  <c r="A2475" i="7"/>
  <c r="N2474" i="7"/>
  <c r="J2474" i="7"/>
  <c r="E2474" i="7"/>
  <c r="A2474" i="7"/>
  <c r="N2473" i="7"/>
  <c r="J2473" i="7"/>
  <c r="E2473" i="7"/>
  <c r="A2473" i="7"/>
  <c r="N2472" i="7"/>
  <c r="J2472" i="7"/>
  <c r="E2472" i="7"/>
  <c r="A2472" i="7"/>
  <c r="N2471" i="7"/>
  <c r="J2471" i="7"/>
  <c r="E2471" i="7"/>
  <c r="A2471" i="7"/>
  <c r="N2470" i="7"/>
  <c r="J2470" i="7"/>
  <c r="E2470" i="7"/>
  <c r="A2470" i="7"/>
  <c r="N2469" i="7"/>
  <c r="J2469" i="7"/>
  <c r="E2469" i="7"/>
  <c r="A2469" i="7"/>
  <c r="N2468" i="7"/>
  <c r="G2468" i="7"/>
  <c r="C2468" i="7"/>
  <c r="L2467" i="7"/>
  <c r="G2467" i="7"/>
  <c r="C2467" i="7"/>
  <c r="L2466" i="7"/>
  <c r="G2466" i="7"/>
  <c r="C2466" i="7"/>
  <c r="L2465" i="7"/>
  <c r="G2465" i="7"/>
  <c r="C2465" i="7"/>
  <c r="K2464" i="7"/>
  <c r="F2464" i="7"/>
  <c r="B2464" i="7"/>
  <c r="J2463" i="7"/>
  <c r="E2463" i="7"/>
  <c r="A2463" i="7"/>
  <c r="N2462" i="7"/>
  <c r="H2462" i="7"/>
  <c r="D2462" i="7"/>
  <c r="Q2461" i="7"/>
  <c r="M2461" i="7"/>
  <c r="G2461" i="7"/>
  <c r="C2461" i="7"/>
  <c r="K2460" i="7"/>
  <c r="F2460" i="7"/>
  <c r="B2460" i="7"/>
  <c r="K2459" i="7"/>
  <c r="F2459" i="7"/>
  <c r="B2459" i="7"/>
  <c r="K2458" i="7"/>
  <c r="F2458" i="7"/>
  <c r="B2458" i="7"/>
  <c r="K2457" i="7"/>
  <c r="F2457" i="7"/>
  <c r="B2457" i="7"/>
  <c r="K2456" i="7"/>
  <c r="F2456" i="7"/>
  <c r="B2456" i="7"/>
  <c r="K2455" i="7"/>
  <c r="F2455" i="7"/>
  <c r="B2455" i="7"/>
  <c r="K2454" i="7"/>
  <c r="F2454" i="7"/>
  <c r="B2454" i="7"/>
  <c r="K2453" i="7"/>
  <c r="F2453" i="7"/>
  <c r="B2453" i="7"/>
  <c r="K2452" i="7"/>
  <c r="F2452" i="7"/>
  <c r="B2452" i="7"/>
  <c r="K2451" i="7"/>
  <c r="F2451" i="7"/>
  <c r="B2451" i="7"/>
  <c r="K2450" i="7"/>
  <c r="F2450" i="7"/>
  <c r="B2450" i="7"/>
  <c r="K2449" i="7"/>
  <c r="F2449" i="7"/>
  <c r="B2449" i="7"/>
  <c r="K2448" i="7"/>
  <c r="F2448" i="7"/>
  <c r="B2448" i="7"/>
  <c r="K2447" i="7"/>
  <c r="F2447" i="7"/>
  <c r="B2447" i="7"/>
  <c r="K2446" i="7"/>
  <c r="F2446" i="7"/>
  <c r="B2446" i="7"/>
  <c r="K2445" i="7"/>
  <c r="F2445" i="7"/>
  <c r="B2445" i="7"/>
  <c r="K2444" i="7"/>
  <c r="F2444" i="7"/>
  <c r="B2444" i="7"/>
  <c r="K2443" i="7"/>
  <c r="F2443" i="7"/>
  <c r="B2443" i="7"/>
  <c r="K2442" i="7"/>
  <c r="F2442" i="7"/>
  <c r="B2442" i="7"/>
  <c r="K2441" i="7"/>
  <c r="F2441" i="7"/>
  <c r="B2441" i="7"/>
  <c r="J2440" i="7"/>
  <c r="E2440" i="7"/>
  <c r="A2440" i="7"/>
  <c r="N2439" i="7"/>
  <c r="H2439" i="7"/>
  <c r="D2439" i="7"/>
  <c r="Q2438" i="7"/>
  <c r="M2438" i="7"/>
  <c r="H2438" i="7"/>
  <c r="D2438" i="7"/>
  <c r="Q2437" i="7"/>
  <c r="M2437" i="7"/>
  <c r="H2437" i="7"/>
  <c r="D2437" i="7"/>
  <c r="Q2436" i="7"/>
  <c r="M2436" i="7"/>
  <c r="G2436" i="7"/>
  <c r="C2436" i="7"/>
  <c r="L2435" i="7"/>
  <c r="G2435" i="7"/>
  <c r="C2435" i="7"/>
  <c r="K2434" i="7"/>
  <c r="F2434" i="7"/>
  <c r="B2434" i="7"/>
  <c r="K2433" i="7"/>
  <c r="F2433" i="7"/>
  <c r="B2433" i="7"/>
  <c r="K2432" i="7"/>
  <c r="F2432" i="7"/>
  <c r="B2432" i="7"/>
  <c r="K2431" i="7"/>
  <c r="F2431" i="7"/>
  <c r="B2431" i="7"/>
  <c r="K2430" i="7"/>
  <c r="F2430" i="7"/>
  <c r="B2430" i="7"/>
  <c r="K2429" i="7"/>
  <c r="F2429" i="7"/>
  <c r="B2429" i="7"/>
  <c r="K2428" i="7"/>
  <c r="F2428" i="7"/>
  <c r="B2428" i="7"/>
  <c r="K2427" i="7"/>
  <c r="F2427" i="7"/>
  <c r="B2427" i="7"/>
  <c r="K2426" i="7"/>
  <c r="F2426" i="7"/>
  <c r="B2426" i="7"/>
  <c r="K2425" i="7"/>
  <c r="F2425" i="7"/>
  <c r="B2425" i="7"/>
  <c r="K2424" i="7"/>
  <c r="F2424" i="7"/>
  <c r="B2424" i="7"/>
  <c r="K2423" i="7"/>
  <c r="F2423" i="7"/>
  <c r="B2423" i="7"/>
  <c r="K2422" i="7"/>
  <c r="F2422" i="7"/>
  <c r="B2422" i="7"/>
  <c r="K2421" i="7"/>
  <c r="F2421" i="7"/>
  <c r="B2421" i="7"/>
  <c r="K2420" i="7"/>
  <c r="F2420" i="7"/>
  <c r="B2420" i="7"/>
  <c r="K2419" i="7"/>
  <c r="F2419" i="7"/>
  <c r="B2419" i="7"/>
  <c r="K2418" i="7"/>
  <c r="F2418" i="7"/>
  <c r="B2418" i="7"/>
  <c r="K2417" i="7"/>
  <c r="F2417" i="7"/>
  <c r="B2417" i="7"/>
  <c r="K2416" i="7"/>
  <c r="F2416" i="7"/>
  <c r="B2416" i="7"/>
  <c r="K2415" i="7"/>
  <c r="F2415" i="7"/>
  <c r="B2415" i="7"/>
  <c r="K2414" i="7"/>
  <c r="F2414" i="7"/>
  <c r="B2414" i="7"/>
  <c r="K2413" i="7"/>
  <c r="F2413" i="7"/>
  <c r="B2413" i="7"/>
  <c r="K2412" i="7"/>
  <c r="F2412" i="7"/>
  <c r="B2412" i="7"/>
  <c r="K2411" i="7"/>
  <c r="F2411" i="7"/>
  <c r="B2411" i="7"/>
  <c r="K2410" i="7"/>
  <c r="F2410" i="7"/>
  <c r="B2410" i="7"/>
  <c r="K2409" i="7"/>
  <c r="F2409" i="7"/>
  <c r="B2409" i="7"/>
  <c r="K2408" i="7"/>
  <c r="F2408" i="7"/>
  <c r="B2408" i="7"/>
  <c r="K2407" i="7"/>
  <c r="F2407" i="7"/>
  <c r="B2407" i="7"/>
  <c r="J2406" i="7"/>
  <c r="E2406" i="7"/>
  <c r="A2406" i="7"/>
  <c r="N2405" i="7"/>
  <c r="H2405" i="7"/>
  <c r="D2405" i="7"/>
  <c r="Q2404" i="7"/>
  <c r="M2404" i="7"/>
  <c r="G2404" i="7"/>
  <c r="C2404" i="7"/>
  <c r="L2403" i="7"/>
  <c r="G2403" i="7"/>
  <c r="C2403" i="7"/>
  <c r="K2402" i="7"/>
  <c r="G2402" i="7"/>
  <c r="C2402" i="7"/>
  <c r="K2401" i="7"/>
  <c r="G2401" i="7"/>
  <c r="C2401" i="7"/>
  <c r="K2400" i="7"/>
  <c r="G2400" i="7"/>
  <c r="C2400" i="7"/>
  <c r="K2399" i="7"/>
  <c r="G2399" i="7"/>
  <c r="C2399" i="7"/>
  <c r="K2398" i="7"/>
  <c r="G2398" i="7"/>
  <c r="C2398" i="7"/>
  <c r="K2397" i="7"/>
  <c r="G2397" i="7"/>
  <c r="C2397" i="7"/>
  <c r="E2396" i="7"/>
  <c r="L2395" i="7"/>
  <c r="H2395" i="7"/>
  <c r="D2395" i="7"/>
  <c r="Q2394" i="7"/>
  <c r="M2394" i="7"/>
  <c r="H2394" i="7"/>
  <c r="D2394" i="7"/>
  <c r="Q2393" i="7"/>
  <c r="F2393" i="7"/>
  <c r="Q2392" i="7"/>
  <c r="M2392" i="7"/>
  <c r="H2392" i="7"/>
  <c r="D2392" i="7"/>
  <c r="Q2391" i="7"/>
  <c r="F2391" i="7"/>
  <c r="Q2390" i="7"/>
  <c r="M2390" i="7"/>
  <c r="H2390" i="7"/>
  <c r="D2390" i="7"/>
  <c r="Q2389" i="7"/>
  <c r="L2389" i="7"/>
  <c r="H2389" i="7"/>
  <c r="D2389" i="7"/>
  <c r="Q2388" i="7"/>
  <c r="M2388" i="7"/>
  <c r="I2388" i="7"/>
  <c r="E2388" i="7"/>
  <c r="A2388" i="7"/>
  <c r="M2387" i="7"/>
  <c r="I2387" i="7"/>
  <c r="E2387" i="7"/>
  <c r="A2387" i="7"/>
  <c r="N2386" i="7"/>
  <c r="J2386" i="7"/>
  <c r="E2386" i="7"/>
  <c r="A2386" i="7"/>
  <c r="N2385" i="7"/>
  <c r="J2385" i="7"/>
  <c r="F2385" i="7"/>
  <c r="B2385" i="7"/>
  <c r="K2384" i="7"/>
  <c r="G2384" i="7"/>
  <c r="C2384" i="7"/>
  <c r="K2383" i="7"/>
  <c r="G2383" i="7"/>
  <c r="C2383" i="7"/>
  <c r="L2382" i="7"/>
  <c r="G2382" i="7"/>
  <c r="C2382" i="7"/>
  <c r="K2381" i="7"/>
  <c r="G2381" i="7"/>
  <c r="C2381" i="7"/>
  <c r="L2380" i="7"/>
  <c r="H2380" i="7"/>
  <c r="D2380" i="7"/>
  <c r="Q2379" i="7"/>
  <c r="M2379" i="7"/>
  <c r="H2379" i="7"/>
  <c r="D2379" i="7"/>
  <c r="Q2378" i="7"/>
  <c r="M2378" i="7"/>
  <c r="H2378" i="7"/>
  <c r="D2378" i="7"/>
  <c r="Q2377" i="7"/>
  <c r="L2377" i="7"/>
  <c r="H2377" i="7"/>
  <c r="D2377" i="7"/>
  <c r="Q2376" i="7"/>
  <c r="M2376" i="7"/>
  <c r="H2376" i="7"/>
  <c r="D2376" i="7"/>
  <c r="Q2375" i="7"/>
  <c r="L2375" i="7"/>
  <c r="H2375" i="7"/>
  <c r="D2375" i="7"/>
  <c r="Q2374" i="7"/>
  <c r="L2374" i="7"/>
  <c r="H2374" i="7"/>
  <c r="D2374" i="7"/>
  <c r="Q2373" i="7"/>
  <c r="L2373" i="7"/>
  <c r="H2373" i="7"/>
  <c r="D2373" i="7"/>
  <c r="Q2372" i="7"/>
  <c r="L2372" i="7"/>
  <c r="H2372" i="7"/>
  <c r="D2372" i="7"/>
  <c r="Q2371" i="7"/>
  <c r="M2371" i="7"/>
  <c r="H2371" i="7"/>
  <c r="D2371" i="7"/>
  <c r="Q2370" i="7"/>
  <c r="L2370" i="7"/>
  <c r="H2370" i="7"/>
  <c r="D2370" i="7"/>
  <c r="D2369" i="7"/>
  <c r="K2368" i="7"/>
  <c r="F2368" i="7"/>
  <c r="B2368" i="7"/>
  <c r="K2367" i="7"/>
  <c r="F2367" i="7"/>
  <c r="B2367" i="7"/>
  <c r="J2366" i="7"/>
  <c r="F2366" i="7"/>
  <c r="B2366" i="7"/>
  <c r="D2365" i="7"/>
  <c r="D2364" i="7"/>
  <c r="J2363" i="7"/>
  <c r="F2363" i="7"/>
  <c r="B2363" i="7"/>
  <c r="J2362" i="7"/>
  <c r="F2362" i="7"/>
  <c r="B2362" i="7"/>
  <c r="J2361" i="7"/>
  <c r="F2361" i="7"/>
  <c r="B2361" i="7"/>
  <c r="K2360" i="7"/>
  <c r="F2360" i="7"/>
  <c r="B2360" i="7"/>
  <c r="K2359" i="7"/>
  <c r="F2359" i="7"/>
  <c r="B2359" i="7"/>
  <c r="J2358" i="7"/>
  <c r="F2358" i="7"/>
  <c r="B2358" i="7"/>
  <c r="D2357" i="7"/>
  <c r="K2356" i="7"/>
  <c r="G2356" i="7"/>
  <c r="C2356" i="7"/>
  <c r="L2355" i="7"/>
  <c r="G2355" i="7"/>
  <c r="C2355" i="7"/>
  <c r="L2354" i="7"/>
  <c r="G2354" i="7"/>
  <c r="C2354" i="7"/>
  <c r="E2353" i="7"/>
  <c r="L2352" i="7"/>
  <c r="G2352" i="7"/>
  <c r="C2352" i="7"/>
  <c r="J2351" i="7"/>
  <c r="E2351" i="7"/>
  <c r="A2351" i="7"/>
  <c r="M2350" i="7"/>
  <c r="I2350" i="7"/>
  <c r="E2350" i="7"/>
  <c r="A2350" i="7"/>
  <c r="N2349" i="7"/>
  <c r="J2349" i="7"/>
  <c r="F2349" i="7"/>
  <c r="B2349" i="7"/>
  <c r="K2348" i="7"/>
  <c r="F2348" i="7"/>
  <c r="B2348" i="7"/>
  <c r="J2347" i="7"/>
  <c r="F2347" i="7"/>
  <c r="B2347" i="7"/>
  <c r="J2346" i="7"/>
  <c r="F2346" i="7"/>
  <c r="B2346" i="7"/>
  <c r="J2345" i="7"/>
  <c r="F2345" i="7"/>
  <c r="B2345" i="7"/>
  <c r="J2344" i="7"/>
  <c r="F2344" i="7"/>
  <c r="B2344" i="7"/>
  <c r="J2343" i="7"/>
  <c r="F2343" i="7"/>
  <c r="B2343" i="7"/>
  <c r="K2796" i="7"/>
  <c r="J2795" i="7"/>
  <c r="B2793" i="7"/>
  <c r="D2792" i="7"/>
  <c r="F2791" i="7"/>
  <c r="K2790" i="7"/>
  <c r="Q2787" i="7"/>
  <c r="D2787" i="7"/>
  <c r="H2786" i="7"/>
  <c r="M2785" i="7"/>
  <c r="Q2783" i="7"/>
  <c r="D2783" i="7"/>
  <c r="H2782" i="7"/>
  <c r="M2781" i="7"/>
  <c r="A2776" i="7"/>
  <c r="D2775" i="7"/>
  <c r="G2774" i="7"/>
  <c r="G2773" i="7"/>
  <c r="F2772" i="7"/>
  <c r="J2771" i="7"/>
  <c r="N2770" i="7"/>
  <c r="Q2768" i="7"/>
  <c r="C2768" i="7"/>
  <c r="B2767" i="7"/>
  <c r="F2766" i="7"/>
  <c r="K2765" i="7"/>
  <c r="Q2762" i="7"/>
  <c r="C2762" i="7"/>
  <c r="B2761" i="7"/>
  <c r="E2760" i="7"/>
  <c r="H2759" i="7"/>
  <c r="M2758" i="7"/>
  <c r="L2757" i="7"/>
  <c r="K2756" i="7"/>
  <c r="B2754" i="7"/>
  <c r="F2753" i="7"/>
  <c r="K2752" i="7"/>
  <c r="B2750" i="7"/>
  <c r="F2749" i="7"/>
  <c r="J2748" i="7"/>
  <c r="N2747" i="7"/>
  <c r="A2746" i="7"/>
  <c r="D2745" i="7"/>
  <c r="G2744" i="7"/>
  <c r="G2743" i="7"/>
  <c r="G2742" i="7"/>
  <c r="G2741" i="7"/>
  <c r="G2740" i="7"/>
  <c r="G2739" i="7"/>
  <c r="G2738" i="7"/>
  <c r="F2737" i="7"/>
  <c r="K2736" i="7"/>
  <c r="B2734" i="7"/>
  <c r="F2733" i="7"/>
  <c r="K2732" i="7"/>
  <c r="A2730" i="7"/>
  <c r="E2729" i="7"/>
  <c r="J2728" i="7"/>
  <c r="N2727" i="7"/>
  <c r="A2726" i="7"/>
  <c r="D2725" i="7"/>
  <c r="G2724" i="7"/>
  <c r="G2723" i="7"/>
  <c r="G2722" i="7"/>
  <c r="G2721" i="7"/>
  <c r="H2720" i="7"/>
  <c r="I2719" i="7"/>
  <c r="I2718" i="7"/>
  <c r="J2717" i="7"/>
  <c r="J2716" i="7"/>
  <c r="J2712" i="7"/>
  <c r="K2711" i="7"/>
  <c r="L2710" i="7"/>
  <c r="L2709" i="7"/>
  <c r="K2708" i="7"/>
  <c r="L2707" i="7"/>
  <c r="H2706" i="7"/>
  <c r="Q2705" i="7"/>
  <c r="I2705" i="7"/>
  <c r="A2705" i="7"/>
  <c r="I2704" i="7"/>
  <c r="A2704" i="7"/>
  <c r="E2703" i="7"/>
  <c r="A2702" i="7"/>
  <c r="K2701" i="7"/>
  <c r="A2700" i="7"/>
  <c r="K2699" i="7"/>
  <c r="A2698" i="7"/>
  <c r="K2697" i="7"/>
  <c r="A2696" i="7"/>
  <c r="K2695" i="7"/>
  <c r="A2694" i="7"/>
  <c r="K2693" i="7"/>
  <c r="A2692" i="7"/>
  <c r="K2691" i="7"/>
  <c r="A2690" i="7"/>
  <c r="K2689" i="7"/>
  <c r="A2688" i="7"/>
  <c r="K2687" i="7"/>
  <c r="A2686" i="7"/>
  <c r="K2685" i="7"/>
  <c r="A2684" i="7"/>
  <c r="K2683" i="7"/>
  <c r="A2682" i="7"/>
  <c r="K2681" i="7"/>
  <c r="A2680" i="7"/>
  <c r="K2679" i="7"/>
  <c r="A2678" i="7"/>
  <c r="K2677" i="7"/>
  <c r="A2676" i="7"/>
  <c r="K2675" i="7"/>
  <c r="A2674" i="7"/>
  <c r="K2673" i="7"/>
  <c r="A2672" i="7"/>
  <c r="K2671" i="7"/>
  <c r="Q2668" i="7"/>
  <c r="A2668" i="7"/>
  <c r="K2667" i="7"/>
  <c r="A2665" i="7"/>
  <c r="K2664" i="7"/>
  <c r="A2663" i="7"/>
  <c r="K2662" i="7"/>
  <c r="A2661" i="7"/>
  <c r="K2660" i="7"/>
  <c r="A2659" i="7"/>
  <c r="K2658" i="7"/>
  <c r="A2657" i="7"/>
  <c r="K2656" i="7"/>
  <c r="A2655" i="7"/>
  <c r="K2654" i="7"/>
  <c r="A2653" i="7"/>
  <c r="K2652" i="7"/>
  <c r="A2651" i="7"/>
  <c r="K2650" i="7"/>
  <c r="A2649" i="7"/>
  <c r="K2648" i="7"/>
  <c r="A2647" i="7"/>
  <c r="K2646" i="7"/>
  <c r="A2645" i="7"/>
  <c r="K2644" i="7"/>
  <c r="A2643" i="7"/>
  <c r="K2642" i="7"/>
  <c r="A2641" i="7"/>
  <c r="K2640" i="7"/>
  <c r="A2639" i="7"/>
  <c r="K2638" i="7"/>
  <c r="A2637" i="7"/>
  <c r="K2636" i="7"/>
  <c r="A2635" i="7"/>
  <c r="K2634" i="7"/>
  <c r="A2633" i="7"/>
  <c r="K2632" i="7"/>
  <c r="A2631" i="7"/>
  <c r="K2630" i="7"/>
  <c r="A2629" i="7"/>
  <c r="K2628" i="7"/>
  <c r="A2627" i="7"/>
  <c r="K2626" i="7"/>
  <c r="A2625" i="7"/>
  <c r="K2624" i="7"/>
  <c r="A2623" i="7"/>
  <c r="K2622" i="7"/>
  <c r="A2621" i="7"/>
  <c r="K2620" i="7"/>
  <c r="A2619" i="7"/>
  <c r="K2618" i="7"/>
  <c r="A2617" i="7"/>
  <c r="K2616" i="7"/>
  <c r="A2615" i="7"/>
  <c r="K2614" i="7"/>
  <c r="A2613" i="7"/>
  <c r="K2612" i="7"/>
  <c r="A2611" i="7"/>
  <c r="K2610" i="7"/>
  <c r="A2609" i="7"/>
  <c r="K2608" i="7"/>
  <c r="A2607" i="7"/>
  <c r="K2606" i="7"/>
  <c r="A2605" i="7"/>
  <c r="K2604" i="7"/>
  <c r="A2603" i="7"/>
  <c r="K2602" i="7"/>
  <c r="A2601" i="7"/>
  <c r="K2600" i="7"/>
  <c r="A2599" i="7"/>
  <c r="K2598" i="7"/>
  <c r="A2597" i="7"/>
  <c r="K2596" i="7"/>
  <c r="A2595" i="7"/>
  <c r="K2594" i="7"/>
  <c r="A2593" i="7"/>
  <c r="K2592" i="7"/>
  <c r="K2591" i="7"/>
  <c r="G2591" i="7"/>
  <c r="C2591" i="7"/>
  <c r="L2590" i="7"/>
  <c r="G2590" i="7"/>
  <c r="C2590" i="7"/>
  <c r="L2589" i="7"/>
  <c r="H2589" i="7"/>
  <c r="D2589" i="7"/>
  <c r="Q2588" i="7"/>
  <c r="L2588" i="7"/>
  <c r="H2588" i="7"/>
  <c r="D2588" i="7"/>
  <c r="Q2587" i="7"/>
  <c r="L2587" i="7"/>
  <c r="H2587" i="7"/>
  <c r="D2587" i="7"/>
  <c r="Q2586" i="7"/>
  <c r="L2586" i="7"/>
  <c r="H2586" i="7"/>
  <c r="D2586" i="7"/>
  <c r="Q2585" i="7"/>
  <c r="L2585" i="7"/>
  <c r="H2585" i="7"/>
  <c r="D2585" i="7"/>
  <c r="Q2584" i="7"/>
  <c r="L2584" i="7"/>
  <c r="H2584" i="7"/>
  <c r="D2584" i="7"/>
  <c r="Q2583" i="7"/>
  <c r="M2583" i="7"/>
  <c r="I2583" i="7"/>
  <c r="E2583" i="7"/>
  <c r="A2583" i="7"/>
  <c r="M2582" i="7"/>
  <c r="I2582" i="7"/>
  <c r="E2582" i="7"/>
  <c r="A2582" i="7"/>
  <c r="K2581" i="7"/>
  <c r="G2581" i="7"/>
  <c r="C2581" i="7"/>
  <c r="D2580" i="7"/>
  <c r="J2579" i="7"/>
  <c r="F2579" i="7"/>
  <c r="B2579" i="7"/>
  <c r="K2578" i="7"/>
  <c r="G2578" i="7"/>
  <c r="C2578" i="7"/>
  <c r="L2577" i="7"/>
  <c r="G2577" i="7"/>
  <c r="C2577" i="7"/>
  <c r="L2576" i="7"/>
  <c r="G2576" i="7"/>
  <c r="C2576" i="7"/>
  <c r="K2575" i="7"/>
  <c r="G2575" i="7"/>
  <c r="C2575" i="7"/>
  <c r="L2574" i="7"/>
  <c r="G2574" i="7"/>
  <c r="C2574" i="7"/>
  <c r="K2573" i="7"/>
  <c r="G2573" i="7"/>
  <c r="C2573" i="7"/>
  <c r="L2572" i="7"/>
  <c r="G2572" i="7"/>
  <c r="C2572" i="7"/>
  <c r="L2571" i="7"/>
  <c r="G2571" i="7"/>
  <c r="C2571" i="7"/>
  <c r="L2570" i="7"/>
  <c r="G2570" i="7"/>
  <c r="C2570" i="7"/>
  <c r="K2569" i="7"/>
  <c r="G2569" i="7"/>
  <c r="C2569" i="7"/>
  <c r="L2568" i="7"/>
  <c r="H2568" i="7"/>
  <c r="D2568" i="7"/>
  <c r="Q2567" i="7"/>
  <c r="M2567" i="7"/>
  <c r="H2567" i="7"/>
  <c r="D2567" i="7"/>
  <c r="Q2566" i="7"/>
  <c r="L2566" i="7"/>
  <c r="H2566" i="7"/>
  <c r="D2566" i="7"/>
  <c r="Q2565" i="7"/>
  <c r="L2565" i="7"/>
  <c r="H2565" i="7"/>
  <c r="D2565" i="7"/>
  <c r="Q2564" i="7"/>
  <c r="L2564" i="7"/>
  <c r="H2564" i="7"/>
  <c r="D2564" i="7"/>
  <c r="Q2563" i="7"/>
  <c r="L2563" i="7"/>
  <c r="H2563" i="7"/>
  <c r="D2563" i="7"/>
  <c r="Q2562" i="7"/>
  <c r="L2562" i="7"/>
  <c r="H2562" i="7"/>
  <c r="D2562" i="7"/>
  <c r="Q2561" i="7"/>
  <c r="L2561" i="7"/>
  <c r="H2561" i="7"/>
  <c r="D2561" i="7"/>
  <c r="Q2560" i="7"/>
  <c r="L2560" i="7"/>
  <c r="H2560" i="7"/>
  <c r="D2560" i="7"/>
  <c r="Q2559" i="7"/>
  <c r="L2559" i="7"/>
  <c r="H2559" i="7"/>
  <c r="D2559" i="7"/>
  <c r="Q2558" i="7"/>
  <c r="L2558" i="7"/>
  <c r="H2558" i="7"/>
  <c r="D2558" i="7"/>
  <c r="Q2557" i="7"/>
  <c r="M2557" i="7"/>
  <c r="I2557" i="7"/>
  <c r="E2557" i="7"/>
  <c r="A2557" i="7"/>
  <c r="N2556" i="7"/>
  <c r="J2556" i="7"/>
  <c r="F2556" i="7"/>
  <c r="B2556" i="7"/>
  <c r="K2555" i="7"/>
  <c r="G2555" i="7"/>
  <c r="C2555" i="7"/>
  <c r="L2554" i="7"/>
  <c r="H2554" i="7"/>
  <c r="D2554" i="7"/>
  <c r="Q2553" i="7"/>
  <c r="L2553" i="7"/>
  <c r="H2553" i="7"/>
  <c r="D2553" i="7"/>
  <c r="Q2552" i="7"/>
  <c r="L2552" i="7"/>
  <c r="H2552" i="7"/>
  <c r="D2552" i="7"/>
  <c r="Q2551" i="7"/>
  <c r="L2551" i="7"/>
  <c r="H2551" i="7"/>
  <c r="D2551" i="7"/>
  <c r="Q2550" i="7"/>
  <c r="L2550" i="7"/>
  <c r="H2550" i="7"/>
  <c r="D2550" i="7"/>
  <c r="Q2549" i="7"/>
  <c r="L2549" i="7"/>
  <c r="H2549" i="7"/>
  <c r="D2549" i="7"/>
  <c r="Q2548" i="7"/>
  <c r="M2548" i="7"/>
  <c r="H2548" i="7"/>
  <c r="D2548" i="7"/>
  <c r="Q2547" i="7"/>
  <c r="L2547" i="7"/>
  <c r="H2547" i="7"/>
  <c r="D2547" i="7"/>
  <c r="Q2546" i="7"/>
  <c r="F2546" i="7"/>
  <c r="Q2545" i="7"/>
  <c r="L2545" i="7"/>
  <c r="H2545" i="7"/>
  <c r="D2545" i="7"/>
  <c r="Q2544" i="7"/>
  <c r="L2544" i="7"/>
  <c r="H2544" i="7"/>
  <c r="D2544" i="7"/>
  <c r="Q2543" i="7"/>
  <c r="L2543" i="7"/>
  <c r="H2543" i="7"/>
  <c r="D2543" i="7"/>
  <c r="Q2542" i="7"/>
  <c r="L2542" i="7"/>
  <c r="H2542" i="7"/>
  <c r="D2542" i="7"/>
  <c r="Q2541" i="7"/>
  <c r="L2541" i="7"/>
  <c r="H2541" i="7"/>
  <c r="D2541" i="7"/>
  <c r="Q2540" i="7"/>
  <c r="L2540" i="7"/>
  <c r="H2540" i="7"/>
  <c r="D2540" i="7"/>
  <c r="Q2539" i="7"/>
  <c r="L2539" i="7"/>
  <c r="H2539" i="7"/>
  <c r="D2539" i="7"/>
  <c r="E2538" i="7"/>
  <c r="D2537" i="7"/>
  <c r="J2536" i="7"/>
  <c r="F2536" i="7"/>
  <c r="B2536" i="7"/>
  <c r="J2535" i="7"/>
  <c r="F2535" i="7"/>
  <c r="B2535" i="7"/>
  <c r="J2534" i="7"/>
  <c r="F2534" i="7"/>
  <c r="B2534" i="7"/>
  <c r="K2533" i="7"/>
  <c r="F2533" i="7"/>
  <c r="B2533" i="7"/>
  <c r="K2532" i="7"/>
  <c r="F2532" i="7"/>
  <c r="B2532" i="7"/>
  <c r="J2531" i="7"/>
  <c r="E2531" i="7"/>
  <c r="A2531" i="7"/>
  <c r="N2530" i="7"/>
  <c r="J2530" i="7"/>
  <c r="E2530" i="7"/>
  <c r="A2530" i="7"/>
  <c r="N2529" i="7"/>
  <c r="J2529" i="7"/>
  <c r="E2529" i="7"/>
  <c r="A2529" i="7"/>
  <c r="N2528" i="7"/>
  <c r="J2528" i="7"/>
  <c r="E2528" i="7"/>
  <c r="A2528" i="7"/>
  <c r="N2527" i="7"/>
  <c r="J2527" i="7"/>
  <c r="E2527" i="7"/>
  <c r="A2527" i="7"/>
  <c r="N2526" i="7"/>
  <c r="J2526" i="7"/>
  <c r="E2526" i="7"/>
  <c r="A2526" i="7"/>
  <c r="N2525" i="7"/>
  <c r="J2525" i="7"/>
  <c r="E2525" i="7"/>
  <c r="A2525" i="7"/>
  <c r="M2524" i="7"/>
  <c r="I2524" i="7"/>
  <c r="E2524" i="7"/>
  <c r="A2524" i="7"/>
  <c r="M2523" i="7"/>
  <c r="I2523" i="7"/>
  <c r="E2523" i="7"/>
  <c r="A2523" i="7"/>
  <c r="M2522" i="7"/>
  <c r="I2522" i="7"/>
  <c r="E2522" i="7"/>
  <c r="A2522" i="7"/>
  <c r="M2521" i="7"/>
  <c r="I2521" i="7"/>
  <c r="E2521" i="7"/>
  <c r="A2521" i="7"/>
  <c r="M2520" i="7"/>
  <c r="I2520" i="7"/>
  <c r="E2520" i="7"/>
  <c r="A2520" i="7"/>
  <c r="M2519" i="7"/>
  <c r="I2519" i="7"/>
  <c r="E2519" i="7"/>
  <c r="A2519" i="7"/>
  <c r="M2518" i="7"/>
  <c r="I2518" i="7"/>
  <c r="E2518" i="7"/>
  <c r="A2518" i="7"/>
  <c r="M2517" i="7"/>
  <c r="I2517" i="7"/>
  <c r="E2517" i="7"/>
  <c r="A2517" i="7"/>
  <c r="N2516" i="7"/>
  <c r="J2516" i="7"/>
  <c r="E2516" i="7"/>
  <c r="A2516" i="7"/>
  <c r="K2515" i="7"/>
  <c r="D2515" i="7"/>
  <c r="K2514" i="7"/>
  <c r="F2514" i="7"/>
  <c r="B2514" i="7"/>
  <c r="K2513" i="7"/>
  <c r="F2513" i="7"/>
  <c r="B2513" i="7"/>
  <c r="K2512" i="7"/>
  <c r="F2512" i="7"/>
  <c r="B2512" i="7"/>
  <c r="K2511" i="7"/>
  <c r="F2511" i="7"/>
  <c r="B2511" i="7"/>
  <c r="K2510" i="7"/>
  <c r="F2510" i="7"/>
  <c r="B2510" i="7"/>
  <c r="K2509" i="7"/>
  <c r="F2509" i="7"/>
  <c r="B2509" i="7"/>
  <c r="K2508" i="7"/>
  <c r="F2508" i="7"/>
  <c r="B2508" i="7"/>
  <c r="K2507" i="7"/>
  <c r="F2507" i="7"/>
  <c r="B2507" i="7"/>
  <c r="K2506" i="7"/>
  <c r="F2506" i="7"/>
  <c r="B2506" i="7"/>
  <c r="K2505" i="7"/>
  <c r="F2505" i="7"/>
  <c r="B2505" i="7"/>
  <c r="J2504" i="7"/>
  <c r="E2504" i="7"/>
  <c r="A2504" i="7"/>
  <c r="N2503" i="7"/>
  <c r="H2503" i="7"/>
  <c r="D2503" i="7"/>
  <c r="Q2502" i="7"/>
  <c r="M2502" i="7"/>
  <c r="G2502" i="7"/>
  <c r="C2502" i="7"/>
  <c r="L2501" i="7"/>
  <c r="G2501" i="7"/>
  <c r="C2501" i="7"/>
  <c r="L2500" i="7"/>
  <c r="G2500" i="7"/>
  <c r="C2500" i="7"/>
  <c r="L2499" i="7"/>
  <c r="G2499" i="7"/>
  <c r="C2499" i="7"/>
  <c r="K2498" i="7"/>
  <c r="F2498" i="7"/>
  <c r="B2498" i="7"/>
  <c r="K2497" i="7"/>
  <c r="F2497" i="7"/>
  <c r="B2497" i="7"/>
  <c r="K2496" i="7"/>
  <c r="F2496" i="7"/>
  <c r="B2496" i="7"/>
  <c r="K2495" i="7"/>
  <c r="F2495" i="7"/>
  <c r="B2495" i="7"/>
  <c r="J2494" i="7"/>
  <c r="E2494" i="7"/>
  <c r="A2494" i="7"/>
  <c r="N2493" i="7"/>
  <c r="J2493" i="7"/>
  <c r="E2493" i="7"/>
  <c r="A2493" i="7"/>
  <c r="N2492" i="7"/>
  <c r="H2492" i="7"/>
  <c r="D2492" i="7"/>
  <c r="Q2491" i="7"/>
  <c r="M2491" i="7"/>
  <c r="H2491" i="7"/>
  <c r="D2491" i="7"/>
  <c r="Q2490" i="7"/>
  <c r="M2490" i="7"/>
  <c r="H2490" i="7"/>
  <c r="D2490" i="7"/>
  <c r="Q2489" i="7"/>
  <c r="M2489" i="7"/>
  <c r="H2489" i="7"/>
  <c r="D2489" i="7"/>
  <c r="Q2488" i="7"/>
  <c r="M2488" i="7"/>
  <c r="H2488" i="7"/>
  <c r="D2488" i="7"/>
  <c r="Q2487" i="7"/>
  <c r="M2487" i="7"/>
  <c r="H2487" i="7"/>
  <c r="D2487" i="7"/>
  <c r="Q2486" i="7"/>
  <c r="M2486" i="7"/>
  <c r="H2486" i="7"/>
  <c r="D2486" i="7"/>
  <c r="Q2485" i="7"/>
  <c r="M2485" i="7"/>
  <c r="H2485" i="7"/>
  <c r="D2485" i="7"/>
  <c r="Q2484" i="7"/>
  <c r="M2484" i="7"/>
  <c r="H2484" i="7"/>
  <c r="D2484" i="7"/>
  <c r="Q2483" i="7"/>
  <c r="M2483" i="7"/>
  <c r="H2483" i="7"/>
  <c r="D2483" i="7"/>
  <c r="Q2482" i="7"/>
  <c r="M2482" i="7"/>
  <c r="H2482" i="7"/>
  <c r="D2482" i="7"/>
  <c r="Q2481" i="7"/>
  <c r="M2481" i="7"/>
  <c r="H2481" i="7"/>
  <c r="D2481" i="7"/>
  <c r="Q2480" i="7"/>
  <c r="M2480" i="7"/>
  <c r="H2480" i="7"/>
  <c r="D2480" i="7"/>
  <c r="Q2479" i="7"/>
  <c r="M2479" i="7"/>
  <c r="H2479" i="7"/>
  <c r="D2479" i="7"/>
  <c r="Q2478" i="7"/>
  <c r="M2478" i="7"/>
  <c r="H2478" i="7"/>
  <c r="D2478" i="7"/>
  <c r="Q2477" i="7"/>
  <c r="M2477" i="7"/>
  <c r="H2477" i="7"/>
  <c r="D2477" i="7"/>
  <c r="Q2476" i="7"/>
  <c r="M2476" i="7"/>
  <c r="H2476" i="7"/>
  <c r="D2476" i="7"/>
  <c r="Q2475" i="7"/>
  <c r="M2475" i="7"/>
  <c r="H2475" i="7"/>
  <c r="D2475" i="7"/>
  <c r="Q2474" i="7"/>
  <c r="M2474" i="7"/>
  <c r="H2474" i="7"/>
  <c r="D2474" i="7"/>
  <c r="Q2473" i="7"/>
  <c r="M2473" i="7"/>
  <c r="H2473" i="7"/>
  <c r="D2473" i="7"/>
  <c r="Q2472" i="7"/>
  <c r="M2472" i="7"/>
  <c r="H2472" i="7"/>
  <c r="D2472" i="7"/>
  <c r="Q2471" i="7"/>
  <c r="M2471" i="7"/>
  <c r="H2471" i="7"/>
  <c r="D2471" i="7"/>
  <c r="Q2470" i="7"/>
  <c r="Q2469" i="7"/>
  <c r="D2469" i="7"/>
  <c r="F2468" i="7"/>
  <c r="K2467" i="7"/>
  <c r="B2465" i="7"/>
  <c r="E2464" i="7"/>
  <c r="H2463" i="7"/>
  <c r="M2462" i="7"/>
  <c r="K2461" i="7"/>
  <c r="A2459" i="7"/>
  <c r="E2458" i="7"/>
  <c r="J2457" i="7"/>
  <c r="N2456" i="7"/>
  <c r="A2455" i="7"/>
  <c r="E2454" i="7"/>
  <c r="J2453" i="7"/>
  <c r="N2452" i="7"/>
  <c r="A2451" i="7"/>
  <c r="E2450" i="7"/>
  <c r="J2449" i="7"/>
  <c r="N2448" i="7"/>
  <c r="A2447" i="7"/>
  <c r="E2446" i="7"/>
  <c r="J2445" i="7"/>
  <c r="N2444" i="7"/>
  <c r="A2443" i="7"/>
  <c r="E2442" i="7"/>
  <c r="J2441" i="7"/>
  <c r="N2440" i="7"/>
  <c r="B2435" i="7"/>
  <c r="E2434" i="7"/>
  <c r="J2433" i="7"/>
  <c r="N2432" i="7"/>
  <c r="A2431" i="7"/>
  <c r="E2430" i="7"/>
  <c r="J2429" i="7"/>
  <c r="N2428" i="7"/>
  <c r="A2427" i="7"/>
  <c r="E2426" i="7"/>
  <c r="J2425" i="7"/>
  <c r="N2424" i="7"/>
  <c r="A2423" i="7"/>
  <c r="E2422" i="7"/>
  <c r="J2421" i="7"/>
  <c r="N2420" i="7"/>
  <c r="A2419" i="7"/>
  <c r="E2418" i="7"/>
  <c r="J2417" i="7"/>
  <c r="N2416" i="7"/>
  <c r="A2415" i="7"/>
  <c r="E2414" i="7"/>
  <c r="J2413" i="7"/>
  <c r="N2412" i="7"/>
  <c r="A2411" i="7"/>
  <c r="E2410" i="7"/>
  <c r="J2409" i="7"/>
  <c r="N2408" i="7"/>
  <c r="A2407" i="7"/>
  <c r="D2406" i="7"/>
  <c r="G2405" i="7"/>
  <c r="F2404" i="7"/>
  <c r="K2403" i="7"/>
  <c r="J2402" i="7"/>
  <c r="J2401" i="7"/>
  <c r="J2400" i="7"/>
  <c r="J2399" i="7"/>
  <c r="J2398" i="7"/>
  <c r="J2397" i="7"/>
  <c r="G2395" i="7"/>
  <c r="G2394" i="7"/>
  <c r="G2390" i="7"/>
  <c r="G2389" i="7"/>
  <c r="H2388" i="7"/>
  <c r="H2387" i="7"/>
  <c r="M2386" i="7"/>
  <c r="M2385" i="7"/>
  <c r="Q2384" i="7"/>
  <c r="I2384" i="7"/>
  <c r="A2384" i="7"/>
  <c r="I2383" i="7"/>
  <c r="A2383" i="7"/>
  <c r="K2382" i="7"/>
  <c r="B2382" i="7"/>
  <c r="J2381" i="7"/>
  <c r="B2381" i="7"/>
  <c r="K2380" i="7"/>
  <c r="C2380" i="7"/>
  <c r="L2379" i="7"/>
  <c r="C2379" i="7"/>
  <c r="L2378" i="7"/>
  <c r="C2378" i="7"/>
  <c r="K2377" i="7"/>
  <c r="C2377" i="7"/>
  <c r="L2376" i="7"/>
  <c r="C2376" i="7"/>
  <c r="K2375" i="7"/>
  <c r="C2375" i="7"/>
  <c r="K2374" i="7"/>
  <c r="C2374" i="7"/>
  <c r="K2373" i="7"/>
  <c r="C2373" i="7"/>
  <c r="K2372" i="7"/>
  <c r="C2372" i="7"/>
  <c r="L2371" i="7"/>
  <c r="C2371" i="7"/>
  <c r="K2370" i="7"/>
  <c r="C2370" i="7"/>
  <c r="F2369" i="7"/>
  <c r="N2368" i="7"/>
  <c r="E2368" i="7"/>
  <c r="H2367" i="7"/>
  <c r="Q2366" i="7"/>
  <c r="H2366" i="7"/>
  <c r="Q2365" i="7"/>
  <c r="E2365" i="7"/>
  <c r="K2364" i="7"/>
  <c r="Q2363" i="7"/>
  <c r="K2363" i="7"/>
  <c r="E2363" i="7"/>
  <c r="Q2362" i="7"/>
  <c r="K2362" i="7"/>
  <c r="E2362" i="7"/>
  <c r="Q2361" i="7"/>
  <c r="K2361" i="7"/>
  <c r="E2361" i="7"/>
  <c r="Q2360" i="7"/>
  <c r="L2360" i="7"/>
  <c r="E2360" i="7"/>
  <c r="Q2359" i="7"/>
  <c r="L2359" i="7"/>
  <c r="E2359" i="7"/>
  <c r="Q2358" i="7"/>
  <c r="K2358" i="7"/>
  <c r="E2358" i="7"/>
  <c r="Q2357" i="7"/>
  <c r="E2357" i="7"/>
  <c r="N2356" i="7"/>
  <c r="I2356" i="7"/>
  <c r="D2356" i="7"/>
  <c r="K2355" i="7"/>
  <c r="E2355" i="7"/>
  <c r="Q2354" i="7"/>
  <c r="M2354" i="7"/>
  <c r="F2354" i="7"/>
  <c r="A2354" i="7"/>
  <c r="K2353" i="7"/>
  <c r="Q2352" i="7"/>
  <c r="M2352" i="7"/>
  <c r="F2352" i="7"/>
  <c r="A2352" i="7"/>
  <c r="N2351" i="7"/>
  <c r="F2351" i="7"/>
  <c r="Q2350" i="7"/>
  <c r="K2350" i="7"/>
  <c r="F2350" i="7"/>
  <c r="Q2349" i="7"/>
  <c r="L2349" i="7"/>
  <c r="G2349" i="7"/>
  <c r="A2349" i="7"/>
  <c r="M2348" i="7"/>
  <c r="G2348" i="7"/>
  <c r="A2348" i="7"/>
  <c r="L2347" i="7"/>
  <c r="G2347" i="7"/>
  <c r="A2347" i="7"/>
  <c r="L2346" i="7"/>
  <c r="G2346" i="7"/>
  <c r="A2346" i="7"/>
  <c r="L2345" i="7"/>
  <c r="G2345" i="7"/>
  <c r="A2345" i="7"/>
  <c r="L2344" i="7"/>
  <c r="G2344" i="7"/>
  <c r="A2344" i="7"/>
  <c r="L2343" i="7"/>
  <c r="G2343" i="7"/>
  <c r="A2343" i="7"/>
  <c r="L2342" i="7"/>
  <c r="H2342" i="7"/>
  <c r="D2342" i="7"/>
  <c r="Q2341" i="7"/>
  <c r="L2341" i="7"/>
  <c r="H2341" i="7"/>
  <c r="D2341" i="7"/>
  <c r="Q2340" i="7"/>
  <c r="K2340" i="7"/>
  <c r="F2340" i="7"/>
  <c r="B2340" i="7"/>
  <c r="J2339" i="7"/>
  <c r="E2339" i="7"/>
  <c r="A2339" i="7"/>
  <c r="N2338" i="7"/>
  <c r="J2338" i="7"/>
  <c r="E2338" i="7"/>
  <c r="A2338" i="7"/>
  <c r="M2337" i="7"/>
  <c r="I2337" i="7"/>
  <c r="E2337" i="7"/>
  <c r="A2337" i="7"/>
  <c r="N2336" i="7"/>
  <c r="G2336" i="7"/>
  <c r="C2336" i="7"/>
  <c r="J2335" i="7"/>
  <c r="E2335" i="7"/>
  <c r="A2335" i="7"/>
  <c r="N2334" i="7"/>
  <c r="J2334" i="7"/>
  <c r="F2334" i="7"/>
  <c r="B2334" i="7"/>
  <c r="K2333" i="7"/>
  <c r="G2333" i="7"/>
  <c r="C2333" i="7"/>
  <c r="L2332" i="7"/>
  <c r="H2332" i="7"/>
  <c r="D2332" i="7"/>
  <c r="Q2331" i="7"/>
  <c r="K2331" i="7"/>
  <c r="F2331" i="7"/>
  <c r="B2331" i="7"/>
  <c r="H2330" i="7"/>
  <c r="D2330" i="7"/>
  <c r="Q2329" i="7"/>
  <c r="M2329" i="7"/>
  <c r="H2329" i="7"/>
  <c r="D2329" i="7"/>
  <c r="Q2328" i="7"/>
  <c r="L2328" i="7"/>
  <c r="G2328" i="7"/>
  <c r="C2328" i="7"/>
  <c r="K2327" i="7"/>
  <c r="G2327" i="7"/>
  <c r="C2327" i="7"/>
  <c r="L2326" i="7"/>
  <c r="H2326" i="7"/>
  <c r="D2326" i="7"/>
  <c r="Q2325" i="7"/>
  <c r="L2325" i="7"/>
  <c r="G2325" i="7"/>
  <c r="C2325" i="7"/>
  <c r="K2324" i="7"/>
  <c r="G2324" i="7"/>
  <c r="C2324" i="7"/>
  <c r="L2323" i="7"/>
  <c r="H2323" i="7"/>
  <c r="D2323" i="7"/>
  <c r="Q2322" i="7"/>
  <c r="K2322" i="7"/>
  <c r="F2322" i="7"/>
  <c r="B2322" i="7"/>
  <c r="H2321" i="7"/>
  <c r="D2321" i="7"/>
  <c r="Q2320" i="7"/>
  <c r="F2320" i="7"/>
  <c r="Q2319" i="7"/>
  <c r="M2319" i="7"/>
  <c r="H2319" i="7"/>
  <c r="D2319" i="7"/>
  <c r="Q2318" i="7"/>
  <c r="M2318" i="7"/>
  <c r="H2318" i="7"/>
  <c r="D2318" i="7"/>
  <c r="Q2317" i="7"/>
  <c r="L2317" i="7"/>
  <c r="G2317" i="7"/>
  <c r="C2317" i="7"/>
  <c r="K2316" i="7"/>
  <c r="G2316" i="7"/>
  <c r="C2316" i="7"/>
  <c r="K2315" i="7"/>
  <c r="F2315" i="7"/>
  <c r="B2315" i="7"/>
  <c r="H2314" i="7"/>
  <c r="D2314" i="7"/>
  <c r="Q2313" i="7"/>
  <c r="L2313" i="7"/>
  <c r="H2313" i="7"/>
  <c r="D2313" i="7"/>
  <c r="Q2312" i="7"/>
  <c r="M2312" i="7"/>
  <c r="H2312" i="7"/>
  <c r="D2312" i="7"/>
  <c r="Q2311" i="7"/>
  <c r="M2311" i="7"/>
  <c r="H2311" i="7"/>
  <c r="D2311" i="7"/>
  <c r="Q2310" i="7"/>
  <c r="L2310" i="7"/>
  <c r="G2310" i="7"/>
  <c r="C2310" i="7"/>
  <c r="K2309" i="7"/>
  <c r="F2309" i="7"/>
  <c r="B2309" i="7"/>
  <c r="J2308" i="7"/>
  <c r="E2308" i="7"/>
  <c r="A2308" i="7"/>
  <c r="N2307" i="7"/>
  <c r="H2307" i="7"/>
  <c r="D2307" i="7"/>
  <c r="Q2306" i="7"/>
  <c r="M2306" i="7"/>
  <c r="H2306" i="7"/>
  <c r="D2306" i="7"/>
  <c r="Q2305" i="7"/>
  <c r="M2305" i="7"/>
  <c r="H2305" i="7"/>
  <c r="D2305" i="7"/>
  <c r="Q2304" i="7"/>
  <c r="K2304" i="7"/>
  <c r="F2304" i="7"/>
  <c r="B2304" i="7"/>
  <c r="J2303" i="7"/>
  <c r="E2303" i="7"/>
  <c r="A2303" i="7"/>
  <c r="N2302" i="7"/>
  <c r="H2302" i="7"/>
  <c r="D2302" i="7"/>
  <c r="Q2301" i="7"/>
  <c r="K2301" i="7"/>
  <c r="F2301" i="7"/>
  <c r="B2301" i="7"/>
  <c r="K2300" i="7"/>
  <c r="F2300" i="7"/>
  <c r="B2300" i="7"/>
  <c r="K2299" i="7"/>
  <c r="F2299" i="7"/>
  <c r="B2299" i="7"/>
  <c r="H2298" i="7"/>
  <c r="D2298" i="7"/>
  <c r="Q2297" i="7"/>
  <c r="K2297" i="7"/>
  <c r="F2297" i="7"/>
  <c r="B2297" i="7"/>
  <c r="H2296" i="7"/>
  <c r="D2296" i="7"/>
  <c r="Q2295" i="7"/>
  <c r="K2295" i="7"/>
  <c r="F2295" i="7"/>
  <c r="B2295" i="7"/>
  <c r="H2294" i="7"/>
  <c r="D2294" i="7"/>
  <c r="Q2293" i="7"/>
  <c r="K2293" i="7"/>
  <c r="F2293" i="7"/>
  <c r="B2293" i="7"/>
  <c r="H2292" i="7"/>
  <c r="D2292" i="7"/>
  <c r="Q2291" i="7"/>
  <c r="K2291" i="7"/>
  <c r="F2291" i="7"/>
  <c r="B2291" i="7"/>
  <c r="H2290" i="7"/>
  <c r="D2290" i="7"/>
  <c r="Q2289" i="7"/>
  <c r="L2289" i="7"/>
  <c r="G2289" i="7"/>
  <c r="C2289" i="7"/>
  <c r="J2288" i="7"/>
  <c r="E2288" i="7"/>
  <c r="A2288" i="7"/>
  <c r="N2287" i="7"/>
  <c r="G2287" i="7"/>
  <c r="C2287" i="7"/>
  <c r="J2286" i="7"/>
  <c r="E2286" i="7"/>
  <c r="A2286" i="7"/>
  <c r="N2285" i="7"/>
  <c r="G2285" i="7"/>
  <c r="C2285" i="7"/>
  <c r="J2284" i="7"/>
  <c r="E2284" i="7"/>
  <c r="A2284" i="7"/>
  <c r="N2283" i="7"/>
  <c r="G2283" i="7"/>
  <c r="C2283" i="7"/>
  <c r="J2282" i="7"/>
  <c r="E2282" i="7"/>
  <c r="A2282" i="7"/>
  <c r="N2281" i="7"/>
  <c r="G2281" i="7"/>
  <c r="C2281" i="7"/>
  <c r="J2280" i="7"/>
  <c r="E2280" i="7"/>
  <c r="A2280" i="7"/>
  <c r="N2279" i="7"/>
  <c r="J2279" i="7"/>
  <c r="E2279" i="7"/>
  <c r="A2279" i="7"/>
  <c r="N2278" i="7"/>
  <c r="J2278" i="7"/>
  <c r="E2278" i="7"/>
  <c r="A2278" i="7"/>
  <c r="N2277" i="7"/>
  <c r="J2277" i="7"/>
  <c r="E2277" i="7"/>
  <c r="A2277" i="7"/>
  <c r="N2276" i="7"/>
  <c r="G2276" i="7"/>
  <c r="C2276" i="7"/>
  <c r="J2275" i="7"/>
  <c r="E2275" i="7"/>
  <c r="A2275" i="7"/>
  <c r="N2274" i="7"/>
  <c r="J2274" i="7"/>
  <c r="F2274" i="7"/>
  <c r="B2274" i="7"/>
  <c r="J2273" i="7"/>
  <c r="E2273" i="7"/>
  <c r="A2273" i="7"/>
  <c r="N2272" i="7"/>
  <c r="H2272" i="7"/>
  <c r="D2272" i="7"/>
  <c r="Q2271" i="7"/>
  <c r="L2271" i="7"/>
  <c r="G2271" i="7"/>
  <c r="C2271" i="7"/>
  <c r="L2270" i="7"/>
  <c r="G2270" i="7"/>
  <c r="C2270" i="7"/>
  <c r="J2269" i="7"/>
  <c r="E2269" i="7"/>
  <c r="A2269" i="7"/>
  <c r="N2268" i="7"/>
  <c r="H2268" i="7"/>
  <c r="D2268" i="7"/>
  <c r="Q2267" i="7"/>
  <c r="K2267" i="7"/>
  <c r="F2267" i="7"/>
  <c r="B2267" i="7"/>
  <c r="J2266" i="7"/>
  <c r="E2266" i="7"/>
  <c r="A2266" i="7"/>
  <c r="N2265" i="7"/>
  <c r="H2265" i="7"/>
  <c r="D2265" i="7"/>
  <c r="Q2264" i="7"/>
  <c r="L2264" i="7"/>
  <c r="G2264" i="7"/>
  <c r="C2264" i="7"/>
  <c r="K2263" i="7"/>
  <c r="F2263" i="7"/>
  <c r="B2263" i="7"/>
  <c r="J2262" i="7"/>
  <c r="E2262" i="7"/>
  <c r="A2262" i="7"/>
  <c r="N2261" i="7"/>
  <c r="G2261" i="7"/>
  <c r="C2261" i="7"/>
  <c r="L2260" i="7"/>
  <c r="G2260" i="7"/>
  <c r="C2260" i="7"/>
  <c r="K2259" i="7"/>
  <c r="F2259" i="7"/>
  <c r="B2259" i="7"/>
  <c r="H2258" i="7"/>
  <c r="D2258" i="7"/>
  <c r="Q2257" i="7"/>
  <c r="K2257" i="7"/>
  <c r="F2257" i="7"/>
  <c r="B2257" i="7"/>
  <c r="H2256" i="7"/>
  <c r="D2256" i="7"/>
  <c r="Q2255" i="7"/>
  <c r="K2255" i="7"/>
  <c r="F2255" i="7"/>
  <c r="B2255" i="7"/>
  <c r="H2254" i="7"/>
  <c r="D2254" i="7"/>
  <c r="Q2253" i="7"/>
  <c r="K2253" i="7"/>
  <c r="F2253" i="7"/>
  <c r="B2253" i="7"/>
  <c r="H2252" i="7"/>
  <c r="D2252" i="7"/>
  <c r="Q2251" i="7"/>
  <c r="K2251" i="7"/>
  <c r="F2251" i="7"/>
  <c r="B2251" i="7"/>
  <c r="H2250" i="7"/>
  <c r="D2250" i="7"/>
  <c r="Q2249" i="7"/>
  <c r="K2249" i="7"/>
  <c r="F2249" i="7"/>
  <c r="B2249" i="7"/>
  <c r="H2248" i="7"/>
  <c r="D2248" i="7"/>
  <c r="Q2247" i="7"/>
  <c r="K2247" i="7"/>
  <c r="F2247" i="7"/>
  <c r="B2247" i="7"/>
  <c r="J2246" i="7"/>
  <c r="E2246" i="7"/>
  <c r="A2246" i="7"/>
  <c r="N2245" i="7"/>
  <c r="G2245" i="7"/>
  <c r="C2245" i="7"/>
  <c r="J2244" i="7"/>
  <c r="E2244" i="7"/>
  <c r="A2244" i="7"/>
  <c r="N2243" i="7"/>
  <c r="G2243" i="7"/>
  <c r="C2243" i="7"/>
  <c r="J2242" i="7"/>
  <c r="E2242" i="7"/>
  <c r="A2242" i="7"/>
  <c r="N2241" i="7"/>
  <c r="H2241" i="7"/>
  <c r="D2241" i="7"/>
  <c r="Q2240" i="7"/>
  <c r="L2240" i="7"/>
  <c r="G2240" i="7"/>
  <c r="C2240" i="7"/>
  <c r="K2239" i="7"/>
  <c r="F2239" i="7"/>
  <c r="B2239" i="7"/>
  <c r="J2238" i="7"/>
  <c r="E2238" i="7"/>
  <c r="A2238" i="7"/>
  <c r="N2237" i="7"/>
  <c r="G2237" i="7"/>
  <c r="C2237" i="7"/>
  <c r="J2236" i="7"/>
  <c r="E2236" i="7"/>
  <c r="A2236" i="7"/>
  <c r="N2235" i="7"/>
  <c r="G2235" i="7"/>
  <c r="C2235" i="7"/>
  <c r="J2234" i="7"/>
  <c r="E2234" i="7"/>
  <c r="A2234" i="7"/>
  <c r="N2233" i="7"/>
  <c r="J2233" i="7"/>
  <c r="E2233" i="7"/>
  <c r="A2233" i="7"/>
  <c r="N2232" i="7"/>
  <c r="G2232" i="7"/>
  <c r="C2232" i="7"/>
  <c r="J2231" i="7"/>
  <c r="E2231" i="7"/>
  <c r="A2231" i="7"/>
  <c r="N2230" i="7"/>
  <c r="G2230" i="7"/>
  <c r="C2230" i="7"/>
  <c r="J2229" i="7"/>
  <c r="E2229" i="7"/>
  <c r="A2229" i="7"/>
  <c r="N2228" i="7"/>
  <c r="G2228" i="7"/>
  <c r="C2228" i="7"/>
  <c r="K2227" i="7"/>
  <c r="F2227" i="7"/>
  <c r="B2227" i="7"/>
  <c r="H2226" i="7"/>
  <c r="D2226" i="7"/>
  <c r="Q2225" i="7"/>
  <c r="K2225" i="7"/>
  <c r="F2225" i="7"/>
  <c r="B2225" i="7"/>
  <c r="H2224" i="7"/>
  <c r="D2224" i="7"/>
  <c r="Q2223" i="7"/>
  <c r="K2223" i="7"/>
  <c r="F2223" i="7"/>
  <c r="B2223" i="7"/>
  <c r="H2222" i="7"/>
  <c r="D2222" i="7"/>
  <c r="Q2221" i="7"/>
  <c r="K2221" i="7"/>
  <c r="F2221" i="7"/>
  <c r="B2221" i="7"/>
  <c r="J2220" i="7"/>
  <c r="E2220" i="7"/>
  <c r="A2220" i="7"/>
  <c r="N2219" i="7"/>
  <c r="H2219" i="7"/>
  <c r="D2219" i="7"/>
  <c r="Q2218" i="7"/>
  <c r="L2218" i="7"/>
  <c r="G2218" i="7"/>
  <c r="C2218" i="7"/>
  <c r="K2217" i="7"/>
  <c r="F2217" i="7"/>
  <c r="B2217" i="7"/>
  <c r="J2216" i="7"/>
  <c r="E2216" i="7"/>
  <c r="A2216" i="7"/>
  <c r="N2215" i="7"/>
  <c r="H2215" i="7"/>
  <c r="D2215" i="7"/>
  <c r="Q2214" i="7"/>
  <c r="L2214" i="7"/>
  <c r="G2214" i="7"/>
  <c r="C2214" i="7"/>
  <c r="J2213" i="7"/>
  <c r="E2213" i="7"/>
  <c r="A2213" i="7"/>
  <c r="N2212" i="7"/>
  <c r="G2212" i="7"/>
  <c r="C2212" i="7"/>
  <c r="K2211" i="7"/>
  <c r="F2211" i="7"/>
  <c r="B2211" i="7"/>
  <c r="J2210" i="7"/>
  <c r="E2210" i="7"/>
  <c r="A2210" i="7"/>
  <c r="N2209" i="7"/>
  <c r="H2209" i="7"/>
  <c r="D2209" i="7"/>
  <c r="Q2208" i="7"/>
  <c r="K2208" i="7"/>
  <c r="F2208" i="7"/>
  <c r="B2208" i="7"/>
  <c r="H2207" i="7"/>
  <c r="D2207" i="7"/>
  <c r="Q2206" i="7"/>
  <c r="L2206" i="7"/>
  <c r="G2206" i="7"/>
  <c r="C2206" i="7"/>
  <c r="J2205" i="7"/>
  <c r="E2205" i="7"/>
  <c r="A2205" i="7"/>
  <c r="N2204" i="7"/>
  <c r="H2204" i="7"/>
  <c r="D2204" i="7"/>
  <c r="Q2203" i="7"/>
  <c r="M2203" i="7"/>
  <c r="H2203" i="7"/>
  <c r="D2203" i="7"/>
  <c r="Q2202" i="7"/>
  <c r="K2202" i="7"/>
  <c r="F2202" i="7"/>
  <c r="B2202" i="7"/>
  <c r="H2201" i="7"/>
  <c r="D2201" i="7"/>
  <c r="Q2200" i="7"/>
  <c r="K2200" i="7"/>
  <c r="F2200" i="7"/>
  <c r="B2200" i="7"/>
  <c r="H2199" i="7"/>
  <c r="D2199" i="7"/>
  <c r="Q2198" i="7"/>
  <c r="K2198" i="7"/>
  <c r="F2198" i="7"/>
  <c r="B2198" i="7"/>
  <c r="H2197" i="7"/>
  <c r="D2197" i="7"/>
  <c r="Q2196" i="7"/>
  <c r="K2196" i="7"/>
  <c r="F2196" i="7"/>
  <c r="B2196" i="7"/>
  <c r="H2195" i="7"/>
  <c r="D2195" i="7"/>
  <c r="Q2194" i="7"/>
  <c r="K2194" i="7"/>
  <c r="F2194" i="7"/>
  <c r="B2194" i="7"/>
  <c r="H2193" i="7"/>
  <c r="D2193" i="7"/>
  <c r="Q2192" i="7"/>
  <c r="K2192" i="7"/>
  <c r="F2192" i="7"/>
  <c r="B2192" i="7"/>
  <c r="H2191" i="7"/>
  <c r="D2191" i="7"/>
  <c r="Q2190" i="7"/>
  <c r="K2190" i="7"/>
  <c r="F2190" i="7"/>
  <c r="B2190" i="7"/>
  <c r="H2189" i="7"/>
  <c r="D2189" i="7"/>
  <c r="Q2188" i="7"/>
  <c r="K2188" i="7"/>
  <c r="F2188" i="7"/>
  <c r="B2188" i="7"/>
  <c r="H2187" i="7"/>
  <c r="D2187" i="7"/>
  <c r="Q2186" i="7"/>
  <c r="K2186" i="7"/>
  <c r="F2186" i="7"/>
  <c r="B2186" i="7"/>
  <c r="H2185" i="7"/>
  <c r="D2185" i="7"/>
  <c r="Q2184" i="7"/>
  <c r="K2184" i="7"/>
  <c r="F2184" i="7"/>
  <c r="B2184" i="7"/>
  <c r="H2183" i="7"/>
  <c r="D2183" i="7"/>
  <c r="Q2182" i="7"/>
  <c r="K2182" i="7"/>
  <c r="F2182" i="7"/>
  <c r="B2182" i="7"/>
  <c r="H2181" i="7"/>
  <c r="D2181" i="7"/>
  <c r="Q2180" i="7"/>
  <c r="K2180" i="7"/>
  <c r="F2180" i="7"/>
  <c r="B2180" i="7"/>
  <c r="H2179" i="7"/>
  <c r="D2179" i="7"/>
  <c r="Q2178" i="7"/>
  <c r="K2178" i="7"/>
  <c r="F2178" i="7"/>
  <c r="B2178" i="7"/>
  <c r="H2177" i="7"/>
  <c r="D2177" i="7"/>
  <c r="Q2176" i="7"/>
  <c r="K2176" i="7"/>
  <c r="F2176" i="7"/>
  <c r="B2176" i="7"/>
  <c r="H2175" i="7"/>
  <c r="D2175" i="7"/>
  <c r="Q2174" i="7"/>
  <c r="K2174" i="7"/>
  <c r="F2174" i="7"/>
  <c r="B2174" i="7"/>
  <c r="H2173" i="7"/>
  <c r="D2173" i="7"/>
  <c r="Q2172" i="7"/>
  <c r="K2172" i="7"/>
  <c r="F2172" i="7"/>
  <c r="B2172" i="7"/>
  <c r="H2171" i="7"/>
  <c r="D2171" i="7"/>
  <c r="Q2170" i="7"/>
  <c r="K2170" i="7"/>
  <c r="F2170" i="7"/>
  <c r="B2170" i="7"/>
  <c r="H2169" i="7"/>
  <c r="D2169" i="7"/>
  <c r="Q2168" i="7"/>
  <c r="K2168" i="7"/>
  <c r="F2168" i="7"/>
  <c r="B2168" i="7"/>
  <c r="H2167" i="7"/>
  <c r="D2167" i="7"/>
  <c r="Q2166" i="7"/>
  <c r="K2166" i="7"/>
  <c r="F2166" i="7"/>
  <c r="B2166" i="7"/>
  <c r="H2165" i="7"/>
  <c r="D2165" i="7"/>
  <c r="Q2164" i="7"/>
  <c r="K2164" i="7"/>
  <c r="F2164" i="7"/>
  <c r="B2164" i="7"/>
  <c r="H2163" i="7"/>
  <c r="D2163" i="7"/>
  <c r="Q2162" i="7"/>
  <c r="K2162" i="7"/>
  <c r="F2162" i="7"/>
  <c r="B2162" i="7"/>
  <c r="J2161" i="7"/>
  <c r="E2161" i="7"/>
  <c r="A2161" i="7"/>
  <c r="N2160" i="7"/>
  <c r="G2160" i="7"/>
  <c r="C2160" i="7"/>
  <c r="J2159" i="7"/>
  <c r="E2159" i="7"/>
  <c r="A2159" i="7"/>
  <c r="N2158" i="7"/>
  <c r="G2158" i="7"/>
  <c r="C2158" i="7"/>
  <c r="J2157" i="7"/>
  <c r="E2157" i="7"/>
  <c r="A2157" i="7"/>
  <c r="N2156" i="7"/>
  <c r="G2156" i="7"/>
  <c r="C2156" i="7"/>
  <c r="J2155" i="7"/>
  <c r="E2155" i="7"/>
  <c r="A2155" i="7"/>
  <c r="N2154" i="7"/>
  <c r="G2154" i="7"/>
  <c r="C2154" i="7"/>
  <c r="J2153" i="7"/>
  <c r="E2153" i="7"/>
  <c r="A2153" i="7"/>
  <c r="N2152" i="7"/>
  <c r="G2152" i="7"/>
  <c r="C2152" i="7"/>
  <c r="J2151" i="7"/>
  <c r="E2151" i="7"/>
  <c r="A2151" i="7"/>
  <c r="N2150" i="7"/>
  <c r="G2150" i="7"/>
  <c r="C2150" i="7"/>
  <c r="J2149" i="7"/>
  <c r="E2149" i="7"/>
  <c r="A2149" i="7"/>
  <c r="N2148" i="7"/>
  <c r="G2148" i="7"/>
  <c r="C2148" i="7"/>
  <c r="J2147" i="7"/>
  <c r="E2147" i="7"/>
  <c r="A2147" i="7"/>
  <c r="N2146" i="7"/>
  <c r="G2146" i="7"/>
  <c r="C2146" i="7"/>
  <c r="J2145" i="7"/>
  <c r="E2145" i="7"/>
  <c r="A2145" i="7"/>
  <c r="N2144" i="7"/>
  <c r="H2144" i="7"/>
  <c r="D2144" i="7"/>
  <c r="Q2143" i="7"/>
  <c r="K2143" i="7"/>
  <c r="F2143" i="7"/>
  <c r="B2143" i="7"/>
  <c r="J2142" i="7"/>
  <c r="E2142" i="7"/>
  <c r="A2142" i="7"/>
  <c r="N2141" i="7"/>
  <c r="H2141" i="7"/>
  <c r="D2141" i="7"/>
  <c r="Q2140" i="7"/>
  <c r="L2140" i="7"/>
  <c r="G2140" i="7"/>
  <c r="C2140" i="7"/>
  <c r="J2139" i="7"/>
  <c r="E2139" i="7"/>
  <c r="A2139" i="7"/>
  <c r="N2138" i="7"/>
  <c r="G2138" i="7"/>
  <c r="C2138" i="7"/>
  <c r="J2137" i="7"/>
  <c r="E2137" i="7"/>
  <c r="A2137" i="7"/>
  <c r="N2136" i="7"/>
  <c r="G2136" i="7"/>
  <c r="C2136" i="7"/>
  <c r="J2135" i="7"/>
  <c r="E2135" i="7"/>
  <c r="A2135" i="7"/>
  <c r="N2134" i="7"/>
  <c r="G2134" i="7"/>
  <c r="C2134" i="7"/>
  <c r="J2133" i="7"/>
  <c r="E2133" i="7"/>
  <c r="A2133" i="7"/>
  <c r="N2132" i="7"/>
  <c r="G2132" i="7"/>
  <c r="C2132" i="7"/>
  <c r="J2131" i="7"/>
  <c r="E2131" i="7"/>
  <c r="A2131" i="7"/>
  <c r="N2130" i="7"/>
  <c r="G2130" i="7"/>
  <c r="C2130" i="7"/>
  <c r="J2129" i="7"/>
  <c r="E2129" i="7"/>
  <c r="A2129" i="7"/>
  <c r="N2128" i="7"/>
  <c r="G2128" i="7"/>
  <c r="C2128" i="7"/>
  <c r="K2127" i="7"/>
  <c r="F2127" i="7"/>
  <c r="B2127" i="7"/>
  <c r="H2126" i="7"/>
  <c r="D2126" i="7"/>
  <c r="Q2125" i="7"/>
  <c r="K2125" i="7"/>
  <c r="F2125" i="7"/>
  <c r="B2125" i="7"/>
  <c r="H2124" i="7"/>
  <c r="D2124" i="7"/>
  <c r="Q2123" i="7"/>
  <c r="K2123" i="7"/>
  <c r="F2123" i="7"/>
  <c r="B2123" i="7"/>
  <c r="H2122" i="7"/>
  <c r="D2122" i="7"/>
  <c r="Q2121" i="7"/>
  <c r="K2121" i="7"/>
  <c r="F2121" i="7"/>
  <c r="B2121" i="7"/>
  <c r="H2120" i="7"/>
  <c r="D2120" i="7"/>
  <c r="Q2119" i="7"/>
  <c r="M2119" i="7"/>
  <c r="H2119" i="7"/>
  <c r="D2119" i="7"/>
  <c r="Q2118" i="7"/>
  <c r="K2118" i="7"/>
  <c r="F2118" i="7"/>
  <c r="B2118" i="7"/>
  <c r="H2117" i="7"/>
  <c r="D2117" i="7"/>
  <c r="Q2116" i="7"/>
  <c r="K2116" i="7"/>
  <c r="F2116" i="7"/>
  <c r="B2116" i="7"/>
  <c r="H2115" i="7"/>
  <c r="D2115" i="7"/>
  <c r="Q2114" i="7"/>
  <c r="K2114" i="7"/>
  <c r="F2114" i="7"/>
  <c r="B2114" i="7"/>
  <c r="H2113" i="7"/>
  <c r="D2113" i="7"/>
  <c r="Q2112" i="7"/>
  <c r="K2112" i="7"/>
  <c r="F2112" i="7"/>
  <c r="B2112" i="7"/>
  <c r="H2111" i="7"/>
  <c r="D2111" i="7"/>
  <c r="Q2110" i="7"/>
  <c r="K2110" i="7"/>
  <c r="F2110" i="7"/>
  <c r="B2110" i="7"/>
  <c r="H2109" i="7"/>
  <c r="D2109" i="7"/>
  <c r="Q2108" i="7"/>
  <c r="M2108" i="7"/>
  <c r="H2108" i="7"/>
  <c r="D2108" i="7"/>
  <c r="Q2107" i="7"/>
  <c r="K2107" i="7"/>
  <c r="F2107" i="7"/>
  <c r="B2107" i="7"/>
  <c r="H2106" i="7"/>
  <c r="D2106" i="7"/>
  <c r="Q2105" i="7"/>
  <c r="L2105" i="7"/>
  <c r="G2105" i="7"/>
  <c r="C2105" i="7"/>
  <c r="J2104" i="7"/>
  <c r="E2104" i="7"/>
  <c r="A2104" i="7"/>
  <c r="N2103" i="7"/>
  <c r="H2103" i="7"/>
  <c r="D2103" i="7"/>
  <c r="Q2102" i="7"/>
  <c r="D2102" i="7"/>
  <c r="Q2100" i="7"/>
  <c r="D2100" i="7"/>
  <c r="Q2098" i="7"/>
  <c r="D2098" i="7"/>
  <c r="Q2096" i="7"/>
  <c r="D2096" i="7"/>
  <c r="Q2094" i="7"/>
  <c r="D2094" i="7"/>
  <c r="Q2092" i="7"/>
  <c r="D2092" i="7"/>
  <c r="Q2090" i="7"/>
  <c r="D2090" i="7"/>
  <c r="Q2088" i="7"/>
  <c r="D2088" i="7"/>
  <c r="Q2086" i="7"/>
  <c r="D2086" i="7"/>
  <c r="Q2084" i="7"/>
  <c r="D2084" i="7"/>
  <c r="Q2082" i="7"/>
  <c r="D2082" i="7"/>
  <c r="M2470" i="7"/>
  <c r="Q2468" i="7"/>
  <c r="B2468" i="7"/>
  <c r="F2467" i="7"/>
  <c r="K2466" i="7"/>
  <c r="A2464" i="7"/>
  <c r="D2463" i="7"/>
  <c r="G2462" i="7"/>
  <c r="F2461" i="7"/>
  <c r="J2460" i="7"/>
  <c r="N2459" i="7"/>
  <c r="A2458" i="7"/>
  <c r="E2457" i="7"/>
  <c r="J2456" i="7"/>
  <c r="N2455" i="7"/>
  <c r="A2454" i="7"/>
  <c r="E2453" i="7"/>
  <c r="J2452" i="7"/>
  <c r="N2451" i="7"/>
  <c r="A2450" i="7"/>
  <c r="E2449" i="7"/>
  <c r="J2448" i="7"/>
  <c r="N2447" i="7"/>
  <c r="A2446" i="7"/>
  <c r="E2445" i="7"/>
  <c r="J2444" i="7"/>
  <c r="N2443" i="7"/>
  <c r="A2442" i="7"/>
  <c r="E2441" i="7"/>
  <c r="H2440" i="7"/>
  <c r="M2439" i="7"/>
  <c r="L2438" i="7"/>
  <c r="L2437" i="7"/>
  <c r="K2436" i="7"/>
  <c r="A2434" i="7"/>
  <c r="E2433" i="7"/>
  <c r="J2432" i="7"/>
  <c r="N2431" i="7"/>
  <c r="A2430" i="7"/>
  <c r="E2429" i="7"/>
  <c r="J2428" i="7"/>
  <c r="N2427" i="7"/>
  <c r="A2426" i="7"/>
  <c r="E2425" i="7"/>
  <c r="J2424" i="7"/>
  <c r="N2423" i="7"/>
  <c r="A2422" i="7"/>
  <c r="E2421" i="7"/>
  <c r="J2420" i="7"/>
  <c r="N2419" i="7"/>
  <c r="A2418" i="7"/>
  <c r="E2417" i="7"/>
  <c r="J2416" i="7"/>
  <c r="N2415" i="7"/>
  <c r="A2414" i="7"/>
  <c r="E2413" i="7"/>
  <c r="J2412" i="7"/>
  <c r="N2411" i="7"/>
  <c r="A2410" i="7"/>
  <c r="E2409" i="7"/>
  <c r="J2408" i="7"/>
  <c r="N2407" i="7"/>
  <c r="Q2405" i="7"/>
  <c r="C2405" i="7"/>
  <c r="B2404" i="7"/>
  <c r="F2403" i="7"/>
  <c r="F2402" i="7"/>
  <c r="F2401" i="7"/>
  <c r="F2400" i="7"/>
  <c r="F2399" i="7"/>
  <c r="F2398" i="7"/>
  <c r="F2397" i="7"/>
  <c r="D2396" i="7"/>
  <c r="C2395" i="7"/>
  <c r="C2394" i="7"/>
  <c r="L2392" i="7"/>
  <c r="E2391" i="7"/>
  <c r="C2390" i="7"/>
  <c r="C2389" i="7"/>
  <c r="D2388" i="7"/>
  <c r="D2387" i="7"/>
  <c r="H2386" i="7"/>
  <c r="I2385" i="7"/>
  <c r="N2384" i="7"/>
  <c r="F2384" i="7"/>
  <c r="F2383" i="7"/>
  <c r="J2382" i="7"/>
  <c r="A2382" i="7"/>
  <c r="I2381" i="7"/>
  <c r="A2381" i="7"/>
  <c r="J2380" i="7"/>
  <c r="B2380" i="7"/>
  <c r="K2379" i="7"/>
  <c r="B2379" i="7"/>
  <c r="K2378" i="7"/>
  <c r="B2378" i="7"/>
  <c r="J2377" i="7"/>
  <c r="B2377" i="7"/>
  <c r="K2376" i="7"/>
  <c r="B2376" i="7"/>
  <c r="J2375" i="7"/>
  <c r="B2375" i="7"/>
  <c r="J2374" i="7"/>
  <c r="B2374" i="7"/>
  <c r="J2373" i="7"/>
  <c r="B2373" i="7"/>
  <c r="J2372" i="7"/>
  <c r="B2372" i="7"/>
  <c r="K2371" i="7"/>
  <c r="B2371" i="7"/>
  <c r="J2370" i="7"/>
  <c r="B2370" i="7"/>
  <c r="A2369" i="7"/>
  <c r="M2368" i="7"/>
  <c r="D2368" i="7"/>
  <c r="N2367" i="7"/>
  <c r="E2367" i="7"/>
  <c r="M2366" i="7"/>
  <c r="E2366" i="7"/>
  <c r="A2365" i="7"/>
  <c r="F2364" i="7"/>
  <c r="I2363" i="7"/>
  <c r="D2363" i="7"/>
  <c r="I2362" i="7"/>
  <c r="D2362" i="7"/>
  <c r="I2361" i="7"/>
  <c r="D2361" i="7"/>
  <c r="J2360" i="7"/>
  <c r="D2360" i="7"/>
  <c r="J2359" i="7"/>
  <c r="D2359" i="7"/>
  <c r="I2358" i="7"/>
  <c r="D2358" i="7"/>
  <c r="A2357" i="7"/>
  <c r="M2356" i="7"/>
  <c r="H2356" i="7"/>
  <c r="B2356" i="7"/>
  <c r="J2355" i="7"/>
  <c r="D2355" i="7"/>
  <c r="K2354" i="7"/>
  <c r="E2354" i="7"/>
  <c r="Q2353" i="7"/>
  <c r="F2353" i="7"/>
  <c r="K2352" i="7"/>
  <c r="E2352" i="7"/>
  <c r="Q2351" i="7"/>
  <c r="K2351" i="7"/>
  <c r="D2351" i="7"/>
  <c r="J2350" i="7"/>
  <c r="D2350" i="7"/>
  <c r="K2349" i="7"/>
  <c r="E2349" i="7"/>
  <c r="Q2348" i="7"/>
  <c r="L2348" i="7"/>
  <c r="E2348" i="7"/>
  <c r="Q2347" i="7"/>
  <c r="K2347" i="7"/>
  <c r="E2347" i="7"/>
  <c r="Q2346" i="7"/>
  <c r="K2346" i="7"/>
  <c r="E2346" i="7"/>
  <c r="Q2345" i="7"/>
  <c r="K2345" i="7"/>
  <c r="E2345" i="7"/>
  <c r="Q2344" i="7"/>
  <c r="K2344" i="7"/>
  <c r="E2344" i="7"/>
  <c r="Q2343" i="7"/>
  <c r="K2343" i="7"/>
  <c r="E2343" i="7"/>
  <c r="Q2342" i="7"/>
  <c r="K2342" i="7"/>
  <c r="G2342" i="7"/>
  <c r="C2342" i="7"/>
  <c r="K2341" i="7"/>
  <c r="G2341" i="7"/>
  <c r="C2341" i="7"/>
  <c r="J2340" i="7"/>
  <c r="E2340" i="7"/>
  <c r="A2340" i="7"/>
  <c r="N2339" i="7"/>
  <c r="H2339" i="7"/>
  <c r="D2339" i="7"/>
  <c r="Q2338" i="7"/>
  <c r="M2338" i="7"/>
  <c r="H2338" i="7"/>
  <c r="D2338" i="7"/>
  <c r="Q2337" i="7"/>
  <c r="L2337" i="7"/>
  <c r="H2337" i="7"/>
  <c r="D2337" i="7"/>
  <c r="Q2336" i="7"/>
  <c r="K2336" i="7"/>
  <c r="F2336" i="7"/>
  <c r="B2336" i="7"/>
  <c r="H2335" i="7"/>
  <c r="D2335" i="7"/>
  <c r="Q2334" i="7"/>
  <c r="M2334" i="7"/>
  <c r="I2334" i="7"/>
  <c r="E2334" i="7"/>
  <c r="A2334" i="7"/>
  <c r="N2333" i="7"/>
  <c r="J2333" i="7"/>
  <c r="F2333" i="7"/>
  <c r="B2333" i="7"/>
  <c r="K2332" i="7"/>
  <c r="G2332" i="7"/>
  <c r="C2332" i="7"/>
  <c r="J2331" i="7"/>
  <c r="E2331" i="7"/>
  <c r="A2331" i="7"/>
  <c r="N2330" i="7"/>
  <c r="G2330" i="7"/>
  <c r="C2330" i="7"/>
  <c r="L2329" i="7"/>
  <c r="G2329" i="7"/>
  <c r="C2329" i="7"/>
  <c r="K2328" i="7"/>
  <c r="F2328" i="7"/>
  <c r="B2328" i="7"/>
  <c r="J2327" i="7"/>
  <c r="F2327" i="7"/>
  <c r="B2327" i="7"/>
  <c r="K2326" i="7"/>
  <c r="G2326" i="7"/>
  <c r="C2326" i="7"/>
  <c r="K2325" i="7"/>
  <c r="F2325" i="7"/>
  <c r="B2325" i="7"/>
  <c r="J2324" i="7"/>
  <c r="F2324" i="7"/>
  <c r="B2324" i="7"/>
  <c r="K2323" i="7"/>
  <c r="G2323" i="7"/>
  <c r="C2323" i="7"/>
  <c r="J2322" i="7"/>
  <c r="E2322" i="7"/>
  <c r="A2322" i="7"/>
  <c r="N2321" i="7"/>
  <c r="G2321" i="7"/>
  <c r="C2321" i="7"/>
  <c r="E2320" i="7"/>
  <c r="L2319" i="7"/>
  <c r="G2319" i="7"/>
  <c r="C2319" i="7"/>
  <c r="L2318" i="7"/>
  <c r="G2318" i="7"/>
  <c r="C2318" i="7"/>
  <c r="K2317" i="7"/>
  <c r="F2317" i="7"/>
  <c r="B2317" i="7"/>
  <c r="J2316" i="7"/>
  <c r="F2316" i="7"/>
  <c r="B2316" i="7"/>
  <c r="J2315" i="7"/>
  <c r="E2315" i="7"/>
  <c r="A2315" i="7"/>
  <c r="N2314" i="7"/>
  <c r="G2314" i="7"/>
  <c r="C2314" i="7"/>
  <c r="K2313" i="7"/>
  <c r="G2313" i="7"/>
  <c r="C2313" i="7"/>
  <c r="L2312" i="7"/>
  <c r="G2312" i="7"/>
  <c r="C2312" i="7"/>
  <c r="L2311" i="7"/>
  <c r="G2311" i="7"/>
  <c r="C2311" i="7"/>
  <c r="K2310" i="7"/>
  <c r="F2310" i="7"/>
  <c r="B2310" i="7"/>
  <c r="J2309" i="7"/>
  <c r="E2309" i="7"/>
  <c r="A2309" i="7"/>
  <c r="N2308" i="7"/>
  <c r="H2308" i="7"/>
  <c r="D2308" i="7"/>
  <c r="Q2307" i="7"/>
  <c r="L2307" i="7"/>
  <c r="G2307" i="7"/>
  <c r="C2307" i="7"/>
  <c r="L2306" i="7"/>
  <c r="G2306" i="7"/>
  <c r="C2306" i="7"/>
  <c r="L2305" i="7"/>
  <c r="G2305" i="7"/>
  <c r="C2305" i="7"/>
  <c r="J2304" i="7"/>
  <c r="E2304" i="7"/>
  <c r="A2304" i="7"/>
  <c r="N2303" i="7"/>
  <c r="H2303" i="7"/>
  <c r="D2303" i="7"/>
  <c r="Q2302" i="7"/>
  <c r="L2302" i="7"/>
  <c r="G2302" i="7"/>
  <c r="C2302" i="7"/>
  <c r="J2301" i="7"/>
  <c r="E2301" i="7"/>
  <c r="A2301" i="7"/>
  <c r="N2300" i="7"/>
  <c r="J2300" i="7"/>
  <c r="E2300" i="7"/>
  <c r="A2300" i="7"/>
  <c r="N2299" i="7"/>
  <c r="J2299" i="7"/>
  <c r="E2299" i="7"/>
  <c r="A2299" i="7"/>
  <c r="N2298" i="7"/>
  <c r="G2298" i="7"/>
  <c r="C2298" i="7"/>
  <c r="J2297" i="7"/>
  <c r="E2297" i="7"/>
  <c r="A2297" i="7"/>
  <c r="N2296" i="7"/>
  <c r="G2296" i="7"/>
  <c r="C2296" i="7"/>
  <c r="J2295" i="7"/>
  <c r="E2295" i="7"/>
  <c r="A2295" i="7"/>
  <c r="N2294" i="7"/>
  <c r="G2294" i="7"/>
  <c r="C2294" i="7"/>
  <c r="J2293" i="7"/>
  <c r="E2293" i="7"/>
  <c r="A2293" i="7"/>
  <c r="N2292" i="7"/>
  <c r="G2292" i="7"/>
  <c r="C2292" i="7"/>
  <c r="J2291" i="7"/>
  <c r="E2291" i="7"/>
  <c r="A2291" i="7"/>
  <c r="N2290" i="7"/>
  <c r="G2290" i="7"/>
  <c r="C2290" i="7"/>
  <c r="K2289" i="7"/>
  <c r="F2289" i="7"/>
  <c r="B2289" i="7"/>
  <c r="H2288" i="7"/>
  <c r="D2288" i="7"/>
  <c r="Q2287" i="7"/>
  <c r="K2287" i="7"/>
  <c r="F2287" i="7"/>
  <c r="B2287" i="7"/>
  <c r="H2286" i="7"/>
  <c r="D2286" i="7"/>
  <c r="Q2285" i="7"/>
  <c r="K2285" i="7"/>
  <c r="F2285" i="7"/>
  <c r="B2285" i="7"/>
  <c r="H2284" i="7"/>
  <c r="D2284" i="7"/>
  <c r="Q2283" i="7"/>
  <c r="K2283" i="7"/>
  <c r="F2283" i="7"/>
  <c r="B2283" i="7"/>
  <c r="H2282" i="7"/>
  <c r="D2282" i="7"/>
  <c r="Q2281" i="7"/>
  <c r="K2281" i="7"/>
  <c r="F2281" i="7"/>
  <c r="B2281" i="7"/>
  <c r="H2280" i="7"/>
  <c r="D2280" i="7"/>
  <c r="Q2279" i="7"/>
  <c r="M2279" i="7"/>
  <c r="H2279" i="7"/>
  <c r="D2279" i="7"/>
  <c r="Q2278" i="7"/>
  <c r="M2278" i="7"/>
  <c r="H2278" i="7"/>
  <c r="D2278" i="7"/>
  <c r="Q2277" i="7"/>
  <c r="M2277" i="7"/>
  <c r="H2277" i="7"/>
  <c r="D2277" i="7"/>
  <c r="Q2276" i="7"/>
  <c r="K2276" i="7"/>
  <c r="F2276" i="7"/>
  <c r="B2276" i="7"/>
  <c r="H2275" i="7"/>
  <c r="D2275" i="7"/>
  <c r="Q2274" i="7"/>
  <c r="M2274" i="7"/>
  <c r="I2274" i="7"/>
  <c r="E2274" i="7"/>
  <c r="A2274" i="7"/>
  <c r="N2273" i="7"/>
  <c r="H2273" i="7"/>
  <c r="D2273" i="7"/>
  <c r="Q2272" i="7"/>
  <c r="L2272" i="7"/>
  <c r="G2272" i="7"/>
  <c r="C2272" i="7"/>
  <c r="K2271" i="7"/>
  <c r="F2271" i="7"/>
  <c r="B2271" i="7"/>
  <c r="K2270" i="7"/>
  <c r="F2270" i="7"/>
  <c r="B2270" i="7"/>
  <c r="H2269" i="7"/>
  <c r="D2269" i="7"/>
  <c r="Q2268" i="7"/>
  <c r="L2268" i="7"/>
  <c r="G2268" i="7"/>
  <c r="C2268" i="7"/>
  <c r="J2267" i="7"/>
  <c r="E2267" i="7"/>
  <c r="A2267" i="7"/>
  <c r="N2266" i="7"/>
  <c r="H2266" i="7"/>
  <c r="D2266" i="7"/>
  <c r="Q2265" i="7"/>
  <c r="L2265" i="7"/>
  <c r="G2265" i="7"/>
  <c r="C2265" i="7"/>
  <c r="K2264" i="7"/>
  <c r="F2264" i="7"/>
  <c r="B2264" i="7"/>
  <c r="J2263" i="7"/>
  <c r="E2263" i="7"/>
  <c r="A2263" i="7"/>
  <c r="N2262" i="7"/>
  <c r="H2262" i="7"/>
  <c r="D2262" i="7"/>
  <c r="Q2261" i="7"/>
  <c r="K2261" i="7"/>
  <c r="F2261" i="7"/>
  <c r="B2261" i="7"/>
  <c r="K2260" i="7"/>
  <c r="F2260" i="7"/>
  <c r="B2260" i="7"/>
  <c r="J2259" i="7"/>
  <c r="E2259" i="7"/>
  <c r="A2259" i="7"/>
  <c r="N2258" i="7"/>
  <c r="G2258" i="7"/>
  <c r="C2258" i="7"/>
  <c r="J2257" i="7"/>
  <c r="E2257" i="7"/>
  <c r="A2257" i="7"/>
  <c r="N2256" i="7"/>
  <c r="G2256" i="7"/>
  <c r="C2256" i="7"/>
  <c r="J2255" i="7"/>
  <c r="E2255" i="7"/>
  <c r="A2255" i="7"/>
  <c r="N2254" i="7"/>
  <c r="G2254" i="7"/>
  <c r="C2254" i="7"/>
  <c r="J2253" i="7"/>
  <c r="E2253" i="7"/>
  <c r="A2253" i="7"/>
  <c r="N2252" i="7"/>
  <c r="G2252" i="7"/>
  <c r="C2252" i="7"/>
  <c r="J2251" i="7"/>
  <c r="E2251" i="7"/>
  <c r="A2251" i="7"/>
  <c r="N2250" i="7"/>
  <c r="G2250" i="7"/>
  <c r="C2250" i="7"/>
  <c r="J2249" i="7"/>
  <c r="E2249" i="7"/>
  <c r="A2249" i="7"/>
  <c r="N2248" i="7"/>
  <c r="G2248" i="7"/>
  <c r="C2248" i="7"/>
  <c r="J2247" i="7"/>
  <c r="E2247" i="7"/>
  <c r="A2247" i="7"/>
  <c r="N2246" i="7"/>
  <c r="H2246" i="7"/>
  <c r="D2246" i="7"/>
  <c r="Q2245" i="7"/>
  <c r="K2245" i="7"/>
  <c r="F2245" i="7"/>
  <c r="B2245" i="7"/>
  <c r="H2244" i="7"/>
  <c r="D2244" i="7"/>
  <c r="Q2243" i="7"/>
  <c r="K2243" i="7"/>
  <c r="F2243" i="7"/>
  <c r="B2243" i="7"/>
  <c r="H2242" i="7"/>
  <c r="D2242" i="7"/>
  <c r="Q2241" i="7"/>
  <c r="L2241" i="7"/>
  <c r="G2241" i="7"/>
  <c r="C2241" i="7"/>
  <c r="K2240" i="7"/>
  <c r="F2240" i="7"/>
  <c r="B2240" i="7"/>
  <c r="J2239" i="7"/>
  <c r="E2239" i="7"/>
  <c r="A2239" i="7"/>
  <c r="N2238" i="7"/>
  <c r="H2238" i="7"/>
  <c r="D2238" i="7"/>
  <c r="Q2237" i="7"/>
  <c r="K2237" i="7"/>
  <c r="F2237" i="7"/>
  <c r="B2237" i="7"/>
  <c r="H2236" i="7"/>
  <c r="D2236" i="7"/>
  <c r="Q2235" i="7"/>
  <c r="K2235" i="7"/>
  <c r="F2235" i="7"/>
  <c r="B2235" i="7"/>
  <c r="H2234" i="7"/>
  <c r="D2234" i="7"/>
  <c r="Q2233" i="7"/>
  <c r="M2233" i="7"/>
  <c r="H2233" i="7"/>
  <c r="D2233" i="7"/>
  <c r="Q2232" i="7"/>
  <c r="K2232" i="7"/>
  <c r="F2232" i="7"/>
  <c r="B2232" i="7"/>
  <c r="H2231" i="7"/>
  <c r="D2231" i="7"/>
  <c r="Q2230" i="7"/>
  <c r="K2230" i="7"/>
  <c r="F2230" i="7"/>
  <c r="B2230" i="7"/>
  <c r="H2229" i="7"/>
  <c r="D2229" i="7"/>
  <c r="Q2228" i="7"/>
  <c r="K2228" i="7"/>
  <c r="F2228" i="7"/>
  <c r="B2228" i="7"/>
  <c r="J2227" i="7"/>
  <c r="E2227" i="7"/>
  <c r="A2227" i="7"/>
  <c r="N2226" i="7"/>
  <c r="G2226" i="7"/>
  <c r="C2226" i="7"/>
  <c r="J2225" i="7"/>
  <c r="E2225" i="7"/>
  <c r="A2225" i="7"/>
  <c r="N2224" i="7"/>
  <c r="G2224" i="7"/>
  <c r="C2224" i="7"/>
  <c r="J2223" i="7"/>
  <c r="E2223" i="7"/>
  <c r="A2223" i="7"/>
  <c r="N2222" i="7"/>
  <c r="G2222" i="7"/>
  <c r="C2222" i="7"/>
  <c r="J2221" i="7"/>
  <c r="E2221" i="7"/>
  <c r="A2221" i="7"/>
  <c r="N2220" i="7"/>
  <c r="H2220" i="7"/>
  <c r="D2220" i="7"/>
  <c r="Q2219" i="7"/>
  <c r="L2219" i="7"/>
  <c r="G2219" i="7"/>
  <c r="C2219" i="7"/>
  <c r="K2218" i="7"/>
  <c r="F2218" i="7"/>
  <c r="B2218" i="7"/>
  <c r="J2217" i="7"/>
  <c r="E2217" i="7"/>
  <c r="A2217" i="7"/>
  <c r="N2216" i="7"/>
  <c r="H2216" i="7"/>
  <c r="D2216" i="7"/>
  <c r="Q2215" i="7"/>
  <c r="L2215" i="7"/>
  <c r="G2215" i="7"/>
  <c r="C2215" i="7"/>
  <c r="K2214" i="7"/>
  <c r="F2214" i="7"/>
  <c r="B2214" i="7"/>
  <c r="H2213" i="7"/>
  <c r="D2213" i="7"/>
  <c r="Q2212" i="7"/>
  <c r="K2212" i="7"/>
  <c r="F2212" i="7"/>
  <c r="B2212" i="7"/>
  <c r="J2211" i="7"/>
  <c r="E2211" i="7"/>
  <c r="A2211" i="7"/>
  <c r="N2210" i="7"/>
  <c r="H2210" i="7"/>
  <c r="D2210" i="7"/>
  <c r="Q2209" i="7"/>
  <c r="L2209" i="7"/>
  <c r="G2209" i="7"/>
  <c r="C2209" i="7"/>
  <c r="J2208" i="7"/>
  <c r="E2208" i="7"/>
  <c r="A2208" i="7"/>
  <c r="N2207" i="7"/>
  <c r="G2207" i="7"/>
  <c r="C2207" i="7"/>
  <c r="K2206" i="7"/>
  <c r="F2206" i="7"/>
  <c r="B2206" i="7"/>
  <c r="H2205" i="7"/>
  <c r="D2205" i="7"/>
  <c r="Q2204" i="7"/>
  <c r="L2204" i="7"/>
  <c r="G2204" i="7"/>
  <c r="C2204" i="7"/>
  <c r="L2203" i="7"/>
  <c r="G2203" i="7"/>
  <c r="C2203" i="7"/>
  <c r="J2202" i="7"/>
  <c r="E2202" i="7"/>
  <c r="A2202" i="7"/>
  <c r="N2201" i="7"/>
  <c r="G2201" i="7"/>
  <c r="C2201" i="7"/>
  <c r="J2200" i="7"/>
  <c r="E2200" i="7"/>
  <c r="A2200" i="7"/>
  <c r="N2199" i="7"/>
  <c r="G2199" i="7"/>
  <c r="C2199" i="7"/>
  <c r="J2198" i="7"/>
  <c r="E2198" i="7"/>
  <c r="A2198" i="7"/>
  <c r="N2197" i="7"/>
  <c r="G2197" i="7"/>
  <c r="C2197" i="7"/>
  <c r="J2196" i="7"/>
  <c r="E2196" i="7"/>
  <c r="A2196" i="7"/>
  <c r="N2195" i="7"/>
  <c r="G2195" i="7"/>
  <c r="C2195" i="7"/>
  <c r="J2194" i="7"/>
  <c r="E2194" i="7"/>
  <c r="A2194" i="7"/>
  <c r="N2193" i="7"/>
  <c r="G2193" i="7"/>
  <c r="C2193" i="7"/>
  <c r="J2192" i="7"/>
  <c r="E2192" i="7"/>
  <c r="A2192" i="7"/>
  <c r="N2191" i="7"/>
  <c r="G2191" i="7"/>
  <c r="C2191" i="7"/>
  <c r="J2190" i="7"/>
  <c r="E2190" i="7"/>
  <c r="A2190" i="7"/>
  <c r="N2189" i="7"/>
  <c r="G2189" i="7"/>
  <c r="C2189" i="7"/>
  <c r="J2188" i="7"/>
  <c r="E2188" i="7"/>
  <c r="A2188" i="7"/>
  <c r="N2187" i="7"/>
  <c r="G2187" i="7"/>
  <c r="C2187" i="7"/>
  <c r="J2186" i="7"/>
  <c r="E2186" i="7"/>
  <c r="A2186" i="7"/>
  <c r="N2185" i="7"/>
  <c r="G2185" i="7"/>
  <c r="C2185" i="7"/>
  <c r="J2184" i="7"/>
  <c r="E2184" i="7"/>
  <c r="A2184" i="7"/>
  <c r="N2183" i="7"/>
  <c r="G2183" i="7"/>
  <c r="C2183" i="7"/>
  <c r="J2182" i="7"/>
  <c r="E2182" i="7"/>
  <c r="A2182" i="7"/>
  <c r="N2181" i="7"/>
  <c r="G2181" i="7"/>
  <c r="C2181" i="7"/>
  <c r="J2180" i="7"/>
  <c r="E2180" i="7"/>
  <c r="A2180" i="7"/>
  <c r="N2179" i="7"/>
  <c r="G2179" i="7"/>
  <c r="C2179" i="7"/>
  <c r="J2178" i="7"/>
  <c r="E2178" i="7"/>
  <c r="A2178" i="7"/>
  <c r="N2177" i="7"/>
  <c r="G2177" i="7"/>
  <c r="C2177" i="7"/>
  <c r="J2176" i="7"/>
  <c r="E2176" i="7"/>
  <c r="A2176" i="7"/>
  <c r="N2175" i="7"/>
  <c r="G2175" i="7"/>
  <c r="C2175" i="7"/>
  <c r="J2174" i="7"/>
  <c r="E2174" i="7"/>
  <c r="A2174" i="7"/>
  <c r="N2173" i="7"/>
  <c r="G2173" i="7"/>
  <c r="C2173" i="7"/>
  <c r="J2172" i="7"/>
  <c r="E2172" i="7"/>
  <c r="A2172" i="7"/>
  <c r="N2171" i="7"/>
  <c r="G2171" i="7"/>
  <c r="C2171" i="7"/>
  <c r="J2170" i="7"/>
  <c r="E2170" i="7"/>
  <c r="A2170" i="7"/>
  <c r="N2169" i="7"/>
  <c r="G2169" i="7"/>
  <c r="C2169" i="7"/>
  <c r="J2168" i="7"/>
  <c r="E2168" i="7"/>
  <c r="A2168" i="7"/>
  <c r="N2167" i="7"/>
  <c r="G2167" i="7"/>
  <c r="C2167" i="7"/>
  <c r="J2166" i="7"/>
  <c r="E2166" i="7"/>
  <c r="A2166" i="7"/>
  <c r="N2165" i="7"/>
  <c r="G2165" i="7"/>
  <c r="C2165" i="7"/>
  <c r="J2164" i="7"/>
  <c r="E2164" i="7"/>
  <c r="A2164" i="7"/>
  <c r="N2163" i="7"/>
  <c r="G2163" i="7"/>
  <c r="C2163" i="7"/>
  <c r="J2162" i="7"/>
  <c r="E2162" i="7"/>
  <c r="A2162" i="7"/>
  <c r="N2161" i="7"/>
  <c r="H2161" i="7"/>
  <c r="D2161" i="7"/>
  <c r="Q2160" i="7"/>
  <c r="K2160" i="7"/>
  <c r="F2160" i="7"/>
  <c r="B2160" i="7"/>
  <c r="H2159" i="7"/>
  <c r="D2159" i="7"/>
  <c r="Q2158" i="7"/>
  <c r="K2158" i="7"/>
  <c r="F2158" i="7"/>
  <c r="B2158" i="7"/>
  <c r="H2157" i="7"/>
  <c r="D2157" i="7"/>
  <c r="Q2156" i="7"/>
  <c r="K2156" i="7"/>
  <c r="F2156" i="7"/>
  <c r="B2156" i="7"/>
  <c r="H2155" i="7"/>
  <c r="D2155" i="7"/>
  <c r="Q2154" i="7"/>
  <c r="K2154" i="7"/>
  <c r="F2154" i="7"/>
  <c r="B2154" i="7"/>
  <c r="H2153" i="7"/>
  <c r="D2153" i="7"/>
  <c r="Q2152" i="7"/>
  <c r="K2152" i="7"/>
  <c r="F2152" i="7"/>
  <c r="B2152" i="7"/>
  <c r="H2151" i="7"/>
  <c r="D2151" i="7"/>
  <c r="Q2150" i="7"/>
  <c r="K2150" i="7"/>
  <c r="F2150" i="7"/>
  <c r="B2150" i="7"/>
  <c r="H2149" i="7"/>
  <c r="D2149" i="7"/>
  <c r="Q2148" i="7"/>
  <c r="K2148" i="7"/>
  <c r="F2148" i="7"/>
  <c r="B2148" i="7"/>
  <c r="H2147" i="7"/>
  <c r="D2147" i="7"/>
  <c r="Q2146" i="7"/>
  <c r="K2146" i="7"/>
  <c r="F2146" i="7"/>
  <c r="B2146" i="7"/>
  <c r="H2145" i="7"/>
  <c r="D2145" i="7"/>
  <c r="Q2144" i="7"/>
  <c r="L2144" i="7"/>
  <c r="G2144" i="7"/>
  <c r="C2144" i="7"/>
  <c r="J2143" i="7"/>
  <c r="E2143" i="7"/>
  <c r="A2143" i="7"/>
  <c r="N2142" i="7"/>
  <c r="H2142" i="7"/>
  <c r="D2142" i="7"/>
  <c r="Q2141" i="7"/>
  <c r="L2141" i="7"/>
  <c r="G2141" i="7"/>
  <c r="C2141" i="7"/>
  <c r="K2140" i="7"/>
  <c r="F2140" i="7"/>
  <c r="B2140" i="7"/>
  <c r="H2139" i="7"/>
  <c r="D2139" i="7"/>
  <c r="Q2138" i="7"/>
  <c r="K2138" i="7"/>
  <c r="F2138" i="7"/>
  <c r="B2138" i="7"/>
  <c r="H2137" i="7"/>
  <c r="D2137" i="7"/>
  <c r="Q2136" i="7"/>
  <c r="K2136" i="7"/>
  <c r="F2136" i="7"/>
  <c r="B2136" i="7"/>
  <c r="H2135" i="7"/>
  <c r="D2135" i="7"/>
  <c r="Q2134" i="7"/>
  <c r="K2134" i="7"/>
  <c r="F2134" i="7"/>
  <c r="B2134" i="7"/>
  <c r="H2133" i="7"/>
  <c r="D2133" i="7"/>
  <c r="Q2132" i="7"/>
  <c r="K2132" i="7"/>
  <c r="F2132" i="7"/>
  <c r="B2132" i="7"/>
  <c r="H2131" i="7"/>
  <c r="D2131" i="7"/>
  <c r="Q2130" i="7"/>
  <c r="K2130" i="7"/>
  <c r="F2130" i="7"/>
  <c r="B2130" i="7"/>
  <c r="H2129" i="7"/>
  <c r="D2129" i="7"/>
  <c r="Q2128" i="7"/>
  <c r="K2128" i="7"/>
  <c r="F2128" i="7"/>
  <c r="B2128" i="7"/>
  <c r="J2127" i="7"/>
  <c r="E2127" i="7"/>
  <c r="A2127" i="7"/>
  <c r="N2126" i="7"/>
  <c r="G2126" i="7"/>
  <c r="C2126" i="7"/>
  <c r="J2125" i="7"/>
  <c r="E2125" i="7"/>
  <c r="A2125" i="7"/>
  <c r="N2124" i="7"/>
  <c r="G2124" i="7"/>
  <c r="C2124" i="7"/>
  <c r="J2123" i="7"/>
  <c r="E2123" i="7"/>
  <c r="A2123" i="7"/>
  <c r="N2122" i="7"/>
  <c r="G2122" i="7"/>
  <c r="C2122" i="7"/>
  <c r="J2121" i="7"/>
  <c r="E2121" i="7"/>
  <c r="A2121" i="7"/>
  <c r="N2120" i="7"/>
  <c r="G2120" i="7"/>
  <c r="C2120" i="7"/>
  <c r="L2119" i="7"/>
  <c r="G2119" i="7"/>
  <c r="C2119" i="7"/>
  <c r="J2118" i="7"/>
  <c r="E2118" i="7"/>
  <c r="A2118" i="7"/>
  <c r="N2117" i="7"/>
  <c r="G2117" i="7"/>
  <c r="C2117" i="7"/>
  <c r="J2116" i="7"/>
  <c r="E2116" i="7"/>
  <c r="A2116" i="7"/>
  <c r="N2115" i="7"/>
  <c r="G2115" i="7"/>
  <c r="C2115" i="7"/>
  <c r="J2114" i="7"/>
  <c r="E2114" i="7"/>
  <c r="A2114" i="7"/>
  <c r="N2113" i="7"/>
  <c r="G2113" i="7"/>
  <c r="C2113" i="7"/>
  <c r="H2470" i="7"/>
  <c r="M2469" i="7"/>
  <c r="B2467" i="7"/>
  <c r="F2466" i="7"/>
  <c r="K2465" i="7"/>
  <c r="Q2462" i="7"/>
  <c r="C2462" i="7"/>
  <c r="B2461" i="7"/>
  <c r="E2460" i="7"/>
  <c r="J2459" i="7"/>
  <c r="N2458" i="7"/>
  <c r="A2457" i="7"/>
  <c r="E2456" i="7"/>
  <c r="J2455" i="7"/>
  <c r="N2454" i="7"/>
  <c r="A2453" i="7"/>
  <c r="E2452" i="7"/>
  <c r="J2451" i="7"/>
  <c r="N2450" i="7"/>
  <c r="A2449" i="7"/>
  <c r="E2448" i="7"/>
  <c r="J2447" i="7"/>
  <c r="N2446" i="7"/>
  <c r="A2445" i="7"/>
  <c r="E2444" i="7"/>
  <c r="J2443" i="7"/>
  <c r="N2442" i="7"/>
  <c r="A2441" i="7"/>
  <c r="D2440" i="7"/>
  <c r="G2439" i="7"/>
  <c r="G2438" i="7"/>
  <c r="G2437" i="7"/>
  <c r="F2436" i="7"/>
  <c r="K2435" i="7"/>
  <c r="A2433" i="7"/>
  <c r="E2432" i="7"/>
  <c r="J2431" i="7"/>
  <c r="N2430" i="7"/>
  <c r="A2429" i="7"/>
  <c r="E2428" i="7"/>
  <c r="J2427" i="7"/>
  <c r="N2426" i="7"/>
  <c r="A2425" i="7"/>
  <c r="E2424" i="7"/>
  <c r="J2423" i="7"/>
  <c r="N2422" i="7"/>
  <c r="A2421" i="7"/>
  <c r="E2420" i="7"/>
  <c r="J2419" i="7"/>
  <c r="N2418" i="7"/>
  <c r="A2417" i="7"/>
  <c r="E2416" i="7"/>
  <c r="J2415" i="7"/>
  <c r="N2414" i="7"/>
  <c r="A2413" i="7"/>
  <c r="E2412" i="7"/>
  <c r="J2411" i="7"/>
  <c r="N2410" i="7"/>
  <c r="A2409" i="7"/>
  <c r="E2408" i="7"/>
  <c r="J2407" i="7"/>
  <c r="N2406" i="7"/>
  <c r="B2403" i="7"/>
  <c r="B2402" i="7"/>
  <c r="B2401" i="7"/>
  <c r="B2400" i="7"/>
  <c r="B2399" i="7"/>
  <c r="B2398" i="7"/>
  <c r="B2397" i="7"/>
  <c r="G2392" i="7"/>
  <c r="Q2387" i="7"/>
  <c r="Q2386" i="7"/>
  <c r="D2386" i="7"/>
  <c r="E2385" i="7"/>
  <c r="M2384" i="7"/>
  <c r="E2384" i="7"/>
  <c r="M2383" i="7"/>
  <c r="E2383" i="7"/>
  <c r="F2382" i="7"/>
  <c r="F2381" i="7"/>
  <c r="G2380" i="7"/>
  <c r="G2379" i="7"/>
  <c r="G2378" i="7"/>
  <c r="G2377" i="7"/>
  <c r="G2376" i="7"/>
  <c r="G2375" i="7"/>
  <c r="G2374" i="7"/>
  <c r="G2373" i="7"/>
  <c r="G2372" i="7"/>
  <c r="G2371" i="7"/>
  <c r="G2370" i="7"/>
  <c r="Q2368" i="7"/>
  <c r="J2368" i="7"/>
  <c r="A2368" i="7"/>
  <c r="M2367" i="7"/>
  <c r="D2367" i="7"/>
  <c r="L2366" i="7"/>
  <c r="D2366" i="7"/>
  <c r="K2365" i="7"/>
  <c r="Q2364" i="7"/>
  <c r="E2364" i="7"/>
  <c r="M2363" i="7"/>
  <c r="H2363" i="7"/>
  <c r="C2363" i="7"/>
  <c r="M2362" i="7"/>
  <c r="H2362" i="7"/>
  <c r="C2362" i="7"/>
  <c r="M2361" i="7"/>
  <c r="H2361" i="7"/>
  <c r="C2361" i="7"/>
  <c r="N2360" i="7"/>
  <c r="H2360" i="7"/>
  <c r="C2360" i="7"/>
  <c r="N2359" i="7"/>
  <c r="H2359" i="7"/>
  <c r="C2359" i="7"/>
  <c r="M2358" i="7"/>
  <c r="H2358" i="7"/>
  <c r="C2358" i="7"/>
  <c r="K2357" i="7"/>
  <c r="Q2356" i="7"/>
  <c r="L2356" i="7"/>
  <c r="F2356" i="7"/>
  <c r="A2356" i="7"/>
  <c r="N2355" i="7"/>
  <c r="H2355" i="7"/>
  <c r="B2355" i="7"/>
  <c r="J2354" i="7"/>
  <c r="D2354" i="7"/>
  <c r="D2353" i="7"/>
  <c r="J2352" i="7"/>
  <c r="D2352" i="7"/>
  <c r="H2351" i="7"/>
  <c r="C2351" i="7"/>
  <c r="H2350" i="7"/>
  <c r="C2350" i="7"/>
  <c r="I2349" i="7"/>
  <c r="D2349" i="7"/>
  <c r="J2348" i="7"/>
  <c r="D2348" i="7"/>
  <c r="I2347" i="7"/>
  <c r="D2347" i="7"/>
  <c r="I2346" i="7"/>
  <c r="D2346" i="7"/>
  <c r="I2345" i="7"/>
  <c r="D2345" i="7"/>
  <c r="I2344" i="7"/>
  <c r="D2344" i="7"/>
  <c r="I2343" i="7"/>
  <c r="D2343" i="7"/>
  <c r="J2342" i="7"/>
  <c r="F2342" i="7"/>
  <c r="B2342" i="7"/>
  <c r="J2341" i="7"/>
  <c r="F2341" i="7"/>
  <c r="B2341" i="7"/>
  <c r="H2340" i="7"/>
  <c r="D2340" i="7"/>
  <c r="Q2339" i="7"/>
  <c r="L2339" i="7"/>
  <c r="G2339" i="7"/>
  <c r="C2339" i="7"/>
  <c r="L2338" i="7"/>
  <c r="G2338" i="7"/>
  <c r="C2338" i="7"/>
  <c r="K2337" i="7"/>
  <c r="G2337" i="7"/>
  <c r="C2337" i="7"/>
  <c r="J2336" i="7"/>
  <c r="E2336" i="7"/>
  <c r="A2336" i="7"/>
  <c r="N2335" i="7"/>
  <c r="G2335" i="7"/>
  <c r="C2335" i="7"/>
  <c r="L2334" i="7"/>
  <c r="H2334" i="7"/>
  <c r="D2334" i="7"/>
  <c r="Q2333" i="7"/>
  <c r="M2333" i="7"/>
  <c r="I2333" i="7"/>
  <c r="E2333" i="7"/>
  <c r="A2333" i="7"/>
  <c r="N2332" i="7"/>
  <c r="J2332" i="7"/>
  <c r="F2332" i="7"/>
  <c r="B2332" i="7"/>
  <c r="H2331" i="7"/>
  <c r="D2331" i="7"/>
  <c r="Q2330" i="7"/>
  <c r="K2330" i="7"/>
  <c r="F2330" i="7"/>
  <c r="B2330" i="7"/>
  <c r="K2329" i="7"/>
  <c r="F2329" i="7"/>
  <c r="B2329" i="7"/>
  <c r="J2328" i="7"/>
  <c r="E2328" i="7"/>
  <c r="A2328" i="7"/>
  <c r="M2327" i="7"/>
  <c r="I2327" i="7"/>
  <c r="E2327" i="7"/>
  <c r="A2327" i="7"/>
  <c r="N2326" i="7"/>
  <c r="J2326" i="7"/>
  <c r="F2326" i="7"/>
  <c r="B2326" i="7"/>
  <c r="J2325" i="7"/>
  <c r="E2325" i="7"/>
  <c r="A2325" i="7"/>
  <c r="M2324" i="7"/>
  <c r="I2324" i="7"/>
  <c r="E2324" i="7"/>
  <c r="A2324" i="7"/>
  <c r="N2323" i="7"/>
  <c r="J2323" i="7"/>
  <c r="F2323" i="7"/>
  <c r="B2323" i="7"/>
  <c r="H2322" i="7"/>
  <c r="D2322" i="7"/>
  <c r="Q2321" i="7"/>
  <c r="K2321" i="7"/>
  <c r="F2321" i="7"/>
  <c r="B2321" i="7"/>
  <c r="D2320" i="7"/>
  <c r="K2319" i="7"/>
  <c r="F2319" i="7"/>
  <c r="B2319" i="7"/>
  <c r="K2318" i="7"/>
  <c r="F2318" i="7"/>
  <c r="B2318" i="7"/>
  <c r="J2317" i="7"/>
  <c r="E2317" i="7"/>
  <c r="A2317" i="7"/>
  <c r="M2316" i="7"/>
  <c r="I2316" i="7"/>
  <c r="E2316" i="7"/>
  <c r="A2316" i="7"/>
  <c r="N2315" i="7"/>
  <c r="H2315" i="7"/>
  <c r="D2315" i="7"/>
  <c r="Q2314" i="7"/>
  <c r="K2314" i="7"/>
  <c r="F2314" i="7"/>
  <c r="B2314" i="7"/>
  <c r="J2313" i="7"/>
  <c r="F2313" i="7"/>
  <c r="B2313" i="7"/>
  <c r="K2312" i="7"/>
  <c r="F2312" i="7"/>
  <c r="B2312" i="7"/>
  <c r="K2311" i="7"/>
  <c r="F2311" i="7"/>
  <c r="B2311" i="7"/>
  <c r="J2310" i="7"/>
  <c r="E2310" i="7"/>
  <c r="A2310" i="7"/>
  <c r="N2309" i="7"/>
  <c r="H2309" i="7"/>
  <c r="D2309" i="7"/>
  <c r="Q2308" i="7"/>
  <c r="L2308" i="7"/>
  <c r="G2308" i="7"/>
  <c r="C2308" i="7"/>
  <c r="K2307" i="7"/>
  <c r="F2307" i="7"/>
  <c r="B2307" i="7"/>
  <c r="K2306" i="7"/>
  <c r="F2306" i="7"/>
  <c r="B2306" i="7"/>
  <c r="K2305" i="7"/>
  <c r="F2305" i="7"/>
  <c r="B2305" i="7"/>
  <c r="H2304" i="7"/>
  <c r="D2304" i="7"/>
  <c r="Q2303" i="7"/>
  <c r="L2303" i="7"/>
  <c r="G2303" i="7"/>
  <c r="C2303" i="7"/>
  <c r="K2302" i="7"/>
  <c r="F2302" i="7"/>
  <c r="B2302" i="7"/>
  <c r="H2301" i="7"/>
  <c r="D2301" i="7"/>
  <c r="Q2300" i="7"/>
  <c r="M2300" i="7"/>
  <c r="H2300" i="7"/>
  <c r="D2300" i="7"/>
  <c r="Q2299" i="7"/>
  <c r="M2299" i="7"/>
  <c r="H2299" i="7"/>
  <c r="D2299" i="7"/>
  <c r="Q2298" i="7"/>
  <c r="K2298" i="7"/>
  <c r="F2298" i="7"/>
  <c r="B2298" i="7"/>
  <c r="H2297" i="7"/>
  <c r="D2297" i="7"/>
  <c r="Q2296" i="7"/>
  <c r="K2296" i="7"/>
  <c r="F2296" i="7"/>
  <c r="B2296" i="7"/>
  <c r="H2295" i="7"/>
  <c r="D2295" i="7"/>
  <c r="Q2294" i="7"/>
  <c r="K2294" i="7"/>
  <c r="F2294" i="7"/>
  <c r="B2294" i="7"/>
  <c r="H2293" i="7"/>
  <c r="D2293" i="7"/>
  <c r="Q2292" i="7"/>
  <c r="K2292" i="7"/>
  <c r="F2292" i="7"/>
  <c r="B2292" i="7"/>
  <c r="H2291" i="7"/>
  <c r="D2291" i="7"/>
  <c r="Q2290" i="7"/>
  <c r="K2290" i="7"/>
  <c r="F2290" i="7"/>
  <c r="B2290" i="7"/>
  <c r="J2289" i="7"/>
  <c r="E2289" i="7"/>
  <c r="A2289" i="7"/>
  <c r="N2288" i="7"/>
  <c r="G2288" i="7"/>
  <c r="C2288" i="7"/>
  <c r="J2287" i="7"/>
  <c r="E2287" i="7"/>
  <c r="A2287" i="7"/>
  <c r="N2286" i="7"/>
  <c r="G2286" i="7"/>
  <c r="C2286" i="7"/>
  <c r="J2285" i="7"/>
  <c r="E2285" i="7"/>
  <c r="A2285" i="7"/>
  <c r="N2284" i="7"/>
  <c r="G2284" i="7"/>
  <c r="C2284" i="7"/>
  <c r="J2283" i="7"/>
  <c r="E2283" i="7"/>
  <c r="A2283" i="7"/>
  <c r="N2282" i="7"/>
  <c r="G2282" i="7"/>
  <c r="C2282" i="7"/>
  <c r="J2281" i="7"/>
  <c r="E2281" i="7"/>
  <c r="A2281" i="7"/>
  <c r="N2280" i="7"/>
  <c r="G2280" i="7"/>
  <c r="C2280" i="7"/>
  <c r="L2279" i="7"/>
  <c r="G2279" i="7"/>
  <c r="C2279" i="7"/>
  <c r="L2278" i="7"/>
  <c r="G2278" i="7"/>
  <c r="C2278" i="7"/>
  <c r="L2277" i="7"/>
  <c r="G2277" i="7"/>
  <c r="C2277" i="7"/>
  <c r="J2276" i="7"/>
  <c r="E2276" i="7"/>
  <c r="A2276" i="7"/>
  <c r="N2275" i="7"/>
  <c r="G2275" i="7"/>
  <c r="C2275" i="7"/>
  <c r="L2274" i="7"/>
  <c r="H2274" i="7"/>
  <c r="D2274" i="7"/>
  <c r="Q2273" i="7"/>
  <c r="L2273" i="7"/>
  <c r="G2273" i="7"/>
  <c r="C2273" i="7"/>
  <c r="K2272" i="7"/>
  <c r="F2272" i="7"/>
  <c r="B2272" i="7"/>
  <c r="J2271" i="7"/>
  <c r="E2271" i="7"/>
  <c r="A2271" i="7"/>
  <c r="N2270" i="7"/>
  <c r="J2270" i="7"/>
  <c r="E2270" i="7"/>
  <c r="A2270" i="7"/>
  <c r="N2269" i="7"/>
  <c r="G2269" i="7"/>
  <c r="C2269" i="7"/>
  <c r="K2268" i="7"/>
  <c r="F2268" i="7"/>
  <c r="B2268" i="7"/>
  <c r="H2267" i="7"/>
  <c r="D2267" i="7"/>
  <c r="Q2266" i="7"/>
  <c r="L2266" i="7"/>
  <c r="G2266" i="7"/>
  <c r="C2266" i="7"/>
  <c r="K2265" i="7"/>
  <c r="F2265" i="7"/>
  <c r="B2265" i="7"/>
  <c r="J2264" i="7"/>
  <c r="E2264" i="7"/>
  <c r="A2264" i="7"/>
  <c r="N2263" i="7"/>
  <c r="H2263" i="7"/>
  <c r="D2263" i="7"/>
  <c r="Q2262" i="7"/>
  <c r="L2262" i="7"/>
  <c r="G2262" i="7"/>
  <c r="C2262" i="7"/>
  <c r="J2261" i="7"/>
  <c r="E2261" i="7"/>
  <c r="A2261" i="7"/>
  <c r="N2260" i="7"/>
  <c r="J2260" i="7"/>
  <c r="E2260" i="7"/>
  <c r="A2260" i="7"/>
  <c r="N2259" i="7"/>
  <c r="H2259" i="7"/>
  <c r="D2259" i="7"/>
  <c r="Q2258" i="7"/>
  <c r="K2258" i="7"/>
  <c r="F2258" i="7"/>
  <c r="B2258" i="7"/>
  <c r="H2257" i="7"/>
  <c r="D2257" i="7"/>
  <c r="Q2256" i="7"/>
  <c r="K2256" i="7"/>
  <c r="F2256" i="7"/>
  <c r="B2256" i="7"/>
  <c r="H2255" i="7"/>
  <c r="D2255" i="7"/>
  <c r="Q2254" i="7"/>
  <c r="K2254" i="7"/>
  <c r="F2254" i="7"/>
  <c r="B2254" i="7"/>
  <c r="H2253" i="7"/>
  <c r="D2253" i="7"/>
  <c r="Q2252" i="7"/>
  <c r="K2252" i="7"/>
  <c r="F2252" i="7"/>
  <c r="B2252" i="7"/>
  <c r="H2251" i="7"/>
  <c r="D2251" i="7"/>
  <c r="Q2250" i="7"/>
  <c r="K2250" i="7"/>
  <c r="F2250" i="7"/>
  <c r="B2250" i="7"/>
  <c r="H2249" i="7"/>
  <c r="D2249" i="7"/>
  <c r="Q2248" i="7"/>
  <c r="K2248" i="7"/>
  <c r="F2248" i="7"/>
  <c r="B2248" i="7"/>
  <c r="H2247" i="7"/>
  <c r="D2247" i="7"/>
  <c r="Q2246" i="7"/>
  <c r="L2246" i="7"/>
  <c r="G2246" i="7"/>
  <c r="C2246" i="7"/>
  <c r="J2245" i="7"/>
  <c r="E2245" i="7"/>
  <c r="A2245" i="7"/>
  <c r="N2244" i="7"/>
  <c r="G2244" i="7"/>
  <c r="C2244" i="7"/>
  <c r="J2243" i="7"/>
  <c r="E2243" i="7"/>
  <c r="A2243" i="7"/>
  <c r="N2242" i="7"/>
  <c r="G2242" i="7"/>
  <c r="C2242" i="7"/>
  <c r="K2241" i="7"/>
  <c r="F2241" i="7"/>
  <c r="B2241" i="7"/>
  <c r="J2240" i="7"/>
  <c r="E2240" i="7"/>
  <c r="A2240" i="7"/>
  <c r="N2239" i="7"/>
  <c r="H2239" i="7"/>
  <c r="D2239" i="7"/>
  <c r="Q2238" i="7"/>
  <c r="L2238" i="7"/>
  <c r="G2238" i="7"/>
  <c r="C2238" i="7"/>
  <c r="J2237" i="7"/>
  <c r="E2237" i="7"/>
  <c r="A2237" i="7"/>
  <c r="N2236" i="7"/>
  <c r="G2236" i="7"/>
  <c r="C2236" i="7"/>
  <c r="J2235" i="7"/>
  <c r="E2235" i="7"/>
  <c r="A2235" i="7"/>
  <c r="N2234" i="7"/>
  <c r="G2234" i="7"/>
  <c r="C2234" i="7"/>
  <c r="L2233" i="7"/>
  <c r="G2233" i="7"/>
  <c r="C2233" i="7"/>
  <c r="J2232" i="7"/>
  <c r="E2232" i="7"/>
  <c r="A2232" i="7"/>
  <c r="N2231" i="7"/>
  <c r="G2231" i="7"/>
  <c r="C2231" i="7"/>
  <c r="J2230" i="7"/>
  <c r="E2230" i="7"/>
  <c r="A2230" i="7"/>
  <c r="N2229" i="7"/>
  <c r="G2229" i="7"/>
  <c r="C2229" i="7"/>
  <c r="J2228" i="7"/>
  <c r="E2228" i="7"/>
  <c r="A2228" i="7"/>
  <c r="N2227" i="7"/>
  <c r="H2227" i="7"/>
  <c r="D2227" i="7"/>
  <c r="Q2226" i="7"/>
  <c r="K2226" i="7"/>
  <c r="F2226" i="7"/>
  <c r="B2226" i="7"/>
  <c r="H2225" i="7"/>
  <c r="D2225" i="7"/>
  <c r="Q2224" i="7"/>
  <c r="K2224" i="7"/>
  <c r="F2224" i="7"/>
  <c r="B2224" i="7"/>
  <c r="H2223" i="7"/>
  <c r="D2223" i="7"/>
  <c r="Q2222" i="7"/>
  <c r="K2222" i="7"/>
  <c r="F2222" i="7"/>
  <c r="B2222" i="7"/>
  <c r="H2221" i="7"/>
  <c r="D2221" i="7"/>
  <c r="Q2220" i="7"/>
  <c r="L2220" i="7"/>
  <c r="G2220" i="7"/>
  <c r="C2220" i="7"/>
  <c r="K2219" i="7"/>
  <c r="F2219" i="7"/>
  <c r="B2219" i="7"/>
  <c r="J2218" i="7"/>
  <c r="E2218" i="7"/>
  <c r="A2218" i="7"/>
  <c r="N2217" i="7"/>
  <c r="H2217" i="7"/>
  <c r="D2217" i="7"/>
  <c r="Q2216" i="7"/>
  <c r="L2216" i="7"/>
  <c r="G2216" i="7"/>
  <c r="C2216" i="7"/>
  <c r="K2215" i="7"/>
  <c r="F2215" i="7"/>
  <c r="B2215" i="7"/>
  <c r="J2214" i="7"/>
  <c r="E2214" i="7"/>
  <c r="A2214" i="7"/>
  <c r="N2213" i="7"/>
  <c r="G2213" i="7"/>
  <c r="C2213" i="7"/>
  <c r="J2212" i="7"/>
  <c r="E2212" i="7"/>
  <c r="A2212" i="7"/>
  <c r="N2211" i="7"/>
  <c r="H2211" i="7"/>
  <c r="D2211" i="7"/>
  <c r="Q2210" i="7"/>
  <c r="L2210" i="7"/>
  <c r="G2210" i="7"/>
  <c r="C2210" i="7"/>
  <c r="K2209" i="7"/>
  <c r="F2209" i="7"/>
  <c r="B2209" i="7"/>
  <c r="H2208" i="7"/>
  <c r="D2208" i="7"/>
  <c r="Q2207" i="7"/>
  <c r="K2207" i="7"/>
  <c r="F2207" i="7"/>
  <c r="B2207" i="7"/>
  <c r="J2206" i="7"/>
  <c r="E2206" i="7"/>
  <c r="A2206" i="7"/>
  <c r="N2205" i="7"/>
  <c r="G2205" i="7"/>
  <c r="C2205" i="7"/>
  <c r="K2204" i="7"/>
  <c r="F2204" i="7"/>
  <c r="B2204" i="7"/>
  <c r="K2203" i="7"/>
  <c r="F2203" i="7"/>
  <c r="B2203" i="7"/>
  <c r="H2202" i="7"/>
  <c r="D2202" i="7"/>
  <c r="Q2201" i="7"/>
  <c r="K2201" i="7"/>
  <c r="F2201" i="7"/>
  <c r="B2201" i="7"/>
  <c r="H2200" i="7"/>
  <c r="D2200" i="7"/>
  <c r="Q2199" i="7"/>
  <c r="K2199" i="7"/>
  <c r="F2199" i="7"/>
  <c r="B2199" i="7"/>
  <c r="H2198" i="7"/>
  <c r="D2198" i="7"/>
  <c r="Q2197" i="7"/>
  <c r="K2197" i="7"/>
  <c r="F2197" i="7"/>
  <c r="B2197" i="7"/>
  <c r="H2196" i="7"/>
  <c r="D2196" i="7"/>
  <c r="Q2195" i="7"/>
  <c r="K2195" i="7"/>
  <c r="F2195" i="7"/>
  <c r="B2195" i="7"/>
  <c r="H2194" i="7"/>
  <c r="D2194" i="7"/>
  <c r="Q2193" i="7"/>
  <c r="K2193" i="7"/>
  <c r="F2193" i="7"/>
  <c r="B2193" i="7"/>
  <c r="H2192" i="7"/>
  <c r="D2192" i="7"/>
  <c r="Q2191" i="7"/>
  <c r="K2191" i="7"/>
  <c r="F2191" i="7"/>
  <c r="B2191" i="7"/>
  <c r="H2190" i="7"/>
  <c r="D2190" i="7"/>
  <c r="Q2189" i="7"/>
  <c r="K2189" i="7"/>
  <c r="F2189" i="7"/>
  <c r="B2189" i="7"/>
  <c r="H2188" i="7"/>
  <c r="D2188" i="7"/>
  <c r="Q2187" i="7"/>
  <c r="K2187" i="7"/>
  <c r="F2187" i="7"/>
  <c r="B2187" i="7"/>
  <c r="H2186" i="7"/>
  <c r="D2186" i="7"/>
  <c r="Q2185" i="7"/>
  <c r="K2185" i="7"/>
  <c r="F2185" i="7"/>
  <c r="B2185" i="7"/>
  <c r="H2184" i="7"/>
  <c r="D2184" i="7"/>
  <c r="Q2183" i="7"/>
  <c r="K2183" i="7"/>
  <c r="F2183" i="7"/>
  <c r="B2183" i="7"/>
  <c r="H2182" i="7"/>
  <c r="D2182" i="7"/>
  <c r="Q2181" i="7"/>
  <c r="K2181" i="7"/>
  <c r="F2181" i="7"/>
  <c r="B2181" i="7"/>
  <c r="H2180" i="7"/>
  <c r="D2180" i="7"/>
  <c r="Q2179" i="7"/>
  <c r="K2179" i="7"/>
  <c r="F2179" i="7"/>
  <c r="B2179" i="7"/>
  <c r="H2178" i="7"/>
  <c r="D2178" i="7"/>
  <c r="Q2177" i="7"/>
  <c r="K2177" i="7"/>
  <c r="F2177" i="7"/>
  <c r="B2177" i="7"/>
  <c r="H2176" i="7"/>
  <c r="D2176" i="7"/>
  <c r="Q2175" i="7"/>
  <c r="K2175" i="7"/>
  <c r="F2175" i="7"/>
  <c r="B2175" i="7"/>
  <c r="H2174" i="7"/>
  <c r="D2174" i="7"/>
  <c r="Q2173" i="7"/>
  <c r="K2173" i="7"/>
  <c r="F2173" i="7"/>
  <c r="B2173" i="7"/>
  <c r="H2172" i="7"/>
  <c r="D2172" i="7"/>
  <c r="Q2171" i="7"/>
  <c r="K2171" i="7"/>
  <c r="F2171" i="7"/>
  <c r="B2171" i="7"/>
  <c r="H2170" i="7"/>
  <c r="D2170" i="7"/>
  <c r="Q2169" i="7"/>
  <c r="K2169" i="7"/>
  <c r="F2169" i="7"/>
  <c r="B2169" i="7"/>
  <c r="H2168" i="7"/>
  <c r="D2168" i="7"/>
  <c r="Q2167" i="7"/>
  <c r="K2167" i="7"/>
  <c r="F2167" i="7"/>
  <c r="B2167" i="7"/>
  <c r="H2166" i="7"/>
  <c r="D2166" i="7"/>
  <c r="Q2165" i="7"/>
  <c r="K2165" i="7"/>
  <c r="F2165" i="7"/>
  <c r="B2165" i="7"/>
  <c r="H2164" i="7"/>
  <c r="D2164" i="7"/>
  <c r="Q2163" i="7"/>
  <c r="K2163" i="7"/>
  <c r="F2163" i="7"/>
  <c r="B2163" i="7"/>
  <c r="H2162" i="7"/>
  <c r="D2162" i="7"/>
  <c r="Q2161" i="7"/>
  <c r="M2161" i="7"/>
  <c r="G2161" i="7"/>
  <c r="C2161" i="7"/>
  <c r="J2160" i="7"/>
  <c r="E2160" i="7"/>
  <c r="A2160" i="7"/>
  <c r="N2159" i="7"/>
  <c r="G2159" i="7"/>
  <c r="C2159" i="7"/>
  <c r="J2158" i="7"/>
  <c r="E2158" i="7"/>
  <c r="A2158" i="7"/>
  <c r="N2157" i="7"/>
  <c r="G2157" i="7"/>
  <c r="C2157" i="7"/>
  <c r="J2156" i="7"/>
  <c r="E2156" i="7"/>
  <c r="A2156" i="7"/>
  <c r="N2155" i="7"/>
  <c r="G2155" i="7"/>
  <c r="C2155" i="7"/>
  <c r="J2154" i="7"/>
  <c r="E2154" i="7"/>
  <c r="A2154" i="7"/>
  <c r="N2153" i="7"/>
  <c r="G2153" i="7"/>
  <c r="C2153" i="7"/>
  <c r="J2152" i="7"/>
  <c r="E2152" i="7"/>
  <c r="A2152" i="7"/>
  <c r="N2151" i="7"/>
  <c r="G2151" i="7"/>
  <c r="C2151" i="7"/>
  <c r="J2150" i="7"/>
  <c r="E2150" i="7"/>
  <c r="A2150" i="7"/>
  <c r="N2149" i="7"/>
  <c r="G2149" i="7"/>
  <c r="C2149" i="7"/>
  <c r="J2148" i="7"/>
  <c r="E2148" i="7"/>
  <c r="A2148" i="7"/>
  <c r="N2147" i="7"/>
  <c r="G2147" i="7"/>
  <c r="C2147" i="7"/>
  <c r="J2146" i="7"/>
  <c r="E2146" i="7"/>
  <c r="A2146" i="7"/>
  <c r="N2145" i="7"/>
  <c r="G2145" i="7"/>
  <c r="C2145" i="7"/>
  <c r="K2144" i="7"/>
  <c r="F2144" i="7"/>
  <c r="B2144" i="7"/>
  <c r="H2143" i="7"/>
  <c r="D2143" i="7"/>
  <c r="Q2142" i="7"/>
  <c r="M2142" i="7"/>
  <c r="G2142" i="7"/>
  <c r="C2142" i="7"/>
  <c r="K2141" i="7"/>
  <c r="F2141" i="7"/>
  <c r="B2141" i="7"/>
  <c r="J2140" i="7"/>
  <c r="E2140" i="7"/>
  <c r="A2140" i="7"/>
  <c r="N2139" i="7"/>
  <c r="G2139" i="7"/>
  <c r="C2139" i="7"/>
  <c r="J2138" i="7"/>
  <c r="E2138" i="7"/>
  <c r="A2138" i="7"/>
  <c r="N2137" i="7"/>
  <c r="G2137" i="7"/>
  <c r="C2137" i="7"/>
  <c r="J2136" i="7"/>
  <c r="E2136" i="7"/>
  <c r="A2136" i="7"/>
  <c r="N2135" i="7"/>
  <c r="G2135" i="7"/>
  <c r="C2135" i="7"/>
  <c r="J2134" i="7"/>
  <c r="E2134" i="7"/>
  <c r="A2134" i="7"/>
  <c r="N2133" i="7"/>
  <c r="G2133" i="7"/>
  <c r="C2133" i="7"/>
  <c r="J2132" i="7"/>
  <c r="E2132" i="7"/>
  <c r="A2132" i="7"/>
  <c r="N2131" i="7"/>
  <c r="G2131" i="7"/>
  <c r="C2131" i="7"/>
  <c r="J2130" i="7"/>
  <c r="E2130" i="7"/>
  <c r="A2130" i="7"/>
  <c r="N2129" i="7"/>
  <c r="G2129" i="7"/>
  <c r="C2129" i="7"/>
  <c r="J2128" i="7"/>
  <c r="E2128" i="7"/>
  <c r="A2128" i="7"/>
  <c r="N2127" i="7"/>
  <c r="H2127" i="7"/>
  <c r="D2127" i="7"/>
  <c r="Q2126" i="7"/>
  <c r="K2126" i="7"/>
  <c r="F2126" i="7"/>
  <c r="B2126" i="7"/>
  <c r="H2125" i="7"/>
  <c r="D2125" i="7"/>
  <c r="Q2124" i="7"/>
  <c r="K2124" i="7"/>
  <c r="F2124" i="7"/>
  <c r="B2124" i="7"/>
  <c r="H2123" i="7"/>
  <c r="D2123" i="7"/>
  <c r="Q2122" i="7"/>
  <c r="K2122" i="7"/>
  <c r="F2122" i="7"/>
  <c r="B2122" i="7"/>
  <c r="H2121" i="7"/>
  <c r="D2121" i="7"/>
  <c r="Q2120" i="7"/>
  <c r="K2120" i="7"/>
  <c r="F2120" i="7"/>
  <c r="B2120" i="7"/>
  <c r="K2119" i="7"/>
  <c r="F2119" i="7"/>
  <c r="B2119" i="7"/>
  <c r="H2118" i="7"/>
  <c r="D2118" i="7"/>
  <c r="Q2117" i="7"/>
  <c r="K2117" i="7"/>
  <c r="F2117" i="7"/>
  <c r="B2117" i="7"/>
  <c r="H2116" i="7"/>
  <c r="D2116" i="7"/>
  <c r="Q2115" i="7"/>
  <c r="K2115" i="7"/>
  <c r="F2115" i="7"/>
  <c r="B2115" i="7"/>
  <c r="H2114" i="7"/>
  <c r="D2114" i="7"/>
  <c r="Q2113" i="7"/>
  <c r="K2113" i="7"/>
  <c r="F2113" i="7"/>
  <c r="B2113" i="7"/>
  <c r="H2112" i="7"/>
  <c r="D2112" i="7"/>
  <c r="Q2111" i="7"/>
  <c r="K2111" i="7"/>
  <c r="F2111" i="7"/>
  <c r="B2111" i="7"/>
  <c r="H2110" i="7"/>
  <c r="D2110" i="7"/>
  <c r="Q2109" i="7"/>
  <c r="K2109" i="7"/>
  <c r="F2109" i="7"/>
  <c r="B2109" i="7"/>
  <c r="K2108" i="7"/>
  <c r="F2108" i="7"/>
  <c r="B2108" i="7"/>
  <c r="H2107" i="7"/>
  <c r="D2107" i="7"/>
  <c r="Q2106" i="7"/>
  <c r="K2106" i="7"/>
  <c r="F2106" i="7"/>
  <c r="B2106" i="7"/>
  <c r="J2105" i="7"/>
  <c r="E2105" i="7"/>
  <c r="A2105" i="7"/>
  <c r="N2104" i="7"/>
  <c r="G2104" i="7"/>
  <c r="C2104" i="7"/>
  <c r="D2470" i="7"/>
  <c r="H2469" i="7"/>
  <c r="K2468" i="7"/>
  <c r="B2466" i="7"/>
  <c r="F2465" i="7"/>
  <c r="J2464" i="7"/>
  <c r="N2463" i="7"/>
  <c r="A2460" i="7"/>
  <c r="E2459" i="7"/>
  <c r="J2458" i="7"/>
  <c r="N2457" i="7"/>
  <c r="A2456" i="7"/>
  <c r="E2455" i="7"/>
  <c r="J2454" i="7"/>
  <c r="N2453" i="7"/>
  <c r="A2452" i="7"/>
  <c r="E2451" i="7"/>
  <c r="J2450" i="7"/>
  <c r="N2449" i="7"/>
  <c r="A2448" i="7"/>
  <c r="E2447" i="7"/>
  <c r="J2446" i="7"/>
  <c r="N2445" i="7"/>
  <c r="A2444" i="7"/>
  <c r="E2443" i="7"/>
  <c r="J2442" i="7"/>
  <c r="N2441" i="7"/>
  <c r="Q2439" i="7"/>
  <c r="C2439" i="7"/>
  <c r="C2438" i="7"/>
  <c r="C2437" i="7"/>
  <c r="B2436" i="7"/>
  <c r="F2435" i="7"/>
  <c r="J2434" i="7"/>
  <c r="N2433" i="7"/>
  <c r="A2432" i="7"/>
  <c r="E2431" i="7"/>
  <c r="J2430" i="7"/>
  <c r="N2429" i="7"/>
  <c r="A2428" i="7"/>
  <c r="E2427" i="7"/>
  <c r="J2426" i="7"/>
  <c r="N2425" i="7"/>
  <c r="A2424" i="7"/>
  <c r="E2423" i="7"/>
  <c r="J2422" i="7"/>
  <c r="N2421" i="7"/>
  <c r="A2420" i="7"/>
  <c r="E2419" i="7"/>
  <c r="J2418" i="7"/>
  <c r="N2417" i="7"/>
  <c r="A2416" i="7"/>
  <c r="E2415" i="7"/>
  <c r="J2414" i="7"/>
  <c r="N2413" i="7"/>
  <c r="A2412" i="7"/>
  <c r="E2411" i="7"/>
  <c r="J2410" i="7"/>
  <c r="N2409" i="7"/>
  <c r="A2408" i="7"/>
  <c r="E2407" i="7"/>
  <c r="H2406" i="7"/>
  <c r="M2405" i="7"/>
  <c r="K2404" i="7"/>
  <c r="K2395" i="7"/>
  <c r="L2394" i="7"/>
  <c r="E2393" i="7"/>
  <c r="C2392" i="7"/>
  <c r="L2390" i="7"/>
  <c r="K2389" i="7"/>
  <c r="L2388" i="7"/>
  <c r="L2387" i="7"/>
  <c r="Q2385" i="7"/>
  <c r="A2385" i="7"/>
  <c r="J2384" i="7"/>
  <c r="B2384" i="7"/>
  <c r="J2383" i="7"/>
  <c r="B2383" i="7"/>
  <c r="N2382" i="7"/>
  <c r="E2382" i="7"/>
  <c r="M2381" i="7"/>
  <c r="E2381" i="7"/>
  <c r="N2380" i="7"/>
  <c r="F2380" i="7"/>
  <c r="F2379" i="7"/>
  <c r="F2378" i="7"/>
  <c r="F2377" i="7"/>
  <c r="F2376" i="7"/>
  <c r="F2375" i="7"/>
  <c r="F2374" i="7"/>
  <c r="F2373" i="7"/>
  <c r="F2372" i="7"/>
  <c r="F2371" i="7"/>
  <c r="F2370" i="7"/>
  <c r="H2368" i="7"/>
  <c r="Q2367" i="7"/>
  <c r="J2367" i="7"/>
  <c r="A2367" i="7"/>
  <c r="I2366" i="7"/>
  <c r="A2366" i="7"/>
  <c r="F2365" i="7"/>
  <c r="A2364" i="7"/>
  <c r="L2363" i="7"/>
  <c r="G2363" i="7"/>
  <c r="A2363" i="7"/>
  <c r="L2362" i="7"/>
  <c r="G2362" i="7"/>
  <c r="A2362" i="7"/>
  <c r="L2361" i="7"/>
  <c r="G2361" i="7"/>
  <c r="A2361" i="7"/>
  <c r="M2360" i="7"/>
  <c r="G2360" i="7"/>
  <c r="A2360" i="7"/>
  <c r="M2359" i="7"/>
  <c r="G2359" i="7"/>
  <c r="A2359" i="7"/>
  <c r="L2358" i="7"/>
  <c r="G2358" i="7"/>
  <c r="A2358" i="7"/>
  <c r="F2357" i="7"/>
  <c r="J2356" i="7"/>
  <c r="E2356" i="7"/>
  <c r="Q2355" i="7"/>
  <c r="M2355" i="7"/>
  <c r="F2355" i="7"/>
  <c r="A2355" i="7"/>
  <c r="N2354" i="7"/>
  <c r="H2354" i="7"/>
  <c r="B2354" i="7"/>
  <c r="A2353" i="7"/>
  <c r="N2352" i="7"/>
  <c r="H2352" i="7"/>
  <c r="B2352" i="7"/>
  <c r="G2351" i="7"/>
  <c r="B2351" i="7"/>
  <c r="L2350" i="7"/>
  <c r="G2350" i="7"/>
  <c r="B2350" i="7"/>
  <c r="M2349" i="7"/>
  <c r="H2349" i="7"/>
  <c r="C2349" i="7"/>
  <c r="N2348" i="7"/>
  <c r="H2348" i="7"/>
  <c r="C2348" i="7"/>
  <c r="M2347" i="7"/>
  <c r="H2347" i="7"/>
  <c r="C2347" i="7"/>
  <c r="M2346" i="7"/>
  <c r="H2346" i="7"/>
  <c r="C2346" i="7"/>
  <c r="M2345" i="7"/>
  <c r="H2345" i="7"/>
  <c r="C2345" i="7"/>
  <c r="M2344" i="7"/>
  <c r="H2344" i="7"/>
  <c r="C2344" i="7"/>
  <c r="M2343" i="7"/>
  <c r="H2343" i="7"/>
  <c r="C2343" i="7"/>
  <c r="M2342" i="7"/>
  <c r="I2342" i="7"/>
  <c r="E2342" i="7"/>
  <c r="A2342" i="7"/>
  <c r="M2341" i="7"/>
  <c r="I2341" i="7"/>
  <c r="E2341" i="7"/>
  <c r="A2341" i="7"/>
  <c r="N2340" i="7"/>
  <c r="G2340" i="7"/>
  <c r="C2340" i="7"/>
  <c r="K2339" i="7"/>
  <c r="F2339" i="7"/>
  <c r="B2339" i="7"/>
  <c r="K2338" i="7"/>
  <c r="F2338" i="7"/>
  <c r="B2338" i="7"/>
  <c r="J2337" i="7"/>
  <c r="F2337" i="7"/>
  <c r="B2337" i="7"/>
  <c r="H2336" i="7"/>
  <c r="D2336" i="7"/>
  <c r="Q2335" i="7"/>
  <c r="K2335" i="7"/>
  <c r="F2335" i="7"/>
  <c r="B2335" i="7"/>
  <c r="K2334" i="7"/>
  <c r="G2334" i="7"/>
  <c r="C2334" i="7"/>
  <c r="L2333" i="7"/>
  <c r="H2333" i="7"/>
  <c r="D2333" i="7"/>
  <c r="Q2332" i="7"/>
  <c r="M2332" i="7"/>
  <c r="I2332" i="7"/>
  <c r="E2332" i="7"/>
  <c r="A2332" i="7"/>
  <c r="N2331" i="7"/>
  <c r="G2331" i="7"/>
  <c r="C2331" i="7"/>
  <c r="J2330" i="7"/>
  <c r="E2330" i="7"/>
  <c r="A2330" i="7"/>
  <c r="N2329" i="7"/>
  <c r="J2329" i="7"/>
  <c r="E2329" i="7"/>
  <c r="A2329" i="7"/>
  <c r="N2328" i="7"/>
  <c r="H2328" i="7"/>
  <c r="D2328" i="7"/>
  <c r="Q2327" i="7"/>
  <c r="L2327" i="7"/>
  <c r="H2327" i="7"/>
  <c r="D2327" i="7"/>
  <c r="Q2326" i="7"/>
  <c r="M2326" i="7"/>
  <c r="I2326" i="7"/>
  <c r="E2326" i="7"/>
  <c r="A2326" i="7"/>
  <c r="N2325" i="7"/>
  <c r="H2325" i="7"/>
  <c r="D2325" i="7"/>
  <c r="Q2324" i="7"/>
  <c r="L2324" i="7"/>
  <c r="H2324" i="7"/>
  <c r="D2324" i="7"/>
  <c r="Q2323" i="7"/>
  <c r="M2323" i="7"/>
  <c r="I2323" i="7"/>
  <c r="E2323" i="7"/>
  <c r="A2323" i="7"/>
  <c r="N2322" i="7"/>
  <c r="G2322" i="7"/>
  <c r="C2322" i="7"/>
  <c r="J2321" i="7"/>
  <c r="E2321" i="7"/>
  <c r="A2321" i="7"/>
  <c r="K2320" i="7"/>
  <c r="A2320" i="7"/>
  <c r="N2319" i="7"/>
  <c r="J2319" i="7"/>
  <c r="E2319" i="7"/>
  <c r="A2319" i="7"/>
  <c r="N2318" i="7"/>
  <c r="J2318" i="7"/>
  <c r="E2318" i="7"/>
  <c r="A2318" i="7"/>
  <c r="N2317" i="7"/>
  <c r="H2317" i="7"/>
  <c r="D2317" i="7"/>
  <c r="Q2316" i="7"/>
  <c r="L2316" i="7"/>
  <c r="H2316" i="7"/>
  <c r="D2316" i="7"/>
  <c r="Q2315" i="7"/>
  <c r="L2315" i="7"/>
  <c r="G2315" i="7"/>
  <c r="C2315" i="7"/>
  <c r="J2314" i="7"/>
  <c r="E2314" i="7"/>
  <c r="A2314" i="7"/>
  <c r="M2313" i="7"/>
  <c r="I2313" i="7"/>
  <c r="E2313" i="7"/>
  <c r="A2313" i="7"/>
  <c r="N2312" i="7"/>
  <c r="J2312" i="7"/>
  <c r="E2312" i="7"/>
  <c r="A2312" i="7"/>
  <c r="N2311" i="7"/>
  <c r="J2311" i="7"/>
  <c r="E2311" i="7"/>
  <c r="A2311" i="7"/>
  <c r="N2310" i="7"/>
  <c r="H2310" i="7"/>
  <c r="D2310" i="7"/>
  <c r="Q2309" i="7"/>
  <c r="L2309" i="7"/>
  <c r="G2309" i="7"/>
  <c r="C2309" i="7"/>
  <c r="K2308" i="7"/>
  <c r="F2308" i="7"/>
  <c r="B2308" i="7"/>
  <c r="J2307" i="7"/>
  <c r="E2307" i="7"/>
  <c r="A2307" i="7"/>
  <c r="N2306" i="7"/>
  <c r="J2306" i="7"/>
  <c r="E2306" i="7"/>
  <c r="A2306" i="7"/>
  <c r="N2305" i="7"/>
  <c r="J2305" i="7"/>
  <c r="E2305" i="7"/>
  <c r="A2305" i="7"/>
  <c r="N2304" i="7"/>
  <c r="G2304" i="7"/>
  <c r="C2304" i="7"/>
  <c r="K2303" i="7"/>
  <c r="F2303" i="7"/>
  <c r="B2303" i="7"/>
  <c r="J2302" i="7"/>
  <c r="E2302" i="7"/>
  <c r="A2302" i="7"/>
  <c r="N2301" i="7"/>
  <c r="G2301" i="7"/>
  <c r="C2301" i="7"/>
  <c r="L2300" i="7"/>
  <c r="G2300" i="7"/>
  <c r="C2300" i="7"/>
  <c r="L2299" i="7"/>
  <c r="G2299" i="7"/>
  <c r="C2299" i="7"/>
  <c r="J2298" i="7"/>
  <c r="E2298" i="7"/>
  <c r="A2298" i="7"/>
  <c r="N2297" i="7"/>
  <c r="G2297" i="7"/>
  <c r="C2297" i="7"/>
  <c r="J2296" i="7"/>
  <c r="E2296" i="7"/>
  <c r="A2296" i="7"/>
  <c r="N2295" i="7"/>
  <c r="G2295" i="7"/>
  <c r="C2295" i="7"/>
  <c r="J2294" i="7"/>
  <c r="E2294" i="7"/>
  <c r="A2294" i="7"/>
  <c r="N2293" i="7"/>
  <c r="G2293" i="7"/>
  <c r="C2293" i="7"/>
  <c r="J2292" i="7"/>
  <c r="E2292" i="7"/>
  <c r="A2292" i="7"/>
  <c r="N2291" i="7"/>
  <c r="G2291" i="7"/>
  <c r="C2291" i="7"/>
  <c r="J2290" i="7"/>
  <c r="E2290" i="7"/>
  <c r="A2290" i="7"/>
  <c r="N2289" i="7"/>
  <c r="H2289" i="7"/>
  <c r="D2289" i="7"/>
  <c r="Q2288" i="7"/>
  <c r="K2288" i="7"/>
  <c r="F2288" i="7"/>
  <c r="B2288" i="7"/>
  <c r="H2287" i="7"/>
  <c r="D2287" i="7"/>
  <c r="Q2286" i="7"/>
  <c r="K2286" i="7"/>
  <c r="F2286" i="7"/>
  <c r="B2286" i="7"/>
  <c r="H2285" i="7"/>
  <c r="D2285" i="7"/>
  <c r="Q2284" i="7"/>
  <c r="K2284" i="7"/>
  <c r="F2284" i="7"/>
  <c r="B2284" i="7"/>
  <c r="H2283" i="7"/>
  <c r="D2283" i="7"/>
  <c r="Q2282" i="7"/>
  <c r="K2282" i="7"/>
  <c r="F2282" i="7"/>
  <c r="B2282" i="7"/>
  <c r="H2281" i="7"/>
  <c r="D2281" i="7"/>
  <c r="Q2280" i="7"/>
  <c r="K2280" i="7"/>
  <c r="F2280" i="7"/>
  <c r="B2280" i="7"/>
  <c r="K2279" i="7"/>
  <c r="F2279" i="7"/>
  <c r="B2279" i="7"/>
  <c r="K2278" i="7"/>
  <c r="F2278" i="7"/>
  <c r="B2278" i="7"/>
  <c r="K2277" i="7"/>
  <c r="F2277" i="7"/>
  <c r="B2277" i="7"/>
  <c r="H2276" i="7"/>
  <c r="D2276" i="7"/>
  <c r="Q2275" i="7"/>
  <c r="K2275" i="7"/>
  <c r="F2275" i="7"/>
  <c r="B2275" i="7"/>
  <c r="K2274" i="7"/>
  <c r="G2274" i="7"/>
  <c r="C2274" i="7"/>
  <c r="K2273" i="7"/>
  <c r="F2273" i="7"/>
  <c r="B2273" i="7"/>
  <c r="J2272" i="7"/>
  <c r="E2272" i="7"/>
  <c r="A2272" i="7"/>
  <c r="N2271" i="7"/>
  <c r="H2271" i="7"/>
  <c r="D2271" i="7"/>
  <c r="Q2270" i="7"/>
  <c r="M2270" i="7"/>
  <c r="H2270" i="7"/>
  <c r="D2270" i="7"/>
  <c r="Q2269" i="7"/>
  <c r="K2269" i="7"/>
  <c r="F2269" i="7"/>
  <c r="B2269" i="7"/>
  <c r="J2268" i="7"/>
  <c r="E2268" i="7"/>
  <c r="A2268" i="7"/>
  <c r="N2267" i="7"/>
  <c r="G2267" i="7"/>
  <c r="C2267" i="7"/>
  <c r="K2266" i="7"/>
  <c r="F2266" i="7"/>
  <c r="B2266" i="7"/>
  <c r="J2265" i="7"/>
  <c r="E2265" i="7"/>
  <c r="A2265" i="7"/>
  <c r="N2264" i="7"/>
  <c r="H2264" i="7"/>
  <c r="D2264" i="7"/>
  <c r="Q2263" i="7"/>
  <c r="L2263" i="7"/>
  <c r="G2263" i="7"/>
  <c r="C2263" i="7"/>
  <c r="K2262" i="7"/>
  <c r="F2262" i="7"/>
  <c r="B2262" i="7"/>
  <c r="H2261" i="7"/>
  <c r="D2261" i="7"/>
  <c r="Q2260" i="7"/>
  <c r="M2260" i="7"/>
  <c r="H2260" i="7"/>
  <c r="D2260" i="7"/>
  <c r="Q2259" i="7"/>
  <c r="L2259" i="7"/>
  <c r="G2259" i="7"/>
  <c r="C2259" i="7"/>
  <c r="J2258" i="7"/>
  <c r="E2258" i="7"/>
  <c r="A2258" i="7"/>
  <c r="N2257" i="7"/>
  <c r="G2257" i="7"/>
  <c r="C2257" i="7"/>
  <c r="J2256" i="7"/>
  <c r="E2256" i="7"/>
  <c r="A2256" i="7"/>
  <c r="N2255" i="7"/>
  <c r="G2255" i="7"/>
  <c r="C2255" i="7"/>
  <c r="J2254" i="7"/>
  <c r="E2254" i="7"/>
  <c r="A2254" i="7"/>
  <c r="N2253" i="7"/>
  <c r="G2253" i="7"/>
  <c r="C2253" i="7"/>
  <c r="J2252" i="7"/>
  <c r="E2252" i="7"/>
  <c r="A2252" i="7"/>
  <c r="N2251" i="7"/>
  <c r="G2251" i="7"/>
  <c r="C2251" i="7"/>
  <c r="J2250" i="7"/>
  <c r="E2250" i="7"/>
  <c r="A2250" i="7"/>
  <c r="N2249" i="7"/>
  <c r="G2249" i="7"/>
  <c r="C2249" i="7"/>
  <c r="J2248" i="7"/>
  <c r="E2248" i="7"/>
  <c r="A2248" i="7"/>
  <c r="N2247" i="7"/>
  <c r="G2247" i="7"/>
  <c r="C2247" i="7"/>
  <c r="K2246" i="7"/>
  <c r="F2246" i="7"/>
  <c r="B2246" i="7"/>
  <c r="H2245" i="7"/>
  <c r="D2245" i="7"/>
  <c r="Q2244" i="7"/>
  <c r="K2244" i="7"/>
  <c r="F2244" i="7"/>
  <c r="B2244" i="7"/>
  <c r="H2243" i="7"/>
  <c r="D2243" i="7"/>
  <c r="Q2242" i="7"/>
  <c r="K2242" i="7"/>
  <c r="F2242" i="7"/>
  <c r="B2242" i="7"/>
  <c r="J2241" i="7"/>
  <c r="E2241" i="7"/>
  <c r="A2241" i="7"/>
  <c r="N2240" i="7"/>
  <c r="H2240" i="7"/>
  <c r="D2240" i="7"/>
  <c r="Q2239" i="7"/>
  <c r="L2239" i="7"/>
  <c r="G2239" i="7"/>
  <c r="C2239" i="7"/>
  <c r="K2238" i="7"/>
  <c r="F2238" i="7"/>
  <c r="B2238" i="7"/>
  <c r="H2237" i="7"/>
  <c r="D2237" i="7"/>
  <c r="Q2236" i="7"/>
  <c r="K2236" i="7"/>
  <c r="F2236" i="7"/>
  <c r="B2236" i="7"/>
  <c r="H2235" i="7"/>
  <c r="D2235" i="7"/>
  <c r="Q2234" i="7"/>
  <c r="K2234" i="7"/>
  <c r="F2234" i="7"/>
  <c r="B2234" i="7"/>
  <c r="K2233" i="7"/>
  <c r="F2233" i="7"/>
  <c r="B2233" i="7"/>
  <c r="H2232" i="7"/>
  <c r="D2232" i="7"/>
  <c r="Q2231" i="7"/>
  <c r="K2231" i="7"/>
  <c r="F2231" i="7"/>
  <c r="B2231" i="7"/>
  <c r="H2230" i="7"/>
  <c r="D2230" i="7"/>
  <c r="Q2229" i="7"/>
  <c r="K2229" i="7"/>
  <c r="F2229" i="7"/>
  <c r="B2229" i="7"/>
  <c r="H2228" i="7"/>
  <c r="D2228" i="7"/>
  <c r="Q2227" i="7"/>
  <c r="L2227" i="7"/>
  <c r="G2227" i="7"/>
  <c r="C2227" i="7"/>
  <c r="J2226" i="7"/>
  <c r="E2226" i="7"/>
  <c r="A2226" i="7"/>
  <c r="N2225" i="7"/>
  <c r="G2225" i="7"/>
  <c r="C2225" i="7"/>
  <c r="J2224" i="7"/>
  <c r="E2224" i="7"/>
  <c r="A2224" i="7"/>
  <c r="N2223" i="7"/>
  <c r="G2223" i="7"/>
  <c r="C2223" i="7"/>
  <c r="J2222" i="7"/>
  <c r="E2222" i="7"/>
  <c r="A2222" i="7"/>
  <c r="N2221" i="7"/>
  <c r="G2221" i="7"/>
  <c r="C2221" i="7"/>
  <c r="K2220" i="7"/>
  <c r="F2220" i="7"/>
  <c r="B2220" i="7"/>
  <c r="J2219" i="7"/>
  <c r="E2219" i="7"/>
  <c r="A2219" i="7"/>
  <c r="N2218" i="7"/>
  <c r="H2218" i="7"/>
  <c r="D2218" i="7"/>
  <c r="Q2217" i="7"/>
  <c r="L2217" i="7"/>
  <c r="G2217" i="7"/>
  <c r="C2217" i="7"/>
  <c r="K2216" i="7"/>
  <c r="F2216" i="7"/>
  <c r="B2216" i="7"/>
  <c r="J2215" i="7"/>
  <c r="E2215" i="7"/>
  <c r="A2215" i="7"/>
  <c r="N2214" i="7"/>
  <c r="H2214" i="7"/>
  <c r="D2214" i="7"/>
  <c r="Q2213" i="7"/>
  <c r="K2213" i="7"/>
  <c r="F2213" i="7"/>
  <c r="B2213" i="7"/>
  <c r="H2212" i="7"/>
  <c r="D2212" i="7"/>
  <c r="Q2211" i="7"/>
  <c r="L2211" i="7"/>
  <c r="G2211" i="7"/>
  <c r="C2211" i="7"/>
  <c r="K2210" i="7"/>
  <c r="F2210" i="7"/>
  <c r="B2210" i="7"/>
  <c r="J2209" i="7"/>
  <c r="E2209" i="7"/>
  <c r="A2209" i="7"/>
  <c r="N2208" i="7"/>
  <c r="G2208" i="7"/>
  <c r="C2208" i="7"/>
  <c r="J2207" i="7"/>
  <c r="E2207" i="7"/>
  <c r="A2207" i="7"/>
  <c r="N2206" i="7"/>
  <c r="H2206" i="7"/>
  <c r="D2206" i="7"/>
  <c r="Q2205" i="7"/>
  <c r="K2205" i="7"/>
  <c r="F2205" i="7"/>
  <c r="B2205" i="7"/>
  <c r="J2204" i="7"/>
  <c r="E2204" i="7"/>
  <c r="A2204" i="7"/>
  <c r="N2203" i="7"/>
  <c r="J2203" i="7"/>
  <c r="E2203" i="7"/>
  <c r="A2203" i="7"/>
  <c r="N2202" i="7"/>
  <c r="G2202" i="7"/>
  <c r="C2202" i="7"/>
  <c r="J2201" i="7"/>
  <c r="E2201" i="7"/>
  <c r="A2201" i="7"/>
  <c r="N2200" i="7"/>
  <c r="G2200" i="7"/>
  <c r="C2200" i="7"/>
  <c r="J2199" i="7"/>
  <c r="E2199" i="7"/>
  <c r="A2199" i="7"/>
  <c r="N2198" i="7"/>
  <c r="G2198" i="7"/>
  <c r="C2198" i="7"/>
  <c r="J2197" i="7"/>
  <c r="E2197" i="7"/>
  <c r="A2197" i="7"/>
  <c r="N2196" i="7"/>
  <c r="G2196" i="7"/>
  <c r="C2196" i="7"/>
  <c r="J2195" i="7"/>
  <c r="E2195" i="7"/>
  <c r="A2195" i="7"/>
  <c r="N2194" i="7"/>
  <c r="G2194" i="7"/>
  <c r="C2194" i="7"/>
  <c r="J2193" i="7"/>
  <c r="E2193" i="7"/>
  <c r="A2193" i="7"/>
  <c r="N2192" i="7"/>
  <c r="G2192" i="7"/>
  <c r="C2192" i="7"/>
  <c r="J2191" i="7"/>
  <c r="E2191" i="7"/>
  <c r="A2191" i="7"/>
  <c r="N2190" i="7"/>
  <c r="G2190" i="7"/>
  <c r="C2190" i="7"/>
  <c r="J2189" i="7"/>
  <c r="E2189" i="7"/>
  <c r="A2189" i="7"/>
  <c r="N2188" i="7"/>
  <c r="G2188" i="7"/>
  <c r="C2188" i="7"/>
  <c r="J2187" i="7"/>
  <c r="E2187" i="7"/>
  <c r="A2187" i="7"/>
  <c r="N2186" i="7"/>
  <c r="G2186" i="7"/>
  <c r="C2186" i="7"/>
  <c r="J2185" i="7"/>
  <c r="E2185" i="7"/>
  <c r="A2185" i="7"/>
  <c r="N2184" i="7"/>
  <c r="G2184" i="7"/>
  <c r="C2184" i="7"/>
  <c r="J2183" i="7"/>
  <c r="E2183" i="7"/>
  <c r="A2183" i="7"/>
  <c r="N2182" i="7"/>
  <c r="G2182" i="7"/>
  <c r="C2182" i="7"/>
  <c r="J2181" i="7"/>
  <c r="E2181" i="7"/>
  <c r="A2181" i="7"/>
  <c r="N2180" i="7"/>
  <c r="G2180" i="7"/>
  <c r="C2180" i="7"/>
  <c r="J2179" i="7"/>
  <c r="E2179" i="7"/>
  <c r="A2179" i="7"/>
  <c r="N2178" i="7"/>
  <c r="G2178" i="7"/>
  <c r="C2178" i="7"/>
  <c r="J2177" i="7"/>
  <c r="E2177" i="7"/>
  <c r="A2177" i="7"/>
  <c r="N2176" i="7"/>
  <c r="G2176" i="7"/>
  <c r="C2176" i="7"/>
  <c r="J2175" i="7"/>
  <c r="E2175" i="7"/>
  <c r="A2175" i="7"/>
  <c r="N2174" i="7"/>
  <c r="G2174" i="7"/>
  <c r="C2174" i="7"/>
  <c r="J2173" i="7"/>
  <c r="E2173" i="7"/>
  <c r="A2173" i="7"/>
  <c r="N2172" i="7"/>
  <c r="G2172" i="7"/>
  <c r="C2172" i="7"/>
  <c r="J2171" i="7"/>
  <c r="E2171" i="7"/>
  <c r="A2171" i="7"/>
  <c r="N2170" i="7"/>
  <c r="G2170" i="7"/>
  <c r="C2170" i="7"/>
  <c r="J2169" i="7"/>
  <c r="E2169" i="7"/>
  <c r="A2169" i="7"/>
  <c r="N2168" i="7"/>
  <c r="G2168" i="7"/>
  <c r="C2168" i="7"/>
  <c r="J2167" i="7"/>
  <c r="E2167" i="7"/>
  <c r="A2167" i="7"/>
  <c r="N2166" i="7"/>
  <c r="G2166" i="7"/>
  <c r="C2166" i="7"/>
  <c r="J2165" i="7"/>
  <c r="E2165" i="7"/>
  <c r="A2165" i="7"/>
  <c r="N2164" i="7"/>
  <c r="G2164" i="7"/>
  <c r="C2164" i="7"/>
  <c r="J2163" i="7"/>
  <c r="E2163" i="7"/>
  <c r="A2163" i="7"/>
  <c r="N2162" i="7"/>
  <c r="G2162" i="7"/>
  <c r="C2162" i="7"/>
  <c r="K2161" i="7"/>
  <c r="F2161" i="7"/>
  <c r="B2161" i="7"/>
  <c r="H2160" i="7"/>
  <c r="D2160" i="7"/>
  <c r="Q2159" i="7"/>
  <c r="K2159" i="7"/>
  <c r="F2159" i="7"/>
  <c r="B2159" i="7"/>
  <c r="H2158" i="7"/>
  <c r="D2158" i="7"/>
  <c r="Q2157" i="7"/>
  <c r="K2157" i="7"/>
  <c r="F2157" i="7"/>
  <c r="B2157" i="7"/>
  <c r="H2156" i="7"/>
  <c r="D2156" i="7"/>
  <c r="Q2155" i="7"/>
  <c r="K2155" i="7"/>
  <c r="F2155" i="7"/>
  <c r="B2155" i="7"/>
  <c r="H2154" i="7"/>
  <c r="D2154" i="7"/>
  <c r="Q2153" i="7"/>
  <c r="K2153" i="7"/>
  <c r="F2153" i="7"/>
  <c r="B2153" i="7"/>
  <c r="H2152" i="7"/>
  <c r="D2152" i="7"/>
  <c r="Q2151" i="7"/>
  <c r="K2151" i="7"/>
  <c r="F2151" i="7"/>
  <c r="B2151" i="7"/>
  <c r="H2150" i="7"/>
  <c r="D2150" i="7"/>
  <c r="Q2149" i="7"/>
  <c r="K2149" i="7"/>
  <c r="F2149" i="7"/>
  <c r="B2149" i="7"/>
  <c r="H2148" i="7"/>
  <c r="D2148" i="7"/>
  <c r="Q2147" i="7"/>
  <c r="K2147" i="7"/>
  <c r="F2147" i="7"/>
  <c r="B2147" i="7"/>
  <c r="H2146" i="7"/>
  <c r="D2146" i="7"/>
  <c r="Q2145" i="7"/>
  <c r="K2145" i="7"/>
  <c r="F2145" i="7"/>
  <c r="B2145" i="7"/>
  <c r="J2144" i="7"/>
  <c r="E2144" i="7"/>
  <c r="A2144" i="7"/>
  <c r="N2143" i="7"/>
  <c r="G2143" i="7"/>
  <c r="C2143" i="7"/>
  <c r="K2142" i="7"/>
  <c r="F2142" i="7"/>
  <c r="B2142" i="7"/>
  <c r="J2141" i="7"/>
  <c r="E2141" i="7"/>
  <c r="A2141" i="7"/>
  <c r="N2140" i="7"/>
  <c r="H2140" i="7"/>
  <c r="D2140" i="7"/>
  <c r="Q2139" i="7"/>
  <c r="K2139" i="7"/>
  <c r="F2139" i="7"/>
  <c r="B2139" i="7"/>
  <c r="H2138" i="7"/>
  <c r="D2138" i="7"/>
  <c r="Q2137" i="7"/>
  <c r="K2137" i="7"/>
  <c r="F2137" i="7"/>
  <c r="B2137" i="7"/>
  <c r="H2136" i="7"/>
  <c r="D2136" i="7"/>
  <c r="Q2135" i="7"/>
  <c r="K2135" i="7"/>
  <c r="F2135" i="7"/>
  <c r="B2135" i="7"/>
  <c r="H2134" i="7"/>
  <c r="D2134" i="7"/>
  <c r="Q2133" i="7"/>
  <c r="K2133" i="7"/>
  <c r="F2133" i="7"/>
  <c r="B2133" i="7"/>
  <c r="H2132" i="7"/>
  <c r="D2132" i="7"/>
  <c r="Q2131" i="7"/>
  <c r="K2131" i="7"/>
  <c r="F2131" i="7"/>
  <c r="B2131" i="7"/>
  <c r="H2130" i="7"/>
  <c r="D2130" i="7"/>
  <c r="Q2129" i="7"/>
  <c r="K2129" i="7"/>
  <c r="F2129" i="7"/>
  <c r="B2129" i="7"/>
  <c r="H2128" i="7"/>
  <c r="D2128" i="7"/>
  <c r="Q2127" i="7"/>
  <c r="L2127" i="7"/>
  <c r="G2127" i="7"/>
  <c r="C2127" i="7"/>
  <c r="J2126" i="7"/>
  <c r="E2126" i="7"/>
  <c r="A2126" i="7"/>
  <c r="N2125" i="7"/>
  <c r="G2125" i="7"/>
  <c r="C2125" i="7"/>
  <c r="J2124" i="7"/>
  <c r="E2124" i="7"/>
  <c r="A2124" i="7"/>
  <c r="N2123" i="7"/>
  <c r="G2123" i="7"/>
  <c r="C2123" i="7"/>
  <c r="J2122" i="7"/>
  <c r="E2122" i="7"/>
  <c r="A2122" i="7"/>
  <c r="N2121" i="7"/>
  <c r="G2121" i="7"/>
  <c r="C2121" i="7"/>
  <c r="J2120" i="7"/>
  <c r="E2120" i="7"/>
  <c r="A2120" i="7"/>
  <c r="N2119" i="7"/>
  <c r="J2119" i="7"/>
  <c r="E2119" i="7"/>
  <c r="A2119" i="7"/>
  <c r="N2118" i="7"/>
  <c r="G2118" i="7"/>
  <c r="C2118" i="7"/>
  <c r="J2117" i="7"/>
  <c r="E2117" i="7"/>
  <c r="A2117" i="7"/>
  <c r="N2116" i="7"/>
  <c r="G2116" i="7"/>
  <c r="C2116" i="7"/>
  <c r="J2115" i="7"/>
  <c r="E2115" i="7"/>
  <c r="A2115" i="7"/>
  <c r="N2114" i="7"/>
  <c r="G2114" i="7"/>
  <c r="C2114" i="7"/>
  <c r="J2113" i="7"/>
  <c r="E2113" i="7"/>
  <c r="A2113" i="7"/>
  <c r="N2112" i="7"/>
  <c r="G2112" i="7"/>
  <c r="C2112" i="7"/>
  <c r="J2111" i="7"/>
  <c r="E2111" i="7"/>
  <c r="A2111" i="7"/>
  <c r="N2110" i="7"/>
  <c r="G2110" i="7"/>
  <c r="C2110" i="7"/>
  <c r="J2109" i="7"/>
  <c r="E2109" i="7"/>
  <c r="A2109" i="7"/>
  <c r="N2108" i="7"/>
  <c r="J2108" i="7"/>
  <c r="E2108" i="7"/>
  <c r="A2108" i="7"/>
  <c r="N2107" i="7"/>
  <c r="G2107" i="7"/>
  <c r="C2107" i="7"/>
  <c r="J2106" i="7"/>
  <c r="E2106" i="7"/>
  <c r="A2106" i="7"/>
  <c r="N2105" i="7"/>
  <c r="H2105" i="7"/>
  <c r="D2105" i="7"/>
  <c r="Q2104" i="7"/>
  <c r="K2104" i="7"/>
  <c r="F2104" i="7"/>
  <c r="B2104" i="7"/>
  <c r="J2103" i="7"/>
  <c r="E2103" i="7"/>
  <c r="A2103" i="7"/>
  <c r="J2112" i="7"/>
  <c r="N2111" i="7"/>
  <c r="J2110" i="7"/>
  <c r="N2109" i="7"/>
  <c r="L2108" i="7"/>
  <c r="J2107" i="7"/>
  <c r="N2106" i="7"/>
  <c r="K2105" i="7"/>
  <c r="F2103" i="7"/>
  <c r="A2101" i="7"/>
  <c r="A2100" i="7"/>
  <c r="K2099" i="7"/>
  <c r="A2097" i="7"/>
  <c r="A2096" i="7"/>
  <c r="K2095" i="7"/>
  <c r="A2093" i="7"/>
  <c r="A2092" i="7"/>
  <c r="K2091" i="7"/>
  <c r="A2089" i="7"/>
  <c r="A2088" i="7"/>
  <c r="K2087" i="7"/>
  <c r="A2085" i="7"/>
  <c r="A2084" i="7"/>
  <c r="K2083" i="7"/>
  <c r="A2081" i="7"/>
  <c r="K2080" i="7"/>
  <c r="A2079" i="7"/>
  <c r="K2078" i="7"/>
  <c r="A2077" i="7"/>
  <c r="K2076" i="7"/>
  <c r="A2075" i="7"/>
  <c r="K2074" i="7"/>
  <c r="A2073" i="7"/>
  <c r="K2072" i="7"/>
  <c r="A2071" i="7"/>
  <c r="K2070" i="7"/>
  <c r="A2069" i="7"/>
  <c r="K2068" i="7"/>
  <c r="A2067" i="7"/>
  <c r="K2066" i="7"/>
  <c r="A2065" i="7"/>
  <c r="K2064" i="7"/>
  <c r="A2063" i="7"/>
  <c r="K2062" i="7"/>
  <c r="A2061" i="7"/>
  <c r="K2060" i="7"/>
  <c r="A2059" i="7"/>
  <c r="K2058" i="7"/>
  <c r="A2057" i="7"/>
  <c r="K2056" i="7"/>
  <c r="A2055" i="7"/>
  <c r="K2054" i="7"/>
  <c r="A2053" i="7"/>
  <c r="K2052" i="7"/>
  <c r="A2051" i="7"/>
  <c r="K2050" i="7"/>
  <c r="A2049" i="7"/>
  <c r="K2048" i="7"/>
  <c r="A2047" i="7"/>
  <c r="K2046" i="7"/>
  <c r="A2045" i="7"/>
  <c r="K2044" i="7"/>
  <c r="A2043" i="7"/>
  <c r="K2042" i="7"/>
  <c r="A2041" i="7"/>
  <c r="K2040" i="7"/>
  <c r="A2039" i="7"/>
  <c r="K2038" i="7"/>
  <c r="A2037" i="7"/>
  <c r="K2036" i="7"/>
  <c r="A2035" i="7"/>
  <c r="K2034" i="7"/>
  <c r="A2033" i="7"/>
  <c r="K2032" i="7"/>
  <c r="A2031" i="7"/>
  <c r="K2030" i="7"/>
  <c r="A2029" i="7"/>
  <c r="K2028" i="7"/>
  <c r="A2027" i="7"/>
  <c r="K2026" i="7"/>
  <c r="A2025" i="7"/>
  <c r="K2024" i="7"/>
  <c r="A2023" i="7"/>
  <c r="K2022" i="7"/>
  <c r="A2021" i="7"/>
  <c r="K2020" i="7"/>
  <c r="A2019" i="7"/>
  <c r="K2018" i="7"/>
  <c r="A2017" i="7"/>
  <c r="K2016" i="7"/>
  <c r="A2015" i="7"/>
  <c r="K2014" i="7"/>
  <c r="A2013" i="7"/>
  <c r="K2012" i="7"/>
  <c r="A2011" i="7"/>
  <c r="K2010" i="7"/>
  <c r="A2009" i="7"/>
  <c r="K2008" i="7"/>
  <c r="A2007" i="7"/>
  <c r="K2006" i="7"/>
  <c r="A2005" i="7"/>
  <c r="K2004" i="7"/>
  <c r="A2003" i="7"/>
  <c r="K2002" i="7"/>
  <c r="A2001" i="7"/>
  <c r="K2000" i="7"/>
  <c r="A1999" i="7"/>
  <c r="K1998" i="7"/>
  <c r="A1997" i="7"/>
  <c r="K1996" i="7"/>
  <c r="A1995" i="7"/>
  <c r="K1994" i="7"/>
  <c r="A1993" i="7"/>
  <c r="K1992" i="7"/>
  <c r="A1991" i="7"/>
  <c r="K1990" i="7"/>
  <c r="A1989" i="7"/>
  <c r="K1988" i="7"/>
  <c r="A1987" i="7"/>
  <c r="K1986" i="7"/>
  <c r="A1985" i="7"/>
  <c r="K1984" i="7"/>
  <c r="A1983" i="7"/>
  <c r="K1982" i="7"/>
  <c r="A1981" i="7"/>
  <c r="K1980" i="7"/>
  <c r="A1979" i="7"/>
  <c r="K1978" i="7"/>
  <c r="A1977" i="7"/>
  <c r="K1976" i="7"/>
  <c r="A1975" i="7"/>
  <c r="K1974" i="7"/>
  <c r="A1973" i="7"/>
  <c r="K1972" i="7"/>
  <c r="A1971" i="7"/>
  <c r="K1970" i="7"/>
  <c r="A1969" i="7"/>
  <c r="K1968" i="7"/>
  <c r="A1967" i="7"/>
  <c r="K1966" i="7"/>
  <c r="A1965" i="7"/>
  <c r="K1964" i="7"/>
  <c r="A1963" i="7"/>
  <c r="K1962" i="7"/>
  <c r="A1961" i="7"/>
  <c r="K1960" i="7"/>
  <c r="A1959" i="7"/>
  <c r="K1958" i="7"/>
  <c r="A1957" i="7"/>
  <c r="K1956" i="7"/>
  <c r="A1955" i="7"/>
  <c r="K1954" i="7"/>
  <c r="L1953" i="7"/>
  <c r="G1953" i="7"/>
  <c r="C1953" i="7"/>
  <c r="K1952" i="7"/>
  <c r="G1952" i="7"/>
  <c r="C1952" i="7"/>
  <c r="L1951" i="7"/>
  <c r="G1951" i="7"/>
  <c r="C1951" i="7"/>
  <c r="K1950" i="7"/>
  <c r="G1950" i="7"/>
  <c r="C1950" i="7"/>
  <c r="L1949" i="7"/>
  <c r="G1949" i="7"/>
  <c r="C1949" i="7"/>
  <c r="K1948" i="7"/>
  <c r="G1948" i="7"/>
  <c r="C1948" i="7"/>
  <c r="K1947" i="7"/>
  <c r="G1947" i="7"/>
  <c r="C1947" i="7"/>
  <c r="K1946" i="7"/>
  <c r="G1946" i="7"/>
  <c r="C1946" i="7"/>
  <c r="K1945" i="7"/>
  <c r="G1945" i="7"/>
  <c r="C1945" i="7"/>
  <c r="L1944" i="7"/>
  <c r="G1944" i="7"/>
  <c r="C1944" i="7"/>
  <c r="K1943" i="7"/>
  <c r="G1943" i="7"/>
  <c r="C1943" i="7"/>
  <c r="L1942" i="7"/>
  <c r="G1942" i="7"/>
  <c r="C1942" i="7"/>
  <c r="K1941" i="7"/>
  <c r="G1941" i="7"/>
  <c r="C1941" i="7"/>
  <c r="L1940" i="7"/>
  <c r="G1940" i="7"/>
  <c r="C1940" i="7"/>
  <c r="L1939" i="7"/>
  <c r="G1939" i="7"/>
  <c r="C1939" i="7"/>
  <c r="L1938" i="7"/>
  <c r="G1938" i="7"/>
  <c r="C1938" i="7"/>
  <c r="L1937" i="7"/>
  <c r="G1937" i="7"/>
  <c r="C1937" i="7"/>
  <c r="L1936" i="7"/>
  <c r="G1936" i="7"/>
  <c r="C1936" i="7"/>
  <c r="L1935" i="7"/>
  <c r="H1935" i="7"/>
  <c r="D1935" i="7"/>
  <c r="Q1934" i="7"/>
  <c r="M1934" i="7"/>
  <c r="F1934" i="7"/>
  <c r="B1934" i="7"/>
  <c r="K1933" i="7"/>
  <c r="F1933" i="7"/>
  <c r="B1933" i="7"/>
  <c r="J1932" i="7"/>
  <c r="F1932" i="7"/>
  <c r="B1932" i="7"/>
  <c r="J1931" i="7"/>
  <c r="F1931" i="7"/>
  <c r="B1931" i="7"/>
  <c r="K1930" i="7"/>
  <c r="G1930" i="7"/>
  <c r="C1930" i="7"/>
  <c r="K1929" i="7"/>
  <c r="G1929" i="7"/>
  <c r="C1929" i="7"/>
  <c r="L1928" i="7"/>
  <c r="H1928" i="7"/>
  <c r="D1928" i="7"/>
  <c r="Q1927" i="7"/>
  <c r="M1927" i="7"/>
  <c r="I1927" i="7"/>
  <c r="E1927" i="7"/>
  <c r="A1927" i="7"/>
  <c r="M1926" i="7"/>
  <c r="I1926" i="7"/>
  <c r="E1926" i="7"/>
  <c r="A1926" i="7"/>
  <c r="N1925" i="7"/>
  <c r="J1925" i="7"/>
  <c r="F1925" i="7"/>
  <c r="B1925" i="7"/>
  <c r="J1924" i="7"/>
  <c r="F1924" i="7"/>
  <c r="B1924" i="7"/>
  <c r="J1923" i="7"/>
  <c r="F1923" i="7"/>
  <c r="B1923" i="7"/>
  <c r="J1922" i="7"/>
  <c r="F1922" i="7"/>
  <c r="B1922" i="7"/>
  <c r="J1921" i="7"/>
  <c r="F1921" i="7"/>
  <c r="B1921" i="7"/>
  <c r="J1920" i="7"/>
  <c r="F1920" i="7"/>
  <c r="B1920" i="7"/>
  <c r="J1919" i="7"/>
  <c r="F1919" i="7"/>
  <c r="B1919" i="7"/>
  <c r="J1918" i="7"/>
  <c r="F1918" i="7"/>
  <c r="B1918" i="7"/>
  <c r="J1917" i="7"/>
  <c r="F1917" i="7"/>
  <c r="B1917" i="7"/>
  <c r="J1916" i="7"/>
  <c r="F1916" i="7"/>
  <c r="B1916" i="7"/>
  <c r="J1915" i="7"/>
  <c r="F1915" i="7"/>
  <c r="B1915" i="7"/>
  <c r="K1914" i="7"/>
  <c r="G1914" i="7"/>
  <c r="C1914" i="7"/>
  <c r="K1913" i="7"/>
  <c r="G1913" i="7"/>
  <c r="C1913" i="7"/>
  <c r="K1912" i="7"/>
  <c r="G1912" i="7"/>
  <c r="C1912" i="7"/>
  <c r="K1911" i="7"/>
  <c r="G1911" i="7"/>
  <c r="C1911" i="7"/>
  <c r="K1910" i="7"/>
  <c r="G1910" i="7"/>
  <c r="C1910" i="7"/>
  <c r="J1909" i="7"/>
  <c r="F1909" i="7"/>
  <c r="B1909" i="7"/>
  <c r="J1908" i="7"/>
  <c r="F1908" i="7"/>
  <c r="B1908" i="7"/>
  <c r="J1907" i="7"/>
  <c r="F1907" i="7"/>
  <c r="B1907" i="7"/>
  <c r="J1906" i="7"/>
  <c r="F1906" i="7"/>
  <c r="B1906" i="7"/>
  <c r="J1905" i="7"/>
  <c r="F1905" i="7"/>
  <c r="B1905" i="7"/>
  <c r="J1904" i="7"/>
  <c r="F1904" i="7"/>
  <c r="B1904" i="7"/>
  <c r="K1903" i="7"/>
  <c r="G1903" i="7"/>
  <c r="C1903" i="7"/>
  <c r="L1902" i="7"/>
  <c r="H1902" i="7"/>
  <c r="D1902" i="7"/>
  <c r="Q1901" i="7"/>
  <c r="M1901" i="7"/>
  <c r="H1901" i="7"/>
  <c r="D1901" i="7"/>
  <c r="Q1900" i="7"/>
  <c r="M1900" i="7"/>
  <c r="H1900" i="7"/>
  <c r="D1900" i="7"/>
  <c r="Q1899" i="7"/>
  <c r="M1899" i="7"/>
  <c r="H1899" i="7"/>
  <c r="D1899" i="7"/>
  <c r="Q1898" i="7"/>
  <c r="M1898" i="7"/>
  <c r="H1898" i="7"/>
  <c r="D1898" i="7"/>
  <c r="Q1897" i="7"/>
  <c r="M1897" i="7"/>
  <c r="H1897" i="7"/>
  <c r="D1897" i="7"/>
  <c r="Q1896" i="7"/>
  <c r="M1896" i="7"/>
  <c r="H1896" i="7"/>
  <c r="D1896" i="7"/>
  <c r="Q1895" i="7"/>
  <c r="M1895" i="7"/>
  <c r="H1895" i="7"/>
  <c r="D1895" i="7"/>
  <c r="Q1894" i="7"/>
  <c r="M1894" i="7"/>
  <c r="H1894" i="7"/>
  <c r="D1894" i="7"/>
  <c r="Q1893" i="7"/>
  <c r="M1893" i="7"/>
  <c r="H1893" i="7"/>
  <c r="D1893" i="7"/>
  <c r="Q1892" i="7"/>
  <c r="M1892" i="7"/>
  <c r="H1892" i="7"/>
  <c r="D1892" i="7"/>
  <c r="Q1891" i="7"/>
  <c r="M1891" i="7"/>
  <c r="H1891" i="7"/>
  <c r="D1891" i="7"/>
  <c r="Q1890" i="7"/>
  <c r="M1890" i="7"/>
  <c r="H1890" i="7"/>
  <c r="D1890" i="7"/>
  <c r="Q1889" i="7"/>
  <c r="M1889" i="7"/>
  <c r="H1889" i="7"/>
  <c r="D1889" i="7"/>
  <c r="Q1888" i="7"/>
  <c r="M1888" i="7"/>
  <c r="H1888" i="7"/>
  <c r="D1888" i="7"/>
  <c r="Q1887" i="7"/>
  <c r="M1887" i="7"/>
  <c r="H1887" i="7"/>
  <c r="D1887" i="7"/>
  <c r="Q1886" i="7"/>
  <c r="M1886" i="7"/>
  <c r="H1886" i="7"/>
  <c r="D1886" i="7"/>
  <c r="Q1885" i="7"/>
  <c r="M1885" i="7"/>
  <c r="H1885" i="7"/>
  <c r="D1885" i="7"/>
  <c r="Q1884" i="7"/>
  <c r="M1884" i="7"/>
  <c r="H1884" i="7"/>
  <c r="D1884" i="7"/>
  <c r="Q1883" i="7"/>
  <c r="M1883" i="7"/>
  <c r="H1883" i="7"/>
  <c r="D1883" i="7"/>
  <c r="Q1882" i="7"/>
  <c r="M1882" i="7"/>
  <c r="H1882" i="7"/>
  <c r="D1882" i="7"/>
  <c r="Q1881" i="7"/>
  <c r="M1881" i="7"/>
  <c r="H1881" i="7"/>
  <c r="D1881" i="7"/>
  <c r="Q1880" i="7"/>
  <c r="M1880" i="7"/>
  <c r="H1880" i="7"/>
  <c r="D1880" i="7"/>
  <c r="Q1879" i="7"/>
  <c r="M1879" i="7"/>
  <c r="H1879" i="7"/>
  <c r="D1879" i="7"/>
  <c r="Q1878" i="7"/>
  <c r="M1878" i="7"/>
  <c r="H1878" i="7"/>
  <c r="D1878" i="7"/>
  <c r="Q1877" i="7"/>
  <c r="M1877" i="7"/>
  <c r="H1877" i="7"/>
  <c r="D1877" i="7"/>
  <c r="Q1876" i="7"/>
  <c r="M1876" i="7"/>
  <c r="H1876" i="7"/>
  <c r="D1876" i="7"/>
  <c r="Q1875" i="7"/>
  <c r="M1875" i="7"/>
  <c r="H1875" i="7"/>
  <c r="D1875" i="7"/>
  <c r="Q1874" i="7"/>
  <c r="M1874" i="7"/>
  <c r="H1874" i="7"/>
  <c r="D1874" i="7"/>
  <c r="Q1873" i="7"/>
  <c r="M1873" i="7"/>
  <c r="H1873" i="7"/>
  <c r="D1873" i="7"/>
  <c r="Q1872" i="7"/>
  <c r="M1872" i="7"/>
  <c r="H1872" i="7"/>
  <c r="D1872" i="7"/>
  <c r="Q1871" i="7"/>
  <c r="M1871" i="7"/>
  <c r="H1871" i="7"/>
  <c r="D1871" i="7"/>
  <c r="Q1870" i="7"/>
  <c r="M1870" i="7"/>
  <c r="H1870" i="7"/>
  <c r="D1870" i="7"/>
  <c r="Q1869" i="7"/>
  <c r="M1869" i="7"/>
  <c r="H1869" i="7"/>
  <c r="D1869" i="7"/>
  <c r="Q1868" i="7"/>
  <c r="M1868" i="7"/>
  <c r="H1868" i="7"/>
  <c r="D1868" i="7"/>
  <c r="Q1867" i="7"/>
  <c r="M1867" i="7"/>
  <c r="H1867" i="7"/>
  <c r="D1867" i="7"/>
  <c r="Q1866" i="7"/>
  <c r="M1866" i="7"/>
  <c r="H1866" i="7"/>
  <c r="D1866" i="7"/>
  <c r="Q1865" i="7"/>
  <c r="M1865" i="7"/>
  <c r="H1865" i="7"/>
  <c r="D1865" i="7"/>
  <c r="Q1864" i="7"/>
  <c r="L1864" i="7"/>
  <c r="G1864" i="7"/>
  <c r="C1864" i="7"/>
  <c r="L1863" i="7"/>
  <c r="G1863" i="7"/>
  <c r="C1863" i="7"/>
  <c r="L1862" i="7"/>
  <c r="G1862" i="7"/>
  <c r="C1862" i="7"/>
  <c r="L1861" i="7"/>
  <c r="G1861" i="7"/>
  <c r="C1861" i="7"/>
  <c r="L1860" i="7"/>
  <c r="G1860" i="7"/>
  <c r="C1860" i="7"/>
  <c r="L1859" i="7"/>
  <c r="G1859" i="7"/>
  <c r="C1859" i="7"/>
  <c r="L1858" i="7"/>
  <c r="G1858" i="7"/>
  <c r="C1858" i="7"/>
  <c r="K1857" i="7"/>
  <c r="F1857" i="7"/>
  <c r="B1857" i="7"/>
  <c r="K1856" i="7"/>
  <c r="F1856" i="7"/>
  <c r="B1856" i="7"/>
  <c r="K1855" i="7"/>
  <c r="F1855" i="7"/>
  <c r="B1855" i="7"/>
  <c r="K1854" i="7"/>
  <c r="F1854" i="7"/>
  <c r="B1854" i="7"/>
  <c r="K1853" i="7"/>
  <c r="F1853" i="7"/>
  <c r="B1853" i="7"/>
  <c r="K1852" i="7"/>
  <c r="F1852" i="7"/>
  <c r="B1852" i="7"/>
  <c r="K1851" i="7"/>
  <c r="F1851" i="7"/>
  <c r="B1851" i="7"/>
  <c r="K1850" i="7"/>
  <c r="F1850" i="7"/>
  <c r="B1850" i="7"/>
  <c r="K1849" i="7"/>
  <c r="F1849" i="7"/>
  <c r="B1849" i="7"/>
  <c r="K1848" i="7"/>
  <c r="F1848" i="7"/>
  <c r="B1848" i="7"/>
  <c r="K1847" i="7"/>
  <c r="F1847" i="7"/>
  <c r="B1847" i="7"/>
  <c r="K1846" i="7"/>
  <c r="F1846" i="7"/>
  <c r="B1846" i="7"/>
  <c r="K1845" i="7"/>
  <c r="F1845" i="7"/>
  <c r="B1845" i="7"/>
  <c r="K1844" i="7"/>
  <c r="F1844" i="7"/>
  <c r="B1844" i="7"/>
  <c r="K1843" i="7"/>
  <c r="F1843" i="7"/>
  <c r="B1843" i="7"/>
  <c r="K1842" i="7"/>
  <c r="F1842" i="7"/>
  <c r="B1842" i="7"/>
  <c r="K1841" i="7"/>
  <c r="F1841" i="7"/>
  <c r="B1841" i="7"/>
  <c r="K1840" i="7"/>
  <c r="F1840" i="7"/>
  <c r="B1840" i="7"/>
  <c r="K1839" i="7"/>
  <c r="F1839" i="7"/>
  <c r="B1839" i="7"/>
  <c r="K1838" i="7"/>
  <c r="F1838" i="7"/>
  <c r="B1838" i="7"/>
  <c r="K1837" i="7"/>
  <c r="F1837" i="7"/>
  <c r="B1837" i="7"/>
  <c r="K1836" i="7"/>
  <c r="F1836" i="7"/>
  <c r="B1836" i="7"/>
  <c r="K1835" i="7"/>
  <c r="F1835" i="7"/>
  <c r="B1835" i="7"/>
  <c r="J1834" i="7"/>
  <c r="E1834" i="7"/>
  <c r="A1834" i="7"/>
  <c r="N1833" i="7"/>
  <c r="J1833" i="7"/>
  <c r="E1833" i="7"/>
  <c r="A1833" i="7"/>
  <c r="N1832" i="7"/>
  <c r="J1832" i="7"/>
  <c r="E1832" i="7"/>
  <c r="A1832" i="7"/>
  <c r="N1831" i="7"/>
  <c r="J1831" i="7"/>
  <c r="E1831" i="7"/>
  <c r="A1831" i="7"/>
  <c r="N1830" i="7"/>
  <c r="J1830" i="7"/>
  <c r="E1830" i="7"/>
  <c r="A1830" i="7"/>
  <c r="N1829" i="7"/>
  <c r="J1829" i="7"/>
  <c r="E1829" i="7"/>
  <c r="A1829" i="7"/>
  <c r="N1828" i="7"/>
  <c r="J1828" i="7"/>
  <c r="E1828" i="7"/>
  <c r="A1828" i="7"/>
  <c r="N1827" i="7"/>
  <c r="J1827" i="7"/>
  <c r="E1827" i="7"/>
  <c r="A1827" i="7"/>
  <c r="N1826" i="7"/>
  <c r="J1826" i="7"/>
  <c r="E1826" i="7"/>
  <c r="A1826" i="7"/>
  <c r="N1825" i="7"/>
  <c r="J1825" i="7"/>
  <c r="E1825" i="7"/>
  <c r="A1825" i="7"/>
  <c r="N1824" i="7"/>
  <c r="J1824" i="7"/>
  <c r="E1824" i="7"/>
  <c r="A1824" i="7"/>
  <c r="N1823" i="7"/>
  <c r="J1823" i="7"/>
  <c r="E1823" i="7"/>
  <c r="A1823" i="7"/>
  <c r="N1822" i="7"/>
  <c r="J1822" i="7"/>
  <c r="E1822" i="7"/>
  <c r="A1822" i="7"/>
  <c r="N1821" i="7"/>
  <c r="J1821" i="7"/>
  <c r="E1821" i="7"/>
  <c r="A1821" i="7"/>
  <c r="N1820" i="7"/>
  <c r="J1820" i="7"/>
  <c r="E1820" i="7"/>
  <c r="A1820" i="7"/>
  <c r="N1819" i="7"/>
  <c r="G1819" i="7"/>
  <c r="C1819" i="7"/>
  <c r="L1818" i="7"/>
  <c r="G1818" i="7"/>
  <c r="C1818" i="7"/>
  <c r="J1817" i="7"/>
  <c r="E1817" i="7"/>
  <c r="A1817" i="7"/>
  <c r="N1816" i="7"/>
  <c r="J1816" i="7"/>
  <c r="E1816" i="7"/>
  <c r="A1816" i="7"/>
  <c r="N1815" i="7"/>
  <c r="J1815" i="7"/>
  <c r="E1815" i="7"/>
  <c r="A1815" i="7"/>
  <c r="N1814" i="7"/>
  <c r="J1814" i="7"/>
  <c r="E1814" i="7"/>
  <c r="A1814" i="7"/>
  <c r="N1813" i="7"/>
  <c r="J1813" i="7"/>
  <c r="E1813" i="7"/>
  <c r="A1813" i="7"/>
  <c r="N1812" i="7"/>
  <c r="J1812" i="7"/>
  <c r="E1812" i="7"/>
  <c r="A1812" i="7"/>
  <c r="N1811" i="7"/>
  <c r="J1811" i="7"/>
  <c r="E1811" i="7"/>
  <c r="A1811" i="7"/>
  <c r="N1810" i="7"/>
  <c r="J1810" i="7"/>
  <c r="E1810" i="7"/>
  <c r="A1810" i="7"/>
  <c r="N1809" i="7"/>
  <c r="J1809" i="7"/>
  <c r="E1809" i="7"/>
  <c r="A1809" i="7"/>
  <c r="N1808" i="7"/>
  <c r="H1808" i="7"/>
  <c r="D1808" i="7"/>
  <c r="Q1807" i="7"/>
  <c r="F1807" i="7"/>
  <c r="L1806" i="7"/>
  <c r="G1806" i="7"/>
  <c r="C1806" i="7"/>
  <c r="L1805" i="7"/>
  <c r="G1805" i="7"/>
  <c r="C1805" i="7"/>
  <c r="L1804" i="7"/>
  <c r="G1804" i="7"/>
  <c r="C1804" i="7"/>
  <c r="L1803" i="7"/>
  <c r="G1803" i="7"/>
  <c r="C1803" i="7"/>
  <c r="A1802" i="7"/>
  <c r="K1801" i="7"/>
  <c r="A1800" i="7"/>
  <c r="K1799" i="7"/>
  <c r="A1798" i="7"/>
  <c r="K1797" i="7"/>
  <c r="A1796" i="7"/>
  <c r="K1795" i="7"/>
  <c r="A1794" i="7"/>
  <c r="K1793" i="7"/>
  <c r="A1792" i="7"/>
  <c r="K1791" i="7"/>
  <c r="A1790" i="7"/>
  <c r="K1789" i="7"/>
  <c r="A1788" i="7"/>
  <c r="K1787" i="7"/>
  <c r="A1786" i="7"/>
  <c r="K1785" i="7"/>
  <c r="A1784" i="7"/>
  <c r="K1783" i="7"/>
  <c r="A1782" i="7"/>
  <c r="K1781" i="7"/>
  <c r="A1780" i="7"/>
  <c r="K1779" i="7"/>
  <c r="A1778" i="7"/>
  <c r="K1777" i="7"/>
  <c r="A1776" i="7"/>
  <c r="K1775" i="7"/>
  <c r="A1774" i="7"/>
  <c r="K1773" i="7"/>
  <c r="A1772" i="7"/>
  <c r="K1771" i="7"/>
  <c r="A1770" i="7"/>
  <c r="K1769" i="7"/>
  <c r="A1768" i="7"/>
  <c r="K1767" i="7"/>
  <c r="A1766" i="7"/>
  <c r="K1765" i="7"/>
  <c r="K1764" i="7"/>
  <c r="G1764" i="7"/>
  <c r="C1764" i="7"/>
  <c r="K1763" i="7"/>
  <c r="G1763" i="7"/>
  <c r="C1763" i="7"/>
  <c r="L1762" i="7"/>
  <c r="F1762" i="7"/>
  <c r="B1762" i="7"/>
  <c r="K1761" i="7"/>
  <c r="E1761" i="7"/>
  <c r="A1761" i="7"/>
  <c r="M1760" i="7"/>
  <c r="I1760" i="7"/>
  <c r="E1760" i="7"/>
  <c r="A1760" i="7"/>
  <c r="M1759" i="7"/>
  <c r="H1759" i="7"/>
  <c r="D1759" i="7"/>
  <c r="Q1758" i="7"/>
  <c r="L1758" i="7"/>
  <c r="H1758" i="7"/>
  <c r="D1758" i="7"/>
  <c r="Q1757" i="7"/>
  <c r="L1757" i="7"/>
  <c r="H1757" i="7"/>
  <c r="D1757" i="7"/>
  <c r="Q1756" i="7"/>
  <c r="L1756" i="7"/>
  <c r="H1756" i="7"/>
  <c r="D1756" i="7"/>
  <c r="Q1755" i="7"/>
  <c r="L1755" i="7"/>
  <c r="H1755" i="7"/>
  <c r="D1755" i="7"/>
  <c r="Q1754" i="7"/>
  <c r="K1754" i="7"/>
  <c r="G1754" i="7"/>
  <c r="C1754" i="7"/>
  <c r="K1753" i="7"/>
  <c r="G1753" i="7"/>
  <c r="C1753" i="7"/>
  <c r="K1752" i="7"/>
  <c r="G1752" i="7"/>
  <c r="C1752" i="7"/>
  <c r="J1751" i="7"/>
  <c r="F1751" i="7"/>
  <c r="B1751" i="7"/>
  <c r="J1750" i="7"/>
  <c r="F1750" i="7"/>
  <c r="B1750" i="7"/>
  <c r="J1749" i="7"/>
  <c r="F1749" i="7"/>
  <c r="B1749" i="7"/>
  <c r="J1748" i="7"/>
  <c r="F1748" i="7"/>
  <c r="B1748" i="7"/>
  <c r="J1747" i="7"/>
  <c r="F1747" i="7"/>
  <c r="B1747" i="7"/>
  <c r="J1746" i="7"/>
  <c r="F1746" i="7"/>
  <c r="B1746" i="7"/>
  <c r="J1745" i="7"/>
  <c r="F1745" i="7"/>
  <c r="B1745" i="7"/>
  <c r="J1744" i="7"/>
  <c r="F1744" i="7"/>
  <c r="B1744" i="7"/>
  <c r="J1743" i="7"/>
  <c r="F1743" i="7"/>
  <c r="B1743" i="7"/>
  <c r="J1742" i="7"/>
  <c r="F1742" i="7"/>
  <c r="B1742" i="7"/>
  <c r="D1741" i="7"/>
  <c r="J1740" i="7"/>
  <c r="F1740" i="7"/>
  <c r="B1740" i="7"/>
  <c r="J1739" i="7"/>
  <c r="F1739" i="7"/>
  <c r="B1739" i="7"/>
  <c r="J1738" i="7"/>
  <c r="F1738" i="7"/>
  <c r="B1738" i="7"/>
  <c r="J1737" i="7"/>
  <c r="F1737" i="7"/>
  <c r="B1737" i="7"/>
  <c r="K1736" i="7"/>
  <c r="F1736" i="7"/>
  <c r="B1736" i="7"/>
  <c r="K1735" i="7"/>
  <c r="F1735" i="7"/>
  <c r="B1735" i="7"/>
  <c r="K1734" i="7"/>
  <c r="F1734" i="7"/>
  <c r="B1734" i="7"/>
  <c r="K1733" i="7"/>
  <c r="F1733" i="7"/>
  <c r="B1733" i="7"/>
  <c r="K1732" i="7"/>
  <c r="F1732" i="7"/>
  <c r="B1732" i="7"/>
  <c r="K1731" i="7"/>
  <c r="F1731" i="7"/>
  <c r="B1731" i="7"/>
  <c r="J1730" i="7"/>
  <c r="F1730" i="7"/>
  <c r="B1730" i="7"/>
  <c r="K1729" i="7"/>
  <c r="F1729" i="7"/>
  <c r="B1729" i="7"/>
  <c r="K1728" i="7"/>
  <c r="F1728" i="7"/>
  <c r="B1728" i="7"/>
  <c r="K1727" i="7"/>
  <c r="F1727" i="7"/>
  <c r="B1727" i="7"/>
  <c r="K1726" i="7"/>
  <c r="F1726" i="7"/>
  <c r="B1726" i="7"/>
  <c r="J1725" i="7"/>
  <c r="F1725" i="7"/>
  <c r="B1725" i="7"/>
  <c r="K1724" i="7"/>
  <c r="F1724" i="7"/>
  <c r="B1724" i="7"/>
  <c r="K1723" i="7"/>
  <c r="F1723" i="7"/>
  <c r="B1723" i="7"/>
  <c r="K1722" i="7"/>
  <c r="F1722" i="7"/>
  <c r="B1722" i="7"/>
  <c r="K1721" i="7"/>
  <c r="F1721" i="7"/>
  <c r="B1721" i="7"/>
  <c r="K1720" i="7"/>
  <c r="F1720" i="7"/>
  <c r="B1720" i="7"/>
  <c r="J1719" i="7"/>
  <c r="F1719" i="7"/>
  <c r="B1719" i="7"/>
  <c r="K1718" i="7"/>
  <c r="F1718" i="7"/>
  <c r="B1718" i="7"/>
  <c r="K1717" i="7"/>
  <c r="F1717" i="7"/>
  <c r="B1717" i="7"/>
  <c r="J1716" i="7"/>
  <c r="F1716" i="7"/>
  <c r="B1716" i="7"/>
  <c r="K1715" i="7"/>
  <c r="F1715" i="7"/>
  <c r="B1715" i="7"/>
  <c r="J1714" i="7"/>
  <c r="F1714" i="7"/>
  <c r="B1714" i="7"/>
  <c r="K1713" i="7"/>
  <c r="D1713" i="7"/>
  <c r="Q1712" i="7"/>
  <c r="M1712" i="7"/>
  <c r="H1712" i="7"/>
  <c r="D1712" i="7"/>
  <c r="Q1711" i="7"/>
  <c r="M1711" i="7"/>
  <c r="H1711" i="7"/>
  <c r="D1711" i="7"/>
  <c r="Q1710" i="7"/>
  <c r="M1710" i="7"/>
  <c r="H1710" i="7"/>
  <c r="D1710" i="7"/>
  <c r="Q1709" i="7"/>
  <c r="M1709" i="7"/>
  <c r="H1709" i="7"/>
  <c r="D1709" i="7"/>
  <c r="Q1708" i="7"/>
  <c r="M1708" i="7"/>
  <c r="H1708" i="7"/>
  <c r="D1708" i="7"/>
  <c r="Q1707" i="7"/>
  <c r="L1707" i="7"/>
  <c r="H1707" i="7"/>
  <c r="D1707" i="7"/>
  <c r="Q1706" i="7"/>
  <c r="L1706" i="7"/>
  <c r="H1706" i="7"/>
  <c r="D1706" i="7"/>
  <c r="Q1705" i="7"/>
  <c r="M1705" i="7"/>
  <c r="H1705" i="7"/>
  <c r="D1705" i="7"/>
  <c r="Q1704" i="7"/>
  <c r="M1704" i="7"/>
  <c r="H1704" i="7"/>
  <c r="D1704" i="7"/>
  <c r="Q1703" i="7"/>
  <c r="M1703" i="7"/>
  <c r="H1703" i="7"/>
  <c r="D1703" i="7"/>
  <c r="Q1702" i="7"/>
  <c r="M1702" i="7"/>
  <c r="H1702" i="7"/>
  <c r="D1702" i="7"/>
  <c r="Q1701" i="7"/>
  <c r="L1701" i="7"/>
  <c r="H1701" i="7"/>
  <c r="D1701" i="7"/>
  <c r="Q1700" i="7"/>
  <c r="L1700" i="7"/>
  <c r="H1700" i="7"/>
  <c r="D1700" i="7"/>
  <c r="Q1699" i="7"/>
  <c r="M1699" i="7"/>
  <c r="F1699" i="7"/>
  <c r="B1699" i="7"/>
  <c r="K1698" i="7"/>
  <c r="D1698" i="7"/>
  <c r="Q1697" i="7"/>
  <c r="M1697" i="7"/>
  <c r="F1697" i="7"/>
  <c r="B1697" i="7"/>
  <c r="K1696" i="7"/>
  <c r="D1696" i="7"/>
  <c r="Q1695" i="7"/>
  <c r="M1695" i="7"/>
  <c r="F1695" i="7"/>
  <c r="B1695" i="7"/>
  <c r="K1694" i="7"/>
  <c r="G1694" i="7"/>
  <c r="C1694" i="7"/>
  <c r="L1693" i="7"/>
  <c r="G1693" i="7"/>
  <c r="C1693" i="7"/>
  <c r="L1692" i="7"/>
  <c r="G1692" i="7"/>
  <c r="C1692" i="7"/>
  <c r="L1691" i="7"/>
  <c r="G1691" i="7"/>
  <c r="C1691" i="7"/>
  <c r="L1690" i="7"/>
  <c r="H1690" i="7"/>
  <c r="D1690" i="7"/>
  <c r="Q1689" i="7"/>
  <c r="L1689" i="7"/>
  <c r="H1689" i="7"/>
  <c r="D1689" i="7"/>
  <c r="Q1688" i="7"/>
  <c r="M1688" i="7"/>
  <c r="H1688" i="7"/>
  <c r="D1688" i="7"/>
  <c r="Q1687" i="7"/>
  <c r="M1687" i="7"/>
  <c r="H1687" i="7"/>
  <c r="D1687" i="7"/>
  <c r="Q1686" i="7"/>
  <c r="L1686" i="7"/>
  <c r="H1686" i="7"/>
  <c r="D1686" i="7"/>
  <c r="Q1685" i="7"/>
  <c r="L1685" i="7"/>
  <c r="H1685" i="7"/>
  <c r="D1685" i="7"/>
  <c r="Q1684" i="7"/>
  <c r="M1684" i="7"/>
  <c r="H1684" i="7"/>
  <c r="D1684" i="7"/>
  <c r="Q1683" i="7"/>
  <c r="M1683" i="7"/>
  <c r="H1683" i="7"/>
  <c r="D1683" i="7"/>
  <c r="Q1682" i="7"/>
  <c r="L1682" i="7"/>
  <c r="H1682" i="7"/>
  <c r="D1682" i="7"/>
  <c r="Q1681" i="7"/>
  <c r="M1681" i="7"/>
  <c r="H1681" i="7"/>
  <c r="D1681" i="7"/>
  <c r="Q1680" i="7"/>
  <c r="M1680" i="7"/>
  <c r="H1680" i="7"/>
  <c r="D1680" i="7"/>
  <c r="Q1679" i="7"/>
  <c r="M1679" i="7"/>
  <c r="H1679" i="7"/>
  <c r="D1679" i="7"/>
  <c r="Q1678" i="7"/>
  <c r="M1678" i="7"/>
  <c r="H1678" i="7"/>
  <c r="D1678" i="7"/>
  <c r="Q1677" i="7"/>
  <c r="M1677" i="7"/>
  <c r="H1677" i="7"/>
  <c r="D1677" i="7"/>
  <c r="Q1676" i="7"/>
  <c r="M1676" i="7"/>
  <c r="H1676" i="7"/>
  <c r="D1676" i="7"/>
  <c r="Q1675" i="7"/>
  <c r="M1675" i="7"/>
  <c r="H1675" i="7"/>
  <c r="D1675" i="7"/>
  <c r="Q1674" i="7"/>
  <c r="L1674" i="7"/>
  <c r="H1674" i="7"/>
  <c r="D1674" i="7"/>
  <c r="Q1673" i="7"/>
  <c r="F1673" i="7"/>
  <c r="Q1672" i="7"/>
  <c r="L1672" i="7"/>
  <c r="H1672" i="7"/>
  <c r="D1672" i="7"/>
  <c r="Q1671" i="7"/>
  <c r="M1671" i="7"/>
  <c r="H1671" i="7"/>
  <c r="D1671" i="7"/>
  <c r="Q1670" i="7"/>
  <c r="L1670" i="7"/>
  <c r="H1670" i="7"/>
  <c r="D1670" i="7"/>
  <c r="Q1669" i="7"/>
  <c r="L1669" i="7"/>
  <c r="H1669" i="7"/>
  <c r="D1669" i="7"/>
  <c r="Q1668" i="7"/>
  <c r="L1668" i="7"/>
  <c r="H1668" i="7"/>
  <c r="D1668" i="7"/>
  <c r="Q1667" i="7"/>
  <c r="L1667" i="7"/>
  <c r="G1667" i="7"/>
  <c r="C1667" i="7"/>
  <c r="K1666" i="7"/>
  <c r="G1666" i="7"/>
  <c r="C1666" i="7"/>
  <c r="K1665" i="7"/>
  <c r="G1665" i="7"/>
  <c r="C1665" i="7"/>
  <c r="L1664" i="7"/>
  <c r="H1664" i="7"/>
  <c r="D1664" i="7"/>
  <c r="Q1663" i="7"/>
  <c r="M1663" i="7"/>
  <c r="H1663" i="7"/>
  <c r="D1663" i="7"/>
  <c r="Q1662" i="7"/>
  <c r="M1662" i="7"/>
  <c r="H1662" i="7"/>
  <c r="D1662" i="7"/>
  <c r="Q1661" i="7"/>
  <c r="L1661" i="7"/>
  <c r="H1661" i="7"/>
  <c r="D1661" i="7"/>
  <c r="Q1660" i="7"/>
  <c r="L1660" i="7"/>
  <c r="H1660" i="7"/>
  <c r="D1660" i="7"/>
  <c r="Q1659" i="7"/>
  <c r="L1659" i="7"/>
  <c r="H1659" i="7"/>
  <c r="D1659" i="7"/>
  <c r="Q1658" i="7"/>
  <c r="L1658" i="7"/>
  <c r="H1658" i="7"/>
  <c r="D1658" i="7"/>
  <c r="Q1657" i="7"/>
  <c r="L1657" i="7"/>
  <c r="H1657" i="7"/>
  <c r="D1657" i="7"/>
  <c r="Q1656" i="7"/>
  <c r="L1656" i="7"/>
  <c r="H1656" i="7"/>
  <c r="D1656" i="7"/>
  <c r="Q1655" i="7"/>
  <c r="L1655" i="7"/>
  <c r="H1655" i="7"/>
  <c r="D1655" i="7"/>
  <c r="Q1654" i="7"/>
  <c r="L1654" i="7"/>
  <c r="H1654" i="7"/>
  <c r="D1654" i="7"/>
  <c r="Q1653" i="7"/>
  <c r="L1653" i="7"/>
  <c r="H1653" i="7"/>
  <c r="D1653" i="7"/>
  <c r="Q1652" i="7"/>
  <c r="L1652" i="7"/>
  <c r="H1652" i="7"/>
  <c r="D1652" i="7"/>
  <c r="Q1651" i="7"/>
  <c r="L1651" i="7"/>
  <c r="H1651" i="7"/>
  <c r="D1651" i="7"/>
  <c r="Q1650" i="7"/>
  <c r="L1650" i="7"/>
  <c r="H1650" i="7"/>
  <c r="D1650" i="7"/>
  <c r="Q1649" i="7"/>
  <c r="L1649" i="7"/>
  <c r="H1649" i="7"/>
  <c r="D1649" i="7"/>
  <c r="Q1648" i="7"/>
  <c r="M1648" i="7"/>
  <c r="H1648" i="7"/>
  <c r="D1648" i="7"/>
  <c r="Q1647" i="7"/>
  <c r="L1647" i="7"/>
  <c r="H1647" i="7"/>
  <c r="D1647" i="7"/>
  <c r="Q1646" i="7"/>
  <c r="M1646" i="7"/>
  <c r="H1646" i="7"/>
  <c r="D1646" i="7"/>
  <c r="Q1645" i="7"/>
  <c r="L1645" i="7"/>
  <c r="H1645" i="7"/>
  <c r="D1645" i="7"/>
  <c r="Q1644" i="7"/>
  <c r="F1644" i="7"/>
  <c r="Q1643" i="7"/>
  <c r="L1643" i="7"/>
  <c r="H1643" i="7"/>
  <c r="D1643" i="7"/>
  <c r="Q1642" i="7"/>
  <c r="L1642" i="7"/>
  <c r="H1642" i="7"/>
  <c r="D1642" i="7"/>
  <c r="Q1641" i="7"/>
  <c r="L1641" i="7"/>
  <c r="H1641" i="7"/>
  <c r="D1641" i="7"/>
  <c r="Q1640" i="7"/>
  <c r="L1640" i="7"/>
  <c r="H1640" i="7"/>
  <c r="D1640" i="7"/>
  <c r="Q1639" i="7"/>
  <c r="L1639" i="7"/>
  <c r="H1639" i="7"/>
  <c r="D1639" i="7"/>
  <c r="Q1638" i="7"/>
  <c r="L1638" i="7"/>
  <c r="H1638" i="7"/>
  <c r="D1638" i="7"/>
  <c r="Q1637" i="7"/>
  <c r="M1637" i="7"/>
  <c r="H1637" i="7"/>
  <c r="D1637" i="7"/>
  <c r="Q1636" i="7"/>
  <c r="K1636" i="7"/>
  <c r="G1636" i="7"/>
  <c r="C1636" i="7"/>
  <c r="K1635" i="7"/>
  <c r="G1635" i="7"/>
  <c r="C1635" i="7"/>
  <c r="K1634" i="7"/>
  <c r="G1634" i="7"/>
  <c r="C1634" i="7"/>
  <c r="K1633" i="7"/>
  <c r="G1633" i="7"/>
  <c r="C1633" i="7"/>
  <c r="K1632" i="7"/>
  <c r="G1632" i="7"/>
  <c r="C1632" i="7"/>
  <c r="K1631" i="7"/>
  <c r="G1631" i="7"/>
  <c r="C1631" i="7"/>
  <c r="K1630" i="7"/>
  <c r="G1630" i="7"/>
  <c r="C1630" i="7"/>
  <c r="E1629" i="7"/>
  <c r="K1628" i="7"/>
  <c r="G1628" i="7"/>
  <c r="C1628" i="7"/>
  <c r="E1627" i="7"/>
  <c r="L1626" i="7"/>
  <c r="G1626" i="7"/>
  <c r="C1626" i="7"/>
  <c r="L1625" i="7"/>
  <c r="G1625" i="7"/>
  <c r="C1625" i="7"/>
  <c r="E1624" i="7"/>
  <c r="K1623" i="7"/>
  <c r="G1623" i="7"/>
  <c r="C1623" i="7"/>
  <c r="L1622" i="7"/>
  <c r="G1622" i="7"/>
  <c r="C1622" i="7"/>
  <c r="L1621" i="7"/>
  <c r="G1621" i="7"/>
  <c r="C1621" i="7"/>
  <c r="L1620" i="7"/>
  <c r="G1620" i="7"/>
  <c r="C1620" i="7"/>
  <c r="K1619" i="7"/>
  <c r="G1619" i="7"/>
  <c r="C1619" i="7"/>
  <c r="E1618" i="7"/>
  <c r="L1617" i="7"/>
  <c r="G1617" i="7"/>
  <c r="C1617" i="7"/>
  <c r="K1616" i="7"/>
  <c r="F1616" i="7"/>
  <c r="B1616" i="7"/>
  <c r="K1615" i="7"/>
  <c r="F1615" i="7"/>
  <c r="B1615" i="7"/>
  <c r="K1614" i="7"/>
  <c r="F1614" i="7"/>
  <c r="B1614" i="7"/>
  <c r="J1613" i="7"/>
  <c r="E1613" i="7"/>
  <c r="A1613" i="7"/>
  <c r="N1612" i="7"/>
  <c r="J1612" i="7"/>
  <c r="E1612" i="7"/>
  <c r="A1612" i="7"/>
  <c r="M1611" i="7"/>
  <c r="I1611" i="7"/>
  <c r="E1611" i="7"/>
  <c r="A1611" i="7"/>
  <c r="N1610" i="7"/>
  <c r="J1610" i="7"/>
  <c r="E1610" i="7"/>
  <c r="A1610" i="7"/>
  <c r="N1609" i="7"/>
  <c r="J1609" i="7"/>
  <c r="E1609" i="7"/>
  <c r="A1609" i="7"/>
  <c r="N1608" i="7"/>
  <c r="J1608" i="7"/>
  <c r="E1608" i="7"/>
  <c r="A1608" i="7"/>
  <c r="N1607" i="7"/>
  <c r="J1607" i="7"/>
  <c r="E1607" i="7"/>
  <c r="A1607" i="7"/>
  <c r="N1606" i="7"/>
  <c r="J1606" i="7"/>
  <c r="E1606" i="7"/>
  <c r="A1606" i="7"/>
  <c r="N1605" i="7"/>
  <c r="J1605" i="7"/>
  <c r="E1605" i="7"/>
  <c r="A1605" i="7"/>
  <c r="N1604" i="7"/>
  <c r="J1604" i="7"/>
  <c r="E1604" i="7"/>
  <c r="A1604" i="7"/>
  <c r="N1603" i="7"/>
  <c r="J1603" i="7"/>
  <c r="E1603" i="7"/>
  <c r="A1603" i="7"/>
  <c r="N1602" i="7"/>
  <c r="J1602" i="7"/>
  <c r="E1602" i="7"/>
  <c r="A1602" i="7"/>
  <c r="N1601" i="7"/>
  <c r="J1601" i="7"/>
  <c r="E1601" i="7"/>
  <c r="A1601" i="7"/>
  <c r="N1600" i="7"/>
  <c r="J1600" i="7"/>
  <c r="E1600" i="7"/>
  <c r="A1600" i="7"/>
  <c r="N1599" i="7"/>
  <c r="J1599" i="7"/>
  <c r="E1599" i="7"/>
  <c r="A1599" i="7"/>
  <c r="M1598" i="7"/>
  <c r="I1598" i="7"/>
  <c r="E1598" i="7"/>
  <c r="A1598" i="7"/>
  <c r="N1597" i="7"/>
  <c r="J1597" i="7"/>
  <c r="E1597" i="7"/>
  <c r="A1597" i="7"/>
  <c r="N1596" i="7"/>
  <c r="J1596" i="7"/>
  <c r="E1596" i="7"/>
  <c r="A1596" i="7"/>
  <c r="N1595" i="7"/>
  <c r="J1595" i="7"/>
  <c r="E1595" i="7"/>
  <c r="A1595" i="7"/>
  <c r="N1594" i="7"/>
  <c r="J1594" i="7"/>
  <c r="E1594" i="7"/>
  <c r="A1594" i="7"/>
  <c r="N1593" i="7"/>
  <c r="J1593" i="7"/>
  <c r="E1593" i="7"/>
  <c r="A1593" i="7"/>
  <c r="N1592" i="7"/>
  <c r="J1592" i="7"/>
  <c r="E1592" i="7"/>
  <c r="A1592" i="7"/>
  <c r="N1591" i="7"/>
  <c r="J1591" i="7"/>
  <c r="E1591" i="7"/>
  <c r="A1591" i="7"/>
  <c r="N1590" i="7"/>
  <c r="J1590" i="7"/>
  <c r="E1590" i="7"/>
  <c r="A1590" i="7"/>
  <c r="N1589" i="7"/>
  <c r="J1589" i="7"/>
  <c r="E1589" i="7"/>
  <c r="A1589" i="7"/>
  <c r="N1588" i="7"/>
  <c r="J1588" i="7"/>
  <c r="E1588" i="7"/>
  <c r="A1588" i="7"/>
  <c r="N1587" i="7"/>
  <c r="J1587" i="7"/>
  <c r="E1587" i="7"/>
  <c r="A1587" i="7"/>
  <c r="N1586" i="7"/>
  <c r="J1586" i="7"/>
  <c r="E1586" i="7"/>
  <c r="A1586" i="7"/>
  <c r="N1585" i="7"/>
  <c r="J1585" i="7"/>
  <c r="E1585" i="7"/>
  <c r="A1585" i="7"/>
  <c r="N1584" i="7"/>
  <c r="J1584" i="7"/>
  <c r="E1584" i="7"/>
  <c r="A1584" i="7"/>
  <c r="N1583" i="7"/>
  <c r="J1583" i="7"/>
  <c r="E1583" i="7"/>
  <c r="A1583" i="7"/>
  <c r="N1582" i="7"/>
  <c r="J1582" i="7"/>
  <c r="E1582" i="7"/>
  <c r="A1582" i="7"/>
  <c r="N1581" i="7"/>
  <c r="J1581" i="7"/>
  <c r="E1581" i="7"/>
  <c r="A1581" i="7"/>
  <c r="N1580" i="7"/>
  <c r="J1580" i="7"/>
  <c r="E1580" i="7"/>
  <c r="A1580" i="7"/>
  <c r="N1579" i="7"/>
  <c r="J1579" i="7"/>
  <c r="E1579" i="7"/>
  <c r="A1579" i="7"/>
  <c r="N1578" i="7"/>
  <c r="H1578" i="7"/>
  <c r="D1578" i="7"/>
  <c r="Q1577" i="7"/>
  <c r="M1577" i="7"/>
  <c r="H1577" i="7"/>
  <c r="D1577" i="7"/>
  <c r="Q1576" i="7"/>
  <c r="M1576" i="7"/>
  <c r="H1576" i="7"/>
  <c r="D1576" i="7"/>
  <c r="Q1575" i="7"/>
  <c r="M1575" i="7"/>
  <c r="H1575" i="7"/>
  <c r="D1575" i="7"/>
  <c r="Q1574" i="7"/>
  <c r="M1574" i="7"/>
  <c r="H1574" i="7"/>
  <c r="D1574" i="7"/>
  <c r="Q1573" i="7"/>
  <c r="M1573" i="7"/>
  <c r="H1573" i="7"/>
  <c r="D1573" i="7"/>
  <c r="Q1572" i="7"/>
  <c r="M1572" i="7"/>
  <c r="H1572" i="7"/>
  <c r="D1572" i="7"/>
  <c r="Q1571" i="7"/>
  <c r="M1571" i="7"/>
  <c r="H1571" i="7"/>
  <c r="D1571" i="7"/>
  <c r="Q1570" i="7"/>
  <c r="M1570" i="7"/>
  <c r="H1570" i="7"/>
  <c r="D1570" i="7"/>
  <c r="Q1569" i="7"/>
  <c r="M1569" i="7"/>
  <c r="I1569" i="7"/>
  <c r="E1569" i="7"/>
  <c r="A1569" i="7"/>
  <c r="N1568" i="7"/>
  <c r="J1568" i="7"/>
  <c r="E1568" i="7"/>
  <c r="A1568" i="7"/>
  <c r="N1567" i="7"/>
  <c r="J1567" i="7"/>
  <c r="E1567" i="7"/>
  <c r="A1567" i="7"/>
  <c r="N1566" i="7"/>
  <c r="H1566" i="7"/>
  <c r="D1566" i="7"/>
  <c r="Q1565" i="7"/>
  <c r="M1565" i="7"/>
  <c r="H1565" i="7"/>
  <c r="D1565" i="7"/>
  <c r="Q1564" i="7"/>
  <c r="M1564" i="7"/>
  <c r="H1564" i="7"/>
  <c r="D1564" i="7"/>
  <c r="Q1563" i="7"/>
  <c r="M1563" i="7"/>
  <c r="H1563" i="7"/>
  <c r="D1563" i="7"/>
  <c r="Q1562" i="7"/>
  <c r="M1562" i="7"/>
  <c r="H1562" i="7"/>
  <c r="D1562" i="7"/>
  <c r="Q1561" i="7"/>
  <c r="M1561" i="7"/>
  <c r="H1561" i="7"/>
  <c r="D1561" i="7"/>
  <c r="Q1560" i="7"/>
  <c r="M1560" i="7"/>
  <c r="H1560" i="7"/>
  <c r="D1560" i="7"/>
  <c r="Q1559" i="7"/>
  <c r="M1559" i="7"/>
  <c r="H1559" i="7"/>
  <c r="D1559" i="7"/>
  <c r="Q1558" i="7"/>
  <c r="M1558" i="7"/>
  <c r="H1558" i="7"/>
  <c r="D1558" i="7"/>
  <c r="Q1557" i="7"/>
  <c r="M1557" i="7"/>
  <c r="H1557" i="7"/>
  <c r="D1557" i="7"/>
  <c r="Q1556" i="7"/>
  <c r="M1556" i="7"/>
  <c r="H1556" i="7"/>
  <c r="D1556" i="7"/>
  <c r="Q1555" i="7"/>
  <c r="M1555" i="7"/>
  <c r="H1555" i="7"/>
  <c r="D1555" i="7"/>
  <c r="Q1554" i="7"/>
  <c r="M1554" i="7"/>
  <c r="H1554" i="7"/>
  <c r="D1554" i="7"/>
  <c r="Q1553" i="7"/>
  <c r="M1553" i="7"/>
  <c r="H1553" i="7"/>
  <c r="D1553" i="7"/>
  <c r="Q1552" i="7"/>
  <c r="M1552" i="7"/>
  <c r="H1552" i="7"/>
  <c r="D1552" i="7"/>
  <c r="Q1551" i="7"/>
  <c r="M1551" i="7"/>
  <c r="H1551" i="7"/>
  <c r="D1551" i="7"/>
  <c r="Q1550" i="7"/>
  <c r="M1550" i="7"/>
  <c r="H1550" i="7"/>
  <c r="D1550" i="7"/>
  <c r="Q1549" i="7"/>
  <c r="K1549" i="7"/>
  <c r="F1549" i="7"/>
  <c r="B1549" i="7"/>
  <c r="K1548" i="7"/>
  <c r="F1548" i="7"/>
  <c r="B1548" i="7"/>
  <c r="K1547" i="7"/>
  <c r="F1547" i="7"/>
  <c r="B1547" i="7"/>
  <c r="K1546" i="7"/>
  <c r="F1546" i="7"/>
  <c r="B1546" i="7"/>
  <c r="K1545" i="7"/>
  <c r="F1545" i="7"/>
  <c r="B1545" i="7"/>
  <c r="H1544" i="7"/>
  <c r="D1544" i="7"/>
  <c r="Q1543" i="7"/>
  <c r="K1543" i="7"/>
  <c r="F1543" i="7"/>
  <c r="B1543" i="7"/>
  <c r="K1542" i="7"/>
  <c r="G1542" i="7"/>
  <c r="C1542" i="7"/>
  <c r="L1541" i="7"/>
  <c r="G1541" i="7"/>
  <c r="C1541" i="7"/>
  <c r="L1540" i="7"/>
  <c r="G1540" i="7"/>
  <c r="C1540" i="7"/>
  <c r="L1539" i="7"/>
  <c r="G1539" i="7"/>
  <c r="C1539" i="7"/>
  <c r="L1538" i="7"/>
  <c r="G1538" i="7"/>
  <c r="C1538" i="7"/>
  <c r="L1537" i="7"/>
  <c r="G1537" i="7"/>
  <c r="C1537" i="7"/>
  <c r="L1536" i="7"/>
  <c r="G1536" i="7"/>
  <c r="C1536" i="7"/>
  <c r="L1535" i="7"/>
  <c r="G1535" i="7"/>
  <c r="C1535" i="7"/>
  <c r="L1534" i="7"/>
  <c r="G1534" i="7"/>
  <c r="C1534" i="7"/>
  <c r="L1533" i="7"/>
  <c r="G1533" i="7"/>
  <c r="C1533" i="7"/>
  <c r="J1532" i="7"/>
  <c r="E1532" i="7"/>
  <c r="A1532" i="7"/>
  <c r="N1531" i="7"/>
  <c r="J1531" i="7"/>
  <c r="E1531" i="7"/>
  <c r="A1531" i="7"/>
  <c r="N1530" i="7"/>
  <c r="H1530" i="7"/>
  <c r="D1530" i="7"/>
  <c r="Q1529" i="7"/>
  <c r="M1529" i="7"/>
  <c r="H1529" i="7"/>
  <c r="D1529" i="7"/>
  <c r="Q1528" i="7"/>
  <c r="M1528" i="7"/>
  <c r="H1528" i="7"/>
  <c r="D1528" i="7"/>
  <c r="Q1527" i="7"/>
  <c r="M1527" i="7"/>
  <c r="H1527" i="7"/>
  <c r="D1527" i="7"/>
  <c r="Q1526" i="7"/>
  <c r="M1526" i="7"/>
  <c r="H1526" i="7"/>
  <c r="D1526" i="7"/>
  <c r="Q1525" i="7"/>
  <c r="M1525" i="7"/>
  <c r="H1525" i="7"/>
  <c r="D1525" i="7"/>
  <c r="Q1524" i="7"/>
  <c r="M1524" i="7"/>
  <c r="H1524" i="7"/>
  <c r="D1524" i="7"/>
  <c r="Q1523" i="7"/>
  <c r="M1523" i="7"/>
  <c r="H1523" i="7"/>
  <c r="D1523" i="7"/>
  <c r="Q1522" i="7"/>
  <c r="M1522" i="7"/>
  <c r="H1522" i="7"/>
  <c r="D1522" i="7"/>
  <c r="Q1521" i="7"/>
  <c r="M1521" i="7"/>
  <c r="H1521" i="7"/>
  <c r="D1521" i="7"/>
  <c r="Q1520" i="7"/>
  <c r="L1520" i="7"/>
  <c r="G1520" i="7"/>
  <c r="C1520" i="7"/>
  <c r="L1519" i="7"/>
  <c r="G1519" i="7"/>
  <c r="C1519" i="7"/>
  <c r="L1518" i="7"/>
  <c r="G1518" i="7"/>
  <c r="C1518" i="7"/>
  <c r="L1517" i="7"/>
  <c r="G1517" i="7"/>
  <c r="C1517" i="7"/>
  <c r="L1516" i="7"/>
  <c r="G1516" i="7"/>
  <c r="C1516" i="7"/>
  <c r="L1515" i="7"/>
  <c r="G1515" i="7"/>
  <c r="C1515" i="7"/>
  <c r="L1514" i="7"/>
  <c r="G1514" i="7"/>
  <c r="C1514" i="7"/>
  <c r="L1513" i="7"/>
  <c r="G1513" i="7"/>
  <c r="C1513" i="7"/>
  <c r="L1512" i="7"/>
  <c r="G1512" i="7"/>
  <c r="C1512" i="7"/>
  <c r="J1511" i="7"/>
  <c r="E1511" i="7"/>
  <c r="A1511" i="7"/>
  <c r="N1510" i="7"/>
  <c r="G1510" i="7"/>
  <c r="C1510" i="7"/>
  <c r="L1509" i="7"/>
  <c r="G1509" i="7"/>
  <c r="C1509" i="7"/>
  <c r="L1508" i="7"/>
  <c r="G1508" i="7"/>
  <c r="C1508" i="7"/>
  <c r="L1507" i="7"/>
  <c r="G1507" i="7"/>
  <c r="C1507" i="7"/>
  <c r="L1506" i="7"/>
  <c r="G1506" i="7"/>
  <c r="C1506" i="7"/>
  <c r="L1505" i="7"/>
  <c r="G1505" i="7"/>
  <c r="C1505" i="7"/>
  <c r="L1504" i="7"/>
  <c r="G1504" i="7"/>
  <c r="C1504" i="7"/>
  <c r="L1503" i="7"/>
  <c r="G1503" i="7"/>
  <c r="C1503" i="7"/>
  <c r="A1502" i="7"/>
  <c r="K1501" i="7"/>
  <c r="A1500" i="7"/>
  <c r="K1499" i="7"/>
  <c r="A1498" i="7"/>
  <c r="K1497" i="7"/>
  <c r="A1496" i="7"/>
  <c r="K1495" i="7"/>
  <c r="A1494" i="7"/>
  <c r="K1493" i="7"/>
  <c r="A1492" i="7"/>
  <c r="K1491" i="7"/>
  <c r="A1490" i="7"/>
  <c r="K1489" i="7"/>
  <c r="A1488" i="7"/>
  <c r="K1487" i="7"/>
  <c r="A1486" i="7"/>
  <c r="K1485" i="7"/>
  <c r="A1484" i="7"/>
  <c r="K1483" i="7"/>
  <c r="A1482" i="7"/>
  <c r="K1481" i="7"/>
  <c r="A1480" i="7"/>
  <c r="K1479" i="7"/>
  <c r="A1478" i="7"/>
  <c r="K1477" i="7"/>
  <c r="A1476" i="7"/>
  <c r="K1475" i="7"/>
  <c r="A1474" i="7"/>
  <c r="K1473" i="7"/>
  <c r="A1472" i="7"/>
  <c r="K1471" i="7"/>
  <c r="A1470" i="7"/>
  <c r="K1469" i="7"/>
  <c r="A1468" i="7"/>
  <c r="K1467" i="7"/>
  <c r="A1466" i="7"/>
  <c r="K1465" i="7"/>
  <c r="A1464" i="7"/>
  <c r="K1463" i="7"/>
  <c r="A1462" i="7"/>
  <c r="K1461" i="7"/>
  <c r="A1460" i="7"/>
  <c r="K1459" i="7"/>
  <c r="A1458" i="7"/>
  <c r="K1457" i="7"/>
  <c r="A1456" i="7"/>
  <c r="K1455" i="7"/>
  <c r="A1454" i="7"/>
  <c r="K1453" i="7"/>
  <c r="A1452" i="7"/>
  <c r="K1451" i="7"/>
  <c r="A1450" i="7"/>
  <c r="K1449" i="7"/>
  <c r="A1448" i="7"/>
  <c r="K1447" i="7"/>
  <c r="A1446" i="7"/>
  <c r="K1445" i="7"/>
  <c r="A1444" i="7"/>
  <c r="K1443" i="7"/>
  <c r="A1442" i="7"/>
  <c r="K1441" i="7"/>
  <c r="A1440" i="7"/>
  <c r="K1439" i="7"/>
  <c r="A1438" i="7"/>
  <c r="K1437" i="7"/>
  <c r="A1436" i="7"/>
  <c r="K1435" i="7"/>
  <c r="A1434" i="7"/>
  <c r="K1433" i="7"/>
  <c r="A1432" i="7"/>
  <c r="K1431" i="7"/>
  <c r="A1430" i="7"/>
  <c r="K1429" i="7"/>
  <c r="A1428" i="7"/>
  <c r="K1427" i="7"/>
  <c r="A1426" i="7"/>
  <c r="K1425" i="7"/>
  <c r="A1424" i="7"/>
  <c r="K1423" i="7"/>
  <c r="A1422" i="7"/>
  <c r="K1421" i="7"/>
  <c r="A1420" i="7"/>
  <c r="K1419" i="7"/>
  <c r="A1418" i="7"/>
  <c r="K1417" i="7"/>
  <c r="A1416" i="7"/>
  <c r="K1415" i="7"/>
  <c r="A1414" i="7"/>
  <c r="K1413" i="7"/>
  <c r="A1412" i="7"/>
  <c r="K1411" i="7"/>
  <c r="A1410" i="7"/>
  <c r="K1409" i="7"/>
  <c r="A1408" i="7"/>
  <c r="K1407" i="7"/>
  <c r="A1406" i="7"/>
  <c r="K1405" i="7"/>
  <c r="A1404" i="7"/>
  <c r="K1403" i="7"/>
  <c r="A1402" i="7"/>
  <c r="K1401" i="7"/>
  <c r="A1400" i="7"/>
  <c r="K1399" i="7"/>
  <c r="A1398" i="7"/>
  <c r="K1397" i="7"/>
  <c r="A1396" i="7"/>
  <c r="K1395" i="7"/>
  <c r="A1394" i="7"/>
  <c r="K1393" i="7"/>
  <c r="A1392" i="7"/>
  <c r="K1391" i="7"/>
  <c r="A1390" i="7"/>
  <c r="K1389" i="7"/>
  <c r="A1388" i="7"/>
  <c r="K1387" i="7"/>
  <c r="A1386" i="7"/>
  <c r="K1385" i="7"/>
  <c r="A1384" i="7"/>
  <c r="K1383" i="7"/>
  <c r="A1382" i="7"/>
  <c r="K1381" i="7"/>
  <c r="A1380" i="7"/>
  <c r="K1379" i="7"/>
  <c r="A1378" i="7"/>
  <c r="K1377" i="7"/>
  <c r="A1376" i="7"/>
  <c r="K1375" i="7"/>
  <c r="A1374" i="7"/>
  <c r="K1373" i="7"/>
  <c r="A1372" i="7"/>
  <c r="K1371" i="7"/>
  <c r="A1370" i="7"/>
  <c r="K1369" i="7"/>
  <c r="A1368" i="7"/>
  <c r="K1367" i="7"/>
  <c r="A1366" i="7"/>
  <c r="K1365" i="7"/>
  <c r="A1364" i="7"/>
  <c r="K1363" i="7"/>
  <c r="A1362" i="7"/>
  <c r="M1361" i="7"/>
  <c r="I1361" i="7"/>
  <c r="E1361" i="7"/>
  <c r="A1361" i="7"/>
  <c r="M1360" i="7"/>
  <c r="I1360" i="7"/>
  <c r="E1360" i="7"/>
  <c r="A1360" i="7"/>
  <c r="M1359" i="7"/>
  <c r="I1359" i="7"/>
  <c r="E1359" i="7"/>
  <c r="A1359" i="7"/>
  <c r="N1358" i="7"/>
  <c r="J1358" i="7"/>
  <c r="F1358" i="7"/>
  <c r="B1358" i="7"/>
  <c r="J1357" i="7"/>
  <c r="F1357" i="7"/>
  <c r="B1357" i="7"/>
  <c r="J1356" i="7"/>
  <c r="F1356" i="7"/>
  <c r="B1356" i="7"/>
  <c r="K1355" i="7"/>
  <c r="F1355" i="7"/>
  <c r="B1355" i="7"/>
  <c r="K1354" i="7"/>
  <c r="F1354" i="7"/>
  <c r="B1354" i="7"/>
  <c r="K1353" i="7"/>
  <c r="F1353" i="7"/>
  <c r="B1353" i="7"/>
  <c r="J1352" i="7"/>
  <c r="F1352" i="7"/>
  <c r="B1352" i="7"/>
  <c r="K1351" i="7"/>
  <c r="F1351" i="7"/>
  <c r="B1351" i="7"/>
  <c r="J1350" i="7"/>
  <c r="F1350" i="7"/>
  <c r="B1350" i="7"/>
  <c r="K1349" i="7"/>
  <c r="F1349" i="7"/>
  <c r="B1349" i="7"/>
  <c r="K1348" i="7"/>
  <c r="F1348" i="7"/>
  <c r="B1348" i="7"/>
  <c r="K1347" i="7"/>
  <c r="F1347" i="7"/>
  <c r="B1347" i="7"/>
  <c r="K1346" i="7"/>
  <c r="F1346" i="7"/>
  <c r="B1346" i="7"/>
  <c r="K1345" i="7"/>
  <c r="F1345" i="7"/>
  <c r="B1345" i="7"/>
  <c r="K1344" i="7"/>
  <c r="F1344" i="7"/>
  <c r="B1344" i="7"/>
  <c r="J1343" i="7"/>
  <c r="F1343" i="7"/>
  <c r="B1343" i="7"/>
  <c r="K1342" i="7"/>
  <c r="F1342" i="7"/>
  <c r="E2112" i="7"/>
  <c r="G2111" i="7"/>
  <c r="E2110" i="7"/>
  <c r="G2109" i="7"/>
  <c r="G2108" i="7"/>
  <c r="E2107" i="7"/>
  <c r="G2106" i="7"/>
  <c r="F2105" i="7"/>
  <c r="H2104" i="7"/>
  <c r="L2103" i="7"/>
  <c r="C2103" i="7"/>
  <c r="K2102" i="7"/>
  <c r="Q2099" i="7"/>
  <c r="D2099" i="7"/>
  <c r="K2098" i="7"/>
  <c r="Q2095" i="7"/>
  <c r="D2095" i="7"/>
  <c r="K2094" i="7"/>
  <c r="Q2091" i="7"/>
  <c r="D2091" i="7"/>
  <c r="K2090" i="7"/>
  <c r="Q2087" i="7"/>
  <c r="D2087" i="7"/>
  <c r="K2086" i="7"/>
  <c r="Q2083" i="7"/>
  <c r="D2083" i="7"/>
  <c r="K2082" i="7"/>
  <c r="Q2080" i="7"/>
  <c r="D2080" i="7"/>
  <c r="Q2078" i="7"/>
  <c r="D2078" i="7"/>
  <c r="Q2076" i="7"/>
  <c r="D2076" i="7"/>
  <c r="Q2074" i="7"/>
  <c r="D2074" i="7"/>
  <c r="Q2072" i="7"/>
  <c r="D2072" i="7"/>
  <c r="Q2070" i="7"/>
  <c r="D2070" i="7"/>
  <c r="Q2068" i="7"/>
  <c r="D2068" i="7"/>
  <c r="Q2066" i="7"/>
  <c r="D2066" i="7"/>
  <c r="Q2064" i="7"/>
  <c r="D2064" i="7"/>
  <c r="Q2062" i="7"/>
  <c r="D2062" i="7"/>
  <c r="Q2060" i="7"/>
  <c r="D2060" i="7"/>
  <c r="Q2058" i="7"/>
  <c r="D2058" i="7"/>
  <c r="Q2056" i="7"/>
  <c r="D2056" i="7"/>
  <c r="Q2054" i="7"/>
  <c r="D2054" i="7"/>
  <c r="Q2052" i="7"/>
  <c r="D2052" i="7"/>
  <c r="Q2050" i="7"/>
  <c r="D2050" i="7"/>
  <c r="Q2048" i="7"/>
  <c r="D2048" i="7"/>
  <c r="Q2046" i="7"/>
  <c r="D2046" i="7"/>
  <c r="Q2044" i="7"/>
  <c r="D2044" i="7"/>
  <c r="Q2042" i="7"/>
  <c r="D2042" i="7"/>
  <c r="Q2040" i="7"/>
  <c r="D2040" i="7"/>
  <c r="Q2038" i="7"/>
  <c r="D2038" i="7"/>
  <c r="Q2036" i="7"/>
  <c r="D2036" i="7"/>
  <c r="Q2034" i="7"/>
  <c r="D2034" i="7"/>
  <c r="Q2032" i="7"/>
  <c r="D2032" i="7"/>
  <c r="Q2030" i="7"/>
  <c r="D2030" i="7"/>
  <c r="Q2028" i="7"/>
  <c r="D2028" i="7"/>
  <c r="Q2026" i="7"/>
  <c r="D2026" i="7"/>
  <c r="Q2024" i="7"/>
  <c r="D2024" i="7"/>
  <c r="Q2022" i="7"/>
  <c r="D2022" i="7"/>
  <c r="Q2020" i="7"/>
  <c r="D2020" i="7"/>
  <c r="Q2018" i="7"/>
  <c r="D2018" i="7"/>
  <c r="Q2016" i="7"/>
  <c r="D2016" i="7"/>
  <c r="Q2014" i="7"/>
  <c r="D2014" i="7"/>
  <c r="Q2012" i="7"/>
  <c r="D2012" i="7"/>
  <c r="Q2010" i="7"/>
  <c r="D2010" i="7"/>
  <c r="Q2008" i="7"/>
  <c r="D2008" i="7"/>
  <c r="Q2006" i="7"/>
  <c r="D2006" i="7"/>
  <c r="Q2004" i="7"/>
  <c r="D2004" i="7"/>
  <c r="Q2002" i="7"/>
  <c r="D2002" i="7"/>
  <c r="Q2000" i="7"/>
  <c r="D2000" i="7"/>
  <c r="Q1998" i="7"/>
  <c r="D1998" i="7"/>
  <c r="Q1996" i="7"/>
  <c r="D1996" i="7"/>
  <c r="Q1994" i="7"/>
  <c r="D1994" i="7"/>
  <c r="Q1992" i="7"/>
  <c r="D1992" i="7"/>
  <c r="Q1990" i="7"/>
  <c r="D1990" i="7"/>
  <c r="Q1988" i="7"/>
  <c r="D1988" i="7"/>
  <c r="Q1986" i="7"/>
  <c r="D1986" i="7"/>
  <c r="Q1984" i="7"/>
  <c r="D1984" i="7"/>
  <c r="Q1982" i="7"/>
  <c r="D1982" i="7"/>
  <c r="Q1980" i="7"/>
  <c r="D1980" i="7"/>
  <c r="Q1978" i="7"/>
  <c r="D1978" i="7"/>
  <c r="Q1976" i="7"/>
  <c r="D1976" i="7"/>
  <c r="Q1974" i="7"/>
  <c r="D1974" i="7"/>
  <c r="Q1972" i="7"/>
  <c r="D1972" i="7"/>
  <c r="Q1970" i="7"/>
  <c r="D1970" i="7"/>
  <c r="Q1968" i="7"/>
  <c r="D1968" i="7"/>
  <c r="Q1966" i="7"/>
  <c r="D1966" i="7"/>
  <c r="Q1964" i="7"/>
  <c r="D1964" i="7"/>
  <c r="Q1962" i="7"/>
  <c r="D1962" i="7"/>
  <c r="Q1960" i="7"/>
  <c r="D1960" i="7"/>
  <c r="Q1958" i="7"/>
  <c r="D1958" i="7"/>
  <c r="Q1956" i="7"/>
  <c r="D1956" i="7"/>
  <c r="Q1954" i="7"/>
  <c r="D1954" i="7"/>
  <c r="K1953" i="7"/>
  <c r="F1953" i="7"/>
  <c r="B1953" i="7"/>
  <c r="J1952" i="7"/>
  <c r="F1952" i="7"/>
  <c r="B1952" i="7"/>
  <c r="K1951" i="7"/>
  <c r="F1951" i="7"/>
  <c r="B1951" i="7"/>
  <c r="J1950" i="7"/>
  <c r="F1950" i="7"/>
  <c r="B1950" i="7"/>
  <c r="K1949" i="7"/>
  <c r="F1949" i="7"/>
  <c r="B1949" i="7"/>
  <c r="J1948" i="7"/>
  <c r="F1948" i="7"/>
  <c r="B1948" i="7"/>
  <c r="J1947" i="7"/>
  <c r="F1947" i="7"/>
  <c r="B1947" i="7"/>
  <c r="J1946" i="7"/>
  <c r="F1946" i="7"/>
  <c r="B1946" i="7"/>
  <c r="J1945" i="7"/>
  <c r="F1945" i="7"/>
  <c r="B1945" i="7"/>
  <c r="K1944" i="7"/>
  <c r="F1944" i="7"/>
  <c r="B1944" i="7"/>
  <c r="J1943" i="7"/>
  <c r="F1943" i="7"/>
  <c r="B1943" i="7"/>
  <c r="K1942" i="7"/>
  <c r="F1942" i="7"/>
  <c r="B1942" i="7"/>
  <c r="J1941" i="7"/>
  <c r="F1941" i="7"/>
  <c r="B1941" i="7"/>
  <c r="K1940" i="7"/>
  <c r="F1940" i="7"/>
  <c r="B1940" i="7"/>
  <c r="K1939" i="7"/>
  <c r="F1939" i="7"/>
  <c r="B1939" i="7"/>
  <c r="K1938" i="7"/>
  <c r="F1938" i="7"/>
  <c r="B1938" i="7"/>
  <c r="K1937" i="7"/>
  <c r="F1937" i="7"/>
  <c r="B1937" i="7"/>
  <c r="K1936" i="7"/>
  <c r="F1936" i="7"/>
  <c r="B1936" i="7"/>
  <c r="K1935" i="7"/>
  <c r="G1935" i="7"/>
  <c r="C1935" i="7"/>
  <c r="L1934" i="7"/>
  <c r="E1934" i="7"/>
  <c r="A1934" i="7"/>
  <c r="N1933" i="7"/>
  <c r="J1933" i="7"/>
  <c r="E1933" i="7"/>
  <c r="A1933" i="7"/>
  <c r="M1932" i="7"/>
  <c r="I1932" i="7"/>
  <c r="E1932" i="7"/>
  <c r="A1932" i="7"/>
  <c r="M1931" i="7"/>
  <c r="I1931" i="7"/>
  <c r="E1931" i="7"/>
  <c r="A1931" i="7"/>
  <c r="N1930" i="7"/>
  <c r="J1930" i="7"/>
  <c r="F1930" i="7"/>
  <c r="B1930" i="7"/>
  <c r="J1929" i="7"/>
  <c r="F1929" i="7"/>
  <c r="B1929" i="7"/>
  <c r="K1928" i="7"/>
  <c r="G1928" i="7"/>
  <c r="C1928" i="7"/>
  <c r="L1927" i="7"/>
  <c r="H1927" i="7"/>
  <c r="D1927" i="7"/>
  <c r="Q1926" i="7"/>
  <c r="L1926" i="7"/>
  <c r="H1926" i="7"/>
  <c r="D1926" i="7"/>
  <c r="Q1925" i="7"/>
  <c r="M1925" i="7"/>
  <c r="I1925" i="7"/>
  <c r="E1925" i="7"/>
  <c r="A1925" i="7"/>
  <c r="M1924" i="7"/>
  <c r="I1924" i="7"/>
  <c r="E1924" i="7"/>
  <c r="A1924" i="7"/>
  <c r="M1923" i="7"/>
  <c r="I1923" i="7"/>
  <c r="E1923" i="7"/>
  <c r="A1923" i="7"/>
  <c r="M1922" i="7"/>
  <c r="I1922" i="7"/>
  <c r="E1922" i="7"/>
  <c r="A1922" i="7"/>
  <c r="M1921" i="7"/>
  <c r="I1921" i="7"/>
  <c r="E1921" i="7"/>
  <c r="A1921" i="7"/>
  <c r="M1920" i="7"/>
  <c r="I1920" i="7"/>
  <c r="E1920" i="7"/>
  <c r="A1920" i="7"/>
  <c r="M1919" i="7"/>
  <c r="I1919" i="7"/>
  <c r="E1919" i="7"/>
  <c r="A1919" i="7"/>
  <c r="M1918" i="7"/>
  <c r="I1918" i="7"/>
  <c r="E1918" i="7"/>
  <c r="A1918" i="7"/>
  <c r="M1917" i="7"/>
  <c r="I1917" i="7"/>
  <c r="E1917" i="7"/>
  <c r="A1917" i="7"/>
  <c r="M1916" i="7"/>
  <c r="I1916" i="7"/>
  <c r="E1916" i="7"/>
  <c r="A1916" i="7"/>
  <c r="M1915" i="7"/>
  <c r="I1915" i="7"/>
  <c r="E1915" i="7"/>
  <c r="A1915" i="7"/>
  <c r="N1914" i="7"/>
  <c r="J1914" i="7"/>
  <c r="F1914" i="7"/>
  <c r="B1914" i="7"/>
  <c r="J1913" i="7"/>
  <c r="F1913" i="7"/>
  <c r="B1913" i="7"/>
  <c r="J1912" i="7"/>
  <c r="F1912" i="7"/>
  <c r="B1912" i="7"/>
  <c r="J1911" i="7"/>
  <c r="F1911" i="7"/>
  <c r="B1911" i="7"/>
  <c r="J1910" i="7"/>
  <c r="F1910" i="7"/>
  <c r="B1910" i="7"/>
  <c r="I1909" i="7"/>
  <c r="E1909" i="7"/>
  <c r="A1909" i="7"/>
  <c r="M1908" i="7"/>
  <c r="I1908" i="7"/>
  <c r="E1908" i="7"/>
  <c r="A1908" i="7"/>
  <c r="M1907" i="7"/>
  <c r="I1907" i="7"/>
  <c r="E1907" i="7"/>
  <c r="A1907" i="7"/>
  <c r="M1906" i="7"/>
  <c r="I1906" i="7"/>
  <c r="E1906" i="7"/>
  <c r="A1906" i="7"/>
  <c r="M1905" i="7"/>
  <c r="I1905" i="7"/>
  <c r="E1905" i="7"/>
  <c r="A1905" i="7"/>
  <c r="M1904" i="7"/>
  <c r="I1904" i="7"/>
  <c r="E1904" i="7"/>
  <c r="A1904" i="7"/>
  <c r="N1903" i="7"/>
  <c r="J1903" i="7"/>
  <c r="F1903" i="7"/>
  <c r="B1903" i="7"/>
  <c r="K1902" i="7"/>
  <c r="G1902" i="7"/>
  <c r="C1902" i="7"/>
  <c r="L1901" i="7"/>
  <c r="G1901" i="7"/>
  <c r="C1901" i="7"/>
  <c r="L1900" i="7"/>
  <c r="G1900" i="7"/>
  <c r="C1900" i="7"/>
  <c r="L1899" i="7"/>
  <c r="G1899" i="7"/>
  <c r="C1899" i="7"/>
  <c r="L1898" i="7"/>
  <c r="G1898" i="7"/>
  <c r="C1898" i="7"/>
  <c r="L1897" i="7"/>
  <c r="G1897" i="7"/>
  <c r="C1897" i="7"/>
  <c r="L1896" i="7"/>
  <c r="G1896" i="7"/>
  <c r="C1896" i="7"/>
  <c r="L1895" i="7"/>
  <c r="G1895" i="7"/>
  <c r="C1895" i="7"/>
  <c r="L1894" i="7"/>
  <c r="G1894" i="7"/>
  <c r="C1894" i="7"/>
  <c r="L1893" i="7"/>
  <c r="G1893" i="7"/>
  <c r="C1893" i="7"/>
  <c r="L1892" i="7"/>
  <c r="G1892" i="7"/>
  <c r="C1892" i="7"/>
  <c r="L1891" i="7"/>
  <c r="G1891" i="7"/>
  <c r="C1891" i="7"/>
  <c r="L1890" i="7"/>
  <c r="G1890" i="7"/>
  <c r="C1890" i="7"/>
  <c r="L1889" i="7"/>
  <c r="G1889" i="7"/>
  <c r="C1889" i="7"/>
  <c r="L1888" i="7"/>
  <c r="G1888" i="7"/>
  <c r="C1888" i="7"/>
  <c r="L1887" i="7"/>
  <c r="G1887" i="7"/>
  <c r="C1887" i="7"/>
  <c r="L1886" i="7"/>
  <c r="G1886" i="7"/>
  <c r="C1886" i="7"/>
  <c r="L1885" i="7"/>
  <c r="G1885" i="7"/>
  <c r="C1885" i="7"/>
  <c r="L1884" i="7"/>
  <c r="G1884" i="7"/>
  <c r="C1884" i="7"/>
  <c r="L1883" i="7"/>
  <c r="G1883" i="7"/>
  <c r="C1883" i="7"/>
  <c r="L1882" i="7"/>
  <c r="G1882" i="7"/>
  <c r="C1882" i="7"/>
  <c r="L1881" i="7"/>
  <c r="G1881" i="7"/>
  <c r="C1881" i="7"/>
  <c r="L1880" i="7"/>
  <c r="G1880" i="7"/>
  <c r="C1880" i="7"/>
  <c r="L1879" i="7"/>
  <c r="G1879" i="7"/>
  <c r="C1879" i="7"/>
  <c r="L1878" i="7"/>
  <c r="G1878" i="7"/>
  <c r="C1878" i="7"/>
  <c r="L1877" i="7"/>
  <c r="G1877" i="7"/>
  <c r="C1877" i="7"/>
  <c r="L1876" i="7"/>
  <c r="G1876" i="7"/>
  <c r="C1876" i="7"/>
  <c r="L1875" i="7"/>
  <c r="G1875" i="7"/>
  <c r="C1875" i="7"/>
  <c r="L1874" i="7"/>
  <c r="G1874" i="7"/>
  <c r="C1874" i="7"/>
  <c r="L1873" i="7"/>
  <c r="G1873" i="7"/>
  <c r="C1873" i="7"/>
  <c r="L1872" i="7"/>
  <c r="G1872" i="7"/>
  <c r="C1872" i="7"/>
  <c r="L1871" i="7"/>
  <c r="G1871" i="7"/>
  <c r="C1871" i="7"/>
  <c r="L1870" i="7"/>
  <c r="G1870" i="7"/>
  <c r="C1870" i="7"/>
  <c r="L1869" i="7"/>
  <c r="G1869" i="7"/>
  <c r="C1869" i="7"/>
  <c r="L1868" i="7"/>
  <c r="G1868" i="7"/>
  <c r="C1868" i="7"/>
  <c r="L1867" i="7"/>
  <c r="G1867" i="7"/>
  <c r="C1867" i="7"/>
  <c r="L1866" i="7"/>
  <c r="G1866" i="7"/>
  <c r="C1866" i="7"/>
  <c r="L1865" i="7"/>
  <c r="G1865" i="7"/>
  <c r="C1865" i="7"/>
  <c r="K1864" i="7"/>
  <c r="F1864" i="7"/>
  <c r="B1864" i="7"/>
  <c r="K1863" i="7"/>
  <c r="F1863" i="7"/>
  <c r="B1863" i="7"/>
  <c r="K1862" i="7"/>
  <c r="F1862" i="7"/>
  <c r="B1862" i="7"/>
  <c r="K1861" i="7"/>
  <c r="F1861" i="7"/>
  <c r="B1861" i="7"/>
  <c r="K1860" i="7"/>
  <c r="F1860" i="7"/>
  <c r="B1860" i="7"/>
  <c r="K1859" i="7"/>
  <c r="F1859" i="7"/>
  <c r="B1859" i="7"/>
  <c r="K1858" i="7"/>
  <c r="F1858" i="7"/>
  <c r="B1858" i="7"/>
  <c r="J1857" i="7"/>
  <c r="E1857" i="7"/>
  <c r="A1857" i="7"/>
  <c r="N1856" i="7"/>
  <c r="J1856" i="7"/>
  <c r="E1856" i="7"/>
  <c r="A1856" i="7"/>
  <c r="N1855" i="7"/>
  <c r="J1855" i="7"/>
  <c r="E1855" i="7"/>
  <c r="A1855" i="7"/>
  <c r="N1854" i="7"/>
  <c r="J1854" i="7"/>
  <c r="E1854" i="7"/>
  <c r="A1854" i="7"/>
  <c r="N1853" i="7"/>
  <c r="J1853" i="7"/>
  <c r="E1853" i="7"/>
  <c r="A1853" i="7"/>
  <c r="N1852" i="7"/>
  <c r="J1852" i="7"/>
  <c r="E1852" i="7"/>
  <c r="A1852" i="7"/>
  <c r="N1851" i="7"/>
  <c r="J1851" i="7"/>
  <c r="E1851" i="7"/>
  <c r="A1851" i="7"/>
  <c r="N1850" i="7"/>
  <c r="J1850" i="7"/>
  <c r="E1850" i="7"/>
  <c r="A1850" i="7"/>
  <c r="N1849" i="7"/>
  <c r="J1849" i="7"/>
  <c r="E1849" i="7"/>
  <c r="A1849" i="7"/>
  <c r="N1848" i="7"/>
  <c r="J1848" i="7"/>
  <c r="E1848" i="7"/>
  <c r="A1848" i="7"/>
  <c r="N1847" i="7"/>
  <c r="J1847" i="7"/>
  <c r="E1847" i="7"/>
  <c r="A1847" i="7"/>
  <c r="N1846" i="7"/>
  <c r="J1846" i="7"/>
  <c r="E1846" i="7"/>
  <c r="A1846" i="7"/>
  <c r="N1845" i="7"/>
  <c r="J1845" i="7"/>
  <c r="E1845" i="7"/>
  <c r="A1845" i="7"/>
  <c r="N1844" i="7"/>
  <c r="J1844" i="7"/>
  <c r="E1844" i="7"/>
  <c r="A1844" i="7"/>
  <c r="N1843" i="7"/>
  <c r="J1843" i="7"/>
  <c r="E1843" i="7"/>
  <c r="A1843" i="7"/>
  <c r="N1842" i="7"/>
  <c r="J1842" i="7"/>
  <c r="E1842" i="7"/>
  <c r="A1842" i="7"/>
  <c r="N1841" i="7"/>
  <c r="J1841" i="7"/>
  <c r="E1841" i="7"/>
  <c r="A1841" i="7"/>
  <c r="N1840" i="7"/>
  <c r="J1840" i="7"/>
  <c r="E1840" i="7"/>
  <c r="A1840" i="7"/>
  <c r="N1839" i="7"/>
  <c r="J1839" i="7"/>
  <c r="E1839" i="7"/>
  <c r="A1839" i="7"/>
  <c r="N1838" i="7"/>
  <c r="J1838" i="7"/>
  <c r="E1838" i="7"/>
  <c r="A1838" i="7"/>
  <c r="N1837" i="7"/>
  <c r="J1837" i="7"/>
  <c r="E1837" i="7"/>
  <c r="A1837" i="7"/>
  <c r="N1836" i="7"/>
  <c r="J1836" i="7"/>
  <c r="E1836" i="7"/>
  <c r="A1836" i="7"/>
  <c r="N1835" i="7"/>
  <c r="J1835" i="7"/>
  <c r="E1835" i="7"/>
  <c r="A1835" i="7"/>
  <c r="N1834" i="7"/>
  <c r="H1834" i="7"/>
  <c r="D1834" i="7"/>
  <c r="Q1833" i="7"/>
  <c r="M1833" i="7"/>
  <c r="H1833" i="7"/>
  <c r="D1833" i="7"/>
  <c r="Q1832" i="7"/>
  <c r="M1832" i="7"/>
  <c r="H1832" i="7"/>
  <c r="D1832" i="7"/>
  <c r="Q1831" i="7"/>
  <c r="M1831" i="7"/>
  <c r="H1831" i="7"/>
  <c r="D1831" i="7"/>
  <c r="Q1830" i="7"/>
  <c r="M1830" i="7"/>
  <c r="H1830" i="7"/>
  <c r="D1830" i="7"/>
  <c r="Q1829" i="7"/>
  <c r="M1829" i="7"/>
  <c r="H1829" i="7"/>
  <c r="D1829" i="7"/>
  <c r="Q1828" i="7"/>
  <c r="M1828" i="7"/>
  <c r="H1828" i="7"/>
  <c r="D1828" i="7"/>
  <c r="Q1827" i="7"/>
  <c r="M1827" i="7"/>
  <c r="H1827" i="7"/>
  <c r="D1827" i="7"/>
  <c r="Q1826" i="7"/>
  <c r="M1826" i="7"/>
  <c r="H1826" i="7"/>
  <c r="D1826" i="7"/>
  <c r="Q1825" i="7"/>
  <c r="M1825" i="7"/>
  <c r="H1825" i="7"/>
  <c r="D1825" i="7"/>
  <c r="Q1824" i="7"/>
  <c r="M1824" i="7"/>
  <c r="H1824" i="7"/>
  <c r="D1824" i="7"/>
  <c r="Q1823" i="7"/>
  <c r="M1823" i="7"/>
  <c r="H1823" i="7"/>
  <c r="D1823" i="7"/>
  <c r="Q1822" i="7"/>
  <c r="M1822" i="7"/>
  <c r="H1822" i="7"/>
  <c r="D1822" i="7"/>
  <c r="Q1821" i="7"/>
  <c r="M1821" i="7"/>
  <c r="H1821" i="7"/>
  <c r="D1821" i="7"/>
  <c r="Q1820" i="7"/>
  <c r="M1820" i="7"/>
  <c r="H1820" i="7"/>
  <c r="D1820" i="7"/>
  <c r="Q1819" i="7"/>
  <c r="K1819" i="7"/>
  <c r="F1819" i="7"/>
  <c r="B1819" i="7"/>
  <c r="K1818" i="7"/>
  <c r="F1818" i="7"/>
  <c r="B1818" i="7"/>
  <c r="H1817" i="7"/>
  <c r="D1817" i="7"/>
  <c r="Q1816" i="7"/>
  <c r="M1816" i="7"/>
  <c r="H1816" i="7"/>
  <c r="D1816" i="7"/>
  <c r="Q1815" i="7"/>
  <c r="M1815" i="7"/>
  <c r="H1815" i="7"/>
  <c r="D1815" i="7"/>
  <c r="Q1814" i="7"/>
  <c r="M1814" i="7"/>
  <c r="H1814" i="7"/>
  <c r="D1814" i="7"/>
  <c r="Q1813" i="7"/>
  <c r="M1813" i="7"/>
  <c r="H1813" i="7"/>
  <c r="D1813" i="7"/>
  <c r="Q1812" i="7"/>
  <c r="M1812" i="7"/>
  <c r="H1812" i="7"/>
  <c r="D1812" i="7"/>
  <c r="Q1811" i="7"/>
  <c r="M1811" i="7"/>
  <c r="H1811" i="7"/>
  <c r="D1811" i="7"/>
  <c r="Q1810" i="7"/>
  <c r="M1810" i="7"/>
  <c r="H1810" i="7"/>
  <c r="D1810" i="7"/>
  <c r="Q1809" i="7"/>
  <c r="M1809" i="7"/>
  <c r="H1809" i="7"/>
  <c r="D1809" i="7"/>
  <c r="Q1808" i="7"/>
  <c r="L1808" i="7"/>
  <c r="G1808" i="7"/>
  <c r="C1808" i="7"/>
  <c r="D1807" i="7"/>
  <c r="K1806" i="7"/>
  <c r="F1806" i="7"/>
  <c r="B1806" i="7"/>
  <c r="K1805" i="7"/>
  <c r="F1805" i="7"/>
  <c r="B1805" i="7"/>
  <c r="K1804" i="7"/>
  <c r="F1804" i="7"/>
  <c r="B1804" i="7"/>
  <c r="K1803" i="7"/>
  <c r="F1803" i="7"/>
  <c r="B1803" i="7"/>
  <c r="Q1801" i="7"/>
  <c r="D1801" i="7"/>
  <c r="Q1799" i="7"/>
  <c r="D1799" i="7"/>
  <c r="Q1797" i="7"/>
  <c r="D1797" i="7"/>
  <c r="Q1795" i="7"/>
  <c r="D1795" i="7"/>
  <c r="Q1793" i="7"/>
  <c r="D1793" i="7"/>
  <c r="Q1791" i="7"/>
  <c r="D1791" i="7"/>
  <c r="Q1789" i="7"/>
  <c r="D1789" i="7"/>
  <c r="Q1787" i="7"/>
  <c r="D1787" i="7"/>
  <c r="Q1785" i="7"/>
  <c r="D1785" i="7"/>
  <c r="Q1783" i="7"/>
  <c r="D1783" i="7"/>
  <c r="Q1781" i="7"/>
  <c r="D1781" i="7"/>
  <c r="Q1779" i="7"/>
  <c r="D1779" i="7"/>
  <c r="Q1777" i="7"/>
  <c r="D1777" i="7"/>
  <c r="Q1775" i="7"/>
  <c r="D1775" i="7"/>
  <c r="Q1773" i="7"/>
  <c r="D1773" i="7"/>
  <c r="Q1771" i="7"/>
  <c r="D1771" i="7"/>
  <c r="Q1769" i="7"/>
  <c r="D1769" i="7"/>
  <c r="Q1767" i="7"/>
  <c r="D1767" i="7"/>
  <c r="Q1765" i="7"/>
  <c r="D1765" i="7"/>
  <c r="J1764" i="7"/>
  <c r="F1764" i="7"/>
  <c r="B1764" i="7"/>
  <c r="J1763" i="7"/>
  <c r="F1763" i="7"/>
  <c r="B1763" i="7"/>
  <c r="K1762" i="7"/>
  <c r="E1762" i="7"/>
  <c r="A1762" i="7"/>
  <c r="N1761" i="7"/>
  <c r="H1761" i="7"/>
  <c r="D1761" i="7"/>
  <c r="Q1760" i="7"/>
  <c r="L1760" i="7"/>
  <c r="H1760" i="7"/>
  <c r="D1760" i="7"/>
  <c r="Q1759" i="7"/>
  <c r="K1759" i="7"/>
  <c r="G1759" i="7"/>
  <c r="C1759" i="7"/>
  <c r="K1758" i="7"/>
  <c r="G1758" i="7"/>
  <c r="C1758" i="7"/>
  <c r="K1757" i="7"/>
  <c r="G1757" i="7"/>
  <c r="C1757" i="7"/>
  <c r="K1756" i="7"/>
  <c r="G1756" i="7"/>
  <c r="C1756" i="7"/>
  <c r="K1755" i="7"/>
  <c r="G1755" i="7"/>
  <c r="C1755" i="7"/>
  <c r="J1754" i="7"/>
  <c r="F1754" i="7"/>
  <c r="B1754" i="7"/>
  <c r="J1753" i="7"/>
  <c r="F1753" i="7"/>
  <c r="B1753" i="7"/>
  <c r="J1752" i="7"/>
  <c r="F1752" i="7"/>
  <c r="B1752" i="7"/>
  <c r="I1751" i="7"/>
  <c r="E1751" i="7"/>
  <c r="A1751" i="7"/>
  <c r="M1750" i="7"/>
  <c r="I1750" i="7"/>
  <c r="E1750" i="7"/>
  <c r="A1750" i="7"/>
  <c r="M1749" i="7"/>
  <c r="I1749" i="7"/>
  <c r="E1749" i="7"/>
  <c r="A1749" i="7"/>
  <c r="M1748" i="7"/>
  <c r="I1748" i="7"/>
  <c r="E1748" i="7"/>
  <c r="A1748" i="7"/>
  <c r="M1747" i="7"/>
  <c r="I1747" i="7"/>
  <c r="E1747" i="7"/>
  <c r="A1747" i="7"/>
  <c r="M1746" i="7"/>
  <c r="I1746" i="7"/>
  <c r="E1746" i="7"/>
  <c r="A1746" i="7"/>
  <c r="M1745" i="7"/>
  <c r="I1745" i="7"/>
  <c r="E1745" i="7"/>
  <c r="A1745" i="7"/>
  <c r="M1744" i="7"/>
  <c r="I1744" i="7"/>
  <c r="E1744" i="7"/>
  <c r="A1744" i="7"/>
  <c r="M1743" i="7"/>
  <c r="I1743" i="7"/>
  <c r="E1743" i="7"/>
  <c r="A1743" i="7"/>
  <c r="M1742" i="7"/>
  <c r="I1742" i="7"/>
  <c r="E1742" i="7"/>
  <c r="A1742" i="7"/>
  <c r="K1741" i="7"/>
  <c r="A1741" i="7"/>
  <c r="M1740" i="7"/>
  <c r="I1740" i="7"/>
  <c r="E1740" i="7"/>
  <c r="A1740" i="7"/>
  <c r="M1739" i="7"/>
  <c r="I1739" i="7"/>
  <c r="E1739" i="7"/>
  <c r="A1739" i="7"/>
  <c r="M1738" i="7"/>
  <c r="I1738" i="7"/>
  <c r="E1738" i="7"/>
  <c r="A1738" i="7"/>
  <c r="M1737" i="7"/>
  <c r="I1737" i="7"/>
  <c r="E1737" i="7"/>
  <c r="A1737" i="7"/>
  <c r="N1736" i="7"/>
  <c r="J1736" i="7"/>
  <c r="E1736" i="7"/>
  <c r="A1736" i="7"/>
  <c r="N1735" i="7"/>
  <c r="J1735" i="7"/>
  <c r="E1735" i="7"/>
  <c r="A1735" i="7"/>
  <c r="N1734" i="7"/>
  <c r="J1734" i="7"/>
  <c r="E1734" i="7"/>
  <c r="A1734" i="7"/>
  <c r="N1733" i="7"/>
  <c r="J1733" i="7"/>
  <c r="E1733" i="7"/>
  <c r="A1733" i="7"/>
  <c r="N1732" i="7"/>
  <c r="J1732" i="7"/>
  <c r="E1732" i="7"/>
  <c r="A1732" i="7"/>
  <c r="N1731" i="7"/>
  <c r="J1731" i="7"/>
  <c r="E1731" i="7"/>
  <c r="A1731" i="7"/>
  <c r="M1730" i="7"/>
  <c r="I1730" i="7"/>
  <c r="E1730" i="7"/>
  <c r="A1730" i="7"/>
  <c r="N1729" i="7"/>
  <c r="J1729" i="7"/>
  <c r="E1729" i="7"/>
  <c r="A1729" i="7"/>
  <c r="N1728" i="7"/>
  <c r="J1728" i="7"/>
  <c r="E1728" i="7"/>
  <c r="A1728" i="7"/>
  <c r="N1727" i="7"/>
  <c r="J1727" i="7"/>
  <c r="E1727" i="7"/>
  <c r="A1727" i="7"/>
  <c r="N1726" i="7"/>
  <c r="J1726" i="7"/>
  <c r="E1726" i="7"/>
  <c r="A1726" i="7"/>
  <c r="M1725" i="7"/>
  <c r="I1725" i="7"/>
  <c r="E1725" i="7"/>
  <c r="A1725" i="7"/>
  <c r="N1724" i="7"/>
  <c r="J1724" i="7"/>
  <c r="E1724" i="7"/>
  <c r="A1724" i="7"/>
  <c r="N1723" i="7"/>
  <c r="J1723" i="7"/>
  <c r="E1723" i="7"/>
  <c r="A1723" i="7"/>
  <c r="N1722" i="7"/>
  <c r="J1722" i="7"/>
  <c r="E1722" i="7"/>
  <c r="A1722" i="7"/>
  <c r="N1721" i="7"/>
  <c r="J1721" i="7"/>
  <c r="E1721" i="7"/>
  <c r="A1721" i="7"/>
  <c r="N1720" i="7"/>
  <c r="J1720" i="7"/>
  <c r="E1720" i="7"/>
  <c r="A1720" i="7"/>
  <c r="M1719" i="7"/>
  <c r="I1719" i="7"/>
  <c r="E1719" i="7"/>
  <c r="A1719" i="7"/>
  <c r="N1718" i="7"/>
  <c r="J1718" i="7"/>
  <c r="E1718" i="7"/>
  <c r="A1718" i="7"/>
  <c r="N1717" i="7"/>
  <c r="J1717" i="7"/>
  <c r="E1717" i="7"/>
  <c r="A1717" i="7"/>
  <c r="M1716" i="7"/>
  <c r="I1716" i="7"/>
  <c r="E1716" i="7"/>
  <c r="A1716" i="7"/>
  <c r="N1715" i="7"/>
  <c r="J1715" i="7"/>
  <c r="E1715" i="7"/>
  <c r="A1715" i="7"/>
  <c r="M1714" i="7"/>
  <c r="I1714" i="7"/>
  <c r="E1714" i="7"/>
  <c r="A1714" i="7"/>
  <c r="N1713" i="7"/>
  <c r="G1713" i="7"/>
  <c r="C1713" i="7"/>
  <c r="L1712" i="7"/>
  <c r="G1712" i="7"/>
  <c r="C1712" i="7"/>
  <c r="L1711" i="7"/>
  <c r="G1711" i="7"/>
  <c r="C1711" i="7"/>
  <c r="L1710" i="7"/>
  <c r="G1710" i="7"/>
  <c r="C1710" i="7"/>
  <c r="L1709" i="7"/>
  <c r="G1709" i="7"/>
  <c r="C1709" i="7"/>
  <c r="L1708" i="7"/>
  <c r="G1708" i="7"/>
  <c r="C1708" i="7"/>
  <c r="K1707" i="7"/>
  <c r="G1707" i="7"/>
  <c r="C1707" i="7"/>
  <c r="K1706" i="7"/>
  <c r="G1706" i="7"/>
  <c r="C1706" i="7"/>
  <c r="L1705" i="7"/>
  <c r="G1705" i="7"/>
  <c r="C1705" i="7"/>
  <c r="L1704" i="7"/>
  <c r="G1704" i="7"/>
  <c r="C1704" i="7"/>
  <c r="L1703" i="7"/>
  <c r="G1703" i="7"/>
  <c r="C1703" i="7"/>
  <c r="L1702" i="7"/>
  <c r="G1702" i="7"/>
  <c r="C1702" i="7"/>
  <c r="K1701" i="7"/>
  <c r="G1701" i="7"/>
  <c r="C1701" i="7"/>
  <c r="K1700" i="7"/>
  <c r="G1700" i="7"/>
  <c r="C1700" i="7"/>
  <c r="L1699" i="7"/>
  <c r="E1699" i="7"/>
  <c r="A1699" i="7"/>
  <c r="N1698" i="7"/>
  <c r="G1698" i="7"/>
  <c r="C1698" i="7"/>
  <c r="L1697" i="7"/>
  <c r="E1697" i="7"/>
  <c r="A1697" i="7"/>
  <c r="N1696" i="7"/>
  <c r="G1696" i="7"/>
  <c r="C1696" i="7"/>
  <c r="L1695" i="7"/>
  <c r="E1695" i="7"/>
  <c r="A1695" i="7"/>
  <c r="N1694" i="7"/>
  <c r="J1694" i="7"/>
  <c r="F1694" i="7"/>
  <c r="B1694" i="7"/>
  <c r="K1693" i="7"/>
  <c r="F1693" i="7"/>
  <c r="B1693" i="7"/>
  <c r="K1692" i="7"/>
  <c r="F1692" i="7"/>
  <c r="B1692" i="7"/>
  <c r="K1691" i="7"/>
  <c r="F1691" i="7"/>
  <c r="B1691" i="7"/>
  <c r="K1690" i="7"/>
  <c r="G1690" i="7"/>
  <c r="C1690" i="7"/>
  <c r="K1689" i="7"/>
  <c r="G1689" i="7"/>
  <c r="C1689" i="7"/>
  <c r="L1688" i="7"/>
  <c r="G1688" i="7"/>
  <c r="C1688" i="7"/>
  <c r="L1687" i="7"/>
  <c r="G1687" i="7"/>
  <c r="C1687" i="7"/>
  <c r="K1686" i="7"/>
  <c r="G1686" i="7"/>
  <c r="C1686" i="7"/>
  <c r="K1685" i="7"/>
  <c r="G1685" i="7"/>
  <c r="C1685" i="7"/>
  <c r="L1684" i="7"/>
  <c r="G1684" i="7"/>
  <c r="C1684" i="7"/>
  <c r="L1683" i="7"/>
  <c r="G1683" i="7"/>
  <c r="C1683" i="7"/>
  <c r="K1682" i="7"/>
  <c r="G1682" i="7"/>
  <c r="C1682" i="7"/>
  <c r="L1681" i="7"/>
  <c r="G1681" i="7"/>
  <c r="C1681" i="7"/>
  <c r="L1680" i="7"/>
  <c r="G1680" i="7"/>
  <c r="C1680" i="7"/>
  <c r="L1679" i="7"/>
  <c r="G1679" i="7"/>
  <c r="C1679" i="7"/>
  <c r="L1678" i="7"/>
  <c r="G1678" i="7"/>
  <c r="C1678" i="7"/>
  <c r="L1677" i="7"/>
  <c r="G1677" i="7"/>
  <c r="C1677" i="7"/>
  <c r="L1676" i="7"/>
  <c r="G1676" i="7"/>
  <c r="C1676" i="7"/>
  <c r="L1675" i="7"/>
  <c r="G1675" i="7"/>
  <c r="C1675" i="7"/>
  <c r="K1674" i="7"/>
  <c r="G1674" i="7"/>
  <c r="C1674" i="7"/>
  <c r="E1673" i="7"/>
  <c r="K1672" i="7"/>
  <c r="G1672" i="7"/>
  <c r="C1672" i="7"/>
  <c r="L1671" i="7"/>
  <c r="G1671" i="7"/>
  <c r="C1671" i="7"/>
  <c r="K1670" i="7"/>
  <c r="G1670" i="7"/>
  <c r="C1670" i="7"/>
  <c r="K1669" i="7"/>
  <c r="G1669" i="7"/>
  <c r="C1669" i="7"/>
  <c r="K1668" i="7"/>
  <c r="G1668" i="7"/>
  <c r="C1668" i="7"/>
  <c r="K1667" i="7"/>
  <c r="F1667" i="7"/>
  <c r="B1667" i="7"/>
  <c r="J1666" i="7"/>
  <c r="F1666" i="7"/>
  <c r="B1666" i="7"/>
  <c r="J1665" i="7"/>
  <c r="F1665" i="7"/>
  <c r="B1665" i="7"/>
  <c r="K1664" i="7"/>
  <c r="G1664" i="7"/>
  <c r="C1664" i="7"/>
  <c r="L1663" i="7"/>
  <c r="G1663" i="7"/>
  <c r="C1663" i="7"/>
  <c r="L1662" i="7"/>
  <c r="G1662" i="7"/>
  <c r="C1662" i="7"/>
  <c r="K1661" i="7"/>
  <c r="G1661" i="7"/>
  <c r="C1661" i="7"/>
  <c r="K1660" i="7"/>
  <c r="G1660" i="7"/>
  <c r="C1660" i="7"/>
  <c r="K1659" i="7"/>
  <c r="G1659" i="7"/>
  <c r="C1659" i="7"/>
  <c r="K1658" i="7"/>
  <c r="G1658" i="7"/>
  <c r="C1658" i="7"/>
  <c r="K1657" i="7"/>
  <c r="G1657" i="7"/>
  <c r="C1657" i="7"/>
  <c r="K1656" i="7"/>
  <c r="G1656" i="7"/>
  <c r="C1656" i="7"/>
  <c r="K1655" i="7"/>
  <c r="G1655" i="7"/>
  <c r="C1655" i="7"/>
  <c r="K1654" i="7"/>
  <c r="G1654" i="7"/>
  <c r="C1654" i="7"/>
  <c r="K1653" i="7"/>
  <c r="G1653" i="7"/>
  <c r="C1653" i="7"/>
  <c r="K1652" i="7"/>
  <c r="G1652" i="7"/>
  <c r="C1652" i="7"/>
  <c r="K1651" i="7"/>
  <c r="G1651" i="7"/>
  <c r="C1651" i="7"/>
  <c r="K1650" i="7"/>
  <c r="G1650" i="7"/>
  <c r="C1650" i="7"/>
  <c r="K1649" i="7"/>
  <c r="G1649" i="7"/>
  <c r="C1649" i="7"/>
  <c r="L1648" i="7"/>
  <c r="G1648" i="7"/>
  <c r="C1648" i="7"/>
  <c r="K1647" i="7"/>
  <c r="G1647" i="7"/>
  <c r="C1647" i="7"/>
  <c r="L1646" i="7"/>
  <c r="G1646" i="7"/>
  <c r="C1646" i="7"/>
  <c r="K1645" i="7"/>
  <c r="G1645" i="7"/>
  <c r="C1645" i="7"/>
  <c r="E1644" i="7"/>
  <c r="K1643" i="7"/>
  <c r="G1643" i="7"/>
  <c r="C1643" i="7"/>
  <c r="K1642" i="7"/>
  <c r="G1642" i="7"/>
  <c r="C1642" i="7"/>
  <c r="K1641" i="7"/>
  <c r="G1641" i="7"/>
  <c r="C1641" i="7"/>
  <c r="K1640" i="7"/>
  <c r="G1640" i="7"/>
  <c r="C1640" i="7"/>
  <c r="K1639" i="7"/>
  <c r="G1639" i="7"/>
  <c r="C1639" i="7"/>
  <c r="K1638" i="7"/>
  <c r="G1638" i="7"/>
  <c r="C1638" i="7"/>
  <c r="L1637" i="7"/>
  <c r="G1637" i="7"/>
  <c r="C1637" i="7"/>
  <c r="J1636" i="7"/>
  <c r="F1636" i="7"/>
  <c r="B1636" i="7"/>
  <c r="J1635" i="7"/>
  <c r="F1635" i="7"/>
  <c r="B1635" i="7"/>
  <c r="J1634" i="7"/>
  <c r="F1634" i="7"/>
  <c r="B1634" i="7"/>
  <c r="J1633" i="7"/>
  <c r="F1633" i="7"/>
  <c r="B1633" i="7"/>
  <c r="J1632" i="7"/>
  <c r="F1632" i="7"/>
  <c r="B1632" i="7"/>
  <c r="J1631" i="7"/>
  <c r="F1631" i="7"/>
  <c r="B1631" i="7"/>
  <c r="J1630" i="7"/>
  <c r="F1630" i="7"/>
  <c r="B1630" i="7"/>
  <c r="D1629" i="7"/>
  <c r="J1628" i="7"/>
  <c r="F1628" i="7"/>
  <c r="B1628" i="7"/>
  <c r="D1627" i="7"/>
  <c r="K1626" i="7"/>
  <c r="F1626" i="7"/>
  <c r="B1626" i="7"/>
  <c r="K1625" i="7"/>
  <c r="F1625" i="7"/>
  <c r="B1625" i="7"/>
  <c r="D1624" i="7"/>
  <c r="J1623" i="7"/>
  <c r="F1623" i="7"/>
  <c r="B1623" i="7"/>
  <c r="K1622" i="7"/>
  <c r="F1622" i="7"/>
  <c r="B1622" i="7"/>
  <c r="K1621" i="7"/>
  <c r="F1621" i="7"/>
  <c r="B1621" i="7"/>
  <c r="K1620" i="7"/>
  <c r="F1620" i="7"/>
  <c r="B1620" i="7"/>
  <c r="J1619" i="7"/>
  <c r="F1619" i="7"/>
  <c r="B1619" i="7"/>
  <c r="D1618" i="7"/>
  <c r="K1617" i="7"/>
  <c r="F1617" i="7"/>
  <c r="B1617" i="7"/>
  <c r="J1616" i="7"/>
  <c r="E1616" i="7"/>
  <c r="A1616" i="7"/>
  <c r="N1615" i="7"/>
  <c r="J1615" i="7"/>
  <c r="E1615" i="7"/>
  <c r="A1615" i="7"/>
  <c r="N1614" i="7"/>
  <c r="J1614" i="7"/>
  <c r="E1614" i="7"/>
  <c r="A1614" i="7"/>
  <c r="N1613" i="7"/>
  <c r="H1613" i="7"/>
  <c r="D1613" i="7"/>
  <c r="Q1612" i="7"/>
  <c r="M1612" i="7"/>
  <c r="H1612" i="7"/>
  <c r="D1612" i="7"/>
  <c r="Q1611" i="7"/>
  <c r="L1611" i="7"/>
  <c r="H1611" i="7"/>
  <c r="D1611" i="7"/>
  <c r="Q1610" i="7"/>
  <c r="M1610" i="7"/>
  <c r="H1610" i="7"/>
  <c r="D1610" i="7"/>
  <c r="Q1609" i="7"/>
  <c r="M1609" i="7"/>
  <c r="H1609" i="7"/>
  <c r="D1609" i="7"/>
  <c r="Q1608" i="7"/>
  <c r="M1608" i="7"/>
  <c r="H1608" i="7"/>
  <c r="D1608" i="7"/>
  <c r="Q1607" i="7"/>
  <c r="M1607" i="7"/>
  <c r="H1607" i="7"/>
  <c r="D1607" i="7"/>
  <c r="Q1606" i="7"/>
  <c r="M1606" i="7"/>
  <c r="H1606" i="7"/>
  <c r="D1606" i="7"/>
  <c r="Q1605" i="7"/>
  <c r="M1605" i="7"/>
  <c r="H1605" i="7"/>
  <c r="D1605" i="7"/>
  <c r="Q1604" i="7"/>
  <c r="M1604" i="7"/>
  <c r="H1604" i="7"/>
  <c r="D1604" i="7"/>
  <c r="Q1603" i="7"/>
  <c r="M1603" i="7"/>
  <c r="H1603" i="7"/>
  <c r="D1603" i="7"/>
  <c r="Q1602" i="7"/>
  <c r="M1602" i="7"/>
  <c r="H1602" i="7"/>
  <c r="D1602" i="7"/>
  <c r="Q1601" i="7"/>
  <c r="M1601" i="7"/>
  <c r="H1601" i="7"/>
  <c r="D1601" i="7"/>
  <c r="Q1600" i="7"/>
  <c r="M1600" i="7"/>
  <c r="H1600" i="7"/>
  <c r="D1600" i="7"/>
  <c r="Q1599" i="7"/>
  <c r="M1599" i="7"/>
  <c r="H1599" i="7"/>
  <c r="D1599" i="7"/>
  <c r="Q1598" i="7"/>
  <c r="L1598" i="7"/>
  <c r="H1598" i="7"/>
  <c r="D1598" i="7"/>
  <c r="Q1597" i="7"/>
  <c r="M1597" i="7"/>
  <c r="H1597" i="7"/>
  <c r="D1597" i="7"/>
  <c r="Q1596" i="7"/>
  <c r="M1596" i="7"/>
  <c r="H1596" i="7"/>
  <c r="D1596" i="7"/>
  <c r="Q1595" i="7"/>
  <c r="M1595" i="7"/>
  <c r="H1595" i="7"/>
  <c r="D1595" i="7"/>
  <c r="Q1594" i="7"/>
  <c r="M1594" i="7"/>
  <c r="H1594" i="7"/>
  <c r="D1594" i="7"/>
  <c r="Q1593" i="7"/>
  <c r="M1593" i="7"/>
  <c r="H1593" i="7"/>
  <c r="D1593" i="7"/>
  <c r="Q1592" i="7"/>
  <c r="M1592" i="7"/>
  <c r="H1592" i="7"/>
  <c r="D1592" i="7"/>
  <c r="Q1591" i="7"/>
  <c r="M1591" i="7"/>
  <c r="H1591" i="7"/>
  <c r="D1591" i="7"/>
  <c r="Q1590" i="7"/>
  <c r="M1590" i="7"/>
  <c r="H1590" i="7"/>
  <c r="D1590" i="7"/>
  <c r="Q1589" i="7"/>
  <c r="M1589" i="7"/>
  <c r="H1589" i="7"/>
  <c r="D1589" i="7"/>
  <c r="Q1588" i="7"/>
  <c r="M1588" i="7"/>
  <c r="H1588" i="7"/>
  <c r="D1588" i="7"/>
  <c r="Q1587" i="7"/>
  <c r="M1587" i="7"/>
  <c r="H1587" i="7"/>
  <c r="D1587" i="7"/>
  <c r="Q1586" i="7"/>
  <c r="M1586" i="7"/>
  <c r="H1586" i="7"/>
  <c r="D1586" i="7"/>
  <c r="Q1585" i="7"/>
  <c r="M1585" i="7"/>
  <c r="H1585" i="7"/>
  <c r="D1585" i="7"/>
  <c r="Q1584" i="7"/>
  <c r="M1584" i="7"/>
  <c r="H1584" i="7"/>
  <c r="D1584" i="7"/>
  <c r="Q1583" i="7"/>
  <c r="M1583" i="7"/>
  <c r="H1583" i="7"/>
  <c r="D1583" i="7"/>
  <c r="Q1582" i="7"/>
  <c r="M1582" i="7"/>
  <c r="H1582" i="7"/>
  <c r="D1582" i="7"/>
  <c r="Q1581" i="7"/>
  <c r="M1581" i="7"/>
  <c r="H1581" i="7"/>
  <c r="D1581" i="7"/>
  <c r="Q1580" i="7"/>
  <c r="M1580" i="7"/>
  <c r="H1580" i="7"/>
  <c r="D1580" i="7"/>
  <c r="Q1579" i="7"/>
  <c r="M1579" i="7"/>
  <c r="H1579" i="7"/>
  <c r="D1579" i="7"/>
  <c r="Q1578" i="7"/>
  <c r="M1578" i="7"/>
  <c r="G1578" i="7"/>
  <c r="C1578" i="7"/>
  <c r="L1577" i="7"/>
  <c r="G1577" i="7"/>
  <c r="C1577" i="7"/>
  <c r="L1576" i="7"/>
  <c r="G1576" i="7"/>
  <c r="C1576" i="7"/>
  <c r="L1575" i="7"/>
  <c r="G1575" i="7"/>
  <c r="C1575" i="7"/>
  <c r="L1574" i="7"/>
  <c r="G1574" i="7"/>
  <c r="C1574" i="7"/>
  <c r="L1573" i="7"/>
  <c r="G1573" i="7"/>
  <c r="C1573" i="7"/>
  <c r="L1572" i="7"/>
  <c r="G1572" i="7"/>
  <c r="C1572" i="7"/>
  <c r="L1571" i="7"/>
  <c r="G1571" i="7"/>
  <c r="C1571" i="7"/>
  <c r="L1570" i="7"/>
  <c r="G1570" i="7"/>
  <c r="C1570" i="7"/>
  <c r="L1569" i="7"/>
  <c r="H1569" i="7"/>
  <c r="D1569" i="7"/>
  <c r="Q1568" i="7"/>
  <c r="M1568" i="7"/>
  <c r="H1568" i="7"/>
  <c r="D1568" i="7"/>
  <c r="Q1567" i="7"/>
  <c r="M1567" i="7"/>
  <c r="H1567" i="7"/>
  <c r="D1567" i="7"/>
  <c r="Q1566" i="7"/>
  <c r="L1566" i="7"/>
  <c r="G1566" i="7"/>
  <c r="C1566" i="7"/>
  <c r="L1565" i="7"/>
  <c r="G1565" i="7"/>
  <c r="C1565" i="7"/>
  <c r="L1564" i="7"/>
  <c r="G1564" i="7"/>
  <c r="C1564" i="7"/>
  <c r="L1563" i="7"/>
  <c r="G1563" i="7"/>
  <c r="C1563" i="7"/>
  <c r="L1562" i="7"/>
  <c r="G1562" i="7"/>
  <c r="C1562" i="7"/>
  <c r="L1561" i="7"/>
  <c r="G1561" i="7"/>
  <c r="C1561" i="7"/>
  <c r="L1560" i="7"/>
  <c r="G1560" i="7"/>
  <c r="C1560" i="7"/>
  <c r="L1559" i="7"/>
  <c r="G1559" i="7"/>
  <c r="C1559" i="7"/>
  <c r="L1558" i="7"/>
  <c r="G1558" i="7"/>
  <c r="C1558" i="7"/>
  <c r="L1557" i="7"/>
  <c r="G1557" i="7"/>
  <c r="C1557" i="7"/>
  <c r="L1556" i="7"/>
  <c r="G1556" i="7"/>
  <c r="C1556" i="7"/>
  <c r="L1555" i="7"/>
  <c r="G1555" i="7"/>
  <c r="C1555" i="7"/>
  <c r="L1554" i="7"/>
  <c r="G1554" i="7"/>
  <c r="C1554" i="7"/>
  <c r="L1553" i="7"/>
  <c r="G1553" i="7"/>
  <c r="C1553" i="7"/>
  <c r="L1552" i="7"/>
  <c r="G1552" i="7"/>
  <c r="C1552" i="7"/>
  <c r="L1551" i="7"/>
  <c r="G1551" i="7"/>
  <c r="C1551" i="7"/>
  <c r="L1550" i="7"/>
  <c r="G1550" i="7"/>
  <c r="C1550" i="7"/>
  <c r="J1549" i="7"/>
  <c r="E1549" i="7"/>
  <c r="A1549" i="7"/>
  <c r="N1548" i="7"/>
  <c r="J1548" i="7"/>
  <c r="E1548" i="7"/>
  <c r="A1548" i="7"/>
  <c r="N1547" i="7"/>
  <c r="J1547" i="7"/>
  <c r="E1547" i="7"/>
  <c r="A1547" i="7"/>
  <c r="N1546" i="7"/>
  <c r="J1546" i="7"/>
  <c r="E1546" i="7"/>
  <c r="A1546" i="7"/>
  <c r="N1545" i="7"/>
  <c r="J1545" i="7"/>
  <c r="E1545" i="7"/>
  <c r="A1545" i="7"/>
  <c r="N1544" i="7"/>
  <c r="G1544" i="7"/>
  <c r="C1544" i="7"/>
  <c r="J1543" i="7"/>
  <c r="E1543" i="7"/>
  <c r="A1543" i="7"/>
  <c r="N1542" i="7"/>
  <c r="J1542" i="7"/>
  <c r="F1542" i="7"/>
  <c r="B1542" i="7"/>
  <c r="K1541" i="7"/>
  <c r="F1541" i="7"/>
  <c r="B1541" i="7"/>
  <c r="K1540" i="7"/>
  <c r="F1540" i="7"/>
  <c r="B1540" i="7"/>
  <c r="K1539" i="7"/>
  <c r="F1539" i="7"/>
  <c r="B1539" i="7"/>
  <c r="K1538" i="7"/>
  <c r="F1538" i="7"/>
  <c r="B1538" i="7"/>
  <c r="K1537" i="7"/>
  <c r="F1537" i="7"/>
  <c r="B1537" i="7"/>
  <c r="K1536" i="7"/>
  <c r="F1536" i="7"/>
  <c r="B1536" i="7"/>
  <c r="K1535" i="7"/>
  <c r="F1535" i="7"/>
  <c r="B1535" i="7"/>
  <c r="K1534" i="7"/>
  <c r="F1534" i="7"/>
  <c r="B1534" i="7"/>
  <c r="K1533" i="7"/>
  <c r="F1533" i="7"/>
  <c r="B1533" i="7"/>
  <c r="H1532" i="7"/>
  <c r="D1532" i="7"/>
  <c r="Q1531" i="7"/>
  <c r="M1531" i="7"/>
  <c r="H1531" i="7"/>
  <c r="D1531" i="7"/>
  <c r="Q1530" i="7"/>
  <c r="M1530" i="7"/>
  <c r="G1530" i="7"/>
  <c r="C1530" i="7"/>
  <c r="L1529" i="7"/>
  <c r="G1529" i="7"/>
  <c r="C1529" i="7"/>
  <c r="L1528" i="7"/>
  <c r="G1528" i="7"/>
  <c r="C1528" i="7"/>
  <c r="L1527" i="7"/>
  <c r="G1527" i="7"/>
  <c r="C1527" i="7"/>
  <c r="L1526" i="7"/>
  <c r="G1526" i="7"/>
  <c r="C1526" i="7"/>
  <c r="L1525" i="7"/>
  <c r="G1525" i="7"/>
  <c r="C1525" i="7"/>
  <c r="L1524" i="7"/>
  <c r="G1524" i="7"/>
  <c r="C1524" i="7"/>
  <c r="L1523" i="7"/>
  <c r="G1523" i="7"/>
  <c r="C1523" i="7"/>
  <c r="L1522" i="7"/>
  <c r="G1522" i="7"/>
  <c r="C1522" i="7"/>
  <c r="L1521" i="7"/>
  <c r="G1521" i="7"/>
  <c r="C1521" i="7"/>
  <c r="K1520" i="7"/>
  <c r="F1520" i="7"/>
  <c r="B1520" i="7"/>
  <c r="K1519" i="7"/>
  <c r="F1519" i="7"/>
  <c r="B1519" i="7"/>
  <c r="K1518" i="7"/>
  <c r="F1518" i="7"/>
  <c r="B1518" i="7"/>
  <c r="K1517" i="7"/>
  <c r="F1517" i="7"/>
  <c r="B1517" i="7"/>
  <c r="K1516" i="7"/>
  <c r="F1516" i="7"/>
  <c r="B1516" i="7"/>
  <c r="K1515" i="7"/>
  <c r="F1515" i="7"/>
  <c r="B1515" i="7"/>
  <c r="K1514" i="7"/>
  <c r="F1514" i="7"/>
  <c r="B1514" i="7"/>
  <c r="K1513" i="7"/>
  <c r="F1513" i="7"/>
  <c r="B1513" i="7"/>
  <c r="K1512" i="7"/>
  <c r="F1512" i="7"/>
  <c r="B1512" i="7"/>
  <c r="H1511" i="7"/>
  <c r="D1511" i="7"/>
  <c r="Q1510" i="7"/>
  <c r="K1510" i="7"/>
  <c r="F1510" i="7"/>
  <c r="B1510" i="7"/>
  <c r="K1509" i="7"/>
  <c r="F1509" i="7"/>
  <c r="B1509" i="7"/>
  <c r="K1508" i="7"/>
  <c r="F1508" i="7"/>
  <c r="B1508" i="7"/>
  <c r="K1507" i="7"/>
  <c r="F1507" i="7"/>
  <c r="B1507" i="7"/>
  <c r="K1506" i="7"/>
  <c r="F1506" i="7"/>
  <c r="B1506" i="7"/>
  <c r="K1505" i="7"/>
  <c r="F1505" i="7"/>
  <c r="B1505" i="7"/>
  <c r="K1504" i="7"/>
  <c r="F1504" i="7"/>
  <c r="B1504" i="7"/>
  <c r="K1503" i="7"/>
  <c r="F1503" i="7"/>
  <c r="B1503" i="7"/>
  <c r="Q1501" i="7"/>
  <c r="D1501" i="7"/>
  <c r="Q1499" i="7"/>
  <c r="D1499" i="7"/>
  <c r="Q1497" i="7"/>
  <c r="D1497" i="7"/>
  <c r="Q1495" i="7"/>
  <c r="D1495" i="7"/>
  <c r="Q1493" i="7"/>
  <c r="D1493" i="7"/>
  <c r="Q1491" i="7"/>
  <c r="D1491" i="7"/>
  <c r="Q1489" i="7"/>
  <c r="D1489" i="7"/>
  <c r="Q1487" i="7"/>
  <c r="D1487" i="7"/>
  <c r="Q1485" i="7"/>
  <c r="D1485" i="7"/>
  <c r="Q1483" i="7"/>
  <c r="D1483" i="7"/>
  <c r="Q1481" i="7"/>
  <c r="D1481" i="7"/>
  <c r="Q1479" i="7"/>
  <c r="D1479" i="7"/>
  <c r="Q1477" i="7"/>
  <c r="D1477" i="7"/>
  <c r="Q1475" i="7"/>
  <c r="D1475" i="7"/>
  <c r="Q1473" i="7"/>
  <c r="D1473" i="7"/>
  <c r="Q1471" i="7"/>
  <c r="D1471" i="7"/>
  <c r="Q1469" i="7"/>
  <c r="D1469" i="7"/>
  <c r="Q1467" i="7"/>
  <c r="D1467" i="7"/>
  <c r="Q1465" i="7"/>
  <c r="D1465" i="7"/>
  <c r="Q1463" i="7"/>
  <c r="D1463" i="7"/>
  <c r="Q1461" i="7"/>
  <c r="D1461" i="7"/>
  <c r="Q1459" i="7"/>
  <c r="D1459" i="7"/>
  <c r="Q1457" i="7"/>
  <c r="D1457" i="7"/>
  <c r="Q1455" i="7"/>
  <c r="D1455" i="7"/>
  <c r="Q1453" i="7"/>
  <c r="D1453" i="7"/>
  <c r="Q1451" i="7"/>
  <c r="D1451" i="7"/>
  <c r="Q1449" i="7"/>
  <c r="D1449" i="7"/>
  <c r="Q1447" i="7"/>
  <c r="D1447" i="7"/>
  <c r="Q1445" i="7"/>
  <c r="D1445" i="7"/>
  <c r="Q1443" i="7"/>
  <c r="D1443" i="7"/>
  <c r="Q1441" i="7"/>
  <c r="D1441" i="7"/>
  <c r="Q1439" i="7"/>
  <c r="D1439" i="7"/>
  <c r="Q1437" i="7"/>
  <c r="D1437" i="7"/>
  <c r="Q1435" i="7"/>
  <c r="D1435" i="7"/>
  <c r="Q1433" i="7"/>
  <c r="A2112" i="7"/>
  <c r="C2111" i="7"/>
  <c r="A2110" i="7"/>
  <c r="C2109" i="7"/>
  <c r="C2108" i="7"/>
  <c r="A2107" i="7"/>
  <c r="C2106" i="7"/>
  <c r="B2105" i="7"/>
  <c r="D2104" i="7"/>
  <c r="K2103" i="7"/>
  <c r="B2103" i="7"/>
  <c r="A2102" i="7"/>
  <c r="K2101" i="7"/>
  <c r="A2099" i="7"/>
  <c r="A2098" i="7"/>
  <c r="K2097" i="7"/>
  <c r="A2095" i="7"/>
  <c r="A2094" i="7"/>
  <c r="K2093" i="7"/>
  <c r="A2091" i="7"/>
  <c r="A2090" i="7"/>
  <c r="K2089" i="7"/>
  <c r="A2087" i="7"/>
  <c r="A2086" i="7"/>
  <c r="K2085" i="7"/>
  <c r="A2083" i="7"/>
  <c r="A2082" i="7"/>
  <c r="K2081" i="7"/>
  <c r="A2080" i="7"/>
  <c r="K2079" i="7"/>
  <c r="A2078" i="7"/>
  <c r="K2077" i="7"/>
  <c r="A2076" i="7"/>
  <c r="K2075" i="7"/>
  <c r="A2074" i="7"/>
  <c r="K2073" i="7"/>
  <c r="A2072" i="7"/>
  <c r="K2071" i="7"/>
  <c r="A2070" i="7"/>
  <c r="K2069" i="7"/>
  <c r="A2068" i="7"/>
  <c r="K2067" i="7"/>
  <c r="A2066" i="7"/>
  <c r="K2065" i="7"/>
  <c r="A2064" i="7"/>
  <c r="K2063" i="7"/>
  <c r="A2062" i="7"/>
  <c r="K2061" i="7"/>
  <c r="A2060" i="7"/>
  <c r="K2059" i="7"/>
  <c r="A2058" i="7"/>
  <c r="K2057" i="7"/>
  <c r="A2056" i="7"/>
  <c r="K2055" i="7"/>
  <c r="A2054" i="7"/>
  <c r="K2053" i="7"/>
  <c r="A2052" i="7"/>
  <c r="K2051" i="7"/>
  <c r="A2050" i="7"/>
  <c r="K2049" i="7"/>
  <c r="A2048" i="7"/>
  <c r="K2047" i="7"/>
  <c r="A2046" i="7"/>
  <c r="K2045" i="7"/>
  <c r="A2044" i="7"/>
  <c r="K2043" i="7"/>
  <c r="A2042" i="7"/>
  <c r="K2041" i="7"/>
  <c r="A2040" i="7"/>
  <c r="K2039" i="7"/>
  <c r="A2038" i="7"/>
  <c r="K2037" i="7"/>
  <c r="A2036" i="7"/>
  <c r="K2035" i="7"/>
  <c r="A2034" i="7"/>
  <c r="K2033" i="7"/>
  <c r="A2032" i="7"/>
  <c r="K2031" i="7"/>
  <c r="A2030" i="7"/>
  <c r="K2029" i="7"/>
  <c r="A2028" i="7"/>
  <c r="K2027" i="7"/>
  <c r="A2026" i="7"/>
  <c r="K2025" i="7"/>
  <c r="A2024" i="7"/>
  <c r="K2023" i="7"/>
  <c r="A2022" i="7"/>
  <c r="K2021" i="7"/>
  <c r="A2020" i="7"/>
  <c r="K2019" i="7"/>
  <c r="A2018" i="7"/>
  <c r="K2017" i="7"/>
  <c r="A2016" i="7"/>
  <c r="K2015" i="7"/>
  <c r="A2014" i="7"/>
  <c r="K2013" i="7"/>
  <c r="A2012" i="7"/>
  <c r="K2011" i="7"/>
  <c r="A2010" i="7"/>
  <c r="K2009" i="7"/>
  <c r="A2008" i="7"/>
  <c r="K2007" i="7"/>
  <c r="A2006" i="7"/>
  <c r="K2005" i="7"/>
  <c r="A2004" i="7"/>
  <c r="K2003" i="7"/>
  <c r="A2002" i="7"/>
  <c r="K2001" i="7"/>
  <c r="A2000" i="7"/>
  <c r="K1999" i="7"/>
  <c r="A1998" i="7"/>
  <c r="K1997" i="7"/>
  <c r="A1996" i="7"/>
  <c r="K1995" i="7"/>
  <c r="A1994" i="7"/>
  <c r="K1993" i="7"/>
  <c r="A1992" i="7"/>
  <c r="K1991" i="7"/>
  <c r="A1990" i="7"/>
  <c r="K1989" i="7"/>
  <c r="A1988" i="7"/>
  <c r="K1987" i="7"/>
  <c r="A1986" i="7"/>
  <c r="K1985" i="7"/>
  <c r="A1984" i="7"/>
  <c r="K1983" i="7"/>
  <c r="A1982" i="7"/>
  <c r="K1981" i="7"/>
  <c r="A1980" i="7"/>
  <c r="K1979" i="7"/>
  <c r="A1978" i="7"/>
  <c r="K1977" i="7"/>
  <c r="A1976" i="7"/>
  <c r="K1975" i="7"/>
  <c r="A1974" i="7"/>
  <c r="K1973" i="7"/>
  <c r="A1972" i="7"/>
  <c r="K1971" i="7"/>
  <c r="A1970" i="7"/>
  <c r="K1969" i="7"/>
  <c r="A1968" i="7"/>
  <c r="K1967" i="7"/>
  <c r="A1966" i="7"/>
  <c r="K1965" i="7"/>
  <c r="A1964" i="7"/>
  <c r="K1963" i="7"/>
  <c r="A1962" i="7"/>
  <c r="K1961" i="7"/>
  <c r="A1960" i="7"/>
  <c r="K1959" i="7"/>
  <c r="A1958" i="7"/>
  <c r="K1957" i="7"/>
  <c r="A1956" i="7"/>
  <c r="K1955" i="7"/>
  <c r="A1954" i="7"/>
  <c r="N1953" i="7"/>
  <c r="J1953" i="7"/>
  <c r="E1953" i="7"/>
  <c r="A1953" i="7"/>
  <c r="M1952" i="7"/>
  <c r="I1952" i="7"/>
  <c r="E1952" i="7"/>
  <c r="A1952" i="7"/>
  <c r="N1951" i="7"/>
  <c r="J1951" i="7"/>
  <c r="E1951" i="7"/>
  <c r="A1951" i="7"/>
  <c r="M1950" i="7"/>
  <c r="I1950" i="7"/>
  <c r="E1950" i="7"/>
  <c r="A1950" i="7"/>
  <c r="N1949" i="7"/>
  <c r="J1949" i="7"/>
  <c r="E1949" i="7"/>
  <c r="A1949" i="7"/>
  <c r="M1948" i="7"/>
  <c r="I1948" i="7"/>
  <c r="E1948" i="7"/>
  <c r="A1948" i="7"/>
  <c r="M1947" i="7"/>
  <c r="I1947" i="7"/>
  <c r="E1947" i="7"/>
  <c r="A1947" i="7"/>
  <c r="M1946" i="7"/>
  <c r="I1946" i="7"/>
  <c r="E1946" i="7"/>
  <c r="A1946" i="7"/>
  <c r="M1945" i="7"/>
  <c r="I1945" i="7"/>
  <c r="E1945" i="7"/>
  <c r="A1945" i="7"/>
  <c r="N1944" i="7"/>
  <c r="J1944" i="7"/>
  <c r="E1944" i="7"/>
  <c r="A1944" i="7"/>
  <c r="M1943" i="7"/>
  <c r="I1943" i="7"/>
  <c r="E1943" i="7"/>
  <c r="A1943" i="7"/>
  <c r="N1942" i="7"/>
  <c r="J1942" i="7"/>
  <c r="E1942" i="7"/>
  <c r="A1942" i="7"/>
  <c r="M1941" i="7"/>
  <c r="I1941" i="7"/>
  <c r="E1941" i="7"/>
  <c r="A1941" i="7"/>
  <c r="N1940" i="7"/>
  <c r="J1940" i="7"/>
  <c r="E1940" i="7"/>
  <c r="A1940" i="7"/>
  <c r="N1939" i="7"/>
  <c r="J1939" i="7"/>
  <c r="E1939" i="7"/>
  <c r="A1939" i="7"/>
  <c r="N1938" i="7"/>
  <c r="J1938" i="7"/>
  <c r="E1938" i="7"/>
  <c r="A1938" i="7"/>
  <c r="N1937" i="7"/>
  <c r="J1937" i="7"/>
  <c r="E1937" i="7"/>
  <c r="A1937" i="7"/>
  <c r="N1936" i="7"/>
  <c r="J1936" i="7"/>
  <c r="E1936" i="7"/>
  <c r="A1936" i="7"/>
  <c r="N1935" i="7"/>
  <c r="J1935" i="7"/>
  <c r="F1935" i="7"/>
  <c r="B1935" i="7"/>
  <c r="K1934" i="7"/>
  <c r="D1934" i="7"/>
  <c r="Q1933" i="7"/>
  <c r="M1933" i="7"/>
  <c r="H1933" i="7"/>
  <c r="D1933" i="7"/>
  <c r="Q1932" i="7"/>
  <c r="L1932" i="7"/>
  <c r="H1932" i="7"/>
  <c r="D1932" i="7"/>
  <c r="Q1931" i="7"/>
  <c r="L1931" i="7"/>
  <c r="H1931" i="7"/>
  <c r="D1931" i="7"/>
  <c r="Q1930" i="7"/>
  <c r="M1930" i="7"/>
  <c r="I1930" i="7"/>
  <c r="E1930" i="7"/>
  <c r="A1930" i="7"/>
  <c r="M1929" i="7"/>
  <c r="I1929" i="7"/>
  <c r="E1929" i="7"/>
  <c r="A1929" i="7"/>
  <c r="N1928" i="7"/>
  <c r="J1928" i="7"/>
  <c r="F1928" i="7"/>
  <c r="B1928" i="7"/>
  <c r="K1927" i="7"/>
  <c r="G1927" i="7"/>
  <c r="C1927" i="7"/>
  <c r="K1926" i="7"/>
  <c r="G1926" i="7"/>
  <c r="C1926" i="7"/>
  <c r="L1925" i="7"/>
  <c r="H1925" i="7"/>
  <c r="D1925" i="7"/>
  <c r="Q1924" i="7"/>
  <c r="Q2103" i="7"/>
  <c r="D2101" i="7"/>
  <c r="Q2097" i="7"/>
  <c r="K2088" i="7"/>
  <c r="D2085" i="7"/>
  <c r="Q2081" i="7"/>
  <c r="Q2077" i="7"/>
  <c r="Q2073" i="7"/>
  <c r="Q2069" i="7"/>
  <c r="Q2065" i="7"/>
  <c r="Q2061" i="7"/>
  <c r="Q2057" i="7"/>
  <c r="Q2053" i="7"/>
  <c r="Q2049" i="7"/>
  <c r="Q2045" i="7"/>
  <c r="Q2041" i="7"/>
  <c r="Q2037" i="7"/>
  <c r="Q2033" i="7"/>
  <c r="Q2029" i="7"/>
  <c r="Q2025" i="7"/>
  <c r="Q2021" i="7"/>
  <c r="Q2017" i="7"/>
  <c r="Q2013" i="7"/>
  <c r="Q2009" i="7"/>
  <c r="Q2005" i="7"/>
  <c r="Q2001" i="7"/>
  <c r="Q1997" i="7"/>
  <c r="Q1993" i="7"/>
  <c r="Q1989" i="7"/>
  <c r="Q1985" i="7"/>
  <c r="Q1981" i="7"/>
  <c r="Q1977" i="7"/>
  <c r="Q1973" i="7"/>
  <c r="Q1969" i="7"/>
  <c r="Q1965" i="7"/>
  <c r="Q1961" i="7"/>
  <c r="Q1957" i="7"/>
  <c r="Q1953" i="7"/>
  <c r="D1953" i="7"/>
  <c r="D1952" i="7"/>
  <c r="H1951" i="7"/>
  <c r="H1950" i="7"/>
  <c r="M1949" i="7"/>
  <c r="L1948" i="7"/>
  <c r="L1947" i="7"/>
  <c r="L1946" i="7"/>
  <c r="L1945" i="7"/>
  <c r="Q1943" i="7"/>
  <c r="Q1942" i="7"/>
  <c r="D1942" i="7"/>
  <c r="D1941" i="7"/>
  <c r="H1940" i="7"/>
  <c r="M1939" i="7"/>
  <c r="Q1937" i="7"/>
  <c r="D1937" i="7"/>
  <c r="H1936" i="7"/>
  <c r="I1935" i="7"/>
  <c r="N1934" i="7"/>
  <c r="L1933" i="7"/>
  <c r="K1932" i="7"/>
  <c r="K1931" i="7"/>
  <c r="L1930" i="7"/>
  <c r="L1929" i="7"/>
  <c r="M1928" i="7"/>
  <c r="N1927" i="7"/>
  <c r="G1924" i="7"/>
  <c r="G1923" i="7"/>
  <c r="G1922" i="7"/>
  <c r="G1921" i="7"/>
  <c r="G1920" i="7"/>
  <c r="G1919" i="7"/>
  <c r="G1918" i="7"/>
  <c r="G1917" i="7"/>
  <c r="G1916" i="7"/>
  <c r="G1915" i="7"/>
  <c r="H1914" i="7"/>
  <c r="Q1913" i="7"/>
  <c r="H1913" i="7"/>
  <c r="Q1912" i="7"/>
  <c r="H1912" i="7"/>
  <c r="Q1911" i="7"/>
  <c r="H1911" i="7"/>
  <c r="Q1910" i="7"/>
  <c r="H1910" i="7"/>
  <c r="Q1909" i="7"/>
  <c r="G1909" i="7"/>
  <c r="G1908" i="7"/>
  <c r="G1907" i="7"/>
  <c r="G1906" i="7"/>
  <c r="G1905" i="7"/>
  <c r="G1904" i="7"/>
  <c r="H1903" i="7"/>
  <c r="Q1902" i="7"/>
  <c r="I1902" i="7"/>
  <c r="A1902" i="7"/>
  <c r="K1901" i="7"/>
  <c r="B1901" i="7"/>
  <c r="N1900" i="7"/>
  <c r="E1900" i="7"/>
  <c r="F1899" i="7"/>
  <c r="J1898" i="7"/>
  <c r="A1898" i="7"/>
  <c r="K1897" i="7"/>
  <c r="B1897" i="7"/>
  <c r="N1896" i="7"/>
  <c r="E1896" i="7"/>
  <c r="F1895" i="7"/>
  <c r="J1894" i="7"/>
  <c r="A1894" i="7"/>
  <c r="K1893" i="7"/>
  <c r="B1893" i="7"/>
  <c r="N1892" i="7"/>
  <c r="E1892" i="7"/>
  <c r="F1891" i="7"/>
  <c r="J1890" i="7"/>
  <c r="A1890" i="7"/>
  <c r="K1889" i="7"/>
  <c r="B1889" i="7"/>
  <c r="N1888" i="7"/>
  <c r="E1888" i="7"/>
  <c r="F1887" i="7"/>
  <c r="J1886" i="7"/>
  <c r="A1886" i="7"/>
  <c r="K1885" i="7"/>
  <c r="B1885" i="7"/>
  <c r="N1884" i="7"/>
  <c r="E1884" i="7"/>
  <c r="F1883" i="7"/>
  <c r="J1882" i="7"/>
  <c r="A1882" i="7"/>
  <c r="K1881" i="7"/>
  <c r="B1881" i="7"/>
  <c r="N1880" i="7"/>
  <c r="E1880" i="7"/>
  <c r="F1879" i="7"/>
  <c r="J1878" i="7"/>
  <c r="A1878" i="7"/>
  <c r="K1877" i="7"/>
  <c r="B1877" i="7"/>
  <c r="N1876" i="7"/>
  <c r="E1876" i="7"/>
  <c r="F1875" i="7"/>
  <c r="J1874" i="7"/>
  <c r="A1874" i="7"/>
  <c r="K1873" i="7"/>
  <c r="B1873" i="7"/>
  <c r="N1872" i="7"/>
  <c r="E1872" i="7"/>
  <c r="F1871" i="7"/>
  <c r="J1870" i="7"/>
  <c r="A1870" i="7"/>
  <c r="K1869" i="7"/>
  <c r="B1869" i="7"/>
  <c r="N1868" i="7"/>
  <c r="E1868" i="7"/>
  <c r="F1867" i="7"/>
  <c r="J1866" i="7"/>
  <c r="A1866" i="7"/>
  <c r="K1865" i="7"/>
  <c r="B1865" i="7"/>
  <c r="N1864" i="7"/>
  <c r="D1864" i="7"/>
  <c r="N1863" i="7"/>
  <c r="E1863" i="7"/>
  <c r="H1862" i="7"/>
  <c r="Q1861" i="7"/>
  <c r="J1861" i="7"/>
  <c r="A1861" i="7"/>
  <c r="M1860" i="7"/>
  <c r="D1860" i="7"/>
  <c r="N1859" i="7"/>
  <c r="E1859" i="7"/>
  <c r="H1858" i="7"/>
  <c r="Q1857" i="7"/>
  <c r="H1857" i="7"/>
  <c r="Q1856" i="7"/>
  <c r="H1856" i="7"/>
  <c r="Q1855" i="7"/>
  <c r="H1855" i="7"/>
  <c r="Q1854" i="7"/>
  <c r="H1854" i="7"/>
  <c r="Q1853" i="7"/>
  <c r="H1853" i="7"/>
  <c r="Q1852" i="7"/>
  <c r="H1852" i="7"/>
  <c r="Q1851" i="7"/>
  <c r="H1851" i="7"/>
  <c r="Q1850" i="7"/>
  <c r="H1850" i="7"/>
  <c r="Q1849" i="7"/>
  <c r="H1849" i="7"/>
  <c r="Q1848" i="7"/>
  <c r="H1848" i="7"/>
  <c r="Q1847" i="7"/>
  <c r="H1847" i="7"/>
  <c r="Q1846" i="7"/>
  <c r="H1846" i="7"/>
  <c r="Q1845" i="7"/>
  <c r="H1845" i="7"/>
  <c r="Q1844" i="7"/>
  <c r="H1844" i="7"/>
  <c r="Q1843" i="7"/>
  <c r="H1843" i="7"/>
  <c r="Q1842" i="7"/>
  <c r="H1842" i="7"/>
  <c r="Q1841" i="7"/>
  <c r="H1841" i="7"/>
  <c r="Q1840" i="7"/>
  <c r="H1840" i="7"/>
  <c r="Q1839" i="7"/>
  <c r="H1839" i="7"/>
  <c r="Q1838" i="7"/>
  <c r="H1838" i="7"/>
  <c r="Q1837" i="7"/>
  <c r="H1837" i="7"/>
  <c r="Q1836" i="7"/>
  <c r="H1836" i="7"/>
  <c r="Q1835" i="7"/>
  <c r="H1835" i="7"/>
  <c r="Q1834" i="7"/>
  <c r="G1834" i="7"/>
  <c r="G1833" i="7"/>
  <c r="G1832" i="7"/>
  <c r="G1831" i="7"/>
  <c r="G1830" i="7"/>
  <c r="G1829" i="7"/>
  <c r="G1828" i="7"/>
  <c r="G1827" i="7"/>
  <c r="G1826" i="7"/>
  <c r="G1825" i="7"/>
  <c r="G1824" i="7"/>
  <c r="G1823" i="7"/>
  <c r="G1822" i="7"/>
  <c r="G1821" i="7"/>
  <c r="G1820" i="7"/>
  <c r="E1819" i="7"/>
  <c r="H1818" i="7"/>
  <c r="Q1817" i="7"/>
  <c r="G1817" i="7"/>
  <c r="G1816" i="7"/>
  <c r="G1815" i="7"/>
  <c r="G1814" i="7"/>
  <c r="G1813" i="7"/>
  <c r="G1812" i="7"/>
  <c r="G1811" i="7"/>
  <c r="G1810" i="7"/>
  <c r="G1809" i="7"/>
  <c r="F1808" i="7"/>
  <c r="Q1806" i="7"/>
  <c r="J1806" i="7"/>
  <c r="A1806" i="7"/>
  <c r="M1805" i="7"/>
  <c r="D1805" i="7"/>
  <c r="N1804" i="7"/>
  <c r="E1804" i="7"/>
  <c r="H1803" i="7"/>
  <c r="Q1802" i="7"/>
  <c r="D1802" i="7"/>
  <c r="Q1800" i="7"/>
  <c r="D1800" i="7"/>
  <c r="Q1798" i="7"/>
  <c r="D1798" i="7"/>
  <c r="Q1796" i="7"/>
  <c r="D1796" i="7"/>
  <c r="Q1794" i="7"/>
  <c r="D1794" i="7"/>
  <c r="Q1792" i="7"/>
  <c r="D1792" i="7"/>
  <c r="Q1790" i="7"/>
  <c r="D1790" i="7"/>
  <c r="Q1788" i="7"/>
  <c r="D1788" i="7"/>
  <c r="Q1786" i="7"/>
  <c r="D1786" i="7"/>
  <c r="Q1784" i="7"/>
  <c r="D1784" i="7"/>
  <c r="Q1782" i="7"/>
  <c r="D1782" i="7"/>
  <c r="Q1780" i="7"/>
  <c r="D1780" i="7"/>
  <c r="Q1778" i="7"/>
  <c r="D1778" i="7"/>
  <c r="Q1776" i="7"/>
  <c r="D1776" i="7"/>
  <c r="Q1774" i="7"/>
  <c r="D1774" i="7"/>
  <c r="Q1772" i="7"/>
  <c r="D1772" i="7"/>
  <c r="Q1770" i="7"/>
  <c r="D1770" i="7"/>
  <c r="Q1768" i="7"/>
  <c r="D1768" i="7"/>
  <c r="Q1766" i="7"/>
  <c r="D1766" i="7"/>
  <c r="Q1764" i="7"/>
  <c r="H1764" i="7"/>
  <c r="Q1763" i="7"/>
  <c r="H1763" i="7"/>
  <c r="Q1762" i="7"/>
  <c r="H1762" i="7"/>
  <c r="Q1761" i="7"/>
  <c r="G1761" i="7"/>
  <c r="G1760" i="7"/>
  <c r="F1759" i="7"/>
  <c r="F1758" i="7"/>
  <c r="F1757" i="7"/>
  <c r="F1756" i="7"/>
  <c r="F1755" i="7"/>
  <c r="E1754" i="7"/>
  <c r="M1753" i="7"/>
  <c r="E1753" i="7"/>
  <c r="M1752" i="7"/>
  <c r="E1752" i="7"/>
  <c r="L1751" i="7"/>
  <c r="D1751" i="7"/>
  <c r="L1750" i="7"/>
  <c r="D1750" i="7"/>
  <c r="L1749" i="7"/>
  <c r="D1749" i="7"/>
  <c r="L1748" i="7"/>
  <c r="D1748" i="7"/>
  <c r="L1747" i="7"/>
  <c r="D1747" i="7"/>
  <c r="L1746" i="7"/>
  <c r="D1746" i="7"/>
  <c r="L1745" i="7"/>
  <c r="D1745" i="7"/>
  <c r="L1744" i="7"/>
  <c r="D1744" i="7"/>
  <c r="L1743" i="7"/>
  <c r="D1743" i="7"/>
  <c r="L1742" i="7"/>
  <c r="D1742" i="7"/>
  <c r="F1741" i="7"/>
  <c r="L1740" i="7"/>
  <c r="D1740" i="7"/>
  <c r="L1739" i="7"/>
  <c r="D1739" i="7"/>
  <c r="L1738" i="7"/>
  <c r="D1738" i="7"/>
  <c r="L1737" i="7"/>
  <c r="D1737" i="7"/>
  <c r="M1736" i="7"/>
  <c r="D1736" i="7"/>
  <c r="M1735" i="7"/>
  <c r="D1735" i="7"/>
  <c r="M1734" i="7"/>
  <c r="D1734" i="7"/>
  <c r="M1733" i="7"/>
  <c r="D1733" i="7"/>
  <c r="M1732" i="7"/>
  <c r="D1732" i="7"/>
  <c r="M1731" i="7"/>
  <c r="D1731" i="7"/>
  <c r="L1730" i="7"/>
  <c r="D1730" i="7"/>
  <c r="M1729" i="7"/>
  <c r="D1729" i="7"/>
  <c r="M1728" i="7"/>
  <c r="D1728" i="7"/>
  <c r="M1727" i="7"/>
  <c r="D1727" i="7"/>
  <c r="M1726" i="7"/>
  <c r="D1726" i="7"/>
  <c r="L1725" i="7"/>
  <c r="D1725" i="7"/>
  <c r="M1724" i="7"/>
  <c r="D1724" i="7"/>
  <c r="M1723" i="7"/>
  <c r="D1723" i="7"/>
  <c r="M1722" i="7"/>
  <c r="D1722" i="7"/>
  <c r="M1721" i="7"/>
  <c r="D1721" i="7"/>
  <c r="M1720" i="7"/>
  <c r="D1720" i="7"/>
  <c r="L1719" i="7"/>
  <c r="D1719" i="7"/>
  <c r="M1718" i="7"/>
  <c r="D1718" i="7"/>
  <c r="M1717" i="7"/>
  <c r="D1717" i="7"/>
  <c r="L1716" i="7"/>
  <c r="D1716" i="7"/>
  <c r="M1715" i="7"/>
  <c r="D1715" i="7"/>
  <c r="L1714" i="7"/>
  <c r="D1714" i="7"/>
  <c r="M1713" i="7"/>
  <c r="B1713" i="7"/>
  <c r="N1712" i="7"/>
  <c r="E1712" i="7"/>
  <c r="F1711" i="7"/>
  <c r="J1710" i="7"/>
  <c r="A1710" i="7"/>
  <c r="K1709" i="7"/>
  <c r="B1709" i="7"/>
  <c r="N1708" i="7"/>
  <c r="E1708" i="7"/>
  <c r="M1707" i="7"/>
  <c r="E1707" i="7"/>
  <c r="M1706" i="7"/>
  <c r="E1706" i="7"/>
  <c r="F1705" i="7"/>
  <c r="J1704" i="7"/>
  <c r="A1704" i="7"/>
  <c r="K1703" i="7"/>
  <c r="B1703" i="7"/>
  <c r="N1702" i="7"/>
  <c r="E1702" i="7"/>
  <c r="M1701" i="7"/>
  <c r="E1701" i="7"/>
  <c r="M1700" i="7"/>
  <c r="E1700" i="7"/>
  <c r="D1699" i="7"/>
  <c r="M1698" i="7"/>
  <c r="B1698" i="7"/>
  <c r="N1697" i="7"/>
  <c r="C1697" i="7"/>
  <c r="L1696" i="7"/>
  <c r="A1696" i="7"/>
  <c r="K1695" i="7"/>
  <c r="Q1694" i="7"/>
  <c r="I1694" i="7"/>
  <c r="A1694" i="7"/>
  <c r="M1693" i="7"/>
  <c r="D1693" i="7"/>
  <c r="N1692" i="7"/>
  <c r="E1692" i="7"/>
  <c r="H1691" i="7"/>
  <c r="Q1690" i="7"/>
  <c r="I1690" i="7"/>
  <c r="A1690" i="7"/>
  <c r="I1689" i="7"/>
  <c r="A1689" i="7"/>
  <c r="K1688" i="7"/>
  <c r="B1688" i="7"/>
  <c r="N1687" i="7"/>
  <c r="E1687" i="7"/>
  <c r="M1686" i="7"/>
  <c r="E1686" i="7"/>
  <c r="M1685" i="7"/>
  <c r="E1685" i="7"/>
  <c r="F1684" i="7"/>
  <c r="J1683" i="7"/>
  <c r="A1683" i="7"/>
  <c r="I1682" i="7"/>
  <c r="A1682" i="7"/>
  <c r="K1681" i="7"/>
  <c r="B1681" i="7"/>
  <c r="N1680" i="7"/>
  <c r="E1680" i="7"/>
  <c r="F1679" i="7"/>
  <c r="J1678" i="7"/>
  <c r="A1678" i="7"/>
  <c r="K1677" i="7"/>
  <c r="B1677" i="7"/>
  <c r="N1676" i="7"/>
  <c r="E1676" i="7"/>
  <c r="F1675" i="7"/>
  <c r="F1674" i="7"/>
  <c r="A1673" i="7"/>
  <c r="I1672" i="7"/>
  <c r="A1672" i="7"/>
  <c r="K1671" i="7"/>
  <c r="B1671" i="7"/>
  <c r="J1670" i="7"/>
  <c r="B1670" i="7"/>
  <c r="J1669" i="7"/>
  <c r="B1669" i="7"/>
  <c r="J1668" i="7"/>
  <c r="B1668" i="7"/>
  <c r="N1667" i="7"/>
  <c r="D1667" i="7"/>
  <c r="L1666" i="7"/>
  <c r="D1666" i="7"/>
  <c r="L1665" i="7"/>
  <c r="D1665" i="7"/>
  <c r="M1664" i="7"/>
  <c r="E1664" i="7"/>
  <c r="F1663" i="7"/>
  <c r="J1662" i="7"/>
  <c r="A1662" i="7"/>
  <c r="I1661" i="7"/>
  <c r="A1661" i="7"/>
  <c r="I1660" i="7"/>
  <c r="A1660" i="7"/>
  <c r="I1659" i="7"/>
  <c r="A1659" i="7"/>
  <c r="I1658" i="7"/>
  <c r="A1658" i="7"/>
  <c r="I1657" i="7"/>
  <c r="A1657" i="7"/>
  <c r="I1656" i="7"/>
  <c r="A1656" i="7"/>
  <c r="I1655" i="7"/>
  <c r="A1655" i="7"/>
  <c r="I1654" i="7"/>
  <c r="A1654" i="7"/>
  <c r="I1653" i="7"/>
  <c r="A1653" i="7"/>
  <c r="I1652" i="7"/>
  <c r="A1652" i="7"/>
  <c r="I1651" i="7"/>
  <c r="A1651" i="7"/>
  <c r="I1650" i="7"/>
  <c r="A1650" i="7"/>
  <c r="I1649" i="7"/>
  <c r="A1649" i="7"/>
  <c r="K1648" i="7"/>
  <c r="B1648" i="7"/>
  <c r="J1647" i="7"/>
  <c r="B1647" i="7"/>
  <c r="N1646" i="7"/>
  <c r="E1646" i="7"/>
  <c r="M1645" i="7"/>
  <c r="E1645" i="7"/>
  <c r="F1643" i="7"/>
  <c r="F1642" i="7"/>
  <c r="F1641" i="7"/>
  <c r="F1640" i="7"/>
  <c r="F1639" i="7"/>
  <c r="F1638" i="7"/>
  <c r="J1637" i="7"/>
  <c r="A1637" i="7"/>
  <c r="H1636" i="7"/>
  <c r="Q1635" i="7"/>
  <c r="H1635" i="7"/>
  <c r="Q1634" i="7"/>
  <c r="H1634" i="7"/>
  <c r="Q1633" i="7"/>
  <c r="H1633" i="7"/>
  <c r="Q1632" i="7"/>
  <c r="H1632" i="7"/>
  <c r="Q1631" i="7"/>
  <c r="H1631" i="7"/>
  <c r="Q1630" i="7"/>
  <c r="H1630" i="7"/>
  <c r="Q1629" i="7"/>
  <c r="A1629" i="7"/>
  <c r="I1628" i="7"/>
  <c r="A1628" i="7"/>
  <c r="F1627" i="7"/>
  <c r="N1626" i="7"/>
  <c r="E1626" i="7"/>
  <c r="H1625" i="7"/>
  <c r="Q1624" i="7"/>
  <c r="A1624" i="7"/>
  <c r="I1623" i="7"/>
  <c r="A1623" i="7"/>
  <c r="M1622" i="7"/>
  <c r="D1622" i="7"/>
  <c r="N1621" i="7"/>
  <c r="E1621" i="7"/>
  <c r="H1620" i="7"/>
  <c r="Q1619" i="7"/>
  <c r="H1619" i="7"/>
  <c r="Q1618" i="7"/>
  <c r="A1618" i="7"/>
  <c r="M1617" i="7"/>
  <c r="D1617" i="7"/>
  <c r="N1616" i="7"/>
  <c r="D1616" i="7"/>
  <c r="M1615" i="7"/>
  <c r="D1615" i="7"/>
  <c r="M1614" i="7"/>
  <c r="D1614" i="7"/>
  <c r="M1613" i="7"/>
  <c r="C1613" i="7"/>
  <c r="L1612" i="7"/>
  <c r="C1612" i="7"/>
  <c r="K1611" i="7"/>
  <c r="C1611" i="7"/>
  <c r="L1610" i="7"/>
  <c r="C1610" i="7"/>
  <c r="L1609" i="7"/>
  <c r="C1609" i="7"/>
  <c r="L1608" i="7"/>
  <c r="C1608" i="7"/>
  <c r="L1607" i="7"/>
  <c r="C1607" i="7"/>
  <c r="L1606" i="7"/>
  <c r="C1606" i="7"/>
  <c r="L1605" i="7"/>
  <c r="C1605" i="7"/>
  <c r="L1604" i="7"/>
  <c r="C1604" i="7"/>
  <c r="L1603" i="7"/>
  <c r="C1603" i="7"/>
  <c r="L1602" i="7"/>
  <c r="C1602" i="7"/>
  <c r="L1601" i="7"/>
  <c r="C1601" i="7"/>
  <c r="L1600" i="7"/>
  <c r="C1600" i="7"/>
  <c r="L1599" i="7"/>
  <c r="C1599" i="7"/>
  <c r="K1598" i="7"/>
  <c r="C1598" i="7"/>
  <c r="L1597" i="7"/>
  <c r="C1597" i="7"/>
  <c r="L1596" i="7"/>
  <c r="C1596" i="7"/>
  <c r="L1595" i="7"/>
  <c r="C1595" i="7"/>
  <c r="L1594" i="7"/>
  <c r="C1594" i="7"/>
  <c r="L1593" i="7"/>
  <c r="C1593" i="7"/>
  <c r="L1592" i="7"/>
  <c r="C1592" i="7"/>
  <c r="L1591" i="7"/>
  <c r="C1591" i="7"/>
  <c r="L1590" i="7"/>
  <c r="C1590" i="7"/>
  <c r="L1589" i="7"/>
  <c r="C1589" i="7"/>
  <c r="L1588" i="7"/>
  <c r="C1588" i="7"/>
  <c r="L1587" i="7"/>
  <c r="C1587" i="7"/>
  <c r="L1586" i="7"/>
  <c r="C1586" i="7"/>
  <c r="L1585" i="7"/>
  <c r="C1585" i="7"/>
  <c r="L1584" i="7"/>
  <c r="C1584" i="7"/>
  <c r="L1583" i="7"/>
  <c r="C1583" i="7"/>
  <c r="L1582" i="7"/>
  <c r="C1582" i="7"/>
  <c r="L1581" i="7"/>
  <c r="C1581" i="7"/>
  <c r="L1580" i="7"/>
  <c r="C1580" i="7"/>
  <c r="L1579" i="7"/>
  <c r="C1579" i="7"/>
  <c r="K1578" i="7"/>
  <c r="B1578" i="7"/>
  <c r="N1577" i="7"/>
  <c r="E1577" i="7"/>
  <c r="F1576" i="7"/>
  <c r="J1575" i="7"/>
  <c r="A1575" i="7"/>
  <c r="K1574" i="7"/>
  <c r="B1574" i="7"/>
  <c r="N1573" i="7"/>
  <c r="E1573" i="7"/>
  <c r="F1572" i="7"/>
  <c r="J1571" i="7"/>
  <c r="A1571" i="7"/>
  <c r="K1570" i="7"/>
  <c r="B1570" i="7"/>
  <c r="K1569" i="7"/>
  <c r="C1569" i="7"/>
  <c r="L1568" i="7"/>
  <c r="C1568" i="7"/>
  <c r="L1567" i="7"/>
  <c r="C1567" i="7"/>
  <c r="K1566" i="7"/>
  <c r="B1566" i="7"/>
  <c r="N1565" i="7"/>
  <c r="E1565" i="7"/>
  <c r="F1564" i="7"/>
  <c r="J1563" i="7"/>
  <c r="A1563" i="7"/>
  <c r="K1562" i="7"/>
  <c r="B1562" i="7"/>
  <c r="N1561" i="7"/>
  <c r="E1561" i="7"/>
  <c r="F1560" i="7"/>
  <c r="J1559" i="7"/>
  <c r="A1559" i="7"/>
  <c r="K1558" i="7"/>
  <c r="B1558" i="7"/>
  <c r="N1557" i="7"/>
  <c r="E1557" i="7"/>
  <c r="F1556" i="7"/>
  <c r="J1555" i="7"/>
  <c r="A1555" i="7"/>
  <c r="K1554" i="7"/>
  <c r="B1554" i="7"/>
  <c r="N1553" i="7"/>
  <c r="E1553" i="7"/>
  <c r="F1552" i="7"/>
  <c r="J1551" i="7"/>
  <c r="A1551" i="7"/>
  <c r="K1550" i="7"/>
  <c r="B1550" i="7"/>
  <c r="N1549" i="7"/>
  <c r="C1549" i="7"/>
  <c r="L1548" i="7"/>
  <c r="C1548" i="7"/>
  <c r="L1547" i="7"/>
  <c r="C1547" i="7"/>
  <c r="L1546" i="7"/>
  <c r="C1546" i="7"/>
  <c r="L1545" i="7"/>
  <c r="C1545" i="7"/>
  <c r="J1544" i="7"/>
  <c r="A1544" i="7"/>
  <c r="H1543" i="7"/>
  <c r="Q1542" i="7"/>
  <c r="I1542" i="7"/>
  <c r="A1542" i="7"/>
  <c r="M1541" i="7"/>
  <c r="D1541" i="7"/>
  <c r="N1540" i="7"/>
  <c r="E1540" i="7"/>
  <c r="H1539" i="7"/>
  <c r="Q1538" i="7"/>
  <c r="J1538" i="7"/>
  <c r="A1538" i="7"/>
  <c r="M1537" i="7"/>
  <c r="D1537" i="7"/>
  <c r="N1536" i="7"/>
  <c r="E1536" i="7"/>
  <c r="H1535" i="7"/>
  <c r="Q1534" i="7"/>
  <c r="J1534" i="7"/>
  <c r="A1534" i="7"/>
  <c r="M1533" i="7"/>
  <c r="D1533" i="7"/>
  <c r="N1532" i="7"/>
  <c r="C1532" i="7"/>
  <c r="L1531" i="7"/>
  <c r="C1531" i="7"/>
  <c r="K1530" i="7"/>
  <c r="B1530" i="7"/>
  <c r="N1529" i="7"/>
  <c r="E1529" i="7"/>
  <c r="F1528" i="7"/>
  <c r="J1527" i="7"/>
  <c r="A1527" i="7"/>
  <c r="K1526" i="7"/>
  <c r="B1526" i="7"/>
  <c r="N1525" i="7"/>
  <c r="E1525" i="7"/>
  <c r="F1524" i="7"/>
  <c r="J1523" i="7"/>
  <c r="A1523" i="7"/>
  <c r="K1522" i="7"/>
  <c r="B1522" i="7"/>
  <c r="N1521" i="7"/>
  <c r="E1521" i="7"/>
  <c r="E1520" i="7"/>
  <c r="H1519" i="7"/>
  <c r="Q1518" i="7"/>
  <c r="J1518" i="7"/>
  <c r="A1518" i="7"/>
  <c r="M1517" i="7"/>
  <c r="D1517" i="7"/>
  <c r="N1516" i="7"/>
  <c r="E1516" i="7"/>
  <c r="H1515" i="7"/>
  <c r="Q1514" i="7"/>
  <c r="J1514" i="7"/>
  <c r="A1514" i="7"/>
  <c r="M1513" i="7"/>
  <c r="D1513" i="7"/>
  <c r="N1512" i="7"/>
  <c r="E1512" i="7"/>
  <c r="F1511" i="7"/>
  <c r="D1510" i="7"/>
  <c r="N1509" i="7"/>
  <c r="E1509" i="7"/>
  <c r="H1508" i="7"/>
  <c r="Q1507" i="7"/>
  <c r="J1507" i="7"/>
  <c r="A1507" i="7"/>
  <c r="M1506" i="7"/>
  <c r="D1506" i="7"/>
  <c r="N1505" i="7"/>
  <c r="E1505" i="7"/>
  <c r="H1504" i="7"/>
  <c r="Q1503" i="7"/>
  <c r="J1503" i="7"/>
  <c r="A1503" i="7"/>
  <c r="K1502" i="7"/>
  <c r="A1501" i="7"/>
  <c r="K1500" i="7"/>
  <c r="A1499" i="7"/>
  <c r="K1498" i="7"/>
  <c r="A1497" i="7"/>
  <c r="K1496" i="7"/>
  <c r="A1495" i="7"/>
  <c r="K1494" i="7"/>
  <c r="A1493" i="7"/>
  <c r="K1492" i="7"/>
  <c r="A1491" i="7"/>
  <c r="K1490" i="7"/>
  <c r="A1489" i="7"/>
  <c r="K1488" i="7"/>
  <c r="A1487" i="7"/>
  <c r="K1486" i="7"/>
  <c r="A1485" i="7"/>
  <c r="K1484" i="7"/>
  <c r="A1483" i="7"/>
  <c r="K1482" i="7"/>
  <c r="A1481" i="7"/>
  <c r="K1480" i="7"/>
  <c r="A1479" i="7"/>
  <c r="K1478" i="7"/>
  <c r="A1477" i="7"/>
  <c r="K1476" i="7"/>
  <c r="A1475" i="7"/>
  <c r="K1474" i="7"/>
  <c r="A1473" i="7"/>
  <c r="K1472" i="7"/>
  <c r="A1471" i="7"/>
  <c r="K1470" i="7"/>
  <c r="A1469" i="7"/>
  <c r="K1468" i="7"/>
  <c r="A1467" i="7"/>
  <c r="K1466" i="7"/>
  <c r="A1465" i="7"/>
  <c r="K1464" i="7"/>
  <c r="A1463" i="7"/>
  <c r="K1462" i="7"/>
  <c r="A1461" i="7"/>
  <c r="K1460" i="7"/>
  <c r="A1459" i="7"/>
  <c r="K1458" i="7"/>
  <c r="A1457" i="7"/>
  <c r="K1456" i="7"/>
  <c r="A1455" i="7"/>
  <c r="K1454" i="7"/>
  <c r="A1453" i="7"/>
  <c r="K1452" i="7"/>
  <c r="A1451" i="7"/>
  <c r="K1450" i="7"/>
  <c r="A1449" i="7"/>
  <c r="K1448" i="7"/>
  <c r="A1447" i="7"/>
  <c r="K1446" i="7"/>
  <c r="A1445" i="7"/>
  <c r="K1444" i="7"/>
  <c r="A1443" i="7"/>
  <c r="K1442" i="7"/>
  <c r="A1441" i="7"/>
  <c r="K1440" i="7"/>
  <c r="A1439" i="7"/>
  <c r="K1438" i="7"/>
  <c r="A1437" i="7"/>
  <c r="K1436" i="7"/>
  <c r="A1435" i="7"/>
  <c r="K1434" i="7"/>
  <c r="D1433" i="7"/>
  <c r="Q1430" i="7"/>
  <c r="D1430" i="7"/>
  <c r="D1429" i="7"/>
  <c r="Q1426" i="7"/>
  <c r="D1426" i="7"/>
  <c r="D1425" i="7"/>
  <c r="Q1422" i="7"/>
  <c r="D1422" i="7"/>
  <c r="D1421" i="7"/>
  <c r="Q1418" i="7"/>
  <c r="D1418" i="7"/>
  <c r="D1417" i="7"/>
  <c r="Q1414" i="7"/>
  <c r="D1414" i="7"/>
  <c r="D1413" i="7"/>
  <c r="Q1410" i="7"/>
  <c r="D1410" i="7"/>
  <c r="D1409" i="7"/>
  <c r="Q1406" i="7"/>
  <c r="D1406" i="7"/>
  <c r="D1405" i="7"/>
  <c r="Q1402" i="7"/>
  <c r="D1402" i="7"/>
  <c r="D1401" i="7"/>
  <c r="Q1398" i="7"/>
  <c r="D1398" i="7"/>
  <c r="D1397" i="7"/>
  <c r="Q1394" i="7"/>
  <c r="D1394" i="7"/>
  <c r="D1393" i="7"/>
  <c r="Q1390" i="7"/>
  <c r="D1390" i="7"/>
  <c r="D1389" i="7"/>
  <c r="Q1386" i="7"/>
  <c r="D1386" i="7"/>
  <c r="D1385" i="7"/>
  <c r="Q1382" i="7"/>
  <c r="D1382" i="7"/>
  <c r="D1381" i="7"/>
  <c r="Q1378" i="7"/>
  <c r="D1378" i="7"/>
  <c r="D1377" i="7"/>
  <c r="Q1374" i="7"/>
  <c r="D1374" i="7"/>
  <c r="D1373" i="7"/>
  <c r="Q1370" i="7"/>
  <c r="D1370" i="7"/>
  <c r="D1369" i="7"/>
  <c r="Q1366" i="7"/>
  <c r="D1366" i="7"/>
  <c r="D1365" i="7"/>
  <c r="Q1362" i="7"/>
  <c r="D1362" i="7"/>
  <c r="L1361" i="7"/>
  <c r="G1361" i="7"/>
  <c r="B1361" i="7"/>
  <c r="L1360" i="7"/>
  <c r="G1360" i="7"/>
  <c r="B1360" i="7"/>
  <c r="L1359" i="7"/>
  <c r="G1359" i="7"/>
  <c r="B1359" i="7"/>
  <c r="M1358" i="7"/>
  <c r="H1358" i="7"/>
  <c r="C1358" i="7"/>
  <c r="M1357" i="7"/>
  <c r="H1357" i="7"/>
  <c r="C1357" i="7"/>
  <c r="M1356" i="7"/>
  <c r="H1356" i="7"/>
  <c r="C1356" i="7"/>
  <c r="N1355" i="7"/>
  <c r="H1355" i="7"/>
  <c r="C1355" i="7"/>
  <c r="N1354" i="7"/>
  <c r="H1354" i="7"/>
  <c r="C1354" i="7"/>
  <c r="N1353" i="7"/>
  <c r="H1353" i="7"/>
  <c r="C1353" i="7"/>
  <c r="M1352" i="7"/>
  <c r="H1352" i="7"/>
  <c r="C1352" i="7"/>
  <c r="N1351" i="7"/>
  <c r="H1351" i="7"/>
  <c r="C1351" i="7"/>
  <c r="M1350" i="7"/>
  <c r="H1350" i="7"/>
  <c r="C1350" i="7"/>
  <c r="N1349" i="7"/>
  <c r="H1349" i="7"/>
  <c r="C1349" i="7"/>
  <c r="N1348" i="7"/>
  <c r="H1348" i="7"/>
  <c r="C1348" i="7"/>
  <c r="N1347" i="7"/>
  <c r="H1347" i="7"/>
  <c r="C1347" i="7"/>
  <c r="N1346" i="7"/>
  <c r="H1346" i="7"/>
  <c r="C1346" i="7"/>
  <c r="N1345" i="7"/>
  <c r="H1345" i="7"/>
  <c r="C1345" i="7"/>
  <c r="N1344" i="7"/>
  <c r="H1344" i="7"/>
  <c r="C1344" i="7"/>
  <c r="M1343" i="7"/>
  <c r="H1343" i="7"/>
  <c r="C1343" i="7"/>
  <c r="N1342" i="7"/>
  <c r="H1342" i="7"/>
  <c r="C1342" i="7"/>
  <c r="L1341" i="7"/>
  <c r="G1341" i="7"/>
  <c r="C1341" i="7"/>
  <c r="L1340" i="7"/>
  <c r="G1340" i="7"/>
  <c r="C1340" i="7"/>
  <c r="L1339" i="7"/>
  <c r="G1339" i="7"/>
  <c r="C1339" i="7"/>
  <c r="L1338" i="7"/>
  <c r="G1338" i="7"/>
  <c r="C1338" i="7"/>
  <c r="L1337" i="7"/>
  <c r="G1337" i="7"/>
  <c r="C1337" i="7"/>
  <c r="L1336" i="7"/>
  <c r="H1336" i="7"/>
  <c r="D1336" i="7"/>
  <c r="Q1335" i="7"/>
  <c r="L1335" i="7"/>
  <c r="H1335" i="7"/>
  <c r="D1335" i="7"/>
  <c r="Q1334" i="7"/>
  <c r="L1334" i="7"/>
  <c r="H1334" i="7"/>
  <c r="D1334" i="7"/>
  <c r="Q1333" i="7"/>
  <c r="M1333" i="7"/>
  <c r="H1333" i="7"/>
  <c r="D1333" i="7"/>
  <c r="Q1332" i="7"/>
  <c r="F1332" i="7"/>
  <c r="Q1331" i="7"/>
  <c r="M1331" i="7"/>
  <c r="I1331" i="7"/>
  <c r="E1331" i="7"/>
  <c r="A1331" i="7"/>
  <c r="N1330" i="7"/>
  <c r="J1330" i="7"/>
  <c r="F1330" i="7"/>
  <c r="B1330" i="7"/>
  <c r="D1329" i="7"/>
  <c r="L1328" i="7"/>
  <c r="H1328" i="7"/>
  <c r="D1328" i="7"/>
  <c r="Q1327" i="7"/>
  <c r="M1327" i="7"/>
  <c r="H1327" i="7"/>
  <c r="D1327" i="7"/>
  <c r="Q1326" i="7"/>
  <c r="M1326" i="7"/>
  <c r="H1326" i="7"/>
  <c r="D1326" i="7"/>
  <c r="Q1325" i="7"/>
  <c r="M1325" i="7"/>
  <c r="H1325" i="7"/>
  <c r="D1325" i="7"/>
  <c r="Q1324" i="7"/>
  <c r="L1324" i="7"/>
  <c r="H1324" i="7"/>
  <c r="D1324" i="7"/>
  <c r="Q1323" i="7"/>
  <c r="L1323" i="7"/>
  <c r="H1323" i="7"/>
  <c r="D1323" i="7"/>
  <c r="Q1322" i="7"/>
  <c r="L1322" i="7"/>
  <c r="H1322" i="7"/>
  <c r="D1322" i="7"/>
  <c r="Q1321" i="7"/>
  <c r="L1321" i="7"/>
  <c r="H1321" i="7"/>
  <c r="D1321" i="7"/>
  <c r="Q1320" i="7"/>
  <c r="M1320" i="7"/>
  <c r="H1320" i="7"/>
  <c r="D1320" i="7"/>
  <c r="Q1319" i="7"/>
  <c r="M1319" i="7"/>
  <c r="I1319" i="7"/>
  <c r="E1319" i="7"/>
  <c r="A1319" i="7"/>
  <c r="N1318" i="7"/>
  <c r="J1318" i="7"/>
  <c r="E1318" i="7"/>
  <c r="A1318" i="7"/>
  <c r="M1317" i="7"/>
  <c r="I1317" i="7"/>
  <c r="E1317" i="7"/>
  <c r="A1317" i="7"/>
  <c r="N1316" i="7"/>
  <c r="J1316" i="7"/>
  <c r="E1316" i="7"/>
  <c r="A1316" i="7"/>
  <c r="N1315" i="7"/>
  <c r="J1315" i="7"/>
  <c r="E1315" i="7"/>
  <c r="A1315" i="7"/>
  <c r="N1314" i="7"/>
  <c r="J1314" i="7"/>
  <c r="E1314" i="7"/>
  <c r="A1314" i="7"/>
  <c r="N1313" i="7"/>
  <c r="J1313" i="7"/>
  <c r="E1313" i="7"/>
  <c r="A1313" i="7"/>
  <c r="N1312" i="7"/>
  <c r="J1312" i="7"/>
  <c r="E1312" i="7"/>
  <c r="A1312" i="7"/>
  <c r="N1311" i="7"/>
  <c r="J1311" i="7"/>
  <c r="E1311" i="7"/>
  <c r="A1311" i="7"/>
  <c r="N1310" i="7"/>
  <c r="J1310" i="7"/>
  <c r="E1310" i="7"/>
  <c r="A1310" i="7"/>
  <c r="N1309" i="7"/>
  <c r="J1309" i="7"/>
  <c r="E1309" i="7"/>
  <c r="A1309" i="7"/>
  <c r="N1308" i="7"/>
  <c r="J1308" i="7"/>
  <c r="E1308" i="7"/>
  <c r="A1308" i="7"/>
  <c r="N1307" i="7"/>
  <c r="J1307" i="7"/>
  <c r="E1307" i="7"/>
  <c r="A1307" i="7"/>
  <c r="N1306" i="7"/>
  <c r="J1306" i="7"/>
  <c r="E1306" i="7"/>
  <c r="A1306" i="7"/>
  <c r="N1305" i="7"/>
  <c r="J1305" i="7"/>
  <c r="E1305" i="7"/>
  <c r="A1305" i="7"/>
  <c r="N1304" i="7"/>
  <c r="J1304" i="7"/>
  <c r="E1304" i="7"/>
  <c r="A1304" i="7"/>
  <c r="N1303" i="7"/>
  <c r="J1303" i="7"/>
  <c r="E1303" i="7"/>
  <c r="A1303" i="7"/>
  <c r="N1302" i="7"/>
  <c r="J1302" i="7"/>
  <c r="E1302" i="7"/>
  <c r="A1302" i="7"/>
  <c r="N1301" i="7"/>
  <c r="H1301" i="7"/>
  <c r="D1301" i="7"/>
  <c r="Q1300" i="7"/>
  <c r="M1300" i="7"/>
  <c r="H1300" i="7"/>
  <c r="D1300" i="7"/>
  <c r="Q1299" i="7"/>
  <c r="M1299" i="7"/>
  <c r="H1299" i="7"/>
  <c r="D1299" i="7"/>
  <c r="Q1298" i="7"/>
  <c r="K1298" i="7"/>
  <c r="F1298" i="7"/>
  <c r="B1298" i="7"/>
  <c r="K1297" i="7"/>
  <c r="F1297" i="7"/>
  <c r="B1297" i="7"/>
  <c r="K1296" i="7"/>
  <c r="F1296" i="7"/>
  <c r="B1296" i="7"/>
  <c r="K1295" i="7"/>
  <c r="F1295" i="7"/>
  <c r="B1295" i="7"/>
  <c r="K1294" i="7"/>
  <c r="F1294" i="7"/>
  <c r="B1294" i="7"/>
  <c r="K1293" i="7"/>
  <c r="F1293" i="7"/>
  <c r="B1293" i="7"/>
  <c r="K1292" i="7"/>
  <c r="F1292" i="7"/>
  <c r="B1292" i="7"/>
  <c r="K1291" i="7"/>
  <c r="F1291" i="7"/>
  <c r="B1291" i="7"/>
  <c r="K1290" i="7"/>
  <c r="F1290" i="7"/>
  <c r="B1290" i="7"/>
  <c r="K1289" i="7"/>
  <c r="F1289" i="7"/>
  <c r="B1289" i="7"/>
  <c r="K1288" i="7"/>
  <c r="F1288" i="7"/>
  <c r="B1288" i="7"/>
  <c r="K1287" i="7"/>
  <c r="F1287" i="7"/>
  <c r="B1287" i="7"/>
  <c r="K1286" i="7"/>
  <c r="F1286" i="7"/>
  <c r="B1286" i="7"/>
  <c r="K1285" i="7"/>
  <c r="F1285" i="7"/>
  <c r="B1285" i="7"/>
  <c r="K1284" i="7"/>
  <c r="F1284" i="7"/>
  <c r="B1284" i="7"/>
  <c r="K1283" i="7"/>
  <c r="F1283" i="7"/>
  <c r="B1283" i="7"/>
  <c r="K1282" i="7"/>
  <c r="F1282" i="7"/>
  <c r="B1282" i="7"/>
  <c r="K1281" i="7"/>
  <c r="F1281" i="7"/>
  <c r="B1281" i="7"/>
  <c r="K1280" i="7"/>
  <c r="F1280" i="7"/>
  <c r="B1280" i="7"/>
  <c r="K1279" i="7"/>
  <c r="F1279" i="7"/>
  <c r="B1279" i="7"/>
  <c r="K1278" i="7"/>
  <c r="F1278" i="7"/>
  <c r="B1278" i="7"/>
  <c r="K1277" i="7"/>
  <c r="F1277" i="7"/>
  <c r="B1277" i="7"/>
  <c r="K1276" i="7"/>
  <c r="F1276" i="7"/>
  <c r="B1276" i="7"/>
  <c r="K1275" i="7"/>
  <c r="F1275" i="7"/>
  <c r="B1275" i="7"/>
  <c r="K1274" i="7"/>
  <c r="F1274" i="7"/>
  <c r="B1274" i="7"/>
  <c r="K1273" i="7"/>
  <c r="F1273" i="7"/>
  <c r="B1273" i="7"/>
  <c r="K1272" i="7"/>
  <c r="F1272" i="7"/>
  <c r="B1272" i="7"/>
  <c r="K1271" i="7"/>
  <c r="F1271" i="7"/>
  <c r="B1271" i="7"/>
  <c r="K1270" i="7"/>
  <c r="F1270" i="7"/>
  <c r="B1270" i="7"/>
  <c r="K1269" i="7"/>
  <c r="F1269" i="7"/>
  <c r="B1269" i="7"/>
  <c r="K1268" i="7"/>
  <c r="F1268" i="7"/>
  <c r="B1268" i="7"/>
  <c r="K1267" i="7"/>
  <c r="F1267" i="7"/>
  <c r="B1267" i="7"/>
  <c r="K1266" i="7"/>
  <c r="F1266" i="7"/>
  <c r="B1266" i="7"/>
  <c r="K1265" i="7"/>
  <c r="F1265" i="7"/>
  <c r="B1265" i="7"/>
  <c r="K1264" i="7"/>
  <c r="F1264" i="7"/>
  <c r="B1264" i="7"/>
  <c r="K1263" i="7"/>
  <c r="F1263" i="7"/>
  <c r="B1263" i="7"/>
  <c r="K1262" i="7"/>
  <c r="F1262" i="7"/>
  <c r="B1262" i="7"/>
  <c r="K1261" i="7"/>
  <c r="F1261" i="7"/>
  <c r="B1261" i="7"/>
  <c r="K1260" i="7"/>
  <c r="F1260" i="7"/>
  <c r="B1260" i="7"/>
  <c r="K1259" i="7"/>
  <c r="F1259" i="7"/>
  <c r="B1259" i="7"/>
  <c r="K1258" i="7"/>
  <c r="F1258" i="7"/>
  <c r="B1258" i="7"/>
  <c r="K1257" i="7"/>
  <c r="F1257" i="7"/>
  <c r="B1257" i="7"/>
  <c r="H1256" i="7"/>
  <c r="D1256" i="7"/>
  <c r="Q1255" i="7"/>
  <c r="M1255" i="7"/>
  <c r="H1255" i="7"/>
  <c r="D1255" i="7"/>
  <c r="Q1254" i="7"/>
  <c r="M1254" i="7"/>
  <c r="H1254" i="7"/>
  <c r="D1254" i="7"/>
  <c r="Q1253" i="7"/>
  <c r="M1253" i="7"/>
  <c r="H1253" i="7"/>
  <c r="D1253" i="7"/>
  <c r="Q1252" i="7"/>
  <c r="M1252" i="7"/>
  <c r="H1252" i="7"/>
  <c r="D1252" i="7"/>
  <c r="Q1251" i="7"/>
  <c r="F1251" i="7"/>
  <c r="Q1250" i="7"/>
  <c r="M1250" i="7"/>
  <c r="H1250" i="7"/>
  <c r="D1250" i="7"/>
  <c r="Q1249" i="7"/>
  <c r="M1249" i="7"/>
  <c r="H1249" i="7"/>
  <c r="D1249" i="7"/>
  <c r="Q1248" i="7"/>
  <c r="M1248" i="7"/>
  <c r="H1248" i="7"/>
  <c r="D1248" i="7"/>
  <c r="Q1247" i="7"/>
  <c r="M1247" i="7"/>
  <c r="H1247" i="7"/>
  <c r="D1247" i="7"/>
  <c r="Q1246" i="7"/>
  <c r="M1246" i="7"/>
  <c r="H1246" i="7"/>
  <c r="D1246" i="7"/>
  <c r="Q1245" i="7"/>
  <c r="M1245" i="7"/>
  <c r="G1245" i="7"/>
  <c r="C1245" i="7"/>
  <c r="J1244" i="7"/>
  <c r="E1244" i="7"/>
  <c r="A1244" i="7"/>
  <c r="N1243" i="7"/>
  <c r="J1243" i="7"/>
  <c r="E1243" i="7"/>
  <c r="A1243" i="7"/>
  <c r="N1242" i="7"/>
  <c r="G1242" i="7"/>
  <c r="C1242" i="7"/>
  <c r="L1241" i="7"/>
  <c r="G1241" i="7"/>
  <c r="C1241" i="7"/>
  <c r="L1240" i="7"/>
  <c r="G1240" i="7"/>
  <c r="C1240" i="7"/>
  <c r="L1239" i="7"/>
  <c r="G1239" i="7"/>
  <c r="C1239" i="7"/>
  <c r="L1238" i="7"/>
  <c r="G1238" i="7"/>
  <c r="C1238" i="7"/>
  <c r="L1237" i="7"/>
  <c r="G1237" i="7"/>
  <c r="C1237" i="7"/>
  <c r="L1236" i="7"/>
  <c r="G1236" i="7"/>
  <c r="C1236" i="7"/>
  <c r="K1235" i="7"/>
  <c r="F1235" i="7"/>
  <c r="B1235" i="7"/>
  <c r="J1234" i="7"/>
  <c r="E1234" i="7"/>
  <c r="A1234" i="7"/>
  <c r="N1233" i="7"/>
  <c r="H1233" i="7"/>
  <c r="D1233" i="7"/>
  <c r="Q1232" i="7"/>
  <c r="M1232" i="7"/>
  <c r="H1232" i="7"/>
  <c r="D1232" i="7"/>
  <c r="Q1231" i="7"/>
  <c r="M1231" i="7"/>
  <c r="H1231" i="7"/>
  <c r="D1231" i="7"/>
  <c r="Q1230" i="7"/>
  <c r="M1230" i="7"/>
  <c r="H1230" i="7"/>
  <c r="D1230" i="7"/>
  <c r="Q1229" i="7"/>
  <c r="M1229" i="7"/>
  <c r="H1229" i="7"/>
  <c r="D1229" i="7"/>
  <c r="Q1228" i="7"/>
  <c r="M1228" i="7"/>
  <c r="H1228" i="7"/>
  <c r="D1228" i="7"/>
  <c r="Q1227" i="7"/>
  <c r="M1227" i="7"/>
  <c r="H1227" i="7"/>
  <c r="D1227" i="7"/>
  <c r="Q1226" i="7"/>
  <c r="M1226" i="7"/>
  <c r="H1226" i="7"/>
  <c r="D1226" i="7"/>
  <c r="Q1225" i="7"/>
  <c r="M1225" i="7"/>
  <c r="G1225" i="7"/>
  <c r="C1225" i="7"/>
  <c r="L1224" i="7"/>
  <c r="G1224" i="7"/>
  <c r="C1224" i="7"/>
  <c r="L1223" i="7"/>
  <c r="G1223" i="7"/>
  <c r="C1223" i="7"/>
  <c r="L1222" i="7"/>
  <c r="G1222" i="7"/>
  <c r="C1222" i="7"/>
  <c r="L1221" i="7"/>
  <c r="G1221" i="7"/>
  <c r="C1221" i="7"/>
  <c r="L1220" i="7"/>
  <c r="G1220" i="7"/>
  <c r="C1220" i="7"/>
  <c r="L1219" i="7"/>
  <c r="G1219" i="7"/>
  <c r="C1219" i="7"/>
  <c r="L1218" i="7"/>
  <c r="G1218" i="7"/>
  <c r="C1218" i="7"/>
  <c r="L1217" i="7"/>
  <c r="G1217" i="7"/>
  <c r="C1217" i="7"/>
  <c r="L1216" i="7"/>
  <c r="G1216" i="7"/>
  <c r="C1216" i="7"/>
  <c r="L1215" i="7"/>
  <c r="G1215" i="7"/>
  <c r="C1215" i="7"/>
  <c r="L1214" i="7"/>
  <c r="G1214" i="7"/>
  <c r="C1214" i="7"/>
  <c r="J1213" i="7"/>
  <c r="E1213" i="7"/>
  <c r="A1213" i="7"/>
  <c r="N1212" i="7"/>
  <c r="J1212" i="7"/>
  <c r="E1212" i="7"/>
  <c r="A1212" i="7"/>
  <c r="N1211" i="7"/>
  <c r="J1211" i="7"/>
  <c r="E1211" i="7"/>
  <c r="A1211" i="7"/>
  <c r="N1210" i="7"/>
  <c r="H1210" i="7"/>
  <c r="D1210" i="7"/>
  <c r="Q1209" i="7"/>
  <c r="M1209" i="7"/>
  <c r="H1209" i="7"/>
  <c r="D1209" i="7"/>
  <c r="Q1208" i="7"/>
  <c r="M1208" i="7"/>
  <c r="H1208" i="7"/>
  <c r="D1208" i="7"/>
  <c r="Q1207" i="7"/>
  <c r="M1207" i="7"/>
  <c r="H1207" i="7"/>
  <c r="D1207" i="7"/>
  <c r="Q1206" i="7"/>
  <c r="M1206" i="7"/>
  <c r="H1206" i="7"/>
  <c r="D1206" i="7"/>
  <c r="Q1205" i="7"/>
  <c r="M1205" i="7"/>
  <c r="H1205" i="7"/>
  <c r="D1205" i="7"/>
  <c r="Q1204" i="7"/>
  <c r="M1204" i="7"/>
  <c r="H1204" i="7"/>
  <c r="D1204" i="7"/>
  <c r="Q1203" i="7"/>
  <c r="M1203" i="7"/>
  <c r="H1203" i="7"/>
  <c r="D1203" i="7"/>
  <c r="Q1202" i="7"/>
  <c r="D1202" i="7"/>
  <c r="Q1200" i="7"/>
  <c r="D1200" i="7"/>
  <c r="Q1198" i="7"/>
  <c r="D1198" i="7"/>
  <c r="Q1196" i="7"/>
  <c r="D1196" i="7"/>
  <c r="Q1194" i="7"/>
  <c r="D1194" i="7"/>
  <c r="Q1192" i="7"/>
  <c r="D1192" i="7"/>
  <c r="Q1190" i="7"/>
  <c r="D1190" i="7"/>
  <c r="Q1188" i="7"/>
  <c r="D1188" i="7"/>
  <c r="Q1186" i="7"/>
  <c r="D1186" i="7"/>
  <c r="Q1184" i="7"/>
  <c r="D1184" i="7"/>
  <c r="Q1182" i="7"/>
  <c r="D1182" i="7"/>
  <c r="Q1180" i="7"/>
  <c r="D1180" i="7"/>
  <c r="Q1178" i="7"/>
  <c r="D1178" i="7"/>
  <c r="Q1176" i="7"/>
  <c r="D1176" i="7"/>
  <c r="Q1174" i="7"/>
  <c r="D1174" i="7"/>
  <c r="Q1172" i="7"/>
  <c r="D1172" i="7"/>
  <c r="Q1170" i="7"/>
  <c r="D1170" i="7"/>
  <c r="Q1168" i="7"/>
  <c r="D1168" i="7"/>
  <c r="Q1166" i="7"/>
  <c r="D1166" i="7"/>
  <c r="Q1164" i="7"/>
  <c r="D1164" i="7"/>
  <c r="Q1162" i="7"/>
  <c r="D1162" i="7"/>
  <c r="Q1160" i="7"/>
  <c r="D1160" i="7"/>
  <c r="Q1158" i="7"/>
  <c r="D1158" i="7"/>
  <c r="Q1156" i="7"/>
  <c r="D1156" i="7"/>
  <c r="Q1154" i="7"/>
  <c r="D1154" i="7"/>
  <c r="Q1152" i="7"/>
  <c r="D1152" i="7"/>
  <c r="Q1150" i="7"/>
  <c r="D1150" i="7"/>
  <c r="Q1148" i="7"/>
  <c r="D1148" i="7"/>
  <c r="Q1146" i="7"/>
  <c r="D1146" i="7"/>
  <c r="Q1144" i="7"/>
  <c r="D1144" i="7"/>
  <c r="Q1142" i="7"/>
  <c r="D1142" i="7"/>
  <c r="Q1140" i="7"/>
  <c r="D1140" i="7"/>
  <c r="Q1138" i="7"/>
  <c r="D1138" i="7"/>
  <c r="Q1136" i="7"/>
  <c r="D1136" i="7"/>
  <c r="Q1134" i="7"/>
  <c r="D1134" i="7"/>
  <c r="Q1132" i="7"/>
  <c r="D1132" i="7"/>
  <c r="Q1130" i="7"/>
  <c r="D1130" i="7"/>
  <c r="Q1128" i="7"/>
  <c r="D1128" i="7"/>
  <c r="Q1126" i="7"/>
  <c r="D1126" i="7"/>
  <c r="Q1124" i="7"/>
  <c r="D1124" i="7"/>
  <c r="Q1122" i="7"/>
  <c r="D1122" i="7"/>
  <c r="Q1120" i="7"/>
  <c r="D1120" i="7"/>
  <c r="Q1118" i="7"/>
  <c r="D1118" i="7"/>
  <c r="Q1116" i="7"/>
  <c r="D1116" i="7"/>
  <c r="Q1114" i="7"/>
  <c r="D1114" i="7"/>
  <c r="Q1112" i="7"/>
  <c r="D1112" i="7"/>
  <c r="Q1110" i="7"/>
  <c r="D1110" i="7"/>
  <c r="Q1108" i="7"/>
  <c r="D1108" i="7"/>
  <c r="Q1106" i="7"/>
  <c r="D1106" i="7"/>
  <c r="Q1104" i="7"/>
  <c r="D1104" i="7"/>
  <c r="Q1102" i="7"/>
  <c r="D1102" i="7"/>
  <c r="Q1100" i="7"/>
  <c r="D1100" i="7"/>
  <c r="Q1098" i="7"/>
  <c r="D1098" i="7"/>
  <c r="Q1096" i="7"/>
  <c r="D1096" i="7"/>
  <c r="Q1094" i="7"/>
  <c r="D1094" i="7"/>
  <c r="Q1092" i="7"/>
  <c r="D1092" i="7"/>
  <c r="Q1090" i="7"/>
  <c r="D1090" i="7"/>
  <c r="Q1088" i="7"/>
  <c r="D1088" i="7"/>
  <c r="Q1086" i="7"/>
  <c r="D1086" i="7"/>
  <c r="Q1084" i="7"/>
  <c r="D1084" i="7"/>
  <c r="Q1082" i="7"/>
  <c r="D1082" i="7"/>
  <c r="Q1080" i="7"/>
  <c r="D1080" i="7"/>
  <c r="Q1078" i="7"/>
  <c r="D1078" i="7"/>
  <c r="Q1076" i="7"/>
  <c r="D1076" i="7"/>
  <c r="Q1074" i="7"/>
  <c r="D1074" i="7"/>
  <c r="Q1072" i="7"/>
  <c r="D1072" i="7"/>
  <c r="Q1070" i="7"/>
  <c r="D1070" i="7"/>
  <c r="Q1068" i="7"/>
  <c r="D1068" i="7"/>
  <c r="Q1066" i="7"/>
  <c r="D1066" i="7"/>
  <c r="Q1064" i="7"/>
  <c r="D1064" i="7"/>
  <c r="Q1062" i="7"/>
  <c r="D1062" i="7"/>
  <c r="Q1060" i="7"/>
  <c r="D1060" i="7"/>
  <c r="Q1058" i="7"/>
  <c r="D1058" i="7"/>
  <c r="Q1056" i="7"/>
  <c r="D1056" i="7"/>
  <c r="Q1054" i="7"/>
  <c r="D1054" i="7"/>
  <c r="Q1052" i="7"/>
  <c r="D1052" i="7"/>
  <c r="Q1050" i="7"/>
  <c r="D1050" i="7"/>
  <c r="Q1048" i="7"/>
  <c r="D1048" i="7"/>
  <c r="Q1046" i="7"/>
  <c r="D1046" i="7"/>
  <c r="Q1044" i="7"/>
  <c r="D1044" i="7"/>
  <c r="Q1042" i="7"/>
  <c r="D1042" i="7"/>
  <c r="Q1040" i="7"/>
  <c r="D1040" i="7"/>
  <c r="Q1038" i="7"/>
  <c r="D1038" i="7"/>
  <c r="Q1036" i="7"/>
  <c r="D1036" i="7"/>
  <c r="Q1034" i="7"/>
  <c r="D1034" i="7"/>
  <c r="Q1032" i="7"/>
  <c r="D1032" i="7"/>
  <c r="Q1030" i="7"/>
  <c r="D1030" i="7"/>
  <c r="Q1028" i="7"/>
  <c r="D1028" i="7"/>
  <c r="Q1026" i="7"/>
  <c r="D1026" i="7"/>
  <c r="Q1024" i="7"/>
  <c r="D1024" i="7"/>
  <c r="Q1022" i="7"/>
  <c r="D1022" i="7"/>
  <c r="Q1020" i="7"/>
  <c r="D1020" i="7"/>
  <c r="Q1018" i="7"/>
  <c r="D1018" i="7"/>
  <c r="Q1016" i="7"/>
  <c r="D1016" i="7"/>
  <c r="Q1014" i="7"/>
  <c r="D1014" i="7"/>
  <c r="Q1012" i="7"/>
  <c r="D1012" i="7"/>
  <c r="Q1010" i="7"/>
  <c r="D1010" i="7"/>
  <c r="Q1008" i="7"/>
  <c r="D1008" i="7"/>
  <c r="Q1006" i="7"/>
  <c r="L1006" i="7"/>
  <c r="H1006" i="7"/>
  <c r="D1006" i="7"/>
  <c r="Q1005" i="7"/>
  <c r="L1005" i="7"/>
  <c r="H1005" i="7"/>
  <c r="D1005" i="7"/>
  <c r="Q1004" i="7"/>
  <c r="L1004" i="7"/>
  <c r="H1004" i="7"/>
  <c r="D1004" i="7"/>
  <c r="Q1003" i="7"/>
  <c r="L1003" i="7"/>
  <c r="H1003" i="7"/>
  <c r="D1003" i="7"/>
  <c r="Q1002" i="7"/>
  <c r="L1002" i="7"/>
  <c r="H1002" i="7"/>
  <c r="D1002" i="7"/>
  <c r="Q1001" i="7"/>
  <c r="M1001" i="7"/>
  <c r="I1001" i="7"/>
  <c r="E1001" i="7"/>
  <c r="A1001" i="7"/>
  <c r="M1000" i="7"/>
  <c r="I1000" i="7"/>
  <c r="E1000" i="7"/>
  <c r="A1000" i="7"/>
  <c r="M999" i="7"/>
  <c r="I999" i="7"/>
  <c r="E999" i="7"/>
  <c r="A999" i="7"/>
  <c r="M998" i="7"/>
  <c r="I998" i="7"/>
  <c r="E998" i="7"/>
  <c r="A998" i="7"/>
  <c r="M997" i="7"/>
  <c r="I997" i="7"/>
  <c r="E997" i="7"/>
  <c r="A997" i="7"/>
  <c r="M996" i="7"/>
  <c r="I996" i="7"/>
  <c r="E996" i="7"/>
  <c r="A996" i="7"/>
  <c r="M995" i="7"/>
  <c r="I995" i="7"/>
  <c r="E995" i="7"/>
  <c r="A995" i="7"/>
  <c r="M994" i="7"/>
  <c r="I994" i="7"/>
  <c r="E994" i="7"/>
  <c r="A994" i="7"/>
  <c r="M993" i="7"/>
  <c r="I993" i="7"/>
  <c r="E993" i="7"/>
  <c r="A993" i="7"/>
  <c r="M992" i="7"/>
  <c r="I992" i="7"/>
  <c r="E992" i="7"/>
  <c r="A992" i="7"/>
  <c r="N991" i="7"/>
  <c r="J991" i="7"/>
  <c r="E991" i="7"/>
  <c r="A991" i="7"/>
  <c r="N990" i="7"/>
  <c r="J990" i="7"/>
  <c r="E990" i="7"/>
  <c r="A990" i="7"/>
  <c r="N989" i="7"/>
  <c r="J989" i="7"/>
  <c r="E989" i="7"/>
  <c r="A989" i="7"/>
  <c r="N988" i="7"/>
  <c r="J988" i="7"/>
  <c r="E988" i="7"/>
  <c r="A988" i="7"/>
  <c r="M987" i="7"/>
  <c r="I987" i="7"/>
  <c r="E987" i="7"/>
  <c r="A987" i="7"/>
  <c r="N986" i="7"/>
  <c r="J986" i="7"/>
  <c r="E986" i="7"/>
  <c r="A986" i="7"/>
  <c r="N985" i="7"/>
  <c r="J985" i="7"/>
  <c r="E985" i="7"/>
  <c r="A985" i="7"/>
  <c r="N984" i="7"/>
  <c r="J984" i="7"/>
  <c r="E984" i="7"/>
  <c r="A984" i="7"/>
  <c r="N983" i="7"/>
  <c r="J983" i="7"/>
  <c r="E983" i="7"/>
  <c r="A983" i="7"/>
  <c r="N982" i="7"/>
  <c r="J982" i="7"/>
  <c r="E982" i="7"/>
  <c r="A982" i="7"/>
  <c r="N981" i="7"/>
  <c r="J981" i="7"/>
  <c r="E981" i="7"/>
  <c r="A981" i="7"/>
  <c r="N980" i="7"/>
  <c r="J980" i="7"/>
  <c r="F980" i="7"/>
  <c r="B980" i="7"/>
  <c r="K979" i="7"/>
  <c r="F979" i="7"/>
  <c r="B979" i="7"/>
  <c r="K978" i="7"/>
  <c r="F978" i="7"/>
  <c r="B978" i="7"/>
  <c r="J977" i="7"/>
  <c r="F977" i="7"/>
  <c r="B977" i="7"/>
  <c r="K976" i="7"/>
  <c r="F976" i="7"/>
  <c r="B976" i="7"/>
  <c r="K975" i="7"/>
  <c r="G975" i="7"/>
  <c r="C975" i="7"/>
  <c r="L974" i="7"/>
  <c r="H974" i="7"/>
  <c r="D974" i="7"/>
  <c r="Q973" i="7"/>
  <c r="M973" i="7"/>
  <c r="H973" i="7"/>
  <c r="D973" i="7"/>
  <c r="Q972" i="7"/>
  <c r="F972" i="7"/>
  <c r="Q971" i="7"/>
  <c r="L971" i="7"/>
  <c r="H971" i="7"/>
  <c r="D971" i="7"/>
  <c r="Q970" i="7"/>
  <c r="F970" i="7"/>
  <c r="Q969" i="7"/>
  <c r="M969" i="7"/>
  <c r="H969" i="7"/>
  <c r="D969" i="7"/>
  <c r="Q968" i="7"/>
  <c r="M968" i="7"/>
  <c r="H968" i="7"/>
  <c r="D968" i="7"/>
  <c r="Q967" i="7"/>
  <c r="M967" i="7"/>
  <c r="H967" i="7"/>
  <c r="D967" i="7"/>
  <c r="Q966" i="7"/>
  <c r="M966" i="7"/>
  <c r="H966" i="7"/>
  <c r="D966" i="7"/>
  <c r="Q965" i="7"/>
  <c r="M965" i="7"/>
  <c r="H965" i="7"/>
  <c r="D965" i="7"/>
  <c r="Q964" i="7"/>
  <c r="M964" i="7"/>
  <c r="H964" i="7"/>
  <c r="D964" i="7"/>
  <c r="Q963" i="7"/>
  <c r="M963" i="7"/>
  <c r="H963" i="7"/>
  <c r="D963" i="7"/>
  <c r="Q962" i="7"/>
  <c r="M962" i="7"/>
  <c r="H962" i="7"/>
  <c r="D962" i="7"/>
  <c r="Q961" i="7"/>
  <c r="M961" i="7"/>
  <c r="H961" i="7"/>
  <c r="D961" i="7"/>
  <c r="Q960" i="7"/>
  <c r="M960" i="7"/>
  <c r="H960" i="7"/>
  <c r="D960" i="7"/>
  <c r="Q959" i="7"/>
  <c r="M959" i="7"/>
  <c r="H959" i="7"/>
  <c r="D959" i="7"/>
  <c r="Q958" i="7"/>
  <c r="M958" i="7"/>
  <c r="H958" i="7"/>
  <c r="D958" i="7"/>
  <c r="Q957" i="7"/>
  <c r="M957" i="7"/>
  <c r="H957" i="7"/>
  <c r="D957" i="7"/>
  <c r="Q956" i="7"/>
  <c r="M956" i="7"/>
  <c r="H956" i="7"/>
  <c r="D956" i="7"/>
  <c r="Q955" i="7"/>
  <c r="M955" i="7"/>
  <c r="H955" i="7"/>
  <c r="D955" i="7"/>
  <c r="Q954" i="7"/>
  <c r="M954" i="7"/>
  <c r="H954" i="7"/>
  <c r="D954" i="7"/>
  <c r="Q953" i="7"/>
  <c r="L953" i="7"/>
  <c r="G953" i="7"/>
  <c r="C953" i="7"/>
  <c r="K952" i="7"/>
  <c r="F952" i="7"/>
  <c r="B952" i="7"/>
  <c r="K951" i="7"/>
  <c r="F951" i="7"/>
  <c r="B951" i="7"/>
  <c r="K950" i="7"/>
  <c r="F950" i="7"/>
  <c r="B950" i="7"/>
  <c r="K949" i="7"/>
  <c r="F949" i="7"/>
  <c r="B949" i="7"/>
  <c r="K948" i="7"/>
  <c r="F948" i="7"/>
  <c r="B948" i="7"/>
  <c r="K947" i="7"/>
  <c r="F947" i="7"/>
  <c r="B947" i="7"/>
  <c r="J946" i="7"/>
  <c r="E946" i="7"/>
  <c r="A946" i="7"/>
  <c r="N945" i="7"/>
  <c r="H945" i="7"/>
  <c r="D945" i="7"/>
  <c r="Q944" i="7"/>
  <c r="M944" i="7"/>
  <c r="H944" i="7"/>
  <c r="D944" i="7"/>
  <c r="Q943" i="7"/>
  <c r="M943" i="7"/>
  <c r="G943" i="7"/>
  <c r="C943" i="7"/>
  <c r="L942" i="7"/>
  <c r="G942" i="7"/>
  <c r="C942" i="7"/>
  <c r="L941" i="7"/>
  <c r="G941" i="7"/>
  <c r="C941" i="7"/>
  <c r="L940" i="7"/>
  <c r="G940" i="7"/>
  <c r="C940" i="7"/>
  <c r="K939" i="7"/>
  <c r="F939" i="7"/>
  <c r="B939" i="7"/>
  <c r="K938" i="7"/>
  <c r="F938" i="7"/>
  <c r="B938" i="7"/>
  <c r="J937" i="7"/>
  <c r="E937" i="7"/>
  <c r="A937" i="7"/>
  <c r="N936" i="7"/>
  <c r="H936" i="7"/>
  <c r="D936" i="7"/>
  <c r="Q935" i="7"/>
  <c r="M935" i="7"/>
  <c r="H935" i="7"/>
  <c r="D935" i="7"/>
  <c r="Q934" i="7"/>
  <c r="M934" i="7"/>
  <c r="H934" i="7"/>
  <c r="D934" i="7"/>
  <c r="Q933" i="7"/>
  <c r="M933" i="7"/>
  <c r="H933" i="7"/>
  <c r="D933" i="7"/>
  <c r="Q932" i="7"/>
  <c r="M932" i="7"/>
  <c r="H932" i="7"/>
  <c r="D932" i="7"/>
  <c r="Q931" i="7"/>
  <c r="M931" i="7"/>
  <c r="H931" i="7"/>
  <c r="D931" i="7"/>
  <c r="Q930" i="7"/>
  <c r="M930" i="7"/>
  <c r="H930" i="7"/>
  <c r="D930" i="7"/>
  <c r="Q929" i="7"/>
  <c r="M929" i="7"/>
  <c r="H929" i="7"/>
  <c r="D929" i="7"/>
  <c r="Q928" i="7"/>
  <c r="M928" i="7"/>
  <c r="H928" i="7"/>
  <c r="D928" i="7"/>
  <c r="Q927" i="7"/>
  <c r="M927" i="7"/>
  <c r="H927" i="7"/>
  <c r="D927" i="7"/>
  <c r="Q926" i="7"/>
  <c r="M926" i="7"/>
  <c r="H926" i="7"/>
  <c r="D926" i="7"/>
  <c r="Q925" i="7"/>
  <c r="M925" i="7"/>
  <c r="H925" i="7"/>
  <c r="D925" i="7"/>
  <c r="Q924" i="7"/>
  <c r="M924" i="7"/>
  <c r="H924" i="7"/>
  <c r="D924" i="7"/>
  <c r="Q923" i="7"/>
  <c r="M923" i="7"/>
  <c r="H923" i="7"/>
  <c r="D923" i="7"/>
  <c r="Q922" i="7"/>
  <c r="M922" i="7"/>
  <c r="H922" i="7"/>
  <c r="D922" i="7"/>
  <c r="Q921" i="7"/>
  <c r="M921" i="7"/>
  <c r="H921" i="7"/>
  <c r="D921" i="7"/>
  <c r="Q920" i="7"/>
  <c r="M920" i="7"/>
  <c r="H920" i="7"/>
  <c r="D920" i="7"/>
  <c r="Q919" i="7"/>
  <c r="M919" i="7"/>
  <c r="H919" i="7"/>
  <c r="D919" i="7"/>
  <c r="Q918" i="7"/>
  <c r="M918" i="7"/>
  <c r="H918" i="7"/>
  <c r="D918" i="7"/>
  <c r="Q917" i="7"/>
  <c r="M917" i="7"/>
  <c r="H917" i="7"/>
  <c r="D917" i="7"/>
  <c r="Q916" i="7"/>
  <c r="M916" i="7"/>
  <c r="H916" i="7"/>
  <c r="D916" i="7"/>
  <c r="Q915" i="7"/>
  <c r="M915" i="7"/>
  <c r="H915" i="7"/>
  <c r="D915" i="7"/>
  <c r="Q914" i="7"/>
  <c r="M914" i="7"/>
  <c r="H914" i="7"/>
  <c r="D914" i="7"/>
  <c r="Q913" i="7"/>
  <c r="M913" i="7"/>
  <c r="H913" i="7"/>
  <c r="D913" i="7"/>
  <c r="Q912" i="7"/>
  <c r="M912" i="7"/>
  <c r="H912" i="7"/>
  <c r="D912" i="7"/>
  <c r="Q911" i="7"/>
  <c r="M911" i="7"/>
  <c r="H911" i="7"/>
  <c r="D911" i="7"/>
  <c r="Q910" i="7"/>
  <c r="M910" i="7"/>
  <c r="H910" i="7"/>
  <c r="D910" i="7"/>
  <c r="Q909" i="7"/>
  <c r="M909" i="7"/>
  <c r="H909" i="7"/>
  <c r="D909" i="7"/>
  <c r="Q908" i="7"/>
  <c r="M908" i="7"/>
  <c r="H908" i="7"/>
  <c r="D908" i="7"/>
  <c r="Q907" i="7"/>
  <c r="M907" i="7"/>
  <c r="H907" i="7"/>
  <c r="D907" i="7"/>
  <c r="Q906" i="7"/>
  <c r="M906" i="7"/>
  <c r="H906" i="7"/>
  <c r="D906" i="7"/>
  <c r="Q905" i="7"/>
  <c r="M905" i="7"/>
  <c r="H905" i="7"/>
  <c r="D905" i="7"/>
  <c r="Q904" i="7"/>
  <c r="M904" i="7"/>
  <c r="H904" i="7"/>
  <c r="D904" i="7"/>
  <c r="Q903" i="7"/>
  <c r="M903" i="7"/>
  <c r="H903" i="7"/>
  <c r="D903" i="7"/>
  <c r="Q902" i="7"/>
  <c r="D902" i="7"/>
  <c r="Q900" i="7"/>
  <c r="D900" i="7"/>
  <c r="Q898" i="7"/>
  <c r="D898" i="7"/>
  <c r="Q896" i="7"/>
  <c r="D896" i="7"/>
  <c r="Q894" i="7"/>
  <c r="D894" i="7"/>
  <c r="Q892" i="7"/>
  <c r="D892" i="7"/>
  <c r="Q890" i="7"/>
  <c r="D890" i="7"/>
  <c r="Q888" i="7"/>
  <c r="D888" i="7"/>
  <c r="Q886" i="7"/>
  <c r="D886" i="7"/>
  <c r="Q884" i="7"/>
  <c r="D884" i="7"/>
  <c r="Q882" i="7"/>
  <c r="D882" i="7"/>
  <c r="Q880" i="7"/>
  <c r="D880" i="7"/>
  <c r="Q878" i="7"/>
  <c r="D878" i="7"/>
  <c r="Q876" i="7"/>
  <c r="D876" i="7"/>
  <c r="Q874" i="7"/>
  <c r="D874" i="7"/>
  <c r="Q872" i="7"/>
  <c r="D872" i="7"/>
  <c r="Q870" i="7"/>
  <c r="D870" i="7"/>
  <c r="Q868" i="7"/>
  <c r="D868" i="7"/>
  <c r="Q866" i="7"/>
  <c r="D866" i="7"/>
  <c r="Q864" i="7"/>
  <c r="D864" i="7"/>
  <c r="Q862" i="7"/>
  <c r="D862" i="7"/>
  <c r="Q860" i="7"/>
  <c r="D860" i="7"/>
  <c r="Q858" i="7"/>
  <c r="D858" i="7"/>
  <c r="Q856" i="7"/>
  <c r="D856" i="7"/>
  <c r="Q854" i="7"/>
  <c r="D854" i="7"/>
  <c r="Q852" i="7"/>
  <c r="D852" i="7"/>
  <c r="Q850" i="7"/>
  <c r="D850" i="7"/>
  <c r="Q848" i="7"/>
  <c r="D848" i="7"/>
  <c r="Q846" i="7"/>
  <c r="D846" i="7"/>
  <c r="Q844" i="7"/>
  <c r="D844" i="7"/>
  <c r="Q842" i="7"/>
  <c r="D842" i="7"/>
  <c r="Q840" i="7"/>
  <c r="D840" i="7"/>
  <c r="Q838" i="7"/>
  <c r="D838" i="7"/>
  <c r="Q836" i="7"/>
  <c r="D836" i="7"/>
  <c r="Q834" i="7"/>
  <c r="D834" i="7"/>
  <c r="Q832" i="7"/>
  <c r="D832" i="7"/>
  <c r="Q830" i="7"/>
  <c r="D830" i="7"/>
  <c r="Q828" i="7"/>
  <c r="D828" i="7"/>
  <c r="Q826" i="7"/>
  <c r="D826" i="7"/>
  <c r="Q824" i="7"/>
  <c r="D824" i="7"/>
  <c r="Q822" i="7"/>
  <c r="D822" i="7"/>
  <c r="Q820" i="7"/>
  <c r="D820" i="7"/>
  <c r="Q818" i="7"/>
  <c r="D818" i="7"/>
  <c r="Q816" i="7"/>
  <c r="D816" i="7"/>
  <c r="Q814" i="7"/>
  <c r="D814" i="7"/>
  <c r="Q812" i="7"/>
  <c r="D812" i="7"/>
  <c r="Q810" i="7"/>
  <c r="D810" i="7"/>
  <c r="Q808" i="7"/>
  <c r="D808" i="7"/>
  <c r="Q806" i="7"/>
  <c r="D806" i="7"/>
  <c r="Q804" i="7"/>
  <c r="D804" i="7"/>
  <c r="Q802" i="7"/>
  <c r="D802" i="7"/>
  <c r="Q800" i="7"/>
  <c r="D800" i="7"/>
  <c r="Q798" i="7"/>
  <c r="D798" i="7"/>
  <c r="Q796" i="7"/>
  <c r="D796" i="7"/>
  <c r="Q794" i="7"/>
  <c r="D794" i="7"/>
  <c r="Q792" i="7"/>
  <c r="D792" i="7"/>
  <c r="Q790" i="7"/>
  <c r="D790" i="7"/>
  <c r="Q788" i="7"/>
  <c r="D788" i="7"/>
  <c r="Q786" i="7"/>
  <c r="D786" i="7"/>
  <c r="Q784" i="7"/>
  <c r="D784" i="7"/>
  <c r="Q782" i="7"/>
  <c r="D782" i="7"/>
  <c r="Q780" i="7"/>
  <c r="D780" i="7"/>
  <c r="Q778" i="7"/>
  <c r="D778" i="7"/>
  <c r="Q776" i="7"/>
  <c r="D776" i="7"/>
  <c r="Q774" i="7"/>
  <c r="D774" i="7"/>
  <c r="Q772" i="7"/>
  <c r="D772" i="7"/>
  <c r="Q770" i="7"/>
  <c r="D770" i="7"/>
  <c r="Q768" i="7"/>
  <c r="D768" i="7"/>
  <c r="Q766" i="7"/>
  <c r="D766" i="7"/>
  <c r="Q764" i="7"/>
  <c r="D764" i="7"/>
  <c r="Q762" i="7"/>
  <c r="D762" i="7"/>
  <c r="Q760" i="7"/>
  <c r="D760" i="7"/>
  <c r="Q758" i="7"/>
  <c r="D758" i="7"/>
  <c r="Q756" i="7"/>
  <c r="D756" i="7"/>
  <c r="Q754" i="7"/>
  <c r="D754" i="7"/>
  <c r="Q752" i="7"/>
  <c r="D752" i="7"/>
  <c r="Q750" i="7"/>
  <c r="D750" i="7"/>
  <c r="Q748" i="7"/>
  <c r="D748" i="7"/>
  <c r="Q746" i="7"/>
  <c r="D746" i="7"/>
  <c r="Q744" i="7"/>
  <c r="D744" i="7"/>
  <c r="Q742" i="7"/>
  <c r="D742" i="7"/>
  <c r="Q740" i="7"/>
  <c r="D740" i="7"/>
  <c r="Q738" i="7"/>
  <c r="D738" i="7"/>
  <c r="Q736" i="7"/>
  <c r="D736" i="7"/>
  <c r="Q734" i="7"/>
  <c r="D734" i="7"/>
  <c r="Q732" i="7"/>
  <c r="D732" i="7"/>
  <c r="Q730" i="7"/>
  <c r="D730" i="7"/>
  <c r="Q728" i="7"/>
  <c r="D728" i="7"/>
  <c r="Q726" i="7"/>
  <c r="D726" i="7"/>
  <c r="Q724" i="7"/>
  <c r="D724" i="7"/>
  <c r="Q722" i="7"/>
  <c r="D722" i="7"/>
  <c r="Q720" i="7"/>
  <c r="D720" i="7"/>
  <c r="Q718" i="7"/>
  <c r="D718" i="7"/>
  <c r="Q716" i="7"/>
  <c r="D716" i="7"/>
  <c r="Q714" i="7"/>
  <c r="D714" i="7"/>
  <c r="Q712" i="7"/>
  <c r="D712" i="7"/>
  <c r="Q710" i="7"/>
  <c r="D710" i="7"/>
  <c r="Q708" i="7"/>
  <c r="D708" i="7"/>
  <c r="Q706" i="7"/>
  <c r="D706" i="7"/>
  <c r="Q704" i="7"/>
  <c r="D704" i="7"/>
  <c r="Q702" i="7"/>
  <c r="D702" i="7"/>
  <c r="Q700" i="7"/>
  <c r="D700" i="7"/>
  <c r="Q698" i="7"/>
  <c r="D698" i="7"/>
  <c r="Q696" i="7"/>
  <c r="D696" i="7"/>
  <c r="Q694" i="7"/>
  <c r="D694" i="7"/>
  <c r="Q692" i="7"/>
  <c r="D692" i="7"/>
  <c r="Q690" i="7"/>
  <c r="D690" i="7"/>
  <c r="Q688" i="7"/>
  <c r="D688" i="7"/>
  <c r="Q686" i="7"/>
  <c r="D686" i="7"/>
  <c r="Q684" i="7"/>
  <c r="D684" i="7"/>
  <c r="Q682" i="7"/>
  <c r="D682" i="7"/>
  <c r="Q680" i="7"/>
  <c r="D680" i="7"/>
  <c r="Q678" i="7"/>
  <c r="D678" i="7"/>
  <c r="Q676" i="7"/>
  <c r="D676" i="7"/>
  <c r="Q674" i="7"/>
  <c r="D674" i="7"/>
  <c r="Q672" i="7"/>
  <c r="D672" i="7"/>
  <c r="Q670" i="7"/>
  <c r="J670" i="7"/>
  <c r="F670" i="7"/>
  <c r="B670" i="7"/>
  <c r="H669" i="7"/>
  <c r="D669" i="7"/>
  <c r="Q668" i="7"/>
  <c r="J668" i="7"/>
  <c r="F668" i="7"/>
  <c r="B668" i="7"/>
  <c r="H667" i="7"/>
  <c r="D667" i="7"/>
  <c r="Q666" i="7"/>
  <c r="J666" i="7"/>
  <c r="F666" i="7"/>
  <c r="B666" i="7"/>
  <c r="H665" i="7"/>
  <c r="D665" i="7"/>
  <c r="Q664" i="7"/>
  <c r="L664" i="7"/>
  <c r="G664" i="7"/>
  <c r="C664" i="7"/>
  <c r="L663" i="7"/>
  <c r="F663" i="7"/>
  <c r="B663" i="7"/>
  <c r="K662" i="7"/>
  <c r="E662" i="7"/>
  <c r="A662" i="7"/>
  <c r="M661" i="7"/>
  <c r="I661" i="7"/>
  <c r="E661" i="7"/>
  <c r="A661" i="7"/>
  <c r="M660" i="7"/>
  <c r="I660" i="7"/>
  <c r="E660" i="7"/>
  <c r="A660" i="7"/>
  <c r="M659" i="7"/>
  <c r="I659" i="7"/>
  <c r="E659" i="7"/>
  <c r="A659" i="7"/>
  <c r="N658" i="7"/>
  <c r="H658" i="7"/>
  <c r="D658" i="7"/>
  <c r="Q657" i="7"/>
  <c r="M657" i="7"/>
  <c r="G657" i="7"/>
  <c r="C657" i="7"/>
  <c r="L656" i="7"/>
  <c r="F656" i="7"/>
  <c r="B656" i="7"/>
  <c r="D655" i="7"/>
  <c r="J654" i="7"/>
  <c r="F654" i="7"/>
  <c r="B654" i="7"/>
  <c r="J653" i="7"/>
  <c r="F653" i="7"/>
  <c r="B653" i="7"/>
  <c r="D652" i="7"/>
  <c r="K651" i="7"/>
  <c r="G651" i="7"/>
  <c r="C651" i="7"/>
  <c r="L650" i="7"/>
  <c r="F650" i="7"/>
  <c r="B650" i="7"/>
  <c r="H649" i="7"/>
  <c r="D649" i="7"/>
  <c r="Q648" i="7"/>
  <c r="L648" i="7"/>
  <c r="H648" i="7"/>
  <c r="D648" i="7"/>
  <c r="Q647" i="7"/>
  <c r="M647" i="7"/>
  <c r="G647" i="7"/>
  <c r="C647" i="7"/>
  <c r="K646" i="7"/>
  <c r="E646" i="7"/>
  <c r="A646" i="7"/>
  <c r="N645" i="7"/>
  <c r="G645" i="7"/>
  <c r="C645" i="7"/>
  <c r="L644" i="7"/>
  <c r="F644" i="7"/>
  <c r="B644" i="7"/>
  <c r="H643" i="7"/>
  <c r="D643" i="7"/>
  <c r="Q642" i="7"/>
  <c r="M642" i="7"/>
  <c r="F642" i="7"/>
  <c r="B642" i="7"/>
  <c r="K641" i="7"/>
  <c r="E641" i="7"/>
  <c r="A641" i="7"/>
  <c r="N640" i="7"/>
  <c r="G640" i="7"/>
  <c r="C640" i="7"/>
  <c r="L639" i="7"/>
  <c r="F639" i="7"/>
  <c r="B639" i="7"/>
  <c r="K638" i="7"/>
  <c r="E638" i="7"/>
  <c r="A638" i="7"/>
  <c r="N637" i="7"/>
  <c r="H637" i="7"/>
  <c r="D637" i="7"/>
  <c r="Q636" i="7"/>
  <c r="M636" i="7"/>
  <c r="Q2101" i="7"/>
  <c r="K2092" i="7"/>
  <c r="D2089" i="7"/>
  <c r="Q2085" i="7"/>
  <c r="D2079" i="7"/>
  <c r="D2075" i="7"/>
  <c r="D2071" i="7"/>
  <c r="D2067" i="7"/>
  <c r="D2063" i="7"/>
  <c r="D2059" i="7"/>
  <c r="D2055" i="7"/>
  <c r="D2051" i="7"/>
  <c r="D2047" i="7"/>
  <c r="D2043" i="7"/>
  <c r="D2039" i="7"/>
  <c r="D2035" i="7"/>
  <c r="D2031" i="7"/>
  <c r="D2027" i="7"/>
  <c r="D2023" i="7"/>
  <c r="D2019" i="7"/>
  <c r="D2015" i="7"/>
  <c r="D2011" i="7"/>
  <c r="D2007" i="7"/>
  <c r="D2003" i="7"/>
  <c r="D1999" i="7"/>
  <c r="D1995" i="7"/>
  <c r="D1991" i="7"/>
  <c r="D1987" i="7"/>
  <c r="D1983" i="7"/>
  <c r="D1979" i="7"/>
  <c r="D1975" i="7"/>
  <c r="D1971" i="7"/>
  <c r="D1967" i="7"/>
  <c r="D1963" i="7"/>
  <c r="D1959" i="7"/>
  <c r="D1955" i="7"/>
  <c r="Q1952" i="7"/>
  <c r="Q1951" i="7"/>
  <c r="D1951" i="7"/>
  <c r="D1950" i="7"/>
  <c r="H1949" i="7"/>
  <c r="H1948" i="7"/>
  <c r="H1947" i="7"/>
  <c r="H1946" i="7"/>
  <c r="H1945" i="7"/>
  <c r="M1944" i="7"/>
  <c r="L1943" i="7"/>
  <c r="Q1941" i="7"/>
  <c r="Q1940" i="7"/>
  <c r="D1940" i="7"/>
  <c r="H1939" i="7"/>
  <c r="M1938" i="7"/>
  <c r="Q1936" i="7"/>
  <c r="D1936" i="7"/>
  <c r="E1935" i="7"/>
  <c r="G1934" i="7"/>
  <c r="G1933" i="7"/>
  <c r="G1932" i="7"/>
  <c r="G1931" i="7"/>
  <c r="H1930" i="7"/>
  <c r="H1929" i="7"/>
  <c r="I1928" i="7"/>
  <c r="J1927" i="7"/>
  <c r="J1926" i="7"/>
  <c r="K1925" i="7"/>
  <c r="L1924" i="7"/>
  <c r="D1924" i="7"/>
  <c r="L1923" i="7"/>
  <c r="D1923" i="7"/>
  <c r="L1922" i="7"/>
  <c r="D1922" i="7"/>
  <c r="L1921" i="7"/>
  <c r="D1921" i="7"/>
  <c r="L1920" i="7"/>
  <c r="D1920" i="7"/>
  <c r="L1919" i="7"/>
  <c r="D1919" i="7"/>
  <c r="L1918" i="7"/>
  <c r="D1918" i="7"/>
  <c r="L1917" i="7"/>
  <c r="D1917" i="7"/>
  <c r="L1916" i="7"/>
  <c r="D1916" i="7"/>
  <c r="L1915" i="7"/>
  <c r="D1915" i="7"/>
  <c r="M1914" i="7"/>
  <c r="E1914" i="7"/>
  <c r="M1913" i="7"/>
  <c r="E1913" i="7"/>
  <c r="M1912" i="7"/>
  <c r="E1912" i="7"/>
  <c r="M1911" i="7"/>
  <c r="E1911" i="7"/>
  <c r="M1910" i="7"/>
  <c r="E1910" i="7"/>
  <c r="M1909" i="7"/>
  <c r="D1909" i="7"/>
  <c r="L1908" i="7"/>
  <c r="D1908" i="7"/>
  <c r="L1907" i="7"/>
  <c r="D1907" i="7"/>
  <c r="L1906" i="7"/>
  <c r="D1906" i="7"/>
  <c r="L1905" i="7"/>
  <c r="D1905" i="7"/>
  <c r="L1904" i="7"/>
  <c r="D1904" i="7"/>
  <c r="M1903" i="7"/>
  <c r="E1903" i="7"/>
  <c r="N1902" i="7"/>
  <c r="F1902" i="7"/>
  <c r="J1901" i="7"/>
  <c r="A1901" i="7"/>
  <c r="K1900" i="7"/>
  <c r="B1900" i="7"/>
  <c r="N1899" i="7"/>
  <c r="E1899" i="7"/>
  <c r="F1898" i="7"/>
  <c r="J1897" i="7"/>
  <c r="A1897" i="7"/>
  <c r="K1896" i="7"/>
  <c r="B1896" i="7"/>
  <c r="N1895" i="7"/>
  <c r="E1895" i="7"/>
  <c r="F1894" i="7"/>
  <c r="J1893" i="7"/>
  <c r="A1893" i="7"/>
  <c r="K1892" i="7"/>
  <c r="B1892" i="7"/>
  <c r="N1891" i="7"/>
  <c r="E1891" i="7"/>
  <c r="F1890" i="7"/>
  <c r="J1889" i="7"/>
  <c r="A1889" i="7"/>
  <c r="K1888" i="7"/>
  <c r="B1888" i="7"/>
  <c r="N1887" i="7"/>
  <c r="E1887" i="7"/>
  <c r="F1886" i="7"/>
  <c r="J1885" i="7"/>
  <c r="A1885" i="7"/>
  <c r="K1884" i="7"/>
  <c r="B1884" i="7"/>
  <c r="N1883" i="7"/>
  <c r="E1883" i="7"/>
  <c r="F1882" i="7"/>
  <c r="J1881" i="7"/>
  <c r="A1881" i="7"/>
  <c r="K1880" i="7"/>
  <c r="B1880" i="7"/>
  <c r="N1879" i="7"/>
  <c r="E1879" i="7"/>
  <c r="F1878" i="7"/>
  <c r="J1877" i="7"/>
  <c r="A1877" i="7"/>
  <c r="K1876" i="7"/>
  <c r="B1876" i="7"/>
  <c r="N1875" i="7"/>
  <c r="E1875" i="7"/>
  <c r="F1874" i="7"/>
  <c r="J1873" i="7"/>
  <c r="A1873" i="7"/>
  <c r="K1872" i="7"/>
  <c r="B1872" i="7"/>
  <c r="N1871" i="7"/>
  <c r="E1871" i="7"/>
  <c r="F1870" i="7"/>
  <c r="J1869" i="7"/>
  <c r="A1869" i="7"/>
  <c r="K1868" i="7"/>
  <c r="B1868" i="7"/>
  <c r="N1867" i="7"/>
  <c r="E1867" i="7"/>
  <c r="F1866" i="7"/>
  <c r="J1865" i="7"/>
  <c r="A1865" i="7"/>
  <c r="J1864" i="7"/>
  <c r="A1864" i="7"/>
  <c r="M1863" i="7"/>
  <c r="D1863" i="7"/>
  <c r="N1862" i="7"/>
  <c r="E1862" i="7"/>
  <c r="H1861" i="7"/>
  <c r="Q1860" i="7"/>
  <c r="J1860" i="7"/>
  <c r="A1860" i="7"/>
  <c r="M1859" i="7"/>
  <c r="D1859" i="7"/>
  <c r="N1858" i="7"/>
  <c r="E1858" i="7"/>
  <c r="G1857" i="7"/>
  <c r="G1856" i="7"/>
  <c r="G1855" i="7"/>
  <c r="G1854" i="7"/>
  <c r="G1853" i="7"/>
  <c r="G1852" i="7"/>
  <c r="G1851" i="7"/>
  <c r="G1850" i="7"/>
  <c r="G1849" i="7"/>
  <c r="G1848" i="7"/>
  <c r="G1847" i="7"/>
  <c r="G1846" i="7"/>
  <c r="G1845" i="7"/>
  <c r="G1844" i="7"/>
  <c r="G1843" i="7"/>
  <c r="G1842" i="7"/>
  <c r="G1841" i="7"/>
  <c r="G1840" i="7"/>
  <c r="G1839" i="7"/>
  <c r="G1838" i="7"/>
  <c r="G1837" i="7"/>
  <c r="G1836" i="7"/>
  <c r="G1835" i="7"/>
  <c r="F1834" i="7"/>
  <c r="F1833" i="7"/>
  <c r="F1832" i="7"/>
  <c r="F1831" i="7"/>
  <c r="F1830" i="7"/>
  <c r="F1829" i="7"/>
  <c r="F1828" i="7"/>
  <c r="F1827" i="7"/>
  <c r="F1826" i="7"/>
  <c r="F1825" i="7"/>
  <c r="F1824" i="7"/>
  <c r="F1823" i="7"/>
  <c r="F1822" i="7"/>
  <c r="F1821" i="7"/>
  <c r="F1820" i="7"/>
  <c r="D1819" i="7"/>
  <c r="N1818" i="7"/>
  <c r="E1818" i="7"/>
  <c r="F1817" i="7"/>
  <c r="F1816" i="7"/>
  <c r="F1815" i="7"/>
  <c r="F1814" i="7"/>
  <c r="F1813" i="7"/>
  <c r="F1812" i="7"/>
  <c r="F1811" i="7"/>
  <c r="F1810" i="7"/>
  <c r="F1809" i="7"/>
  <c r="E1808" i="7"/>
  <c r="H1806" i="7"/>
  <c r="Q1805" i="7"/>
  <c r="J1805" i="7"/>
  <c r="A1805" i="7"/>
  <c r="M1804" i="7"/>
  <c r="D1804" i="7"/>
  <c r="N1803" i="7"/>
  <c r="E1803" i="7"/>
  <c r="M1764" i="7"/>
  <c r="E1764" i="7"/>
  <c r="M1763" i="7"/>
  <c r="E1763" i="7"/>
  <c r="G1762" i="7"/>
  <c r="F1761" i="7"/>
  <c r="F1760" i="7"/>
  <c r="E1759" i="7"/>
  <c r="M1758" i="7"/>
  <c r="E1758" i="7"/>
  <c r="M1757" i="7"/>
  <c r="E1757" i="7"/>
  <c r="M1756" i="7"/>
  <c r="E1756" i="7"/>
  <c r="M1755" i="7"/>
  <c r="E1755" i="7"/>
  <c r="L1754" i="7"/>
  <c r="D1754" i="7"/>
  <c r="L1753" i="7"/>
  <c r="D1753" i="7"/>
  <c r="L1752" i="7"/>
  <c r="D1752" i="7"/>
  <c r="K1751" i="7"/>
  <c r="C1751" i="7"/>
  <c r="K1750" i="7"/>
  <c r="C1750" i="7"/>
  <c r="K1749" i="7"/>
  <c r="C1749" i="7"/>
  <c r="K1748" i="7"/>
  <c r="C1748" i="7"/>
  <c r="K1747" i="7"/>
  <c r="C1747" i="7"/>
  <c r="K1746" i="7"/>
  <c r="C1746" i="7"/>
  <c r="K1745" i="7"/>
  <c r="C1745" i="7"/>
  <c r="K1744" i="7"/>
  <c r="C1744" i="7"/>
  <c r="K1743" i="7"/>
  <c r="C1743" i="7"/>
  <c r="K1742" i="7"/>
  <c r="C1742" i="7"/>
  <c r="E1741" i="7"/>
  <c r="K1740" i="7"/>
  <c r="C1740" i="7"/>
  <c r="K1739" i="7"/>
  <c r="C1739" i="7"/>
  <c r="K1738" i="7"/>
  <c r="C1738" i="7"/>
  <c r="K1737" i="7"/>
  <c r="C1737" i="7"/>
  <c r="L1736" i="7"/>
  <c r="C1736" i="7"/>
  <c r="L1735" i="7"/>
  <c r="C1735" i="7"/>
  <c r="L1734" i="7"/>
  <c r="C1734" i="7"/>
  <c r="L1733" i="7"/>
  <c r="C1733" i="7"/>
  <c r="L1732" i="7"/>
  <c r="C1732" i="7"/>
  <c r="L1731" i="7"/>
  <c r="C1731" i="7"/>
  <c r="K1730" i="7"/>
  <c r="C1730" i="7"/>
  <c r="L1729" i="7"/>
  <c r="C1729" i="7"/>
  <c r="L1728" i="7"/>
  <c r="C1728" i="7"/>
  <c r="L1727" i="7"/>
  <c r="C1727" i="7"/>
  <c r="L1726" i="7"/>
  <c r="C1726" i="7"/>
  <c r="K1725" i="7"/>
  <c r="C1725" i="7"/>
  <c r="L1724" i="7"/>
  <c r="C1724" i="7"/>
  <c r="L1723" i="7"/>
  <c r="C1723" i="7"/>
  <c r="L1722" i="7"/>
  <c r="C1722" i="7"/>
  <c r="L1721" i="7"/>
  <c r="C1721" i="7"/>
  <c r="L1720" i="7"/>
  <c r="C1720" i="7"/>
  <c r="K1719" i="7"/>
  <c r="C1719" i="7"/>
  <c r="L1718" i="7"/>
  <c r="C1718" i="7"/>
  <c r="L1717" i="7"/>
  <c r="C1717" i="7"/>
  <c r="K1716" i="7"/>
  <c r="C1716" i="7"/>
  <c r="L1715" i="7"/>
  <c r="C1715" i="7"/>
  <c r="K1714" i="7"/>
  <c r="C1714" i="7"/>
  <c r="L1713" i="7"/>
  <c r="A1713" i="7"/>
  <c r="K1712" i="7"/>
  <c r="B1712" i="7"/>
  <c r="N1711" i="7"/>
  <c r="E1711" i="7"/>
  <c r="F1710" i="7"/>
  <c r="J1709" i="7"/>
  <c r="A1709" i="7"/>
  <c r="K1708" i="7"/>
  <c r="B1708" i="7"/>
  <c r="J1707" i="7"/>
  <c r="B1707" i="7"/>
  <c r="J1706" i="7"/>
  <c r="B1706" i="7"/>
  <c r="N1705" i="7"/>
  <c r="E1705" i="7"/>
  <c r="F1704" i="7"/>
  <c r="J1703" i="7"/>
  <c r="A1703" i="7"/>
  <c r="K1702" i="7"/>
  <c r="B1702" i="7"/>
  <c r="J1701" i="7"/>
  <c r="B1701" i="7"/>
  <c r="J1700" i="7"/>
  <c r="B1700" i="7"/>
  <c r="N1699" i="7"/>
  <c r="C1699" i="7"/>
  <c r="L1698" i="7"/>
  <c r="A1698" i="7"/>
  <c r="K1697" i="7"/>
  <c r="Q1696" i="7"/>
  <c r="F1696" i="7"/>
  <c r="G1695" i="7"/>
  <c r="H1694" i="7"/>
  <c r="Q1693" i="7"/>
  <c r="J1693" i="7"/>
  <c r="A1693" i="7"/>
  <c r="M1692" i="7"/>
  <c r="D1692" i="7"/>
  <c r="N1691" i="7"/>
  <c r="E1691" i="7"/>
  <c r="N1690" i="7"/>
  <c r="F1690" i="7"/>
  <c r="F1689" i="7"/>
  <c r="J1688" i="7"/>
  <c r="A1688" i="7"/>
  <c r="K1687" i="7"/>
  <c r="B1687" i="7"/>
  <c r="J1686" i="7"/>
  <c r="B1686" i="7"/>
  <c r="J1685" i="7"/>
  <c r="B1685" i="7"/>
  <c r="N1684" i="7"/>
  <c r="E1684" i="7"/>
  <c r="F1683" i="7"/>
  <c r="F1682" i="7"/>
  <c r="J1681" i="7"/>
  <c r="A1681" i="7"/>
  <c r="K1680" i="7"/>
  <c r="B1680" i="7"/>
  <c r="N1679" i="7"/>
  <c r="E1679" i="7"/>
  <c r="F1678" i="7"/>
  <c r="J1677" i="7"/>
  <c r="A1677" i="7"/>
  <c r="K1676" i="7"/>
  <c r="B1676" i="7"/>
  <c r="N1675" i="7"/>
  <c r="E1675" i="7"/>
  <c r="M1674" i="7"/>
  <c r="E1674" i="7"/>
  <c r="F1672" i="7"/>
  <c r="J1671" i="7"/>
  <c r="A1671" i="7"/>
  <c r="I1670" i="7"/>
  <c r="A1670" i="7"/>
  <c r="I1669" i="7"/>
  <c r="A1669" i="7"/>
  <c r="I1668" i="7"/>
  <c r="A1668" i="7"/>
  <c r="J1667" i="7"/>
  <c r="A1667" i="7"/>
  <c r="I1666" i="7"/>
  <c r="A1666" i="7"/>
  <c r="I1665" i="7"/>
  <c r="A1665" i="7"/>
  <c r="J1664" i="7"/>
  <c r="B1664" i="7"/>
  <c r="N1663" i="7"/>
  <c r="E1663" i="7"/>
  <c r="F1662" i="7"/>
  <c r="F1661" i="7"/>
  <c r="F1660" i="7"/>
  <c r="F1659" i="7"/>
  <c r="F1658" i="7"/>
  <c r="F1657" i="7"/>
  <c r="F1656" i="7"/>
  <c r="F1655" i="7"/>
  <c r="F1654" i="7"/>
  <c r="F1653" i="7"/>
  <c r="F1652" i="7"/>
  <c r="F1651" i="7"/>
  <c r="F1650" i="7"/>
  <c r="F1649" i="7"/>
  <c r="J1648" i="7"/>
  <c r="A1648" i="7"/>
  <c r="I1647" i="7"/>
  <c r="A1647" i="7"/>
  <c r="K1646" i="7"/>
  <c r="B1646" i="7"/>
  <c r="J1645" i="7"/>
  <c r="B1645" i="7"/>
  <c r="K1644" i="7"/>
  <c r="M1643" i="7"/>
  <c r="E1643" i="7"/>
  <c r="M1642" i="7"/>
  <c r="E1642" i="7"/>
  <c r="M1641" i="7"/>
  <c r="E1641" i="7"/>
  <c r="M1640" i="7"/>
  <c r="E1640" i="7"/>
  <c r="M1639" i="7"/>
  <c r="E1639" i="7"/>
  <c r="M1638" i="7"/>
  <c r="E1638" i="7"/>
  <c r="F1637" i="7"/>
  <c r="E1636" i="7"/>
  <c r="M1635" i="7"/>
  <c r="E1635" i="7"/>
  <c r="M1634" i="7"/>
  <c r="E1634" i="7"/>
  <c r="M1633" i="7"/>
  <c r="E1633" i="7"/>
  <c r="M1632" i="7"/>
  <c r="E1632" i="7"/>
  <c r="M1631" i="7"/>
  <c r="E1631" i="7"/>
  <c r="M1630" i="7"/>
  <c r="E1630" i="7"/>
  <c r="Q1628" i="7"/>
  <c r="H1628" i="7"/>
  <c r="Q1627" i="7"/>
  <c r="A1627" i="7"/>
  <c r="M1626" i="7"/>
  <c r="D1626" i="7"/>
  <c r="N1625" i="7"/>
  <c r="E1625" i="7"/>
  <c r="Q1623" i="7"/>
  <c r="H1623" i="7"/>
  <c r="Q1622" i="7"/>
  <c r="J1622" i="7"/>
  <c r="A1622" i="7"/>
  <c r="M1621" i="7"/>
  <c r="D1621" i="7"/>
  <c r="N1620" i="7"/>
  <c r="E1620" i="7"/>
  <c r="M1619" i="7"/>
  <c r="E1619" i="7"/>
  <c r="Q1617" i="7"/>
  <c r="J1617" i="7"/>
  <c r="A1617" i="7"/>
  <c r="L1616" i="7"/>
  <c r="C1616" i="7"/>
  <c r="L1615" i="7"/>
  <c r="C1615" i="7"/>
  <c r="L1614" i="7"/>
  <c r="C1614" i="7"/>
  <c r="K1613" i="7"/>
  <c r="B1613" i="7"/>
  <c r="K1612" i="7"/>
  <c r="B1612" i="7"/>
  <c r="J1611" i="7"/>
  <c r="B1611" i="7"/>
  <c r="K1610" i="7"/>
  <c r="B1610" i="7"/>
  <c r="K1609" i="7"/>
  <c r="B1609" i="7"/>
  <c r="K1608" i="7"/>
  <c r="B1608" i="7"/>
  <c r="K1607" i="7"/>
  <c r="B1607" i="7"/>
  <c r="K1606" i="7"/>
  <c r="B1606" i="7"/>
  <c r="K1605" i="7"/>
  <c r="B1605" i="7"/>
  <c r="K1604" i="7"/>
  <c r="B1604" i="7"/>
  <c r="K1603" i="7"/>
  <c r="B1603" i="7"/>
  <c r="K1602" i="7"/>
  <c r="B1602" i="7"/>
  <c r="K1601" i="7"/>
  <c r="B1601" i="7"/>
  <c r="K1600" i="7"/>
  <c r="B1600" i="7"/>
  <c r="K1599" i="7"/>
  <c r="B1599" i="7"/>
  <c r="J1598" i="7"/>
  <c r="B1598" i="7"/>
  <c r="K1597" i="7"/>
  <c r="B1597" i="7"/>
  <c r="K1596" i="7"/>
  <c r="B1596" i="7"/>
  <c r="K1595" i="7"/>
  <c r="B1595" i="7"/>
  <c r="K1594" i="7"/>
  <c r="B1594" i="7"/>
  <c r="K1593" i="7"/>
  <c r="B1593" i="7"/>
  <c r="K1592" i="7"/>
  <c r="B1592" i="7"/>
  <c r="K1591" i="7"/>
  <c r="B1591" i="7"/>
  <c r="K1590" i="7"/>
  <c r="B1590" i="7"/>
  <c r="K1589" i="7"/>
  <c r="B1589" i="7"/>
  <c r="K1588" i="7"/>
  <c r="B1588" i="7"/>
  <c r="K1587" i="7"/>
  <c r="B1587" i="7"/>
  <c r="K1586" i="7"/>
  <c r="B1586" i="7"/>
  <c r="K1585" i="7"/>
  <c r="B1585" i="7"/>
  <c r="K1584" i="7"/>
  <c r="B1584" i="7"/>
  <c r="K1583" i="7"/>
  <c r="B1583" i="7"/>
  <c r="K1582" i="7"/>
  <c r="B1582" i="7"/>
  <c r="K1581" i="7"/>
  <c r="B1581" i="7"/>
  <c r="K1580" i="7"/>
  <c r="B1580" i="7"/>
  <c r="K1579" i="7"/>
  <c r="B1579" i="7"/>
  <c r="J1578" i="7"/>
  <c r="A1578" i="7"/>
  <c r="K1577" i="7"/>
  <c r="B1577" i="7"/>
  <c r="N1576" i="7"/>
  <c r="E1576" i="7"/>
  <c r="F1575" i="7"/>
  <c r="J1574" i="7"/>
  <c r="A1574" i="7"/>
  <c r="K1573" i="7"/>
  <c r="B1573" i="7"/>
  <c r="N1572" i="7"/>
  <c r="E1572" i="7"/>
  <c r="F1571" i="7"/>
  <c r="J1570" i="7"/>
  <c r="A1570" i="7"/>
  <c r="J1569" i="7"/>
  <c r="B1569" i="7"/>
  <c r="K1568" i="7"/>
  <c r="B1568" i="7"/>
  <c r="K1567" i="7"/>
  <c r="B1567" i="7"/>
  <c r="J1566" i="7"/>
  <c r="A1566" i="7"/>
  <c r="K1565" i="7"/>
  <c r="B1565" i="7"/>
  <c r="N1564" i="7"/>
  <c r="E1564" i="7"/>
  <c r="F1563" i="7"/>
  <c r="J1562" i="7"/>
  <c r="A1562" i="7"/>
  <c r="K1561" i="7"/>
  <c r="B1561" i="7"/>
  <c r="N1560" i="7"/>
  <c r="E1560" i="7"/>
  <c r="F1559" i="7"/>
  <c r="J1558" i="7"/>
  <c r="A1558" i="7"/>
  <c r="K1557" i="7"/>
  <c r="B1557" i="7"/>
  <c r="N1556" i="7"/>
  <c r="E1556" i="7"/>
  <c r="F1555" i="7"/>
  <c r="J1554" i="7"/>
  <c r="A1554" i="7"/>
  <c r="K1553" i="7"/>
  <c r="B1553" i="7"/>
  <c r="N1552" i="7"/>
  <c r="E1552" i="7"/>
  <c r="F1551" i="7"/>
  <c r="J1550" i="7"/>
  <c r="A1550" i="7"/>
  <c r="H1549" i="7"/>
  <c r="Q1548" i="7"/>
  <c r="H1548" i="7"/>
  <c r="Q1547" i="7"/>
  <c r="H1547" i="7"/>
  <c r="Q1546" i="7"/>
  <c r="H1546" i="7"/>
  <c r="Q1545" i="7"/>
  <c r="H1545" i="7"/>
  <c r="Q1544" i="7"/>
  <c r="F1544" i="7"/>
  <c r="G1543" i="7"/>
  <c r="H1542" i="7"/>
  <c r="Q1541" i="7"/>
  <c r="J1541" i="7"/>
  <c r="A1541" i="7"/>
  <c r="M1540" i="7"/>
  <c r="D1540" i="7"/>
  <c r="N1539" i="7"/>
  <c r="E1539" i="7"/>
  <c r="H1538" i="7"/>
  <c r="Q1537" i="7"/>
  <c r="J1537" i="7"/>
  <c r="A1537" i="7"/>
  <c r="M1536" i="7"/>
  <c r="D1536" i="7"/>
  <c r="N1535" i="7"/>
  <c r="E1535" i="7"/>
  <c r="H1534" i="7"/>
  <c r="Q1533" i="7"/>
  <c r="J1533" i="7"/>
  <c r="A1533" i="7"/>
  <c r="K1532" i="7"/>
  <c r="B1532" i="7"/>
  <c r="K1531" i="7"/>
  <c r="B1531" i="7"/>
  <c r="J1530" i="7"/>
  <c r="A1530" i="7"/>
  <c r="K1529" i="7"/>
  <c r="B1529" i="7"/>
  <c r="N1528" i="7"/>
  <c r="E1528" i="7"/>
  <c r="F1527" i="7"/>
  <c r="J1526" i="7"/>
  <c r="A1526" i="7"/>
  <c r="K1525" i="7"/>
  <c r="B1525" i="7"/>
  <c r="N1524" i="7"/>
  <c r="E1524" i="7"/>
  <c r="F1523" i="7"/>
  <c r="J1522" i="7"/>
  <c r="A1522" i="7"/>
  <c r="K1521" i="7"/>
  <c r="B1521" i="7"/>
  <c r="N1520" i="7"/>
  <c r="D1520" i="7"/>
  <c r="N1519" i="7"/>
  <c r="E1519" i="7"/>
  <c r="H1518" i="7"/>
  <c r="Q1517" i="7"/>
  <c r="J1517" i="7"/>
  <c r="A1517" i="7"/>
  <c r="M1516" i="7"/>
  <c r="D1516" i="7"/>
  <c r="N1515" i="7"/>
  <c r="E1515" i="7"/>
  <c r="H1514" i="7"/>
  <c r="Q1513" i="7"/>
  <c r="J1513" i="7"/>
  <c r="A1513" i="7"/>
  <c r="M1512" i="7"/>
  <c r="D1512" i="7"/>
  <c r="N1511" i="7"/>
  <c r="C1511" i="7"/>
  <c r="J1510" i="7"/>
  <c r="A1510" i="7"/>
  <c r="M1509" i="7"/>
  <c r="D1509" i="7"/>
  <c r="N1508" i="7"/>
  <c r="E1508" i="7"/>
  <c r="H1507" i="7"/>
  <c r="Q1506" i="7"/>
  <c r="J1506" i="7"/>
  <c r="A1506" i="7"/>
  <c r="M1505" i="7"/>
  <c r="D1505" i="7"/>
  <c r="N1504" i="7"/>
  <c r="E1504" i="7"/>
  <c r="H1503" i="7"/>
  <c r="Q1502" i="7"/>
  <c r="D1502" i="7"/>
  <c r="Q1500" i="7"/>
  <c r="D1500" i="7"/>
  <c r="Q1498" i="7"/>
  <c r="D1498" i="7"/>
  <c r="Q1496" i="7"/>
  <c r="D1496" i="7"/>
  <c r="Q1494" i="7"/>
  <c r="D1494" i="7"/>
  <c r="Q1492" i="7"/>
  <c r="D1492" i="7"/>
  <c r="Q1490" i="7"/>
  <c r="D1490" i="7"/>
  <c r="Q1488" i="7"/>
  <c r="D1488" i="7"/>
  <c r="Q1486" i="7"/>
  <c r="D1486" i="7"/>
  <c r="Q1484" i="7"/>
  <c r="D1484" i="7"/>
  <c r="Q1482" i="7"/>
  <c r="D1482" i="7"/>
  <c r="Q1480" i="7"/>
  <c r="D1480" i="7"/>
  <c r="Q1478" i="7"/>
  <c r="D1478" i="7"/>
  <c r="Q1476" i="7"/>
  <c r="D1476" i="7"/>
  <c r="Q1474" i="7"/>
  <c r="D1474" i="7"/>
  <c r="Q1472" i="7"/>
  <c r="D1472" i="7"/>
  <c r="Q1470" i="7"/>
  <c r="D1470" i="7"/>
  <c r="Q1468" i="7"/>
  <c r="D1468" i="7"/>
  <c r="Q1466" i="7"/>
  <c r="D1466" i="7"/>
  <c r="Q1464" i="7"/>
  <c r="D1464" i="7"/>
  <c r="Q1462" i="7"/>
  <c r="D1462" i="7"/>
  <c r="Q1460" i="7"/>
  <c r="D1460" i="7"/>
  <c r="Q1458" i="7"/>
  <c r="D1458" i="7"/>
  <c r="Q1456" i="7"/>
  <c r="D1456" i="7"/>
  <c r="Q1454" i="7"/>
  <c r="D1454" i="7"/>
  <c r="Q1452" i="7"/>
  <c r="D1452" i="7"/>
  <c r="Q1450" i="7"/>
  <c r="D1450" i="7"/>
  <c r="Q1448" i="7"/>
  <c r="D1448" i="7"/>
  <c r="Q1446" i="7"/>
  <c r="D1446" i="7"/>
  <c r="Q1444" i="7"/>
  <c r="D1444" i="7"/>
  <c r="Q1442" i="7"/>
  <c r="D1442" i="7"/>
  <c r="Q1440" i="7"/>
  <c r="D1440" i="7"/>
  <c r="Q1438" i="7"/>
  <c r="D1438" i="7"/>
  <c r="Q1436" i="7"/>
  <c r="D1436" i="7"/>
  <c r="Q1434" i="7"/>
  <c r="D1434" i="7"/>
  <c r="A1433" i="7"/>
  <c r="K1432" i="7"/>
  <c r="Q1429" i="7"/>
  <c r="A1429" i="7"/>
  <c r="K1428" i="7"/>
  <c r="Q1425" i="7"/>
  <c r="A1425" i="7"/>
  <c r="K1424" i="7"/>
  <c r="Q1421" i="7"/>
  <c r="A1421" i="7"/>
  <c r="K1420" i="7"/>
  <c r="Q1417" i="7"/>
  <c r="A1417" i="7"/>
  <c r="K1416" i="7"/>
  <c r="Q1413" i="7"/>
  <c r="A1413" i="7"/>
  <c r="K1412" i="7"/>
  <c r="Q1409" i="7"/>
  <c r="A1409" i="7"/>
  <c r="K1408" i="7"/>
  <c r="Q1405" i="7"/>
  <c r="A1405" i="7"/>
  <c r="K1404" i="7"/>
  <c r="Q1401" i="7"/>
  <c r="A1401" i="7"/>
  <c r="K1400" i="7"/>
  <c r="Q1397" i="7"/>
  <c r="A1397" i="7"/>
  <c r="K1396" i="7"/>
  <c r="Q1393" i="7"/>
  <c r="A1393" i="7"/>
  <c r="K1392" i="7"/>
  <c r="Q1389" i="7"/>
  <c r="A1389" i="7"/>
  <c r="K1388" i="7"/>
  <c r="Q1385" i="7"/>
  <c r="A1385" i="7"/>
  <c r="K1384" i="7"/>
  <c r="Q1381" i="7"/>
  <c r="A1381" i="7"/>
  <c r="K1380" i="7"/>
  <c r="Q1377" i="7"/>
  <c r="A1377" i="7"/>
  <c r="K1376" i="7"/>
  <c r="Q1373" i="7"/>
  <c r="A1373" i="7"/>
  <c r="K1372" i="7"/>
  <c r="Q1369" i="7"/>
  <c r="A1369" i="7"/>
  <c r="K1368" i="7"/>
  <c r="Q1365" i="7"/>
  <c r="A1365" i="7"/>
  <c r="K1364" i="7"/>
  <c r="Q1361" i="7"/>
  <c r="K1361" i="7"/>
  <c r="F1361" i="7"/>
  <c r="Q1360" i="7"/>
  <c r="K1360" i="7"/>
  <c r="F1360" i="7"/>
  <c r="Q1359" i="7"/>
  <c r="K1359" i="7"/>
  <c r="F1359" i="7"/>
  <c r="Q1358" i="7"/>
  <c r="L1358" i="7"/>
  <c r="G1358" i="7"/>
  <c r="A1358" i="7"/>
  <c r="L1357" i="7"/>
  <c r="G1357" i="7"/>
  <c r="A1357" i="7"/>
  <c r="L1356" i="7"/>
  <c r="G1356" i="7"/>
  <c r="A1356" i="7"/>
  <c r="M1355" i="7"/>
  <c r="G1355" i="7"/>
  <c r="A1355" i="7"/>
  <c r="M1354" i="7"/>
  <c r="G1354" i="7"/>
  <c r="A1354" i="7"/>
  <c r="M1353" i="7"/>
  <c r="G1353" i="7"/>
  <c r="A1353" i="7"/>
  <c r="L1352" i="7"/>
  <c r="G1352" i="7"/>
  <c r="A1352" i="7"/>
  <c r="M1351" i="7"/>
  <c r="G1351" i="7"/>
  <c r="A1351" i="7"/>
  <c r="L1350" i="7"/>
  <c r="G1350" i="7"/>
  <c r="A1350" i="7"/>
  <c r="M1349" i="7"/>
  <c r="G1349" i="7"/>
  <c r="A1349" i="7"/>
  <c r="M1348" i="7"/>
  <c r="G1348" i="7"/>
  <c r="A1348" i="7"/>
  <c r="M1347" i="7"/>
  <c r="G1347" i="7"/>
  <c r="A1347" i="7"/>
  <c r="M1346" i="7"/>
  <c r="G1346" i="7"/>
  <c r="A1346" i="7"/>
  <c r="M1345" i="7"/>
  <c r="G1345" i="7"/>
  <c r="A1345" i="7"/>
  <c r="M1344" i="7"/>
  <c r="G1344" i="7"/>
  <c r="A1344" i="7"/>
  <c r="L1343" i="7"/>
  <c r="G1343" i="7"/>
  <c r="A1343" i="7"/>
  <c r="M1342" i="7"/>
  <c r="G1342" i="7"/>
  <c r="B1342" i="7"/>
  <c r="K1341" i="7"/>
  <c r="F1341" i="7"/>
  <c r="B1341" i="7"/>
  <c r="K1340" i="7"/>
  <c r="F1340" i="7"/>
  <c r="B1340" i="7"/>
  <c r="K1339" i="7"/>
  <c r="F1339" i="7"/>
  <c r="B1339" i="7"/>
  <c r="K1338" i="7"/>
  <c r="F1338" i="7"/>
  <c r="B1338" i="7"/>
  <c r="K1337" i="7"/>
  <c r="F1337" i="7"/>
  <c r="B1337" i="7"/>
  <c r="K1336" i="7"/>
  <c r="G1336" i="7"/>
  <c r="C1336" i="7"/>
  <c r="K1335" i="7"/>
  <c r="G1335" i="7"/>
  <c r="C1335" i="7"/>
  <c r="K1334" i="7"/>
  <c r="G1334" i="7"/>
  <c r="C1334" i="7"/>
  <c r="L1333" i="7"/>
  <c r="G1333" i="7"/>
  <c r="C1333" i="7"/>
  <c r="E1332" i="7"/>
  <c r="L1331" i="7"/>
  <c r="H1331" i="7"/>
  <c r="D1331" i="7"/>
  <c r="Q1330" i="7"/>
  <c r="M1330" i="7"/>
  <c r="I1330" i="7"/>
  <c r="E1330" i="7"/>
  <c r="A1330" i="7"/>
  <c r="K1329" i="7"/>
  <c r="B1329" i="7"/>
  <c r="K1328" i="7"/>
  <c r="G1328" i="7"/>
  <c r="C1328" i="7"/>
  <c r="L1327" i="7"/>
  <c r="G1327" i="7"/>
  <c r="C1327" i="7"/>
  <c r="L1326" i="7"/>
  <c r="G1326" i="7"/>
  <c r="C1326" i="7"/>
  <c r="L1325" i="7"/>
  <c r="G1325" i="7"/>
  <c r="C1325" i="7"/>
  <c r="K1324" i="7"/>
  <c r="G1324" i="7"/>
  <c r="C1324" i="7"/>
  <c r="K1323" i="7"/>
  <c r="G1323" i="7"/>
  <c r="C1323" i="7"/>
  <c r="K1322" i="7"/>
  <c r="G1322" i="7"/>
  <c r="C1322" i="7"/>
  <c r="K1321" i="7"/>
  <c r="G1321" i="7"/>
  <c r="C1321" i="7"/>
  <c r="L1320" i="7"/>
  <c r="G1320" i="7"/>
  <c r="C1320" i="7"/>
  <c r="L1319" i="7"/>
  <c r="H1319" i="7"/>
  <c r="D1319" i="7"/>
  <c r="Q1318" i="7"/>
  <c r="M1318" i="7"/>
  <c r="H1318" i="7"/>
  <c r="D1318" i="7"/>
  <c r="Q1317" i="7"/>
  <c r="L1317" i="7"/>
  <c r="H1317" i="7"/>
  <c r="D1317" i="7"/>
  <c r="Q1316" i="7"/>
  <c r="M1316" i="7"/>
  <c r="H1316" i="7"/>
  <c r="D1316" i="7"/>
  <c r="Q1315" i="7"/>
  <c r="M1315" i="7"/>
  <c r="H1315" i="7"/>
  <c r="D1315" i="7"/>
  <c r="Q1314" i="7"/>
  <c r="M1314" i="7"/>
  <c r="H1314" i="7"/>
  <c r="D1314" i="7"/>
  <c r="Q1313" i="7"/>
  <c r="M1313" i="7"/>
  <c r="H1313" i="7"/>
  <c r="D1313" i="7"/>
  <c r="Q1312" i="7"/>
  <c r="M1312" i="7"/>
  <c r="H1312" i="7"/>
  <c r="D1312" i="7"/>
  <c r="Q1311" i="7"/>
  <c r="M1311" i="7"/>
  <c r="H1311" i="7"/>
  <c r="D1311" i="7"/>
  <c r="Q1310" i="7"/>
  <c r="M1310" i="7"/>
  <c r="H1310" i="7"/>
  <c r="D1310" i="7"/>
  <c r="Q1309" i="7"/>
  <c r="M1309" i="7"/>
  <c r="H1309" i="7"/>
  <c r="D1309" i="7"/>
  <c r="Q1308" i="7"/>
  <c r="M1308" i="7"/>
  <c r="H1308" i="7"/>
  <c r="D1308" i="7"/>
  <c r="Q1307" i="7"/>
  <c r="M1307" i="7"/>
  <c r="H1307" i="7"/>
  <c r="D1307" i="7"/>
  <c r="Q1306" i="7"/>
  <c r="M1306" i="7"/>
  <c r="H1306" i="7"/>
  <c r="D1306" i="7"/>
  <c r="Q1305" i="7"/>
  <c r="M1305" i="7"/>
  <c r="H1305" i="7"/>
  <c r="D1305" i="7"/>
  <c r="Q1304" i="7"/>
  <c r="M1304" i="7"/>
  <c r="H1304" i="7"/>
  <c r="D1304" i="7"/>
  <c r="Q1303" i="7"/>
  <c r="M1303" i="7"/>
  <c r="H1303" i="7"/>
  <c r="D1303" i="7"/>
  <c r="Q1302" i="7"/>
  <c r="M1302" i="7"/>
  <c r="H1302" i="7"/>
  <c r="D1302" i="7"/>
  <c r="Q1301" i="7"/>
  <c r="M1301" i="7"/>
  <c r="G1301" i="7"/>
  <c r="C1301" i="7"/>
  <c r="L1300" i="7"/>
  <c r="G1300" i="7"/>
  <c r="C1300" i="7"/>
  <c r="L1299" i="7"/>
  <c r="G1299" i="7"/>
  <c r="C1299" i="7"/>
  <c r="J1298" i="7"/>
  <c r="E1298" i="7"/>
  <c r="A1298" i="7"/>
  <c r="N1297" i="7"/>
  <c r="J1297" i="7"/>
  <c r="E1297" i="7"/>
  <c r="A1297" i="7"/>
  <c r="N1296" i="7"/>
  <c r="J1296" i="7"/>
  <c r="E1296" i="7"/>
  <c r="A1296" i="7"/>
  <c r="N1295" i="7"/>
  <c r="J1295" i="7"/>
  <c r="E1295" i="7"/>
  <c r="A1295" i="7"/>
  <c r="N1294" i="7"/>
  <c r="J1294" i="7"/>
  <c r="E1294" i="7"/>
  <c r="A1294" i="7"/>
  <c r="N1293" i="7"/>
  <c r="J1293" i="7"/>
  <c r="E1293" i="7"/>
  <c r="A1293" i="7"/>
  <c r="N1292" i="7"/>
  <c r="J1292" i="7"/>
  <c r="E1292" i="7"/>
  <c r="A1292" i="7"/>
  <c r="N1291" i="7"/>
  <c r="J1291" i="7"/>
  <c r="E1291" i="7"/>
  <c r="A1291" i="7"/>
  <c r="N1290" i="7"/>
  <c r="J1290" i="7"/>
  <c r="E1290" i="7"/>
  <c r="A1290" i="7"/>
  <c r="N1289" i="7"/>
  <c r="J1289" i="7"/>
  <c r="E1289" i="7"/>
  <c r="A1289" i="7"/>
  <c r="N1288" i="7"/>
  <c r="J1288" i="7"/>
  <c r="E1288" i="7"/>
  <c r="A1288" i="7"/>
  <c r="N1287" i="7"/>
  <c r="J1287" i="7"/>
  <c r="E1287" i="7"/>
  <c r="A1287" i="7"/>
  <c r="N1286" i="7"/>
  <c r="J1286" i="7"/>
  <c r="E1286" i="7"/>
  <c r="A1286" i="7"/>
  <c r="N1285" i="7"/>
  <c r="J1285" i="7"/>
  <c r="E1285" i="7"/>
  <c r="A1285" i="7"/>
  <c r="N1284" i="7"/>
  <c r="J1284" i="7"/>
  <c r="E1284" i="7"/>
  <c r="A1284" i="7"/>
  <c r="N1283" i="7"/>
  <c r="J1283" i="7"/>
  <c r="E1283" i="7"/>
  <c r="A1283" i="7"/>
  <c r="N1282" i="7"/>
  <c r="J1282" i="7"/>
  <c r="E1282" i="7"/>
  <c r="A1282" i="7"/>
  <c r="N1281" i="7"/>
  <c r="J1281" i="7"/>
  <c r="E1281" i="7"/>
  <c r="A1281" i="7"/>
  <c r="N1280" i="7"/>
  <c r="J1280" i="7"/>
  <c r="E1280" i="7"/>
  <c r="A1280" i="7"/>
  <c r="N1279" i="7"/>
  <c r="J1279" i="7"/>
  <c r="E1279" i="7"/>
  <c r="A1279" i="7"/>
  <c r="N1278" i="7"/>
  <c r="J1278" i="7"/>
  <c r="E1278" i="7"/>
  <c r="A1278" i="7"/>
  <c r="N1277" i="7"/>
  <c r="J1277" i="7"/>
  <c r="E1277" i="7"/>
  <c r="A1277" i="7"/>
  <c r="N1276" i="7"/>
  <c r="J1276" i="7"/>
  <c r="E1276" i="7"/>
  <c r="A1276" i="7"/>
  <c r="N1275" i="7"/>
  <c r="J1275" i="7"/>
  <c r="E1275" i="7"/>
  <c r="A1275" i="7"/>
  <c r="N1274" i="7"/>
  <c r="J1274" i="7"/>
  <c r="E1274" i="7"/>
  <c r="A1274" i="7"/>
  <c r="N1273" i="7"/>
  <c r="J1273" i="7"/>
  <c r="E1273" i="7"/>
  <c r="A1273" i="7"/>
  <c r="N1272" i="7"/>
  <c r="J1272" i="7"/>
  <c r="E1272" i="7"/>
  <c r="A1272" i="7"/>
  <c r="N1271" i="7"/>
  <c r="J1271" i="7"/>
  <c r="E1271" i="7"/>
  <c r="A1271" i="7"/>
  <c r="N1270" i="7"/>
  <c r="J1270" i="7"/>
  <c r="E1270" i="7"/>
  <c r="A1270" i="7"/>
  <c r="N1269" i="7"/>
  <c r="J1269" i="7"/>
  <c r="E1269" i="7"/>
  <c r="A1269" i="7"/>
  <c r="N1268" i="7"/>
  <c r="J1268" i="7"/>
  <c r="E1268" i="7"/>
  <c r="A1268" i="7"/>
  <c r="N1267" i="7"/>
  <c r="J1267" i="7"/>
  <c r="E1267" i="7"/>
  <c r="A1267" i="7"/>
  <c r="N1266" i="7"/>
  <c r="J1266" i="7"/>
  <c r="E1266" i="7"/>
  <c r="A1266" i="7"/>
  <c r="N1265" i="7"/>
  <c r="J1265" i="7"/>
  <c r="E1265" i="7"/>
  <c r="A1265" i="7"/>
  <c r="N1264" i="7"/>
  <c r="J1264" i="7"/>
  <c r="E1264" i="7"/>
  <c r="A1264" i="7"/>
  <c r="N1263" i="7"/>
  <c r="J1263" i="7"/>
  <c r="E1263" i="7"/>
  <c r="A1263" i="7"/>
  <c r="N1262" i="7"/>
  <c r="J1262" i="7"/>
  <c r="E1262" i="7"/>
  <c r="A1262" i="7"/>
  <c r="N1261" i="7"/>
  <c r="J1261" i="7"/>
  <c r="E1261" i="7"/>
  <c r="A1261" i="7"/>
  <c r="N1260" i="7"/>
  <c r="J1260" i="7"/>
  <c r="E1260" i="7"/>
  <c r="A1260" i="7"/>
  <c r="N1259" i="7"/>
  <c r="J1259" i="7"/>
  <c r="E1259" i="7"/>
  <c r="A1259" i="7"/>
  <c r="N1258" i="7"/>
  <c r="J1258" i="7"/>
  <c r="E1258" i="7"/>
  <c r="A1258" i="7"/>
  <c r="N1257" i="7"/>
  <c r="J1257" i="7"/>
  <c r="E1257" i="7"/>
  <c r="A1257" i="7"/>
  <c r="N1256" i="7"/>
  <c r="G1256" i="7"/>
  <c r="C1256" i="7"/>
  <c r="L1255" i="7"/>
  <c r="G1255" i="7"/>
  <c r="C1255" i="7"/>
  <c r="L1254" i="7"/>
  <c r="G1254" i="7"/>
  <c r="C1254" i="7"/>
  <c r="L1253" i="7"/>
  <c r="G1253" i="7"/>
  <c r="C1253" i="7"/>
  <c r="L1252" i="7"/>
  <c r="G1252" i="7"/>
  <c r="C1252" i="7"/>
  <c r="E1251" i="7"/>
  <c r="L1250" i="7"/>
  <c r="G1250" i="7"/>
  <c r="C1250" i="7"/>
  <c r="L1249" i="7"/>
  <c r="G1249" i="7"/>
  <c r="C1249" i="7"/>
  <c r="L1248" i="7"/>
  <c r="G1248" i="7"/>
  <c r="C1248" i="7"/>
  <c r="L1247" i="7"/>
  <c r="G1247" i="7"/>
  <c r="C1247" i="7"/>
  <c r="L1246" i="7"/>
  <c r="G1246" i="7"/>
  <c r="C1246" i="7"/>
  <c r="K1245" i="7"/>
  <c r="F1245" i="7"/>
  <c r="B1245" i="7"/>
  <c r="H1244" i="7"/>
  <c r="D1244" i="7"/>
  <c r="Q1243" i="7"/>
  <c r="M1243" i="7"/>
  <c r="H1243" i="7"/>
  <c r="D1243" i="7"/>
  <c r="Q1242" i="7"/>
  <c r="K1242" i="7"/>
  <c r="F1242" i="7"/>
  <c r="B1242" i="7"/>
  <c r="K1241" i="7"/>
  <c r="F1241" i="7"/>
  <c r="B1241" i="7"/>
  <c r="K1240" i="7"/>
  <c r="F1240" i="7"/>
  <c r="B1240" i="7"/>
  <c r="K1239" i="7"/>
  <c r="F1239" i="7"/>
  <c r="B1239" i="7"/>
  <c r="K1238" i="7"/>
  <c r="F1238" i="7"/>
  <c r="B1238" i="7"/>
  <c r="K1237" i="7"/>
  <c r="F1237" i="7"/>
  <c r="B1237" i="7"/>
  <c r="K1236" i="7"/>
  <c r="F1236" i="7"/>
  <c r="B1236" i="7"/>
  <c r="J1235" i="7"/>
  <c r="E1235" i="7"/>
  <c r="A1235" i="7"/>
  <c r="N1234" i="7"/>
  <c r="H1234" i="7"/>
  <c r="D1234" i="7"/>
  <c r="Q1233" i="7"/>
  <c r="M1233" i="7"/>
  <c r="G1233" i="7"/>
  <c r="C1233" i="7"/>
  <c r="L1232" i="7"/>
  <c r="G1232" i="7"/>
  <c r="C1232" i="7"/>
  <c r="L1231" i="7"/>
  <c r="G1231" i="7"/>
  <c r="C1231" i="7"/>
  <c r="L1230" i="7"/>
  <c r="G1230" i="7"/>
  <c r="C1230" i="7"/>
  <c r="L1229" i="7"/>
  <c r="G1229" i="7"/>
  <c r="C1229" i="7"/>
  <c r="L1228" i="7"/>
  <c r="G1228" i="7"/>
  <c r="C1228" i="7"/>
  <c r="L1227" i="7"/>
  <c r="G1227" i="7"/>
  <c r="C1227" i="7"/>
  <c r="L1226" i="7"/>
  <c r="G1226" i="7"/>
  <c r="C1226" i="7"/>
  <c r="K1225" i="7"/>
  <c r="F1225" i="7"/>
  <c r="B1225" i="7"/>
  <c r="K1224" i="7"/>
  <c r="F1224" i="7"/>
  <c r="B1224" i="7"/>
  <c r="K1223" i="7"/>
  <c r="F1223" i="7"/>
  <c r="B1223" i="7"/>
  <c r="K1222" i="7"/>
  <c r="F1222" i="7"/>
  <c r="B1222" i="7"/>
  <c r="K1221" i="7"/>
  <c r="F1221" i="7"/>
  <c r="B1221" i="7"/>
  <c r="K1220" i="7"/>
  <c r="F1220" i="7"/>
  <c r="B1220" i="7"/>
  <c r="K1219" i="7"/>
  <c r="F1219" i="7"/>
  <c r="B1219" i="7"/>
  <c r="K1218" i="7"/>
  <c r="F1218" i="7"/>
  <c r="B1218" i="7"/>
  <c r="K1217" i="7"/>
  <c r="F1217" i="7"/>
  <c r="B1217" i="7"/>
  <c r="K1216" i="7"/>
  <c r="F1216" i="7"/>
  <c r="B1216" i="7"/>
  <c r="K1215" i="7"/>
  <c r="F1215" i="7"/>
  <c r="B1215" i="7"/>
  <c r="K1214" i="7"/>
  <c r="F1214" i="7"/>
  <c r="B1214" i="7"/>
  <c r="H1213" i="7"/>
  <c r="D1213" i="7"/>
  <c r="Q1212" i="7"/>
  <c r="M1212" i="7"/>
  <c r="H1212" i="7"/>
  <c r="D1212" i="7"/>
  <c r="Q1211" i="7"/>
  <c r="M1211" i="7"/>
  <c r="H1211" i="7"/>
  <c r="D1211" i="7"/>
  <c r="Q1210" i="7"/>
  <c r="M1210" i="7"/>
  <c r="G1210" i="7"/>
  <c r="C1210" i="7"/>
  <c r="L1209" i="7"/>
  <c r="G1209" i="7"/>
  <c r="C1209" i="7"/>
  <c r="L1208" i="7"/>
  <c r="G1208" i="7"/>
  <c r="C1208" i="7"/>
  <c r="L1207" i="7"/>
  <c r="G1207" i="7"/>
  <c r="C1207" i="7"/>
  <c r="L1206" i="7"/>
  <c r="G1206" i="7"/>
  <c r="C1206" i="7"/>
  <c r="L1205" i="7"/>
  <c r="G1205" i="7"/>
  <c r="C1205" i="7"/>
  <c r="L1204" i="7"/>
  <c r="G1204" i="7"/>
  <c r="C1204" i="7"/>
  <c r="L1203" i="7"/>
  <c r="G1203" i="7"/>
  <c r="C1203" i="7"/>
  <c r="A1202" i="7"/>
  <c r="K1201" i="7"/>
  <c r="A1200" i="7"/>
  <c r="K1199" i="7"/>
  <c r="A1198" i="7"/>
  <c r="K1197" i="7"/>
  <c r="A1196" i="7"/>
  <c r="K1195" i="7"/>
  <c r="A1194" i="7"/>
  <c r="K1193" i="7"/>
  <c r="A1192" i="7"/>
  <c r="K1191" i="7"/>
  <c r="A1190" i="7"/>
  <c r="K1189" i="7"/>
  <c r="A1188" i="7"/>
  <c r="K1187" i="7"/>
  <c r="A1186" i="7"/>
  <c r="K1185" i="7"/>
  <c r="A1184" i="7"/>
  <c r="K1183" i="7"/>
  <c r="A1182" i="7"/>
  <c r="K1181" i="7"/>
  <c r="A1180" i="7"/>
  <c r="K1179" i="7"/>
  <c r="A1178" i="7"/>
  <c r="K1177" i="7"/>
  <c r="A1176" i="7"/>
  <c r="K1175" i="7"/>
  <c r="A1174" i="7"/>
  <c r="K1173" i="7"/>
  <c r="A1172" i="7"/>
  <c r="K1171" i="7"/>
  <c r="A1170" i="7"/>
  <c r="K1169" i="7"/>
  <c r="A1168" i="7"/>
  <c r="K1167" i="7"/>
  <c r="A1166" i="7"/>
  <c r="K1165" i="7"/>
  <c r="A1164" i="7"/>
  <c r="K1163" i="7"/>
  <c r="A1162" i="7"/>
  <c r="K1161" i="7"/>
  <c r="A1160" i="7"/>
  <c r="K1159" i="7"/>
  <c r="A1158" i="7"/>
  <c r="K1157" i="7"/>
  <c r="A1156" i="7"/>
  <c r="K1155" i="7"/>
  <c r="A1154" i="7"/>
  <c r="K1153" i="7"/>
  <c r="A1152" i="7"/>
  <c r="K1151" i="7"/>
  <c r="A1150" i="7"/>
  <c r="K1149" i="7"/>
  <c r="A1148" i="7"/>
  <c r="K1147" i="7"/>
  <c r="A1146" i="7"/>
  <c r="K1145" i="7"/>
  <c r="A1144" i="7"/>
  <c r="K1143" i="7"/>
  <c r="A1142" i="7"/>
  <c r="K1141" i="7"/>
  <c r="A1140" i="7"/>
  <c r="K1139" i="7"/>
  <c r="A1138" i="7"/>
  <c r="K1137" i="7"/>
  <c r="A1136" i="7"/>
  <c r="K1135" i="7"/>
  <c r="A1134" i="7"/>
  <c r="K1133" i="7"/>
  <c r="A1132" i="7"/>
  <c r="K1131" i="7"/>
  <c r="A1130" i="7"/>
  <c r="K1129" i="7"/>
  <c r="A1128" i="7"/>
  <c r="K1127" i="7"/>
  <c r="A1126" i="7"/>
  <c r="K1125" i="7"/>
  <c r="A1124" i="7"/>
  <c r="K1123" i="7"/>
  <c r="A1122" i="7"/>
  <c r="K1121" i="7"/>
  <c r="A1120" i="7"/>
  <c r="K1119" i="7"/>
  <c r="A1118" i="7"/>
  <c r="K1117" i="7"/>
  <c r="A1116" i="7"/>
  <c r="K1115" i="7"/>
  <c r="A1114" i="7"/>
  <c r="K1113" i="7"/>
  <c r="A1112" i="7"/>
  <c r="K1111" i="7"/>
  <c r="A1110" i="7"/>
  <c r="K1109" i="7"/>
  <c r="A1108" i="7"/>
  <c r="K1107" i="7"/>
  <c r="A1106" i="7"/>
  <c r="K1105" i="7"/>
  <c r="A1104" i="7"/>
  <c r="K1103" i="7"/>
  <c r="A1102" i="7"/>
  <c r="K1101" i="7"/>
  <c r="A1100" i="7"/>
  <c r="K1099" i="7"/>
  <c r="A1098" i="7"/>
  <c r="K1097" i="7"/>
  <c r="A1096" i="7"/>
  <c r="K1095" i="7"/>
  <c r="A1094" i="7"/>
  <c r="K1093" i="7"/>
  <c r="A1092" i="7"/>
  <c r="K1091" i="7"/>
  <c r="A1090" i="7"/>
  <c r="K1089" i="7"/>
  <c r="A1088" i="7"/>
  <c r="K1087" i="7"/>
  <c r="A1086" i="7"/>
  <c r="K1085" i="7"/>
  <c r="A1084" i="7"/>
  <c r="K1083" i="7"/>
  <c r="A1082" i="7"/>
  <c r="K1081" i="7"/>
  <c r="A1080" i="7"/>
  <c r="K1079" i="7"/>
  <c r="A1078" i="7"/>
  <c r="K1077" i="7"/>
  <c r="A1076" i="7"/>
  <c r="K1075" i="7"/>
  <c r="A1074" i="7"/>
  <c r="K1073" i="7"/>
  <c r="A1072" i="7"/>
  <c r="K1071" i="7"/>
  <c r="A1070" i="7"/>
  <c r="K1069" i="7"/>
  <c r="A1068" i="7"/>
  <c r="K1067" i="7"/>
  <c r="A1066" i="7"/>
  <c r="K1065" i="7"/>
  <c r="A1064" i="7"/>
  <c r="K1063" i="7"/>
  <c r="A1062" i="7"/>
  <c r="K1061" i="7"/>
  <c r="A1060" i="7"/>
  <c r="K1059" i="7"/>
  <c r="A1058" i="7"/>
  <c r="K1057" i="7"/>
  <c r="A1056" i="7"/>
  <c r="K1055" i="7"/>
  <c r="A1054" i="7"/>
  <c r="K1053" i="7"/>
  <c r="A1052" i="7"/>
  <c r="K1051" i="7"/>
  <c r="A1050" i="7"/>
  <c r="K1049" i="7"/>
  <c r="A1048" i="7"/>
  <c r="K1047" i="7"/>
  <c r="A1046" i="7"/>
  <c r="K1045" i="7"/>
  <c r="A1044" i="7"/>
  <c r="K1043" i="7"/>
  <c r="A1042" i="7"/>
  <c r="K1041" i="7"/>
  <c r="A1040" i="7"/>
  <c r="K1039" i="7"/>
  <c r="G2103" i="7"/>
  <c r="K2096" i="7"/>
  <c r="D2093" i="7"/>
  <c r="Q2089" i="7"/>
  <c r="Q2079" i="7"/>
  <c r="Q2075" i="7"/>
  <c r="Q2071" i="7"/>
  <c r="Q2067" i="7"/>
  <c r="Q2063" i="7"/>
  <c r="Q2059" i="7"/>
  <c r="Q2055" i="7"/>
  <c r="Q2051" i="7"/>
  <c r="Q2047" i="7"/>
  <c r="Q2043" i="7"/>
  <c r="Q2039" i="7"/>
  <c r="Q2035" i="7"/>
  <c r="Q2031" i="7"/>
  <c r="Q2027" i="7"/>
  <c r="Q2023" i="7"/>
  <c r="Q2019" i="7"/>
  <c r="Q2015" i="7"/>
  <c r="Q2011" i="7"/>
  <c r="Q2007" i="7"/>
  <c r="Q2003" i="7"/>
  <c r="Q1999" i="7"/>
  <c r="Q1995" i="7"/>
  <c r="Q1991" i="7"/>
  <c r="Q1987" i="7"/>
  <c r="Q1983" i="7"/>
  <c r="Q1979" i="7"/>
  <c r="Q1975" i="7"/>
  <c r="Q1971" i="7"/>
  <c r="Q1967" i="7"/>
  <c r="Q1963" i="7"/>
  <c r="Q1959" i="7"/>
  <c r="Q1955" i="7"/>
  <c r="M1953" i="7"/>
  <c r="L1952" i="7"/>
  <c r="Q1950" i="7"/>
  <c r="Q1949" i="7"/>
  <c r="D1949" i="7"/>
  <c r="D1948" i="7"/>
  <c r="D1947" i="7"/>
  <c r="D1946" i="7"/>
  <c r="D1945" i="7"/>
  <c r="H1944" i="7"/>
  <c r="H1943" i="7"/>
  <c r="M1942" i="7"/>
  <c r="L1941" i="7"/>
  <c r="Q1939" i="7"/>
  <c r="D1939" i="7"/>
  <c r="H1938" i="7"/>
  <c r="M1937" i="7"/>
  <c r="Q1935" i="7"/>
  <c r="A1935" i="7"/>
  <c r="C1934" i="7"/>
  <c r="C1933" i="7"/>
  <c r="C1932" i="7"/>
  <c r="C1931" i="7"/>
  <c r="D1930" i="7"/>
  <c r="D1929" i="7"/>
  <c r="E1928" i="7"/>
  <c r="F1927" i="7"/>
  <c r="F1926" i="7"/>
  <c r="G1925" i="7"/>
  <c r="K1924" i="7"/>
  <c r="C1924" i="7"/>
  <c r="K1923" i="7"/>
  <c r="C1923" i="7"/>
  <c r="K1922" i="7"/>
  <c r="C1922" i="7"/>
  <c r="K1921" i="7"/>
  <c r="C1921" i="7"/>
  <c r="K1920" i="7"/>
  <c r="C1920" i="7"/>
  <c r="K1919" i="7"/>
  <c r="C1919" i="7"/>
  <c r="K1918" i="7"/>
  <c r="C1918" i="7"/>
  <c r="K1917" i="7"/>
  <c r="C1917" i="7"/>
  <c r="K1916" i="7"/>
  <c r="C1916" i="7"/>
  <c r="K1915" i="7"/>
  <c r="C1915" i="7"/>
  <c r="L1914" i="7"/>
  <c r="D1914" i="7"/>
  <c r="L1913" i="7"/>
  <c r="D1913" i="7"/>
  <c r="L1912" i="7"/>
  <c r="D1912" i="7"/>
  <c r="L1911" i="7"/>
  <c r="D1911" i="7"/>
  <c r="L1910" i="7"/>
  <c r="D1910" i="7"/>
  <c r="K1909" i="7"/>
  <c r="C1909" i="7"/>
  <c r="K1908" i="7"/>
  <c r="C1908" i="7"/>
  <c r="K1907" i="7"/>
  <c r="C1907" i="7"/>
  <c r="K1906" i="7"/>
  <c r="C1906" i="7"/>
  <c r="K1905" i="7"/>
  <c r="C1905" i="7"/>
  <c r="K1904" i="7"/>
  <c r="C1904" i="7"/>
  <c r="L1903" i="7"/>
  <c r="D1903" i="7"/>
  <c r="M1902" i="7"/>
  <c r="E1902" i="7"/>
  <c r="F1901" i="7"/>
  <c r="J1900" i="7"/>
  <c r="A1900" i="7"/>
  <c r="K1899" i="7"/>
  <c r="B1899" i="7"/>
  <c r="N1898" i="7"/>
  <c r="E1898" i="7"/>
  <c r="F1897" i="7"/>
  <c r="J1896" i="7"/>
  <c r="A1896" i="7"/>
  <c r="K1895" i="7"/>
  <c r="B1895" i="7"/>
  <c r="N1894" i="7"/>
  <c r="E1894" i="7"/>
  <c r="F1893" i="7"/>
  <c r="J1892" i="7"/>
  <c r="A1892" i="7"/>
  <c r="K1891" i="7"/>
  <c r="B1891" i="7"/>
  <c r="N1890" i="7"/>
  <c r="E1890" i="7"/>
  <c r="F1889" i="7"/>
  <c r="J1888" i="7"/>
  <c r="A1888" i="7"/>
  <c r="K1887" i="7"/>
  <c r="B1887" i="7"/>
  <c r="N1886" i="7"/>
  <c r="E1886" i="7"/>
  <c r="F1885" i="7"/>
  <c r="J1884" i="7"/>
  <c r="A1884" i="7"/>
  <c r="K1883" i="7"/>
  <c r="B1883" i="7"/>
  <c r="N1882" i="7"/>
  <c r="E1882" i="7"/>
  <c r="F1881" i="7"/>
  <c r="J1880" i="7"/>
  <c r="A1880" i="7"/>
  <c r="K1879" i="7"/>
  <c r="B1879" i="7"/>
  <c r="N1878" i="7"/>
  <c r="E1878" i="7"/>
  <c r="F1877" i="7"/>
  <c r="J1876" i="7"/>
  <c r="A1876" i="7"/>
  <c r="K1875" i="7"/>
  <c r="B1875" i="7"/>
  <c r="N1874" i="7"/>
  <c r="E1874" i="7"/>
  <c r="F1873" i="7"/>
  <c r="J1872" i="7"/>
  <c r="A1872" i="7"/>
  <c r="K1871" i="7"/>
  <c r="B1871" i="7"/>
  <c r="N1870" i="7"/>
  <c r="E1870" i="7"/>
  <c r="F1869" i="7"/>
  <c r="J1868" i="7"/>
  <c r="A1868" i="7"/>
  <c r="K1867" i="7"/>
  <c r="B1867" i="7"/>
  <c r="N1866" i="7"/>
  <c r="E1866" i="7"/>
  <c r="F1865" i="7"/>
  <c r="H1864" i="7"/>
  <c r="Q1863" i="7"/>
  <c r="J1863" i="7"/>
  <c r="A1863" i="7"/>
  <c r="M1862" i="7"/>
  <c r="D1862" i="7"/>
  <c r="N1861" i="7"/>
  <c r="E1861" i="7"/>
  <c r="H1860" i="7"/>
  <c r="Q1859" i="7"/>
  <c r="J1859" i="7"/>
  <c r="A1859" i="7"/>
  <c r="M1858" i="7"/>
  <c r="D1858" i="7"/>
  <c r="N1857" i="7"/>
  <c r="D1857" i="7"/>
  <c r="M1856" i="7"/>
  <c r="D1856" i="7"/>
  <c r="M1855" i="7"/>
  <c r="D1855" i="7"/>
  <c r="M1854" i="7"/>
  <c r="D1854" i="7"/>
  <c r="M1853" i="7"/>
  <c r="D1853" i="7"/>
  <c r="M1852" i="7"/>
  <c r="D1852" i="7"/>
  <c r="M1851" i="7"/>
  <c r="D1851" i="7"/>
  <c r="M1850" i="7"/>
  <c r="D1850" i="7"/>
  <c r="M1849" i="7"/>
  <c r="D1849" i="7"/>
  <c r="M1848" i="7"/>
  <c r="D1848" i="7"/>
  <c r="M1847" i="7"/>
  <c r="D1847" i="7"/>
  <c r="M1846" i="7"/>
  <c r="D1846" i="7"/>
  <c r="M1845" i="7"/>
  <c r="D1845" i="7"/>
  <c r="M1844" i="7"/>
  <c r="D1844" i="7"/>
  <c r="M1843" i="7"/>
  <c r="D1843" i="7"/>
  <c r="M1842" i="7"/>
  <c r="D1842" i="7"/>
  <c r="M1841" i="7"/>
  <c r="D1841" i="7"/>
  <c r="M1840" i="7"/>
  <c r="D1840" i="7"/>
  <c r="M1839" i="7"/>
  <c r="D1839" i="7"/>
  <c r="M1838" i="7"/>
  <c r="D1838" i="7"/>
  <c r="M1837" i="7"/>
  <c r="D1837" i="7"/>
  <c r="M1836" i="7"/>
  <c r="D1836" i="7"/>
  <c r="M1835" i="7"/>
  <c r="D1835" i="7"/>
  <c r="L1834" i="7"/>
  <c r="C1834" i="7"/>
  <c r="L1833" i="7"/>
  <c r="C1833" i="7"/>
  <c r="L1832" i="7"/>
  <c r="C1832" i="7"/>
  <c r="L1831" i="7"/>
  <c r="C1831" i="7"/>
  <c r="L1830" i="7"/>
  <c r="C1830" i="7"/>
  <c r="L1829" i="7"/>
  <c r="C1829" i="7"/>
  <c r="L1828" i="7"/>
  <c r="C1828" i="7"/>
  <c r="L1827" i="7"/>
  <c r="C1827" i="7"/>
  <c r="L1826" i="7"/>
  <c r="C1826" i="7"/>
  <c r="L1825" i="7"/>
  <c r="C1825" i="7"/>
  <c r="L1824" i="7"/>
  <c r="C1824" i="7"/>
  <c r="L1823" i="7"/>
  <c r="C1823" i="7"/>
  <c r="L1822" i="7"/>
  <c r="C1822" i="7"/>
  <c r="L1821" i="7"/>
  <c r="C1821" i="7"/>
  <c r="L1820" i="7"/>
  <c r="C1820" i="7"/>
  <c r="J1819" i="7"/>
  <c r="A1819" i="7"/>
  <c r="M1818" i="7"/>
  <c r="D1818" i="7"/>
  <c r="N1817" i="7"/>
  <c r="C1817" i="7"/>
  <c r="L1816" i="7"/>
  <c r="C1816" i="7"/>
  <c r="L1815" i="7"/>
  <c r="C1815" i="7"/>
  <c r="L1814" i="7"/>
  <c r="C1814" i="7"/>
  <c r="L1813" i="7"/>
  <c r="C1813" i="7"/>
  <c r="L1812" i="7"/>
  <c r="C1812" i="7"/>
  <c r="L1811" i="7"/>
  <c r="C1811" i="7"/>
  <c r="L1810" i="7"/>
  <c r="C1810" i="7"/>
  <c r="L1809" i="7"/>
  <c r="C1809" i="7"/>
  <c r="K1808" i="7"/>
  <c r="B1808" i="7"/>
  <c r="K1807" i="7"/>
  <c r="N1806" i="7"/>
  <c r="E1806" i="7"/>
  <c r="H1805" i="7"/>
  <c r="Q1804" i="7"/>
  <c r="J1804" i="7"/>
  <c r="A1804" i="7"/>
  <c r="M1803" i="7"/>
  <c r="D1803" i="7"/>
  <c r="L1764" i="7"/>
  <c r="D1764" i="7"/>
  <c r="L1763" i="7"/>
  <c r="D1763" i="7"/>
  <c r="N1762" i="7"/>
  <c r="D1762" i="7"/>
  <c r="M1761" i="7"/>
  <c r="C1761" i="7"/>
  <c r="K1760" i="7"/>
  <c r="C1760" i="7"/>
  <c r="J1759" i="7"/>
  <c r="B1759" i="7"/>
  <c r="J1758" i="7"/>
  <c r="B1758" i="7"/>
  <c r="J1757" i="7"/>
  <c r="B1757" i="7"/>
  <c r="J1756" i="7"/>
  <c r="B1756" i="7"/>
  <c r="J1755" i="7"/>
  <c r="B1755" i="7"/>
  <c r="I1754" i="7"/>
  <c r="A1754" i="7"/>
  <c r="I1753" i="7"/>
  <c r="A1753" i="7"/>
  <c r="I1752" i="7"/>
  <c r="A1752" i="7"/>
  <c r="H1751" i="7"/>
  <c r="Q1750" i="7"/>
  <c r="H1750" i="7"/>
  <c r="Q1749" i="7"/>
  <c r="H1749" i="7"/>
  <c r="Q1748" i="7"/>
  <c r="H1748" i="7"/>
  <c r="Q1747" i="7"/>
  <c r="H1747" i="7"/>
  <c r="Q1746" i="7"/>
  <c r="H1746" i="7"/>
  <c r="Q1745" i="7"/>
  <c r="H1745" i="7"/>
  <c r="Q1744" i="7"/>
  <c r="H1744" i="7"/>
  <c r="Q1743" i="7"/>
  <c r="H1743" i="7"/>
  <c r="Q1742" i="7"/>
  <c r="H1742" i="7"/>
  <c r="Q1741" i="7"/>
  <c r="Q1740" i="7"/>
  <c r="H1740" i="7"/>
  <c r="Q1739" i="7"/>
  <c r="H1739" i="7"/>
  <c r="Q1738" i="7"/>
  <c r="H1738" i="7"/>
  <c r="Q1737" i="7"/>
  <c r="H1737" i="7"/>
  <c r="Q1736" i="7"/>
  <c r="H1736" i="7"/>
  <c r="Q1735" i="7"/>
  <c r="H1735" i="7"/>
  <c r="Q1734" i="7"/>
  <c r="H1734" i="7"/>
  <c r="Q1733" i="7"/>
  <c r="H1733" i="7"/>
  <c r="Q1732" i="7"/>
  <c r="H1732" i="7"/>
  <c r="Q1731" i="7"/>
  <c r="H1731" i="7"/>
  <c r="Q1730" i="7"/>
  <c r="H1730" i="7"/>
  <c r="Q1729" i="7"/>
  <c r="H1729" i="7"/>
  <c r="Q1728" i="7"/>
  <c r="H1728" i="7"/>
  <c r="Q1727" i="7"/>
  <c r="H1727" i="7"/>
  <c r="Q1726" i="7"/>
  <c r="H1726" i="7"/>
  <c r="Q1725" i="7"/>
  <c r="H1725" i="7"/>
  <c r="Q1724" i="7"/>
  <c r="H1724" i="7"/>
  <c r="Q1723" i="7"/>
  <c r="H1723" i="7"/>
  <c r="Q1722" i="7"/>
  <c r="H1722" i="7"/>
  <c r="Q1721" i="7"/>
  <c r="H1721" i="7"/>
  <c r="Q1720" i="7"/>
  <c r="H1720" i="7"/>
  <c r="Q1719" i="7"/>
  <c r="H1719" i="7"/>
  <c r="Q1718" i="7"/>
  <c r="H1718" i="7"/>
  <c r="Q1717" i="7"/>
  <c r="H1717" i="7"/>
  <c r="Q1716" i="7"/>
  <c r="H1716" i="7"/>
  <c r="Q1715" i="7"/>
  <c r="H1715" i="7"/>
  <c r="Q1714" i="7"/>
  <c r="H1714" i="7"/>
  <c r="Q1713" i="7"/>
  <c r="F1713" i="7"/>
  <c r="J1712" i="7"/>
  <c r="A1712" i="7"/>
  <c r="K1711" i="7"/>
  <c r="B1711" i="7"/>
  <c r="N1710" i="7"/>
  <c r="E1710" i="7"/>
  <c r="F1709" i="7"/>
  <c r="J1708" i="7"/>
  <c r="A1708" i="7"/>
  <c r="I1707" i="7"/>
  <c r="A1707" i="7"/>
  <c r="I1706" i="7"/>
  <c r="A1706" i="7"/>
  <c r="K1705" i="7"/>
  <c r="B1705" i="7"/>
  <c r="N1704" i="7"/>
  <c r="E1704" i="7"/>
  <c r="F1703" i="7"/>
  <c r="J1702" i="7"/>
  <c r="A1702" i="7"/>
  <c r="I1701" i="7"/>
  <c r="A1701" i="7"/>
  <c r="I1700" i="7"/>
  <c r="A1700" i="7"/>
  <c r="K1699" i="7"/>
  <c r="Q1698" i="7"/>
  <c r="F1698" i="7"/>
  <c r="G1697" i="7"/>
  <c r="E1696" i="7"/>
  <c r="D1695" i="7"/>
  <c r="M1694" i="7"/>
  <c r="E1694" i="7"/>
  <c r="H1693" i="7"/>
  <c r="Q1692" i="7"/>
  <c r="J1692" i="7"/>
  <c r="A1692" i="7"/>
  <c r="M1691" i="7"/>
  <c r="D1691" i="7"/>
  <c r="M1690" i="7"/>
  <c r="E1690" i="7"/>
  <c r="M1689" i="7"/>
  <c r="E1689" i="7"/>
  <c r="F1688" i="7"/>
  <c r="J1687" i="7"/>
  <c r="A1687" i="7"/>
  <c r="I1686" i="7"/>
  <c r="A1686" i="7"/>
  <c r="I1685" i="7"/>
  <c r="A1685" i="7"/>
  <c r="K1684" i="7"/>
  <c r="B1684" i="7"/>
  <c r="N1683" i="7"/>
  <c r="E1683" i="7"/>
  <c r="M1682" i="7"/>
  <c r="E1682" i="7"/>
  <c r="F1681" i="7"/>
  <c r="J1680" i="7"/>
  <c r="A1680" i="7"/>
  <c r="K1679" i="7"/>
  <c r="B1679" i="7"/>
  <c r="N1678" i="7"/>
  <c r="E1678" i="7"/>
  <c r="F1677" i="7"/>
  <c r="J1676" i="7"/>
  <c r="A1676" i="7"/>
  <c r="K1675" i="7"/>
  <c r="B1675" i="7"/>
  <c r="J1674" i="7"/>
  <c r="B1674" i="7"/>
  <c r="K1673" i="7"/>
  <c r="M1672" i="7"/>
  <c r="E1672" i="7"/>
  <c r="F1671" i="7"/>
  <c r="F1670" i="7"/>
  <c r="F1669" i="7"/>
  <c r="F1668" i="7"/>
  <c r="H1667" i="7"/>
  <c r="Q1666" i="7"/>
  <c r="H1666" i="7"/>
  <c r="Q1665" i="7"/>
  <c r="H1665" i="7"/>
  <c r="Q1664" i="7"/>
  <c r="I1664" i="7"/>
  <c r="A1664" i="7"/>
  <c r="K1663" i="7"/>
  <c r="B1663" i="7"/>
  <c r="N1662" i="7"/>
  <c r="E1662" i="7"/>
  <c r="M1661" i="7"/>
  <c r="E1661" i="7"/>
  <c r="M1660" i="7"/>
  <c r="E1660" i="7"/>
  <c r="M1659" i="7"/>
  <c r="E1659" i="7"/>
  <c r="M1658" i="7"/>
  <c r="E1658" i="7"/>
  <c r="M1657" i="7"/>
  <c r="E1657" i="7"/>
  <c r="M1656" i="7"/>
  <c r="E1656" i="7"/>
  <c r="M1655" i="7"/>
  <c r="E1655" i="7"/>
  <c r="M1654" i="7"/>
  <c r="E1654" i="7"/>
  <c r="M1653" i="7"/>
  <c r="E1653" i="7"/>
  <c r="M1652" i="7"/>
  <c r="E1652" i="7"/>
  <c r="M1651" i="7"/>
  <c r="E1651" i="7"/>
  <c r="M1650" i="7"/>
  <c r="E1650" i="7"/>
  <c r="M1649" i="7"/>
  <c r="E1649" i="7"/>
  <c r="F1648" i="7"/>
  <c r="F1647" i="7"/>
  <c r="J1646" i="7"/>
  <c r="A1646" i="7"/>
  <c r="I1645" i="7"/>
  <c r="A1645" i="7"/>
  <c r="D1644" i="7"/>
  <c r="J1643" i="7"/>
  <c r="B1643" i="7"/>
  <c r="J1642" i="7"/>
  <c r="B1642" i="7"/>
  <c r="J1641" i="7"/>
  <c r="B1641" i="7"/>
  <c r="J1640" i="7"/>
  <c r="B1640" i="7"/>
  <c r="J1639" i="7"/>
  <c r="B1639" i="7"/>
  <c r="J1638" i="7"/>
  <c r="B1638" i="7"/>
  <c r="N1637" i="7"/>
  <c r="E1637" i="7"/>
  <c r="L1636" i="7"/>
  <c r="D1636" i="7"/>
  <c r="L1635" i="7"/>
  <c r="D1635" i="7"/>
  <c r="L1634" i="7"/>
  <c r="D1634" i="7"/>
  <c r="L1633" i="7"/>
  <c r="D1633" i="7"/>
  <c r="L1632" i="7"/>
  <c r="D1632" i="7"/>
  <c r="L1631" i="7"/>
  <c r="D1631" i="7"/>
  <c r="L1630" i="7"/>
  <c r="D1630" i="7"/>
  <c r="K1629" i="7"/>
  <c r="M1628" i="7"/>
  <c r="E1628" i="7"/>
  <c r="Q1626" i="7"/>
  <c r="J1626" i="7"/>
  <c r="A1626" i="7"/>
  <c r="M1625" i="7"/>
  <c r="D1625" i="7"/>
  <c r="K1624" i="7"/>
  <c r="M1623" i="7"/>
  <c r="E1623" i="7"/>
  <c r="H1622" i="7"/>
  <c r="Q1621" i="7"/>
  <c r="J1621" i="7"/>
  <c r="A1621" i="7"/>
  <c r="M1620" i="7"/>
  <c r="D1620" i="7"/>
  <c r="L1619" i="7"/>
  <c r="D1619" i="7"/>
  <c r="K1618" i="7"/>
  <c r="H1617" i="7"/>
  <c r="Q1616" i="7"/>
  <c r="H1616" i="7"/>
  <c r="Q1615" i="7"/>
  <c r="H1615" i="7"/>
  <c r="Q1614" i="7"/>
  <c r="H1614" i="7"/>
  <c r="Q1613" i="7"/>
  <c r="G1613" i="7"/>
  <c r="G1612" i="7"/>
  <c r="G1611" i="7"/>
  <c r="G1610" i="7"/>
  <c r="G1609" i="7"/>
  <c r="G1608" i="7"/>
  <c r="G1607" i="7"/>
  <c r="G1606" i="7"/>
  <c r="G1605" i="7"/>
  <c r="G1604" i="7"/>
  <c r="G1603" i="7"/>
  <c r="G1602" i="7"/>
  <c r="G1601" i="7"/>
  <c r="G1600" i="7"/>
  <c r="G1599" i="7"/>
  <c r="G1598" i="7"/>
  <c r="G1597" i="7"/>
  <c r="G1596" i="7"/>
  <c r="G1595" i="7"/>
  <c r="G1594" i="7"/>
  <c r="G1593" i="7"/>
  <c r="G1592" i="7"/>
  <c r="G1591" i="7"/>
  <c r="G1590" i="7"/>
  <c r="G1589" i="7"/>
  <c r="G1588" i="7"/>
  <c r="G1587" i="7"/>
  <c r="G1586" i="7"/>
  <c r="G1585" i="7"/>
  <c r="G1584" i="7"/>
  <c r="G1583" i="7"/>
  <c r="G1582" i="7"/>
  <c r="G1581" i="7"/>
  <c r="G1580" i="7"/>
  <c r="G1579" i="7"/>
  <c r="F1578" i="7"/>
  <c r="J1577" i="7"/>
  <c r="A1577" i="7"/>
  <c r="K1576" i="7"/>
  <c r="B1576" i="7"/>
  <c r="N1575" i="7"/>
  <c r="E1575" i="7"/>
  <c r="F1574" i="7"/>
  <c r="J1573" i="7"/>
  <c r="A1573" i="7"/>
  <c r="K1572" i="7"/>
  <c r="B1572" i="7"/>
  <c r="N1571" i="7"/>
  <c r="E1571" i="7"/>
  <c r="F1570" i="7"/>
  <c r="G1569" i="7"/>
  <c r="G1568" i="7"/>
  <c r="G1567" i="7"/>
  <c r="F1566" i="7"/>
  <c r="J1565" i="7"/>
  <c r="A1565" i="7"/>
  <c r="K1564" i="7"/>
  <c r="B1564" i="7"/>
  <c r="N1563" i="7"/>
  <c r="E1563" i="7"/>
  <c r="F1562" i="7"/>
  <c r="J1561" i="7"/>
  <c r="A1561" i="7"/>
  <c r="K1560" i="7"/>
  <c r="B1560" i="7"/>
  <c r="N1559" i="7"/>
  <c r="E1559" i="7"/>
  <c r="F1558" i="7"/>
  <c r="J1557" i="7"/>
  <c r="A1557" i="7"/>
  <c r="K1556" i="7"/>
  <c r="B1556" i="7"/>
  <c r="N1555" i="7"/>
  <c r="E1555" i="7"/>
  <c r="F1554" i="7"/>
  <c r="J1553" i="7"/>
  <c r="A1553" i="7"/>
  <c r="K1552" i="7"/>
  <c r="B1552" i="7"/>
  <c r="N1551" i="7"/>
  <c r="E1551" i="7"/>
  <c r="F1550" i="7"/>
  <c r="G1549" i="7"/>
  <c r="G1548" i="7"/>
  <c r="G1547" i="7"/>
  <c r="G1546" i="7"/>
  <c r="G1545" i="7"/>
  <c r="E1544" i="7"/>
  <c r="D1543" i="7"/>
  <c r="M1542" i="7"/>
  <c r="E1542" i="7"/>
  <c r="H1541" i="7"/>
  <c r="Q1540" i="7"/>
  <c r="J1540" i="7"/>
  <c r="A1540" i="7"/>
  <c r="M1539" i="7"/>
  <c r="D1539" i="7"/>
  <c r="N1538" i="7"/>
  <c r="E1538" i="7"/>
  <c r="H1537" i="7"/>
  <c r="Q1536" i="7"/>
  <c r="J1536" i="7"/>
  <c r="A1536" i="7"/>
  <c r="M1535" i="7"/>
  <c r="D1535" i="7"/>
  <c r="N1534" i="7"/>
  <c r="E1534" i="7"/>
  <c r="H1533" i="7"/>
  <c r="Q1532" i="7"/>
  <c r="G1532" i="7"/>
  <c r="G1531" i="7"/>
  <c r="F1530" i="7"/>
  <c r="J1529" i="7"/>
  <c r="A1529" i="7"/>
  <c r="K1528" i="7"/>
  <c r="B1528" i="7"/>
  <c r="N1527" i="7"/>
  <c r="E1527" i="7"/>
  <c r="F1526" i="7"/>
  <c r="J1525" i="7"/>
  <c r="A1525" i="7"/>
  <c r="K1524" i="7"/>
  <c r="B1524" i="7"/>
  <c r="N1523" i="7"/>
  <c r="E1523" i="7"/>
  <c r="F1522" i="7"/>
  <c r="J1521" i="7"/>
  <c r="A1521" i="7"/>
  <c r="J1520" i="7"/>
  <c r="A1520" i="7"/>
  <c r="M1519" i="7"/>
  <c r="D1519" i="7"/>
  <c r="N1518" i="7"/>
  <c r="E1518" i="7"/>
  <c r="H1517" i="7"/>
  <c r="Q1516" i="7"/>
  <c r="J1516" i="7"/>
  <c r="A1516" i="7"/>
  <c r="M1515" i="7"/>
  <c r="D1515" i="7"/>
  <c r="N1514" i="7"/>
  <c r="E1514" i="7"/>
  <c r="H1513" i="7"/>
  <c r="Q1512" i="7"/>
  <c r="J1512" i="7"/>
  <c r="A1512" i="7"/>
  <c r="K1511" i="7"/>
  <c r="B1511" i="7"/>
  <c r="H1510" i="7"/>
  <c r="Q1509" i="7"/>
  <c r="J1509" i="7"/>
  <c r="A1509" i="7"/>
  <c r="M1508" i="7"/>
  <c r="D1508" i="7"/>
  <c r="N1507" i="7"/>
  <c r="E1507" i="7"/>
  <c r="H1506" i="7"/>
  <c r="Q1505" i="7"/>
  <c r="J1505" i="7"/>
  <c r="A1505" i="7"/>
  <c r="M1504" i="7"/>
  <c r="D1504" i="7"/>
  <c r="N1503" i="7"/>
  <c r="E1503" i="7"/>
  <c r="Q1432" i="7"/>
  <c r="D1432" i="7"/>
  <c r="D1431" i="7"/>
  <c r="Q1428" i="7"/>
  <c r="D1428" i="7"/>
  <c r="D1427" i="7"/>
  <c r="Q1424" i="7"/>
  <c r="D1424" i="7"/>
  <c r="D1423" i="7"/>
  <c r="Q1420" i="7"/>
  <c r="D1420" i="7"/>
  <c r="D1419" i="7"/>
  <c r="Q1416" i="7"/>
  <c r="D1416" i="7"/>
  <c r="D1415" i="7"/>
  <c r="Q1412" i="7"/>
  <c r="D1412" i="7"/>
  <c r="D1411" i="7"/>
  <c r="Q1408" i="7"/>
  <c r="D1408" i="7"/>
  <c r="D1407" i="7"/>
  <c r="Q1404" i="7"/>
  <c r="D1404" i="7"/>
  <c r="D1403" i="7"/>
  <c r="Q1400" i="7"/>
  <c r="D1400" i="7"/>
  <c r="D1399" i="7"/>
  <c r="Q1396" i="7"/>
  <c r="D1396" i="7"/>
  <c r="D1395" i="7"/>
  <c r="Q1392" i="7"/>
  <c r="D1392" i="7"/>
  <c r="D1391" i="7"/>
  <c r="Q1388" i="7"/>
  <c r="D1388" i="7"/>
  <c r="D1387" i="7"/>
  <c r="Q1384" i="7"/>
  <c r="D1384" i="7"/>
  <c r="D1383" i="7"/>
  <c r="Q1380" i="7"/>
  <c r="D1380" i="7"/>
  <c r="D1379" i="7"/>
  <c r="Q1376" i="7"/>
  <c r="D1376" i="7"/>
  <c r="D1375" i="7"/>
  <c r="Q1372" i="7"/>
  <c r="D1372" i="7"/>
  <c r="D1371" i="7"/>
  <c r="Q1368" i="7"/>
  <c r="D1368" i="7"/>
  <c r="D1367" i="7"/>
  <c r="Q1364" i="7"/>
  <c r="D1364" i="7"/>
  <c r="D1363" i="7"/>
  <c r="J1361" i="7"/>
  <c r="D1361" i="7"/>
  <c r="J1360" i="7"/>
  <c r="D1360" i="7"/>
  <c r="J1359" i="7"/>
  <c r="D1359" i="7"/>
  <c r="K1358" i="7"/>
  <c r="E1358" i="7"/>
  <c r="Q1357" i="7"/>
  <c r="K1357" i="7"/>
  <c r="E1357" i="7"/>
  <c r="Q1356" i="7"/>
  <c r="K1356" i="7"/>
  <c r="E1356" i="7"/>
  <c r="Q1355" i="7"/>
  <c r="L1355" i="7"/>
  <c r="E1355" i="7"/>
  <c r="Q1354" i="7"/>
  <c r="L1354" i="7"/>
  <c r="E1354" i="7"/>
  <c r="Q1353" i="7"/>
  <c r="L1353" i="7"/>
  <c r="E1353" i="7"/>
  <c r="Q1352" i="7"/>
  <c r="K1352" i="7"/>
  <c r="E1352" i="7"/>
  <c r="Q1351" i="7"/>
  <c r="L1351" i="7"/>
  <c r="E1351" i="7"/>
  <c r="Q1350" i="7"/>
  <c r="K1350" i="7"/>
  <c r="E1350" i="7"/>
  <c r="Q1349" i="7"/>
  <c r="L1349" i="7"/>
  <c r="E1349" i="7"/>
  <c r="Q1348" i="7"/>
  <c r="L1348" i="7"/>
  <c r="E1348" i="7"/>
  <c r="Q1347" i="7"/>
  <c r="L1347" i="7"/>
  <c r="E1347" i="7"/>
  <c r="Q1346" i="7"/>
  <c r="L1346" i="7"/>
  <c r="E1346" i="7"/>
  <c r="Q1345" i="7"/>
  <c r="L1345" i="7"/>
  <c r="E1345" i="7"/>
  <c r="Q1344" i="7"/>
  <c r="L1344" i="7"/>
  <c r="E1344" i="7"/>
  <c r="Q1343" i="7"/>
  <c r="K1343" i="7"/>
  <c r="E1343" i="7"/>
  <c r="Q1342" i="7"/>
  <c r="L1342" i="7"/>
  <c r="E1342" i="7"/>
  <c r="A1342" i="7"/>
  <c r="N1341" i="7"/>
  <c r="J1341" i="7"/>
  <c r="E1341" i="7"/>
  <c r="A1341" i="7"/>
  <c r="N1340" i="7"/>
  <c r="J1340" i="7"/>
  <c r="E1340" i="7"/>
  <c r="A1340" i="7"/>
  <c r="N1339" i="7"/>
  <c r="J1339" i="7"/>
  <c r="E1339" i="7"/>
  <c r="A1339" i="7"/>
  <c r="N1338" i="7"/>
  <c r="J1338" i="7"/>
  <c r="E1338" i="7"/>
  <c r="A1338" i="7"/>
  <c r="N1337" i="7"/>
  <c r="J1337" i="7"/>
  <c r="E1337" i="7"/>
  <c r="A1337" i="7"/>
  <c r="N1336" i="7"/>
  <c r="J1336" i="7"/>
  <c r="F1336" i="7"/>
  <c r="B1336" i="7"/>
  <c r="J1335" i="7"/>
  <c r="F1335" i="7"/>
  <c r="B1335" i="7"/>
  <c r="J1334" i="7"/>
  <c r="F1334" i="7"/>
  <c r="B1334" i="7"/>
  <c r="K1333" i="7"/>
  <c r="F1333" i="7"/>
  <c r="B1333" i="7"/>
  <c r="D1332" i="7"/>
  <c r="K1331" i="7"/>
  <c r="G1331" i="7"/>
  <c r="C1331" i="7"/>
  <c r="L1330" i="7"/>
  <c r="H1330" i="7"/>
  <c r="D1330" i="7"/>
  <c r="Q1329" i="7"/>
  <c r="F1329" i="7"/>
  <c r="A1329" i="7"/>
  <c r="N1328" i="7"/>
  <c r="J1328" i="7"/>
  <c r="F1328" i="7"/>
  <c r="B1328" i="7"/>
  <c r="K1327" i="7"/>
  <c r="F1327" i="7"/>
  <c r="B1327" i="7"/>
  <c r="K1326" i="7"/>
  <c r="F1326" i="7"/>
  <c r="B1326" i="7"/>
  <c r="K1325" i="7"/>
  <c r="F1325" i="7"/>
  <c r="B1325" i="7"/>
  <c r="J1324" i="7"/>
  <c r="F1324" i="7"/>
  <c r="B1324" i="7"/>
  <c r="J1323" i="7"/>
  <c r="F1323" i="7"/>
  <c r="B1323" i="7"/>
  <c r="J1322" i="7"/>
  <c r="F1322" i="7"/>
  <c r="B1322" i="7"/>
  <c r="J1321" i="7"/>
  <c r="F1321" i="7"/>
  <c r="B1321" i="7"/>
  <c r="K1320" i="7"/>
  <c r="F1320" i="7"/>
  <c r="B1320" i="7"/>
  <c r="K1319" i="7"/>
  <c r="G1319" i="7"/>
  <c r="C1319" i="7"/>
  <c r="L1318" i="7"/>
  <c r="G1318" i="7"/>
  <c r="C1318" i="7"/>
  <c r="K1317" i="7"/>
  <c r="G1317" i="7"/>
  <c r="C1317" i="7"/>
  <c r="L1316" i="7"/>
  <c r="G1316" i="7"/>
  <c r="C1316" i="7"/>
  <c r="L1315" i="7"/>
  <c r="G1315" i="7"/>
  <c r="C1315" i="7"/>
  <c r="L1314" i="7"/>
  <c r="G1314" i="7"/>
  <c r="C1314" i="7"/>
  <c r="L1313" i="7"/>
  <c r="G1313" i="7"/>
  <c r="C1313" i="7"/>
  <c r="L1312" i="7"/>
  <c r="G1312" i="7"/>
  <c r="C1312" i="7"/>
  <c r="L1311" i="7"/>
  <c r="G1311" i="7"/>
  <c r="C1311" i="7"/>
  <c r="L1310" i="7"/>
  <c r="G1310" i="7"/>
  <c r="C1310" i="7"/>
  <c r="L1309" i="7"/>
  <c r="G1309" i="7"/>
  <c r="C1309" i="7"/>
  <c r="L1308" i="7"/>
  <c r="G1308" i="7"/>
  <c r="C1308" i="7"/>
  <c r="L1307" i="7"/>
  <c r="G1307" i="7"/>
  <c r="C1307" i="7"/>
  <c r="L1306" i="7"/>
  <c r="G1306" i="7"/>
  <c r="C1306" i="7"/>
  <c r="L1305" i="7"/>
  <c r="G1305" i="7"/>
  <c r="C1305" i="7"/>
  <c r="L1304" i="7"/>
  <c r="G1304" i="7"/>
  <c r="C1304" i="7"/>
  <c r="L1303" i="7"/>
  <c r="G1303" i="7"/>
  <c r="C1303" i="7"/>
  <c r="L1302" i="7"/>
  <c r="G1302" i="7"/>
  <c r="C1302" i="7"/>
  <c r="K1301" i="7"/>
  <c r="F1301" i="7"/>
  <c r="B1301" i="7"/>
  <c r="K1300" i="7"/>
  <c r="F1300" i="7"/>
  <c r="B1300" i="7"/>
  <c r="K1299" i="7"/>
  <c r="F1299" i="7"/>
  <c r="B1299" i="7"/>
  <c r="H1298" i="7"/>
  <c r="D1298" i="7"/>
  <c r="Q1297" i="7"/>
  <c r="M1297" i="7"/>
  <c r="H1297" i="7"/>
  <c r="D1297" i="7"/>
  <c r="Q1296" i="7"/>
  <c r="M1296" i="7"/>
  <c r="H1296" i="7"/>
  <c r="D1296" i="7"/>
  <c r="Q1295" i="7"/>
  <c r="M1295" i="7"/>
  <c r="H1295" i="7"/>
  <c r="D1295" i="7"/>
  <c r="Q1294" i="7"/>
  <c r="M1294" i="7"/>
  <c r="H1294" i="7"/>
  <c r="D1294" i="7"/>
  <c r="Q1293" i="7"/>
  <c r="M1293" i="7"/>
  <c r="H1293" i="7"/>
  <c r="D1293" i="7"/>
  <c r="Q1292" i="7"/>
  <c r="M1292" i="7"/>
  <c r="H1292" i="7"/>
  <c r="D1292" i="7"/>
  <c r="Q1291" i="7"/>
  <c r="M1291" i="7"/>
  <c r="H1291" i="7"/>
  <c r="D1291" i="7"/>
  <c r="Q1290" i="7"/>
  <c r="M1290" i="7"/>
  <c r="H1290" i="7"/>
  <c r="D1290" i="7"/>
  <c r="Q1289" i="7"/>
  <c r="M1289" i="7"/>
  <c r="H1289" i="7"/>
  <c r="D1289" i="7"/>
  <c r="Q1288" i="7"/>
  <c r="M1288" i="7"/>
  <c r="H1288" i="7"/>
  <c r="D1288" i="7"/>
  <c r="Q1287" i="7"/>
  <c r="M1287" i="7"/>
  <c r="H1287" i="7"/>
  <c r="D1287" i="7"/>
  <c r="Q1286" i="7"/>
  <c r="M1286" i="7"/>
  <c r="H1286" i="7"/>
  <c r="D1286" i="7"/>
  <c r="Q1285" i="7"/>
  <c r="M1285" i="7"/>
  <c r="H1285" i="7"/>
  <c r="D1285" i="7"/>
  <c r="Q1284" i="7"/>
  <c r="M1284" i="7"/>
  <c r="H1284" i="7"/>
  <c r="D1284" i="7"/>
  <c r="Q1283" i="7"/>
  <c r="M1283" i="7"/>
  <c r="H1283" i="7"/>
  <c r="D1283" i="7"/>
  <c r="Q1282" i="7"/>
  <c r="M1282" i="7"/>
  <c r="H1282" i="7"/>
  <c r="D1282" i="7"/>
  <c r="Q1281" i="7"/>
  <c r="M1281" i="7"/>
  <c r="H1281" i="7"/>
  <c r="D1281" i="7"/>
  <c r="Q1280" i="7"/>
  <c r="M1280" i="7"/>
  <c r="H1280" i="7"/>
  <c r="D1280" i="7"/>
  <c r="Q1279" i="7"/>
  <c r="M1279" i="7"/>
  <c r="H1279" i="7"/>
  <c r="D1279" i="7"/>
  <c r="Q1278" i="7"/>
  <c r="M1278" i="7"/>
  <c r="H1278" i="7"/>
  <c r="D1278" i="7"/>
  <c r="Q1277" i="7"/>
  <c r="M1277" i="7"/>
  <c r="H1277" i="7"/>
  <c r="D1277" i="7"/>
  <c r="Q1276" i="7"/>
  <c r="M1276" i="7"/>
  <c r="H1276" i="7"/>
  <c r="D1276" i="7"/>
  <c r="Q1275" i="7"/>
  <c r="M1275" i="7"/>
  <c r="H1275" i="7"/>
  <c r="D1275" i="7"/>
  <c r="Q1274" i="7"/>
  <c r="M1274" i="7"/>
  <c r="H1274" i="7"/>
  <c r="D1274" i="7"/>
  <c r="Q1273" i="7"/>
  <c r="M1273" i="7"/>
  <c r="H1273" i="7"/>
  <c r="D1273" i="7"/>
  <c r="Q1272" i="7"/>
  <c r="M1272" i="7"/>
  <c r="H1272" i="7"/>
  <c r="D1272" i="7"/>
  <c r="Q1271" i="7"/>
  <c r="M1271" i="7"/>
  <c r="H1271" i="7"/>
  <c r="D1271" i="7"/>
  <c r="Q1270" i="7"/>
  <c r="M1270" i="7"/>
  <c r="H1270" i="7"/>
  <c r="D1270" i="7"/>
  <c r="Q1269" i="7"/>
  <c r="M1269" i="7"/>
  <c r="H1269" i="7"/>
  <c r="D1269" i="7"/>
  <c r="Q1268" i="7"/>
  <c r="M1268" i="7"/>
  <c r="H1268" i="7"/>
  <c r="D1268" i="7"/>
  <c r="Q1267" i="7"/>
  <c r="M1267" i="7"/>
  <c r="H1267" i="7"/>
  <c r="D1267" i="7"/>
  <c r="Q1266" i="7"/>
  <c r="M1266" i="7"/>
  <c r="H1266" i="7"/>
  <c r="D1266" i="7"/>
  <c r="Q1265" i="7"/>
  <c r="M1265" i="7"/>
  <c r="H1265" i="7"/>
  <c r="D1265" i="7"/>
  <c r="Q1264" i="7"/>
  <c r="M1264" i="7"/>
  <c r="H1264" i="7"/>
  <c r="D1264" i="7"/>
  <c r="Q1263" i="7"/>
  <c r="M1263" i="7"/>
  <c r="H1263" i="7"/>
  <c r="D1263" i="7"/>
  <c r="Q1262" i="7"/>
  <c r="M1262" i="7"/>
  <c r="H1262" i="7"/>
  <c r="D1262" i="7"/>
  <c r="Q1261" i="7"/>
  <c r="M1261" i="7"/>
  <c r="H1261" i="7"/>
  <c r="D1261" i="7"/>
  <c r="Q1260" i="7"/>
  <c r="M1260" i="7"/>
  <c r="H1260" i="7"/>
  <c r="D1260" i="7"/>
  <c r="Q1259" i="7"/>
  <c r="M1259" i="7"/>
  <c r="H1259" i="7"/>
  <c r="D1259" i="7"/>
  <c r="Q1258" i="7"/>
  <c r="M1258" i="7"/>
  <c r="H1258" i="7"/>
  <c r="D1258" i="7"/>
  <c r="Q1257" i="7"/>
  <c r="M1257" i="7"/>
  <c r="H1257" i="7"/>
  <c r="D1257" i="7"/>
  <c r="Q1256" i="7"/>
  <c r="K1256" i="7"/>
  <c r="F1256" i="7"/>
  <c r="B1256" i="7"/>
  <c r="K1255" i="7"/>
  <c r="F1255" i="7"/>
  <c r="B1255" i="7"/>
  <c r="K1254" i="7"/>
  <c r="F1254" i="7"/>
  <c r="B1254" i="7"/>
  <c r="K1253" i="7"/>
  <c r="F1253" i="7"/>
  <c r="B1253" i="7"/>
  <c r="K1252" i="7"/>
  <c r="F1252" i="7"/>
  <c r="B1252" i="7"/>
  <c r="D1251" i="7"/>
  <c r="K1250" i="7"/>
  <c r="F1250" i="7"/>
  <c r="B1250" i="7"/>
  <c r="K1249" i="7"/>
  <c r="F1249" i="7"/>
  <c r="B1249" i="7"/>
  <c r="K1248" i="7"/>
  <c r="F1248" i="7"/>
  <c r="B1248" i="7"/>
  <c r="K1247" i="7"/>
  <c r="F1247" i="7"/>
  <c r="B1247" i="7"/>
  <c r="K1246" i="7"/>
  <c r="F1246" i="7"/>
  <c r="B1246" i="7"/>
  <c r="J1245" i="7"/>
  <c r="E1245" i="7"/>
  <c r="A1245" i="7"/>
  <c r="N1244" i="7"/>
  <c r="G1244" i="7"/>
  <c r="C1244" i="7"/>
  <c r="L1243" i="7"/>
  <c r="G1243" i="7"/>
  <c r="C1243" i="7"/>
  <c r="J1242" i="7"/>
  <c r="E1242" i="7"/>
  <c r="A1242" i="7"/>
  <c r="N1241" i="7"/>
  <c r="J1241" i="7"/>
  <c r="E1241" i="7"/>
  <c r="A1241" i="7"/>
  <c r="N1240" i="7"/>
  <c r="J1240" i="7"/>
  <c r="E1240" i="7"/>
  <c r="A1240" i="7"/>
  <c r="N1239" i="7"/>
  <c r="J1239" i="7"/>
  <c r="E1239" i="7"/>
  <c r="A1239" i="7"/>
  <c r="N1238" i="7"/>
  <c r="J1238" i="7"/>
  <c r="E1238" i="7"/>
  <c r="A1238" i="7"/>
  <c r="N1237" i="7"/>
  <c r="J1237" i="7"/>
  <c r="E1237" i="7"/>
  <c r="A1237" i="7"/>
  <c r="N1236" i="7"/>
  <c r="J1236" i="7"/>
  <c r="E1236" i="7"/>
  <c r="A1236" i="7"/>
  <c r="N1235" i="7"/>
  <c r="H1235" i="7"/>
  <c r="D1235" i="7"/>
  <c r="Q1234" i="7"/>
  <c r="M1234" i="7"/>
  <c r="G1234" i="7"/>
  <c r="C1234" i="7"/>
  <c r="K1233" i="7"/>
  <c r="F1233" i="7"/>
  <c r="B1233" i="7"/>
  <c r="K1232" i="7"/>
  <c r="F1232" i="7"/>
  <c r="B1232" i="7"/>
  <c r="K1231" i="7"/>
  <c r="F1231" i="7"/>
  <c r="B1231" i="7"/>
  <c r="K1230" i="7"/>
  <c r="F1230" i="7"/>
  <c r="B1230" i="7"/>
  <c r="K1229" i="7"/>
  <c r="F1229" i="7"/>
  <c r="B1229" i="7"/>
  <c r="K1228" i="7"/>
  <c r="F1228" i="7"/>
  <c r="B1228" i="7"/>
  <c r="K1227" i="7"/>
  <c r="F1227" i="7"/>
  <c r="B1227" i="7"/>
  <c r="K1226" i="7"/>
  <c r="F1226" i="7"/>
  <c r="B1226" i="7"/>
  <c r="J1225" i="7"/>
  <c r="E1225" i="7"/>
  <c r="A1225" i="7"/>
  <c r="N1224" i="7"/>
  <c r="J1224" i="7"/>
  <c r="E1224" i="7"/>
  <c r="A1224" i="7"/>
  <c r="N1223" i="7"/>
  <c r="J1223" i="7"/>
  <c r="E1223" i="7"/>
  <c r="A1223" i="7"/>
  <c r="N1222" i="7"/>
  <c r="J1222" i="7"/>
  <c r="E1222" i="7"/>
  <c r="A1222" i="7"/>
  <c r="N1221" i="7"/>
  <c r="J1221" i="7"/>
  <c r="E1221" i="7"/>
  <c r="A1221" i="7"/>
  <c r="N1220" i="7"/>
  <c r="J1220" i="7"/>
  <c r="E1220" i="7"/>
  <c r="A1220" i="7"/>
  <c r="N1219" i="7"/>
  <c r="J1219" i="7"/>
  <c r="E1219" i="7"/>
  <c r="A1219" i="7"/>
  <c r="N1218" i="7"/>
  <c r="J1218" i="7"/>
  <c r="E1218" i="7"/>
  <c r="A1218" i="7"/>
  <c r="N1217" i="7"/>
  <c r="J1217" i="7"/>
  <c r="E1217" i="7"/>
  <c r="A1217" i="7"/>
  <c r="N1216" i="7"/>
  <c r="J1216" i="7"/>
  <c r="E1216" i="7"/>
  <c r="A1216" i="7"/>
  <c r="N1215" i="7"/>
  <c r="J1215" i="7"/>
  <c r="E1215" i="7"/>
  <c r="A1215" i="7"/>
  <c r="N1214" i="7"/>
  <c r="J1214" i="7"/>
  <c r="E1214" i="7"/>
  <c r="A1214" i="7"/>
  <c r="N1213" i="7"/>
  <c r="G1213" i="7"/>
  <c r="C1213" i="7"/>
  <c r="L1212" i="7"/>
  <c r="G1212" i="7"/>
  <c r="C1212" i="7"/>
  <c r="L1211" i="7"/>
  <c r="G1211" i="7"/>
  <c r="C1211" i="7"/>
  <c r="K1210" i="7"/>
  <c r="F1210" i="7"/>
  <c r="B1210" i="7"/>
  <c r="K1209" i="7"/>
  <c r="F1209" i="7"/>
  <c r="B1209" i="7"/>
  <c r="K1208" i="7"/>
  <c r="F1208" i="7"/>
  <c r="B1208" i="7"/>
  <c r="K1207" i="7"/>
  <c r="F1207" i="7"/>
  <c r="B1207" i="7"/>
  <c r="K1206" i="7"/>
  <c r="F1206" i="7"/>
  <c r="B1206" i="7"/>
  <c r="K1205" i="7"/>
  <c r="F1205" i="7"/>
  <c r="B1205" i="7"/>
  <c r="K1204" i="7"/>
  <c r="F1204" i="7"/>
  <c r="B1204" i="7"/>
  <c r="K1203" i="7"/>
  <c r="F1203" i="7"/>
  <c r="B1203" i="7"/>
  <c r="Q1201" i="7"/>
  <c r="D1201" i="7"/>
  <c r="Q1199" i="7"/>
  <c r="D1199" i="7"/>
  <c r="Q1197" i="7"/>
  <c r="D1197" i="7"/>
  <c r="Q1195" i="7"/>
  <c r="D1195" i="7"/>
  <c r="Q1193" i="7"/>
  <c r="D1193" i="7"/>
  <c r="Q1191" i="7"/>
  <c r="D1191" i="7"/>
  <c r="Q1189" i="7"/>
  <c r="D1189" i="7"/>
  <c r="Q1187" i="7"/>
  <c r="D1187" i="7"/>
  <c r="Q1185" i="7"/>
  <c r="D1185" i="7"/>
  <c r="Q1183" i="7"/>
  <c r="D1183" i="7"/>
  <c r="Q1181" i="7"/>
  <c r="D1181" i="7"/>
  <c r="Q1179" i="7"/>
  <c r="D1179" i="7"/>
  <c r="Q1177" i="7"/>
  <c r="D1177" i="7"/>
  <c r="Q1175" i="7"/>
  <c r="D1175" i="7"/>
  <c r="Q1173" i="7"/>
  <c r="D1173" i="7"/>
  <c r="Q1171" i="7"/>
  <c r="D1171" i="7"/>
  <c r="Q1169" i="7"/>
  <c r="D1169" i="7"/>
  <c r="Q1167" i="7"/>
  <c r="D1167" i="7"/>
  <c r="Q1165" i="7"/>
  <c r="D1165" i="7"/>
  <c r="Q1163" i="7"/>
  <c r="D1163" i="7"/>
  <c r="Q1161" i="7"/>
  <c r="D1161" i="7"/>
  <c r="Q1159" i="7"/>
  <c r="D1159" i="7"/>
  <c r="Q1157" i="7"/>
  <c r="D1157" i="7"/>
  <c r="Q1155" i="7"/>
  <c r="D1155" i="7"/>
  <c r="Q1153" i="7"/>
  <c r="D1153" i="7"/>
  <c r="Q1151" i="7"/>
  <c r="D1151" i="7"/>
  <c r="Q1149" i="7"/>
  <c r="D1149" i="7"/>
  <c r="Q1147" i="7"/>
  <c r="D1147" i="7"/>
  <c r="Q1145" i="7"/>
  <c r="D1145" i="7"/>
  <c r="Q1143" i="7"/>
  <c r="D1143" i="7"/>
  <c r="Q1141" i="7"/>
  <c r="D1141" i="7"/>
  <c r="Q1139" i="7"/>
  <c r="D1139" i="7"/>
  <c r="Q1137" i="7"/>
  <c r="D1137" i="7"/>
  <c r="Q1135" i="7"/>
  <c r="D1135" i="7"/>
  <c r="Q1133" i="7"/>
  <c r="D1133" i="7"/>
  <c r="Q1131" i="7"/>
  <c r="D1131" i="7"/>
  <c r="Q1129" i="7"/>
  <c r="D1129" i="7"/>
  <c r="Q1127" i="7"/>
  <c r="D1127" i="7"/>
  <c r="Q1125" i="7"/>
  <c r="D1125" i="7"/>
  <c r="Q1123" i="7"/>
  <c r="D1123" i="7"/>
  <c r="Q1121" i="7"/>
  <c r="D1121" i="7"/>
  <c r="Q1119" i="7"/>
  <c r="D1119" i="7"/>
  <c r="Q1117" i="7"/>
  <c r="D1117" i="7"/>
  <c r="Q1115" i="7"/>
  <c r="D1115" i="7"/>
  <c r="Q1113" i="7"/>
  <c r="D1113" i="7"/>
  <c r="Q1111" i="7"/>
  <c r="D1111" i="7"/>
  <c r="Q1109" i="7"/>
  <c r="D1109" i="7"/>
  <c r="Q1107" i="7"/>
  <c r="D1107" i="7"/>
  <c r="Q1105" i="7"/>
  <c r="D1105" i="7"/>
  <c r="Q1103" i="7"/>
  <c r="D1103" i="7"/>
  <c r="Q1101" i="7"/>
  <c r="D1101" i="7"/>
  <c r="Q1099" i="7"/>
  <c r="D1099" i="7"/>
  <c r="Q1097" i="7"/>
  <c r="D1097" i="7"/>
  <c r="Q1095" i="7"/>
  <c r="D1095" i="7"/>
  <c r="Q1093" i="7"/>
  <c r="D1093" i="7"/>
  <c r="Q1091" i="7"/>
  <c r="D1091" i="7"/>
  <c r="Q1089" i="7"/>
  <c r="D1089" i="7"/>
  <c r="Q1087" i="7"/>
  <c r="D1087" i="7"/>
  <c r="Q1085" i="7"/>
  <c r="D1085" i="7"/>
  <c r="Q1083" i="7"/>
  <c r="D1083" i="7"/>
  <c r="Q1081" i="7"/>
  <c r="D1081" i="7"/>
  <c r="Q1079" i="7"/>
  <c r="D1079" i="7"/>
  <c r="Q1077" i="7"/>
  <c r="D1077" i="7"/>
  <c r="Q1075" i="7"/>
  <c r="D1075" i="7"/>
  <c r="Q1073" i="7"/>
  <c r="D1073" i="7"/>
  <c r="Q1071" i="7"/>
  <c r="D1071" i="7"/>
  <c r="Q1069" i="7"/>
  <c r="D1069" i="7"/>
  <c r="Q1067" i="7"/>
  <c r="D1067" i="7"/>
  <c r="Q1065" i="7"/>
  <c r="D1065" i="7"/>
  <c r="Q1063" i="7"/>
  <c r="D1063" i="7"/>
  <c r="Q1061" i="7"/>
  <c r="D1061" i="7"/>
  <c r="Q1059" i="7"/>
  <c r="D1059" i="7"/>
  <c r="Q1057" i="7"/>
  <c r="D1057" i="7"/>
  <c r="Q1055" i="7"/>
  <c r="D1055" i="7"/>
  <c r="Q1053" i="7"/>
  <c r="D1053" i="7"/>
  <c r="Q1051" i="7"/>
  <c r="D1051" i="7"/>
  <c r="Q1049" i="7"/>
  <c r="D1049" i="7"/>
  <c r="Q1047" i="7"/>
  <c r="D1047" i="7"/>
  <c r="Q1045" i="7"/>
  <c r="D1045" i="7"/>
  <c r="Q1043" i="7"/>
  <c r="D1043" i="7"/>
  <c r="Q1041" i="7"/>
  <c r="D1041" i="7"/>
  <c r="Q1039" i="7"/>
  <c r="D1039" i="7"/>
  <c r="Q1037" i="7"/>
  <c r="D1037" i="7"/>
  <c r="Q1035" i="7"/>
  <c r="D1035" i="7"/>
  <c r="Q1033" i="7"/>
  <c r="D1033" i="7"/>
  <c r="Q1031" i="7"/>
  <c r="D1031" i="7"/>
  <c r="Q1029" i="7"/>
  <c r="D1029" i="7"/>
  <c r="Q1027" i="7"/>
  <c r="D1027" i="7"/>
  <c r="Q1025" i="7"/>
  <c r="D1025" i="7"/>
  <c r="Q1023" i="7"/>
  <c r="D1023" i="7"/>
  <c r="Q1021" i="7"/>
  <c r="D1021" i="7"/>
  <c r="Q1019" i="7"/>
  <c r="D1019" i="7"/>
  <c r="Q1017" i="7"/>
  <c r="D1017" i="7"/>
  <c r="Q1015" i="7"/>
  <c r="D1015" i="7"/>
  <c r="Q1013" i="7"/>
  <c r="D1013" i="7"/>
  <c r="Q1011" i="7"/>
  <c r="D1011" i="7"/>
  <c r="Q1009" i="7"/>
  <c r="D1009" i="7"/>
  <c r="Q1007" i="7"/>
  <c r="D1007" i="7"/>
  <c r="J1006" i="7"/>
  <c r="F1006" i="7"/>
  <c r="B1006" i="7"/>
  <c r="J1005" i="7"/>
  <c r="F1005" i="7"/>
  <c r="B1005" i="7"/>
  <c r="J1004" i="7"/>
  <c r="F1004" i="7"/>
  <c r="B1004" i="7"/>
  <c r="J1003" i="7"/>
  <c r="F1003" i="7"/>
  <c r="B1003" i="7"/>
  <c r="J1002" i="7"/>
  <c r="F1002" i="7"/>
  <c r="B1002" i="7"/>
  <c r="K1001" i="7"/>
  <c r="G1001" i="7"/>
  <c r="C1001" i="7"/>
  <c r="K1000" i="7"/>
  <c r="G1000" i="7"/>
  <c r="C1000" i="7"/>
  <c r="K999" i="7"/>
  <c r="G999" i="7"/>
  <c r="C999" i="7"/>
  <c r="K998" i="7"/>
  <c r="G998" i="7"/>
  <c r="C998" i="7"/>
  <c r="K997" i="7"/>
  <c r="G997" i="7"/>
  <c r="C997" i="7"/>
  <c r="K996" i="7"/>
  <c r="G996" i="7"/>
  <c r="C996" i="7"/>
  <c r="K995" i="7"/>
  <c r="G995" i="7"/>
  <c r="C995" i="7"/>
  <c r="K994" i="7"/>
  <c r="G994" i="7"/>
  <c r="C994" i="7"/>
  <c r="K993" i="7"/>
  <c r="G993" i="7"/>
  <c r="C993" i="7"/>
  <c r="K992" i="7"/>
  <c r="G992" i="7"/>
  <c r="C992" i="7"/>
  <c r="L991" i="7"/>
  <c r="G991" i="7"/>
  <c r="C991" i="7"/>
  <c r="L990" i="7"/>
  <c r="G990" i="7"/>
  <c r="C990" i="7"/>
  <c r="L989" i="7"/>
  <c r="G989" i="7"/>
  <c r="C989" i="7"/>
  <c r="L988" i="7"/>
  <c r="G988" i="7"/>
  <c r="C988" i="7"/>
  <c r="K987" i="7"/>
  <c r="G987" i="7"/>
  <c r="C987" i="7"/>
  <c r="L986" i="7"/>
  <c r="G986" i="7"/>
  <c r="C986" i="7"/>
  <c r="L985" i="7"/>
  <c r="G985" i="7"/>
  <c r="C985" i="7"/>
  <c r="L984" i="7"/>
  <c r="G984" i="7"/>
  <c r="C984" i="7"/>
  <c r="L983" i="7"/>
  <c r="G983" i="7"/>
  <c r="C983" i="7"/>
  <c r="L982" i="7"/>
  <c r="G982" i="7"/>
  <c r="C982" i="7"/>
  <c r="L981" i="7"/>
  <c r="G981" i="7"/>
  <c r="C981" i="7"/>
  <c r="L980" i="7"/>
  <c r="H980" i="7"/>
  <c r="D980" i="7"/>
  <c r="Q979" i="7"/>
  <c r="M979" i="7"/>
  <c r="H979" i="7"/>
  <c r="D979" i="7"/>
  <c r="Q978" i="7"/>
  <c r="M978" i="7"/>
  <c r="H978" i="7"/>
  <c r="D978" i="7"/>
  <c r="Q977" i="7"/>
  <c r="L977" i="7"/>
  <c r="H977" i="7"/>
  <c r="D977" i="7"/>
  <c r="Q976" i="7"/>
  <c r="M976" i="7"/>
  <c r="H976" i="7"/>
  <c r="D976" i="7"/>
  <c r="Q975" i="7"/>
  <c r="M975" i="7"/>
  <c r="I975" i="7"/>
  <c r="E975" i="7"/>
  <c r="A975" i="7"/>
  <c r="N974" i="7"/>
  <c r="J974" i="7"/>
  <c r="F974" i="7"/>
  <c r="B974" i="7"/>
  <c r="K973" i="7"/>
  <c r="F973" i="7"/>
  <c r="B973" i="7"/>
  <c r="D972" i="7"/>
  <c r="J971" i="7"/>
  <c r="F971" i="7"/>
  <c r="B971" i="7"/>
  <c r="D970" i="7"/>
  <c r="K969" i="7"/>
  <c r="F969" i="7"/>
  <c r="B969" i="7"/>
  <c r="K968" i="7"/>
  <c r="F968" i="7"/>
  <c r="B968" i="7"/>
  <c r="K967" i="7"/>
  <c r="F967" i="7"/>
  <c r="B967" i="7"/>
  <c r="K966" i="7"/>
  <c r="F966" i="7"/>
  <c r="B966" i="7"/>
  <c r="K965" i="7"/>
  <c r="F965" i="7"/>
  <c r="B965" i="7"/>
  <c r="K964" i="7"/>
  <c r="F964" i="7"/>
  <c r="B964" i="7"/>
  <c r="K963" i="7"/>
  <c r="F963" i="7"/>
  <c r="B963" i="7"/>
  <c r="K962" i="7"/>
  <c r="F962" i="7"/>
  <c r="B962" i="7"/>
  <c r="K961" i="7"/>
  <c r="F961" i="7"/>
  <c r="B961" i="7"/>
  <c r="K960" i="7"/>
  <c r="F960" i="7"/>
  <c r="B960" i="7"/>
  <c r="K959" i="7"/>
  <c r="F959" i="7"/>
  <c r="B959" i="7"/>
  <c r="K958" i="7"/>
  <c r="F958" i="7"/>
  <c r="B958" i="7"/>
  <c r="K957" i="7"/>
  <c r="F957" i="7"/>
  <c r="B957" i="7"/>
  <c r="K956" i="7"/>
  <c r="F956" i="7"/>
  <c r="B956" i="7"/>
  <c r="K955" i="7"/>
  <c r="F955" i="7"/>
  <c r="B955" i="7"/>
  <c r="K954" i="7"/>
  <c r="F954" i="7"/>
  <c r="B954" i="7"/>
  <c r="J953" i="7"/>
  <c r="E953" i="7"/>
  <c r="A953" i="7"/>
  <c r="N952" i="7"/>
  <c r="H952" i="7"/>
  <c r="D952" i="7"/>
  <c r="Q951" i="7"/>
  <c r="M951" i="7"/>
  <c r="H951" i="7"/>
  <c r="D951" i="7"/>
  <c r="Q950" i="7"/>
  <c r="M950" i="7"/>
  <c r="H950" i="7"/>
  <c r="D950" i="7"/>
  <c r="Q949" i="7"/>
  <c r="M949" i="7"/>
  <c r="H949" i="7"/>
  <c r="D949" i="7"/>
  <c r="Q948" i="7"/>
  <c r="M948" i="7"/>
  <c r="H948" i="7"/>
  <c r="D948" i="7"/>
  <c r="Q947" i="7"/>
  <c r="M947" i="7"/>
  <c r="H947" i="7"/>
  <c r="D947" i="7"/>
  <c r="Q946" i="7"/>
  <c r="M946" i="7"/>
  <c r="G946" i="7"/>
  <c r="C946" i="7"/>
  <c r="K945" i="7"/>
  <c r="F945" i="7"/>
  <c r="B945" i="7"/>
  <c r="K944" i="7"/>
  <c r="F944" i="7"/>
  <c r="B944" i="7"/>
  <c r="J943" i="7"/>
  <c r="E943" i="7"/>
  <c r="A943" i="7"/>
  <c r="N942" i="7"/>
  <c r="J942" i="7"/>
  <c r="E942" i="7"/>
  <c r="A942" i="7"/>
  <c r="N941" i="7"/>
  <c r="J941" i="7"/>
  <c r="E941" i="7"/>
  <c r="A941" i="7"/>
  <c r="N940" i="7"/>
  <c r="J940" i="7"/>
  <c r="E940" i="7"/>
  <c r="A940" i="7"/>
  <c r="N939" i="7"/>
  <c r="H939" i="7"/>
  <c r="D939" i="7"/>
  <c r="Q938" i="7"/>
  <c r="M938" i="7"/>
  <c r="H938" i="7"/>
  <c r="D938" i="7"/>
  <c r="Q937" i="7"/>
  <c r="M937" i="7"/>
  <c r="G937" i="7"/>
  <c r="C937" i="7"/>
  <c r="K936" i="7"/>
  <c r="F936" i="7"/>
  <c r="B936" i="7"/>
  <c r="K935" i="7"/>
  <c r="F935" i="7"/>
  <c r="B935" i="7"/>
  <c r="K934" i="7"/>
  <c r="F934" i="7"/>
  <c r="B934" i="7"/>
  <c r="K933" i="7"/>
  <c r="F933" i="7"/>
  <c r="B933" i="7"/>
  <c r="K932" i="7"/>
  <c r="F932" i="7"/>
  <c r="B932" i="7"/>
  <c r="K931" i="7"/>
  <c r="F931" i="7"/>
  <c r="B931" i="7"/>
  <c r="K930" i="7"/>
  <c r="F930" i="7"/>
  <c r="B930" i="7"/>
  <c r="K929" i="7"/>
  <c r="F929" i="7"/>
  <c r="B929" i="7"/>
  <c r="K928" i="7"/>
  <c r="F928" i="7"/>
  <c r="B928" i="7"/>
  <c r="K927" i="7"/>
  <c r="F927" i="7"/>
  <c r="B927" i="7"/>
  <c r="K926" i="7"/>
  <c r="F926" i="7"/>
  <c r="B926" i="7"/>
  <c r="K925" i="7"/>
  <c r="F925" i="7"/>
  <c r="B925" i="7"/>
  <c r="K924" i="7"/>
  <c r="F924" i="7"/>
  <c r="B924" i="7"/>
  <c r="K923" i="7"/>
  <c r="F923" i="7"/>
  <c r="B923" i="7"/>
  <c r="K922" i="7"/>
  <c r="F922" i="7"/>
  <c r="B922" i="7"/>
  <c r="K921" i="7"/>
  <c r="F921" i="7"/>
  <c r="B921" i="7"/>
  <c r="K920" i="7"/>
  <c r="F920" i="7"/>
  <c r="B920" i="7"/>
  <c r="K919" i="7"/>
  <c r="F919" i="7"/>
  <c r="B919" i="7"/>
  <c r="K918" i="7"/>
  <c r="F918" i="7"/>
  <c r="B918" i="7"/>
  <c r="K917" i="7"/>
  <c r="F917" i="7"/>
  <c r="B917" i="7"/>
  <c r="K916" i="7"/>
  <c r="F916" i="7"/>
  <c r="B916" i="7"/>
  <c r="K915" i="7"/>
  <c r="F915" i="7"/>
  <c r="B915" i="7"/>
  <c r="K914" i="7"/>
  <c r="F914" i="7"/>
  <c r="B914" i="7"/>
  <c r="K913" i="7"/>
  <c r="F913" i="7"/>
  <c r="B913" i="7"/>
  <c r="K912" i="7"/>
  <c r="F912" i="7"/>
  <c r="B912" i="7"/>
  <c r="K2100" i="7"/>
  <c r="D2097" i="7"/>
  <c r="Q2093" i="7"/>
  <c r="K2084" i="7"/>
  <c r="D2081" i="7"/>
  <c r="D2077" i="7"/>
  <c r="D2073" i="7"/>
  <c r="D2069" i="7"/>
  <c r="D2065" i="7"/>
  <c r="D2061" i="7"/>
  <c r="D2057" i="7"/>
  <c r="D2053" i="7"/>
  <c r="D2049" i="7"/>
  <c r="D2045" i="7"/>
  <c r="D2041" i="7"/>
  <c r="D2037" i="7"/>
  <c r="D2033" i="7"/>
  <c r="D2029" i="7"/>
  <c r="D2025" i="7"/>
  <c r="D2021" i="7"/>
  <c r="D2017" i="7"/>
  <c r="D2013" i="7"/>
  <c r="D2009" i="7"/>
  <c r="D2005" i="7"/>
  <c r="D2001" i="7"/>
  <c r="D1997" i="7"/>
  <c r="D1993" i="7"/>
  <c r="D1989" i="7"/>
  <c r="D1985" i="7"/>
  <c r="D1981" i="7"/>
  <c r="D1977" i="7"/>
  <c r="D1973" i="7"/>
  <c r="D1969" i="7"/>
  <c r="D1965" i="7"/>
  <c r="D1961" i="7"/>
  <c r="D1957" i="7"/>
  <c r="H1953" i="7"/>
  <c r="H1952" i="7"/>
  <c r="M1951" i="7"/>
  <c r="L1950" i="7"/>
  <c r="Q1948" i="7"/>
  <c r="Q1947" i="7"/>
  <c r="Q1946" i="7"/>
  <c r="Q1945" i="7"/>
  <c r="Q1944" i="7"/>
  <c r="D1944" i="7"/>
  <c r="D1943" i="7"/>
  <c r="H1942" i="7"/>
  <c r="H1941" i="7"/>
  <c r="M1940" i="7"/>
  <c r="Q1938" i="7"/>
  <c r="D1938" i="7"/>
  <c r="H1937" i="7"/>
  <c r="M1936" i="7"/>
  <c r="M1935" i="7"/>
  <c r="Q1929" i="7"/>
  <c r="Q1928" i="7"/>
  <c r="A1928" i="7"/>
  <c r="B1927" i="7"/>
  <c r="B1926" i="7"/>
  <c r="C1925" i="7"/>
  <c r="H1924" i="7"/>
  <c r="Q1923" i="7"/>
  <c r="H1923" i="7"/>
  <c r="Q1922" i="7"/>
  <c r="H1922" i="7"/>
  <c r="Q1921" i="7"/>
  <c r="H1921" i="7"/>
  <c r="Q1920" i="7"/>
  <c r="H1920" i="7"/>
  <c r="Q1919" i="7"/>
  <c r="H1919" i="7"/>
  <c r="Q1918" i="7"/>
  <c r="H1918" i="7"/>
  <c r="Q1917" i="7"/>
  <c r="H1917" i="7"/>
  <c r="Q1916" i="7"/>
  <c r="H1916" i="7"/>
  <c r="Q1915" i="7"/>
  <c r="H1915" i="7"/>
  <c r="Q1914" i="7"/>
  <c r="I1914" i="7"/>
  <c r="A1914" i="7"/>
  <c r="I1913" i="7"/>
  <c r="A1913" i="7"/>
  <c r="I1912" i="7"/>
  <c r="A1912" i="7"/>
  <c r="I1911" i="7"/>
  <c r="A1911" i="7"/>
  <c r="I1910" i="7"/>
  <c r="A1910" i="7"/>
  <c r="H1909" i="7"/>
  <c r="Q1908" i="7"/>
  <c r="H1908" i="7"/>
  <c r="Q1907" i="7"/>
  <c r="H1907" i="7"/>
  <c r="Q1906" i="7"/>
  <c r="H1906" i="7"/>
  <c r="Q1905" i="7"/>
  <c r="H1905" i="7"/>
  <c r="Q1904" i="7"/>
  <c r="H1904" i="7"/>
  <c r="Q1903" i="7"/>
  <c r="I1903" i="7"/>
  <c r="A1903" i="7"/>
  <c r="J1902" i="7"/>
  <c r="B1902" i="7"/>
  <c r="N1901" i="7"/>
  <c r="E1901" i="7"/>
  <c r="F1900" i="7"/>
  <c r="J1899" i="7"/>
  <c r="A1899" i="7"/>
  <c r="K1898" i="7"/>
  <c r="B1898" i="7"/>
  <c r="N1897" i="7"/>
  <c r="E1897" i="7"/>
  <c r="F1896" i="7"/>
  <c r="J1895" i="7"/>
  <c r="A1895" i="7"/>
  <c r="K1894" i="7"/>
  <c r="B1894" i="7"/>
  <c r="N1893" i="7"/>
  <c r="E1893" i="7"/>
  <c r="F1892" i="7"/>
  <c r="J1891" i="7"/>
  <c r="A1891" i="7"/>
  <c r="K1890" i="7"/>
  <c r="B1890" i="7"/>
  <c r="N1889" i="7"/>
  <c r="E1889" i="7"/>
  <c r="F1888" i="7"/>
  <c r="J1887" i="7"/>
  <c r="A1887" i="7"/>
  <c r="K1886" i="7"/>
  <c r="B1886" i="7"/>
  <c r="N1885" i="7"/>
  <c r="E1885" i="7"/>
  <c r="F1884" i="7"/>
  <c r="J1883" i="7"/>
  <c r="A1883" i="7"/>
  <c r="K1882" i="7"/>
  <c r="B1882" i="7"/>
  <c r="N1881" i="7"/>
  <c r="E1881" i="7"/>
  <c r="F1880" i="7"/>
  <c r="J1879" i="7"/>
  <c r="A1879" i="7"/>
  <c r="K1878" i="7"/>
  <c r="B1878" i="7"/>
  <c r="N1877" i="7"/>
  <c r="E1877" i="7"/>
  <c r="F1876" i="7"/>
  <c r="J1875" i="7"/>
  <c r="A1875" i="7"/>
  <c r="K1874" i="7"/>
  <c r="B1874" i="7"/>
  <c r="N1873" i="7"/>
  <c r="E1873" i="7"/>
  <c r="F1872" i="7"/>
  <c r="J1871" i="7"/>
  <c r="A1871" i="7"/>
  <c r="K1870" i="7"/>
  <c r="B1870" i="7"/>
  <c r="N1869" i="7"/>
  <c r="E1869" i="7"/>
  <c r="F1868" i="7"/>
  <c r="J1867" i="7"/>
  <c r="A1867" i="7"/>
  <c r="K1866" i="7"/>
  <c r="B1866" i="7"/>
  <c r="N1865" i="7"/>
  <c r="E1865" i="7"/>
  <c r="E1864" i="7"/>
  <c r="H1863" i="7"/>
  <c r="Q1862" i="7"/>
  <c r="J1862" i="7"/>
  <c r="A1862" i="7"/>
  <c r="M1861" i="7"/>
  <c r="D1861" i="7"/>
  <c r="N1860" i="7"/>
  <c r="E1860" i="7"/>
  <c r="H1859" i="7"/>
  <c r="Q1858" i="7"/>
  <c r="J1858" i="7"/>
  <c r="A1858" i="7"/>
  <c r="L1857" i="7"/>
  <c r="C1857" i="7"/>
  <c r="L1856" i="7"/>
  <c r="C1856" i="7"/>
  <c r="L1855" i="7"/>
  <c r="C1855" i="7"/>
  <c r="L1854" i="7"/>
  <c r="C1854" i="7"/>
  <c r="L1853" i="7"/>
  <c r="C1853" i="7"/>
  <c r="L1852" i="7"/>
  <c r="C1852" i="7"/>
  <c r="L1851" i="7"/>
  <c r="C1851" i="7"/>
  <c r="L1850" i="7"/>
  <c r="C1850" i="7"/>
  <c r="L1849" i="7"/>
  <c r="C1849" i="7"/>
  <c r="L1848" i="7"/>
  <c r="C1848" i="7"/>
  <c r="L1847" i="7"/>
  <c r="C1847" i="7"/>
  <c r="L1846" i="7"/>
  <c r="C1846" i="7"/>
  <c r="L1845" i="7"/>
  <c r="C1845" i="7"/>
  <c r="L1844" i="7"/>
  <c r="C1844" i="7"/>
  <c r="L1843" i="7"/>
  <c r="C1843" i="7"/>
  <c r="L1842" i="7"/>
  <c r="C1842" i="7"/>
  <c r="L1841" i="7"/>
  <c r="C1841" i="7"/>
  <c r="L1840" i="7"/>
  <c r="C1840" i="7"/>
  <c r="L1839" i="7"/>
  <c r="C1839" i="7"/>
  <c r="L1838" i="7"/>
  <c r="C1838" i="7"/>
  <c r="L1837" i="7"/>
  <c r="C1837" i="7"/>
  <c r="L1836" i="7"/>
  <c r="C1836" i="7"/>
  <c r="L1835" i="7"/>
  <c r="C1835" i="7"/>
  <c r="K1834" i="7"/>
  <c r="B1834" i="7"/>
  <c r="K1833" i="7"/>
  <c r="B1833" i="7"/>
  <c r="K1832" i="7"/>
  <c r="B1832" i="7"/>
  <c r="K1831" i="7"/>
  <c r="B1831" i="7"/>
  <c r="K1830" i="7"/>
  <c r="B1830" i="7"/>
  <c r="K1829" i="7"/>
  <c r="B1829" i="7"/>
  <c r="K1828" i="7"/>
  <c r="B1828" i="7"/>
  <c r="K1827" i="7"/>
  <c r="B1827" i="7"/>
  <c r="K1826" i="7"/>
  <c r="B1826" i="7"/>
  <c r="K1825" i="7"/>
  <c r="B1825" i="7"/>
  <c r="K1824" i="7"/>
  <c r="B1824" i="7"/>
  <c r="K1823" i="7"/>
  <c r="B1823" i="7"/>
  <c r="K1822" i="7"/>
  <c r="B1822" i="7"/>
  <c r="K1821" i="7"/>
  <c r="B1821" i="7"/>
  <c r="K1820" i="7"/>
  <c r="B1820" i="7"/>
  <c r="H1819" i="7"/>
  <c r="Q1818" i="7"/>
  <c r="J1818" i="7"/>
  <c r="A1818" i="7"/>
  <c r="K1817" i="7"/>
  <c r="B1817" i="7"/>
  <c r="K1816" i="7"/>
  <c r="B1816" i="7"/>
  <c r="K1815" i="7"/>
  <c r="B1815" i="7"/>
  <c r="K1814" i="7"/>
  <c r="B1814" i="7"/>
  <c r="K1813" i="7"/>
  <c r="B1813" i="7"/>
  <c r="K1812" i="7"/>
  <c r="B1812" i="7"/>
  <c r="K1811" i="7"/>
  <c r="B1811" i="7"/>
  <c r="K1810" i="7"/>
  <c r="B1810" i="7"/>
  <c r="K1809" i="7"/>
  <c r="B1809" i="7"/>
  <c r="J1808" i="7"/>
  <c r="A1808" i="7"/>
  <c r="A1807" i="7"/>
  <c r="M1806" i="7"/>
  <c r="D1806" i="7"/>
  <c r="N1805" i="7"/>
  <c r="E1805" i="7"/>
  <c r="H1804" i="7"/>
  <c r="Q1803" i="7"/>
  <c r="J1803" i="7"/>
  <c r="A1803" i="7"/>
  <c r="K1802" i="7"/>
  <c r="A1801" i="7"/>
  <c r="K1800" i="7"/>
  <c r="A1799" i="7"/>
  <c r="K1798" i="7"/>
  <c r="A1797" i="7"/>
  <c r="K1796" i="7"/>
  <c r="A1795" i="7"/>
  <c r="K1794" i="7"/>
  <c r="A1793" i="7"/>
  <c r="K1792" i="7"/>
  <c r="A1791" i="7"/>
  <c r="K1790" i="7"/>
  <c r="A1789" i="7"/>
  <c r="K1788" i="7"/>
  <c r="A1787" i="7"/>
  <c r="K1786" i="7"/>
  <c r="A1785" i="7"/>
  <c r="K1784" i="7"/>
  <c r="A1783" i="7"/>
  <c r="K1782" i="7"/>
  <c r="A1781" i="7"/>
  <c r="K1780" i="7"/>
  <c r="A1779" i="7"/>
  <c r="K1778" i="7"/>
  <c r="A1777" i="7"/>
  <c r="K1776" i="7"/>
  <c r="A1775" i="7"/>
  <c r="K1774" i="7"/>
  <c r="A1773" i="7"/>
  <c r="K1772" i="7"/>
  <c r="A1771" i="7"/>
  <c r="K1770" i="7"/>
  <c r="A1769" i="7"/>
  <c r="K1768" i="7"/>
  <c r="A1767" i="7"/>
  <c r="K1766" i="7"/>
  <c r="A1765" i="7"/>
  <c r="I1764" i="7"/>
  <c r="A1764" i="7"/>
  <c r="I1763" i="7"/>
  <c r="A1763" i="7"/>
  <c r="M1762" i="7"/>
  <c r="C1762" i="7"/>
  <c r="L1761" i="7"/>
  <c r="B1761" i="7"/>
  <c r="J1760" i="7"/>
  <c r="B1760" i="7"/>
  <c r="I1759" i="7"/>
  <c r="A1759" i="7"/>
  <c r="I1758" i="7"/>
  <c r="A1758" i="7"/>
  <c r="I1757" i="7"/>
  <c r="A1757" i="7"/>
  <c r="I1756" i="7"/>
  <c r="A1756" i="7"/>
  <c r="I1755" i="7"/>
  <c r="A1755" i="7"/>
  <c r="H1754" i="7"/>
  <c r="Q1753" i="7"/>
  <c r="H1753" i="7"/>
  <c r="Q1752" i="7"/>
  <c r="H1752" i="7"/>
  <c r="Q1751" i="7"/>
  <c r="G1751" i="7"/>
  <c r="G1750" i="7"/>
  <c r="G1749" i="7"/>
  <c r="G1748" i="7"/>
  <c r="G1747" i="7"/>
  <c r="G1746" i="7"/>
  <c r="G1745" i="7"/>
  <c r="G1744" i="7"/>
  <c r="G1743" i="7"/>
  <c r="G1742" i="7"/>
  <c r="G1740" i="7"/>
  <c r="G1739" i="7"/>
  <c r="G1738" i="7"/>
  <c r="G1737" i="7"/>
  <c r="G1736" i="7"/>
  <c r="G1735" i="7"/>
  <c r="G1734" i="7"/>
  <c r="G1733" i="7"/>
  <c r="G1732" i="7"/>
  <c r="G1731" i="7"/>
  <c r="G1730" i="7"/>
  <c r="G1729" i="7"/>
  <c r="G1728" i="7"/>
  <c r="G1727" i="7"/>
  <c r="G1726" i="7"/>
  <c r="G1725" i="7"/>
  <c r="G1724" i="7"/>
  <c r="G1723" i="7"/>
  <c r="G1722" i="7"/>
  <c r="G1721" i="7"/>
  <c r="G1720" i="7"/>
  <c r="G1719" i="7"/>
  <c r="G1718" i="7"/>
  <c r="G1717" i="7"/>
  <c r="G1716" i="7"/>
  <c r="G1715" i="7"/>
  <c r="G1714" i="7"/>
  <c r="E1713" i="7"/>
  <c r="F1712" i="7"/>
  <c r="J1711" i="7"/>
  <c r="A1711" i="7"/>
  <c r="K1710" i="7"/>
  <c r="B1710" i="7"/>
  <c r="N1709" i="7"/>
  <c r="E1709" i="7"/>
  <c r="F1708" i="7"/>
  <c r="F1707" i="7"/>
  <c r="F1706" i="7"/>
  <c r="J1705" i="7"/>
  <c r="A1705" i="7"/>
  <c r="K1704" i="7"/>
  <c r="B1704" i="7"/>
  <c r="N1703" i="7"/>
  <c r="E1703" i="7"/>
  <c r="F1702" i="7"/>
  <c r="F1701" i="7"/>
  <c r="F1700" i="7"/>
  <c r="G1699" i="7"/>
  <c r="E1698" i="7"/>
  <c r="D1697" i="7"/>
  <c r="M1696" i="7"/>
  <c r="B1696" i="7"/>
  <c r="N1695" i="7"/>
  <c r="C1695" i="7"/>
  <c r="L1694" i="7"/>
  <c r="D1694" i="7"/>
  <c r="N1693" i="7"/>
  <c r="E1693" i="7"/>
  <c r="H1692" i="7"/>
  <c r="Q1691" i="7"/>
  <c r="J1691" i="7"/>
  <c r="A1691" i="7"/>
  <c r="J1690" i="7"/>
  <c r="B1690" i="7"/>
  <c r="J1689" i="7"/>
  <c r="B1689" i="7"/>
  <c r="N1688" i="7"/>
  <c r="E1688" i="7"/>
  <c r="F1687" i="7"/>
  <c r="F1686" i="7"/>
  <c r="F1685" i="7"/>
  <c r="J1684" i="7"/>
  <c r="A1684" i="7"/>
  <c r="K1683" i="7"/>
  <c r="B1683" i="7"/>
  <c r="J1682" i="7"/>
  <c r="B1682" i="7"/>
  <c r="N1681" i="7"/>
  <c r="E1681" i="7"/>
  <c r="F1680" i="7"/>
  <c r="J1679" i="7"/>
  <c r="A1679" i="7"/>
  <c r="K1678" i="7"/>
  <c r="B1678" i="7"/>
  <c r="N1677" i="7"/>
  <c r="E1677" i="7"/>
  <c r="F1676" i="7"/>
  <c r="J1675" i="7"/>
  <c r="A1675" i="7"/>
  <c r="I1674" i="7"/>
  <c r="A1674" i="7"/>
  <c r="D1673" i="7"/>
  <c r="J1672" i="7"/>
  <c r="B1672" i="7"/>
  <c r="N1671" i="7"/>
  <c r="E1671" i="7"/>
  <c r="M1670" i="7"/>
  <c r="E1670" i="7"/>
  <c r="M1669" i="7"/>
  <c r="E1669" i="7"/>
  <c r="M1668" i="7"/>
  <c r="E1668" i="7"/>
  <c r="E1667" i="7"/>
  <c r="M1666" i="7"/>
  <c r="E1666" i="7"/>
  <c r="M1665" i="7"/>
  <c r="E1665" i="7"/>
  <c r="N1664" i="7"/>
  <c r="F1664" i="7"/>
  <c r="J1663" i="7"/>
  <c r="A1663" i="7"/>
  <c r="K1662" i="7"/>
  <c r="B1662" i="7"/>
  <c r="J1661" i="7"/>
  <c r="B1661" i="7"/>
  <c r="J1660" i="7"/>
  <c r="B1660" i="7"/>
  <c r="J1659" i="7"/>
  <c r="B1659" i="7"/>
  <c r="J1658" i="7"/>
  <c r="B1658" i="7"/>
  <c r="J1657" i="7"/>
  <c r="B1657" i="7"/>
  <c r="J1656" i="7"/>
  <c r="B1656" i="7"/>
  <c r="J1655" i="7"/>
  <c r="B1655" i="7"/>
  <c r="J1654" i="7"/>
  <c r="B1654" i="7"/>
  <c r="J1653" i="7"/>
  <c r="B1653" i="7"/>
  <c r="J1652" i="7"/>
  <c r="B1652" i="7"/>
  <c r="J1651" i="7"/>
  <c r="B1651" i="7"/>
  <c r="J1650" i="7"/>
  <c r="B1650" i="7"/>
  <c r="J1649" i="7"/>
  <c r="B1649" i="7"/>
  <c r="N1648" i="7"/>
  <c r="E1648" i="7"/>
  <c r="M1647" i="7"/>
  <c r="E1647" i="7"/>
  <c r="F1646" i="7"/>
  <c r="F1645" i="7"/>
  <c r="A1644" i="7"/>
  <c r="I1643" i="7"/>
  <c r="A1643" i="7"/>
  <c r="I1642" i="7"/>
  <c r="A1642" i="7"/>
  <c r="I1641" i="7"/>
  <c r="A1641" i="7"/>
  <c r="I1640" i="7"/>
  <c r="A1640" i="7"/>
  <c r="I1639" i="7"/>
  <c r="A1639" i="7"/>
  <c r="I1638" i="7"/>
  <c r="A1638" i="7"/>
  <c r="K1637" i="7"/>
  <c r="B1637" i="7"/>
  <c r="I1636" i="7"/>
  <c r="A1636" i="7"/>
  <c r="I1635" i="7"/>
  <c r="A1635" i="7"/>
  <c r="I1634" i="7"/>
  <c r="A1634" i="7"/>
  <c r="I1633" i="7"/>
  <c r="A1633" i="7"/>
  <c r="I1632" i="7"/>
  <c r="A1632" i="7"/>
  <c r="I1631" i="7"/>
  <c r="A1631" i="7"/>
  <c r="I1630" i="7"/>
  <c r="A1630" i="7"/>
  <c r="F1629" i="7"/>
  <c r="L1628" i="7"/>
  <c r="D1628" i="7"/>
  <c r="K1627" i="7"/>
  <c r="H1626" i="7"/>
  <c r="Q1625" i="7"/>
  <c r="J1625" i="7"/>
  <c r="A1625" i="7"/>
  <c r="F1624" i="7"/>
  <c r="L1623" i="7"/>
  <c r="D1623" i="7"/>
  <c r="N1622" i="7"/>
  <c r="E1622" i="7"/>
  <c r="H1621" i="7"/>
  <c r="Q1620" i="7"/>
  <c r="J1620" i="7"/>
  <c r="A1620" i="7"/>
  <c r="I1619" i="7"/>
  <c r="A1619" i="7"/>
  <c r="F1618" i="7"/>
  <c r="N1617" i="7"/>
  <c r="E1617" i="7"/>
  <c r="G1616" i="7"/>
  <c r="G1615" i="7"/>
  <c r="G1614" i="7"/>
  <c r="F1613" i="7"/>
  <c r="F1612" i="7"/>
  <c r="F1611" i="7"/>
  <c r="F1610" i="7"/>
  <c r="F1609" i="7"/>
  <c r="F1608" i="7"/>
  <c r="F1607" i="7"/>
  <c r="F1606" i="7"/>
  <c r="F1605" i="7"/>
  <c r="F1604" i="7"/>
  <c r="F1603" i="7"/>
  <c r="F1602" i="7"/>
  <c r="F1601" i="7"/>
  <c r="F1600" i="7"/>
  <c r="F1599" i="7"/>
  <c r="F1598" i="7"/>
  <c r="F1597" i="7"/>
  <c r="F1596" i="7"/>
  <c r="F1595" i="7"/>
  <c r="F1594" i="7"/>
  <c r="F1593" i="7"/>
  <c r="F1592" i="7"/>
  <c r="F1591" i="7"/>
  <c r="F1590" i="7"/>
  <c r="F1589" i="7"/>
  <c r="F1588" i="7"/>
  <c r="F1587" i="7"/>
  <c r="F1586" i="7"/>
  <c r="F1585" i="7"/>
  <c r="F1584" i="7"/>
  <c r="F1583" i="7"/>
  <c r="F1582" i="7"/>
  <c r="F1581" i="7"/>
  <c r="F1580" i="7"/>
  <c r="F1579" i="7"/>
  <c r="E1578" i="7"/>
  <c r="F1577" i="7"/>
  <c r="J1576" i="7"/>
  <c r="A1576" i="7"/>
  <c r="K1575" i="7"/>
  <c r="B1575" i="7"/>
  <c r="N1574" i="7"/>
  <c r="E1574" i="7"/>
  <c r="F1573" i="7"/>
  <c r="J1572" i="7"/>
  <c r="A1572" i="7"/>
  <c r="K1571" i="7"/>
  <c r="B1571" i="7"/>
  <c r="N1570" i="7"/>
  <c r="E1570" i="7"/>
  <c r="N1569" i="7"/>
  <c r="F1569" i="7"/>
  <c r="F1568" i="7"/>
  <c r="F1567" i="7"/>
  <c r="E1566" i="7"/>
  <c r="F1565" i="7"/>
  <c r="J1564" i="7"/>
  <c r="A1564" i="7"/>
  <c r="K1563" i="7"/>
  <c r="B1563" i="7"/>
  <c r="N1562" i="7"/>
  <c r="E1562" i="7"/>
  <c r="F1561" i="7"/>
  <c r="J1560" i="7"/>
  <c r="A1560" i="7"/>
  <c r="K1559" i="7"/>
  <c r="B1559" i="7"/>
  <c r="N1558" i="7"/>
  <c r="E1558" i="7"/>
  <c r="F1557" i="7"/>
  <c r="J1556" i="7"/>
  <c r="A1556" i="7"/>
  <c r="K1555" i="7"/>
  <c r="B1555" i="7"/>
  <c r="N1554" i="7"/>
  <c r="E1554" i="7"/>
  <c r="F1553" i="7"/>
  <c r="J1552" i="7"/>
  <c r="A1552" i="7"/>
  <c r="K1551" i="7"/>
  <c r="B1551" i="7"/>
  <c r="N1550" i="7"/>
  <c r="E1550" i="7"/>
  <c r="D1549" i="7"/>
  <c r="M1548" i="7"/>
  <c r="D1548" i="7"/>
  <c r="M1547" i="7"/>
  <c r="D1547" i="7"/>
  <c r="M1546" i="7"/>
  <c r="D1546" i="7"/>
  <c r="M1545" i="7"/>
  <c r="D1545" i="7"/>
  <c r="K1544" i="7"/>
  <c r="B1544" i="7"/>
  <c r="N1543" i="7"/>
  <c r="C1543" i="7"/>
  <c r="L1542" i="7"/>
  <c r="D1542" i="7"/>
  <c r="N1541" i="7"/>
  <c r="E1541" i="7"/>
  <c r="H1540" i="7"/>
  <c r="Q1539" i="7"/>
  <c r="J1539" i="7"/>
  <c r="A1539" i="7"/>
  <c r="M1538" i="7"/>
  <c r="D1538" i="7"/>
  <c r="N1537" i="7"/>
  <c r="E1537" i="7"/>
  <c r="H1536" i="7"/>
  <c r="Q1535" i="7"/>
  <c r="J1535" i="7"/>
  <c r="A1535" i="7"/>
  <c r="M1534" i="7"/>
  <c r="D1534" i="7"/>
  <c r="N1533" i="7"/>
  <c r="E1533" i="7"/>
  <c r="F1532" i="7"/>
  <c r="F1531" i="7"/>
  <c r="E1530" i="7"/>
  <c r="F1529" i="7"/>
  <c r="J1528" i="7"/>
  <c r="A1528" i="7"/>
  <c r="K1527" i="7"/>
  <c r="B1527" i="7"/>
  <c r="N1526" i="7"/>
  <c r="E1526" i="7"/>
  <c r="F1525" i="7"/>
  <c r="J1524" i="7"/>
  <c r="A1524" i="7"/>
  <c r="K1523" i="7"/>
  <c r="B1523" i="7"/>
  <c r="N1522" i="7"/>
  <c r="E1522" i="7"/>
  <c r="F1521" i="7"/>
  <c r="H1520" i="7"/>
  <c r="Q1519" i="7"/>
  <c r="J1519" i="7"/>
  <c r="A1519" i="7"/>
  <c r="M1518" i="7"/>
  <c r="D1518" i="7"/>
  <c r="N1517" i="7"/>
  <c r="E1517" i="7"/>
  <c r="H1516" i="7"/>
  <c r="Q1515" i="7"/>
  <c r="J1515" i="7"/>
  <c r="A1515" i="7"/>
  <c r="M1514" i="7"/>
  <c r="D1514" i="7"/>
  <c r="N1513" i="7"/>
  <c r="E1513" i="7"/>
  <c r="H1512" i="7"/>
  <c r="Q1511" i="7"/>
  <c r="G1511" i="7"/>
  <c r="E1510" i="7"/>
  <c r="H1509" i="7"/>
  <c r="Q1508" i="7"/>
  <c r="J1508" i="7"/>
  <c r="A1508" i="7"/>
  <c r="M1507" i="7"/>
  <c r="D1507" i="7"/>
  <c r="N1506" i="7"/>
  <c r="E1506" i="7"/>
  <c r="H1505" i="7"/>
  <c r="Q1504" i="7"/>
  <c r="J1504" i="7"/>
  <c r="A1504" i="7"/>
  <c r="M1503" i="7"/>
  <c r="D1503" i="7"/>
  <c r="Q1431" i="7"/>
  <c r="A1431" i="7"/>
  <c r="K1430" i="7"/>
  <c r="Q1427" i="7"/>
  <c r="A1427" i="7"/>
  <c r="K1426" i="7"/>
  <c r="Q1423" i="7"/>
  <c r="A1423" i="7"/>
  <c r="K1422" i="7"/>
  <c r="Q1419" i="7"/>
  <c r="A1419" i="7"/>
  <c r="K1418" i="7"/>
  <c r="Q1415" i="7"/>
  <c r="A1415" i="7"/>
  <c r="K1414" i="7"/>
  <c r="Q1411" i="7"/>
  <c r="A1411" i="7"/>
  <c r="K1410" i="7"/>
  <c r="Q1407" i="7"/>
  <c r="A1407" i="7"/>
  <c r="K1406" i="7"/>
  <c r="Q1403" i="7"/>
  <c r="A1403" i="7"/>
  <c r="K1402" i="7"/>
  <c r="Q1399" i="7"/>
  <c r="A1399" i="7"/>
  <c r="K1398" i="7"/>
  <c r="Q1395" i="7"/>
  <c r="A1395" i="7"/>
  <c r="K1394" i="7"/>
  <c r="Q1391" i="7"/>
  <c r="A1391" i="7"/>
  <c r="K1390" i="7"/>
  <c r="Q1387" i="7"/>
  <c r="A1387" i="7"/>
  <c r="K1386" i="7"/>
  <c r="Q1383" i="7"/>
  <c r="A1383" i="7"/>
  <c r="K1382" i="7"/>
  <c r="Q1379" i="7"/>
  <c r="A1379" i="7"/>
  <c r="K1378" i="7"/>
  <c r="Q1375" i="7"/>
  <c r="A1375" i="7"/>
  <c r="K1374" i="7"/>
  <c r="Q1371" i="7"/>
  <c r="A1371" i="7"/>
  <c r="K1370" i="7"/>
  <c r="Q1367" i="7"/>
  <c r="A1367" i="7"/>
  <c r="K1366" i="7"/>
  <c r="Q1363" i="7"/>
  <c r="A1363" i="7"/>
  <c r="K1362" i="7"/>
  <c r="H1361" i="7"/>
  <c r="C1361" i="7"/>
  <c r="H1360" i="7"/>
  <c r="C1360" i="7"/>
  <c r="H1359" i="7"/>
  <c r="C1359" i="7"/>
  <c r="I1358" i="7"/>
  <c r="D1358" i="7"/>
  <c r="I1357" i="7"/>
  <c r="D1357" i="7"/>
  <c r="I1356" i="7"/>
  <c r="D1356" i="7"/>
  <c r="J1355" i="7"/>
  <c r="D1355" i="7"/>
  <c r="J1354" i="7"/>
  <c r="D1354" i="7"/>
  <c r="J1353" i="7"/>
  <c r="D1353" i="7"/>
  <c r="I1352" i="7"/>
  <c r="D1352" i="7"/>
  <c r="J1351" i="7"/>
  <c r="D1351" i="7"/>
  <c r="I1350" i="7"/>
  <c r="D1350" i="7"/>
  <c r="J1349" i="7"/>
  <c r="D1349" i="7"/>
  <c r="J1348" i="7"/>
  <c r="D1348" i="7"/>
  <c r="J1347" i="7"/>
  <c r="D1347" i="7"/>
  <c r="J1346" i="7"/>
  <c r="D1346" i="7"/>
  <c r="J1345" i="7"/>
  <c r="D1345" i="7"/>
  <c r="J1344" i="7"/>
  <c r="D1344" i="7"/>
  <c r="I1343" i="7"/>
  <c r="D1343" i="7"/>
  <c r="J1342" i="7"/>
  <c r="D1342" i="7"/>
  <c r="Q1341" i="7"/>
  <c r="M1341" i="7"/>
  <c r="H1341" i="7"/>
  <c r="D1341" i="7"/>
  <c r="Q1340" i="7"/>
  <c r="M1340" i="7"/>
  <c r="H1340" i="7"/>
  <c r="D1340" i="7"/>
  <c r="Q1339" i="7"/>
  <c r="M1339" i="7"/>
  <c r="H1339" i="7"/>
  <c r="D1339" i="7"/>
  <c r="Q1338" i="7"/>
  <c r="M1338" i="7"/>
  <c r="H1338" i="7"/>
  <c r="D1338" i="7"/>
  <c r="Q1337" i="7"/>
  <c r="M1337" i="7"/>
  <c r="H1337" i="7"/>
  <c r="D1337" i="7"/>
  <c r="Q1336" i="7"/>
  <c r="M1336" i="7"/>
  <c r="I1336" i="7"/>
  <c r="E1336" i="7"/>
  <c r="A1336" i="7"/>
  <c r="M1335" i="7"/>
  <c r="I1335" i="7"/>
  <c r="E1335" i="7"/>
  <c r="A1335" i="7"/>
  <c r="M1334" i="7"/>
  <c r="I1334" i="7"/>
  <c r="E1334" i="7"/>
  <c r="A1334" i="7"/>
  <c r="N1333" i="7"/>
  <c r="J1333" i="7"/>
  <c r="E1333" i="7"/>
  <c r="A1333" i="7"/>
  <c r="K1332" i="7"/>
  <c r="A1332" i="7"/>
  <c r="N1331" i="7"/>
  <c r="J1331" i="7"/>
  <c r="F1331" i="7"/>
  <c r="B1331" i="7"/>
  <c r="K1330" i="7"/>
  <c r="G1330" i="7"/>
  <c r="C1330" i="7"/>
  <c r="E1329" i="7"/>
  <c r="Q1328" i="7"/>
  <c r="M1328" i="7"/>
  <c r="I1328" i="7"/>
  <c r="E1328" i="7"/>
  <c r="A1328" i="7"/>
  <c r="N1327" i="7"/>
  <c r="J1327" i="7"/>
  <c r="E1327" i="7"/>
  <c r="A1327" i="7"/>
  <c r="N1326" i="7"/>
  <c r="J1326" i="7"/>
  <c r="E1326" i="7"/>
  <c r="A1326" i="7"/>
  <c r="N1325" i="7"/>
  <c r="J1325" i="7"/>
  <c r="E1325" i="7"/>
  <c r="A1325" i="7"/>
  <c r="M1324" i="7"/>
  <c r="I1324" i="7"/>
  <c r="E1324" i="7"/>
  <c r="A1324" i="7"/>
  <c r="M1323" i="7"/>
  <c r="I1323" i="7"/>
  <c r="E1323" i="7"/>
  <c r="A1323" i="7"/>
  <c r="M1322" i="7"/>
  <c r="I1322" i="7"/>
  <c r="E1322" i="7"/>
  <c r="A1322" i="7"/>
  <c r="M1321" i="7"/>
  <c r="I1321" i="7"/>
  <c r="E1321" i="7"/>
  <c r="A1321" i="7"/>
  <c r="N1320" i="7"/>
  <c r="J1320" i="7"/>
  <c r="E1320" i="7"/>
  <c r="A1320" i="7"/>
  <c r="N1319" i="7"/>
  <c r="J1319" i="7"/>
  <c r="F1319" i="7"/>
  <c r="B1319" i="7"/>
  <c r="K1318" i="7"/>
  <c r="F1318" i="7"/>
  <c r="B1318" i="7"/>
  <c r="J1317" i="7"/>
  <c r="F1317" i="7"/>
  <c r="B1317" i="7"/>
  <c r="K1316" i="7"/>
  <c r="F1316" i="7"/>
  <c r="B1316" i="7"/>
  <c r="K1315" i="7"/>
  <c r="F1315" i="7"/>
  <c r="B1315" i="7"/>
  <c r="K1314" i="7"/>
  <c r="F1314" i="7"/>
  <c r="B1314" i="7"/>
  <c r="K1313" i="7"/>
  <c r="F1313" i="7"/>
  <c r="B1313" i="7"/>
  <c r="K1312" i="7"/>
  <c r="F1312" i="7"/>
  <c r="B1312" i="7"/>
  <c r="K1311" i="7"/>
  <c r="F1311" i="7"/>
  <c r="B1311" i="7"/>
  <c r="K1310" i="7"/>
  <c r="F1310" i="7"/>
  <c r="B1310" i="7"/>
  <c r="K1309" i="7"/>
  <c r="F1309" i="7"/>
  <c r="B1309" i="7"/>
  <c r="K1308" i="7"/>
  <c r="F1308" i="7"/>
  <c r="B1308" i="7"/>
  <c r="K1307" i="7"/>
  <c r="F1307" i="7"/>
  <c r="B1307" i="7"/>
  <c r="K1306" i="7"/>
  <c r="F1306" i="7"/>
  <c r="B1306" i="7"/>
  <c r="K1305" i="7"/>
  <c r="F1305" i="7"/>
  <c r="B1305" i="7"/>
  <c r="K1304" i="7"/>
  <c r="F1304" i="7"/>
  <c r="B1304" i="7"/>
  <c r="K1303" i="7"/>
  <c r="F1303" i="7"/>
  <c r="B1303" i="7"/>
  <c r="K1302" i="7"/>
  <c r="F1302" i="7"/>
  <c r="B1302" i="7"/>
  <c r="J1301" i="7"/>
  <c r="E1301" i="7"/>
  <c r="A1301" i="7"/>
  <c r="N1300" i="7"/>
  <c r="J1300" i="7"/>
  <c r="E1300" i="7"/>
  <c r="A1300" i="7"/>
  <c r="N1299" i="7"/>
  <c r="J1299" i="7"/>
  <c r="E1299" i="7"/>
  <c r="A1299" i="7"/>
  <c r="N1298" i="7"/>
  <c r="G1298" i="7"/>
  <c r="C1298" i="7"/>
  <c r="L1297" i="7"/>
  <c r="G1297" i="7"/>
  <c r="C1297" i="7"/>
  <c r="L1296" i="7"/>
  <c r="G1296" i="7"/>
  <c r="C1296" i="7"/>
  <c r="L1295" i="7"/>
  <c r="G1295" i="7"/>
  <c r="C1295" i="7"/>
  <c r="L1294" i="7"/>
  <c r="G1294" i="7"/>
  <c r="C1294" i="7"/>
  <c r="L1293" i="7"/>
  <c r="G1293" i="7"/>
  <c r="C1293" i="7"/>
  <c r="L1292" i="7"/>
  <c r="G1292" i="7"/>
  <c r="C1292" i="7"/>
  <c r="L1291" i="7"/>
  <c r="G1291" i="7"/>
  <c r="C1291" i="7"/>
  <c r="L1290" i="7"/>
  <c r="G1290" i="7"/>
  <c r="C1290" i="7"/>
  <c r="L1289" i="7"/>
  <c r="G1289" i="7"/>
  <c r="C1289" i="7"/>
  <c r="L1288" i="7"/>
  <c r="G1288" i="7"/>
  <c r="C1288" i="7"/>
  <c r="L1287" i="7"/>
  <c r="G1287" i="7"/>
  <c r="C1287" i="7"/>
  <c r="L1286" i="7"/>
  <c r="G1286" i="7"/>
  <c r="C1286" i="7"/>
  <c r="L1285" i="7"/>
  <c r="G1285" i="7"/>
  <c r="C1285" i="7"/>
  <c r="A1255" i="7"/>
  <c r="E1254" i="7"/>
  <c r="J1253" i="7"/>
  <c r="N1252" i="7"/>
  <c r="N1250" i="7"/>
  <c r="A1249" i="7"/>
  <c r="E1248" i="7"/>
  <c r="J1247" i="7"/>
  <c r="N1246" i="7"/>
  <c r="Q1244" i="7"/>
  <c r="B1244" i="7"/>
  <c r="F1243" i="7"/>
  <c r="H1242" i="7"/>
  <c r="M1241" i="7"/>
  <c r="Q1239" i="7"/>
  <c r="D1239" i="7"/>
  <c r="H1238" i="7"/>
  <c r="M1237" i="7"/>
  <c r="Q1235" i="7"/>
  <c r="C1235" i="7"/>
  <c r="B1234" i="7"/>
  <c r="E1233" i="7"/>
  <c r="J1232" i="7"/>
  <c r="N1231" i="7"/>
  <c r="A1230" i="7"/>
  <c r="E1229" i="7"/>
  <c r="J1228" i="7"/>
  <c r="N1227" i="7"/>
  <c r="A1226" i="7"/>
  <c r="D1225" i="7"/>
  <c r="H1224" i="7"/>
  <c r="M1223" i="7"/>
  <c r="Q1221" i="7"/>
  <c r="D1221" i="7"/>
  <c r="H1220" i="7"/>
  <c r="M1219" i="7"/>
  <c r="Q1217" i="7"/>
  <c r="D1217" i="7"/>
  <c r="H1216" i="7"/>
  <c r="M1215" i="7"/>
  <c r="Q1213" i="7"/>
  <c r="B1213" i="7"/>
  <c r="F1212" i="7"/>
  <c r="K1211" i="7"/>
  <c r="A1209" i="7"/>
  <c r="E1208" i="7"/>
  <c r="J1207" i="7"/>
  <c r="N1206" i="7"/>
  <c r="A1205" i="7"/>
  <c r="E1204" i="7"/>
  <c r="J1203" i="7"/>
  <c r="A1201" i="7"/>
  <c r="A1197" i="7"/>
  <c r="A1193" i="7"/>
  <c r="A1189" i="7"/>
  <c r="A1185" i="7"/>
  <c r="A1181" i="7"/>
  <c r="A1177" i="7"/>
  <c r="A1173" i="7"/>
  <c r="A1169" i="7"/>
  <c r="A1165" i="7"/>
  <c r="A1161" i="7"/>
  <c r="A1157" i="7"/>
  <c r="A1153" i="7"/>
  <c r="A1149" i="7"/>
  <c r="A1145" i="7"/>
  <c r="A1141" i="7"/>
  <c r="A1137" i="7"/>
  <c r="A1133" i="7"/>
  <c r="A1129" i="7"/>
  <c r="A1125" i="7"/>
  <c r="A1121" i="7"/>
  <c r="A1117" i="7"/>
  <c r="A1113" i="7"/>
  <c r="A1109" i="7"/>
  <c r="A1105" i="7"/>
  <c r="A1101" i="7"/>
  <c r="A1097" i="7"/>
  <c r="A1093" i="7"/>
  <c r="A1089" i="7"/>
  <c r="A1085" i="7"/>
  <c r="A1081" i="7"/>
  <c r="A1077" i="7"/>
  <c r="A1073" i="7"/>
  <c r="A1069" i="7"/>
  <c r="A1065" i="7"/>
  <c r="A1061" i="7"/>
  <c r="A1057" i="7"/>
  <c r="A1053" i="7"/>
  <c r="A1049" i="7"/>
  <c r="A1045" i="7"/>
  <c r="A1041" i="7"/>
  <c r="M1006" i="7"/>
  <c r="E1006" i="7"/>
  <c r="M1005" i="7"/>
  <c r="E1005" i="7"/>
  <c r="M1004" i="7"/>
  <c r="E1004" i="7"/>
  <c r="M1003" i="7"/>
  <c r="E1003" i="7"/>
  <c r="M1002" i="7"/>
  <c r="E1002" i="7"/>
  <c r="N1001" i="7"/>
  <c r="F1001" i="7"/>
  <c r="F1000" i="7"/>
  <c r="F999" i="7"/>
  <c r="F998" i="7"/>
  <c r="F997" i="7"/>
  <c r="F996" i="7"/>
  <c r="F995" i="7"/>
  <c r="F994" i="7"/>
  <c r="F993" i="7"/>
  <c r="F992" i="7"/>
  <c r="H991" i="7"/>
  <c r="Q990" i="7"/>
  <c r="K990" i="7"/>
  <c r="B990" i="7"/>
  <c r="M989" i="7"/>
  <c r="D989" i="7"/>
  <c r="F988" i="7"/>
  <c r="F987" i="7"/>
  <c r="H986" i="7"/>
  <c r="Q985" i="7"/>
  <c r="K985" i="7"/>
  <c r="B985" i="7"/>
  <c r="M984" i="7"/>
  <c r="D984" i="7"/>
  <c r="F983" i="7"/>
  <c r="H982" i="7"/>
  <c r="Q981" i="7"/>
  <c r="K981" i="7"/>
  <c r="B981" i="7"/>
  <c r="K980" i="7"/>
  <c r="C980" i="7"/>
  <c r="L979" i="7"/>
  <c r="C979" i="7"/>
  <c r="L978" i="7"/>
  <c r="C978" i="7"/>
  <c r="K977" i="7"/>
  <c r="C977" i="7"/>
  <c r="L976" i="7"/>
  <c r="C976" i="7"/>
  <c r="L975" i="7"/>
  <c r="D975" i="7"/>
  <c r="M974" i="7"/>
  <c r="E974" i="7"/>
  <c r="N973" i="7"/>
  <c r="E973" i="7"/>
  <c r="K972" i="7"/>
  <c r="M971" i="7"/>
  <c r="E971" i="7"/>
  <c r="K970" i="7"/>
  <c r="N969" i="7"/>
  <c r="E969" i="7"/>
  <c r="N968" i="7"/>
  <c r="E968" i="7"/>
  <c r="N967" i="7"/>
  <c r="E967" i="7"/>
  <c r="N966" i="7"/>
  <c r="E966" i="7"/>
  <c r="N965" i="7"/>
  <c r="E965" i="7"/>
  <c r="N964" i="7"/>
  <c r="E964" i="7"/>
  <c r="N963" i="7"/>
  <c r="E963" i="7"/>
  <c r="N962" i="7"/>
  <c r="E962" i="7"/>
  <c r="N961" i="7"/>
  <c r="E961" i="7"/>
  <c r="N960" i="7"/>
  <c r="E960" i="7"/>
  <c r="N959" i="7"/>
  <c r="E959" i="7"/>
  <c r="N958" i="7"/>
  <c r="E958" i="7"/>
  <c r="N957" i="7"/>
  <c r="E957" i="7"/>
  <c r="N956" i="7"/>
  <c r="E956" i="7"/>
  <c r="N955" i="7"/>
  <c r="E955" i="7"/>
  <c r="N954" i="7"/>
  <c r="E954" i="7"/>
  <c r="N953" i="7"/>
  <c r="D953" i="7"/>
  <c r="E952" i="7"/>
  <c r="N951" i="7"/>
  <c r="E951" i="7"/>
  <c r="N950" i="7"/>
  <c r="E950" i="7"/>
  <c r="N949" i="7"/>
  <c r="E949" i="7"/>
  <c r="N948" i="7"/>
  <c r="E948" i="7"/>
  <c r="N947" i="7"/>
  <c r="E947" i="7"/>
  <c r="N946" i="7"/>
  <c r="D946" i="7"/>
  <c r="E945" i="7"/>
  <c r="N944" i="7"/>
  <c r="E944" i="7"/>
  <c r="N943" i="7"/>
  <c r="D943" i="7"/>
  <c r="F942" i="7"/>
  <c r="H941" i="7"/>
  <c r="Q940" i="7"/>
  <c r="K940" i="7"/>
  <c r="B940" i="7"/>
  <c r="M939" i="7"/>
  <c r="C939" i="7"/>
  <c r="L938" i="7"/>
  <c r="C938" i="7"/>
  <c r="K937" i="7"/>
  <c r="B937" i="7"/>
  <c r="M936" i="7"/>
  <c r="C936" i="7"/>
  <c r="L935" i="7"/>
  <c r="C935" i="7"/>
  <c r="L934" i="7"/>
  <c r="C934" i="7"/>
  <c r="L933" i="7"/>
  <c r="C933" i="7"/>
  <c r="L932" i="7"/>
  <c r="C932" i="7"/>
  <c r="L931" i="7"/>
  <c r="C931" i="7"/>
  <c r="L930" i="7"/>
  <c r="C930" i="7"/>
  <c r="L929" i="7"/>
  <c r="C929" i="7"/>
  <c r="L928" i="7"/>
  <c r="C928" i="7"/>
  <c r="L927" i="7"/>
  <c r="C927" i="7"/>
  <c r="L926" i="7"/>
  <c r="C926" i="7"/>
  <c r="L925" i="7"/>
  <c r="C925" i="7"/>
  <c r="L924" i="7"/>
  <c r="C924" i="7"/>
  <c r="L923" i="7"/>
  <c r="C923" i="7"/>
  <c r="L922" i="7"/>
  <c r="C922" i="7"/>
  <c r="L921" i="7"/>
  <c r="C921" i="7"/>
  <c r="L920" i="7"/>
  <c r="C920" i="7"/>
  <c r="L919" i="7"/>
  <c r="C919" i="7"/>
  <c r="L918" i="7"/>
  <c r="C918" i="7"/>
  <c r="L917" i="7"/>
  <c r="C917" i="7"/>
  <c r="L916" i="7"/>
  <c r="C916" i="7"/>
  <c r="L915" i="7"/>
  <c r="C915" i="7"/>
  <c r="L914" i="7"/>
  <c r="C914" i="7"/>
  <c r="L913" i="7"/>
  <c r="C913" i="7"/>
  <c r="L912" i="7"/>
  <c r="C912" i="7"/>
  <c r="L911" i="7"/>
  <c r="F911" i="7"/>
  <c r="A911" i="7"/>
  <c r="L910" i="7"/>
  <c r="F910" i="7"/>
  <c r="A910" i="7"/>
  <c r="L909" i="7"/>
  <c r="F909" i="7"/>
  <c r="A909" i="7"/>
  <c r="L908" i="7"/>
  <c r="F908" i="7"/>
  <c r="A908" i="7"/>
  <c r="L907" i="7"/>
  <c r="F907" i="7"/>
  <c r="A907" i="7"/>
  <c r="L906" i="7"/>
  <c r="F906" i="7"/>
  <c r="A906" i="7"/>
  <c r="L905" i="7"/>
  <c r="F905" i="7"/>
  <c r="A905" i="7"/>
  <c r="L904" i="7"/>
  <c r="F904" i="7"/>
  <c r="A904" i="7"/>
  <c r="L903" i="7"/>
  <c r="F903" i="7"/>
  <c r="A903" i="7"/>
  <c r="A902" i="7"/>
  <c r="K901" i="7"/>
  <c r="A899" i="7"/>
  <c r="A898" i="7"/>
  <c r="K897" i="7"/>
  <c r="A895" i="7"/>
  <c r="A894" i="7"/>
  <c r="K893" i="7"/>
  <c r="A891" i="7"/>
  <c r="A890" i="7"/>
  <c r="K889" i="7"/>
  <c r="A887" i="7"/>
  <c r="A886" i="7"/>
  <c r="K885" i="7"/>
  <c r="A883" i="7"/>
  <c r="A882" i="7"/>
  <c r="K881" i="7"/>
  <c r="A879" i="7"/>
  <c r="A878" i="7"/>
  <c r="K877" i="7"/>
  <c r="A875" i="7"/>
  <c r="A874" i="7"/>
  <c r="K873" i="7"/>
  <c r="A871" i="7"/>
  <c r="A870" i="7"/>
  <c r="K869" i="7"/>
  <c r="A867" i="7"/>
  <c r="A866" i="7"/>
  <c r="K865" i="7"/>
  <c r="A863" i="7"/>
  <c r="A862" i="7"/>
  <c r="K861" i="7"/>
  <c r="A859" i="7"/>
  <c r="A858" i="7"/>
  <c r="K857" i="7"/>
  <c r="A855" i="7"/>
  <c r="A854" i="7"/>
  <c r="K853" i="7"/>
  <c r="A851" i="7"/>
  <c r="A850" i="7"/>
  <c r="K849" i="7"/>
  <c r="A847" i="7"/>
  <c r="A846" i="7"/>
  <c r="K845" i="7"/>
  <c r="A843" i="7"/>
  <c r="A842" i="7"/>
  <c r="K841" i="7"/>
  <c r="A839" i="7"/>
  <c r="A838" i="7"/>
  <c r="K837" i="7"/>
  <c r="A835" i="7"/>
  <c r="A834" i="7"/>
  <c r="K833" i="7"/>
  <c r="A831" i="7"/>
  <c r="A830" i="7"/>
  <c r="K829" i="7"/>
  <c r="A827" i="7"/>
  <c r="A826" i="7"/>
  <c r="K825" i="7"/>
  <c r="A823" i="7"/>
  <c r="A822" i="7"/>
  <c r="K821" i="7"/>
  <c r="A819" i="7"/>
  <c r="A818" i="7"/>
  <c r="K817" i="7"/>
  <c r="A815" i="7"/>
  <c r="A814" i="7"/>
  <c r="K813" i="7"/>
  <c r="A811" i="7"/>
  <c r="A810" i="7"/>
  <c r="K809" i="7"/>
  <c r="A807" i="7"/>
  <c r="A806" i="7"/>
  <c r="K805" i="7"/>
  <c r="A803" i="7"/>
  <c r="A802" i="7"/>
  <c r="K801" i="7"/>
  <c r="A799" i="7"/>
  <c r="A798" i="7"/>
  <c r="K797" i="7"/>
  <c r="A795" i="7"/>
  <c r="A794" i="7"/>
  <c r="K793" i="7"/>
  <c r="A791" i="7"/>
  <c r="A790" i="7"/>
  <c r="K789" i="7"/>
  <c r="A787" i="7"/>
  <c r="A786" i="7"/>
  <c r="K785" i="7"/>
  <c r="A783" i="7"/>
  <c r="A782" i="7"/>
  <c r="K781" i="7"/>
  <c r="A779" i="7"/>
  <c r="A778" i="7"/>
  <c r="K777" i="7"/>
  <c r="A775" i="7"/>
  <c r="A774" i="7"/>
  <c r="K773" i="7"/>
  <c r="A771" i="7"/>
  <c r="A770" i="7"/>
  <c r="K769" i="7"/>
  <c r="A767" i="7"/>
  <c r="A766" i="7"/>
  <c r="K765" i="7"/>
  <c r="A763" i="7"/>
  <c r="A762" i="7"/>
  <c r="K761" i="7"/>
  <c r="A759" i="7"/>
  <c r="A758" i="7"/>
  <c r="K757" i="7"/>
  <c r="A755" i="7"/>
  <c r="A754" i="7"/>
  <c r="K753" i="7"/>
  <c r="A751" i="7"/>
  <c r="A750" i="7"/>
  <c r="K749" i="7"/>
  <c r="A747" i="7"/>
  <c r="A746" i="7"/>
  <c r="K745" i="7"/>
  <c r="A743" i="7"/>
  <c r="A742" i="7"/>
  <c r="K741" i="7"/>
  <c r="A739" i="7"/>
  <c r="A738" i="7"/>
  <c r="K737" i="7"/>
  <c r="A735" i="7"/>
  <c r="A734" i="7"/>
  <c r="K733" i="7"/>
  <c r="A731" i="7"/>
  <c r="A730" i="7"/>
  <c r="K729" i="7"/>
  <c r="A727" i="7"/>
  <c r="A726" i="7"/>
  <c r="K725" i="7"/>
  <c r="A723" i="7"/>
  <c r="A722" i="7"/>
  <c r="K721" i="7"/>
  <c r="A719" i="7"/>
  <c r="A718" i="7"/>
  <c r="K717" i="7"/>
  <c r="A715" i="7"/>
  <c r="A714" i="7"/>
  <c r="K713" i="7"/>
  <c r="A711" i="7"/>
  <c r="A710" i="7"/>
  <c r="K709" i="7"/>
  <c r="A707" i="7"/>
  <c r="A706" i="7"/>
  <c r="K705" i="7"/>
  <c r="A703" i="7"/>
  <c r="A702" i="7"/>
  <c r="K701" i="7"/>
  <c r="A699" i="7"/>
  <c r="A698" i="7"/>
  <c r="K697" i="7"/>
  <c r="A695" i="7"/>
  <c r="A694" i="7"/>
  <c r="K693" i="7"/>
  <c r="A691" i="7"/>
  <c r="A690" i="7"/>
  <c r="K689" i="7"/>
  <c r="A687" i="7"/>
  <c r="A686" i="7"/>
  <c r="K685" i="7"/>
  <c r="A683" i="7"/>
  <c r="A682" i="7"/>
  <c r="K681" i="7"/>
  <c r="A679" i="7"/>
  <c r="A678" i="7"/>
  <c r="K677" i="7"/>
  <c r="A675" i="7"/>
  <c r="A674" i="7"/>
  <c r="K673" i="7"/>
  <c r="A671" i="7"/>
  <c r="I670" i="7"/>
  <c r="D670" i="7"/>
  <c r="G669" i="7"/>
  <c r="B669" i="7"/>
  <c r="K668" i="7"/>
  <c r="E668" i="7"/>
  <c r="Q667" i="7"/>
  <c r="I667" i="7"/>
  <c r="C667" i="7"/>
  <c r="G666" i="7"/>
  <c r="A666" i="7"/>
  <c r="J665" i="7"/>
  <c r="E665" i="7"/>
  <c r="I664" i="7"/>
  <c r="D664" i="7"/>
  <c r="K663" i="7"/>
  <c r="D663" i="7"/>
  <c r="H662" i="7"/>
  <c r="C662" i="7"/>
  <c r="H661" i="7"/>
  <c r="C661" i="7"/>
  <c r="H660" i="7"/>
  <c r="C660" i="7"/>
  <c r="H659" i="7"/>
  <c r="C659" i="7"/>
  <c r="G658" i="7"/>
  <c r="B658" i="7"/>
  <c r="N657" i="7"/>
  <c r="F657" i="7"/>
  <c r="A657" i="7"/>
  <c r="N656" i="7"/>
  <c r="G656" i="7"/>
  <c r="A656" i="7"/>
  <c r="F655" i="7"/>
  <c r="I654" i="7"/>
  <c r="D654" i="7"/>
  <c r="I653" i="7"/>
  <c r="D653" i="7"/>
  <c r="A652" i="7"/>
  <c r="M651" i="7"/>
  <c r="H651" i="7"/>
  <c r="B651" i="7"/>
  <c r="H650" i="7"/>
  <c r="C650" i="7"/>
  <c r="N649" i="7"/>
  <c r="F649" i="7"/>
  <c r="A649" i="7"/>
  <c r="K648" i="7"/>
  <c r="F648" i="7"/>
  <c r="A648" i="7"/>
  <c r="L647" i="7"/>
  <c r="E647" i="7"/>
  <c r="Q646" i="7"/>
  <c r="M646" i="7"/>
  <c r="D646" i="7"/>
  <c r="H645" i="7"/>
  <c r="B645" i="7"/>
  <c r="H644" i="7"/>
  <c r="C644" i="7"/>
  <c r="N643" i="7"/>
  <c r="F643" i="7"/>
  <c r="A643" i="7"/>
  <c r="K642" i="7"/>
  <c r="D642" i="7"/>
  <c r="H641" i="7"/>
  <c r="C641" i="7"/>
  <c r="F640" i="7"/>
  <c r="A640" i="7"/>
  <c r="N639" i="7"/>
  <c r="G639" i="7"/>
  <c r="A639" i="7"/>
  <c r="M638" i="7"/>
  <c r="F638" i="7"/>
  <c r="Q637" i="7"/>
  <c r="L637" i="7"/>
  <c r="E637" i="7"/>
  <c r="K636" i="7"/>
  <c r="E636" i="7"/>
  <c r="A636" i="7"/>
  <c r="N635" i="7"/>
  <c r="H635" i="7"/>
  <c r="D635" i="7"/>
  <c r="Q634" i="7"/>
  <c r="M634" i="7"/>
  <c r="G634" i="7"/>
  <c r="C634" i="7"/>
  <c r="L633" i="7"/>
  <c r="F633" i="7"/>
  <c r="B633" i="7"/>
  <c r="K632" i="7"/>
  <c r="E632" i="7"/>
  <c r="A632" i="7"/>
  <c r="N631" i="7"/>
  <c r="H631" i="7"/>
  <c r="D631" i="7"/>
  <c r="Q630" i="7"/>
  <c r="M630" i="7"/>
  <c r="G630" i="7"/>
  <c r="C630" i="7"/>
  <c r="K629" i="7"/>
  <c r="E629" i="7"/>
  <c r="A629" i="7"/>
  <c r="N628" i="7"/>
  <c r="G628" i="7"/>
  <c r="C628" i="7"/>
  <c r="K627" i="7"/>
  <c r="E627" i="7"/>
  <c r="A627" i="7"/>
  <c r="N626" i="7"/>
  <c r="H626" i="7"/>
  <c r="D626" i="7"/>
  <c r="Q625" i="7"/>
  <c r="M625" i="7"/>
  <c r="F625" i="7"/>
  <c r="B625" i="7"/>
  <c r="H624" i="7"/>
  <c r="D624" i="7"/>
  <c r="Q623" i="7"/>
  <c r="M623" i="7"/>
  <c r="G623" i="7"/>
  <c r="C623" i="7"/>
  <c r="L622" i="7"/>
  <c r="F622" i="7"/>
  <c r="B622" i="7"/>
  <c r="H621" i="7"/>
  <c r="D621" i="7"/>
  <c r="Q620" i="7"/>
  <c r="M620" i="7"/>
  <c r="G620" i="7"/>
  <c r="C620" i="7"/>
  <c r="L619" i="7"/>
  <c r="F619" i="7"/>
  <c r="B619" i="7"/>
  <c r="H618" i="7"/>
  <c r="D618" i="7"/>
  <c r="Q617" i="7"/>
  <c r="M617" i="7"/>
  <c r="F617" i="7"/>
  <c r="B617" i="7"/>
  <c r="H616" i="7"/>
  <c r="D616" i="7"/>
  <c r="Q615" i="7"/>
  <c r="M615" i="7"/>
  <c r="G615" i="7"/>
  <c r="C615" i="7"/>
  <c r="L614" i="7"/>
  <c r="F614" i="7"/>
  <c r="B614" i="7"/>
  <c r="K613" i="7"/>
  <c r="E613" i="7"/>
  <c r="A613" i="7"/>
  <c r="N612" i="7"/>
  <c r="H612" i="7"/>
  <c r="D612" i="7"/>
  <c r="Q611" i="7"/>
  <c r="M611" i="7"/>
  <c r="G611" i="7"/>
  <c r="C611" i="7"/>
  <c r="L610" i="7"/>
  <c r="F610" i="7"/>
  <c r="B610" i="7"/>
  <c r="K609" i="7"/>
  <c r="E609" i="7"/>
  <c r="A609" i="7"/>
  <c r="N608" i="7"/>
  <c r="H608" i="7"/>
  <c r="D608" i="7"/>
  <c r="Q607" i="7"/>
  <c r="M607" i="7"/>
  <c r="G607" i="7"/>
  <c r="C607" i="7"/>
  <c r="L606" i="7"/>
  <c r="F606" i="7"/>
  <c r="B606" i="7"/>
  <c r="K605" i="7"/>
  <c r="E605" i="7"/>
  <c r="A605" i="7"/>
  <c r="N604" i="7"/>
  <c r="H604" i="7"/>
  <c r="D604" i="7"/>
  <c r="Q603" i="7"/>
  <c r="M603" i="7"/>
  <c r="G603" i="7"/>
  <c r="C603" i="7"/>
  <c r="A602" i="7"/>
  <c r="K601" i="7"/>
  <c r="A600" i="7"/>
  <c r="K599" i="7"/>
  <c r="A598" i="7"/>
  <c r="K597" i="7"/>
  <c r="A596" i="7"/>
  <c r="K595" i="7"/>
  <c r="A594" i="7"/>
  <c r="K593" i="7"/>
  <c r="A592" i="7"/>
  <c r="K591" i="7"/>
  <c r="A590" i="7"/>
  <c r="K589" i="7"/>
  <c r="A588" i="7"/>
  <c r="K587" i="7"/>
  <c r="A586" i="7"/>
  <c r="K585" i="7"/>
  <c r="A584" i="7"/>
  <c r="K583" i="7"/>
  <c r="A582" i="7"/>
  <c r="K581" i="7"/>
  <c r="A580" i="7"/>
  <c r="K579" i="7"/>
  <c r="A578" i="7"/>
  <c r="K577" i="7"/>
  <c r="A576" i="7"/>
  <c r="K575" i="7"/>
  <c r="A574" i="7"/>
  <c r="K573" i="7"/>
  <c r="A572" i="7"/>
  <c r="K571" i="7"/>
  <c r="A570" i="7"/>
  <c r="K569" i="7"/>
  <c r="A568" i="7"/>
  <c r="K567" i="7"/>
  <c r="A566" i="7"/>
  <c r="K565" i="7"/>
  <c r="A564" i="7"/>
  <c r="K563" i="7"/>
  <c r="A562" i="7"/>
  <c r="K561" i="7"/>
  <c r="A560" i="7"/>
  <c r="K559" i="7"/>
  <c r="A558" i="7"/>
  <c r="K557" i="7"/>
  <c r="A556" i="7"/>
  <c r="K555" i="7"/>
  <c r="A554" i="7"/>
  <c r="K553" i="7"/>
  <c r="A552" i="7"/>
  <c r="K551" i="7"/>
  <c r="A550" i="7"/>
  <c r="K549" i="7"/>
  <c r="A548" i="7"/>
  <c r="K547" i="7"/>
  <c r="A546" i="7"/>
  <c r="K545" i="7"/>
  <c r="A544" i="7"/>
  <c r="K543" i="7"/>
  <c r="A542" i="7"/>
  <c r="K541" i="7"/>
  <c r="A540" i="7"/>
  <c r="K539" i="7"/>
  <c r="A538" i="7"/>
  <c r="K537" i="7"/>
  <c r="A536" i="7"/>
  <c r="K535" i="7"/>
  <c r="A534" i="7"/>
  <c r="K533" i="7"/>
  <c r="A532" i="7"/>
  <c r="K531" i="7"/>
  <c r="A530" i="7"/>
  <c r="K529" i="7"/>
  <c r="A528" i="7"/>
  <c r="K527" i="7"/>
  <c r="A526" i="7"/>
  <c r="K525" i="7"/>
  <c r="A524" i="7"/>
  <c r="K523" i="7"/>
  <c r="A522" i="7"/>
  <c r="K521" i="7"/>
  <c r="A520" i="7"/>
  <c r="K519" i="7"/>
  <c r="A518" i="7"/>
  <c r="K517" i="7"/>
  <c r="A516" i="7"/>
  <c r="K515" i="7"/>
  <c r="A514" i="7"/>
  <c r="K513" i="7"/>
  <c r="A512" i="7"/>
  <c r="K511" i="7"/>
  <c r="A510" i="7"/>
  <c r="K509" i="7"/>
  <c r="A508" i="7"/>
  <c r="K507" i="7"/>
  <c r="A506" i="7"/>
  <c r="K505" i="7"/>
  <c r="A504" i="7"/>
  <c r="K503" i="7"/>
  <c r="A502" i="7"/>
  <c r="K501" i="7"/>
  <c r="A500" i="7"/>
  <c r="K499" i="7"/>
  <c r="A498" i="7"/>
  <c r="K497" i="7"/>
  <c r="A496" i="7"/>
  <c r="K495" i="7"/>
  <c r="A494" i="7"/>
  <c r="K493" i="7"/>
  <c r="A492" i="7"/>
  <c r="K491" i="7"/>
  <c r="A490" i="7"/>
  <c r="K489" i="7"/>
  <c r="A488" i="7"/>
  <c r="K487" i="7"/>
  <c r="A486" i="7"/>
  <c r="K485" i="7"/>
  <c r="A484" i="7"/>
  <c r="K483" i="7"/>
  <c r="A482" i="7"/>
  <c r="K481" i="7"/>
  <c r="A480" i="7"/>
  <c r="K479" i="7"/>
  <c r="A478" i="7"/>
  <c r="K477" i="7"/>
  <c r="A476" i="7"/>
  <c r="K475" i="7"/>
  <c r="A474" i="7"/>
  <c r="K473" i="7"/>
  <c r="A472" i="7"/>
  <c r="K471" i="7"/>
  <c r="A470" i="7"/>
  <c r="K469" i="7"/>
  <c r="A468" i="7"/>
  <c r="K467" i="7"/>
  <c r="A466" i="7"/>
  <c r="K465" i="7"/>
  <c r="A464" i="7"/>
  <c r="K463" i="7"/>
  <c r="A462" i="7"/>
  <c r="K461" i="7"/>
  <c r="A460" i="7"/>
  <c r="K459" i="7"/>
  <c r="A458" i="7"/>
  <c r="K457" i="7"/>
  <c r="A456" i="7"/>
  <c r="K455" i="7"/>
  <c r="A454" i="7"/>
  <c r="K453" i="7"/>
  <c r="A452" i="7"/>
  <c r="K451" i="7"/>
  <c r="A450" i="7"/>
  <c r="K449" i="7"/>
  <c r="A448" i="7"/>
  <c r="K447" i="7"/>
  <c r="A446" i="7"/>
  <c r="K445" i="7"/>
  <c r="A444" i="7"/>
  <c r="K443" i="7"/>
  <c r="A442" i="7"/>
  <c r="K441" i="7"/>
  <c r="A440" i="7"/>
  <c r="K439" i="7"/>
  <c r="A438" i="7"/>
  <c r="K437" i="7"/>
  <c r="A436" i="7"/>
  <c r="K435" i="7"/>
  <c r="A434" i="7"/>
  <c r="K433" i="7"/>
  <c r="A432" i="7"/>
  <c r="K431" i="7"/>
  <c r="A430" i="7"/>
  <c r="K429" i="7"/>
  <c r="A428" i="7"/>
  <c r="K427" i="7"/>
  <c r="A426" i="7"/>
  <c r="K425" i="7"/>
  <c r="A424" i="7"/>
  <c r="K423" i="7"/>
  <c r="A422" i="7"/>
  <c r="K421" i="7"/>
  <c r="A420" i="7"/>
  <c r="K419" i="7"/>
  <c r="A418" i="7"/>
  <c r="K417" i="7"/>
  <c r="A416" i="7"/>
  <c r="K415" i="7"/>
  <c r="A414" i="7"/>
  <c r="K413" i="7"/>
  <c r="A412" i="7"/>
  <c r="K411" i="7"/>
  <c r="A410" i="7"/>
  <c r="K409" i="7"/>
  <c r="A408" i="7"/>
  <c r="K407" i="7"/>
  <c r="A406" i="7"/>
  <c r="K405" i="7"/>
  <c r="A404" i="7"/>
  <c r="K403" i="7"/>
  <c r="A402" i="7"/>
  <c r="L401" i="7"/>
  <c r="H401" i="7"/>
  <c r="D401" i="7"/>
  <c r="Q400" i="7"/>
  <c r="L400" i="7"/>
  <c r="H400" i="7"/>
  <c r="D400" i="7"/>
  <c r="Q399" i="7"/>
  <c r="L399" i="7"/>
  <c r="H399" i="7"/>
  <c r="D399" i="7"/>
  <c r="Q398" i="7"/>
  <c r="K398" i="7"/>
  <c r="A398" i="7"/>
  <c r="L397" i="7"/>
  <c r="D397" i="7"/>
  <c r="K396" i="7"/>
  <c r="F396" i="7"/>
  <c r="B396" i="7"/>
  <c r="K395" i="7"/>
  <c r="F395" i="7"/>
  <c r="B395" i="7"/>
  <c r="K394" i="7"/>
  <c r="F394" i="7"/>
  <c r="B394" i="7"/>
  <c r="J393" i="7"/>
  <c r="F393" i="7"/>
  <c r="B393" i="7"/>
  <c r="K392" i="7"/>
  <c r="F392" i="7"/>
  <c r="B392" i="7"/>
  <c r="K391" i="7"/>
  <c r="F391" i="7"/>
  <c r="B391" i="7"/>
  <c r="K390" i="7"/>
  <c r="F390" i="7"/>
  <c r="B390" i="7"/>
  <c r="J389" i="7"/>
  <c r="F389" i="7"/>
  <c r="B389" i="7"/>
  <c r="J388" i="7"/>
  <c r="F388" i="7"/>
  <c r="B388" i="7"/>
  <c r="J387" i="7"/>
  <c r="F387" i="7"/>
  <c r="B387" i="7"/>
  <c r="J386" i="7"/>
  <c r="F386" i="7"/>
  <c r="B386" i="7"/>
  <c r="J385" i="7"/>
  <c r="F385" i="7"/>
  <c r="B385" i="7"/>
  <c r="K384" i="7"/>
  <c r="G384" i="7"/>
  <c r="C384" i="7"/>
  <c r="K383" i="7"/>
  <c r="G383" i="7"/>
  <c r="C383" i="7"/>
  <c r="K382" i="7"/>
  <c r="G382" i="7"/>
  <c r="C382" i="7"/>
  <c r="K381" i="7"/>
  <c r="G381" i="7"/>
  <c r="C381" i="7"/>
  <c r="K380" i="7"/>
  <c r="G380" i="7"/>
  <c r="C380" i="7"/>
  <c r="K379" i="7"/>
  <c r="G379" i="7"/>
  <c r="C379" i="7"/>
  <c r="K378" i="7"/>
  <c r="G378" i="7"/>
  <c r="C378" i="7"/>
  <c r="L377" i="7"/>
  <c r="G377" i="7"/>
  <c r="C377" i="7"/>
  <c r="L376" i="7"/>
  <c r="H376" i="7"/>
  <c r="D376" i="7"/>
  <c r="Q375" i="7"/>
  <c r="L375" i="7"/>
  <c r="H375" i="7"/>
  <c r="D375" i="7"/>
  <c r="Q374" i="7"/>
  <c r="M374" i="7"/>
  <c r="H374" i="7"/>
  <c r="D374" i="7"/>
  <c r="Q373" i="7"/>
  <c r="M373" i="7"/>
  <c r="I373" i="7"/>
  <c r="E373" i="7"/>
  <c r="A373" i="7"/>
  <c r="N372" i="7"/>
  <c r="J372" i="7"/>
  <c r="F372" i="7"/>
  <c r="B372" i="7"/>
  <c r="K371" i="7"/>
  <c r="G371" i="7"/>
  <c r="C371" i="7"/>
  <c r="K370" i="7"/>
  <c r="G370" i="7"/>
  <c r="C370" i="7"/>
  <c r="K369" i="7"/>
  <c r="G369" i="7"/>
  <c r="C369" i="7"/>
  <c r="L368" i="7"/>
  <c r="G368" i="7"/>
  <c r="C368" i="7"/>
  <c r="L367" i="7"/>
  <c r="G367" i="7"/>
  <c r="C367" i="7"/>
  <c r="L366" i="7"/>
  <c r="G366" i="7"/>
  <c r="C366" i="7"/>
  <c r="K365" i="7"/>
  <c r="G365" i="7"/>
  <c r="C365" i="7"/>
  <c r="L364" i="7"/>
  <c r="G364" i="7"/>
  <c r="C364" i="7"/>
  <c r="L363" i="7"/>
  <c r="H363" i="7"/>
  <c r="D363" i="7"/>
  <c r="Q362" i="7"/>
  <c r="M362" i="7"/>
  <c r="I362" i="7"/>
  <c r="E362" i="7"/>
  <c r="A362" i="7"/>
  <c r="N361" i="7"/>
  <c r="H361" i="7"/>
  <c r="D361" i="7"/>
  <c r="Q360" i="7"/>
  <c r="M360" i="7"/>
  <c r="H360" i="7"/>
  <c r="D360" i="7"/>
  <c r="Q359" i="7"/>
  <c r="L359" i="7"/>
  <c r="G359" i="7"/>
  <c r="C359" i="7"/>
  <c r="L358" i="7"/>
  <c r="G358" i="7"/>
  <c r="C358" i="7"/>
  <c r="L357" i="7"/>
  <c r="G357" i="7"/>
  <c r="C357" i="7"/>
  <c r="K356" i="7"/>
  <c r="G356" i="7"/>
  <c r="C356" i="7"/>
  <c r="K355" i="7"/>
  <c r="G355" i="7"/>
  <c r="C355" i="7"/>
  <c r="L354" i="7"/>
  <c r="G354" i="7"/>
  <c r="C354" i="7"/>
  <c r="L353" i="7"/>
  <c r="G353" i="7"/>
  <c r="C353" i="7"/>
  <c r="L352" i="7"/>
  <c r="G352" i="7"/>
  <c r="C352" i="7"/>
  <c r="K351" i="7"/>
  <c r="G351" i="7"/>
  <c r="C351" i="7"/>
  <c r="K350" i="7"/>
  <c r="G350" i="7"/>
  <c r="C350" i="7"/>
  <c r="L349" i="7"/>
  <c r="G349" i="7"/>
  <c r="C349" i="7"/>
  <c r="L348" i="7"/>
  <c r="G348" i="7"/>
  <c r="C348" i="7"/>
  <c r="L347" i="7"/>
  <c r="G347" i="7"/>
  <c r="C347" i="7"/>
  <c r="L346" i="7"/>
  <c r="G346" i="7"/>
  <c r="C346" i="7"/>
  <c r="L345" i="7"/>
  <c r="G345" i="7"/>
  <c r="C345" i="7"/>
  <c r="L344" i="7"/>
  <c r="G344" i="7"/>
  <c r="C344" i="7"/>
  <c r="L343" i="7"/>
  <c r="G343" i="7"/>
  <c r="C343" i="7"/>
  <c r="J342" i="7"/>
  <c r="E342" i="7"/>
  <c r="A342" i="7"/>
  <c r="N341" i="7"/>
  <c r="J341" i="7"/>
  <c r="E341" i="7"/>
  <c r="A341" i="7"/>
  <c r="N340" i="7"/>
  <c r="J340" i="7"/>
  <c r="E340" i="7"/>
  <c r="A340" i="7"/>
  <c r="N339" i="7"/>
  <c r="J339" i="7"/>
  <c r="E339" i="7"/>
  <c r="A339" i="7"/>
  <c r="N338" i="7"/>
  <c r="J338" i="7"/>
  <c r="E338" i="7"/>
  <c r="A338" i="7"/>
  <c r="N337" i="7"/>
  <c r="J337" i="7"/>
  <c r="E337" i="7"/>
  <c r="A337" i="7"/>
  <c r="N336" i="7"/>
  <c r="J336" i="7"/>
  <c r="E336" i="7"/>
  <c r="A336" i="7"/>
  <c r="N335" i="7"/>
  <c r="J335" i="7"/>
  <c r="E335" i="7"/>
  <c r="A335" i="7"/>
  <c r="N334" i="7"/>
  <c r="J334" i="7"/>
  <c r="E334" i="7"/>
  <c r="A334" i="7"/>
  <c r="N333" i="7"/>
  <c r="H333" i="7"/>
  <c r="D333" i="7"/>
  <c r="Q332" i="7"/>
  <c r="M332" i="7"/>
  <c r="G332" i="7"/>
  <c r="C332" i="7"/>
  <c r="L331" i="7"/>
  <c r="G331" i="7"/>
  <c r="C331" i="7"/>
  <c r="K330" i="7"/>
  <c r="F330" i="7"/>
  <c r="B330" i="7"/>
  <c r="K329" i="7"/>
  <c r="F329" i="7"/>
  <c r="B329" i="7"/>
  <c r="K328" i="7"/>
  <c r="F328" i="7"/>
  <c r="B328" i="7"/>
  <c r="K327" i="7"/>
  <c r="F327" i="7"/>
  <c r="B327" i="7"/>
  <c r="K326" i="7"/>
  <c r="F326" i="7"/>
  <c r="B326" i="7"/>
  <c r="K325" i="7"/>
  <c r="F325" i="7"/>
  <c r="B325" i="7"/>
  <c r="K324" i="7"/>
  <c r="F324" i="7"/>
  <c r="B324" i="7"/>
  <c r="K323" i="7"/>
  <c r="F323" i="7"/>
  <c r="B323" i="7"/>
  <c r="K322" i="7"/>
  <c r="F322" i="7"/>
  <c r="B322" i="7"/>
  <c r="K321" i="7"/>
  <c r="F321" i="7"/>
  <c r="B321" i="7"/>
  <c r="K320" i="7"/>
  <c r="F320" i="7"/>
  <c r="B320" i="7"/>
  <c r="K319" i="7"/>
  <c r="F319" i="7"/>
  <c r="B319" i="7"/>
  <c r="K318" i="7"/>
  <c r="F318" i="7"/>
  <c r="B318" i="7"/>
  <c r="K317" i="7"/>
  <c r="F317" i="7"/>
  <c r="B317" i="7"/>
  <c r="K316" i="7"/>
  <c r="F316" i="7"/>
  <c r="B316" i="7"/>
  <c r="K315" i="7"/>
  <c r="F315" i="7"/>
  <c r="B315" i="7"/>
  <c r="K314" i="7"/>
  <c r="F314" i="7"/>
  <c r="B314" i="7"/>
  <c r="K313" i="7"/>
  <c r="F313" i="7"/>
  <c r="B313" i="7"/>
  <c r="K312" i="7"/>
  <c r="F312" i="7"/>
  <c r="B312" i="7"/>
  <c r="K311" i="7"/>
  <c r="F311" i="7"/>
  <c r="B311" i="7"/>
  <c r="K310" i="7"/>
  <c r="F310" i="7"/>
  <c r="B310" i="7"/>
  <c r="K309" i="7"/>
  <c r="F309" i="7"/>
  <c r="B309" i="7"/>
  <c r="K308" i="7"/>
  <c r="F308" i="7"/>
  <c r="B308" i="7"/>
  <c r="K307" i="7"/>
  <c r="F307" i="7"/>
  <c r="B307" i="7"/>
  <c r="K306" i="7"/>
  <c r="F306" i="7"/>
  <c r="B306" i="7"/>
  <c r="K305" i="7"/>
  <c r="F305" i="7"/>
  <c r="B305" i="7"/>
  <c r="K304" i="7"/>
  <c r="F304" i="7"/>
  <c r="B304" i="7"/>
  <c r="K303" i="7"/>
  <c r="F303" i="7"/>
  <c r="B303" i="7"/>
  <c r="K302" i="7"/>
  <c r="A301" i="7"/>
  <c r="K300" i="7"/>
  <c r="A299" i="7"/>
  <c r="K298" i="7"/>
  <c r="A297" i="7"/>
  <c r="K296" i="7"/>
  <c r="A295" i="7"/>
  <c r="K294" i="7"/>
  <c r="A293" i="7"/>
  <c r="K292" i="7"/>
  <c r="A291" i="7"/>
  <c r="K290" i="7"/>
  <c r="A289" i="7"/>
  <c r="K288" i="7"/>
  <c r="A287" i="7"/>
  <c r="K286" i="7"/>
  <c r="A285" i="7"/>
  <c r="K284" i="7"/>
  <c r="A283" i="7"/>
  <c r="K282" i="7"/>
  <c r="A281" i="7"/>
  <c r="K280" i="7"/>
  <c r="A279" i="7"/>
  <c r="K278" i="7"/>
  <c r="A277" i="7"/>
  <c r="K276" i="7"/>
  <c r="A275" i="7"/>
  <c r="K274" i="7"/>
  <c r="A273" i="7"/>
  <c r="K272" i="7"/>
  <c r="A271" i="7"/>
  <c r="K270" i="7"/>
  <c r="A269" i="7"/>
  <c r="K268" i="7"/>
  <c r="A267" i="7"/>
  <c r="K266" i="7"/>
  <c r="A265" i="7"/>
  <c r="K264" i="7"/>
  <c r="A263" i="7"/>
  <c r="K262" i="7"/>
  <c r="A261" i="7"/>
  <c r="K260" i="7"/>
  <c r="A259" i="7"/>
  <c r="K258" i="7"/>
  <c r="A257" i="7"/>
  <c r="K256" i="7"/>
  <c r="A255" i="7"/>
  <c r="K254" i="7"/>
  <c r="A253" i="7"/>
  <c r="K252" i="7"/>
  <c r="A251" i="7"/>
  <c r="K250" i="7"/>
  <c r="A249" i="7"/>
  <c r="K248" i="7"/>
  <c r="A247" i="7"/>
  <c r="K246" i="7"/>
  <c r="A245" i="7"/>
  <c r="K244" i="7"/>
  <c r="A243" i="7"/>
  <c r="K242" i="7"/>
  <c r="A241" i="7"/>
  <c r="K240" i="7"/>
  <c r="A239" i="7"/>
  <c r="K238" i="7"/>
  <c r="A237" i="7"/>
  <c r="K236" i="7"/>
  <c r="A235" i="7"/>
  <c r="K234" i="7"/>
  <c r="A233" i="7"/>
  <c r="K232" i="7"/>
  <c r="A231" i="7"/>
  <c r="K230" i="7"/>
  <c r="J229" i="7"/>
  <c r="F229" i="7"/>
  <c r="B229" i="7"/>
  <c r="J228" i="7"/>
  <c r="F228" i="7"/>
  <c r="B228" i="7"/>
  <c r="J227" i="7"/>
  <c r="F227" i="7"/>
  <c r="B227" i="7"/>
  <c r="J226" i="7"/>
  <c r="F226" i="7"/>
  <c r="B226" i="7"/>
  <c r="J225" i="7"/>
  <c r="F225" i="7"/>
  <c r="B225" i="7"/>
  <c r="J224" i="7"/>
  <c r="F224" i="7"/>
  <c r="B224" i="7"/>
  <c r="K223" i="7"/>
  <c r="G223" i="7"/>
  <c r="C223" i="7"/>
  <c r="L222" i="7"/>
  <c r="G222" i="7"/>
  <c r="C222" i="7"/>
  <c r="L221" i="7"/>
  <c r="G221" i="7"/>
  <c r="C221" i="7"/>
  <c r="L220" i="7"/>
  <c r="G220" i="7"/>
  <c r="C220" i="7"/>
  <c r="L219" i="7"/>
  <c r="G219" i="7"/>
  <c r="C219" i="7"/>
  <c r="L218" i="7"/>
  <c r="G218" i="7"/>
  <c r="C218" i="7"/>
  <c r="L217" i="7"/>
  <c r="G217" i="7"/>
  <c r="C217" i="7"/>
  <c r="K216" i="7"/>
  <c r="G216" i="7"/>
  <c r="C216" i="7"/>
  <c r="K215" i="7"/>
  <c r="G215" i="7"/>
  <c r="C215" i="7"/>
  <c r="K214" i="7"/>
  <c r="G214" i="7"/>
  <c r="C214" i="7"/>
  <c r="K213" i="7"/>
  <c r="G213" i="7"/>
  <c r="C213" i="7"/>
  <c r="L212" i="7"/>
  <c r="H212" i="7"/>
  <c r="D212" i="7"/>
  <c r="Q211" i="7"/>
  <c r="L211" i="7"/>
  <c r="H211" i="7"/>
  <c r="D211" i="7"/>
  <c r="Q210" i="7"/>
  <c r="L210" i="7"/>
  <c r="H210" i="7"/>
  <c r="D210" i="7"/>
  <c r="Q209" i="7"/>
  <c r="M209" i="7"/>
  <c r="I209" i="7"/>
  <c r="E209" i="7"/>
  <c r="A209" i="7"/>
  <c r="N208" i="7"/>
  <c r="J208" i="7"/>
  <c r="E208" i="7"/>
  <c r="A208" i="7"/>
  <c r="N207" i="7"/>
  <c r="J207" i="7"/>
  <c r="E207" i="7"/>
  <c r="A207" i="7"/>
  <c r="N206" i="7"/>
  <c r="J206" i="7"/>
  <c r="E206" i="7"/>
  <c r="A206" i="7"/>
  <c r="N205" i="7"/>
  <c r="J205" i="7"/>
  <c r="E205" i="7"/>
  <c r="A205" i="7"/>
  <c r="N204" i="7"/>
  <c r="J204" i="7"/>
  <c r="E204" i="7"/>
  <c r="A204" i="7"/>
  <c r="N203" i="7"/>
  <c r="J203" i="7"/>
  <c r="E203" i="7"/>
  <c r="A203" i="7"/>
  <c r="N202" i="7"/>
  <c r="J202" i="7"/>
  <c r="E202" i="7"/>
  <c r="A202" i="7"/>
  <c r="N201" i="7"/>
  <c r="J201" i="7"/>
  <c r="E201" i="7"/>
  <c r="A201" i="7"/>
  <c r="N200" i="7"/>
  <c r="J200" i="7"/>
  <c r="E200" i="7"/>
  <c r="A200" i="7"/>
  <c r="N199" i="7"/>
  <c r="J199" i="7"/>
  <c r="E199" i="7"/>
  <c r="A199" i="7"/>
  <c r="N198" i="7"/>
  <c r="J198" i="7"/>
  <c r="E198" i="7"/>
  <c r="A198" i="7"/>
  <c r="N197" i="7"/>
  <c r="J197" i="7"/>
  <c r="E197" i="7"/>
  <c r="A197" i="7"/>
  <c r="N196" i="7"/>
  <c r="J196" i="7"/>
  <c r="E196" i="7"/>
  <c r="A196" i="7"/>
  <c r="N195" i="7"/>
  <c r="J195" i="7"/>
  <c r="E195" i="7"/>
  <c r="A195" i="7"/>
  <c r="N194" i="7"/>
  <c r="J194" i="7"/>
  <c r="E194" i="7"/>
  <c r="A194" i="7"/>
  <c r="N193" i="7"/>
  <c r="J193" i="7"/>
  <c r="E193" i="7"/>
  <c r="A193" i="7"/>
  <c r="N192" i="7"/>
  <c r="J192" i="7"/>
  <c r="E192" i="7"/>
  <c r="A192" i="7"/>
  <c r="N191" i="7"/>
  <c r="J191" i="7"/>
  <c r="E191" i="7"/>
  <c r="A191" i="7"/>
  <c r="N190" i="7"/>
  <c r="J190" i="7"/>
  <c r="E190" i="7"/>
  <c r="A190" i="7"/>
  <c r="N189" i="7"/>
  <c r="J189" i="7"/>
  <c r="E189" i="7"/>
  <c r="A189" i="7"/>
  <c r="N188" i="7"/>
  <c r="J188" i="7"/>
  <c r="E188" i="7"/>
  <c r="A188" i="7"/>
  <c r="N187" i="7"/>
  <c r="J187" i="7"/>
  <c r="E187" i="7"/>
  <c r="A187" i="7"/>
  <c r="N186" i="7"/>
  <c r="J186" i="7"/>
  <c r="E186" i="7"/>
  <c r="A186" i="7"/>
  <c r="N185" i="7"/>
  <c r="J185" i="7"/>
  <c r="E185" i="7"/>
  <c r="A185" i="7"/>
  <c r="N184" i="7"/>
  <c r="J184" i="7"/>
  <c r="E184" i="7"/>
  <c r="A184" i="7"/>
  <c r="N183" i="7"/>
  <c r="J183" i="7"/>
  <c r="E183" i="7"/>
  <c r="A183" i="7"/>
  <c r="N182" i="7"/>
  <c r="J182" i="7"/>
  <c r="E182" i="7"/>
  <c r="A182" i="7"/>
  <c r="N181" i="7"/>
  <c r="J181" i="7"/>
  <c r="E181" i="7"/>
  <c r="A181" i="7"/>
  <c r="M180" i="7"/>
  <c r="I180" i="7"/>
  <c r="E180" i="7"/>
  <c r="A180" i="7"/>
  <c r="N179" i="7"/>
  <c r="J179" i="7"/>
  <c r="E179" i="7"/>
  <c r="A179" i="7"/>
  <c r="N178" i="7"/>
  <c r="J178" i="7"/>
  <c r="F178" i="7"/>
  <c r="B178" i="7"/>
  <c r="K177" i="7"/>
  <c r="F177" i="7"/>
  <c r="B177" i="7"/>
  <c r="K176" i="7"/>
  <c r="F176" i="7"/>
  <c r="B176" i="7"/>
  <c r="K175" i="7"/>
  <c r="F175" i="7"/>
  <c r="B175" i="7"/>
  <c r="J174" i="7"/>
  <c r="F174" i="7"/>
  <c r="B174" i="7"/>
  <c r="K173" i="7"/>
  <c r="F173" i="7"/>
  <c r="B173" i="7"/>
  <c r="J172" i="7"/>
  <c r="F172" i="7"/>
  <c r="B172" i="7"/>
  <c r="K171" i="7"/>
  <c r="G171" i="7"/>
  <c r="C171" i="7"/>
  <c r="L170" i="7"/>
  <c r="G170" i="7"/>
  <c r="C170" i="7"/>
  <c r="K169" i="7"/>
  <c r="G169" i="7"/>
  <c r="C169" i="7"/>
  <c r="L168" i="7"/>
  <c r="H168" i="7"/>
  <c r="D168" i="7"/>
  <c r="Q167" i="7"/>
  <c r="M167" i="7"/>
  <c r="H167" i="7"/>
  <c r="D167" i="7"/>
  <c r="Q166" i="7"/>
  <c r="F166" i="7"/>
  <c r="A166" i="7"/>
  <c r="N165" i="7"/>
  <c r="J165" i="7"/>
  <c r="E165" i="7"/>
  <c r="A165" i="7"/>
  <c r="N164" i="7"/>
  <c r="J164" i="7"/>
  <c r="E164" i="7"/>
  <c r="A164" i="7"/>
  <c r="N163" i="7"/>
  <c r="J163" i="7"/>
  <c r="E163" i="7"/>
  <c r="A163" i="7"/>
  <c r="N162" i="7"/>
  <c r="J162" i="7"/>
  <c r="F162" i="7"/>
  <c r="B162" i="7"/>
  <c r="K161" i="7"/>
  <c r="F161" i="7"/>
  <c r="B161" i="7"/>
  <c r="K160" i="7"/>
  <c r="F160" i="7"/>
  <c r="B160" i="7"/>
  <c r="K159" i="7"/>
  <c r="F159" i="7"/>
  <c r="B159" i="7"/>
  <c r="K158" i="7"/>
  <c r="F158" i="7"/>
  <c r="B158" i="7"/>
  <c r="K157" i="7"/>
  <c r="F157" i="7"/>
  <c r="B157" i="7"/>
  <c r="K156" i="7"/>
  <c r="F156" i="7"/>
  <c r="B156" i="7"/>
  <c r="K155" i="7"/>
  <c r="F155" i="7"/>
  <c r="B155" i="7"/>
  <c r="K154" i="7"/>
  <c r="F154" i="7"/>
  <c r="B154" i="7"/>
  <c r="K153" i="7"/>
  <c r="F153" i="7"/>
  <c r="B153" i="7"/>
  <c r="K152" i="7"/>
  <c r="F152" i="7"/>
  <c r="B152" i="7"/>
  <c r="K151" i="7"/>
  <c r="F151" i="7"/>
  <c r="B151" i="7"/>
  <c r="K150" i="7"/>
  <c r="F150" i="7"/>
  <c r="B150" i="7"/>
  <c r="K149" i="7"/>
  <c r="F149" i="7"/>
  <c r="B149" i="7"/>
  <c r="K148" i="7"/>
  <c r="F148" i="7"/>
  <c r="B148" i="7"/>
  <c r="J147" i="7"/>
  <c r="F147" i="7"/>
  <c r="B147" i="7"/>
  <c r="K146" i="7"/>
  <c r="F146" i="7"/>
  <c r="B146" i="7"/>
  <c r="K145" i="7"/>
  <c r="F145" i="7"/>
  <c r="B145" i="7"/>
  <c r="K144" i="7"/>
  <c r="F144" i="7"/>
  <c r="B144" i="7"/>
  <c r="K143" i="7"/>
  <c r="F143" i="7"/>
  <c r="B143" i="7"/>
  <c r="K142" i="7"/>
  <c r="F142" i="7"/>
  <c r="B142" i="7"/>
  <c r="K141" i="7"/>
  <c r="F141" i="7"/>
  <c r="B141" i="7"/>
  <c r="K140" i="7"/>
  <c r="F140" i="7"/>
  <c r="B140" i="7"/>
  <c r="K139" i="7"/>
  <c r="F139" i="7"/>
  <c r="B139" i="7"/>
  <c r="K138" i="7"/>
  <c r="F138" i="7"/>
  <c r="B138" i="7"/>
  <c r="K137" i="7"/>
  <c r="F137" i="7"/>
  <c r="B137" i="7"/>
  <c r="K136" i="7"/>
  <c r="F136" i="7"/>
  <c r="B136" i="7"/>
  <c r="K135" i="7"/>
  <c r="F135" i="7"/>
  <c r="B135" i="7"/>
  <c r="K134" i="7"/>
  <c r="F134" i="7"/>
  <c r="B134" i="7"/>
  <c r="K133" i="7"/>
  <c r="F133" i="7"/>
  <c r="B133" i="7"/>
  <c r="K132" i="7"/>
  <c r="F132" i="7"/>
  <c r="B132" i="7"/>
  <c r="K131" i="7"/>
  <c r="F131" i="7"/>
  <c r="B131" i="7"/>
  <c r="K130" i="7"/>
  <c r="F130" i="7"/>
  <c r="B130" i="7"/>
  <c r="K129" i="7"/>
  <c r="F129" i="7"/>
  <c r="B129" i="7"/>
  <c r="K128" i="7"/>
  <c r="F128" i="7"/>
  <c r="B128" i="7"/>
  <c r="K127" i="7"/>
  <c r="F127" i="7"/>
  <c r="B127" i="7"/>
  <c r="K126" i="7"/>
  <c r="F126" i="7"/>
  <c r="B126" i="7"/>
  <c r="K125" i="7"/>
  <c r="F125" i="7"/>
  <c r="B125" i="7"/>
  <c r="K124" i="7"/>
  <c r="F124" i="7"/>
  <c r="B124" i="7"/>
  <c r="K123" i="7"/>
  <c r="F123" i="7"/>
  <c r="B123" i="7"/>
  <c r="K122" i="7"/>
  <c r="F122" i="7"/>
  <c r="B122" i="7"/>
  <c r="K121" i="7"/>
  <c r="F121" i="7"/>
  <c r="B121" i="7"/>
  <c r="K120" i="7"/>
  <c r="F120" i="7"/>
  <c r="B120" i="7"/>
  <c r="K119" i="7"/>
  <c r="F119" i="7"/>
  <c r="B119" i="7"/>
  <c r="K118" i="7"/>
  <c r="F118" i="7"/>
  <c r="B118" i="7"/>
  <c r="K117" i="7"/>
  <c r="F117" i="7"/>
  <c r="B117" i="7"/>
  <c r="K116" i="7"/>
  <c r="F116" i="7"/>
  <c r="B116" i="7"/>
  <c r="K115" i="7"/>
  <c r="F115" i="7"/>
  <c r="B115" i="7"/>
  <c r="K114" i="7"/>
  <c r="F114" i="7"/>
  <c r="B114" i="7"/>
  <c r="K113" i="7"/>
  <c r="F113" i="7"/>
  <c r="B113" i="7"/>
  <c r="K112" i="7"/>
  <c r="F112" i="7"/>
  <c r="B112" i="7"/>
  <c r="K111" i="7"/>
  <c r="F111" i="7"/>
  <c r="B111" i="7"/>
  <c r="K110" i="7"/>
  <c r="F110" i="7"/>
  <c r="B110" i="7"/>
  <c r="K109" i="7"/>
  <c r="F109" i="7"/>
  <c r="B109" i="7"/>
  <c r="K108" i="7"/>
  <c r="F108" i="7"/>
  <c r="B108" i="7"/>
  <c r="K107" i="7"/>
  <c r="L1284" i="7"/>
  <c r="L1283" i="7"/>
  <c r="L1282" i="7"/>
  <c r="L1281" i="7"/>
  <c r="L1280" i="7"/>
  <c r="L1279" i="7"/>
  <c r="L1278" i="7"/>
  <c r="L1277" i="7"/>
  <c r="L1276" i="7"/>
  <c r="L1275" i="7"/>
  <c r="L1274" i="7"/>
  <c r="L1273" i="7"/>
  <c r="L1272" i="7"/>
  <c r="L1271" i="7"/>
  <c r="L1270" i="7"/>
  <c r="L1269" i="7"/>
  <c r="L1268" i="7"/>
  <c r="L1267" i="7"/>
  <c r="L1266" i="7"/>
  <c r="L1265" i="7"/>
  <c r="L1264" i="7"/>
  <c r="L1263" i="7"/>
  <c r="L1262" i="7"/>
  <c r="L1261" i="7"/>
  <c r="L1260" i="7"/>
  <c r="L1259" i="7"/>
  <c r="L1258" i="7"/>
  <c r="L1257" i="7"/>
  <c r="J1256" i="7"/>
  <c r="N1255" i="7"/>
  <c r="A1254" i="7"/>
  <c r="E1253" i="7"/>
  <c r="J1252" i="7"/>
  <c r="K1251" i="7"/>
  <c r="J1250" i="7"/>
  <c r="N1249" i="7"/>
  <c r="A1248" i="7"/>
  <c r="E1247" i="7"/>
  <c r="J1246" i="7"/>
  <c r="N1245" i="7"/>
  <c r="B1243" i="7"/>
  <c r="D1242" i="7"/>
  <c r="H1241" i="7"/>
  <c r="M1240" i="7"/>
  <c r="Q1238" i="7"/>
  <c r="D1238" i="7"/>
  <c r="H1237" i="7"/>
  <c r="M1236" i="7"/>
  <c r="A1233" i="7"/>
  <c r="E1232" i="7"/>
  <c r="J1231" i="7"/>
  <c r="N1230" i="7"/>
  <c r="A1229" i="7"/>
  <c r="E1228" i="7"/>
  <c r="J1227" i="7"/>
  <c r="N1226" i="7"/>
  <c r="Q1224" i="7"/>
  <c r="D1224" i="7"/>
  <c r="H1223" i="7"/>
  <c r="M1222" i="7"/>
  <c r="Q1220" i="7"/>
  <c r="D1220" i="7"/>
  <c r="H1219" i="7"/>
  <c r="M1218" i="7"/>
  <c r="Q1216" i="7"/>
  <c r="D1216" i="7"/>
  <c r="H1215" i="7"/>
  <c r="M1214" i="7"/>
  <c r="B1212" i="7"/>
  <c r="F1211" i="7"/>
  <c r="J1210" i="7"/>
  <c r="N1209" i="7"/>
  <c r="A1208" i="7"/>
  <c r="E1207" i="7"/>
  <c r="J1206" i="7"/>
  <c r="N1205" i="7"/>
  <c r="A1204" i="7"/>
  <c r="E1203" i="7"/>
  <c r="K1202" i="7"/>
  <c r="K1198" i="7"/>
  <c r="K1194" i="7"/>
  <c r="K1190" i="7"/>
  <c r="K1186" i="7"/>
  <c r="K1182" i="7"/>
  <c r="K1178" i="7"/>
  <c r="K1174" i="7"/>
  <c r="K1170" i="7"/>
  <c r="K1166" i="7"/>
  <c r="K1162" i="7"/>
  <c r="K1158" i="7"/>
  <c r="K1154" i="7"/>
  <c r="K1150" i="7"/>
  <c r="K1146" i="7"/>
  <c r="K1142" i="7"/>
  <c r="K1138" i="7"/>
  <c r="K1134" i="7"/>
  <c r="K1130" i="7"/>
  <c r="K1126" i="7"/>
  <c r="K1122" i="7"/>
  <c r="K1118" i="7"/>
  <c r="K1114" i="7"/>
  <c r="K1110" i="7"/>
  <c r="K1106" i="7"/>
  <c r="K1102" i="7"/>
  <c r="K1098" i="7"/>
  <c r="K1094" i="7"/>
  <c r="K1090" i="7"/>
  <c r="K1086" i="7"/>
  <c r="K1082" i="7"/>
  <c r="K1078" i="7"/>
  <c r="K1074" i="7"/>
  <c r="K1070" i="7"/>
  <c r="K1066" i="7"/>
  <c r="K1062" i="7"/>
  <c r="K1058" i="7"/>
  <c r="K1054" i="7"/>
  <c r="K1050" i="7"/>
  <c r="K1046" i="7"/>
  <c r="K1042" i="7"/>
  <c r="K1038" i="7"/>
  <c r="K1037" i="7"/>
  <c r="K1036" i="7"/>
  <c r="K1035" i="7"/>
  <c r="K1034" i="7"/>
  <c r="K1033" i="7"/>
  <c r="K1032" i="7"/>
  <c r="K1031" i="7"/>
  <c r="K1030" i="7"/>
  <c r="K1029" i="7"/>
  <c r="K1028" i="7"/>
  <c r="K1027" i="7"/>
  <c r="K1026" i="7"/>
  <c r="K1025" i="7"/>
  <c r="K1024" i="7"/>
  <c r="K1023" i="7"/>
  <c r="K1022" i="7"/>
  <c r="K1021" i="7"/>
  <c r="K1020" i="7"/>
  <c r="K1019" i="7"/>
  <c r="K1018" i="7"/>
  <c r="K1017" i="7"/>
  <c r="K1016" i="7"/>
  <c r="K1015" i="7"/>
  <c r="K1014" i="7"/>
  <c r="K1013" i="7"/>
  <c r="K1012" i="7"/>
  <c r="K1011" i="7"/>
  <c r="K1010" i="7"/>
  <c r="K1009" i="7"/>
  <c r="K1008" i="7"/>
  <c r="K1007" i="7"/>
  <c r="K1006" i="7"/>
  <c r="C1006" i="7"/>
  <c r="K1005" i="7"/>
  <c r="C1005" i="7"/>
  <c r="K1004" i="7"/>
  <c r="C1004" i="7"/>
  <c r="K1003" i="7"/>
  <c r="C1003" i="7"/>
  <c r="K1002" i="7"/>
  <c r="C1002" i="7"/>
  <c r="L1001" i="7"/>
  <c r="D1001" i="7"/>
  <c r="L1000" i="7"/>
  <c r="D1000" i="7"/>
  <c r="L999" i="7"/>
  <c r="D999" i="7"/>
  <c r="L998" i="7"/>
  <c r="D998" i="7"/>
  <c r="L997" i="7"/>
  <c r="D997" i="7"/>
  <c r="L996" i="7"/>
  <c r="D996" i="7"/>
  <c r="L995" i="7"/>
  <c r="D995" i="7"/>
  <c r="L994" i="7"/>
  <c r="D994" i="7"/>
  <c r="L993" i="7"/>
  <c r="D993" i="7"/>
  <c r="L992" i="7"/>
  <c r="D992" i="7"/>
  <c r="F991" i="7"/>
  <c r="H990" i="7"/>
  <c r="Q989" i="7"/>
  <c r="K989" i="7"/>
  <c r="B989" i="7"/>
  <c r="M988" i="7"/>
  <c r="D988" i="7"/>
  <c r="L987" i="7"/>
  <c r="D987" i="7"/>
  <c r="F986" i="7"/>
  <c r="H985" i="7"/>
  <c r="Q984" i="7"/>
  <c r="K984" i="7"/>
  <c r="B984" i="7"/>
  <c r="M983" i="7"/>
  <c r="D983" i="7"/>
  <c r="F982" i="7"/>
  <c r="H981" i="7"/>
  <c r="Q980" i="7"/>
  <c r="I980" i="7"/>
  <c r="A980" i="7"/>
  <c r="J979" i="7"/>
  <c r="A979" i="7"/>
  <c r="J978" i="7"/>
  <c r="A978" i="7"/>
  <c r="I977" i="7"/>
  <c r="A977" i="7"/>
  <c r="J976" i="7"/>
  <c r="A976" i="7"/>
  <c r="J975" i="7"/>
  <c r="B975" i="7"/>
  <c r="K974" i="7"/>
  <c r="C974" i="7"/>
  <c r="L973" i="7"/>
  <c r="C973" i="7"/>
  <c r="E972" i="7"/>
  <c r="K971" i="7"/>
  <c r="C971" i="7"/>
  <c r="E970" i="7"/>
  <c r="L969" i="7"/>
  <c r="C969" i="7"/>
  <c r="L968" i="7"/>
  <c r="C968" i="7"/>
  <c r="L967" i="7"/>
  <c r="C967" i="7"/>
  <c r="L966" i="7"/>
  <c r="C966" i="7"/>
  <c r="L965" i="7"/>
  <c r="C965" i="7"/>
  <c r="L964" i="7"/>
  <c r="C964" i="7"/>
  <c r="L963" i="7"/>
  <c r="C963" i="7"/>
  <c r="L962" i="7"/>
  <c r="C962" i="7"/>
  <c r="L961" i="7"/>
  <c r="C961" i="7"/>
  <c r="L960" i="7"/>
  <c r="C960" i="7"/>
  <c r="L959" i="7"/>
  <c r="C959" i="7"/>
  <c r="L958" i="7"/>
  <c r="C958" i="7"/>
  <c r="L957" i="7"/>
  <c r="C957" i="7"/>
  <c r="L956" i="7"/>
  <c r="C956" i="7"/>
  <c r="L955" i="7"/>
  <c r="C955" i="7"/>
  <c r="L954" i="7"/>
  <c r="C954" i="7"/>
  <c r="K953" i="7"/>
  <c r="B953" i="7"/>
  <c r="L952" i="7"/>
  <c r="C952" i="7"/>
  <c r="L951" i="7"/>
  <c r="C951" i="7"/>
  <c r="L950" i="7"/>
  <c r="C950" i="7"/>
  <c r="L949" i="7"/>
  <c r="C949" i="7"/>
  <c r="L948" i="7"/>
  <c r="C948" i="7"/>
  <c r="L947" i="7"/>
  <c r="C947" i="7"/>
  <c r="K946" i="7"/>
  <c r="B946" i="7"/>
  <c r="M945" i="7"/>
  <c r="C945" i="7"/>
  <c r="L944" i="7"/>
  <c r="C944" i="7"/>
  <c r="K943" i="7"/>
  <c r="B943" i="7"/>
  <c r="M942" i="7"/>
  <c r="D942" i="7"/>
  <c r="F941" i="7"/>
  <c r="H940" i="7"/>
  <c r="Q939" i="7"/>
  <c r="J939" i="7"/>
  <c r="A939" i="7"/>
  <c r="J938" i="7"/>
  <c r="A938" i="7"/>
  <c r="H937" i="7"/>
  <c r="Q936" i="7"/>
  <c r="J936" i="7"/>
  <c r="A936" i="7"/>
  <c r="J935" i="7"/>
  <c r="A935" i="7"/>
  <c r="J934" i="7"/>
  <c r="A934" i="7"/>
  <c r="J933" i="7"/>
  <c r="A933" i="7"/>
  <c r="J932" i="7"/>
  <c r="A932" i="7"/>
  <c r="J931" i="7"/>
  <c r="A931" i="7"/>
  <c r="J930" i="7"/>
  <c r="A930" i="7"/>
  <c r="J929" i="7"/>
  <c r="A929" i="7"/>
  <c r="J928" i="7"/>
  <c r="A928" i="7"/>
  <c r="J927" i="7"/>
  <c r="A927" i="7"/>
  <c r="J926" i="7"/>
  <c r="A926" i="7"/>
  <c r="J925" i="7"/>
  <c r="A925" i="7"/>
  <c r="J924" i="7"/>
  <c r="A924" i="7"/>
  <c r="J923" i="7"/>
  <c r="A923" i="7"/>
  <c r="J922" i="7"/>
  <c r="A922" i="7"/>
  <c r="J921" i="7"/>
  <c r="A921" i="7"/>
  <c r="J920" i="7"/>
  <c r="A920" i="7"/>
  <c r="J919" i="7"/>
  <c r="A919" i="7"/>
  <c r="J918" i="7"/>
  <c r="A918" i="7"/>
  <c r="J917" i="7"/>
  <c r="A917" i="7"/>
  <c r="J916" i="7"/>
  <c r="A916" i="7"/>
  <c r="J915" i="7"/>
  <c r="A915" i="7"/>
  <c r="J914" i="7"/>
  <c r="A914" i="7"/>
  <c r="J913" i="7"/>
  <c r="A913" i="7"/>
  <c r="J912" i="7"/>
  <c r="A912" i="7"/>
  <c r="K911" i="7"/>
  <c r="E911" i="7"/>
  <c r="K910" i="7"/>
  <c r="E910" i="7"/>
  <c r="K909" i="7"/>
  <c r="E909" i="7"/>
  <c r="K908" i="7"/>
  <c r="E908" i="7"/>
  <c r="K907" i="7"/>
  <c r="E907" i="7"/>
  <c r="K906" i="7"/>
  <c r="E906" i="7"/>
  <c r="K905" i="7"/>
  <c r="E905" i="7"/>
  <c r="K904" i="7"/>
  <c r="E904" i="7"/>
  <c r="K903" i="7"/>
  <c r="E903" i="7"/>
  <c r="Q901" i="7"/>
  <c r="D901" i="7"/>
  <c r="K900" i="7"/>
  <c r="Q897" i="7"/>
  <c r="D897" i="7"/>
  <c r="K896" i="7"/>
  <c r="Q893" i="7"/>
  <c r="D893" i="7"/>
  <c r="K892" i="7"/>
  <c r="Q889" i="7"/>
  <c r="D889" i="7"/>
  <c r="K888" i="7"/>
  <c r="Q885" i="7"/>
  <c r="D885" i="7"/>
  <c r="K884" i="7"/>
  <c r="Q881" i="7"/>
  <c r="D881" i="7"/>
  <c r="K880" i="7"/>
  <c r="Q877" i="7"/>
  <c r="D877" i="7"/>
  <c r="K876" i="7"/>
  <c r="Q873" i="7"/>
  <c r="D873" i="7"/>
  <c r="K872" i="7"/>
  <c r="Q869" i="7"/>
  <c r="D869" i="7"/>
  <c r="K868" i="7"/>
  <c r="Q865" i="7"/>
  <c r="D865" i="7"/>
  <c r="K864" i="7"/>
  <c r="Q861" i="7"/>
  <c r="D861" i="7"/>
  <c r="K860" i="7"/>
  <c r="Q857" i="7"/>
  <c r="D857" i="7"/>
  <c r="K856" i="7"/>
  <c r="Q853" i="7"/>
  <c r="D853" i="7"/>
  <c r="K852" i="7"/>
  <c r="Q849" i="7"/>
  <c r="D849" i="7"/>
  <c r="K848" i="7"/>
  <c r="Q845" i="7"/>
  <c r="D845" i="7"/>
  <c r="K844" i="7"/>
  <c r="Q841" i="7"/>
  <c r="D841" i="7"/>
  <c r="K840" i="7"/>
  <c r="Q837" i="7"/>
  <c r="D837" i="7"/>
  <c r="K836" i="7"/>
  <c r="Q833" i="7"/>
  <c r="D833" i="7"/>
  <c r="K832" i="7"/>
  <c r="Q829" i="7"/>
  <c r="D829" i="7"/>
  <c r="K828" i="7"/>
  <c r="Q825" i="7"/>
  <c r="D825" i="7"/>
  <c r="K824" i="7"/>
  <c r="Q821" i="7"/>
  <c r="D821" i="7"/>
  <c r="K820" i="7"/>
  <c r="Q817" i="7"/>
  <c r="D817" i="7"/>
  <c r="K816" i="7"/>
  <c r="Q813" i="7"/>
  <c r="D813" i="7"/>
  <c r="K812" i="7"/>
  <c r="Q809" i="7"/>
  <c r="D809" i="7"/>
  <c r="K808" i="7"/>
  <c r="Q805" i="7"/>
  <c r="D805" i="7"/>
  <c r="K804" i="7"/>
  <c r="Q801" i="7"/>
  <c r="D801" i="7"/>
  <c r="K800" i="7"/>
  <c r="Q797" i="7"/>
  <c r="D797" i="7"/>
  <c r="K796" i="7"/>
  <c r="Q793" i="7"/>
  <c r="D793" i="7"/>
  <c r="K792" i="7"/>
  <c r="Q789" i="7"/>
  <c r="D789" i="7"/>
  <c r="K788" i="7"/>
  <c r="Q785" i="7"/>
  <c r="D785" i="7"/>
  <c r="K784" i="7"/>
  <c r="Q781" i="7"/>
  <c r="D781" i="7"/>
  <c r="K780" i="7"/>
  <c r="Q777" i="7"/>
  <c r="D777" i="7"/>
  <c r="K776" i="7"/>
  <c r="Q773" i="7"/>
  <c r="D773" i="7"/>
  <c r="K772" i="7"/>
  <c r="Q769" i="7"/>
  <c r="D769" i="7"/>
  <c r="K768" i="7"/>
  <c r="Q765" i="7"/>
  <c r="D765" i="7"/>
  <c r="K764" i="7"/>
  <c r="Q761" i="7"/>
  <c r="D761" i="7"/>
  <c r="K760" i="7"/>
  <c r="Q757" i="7"/>
  <c r="D757" i="7"/>
  <c r="K756" i="7"/>
  <c r="Q753" i="7"/>
  <c r="D753" i="7"/>
  <c r="K752" i="7"/>
  <c r="Q749" i="7"/>
  <c r="D749" i="7"/>
  <c r="K748" i="7"/>
  <c r="Q745" i="7"/>
  <c r="D745" i="7"/>
  <c r="K744" i="7"/>
  <c r="Q741" i="7"/>
  <c r="D741" i="7"/>
  <c r="K740" i="7"/>
  <c r="Q737" i="7"/>
  <c r="D737" i="7"/>
  <c r="K736" i="7"/>
  <c r="Q733" i="7"/>
  <c r="D733" i="7"/>
  <c r="K732" i="7"/>
  <c r="Q729" i="7"/>
  <c r="D729" i="7"/>
  <c r="K728" i="7"/>
  <c r="Q725" i="7"/>
  <c r="D725" i="7"/>
  <c r="K724" i="7"/>
  <c r="Q721" i="7"/>
  <c r="D721" i="7"/>
  <c r="K720" i="7"/>
  <c r="Q717" i="7"/>
  <c r="D717" i="7"/>
  <c r="K716" i="7"/>
  <c r="Q713" i="7"/>
  <c r="D713" i="7"/>
  <c r="K712" i="7"/>
  <c r="Q709" i="7"/>
  <c r="D709" i="7"/>
  <c r="K708" i="7"/>
  <c r="Q705" i="7"/>
  <c r="D705" i="7"/>
  <c r="K704" i="7"/>
  <c r="Q701" i="7"/>
  <c r="D701" i="7"/>
  <c r="K700" i="7"/>
  <c r="Q697" i="7"/>
  <c r="D697" i="7"/>
  <c r="K696" i="7"/>
  <c r="Q693" i="7"/>
  <c r="D693" i="7"/>
  <c r="K692" i="7"/>
  <c r="Q689" i="7"/>
  <c r="D689" i="7"/>
  <c r="K688" i="7"/>
  <c r="Q685" i="7"/>
  <c r="D685" i="7"/>
  <c r="K684" i="7"/>
  <c r="Q681" i="7"/>
  <c r="D681" i="7"/>
  <c r="K680" i="7"/>
  <c r="Q677" i="7"/>
  <c r="D677" i="7"/>
  <c r="K676" i="7"/>
  <c r="Q673" i="7"/>
  <c r="D673" i="7"/>
  <c r="K672" i="7"/>
  <c r="H670" i="7"/>
  <c r="C670" i="7"/>
  <c r="K669" i="7"/>
  <c r="F669" i="7"/>
  <c r="A669" i="7"/>
  <c r="I668" i="7"/>
  <c r="D668" i="7"/>
  <c r="G667" i="7"/>
  <c r="B667" i="7"/>
  <c r="K666" i="7"/>
  <c r="E666" i="7"/>
  <c r="Q665" i="7"/>
  <c r="I665" i="7"/>
  <c r="C665" i="7"/>
  <c r="H664" i="7"/>
  <c r="B664" i="7"/>
  <c r="H663" i="7"/>
  <c r="C663" i="7"/>
  <c r="N662" i="7"/>
  <c r="G662" i="7"/>
  <c r="B662" i="7"/>
  <c r="L661" i="7"/>
  <c r="G661" i="7"/>
  <c r="B661" i="7"/>
  <c r="L660" i="7"/>
  <c r="G660" i="7"/>
  <c r="B660" i="7"/>
  <c r="L659" i="7"/>
  <c r="G659" i="7"/>
  <c r="B659" i="7"/>
  <c r="M658" i="7"/>
  <c r="F658" i="7"/>
  <c r="A658" i="7"/>
  <c r="L657" i="7"/>
  <c r="E657" i="7"/>
  <c r="Q656" i="7"/>
  <c r="M656" i="7"/>
  <c r="E656" i="7"/>
  <c r="Q655" i="7"/>
  <c r="E655" i="7"/>
  <c r="M654" i="7"/>
  <c r="H654" i="7"/>
  <c r="C654" i="7"/>
  <c r="M653" i="7"/>
  <c r="H653" i="7"/>
  <c r="C653" i="7"/>
  <c r="K652" i="7"/>
  <c r="Q651" i="7"/>
  <c r="L651" i="7"/>
  <c r="F651" i="7"/>
  <c r="A651" i="7"/>
  <c r="N650" i="7"/>
  <c r="G650" i="7"/>
  <c r="A650" i="7"/>
  <c r="M649" i="7"/>
  <c r="E649" i="7"/>
  <c r="J648" i="7"/>
  <c r="E648" i="7"/>
  <c r="K647" i="7"/>
  <c r="D647" i="7"/>
  <c r="H646" i="7"/>
  <c r="C646" i="7"/>
  <c r="F645" i="7"/>
  <c r="A645" i="7"/>
  <c r="N644" i="7"/>
  <c r="G644" i="7"/>
  <c r="A644" i="7"/>
  <c r="M643" i="7"/>
  <c r="E643" i="7"/>
  <c r="H642" i="7"/>
  <c r="C642" i="7"/>
  <c r="N641" i="7"/>
  <c r="G641" i="7"/>
  <c r="B641" i="7"/>
  <c r="M640" i="7"/>
  <c r="E640" i="7"/>
  <c r="Q639" i="7"/>
  <c r="M639" i="7"/>
  <c r="E639" i="7"/>
  <c r="Q638" i="7"/>
  <c r="L638" i="7"/>
  <c r="D638" i="7"/>
  <c r="K637" i="7"/>
  <c r="C637" i="7"/>
  <c r="H636" i="7"/>
  <c r="D636" i="7"/>
  <c r="Q635" i="7"/>
  <c r="M635" i="7"/>
  <c r="G635" i="7"/>
  <c r="C635" i="7"/>
  <c r="L634" i="7"/>
  <c r="F634" i="7"/>
  <c r="B634" i="7"/>
  <c r="K633" i="7"/>
  <c r="E633" i="7"/>
  <c r="A633" i="7"/>
  <c r="N632" i="7"/>
  <c r="H632" i="7"/>
  <c r="D632" i="7"/>
  <c r="Q631" i="7"/>
  <c r="M631" i="7"/>
  <c r="G631" i="7"/>
  <c r="C631" i="7"/>
  <c r="L630" i="7"/>
  <c r="F630" i="7"/>
  <c r="B630" i="7"/>
  <c r="H629" i="7"/>
  <c r="D629" i="7"/>
  <c r="Q628" i="7"/>
  <c r="M628" i="7"/>
  <c r="F628" i="7"/>
  <c r="B628" i="7"/>
  <c r="H627" i="7"/>
  <c r="D627" i="7"/>
  <c r="Q626" i="7"/>
  <c r="M626" i="7"/>
  <c r="G626" i="7"/>
  <c r="C626" i="7"/>
  <c r="K625" i="7"/>
  <c r="E625" i="7"/>
  <c r="A625" i="7"/>
  <c r="N624" i="7"/>
  <c r="G624" i="7"/>
  <c r="C624" i="7"/>
  <c r="L623" i="7"/>
  <c r="F623" i="7"/>
  <c r="B623" i="7"/>
  <c r="K622" i="7"/>
  <c r="E622" i="7"/>
  <c r="A622" i="7"/>
  <c r="N621" i="7"/>
  <c r="G621" i="7"/>
  <c r="C621" i="7"/>
  <c r="L620" i="7"/>
  <c r="F620" i="7"/>
  <c r="B620" i="7"/>
  <c r="K619" i="7"/>
  <c r="E619" i="7"/>
  <c r="A619" i="7"/>
  <c r="N618" i="7"/>
  <c r="G618" i="7"/>
  <c r="C618" i="7"/>
  <c r="K617" i="7"/>
  <c r="E617" i="7"/>
  <c r="A617" i="7"/>
  <c r="N616" i="7"/>
  <c r="G616" i="7"/>
  <c r="C616" i="7"/>
  <c r="L615" i="7"/>
  <c r="F615" i="7"/>
  <c r="B615" i="7"/>
  <c r="K614" i="7"/>
  <c r="E614" i="7"/>
  <c r="A614" i="7"/>
  <c r="N613" i="7"/>
  <c r="H613" i="7"/>
  <c r="D613" i="7"/>
  <c r="Q612" i="7"/>
  <c r="M612" i="7"/>
  <c r="G612" i="7"/>
  <c r="C612" i="7"/>
  <c r="L611" i="7"/>
  <c r="F611" i="7"/>
  <c r="B611" i="7"/>
  <c r="K610" i="7"/>
  <c r="E610" i="7"/>
  <c r="A610" i="7"/>
  <c r="N609" i="7"/>
  <c r="H609" i="7"/>
  <c r="D609" i="7"/>
  <c r="Q608" i="7"/>
  <c r="M608" i="7"/>
  <c r="G608" i="7"/>
  <c r="C608" i="7"/>
  <c r="L607" i="7"/>
  <c r="F607" i="7"/>
  <c r="B607" i="7"/>
  <c r="K606" i="7"/>
  <c r="E606" i="7"/>
  <c r="A606" i="7"/>
  <c r="N605" i="7"/>
  <c r="H605" i="7"/>
  <c r="D605" i="7"/>
  <c r="Q604" i="7"/>
  <c r="M604" i="7"/>
  <c r="G604" i="7"/>
  <c r="C604" i="7"/>
  <c r="L603" i="7"/>
  <c r="F603" i="7"/>
  <c r="B603" i="7"/>
  <c r="Q601" i="7"/>
  <c r="D601" i="7"/>
  <c r="Q599" i="7"/>
  <c r="D599" i="7"/>
  <c r="Q597" i="7"/>
  <c r="D597" i="7"/>
  <c r="Q595" i="7"/>
  <c r="D595" i="7"/>
  <c r="Q593" i="7"/>
  <c r="D593" i="7"/>
  <c r="Q591" i="7"/>
  <c r="D591" i="7"/>
  <c r="Q589" i="7"/>
  <c r="D589" i="7"/>
  <c r="Q587" i="7"/>
  <c r="D587" i="7"/>
  <c r="Q585" i="7"/>
  <c r="D585" i="7"/>
  <c r="Q583" i="7"/>
  <c r="D583" i="7"/>
  <c r="Q581" i="7"/>
  <c r="D581" i="7"/>
  <c r="Q579" i="7"/>
  <c r="D579" i="7"/>
  <c r="Q577" i="7"/>
  <c r="D577" i="7"/>
  <c r="Q575" i="7"/>
  <c r="D575" i="7"/>
  <c r="Q573" i="7"/>
  <c r="D573" i="7"/>
  <c r="Q571" i="7"/>
  <c r="D571" i="7"/>
  <c r="Q569" i="7"/>
  <c r="D569" i="7"/>
  <c r="Q567" i="7"/>
  <c r="D567" i="7"/>
  <c r="Q565" i="7"/>
  <c r="D565" i="7"/>
  <c r="Q563" i="7"/>
  <c r="D563" i="7"/>
  <c r="Q561" i="7"/>
  <c r="D561" i="7"/>
  <c r="Q559" i="7"/>
  <c r="D559" i="7"/>
  <c r="Q557" i="7"/>
  <c r="D557" i="7"/>
  <c r="Q555" i="7"/>
  <c r="D555" i="7"/>
  <c r="Q553" i="7"/>
  <c r="D553" i="7"/>
  <c r="Q551" i="7"/>
  <c r="D551" i="7"/>
  <c r="Q549" i="7"/>
  <c r="D549" i="7"/>
  <c r="Q547" i="7"/>
  <c r="D547" i="7"/>
  <c r="Q545" i="7"/>
  <c r="D545" i="7"/>
  <c r="Q543" i="7"/>
  <c r="D543" i="7"/>
  <c r="Q541" i="7"/>
  <c r="D541" i="7"/>
  <c r="Q539" i="7"/>
  <c r="D539" i="7"/>
  <c r="Q537" i="7"/>
  <c r="D537" i="7"/>
  <c r="Q535" i="7"/>
  <c r="D535" i="7"/>
  <c r="Q533" i="7"/>
  <c r="D533" i="7"/>
  <c r="Q531" i="7"/>
  <c r="D531" i="7"/>
  <c r="Q529" i="7"/>
  <c r="D529" i="7"/>
  <c r="Q527" i="7"/>
  <c r="D527" i="7"/>
  <c r="Q525" i="7"/>
  <c r="D525" i="7"/>
  <c r="Q523" i="7"/>
  <c r="D523" i="7"/>
  <c r="Q521" i="7"/>
  <c r="D521" i="7"/>
  <c r="Q519" i="7"/>
  <c r="D519" i="7"/>
  <c r="Q517" i="7"/>
  <c r="D517" i="7"/>
  <c r="Q515" i="7"/>
  <c r="D515" i="7"/>
  <c r="Q513" i="7"/>
  <c r="D513" i="7"/>
  <c r="Q511" i="7"/>
  <c r="D511" i="7"/>
  <c r="Q509" i="7"/>
  <c r="D509" i="7"/>
  <c r="Q507" i="7"/>
  <c r="D507" i="7"/>
  <c r="Q505" i="7"/>
  <c r="D505" i="7"/>
  <c r="Q503" i="7"/>
  <c r="D503" i="7"/>
  <c r="Q501" i="7"/>
  <c r="D501" i="7"/>
  <c r="Q499" i="7"/>
  <c r="D499" i="7"/>
  <c r="Q497" i="7"/>
  <c r="D497" i="7"/>
  <c r="Q495" i="7"/>
  <c r="D495" i="7"/>
  <c r="Q493" i="7"/>
  <c r="D493" i="7"/>
  <c r="Q491" i="7"/>
  <c r="D491" i="7"/>
  <c r="Q489" i="7"/>
  <c r="D489" i="7"/>
  <c r="Q487" i="7"/>
  <c r="D487" i="7"/>
  <c r="Q485" i="7"/>
  <c r="D485" i="7"/>
  <c r="Q483" i="7"/>
  <c r="D483" i="7"/>
  <c r="Q481" i="7"/>
  <c r="D481" i="7"/>
  <c r="Q479" i="7"/>
  <c r="D479" i="7"/>
  <c r="Q477" i="7"/>
  <c r="D477" i="7"/>
  <c r="Q475" i="7"/>
  <c r="D475" i="7"/>
  <c r="Q473" i="7"/>
  <c r="D473" i="7"/>
  <c r="Q471" i="7"/>
  <c r="D471" i="7"/>
  <c r="Q469" i="7"/>
  <c r="D469" i="7"/>
  <c r="Q467" i="7"/>
  <c r="D467" i="7"/>
  <c r="Q465" i="7"/>
  <c r="D465" i="7"/>
  <c r="Q463" i="7"/>
  <c r="D463" i="7"/>
  <c r="Q461" i="7"/>
  <c r="D461" i="7"/>
  <c r="Q459" i="7"/>
  <c r="D459" i="7"/>
  <c r="Q457" i="7"/>
  <c r="D457" i="7"/>
  <c r="Q455" i="7"/>
  <c r="D455" i="7"/>
  <c r="Q453" i="7"/>
  <c r="D453" i="7"/>
  <c r="Q451" i="7"/>
  <c r="D451" i="7"/>
  <c r="Q449" i="7"/>
  <c r="D449" i="7"/>
  <c r="Q447" i="7"/>
  <c r="D447" i="7"/>
  <c r="Q445" i="7"/>
  <c r="D445" i="7"/>
  <c r="Q443" i="7"/>
  <c r="D443" i="7"/>
  <c r="Q441" i="7"/>
  <c r="D441" i="7"/>
  <c r="Q439" i="7"/>
  <c r="D439" i="7"/>
  <c r="Q437" i="7"/>
  <c r="D437" i="7"/>
  <c r="Q435" i="7"/>
  <c r="D435" i="7"/>
  <c r="Q433" i="7"/>
  <c r="D433" i="7"/>
  <c r="Q431" i="7"/>
  <c r="D431" i="7"/>
  <c r="Q429" i="7"/>
  <c r="D429" i="7"/>
  <c r="Q427" i="7"/>
  <c r="D427" i="7"/>
  <c r="Q425" i="7"/>
  <c r="D425" i="7"/>
  <c r="Q423" i="7"/>
  <c r="D423" i="7"/>
  <c r="Q421" i="7"/>
  <c r="D421" i="7"/>
  <c r="Q419" i="7"/>
  <c r="D419" i="7"/>
  <c r="Q417" i="7"/>
  <c r="D417" i="7"/>
  <c r="Q415" i="7"/>
  <c r="D415" i="7"/>
  <c r="Q413" i="7"/>
  <c r="D413" i="7"/>
  <c r="Q411" i="7"/>
  <c r="D411" i="7"/>
  <c r="Q409" i="7"/>
  <c r="D409" i="7"/>
  <c r="Q407" i="7"/>
  <c r="D407" i="7"/>
  <c r="Q405" i="7"/>
  <c r="D405" i="7"/>
  <c r="Q403" i="7"/>
  <c r="D403" i="7"/>
  <c r="Q401" i="7"/>
  <c r="K401" i="7"/>
  <c r="G401" i="7"/>
  <c r="C401" i="7"/>
  <c r="K400" i="7"/>
  <c r="G400" i="7"/>
  <c r="C400" i="7"/>
  <c r="K399" i="7"/>
  <c r="G399" i="7"/>
  <c r="C399" i="7"/>
  <c r="F398" i="7"/>
  <c r="Q397" i="7"/>
  <c r="K397" i="7"/>
  <c r="A397" i="7"/>
  <c r="N396" i="7"/>
  <c r="J396" i="7"/>
  <c r="E396" i="7"/>
  <c r="A396" i="7"/>
  <c r="N395" i="7"/>
  <c r="J395" i="7"/>
  <c r="E395" i="7"/>
  <c r="A395" i="7"/>
  <c r="N394" i="7"/>
  <c r="J394" i="7"/>
  <c r="E394" i="7"/>
  <c r="A394" i="7"/>
  <c r="M393" i="7"/>
  <c r="I393" i="7"/>
  <c r="E393" i="7"/>
  <c r="A393" i="7"/>
  <c r="N392" i="7"/>
  <c r="J392" i="7"/>
  <c r="E392" i="7"/>
  <c r="A392" i="7"/>
  <c r="N391" i="7"/>
  <c r="J391" i="7"/>
  <c r="E391" i="7"/>
  <c r="A391" i="7"/>
  <c r="N390" i="7"/>
  <c r="J390" i="7"/>
  <c r="E390" i="7"/>
  <c r="A390" i="7"/>
  <c r="M389" i="7"/>
  <c r="I389" i="7"/>
  <c r="E389" i="7"/>
  <c r="A389" i="7"/>
  <c r="M388" i="7"/>
  <c r="I388" i="7"/>
  <c r="E388" i="7"/>
  <c r="A388" i="7"/>
  <c r="M387" i="7"/>
  <c r="I387" i="7"/>
  <c r="E387" i="7"/>
  <c r="A387" i="7"/>
  <c r="M386" i="7"/>
  <c r="I386" i="7"/>
  <c r="E386" i="7"/>
  <c r="A386" i="7"/>
  <c r="M385" i="7"/>
  <c r="I385" i="7"/>
  <c r="E385" i="7"/>
  <c r="A385" i="7"/>
  <c r="N384" i="7"/>
  <c r="J384" i="7"/>
  <c r="F384" i="7"/>
  <c r="B384" i="7"/>
  <c r="J383" i="7"/>
  <c r="F383" i="7"/>
  <c r="B383" i="7"/>
  <c r="J382" i="7"/>
  <c r="F382" i="7"/>
  <c r="B382" i="7"/>
  <c r="J381" i="7"/>
  <c r="F381" i="7"/>
  <c r="B381" i="7"/>
  <c r="J380" i="7"/>
  <c r="F380" i="7"/>
  <c r="B380" i="7"/>
  <c r="J379" i="7"/>
  <c r="F379" i="7"/>
  <c r="B379" i="7"/>
  <c r="J378" i="7"/>
  <c r="F378" i="7"/>
  <c r="B378" i="7"/>
  <c r="K377" i="7"/>
  <c r="F377" i="7"/>
  <c r="B377" i="7"/>
  <c r="K376" i="7"/>
  <c r="G376" i="7"/>
  <c r="C376" i="7"/>
  <c r="K375" i="7"/>
  <c r="G375" i="7"/>
  <c r="C375" i="7"/>
  <c r="L374" i="7"/>
  <c r="G374" i="7"/>
  <c r="C374" i="7"/>
  <c r="L373" i="7"/>
  <c r="H373" i="7"/>
  <c r="D373" i="7"/>
  <c r="Q372" i="7"/>
  <c r="M372" i="7"/>
  <c r="I372" i="7"/>
  <c r="E372" i="7"/>
  <c r="A372" i="7"/>
  <c r="N371" i="7"/>
  <c r="J371" i="7"/>
  <c r="F371" i="7"/>
  <c r="B371" i="7"/>
  <c r="J370" i="7"/>
  <c r="F370" i="7"/>
  <c r="B370" i="7"/>
  <c r="J369" i="7"/>
  <c r="F369" i="7"/>
  <c r="B369" i="7"/>
  <c r="K368" i="7"/>
  <c r="F368" i="7"/>
  <c r="B368" i="7"/>
  <c r="K367" i="7"/>
  <c r="F367" i="7"/>
  <c r="B367" i="7"/>
  <c r="K366" i="7"/>
  <c r="F366" i="7"/>
  <c r="B366" i="7"/>
  <c r="J365" i="7"/>
  <c r="F365" i="7"/>
  <c r="B365" i="7"/>
  <c r="K364" i="7"/>
  <c r="F364" i="7"/>
  <c r="B364" i="7"/>
  <c r="K363" i="7"/>
  <c r="G363" i="7"/>
  <c r="C363" i="7"/>
  <c r="L362" i="7"/>
  <c r="H362" i="7"/>
  <c r="D362" i="7"/>
  <c r="Q361" i="7"/>
  <c r="M361" i="7"/>
  <c r="G361" i="7"/>
  <c r="C361" i="7"/>
  <c r="L360" i="7"/>
  <c r="G360" i="7"/>
  <c r="C360" i="7"/>
  <c r="K359" i="7"/>
  <c r="F359" i="7"/>
  <c r="B359" i="7"/>
  <c r="K358" i="7"/>
  <c r="F358" i="7"/>
  <c r="B358" i="7"/>
  <c r="K357" i="7"/>
  <c r="F357" i="7"/>
  <c r="B357" i="7"/>
  <c r="J356" i="7"/>
  <c r="F356" i="7"/>
  <c r="B356" i="7"/>
  <c r="J355" i="7"/>
  <c r="F355" i="7"/>
  <c r="B355" i="7"/>
  <c r="K354" i="7"/>
  <c r="F354" i="7"/>
  <c r="B354" i="7"/>
  <c r="K353" i="7"/>
  <c r="F353" i="7"/>
  <c r="B353" i="7"/>
  <c r="K352" i="7"/>
  <c r="F352" i="7"/>
  <c r="B352" i="7"/>
  <c r="J351" i="7"/>
  <c r="F351" i="7"/>
  <c r="B351" i="7"/>
  <c r="J350" i="7"/>
  <c r="F350" i="7"/>
  <c r="B350" i="7"/>
  <c r="K349" i="7"/>
  <c r="F349" i="7"/>
  <c r="B349" i="7"/>
  <c r="K348" i="7"/>
  <c r="F348" i="7"/>
  <c r="B348" i="7"/>
  <c r="K347" i="7"/>
  <c r="F347" i="7"/>
  <c r="B347" i="7"/>
  <c r="K346" i="7"/>
  <c r="F346" i="7"/>
  <c r="B346" i="7"/>
  <c r="K345" i="7"/>
  <c r="F345" i="7"/>
  <c r="B345" i="7"/>
  <c r="K344" i="7"/>
  <c r="F344" i="7"/>
  <c r="B344" i="7"/>
  <c r="K343" i="7"/>
  <c r="F343" i="7"/>
  <c r="B343" i="7"/>
  <c r="H342" i="7"/>
  <c r="D342" i="7"/>
  <c r="Q341" i="7"/>
  <c r="M341" i="7"/>
  <c r="H341" i="7"/>
  <c r="D341" i="7"/>
  <c r="Q340" i="7"/>
  <c r="M340" i="7"/>
  <c r="H340" i="7"/>
  <c r="D340" i="7"/>
  <c r="Q339" i="7"/>
  <c r="M339" i="7"/>
  <c r="H339" i="7"/>
  <c r="D339" i="7"/>
  <c r="Q338" i="7"/>
  <c r="M338" i="7"/>
  <c r="H338" i="7"/>
  <c r="D338" i="7"/>
  <c r="Q337" i="7"/>
  <c r="M337" i="7"/>
  <c r="H337" i="7"/>
  <c r="D337" i="7"/>
  <c r="Q336" i="7"/>
  <c r="M336" i="7"/>
  <c r="H336" i="7"/>
  <c r="D336" i="7"/>
  <c r="Q335" i="7"/>
  <c r="M335" i="7"/>
  <c r="H335" i="7"/>
  <c r="D335" i="7"/>
  <c r="Q334" i="7"/>
  <c r="M334" i="7"/>
  <c r="H334" i="7"/>
  <c r="D334" i="7"/>
  <c r="Q333" i="7"/>
  <c r="M333" i="7"/>
  <c r="G333" i="7"/>
  <c r="C333" i="7"/>
  <c r="K332" i="7"/>
  <c r="F332" i="7"/>
  <c r="B332" i="7"/>
  <c r="K331" i="7"/>
  <c r="F331" i="7"/>
  <c r="B331" i="7"/>
  <c r="J330" i="7"/>
  <c r="E330" i="7"/>
  <c r="A330" i="7"/>
  <c r="N329" i="7"/>
  <c r="J329" i="7"/>
  <c r="E329" i="7"/>
  <c r="A329" i="7"/>
  <c r="N328" i="7"/>
  <c r="J328" i="7"/>
  <c r="E328" i="7"/>
  <c r="A328" i="7"/>
  <c r="N327" i="7"/>
  <c r="J327" i="7"/>
  <c r="E327" i="7"/>
  <c r="A327" i="7"/>
  <c r="N326" i="7"/>
  <c r="J326" i="7"/>
  <c r="E326" i="7"/>
  <c r="A326" i="7"/>
  <c r="N325" i="7"/>
  <c r="J325" i="7"/>
  <c r="E325" i="7"/>
  <c r="A325" i="7"/>
  <c r="N324" i="7"/>
  <c r="J324" i="7"/>
  <c r="E324" i="7"/>
  <c r="A324" i="7"/>
  <c r="N323" i="7"/>
  <c r="J323" i="7"/>
  <c r="E323" i="7"/>
  <c r="A323" i="7"/>
  <c r="N322" i="7"/>
  <c r="J322" i="7"/>
  <c r="E322" i="7"/>
  <c r="A322" i="7"/>
  <c r="N321" i="7"/>
  <c r="J321" i="7"/>
  <c r="E321" i="7"/>
  <c r="A321" i="7"/>
  <c r="N320" i="7"/>
  <c r="J320" i="7"/>
  <c r="E320" i="7"/>
  <c r="A320" i="7"/>
  <c r="N319" i="7"/>
  <c r="J319" i="7"/>
  <c r="E319" i="7"/>
  <c r="A319" i="7"/>
  <c r="N318" i="7"/>
  <c r="J318" i="7"/>
  <c r="E318" i="7"/>
  <c r="A318" i="7"/>
  <c r="N317" i="7"/>
  <c r="J317" i="7"/>
  <c r="E317" i="7"/>
  <c r="A317" i="7"/>
  <c r="N316" i="7"/>
  <c r="J316" i="7"/>
  <c r="E316" i="7"/>
  <c r="A316" i="7"/>
  <c r="N315" i="7"/>
  <c r="J315" i="7"/>
  <c r="E315" i="7"/>
  <c r="A315" i="7"/>
  <c r="N314" i="7"/>
  <c r="J314" i="7"/>
  <c r="E314" i="7"/>
  <c r="A314" i="7"/>
  <c r="N313" i="7"/>
  <c r="J313" i="7"/>
  <c r="E313" i="7"/>
  <c r="A313" i="7"/>
  <c r="N312" i="7"/>
  <c r="J312" i="7"/>
  <c r="E312" i="7"/>
  <c r="A312" i="7"/>
  <c r="N311" i="7"/>
  <c r="J311" i="7"/>
  <c r="E311" i="7"/>
  <c r="A311" i="7"/>
  <c r="N310" i="7"/>
  <c r="J310" i="7"/>
  <c r="E310" i="7"/>
  <c r="A310" i="7"/>
  <c r="N309" i="7"/>
  <c r="J309" i="7"/>
  <c r="E309" i="7"/>
  <c r="A309" i="7"/>
  <c r="N308" i="7"/>
  <c r="J308" i="7"/>
  <c r="E308" i="7"/>
  <c r="A308" i="7"/>
  <c r="N307" i="7"/>
  <c r="J307" i="7"/>
  <c r="E307" i="7"/>
  <c r="A307" i="7"/>
  <c r="N306" i="7"/>
  <c r="J306" i="7"/>
  <c r="E306" i="7"/>
  <c r="A306" i="7"/>
  <c r="N305" i="7"/>
  <c r="J305" i="7"/>
  <c r="E305" i="7"/>
  <c r="A305" i="7"/>
  <c r="N304" i="7"/>
  <c r="J304" i="7"/>
  <c r="E304" i="7"/>
  <c r="A304" i="7"/>
  <c r="N303" i="7"/>
  <c r="J303" i="7"/>
  <c r="E303" i="7"/>
  <c r="A303" i="7"/>
  <c r="D302" i="7"/>
  <c r="Q300" i="7"/>
  <c r="D300" i="7"/>
  <c r="Q298" i="7"/>
  <c r="D298" i="7"/>
  <c r="Q296" i="7"/>
  <c r="D296" i="7"/>
  <c r="Q294" i="7"/>
  <c r="D294" i="7"/>
  <c r="Q292" i="7"/>
  <c r="D292" i="7"/>
  <c r="Q290" i="7"/>
  <c r="D290" i="7"/>
  <c r="Q288" i="7"/>
  <c r="D288" i="7"/>
  <c r="Q286" i="7"/>
  <c r="D286" i="7"/>
  <c r="Q284" i="7"/>
  <c r="D284" i="7"/>
  <c r="Q282" i="7"/>
  <c r="D282" i="7"/>
  <c r="Q280" i="7"/>
  <c r="D280" i="7"/>
  <c r="Q278" i="7"/>
  <c r="D278" i="7"/>
  <c r="Q276" i="7"/>
  <c r="D276" i="7"/>
  <c r="Q274" i="7"/>
  <c r="D274" i="7"/>
  <c r="Q272" i="7"/>
  <c r="D272" i="7"/>
  <c r="Q270" i="7"/>
  <c r="D270" i="7"/>
  <c r="Q268" i="7"/>
  <c r="D268" i="7"/>
  <c r="Q266" i="7"/>
  <c r="D266" i="7"/>
  <c r="Q264" i="7"/>
  <c r="D264" i="7"/>
  <c r="Q262" i="7"/>
  <c r="D262" i="7"/>
  <c r="Q260" i="7"/>
  <c r="D260" i="7"/>
  <c r="Q258" i="7"/>
  <c r="D258" i="7"/>
  <c r="Q256" i="7"/>
  <c r="D256" i="7"/>
  <c r="Q254" i="7"/>
  <c r="D254" i="7"/>
  <c r="Q252" i="7"/>
  <c r="D252" i="7"/>
  <c r="Q250" i="7"/>
  <c r="D250" i="7"/>
  <c r="Q248" i="7"/>
  <c r="D248" i="7"/>
  <c r="Q246" i="7"/>
  <c r="D246" i="7"/>
  <c r="Q244" i="7"/>
  <c r="D244" i="7"/>
  <c r="Q242" i="7"/>
  <c r="D242" i="7"/>
  <c r="Q240" i="7"/>
  <c r="D240" i="7"/>
  <c r="Q238" i="7"/>
  <c r="D238" i="7"/>
  <c r="Q236" i="7"/>
  <c r="D236" i="7"/>
  <c r="Q234" i="7"/>
  <c r="D234" i="7"/>
  <c r="Q232" i="7"/>
  <c r="D232" i="7"/>
  <c r="Q230" i="7"/>
  <c r="D230" i="7"/>
  <c r="I229" i="7"/>
  <c r="E229" i="7"/>
  <c r="A229" i="7"/>
  <c r="M228" i="7"/>
  <c r="I228" i="7"/>
  <c r="E228" i="7"/>
  <c r="A228" i="7"/>
  <c r="M227" i="7"/>
  <c r="I227" i="7"/>
  <c r="E227" i="7"/>
  <c r="A227" i="7"/>
  <c r="M226" i="7"/>
  <c r="I226" i="7"/>
  <c r="E226" i="7"/>
  <c r="A226" i="7"/>
  <c r="M225" i="7"/>
  <c r="I225" i="7"/>
  <c r="E225" i="7"/>
  <c r="A225" i="7"/>
  <c r="M224" i="7"/>
  <c r="I224" i="7"/>
  <c r="E224" i="7"/>
  <c r="A224" i="7"/>
  <c r="N223" i="7"/>
  <c r="J223" i="7"/>
  <c r="F223" i="7"/>
  <c r="B223" i="7"/>
  <c r="K222" i="7"/>
  <c r="F222" i="7"/>
  <c r="B222" i="7"/>
  <c r="K221" i="7"/>
  <c r="F221" i="7"/>
  <c r="B221" i="7"/>
  <c r="K220" i="7"/>
  <c r="F220" i="7"/>
  <c r="B220" i="7"/>
  <c r="K219" i="7"/>
  <c r="F219" i="7"/>
  <c r="B219" i="7"/>
  <c r="K218" i="7"/>
  <c r="F218" i="7"/>
  <c r="B218" i="7"/>
  <c r="K217" i="7"/>
  <c r="F217" i="7"/>
  <c r="B217" i="7"/>
  <c r="J216" i="7"/>
  <c r="F216" i="7"/>
  <c r="B216" i="7"/>
  <c r="J215" i="7"/>
  <c r="F215" i="7"/>
  <c r="B215" i="7"/>
  <c r="J214" i="7"/>
  <c r="F214" i="7"/>
  <c r="B214" i="7"/>
  <c r="J213" i="7"/>
  <c r="F213" i="7"/>
  <c r="B213" i="7"/>
  <c r="K212" i="7"/>
  <c r="G212" i="7"/>
  <c r="C212" i="7"/>
  <c r="K211" i="7"/>
  <c r="G211" i="7"/>
  <c r="C211" i="7"/>
  <c r="K210" i="7"/>
  <c r="G210" i="7"/>
  <c r="C210" i="7"/>
  <c r="L209" i="7"/>
  <c r="H209" i="7"/>
  <c r="D209" i="7"/>
  <c r="Q208" i="7"/>
  <c r="M208" i="7"/>
  <c r="H208" i="7"/>
  <c r="D208" i="7"/>
  <c r="Q207" i="7"/>
  <c r="M207" i="7"/>
  <c r="H207" i="7"/>
  <c r="D207" i="7"/>
  <c r="Q206" i="7"/>
  <c r="M206" i="7"/>
  <c r="H206" i="7"/>
  <c r="D206" i="7"/>
  <c r="Q205" i="7"/>
  <c r="M205" i="7"/>
  <c r="H205" i="7"/>
  <c r="D205" i="7"/>
  <c r="Q204" i="7"/>
  <c r="M204" i="7"/>
  <c r="H204" i="7"/>
  <c r="D204" i="7"/>
  <c r="Q203" i="7"/>
  <c r="M203" i="7"/>
  <c r="H203" i="7"/>
  <c r="D203" i="7"/>
  <c r="Q202" i="7"/>
  <c r="M202" i="7"/>
  <c r="H202" i="7"/>
  <c r="D202" i="7"/>
  <c r="Q201" i="7"/>
  <c r="M201" i="7"/>
  <c r="H201" i="7"/>
  <c r="D201" i="7"/>
  <c r="Q200" i="7"/>
  <c r="M200" i="7"/>
  <c r="H200" i="7"/>
  <c r="D200" i="7"/>
  <c r="Q199" i="7"/>
  <c r="M199" i="7"/>
  <c r="H199" i="7"/>
  <c r="D199" i="7"/>
  <c r="Q198" i="7"/>
  <c r="M198" i="7"/>
  <c r="H198" i="7"/>
  <c r="D198" i="7"/>
  <c r="Q197" i="7"/>
  <c r="M197" i="7"/>
  <c r="H197" i="7"/>
  <c r="D197" i="7"/>
  <c r="Q196" i="7"/>
  <c r="M196" i="7"/>
  <c r="H196" i="7"/>
  <c r="D196" i="7"/>
  <c r="Q195" i="7"/>
  <c r="M195" i="7"/>
  <c r="H195" i="7"/>
  <c r="D195" i="7"/>
  <c r="Q194" i="7"/>
  <c r="M194" i="7"/>
  <c r="H194" i="7"/>
  <c r="D194" i="7"/>
  <c r="Q193" i="7"/>
  <c r="M193" i="7"/>
  <c r="H193" i="7"/>
  <c r="D193" i="7"/>
  <c r="Q192" i="7"/>
  <c r="M192" i="7"/>
  <c r="H192" i="7"/>
  <c r="D192" i="7"/>
  <c r="Q191" i="7"/>
  <c r="M191" i="7"/>
  <c r="H191" i="7"/>
  <c r="D191" i="7"/>
  <c r="Q190" i="7"/>
  <c r="M190" i="7"/>
  <c r="H190" i="7"/>
  <c r="D190" i="7"/>
  <c r="Q189" i="7"/>
  <c r="M189" i="7"/>
  <c r="H189" i="7"/>
  <c r="D189" i="7"/>
  <c r="Q188" i="7"/>
  <c r="M188" i="7"/>
  <c r="H188" i="7"/>
  <c r="D188" i="7"/>
  <c r="Q187" i="7"/>
  <c r="M187" i="7"/>
  <c r="H187" i="7"/>
  <c r="D187" i="7"/>
  <c r="Q186" i="7"/>
  <c r="M186" i="7"/>
  <c r="H186" i="7"/>
  <c r="D186" i="7"/>
  <c r="Q185" i="7"/>
  <c r="M185" i="7"/>
  <c r="H185" i="7"/>
  <c r="D185" i="7"/>
  <c r="Q184" i="7"/>
  <c r="M184" i="7"/>
  <c r="H184" i="7"/>
  <c r="D184" i="7"/>
  <c r="Q183" i="7"/>
  <c r="M183" i="7"/>
  <c r="H183" i="7"/>
  <c r="D183" i="7"/>
  <c r="Q182" i="7"/>
  <c r="M182" i="7"/>
  <c r="H182" i="7"/>
  <c r="D182" i="7"/>
  <c r="Q181" i="7"/>
  <c r="M181" i="7"/>
  <c r="H181" i="7"/>
  <c r="D181" i="7"/>
  <c r="Q180" i="7"/>
  <c r="L180" i="7"/>
  <c r="H180" i="7"/>
  <c r="D180" i="7"/>
  <c r="Q179" i="7"/>
  <c r="M179" i="7"/>
  <c r="H179" i="7"/>
  <c r="D179" i="7"/>
  <c r="Q178" i="7"/>
  <c r="M178" i="7"/>
  <c r="I178" i="7"/>
  <c r="E178" i="7"/>
  <c r="A178" i="7"/>
  <c r="N177" i="7"/>
  <c r="J177" i="7"/>
  <c r="E177" i="7"/>
  <c r="A177" i="7"/>
  <c r="N176" i="7"/>
  <c r="J176" i="7"/>
  <c r="E176" i="7"/>
  <c r="A176" i="7"/>
  <c r="N175" i="7"/>
  <c r="J175" i="7"/>
  <c r="E175" i="7"/>
  <c r="A175" i="7"/>
  <c r="M174" i="7"/>
  <c r="I174" i="7"/>
  <c r="E174" i="7"/>
  <c r="A174" i="7"/>
  <c r="N173" i="7"/>
  <c r="J173" i="7"/>
  <c r="E173" i="7"/>
  <c r="A173" i="7"/>
  <c r="M172" i="7"/>
  <c r="I172" i="7"/>
  <c r="E172" i="7"/>
  <c r="A172" i="7"/>
  <c r="N171" i="7"/>
  <c r="J171" i="7"/>
  <c r="F171" i="7"/>
  <c r="B171" i="7"/>
  <c r="K170" i="7"/>
  <c r="F170" i="7"/>
  <c r="B170" i="7"/>
  <c r="J169" i="7"/>
  <c r="F169" i="7"/>
  <c r="B169" i="7"/>
  <c r="K168" i="7"/>
  <c r="G168" i="7"/>
  <c r="C168" i="7"/>
  <c r="L167" i="7"/>
  <c r="G167" i="7"/>
  <c r="C167" i="7"/>
  <c r="E166" i="7"/>
  <c r="Q165" i="7"/>
  <c r="M165" i="7"/>
  <c r="H165" i="7"/>
  <c r="D165" i="7"/>
  <c r="Q164" i="7"/>
  <c r="M164" i="7"/>
  <c r="H164" i="7"/>
  <c r="D164" i="7"/>
  <c r="Q163" i="7"/>
  <c r="M163" i="7"/>
  <c r="H163" i="7"/>
  <c r="D163" i="7"/>
  <c r="Q162" i="7"/>
  <c r="M162" i="7"/>
  <c r="I162" i="7"/>
  <c r="E162" i="7"/>
  <c r="A162" i="7"/>
  <c r="N161" i="7"/>
  <c r="J161" i="7"/>
  <c r="E161" i="7"/>
  <c r="A161" i="7"/>
  <c r="N160" i="7"/>
  <c r="J160" i="7"/>
  <c r="E160" i="7"/>
  <c r="A160" i="7"/>
  <c r="N159" i="7"/>
  <c r="J159" i="7"/>
  <c r="E159" i="7"/>
  <c r="A159" i="7"/>
  <c r="N158" i="7"/>
  <c r="J158" i="7"/>
  <c r="E158" i="7"/>
  <c r="A158" i="7"/>
  <c r="N157" i="7"/>
  <c r="J157" i="7"/>
  <c r="E157" i="7"/>
  <c r="A157" i="7"/>
  <c r="N156" i="7"/>
  <c r="J156" i="7"/>
  <c r="E156" i="7"/>
  <c r="A156" i="7"/>
  <c r="N155" i="7"/>
  <c r="J155" i="7"/>
  <c r="E155" i="7"/>
  <c r="A155" i="7"/>
  <c r="N154" i="7"/>
  <c r="J154" i="7"/>
  <c r="E154" i="7"/>
  <c r="A154" i="7"/>
  <c r="N153" i="7"/>
  <c r="J153" i="7"/>
  <c r="E153" i="7"/>
  <c r="A153" i="7"/>
  <c r="N152" i="7"/>
  <c r="J152" i="7"/>
  <c r="E152" i="7"/>
  <c r="A152" i="7"/>
  <c r="N151" i="7"/>
  <c r="J151" i="7"/>
  <c r="E151" i="7"/>
  <c r="A151" i="7"/>
  <c r="N150" i="7"/>
  <c r="J150" i="7"/>
  <c r="E150" i="7"/>
  <c r="A150" i="7"/>
  <c r="N149" i="7"/>
  <c r="J149" i="7"/>
  <c r="E149" i="7"/>
  <c r="A149" i="7"/>
  <c r="N148" i="7"/>
  <c r="J148" i="7"/>
  <c r="E148" i="7"/>
  <c r="A148" i="7"/>
  <c r="M147" i="7"/>
  <c r="I147" i="7"/>
  <c r="E147" i="7"/>
  <c r="A147" i="7"/>
  <c r="N146" i="7"/>
  <c r="J146" i="7"/>
  <c r="E146" i="7"/>
  <c r="A146" i="7"/>
  <c r="N145" i="7"/>
  <c r="J145" i="7"/>
  <c r="E145" i="7"/>
  <c r="A145" i="7"/>
  <c r="N144" i="7"/>
  <c r="J144" i="7"/>
  <c r="E144" i="7"/>
  <c r="A144" i="7"/>
  <c r="N143" i="7"/>
  <c r="J143" i="7"/>
  <c r="E143" i="7"/>
  <c r="A143" i="7"/>
  <c r="N142" i="7"/>
  <c r="J142" i="7"/>
  <c r="E142" i="7"/>
  <c r="A142" i="7"/>
  <c r="N141" i="7"/>
  <c r="J141" i="7"/>
  <c r="E141" i="7"/>
  <c r="A141" i="7"/>
  <c r="N140" i="7"/>
  <c r="J140" i="7"/>
  <c r="E140" i="7"/>
  <c r="A140" i="7"/>
  <c r="N139" i="7"/>
  <c r="J139" i="7"/>
  <c r="E139" i="7"/>
  <c r="A139" i="7"/>
  <c r="N138" i="7"/>
  <c r="J138" i="7"/>
  <c r="E138" i="7"/>
  <c r="A138" i="7"/>
  <c r="N137" i="7"/>
  <c r="J137" i="7"/>
  <c r="E137" i="7"/>
  <c r="A137" i="7"/>
  <c r="N136" i="7"/>
  <c r="J136" i="7"/>
  <c r="E136" i="7"/>
  <c r="A136" i="7"/>
  <c r="N135" i="7"/>
  <c r="J135" i="7"/>
  <c r="E135" i="7"/>
  <c r="A135" i="7"/>
  <c r="N134" i="7"/>
  <c r="J134" i="7"/>
  <c r="E134" i="7"/>
  <c r="A134" i="7"/>
  <c r="N133" i="7"/>
  <c r="J133" i="7"/>
  <c r="E133" i="7"/>
  <c r="A133" i="7"/>
  <c r="N132" i="7"/>
  <c r="J132" i="7"/>
  <c r="E132" i="7"/>
  <c r="A132" i="7"/>
  <c r="N131" i="7"/>
  <c r="J131" i="7"/>
  <c r="E131" i="7"/>
  <c r="A131" i="7"/>
  <c r="N130" i="7"/>
  <c r="J130" i="7"/>
  <c r="E130" i="7"/>
  <c r="A130" i="7"/>
  <c r="N129" i="7"/>
  <c r="J129" i="7"/>
  <c r="E129" i="7"/>
  <c r="A129" i="7"/>
  <c r="N128" i="7"/>
  <c r="J128" i="7"/>
  <c r="E128" i="7"/>
  <c r="A128" i="7"/>
  <c r="N127" i="7"/>
  <c r="J127" i="7"/>
  <c r="E127" i="7"/>
  <c r="A127" i="7"/>
  <c r="N126" i="7"/>
  <c r="J126" i="7"/>
  <c r="E126" i="7"/>
  <c r="A126" i="7"/>
  <c r="N125" i="7"/>
  <c r="J125" i="7"/>
  <c r="E125" i="7"/>
  <c r="A125" i="7"/>
  <c r="N124" i="7"/>
  <c r="J124" i="7"/>
  <c r="E124" i="7"/>
  <c r="A124" i="7"/>
  <c r="N123" i="7"/>
  <c r="J123" i="7"/>
  <c r="E123" i="7"/>
  <c r="A123" i="7"/>
  <c r="N122" i="7"/>
  <c r="J122" i="7"/>
  <c r="E122" i="7"/>
  <c r="A122" i="7"/>
  <c r="N121" i="7"/>
  <c r="J121" i="7"/>
  <c r="E121" i="7"/>
  <c r="A121" i="7"/>
  <c r="N120" i="7"/>
  <c r="J120" i="7"/>
  <c r="E120" i="7"/>
  <c r="A120" i="7"/>
  <c r="N119" i="7"/>
  <c r="J119" i="7"/>
  <c r="E119" i="7"/>
  <c r="A119" i="7"/>
  <c r="N118" i="7"/>
  <c r="J118" i="7"/>
  <c r="E118" i="7"/>
  <c r="A118" i="7"/>
  <c r="N117" i="7"/>
  <c r="J117" i="7"/>
  <c r="E117" i="7"/>
  <c r="A117" i="7"/>
  <c r="N116" i="7"/>
  <c r="J116" i="7"/>
  <c r="E116" i="7"/>
  <c r="A116" i="7"/>
  <c r="N115" i="7"/>
  <c r="J115" i="7"/>
  <c r="E115" i="7"/>
  <c r="A115" i="7"/>
  <c r="N114" i="7"/>
  <c r="J114" i="7"/>
  <c r="E114" i="7"/>
  <c r="A114" i="7"/>
  <c r="N113" i="7"/>
  <c r="J113" i="7"/>
  <c r="E113" i="7"/>
  <c r="A113" i="7"/>
  <c r="N112" i="7"/>
  <c r="J112" i="7"/>
  <c r="E112" i="7"/>
  <c r="A112" i="7"/>
  <c r="N111" i="7"/>
  <c r="J111" i="7"/>
  <c r="E111" i="7"/>
  <c r="A111" i="7"/>
  <c r="N110" i="7"/>
  <c r="J110" i="7"/>
  <c r="E110" i="7"/>
  <c r="A110" i="7"/>
  <c r="N109" i="7"/>
  <c r="J109" i="7"/>
  <c r="E109" i="7"/>
  <c r="A109" i="7"/>
  <c r="N108" i="7"/>
  <c r="J108" i="7"/>
  <c r="E108" i="7"/>
  <c r="A108" i="7"/>
  <c r="N107" i="7"/>
  <c r="J107" i="7"/>
  <c r="E107" i="7"/>
  <c r="A107" i="7"/>
  <c r="N106" i="7"/>
  <c r="J106" i="7"/>
  <c r="E106" i="7"/>
  <c r="A106" i="7"/>
  <c r="N105" i="7"/>
  <c r="J105" i="7"/>
  <c r="E105" i="7"/>
  <c r="A105" i="7"/>
  <c r="N104" i="7"/>
  <c r="J104" i="7"/>
  <c r="E104" i="7"/>
  <c r="A104" i="7"/>
  <c r="N103" i="7"/>
  <c r="J103" i="7"/>
  <c r="E103" i="7"/>
  <c r="A103" i="7"/>
  <c r="N102" i="7"/>
  <c r="J102" i="7"/>
  <c r="E102" i="7"/>
  <c r="A102" i="7"/>
  <c r="N101" i="7"/>
  <c r="J101" i="7"/>
  <c r="E101" i="7"/>
  <c r="A101" i="7"/>
  <c r="N100" i="7"/>
  <c r="J100" i="7"/>
  <c r="E100" i="7"/>
  <c r="A100" i="7"/>
  <c r="N99" i="7"/>
  <c r="J99" i="7"/>
  <c r="E99" i="7"/>
  <c r="A99" i="7"/>
  <c r="N98" i="7"/>
  <c r="J98" i="7"/>
  <c r="E98" i="7"/>
  <c r="A98" i="7"/>
  <c r="N97" i="7"/>
  <c r="J97" i="7"/>
  <c r="E97" i="7"/>
  <c r="A97" i="7"/>
  <c r="N96" i="7"/>
  <c r="J96" i="7"/>
  <c r="E96" i="7"/>
  <c r="A96" i="7"/>
  <c r="N95" i="7"/>
  <c r="J95" i="7"/>
  <c r="E95" i="7"/>
  <c r="A95" i="7"/>
  <c r="N94" i="7"/>
  <c r="J94" i="7"/>
  <c r="E94" i="7"/>
  <c r="A94" i="7"/>
  <c r="N93" i="7"/>
  <c r="J93" i="7"/>
  <c r="E93" i="7"/>
  <c r="A93" i="7"/>
  <c r="N92" i="7"/>
  <c r="J92" i="7"/>
  <c r="E92" i="7"/>
  <c r="A92" i="7"/>
  <c r="N91" i="7"/>
  <c r="J91" i="7"/>
  <c r="E91" i="7"/>
  <c r="A91" i="7"/>
  <c r="N90" i="7"/>
  <c r="J90" i="7"/>
  <c r="E90" i="7"/>
  <c r="A90" i="7"/>
  <c r="N89" i="7"/>
  <c r="J89" i="7"/>
  <c r="E89" i="7"/>
  <c r="A89" i="7"/>
  <c r="N88" i="7"/>
  <c r="J88" i="7"/>
  <c r="E88" i="7"/>
  <c r="A88" i="7"/>
  <c r="N87" i="7"/>
  <c r="J87" i="7"/>
  <c r="E87" i="7"/>
  <c r="A87" i="7"/>
  <c r="N86" i="7"/>
  <c r="H86" i="7"/>
  <c r="D86" i="7"/>
  <c r="Q85" i="7"/>
  <c r="M85" i="7"/>
  <c r="H85" i="7"/>
  <c r="D85" i="7"/>
  <c r="Q84" i="7"/>
  <c r="M84" i="7"/>
  <c r="H84" i="7"/>
  <c r="D84" i="7"/>
  <c r="Q83" i="7"/>
  <c r="M83" i="7"/>
  <c r="H83" i="7"/>
  <c r="D83" i="7"/>
  <c r="Q82" i="7"/>
  <c r="M82" i="7"/>
  <c r="H82" i="7"/>
  <c r="D82" i="7"/>
  <c r="Q81" i="7"/>
  <c r="M81" i="7"/>
  <c r="H81" i="7"/>
  <c r="D81" i="7"/>
  <c r="Q80" i="7"/>
  <c r="M80" i="7"/>
  <c r="H80" i="7"/>
  <c r="D80" i="7"/>
  <c r="Q79" i="7"/>
  <c r="M79" i="7"/>
  <c r="H79" i="7"/>
  <c r="D79" i="7"/>
  <c r="Q78" i="7"/>
  <c r="M78" i="7"/>
  <c r="H78" i="7"/>
  <c r="D78" i="7"/>
  <c r="Q77" i="7"/>
  <c r="M77" i="7"/>
  <c r="H77" i="7"/>
  <c r="D77" i="7"/>
  <c r="Q76" i="7"/>
  <c r="M76" i="7"/>
  <c r="H76" i="7"/>
  <c r="G1284" i="7"/>
  <c r="G1283" i="7"/>
  <c r="G1282" i="7"/>
  <c r="G1281" i="7"/>
  <c r="G1280" i="7"/>
  <c r="G1279" i="7"/>
  <c r="G1278" i="7"/>
  <c r="G1277" i="7"/>
  <c r="G1276" i="7"/>
  <c r="G1275" i="7"/>
  <c r="G1274" i="7"/>
  <c r="G1273" i="7"/>
  <c r="G1272" i="7"/>
  <c r="G1271" i="7"/>
  <c r="G1270" i="7"/>
  <c r="G1269" i="7"/>
  <c r="G1268" i="7"/>
  <c r="G1267" i="7"/>
  <c r="G1266" i="7"/>
  <c r="G1265" i="7"/>
  <c r="G1264" i="7"/>
  <c r="G1263" i="7"/>
  <c r="G1262" i="7"/>
  <c r="G1261" i="7"/>
  <c r="G1260" i="7"/>
  <c r="G1259" i="7"/>
  <c r="G1258" i="7"/>
  <c r="G1257" i="7"/>
  <c r="E1256" i="7"/>
  <c r="J1255" i="7"/>
  <c r="N1254" i="7"/>
  <c r="A1253" i="7"/>
  <c r="E1252" i="7"/>
  <c r="A1251" i="7"/>
  <c r="E1250" i="7"/>
  <c r="J1249" i="7"/>
  <c r="N1248" i="7"/>
  <c r="A1247" i="7"/>
  <c r="E1246" i="7"/>
  <c r="H1245" i="7"/>
  <c r="K1244" i="7"/>
  <c r="Q1241" i="7"/>
  <c r="D1241" i="7"/>
  <c r="H1240" i="7"/>
  <c r="M1239" i="7"/>
  <c r="Q1237" i="7"/>
  <c r="D1237" i="7"/>
  <c r="H1236" i="7"/>
  <c r="M1235" i="7"/>
  <c r="K1234" i="7"/>
  <c r="A1232" i="7"/>
  <c r="E1231" i="7"/>
  <c r="J1230" i="7"/>
  <c r="N1229" i="7"/>
  <c r="A1228" i="7"/>
  <c r="E1227" i="7"/>
  <c r="J1226" i="7"/>
  <c r="N1225" i="7"/>
  <c r="Q1223" i="7"/>
  <c r="D1223" i="7"/>
  <c r="H1222" i="7"/>
  <c r="M1221" i="7"/>
  <c r="Q1219" i="7"/>
  <c r="D1219" i="7"/>
  <c r="H1218" i="7"/>
  <c r="M1217" i="7"/>
  <c r="Q1215" i="7"/>
  <c r="D1215" i="7"/>
  <c r="H1214" i="7"/>
  <c r="K1213" i="7"/>
  <c r="B1211" i="7"/>
  <c r="E1210" i="7"/>
  <c r="J1209" i="7"/>
  <c r="N1208" i="7"/>
  <c r="A1207" i="7"/>
  <c r="E1206" i="7"/>
  <c r="J1205" i="7"/>
  <c r="N1204" i="7"/>
  <c r="A1203" i="7"/>
  <c r="A1199" i="7"/>
  <c r="A1195" i="7"/>
  <c r="A1191" i="7"/>
  <c r="A1187" i="7"/>
  <c r="A1183" i="7"/>
  <c r="A1179" i="7"/>
  <c r="A1175" i="7"/>
  <c r="A1171" i="7"/>
  <c r="A1167" i="7"/>
  <c r="A1163" i="7"/>
  <c r="A1159" i="7"/>
  <c r="A1155" i="7"/>
  <c r="A1151" i="7"/>
  <c r="A1147" i="7"/>
  <c r="A1143" i="7"/>
  <c r="A1139" i="7"/>
  <c r="A1135" i="7"/>
  <c r="A1131" i="7"/>
  <c r="A1127" i="7"/>
  <c r="A1123" i="7"/>
  <c r="A1119" i="7"/>
  <c r="A1115" i="7"/>
  <c r="A1111" i="7"/>
  <c r="A1107" i="7"/>
  <c r="A1103" i="7"/>
  <c r="A1099" i="7"/>
  <c r="A1095" i="7"/>
  <c r="A1091" i="7"/>
  <c r="A1087" i="7"/>
  <c r="A1083" i="7"/>
  <c r="A1079" i="7"/>
  <c r="A1075" i="7"/>
  <c r="A1071" i="7"/>
  <c r="A1067" i="7"/>
  <c r="A1063" i="7"/>
  <c r="A1059" i="7"/>
  <c r="A1055" i="7"/>
  <c r="A1051" i="7"/>
  <c r="A1047" i="7"/>
  <c r="A1043"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I1006" i="7"/>
  <c r="A1006" i="7"/>
  <c r="I1005" i="7"/>
  <c r="A1005" i="7"/>
  <c r="I1004" i="7"/>
  <c r="A1004" i="7"/>
  <c r="I1003" i="7"/>
  <c r="A1003" i="7"/>
  <c r="I1002" i="7"/>
  <c r="A1002" i="7"/>
  <c r="J1001" i="7"/>
  <c r="B1001" i="7"/>
  <c r="J1000" i="7"/>
  <c r="B1000" i="7"/>
  <c r="J999" i="7"/>
  <c r="B999" i="7"/>
  <c r="J998" i="7"/>
  <c r="B998" i="7"/>
  <c r="J997" i="7"/>
  <c r="B997" i="7"/>
  <c r="J996" i="7"/>
  <c r="B996" i="7"/>
  <c r="J995" i="7"/>
  <c r="B995" i="7"/>
  <c r="J994" i="7"/>
  <c r="B994" i="7"/>
  <c r="J993" i="7"/>
  <c r="B993" i="7"/>
  <c r="J992" i="7"/>
  <c r="B992" i="7"/>
  <c r="M991" i="7"/>
  <c r="D991" i="7"/>
  <c r="F990" i="7"/>
  <c r="H989" i="7"/>
  <c r="Q988" i="7"/>
  <c r="K988" i="7"/>
  <c r="B988" i="7"/>
  <c r="J987" i="7"/>
  <c r="B987" i="7"/>
  <c r="M986" i="7"/>
  <c r="D986" i="7"/>
  <c r="F985" i="7"/>
  <c r="H984" i="7"/>
  <c r="Q983" i="7"/>
  <c r="K983" i="7"/>
  <c r="B983" i="7"/>
  <c r="M982" i="7"/>
  <c r="D982" i="7"/>
  <c r="F981" i="7"/>
  <c r="G980" i="7"/>
  <c r="G979" i="7"/>
  <c r="G978" i="7"/>
  <c r="G977" i="7"/>
  <c r="G976" i="7"/>
  <c r="H975" i="7"/>
  <c r="Q974" i="7"/>
  <c r="I974" i="7"/>
  <c r="A974" i="7"/>
  <c r="J973" i="7"/>
  <c r="A973" i="7"/>
  <c r="A972" i="7"/>
  <c r="I971" i="7"/>
  <c r="A971" i="7"/>
  <c r="A970" i="7"/>
  <c r="J969" i="7"/>
  <c r="A969" i="7"/>
  <c r="J968" i="7"/>
  <c r="A968" i="7"/>
  <c r="J967" i="7"/>
  <c r="A967" i="7"/>
  <c r="J966" i="7"/>
  <c r="A966" i="7"/>
  <c r="J965" i="7"/>
  <c r="A965" i="7"/>
  <c r="J964" i="7"/>
  <c r="A964" i="7"/>
  <c r="J963" i="7"/>
  <c r="A963" i="7"/>
  <c r="J962" i="7"/>
  <c r="A962" i="7"/>
  <c r="J961" i="7"/>
  <c r="A961" i="7"/>
  <c r="J960" i="7"/>
  <c r="A960" i="7"/>
  <c r="J959" i="7"/>
  <c r="A959" i="7"/>
  <c r="J958" i="7"/>
  <c r="A958" i="7"/>
  <c r="J957" i="7"/>
  <c r="A957" i="7"/>
  <c r="J956" i="7"/>
  <c r="A956" i="7"/>
  <c r="J955" i="7"/>
  <c r="A955" i="7"/>
  <c r="J954" i="7"/>
  <c r="A954" i="7"/>
  <c r="H953" i="7"/>
  <c r="Q952" i="7"/>
  <c r="J952" i="7"/>
  <c r="A952" i="7"/>
  <c r="J951" i="7"/>
  <c r="A951" i="7"/>
  <c r="J950" i="7"/>
  <c r="A950" i="7"/>
  <c r="J949" i="7"/>
  <c r="A949" i="7"/>
  <c r="J948" i="7"/>
  <c r="A948" i="7"/>
  <c r="J947" i="7"/>
  <c r="A947" i="7"/>
  <c r="H946" i="7"/>
  <c r="Q945" i="7"/>
  <c r="J945" i="7"/>
  <c r="A945" i="7"/>
  <c r="J944" i="7"/>
  <c r="A944" i="7"/>
  <c r="H943" i="7"/>
  <c r="Q942" i="7"/>
  <c r="K942" i="7"/>
  <c r="B942" i="7"/>
  <c r="M941" i="7"/>
  <c r="D941" i="7"/>
  <c r="F940" i="7"/>
  <c r="G939" i="7"/>
  <c r="G938" i="7"/>
  <c r="F937" i="7"/>
  <c r="G936" i="7"/>
  <c r="G935" i="7"/>
  <c r="G934" i="7"/>
  <c r="G933" i="7"/>
  <c r="G932" i="7"/>
  <c r="G931" i="7"/>
  <c r="G930" i="7"/>
  <c r="G929" i="7"/>
  <c r="G928" i="7"/>
  <c r="G927" i="7"/>
  <c r="G926" i="7"/>
  <c r="G925" i="7"/>
  <c r="G924" i="7"/>
  <c r="G923" i="7"/>
  <c r="G922" i="7"/>
  <c r="G921" i="7"/>
  <c r="G920" i="7"/>
  <c r="G919" i="7"/>
  <c r="G918" i="7"/>
  <c r="G917" i="7"/>
  <c r="G916" i="7"/>
  <c r="G915" i="7"/>
  <c r="G914" i="7"/>
  <c r="G913" i="7"/>
  <c r="G912" i="7"/>
  <c r="J911" i="7"/>
  <c r="C911" i="7"/>
  <c r="J910" i="7"/>
  <c r="C910" i="7"/>
  <c r="J909" i="7"/>
  <c r="C909" i="7"/>
  <c r="J908" i="7"/>
  <c r="C908" i="7"/>
  <c r="J907" i="7"/>
  <c r="C907" i="7"/>
  <c r="J906" i="7"/>
  <c r="C906" i="7"/>
  <c r="J905" i="7"/>
  <c r="C905" i="7"/>
  <c r="J904" i="7"/>
  <c r="C904" i="7"/>
  <c r="J903" i="7"/>
  <c r="C903" i="7"/>
  <c r="A901" i="7"/>
  <c r="A900" i="7"/>
  <c r="K899" i="7"/>
  <c r="A897" i="7"/>
  <c r="A896" i="7"/>
  <c r="K895" i="7"/>
  <c r="A893" i="7"/>
  <c r="A892" i="7"/>
  <c r="K891" i="7"/>
  <c r="A889" i="7"/>
  <c r="A888" i="7"/>
  <c r="K887" i="7"/>
  <c r="A885" i="7"/>
  <c r="A884" i="7"/>
  <c r="K883" i="7"/>
  <c r="A881" i="7"/>
  <c r="A880" i="7"/>
  <c r="K879" i="7"/>
  <c r="A877" i="7"/>
  <c r="A876" i="7"/>
  <c r="K875" i="7"/>
  <c r="A873" i="7"/>
  <c r="A872" i="7"/>
  <c r="K871" i="7"/>
  <c r="A869" i="7"/>
  <c r="A868" i="7"/>
  <c r="K867" i="7"/>
  <c r="A865" i="7"/>
  <c r="A864" i="7"/>
  <c r="K863" i="7"/>
  <c r="A861" i="7"/>
  <c r="A860" i="7"/>
  <c r="K859" i="7"/>
  <c r="A857" i="7"/>
  <c r="A856" i="7"/>
  <c r="K855" i="7"/>
  <c r="A853" i="7"/>
  <c r="A852" i="7"/>
  <c r="K851" i="7"/>
  <c r="A849" i="7"/>
  <c r="A848" i="7"/>
  <c r="K847" i="7"/>
  <c r="A845" i="7"/>
  <c r="A844" i="7"/>
  <c r="K843" i="7"/>
  <c r="A841" i="7"/>
  <c r="A840" i="7"/>
  <c r="K839" i="7"/>
  <c r="A837" i="7"/>
  <c r="A836" i="7"/>
  <c r="K835" i="7"/>
  <c r="A833" i="7"/>
  <c r="A832" i="7"/>
  <c r="K831" i="7"/>
  <c r="A829" i="7"/>
  <c r="A828" i="7"/>
  <c r="K827" i="7"/>
  <c r="A825" i="7"/>
  <c r="A824" i="7"/>
  <c r="K823" i="7"/>
  <c r="A821" i="7"/>
  <c r="A820" i="7"/>
  <c r="K819" i="7"/>
  <c r="A817" i="7"/>
  <c r="A816" i="7"/>
  <c r="K815" i="7"/>
  <c r="A813" i="7"/>
  <c r="A812" i="7"/>
  <c r="K811" i="7"/>
  <c r="A809" i="7"/>
  <c r="A808" i="7"/>
  <c r="K807" i="7"/>
  <c r="A805" i="7"/>
  <c r="A804" i="7"/>
  <c r="K803" i="7"/>
  <c r="A801" i="7"/>
  <c r="A800" i="7"/>
  <c r="K799" i="7"/>
  <c r="A797" i="7"/>
  <c r="A796" i="7"/>
  <c r="K795" i="7"/>
  <c r="A793" i="7"/>
  <c r="A792" i="7"/>
  <c r="K791" i="7"/>
  <c r="A789" i="7"/>
  <c r="A788" i="7"/>
  <c r="K787" i="7"/>
  <c r="A785" i="7"/>
  <c r="A784" i="7"/>
  <c r="K783" i="7"/>
  <c r="A781" i="7"/>
  <c r="A780" i="7"/>
  <c r="K779" i="7"/>
  <c r="A777" i="7"/>
  <c r="A776" i="7"/>
  <c r="K775" i="7"/>
  <c r="A773" i="7"/>
  <c r="A772" i="7"/>
  <c r="K771" i="7"/>
  <c r="A769" i="7"/>
  <c r="A768" i="7"/>
  <c r="K767" i="7"/>
  <c r="A765" i="7"/>
  <c r="A764" i="7"/>
  <c r="K763" i="7"/>
  <c r="A761" i="7"/>
  <c r="A760" i="7"/>
  <c r="K759" i="7"/>
  <c r="A757" i="7"/>
  <c r="A756" i="7"/>
  <c r="K755" i="7"/>
  <c r="A753" i="7"/>
  <c r="A752" i="7"/>
  <c r="K751" i="7"/>
  <c r="A749" i="7"/>
  <c r="A748" i="7"/>
  <c r="K747" i="7"/>
  <c r="A745" i="7"/>
  <c r="A744" i="7"/>
  <c r="K743" i="7"/>
  <c r="A741" i="7"/>
  <c r="A740" i="7"/>
  <c r="K739" i="7"/>
  <c r="A737" i="7"/>
  <c r="A736" i="7"/>
  <c r="K735" i="7"/>
  <c r="A733" i="7"/>
  <c r="A732" i="7"/>
  <c r="K731" i="7"/>
  <c r="A729" i="7"/>
  <c r="A728" i="7"/>
  <c r="K727" i="7"/>
  <c r="A725" i="7"/>
  <c r="A724" i="7"/>
  <c r="K723" i="7"/>
  <c r="A721" i="7"/>
  <c r="A720" i="7"/>
  <c r="K719" i="7"/>
  <c r="A717" i="7"/>
  <c r="A716" i="7"/>
  <c r="K715" i="7"/>
  <c r="A713" i="7"/>
  <c r="A712" i="7"/>
  <c r="K711" i="7"/>
  <c r="A709" i="7"/>
  <c r="A708" i="7"/>
  <c r="K707" i="7"/>
  <c r="A705" i="7"/>
  <c r="A704" i="7"/>
  <c r="K703" i="7"/>
  <c r="A701" i="7"/>
  <c r="A700" i="7"/>
  <c r="K699" i="7"/>
  <c r="A697" i="7"/>
  <c r="A696" i="7"/>
  <c r="K695" i="7"/>
  <c r="A693" i="7"/>
  <c r="A692" i="7"/>
  <c r="K691" i="7"/>
  <c r="A689" i="7"/>
  <c r="A688" i="7"/>
  <c r="K687" i="7"/>
  <c r="A685" i="7"/>
  <c r="A684" i="7"/>
  <c r="K683" i="7"/>
  <c r="A681" i="7"/>
  <c r="A680" i="7"/>
  <c r="K679" i="7"/>
  <c r="A677" i="7"/>
  <c r="A676" i="7"/>
  <c r="K675" i="7"/>
  <c r="A673" i="7"/>
  <c r="A672" i="7"/>
  <c r="K671" i="7"/>
  <c r="G670" i="7"/>
  <c r="A670" i="7"/>
  <c r="J669" i="7"/>
  <c r="E669" i="7"/>
  <c r="H668" i="7"/>
  <c r="C668" i="7"/>
  <c r="K667" i="7"/>
  <c r="F667" i="7"/>
  <c r="A667" i="7"/>
  <c r="I666" i="7"/>
  <c r="D666" i="7"/>
  <c r="G665" i="7"/>
  <c r="B665" i="7"/>
  <c r="M664" i="7"/>
  <c r="F664" i="7"/>
  <c r="A664" i="7"/>
  <c r="N663" i="7"/>
  <c r="G663" i="7"/>
  <c r="A663" i="7"/>
  <c r="M662" i="7"/>
  <c r="F662" i="7"/>
  <c r="Q661" i="7"/>
  <c r="K661" i="7"/>
  <c r="F661" i="7"/>
  <c r="Q660" i="7"/>
  <c r="K660" i="7"/>
  <c r="F660" i="7"/>
  <c r="Q659" i="7"/>
  <c r="K659" i="7"/>
  <c r="F659" i="7"/>
  <c r="Q658" i="7"/>
  <c r="L658" i="7"/>
  <c r="E658" i="7"/>
  <c r="K657" i="7"/>
  <c r="D657" i="7"/>
  <c r="K656" i="7"/>
  <c r="D656" i="7"/>
  <c r="A655" i="7"/>
  <c r="L654" i="7"/>
  <c r="G654" i="7"/>
  <c r="A654" i="7"/>
  <c r="L653" i="7"/>
  <c r="G653" i="7"/>
  <c r="A653" i="7"/>
  <c r="F652" i="7"/>
  <c r="J651" i="7"/>
  <c r="E651" i="7"/>
  <c r="Q650" i="7"/>
  <c r="M650" i="7"/>
  <c r="E650" i="7"/>
  <c r="Q649" i="7"/>
  <c r="K649" i="7"/>
  <c r="C649" i="7"/>
  <c r="I648" i="7"/>
  <c r="C648" i="7"/>
  <c r="H647" i="7"/>
  <c r="B647" i="7"/>
  <c r="G646" i="7"/>
  <c r="B646" i="7"/>
  <c r="M645" i="7"/>
  <c r="E645" i="7"/>
  <c r="Q644" i="7"/>
  <c r="M644" i="7"/>
  <c r="E644" i="7"/>
  <c r="Q643" i="7"/>
  <c r="K643" i="7"/>
  <c r="C643" i="7"/>
  <c r="G642" i="7"/>
  <c r="A642" i="7"/>
  <c r="M641" i="7"/>
  <c r="F641" i="7"/>
  <c r="Q640" i="7"/>
  <c r="K640" i="7"/>
  <c r="D640" i="7"/>
  <c r="K639" i="7"/>
  <c r="D639" i="7"/>
  <c r="H638" i="7"/>
  <c r="C638" i="7"/>
  <c r="G637" i="7"/>
  <c r="B637" i="7"/>
  <c r="N636" i="7"/>
  <c r="G636" i="7"/>
  <c r="C636" i="7"/>
  <c r="L635" i="7"/>
  <c r="F635" i="7"/>
  <c r="B635" i="7"/>
  <c r="K634" i="7"/>
  <c r="E634" i="7"/>
  <c r="A634" i="7"/>
  <c r="N633" i="7"/>
  <c r="H633" i="7"/>
  <c r="D633" i="7"/>
  <c r="Q632" i="7"/>
  <c r="M632" i="7"/>
  <c r="G632" i="7"/>
  <c r="C632" i="7"/>
  <c r="L631" i="7"/>
  <c r="F631" i="7"/>
  <c r="B631" i="7"/>
  <c r="K630" i="7"/>
  <c r="E630" i="7"/>
  <c r="A630" i="7"/>
  <c r="N629" i="7"/>
  <c r="G629" i="7"/>
  <c r="C629" i="7"/>
  <c r="K628" i="7"/>
  <c r="E628" i="7"/>
  <c r="A628" i="7"/>
  <c r="N627" i="7"/>
  <c r="G627" i="7"/>
  <c r="C627" i="7"/>
  <c r="L626" i="7"/>
  <c r="F626" i="7"/>
  <c r="B626" i="7"/>
  <c r="H625" i="7"/>
  <c r="D625" i="7"/>
  <c r="Q624" i="7"/>
  <c r="M624" i="7"/>
  <c r="F624" i="7"/>
  <c r="B624" i="7"/>
  <c r="K623" i="7"/>
  <c r="E623" i="7"/>
  <c r="A623" i="7"/>
  <c r="N622" i="7"/>
  <c r="H622" i="7"/>
  <c r="D622" i="7"/>
  <c r="Q621" i="7"/>
  <c r="M621" i="7"/>
  <c r="F621" i="7"/>
  <c r="B621" i="7"/>
  <c r="K620" i="7"/>
  <c r="E620" i="7"/>
  <c r="A620" i="7"/>
  <c r="N619" i="7"/>
  <c r="H619" i="7"/>
  <c r="D619" i="7"/>
  <c r="Q618" i="7"/>
  <c r="M618" i="7"/>
  <c r="F618" i="7"/>
  <c r="B618" i="7"/>
  <c r="H617" i="7"/>
  <c r="D617" i="7"/>
  <c r="Q616" i="7"/>
  <c r="M616" i="7"/>
  <c r="F616" i="7"/>
  <c r="B616" i="7"/>
  <c r="K615" i="7"/>
  <c r="E615" i="7"/>
  <c r="A615" i="7"/>
  <c r="N614" i="7"/>
  <c r="H614" i="7"/>
  <c r="D614" i="7"/>
  <c r="Q613" i="7"/>
  <c r="M613" i="7"/>
  <c r="G613" i="7"/>
  <c r="C613" i="7"/>
  <c r="L612" i="7"/>
  <c r="F612" i="7"/>
  <c r="B612" i="7"/>
  <c r="K611" i="7"/>
  <c r="E611" i="7"/>
  <c r="A611" i="7"/>
  <c r="N610" i="7"/>
  <c r="H610" i="7"/>
  <c r="D610" i="7"/>
  <c r="Q609" i="7"/>
  <c r="M609" i="7"/>
  <c r="G609" i="7"/>
  <c r="C609" i="7"/>
  <c r="L608" i="7"/>
  <c r="F608" i="7"/>
  <c r="B608" i="7"/>
  <c r="K607" i="7"/>
  <c r="E607" i="7"/>
  <c r="A607" i="7"/>
  <c r="N606" i="7"/>
  <c r="H606" i="7"/>
  <c r="D606" i="7"/>
  <c r="Q605" i="7"/>
  <c r="M605" i="7"/>
  <c r="G605" i="7"/>
  <c r="C605" i="7"/>
  <c r="L604" i="7"/>
  <c r="F604" i="7"/>
  <c r="B604" i="7"/>
  <c r="K603" i="7"/>
  <c r="E603" i="7"/>
  <c r="A603" i="7"/>
  <c r="K602" i="7"/>
  <c r="A601" i="7"/>
  <c r="K600" i="7"/>
  <c r="A599" i="7"/>
  <c r="K598" i="7"/>
  <c r="A597" i="7"/>
  <c r="K596" i="7"/>
  <c r="A595" i="7"/>
  <c r="K594" i="7"/>
  <c r="A593" i="7"/>
  <c r="K592" i="7"/>
  <c r="A591" i="7"/>
  <c r="K590" i="7"/>
  <c r="A589" i="7"/>
  <c r="K588" i="7"/>
  <c r="A587" i="7"/>
  <c r="K586" i="7"/>
  <c r="A585" i="7"/>
  <c r="K584" i="7"/>
  <c r="A583" i="7"/>
  <c r="K582" i="7"/>
  <c r="A581" i="7"/>
  <c r="K580" i="7"/>
  <c r="A579" i="7"/>
  <c r="K578" i="7"/>
  <c r="A577" i="7"/>
  <c r="K576" i="7"/>
  <c r="A575" i="7"/>
  <c r="K574" i="7"/>
  <c r="A573" i="7"/>
  <c r="K572" i="7"/>
  <c r="A571" i="7"/>
  <c r="K570" i="7"/>
  <c r="A569" i="7"/>
  <c r="K568" i="7"/>
  <c r="A567" i="7"/>
  <c r="K566" i="7"/>
  <c r="A565" i="7"/>
  <c r="K564" i="7"/>
  <c r="A563" i="7"/>
  <c r="K562" i="7"/>
  <c r="A561" i="7"/>
  <c r="K560" i="7"/>
  <c r="A559" i="7"/>
  <c r="K558" i="7"/>
  <c r="A557" i="7"/>
  <c r="K556" i="7"/>
  <c r="A555" i="7"/>
  <c r="K554" i="7"/>
  <c r="A553" i="7"/>
  <c r="K552" i="7"/>
  <c r="A551" i="7"/>
  <c r="K550" i="7"/>
  <c r="A549" i="7"/>
  <c r="K548" i="7"/>
  <c r="A547" i="7"/>
  <c r="K546" i="7"/>
  <c r="A545" i="7"/>
  <c r="K544" i="7"/>
  <c r="A543" i="7"/>
  <c r="K542" i="7"/>
  <c r="A541" i="7"/>
  <c r="K540" i="7"/>
  <c r="A539" i="7"/>
  <c r="K538" i="7"/>
  <c r="A537" i="7"/>
  <c r="K536" i="7"/>
  <c r="A535" i="7"/>
  <c r="K534" i="7"/>
  <c r="A533" i="7"/>
  <c r="K532" i="7"/>
  <c r="A531" i="7"/>
  <c r="K530" i="7"/>
  <c r="A529" i="7"/>
  <c r="K528" i="7"/>
  <c r="A527" i="7"/>
  <c r="K526" i="7"/>
  <c r="A525" i="7"/>
  <c r="K524" i="7"/>
  <c r="A523" i="7"/>
  <c r="K522" i="7"/>
  <c r="A521" i="7"/>
  <c r="K520" i="7"/>
  <c r="A519" i="7"/>
  <c r="K518" i="7"/>
  <c r="A517" i="7"/>
  <c r="K516" i="7"/>
  <c r="A515" i="7"/>
  <c r="K514" i="7"/>
  <c r="A513" i="7"/>
  <c r="K512" i="7"/>
  <c r="A511" i="7"/>
  <c r="K510" i="7"/>
  <c r="A509" i="7"/>
  <c r="K508" i="7"/>
  <c r="A507" i="7"/>
  <c r="K506" i="7"/>
  <c r="A505" i="7"/>
  <c r="K504" i="7"/>
  <c r="A503" i="7"/>
  <c r="K502" i="7"/>
  <c r="A501" i="7"/>
  <c r="K500" i="7"/>
  <c r="A499" i="7"/>
  <c r="K498" i="7"/>
  <c r="A497" i="7"/>
  <c r="K496" i="7"/>
  <c r="A495" i="7"/>
  <c r="K494" i="7"/>
  <c r="A493" i="7"/>
  <c r="K492" i="7"/>
  <c r="A491" i="7"/>
  <c r="K490" i="7"/>
  <c r="A489" i="7"/>
  <c r="K488" i="7"/>
  <c r="A487" i="7"/>
  <c r="K486" i="7"/>
  <c r="A485" i="7"/>
  <c r="K484" i="7"/>
  <c r="A483" i="7"/>
  <c r="K482" i="7"/>
  <c r="A481" i="7"/>
  <c r="K480" i="7"/>
  <c r="A479" i="7"/>
  <c r="K478" i="7"/>
  <c r="A477" i="7"/>
  <c r="K476" i="7"/>
  <c r="A475" i="7"/>
  <c r="K474" i="7"/>
  <c r="A473" i="7"/>
  <c r="K472" i="7"/>
  <c r="A471" i="7"/>
  <c r="K470" i="7"/>
  <c r="A469" i="7"/>
  <c r="K468" i="7"/>
  <c r="A467" i="7"/>
  <c r="K466" i="7"/>
  <c r="A465" i="7"/>
  <c r="K464" i="7"/>
  <c r="A463" i="7"/>
  <c r="K462" i="7"/>
  <c r="A461" i="7"/>
  <c r="K460" i="7"/>
  <c r="A459" i="7"/>
  <c r="K458" i="7"/>
  <c r="A457" i="7"/>
  <c r="K456" i="7"/>
  <c r="A455" i="7"/>
  <c r="K454" i="7"/>
  <c r="A453" i="7"/>
  <c r="K452" i="7"/>
  <c r="A451" i="7"/>
  <c r="K450" i="7"/>
  <c r="A449" i="7"/>
  <c r="K448" i="7"/>
  <c r="A447" i="7"/>
  <c r="K446" i="7"/>
  <c r="A445" i="7"/>
  <c r="K444" i="7"/>
  <c r="A443" i="7"/>
  <c r="K442" i="7"/>
  <c r="A441" i="7"/>
  <c r="K440" i="7"/>
  <c r="A439" i="7"/>
  <c r="K438" i="7"/>
  <c r="A437" i="7"/>
  <c r="K436" i="7"/>
  <c r="A435" i="7"/>
  <c r="K434" i="7"/>
  <c r="A433" i="7"/>
  <c r="K432" i="7"/>
  <c r="A431" i="7"/>
  <c r="K430" i="7"/>
  <c r="A429" i="7"/>
  <c r="K428" i="7"/>
  <c r="A427" i="7"/>
  <c r="K426" i="7"/>
  <c r="A425" i="7"/>
  <c r="K424" i="7"/>
  <c r="A423" i="7"/>
  <c r="K422" i="7"/>
  <c r="A421" i="7"/>
  <c r="K420" i="7"/>
  <c r="A419" i="7"/>
  <c r="K418" i="7"/>
  <c r="A417" i="7"/>
  <c r="K416" i="7"/>
  <c r="A415" i="7"/>
  <c r="K414" i="7"/>
  <c r="A413" i="7"/>
  <c r="K412" i="7"/>
  <c r="A411" i="7"/>
  <c r="K410" i="7"/>
  <c r="A409" i="7"/>
  <c r="K408" i="7"/>
  <c r="A407" i="7"/>
  <c r="K406" i="7"/>
  <c r="A405" i="7"/>
  <c r="K404" i="7"/>
  <c r="A403" i="7"/>
  <c r="K402" i="7"/>
  <c r="J401" i="7"/>
  <c r="F401" i="7"/>
  <c r="B401" i="7"/>
  <c r="J400" i="7"/>
  <c r="F400" i="7"/>
  <c r="B400" i="7"/>
  <c r="J399" i="7"/>
  <c r="F399" i="7"/>
  <c r="B399" i="7"/>
  <c r="E398" i="7"/>
  <c r="F397" i="7"/>
  <c r="Q396" i="7"/>
  <c r="M396" i="7"/>
  <c r="H396" i="7"/>
  <c r="D396" i="7"/>
  <c r="Q395" i="7"/>
  <c r="M395" i="7"/>
  <c r="H395" i="7"/>
  <c r="D395" i="7"/>
  <c r="Q394" i="7"/>
  <c r="M394" i="7"/>
  <c r="H394" i="7"/>
  <c r="D394" i="7"/>
  <c r="Q393" i="7"/>
  <c r="L393" i="7"/>
  <c r="H393" i="7"/>
  <c r="D393" i="7"/>
  <c r="Q392" i="7"/>
  <c r="M392" i="7"/>
  <c r="H392" i="7"/>
  <c r="D392" i="7"/>
  <c r="Q391" i="7"/>
  <c r="M391" i="7"/>
  <c r="H391" i="7"/>
  <c r="D391" i="7"/>
  <c r="Q390" i="7"/>
  <c r="M390" i="7"/>
  <c r="H390" i="7"/>
  <c r="D390" i="7"/>
  <c r="Q389" i="7"/>
  <c r="L389" i="7"/>
  <c r="H389" i="7"/>
  <c r="D389" i="7"/>
  <c r="Q388" i="7"/>
  <c r="L388" i="7"/>
  <c r="H388" i="7"/>
  <c r="D388" i="7"/>
  <c r="Q387" i="7"/>
  <c r="L387" i="7"/>
  <c r="H387" i="7"/>
  <c r="D387" i="7"/>
  <c r="Q386" i="7"/>
  <c r="L386" i="7"/>
  <c r="H386" i="7"/>
  <c r="D386" i="7"/>
  <c r="Q385" i="7"/>
  <c r="L385" i="7"/>
  <c r="H385" i="7"/>
  <c r="D385" i="7"/>
  <c r="Q384" i="7"/>
  <c r="M384" i="7"/>
  <c r="I384" i="7"/>
  <c r="E384" i="7"/>
  <c r="A384" i="7"/>
  <c r="M383" i="7"/>
  <c r="I383" i="7"/>
  <c r="E383" i="7"/>
  <c r="A383" i="7"/>
  <c r="M382" i="7"/>
  <c r="I382" i="7"/>
  <c r="E382" i="7"/>
  <c r="A382" i="7"/>
  <c r="M381" i="7"/>
  <c r="I381" i="7"/>
  <c r="E381" i="7"/>
  <c r="A381" i="7"/>
  <c r="M380" i="7"/>
  <c r="I380" i="7"/>
  <c r="E380" i="7"/>
  <c r="A380" i="7"/>
  <c r="M379" i="7"/>
  <c r="I379" i="7"/>
  <c r="E379" i="7"/>
  <c r="A379" i="7"/>
  <c r="M378" i="7"/>
  <c r="I378" i="7"/>
  <c r="E378" i="7"/>
  <c r="A378" i="7"/>
  <c r="N377" i="7"/>
  <c r="J377" i="7"/>
  <c r="E377" i="7"/>
  <c r="A377" i="7"/>
  <c r="N376" i="7"/>
  <c r="J376" i="7"/>
  <c r="F376" i="7"/>
  <c r="B376" i="7"/>
  <c r="J375" i="7"/>
  <c r="F375" i="7"/>
  <c r="B375" i="7"/>
  <c r="K374" i="7"/>
  <c r="F374" i="7"/>
  <c r="B374" i="7"/>
  <c r="K373" i="7"/>
  <c r="G373" i="7"/>
  <c r="C373" i="7"/>
  <c r="L372" i="7"/>
  <c r="H372" i="7"/>
  <c r="D372" i="7"/>
  <c r="Q371" i="7"/>
  <c r="M371" i="7"/>
  <c r="I371" i="7"/>
  <c r="E371" i="7"/>
  <c r="A371" i="7"/>
  <c r="M370" i="7"/>
  <c r="I370" i="7"/>
  <c r="E370" i="7"/>
  <c r="A370" i="7"/>
  <c r="M369" i="7"/>
  <c r="I369" i="7"/>
  <c r="E369" i="7"/>
  <c r="A369" i="7"/>
  <c r="N368" i="7"/>
  <c r="J368" i="7"/>
  <c r="E368" i="7"/>
  <c r="A368" i="7"/>
  <c r="N367" i="7"/>
  <c r="J367" i="7"/>
  <c r="E367" i="7"/>
  <c r="A367" i="7"/>
  <c r="N366" i="7"/>
  <c r="J366" i="7"/>
  <c r="E366" i="7"/>
  <c r="A366" i="7"/>
  <c r="M365" i="7"/>
  <c r="I365" i="7"/>
  <c r="E365" i="7"/>
  <c r="A365" i="7"/>
  <c r="N364" i="7"/>
  <c r="J364" i="7"/>
  <c r="E364" i="7"/>
  <c r="A364" i="7"/>
  <c r="N363" i="7"/>
  <c r="J363" i="7"/>
  <c r="F363" i="7"/>
  <c r="B363" i="7"/>
  <c r="K362" i="7"/>
  <c r="G362" i="7"/>
  <c r="C362" i="7"/>
  <c r="K361" i="7"/>
  <c r="F361" i="7"/>
  <c r="B361" i="7"/>
  <c r="K360" i="7"/>
  <c r="F360" i="7"/>
  <c r="B360" i="7"/>
  <c r="J359" i="7"/>
  <c r="E359" i="7"/>
  <c r="A359" i="7"/>
  <c r="N358" i="7"/>
  <c r="J358" i="7"/>
  <c r="E358" i="7"/>
  <c r="A358" i="7"/>
  <c r="N357" i="7"/>
  <c r="J357" i="7"/>
  <c r="E357" i="7"/>
  <c r="A357" i="7"/>
  <c r="M356" i="7"/>
  <c r="I356" i="7"/>
  <c r="E356" i="7"/>
  <c r="A356" i="7"/>
  <c r="M355" i="7"/>
  <c r="I355" i="7"/>
  <c r="E355" i="7"/>
  <c r="A355" i="7"/>
  <c r="N354" i="7"/>
  <c r="J354" i="7"/>
  <c r="E354" i="7"/>
  <c r="A354" i="7"/>
  <c r="N353" i="7"/>
  <c r="J353" i="7"/>
  <c r="E353" i="7"/>
  <c r="A353" i="7"/>
  <c r="N352" i="7"/>
  <c r="J352" i="7"/>
  <c r="E352" i="7"/>
  <c r="A352" i="7"/>
  <c r="M351" i="7"/>
  <c r="I351" i="7"/>
  <c r="E351" i="7"/>
  <c r="A351" i="7"/>
  <c r="M350" i="7"/>
  <c r="I350" i="7"/>
  <c r="E350" i="7"/>
  <c r="A350" i="7"/>
  <c r="N349" i="7"/>
  <c r="J349" i="7"/>
  <c r="E349" i="7"/>
  <c r="A349" i="7"/>
  <c r="N348" i="7"/>
  <c r="J348" i="7"/>
  <c r="E348" i="7"/>
  <c r="A348" i="7"/>
  <c r="N347" i="7"/>
  <c r="J347" i="7"/>
  <c r="E347" i="7"/>
  <c r="A347" i="7"/>
  <c r="N346" i="7"/>
  <c r="J346" i="7"/>
  <c r="E346" i="7"/>
  <c r="A346" i="7"/>
  <c r="N345" i="7"/>
  <c r="J345" i="7"/>
  <c r="E345" i="7"/>
  <c r="A345" i="7"/>
  <c r="N344" i="7"/>
  <c r="J344" i="7"/>
  <c r="E344" i="7"/>
  <c r="A344" i="7"/>
  <c r="N343" i="7"/>
  <c r="J343" i="7"/>
  <c r="E343" i="7"/>
  <c r="A343" i="7"/>
  <c r="N342" i="7"/>
  <c r="G342" i="7"/>
  <c r="C342" i="7"/>
  <c r="L341" i="7"/>
  <c r="G341" i="7"/>
  <c r="C341" i="7"/>
  <c r="L340" i="7"/>
  <c r="G340" i="7"/>
  <c r="C340" i="7"/>
  <c r="L339" i="7"/>
  <c r="G339" i="7"/>
  <c r="C339" i="7"/>
  <c r="L338" i="7"/>
  <c r="G338" i="7"/>
  <c r="C338" i="7"/>
  <c r="L337" i="7"/>
  <c r="G337" i="7"/>
  <c r="C337" i="7"/>
  <c r="L336" i="7"/>
  <c r="G336" i="7"/>
  <c r="C336" i="7"/>
  <c r="L335" i="7"/>
  <c r="G335" i="7"/>
  <c r="C335" i="7"/>
  <c r="L334" i="7"/>
  <c r="G334" i="7"/>
  <c r="C334" i="7"/>
  <c r="K333" i="7"/>
  <c r="F333" i="7"/>
  <c r="B333" i="7"/>
  <c r="J332" i="7"/>
  <c r="E332" i="7"/>
  <c r="A332" i="7"/>
  <c r="N331" i="7"/>
  <c r="J331" i="7"/>
  <c r="E331" i="7"/>
  <c r="A331" i="7"/>
  <c r="N330" i="7"/>
  <c r="H330" i="7"/>
  <c r="D330" i="7"/>
  <c r="Q329" i="7"/>
  <c r="M329" i="7"/>
  <c r="H329" i="7"/>
  <c r="D329" i="7"/>
  <c r="Q328" i="7"/>
  <c r="M328" i="7"/>
  <c r="H328" i="7"/>
  <c r="D328" i="7"/>
  <c r="Q327" i="7"/>
  <c r="M327" i="7"/>
  <c r="H327" i="7"/>
  <c r="D327" i="7"/>
  <c r="Q326" i="7"/>
  <c r="M326" i="7"/>
  <c r="H326" i="7"/>
  <c r="D326" i="7"/>
  <c r="Q325" i="7"/>
  <c r="M325" i="7"/>
  <c r="H325" i="7"/>
  <c r="D325" i="7"/>
  <c r="Q324" i="7"/>
  <c r="M324" i="7"/>
  <c r="H324" i="7"/>
  <c r="D324" i="7"/>
  <c r="Q323" i="7"/>
  <c r="M323" i="7"/>
  <c r="H323" i="7"/>
  <c r="D323" i="7"/>
  <c r="Q322" i="7"/>
  <c r="M322" i="7"/>
  <c r="H322" i="7"/>
  <c r="D322" i="7"/>
  <c r="Q321" i="7"/>
  <c r="M321" i="7"/>
  <c r="H321" i="7"/>
  <c r="D321" i="7"/>
  <c r="Q320" i="7"/>
  <c r="M320" i="7"/>
  <c r="H320" i="7"/>
  <c r="D320" i="7"/>
  <c r="Q319" i="7"/>
  <c r="M319" i="7"/>
  <c r="H319" i="7"/>
  <c r="D319" i="7"/>
  <c r="Q318" i="7"/>
  <c r="M318" i="7"/>
  <c r="H318" i="7"/>
  <c r="D318" i="7"/>
  <c r="Q317" i="7"/>
  <c r="M317" i="7"/>
  <c r="H317" i="7"/>
  <c r="D317" i="7"/>
  <c r="Q316" i="7"/>
  <c r="M316" i="7"/>
  <c r="H316" i="7"/>
  <c r="D316" i="7"/>
  <c r="Q315" i="7"/>
  <c r="M315" i="7"/>
  <c r="H315" i="7"/>
  <c r="D315" i="7"/>
  <c r="Q314" i="7"/>
  <c r="M314" i="7"/>
  <c r="H314" i="7"/>
  <c r="D314" i="7"/>
  <c r="Q313" i="7"/>
  <c r="M313" i="7"/>
  <c r="H313" i="7"/>
  <c r="D313" i="7"/>
  <c r="Q312" i="7"/>
  <c r="M312" i="7"/>
  <c r="H312" i="7"/>
  <c r="D312" i="7"/>
  <c r="Q311" i="7"/>
  <c r="M311" i="7"/>
  <c r="H311" i="7"/>
  <c r="D311" i="7"/>
  <c r="Q310" i="7"/>
  <c r="M310" i="7"/>
  <c r="H310" i="7"/>
  <c r="D310" i="7"/>
  <c r="Q309" i="7"/>
  <c r="M309" i="7"/>
  <c r="H309" i="7"/>
  <c r="D309" i="7"/>
  <c r="Q308" i="7"/>
  <c r="M308" i="7"/>
  <c r="H308" i="7"/>
  <c r="D308" i="7"/>
  <c r="Q307" i="7"/>
  <c r="M307" i="7"/>
  <c r="H307" i="7"/>
  <c r="D307" i="7"/>
  <c r="Q306" i="7"/>
  <c r="M306" i="7"/>
  <c r="H306" i="7"/>
  <c r="D306" i="7"/>
  <c r="Q305" i="7"/>
  <c r="M305" i="7"/>
  <c r="H305" i="7"/>
  <c r="D305" i="7"/>
  <c r="Q304" i="7"/>
  <c r="M304" i="7"/>
  <c r="H304" i="7"/>
  <c r="D304" i="7"/>
  <c r="Q303" i="7"/>
  <c r="M303" i="7"/>
  <c r="H303" i="7"/>
  <c r="D303" i="7"/>
  <c r="Q302" i="7"/>
  <c r="A302" i="7"/>
  <c r="K301" i="7"/>
  <c r="A300" i="7"/>
  <c r="K299" i="7"/>
  <c r="A298" i="7"/>
  <c r="K297" i="7"/>
  <c r="A296" i="7"/>
  <c r="K295" i="7"/>
  <c r="A294" i="7"/>
  <c r="K293" i="7"/>
  <c r="A292" i="7"/>
  <c r="K291" i="7"/>
  <c r="A290" i="7"/>
  <c r="K289" i="7"/>
  <c r="A288" i="7"/>
  <c r="K287" i="7"/>
  <c r="A286" i="7"/>
  <c r="K285" i="7"/>
  <c r="A284" i="7"/>
  <c r="K283" i="7"/>
  <c r="A282" i="7"/>
  <c r="K281" i="7"/>
  <c r="A280" i="7"/>
  <c r="K279" i="7"/>
  <c r="A278" i="7"/>
  <c r="K277" i="7"/>
  <c r="A276" i="7"/>
  <c r="K275" i="7"/>
  <c r="A274" i="7"/>
  <c r="K273" i="7"/>
  <c r="A272" i="7"/>
  <c r="K271" i="7"/>
  <c r="A270" i="7"/>
  <c r="K269" i="7"/>
  <c r="A268" i="7"/>
  <c r="K267" i="7"/>
  <c r="A266" i="7"/>
  <c r="K265" i="7"/>
  <c r="A264" i="7"/>
  <c r="K263" i="7"/>
  <c r="A262" i="7"/>
  <c r="K261" i="7"/>
  <c r="A260" i="7"/>
  <c r="K259" i="7"/>
  <c r="A258" i="7"/>
  <c r="K257" i="7"/>
  <c r="A256" i="7"/>
  <c r="K255" i="7"/>
  <c r="A254" i="7"/>
  <c r="K253" i="7"/>
  <c r="A252" i="7"/>
  <c r="K251" i="7"/>
  <c r="A250" i="7"/>
  <c r="K249" i="7"/>
  <c r="A248" i="7"/>
  <c r="K247" i="7"/>
  <c r="A246" i="7"/>
  <c r="K245" i="7"/>
  <c r="A244" i="7"/>
  <c r="K243" i="7"/>
  <c r="A242" i="7"/>
  <c r="K241" i="7"/>
  <c r="A240" i="7"/>
  <c r="K239" i="7"/>
  <c r="A238" i="7"/>
  <c r="K237" i="7"/>
  <c r="A236" i="7"/>
  <c r="K235" i="7"/>
  <c r="A234" i="7"/>
  <c r="K233" i="7"/>
  <c r="A232" i="7"/>
  <c r="K231" i="7"/>
  <c r="A230" i="7"/>
  <c r="L229" i="7"/>
  <c r="H229" i="7"/>
  <c r="D229" i="7"/>
  <c r="Q228" i="7"/>
  <c r="L228" i="7"/>
  <c r="H228" i="7"/>
  <c r="D228" i="7"/>
  <c r="Q227" i="7"/>
  <c r="L227" i="7"/>
  <c r="H227" i="7"/>
  <c r="D227" i="7"/>
  <c r="Q226" i="7"/>
  <c r="L226" i="7"/>
  <c r="H226" i="7"/>
  <c r="D226" i="7"/>
  <c r="Q225" i="7"/>
  <c r="L225" i="7"/>
  <c r="H225" i="7"/>
  <c r="D225" i="7"/>
  <c r="Q224" i="7"/>
  <c r="L224" i="7"/>
  <c r="H224" i="7"/>
  <c r="D224" i="7"/>
  <c r="Q223" i="7"/>
  <c r="M223" i="7"/>
  <c r="I223" i="7"/>
  <c r="E223" i="7"/>
  <c r="A223" i="7"/>
  <c r="N222" i="7"/>
  <c r="J222" i="7"/>
  <c r="E222" i="7"/>
  <c r="A222" i="7"/>
  <c r="N221" i="7"/>
  <c r="J221" i="7"/>
  <c r="E221" i="7"/>
  <c r="A221" i="7"/>
  <c r="N220" i="7"/>
  <c r="J220" i="7"/>
  <c r="E220" i="7"/>
  <c r="A220" i="7"/>
  <c r="N219" i="7"/>
  <c r="J219" i="7"/>
  <c r="E219" i="7"/>
  <c r="A219" i="7"/>
  <c r="N218" i="7"/>
  <c r="J218" i="7"/>
  <c r="E218" i="7"/>
  <c r="A218" i="7"/>
  <c r="N217" i="7"/>
  <c r="J217" i="7"/>
  <c r="E217" i="7"/>
  <c r="A217" i="7"/>
  <c r="M216" i="7"/>
  <c r="I216" i="7"/>
  <c r="E216" i="7"/>
  <c r="A216" i="7"/>
  <c r="M215" i="7"/>
  <c r="I215" i="7"/>
  <c r="E215" i="7"/>
  <c r="A215" i="7"/>
  <c r="M214" i="7"/>
  <c r="I214" i="7"/>
  <c r="E214" i="7"/>
  <c r="A214" i="7"/>
  <c r="M213" i="7"/>
  <c r="I213" i="7"/>
  <c r="E213" i="7"/>
  <c r="A213" i="7"/>
  <c r="N212" i="7"/>
  <c r="J212" i="7"/>
  <c r="F212" i="7"/>
  <c r="B212" i="7"/>
  <c r="J211" i="7"/>
  <c r="F211" i="7"/>
  <c r="B211" i="7"/>
  <c r="J210" i="7"/>
  <c r="F210" i="7"/>
  <c r="B210" i="7"/>
  <c r="K209" i="7"/>
  <c r="G209" i="7"/>
  <c r="C209" i="7"/>
  <c r="L208" i="7"/>
  <c r="G208" i="7"/>
  <c r="C208" i="7"/>
  <c r="L207" i="7"/>
  <c r="G207" i="7"/>
  <c r="C207" i="7"/>
  <c r="L206" i="7"/>
  <c r="G206" i="7"/>
  <c r="C206" i="7"/>
  <c r="L205" i="7"/>
  <c r="G205" i="7"/>
  <c r="C205" i="7"/>
  <c r="L204" i="7"/>
  <c r="G204" i="7"/>
  <c r="C204" i="7"/>
  <c r="L203" i="7"/>
  <c r="G203" i="7"/>
  <c r="C203" i="7"/>
  <c r="L202" i="7"/>
  <c r="G202" i="7"/>
  <c r="C202" i="7"/>
  <c r="L201" i="7"/>
  <c r="G201" i="7"/>
  <c r="C201" i="7"/>
  <c r="L200" i="7"/>
  <c r="G200" i="7"/>
  <c r="C200" i="7"/>
  <c r="L199" i="7"/>
  <c r="G199" i="7"/>
  <c r="C199" i="7"/>
  <c r="L198" i="7"/>
  <c r="G198" i="7"/>
  <c r="C198" i="7"/>
  <c r="L197" i="7"/>
  <c r="G197" i="7"/>
  <c r="C197" i="7"/>
  <c r="L196" i="7"/>
  <c r="G196" i="7"/>
  <c r="C196" i="7"/>
  <c r="L195" i="7"/>
  <c r="G195" i="7"/>
  <c r="C195" i="7"/>
  <c r="L194" i="7"/>
  <c r="G194" i="7"/>
  <c r="C194" i="7"/>
  <c r="L193" i="7"/>
  <c r="G193" i="7"/>
  <c r="C193" i="7"/>
  <c r="L192" i="7"/>
  <c r="G192" i="7"/>
  <c r="C192" i="7"/>
  <c r="L191" i="7"/>
  <c r="G191" i="7"/>
  <c r="C191" i="7"/>
  <c r="L190" i="7"/>
  <c r="G190" i="7"/>
  <c r="C190" i="7"/>
  <c r="L189" i="7"/>
  <c r="G189" i="7"/>
  <c r="C189" i="7"/>
  <c r="L188" i="7"/>
  <c r="G188" i="7"/>
  <c r="C188" i="7"/>
  <c r="L187" i="7"/>
  <c r="G187" i="7"/>
  <c r="C187" i="7"/>
  <c r="L186" i="7"/>
  <c r="G186" i="7"/>
  <c r="C186" i="7"/>
  <c r="L185" i="7"/>
  <c r="G185" i="7"/>
  <c r="C185" i="7"/>
  <c r="L184" i="7"/>
  <c r="G184" i="7"/>
  <c r="C184" i="7"/>
  <c r="L183" i="7"/>
  <c r="G183" i="7"/>
  <c r="C183" i="7"/>
  <c r="L182" i="7"/>
  <c r="G182" i="7"/>
  <c r="C182" i="7"/>
  <c r="L181" i="7"/>
  <c r="G181" i="7"/>
  <c r="C181" i="7"/>
  <c r="K180" i="7"/>
  <c r="G180" i="7"/>
  <c r="C180" i="7"/>
  <c r="L179" i="7"/>
  <c r="G179" i="7"/>
  <c r="C179" i="7"/>
  <c r="L178" i="7"/>
  <c r="H178" i="7"/>
  <c r="D178" i="7"/>
  <c r="Q177" i="7"/>
  <c r="M177" i="7"/>
  <c r="H177" i="7"/>
  <c r="D177" i="7"/>
  <c r="Q176" i="7"/>
  <c r="M176" i="7"/>
  <c r="H176" i="7"/>
  <c r="D176" i="7"/>
  <c r="Q175" i="7"/>
  <c r="M175" i="7"/>
  <c r="H175" i="7"/>
  <c r="D175" i="7"/>
  <c r="Q174" i="7"/>
  <c r="L174" i="7"/>
  <c r="H174" i="7"/>
  <c r="D174" i="7"/>
  <c r="Q173" i="7"/>
  <c r="M173" i="7"/>
  <c r="H173" i="7"/>
  <c r="D173" i="7"/>
  <c r="Q172" i="7"/>
  <c r="L172" i="7"/>
  <c r="H172" i="7"/>
  <c r="D172" i="7"/>
  <c r="Q171" i="7"/>
  <c r="M171" i="7"/>
  <c r="I171" i="7"/>
  <c r="E171" i="7"/>
  <c r="A171" i="7"/>
  <c r="N170" i="7"/>
  <c r="J170" i="7"/>
  <c r="E170" i="7"/>
  <c r="A170" i="7"/>
  <c r="M169" i="7"/>
  <c r="I169" i="7"/>
  <c r="E169" i="7"/>
  <c r="A169" i="7"/>
  <c r="N168" i="7"/>
  <c r="J168" i="7"/>
  <c r="F168" i="7"/>
  <c r="B168" i="7"/>
  <c r="K167" i="7"/>
  <c r="F167" i="7"/>
  <c r="B167" i="7"/>
  <c r="D166" i="7"/>
  <c r="L165" i="7"/>
  <c r="G165" i="7"/>
  <c r="C165" i="7"/>
  <c r="L164" i="7"/>
  <c r="G164" i="7"/>
  <c r="C164" i="7"/>
  <c r="L163" i="7"/>
  <c r="G163" i="7"/>
  <c r="C163" i="7"/>
  <c r="L162" i="7"/>
  <c r="H162" i="7"/>
  <c r="D162" i="7"/>
  <c r="Q161" i="7"/>
  <c r="M161" i="7"/>
  <c r="H161" i="7"/>
  <c r="D161" i="7"/>
  <c r="Q160" i="7"/>
  <c r="M160" i="7"/>
  <c r="H160" i="7"/>
  <c r="D160" i="7"/>
  <c r="Q159" i="7"/>
  <c r="M159" i="7"/>
  <c r="H159" i="7"/>
  <c r="D159" i="7"/>
  <c r="Q158" i="7"/>
  <c r="M158" i="7"/>
  <c r="H158" i="7"/>
  <c r="D158" i="7"/>
  <c r="Q157" i="7"/>
  <c r="M157" i="7"/>
  <c r="H157" i="7"/>
  <c r="D157" i="7"/>
  <c r="Q156" i="7"/>
  <c r="M156" i="7"/>
  <c r="H156" i="7"/>
  <c r="D156" i="7"/>
  <c r="Q155" i="7"/>
  <c r="M155" i="7"/>
  <c r="H155" i="7"/>
  <c r="D155" i="7"/>
  <c r="Q154" i="7"/>
  <c r="M154" i="7"/>
  <c r="H154" i="7"/>
  <c r="D154" i="7"/>
  <c r="Q153" i="7"/>
  <c r="M153" i="7"/>
  <c r="H153" i="7"/>
  <c r="D153" i="7"/>
  <c r="Q152" i="7"/>
  <c r="M152" i="7"/>
  <c r="H152" i="7"/>
  <c r="D152" i="7"/>
  <c r="Q151" i="7"/>
  <c r="M151" i="7"/>
  <c r="H151" i="7"/>
  <c r="D151" i="7"/>
  <c r="Q150" i="7"/>
  <c r="M150" i="7"/>
  <c r="H150" i="7"/>
  <c r="D150" i="7"/>
  <c r="Q149" i="7"/>
  <c r="M149" i="7"/>
  <c r="H149" i="7"/>
  <c r="D149" i="7"/>
  <c r="Q148" i="7"/>
  <c r="M148" i="7"/>
  <c r="H148" i="7"/>
  <c r="D148" i="7"/>
  <c r="Q147" i="7"/>
  <c r="L147" i="7"/>
  <c r="H147" i="7"/>
  <c r="D147" i="7"/>
  <c r="Q146" i="7"/>
  <c r="M146" i="7"/>
  <c r="H146" i="7"/>
  <c r="D146" i="7"/>
  <c r="Q145" i="7"/>
  <c r="M145" i="7"/>
  <c r="H145" i="7"/>
  <c r="D145" i="7"/>
  <c r="Q144" i="7"/>
  <c r="M144" i="7"/>
  <c r="H144" i="7"/>
  <c r="D144" i="7"/>
  <c r="Q143" i="7"/>
  <c r="M143" i="7"/>
  <c r="H143" i="7"/>
  <c r="D143" i="7"/>
  <c r="Q142" i="7"/>
  <c r="M142" i="7"/>
  <c r="H142" i="7"/>
  <c r="D142" i="7"/>
  <c r="Q141" i="7"/>
  <c r="M141" i="7"/>
  <c r="H141" i="7"/>
  <c r="D141" i="7"/>
  <c r="Q140" i="7"/>
  <c r="C1284" i="7"/>
  <c r="C1283" i="7"/>
  <c r="C1282" i="7"/>
  <c r="C1281" i="7"/>
  <c r="C1280" i="7"/>
  <c r="C1279" i="7"/>
  <c r="C1278" i="7"/>
  <c r="C1277" i="7"/>
  <c r="C1276" i="7"/>
  <c r="C1275" i="7"/>
  <c r="C1274" i="7"/>
  <c r="C1273" i="7"/>
  <c r="C1272" i="7"/>
  <c r="C1271" i="7"/>
  <c r="C1270" i="7"/>
  <c r="C1269" i="7"/>
  <c r="C1268" i="7"/>
  <c r="C1267" i="7"/>
  <c r="C1266" i="7"/>
  <c r="C1265" i="7"/>
  <c r="C1264" i="7"/>
  <c r="C1263" i="7"/>
  <c r="C1262" i="7"/>
  <c r="C1261" i="7"/>
  <c r="C1260" i="7"/>
  <c r="C1259" i="7"/>
  <c r="C1258" i="7"/>
  <c r="C1257" i="7"/>
  <c r="A1256" i="7"/>
  <c r="E1255" i="7"/>
  <c r="J1254" i="7"/>
  <c r="N1253" i="7"/>
  <c r="A1252" i="7"/>
  <c r="A1250" i="7"/>
  <c r="E1249" i="7"/>
  <c r="J1248" i="7"/>
  <c r="N1247" i="7"/>
  <c r="A1246" i="7"/>
  <c r="D1245" i="7"/>
  <c r="F1244" i="7"/>
  <c r="K1243" i="7"/>
  <c r="Q1240" i="7"/>
  <c r="D1240" i="7"/>
  <c r="H1239" i="7"/>
  <c r="M1238" i="7"/>
  <c r="Q1236" i="7"/>
  <c r="D1236" i="7"/>
  <c r="G1235" i="7"/>
  <c r="F1234" i="7"/>
  <c r="J1233" i="7"/>
  <c r="N1232" i="7"/>
  <c r="A1231" i="7"/>
  <c r="E1230" i="7"/>
  <c r="J1229" i="7"/>
  <c r="N1228" i="7"/>
  <c r="A1227" i="7"/>
  <c r="E1226" i="7"/>
  <c r="H1225" i="7"/>
  <c r="M1224" i="7"/>
  <c r="Q1222" i="7"/>
  <c r="D1222" i="7"/>
  <c r="H1221" i="7"/>
  <c r="M1220" i="7"/>
  <c r="Q1218" i="7"/>
  <c r="D1218" i="7"/>
  <c r="H1217" i="7"/>
  <c r="M1216" i="7"/>
  <c r="Q1214" i="7"/>
  <c r="D1214" i="7"/>
  <c r="F1213" i="7"/>
  <c r="K1212" i="7"/>
  <c r="A1210" i="7"/>
  <c r="E1209" i="7"/>
  <c r="J1208" i="7"/>
  <c r="N1207" i="7"/>
  <c r="A1206" i="7"/>
  <c r="E1205" i="7"/>
  <c r="J1204" i="7"/>
  <c r="N1203" i="7"/>
  <c r="K1200" i="7"/>
  <c r="K1196" i="7"/>
  <c r="K1192" i="7"/>
  <c r="K1188" i="7"/>
  <c r="K1184" i="7"/>
  <c r="K1180" i="7"/>
  <c r="K1176" i="7"/>
  <c r="K1172" i="7"/>
  <c r="K1168" i="7"/>
  <c r="K1164" i="7"/>
  <c r="K1160" i="7"/>
  <c r="K1156" i="7"/>
  <c r="K1152" i="7"/>
  <c r="K1148" i="7"/>
  <c r="K1144" i="7"/>
  <c r="K1140" i="7"/>
  <c r="K1136" i="7"/>
  <c r="K1132" i="7"/>
  <c r="K1128" i="7"/>
  <c r="K1124" i="7"/>
  <c r="K1120" i="7"/>
  <c r="K1116" i="7"/>
  <c r="K1112" i="7"/>
  <c r="K1108" i="7"/>
  <c r="K1104" i="7"/>
  <c r="K1100" i="7"/>
  <c r="K1096" i="7"/>
  <c r="K1092" i="7"/>
  <c r="K1088" i="7"/>
  <c r="K1084" i="7"/>
  <c r="K1080" i="7"/>
  <c r="K1076" i="7"/>
  <c r="K1072" i="7"/>
  <c r="K1068" i="7"/>
  <c r="K1064" i="7"/>
  <c r="K1060" i="7"/>
  <c r="K1056" i="7"/>
  <c r="K1052" i="7"/>
  <c r="K1048" i="7"/>
  <c r="K1044" i="7"/>
  <c r="K1040" i="7"/>
  <c r="G1006" i="7"/>
  <c r="G1005" i="7"/>
  <c r="G1004" i="7"/>
  <c r="G1003" i="7"/>
  <c r="G1002" i="7"/>
  <c r="H1001" i="7"/>
  <c r="Q1000" i="7"/>
  <c r="H1000" i="7"/>
  <c r="Q999" i="7"/>
  <c r="H999" i="7"/>
  <c r="Q998" i="7"/>
  <c r="H998" i="7"/>
  <c r="Q997" i="7"/>
  <c r="H997" i="7"/>
  <c r="Q996" i="7"/>
  <c r="H996" i="7"/>
  <c r="Q995" i="7"/>
  <c r="H995" i="7"/>
  <c r="Q994" i="7"/>
  <c r="H994" i="7"/>
  <c r="Q993" i="7"/>
  <c r="H993" i="7"/>
  <c r="Q992" i="7"/>
  <c r="H992" i="7"/>
  <c r="Q991" i="7"/>
  <c r="K991" i="7"/>
  <c r="B991" i="7"/>
  <c r="M990" i="7"/>
  <c r="D990" i="7"/>
  <c r="F989" i="7"/>
  <c r="H988" i="7"/>
  <c r="Q987" i="7"/>
  <c r="H987" i="7"/>
  <c r="Q986" i="7"/>
  <c r="K986" i="7"/>
  <c r="B986" i="7"/>
  <c r="M985" i="7"/>
  <c r="D985" i="7"/>
  <c r="F984" i="7"/>
  <c r="H983" i="7"/>
  <c r="Q982" i="7"/>
  <c r="K982" i="7"/>
  <c r="B982" i="7"/>
  <c r="M981" i="7"/>
  <c r="D981" i="7"/>
  <c r="M980" i="7"/>
  <c r="E980" i="7"/>
  <c r="N979" i="7"/>
  <c r="E979" i="7"/>
  <c r="N978" i="7"/>
  <c r="E978" i="7"/>
  <c r="M977" i="7"/>
  <c r="E977" i="7"/>
  <c r="N976" i="7"/>
  <c r="E976" i="7"/>
  <c r="N975" i="7"/>
  <c r="F975" i="7"/>
  <c r="G974" i="7"/>
  <c r="G973" i="7"/>
  <c r="G971" i="7"/>
  <c r="G969" i="7"/>
  <c r="G968" i="7"/>
  <c r="G967" i="7"/>
  <c r="G966" i="7"/>
  <c r="G965" i="7"/>
  <c r="G964" i="7"/>
  <c r="G963" i="7"/>
  <c r="G962" i="7"/>
  <c r="G961" i="7"/>
  <c r="G960" i="7"/>
  <c r="G959" i="7"/>
  <c r="G958" i="7"/>
  <c r="G957" i="7"/>
  <c r="G956" i="7"/>
  <c r="G955" i="7"/>
  <c r="G954" i="7"/>
  <c r="F953" i="7"/>
  <c r="G952" i="7"/>
  <c r="G951" i="7"/>
  <c r="G950" i="7"/>
  <c r="G949" i="7"/>
  <c r="G948" i="7"/>
  <c r="G947" i="7"/>
  <c r="F946" i="7"/>
  <c r="G945" i="7"/>
  <c r="G944" i="7"/>
  <c r="F943" i="7"/>
  <c r="H942" i="7"/>
  <c r="Q941" i="7"/>
  <c r="K941" i="7"/>
  <c r="B941" i="7"/>
  <c r="M940" i="7"/>
  <c r="D940" i="7"/>
  <c r="E939" i="7"/>
  <c r="N938" i="7"/>
  <c r="E938" i="7"/>
  <c r="N937" i="7"/>
  <c r="D937" i="7"/>
  <c r="E936" i="7"/>
  <c r="N935" i="7"/>
  <c r="E935" i="7"/>
  <c r="N934" i="7"/>
  <c r="E934" i="7"/>
  <c r="N933" i="7"/>
  <c r="E933" i="7"/>
  <c r="N932" i="7"/>
  <c r="E932" i="7"/>
  <c r="N931" i="7"/>
  <c r="E931" i="7"/>
  <c r="N930" i="7"/>
  <c r="E930" i="7"/>
  <c r="N929" i="7"/>
  <c r="E929" i="7"/>
  <c r="N928" i="7"/>
  <c r="E928" i="7"/>
  <c r="N927" i="7"/>
  <c r="E927" i="7"/>
  <c r="N926" i="7"/>
  <c r="E926" i="7"/>
  <c r="N925" i="7"/>
  <c r="E925" i="7"/>
  <c r="N924" i="7"/>
  <c r="E924" i="7"/>
  <c r="N923" i="7"/>
  <c r="E923" i="7"/>
  <c r="N922" i="7"/>
  <c r="E922" i="7"/>
  <c r="N921" i="7"/>
  <c r="E921" i="7"/>
  <c r="N920" i="7"/>
  <c r="E920" i="7"/>
  <c r="N919" i="7"/>
  <c r="E919" i="7"/>
  <c r="N918" i="7"/>
  <c r="E918" i="7"/>
  <c r="N917" i="7"/>
  <c r="E917" i="7"/>
  <c r="N916" i="7"/>
  <c r="E916" i="7"/>
  <c r="N915" i="7"/>
  <c r="E915" i="7"/>
  <c r="N914" i="7"/>
  <c r="E914" i="7"/>
  <c r="N913" i="7"/>
  <c r="E913" i="7"/>
  <c r="N912" i="7"/>
  <c r="E912" i="7"/>
  <c r="N911" i="7"/>
  <c r="G911" i="7"/>
  <c r="B911" i="7"/>
  <c r="N910" i="7"/>
  <c r="G910" i="7"/>
  <c r="B910" i="7"/>
  <c r="N909" i="7"/>
  <c r="G909" i="7"/>
  <c r="B909" i="7"/>
  <c r="N908" i="7"/>
  <c r="G908" i="7"/>
  <c r="B908" i="7"/>
  <c r="N907" i="7"/>
  <c r="G907" i="7"/>
  <c r="B907" i="7"/>
  <c r="N906" i="7"/>
  <c r="G906" i="7"/>
  <c r="B906" i="7"/>
  <c r="N905" i="7"/>
  <c r="G905" i="7"/>
  <c r="B905" i="7"/>
  <c r="N904" i="7"/>
  <c r="G904" i="7"/>
  <c r="B904" i="7"/>
  <c r="N903" i="7"/>
  <c r="G903" i="7"/>
  <c r="B903" i="7"/>
  <c r="K902" i="7"/>
  <c r="Q899" i="7"/>
  <c r="D899" i="7"/>
  <c r="K898" i="7"/>
  <c r="Q895" i="7"/>
  <c r="D895" i="7"/>
  <c r="K894" i="7"/>
  <c r="Q891" i="7"/>
  <c r="D891" i="7"/>
  <c r="K890" i="7"/>
  <c r="Q887" i="7"/>
  <c r="D887" i="7"/>
  <c r="K886" i="7"/>
  <c r="Q883" i="7"/>
  <c r="D883" i="7"/>
  <c r="K882" i="7"/>
  <c r="Q879" i="7"/>
  <c r="D879" i="7"/>
  <c r="K878" i="7"/>
  <c r="Q875" i="7"/>
  <c r="D875" i="7"/>
  <c r="K874" i="7"/>
  <c r="Q871" i="7"/>
  <c r="D871" i="7"/>
  <c r="K870" i="7"/>
  <c r="Q867" i="7"/>
  <c r="D867" i="7"/>
  <c r="K866" i="7"/>
  <c r="Q863" i="7"/>
  <c r="D863" i="7"/>
  <c r="K862" i="7"/>
  <c r="Q859" i="7"/>
  <c r="D859" i="7"/>
  <c r="K858" i="7"/>
  <c r="Q855" i="7"/>
  <c r="D855" i="7"/>
  <c r="K854" i="7"/>
  <c r="Q851" i="7"/>
  <c r="D851" i="7"/>
  <c r="K850" i="7"/>
  <c r="Q847" i="7"/>
  <c r="D847" i="7"/>
  <c r="K846" i="7"/>
  <c r="Q843" i="7"/>
  <c r="D843" i="7"/>
  <c r="K842" i="7"/>
  <c r="Q839" i="7"/>
  <c r="D839" i="7"/>
  <c r="K838" i="7"/>
  <c r="Q835" i="7"/>
  <c r="D835" i="7"/>
  <c r="K834" i="7"/>
  <c r="Q831" i="7"/>
  <c r="D831" i="7"/>
  <c r="K830" i="7"/>
  <c r="Q827" i="7"/>
  <c r="D827" i="7"/>
  <c r="K826" i="7"/>
  <c r="Q823" i="7"/>
  <c r="D823" i="7"/>
  <c r="K822" i="7"/>
  <c r="Q819" i="7"/>
  <c r="D819" i="7"/>
  <c r="K818" i="7"/>
  <c r="Q815" i="7"/>
  <c r="D815" i="7"/>
  <c r="K814" i="7"/>
  <c r="Q811" i="7"/>
  <c r="D811" i="7"/>
  <c r="K810" i="7"/>
  <c r="Q807" i="7"/>
  <c r="D807" i="7"/>
  <c r="K806" i="7"/>
  <c r="Q803" i="7"/>
  <c r="D803" i="7"/>
  <c r="K802" i="7"/>
  <c r="Q799" i="7"/>
  <c r="D799" i="7"/>
  <c r="K798" i="7"/>
  <c r="Q795" i="7"/>
  <c r="D795" i="7"/>
  <c r="K794" i="7"/>
  <c r="Q791" i="7"/>
  <c r="D791" i="7"/>
  <c r="K790" i="7"/>
  <c r="Q787" i="7"/>
  <c r="D787" i="7"/>
  <c r="K786" i="7"/>
  <c r="Q783" i="7"/>
  <c r="D783" i="7"/>
  <c r="K782" i="7"/>
  <c r="Q779" i="7"/>
  <c r="D779" i="7"/>
  <c r="K778" i="7"/>
  <c r="Q775" i="7"/>
  <c r="D775" i="7"/>
  <c r="K774" i="7"/>
  <c r="Q771" i="7"/>
  <c r="D771" i="7"/>
  <c r="K770" i="7"/>
  <c r="Q767" i="7"/>
  <c r="D767" i="7"/>
  <c r="K766" i="7"/>
  <c r="Q763" i="7"/>
  <c r="D763" i="7"/>
  <c r="K762" i="7"/>
  <c r="Q759" i="7"/>
  <c r="D759" i="7"/>
  <c r="K758" i="7"/>
  <c r="Q755" i="7"/>
  <c r="D755" i="7"/>
  <c r="K754" i="7"/>
  <c r="Q751" i="7"/>
  <c r="D751" i="7"/>
  <c r="K750" i="7"/>
  <c r="Q747" i="7"/>
  <c r="D747" i="7"/>
  <c r="K746" i="7"/>
  <c r="Q743" i="7"/>
  <c r="D743" i="7"/>
  <c r="K742" i="7"/>
  <c r="Q739" i="7"/>
  <c r="D739" i="7"/>
  <c r="K738" i="7"/>
  <c r="Q735" i="7"/>
  <c r="D735" i="7"/>
  <c r="K734" i="7"/>
  <c r="Q731" i="7"/>
  <c r="D731" i="7"/>
  <c r="K730" i="7"/>
  <c r="Q727" i="7"/>
  <c r="D727" i="7"/>
  <c r="K726" i="7"/>
  <c r="Q723" i="7"/>
  <c r="D723" i="7"/>
  <c r="K722" i="7"/>
  <c r="Q719" i="7"/>
  <c r="D719" i="7"/>
  <c r="K718" i="7"/>
  <c r="Q715" i="7"/>
  <c r="D715" i="7"/>
  <c r="K714" i="7"/>
  <c r="Q711" i="7"/>
  <c r="D711" i="7"/>
  <c r="K710" i="7"/>
  <c r="Q707" i="7"/>
  <c r="D707" i="7"/>
  <c r="K706" i="7"/>
  <c r="Q703" i="7"/>
  <c r="D703" i="7"/>
  <c r="K702" i="7"/>
  <c r="Q699" i="7"/>
  <c r="D699" i="7"/>
  <c r="K698" i="7"/>
  <c r="Q695" i="7"/>
  <c r="D695" i="7"/>
  <c r="K694" i="7"/>
  <c r="Q691" i="7"/>
  <c r="D691" i="7"/>
  <c r="K690" i="7"/>
  <c r="Q687" i="7"/>
  <c r="D687" i="7"/>
  <c r="K686" i="7"/>
  <c r="Q683" i="7"/>
  <c r="D683" i="7"/>
  <c r="K682" i="7"/>
  <c r="Q679" i="7"/>
  <c r="D679" i="7"/>
  <c r="K678" i="7"/>
  <c r="Q675" i="7"/>
  <c r="D675" i="7"/>
  <c r="K674" i="7"/>
  <c r="Q671" i="7"/>
  <c r="D671" i="7"/>
  <c r="K670" i="7"/>
  <c r="E670" i="7"/>
  <c r="Q669" i="7"/>
  <c r="I669" i="7"/>
  <c r="C669" i="7"/>
  <c r="G668" i="7"/>
  <c r="A668" i="7"/>
  <c r="J667" i="7"/>
  <c r="E667" i="7"/>
  <c r="H666" i="7"/>
  <c r="C666" i="7"/>
  <c r="K665" i="7"/>
  <c r="F665" i="7"/>
  <c r="A665" i="7"/>
  <c r="K664" i="7"/>
  <c r="E664" i="7"/>
  <c r="Q663" i="7"/>
  <c r="M663" i="7"/>
  <c r="E663" i="7"/>
  <c r="Q662" i="7"/>
  <c r="L662" i="7"/>
  <c r="D662" i="7"/>
  <c r="J661" i="7"/>
  <c r="D661" i="7"/>
  <c r="J660" i="7"/>
  <c r="D660" i="7"/>
  <c r="J659" i="7"/>
  <c r="D659" i="7"/>
  <c r="K658" i="7"/>
  <c r="C658" i="7"/>
  <c r="H657" i="7"/>
  <c r="B657" i="7"/>
  <c r="H656" i="7"/>
  <c r="C656" i="7"/>
  <c r="K655" i="7"/>
  <c r="Q654" i="7"/>
  <c r="K654" i="7"/>
  <c r="E654" i="7"/>
  <c r="Q653" i="7"/>
  <c r="K653" i="7"/>
  <c r="E653" i="7"/>
  <c r="Q652" i="7"/>
  <c r="E652" i="7"/>
  <c r="N651" i="7"/>
  <c r="I651" i="7"/>
  <c r="D651" i="7"/>
  <c r="K650" i="7"/>
  <c r="D650" i="7"/>
  <c r="G649" i="7"/>
  <c r="B649" i="7"/>
  <c r="M648" i="7"/>
  <c r="G648" i="7"/>
  <c r="B648" i="7"/>
  <c r="N647" i="7"/>
  <c r="F647" i="7"/>
  <c r="A647" i="7"/>
  <c r="N646" i="7"/>
  <c r="F646" i="7"/>
  <c r="Q645" i="7"/>
  <c r="K645" i="7"/>
  <c r="D645" i="7"/>
  <c r="K644" i="7"/>
  <c r="D644" i="7"/>
  <c r="G643" i="7"/>
  <c r="B643" i="7"/>
  <c r="N642" i="7"/>
  <c r="E642" i="7"/>
  <c r="Q641" i="7"/>
  <c r="L641" i="7"/>
  <c r="D641" i="7"/>
  <c r="H640" i="7"/>
  <c r="B640" i="7"/>
  <c r="H639" i="7"/>
  <c r="C639" i="7"/>
  <c r="N638" i="7"/>
  <c r="G638" i="7"/>
  <c r="B638" i="7"/>
  <c r="M637" i="7"/>
  <c r="F637" i="7"/>
  <c r="A637" i="7"/>
  <c r="L636" i="7"/>
  <c r="F636" i="7"/>
  <c r="B636" i="7"/>
  <c r="K635" i="7"/>
  <c r="E635" i="7"/>
  <c r="A635" i="7"/>
  <c r="N634" i="7"/>
  <c r="H634" i="7"/>
  <c r="D634" i="7"/>
  <c r="Q633" i="7"/>
  <c r="M633" i="7"/>
  <c r="G633" i="7"/>
  <c r="C633" i="7"/>
  <c r="L632" i="7"/>
  <c r="F632" i="7"/>
  <c r="B632" i="7"/>
  <c r="K631" i="7"/>
  <c r="E631" i="7"/>
  <c r="A631" i="7"/>
  <c r="N630" i="7"/>
  <c r="H630" i="7"/>
  <c r="D630" i="7"/>
  <c r="Q629" i="7"/>
  <c r="M629" i="7"/>
  <c r="F629" i="7"/>
  <c r="B629" i="7"/>
  <c r="H628" i="7"/>
  <c r="D628" i="7"/>
  <c r="Q627" i="7"/>
  <c r="M627" i="7"/>
  <c r="F627" i="7"/>
  <c r="B627" i="7"/>
  <c r="K626" i="7"/>
  <c r="E626" i="7"/>
  <c r="A626" i="7"/>
  <c r="N625" i="7"/>
  <c r="G625" i="7"/>
  <c r="C625" i="7"/>
  <c r="K624" i="7"/>
  <c r="E624" i="7"/>
  <c r="A624" i="7"/>
  <c r="N623" i="7"/>
  <c r="H623" i="7"/>
  <c r="D623" i="7"/>
  <c r="Q622" i="7"/>
  <c r="M622" i="7"/>
  <c r="G622" i="7"/>
  <c r="C622" i="7"/>
  <c r="K621" i="7"/>
  <c r="E621" i="7"/>
  <c r="A621" i="7"/>
  <c r="N620" i="7"/>
  <c r="H620" i="7"/>
  <c r="D620" i="7"/>
  <c r="Q619" i="7"/>
  <c r="M619" i="7"/>
  <c r="G619" i="7"/>
  <c r="C619" i="7"/>
  <c r="K618" i="7"/>
  <c r="E618" i="7"/>
  <c r="A618" i="7"/>
  <c r="N617" i="7"/>
  <c r="G617" i="7"/>
  <c r="C617" i="7"/>
  <c r="K616" i="7"/>
  <c r="E616" i="7"/>
  <c r="A616" i="7"/>
  <c r="N615" i="7"/>
  <c r="H615" i="7"/>
  <c r="D615" i="7"/>
  <c r="Q614" i="7"/>
  <c r="M614" i="7"/>
  <c r="G614" i="7"/>
  <c r="C614" i="7"/>
  <c r="L613" i="7"/>
  <c r="F613" i="7"/>
  <c r="B613" i="7"/>
  <c r="K612" i="7"/>
  <c r="E612" i="7"/>
  <c r="A612" i="7"/>
  <c r="N611" i="7"/>
  <c r="H611" i="7"/>
  <c r="D611" i="7"/>
  <c r="Q610" i="7"/>
  <c r="M610" i="7"/>
  <c r="G610" i="7"/>
  <c r="C610" i="7"/>
  <c r="L609" i="7"/>
  <c r="F609" i="7"/>
  <c r="B609" i="7"/>
  <c r="K608" i="7"/>
  <c r="E608" i="7"/>
  <c r="A608" i="7"/>
  <c r="N607" i="7"/>
  <c r="H607" i="7"/>
  <c r="D607" i="7"/>
  <c r="Q606" i="7"/>
  <c r="M606" i="7"/>
  <c r="G606" i="7"/>
  <c r="C606" i="7"/>
  <c r="L605" i="7"/>
  <c r="F605" i="7"/>
  <c r="B605" i="7"/>
  <c r="K604" i="7"/>
  <c r="E604" i="7"/>
  <c r="A604" i="7"/>
  <c r="N603" i="7"/>
  <c r="H603" i="7"/>
  <c r="D603" i="7"/>
  <c r="Q602" i="7"/>
  <c r="D602" i="7"/>
  <c r="Q600" i="7"/>
  <c r="D600" i="7"/>
  <c r="Q598" i="7"/>
  <c r="D598" i="7"/>
  <c r="Q596" i="7"/>
  <c r="D596" i="7"/>
  <c r="Q594" i="7"/>
  <c r="D594" i="7"/>
  <c r="Q592" i="7"/>
  <c r="D592" i="7"/>
  <c r="Q590" i="7"/>
  <c r="D590" i="7"/>
  <c r="Q588" i="7"/>
  <c r="D588" i="7"/>
  <c r="Q586" i="7"/>
  <c r="D586" i="7"/>
  <c r="Q584" i="7"/>
  <c r="D584" i="7"/>
  <c r="Q582" i="7"/>
  <c r="D582" i="7"/>
  <c r="Q580" i="7"/>
  <c r="D580" i="7"/>
  <c r="Q578" i="7"/>
  <c r="D578" i="7"/>
  <c r="Q576" i="7"/>
  <c r="D576" i="7"/>
  <c r="Q574" i="7"/>
  <c r="D574" i="7"/>
  <c r="Q572" i="7"/>
  <c r="D572" i="7"/>
  <c r="Q570" i="7"/>
  <c r="D570" i="7"/>
  <c r="Q568" i="7"/>
  <c r="D568" i="7"/>
  <c r="Q566" i="7"/>
  <c r="D566" i="7"/>
  <c r="Q564" i="7"/>
  <c r="D564" i="7"/>
  <c r="Q562" i="7"/>
  <c r="D562" i="7"/>
  <c r="Q560" i="7"/>
  <c r="D560" i="7"/>
  <c r="Q558" i="7"/>
  <c r="D558" i="7"/>
  <c r="Q556" i="7"/>
  <c r="D556" i="7"/>
  <c r="Q554" i="7"/>
  <c r="D554" i="7"/>
  <c r="Q552" i="7"/>
  <c r="D552" i="7"/>
  <c r="Q550" i="7"/>
  <c r="D550" i="7"/>
  <c r="Q548" i="7"/>
  <c r="D548" i="7"/>
  <c r="Q546" i="7"/>
  <c r="D546" i="7"/>
  <c r="Q544" i="7"/>
  <c r="D544" i="7"/>
  <c r="Q542" i="7"/>
  <c r="D542" i="7"/>
  <c r="Q540" i="7"/>
  <c r="D540" i="7"/>
  <c r="Q538" i="7"/>
  <c r="D538" i="7"/>
  <c r="Q536" i="7"/>
  <c r="D536" i="7"/>
  <c r="Q534" i="7"/>
  <c r="D534" i="7"/>
  <c r="Q532" i="7"/>
  <c r="D532" i="7"/>
  <c r="Q530" i="7"/>
  <c r="D530" i="7"/>
  <c r="Q528" i="7"/>
  <c r="D528" i="7"/>
  <c r="Q526" i="7"/>
  <c r="D526" i="7"/>
  <c r="Q524" i="7"/>
  <c r="D524" i="7"/>
  <c r="Q522" i="7"/>
  <c r="D522" i="7"/>
  <c r="Q520" i="7"/>
  <c r="D520" i="7"/>
  <c r="Q518" i="7"/>
  <c r="D518" i="7"/>
  <c r="Q516" i="7"/>
  <c r="D516" i="7"/>
  <c r="Q514" i="7"/>
  <c r="D514" i="7"/>
  <c r="Q512" i="7"/>
  <c r="D512" i="7"/>
  <c r="Q510" i="7"/>
  <c r="D510" i="7"/>
  <c r="Q508" i="7"/>
  <c r="D508" i="7"/>
  <c r="Q506" i="7"/>
  <c r="D506" i="7"/>
  <c r="Q504" i="7"/>
  <c r="D504" i="7"/>
  <c r="Q502" i="7"/>
  <c r="D502" i="7"/>
  <c r="Q500" i="7"/>
  <c r="D500" i="7"/>
  <c r="Q498" i="7"/>
  <c r="D498" i="7"/>
  <c r="Q496" i="7"/>
  <c r="D496" i="7"/>
  <c r="Q494" i="7"/>
  <c r="D494" i="7"/>
  <c r="Q492" i="7"/>
  <c r="D492" i="7"/>
  <c r="Q490" i="7"/>
  <c r="D490" i="7"/>
  <c r="Q488" i="7"/>
  <c r="D488" i="7"/>
  <c r="Q486" i="7"/>
  <c r="D486" i="7"/>
  <c r="Q484" i="7"/>
  <c r="D484" i="7"/>
  <c r="Q482" i="7"/>
  <c r="D482" i="7"/>
  <c r="Q480" i="7"/>
  <c r="D480" i="7"/>
  <c r="Q478" i="7"/>
  <c r="D478" i="7"/>
  <c r="Q476" i="7"/>
  <c r="D476" i="7"/>
  <c r="Q474" i="7"/>
  <c r="D474" i="7"/>
  <c r="Q472" i="7"/>
  <c r="D472" i="7"/>
  <c r="Q470" i="7"/>
  <c r="D470" i="7"/>
  <c r="Q468" i="7"/>
  <c r="D468" i="7"/>
  <c r="Q466" i="7"/>
  <c r="D466" i="7"/>
  <c r="Q464" i="7"/>
  <c r="D464" i="7"/>
  <c r="Q462" i="7"/>
  <c r="D462" i="7"/>
  <c r="Q460" i="7"/>
  <c r="D460" i="7"/>
  <c r="Q458" i="7"/>
  <c r="D458" i="7"/>
  <c r="Q456" i="7"/>
  <c r="D456" i="7"/>
  <c r="Q454" i="7"/>
  <c r="D454" i="7"/>
  <c r="Q452" i="7"/>
  <c r="D452" i="7"/>
  <c r="Q450" i="7"/>
  <c r="D450" i="7"/>
  <c r="Q448" i="7"/>
  <c r="D448" i="7"/>
  <c r="Q446" i="7"/>
  <c r="D446" i="7"/>
  <c r="Q444" i="7"/>
  <c r="D444" i="7"/>
  <c r="Q442" i="7"/>
  <c r="D442" i="7"/>
  <c r="Q440" i="7"/>
  <c r="D440" i="7"/>
  <c r="Q438" i="7"/>
  <c r="D438" i="7"/>
  <c r="Q436" i="7"/>
  <c r="D436" i="7"/>
  <c r="Q434" i="7"/>
  <c r="D434" i="7"/>
  <c r="Q432" i="7"/>
  <c r="D432" i="7"/>
  <c r="Q430" i="7"/>
  <c r="D430" i="7"/>
  <c r="Q428" i="7"/>
  <c r="D428" i="7"/>
  <c r="Q426" i="7"/>
  <c r="D426" i="7"/>
  <c r="Q424" i="7"/>
  <c r="D424" i="7"/>
  <c r="Q422" i="7"/>
  <c r="D422" i="7"/>
  <c r="Q420" i="7"/>
  <c r="D420" i="7"/>
  <c r="Q418" i="7"/>
  <c r="D418" i="7"/>
  <c r="Q416" i="7"/>
  <c r="D416" i="7"/>
  <c r="Q414" i="7"/>
  <c r="D414" i="7"/>
  <c r="Q412" i="7"/>
  <c r="D412" i="7"/>
  <c r="Q410" i="7"/>
  <c r="D410" i="7"/>
  <c r="Q408" i="7"/>
  <c r="D408" i="7"/>
  <c r="Q406" i="7"/>
  <c r="D406" i="7"/>
  <c r="Q404" i="7"/>
  <c r="D404" i="7"/>
  <c r="Q402" i="7"/>
  <c r="D402" i="7"/>
  <c r="I401" i="7"/>
  <c r="E401" i="7"/>
  <c r="A401" i="7"/>
  <c r="M400" i="7"/>
  <c r="I400" i="7"/>
  <c r="E400" i="7"/>
  <c r="A400" i="7"/>
  <c r="M399" i="7"/>
  <c r="I399" i="7"/>
  <c r="E399" i="7"/>
  <c r="A399" i="7"/>
  <c r="L398" i="7"/>
  <c r="D398" i="7"/>
  <c r="E397" i="7"/>
  <c r="L396" i="7"/>
  <c r="G396" i="7"/>
  <c r="C396" i="7"/>
  <c r="L395" i="7"/>
  <c r="G395" i="7"/>
  <c r="C395" i="7"/>
  <c r="L394" i="7"/>
  <c r="G394" i="7"/>
  <c r="C394" i="7"/>
  <c r="K393" i="7"/>
  <c r="G393" i="7"/>
  <c r="C393" i="7"/>
  <c r="L392" i="7"/>
  <c r="G392" i="7"/>
  <c r="C392" i="7"/>
  <c r="L391" i="7"/>
  <c r="G391" i="7"/>
  <c r="C391" i="7"/>
  <c r="L390" i="7"/>
  <c r="G390" i="7"/>
  <c r="C390" i="7"/>
  <c r="K389" i="7"/>
  <c r="G389" i="7"/>
  <c r="C389" i="7"/>
  <c r="K388" i="7"/>
  <c r="G388" i="7"/>
  <c r="C388" i="7"/>
  <c r="K387" i="7"/>
  <c r="G387" i="7"/>
  <c r="C387" i="7"/>
  <c r="K386" i="7"/>
  <c r="G386" i="7"/>
  <c r="C386" i="7"/>
  <c r="K385" i="7"/>
  <c r="G385" i="7"/>
  <c r="C385" i="7"/>
  <c r="L384" i="7"/>
  <c r="H384" i="7"/>
  <c r="D384" i="7"/>
  <c r="Q383" i="7"/>
  <c r="L383" i="7"/>
  <c r="H383" i="7"/>
  <c r="D383" i="7"/>
  <c r="Q382" i="7"/>
  <c r="L382" i="7"/>
  <c r="H382" i="7"/>
  <c r="D382" i="7"/>
  <c r="Q381" i="7"/>
  <c r="L381" i="7"/>
  <c r="H381" i="7"/>
  <c r="D381" i="7"/>
  <c r="Q380" i="7"/>
  <c r="L380" i="7"/>
  <c r="H380" i="7"/>
  <c r="D380" i="7"/>
  <c r="Q379" i="7"/>
  <c r="L379" i="7"/>
  <c r="H379" i="7"/>
  <c r="D379" i="7"/>
  <c r="Q378" i="7"/>
  <c r="L378" i="7"/>
  <c r="H378" i="7"/>
  <c r="D378" i="7"/>
  <c r="Q377" i="7"/>
  <c r="M377" i="7"/>
  <c r="H377" i="7"/>
  <c r="D377" i="7"/>
  <c r="Q376" i="7"/>
  <c r="M376" i="7"/>
  <c r="I376" i="7"/>
  <c r="E376" i="7"/>
  <c r="A376" i="7"/>
  <c r="M375" i="7"/>
  <c r="I375" i="7"/>
  <c r="E375" i="7"/>
  <c r="A375" i="7"/>
  <c r="N374" i="7"/>
  <c r="J374" i="7"/>
  <c r="E374" i="7"/>
  <c r="A374" i="7"/>
  <c r="N373" i="7"/>
  <c r="J373" i="7"/>
  <c r="F373" i="7"/>
  <c r="B373" i="7"/>
  <c r="K372" i="7"/>
  <c r="G372" i="7"/>
  <c r="C372" i="7"/>
  <c r="L371" i="7"/>
  <c r="H371" i="7"/>
  <c r="D371" i="7"/>
  <c r="Q370" i="7"/>
  <c r="L370" i="7"/>
  <c r="H370" i="7"/>
  <c r="D370" i="7"/>
  <c r="Q369" i="7"/>
  <c r="L369" i="7"/>
  <c r="H369" i="7"/>
  <c r="D369" i="7"/>
  <c r="Q368" i="7"/>
  <c r="M368" i="7"/>
  <c r="H368" i="7"/>
  <c r="D368" i="7"/>
  <c r="Q367" i="7"/>
  <c r="M367" i="7"/>
  <c r="H367" i="7"/>
  <c r="D367" i="7"/>
  <c r="Q366" i="7"/>
  <c r="M366" i="7"/>
  <c r="H366" i="7"/>
  <c r="D366" i="7"/>
  <c r="Q365" i="7"/>
  <c r="L365" i="7"/>
  <c r="H365" i="7"/>
  <c r="D365" i="7"/>
  <c r="Q364" i="7"/>
  <c r="M364" i="7"/>
  <c r="H364" i="7"/>
  <c r="D364" i="7"/>
  <c r="Q363" i="7"/>
  <c r="M363" i="7"/>
  <c r="I363" i="7"/>
  <c r="E363" i="7"/>
  <c r="A363" i="7"/>
  <c r="N362" i="7"/>
  <c r="J362" i="7"/>
  <c r="F362" i="7"/>
  <c r="B362" i="7"/>
  <c r="J361" i="7"/>
  <c r="E361" i="7"/>
  <c r="A361" i="7"/>
  <c r="N360" i="7"/>
  <c r="J360" i="7"/>
  <c r="E360" i="7"/>
  <c r="A360" i="7"/>
  <c r="N359" i="7"/>
  <c r="H359" i="7"/>
  <c r="D359" i="7"/>
  <c r="Q358" i="7"/>
  <c r="M358" i="7"/>
  <c r="H358" i="7"/>
  <c r="D358" i="7"/>
  <c r="Q357" i="7"/>
  <c r="M357" i="7"/>
  <c r="H357" i="7"/>
  <c r="D357" i="7"/>
  <c r="Q356" i="7"/>
  <c r="L356" i="7"/>
  <c r="H356" i="7"/>
  <c r="D356" i="7"/>
  <c r="Q355" i="7"/>
  <c r="L355" i="7"/>
  <c r="H355" i="7"/>
  <c r="D355" i="7"/>
  <c r="Q354" i="7"/>
  <c r="M354" i="7"/>
  <c r="H354" i="7"/>
  <c r="D354" i="7"/>
  <c r="Q353" i="7"/>
  <c r="M353" i="7"/>
  <c r="H353" i="7"/>
  <c r="D353" i="7"/>
  <c r="Q352" i="7"/>
  <c r="M352" i="7"/>
  <c r="H352" i="7"/>
  <c r="D352" i="7"/>
  <c r="Q351" i="7"/>
  <c r="L351" i="7"/>
  <c r="H351" i="7"/>
  <c r="D351" i="7"/>
  <c r="Q350" i="7"/>
  <c r="L350" i="7"/>
  <c r="H350" i="7"/>
  <c r="D350" i="7"/>
  <c r="Q349" i="7"/>
  <c r="M349" i="7"/>
  <c r="H349" i="7"/>
  <c r="D349" i="7"/>
  <c r="Q348" i="7"/>
  <c r="M348" i="7"/>
  <c r="H348" i="7"/>
  <c r="D348" i="7"/>
  <c r="Q347" i="7"/>
  <c r="M347" i="7"/>
  <c r="H347" i="7"/>
  <c r="D347" i="7"/>
  <c r="Q346" i="7"/>
  <c r="M346" i="7"/>
  <c r="H346" i="7"/>
  <c r="D346" i="7"/>
  <c r="Q345" i="7"/>
  <c r="M345" i="7"/>
  <c r="H345" i="7"/>
  <c r="D345" i="7"/>
  <c r="Q344" i="7"/>
  <c r="M344" i="7"/>
  <c r="H344" i="7"/>
  <c r="D344" i="7"/>
  <c r="Q343" i="7"/>
  <c r="M343" i="7"/>
  <c r="H343" i="7"/>
  <c r="D343" i="7"/>
  <c r="Q342" i="7"/>
  <c r="K342" i="7"/>
  <c r="F342" i="7"/>
  <c r="B342" i="7"/>
  <c r="K341" i="7"/>
  <c r="F341" i="7"/>
  <c r="B341" i="7"/>
  <c r="K340" i="7"/>
  <c r="F340" i="7"/>
  <c r="B340" i="7"/>
  <c r="K339" i="7"/>
  <c r="F339" i="7"/>
  <c r="B339" i="7"/>
  <c r="K338" i="7"/>
  <c r="F338" i="7"/>
  <c r="B338" i="7"/>
  <c r="K337" i="7"/>
  <c r="F337" i="7"/>
  <c r="B337" i="7"/>
  <c r="K336" i="7"/>
  <c r="F336" i="7"/>
  <c r="B336" i="7"/>
  <c r="K335" i="7"/>
  <c r="F335" i="7"/>
  <c r="B335" i="7"/>
  <c r="K334" i="7"/>
  <c r="F334" i="7"/>
  <c r="B334" i="7"/>
  <c r="J333" i="7"/>
  <c r="E333" i="7"/>
  <c r="A333" i="7"/>
  <c r="N332" i="7"/>
  <c r="H332" i="7"/>
  <c r="D332" i="7"/>
  <c r="Q331" i="7"/>
  <c r="M331" i="7"/>
  <c r="H331" i="7"/>
  <c r="D331" i="7"/>
  <c r="Q330" i="7"/>
  <c r="M330" i="7"/>
  <c r="G330" i="7"/>
  <c r="C330" i="7"/>
  <c r="L329" i="7"/>
  <c r="G329" i="7"/>
  <c r="C329" i="7"/>
  <c r="L328" i="7"/>
  <c r="G328" i="7"/>
  <c r="C328" i="7"/>
  <c r="L327" i="7"/>
  <c r="G327" i="7"/>
  <c r="C327" i="7"/>
  <c r="L326" i="7"/>
  <c r="G326" i="7"/>
  <c r="C326" i="7"/>
  <c r="L325" i="7"/>
  <c r="G325" i="7"/>
  <c r="C325" i="7"/>
  <c r="L324" i="7"/>
  <c r="G324" i="7"/>
  <c r="C324" i="7"/>
  <c r="L323" i="7"/>
  <c r="G323" i="7"/>
  <c r="C323" i="7"/>
  <c r="L322" i="7"/>
  <c r="G322" i="7"/>
  <c r="C322" i="7"/>
  <c r="L321" i="7"/>
  <c r="G321" i="7"/>
  <c r="C321" i="7"/>
  <c r="L320" i="7"/>
  <c r="G320" i="7"/>
  <c r="C320" i="7"/>
  <c r="L319" i="7"/>
  <c r="G319" i="7"/>
  <c r="C319" i="7"/>
  <c r="L318" i="7"/>
  <c r="G318" i="7"/>
  <c r="C318" i="7"/>
  <c r="L317" i="7"/>
  <c r="G317" i="7"/>
  <c r="C317" i="7"/>
  <c r="L316" i="7"/>
  <c r="G316" i="7"/>
  <c r="C316" i="7"/>
  <c r="L315" i="7"/>
  <c r="G315" i="7"/>
  <c r="C315" i="7"/>
  <c r="L314" i="7"/>
  <c r="G314" i="7"/>
  <c r="C314" i="7"/>
  <c r="L313" i="7"/>
  <c r="G313" i="7"/>
  <c r="C313" i="7"/>
  <c r="L312" i="7"/>
  <c r="G312" i="7"/>
  <c r="C312" i="7"/>
  <c r="L311" i="7"/>
  <c r="G311" i="7"/>
  <c r="C311" i="7"/>
  <c r="L310" i="7"/>
  <c r="G310" i="7"/>
  <c r="C310" i="7"/>
  <c r="L309" i="7"/>
  <c r="G309" i="7"/>
  <c r="C309" i="7"/>
  <c r="L308" i="7"/>
  <c r="G308" i="7"/>
  <c r="C308" i="7"/>
  <c r="L307" i="7"/>
  <c r="G307" i="7"/>
  <c r="C307" i="7"/>
  <c r="L306" i="7"/>
  <c r="G306" i="7"/>
  <c r="C306" i="7"/>
  <c r="L305" i="7"/>
  <c r="G305" i="7"/>
  <c r="C305" i="7"/>
  <c r="L304" i="7"/>
  <c r="G304" i="7"/>
  <c r="C304" i="7"/>
  <c r="L303" i="7"/>
  <c r="G303" i="7"/>
  <c r="C303" i="7"/>
  <c r="Q301" i="7"/>
  <c r="D301" i="7"/>
  <c r="Q299" i="7"/>
  <c r="D299" i="7"/>
  <c r="Q297" i="7"/>
  <c r="D297" i="7"/>
  <c r="Q295" i="7"/>
  <c r="D295" i="7"/>
  <c r="Q293" i="7"/>
  <c r="D293" i="7"/>
  <c r="Q291" i="7"/>
  <c r="D291" i="7"/>
  <c r="Q289" i="7"/>
  <c r="D289" i="7"/>
  <c r="Q287" i="7"/>
  <c r="D287" i="7"/>
  <c r="Q285" i="7"/>
  <c r="D285" i="7"/>
  <c r="Q283" i="7"/>
  <c r="D283" i="7"/>
  <c r="Q281" i="7"/>
  <c r="D281" i="7"/>
  <c r="Q279" i="7"/>
  <c r="D279" i="7"/>
  <c r="Q277" i="7"/>
  <c r="D277" i="7"/>
  <c r="Q275" i="7"/>
  <c r="D275" i="7"/>
  <c r="Q273" i="7"/>
  <c r="D273" i="7"/>
  <c r="Q271" i="7"/>
  <c r="D271" i="7"/>
  <c r="Q269" i="7"/>
  <c r="D269" i="7"/>
  <c r="Q267" i="7"/>
  <c r="D267" i="7"/>
  <c r="Q265" i="7"/>
  <c r="D265" i="7"/>
  <c r="Q263" i="7"/>
  <c r="D263" i="7"/>
  <c r="Q261" i="7"/>
  <c r="D261" i="7"/>
  <c r="Q259" i="7"/>
  <c r="D259" i="7"/>
  <c r="Q257" i="7"/>
  <c r="D257" i="7"/>
  <c r="Q255" i="7"/>
  <c r="D255" i="7"/>
  <c r="Q253" i="7"/>
  <c r="D253" i="7"/>
  <c r="Q251" i="7"/>
  <c r="D251" i="7"/>
  <c r="Q249" i="7"/>
  <c r="D249" i="7"/>
  <c r="Q247" i="7"/>
  <c r="D247" i="7"/>
  <c r="Q245" i="7"/>
  <c r="D245" i="7"/>
  <c r="Q243" i="7"/>
  <c r="D243" i="7"/>
  <c r="Q241" i="7"/>
  <c r="D241" i="7"/>
  <c r="Q239" i="7"/>
  <c r="D239" i="7"/>
  <c r="Q237" i="7"/>
  <c r="D237" i="7"/>
  <c r="Q235" i="7"/>
  <c r="D235" i="7"/>
  <c r="Q233" i="7"/>
  <c r="D233" i="7"/>
  <c r="Q231" i="7"/>
  <c r="D231" i="7"/>
  <c r="Q229" i="7"/>
  <c r="K229" i="7"/>
  <c r="G229" i="7"/>
  <c r="C229" i="7"/>
  <c r="K228" i="7"/>
  <c r="G228" i="7"/>
  <c r="C228" i="7"/>
  <c r="K227" i="7"/>
  <c r="G227" i="7"/>
  <c r="C227" i="7"/>
  <c r="K226" i="7"/>
  <c r="G226" i="7"/>
  <c r="C226" i="7"/>
  <c r="K225" i="7"/>
  <c r="G225" i="7"/>
  <c r="C225" i="7"/>
  <c r="K224" i="7"/>
  <c r="G224" i="7"/>
  <c r="C224" i="7"/>
  <c r="L223" i="7"/>
  <c r="H223" i="7"/>
  <c r="D223" i="7"/>
  <c r="Q222" i="7"/>
  <c r="M222" i="7"/>
  <c r="H222" i="7"/>
  <c r="D222" i="7"/>
  <c r="Q221" i="7"/>
  <c r="M221" i="7"/>
  <c r="H221" i="7"/>
  <c r="D221" i="7"/>
  <c r="Q220" i="7"/>
  <c r="M220" i="7"/>
  <c r="H220" i="7"/>
  <c r="D220" i="7"/>
  <c r="Q219" i="7"/>
  <c r="M219" i="7"/>
  <c r="H219" i="7"/>
  <c r="D219" i="7"/>
  <c r="Q218" i="7"/>
  <c r="M218" i="7"/>
  <c r="H218" i="7"/>
  <c r="D218" i="7"/>
  <c r="Q217" i="7"/>
  <c r="M217" i="7"/>
  <c r="H217" i="7"/>
  <c r="D217" i="7"/>
  <c r="Q216" i="7"/>
  <c r="L216" i="7"/>
  <c r="H216" i="7"/>
  <c r="D216" i="7"/>
  <c r="Q215" i="7"/>
  <c r="L215" i="7"/>
  <c r="H215" i="7"/>
  <c r="D215" i="7"/>
  <c r="Q214" i="7"/>
  <c r="L214" i="7"/>
  <c r="H214" i="7"/>
  <c r="D214" i="7"/>
  <c r="Q213" i="7"/>
  <c r="L213" i="7"/>
  <c r="H213" i="7"/>
  <c r="D213" i="7"/>
  <c r="Q212" i="7"/>
  <c r="M212" i="7"/>
  <c r="I212" i="7"/>
  <c r="E212" i="7"/>
  <c r="A212" i="7"/>
  <c r="M211" i="7"/>
  <c r="I211" i="7"/>
  <c r="E211" i="7"/>
  <c r="A211" i="7"/>
  <c r="M210" i="7"/>
  <c r="I210" i="7"/>
  <c r="E210" i="7"/>
  <c r="A210" i="7"/>
  <c r="N209" i="7"/>
  <c r="J209" i="7"/>
  <c r="F209" i="7"/>
  <c r="B209" i="7"/>
  <c r="K208" i="7"/>
  <c r="F208" i="7"/>
  <c r="B208" i="7"/>
  <c r="K207" i="7"/>
  <c r="F207" i="7"/>
  <c r="B207" i="7"/>
  <c r="K206" i="7"/>
  <c r="F206" i="7"/>
  <c r="B206" i="7"/>
  <c r="K205" i="7"/>
  <c r="F205" i="7"/>
  <c r="B205" i="7"/>
  <c r="K204" i="7"/>
  <c r="F204" i="7"/>
  <c r="B204" i="7"/>
  <c r="K203" i="7"/>
  <c r="F203" i="7"/>
  <c r="B203" i="7"/>
  <c r="K202" i="7"/>
  <c r="F202" i="7"/>
  <c r="B202" i="7"/>
  <c r="K201" i="7"/>
  <c r="F201" i="7"/>
  <c r="B201" i="7"/>
  <c r="K200" i="7"/>
  <c r="F200" i="7"/>
  <c r="B200" i="7"/>
  <c r="K199" i="7"/>
  <c r="F199" i="7"/>
  <c r="B199" i="7"/>
  <c r="K198" i="7"/>
  <c r="F198" i="7"/>
  <c r="B198" i="7"/>
  <c r="K197" i="7"/>
  <c r="F197" i="7"/>
  <c r="B197" i="7"/>
  <c r="K196" i="7"/>
  <c r="F196" i="7"/>
  <c r="B196" i="7"/>
  <c r="K195" i="7"/>
  <c r="F195" i="7"/>
  <c r="B195" i="7"/>
  <c r="K194" i="7"/>
  <c r="F194" i="7"/>
  <c r="B194" i="7"/>
  <c r="K193" i="7"/>
  <c r="F193" i="7"/>
  <c r="B193" i="7"/>
  <c r="K192" i="7"/>
  <c r="F192" i="7"/>
  <c r="B192" i="7"/>
  <c r="K191" i="7"/>
  <c r="F191" i="7"/>
  <c r="B191" i="7"/>
  <c r="K190" i="7"/>
  <c r="F190" i="7"/>
  <c r="B190" i="7"/>
  <c r="K189" i="7"/>
  <c r="F189" i="7"/>
  <c r="B189" i="7"/>
  <c r="K188" i="7"/>
  <c r="F188" i="7"/>
  <c r="B188" i="7"/>
  <c r="K187" i="7"/>
  <c r="F187" i="7"/>
  <c r="B187" i="7"/>
  <c r="K186" i="7"/>
  <c r="F186" i="7"/>
  <c r="B186" i="7"/>
  <c r="K185" i="7"/>
  <c r="F185" i="7"/>
  <c r="B185" i="7"/>
  <c r="K184" i="7"/>
  <c r="F184" i="7"/>
  <c r="B184" i="7"/>
  <c r="K183" i="7"/>
  <c r="F183" i="7"/>
  <c r="B183" i="7"/>
  <c r="K182" i="7"/>
  <c r="F182" i="7"/>
  <c r="B182" i="7"/>
  <c r="K181" i="7"/>
  <c r="F181" i="7"/>
  <c r="B181" i="7"/>
  <c r="J180" i="7"/>
  <c r="F180" i="7"/>
  <c r="B180" i="7"/>
  <c r="K179" i="7"/>
  <c r="F179" i="7"/>
  <c r="B179" i="7"/>
  <c r="K178" i="7"/>
  <c r="G178" i="7"/>
  <c r="C178" i="7"/>
  <c r="L177" i="7"/>
  <c r="G177" i="7"/>
  <c r="C177" i="7"/>
  <c r="L176" i="7"/>
  <c r="G176" i="7"/>
  <c r="C176" i="7"/>
  <c r="L175" i="7"/>
  <c r="G175" i="7"/>
  <c r="C175" i="7"/>
  <c r="K174" i="7"/>
  <c r="G174" i="7"/>
  <c r="C174" i="7"/>
  <c r="L173" i="7"/>
  <c r="G173" i="7"/>
  <c r="C173" i="7"/>
  <c r="K172" i="7"/>
  <c r="G172" i="7"/>
  <c r="C172" i="7"/>
  <c r="L171" i="7"/>
  <c r="H171" i="7"/>
  <c r="D171" i="7"/>
  <c r="Q170" i="7"/>
  <c r="M170" i="7"/>
  <c r="H170" i="7"/>
  <c r="D170" i="7"/>
  <c r="Q169" i="7"/>
  <c r="L169" i="7"/>
  <c r="H169" i="7"/>
  <c r="D169" i="7"/>
  <c r="Q168" i="7"/>
  <c r="M168" i="7"/>
  <c r="I168" i="7"/>
  <c r="E168" i="7"/>
  <c r="A168" i="7"/>
  <c r="N167" i="7"/>
  <c r="J167" i="7"/>
  <c r="E167" i="7"/>
  <c r="A167" i="7"/>
  <c r="K166" i="7"/>
  <c r="B166" i="7"/>
  <c r="K165" i="7"/>
  <c r="F165" i="7"/>
  <c r="B165" i="7"/>
  <c r="K164" i="7"/>
  <c r="F164" i="7"/>
  <c r="B164" i="7"/>
  <c r="K163" i="7"/>
  <c r="F163" i="7"/>
  <c r="B163" i="7"/>
  <c r="K162" i="7"/>
  <c r="G162" i="7"/>
  <c r="C162" i="7"/>
  <c r="L161" i="7"/>
  <c r="G161" i="7"/>
  <c r="C161" i="7"/>
  <c r="L160" i="7"/>
  <c r="G160" i="7"/>
  <c r="C160" i="7"/>
  <c r="L159" i="7"/>
  <c r="G159" i="7"/>
  <c r="C159" i="7"/>
  <c r="L158" i="7"/>
  <c r="G158" i="7"/>
  <c r="C158" i="7"/>
  <c r="L157" i="7"/>
  <c r="G157" i="7"/>
  <c r="C157" i="7"/>
  <c r="L156" i="7"/>
  <c r="G156" i="7"/>
  <c r="C156" i="7"/>
  <c r="L155" i="7"/>
  <c r="G155" i="7"/>
  <c r="C155" i="7"/>
  <c r="L154" i="7"/>
  <c r="G154" i="7"/>
  <c r="C154" i="7"/>
  <c r="L153" i="7"/>
  <c r="G153" i="7"/>
  <c r="C153" i="7"/>
  <c r="L152" i="7"/>
  <c r="G152" i="7"/>
  <c r="C152" i="7"/>
  <c r="L151" i="7"/>
  <c r="G151" i="7"/>
  <c r="C151" i="7"/>
  <c r="L150" i="7"/>
  <c r="G150" i="7"/>
  <c r="C150" i="7"/>
  <c r="L149" i="7"/>
  <c r="G149" i="7"/>
  <c r="C149" i="7"/>
  <c r="L148" i="7"/>
  <c r="G148" i="7"/>
  <c r="C148" i="7"/>
  <c r="K147" i="7"/>
  <c r="G147" i="7"/>
  <c r="C147" i="7"/>
  <c r="L146" i="7"/>
  <c r="G146" i="7"/>
  <c r="C146" i="7"/>
  <c r="L145" i="7"/>
  <c r="G145" i="7"/>
  <c r="C145" i="7"/>
  <c r="L144" i="7"/>
  <c r="G144" i="7"/>
  <c r="C144" i="7"/>
  <c r="L143" i="7"/>
  <c r="G143" i="7"/>
  <c r="C143" i="7"/>
  <c r="L142" i="7"/>
  <c r="G142" i="7"/>
  <c r="C142" i="7"/>
  <c r="L141" i="7"/>
  <c r="G141" i="7"/>
  <c r="C141" i="7"/>
  <c r="L140" i="7"/>
  <c r="G140" i="7"/>
  <c r="C140" i="7"/>
  <c r="L139" i="7"/>
  <c r="G139" i="7"/>
  <c r="C139" i="7"/>
  <c r="L138" i="7"/>
  <c r="G138" i="7"/>
  <c r="C138" i="7"/>
  <c r="L137" i="7"/>
  <c r="G137" i="7"/>
  <c r="C137" i="7"/>
  <c r="L136" i="7"/>
  <c r="G136" i="7"/>
  <c r="C136" i="7"/>
  <c r="L135" i="7"/>
  <c r="G135" i="7"/>
  <c r="C135" i="7"/>
  <c r="L134" i="7"/>
  <c r="G134" i="7"/>
  <c r="C134" i="7"/>
  <c r="L133" i="7"/>
  <c r="G133" i="7"/>
  <c r="C133" i="7"/>
  <c r="L132" i="7"/>
  <c r="G132" i="7"/>
  <c r="C132" i="7"/>
  <c r="L131" i="7"/>
  <c r="G131" i="7"/>
  <c r="C131" i="7"/>
  <c r="L130" i="7"/>
  <c r="G130" i="7"/>
  <c r="C130" i="7"/>
  <c r="L129" i="7"/>
  <c r="G129" i="7"/>
  <c r="C129" i="7"/>
  <c r="L128" i="7"/>
  <c r="G128" i="7"/>
  <c r="C128" i="7"/>
  <c r="L127" i="7"/>
  <c r="G127" i="7"/>
  <c r="C127" i="7"/>
  <c r="L126" i="7"/>
  <c r="G126" i="7"/>
  <c r="C126" i="7"/>
  <c r="L125" i="7"/>
  <c r="G125" i="7"/>
  <c r="C125" i="7"/>
  <c r="L124" i="7"/>
  <c r="G124" i="7"/>
  <c r="C124" i="7"/>
  <c r="L123" i="7"/>
  <c r="G123" i="7"/>
  <c r="C123" i="7"/>
  <c r="L122" i="7"/>
  <c r="G122" i="7"/>
  <c r="C122" i="7"/>
  <c r="L121" i="7"/>
  <c r="G121" i="7"/>
  <c r="C121" i="7"/>
  <c r="L120" i="7"/>
  <c r="G120" i="7"/>
  <c r="C120" i="7"/>
  <c r="L119" i="7"/>
  <c r="G119" i="7"/>
  <c r="C119" i="7"/>
  <c r="L118" i="7"/>
  <c r="G118" i="7"/>
  <c r="C118" i="7"/>
  <c r="L117" i="7"/>
  <c r="G117" i="7"/>
  <c r="C117" i="7"/>
  <c r="L116" i="7"/>
  <c r="G116" i="7"/>
  <c r="C116" i="7"/>
  <c r="L115" i="7"/>
  <c r="G115" i="7"/>
  <c r="C115" i="7"/>
  <c r="L114" i="7"/>
  <c r="G114" i="7"/>
  <c r="C114" i="7"/>
  <c r="L113" i="7"/>
  <c r="G113" i="7"/>
  <c r="C113" i="7"/>
  <c r="L112" i="7"/>
  <c r="G112" i="7"/>
  <c r="C112" i="7"/>
  <c r="L111" i="7"/>
  <c r="G111" i="7"/>
  <c r="C111" i="7"/>
  <c r="L110" i="7"/>
  <c r="G110" i="7"/>
  <c r="C110" i="7"/>
  <c r="L109" i="7"/>
  <c r="G109" i="7"/>
  <c r="C109" i="7"/>
  <c r="L108" i="7"/>
  <c r="G108" i="7"/>
  <c r="C108" i="7"/>
  <c r="L107" i="7"/>
  <c r="G107" i="7"/>
  <c r="C107" i="7"/>
  <c r="L106" i="7"/>
  <c r="G106" i="7"/>
  <c r="C106" i="7"/>
  <c r="L105" i="7"/>
  <c r="G105" i="7"/>
  <c r="C105" i="7"/>
  <c r="L104" i="7"/>
  <c r="G104" i="7"/>
  <c r="C104" i="7"/>
  <c r="L103" i="7"/>
  <c r="G103" i="7"/>
  <c r="C103" i="7"/>
  <c r="L102" i="7"/>
  <c r="G102" i="7"/>
  <c r="C102" i="7"/>
  <c r="L101" i="7"/>
  <c r="G101" i="7"/>
  <c r="C101" i="7"/>
  <c r="L100" i="7"/>
  <c r="G100" i="7"/>
  <c r="C100" i="7"/>
  <c r="L99" i="7"/>
  <c r="G99" i="7"/>
  <c r="C99" i="7"/>
  <c r="L98" i="7"/>
  <c r="G98" i="7"/>
  <c r="C98" i="7"/>
  <c r="L97" i="7"/>
  <c r="G97" i="7"/>
  <c r="C97" i="7"/>
  <c r="L96" i="7"/>
  <c r="G96" i="7"/>
  <c r="C96" i="7"/>
  <c r="L95" i="7"/>
  <c r="G95" i="7"/>
  <c r="C95" i="7"/>
  <c r="L94" i="7"/>
  <c r="G94" i="7"/>
  <c r="C94" i="7"/>
  <c r="L93" i="7"/>
  <c r="G93" i="7"/>
  <c r="C93" i="7"/>
  <c r="L92" i="7"/>
  <c r="G92" i="7"/>
  <c r="C92" i="7"/>
  <c r="L91" i="7"/>
  <c r="G91" i="7"/>
  <c r="C91" i="7"/>
  <c r="L90" i="7"/>
  <c r="G90" i="7"/>
  <c r="C90" i="7"/>
  <c r="L89" i="7"/>
  <c r="G89" i="7"/>
  <c r="C89" i="7"/>
  <c r="L88" i="7"/>
  <c r="G88" i="7"/>
  <c r="C88" i="7"/>
  <c r="L87" i="7"/>
  <c r="Q139" i="7"/>
  <c r="D139" i="7"/>
  <c r="H138" i="7"/>
  <c r="M137" i="7"/>
  <c r="Q135" i="7"/>
  <c r="D135" i="7"/>
  <c r="H134" i="7"/>
  <c r="M133" i="7"/>
  <c r="Q131" i="7"/>
  <c r="D131" i="7"/>
  <c r="H130" i="7"/>
  <c r="M129" i="7"/>
  <c r="Q127" i="7"/>
  <c r="D127" i="7"/>
  <c r="H126" i="7"/>
  <c r="M125" i="7"/>
  <c r="Q123" i="7"/>
  <c r="D123" i="7"/>
  <c r="H122" i="7"/>
  <c r="M121" i="7"/>
  <c r="Q119" i="7"/>
  <c r="D119" i="7"/>
  <c r="H118" i="7"/>
  <c r="M117" i="7"/>
  <c r="Q115" i="7"/>
  <c r="D115" i="7"/>
  <c r="H114" i="7"/>
  <c r="M113" i="7"/>
  <c r="Q111" i="7"/>
  <c r="D111" i="7"/>
  <c r="H110" i="7"/>
  <c r="M109" i="7"/>
  <c r="Q107" i="7"/>
  <c r="F107" i="7"/>
  <c r="H106" i="7"/>
  <c r="Q105" i="7"/>
  <c r="K105" i="7"/>
  <c r="B105" i="7"/>
  <c r="M104" i="7"/>
  <c r="D104" i="7"/>
  <c r="F103" i="7"/>
  <c r="H102" i="7"/>
  <c r="Q101" i="7"/>
  <c r="K101" i="7"/>
  <c r="B101" i="7"/>
  <c r="M100" i="7"/>
  <c r="D100" i="7"/>
  <c r="F99" i="7"/>
  <c r="H98" i="7"/>
  <c r="Q97" i="7"/>
  <c r="K97" i="7"/>
  <c r="B97" i="7"/>
  <c r="M96" i="7"/>
  <c r="D96" i="7"/>
  <c r="F95" i="7"/>
  <c r="H94" i="7"/>
  <c r="Q93" i="7"/>
  <c r="K93" i="7"/>
  <c r="B93" i="7"/>
  <c r="M92" i="7"/>
  <c r="D92" i="7"/>
  <c r="F91" i="7"/>
  <c r="H90" i="7"/>
  <c r="Q89" i="7"/>
  <c r="K89" i="7"/>
  <c r="B89" i="7"/>
  <c r="M88" i="7"/>
  <c r="D88" i="7"/>
  <c r="G87" i="7"/>
  <c r="B87" i="7"/>
  <c r="L86" i="7"/>
  <c r="F86" i="7"/>
  <c r="A86" i="7"/>
  <c r="L85" i="7"/>
  <c r="F85" i="7"/>
  <c r="A85" i="7"/>
  <c r="L84" i="7"/>
  <c r="F84" i="7"/>
  <c r="A84" i="7"/>
  <c r="L83" i="7"/>
  <c r="F83" i="7"/>
  <c r="A83" i="7"/>
  <c r="L82" i="7"/>
  <c r="F82" i="7"/>
  <c r="A82" i="7"/>
  <c r="L81" i="7"/>
  <c r="F81" i="7"/>
  <c r="A81" i="7"/>
  <c r="L80" i="7"/>
  <c r="F80" i="7"/>
  <c r="A80" i="7"/>
  <c r="L79" i="7"/>
  <c r="F79" i="7"/>
  <c r="A79" i="7"/>
  <c r="L78" i="7"/>
  <c r="F78" i="7"/>
  <c r="A78" i="7"/>
  <c r="L77" i="7"/>
  <c r="F77" i="7"/>
  <c r="A77" i="7"/>
  <c r="L76" i="7"/>
  <c r="F76" i="7"/>
  <c r="B76" i="7"/>
  <c r="K75" i="7"/>
  <c r="F75" i="7"/>
  <c r="B75" i="7"/>
  <c r="J74" i="7"/>
  <c r="F74" i="7"/>
  <c r="B74" i="7"/>
  <c r="K73" i="7"/>
  <c r="F73" i="7"/>
  <c r="B73" i="7"/>
  <c r="K72" i="7"/>
  <c r="F72" i="7"/>
  <c r="B72" i="7"/>
  <c r="K71" i="7"/>
  <c r="F71" i="7"/>
  <c r="B71" i="7"/>
  <c r="K70" i="7"/>
  <c r="F70" i="7"/>
  <c r="B70" i="7"/>
  <c r="K69" i="7"/>
  <c r="F69" i="7"/>
  <c r="B69" i="7"/>
  <c r="K68" i="7"/>
  <c r="F68" i="7"/>
  <c r="B68" i="7"/>
  <c r="K67" i="7"/>
  <c r="F67" i="7"/>
  <c r="B67" i="7"/>
  <c r="K66" i="7"/>
  <c r="F66" i="7"/>
  <c r="B66" i="7"/>
  <c r="K65" i="7"/>
  <c r="F65" i="7"/>
  <c r="B65" i="7"/>
  <c r="K64" i="7"/>
  <c r="F64" i="7"/>
  <c r="B64" i="7"/>
  <c r="K63" i="7"/>
  <c r="F63" i="7"/>
  <c r="B63" i="7"/>
  <c r="K62" i="7"/>
  <c r="F62" i="7"/>
  <c r="B62" i="7"/>
  <c r="K61" i="7"/>
  <c r="F61" i="7"/>
  <c r="B61" i="7"/>
  <c r="K60" i="7"/>
  <c r="F60" i="7"/>
  <c r="B60" i="7"/>
  <c r="K59" i="7"/>
  <c r="F59" i="7"/>
  <c r="B59" i="7"/>
  <c r="K58" i="7"/>
  <c r="F58" i="7"/>
  <c r="B58" i="7"/>
  <c r="K57" i="7"/>
  <c r="F57" i="7"/>
  <c r="B57" i="7"/>
  <c r="K56" i="7"/>
  <c r="F56" i="7"/>
  <c r="B56" i="7"/>
  <c r="K55" i="7"/>
  <c r="F55" i="7"/>
  <c r="B55" i="7"/>
  <c r="K54" i="7"/>
  <c r="F54" i="7"/>
  <c r="B54" i="7"/>
  <c r="K53" i="7"/>
  <c r="F53" i="7"/>
  <c r="B53" i="7"/>
  <c r="K52" i="7"/>
  <c r="F52" i="7"/>
  <c r="B52" i="7"/>
  <c r="K51" i="7"/>
  <c r="F51" i="7"/>
  <c r="B51" i="7"/>
  <c r="K50" i="7"/>
  <c r="F50" i="7"/>
  <c r="B50" i="7"/>
  <c r="K49" i="7"/>
  <c r="F49" i="7"/>
  <c r="B49" i="7"/>
  <c r="K48" i="7"/>
  <c r="F48" i="7"/>
  <c r="B48" i="7"/>
  <c r="K47" i="7"/>
  <c r="F47" i="7"/>
  <c r="B47" i="7"/>
  <c r="K46" i="7"/>
  <c r="F46" i="7"/>
  <c r="B46" i="7"/>
  <c r="K45" i="7"/>
  <c r="F45" i="7"/>
  <c r="B45" i="7"/>
  <c r="K44" i="7"/>
  <c r="F44" i="7"/>
  <c r="B44" i="7"/>
  <c r="K43" i="7"/>
  <c r="F43" i="7"/>
  <c r="B43" i="7"/>
  <c r="K42" i="7"/>
  <c r="F42" i="7"/>
  <c r="B42" i="7"/>
  <c r="K41" i="7"/>
  <c r="F41" i="7"/>
  <c r="B41" i="7"/>
  <c r="K40" i="7"/>
  <c r="F40" i="7"/>
  <c r="B40" i="7"/>
  <c r="K39" i="7"/>
  <c r="F39" i="7"/>
  <c r="B39" i="7"/>
  <c r="K38" i="7"/>
  <c r="F38" i="7"/>
  <c r="B38" i="7"/>
  <c r="K37" i="7"/>
  <c r="F37" i="7"/>
  <c r="B37" i="7"/>
  <c r="K36" i="7"/>
  <c r="F36" i="7"/>
  <c r="B36" i="7"/>
  <c r="K35" i="7"/>
  <c r="F35" i="7"/>
  <c r="B35" i="7"/>
  <c r="K34" i="7"/>
  <c r="F34" i="7"/>
  <c r="B34" i="7"/>
  <c r="K33" i="7"/>
  <c r="F33" i="7"/>
  <c r="B33" i="7"/>
  <c r="K32" i="7"/>
  <c r="F32" i="7"/>
  <c r="B32" i="7"/>
  <c r="K31" i="7"/>
  <c r="F31" i="7"/>
  <c r="B31" i="7"/>
  <c r="K30" i="7"/>
  <c r="F30" i="7"/>
  <c r="B30" i="7"/>
  <c r="K29" i="7"/>
  <c r="F29" i="7"/>
  <c r="B29" i="7"/>
  <c r="K28" i="7"/>
  <c r="F28" i="7"/>
  <c r="B28" i="7"/>
  <c r="K27" i="7"/>
  <c r="F27" i="7"/>
  <c r="B27" i="7"/>
  <c r="K26" i="7"/>
  <c r="F26" i="7"/>
  <c r="B26" i="7"/>
  <c r="K25" i="7"/>
  <c r="F25" i="7"/>
  <c r="B25" i="7"/>
  <c r="K24" i="7"/>
  <c r="F24" i="7"/>
  <c r="B24" i="7"/>
  <c r="K23" i="7"/>
  <c r="F23" i="7"/>
  <c r="B23" i="7"/>
  <c r="K22" i="7"/>
  <c r="F22" i="7"/>
  <c r="B22" i="7"/>
  <c r="K21" i="7"/>
  <c r="F21" i="7"/>
  <c r="B21" i="7"/>
  <c r="K20" i="7"/>
  <c r="F20" i="7"/>
  <c r="B20" i="7"/>
  <c r="K19" i="7"/>
  <c r="F19" i="7"/>
  <c r="B19" i="7"/>
  <c r="K18" i="7"/>
  <c r="F18" i="7"/>
  <c r="B18" i="7"/>
  <c r="K17" i="7"/>
  <c r="F17" i="7"/>
  <c r="B17" i="7"/>
  <c r="K16" i="7"/>
  <c r="F16" i="7"/>
  <c r="B16" i="7"/>
  <c r="K15" i="7"/>
  <c r="F15" i="7"/>
  <c r="B15" i="7"/>
  <c r="K14" i="7"/>
  <c r="F14" i="7"/>
  <c r="B14" i="7"/>
  <c r="K13" i="7"/>
  <c r="F13" i="7"/>
  <c r="B13" i="7"/>
  <c r="K12" i="7"/>
  <c r="F12" i="7"/>
  <c r="B12" i="7"/>
  <c r="K11" i="7"/>
  <c r="F11" i="7"/>
  <c r="B11" i="7"/>
  <c r="K10" i="7"/>
  <c r="F10" i="7"/>
  <c r="B10" i="7"/>
  <c r="K9" i="7"/>
  <c r="F9" i="7"/>
  <c r="B9" i="7"/>
  <c r="K8" i="7"/>
  <c r="F8" i="7"/>
  <c r="B8" i="7"/>
  <c r="K7" i="7"/>
  <c r="F7" i="7"/>
  <c r="B7" i="7"/>
  <c r="K6" i="7"/>
  <c r="F6" i="7"/>
  <c r="B6" i="7"/>
  <c r="K5" i="7"/>
  <c r="F5" i="7"/>
  <c r="B5" i="7"/>
  <c r="K4" i="7"/>
  <c r="F4" i="7"/>
  <c r="B4" i="7"/>
  <c r="K3" i="7"/>
  <c r="F3" i="7"/>
  <c r="B3" i="7"/>
  <c r="M140" i="7"/>
  <c r="Q138" i="7"/>
  <c r="D138" i="7"/>
  <c r="H137" i="7"/>
  <c r="M136" i="7"/>
  <c r="Q134" i="7"/>
  <c r="D134" i="7"/>
  <c r="H133" i="7"/>
  <c r="M132" i="7"/>
  <c r="Q130" i="7"/>
  <c r="D130" i="7"/>
  <c r="H129" i="7"/>
  <c r="M128" i="7"/>
  <c r="Q126" i="7"/>
  <c r="D126" i="7"/>
  <c r="H125" i="7"/>
  <c r="M124" i="7"/>
  <c r="Q122" i="7"/>
  <c r="D122" i="7"/>
  <c r="H121" i="7"/>
  <c r="M120" i="7"/>
  <c r="Q118" i="7"/>
  <c r="D118" i="7"/>
  <c r="H117" i="7"/>
  <c r="M116" i="7"/>
  <c r="Q114" i="7"/>
  <c r="D114" i="7"/>
  <c r="H113" i="7"/>
  <c r="M112" i="7"/>
  <c r="Q110" i="7"/>
  <c r="D110" i="7"/>
  <c r="H109" i="7"/>
  <c r="M108" i="7"/>
  <c r="D107" i="7"/>
  <c r="F106" i="7"/>
  <c r="H105" i="7"/>
  <c r="Q104" i="7"/>
  <c r="K104" i="7"/>
  <c r="B104" i="7"/>
  <c r="M103" i="7"/>
  <c r="D103" i="7"/>
  <c r="F102" i="7"/>
  <c r="H101" i="7"/>
  <c r="Q100" i="7"/>
  <c r="K100" i="7"/>
  <c r="B100" i="7"/>
  <c r="M99" i="7"/>
  <c r="D99" i="7"/>
  <c r="F98" i="7"/>
  <c r="H97" i="7"/>
  <c r="Q96" i="7"/>
  <c r="K96" i="7"/>
  <c r="B96" i="7"/>
  <c r="M95" i="7"/>
  <c r="D95" i="7"/>
  <c r="F94" i="7"/>
  <c r="H93" i="7"/>
  <c r="Q92" i="7"/>
  <c r="K92" i="7"/>
  <c r="B92" i="7"/>
  <c r="M91" i="7"/>
  <c r="D91" i="7"/>
  <c r="F90" i="7"/>
  <c r="H89" i="7"/>
  <c r="Q88" i="7"/>
  <c r="K88" i="7"/>
  <c r="B88" i="7"/>
  <c r="M87" i="7"/>
  <c r="F87" i="7"/>
  <c r="Q86" i="7"/>
  <c r="K86" i="7"/>
  <c r="E86" i="7"/>
  <c r="K85" i="7"/>
  <c r="E85" i="7"/>
  <c r="K84" i="7"/>
  <c r="E84" i="7"/>
  <c r="K83" i="7"/>
  <c r="E83" i="7"/>
  <c r="K82" i="7"/>
  <c r="E82" i="7"/>
  <c r="K81" i="7"/>
  <c r="E81" i="7"/>
  <c r="K80" i="7"/>
  <c r="E80" i="7"/>
  <c r="K79" i="7"/>
  <c r="E79" i="7"/>
  <c r="K78" i="7"/>
  <c r="E78" i="7"/>
  <c r="K77" i="7"/>
  <c r="E77" i="7"/>
  <c r="K76" i="7"/>
  <c r="E76" i="7"/>
  <c r="A76" i="7"/>
  <c r="N75" i="7"/>
  <c r="J75" i="7"/>
  <c r="E75" i="7"/>
  <c r="A75" i="7"/>
  <c r="M74" i="7"/>
  <c r="I74" i="7"/>
  <c r="E74" i="7"/>
  <c r="A74" i="7"/>
  <c r="N73" i="7"/>
  <c r="J73" i="7"/>
  <c r="E73" i="7"/>
  <c r="A73" i="7"/>
  <c r="N72" i="7"/>
  <c r="J72" i="7"/>
  <c r="E72" i="7"/>
  <c r="A72" i="7"/>
  <c r="N71" i="7"/>
  <c r="J71" i="7"/>
  <c r="E71" i="7"/>
  <c r="A71" i="7"/>
  <c r="N70" i="7"/>
  <c r="J70" i="7"/>
  <c r="E70" i="7"/>
  <c r="A70" i="7"/>
  <c r="N69" i="7"/>
  <c r="J69" i="7"/>
  <c r="E69" i="7"/>
  <c r="A69" i="7"/>
  <c r="N68" i="7"/>
  <c r="J68" i="7"/>
  <c r="E68" i="7"/>
  <c r="A68" i="7"/>
  <c r="N67" i="7"/>
  <c r="J67" i="7"/>
  <c r="E67" i="7"/>
  <c r="A67" i="7"/>
  <c r="N66" i="7"/>
  <c r="J66" i="7"/>
  <c r="E66" i="7"/>
  <c r="A66" i="7"/>
  <c r="N65" i="7"/>
  <c r="J65" i="7"/>
  <c r="E65" i="7"/>
  <c r="A65" i="7"/>
  <c r="N64" i="7"/>
  <c r="J64" i="7"/>
  <c r="E64" i="7"/>
  <c r="A64" i="7"/>
  <c r="N63" i="7"/>
  <c r="J63" i="7"/>
  <c r="E63" i="7"/>
  <c r="A63" i="7"/>
  <c r="N62" i="7"/>
  <c r="J62" i="7"/>
  <c r="E62" i="7"/>
  <c r="A62" i="7"/>
  <c r="N61" i="7"/>
  <c r="J61" i="7"/>
  <c r="E61" i="7"/>
  <c r="A61" i="7"/>
  <c r="N60" i="7"/>
  <c r="J60" i="7"/>
  <c r="E60" i="7"/>
  <c r="A60" i="7"/>
  <c r="N59" i="7"/>
  <c r="J59" i="7"/>
  <c r="E59" i="7"/>
  <c r="A59" i="7"/>
  <c r="N58" i="7"/>
  <c r="J58" i="7"/>
  <c r="E58" i="7"/>
  <c r="A58" i="7"/>
  <c r="N57" i="7"/>
  <c r="J57" i="7"/>
  <c r="E57" i="7"/>
  <c r="A57" i="7"/>
  <c r="N56" i="7"/>
  <c r="J56" i="7"/>
  <c r="E56" i="7"/>
  <c r="A56" i="7"/>
  <c r="N55" i="7"/>
  <c r="J55" i="7"/>
  <c r="E55" i="7"/>
  <c r="A55" i="7"/>
  <c r="N54" i="7"/>
  <c r="J54" i="7"/>
  <c r="E54" i="7"/>
  <c r="A54" i="7"/>
  <c r="N53" i="7"/>
  <c r="J53" i="7"/>
  <c r="E53" i="7"/>
  <c r="A53" i="7"/>
  <c r="N52" i="7"/>
  <c r="J52" i="7"/>
  <c r="E52" i="7"/>
  <c r="A52" i="7"/>
  <c r="N51" i="7"/>
  <c r="J51" i="7"/>
  <c r="E51" i="7"/>
  <c r="A51" i="7"/>
  <c r="N50" i="7"/>
  <c r="J50" i="7"/>
  <c r="E50" i="7"/>
  <c r="A50" i="7"/>
  <c r="N49" i="7"/>
  <c r="J49" i="7"/>
  <c r="E49" i="7"/>
  <c r="A49" i="7"/>
  <c r="N48" i="7"/>
  <c r="J48" i="7"/>
  <c r="E48" i="7"/>
  <c r="A48" i="7"/>
  <c r="N47" i="7"/>
  <c r="J47" i="7"/>
  <c r="E47" i="7"/>
  <c r="A47" i="7"/>
  <c r="N46" i="7"/>
  <c r="J46" i="7"/>
  <c r="E46" i="7"/>
  <c r="A46" i="7"/>
  <c r="N45" i="7"/>
  <c r="J45" i="7"/>
  <c r="E45" i="7"/>
  <c r="A45" i="7"/>
  <c r="N44" i="7"/>
  <c r="J44" i="7"/>
  <c r="E44" i="7"/>
  <c r="A44" i="7"/>
  <c r="N43" i="7"/>
  <c r="J43" i="7"/>
  <c r="E43" i="7"/>
  <c r="A43" i="7"/>
  <c r="N42" i="7"/>
  <c r="J42" i="7"/>
  <c r="E42" i="7"/>
  <c r="A42" i="7"/>
  <c r="N41" i="7"/>
  <c r="J41" i="7"/>
  <c r="E41" i="7"/>
  <c r="A41" i="7"/>
  <c r="N40" i="7"/>
  <c r="J40" i="7"/>
  <c r="E40" i="7"/>
  <c r="A40" i="7"/>
  <c r="N39" i="7"/>
  <c r="J39" i="7"/>
  <c r="E39" i="7"/>
  <c r="A39" i="7"/>
  <c r="N38" i="7"/>
  <c r="J38" i="7"/>
  <c r="E38" i="7"/>
  <c r="A38" i="7"/>
  <c r="N37" i="7"/>
  <c r="J37" i="7"/>
  <c r="E37" i="7"/>
  <c r="A37" i="7"/>
  <c r="N36" i="7"/>
  <c r="J36" i="7"/>
  <c r="E36" i="7"/>
  <c r="A36" i="7"/>
  <c r="N35" i="7"/>
  <c r="J35" i="7"/>
  <c r="E35" i="7"/>
  <c r="A35" i="7"/>
  <c r="N34" i="7"/>
  <c r="J34" i="7"/>
  <c r="E34" i="7"/>
  <c r="A34" i="7"/>
  <c r="N33" i="7"/>
  <c r="J33" i="7"/>
  <c r="E33" i="7"/>
  <c r="A33" i="7"/>
  <c r="N32" i="7"/>
  <c r="J32" i="7"/>
  <c r="E32" i="7"/>
  <c r="A32" i="7"/>
  <c r="N31" i="7"/>
  <c r="J31" i="7"/>
  <c r="E31" i="7"/>
  <c r="A31" i="7"/>
  <c r="N30" i="7"/>
  <c r="J30" i="7"/>
  <c r="E30" i="7"/>
  <c r="A30" i="7"/>
  <c r="N29" i="7"/>
  <c r="J29" i="7"/>
  <c r="E29" i="7"/>
  <c r="A29" i="7"/>
  <c r="N28" i="7"/>
  <c r="J28" i="7"/>
  <c r="E28" i="7"/>
  <c r="A28" i="7"/>
  <c r="N27" i="7"/>
  <c r="J27" i="7"/>
  <c r="E27" i="7"/>
  <c r="A27" i="7"/>
  <c r="N26" i="7"/>
  <c r="J26" i="7"/>
  <c r="E26" i="7"/>
  <c r="A26" i="7"/>
  <c r="N25" i="7"/>
  <c r="J25" i="7"/>
  <c r="E25" i="7"/>
  <c r="A25" i="7"/>
  <c r="N24" i="7"/>
  <c r="J24" i="7"/>
  <c r="E24" i="7"/>
  <c r="A24" i="7"/>
  <c r="N23" i="7"/>
  <c r="J23" i="7"/>
  <c r="E23" i="7"/>
  <c r="A23" i="7"/>
  <c r="N22" i="7"/>
  <c r="J22" i="7"/>
  <c r="E22" i="7"/>
  <c r="A22" i="7"/>
  <c r="N21" i="7"/>
  <c r="J21" i="7"/>
  <c r="E21" i="7"/>
  <c r="A21" i="7"/>
  <c r="N20" i="7"/>
  <c r="J20" i="7"/>
  <c r="E20" i="7"/>
  <c r="A20" i="7"/>
  <c r="N19" i="7"/>
  <c r="J19" i="7"/>
  <c r="E19" i="7"/>
  <c r="A19" i="7"/>
  <c r="N18" i="7"/>
  <c r="J18" i="7"/>
  <c r="E18" i="7"/>
  <c r="A18" i="7"/>
  <c r="N17" i="7"/>
  <c r="J17" i="7"/>
  <c r="E17" i="7"/>
  <c r="A17" i="7"/>
  <c r="N16" i="7"/>
  <c r="J16" i="7"/>
  <c r="E16" i="7"/>
  <c r="A16" i="7"/>
  <c r="N15" i="7"/>
  <c r="J15" i="7"/>
  <c r="E15" i="7"/>
  <c r="A15" i="7"/>
  <c r="N14" i="7"/>
  <c r="J14" i="7"/>
  <c r="E14" i="7"/>
  <c r="A14" i="7"/>
  <c r="N13" i="7"/>
  <c r="J13" i="7"/>
  <c r="E13" i="7"/>
  <c r="A13" i="7"/>
  <c r="N12" i="7"/>
  <c r="J12" i="7"/>
  <c r="E12" i="7"/>
  <c r="A12" i="7"/>
  <c r="N11" i="7"/>
  <c r="J11" i="7"/>
  <c r="E11" i="7"/>
  <c r="A11" i="7"/>
  <c r="N10" i="7"/>
  <c r="J10" i="7"/>
  <c r="E10" i="7"/>
  <c r="A10" i="7"/>
  <c r="N9" i="7"/>
  <c r="J9" i="7"/>
  <c r="E9" i="7"/>
  <c r="A9" i="7"/>
  <c r="N8" i="7"/>
  <c r="J8" i="7"/>
  <c r="E8" i="7"/>
  <c r="A8" i="7"/>
  <c r="N7" i="7"/>
  <c r="J7" i="7"/>
  <c r="E7" i="7"/>
  <c r="A7" i="7"/>
  <c r="N6" i="7"/>
  <c r="J6" i="7"/>
  <c r="E6" i="7"/>
  <c r="A6" i="7"/>
  <c r="N5" i="7"/>
  <c r="J5" i="7"/>
  <c r="E5" i="7"/>
  <c r="A5" i="7"/>
  <c r="N4" i="7"/>
  <c r="J4" i="7"/>
  <c r="E4" i="7"/>
  <c r="A4" i="7"/>
  <c r="N3" i="7"/>
  <c r="J3" i="7"/>
  <c r="E3" i="7"/>
  <c r="A3" i="7"/>
  <c r="H140" i="7"/>
  <c r="M139" i="7"/>
  <c r="Q137" i="7"/>
  <c r="D137" i="7"/>
  <c r="H136" i="7"/>
  <c r="M135" i="7"/>
  <c r="Q133" i="7"/>
  <c r="D133" i="7"/>
  <c r="H132" i="7"/>
  <c r="M131" i="7"/>
  <c r="Q129" i="7"/>
  <c r="D129" i="7"/>
  <c r="H128" i="7"/>
  <c r="M127" i="7"/>
  <c r="Q125" i="7"/>
  <c r="D125" i="7"/>
  <c r="H124" i="7"/>
  <c r="M123" i="7"/>
  <c r="Q121" i="7"/>
  <c r="D121" i="7"/>
  <c r="H120" i="7"/>
  <c r="M119" i="7"/>
  <c r="Q117" i="7"/>
  <c r="D117" i="7"/>
  <c r="H116" i="7"/>
  <c r="M115" i="7"/>
  <c r="Q113" i="7"/>
  <c r="D113" i="7"/>
  <c r="H112" i="7"/>
  <c r="M111" i="7"/>
  <c r="Q109" i="7"/>
  <c r="D109" i="7"/>
  <c r="H108" i="7"/>
  <c r="M107" i="7"/>
  <c r="B107" i="7"/>
  <c r="M106" i="7"/>
  <c r="D106" i="7"/>
  <c r="F105" i="7"/>
  <c r="H104" i="7"/>
  <c r="Q103" i="7"/>
  <c r="K103" i="7"/>
  <c r="B103" i="7"/>
  <c r="M102" i="7"/>
  <c r="D102" i="7"/>
  <c r="F101" i="7"/>
  <c r="H100" i="7"/>
  <c r="Q99" i="7"/>
  <c r="K99" i="7"/>
  <c r="B99" i="7"/>
  <c r="M98" i="7"/>
  <c r="D98" i="7"/>
  <c r="F97" i="7"/>
  <c r="H96" i="7"/>
  <c r="Q95" i="7"/>
  <c r="K95" i="7"/>
  <c r="B95" i="7"/>
  <c r="M94" i="7"/>
  <c r="D94" i="7"/>
  <c r="F93" i="7"/>
  <c r="H92" i="7"/>
  <c r="Q91" i="7"/>
  <c r="K91" i="7"/>
  <c r="B91" i="7"/>
  <c r="M90" i="7"/>
  <c r="D90" i="7"/>
  <c r="F89" i="7"/>
  <c r="H88" i="7"/>
  <c r="Q87" i="7"/>
  <c r="K87" i="7"/>
  <c r="D87" i="7"/>
  <c r="J86" i="7"/>
  <c r="C86" i="7"/>
  <c r="J85" i="7"/>
  <c r="C85" i="7"/>
  <c r="J84" i="7"/>
  <c r="C84" i="7"/>
  <c r="J83" i="7"/>
  <c r="C83" i="7"/>
  <c r="J82" i="7"/>
  <c r="C82" i="7"/>
  <c r="J81" i="7"/>
  <c r="C81" i="7"/>
  <c r="J80" i="7"/>
  <c r="C80" i="7"/>
  <c r="J79" i="7"/>
  <c r="C79" i="7"/>
  <c r="J78" i="7"/>
  <c r="C78" i="7"/>
  <c r="J77" i="7"/>
  <c r="C77" i="7"/>
  <c r="J76" i="7"/>
  <c r="D76" i="7"/>
  <c r="Q75" i="7"/>
  <c r="M75" i="7"/>
  <c r="H75" i="7"/>
  <c r="D75" i="7"/>
  <c r="Q74" i="7"/>
  <c r="L74" i="7"/>
  <c r="H74" i="7"/>
  <c r="D74" i="7"/>
  <c r="Q73" i="7"/>
  <c r="M73" i="7"/>
  <c r="H73" i="7"/>
  <c r="D73" i="7"/>
  <c r="Q72" i="7"/>
  <c r="M72" i="7"/>
  <c r="H72" i="7"/>
  <c r="D72" i="7"/>
  <c r="Q71" i="7"/>
  <c r="M71" i="7"/>
  <c r="H71" i="7"/>
  <c r="D71" i="7"/>
  <c r="Q70" i="7"/>
  <c r="M70" i="7"/>
  <c r="H70" i="7"/>
  <c r="D70" i="7"/>
  <c r="Q69" i="7"/>
  <c r="M69" i="7"/>
  <c r="H69" i="7"/>
  <c r="D69" i="7"/>
  <c r="Q68" i="7"/>
  <c r="M68" i="7"/>
  <c r="H68" i="7"/>
  <c r="D68" i="7"/>
  <c r="Q67" i="7"/>
  <c r="M67" i="7"/>
  <c r="H67" i="7"/>
  <c r="D67" i="7"/>
  <c r="Q66" i="7"/>
  <c r="M66" i="7"/>
  <c r="H66" i="7"/>
  <c r="D66" i="7"/>
  <c r="Q65" i="7"/>
  <c r="M65" i="7"/>
  <c r="H65" i="7"/>
  <c r="D65" i="7"/>
  <c r="Q64" i="7"/>
  <c r="M64" i="7"/>
  <c r="H64" i="7"/>
  <c r="D64" i="7"/>
  <c r="Q63" i="7"/>
  <c r="M63" i="7"/>
  <c r="H63" i="7"/>
  <c r="D63" i="7"/>
  <c r="Q62" i="7"/>
  <c r="M62" i="7"/>
  <c r="H62" i="7"/>
  <c r="D62" i="7"/>
  <c r="Q61" i="7"/>
  <c r="M61" i="7"/>
  <c r="H61" i="7"/>
  <c r="D61" i="7"/>
  <c r="Q60" i="7"/>
  <c r="M60" i="7"/>
  <c r="H60" i="7"/>
  <c r="D60" i="7"/>
  <c r="Q59" i="7"/>
  <c r="M59" i="7"/>
  <c r="H59" i="7"/>
  <c r="D59" i="7"/>
  <c r="Q58" i="7"/>
  <c r="M58" i="7"/>
  <c r="H58" i="7"/>
  <c r="D58" i="7"/>
  <c r="Q57" i="7"/>
  <c r="M57" i="7"/>
  <c r="H57" i="7"/>
  <c r="D57" i="7"/>
  <c r="Q56" i="7"/>
  <c r="M56" i="7"/>
  <c r="H56" i="7"/>
  <c r="D56" i="7"/>
  <c r="Q55" i="7"/>
  <c r="M55" i="7"/>
  <c r="H55" i="7"/>
  <c r="D55" i="7"/>
  <c r="Q54" i="7"/>
  <c r="M54" i="7"/>
  <c r="H54" i="7"/>
  <c r="D54" i="7"/>
  <c r="Q53" i="7"/>
  <c r="M53" i="7"/>
  <c r="H53" i="7"/>
  <c r="D53" i="7"/>
  <c r="Q52" i="7"/>
  <c r="M52" i="7"/>
  <c r="H52" i="7"/>
  <c r="D52" i="7"/>
  <c r="Q51" i="7"/>
  <c r="M51" i="7"/>
  <c r="H51" i="7"/>
  <c r="D51" i="7"/>
  <c r="Q50" i="7"/>
  <c r="M50" i="7"/>
  <c r="H50" i="7"/>
  <c r="D50" i="7"/>
  <c r="Q49" i="7"/>
  <c r="M49" i="7"/>
  <c r="H49" i="7"/>
  <c r="D49" i="7"/>
  <c r="Q48" i="7"/>
  <c r="M48" i="7"/>
  <c r="H48" i="7"/>
  <c r="D48" i="7"/>
  <c r="Q47" i="7"/>
  <c r="M47" i="7"/>
  <c r="H47" i="7"/>
  <c r="D47" i="7"/>
  <c r="Q46" i="7"/>
  <c r="M46" i="7"/>
  <c r="H46" i="7"/>
  <c r="D46" i="7"/>
  <c r="Q45" i="7"/>
  <c r="M45" i="7"/>
  <c r="H45" i="7"/>
  <c r="D45" i="7"/>
  <c r="Q44" i="7"/>
  <c r="M44" i="7"/>
  <c r="H44" i="7"/>
  <c r="D44" i="7"/>
  <c r="Q43" i="7"/>
  <c r="M43" i="7"/>
  <c r="H43" i="7"/>
  <c r="D43" i="7"/>
  <c r="Q42" i="7"/>
  <c r="M42" i="7"/>
  <c r="H42" i="7"/>
  <c r="D42" i="7"/>
  <c r="Q41" i="7"/>
  <c r="M41" i="7"/>
  <c r="H41" i="7"/>
  <c r="D41" i="7"/>
  <c r="Q40" i="7"/>
  <c r="M40" i="7"/>
  <c r="H40" i="7"/>
  <c r="D40" i="7"/>
  <c r="Q39" i="7"/>
  <c r="M39" i="7"/>
  <c r="H39" i="7"/>
  <c r="D39" i="7"/>
  <c r="Q38" i="7"/>
  <c r="M38" i="7"/>
  <c r="H38" i="7"/>
  <c r="D38" i="7"/>
  <c r="Q37" i="7"/>
  <c r="M37" i="7"/>
  <c r="H37" i="7"/>
  <c r="D37" i="7"/>
  <c r="Q36" i="7"/>
  <c r="M36" i="7"/>
  <c r="H36" i="7"/>
  <c r="D36" i="7"/>
  <c r="Q35" i="7"/>
  <c r="M35" i="7"/>
  <c r="H35" i="7"/>
  <c r="D35" i="7"/>
  <c r="Q34" i="7"/>
  <c r="M34" i="7"/>
  <c r="H34" i="7"/>
  <c r="D34" i="7"/>
  <c r="Q33" i="7"/>
  <c r="M33" i="7"/>
  <c r="H33" i="7"/>
  <c r="D33" i="7"/>
  <c r="Q32" i="7"/>
  <c r="M32" i="7"/>
  <c r="H32" i="7"/>
  <c r="D32" i="7"/>
  <c r="Q31" i="7"/>
  <c r="M31" i="7"/>
  <c r="H31" i="7"/>
  <c r="D31" i="7"/>
  <c r="Q30" i="7"/>
  <c r="M30" i="7"/>
  <c r="H30" i="7"/>
  <c r="D30" i="7"/>
  <c r="Q29" i="7"/>
  <c r="M29" i="7"/>
  <c r="H29" i="7"/>
  <c r="D29" i="7"/>
  <c r="Q28" i="7"/>
  <c r="M28" i="7"/>
  <c r="H28" i="7"/>
  <c r="D28" i="7"/>
  <c r="Q27" i="7"/>
  <c r="M27" i="7"/>
  <c r="H27" i="7"/>
  <c r="D27" i="7"/>
  <c r="Q26" i="7"/>
  <c r="M26" i="7"/>
  <c r="H26" i="7"/>
  <c r="D26" i="7"/>
  <c r="Q25" i="7"/>
  <c r="M25" i="7"/>
  <c r="H25" i="7"/>
  <c r="D25" i="7"/>
  <c r="Q24" i="7"/>
  <c r="M24" i="7"/>
  <c r="H24" i="7"/>
  <c r="D24" i="7"/>
  <c r="Q23" i="7"/>
  <c r="M23" i="7"/>
  <c r="H23" i="7"/>
  <c r="D23" i="7"/>
  <c r="Q22" i="7"/>
  <c r="M22" i="7"/>
  <c r="H22" i="7"/>
  <c r="D22" i="7"/>
  <c r="Q21" i="7"/>
  <c r="M21" i="7"/>
  <c r="H21" i="7"/>
  <c r="D21" i="7"/>
  <c r="Q20" i="7"/>
  <c r="M20" i="7"/>
  <c r="H20" i="7"/>
  <c r="D20" i="7"/>
  <c r="Q19" i="7"/>
  <c r="M19" i="7"/>
  <c r="H19" i="7"/>
  <c r="D19" i="7"/>
  <c r="Q18" i="7"/>
  <c r="M18" i="7"/>
  <c r="H18" i="7"/>
  <c r="D18" i="7"/>
  <c r="Q17" i="7"/>
  <c r="M17" i="7"/>
  <c r="H17" i="7"/>
  <c r="D17" i="7"/>
  <c r="Q16" i="7"/>
  <c r="M16" i="7"/>
  <c r="H16" i="7"/>
  <c r="D16" i="7"/>
  <c r="Q15" i="7"/>
  <c r="M15" i="7"/>
  <c r="H15" i="7"/>
  <c r="D15" i="7"/>
  <c r="Q14" i="7"/>
  <c r="M14" i="7"/>
  <c r="H14" i="7"/>
  <c r="D14" i="7"/>
  <c r="Q13" i="7"/>
  <c r="M13" i="7"/>
  <c r="H13" i="7"/>
  <c r="D13" i="7"/>
  <c r="Q12" i="7"/>
  <c r="M12" i="7"/>
  <c r="H12" i="7"/>
  <c r="D12" i="7"/>
  <c r="Q11" i="7"/>
  <c r="M11" i="7"/>
  <c r="H11" i="7"/>
  <c r="D11" i="7"/>
  <c r="Q10" i="7"/>
  <c r="M10" i="7"/>
  <c r="H10" i="7"/>
  <c r="D10" i="7"/>
  <c r="Q9" i="7"/>
  <c r="M9" i="7"/>
  <c r="H9" i="7"/>
  <c r="D9" i="7"/>
  <c r="Q8" i="7"/>
  <c r="M8" i="7"/>
  <c r="H8" i="7"/>
  <c r="D8" i="7"/>
  <c r="Q7" i="7"/>
  <c r="M7" i="7"/>
  <c r="H7" i="7"/>
  <c r="D7" i="7"/>
  <c r="Q6" i="7"/>
  <c r="M6" i="7"/>
  <c r="H6" i="7"/>
  <c r="D6" i="7"/>
  <c r="Q5" i="7"/>
  <c r="M5" i="7"/>
  <c r="H5" i="7"/>
  <c r="D5" i="7"/>
  <c r="Q4" i="7"/>
  <c r="M4" i="7"/>
  <c r="H4" i="7"/>
  <c r="D4" i="7"/>
  <c r="Q3" i="7"/>
  <c r="M3" i="7"/>
  <c r="H3" i="7"/>
  <c r="D3" i="7"/>
  <c r="D140" i="7"/>
  <c r="H139" i="7"/>
  <c r="M138" i="7"/>
  <c r="Q136" i="7"/>
  <c r="D136" i="7"/>
  <c r="H135" i="7"/>
  <c r="M134" i="7"/>
  <c r="Q132" i="7"/>
  <c r="D132" i="7"/>
  <c r="H131" i="7"/>
  <c r="M130" i="7"/>
  <c r="Q128" i="7"/>
  <c r="D128" i="7"/>
  <c r="H127" i="7"/>
  <c r="M126" i="7"/>
  <c r="Q124" i="7"/>
  <c r="D124" i="7"/>
  <c r="H123" i="7"/>
  <c r="M122" i="7"/>
  <c r="Q120" i="7"/>
  <c r="D120" i="7"/>
  <c r="H119" i="7"/>
  <c r="M118" i="7"/>
  <c r="Q116" i="7"/>
  <c r="D116" i="7"/>
  <c r="H115" i="7"/>
  <c r="M114" i="7"/>
  <c r="Q112" i="7"/>
  <c r="D112" i="7"/>
  <c r="H111" i="7"/>
  <c r="M110" i="7"/>
  <c r="Q108" i="7"/>
  <c r="D108" i="7"/>
  <c r="H107" i="7"/>
  <c r="Q106" i="7"/>
  <c r="K106" i="7"/>
  <c r="B106" i="7"/>
  <c r="M105" i="7"/>
  <c r="D105" i="7"/>
  <c r="F104" i="7"/>
  <c r="H103" i="7"/>
  <c r="Q102" i="7"/>
  <c r="K102" i="7"/>
  <c r="B102" i="7"/>
  <c r="M101" i="7"/>
  <c r="D101" i="7"/>
  <c r="F100" i="7"/>
  <c r="H99" i="7"/>
  <c r="Q98" i="7"/>
  <c r="K98" i="7"/>
  <c r="B98" i="7"/>
  <c r="M97" i="7"/>
  <c r="D97" i="7"/>
  <c r="F96" i="7"/>
  <c r="H95" i="7"/>
  <c r="Q94" i="7"/>
  <c r="K94" i="7"/>
  <c r="B94" i="7"/>
  <c r="M93" i="7"/>
  <c r="D93" i="7"/>
  <c r="F92" i="7"/>
  <c r="H91" i="7"/>
  <c r="Q90" i="7"/>
  <c r="K90" i="7"/>
  <c r="B90" i="7"/>
  <c r="M89" i="7"/>
  <c r="D89" i="7"/>
  <c r="F88" i="7"/>
  <c r="H87" i="7"/>
  <c r="C87" i="7"/>
  <c r="G86" i="7"/>
  <c r="B86" i="7"/>
  <c r="N85" i="7"/>
  <c r="G85" i="7"/>
  <c r="B85" i="7"/>
  <c r="N84" i="7"/>
  <c r="G84" i="7"/>
  <c r="B84" i="7"/>
  <c r="N83" i="7"/>
  <c r="G83" i="7"/>
  <c r="B83" i="7"/>
  <c r="N82" i="7"/>
  <c r="G82" i="7"/>
  <c r="B82" i="7"/>
  <c r="N81" i="7"/>
  <c r="G81" i="7"/>
  <c r="B81" i="7"/>
  <c r="N80" i="7"/>
  <c r="G80" i="7"/>
  <c r="B80" i="7"/>
  <c r="N79" i="7"/>
  <c r="G79" i="7"/>
  <c r="B79" i="7"/>
  <c r="N78" i="7"/>
  <c r="G78" i="7"/>
  <c r="B78" i="7"/>
  <c r="N77" i="7"/>
  <c r="G77" i="7"/>
  <c r="B77" i="7"/>
  <c r="N76" i="7"/>
  <c r="G76" i="7"/>
  <c r="C76" i="7"/>
  <c r="L75" i="7"/>
  <c r="G75" i="7"/>
  <c r="C75" i="7"/>
  <c r="K74" i="7"/>
  <c r="G74" i="7"/>
  <c r="C74" i="7"/>
  <c r="L73" i="7"/>
  <c r="G73" i="7"/>
  <c r="C73" i="7"/>
  <c r="L72" i="7"/>
  <c r="G72" i="7"/>
  <c r="C72" i="7"/>
  <c r="L71" i="7"/>
  <c r="G71" i="7"/>
  <c r="C71" i="7"/>
  <c r="L70" i="7"/>
  <c r="G70" i="7"/>
  <c r="C70" i="7"/>
  <c r="L69" i="7"/>
  <c r="G69" i="7"/>
  <c r="C69" i="7"/>
  <c r="L68" i="7"/>
  <c r="G68" i="7"/>
  <c r="C68" i="7"/>
  <c r="L67" i="7"/>
  <c r="G67" i="7"/>
  <c r="C67" i="7"/>
  <c r="L66" i="7"/>
  <c r="G66" i="7"/>
  <c r="C66" i="7"/>
  <c r="L65" i="7"/>
  <c r="G65" i="7"/>
  <c r="C65" i="7"/>
  <c r="L64" i="7"/>
  <c r="G64" i="7"/>
  <c r="C64" i="7"/>
  <c r="L63" i="7"/>
  <c r="G63" i="7"/>
  <c r="C63" i="7"/>
  <c r="L62" i="7"/>
  <c r="G62" i="7"/>
  <c r="C62" i="7"/>
  <c r="L61" i="7"/>
  <c r="G61" i="7"/>
  <c r="C61" i="7"/>
  <c r="L60" i="7"/>
  <c r="G60" i="7"/>
  <c r="C60" i="7"/>
  <c r="L59" i="7"/>
  <c r="G59" i="7"/>
  <c r="C59" i="7"/>
  <c r="L58" i="7"/>
  <c r="G58" i="7"/>
  <c r="C58" i="7"/>
  <c r="L57" i="7"/>
  <c r="G57" i="7"/>
  <c r="C57" i="7"/>
  <c r="L56" i="7"/>
  <c r="G56" i="7"/>
  <c r="C56" i="7"/>
  <c r="L55" i="7"/>
  <c r="G55" i="7"/>
  <c r="C55" i="7"/>
  <c r="L54" i="7"/>
  <c r="G54" i="7"/>
  <c r="C54" i="7"/>
  <c r="L53" i="7"/>
  <c r="G53" i="7"/>
  <c r="C53" i="7"/>
  <c r="L52" i="7"/>
  <c r="G52" i="7"/>
  <c r="C52" i="7"/>
  <c r="L51" i="7"/>
  <c r="G51" i="7"/>
  <c r="C51" i="7"/>
  <c r="L50" i="7"/>
  <c r="G50" i="7"/>
  <c r="C50" i="7"/>
  <c r="L49" i="7"/>
  <c r="G49" i="7"/>
  <c r="C49" i="7"/>
  <c r="L48" i="7"/>
  <c r="G48" i="7"/>
  <c r="C48" i="7"/>
  <c r="L47" i="7"/>
  <c r="G47" i="7"/>
  <c r="C47" i="7"/>
  <c r="L46" i="7"/>
  <c r="G46" i="7"/>
  <c r="C46" i="7"/>
  <c r="L45" i="7"/>
  <c r="G45" i="7"/>
  <c r="C45" i="7"/>
  <c r="L44" i="7"/>
  <c r="G44" i="7"/>
  <c r="C44" i="7"/>
  <c r="L43" i="7"/>
  <c r="G43" i="7"/>
  <c r="C43" i="7"/>
  <c r="L42" i="7"/>
  <c r="G42" i="7"/>
  <c r="C42" i="7"/>
  <c r="L41" i="7"/>
  <c r="G41" i="7"/>
  <c r="C41" i="7"/>
  <c r="L40" i="7"/>
  <c r="G40" i="7"/>
  <c r="C40" i="7"/>
  <c r="L39" i="7"/>
  <c r="G39" i="7"/>
  <c r="C39" i="7"/>
  <c r="L38" i="7"/>
  <c r="G38" i="7"/>
  <c r="C38" i="7"/>
  <c r="L37" i="7"/>
  <c r="G37" i="7"/>
  <c r="C37" i="7"/>
  <c r="L36" i="7"/>
  <c r="G36" i="7"/>
  <c r="C36" i="7"/>
  <c r="L35" i="7"/>
  <c r="G35" i="7"/>
  <c r="C35" i="7"/>
  <c r="L34" i="7"/>
  <c r="G34" i="7"/>
  <c r="C34" i="7"/>
  <c r="L33" i="7"/>
  <c r="G33" i="7"/>
  <c r="C33" i="7"/>
  <c r="L32" i="7"/>
  <c r="G32" i="7"/>
  <c r="C32" i="7"/>
  <c r="L31" i="7"/>
  <c r="G31" i="7"/>
  <c r="C31" i="7"/>
  <c r="L30" i="7"/>
  <c r="G30" i="7"/>
  <c r="C30" i="7"/>
  <c r="L29" i="7"/>
  <c r="G29" i="7"/>
  <c r="C29" i="7"/>
  <c r="L28" i="7"/>
  <c r="G28" i="7"/>
  <c r="C28" i="7"/>
  <c r="L27" i="7"/>
  <c r="G27" i="7"/>
  <c r="C27" i="7"/>
  <c r="L26" i="7"/>
  <c r="G26" i="7"/>
  <c r="C26" i="7"/>
  <c r="L25" i="7"/>
  <c r="G25" i="7"/>
  <c r="C25" i="7"/>
  <c r="L24" i="7"/>
  <c r="G24" i="7"/>
  <c r="C24" i="7"/>
  <c r="L23" i="7"/>
  <c r="G23" i="7"/>
  <c r="C23" i="7"/>
  <c r="L22" i="7"/>
  <c r="G22" i="7"/>
  <c r="C22" i="7"/>
  <c r="L21" i="7"/>
  <c r="G21" i="7"/>
  <c r="C21" i="7"/>
  <c r="L20" i="7"/>
  <c r="G20" i="7"/>
  <c r="C20" i="7"/>
  <c r="L19" i="7"/>
  <c r="G19" i="7"/>
  <c r="C19" i="7"/>
  <c r="L18" i="7"/>
  <c r="G18" i="7"/>
  <c r="C18" i="7"/>
  <c r="L17" i="7"/>
  <c r="G17" i="7"/>
  <c r="C17" i="7"/>
  <c r="L16" i="7"/>
  <c r="G16" i="7"/>
  <c r="C16" i="7"/>
  <c r="L15" i="7"/>
  <c r="G15" i="7"/>
  <c r="C15" i="7"/>
  <c r="L14" i="7"/>
  <c r="G14" i="7"/>
  <c r="C14" i="7"/>
  <c r="L13" i="7"/>
  <c r="G13" i="7"/>
  <c r="C13" i="7"/>
  <c r="L12" i="7"/>
  <c r="G12" i="7"/>
  <c r="C12" i="7"/>
  <c r="L11" i="7"/>
  <c r="G11" i="7"/>
  <c r="C11" i="7"/>
  <c r="L10" i="7"/>
  <c r="G10" i="7"/>
  <c r="C10" i="7"/>
  <c r="L9" i="7"/>
  <c r="G9" i="7"/>
  <c r="C9" i="7"/>
  <c r="L8" i="7"/>
  <c r="G8" i="7"/>
  <c r="C8" i="7"/>
  <c r="L7" i="7"/>
  <c r="G7" i="7"/>
  <c r="C7" i="7"/>
  <c r="L6" i="7"/>
  <c r="G6" i="7"/>
  <c r="C6" i="7"/>
  <c r="L5" i="7"/>
  <c r="G5" i="7"/>
  <c r="C5" i="7"/>
  <c r="L4" i="7"/>
  <c r="G4" i="7"/>
  <c r="C4" i="7"/>
  <c r="L3" i="7"/>
  <c r="G3" i="7"/>
  <c r="C3" i="7"/>
  <c r="E1030" i="6" l="1"/>
  <c r="E1038" i="6"/>
  <c r="E1046" i="6"/>
  <c r="E1054" i="6"/>
  <c r="E1062" i="6"/>
  <c r="E1070" i="6"/>
  <c r="E1078" i="6"/>
  <c r="E604" i="6"/>
  <c r="E606" i="6"/>
  <c r="E608" i="6"/>
  <c r="E610" i="6"/>
  <c r="E612" i="6"/>
  <c r="E614" i="6"/>
  <c r="E616" i="6"/>
  <c r="E618" i="6"/>
  <c r="E620" i="6"/>
  <c r="E622" i="6"/>
  <c r="E624" i="6"/>
  <c r="E626" i="6"/>
  <c r="E628" i="6"/>
  <c r="E630" i="6"/>
  <c r="E632" i="6"/>
  <c r="E634" i="6"/>
  <c r="E636" i="6"/>
  <c r="E638" i="6"/>
  <c r="E640" i="6"/>
  <c r="E642" i="6"/>
  <c r="E644" i="6"/>
  <c r="E646" i="6"/>
  <c r="E648" i="6"/>
  <c r="E650" i="6"/>
  <c r="E652" i="6"/>
  <c r="E654" i="6"/>
  <c r="E656" i="6"/>
  <c r="E658" i="6"/>
  <c r="E660" i="6"/>
  <c r="E662" i="6"/>
  <c r="E664" i="6"/>
  <c r="E666" i="6"/>
  <c r="E668" i="6"/>
  <c r="E670" i="6"/>
  <c r="E672" i="6"/>
  <c r="E674" i="6"/>
  <c r="E676" i="6"/>
  <c r="E678" i="6"/>
  <c r="E680" i="6"/>
  <c r="E682" i="6"/>
  <c r="E684" i="6"/>
  <c r="E686" i="6"/>
  <c r="E688" i="6"/>
  <c r="E690" i="6"/>
  <c r="E692" i="6"/>
  <c r="E694" i="6"/>
  <c r="E696" i="6"/>
  <c r="E698" i="6"/>
  <c r="E700" i="6"/>
  <c r="E702" i="6"/>
  <c r="E704" i="6"/>
  <c r="E706" i="6"/>
  <c r="E708" i="6"/>
  <c r="E710" i="6"/>
  <c r="E712" i="6"/>
  <c r="E714" i="6"/>
  <c r="E716" i="6"/>
  <c r="E718" i="6"/>
  <c r="E720" i="6"/>
  <c r="E722" i="6"/>
  <c r="E724" i="6"/>
  <c r="E726" i="6"/>
  <c r="E728" i="6"/>
  <c r="E730" i="6"/>
  <c r="E732" i="6"/>
  <c r="E734" i="6"/>
  <c r="E736" i="6"/>
  <c r="E738" i="6"/>
  <c r="E740" i="6"/>
  <c r="E742" i="6"/>
  <c r="E744" i="6"/>
  <c r="E746" i="6"/>
  <c r="E748" i="6"/>
  <c r="E750" i="6"/>
  <c r="E752" i="6"/>
  <c r="E754" i="6"/>
  <c r="E756" i="6"/>
  <c r="E758" i="6"/>
  <c r="E760" i="6"/>
  <c r="E762" i="6"/>
  <c r="E764" i="6"/>
  <c r="E766" i="6"/>
  <c r="E768" i="6"/>
  <c r="E770" i="6"/>
  <c r="E772" i="6"/>
  <c r="E774" i="6"/>
  <c r="E776" i="6"/>
  <c r="E778" i="6"/>
  <c r="E780" i="6"/>
  <c r="E782" i="6"/>
  <c r="E784" i="6"/>
  <c r="E786" i="6"/>
  <c r="E788" i="6"/>
  <c r="E790" i="6"/>
  <c r="E792" i="6"/>
  <c r="E794" i="6"/>
  <c r="E796" i="6"/>
  <c r="E798" i="6"/>
  <c r="E800" i="6"/>
  <c r="E802" i="6"/>
  <c r="E804" i="6"/>
  <c r="E806" i="6"/>
  <c r="E808" i="6"/>
  <c r="E810" i="6"/>
  <c r="E812" i="6"/>
  <c r="E814" i="6"/>
  <c r="E816" i="6"/>
  <c r="E818" i="6"/>
  <c r="E820" i="6"/>
  <c r="E822" i="6"/>
  <c r="E824" i="6"/>
  <c r="E826" i="6"/>
  <c r="E828" i="6"/>
  <c r="E830" i="6"/>
  <c r="E832" i="6"/>
  <c r="E834" i="6"/>
  <c r="E836" i="6"/>
  <c r="E838" i="6"/>
  <c r="E840" i="6"/>
  <c r="E842" i="6"/>
  <c r="E844" i="6"/>
  <c r="E846" i="6"/>
  <c r="E848" i="6"/>
  <c r="E850" i="6"/>
  <c r="E852" i="6"/>
  <c r="E854" i="6"/>
  <c r="E856" i="6"/>
  <c r="E858" i="6"/>
  <c r="E860" i="6"/>
  <c r="E862" i="6"/>
  <c r="E864" i="6"/>
  <c r="E866" i="6"/>
  <c r="E868" i="6"/>
  <c r="E870" i="6"/>
  <c r="E872" i="6"/>
  <c r="E874" i="6"/>
  <c r="E876" i="6"/>
  <c r="E878" i="6"/>
  <c r="E880" i="6"/>
  <c r="E882" i="6"/>
  <c r="E884" i="6"/>
  <c r="E886" i="6"/>
  <c r="E888" i="6"/>
  <c r="E890" i="6"/>
  <c r="E892" i="6"/>
  <c r="E894" i="6"/>
  <c r="E896" i="6"/>
  <c r="E898" i="6"/>
  <c r="E900" i="6"/>
  <c r="E902" i="6"/>
  <c r="E904" i="6"/>
  <c r="E906" i="6"/>
  <c r="E908" i="6"/>
  <c r="E910" i="6"/>
  <c r="E912" i="6"/>
  <c r="E914" i="6"/>
  <c r="E916" i="6"/>
  <c r="E918" i="6"/>
  <c r="E920" i="6"/>
  <c r="E922" i="6"/>
  <c r="E924" i="6"/>
  <c r="E926" i="6"/>
  <c r="E928" i="6"/>
  <c r="E930" i="6"/>
  <c r="E932" i="6"/>
  <c r="E934" i="6"/>
  <c r="E936" i="6"/>
  <c r="E938" i="6"/>
  <c r="E940" i="6"/>
  <c r="E942" i="6"/>
  <c r="E944" i="6"/>
  <c r="E946" i="6"/>
  <c r="E948" i="6"/>
  <c r="E950" i="6"/>
  <c r="E952" i="6"/>
  <c r="E954" i="6"/>
  <c r="E956" i="6"/>
  <c r="E958" i="6"/>
  <c r="E960" i="6"/>
  <c r="E962" i="6"/>
  <c r="E964" i="6"/>
  <c r="E966" i="6"/>
  <c r="E968" i="6"/>
  <c r="E970" i="6"/>
  <c r="E972" i="6"/>
  <c r="E974" i="6"/>
  <c r="E976" i="6"/>
  <c r="E978" i="6"/>
  <c r="E980" i="6"/>
  <c r="E982" i="6"/>
  <c r="E984" i="6"/>
  <c r="E986" i="6"/>
  <c r="E988" i="6"/>
  <c r="E990" i="6"/>
  <c r="E992" i="6"/>
  <c r="E994" i="6"/>
  <c r="E996" i="6"/>
  <c r="E998" i="6"/>
  <c r="E1000" i="6"/>
  <c r="E1002" i="6"/>
  <c r="E1004" i="6"/>
  <c r="E1006" i="6"/>
  <c r="E1008" i="6"/>
  <c r="E1010" i="6"/>
  <c r="E1012" i="6"/>
  <c r="E1014" i="6"/>
  <c r="E1016" i="6"/>
  <c r="E1018" i="6"/>
  <c r="E1020" i="6"/>
  <c r="E1022" i="6"/>
  <c r="E1024" i="6"/>
  <c r="E1026" i="6"/>
  <c r="E1028" i="6"/>
  <c r="E1036" i="6"/>
  <c r="E1044" i="6"/>
  <c r="E1052" i="6"/>
  <c r="E1060" i="6"/>
  <c r="E1068" i="6"/>
  <c r="E1076" i="6"/>
  <c r="E1706" i="6"/>
  <c r="E1710" i="6"/>
  <c r="E1714" i="6"/>
  <c r="E1718" i="6"/>
  <c r="E1722" i="6"/>
  <c r="E1726" i="6"/>
  <c r="E1730" i="6"/>
  <c r="E1734" i="6"/>
  <c r="E1738" i="6"/>
  <c r="E1742" i="6"/>
  <c r="E1746" i="6"/>
  <c r="E1750" i="6"/>
  <c r="E1754" i="6"/>
  <c r="E1758" i="6"/>
  <c r="E1762" i="6"/>
  <c r="E1766" i="6"/>
  <c r="E1770" i="6"/>
  <c r="E1774" i="6"/>
  <c r="E1778" i="6"/>
  <c r="E1782" i="6"/>
  <c r="E1786" i="6"/>
  <c r="E1790" i="6"/>
  <c r="E1794" i="6"/>
  <c r="E1798" i="6"/>
  <c r="E1802" i="6"/>
  <c r="E1806" i="6"/>
  <c r="E1810" i="6"/>
  <c r="E1814" i="6"/>
  <c r="E1818" i="6"/>
  <c r="E1822" i="6"/>
  <c r="E1826" i="6"/>
  <c r="E1827" i="6"/>
  <c r="E1831" i="6"/>
  <c r="E1835" i="6"/>
  <c r="E1839" i="6"/>
  <c r="E1843" i="6"/>
  <c r="E1847" i="6"/>
  <c r="E1851" i="6"/>
  <c r="E1855" i="6"/>
  <c r="E1859" i="6"/>
  <c r="E1863" i="6"/>
  <c r="E1867" i="6"/>
  <c r="E1873" i="6"/>
  <c r="E1876" i="6"/>
  <c r="E1881" i="6"/>
  <c r="E1884" i="6"/>
  <c r="E1889" i="6"/>
  <c r="E1892" i="6"/>
  <c r="E1897" i="6"/>
  <c r="E1900" i="6"/>
  <c r="E1905" i="6"/>
  <c r="E1031" i="6"/>
  <c r="E1033" i="6"/>
  <c r="E1035" i="6"/>
  <c r="E1037" i="6"/>
  <c r="E1039" i="6"/>
  <c r="E1041" i="6"/>
  <c r="E1043" i="6"/>
  <c r="E1045" i="6"/>
  <c r="E1047" i="6"/>
  <c r="E1049" i="6"/>
  <c r="E1051" i="6"/>
  <c r="E1053" i="6"/>
  <c r="E1055" i="6"/>
  <c r="E1057" i="6"/>
  <c r="E1059" i="6"/>
  <c r="E1061" i="6"/>
  <c r="E1063" i="6"/>
  <c r="E1065" i="6"/>
  <c r="E1067" i="6"/>
  <c r="E1069" i="6"/>
  <c r="E1071" i="6"/>
  <c r="E1073" i="6"/>
  <c r="E1075" i="6"/>
  <c r="E1077" i="6"/>
  <c r="E1079" i="6"/>
  <c r="E1081" i="6"/>
  <c r="E1083" i="6"/>
  <c r="E1085" i="6"/>
  <c r="E1087" i="6"/>
  <c r="E1089" i="6"/>
  <c r="E1091" i="6"/>
  <c r="E1093" i="6"/>
  <c r="E1095" i="6"/>
  <c r="E1097" i="6"/>
  <c r="E1099" i="6"/>
  <c r="E1101" i="6"/>
  <c r="E1103" i="6"/>
  <c r="E1105" i="6"/>
  <c r="E1107" i="6"/>
  <c r="E1109" i="6"/>
  <c r="E1111" i="6"/>
  <c r="E1113" i="6"/>
  <c r="E1115" i="6"/>
  <c r="E1117" i="6"/>
  <c r="E1119" i="6"/>
  <c r="E1121" i="6"/>
  <c r="E1123" i="6"/>
  <c r="E1125" i="6"/>
  <c r="E1127" i="6"/>
  <c r="E1129" i="6"/>
  <c r="E1131" i="6"/>
  <c r="E1133" i="6"/>
  <c r="E1135" i="6"/>
  <c r="E1137" i="6"/>
  <c r="E1139" i="6"/>
  <c r="E1141" i="6"/>
  <c r="E1143" i="6"/>
  <c r="E1145" i="6"/>
  <c r="E1147" i="6"/>
  <c r="E1149" i="6"/>
  <c r="E1151" i="6"/>
  <c r="E1153" i="6"/>
  <c r="E1155" i="6"/>
  <c r="E1157" i="6"/>
  <c r="E1159" i="6"/>
  <c r="E1161" i="6"/>
  <c r="E1163" i="6"/>
  <c r="E1165" i="6"/>
  <c r="E1167" i="6"/>
  <c r="E1169" i="6"/>
  <c r="E1171" i="6"/>
  <c r="E1173" i="6"/>
  <c r="E1175" i="6"/>
  <c r="E1177" i="6"/>
  <c r="E1179" i="6"/>
  <c r="E1181" i="6"/>
  <c r="E1183" i="6"/>
  <c r="E1185" i="6"/>
  <c r="E1187" i="6"/>
  <c r="E1189" i="6"/>
  <c r="E1191" i="6"/>
  <c r="E1193" i="6"/>
  <c r="E1195" i="6"/>
  <c r="E1197" i="6"/>
  <c r="E1199" i="6"/>
  <c r="E1201" i="6"/>
  <c r="E1203" i="6"/>
  <c r="E1205" i="6"/>
  <c r="E1207" i="6"/>
  <c r="E1209" i="6"/>
  <c r="E1211" i="6"/>
  <c r="E1213" i="6"/>
  <c r="E1215" i="6"/>
  <c r="E1217" i="6"/>
  <c r="E1219" i="6"/>
  <c r="E1221" i="6"/>
  <c r="E1223" i="6"/>
  <c r="E1225" i="6"/>
  <c r="E1227" i="6"/>
  <c r="E1229" i="6"/>
  <c r="E1231" i="6"/>
  <c r="E1233" i="6"/>
  <c r="E1235" i="6"/>
  <c r="E1237" i="6"/>
  <c r="E1239" i="6"/>
  <c r="E1241" i="6"/>
  <c r="E1243" i="6"/>
  <c r="E1245" i="6"/>
  <c r="E1247" i="6"/>
  <c r="E1249" i="6"/>
  <c r="E1251" i="6"/>
  <c r="E1253" i="6"/>
  <c r="E1255" i="6"/>
  <c r="E1257" i="6"/>
  <c r="E1259" i="6"/>
  <c r="E1261" i="6"/>
  <c r="E1263" i="6"/>
  <c r="E1265" i="6"/>
  <c r="E1267" i="6"/>
  <c r="E1269" i="6"/>
  <c r="E1271" i="6"/>
  <c r="E1273" i="6"/>
  <c r="E1275" i="6"/>
  <c r="E1277" i="6"/>
  <c r="E1279" i="6"/>
  <c r="E1281" i="6"/>
  <c r="E1283" i="6"/>
  <c r="E1285" i="6"/>
  <c r="E1287" i="6"/>
  <c r="E1289" i="6"/>
  <c r="E1291" i="6"/>
  <c r="E1293" i="6"/>
  <c r="E1295" i="6"/>
  <c r="E1297" i="6"/>
  <c r="E1299" i="6"/>
  <c r="E1301" i="6"/>
  <c r="E1303" i="6"/>
  <c r="E1305" i="6"/>
  <c r="E1307" i="6"/>
  <c r="E1309" i="6"/>
  <c r="E1311" i="6"/>
  <c r="E1313" i="6"/>
  <c r="E1315" i="6"/>
  <c r="E1317" i="6"/>
  <c r="E1319" i="6"/>
  <c r="E1321" i="6"/>
  <c r="E1323" i="6"/>
  <c r="E1325" i="6"/>
  <c r="E1327" i="6"/>
  <c r="E1329" i="6"/>
  <c r="E1331" i="6"/>
  <c r="E1333" i="6"/>
  <c r="E1335" i="6"/>
  <c r="E1337" i="6"/>
  <c r="E1339" i="6"/>
  <c r="E1341" i="6"/>
  <c r="E1343" i="6"/>
  <c r="E1345" i="6"/>
  <c r="E1347" i="6"/>
  <c r="E1349" i="6"/>
  <c r="E1351" i="6"/>
  <c r="E1353" i="6"/>
  <c r="E1355" i="6"/>
  <c r="E1357" i="6"/>
  <c r="E1359" i="6"/>
  <c r="E1361" i="6"/>
  <c r="E1363" i="6"/>
  <c r="E1365" i="6"/>
  <c r="E1367" i="6"/>
  <c r="E1369" i="6"/>
  <c r="E1371" i="6"/>
  <c r="E1373" i="6"/>
  <c r="E1375" i="6"/>
  <c r="E1377" i="6"/>
  <c r="E1379" i="6"/>
  <c r="E1381" i="6"/>
  <c r="E1383" i="6"/>
  <c r="E1385" i="6"/>
  <c r="E1387" i="6"/>
  <c r="E1389" i="6"/>
  <c r="E1391" i="6"/>
  <c r="E1393" i="6"/>
  <c r="E1395" i="6"/>
  <c r="E1397" i="6"/>
  <c r="E1399" i="6"/>
  <c r="E1401" i="6"/>
  <c r="E1403" i="6"/>
  <c r="E1405" i="6"/>
  <c r="E1407" i="6"/>
  <c r="E1409" i="6"/>
  <c r="E1411" i="6"/>
  <c r="E1413" i="6"/>
  <c r="E1415" i="6"/>
  <c r="E1417" i="6"/>
  <c r="E1419" i="6"/>
  <c r="E1421" i="6"/>
  <c r="E1423" i="6"/>
  <c r="E1425" i="6"/>
  <c r="E1427" i="6"/>
  <c r="E1429" i="6"/>
  <c r="E1431" i="6"/>
  <c r="E1433" i="6"/>
  <c r="E1435" i="6"/>
  <c r="E1437" i="6"/>
  <c r="E1439" i="6"/>
  <c r="E1441" i="6"/>
  <c r="E1443" i="6"/>
  <c r="E1445" i="6"/>
  <c r="E1447" i="6"/>
  <c r="E1449" i="6"/>
  <c r="E1451" i="6"/>
  <c r="E1453" i="6"/>
  <c r="E1455" i="6"/>
  <c r="E1457" i="6"/>
  <c r="E1459" i="6"/>
  <c r="E1461" i="6"/>
  <c r="E1463" i="6"/>
  <c r="E1465" i="6"/>
  <c r="E1467" i="6"/>
  <c r="E1469" i="6"/>
  <c r="E1471" i="6"/>
  <c r="E1473" i="6"/>
  <c r="E1475" i="6"/>
  <c r="E1477" i="6"/>
  <c r="E1479" i="6"/>
  <c r="E1481" i="6"/>
  <c r="E1483" i="6"/>
  <c r="E1485" i="6"/>
  <c r="E1487" i="6"/>
  <c r="E1489" i="6"/>
  <c r="E1491" i="6"/>
  <c r="E1493" i="6"/>
  <c r="E1495" i="6"/>
  <c r="E1497" i="6"/>
  <c r="E1499" i="6"/>
  <c r="E1501" i="6"/>
  <c r="E1503" i="6"/>
  <c r="E1505" i="6"/>
  <c r="E1507" i="6"/>
  <c r="E1509" i="6"/>
  <c r="E1511" i="6"/>
  <c r="E1513" i="6"/>
  <c r="E1515" i="6"/>
  <c r="E1517" i="6"/>
  <c r="E1519" i="6"/>
  <c r="E1521" i="6"/>
  <c r="E1523" i="6"/>
  <c r="E1525" i="6"/>
  <c r="E1527" i="6"/>
  <c r="E1531" i="6"/>
  <c r="E1708" i="6"/>
  <c r="E1712" i="6"/>
  <c r="E1716" i="6"/>
  <c r="E1720" i="6"/>
  <c r="E1724" i="6"/>
  <c r="E1728" i="6"/>
  <c r="E1732" i="6"/>
  <c r="E1736" i="6"/>
  <c r="E1740" i="6"/>
  <c r="E1744" i="6"/>
  <c r="E1748" i="6"/>
  <c r="E1752" i="6"/>
  <c r="E1756" i="6"/>
  <c r="E1760" i="6"/>
  <c r="E1764" i="6"/>
  <c r="E1768" i="6"/>
  <c r="E1772" i="6"/>
  <c r="E1776" i="6"/>
  <c r="E1780" i="6"/>
  <c r="E1784" i="6"/>
  <c r="E1788" i="6"/>
  <c r="E1792" i="6"/>
  <c r="E1796" i="6"/>
  <c r="E1800" i="6"/>
  <c r="E1804" i="6"/>
  <c r="E1808" i="6"/>
  <c r="E1812" i="6"/>
  <c r="E1816" i="6"/>
  <c r="E1820" i="6"/>
  <c r="E1824" i="6"/>
  <c r="E1829" i="6"/>
  <c r="E1833" i="6"/>
  <c r="E1837" i="6"/>
  <c r="E1841" i="6"/>
  <c r="E1845" i="6"/>
  <c r="E1849" i="6"/>
  <c r="E1853" i="6"/>
  <c r="E1857" i="6"/>
  <c r="E1861" i="6"/>
  <c r="E1865" i="6"/>
  <c r="E1869" i="6"/>
  <c r="E1872" i="6"/>
  <c r="E1877" i="6"/>
  <c r="E1880" i="6"/>
  <c r="E1920" i="6"/>
  <c r="E1924" i="6"/>
  <c r="E1928" i="6"/>
  <c r="E1932" i="6"/>
  <c r="E1936" i="6"/>
  <c r="E1940" i="6"/>
  <c r="E1944" i="6"/>
  <c r="E1948" i="6"/>
  <c r="E1952" i="6"/>
  <c r="E1956" i="6"/>
  <c r="E1960" i="6"/>
  <c r="E1964" i="6"/>
  <c r="E1968" i="6"/>
  <c r="E1972" i="6"/>
  <c r="E1976" i="6"/>
  <c r="E1980" i="6"/>
  <c r="E1984" i="6"/>
  <c r="E1988" i="6"/>
  <c r="E1992" i="6"/>
  <c r="E1996" i="6"/>
  <c r="E2000" i="6"/>
  <c r="E2004" i="6"/>
  <c r="E2008" i="6"/>
  <c r="E2012" i="6"/>
  <c r="E2016" i="6"/>
  <c r="E2020" i="6"/>
  <c r="E2024" i="6"/>
  <c r="E2028" i="6"/>
  <c r="E2032" i="6"/>
  <c r="E2036" i="6"/>
  <c r="E2040" i="6"/>
  <c r="E2044" i="6"/>
  <c r="E2048" i="6"/>
  <c r="E2052" i="6"/>
  <c r="E2056" i="6"/>
  <c r="E2060" i="6"/>
  <c r="E2064" i="6"/>
  <c r="E2068" i="6"/>
  <c r="E2072" i="6"/>
  <c r="E2076" i="6"/>
  <c r="E2080" i="6"/>
  <c r="E2084" i="6"/>
  <c r="E2088" i="6"/>
  <c r="E2092" i="6"/>
  <c r="E2096" i="6"/>
  <c r="E2100" i="6"/>
  <c r="E2104" i="6"/>
  <c r="E2108" i="6"/>
  <c r="E2112" i="6"/>
  <c r="E2116" i="6"/>
  <c r="E2120" i="6"/>
  <c r="E2124" i="6"/>
  <c r="E2128" i="6"/>
  <c r="E2132" i="6"/>
  <c r="E2136" i="6"/>
  <c r="E2140" i="6"/>
  <c r="E2144" i="6"/>
  <c r="E2148" i="6"/>
  <c r="E2152" i="6"/>
  <c r="E2156" i="6"/>
  <c r="E2160" i="6"/>
  <c r="E2164" i="6"/>
  <c r="E2168" i="6"/>
  <c r="E2172" i="6"/>
  <c r="E1871" i="6"/>
  <c r="E1875" i="6"/>
  <c r="E1879" i="6"/>
  <c r="E1883" i="6"/>
  <c r="E1887" i="6"/>
  <c r="E1891" i="6"/>
  <c r="E1895" i="6"/>
  <c r="E1899" i="6"/>
  <c r="E1903" i="6"/>
  <c r="E1907" i="6"/>
  <c r="E1911" i="6"/>
  <c r="E1915" i="6"/>
  <c r="E1919" i="6"/>
  <c r="E1923" i="6"/>
  <c r="E1927" i="6"/>
  <c r="E1931" i="6"/>
  <c r="E1935" i="6"/>
  <c r="E1939" i="6"/>
  <c r="E1943" i="6"/>
  <c r="E1947" i="6"/>
  <c r="E1951" i="6"/>
  <c r="E1955" i="6"/>
  <c r="E1959" i="6"/>
  <c r="E1963" i="6"/>
  <c r="E1967" i="6"/>
  <c r="E1971" i="6"/>
  <c r="E1975" i="6"/>
  <c r="E1979" i="6"/>
  <c r="E1983" i="6"/>
  <c r="E1987" i="6"/>
  <c r="E1991" i="6"/>
  <c r="E1995" i="6"/>
  <c r="E1999" i="6"/>
  <c r="E2003" i="6"/>
  <c r="E2007" i="6"/>
  <c r="E2011" i="6"/>
  <c r="E2015" i="6"/>
  <c r="E2019" i="6"/>
  <c r="E2023" i="6"/>
  <c r="E2027" i="6"/>
  <c r="E2031" i="6"/>
  <c r="E2035" i="6"/>
  <c r="E2039" i="6"/>
  <c r="E2043" i="6"/>
  <c r="E2047" i="6"/>
  <c r="E2051" i="6"/>
  <c r="E2055" i="6"/>
  <c r="E2059" i="6"/>
  <c r="E2063" i="6"/>
  <c r="E2067" i="6"/>
  <c r="E2071" i="6"/>
  <c r="E2075" i="6"/>
  <c r="E2079" i="6"/>
  <c r="E2083" i="6"/>
  <c r="E2087" i="6"/>
  <c r="E2091" i="6"/>
  <c r="E2095" i="6"/>
  <c r="E2099" i="6"/>
  <c r="E2103" i="6"/>
  <c r="E2107" i="6"/>
  <c r="E2111" i="6"/>
  <c r="E2115" i="6"/>
  <c r="E2119" i="6"/>
  <c r="E2123" i="6"/>
  <c r="E2127" i="6"/>
  <c r="E2131" i="6"/>
  <c r="E2135" i="6"/>
  <c r="E2139" i="6"/>
  <c r="E2143" i="6"/>
  <c r="E2147" i="6"/>
  <c r="E2151" i="6"/>
  <c r="E2155" i="6"/>
  <c r="E2159" i="6"/>
  <c r="E2163" i="6"/>
  <c r="E2167" i="6"/>
  <c r="E2171" i="6"/>
  <c r="E2175" i="6"/>
  <c r="E2177" i="6"/>
  <c r="E3039" i="6"/>
  <c r="E3047" i="6"/>
  <c r="E3003" i="6"/>
  <c r="E3005" i="6"/>
  <c r="E3007" i="6"/>
  <c r="E3009" i="6"/>
  <c r="E3011" i="6"/>
  <c r="E3013" i="6"/>
  <c r="E3015" i="6"/>
  <c r="E3017" i="6"/>
  <c r="E3019" i="6"/>
  <c r="E3021" i="6"/>
  <c r="E3023" i="6"/>
  <c r="E3025" i="6"/>
  <c r="E3027" i="6"/>
  <c r="E3029" i="6"/>
  <c r="E3031" i="6"/>
  <c r="E3033" i="6"/>
  <c r="E3035" i="6"/>
  <c r="E3037" i="6"/>
  <c r="E3045" i="6"/>
  <c r="E3053" i="6"/>
  <c r="E3000" i="6"/>
  <c r="E3002" i="6"/>
  <c r="E3004" i="6"/>
  <c r="E3006" i="6"/>
  <c r="E3008" i="6"/>
  <c r="E3010" i="6"/>
  <c r="E3012" i="6"/>
  <c r="E3014" i="6"/>
  <c r="E3016" i="6"/>
  <c r="E3018" i="6"/>
  <c r="E3055" i="6"/>
  <c r="E3057" i="6"/>
  <c r="E3059" i="6"/>
  <c r="E3061" i="6"/>
  <c r="E3063" i="6"/>
  <c r="E3065" i="6"/>
  <c r="E3067" i="6"/>
  <c r="E3069" i="6"/>
  <c r="E3071" i="6"/>
  <c r="E3073" i="6"/>
  <c r="E3075" i="6"/>
  <c r="E3077" i="6"/>
  <c r="E3079" i="6"/>
  <c r="E3081" i="6"/>
  <c r="E3083" i="6"/>
  <c r="E3085" i="6"/>
  <c r="E3087" i="6"/>
  <c r="E3089" i="6"/>
  <c r="E3091" i="6"/>
  <c r="E3093" i="6"/>
  <c r="E3095" i="6"/>
  <c r="E3097" i="6"/>
  <c r="E3099" i="6"/>
  <c r="E3101" i="6"/>
  <c r="E3103" i="6"/>
  <c r="E3105" i="6"/>
  <c r="E3107" i="6"/>
  <c r="E3109" i="6"/>
  <c r="E3111" i="6"/>
  <c r="E3113" i="6"/>
  <c r="E3115" i="6"/>
  <c r="E3117" i="6"/>
  <c r="E3119" i="6"/>
  <c r="E3121" i="6"/>
  <c r="E3123" i="6"/>
  <c r="E3125" i="6"/>
  <c r="E3127" i="6"/>
  <c r="E3129" i="6"/>
  <c r="E3131" i="6"/>
  <c r="E3133" i="6"/>
  <c r="E3135" i="6"/>
  <c r="E3137" i="6"/>
  <c r="E3139" i="6"/>
  <c r="E3141" i="6"/>
  <c r="E3143" i="6"/>
  <c r="E3145" i="6"/>
  <c r="E3147" i="6"/>
  <c r="E3149" i="6"/>
  <c r="E3151" i="6"/>
  <c r="E3153" i="6"/>
  <c r="E3155" i="6"/>
  <c r="E3157" i="6"/>
  <c r="E3159" i="6"/>
  <c r="E3161" i="6"/>
  <c r="E3163" i="6"/>
  <c r="E3165" i="6"/>
  <c r="E3167" i="6"/>
  <c r="E3169" i="6"/>
  <c r="E3171" i="6"/>
  <c r="E3173" i="6"/>
  <c r="E3175" i="6"/>
  <c r="E3177" i="6"/>
  <c r="E3179" i="6"/>
  <c r="E3181" i="6"/>
  <c r="E3183" i="6"/>
  <c r="E3185" i="6"/>
  <c r="E3187" i="6"/>
  <c r="E3189" i="6"/>
  <c r="E3191" i="6"/>
  <c r="E3193" i="6"/>
  <c r="E3195" i="6"/>
  <c r="E3197" i="6"/>
  <c r="E3199" i="6"/>
  <c r="E3201" i="6"/>
  <c r="E3203" i="6"/>
  <c r="E3205" i="6"/>
  <c r="E3040" i="6"/>
  <c r="E3042" i="6"/>
  <c r="E3044" i="6"/>
  <c r="E3046" i="6"/>
  <c r="E3048" i="6"/>
  <c r="E3050" i="6"/>
  <c r="E3052" i="6"/>
  <c r="E3054" i="6"/>
  <c r="E3056" i="6"/>
  <c r="E3058" i="6"/>
  <c r="E3060" i="6"/>
  <c r="E3062" i="6"/>
  <c r="E3064" i="6"/>
  <c r="E3066" i="6"/>
  <c r="E3068" i="6"/>
  <c r="E3070" i="6"/>
  <c r="E3072" i="6"/>
  <c r="E3074" i="6"/>
  <c r="E3076" i="6"/>
  <c r="E3078" i="6"/>
  <c r="E3080" i="6"/>
  <c r="E3082" i="6"/>
  <c r="E3084" i="6"/>
  <c r="E3086" i="6"/>
  <c r="E3088" i="6"/>
  <c r="E3090" i="6"/>
  <c r="E3092" i="6"/>
  <c r="E3094" i="6"/>
  <c r="E3096" i="6"/>
  <c r="E3098" i="6"/>
  <c r="E3100" i="6"/>
  <c r="E3102" i="6"/>
  <c r="E3104" i="6"/>
  <c r="E3106" i="6"/>
  <c r="E3108" i="6"/>
  <c r="E3110" i="6"/>
  <c r="E3112" i="6"/>
  <c r="E3114" i="6"/>
  <c r="E3116" i="6"/>
  <c r="E3118" i="6"/>
  <c r="E3120" i="6"/>
  <c r="E3122" i="6"/>
  <c r="E3124" i="6"/>
  <c r="E3126" i="6"/>
  <c r="E3128" i="6"/>
  <c r="E3130" i="6"/>
  <c r="E3132" i="6"/>
  <c r="E3134" i="6"/>
  <c r="E3136" i="6"/>
  <c r="E3138" i="6"/>
  <c r="E3140" i="6"/>
  <c r="E3142" i="6"/>
  <c r="E3144" i="6"/>
  <c r="E3146" i="6"/>
  <c r="E3148" i="6"/>
  <c r="E3150" i="6"/>
  <c r="E3152" i="6"/>
  <c r="E3154" i="6"/>
  <c r="E3156" i="6"/>
  <c r="E3158" i="6"/>
  <c r="E3160" i="6"/>
  <c r="E3162" i="6"/>
  <c r="E3164" i="6"/>
  <c r="E3166" i="6"/>
  <c r="E3168" i="6"/>
  <c r="E3170" i="6"/>
  <c r="E3172" i="6"/>
  <c r="E3174" i="6"/>
  <c r="E3176" i="6"/>
  <c r="E3178" i="6"/>
  <c r="E3180" i="6"/>
  <c r="E3182" i="6"/>
  <c r="E3184" i="6"/>
  <c r="E3186" i="6"/>
  <c r="E3188" i="6"/>
  <c r="E3190" i="6"/>
  <c r="E3192" i="6"/>
  <c r="E3194" i="6"/>
  <c r="E3196" i="6"/>
  <c r="E3198" i="6"/>
  <c r="E3200" i="6"/>
  <c r="E3202" i="6"/>
  <c r="E3204" i="6"/>
  <c r="E3209" i="6"/>
  <c r="E3217" i="6"/>
  <c r="E3225" i="6"/>
  <c r="E3206" i="6"/>
  <c r="E3208" i="6"/>
  <c r="E3210" i="6"/>
  <c r="E3212" i="6"/>
  <c r="E3214" i="6"/>
  <c r="E3216" i="6"/>
  <c r="E3218" i="6"/>
  <c r="E3220" i="6"/>
  <c r="E3222" i="6"/>
  <c r="E3224" i="6"/>
  <c r="E3226" i="6"/>
  <c r="E3228" i="6"/>
  <c r="E3230" i="6"/>
  <c r="E3232" i="6"/>
  <c r="E3234" i="6"/>
  <c r="E3236" i="6"/>
  <c r="E3238" i="6"/>
  <c r="E3240" i="6"/>
  <c r="E3242" i="6"/>
  <c r="E3244" i="6"/>
  <c r="E3246" i="6"/>
  <c r="E3248" i="6"/>
  <c r="E3250" i="6"/>
  <c r="E3252" i="6"/>
  <c r="E3254" i="6"/>
  <c r="E3256" i="6"/>
  <c r="E3258" i="6"/>
  <c r="E3260" i="6"/>
  <c r="E3262" i="6"/>
  <c r="E3264" i="6"/>
  <c r="E3266" i="6"/>
  <c r="E3268" i="6"/>
  <c r="E3270" i="6"/>
  <c r="E3272" i="6"/>
  <c r="E3274" i="6"/>
  <c r="E3276" i="6"/>
  <c r="E3278" i="6"/>
  <c r="E3280" i="6"/>
  <c r="E3282" i="6"/>
  <c r="E3284" i="6"/>
  <c r="E3286" i="6"/>
  <c r="E3288" i="6"/>
  <c r="E3290" i="6"/>
  <c r="E3292" i="6"/>
  <c r="E3294" i="6"/>
  <c r="E3296" i="6"/>
  <c r="E3298" i="6"/>
  <c r="E3300" i="6"/>
  <c r="E3302" i="6"/>
  <c r="E3304" i="6"/>
  <c r="E3306" i="6"/>
  <c r="E3308" i="6"/>
  <c r="E3310" i="6"/>
  <c r="E3312" i="6"/>
  <c r="E3314" i="6"/>
  <c r="E3316" i="6"/>
  <c r="E3318" i="6"/>
  <c r="E3320" i="6"/>
  <c r="E3322" i="6"/>
  <c r="E3324" i="6"/>
  <c r="E3326" i="6"/>
  <c r="E3328" i="6"/>
  <c r="E3330" i="6"/>
  <c r="E3332" i="6"/>
  <c r="E3334" i="6"/>
  <c r="E3336" i="6"/>
  <c r="E3338" i="6"/>
  <c r="E3340" i="6"/>
  <c r="E3342" i="6"/>
  <c r="E3344" i="6"/>
  <c r="E3346" i="6"/>
  <c r="E3348" i="6"/>
  <c r="E3350" i="6"/>
  <c r="E3352" i="6"/>
  <c r="E3354" i="6"/>
  <c r="E3356" i="6"/>
  <c r="E3358" i="6"/>
  <c r="E3360" i="6"/>
  <c r="E3362" i="6"/>
  <c r="E3364" i="6"/>
  <c r="E3366" i="6"/>
  <c r="E3368" i="6"/>
  <c r="E3370" i="6"/>
  <c r="E3372" i="6"/>
  <c r="E3374" i="6"/>
  <c r="E3375" i="6"/>
  <c r="E3377" i="6"/>
  <c r="E3379" i="6"/>
  <c r="E3381" i="6"/>
  <c r="E3383" i="6"/>
  <c r="E3385" i="6"/>
  <c r="E3387" i="6"/>
  <c r="E3389" i="6"/>
  <c r="E3391" i="6"/>
  <c r="E3462" i="6"/>
  <c r="E3466" i="6"/>
  <c r="E3470" i="6"/>
  <c r="E3474" i="6"/>
  <c r="E3478" i="6"/>
  <c r="E3482" i="6"/>
  <c r="E3486" i="6"/>
  <c r="E3490" i="6"/>
  <c r="E3494" i="6"/>
  <c r="E3498" i="6"/>
  <c r="E3502" i="6"/>
  <c r="E3506" i="6"/>
  <c r="E3510" i="6"/>
  <c r="E3514" i="6"/>
  <c r="E3518" i="6"/>
  <c r="E3522" i="6"/>
  <c r="E3526" i="6"/>
  <c r="E3530" i="6"/>
  <c r="E3534" i="6"/>
  <c r="E3538" i="6"/>
  <c r="E3542" i="6"/>
  <c r="E3546" i="6"/>
  <c r="E3550" i="6"/>
  <c r="E3554" i="6"/>
  <c r="E3558" i="6"/>
  <c r="E3562" i="6"/>
  <c r="E3566" i="6"/>
  <c r="E3570" i="6"/>
  <c r="E3574" i="6"/>
  <c r="E3578" i="6"/>
  <c r="E3582" i="6"/>
  <c r="E3586" i="6"/>
  <c r="E3590" i="6"/>
  <c r="E3594" i="6"/>
  <c r="E3599" i="6"/>
  <c r="E3602" i="6"/>
  <c r="E3607" i="6"/>
  <c r="E3610" i="6"/>
  <c r="E3615" i="6"/>
  <c r="E3618" i="6"/>
  <c r="E3623" i="6"/>
  <c r="E3626" i="6"/>
  <c r="E3376" i="6"/>
  <c r="E3378" i="6"/>
  <c r="E3380" i="6"/>
  <c r="E3382" i="6"/>
  <c r="E3384" i="6"/>
  <c r="E3386" i="6"/>
  <c r="E3388" i="6"/>
  <c r="E3390" i="6"/>
  <c r="E3464" i="6"/>
  <c r="E3468" i="6"/>
  <c r="E3472" i="6"/>
  <c r="E3476" i="6"/>
  <c r="E3480" i="6"/>
  <c r="E3484" i="6"/>
  <c r="E3488" i="6"/>
  <c r="E3492" i="6"/>
  <c r="E3496" i="6"/>
  <c r="E3500" i="6"/>
  <c r="E3504" i="6"/>
  <c r="E3508" i="6"/>
  <c r="E3512" i="6"/>
  <c r="E3516" i="6"/>
  <c r="E3520" i="6"/>
  <c r="E3524" i="6"/>
  <c r="E3528" i="6"/>
  <c r="E3532" i="6"/>
  <c r="E3536" i="6"/>
  <c r="E3540" i="6"/>
  <c r="E3544" i="6"/>
  <c r="E3548" i="6"/>
  <c r="E3552" i="6"/>
  <c r="E3556" i="6"/>
  <c r="E3560" i="6"/>
  <c r="E3564" i="6"/>
  <c r="E3568" i="6"/>
  <c r="E3572" i="6"/>
  <c r="E3576" i="6"/>
  <c r="E3580" i="6"/>
  <c r="E3584" i="6"/>
  <c r="E3588" i="6"/>
  <c r="E3592" i="6"/>
  <c r="E3595" i="6"/>
  <c r="E3598" i="6"/>
  <c r="E3603" i="6"/>
  <c r="E3606" i="6"/>
  <c r="E3611" i="6"/>
  <c r="E3614" i="6"/>
  <c r="E3619" i="6"/>
  <c r="E3622" i="6"/>
  <c r="E3627" i="6"/>
  <c r="E3630" i="6"/>
  <c r="E3597" i="6"/>
  <c r="E3601" i="6"/>
  <c r="E3605" i="6"/>
  <c r="E3609" i="6"/>
  <c r="E3613" i="6"/>
  <c r="E3617" i="6"/>
  <c r="E3621" i="6"/>
  <c r="E3625" i="6"/>
  <c r="E3629" i="6"/>
  <c r="E3971" i="6"/>
  <c r="E3979" i="6"/>
  <c r="E3975" i="6"/>
  <c r="E3983" i="6"/>
  <c r="E4132" i="6"/>
  <c r="E4136" i="6"/>
  <c r="E4140" i="6"/>
  <c r="E4144" i="6"/>
  <c r="E4148" i="6"/>
  <c r="E4152" i="6"/>
  <c r="E4156" i="6"/>
  <c r="E4160" i="6"/>
  <c r="E4164" i="6"/>
  <c r="E4167" i="6"/>
  <c r="E4169" i="6"/>
  <c r="E4171" i="6"/>
  <c r="E4173" i="6"/>
  <c r="E4175" i="6"/>
  <c r="E4177" i="6"/>
  <c r="E4179" i="6"/>
  <c r="E4181" i="6"/>
  <c r="E4183" i="6"/>
  <c r="E4185" i="6"/>
  <c r="E4187" i="6"/>
  <c r="E4189" i="6"/>
  <c r="E4191" i="6"/>
  <c r="E4193" i="6"/>
  <c r="E4195" i="6"/>
  <c r="E4197" i="6"/>
  <c r="E4199" i="6"/>
  <c r="E4201" i="6"/>
  <c r="E3987" i="6"/>
  <c r="E3989" i="6"/>
  <c r="E3991" i="6"/>
  <c r="E3993" i="6"/>
  <c r="E3995" i="6"/>
  <c r="E3997" i="6"/>
  <c r="E3999" i="6"/>
  <c r="E4001" i="6"/>
  <c r="E4003" i="6"/>
  <c r="E4005" i="6"/>
  <c r="E4007" i="6"/>
  <c r="E4009" i="6"/>
  <c r="E4011" i="6"/>
  <c r="E4013" i="6"/>
  <c r="E4015" i="6"/>
  <c r="E4017" i="6"/>
  <c r="E4019" i="6"/>
  <c r="E4021" i="6"/>
  <c r="E4023" i="6"/>
  <c r="E4025" i="6"/>
  <c r="E4027" i="6"/>
  <c r="E4029" i="6"/>
  <c r="E4031" i="6"/>
  <c r="E4033" i="6"/>
  <c r="E4035" i="6"/>
  <c r="E4037" i="6"/>
  <c r="E4039" i="6"/>
  <c r="E4041" i="6"/>
  <c r="E4043" i="6"/>
  <c r="E4045" i="6"/>
  <c r="E4047" i="6"/>
  <c r="E4049" i="6"/>
  <c r="E4051" i="6"/>
  <c r="E4053" i="6"/>
  <c r="E4055" i="6"/>
  <c r="E4057" i="6"/>
  <c r="E4059" i="6"/>
  <c r="E4061" i="6"/>
  <c r="E4063" i="6"/>
  <c r="E4065" i="6"/>
  <c r="E4067" i="6"/>
  <c r="E4069" i="6"/>
  <c r="E4071" i="6"/>
  <c r="E4073" i="6"/>
  <c r="E4075" i="6"/>
  <c r="E4077" i="6"/>
  <c r="E4079" i="6"/>
  <c r="E4081" i="6"/>
  <c r="E4083" i="6"/>
  <c r="E4085" i="6"/>
  <c r="E4087" i="6"/>
  <c r="E4089" i="6"/>
  <c r="E4091" i="6"/>
  <c r="E4093" i="6"/>
  <c r="E4095" i="6"/>
  <c r="E4097" i="6"/>
  <c r="E4099" i="6"/>
  <c r="E4101" i="6"/>
  <c r="E4103" i="6"/>
  <c r="E4105" i="6"/>
  <c r="E4107" i="6"/>
  <c r="E4109" i="6"/>
  <c r="E4111" i="6"/>
  <c r="E4113" i="6"/>
  <c r="E4115" i="6"/>
  <c r="E4117" i="6"/>
  <c r="E4119" i="6"/>
  <c r="E4121" i="6"/>
  <c r="E4123" i="6"/>
  <c r="E4125" i="6"/>
  <c r="E4127" i="6"/>
  <c r="E4129" i="6"/>
  <c r="E4133" i="6"/>
  <c r="E4137" i="6"/>
  <c r="E4141" i="6"/>
  <c r="E4145" i="6"/>
  <c r="E4149" i="6"/>
  <c r="E4153" i="6"/>
  <c r="E4157" i="6"/>
  <c r="E4161" i="6"/>
  <c r="E4147" i="6"/>
  <c r="E4151" i="6"/>
  <c r="E4155" i="6"/>
  <c r="E4159" i="6"/>
  <c r="E4163" i="6"/>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P74" i="7"/>
  <c r="O75" i="7"/>
  <c r="O76" i="7"/>
  <c r="O77" i="7"/>
  <c r="O78" i="7"/>
  <c r="O79" i="7"/>
  <c r="O80" i="7"/>
  <c r="O81" i="7"/>
  <c r="O82" i="7"/>
  <c r="O83" i="7"/>
  <c r="O84" i="7"/>
  <c r="O85" i="7"/>
  <c r="O86" i="7"/>
  <c r="O167" i="7"/>
  <c r="O168" i="7"/>
  <c r="P168" i="7"/>
  <c r="O210" i="7"/>
  <c r="P210" i="7"/>
  <c r="O211" i="7"/>
  <c r="P211" i="7"/>
  <c r="O212" i="7"/>
  <c r="P212" i="7"/>
  <c r="O333" i="7"/>
  <c r="O360" i="7"/>
  <c r="O361" i="7"/>
  <c r="O363" i="7"/>
  <c r="P363" i="7"/>
  <c r="O374" i="7"/>
  <c r="O375" i="7"/>
  <c r="P375" i="7"/>
  <c r="O376" i="7"/>
  <c r="P376" i="7"/>
  <c r="O397" i="7"/>
  <c r="O399" i="7"/>
  <c r="P399" i="7"/>
  <c r="O400" i="7"/>
  <c r="P400" i="7"/>
  <c r="O401" i="7"/>
  <c r="P401" i="7"/>
  <c r="O604" i="7"/>
  <c r="O608" i="7"/>
  <c r="O612" i="7"/>
  <c r="O616" i="7"/>
  <c r="O618" i="7"/>
  <c r="O621" i="7"/>
  <c r="O624" i="7"/>
  <c r="O626" i="7"/>
  <c r="O631" i="7"/>
  <c r="O635" i="7"/>
  <c r="O642" i="7"/>
  <c r="P651" i="7"/>
  <c r="O652" i="7"/>
  <c r="O653" i="7"/>
  <c r="O654" i="7"/>
  <c r="O663" i="7"/>
  <c r="O664" i="7"/>
  <c r="O667" i="7"/>
  <c r="P669" i="7"/>
  <c r="O670" i="7"/>
  <c r="O912" i="7"/>
  <c r="O913" i="7"/>
  <c r="O914" i="7"/>
  <c r="O915" i="7"/>
  <c r="O916" i="7"/>
  <c r="O917" i="7"/>
  <c r="O918" i="7"/>
  <c r="O919" i="7"/>
  <c r="O920" i="7"/>
  <c r="O921" i="7"/>
  <c r="O922" i="7"/>
  <c r="O923" i="7"/>
  <c r="O924" i="7"/>
  <c r="O925" i="7"/>
  <c r="O926" i="7"/>
  <c r="O927" i="7"/>
  <c r="O928" i="7"/>
  <c r="O929" i="7"/>
  <c r="O930" i="7"/>
  <c r="O931" i="7"/>
  <c r="O932" i="7"/>
  <c r="O933" i="7"/>
  <c r="O934" i="7"/>
  <c r="O935" i="7"/>
  <c r="O936" i="7"/>
  <c r="O938" i="7"/>
  <c r="O939" i="7"/>
  <c r="O976" i="7"/>
  <c r="O977" i="7"/>
  <c r="O978" i="7"/>
  <c r="O979" i="7"/>
  <c r="O980" i="7"/>
  <c r="O1205" i="7"/>
  <c r="O1209" i="7"/>
  <c r="O1226" i="7"/>
  <c r="O1230" i="7"/>
  <c r="O1249" i="7"/>
  <c r="O1255" i="7"/>
  <c r="O169" i="7"/>
  <c r="P169" i="7"/>
  <c r="O170" i="7"/>
  <c r="O171" i="7"/>
  <c r="P171" i="7"/>
  <c r="O213" i="7"/>
  <c r="P213" i="7"/>
  <c r="O214" i="7"/>
  <c r="P214" i="7"/>
  <c r="O215" i="7"/>
  <c r="P215" i="7"/>
  <c r="O216" i="7"/>
  <c r="P216" i="7"/>
  <c r="O217" i="7"/>
  <c r="O218" i="7"/>
  <c r="O219" i="7"/>
  <c r="O220" i="7"/>
  <c r="O221" i="7"/>
  <c r="O222" i="7"/>
  <c r="O223" i="7"/>
  <c r="P223" i="7"/>
  <c r="O331" i="7"/>
  <c r="O332" i="7"/>
  <c r="O343" i="7"/>
  <c r="O344" i="7"/>
  <c r="O345" i="7"/>
  <c r="O346" i="7"/>
  <c r="O347" i="7"/>
  <c r="O348" i="7"/>
  <c r="O349" i="7"/>
  <c r="O350" i="7"/>
  <c r="P350" i="7"/>
  <c r="O351" i="7"/>
  <c r="P351" i="7"/>
  <c r="O352" i="7"/>
  <c r="O353" i="7"/>
  <c r="O354" i="7"/>
  <c r="O355" i="7"/>
  <c r="P355" i="7"/>
  <c r="O356" i="7"/>
  <c r="P356" i="7"/>
  <c r="O357" i="7"/>
  <c r="O358" i="7"/>
  <c r="O359" i="7"/>
  <c r="O364" i="7"/>
  <c r="O365" i="7"/>
  <c r="P365" i="7"/>
  <c r="O366" i="7"/>
  <c r="O367" i="7"/>
  <c r="O368" i="7"/>
  <c r="O369" i="7"/>
  <c r="P369" i="7"/>
  <c r="O370" i="7"/>
  <c r="P370" i="7"/>
  <c r="O371" i="7"/>
  <c r="P371" i="7"/>
  <c r="O377" i="7"/>
  <c r="O378" i="7"/>
  <c r="P378" i="7"/>
  <c r="O379" i="7"/>
  <c r="P379" i="7"/>
  <c r="O380" i="7"/>
  <c r="P380" i="7"/>
  <c r="O381" i="7"/>
  <c r="P381" i="7"/>
  <c r="O382" i="7"/>
  <c r="P382" i="7"/>
  <c r="O383" i="7"/>
  <c r="P383" i="7"/>
  <c r="O384" i="7"/>
  <c r="P384" i="7"/>
  <c r="O398" i="7"/>
  <c r="O603" i="7"/>
  <c r="O607" i="7"/>
  <c r="O611" i="7"/>
  <c r="O615" i="7"/>
  <c r="O620" i="7"/>
  <c r="O623" i="7"/>
  <c r="O628" i="7"/>
  <c r="O630" i="7"/>
  <c r="O634" i="7"/>
  <c r="O644" i="7"/>
  <c r="O645" i="7"/>
  <c r="P648" i="7"/>
  <c r="O650" i="7"/>
  <c r="O651" i="7"/>
  <c r="O658" i="7"/>
  <c r="P666" i="7"/>
  <c r="O669" i="7"/>
  <c r="P971" i="7"/>
  <c r="P974" i="7"/>
  <c r="P1002" i="7"/>
  <c r="P1003" i="7"/>
  <c r="P1004" i="7"/>
  <c r="P1005" i="7"/>
  <c r="P1006" i="7"/>
  <c r="O1206" i="7"/>
  <c r="O1210" i="7"/>
  <c r="O1227" i="7"/>
  <c r="O1231" i="7"/>
  <c r="O1246" i="7"/>
  <c r="O1250" i="7"/>
  <c r="O1252" i="7"/>
  <c r="O125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P147" i="7"/>
  <c r="O148" i="7"/>
  <c r="O149" i="7"/>
  <c r="O150" i="7"/>
  <c r="O151" i="7"/>
  <c r="O152" i="7"/>
  <c r="O153" i="7"/>
  <c r="O154" i="7"/>
  <c r="O155" i="7"/>
  <c r="O156" i="7"/>
  <c r="O157" i="7"/>
  <c r="O158" i="7"/>
  <c r="O159" i="7"/>
  <c r="O160" i="7"/>
  <c r="O161" i="7"/>
  <c r="O162" i="7"/>
  <c r="P162" i="7"/>
  <c r="O166" i="7"/>
  <c r="O172" i="7"/>
  <c r="P172" i="7"/>
  <c r="O173" i="7"/>
  <c r="O174" i="7"/>
  <c r="P174" i="7"/>
  <c r="O175" i="7"/>
  <c r="O176" i="7"/>
  <c r="O177" i="7"/>
  <c r="O178" i="7"/>
  <c r="P178" i="7"/>
  <c r="O224" i="7"/>
  <c r="P224" i="7"/>
  <c r="O225" i="7"/>
  <c r="P225" i="7"/>
  <c r="O226" i="7"/>
  <c r="P226" i="7"/>
  <c r="O227" i="7"/>
  <c r="P227" i="7"/>
  <c r="O228" i="7"/>
  <c r="P228" i="7"/>
  <c r="O229" i="7"/>
  <c r="P229"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72" i="7"/>
  <c r="P372" i="7"/>
  <c r="O385" i="7"/>
  <c r="P385" i="7"/>
  <c r="O386" i="7"/>
  <c r="P386" i="7"/>
  <c r="O387" i="7"/>
  <c r="P387" i="7"/>
  <c r="O388" i="7"/>
  <c r="P388" i="7"/>
  <c r="O389" i="7"/>
  <c r="P389" i="7"/>
  <c r="O390" i="7"/>
  <c r="O391" i="7"/>
  <c r="O392" i="7"/>
  <c r="O393" i="7"/>
  <c r="P393" i="7"/>
  <c r="O394" i="7"/>
  <c r="O395" i="7"/>
  <c r="O396" i="7"/>
  <c r="O606" i="7"/>
  <c r="O610" i="7"/>
  <c r="O614" i="7"/>
  <c r="O617" i="7"/>
  <c r="O619" i="7"/>
  <c r="O622" i="7"/>
  <c r="O625" i="7"/>
  <c r="O633" i="7"/>
  <c r="O639" i="7"/>
  <c r="O640" i="7"/>
  <c r="O643" i="7"/>
  <c r="O648" i="7"/>
  <c r="O649" i="7"/>
  <c r="O655" i="7"/>
  <c r="O656" i="7"/>
  <c r="O657" i="7"/>
  <c r="P665" i="7"/>
  <c r="O666" i="7"/>
  <c r="P668" i="7"/>
  <c r="O903" i="7"/>
  <c r="O904" i="7"/>
  <c r="O905" i="7"/>
  <c r="O906" i="7"/>
  <c r="O907" i="7"/>
  <c r="O908" i="7"/>
  <c r="O909" i="7"/>
  <c r="O910" i="7"/>
  <c r="O911" i="7"/>
  <c r="O970" i="7"/>
  <c r="O972" i="7"/>
  <c r="P977" i="7"/>
  <c r="P980" i="7"/>
  <c r="O1203" i="7"/>
  <c r="O1207" i="7"/>
  <c r="O1228" i="7"/>
  <c r="O1232" i="7"/>
  <c r="O1247" i="7"/>
  <c r="O1253" i="7"/>
  <c r="O163" i="7"/>
  <c r="O164" i="7"/>
  <c r="O165" i="7"/>
  <c r="O179" i="7"/>
  <c r="O180" i="7"/>
  <c r="P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P209" i="7"/>
  <c r="O334" i="7"/>
  <c r="O335" i="7"/>
  <c r="O336" i="7"/>
  <c r="O337" i="7"/>
  <c r="O338" i="7"/>
  <c r="O339" i="7"/>
  <c r="O340" i="7"/>
  <c r="O341" i="7"/>
  <c r="O342" i="7"/>
  <c r="O362" i="7"/>
  <c r="P362" i="7"/>
  <c r="O373" i="7"/>
  <c r="P373" i="7"/>
  <c r="O605" i="7"/>
  <c r="O609" i="7"/>
  <c r="O613" i="7"/>
  <c r="O627" i="7"/>
  <c r="O629" i="7"/>
  <c r="O632" i="7"/>
  <c r="O636" i="7"/>
  <c r="O637" i="7"/>
  <c r="O647" i="7"/>
  <c r="P653" i="7"/>
  <c r="P654" i="7"/>
  <c r="P664" i="7"/>
  <c r="O665" i="7"/>
  <c r="P667" i="7"/>
  <c r="O668" i="7"/>
  <c r="P670" i="7"/>
  <c r="O944" i="7"/>
  <c r="O945" i="7"/>
  <c r="O947" i="7"/>
  <c r="O948" i="7"/>
  <c r="O949" i="7"/>
  <c r="O950" i="7"/>
  <c r="O951" i="7"/>
  <c r="O952" i="7"/>
  <c r="O954" i="7"/>
  <c r="O955" i="7"/>
  <c r="O956" i="7"/>
  <c r="O957" i="7"/>
  <c r="O958" i="7"/>
  <c r="O959" i="7"/>
  <c r="O960" i="7"/>
  <c r="O961" i="7"/>
  <c r="O962" i="7"/>
  <c r="O963" i="7"/>
  <c r="O964" i="7"/>
  <c r="O965" i="7"/>
  <c r="O966" i="7"/>
  <c r="O967" i="7"/>
  <c r="O968" i="7"/>
  <c r="O969" i="7"/>
  <c r="O971" i="7"/>
  <c r="O973" i="7"/>
  <c r="O974" i="7"/>
  <c r="O1002" i="7"/>
  <c r="O1003" i="7"/>
  <c r="O1004" i="7"/>
  <c r="O1005" i="7"/>
  <c r="O1006" i="7"/>
  <c r="O1204" i="7"/>
  <c r="O1208" i="7"/>
  <c r="O1229" i="7"/>
  <c r="O1233" i="7"/>
  <c r="O1248" i="7"/>
  <c r="O1254" i="7"/>
  <c r="O1299" i="7"/>
  <c r="O1300" i="7"/>
  <c r="O1301" i="7"/>
  <c r="O1320" i="7"/>
  <c r="O1321" i="7"/>
  <c r="P1321" i="7"/>
  <c r="O1322" i="7"/>
  <c r="P1322" i="7"/>
  <c r="O1323" i="7"/>
  <c r="P1323" i="7"/>
  <c r="O1324" i="7"/>
  <c r="P1324" i="7"/>
  <c r="O1325" i="7"/>
  <c r="O1326" i="7"/>
  <c r="O1327" i="7"/>
  <c r="O1328" i="7"/>
  <c r="P1328" i="7"/>
  <c r="O1329" i="7"/>
  <c r="O1333" i="7"/>
  <c r="O1334" i="7"/>
  <c r="P1334" i="7"/>
  <c r="O1335" i="7"/>
  <c r="P1335" i="7"/>
  <c r="O1336" i="7"/>
  <c r="P1336" i="7"/>
  <c r="P1343" i="7"/>
  <c r="P1350" i="7"/>
  <c r="P1352" i="7"/>
  <c r="P1356" i="7"/>
  <c r="P1357" i="7"/>
  <c r="P1358" i="7"/>
  <c r="O1506" i="7"/>
  <c r="O1510" i="7"/>
  <c r="O1513" i="7"/>
  <c r="O1517" i="7"/>
  <c r="O1522" i="7"/>
  <c r="O1526" i="7"/>
  <c r="O1530" i="7"/>
  <c r="O1533" i="7"/>
  <c r="O1537" i="7"/>
  <c r="O1541" i="7"/>
  <c r="O1550" i="7"/>
  <c r="O1554" i="7"/>
  <c r="O1558" i="7"/>
  <c r="O1562" i="7"/>
  <c r="O1566" i="7"/>
  <c r="O1570" i="7"/>
  <c r="O1574" i="7"/>
  <c r="O1578" i="7"/>
  <c r="O1617" i="7"/>
  <c r="P1619" i="7"/>
  <c r="O1622" i="7"/>
  <c r="P1630" i="7"/>
  <c r="P1631" i="7"/>
  <c r="P1632" i="7"/>
  <c r="P1633" i="7"/>
  <c r="P1634" i="7"/>
  <c r="P1635" i="7"/>
  <c r="P1636" i="7"/>
  <c r="P1638" i="7"/>
  <c r="P1639" i="7"/>
  <c r="P1640" i="7"/>
  <c r="P1641" i="7"/>
  <c r="P1642" i="7"/>
  <c r="P1643" i="7"/>
  <c r="O1647" i="7"/>
  <c r="O1648" i="7"/>
  <c r="O1665" i="7"/>
  <c r="O1666" i="7"/>
  <c r="O1667" i="7"/>
  <c r="O1668" i="7"/>
  <c r="O1669" i="7"/>
  <c r="O1670" i="7"/>
  <c r="O1671" i="7"/>
  <c r="P1674" i="7"/>
  <c r="O1677" i="7"/>
  <c r="O1681" i="7"/>
  <c r="O1688" i="7"/>
  <c r="O1693" i="7"/>
  <c r="O1698" i="7"/>
  <c r="O1703" i="7"/>
  <c r="O1709" i="7"/>
  <c r="O1713" i="7"/>
  <c r="P1755" i="7"/>
  <c r="P1756" i="7"/>
  <c r="P1757" i="7"/>
  <c r="P1758" i="7"/>
  <c r="P1759" i="7"/>
  <c r="P1763" i="7"/>
  <c r="P1764" i="7"/>
  <c r="O1805" i="7"/>
  <c r="O1860" i="7"/>
  <c r="O1864" i="7"/>
  <c r="O1865" i="7"/>
  <c r="O1869" i="7"/>
  <c r="O1873" i="7"/>
  <c r="O1877" i="7"/>
  <c r="O1881" i="7"/>
  <c r="O1885" i="7"/>
  <c r="O1889" i="7"/>
  <c r="O1893" i="7"/>
  <c r="O1897" i="7"/>
  <c r="O1901" i="7"/>
  <c r="P1903" i="7"/>
  <c r="P1910" i="7"/>
  <c r="P1911" i="7"/>
  <c r="P1912" i="7"/>
  <c r="P1913" i="7"/>
  <c r="P1914" i="7"/>
  <c r="O940" i="7"/>
  <c r="O941" i="7"/>
  <c r="O942" i="7"/>
  <c r="O943" i="7"/>
  <c r="O953" i="7"/>
  <c r="O975" i="7"/>
  <c r="P975" i="7"/>
  <c r="O1214" i="7"/>
  <c r="O1215" i="7"/>
  <c r="O1216" i="7"/>
  <c r="O1217" i="7"/>
  <c r="O1218" i="7"/>
  <c r="O1219" i="7"/>
  <c r="O1220" i="7"/>
  <c r="O1221" i="7"/>
  <c r="O1222" i="7"/>
  <c r="O1223" i="7"/>
  <c r="O1224" i="7"/>
  <c r="O1225" i="7"/>
  <c r="O1236" i="7"/>
  <c r="O1237" i="7"/>
  <c r="O1238" i="7"/>
  <c r="O1239" i="7"/>
  <c r="O1240" i="7"/>
  <c r="O1241" i="7"/>
  <c r="O1242" i="7"/>
  <c r="O1245" i="7"/>
  <c r="O1337" i="7"/>
  <c r="O1338" i="7"/>
  <c r="O1339" i="7"/>
  <c r="O1340" i="7"/>
  <c r="O1341" i="7"/>
  <c r="O1342" i="7"/>
  <c r="O1343" i="7"/>
  <c r="O1344" i="7"/>
  <c r="O1345" i="7"/>
  <c r="O1346" i="7"/>
  <c r="O1347" i="7"/>
  <c r="O1348" i="7"/>
  <c r="O1349" i="7"/>
  <c r="O1350" i="7"/>
  <c r="O1351" i="7"/>
  <c r="O1352" i="7"/>
  <c r="O1353" i="7"/>
  <c r="O1354" i="7"/>
  <c r="O1355" i="7"/>
  <c r="O1356" i="7"/>
  <c r="O1357" i="7"/>
  <c r="O1358" i="7"/>
  <c r="O1503" i="7"/>
  <c r="O1507" i="7"/>
  <c r="O1514" i="7"/>
  <c r="O1518" i="7"/>
  <c r="O1523" i="7"/>
  <c r="O1527" i="7"/>
  <c r="O1534" i="7"/>
  <c r="O1538" i="7"/>
  <c r="O1542" i="7"/>
  <c r="O1544" i="7"/>
  <c r="O1551" i="7"/>
  <c r="O1555" i="7"/>
  <c r="O1559" i="7"/>
  <c r="O1563" i="7"/>
  <c r="O1571" i="7"/>
  <c r="O1575" i="7"/>
  <c r="O1623" i="7"/>
  <c r="O1628" i="7"/>
  <c r="O1637" i="7"/>
  <c r="P1645" i="7"/>
  <c r="O1649" i="7"/>
  <c r="O1650" i="7"/>
  <c r="O1651" i="7"/>
  <c r="O1652" i="7"/>
  <c r="O1653" i="7"/>
  <c r="O1654" i="7"/>
  <c r="O1655" i="7"/>
  <c r="O1656" i="7"/>
  <c r="O1657" i="7"/>
  <c r="O1658" i="7"/>
  <c r="O1659" i="7"/>
  <c r="O1660" i="7"/>
  <c r="O1661" i="7"/>
  <c r="O1662" i="7"/>
  <c r="P1664" i="7"/>
  <c r="O1672" i="7"/>
  <c r="O1678" i="7"/>
  <c r="O1682" i="7"/>
  <c r="O1683" i="7"/>
  <c r="P1685" i="7"/>
  <c r="P1686" i="7"/>
  <c r="O1689" i="7"/>
  <c r="O1690" i="7"/>
  <c r="O1694" i="7"/>
  <c r="O1696" i="7"/>
  <c r="P1700" i="7"/>
  <c r="P1701" i="7"/>
  <c r="O1704" i="7"/>
  <c r="P1706" i="7"/>
  <c r="P1707" i="7"/>
  <c r="O1710" i="7"/>
  <c r="P1752" i="7"/>
  <c r="P1753" i="7"/>
  <c r="P1754" i="7"/>
  <c r="O1806" i="7"/>
  <c r="O1861" i="7"/>
  <c r="O1866" i="7"/>
  <c r="O1870" i="7"/>
  <c r="O1874" i="7"/>
  <c r="O1878" i="7"/>
  <c r="O1882" i="7"/>
  <c r="O1886" i="7"/>
  <c r="O1890" i="7"/>
  <c r="O1894" i="7"/>
  <c r="O1898" i="7"/>
  <c r="O1902" i="7"/>
  <c r="O1928" i="7"/>
  <c r="O1235" i="7"/>
  <c r="O1251" i="7"/>
  <c r="O1257" i="7"/>
  <c r="O1258" i="7"/>
  <c r="O1259" i="7"/>
  <c r="O1260" i="7"/>
  <c r="O1261" i="7"/>
  <c r="O1262" i="7"/>
  <c r="O1263" i="7"/>
  <c r="O1264" i="7"/>
  <c r="O1265" i="7"/>
  <c r="O1266" i="7"/>
  <c r="O1267" i="7"/>
  <c r="O1268" i="7"/>
  <c r="O1269" i="7"/>
  <c r="O1270" i="7"/>
  <c r="O1271" i="7"/>
  <c r="O1272" i="7"/>
  <c r="O1273" i="7"/>
  <c r="O1274" i="7"/>
  <c r="O1275" i="7"/>
  <c r="O1276" i="7"/>
  <c r="O1277" i="7"/>
  <c r="O1278" i="7"/>
  <c r="O1279" i="7"/>
  <c r="O1280" i="7"/>
  <c r="O1281" i="7"/>
  <c r="O1282" i="7"/>
  <c r="O1283" i="7"/>
  <c r="O1284" i="7"/>
  <c r="O1285" i="7"/>
  <c r="O1286" i="7"/>
  <c r="O1287" i="7"/>
  <c r="O1288" i="7"/>
  <c r="O1289" i="7"/>
  <c r="O1290" i="7"/>
  <c r="O1291" i="7"/>
  <c r="O1292" i="7"/>
  <c r="O1293" i="7"/>
  <c r="O1294" i="7"/>
  <c r="O1295" i="7"/>
  <c r="O1296" i="7"/>
  <c r="O1297" i="7"/>
  <c r="O1298" i="7"/>
  <c r="O1330" i="7"/>
  <c r="P1330" i="7"/>
  <c r="O1332" i="7"/>
  <c r="O1504" i="7"/>
  <c r="O1508" i="7"/>
  <c r="O1515" i="7"/>
  <c r="O1519" i="7"/>
  <c r="O1524" i="7"/>
  <c r="O1528" i="7"/>
  <c r="O1535" i="7"/>
  <c r="O1539" i="7"/>
  <c r="O1552" i="7"/>
  <c r="O1556" i="7"/>
  <c r="O1560" i="7"/>
  <c r="O1564" i="7"/>
  <c r="O1572" i="7"/>
  <c r="O1576" i="7"/>
  <c r="O1619" i="7"/>
  <c r="O1620" i="7"/>
  <c r="O1625" i="7"/>
  <c r="O1630" i="7"/>
  <c r="O1631" i="7"/>
  <c r="O1632" i="7"/>
  <c r="O1633" i="7"/>
  <c r="O1634" i="7"/>
  <c r="O1635" i="7"/>
  <c r="O1636" i="7"/>
  <c r="O1638" i="7"/>
  <c r="O1639" i="7"/>
  <c r="O1640" i="7"/>
  <c r="O1641" i="7"/>
  <c r="O1642" i="7"/>
  <c r="O1643" i="7"/>
  <c r="P1647" i="7"/>
  <c r="O1663" i="7"/>
  <c r="P1665" i="7"/>
  <c r="P1666" i="7"/>
  <c r="P1668" i="7"/>
  <c r="P1669" i="7"/>
  <c r="P1670" i="7"/>
  <c r="O1674" i="7"/>
  <c r="O1675" i="7"/>
  <c r="O1679" i="7"/>
  <c r="O1684" i="7"/>
  <c r="O1691" i="7"/>
  <c r="O1705" i="7"/>
  <c r="O1711" i="7"/>
  <c r="O1741" i="7"/>
  <c r="O1755" i="7"/>
  <c r="O1756" i="7"/>
  <c r="O1757" i="7"/>
  <c r="O1758" i="7"/>
  <c r="O1759" i="7"/>
  <c r="O1763" i="7"/>
  <c r="O1764" i="7"/>
  <c r="O1803" i="7"/>
  <c r="O1808" i="7"/>
  <c r="O1818" i="7"/>
  <c r="O1858" i="7"/>
  <c r="O1862" i="7"/>
  <c r="O1867" i="7"/>
  <c r="O1871" i="7"/>
  <c r="O1875" i="7"/>
  <c r="O1879" i="7"/>
  <c r="O1883" i="7"/>
  <c r="O1887" i="7"/>
  <c r="O1891" i="7"/>
  <c r="O1895" i="7"/>
  <c r="O1899" i="7"/>
  <c r="O1903" i="7"/>
  <c r="O1910" i="7"/>
  <c r="O1911" i="7"/>
  <c r="O1912" i="7"/>
  <c r="O1913" i="7"/>
  <c r="O1914" i="7"/>
  <c r="P1928" i="7"/>
  <c r="O1935" i="7"/>
  <c r="O638" i="7"/>
  <c r="O641" i="7"/>
  <c r="O646" i="7"/>
  <c r="O659" i="7"/>
  <c r="P659" i="7"/>
  <c r="O660" i="7"/>
  <c r="P660" i="7"/>
  <c r="O661" i="7"/>
  <c r="P661" i="7"/>
  <c r="O662" i="7"/>
  <c r="O937" i="7"/>
  <c r="O946" i="7"/>
  <c r="O981" i="7"/>
  <c r="O982" i="7"/>
  <c r="O983" i="7"/>
  <c r="O984" i="7"/>
  <c r="O985" i="7"/>
  <c r="O986" i="7"/>
  <c r="O987" i="7"/>
  <c r="P987" i="7"/>
  <c r="O988" i="7"/>
  <c r="O989" i="7"/>
  <c r="O990" i="7"/>
  <c r="O991" i="7"/>
  <c r="O992" i="7"/>
  <c r="P992" i="7"/>
  <c r="O993" i="7"/>
  <c r="P993" i="7"/>
  <c r="O994" i="7"/>
  <c r="P994" i="7"/>
  <c r="O995" i="7"/>
  <c r="P995" i="7"/>
  <c r="O996" i="7"/>
  <c r="P996" i="7"/>
  <c r="O997" i="7"/>
  <c r="P997" i="7"/>
  <c r="O998" i="7"/>
  <c r="P998" i="7"/>
  <c r="O999" i="7"/>
  <c r="P999" i="7"/>
  <c r="O1000" i="7"/>
  <c r="P1000" i="7"/>
  <c r="O1001" i="7"/>
  <c r="P1001" i="7"/>
  <c r="O1211" i="7"/>
  <c r="O1212" i="7"/>
  <c r="O1213" i="7"/>
  <c r="O1234" i="7"/>
  <c r="O1243" i="7"/>
  <c r="O1244" i="7"/>
  <c r="O1302" i="7"/>
  <c r="O1303" i="7"/>
  <c r="O1304" i="7"/>
  <c r="O1305" i="7"/>
  <c r="O1306" i="7"/>
  <c r="O1307" i="7"/>
  <c r="O1308" i="7"/>
  <c r="O1309" i="7"/>
  <c r="O1310" i="7"/>
  <c r="O1311" i="7"/>
  <c r="O1312" i="7"/>
  <c r="O1313" i="7"/>
  <c r="O1314" i="7"/>
  <c r="O1315" i="7"/>
  <c r="O1316" i="7"/>
  <c r="O1317" i="7"/>
  <c r="P1317" i="7"/>
  <c r="O1318" i="7"/>
  <c r="O1319" i="7"/>
  <c r="P1319" i="7"/>
  <c r="O1331" i="7"/>
  <c r="P1331" i="7"/>
  <c r="O1505" i="7"/>
  <c r="O1509" i="7"/>
  <c r="O1512" i="7"/>
  <c r="O1516" i="7"/>
  <c r="O1520" i="7"/>
  <c r="O1521" i="7"/>
  <c r="O1525" i="7"/>
  <c r="O1529" i="7"/>
  <c r="O1536" i="7"/>
  <c r="O1540" i="7"/>
  <c r="P1542" i="7"/>
  <c r="O1553" i="7"/>
  <c r="O1557" i="7"/>
  <c r="O1561" i="7"/>
  <c r="O1565" i="7"/>
  <c r="O1573" i="7"/>
  <c r="O1577" i="7"/>
  <c r="O1621" i="7"/>
  <c r="P1623" i="7"/>
  <c r="O1626" i="7"/>
  <c r="P1628" i="7"/>
  <c r="O1645" i="7"/>
  <c r="O1646" i="7"/>
  <c r="P1649" i="7"/>
  <c r="P1650" i="7"/>
  <c r="P1651" i="7"/>
  <c r="P1652" i="7"/>
  <c r="P1653" i="7"/>
  <c r="P1654" i="7"/>
  <c r="P1655" i="7"/>
  <c r="P1656" i="7"/>
  <c r="P1657" i="7"/>
  <c r="P1658" i="7"/>
  <c r="P1659" i="7"/>
  <c r="P1660" i="7"/>
  <c r="P1661" i="7"/>
  <c r="O1664" i="7"/>
  <c r="P1672" i="7"/>
  <c r="O1676" i="7"/>
  <c r="O1680" i="7"/>
  <c r="P1682" i="7"/>
  <c r="O1685" i="7"/>
  <c r="O1686" i="7"/>
  <c r="O1687" i="7"/>
  <c r="P1689" i="7"/>
  <c r="P1690" i="7"/>
  <c r="O1692" i="7"/>
  <c r="P1694" i="7"/>
  <c r="O1700" i="7"/>
  <c r="O1701" i="7"/>
  <c r="O1702" i="7"/>
  <c r="O1706" i="7"/>
  <c r="O1707" i="7"/>
  <c r="O1708" i="7"/>
  <c r="O1712" i="7"/>
  <c r="O1752" i="7"/>
  <c r="O1753" i="7"/>
  <c r="O1754" i="7"/>
  <c r="O1804" i="7"/>
  <c r="O1819" i="7"/>
  <c r="O1859" i="7"/>
  <c r="O1863" i="7"/>
  <c r="O1868" i="7"/>
  <c r="O1872" i="7"/>
  <c r="O1876" i="7"/>
  <c r="O1880" i="7"/>
  <c r="O1884" i="7"/>
  <c r="O1888" i="7"/>
  <c r="O1892" i="7"/>
  <c r="O1896" i="7"/>
  <c r="O1900" i="7"/>
  <c r="P1902" i="7"/>
  <c r="P1935" i="7"/>
  <c r="O1929" i="7"/>
  <c r="P1929" i="7"/>
  <c r="O1930" i="7"/>
  <c r="P1930" i="7"/>
  <c r="O1936" i="7"/>
  <c r="O1937" i="7"/>
  <c r="O1938" i="7"/>
  <c r="O1939" i="7"/>
  <c r="O1940" i="7"/>
  <c r="O1941" i="7"/>
  <c r="P1941" i="7"/>
  <c r="O1942" i="7"/>
  <c r="O1943" i="7"/>
  <c r="P1943" i="7"/>
  <c r="O1944" i="7"/>
  <c r="O1945" i="7"/>
  <c r="P1945" i="7"/>
  <c r="O1946" i="7"/>
  <c r="P1946" i="7"/>
  <c r="O1947" i="7"/>
  <c r="P1947" i="7"/>
  <c r="O1948" i="7"/>
  <c r="P1948" i="7"/>
  <c r="O1949" i="7"/>
  <c r="O1950" i="7"/>
  <c r="P1950" i="7"/>
  <c r="O1951" i="7"/>
  <c r="O1952" i="7"/>
  <c r="P1952" i="7"/>
  <c r="O1953" i="7"/>
  <c r="O1543" i="7"/>
  <c r="O1545" i="7"/>
  <c r="O1546" i="7"/>
  <c r="O1547" i="7"/>
  <c r="O1548" i="7"/>
  <c r="O1549" i="7"/>
  <c r="O1614" i="7"/>
  <c r="O1615" i="7"/>
  <c r="O1616" i="7"/>
  <c r="O1644" i="7"/>
  <c r="O1673" i="7"/>
  <c r="O1695" i="7"/>
  <c r="O1697" i="7"/>
  <c r="O1699" i="7"/>
  <c r="O1714" i="7"/>
  <c r="P1714" i="7"/>
  <c r="O1715" i="7"/>
  <c r="O1716" i="7"/>
  <c r="P1716" i="7"/>
  <c r="O1717" i="7"/>
  <c r="O1718" i="7"/>
  <c r="O1719" i="7"/>
  <c r="P1719" i="7"/>
  <c r="O1720" i="7"/>
  <c r="O1721" i="7"/>
  <c r="O1722" i="7"/>
  <c r="O1723" i="7"/>
  <c r="O1724" i="7"/>
  <c r="O1725" i="7"/>
  <c r="P1725" i="7"/>
  <c r="O1726" i="7"/>
  <c r="O1727" i="7"/>
  <c r="O1728" i="7"/>
  <c r="O1729" i="7"/>
  <c r="O1730" i="7"/>
  <c r="P1730" i="7"/>
  <c r="O1731" i="7"/>
  <c r="O1732" i="7"/>
  <c r="O1733" i="7"/>
  <c r="O1734" i="7"/>
  <c r="O1735" i="7"/>
  <c r="O1736" i="7"/>
  <c r="O1737" i="7"/>
  <c r="P1737" i="7"/>
  <c r="O1738" i="7"/>
  <c r="P1738" i="7"/>
  <c r="O1739" i="7"/>
  <c r="P1739" i="7"/>
  <c r="O1740" i="7"/>
  <c r="P1740" i="7"/>
  <c r="O1742" i="7"/>
  <c r="P1742" i="7"/>
  <c r="O1743" i="7"/>
  <c r="P1743" i="7"/>
  <c r="O1744" i="7"/>
  <c r="P1744" i="7"/>
  <c r="O1745" i="7"/>
  <c r="P1745" i="7"/>
  <c r="O1746" i="7"/>
  <c r="P1746" i="7"/>
  <c r="O1747" i="7"/>
  <c r="P1747" i="7"/>
  <c r="O1748" i="7"/>
  <c r="P1748" i="7"/>
  <c r="O1749" i="7"/>
  <c r="P1749" i="7"/>
  <c r="O1750" i="7"/>
  <c r="P1750" i="7"/>
  <c r="O1751" i="7"/>
  <c r="P1751" i="7"/>
  <c r="O1762" i="7"/>
  <c r="O1835" i="7"/>
  <c r="O1836" i="7"/>
  <c r="O1837" i="7"/>
  <c r="O1838" i="7"/>
  <c r="O1839" i="7"/>
  <c r="O1840" i="7"/>
  <c r="O1841" i="7"/>
  <c r="O1842" i="7"/>
  <c r="O1843" i="7"/>
  <c r="O1844" i="7"/>
  <c r="O1845" i="7"/>
  <c r="O1846" i="7"/>
  <c r="O1847" i="7"/>
  <c r="O1848" i="7"/>
  <c r="O1849" i="7"/>
  <c r="O1850" i="7"/>
  <c r="O1851" i="7"/>
  <c r="O1852" i="7"/>
  <c r="O1853" i="7"/>
  <c r="O1854" i="7"/>
  <c r="O1855" i="7"/>
  <c r="O1856" i="7"/>
  <c r="O1857" i="7"/>
  <c r="O1904" i="7"/>
  <c r="P1904" i="7"/>
  <c r="O1905" i="7"/>
  <c r="P1905" i="7"/>
  <c r="O1906" i="7"/>
  <c r="P1906" i="7"/>
  <c r="O1907" i="7"/>
  <c r="P1907" i="7"/>
  <c r="O1908" i="7"/>
  <c r="P1908" i="7"/>
  <c r="O1909" i="7"/>
  <c r="P1909" i="7"/>
  <c r="O1915" i="7"/>
  <c r="P1915" i="7"/>
  <c r="O1916" i="7"/>
  <c r="P1916" i="7"/>
  <c r="O1917" i="7"/>
  <c r="P1917" i="7"/>
  <c r="O1918" i="7"/>
  <c r="P1918" i="7"/>
  <c r="O1919" i="7"/>
  <c r="P1919" i="7"/>
  <c r="O1920" i="7"/>
  <c r="P1920" i="7"/>
  <c r="O1921" i="7"/>
  <c r="P1921" i="7"/>
  <c r="O1922" i="7"/>
  <c r="P1922" i="7"/>
  <c r="O1923" i="7"/>
  <c r="P1923" i="7"/>
  <c r="O1924" i="7"/>
  <c r="P1924" i="7"/>
  <c r="O1925" i="7"/>
  <c r="P1925" i="7"/>
  <c r="O1931" i="7"/>
  <c r="P1931" i="7"/>
  <c r="O1932" i="7"/>
  <c r="P1932" i="7"/>
  <c r="O1933" i="7"/>
  <c r="O1934" i="7"/>
  <c r="O2107" i="7"/>
  <c r="O2110" i="7"/>
  <c r="O2112" i="7"/>
  <c r="O1359" i="7"/>
  <c r="P1359" i="7"/>
  <c r="O1360" i="7"/>
  <c r="P1360" i="7"/>
  <c r="O1361" i="7"/>
  <c r="P1361" i="7"/>
  <c r="O1511" i="7"/>
  <c r="O1531" i="7"/>
  <c r="O1532" i="7"/>
  <c r="O1567" i="7"/>
  <c r="O1568" i="7"/>
  <c r="O1569" i="7"/>
  <c r="P1569" i="7"/>
  <c r="O1579" i="7"/>
  <c r="O1580" i="7"/>
  <c r="O1581" i="7"/>
  <c r="O1582" i="7"/>
  <c r="O1583" i="7"/>
  <c r="O1584" i="7"/>
  <c r="O1585" i="7"/>
  <c r="O1586" i="7"/>
  <c r="O1587" i="7"/>
  <c r="O1588" i="7"/>
  <c r="O1589" i="7"/>
  <c r="O1590" i="7"/>
  <c r="O1591" i="7"/>
  <c r="O1592" i="7"/>
  <c r="O1593" i="7"/>
  <c r="O1594" i="7"/>
  <c r="O1595" i="7"/>
  <c r="O1596" i="7"/>
  <c r="O1597" i="7"/>
  <c r="O1598" i="7"/>
  <c r="P1598" i="7"/>
  <c r="O1599" i="7"/>
  <c r="O1600" i="7"/>
  <c r="O1601" i="7"/>
  <c r="O1602" i="7"/>
  <c r="O1603" i="7"/>
  <c r="O1604" i="7"/>
  <c r="O1605" i="7"/>
  <c r="O1606" i="7"/>
  <c r="O1607" i="7"/>
  <c r="O1608" i="7"/>
  <c r="O1609" i="7"/>
  <c r="O1610" i="7"/>
  <c r="O1611" i="7"/>
  <c r="P1611" i="7"/>
  <c r="O1612" i="7"/>
  <c r="O1613" i="7"/>
  <c r="O1618" i="7"/>
  <c r="O1624" i="7"/>
  <c r="O1627" i="7"/>
  <c r="O1629" i="7"/>
  <c r="O1760" i="7"/>
  <c r="P1760" i="7"/>
  <c r="O1761" i="7"/>
  <c r="O1809" i="7"/>
  <c r="O1810" i="7"/>
  <c r="O1811" i="7"/>
  <c r="O1812" i="7"/>
  <c r="O1813" i="7"/>
  <c r="O1814" i="7"/>
  <c r="O1815" i="7"/>
  <c r="O1816" i="7"/>
  <c r="O1817" i="7"/>
  <c r="O1820" i="7"/>
  <c r="O1821" i="7"/>
  <c r="O1822" i="7"/>
  <c r="O1823" i="7"/>
  <c r="O1824" i="7"/>
  <c r="O1825" i="7"/>
  <c r="O1826" i="7"/>
  <c r="O1827" i="7"/>
  <c r="O1828" i="7"/>
  <c r="O1829" i="7"/>
  <c r="O1830" i="7"/>
  <c r="O1831" i="7"/>
  <c r="O1832" i="7"/>
  <c r="O1833" i="7"/>
  <c r="O1834" i="7"/>
  <c r="O1926" i="7"/>
  <c r="P1926" i="7"/>
  <c r="O1927" i="7"/>
  <c r="P1927" i="7"/>
  <c r="O2103" i="7"/>
  <c r="O2106" i="7"/>
  <c r="O2108" i="7"/>
  <c r="O2109" i="7"/>
  <c r="O2111" i="7"/>
  <c r="O2113" i="7"/>
  <c r="O2115" i="7"/>
  <c r="O2117" i="7"/>
  <c r="O2119" i="7"/>
  <c r="O2120" i="7"/>
  <c r="O2122" i="7"/>
  <c r="O2124" i="7"/>
  <c r="O2126" i="7"/>
  <c r="O2141" i="7"/>
  <c r="O2144" i="7"/>
  <c r="O2163" i="7"/>
  <c r="O2165" i="7"/>
  <c r="O2167" i="7"/>
  <c r="O2169" i="7"/>
  <c r="O2171" i="7"/>
  <c r="O2173" i="7"/>
  <c r="O2175" i="7"/>
  <c r="O2177" i="7"/>
  <c r="O2179" i="7"/>
  <c r="O2181" i="7"/>
  <c r="O2183" i="7"/>
  <c r="O2185" i="7"/>
  <c r="O2187" i="7"/>
  <c r="O2189" i="7"/>
  <c r="O2191" i="7"/>
  <c r="O2193" i="7"/>
  <c r="O2195" i="7"/>
  <c r="O2197" i="7"/>
  <c r="O2199" i="7"/>
  <c r="O2201" i="7"/>
  <c r="O2203" i="7"/>
  <c r="O2204" i="7"/>
  <c r="O2207" i="7"/>
  <c r="O2209" i="7"/>
  <c r="O2215" i="7"/>
  <c r="O2219" i="7"/>
  <c r="O2222" i="7"/>
  <c r="O2224" i="7"/>
  <c r="O2226" i="7"/>
  <c r="O2241" i="7"/>
  <c r="O2248" i="7"/>
  <c r="O2250" i="7"/>
  <c r="O2252" i="7"/>
  <c r="O2254" i="7"/>
  <c r="O2256" i="7"/>
  <c r="O2258" i="7"/>
  <c r="O2265" i="7"/>
  <c r="O2268" i="7"/>
  <c r="O2272" i="7"/>
  <c r="O2290" i="7"/>
  <c r="O2292" i="7"/>
  <c r="O2294" i="7"/>
  <c r="O2296" i="7"/>
  <c r="O2298" i="7"/>
  <c r="O2302" i="7"/>
  <c r="O2305" i="7"/>
  <c r="O2306" i="7"/>
  <c r="O2307" i="7"/>
  <c r="O2311" i="7"/>
  <c r="O2312" i="7"/>
  <c r="O2313" i="7"/>
  <c r="P2313" i="7"/>
  <c r="O2314" i="7"/>
  <c r="O2318" i="7"/>
  <c r="O2319" i="7"/>
  <c r="O2321" i="7"/>
  <c r="O2323" i="7"/>
  <c r="P2323" i="7"/>
  <c r="O2326" i="7"/>
  <c r="P2326" i="7"/>
  <c r="O2329" i="7"/>
  <c r="O2330" i="7"/>
  <c r="O2332" i="7"/>
  <c r="P2332" i="7"/>
  <c r="O2341" i="7"/>
  <c r="P2341" i="7"/>
  <c r="O2342" i="7"/>
  <c r="P2342" i="7"/>
  <c r="O2356" i="7"/>
  <c r="P2366" i="7"/>
  <c r="O2381" i="7"/>
  <c r="O2382" i="7"/>
  <c r="O2393" i="7"/>
  <c r="O2407" i="7"/>
  <c r="O2411" i="7"/>
  <c r="O2415" i="7"/>
  <c r="O2419" i="7"/>
  <c r="O2423" i="7"/>
  <c r="O2427" i="7"/>
  <c r="O2431" i="7"/>
  <c r="O2443" i="7"/>
  <c r="O2447" i="7"/>
  <c r="O2451" i="7"/>
  <c r="O2455" i="7"/>
  <c r="O2459" i="7"/>
  <c r="O2105" i="7"/>
  <c r="O2128" i="7"/>
  <c r="O2130" i="7"/>
  <c r="O2132" i="7"/>
  <c r="O2134" i="7"/>
  <c r="O2136" i="7"/>
  <c r="O2138" i="7"/>
  <c r="O2140" i="7"/>
  <c r="O2146" i="7"/>
  <c r="O2148" i="7"/>
  <c r="O2150" i="7"/>
  <c r="O2152" i="7"/>
  <c r="O2154" i="7"/>
  <c r="O2156" i="7"/>
  <c r="O2158" i="7"/>
  <c r="O2160" i="7"/>
  <c r="O2206" i="7"/>
  <c r="O2212" i="7"/>
  <c r="O2214" i="7"/>
  <c r="O2218" i="7"/>
  <c r="O2228" i="7"/>
  <c r="O2230" i="7"/>
  <c r="O2232" i="7"/>
  <c r="O2235" i="7"/>
  <c r="O2237" i="7"/>
  <c r="O2240" i="7"/>
  <c r="O2243" i="7"/>
  <c r="O2245" i="7"/>
  <c r="O2260" i="7"/>
  <c r="O2261" i="7"/>
  <c r="O2264" i="7"/>
  <c r="O2270" i="7"/>
  <c r="O2271" i="7"/>
  <c r="O2276" i="7"/>
  <c r="O2281" i="7"/>
  <c r="O2283" i="7"/>
  <c r="O2285" i="7"/>
  <c r="O2287" i="7"/>
  <c r="O2289" i="7"/>
  <c r="O2310" i="7"/>
  <c r="O2316" i="7"/>
  <c r="P2316" i="7"/>
  <c r="O2317" i="7"/>
  <c r="O2324" i="7"/>
  <c r="P2324" i="7"/>
  <c r="O2325" i="7"/>
  <c r="O2327" i="7"/>
  <c r="P2327" i="7"/>
  <c r="O2328" i="7"/>
  <c r="O2333" i="7"/>
  <c r="P2333" i="7"/>
  <c r="O2336" i="7"/>
  <c r="P2343" i="7"/>
  <c r="P2344" i="7"/>
  <c r="P2345" i="7"/>
  <c r="P2346" i="7"/>
  <c r="P2347" i="7"/>
  <c r="P2349" i="7"/>
  <c r="O2364" i="7"/>
  <c r="O2383" i="7"/>
  <c r="O2384" i="7"/>
  <c r="O2385" i="7"/>
  <c r="O2408" i="7"/>
  <c r="O2412" i="7"/>
  <c r="O2416" i="7"/>
  <c r="O2420" i="7"/>
  <c r="O2424" i="7"/>
  <c r="O2428" i="7"/>
  <c r="O2432" i="7"/>
  <c r="O2444" i="7"/>
  <c r="O2448" i="7"/>
  <c r="O2452" i="7"/>
  <c r="O2456" i="7"/>
  <c r="O2460" i="7"/>
  <c r="O2114" i="7"/>
  <c r="O2116" i="7"/>
  <c r="O2118" i="7"/>
  <c r="O2121" i="7"/>
  <c r="O2123" i="7"/>
  <c r="O2125" i="7"/>
  <c r="O2127" i="7"/>
  <c r="O2143" i="7"/>
  <c r="O2162" i="7"/>
  <c r="O2164" i="7"/>
  <c r="O2166" i="7"/>
  <c r="O2168" i="7"/>
  <c r="O2170" i="7"/>
  <c r="O2172" i="7"/>
  <c r="O2174" i="7"/>
  <c r="O2176" i="7"/>
  <c r="O2178" i="7"/>
  <c r="O2180" i="7"/>
  <c r="O2182" i="7"/>
  <c r="O2184" i="7"/>
  <c r="O2186" i="7"/>
  <c r="O2188" i="7"/>
  <c r="O2190" i="7"/>
  <c r="O2192" i="7"/>
  <c r="O2194" i="7"/>
  <c r="O2196" i="7"/>
  <c r="O2198" i="7"/>
  <c r="O2200" i="7"/>
  <c r="O2202" i="7"/>
  <c r="O2208" i="7"/>
  <c r="O2211" i="7"/>
  <c r="O2217" i="7"/>
  <c r="O2221" i="7"/>
  <c r="O2223" i="7"/>
  <c r="O2225" i="7"/>
  <c r="O2227" i="7"/>
  <c r="O2239" i="7"/>
  <c r="O2247" i="7"/>
  <c r="O2249" i="7"/>
  <c r="O2251" i="7"/>
  <c r="O2253" i="7"/>
  <c r="O2255" i="7"/>
  <c r="O2257" i="7"/>
  <c r="O2259" i="7"/>
  <c r="O2263" i="7"/>
  <c r="O2267" i="7"/>
  <c r="O2274" i="7"/>
  <c r="P2274" i="7"/>
  <c r="O2291" i="7"/>
  <c r="O2293" i="7"/>
  <c r="O2295" i="7"/>
  <c r="O2297" i="7"/>
  <c r="O2299" i="7"/>
  <c r="O2300" i="7"/>
  <c r="O2301" i="7"/>
  <c r="O2304" i="7"/>
  <c r="O2309" i="7"/>
  <c r="O2315" i="7"/>
  <c r="O2320" i="7"/>
  <c r="O2322" i="7"/>
  <c r="O2331" i="7"/>
  <c r="O2334" i="7"/>
  <c r="P2334" i="7"/>
  <c r="O2340" i="7"/>
  <c r="O2343" i="7"/>
  <c r="O2344" i="7"/>
  <c r="O2345" i="7"/>
  <c r="O2346" i="7"/>
  <c r="O2347" i="7"/>
  <c r="O2348" i="7"/>
  <c r="O2349" i="7"/>
  <c r="O2352" i="7"/>
  <c r="O2354" i="7"/>
  <c r="P2358" i="7"/>
  <c r="P2361" i="7"/>
  <c r="P2362" i="7"/>
  <c r="P2363" i="7"/>
  <c r="O2366" i="7"/>
  <c r="O2367" i="7"/>
  <c r="P2381" i="7"/>
  <c r="P2385" i="7"/>
  <c r="O2391" i="7"/>
  <c r="O2409" i="7"/>
  <c r="O2413" i="7"/>
  <c r="O2417" i="7"/>
  <c r="O2421" i="7"/>
  <c r="O2425" i="7"/>
  <c r="O2429" i="7"/>
  <c r="O2433" i="7"/>
  <c r="O2441" i="7"/>
  <c r="O2445" i="7"/>
  <c r="O2449" i="7"/>
  <c r="O2453" i="7"/>
  <c r="O2457" i="7"/>
  <c r="O2104" i="7"/>
  <c r="O2129" i="7"/>
  <c r="O2131" i="7"/>
  <c r="O2133" i="7"/>
  <c r="O2135" i="7"/>
  <c r="O2137" i="7"/>
  <c r="O2139" i="7"/>
  <c r="O2142" i="7"/>
  <c r="O2145" i="7"/>
  <c r="O2147" i="7"/>
  <c r="O2149" i="7"/>
  <c r="O2151" i="7"/>
  <c r="O2153" i="7"/>
  <c r="O2155" i="7"/>
  <c r="O2157" i="7"/>
  <c r="O2159" i="7"/>
  <c r="O2161" i="7"/>
  <c r="O2205" i="7"/>
  <c r="O2210" i="7"/>
  <c r="O2213" i="7"/>
  <c r="O2216" i="7"/>
  <c r="O2220" i="7"/>
  <c r="O2229" i="7"/>
  <c r="O2231" i="7"/>
  <c r="O2233" i="7"/>
  <c r="O2234" i="7"/>
  <c r="O2236" i="7"/>
  <c r="O2238" i="7"/>
  <c r="O2242" i="7"/>
  <c r="O2244" i="7"/>
  <c r="O2246" i="7"/>
  <c r="O2262" i="7"/>
  <c r="O2266" i="7"/>
  <c r="O2269" i="7"/>
  <c r="O2273" i="7"/>
  <c r="O2275" i="7"/>
  <c r="O2277" i="7"/>
  <c r="O2278" i="7"/>
  <c r="O2279" i="7"/>
  <c r="O2280" i="7"/>
  <c r="O2282" i="7"/>
  <c r="O2284" i="7"/>
  <c r="O2286" i="7"/>
  <c r="O2288" i="7"/>
  <c r="O2303" i="7"/>
  <c r="O2308" i="7"/>
  <c r="O2335" i="7"/>
  <c r="O2337" i="7"/>
  <c r="P2337" i="7"/>
  <c r="O2338" i="7"/>
  <c r="O2339" i="7"/>
  <c r="O2355" i="7"/>
  <c r="P2356" i="7"/>
  <c r="O2357" i="7"/>
  <c r="O2358" i="7"/>
  <c r="O2359" i="7"/>
  <c r="O2360" i="7"/>
  <c r="O2361" i="7"/>
  <c r="O2362" i="7"/>
  <c r="O2363" i="7"/>
  <c r="O2365" i="7"/>
  <c r="O2368" i="7"/>
  <c r="P2383" i="7"/>
  <c r="P2384" i="7"/>
  <c r="O2410" i="7"/>
  <c r="O2414" i="7"/>
  <c r="O2418" i="7"/>
  <c r="O2422" i="7"/>
  <c r="O2426" i="7"/>
  <c r="O2430" i="7"/>
  <c r="O2434" i="7"/>
  <c r="O2442" i="7"/>
  <c r="O2446" i="7"/>
  <c r="O2450" i="7"/>
  <c r="O2454" i="7"/>
  <c r="O2458" i="7"/>
  <c r="O2464" i="7"/>
  <c r="O2493" i="7"/>
  <c r="O2494" i="7"/>
  <c r="O2504" i="7"/>
  <c r="O2516" i="7"/>
  <c r="O2517" i="7"/>
  <c r="P2517" i="7"/>
  <c r="O2518" i="7"/>
  <c r="P2518" i="7"/>
  <c r="O2519" i="7"/>
  <c r="P2519" i="7"/>
  <c r="O2520" i="7"/>
  <c r="P2520" i="7"/>
  <c r="O2521" i="7"/>
  <c r="P2521" i="7"/>
  <c r="O2522" i="7"/>
  <c r="P2522" i="7"/>
  <c r="O2523" i="7"/>
  <c r="P2523" i="7"/>
  <c r="O2524" i="7"/>
  <c r="P2524" i="7"/>
  <c r="O2525" i="7"/>
  <c r="O2526" i="7"/>
  <c r="O2527" i="7"/>
  <c r="O2528" i="7"/>
  <c r="O2529" i="7"/>
  <c r="O2530" i="7"/>
  <c r="O2531" i="7"/>
  <c r="O2538" i="7"/>
  <c r="O2557" i="7"/>
  <c r="P2557" i="7"/>
  <c r="O2582" i="7"/>
  <c r="P2582" i="7"/>
  <c r="O2583" i="7"/>
  <c r="P2583" i="7"/>
  <c r="O2703" i="7"/>
  <c r="P2704" i="7"/>
  <c r="P2705" i="7"/>
  <c r="P2718" i="7"/>
  <c r="P2719" i="7"/>
  <c r="O2729" i="7"/>
  <c r="O2760" i="7"/>
  <c r="O2350" i="7"/>
  <c r="P2350" i="7"/>
  <c r="O2351" i="7"/>
  <c r="O2353" i="7"/>
  <c r="O2386" i="7"/>
  <c r="O2387" i="7"/>
  <c r="P2387" i="7"/>
  <c r="O2388" i="7"/>
  <c r="P2388" i="7"/>
  <c r="O2396" i="7"/>
  <c r="O2406" i="7"/>
  <c r="O2440" i="7"/>
  <c r="O2463" i="7"/>
  <c r="O2469" i="7"/>
  <c r="O2470" i="7"/>
  <c r="O2471" i="7"/>
  <c r="O2472" i="7"/>
  <c r="O2473" i="7"/>
  <c r="O2474" i="7"/>
  <c r="O2475" i="7"/>
  <c r="O2476" i="7"/>
  <c r="O2477" i="7"/>
  <c r="O2478" i="7"/>
  <c r="O2479" i="7"/>
  <c r="O2480" i="7"/>
  <c r="O2481" i="7"/>
  <c r="O2482" i="7"/>
  <c r="O2483" i="7"/>
  <c r="O2484" i="7"/>
  <c r="O2485" i="7"/>
  <c r="O2486" i="7"/>
  <c r="O2487" i="7"/>
  <c r="O2488" i="7"/>
  <c r="O2489" i="7"/>
  <c r="O2490" i="7"/>
  <c r="O2491" i="7"/>
  <c r="O2492" i="7"/>
  <c r="O2503" i="7"/>
  <c r="O2515" i="7"/>
  <c r="O2537" i="7"/>
  <c r="O2539" i="7"/>
  <c r="P2539" i="7"/>
  <c r="O2540" i="7"/>
  <c r="P2540" i="7"/>
  <c r="O2541" i="7"/>
  <c r="P2541" i="7"/>
  <c r="O2542" i="7"/>
  <c r="P2542" i="7"/>
  <c r="O2543" i="7"/>
  <c r="P2543" i="7"/>
  <c r="O2544" i="7"/>
  <c r="P2544" i="7"/>
  <c r="O2545" i="7"/>
  <c r="P2545" i="7"/>
  <c r="O2547" i="7"/>
  <c r="P2547" i="7"/>
  <c r="O2548" i="7"/>
  <c r="O2549" i="7"/>
  <c r="P2549" i="7"/>
  <c r="O2550" i="7"/>
  <c r="P2550" i="7"/>
  <c r="O2551" i="7"/>
  <c r="P2551" i="7"/>
  <c r="O2552" i="7"/>
  <c r="P2552" i="7"/>
  <c r="O2553" i="7"/>
  <c r="P2553" i="7"/>
  <c r="O2554" i="7"/>
  <c r="P2554" i="7"/>
  <c r="O2558" i="7"/>
  <c r="P2558" i="7"/>
  <c r="O2559" i="7"/>
  <c r="P2559" i="7"/>
  <c r="O2560" i="7"/>
  <c r="P2560" i="7"/>
  <c r="O2561" i="7"/>
  <c r="P2561" i="7"/>
  <c r="O2562" i="7"/>
  <c r="P2562" i="7"/>
  <c r="O2563" i="7"/>
  <c r="P2563" i="7"/>
  <c r="O2564" i="7"/>
  <c r="P2564" i="7"/>
  <c r="O2565" i="7"/>
  <c r="P2565" i="7"/>
  <c r="O2566" i="7"/>
  <c r="P2566" i="7"/>
  <c r="O2567" i="7"/>
  <c r="O2568" i="7"/>
  <c r="P2568" i="7"/>
  <c r="O2580" i="7"/>
  <c r="O2584" i="7"/>
  <c r="P2584" i="7"/>
  <c r="O2585" i="7"/>
  <c r="P2585" i="7"/>
  <c r="O2586" i="7"/>
  <c r="P2586" i="7"/>
  <c r="O2587" i="7"/>
  <c r="P2587" i="7"/>
  <c r="O2588" i="7"/>
  <c r="P2588" i="7"/>
  <c r="O2589" i="7"/>
  <c r="P2589" i="7"/>
  <c r="P2706" i="7"/>
  <c r="O2726" i="7"/>
  <c r="O2730" i="7"/>
  <c r="O2746" i="7"/>
  <c r="O2776" i="7"/>
  <c r="O2369" i="7"/>
  <c r="O2370" i="7"/>
  <c r="P2370" i="7"/>
  <c r="O2371" i="7"/>
  <c r="O2372" i="7"/>
  <c r="P2372" i="7"/>
  <c r="O2373" i="7"/>
  <c r="P2373" i="7"/>
  <c r="O2374" i="7"/>
  <c r="P2374" i="7"/>
  <c r="O2375" i="7"/>
  <c r="P2375" i="7"/>
  <c r="O2376" i="7"/>
  <c r="O2377" i="7"/>
  <c r="P2377" i="7"/>
  <c r="O2378" i="7"/>
  <c r="O2379" i="7"/>
  <c r="O2380" i="7"/>
  <c r="P2380" i="7"/>
  <c r="O2389" i="7"/>
  <c r="P2389" i="7"/>
  <c r="O2390" i="7"/>
  <c r="O2392" i="7"/>
  <c r="O2394" i="7"/>
  <c r="O2395" i="7"/>
  <c r="P2395" i="7"/>
  <c r="O2405" i="7"/>
  <c r="O2437" i="7"/>
  <c r="O2438" i="7"/>
  <c r="O2439" i="7"/>
  <c r="O2462" i="7"/>
  <c r="O2499" i="7"/>
  <c r="O2500" i="7"/>
  <c r="O2501" i="7"/>
  <c r="O2502" i="7"/>
  <c r="O2555" i="7"/>
  <c r="P2555" i="7"/>
  <c r="O2569" i="7"/>
  <c r="P2569" i="7"/>
  <c r="O2570" i="7"/>
  <c r="O2571" i="7"/>
  <c r="O2572" i="7"/>
  <c r="O2573" i="7"/>
  <c r="P2573" i="7"/>
  <c r="O2574" i="7"/>
  <c r="O2575" i="7"/>
  <c r="P2575" i="7"/>
  <c r="O2576" i="7"/>
  <c r="O2577" i="7"/>
  <c r="O2578" i="7"/>
  <c r="P2578" i="7"/>
  <c r="O2581" i="7"/>
  <c r="P2581" i="7"/>
  <c r="O2590" i="7"/>
  <c r="O2591" i="7"/>
  <c r="P2591" i="7"/>
  <c r="O2704" i="7"/>
  <c r="O2705" i="7"/>
  <c r="O2727" i="7"/>
  <c r="O2747" i="7"/>
  <c r="O2764" i="7"/>
  <c r="O2770" i="7"/>
  <c r="O2397" i="7"/>
  <c r="P2397" i="7"/>
  <c r="O2398" i="7"/>
  <c r="P2398" i="7"/>
  <c r="O2399" i="7"/>
  <c r="P2399" i="7"/>
  <c r="O2400" i="7"/>
  <c r="P2400" i="7"/>
  <c r="O2401" i="7"/>
  <c r="P2401" i="7"/>
  <c r="O2402" i="7"/>
  <c r="P2402" i="7"/>
  <c r="O2403" i="7"/>
  <c r="O2404" i="7"/>
  <c r="O2435" i="7"/>
  <c r="O2436" i="7"/>
  <c r="O2461" i="7"/>
  <c r="O2465" i="7"/>
  <c r="O2466" i="7"/>
  <c r="O2467" i="7"/>
  <c r="O2468" i="7"/>
  <c r="O2495" i="7"/>
  <c r="O2496" i="7"/>
  <c r="O2497" i="7"/>
  <c r="O2498" i="7"/>
  <c r="O2505" i="7"/>
  <c r="O2506" i="7"/>
  <c r="O2507" i="7"/>
  <c r="O2508" i="7"/>
  <c r="O2509" i="7"/>
  <c r="O2510" i="7"/>
  <c r="O2511" i="7"/>
  <c r="O2512" i="7"/>
  <c r="O2513" i="7"/>
  <c r="O2514" i="7"/>
  <c r="O2532" i="7"/>
  <c r="O2533" i="7"/>
  <c r="O2534" i="7"/>
  <c r="P2534" i="7"/>
  <c r="O2535" i="7"/>
  <c r="P2535" i="7"/>
  <c r="O2536" i="7"/>
  <c r="P2536" i="7"/>
  <c r="O2546" i="7"/>
  <c r="O2556" i="7"/>
  <c r="P2556" i="7"/>
  <c r="O2579" i="7"/>
  <c r="P2579" i="7"/>
  <c r="O2706" i="7"/>
  <c r="O2718" i="7"/>
  <c r="O2719" i="7"/>
  <c r="O2728" i="7"/>
  <c r="O2748" i="7"/>
  <c r="O2771" i="7"/>
  <c r="O2798" i="7"/>
  <c r="O2800" i="7"/>
  <c r="P2800" i="7"/>
  <c r="O2801" i="7"/>
  <c r="P2801" i="7"/>
  <c r="O2805" i="7"/>
  <c r="O2806" i="7"/>
  <c r="O2807" i="7"/>
  <c r="O2816" i="7"/>
  <c r="O2817" i="7"/>
  <c r="O2818" i="7"/>
  <c r="P2818" i="7"/>
  <c r="O2840" i="7"/>
  <c r="P2840" i="7"/>
  <c r="O3008" i="7"/>
  <c r="O3012" i="7"/>
  <c r="O3013" i="7"/>
  <c r="O3014" i="7"/>
  <c r="O3085" i="7"/>
  <c r="O3086" i="7"/>
  <c r="O2713" i="7"/>
  <c r="O2720" i="7"/>
  <c r="P2720" i="7"/>
  <c r="O2725" i="7"/>
  <c r="O2745" i="7"/>
  <c r="O2759" i="7"/>
  <c r="O2763" i="7"/>
  <c r="O2769" i="7"/>
  <c r="O2775" i="7"/>
  <c r="O2781" i="7"/>
  <c r="O2782" i="7"/>
  <c r="O2783" i="7"/>
  <c r="O2784" i="7"/>
  <c r="O2785" i="7"/>
  <c r="O2786" i="7"/>
  <c r="O2787" i="7"/>
  <c r="O2788" i="7"/>
  <c r="O2792" i="7"/>
  <c r="O2797" i="7"/>
  <c r="O2802" i="7"/>
  <c r="P2802" i="7"/>
  <c r="O2819" i="7"/>
  <c r="O2820" i="7"/>
  <c r="P2820" i="7"/>
  <c r="O2821" i="7"/>
  <c r="O2822" i="7"/>
  <c r="P2822" i="7"/>
  <c r="O2823" i="7"/>
  <c r="P2823" i="7"/>
  <c r="O2827" i="7"/>
  <c r="O2829" i="7"/>
  <c r="P2829" i="7"/>
  <c r="O3007" i="7"/>
  <c r="O3011" i="7"/>
  <c r="P3063" i="7"/>
  <c r="P3066" i="7"/>
  <c r="P3069" i="7"/>
  <c r="P3075" i="7"/>
  <c r="P3078" i="7"/>
  <c r="P3080" i="7"/>
  <c r="P3081" i="7"/>
  <c r="O3084" i="7"/>
  <c r="O2707" i="7"/>
  <c r="O2708" i="7"/>
  <c r="P2708" i="7"/>
  <c r="O2709" i="7"/>
  <c r="O2710" i="7"/>
  <c r="O2711" i="7"/>
  <c r="P2711" i="7"/>
  <c r="O2721" i="7"/>
  <c r="O2722" i="7"/>
  <c r="O2723" i="7"/>
  <c r="O2724" i="7"/>
  <c r="O2738" i="7"/>
  <c r="O2739" i="7"/>
  <c r="O2740" i="7"/>
  <c r="O2741" i="7"/>
  <c r="O2742" i="7"/>
  <c r="O2743" i="7"/>
  <c r="O2744" i="7"/>
  <c r="O2757" i="7"/>
  <c r="O2758" i="7"/>
  <c r="O2762" i="7"/>
  <c r="O2768" i="7"/>
  <c r="O2773" i="7"/>
  <c r="O2774" i="7"/>
  <c r="O2778" i="7"/>
  <c r="O2779" i="7"/>
  <c r="O2780" i="7"/>
  <c r="O2803" i="7"/>
  <c r="P2803" i="7"/>
  <c r="O2804" i="7"/>
  <c r="P2804" i="7"/>
  <c r="O2808" i="7"/>
  <c r="P2808" i="7"/>
  <c r="O2809" i="7"/>
  <c r="P2809" i="7"/>
  <c r="O2830" i="7"/>
  <c r="O2831" i="7"/>
  <c r="O2832" i="7"/>
  <c r="P2832" i="7"/>
  <c r="O2833" i="7"/>
  <c r="P2833" i="7"/>
  <c r="O2834" i="7"/>
  <c r="P2834" i="7"/>
  <c r="O2835" i="7"/>
  <c r="P2835" i="7"/>
  <c r="O2836" i="7"/>
  <c r="P2836" i="7"/>
  <c r="O2837" i="7"/>
  <c r="P2837" i="7"/>
  <c r="O2838" i="7"/>
  <c r="P2838" i="7"/>
  <c r="O2839" i="7"/>
  <c r="P2839" i="7"/>
  <c r="O3003" i="7"/>
  <c r="O3004" i="7"/>
  <c r="O3005" i="7"/>
  <c r="O3006" i="7"/>
  <c r="O3010" i="7"/>
  <c r="O3021" i="7"/>
  <c r="O3022" i="7"/>
  <c r="O3023" i="7"/>
  <c r="O3024" i="7"/>
  <c r="O3025" i="7"/>
  <c r="O3026" i="7"/>
  <c r="O3027" i="7"/>
  <c r="O3028" i="7"/>
  <c r="O3029" i="7"/>
  <c r="O3030" i="7"/>
  <c r="O3031" i="7"/>
  <c r="O3032" i="7"/>
  <c r="O3033" i="7"/>
  <c r="O3034" i="7"/>
  <c r="O3035" i="7"/>
  <c r="O3036" i="7"/>
  <c r="O3037" i="7"/>
  <c r="O3038" i="7"/>
  <c r="O3039" i="7"/>
  <c r="O3040" i="7"/>
  <c r="O3041" i="7"/>
  <c r="O3042" i="7"/>
  <c r="O3043" i="7"/>
  <c r="O3044" i="7"/>
  <c r="O3045" i="7"/>
  <c r="O3046" i="7"/>
  <c r="O3047" i="7"/>
  <c r="O3048" i="7"/>
  <c r="O3049" i="7"/>
  <c r="O3050" i="7"/>
  <c r="O3051" i="7"/>
  <c r="O3052" i="7"/>
  <c r="O3053" i="7"/>
  <c r="O3054" i="7"/>
  <c r="O3055" i="7"/>
  <c r="O3056" i="7"/>
  <c r="O3057" i="7"/>
  <c r="O3058" i="7"/>
  <c r="O3059" i="7"/>
  <c r="O3060" i="7"/>
  <c r="O3061" i="7"/>
  <c r="O3062" i="7"/>
  <c r="O3063" i="7"/>
  <c r="O3064" i="7"/>
  <c r="O3065" i="7"/>
  <c r="O3066" i="7"/>
  <c r="O3067" i="7"/>
  <c r="O3068" i="7"/>
  <c r="O3069" i="7"/>
  <c r="O3070" i="7"/>
  <c r="O3071" i="7"/>
  <c r="O3072" i="7"/>
  <c r="O3073" i="7"/>
  <c r="O3074" i="7"/>
  <c r="O3075" i="7"/>
  <c r="O3076" i="7"/>
  <c r="O3077" i="7"/>
  <c r="O3078" i="7"/>
  <c r="O3079" i="7"/>
  <c r="O3080" i="7"/>
  <c r="O3081" i="7"/>
  <c r="O3082" i="7"/>
  <c r="O3083" i="7"/>
  <c r="O2712" i="7"/>
  <c r="P2712" i="7"/>
  <c r="O2714" i="7"/>
  <c r="P2714" i="7"/>
  <c r="O2715" i="7"/>
  <c r="O2716" i="7"/>
  <c r="P2716" i="7"/>
  <c r="O2717" i="7"/>
  <c r="P2717" i="7"/>
  <c r="O2731" i="7"/>
  <c r="O2732" i="7"/>
  <c r="O2733" i="7"/>
  <c r="O2734" i="7"/>
  <c r="O2735" i="7"/>
  <c r="O2736" i="7"/>
  <c r="O2737" i="7"/>
  <c r="O2749" i="7"/>
  <c r="O2750" i="7"/>
  <c r="O2751" i="7"/>
  <c r="O2752" i="7"/>
  <c r="O2753" i="7"/>
  <c r="O2754" i="7"/>
  <c r="O2755" i="7"/>
  <c r="O2756" i="7"/>
  <c r="O2761" i="7"/>
  <c r="O2765" i="7"/>
  <c r="O2766" i="7"/>
  <c r="O2767" i="7"/>
  <c r="O2772" i="7"/>
  <c r="O2777" i="7"/>
  <c r="O2789" i="7"/>
  <c r="O2790" i="7"/>
  <c r="O2791" i="7"/>
  <c r="O2793" i="7"/>
  <c r="O2794" i="7"/>
  <c r="O2795" i="7"/>
  <c r="P2795" i="7"/>
  <c r="O2796" i="7"/>
  <c r="O2799" i="7"/>
  <c r="O2810" i="7"/>
  <c r="P2810" i="7"/>
  <c r="O2811" i="7"/>
  <c r="O2812" i="7"/>
  <c r="P2812" i="7"/>
  <c r="O2813" i="7"/>
  <c r="P2813" i="7"/>
  <c r="O2814" i="7"/>
  <c r="P2814" i="7"/>
  <c r="O2815" i="7"/>
  <c r="P2815" i="7"/>
  <c r="O2824" i="7"/>
  <c r="O2825" i="7"/>
  <c r="O2826" i="7"/>
  <c r="O2828" i="7"/>
  <c r="O3009" i="7"/>
  <c r="O3015" i="7"/>
  <c r="O3016" i="7"/>
  <c r="O3017" i="7"/>
  <c r="O3018" i="7"/>
  <c r="O3019" i="7"/>
  <c r="O3020" i="7"/>
  <c r="O3087" i="7"/>
  <c r="O3088" i="7"/>
  <c r="O3089" i="7"/>
  <c r="O3645" i="7"/>
  <c r="O3646" i="7"/>
  <c r="O3647" i="7"/>
  <c r="O3648" i="7"/>
  <c r="O3649" i="7"/>
  <c r="O3650" i="7"/>
  <c r="O3651" i="7"/>
  <c r="O3652" i="7"/>
  <c r="O3653" i="7"/>
  <c r="O3654" i="7"/>
  <c r="O3655" i="7"/>
  <c r="O3656" i="7"/>
  <c r="O3657" i="7"/>
  <c r="O3658" i="7"/>
  <c r="O3659" i="7"/>
  <c r="O3660" i="7"/>
  <c r="O3661" i="7"/>
  <c r="O3662" i="7"/>
  <c r="O3663" i="7"/>
  <c r="O3664" i="7"/>
  <c r="O3665" i="7"/>
  <c r="O3666" i="7"/>
  <c r="O3667" i="7"/>
  <c r="O3668" i="7"/>
  <c r="O3669" i="7"/>
  <c r="O3670" i="7"/>
  <c r="O3671" i="7"/>
  <c r="O3672" i="7"/>
  <c r="O3673" i="7"/>
  <c r="O3674" i="7"/>
  <c r="O3675" i="7"/>
  <c r="O3676" i="7"/>
  <c r="O3677" i="7"/>
  <c r="O3678" i="7"/>
  <c r="O3679" i="7"/>
  <c r="O3680" i="7"/>
  <c r="O3681" i="7"/>
  <c r="O3682" i="7"/>
  <c r="O3683" i="7"/>
  <c r="O3684" i="7"/>
  <c r="O3685" i="7"/>
  <c r="O3686" i="7"/>
  <c r="O3687" i="7"/>
  <c r="O3688" i="7"/>
  <c r="O3689" i="7"/>
  <c r="P3689" i="7"/>
  <c r="O3726" i="7"/>
  <c r="P3726" i="7"/>
  <c r="O3728" i="7"/>
  <c r="O3733" i="7"/>
  <c r="P3733" i="7"/>
  <c r="O3735" i="7"/>
  <c r="P3735" i="7"/>
  <c r="O3737" i="7"/>
  <c r="O3741" i="7"/>
  <c r="P3741" i="7"/>
  <c r="O3743" i="7"/>
  <c r="O3744" i="7"/>
  <c r="P3744" i="7"/>
  <c r="O3765" i="7"/>
  <c r="P3766" i="7"/>
  <c r="O3690" i="7"/>
  <c r="P3690" i="7"/>
  <c r="O3721" i="7"/>
  <c r="P3721" i="7"/>
  <c r="O3727" i="7"/>
  <c r="P3727" i="7"/>
  <c r="O3729" i="7"/>
  <c r="P3729" i="7"/>
  <c r="O3736" i="7"/>
  <c r="P3736" i="7"/>
  <c r="O3738" i="7"/>
  <c r="P3738" i="7"/>
  <c r="O3745" i="7"/>
  <c r="O3746" i="7"/>
  <c r="O3747" i="7"/>
  <c r="O3748" i="7"/>
  <c r="O3749" i="7"/>
  <c r="O3750" i="7"/>
  <c r="O3751" i="7"/>
  <c r="O3752" i="7"/>
  <c r="O3753" i="7"/>
  <c r="O3754" i="7"/>
  <c r="O3755" i="7"/>
  <c r="O3756" i="7"/>
  <c r="O3757" i="7"/>
  <c r="O3758" i="7"/>
  <c r="O3759" i="7"/>
  <c r="P3759" i="7"/>
  <c r="O3766" i="7"/>
  <c r="O3772" i="7"/>
  <c r="O3691" i="7"/>
  <c r="O3692" i="7"/>
  <c r="O3693" i="7"/>
  <c r="O3694" i="7"/>
  <c r="O3695" i="7"/>
  <c r="O3696" i="7"/>
  <c r="O3697" i="7"/>
  <c r="O3698" i="7"/>
  <c r="O3699" i="7"/>
  <c r="O3700" i="7"/>
  <c r="P3700" i="7"/>
  <c r="O3714" i="7"/>
  <c r="O3722" i="7"/>
  <c r="O3723" i="7"/>
  <c r="O3724" i="7"/>
  <c r="P3724" i="7"/>
  <c r="O3730" i="7"/>
  <c r="O3731" i="7"/>
  <c r="P3731" i="7"/>
  <c r="O3739" i="7"/>
  <c r="P3739" i="7"/>
  <c r="O3760" i="7"/>
  <c r="P3760" i="7"/>
  <c r="O3763" i="7"/>
  <c r="P3770" i="7"/>
  <c r="O3603" i="7"/>
  <c r="O3604" i="7"/>
  <c r="O3605" i="7"/>
  <c r="O3606" i="7"/>
  <c r="O3607" i="7"/>
  <c r="O3608" i="7"/>
  <c r="O3609" i="7"/>
  <c r="O3610" i="7"/>
  <c r="O3611" i="7"/>
  <c r="O3612" i="7"/>
  <c r="O3613" i="7"/>
  <c r="O3614" i="7"/>
  <c r="O3615" i="7"/>
  <c r="O3616" i="7"/>
  <c r="O3617" i="7"/>
  <c r="O3618" i="7"/>
  <c r="O3619" i="7"/>
  <c r="O3620" i="7"/>
  <c r="O3621" i="7"/>
  <c r="O3622" i="7"/>
  <c r="O3623" i="7"/>
  <c r="O3624" i="7"/>
  <c r="O3625" i="7"/>
  <c r="O3626" i="7"/>
  <c r="O3627" i="7"/>
  <c r="O3628" i="7"/>
  <c r="O3629" i="7"/>
  <c r="O3630" i="7"/>
  <c r="O3631" i="7"/>
  <c r="O3632" i="7"/>
  <c r="O3633" i="7"/>
  <c r="O3634" i="7"/>
  <c r="O3635" i="7"/>
  <c r="O3636" i="7"/>
  <c r="O3637" i="7"/>
  <c r="O3638" i="7"/>
  <c r="O3639" i="7"/>
  <c r="O3640" i="7"/>
  <c r="O3641" i="7"/>
  <c r="O3642" i="7"/>
  <c r="O3643" i="7"/>
  <c r="O3644" i="7"/>
  <c r="P3644" i="7"/>
  <c r="O3701" i="7"/>
  <c r="O3702" i="7"/>
  <c r="O3703" i="7"/>
  <c r="O3704" i="7"/>
  <c r="O3705" i="7"/>
  <c r="O3706" i="7"/>
  <c r="O3707" i="7"/>
  <c r="O3708" i="7"/>
  <c r="O3709" i="7"/>
  <c r="O3710" i="7"/>
  <c r="O3711" i="7"/>
  <c r="O3712" i="7"/>
  <c r="O3713" i="7"/>
  <c r="P3713" i="7"/>
  <c r="O3715" i="7"/>
  <c r="O3716" i="7"/>
  <c r="O3717" i="7"/>
  <c r="O3718" i="7"/>
  <c r="O3719" i="7"/>
  <c r="P3719" i="7"/>
  <c r="O3725" i="7"/>
  <c r="P3725" i="7"/>
  <c r="O3732" i="7"/>
  <c r="P3732" i="7"/>
  <c r="O3734" i="7"/>
  <c r="O3740" i="7"/>
  <c r="P3740" i="7"/>
  <c r="O3742" i="7"/>
  <c r="O3761" i="7"/>
  <c r="O3762" i="7"/>
  <c r="P3762" i="7"/>
  <c r="O3764" i="7"/>
  <c r="O3768" i="7"/>
  <c r="O3770" i="7"/>
  <c r="P3772" i="7"/>
  <c r="O3767" i="7"/>
  <c r="P3767" i="7"/>
  <c r="O3769" i="7"/>
  <c r="P3769" i="7"/>
  <c r="O3905" i="7"/>
  <c r="O3909" i="7"/>
  <c r="O3913" i="7"/>
  <c r="O3920" i="7"/>
  <c r="O3924" i="7"/>
  <c r="O3927" i="7"/>
  <c r="O3929" i="7"/>
  <c r="O3931" i="7"/>
  <c r="O3933" i="7"/>
  <c r="O3937" i="7"/>
  <c r="O3939" i="7"/>
  <c r="O3940" i="7"/>
  <c r="O3904" i="7"/>
  <c r="O3908" i="7"/>
  <c r="O3912" i="7"/>
  <c r="O3916" i="7"/>
  <c r="O3919" i="7"/>
  <c r="O3923" i="7"/>
  <c r="O3926" i="7"/>
  <c r="O3930" i="7"/>
  <c r="O3936" i="7"/>
  <c r="O3771" i="7"/>
  <c r="P3771" i="7"/>
  <c r="O3903" i="7"/>
  <c r="O3911" i="7"/>
  <c r="O3915" i="7"/>
  <c r="O3918" i="7"/>
  <c r="O3922" i="7"/>
  <c r="O3925" i="7"/>
  <c r="O3928" i="7"/>
  <c r="O3932" i="7"/>
  <c r="O3935" i="7"/>
  <c r="O3941" i="7"/>
  <c r="P3941" i="7"/>
  <c r="O3942" i="7"/>
  <c r="P3942" i="7"/>
  <c r="O3943" i="7"/>
  <c r="P3943" i="7"/>
  <c r="O3944" i="7"/>
  <c r="O3906" i="7"/>
  <c r="O3910" i="7"/>
  <c r="O3914" i="7"/>
  <c r="O3917" i="7"/>
  <c r="O3921" i="7"/>
  <c r="O3934" i="7"/>
  <c r="O3938" i="7"/>
  <c r="O4203" i="7"/>
  <c r="P4203" i="7"/>
  <c r="O4204" i="7"/>
  <c r="P4204" i="7"/>
  <c r="O4205" i="7"/>
  <c r="O4206" i="7"/>
  <c r="O4207" i="7"/>
  <c r="O4208" i="7"/>
  <c r="O4209" i="7"/>
  <c r="O4210" i="7"/>
  <c r="O4211" i="7"/>
  <c r="O4212" i="7"/>
  <c r="O4213" i="7"/>
  <c r="O4214" i="7"/>
  <c r="O4215" i="7"/>
  <c r="O4216" i="7"/>
  <c r="O4217" i="7"/>
  <c r="O4218" i="7"/>
  <c r="O4219" i="7"/>
  <c r="O4220" i="7"/>
  <c r="O4221" i="7"/>
  <c r="O4222" i="7"/>
  <c r="O4228" i="7"/>
  <c r="O4234" i="7"/>
  <c r="O4270" i="7"/>
  <c r="O4271" i="7"/>
  <c r="O4272" i="7"/>
  <c r="O4273" i="7"/>
  <c r="O4274" i="7"/>
  <c r="O4275" i="7"/>
  <c r="O4276" i="7"/>
  <c r="O4277" i="7"/>
  <c r="O4278" i="7"/>
  <c r="O4304" i="7"/>
  <c r="O4305" i="7"/>
  <c r="O4306" i="7"/>
  <c r="O4307" i="7"/>
  <c r="O4308" i="7"/>
  <c r="O4309" i="7"/>
  <c r="O4310" i="7"/>
  <c r="O4311" i="7"/>
  <c r="O4312" i="7"/>
  <c r="O4313" i="7"/>
  <c r="O4314" i="7"/>
  <c r="O4315" i="7"/>
  <c r="O4316" i="7"/>
  <c r="O4317" i="7"/>
  <c r="O4318" i="7"/>
  <c r="O4319" i="7"/>
  <c r="O4320" i="7"/>
  <c r="O4321" i="7"/>
  <c r="O4322" i="7"/>
  <c r="O4323" i="7"/>
  <c r="O4324" i="7"/>
  <c r="P4324" i="7"/>
  <c r="O4325" i="7"/>
  <c r="O4326" i="7"/>
  <c r="O4327" i="7"/>
  <c r="O4328" i="7"/>
  <c r="O4329" i="7"/>
  <c r="O4330" i="7"/>
  <c r="O4331" i="7"/>
  <c r="P4332" i="7"/>
  <c r="O4334" i="7"/>
  <c r="O4337" i="7"/>
  <c r="O4227" i="7"/>
  <c r="O4233" i="7"/>
  <c r="O4263" i="7"/>
  <c r="O4264" i="7"/>
  <c r="O4265" i="7"/>
  <c r="O4266" i="7"/>
  <c r="O4267" i="7"/>
  <c r="O4268" i="7"/>
  <c r="O4269" i="7"/>
  <c r="O4282" i="7"/>
  <c r="O4283" i="7"/>
  <c r="O4284" i="7"/>
  <c r="O4285" i="7"/>
  <c r="O4286" i="7"/>
  <c r="O4287" i="7"/>
  <c r="O4288" i="7"/>
  <c r="O4289" i="7"/>
  <c r="O4290" i="7"/>
  <c r="O4291" i="7"/>
  <c r="O4292" i="7"/>
  <c r="O4293" i="7"/>
  <c r="O4294" i="7"/>
  <c r="O4295" i="7"/>
  <c r="O4296" i="7"/>
  <c r="O4297" i="7"/>
  <c r="O4298" i="7"/>
  <c r="O4299" i="7"/>
  <c r="O4300" i="7"/>
  <c r="O4301" i="7"/>
  <c r="O4302" i="7"/>
  <c r="O4303" i="7"/>
  <c r="O4332" i="7"/>
  <c r="O4225" i="7"/>
  <c r="O4226" i="7"/>
  <c r="O4232" i="7"/>
  <c r="O4262" i="7"/>
  <c r="O4280" i="7"/>
  <c r="O4281" i="7"/>
  <c r="O4335" i="7"/>
  <c r="O4223" i="7"/>
  <c r="O4224" i="7"/>
  <c r="O4229" i="7"/>
  <c r="O4230" i="7"/>
  <c r="O4231" i="7"/>
  <c r="O4235" i="7"/>
  <c r="O4236" i="7"/>
  <c r="O4237" i="7"/>
  <c r="O4238" i="7"/>
  <c r="O4239" i="7"/>
  <c r="O4240" i="7"/>
  <c r="O4241" i="7"/>
  <c r="O4242" i="7"/>
  <c r="O4243" i="7"/>
  <c r="O4244" i="7"/>
  <c r="O4245" i="7"/>
  <c r="O4246" i="7"/>
  <c r="O4247" i="7"/>
  <c r="O4248" i="7"/>
  <c r="O4249" i="7"/>
  <c r="O4250" i="7"/>
  <c r="O4251" i="7"/>
  <c r="O4252" i="7"/>
  <c r="O4253" i="7"/>
  <c r="O4254" i="7"/>
  <c r="O4255" i="7"/>
  <c r="O4256" i="7"/>
  <c r="O4257" i="7"/>
  <c r="O4258" i="7"/>
  <c r="O4259" i="7"/>
  <c r="O4260" i="7"/>
  <c r="O4261" i="7"/>
  <c r="O4279" i="7"/>
  <c r="P4331" i="7"/>
  <c r="O4333" i="7"/>
  <c r="O4336" i="7"/>
  <c r="O4378" i="7"/>
  <c r="O4379" i="7"/>
  <c r="O4380" i="7"/>
  <c r="O4381" i="7"/>
  <c r="O4382" i="7"/>
  <c r="O4383" i="7"/>
  <c r="O4384" i="7"/>
  <c r="O4385" i="7"/>
  <c r="O4386" i="7"/>
  <c r="O4387" i="7"/>
  <c r="O4388" i="7"/>
  <c r="O4389" i="7"/>
  <c r="O4390" i="7"/>
  <c r="O4391" i="7"/>
  <c r="O4392" i="7"/>
  <c r="O4393" i="7"/>
  <c r="O4394" i="7"/>
  <c r="O4395" i="7"/>
  <c r="O4396" i="7"/>
  <c r="O4397" i="7"/>
  <c r="O4398" i="7"/>
  <c r="O4399" i="7"/>
  <c r="O4400" i="7"/>
  <c r="O4401" i="7"/>
  <c r="O4402" i="7"/>
  <c r="O4403" i="7"/>
  <c r="O4404" i="7"/>
  <c r="O4405" i="7"/>
  <c r="O4406" i="7"/>
  <c r="O4407" i="7"/>
  <c r="O4408" i="7"/>
  <c r="O4409" i="7"/>
  <c r="O4410" i="7"/>
  <c r="O4411" i="7"/>
  <c r="O4412" i="7"/>
  <c r="O4413" i="7"/>
  <c r="O4442" i="7"/>
  <c r="O4446" i="7"/>
  <c r="O4450" i="7"/>
  <c r="O4349" i="7"/>
  <c r="O4350" i="7"/>
  <c r="O4351" i="7"/>
  <c r="O4352" i="7"/>
  <c r="O4353" i="7"/>
  <c r="O4354" i="7"/>
  <c r="O4355" i="7"/>
  <c r="O4356" i="7"/>
  <c r="O4357" i="7"/>
  <c r="O4358" i="7"/>
  <c r="O4359" i="7"/>
  <c r="O4443" i="7"/>
  <c r="O4447" i="7"/>
  <c r="O4451" i="7"/>
  <c r="O4338" i="7"/>
  <c r="O4339" i="7"/>
  <c r="O4340" i="7"/>
  <c r="O4341" i="7"/>
  <c r="O4342" i="7"/>
  <c r="O4343" i="7"/>
  <c r="O4344" i="7"/>
  <c r="O4345" i="7"/>
  <c r="O4346" i="7"/>
  <c r="O4347" i="7"/>
  <c r="O4348" i="7"/>
  <c r="O4430" i="7"/>
  <c r="O4431" i="7"/>
  <c r="O4432" i="7"/>
  <c r="O4433" i="7"/>
  <c r="O4434" i="7"/>
  <c r="O4435" i="7"/>
  <c r="O4436" i="7"/>
  <c r="O4437" i="7"/>
  <c r="O4438" i="7"/>
  <c r="O4439" i="7"/>
  <c r="O4440" i="7"/>
  <c r="O4441" i="7"/>
  <c r="O4444" i="7"/>
  <c r="O4448" i="7"/>
  <c r="O4452" i="7"/>
  <c r="O4360" i="7"/>
  <c r="O4361" i="7"/>
  <c r="O4362" i="7"/>
  <c r="O4363" i="7"/>
  <c r="O4364" i="7"/>
  <c r="O4365" i="7"/>
  <c r="O4366" i="7"/>
  <c r="O4367" i="7"/>
  <c r="O4368" i="7"/>
  <c r="O4369" i="7"/>
  <c r="O4370" i="7"/>
  <c r="O4371" i="7"/>
  <c r="O4372" i="7"/>
  <c r="O4373" i="7"/>
  <c r="O4374" i="7"/>
  <c r="O4375" i="7"/>
  <c r="O4376" i="7"/>
  <c r="O4377" i="7"/>
  <c r="P4377" i="7"/>
  <c r="O4414" i="7"/>
  <c r="O4415" i="7"/>
  <c r="O4416" i="7"/>
  <c r="O4417" i="7"/>
  <c r="O4418" i="7"/>
  <c r="O4419" i="7"/>
  <c r="O4420" i="7"/>
  <c r="O4421" i="7"/>
  <c r="O4422" i="7"/>
  <c r="O4423" i="7"/>
  <c r="O4424" i="7"/>
  <c r="O4425" i="7"/>
  <c r="O4426" i="7"/>
  <c r="O4427" i="7"/>
  <c r="O4428" i="7"/>
  <c r="O4429" i="7"/>
  <c r="O4445" i="7"/>
  <c r="O4449" i="7"/>
  <c r="O4462" i="7"/>
  <c r="O4463" i="7"/>
  <c r="O4464" i="7"/>
  <c r="O4465" i="7"/>
  <c r="O4466" i="7"/>
  <c r="O4467" i="7"/>
  <c r="O4468" i="7"/>
  <c r="O4469" i="7"/>
  <c r="O4470" i="7"/>
  <c r="O4471" i="7"/>
  <c r="O4472" i="7"/>
  <c r="O4473" i="7"/>
  <c r="O4474" i="7"/>
  <c r="O4475" i="7"/>
  <c r="O4476" i="7"/>
  <c r="O4477" i="7"/>
  <c r="O4478" i="7"/>
  <c r="O4479" i="7"/>
  <c r="O4480" i="7"/>
  <c r="O4481" i="7"/>
  <c r="O4482" i="7"/>
  <c r="O4483" i="7"/>
  <c r="O4484" i="7"/>
  <c r="O4485" i="7"/>
  <c r="O4486" i="7"/>
  <c r="O4487" i="7"/>
  <c r="O4488" i="7"/>
  <c r="O4489" i="7"/>
  <c r="O4490" i="7"/>
  <c r="O4491" i="7"/>
  <c r="O4492" i="7"/>
  <c r="O4493" i="7"/>
  <c r="O4494" i="7"/>
  <c r="O4495" i="7"/>
  <c r="O4496" i="7"/>
  <c r="O4497" i="7"/>
  <c r="O4498" i="7"/>
  <c r="O4499" i="7"/>
  <c r="O4500" i="7"/>
  <c r="O4501" i="7"/>
  <c r="O4502" i="7"/>
  <c r="O4503" i="7"/>
  <c r="O4504" i="7"/>
  <c r="O4562" i="7"/>
  <c r="O4566" i="7"/>
  <c r="O4453" i="7"/>
  <c r="O4454" i="7"/>
  <c r="O4455" i="7"/>
  <c r="O4456" i="7"/>
  <c r="O4457" i="7"/>
  <c r="O4458" i="7"/>
  <c r="O4459" i="7"/>
  <c r="O4460" i="7"/>
  <c r="O4461" i="7"/>
  <c r="O4563" i="7"/>
  <c r="O4567" i="7"/>
  <c r="O4564" i="7"/>
  <c r="O4505" i="7"/>
  <c r="O4506" i="7"/>
  <c r="O4507" i="7"/>
  <c r="O4508" i="7"/>
  <c r="O4509" i="7"/>
  <c r="O4510" i="7"/>
  <c r="O4511" i="7"/>
  <c r="O4512" i="7"/>
  <c r="O4513" i="7"/>
  <c r="O4514" i="7"/>
  <c r="O4515" i="7"/>
  <c r="O4516" i="7"/>
  <c r="O4517" i="7"/>
  <c r="O4518" i="7"/>
  <c r="O4519" i="7"/>
  <c r="O4520" i="7"/>
  <c r="O4521" i="7"/>
  <c r="O4522" i="7"/>
  <c r="O4523" i="7"/>
  <c r="O4524" i="7"/>
  <c r="O4525" i="7"/>
  <c r="O4526" i="7"/>
  <c r="O4527" i="7"/>
  <c r="O4528" i="7"/>
  <c r="O4529" i="7"/>
  <c r="O4530" i="7"/>
  <c r="O4531" i="7"/>
  <c r="O4532" i="7"/>
  <c r="O4533" i="7"/>
  <c r="O4534" i="7"/>
  <c r="O4535" i="7"/>
  <c r="O4536" i="7"/>
  <c r="O4537" i="7"/>
  <c r="O4538" i="7"/>
  <c r="O4539" i="7"/>
  <c r="O4540" i="7"/>
  <c r="O4541" i="7"/>
  <c r="O4542" i="7"/>
  <c r="O4543" i="7"/>
  <c r="O4544" i="7"/>
  <c r="O4545" i="7"/>
  <c r="O4546" i="7"/>
  <c r="O4547" i="7"/>
  <c r="O4548" i="7"/>
  <c r="O4549" i="7"/>
  <c r="O4550" i="7"/>
  <c r="O4551" i="7"/>
  <c r="O4552" i="7"/>
  <c r="O4553" i="7"/>
  <c r="O4554" i="7"/>
  <c r="O4555" i="7"/>
  <c r="O4556" i="7"/>
  <c r="O4557" i="7"/>
  <c r="O4558" i="7"/>
  <c r="O4559" i="7"/>
  <c r="O4560" i="7"/>
  <c r="O4561" i="7"/>
  <c r="O4565" i="7"/>
  <c r="O4568" i="7"/>
  <c r="O4569" i="7"/>
  <c r="O4570" i="7"/>
  <c r="O4571" i="7"/>
  <c r="O4603" i="7"/>
  <c r="O4606" i="7"/>
  <c r="O4608" i="7"/>
  <c r="O4618" i="7"/>
  <c r="O4624" i="7"/>
  <c r="P4709" i="7"/>
  <c r="O4717" i="7"/>
  <c r="O4594" i="7"/>
  <c r="O4595" i="7"/>
  <c r="O4596" i="7"/>
  <c r="O4597" i="7"/>
  <c r="O4598" i="7"/>
  <c r="O4599" i="7"/>
  <c r="O4600" i="7"/>
  <c r="O4601" i="7"/>
  <c r="O4609" i="7"/>
  <c r="O4619" i="7"/>
  <c r="O4625" i="7"/>
  <c r="P4724" i="7"/>
  <c r="O4591" i="7"/>
  <c r="O4592" i="7"/>
  <c r="O4593" i="7"/>
  <c r="O4604" i="7"/>
  <c r="O4610" i="7"/>
  <c r="O4626" i="7"/>
  <c r="O4660" i="7"/>
  <c r="O4664" i="7"/>
  <c r="O4572" i="7"/>
  <c r="O4573" i="7"/>
  <c r="O4574" i="7"/>
  <c r="O4575" i="7"/>
  <c r="O4576" i="7"/>
  <c r="O4577" i="7"/>
  <c r="O4578" i="7"/>
  <c r="O4579" i="7"/>
  <c r="O4580" i="7"/>
  <c r="O4581" i="7"/>
  <c r="O4582" i="7"/>
  <c r="O4583" i="7"/>
  <c r="O4584" i="7"/>
  <c r="O4585" i="7"/>
  <c r="O4586" i="7"/>
  <c r="O4587" i="7"/>
  <c r="O4588" i="7"/>
  <c r="O4589" i="7"/>
  <c r="O4590" i="7"/>
  <c r="O4602" i="7"/>
  <c r="O4605" i="7"/>
  <c r="O4623" i="7"/>
  <c r="O4627" i="7"/>
  <c r="O4659" i="7"/>
  <c r="P4708" i="7"/>
  <c r="O4607" i="7"/>
  <c r="O4616" i="7"/>
  <c r="O4617" i="7"/>
  <c r="O4622" i="7"/>
  <c r="O4632" i="7"/>
  <c r="P4632" i="7"/>
  <c r="O4633" i="7"/>
  <c r="O4634" i="7"/>
  <c r="O4635" i="7"/>
  <c r="O4636" i="7"/>
  <c r="O4637" i="7"/>
  <c r="O4638" i="7"/>
  <c r="O4639" i="7"/>
  <c r="O4640" i="7"/>
  <c r="O4661" i="7"/>
  <c r="O4665" i="7"/>
  <c r="O4678" i="7"/>
  <c r="O4715" i="7"/>
  <c r="O4723" i="7"/>
  <c r="O4732" i="7"/>
  <c r="O4615" i="7"/>
  <c r="O4621" i="7"/>
  <c r="O4629" i="7"/>
  <c r="O4630" i="7"/>
  <c r="O4631" i="7"/>
  <c r="O4645" i="7"/>
  <c r="O4646" i="7"/>
  <c r="O4652" i="7"/>
  <c r="O4653" i="7"/>
  <c r="O4657" i="7"/>
  <c r="O4662" i="7"/>
  <c r="O4666" i="7"/>
  <c r="O4713" i="7"/>
  <c r="O4721" i="7"/>
  <c r="O4731" i="7"/>
  <c r="O4735" i="7"/>
  <c r="O4611" i="7"/>
  <c r="O4612" i="7"/>
  <c r="O4613" i="7"/>
  <c r="O4614" i="7"/>
  <c r="O4620" i="7"/>
  <c r="O4628" i="7"/>
  <c r="O4658" i="7"/>
  <c r="O4663" i="7"/>
  <c r="O4667" i="7"/>
  <c r="O4677" i="7"/>
  <c r="P4707" i="7"/>
  <c r="O4711" i="7"/>
  <c r="O4719" i="7"/>
  <c r="P4735" i="7"/>
  <c r="O4641" i="7"/>
  <c r="O4642" i="7"/>
  <c r="O4643" i="7"/>
  <c r="O4644" i="7"/>
  <c r="O4648" i="7"/>
  <c r="O4649" i="7"/>
  <c r="O4650" i="7"/>
  <c r="O4651" i="7"/>
  <c r="O4656" i="7"/>
  <c r="P4670" i="7"/>
  <c r="O4679" i="7"/>
  <c r="O4707" i="7"/>
  <c r="P4717" i="7"/>
  <c r="P4719" i="7"/>
  <c r="O4736" i="7"/>
  <c r="O4737" i="7"/>
  <c r="O4740" i="7"/>
  <c r="O4741" i="7"/>
  <c r="O4647" i="7"/>
  <c r="O4654" i="7"/>
  <c r="O4655" i="7"/>
  <c r="O4668" i="7"/>
  <c r="O4669" i="7"/>
  <c r="O4670" i="7"/>
  <c r="O4671" i="7"/>
  <c r="O4672" i="7"/>
  <c r="O4673" i="7"/>
  <c r="O4674" i="7"/>
  <c r="O4675" i="7"/>
  <c r="O4676" i="7"/>
  <c r="O4708" i="7"/>
  <c r="O4709" i="7"/>
  <c r="O4710" i="7"/>
  <c r="O4712" i="7"/>
  <c r="O4714" i="7"/>
  <c r="O4716" i="7"/>
  <c r="O4718" i="7"/>
  <c r="O4720" i="7"/>
  <c r="O4722" i="7"/>
  <c r="O4724" i="7"/>
  <c r="O4726" i="7"/>
  <c r="O4725" i="7"/>
  <c r="O4729" i="7"/>
  <c r="O4733" i="7"/>
  <c r="O4738" i="7"/>
  <c r="P4741" i="7"/>
  <c r="O4680" i="7"/>
  <c r="P4680" i="7"/>
  <c r="O4681" i="7"/>
  <c r="P4681" i="7"/>
  <c r="O4682" i="7"/>
  <c r="O4683" i="7"/>
  <c r="O4684" i="7"/>
  <c r="O4685" i="7"/>
  <c r="O4686" i="7"/>
  <c r="P4686" i="7"/>
  <c r="O4687" i="7"/>
  <c r="O4688" i="7"/>
  <c r="O4689" i="7"/>
  <c r="O4690" i="7"/>
  <c r="O4691" i="7"/>
  <c r="O4692" i="7"/>
  <c r="O4693" i="7"/>
  <c r="O4694" i="7"/>
  <c r="O4695" i="7"/>
  <c r="O4696" i="7"/>
  <c r="O4697" i="7"/>
  <c r="O4698" i="7"/>
  <c r="O4699" i="7"/>
  <c r="O4700" i="7"/>
  <c r="O4701" i="7"/>
  <c r="O4702" i="7"/>
  <c r="O4703" i="7"/>
  <c r="O4704" i="7"/>
  <c r="O4705" i="7"/>
  <c r="O4706" i="7"/>
  <c r="P4706" i="7"/>
  <c r="O4728" i="7"/>
  <c r="O4730" i="7"/>
  <c r="O4734" i="7"/>
  <c r="O4739" i="7"/>
  <c r="O4727" i="7"/>
  <c r="O4761" i="7"/>
  <c r="O4762" i="7"/>
  <c r="O4763" i="7"/>
  <c r="O4764" i="7"/>
  <c r="O4765" i="7"/>
  <c r="O4771" i="7"/>
  <c r="O4772" i="7"/>
  <c r="O4773" i="7"/>
  <c r="O4774" i="7"/>
  <c r="O4775" i="7"/>
  <c r="O4776" i="7"/>
  <c r="O4777" i="7"/>
  <c r="O4778" i="7"/>
  <c r="O4779" i="7"/>
  <c r="O4780" i="7"/>
  <c r="O4781" i="7"/>
  <c r="O4782" i="7"/>
  <c r="O4783" i="7"/>
  <c r="O4784" i="7"/>
  <c r="O4789" i="7"/>
  <c r="P4787" i="7"/>
  <c r="O4790" i="7"/>
  <c r="P4792" i="7"/>
  <c r="P4793" i="7"/>
  <c r="O4769" i="7"/>
  <c r="O4770" i="7"/>
  <c r="O4786" i="7"/>
  <c r="O4787" i="7"/>
  <c r="O4791" i="7"/>
  <c r="O4797" i="7"/>
  <c r="O4742" i="7"/>
  <c r="O4743" i="7"/>
  <c r="O4744" i="7"/>
  <c r="O4745" i="7"/>
  <c r="O4746" i="7"/>
  <c r="O4747" i="7"/>
  <c r="O4748" i="7"/>
  <c r="O4749" i="7"/>
  <c r="O4750" i="7"/>
  <c r="O4751" i="7"/>
  <c r="O4752" i="7"/>
  <c r="O4753" i="7"/>
  <c r="O4754" i="7"/>
  <c r="O4755" i="7"/>
  <c r="P4755" i="7"/>
  <c r="O4756" i="7"/>
  <c r="O4757" i="7"/>
  <c r="O4758" i="7"/>
  <c r="O4759" i="7"/>
  <c r="O4760" i="7"/>
  <c r="P4760" i="7"/>
  <c r="O4766" i="7"/>
  <c r="O4767" i="7"/>
  <c r="O4768" i="7"/>
  <c r="P4778" i="7"/>
  <c r="P4783" i="7"/>
  <c r="O4785" i="7"/>
  <c r="O4788" i="7"/>
  <c r="P4789" i="7"/>
  <c r="O4792" i="7"/>
  <c r="O4793" i="7"/>
  <c r="O4794" i="7"/>
  <c r="O4795" i="7"/>
  <c r="O4796" i="7"/>
  <c r="O4798" i="7"/>
  <c r="O4799" i="7"/>
  <c r="P4799" i="7"/>
  <c r="O4800" i="7"/>
  <c r="P4800" i="7"/>
  <c r="O4801" i="7"/>
  <c r="P4801" i="7"/>
  <c r="O4802" i="7"/>
  <c r="P4802" i="7"/>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C337" i="6"/>
  <c r="C336" i="6"/>
  <c r="C335" i="6"/>
  <c r="C334" i="6"/>
  <c r="C333" i="6"/>
  <c r="C332" i="6"/>
  <c r="C331" i="6"/>
  <c r="C330" i="6"/>
  <c r="C329" i="6"/>
  <c r="C328" i="6"/>
  <c r="C327" i="6"/>
  <c r="C326" i="6"/>
  <c r="C325" i="6"/>
  <c r="C324" i="6"/>
  <c r="C323" i="6"/>
  <c r="C322" i="6"/>
  <c r="C321" i="6"/>
  <c r="C320" i="6"/>
  <c r="C319" i="6"/>
  <c r="C318" i="6"/>
  <c r="C317" i="6"/>
  <c r="C316" i="6"/>
  <c r="C315" i="6"/>
  <c r="C314" i="6"/>
  <c r="C313" i="6"/>
  <c r="C312" i="6"/>
  <c r="C311" i="6"/>
  <c r="C310" i="6"/>
  <c r="C309" i="6"/>
  <c r="C308" i="6"/>
  <c r="C307" i="6"/>
  <c r="C306" i="6"/>
  <c r="C305" i="6"/>
  <c r="C304" i="6"/>
  <c r="C303" i="6"/>
  <c r="K337" i="6"/>
  <c r="K336" i="6"/>
  <c r="K335" i="6"/>
  <c r="K334" i="6"/>
  <c r="K333" i="6"/>
  <c r="K332" i="6"/>
  <c r="K331" i="6"/>
  <c r="K330" i="6"/>
  <c r="K329" i="6"/>
  <c r="K328" i="6"/>
  <c r="K327" i="6"/>
  <c r="K326" i="6"/>
  <c r="K325" i="6"/>
  <c r="K324" i="6"/>
  <c r="K323" i="6"/>
  <c r="K322" i="6"/>
  <c r="K321" i="6"/>
  <c r="K320" i="6"/>
  <c r="K319" i="6"/>
  <c r="K318" i="6"/>
  <c r="K317" i="6"/>
  <c r="K316" i="6"/>
  <c r="K315" i="6"/>
  <c r="K314" i="6"/>
  <c r="K313" i="6"/>
  <c r="K312" i="6"/>
  <c r="K311" i="6"/>
  <c r="K310" i="6"/>
  <c r="K309" i="6"/>
  <c r="K308" i="6"/>
  <c r="K307" i="6"/>
  <c r="K306" i="6"/>
  <c r="K305" i="6"/>
  <c r="K304" i="6"/>
  <c r="K303" i="6"/>
  <c r="N602" i="6"/>
  <c r="H602" i="6"/>
  <c r="C602" i="6"/>
  <c r="N601" i="6"/>
  <c r="H601" i="6"/>
  <c r="C601" i="6"/>
  <c r="N600" i="6"/>
  <c r="H600" i="6"/>
  <c r="C600" i="6"/>
  <c r="N599" i="6"/>
  <c r="H599" i="6"/>
  <c r="C599" i="6"/>
  <c r="N598" i="6"/>
  <c r="H598" i="6"/>
  <c r="C598" i="6"/>
  <c r="N597" i="6"/>
  <c r="H597" i="6"/>
  <c r="C597" i="6"/>
  <c r="N596" i="6"/>
  <c r="H596" i="6"/>
  <c r="C596" i="6"/>
  <c r="N595" i="6"/>
  <c r="H595" i="6"/>
  <c r="C595" i="6"/>
  <c r="N594" i="6"/>
  <c r="H594" i="6"/>
  <c r="C594" i="6"/>
  <c r="N593" i="6"/>
  <c r="H593" i="6"/>
  <c r="C593" i="6"/>
  <c r="N592" i="6"/>
  <c r="H592" i="6"/>
  <c r="C592" i="6"/>
  <c r="N591" i="6"/>
  <c r="H591" i="6"/>
  <c r="C591" i="6"/>
  <c r="N590" i="6"/>
  <c r="H590" i="6"/>
  <c r="C590" i="6"/>
  <c r="N589" i="6"/>
  <c r="J589" i="6"/>
  <c r="F589" i="6"/>
  <c r="B589" i="6"/>
  <c r="N588" i="6"/>
  <c r="J588" i="6"/>
  <c r="F588" i="6"/>
  <c r="B588" i="6"/>
  <c r="N587" i="6"/>
  <c r="J587" i="6"/>
  <c r="F587" i="6"/>
  <c r="B587" i="6"/>
  <c r="N586" i="6"/>
  <c r="J586" i="6"/>
  <c r="F586" i="6"/>
  <c r="B586" i="6"/>
  <c r="N585" i="6"/>
  <c r="J585" i="6"/>
  <c r="F585" i="6"/>
  <c r="B585" i="6"/>
  <c r="N584" i="6"/>
  <c r="J584" i="6"/>
  <c r="F584" i="6"/>
  <c r="B584" i="6"/>
  <c r="N583" i="6"/>
  <c r="J583" i="6"/>
  <c r="F583" i="6"/>
  <c r="B583" i="6"/>
  <c r="N582" i="6"/>
  <c r="J582" i="6"/>
  <c r="F582" i="6"/>
  <c r="B582" i="6"/>
  <c r="N581" i="6"/>
  <c r="J581" i="6"/>
  <c r="F581" i="6"/>
  <c r="B581" i="6"/>
  <c r="N580" i="6"/>
  <c r="J580" i="6"/>
  <c r="F580" i="6"/>
  <c r="B580" i="6"/>
  <c r="N579" i="6"/>
  <c r="J579" i="6"/>
  <c r="F579" i="6"/>
  <c r="B579" i="6"/>
  <c r="N578" i="6"/>
  <c r="J578" i="6"/>
  <c r="L602" i="6"/>
  <c r="G602" i="6"/>
  <c r="B602" i="6"/>
  <c r="L601" i="6"/>
  <c r="G601" i="6"/>
  <c r="B601" i="6"/>
  <c r="L600" i="6"/>
  <c r="G600" i="6"/>
  <c r="B600" i="6"/>
  <c r="L599" i="6"/>
  <c r="G599" i="6"/>
  <c r="B599" i="6"/>
  <c r="L598" i="6"/>
  <c r="G598" i="6"/>
  <c r="B598" i="6"/>
  <c r="L597" i="6"/>
  <c r="G597" i="6"/>
  <c r="B597" i="6"/>
  <c r="L596" i="6"/>
  <c r="Q602" i="6"/>
  <c r="K602" i="6"/>
  <c r="F602" i="6"/>
  <c r="Q601" i="6"/>
  <c r="K601" i="6"/>
  <c r="F601" i="6"/>
  <c r="Q600" i="6"/>
  <c r="K600" i="6"/>
  <c r="F600" i="6"/>
  <c r="Q599" i="6"/>
  <c r="K599" i="6"/>
  <c r="F599" i="6"/>
  <c r="Q598" i="6"/>
  <c r="K598" i="6"/>
  <c r="F598" i="6"/>
  <c r="Q597" i="6"/>
  <c r="K597" i="6"/>
  <c r="F597" i="6"/>
  <c r="Q596" i="6"/>
  <c r="K596" i="6"/>
  <c r="F596" i="6"/>
  <c r="Q595" i="6"/>
  <c r="D602" i="6"/>
  <c r="U602" i="6" s="1"/>
  <c r="J599" i="6"/>
  <c r="D598" i="6"/>
  <c r="U598" i="6" s="1"/>
  <c r="B596" i="6"/>
  <c r="J595" i="6"/>
  <c r="B595" i="6"/>
  <c r="E595" i="6" s="1"/>
  <c r="K594" i="6"/>
  <c r="D594" i="6"/>
  <c r="U594" i="6" s="1"/>
  <c r="L593" i="6"/>
  <c r="F593" i="6"/>
  <c r="G592" i="6"/>
  <c r="Q591" i="6"/>
  <c r="J591" i="6"/>
  <c r="B591" i="6"/>
  <c r="E591" i="6" s="1"/>
  <c r="K590" i="6"/>
  <c r="D590" i="6"/>
  <c r="U590" i="6" s="1"/>
  <c r="M589" i="6"/>
  <c r="H589" i="6"/>
  <c r="C589" i="6"/>
  <c r="M588" i="6"/>
  <c r="H588" i="6"/>
  <c r="C588" i="6"/>
  <c r="M587" i="6"/>
  <c r="H587" i="6"/>
  <c r="C587" i="6"/>
  <c r="M586" i="6"/>
  <c r="H586" i="6"/>
  <c r="C586" i="6"/>
  <c r="M585" i="6"/>
  <c r="H585" i="6"/>
  <c r="C585" i="6"/>
  <c r="M584" i="6"/>
  <c r="H584" i="6"/>
  <c r="C584" i="6"/>
  <c r="M583" i="6"/>
  <c r="H583" i="6"/>
  <c r="C583" i="6"/>
  <c r="M582" i="6"/>
  <c r="H582" i="6"/>
  <c r="C582" i="6"/>
  <c r="M581" i="6"/>
  <c r="H581" i="6"/>
  <c r="C581" i="6"/>
  <c r="M580" i="6"/>
  <c r="H580" i="6"/>
  <c r="C580" i="6"/>
  <c r="M579" i="6"/>
  <c r="H579" i="6"/>
  <c r="C579" i="6"/>
  <c r="M578" i="6"/>
  <c r="H578" i="6"/>
  <c r="D578" i="6"/>
  <c r="U578" i="6" s="1"/>
  <c r="Q577" i="6"/>
  <c r="L577" i="6"/>
  <c r="H577" i="6"/>
  <c r="D577" i="6"/>
  <c r="U577" i="6" s="1"/>
  <c r="Q576" i="6"/>
  <c r="L576" i="6"/>
  <c r="H576" i="6"/>
  <c r="D576" i="6"/>
  <c r="U576" i="6" s="1"/>
  <c r="Q575" i="6"/>
  <c r="L575" i="6"/>
  <c r="H575" i="6"/>
  <c r="D575" i="6"/>
  <c r="U575" i="6" s="1"/>
  <c r="Q574" i="6"/>
  <c r="L574" i="6"/>
  <c r="H574" i="6"/>
  <c r="D574" i="6"/>
  <c r="U574" i="6" s="1"/>
  <c r="Q573" i="6"/>
  <c r="L573" i="6"/>
  <c r="H573" i="6"/>
  <c r="D573" i="6"/>
  <c r="U573" i="6" s="1"/>
  <c r="J600" i="6"/>
  <c r="D599" i="6"/>
  <c r="U599" i="6" s="1"/>
  <c r="J596" i="6"/>
  <c r="G595" i="6"/>
  <c r="Q594" i="6"/>
  <c r="J594" i="6"/>
  <c r="B594" i="6"/>
  <c r="K593" i="6"/>
  <c r="D593" i="6"/>
  <c r="U593" i="6" s="1"/>
  <c r="L592" i="6"/>
  <c r="F592" i="6"/>
  <c r="G591" i="6"/>
  <c r="Q590" i="6"/>
  <c r="J590" i="6"/>
  <c r="B590" i="6"/>
  <c r="L589" i="6"/>
  <c r="G589" i="6"/>
  <c r="L588" i="6"/>
  <c r="G588" i="6"/>
  <c r="L587" i="6"/>
  <c r="G587" i="6"/>
  <c r="L586" i="6"/>
  <c r="G586" i="6"/>
  <c r="L585" i="6"/>
  <c r="G585" i="6"/>
  <c r="L584" i="6"/>
  <c r="G584" i="6"/>
  <c r="L583" i="6"/>
  <c r="G583" i="6"/>
  <c r="L582" i="6"/>
  <c r="G582" i="6"/>
  <c r="L581" i="6"/>
  <c r="G581" i="6"/>
  <c r="L580" i="6"/>
  <c r="G580" i="6"/>
  <c r="L579" i="6"/>
  <c r="G579" i="6"/>
  <c r="L578" i="6"/>
  <c r="G578" i="6"/>
  <c r="C578" i="6"/>
  <c r="K577" i="6"/>
  <c r="G577" i="6"/>
  <c r="C577" i="6"/>
  <c r="K576" i="6"/>
  <c r="G576" i="6"/>
  <c r="C576" i="6"/>
  <c r="K575" i="6"/>
  <c r="G575" i="6"/>
  <c r="C575" i="6"/>
  <c r="K574" i="6"/>
  <c r="G574" i="6"/>
  <c r="C574" i="6"/>
  <c r="K573" i="6"/>
  <c r="G573" i="6"/>
  <c r="C573" i="6"/>
  <c r="K572" i="6"/>
  <c r="G572" i="6"/>
  <c r="C572" i="6"/>
  <c r="K571" i="6"/>
  <c r="G571" i="6"/>
  <c r="C571" i="6"/>
  <c r="K570" i="6"/>
  <c r="J601" i="6"/>
  <c r="G596" i="6"/>
  <c r="F595" i="6"/>
  <c r="G594" i="6"/>
  <c r="J593" i="6"/>
  <c r="K592" i="6"/>
  <c r="L591" i="6"/>
  <c r="Q589" i="6"/>
  <c r="K588" i="6"/>
  <c r="Q587" i="6"/>
  <c r="K586" i="6"/>
  <c r="Q585" i="6"/>
  <c r="K584" i="6"/>
  <c r="Q583" i="6"/>
  <c r="K582" i="6"/>
  <c r="Q581" i="6"/>
  <c r="K580" i="6"/>
  <c r="Q579" i="6"/>
  <c r="K578" i="6"/>
  <c r="B578" i="6"/>
  <c r="J577" i="6"/>
  <c r="B577" i="6"/>
  <c r="J576" i="6"/>
  <c r="B576" i="6"/>
  <c r="E576" i="6" s="1"/>
  <c r="J575" i="6"/>
  <c r="B575" i="6"/>
  <c r="J574" i="6"/>
  <c r="B574" i="6"/>
  <c r="J573" i="6"/>
  <c r="B573" i="6"/>
  <c r="M572" i="6"/>
  <c r="H572" i="6"/>
  <c r="B572" i="6"/>
  <c r="M571" i="6"/>
  <c r="H571" i="6"/>
  <c r="B571" i="6"/>
  <c r="M570" i="6"/>
  <c r="H570" i="6"/>
  <c r="D570" i="6"/>
  <c r="U570" i="6" s="1"/>
  <c r="Q569" i="6"/>
  <c r="L569" i="6"/>
  <c r="H569" i="6"/>
  <c r="D569" i="6"/>
  <c r="U569" i="6" s="1"/>
  <c r="Q568" i="6"/>
  <c r="L568" i="6"/>
  <c r="H568" i="6"/>
  <c r="D568" i="6"/>
  <c r="U568" i="6" s="1"/>
  <c r="Q567" i="6"/>
  <c r="L567" i="6"/>
  <c r="H567" i="6"/>
  <c r="D567" i="6"/>
  <c r="U567" i="6" s="1"/>
  <c r="Q566" i="6"/>
  <c r="L566" i="6"/>
  <c r="H566" i="6"/>
  <c r="D566" i="6"/>
  <c r="U566" i="6" s="1"/>
  <c r="Q565" i="6"/>
  <c r="L565" i="6"/>
  <c r="H565" i="6"/>
  <c r="D565" i="6"/>
  <c r="U565" i="6" s="1"/>
  <c r="Q564" i="6"/>
  <c r="L564" i="6"/>
  <c r="H564" i="6"/>
  <c r="D564" i="6"/>
  <c r="U564" i="6" s="1"/>
  <c r="Q563" i="6"/>
  <c r="L563" i="6"/>
  <c r="H563" i="6"/>
  <c r="D563" i="6"/>
  <c r="U563" i="6" s="1"/>
  <c r="Q562" i="6"/>
  <c r="L562" i="6"/>
  <c r="H562" i="6"/>
  <c r="D562" i="6"/>
  <c r="U562" i="6" s="1"/>
  <c r="Q561" i="6"/>
  <c r="L561" i="6"/>
  <c r="H561" i="6"/>
  <c r="D561" i="6"/>
  <c r="U561" i="6" s="1"/>
  <c r="Q560" i="6"/>
  <c r="L560" i="6"/>
  <c r="H560" i="6"/>
  <c r="D560" i="6"/>
  <c r="U560" i="6" s="1"/>
  <c r="Q559" i="6"/>
  <c r="L559" i="6"/>
  <c r="H559" i="6"/>
  <c r="D559" i="6"/>
  <c r="U559" i="6" s="1"/>
  <c r="Q558" i="6"/>
  <c r="L558" i="6"/>
  <c r="H558" i="6"/>
  <c r="D558" i="6"/>
  <c r="U558" i="6" s="1"/>
  <c r="Q557" i="6"/>
  <c r="L557" i="6"/>
  <c r="H557" i="6"/>
  <c r="D557" i="6"/>
  <c r="U557" i="6" s="1"/>
  <c r="Q556" i="6"/>
  <c r="L556" i="6"/>
  <c r="H556" i="6"/>
  <c r="D556" i="6"/>
  <c r="U556" i="6" s="1"/>
  <c r="Q555" i="6"/>
  <c r="L555" i="6"/>
  <c r="H555" i="6"/>
  <c r="D555" i="6"/>
  <c r="U555" i="6" s="1"/>
  <c r="Q554" i="6"/>
  <c r="L554" i="6"/>
  <c r="H554" i="6"/>
  <c r="D600" i="6"/>
  <c r="U600" i="6" s="1"/>
  <c r="J597" i="6"/>
  <c r="L595" i="6"/>
  <c r="Q593" i="6"/>
  <c r="B593" i="6"/>
  <c r="D592" i="6"/>
  <c r="U592" i="6" s="1"/>
  <c r="F591" i="6"/>
  <c r="G590" i="6"/>
  <c r="K589" i="6"/>
  <c r="Q588" i="6"/>
  <c r="K587" i="6"/>
  <c r="Q586" i="6"/>
  <c r="K585" i="6"/>
  <c r="Q584" i="6"/>
  <c r="K583" i="6"/>
  <c r="Q582" i="6"/>
  <c r="K581" i="6"/>
  <c r="Q580" i="6"/>
  <c r="K579" i="6"/>
  <c r="Q578" i="6"/>
  <c r="F578" i="6"/>
  <c r="N577" i="6"/>
  <c r="F577" i="6"/>
  <c r="N576" i="6"/>
  <c r="F576" i="6"/>
  <c r="N575" i="6"/>
  <c r="F575" i="6"/>
  <c r="N574" i="6"/>
  <c r="F574" i="6"/>
  <c r="N573" i="6"/>
  <c r="F573" i="6"/>
  <c r="Q572" i="6"/>
  <c r="J572" i="6"/>
  <c r="Q571" i="6"/>
  <c r="J571" i="6"/>
  <c r="Q570" i="6"/>
  <c r="J570" i="6"/>
  <c r="F570" i="6"/>
  <c r="B570" i="6"/>
  <c r="N569" i="6"/>
  <c r="J569" i="6"/>
  <c r="F569" i="6"/>
  <c r="B569" i="6"/>
  <c r="N568" i="6"/>
  <c r="J568" i="6"/>
  <c r="F568" i="6"/>
  <c r="B568" i="6"/>
  <c r="N567" i="6"/>
  <c r="J567" i="6"/>
  <c r="F567" i="6"/>
  <c r="B567" i="6"/>
  <c r="N566" i="6"/>
  <c r="J566" i="6"/>
  <c r="F566" i="6"/>
  <c r="B566" i="6"/>
  <c r="N565" i="6"/>
  <c r="J565" i="6"/>
  <c r="F565" i="6"/>
  <c r="B565" i="6"/>
  <c r="N564" i="6"/>
  <c r="J564" i="6"/>
  <c r="F564" i="6"/>
  <c r="B564" i="6"/>
  <c r="N563" i="6"/>
  <c r="J563" i="6"/>
  <c r="F563" i="6"/>
  <c r="B563" i="6"/>
  <c r="N562" i="6"/>
  <c r="J562" i="6"/>
  <c r="F562" i="6"/>
  <c r="B562" i="6"/>
  <c r="N561" i="6"/>
  <c r="J561" i="6"/>
  <c r="F561" i="6"/>
  <c r="B561" i="6"/>
  <c r="N560" i="6"/>
  <c r="K595" i="6"/>
  <c r="B592" i="6"/>
  <c r="F590" i="6"/>
  <c r="I587" i="6"/>
  <c r="P587" i="6" s="1"/>
  <c r="D586" i="6"/>
  <c r="U586" i="6" s="1"/>
  <c r="I583" i="6"/>
  <c r="P583" i="6" s="1"/>
  <c r="D582" i="6"/>
  <c r="U582" i="6" s="1"/>
  <c r="I579" i="6"/>
  <c r="P579" i="6" s="1"/>
  <c r="I572" i="6"/>
  <c r="P572" i="6" s="1"/>
  <c r="N571" i="6"/>
  <c r="D571" i="6"/>
  <c r="U571" i="6" s="1"/>
  <c r="I570" i="6"/>
  <c r="P570" i="6" s="1"/>
  <c r="I569" i="6"/>
  <c r="P569" i="6" s="1"/>
  <c r="I568" i="6"/>
  <c r="P568" i="6" s="1"/>
  <c r="I567" i="6"/>
  <c r="P567" i="6" s="1"/>
  <c r="I566" i="6"/>
  <c r="P566" i="6" s="1"/>
  <c r="I565" i="6"/>
  <c r="P565" i="6" s="1"/>
  <c r="I564" i="6"/>
  <c r="P564" i="6" s="1"/>
  <c r="I563" i="6"/>
  <c r="P563" i="6" s="1"/>
  <c r="I562" i="6"/>
  <c r="P562" i="6" s="1"/>
  <c r="I561" i="6"/>
  <c r="P561" i="6" s="1"/>
  <c r="J560" i="6"/>
  <c r="J559" i="6"/>
  <c r="J558" i="6"/>
  <c r="J557" i="6"/>
  <c r="J556" i="6"/>
  <c r="J555" i="6"/>
  <c r="J554" i="6"/>
  <c r="M553" i="6"/>
  <c r="I553" i="6"/>
  <c r="P553" i="6" s="1"/>
  <c r="M552" i="6"/>
  <c r="I552" i="6"/>
  <c r="P552" i="6" s="1"/>
  <c r="M551" i="6"/>
  <c r="I551" i="6"/>
  <c r="P551" i="6" s="1"/>
  <c r="M550" i="6"/>
  <c r="I550" i="6"/>
  <c r="P550" i="6" s="1"/>
  <c r="M549" i="6"/>
  <c r="I549" i="6"/>
  <c r="P549" i="6" s="1"/>
  <c r="M548" i="6"/>
  <c r="I548" i="6"/>
  <c r="P548" i="6" s="1"/>
  <c r="M547" i="6"/>
  <c r="I547" i="6"/>
  <c r="P547" i="6" s="1"/>
  <c r="M546" i="6"/>
  <c r="I546" i="6"/>
  <c r="P546" i="6" s="1"/>
  <c r="M545" i="6"/>
  <c r="I545" i="6"/>
  <c r="P545" i="6" s="1"/>
  <c r="M544" i="6"/>
  <c r="I544" i="6"/>
  <c r="P544" i="6" s="1"/>
  <c r="M543" i="6"/>
  <c r="I543" i="6"/>
  <c r="P543" i="6" s="1"/>
  <c r="M542" i="6"/>
  <c r="I542" i="6"/>
  <c r="P542" i="6" s="1"/>
  <c r="M541" i="6"/>
  <c r="I541" i="6"/>
  <c r="P541" i="6" s="1"/>
  <c r="M540" i="6"/>
  <c r="I540" i="6"/>
  <c r="P540" i="6" s="1"/>
  <c r="M539" i="6"/>
  <c r="I539" i="6"/>
  <c r="P539" i="6" s="1"/>
  <c r="M538" i="6"/>
  <c r="I538" i="6"/>
  <c r="P538" i="6" s="1"/>
  <c r="M537" i="6"/>
  <c r="I537" i="6"/>
  <c r="P537" i="6" s="1"/>
  <c r="M536" i="6"/>
  <c r="I536" i="6"/>
  <c r="P536" i="6" s="1"/>
  <c r="M535" i="6"/>
  <c r="I535" i="6"/>
  <c r="P535" i="6" s="1"/>
  <c r="M534" i="6"/>
  <c r="I534" i="6"/>
  <c r="P534" i="6" s="1"/>
  <c r="M533" i="6"/>
  <c r="I533" i="6"/>
  <c r="P533" i="6" s="1"/>
  <c r="M532" i="6"/>
  <c r="I532" i="6"/>
  <c r="P532" i="6" s="1"/>
  <c r="M531" i="6"/>
  <c r="I531" i="6"/>
  <c r="P531" i="6" s="1"/>
  <c r="M530" i="6"/>
  <c r="I530" i="6"/>
  <c r="P530" i="6" s="1"/>
  <c r="M529" i="6"/>
  <c r="I529" i="6"/>
  <c r="P529" i="6" s="1"/>
  <c r="M528" i="6"/>
  <c r="I528" i="6"/>
  <c r="P528" i="6" s="1"/>
  <c r="M527" i="6"/>
  <c r="I527" i="6"/>
  <c r="P527" i="6" s="1"/>
  <c r="J598" i="6"/>
  <c r="D595" i="6"/>
  <c r="U595" i="6" s="1"/>
  <c r="G593" i="6"/>
  <c r="K591" i="6"/>
  <c r="I588" i="6"/>
  <c r="P588" i="6" s="1"/>
  <c r="D587" i="6"/>
  <c r="U587" i="6" s="1"/>
  <c r="I584" i="6"/>
  <c r="P584" i="6" s="1"/>
  <c r="D583" i="6"/>
  <c r="U583" i="6" s="1"/>
  <c r="I580" i="6"/>
  <c r="P580" i="6" s="1"/>
  <c r="D579" i="6"/>
  <c r="U579" i="6" s="1"/>
  <c r="F572" i="6"/>
  <c r="L571" i="6"/>
  <c r="G570" i="6"/>
  <c r="G569" i="6"/>
  <c r="G568" i="6"/>
  <c r="G567" i="6"/>
  <c r="G566" i="6"/>
  <c r="G565" i="6"/>
  <c r="G564" i="6"/>
  <c r="G563" i="6"/>
  <c r="G562" i="6"/>
  <c r="G561" i="6"/>
  <c r="I560" i="6"/>
  <c r="P560" i="6" s="1"/>
  <c r="C560" i="6"/>
  <c r="N559" i="6"/>
  <c r="I559" i="6"/>
  <c r="P559" i="6" s="1"/>
  <c r="C559" i="6"/>
  <c r="N558" i="6"/>
  <c r="D597" i="6"/>
  <c r="U597" i="6" s="1"/>
  <c r="Q592" i="6"/>
  <c r="I589" i="6"/>
  <c r="P589" i="6" s="1"/>
  <c r="D584" i="6"/>
  <c r="U584" i="6" s="1"/>
  <c r="I581" i="6"/>
  <c r="P581" i="6" s="1"/>
  <c r="M576" i="6"/>
  <c r="M574" i="6"/>
  <c r="N572" i="6"/>
  <c r="I571" i="6"/>
  <c r="P571" i="6" s="1"/>
  <c r="G560" i="6"/>
  <c r="M559" i="6"/>
  <c r="B559" i="6"/>
  <c r="I558" i="6"/>
  <c r="P558" i="6" s="1"/>
  <c r="B558" i="6"/>
  <c r="K557" i="6"/>
  <c r="C557" i="6"/>
  <c r="M556" i="6"/>
  <c r="F556" i="6"/>
  <c r="N555" i="6"/>
  <c r="G555" i="6"/>
  <c r="I554" i="6"/>
  <c r="P554" i="6" s="1"/>
  <c r="C554" i="6"/>
  <c r="N553" i="6"/>
  <c r="H553" i="6"/>
  <c r="C553" i="6"/>
  <c r="N552" i="6"/>
  <c r="H552" i="6"/>
  <c r="C552" i="6"/>
  <c r="N551" i="6"/>
  <c r="H551" i="6"/>
  <c r="C551" i="6"/>
  <c r="N550" i="6"/>
  <c r="H550" i="6"/>
  <c r="C550" i="6"/>
  <c r="N549" i="6"/>
  <c r="H549" i="6"/>
  <c r="C549" i="6"/>
  <c r="N548" i="6"/>
  <c r="H548" i="6"/>
  <c r="C548" i="6"/>
  <c r="N547" i="6"/>
  <c r="H547" i="6"/>
  <c r="C547" i="6"/>
  <c r="N546" i="6"/>
  <c r="H546" i="6"/>
  <c r="C546" i="6"/>
  <c r="N545" i="6"/>
  <c r="H545" i="6"/>
  <c r="C545" i="6"/>
  <c r="N544" i="6"/>
  <c r="H544" i="6"/>
  <c r="C544" i="6"/>
  <c r="N543" i="6"/>
  <c r="H543" i="6"/>
  <c r="C543" i="6"/>
  <c r="N542" i="6"/>
  <c r="H542" i="6"/>
  <c r="C542" i="6"/>
  <c r="N541" i="6"/>
  <c r="H541" i="6"/>
  <c r="C541" i="6"/>
  <c r="N540" i="6"/>
  <c r="H540" i="6"/>
  <c r="C540" i="6"/>
  <c r="N539" i="6"/>
  <c r="H539" i="6"/>
  <c r="C539" i="6"/>
  <c r="N538" i="6"/>
  <c r="H538" i="6"/>
  <c r="C538" i="6"/>
  <c r="N537" i="6"/>
  <c r="H537" i="6"/>
  <c r="C537" i="6"/>
  <c r="N536" i="6"/>
  <c r="H536" i="6"/>
  <c r="C536" i="6"/>
  <c r="N535" i="6"/>
  <c r="H535" i="6"/>
  <c r="C535" i="6"/>
  <c r="N534" i="6"/>
  <c r="H534" i="6"/>
  <c r="C534" i="6"/>
  <c r="N533" i="6"/>
  <c r="H533" i="6"/>
  <c r="C533" i="6"/>
  <c r="N532" i="6"/>
  <c r="H532" i="6"/>
  <c r="C532" i="6"/>
  <c r="N531" i="6"/>
  <c r="H531" i="6"/>
  <c r="C531" i="6"/>
  <c r="N530" i="6"/>
  <c r="H530" i="6"/>
  <c r="C530" i="6"/>
  <c r="N529" i="6"/>
  <c r="H529" i="6"/>
  <c r="C529" i="6"/>
  <c r="N528" i="6"/>
  <c r="H528" i="6"/>
  <c r="C528" i="6"/>
  <c r="N527" i="6"/>
  <c r="H527" i="6"/>
  <c r="C527" i="6"/>
  <c r="K526" i="6"/>
  <c r="G526" i="6"/>
  <c r="C526" i="6"/>
  <c r="K525" i="6"/>
  <c r="G525" i="6"/>
  <c r="C525" i="6"/>
  <c r="K524" i="6"/>
  <c r="G524" i="6"/>
  <c r="C524" i="6"/>
  <c r="K523" i="6"/>
  <c r="G523" i="6"/>
  <c r="C523" i="6"/>
  <c r="K522" i="6"/>
  <c r="G522" i="6"/>
  <c r="C522" i="6"/>
  <c r="K521" i="6"/>
  <c r="G521" i="6"/>
  <c r="C521" i="6"/>
  <c r="K520" i="6"/>
  <c r="G520" i="6"/>
  <c r="C520" i="6"/>
  <c r="K519" i="6"/>
  <c r="G519" i="6"/>
  <c r="C519" i="6"/>
  <c r="K518" i="6"/>
  <c r="G518" i="6"/>
  <c r="C518" i="6"/>
  <c r="K517" i="6"/>
  <c r="G517" i="6"/>
  <c r="C517" i="6"/>
  <c r="K516" i="6"/>
  <c r="G516" i="6"/>
  <c r="C516" i="6"/>
  <c r="K515" i="6"/>
  <c r="G515" i="6"/>
  <c r="C515" i="6"/>
  <c r="K514" i="6"/>
  <c r="G514" i="6"/>
  <c r="C514" i="6"/>
  <c r="K513" i="6"/>
  <c r="D596" i="6"/>
  <c r="U596" i="6" s="1"/>
  <c r="J592" i="6"/>
  <c r="D589" i="6"/>
  <c r="U589" i="6" s="1"/>
  <c r="I586" i="6"/>
  <c r="P586" i="6" s="1"/>
  <c r="D581" i="6"/>
  <c r="U581" i="6" s="1"/>
  <c r="I578" i="6"/>
  <c r="P578" i="6" s="1"/>
  <c r="I576" i="6"/>
  <c r="P576" i="6" s="1"/>
  <c r="I574" i="6"/>
  <c r="P574" i="6" s="1"/>
  <c r="L572" i="6"/>
  <c r="F571" i="6"/>
  <c r="C570" i="6"/>
  <c r="C569" i="6"/>
  <c r="C568" i="6"/>
  <c r="C567" i="6"/>
  <c r="C566" i="6"/>
  <c r="C565" i="6"/>
  <c r="C564" i="6"/>
  <c r="C563" i="6"/>
  <c r="C562" i="6"/>
  <c r="C561" i="6"/>
  <c r="F560" i="6"/>
  <c r="K559" i="6"/>
  <c r="G558" i="6"/>
  <c r="I557" i="6"/>
  <c r="P557" i="6" s="1"/>
  <c r="B557" i="6"/>
  <c r="E557" i="6" s="1"/>
  <c r="K556" i="6"/>
  <c r="C556" i="6"/>
  <c r="M555" i="6"/>
  <c r="F555" i="6"/>
  <c r="N554" i="6"/>
  <c r="G554" i="6"/>
  <c r="B554" i="6"/>
  <c r="L553" i="6"/>
  <c r="G553" i="6"/>
  <c r="B553" i="6"/>
  <c r="L552" i="6"/>
  <c r="G552" i="6"/>
  <c r="B552" i="6"/>
  <c r="L551" i="6"/>
  <c r="G551" i="6"/>
  <c r="B551" i="6"/>
  <c r="L550" i="6"/>
  <c r="G550" i="6"/>
  <c r="B550" i="6"/>
  <c r="L549" i="6"/>
  <c r="G549" i="6"/>
  <c r="B549" i="6"/>
  <c r="L548" i="6"/>
  <c r="G548" i="6"/>
  <c r="B548" i="6"/>
  <c r="L547" i="6"/>
  <c r="G547" i="6"/>
  <c r="B547" i="6"/>
  <c r="L546" i="6"/>
  <c r="G546" i="6"/>
  <c r="B546" i="6"/>
  <c r="L545" i="6"/>
  <c r="G545" i="6"/>
  <c r="B545" i="6"/>
  <c r="L544" i="6"/>
  <c r="G544" i="6"/>
  <c r="B544" i="6"/>
  <c r="L543" i="6"/>
  <c r="G543" i="6"/>
  <c r="B543" i="6"/>
  <c r="L542" i="6"/>
  <c r="G542" i="6"/>
  <c r="B542" i="6"/>
  <c r="L541" i="6"/>
  <c r="G541" i="6"/>
  <c r="B541" i="6"/>
  <c r="L540" i="6"/>
  <c r="G540" i="6"/>
  <c r="B540" i="6"/>
  <c r="L539" i="6"/>
  <c r="G539" i="6"/>
  <c r="B539" i="6"/>
  <c r="L538" i="6"/>
  <c r="G538" i="6"/>
  <c r="B538" i="6"/>
  <c r="L537" i="6"/>
  <c r="G537" i="6"/>
  <c r="B537" i="6"/>
  <c r="L536" i="6"/>
  <c r="G536" i="6"/>
  <c r="B536" i="6"/>
  <c r="L535" i="6"/>
  <c r="G535" i="6"/>
  <c r="B535" i="6"/>
  <c r="L534" i="6"/>
  <c r="G534" i="6"/>
  <c r="B534" i="6"/>
  <c r="L533" i="6"/>
  <c r="G533" i="6"/>
  <c r="B533" i="6"/>
  <c r="L532" i="6"/>
  <c r="G532" i="6"/>
  <c r="B532" i="6"/>
  <c r="L531" i="6"/>
  <c r="G531" i="6"/>
  <c r="B531" i="6"/>
  <c r="L530" i="6"/>
  <c r="G530" i="6"/>
  <c r="B530" i="6"/>
  <c r="L529" i="6"/>
  <c r="G529" i="6"/>
  <c r="B529" i="6"/>
  <c r="L528" i="6"/>
  <c r="G528" i="6"/>
  <c r="B528" i="6"/>
  <c r="L527" i="6"/>
  <c r="G527" i="6"/>
  <c r="B527" i="6"/>
  <c r="N526" i="6"/>
  <c r="J526" i="6"/>
  <c r="F526" i="6"/>
  <c r="B526" i="6"/>
  <c r="N525" i="6"/>
  <c r="J525" i="6"/>
  <c r="F525" i="6"/>
  <c r="B525" i="6"/>
  <c r="N524" i="6"/>
  <c r="J524" i="6"/>
  <c r="F524" i="6"/>
  <c r="B524" i="6"/>
  <c r="E524" i="6" s="1"/>
  <c r="N523" i="6"/>
  <c r="J523" i="6"/>
  <c r="F523" i="6"/>
  <c r="B523" i="6"/>
  <c r="N522" i="6"/>
  <c r="J522" i="6"/>
  <c r="F522" i="6"/>
  <c r="B522" i="6"/>
  <c r="N521" i="6"/>
  <c r="J521" i="6"/>
  <c r="F521" i="6"/>
  <c r="B521" i="6"/>
  <c r="N520" i="6"/>
  <c r="J520" i="6"/>
  <c r="F520" i="6"/>
  <c r="B520" i="6"/>
  <c r="E520" i="6" s="1"/>
  <c r="N519" i="6"/>
  <c r="J519" i="6"/>
  <c r="F519" i="6"/>
  <c r="J602" i="6"/>
  <c r="L594" i="6"/>
  <c r="D591" i="6"/>
  <c r="U591" i="6" s="1"/>
  <c r="D588" i="6"/>
  <c r="U588" i="6" s="1"/>
  <c r="I585" i="6"/>
  <c r="P585" i="6" s="1"/>
  <c r="D580" i="6"/>
  <c r="U580" i="6" s="1"/>
  <c r="M577" i="6"/>
  <c r="M575" i="6"/>
  <c r="M573" i="6"/>
  <c r="D572" i="6"/>
  <c r="U572" i="6" s="1"/>
  <c r="N570" i="6"/>
  <c r="M569" i="6"/>
  <c r="M568" i="6"/>
  <c r="M567" i="6"/>
  <c r="M566" i="6"/>
  <c r="M565" i="6"/>
  <c r="M564" i="6"/>
  <c r="M563" i="6"/>
  <c r="M562" i="6"/>
  <c r="M561" i="6"/>
  <c r="M560" i="6"/>
  <c r="B560" i="6"/>
  <c r="G559" i="6"/>
  <c r="M558" i="6"/>
  <c r="F558" i="6"/>
  <c r="N557" i="6"/>
  <c r="G557" i="6"/>
  <c r="I556" i="6"/>
  <c r="P556" i="6" s="1"/>
  <c r="B556" i="6"/>
  <c r="K555" i="6"/>
  <c r="C555" i="6"/>
  <c r="M554" i="6"/>
  <c r="F554" i="6"/>
  <c r="Q553" i="6"/>
  <c r="K553" i="6"/>
  <c r="F553" i="6"/>
  <c r="Q552" i="6"/>
  <c r="K552" i="6"/>
  <c r="F552" i="6"/>
  <c r="Q551" i="6"/>
  <c r="K551" i="6"/>
  <c r="F551" i="6"/>
  <c r="Q550" i="6"/>
  <c r="K550" i="6"/>
  <c r="F550" i="6"/>
  <c r="Q549" i="6"/>
  <c r="K549" i="6"/>
  <c r="F549" i="6"/>
  <c r="Q548" i="6"/>
  <c r="K548" i="6"/>
  <c r="F548" i="6"/>
  <c r="Q547" i="6"/>
  <c r="K547" i="6"/>
  <c r="F547" i="6"/>
  <c r="Q546" i="6"/>
  <c r="K546" i="6"/>
  <c r="F546" i="6"/>
  <c r="Q545" i="6"/>
  <c r="K545" i="6"/>
  <c r="F545" i="6"/>
  <c r="Q544" i="6"/>
  <c r="K544" i="6"/>
  <c r="F544" i="6"/>
  <c r="Q543" i="6"/>
  <c r="K543" i="6"/>
  <c r="F543" i="6"/>
  <c r="Q542" i="6"/>
  <c r="K542" i="6"/>
  <c r="F542" i="6"/>
  <c r="Q541" i="6"/>
  <c r="K541" i="6"/>
  <c r="F541" i="6"/>
  <c r="Q540" i="6"/>
  <c r="K540" i="6"/>
  <c r="F540" i="6"/>
  <c r="Q539" i="6"/>
  <c r="K539" i="6"/>
  <c r="F539" i="6"/>
  <c r="Q538" i="6"/>
  <c r="K538" i="6"/>
  <c r="F538" i="6"/>
  <c r="Q537" i="6"/>
  <c r="K537" i="6"/>
  <c r="F537" i="6"/>
  <c r="Q536" i="6"/>
  <c r="K536" i="6"/>
  <c r="F536" i="6"/>
  <c r="Q535" i="6"/>
  <c r="K535" i="6"/>
  <c r="F535" i="6"/>
  <c r="Q534" i="6"/>
  <c r="K534" i="6"/>
  <c r="F534" i="6"/>
  <c r="Q533" i="6"/>
  <c r="K533" i="6"/>
  <c r="F533" i="6"/>
  <c r="Q532" i="6"/>
  <c r="K532" i="6"/>
  <c r="F532" i="6"/>
  <c r="Q531" i="6"/>
  <c r="K531" i="6"/>
  <c r="F531" i="6"/>
  <c r="Q530" i="6"/>
  <c r="K530" i="6"/>
  <c r="F530" i="6"/>
  <c r="Q529" i="6"/>
  <c r="K529" i="6"/>
  <c r="F529" i="6"/>
  <c r="Q528" i="6"/>
  <c r="K528" i="6"/>
  <c r="F528" i="6"/>
  <c r="Q527" i="6"/>
  <c r="K527" i="6"/>
  <c r="F527" i="6"/>
  <c r="M526" i="6"/>
  <c r="I526" i="6"/>
  <c r="P526" i="6" s="1"/>
  <c r="M525" i="6"/>
  <c r="I525" i="6"/>
  <c r="P525" i="6" s="1"/>
  <c r="M524" i="6"/>
  <c r="I524" i="6"/>
  <c r="P524" i="6" s="1"/>
  <c r="M523" i="6"/>
  <c r="I523" i="6"/>
  <c r="P523" i="6" s="1"/>
  <c r="M522" i="6"/>
  <c r="I522" i="6"/>
  <c r="P522" i="6" s="1"/>
  <c r="M521" i="6"/>
  <c r="I521" i="6"/>
  <c r="P521" i="6" s="1"/>
  <c r="M520" i="6"/>
  <c r="I520" i="6"/>
  <c r="P520" i="6" s="1"/>
  <c r="M519" i="6"/>
  <c r="I519" i="6"/>
  <c r="P519" i="6" s="1"/>
  <c r="M518" i="6"/>
  <c r="I518" i="6"/>
  <c r="P518" i="6" s="1"/>
  <c r="M517" i="6"/>
  <c r="I517" i="6"/>
  <c r="P517" i="6" s="1"/>
  <c r="M516" i="6"/>
  <c r="I516" i="6"/>
  <c r="P516" i="6" s="1"/>
  <c r="M515" i="6"/>
  <c r="I515" i="6"/>
  <c r="P515" i="6" s="1"/>
  <c r="M514" i="6"/>
  <c r="I514" i="6"/>
  <c r="P514" i="6" s="1"/>
  <c r="M513" i="6"/>
  <c r="L590" i="6"/>
  <c r="K567" i="6"/>
  <c r="K563" i="6"/>
  <c r="M557" i="6"/>
  <c r="D554" i="6"/>
  <c r="U554" i="6" s="1"/>
  <c r="J551" i="6"/>
  <c r="D550" i="6"/>
  <c r="U550" i="6" s="1"/>
  <c r="J547" i="6"/>
  <c r="D546" i="6"/>
  <c r="U546" i="6" s="1"/>
  <c r="J543" i="6"/>
  <c r="D542" i="6"/>
  <c r="U542" i="6" s="1"/>
  <c r="J539" i="6"/>
  <c r="D538" i="6"/>
  <c r="U538" i="6" s="1"/>
  <c r="J535" i="6"/>
  <c r="D534" i="6"/>
  <c r="U534" i="6" s="1"/>
  <c r="J531" i="6"/>
  <c r="D530" i="6"/>
  <c r="U530" i="6" s="1"/>
  <c r="J527" i="6"/>
  <c r="H526" i="6"/>
  <c r="H525" i="6"/>
  <c r="H524" i="6"/>
  <c r="H523" i="6"/>
  <c r="H522" i="6"/>
  <c r="H521" i="6"/>
  <c r="H520" i="6"/>
  <c r="H519" i="6"/>
  <c r="N518" i="6"/>
  <c r="F518" i="6"/>
  <c r="N517" i="6"/>
  <c r="F517" i="6"/>
  <c r="N516" i="6"/>
  <c r="F516" i="6"/>
  <c r="N515" i="6"/>
  <c r="F515" i="6"/>
  <c r="N514" i="6"/>
  <c r="F514" i="6"/>
  <c r="N513" i="6"/>
  <c r="H513" i="6"/>
  <c r="D513" i="6"/>
  <c r="U513" i="6" s="1"/>
  <c r="Q512" i="6"/>
  <c r="L512" i="6"/>
  <c r="H512" i="6"/>
  <c r="D512" i="6"/>
  <c r="U512" i="6" s="1"/>
  <c r="Q511" i="6"/>
  <c r="L511" i="6"/>
  <c r="H511" i="6"/>
  <c r="D511" i="6"/>
  <c r="U511" i="6" s="1"/>
  <c r="Q510" i="6"/>
  <c r="L510" i="6"/>
  <c r="H510" i="6"/>
  <c r="D510" i="6"/>
  <c r="U510" i="6" s="1"/>
  <c r="Q509" i="6"/>
  <c r="L509" i="6"/>
  <c r="H509" i="6"/>
  <c r="D509" i="6"/>
  <c r="U509" i="6" s="1"/>
  <c r="Q508" i="6"/>
  <c r="L508" i="6"/>
  <c r="H508" i="6"/>
  <c r="D508" i="6"/>
  <c r="U508" i="6" s="1"/>
  <c r="Q507" i="6"/>
  <c r="L507" i="6"/>
  <c r="H507" i="6"/>
  <c r="D507" i="6"/>
  <c r="U507" i="6" s="1"/>
  <c r="Q506" i="6"/>
  <c r="L506" i="6"/>
  <c r="H506" i="6"/>
  <c r="D506" i="6"/>
  <c r="U506" i="6" s="1"/>
  <c r="Q505" i="6"/>
  <c r="L505" i="6"/>
  <c r="H505" i="6"/>
  <c r="D505" i="6"/>
  <c r="U505" i="6" s="1"/>
  <c r="Q504" i="6"/>
  <c r="L504" i="6"/>
  <c r="H504" i="6"/>
  <c r="D504" i="6"/>
  <c r="U504" i="6" s="1"/>
  <c r="Q503" i="6"/>
  <c r="L503" i="6"/>
  <c r="H503" i="6"/>
  <c r="D503" i="6"/>
  <c r="U503" i="6" s="1"/>
  <c r="Q502" i="6"/>
  <c r="L502" i="6"/>
  <c r="H502" i="6"/>
  <c r="D502" i="6"/>
  <c r="U502" i="6" s="1"/>
  <c r="Q501" i="6"/>
  <c r="L501" i="6"/>
  <c r="H501" i="6"/>
  <c r="D501" i="6"/>
  <c r="U501" i="6" s="1"/>
  <c r="Q500" i="6"/>
  <c r="L500" i="6"/>
  <c r="H500" i="6"/>
  <c r="D500" i="6"/>
  <c r="U500" i="6" s="1"/>
  <c r="Q499" i="6"/>
  <c r="L499" i="6"/>
  <c r="I577" i="6"/>
  <c r="P577" i="6" s="1"/>
  <c r="L570" i="6"/>
  <c r="K566" i="6"/>
  <c r="K562" i="6"/>
  <c r="F559" i="6"/>
  <c r="F557" i="6"/>
  <c r="I555" i="6"/>
  <c r="P555" i="6" s="1"/>
  <c r="J552" i="6"/>
  <c r="D551" i="6"/>
  <c r="U551" i="6" s="1"/>
  <c r="J548" i="6"/>
  <c r="D547" i="6"/>
  <c r="U547" i="6" s="1"/>
  <c r="J544" i="6"/>
  <c r="D543" i="6"/>
  <c r="U543" i="6" s="1"/>
  <c r="J540" i="6"/>
  <c r="D539" i="6"/>
  <c r="U539" i="6" s="1"/>
  <c r="J536" i="6"/>
  <c r="D535" i="6"/>
  <c r="U535" i="6" s="1"/>
  <c r="J532" i="6"/>
  <c r="D531" i="6"/>
  <c r="U531" i="6" s="1"/>
  <c r="J528" i="6"/>
  <c r="D527" i="6"/>
  <c r="U527" i="6" s="1"/>
  <c r="D526" i="6"/>
  <c r="U526" i="6" s="1"/>
  <c r="D525" i="6"/>
  <c r="U525" i="6" s="1"/>
  <c r="D524" i="6"/>
  <c r="U524" i="6" s="1"/>
  <c r="D523" i="6"/>
  <c r="U523" i="6" s="1"/>
  <c r="D522" i="6"/>
  <c r="U522" i="6" s="1"/>
  <c r="D521" i="6"/>
  <c r="U521" i="6" s="1"/>
  <c r="D520" i="6"/>
  <c r="U520" i="6" s="1"/>
  <c r="D519" i="6"/>
  <c r="U519" i="6" s="1"/>
  <c r="L518" i="6"/>
  <c r="D518" i="6"/>
  <c r="U518" i="6" s="1"/>
  <c r="L517" i="6"/>
  <c r="D517" i="6"/>
  <c r="U517" i="6" s="1"/>
  <c r="L516" i="6"/>
  <c r="D516" i="6"/>
  <c r="U516" i="6" s="1"/>
  <c r="L515" i="6"/>
  <c r="D515" i="6"/>
  <c r="U515" i="6" s="1"/>
  <c r="L514" i="6"/>
  <c r="D514" i="6"/>
  <c r="U514" i="6" s="1"/>
  <c r="L513" i="6"/>
  <c r="G513" i="6"/>
  <c r="C513" i="6"/>
  <c r="K512" i="6"/>
  <c r="G512" i="6"/>
  <c r="C512" i="6"/>
  <c r="K511" i="6"/>
  <c r="G511" i="6"/>
  <c r="C511" i="6"/>
  <c r="K510" i="6"/>
  <c r="G510" i="6"/>
  <c r="C510" i="6"/>
  <c r="K509" i="6"/>
  <c r="G509" i="6"/>
  <c r="C509" i="6"/>
  <c r="K508" i="6"/>
  <c r="G508" i="6"/>
  <c r="C508" i="6"/>
  <c r="K507" i="6"/>
  <c r="G507" i="6"/>
  <c r="C507" i="6"/>
  <c r="K506" i="6"/>
  <c r="G506" i="6"/>
  <c r="C506" i="6"/>
  <c r="K505" i="6"/>
  <c r="G505" i="6"/>
  <c r="C505" i="6"/>
  <c r="K504" i="6"/>
  <c r="G504" i="6"/>
  <c r="C504" i="6"/>
  <c r="K503" i="6"/>
  <c r="G503" i="6"/>
  <c r="C503" i="6"/>
  <c r="K502" i="6"/>
  <c r="G502" i="6"/>
  <c r="C502" i="6"/>
  <c r="K501" i="6"/>
  <c r="G501" i="6"/>
  <c r="C501" i="6"/>
  <c r="K500" i="6"/>
  <c r="G500" i="6"/>
  <c r="C500" i="6"/>
  <c r="K499" i="6"/>
  <c r="G499" i="6"/>
  <c r="C499" i="6"/>
  <c r="K498" i="6"/>
  <c r="F594" i="6"/>
  <c r="I582" i="6"/>
  <c r="P582" i="6" s="1"/>
  <c r="I573" i="6"/>
  <c r="P573" i="6" s="1"/>
  <c r="K568" i="6"/>
  <c r="K564" i="6"/>
  <c r="K560" i="6"/>
  <c r="C558" i="6"/>
  <c r="G556" i="6"/>
  <c r="K554" i="6"/>
  <c r="D553" i="6"/>
  <c r="U553" i="6" s="1"/>
  <c r="J550" i="6"/>
  <c r="D549" i="6"/>
  <c r="U549" i="6" s="1"/>
  <c r="J546" i="6"/>
  <c r="D545" i="6"/>
  <c r="U545" i="6" s="1"/>
  <c r="J542" i="6"/>
  <c r="D541" i="6"/>
  <c r="U541" i="6" s="1"/>
  <c r="J538" i="6"/>
  <c r="D537" i="6"/>
  <c r="U537" i="6" s="1"/>
  <c r="J534" i="6"/>
  <c r="D533" i="6"/>
  <c r="U533" i="6" s="1"/>
  <c r="J530" i="6"/>
  <c r="D529" i="6"/>
  <c r="U529" i="6" s="1"/>
  <c r="L526" i="6"/>
  <c r="L525" i="6"/>
  <c r="L524" i="6"/>
  <c r="L523" i="6"/>
  <c r="L522" i="6"/>
  <c r="L521" i="6"/>
  <c r="L520" i="6"/>
  <c r="L519" i="6"/>
  <c r="Q518" i="6"/>
  <c r="H518" i="6"/>
  <c r="Q517" i="6"/>
  <c r="H517" i="6"/>
  <c r="Q516" i="6"/>
  <c r="H516" i="6"/>
  <c r="Q515" i="6"/>
  <c r="H515" i="6"/>
  <c r="Q514" i="6"/>
  <c r="H514" i="6"/>
  <c r="Q513" i="6"/>
  <c r="I513" i="6"/>
  <c r="P513" i="6" s="1"/>
  <c r="M512" i="6"/>
  <c r="I512" i="6"/>
  <c r="P512" i="6" s="1"/>
  <c r="M511" i="6"/>
  <c r="I511" i="6"/>
  <c r="P511" i="6" s="1"/>
  <c r="M510" i="6"/>
  <c r="I510" i="6"/>
  <c r="P510" i="6" s="1"/>
  <c r="M509" i="6"/>
  <c r="I509" i="6"/>
  <c r="P509" i="6" s="1"/>
  <c r="M508" i="6"/>
  <c r="I508" i="6"/>
  <c r="P508" i="6" s="1"/>
  <c r="M507" i="6"/>
  <c r="I507" i="6"/>
  <c r="P507" i="6" s="1"/>
  <c r="M506" i="6"/>
  <c r="I506" i="6"/>
  <c r="P506" i="6" s="1"/>
  <c r="M505" i="6"/>
  <c r="I505" i="6"/>
  <c r="P505" i="6" s="1"/>
  <c r="M504" i="6"/>
  <c r="I504" i="6"/>
  <c r="P504" i="6" s="1"/>
  <c r="I575" i="6"/>
  <c r="P575" i="6" s="1"/>
  <c r="K558" i="6"/>
  <c r="D552" i="6"/>
  <c r="U552" i="6" s="1"/>
  <c r="J541" i="6"/>
  <c r="D536" i="6"/>
  <c r="U536" i="6" s="1"/>
  <c r="Q525" i="6"/>
  <c r="Q521" i="6"/>
  <c r="J518" i="6"/>
  <c r="J516" i="6"/>
  <c r="J514" i="6"/>
  <c r="B513" i="6"/>
  <c r="B512" i="6"/>
  <c r="E512" i="6" s="1"/>
  <c r="B511" i="6"/>
  <c r="B510" i="6"/>
  <c r="E510" i="6" s="1"/>
  <c r="B509" i="6"/>
  <c r="B508" i="6"/>
  <c r="E508" i="6" s="1"/>
  <c r="B507" i="6"/>
  <c r="B506" i="6"/>
  <c r="E506" i="6" s="1"/>
  <c r="B505" i="6"/>
  <c r="M503" i="6"/>
  <c r="M502" i="6"/>
  <c r="M501" i="6"/>
  <c r="M500" i="6"/>
  <c r="M499" i="6"/>
  <c r="F499" i="6"/>
  <c r="L498" i="6"/>
  <c r="G498" i="6"/>
  <c r="C498" i="6"/>
  <c r="K497" i="6"/>
  <c r="G497" i="6"/>
  <c r="C497" i="6"/>
  <c r="K496" i="6"/>
  <c r="G496" i="6"/>
  <c r="C496" i="6"/>
  <c r="K495" i="6"/>
  <c r="G495" i="6"/>
  <c r="C495" i="6"/>
  <c r="K494" i="6"/>
  <c r="G494" i="6"/>
  <c r="C494" i="6"/>
  <c r="K493" i="6"/>
  <c r="G493" i="6"/>
  <c r="C493" i="6"/>
  <c r="K492" i="6"/>
  <c r="G492" i="6"/>
  <c r="C492" i="6"/>
  <c r="K491" i="6"/>
  <c r="G491" i="6"/>
  <c r="C491" i="6"/>
  <c r="K490" i="6"/>
  <c r="G490" i="6"/>
  <c r="C490" i="6"/>
  <c r="K489" i="6"/>
  <c r="G489" i="6"/>
  <c r="C489" i="6"/>
  <c r="K488" i="6"/>
  <c r="G488" i="6"/>
  <c r="C488" i="6"/>
  <c r="K487" i="6"/>
  <c r="G487" i="6"/>
  <c r="C487" i="6"/>
  <c r="K486" i="6"/>
  <c r="G486" i="6"/>
  <c r="C486" i="6"/>
  <c r="K485" i="6"/>
  <c r="G485" i="6"/>
  <c r="C485" i="6"/>
  <c r="K484" i="6"/>
  <c r="G484" i="6"/>
  <c r="C484" i="6"/>
  <c r="K483" i="6"/>
  <c r="G483" i="6"/>
  <c r="C483" i="6"/>
  <c r="K482" i="6"/>
  <c r="G482" i="6"/>
  <c r="C482" i="6"/>
  <c r="K481" i="6"/>
  <c r="G481" i="6"/>
  <c r="C481" i="6"/>
  <c r="K480" i="6"/>
  <c r="G480" i="6"/>
  <c r="C480" i="6"/>
  <c r="K479" i="6"/>
  <c r="G479" i="6"/>
  <c r="C479" i="6"/>
  <c r="K478" i="6"/>
  <c r="G478" i="6"/>
  <c r="C478" i="6"/>
  <c r="K477" i="6"/>
  <c r="G477" i="6"/>
  <c r="C477" i="6"/>
  <c r="K476" i="6"/>
  <c r="G476" i="6"/>
  <c r="C476" i="6"/>
  <c r="K475" i="6"/>
  <c r="G475" i="6"/>
  <c r="C475" i="6"/>
  <c r="K474" i="6"/>
  <c r="G474" i="6"/>
  <c r="C474" i="6"/>
  <c r="K473" i="6"/>
  <c r="G473" i="6"/>
  <c r="C473" i="6"/>
  <c r="K472" i="6"/>
  <c r="G472" i="6"/>
  <c r="C472" i="6"/>
  <c r="K471" i="6"/>
  <c r="G471" i="6"/>
  <c r="C471" i="6"/>
  <c r="K470" i="6"/>
  <c r="G470" i="6"/>
  <c r="C470" i="6"/>
  <c r="K469" i="6"/>
  <c r="G469" i="6"/>
  <c r="C469" i="6"/>
  <c r="K468" i="6"/>
  <c r="G468" i="6"/>
  <c r="C468" i="6"/>
  <c r="K467" i="6"/>
  <c r="G467" i="6"/>
  <c r="C467" i="6"/>
  <c r="K466" i="6"/>
  <c r="G466" i="6"/>
  <c r="C466" i="6"/>
  <c r="K465" i="6"/>
  <c r="G465" i="6"/>
  <c r="C465" i="6"/>
  <c r="K464" i="6"/>
  <c r="G464" i="6"/>
  <c r="C464" i="6"/>
  <c r="K463" i="6"/>
  <c r="G463" i="6"/>
  <c r="C463" i="6"/>
  <c r="K462" i="6"/>
  <c r="G462" i="6"/>
  <c r="C462" i="6"/>
  <c r="K461" i="6"/>
  <c r="G461" i="6"/>
  <c r="C461" i="6"/>
  <c r="K460" i="6"/>
  <c r="G460" i="6"/>
  <c r="C460" i="6"/>
  <c r="K459" i="6"/>
  <c r="G459" i="6"/>
  <c r="C459" i="6"/>
  <c r="K458" i="6"/>
  <c r="G458" i="6"/>
  <c r="C458" i="6"/>
  <c r="K457" i="6"/>
  <c r="G457" i="6"/>
  <c r="C457" i="6"/>
  <c r="K456" i="6"/>
  <c r="G456" i="6"/>
  <c r="C456" i="6"/>
  <c r="K455" i="6"/>
  <c r="G455" i="6"/>
  <c r="C455" i="6"/>
  <c r="K454" i="6"/>
  <c r="G454" i="6"/>
  <c r="C454" i="6"/>
  <c r="K453" i="6"/>
  <c r="G453" i="6"/>
  <c r="C453" i="6"/>
  <c r="K452" i="6"/>
  <c r="G452" i="6"/>
  <c r="C452" i="6"/>
  <c r="K451" i="6"/>
  <c r="G451" i="6"/>
  <c r="C451" i="6"/>
  <c r="K450" i="6"/>
  <c r="G450" i="6"/>
  <c r="C450" i="6"/>
  <c r="K449" i="6"/>
  <c r="G449" i="6"/>
  <c r="C449" i="6"/>
  <c r="D601" i="6"/>
  <c r="U601" i="6" s="1"/>
  <c r="K565" i="6"/>
  <c r="B555" i="6"/>
  <c r="J549" i="6"/>
  <c r="D544" i="6"/>
  <c r="U544" i="6" s="1"/>
  <c r="J533" i="6"/>
  <c r="D528" i="6"/>
  <c r="U528" i="6" s="1"/>
  <c r="Q523" i="6"/>
  <c r="Q519" i="6"/>
  <c r="J517" i="6"/>
  <c r="J515" i="6"/>
  <c r="J513" i="6"/>
  <c r="J512" i="6"/>
  <c r="J511" i="6"/>
  <c r="J510" i="6"/>
  <c r="J509" i="6"/>
  <c r="J508" i="6"/>
  <c r="J507" i="6"/>
  <c r="J506" i="6"/>
  <c r="J505" i="6"/>
  <c r="J504" i="6"/>
  <c r="I503" i="6"/>
  <c r="P503" i="6" s="1"/>
  <c r="I502" i="6"/>
  <c r="P502" i="6" s="1"/>
  <c r="I501" i="6"/>
  <c r="P501" i="6" s="1"/>
  <c r="I500" i="6"/>
  <c r="P500" i="6" s="1"/>
  <c r="I499" i="6"/>
  <c r="P499" i="6" s="1"/>
  <c r="D499" i="6"/>
  <c r="U499" i="6" s="1"/>
  <c r="N498" i="6"/>
  <c r="I498" i="6"/>
  <c r="P498" i="6" s="1"/>
  <c r="M497" i="6"/>
  <c r="I497" i="6"/>
  <c r="P497" i="6" s="1"/>
  <c r="M496" i="6"/>
  <c r="I496" i="6"/>
  <c r="P496" i="6" s="1"/>
  <c r="M495" i="6"/>
  <c r="I495" i="6"/>
  <c r="P495" i="6" s="1"/>
  <c r="M494" i="6"/>
  <c r="I494" i="6"/>
  <c r="P494" i="6" s="1"/>
  <c r="M493" i="6"/>
  <c r="I493" i="6"/>
  <c r="P493" i="6" s="1"/>
  <c r="M492" i="6"/>
  <c r="I492" i="6"/>
  <c r="P492" i="6" s="1"/>
  <c r="M491" i="6"/>
  <c r="I491" i="6"/>
  <c r="P491" i="6" s="1"/>
  <c r="M490" i="6"/>
  <c r="I490" i="6"/>
  <c r="P490" i="6" s="1"/>
  <c r="M489" i="6"/>
  <c r="I489" i="6"/>
  <c r="P489" i="6" s="1"/>
  <c r="M488" i="6"/>
  <c r="I488" i="6"/>
  <c r="P488" i="6" s="1"/>
  <c r="M487" i="6"/>
  <c r="I487" i="6"/>
  <c r="P487" i="6" s="1"/>
  <c r="M486" i="6"/>
  <c r="I486" i="6"/>
  <c r="P486" i="6" s="1"/>
  <c r="M485" i="6"/>
  <c r="I485" i="6"/>
  <c r="P485" i="6" s="1"/>
  <c r="M484" i="6"/>
  <c r="I484" i="6"/>
  <c r="P484" i="6" s="1"/>
  <c r="M483" i="6"/>
  <c r="I483" i="6"/>
  <c r="P483" i="6" s="1"/>
  <c r="M482" i="6"/>
  <c r="I482" i="6"/>
  <c r="P482" i="6" s="1"/>
  <c r="M481" i="6"/>
  <c r="I481" i="6"/>
  <c r="P481" i="6" s="1"/>
  <c r="M480" i="6"/>
  <c r="I480" i="6"/>
  <c r="P480" i="6" s="1"/>
  <c r="M479" i="6"/>
  <c r="I479" i="6"/>
  <c r="P479" i="6" s="1"/>
  <c r="M478" i="6"/>
  <c r="I478" i="6"/>
  <c r="P478" i="6" s="1"/>
  <c r="M477" i="6"/>
  <c r="I477" i="6"/>
  <c r="P477" i="6" s="1"/>
  <c r="M476" i="6"/>
  <c r="I476" i="6"/>
  <c r="P476" i="6" s="1"/>
  <c r="M475" i="6"/>
  <c r="I475" i="6"/>
  <c r="P475" i="6" s="1"/>
  <c r="M474" i="6"/>
  <c r="I474" i="6"/>
  <c r="P474" i="6" s="1"/>
  <c r="M473" i="6"/>
  <c r="I473" i="6"/>
  <c r="P473" i="6" s="1"/>
  <c r="M472" i="6"/>
  <c r="I472" i="6"/>
  <c r="P472" i="6" s="1"/>
  <c r="M471" i="6"/>
  <c r="I471" i="6"/>
  <c r="P471" i="6" s="1"/>
  <c r="M470" i="6"/>
  <c r="I470" i="6"/>
  <c r="P470" i="6" s="1"/>
  <c r="M469" i="6"/>
  <c r="I469" i="6"/>
  <c r="P469" i="6" s="1"/>
  <c r="M468" i="6"/>
  <c r="I468" i="6"/>
  <c r="P468" i="6" s="1"/>
  <c r="M467" i="6"/>
  <c r="I467" i="6"/>
  <c r="P467" i="6" s="1"/>
  <c r="M466" i="6"/>
  <c r="I466" i="6"/>
  <c r="P466" i="6" s="1"/>
  <c r="M465" i="6"/>
  <c r="I465" i="6"/>
  <c r="P465" i="6" s="1"/>
  <c r="M464" i="6"/>
  <c r="I464" i="6"/>
  <c r="P464" i="6" s="1"/>
  <c r="M463" i="6"/>
  <c r="I463" i="6"/>
  <c r="P463" i="6" s="1"/>
  <c r="M462" i="6"/>
  <c r="I462" i="6"/>
  <c r="P462" i="6" s="1"/>
  <c r="M461" i="6"/>
  <c r="I461" i="6"/>
  <c r="P461" i="6" s="1"/>
  <c r="M460" i="6"/>
  <c r="I460" i="6"/>
  <c r="P460" i="6" s="1"/>
  <c r="M459" i="6"/>
  <c r="I459" i="6"/>
  <c r="P459" i="6" s="1"/>
  <c r="M458" i="6"/>
  <c r="I458" i="6"/>
  <c r="P458" i="6" s="1"/>
  <c r="M457" i="6"/>
  <c r="I457" i="6"/>
  <c r="P457" i="6" s="1"/>
  <c r="M456" i="6"/>
  <c r="I456" i="6"/>
  <c r="P456" i="6" s="1"/>
  <c r="M455" i="6"/>
  <c r="I455" i="6"/>
  <c r="P455" i="6" s="1"/>
  <c r="M454" i="6"/>
  <c r="I454" i="6"/>
  <c r="P454" i="6" s="1"/>
  <c r="M453" i="6"/>
  <c r="I453" i="6"/>
  <c r="P453" i="6" s="1"/>
  <c r="M452" i="6"/>
  <c r="I452" i="6"/>
  <c r="P452" i="6" s="1"/>
  <c r="M451" i="6"/>
  <c r="I451" i="6"/>
  <c r="P451" i="6" s="1"/>
  <c r="M450" i="6"/>
  <c r="I450" i="6"/>
  <c r="P450" i="6" s="1"/>
  <c r="M449" i="6"/>
  <c r="I449" i="6"/>
  <c r="P449" i="6" s="1"/>
  <c r="M448" i="6"/>
  <c r="I448" i="6"/>
  <c r="P448" i="6" s="1"/>
  <c r="M447" i="6"/>
  <c r="I447" i="6"/>
  <c r="P447" i="6" s="1"/>
  <c r="M446" i="6"/>
  <c r="I446" i="6"/>
  <c r="P446" i="6" s="1"/>
  <c r="M445" i="6"/>
  <c r="I445" i="6"/>
  <c r="P445" i="6" s="1"/>
  <c r="M444" i="6"/>
  <c r="I444" i="6"/>
  <c r="P444" i="6" s="1"/>
  <c r="M443" i="6"/>
  <c r="I443" i="6"/>
  <c r="P443" i="6" s="1"/>
  <c r="M442" i="6"/>
  <c r="I442" i="6"/>
  <c r="P442" i="6" s="1"/>
  <c r="M441" i="6"/>
  <c r="I441" i="6"/>
  <c r="P441" i="6" s="1"/>
  <c r="M440" i="6"/>
  <c r="I440" i="6"/>
  <c r="P440" i="6" s="1"/>
  <c r="M439" i="6"/>
  <c r="I439" i="6"/>
  <c r="P439" i="6" s="1"/>
  <c r="M438" i="6"/>
  <c r="I438" i="6"/>
  <c r="P438" i="6" s="1"/>
  <c r="M437" i="6"/>
  <c r="I437" i="6"/>
  <c r="P437" i="6" s="1"/>
  <c r="M436" i="6"/>
  <c r="I436" i="6"/>
  <c r="P436" i="6" s="1"/>
  <c r="M435" i="6"/>
  <c r="I435" i="6"/>
  <c r="P435" i="6" s="1"/>
  <c r="M434" i="6"/>
  <c r="I434" i="6"/>
  <c r="P434" i="6" s="1"/>
  <c r="M433" i="6"/>
  <c r="I433" i="6"/>
  <c r="P433" i="6" s="1"/>
  <c r="M432" i="6"/>
  <c r="I432" i="6"/>
  <c r="P432" i="6" s="1"/>
  <c r="M431" i="6"/>
  <c r="I431" i="6"/>
  <c r="P431" i="6" s="1"/>
  <c r="M430" i="6"/>
  <c r="I430" i="6"/>
  <c r="P430" i="6" s="1"/>
  <c r="M429" i="6"/>
  <c r="I429" i="6"/>
  <c r="P429" i="6" s="1"/>
  <c r="M428" i="6"/>
  <c r="I428" i="6"/>
  <c r="P428" i="6" s="1"/>
  <c r="M427" i="6"/>
  <c r="I427" i="6"/>
  <c r="P427" i="6" s="1"/>
  <c r="M426" i="6"/>
  <c r="I426" i="6"/>
  <c r="P426" i="6" s="1"/>
  <c r="M425" i="6"/>
  <c r="I425" i="6"/>
  <c r="P425" i="6" s="1"/>
  <c r="M424" i="6"/>
  <c r="I424" i="6"/>
  <c r="P424" i="6" s="1"/>
  <c r="M423" i="6"/>
  <c r="I423" i="6"/>
  <c r="P423" i="6" s="1"/>
  <c r="M422" i="6"/>
  <c r="I422" i="6"/>
  <c r="P422" i="6" s="1"/>
  <c r="D585" i="6"/>
  <c r="U585" i="6" s="1"/>
  <c r="K561" i="6"/>
  <c r="J553" i="6"/>
  <c r="D548" i="6"/>
  <c r="U548" i="6" s="1"/>
  <c r="J537" i="6"/>
  <c r="D532" i="6"/>
  <c r="U532" i="6" s="1"/>
  <c r="Q526" i="6"/>
  <c r="Q522" i="6"/>
  <c r="B519" i="6"/>
  <c r="E519" i="6" s="1"/>
  <c r="B517" i="6"/>
  <c r="B515" i="6"/>
  <c r="F513" i="6"/>
  <c r="F512" i="6"/>
  <c r="F511" i="6"/>
  <c r="F510" i="6"/>
  <c r="F509" i="6"/>
  <c r="F508" i="6"/>
  <c r="F507" i="6"/>
  <c r="F506" i="6"/>
  <c r="F505" i="6"/>
  <c r="F504" i="6"/>
  <c r="N503" i="6"/>
  <c r="F503" i="6"/>
  <c r="N502" i="6"/>
  <c r="F502" i="6"/>
  <c r="N501" i="6"/>
  <c r="F501" i="6"/>
  <c r="N500" i="6"/>
  <c r="F500" i="6"/>
  <c r="N499" i="6"/>
  <c r="H499" i="6"/>
  <c r="B499" i="6"/>
  <c r="M498" i="6"/>
  <c r="H498" i="6"/>
  <c r="D498" i="6"/>
  <c r="U498" i="6" s="1"/>
  <c r="Q497" i="6"/>
  <c r="L497" i="6"/>
  <c r="H497" i="6"/>
  <c r="D497" i="6"/>
  <c r="U497" i="6" s="1"/>
  <c r="Q496" i="6"/>
  <c r="L496" i="6"/>
  <c r="H496" i="6"/>
  <c r="D496" i="6"/>
  <c r="U496" i="6" s="1"/>
  <c r="Q495" i="6"/>
  <c r="L495" i="6"/>
  <c r="H495" i="6"/>
  <c r="D495" i="6"/>
  <c r="U495" i="6" s="1"/>
  <c r="Q494" i="6"/>
  <c r="L494" i="6"/>
  <c r="H494" i="6"/>
  <c r="D494" i="6"/>
  <c r="U494" i="6" s="1"/>
  <c r="Q493" i="6"/>
  <c r="L493" i="6"/>
  <c r="H493" i="6"/>
  <c r="D493" i="6"/>
  <c r="U493" i="6" s="1"/>
  <c r="Q492" i="6"/>
  <c r="L492" i="6"/>
  <c r="H492" i="6"/>
  <c r="D492" i="6"/>
  <c r="U492" i="6" s="1"/>
  <c r="Q491" i="6"/>
  <c r="L491" i="6"/>
  <c r="H491" i="6"/>
  <c r="D491" i="6"/>
  <c r="U491" i="6" s="1"/>
  <c r="Q490" i="6"/>
  <c r="L490" i="6"/>
  <c r="H490" i="6"/>
  <c r="D490" i="6"/>
  <c r="U490" i="6" s="1"/>
  <c r="Q489" i="6"/>
  <c r="L489" i="6"/>
  <c r="H489" i="6"/>
  <c r="D489" i="6"/>
  <c r="U489" i="6" s="1"/>
  <c r="Q488" i="6"/>
  <c r="L488" i="6"/>
  <c r="H488" i="6"/>
  <c r="D488" i="6"/>
  <c r="U488" i="6" s="1"/>
  <c r="Q487" i="6"/>
  <c r="L487" i="6"/>
  <c r="H487" i="6"/>
  <c r="D487" i="6"/>
  <c r="U487" i="6" s="1"/>
  <c r="Q486" i="6"/>
  <c r="L486" i="6"/>
  <c r="H486" i="6"/>
  <c r="D486" i="6"/>
  <c r="U486" i="6" s="1"/>
  <c r="Q485" i="6"/>
  <c r="L485" i="6"/>
  <c r="H485" i="6"/>
  <c r="D485" i="6"/>
  <c r="U485" i="6" s="1"/>
  <c r="Q484" i="6"/>
  <c r="L484" i="6"/>
  <c r="H484" i="6"/>
  <c r="D484" i="6"/>
  <c r="U484" i="6" s="1"/>
  <c r="Q483" i="6"/>
  <c r="L483" i="6"/>
  <c r="H483" i="6"/>
  <c r="D483" i="6"/>
  <c r="U483" i="6" s="1"/>
  <c r="Q482" i="6"/>
  <c r="L482" i="6"/>
  <c r="H482" i="6"/>
  <c r="D482" i="6"/>
  <c r="U482" i="6" s="1"/>
  <c r="Q481" i="6"/>
  <c r="L481" i="6"/>
  <c r="H481" i="6"/>
  <c r="D481" i="6"/>
  <c r="U481" i="6" s="1"/>
  <c r="Q480" i="6"/>
  <c r="L480" i="6"/>
  <c r="H480" i="6"/>
  <c r="D480" i="6"/>
  <c r="U480" i="6" s="1"/>
  <c r="Q479" i="6"/>
  <c r="L479" i="6"/>
  <c r="H479" i="6"/>
  <c r="D479" i="6"/>
  <c r="U479" i="6" s="1"/>
  <c r="Q478" i="6"/>
  <c r="L478" i="6"/>
  <c r="H478" i="6"/>
  <c r="D478" i="6"/>
  <c r="U478" i="6" s="1"/>
  <c r="Q477" i="6"/>
  <c r="L477" i="6"/>
  <c r="H477" i="6"/>
  <c r="D477" i="6"/>
  <c r="U477" i="6" s="1"/>
  <c r="Q476" i="6"/>
  <c r="L476" i="6"/>
  <c r="H476" i="6"/>
  <c r="D476" i="6"/>
  <c r="U476" i="6" s="1"/>
  <c r="Q475" i="6"/>
  <c r="L475" i="6"/>
  <c r="H475" i="6"/>
  <c r="D475" i="6"/>
  <c r="U475" i="6" s="1"/>
  <c r="Q474" i="6"/>
  <c r="L474" i="6"/>
  <c r="H474" i="6"/>
  <c r="D474" i="6"/>
  <c r="U474" i="6" s="1"/>
  <c r="Q473" i="6"/>
  <c r="L473" i="6"/>
  <c r="H473" i="6"/>
  <c r="D473" i="6"/>
  <c r="U473" i="6" s="1"/>
  <c r="Q472" i="6"/>
  <c r="L472" i="6"/>
  <c r="H472" i="6"/>
  <c r="D472" i="6"/>
  <c r="U472" i="6" s="1"/>
  <c r="Q471" i="6"/>
  <c r="L471" i="6"/>
  <c r="H471" i="6"/>
  <c r="D471" i="6"/>
  <c r="U471" i="6" s="1"/>
  <c r="Q470" i="6"/>
  <c r="L470" i="6"/>
  <c r="H470" i="6"/>
  <c r="D470" i="6"/>
  <c r="U470" i="6" s="1"/>
  <c r="Q469" i="6"/>
  <c r="L469" i="6"/>
  <c r="H469" i="6"/>
  <c r="D469" i="6"/>
  <c r="U469" i="6" s="1"/>
  <c r="Q468" i="6"/>
  <c r="L468" i="6"/>
  <c r="H468" i="6"/>
  <c r="D468" i="6"/>
  <c r="U468" i="6" s="1"/>
  <c r="Q467" i="6"/>
  <c r="L467" i="6"/>
  <c r="H467" i="6"/>
  <c r="D467" i="6"/>
  <c r="U467" i="6" s="1"/>
  <c r="Q466" i="6"/>
  <c r="L466" i="6"/>
  <c r="J529" i="6"/>
  <c r="B516" i="6"/>
  <c r="N510" i="6"/>
  <c r="N506" i="6"/>
  <c r="J503" i="6"/>
  <c r="J501" i="6"/>
  <c r="J499" i="6"/>
  <c r="F498" i="6"/>
  <c r="F497" i="6"/>
  <c r="F496" i="6"/>
  <c r="F495" i="6"/>
  <c r="F494" i="6"/>
  <c r="F493" i="6"/>
  <c r="F492" i="6"/>
  <c r="F491" i="6"/>
  <c r="F490" i="6"/>
  <c r="F489" i="6"/>
  <c r="F488" i="6"/>
  <c r="F487" i="6"/>
  <c r="F486" i="6"/>
  <c r="F485" i="6"/>
  <c r="F484" i="6"/>
  <c r="F483" i="6"/>
  <c r="F482" i="6"/>
  <c r="F481" i="6"/>
  <c r="F480" i="6"/>
  <c r="F479" i="6"/>
  <c r="F478" i="6"/>
  <c r="F477" i="6"/>
  <c r="F476" i="6"/>
  <c r="F475" i="6"/>
  <c r="F474" i="6"/>
  <c r="F473" i="6"/>
  <c r="F472" i="6"/>
  <c r="F471" i="6"/>
  <c r="F470" i="6"/>
  <c r="F469" i="6"/>
  <c r="F468" i="6"/>
  <c r="F467" i="6"/>
  <c r="H466" i="6"/>
  <c r="Q465" i="6"/>
  <c r="H465" i="6"/>
  <c r="Q464" i="6"/>
  <c r="H464" i="6"/>
  <c r="Q463" i="6"/>
  <c r="H463" i="6"/>
  <c r="Q462" i="6"/>
  <c r="H462" i="6"/>
  <c r="Q461" i="6"/>
  <c r="H461" i="6"/>
  <c r="Q460" i="6"/>
  <c r="H460" i="6"/>
  <c r="Q459" i="6"/>
  <c r="H459" i="6"/>
  <c r="Q458" i="6"/>
  <c r="H458" i="6"/>
  <c r="Q457" i="6"/>
  <c r="H457" i="6"/>
  <c r="Q456" i="6"/>
  <c r="H456" i="6"/>
  <c r="Q455" i="6"/>
  <c r="H455" i="6"/>
  <c r="Q454" i="6"/>
  <c r="H454" i="6"/>
  <c r="Q453" i="6"/>
  <c r="H453" i="6"/>
  <c r="Q452" i="6"/>
  <c r="H452" i="6"/>
  <c r="Q451" i="6"/>
  <c r="H451" i="6"/>
  <c r="Q450" i="6"/>
  <c r="H450" i="6"/>
  <c r="Q449" i="6"/>
  <c r="H449" i="6"/>
  <c r="Q448" i="6"/>
  <c r="K448" i="6"/>
  <c r="F448" i="6"/>
  <c r="Q447" i="6"/>
  <c r="K447" i="6"/>
  <c r="F447" i="6"/>
  <c r="Q446" i="6"/>
  <c r="K446" i="6"/>
  <c r="F446" i="6"/>
  <c r="Q445" i="6"/>
  <c r="K445" i="6"/>
  <c r="F445" i="6"/>
  <c r="Q444" i="6"/>
  <c r="K444" i="6"/>
  <c r="F444" i="6"/>
  <c r="Q443" i="6"/>
  <c r="K443" i="6"/>
  <c r="F443" i="6"/>
  <c r="Q442" i="6"/>
  <c r="K442" i="6"/>
  <c r="F442" i="6"/>
  <c r="Q441" i="6"/>
  <c r="K441" i="6"/>
  <c r="F441" i="6"/>
  <c r="Q440" i="6"/>
  <c r="K440" i="6"/>
  <c r="F440" i="6"/>
  <c r="Q439" i="6"/>
  <c r="K439" i="6"/>
  <c r="F439" i="6"/>
  <c r="Q438" i="6"/>
  <c r="K438" i="6"/>
  <c r="F438" i="6"/>
  <c r="Q437" i="6"/>
  <c r="K437" i="6"/>
  <c r="F437" i="6"/>
  <c r="Q436" i="6"/>
  <c r="K436" i="6"/>
  <c r="F436" i="6"/>
  <c r="Q435" i="6"/>
  <c r="K435" i="6"/>
  <c r="F435" i="6"/>
  <c r="Q434" i="6"/>
  <c r="K434" i="6"/>
  <c r="F434" i="6"/>
  <c r="Q433" i="6"/>
  <c r="K433" i="6"/>
  <c r="F433" i="6"/>
  <c r="Q432" i="6"/>
  <c r="K432" i="6"/>
  <c r="F432" i="6"/>
  <c r="Q431" i="6"/>
  <c r="K431" i="6"/>
  <c r="F431" i="6"/>
  <c r="Q430" i="6"/>
  <c r="K430" i="6"/>
  <c r="F430" i="6"/>
  <c r="Q429" i="6"/>
  <c r="K429" i="6"/>
  <c r="F429" i="6"/>
  <c r="Q428" i="6"/>
  <c r="K428" i="6"/>
  <c r="F428" i="6"/>
  <c r="Q427" i="6"/>
  <c r="K427" i="6"/>
  <c r="F427" i="6"/>
  <c r="J545" i="6"/>
  <c r="Q524" i="6"/>
  <c r="B514" i="6"/>
  <c r="E514" i="6" s="1"/>
  <c r="N509" i="6"/>
  <c r="N505" i="6"/>
  <c r="B503" i="6"/>
  <c r="E503" i="6" s="1"/>
  <c r="B501" i="6"/>
  <c r="B498" i="6"/>
  <c r="B497" i="6"/>
  <c r="B496" i="6"/>
  <c r="B495" i="6"/>
  <c r="B494" i="6"/>
  <c r="B493" i="6"/>
  <c r="B492" i="6"/>
  <c r="B491" i="6"/>
  <c r="B490" i="6"/>
  <c r="B489" i="6"/>
  <c r="B488" i="6"/>
  <c r="B487" i="6"/>
  <c r="B486" i="6"/>
  <c r="B485" i="6"/>
  <c r="B484" i="6"/>
  <c r="B483" i="6"/>
  <c r="B482" i="6"/>
  <c r="B481" i="6"/>
  <c r="B480" i="6"/>
  <c r="B479" i="6"/>
  <c r="B478" i="6"/>
  <c r="B477" i="6"/>
  <c r="B476" i="6"/>
  <c r="B475" i="6"/>
  <c r="B474" i="6"/>
  <c r="B473" i="6"/>
  <c r="B472" i="6"/>
  <c r="B471" i="6"/>
  <c r="B470" i="6"/>
  <c r="B469" i="6"/>
  <c r="B468" i="6"/>
  <c r="B467" i="6"/>
  <c r="F466" i="6"/>
  <c r="N465" i="6"/>
  <c r="F465" i="6"/>
  <c r="N464" i="6"/>
  <c r="F464" i="6"/>
  <c r="N463" i="6"/>
  <c r="F463" i="6"/>
  <c r="N462" i="6"/>
  <c r="F462" i="6"/>
  <c r="N461" i="6"/>
  <c r="F461" i="6"/>
  <c r="N460" i="6"/>
  <c r="F460" i="6"/>
  <c r="N459" i="6"/>
  <c r="F459" i="6"/>
  <c r="N458" i="6"/>
  <c r="F458" i="6"/>
  <c r="N457" i="6"/>
  <c r="F457" i="6"/>
  <c r="N456" i="6"/>
  <c r="F456" i="6"/>
  <c r="N455" i="6"/>
  <c r="F455" i="6"/>
  <c r="N454" i="6"/>
  <c r="F454" i="6"/>
  <c r="N453" i="6"/>
  <c r="F453" i="6"/>
  <c r="N452" i="6"/>
  <c r="F452" i="6"/>
  <c r="N451" i="6"/>
  <c r="F451" i="6"/>
  <c r="N450" i="6"/>
  <c r="F450" i="6"/>
  <c r="N449" i="6"/>
  <c r="F449" i="6"/>
  <c r="J448" i="6"/>
  <c r="D448" i="6"/>
  <c r="U448" i="6" s="1"/>
  <c r="J447" i="6"/>
  <c r="D447" i="6"/>
  <c r="U447" i="6" s="1"/>
  <c r="J446" i="6"/>
  <c r="D446" i="6"/>
  <c r="U446" i="6" s="1"/>
  <c r="J445" i="6"/>
  <c r="D445" i="6"/>
  <c r="U445" i="6" s="1"/>
  <c r="J444" i="6"/>
  <c r="D444" i="6"/>
  <c r="U444" i="6" s="1"/>
  <c r="J443" i="6"/>
  <c r="D443" i="6"/>
  <c r="U443" i="6" s="1"/>
  <c r="J442" i="6"/>
  <c r="D442" i="6"/>
  <c r="U442" i="6" s="1"/>
  <c r="J441" i="6"/>
  <c r="D441" i="6"/>
  <c r="U441" i="6" s="1"/>
  <c r="J440" i="6"/>
  <c r="D440" i="6"/>
  <c r="U440" i="6" s="1"/>
  <c r="J439" i="6"/>
  <c r="D439" i="6"/>
  <c r="U439" i="6" s="1"/>
  <c r="J438" i="6"/>
  <c r="D438" i="6"/>
  <c r="U438" i="6" s="1"/>
  <c r="J437" i="6"/>
  <c r="D437" i="6"/>
  <c r="U437" i="6" s="1"/>
  <c r="J436" i="6"/>
  <c r="D436" i="6"/>
  <c r="U436" i="6" s="1"/>
  <c r="J435" i="6"/>
  <c r="D435" i="6"/>
  <c r="U435" i="6" s="1"/>
  <c r="J434" i="6"/>
  <c r="D434" i="6"/>
  <c r="U434" i="6" s="1"/>
  <c r="J433" i="6"/>
  <c r="D433" i="6"/>
  <c r="U433" i="6" s="1"/>
  <c r="J432" i="6"/>
  <c r="D432" i="6"/>
  <c r="U432" i="6" s="1"/>
  <c r="J431" i="6"/>
  <c r="D431" i="6"/>
  <c r="U431" i="6" s="1"/>
  <c r="J430" i="6"/>
  <c r="D430" i="6"/>
  <c r="U430" i="6" s="1"/>
  <c r="J429" i="6"/>
  <c r="D429" i="6"/>
  <c r="U429" i="6" s="1"/>
  <c r="J428" i="6"/>
  <c r="D428" i="6"/>
  <c r="U428" i="6" s="1"/>
  <c r="J427" i="6"/>
  <c r="D427" i="6"/>
  <c r="U427" i="6" s="1"/>
  <c r="J426" i="6"/>
  <c r="D426" i="6"/>
  <c r="U426" i="6" s="1"/>
  <c r="J425" i="6"/>
  <c r="D425" i="6"/>
  <c r="U425" i="6" s="1"/>
  <c r="J424" i="6"/>
  <c r="D424" i="6"/>
  <c r="U424" i="6" s="1"/>
  <c r="J423" i="6"/>
  <c r="D423" i="6"/>
  <c r="U423" i="6" s="1"/>
  <c r="J422" i="6"/>
  <c r="D422" i="6"/>
  <c r="U422" i="6" s="1"/>
  <c r="K421" i="6"/>
  <c r="G421" i="6"/>
  <c r="C421" i="6"/>
  <c r="K420" i="6"/>
  <c r="G420" i="6"/>
  <c r="C420" i="6"/>
  <c r="K419" i="6"/>
  <c r="G419" i="6"/>
  <c r="C419" i="6"/>
  <c r="K418" i="6"/>
  <c r="K569" i="6"/>
  <c r="D540" i="6"/>
  <c r="U540" i="6" s="1"/>
  <c r="Q520" i="6"/>
  <c r="N512" i="6"/>
  <c r="N508" i="6"/>
  <c r="N504" i="6"/>
  <c r="J502" i="6"/>
  <c r="J500" i="6"/>
  <c r="Q498" i="6"/>
  <c r="N497" i="6"/>
  <c r="N496" i="6"/>
  <c r="N495" i="6"/>
  <c r="N494" i="6"/>
  <c r="N493" i="6"/>
  <c r="N492" i="6"/>
  <c r="N491" i="6"/>
  <c r="N490" i="6"/>
  <c r="N489" i="6"/>
  <c r="N488" i="6"/>
  <c r="N487" i="6"/>
  <c r="N486" i="6"/>
  <c r="N485" i="6"/>
  <c r="N484" i="6"/>
  <c r="N483" i="6"/>
  <c r="N482" i="6"/>
  <c r="N481" i="6"/>
  <c r="N480" i="6"/>
  <c r="N479" i="6"/>
  <c r="N478" i="6"/>
  <c r="N477" i="6"/>
  <c r="N476" i="6"/>
  <c r="N475" i="6"/>
  <c r="N474" i="6"/>
  <c r="N473" i="6"/>
  <c r="N472" i="6"/>
  <c r="N471" i="6"/>
  <c r="N470" i="6"/>
  <c r="N469" i="6"/>
  <c r="N468" i="6"/>
  <c r="N467" i="6"/>
  <c r="N466" i="6"/>
  <c r="D466" i="6"/>
  <c r="U466" i="6" s="1"/>
  <c r="L465" i="6"/>
  <c r="D465" i="6"/>
  <c r="U465" i="6" s="1"/>
  <c r="L464" i="6"/>
  <c r="D464" i="6"/>
  <c r="U464" i="6" s="1"/>
  <c r="L463" i="6"/>
  <c r="D463" i="6"/>
  <c r="U463" i="6" s="1"/>
  <c r="L462" i="6"/>
  <c r="D462" i="6"/>
  <c r="U462" i="6" s="1"/>
  <c r="L461" i="6"/>
  <c r="D461" i="6"/>
  <c r="U461" i="6" s="1"/>
  <c r="L460" i="6"/>
  <c r="D460" i="6"/>
  <c r="U460" i="6" s="1"/>
  <c r="L459" i="6"/>
  <c r="D459" i="6"/>
  <c r="U459" i="6" s="1"/>
  <c r="L458" i="6"/>
  <c r="D458" i="6"/>
  <c r="U458" i="6" s="1"/>
  <c r="L457" i="6"/>
  <c r="D457" i="6"/>
  <c r="U457" i="6" s="1"/>
  <c r="L456" i="6"/>
  <c r="D456" i="6"/>
  <c r="U456" i="6" s="1"/>
  <c r="L455" i="6"/>
  <c r="D455" i="6"/>
  <c r="U455" i="6" s="1"/>
  <c r="L454" i="6"/>
  <c r="D454" i="6"/>
  <c r="U454" i="6" s="1"/>
  <c r="L453" i="6"/>
  <c r="D453" i="6"/>
  <c r="U453" i="6" s="1"/>
  <c r="L452" i="6"/>
  <c r="D452" i="6"/>
  <c r="U452" i="6" s="1"/>
  <c r="L451" i="6"/>
  <c r="D451" i="6"/>
  <c r="U451" i="6" s="1"/>
  <c r="L450" i="6"/>
  <c r="D450" i="6"/>
  <c r="U450" i="6" s="1"/>
  <c r="L449" i="6"/>
  <c r="D449" i="6"/>
  <c r="U449" i="6" s="1"/>
  <c r="N448" i="6"/>
  <c r="H448" i="6"/>
  <c r="C448" i="6"/>
  <c r="N447" i="6"/>
  <c r="H447" i="6"/>
  <c r="C447" i="6"/>
  <c r="N446" i="6"/>
  <c r="H446" i="6"/>
  <c r="C446" i="6"/>
  <c r="N445" i="6"/>
  <c r="H445" i="6"/>
  <c r="C445" i="6"/>
  <c r="N444" i="6"/>
  <c r="H444" i="6"/>
  <c r="C444" i="6"/>
  <c r="N443" i="6"/>
  <c r="H443" i="6"/>
  <c r="C443" i="6"/>
  <c r="N442" i="6"/>
  <c r="H442" i="6"/>
  <c r="C442" i="6"/>
  <c r="N441" i="6"/>
  <c r="H441" i="6"/>
  <c r="C441" i="6"/>
  <c r="N440" i="6"/>
  <c r="H440" i="6"/>
  <c r="C440" i="6"/>
  <c r="N439" i="6"/>
  <c r="H439" i="6"/>
  <c r="C439" i="6"/>
  <c r="N438" i="6"/>
  <c r="H438" i="6"/>
  <c r="C438" i="6"/>
  <c r="N437" i="6"/>
  <c r="H437" i="6"/>
  <c r="B518" i="6"/>
  <c r="B502" i="6"/>
  <c r="J496" i="6"/>
  <c r="J492" i="6"/>
  <c r="J488" i="6"/>
  <c r="J484" i="6"/>
  <c r="J480" i="6"/>
  <c r="J476" i="6"/>
  <c r="J472" i="6"/>
  <c r="J468" i="6"/>
  <c r="J465" i="6"/>
  <c r="J463" i="6"/>
  <c r="J461" i="6"/>
  <c r="J459" i="6"/>
  <c r="J457" i="6"/>
  <c r="J455" i="6"/>
  <c r="J453" i="6"/>
  <c r="J451" i="6"/>
  <c r="J449" i="6"/>
  <c r="B448" i="6"/>
  <c r="E448" i="6" s="1"/>
  <c r="L446" i="6"/>
  <c r="G445" i="6"/>
  <c r="B444" i="6"/>
  <c r="L442" i="6"/>
  <c r="G441" i="6"/>
  <c r="B440" i="6"/>
  <c r="L438" i="6"/>
  <c r="G437" i="6"/>
  <c r="L436" i="6"/>
  <c r="B436" i="6"/>
  <c r="G435" i="6"/>
  <c r="L434" i="6"/>
  <c r="B434" i="6"/>
  <c r="G433" i="6"/>
  <c r="L432" i="6"/>
  <c r="B432" i="6"/>
  <c r="G431" i="6"/>
  <c r="L430" i="6"/>
  <c r="B430" i="6"/>
  <c r="G429" i="6"/>
  <c r="L428" i="6"/>
  <c r="B428" i="6"/>
  <c r="G427" i="6"/>
  <c r="N426" i="6"/>
  <c r="G426" i="6"/>
  <c r="Q425" i="6"/>
  <c r="H425" i="6"/>
  <c r="B425" i="6"/>
  <c r="K424" i="6"/>
  <c r="C424" i="6"/>
  <c r="L423" i="6"/>
  <c r="F423" i="6"/>
  <c r="N422" i="6"/>
  <c r="G422" i="6"/>
  <c r="Q421" i="6"/>
  <c r="J421" i="6"/>
  <c r="Q420" i="6"/>
  <c r="J420" i="6"/>
  <c r="Q419" i="6"/>
  <c r="J419" i="6"/>
  <c r="Q418" i="6"/>
  <c r="J418" i="6"/>
  <c r="F418" i="6"/>
  <c r="B418" i="6"/>
  <c r="N417" i="6"/>
  <c r="J417" i="6"/>
  <c r="F417" i="6"/>
  <c r="B417" i="6"/>
  <c r="N416" i="6"/>
  <c r="J416" i="6"/>
  <c r="F416" i="6"/>
  <c r="B416" i="6"/>
  <c r="N415" i="6"/>
  <c r="J415" i="6"/>
  <c r="F415" i="6"/>
  <c r="B415" i="6"/>
  <c r="N414" i="6"/>
  <c r="J414" i="6"/>
  <c r="F414" i="6"/>
  <c r="B414" i="6"/>
  <c r="N413" i="6"/>
  <c r="J413" i="6"/>
  <c r="F413" i="6"/>
  <c r="B413" i="6"/>
  <c r="N412" i="6"/>
  <c r="J412" i="6"/>
  <c r="F412" i="6"/>
  <c r="B412" i="6"/>
  <c r="N411" i="6"/>
  <c r="J411" i="6"/>
  <c r="F411" i="6"/>
  <c r="B411" i="6"/>
  <c r="N410" i="6"/>
  <c r="J410" i="6"/>
  <c r="F410" i="6"/>
  <c r="B410" i="6"/>
  <c r="N409" i="6"/>
  <c r="J409" i="6"/>
  <c r="F409" i="6"/>
  <c r="B409" i="6"/>
  <c r="N408" i="6"/>
  <c r="J408" i="6"/>
  <c r="F408" i="6"/>
  <c r="B408" i="6"/>
  <c r="N407" i="6"/>
  <c r="J407" i="6"/>
  <c r="F407" i="6"/>
  <c r="B407" i="6"/>
  <c r="N406" i="6"/>
  <c r="J406" i="6"/>
  <c r="F406" i="6"/>
  <c r="B406" i="6"/>
  <c r="N405" i="6"/>
  <c r="J405" i="6"/>
  <c r="F405" i="6"/>
  <c r="B405" i="6"/>
  <c r="N404" i="6"/>
  <c r="J404" i="6"/>
  <c r="F404" i="6"/>
  <c r="B404" i="6"/>
  <c r="N403" i="6"/>
  <c r="J403" i="6"/>
  <c r="F403" i="6"/>
  <c r="B403" i="6"/>
  <c r="N402" i="6"/>
  <c r="J402" i="6"/>
  <c r="F402" i="6"/>
  <c r="B402" i="6"/>
  <c r="N401" i="6"/>
  <c r="J401" i="6"/>
  <c r="F401" i="6"/>
  <c r="B401" i="6"/>
  <c r="N400" i="6"/>
  <c r="J400" i="6"/>
  <c r="F400" i="6"/>
  <c r="B400" i="6"/>
  <c r="N399" i="6"/>
  <c r="J399" i="6"/>
  <c r="F399" i="6"/>
  <c r="B399" i="6"/>
  <c r="N398" i="6"/>
  <c r="J398" i="6"/>
  <c r="F398" i="6"/>
  <c r="B398" i="6"/>
  <c r="N397" i="6"/>
  <c r="J397" i="6"/>
  <c r="F397" i="6"/>
  <c r="B397" i="6"/>
  <c r="N396" i="6"/>
  <c r="J396" i="6"/>
  <c r="F396" i="6"/>
  <c r="B396" i="6"/>
  <c r="N395" i="6"/>
  <c r="J395" i="6"/>
  <c r="F395" i="6"/>
  <c r="B395" i="6"/>
  <c r="N394" i="6"/>
  <c r="J394" i="6"/>
  <c r="F394" i="6"/>
  <c r="B394" i="6"/>
  <c r="N393" i="6"/>
  <c r="J393" i="6"/>
  <c r="F393" i="6"/>
  <c r="B393" i="6"/>
  <c r="N392" i="6"/>
  <c r="J392" i="6"/>
  <c r="F392" i="6"/>
  <c r="B392" i="6"/>
  <c r="N391" i="6"/>
  <c r="J391" i="6"/>
  <c r="F391" i="6"/>
  <c r="B391" i="6"/>
  <c r="N390" i="6"/>
  <c r="J390" i="6"/>
  <c r="F390" i="6"/>
  <c r="B390" i="6"/>
  <c r="N389" i="6"/>
  <c r="J389" i="6"/>
  <c r="F389" i="6"/>
  <c r="B389" i="6"/>
  <c r="N388" i="6"/>
  <c r="J388" i="6"/>
  <c r="F388" i="6"/>
  <c r="B388" i="6"/>
  <c r="N387" i="6"/>
  <c r="J387" i="6"/>
  <c r="F387" i="6"/>
  <c r="B387" i="6"/>
  <c r="N386" i="6"/>
  <c r="J386" i="6"/>
  <c r="F386" i="6"/>
  <c r="B386" i="6"/>
  <c r="N385" i="6"/>
  <c r="J385" i="6"/>
  <c r="F385" i="6"/>
  <c r="B385" i="6"/>
  <c r="N384" i="6"/>
  <c r="J384" i="6"/>
  <c r="F384" i="6"/>
  <c r="B384" i="6"/>
  <c r="N383" i="6"/>
  <c r="J383" i="6"/>
  <c r="F383" i="6"/>
  <c r="B383" i="6"/>
  <c r="N382" i="6"/>
  <c r="J382" i="6"/>
  <c r="F382" i="6"/>
  <c r="B382" i="6"/>
  <c r="N381" i="6"/>
  <c r="J381" i="6"/>
  <c r="F381" i="6"/>
  <c r="B381" i="6"/>
  <c r="N380" i="6"/>
  <c r="J380" i="6"/>
  <c r="F380" i="6"/>
  <c r="B380" i="6"/>
  <c r="N379" i="6"/>
  <c r="J379" i="6"/>
  <c r="F379" i="6"/>
  <c r="B379" i="6"/>
  <c r="N378" i="6"/>
  <c r="J378" i="6"/>
  <c r="F378" i="6"/>
  <c r="B378" i="6"/>
  <c r="N377" i="6"/>
  <c r="J377" i="6"/>
  <c r="F377" i="6"/>
  <c r="B377" i="6"/>
  <c r="N376" i="6"/>
  <c r="J376" i="6"/>
  <c r="F376" i="6"/>
  <c r="B376" i="6"/>
  <c r="N375" i="6"/>
  <c r="J375" i="6"/>
  <c r="F375" i="6"/>
  <c r="B375" i="6"/>
  <c r="N374" i="6"/>
  <c r="J374" i="6"/>
  <c r="F374" i="6"/>
  <c r="B374" i="6"/>
  <c r="N373" i="6"/>
  <c r="J373" i="6"/>
  <c r="F373" i="6"/>
  <c r="B373" i="6"/>
  <c r="N372" i="6"/>
  <c r="J372" i="6"/>
  <c r="F372" i="6"/>
  <c r="B372" i="6"/>
  <c r="N371" i="6"/>
  <c r="J371" i="6"/>
  <c r="F371" i="6"/>
  <c r="B371" i="6"/>
  <c r="N370" i="6"/>
  <c r="J370" i="6"/>
  <c r="F370" i="6"/>
  <c r="B370" i="6"/>
  <c r="N369" i="6"/>
  <c r="J369" i="6"/>
  <c r="F369" i="6"/>
  <c r="B369" i="6"/>
  <c r="N368" i="6"/>
  <c r="J368" i="6"/>
  <c r="F368" i="6"/>
  <c r="B368" i="6"/>
  <c r="N367" i="6"/>
  <c r="J367" i="6"/>
  <c r="F367" i="6"/>
  <c r="B367" i="6"/>
  <c r="N366" i="6"/>
  <c r="J366" i="6"/>
  <c r="F366" i="6"/>
  <c r="B366" i="6"/>
  <c r="N365" i="6"/>
  <c r="J365" i="6"/>
  <c r="F365" i="6"/>
  <c r="B365" i="6"/>
  <c r="N364" i="6"/>
  <c r="J364" i="6"/>
  <c r="F364" i="6"/>
  <c r="B364" i="6"/>
  <c r="N363" i="6"/>
  <c r="J363" i="6"/>
  <c r="F363" i="6"/>
  <c r="B363" i="6"/>
  <c r="N362" i="6"/>
  <c r="J362" i="6"/>
  <c r="F362" i="6"/>
  <c r="B362" i="6"/>
  <c r="N361" i="6"/>
  <c r="J361" i="6"/>
  <c r="F361" i="6"/>
  <c r="B361" i="6"/>
  <c r="N360" i="6"/>
  <c r="J360" i="6"/>
  <c r="F360" i="6"/>
  <c r="B360" i="6"/>
  <c r="N359" i="6"/>
  <c r="J359" i="6"/>
  <c r="F359" i="6"/>
  <c r="B359" i="6"/>
  <c r="N358" i="6"/>
  <c r="J358" i="6"/>
  <c r="F358" i="6"/>
  <c r="B358" i="6"/>
  <c r="N357" i="6"/>
  <c r="J357" i="6"/>
  <c r="F357" i="6"/>
  <c r="B357" i="6"/>
  <c r="N356" i="6"/>
  <c r="J356" i="6"/>
  <c r="F356" i="6"/>
  <c r="B356" i="6"/>
  <c r="N355" i="6"/>
  <c r="J355" i="6"/>
  <c r="F355" i="6"/>
  <c r="B355" i="6"/>
  <c r="N354" i="6"/>
  <c r="J354" i="6"/>
  <c r="F354" i="6"/>
  <c r="B354" i="6"/>
  <c r="N353" i="6"/>
  <c r="J353" i="6"/>
  <c r="F353" i="6"/>
  <c r="B353" i="6"/>
  <c r="N352" i="6"/>
  <c r="J352" i="6"/>
  <c r="F352" i="6"/>
  <c r="B352" i="6"/>
  <c r="N351" i="6"/>
  <c r="J351" i="6"/>
  <c r="F351" i="6"/>
  <c r="B351" i="6"/>
  <c r="N350" i="6"/>
  <c r="J350" i="6"/>
  <c r="F350" i="6"/>
  <c r="B350" i="6"/>
  <c r="N349" i="6"/>
  <c r="J349" i="6"/>
  <c r="N511" i="6"/>
  <c r="B500" i="6"/>
  <c r="J495" i="6"/>
  <c r="J491" i="6"/>
  <c r="J487" i="6"/>
  <c r="J483" i="6"/>
  <c r="J479" i="6"/>
  <c r="J475" i="6"/>
  <c r="J471" i="6"/>
  <c r="J467" i="6"/>
  <c r="B465" i="6"/>
  <c r="E465" i="6" s="1"/>
  <c r="B463" i="6"/>
  <c r="B461" i="6"/>
  <c r="B459" i="6"/>
  <c r="B457" i="6"/>
  <c r="E457" i="6" s="1"/>
  <c r="B455" i="6"/>
  <c r="B453" i="6"/>
  <c r="B451" i="6"/>
  <c r="B449" i="6"/>
  <c r="E449" i="6" s="1"/>
  <c r="L447" i="6"/>
  <c r="G446" i="6"/>
  <c r="B445" i="6"/>
  <c r="L443" i="6"/>
  <c r="G442" i="6"/>
  <c r="B441" i="6"/>
  <c r="L439" i="6"/>
  <c r="G438" i="6"/>
  <c r="C437" i="6"/>
  <c r="H436" i="6"/>
  <c r="N435" i="6"/>
  <c r="C435" i="6"/>
  <c r="H434" i="6"/>
  <c r="N433" i="6"/>
  <c r="C433" i="6"/>
  <c r="H432" i="6"/>
  <c r="N431" i="6"/>
  <c r="C431" i="6"/>
  <c r="H430" i="6"/>
  <c r="N429" i="6"/>
  <c r="C429" i="6"/>
  <c r="H428" i="6"/>
  <c r="N427" i="6"/>
  <c r="C427" i="6"/>
  <c r="L426" i="6"/>
  <c r="F426" i="6"/>
  <c r="N425" i="6"/>
  <c r="G425" i="6"/>
  <c r="Q424" i="6"/>
  <c r="H424" i="6"/>
  <c r="B424" i="6"/>
  <c r="K423" i="6"/>
  <c r="C423" i="6"/>
  <c r="L422" i="6"/>
  <c r="F422" i="6"/>
  <c r="N421" i="6"/>
  <c r="I421" i="6"/>
  <c r="P421" i="6" s="1"/>
  <c r="D421" i="6"/>
  <c r="U421" i="6" s="1"/>
  <c r="N420" i="6"/>
  <c r="I420" i="6"/>
  <c r="P420" i="6" s="1"/>
  <c r="D420" i="6"/>
  <c r="U420" i="6" s="1"/>
  <c r="N419" i="6"/>
  <c r="I419" i="6"/>
  <c r="P419" i="6" s="1"/>
  <c r="D419" i="6"/>
  <c r="U419" i="6" s="1"/>
  <c r="N418" i="6"/>
  <c r="I418" i="6"/>
  <c r="P418" i="6" s="1"/>
  <c r="M417" i="6"/>
  <c r="I417" i="6"/>
  <c r="P417" i="6" s="1"/>
  <c r="M416" i="6"/>
  <c r="I416" i="6"/>
  <c r="P416" i="6" s="1"/>
  <c r="M415" i="6"/>
  <c r="I415" i="6"/>
  <c r="P415" i="6" s="1"/>
  <c r="M414" i="6"/>
  <c r="I414" i="6"/>
  <c r="P414" i="6" s="1"/>
  <c r="M413" i="6"/>
  <c r="I413" i="6"/>
  <c r="P413" i="6" s="1"/>
  <c r="M412" i="6"/>
  <c r="I412" i="6"/>
  <c r="P412" i="6" s="1"/>
  <c r="M411" i="6"/>
  <c r="I411" i="6"/>
  <c r="P411" i="6" s="1"/>
  <c r="M410" i="6"/>
  <c r="I410" i="6"/>
  <c r="P410" i="6" s="1"/>
  <c r="M409" i="6"/>
  <c r="I409" i="6"/>
  <c r="P409" i="6" s="1"/>
  <c r="M408" i="6"/>
  <c r="I408" i="6"/>
  <c r="P408" i="6" s="1"/>
  <c r="M407" i="6"/>
  <c r="I407" i="6"/>
  <c r="P407" i="6" s="1"/>
  <c r="M406" i="6"/>
  <c r="I406" i="6"/>
  <c r="P406" i="6" s="1"/>
  <c r="M405" i="6"/>
  <c r="I405" i="6"/>
  <c r="P405" i="6" s="1"/>
  <c r="M404" i="6"/>
  <c r="I404" i="6"/>
  <c r="P404" i="6" s="1"/>
  <c r="M403" i="6"/>
  <c r="I403" i="6"/>
  <c r="P403" i="6" s="1"/>
  <c r="M402" i="6"/>
  <c r="I402" i="6"/>
  <c r="P402" i="6" s="1"/>
  <c r="M401" i="6"/>
  <c r="I401" i="6"/>
  <c r="P401" i="6" s="1"/>
  <c r="M400" i="6"/>
  <c r="I400" i="6"/>
  <c r="P400" i="6" s="1"/>
  <c r="M399" i="6"/>
  <c r="I399" i="6"/>
  <c r="P399" i="6" s="1"/>
  <c r="M398" i="6"/>
  <c r="I398" i="6"/>
  <c r="P398" i="6" s="1"/>
  <c r="M397" i="6"/>
  <c r="I397" i="6"/>
  <c r="P397" i="6" s="1"/>
  <c r="M396" i="6"/>
  <c r="I396" i="6"/>
  <c r="P396" i="6" s="1"/>
  <c r="M395" i="6"/>
  <c r="I395" i="6"/>
  <c r="P395" i="6" s="1"/>
  <c r="M394" i="6"/>
  <c r="I394" i="6"/>
  <c r="P394" i="6" s="1"/>
  <c r="M393" i="6"/>
  <c r="I393" i="6"/>
  <c r="P393" i="6" s="1"/>
  <c r="M392" i="6"/>
  <c r="I392" i="6"/>
  <c r="P392" i="6" s="1"/>
  <c r="M391" i="6"/>
  <c r="I391" i="6"/>
  <c r="P391" i="6" s="1"/>
  <c r="M390" i="6"/>
  <c r="I390" i="6"/>
  <c r="P390" i="6" s="1"/>
  <c r="M389" i="6"/>
  <c r="I389" i="6"/>
  <c r="P389" i="6" s="1"/>
  <c r="M388" i="6"/>
  <c r="I388" i="6"/>
  <c r="P388" i="6" s="1"/>
  <c r="M387" i="6"/>
  <c r="I387" i="6"/>
  <c r="P387" i="6" s="1"/>
  <c r="M386" i="6"/>
  <c r="I386" i="6"/>
  <c r="P386" i="6" s="1"/>
  <c r="M385" i="6"/>
  <c r="I385" i="6"/>
  <c r="P385" i="6" s="1"/>
  <c r="M384" i="6"/>
  <c r="I384" i="6"/>
  <c r="P384" i="6" s="1"/>
  <c r="M383" i="6"/>
  <c r="I383" i="6"/>
  <c r="P383" i="6" s="1"/>
  <c r="M382" i="6"/>
  <c r="I382" i="6"/>
  <c r="P382" i="6" s="1"/>
  <c r="M381" i="6"/>
  <c r="I381" i="6"/>
  <c r="P381" i="6" s="1"/>
  <c r="M380" i="6"/>
  <c r="I380" i="6"/>
  <c r="P380" i="6" s="1"/>
  <c r="M379" i="6"/>
  <c r="I379" i="6"/>
  <c r="P379" i="6" s="1"/>
  <c r="M378" i="6"/>
  <c r="I378" i="6"/>
  <c r="P378" i="6" s="1"/>
  <c r="M377" i="6"/>
  <c r="I377" i="6"/>
  <c r="P377" i="6" s="1"/>
  <c r="M376" i="6"/>
  <c r="I376" i="6"/>
  <c r="P376" i="6" s="1"/>
  <c r="M375" i="6"/>
  <c r="I375" i="6"/>
  <c r="P375" i="6" s="1"/>
  <c r="M374" i="6"/>
  <c r="I374" i="6"/>
  <c r="P374" i="6" s="1"/>
  <c r="M373" i="6"/>
  <c r="I373" i="6"/>
  <c r="P373" i="6" s="1"/>
  <c r="N556" i="6"/>
  <c r="N507" i="6"/>
  <c r="J498" i="6"/>
  <c r="J494" i="6"/>
  <c r="J490" i="6"/>
  <c r="J486" i="6"/>
  <c r="J482" i="6"/>
  <c r="J478" i="6"/>
  <c r="J474" i="6"/>
  <c r="J470" i="6"/>
  <c r="J466" i="6"/>
  <c r="J464" i="6"/>
  <c r="J462" i="6"/>
  <c r="J460" i="6"/>
  <c r="J458" i="6"/>
  <c r="J456" i="6"/>
  <c r="J454" i="6"/>
  <c r="J452" i="6"/>
  <c r="J450" i="6"/>
  <c r="L448" i="6"/>
  <c r="G447" i="6"/>
  <c r="B446" i="6"/>
  <c r="L444" i="6"/>
  <c r="G443" i="6"/>
  <c r="B442" i="6"/>
  <c r="E442" i="6" s="1"/>
  <c r="L440" i="6"/>
  <c r="G439" i="6"/>
  <c r="B438" i="6"/>
  <c r="B437" i="6"/>
  <c r="E437" i="6" s="1"/>
  <c r="G436" i="6"/>
  <c r="L435" i="6"/>
  <c r="B435" i="6"/>
  <c r="E435" i="6" s="1"/>
  <c r="G434" i="6"/>
  <c r="L433" i="6"/>
  <c r="B433" i="6"/>
  <c r="E433" i="6" s="1"/>
  <c r="G432" i="6"/>
  <c r="L431" i="6"/>
  <c r="B431" i="6"/>
  <c r="E431" i="6" s="1"/>
  <c r="G430" i="6"/>
  <c r="L429" i="6"/>
  <c r="B429" i="6"/>
  <c r="E429" i="6" s="1"/>
  <c r="G428" i="6"/>
  <c r="L427" i="6"/>
  <c r="B427" i="6"/>
  <c r="E427" i="6" s="1"/>
  <c r="K426" i="6"/>
  <c r="C426" i="6"/>
  <c r="L425" i="6"/>
  <c r="F425" i="6"/>
  <c r="N424" i="6"/>
  <c r="G424" i="6"/>
  <c r="Q423" i="6"/>
  <c r="H423" i="6"/>
  <c r="B423" i="6"/>
  <c r="E423" i="6" s="1"/>
  <c r="K422" i="6"/>
  <c r="C422" i="6"/>
  <c r="M421" i="6"/>
  <c r="H421" i="6"/>
  <c r="B421" i="6"/>
  <c r="M420" i="6"/>
  <c r="H420" i="6"/>
  <c r="B420" i="6"/>
  <c r="M419" i="6"/>
  <c r="H419" i="6"/>
  <c r="B419" i="6"/>
  <c r="M418" i="6"/>
  <c r="H418" i="6"/>
  <c r="D418" i="6"/>
  <c r="U418" i="6" s="1"/>
  <c r="Q417" i="6"/>
  <c r="L417" i="6"/>
  <c r="H417" i="6"/>
  <c r="D417" i="6"/>
  <c r="U417" i="6" s="1"/>
  <c r="Q416" i="6"/>
  <c r="L416" i="6"/>
  <c r="H416" i="6"/>
  <c r="D416" i="6"/>
  <c r="U416" i="6" s="1"/>
  <c r="Q415" i="6"/>
  <c r="L415" i="6"/>
  <c r="H415" i="6"/>
  <c r="D415" i="6"/>
  <c r="U415" i="6" s="1"/>
  <c r="Q414" i="6"/>
  <c r="L414" i="6"/>
  <c r="H414" i="6"/>
  <c r="D414" i="6"/>
  <c r="U414" i="6" s="1"/>
  <c r="Q413" i="6"/>
  <c r="L413" i="6"/>
  <c r="H413" i="6"/>
  <c r="D413" i="6"/>
  <c r="U413" i="6" s="1"/>
  <c r="Q412" i="6"/>
  <c r="L412" i="6"/>
  <c r="H412" i="6"/>
  <c r="D412" i="6"/>
  <c r="U412" i="6" s="1"/>
  <c r="Q411" i="6"/>
  <c r="L411" i="6"/>
  <c r="H411" i="6"/>
  <c r="D411" i="6"/>
  <c r="U411" i="6" s="1"/>
  <c r="Q410" i="6"/>
  <c r="L410" i="6"/>
  <c r="H410" i="6"/>
  <c r="D410" i="6"/>
  <c r="U410" i="6" s="1"/>
  <c r="Q409" i="6"/>
  <c r="L409" i="6"/>
  <c r="H409" i="6"/>
  <c r="D409" i="6"/>
  <c r="U409" i="6" s="1"/>
  <c r="Q408" i="6"/>
  <c r="L408" i="6"/>
  <c r="H408" i="6"/>
  <c r="D408" i="6"/>
  <c r="U408" i="6" s="1"/>
  <c r="Q407" i="6"/>
  <c r="L407" i="6"/>
  <c r="H407" i="6"/>
  <c r="D407" i="6"/>
  <c r="U407" i="6" s="1"/>
  <c r="Q406" i="6"/>
  <c r="L406" i="6"/>
  <c r="H406" i="6"/>
  <c r="D406" i="6"/>
  <c r="U406" i="6" s="1"/>
  <c r="Q405" i="6"/>
  <c r="L405" i="6"/>
  <c r="H405" i="6"/>
  <c r="D405" i="6"/>
  <c r="U405" i="6" s="1"/>
  <c r="Q404" i="6"/>
  <c r="L404" i="6"/>
  <c r="H404" i="6"/>
  <c r="D404" i="6"/>
  <c r="U404" i="6" s="1"/>
  <c r="Q403" i="6"/>
  <c r="L403" i="6"/>
  <c r="H403" i="6"/>
  <c r="D403" i="6"/>
  <c r="U403" i="6" s="1"/>
  <c r="Q402" i="6"/>
  <c r="L402" i="6"/>
  <c r="H402" i="6"/>
  <c r="D402" i="6"/>
  <c r="U402" i="6" s="1"/>
  <c r="Q401" i="6"/>
  <c r="L401" i="6"/>
  <c r="H401" i="6"/>
  <c r="D401" i="6"/>
  <c r="U401" i="6" s="1"/>
  <c r="Q400" i="6"/>
  <c r="L400" i="6"/>
  <c r="H400" i="6"/>
  <c r="D400" i="6"/>
  <c r="U400" i="6" s="1"/>
  <c r="Q399" i="6"/>
  <c r="L399" i="6"/>
  <c r="H399" i="6"/>
  <c r="D399" i="6"/>
  <c r="U399" i="6" s="1"/>
  <c r="Q398" i="6"/>
  <c r="L398" i="6"/>
  <c r="H398" i="6"/>
  <c r="D398" i="6"/>
  <c r="U398" i="6" s="1"/>
  <c r="Q397" i="6"/>
  <c r="L397" i="6"/>
  <c r="H397" i="6"/>
  <c r="D397" i="6"/>
  <c r="U397" i="6" s="1"/>
  <c r="Q396" i="6"/>
  <c r="L396" i="6"/>
  <c r="H396" i="6"/>
  <c r="D396" i="6"/>
  <c r="U396" i="6" s="1"/>
  <c r="Q395" i="6"/>
  <c r="L395" i="6"/>
  <c r="H395" i="6"/>
  <c r="D395" i="6"/>
  <c r="U395" i="6" s="1"/>
  <c r="Q394" i="6"/>
  <c r="L394" i="6"/>
  <c r="H394" i="6"/>
  <c r="D394" i="6"/>
  <c r="U394" i="6" s="1"/>
  <c r="Q393" i="6"/>
  <c r="L393" i="6"/>
  <c r="H393" i="6"/>
  <c r="D393" i="6"/>
  <c r="U393" i="6" s="1"/>
  <c r="Q392" i="6"/>
  <c r="L392" i="6"/>
  <c r="H392" i="6"/>
  <c r="D392" i="6"/>
  <c r="U392" i="6" s="1"/>
  <c r="Q391" i="6"/>
  <c r="L391" i="6"/>
  <c r="H391" i="6"/>
  <c r="D391" i="6"/>
  <c r="U391" i="6" s="1"/>
  <c r="Q390" i="6"/>
  <c r="L390" i="6"/>
  <c r="H390" i="6"/>
  <c r="D390" i="6"/>
  <c r="U390" i="6" s="1"/>
  <c r="Q389" i="6"/>
  <c r="L389" i="6"/>
  <c r="H389" i="6"/>
  <c r="D389" i="6"/>
  <c r="U389" i="6" s="1"/>
  <c r="Q388" i="6"/>
  <c r="L388" i="6"/>
  <c r="H388" i="6"/>
  <c r="D388" i="6"/>
  <c r="U388" i="6" s="1"/>
  <c r="Q387" i="6"/>
  <c r="L387" i="6"/>
  <c r="H387" i="6"/>
  <c r="D387" i="6"/>
  <c r="U387" i="6" s="1"/>
  <c r="Q386" i="6"/>
  <c r="L386" i="6"/>
  <c r="H386" i="6"/>
  <c r="D386" i="6"/>
  <c r="U386" i="6" s="1"/>
  <c r="Q385" i="6"/>
  <c r="L385" i="6"/>
  <c r="H385" i="6"/>
  <c r="D385" i="6"/>
  <c r="U385" i="6" s="1"/>
  <c r="Q384" i="6"/>
  <c r="L384" i="6"/>
  <c r="H384" i="6"/>
  <c r="D384" i="6"/>
  <c r="U384" i="6" s="1"/>
  <c r="Q383" i="6"/>
  <c r="L383" i="6"/>
  <c r="H383" i="6"/>
  <c r="D383" i="6"/>
  <c r="U383" i="6" s="1"/>
  <c r="Q382" i="6"/>
  <c r="L382" i="6"/>
  <c r="H382" i="6"/>
  <c r="D382" i="6"/>
  <c r="U382" i="6" s="1"/>
  <c r="Q381" i="6"/>
  <c r="L381" i="6"/>
  <c r="H381" i="6"/>
  <c r="D381" i="6"/>
  <c r="U381" i="6" s="1"/>
  <c r="Q380" i="6"/>
  <c r="L380" i="6"/>
  <c r="H380" i="6"/>
  <c r="D380" i="6"/>
  <c r="U380" i="6" s="1"/>
  <c r="Q379" i="6"/>
  <c r="L379" i="6"/>
  <c r="H379" i="6"/>
  <c r="D379" i="6"/>
  <c r="U379" i="6" s="1"/>
  <c r="Q378" i="6"/>
  <c r="L378" i="6"/>
  <c r="H378" i="6"/>
  <c r="D378" i="6"/>
  <c r="U378" i="6" s="1"/>
  <c r="Q377" i="6"/>
  <c r="L377" i="6"/>
  <c r="H377" i="6"/>
  <c r="D377" i="6"/>
  <c r="U377" i="6" s="1"/>
  <c r="Q376" i="6"/>
  <c r="L376" i="6"/>
  <c r="H376" i="6"/>
  <c r="D376" i="6"/>
  <c r="U376" i="6" s="1"/>
  <c r="Q375" i="6"/>
  <c r="L375" i="6"/>
  <c r="H375" i="6"/>
  <c r="D375" i="6"/>
  <c r="U375" i="6" s="1"/>
  <c r="Q374" i="6"/>
  <c r="L374" i="6"/>
  <c r="H374" i="6"/>
  <c r="D374" i="6"/>
  <c r="U374" i="6" s="1"/>
  <c r="Q373" i="6"/>
  <c r="L373" i="6"/>
  <c r="H373" i="6"/>
  <c r="D373" i="6"/>
  <c r="U373" i="6" s="1"/>
  <c r="Q372" i="6"/>
  <c r="L372" i="6"/>
  <c r="H372" i="6"/>
  <c r="D372" i="6"/>
  <c r="U372" i="6" s="1"/>
  <c r="Q371" i="6"/>
  <c r="L371" i="6"/>
  <c r="H371" i="6"/>
  <c r="D371" i="6"/>
  <c r="U371" i="6" s="1"/>
  <c r="Q370" i="6"/>
  <c r="L370" i="6"/>
  <c r="H370" i="6"/>
  <c r="D370" i="6"/>
  <c r="U370" i="6" s="1"/>
  <c r="Q369" i="6"/>
  <c r="L369" i="6"/>
  <c r="H369" i="6"/>
  <c r="D369" i="6"/>
  <c r="U369" i="6" s="1"/>
  <c r="Q368" i="6"/>
  <c r="L368" i="6"/>
  <c r="H368" i="6"/>
  <c r="D368" i="6"/>
  <c r="U368" i="6" s="1"/>
  <c r="Q367" i="6"/>
  <c r="L367" i="6"/>
  <c r="H367" i="6"/>
  <c r="D367" i="6"/>
  <c r="U367" i="6" s="1"/>
  <c r="Q366" i="6"/>
  <c r="L366" i="6"/>
  <c r="H366" i="6"/>
  <c r="D366" i="6"/>
  <c r="U366" i="6" s="1"/>
  <c r="Q365" i="6"/>
  <c r="L365" i="6"/>
  <c r="H365" i="6"/>
  <c r="D365" i="6"/>
  <c r="U365" i="6" s="1"/>
  <c r="Q364" i="6"/>
  <c r="L364" i="6"/>
  <c r="H364" i="6"/>
  <c r="J497" i="6"/>
  <c r="J481" i="6"/>
  <c r="B466" i="6"/>
  <c r="E466" i="6" s="1"/>
  <c r="B458" i="6"/>
  <c r="B450" i="6"/>
  <c r="G444" i="6"/>
  <c r="B439" i="6"/>
  <c r="H435" i="6"/>
  <c r="N432" i="6"/>
  <c r="C430" i="6"/>
  <c r="H427" i="6"/>
  <c r="K425" i="6"/>
  <c r="N423" i="6"/>
  <c r="B422" i="6"/>
  <c r="L420" i="6"/>
  <c r="F419" i="6"/>
  <c r="C418" i="6"/>
  <c r="C417" i="6"/>
  <c r="C416" i="6"/>
  <c r="C415" i="6"/>
  <c r="C414" i="6"/>
  <c r="C413" i="6"/>
  <c r="C412" i="6"/>
  <c r="C411" i="6"/>
  <c r="C410" i="6"/>
  <c r="C409" i="6"/>
  <c r="C408" i="6"/>
  <c r="C407" i="6"/>
  <c r="C406" i="6"/>
  <c r="C405" i="6"/>
  <c r="C404" i="6"/>
  <c r="C403" i="6"/>
  <c r="C402" i="6"/>
  <c r="C401" i="6"/>
  <c r="C400" i="6"/>
  <c r="C399" i="6"/>
  <c r="C398" i="6"/>
  <c r="C397" i="6"/>
  <c r="C396" i="6"/>
  <c r="C395" i="6"/>
  <c r="C394" i="6"/>
  <c r="C393" i="6"/>
  <c r="C392" i="6"/>
  <c r="C391" i="6"/>
  <c r="C390" i="6"/>
  <c r="C389" i="6"/>
  <c r="C388" i="6"/>
  <c r="C387" i="6"/>
  <c r="C386" i="6"/>
  <c r="C385" i="6"/>
  <c r="C384" i="6"/>
  <c r="C383" i="6"/>
  <c r="C382" i="6"/>
  <c r="C381" i="6"/>
  <c r="C380" i="6"/>
  <c r="C379" i="6"/>
  <c r="C378" i="6"/>
  <c r="C377" i="6"/>
  <c r="C376" i="6"/>
  <c r="C375" i="6"/>
  <c r="C374" i="6"/>
  <c r="M372" i="6"/>
  <c r="M371" i="6"/>
  <c r="M370" i="6"/>
  <c r="M369" i="6"/>
  <c r="M368" i="6"/>
  <c r="M367" i="6"/>
  <c r="M366" i="6"/>
  <c r="M365" i="6"/>
  <c r="M364" i="6"/>
  <c r="Q363" i="6"/>
  <c r="K363" i="6"/>
  <c r="Q362" i="6"/>
  <c r="K362" i="6"/>
  <c r="Q361" i="6"/>
  <c r="K361" i="6"/>
  <c r="Q360" i="6"/>
  <c r="K360" i="6"/>
  <c r="Q359" i="6"/>
  <c r="K359" i="6"/>
  <c r="Q358" i="6"/>
  <c r="K358" i="6"/>
  <c r="Q357" i="6"/>
  <c r="K357" i="6"/>
  <c r="Q356" i="6"/>
  <c r="K356" i="6"/>
  <c r="Q355" i="6"/>
  <c r="K355" i="6"/>
  <c r="Q354" i="6"/>
  <c r="K354" i="6"/>
  <c r="Q353" i="6"/>
  <c r="K353" i="6"/>
  <c r="Q352" i="6"/>
  <c r="K352" i="6"/>
  <c r="Q351" i="6"/>
  <c r="K351" i="6"/>
  <c r="Q350" i="6"/>
  <c r="K350" i="6"/>
  <c r="Q349" i="6"/>
  <c r="K349" i="6"/>
  <c r="F349" i="6"/>
  <c r="B349" i="6"/>
  <c r="N348" i="6"/>
  <c r="J348" i="6"/>
  <c r="F348" i="6"/>
  <c r="B348" i="6"/>
  <c r="N347" i="6"/>
  <c r="J347" i="6"/>
  <c r="F347" i="6"/>
  <c r="B347" i="6"/>
  <c r="N346" i="6"/>
  <c r="J346" i="6"/>
  <c r="F346" i="6"/>
  <c r="B346" i="6"/>
  <c r="N345" i="6"/>
  <c r="J345" i="6"/>
  <c r="F345" i="6"/>
  <c r="B345" i="6"/>
  <c r="N344" i="6"/>
  <c r="J344" i="6"/>
  <c r="F344" i="6"/>
  <c r="B344" i="6"/>
  <c r="N343" i="6"/>
  <c r="J343" i="6"/>
  <c r="F343" i="6"/>
  <c r="B343" i="6"/>
  <c r="N342" i="6"/>
  <c r="J342" i="6"/>
  <c r="F342" i="6"/>
  <c r="B342" i="6"/>
  <c r="N341" i="6"/>
  <c r="J341" i="6"/>
  <c r="F341" i="6"/>
  <c r="B341" i="6"/>
  <c r="N340" i="6"/>
  <c r="J340" i="6"/>
  <c r="F340" i="6"/>
  <c r="B340" i="6"/>
  <c r="N339" i="6"/>
  <c r="J339" i="6"/>
  <c r="F339" i="6"/>
  <c r="B339" i="6"/>
  <c r="N338" i="6"/>
  <c r="J338" i="6"/>
  <c r="F338" i="6"/>
  <c r="B338" i="6"/>
  <c r="N337" i="6"/>
  <c r="J337" i="6"/>
  <c r="F337" i="6"/>
  <c r="B337" i="6"/>
  <c r="N336" i="6"/>
  <c r="J336" i="6"/>
  <c r="F336" i="6"/>
  <c r="B336" i="6"/>
  <c r="N335" i="6"/>
  <c r="J335" i="6"/>
  <c r="F335" i="6"/>
  <c r="B335" i="6"/>
  <c r="E335" i="6" s="1"/>
  <c r="N334" i="6"/>
  <c r="J334" i="6"/>
  <c r="F334" i="6"/>
  <c r="B334" i="6"/>
  <c r="N333" i="6"/>
  <c r="J333" i="6"/>
  <c r="F333" i="6"/>
  <c r="B333" i="6"/>
  <c r="N332" i="6"/>
  <c r="J332" i="6"/>
  <c r="F332" i="6"/>
  <c r="B332" i="6"/>
  <c r="N331" i="6"/>
  <c r="J331" i="6"/>
  <c r="F331" i="6"/>
  <c r="B331" i="6"/>
  <c r="E331" i="6" s="1"/>
  <c r="N330" i="6"/>
  <c r="J330" i="6"/>
  <c r="F330" i="6"/>
  <c r="B330" i="6"/>
  <c r="N329" i="6"/>
  <c r="J329" i="6"/>
  <c r="F329" i="6"/>
  <c r="B329" i="6"/>
  <c r="N328" i="6"/>
  <c r="J328" i="6"/>
  <c r="F328" i="6"/>
  <c r="B328" i="6"/>
  <c r="N327" i="6"/>
  <c r="J327" i="6"/>
  <c r="F327" i="6"/>
  <c r="B327" i="6"/>
  <c r="E327" i="6" s="1"/>
  <c r="N326" i="6"/>
  <c r="J326" i="6"/>
  <c r="F326" i="6"/>
  <c r="B326" i="6"/>
  <c r="N325" i="6"/>
  <c r="J325" i="6"/>
  <c r="F325" i="6"/>
  <c r="B325" i="6"/>
  <c r="N324" i="6"/>
  <c r="J324" i="6"/>
  <c r="F324" i="6"/>
  <c r="B324" i="6"/>
  <c r="N323" i="6"/>
  <c r="J323" i="6"/>
  <c r="F323" i="6"/>
  <c r="B323" i="6"/>
  <c r="E323" i="6" s="1"/>
  <c r="N322" i="6"/>
  <c r="J322" i="6"/>
  <c r="F322" i="6"/>
  <c r="B322" i="6"/>
  <c r="N321" i="6"/>
  <c r="J321" i="6"/>
  <c r="F321" i="6"/>
  <c r="B321" i="6"/>
  <c r="N320" i="6"/>
  <c r="J320" i="6"/>
  <c r="F320" i="6"/>
  <c r="B320" i="6"/>
  <c r="N319" i="6"/>
  <c r="J319" i="6"/>
  <c r="F319" i="6"/>
  <c r="B319" i="6"/>
  <c r="E319" i="6" s="1"/>
  <c r="N318" i="6"/>
  <c r="J318" i="6"/>
  <c r="F318" i="6"/>
  <c r="B318" i="6"/>
  <c r="N317" i="6"/>
  <c r="J317" i="6"/>
  <c r="F317" i="6"/>
  <c r="B317" i="6"/>
  <c r="N316" i="6"/>
  <c r="J316" i="6"/>
  <c r="F316" i="6"/>
  <c r="B316" i="6"/>
  <c r="N315" i="6"/>
  <c r="J315" i="6"/>
  <c r="F315" i="6"/>
  <c r="B315" i="6"/>
  <c r="E315" i="6" s="1"/>
  <c r="N314" i="6"/>
  <c r="J314" i="6"/>
  <c r="F314" i="6"/>
  <c r="B314" i="6"/>
  <c r="N313" i="6"/>
  <c r="J313" i="6"/>
  <c r="F313" i="6"/>
  <c r="B313" i="6"/>
  <c r="N312" i="6"/>
  <c r="J312" i="6"/>
  <c r="F312" i="6"/>
  <c r="B312" i="6"/>
  <c r="N311" i="6"/>
  <c r="J311" i="6"/>
  <c r="F311" i="6"/>
  <c r="B311" i="6"/>
  <c r="E311" i="6" s="1"/>
  <c r="N310" i="6"/>
  <c r="J310" i="6"/>
  <c r="F310" i="6"/>
  <c r="B310" i="6"/>
  <c r="N309" i="6"/>
  <c r="J309" i="6"/>
  <c r="F309" i="6"/>
  <c r="B309" i="6"/>
  <c r="N308" i="6"/>
  <c r="J308" i="6"/>
  <c r="F308" i="6"/>
  <c r="B308" i="6"/>
  <c r="N307" i="6"/>
  <c r="J307" i="6"/>
  <c r="F307" i="6"/>
  <c r="B307" i="6"/>
  <c r="E307" i="6" s="1"/>
  <c r="N306" i="6"/>
  <c r="J306" i="6"/>
  <c r="F306" i="6"/>
  <c r="B306" i="6"/>
  <c r="N305" i="6"/>
  <c r="J305" i="6"/>
  <c r="F305" i="6"/>
  <c r="B305" i="6"/>
  <c r="N304" i="6"/>
  <c r="J304" i="6"/>
  <c r="F304" i="6"/>
  <c r="B304" i="6"/>
  <c r="N303" i="6"/>
  <c r="J303" i="6"/>
  <c r="F303" i="6"/>
  <c r="B303" i="6"/>
  <c r="E303" i="6" s="1"/>
  <c r="J493" i="6"/>
  <c r="J477" i="6"/>
  <c r="B464" i="6"/>
  <c r="E464" i="6" s="1"/>
  <c r="B456" i="6"/>
  <c r="G448" i="6"/>
  <c r="B443" i="6"/>
  <c r="E443" i="6" s="1"/>
  <c r="L437" i="6"/>
  <c r="N434" i="6"/>
  <c r="C432" i="6"/>
  <c r="H429" i="6"/>
  <c r="Q426" i="6"/>
  <c r="C425" i="6"/>
  <c r="G423" i="6"/>
  <c r="L421" i="6"/>
  <c r="F420" i="6"/>
  <c r="C373" i="6"/>
  <c r="K372" i="6"/>
  <c r="C372" i="6"/>
  <c r="K371" i="6"/>
  <c r="C371" i="6"/>
  <c r="K370" i="6"/>
  <c r="C370" i="6"/>
  <c r="K369" i="6"/>
  <c r="C369" i="6"/>
  <c r="K368" i="6"/>
  <c r="C368" i="6"/>
  <c r="K367" i="6"/>
  <c r="C367" i="6"/>
  <c r="K366" i="6"/>
  <c r="C366" i="6"/>
  <c r="K365" i="6"/>
  <c r="C365" i="6"/>
  <c r="K364" i="6"/>
  <c r="D364" i="6"/>
  <c r="U364" i="6" s="1"/>
  <c r="I363" i="6"/>
  <c r="P363" i="6" s="1"/>
  <c r="D363" i="6"/>
  <c r="U363" i="6" s="1"/>
  <c r="I362" i="6"/>
  <c r="P362" i="6" s="1"/>
  <c r="D362" i="6"/>
  <c r="U362" i="6" s="1"/>
  <c r="I361" i="6"/>
  <c r="P361" i="6" s="1"/>
  <c r="D361" i="6"/>
  <c r="U361" i="6" s="1"/>
  <c r="I360" i="6"/>
  <c r="P360" i="6" s="1"/>
  <c r="D360" i="6"/>
  <c r="U360" i="6" s="1"/>
  <c r="I359" i="6"/>
  <c r="P359" i="6" s="1"/>
  <c r="D359" i="6"/>
  <c r="U359" i="6" s="1"/>
  <c r="I358" i="6"/>
  <c r="P358" i="6" s="1"/>
  <c r="D358" i="6"/>
  <c r="U358" i="6" s="1"/>
  <c r="I357" i="6"/>
  <c r="P357" i="6" s="1"/>
  <c r="D357" i="6"/>
  <c r="U357" i="6" s="1"/>
  <c r="I356" i="6"/>
  <c r="P356" i="6" s="1"/>
  <c r="D356" i="6"/>
  <c r="U356" i="6" s="1"/>
  <c r="I355" i="6"/>
  <c r="P355" i="6" s="1"/>
  <c r="D355" i="6"/>
  <c r="U355" i="6" s="1"/>
  <c r="I354" i="6"/>
  <c r="P354" i="6" s="1"/>
  <c r="D354" i="6"/>
  <c r="U354" i="6" s="1"/>
  <c r="I353" i="6"/>
  <c r="P353" i="6" s="1"/>
  <c r="D353" i="6"/>
  <c r="U353" i="6" s="1"/>
  <c r="I352" i="6"/>
  <c r="P352" i="6" s="1"/>
  <c r="D352" i="6"/>
  <c r="U352" i="6" s="1"/>
  <c r="I351" i="6"/>
  <c r="P351" i="6" s="1"/>
  <c r="D351" i="6"/>
  <c r="U351" i="6" s="1"/>
  <c r="I350" i="6"/>
  <c r="P350" i="6" s="1"/>
  <c r="D350" i="6"/>
  <c r="U350" i="6" s="1"/>
  <c r="I349" i="6"/>
  <c r="P349" i="6" s="1"/>
  <c r="M348" i="6"/>
  <c r="I348" i="6"/>
  <c r="P348" i="6" s="1"/>
  <c r="M347" i="6"/>
  <c r="I347" i="6"/>
  <c r="P347" i="6" s="1"/>
  <c r="M346" i="6"/>
  <c r="I346" i="6"/>
  <c r="P346" i="6" s="1"/>
  <c r="M345" i="6"/>
  <c r="I345" i="6"/>
  <c r="P345" i="6" s="1"/>
  <c r="M344" i="6"/>
  <c r="I344" i="6"/>
  <c r="P344" i="6" s="1"/>
  <c r="M343" i="6"/>
  <c r="I343" i="6"/>
  <c r="P343" i="6" s="1"/>
  <c r="M342" i="6"/>
  <c r="I342" i="6"/>
  <c r="P342" i="6" s="1"/>
  <c r="M341" i="6"/>
  <c r="I341" i="6"/>
  <c r="P341" i="6" s="1"/>
  <c r="M340" i="6"/>
  <c r="I340" i="6"/>
  <c r="P340" i="6" s="1"/>
  <c r="M339" i="6"/>
  <c r="I339" i="6"/>
  <c r="P339" i="6" s="1"/>
  <c r="M338" i="6"/>
  <c r="I338" i="6"/>
  <c r="P338" i="6" s="1"/>
  <c r="M337" i="6"/>
  <c r="I337" i="6"/>
  <c r="P337" i="6" s="1"/>
  <c r="M336" i="6"/>
  <c r="I336" i="6"/>
  <c r="P336" i="6" s="1"/>
  <c r="M335" i="6"/>
  <c r="I335" i="6"/>
  <c r="P335" i="6" s="1"/>
  <c r="M334" i="6"/>
  <c r="I334" i="6"/>
  <c r="P334" i="6" s="1"/>
  <c r="M333" i="6"/>
  <c r="I333" i="6"/>
  <c r="P333" i="6" s="1"/>
  <c r="M332" i="6"/>
  <c r="I332" i="6"/>
  <c r="P332" i="6" s="1"/>
  <c r="M331" i="6"/>
  <c r="I331" i="6"/>
  <c r="P331" i="6" s="1"/>
  <c r="M330" i="6"/>
  <c r="I330" i="6"/>
  <c r="P330" i="6" s="1"/>
  <c r="M329" i="6"/>
  <c r="I329" i="6"/>
  <c r="P329" i="6" s="1"/>
  <c r="M328" i="6"/>
  <c r="I328" i="6"/>
  <c r="P328" i="6" s="1"/>
  <c r="M327" i="6"/>
  <c r="I327" i="6"/>
  <c r="P327" i="6" s="1"/>
  <c r="M326" i="6"/>
  <c r="I326" i="6"/>
  <c r="P326" i="6" s="1"/>
  <c r="M325" i="6"/>
  <c r="I325" i="6"/>
  <c r="P325" i="6" s="1"/>
  <c r="M324" i="6"/>
  <c r="I324" i="6"/>
  <c r="P324" i="6" s="1"/>
  <c r="M323" i="6"/>
  <c r="I323" i="6"/>
  <c r="P323" i="6" s="1"/>
  <c r="M322" i="6"/>
  <c r="I322" i="6"/>
  <c r="P322" i="6" s="1"/>
  <c r="M321" i="6"/>
  <c r="I321" i="6"/>
  <c r="P321" i="6" s="1"/>
  <c r="M320" i="6"/>
  <c r="I320" i="6"/>
  <c r="P320" i="6" s="1"/>
  <c r="M319" i="6"/>
  <c r="I319" i="6"/>
  <c r="P319" i="6" s="1"/>
  <c r="M318" i="6"/>
  <c r="I318" i="6"/>
  <c r="P318" i="6" s="1"/>
  <c r="M317" i="6"/>
  <c r="I317" i="6"/>
  <c r="P317" i="6" s="1"/>
  <c r="M316" i="6"/>
  <c r="I316" i="6"/>
  <c r="P316" i="6" s="1"/>
  <c r="M315" i="6"/>
  <c r="I315" i="6"/>
  <c r="P315" i="6" s="1"/>
  <c r="M314" i="6"/>
  <c r="I314" i="6"/>
  <c r="P314" i="6" s="1"/>
  <c r="M313" i="6"/>
  <c r="I313" i="6"/>
  <c r="P313" i="6" s="1"/>
  <c r="M312" i="6"/>
  <c r="I312" i="6"/>
  <c r="P312" i="6" s="1"/>
  <c r="M311" i="6"/>
  <c r="I311" i="6"/>
  <c r="P311" i="6" s="1"/>
  <c r="M310" i="6"/>
  <c r="I310" i="6"/>
  <c r="P310" i="6" s="1"/>
  <c r="M309" i="6"/>
  <c r="I309" i="6"/>
  <c r="P309" i="6" s="1"/>
  <c r="M308" i="6"/>
  <c r="I308" i="6"/>
  <c r="P308" i="6" s="1"/>
  <c r="M307" i="6"/>
  <c r="I307" i="6"/>
  <c r="P307" i="6" s="1"/>
  <c r="M306" i="6"/>
  <c r="I306" i="6"/>
  <c r="P306" i="6" s="1"/>
  <c r="M305" i="6"/>
  <c r="I305" i="6"/>
  <c r="P305" i="6" s="1"/>
  <c r="M304" i="6"/>
  <c r="I304" i="6"/>
  <c r="P304" i="6" s="1"/>
  <c r="M303" i="6"/>
  <c r="I303" i="6"/>
  <c r="P303" i="6" s="1"/>
  <c r="J489" i="6"/>
  <c r="J473" i="6"/>
  <c r="B462" i="6"/>
  <c r="B454" i="6"/>
  <c r="B447" i="6"/>
  <c r="L441" i="6"/>
  <c r="N436" i="6"/>
  <c r="C434" i="6"/>
  <c r="H431" i="6"/>
  <c r="N428" i="6"/>
  <c r="H426" i="6"/>
  <c r="L424" i="6"/>
  <c r="Q422" i="6"/>
  <c r="F421" i="6"/>
  <c r="L418" i="6"/>
  <c r="K417" i="6"/>
  <c r="K416" i="6"/>
  <c r="K415" i="6"/>
  <c r="K414" i="6"/>
  <c r="K413" i="6"/>
  <c r="K412" i="6"/>
  <c r="K411" i="6"/>
  <c r="K410" i="6"/>
  <c r="K409" i="6"/>
  <c r="K408" i="6"/>
  <c r="K407" i="6"/>
  <c r="K406" i="6"/>
  <c r="K405" i="6"/>
  <c r="K404" i="6"/>
  <c r="K403" i="6"/>
  <c r="K402" i="6"/>
  <c r="K401" i="6"/>
  <c r="K400" i="6"/>
  <c r="K399" i="6"/>
  <c r="K398" i="6"/>
  <c r="K397" i="6"/>
  <c r="K396" i="6"/>
  <c r="K395" i="6"/>
  <c r="K394" i="6"/>
  <c r="K393" i="6"/>
  <c r="K392" i="6"/>
  <c r="K391" i="6"/>
  <c r="K390" i="6"/>
  <c r="K389" i="6"/>
  <c r="K388" i="6"/>
  <c r="K387" i="6"/>
  <c r="K386" i="6"/>
  <c r="K385" i="6"/>
  <c r="K384" i="6"/>
  <c r="K383" i="6"/>
  <c r="K382" i="6"/>
  <c r="K381" i="6"/>
  <c r="K380" i="6"/>
  <c r="K379" i="6"/>
  <c r="K378" i="6"/>
  <c r="K377" i="6"/>
  <c r="K376" i="6"/>
  <c r="K375" i="6"/>
  <c r="K374" i="6"/>
  <c r="K373" i="6"/>
  <c r="I372" i="6"/>
  <c r="P372" i="6" s="1"/>
  <c r="I371" i="6"/>
  <c r="P371" i="6" s="1"/>
  <c r="I370" i="6"/>
  <c r="P370" i="6" s="1"/>
  <c r="I369" i="6"/>
  <c r="P369" i="6" s="1"/>
  <c r="I368" i="6"/>
  <c r="P368" i="6" s="1"/>
  <c r="I367" i="6"/>
  <c r="P367" i="6" s="1"/>
  <c r="I366" i="6"/>
  <c r="P366" i="6" s="1"/>
  <c r="I365" i="6"/>
  <c r="P365" i="6" s="1"/>
  <c r="I364" i="6"/>
  <c r="P364" i="6" s="1"/>
  <c r="C364" i="6"/>
  <c r="M363" i="6"/>
  <c r="H363" i="6"/>
  <c r="C363" i="6"/>
  <c r="M362" i="6"/>
  <c r="H362" i="6"/>
  <c r="C362" i="6"/>
  <c r="M361" i="6"/>
  <c r="H361" i="6"/>
  <c r="C361" i="6"/>
  <c r="M360" i="6"/>
  <c r="H360" i="6"/>
  <c r="C360" i="6"/>
  <c r="M359" i="6"/>
  <c r="H359" i="6"/>
  <c r="C359" i="6"/>
  <c r="M358" i="6"/>
  <c r="H358" i="6"/>
  <c r="C358" i="6"/>
  <c r="M357" i="6"/>
  <c r="H357" i="6"/>
  <c r="C357" i="6"/>
  <c r="M356" i="6"/>
  <c r="H356" i="6"/>
  <c r="C356" i="6"/>
  <c r="M355" i="6"/>
  <c r="H355" i="6"/>
  <c r="C355" i="6"/>
  <c r="M354" i="6"/>
  <c r="H354" i="6"/>
  <c r="C354" i="6"/>
  <c r="M353" i="6"/>
  <c r="H353" i="6"/>
  <c r="C353" i="6"/>
  <c r="M352" i="6"/>
  <c r="H352" i="6"/>
  <c r="C352" i="6"/>
  <c r="M351" i="6"/>
  <c r="H351" i="6"/>
  <c r="C351" i="6"/>
  <c r="M350" i="6"/>
  <c r="H350" i="6"/>
  <c r="C350" i="6"/>
  <c r="M349" i="6"/>
  <c r="H349" i="6"/>
  <c r="D349" i="6"/>
  <c r="U349" i="6" s="1"/>
  <c r="Q348" i="6"/>
  <c r="L348" i="6"/>
  <c r="H348" i="6"/>
  <c r="D348" i="6"/>
  <c r="U348" i="6" s="1"/>
  <c r="Q347" i="6"/>
  <c r="L347" i="6"/>
  <c r="H347" i="6"/>
  <c r="D347" i="6"/>
  <c r="U347" i="6" s="1"/>
  <c r="Q346" i="6"/>
  <c r="L346" i="6"/>
  <c r="H346" i="6"/>
  <c r="D346" i="6"/>
  <c r="U346" i="6" s="1"/>
  <c r="Q345" i="6"/>
  <c r="L345" i="6"/>
  <c r="H345" i="6"/>
  <c r="D345" i="6"/>
  <c r="U345" i="6" s="1"/>
  <c r="Q344" i="6"/>
  <c r="L344" i="6"/>
  <c r="H344" i="6"/>
  <c r="D344" i="6"/>
  <c r="U344" i="6" s="1"/>
  <c r="Q343" i="6"/>
  <c r="L343" i="6"/>
  <c r="H343" i="6"/>
  <c r="D343" i="6"/>
  <c r="U343" i="6" s="1"/>
  <c r="Q342" i="6"/>
  <c r="L342" i="6"/>
  <c r="H342" i="6"/>
  <c r="D342" i="6"/>
  <c r="U342" i="6" s="1"/>
  <c r="Q341" i="6"/>
  <c r="L341" i="6"/>
  <c r="H341" i="6"/>
  <c r="D341" i="6"/>
  <c r="U341" i="6" s="1"/>
  <c r="Q340" i="6"/>
  <c r="L340" i="6"/>
  <c r="H340" i="6"/>
  <c r="D340" i="6"/>
  <c r="U340" i="6" s="1"/>
  <c r="Q339" i="6"/>
  <c r="L339" i="6"/>
  <c r="H339" i="6"/>
  <c r="D339" i="6"/>
  <c r="U339" i="6" s="1"/>
  <c r="Q338" i="6"/>
  <c r="L338" i="6"/>
  <c r="H338" i="6"/>
  <c r="D338" i="6"/>
  <c r="U338" i="6" s="1"/>
  <c r="Q337" i="6"/>
  <c r="L337" i="6"/>
  <c r="H337" i="6"/>
  <c r="D337" i="6"/>
  <c r="U337" i="6" s="1"/>
  <c r="Q336" i="6"/>
  <c r="L336" i="6"/>
  <c r="H336" i="6"/>
  <c r="D336" i="6"/>
  <c r="U336" i="6" s="1"/>
  <c r="Q335" i="6"/>
  <c r="L335" i="6"/>
  <c r="H335" i="6"/>
  <c r="D335" i="6"/>
  <c r="U335" i="6" s="1"/>
  <c r="Q334" i="6"/>
  <c r="L334" i="6"/>
  <c r="H334" i="6"/>
  <c r="D334" i="6"/>
  <c r="U334" i="6" s="1"/>
  <c r="Q333" i="6"/>
  <c r="L333" i="6"/>
  <c r="H333" i="6"/>
  <c r="D333" i="6"/>
  <c r="U333" i="6" s="1"/>
  <c r="Q332" i="6"/>
  <c r="L332" i="6"/>
  <c r="H332" i="6"/>
  <c r="D332" i="6"/>
  <c r="U332" i="6" s="1"/>
  <c r="Q331" i="6"/>
  <c r="L331" i="6"/>
  <c r="H331" i="6"/>
  <c r="D331" i="6"/>
  <c r="U331" i="6" s="1"/>
  <c r="Q330" i="6"/>
  <c r="L330" i="6"/>
  <c r="H330" i="6"/>
  <c r="D330" i="6"/>
  <c r="U330" i="6" s="1"/>
  <c r="Q329" i="6"/>
  <c r="L329" i="6"/>
  <c r="H329" i="6"/>
  <c r="D329" i="6"/>
  <c r="U329" i="6" s="1"/>
  <c r="Q328" i="6"/>
  <c r="L328" i="6"/>
  <c r="H328" i="6"/>
  <c r="D328" i="6"/>
  <c r="U328" i="6" s="1"/>
  <c r="Q327" i="6"/>
  <c r="L327" i="6"/>
  <c r="H327" i="6"/>
  <c r="D327" i="6"/>
  <c r="U327" i="6" s="1"/>
  <c r="Q326" i="6"/>
  <c r="L326" i="6"/>
  <c r="H326" i="6"/>
  <c r="D326" i="6"/>
  <c r="U326" i="6" s="1"/>
  <c r="Q325" i="6"/>
  <c r="L325" i="6"/>
  <c r="H325" i="6"/>
  <c r="D325" i="6"/>
  <c r="U325" i="6" s="1"/>
  <c r="Q324" i="6"/>
  <c r="L324" i="6"/>
  <c r="H324" i="6"/>
  <c r="D324" i="6"/>
  <c r="U324" i="6" s="1"/>
  <c r="Q323" i="6"/>
  <c r="L323" i="6"/>
  <c r="H323" i="6"/>
  <c r="D323" i="6"/>
  <c r="U323" i="6" s="1"/>
  <c r="Q322" i="6"/>
  <c r="L322" i="6"/>
  <c r="H322" i="6"/>
  <c r="D322" i="6"/>
  <c r="U322" i="6" s="1"/>
  <c r="Q321" i="6"/>
  <c r="L321" i="6"/>
  <c r="H321" i="6"/>
  <c r="D321" i="6"/>
  <c r="U321" i="6" s="1"/>
  <c r="Q320" i="6"/>
  <c r="L320" i="6"/>
  <c r="H320" i="6"/>
  <c r="D320" i="6"/>
  <c r="U320" i="6" s="1"/>
  <c r="Q319" i="6"/>
  <c r="L319" i="6"/>
  <c r="H319" i="6"/>
  <c r="D319" i="6"/>
  <c r="U319" i="6" s="1"/>
  <c r="Q318" i="6"/>
  <c r="L318" i="6"/>
  <c r="H318" i="6"/>
  <c r="D318" i="6"/>
  <c r="U318" i="6" s="1"/>
  <c r="Q317" i="6"/>
  <c r="L317" i="6"/>
  <c r="H317" i="6"/>
  <c r="D317" i="6"/>
  <c r="U317" i="6" s="1"/>
  <c r="Q316" i="6"/>
  <c r="L316" i="6"/>
  <c r="H316" i="6"/>
  <c r="D316" i="6"/>
  <c r="U316" i="6" s="1"/>
  <c r="Q315" i="6"/>
  <c r="L315" i="6"/>
  <c r="H315" i="6"/>
  <c r="D315" i="6"/>
  <c r="U315" i="6" s="1"/>
  <c r="Q314" i="6"/>
  <c r="L314" i="6"/>
  <c r="H314" i="6"/>
  <c r="D314" i="6"/>
  <c r="U314" i="6" s="1"/>
  <c r="Q313" i="6"/>
  <c r="L313" i="6"/>
  <c r="H313" i="6"/>
  <c r="D313" i="6"/>
  <c r="U313" i="6" s="1"/>
  <c r="Q312" i="6"/>
  <c r="L312" i="6"/>
  <c r="H312" i="6"/>
  <c r="D312" i="6"/>
  <c r="U312" i="6" s="1"/>
  <c r="Q311" i="6"/>
  <c r="L311" i="6"/>
  <c r="H311" i="6"/>
  <c r="D311" i="6"/>
  <c r="U311" i="6" s="1"/>
  <c r="Q310" i="6"/>
  <c r="L310" i="6"/>
  <c r="H310" i="6"/>
  <c r="D310" i="6"/>
  <c r="U310" i="6" s="1"/>
  <c r="Q309" i="6"/>
  <c r="L309" i="6"/>
  <c r="H309" i="6"/>
  <c r="D309" i="6"/>
  <c r="U309" i="6" s="1"/>
  <c r="Q308" i="6"/>
  <c r="L308" i="6"/>
  <c r="H308" i="6"/>
  <c r="D308" i="6"/>
  <c r="U308" i="6" s="1"/>
  <c r="Q307" i="6"/>
  <c r="L307" i="6"/>
  <c r="H307" i="6"/>
  <c r="D307" i="6"/>
  <c r="U307" i="6" s="1"/>
  <c r="Q306" i="6"/>
  <c r="L306" i="6"/>
  <c r="H306" i="6"/>
  <c r="D306" i="6"/>
  <c r="U306" i="6" s="1"/>
  <c r="Q305" i="6"/>
  <c r="L305" i="6"/>
  <c r="H305" i="6"/>
  <c r="D305" i="6"/>
  <c r="U305" i="6" s="1"/>
  <c r="Q304" i="6"/>
  <c r="L304" i="6"/>
  <c r="H304" i="6"/>
  <c r="D304" i="6"/>
  <c r="U304" i="6" s="1"/>
  <c r="Q303" i="6"/>
  <c r="L303" i="6"/>
  <c r="H303" i="6"/>
  <c r="D303" i="6"/>
  <c r="U303" i="6" s="1"/>
  <c r="B504" i="6"/>
  <c r="J485" i="6"/>
  <c r="J469" i="6"/>
  <c r="B460" i="6"/>
  <c r="B452" i="6"/>
  <c r="E452" i="6" s="1"/>
  <c r="L445" i="6"/>
  <c r="G440" i="6"/>
  <c r="C436" i="6"/>
  <c r="H433" i="6"/>
  <c r="N430" i="6"/>
  <c r="C428" i="6"/>
  <c r="B426" i="6"/>
  <c r="E426" i="6" s="1"/>
  <c r="F424" i="6"/>
  <c r="H422" i="6"/>
  <c r="L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L363" i="6"/>
  <c r="G363" i="6"/>
  <c r="L362" i="6"/>
  <c r="G362" i="6"/>
  <c r="L361" i="6"/>
  <c r="G361" i="6"/>
  <c r="L360" i="6"/>
  <c r="G360" i="6"/>
  <c r="L359" i="6"/>
  <c r="G359" i="6"/>
  <c r="L358" i="6"/>
  <c r="G358" i="6"/>
  <c r="L357" i="6"/>
  <c r="G357" i="6"/>
  <c r="L356" i="6"/>
  <c r="G356" i="6"/>
  <c r="L355" i="6"/>
  <c r="G355" i="6"/>
  <c r="L354" i="6"/>
  <c r="G354" i="6"/>
  <c r="L353" i="6"/>
  <c r="G353" i="6"/>
  <c r="L352" i="6"/>
  <c r="G352" i="6"/>
  <c r="L351" i="6"/>
  <c r="G351" i="6"/>
  <c r="L350" i="6"/>
  <c r="G350" i="6"/>
  <c r="L349" i="6"/>
  <c r="G349" i="6"/>
  <c r="C349" i="6"/>
  <c r="K348" i="6"/>
  <c r="G348" i="6"/>
  <c r="C348" i="6"/>
  <c r="K347" i="6"/>
  <c r="G347" i="6"/>
  <c r="C347" i="6"/>
  <c r="K346" i="6"/>
  <c r="G346" i="6"/>
  <c r="C346" i="6"/>
  <c r="K345" i="6"/>
  <c r="G345" i="6"/>
  <c r="C345" i="6"/>
  <c r="K344" i="6"/>
  <c r="G344" i="6"/>
  <c r="C344" i="6"/>
  <c r="K343" i="6"/>
  <c r="G343" i="6"/>
  <c r="C343" i="6"/>
  <c r="K342" i="6"/>
  <c r="G342" i="6"/>
  <c r="C342" i="6"/>
  <c r="K341" i="6"/>
  <c r="G341" i="6"/>
  <c r="C341" i="6"/>
  <c r="K340" i="6"/>
  <c r="G340" i="6"/>
  <c r="C340" i="6"/>
  <c r="K339" i="6"/>
  <c r="G339" i="6"/>
  <c r="C339" i="6"/>
  <c r="K338" i="6"/>
  <c r="G338" i="6"/>
  <c r="C338" i="6"/>
  <c r="M602" i="6"/>
  <c r="I602" i="6"/>
  <c r="P602" i="6" s="1"/>
  <c r="M601" i="6"/>
  <c r="I601" i="6"/>
  <c r="P601" i="6" s="1"/>
  <c r="M600" i="6"/>
  <c r="I600" i="6"/>
  <c r="P600" i="6" s="1"/>
  <c r="M599" i="6"/>
  <c r="I599" i="6"/>
  <c r="P599" i="6" s="1"/>
  <c r="M598" i="6"/>
  <c r="I598" i="6"/>
  <c r="P598" i="6" s="1"/>
  <c r="M597" i="6"/>
  <c r="I597" i="6"/>
  <c r="P597" i="6" s="1"/>
  <c r="M596" i="6"/>
  <c r="I596" i="6"/>
  <c r="P596" i="6" s="1"/>
  <c r="M595" i="6"/>
  <c r="I595" i="6"/>
  <c r="P595" i="6" s="1"/>
  <c r="M594" i="6"/>
  <c r="I594" i="6"/>
  <c r="P594" i="6" s="1"/>
  <c r="M593" i="6"/>
  <c r="I593" i="6"/>
  <c r="P593" i="6" s="1"/>
  <c r="M592" i="6"/>
  <c r="I592" i="6"/>
  <c r="P592" i="6" s="1"/>
  <c r="M591" i="6"/>
  <c r="I591" i="6"/>
  <c r="P591" i="6" s="1"/>
  <c r="M590" i="6"/>
  <c r="I590" i="6"/>
  <c r="P590" i="6" s="1"/>
  <c r="E2182" i="6"/>
  <c r="E2184" i="6"/>
  <c r="E2186" i="6"/>
  <c r="E2188" i="6"/>
  <c r="E2190" i="6"/>
  <c r="E2192" i="6"/>
  <c r="E2194" i="6"/>
  <c r="E2196" i="6"/>
  <c r="E2198" i="6"/>
  <c r="E2200" i="6"/>
  <c r="E2202" i="6"/>
  <c r="E2204" i="6"/>
  <c r="E2206" i="6"/>
  <c r="E2208" i="6"/>
  <c r="E2210" i="6"/>
  <c r="E2212" i="6"/>
  <c r="E2214" i="6"/>
  <c r="E2216" i="6"/>
  <c r="E2218" i="6"/>
  <c r="E2220" i="6"/>
  <c r="E2222" i="6"/>
  <c r="E2224" i="6"/>
  <c r="E2226" i="6"/>
  <c r="E2228" i="6"/>
  <c r="E2230" i="6"/>
  <c r="E2232" i="6"/>
  <c r="E2234" i="6"/>
  <c r="E2236" i="6"/>
  <c r="E2238" i="6"/>
  <c r="E2240" i="6"/>
  <c r="E2242" i="6"/>
  <c r="E2244" i="6"/>
  <c r="E2246" i="6"/>
  <c r="E2248" i="6"/>
  <c r="E2250" i="6"/>
  <c r="E2252" i="6"/>
  <c r="E2254" i="6"/>
  <c r="E2256" i="6"/>
  <c r="E2258" i="6"/>
  <c r="E2260" i="6"/>
  <c r="E2262" i="6"/>
  <c r="E2264" i="6"/>
  <c r="E2266" i="6"/>
  <c r="E2268" i="6"/>
  <c r="E2270" i="6"/>
  <c r="E2272" i="6"/>
  <c r="E2274" i="6"/>
  <c r="E2276" i="6"/>
  <c r="E2278" i="6"/>
  <c r="E2280" i="6"/>
  <c r="E2282" i="6"/>
  <c r="E2284" i="6"/>
  <c r="E2286" i="6"/>
  <c r="E2288" i="6"/>
  <c r="E2290" i="6"/>
  <c r="E2292" i="6"/>
  <c r="E2294" i="6"/>
  <c r="E2296" i="6"/>
  <c r="E2298" i="6"/>
  <c r="E2300" i="6"/>
  <c r="E2302" i="6"/>
  <c r="E2304" i="6"/>
  <c r="E2306" i="6"/>
  <c r="E2308" i="6"/>
  <c r="E2310" i="6"/>
  <c r="E2312" i="6"/>
  <c r="E2314" i="6"/>
  <c r="E2316" i="6"/>
  <c r="E2318" i="6"/>
  <c r="E2320" i="6"/>
  <c r="E2322" i="6"/>
  <c r="E2324" i="6"/>
  <c r="E2326" i="6"/>
  <c r="E2328" i="6"/>
  <c r="E2330" i="6"/>
  <c r="E2332" i="6"/>
  <c r="E2334" i="6"/>
  <c r="E2336" i="6"/>
  <c r="E2338" i="6"/>
  <c r="E2340" i="6"/>
  <c r="E2342" i="6"/>
  <c r="E2344" i="6"/>
  <c r="E2346" i="6"/>
  <c r="E2348" i="6"/>
  <c r="E2350" i="6"/>
  <c r="E2352" i="6"/>
  <c r="E2354" i="6"/>
  <c r="E2356" i="6"/>
  <c r="E2358" i="6"/>
  <c r="E2360" i="6"/>
  <c r="E2362" i="6"/>
  <c r="E2364" i="6"/>
  <c r="E2366" i="6"/>
  <c r="E2368" i="6"/>
  <c r="E2370" i="6"/>
  <c r="E2372" i="6"/>
  <c r="E2374" i="6"/>
  <c r="E2376" i="6"/>
  <c r="E2378" i="6"/>
  <c r="E2380" i="6"/>
  <c r="E2382" i="6"/>
  <c r="E2384" i="6"/>
  <c r="E2386" i="6"/>
  <c r="E2388" i="6"/>
  <c r="E2390" i="6"/>
  <c r="E2392" i="6"/>
  <c r="E2394" i="6"/>
  <c r="E2396" i="6"/>
  <c r="E2398" i="6"/>
  <c r="E2400" i="6"/>
  <c r="E2402" i="6"/>
  <c r="E2404" i="6"/>
  <c r="E2406" i="6"/>
  <c r="E2408" i="6"/>
  <c r="E2410" i="6"/>
  <c r="E2412" i="6"/>
  <c r="E2414" i="6"/>
  <c r="E2416" i="6"/>
  <c r="E2418" i="6"/>
  <c r="E2420" i="6"/>
  <c r="E2422" i="6"/>
  <c r="E2424" i="6"/>
  <c r="E2426" i="6"/>
  <c r="E2428" i="6"/>
  <c r="E2430" i="6"/>
  <c r="E2432" i="6"/>
  <c r="E2434" i="6"/>
  <c r="E2436" i="6"/>
  <c r="E2438" i="6"/>
  <c r="E2440" i="6"/>
  <c r="E2442" i="6"/>
  <c r="E2444" i="6"/>
  <c r="E2446" i="6"/>
  <c r="E2448" i="6"/>
  <c r="E2450" i="6"/>
  <c r="E2452" i="6"/>
  <c r="E2454" i="6"/>
  <c r="E2456" i="6"/>
  <c r="E2458" i="6"/>
  <c r="E2460" i="6"/>
  <c r="E2462" i="6"/>
  <c r="E2464" i="6"/>
  <c r="E2466" i="6"/>
  <c r="E2468" i="6"/>
  <c r="E2470" i="6"/>
  <c r="E2472" i="6"/>
  <c r="E2474" i="6"/>
  <c r="E2476" i="6"/>
  <c r="E2478" i="6"/>
  <c r="E2480" i="6"/>
  <c r="E2482" i="6"/>
  <c r="E2484" i="6"/>
  <c r="E2486" i="6"/>
  <c r="E2488" i="6"/>
  <c r="E2490" i="6"/>
  <c r="E2492" i="6"/>
  <c r="E2494" i="6"/>
  <c r="E2496" i="6"/>
  <c r="E2498" i="6"/>
  <c r="E2500" i="6"/>
  <c r="E2502" i="6"/>
  <c r="E2504" i="6"/>
  <c r="E2506" i="6"/>
  <c r="E2508" i="6"/>
  <c r="E2510" i="6"/>
  <c r="E2512" i="6"/>
  <c r="E2514" i="6"/>
  <c r="E2516" i="6"/>
  <c r="E2518" i="6"/>
  <c r="E2520" i="6"/>
  <c r="E2522" i="6"/>
  <c r="E2524" i="6"/>
  <c r="E2526" i="6"/>
  <c r="E2528" i="6"/>
  <c r="E2530" i="6"/>
  <c r="E2532" i="6"/>
  <c r="E2534" i="6"/>
  <c r="E2536" i="6"/>
  <c r="E2538" i="6"/>
  <c r="E2540" i="6"/>
  <c r="E2542" i="6"/>
  <c r="E2544" i="6"/>
  <c r="E2546" i="6"/>
  <c r="E2548" i="6"/>
  <c r="E2550" i="6"/>
  <c r="E2552" i="6"/>
  <c r="E2554" i="6"/>
  <c r="E2556" i="6"/>
  <c r="E2558" i="6"/>
  <c r="E2560" i="6"/>
  <c r="E2562" i="6"/>
  <c r="E2564" i="6"/>
  <c r="E2566" i="6"/>
  <c r="E2568" i="6"/>
  <c r="E2570" i="6"/>
  <c r="E2572" i="6"/>
  <c r="E2574" i="6"/>
  <c r="E2576" i="6"/>
  <c r="E2578" i="6"/>
  <c r="E2580" i="6"/>
  <c r="E2582" i="6"/>
  <c r="E2584" i="6"/>
  <c r="E2586" i="6"/>
  <c r="E2588" i="6"/>
  <c r="E2590" i="6"/>
  <c r="E2592" i="6"/>
  <c r="E2594" i="6"/>
  <c r="E2596" i="6"/>
  <c r="E2598" i="6"/>
  <c r="E2600" i="6"/>
  <c r="E2602" i="6"/>
  <c r="E2604" i="6"/>
  <c r="E2606" i="6"/>
  <c r="E2608" i="6"/>
  <c r="E2610" i="6"/>
  <c r="E2612" i="6"/>
  <c r="E2614" i="6"/>
  <c r="E2616" i="6"/>
  <c r="E2618" i="6"/>
  <c r="E2620" i="6"/>
  <c r="E2622" i="6"/>
  <c r="E2624" i="6"/>
  <c r="E2626" i="6"/>
  <c r="E2628" i="6"/>
  <c r="E2630" i="6"/>
  <c r="E2632" i="6"/>
  <c r="E2634" i="6"/>
  <c r="E2636" i="6"/>
  <c r="E2638" i="6"/>
  <c r="E2640" i="6"/>
  <c r="E2642" i="6"/>
  <c r="E2644" i="6"/>
  <c r="E2646" i="6"/>
  <c r="E2648" i="6"/>
  <c r="E2650" i="6"/>
  <c r="E2652" i="6"/>
  <c r="E2654" i="6"/>
  <c r="E2656" i="6"/>
  <c r="E2658" i="6"/>
  <c r="E2660" i="6"/>
  <c r="E2662" i="6"/>
  <c r="E2664" i="6"/>
  <c r="E2666" i="6"/>
  <c r="E2668" i="6"/>
  <c r="E2670" i="6"/>
  <c r="E2672" i="6"/>
  <c r="E2674" i="6"/>
  <c r="E2676" i="6"/>
  <c r="E2678" i="6"/>
  <c r="E2680" i="6"/>
  <c r="E2682" i="6"/>
  <c r="E2684" i="6"/>
  <c r="E2686" i="6"/>
  <c r="E2688" i="6"/>
  <c r="E2690" i="6"/>
  <c r="E2692" i="6"/>
  <c r="E2694" i="6"/>
  <c r="E2696" i="6"/>
  <c r="E2698" i="6"/>
  <c r="E2700" i="6"/>
  <c r="E2702" i="6"/>
  <c r="E2704" i="6"/>
  <c r="E2706" i="6"/>
  <c r="E2708" i="6"/>
  <c r="E2710" i="6"/>
  <c r="E2712" i="6"/>
  <c r="E2714" i="6"/>
  <c r="E2716" i="6"/>
  <c r="E2718" i="6"/>
  <c r="E2720" i="6"/>
  <c r="E2722" i="6"/>
  <c r="E2724" i="6"/>
  <c r="E2726" i="6"/>
  <c r="E2728" i="6"/>
  <c r="E2730" i="6"/>
  <c r="E2732" i="6"/>
  <c r="E2734" i="6"/>
  <c r="E2736" i="6"/>
  <c r="E2738" i="6"/>
  <c r="E2740" i="6"/>
  <c r="E2742" i="6"/>
  <c r="E2744" i="6"/>
  <c r="E2746" i="6"/>
  <c r="E2748" i="6"/>
  <c r="E2750" i="6"/>
  <c r="E2752" i="6"/>
  <c r="E2754" i="6"/>
  <c r="E2756" i="6"/>
  <c r="E2758" i="6"/>
  <c r="E2760" i="6"/>
  <c r="E2762" i="6"/>
  <c r="E2764" i="6"/>
  <c r="E2766" i="6"/>
  <c r="E2768" i="6"/>
  <c r="E2770" i="6"/>
  <c r="E2772" i="6"/>
  <c r="E2774" i="6"/>
  <c r="E2776" i="6"/>
  <c r="E2778" i="6"/>
  <c r="E2780" i="6"/>
  <c r="E2782" i="6"/>
  <c r="E2784" i="6"/>
  <c r="E2786" i="6"/>
  <c r="E2788" i="6"/>
  <c r="E2790" i="6"/>
  <c r="E2792" i="6"/>
  <c r="E2794" i="6"/>
  <c r="E2796" i="6"/>
  <c r="E2798" i="6"/>
  <c r="E2800" i="6"/>
  <c r="E2802" i="6"/>
  <c r="E2804" i="6"/>
  <c r="E2806" i="6"/>
  <c r="E2808" i="6"/>
  <c r="E2810" i="6"/>
  <c r="E2812" i="6"/>
  <c r="E2814" i="6"/>
  <c r="E2816" i="6"/>
  <c r="E2818" i="6"/>
  <c r="E2820" i="6"/>
  <c r="E2822" i="6"/>
  <c r="E2824" i="6"/>
  <c r="E2826" i="6"/>
  <c r="E2828" i="6"/>
  <c r="E2830" i="6"/>
  <c r="E2832" i="6"/>
  <c r="E2834" i="6"/>
  <c r="E2836" i="6"/>
  <c r="E2181" i="6"/>
  <c r="E2183" i="6"/>
  <c r="E2185" i="6"/>
  <c r="E2187" i="6"/>
  <c r="E2189" i="6"/>
  <c r="E2191" i="6"/>
  <c r="E2193" i="6"/>
  <c r="E2195" i="6"/>
  <c r="E2197" i="6"/>
  <c r="E2199" i="6"/>
  <c r="E2201" i="6"/>
  <c r="E2203" i="6"/>
  <c r="E2205" i="6"/>
  <c r="E2207" i="6"/>
  <c r="E2209" i="6"/>
  <c r="E2211" i="6"/>
  <c r="E2213" i="6"/>
  <c r="E2215" i="6"/>
  <c r="E2217" i="6"/>
  <c r="E2219" i="6"/>
  <c r="E2221" i="6"/>
  <c r="E2223" i="6"/>
  <c r="E2225" i="6"/>
  <c r="E2227" i="6"/>
  <c r="E2229" i="6"/>
  <c r="E2231" i="6"/>
  <c r="E2233" i="6"/>
  <c r="E2235" i="6"/>
  <c r="E2237" i="6"/>
  <c r="E2239" i="6"/>
  <c r="E2241" i="6"/>
  <c r="E2243" i="6"/>
  <c r="E2245" i="6"/>
  <c r="E2247" i="6"/>
  <c r="E2249" i="6"/>
  <c r="E2251" i="6"/>
  <c r="E2253" i="6"/>
  <c r="E2255" i="6"/>
  <c r="E2257" i="6"/>
  <c r="E2259" i="6"/>
  <c r="E2261" i="6"/>
  <c r="E2263" i="6"/>
  <c r="E2265" i="6"/>
  <c r="E2267" i="6"/>
  <c r="E2269" i="6"/>
  <c r="E2271" i="6"/>
  <c r="E2273" i="6"/>
  <c r="E2275" i="6"/>
  <c r="E2277" i="6"/>
  <c r="E2279" i="6"/>
  <c r="E2281" i="6"/>
  <c r="E2283" i="6"/>
  <c r="E2285" i="6"/>
  <c r="E2287" i="6"/>
  <c r="E2289" i="6"/>
  <c r="E2291" i="6"/>
  <c r="E2293" i="6"/>
  <c r="E2295" i="6"/>
  <c r="E2297" i="6"/>
  <c r="E2299" i="6"/>
  <c r="E2301" i="6"/>
  <c r="E2303" i="6"/>
  <c r="E2305" i="6"/>
  <c r="E2307" i="6"/>
  <c r="E2309" i="6"/>
  <c r="E2311" i="6"/>
  <c r="E2313" i="6"/>
  <c r="E2315" i="6"/>
  <c r="E2317" i="6"/>
  <c r="E2319" i="6"/>
  <c r="E2321" i="6"/>
  <c r="E2323" i="6"/>
  <c r="E2325" i="6"/>
  <c r="E2327" i="6"/>
  <c r="E2329" i="6"/>
  <c r="E2331" i="6"/>
  <c r="E2333" i="6"/>
  <c r="E2335" i="6"/>
  <c r="E2337" i="6"/>
  <c r="E2339" i="6"/>
  <c r="E2341" i="6"/>
  <c r="E2343" i="6"/>
  <c r="E2345" i="6"/>
  <c r="E2347" i="6"/>
  <c r="E2349" i="6"/>
  <c r="E2351" i="6"/>
  <c r="E2353" i="6"/>
  <c r="E2355" i="6"/>
  <c r="E2357" i="6"/>
  <c r="E2359" i="6"/>
  <c r="E2361" i="6"/>
  <c r="E2363" i="6"/>
  <c r="E2365" i="6"/>
  <c r="E2367" i="6"/>
  <c r="E2369" i="6"/>
  <c r="E2371" i="6"/>
  <c r="E2373" i="6"/>
  <c r="E2375" i="6"/>
  <c r="E2377" i="6"/>
  <c r="E2379" i="6"/>
  <c r="E2381" i="6"/>
  <c r="E2383" i="6"/>
  <c r="E2385" i="6"/>
  <c r="E2387" i="6"/>
  <c r="E2389" i="6"/>
  <c r="E2391" i="6"/>
  <c r="E2393" i="6"/>
  <c r="E2395" i="6"/>
  <c r="E2397" i="6"/>
  <c r="E2399" i="6"/>
  <c r="E2401" i="6"/>
  <c r="E2403" i="6"/>
  <c r="E2405" i="6"/>
  <c r="E2407" i="6"/>
  <c r="E2409" i="6"/>
  <c r="E2411" i="6"/>
  <c r="E2413" i="6"/>
  <c r="E2415" i="6"/>
  <c r="E2417" i="6"/>
  <c r="E2419" i="6"/>
  <c r="E2421" i="6"/>
  <c r="E2423" i="6"/>
  <c r="E2425" i="6"/>
  <c r="E2427" i="6"/>
  <c r="E2429" i="6"/>
  <c r="E2431" i="6"/>
  <c r="E2433" i="6"/>
  <c r="E2435" i="6"/>
  <c r="E2437" i="6"/>
  <c r="E2439" i="6"/>
  <c r="E2441" i="6"/>
  <c r="E2443" i="6"/>
  <c r="E2445" i="6"/>
  <c r="E2447" i="6"/>
  <c r="E2449" i="6"/>
  <c r="E2451" i="6"/>
  <c r="E2453" i="6"/>
  <c r="E2455" i="6"/>
  <c r="E2457" i="6"/>
  <c r="E2459" i="6"/>
  <c r="E2461" i="6"/>
  <c r="E2463" i="6"/>
  <c r="E2465" i="6"/>
  <c r="E2467" i="6"/>
  <c r="E2469" i="6"/>
  <c r="E2471" i="6"/>
  <c r="E2473" i="6"/>
  <c r="E2475" i="6"/>
  <c r="E2477" i="6"/>
  <c r="E2479" i="6"/>
  <c r="E2481" i="6"/>
  <c r="E2483" i="6"/>
  <c r="E2485" i="6"/>
  <c r="E2487" i="6"/>
  <c r="E2489" i="6"/>
  <c r="E2491" i="6"/>
  <c r="E2493" i="6"/>
  <c r="E2495" i="6"/>
  <c r="E2497" i="6"/>
  <c r="E2499" i="6"/>
  <c r="E2501" i="6"/>
  <c r="E2503" i="6"/>
  <c r="E2505" i="6"/>
  <c r="E2507" i="6"/>
  <c r="E2509" i="6"/>
  <c r="E2511" i="6"/>
  <c r="E2513" i="6"/>
  <c r="E2515" i="6"/>
  <c r="E2517" i="6"/>
  <c r="E2519" i="6"/>
  <c r="E2521" i="6"/>
  <c r="E2523" i="6"/>
  <c r="E2525" i="6"/>
  <c r="E2527" i="6"/>
  <c r="E2529" i="6"/>
  <c r="E2531" i="6"/>
  <c r="E2533" i="6"/>
  <c r="E2535" i="6"/>
  <c r="E2537" i="6"/>
  <c r="E2539" i="6"/>
  <c r="E2541" i="6"/>
  <c r="E2543" i="6"/>
  <c r="E2545" i="6"/>
  <c r="E2547" i="6"/>
  <c r="E2549" i="6"/>
  <c r="E2551" i="6"/>
  <c r="E2553" i="6"/>
  <c r="E2555" i="6"/>
  <c r="E2557" i="6"/>
  <c r="E2559" i="6"/>
  <c r="E2561" i="6"/>
  <c r="E2563" i="6"/>
  <c r="E2565" i="6"/>
  <c r="E2567" i="6"/>
  <c r="E2569" i="6"/>
  <c r="E2571" i="6"/>
  <c r="E2573" i="6"/>
  <c r="E2575" i="6"/>
  <c r="E2577" i="6"/>
  <c r="E2579" i="6"/>
  <c r="E2581" i="6"/>
  <c r="E2583" i="6"/>
  <c r="E2585" i="6"/>
  <c r="E2587" i="6"/>
  <c r="E2589" i="6"/>
  <c r="E2591" i="6"/>
  <c r="E2593" i="6"/>
  <c r="E2595" i="6"/>
  <c r="E2597" i="6"/>
  <c r="E2599" i="6"/>
  <c r="E2601" i="6"/>
  <c r="E2603" i="6"/>
  <c r="E2605" i="6"/>
  <c r="E2607" i="6"/>
  <c r="E2609" i="6"/>
  <c r="E2611" i="6"/>
  <c r="E2613" i="6"/>
  <c r="E2615" i="6"/>
  <c r="E2617" i="6"/>
  <c r="E2619" i="6"/>
  <c r="E2621" i="6"/>
  <c r="E2623" i="6"/>
  <c r="E2625" i="6"/>
  <c r="E2627" i="6"/>
  <c r="E2629" i="6"/>
  <c r="E2631" i="6"/>
  <c r="E2633" i="6"/>
  <c r="E2635" i="6"/>
  <c r="E2637" i="6"/>
  <c r="E2639" i="6"/>
  <c r="E2641" i="6"/>
  <c r="E2643" i="6"/>
  <c r="E2645" i="6"/>
  <c r="E2647" i="6"/>
  <c r="E2649" i="6"/>
  <c r="E2651" i="6"/>
  <c r="E2653" i="6"/>
  <c r="E2655" i="6"/>
  <c r="E2657" i="6"/>
  <c r="E2659" i="6"/>
  <c r="E2661" i="6"/>
  <c r="E2663" i="6"/>
  <c r="E2665" i="6"/>
  <c r="E2667" i="6"/>
  <c r="E2669" i="6"/>
  <c r="E2671" i="6"/>
  <c r="E2673" i="6"/>
  <c r="E2675" i="6"/>
  <c r="E2677" i="6"/>
  <c r="E2679" i="6"/>
  <c r="E2681" i="6"/>
  <c r="E2683" i="6"/>
  <c r="E2685" i="6"/>
  <c r="E2687" i="6"/>
  <c r="E2689" i="6"/>
  <c r="E2691" i="6"/>
  <c r="E2693" i="6"/>
  <c r="E2695" i="6"/>
  <c r="E2697" i="6"/>
  <c r="E2699" i="6"/>
  <c r="E2701" i="6"/>
  <c r="E2703" i="6"/>
  <c r="E2705" i="6"/>
  <c r="E2707" i="6"/>
  <c r="E2709" i="6"/>
  <c r="E2711" i="6"/>
  <c r="E2713" i="6"/>
  <c r="E2715" i="6"/>
  <c r="E2717" i="6"/>
  <c r="E2719" i="6"/>
  <c r="E2721" i="6"/>
  <c r="E2723" i="6"/>
  <c r="E2725" i="6"/>
  <c r="E2727" i="6"/>
  <c r="E2729" i="6"/>
  <c r="E2731" i="6"/>
  <c r="E2733" i="6"/>
  <c r="E2735" i="6"/>
  <c r="E2737" i="6"/>
  <c r="E2739" i="6"/>
  <c r="E2741" i="6"/>
  <c r="E2743" i="6"/>
  <c r="E2745" i="6"/>
  <c r="E2747" i="6"/>
  <c r="E2749" i="6"/>
  <c r="E2751" i="6"/>
  <c r="E2753" i="6"/>
  <c r="E2755" i="6"/>
  <c r="E2757" i="6"/>
  <c r="E2759" i="6"/>
  <c r="E2761" i="6"/>
  <c r="E2763" i="6"/>
  <c r="E2765" i="6"/>
  <c r="E2767" i="6"/>
  <c r="E2769" i="6"/>
  <c r="E2771" i="6"/>
  <c r="E2773" i="6"/>
  <c r="E2775" i="6"/>
  <c r="E2777" i="6"/>
  <c r="E2779" i="6"/>
  <c r="E2781" i="6"/>
  <c r="E2783" i="6"/>
  <c r="E2785" i="6"/>
  <c r="E2787" i="6"/>
  <c r="E2789" i="6"/>
  <c r="E2791" i="6"/>
  <c r="E2793" i="6"/>
  <c r="E2795" i="6"/>
  <c r="E2797" i="6"/>
  <c r="E2799" i="6"/>
  <c r="E2801" i="6"/>
  <c r="E2803" i="6"/>
  <c r="E2805" i="6"/>
  <c r="E2807" i="6"/>
  <c r="E2809" i="6"/>
  <c r="E2811" i="6"/>
  <c r="E2813" i="6"/>
  <c r="E2815" i="6"/>
  <c r="E2817" i="6"/>
  <c r="E2819" i="6"/>
  <c r="E2821" i="6"/>
  <c r="E2823" i="6"/>
  <c r="E2825" i="6"/>
  <c r="E2827" i="6"/>
  <c r="E2829" i="6"/>
  <c r="E2831" i="6"/>
  <c r="E2833" i="6"/>
  <c r="E2835" i="6"/>
  <c r="E3631" i="6"/>
  <c r="E3633" i="6"/>
  <c r="E3635" i="6"/>
  <c r="E3637" i="6"/>
  <c r="E3639" i="6"/>
  <c r="E3641" i="6"/>
  <c r="E3643" i="6"/>
  <c r="E3645" i="6"/>
  <c r="E3647" i="6"/>
  <c r="E3649" i="6"/>
  <c r="E3651" i="6"/>
  <c r="E3653" i="6"/>
  <c r="E3655" i="6"/>
  <c r="E3657" i="6"/>
  <c r="E3659" i="6"/>
  <c r="E3661" i="6"/>
  <c r="E3663" i="6"/>
  <c r="E3665" i="6"/>
  <c r="E3667" i="6"/>
  <c r="E3669" i="6"/>
  <c r="E3671" i="6"/>
  <c r="E3673" i="6"/>
  <c r="E3675" i="6"/>
  <c r="E3677" i="6"/>
  <c r="E3679" i="6"/>
  <c r="E3681" i="6"/>
  <c r="E3683" i="6"/>
  <c r="E3685" i="6"/>
  <c r="E3687" i="6"/>
  <c r="E3689" i="6"/>
  <c r="E3691" i="6"/>
  <c r="E3693" i="6"/>
  <c r="E3695" i="6"/>
  <c r="E3697" i="6"/>
  <c r="E3699" i="6"/>
  <c r="E3701" i="6"/>
  <c r="E3703" i="6"/>
  <c r="E3705" i="6"/>
  <c r="E3707" i="6"/>
  <c r="E3709" i="6"/>
  <c r="E3711" i="6"/>
  <c r="E3713" i="6"/>
  <c r="E3715" i="6"/>
  <c r="E3717" i="6"/>
  <c r="E3719" i="6"/>
  <c r="E3721" i="6"/>
  <c r="E3723" i="6"/>
  <c r="E3725" i="6"/>
  <c r="E3727" i="6"/>
  <c r="E3729" i="6"/>
  <c r="E3731" i="6"/>
  <c r="E3733" i="6"/>
  <c r="E3735" i="6"/>
  <c r="E3737" i="6"/>
  <c r="E3739" i="6"/>
  <c r="E3741" i="6"/>
  <c r="E3743" i="6"/>
  <c r="E3745" i="6"/>
  <c r="E3747" i="6"/>
  <c r="E3749" i="6"/>
  <c r="E3751" i="6"/>
  <c r="E3753" i="6"/>
  <c r="E3755" i="6"/>
  <c r="E3757" i="6"/>
  <c r="E3759" i="6"/>
  <c r="E3761" i="6"/>
  <c r="E3763" i="6"/>
  <c r="E3765" i="6"/>
  <c r="E3767" i="6"/>
  <c r="E3769" i="6"/>
  <c r="E3771" i="6"/>
  <c r="E3773" i="6"/>
  <c r="E3775" i="6"/>
  <c r="E3777" i="6"/>
  <c r="E3779" i="6"/>
  <c r="E3781" i="6"/>
  <c r="E3783" i="6"/>
  <c r="E3785" i="6"/>
  <c r="E3787" i="6"/>
  <c r="E3789" i="6"/>
  <c r="E3791" i="6"/>
  <c r="E3793" i="6"/>
  <c r="E3795" i="6"/>
  <c r="E3797" i="6"/>
  <c r="E3632" i="6"/>
  <c r="E3634" i="6"/>
  <c r="E3636" i="6"/>
  <c r="E3638" i="6"/>
  <c r="E3640" i="6"/>
  <c r="E3642" i="6"/>
  <c r="E3644" i="6"/>
  <c r="E3646" i="6"/>
  <c r="E3648" i="6"/>
  <c r="E3650" i="6"/>
  <c r="E3652" i="6"/>
  <c r="E3654" i="6"/>
  <c r="E3656" i="6"/>
  <c r="E3658" i="6"/>
  <c r="E3660" i="6"/>
  <c r="E3662" i="6"/>
  <c r="E3664" i="6"/>
  <c r="E3666" i="6"/>
  <c r="E3668" i="6"/>
  <c r="E3670" i="6"/>
  <c r="E3672" i="6"/>
  <c r="E3674" i="6"/>
  <c r="E3676" i="6"/>
  <c r="E3678" i="6"/>
  <c r="E3680" i="6"/>
  <c r="E3682" i="6"/>
  <c r="E3684" i="6"/>
  <c r="E3686" i="6"/>
  <c r="E3688" i="6"/>
  <c r="E3690" i="6"/>
  <c r="E3692" i="6"/>
  <c r="E3694" i="6"/>
  <c r="E3696" i="6"/>
  <c r="E3698" i="6"/>
  <c r="E3700" i="6"/>
  <c r="E3702" i="6"/>
  <c r="E3704" i="6"/>
  <c r="E3706" i="6"/>
  <c r="E3708" i="6"/>
  <c r="E3710" i="6"/>
  <c r="E3712" i="6"/>
  <c r="E3714" i="6"/>
  <c r="E3716" i="6"/>
  <c r="E3718" i="6"/>
  <c r="E3720" i="6"/>
  <c r="E3722" i="6"/>
  <c r="E3724" i="6"/>
  <c r="E3726" i="6"/>
  <c r="E3728" i="6"/>
  <c r="E3730" i="6"/>
  <c r="E3732" i="6"/>
  <c r="E3734" i="6"/>
  <c r="E3736" i="6"/>
  <c r="E3738" i="6"/>
  <c r="E3740" i="6"/>
  <c r="E3742" i="6"/>
  <c r="E3744" i="6"/>
  <c r="E3746" i="6"/>
  <c r="E3748" i="6"/>
  <c r="E3750" i="6"/>
  <c r="E3752" i="6"/>
  <c r="E3754" i="6"/>
  <c r="E3756" i="6"/>
  <c r="E3758" i="6"/>
  <c r="E3760" i="6"/>
  <c r="E3762" i="6"/>
  <c r="E3764" i="6"/>
  <c r="E3766" i="6"/>
  <c r="E3768" i="6"/>
  <c r="E3770" i="6"/>
  <c r="E3772" i="6"/>
  <c r="E3774" i="6"/>
  <c r="E3776" i="6"/>
  <c r="E3778" i="6"/>
  <c r="E3780" i="6"/>
  <c r="E3782" i="6"/>
  <c r="E3784" i="6"/>
  <c r="E3786" i="6"/>
  <c r="E3788" i="6"/>
  <c r="E3790" i="6"/>
  <c r="E3792" i="6"/>
  <c r="E3794" i="6"/>
  <c r="E3796" i="6"/>
  <c r="E460" i="6" l="1"/>
  <c r="E504" i="6"/>
  <c r="E454" i="6"/>
  <c r="E450" i="6"/>
  <c r="E500" i="6"/>
  <c r="E462" i="6"/>
  <c r="E420" i="6"/>
  <c r="E469" i="6"/>
  <c r="E473" i="6"/>
  <c r="E477" i="6"/>
  <c r="E481" i="6"/>
  <c r="E485" i="6"/>
  <c r="E489" i="6"/>
  <c r="E493" i="6"/>
  <c r="E497" i="6"/>
  <c r="E517" i="6"/>
  <c r="E441" i="6"/>
  <c r="E453" i="6"/>
  <c r="E461" i="6"/>
  <c r="E499" i="6"/>
  <c r="E529" i="6"/>
  <c r="E533" i="6"/>
  <c r="E537" i="6"/>
  <c r="E541" i="6"/>
  <c r="E545" i="6"/>
  <c r="E549" i="6"/>
  <c r="E553" i="6"/>
  <c r="E558" i="6"/>
  <c r="E573" i="6"/>
  <c r="E577" i="6"/>
  <c r="E596" i="6"/>
  <c r="E600" i="6"/>
  <c r="E445" i="6"/>
  <c r="E365" i="6"/>
  <c r="E367" i="6"/>
  <c r="E369" i="6"/>
  <c r="E371" i="6"/>
  <c r="E373" i="6"/>
  <c r="E377" i="6"/>
  <c r="E381" i="6"/>
  <c r="E385" i="6"/>
  <c r="E389" i="6"/>
  <c r="E393" i="6"/>
  <c r="E397" i="6"/>
  <c r="E401" i="6"/>
  <c r="E405" i="6"/>
  <c r="E409" i="6"/>
  <c r="E413" i="6"/>
  <c r="E417" i="6"/>
  <c r="E521" i="6"/>
  <c r="E525" i="6"/>
  <c r="E592" i="6"/>
  <c r="E424" i="6"/>
  <c r="E351" i="6"/>
  <c r="E352" i="6"/>
  <c r="E355" i="6"/>
  <c r="E356" i="6"/>
  <c r="E359" i="6"/>
  <c r="E360" i="6"/>
  <c r="E363" i="6"/>
  <c r="E364" i="6"/>
  <c r="E376" i="6"/>
  <c r="E380" i="6"/>
  <c r="E384" i="6"/>
  <c r="E388" i="6"/>
  <c r="E392" i="6"/>
  <c r="E396" i="6"/>
  <c r="E400" i="6"/>
  <c r="E404" i="6"/>
  <c r="E408" i="6"/>
  <c r="E412" i="6"/>
  <c r="E416" i="6"/>
  <c r="E425" i="6"/>
  <c r="E432" i="6"/>
  <c r="E555" i="6"/>
  <c r="E556" i="6"/>
  <c r="E522" i="6"/>
  <c r="E526" i="6"/>
  <c r="E574" i="6"/>
  <c r="E578" i="6"/>
  <c r="E458" i="6"/>
  <c r="E421" i="6"/>
  <c r="E446" i="6"/>
  <c r="E430" i="6"/>
  <c r="E444" i="6"/>
  <c r="E470" i="6"/>
  <c r="E474" i="6"/>
  <c r="E478" i="6"/>
  <c r="E482" i="6"/>
  <c r="E486" i="6"/>
  <c r="E490" i="6"/>
  <c r="E494" i="6"/>
  <c r="E498" i="6"/>
  <c r="E507" i="6"/>
  <c r="E511" i="6"/>
  <c r="E530" i="6"/>
  <c r="E534" i="6"/>
  <c r="E538" i="6"/>
  <c r="E542" i="6"/>
  <c r="E546" i="6"/>
  <c r="E550" i="6"/>
  <c r="E554" i="6"/>
  <c r="E593" i="6"/>
  <c r="E597" i="6"/>
  <c r="E601" i="6"/>
  <c r="E580" i="6"/>
  <c r="E581" i="6"/>
  <c r="E582" i="6"/>
  <c r="E584" i="6"/>
  <c r="E585" i="6"/>
  <c r="E586" i="6"/>
  <c r="E588" i="6"/>
  <c r="E589" i="6"/>
  <c r="E439" i="6"/>
  <c r="E455" i="6"/>
  <c r="E463" i="6"/>
  <c r="E428" i="6"/>
  <c r="E436" i="6"/>
  <c r="E440" i="6"/>
  <c r="E502" i="6"/>
  <c r="E467" i="6"/>
  <c r="E471" i="6"/>
  <c r="E475" i="6"/>
  <c r="E479" i="6"/>
  <c r="E483" i="6"/>
  <c r="E487" i="6"/>
  <c r="E491" i="6"/>
  <c r="E495" i="6"/>
  <c r="E501" i="6"/>
  <c r="E575" i="6"/>
  <c r="E579" i="6"/>
  <c r="E583" i="6"/>
  <c r="E587" i="6"/>
  <c r="E447" i="6"/>
  <c r="E456" i="6"/>
  <c r="E304" i="6"/>
  <c r="E305" i="6"/>
  <c r="E306" i="6"/>
  <c r="E308" i="6"/>
  <c r="E309" i="6"/>
  <c r="E310" i="6"/>
  <c r="E312" i="6"/>
  <c r="E313" i="6"/>
  <c r="E314" i="6"/>
  <c r="E316" i="6"/>
  <c r="E317" i="6"/>
  <c r="E318" i="6"/>
  <c r="E320" i="6"/>
  <c r="E321" i="6"/>
  <c r="E322" i="6"/>
  <c r="E324" i="6"/>
  <c r="E325" i="6"/>
  <c r="E326" i="6"/>
  <c r="E328" i="6"/>
  <c r="E329" i="6"/>
  <c r="E330" i="6"/>
  <c r="E332" i="6"/>
  <c r="E333" i="6"/>
  <c r="E334" i="6"/>
  <c r="E336" i="6"/>
  <c r="E337" i="6"/>
  <c r="E338" i="6"/>
  <c r="E339" i="6"/>
  <c r="E340" i="6"/>
  <c r="E341" i="6"/>
  <c r="E342" i="6"/>
  <c r="E343" i="6"/>
  <c r="E344" i="6"/>
  <c r="E345" i="6"/>
  <c r="E346" i="6"/>
  <c r="E347" i="6"/>
  <c r="E348" i="6"/>
  <c r="E349" i="6"/>
  <c r="E422" i="6"/>
  <c r="E419" i="6"/>
  <c r="E438" i="6"/>
  <c r="E434" i="6"/>
  <c r="E518" i="6"/>
  <c r="E468" i="6"/>
  <c r="E472" i="6"/>
  <c r="E476" i="6"/>
  <c r="E480" i="6"/>
  <c r="E484" i="6"/>
  <c r="E488" i="6"/>
  <c r="E492" i="6"/>
  <c r="E496" i="6"/>
  <c r="E516" i="6"/>
  <c r="E515" i="6"/>
  <c r="E505" i="6"/>
  <c r="E509" i="6"/>
  <c r="E513" i="6"/>
  <c r="E560" i="6"/>
  <c r="E528" i="6"/>
  <c r="E532" i="6"/>
  <c r="E536" i="6"/>
  <c r="E540" i="6"/>
  <c r="E544" i="6"/>
  <c r="E548" i="6"/>
  <c r="E552" i="6"/>
  <c r="E561" i="6"/>
  <c r="E562" i="6"/>
  <c r="E563" i="6"/>
  <c r="E564" i="6"/>
  <c r="E565" i="6"/>
  <c r="E566" i="6"/>
  <c r="E567" i="6"/>
  <c r="E568" i="6"/>
  <c r="E569" i="6"/>
  <c r="E570" i="6"/>
  <c r="E572" i="6"/>
  <c r="E590" i="6"/>
  <c r="E594" i="6"/>
  <c r="E599" i="6"/>
  <c r="E451" i="6"/>
  <c r="E459" i="6"/>
  <c r="E350" i="6"/>
  <c r="E353" i="6"/>
  <c r="E354" i="6"/>
  <c r="E357" i="6"/>
  <c r="E358" i="6"/>
  <c r="E361" i="6"/>
  <c r="E362" i="6"/>
  <c r="E366" i="6"/>
  <c r="E368" i="6"/>
  <c r="E370" i="6"/>
  <c r="E372" i="6"/>
  <c r="E374" i="6"/>
  <c r="E375" i="6"/>
  <c r="E378" i="6"/>
  <c r="E379" i="6"/>
  <c r="E382" i="6"/>
  <c r="E383" i="6"/>
  <c r="E386" i="6"/>
  <c r="E387" i="6"/>
  <c r="E390" i="6"/>
  <c r="E391" i="6"/>
  <c r="E394" i="6"/>
  <c r="E395" i="6"/>
  <c r="E398" i="6"/>
  <c r="E399" i="6"/>
  <c r="E402" i="6"/>
  <c r="E403" i="6"/>
  <c r="E406" i="6"/>
  <c r="E407" i="6"/>
  <c r="E410" i="6"/>
  <c r="E411" i="6"/>
  <c r="E414" i="6"/>
  <c r="E415" i="6"/>
  <c r="E418" i="6"/>
  <c r="E523" i="6"/>
  <c r="E527" i="6"/>
  <c r="E531" i="6"/>
  <c r="E535" i="6"/>
  <c r="E539" i="6"/>
  <c r="E543" i="6"/>
  <c r="E547" i="6"/>
  <c r="E551" i="6"/>
  <c r="E559" i="6"/>
  <c r="E571" i="6"/>
  <c r="E598" i="6"/>
  <c r="E602" i="6"/>
</calcChain>
</file>

<file path=xl/sharedStrings.xml><?xml version="1.0" encoding="utf-8"?>
<sst xmlns="http://schemas.openxmlformats.org/spreadsheetml/2006/main" count="4338" uniqueCount="95">
  <si>
    <t>1. Este documento reúne el conjunto de tareas resultantes de: Consejos de Gobierno, Consejos de Seguridad, Consejos Locales, Despachando, Reuniones de Proyectos Estratégicos y de Proyectos de Infraestructura del despacho de la Alcaldesa Mayor</t>
  </si>
  <si>
    <t>2. Cada sector deberá diligencia los campos en verde:</t>
  </si>
  <si>
    <t>J. Fecha de cumplimiento (si se mencionó en la reunión con la alcaldesa</t>
  </si>
  <si>
    <t>Se debe diligenciar la fecha en la que la tarea fue culminada</t>
  </si>
  <si>
    <t>M. Resultados obtenidos Concretos y que den respuesta a la tarea (Descripción del estado - Dejar el avance más reciente)</t>
  </si>
  <si>
    <t>Se deben mencionar en no más de 600 caracteres los resultados obtenidos hasta el momento y que den cuenta del estado de la tarea, ejemplo: "la tarea se encuentra en XX fase y se espera se cierre en XX fecha"</t>
  </si>
  <si>
    <t>R. Comentarios para realizar ajustes</t>
  </si>
  <si>
    <t>Se debe mencionar observaciones que por su contenido no correspondan a los resultados de la tarea o también se puede sugerir ajustes que se crean necesarios en la información de la tarea</t>
  </si>
  <si>
    <t>Cod</t>
  </si>
  <si>
    <t>Nombre de la tarea/reunión</t>
  </si>
  <si>
    <t>Fecha reunión (DD/MM/AAAA)</t>
  </si>
  <si>
    <t>Sector lider</t>
  </si>
  <si>
    <t>Entidad lider</t>
  </si>
  <si>
    <t>Descripción tarea</t>
  </si>
  <si>
    <t>Localidad</t>
  </si>
  <si>
    <t>Fecha estimada de cierre (DD/MM/AAAA)</t>
  </si>
  <si>
    <t>Última fecha de reporte (DD/MM/AAAA)</t>
  </si>
  <si>
    <t>Avances de la tarea (hitos claros y precisos)</t>
  </si>
  <si>
    <t>Fecha Efectiva de cierre de la tarea
  (DD/MM/AAAA)</t>
  </si>
  <si>
    <t>Observaciones de la entidad que reporta</t>
  </si>
  <si>
    <t>Estado</t>
  </si>
  <si>
    <t>Desarrollo_Económico</t>
  </si>
  <si>
    <t>Instituto para la Economía Social</t>
  </si>
  <si>
    <t>Cerrada</t>
  </si>
  <si>
    <t>Actualizado</t>
  </si>
  <si>
    <t>Recorrido Antonio Nariño</t>
  </si>
  <si>
    <t>15. Antonio Nariño</t>
  </si>
  <si>
    <t>En proceso</t>
  </si>
  <si>
    <t>Desar123</t>
  </si>
  <si>
    <t>Iniciar en 8 días las obras de mejoramiento estructural de la plaza el Restrepo.</t>
  </si>
  <si>
    <t>Se inicia proceso de presunto incumplimiento por parte del IPES dado que a la fecha no se han iniciado  actividades constructivas para el reforzamiento estructural de la plaza de mercado restrepo y con el plazo que resta de ejecución no se puede dar terminación a la obra.</t>
  </si>
  <si>
    <t>Desar124</t>
  </si>
  <si>
    <t>Junto con la Policía, el IPES y la Alcaldía Local, se llevará a cabo un operativo de reubicación de 47 vendedores ambulantes a los locales temporales dispuestos para dar inicio a las obras al interior de la Plaza el Restrepo.</t>
  </si>
  <si>
    <t xml:space="preserve">Teniendo encuenta que se inicia proceso de presunto incumplimiento por parte del IPES dado que a la fecha no se han iniciado  actividades constructivas para el reforzamiento estructural de la plaza de mercado restrepo y con el plazo que resta de ejecucion no se puede dar terminacion a la obra, no se realizaron las reubicacion para no generar afectacion a los comerciantes y realizar traslados sin iniciar actividades de obra </t>
  </si>
  <si>
    <t xml:space="preserve">Los traslados de los comerciantes se realizaran una vez se adjudiquen las obras de reforzamiento estructural a un nuevo contratista, el cual realizara las actividades de socializacion y obras correspondientes, esto con la finalidad de no generar afectacion a los comerciantes </t>
  </si>
  <si>
    <t>Desar125</t>
  </si>
  <si>
    <t>Teniendo encuenta que se inicio proceso de presunto incumplimiento por parte del IPES al contratista de obra  dado que a la fecha no se han iniciado  actividades constructivas para el reforzamiento estructural de la plaza de mercado restrepo y con el plazo que resta de ejecucion no se puede dar terminacion a la obra y no se genero prorroga al plazo contractual no se presenta cronograma ajustado ya que las condiciones iniciales en cuanto a plazo no cambiaron</t>
  </si>
  <si>
    <t>Desar126</t>
  </si>
  <si>
    <t>Establecer triple turno para avanzar significativamente en las obras de mejoramiento estructural en la plaza el Restrepo.</t>
  </si>
  <si>
    <t>Teniendo encuenta que se inicio el proceso de presunto incumplimiento por parte del IPES al contratista de obra  dado que a la fecha no se han iniciado  actividades constructivas para el reforzamiento estructural de la plaza de mercado restrepo y con el plazo que resta de ejecucion no se puede dar terminacion a la obra y no se genero prorroga al plazo contractual no se presenta cronograma ajustado ya que las condiciones iniciales en cuanto a plazo no cambiaron y se implementara mayores turnos una vez sea adjudicado el nuevo contratista con la finalidad de terminar las obras en un tiempo menor al programado</t>
  </si>
  <si>
    <t>Marca temporal</t>
  </si>
  <si>
    <t>No. Código</t>
  </si>
  <si>
    <t>Comentario a la tarea</t>
  </si>
  <si>
    <t>Prioridad</t>
  </si>
  <si>
    <t>Fecha</t>
  </si>
  <si>
    <t xml:space="preserve">Por cosec debe haber un centro de habitabilidad e calle y una bodega de reciclaje. </t>
  </si>
  <si>
    <t>Alta</t>
  </si>
  <si>
    <t>Algunos bares se están escudando en que son Sindicatos, y por tal razón, la alcaldía no los puede cerrar. Tarea: reunirse urgentemente con SecGobierno y MiNTRABAJO paar aclarar la forma para hacerle iVC a esos sitios</t>
  </si>
  <si>
    <t>Estas 4mil ya se debieron contactar</t>
  </si>
  <si>
    <t>Codigo_tarea</t>
  </si>
  <si>
    <t>Nombre_tarea/reunión/lugar</t>
  </si>
  <si>
    <t>Fecha reunión</t>
  </si>
  <si>
    <t>Tipo</t>
  </si>
  <si>
    <t>Sector_lider</t>
  </si>
  <si>
    <t>Entidad_lider</t>
  </si>
  <si>
    <t>Entidades_corresponsables</t>
  </si>
  <si>
    <t>Enlace_Secretaría Privada</t>
  </si>
  <si>
    <t>Descripcion_tarea</t>
  </si>
  <si>
    <t>Fecha de cumplimiento
(si se mencionó en la reunión con la alcaldesa)</t>
  </si>
  <si>
    <t>Fecha de reporte</t>
  </si>
  <si>
    <t>Resultados obtenidos
Concretos y que den respuesta a la tarea
(Descripción del estado - Dejar el avance más reciente)</t>
  </si>
  <si>
    <t xml:space="preserve">Comentarios para realizar ajustes </t>
  </si>
  <si>
    <t>Hoja</t>
  </si>
  <si>
    <t>CX_Actualizado</t>
  </si>
  <si>
    <t>Ambiente</t>
  </si>
  <si>
    <t>Desarrollo Económico</t>
  </si>
  <si>
    <t>Educación</t>
  </si>
  <si>
    <t>Gestión Pública</t>
  </si>
  <si>
    <t>Cultura</t>
  </si>
  <si>
    <t>Integración Social</t>
  </si>
  <si>
    <t>Gobierno</t>
  </si>
  <si>
    <t>Hábitat</t>
  </si>
  <si>
    <t>Movilidad</t>
  </si>
  <si>
    <t>Hacienda</t>
  </si>
  <si>
    <t>Mujer</t>
  </si>
  <si>
    <t>Planeación</t>
  </si>
  <si>
    <t>Salud</t>
  </si>
  <si>
    <t>Seguridad</t>
  </si>
  <si>
    <t>Fecha de reunión</t>
  </si>
  <si>
    <t>Fecha de corte</t>
  </si>
  <si>
    <t>Nombre de la tarea / Reunión / Lugar</t>
  </si>
  <si>
    <t>Tarea</t>
  </si>
  <si>
    <t>Entidad líder</t>
  </si>
  <si>
    <t>Enlace Secretaría Privada</t>
  </si>
  <si>
    <t>Descripcion</t>
  </si>
  <si>
    <t>Resultados obtenidos</t>
  </si>
  <si>
    <t>Estado de actualización</t>
  </si>
  <si>
    <t>Filtro_Consulta</t>
  </si>
  <si>
    <t>Filtro_Informe</t>
  </si>
  <si>
    <t>x</t>
  </si>
  <si>
    <t>conpes</t>
  </si>
  <si>
    <t>X</t>
  </si>
  <si>
    <t>A la fecha, desde la Dirección de Desarrollo Empresarial y Empleo de la SDDE se han definido y/o realizado las siguientes acciones:
Desde la Subdirección de Emprendimiento y Negocios, se cuenta con una oferta generalizada para todos los públicos. Sin embargo, se ha hecho énfasis en la promoción de los programas en las diferentes poblaciones y se ha participado en espacios de diálogo con ellas para la identificación de opciones de mejora de los programas, con miras a que sean más incluyentes y se adapten a los requerimientos de estos beneficiarios. 
Actualmente, el programa bandera de la Subdirección es la Ruta de Emprendimiento Bogotá EN, el cual beneficia a población desde la etapa de idea de negocio hasta la fase de consolidación del mismo. Cuenta con espacios de mejoramiento de las ideas de negocio, una academia de emprendimiento virtual, con sesiones pregrabadas, que permite a las personas acceder a cualquier momento; espacios de conexión con el mercado y la posibilidad de ir sumando puntos o estrellas en la medida en que los beneficiarios van avanzando en el proceso de formación. Estos puntos o estrellas se pueden redimir y convertirse en asesorías especializadas con entidades de apoyo, empresarios que pueden convertirse en mentores, entre otro tipo de beneficios relacionados con el fortalecimiento de las empresas. 
1.Durante el 4to trimestre de 2021, desde la población LGBTI, participaron 329 emprendedores y empresarios en los siguientes programas y estrategias:  326 en la Ruta Bogotá-E, programa cuyo propósito es  desarrollar habilidades, modelos de negocio innovadores, fomento de conexiones con el mercado, plataformas de formación y distintos retos  empresariales y gerenciales, contribuyendo al desarrollo de la capacidad productiva de los negocios del Distrito; uno (1) en el  Open Innovation Summit, el evento de innovación abierta más importante del país y que para el 2021 fue una experiencia 100% digital, donde fueron capacitados para fortalecer las habilidades digitales, tendencias e innovación exponencial, cultura, negocios y educación, así como el speed dating, oferta innovadora donde se realizan citas 1ª1 de 20 min de duración, donde las startups, inversionistas,investigadores, empresarios e inversionistas generaron conexiones, alianzas o nuevos negocios y  dos (2) en Expobar en la agenda académica para el fortalecimiento de la industria nocturna y a su vez participaron  en la muestra comercial y rueda de negocios. 
2. Durante el cuarto trimestre de participaron de 2021 participaron  29 emprendedores y empresarios en Smartfilms estrategia de fortalecimiento de la apropiación de la tecnología en los ciudadanos del Distrito a través del uso del teléfono móvil para el desarrollo de contenidos audiovisuales, permitiendo así el desarrollo de la economía creativa y la participación activa de las comunidades de los diferentes sectores económicos de la ciudad y 7 en  Emprendedores con al Arte   programa de fortalecimiento en habilidades digitales para la comercialización y acciones de circulación que promuevan el cierre de brechas sociales y económicas, dirigida a emprendedores, empresas, colectivos y/u organizaciones del ecosistema artístico, creativo y cultural seleccionados por convocatoria.
En cuanto a población con discapacidad atendida por esta Subdirección, se reportan 347 personas a través de la Ruta Bogotá E, 3 personas a través del programa Emprendedores con el arte, 25 en el programa Smartfilms, 1 mipyme del programa Sistemas Productivos Solidarios (orientado al fortalecimiento de mipymes ubicadas en los corazones productivos de 6 localidades priorizadas de Bogotá); 2 personas fueron beneficiarias del taller para implementar código QR en los negocios, 2 personas participaron en el programa Open Innovation Summit; 4 mujeres fueron beneficiarias del proyecto Mujeres con propósito, para fortalecer capacidades en mujeres tenderas y microempresas  en temas empresariales y financieros; 2 mujeres emprendedoras participaron en la feria Creo en mí y pudieron comercializar sus productos; 2 personas fueron beneficiarias del proyecto Expobar 2021, orientado a la reactivación de negocios de la industria nocturna (gastrobares, restaurantes y entretenimiento); y 4 personas se beneficiaron de los espacios de conexión con el mercado, para los cuales se asignaron stands para que los emprendedores pudieran vender sus productos en centros comerciales, durante una semana. 
 Por su parte, desde la subdirección de Empleo y Formación de la SDDE se ha avanzado en la definición de una ruta de atención a la población de los sectores sociales LGTBI donde se parte de un proceso de identificación de necesidades, habilidades y competencias desde las áreas de emprendimiento y empleo a través de un taller de emprendimiento que permita conocer las necesidades específicas de la población en emprendimiento y la aplicación de la encuesta de empleabilidad (https://bogotatrabaja.gov.co/) que permita conocer las características de la población en cuanto a las barreras de acceso al mercado laboral, al 31 de diciembre de 2021, 76 personas de los sectores sociales LGTBI han diligenciado la encuesta, actualmente nos encontramos procesando la información para identificar las barreras de acceso al mercado laboral. 
 Adicionalmente, a través de la información recolectada mediante las encuestas realizadas por Tropa Económica y Tropa Social, se ha consolidado una base de datos que permite a la Secretaría dirigirse prioritariamente mediante sus acciones afirmativas con los sectores sociales priorizados. En total, mediante la gestión de las alertas de Tropa Social, se han atendido por servicio 4.079 alertas y 2.424 caracterizaciones. Por su parte, desde Tropa Económica se han gestionado 48.516 caracterizaciones. Por último, resaltar que la información que se ha recolectado constituyen un insumo importante para definir el proceso de atención a la población trans relacionada con emprendimiento y empleo que se está construyendo desde la SDDE. 
 En paralelo a la identificación se han generado espacios de socialización desde la secretaría técnica del consejo consultivo, sobre los servicios de la ruta de empleabilidad y los programas de formación, para ello se propuso realizar jornadas de socialización de los cursos de formación disponibles, en las siguientes fechas :1. 22 de julio, en el horario que se disponga por parte de la población, 2. 27 de julio, en el horario que se disponga por parte de la población y 3. 5 de agosto, en el horario que se disponga por parte de la población. (Sin respuesta de confirmación por parte de la población), Adicionalmente, el 21 de octubre se realizó la feria de empleo inclusivo en el marco del festival por la igualdad, se realizó en la localidad de Tunjuelito se contó con la participación de las siguientes empresas, "PROTEMPORALES, WOM, ACCEDO TECH, ATENTO, ASISTE INGENIERIA, ATWORK SAS, GSH quienes ofertaron 2270 vacantes, y se atendieron a 83 personas de los sectores sociales LGTBI y se remitieron 70 personas. 
Para la población TRANS específicamente, se viene trabajando en un proceso de articulación con el Grupo de Apoyo y Ayuda Trans GAAT y la dirección de diversidad para promover la inclusión laboral de la población con experiencia de Vida trans, en este proceso se han definido las siguientes acciones: 1. sensibilizar a los funcionarios y funcionarias de la agencia sobre lenguaje inclusivo específicamente para la población Trans sensibilizaciones realizadas durante el mes de noviembre. 2, revisión de perfiles y vacantes para desarrollar las acciones propias de la intermediación (se enviaron las vacantes disponibles y el portafolio de cursos de formación). 3. Hacer énfasis en la gestión empresarial para sensibilizar a los empresarios.
Como resultado de la gestión se tienen los siguientes datos 2021:
PERSONAS REGISTRADAS: 35
PERSONAS REMITIDAS: 19
PERSONAS FORMADAS BT: 19
PERSONAS FORMADAS LINKEDIN: 77
PERSONAS FORMADAS SENA: 103
PERSONAS FORMADAS TI(UT 360): 3
PERSONAS PROMOVIDAS AL EMPLEO: 63
PERSONAS ORIENTADAS:41
Entre el mes de Diciembre y enero, la Subdirección de Empleo y Formación continuó gestionando la encuesta de empleabilidad, como resultado dos personas de los sectores sociales LGTBI diligenciaron la encuesta en el mes de diciembre y 3 personas el mes de enero, para un total a 31 de enero de 79 personas, con esta información la SEF avanza con el análisis de datos e identificación de las principales barreras de acceso al mercado laboral. 
Por otro lado, como resultado de la gestión e implementación de la ruta de empleabilidad en todos sus servicios durante el mes de diciembre se tienen los siguientes datos de atención a la población de los sectores LGTBI. 
PERSONAS REMITIDAS: 1
PERSONAS FORMADAS BT: 3
PERSONAS FORMADAS LINKEDIN: 24
PERSONAS FORMADAS SENA: 43
PERSONAS FORMADAS TI(UT 360): 3
PERSONAS PROMOVIDAS AL EMPLEO: 56
En cuanto al reporte del mes de marzo a la fecha no es posible consolidar la información del mes, debido a que se encuentra en proceso de sistematización.
Durante  el mes de Marzo se han efectuado la construcción del plan de trabajo interno, para ofrecer los servicios de empleabilidad en cada uno de los Centros de Atención Integral a la Diversidad Sexual (CAIDS) del distrito, adicionalmente se consolidaron las barreras de acceso al mercado laboral (Individuales, organizaciones  y del entorno), construidas a partir de la encuesta de empleabilidad  que formaran parte de la estrategia de atención a las personas de los sectores LGB
Es importante tener en cuenta para el cumplimiento de este  compromiso  es necesario contar con bases de datos que posibiliten identificar a la población de difícil empleabilidad como se especifica en el compromiso.</t>
  </si>
  <si>
    <t>INFORME PROCESOS PARAISO – MIRADOR SECTOR ILLIMANI, LOCALIDAD DE CIUDAD BOLÍVAR 
Es necesario precisar que la Caja de Vivienda Popular a través de la Dirección Técnica de Reasentamientos, desarrolla actividades enfocadas a la protección del derecho fundamental a la vida, contribuye con el mejoramiento de la calidad de vida de los hogares localizados en zonas de alto riesgo no mitigable, en razón a fenómenos de remoción en masa, deslizamiento e inundación, que se encuentran en situación de alta vulnerabilidad y requieren ser trasladados a alternativas habitacionales de reposición legalmente viables y técnicamente seguras.
De conformidad con lo anterior, se identificaron 243 predios en zona de alto riesgo no mitigable por fenómeno de remoción en masa, ubicados en el barrio Mirador el Paraíso A, Mirador el Paraíso B, y el Mirador 3, de la localidad de Ciudad Bolívar,  de los cuales posteriormente, mediante la adenda CT-8556 de 2019, se aclaró que del total de los predios mencionados 16 correspondían a lotes vacíos o predios parcialmente construidos.
Quedando así un total de 227 predios construidos y habitados de los cuales 90 fueron reasentados mediante la modalidad de adquisición predial por el IDIGER y 137 fueron recomendados a la Caja de la Vivienda Popular para que fueran incluidos en el programa de reasentamientos. De esta manera mediante acuerdo 003 del 3 de julio de 2019, FONDIGER aprobó el valor $3.605.517.510 para atender de manera prioritaria los predios que se relacionan en el plan de acción como zona 1, en razón a que es en esta donde el IDIGER, dará inicio a los trabajos de mitigación, para que posteriormente la Secretaria Distrital de Hábitat realice la intervención de las obras diseñadas que complementaran el parque Illimani.
INFORME PROCESOS PARAISO – MIRADOR SECTOR ILIMANI, LOCALIDAD DE CIUDAD BOLIVAR  15 DE SEPTIEMBRE
https://drive.google.com/drive/folders/1YDiBCDV9UG9j9YFtK5jAc4A4gib1iLTO?usp=sharing
Es necesario precisar que la Caja de Vivienda Popular a través de la Dirección Técnica de Reasentamientos, desarrolla actividades enfocadas a la protección del derecho fundamental a la vida, contribuye con el mejoramiento de la calidad de vida de los hogares localizados en zonas de alto riesgo no mitigable, en razón a fenómenos de remoción en masa, deslizamiento e inundación, que se encuentran en situación de alta vulnerabilidad y requieren ser trasladados a alternativas habitacionales de reposición legalmente viables y técnicamente seguras.
De conformidad con lo anterior, mediante Concepto Técnico CT-8405 del 17 de julio de 2018, emitido por el Instituto Distrital de Gestión de Riesgos y Cambio Climático- IDIGER- de Bogotá D.C se identificaron 243 predios en zona de alto riesgo no mitigable por fenómeno de remoción en masa, ubicados en el barrio Mirador el Paraíso A, Mirador el Paraíso B, y el Mirador 3, de la localidad de Ciudad Bolívar,  de los cuales posteriormente, mediante la adenda CT-8556 de 2019, se aclaró que del total de los predios mencionados 16 correspondían a lotes vacíos o predios parcialmente construidos.
Quedando así un total de 227 predios construidos y habitados de los cuales 90 fueron reasentados mediante la modalidad de adquisición predial por el IDIGER y 137 fueron recomendados a la Caja de la Vivienda Popular para que fueran incluidos en el programa de reasentamientos.    
Es de recordar que de acuerdo al plan de acción presentado por la Caja de la Vivienda Popular mediante el cual el Fondo Distrital para la Gestión de Riesgos y Cambio Climático de Bogotá – FONDIGER, aprobó recursos por $3.605.517.510 para atender de manera prioritaria los predios que se relacionaron en el plan de acción como zona 1, comprendida por 58 predios recomendados en ocasión al concepto técnico antes mencionado.
Así las cosas, a continuación, se presentan los avances con corte a agosto 13 de 2021, alcanzados en el polígono de intervención por parte de la Caja de la Vivienda Popular.
#        ITEM        ZONA 1 
1        PREDIOS RECOMENDADOS ENTREGADOS A LA CVP        53
2        PROCESOS ACTIVOS         58
3        FAMILIAS QUE OPTARON POR INGRESO A LA MODALIDAD DE RELOCALIZACION TRANSITORIA         52
4        TRASLADO ALTERNATIVA HABITACIONAL DEFINITIVA        10
5        FAMILIAS CON SELECCIÓN DE VIVIENDA EN EL PROYECTO ARBOLEDA SANTA TERESITA        30
6        FAMILIAS CON SELECCIÓN DE VIVIENDA USADA         1
7        FAMILIAS CON ENTREGA DE ALTERNATIVA HABITACIONAL EN EL PROYECTO LA COLMENA         5
8        FAMILIAS CON ENTREGA DE ALTERNATIVA HABITACIONAL EN LOS PROYECTOS MZ 55 Y 52         5
9        FAMILIAS CON INTERES EN SELECCIÓN DE VIVIENDA USADA (actualmente se encuentra en proceso de elaboración de avaluó)        7
10        FAMILIAS EN PROCESO DE ADQUISICION PREDIAL         2
11        FAMILIAS EN PROCESO DE ENAJENACION VOLUNTARIA (actualmente se encuentra en proceso de elaboración de avaluó)        3
12        FAMILIAS RENUENTES AL PROGRAMA DE REASENTAMIENTOS O A LA ENTREGA DEL PROGRAMA         3
13        FAMILIAS EXCLUIDAS DEL PROGRAMA POR PRESUNTO FRAUDE EN DOCUMENTACION         3
Así las cosas, es importante resaltar lo siguiente:
1.        Con relación a lo descrito en el numeral 5, con respecto a las familias que cuentan con selección de vivienda en el proyecto Arboleda Santa Teresita es importante mencionar que de las 30 que optaron por esta alternativa habitacional, a la fecha, 22 hogares enviaron a la secretaria Distrital de Hábitat con el fin que se adelante tramite de asignación del Subsidio Distrital de Vivienda en Especie SDVE.
2.        En cuanto al numeral 8 de la tabla, de acuerdo con el nuevo procedimiento de la Dirección de Reasentamientos, se requiere la elaboración previa de avalúos de los predios de estas familias, a fin de determinar si el valor de este es superior o inferior al que se determina como recurso mediante la asignación del Valor Único de Reconocimiento VUR, establecido en el Decreto 330 de 2020, el cual corresponde a 90 SMLVM, finalmente se le asignara el valor superior mediante acto administrativo con el que la familia realizara la compra de su alternativa habitacional.
Del total de familias se han recibido 8 avalúos de la siguiente manera:
#        IDENTIFICADOR         BENEFICIARIO         FECHA         VALOR 
1        2018-19-15438        PAULA DOLLY ORTIZ        16 de agosto de 2021        61.920.000,00
2        2019-19-17097        BLANCA NIEVES ROJAS        17 de agosto de 2021        2.780.400,00
3        2019-19-17098         MIGUEL SANTA TIQUE        18 de agosto de 2021        1.144.000,00
4        2019-19-17100        WILLIAM SOACHA BUCURU        19 de agosto de 2021        2.836.000,00
5        019-19-17102        RAUL PARRA TRIANA        20 de agosto de 2021        23.166.000,00
6        2019-19-17138         JANETH PATRICIA ORDOÑEZ ROCHA        23 de agosto de 2021        1.400.000,00
7        2019-19-17204        LINDERMAN MOLINA CARREÑO        30 de agosto de 2021        1.300.000,00
8        2019-19-17066        GLORIA ESPERANZA JOVEL - JESUS SANABRIA        02 de septiembre 2021        16.351.500,00
Teniendo en cuenta los resultados de los avalúos, los cuales están por debajo de los 90 salarios mínimos legales vigentes como lo determina el VUR, y de acuerdo con el Decreto Distrital 330 de 2020, se procedió con la solicitud de CDP´s a FONDIGER, y de esta manera avanzar con el acompañamiento para la asignación de vivienda usada.
Por otra parte, de la relación de familias descritas en la tabla anterior el proceso con identificador 2019-19-17204, cuyo titular es el señor Linderman Molina Carreño presento el pasado 18 de agosto, propuesta de vivienda usada luego de la revisión jurídica la cual fue viable, se encuentra en revisión técnica, para avanzar con el proceso de negociación. 
3.        Finalmente, con relación al numeral 10 de la tabla, frente a las familias que han presentado renuencia al programa, el 13 de agosto del presente año se emitió segundo y último requerimiento por renuencia a los 3 procesos relacionados, uno de los cuales presenta renuencia en la entrega de documentos de ingreso al programa y los dos últimos a la entrega del predio en alto riesgo a la Caja de la Vivienda Popular. 
ZONA 2 Y ZONA 3
Es de aclarar, que si bien no se cuenta con recursos para la atención de las zonas 2 y 3, dada la temporada de lluvias presentada en la ciudad de Bogotá, se han generado emergencias por remoción de tierra en el sector en mención, por lo que el IDIGER, ha estado emitiendo actas de evacuación a las familias de estas zonas, razón por la cual luego de hacer uso de la ayuda pecuniaria, entregada por dicha entidad, han ingresado a la modalidad de relocalización Transitoria con el fin de ser atendidas con prioridad.
Ahora bien, es importante mencionar que se han iniciado acciones tendientes al reasentamiento de las familias que se encuentran ubicadas en las zonas 2 y 3, especialmente las 21 que ingresaron por emergencia a la modalidad de relocalización transitoria, de esta manera, se está realizando el acompañamiento a 10 familias de Zona 2 y 11 de zona 3, con los siguientes avances en las acciones realizadas.
#        ITEM        ZONA 2 
1        PREDIOS RECOMENDADOS ENTREGADOS A LA CVP        9
2        PROCESOS ACTIVOS         10
3        FAMILIAS QUE OPTARON POR INGRESO A LA MODALIDAD DE RELOCALIZACION TRANSITORIA         10
4        TRASLADO ALTERNATIVA HABITACIONAL DEFINITIVA        0
5        FAMILIAS CON ESTUDIO DE DOCUMENTOS POSITIVO         10
6        SOLICITUD DE AVALUO COMERCIAL         10
#        ITEM        ZONA 3
1        PREDIOS RECOMENDADOS ENTREGADOS A LA CVP        8
2        PROCESOS ACTIVOS         11
3        FAMILIAS QUE OPTARON POR INGRESO A LA MODALIDAD DE RELOCALIZACION TRANSITORIA         11
4        TRASLADO ALTERNATIVA HABITACIONAL DEFINITIVA        0
5        FAMILIAS CON ESTUDIO DE DOCUMENTOS POSITIVO         3
6        FAMILIAS CON SELECCIÓN DE VIVIENDA EN EL PROYECTO ARBOLEDA SANTA TERESITA        1
6        SOLICITUD DE AVALUO COMERCIAL         11</t>
  </si>
  <si>
    <t>Por parte de la entidad se inicio el proceso de presunto incumplimiento, a la fecha se han realizado 2 audiciencias de presunto incumplimiento los dia 8 de mayo y 10 de mayo, la proxima citacion para continuacion de la audiencia se adelantara el  dia 17 de junio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</si>
</sst>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yyyy"/>
    <numFmt numFmtId="166" formatCode="yyyy\-mm\-dd"/>
  </numFmts>
  <fonts count="19" x14ac:knownFonts="1">
    <font>
      <sz val="12"/>
      <color theme="1"/>
      <name val="Calibri"/>
      <scheme val="minor"/>
    </font>
    <font>
      <sz val="12"/>
      <color theme="1"/>
      <name val="Calibri"/>
      <family val="2"/>
      <scheme val="minor"/>
    </font>
    <font>
      <b/>
      <sz val="11"/>
      <color rgb="FF000000"/>
      <name val="Calibri"/>
      <family val="2"/>
    </font>
    <font>
      <sz val="11"/>
      <color rgb="FF000000"/>
      <name val="Calibri"/>
      <family val="2"/>
    </font>
    <font>
      <sz val="12"/>
      <color rgb="FF000000"/>
      <name val="Calibri"/>
      <family val="2"/>
    </font>
    <font>
      <sz val="12"/>
      <name val="Calibri"/>
      <family val="2"/>
    </font>
    <font>
      <b/>
      <sz val="10"/>
      <color rgb="FFFFFFFF"/>
      <name val="Arial"/>
      <family val="2"/>
    </font>
    <font>
      <sz val="10"/>
      <color theme="1"/>
      <name val="Arial"/>
      <family val="2"/>
    </font>
    <font>
      <sz val="10"/>
      <color rgb="FF000000"/>
      <name val="Arial"/>
      <family val="2"/>
    </font>
    <font>
      <sz val="12"/>
      <color theme="1"/>
      <name val="Calibri"/>
      <family val="2"/>
    </font>
    <font>
      <b/>
      <sz val="12"/>
      <color theme="1"/>
      <name val="Calibri"/>
      <family val="2"/>
    </font>
    <font>
      <sz val="12"/>
      <color theme="1"/>
      <name val="Calibri"/>
      <family val="2"/>
    </font>
    <font>
      <b/>
      <sz val="12"/>
      <color rgb="FFFFFFFF"/>
      <name val="Calibri"/>
      <family val="2"/>
    </font>
    <font>
      <sz val="12"/>
      <color rgb="FFFFFFFF"/>
      <name val="Calibri"/>
      <family val="2"/>
    </font>
    <font>
      <sz val="12"/>
      <color rgb="FFFFFFFF"/>
      <name val="Calibri"/>
      <family val="2"/>
    </font>
    <font>
      <u/>
      <sz val="12"/>
      <color rgb="FF0000FF"/>
      <name val="Calibri"/>
      <family val="2"/>
      <scheme val="minor"/>
    </font>
    <font>
      <u/>
      <sz val="12"/>
      <color theme="1"/>
      <name val="Calibri"/>
      <family val="2"/>
    </font>
    <font>
      <u/>
      <sz val="12"/>
      <color rgb="FF0000FF"/>
      <name val="Calibri"/>
      <family val="2"/>
    </font>
    <font>
      <sz val="10"/>
      <color rgb="FF000000"/>
      <name val="Arial"/>
      <family val="2"/>
    </font>
  </fonts>
  <fills count="12">
    <fill>
      <patternFill patternType="none"/>
    </fill>
    <fill>
      <patternFill patternType="gray125"/>
    </fill>
    <fill>
      <patternFill patternType="solid">
        <fgColor rgb="FFFFFFFF"/>
        <bgColor rgb="FFFFFFFF"/>
      </patternFill>
    </fill>
    <fill>
      <patternFill patternType="solid">
        <fgColor rgb="FF002060"/>
        <bgColor rgb="FF002060"/>
      </patternFill>
    </fill>
    <fill>
      <patternFill patternType="solid">
        <fgColor rgb="FF38761D"/>
        <bgColor rgb="FF38761D"/>
      </patternFill>
    </fill>
    <fill>
      <patternFill patternType="solid">
        <fgColor rgb="FF95B3D7"/>
        <bgColor rgb="FF95B3D7"/>
      </patternFill>
    </fill>
    <fill>
      <patternFill patternType="solid">
        <fgColor rgb="FF6AA84F"/>
        <bgColor rgb="FF6AA84F"/>
      </patternFill>
    </fill>
    <fill>
      <patternFill patternType="solid">
        <fgColor rgb="FFFF9900"/>
        <bgColor rgb="FFFF9900"/>
      </patternFill>
    </fill>
    <fill>
      <patternFill patternType="solid">
        <fgColor rgb="FF6D9EEB"/>
        <bgColor rgb="FF6D9EEB"/>
      </patternFill>
    </fill>
    <fill>
      <patternFill patternType="solid">
        <fgColor rgb="FFB6D7A8"/>
        <bgColor rgb="FFB6D7A8"/>
      </patternFill>
    </fill>
    <fill>
      <patternFill patternType="solid">
        <fgColor rgb="FFFFD966"/>
        <bgColor rgb="FFFFD966"/>
      </patternFill>
    </fill>
    <fill>
      <patternFill patternType="solid">
        <fgColor rgb="FF000000"/>
        <bgColor rgb="FF000000"/>
      </patternFill>
    </fill>
  </fills>
  <borders count="8">
    <border>
      <left/>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95">
    <xf numFmtId="0" fontId="0" fillId="0" borderId="0" xfId="0" applyFont="1" applyAlignment="1"/>
    <xf numFmtId="0" fontId="1" fillId="2" borderId="0" xfId="0" applyFont="1" applyFill="1"/>
    <xf numFmtId="0" fontId="3" fillId="2" borderId="2" xfId="0" applyFont="1" applyFill="1" applyBorder="1" applyAlignment="1">
      <alignment horizontal="left" vertical="center" wrapText="1"/>
    </xf>
    <xf numFmtId="0" fontId="4" fillId="2" borderId="2" xfId="0" applyFont="1" applyFill="1" applyBorder="1" applyAlignment="1">
      <alignment horizontal="left" vertical="center" wrapText="1"/>
    </xf>
    <xf numFmtId="0" fontId="3" fillId="2" borderId="4" xfId="0" applyFont="1" applyFill="1" applyBorder="1" applyAlignment="1">
      <alignment horizontal="left" vertical="center" wrapText="1"/>
    </xf>
    <xf numFmtId="0" fontId="4" fillId="2" borderId="4" xfId="0" applyFont="1" applyFill="1" applyBorder="1" applyAlignment="1">
      <alignment horizontal="left" vertical="center" wrapText="1"/>
    </xf>
    <xf numFmtId="0" fontId="7" fillId="0" borderId="0" xfId="0" applyFont="1"/>
    <xf numFmtId="0" fontId="8" fillId="2" borderId="6" xfId="0" applyFont="1" applyFill="1" applyBorder="1" applyAlignment="1">
      <alignment horizontal="left" vertical="center" wrapText="1"/>
    </xf>
    <xf numFmtId="164" fontId="8" fillId="0" borderId="6" xfId="0" applyNumberFormat="1" applyFont="1" applyBorder="1" applyAlignment="1">
      <alignment horizontal="center" vertical="center"/>
    </xf>
    <xf numFmtId="0" fontId="8" fillId="2" borderId="6" xfId="0" applyFont="1" applyFill="1" applyBorder="1" applyAlignment="1">
      <alignment horizontal="left" vertical="center"/>
    </xf>
    <xf numFmtId="0" fontId="8" fillId="2" borderId="6" xfId="0" applyFont="1" applyFill="1" applyBorder="1" applyAlignment="1">
      <alignment horizontal="center" vertical="center"/>
    </xf>
    <xf numFmtId="14" fontId="9" fillId="0" borderId="0" xfId="0" applyNumberFormat="1" applyFont="1"/>
    <xf numFmtId="0" fontId="9" fillId="0" borderId="0" xfId="0" applyFont="1"/>
    <xf numFmtId="0" fontId="10" fillId="5" borderId="0" xfId="0" applyFont="1" applyFill="1" applyAlignment="1">
      <alignment horizontal="left" vertical="top" wrapText="1"/>
    </xf>
    <xf numFmtId="0" fontId="10" fillId="6" borderId="0" xfId="0" applyFont="1" applyFill="1" applyAlignment="1">
      <alignment horizontal="left" vertical="top" wrapText="1"/>
    </xf>
    <xf numFmtId="0" fontId="9" fillId="0" borderId="0" xfId="0" applyFont="1" applyAlignment="1">
      <alignment horizontal="left" vertical="top" wrapText="1"/>
    </xf>
    <xf numFmtId="0" fontId="9" fillId="0" borderId="6" xfId="0" applyFont="1" applyBorder="1" applyAlignment="1">
      <alignment horizontal="left" vertical="top" wrapText="1"/>
    </xf>
    <xf numFmtId="0" fontId="10" fillId="5" borderId="0" xfId="0" applyFont="1" applyFill="1" applyAlignment="1">
      <alignment horizontal="left" vertical="top"/>
    </xf>
    <xf numFmtId="0" fontId="10" fillId="8" borderId="0" xfId="0" applyFont="1" applyFill="1" applyAlignment="1">
      <alignment horizontal="left" vertical="top" wrapText="1"/>
    </xf>
    <xf numFmtId="14" fontId="10" fillId="8" borderId="0" xfId="0" applyNumberFormat="1" applyFont="1" applyFill="1" applyAlignment="1">
      <alignment horizontal="left" vertical="top" wrapText="1"/>
    </xf>
    <xf numFmtId="0" fontId="10" fillId="9" borderId="0" xfId="0" applyFont="1" applyFill="1" applyAlignment="1">
      <alignment horizontal="left" vertical="top" wrapText="1"/>
    </xf>
    <xf numFmtId="14" fontId="10" fillId="9" borderId="0" xfId="0" applyNumberFormat="1" applyFont="1" applyFill="1" applyAlignment="1">
      <alignment horizontal="left" vertical="top" wrapText="1"/>
    </xf>
    <xf numFmtId="14" fontId="11" fillId="9" borderId="0" xfId="0" applyNumberFormat="1" applyFont="1" applyFill="1" applyAlignment="1">
      <alignment horizontal="left" vertical="top" wrapText="1"/>
    </xf>
    <xf numFmtId="0" fontId="9" fillId="9" borderId="0" xfId="0" applyFont="1" applyFill="1" applyAlignment="1">
      <alignment horizontal="left" vertical="top" wrapText="1"/>
    </xf>
    <xf numFmtId="0" fontId="9" fillId="9" borderId="0" xfId="0" applyFont="1" applyFill="1" applyAlignment="1">
      <alignment horizontal="left" vertical="top"/>
    </xf>
    <xf numFmtId="0" fontId="9" fillId="0" borderId="0" xfId="0" applyFont="1" applyAlignment="1">
      <alignment horizontal="left" vertical="top"/>
    </xf>
    <xf numFmtId="0" fontId="9" fillId="10" borderId="0" xfId="0" applyFont="1" applyFill="1" applyAlignment="1">
      <alignment vertical="top"/>
    </xf>
    <xf numFmtId="0" fontId="10" fillId="5" borderId="6" xfId="0" applyFont="1" applyFill="1" applyBorder="1" applyAlignment="1">
      <alignment horizontal="left" vertical="top"/>
    </xf>
    <xf numFmtId="0" fontId="12" fillId="8" borderId="6" xfId="0" applyFont="1" applyFill="1" applyBorder="1" applyAlignment="1">
      <alignment horizontal="center" vertical="center" wrapText="1"/>
    </xf>
    <xf numFmtId="14" fontId="12" fillId="8" borderId="6" xfId="0" applyNumberFormat="1" applyFont="1" applyFill="1" applyBorder="1" applyAlignment="1">
      <alignment horizontal="center" vertical="center" wrapText="1"/>
    </xf>
    <xf numFmtId="0" fontId="12" fillId="9" borderId="6" xfId="0" applyFont="1" applyFill="1" applyBorder="1" applyAlignment="1">
      <alignment horizontal="center" vertical="center" wrapText="1"/>
    </xf>
    <xf numFmtId="14" fontId="12" fillId="11" borderId="6" xfId="0" applyNumberFormat="1" applyFont="1" applyFill="1" applyBorder="1" applyAlignment="1">
      <alignment horizontal="center" vertical="center" wrapText="1"/>
    </xf>
    <xf numFmtId="0" fontId="12" fillId="11" borderId="6" xfId="0" applyFont="1" applyFill="1" applyBorder="1" applyAlignment="1">
      <alignment horizontal="center" vertical="center" wrapText="1"/>
    </xf>
    <xf numFmtId="14" fontId="12" fillId="9" borderId="6" xfId="0" applyNumberFormat="1" applyFont="1" applyFill="1" applyBorder="1" applyAlignment="1">
      <alignment horizontal="center" vertical="center" wrapText="1"/>
    </xf>
    <xf numFmtId="14" fontId="13" fillId="9" borderId="6" xfId="0" applyNumberFormat="1" applyFont="1" applyFill="1" applyBorder="1" applyAlignment="1">
      <alignment horizontal="center" vertical="center" wrapText="1"/>
    </xf>
    <xf numFmtId="0" fontId="14" fillId="9" borderId="6"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9" fillId="8" borderId="6" xfId="0" applyFont="1" applyFill="1" applyBorder="1" applyAlignment="1">
      <alignment horizontal="left" vertical="top" wrapText="1"/>
    </xf>
    <xf numFmtId="14" fontId="9" fillId="8" borderId="6" xfId="0" applyNumberFormat="1" applyFont="1" applyFill="1" applyBorder="1" applyAlignment="1">
      <alignment horizontal="left" vertical="top" wrapText="1"/>
    </xf>
    <xf numFmtId="0" fontId="9" fillId="9" borderId="6" xfId="0" applyFont="1" applyFill="1" applyBorder="1" applyAlignment="1">
      <alignment horizontal="left" vertical="top" wrapText="1"/>
    </xf>
    <xf numFmtId="14" fontId="9" fillId="9" borderId="6" xfId="0" applyNumberFormat="1" applyFont="1" applyFill="1" applyBorder="1" applyAlignment="1">
      <alignment horizontal="left" vertical="top" wrapText="1"/>
    </xf>
    <xf numFmtId="0" fontId="9" fillId="9" borderId="6" xfId="0" applyFont="1" applyFill="1" applyBorder="1" applyAlignment="1">
      <alignment horizontal="left" vertical="top"/>
    </xf>
    <xf numFmtId="164" fontId="9" fillId="0" borderId="6" xfId="0" applyNumberFormat="1" applyFont="1" applyBorder="1" applyAlignment="1">
      <alignment horizontal="left" vertical="top"/>
    </xf>
    <xf numFmtId="0" fontId="9" fillId="10" borderId="6" xfId="0" applyFont="1" applyFill="1" applyBorder="1" applyAlignment="1">
      <alignment vertical="top"/>
    </xf>
    <xf numFmtId="0" fontId="9" fillId="0" borderId="6" xfId="0" applyFont="1" applyBorder="1" applyAlignment="1">
      <alignment horizontal="left" vertical="top"/>
    </xf>
    <xf numFmtId="0" fontId="15" fillId="0" borderId="6" xfId="0" applyFont="1" applyBorder="1" applyAlignment="1">
      <alignment horizontal="left" vertical="top" wrapText="1"/>
    </xf>
    <xf numFmtId="14" fontId="9" fillId="9" borderId="6" xfId="0" applyNumberFormat="1" applyFont="1" applyFill="1" applyBorder="1" applyAlignment="1">
      <alignment horizontal="left" vertical="top"/>
    </xf>
    <xf numFmtId="164" fontId="9" fillId="0" borderId="6" xfId="0" applyNumberFormat="1" applyFont="1" applyBorder="1" applyAlignment="1">
      <alignment horizontal="left" vertical="top" wrapText="1"/>
    </xf>
    <xf numFmtId="166" fontId="9" fillId="9" borderId="6" xfId="0" applyNumberFormat="1" applyFont="1" applyFill="1" applyBorder="1" applyAlignment="1">
      <alignment horizontal="left" vertical="top"/>
    </xf>
    <xf numFmtId="0" fontId="9" fillId="8" borderId="0" xfId="0" applyFont="1" applyFill="1" applyAlignment="1">
      <alignment horizontal="left" vertical="top" wrapText="1"/>
    </xf>
    <xf numFmtId="14" fontId="9" fillId="8" borderId="0" xfId="0" applyNumberFormat="1" applyFont="1" applyFill="1" applyAlignment="1">
      <alignment horizontal="left" vertical="top" wrapText="1"/>
    </xf>
    <xf numFmtId="14" fontId="9" fillId="9" borderId="0" xfId="0" applyNumberFormat="1" applyFont="1" applyFill="1" applyAlignment="1">
      <alignment horizontal="left" vertical="top" wrapText="1"/>
    </xf>
    <xf numFmtId="14" fontId="10" fillId="5" borderId="0" xfId="0" applyNumberFormat="1" applyFont="1" applyFill="1" applyAlignment="1">
      <alignment horizontal="left" vertical="top"/>
    </xf>
    <xf numFmtId="164" fontId="11" fillId="6" borderId="0" xfId="0" applyNumberFormat="1" applyFont="1" applyFill="1" applyAlignment="1">
      <alignment horizontal="left" vertical="top"/>
    </xf>
    <xf numFmtId="0" fontId="10" fillId="6" borderId="0" xfId="0" applyFont="1" applyFill="1" applyAlignment="1">
      <alignment horizontal="left" vertical="top"/>
    </xf>
    <xf numFmtId="14" fontId="9" fillId="0" borderId="0" xfId="0" applyNumberFormat="1" applyFont="1" applyAlignment="1">
      <alignment horizontal="left" vertical="top"/>
    </xf>
    <xf numFmtId="0" fontId="9" fillId="0" borderId="0" xfId="0" applyFont="1" applyAlignment="1">
      <alignment vertical="top"/>
    </xf>
    <xf numFmtId="14" fontId="10" fillId="5" borderId="6" xfId="0" applyNumberFormat="1" applyFont="1" applyFill="1" applyBorder="1" applyAlignment="1">
      <alignment horizontal="left" vertical="top"/>
    </xf>
    <xf numFmtId="14" fontId="11" fillId="6" borderId="6" xfId="0" applyNumberFormat="1" applyFont="1" applyFill="1" applyBorder="1" applyAlignment="1">
      <alignment horizontal="left" vertical="top"/>
    </xf>
    <xf numFmtId="0" fontId="10" fillId="6" borderId="6" xfId="0" applyFont="1" applyFill="1" applyBorder="1" applyAlignment="1">
      <alignment horizontal="left" vertical="top"/>
    </xf>
    <xf numFmtId="0" fontId="9" fillId="7" borderId="0" xfId="0" applyFont="1" applyFill="1" applyAlignment="1">
      <alignment horizontal="left" vertical="top"/>
    </xf>
    <xf numFmtId="164" fontId="9" fillId="0" borderId="0" xfId="0" applyNumberFormat="1" applyFont="1" applyAlignment="1">
      <alignment horizontal="left" vertical="top"/>
    </xf>
    <xf numFmtId="164" fontId="9" fillId="0" borderId="0" xfId="0" applyNumberFormat="1" applyFont="1" applyAlignment="1">
      <alignment horizontal="left" vertical="top"/>
    </xf>
    <xf numFmtId="165" fontId="9" fillId="0" borderId="0" xfId="0" applyNumberFormat="1" applyFont="1" applyAlignment="1">
      <alignment horizontal="left" vertical="top"/>
    </xf>
    <xf numFmtId="0" fontId="1" fillId="0" borderId="0" xfId="0" applyFont="1" applyAlignment="1">
      <alignment horizontal="left" vertical="top"/>
    </xf>
    <xf numFmtId="165" fontId="9" fillId="0" borderId="0" xfId="0" applyNumberFormat="1" applyFont="1" applyAlignment="1">
      <alignment horizontal="left" vertical="top"/>
    </xf>
    <xf numFmtId="0" fontId="16" fillId="0" borderId="0" xfId="0" applyFont="1" applyAlignment="1">
      <alignment horizontal="left" vertical="top"/>
    </xf>
    <xf numFmtId="1" fontId="9" fillId="0" borderId="0" xfId="0" applyNumberFormat="1" applyFont="1" applyAlignment="1">
      <alignment horizontal="left" vertical="top"/>
    </xf>
    <xf numFmtId="14" fontId="9" fillId="0" borderId="0" xfId="0" applyNumberFormat="1" applyFont="1" applyAlignment="1">
      <alignment horizontal="left" vertical="top"/>
    </xf>
    <xf numFmtId="166" fontId="9" fillId="0" borderId="0" xfId="0" applyNumberFormat="1" applyFont="1" applyAlignment="1">
      <alignment horizontal="left" vertical="top"/>
    </xf>
    <xf numFmtId="0" fontId="17" fillId="0" borderId="0" xfId="0" applyFont="1" applyAlignment="1">
      <alignment horizontal="left" vertical="top"/>
    </xf>
    <xf numFmtId="14" fontId="1" fillId="0" borderId="0" xfId="0" applyNumberFormat="1" applyFont="1" applyAlignment="1">
      <alignment horizontal="left" vertical="top"/>
    </xf>
    <xf numFmtId="0" fontId="8" fillId="2" borderId="5" xfId="0" applyFont="1" applyFill="1" applyBorder="1" applyAlignment="1">
      <alignment horizontal="left" vertical="center"/>
    </xf>
    <xf numFmtId="0" fontId="8" fillId="2" borderId="5" xfId="0" applyFont="1" applyFill="1" applyBorder="1" applyAlignment="1">
      <alignment horizontal="left" vertical="center" wrapText="1"/>
    </xf>
    <xf numFmtId="0" fontId="8" fillId="2" borderId="5" xfId="0" applyFont="1" applyFill="1" applyBorder="1" applyAlignment="1">
      <alignment horizontal="center" vertical="center"/>
    </xf>
    <xf numFmtId="0" fontId="6" fillId="3" borderId="7"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8" fillId="0" borderId="5" xfId="0" applyFont="1" applyBorder="1" applyAlignment="1">
      <alignment horizontal="justify" vertical="center" wrapText="1"/>
    </xf>
    <xf numFmtId="0" fontId="8" fillId="0" borderId="6" xfId="0" applyFont="1" applyBorder="1" applyAlignment="1">
      <alignment horizontal="justify" vertical="center" wrapText="1"/>
    </xf>
    <xf numFmtId="164" fontId="8" fillId="2" borderId="5" xfId="0" applyNumberFormat="1" applyFont="1" applyFill="1" applyBorder="1" applyAlignment="1">
      <alignment horizontal="center" vertical="center"/>
    </xf>
    <xf numFmtId="164" fontId="8" fillId="2" borderId="6" xfId="0" applyNumberFormat="1" applyFont="1" applyFill="1" applyBorder="1" applyAlignment="1">
      <alignment horizontal="center" vertical="center"/>
    </xf>
    <xf numFmtId="0" fontId="8" fillId="2" borderId="5"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0" fillId="0" borderId="0" xfId="0" applyFont="1" applyAlignment="1">
      <alignment horizontal="center"/>
    </xf>
    <xf numFmtId="164" fontId="8" fillId="0" borderId="5" xfId="0" applyNumberFormat="1" applyFont="1" applyBorder="1" applyAlignment="1">
      <alignment horizontal="center" vertical="center"/>
    </xf>
    <xf numFmtId="0" fontId="8" fillId="0" borderId="6" xfId="0" applyFont="1" applyBorder="1" applyAlignment="1">
      <alignment horizontal="center" vertical="center"/>
    </xf>
    <xf numFmtId="0" fontId="8" fillId="2" borderId="5" xfId="0" applyFont="1" applyFill="1" applyBorder="1" applyAlignment="1">
      <alignment horizontal="justify" vertical="center" wrapText="1"/>
    </xf>
    <xf numFmtId="0" fontId="8" fillId="2" borderId="6" xfId="0" applyFont="1" applyFill="1" applyBorder="1" applyAlignment="1">
      <alignment horizontal="justify" vertical="center" wrapText="1"/>
    </xf>
    <xf numFmtId="0" fontId="18" fillId="0" borderId="5" xfId="0" applyFont="1" applyBorder="1" applyAlignment="1">
      <alignment horizontal="justify" vertical="center" wrapText="1"/>
    </xf>
    <xf numFmtId="0" fontId="18" fillId="0" borderId="5" xfId="0" applyFont="1" applyBorder="1" applyAlignment="1">
      <alignment horizontal="center" vertical="center"/>
    </xf>
    <xf numFmtId="0" fontId="2" fillId="2" borderId="0" xfId="0" applyFont="1" applyFill="1" applyAlignment="1">
      <alignment horizontal="left" wrapText="1"/>
    </xf>
    <xf numFmtId="0" fontId="0" fillId="0" borderId="0" xfId="0" applyFont="1" applyAlignment="1"/>
    <xf numFmtId="0" fontId="2" fillId="2" borderId="1" xfId="0" applyFont="1" applyFill="1" applyBorder="1" applyAlignment="1">
      <alignment horizontal="left" vertical="center" wrapText="1"/>
    </xf>
    <xf numFmtId="0" fontId="5" fillId="0" borderId="3" xfId="0" applyFont="1" applyBorder="1"/>
    <xf numFmtId="0" fontId="5" fillId="0" borderId="5"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alcChain" Target="calcChain.xml"/><Relationship Id="rId10" Type="http://schemas.openxmlformats.org/officeDocument/2006/relationships/externalLink" Target="externalLinks/externalLink5.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Ambiente" TargetMode="External"/></Relationships>
</file>

<file path=xl/externalLinks/_rels/externalLink10.xml.rels><?xml version="1.0" encoding="UTF-8" standalone="yes"?>
<Relationships xmlns="http://schemas.openxmlformats.org/package/2006/relationships"><Relationship Id="rId1" Type="http://schemas.microsoft.com/office/2006/relationships/xlExternalLinkPath/xlPathMissing" Target="Mujer"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Planeaci&#243;n"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Salud" TargetMode="External"/></Relationships>
</file>

<file path=xl/externalLinks/_rels/externalLink13.xml.rels><?xml version="1.0" encoding="UTF-8" standalone="yes"?>
<Relationships xmlns="http://schemas.openxmlformats.org/package/2006/relationships"><Relationship Id="rId1" Type="http://schemas.microsoft.com/office/2006/relationships/xlExternalLinkPath/xlPathMissing" Target="Seguridad"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ducaci&#243;n"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esti&#243;n%20P&#250;blica"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Cultura"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Integraci&#243;n%20Social"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Gobierno"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H&#225;bitat"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Movilidad"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Haciend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biente"/>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ujer"/>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eación"/>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ud"/>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ridad"/>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ucació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ón Pública"/>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ltur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gración Social"/>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obierno"/>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ábitat"/>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vilidad"/>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s>
    <sheetDataSet>
      <sheetData sheetId="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hyperlink" Target="https://drive.google.com/drive/folders/1L8HTuJoz2kjMzONpkAHhU_4QQBVAQeD3?usp=sharing" TargetMode="External"/><Relationship Id="rId3" Type="http://schemas.openxmlformats.org/officeDocument/2006/relationships/hyperlink" Target="https://gobiernobogota.sharepoint.com/:f:/s/DGDL/Etowi9GPNGRPodjLK7-qOaoBE-3X5Gm5WuRd-wc_9i5lTg?e=IvFKJU" TargetMode="External"/><Relationship Id="rId7" Type="http://schemas.openxmlformats.org/officeDocument/2006/relationships/hyperlink" Target="https://twitter.com/AcueductoBogota/status/1657487067146854401?s=20" TargetMode="External"/><Relationship Id="rId2" Type="http://schemas.openxmlformats.org/officeDocument/2006/relationships/hyperlink" Target="https://gobiernobogota.sharepoint.com/:b:/s/DGDL/Ec_uk1A9Or1Ev7nu28vAETMBQ_aRj1bvSi-m_QgwCVLMSg?e=Xdqg4j" TargetMode="External"/><Relationship Id="rId1" Type="http://schemas.openxmlformats.org/officeDocument/2006/relationships/hyperlink" Target="https://youtu.be/5NR0bSqD26k" TargetMode="External"/><Relationship Id="rId6" Type="http://schemas.openxmlformats.org/officeDocument/2006/relationships/hyperlink" Target="https://drive.google.com/drive/folders/1m6j7cVgX4hEV8w7lG4flNnxjQNIYb23h?usp=sharing." TargetMode="External"/><Relationship Id="rId5" Type="http://schemas.openxmlformats.org/officeDocument/2006/relationships/hyperlink" Target="https://drive.google.com/drive/folders/19kvWOCUzrVvUPRphvdGOcIPRToPm4XoR?usp=share_link" TargetMode="External"/><Relationship Id="rId10" Type="http://schemas.openxmlformats.org/officeDocument/2006/relationships/hyperlink" Target="https://transmilenio-my.sharepoint.com/:b:/g/personal/sindy_campos_transmilenio_gov_co/EXQkPezgZxxKu-rQSvz_PjEBm8NrGFo14Y2sNF34_5L3Vw?e=a5JCBV" TargetMode="External"/><Relationship Id="rId4" Type="http://schemas.openxmlformats.org/officeDocument/2006/relationships/hyperlink" Target="https://gobiernobogota.sharepoint.com/:b:/s/DGDL/EVL87oJZpUVEtuYnh-QbLvABkB6w0bp9CwLAqhArn3p4oA?e=GF5QBT" TargetMode="External"/><Relationship Id="rId9" Type="http://schemas.openxmlformats.org/officeDocument/2006/relationships/hyperlink" Target="https://docs.google.com/spreadsheets/d/18FtkcrRFXabQX4F4yZ7iCfbEdRPnvx_n/edit?usp=sharing&amp;ouid=108934598525045992981&amp;rtpof=true&amp;sd=tru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Z1001"/>
  <sheetViews>
    <sheetView workbookViewId="0"/>
  </sheetViews>
  <sheetFormatPr baseColWidth="10" defaultColWidth="11.25" defaultRowHeight="15" customHeight="1" x14ac:dyDescent="0.25"/>
  <cols>
    <col min="1" max="1" width="3.125" customWidth="1"/>
    <col min="3" max="3" width="21.25" customWidth="1"/>
    <col min="4" max="4" width="47.75" customWidth="1"/>
  </cols>
  <sheetData>
    <row r="1" spans="1:26" ht="15.75" x14ac:dyDescent="0.25">
      <c r="A1" s="1"/>
      <c r="B1" s="1"/>
      <c r="C1" s="1"/>
      <c r="D1" s="1"/>
      <c r="E1" s="1"/>
      <c r="F1" s="1"/>
      <c r="G1" s="1"/>
      <c r="H1" s="1"/>
      <c r="I1" s="1"/>
      <c r="J1" s="1"/>
      <c r="K1" s="1"/>
      <c r="L1" s="1"/>
      <c r="M1" s="1"/>
      <c r="N1" s="1"/>
      <c r="O1" s="1"/>
      <c r="P1" s="1"/>
      <c r="Q1" s="1"/>
      <c r="R1" s="1"/>
      <c r="S1" s="1"/>
      <c r="T1" s="1"/>
      <c r="U1" s="1"/>
      <c r="V1" s="1"/>
      <c r="W1" s="1"/>
      <c r="X1" s="1"/>
      <c r="Y1" s="1"/>
      <c r="Z1" s="1"/>
    </row>
    <row r="2" spans="1:26" ht="15.75" x14ac:dyDescent="0.25">
      <c r="A2" s="1"/>
      <c r="B2" s="90" t="s">
        <v>0</v>
      </c>
      <c r="C2" s="91"/>
      <c r="D2" s="91"/>
      <c r="E2" s="1"/>
      <c r="F2" s="1"/>
      <c r="G2" s="1"/>
      <c r="H2" s="1"/>
      <c r="I2" s="1"/>
      <c r="J2" s="1"/>
      <c r="K2" s="1"/>
      <c r="L2" s="1"/>
      <c r="M2" s="1"/>
      <c r="N2" s="1"/>
      <c r="O2" s="1"/>
      <c r="P2" s="1"/>
      <c r="Q2" s="1"/>
      <c r="R2" s="1"/>
      <c r="S2" s="1"/>
      <c r="T2" s="1"/>
      <c r="U2" s="1"/>
      <c r="V2" s="1"/>
      <c r="W2" s="1"/>
      <c r="X2" s="1"/>
      <c r="Y2" s="1"/>
      <c r="Z2" s="1"/>
    </row>
    <row r="3" spans="1:26" ht="26.25" customHeight="1" x14ac:dyDescent="0.25">
      <c r="A3" s="1"/>
      <c r="B3" s="91"/>
      <c r="C3" s="91"/>
      <c r="D3" s="91"/>
      <c r="E3" s="1"/>
      <c r="F3" s="1"/>
      <c r="G3" s="1"/>
      <c r="H3" s="1"/>
      <c r="I3" s="1"/>
      <c r="J3" s="1"/>
      <c r="K3" s="1"/>
      <c r="L3" s="1"/>
      <c r="M3" s="1"/>
      <c r="N3" s="1"/>
      <c r="O3" s="1"/>
      <c r="P3" s="1"/>
      <c r="Q3" s="1"/>
      <c r="R3" s="1"/>
      <c r="S3" s="1"/>
      <c r="T3" s="1"/>
      <c r="U3" s="1"/>
      <c r="V3" s="1"/>
      <c r="W3" s="1"/>
      <c r="X3" s="1"/>
      <c r="Y3" s="1"/>
      <c r="Z3" s="1"/>
    </row>
    <row r="4" spans="1:26" ht="45" x14ac:dyDescent="0.25">
      <c r="A4" s="1"/>
      <c r="B4" s="92" t="s">
        <v>1</v>
      </c>
      <c r="C4" s="2" t="s">
        <v>2</v>
      </c>
      <c r="D4" s="3" t="s">
        <v>3</v>
      </c>
      <c r="E4" s="1"/>
      <c r="F4" s="1"/>
      <c r="G4" s="1"/>
      <c r="H4" s="1"/>
      <c r="I4" s="1"/>
      <c r="J4" s="1"/>
      <c r="K4" s="1"/>
      <c r="L4" s="1"/>
      <c r="M4" s="1"/>
      <c r="N4" s="1"/>
      <c r="O4" s="1"/>
      <c r="P4" s="1"/>
      <c r="Q4" s="1"/>
      <c r="R4" s="1"/>
      <c r="S4" s="1"/>
      <c r="T4" s="1"/>
      <c r="U4" s="1"/>
      <c r="V4" s="1"/>
      <c r="W4" s="1"/>
      <c r="X4" s="1"/>
      <c r="Y4" s="1"/>
      <c r="Z4" s="1"/>
    </row>
    <row r="5" spans="1:26" ht="90" x14ac:dyDescent="0.25">
      <c r="A5" s="1"/>
      <c r="B5" s="93"/>
      <c r="C5" s="4" t="s">
        <v>4</v>
      </c>
      <c r="D5" s="5" t="s">
        <v>5</v>
      </c>
      <c r="E5" s="1"/>
      <c r="F5" s="1"/>
      <c r="G5" s="1"/>
      <c r="H5" s="1"/>
      <c r="I5" s="1"/>
      <c r="J5" s="1"/>
      <c r="K5" s="1"/>
      <c r="L5" s="1"/>
      <c r="M5" s="1"/>
      <c r="N5" s="1"/>
      <c r="O5" s="1"/>
      <c r="P5" s="1"/>
      <c r="Q5" s="1"/>
      <c r="R5" s="1"/>
      <c r="S5" s="1"/>
      <c r="T5" s="1"/>
      <c r="U5" s="1"/>
      <c r="V5" s="1"/>
      <c r="W5" s="1"/>
      <c r="X5" s="1"/>
      <c r="Y5" s="1"/>
      <c r="Z5" s="1"/>
    </row>
    <row r="6" spans="1:26" ht="63" x14ac:dyDescent="0.25">
      <c r="A6" s="1"/>
      <c r="B6" s="94"/>
      <c r="C6" s="4" t="s">
        <v>6</v>
      </c>
      <c r="D6" s="5" t="s">
        <v>7</v>
      </c>
      <c r="E6" s="1"/>
      <c r="F6" s="1"/>
      <c r="G6" s="1"/>
      <c r="H6" s="1"/>
      <c r="I6" s="1"/>
      <c r="J6" s="1"/>
      <c r="K6" s="1"/>
      <c r="L6" s="1"/>
      <c r="M6" s="1"/>
      <c r="N6" s="1"/>
      <c r="O6" s="1"/>
      <c r="P6" s="1"/>
      <c r="Q6" s="1"/>
      <c r="R6" s="1"/>
      <c r="S6" s="1"/>
      <c r="T6" s="1"/>
      <c r="U6" s="1"/>
      <c r="V6" s="1"/>
      <c r="W6" s="1"/>
      <c r="X6" s="1"/>
      <c r="Y6" s="1"/>
      <c r="Z6" s="1"/>
    </row>
    <row r="7" spans="1:26" ht="15.75" x14ac:dyDescent="0.25">
      <c r="A7" s="1"/>
      <c r="B7" s="1"/>
      <c r="C7" s="1"/>
      <c r="D7" s="1"/>
      <c r="E7" s="1"/>
      <c r="F7" s="1"/>
      <c r="G7" s="1"/>
      <c r="H7" s="1"/>
      <c r="I7" s="1"/>
      <c r="J7" s="1"/>
      <c r="K7" s="1"/>
      <c r="L7" s="1"/>
      <c r="M7" s="1"/>
      <c r="N7" s="1"/>
      <c r="O7" s="1"/>
      <c r="P7" s="1"/>
      <c r="Q7" s="1"/>
      <c r="R7" s="1"/>
      <c r="S7" s="1"/>
      <c r="T7" s="1"/>
      <c r="U7" s="1"/>
      <c r="V7" s="1"/>
      <c r="W7" s="1"/>
      <c r="X7" s="1"/>
      <c r="Y7" s="1"/>
      <c r="Z7" s="1"/>
    </row>
    <row r="8" spans="1:26" ht="15.75" x14ac:dyDescent="0.25">
      <c r="A8" s="1"/>
      <c r="B8" s="1"/>
      <c r="C8" s="1"/>
      <c r="D8" s="1"/>
      <c r="E8" s="1"/>
      <c r="F8" s="1"/>
      <c r="G8" s="1"/>
      <c r="H8" s="1"/>
      <c r="I8" s="1"/>
      <c r="J8" s="1"/>
      <c r="K8" s="1"/>
      <c r="L8" s="1"/>
      <c r="M8" s="1"/>
      <c r="N8" s="1"/>
      <c r="O8" s="1"/>
      <c r="P8" s="1"/>
      <c r="Q8" s="1"/>
      <c r="R8" s="1"/>
      <c r="S8" s="1"/>
      <c r="T8" s="1"/>
      <c r="U8" s="1"/>
      <c r="V8" s="1"/>
      <c r="W8" s="1"/>
      <c r="X8" s="1"/>
      <c r="Y8" s="1"/>
      <c r="Z8" s="1"/>
    </row>
    <row r="9" spans="1:26" ht="15.75" x14ac:dyDescent="0.25">
      <c r="A9" s="1"/>
      <c r="B9" s="1"/>
      <c r="C9" s="1"/>
      <c r="D9" s="1"/>
      <c r="E9" s="1"/>
      <c r="F9" s="1"/>
      <c r="G9" s="1"/>
      <c r="H9" s="1"/>
      <c r="I9" s="1"/>
      <c r="J9" s="1"/>
      <c r="K9" s="1"/>
      <c r="L9" s="1"/>
      <c r="M9" s="1"/>
      <c r="N9" s="1"/>
      <c r="O9" s="1"/>
      <c r="P9" s="1"/>
      <c r="Q9" s="1"/>
      <c r="R9" s="1"/>
      <c r="S9" s="1"/>
      <c r="T9" s="1"/>
      <c r="U9" s="1"/>
      <c r="V9" s="1"/>
      <c r="W9" s="1"/>
      <c r="X9" s="1"/>
      <c r="Y9" s="1"/>
      <c r="Z9" s="1"/>
    </row>
    <row r="10" spans="1:26" ht="15.75" x14ac:dyDescent="0.25">
      <c r="A10" s="1"/>
      <c r="B10" s="1"/>
      <c r="C10" s="1"/>
      <c r="D10" s="1"/>
      <c r="E10" s="1"/>
      <c r="F10" s="1"/>
      <c r="G10" s="1"/>
      <c r="H10" s="1"/>
      <c r="I10" s="1"/>
      <c r="J10" s="1"/>
      <c r="K10" s="1"/>
      <c r="L10" s="1"/>
      <c r="M10" s="1"/>
      <c r="N10" s="1"/>
      <c r="O10" s="1"/>
      <c r="P10" s="1"/>
      <c r="Q10" s="1"/>
      <c r="R10" s="1"/>
      <c r="S10" s="1"/>
      <c r="T10" s="1"/>
      <c r="U10" s="1"/>
      <c r="V10" s="1"/>
      <c r="W10" s="1"/>
      <c r="X10" s="1"/>
      <c r="Y10" s="1"/>
      <c r="Z10" s="1"/>
    </row>
    <row r="11" spans="1:26" ht="15.75" x14ac:dyDescent="0.25">
      <c r="A11" s="1"/>
      <c r="B11" s="1"/>
      <c r="C11" s="1"/>
      <c r="D11" s="1"/>
      <c r="E11" s="1"/>
      <c r="F11" s="1"/>
      <c r="G11" s="1"/>
      <c r="H11" s="1"/>
      <c r="I11" s="1"/>
      <c r="J11" s="1"/>
      <c r="K11" s="1"/>
      <c r="L11" s="1"/>
      <c r="M11" s="1"/>
      <c r="N11" s="1"/>
      <c r="O11" s="1"/>
      <c r="P11" s="1"/>
      <c r="Q11" s="1"/>
      <c r="R11" s="1"/>
      <c r="S11" s="1"/>
      <c r="T11" s="1"/>
      <c r="U11" s="1"/>
      <c r="V11" s="1"/>
      <c r="W11" s="1"/>
      <c r="X11" s="1"/>
      <c r="Y11" s="1"/>
      <c r="Z11" s="1"/>
    </row>
    <row r="12" spans="1:26" ht="15.75" x14ac:dyDescent="0.25">
      <c r="A12" s="1"/>
      <c r="B12" s="1"/>
      <c r="C12" s="1"/>
      <c r="D12" s="1"/>
      <c r="E12" s="1"/>
      <c r="F12" s="1"/>
      <c r="G12" s="1"/>
      <c r="H12" s="1"/>
      <c r="I12" s="1"/>
      <c r="J12" s="1"/>
      <c r="K12" s="1"/>
      <c r="L12" s="1"/>
      <c r="M12" s="1"/>
      <c r="N12" s="1"/>
      <c r="O12" s="1"/>
      <c r="P12" s="1"/>
      <c r="Q12" s="1"/>
      <c r="R12" s="1"/>
      <c r="S12" s="1"/>
      <c r="T12" s="1"/>
      <c r="U12" s="1"/>
      <c r="V12" s="1"/>
      <c r="W12" s="1"/>
      <c r="X12" s="1"/>
      <c r="Y12" s="1"/>
      <c r="Z12" s="1"/>
    </row>
    <row r="13" spans="1:26" ht="15.75" x14ac:dyDescent="0.25">
      <c r="A13" s="1"/>
      <c r="B13" s="1"/>
      <c r="C13" s="1"/>
      <c r="D13" s="1"/>
      <c r="E13" s="1"/>
      <c r="F13" s="1"/>
      <c r="G13" s="1"/>
      <c r="H13" s="1"/>
      <c r="I13" s="1"/>
      <c r="J13" s="1"/>
      <c r="K13" s="1"/>
      <c r="L13" s="1"/>
      <c r="M13" s="1"/>
      <c r="N13" s="1"/>
      <c r="O13" s="1"/>
      <c r="P13" s="1"/>
      <c r="Q13" s="1"/>
      <c r="R13" s="1"/>
      <c r="S13" s="1"/>
      <c r="T13" s="1"/>
      <c r="U13" s="1"/>
      <c r="V13" s="1"/>
      <c r="W13" s="1"/>
      <c r="X13" s="1"/>
      <c r="Y13" s="1"/>
      <c r="Z13" s="1"/>
    </row>
    <row r="14" spans="1:26" ht="15.75" x14ac:dyDescent="0.25">
      <c r="A14" s="1"/>
      <c r="B14" s="1"/>
      <c r="C14" s="1"/>
      <c r="D14" s="1"/>
      <c r="E14" s="1"/>
      <c r="F14" s="1"/>
      <c r="G14" s="1"/>
      <c r="H14" s="1"/>
      <c r="I14" s="1"/>
      <c r="J14" s="1"/>
      <c r="K14" s="1"/>
      <c r="L14" s="1"/>
      <c r="M14" s="1"/>
      <c r="N14" s="1"/>
      <c r="O14" s="1"/>
      <c r="P14" s="1"/>
      <c r="Q14" s="1"/>
      <c r="R14" s="1"/>
      <c r="S14" s="1"/>
      <c r="T14" s="1"/>
      <c r="U14" s="1"/>
      <c r="V14" s="1"/>
      <c r="W14" s="1"/>
      <c r="X14" s="1"/>
      <c r="Y14" s="1"/>
      <c r="Z14" s="1"/>
    </row>
    <row r="15" spans="1:26" ht="15.75" x14ac:dyDescent="0.25">
      <c r="A15" s="1"/>
      <c r="B15" s="1"/>
      <c r="C15" s="1"/>
      <c r="D15" s="1"/>
      <c r="E15" s="1"/>
      <c r="F15" s="1"/>
      <c r="G15" s="1"/>
      <c r="H15" s="1"/>
      <c r="I15" s="1"/>
      <c r="J15" s="1"/>
      <c r="K15" s="1"/>
      <c r="L15" s="1"/>
      <c r="M15" s="1"/>
      <c r="N15" s="1"/>
      <c r="O15" s="1"/>
      <c r="P15" s="1"/>
      <c r="Q15" s="1"/>
      <c r="R15" s="1"/>
      <c r="S15" s="1"/>
      <c r="T15" s="1"/>
      <c r="U15" s="1"/>
      <c r="V15" s="1"/>
      <c r="W15" s="1"/>
      <c r="X15" s="1"/>
      <c r="Y15" s="1"/>
      <c r="Z15" s="1"/>
    </row>
    <row r="16" spans="1:26" ht="15.75" x14ac:dyDescent="0.25">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x14ac:dyDescent="0.25">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x14ac:dyDescent="0.25">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sheetData>
  <mergeCells count="2">
    <mergeCell ref="B2:D3"/>
    <mergeCell ref="B4:B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5"/>
  <sheetViews>
    <sheetView tabSelected="1" topLeftCell="F1" workbookViewId="0">
      <selection activeCell="M2" sqref="M2"/>
    </sheetView>
  </sheetViews>
  <sheetFormatPr baseColWidth="10" defaultRowHeight="15.75" x14ac:dyDescent="0.25"/>
  <cols>
    <col min="2" max="2" width="19.625" customWidth="1"/>
    <col min="3" max="3" width="22" customWidth="1"/>
    <col min="4" max="4" width="18" customWidth="1"/>
    <col min="5" max="5" width="21.5" customWidth="1"/>
    <col min="6" max="6" width="28.375" customWidth="1"/>
    <col min="7" max="7" width="19" style="83" customWidth="1"/>
    <col min="8" max="8" width="22.75" style="83" customWidth="1"/>
    <col min="9" max="9" width="18.75" style="83" customWidth="1"/>
    <col min="10" max="10" width="37.75" customWidth="1"/>
    <col min="11" max="11" width="23.75" customWidth="1"/>
    <col min="12" max="12" width="32.25" customWidth="1"/>
    <col min="13" max="13" width="16.875" style="83" customWidth="1"/>
  </cols>
  <sheetData>
    <row r="1" spans="1:14" ht="38.25" x14ac:dyDescent="0.25">
      <c r="A1" s="75" t="s">
        <v>8</v>
      </c>
      <c r="B1" s="75" t="s">
        <v>9</v>
      </c>
      <c r="C1" s="75" t="s">
        <v>10</v>
      </c>
      <c r="D1" s="75" t="s">
        <v>11</v>
      </c>
      <c r="E1" s="75" t="s">
        <v>12</v>
      </c>
      <c r="F1" s="75" t="s">
        <v>13</v>
      </c>
      <c r="G1" s="75" t="s">
        <v>14</v>
      </c>
      <c r="H1" s="75" t="s">
        <v>15</v>
      </c>
      <c r="I1" s="76" t="s">
        <v>16</v>
      </c>
      <c r="J1" s="76" t="s">
        <v>17</v>
      </c>
      <c r="K1" s="76" t="s">
        <v>18</v>
      </c>
      <c r="L1" s="76" t="s">
        <v>19</v>
      </c>
      <c r="M1" s="75" t="s">
        <v>20</v>
      </c>
      <c r="N1" s="6"/>
    </row>
    <row r="2" spans="1:14" ht="121.15" customHeight="1" x14ac:dyDescent="0.25">
      <c r="A2" s="72" t="s">
        <v>28</v>
      </c>
      <c r="B2" s="73" t="s">
        <v>25</v>
      </c>
      <c r="C2" s="79">
        <v>44999</v>
      </c>
      <c r="D2" s="73" t="s">
        <v>21</v>
      </c>
      <c r="E2" s="81" t="s">
        <v>22</v>
      </c>
      <c r="F2" s="86" t="s">
        <v>29</v>
      </c>
      <c r="G2" s="74" t="s">
        <v>26</v>
      </c>
      <c r="H2" s="79">
        <v>45006</v>
      </c>
      <c r="I2" s="84">
        <v>45079</v>
      </c>
      <c r="J2" s="77" t="s">
        <v>30</v>
      </c>
      <c r="K2" s="84">
        <v>45124</v>
      </c>
      <c r="L2" s="88" t="s">
        <v>94</v>
      </c>
      <c r="M2" s="89" t="s">
        <v>27</v>
      </c>
      <c r="N2" s="6"/>
    </row>
    <row r="3" spans="1:14" ht="114.75" x14ac:dyDescent="0.25">
      <c r="A3" s="9" t="s">
        <v>31</v>
      </c>
      <c r="B3" s="7" t="s">
        <v>25</v>
      </c>
      <c r="C3" s="80">
        <v>44999</v>
      </c>
      <c r="D3" s="7" t="s">
        <v>21</v>
      </c>
      <c r="E3" s="82" t="s">
        <v>22</v>
      </c>
      <c r="F3" s="87" t="s">
        <v>32</v>
      </c>
      <c r="G3" s="10" t="s">
        <v>26</v>
      </c>
      <c r="H3" s="80">
        <v>45006</v>
      </c>
      <c r="I3" s="8">
        <v>45079</v>
      </c>
      <c r="J3" s="78" t="s">
        <v>33</v>
      </c>
      <c r="K3" s="8">
        <v>45124</v>
      </c>
      <c r="L3" s="78" t="s">
        <v>34</v>
      </c>
      <c r="M3" s="85" t="s">
        <v>23</v>
      </c>
      <c r="N3" s="6"/>
    </row>
    <row r="4" spans="1:14" ht="201" customHeight="1" x14ac:dyDescent="0.25">
      <c r="A4" s="9" t="s">
        <v>35</v>
      </c>
      <c r="B4" s="7" t="s">
        <v>25</v>
      </c>
      <c r="C4" s="80">
        <v>44999</v>
      </c>
      <c r="D4" s="7" t="s">
        <v>21</v>
      </c>
      <c r="E4" s="82" t="s">
        <v>22</v>
      </c>
      <c r="F4" s="87" t="s">
        <v>32</v>
      </c>
      <c r="G4" s="10" t="s">
        <v>26</v>
      </c>
      <c r="H4" s="80">
        <v>45006</v>
      </c>
      <c r="I4" s="8">
        <v>45079</v>
      </c>
      <c r="J4" s="78" t="s">
        <v>36</v>
      </c>
      <c r="K4" s="8">
        <v>45124</v>
      </c>
      <c r="L4" s="88" t="s">
        <v>94</v>
      </c>
      <c r="M4" s="85" t="s">
        <v>27</v>
      </c>
      <c r="N4" s="6"/>
    </row>
    <row r="5" spans="1:14" ht="219" customHeight="1" x14ac:dyDescent="0.25">
      <c r="A5" s="9" t="s">
        <v>37</v>
      </c>
      <c r="B5" s="7" t="s">
        <v>25</v>
      </c>
      <c r="C5" s="80">
        <v>44999</v>
      </c>
      <c r="D5" s="7" t="s">
        <v>21</v>
      </c>
      <c r="E5" s="82" t="s">
        <v>22</v>
      </c>
      <c r="F5" s="87" t="s">
        <v>38</v>
      </c>
      <c r="G5" s="10" t="s">
        <v>26</v>
      </c>
      <c r="H5" s="80">
        <v>45107</v>
      </c>
      <c r="I5" s="8">
        <v>45079</v>
      </c>
      <c r="J5" s="78" t="s">
        <v>39</v>
      </c>
      <c r="K5" s="8">
        <v>45124</v>
      </c>
      <c r="L5" s="88" t="s">
        <v>94</v>
      </c>
      <c r="M5" s="85" t="s">
        <v>27</v>
      </c>
      <c r="N5" s="6"/>
    </row>
  </sheetData>
  <dataValidations count="1">
    <dataValidation type="custom" allowBlank="1" showDropDown="1" showInputMessage="1" showErrorMessage="1" prompt="Introduce una fecha válida en formato DD/MM/AAAA" sqref="I2:I5" xr:uid="{00000000-0002-0000-0100-000000000000}">
      <formula1>OR(NOT(ISERROR(DATEVALUE(I2))), AND(ISNUMBER(I2), LEFT(CELL("format", I2))="D"))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1000"/>
  <sheetViews>
    <sheetView workbookViewId="0"/>
  </sheetViews>
  <sheetFormatPr baseColWidth="10" defaultColWidth="11.25" defaultRowHeight="15" customHeight="1" x14ac:dyDescent="0.25"/>
  <cols>
    <col min="1" max="1" width="12.375" customWidth="1"/>
    <col min="2" max="2" width="8.75" customWidth="1"/>
    <col min="3" max="3" width="21.375" customWidth="1"/>
    <col min="4" max="4" width="12.625" customWidth="1"/>
    <col min="5" max="6" width="16.75" customWidth="1"/>
  </cols>
  <sheetData>
    <row r="1" spans="1:5" ht="15.75" x14ac:dyDescent="0.25">
      <c r="A1" s="11" t="s">
        <v>40</v>
      </c>
      <c r="B1" s="12" t="s">
        <v>41</v>
      </c>
      <c r="C1" s="12" t="s">
        <v>42</v>
      </c>
      <c r="D1" s="12" t="s">
        <v>43</v>
      </c>
      <c r="E1" s="12" t="s">
        <v>44</v>
      </c>
    </row>
    <row r="2" spans="1:5" ht="15.75" x14ac:dyDescent="0.25">
      <c r="A2" s="11"/>
      <c r="E2" s="11">
        <f t="shared" ref="E2:E108" si="0">A2</f>
        <v>0</v>
      </c>
    </row>
    <row r="3" spans="1:5" ht="15.75" x14ac:dyDescent="0.25">
      <c r="A3" s="11"/>
      <c r="E3" s="11">
        <f t="shared" si="0"/>
        <v>0</v>
      </c>
    </row>
    <row r="4" spans="1:5" ht="15.75" x14ac:dyDescent="0.25">
      <c r="A4" s="11"/>
      <c r="E4" s="11">
        <f t="shared" si="0"/>
        <v>0</v>
      </c>
    </row>
    <row r="5" spans="1:5" ht="15.75" x14ac:dyDescent="0.25">
      <c r="A5" s="11"/>
      <c r="E5" s="11">
        <f t="shared" si="0"/>
        <v>0</v>
      </c>
    </row>
    <row r="6" spans="1:5" ht="15.75" x14ac:dyDescent="0.25">
      <c r="A6" s="11">
        <v>44445.549756192129</v>
      </c>
      <c r="B6" s="12">
        <v>1564</v>
      </c>
      <c r="C6" s="12" t="s">
        <v>45</v>
      </c>
      <c r="D6" s="12" t="s">
        <v>46</v>
      </c>
      <c r="E6" s="11">
        <f t="shared" si="0"/>
        <v>44445.549756192129</v>
      </c>
    </row>
    <row r="7" spans="1:5" ht="15.75" x14ac:dyDescent="0.25">
      <c r="A7" s="11">
        <v>44445.552046550925</v>
      </c>
      <c r="B7" s="12">
        <v>3969</v>
      </c>
      <c r="C7" s="12" t="s">
        <v>47</v>
      </c>
      <c r="D7" s="12" t="s">
        <v>46</v>
      </c>
      <c r="E7" s="11">
        <f t="shared" si="0"/>
        <v>44445.552046550925</v>
      </c>
    </row>
    <row r="8" spans="1:5" ht="15.75" x14ac:dyDescent="0.25">
      <c r="A8" s="11">
        <v>44456.420623518519</v>
      </c>
      <c r="B8" s="12">
        <v>383</v>
      </c>
      <c r="C8" s="12" t="s">
        <v>48</v>
      </c>
      <c r="D8" s="12" t="s">
        <v>46</v>
      </c>
      <c r="E8" s="11">
        <f t="shared" si="0"/>
        <v>44456.420623518519</v>
      </c>
    </row>
    <row r="9" spans="1:5" ht="15.75" x14ac:dyDescent="0.25">
      <c r="A9" s="11"/>
      <c r="E9" s="11">
        <f t="shared" si="0"/>
        <v>0</v>
      </c>
    </row>
    <row r="10" spans="1:5" ht="15.75" x14ac:dyDescent="0.25">
      <c r="A10" s="11"/>
      <c r="E10" s="11">
        <f t="shared" si="0"/>
        <v>0</v>
      </c>
    </row>
    <row r="11" spans="1:5" ht="15.75" x14ac:dyDescent="0.25">
      <c r="A11" s="11"/>
      <c r="E11" s="11">
        <f t="shared" si="0"/>
        <v>0</v>
      </c>
    </row>
    <row r="12" spans="1:5" ht="15.75" x14ac:dyDescent="0.25">
      <c r="A12" s="11"/>
      <c r="E12" s="11">
        <f t="shared" si="0"/>
        <v>0</v>
      </c>
    </row>
    <row r="13" spans="1:5" ht="15.75" x14ac:dyDescent="0.25">
      <c r="A13" s="11"/>
      <c r="E13" s="11">
        <f t="shared" si="0"/>
        <v>0</v>
      </c>
    </row>
    <row r="14" spans="1:5" ht="15.75" x14ac:dyDescent="0.25">
      <c r="A14" s="11"/>
      <c r="E14" s="11">
        <f t="shared" si="0"/>
        <v>0</v>
      </c>
    </row>
    <row r="15" spans="1:5" ht="15.75" x14ac:dyDescent="0.25">
      <c r="A15" s="11"/>
      <c r="E15" s="11">
        <f t="shared" si="0"/>
        <v>0</v>
      </c>
    </row>
    <row r="16" spans="1:5" ht="15.75" x14ac:dyDescent="0.25">
      <c r="A16" s="11"/>
      <c r="E16" s="11">
        <f t="shared" si="0"/>
        <v>0</v>
      </c>
    </row>
    <row r="17" spans="1:5" ht="15.75" x14ac:dyDescent="0.25">
      <c r="A17" s="11"/>
      <c r="E17" s="11">
        <f t="shared" si="0"/>
        <v>0</v>
      </c>
    </row>
    <row r="18" spans="1:5" ht="15.75" x14ac:dyDescent="0.25">
      <c r="A18" s="11"/>
      <c r="E18" s="11">
        <f t="shared" si="0"/>
        <v>0</v>
      </c>
    </row>
    <row r="19" spans="1:5" ht="15.75" x14ac:dyDescent="0.25">
      <c r="A19" s="11"/>
      <c r="E19" s="11">
        <f t="shared" si="0"/>
        <v>0</v>
      </c>
    </row>
    <row r="20" spans="1:5" ht="15.75" x14ac:dyDescent="0.25">
      <c r="A20" s="11"/>
      <c r="E20" s="11">
        <f t="shared" si="0"/>
        <v>0</v>
      </c>
    </row>
    <row r="21" spans="1:5" ht="15.75" customHeight="1" x14ac:dyDescent="0.25">
      <c r="A21" s="11"/>
      <c r="E21" s="11">
        <f t="shared" si="0"/>
        <v>0</v>
      </c>
    </row>
    <row r="22" spans="1:5" ht="15.75" customHeight="1" x14ac:dyDescent="0.25">
      <c r="A22" s="11"/>
      <c r="E22" s="11">
        <f t="shared" si="0"/>
        <v>0</v>
      </c>
    </row>
    <row r="23" spans="1:5" ht="15.75" customHeight="1" x14ac:dyDescent="0.25">
      <c r="A23" s="11"/>
      <c r="E23" s="11">
        <f t="shared" si="0"/>
        <v>0</v>
      </c>
    </row>
    <row r="24" spans="1:5" ht="15.75" customHeight="1" x14ac:dyDescent="0.25">
      <c r="A24" s="11"/>
      <c r="E24" s="11">
        <f t="shared" si="0"/>
        <v>0</v>
      </c>
    </row>
    <row r="25" spans="1:5" ht="15.75" customHeight="1" x14ac:dyDescent="0.25">
      <c r="A25" s="11"/>
      <c r="E25" s="11">
        <f t="shared" si="0"/>
        <v>0</v>
      </c>
    </row>
    <row r="26" spans="1:5" ht="15.75" customHeight="1" x14ac:dyDescent="0.25">
      <c r="A26" s="11"/>
      <c r="E26" s="11">
        <f t="shared" si="0"/>
        <v>0</v>
      </c>
    </row>
    <row r="27" spans="1:5" ht="15.75" customHeight="1" x14ac:dyDescent="0.25">
      <c r="A27" s="11"/>
      <c r="E27" s="11">
        <f t="shared" si="0"/>
        <v>0</v>
      </c>
    </row>
    <row r="28" spans="1:5" ht="15.75" customHeight="1" x14ac:dyDescent="0.25">
      <c r="A28" s="11"/>
      <c r="E28" s="11">
        <f t="shared" si="0"/>
        <v>0</v>
      </c>
    </row>
    <row r="29" spans="1:5" ht="15.75" customHeight="1" x14ac:dyDescent="0.25">
      <c r="A29" s="11"/>
      <c r="E29" s="11">
        <f t="shared" si="0"/>
        <v>0</v>
      </c>
    </row>
    <row r="30" spans="1:5" ht="15.75" customHeight="1" x14ac:dyDescent="0.25">
      <c r="A30" s="11"/>
      <c r="E30" s="11">
        <f t="shared" si="0"/>
        <v>0</v>
      </c>
    </row>
    <row r="31" spans="1:5" ht="15.75" customHeight="1" x14ac:dyDescent="0.25">
      <c r="A31" s="11"/>
      <c r="E31" s="11">
        <f t="shared" si="0"/>
        <v>0</v>
      </c>
    </row>
    <row r="32" spans="1:5" ht="15.75" customHeight="1" x14ac:dyDescent="0.25">
      <c r="A32" s="11"/>
      <c r="E32" s="11">
        <f t="shared" si="0"/>
        <v>0</v>
      </c>
    </row>
    <row r="33" spans="1:5" ht="15.75" customHeight="1" x14ac:dyDescent="0.25">
      <c r="A33" s="11"/>
      <c r="E33" s="11">
        <f t="shared" si="0"/>
        <v>0</v>
      </c>
    </row>
    <row r="34" spans="1:5" ht="15.75" customHeight="1" x14ac:dyDescent="0.25">
      <c r="A34" s="11"/>
      <c r="E34" s="11">
        <f t="shared" si="0"/>
        <v>0</v>
      </c>
    </row>
    <row r="35" spans="1:5" ht="15.75" customHeight="1" x14ac:dyDescent="0.25">
      <c r="A35" s="11"/>
      <c r="E35" s="11">
        <f t="shared" si="0"/>
        <v>0</v>
      </c>
    </row>
    <row r="36" spans="1:5" ht="15.75" customHeight="1" x14ac:dyDescent="0.25">
      <c r="A36" s="11"/>
      <c r="E36" s="11">
        <f t="shared" si="0"/>
        <v>0</v>
      </c>
    </row>
    <row r="37" spans="1:5" ht="15.75" customHeight="1" x14ac:dyDescent="0.25">
      <c r="A37" s="11"/>
      <c r="E37" s="11">
        <f t="shared" si="0"/>
        <v>0</v>
      </c>
    </row>
    <row r="38" spans="1:5" ht="15.75" customHeight="1" x14ac:dyDescent="0.25">
      <c r="A38" s="11"/>
      <c r="E38" s="11">
        <f t="shared" si="0"/>
        <v>0</v>
      </c>
    </row>
    <row r="39" spans="1:5" ht="15.75" customHeight="1" x14ac:dyDescent="0.25">
      <c r="A39" s="11"/>
      <c r="E39" s="11">
        <f t="shared" si="0"/>
        <v>0</v>
      </c>
    </row>
    <row r="40" spans="1:5" ht="15.75" customHeight="1" x14ac:dyDescent="0.25">
      <c r="A40" s="11"/>
      <c r="E40" s="11">
        <f t="shared" si="0"/>
        <v>0</v>
      </c>
    </row>
    <row r="41" spans="1:5" ht="15.75" customHeight="1" x14ac:dyDescent="0.25">
      <c r="A41" s="11"/>
      <c r="E41" s="11">
        <f t="shared" si="0"/>
        <v>0</v>
      </c>
    </row>
    <row r="42" spans="1:5" ht="15.75" customHeight="1" x14ac:dyDescent="0.25">
      <c r="A42" s="11"/>
      <c r="E42" s="11">
        <f t="shared" si="0"/>
        <v>0</v>
      </c>
    </row>
    <row r="43" spans="1:5" ht="15.75" customHeight="1" x14ac:dyDescent="0.25">
      <c r="A43" s="11"/>
      <c r="E43" s="11">
        <f t="shared" si="0"/>
        <v>0</v>
      </c>
    </row>
    <row r="44" spans="1:5" ht="15.75" customHeight="1" x14ac:dyDescent="0.25">
      <c r="A44" s="11"/>
      <c r="E44" s="11">
        <f t="shared" si="0"/>
        <v>0</v>
      </c>
    </row>
    <row r="45" spans="1:5" ht="15.75" customHeight="1" x14ac:dyDescent="0.25">
      <c r="A45" s="11"/>
      <c r="E45" s="11">
        <f t="shared" si="0"/>
        <v>0</v>
      </c>
    </row>
    <row r="46" spans="1:5" ht="15.75" customHeight="1" x14ac:dyDescent="0.25">
      <c r="A46" s="11"/>
      <c r="E46" s="11">
        <f t="shared" si="0"/>
        <v>0</v>
      </c>
    </row>
    <row r="47" spans="1:5" ht="15.75" customHeight="1" x14ac:dyDescent="0.25">
      <c r="A47" s="11"/>
      <c r="E47" s="11">
        <f t="shared" si="0"/>
        <v>0</v>
      </c>
    </row>
    <row r="48" spans="1:5" ht="15.75" customHeight="1" x14ac:dyDescent="0.25">
      <c r="A48" s="11"/>
      <c r="E48" s="11">
        <f t="shared" si="0"/>
        <v>0</v>
      </c>
    </row>
    <row r="49" spans="1:5" ht="15.75" customHeight="1" x14ac:dyDescent="0.25">
      <c r="A49" s="11"/>
      <c r="E49" s="11">
        <f t="shared" si="0"/>
        <v>0</v>
      </c>
    </row>
    <row r="50" spans="1:5" ht="15.75" customHeight="1" x14ac:dyDescent="0.25">
      <c r="A50" s="11"/>
      <c r="E50" s="11">
        <f t="shared" si="0"/>
        <v>0</v>
      </c>
    </row>
    <row r="51" spans="1:5" ht="15.75" customHeight="1" x14ac:dyDescent="0.25">
      <c r="A51" s="11"/>
      <c r="E51" s="11">
        <f t="shared" si="0"/>
        <v>0</v>
      </c>
    </row>
    <row r="52" spans="1:5" ht="15.75" customHeight="1" x14ac:dyDescent="0.25">
      <c r="A52" s="11"/>
      <c r="E52" s="11">
        <f t="shared" si="0"/>
        <v>0</v>
      </c>
    </row>
    <row r="53" spans="1:5" ht="15.75" customHeight="1" x14ac:dyDescent="0.25">
      <c r="A53" s="11"/>
      <c r="E53" s="11">
        <f t="shared" si="0"/>
        <v>0</v>
      </c>
    </row>
    <row r="54" spans="1:5" ht="15.75" customHeight="1" x14ac:dyDescent="0.25">
      <c r="A54" s="11"/>
      <c r="E54" s="11">
        <f t="shared" si="0"/>
        <v>0</v>
      </c>
    </row>
    <row r="55" spans="1:5" ht="15.75" customHeight="1" x14ac:dyDescent="0.25">
      <c r="A55" s="11"/>
      <c r="E55" s="11">
        <f t="shared" si="0"/>
        <v>0</v>
      </c>
    </row>
    <row r="56" spans="1:5" ht="15.75" customHeight="1" x14ac:dyDescent="0.25">
      <c r="A56" s="11"/>
      <c r="E56" s="11">
        <f t="shared" si="0"/>
        <v>0</v>
      </c>
    </row>
    <row r="57" spans="1:5" ht="15.75" customHeight="1" x14ac:dyDescent="0.25">
      <c r="A57" s="11"/>
      <c r="E57" s="11">
        <f t="shared" si="0"/>
        <v>0</v>
      </c>
    </row>
    <row r="58" spans="1:5" ht="15.75" customHeight="1" x14ac:dyDescent="0.25">
      <c r="A58" s="11"/>
      <c r="E58" s="11">
        <f t="shared" si="0"/>
        <v>0</v>
      </c>
    </row>
    <row r="59" spans="1:5" ht="15.75" customHeight="1" x14ac:dyDescent="0.25">
      <c r="A59" s="11"/>
      <c r="E59" s="11">
        <f t="shared" si="0"/>
        <v>0</v>
      </c>
    </row>
    <row r="60" spans="1:5" ht="15.75" customHeight="1" x14ac:dyDescent="0.25">
      <c r="A60" s="11"/>
      <c r="E60" s="11">
        <f t="shared" si="0"/>
        <v>0</v>
      </c>
    </row>
    <row r="61" spans="1:5" ht="15.75" customHeight="1" x14ac:dyDescent="0.25">
      <c r="A61" s="11"/>
      <c r="E61" s="11">
        <f t="shared" si="0"/>
        <v>0</v>
      </c>
    </row>
    <row r="62" spans="1:5" ht="15.75" customHeight="1" x14ac:dyDescent="0.25">
      <c r="A62" s="11"/>
      <c r="E62" s="11">
        <f t="shared" si="0"/>
        <v>0</v>
      </c>
    </row>
    <row r="63" spans="1:5" ht="15.75" customHeight="1" x14ac:dyDescent="0.25">
      <c r="A63" s="11"/>
      <c r="E63" s="11">
        <f t="shared" si="0"/>
        <v>0</v>
      </c>
    </row>
    <row r="64" spans="1:5" ht="15.75" customHeight="1" x14ac:dyDescent="0.25">
      <c r="A64" s="11"/>
      <c r="E64" s="11">
        <f t="shared" si="0"/>
        <v>0</v>
      </c>
    </row>
    <row r="65" spans="1:5" ht="15.75" customHeight="1" x14ac:dyDescent="0.25">
      <c r="A65" s="11"/>
      <c r="E65" s="11">
        <f t="shared" si="0"/>
        <v>0</v>
      </c>
    </row>
    <row r="66" spans="1:5" ht="15.75" customHeight="1" x14ac:dyDescent="0.25">
      <c r="A66" s="11"/>
      <c r="E66" s="11">
        <f t="shared" si="0"/>
        <v>0</v>
      </c>
    </row>
    <row r="67" spans="1:5" ht="15.75" customHeight="1" x14ac:dyDescent="0.25">
      <c r="A67" s="11"/>
      <c r="E67" s="11">
        <f t="shared" si="0"/>
        <v>0</v>
      </c>
    </row>
    <row r="68" spans="1:5" ht="15.75" customHeight="1" x14ac:dyDescent="0.25">
      <c r="A68" s="11"/>
      <c r="E68" s="11">
        <f t="shared" si="0"/>
        <v>0</v>
      </c>
    </row>
    <row r="69" spans="1:5" ht="15.75" customHeight="1" x14ac:dyDescent="0.25">
      <c r="A69" s="11"/>
      <c r="E69" s="11">
        <f t="shared" si="0"/>
        <v>0</v>
      </c>
    </row>
    <row r="70" spans="1:5" ht="15.75" customHeight="1" x14ac:dyDescent="0.25">
      <c r="A70" s="11"/>
      <c r="E70" s="11">
        <f t="shared" si="0"/>
        <v>0</v>
      </c>
    </row>
    <row r="71" spans="1:5" ht="15.75" customHeight="1" x14ac:dyDescent="0.25">
      <c r="A71" s="11"/>
      <c r="E71" s="11">
        <f t="shared" si="0"/>
        <v>0</v>
      </c>
    </row>
    <row r="72" spans="1:5" ht="15.75" customHeight="1" x14ac:dyDescent="0.25">
      <c r="A72" s="11"/>
      <c r="E72" s="11">
        <f t="shared" si="0"/>
        <v>0</v>
      </c>
    </row>
    <row r="73" spans="1:5" ht="15.75" customHeight="1" x14ac:dyDescent="0.25">
      <c r="A73" s="11"/>
      <c r="E73" s="11">
        <f t="shared" si="0"/>
        <v>0</v>
      </c>
    </row>
    <row r="74" spans="1:5" ht="15.75" customHeight="1" x14ac:dyDescent="0.25">
      <c r="A74" s="11"/>
      <c r="E74" s="11">
        <f t="shared" si="0"/>
        <v>0</v>
      </c>
    </row>
    <row r="75" spans="1:5" ht="15.75" customHeight="1" x14ac:dyDescent="0.25">
      <c r="A75" s="11"/>
      <c r="E75" s="11">
        <f t="shared" si="0"/>
        <v>0</v>
      </c>
    </row>
    <row r="76" spans="1:5" ht="15.75" customHeight="1" x14ac:dyDescent="0.25">
      <c r="A76" s="11"/>
      <c r="E76" s="11">
        <f t="shared" si="0"/>
        <v>0</v>
      </c>
    </row>
    <row r="77" spans="1:5" ht="15.75" customHeight="1" x14ac:dyDescent="0.25">
      <c r="A77" s="11"/>
      <c r="E77" s="11">
        <f t="shared" si="0"/>
        <v>0</v>
      </c>
    </row>
    <row r="78" spans="1:5" ht="15.75" customHeight="1" x14ac:dyDescent="0.25">
      <c r="A78" s="11"/>
      <c r="E78" s="11">
        <f t="shared" si="0"/>
        <v>0</v>
      </c>
    </row>
    <row r="79" spans="1:5" ht="15.75" customHeight="1" x14ac:dyDescent="0.25">
      <c r="A79" s="11"/>
      <c r="E79" s="11">
        <f t="shared" si="0"/>
        <v>0</v>
      </c>
    </row>
    <row r="80" spans="1:5" ht="15.75" customHeight="1" x14ac:dyDescent="0.25">
      <c r="A80" s="11"/>
      <c r="E80" s="11">
        <f t="shared" si="0"/>
        <v>0</v>
      </c>
    </row>
    <row r="81" spans="1:5" ht="15.75" customHeight="1" x14ac:dyDescent="0.25">
      <c r="A81" s="11"/>
      <c r="E81" s="11">
        <f t="shared" si="0"/>
        <v>0</v>
      </c>
    </row>
    <row r="82" spans="1:5" ht="15.75" customHeight="1" x14ac:dyDescent="0.25">
      <c r="A82" s="11"/>
      <c r="E82" s="11">
        <f t="shared" si="0"/>
        <v>0</v>
      </c>
    </row>
    <row r="83" spans="1:5" ht="15.75" customHeight="1" x14ac:dyDescent="0.25">
      <c r="A83" s="11"/>
      <c r="E83" s="11">
        <f t="shared" si="0"/>
        <v>0</v>
      </c>
    </row>
    <row r="84" spans="1:5" ht="15.75" customHeight="1" x14ac:dyDescent="0.25">
      <c r="A84" s="11"/>
      <c r="E84" s="11">
        <f t="shared" si="0"/>
        <v>0</v>
      </c>
    </row>
    <row r="85" spans="1:5" ht="15.75" customHeight="1" x14ac:dyDescent="0.25">
      <c r="A85" s="11"/>
      <c r="E85" s="11">
        <f t="shared" si="0"/>
        <v>0</v>
      </c>
    </row>
    <row r="86" spans="1:5" ht="15.75" customHeight="1" x14ac:dyDescent="0.25">
      <c r="A86" s="11"/>
      <c r="E86" s="11">
        <f t="shared" si="0"/>
        <v>0</v>
      </c>
    </row>
    <row r="87" spans="1:5" ht="15.75" customHeight="1" x14ac:dyDescent="0.25">
      <c r="A87" s="11"/>
      <c r="E87" s="11">
        <f t="shared" si="0"/>
        <v>0</v>
      </c>
    </row>
    <row r="88" spans="1:5" ht="15.75" customHeight="1" x14ac:dyDescent="0.25">
      <c r="A88" s="11"/>
      <c r="E88" s="11">
        <f t="shared" si="0"/>
        <v>0</v>
      </c>
    </row>
    <row r="89" spans="1:5" ht="15.75" customHeight="1" x14ac:dyDescent="0.25">
      <c r="A89" s="11"/>
      <c r="E89" s="11">
        <f t="shared" si="0"/>
        <v>0</v>
      </c>
    </row>
    <row r="90" spans="1:5" ht="15.75" customHeight="1" x14ac:dyDescent="0.25">
      <c r="A90" s="11"/>
      <c r="E90" s="11">
        <f t="shared" si="0"/>
        <v>0</v>
      </c>
    </row>
    <row r="91" spans="1:5" ht="15.75" customHeight="1" x14ac:dyDescent="0.25">
      <c r="A91" s="11"/>
      <c r="E91" s="11">
        <f t="shared" si="0"/>
        <v>0</v>
      </c>
    </row>
    <row r="92" spans="1:5" ht="15.75" customHeight="1" x14ac:dyDescent="0.25">
      <c r="A92" s="11"/>
      <c r="E92" s="11">
        <f t="shared" si="0"/>
        <v>0</v>
      </c>
    </row>
    <row r="93" spans="1:5" ht="15.75" customHeight="1" x14ac:dyDescent="0.25">
      <c r="A93" s="11"/>
      <c r="E93" s="11">
        <f t="shared" si="0"/>
        <v>0</v>
      </c>
    </row>
    <row r="94" spans="1:5" ht="15.75" customHeight="1" x14ac:dyDescent="0.25">
      <c r="A94" s="11"/>
      <c r="E94" s="11">
        <f t="shared" si="0"/>
        <v>0</v>
      </c>
    </row>
    <row r="95" spans="1:5" ht="15.75" customHeight="1" x14ac:dyDescent="0.25">
      <c r="A95" s="11"/>
      <c r="E95" s="11">
        <f t="shared" si="0"/>
        <v>0</v>
      </c>
    </row>
    <row r="96" spans="1:5" ht="15.75" customHeight="1" x14ac:dyDescent="0.25">
      <c r="A96" s="11"/>
      <c r="E96" s="11">
        <f t="shared" si="0"/>
        <v>0</v>
      </c>
    </row>
    <row r="97" spans="1:5" ht="15.75" customHeight="1" x14ac:dyDescent="0.25">
      <c r="A97" s="11"/>
      <c r="E97" s="11">
        <f t="shared" si="0"/>
        <v>0</v>
      </c>
    </row>
    <row r="98" spans="1:5" ht="15.75" customHeight="1" x14ac:dyDescent="0.25">
      <c r="A98" s="11"/>
      <c r="E98" s="11">
        <f t="shared" si="0"/>
        <v>0</v>
      </c>
    </row>
    <row r="99" spans="1:5" ht="15.75" customHeight="1" x14ac:dyDescent="0.25">
      <c r="A99" s="11"/>
      <c r="E99" s="11">
        <f t="shared" si="0"/>
        <v>0</v>
      </c>
    </row>
    <row r="100" spans="1:5" ht="15.75" customHeight="1" x14ac:dyDescent="0.25">
      <c r="A100" s="11"/>
      <c r="E100" s="11">
        <f t="shared" si="0"/>
        <v>0</v>
      </c>
    </row>
    <row r="101" spans="1:5" ht="15.75" customHeight="1" x14ac:dyDescent="0.25">
      <c r="A101" s="11"/>
      <c r="E101" s="11">
        <f t="shared" si="0"/>
        <v>0</v>
      </c>
    </row>
    <row r="102" spans="1:5" ht="15.75" customHeight="1" x14ac:dyDescent="0.25">
      <c r="A102" s="11"/>
      <c r="E102" s="11">
        <f t="shared" si="0"/>
        <v>0</v>
      </c>
    </row>
    <row r="103" spans="1:5" ht="15.75" customHeight="1" x14ac:dyDescent="0.25">
      <c r="A103" s="11"/>
      <c r="E103" s="11">
        <f t="shared" si="0"/>
        <v>0</v>
      </c>
    </row>
    <row r="104" spans="1:5" ht="15.75" customHeight="1" x14ac:dyDescent="0.25">
      <c r="A104" s="11"/>
      <c r="E104" s="11">
        <f t="shared" si="0"/>
        <v>0</v>
      </c>
    </row>
    <row r="105" spans="1:5" ht="15.75" customHeight="1" x14ac:dyDescent="0.25">
      <c r="A105" s="11"/>
      <c r="E105" s="11">
        <f t="shared" si="0"/>
        <v>0</v>
      </c>
    </row>
    <row r="106" spans="1:5" ht="15.75" customHeight="1" x14ac:dyDescent="0.25">
      <c r="A106" s="11"/>
      <c r="E106" s="11">
        <f t="shared" si="0"/>
        <v>0</v>
      </c>
    </row>
    <row r="107" spans="1:5" ht="15.75" customHeight="1" x14ac:dyDescent="0.25">
      <c r="A107" s="11"/>
      <c r="E107" s="11">
        <f t="shared" si="0"/>
        <v>0</v>
      </c>
    </row>
    <row r="108" spans="1:5" ht="15.75" customHeight="1" x14ac:dyDescent="0.25">
      <c r="A108" s="11"/>
      <c r="E108" s="11">
        <f t="shared" si="0"/>
        <v>0</v>
      </c>
    </row>
    <row r="109" spans="1:5" ht="15.75" customHeight="1" x14ac:dyDescent="0.25"/>
    <row r="110" spans="1:5" ht="15.75" customHeight="1" x14ac:dyDescent="0.25"/>
    <row r="111" spans="1:5" ht="15.75" customHeight="1" x14ac:dyDescent="0.25"/>
    <row r="112" spans="1:5"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1C232"/>
    <outlinePr summaryBelow="0" summaryRight="0"/>
  </sheetPr>
  <dimension ref="A1:Z5999"/>
  <sheetViews>
    <sheetView topLeftCell="A2" workbookViewId="0"/>
  </sheetViews>
  <sheetFormatPr baseColWidth="10" defaultColWidth="11.25" defaultRowHeight="15" customHeight="1" outlineLevelCol="1" x14ac:dyDescent="0.25"/>
  <cols>
    <col min="1" max="1" width="8.875" customWidth="1"/>
    <col min="2" max="2" width="22" customWidth="1"/>
    <col min="3" max="3" width="11.25" customWidth="1"/>
    <col min="4" max="4" width="21.75" customWidth="1"/>
    <col min="5" max="5" width="23.375" customWidth="1"/>
    <col min="6" max="6" width="16.75" customWidth="1"/>
    <col min="7" max="7" width="19.125" hidden="1" customWidth="1"/>
    <col min="9" max="9" width="25.875" customWidth="1"/>
    <col min="10" max="10" width="11.25" hidden="1" customWidth="1"/>
    <col min="12" max="12" width="11.25" hidden="1" customWidth="1"/>
    <col min="13" max="13" width="32.375" customWidth="1"/>
    <col min="14" max="14" width="20.25" customWidth="1"/>
    <col min="17" max="17" width="11.25" customWidth="1" outlineLevel="1"/>
    <col min="18" max="18" width="19.25" customWidth="1" outlineLevel="1"/>
    <col min="19" max="19" width="11.25" customWidth="1" outlineLevel="1"/>
    <col min="20" max="21" width="5.75" customWidth="1" outlineLevel="1"/>
  </cols>
  <sheetData>
    <row r="1" spans="1:26" ht="15.75" hidden="1" x14ac:dyDescent="0.25">
      <c r="A1" s="17"/>
      <c r="B1" s="18">
        <v>2</v>
      </c>
      <c r="C1" s="19">
        <v>3</v>
      </c>
      <c r="D1" s="20">
        <v>4</v>
      </c>
      <c r="E1" s="20">
        <v>5</v>
      </c>
      <c r="F1" s="13">
        <v>6</v>
      </c>
      <c r="G1" s="20">
        <v>7</v>
      </c>
      <c r="H1" s="13">
        <v>8</v>
      </c>
      <c r="I1" s="13">
        <v>9</v>
      </c>
      <c r="J1" s="21">
        <v>10</v>
      </c>
      <c r="K1" s="13">
        <v>11</v>
      </c>
      <c r="L1" s="22">
        <v>12</v>
      </c>
      <c r="M1" s="14">
        <v>13</v>
      </c>
      <c r="N1" s="20">
        <v>14</v>
      </c>
      <c r="O1" s="23"/>
      <c r="P1" s="15"/>
      <c r="Q1" s="24">
        <v>15</v>
      </c>
      <c r="R1" s="25"/>
      <c r="S1" s="25"/>
      <c r="T1" s="26"/>
      <c r="U1" s="26"/>
      <c r="V1" s="25"/>
      <c r="W1" s="25"/>
      <c r="X1" s="25"/>
      <c r="Y1" s="25"/>
      <c r="Z1" s="25"/>
    </row>
    <row r="2" spans="1:26" ht="126" x14ac:dyDescent="0.25">
      <c r="A2" s="27" t="s">
        <v>49</v>
      </c>
      <c r="B2" s="28" t="s">
        <v>80</v>
      </c>
      <c r="C2" s="29" t="s">
        <v>51</v>
      </c>
      <c r="D2" s="30" t="s">
        <v>52</v>
      </c>
      <c r="E2" s="31" t="s">
        <v>81</v>
      </c>
      <c r="F2" s="32" t="s">
        <v>82</v>
      </c>
      <c r="G2" s="30" t="s">
        <v>55</v>
      </c>
      <c r="H2" s="32" t="s">
        <v>83</v>
      </c>
      <c r="I2" s="32" t="s">
        <v>84</v>
      </c>
      <c r="J2" s="33" t="s">
        <v>58</v>
      </c>
      <c r="K2" s="32" t="s">
        <v>20</v>
      </c>
      <c r="L2" s="34" t="s">
        <v>59</v>
      </c>
      <c r="M2" s="32" t="s">
        <v>85</v>
      </c>
      <c r="N2" s="30" t="s">
        <v>61</v>
      </c>
      <c r="O2" s="35" t="s">
        <v>62</v>
      </c>
      <c r="P2" s="36" t="s">
        <v>86</v>
      </c>
      <c r="Q2" s="35" t="s">
        <v>14</v>
      </c>
      <c r="R2" s="36" t="s">
        <v>63</v>
      </c>
      <c r="S2" s="36" t="s">
        <v>44</v>
      </c>
      <c r="T2" s="36" t="s">
        <v>87</v>
      </c>
      <c r="U2" s="36" t="s">
        <v>88</v>
      </c>
      <c r="V2" s="25"/>
      <c r="W2" s="25"/>
      <c r="X2" s="25"/>
      <c r="Y2" s="25"/>
      <c r="Z2" s="25"/>
    </row>
    <row r="3" spans="1:26" ht="15.75" x14ac:dyDescent="0.25">
      <c r="A3" s="25">
        <v>1</v>
      </c>
      <c r="B3" s="37" t="e">
        <f t="shared" ref="B3:D3" si="0">VLOOKUP($A3,[1]Ambiente!$A$1:$O$274,B$1,0)</f>
        <v>#N/A</v>
      </c>
      <c r="C3" s="38" t="e">
        <f t="shared" si="0"/>
        <v>#N/A</v>
      </c>
      <c r="D3" s="39" t="e">
        <f t="shared" si="0"/>
        <v>#N/A</v>
      </c>
      <c r="E3" s="16" t="e">
        <f t="shared" ref="E3:E4202" si="1">B3&amp;CHAR(10)&amp;TEXT(C3,"dd/mm/yyyy")</f>
        <v>#N/A</v>
      </c>
      <c r="F3" s="16" t="e">
        <f t="shared" ref="F3:K3" si="2">VLOOKUP($A3,[1]Ambiente!$A$1:$O$274,F$1,0)</f>
        <v>#N/A</v>
      </c>
      <c r="G3" s="39" t="e">
        <f t="shared" si="2"/>
        <v>#N/A</v>
      </c>
      <c r="H3" s="16" t="e">
        <f t="shared" si="2"/>
        <v>#N/A</v>
      </c>
      <c r="I3" s="16" t="e">
        <f t="shared" si="2"/>
        <v>#N/A</v>
      </c>
      <c r="J3" s="40" t="e">
        <f t="shared" si="2"/>
        <v>#N/A</v>
      </c>
      <c r="K3" s="16" t="e">
        <f t="shared" si="2"/>
        <v>#N/A</v>
      </c>
      <c r="L3" s="40" t="e">
        <f t="shared" ref="L3:L302" si="3">VLOOKUP($A3,[1]Ambiente!$A$1:$O$274,13,0)</f>
        <v>#N/A</v>
      </c>
      <c r="M3" s="16" t="e">
        <f t="shared" ref="M3:M302" si="4">VLOOKUP($A3,[1]Ambiente!$A$1:$O$274,14,0)</f>
        <v>#N/A</v>
      </c>
      <c r="N3" s="16" t="e">
        <f t="shared" ref="N3:N302" si="5">VLOOKUP($A3,[1]Ambiente!$A$1:$O$274,15,0)</f>
        <v>#N/A</v>
      </c>
      <c r="O3" s="16" t="s">
        <v>64</v>
      </c>
      <c r="P3" s="16" t="str">
        <f t="shared" ref="P3:P5999" si="6">IFERROR(IF(I3="","",IFERROR(IF(K3="Cerrado","Actualizado",IF(DATEVALUE(C3)&gt;DATEVALUE($S$4),"Actualizado",IF(AND(IF(L3="",FALSE,DATEVALUE(L3)&gt;DATEVALUE($S$3)),IF(C3="",TRUE,DATEVALUE(C3)&lt;DATEVALUE($S$4))),"Actualizado","Desactualizado"))),"")),"")</f>
        <v/>
      </c>
      <c r="Q3" s="41" t="e">
        <f t="shared" ref="Q3:Q302" si="7">VLOOKUP($A3,[1]Ambiente!$A$1:$O$274,12,0)</f>
        <v>#N/A</v>
      </c>
      <c r="R3" s="42"/>
      <c r="S3" s="42">
        <v>44377</v>
      </c>
      <c r="T3" s="43"/>
      <c r="U3" s="43" t="str">
        <f t="shared" ref="U3:U4202" si="8">IFERROR(IF(D3=0,"No","Si"),"No")</f>
        <v>No</v>
      </c>
      <c r="V3" s="25"/>
      <c r="W3" s="25"/>
      <c r="X3" s="25"/>
      <c r="Y3" s="25"/>
      <c r="Z3" s="25"/>
    </row>
    <row r="4" spans="1:26" ht="15.75" x14ac:dyDescent="0.25">
      <c r="A4" s="25">
        <v>2</v>
      </c>
      <c r="B4" s="37" t="e">
        <f t="shared" ref="B4:D4" si="9">VLOOKUP($A4,[1]Ambiente!$A$1:$O$274,B$1,0)</f>
        <v>#N/A</v>
      </c>
      <c r="C4" s="38" t="e">
        <f t="shared" si="9"/>
        <v>#N/A</v>
      </c>
      <c r="D4" s="39" t="e">
        <f t="shared" si="9"/>
        <v>#N/A</v>
      </c>
      <c r="E4" s="16" t="e">
        <f t="shared" si="1"/>
        <v>#N/A</v>
      </c>
      <c r="F4" s="16" t="e">
        <f t="shared" ref="F4:K4" si="10">VLOOKUP($A4,[1]Ambiente!$A$1:$O$274,F$1,0)</f>
        <v>#N/A</v>
      </c>
      <c r="G4" s="39" t="e">
        <f t="shared" si="10"/>
        <v>#N/A</v>
      </c>
      <c r="H4" s="16" t="e">
        <f t="shared" si="10"/>
        <v>#N/A</v>
      </c>
      <c r="I4" s="16" t="e">
        <f t="shared" si="10"/>
        <v>#N/A</v>
      </c>
      <c r="J4" s="40" t="e">
        <f t="shared" si="10"/>
        <v>#N/A</v>
      </c>
      <c r="K4" s="16" t="e">
        <f t="shared" si="10"/>
        <v>#N/A</v>
      </c>
      <c r="L4" s="40" t="e">
        <f t="shared" si="3"/>
        <v>#N/A</v>
      </c>
      <c r="M4" s="16" t="e">
        <f t="shared" si="4"/>
        <v>#N/A</v>
      </c>
      <c r="N4" s="16" t="e">
        <f t="shared" si="5"/>
        <v>#N/A</v>
      </c>
      <c r="O4" s="16" t="s">
        <v>64</v>
      </c>
      <c r="P4" s="16" t="str">
        <f t="shared" si="6"/>
        <v/>
      </c>
      <c r="Q4" s="41" t="e">
        <f t="shared" si="7"/>
        <v>#N/A</v>
      </c>
      <c r="R4" s="44"/>
      <c r="S4" s="42">
        <v>44378</v>
      </c>
      <c r="T4" s="43"/>
      <c r="U4" s="43" t="str">
        <f t="shared" si="8"/>
        <v>No</v>
      </c>
      <c r="V4" s="25"/>
      <c r="W4" s="25"/>
      <c r="X4" s="25"/>
      <c r="Y4" s="25"/>
      <c r="Z4" s="25"/>
    </row>
    <row r="5" spans="1:26" ht="15.75" x14ac:dyDescent="0.25">
      <c r="A5" s="25">
        <v>3</v>
      </c>
      <c r="B5" s="37" t="e">
        <f t="shared" ref="B5:D5" si="11">VLOOKUP($A5,[1]Ambiente!$A$1:$O$274,B$1,0)</f>
        <v>#N/A</v>
      </c>
      <c r="C5" s="38" t="e">
        <f t="shared" si="11"/>
        <v>#N/A</v>
      </c>
      <c r="D5" s="39" t="e">
        <f t="shared" si="11"/>
        <v>#N/A</v>
      </c>
      <c r="E5" s="16" t="e">
        <f t="shared" si="1"/>
        <v>#N/A</v>
      </c>
      <c r="F5" s="16" t="e">
        <f t="shared" ref="F5:K5" si="12">VLOOKUP($A5,[1]Ambiente!$A$1:$O$274,F$1,0)</f>
        <v>#N/A</v>
      </c>
      <c r="G5" s="39" t="e">
        <f t="shared" si="12"/>
        <v>#N/A</v>
      </c>
      <c r="H5" s="16" t="e">
        <f t="shared" si="12"/>
        <v>#N/A</v>
      </c>
      <c r="I5" s="16" t="e">
        <f t="shared" si="12"/>
        <v>#N/A</v>
      </c>
      <c r="J5" s="40" t="e">
        <f t="shared" si="12"/>
        <v>#N/A</v>
      </c>
      <c r="K5" s="16" t="e">
        <f t="shared" si="12"/>
        <v>#N/A</v>
      </c>
      <c r="L5" s="40" t="e">
        <f t="shared" si="3"/>
        <v>#N/A</v>
      </c>
      <c r="M5" s="16" t="e">
        <f t="shared" si="4"/>
        <v>#N/A</v>
      </c>
      <c r="N5" s="16" t="e">
        <f t="shared" si="5"/>
        <v>#N/A</v>
      </c>
      <c r="O5" s="16" t="s">
        <v>64</v>
      </c>
      <c r="P5" s="16" t="str">
        <f t="shared" si="6"/>
        <v/>
      </c>
      <c r="Q5" s="41" t="e">
        <f t="shared" si="7"/>
        <v>#N/A</v>
      </c>
      <c r="R5" s="44"/>
      <c r="S5" s="44"/>
      <c r="T5" s="43"/>
      <c r="U5" s="43" t="str">
        <f t="shared" si="8"/>
        <v>No</v>
      </c>
      <c r="V5" s="25"/>
      <c r="W5" s="25"/>
      <c r="X5" s="25"/>
      <c r="Y5" s="25"/>
      <c r="Z5" s="25"/>
    </row>
    <row r="6" spans="1:26" ht="15.75" x14ac:dyDescent="0.25">
      <c r="A6" s="25">
        <v>4</v>
      </c>
      <c r="B6" s="37" t="e">
        <f t="shared" ref="B6:D6" si="13">VLOOKUP($A6,[1]Ambiente!$A$1:$O$274,B$1,0)</f>
        <v>#N/A</v>
      </c>
      <c r="C6" s="38" t="e">
        <f t="shared" si="13"/>
        <v>#N/A</v>
      </c>
      <c r="D6" s="39" t="e">
        <f t="shared" si="13"/>
        <v>#N/A</v>
      </c>
      <c r="E6" s="16" t="e">
        <f t="shared" si="1"/>
        <v>#N/A</v>
      </c>
      <c r="F6" s="16" t="e">
        <f t="shared" ref="F6:K6" si="14">VLOOKUP($A6,[1]Ambiente!$A$1:$O$274,F$1,0)</f>
        <v>#N/A</v>
      </c>
      <c r="G6" s="39" t="e">
        <f t="shared" si="14"/>
        <v>#N/A</v>
      </c>
      <c r="H6" s="16" t="e">
        <f t="shared" si="14"/>
        <v>#N/A</v>
      </c>
      <c r="I6" s="16" t="e">
        <f t="shared" si="14"/>
        <v>#N/A</v>
      </c>
      <c r="J6" s="40" t="e">
        <f t="shared" si="14"/>
        <v>#N/A</v>
      </c>
      <c r="K6" s="16" t="e">
        <f t="shared" si="14"/>
        <v>#N/A</v>
      </c>
      <c r="L6" s="40" t="e">
        <f t="shared" si="3"/>
        <v>#N/A</v>
      </c>
      <c r="M6" s="16" t="e">
        <f t="shared" si="4"/>
        <v>#N/A</v>
      </c>
      <c r="N6" s="16" t="e">
        <f t="shared" si="5"/>
        <v>#N/A</v>
      </c>
      <c r="O6" s="16" t="s">
        <v>64</v>
      </c>
      <c r="P6" s="16" t="str">
        <f t="shared" si="6"/>
        <v/>
      </c>
      <c r="Q6" s="41" t="e">
        <f t="shared" si="7"/>
        <v>#N/A</v>
      </c>
      <c r="R6" s="44"/>
      <c r="S6" s="44"/>
      <c r="T6" s="43"/>
      <c r="U6" s="43" t="str">
        <f t="shared" si="8"/>
        <v>No</v>
      </c>
      <c r="V6" s="25"/>
      <c r="W6" s="25"/>
      <c r="X6" s="25"/>
      <c r="Y6" s="25"/>
      <c r="Z6" s="25"/>
    </row>
    <row r="7" spans="1:26" ht="15.75" x14ac:dyDescent="0.25">
      <c r="A7" s="25">
        <v>5</v>
      </c>
      <c r="B7" s="37" t="e">
        <f t="shared" ref="B7:D7" si="15">VLOOKUP($A7,[1]Ambiente!$A$1:$O$274,B$1,0)</f>
        <v>#N/A</v>
      </c>
      <c r="C7" s="38" t="e">
        <f t="shared" si="15"/>
        <v>#N/A</v>
      </c>
      <c r="D7" s="39" t="e">
        <f t="shared" si="15"/>
        <v>#N/A</v>
      </c>
      <c r="E7" s="16" t="e">
        <f t="shared" si="1"/>
        <v>#N/A</v>
      </c>
      <c r="F7" s="16" t="e">
        <f t="shared" ref="F7:K7" si="16">VLOOKUP($A7,[1]Ambiente!$A$1:$O$274,F$1,0)</f>
        <v>#N/A</v>
      </c>
      <c r="G7" s="39" t="e">
        <f t="shared" si="16"/>
        <v>#N/A</v>
      </c>
      <c r="H7" s="16" t="e">
        <f t="shared" si="16"/>
        <v>#N/A</v>
      </c>
      <c r="I7" s="16" t="e">
        <f t="shared" si="16"/>
        <v>#N/A</v>
      </c>
      <c r="J7" s="40" t="e">
        <f t="shared" si="16"/>
        <v>#N/A</v>
      </c>
      <c r="K7" s="16" t="e">
        <f t="shared" si="16"/>
        <v>#N/A</v>
      </c>
      <c r="L7" s="40" t="e">
        <f t="shared" si="3"/>
        <v>#N/A</v>
      </c>
      <c r="M7" s="16" t="e">
        <f t="shared" si="4"/>
        <v>#N/A</v>
      </c>
      <c r="N7" s="16" t="e">
        <f t="shared" si="5"/>
        <v>#N/A</v>
      </c>
      <c r="O7" s="16" t="s">
        <v>64</v>
      </c>
      <c r="P7" s="16" t="str">
        <f t="shared" si="6"/>
        <v/>
      </c>
      <c r="Q7" s="41" t="e">
        <f t="shared" si="7"/>
        <v>#N/A</v>
      </c>
      <c r="R7" s="44"/>
      <c r="S7" s="44"/>
      <c r="T7" s="43"/>
      <c r="U7" s="43" t="str">
        <f t="shared" si="8"/>
        <v>No</v>
      </c>
      <c r="V7" s="25"/>
      <c r="W7" s="25"/>
      <c r="X7" s="25"/>
      <c r="Y7" s="25"/>
      <c r="Z7" s="25"/>
    </row>
    <row r="8" spans="1:26" ht="15.75" x14ac:dyDescent="0.25">
      <c r="A8" s="25">
        <v>6</v>
      </c>
      <c r="B8" s="37" t="e">
        <f t="shared" ref="B8:D8" si="17">VLOOKUP($A8,[1]Ambiente!$A$1:$O$274,B$1,0)</f>
        <v>#N/A</v>
      </c>
      <c r="C8" s="38" t="e">
        <f t="shared" si="17"/>
        <v>#N/A</v>
      </c>
      <c r="D8" s="39" t="e">
        <f t="shared" si="17"/>
        <v>#N/A</v>
      </c>
      <c r="E8" s="16" t="e">
        <f t="shared" si="1"/>
        <v>#N/A</v>
      </c>
      <c r="F8" s="16" t="e">
        <f t="shared" ref="F8:K8" si="18">VLOOKUP($A8,[1]Ambiente!$A$1:$O$274,F$1,0)</f>
        <v>#N/A</v>
      </c>
      <c r="G8" s="39" t="e">
        <f t="shared" si="18"/>
        <v>#N/A</v>
      </c>
      <c r="H8" s="16" t="e">
        <f t="shared" si="18"/>
        <v>#N/A</v>
      </c>
      <c r="I8" s="16" t="e">
        <f t="shared" si="18"/>
        <v>#N/A</v>
      </c>
      <c r="J8" s="40" t="e">
        <f t="shared" si="18"/>
        <v>#N/A</v>
      </c>
      <c r="K8" s="16" t="e">
        <f t="shared" si="18"/>
        <v>#N/A</v>
      </c>
      <c r="L8" s="40" t="e">
        <f t="shared" si="3"/>
        <v>#N/A</v>
      </c>
      <c r="M8" s="16" t="e">
        <f t="shared" si="4"/>
        <v>#N/A</v>
      </c>
      <c r="N8" s="16" t="e">
        <f t="shared" si="5"/>
        <v>#N/A</v>
      </c>
      <c r="O8" s="16" t="s">
        <v>64</v>
      </c>
      <c r="P8" s="16" t="str">
        <f t="shared" si="6"/>
        <v/>
      </c>
      <c r="Q8" s="41" t="e">
        <f t="shared" si="7"/>
        <v>#N/A</v>
      </c>
      <c r="R8" s="44"/>
      <c r="S8" s="44"/>
      <c r="T8" s="43"/>
      <c r="U8" s="43" t="str">
        <f t="shared" si="8"/>
        <v>No</v>
      </c>
      <c r="V8" s="25"/>
      <c r="W8" s="25"/>
      <c r="X8" s="25"/>
      <c r="Y8" s="25"/>
      <c r="Z8" s="25"/>
    </row>
    <row r="9" spans="1:26" ht="15.75" x14ac:dyDescent="0.25">
      <c r="A9" s="25">
        <v>7</v>
      </c>
      <c r="B9" s="37" t="e">
        <f t="shared" ref="B9:D9" si="19">VLOOKUP($A9,[1]Ambiente!$A$1:$O$274,B$1,0)</f>
        <v>#N/A</v>
      </c>
      <c r="C9" s="38" t="e">
        <f t="shared" si="19"/>
        <v>#N/A</v>
      </c>
      <c r="D9" s="39" t="e">
        <f t="shared" si="19"/>
        <v>#N/A</v>
      </c>
      <c r="E9" s="16" t="e">
        <f t="shared" si="1"/>
        <v>#N/A</v>
      </c>
      <c r="F9" s="16" t="e">
        <f t="shared" ref="F9:K9" si="20">VLOOKUP($A9,[1]Ambiente!$A$1:$O$274,F$1,0)</f>
        <v>#N/A</v>
      </c>
      <c r="G9" s="39" t="e">
        <f t="shared" si="20"/>
        <v>#N/A</v>
      </c>
      <c r="H9" s="16" t="e">
        <f t="shared" si="20"/>
        <v>#N/A</v>
      </c>
      <c r="I9" s="16" t="e">
        <f t="shared" si="20"/>
        <v>#N/A</v>
      </c>
      <c r="J9" s="40" t="e">
        <f t="shared" si="20"/>
        <v>#N/A</v>
      </c>
      <c r="K9" s="16" t="e">
        <f t="shared" si="20"/>
        <v>#N/A</v>
      </c>
      <c r="L9" s="40" t="e">
        <f t="shared" si="3"/>
        <v>#N/A</v>
      </c>
      <c r="M9" s="16" t="e">
        <f t="shared" si="4"/>
        <v>#N/A</v>
      </c>
      <c r="N9" s="16" t="e">
        <f t="shared" si="5"/>
        <v>#N/A</v>
      </c>
      <c r="O9" s="16" t="s">
        <v>64</v>
      </c>
      <c r="P9" s="16" t="str">
        <f t="shared" si="6"/>
        <v/>
      </c>
      <c r="Q9" s="41" t="e">
        <f t="shared" si="7"/>
        <v>#N/A</v>
      </c>
      <c r="R9" s="44"/>
      <c r="S9" s="44"/>
      <c r="T9" s="43"/>
      <c r="U9" s="43" t="str">
        <f t="shared" si="8"/>
        <v>No</v>
      </c>
      <c r="V9" s="25"/>
      <c r="W9" s="25"/>
      <c r="X9" s="25"/>
      <c r="Y9" s="25"/>
      <c r="Z9" s="25"/>
    </row>
    <row r="10" spans="1:26" ht="15.75" x14ac:dyDescent="0.25">
      <c r="A10" s="25">
        <v>8</v>
      </c>
      <c r="B10" s="37" t="e">
        <f t="shared" ref="B10:D10" si="21">VLOOKUP($A10,[1]Ambiente!$A$1:$O$274,B$1,0)</f>
        <v>#N/A</v>
      </c>
      <c r="C10" s="38" t="e">
        <f t="shared" si="21"/>
        <v>#N/A</v>
      </c>
      <c r="D10" s="39" t="e">
        <f t="shared" si="21"/>
        <v>#N/A</v>
      </c>
      <c r="E10" s="16" t="e">
        <f t="shared" si="1"/>
        <v>#N/A</v>
      </c>
      <c r="F10" s="16" t="e">
        <f t="shared" ref="F10:K10" si="22">VLOOKUP($A10,[1]Ambiente!$A$1:$O$274,F$1,0)</f>
        <v>#N/A</v>
      </c>
      <c r="G10" s="39" t="e">
        <f t="shared" si="22"/>
        <v>#N/A</v>
      </c>
      <c r="H10" s="16" t="e">
        <f t="shared" si="22"/>
        <v>#N/A</v>
      </c>
      <c r="I10" s="16" t="e">
        <f t="shared" si="22"/>
        <v>#N/A</v>
      </c>
      <c r="J10" s="40" t="e">
        <f t="shared" si="22"/>
        <v>#N/A</v>
      </c>
      <c r="K10" s="16" t="e">
        <f t="shared" si="22"/>
        <v>#N/A</v>
      </c>
      <c r="L10" s="40" t="e">
        <f t="shared" si="3"/>
        <v>#N/A</v>
      </c>
      <c r="M10" s="16" t="e">
        <f t="shared" si="4"/>
        <v>#N/A</v>
      </c>
      <c r="N10" s="16" t="e">
        <f t="shared" si="5"/>
        <v>#N/A</v>
      </c>
      <c r="O10" s="16" t="s">
        <v>64</v>
      </c>
      <c r="P10" s="16" t="str">
        <f t="shared" si="6"/>
        <v/>
      </c>
      <c r="Q10" s="41" t="e">
        <f t="shared" si="7"/>
        <v>#N/A</v>
      </c>
      <c r="R10" s="44"/>
      <c r="S10" s="44"/>
      <c r="T10" s="43"/>
      <c r="U10" s="43" t="str">
        <f t="shared" si="8"/>
        <v>No</v>
      </c>
      <c r="V10" s="25"/>
      <c r="W10" s="25"/>
      <c r="X10" s="25"/>
      <c r="Y10" s="25"/>
      <c r="Z10" s="25"/>
    </row>
    <row r="11" spans="1:26" ht="15.75" x14ac:dyDescent="0.25">
      <c r="A11" s="25">
        <v>9</v>
      </c>
      <c r="B11" s="37" t="e">
        <f t="shared" ref="B11:D11" si="23">VLOOKUP($A11,[1]Ambiente!$A$1:$O$274,B$1,0)</f>
        <v>#N/A</v>
      </c>
      <c r="C11" s="38" t="e">
        <f t="shared" si="23"/>
        <v>#N/A</v>
      </c>
      <c r="D11" s="39" t="e">
        <f t="shared" si="23"/>
        <v>#N/A</v>
      </c>
      <c r="E11" s="16" t="e">
        <f t="shared" si="1"/>
        <v>#N/A</v>
      </c>
      <c r="F11" s="16" t="e">
        <f t="shared" ref="F11:K11" si="24">VLOOKUP($A11,[1]Ambiente!$A$1:$O$274,F$1,0)</f>
        <v>#N/A</v>
      </c>
      <c r="G11" s="39" t="e">
        <f t="shared" si="24"/>
        <v>#N/A</v>
      </c>
      <c r="H11" s="16" t="e">
        <f t="shared" si="24"/>
        <v>#N/A</v>
      </c>
      <c r="I11" s="16" t="e">
        <f t="shared" si="24"/>
        <v>#N/A</v>
      </c>
      <c r="J11" s="40" t="e">
        <f t="shared" si="24"/>
        <v>#N/A</v>
      </c>
      <c r="K11" s="16" t="e">
        <f t="shared" si="24"/>
        <v>#N/A</v>
      </c>
      <c r="L11" s="40" t="e">
        <f t="shared" si="3"/>
        <v>#N/A</v>
      </c>
      <c r="M11" s="16" t="e">
        <f t="shared" si="4"/>
        <v>#N/A</v>
      </c>
      <c r="N11" s="16" t="e">
        <f t="shared" si="5"/>
        <v>#N/A</v>
      </c>
      <c r="O11" s="16" t="s">
        <v>64</v>
      </c>
      <c r="P11" s="16" t="str">
        <f t="shared" si="6"/>
        <v/>
      </c>
      <c r="Q11" s="41" t="e">
        <f t="shared" si="7"/>
        <v>#N/A</v>
      </c>
      <c r="R11" s="44"/>
      <c r="S11" s="44"/>
      <c r="T11" s="43"/>
      <c r="U11" s="43" t="str">
        <f t="shared" si="8"/>
        <v>No</v>
      </c>
      <c r="V11" s="25"/>
      <c r="W11" s="25"/>
      <c r="X11" s="25"/>
      <c r="Y11" s="25"/>
      <c r="Z11" s="25"/>
    </row>
    <row r="12" spans="1:26" ht="15.75" x14ac:dyDescent="0.25">
      <c r="A12" s="25">
        <v>10</v>
      </c>
      <c r="B12" s="37" t="e">
        <f t="shared" ref="B12:D12" si="25">VLOOKUP($A12,[1]Ambiente!$A$1:$O$274,B$1,0)</f>
        <v>#N/A</v>
      </c>
      <c r="C12" s="38" t="e">
        <f t="shared" si="25"/>
        <v>#N/A</v>
      </c>
      <c r="D12" s="39" t="e">
        <f t="shared" si="25"/>
        <v>#N/A</v>
      </c>
      <c r="E12" s="16" t="e">
        <f t="shared" si="1"/>
        <v>#N/A</v>
      </c>
      <c r="F12" s="16" t="e">
        <f t="shared" ref="F12:K12" si="26">VLOOKUP($A12,[1]Ambiente!$A$1:$O$274,F$1,0)</f>
        <v>#N/A</v>
      </c>
      <c r="G12" s="39" t="e">
        <f t="shared" si="26"/>
        <v>#N/A</v>
      </c>
      <c r="H12" s="16" t="e">
        <f t="shared" si="26"/>
        <v>#N/A</v>
      </c>
      <c r="I12" s="16" t="e">
        <f t="shared" si="26"/>
        <v>#N/A</v>
      </c>
      <c r="J12" s="40" t="e">
        <f t="shared" si="26"/>
        <v>#N/A</v>
      </c>
      <c r="K12" s="16" t="e">
        <f t="shared" si="26"/>
        <v>#N/A</v>
      </c>
      <c r="L12" s="40" t="e">
        <f t="shared" si="3"/>
        <v>#N/A</v>
      </c>
      <c r="M12" s="16" t="e">
        <f t="shared" si="4"/>
        <v>#N/A</v>
      </c>
      <c r="N12" s="16" t="e">
        <f t="shared" si="5"/>
        <v>#N/A</v>
      </c>
      <c r="O12" s="16" t="s">
        <v>64</v>
      </c>
      <c r="P12" s="16" t="str">
        <f t="shared" si="6"/>
        <v/>
      </c>
      <c r="Q12" s="41" t="e">
        <f t="shared" si="7"/>
        <v>#N/A</v>
      </c>
      <c r="R12" s="44"/>
      <c r="S12" s="44"/>
      <c r="T12" s="43"/>
      <c r="U12" s="43" t="str">
        <f t="shared" si="8"/>
        <v>No</v>
      </c>
      <c r="V12" s="25"/>
      <c r="W12" s="25"/>
      <c r="X12" s="25"/>
      <c r="Y12" s="25"/>
      <c r="Z12" s="25"/>
    </row>
    <row r="13" spans="1:26" ht="15.75" x14ac:dyDescent="0.25">
      <c r="A13" s="25">
        <v>11</v>
      </c>
      <c r="B13" s="37" t="e">
        <f t="shared" ref="B13:D13" si="27">VLOOKUP($A13,[1]Ambiente!$A$1:$O$274,B$1,0)</f>
        <v>#N/A</v>
      </c>
      <c r="C13" s="38" t="e">
        <f t="shared" si="27"/>
        <v>#N/A</v>
      </c>
      <c r="D13" s="39" t="e">
        <f t="shared" si="27"/>
        <v>#N/A</v>
      </c>
      <c r="E13" s="16" t="e">
        <f t="shared" si="1"/>
        <v>#N/A</v>
      </c>
      <c r="F13" s="16" t="e">
        <f t="shared" ref="F13:K13" si="28">VLOOKUP($A13,[1]Ambiente!$A$1:$O$274,F$1,0)</f>
        <v>#N/A</v>
      </c>
      <c r="G13" s="39" t="e">
        <f t="shared" si="28"/>
        <v>#N/A</v>
      </c>
      <c r="H13" s="16" t="e">
        <f t="shared" si="28"/>
        <v>#N/A</v>
      </c>
      <c r="I13" s="16" t="e">
        <f t="shared" si="28"/>
        <v>#N/A</v>
      </c>
      <c r="J13" s="40" t="e">
        <f t="shared" si="28"/>
        <v>#N/A</v>
      </c>
      <c r="K13" s="16" t="e">
        <f t="shared" si="28"/>
        <v>#N/A</v>
      </c>
      <c r="L13" s="40" t="e">
        <f t="shared" si="3"/>
        <v>#N/A</v>
      </c>
      <c r="M13" s="16" t="e">
        <f t="shared" si="4"/>
        <v>#N/A</v>
      </c>
      <c r="N13" s="16" t="e">
        <f t="shared" si="5"/>
        <v>#N/A</v>
      </c>
      <c r="O13" s="16" t="s">
        <v>64</v>
      </c>
      <c r="P13" s="16" t="str">
        <f t="shared" si="6"/>
        <v/>
      </c>
      <c r="Q13" s="41" t="e">
        <f t="shared" si="7"/>
        <v>#N/A</v>
      </c>
      <c r="R13" s="44"/>
      <c r="S13" s="44"/>
      <c r="T13" s="43"/>
      <c r="U13" s="43" t="str">
        <f t="shared" si="8"/>
        <v>No</v>
      </c>
      <c r="V13" s="25"/>
      <c r="W13" s="25"/>
      <c r="X13" s="25"/>
      <c r="Y13" s="25"/>
      <c r="Z13" s="25"/>
    </row>
    <row r="14" spans="1:26" ht="15.75" x14ac:dyDescent="0.25">
      <c r="A14" s="25">
        <v>12</v>
      </c>
      <c r="B14" s="37" t="e">
        <f t="shared" ref="B14:D14" si="29">VLOOKUP($A14,[1]Ambiente!$A$1:$O$274,B$1,0)</f>
        <v>#N/A</v>
      </c>
      <c r="C14" s="38" t="e">
        <f t="shared" si="29"/>
        <v>#N/A</v>
      </c>
      <c r="D14" s="39" t="e">
        <f t="shared" si="29"/>
        <v>#N/A</v>
      </c>
      <c r="E14" s="16" t="e">
        <f t="shared" si="1"/>
        <v>#N/A</v>
      </c>
      <c r="F14" s="16" t="e">
        <f t="shared" ref="F14:K14" si="30">VLOOKUP($A14,[1]Ambiente!$A$1:$O$274,F$1,0)</f>
        <v>#N/A</v>
      </c>
      <c r="G14" s="39" t="e">
        <f t="shared" si="30"/>
        <v>#N/A</v>
      </c>
      <c r="H14" s="16" t="e">
        <f t="shared" si="30"/>
        <v>#N/A</v>
      </c>
      <c r="I14" s="16" t="e">
        <f t="shared" si="30"/>
        <v>#N/A</v>
      </c>
      <c r="J14" s="40" t="e">
        <f t="shared" si="30"/>
        <v>#N/A</v>
      </c>
      <c r="K14" s="16" t="e">
        <f t="shared" si="30"/>
        <v>#N/A</v>
      </c>
      <c r="L14" s="40" t="e">
        <f t="shared" si="3"/>
        <v>#N/A</v>
      </c>
      <c r="M14" s="16" t="e">
        <f t="shared" si="4"/>
        <v>#N/A</v>
      </c>
      <c r="N14" s="16" t="e">
        <f t="shared" si="5"/>
        <v>#N/A</v>
      </c>
      <c r="O14" s="16" t="s">
        <v>64</v>
      </c>
      <c r="P14" s="16" t="str">
        <f t="shared" si="6"/>
        <v/>
      </c>
      <c r="Q14" s="41" t="e">
        <f t="shared" si="7"/>
        <v>#N/A</v>
      </c>
      <c r="R14" s="44"/>
      <c r="S14" s="44"/>
      <c r="T14" s="43"/>
      <c r="U14" s="43" t="str">
        <f t="shared" si="8"/>
        <v>No</v>
      </c>
      <c r="V14" s="25"/>
      <c r="W14" s="25"/>
      <c r="X14" s="25"/>
      <c r="Y14" s="25"/>
      <c r="Z14" s="25"/>
    </row>
    <row r="15" spans="1:26" ht="15.75" x14ac:dyDescent="0.25">
      <c r="A15" s="25">
        <v>13</v>
      </c>
      <c r="B15" s="37" t="e">
        <f t="shared" ref="B15:D15" si="31">VLOOKUP($A15,[1]Ambiente!$A$1:$O$274,B$1,0)</f>
        <v>#N/A</v>
      </c>
      <c r="C15" s="38" t="e">
        <f t="shared" si="31"/>
        <v>#N/A</v>
      </c>
      <c r="D15" s="39" t="e">
        <f t="shared" si="31"/>
        <v>#N/A</v>
      </c>
      <c r="E15" s="16" t="e">
        <f t="shared" si="1"/>
        <v>#N/A</v>
      </c>
      <c r="F15" s="16" t="e">
        <f t="shared" ref="F15:K15" si="32">VLOOKUP($A15,[1]Ambiente!$A$1:$O$274,F$1,0)</f>
        <v>#N/A</v>
      </c>
      <c r="G15" s="39" t="e">
        <f t="shared" si="32"/>
        <v>#N/A</v>
      </c>
      <c r="H15" s="16" t="e">
        <f t="shared" si="32"/>
        <v>#N/A</v>
      </c>
      <c r="I15" s="16" t="e">
        <f t="shared" si="32"/>
        <v>#N/A</v>
      </c>
      <c r="J15" s="40" t="e">
        <f t="shared" si="32"/>
        <v>#N/A</v>
      </c>
      <c r="K15" s="16" t="e">
        <f t="shared" si="32"/>
        <v>#N/A</v>
      </c>
      <c r="L15" s="40" t="e">
        <f t="shared" si="3"/>
        <v>#N/A</v>
      </c>
      <c r="M15" s="16" t="e">
        <f t="shared" si="4"/>
        <v>#N/A</v>
      </c>
      <c r="N15" s="16" t="e">
        <f t="shared" si="5"/>
        <v>#N/A</v>
      </c>
      <c r="O15" s="16" t="s">
        <v>64</v>
      </c>
      <c r="P15" s="16" t="str">
        <f t="shared" si="6"/>
        <v/>
      </c>
      <c r="Q15" s="41" t="e">
        <f t="shared" si="7"/>
        <v>#N/A</v>
      </c>
      <c r="R15" s="44"/>
      <c r="S15" s="44"/>
      <c r="T15" s="43"/>
      <c r="U15" s="43" t="str">
        <f t="shared" si="8"/>
        <v>No</v>
      </c>
      <c r="V15" s="25"/>
      <c r="W15" s="25"/>
      <c r="X15" s="25"/>
      <c r="Y15" s="25"/>
      <c r="Z15" s="25"/>
    </row>
    <row r="16" spans="1:26" ht="15.75" x14ac:dyDescent="0.25">
      <c r="A16" s="25">
        <v>14</v>
      </c>
      <c r="B16" s="37" t="e">
        <f t="shared" ref="B16:D16" si="33">VLOOKUP($A16,[1]Ambiente!$A$1:$O$274,B$1,0)</f>
        <v>#N/A</v>
      </c>
      <c r="C16" s="38" t="e">
        <f t="shared" si="33"/>
        <v>#N/A</v>
      </c>
      <c r="D16" s="39" t="e">
        <f t="shared" si="33"/>
        <v>#N/A</v>
      </c>
      <c r="E16" s="16" t="e">
        <f t="shared" si="1"/>
        <v>#N/A</v>
      </c>
      <c r="F16" s="16" t="e">
        <f t="shared" ref="F16:K16" si="34">VLOOKUP($A16,[1]Ambiente!$A$1:$O$274,F$1,0)</f>
        <v>#N/A</v>
      </c>
      <c r="G16" s="39" t="e">
        <f t="shared" si="34"/>
        <v>#N/A</v>
      </c>
      <c r="H16" s="16" t="e">
        <f t="shared" si="34"/>
        <v>#N/A</v>
      </c>
      <c r="I16" s="16" t="e">
        <f t="shared" si="34"/>
        <v>#N/A</v>
      </c>
      <c r="J16" s="40" t="e">
        <f t="shared" si="34"/>
        <v>#N/A</v>
      </c>
      <c r="K16" s="16" t="e">
        <f t="shared" si="34"/>
        <v>#N/A</v>
      </c>
      <c r="L16" s="40" t="e">
        <f t="shared" si="3"/>
        <v>#N/A</v>
      </c>
      <c r="M16" s="16" t="e">
        <f t="shared" si="4"/>
        <v>#N/A</v>
      </c>
      <c r="N16" s="16" t="e">
        <f t="shared" si="5"/>
        <v>#N/A</v>
      </c>
      <c r="O16" s="16" t="s">
        <v>64</v>
      </c>
      <c r="P16" s="16" t="str">
        <f t="shared" si="6"/>
        <v/>
      </c>
      <c r="Q16" s="41" t="e">
        <f t="shared" si="7"/>
        <v>#N/A</v>
      </c>
      <c r="R16" s="44"/>
      <c r="S16" s="44"/>
      <c r="T16" s="43"/>
      <c r="U16" s="43" t="str">
        <f t="shared" si="8"/>
        <v>No</v>
      </c>
      <c r="V16" s="25"/>
      <c r="W16" s="25"/>
      <c r="X16" s="25"/>
      <c r="Y16" s="25"/>
      <c r="Z16" s="25"/>
    </row>
    <row r="17" spans="1:26" ht="15.75" x14ac:dyDescent="0.25">
      <c r="A17" s="25">
        <v>15</v>
      </c>
      <c r="B17" s="37" t="e">
        <f t="shared" ref="B17:D17" si="35">VLOOKUP($A17,[1]Ambiente!$A$1:$O$274,B$1,0)</f>
        <v>#N/A</v>
      </c>
      <c r="C17" s="38" t="e">
        <f t="shared" si="35"/>
        <v>#N/A</v>
      </c>
      <c r="D17" s="39" t="e">
        <f t="shared" si="35"/>
        <v>#N/A</v>
      </c>
      <c r="E17" s="16" t="e">
        <f t="shared" si="1"/>
        <v>#N/A</v>
      </c>
      <c r="F17" s="16" t="e">
        <f t="shared" ref="F17:K17" si="36">VLOOKUP($A17,[1]Ambiente!$A$1:$O$274,F$1,0)</f>
        <v>#N/A</v>
      </c>
      <c r="G17" s="39" t="e">
        <f t="shared" si="36"/>
        <v>#N/A</v>
      </c>
      <c r="H17" s="16" t="e">
        <f t="shared" si="36"/>
        <v>#N/A</v>
      </c>
      <c r="I17" s="16" t="e">
        <f t="shared" si="36"/>
        <v>#N/A</v>
      </c>
      <c r="J17" s="40" t="e">
        <f t="shared" si="36"/>
        <v>#N/A</v>
      </c>
      <c r="K17" s="16" t="e">
        <f t="shared" si="36"/>
        <v>#N/A</v>
      </c>
      <c r="L17" s="40" t="e">
        <f t="shared" si="3"/>
        <v>#N/A</v>
      </c>
      <c r="M17" s="16" t="e">
        <f t="shared" si="4"/>
        <v>#N/A</v>
      </c>
      <c r="N17" s="16" t="e">
        <f t="shared" si="5"/>
        <v>#N/A</v>
      </c>
      <c r="O17" s="16" t="s">
        <v>64</v>
      </c>
      <c r="P17" s="16" t="str">
        <f t="shared" si="6"/>
        <v/>
      </c>
      <c r="Q17" s="41" t="e">
        <f t="shared" si="7"/>
        <v>#N/A</v>
      </c>
      <c r="R17" s="44"/>
      <c r="S17" s="44"/>
      <c r="T17" s="43"/>
      <c r="U17" s="43" t="str">
        <f t="shared" si="8"/>
        <v>No</v>
      </c>
      <c r="V17" s="25"/>
      <c r="W17" s="25"/>
      <c r="X17" s="25"/>
      <c r="Y17" s="25"/>
      <c r="Z17" s="25"/>
    </row>
    <row r="18" spans="1:26" ht="15.75" x14ac:dyDescent="0.25">
      <c r="A18" s="25">
        <v>16</v>
      </c>
      <c r="B18" s="37" t="e">
        <f t="shared" ref="B18:D18" si="37">VLOOKUP($A18,[1]Ambiente!$A$1:$O$274,B$1,0)</f>
        <v>#N/A</v>
      </c>
      <c r="C18" s="38" t="e">
        <f t="shared" si="37"/>
        <v>#N/A</v>
      </c>
      <c r="D18" s="39" t="e">
        <f t="shared" si="37"/>
        <v>#N/A</v>
      </c>
      <c r="E18" s="16" t="e">
        <f t="shared" si="1"/>
        <v>#N/A</v>
      </c>
      <c r="F18" s="16" t="e">
        <f t="shared" ref="F18:K18" si="38">VLOOKUP($A18,[1]Ambiente!$A$1:$O$274,F$1,0)</f>
        <v>#N/A</v>
      </c>
      <c r="G18" s="39" t="e">
        <f t="shared" si="38"/>
        <v>#N/A</v>
      </c>
      <c r="H18" s="16" t="e">
        <f t="shared" si="38"/>
        <v>#N/A</v>
      </c>
      <c r="I18" s="16" t="e">
        <f t="shared" si="38"/>
        <v>#N/A</v>
      </c>
      <c r="J18" s="40" t="e">
        <f t="shared" si="38"/>
        <v>#N/A</v>
      </c>
      <c r="K18" s="16" t="e">
        <f t="shared" si="38"/>
        <v>#N/A</v>
      </c>
      <c r="L18" s="40" t="e">
        <f t="shared" si="3"/>
        <v>#N/A</v>
      </c>
      <c r="M18" s="16" t="e">
        <f t="shared" si="4"/>
        <v>#N/A</v>
      </c>
      <c r="N18" s="16" t="e">
        <f t="shared" si="5"/>
        <v>#N/A</v>
      </c>
      <c r="O18" s="16" t="s">
        <v>64</v>
      </c>
      <c r="P18" s="16" t="str">
        <f t="shared" si="6"/>
        <v/>
      </c>
      <c r="Q18" s="41" t="e">
        <f t="shared" si="7"/>
        <v>#N/A</v>
      </c>
      <c r="R18" s="44"/>
      <c r="S18" s="44"/>
      <c r="T18" s="43"/>
      <c r="U18" s="43" t="str">
        <f t="shared" si="8"/>
        <v>No</v>
      </c>
      <c r="V18" s="25"/>
      <c r="W18" s="25"/>
      <c r="X18" s="25"/>
      <c r="Y18" s="25"/>
      <c r="Z18" s="25"/>
    </row>
    <row r="19" spans="1:26" ht="15.75" x14ac:dyDescent="0.25">
      <c r="A19" s="25">
        <v>17</v>
      </c>
      <c r="B19" s="37" t="e">
        <f t="shared" ref="B19:D19" si="39">VLOOKUP($A19,[1]Ambiente!$A$1:$O$274,B$1,0)</f>
        <v>#N/A</v>
      </c>
      <c r="C19" s="38" t="e">
        <f t="shared" si="39"/>
        <v>#N/A</v>
      </c>
      <c r="D19" s="39" t="e">
        <f t="shared" si="39"/>
        <v>#N/A</v>
      </c>
      <c r="E19" s="16" t="e">
        <f t="shared" si="1"/>
        <v>#N/A</v>
      </c>
      <c r="F19" s="16" t="e">
        <f t="shared" ref="F19:K19" si="40">VLOOKUP($A19,[1]Ambiente!$A$1:$O$274,F$1,0)</f>
        <v>#N/A</v>
      </c>
      <c r="G19" s="39" t="e">
        <f t="shared" si="40"/>
        <v>#N/A</v>
      </c>
      <c r="H19" s="16" t="e">
        <f t="shared" si="40"/>
        <v>#N/A</v>
      </c>
      <c r="I19" s="16" t="e">
        <f t="shared" si="40"/>
        <v>#N/A</v>
      </c>
      <c r="J19" s="40" t="e">
        <f t="shared" si="40"/>
        <v>#N/A</v>
      </c>
      <c r="K19" s="16" t="e">
        <f t="shared" si="40"/>
        <v>#N/A</v>
      </c>
      <c r="L19" s="40" t="e">
        <f t="shared" si="3"/>
        <v>#N/A</v>
      </c>
      <c r="M19" s="16" t="e">
        <f t="shared" si="4"/>
        <v>#N/A</v>
      </c>
      <c r="N19" s="16" t="e">
        <f t="shared" si="5"/>
        <v>#N/A</v>
      </c>
      <c r="O19" s="16" t="s">
        <v>64</v>
      </c>
      <c r="P19" s="16" t="str">
        <f t="shared" si="6"/>
        <v/>
      </c>
      <c r="Q19" s="41" t="e">
        <f t="shared" si="7"/>
        <v>#N/A</v>
      </c>
      <c r="R19" s="44"/>
      <c r="S19" s="44"/>
      <c r="T19" s="43"/>
      <c r="U19" s="43" t="str">
        <f t="shared" si="8"/>
        <v>No</v>
      </c>
      <c r="V19" s="25"/>
      <c r="W19" s="25"/>
      <c r="X19" s="25"/>
      <c r="Y19" s="25"/>
      <c r="Z19" s="25"/>
    </row>
    <row r="20" spans="1:26" ht="15.75" x14ac:dyDescent="0.25">
      <c r="A20" s="25">
        <v>18</v>
      </c>
      <c r="B20" s="37" t="e">
        <f t="shared" ref="B20:D20" si="41">VLOOKUP($A20,[1]Ambiente!$A$1:$O$274,B$1,0)</f>
        <v>#N/A</v>
      </c>
      <c r="C20" s="38" t="e">
        <f t="shared" si="41"/>
        <v>#N/A</v>
      </c>
      <c r="D20" s="39" t="e">
        <f t="shared" si="41"/>
        <v>#N/A</v>
      </c>
      <c r="E20" s="16" t="e">
        <f t="shared" si="1"/>
        <v>#N/A</v>
      </c>
      <c r="F20" s="16" t="e">
        <f t="shared" ref="F20:K20" si="42">VLOOKUP($A20,[1]Ambiente!$A$1:$O$274,F$1,0)</f>
        <v>#N/A</v>
      </c>
      <c r="G20" s="39" t="e">
        <f t="shared" si="42"/>
        <v>#N/A</v>
      </c>
      <c r="H20" s="16" t="e">
        <f t="shared" si="42"/>
        <v>#N/A</v>
      </c>
      <c r="I20" s="16" t="e">
        <f t="shared" si="42"/>
        <v>#N/A</v>
      </c>
      <c r="J20" s="40" t="e">
        <f t="shared" si="42"/>
        <v>#N/A</v>
      </c>
      <c r="K20" s="16" t="e">
        <f t="shared" si="42"/>
        <v>#N/A</v>
      </c>
      <c r="L20" s="40" t="e">
        <f t="shared" si="3"/>
        <v>#N/A</v>
      </c>
      <c r="M20" s="16" t="e">
        <f t="shared" si="4"/>
        <v>#N/A</v>
      </c>
      <c r="N20" s="16" t="e">
        <f t="shared" si="5"/>
        <v>#N/A</v>
      </c>
      <c r="O20" s="16" t="s">
        <v>64</v>
      </c>
      <c r="P20" s="16" t="str">
        <f t="shared" si="6"/>
        <v/>
      </c>
      <c r="Q20" s="41" t="e">
        <f t="shared" si="7"/>
        <v>#N/A</v>
      </c>
      <c r="R20" s="44"/>
      <c r="S20" s="44"/>
      <c r="T20" s="43"/>
      <c r="U20" s="43" t="str">
        <f t="shared" si="8"/>
        <v>No</v>
      </c>
      <c r="V20" s="25"/>
      <c r="W20" s="25"/>
      <c r="X20" s="25"/>
      <c r="Y20" s="25"/>
      <c r="Z20" s="25"/>
    </row>
    <row r="21" spans="1:26" ht="15.75" customHeight="1" x14ac:dyDescent="0.25">
      <c r="A21" s="25">
        <v>19</v>
      </c>
      <c r="B21" s="37" t="e">
        <f t="shared" ref="B21:D21" si="43">VLOOKUP($A21,[1]Ambiente!$A$1:$O$274,B$1,0)</f>
        <v>#N/A</v>
      </c>
      <c r="C21" s="38" t="e">
        <f t="shared" si="43"/>
        <v>#N/A</v>
      </c>
      <c r="D21" s="39" t="e">
        <f t="shared" si="43"/>
        <v>#N/A</v>
      </c>
      <c r="E21" s="16" t="e">
        <f t="shared" si="1"/>
        <v>#N/A</v>
      </c>
      <c r="F21" s="16" t="e">
        <f t="shared" ref="F21:K21" si="44">VLOOKUP($A21,[1]Ambiente!$A$1:$O$274,F$1,0)</f>
        <v>#N/A</v>
      </c>
      <c r="G21" s="39" t="e">
        <f t="shared" si="44"/>
        <v>#N/A</v>
      </c>
      <c r="H21" s="16" t="e">
        <f t="shared" si="44"/>
        <v>#N/A</v>
      </c>
      <c r="I21" s="16" t="e">
        <f t="shared" si="44"/>
        <v>#N/A</v>
      </c>
      <c r="J21" s="40" t="e">
        <f t="shared" si="44"/>
        <v>#N/A</v>
      </c>
      <c r="K21" s="16" t="e">
        <f t="shared" si="44"/>
        <v>#N/A</v>
      </c>
      <c r="L21" s="40" t="e">
        <f t="shared" si="3"/>
        <v>#N/A</v>
      </c>
      <c r="M21" s="16" t="e">
        <f t="shared" si="4"/>
        <v>#N/A</v>
      </c>
      <c r="N21" s="16" t="e">
        <f t="shared" si="5"/>
        <v>#N/A</v>
      </c>
      <c r="O21" s="16" t="s">
        <v>64</v>
      </c>
      <c r="P21" s="16" t="str">
        <f t="shared" si="6"/>
        <v/>
      </c>
      <c r="Q21" s="41" t="e">
        <f t="shared" si="7"/>
        <v>#N/A</v>
      </c>
      <c r="R21" s="44"/>
      <c r="S21" s="44"/>
      <c r="T21" s="43"/>
      <c r="U21" s="43" t="str">
        <f t="shared" si="8"/>
        <v>No</v>
      </c>
      <c r="V21" s="25"/>
      <c r="W21" s="25"/>
      <c r="X21" s="25"/>
      <c r="Y21" s="25"/>
      <c r="Z21" s="25"/>
    </row>
    <row r="22" spans="1:26" ht="15.75" customHeight="1" x14ac:dyDescent="0.25">
      <c r="A22" s="25">
        <v>20</v>
      </c>
      <c r="B22" s="37" t="e">
        <f t="shared" ref="B22:D22" si="45">VLOOKUP($A22,[1]Ambiente!$A$1:$O$274,B$1,0)</f>
        <v>#N/A</v>
      </c>
      <c r="C22" s="38" t="e">
        <f t="shared" si="45"/>
        <v>#N/A</v>
      </c>
      <c r="D22" s="39" t="e">
        <f t="shared" si="45"/>
        <v>#N/A</v>
      </c>
      <c r="E22" s="16" t="e">
        <f t="shared" si="1"/>
        <v>#N/A</v>
      </c>
      <c r="F22" s="16" t="e">
        <f t="shared" ref="F22:K22" si="46">VLOOKUP($A22,[1]Ambiente!$A$1:$O$274,F$1,0)</f>
        <v>#N/A</v>
      </c>
      <c r="G22" s="39" t="e">
        <f t="shared" si="46"/>
        <v>#N/A</v>
      </c>
      <c r="H22" s="16" t="e">
        <f t="shared" si="46"/>
        <v>#N/A</v>
      </c>
      <c r="I22" s="16" t="e">
        <f t="shared" si="46"/>
        <v>#N/A</v>
      </c>
      <c r="J22" s="40" t="e">
        <f t="shared" si="46"/>
        <v>#N/A</v>
      </c>
      <c r="K22" s="16" t="e">
        <f t="shared" si="46"/>
        <v>#N/A</v>
      </c>
      <c r="L22" s="40" t="e">
        <f t="shared" si="3"/>
        <v>#N/A</v>
      </c>
      <c r="M22" s="16" t="e">
        <f t="shared" si="4"/>
        <v>#N/A</v>
      </c>
      <c r="N22" s="16" t="e">
        <f t="shared" si="5"/>
        <v>#N/A</v>
      </c>
      <c r="O22" s="16" t="s">
        <v>64</v>
      </c>
      <c r="P22" s="16" t="str">
        <f t="shared" si="6"/>
        <v/>
      </c>
      <c r="Q22" s="41" t="e">
        <f t="shared" si="7"/>
        <v>#N/A</v>
      </c>
      <c r="R22" s="44"/>
      <c r="S22" s="44"/>
      <c r="T22" s="43"/>
      <c r="U22" s="43" t="str">
        <f t="shared" si="8"/>
        <v>No</v>
      </c>
      <c r="V22" s="25"/>
      <c r="W22" s="25"/>
      <c r="X22" s="25"/>
      <c r="Y22" s="25"/>
      <c r="Z22" s="25"/>
    </row>
    <row r="23" spans="1:26" ht="15.75" customHeight="1" x14ac:dyDescent="0.25">
      <c r="A23" s="25">
        <v>21</v>
      </c>
      <c r="B23" s="37" t="e">
        <f t="shared" ref="B23:D23" si="47">VLOOKUP($A23,[1]Ambiente!$A$1:$O$274,B$1,0)</f>
        <v>#N/A</v>
      </c>
      <c r="C23" s="38" t="e">
        <f t="shared" si="47"/>
        <v>#N/A</v>
      </c>
      <c r="D23" s="39" t="e">
        <f t="shared" si="47"/>
        <v>#N/A</v>
      </c>
      <c r="E23" s="16" t="e">
        <f t="shared" si="1"/>
        <v>#N/A</v>
      </c>
      <c r="F23" s="16" t="e">
        <f t="shared" ref="F23:K23" si="48">VLOOKUP($A23,[1]Ambiente!$A$1:$O$274,F$1,0)</f>
        <v>#N/A</v>
      </c>
      <c r="G23" s="39" t="e">
        <f t="shared" si="48"/>
        <v>#N/A</v>
      </c>
      <c r="H23" s="16" t="e">
        <f t="shared" si="48"/>
        <v>#N/A</v>
      </c>
      <c r="I23" s="16" t="e">
        <f t="shared" si="48"/>
        <v>#N/A</v>
      </c>
      <c r="J23" s="40" t="e">
        <f t="shared" si="48"/>
        <v>#N/A</v>
      </c>
      <c r="K23" s="16" t="e">
        <f t="shared" si="48"/>
        <v>#N/A</v>
      </c>
      <c r="L23" s="40" t="e">
        <f t="shared" si="3"/>
        <v>#N/A</v>
      </c>
      <c r="M23" s="16" t="e">
        <f t="shared" si="4"/>
        <v>#N/A</v>
      </c>
      <c r="N23" s="16" t="e">
        <f t="shared" si="5"/>
        <v>#N/A</v>
      </c>
      <c r="O23" s="16" t="s">
        <v>64</v>
      </c>
      <c r="P23" s="16" t="str">
        <f t="shared" si="6"/>
        <v/>
      </c>
      <c r="Q23" s="41" t="e">
        <f t="shared" si="7"/>
        <v>#N/A</v>
      </c>
      <c r="R23" s="44"/>
      <c r="S23" s="44"/>
      <c r="T23" s="43"/>
      <c r="U23" s="43" t="str">
        <f t="shared" si="8"/>
        <v>No</v>
      </c>
      <c r="V23" s="25"/>
      <c r="W23" s="25"/>
      <c r="X23" s="25"/>
      <c r="Y23" s="25"/>
      <c r="Z23" s="25"/>
    </row>
    <row r="24" spans="1:26" ht="15.75" customHeight="1" x14ac:dyDescent="0.25">
      <c r="A24" s="25">
        <v>22</v>
      </c>
      <c r="B24" s="37" t="e">
        <f t="shared" ref="B24:D24" si="49">VLOOKUP($A24,[1]Ambiente!$A$1:$O$274,B$1,0)</f>
        <v>#N/A</v>
      </c>
      <c r="C24" s="38" t="e">
        <f t="shared" si="49"/>
        <v>#N/A</v>
      </c>
      <c r="D24" s="39" t="e">
        <f t="shared" si="49"/>
        <v>#N/A</v>
      </c>
      <c r="E24" s="16" t="e">
        <f t="shared" si="1"/>
        <v>#N/A</v>
      </c>
      <c r="F24" s="16" t="e">
        <f t="shared" ref="F24:K24" si="50">VLOOKUP($A24,[1]Ambiente!$A$1:$O$274,F$1,0)</f>
        <v>#N/A</v>
      </c>
      <c r="G24" s="39" t="e">
        <f t="shared" si="50"/>
        <v>#N/A</v>
      </c>
      <c r="H24" s="16" t="e">
        <f t="shared" si="50"/>
        <v>#N/A</v>
      </c>
      <c r="I24" s="16" t="e">
        <f t="shared" si="50"/>
        <v>#N/A</v>
      </c>
      <c r="J24" s="40" t="e">
        <f t="shared" si="50"/>
        <v>#N/A</v>
      </c>
      <c r="K24" s="16" t="e">
        <f t="shared" si="50"/>
        <v>#N/A</v>
      </c>
      <c r="L24" s="40" t="e">
        <f t="shared" si="3"/>
        <v>#N/A</v>
      </c>
      <c r="M24" s="16" t="e">
        <f t="shared" si="4"/>
        <v>#N/A</v>
      </c>
      <c r="N24" s="16" t="e">
        <f t="shared" si="5"/>
        <v>#N/A</v>
      </c>
      <c r="O24" s="16" t="s">
        <v>64</v>
      </c>
      <c r="P24" s="16" t="str">
        <f t="shared" si="6"/>
        <v/>
      </c>
      <c r="Q24" s="41" t="e">
        <f t="shared" si="7"/>
        <v>#N/A</v>
      </c>
      <c r="R24" s="44"/>
      <c r="S24" s="44"/>
      <c r="T24" s="43"/>
      <c r="U24" s="43" t="str">
        <f t="shared" si="8"/>
        <v>No</v>
      </c>
      <c r="V24" s="25"/>
      <c r="W24" s="25"/>
      <c r="X24" s="25"/>
      <c r="Y24" s="25"/>
      <c r="Z24" s="25"/>
    </row>
    <row r="25" spans="1:26" ht="15.75" customHeight="1" x14ac:dyDescent="0.25">
      <c r="A25" s="25">
        <v>23</v>
      </c>
      <c r="B25" s="37" t="e">
        <f t="shared" ref="B25:D25" si="51">VLOOKUP($A25,[1]Ambiente!$A$1:$O$274,B$1,0)</f>
        <v>#N/A</v>
      </c>
      <c r="C25" s="38" t="e">
        <f t="shared" si="51"/>
        <v>#N/A</v>
      </c>
      <c r="D25" s="39" t="e">
        <f t="shared" si="51"/>
        <v>#N/A</v>
      </c>
      <c r="E25" s="16" t="e">
        <f t="shared" si="1"/>
        <v>#N/A</v>
      </c>
      <c r="F25" s="16" t="e">
        <f t="shared" ref="F25:K25" si="52">VLOOKUP($A25,[1]Ambiente!$A$1:$O$274,F$1,0)</f>
        <v>#N/A</v>
      </c>
      <c r="G25" s="39" t="e">
        <f t="shared" si="52"/>
        <v>#N/A</v>
      </c>
      <c r="H25" s="16" t="e">
        <f t="shared" si="52"/>
        <v>#N/A</v>
      </c>
      <c r="I25" s="16" t="e">
        <f t="shared" si="52"/>
        <v>#N/A</v>
      </c>
      <c r="J25" s="40" t="e">
        <f t="shared" si="52"/>
        <v>#N/A</v>
      </c>
      <c r="K25" s="16" t="e">
        <f t="shared" si="52"/>
        <v>#N/A</v>
      </c>
      <c r="L25" s="40" t="e">
        <f t="shared" si="3"/>
        <v>#N/A</v>
      </c>
      <c r="M25" s="16" t="e">
        <f t="shared" si="4"/>
        <v>#N/A</v>
      </c>
      <c r="N25" s="16" t="e">
        <f t="shared" si="5"/>
        <v>#N/A</v>
      </c>
      <c r="O25" s="16" t="s">
        <v>64</v>
      </c>
      <c r="P25" s="16" t="str">
        <f t="shared" si="6"/>
        <v/>
      </c>
      <c r="Q25" s="41" t="e">
        <f t="shared" si="7"/>
        <v>#N/A</v>
      </c>
      <c r="R25" s="44"/>
      <c r="S25" s="44"/>
      <c r="T25" s="43"/>
      <c r="U25" s="43" t="str">
        <f t="shared" si="8"/>
        <v>No</v>
      </c>
      <c r="V25" s="25"/>
      <c r="W25" s="25"/>
      <c r="X25" s="25"/>
      <c r="Y25" s="25"/>
      <c r="Z25" s="25"/>
    </row>
    <row r="26" spans="1:26" ht="15.75" customHeight="1" x14ac:dyDescent="0.25">
      <c r="A26" s="25">
        <v>24</v>
      </c>
      <c r="B26" s="37" t="e">
        <f t="shared" ref="B26:D26" si="53">VLOOKUP($A26,[1]Ambiente!$A$1:$O$274,B$1,0)</f>
        <v>#N/A</v>
      </c>
      <c r="C26" s="38" t="e">
        <f t="shared" si="53"/>
        <v>#N/A</v>
      </c>
      <c r="D26" s="39" t="e">
        <f t="shared" si="53"/>
        <v>#N/A</v>
      </c>
      <c r="E26" s="16" t="e">
        <f t="shared" si="1"/>
        <v>#N/A</v>
      </c>
      <c r="F26" s="16" t="e">
        <f t="shared" ref="F26:K26" si="54">VLOOKUP($A26,[1]Ambiente!$A$1:$O$274,F$1,0)</f>
        <v>#N/A</v>
      </c>
      <c r="G26" s="39" t="e">
        <f t="shared" si="54"/>
        <v>#N/A</v>
      </c>
      <c r="H26" s="16" t="e">
        <f t="shared" si="54"/>
        <v>#N/A</v>
      </c>
      <c r="I26" s="16" t="e">
        <f t="shared" si="54"/>
        <v>#N/A</v>
      </c>
      <c r="J26" s="40" t="e">
        <f t="shared" si="54"/>
        <v>#N/A</v>
      </c>
      <c r="K26" s="16" t="e">
        <f t="shared" si="54"/>
        <v>#N/A</v>
      </c>
      <c r="L26" s="40" t="e">
        <f t="shared" si="3"/>
        <v>#N/A</v>
      </c>
      <c r="M26" s="16" t="e">
        <f t="shared" si="4"/>
        <v>#N/A</v>
      </c>
      <c r="N26" s="16" t="e">
        <f t="shared" si="5"/>
        <v>#N/A</v>
      </c>
      <c r="O26" s="16" t="s">
        <v>64</v>
      </c>
      <c r="P26" s="16" t="str">
        <f t="shared" si="6"/>
        <v/>
      </c>
      <c r="Q26" s="41" t="e">
        <f t="shared" si="7"/>
        <v>#N/A</v>
      </c>
      <c r="R26" s="44"/>
      <c r="S26" s="44"/>
      <c r="T26" s="43"/>
      <c r="U26" s="43" t="str">
        <f t="shared" si="8"/>
        <v>No</v>
      </c>
      <c r="V26" s="25"/>
      <c r="W26" s="25"/>
      <c r="X26" s="25"/>
      <c r="Y26" s="25"/>
      <c r="Z26" s="25"/>
    </row>
    <row r="27" spans="1:26" ht="15.75" customHeight="1" x14ac:dyDescent="0.25">
      <c r="A27" s="25">
        <v>25</v>
      </c>
      <c r="B27" s="37" t="e">
        <f t="shared" ref="B27:D27" si="55">VLOOKUP($A27,[1]Ambiente!$A$1:$O$274,B$1,0)</f>
        <v>#N/A</v>
      </c>
      <c r="C27" s="38" t="e">
        <f t="shared" si="55"/>
        <v>#N/A</v>
      </c>
      <c r="D27" s="39" t="e">
        <f t="shared" si="55"/>
        <v>#N/A</v>
      </c>
      <c r="E27" s="16" t="e">
        <f t="shared" si="1"/>
        <v>#N/A</v>
      </c>
      <c r="F27" s="16" t="e">
        <f t="shared" ref="F27:K27" si="56">VLOOKUP($A27,[1]Ambiente!$A$1:$O$274,F$1,0)</f>
        <v>#N/A</v>
      </c>
      <c r="G27" s="39" t="e">
        <f t="shared" si="56"/>
        <v>#N/A</v>
      </c>
      <c r="H27" s="16" t="e">
        <f t="shared" si="56"/>
        <v>#N/A</v>
      </c>
      <c r="I27" s="16" t="e">
        <f t="shared" si="56"/>
        <v>#N/A</v>
      </c>
      <c r="J27" s="40" t="e">
        <f t="shared" si="56"/>
        <v>#N/A</v>
      </c>
      <c r="K27" s="16" t="e">
        <f t="shared" si="56"/>
        <v>#N/A</v>
      </c>
      <c r="L27" s="40" t="e">
        <f t="shared" si="3"/>
        <v>#N/A</v>
      </c>
      <c r="M27" s="16" t="e">
        <f t="shared" si="4"/>
        <v>#N/A</v>
      </c>
      <c r="N27" s="16" t="e">
        <f t="shared" si="5"/>
        <v>#N/A</v>
      </c>
      <c r="O27" s="16" t="s">
        <v>64</v>
      </c>
      <c r="P27" s="16" t="str">
        <f t="shared" si="6"/>
        <v/>
      </c>
      <c r="Q27" s="41" t="e">
        <f t="shared" si="7"/>
        <v>#N/A</v>
      </c>
      <c r="R27" s="44"/>
      <c r="S27" s="44"/>
      <c r="T27" s="43"/>
      <c r="U27" s="43" t="str">
        <f t="shared" si="8"/>
        <v>No</v>
      </c>
      <c r="V27" s="25"/>
      <c r="W27" s="25"/>
      <c r="X27" s="25"/>
      <c r="Y27" s="25"/>
      <c r="Z27" s="25"/>
    </row>
    <row r="28" spans="1:26" ht="15.75" customHeight="1" x14ac:dyDescent="0.25">
      <c r="A28" s="25">
        <v>26</v>
      </c>
      <c r="B28" s="37" t="e">
        <f t="shared" ref="B28:D28" si="57">VLOOKUP($A28,[1]Ambiente!$A$1:$O$274,B$1,0)</f>
        <v>#N/A</v>
      </c>
      <c r="C28" s="38" t="e">
        <f t="shared" si="57"/>
        <v>#N/A</v>
      </c>
      <c r="D28" s="39" t="e">
        <f t="shared" si="57"/>
        <v>#N/A</v>
      </c>
      <c r="E28" s="16" t="e">
        <f t="shared" si="1"/>
        <v>#N/A</v>
      </c>
      <c r="F28" s="16" t="e">
        <f t="shared" ref="F28:K28" si="58">VLOOKUP($A28,[1]Ambiente!$A$1:$O$274,F$1,0)</f>
        <v>#N/A</v>
      </c>
      <c r="G28" s="39" t="e">
        <f t="shared" si="58"/>
        <v>#N/A</v>
      </c>
      <c r="H28" s="16" t="e">
        <f t="shared" si="58"/>
        <v>#N/A</v>
      </c>
      <c r="I28" s="16" t="e">
        <f t="shared" si="58"/>
        <v>#N/A</v>
      </c>
      <c r="J28" s="40" t="e">
        <f t="shared" si="58"/>
        <v>#N/A</v>
      </c>
      <c r="K28" s="16" t="e">
        <f t="shared" si="58"/>
        <v>#N/A</v>
      </c>
      <c r="L28" s="40" t="e">
        <f t="shared" si="3"/>
        <v>#N/A</v>
      </c>
      <c r="M28" s="16" t="e">
        <f t="shared" si="4"/>
        <v>#N/A</v>
      </c>
      <c r="N28" s="16" t="e">
        <f t="shared" si="5"/>
        <v>#N/A</v>
      </c>
      <c r="O28" s="16" t="s">
        <v>64</v>
      </c>
      <c r="P28" s="16" t="str">
        <f t="shared" si="6"/>
        <v/>
      </c>
      <c r="Q28" s="41" t="e">
        <f t="shared" si="7"/>
        <v>#N/A</v>
      </c>
      <c r="R28" s="44"/>
      <c r="S28" s="44"/>
      <c r="T28" s="43"/>
      <c r="U28" s="43" t="str">
        <f t="shared" si="8"/>
        <v>No</v>
      </c>
      <c r="V28" s="25"/>
      <c r="W28" s="25"/>
      <c r="X28" s="25"/>
      <c r="Y28" s="25"/>
      <c r="Z28" s="25"/>
    </row>
    <row r="29" spans="1:26" ht="15.75" customHeight="1" x14ac:dyDescent="0.25">
      <c r="A29" s="25">
        <v>27</v>
      </c>
      <c r="B29" s="37" t="e">
        <f t="shared" ref="B29:D29" si="59">VLOOKUP($A29,[1]Ambiente!$A$1:$O$274,B$1,0)</f>
        <v>#N/A</v>
      </c>
      <c r="C29" s="38" t="e">
        <f t="shared" si="59"/>
        <v>#N/A</v>
      </c>
      <c r="D29" s="39" t="e">
        <f t="shared" si="59"/>
        <v>#N/A</v>
      </c>
      <c r="E29" s="16" t="e">
        <f t="shared" si="1"/>
        <v>#N/A</v>
      </c>
      <c r="F29" s="16" t="e">
        <f t="shared" ref="F29:K29" si="60">VLOOKUP($A29,[1]Ambiente!$A$1:$O$274,F$1,0)</f>
        <v>#N/A</v>
      </c>
      <c r="G29" s="39" t="e">
        <f t="shared" si="60"/>
        <v>#N/A</v>
      </c>
      <c r="H29" s="16" t="e">
        <f t="shared" si="60"/>
        <v>#N/A</v>
      </c>
      <c r="I29" s="16" t="e">
        <f t="shared" si="60"/>
        <v>#N/A</v>
      </c>
      <c r="J29" s="40" t="e">
        <f t="shared" si="60"/>
        <v>#N/A</v>
      </c>
      <c r="K29" s="16" t="e">
        <f t="shared" si="60"/>
        <v>#N/A</v>
      </c>
      <c r="L29" s="40" t="e">
        <f t="shared" si="3"/>
        <v>#N/A</v>
      </c>
      <c r="M29" s="16" t="e">
        <f t="shared" si="4"/>
        <v>#N/A</v>
      </c>
      <c r="N29" s="16" t="e">
        <f t="shared" si="5"/>
        <v>#N/A</v>
      </c>
      <c r="O29" s="16" t="s">
        <v>64</v>
      </c>
      <c r="P29" s="16" t="str">
        <f t="shared" si="6"/>
        <v/>
      </c>
      <c r="Q29" s="41" t="e">
        <f t="shared" si="7"/>
        <v>#N/A</v>
      </c>
      <c r="R29" s="44"/>
      <c r="S29" s="44"/>
      <c r="T29" s="43"/>
      <c r="U29" s="43" t="str">
        <f t="shared" si="8"/>
        <v>No</v>
      </c>
      <c r="V29" s="25"/>
      <c r="W29" s="25"/>
      <c r="X29" s="25"/>
      <c r="Y29" s="25"/>
      <c r="Z29" s="25"/>
    </row>
    <row r="30" spans="1:26" ht="15.75" customHeight="1" x14ac:dyDescent="0.25">
      <c r="A30" s="25">
        <v>28</v>
      </c>
      <c r="B30" s="37" t="e">
        <f t="shared" ref="B30:D30" si="61">VLOOKUP($A30,[1]Ambiente!$A$1:$O$274,B$1,0)</f>
        <v>#N/A</v>
      </c>
      <c r="C30" s="38" t="e">
        <f t="shared" si="61"/>
        <v>#N/A</v>
      </c>
      <c r="D30" s="39" t="e">
        <f t="shared" si="61"/>
        <v>#N/A</v>
      </c>
      <c r="E30" s="16" t="e">
        <f t="shared" si="1"/>
        <v>#N/A</v>
      </c>
      <c r="F30" s="16" t="e">
        <f t="shared" ref="F30:K30" si="62">VLOOKUP($A30,[1]Ambiente!$A$1:$O$274,F$1,0)</f>
        <v>#N/A</v>
      </c>
      <c r="G30" s="39" t="e">
        <f t="shared" si="62"/>
        <v>#N/A</v>
      </c>
      <c r="H30" s="16" t="e">
        <f t="shared" si="62"/>
        <v>#N/A</v>
      </c>
      <c r="I30" s="16" t="e">
        <f t="shared" si="62"/>
        <v>#N/A</v>
      </c>
      <c r="J30" s="40" t="e">
        <f t="shared" si="62"/>
        <v>#N/A</v>
      </c>
      <c r="K30" s="16" t="e">
        <f t="shared" si="62"/>
        <v>#N/A</v>
      </c>
      <c r="L30" s="40" t="e">
        <f t="shared" si="3"/>
        <v>#N/A</v>
      </c>
      <c r="M30" s="16" t="e">
        <f t="shared" si="4"/>
        <v>#N/A</v>
      </c>
      <c r="N30" s="16" t="e">
        <f t="shared" si="5"/>
        <v>#N/A</v>
      </c>
      <c r="O30" s="16" t="s">
        <v>64</v>
      </c>
      <c r="P30" s="16" t="str">
        <f t="shared" si="6"/>
        <v/>
      </c>
      <c r="Q30" s="41" t="e">
        <f t="shared" si="7"/>
        <v>#N/A</v>
      </c>
      <c r="R30" s="44"/>
      <c r="S30" s="44"/>
      <c r="T30" s="43"/>
      <c r="U30" s="43" t="str">
        <f t="shared" si="8"/>
        <v>No</v>
      </c>
      <c r="V30" s="25"/>
      <c r="W30" s="25"/>
      <c r="X30" s="25"/>
      <c r="Y30" s="25"/>
      <c r="Z30" s="25"/>
    </row>
    <row r="31" spans="1:26" ht="15.75" customHeight="1" x14ac:dyDescent="0.25">
      <c r="A31" s="25">
        <v>29</v>
      </c>
      <c r="B31" s="37" t="e">
        <f t="shared" ref="B31:D31" si="63">VLOOKUP($A31,[1]Ambiente!$A$1:$O$274,B$1,0)</f>
        <v>#N/A</v>
      </c>
      <c r="C31" s="38" t="e">
        <f t="shared" si="63"/>
        <v>#N/A</v>
      </c>
      <c r="D31" s="39" t="e">
        <f t="shared" si="63"/>
        <v>#N/A</v>
      </c>
      <c r="E31" s="16" t="e">
        <f t="shared" si="1"/>
        <v>#N/A</v>
      </c>
      <c r="F31" s="16" t="e">
        <f t="shared" ref="F31:K31" si="64">VLOOKUP($A31,[1]Ambiente!$A$1:$O$274,F$1,0)</f>
        <v>#N/A</v>
      </c>
      <c r="G31" s="39" t="e">
        <f t="shared" si="64"/>
        <v>#N/A</v>
      </c>
      <c r="H31" s="16" t="e">
        <f t="shared" si="64"/>
        <v>#N/A</v>
      </c>
      <c r="I31" s="16" t="e">
        <f t="shared" si="64"/>
        <v>#N/A</v>
      </c>
      <c r="J31" s="40" t="e">
        <f t="shared" si="64"/>
        <v>#N/A</v>
      </c>
      <c r="K31" s="16" t="e">
        <f t="shared" si="64"/>
        <v>#N/A</v>
      </c>
      <c r="L31" s="40" t="e">
        <f t="shared" si="3"/>
        <v>#N/A</v>
      </c>
      <c r="M31" s="16" t="e">
        <f t="shared" si="4"/>
        <v>#N/A</v>
      </c>
      <c r="N31" s="16" t="e">
        <f t="shared" si="5"/>
        <v>#N/A</v>
      </c>
      <c r="O31" s="16" t="s">
        <v>64</v>
      </c>
      <c r="P31" s="16" t="str">
        <f t="shared" si="6"/>
        <v/>
      </c>
      <c r="Q31" s="41" t="e">
        <f t="shared" si="7"/>
        <v>#N/A</v>
      </c>
      <c r="R31" s="44"/>
      <c r="S31" s="44"/>
      <c r="T31" s="43"/>
      <c r="U31" s="43" t="str">
        <f t="shared" si="8"/>
        <v>No</v>
      </c>
      <c r="V31" s="25"/>
      <c r="W31" s="25"/>
      <c r="X31" s="25"/>
      <c r="Y31" s="25"/>
      <c r="Z31" s="25"/>
    </row>
    <row r="32" spans="1:26" ht="15.75" customHeight="1" x14ac:dyDescent="0.25">
      <c r="A32" s="25">
        <v>30</v>
      </c>
      <c r="B32" s="37" t="e">
        <f t="shared" ref="B32:D32" si="65">VLOOKUP($A32,[1]Ambiente!$A$1:$O$274,B$1,0)</f>
        <v>#N/A</v>
      </c>
      <c r="C32" s="38" t="e">
        <f t="shared" si="65"/>
        <v>#N/A</v>
      </c>
      <c r="D32" s="39" t="e">
        <f t="shared" si="65"/>
        <v>#N/A</v>
      </c>
      <c r="E32" s="16" t="e">
        <f t="shared" si="1"/>
        <v>#N/A</v>
      </c>
      <c r="F32" s="16" t="e">
        <f t="shared" ref="F32:K32" si="66">VLOOKUP($A32,[1]Ambiente!$A$1:$O$274,F$1,0)</f>
        <v>#N/A</v>
      </c>
      <c r="G32" s="39" t="e">
        <f t="shared" si="66"/>
        <v>#N/A</v>
      </c>
      <c r="H32" s="16" t="e">
        <f t="shared" si="66"/>
        <v>#N/A</v>
      </c>
      <c r="I32" s="16" t="e">
        <f t="shared" si="66"/>
        <v>#N/A</v>
      </c>
      <c r="J32" s="40" t="e">
        <f t="shared" si="66"/>
        <v>#N/A</v>
      </c>
      <c r="K32" s="16" t="e">
        <f t="shared" si="66"/>
        <v>#N/A</v>
      </c>
      <c r="L32" s="40" t="e">
        <f t="shared" si="3"/>
        <v>#N/A</v>
      </c>
      <c r="M32" s="16" t="e">
        <f t="shared" si="4"/>
        <v>#N/A</v>
      </c>
      <c r="N32" s="16" t="e">
        <f t="shared" si="5"/>
        <v>#N/A</v>
      </c>
      <c r="O32" s="16" t="s">
        <v>64</v>
      </c>
      <c r="P32" s="16" t="str">
        <f t="shared" si="6"/>
        <v/>
      </c>
      <c r="Q32" s="41" t="e">
        <f t="shared" si="7"/>
        <v>#N/A</v>
      </c>
      <c r="R32" s="44"/>
      <c r="S32" s="44"/>
      <c r="T32" s="43"/>
      <c r="U32" s="43" t="str">
        <f t="shared" si="8"/>
        <v>No</v>
      </c>
      <c r="V32" s="25"/>
      <c r="W32" s="25"/>
      <c r="X32" s="25"/>
      <c r="Y32" s="25"/>
      <c r="Z32" s="25"/>
    </row>
    <row r="33" spans="1:26" ht="15.75" customHeight="1" x14ac:dyDescent="0.25">
      <c r="A33" s="25">
        <v>31</v>
      </c>
      <c r="B33" s="37" t="e">
        <f t="shared" ref="B33:D33" si="67">VLOOKUP($A33,[1]Ambiente!$A$1:$O$274,B$1,0)</f>
        <v>#N/A</v>
      </c>
      <c r="C33" s="38" t="e">
        <f t="shared" si="67"/>
        <v>#N/A</v>
      </c>
      <c r="D33" s="39" t="e">
        <f t="shared" si="67"/>
        <v>#N/A</v>
      </c>
      <c r="E33" s="16" t="e">
        <f t="shared" si="1"/>
        <v>#N/A</v>
      </c>
      <c r="F33" s="16" t="e">
        <f t="shared" ref="F33:K33" si="68">VLOOKUP($A33,[1]Ambiente!$A$1:$O$274,F$1,0)</f>
        <v>#N/A</v>
      </c>
      <c r="G33" s="39" t="e">
        <f t="shared" si="68"/>
        <v>#N/A</v>
      </c>
      <c r="H33" s="16" t="e">
        <f t="shared" si="68"/>
        <v>#N/A</v>
      </c>
      <c r="I33" s="16" t="e">
        <f t="shared" si="68"/>
        <v>#N/A</v>
      </c>
      <c r="J33" s="40" t="e">
        <f t="shared" si="68"/>
        <v>#N/A</v>
      </c>
      <c r="K33" s="16" t="e">
        <f t="shared" si="68"/>
        <v>#N/A</v>
      </c>
      <c r="L33" s="40" t="e">
        <f t="shared" si="3"/>
        <v>#N/A</v>
      </c>
      <c r="M33" s="16" t="e">
        <f t="shared" si="4"/>
        <v>#N/A</v>
      </c>
      <c r="N33" s="16" t="e">
        <f t="shared" si="5"/>
        <v>#N/A</v>
      </c>
      <c r="O33" s="16" t="s">
        <v>64</v>
      </c>
      <c r="P33" s="16" t="str">
        <f t="shared" si="6"/>
        <v/>
      </c>
      <c r="Q33" s="41" t="e">
        <f t="shared" si="7"/>
        <v>#N/A</v>
      </c>
      <c r="R33" s="44"/>
      <c r="S33" s="44"/>
      <c r="T33" s="43"/>
      <c r="U33" s="43" t="str">
        <f t="shared" si="8"/>
        <v>No</v>
      </c>
      <c r="V33" s="25"/>
      <c r="W33" s="25"/>
      <c r="X33" s="25"/>
      <c r="Y33" s="25"/>
      <c r="Z33" s="25"/>
    </row>
    <row r="34" spans="1:26" ht="15.75" customHeight="1" x14ac:dyDescent="0.25">
      <c r="A34" s="25">
        <v>32</v>
      </c>
      <c r="B34" s="37" t="e">
        <f t="shared" ref="B34:D34" si="69">VLOOKUP($A34,[1]Ambiente!$A$1:$O$274,B$1,0)</f>
        <v>#N/A</v>
      </c>
      <c r="C34" s="38" t="e">
        <f t="shared" si="69"/>
        <v>#N/A</v>
      </c>
      <c r="D34" s="39" t="e">
        <f t="shared" si="69"/>
        <v>#N/A</v>
      </c>
      <c r="E34" s="16" t="e">
        <f t="shared" si="1"/>
        <v>#N/A</v>
      </c>
      <c r="F34" s="16" t="e">
        <f t="shared" ref="F34:K34" si="70">VLOOKUP($A34,[1]Ambiente!$A$1:$O$274,F$1,0)</f>
        <v>#N/A</v>
      </c>
      <c r="G34" s="39" t="e">
        <f t="shared" si="70"/>
        <v>#N/A</v>
      </c>
      <c r="H34" s="16" t="e">
        <f t="shared" si="70"/>
        <v>#N/A</v>
      </c>
      <c r="I34" s="16" t="e">
        <f t="shared" si="70"/>
        <v>#N/A</v>
      </c>
      <c r="J34" s="40" t="e">
        <f t="shared" si="70"/>
        <v>#N/A</v>
      </c>
      <c r="K34" s="16" t="e">
        <f t="shared" si="70"/>
        <v>#N/A</v>
      </c>
      <c r="L34" s="40" t="e">
        <f t="shared" si="3"/>
        <v>#N/A</v>
      </c>
      <c r="M34" s="16" t="e">
        <f t="shared" si="4"/>
        <v>#N/A</v>
      </c>
      <c r="N34" s="16" t="e">
        <f t="shared" si="5"/>
        <v>#N/A</v>
      </c>
      <c r="O34" s="16" t="s">
        <v>64</v>
      </c>
      <c r="P34" s="16" t="str">
        <f t="shared" si="6"/>
        <v/>
      </c>
      <c r="Q34" s="41" t="e">
        <f t="shared" si="7"/>
        <v>#N/A</v>
      </c>
      <c r="R34" s="44"/>
      <c r="S34" s="44"/>
      <c r="T34" s="43"/>
      <c r="U34" s="43" t="str">
        <f t="shared" si="8"/>
        <v>No</v>
      </c>
      <c r="V34" s="25"/>
      <c r="W34" s="25"/>
      <c r="X34" s="25"/>
      <c r="Y34" s="25"/>
      <c r="Z34" s="25"/>
    </row>
    <row r="35" spans="1:26" ht="15.75" customHeight="1" x14ac:dyDescent="0.25">
      <c r="A35" s="25">
        <v>33</v>
      </c>
      <c r="B35" s="37" t="e">
        <f t="shared" ref="B35:D35" si="71">VLOOKUP($A35,[1]Ambiente!$A$1:$O$274,B$1,0)</f>
        <v>#N/A</v>
      </c>
      <c r="C35" s="38" t="e">
        <f t="shared" si="71"/>
        <v>#N/A</v>
      </c>
      <c r="D35" s="39" t="e">
        <f t="shared" si="71"/>
        <v>#N/A</v>
      </c>
      <c r="E35" s="16" t="e">
        <f t="shared" si="1"/>
        <v>#N/A</v>
      </c>
      <c r="F35" s="16" t="e">
        <f t="shared" ref="F35:K35" si="72">VLOOKUP($A35,[1]Ambiente!$A$1:$O$274,F$1,0)</f>
        <v>#N/A</v>
      </c>
      <c r="G35" s="39" t="e">
        <f t="shared" si="72"/>
        <v>#N/A</v>
      </c>
      <c r="H35" s="16" t="e">
        <f t="shared" si="72"/>
        <v>#N/A</v>
      </c>
      <c r="I35" s="16" t="e">
        <f t="shared" si="72"/>
        <v>#N/A</v>
      </c>
      <c r="J35" s="40" t="e">
        <f t="shared" si="72"/>
        <v>#N/A</v>
      </c>
      <c r="K35" s="16" t="e">
        <f t="shared" si="72"/>
        <v>#N/A</v>
      </c>
      <c r="L35" s="40" t="e">
        <f t="shared" si="3"/>
        <v>#N/A</v>
      </c>
      <c r="M35" s="16" t="e">
        <f t="shared" si="4"/>
        <v>#N/A</v>
      </c>
      <c r="N35" s="16" t="e">
        <f t="shared" si="5"/>
        <v>#N/A</v>
      </c>
      <c r="O35" s="16" t="s">
        <v>64</v>
      </c>
      <c r="P35" s="16" t="str">
        <f t="shared" si="6"/>
        <v/>
      </c>
      <c r="Q35" s="41" t="e">
        <f t="shared" si="7"/>
        <v>#N/A</v>
      </c>
      <c r="R35" s="44"/>
      <c r="S35" s="44"/>
      <c r="T35" s="43"/>
      <c r="U35" s="43" t="str">
        <f t="shared" si="8"/>
        <v>No</v>
      </c>
      <c r="V35" s="25"/>
      <c r="W35" s="25"/>
      <c r="X35" s="25"/>
      <c r="Y35" s="25"/>
      <c r="Z35" s="25"/>
    </row>
    <row r="36" spans="1:26" ht="15.75" customHeight="1" x14ac:dyDescent="0.25">
      <c r="A36" s="25">
        <v>34</v>
      </c>
      <c r="B36" s="37" t="e">
        <f t="shared" ref="B36:D36" si="73">VLOOKUP($A36,[1]Ambiente!$A$1:$O$274,B$1,0)</f>
        <v>#N/A</v>
      </c>
      <c r="C36" s="38" t="e">
        <f t="shared" si="73"/>
        <v>#N/A</v>
      </c>
      <c r="D36" s="39" t="e">
        <f t="shared" si="73"/>
        <v>#N/A</v>
      </c>
      <c r="E36" s="16" t="e">
        <f t="shared" si="1"/>
        <v>#N/A</v>
      </c>
      <c r="F36" s="16" t="e">
        <f t="shared" ref="F36:K36" si="74">VLOOKUP($A36,[1]Ambiente!$A$1:$O$274,F$1,0)</f>
        <v>#N/A</v>
      </c>
      <c r="G36" s="39" t="e">
        <f t="shared" si="74"/>
        <v>#N/A</v>
      </c>
      <c r="H36" s="16" t="e">
        <f t="shared" si="74"/>
        <v>#N/A</v>
      </c>
      <c r="I36" s="16" t="e">
        <f t="shared" si="74"/>
        <v>#N/A</v>
      </c>
      <c r="J36" s="40" t="e">
        <f t="shared" si="74"/>
        <v>#N/A</v>
      </c>
      <c r="K36" s="16" t="e">
        <f t="shared" si="74"/>
        <v>#N/A</v>
      </c>
      <c r="L36" s="40" t="e">
        <f t="shared" si="3"/>
        <v>#N/A</v>
      </c>
      <c r="M36" s="16" t="e">
        <f t="shared" si="4"/>
        <v>#N/A</v>
      </c>
      <c r="N36" s="16" t="e">
        <f t="shared" si="5"/>
        <v>#N/A</v>
      </c>
      <c r="O36" s="16" t="s">
        <v>64</v>
      </c>
      <c r="P36" s="16" t="str">
        <f t="shared" si="6"/>
        <v/>
      </c>
      <c r="Q36" s="41" t="e">
        <f t="shared" si="7"/>
        <v>#N/A</v>
      </c>
      <c r="R36" s="44"/>
      <c r="S36" s="44"/>
      <c r="T36" s="43"/>
      <c r="U36" s="43" t="str">
        <f t="shared" si="8"/>
        <v>No</v>
      </c>
      <c r="V36" s="25"/>
      <c r="W36" s="25"/>
      <c r="X36" s="25"/>
      <c r="Y36" s="25"/>
      <c r="Z36" s="25"/>
    </row>
    <row r="37" spans="1:26" ht="15.75" customHeight="1" x14ac:dyDescent="0.25">
      <c r="A37" s="25">
        <v>35</v>
      </c>
      <c r="B37" s="37" t="e">
        <f t="shared" ref="B37:D37" si="75">VLOOKUP($A37,[1]Ambiente!$A$1:$O$274,B$1,0)</f>
        <v>#N/A</v>
      </c>
      <c r="C37" s="38" t="e">
        <f t="shared" si="75"/>
        <v>#N/A</v>
      </c>
      <c r="D37" s="39" t="e">
        <f t="shared" si="75"/>
        <v>#N/A</v>
      </c>
      <c r="E37" s="16" t="e">
        <f t="shared" si="1"/>
        <v>#N/A</v>
      </c>
      <c r="F37" s="16" t="e">
        <f t="shared" ref="F37:K37" si="76">VLOOKUP($A37,[1]Ambiente!$A$1:$O$274,F$1,0)</f>
        <v>#N/A</v>
      </c>
      <c r="G37" s="39" t="e">
        <f t="shared" si="76"/>
        <v>#N/A</v>
      </c>
      <c r="H37" s="16" t="e">
        <f t="shared" si="76"/>
        <v>#N/A</v>
      </c>
      <c r="I37" s="16" t="e">
        <f t="shared" si="76"/>
        <v>#N/A</v>
      </c>
      <c r="J37" s="40" t="e">
        <f t="shared" si="76"/>
        <v>#N/A</v>
      </c>
      <c r="K37" s="16" t="e">
        <f t="shared" si="76"/>
        <v>#N/A</v>
      </c>
      <c r="L37" s="40" t="e">
        <f t="shared" si="3"/>
        <v>#N/A</v>
      </c>
      <c r="M37" s="16" t="e">
        <f t="shared" si="4"/>
        <v>#N/A</v>
      </c>
      <c r="N37" s="16" t="e">
        <f t="shared" si="5"/>
        <v>#N/A</v>
      </c>
      <c r="O37" s="16" t="s">
        <v>64</v>
      </c>
      <c r="P37" s="16" t="str">
        <f t="shared" si="6"/>
        <v/>
      </c>
      <c r="Q37" s="41" t="e">
        <f t="shared" si="7"/>
        <v>#N/A</v>
      </c>
      <c r="R37" s="44"/>
      <c r="S37" s="44"/>
      <c r="T37" s="43"/>
      <c r="U37" s="43" t="str">
        <f t="shared" si="8"/>
        <v>No</v>
      </c>
      <c r="V37" s="25"/>
      <c r="W37" s="25"/>
      <c r="X37" s="25"/>
      <c r="Y37" s="25"/>
      <c r="Z37" s="25"/>
    </row>
    <row r="38" spans="1:26" ht="15.75" customHeight="1" x14ac:dyDescent="0.25">
      <c r="A38" s="25">
        <v>36</v>
      </c>
      <c r="B38" s="37" t="e">
        <f t="shared" ref="B38:D38" si="77">VLOOKUP($A38,[1]Ambiente!$A$1:$O$274,B$1,0)</f>
        <v>#N/A</v>
      </c>
      <c r="C38" s="38" t="e">
        <f t="shared" si="77"/>
        <v>#N/A</v>
      </c>
      <c r="D38" s="39" t="e">
        <f t="shared" si="77"/>
        <v>#N/A</v>
      </c>
      <c r="E38" s="16" t="e">
        <f t="shared" si="1"/>
        <v>#N/A</v>
      </c>
      <c r="F38" s="16" t="e">
        <f t="shared" ref="F38:K38" si="78">VLOOKUP($A38,[1]Ambiente!$A$1:$O$274,F$1,0)</f>
        <v>#N/A</v>
      </c>
      <c r="G38" s="39" t="e">
        <f t="shared" si="78"/>
        <v>#N/A</v>
      </c>
      <c r="H38" s="16" t="e">
        <f t="shared" si="78"/>
        <v>#N/A</v>
      </c>
      <c r="I38" s="16" t="e">
        <f t="shared" si="78"/>
        <v>#N/A</v>
      </c>
      <c r="J38" s="40" t="e">
        <f t="shared" si="78"/>
        <v>#N/A</v>
      </c>
      <c r="K38" s="16" t="e">
        <f t="shared" si="78"/>
        <v>#N/A</v>
      </c>
      <c r="L38" s="40" t="e">
        <f t="shared" si="3"/>
        <v>#N/A</v>
      </c>
      <c r="M38" s="16" t="e">
        <f t="shared" si="4"/>
        <v>#N/A</v>
      </c>
      <c r="N38" s="16" t="e">
        <f t="shared" si="5"/>
        <v>#N/A</v>
      </c>
      <c r="O38" s="16" t="s">
        <v>64</v>
      </c>
      <c r="P38" s="16" t="str">
        <f t="shared" si="6"/>
        <v/>
      </c>
      <c r="Q38" s="41" t="e">
        <f t="shared" si="7"/>
        <v>#N/A</v>
      </c>
      <c r="R38" s="44"/>
      <c r="S38" s="44"/>
      <c r="T38" s="43"/>
      <c r="U38" s="43" t="str">
        <f t="shared" si="8"/>
        <v>No</v>
      </c>
      <c r="V38" s="25"/>
      <c r="W38" s="25"/>
      <c r="X38" s="25"/>
      <c r="Y38" s="25"/>
      <c r="Z38" s="25"/>
    </row>
    <row r="39" spans="1:26" ht="15.75" customHeight="1" x14ac:dyDescent="0.25">
      <c r="A39" s="25">
        <v>37</v>
      </c>
      <c r="B39" s="37" t="e">
        <f t="shared" ref="B39:D39" si="79">VLOOKUP($A39,[1]Ambiente!$A$1:$O$274,B$1,0)</f>
        <v>#N/A</v>
      </c>
      <c r="C39" s="38" t="e">
        <f t="shared" si="79"/>
        <v>#N/A</v>
      </c>
      <c r="D39" s="39" t="e">
        <f t="shared" si="79"/>
        <v>#N/A</v>
      </c>
      <c r="E39" s="16" t="e">
        <f t="shared" si="1"/>
        <v>#N/A</v>
      </c>
      <c r="F39" s="16" t="e">
        <f t="shared" ref="F39:K39" si="80">VLOOKUP($A39,[1]Ambiente!$A$1:$O$274,F$1,0)</f>
        <v>#N/A</v>
      </c>
      <c r="G39" s="39" t="e">
        <f t="shared" si="80"/>
        <v>#N/A</v>
      </c>
      <c r="H39" s="16" t="e">
        <f t="shared" si="80"/>
        <v>#N/A</v>
      </c>
      <c r="I39" s="16" t="e">
        <f t="shared" si="80"/>
        <v>#N/A</v>
      </c>
      <c r="J39" s="40" t="e">
        <f t="shared" si="80"/>
        <v>#N/A</v>
      </c>
      <c r="K39" s="16" t="e">
        <f t="shared" si="80"/>
        <v>#N/A</v>
      </c>
      <c r="L39" s="40" t="e">
        <f t="shared" si="3"/>
        <v>#N/A</v>
      </c>
      <c r="M39" s="16" t="e">
        <f t="shared" si="4"/>
        <v>#N/A</v>
      </c>
      <c r="N39" s="16" t="e">
        <f t="shared" si="5"/>
        <v>#N/A</v>
      </c>
      <c r="O39" s="16" t="s">
        <v>64</v>
      </c>
      <c r="P39" s="16" t="str">
        <f t="shared" si="6"/>
        <v/>
      </c>
      <c r="Q39" s="41" t="e">
        <f t="shared" si="7"/>
        <v>#N/A</v>
      </c>
      <c r="R39" s="44"/>
      <c r="S39" s="44"/>
      <c r="T39" s="43"/>
      <c r="U39" s="43" t="str">
        <f t="shared" si="8"/>
        <v>No</v>
      </c>
      <c r="V39" s="25"/>
      <c r="W39" s="25"/>
      <c r="X39" s="25"/>
      <c r="Y39" s="25"/>
      <c r="Z39" s="25"/>
    </row>
    <row r="40" spans="1:26" ht="15.75" customHeight="1" x14ac:dyDescent="0.25">
      <c r="A40" s="25">
        <v>38</v>
      </c>
      <c r="B40" s="37" t="e">
        <f t="shared" ref="B40:D40" si="81">VLOOKUP($A40,[1]Ambiente!$A$1:$O$274,B$1,0)</f>
        <v>#N/A</v>
      </c>
      <c r="C40" s="38" t="e">
        <f t="shared" si="81"/>
        <v>#N/A</v>
      </c>
      <c r="D40" s="39" t="e">
        <f t="shared" si="81"/>
        <v>#N/A</v>
      </c>
      <c r="E40" s="16" t="e">
        <f t="shared" si="1"/>
        <v>#N/A</v>
      </c>
      <c r="F40" s="16" t="e">
        <f t="shared" ref="F40:K40" si="82">VLOOKUP($A40,[1]Ambiente!$A$1:$O$274,F$1,0)</f>
        <v>#N/A</v>
      </c>
      <c r="G40" s="39" t="e">
        <f t="shared" si="82"/>
        <v>#N/A</v>
      </c>
      <c r="H40" s="16" t="e">
        <f t="shared" si="82"/>
        <v>#N/A</v>
      </c>
      <c r="I40" s="16" t="e">
        <f t="shared" si="82"/>
        <v>#N/A</v>
      </c>
      <c r="J40" s="40" t="e">
        <f t="shared" si="82"/>
        <v>#N/A</v>
      </c>
      <c r="K40" s="16" t="e">
        <f t="shared" si="82"/>
        <v>#N/A</v>
      </c>
      <c r="L40" s="40" t="e">
        <f t="shared" si="3"/>
        <v>#N/A</v>
      </c>
      <c r="M40" s="16" t="e">
        <f t="shared" si="4"/>
        <v>#N/A</v>
      </c>
      <c r="N40" s="16" t="e">
        <f t="shared" si="5"/>
        <v>#N/A</v>
      </c>
      <c r="O40" s="16" t="s">
        <v>64</v>
      </c>
      <c r="P40" s="16" t="str">
        <f t="shared" si="6"/>
        <v/>
      </c>
      <c r="Q40" s="41" t="e">
        <f t="shared" si="7"/>
        <v>#N/A</v>
      </c>
      <c r="R40" s="44"/>
      <c r="S40" s="44"/>
      <c r="T40" s="43"/>
      <c r="U40" s="43" t="str">
        <f t="shared" si="8"/>
        <v>No</v>
      </c>
      <c r="V40" s="25"/>
      <c r="W40" s="25"/>
      <c r="X40" s="25"/>
      <c r="Y40" s="25"/>
      <c r="Z40" s="25"/>
    </row>
    <row r="41" spans="1:26" ht="15.75" customHeight="1" x14ac:dyDescent="0.25">
      <c r="A41" s="25">
        <v>39</v>
      </c>
      <c r="B41" s="37" t="e">
        <f t="shared" ref="B41:D41" si="83">VLOOKUP($A41,[1]Ambiente!$A$1:$O$274,B$1,0)</f>
        <v>#N/A</v>
      </c>
      <c r="C41" s="38" t="e">
        <f t="shared" si="83"/>
        <v>#N/A</v>
      </c>
      <c r="D41" s="39" t="e">
        <f t="shared" si="83"/>
        <v>#N/A</v>
      </c>
      <c r="E41" s="16" t="e">
        <f t="shared" si="1"/>
        <v>#N/A</v>
      </c>
      <c r="F41" s="16" t="e">
        <f t="shared" ref="F41:K41" si="84">VLOOKUP($A41,[1]Ambiente!$A$1:$O$274,F$1,0)</f>
        <v>#N/A</v>
      </c>
      <c r="G41" s="39" t="e">
        <f t="shared" si="84"/>
        <v>#N/A</v>
      </c>
      <c r="H41" s="16" t="e">
        <f t="shared" si="84"/>
        <v>#N/A</v>
      </c>
      <c r="I41" s="16" t="e">
        <f t="shared" si="84"/>
        <v>#N/A</v>
      </c>
      <c r="J41" s="40" t="e">
        <f t="shared" si="84"/>
        <v>#N/A</v>
      </c>
      <c r="K41" s="16" t="e">
        <f t="shared" si="84"/>
        <v>#N/A</v>
      </c>
      <c r="L41" s="40" t="e">
        <f t="shared" si="3"/>
        <v>#N/A</v>
      </c>
      <c r="M41" s="16" t="e">
        <f t="shared" si="4"/>
        <v>#N/A</v>
      </c>
      <c r="N41" s="16" t="e">
        <f t="shared" si="5"/>
        <v>#N/A</v>
      </c>
      <c r="O41" s="16" t="s">
        <v>64</v>
      </c>
      <c r="P41" s="16" t="str">
        <f t="shared" si="6"/>
        <v/>
      </c>
      <c r="Q41" s="41" t="e">
        <f t="shared" si="7"/>
        <v>#N/A</v>
      </c>
      <c r="R41" s="44"/>
      <c r="S41" s="44"/>
      <c r="T41" s="43"/>
      <c r="U41" s="43" t="str">
        <f t="shared" si="8"/>
        <v>No</v>
      </c>
      <c r="V41" s="25"/>
      <c r="W41" s="25"/>
      <c r="X41" s="25"/>
      <c r="Y41" s="25"/>
      <c r="Z41" s="25"/>
    </row>
    <row r="42" spans="1:26" ht="15.75" customHeight="1" x14ac:dyDescent="0.25">
      <c r="A42" s="25">
        <v>40</v>
      </c>
      <c r="B42" s="37" t="e">
        <f t="shared" ref="B42:D42" si="85">VLOOKUP($A42,[1]Ambiente!$A$1:$O$274,B$1,0)</f>
        <v>#N/A</v>
      </c>
      <c r="C42" s="38" t="e">
        <f t="shared" si="85"/>
        <v>#N/A</v>
      </c>
      <c r="D42" s="39" t="e">
        <f t="shared" si="85"/>
        <v>#N/A</v>
      </c>
      <c r="E42" s="16" t="e">
        <f t="shared" si="1"/>
        <v>#N/A</v>
      </c>
      <c r="F42" s="16" t="e">
        <f t="shared" ref="F42:K42" si="86">VLOOKUP($A42,[1]Ambiente!$A$1:$O$274,F$1,0)</f>
        <v>#N/A</v>
      </c>
      <c r="G42" s="39" t="e">
        <f t="shared" si="86"/>
        <v>#N/A</v>
      </c>
      <c r="H42" s="16" t="e">
        <f t="shared" si="86"/>
        <v>#N/A</v>
      </c>
      <c r="I42" s="16" t="e">
        <f t="shared" si="86"/>
        <v>#N/A</v>
      </c>
      <c r="J42" s="40" t="e">
        <f t="shared" si="86"/>
        <v>#N/A</v>
      </c>
      <c r="K42" s="16" t="e">
        <f t="shared" si="86"/>
        <v>#N/A</v>
      </c>
      <c r="L42" s="40" t="e">
        <f t="shared" si="3"/>
        <v>#N/A</v>
      </c>
      <c r="M42" s="16" t="e">
        <f t="shared" si="4"/>
        <v>#N/A</v>
      </c>
      <c r="N42" s="16" t="e">
        <f t="shared" si="5"/>
        <v>#N/A</v>
      </c>
      <c r="O42" s="16" t="s">
        <v>64</v>
      </c>
      <c r="P42" s="16" t="str">
        <f t="shared" si="6"/>
        <v/>
      </c>
      <c r="Q42" s="41" t="e">
        <f t="shared" si="7"/>
        <v>#N/A</v>
      </c>
      <c r="R42" s="44"/>
      <c r="S42" s="44"/>
      <c r="T42" s="43"/>
      <c r="U42" s="43" t="str">
        <f t="shared" si="8"/>
        <v>No</v>
      </c>
      <c r="V42" s="25"/>
      <c r="W42" s="25"/>
      <c r="X42" s="25"/>
      <c r="Y42" s="25"/>
      <c r="Z42" s="25"/>
    </row>
    <row r="43" spans="1:26" ht="15.75" customHeight="1" x14ac:dyDescent="0.25">
      <c r="A43" s="25">
        <v>41</v>
      </c>
      <c r="B43" s="37" t="e">
        <f t="shared" ref="B43:D43" si="87">VLOOKUP($A43,[1]Ambiente!$A$1:$O$274,B$1,0)</f>
        <v>#N/A</v>
      </c>
      <c r="C43" s="38" t="e">
        <f t="shared" si="87"/>
        <v>#N/A</v>
      </c>
      <c r="D43" s="39" t="e">
        <f t="shared" si="87"/>
        <v>#N/A</v>
      </c>
      <c r="E43" s="16" t="e">
        <f t="shared" si="1"/>
        <v>#N/A</v>
      </c>
      <c r="F43" s="16" t="e">
        <f t="shared" ref="F43:K43" si="88">VLOOKUP($A43,[1]Ambiente!$A$1:$O$274,F$1,0)</f>
        <v>#N/A</v>
      </c>
      <c r="G43" s="39" t="e">
        <f t="shared" si="88"/>
        <v>#N/A</v>
      </c>
      <c r="H43" s="16" t="e">
        <f t="shared" si="88"/>
        <v>#N/A</v>
      </c>
      <c r="I43" s="16" t="e">
        <f t="shared" si="88"/>
        <v>#N/A</v>
      </c>
      <c r="J43" s="40" t="e">
        <f t="shared" si="88"/>
        <v>#N/A</v>
      </c>
      <c r="K43" s="16" t="e">
        <f t="shared" si="88"/>
        <v>#N/A</v>
      </c>
      <c r="L43" s="40" t="e">
        <f t="shared" si="3"/>
        <v>#N/A</v>
      </c>
      <c r="M43" s="16" t="e">
        <f t="shared" si="4"/>
        <v>#N/A</v>
      </c>
      <c r="N43" s="16" t="e">
        <f t="shared" si="5"/>
        <v>#N/A</v>
      </c>
      <c r="O43" s="16" t="s">
        <v>64</v>
      </c>
      <c r="P43" s="16" t="str">
        <f t="shared" si="6"/>
        <v/>
      </c>
      <c r="Q43" s="41" t="e">
        <f t="shared" si="7"/>
        <v>#N/A</v>
      </c>
      <c r="R43" s="44"/>
      <c r="S43" s="44"/>
      <c r="T43" s="43"/>
      <c r="U43" s="43" t="str">
        <f t="shared" si="8"/>
        <v>No</v>
      </c>
      <c r="V43" s="25"/>
      <c r="W43" s="25"/>
      <c r="X43" s="25"/>
      <c r="Y43" s="25"/>
      <c r="Z43" s="25"/>
    </row>
    <row r="44" spans="1:26" ht="15.75" customHeight="1" x14ac:dyDescent="0.25">
      <c r="A44" s="25">
        <v>42</v>
      </c>
      <c r="B44" s="37" t="e">
        <f t="shared" ref="B44:D44" si="89">VLOOKUP($A44,[1]Ambiente!$A$1:$O$274,B$1,0)</f>
        <v>#N/A</v>
      </c>
      <c r="C44" s="38" t="e">
        <f t="shared" si="89"/>
        <v>#N/A</v>
      </c>
      <c r="D44" s="39" t="e">
        <f t="shared" si="89"/>
        <v>#N/A</v>
      </c>
      <c r="E44" s="16" t="e">
        <f t="shared" si="1"/>
        <v>#N/A</v>
      </c>
      <c r="F44" s="16" t="e">
        <f t="shared" ref="F44:K44" si="90">VLOOKUP($A44,[1]Ambiente!$A$1:$O$274,F$1,0)</f>
        <v>#N/A</v>
      </c>
      <c r="G44" s="39" t="e">
        <f t="shared" si="90"/>
        <v>#N/A</v>
      </c>
      <c r="H44" s="16" t="e">
        <f t="shared" si="90"/>
        <v>#N/A</v>
      </c>
      <c r="I44" s="16" t="e">
        <f t="shared" si="90"/>
        <v>#N/A</v>
      </c>
      <c r="J44" s="40" t="e">
        <f t="shared" si="90"/>
        <v>#N/A</v>
      </c>
      <c r="K44" s="16" t="e">
        <f t="shared" si="90"/>
        <v>#N/A</v>
      </c>
      <c r="L44" s="40" t="e">
        <f t="shared" si="3"/>
        <v>#N/A</v>
      </c>
      <c r="M44" s="16" t="e">
        <f t="shared" si="4"/>
        <v>#N/A</v>
      </c>
      <c r="N44" s="16" t="e">
        <f t="shared" si="5"/>
        <v>#N/A</v>
      </c>
      <c r="O44" s="16" t="s">
        <v>64</v>
      </c>
      <c r="P44" s="16" t="str">
        <f t="shared" si="6"/>
        <v/>
      </c>
      <c r="Q44" s="41" t="e">
        <f t="shared" si="7"/>
        <v>#N/A</v>
      </c>
      <c r="R44" s="44"/>
      <c r="S44" s="44"/>
      <c r="T44" s="43"/>
      <c r="U44" s="43" t="str">
        <f t="shared" si="8"/>
        <v>No</v>
      </c>
      <c r="V44" s="25"/>
      <c r="W44" s="25"/>
      <c r="X44" s="25"/>
      <c r="Y44" s="25"/>
      <c r="Z44" s="25"/>
    </row>
    <row r="45" spans="1:26" ht="15.75" customHeight="1" x14ac:dyDescent="0.25">
      <c r="A45" s="25">
        <v>43</v>
      </c>
      <c r="B45" s="37" t="e">
        <f t="shared" ref="B45:D45" si="91">VLOOKUP($A45,[1]Ambiente!$A$1:$O$274,B$1,0)</f>
        <v>#N/A</v>
      </c>
      <c r="C45" s="38" t="e">
        <f t="shared" si="91"/>
        <v>#N/A</v>
      </c>
      <c r="D45" s="39" t="e">
        <f t="shared" si="91"/>
        <v>#N/A</v>
      </c>
      <c r="E45" s="16" t="e">
        <f t="shared" si="1"/>
        <v>#N/A</v>
      </c>
      <c r="F45" s="16" t="e">
        <f t="shared" ref="F45:K45" si="92">VLOOKUP($A45,[1]Ambiente!$A$1:$O$274,F$1,0)</f>
        <v>#N/A</v>
      </c>
      <c r="G45" s="39" t="e">
        <f t="shared" si="92"/>
        <v>#N/A</v>
      </c>
      <c r="H45" s="16" t="e">
        <f t="shared" si="92"/>
        <v>#N/A</v>
      </c>
      <c r="I45" s="16" t="e">
        <f t="shared" si="92"/>
        <v>#N/A</v>
      </c>
      <c r="J45" s="40" t="e">
        <f t="shared" si="92"/>
        <v>#N/A</v>
      </c>
      <c r="K45" s="16" t="e">
        <f t="shared" si="92"/>
        <v>#N/A</v>
      </c>
      <c r="L45" s="40" t="e">
        <f t="shared" si="3"/>
        <v>#N/A</v>
      </c>
      <c r="M45" s="16" t="e">
        <f t="shared" si="4"/>
        <v>#N/A</v>
      </c>
      <c r="N45" s="16" t="e">
        <f t="shared" si="5"/>
        <v>#N/A</v>
      </c>
      <c r="O45" s="16" t="s">
        <v>64</v>
      </c>
      <c r="P45" s="16" t="str">
        <f t="shared" si="6"/>
        <v/>
      </c>
      <c r="Q45" s="41" t="e">
        <f t="shared" si="7"/>
        <v>#N/A</v>
      </c>
      <c r="R45" s="44"/>
      <c r="S45" s="44"/>
      <c r="T45" s="43"/>
      <c r="U45" s="43" t="str">
        <f t="shared" si="8"/>
        <v>No</v>
      </c>
      <c r="V45" s="25"/>
      <c r="W45" s="25"/>
      <c r="X45" s="25"/>
      <c r="Y45" s="25"/>
      <c r="Z45" s="25"/>
    </row>
    <row r="46" spans="1:26" ht="15.75" customHeight="1" x14ac:dyDescent="0.25">
      <c r="A46" s="25">
        <v>44</v>
      </c>
      <c r="B46" s="37" t="e">
        <f t="shared" ref="B46:D46" si="93">VLOOKUP($A46,[1]Ambiente!$A$1:$O$274,B$1,0)</f>
        <v>#N/A</v>
      </c>
      <c r="C46" s="38" t="e">
        <f t="shared" si="93"/>
        <v>#N/A</v>
      </c>
      <c r="D46" s="39" t="e">
        <f t="shared" si="93"/>
        <v>#N/A</v>
      </c>
      <c r="E46" s="16" t="e">
        <f t="shared" si="1"/>
        <v>#N/A</v>
      </c>
      <c r="F46" s="16" t="e">
        <f t="shared" ref="F46:K46" si="94">VLOOKUP($A46,[1]Ambiente!$A$1:$O$274,F$1,0)</f>
        <v>#N/A</v>
      </c>
      <c r="G46" s="39" t="e">
        <f t="shared" si="94"/>
        <v>#N/A</v>
      </c>
      <c r="H46" s="16" t="e">
        <f t="shared" si="94"/>
        <v>#N/A</v>
      </c>
      <c r="I46" s="16" t="e">
        <f t="shared" si="94"/>
        <v>#N/A</v>
      </c>
      <c r="J46" s="40" t="e">
        <f t="shared" si="94"/>
        <v>#N/A</v>
      </c>
      <c r="K46" s="16" t="e">
        <f t="shared" si="94"/>
        <v>#N/A</v>
      </c>
      <c r="L46" s="40" t="e">
        <f t="shared" si="3"/>
        <v>#N/A</v>
      </c>
      <c r="M46" s="16" t="e">
        <f t="shared" si="4"/>
        <v>#N/A</v>
      </c>
      <c r="N46" s="16" t="e">
        <f t="shared" si="5"/>
        <v>#N/A</v>
      </c>
      <c r="O46" s="16" t="s">
        <v>64</v>
      </c>
      <c r="P46" s="16" t="str">
        <f t="shared" si="6"/>
        <v/>
      </c>
      <c r="Q46" s="41" t="e">
        <f t="shared" si="7"/>
        <v>#N/A</v>
      </c>
      <c r="R46" s="44"/>
      <c r="S46" s="44"/>
      <c r="T46" s="43"/>
      <c r="U46" s="43" t="str">
        <f t="shared" si="8"/>
        <v>No</v>
      </c>
      <c r="V46" s="25"/>
      <c r="W46" s="25"/>
      <c r="X46" s="25"/>
      <c r="Y46" s="25"/>
      <c r="Z46" s="25"/>
    </row>
    <row r="47" spans="1:26" ht="15.75" customHeight="1" x14ac:dyDescent="0.25">
      <c r="A47" s="25">
        <v>45</v>
      </c>
      <c r="B47" s="37" t="e">
        <f t="shared" ref="B47:D47" si="95">VLOOKUP($A47,[1]Ambiente!$A$1:$O$274,B$1,0)</f>
        <v>#N/A</v>
      </c>
      <c r="C47" s="38" t="e">
        <f t="shared" si="95"/>
        <v>#N/A</v>
      </c>
      <c r="D47" s="39" t="e">
        <f t="shared" si="95"/>
        <v>#N/A</v>
      </c>
      <c r="E47" s="16" t="e">
        <f t="shared" si="1"/>
        <v>#N/A</v>
      </c>
      <c r="F47" s="16" t="e">
        <f t="shared" ref="F47:K47" si="96">VLOOKUP($A47,[1]Ambiente!$A$1:$O$274,F$1,0)</f>
        <v>#N/A</v>
      </c>
      <c r="G47" s="39" t="e">
        <f t="shared" si="96"/>
        <v>#N/A</v>
      </c>
      <c r="H47" s="16" t="e">
        <f t="shared" si="96"/>
        <v>#N/A</v>
      </c>
      <c r="I47" s="16" t="e">
        <f t="shared" si="96"/>
        <v>#N/A</v>
      </c>
      <c r="J47" s="40" t="e">
        <f t="shared" si="96"/>
        <v>#N/A</v>
      </c>
      <c r="K47" s="16" t="e">
        <f t="shared" si="96"/>
        <v>#N/A</v>
      </c>
      <c r="L47" s="40" t="e">
        <f t="shared" si="3"/>
        <v>#N/A</v>
      </c>
      <c r="M47" s="16" t="e">
        <f t="shared" si="4"/>
        <v>#N/A</v>
      </c>
      <c r="N47" s="16" t="e">
        <f t="shared" si="5"/>
        <v>#N/A</v>
      </c>
      <c r="O47" s="16" t="s">
        <v>64</v>
      </c>
      <c r="P47" s="16" t="str">
        <f t="shared" si="6"/>
        <v/>
      </c>
      <c r="Q47" s="41" t="e">
        <f t="shared" si="7"/>
        <v>#N/A</v>
      </c>
      <c r="R47" s="44"/>
      <c r="S47" s="44"/>
      <c r="T47" s="43"/>
      <c r="U47" s="43" t="str">
        <f t="shared" si="8"/>
        <v>No</v>
      </c>
      <c r="V47" s="25"/>
      <c r="W47" s="25"/>
      <c r="X47" s="25"/>
      <c r="Y47" s="25"/>
      <c r="Z47" s="25"/>
    </row>
    <row r="48" spans="1:26" ht="15.75" customHeight="1" x14ac:dyDescent="0.25">
      <c r="A48" s="25">
        <v>46</v>
      </c>
      <c r="B48" s="37" t="e">
        <f t="shared" ref="B48:D48" si="97">VLOOKUP($A48,[1]Ambiente!$A$1:$O$274,B$1,0)</f>
        <v>#N/A</v>
      </c>
      <c r="C48" s="38" t="e">
        <f t="shared" si="97"/>
        <v>#N/A</v>
      </c>
      <c r="D48" s="39" t="e">
        <f t="shared" si="97"/>
        <v>#N/A</v>
      </c>
      <c r="E48" s="16" t="e">
        <f t="shared" si="1"/>
        <v>#N/A</v>
      </c>
      <c r="F48" s="16" t="e">
        <f t="shared" ref="F48:K48" si="98">VLOOKUP($A48,[1]Ambiente!$A$1:$O$274,F$1,0)</f>
        <v>#N/A</v>
      </c>
      <c r="G48" s="39" t="e">
        <f t="shared" si="98"/>
        <v>#N/A</v>
      </c>
      <c r="H48" s="16" t="e">
        <f t="shared" si="98"/>
        <v>#N/A</v>
      </c>
      <c r="I48" s="16" t="e">
        <f t="shared" si="98"/>
        <v>#N/A</v>
      </c>
      <c r="J48" s="40" t="e">
        <f t="shared" si="98"/>
        <v>#N/A</v>
      </c>
      <c r="K48" s="16" t="e">
        <f t="shared" si="98"/>
        <v>#N/A</v>
      </c>
      <c r="L48" s="40" t="e">
        <f t="shared" si="3"/>
        <v>#N/A</v>
      </c>
      <c r="M48" s="16" t="e">
        <f t="shared" si="4"/>
        <v>#N/A</v>
      </c>
      <c r="N48" s="16" t="e">
        <f t="shared" si="5"/>
        <v>#N/A</v>
      </c>
      <c r="O48" s="16" t="s">
        <v>64</v>
      </c>
      <c r="P48" s="16" t="str">
        <f t="shared" si="6"/>
        <v/>
      </c>
      <c r="Q48" s="41" t="e">
        <f t="shared" si="7"/>
        <v>#N/A</v>
      </c>
      <c r="R48" s="44"/>
      <c r="S48" s="44"/>
      <c r="T48" s="43"/>
      <c r="U48" s="43" t="str">
        <f t="shared" si="8"/>
        <v>No</v>
      </c>
      <c r="V48" s="25"/>
      <c r="W48" s="25"/>
      <c r="X48" s="25"/>
      <c r="Y48" s="25"/>
      <c r="Z48" s="25"/>
    </row>
    <row r="49" spans="1:26" ht="15.75" customHeight="1" x14ac:dyDescent="0.25">
      <c r="A49" s="25">
        <v>47</v>
      </c>
      <c r="B49" s="37" t="e">
        <f t="shared" ref="B49:D49" si="99">VLOOKUP($A49,[1]Ambiente!$A$1:$O$274,B$1,0)</f>
        <v>#N/A</v>
      </c>
      <c r="C49" s="38" t="e">
        <f t="shared" si="99"/>
        <v>#N/A</v>
      </c>
      <c r="D49" s="39" t="e">
        <f t="shared" si="99"/>
        <v>#N/A</v>
      </c>
      <c r="E49" s="16" t="e">
        <f t="shared" si="1"/>
        <v>#N/A</v>
      </c>
      <c r="F49" s="16" t="e">
        <f t="shared" ref="F49:K49" si="100">VLOOKUP($A49,[1]Ambiente!$A$1:$O$274,F$1,0)</f>
        <v>#N/A</v>
      </c>
      <c r="G49" s="39" t="e">
        <f t="shared" si="100"/>
        <v>#N/A</v>
      </c>
      <c r="H49" s="16" t="e">
        <f t="shared" si="100"/>
        <v>#N/A</v>
      </c>
      <c r="I49" s="16" t="e">
        <f t="shared" si="100"/>
        <v>#N/A</v>
      </c>
      <c r="J49" s="40" t="e">
        <f t="shared" si="100"/>
        <v>#N/A</v>
      </c>
      <c r="K49" s="16" t="e">
        <f t="shared" si="100"/>
        <v>#N/A</v>
      </c>
      <c r="L49" s="40" t="e">
        <f t="shared" si="3"/>
        <v>#N/A</v>
      </c>
      <c r="M49" s="16" t="e">
        <f t="shared" si="4"/>
        <v>#N/A</v>
      </c>
      <c r="N49" s="16" t="e">
        <f t="shared" si="5"/>
        <v>#N/A</v>
      </c>
      <c r="O49" s="16" t="s">
        <v>64</v>
      </c>
      <c r="P49" s="16" t="str">
        <f t="shared" si="6"/>
        <v/>
      </c>
      <c r="Q49" s="41" t="e">
        <f t="shared" si="7"/>
        <v>#N/A</v>
      </c>
      <c r="R49" s="44"/>
      <c r="S49" s="44"/>
      <c r="T49" s="43"/>
      <c r="U49" s="43" t="str">
        <f t="shared" si="8"/>
        <v>No</v>
      </c>
      <c r="V49" s="25"/>
      <c r="W49" s="25"/>
      <c r="X49" s="25"/>
      <c r="Y49" s="25"/>
      <c r="Z49" s="25"/>
    </row>
    <row r="50" spans="1:26" ht="15.75" customHeight="1" x14ac:dyDescent="0.25">
      <c r="A50" s="25">
        <v>48</v>
      </c>
      <c r="B50" s="37" t="e">
        <f t="shared" ref="B50:D50" si="101">VLOOKUP($A50,[1]Ambiente!$A$1:$O$274,B$1,0)</f>
        <v>#N/A</v>
      </c>
      <c r="C50" s="38" t="e">
        <f t="shared" si="101"/>
        <v>#N/A</v>
      </c>
      <c r="D50" s="39" t="e">
        <f t="shared" si="101"/>
        <v>#N/A</v>
      </c>
      <c r="E50" s="16" t="e">
        <f t="shared" si="1"/>
        <v>#N/A</v>
      </c>
      <c r="F50" s="16" t="e">
        <f t="shared" ref="F50:K50" si="102">VLOOKUP($A50,[1]Ambiente!$A$1:$O$274,F$1,0)</f>
        <v>#N/A</v>
      </c>
      <c r="G50" s="39" t="e">
        <f t="shared" si="102"/>
        <v>#N/A</v>
      </c>
      <c r="H50" s="16" t="e">
        <f t="shared" si="102"/>
        <v>#N/A</v>
      </c>
      <c r="I50" s="16" t="e">
        <f t="shared" si="102"/>
        <v>#N/A</v>
      </c>
      <c r="J50" s="40" t="e">
        <f t="shared" si="102"/>
        <v>#N/A</v>
      </c>
      <c r="K50" s="16" t="e">
        <f t="shared" si="102"/>
        <v>#N/A</v>
      </c>
      <c r="L50" s="40" t="e">
        <f t="shared" si="3"/>
        <v>#N/A</v>
      </c>
      <c r="M50" s="16" t="e">
        <f t="shared" si="4"/>
        <v>#N/A</v>
      </c>
      <c r="N50" s="16" t="e">
        <f t="shared" si="5"/>
        <v>#N/A</v>
      </c>
      <c r="O50" s="16" t="s">
        <v>64</v>
      </c>
      <c r="P50" s="16" t="str">
        <f t="shared" si="6"/>
        <v/>
      </c>
      <c r="Q50" s="41" t="e">
        <f t="shared" si="7"/>
        <v>#N/A</v>
      </c>
      <c r="R50" s="44"/>
      <c r="S50" s="44"/>
      <c r="T50" s="43"/>
      <c r="U50" s="43" t="str">
        <f t="shared" si="8"/>
        <v>No</v>
      </c>
      <c r="V50" s="25"/>
      <c r="W50" s="25"/>
      <c r="X50" s="25"/>
      <c r="Y50" s="25"/>
      <c r="Z50" s="25"/>
    </row>
    <row r="51" spans="1:26" ht="15.75" customHeight="1" x14ac:dyDescent="0.25">
      <c r="A51" s="25">
        <v>49</v>
      </c>
      <c r="B51" s="37" t="e">
        <f t="shared" ref="B51:D51" si="103">VLOOKUP($A51,[1]Ambiente!$A$1:$O$274,B$1,0)</f>
        <v>#N/A</v>
      </c>
      <c r="C51" s="38" t="e">
        <f t="shared" si="103"/>
        <v>#N/A</v>
      </c>
      <c r="D51" s="39" t="e">
        <f t="shared" si="103"/>
        <v>#N/A</v>
      </c>
      <c r="E51" s="16" t="e">
        <f t="shared" si="1"/>
        <v>#N/A</v>
      </c>
      <c r="F51" s="16" t="e">
        <f t="shared" ref="F51:K51" si="104">VLOOKUP($A51,[1]Ambiente!$A$1:$O$274,F$1,0)</f>
        <v>#N/A</v>
      </c>
      <c r="G51" s="39" t="e">
        <f t="shared" si="104"/>
        <v>#N/A</v>
      </c>
      <c r="H51" s="16" t="e">
        <f t="shared" si="104"/>
        <v>#N/A</v>
      </c>
      <c r="I51" s="16" t="e">
        <f t="shared" si="104"/>
        <v>#N/A</v>
      </c>
      <c r="J51" s="40" t="e">
        <f t="shared" si="104"/>
        <v>#N/A</v>
      </c>
      <c r="K51" s="16" t="e">
        <f t="shared" si="104"/>
        <v>#N/A</v>
      </c>
      <c r="L51" s="40" t="e">
        <f t="shared" si="3"/>
        <v>#N/A</v>
      </c>
      <c r="M51" s="16" t="e">
        <f t="shared" si="4"/>
        <v>#N/A</v>
      </c>
      <c r="N51" s="16" t="e">
        <f t="shared" si="5"/>
        <v>#N/A</v>
      </c>
      <c r="O51" s="16" t="s">
        <v>64</v>
      </c>
      <c r="P51" s="16" t="str">
        <f t="shared" si="6"/>
        <v/>
      </c>
      <c r="Q51" s="41" t="e">
        <f t="shared" si="7"/>
        <v>#N/A</v>
      </c>
      <c r="R51" s="44"/>
      <c r="S51" s="44"/>
      <c r="T51" s="43"/>
      <c r="U51" s="43" t="str">
        <f t="shared" si="8"/>
        <v>No</v>
      </c>
      <c r="V51" s="25"/>
      <c r="W51" s="25"/>
      <c r="X51" s="25"/>
      <c r="Y51" s="25"/>
      <c r="Z51" s="25"/>
    </row>
    <row r="52" spans="1:26" ht="15.75" customHeight="1" x14ac:dyDescent="0.25">
      <c r="A52" s="25">
        <v>50</v>
      </c>
      <c r="B52" s="37" t="e">
        <f t="shared" ref="B52:D52" si="105">VLOOKUP($A52,[1]Ambiente!$A$1:$O$274,B$1,0)</f>
        <v>#N/A</v>
      </c>
      <c r="C52" s="38" t="e">
        <f t="shared" si="105"/>
        <v>#N/A</v>
      </c>
      <c r="D52" s="39" t="e">
        <f t="shared" si="105"/>
        <v>#N/A</v>
      </c>
      <c r="E52" s="16" t="e">
        <f t="shared" si="1"/>
        <v>#N/A</v>
      </c>
      <c r="F52" s="16" t="e">
        <f t="shared" ref="F52:K52" si="106">VLOOKUP($A52,[1]Ambiente!$A$1:$O$274,F$1,0)</f>
        <v>#N/A</v>
      </c>
      <c r="G52" s="39" t="e">
        <f t="shared" si="106"/>
        <v>#N/A</v>
      </c>
      <c r="H52" s="16" t="e">
        <f t="shared" si="106"/>
        <v>#N/A</v>
      </c>
      <c r="I52" s="16" t="e">
        <f t="shared" si="106"/>
        <v>#N/A</v>
      </c>
      <c r="J52" s="40" t="e">
        <f t="shared" si="106"/>
        <v>#N/A</v>
      </c>
      <c r="K52" s="16" t="e">
        <f t="shared" si="106"/>
        <v>#N/A</v>
      </c>
      <c r="L52" s="40" t="e">
        <f t="shared" si="3"/>
        <v>#N/A</v>
      </c>
      <c r="M52" s="16" t="e">
        <f t="shared" si="4"/>
        <v>#N/A</v>
      </c>
      <c r="N52" s="16" t="e">
        <f t="shared" si="5"/>
        <v>#N/A</v>
      </c>
      <c r="O52" s="16" t="s">
        <v>64</v>
      </c>
      <c r="P52" s="16" t="str">
        <f t="shared" si="6"/>
        <v/>
      </c>
      <c r="Q52" s="41" t="e">
        <f t="shared" si="7"/>
        <v>#N/A</v>
      </c>
      <c r="R52" s="44"/>
      <c r="S52" s="44"/>
      <c r="T52" s="43"/>
      <c r="U52" s="43" t="str">
        <f t="shared" si="8"/>
        <v>No</v>
      </c>
      <c r="V52" s="25"/>
      <c r="W52" s="25"/>
      <c r="X52" s="25"/>
      <c r="Y52" s="25"/>
      <c r="Z52" s="25"/>
    </row>
    <row r="53" spans="1:26" ht="15.75" customHeight="1" x14ac:dyDescent="0.25">
      <c r="A53" s="25">
        <v>51</v>
      </c>
      <c r="B53" s="37" t="e">
        <f t="shared" ref="B53:D53" si="107">VLOOKUP($A53,[1]Ambiente!$A$1:$O$274,B$1,0)</f>
        <v>#N/A</v>
      </c>
      <c r="C53" s="38" t="e">
        <f t="shared" si="107"/>
        <v>#N/A</v>
      </c>
      <c r="D53" s="39" t="e">
        <f t="shared" si="107"/>
        <v>#N/A</v>
      </c>
      <c r="E53" s="16" t="e">
        <f t="shared" si="1"/>
        <v>#N/A</v>
      </c>
      <c r="F53" s="16" t="e">
        <f t="shared" ref="F53:K53" si="108">VLOOKUP($A53,[1]Ambiente!$A$1:$O$274,F$1,0)</f>
        <v>#N/A</v>
      </c>
      <c r="G53" s="39" t="e">
        <f t="shared" si="108"/>
        <v>#N/A</v>
      </c>
      <c r="H53" s="16" t="e">
        <f t="shared" si="108"/>
        <v>#N/A</v>
      </c>
      <c r="I53" s="16" t="e">
        <f t="shared" si="108"/>
        <v>#N/A</v>
      </c>
      <c r="J53" s="40" t="e">
        <f t="shared" si="108"/>
        <v>#N/A</v>
      </c>
      <c r="K53" s="16" t="e">
        <f t="shared" si="108"/>
        <v>#N/A</v>
      </c>
      <c r="L53" s="40" t="e">
        <f t="shared" si="3"/>
        <v>#N/A</v>
      </c>
      <c r="M53" s="16" t="e">
        <f t="shared" si="4"/>
        <v>#N/A</v>
      </c>
      <c r="N53" s="16" t="e">
        <f t="shared" si="5"/>
        <v>#N/A</v>
      </c>
      <c r="O53" s="16" t="s">
        <v>64</v>
      </c>
      <c r="P53" s="16" t="str">
        <f t="shared" si="6"/>
        <v/>
      </c>
      <c r="Q53" s="41" t="e">
        <f t="shared" si="7"/>
        <v>#N/A</v>
      </c>
      <c r="R53" s="44"/>
      <c r="S53" s="44"/>
      <c r="T53" s="43"/>
      <c r="U53" s="43" t="str">
        <f t="shared" si="8"/>
        <v>No</v>
      </c>
      <c r="V53" s="25"/>
      <c r="W53" s="25"/>
      <c r="X53" s="25"/>
      <c r="Y53" s="25"/>
      <c r="Z53" s="25"/>
    </row>
    <row r="54" spans="1:26" ht="15.75" customHeight="1" x14ac:dyDescent="0.25">
      <c r="A54" s="25">
        <v>52</v>
      </c>
      <c r="B54" s="37" t="e">
        <f t="shared" ref="B54:D54" si="109">VLOOKUP($A54,[1]Ambiente!$A$1:$O$274,B$1,0)</f>
        <v>#N/A</v>
      </c>
      <c r="C54" s="38" t="e">
        <f t="shared" si="109"/>
        <v>#N/A</v>
      </c>
      <c r="D54" s="39" t="e">
        <f t="shared" si="109"/>
        <v>#N/A</v>
      </c>
      <c r="E54" s="16" t="e">
        <f t="shared" si="1"/>
        <v>#N/A</v>
      </c>
      <c r="F54" s="16" t="e">
        <f t="shared" ref="F54:K54" si="110">VLOOKUP($A54,[1]Ambiente!$A$1:$O$274,F$1,0)</f>
        <v>#N/A</v>
      </c>
      <c r="G54" s="39" t="e">
        <f t="shared" si="110"/>
        <v>#N/A</v>
      </c>
      <c r="H54" s="16" t="e">
        <f t="shared" si="110"/>
        <v>#N/A</v>
      </c>
      <c r="I54" s="16" t="e">
        <f t="shared" si="110"/>
        <v>#N/A</v>
      </c>
      <c r="J54" s="40" t="e">
        <f t="shared" si="110"/>
        <v>#N/A</v>
      </c>
      <c r="K54" s="16" t="e">
        <f t="shared" si="110"/>
        <v>#N/A</v>
      </c>
      <c r="L54" s="40" t="e">
        <f t="shared" si="3"/>
        <v>#N/A</v>
      </c>
      <c r="M54" s="16" t="e">
        <f t="shared" si="4"/>
        <v>#N/A</v>
      </c>
      <c r="N54" s="16" t="e">
        <f t="shared" si="5"/>
        <v>#N/A</v>
      </c>
      <c r="O54" s="16" t="s">
        <v>64</v>
      </c>
      <c r="P54" s="16" t="str">
        <f t="shared" si="6"/>
        <v/>
      </c>
      <c r="Q54" s="41" t="e">
        <f t="shared" si="7"/>
        <v>#N/A</v>
      </c>
      <c r="R54" s="44"/>
      <c r="S54" s="44"/>
      <c r="T54" s="43"/>
      <c r="U54" s="43" t="str">
        <f t="shared" si="8"/>
        <v>No</v>
      </c>
      <c r="V54" s="25"/>
      <c r="W54" s="25"/>
      <c r="X54" s="25"/>
      <c r="Y54" s="25"/>
      <c r="Z54" s="25"/>
    </row>
    <row r="55" spans="1:26" ht="15.75" customHeight="1" x14ac:dyDescent="0.25">
      <c r="A55" s="25">
        <v>53</v>
      </c>
      <c r="B55" s="37" t="e">
        <f t="shared" ref="B55:D55" si="111">VLOOKUP($A55,[1]Ambiente!$A$1:$O$274,B$1,0)</f>
        <v>#N/A</v>
      </c>
      <c r="C55" s="38" t="e">
        <f t="shared" si="111"/>
        <v>#N/A</v>
      </c>
      <c r="D55" s="39" t="e">
        <f t="shared" si="111"/>
        <v>#N/A</v>
      </c>
      <c r="E55" s="16" t="e">
        <f t="shared" si="1"/>
        <v>#N/A</v>
      </c>
      <c r="F55" s="16" t="e">
        <f t="shared" ref="F55:K55" si="112">VLOOKUP($A55,[1]Ambiente!$A$1:$O$274,F$1,0)</f>
        <v>#N/A</v>
      </c>
      <c r="G55" s="39" t="e">
        <f t="shared" si="112"/>
        <v>#N/A</v>
      </c>
      <c r="H55" s="16" t="e">
        <f t="shared" si="112"/>
        <v>#N/A</v>
      </c>
      <c r="I55" s="16" t="e">
        <f t="shared" si="112"/>
        <v>#N/A</v>
      </c>
      <c r="J55" s="40" t="e">
        <f t="shared" si="112"/>
        <v>#N/A</v>
      </c>
      <c r="K55" s="16" t="e">
        <f t="shared" si="112"/>
        <v>#N/A</v>
      </c>
      <c r="L55" s="40" t="e">
        <f t="shared" si="3"/>
        <v>#N/A</v>
      </c>
      <c r="M55" s="16" t="e">
        <f t="shared" si="4"/>
        <v>#N/A</v>
      </c>
      <c r="N55" s="16" t="e">
        <f t="shared" si="5"/>
        <v>#N/A</v>
      </c>
      <c r="O55" s="16" t="s">
        <v>64</v>
      </c>
      <c r="P55" s="16" t="str">
        <f t="shared" si="6"/>
        <v/>
      </c>
      <c r="Q55" s="41" t="e">
        <f t="shared" si="7"/>
        <v>#N/A</v>
      </c>
      <c r="R55" s="44"/>
      <c r="S55" s="44"/>
      <c r="T55" s="43"/>
      <c r="U55" s="43" t="str">
        <f t="shared" si="8"/>
        <v>No</v>
      </c>
      <c r="V55" s="25"/>
      <c r="W55" s="25"/>
      <c r="X55" s="25"/>
      <c r="Y55" s="25"/>
      <c r="Z55" s="25"/>
    </row>
    <row r="56" spans="1:26" ht="15.75" customHeight="1" x14ac:dyDescent="0.25">
      <c r="A56" s="25">
        <v>54</v>
      </c>
      <c r="B56" s="37" t="e">
        <f t="shared" ref="B56:D56" si="113">VLOOKUP($A56,[1]Ambiente!$A$1:$O$274,B$1,0)</f>
        <v>#N/A</v>
      </c>
      <c r="C56" s="38" t="e">
        <f t="shared" si="113"/>
        <v>#N/A</v>
      </c>
      <c r="D56" s="39" t="e">
        <f t="shared" si="113"/>
        <v>#N/A</v>
      </c>
      <c r="E56" s="16" t="e">
        <f t="shared" si="1"/>
        <v>#N/A</v>
      </c>
      <c r="F56" s="16" t="e">
        <f t="shared" ref="F56:K56" si="114">VLOOKUP($A56,[1]Ambiente!$A$1:$O$274,F$1,0)</f>
        <v>#N/A</v>
      </c>
      <c r="G56" s="39" t="e">
        <f t="shared" si="114"/>
        <v>#N/A</v>
      </c>
      <c r="H56" s="16" t="e">
        <f t="shared" si="114"/>
        <v>#N/A</v>
      </c>
      <c r="I56" s="16" t="e">
        <f t="shared" si="114"/>
        <v>#N/A</v>
      </c>
      <c r="J56" s="40" t="e">
        <f t="shared" si="114"/>
        <v>#N/A</v>
      </c>
      <c r="K56" s="16" t="e">
        <f t="shared" si="114"/>
        <v>#N/A</v>
      </c>
      <c r="L56" s="40" t="e">
        <f t="shared" si="3"/>
        <v>#N/A</v>
      </c>
      <c r="M56" s="16" t="e">
        <f t="shared" si="4"/>
        <v>#N/A</v>
      </c>
      <c r="N56" s="16" t="e">
        <f t="shared" si="5"/>
        <v>#N/A</v>
      </c>
      <c r="O56" s="16" t="s">
        <v>64</v>
      </c>
      <c r="P56" s="16" t="str">
        <f t="shared" si="6"/>
        <v/>
      </c>
      <c r="Q56" s="41" t="e">
        <f t="shared" si="7"/>
        <v>#N/A</v>
      </c>
      <c r="R56" s="44"/>
      <c r="S56" s="44"/>
      <c r="T56" s="43"/>
      <c r="U56" s="43" t="str">
        <f t="shared" si="8"/>
        <v>No</v>
      </c>
      <c r="V56" s="25"/>
      <c r="W56" s="25"/>
      <c r="X56" s="25"/>
      <c r="Y56" s="25"/>
      <c r="Z56" s="25"/>
    </row>
    <row r="57" spans="1:26" ht="15.75" customHeight="1" x14ac:dyDescent="0.25">
      <c r="A57" s="25">
        <v>55</v>
      </c>
      <c r="B57" s="37" t="e">
        <f t="shared" ref="B57:D57" si="115">VLOOKUP($A57,[1]Ambiente!$A$1:$O$274,B$1,0)</f>
        <v>#N/A</v>
      </c>
      <c r="C57" s="38" t="e">
        <f t="shared" si="115"/>
        <v>#N/A</v>
      </c>
      <c r="D57" s="39" t="e">
        <f t="shared" si="115"/>
        <v>#N/A</v>
      </c>
      <c r="E57" s="16" t="e">
        <f t="shared" si="1"/>
        <v>#N/A</v>
      </c>
      <c r="F57" s="16" t="e">
        <f t="shared" ref="F57:K57" si="116">VLOOKUP($A57,[1]Ambiente!$A$1:$O$274,F$1,0)</f>
        <v>#N/A</v>
      </c>
      <c r="G57" s="39" t="e">
        <f t="shared" si="116"/>
        <v>#N/A</v>
      </c>
      <c r="H57" s="16" t="e">
        <f t="shared" si="116"/>
        <v>#N/A</v>
      </c>
      <c r="I57" s="16" t="e">
        <f t="shared" si="116"/>
        <v>#N/A</v>
      </c>
      <c r="J57" s="40" t="e">
        <f t="shared" si="116"/>
        <v>#N/A</v>
      </c>
      <c r="K57" s="16" t="e">
        <f t="shared" si="116"/>
        <v>#N/A</v>
      </c>
      <c r="L57" s="40" t="e">
        <f t="shared" si="3"/>
        <v>#N/A</v>
      </c>
      <c r="M57" s="16" t="e">
        <f t="shared" si="4"/>
        <v>#N/A</v>
      </c>
      <c r="N57" s="16" t="e">
        <f t="shared" si="5"/>
        <v>#N/A</v>
      </c>
      <c r="O57" s="16" t="s">
        <v>64</v>
      </c>
      <c r="P57" s="16" t="str">
        <f t="shared" si="6"/>
        <v/>
      </c>
      <c r="Q57" s="41" t="e">
        <f t="shared" si="7"/>
        <v>#N/A</v>
      </c>
      <c r="R57" s="44"/>
      <c r="S57" s="44"/>
      <c r="T57" s="43"/>
      <c r="U57" s="43" t="str">
        <f t="shared" si="8"/>
        <v>No</v>
      </c>
      <c r="V57" s="25"/>
      <c r="W57" s="25"/>
      <c r="X57" s="25"/>
      <c r="Y57" s="25"/>
      <c r="Z57" s="25"/>
    </row>
    <row r="58" spans="1:26" ht="15.75" customHeight="1" x14ac:dyDescent="0.25">
      <c r="A58" s="25">
        <v>56</v>
      </c>
      <c r="B58" s="37" t="e">
        <f t="shared" ref="B58:D58" si="117">VLOOKUP($A58,[1]Ambiente!$A$1:$O$274,B$1,0)</f>
        <v>#N/A</v>
      </c>
      <c r="C58" s="38" t="e">
        <f t="shared" si="117"/>
        <v>#N/A</v>
      </c>
      <c r="D58" s="39" t="e">
        <f t="shared" si="117"/>
        <v>#N/A</v>
      </c>
      <c r="E58" s="16" t="e">
        <f t="shared" si="1"/>
        <v>#N/A</v>
      </c>
      <c r="F58" s="16" t="e">
        <f t="shared" ref="F58:K58" si="118">VLOOKUP($A58,[1]Ambiente!$A$1:$O$274,F$1,0)</f>
        <v>#N/A</v>
      </c>
      <c r="G58" s="39" t="e">
        <f t="shared" si="118"/>
        <v>#N/A</v>
      </c>
      <c r="H58" s="16" t="e">
        <f t="shared" si="118"/>
        <v>#N/A</v>
      </c>
      <c r="I58" s="16" t="e">
        <f t="shared" si="118"/>
        <v>#N/A</v>
      </c>
      <c r="J58" s="40" t="e">
        <f t="shared" si="118"/>
        <v>#N/A</v>
      </c>
      <c r="K58" s="16" t="e">
        <f t="shared" si="118"/>
        <v>#N/A</v>
      </c>
      <c r="L58" s="40" t="e">
        <f t="shared" si="3"/>
        <v>#N/A</v>
      </c>
      <c r="M58" s="16" t="e">
        <f t="shared" si="4"/>
        <v>#N/A</v>
      </c>
      <c r="N58" s="16" t="e">
        <f t="shared" si="5"/>
        <v>#N/A</v>
      </c>
      <c r="O58" s="16" t="s">
        <v>64</v>
      </c>
      <c r="P58" s="16" t="str">
        <f t="shared" si="6"/>
        <v/>
      </c>
      <c r="Q58" s="41" t="e">
        <f t="shared" si="7"/>
        <v>#N/A</v>
      </c>
      <c r="R58" s="44"/>
      <c r="S58" s="44"/>
      <c r="T58" s="43"/>
      <c r="U58" s="43" t="str">
        <f t="shared" si="8"/>
        <v>No</v>
      </c>
      <c r="V58" s="25"/>
      <c r="W58" s="25"/>
      <c r="X58" s="25"/>
      <c r="Y58" s="25"/>
      <c r="Z58" s="25"/>
    </row>
    <row r="59" spans="1:26" ht="15.75" customHeight="1" x14ac:dyDescent="0.25">
      <c r="A59" s="25">
        <v>57</v>
      </c>
      <c r="B59" s="37" t="e">
        <f t="shared" ref="B59:D59" si="119">VLOOKUP($A59,[1]Ambiente!$A$1:$O$274,B$1,0)</f>
        <v>#N/A</v>
      </c>
      <c r="C59" s="38" t="e">
        <f t="shared" si="119"/>
        <v>#N/A</v>
      </c>
      <c r="D59" s="39" t="e">
        <f t="shared" si="119"/>
        <v>#N/A</v>
      </c>
      <c r="E59" s="16" t="e">
        <f t="shared" si="1"/>
        <v>#N/A</v>
      </c>
      <c r="F59" s="16" t="e">
        <f t="shared" ref="F59:K59" si="120">VLOOKUP($A59,[1]Ambiente!$A$1:$O$274,F$1,0)</f>
        <v>#N/A</v>
      </c>
      <c r="G59" s="39" t="e">
        <f t="shared" si="120"/>
        <v>#N/A</v>
      </c>
      <c r="H59" s="16" t="e">
        <f t="shared" si="120"/>
        <v>#N/A</v>
      </c>
      <c r="I59" s="16" t="e">
        <f t="shared" si="120"/>
        <v>#N/A</v>
      </c>
      <c r="J59" s="40" t="e">
        <f t="shared" si="120"/>
        <v>#N/A</v>
      </c>
      <c r="K59" s="16" t="e">
        <f t="shared" si="120"/>
        <v>#N/A</v>
      </c>
      <c r="L59" s="40" t="e">
        <f t="shared" si="3"/>
        <v>#N/A</v>
      </c>
      <c r="M59" s="16" t="e">
        <f t="shared" si="4"/>
        <v>#N/A</v>
      </c>
      <c r="N59" s="16" t="e">
        <f t="shared" si="5"/>
        <v>#N/A</v>
      </c>
      <c r="O59" s="16" t="s">
        <v>64</v>
      </c>
      <c r="P59" s="16" t="str">
        <f t="shared" si="6"/>
        <v/>
      </c>
      <c r="Q59" s="41" t="e">
        <f t="shared" si="7"/>
        <v>#N/A</v>
      </c>
      <c r="R59" s="44"/>
      <c r="S59" s="44"/>
      <c r="T59" s="43"/>
      <c r="U59" s="43" t="str">
        <f t="shared" si="8"/>
        <v>No</v>
      </c>
      <c r="V59" s="25"/>
      <c r="W59" s="25"/>
      <c r="X59" s="25"/>
      <c r="Y59" s="25"/>
      <c r="Z59" s="25"/>
    </row>
    <row r="60" spans="1:26" ht="15.75" customHeight="1" x14ac:dyDescent="0.25">
      <c r="A60" s="25">
        <v>58</v>
      </c>
      <c r="B60" s="37" t="e">
        <f t="shared" ref="B60:D60" si="121">VLOOKUP($A60,[1]Ambiente!$A$1:$O$274,B$1,0)</f>
        <v>#N/A</v>
      </c>
      <c r="C60" s="38" t="e">
        <f t="shared" si="121"/>
        <v>#N/A</v>
      </c>
      <c r="D60" s="39" t="e">
        <f t="shared" si="121"/>
        <v>#N/A</v>
      </c>
      <c r="E60" s="16" t="e">
        <f t="shared" si="1"/>
        <v>#N/A</v>
      </c>
      <c r="F60" s="16" t="e">
        <f t="shared" ref="F60:K60" si="122">VLOOKUP($A60,[1]Ambiente!$A$1:$O$274,F$1,0)</f>
        <v>#N/A</v>
      </c>
      <c r="G60" s="39" t="e">
        <f t="shared" si="122"/>
        <v>#N/A</v>
      </c>
      <c r="H60" s="16" t="e">
        <f t="shared" si="122"/>
        <v>#N/A</v>
      </c>
      <c r="I60" s="16" t="e">
        <f t="shared" si="122"/>
        <v>#N/A</v>
      </c>
      <c r="J60" s="40" t="e">
        <f t="shared" si="122"/>
        <v>#N/A</v>
      </c>
      <c r="K60" s="16" t="e">
        <f t="shared" si="122"/>
        <v>#N/A</v>
      </c>
      <c r="L60" s="40" t="e">
        <f t="shared" si="3"/>
        <v>#N/A</v>
      </c>
      <c r="M60" s="16" t="e">
        <f t="shared" si="4"/>
        <v>#N/A</v>
      </c>
      <c r="N60" s="16" t="e">
        <f t="shared" si="5"/>
        <v>#N/A</v>
      </c>
      <c r="O60" s="16" t="s">
        <v>64</v>
      </c>
      <c r="P60" s="16" t="str">
        <f t="shared" si="6"/>
        <v/>
      </c>
      <c r="Q60" s="41" t="e">
        <f t="shared" si="7"/>
        <v>#N/A</v>
      </c>
      <c r="R60" s="44"/>
      <c r="S60" s="44"/>
      <c r="T60" s="43"/>
      <c r="U60" s="43" t="str">
        <f t="shared" si="8"/>
        <v>No</v>
      </c>
      <c r="V60" s="25"/>
      <c r="W60" s="25"/>
      <c r="X60" s="25"/>
      <c r="Y60" s="25"/>
      <c r="Z60" s="25"/>
    </row>
    <row r="61" spans="1:26" ht="15.75" customHeight="1" x14ac:dyDescent="0.25">
      <c r="A61" s="25">
        <v>59</v>
      </c>
      <c r="B61" s="37" t="e">
        <f t="shared" ref="B61:D61" si="123">VLOOKUP($A61,[1]Ambiente!$A$1:$O$274,B$1,0)</f>
        <v>#N/A</v>
      </c>
      <c r="C61" s="38" t="e">
        <f t="shared" si="123"/>
        <v>#N/A</v>
      </c>
      <c r="D61" s="39" t="e">
        <f t="shared" si="123"/>
        <v>#N/A</v>
      </c>
      <c r="E61" s="16" t="e">
        <f t="shared" si="1"/>
        <v>#N/A</v>
      </c>
      <c r="F61" s="16" t="e">
        <f t="shared" ref="F61:K61" si="124">VLOOKUP($A61,[1]Ambiente!$A$1:$O$274,F$1,0)</f>
        <v>#N/A</v>
      </c>
      <c r="G61" s="39" t="e">
        <f t="shared" si="124"/>
        <v>#N/A</v>
      </c>
      <c r="H61" s="16" t="e">
        <f t="shared" si="124"/>
        <v>#N/A</v>
      </c>
      <c r="I61" s="16" t="e">
        <f t="shared" si="124"/>
        <v>#N/A</v>
      </c>
      <c r="J61" s="40" t="e">
        <f t="shared" si="124"/>
        <v>#N/A</v>
      </c>
      <c r="K61" s="16" t="e">
        <f t="shared" si="124"/>
        <v>#N/A</v>
      </c>
      <c r="L61" s="40" t="e">
        <f t="shared" si="3"/>
        <v>#N/A</v>
      </c>
      <c r="M61" s="16" t="e">
        <f t="shared" si="4"/>
        <v>#N/A</v>
      </c>
      <c r="N61" s="16" t="e">
        <f t="shared" si="5"/>
        <v>#N/A</v>
      </c>
      <c r="O61" s="16" t="s">
        <v>64</v>
      </c>
      <c r="P61" s="16" t="str">
        <f t="shared" si="6"/>
        <v/>
      </c>
      <c r="Q61" s="41" t="e">
        <f t="shared" si="7"/>
        <v>#N/A</v>
      </c>
      <c r="R61" s="44"/>
      <c r="S61" s="44"/>
      <c r="T61" s="43"/>
      <c r="U61" s="43" t="str">
        <f t="shared" si="8"/>
        <v>No</v>
      </c>
      <c r="V61" s="25"/>
      <c r="W61" s="25"/>
      <c r="X61" s="25"/>
      <c r="Y61" s="25"/>
      <c r="Z61" s="25"/>
    </row>
    <row r="62" spans="1:26" ht="15.75" customHeight="1" x14ac:dyDescent="0.25">
      <c r="A62" s="25">
        <v>60</v>
      </c>
      <c r="B62" s="37" t="e">
        <f t="shared" ref="B62:D62" si="125">VLOOKUP($A62,[1]Ambiente!$A$1:$O$274,B$1,0)</f>
        <v>#N/A</v>
      </c>
      <c r="C62" s="38" t="e">
        <f t="shared" si="125"/>
        <v>#N/A</v>
      </c>
      <c r="D62" s="39" t="e">
        <f t="shared" si="125"/>
        <v>#N/A</v>
      </c>
      <c r="E62" s="16" t="e">
        <f t="shared" si="1"/>
        <v>#N/A</v>
      </c>
      <c r="F62" s="16" t="e">
        <f t="shared" ref="F62:K62" si="126">VLOOKUP($A62,[1]Ambiente!$A$1:$O$274,F$1,0)</f>
        <v>#N/A</v>
      </c>
      <c r="G62" s="39" t="e">
        <f t="shared" si="126"/>
        <v>#N/A</v>
      </c>
      <c r="H62" s="16" t="e">
        <f t="shared" si="126"/>
        <v>#N/A</v>
      </c>
      <c r="I62" s="16" t="e">
        <f t="shared" si="126"/>
        <v>#N/A</v>
      </c>
      <c r="J62" s="40" t="e">
        <f t="shared" si="126"/>
        <v>#N/A</v>
      </c>
      <c r="K62" s="16" t="e">
        <f t="shared" si="126"/>
        <v>#N/A</v>
      </c>
      <c r="L62" s="40" t="e">
        <f t="shared" si="3"/>
        <v>#N/A</v>
      </c>
      <c r="M62" s="16" t="e">
        <f t="shared" si="4"/>
        <v>#N/A</v>
      </c>
      <c r="N62" s="16" t="e">
        <f t="shared" si="5"/>
        <v>#N/A</v>
      </c>
      <c r="O62" s="16" t="s">
        <v>64</v>
      </c>
      <c r="P62" s="16" t="str">
        <f t="shared" si="6"/>
        <v/>
      </c>
      <c r="Q62" s="41" t="e">
        <f t="shared" si="7"/>
        <v>#N/A</v>
      </c>
      <c r="R62" s="44"/>
      <c r="S62" s="44"/>
      <c r="T62" s="43"/>
      <c r="U62" s="43" t="str">
        <f t="shared" si="8"/>
        <v>No</v>
      </c>
      <c r="V62" s="25"/>
      <c r="W62" s="25"/>
      <c r="X62" s="25"/>
      <c r="Y62" s="25"/>
      <c r="Z62" s="25"/>
    </row>
    <row r="63" spans="1:26" ht="15.75" customHeight="1" x14ac:dyDescent="0.25">
      <c r="A63" s="25">
        <v>61</v>
      </c>
      <c r="B63" s="37" t="e">
        <f t="shared" ref="B63:D63" si="127">VLOOKUP($A63,[1]Ambiente!$A$1:$O$274,B$1,0)</f>
        <v>#N/A</v>
      </c>
      <c r="C63" s="38" t="e">
        <f t="shared" si="127"/>
        <v>#N/A</v>
      </c>
      <c r="D63" s="39" t="e">
        <f t="shared" si="127"/>
        <v>#N/A</v>
      </c>
      <c r="E63" s="16" t="e">
        <f t="shared" si="1"/>
        <v>#N/A</v>
      </c>
      <c r="F63" s="16" t="e">
        <f t="shared" ref="F63:K63" si="128">VLOOKUP($A63,[1]Ambiente!$A$1:$O$274,F$1,0)</f>
        <v>#N/A</v>
      </c>
      <c r="G63" s="39" t="e">
        <f t="shared" si="128"/>
        <v>#N/A</v>
      </c>
      <c r="H63" s="16" t="e">
        <f t="shared" si="128"/>
        <v>#N/A</v>
      </c>
      <c r="I63" s="16" t="e">
        <f t="shared" si="128"/>
        <v>#N/A</v>
      </c>
      <c r="J63" s="40" t="e">
        <f t="shared" si="128"/>
        <v>#N/A</v>
      </c>
      <c r="K63" s="16" t="e">
        <f t="shared" si="128"/>
        <v>#N/A</v>
      </c>
      <c r="L63" s="40" t="e">
        <f t="shared" si="3"/>
        <v>#N/A</v>
      </c>
      <c r="M63" s="16" t="e">
        <f t="shared" si="4"/>
        <v>#N/A</v>
      </c>
      <c r="N63" s="16" t="e">
        <f t="shared" si="5"/>
        <v>#N/A</v>
      </c>
      <c r="O63" s="16" t="s">
        <v>64</v>
      </c>
      <c r="P63" s="16" t="str">
        <f t="shared" si="6"/>
        <v/>
      </c>
      <c r="Q63" s="41" t="e">
        <f t="shared" si="7"/>
        <v>#N/A</v>
      </c>
      <c r="R63" s="44"/>
      <c r="S63" s="44"/>
      <c r="T63" s="43"/>
      <c r="U63" s="43" t="str">
        <f t="shared" si="8"/>
        <v>No</v>
      </c>
      <c r="V63" s="25"/>
      <c r="W63" s="25"/>
      <c r="X63" s="25"/>
      <c r="Y63" s="25"/>
      <c r="Z63" s="25"/>
    </row>
    <row r="64" spans="1:26" ht="15.75" customHeight="1" x14ac:dyDescent="0.25">
      <c r="A64" s="25">
        <v>62</v>
      </c>
      <c r="B64" s="37" t="e">
        <f t="shared" ref="B64:D64" si="129">VLOOKUP($A64,[1]Ambiente!$A$1:$O$274,B$1,0)</f>
        <v>#N/A</v>
      </c>
      <c r="C64" s="38" t="e">
        <f t="shared" si="129"/>
        <v>#N/A</v>
      </c>
      <c r="D64" s="39" t="e">
        <f t="shared" si="129"/>
        <v>#N/A</v>
      </c>
      <c r="E64" s="16" t="e">
        <f t="shared" si="1"/>
        <v>#N/A</v>
      </c>
      <c r="F64" s="16" t="e">
        <f t="shared" ref="F64:K64" si="130">VLOOKUP($A64,[1]Ambiente!$A$1:$O$274,F$1,0)</f>
        <v>#N/A</v>
      </c>
      <c r="G64" s="39" t="e">
        <f t="shared" si="130"/>
        <v>#N/A</v>
      </c>
      <c r="H64" s="16" t="e">
        <f t="shared" si="130"/>
        <v>#N/A</v>
      </c>
      <c r="I64" s="16" t="e">
        <f t="shared" si="130"/>
        <v>#N/A</v>
      </c>
      <c r="J64" s="40" t="e">
        <f t="shared" si="130"/>
        <v>#N/A</v>
      </c>
      <c r="K64" s="16" t="e">
        <f t="shared" si="130"/>
        <v>#N/A</v>
      </c>
      <c r="L64" s="40" t="e">
        <f t="shared" si="3"/>
        <v>#N/A</v>
      </c>
      <c r="M64" s="16" t="e">
        <f t="shared" si="4"/>
        <v>#N/A</v>
      </c>
      <c r="N64" s="16" t="e">
        <f t="shared" si="5"/>
        <v>#N/A</v>
      </c>
      <c r="O64" s="16" t="s">
        <v>64</v>
      </c>
      <c r="P64" s="16" t="str">
        <f t="shared" si="6"/>
        <v/>
      </c>
      <c r="Q64" s="41" t="e">
        <f t="shared" si="7"/>
        <v>#N/A</v>
      </c>
      <c r="R64" s="44"/>
      <c r="S64" s="44"/>
      <c r="T64" s="43"/>
      <c r="U64" s="43" t="str">
        <f t="shared" si="8"/>
        <v>No</v>
      </c>
      <c r="V64" s="25"/>
      <c r="W64" s="25"/>
      <c r="X64" s="25"/>
      <c r="Y64" s="25"/>
      <c r="Z64" s="25"/>
    </row>
    <row r="65" spans="1:26" ht="15.75" customHeight="1" x14ac:dyDescent="0.25">
      <c r="A65" s="25">
        <v>63</v>
      </c>
      <c r="B65" s="37" t="e">
        <f t="shared" ref="B65:D65" si="131">VLOOKUP($A65,[1]Ambiente!$A$1:$O$274,B$1,0)</f>
        <v>#N/A</v>
      </c>
      <c r="C65" s="38" t="e">
        <f t="shared" si="131"/>
        <v>#N/A</v>
      </c>
      <c r="D65" s="39" t="e">
        <f t="shared" si="131"/>
        <v>#N/A</v>
      </c>
      <c r="E65" s="16" t="e">
        <f t="shared" si="1"/>
        <v>#N/A</v>
      </c>
      <c r="F65" s="16" t="e">
        <f t="shared" ref="F65:K65" si="132">VLOOKUP($A65,[1]Ambiente!$A$1:$O$274,F$1,0)</f>
        <v>#N/A</v>
      </c>
      <c r="G65" s="39" t="e">
        <f t="shared" si="132"/>
        <v>#N/A</v>
      </c>
      <c r="H65" s="16" t="e">
        <f t="shared" si="132"/>
        <v>#N/A</v>
      </c>
      <c r="I65" s="16" t="e">
        <f t="shared" si="132"/>
        <v>#N/A</v>
      </c>
      <c r="J65" s="40" t="e">
        <f t="shared" si="132"/>
        <v>#N/A</v>
      </c>
      <c r="K65" s="16" t="e">
        <f t="shared" si="132"/>
        <v>#N/A</v>
      </c>
      <c r="L65" s="40" t="e">
        <f t="shared" si="3"/>
        <v>#N/A</v>
      </c>
      <c r="M65" s="16" t="e">
        <f t="shared" si="4"/>
        <v>#N/A</v>
      </c>
      <c r="N65" s="16" t="e">
        <f t="shared" si="5"/>
        <v>#N/A</v>
      </c>
      <c r="O65" s="16" t="s">
        <v>64</v>
      </c>
      <c r="P65" s="16" t="str">
        <f t="shared" si="6"/>
        <v/>
      </c>
      <c r="Q65" s="41" t="e">
        <f t="shared" si="7"/>
        <v>#N/A</v>
      </c>
      <c r="R65" s="44"/>
      <c r="S65" s="44"/>
      <c r="T65" s="43"/>
      <c r="U65" s="43" t="str">
        <f t="shared" si="8"/>
        <v>No</v>
      </c>
      <c r="V65" s="25"/>
      <c r="W65" s="25"/>
      <c r="X65" s="25"/>
      <c r="Y65" s="25"/>
      <c r="Z65" s="25"/>
    </row>
    <row r="66" spans="1:26" ht="15.75" customHeight="1" x14ac:dyDescent="0.25">
      <c r="A66" s="25">
        <v>64</v>
      </c>
      <c r="B66" s="37" t="e">
        <f t="shared" ref="B66:D66" si="133">VLOOKUP($A66,[1]Ambiente!$A$1:$O$274,B$1,0)</f>
        <v>#N/A</v>
      </c>
      <c r="C66" s="38" t="e">
        <f t="shared" si="133"/>
        <v>#N/A</v>
      </c>
      <c r="D66" s="39" t="e">
        <f t="shared" si="133"/>
        <v>#N/A</v>
      </c>
      <c r="E66" s="16" t="e">
        <f t="shared" si="1"/>
        <v>#N/A</v>
      </c>
      <c r="F66" s="16" t="e">
        <f t="shared" ref="F66:K66" si="134">VLOOKUP($A66,[1]Ambiente!$A$1:$O$274,F$1,0)</f>
        <v>#N/A</v>
      </c>
      <c r="G66" s="39" t="e">
        <f t="shared" si="134"/>
        <v>#N/A</v>
      </c>
      <c r="H66" s="16" t="e">
        <f t="shared" si="134"/>
        <v>#N/A</v>
      </c>
      <c r="I66" s="16" t="e">
        <f t="shared" si="134"/>
        <v>#N/A</v>
      </c>
      <c r="J66" s="40" t="e">
        <f t="shared" si="134"/>
        <v>#N/A</v>
      </c>
      <c r="K66" s="16" t="e">
        <f t="shared" si="134"/>
        <v>#N/A</v>
      </c>
      <c r="L66" s="40" t="e">
        <f t="shared" si="3"/>
        <v>#N/A</v>
      </c>
      <c r="M66" s="16" t="e">
        <f t="shared" si="4"/>
        <v>#N/A</v>
      </c>
      <c r="N66" s="16" t="e">
        <f t="shared" si="5"/>
        <v>#N/A</v>
      </c>
      <c r="O66" s="16" t="s">
        <v>64</v>
      </c>
      <c r="P66" s="16" t="str">
        <f t="shared" si="6"/>
        <v/>
      </c>
      <c r="Q66" s="41" t="e">
        <f t="shared" si="7"/>
        <v>#N/A</v>
      </c>
      <c r="R66" s="44"/>
      <c r="S66" s="44"/>
      <c r="T66" s="43"/>
      <c r="U66" s="43" t="str">
        <f t="shared" si="8"/>
        <v>No</v>
      </c>
      <c r="V66" s="25"/>
      <c r="W66" s="25"/>
      <c r="X66" s="25"/>
      <c r="Y66" s="25"/>
      <c r="Z66" s="25"/>
    </row>
    <row r="67" spans="1:26" ht="15.75" customHeight="1" x14ac:dyDescent="0.25">
      <c r="A67" s="25">
        <v>65</v>
      </c>
      <c r="B67" s="37" t="e">
        <f t="shared" ref="B67:D67" si="135">VLOOKUP($A67,[1]Ambiente!$A$1:$O$274,B$1,0)</f>
        <v>#N/A</v>
      </c>
      <c r="C67" s="38" t="e">
        <f t="shared" si="135"/>
        <v>#N/A</v>
      </c>
      <c r="D67" s="39" t="e">
        <f t="shared" si="135"/>
        <v>#N/A</v>
      </c>
      <c r="E67" s="16" t="e">
        <f t="shared" si="1"/>
        <v>#N/A</v>
      </c>
      <c r="F67" s="16" t="e">
        <f t="shared" ref="F67:K67" si="136">VLOOKUP($A67,[1]Ambiente!$A$1:$O$274,F$1,0)</f>
        <v>#N/A</v>
      </c>
      <c r="G67" s="39" t="e">
        <f t="shared" si="136"/>
        <v>#N/A</v>
      </c>
      <c r="H67" s="16" t="e">
        <f t="shared" si="136"/>
        <v>#N/A</v>
      </c>
      <c r="I67" s="16" t="e">
        <f t="shared" si="136"/>
        <v>#N/A</v>
      </c>
      <c r="J67" s="40" t="e">
        <f t="shared" si="136"/>
        <v>#N/A</v>
      </c>
      <c r="K67" s="16" t="e">
        <f t="shared" si="136"/>
        <v>#N/A</v>
      </c>
      <c r="L67" s="40" t="e">
        <f t="shared" si="3"/>
        <v>#N/A</v>
      </c>
      <c r="M67" s="16" t="e">
        <f t="shared" si="4"/>
        <v>#N/A</v>
      </c>
      <c r="N67" s="16" t="e">
        <f t="shared" si="5"/>
        <v>#N/A</v>
      </c>
      <c r="O67" s="16" t="s">
        <v>64</v>
      </c>
      <c r="P67" s="16" t="str">
        <f t="shared" si="6"/>
        <v/>
      </c>
      <c r="Q67" s="41" t="e">
        <f t="shared" si="7"/>
        <v>#N/A</v>
      </c>
      <c r="R67" s="44"/>
      <c r="S67" s="44"/>
      <c r="T67" s="43"/>
      <c r="U67" s="43" t="str">
        <f t="shared" si="8"/>
        <v>No</v>
      </c>
      <c r="V67" s="25"/>
      <c r="W67" s="25"/>
      <c r="X67" s="25"/>
      <c r="Y67" s="25"/>
      <c r="Z67" s="25"/>
    </row>
    <row r="68" spans="1:26" ht="15.75" customHeight="1" x14ac:dyDescent="0.25">
      <c r="A68" s="25">
        <v>66</v>
      </c>
      <c r="B68" s="37" t="e">
        <f t="shared" ref="B68:D68" si="137">VLOOKUP($A68,[1]Ambiente!$A$1:$O$274,B$1,0)</f>
        <v>#N/A</v>
      </c>
      <c r="C68" s="38" t="e">
        <f t="shared" si="137"/>
        <v>#N/A</v>
      </c>
      <c r="D68" s="39" t="e">
        <f t="shared" si="137"/>
        <v>#N/A</v>
      </c>
      <c r="E68" s="16" t="e">
        <f t="shared" si="1"/>
        <v>#N/A</v>
      </c>
      <c r="F68" s="16" t="e">
        <f t="shared" ref="F68:K68" si="138">VLOOKUP($A68,[1]Ambiente!$A$1:$O$274,F$1,0)</f>
        <v>#N/A</v>
      </c>
      <c r="G68" s="39" t="e">
        <f t="shared" si="138"/>
        <v>#N/A</v>
      </c>
      <c r="H68" s="16" t="e">
        <f t="shared" si="138"/>
        <v>#N/A</v>
      </c>
      <c r="I68" s="16" t="e">
        <f t="shared" si="138"/>
        <v>#N/A</v>
      </c>
      <c r="J68" s="40" t="e">
        <f t="shared" si="138"/>
        <v>#N/A</v>
      </c>
      <c r="K68" s="16" t="e">
        <f t="shared" si="138"/>
        <v>#N/A</v>
      </c>
      <c r="L68" s="40" t="e">
        <f t="shared" si="3"/>
        <v>#N/A</v>
      </c>
      <c r="M68" s="16" t="e">
        <f t="shared" si="4"/>
        <v>#N/A</v>
      </c>
      <c r="N68" s="16" t="e">
        <f t="shared" si="5"/>
        <v>#N/A</v>
      </c>
      <c r="O68" s="16" t="s">
        <v>64</v>
      </c>
      <c r="P68" s="16" t="str">
        <f t="shared" si="6"/>
        <v/>
      </c>
      <c r="Q68" s="41" t="e">
        <f t="shared" si="7"/>
        <v>#N/A</v>
      </c>
      <c r="R68" s="44"/>
      <c r="S68" s="44"/>
      <c r="T68" s="43"/>
      <c r="U68" s="43" t="str">
        <f t="shared" si="8"/>
        <v>No</v>
      </c>
      <c r="V68" s="25"/>
      <c r="W68" s="25"/>
      <c r="X68" s="25"/>
      <c r="Y68" s="25"/>
      <c r="Z68" s="25"/>
    </row>
    <row r="69" spans="1:26" ht="15.75" customHeight="1" x14ac:dyDescent="0.25">
      <c r="A69" s="25">
        <v>67</v>
      </c>
      <c r="B69" s="37" t="e">
        <f t="shared" ref="B69:D69" si="139">VLOOKUP($A69,[1]Ambiente!$A$1:$O$274,B$1,0)</f>
        <v>#N/A</v>
      </c>
      <c r="C69" s="38" t="e">
        <f t="shared" si="139"/>
        <v>#N/A</v>
      </c>
      <c r="D69" s="39" t="e">
        <f t="shared" si="139"/>
        <v>#N/A</v>
      </c>
      <c r="E69" s="16" t="e">
        <f t="shared" si="1"/>
        <v>#N/A</v>
      </c>
      <c r="F69" s="16" t="e">
        <f t="shared" ref="F69:K69" si="140">VLOOKUP($A69,[1]Ambiente!$A$1:$O$274,F$1,0)</f>
        <v>#N/A</v>
      </c>
      <c r="G69" s="39" t="e">
        <f t="shared" si="140"/>
        <v>#N/A</v>
      </c>
      <c r="H69" s="16" t="e">
        <f t="shared" si="140"/>
        <v>#N/A</v>
      </c>
      <c r="I69" s="16" t="e">
        <f t="shared" si="140"/>
        <v>#N/A</v>
      </c>
      <c r="J69" s="40" t="e">
        <f t="shared" si="140"/>
        <v>#N/A</v>
      </c>
      <c r="K69" s="16" t="e">
        <f t="shared" si="140"/>
        <v>#N/A</v>
      </c>
      <c r="L69" s="40" t="e">
        <f t="shared" si="3"/>
        <v>#N/A</v>
      </c>
      <c r="M69" s="16" t="e">
        <f t="shared" si="4"/>
        <v>#N/A</v>
      </c>
      <c r="N69" s="16" t="e">
        <f t="shared" si="5"/>
        <v>#N/A</v>
      </c>
      <c r="O69" s="16" t="s">
        <v>64</v>
      </c>
      <c r="P69" s="16" t="str">
        <f t="shared" si="6"/>
        <v/>
      </c>
      <c r="Q69" s="41" t="e">
        <f t="shared" si="7"/>
        <v>#N/A</v>
      </c>
      <c r="R69" s="44"/>
      <c r="S69" s="44"/>
      <c r="T69" s="43"/>
      <c r="U69" s="43" t="str">
        <f t="shared" si="8"/>
        <v>No</v>
      </c>
      <c r="V69" s="25"/>
      <c r="W69" s="25"/>
      <c r="X69" s="25"/>
      <c r="Y69" s="25"/>
      <c r="Z69" s="25"/>
    </row>
    <row r="70" spans="1:26" ht="15.75" customHeight="1" x14ac:dyDescent="0.25">
      <c r="A70" s="25">
        <v>68</v>
      </c>
      <c r="B70" s="37" t="e">
        <f t="shared" ref="B70:D70" si="141">VLOOKUP($A70,[1]Ambiente!$A$1:$O$274,B$1,0)</f>
        <v>#N/A</v>
      </c>
      <c r="C70" s="38" t="e">
        <f t="shared" si="141"/>
        <v>#N/A</v>
      </c>
      <c r="D70" s="39" t="e">
        <f t="shared" si="141"/>
        <v>#N/A</v>
      </c>
      <c r="E70" s="16" t="e">
        <f t="shared" si="1"/>
        <v>#N/A</v>
      </c>
      <c r="F70" s="16" t="e">
        <f t="shared" ref="F70:K70" si="142">VLOOKUP($A70,[1]Ambiente!$A$1:$O$274,F$1,0)</f>
        <v>#N/A</v>
      </c>
      <c r="G70" s="39" t="e">
        <f t="shared" si="142"/>
        <v>#N/A</v>
      </c>
      <c r="H70" s="16" t="e">
        <f t="shared" si="142"/>
        <v>#N/A</v>
      </c>
      <c r="I70" s="16" t="e">
        <f t="shared" si="142"/>
        <v>#N/A</v>
      </c>
      <c r="J70" s="40" t="e">
        <f t="shared" si="142"/>
        <v>#N/A</v>
      </c>
      <c r="K70" s="16" t="e">
        <f t="shared" si="142"/>
        <v>#N/A</v>
      </c>
      <c r="L70" s="40" t="e">
        <f t="shared" si="3"/>
        <v>#N/A</v>
      </c>
      <c r="M70" s="16" t="e">
        <f t="shared" si="4"/>
        <v>#N/A</v>
      </c>
      <c r="N70" s="16" t="e">
        <f t="shared" si="5"/>
        <v>#N/A</v>
      </c>
      <c r="O70" s="16" t="s">
        <v>64</v>
      </c>
      <c r="P70" s="16" t="str">
        <f t="shared" si="6"/>
        <v/>
      </c>
      <c r="Q70" s="41" t="e">
        <f t="shared" si="7"/>
        <v>#N/A</v>
      </c>
      <c r="R70" s="44"/>
      <c r="S70" s="44"/>
      <c r="T70" s="43"/>
      <c r="U70" s="43" t="str">
        <f t="shared" si="8"/>
        <v>No</v>
      </c>
      <c r="V70" s="25"/>
      <c r="W70" s="25"/>
      <c r="X70" s="25"/>
      <c r="Y70" s="25"/>
      <c r="Z70" s="25"/>
    </row>
    <row r="71" spans="1:26" ht="15.75" customHeight="1" x14ac:dyDescent="0.25">
      <c r="A71" s="25">
        <v>69</v>
      </c>
      <c r="B71" s="37" t="e">
        <f t="shared" ref="B71:D71" si="143">VLOOKUP($A71,[1]Ambiente!$A$1:$O$274,B$1,0)</f>
        <v>#N/A</v>
      </c>
      <c r="C71" s="38" t="e">
        <f t="shared" si="143"/>
        <v>#N/A</v>
      </c>
      <c r="D71" s="39" t="e">
        <f t="shared" si="143"/>
        <v>#N/A</v>
      </c>
      <c r="E71" s="16" t="e">
        <f t="shared" si="1"/>
        <v>#N/A</v>
      </c>
      <c r="F71" s="16" t="e">
        <f t="shared" ref="F71:K71" si="144">VLOOKUP($A71,[1]Ambiente!$A$1:$O$274,F$1,0)</f>
        <v>#N/A</v>
      </c>
      <c r="G71" s="39" t="e">
        <f t="shared" si="144"/>
        <v>#N/A</v>
      </c>
      <c r="H71" s="16" t="e">
        <f t="shared" si="144"/>
        <v>#N/A</v>
      </c>
      <c r="I71" s="16" t="e">
        <f t="shared" si="144"/>
        <v>#N/A</v>
      </c>
      <c r="J71" s="40" t="e">
        <f t="shared" si="144"/>
        <v>#N/A</v>
      </c>
      <c r="K71" s="16" t="e">
        <f t="shared" si="144"/>
        <v>#N/A</v>
      </c>
      <c r="L71" s="40" t="e">
        <f t="shared" si="3"/>
        <v>#N/A</v>
      </c>
      <c r="M71" s="16" t="e">
        <f t="shared" si="4"/>
        <v>#N/A</v>
      </c>
      <c r="N71" s="16" t="e">
        <f t="shared" si="5"/>
        <v>#N/A</v>
      </c>
      <c r="O71" s="16" t="s">
        <v>64</v>
      </c>
      <c r="P71" s="16" t="str">
        <f t="shared" si="6"/>
        <v/>
      </c>
      <c r="Q71" s="41" t="e">
        <f t="shared" si="7"/>
        <v>#N/A</v>
      </c>
      <c r="R71" s="44"/>
      <c r="S71" s="44"/>
      <c r="T71" s="43"/>
      <c r="U71" s="43" t="str">
        <f t="shared" si="8"/>
        <v>No</v>
      </c>
      <c r="V71" s="25"/>
      <c r="W71" s="25"/>
      <c r="X71" s="25"/>
      <c r="Y71" s="25"/>
      <c r="Z71" s="25"/>
    </row>
    <row r="72" spans="1:26" ht="15.75" customHeight="1" x14ac:dyDescent="0.25">
      <c r="A72" s="25">
        <v>70</v>
      </c>
      <c r="B72" s="37" t="e">
        <f t="shared" ref="B72:D72" si="145">VLOOKUP($A72,[1]Ambiente!$A$1:$O$274,B$1,0)</f>
        <v>#N/A</v>
      </c>
      <c r="C72" s="38" t="e">
        <f t="shared" si="145"/>
        <v>#N/A</v>
      </c>
      <c r="D72" s="39" t="e">
        <f t="shared" si="145"/>
        <v>#N/A</v>
      </c>
      <c r="E72" s="16" t="e">
        <f t="shared" si="1"/>
        <v>#N/A</v>
      </c>
      <c r="F72" s="16" t="e">
        <f t="shared" ref="F72:K72" si="146">VLOOKUP($A72,[1]Ambiente!$A$1:$O$274,F$1,0)</f>
        <v>#N/A</v>
      </c>
      <c r="G72" s="39" t="e">
        <f t="shared" si="146"/>
        <v>#N/A</v>
      </c>
      <c r="H72" s="16" t="e">
        <f t="shared" si="146"/>
        <v>#N/A</v>
      </c>
      <c r="I72" s="16" t="e">
        <f t="shared" si="146"/>
        <v>#N/A</v>
      </c>
      <c r="J72" s="40" t="e">
        <f t="shared" si="146"/>
        <v>#N/A</v>
      </c>
      <c r="K72" s="16" t="e">
        <f t="shared" si="146"/>
        <v>#N/A</v>
      </c>
      <c r="L72" s="40" t="e">
        <f t="shared" si="3"/>
        <v>#N/A</v>
      </c>
      <c r="M72" s="16" t="e">
        <f t="shared" si="4"/>
        <v>#N/A</v>
      </c>
      <c r="N72" s="16" t="e">
        <f t="shared" si="5"/>
        <v>#N/A</v>
      </c>
      <c r="O72" s="16" t="s">
        <v>64</v>
      </c>
      <c r="P72" s="16" t="str">
        <f t="shared" si="6"/>
        <v/>
      </c>
      <c r="Q72" s="41" t="e">
        <f t="shared" si="7"/>
        <v>#N/A</v>
      </c>
      <c r="R72" s="44"/>
      <c r="S72" s="44"/>
      <c r="T72" s="43"/>
      <c r="U72" s="43" t="str">
        <f t="shared" si="8"/>
        <v>No</v>
      </c>
      <c r="V72" s="25"/>
      <c r="W72" s="25"/>
      <c r="X72" s="25"/>
      <c r="Y72" s="25"/>
      <c r="Z72" s="25"/>
    </row>
    <row r="73" spans="1:26" ht="15.75" customHeight="1" x14ac:dyDescent="0.25">
      <c r="A73" s="25">
        <v>71</v>
      </c>
      <c r="B73" s="37" t="e">
        <f t="shared" ref="B73:D73" si="147">VLOOKUP($A73,[1]Ambiente!$A$1:$O$274,B$1,0)</f>
        <v>#N/A</v>
      </c>
      <c r="C73" s="38" t="e">
        <f t="shared" si="147"/>
        <v>#N/A</v>
      </c>
      <c r="D73" s="39" t="e">
        <f t="shared" si="147"/>
        <v>#N/A</v>
      </c>
      <c r="E73" s="16" t="e">
        <f t="shared" si="1"/>
        <v>#N/A</v>
      </c>
      <c r="F73" s="16" t="e">
        <f t="shared" ref="F73:K73" si="148">VLOOKUP($A73,[1]Ambiente!$A$1:$O$274,F$1,0)</f>
        <v>#N/A</v>
      </c>
      <c r="G73" s="39" t="e">
        <f t="shared" si="148"/>
        <v>#N/A</v>
      </c>
      <c r="H73" s="16" t="e">
        <f t="shared" si="148"/>
        <v>#N/A</v>
      </c>
      <c r="I73" s="16" t="e">
        <f t="shared" si="148"/>
        <v>#N/A</v>
      </c>
      <c r="J73" s="40" t="e">
        <f t="shared" si="148"/>
        <v>#N/A</v>
      </c>
      <c r="K73" s="16" t="e">
        <f t="shared" si="148"/>
        <v>#N/A</v>
      </c>
      <c r="L73" s="40" t="e">
        <f t="shared" si="3"/>
        <v>#N/A</v>
      </c>
      <c r="M73" s="16" t="e">
        <f t="shared" si="4"/>
        <v>#N/A</v>
      </c>
      <c r="N73" s="16" t="e">
        <f t="shared" si="5"/>
        <v>#N/A</v>
      </c>
      <c r="O73" s="16" t="s">
        <v>64</v>
      </c>
      <c r="P73" s="16" t="str">
        <f t="shared" si="6"/>
        <v/>
      </c>
      <c r="Q73" s="41" t="e">
        <f t="shared" si="7"/>
        <v>#N/A</v>
      </c>
      <c r="R73" s="44"/>
      <c r="S73" s="44"/>
      <c r="T73" s="43"/>
      <c r="U73" s="43" t="str">
        <f t="shared" si="8"/>
        <v>No</v>
      </c>
      <c r="V73" s="25"/>
      <c r="W73" s="25"/>
      <c r="X73" s="25"/>
      <c r="Y73" s="25"/>
      <c r="Z73" s="25"/>
    </row>
    <row r="74" spans="1:26" ht="15.75" customHeight="1" x14ac:dyDescent="0.25">
      <c r="A74" s="25">
        <v>72</v>
      </c>
      <c r="B74" s="37" t="e">
        <f t="shared" ref="B74:D74" si="149">VLOOKUP($A74,[1]Ambiente!$A$1:$O$274,B$1,0)</f>
        <v>#N/A</v>
      </c>
      <c r="C74" s="38" t="e">
        <f t="shared" si="149"/>
        <v>#N/A</v>
      </c>
      <c r="D74" s="39" t="e">
        <f t="shared" si="149"/>
        <v>#N/A</v>
      </c>
      <c r="E74" s="16" t="e">
        <f t="shared" si="1"/>
        <v>#N/A</v>
      </c>
      <c r="F74" s="16" t="e">
        <f t="shared" ref="F74:K74" si="150">VLOOKUP($A74,[1]Ambiente!$A$1:$O$274,F$1,0)</f>
        <v>#N/A</v>
      </c>
      <c r="G74" s="39" t="e">
        <f t="shared" si="150"/>
        <v>#N/A</v>
      </c>
      <c r="H74" s="16" t="e">
        <f t="shared" si="150"/>
        <v>#N/A</v>
      </c>
      <c r="I74" s="16" t="e">
        <f t="shared" si="150"/>
        <v>#N/A</v>
      </c>
      <c r="J74" s="40" t="e">
        <f t="shared" si="150"/>
        <v>#N/A</v>
      </c>
      <c r="K74" s="16" t="e">
        <f t="shared" si="150"/>
        <v>#N/A</v>
      </c>
      <c r="L74" s="40" t="e">
        <f t="shared" si="3"/>
        <v>#N/A</v>
      </c>
      <c r="M74" s="16" t="e">
        <f t="shared" si="4"/>
        <v>#N/A</v>
      </c>
      <c r="N74" s="16" t="e">
        <f t="shared" si="5"/>
        <v>#N/A</v>
      </c>
      <c r="O74" s="16" t="s">
        <v>64</v>
      </c>
      <c r="P74" s="16" t="str">
        <f t="shared" si="6"/>
        <v/>
      </c>
      <c r="Q74" s="41" t="e">
        <f t="shared" si="7"/>
        <v>#N/A</v>
      </c>
      <c r="R74" s="44"/>
      <c r="S74" s="44"/>
      <c r="T74" s="43"/>
      <c r="U74" s="43" t="str">
        <f t="shared" si="8"/>
        <v>No</v>
      </c>
      <c r="V74" s="25"/>
      <c r="W74" s="25"/>
      <c r="X74" s="25"/>
      <c r="Y74" s="25"/>
      <c r="Z74" s="25"/>
    </row>
    <row r="75" spans="1:26" ht="15.75" customHeight="1" x14ac:dyDescent="0.25">
      <c r="A75" s="25">
        <v>73</v>
      </c>
      <c r="B75" s="37" t="e">
        <f t="shared" ref="B75:D75" si="151">VLOOKUP($A75,[1]Ambiente!$A$1:$O$274,B$1,0)</f>
        <v>#N/A</v>
      </c>
      <c r="C75" s="38" t="e">
        <f t="shared" si="151"/>
        <v>#N/A</v>
      </c>
      <c r="D75" s="39" t="e">
        <f t="shared" si="151"/>
        <v>#N/A</v>
      </c>
      <c r="E75" s="16" t="e">
        <f t="shared" si="1"/>
        <v>#N/A</v>
      </c>
      <c r="F75" s="16" t="e">
        <f t="shared" ref="F75:K75" si="152">VLOOKUP($A75,[1]Ambiente!$A$1:$O$274,F$1,0)</f>
        <v>#N/A</v>
      </c>
      <c r="G75" s="39" t="e">
        <f t="shared" si="152"/>
        <v>#N/A</v>
      </c>
      <c r="H75" s="16" t="e">
        <f t="shared" si="152"/>
        <v>#N/A</v>
      </c>
      <c r="I75" s="16" t="e">
        <f t="shared" si="152"/>
        <v>#N/A</v>
      </c>
      <c r="J75" s="40" t="e">
        <f t="shared" si="152"/>
        <v>#N/A</v>
      </c>
      <c r="K75" s="16" t="e">
        <f t="shared" si="152"/>
        <v>#N/A</v>
      </c>
      <c r="L75" s="40" t="e">
        <f t="shared" si="3"/>
        <v>#N/A</v>
      </c>
      <c r="M75" s="16" t="e">
        <f t="shared" si="4"/>
        <v>#N/A</v>
      </c>
      <c r="N75" s="16" t="e">
        <f t="shared" si="5"/>
        <v>#N/A</v>
      </c>
      <c r="O75" s="16" t="s">
        <v>64</v>
      </c>
      <c r="P75" s="16" t="str">
        <f t="shared" si="6"/>
        <v/>
      </c>
      <c r="Q75" s="41" t="e">
        <f t="shared" si="7"/>
        <v>#N/A</v>
      </c>
      <c r="R75" s="44"/>
      <c r="S75" s="44"/>
      <c r="T75" s="43"/>
      <c r="U75" s="43" t="str">
        <f t="shared" si="8"/>
        <v>No</v>
      </c>
      <c r="V75" s="25"/>
      <c r="W75" s="25"/>
      <c r="X75" s="25"/>
      <c r="Y75" s="25"/>
      <c r="Z75" s="25"/>
    </row>
    <row r="76" spans="1:26" ht="15.75" customHeight="1" x14ac:dyDescent="0.25">
      <c r="A76" s="25">
        <v>74</v>
      </c>
      <c r="B76" s="37" t="e">
        <f t="shared" ref="B76:D76" si="153">VLOOKUP($A76,[1]Ambiente!$A$1:$O$274,B$1,0)</f>
        <v>#N/A</v>
      </c>
      <c r="C76" s="38" t="e">
        <f t="shared" si="153"/>
        <v>#N/A</v>
      </c>
      <c r="D76" s="39" t="e">
        <f t="shared" si="153"/>
        <v>#N/A</v>
      </c>
      <c r="E76" s="16" t="e">
        <f t="shared" si="1"/>
        <v>#N/A</v>
      </c>
      <c r="F76" s="16" t="e">
        <f t="shared" ref="F76:K76" si="154">VLOOKUP($A76,[1]Ambiente!$A$1:$O$274,F$1,0)</f>
        <v>#N/A</v>
      </c>
      <c r="G76" s="39" t="e">
        <f t="shared" si="154"/>
        <v>#N/A</v>
      </c>
      <c r="H76" s="16" t="e">
        <f t="shared" si="154"/>
        <v>#N/A</v>
      </c>
      <c r="I76" s="16" t="e">
        <f t="shared" si="154"/>
        <v>#N/A</v>
      </c>
      <c r="J76" s="40" t="e">
        <f t="shared" si="154"/>
        <v>#N/A</v>
      </c>
      <c r="K76" s="16" t="e">
        <f t="shared" si="154"/>
        <v>#N/A</v>
      </c>
      <c r="L76" s="40" t="e">
        <f t="shared" si="3"/>
        <v>#N/A</v>
      </c>
      <c r="M76" s="16" t="e">
        <f t="shared" si="4"/>
        <v>#N/A</v>
      </c>
      <c r="N76" s="16" t="e">
        <f t="shared" si="5"/>
        <v>#N/A</v>
      </c>
      <c r="O76" s="16" t="s">
        <v>64</v>
      </c>
      <c r="P76" s="16" t="str">
        <f t="shared" si="6"/>
        <v/>
      </c>
      <c r="Q76" s="41" t="e">
        <f t="shared" si="7"/>
        <v>#N/A</v>
      </c>
      <c r="R76" s="44"/>
      <c r="S76" s="44"/>
      <c r="T76" s="43"/>
      <c r="U76" s="43" t="str">
        <f t="shared" si="8"/>
        <v>No</v>
      </c>
      <c r="V76" s="25"/>
      <c r="W76" s="25"/>
      <c r="X76" s="25"/>
      <c r="Y76" s="25"/>
      <c r="Z76" s="25"/>
    </row>
    <row r="77" spans="1:26" ht="15.75" customHeight="1" x14ac:dyDescent="0.25">
      <c r="A77" s="25">
        <v>75</v>
      </c>
      <c r="B77" s="37" t="e">
        <f t="shared" ref="B77:D77" si="155">VLOOKUP($A77,[1]Ambiente!$A$1:$O$274,B$1,0)</f>
        <v>#N/A</v>
      </c>
      <c r="C77" s="38" t="e">
        <f t="shared" si="155"/>
        <v>#N/A</v>
      </c>
      <c r="D77" s="39" t="e">
        <f t="shared" si="155"/>
        <v>#N/A</v>
      </c>
      <c r="E77" s="16" t="e">
        <f t="shared" si="1"/>
        <v>#N/A</v>
      </c>
      <c r="F77" s="16" t="e">
        <f t="shared" ref="F77:K77" si="156">VLOOKUP($A77,[1]Ambiente!$A$1:$O$274,F$1,0)</f>
        <v>#N/A</v>
      </c>
      <c r="G77" s="39" t="e">
        <f t="shared" si="156"/>
        <v>#N/A</v>
      </c>
      <c r="H77" s="16" t="e">
        <f t="shared" si="156"/>
        <v>#N/A</v>
      </c>
      <c r="I77" s="16" t="e">
        <f t="shared" si="156"/>
        <v>#N/A</v>
      </c>
      <c r="J77" s="40" t="e">
        <f t="shared" si="156"/>
        <v>#N/A</v>
      </c>
      <c r="K77" s="16" t="e">
        <f t="shared" si="156"/>
        <v>#N/A</v>
      </c>
      <c r="L77" s="40" t="e">
        <f t="shared" si="3"/>
        <v>#N/A</v>
      </c>
      <c r="M77" s="16" t="e">
        <f t="shared" si="4"/>
        <v>#N/A</v>
      </c>
      <c r="N77" s="16" t="e">
        <f t="shared" si="5"/>
        <v>#N/A</v>
      </c>
      <c r="O77" s="16" t="s">
        <v>64</v>
      </c>
      <c r="P77" s="16" t="str">
        <f t="shared" si="6"/>
        <v/>
      </c>
      <c r="Q77" s="41" t="e">
        <f t="shared" si="7"/>
        <v>#N/A</v>
      </c>
      <c r="R77" s="44"/>
      <c r="S77" s="44"/>
      <c r="T77" s="43"/>
      <c r="U77" s="43" t="str">
        <f t="shared" si="8"/>
        <v>No</v>
      </c>
      <c r="V77" s="25"/>
      <c r="W77" s="25"/>
      <c r="X77" s="25"/>
      <c r="Y77" s="25"/>
      <c r="Z77" s="25"/>
    </row>
    <row r="78" spans="1:26" ht="15.75" customHeight="1" x14ac:dyDescent="0.25">
      <c r="A78" s="25">
        <v>76</v>
      </c>
      <c r="B78" s="37" t="e">
        <f t="shared" ref="B78:D78" si="157">VLOOKUP($A78,[1]Ambiente!$A$1:$O$274,B$1,0)</f>
        <v>#N/A</v>
      </c>
      <c r="C78" s="38" t="e">
        <f t="shared" si="157"/>
        <v>#N/A</v>
      </c>
      <c r="D78" s="39" t="e">
        <f t="shared" si="157"/>
        <v>#N/A</v>
      </c>
      <c r="E78" s="16" t="e">
        <f t="shared" si="1"/>
        <v>#N/A</v>
      </c>
      <c r="F78" s="16" t="e">
        <f t="shared" ref="F78:K78" si="158">VLOOKUP($A78,[1]Ambiente!$A$1:$O$274,F$1,0)</f>
        <v>#N/A</v>
      </c>
      <c r="G78" s="39" t="e">
        <f t="shared" si="158"/>
        <v>#N/A</v>
      </c>
      <c r="H78" s="16" t="e">
        <f t="shared" si="158"/>
        <v>#N/A</v>
      </c>
      <c r="I78" s="16" t="e">
        <f t="shared" si="158"/>
        <v>#N/A</v>
      </c>
      <c r="J78" s="40" t="e">
        <f t="shared" si="158"/>
        <v>#N/A</v>
      </c>
      <c r="K78" s="16" t="e">
        <f t="shared" si="158"/>
        <v>#N/A</v>
      </c>
      <c r="L78" s="40" t="e">
        <f t="shared" si="3"/>
        <v>#N/A</v>
      </c>
      <c r="M78" s="16" t="e">
        <f t="shared" si="4"/>
        <v>#N/A</v>
      </c>
      <c r="N78" s="16" t="e">
        <f t="shared" si="5"/>
        <v>#N/A</v>
      </c>
      <c r="O78" s="16" t="s">
        <v>64</v>
      </c>
      <c r="P78" s="16" t="str">
        <f t="shared" si="6"/>
        <v/>
      </c>
      <c r="Q78" s="41" t="e">
        <f t="shared" si="7"/>
        <v>#N/A</v>
      </c>
      <c r="R78" s="44"/>
      <c r="S78" s="44"/>
      <c r="T78" s="43"/>
      <c r="U78" s="43" t="str">
        <f t="shared" si="8"/>
        <v>No</v>
      </c>
      <c r="V78" s="25"/>
      <c r="W78" s="25"/>
      <c r="X78" s="25"/>
      <c r="Y78" s="25"/>
      <c r="Z78" s="25"/>
    </row>
    <row r="79" spans="1:26" ht="15.75" customHeight="1" x14ac:dyDescent="0.25">
      <c r="A79" s="25">
        <v>77</v>
      </c>
      <c r="B79" s="37" t="e">
        <f t="shared" ref="B79:D79" si="159">VLOOKUP($A79,[1]Ambiente!$A$1:$O$274,B$1,0)</f>
        <v>#N/A</v>
      </c>
      <c r="C79" s="38" t="e">
        <f t="shared" si="159"/>
        <v>#N/A</v>
      </c>
      <c r="D79" s="39" t="e">
        <f t="shared" si="159"/>
        <v>#N/A</v>
      </c>
      <c r="E79" s="16" t="e">
        <f t="shared" si="1"/>
        <v>#N/A</v>
      </c>
      <c r="F79" s="16" t="e">
        <f t="shared" ref="F79:K79" si="160">VLOOKUP($A79,[1]Ambiente!$A$1:$O$274,F$1,0)</f>
        <v>#N/A</v>
      </c>
      <c r="G79" s="39" t="e">
        <f t="shared" si="160"/>
        <v>#N/A</v>
      </c>
      <c r="H79" s="16" t="e">
        <f t="shared" si="160"/>
        <v>#N/A</v>
      </c>
      <c r="I79" s="16" t="e">
        <f t="shared" si="160"/>
        <v>#N/A</v>
      </c>
      <c r="J79" s="40" t="e">
        <f t="shared" si="160"/>
        <v>#N/A</v>
      </c>
      <c r="K79" s="16" t="e">
        <f t="shared" si="160"/>
        <v>#N/A</v>
      </c>
      <c r="L79" s="40" t="e">
        <f t="shared" si="3"/>
        <v>#N/A</v>
      </c>
      <c r="M79" s="16" t="e">
        <f t="shared" si="4"/>
        <v>#N/A</v>
      </c>
      <c r="N79" s="16" t="e">
        <f t="shared" si="5"/>
        <v>#N/A</v>
      </c>
      <c r="O79" s="16" t="s">
        <v>64</v>
      </c>
      <c r="P79" s="16" t="str">
        <f t="shared" si="6"/>
        <v/>
      </c>
      <c r="Q79" s="41" t="e">
        <f t="shared" si="7"/>
        <v>#N/A</v>
      </c>
      <c r="R79" s="44"/>
      <c r="S79" s="44"/>
      <c r="T79" s="43"/>
      <c r="U79" s="43" t="str">
        <f t="shared" si="8"/>
        <v>No</v>
      </c>
      <c r="V79" s="25"/>
      <c r="W79" s="25"/>
      <c r="X79" s="25"/>
      <c r="Y79" s="25"/>
      <c r="Z79" s="25"/>
    </row>
    <row r="80" spans="1:26" ht="15.75" customHeight="1" x14ac:dyDescent="0.25">
      <c r="A80" s="25">
        <v>78</v>
      </c>
      <c r="B80" s="37" t="e">
        <f t="shared" ref="B80:D80" si="161">VLOOKUP($A80,[1]Ambiente!$A$1:$O$274,B$1,0)</f>
        <v>#N/A</v>
      </c>
      <c r="C80" s="38" t="e">
        <f t="shared" si="161"/>
        <v>#N/A</v>
      </c>
      <c r="D80" s="39" t="e">
        <f t="shared" si="161"/>
        <v>#N/A</v>
      </c>
      <c r="E80" s="16" t="e">
        <f t="shared" si="1"/>
        <v>#N/A</v>
      </c>
      <c r="F80" s="16" t="e">
        <f t="shared" ref="F80:K80" si="162">VLOOKUP($A80,[1]Ambiente!$A$1:$O$274,F$1,0)</f>
        <v>#N/A</v>
      </c>
      <c r="G80" s="39" t="e">
        <f t="shared" si="162"/>
        <v>#N/A</v>
      </c>
      <c r="H80" s="16" t="e">
        <f t="shared" si="162"/>
        <v>#N/A</v>
      </c>
      <c r="I80" s="16" t="e">
        <f t="shared" si="162"/>
        <v>#N/A</v>
      </c>
      <c r="J80" s="40" t="e">
        <f t="shared" si="162"/>
        <v>#N/A</v>
      </c>
      <c r="K80" s="16" t="e">
        <f t="shared" si="162"/>
        <v>#N/A</v>
      </c>
      <c r="L80" s="40" t="e">
        <f t="shared" si="3"/>
        <v>#N/A</v>
      </c>
      <c r="M80" s="16" t="e">
        <f t="shared" si="4"/>
        <v>#N/A</v>
      </c>
      <c r="N80" s="16" t="e">
        <f t="shared" si="5"/>
        <v>#N/A</v>
      </c>
      <c r="O80" s="16" t="s">
        <v>64</v>
      </c>
      <c r="P80" s="16" t="str">
        <f t="shared" si="6"/>
        <v/>
      </c>
      <c r="Q80" s="41" t="e">
        <f t="shared" si="7"/>
        <v>#N/A</v>
      </c>
      <c r="R80" s="44"/>
      <c r="S80" s="44"/>
      <c r="T80" s="43"/>
      <c r="U80" s="43" t="str">
        <f t="shared" si="8"/>
        <v>No</v>
      </c>
      <c r="V80" s="25"/>
      <c r="W80" s="25"/>
      <c r="X80" s="25"/>
      <c r="Y80" s="25"/>
      <c r="Z80" s="25"/>
    </row>
    <row r="81" spans="1:26" ht="15.75" customHeight="1" x14ac:dyDescent="0.25">
      <c r="A81" s="25">
        <v>79</v>
      </c>
      <c r="B81" s="37" t="e">
        <f t="shared" ref="B81:D81" si="163">VLOOKUP($A81,[1]Ambiente!$A$1:$O$274,B$1,0)</f>
        <v>#N/A</v>
      </c>
      <c r="C81" s="38" t="e">
        <f t="shared" si="163"/>
        <v>#N/A</v>
      </c>
      <c r="D81" s="39" t="e">
        <f t="shared" si="163"/>
        <v>#N/A</v>
      </c>
      <c r="E81" s="16" t="e">
        <f t="shared" si="1"/>
        <v>#N/A</v>
      </c>
      <c r="F81" s="16" t="e">
        <f t="shared" ref="F81:K81" si="164">VLOOKUP($A81,[1]Ambiente!$A$1:$O$274,F$1,0)</f>
        <v>#N/A</v>
      </c>
      <c r="G81" s="39" t="e">
        <f t="shared" si="164"/>
        <v>#N/A</v>
      </c>
      <c r="H81" s="16" t="e">
        <f t="shared" si="164"/>
        <v>#N/A</v>
      </c>
      <c r="I81" s="16" t="e">
        <f t="shared" si="164"/>
        <v>#N/A</v>
      </c>
      <c r="J81" s="40" t="e">
        <f t="shared" si="164"/>
        <v>#N/A</v>
      </c>
      <c r="K81" s="16" t="e">
        <f t="shared" si="164"/>
        <v>#N/A</v>
      </c>
      <c r="L81" s="40" t="e">
        <f t="shared" si="3"/>
        <v>#N/A</v>
      </c>
      <c r="M81" s="16" t="e">
        <f t="shared" si="4"/>
        <v>#N/A</v>
      </c>
      <c r="N81" s="16" t="e">
        <f t="shared" si="5"/>
        <v>#N/A</v>
      </c>
      <c r="O81" s="16" t="s">
        <v>64</v>
      </c>
      <c r="P81" s="16" t="str">
        <f t="shared" si="6"/>
        <v/>
      </c>
      <c r="Q81" s="41" t="e">
        <f t="shared" si="7"/>
        <v>#N/A</v>
      </c>
      <c r="R81" s="44"/>
      <c r="S81" s="44"/>
      <c r="T81" s="43"/>
      <c r="U81" s="43" t="str">
        <f t="shared" si="8"/>
        <v>No</v>
      </c>
      <c r="V81" s="25"/>
      <c r="W81" s="25"/>
      <c r="X81" s="25"/>
      <c r="Y81" s="25"/>
      <c r="Z81" s="25"/>
    </row>
    <row r="82" spans="1:26" ht="15.75" customHeight="1" x14ac:dyDescent="0.25">
      <c r="A82" s="25">
        <v>80</v>
      </c>
      <c r="B82" s="37" t="e">
        <f t="shared" ref="B82:D82" si="165">VLOOKUP($A82,[1]Ambiente!$A$1:$O$274,B$1,0)</f>
        <v>#N/A</v>
      </c>
      <c r="C82" s="38" t="e">
        <f t="shared" si="165"/>
        <v>#N/A</v>
      </c>
      <c r="D82" s="39" t="e">
        <f t="shared" si="165"/>
        <v>#N/A</v>
      </c>
      <c r="E82" s="16" t="e">
        <f t="shared" si="1"/>
        <v>#N/A</v>
      </c>
      <c r="F82" s="16" t="e">
        <f t="shared" ref="F82:K82" si="166">VLOOKUP($A82,[1]Ambiente!$A$1:$O$274,F$1,0)</f>
        <v>#N/A</v>
      </c>
      <c r="G82" s="39" t="e">
        <f t="shared" si="166"/>
        <v>#N/A</v>
      </c>
      <c r="H82" s="16" t="e">
        <f t="shared" si="166"/>
        <v>#N/A</v>
      </c>
      <c r="I82" s="16" t="e">
        <f t="shared" si="166"/>
        <v>#N/A</v>
      </c>
      <c r="J82" s="40" t="e">
        <f t="shared" si="166"/>
        <v>#N/A</v>
      </c>
      <c r="K82" s="16" t="e">
        <f t="shared" si="166"/>
        <v>#N/A</v>
      </c>
      <c r="L82" s="40" t="e">
        <f t="shared" si="3"/>
        <v>#N/A</v>
      </c>
      <c r="M82" s="16" t="e">
        <f t="shared" si="4"/>
        <v>#N/A</v>
      </c>
      <c r="N82" s="16" t="e">
        <f t="shared" si="5"/>
        <v>#N/A</v>
      </c>
      <c r="O82" s="16" t="s">
        <v>64</v>
      </c>
      <c r="P82" s="16" t="str">
        <f t="shared" si="6"/>
        <v/>
      </c>
      <c r="Q82" s="41" t="e">
        <f t="shared" si="7"/>
        <v>#N/A</v>
      </c>
      <c r="R82" s="44"/>
      <c r="S82" s="44"/>
      <c r="T82" s="43"/>
      <c r="U82" s="43" t="str">
        <f t="shared" si="8"/>
        <v>No</v>
      </c>
      <c r="V82" s="25"/>
      <c r="W82" s="25"/>
      <c r="X82" s="25"/>
      <c r="Y82" s="25"/>
      <c r="Z82" s="25"/>
    </row>
    <row r="83" spans="1:26" ht="15.75" customHeight="1" x14ac:dyDescent="0.25">
      <c r="A83" s="25">
        <v>81</v>
      </c>
      <c r="B83" s="37" t="e">
        <f t="shared" ref="B83:D83" si="167">VLOOKUP($A83,[1]Ambiente!$A$1:$O$274,B$1,0)</f>
        <v>#N/A</v>
      </c>
      <c r="C83" s="38" t="e">
        <f t="shared" si="167"/>
        <v>#N/A</v>
      </c>
      <c r="D83" s="39" t="e">
        <f t="shared" si="167"/>
        <v>#N/A</v>
      </c>
      <c r="E83" s="16" t="e">
        <f t="shared" si="1"/>
        <v>#N/A</v>
      </c>
      <c r="F83" s="16" t="e">
        <f t="shared" ref="F83:K83" si="168">VLOOKUP($A83,[1]Ambiente!$A$1:$O$274,F$1,0)</f>
        <v>#N/A</v>
      </c>
      <c r="G83" s="39" t="e">
        <f t="shared" si="168"/>
        <v>#N/A</v>
      </c>
      <c r="H83" s="16" t="e">
        <f t="shared" si="168"/>
        <v>#N/A</v>
      </c>
      <c r="I83" s="16" t="e">
        <f t="shared" si="168"/>
        <v>#N/A</v>
      </c>
      <c r="J83" s="40" t="e">
        <f t="shared" si="168"/>
        <v>#N/A</v>
      </c>
      <c r="K83" s="16" t="e">
        <f t="shared" si="168"/>
        <v>#N/A</v>
      </c>
      <c r="L83" s="40" t="e">
        <f t="shared" si="3"/>
        <v>#N/A</v>
      </c>
      <c r="M83" s="16" t="e">
        <f t="shared" si="4"/>
        <v>#N/A</v>
      </c>
      <c r="N83" s="16" t="e">
        <f t="shared" si="5"/>
        <v>#N/A</v>
      </c>
      <c r="O83" s="16" t="s">
        <v>64</v>
      </c>
      <c r="P83" s="16" t="str">
        <f t="shared" si="6"/>
        <v/>
      </c>
      <c r="Q83" s="41" t="e">
        <f t="shared" si="7"/>
        <v>#N/A</v>
      </c>
      <c r="R83" s="44"/>
      <c r="S83" s="44"/>
      <c r="T83" s="43"/>
      <c r="U83" s="43" t="str">
        <f t="shared" si="8"/>
        <v>No</v>
      </c>
      <c r="V83" s="25"/>
      <c r="W83" s="25"/>
      <c r="X83" s="25"/>
      <c r="Y83" s="25"/>
      <c r="Z83" s="25"/>
    </row>
    <row r="84" spans="1:26" ht="15.75" customHeight="1" x14ac:dyDescent="0.25">
      <c r="A84" s="25">
        <v>82</v>
      </c>
      <c r="B84" s="37" t="e">
        <f t="shared" ref="B84:D84" si="169">VLOOKUP($A84,[1]Ambiente!$A$1:$O$274,B$1,0)</f>
        <v>#N/A</v>
      </c>
      <c r="C84" s="38" t="e">
        <f t="shared" si="169"/>
        <v>#N/A</v>
      </c>
      <c r="D84" s="39" t="e">
        <f t="shared" si="169"/>
        <v>#N/A</v>
      </c>
      <c r="E84" s="16" t="e">
        <f t="shared" si="1"/>
        <v>#N/A</v>
      </c>
      <c r="F84" s="16" t="e">
        <f t="shared" ref="F84:K84" si="170">VLOOKUP($A84,[1]Ambiente!$A$1:$O$274,F$1,0)</f>
        <v>#N/A</v>
      </c>
      <c r="G84" s="39" t="e">
        <f t="shared" si="170"/>
        <v>#N/A</v>
      </c>
      <c r="H84" s="16" t="e">
        <f t="shared" si="170"/>
        <v>#N/A</v>
      </c>
      <c r="I84" s="16" t="e">
        <f t="shared" si="170"/>
        <v>#N/A</v>
      </c>
      <c r="J84" s="40" t="e">
        <f t="shared" si="170"/>
        <v>#N/A</v>
      </c>
      <c r="K84" s="16" t="e">
        <f t="shared" si="170"/>
        <v>#N/A</v>
      </c>
      <c r="L84" s="40" t="e">
        <f t="shared" si="3"/>
        <v>#N/A</v>
      </c>
      <c r="M84" s="16" t="e">
        <f t="shared" si="4"/>
        <v>#N/A</v>
      </c>
      <c r="N84" s="16" t="e">
        <f t="shared" si="5"/>
        <v>#N/A</v>
      </c>
      <c r="O84" s="16" t="s">
        <v>64</v>
      </c>
      <c r="P84" s="16" t="str">
        <f t="shared" si="6"/>
        <v/>
      </c>
      <c r="Q84" s="41" t="e">
        <f t="shared" si="7"/>
        <v>#N/A</v>
      </c>
      <c r="R84" s="44"/>
      <c r="S84" s="44"/>
      <c r="T84" s="43"/>
      <c r="U84" s="43" t="str">
        <f t="shared" si="8"/>
        <v>No</v>
      </c>
      <c r="V84" s="25"/>
      <c r="W84" s="25"/>
      <c r="X84" s="25"/>
      <c r="Y84" s="25"/>
      <c r="Z84" s="25"/>
    </row>
    <row r="85" spans="1:26" ht="15.75" customHeight="1" x14ac:dyDescent="0.25">
      <c r="A85" s="25">
        <v>83</v>
      </c>
      <c r="B85" s="37" t="e">
        <f t="shared" ref="B85:D85" si="171">VLOOKUP($A85,[1]Ambiente!$A$1:$O$274,B$1,0)</f>
        <v>#N/A</v>
      </c>
      <c r="C85" s="38" t="e">
        <f t="shared" si="171"/>
        <v>#N/A</v>
      </c>
      <c r="D85" s="39" t="e">
        <f t="shared" si="171"/>
        <v>#N/A</v>
      </c>
      <c r="E85" s="16" t="e">
        <f t="shared" si="1"/>
        <v>#N/A</v>
      </c>
      <c r="F85" s="16" t="e">
        <f t="shared" ref="F85:K85" si="172">VLOOKUP($A85,[1]Ambiente!$A$1:$O$274,F$1,0)</f>
        <v>#N/A</v>
      </c>
      <c r="G85" s="39" t="e">
        <f t="shared" si="172"/>
        <v>#N/A</v>
      </c>
      <c r="H85" s="16" t="e">
        <f t="shared" si="172"/>
        <v>#N/A</v>
      </c>
      <c r="I85" s="16" t="e">
        <f t="shared" si="172"/>
        <v>#N/A</v>
      </c>
      <c r="J85" s="40" t="e">
        <f t="shared" si="172"/>
        <v>#N/A</v>
      </c>
      <c r="K85" s="16" t="e">
        <f t="shared" si="172"/>
        <v>#N/A</v>
      </c>
      <c r="L85" s="40" t="e">
        <f t="shared" si="3"/>
        <v>#N/A</v>
      </c>
      <c r="M85" s="16" t="e">
        <f t="shared" si="4"/>
        <v>#N/A</v>
      </c>
      <c r="N85" s="16" t="e">
        <f t="shared" si="5"/>
        <v>#N/A</v>
      </c>
      <c r="O85" s="16" t="s">
        <v>64</v>
      </c>
      <c r="P85" s="16" t="str">
        <f t="shared" si="6"/>
        <v/>
      </c>
      <c r="Q85" s="41" t="e">
        <f t="shared" si="7"/>
        <v>#N/A</v>
      </c>
      <c r="R85" s="44"/>
      <c r="S85" s="44"/>
      <c r="T85" s="43"/>
      <c r="U85" s="43" t="str">
        <f t="shared" si="8"/>
        <v>No</v>
      </c>
      <c r="V85" s="25"/>
      <c r="W85" s="25"/>
      <c r="X85" s="25"/>
      <c r="Y85" s="25"/>
      <c r="Z85" s="25"/>
    </row>
    <row r="86" spans="1:26" ht="15.75" customHeight="1" x14ac:dyDescent="0.25">
      <c r="A86" s="25">
        <v>84</v>
      </c>
      <c r="B86" s="37" t="e">
        <f t="shared" ref="B86:D86" si="173">VLOOKUP($A86,[1]Ambiente!$A$1:$O$274,B$1,0)</f>
        <v>#N/A</v>
      </c>
      <c r="C86" s="38" t="e">
        <f t="shared" si="173"/>
        <v>#N/A</v>
      </c>
      <c r="D86" s="39" t="e">
        <f t="shared" si="173"/>
        <v>#N/A</v>
      </c>
      <c r="E86" s="16" t="e">
        <f t="shared" si="1"/>
        <v>#N/A</v>
      </c>
      <c r="F86" s="16" t="e">
        <f t="shared" ref="F86:K86" si="174">VLOOKUP($A86,[1]Ambiente!$A$1:$O$274,F$1,0)</f>
        <v>#N/A</v>
      </c>
      <c r="G86" s="39" t="e">
        <f t="shared" si="174"/>
        <v>#N/A</v>
      </c>
      <c r="H86" s="16" t="e">
        <f t="shared" si="174"/>
        <v>#N/A</v>
      </c>
      <c r="I86" s="16" t="e">
        <f t="shared" si="174"/>
        <v>#N/A</v>
      </c>
      <c r="J86" s="40" t="e">
        <f t="shared" si="174"/>
        <v>#N/A</v>
      </c>
      <c r="K86" s="16" t="e">
        <f t="shared" si="174"/>
        <v>#N/A</v>
      </c>
      <c r="L86" s="40" t="e">
        <f t="shared" si="3"/>
        <v>#N/A</v>
      </c>
      <c r="M86" s="16" t="e">
        <f t="shared" si="4"/>
        <v>#N/A</v>
      </c>
      <c r="N86" s="16" t="e">
        <f t="shared" si="5"/>
        <v>#N/A</v>
      </c>
      <c r="O86" s="16" t="s">
        <v>64</v>
      </c>
      <c r="P86" s="16" t="str">
        <f t="shared" si="6"/>
        <v/>
      </c>
      <c r="Q86" s="41" t="e">
        <f t="shared" si="7"/>
        <v>#N/A</v>
      </c>
      <c r="R86" s="44"/>
      <c r="S86" s="44"/>
      <c r="T86" s="43"/>
      <c r="U86" s="43" t="str">
        <f t="shared" si="8"/>
        <v>No</v>
      </c>
      <c r="V86" s="25"/>
      <c r="W86" s="25"/>
      <c r="X86" s="25"/>
      <c r="Y86" s="25"/>
      <c r="Z86" s="25"/>
    </row>
    <row r="87" spans="1:26" ht="15.75" customHeight="1" x14ac:dyDescent="0.25">
      <c r="A87" s="25">
        <v>85</v>
      </c>
      <c r="B87" s="37" t="e">
        <f t="shared" ref="B87:D87" si="175">VLOOKUP($A87,[1]Ambiente!$A$1:$O$274,B$1,0)</f>
        <v>#N/A</v>
      </c>
      <c r="C87" s="38" t="e">
        <f t="shared" si="175"/>
        <v>#N/A</v>
      </c>
      <c r="D87" s="39" t="e">
        <f t="shared" si="175"/>
        <v>#N/A</v>
      </c>
      <c r="E87" s="16" t="e">
        <f t="shared" si="1"/>
        <v>#N/A</v>
      </c>
      <c r="F87" s="16" t="e">
        <f t="shared" ref="F87:K87" si="176">VLOOKUP($A87,[1]Ambiente!$A$1:$O$274,F$1,0)</f>
        <v>#N/A</v>
      </c>
      <c r="G87" s="39" t="e">
        <f t="shared" si="176"/>
        <v>#N/A</v>
      </c>
      <c r="H87" s="16" t="e">
        <f t="shared" si="176"/>
        <v>#N/A</v>
      </c>
      <c r="I87" s="16" t="e">
        <f t="shared" si="176"/>
        <v>#N/A</v>
      </c>
      <c r="J87" s="40" t="e">
        <f t="shared" si="176"/>
        <v>#N/A</v>
      </c>
      <c r="K87" s="16" t="e">
        <f t="shared" si="176"/>
        <v>#N/A</v>
      </c>
      <c r="L87" s="40" t="e">
        <f t="shared" si="3"/>
        <v>#N/A</v>
      </c>
      <c r="M87" s="16" t="e">
        <f t="shared" si="4"/>
        <v>#N/A</v>
      </c>
      <c r="N87" s="16" t="e">
        <f t="shared" si="5"/>
        <v>#N/A</v>
      </c>
      <c r="O87" s="16" t="s">
        <v>64</v>
      </c>
      <c r="P87" s="16" t="str">
        <f t="shared" si="6"/>
        <v/>
      </c>
      <c r="Q87" s="41" t="e">
        <f t="shared" si="7"/>
        <v>#N/A</v>
      </c>
      <c r="R87" s="44"/>
      <c r="S87" s="44"/>
      <c r="T87" s="43"/>
      <c r="U87" s="43" t="str">
        <f t="shared" si="8"/>
        <v>No</v>
      </c>
      <c r="V87" s="25"/>
      <c r="W87" s="25"/>
      <c r="X87" s="25"/>
      <c r="Y87" s="25"/>
      <c r="Z87" s="25"/>
    </row>
    <row r="88" spans="1:26" ht="15.75" customHeight="1" x14ac:dyDescent="0.25">
      <c r="A88" s="25">
        <v>86</v>
      </c>
      <c r="B88" s="37" t="e">
        <f t="shared" ref="B88:D88" si="177">VLOOKUP($A88,[1]Ambiente!$A$1:$O$274,B$1,0)</f>
        <v>#N/A</v>
      </c>
      <c r="C88" s="38" t="e">
        <f t="shared" si="177"/>
        <v>#N/A</v>
      </c>
      <c r="D88" s="39" t="e">
        <f t="shared" si="177"/>
        <v>#N/A</v>
      </c>
      <c r="E88" s="16" t="e">
        <f t="shared" si="1"/>
        <v>#N/A</v>
      </c>
      <c r="F88" s="16" t="e">
        <f t="shared" ref="F88:K88" si="178">VLOOKUP($A88,[1]Ambiente!$A$1:$O$274,F$1,0)</f>
        <v>#N/A</v>
      </c>
      <c r="G88" s="39" t="e">
        <f t="shared" si="178"/>
        <v>#N/A</v>
      </c>
      <c r="H88" s="16" t="e">
        <f t="shared" si="178"/>
        <v>#N/A</v>
      </c>
      <c r="I88" s="16" t="e">
        <f t="shared" si="178"/>
        <v>#N/A</v>
      </c>
      <c r="J88" s="40" t="e">
        <f t="shared" si="178"/>
        <v>#N/A</v>
      </c>
      <c r="K88" s="16" t="e">
        <f t="shared" si="178"/>
        <v>#N/A</v>
      </c>
      <c r="L88" s="40" t="e">
        <f t="shared" si="3"/>
        <v>#N/A</v>
      </c>
      <c r="M88" s="16" t="e">
        <f t="shared" si="4"/>
        <v>#N/A</v>
      </c>
      <c r="N88" s="16" t="e">
        <f t="shared" si="5"/>
        <v>#N/A</v>
      </c>
      <c r="O88" s="16" t="s">
        <v>64</v>
      </c>
      <c r="P88" s="16" t="str">
        <f t="shared" si="6"/>
        <v/>
      </c>
      <c r="Q88" s="41" t="e">
        <f t="shared" si="7"/>
        <v>#N/A</v>
      </c>
      <c r="R88" s="44"/>
      <c r="S88" s="44"/>
      <c r="T88" s="43"/>
      <c r="U88" s="43" t="str">
        <f t="shared" si="8"/>
        <v>No</v>
      </c>
      <c r="V88" s="25"/>
      <c r="W88" s="25"/>
      <c r="X88" s="25"/>
      <c r="Y88" s="25"/>
      <c r="Z88" s="25"/>
    </row>
    <row r="89" spans="1:26" ht="15.75" customHeight="1" x14ac:dyDescent="0.25">
      <c r="A89" s="25">
        <v>87</v>
      </c>
      <c r="B89" s="37" t="e">
        <f t="shared" ref="B89:D89" si="179">VLOOKUP($A89,[1]Ambiente!$A$1:$O$274,B$1,0)</f>
        <v>#N/A</v>
      </c>
      <c r="C89" s="38" t="e">
        <f t="shared" si="179"/>
        <v>#N/A</v>
      </c>
      <c r="D89" s="39" t="e">
        <f t="shared" si="179"/>
        <v>#N/A</v>
      </c>
      <c r="E89" s="16" t="e">
        <f t="shared" si="1"/>
        <v>#N/A</v>
      </c>
      <c r="F89" s="16" t="e">
        <f t="shared" ref="F89:K89" si="180">VLOOKUP($A89,[1]Ambiente!$A$1:$O$274,F$1,0)</f>
        <v>#N/A</v>
      </c>
      <c r="G89" s="39" t="e">
        <f t="shared" si="180"/>
        <v>#N/A</v>
      </c>
      <c r="H89" s="16" t="e">
        <f t="shared" si="180"/>
        <v>#N/A</v>
      </c>
      <c r="I89" s="16" t="e">
        <f t="shared" si="180"/>
        <v>#N/A</v>
      </c>
      <c r="J89" s="40" t="e">
        <f t="shared" si="180"/>
        <v>#N/A</v>
      </c>
      <c r="K89" s="16" t="e">
        <f t="shared" si="180"/>
        <v>#N/A</v>
      </c>
      <c r="L89" s="40" t="e">
        <f t="shared" si="3"/>
        <v>#N/A</v>
      </c>
      <c r="M89" s="16" t="e">
        <f t="shared" si="4"/>
        <v>#N/A</v>
      </c>
      <c r="N89" s="16" t="e">
        <f t="shared" si="5"/>
        <v>#N/A</v>
      </c>
      <c r="O89" s="16" t="s">
        <v>64</v>
      </c>
      <c r="P89" s="16" t="str">
        <f t="shared" si="6"/>
        <v/>
      </c>
      <c r="Q89" s="41" t="e">
        <f t="shared" si="7"/>
        <v>#N/A</v>
      </c>
      <c r="R89" s="44"/>
      <c r="S89" s="44"/>
      <c r="T89" s="43"/>
      <c r="U89" s="43" t="str">
        <f t="shared" si="8"/>
        <v>No</v>
      </c>
      <c r="V89" s="25"/>
      <c r="W89" s="25"/>
      <c r="X89" s="25"/>
      <c r="Y89" s="25"/>
      <c r="Z89" s="25"/>
    </row>
    <row r="90" spans="1:26" ht="15.75" customHeight="1" x14ac:dyDescent="0.25">
      <c r="A90" s="25">
        <v>88</v>
      </c>
      <c r="B90" s="37" t="e">
        <f t="shared" ref="B90:D90" si="181">VLOOKUP($A90,[1]Ambiente!$A$1:$O$274,B$1,0)</f>
        <v>#N/A</v>
      </c>
      <c r="C90" s="38" t="e">
        <f t="shared" si="181"/>
        <v>#N/A</v>
      </c>
      <c r="D90" s="39" t="e">
        <f t="shared" si="181"/>
        <v>#N/A</v>
      </c>
      <c r="E90" s="16" t="e">
        <f t="shared" si="1"/>
        <v>#N/A</v>
      </c>
      <c r="F90" s="16" t="e">
        <f t="shared" ref="F90:K90" si="182">VLOOKUP($A90,[1]Ambiente!$A$1:$O$274,F$1,0)</f>
        <v>#N/A</v>
      </c>
      <c r="G90" s="39" t="e">
        <f t="shared" si="182"/>
        <v>#N/A</v>
      </c>
      <c r="H90" s="16" t="e">
        <f t="shared" si="182"/>
        <v>#N/A</v>
      </c>
      <c r="I90" s="16" t="e">
        <f t="shared" si="182"/>
        <v>#N/A</v>
      </c>
      <c r="J90" s="40" t="e">
        <f t="shared" si="182"/>
        <v>#N/A</v>
      </c>
      <c r="K90" s="16" t="e">
        <f t="shared" si="182"/>
        <v>#N/A</v>
      </c>
      <c r="L90" s="40" t="e">
        <f t="shared" si="3"/>
        <v>#N/A</v>
      </c>
      <c r="M90" s="16" t="e">
        <f t="shared" si="4"/>
        <v>#N/A</v>
      </c>
      <c r="N90" s="16" t="e">
        <f t="shared" si="5"/>
        <v>#N/A</v>
      </c>
      <c r="O90" s="16" t="s">
        <v>64</v>
      </c>
      <c r="P90" s="16" t="str">
        <f t="shared" si="6"/>
        <v/>
      </c>
      <c r="Q90" s="41" t="e">
        <f t="shared" si="7"/>
        <v>#N/A</v>
      </c>
      <c r="R90" s="44"/>
      <c r="S90" s="44"/>
      <c r="T90" s="43"/>
      <c r="U90" s="43" t="str">
        <f t="shared" si="8"/>
        <v>No</v>
      </c>
      <c r="V90" s="25"/>
      <c r="W90" s="25"/>
      <c r="X90" s="25"/>
      <c r="Y90" s="25"/>
      <c r="Z90" s="25"/>
    </row>
    <row r="91" spans="1:26" ht="15.75" customHeight="1" x14ac:dyDescent="0.25">
      <c r="A91" s="25">
        <v>89</v>
      </c>
      <c r="B91" s="37" t="e">
        <f t="shared" ref="B91:D91" si="183">VLOOKUP($A91,[1]Ambiente!$A$1:$O$274,B$1,0)</f>
        <v>#N/A</v>
      </c>
      <c r="C91" s="38" t="e">
        <f t="shared" si="183"/>
        <v>#N/A</v>
      </c>
      <c r="D91" s="39" t="e">
        <f t="shared" si="183"/>
        <v>#N/A</v>
      </c>
      <c r="E91" s="16" t="e">
        <f t="shared" si="1"/>
        <v>#N/A</v>
      </c>
      <c r="F91" s="16" t="e">
        <f t="shared" ref="F91:K91" si="184">VLOOKUP($A91,[1]Ambiente!$A$1:$O$274,F$1,0)</f>
        <v>#N/A</v>
      </c>
      <c r="G91" s="39" t="e">
        <f t="shared" si="184"/>
        <v>#N/A</v>
      </c>
      <c r="H91" s="16" t="e">
        <f t="shared" si="184"/>
        <v>#N/A</v>
      </c>
      <c r="I91" s="16" t="e">
        <f t="shared" si="184"/>
        <v>#N/A</v>
      </c>
      <c r="J91" s="40" t="e">
        <f t="shared" si="184"/>
        <v>#N/A</v>
      </c>
      <c r="K91" s="16" t="e">
        <f t="shared" si="184"/>
        <v>#N/A</v>
      </c>
      <c r="L91" s="40" t="e">
        <f t="shared" si="3"/>
        <v>#N/A</v>
      </c>
      <c r="M91" s="16" t="e">
        <f t="shared" si="4"/>
        <v>#N/A</v>
      </c>
      <c r="N91" s="16" t="e">
        <f t="shared" si="5"/>
        <v>#N/A</v>
      </c>
      <c r="O91" s="16" t="s">
        <v>64</v>
      </c>
      <c r="P91" s="16" t="str">
        <f t="shared" si="6"/>
        <v/>
      </c>
      <c r="Q91" s="41" t="e">
        <f t="shared" si="7"/>
        <v>#N/A</v>
      </c>
      <c r="R91" s="44"/>
      <c r="S91" s="44"/>
      <c r="T91" s="43"/>
      <c r="U91" s="43" t="str">
        <f t="shared" si="8"/>
        <v>No</v>
      </c>
      <c r="V91" s="25"/>
      <c r="W91" s="25"/>
      <c r="X91" s="25"/>
      <c r="Y91" s="25"/>
      <c r="Z91" s="25"/>
    </row>
    <row r="92" spans="1:26" ht="15.75" customHeight="1" x14ac:dyDescent="0.25">
      <c r="A92" s="25">
        <v>90</v>
      </c>
      <c r="B92" s="37" t="e">
        <f t="shared" ref="B92:D92" si="185">VLOOKUP($A92,[1]Ambiente!$A$1:$O$274,B$1,0)</f>
        <v>#N/A</v>
      </c>
      <c r="C92" s="38" t="e">
        <f t="shared" si="185"/>
        <v>#N/A</v>
      </c>
      <c r="D92" s="39" t="e">
        <f t="shared" si="185"/>
        <v>#N/A</v>
      </c>
      <c r="E92" s="16" t="e">
        <f t="shared" si="1"/>
        <v>#N/A</v>
      </c>
      <c r="F92" s="16" t="e">
        <f t="shared" ref="F92:K92" si="186">VLOOKUP($A92,[1]Ambiente!$A$1:$O$274,F$1,0)</f>
        <v>#N/A</v>
      </c>
      <c r="G92" s="39" t="e">
        <f t="shared" si="186"/>
        <v>#N/A</v>
      </c>
      <c r="H92" s="16" t="e">
        <f t="shared" si="186"/>
        <v>#N/A</v>
      </c>
      <c r="I92" s="16" t="e">
        <f t="shared" si="186"/>
        <v>#N/A</v>
      </c>
      <c r="J92" s="40" t="e">
        <f t="shared" si="186"/>
        <v>#N/A</v>
      </c>
      <c r="K92" s="16" t="e">
        <f t="shared" si="186"/>
        <v>#N/A</v>
      </c>
      <c r="L92" s="40" t="e">
        <f t="shared" si="3"/>
        <v>#N/A</v>
      </c>
      <c r="M92" s="16" t="e">
        <f t="shared" si="4"/>
        <v>#N/A</v>
      </c>
      <c r="N92" s="16" t="e">
        <f t="shared" si="5"/>
        <v>#N/A</v>
      </c>
      <c r="O92" s="16" t="s">
        <v>64</v>
      </c>
      <c r="P92" s="16" t="str">
        <f t="shared" si="6"/>
        <v/>
      </c>
      <c r="Q92" s="41" t="e">
        <f t="shared" si="7"/>
        <v>#N/A</v>
      </c>
      <c r="R92" s="44"/>
      <c r="S92" s="44"/>
      <c r="T92" s="43"/>
      <c r="U92" s="43" t="str">
        <f t="shared" si="8"/>
        <v>No</v>
      </c>
      <c r="V92" s="25"/>
      <c r="W92" s="25"/>
      <c r="X92" s="25"/>
      <c r="Y92" s="25"/>
      <c r="Z92" s="25"/>
    </row>
    <row r="93" spans="1:26" ht="15.75" customHeight="1" x14ac:dyDescent="0.25">
      <c r="A93" s="25">
        <v>91</v>
      </c>
      <c r="B93" s="37" t="e">
        <f t="shared" ref="B93:D93" si="187">VLOOKUP($A93,[1]Ambiente!$A$1:$O$274,B$1,0)</f>
        <v>#N/A</v>
      </c>
      <c r="C93" s="38" t="e">
        <f t="shared" si="187"/>
        <v>#N/A</v>
      </c>
      <c r="D93" s="39" t="e">
        <f t="shared" si="187"/>
        <v>#N/A</v>
      </c>
      <c r="E93" s="16" t="e">
        <f t="shared" si="1"/>
        <v>#N/A</v>
      </c>
      <c r="F93" s="16" t="e">
        <f t="shared" ref="F93:K93" si="188">VLOOKUP($A93,[1]Ambiente!$A$1:$O$274,F$1,0)</f>
        <v>#N/A</v>
      </c>
      <c r="G93" s="39" t="e">
        <f t="shared" si="188"/>
        <v>#N/A</v>
      </c>
      <c r="H93" s="16" t="e">
        <f t="shared" si="188"/>
        <v>#N/A</v>
      </c>
      <c r="I93" s="16" t="e">
        <f t="shared" si="188"/>
        <v>#N/A</v>
      </c>
      <c r="J93" s="40" t="e">
        <f t="shared" si="188"/>
        <v>#N/A</v>
      </c>
      <c r="K93" s="16" t="e">
        <f t="shared" si="188"/>
        <v>#N/A</v>
      </c>
      <c r="L93" s="40" t="e">
        <f t="shared" si="3"/>
        <v>#N/A</v>
      </c>
      <c r="M93" s="16" t="e">
        <f t="shared" si="4"/>
        <v>#N/A</v>
      </c>
      <c r="N93" s="16" t="e">
        <f t="shared" si="5"/>
        <v>#N/A</v>
      </c>
      <c r="O93" s="16" t="s">
        <v>64</v>
      </c>
      <c r="P93" s="16" t="str">
        <f t="shared" si="6"/>
        <v/>
      </c>
      <c r="Q93" s="41" t="e">
        <f t="shared" si="7"/>
        <v>#N/A</v>
      </c>
      <c r="R93" s="44"/>
      <c r="S93" s="44"/>
      <c r="T93" s="43"/>
      <c r="U93" s="43" t="str">
        <f t="shared" si="8"/>
        <v>No</v>
      </c>
      <c r="V93" s="25"/>
      <c r="W93" s="25"/>
      <c r="X93" s="25"/>
      <c r="Y93" s="25"/>
      <c r="Z93" s="25"/>
    </row>
    <row r="94" spans="1:26" ht="15.75" customHeight="1" x14ac:dyDescent="0.25">
      <c r="A94" s="25">
        <v>92</v>
      </c>
      <c r="B94" s="37" t="e">
        <f t="shared" ref="B94:D94" si="189">VLOOKUP($A94,[1]Ambiente!$A$1:$O$274,B$1,0)</f>
        <v>#N/A</v>
      </c>
      <c r="C94" s="38" t="e">
        <f t="shared" si="189"/>
        <v>#N/A</v>
      </c>
      <c r="D94" s="39" t="e">
        <f t="shared" si="189"/>
        <v>#N/A</v>
      </c>
      <c r="E94" s="16" t="e">
        <f t="shared" si="1"/>
        <v>#N/A</v>
      </c>
      <c r="F94" s="16" t="e">
        <f t="shared" ref="F94:K94" si="190">VLOOKUP($A94,[1]Ambiente!$A$1:$O$274,F$1,0)</f>
        <v>#N/A</v>
      </c>
      <c r="G94" s="39" t="e">
        <f t="shared" si="190"/>
        <v>#N/A</v>
      </c>
      <c r="H94" s="16" t="e">
        <f t="shared" si="190"/>
        <v>#N/A</v>
      </c>
      <c r="I94" s="16" t="e">
        <f t="shared" si="190"/>
        <v>#N/A</v>
      </c>
      <c r="J94" s="40" t="e">
        <f t="shared" si="190"/>
        <v>#N/A</v>
      </c>
      <c r="K94" s="16" t="e">
        <f t="shared" si="190"/>
        <v>#N/A</v>
      </c>
      <c r="L94" s="40" t="e">
        <f t="shared" si="3"/>
        <v>#N/A</v>
      </c>
      <c r="M94" s="16" t="e">
        <f t="shared" si="4"/>
        <v>#N/A</v>
      </c>
      <c r="N94" s="16" t="e">
        <f t="shared" si="5"/>
        <v>#N/A</v>
      </c>
      <c r="O94" s="16" t="s">
        <v>64</v>
      </c>
      <c r="P94" s="16" t="str">
        <f t="shared" si="6"/>
        <v/>
      </c>
      <c r="Q94" s="41" t="e">
        <f t="shared" si="7"/>
        <v>#N/A</v>
      </c>
      <c r="R94" s="44"/>
      <c r="S94" s="44"/>
      <c r="T94" s="43"/>
      <c r="U94" s="43" t="str">
        <f t="shared" si="8"/>
        <v>No</v>
      </c>
      <c r="V94" s="25"/>
      <c r="W94" s="25"/>
      <c r="X94" s="25"/>
      <c r="Y94" s="25"/>
      <c r="Z94" s="25"/>
    </row>
    <row r="95" spans="1:26" ht="15.75" customHeight="1" x14ac:dyDescent="0.25">
      <c r="A95" s="25">
        <v>93</v>
      </c>
      <c r="B95" s="37" t="e">
        <f t="shared" ref="B95:D95" si="191">VLOOKUP($A95,[1]Ambiente!$A$1:$O$274,B$1,0)</f>
        <v>#N/A</v>
      </c>
      <c r="C95" s="38" t="e">
        <f t="shared" si="191"/>
        <v>#N/A</v>
      </c>
      <c r="D95" s="39" t="e">
        <f t="shared" si="191"/>
        <v>#N/A</v>
      </c>
      <c r="E95" s="16" t="e">
        <f t="shared" si="1"/>
        <v>#N/A</v>
      </c>
      <c r="F95" s="16" t="e">
        <f t="shared" ref="F95:K95" si="192">VLOOKUP($A95,[1]Ambiente!$A$1:$O$274,F$1,0)</f>
        <v>#N/A</v>
      </c>
      <c r="G95" s="39" t="e">
        <f t="shared" si="192"/>
        <v>#N/A</v>
      </c>
      <c r="H95" s="16" t="e">
        <f t="shared" si="192"/>
        <v>#N/A</v>
      </c>
      <c r="I95" s="16" t="e">
        <f t="shared" si="192"/>
        <v>#N/A</v>
      </c>
      <c r="J95" s="40" t="e">
        <f t="shared" si="192"/>
        <v>#N/A</v>
      </c>
      <c r="K95" s="16" t="e">
        <f t="shared" si="192"/>
        <v>#N/A</v>
      </c>
      <c r="L95" s="40" t="e">
        <f t="shared" si="3"/>
        <v>#N/A</v>
      </c>
      <c r="M95" s="16" t="e">
        <f t="shared" si="4"/>
        <v>#N/A</v>
      </c>
      <c r="N95" s="16" t="e">
        <f t="shared" si="5"/>
        <v>#N/A</v>
      </c>
      <c r="O95" s="16" t="s">
        <v>64</v>
      </c>
      <c r="P95" s="16" t="str">
        <f t="shared" si="6"/>
        <v/>
      </c>
      <c r="Q95" s="41" t="e">
        <f t="shared" si="7"/>
        <v>#N/A</v>
      </c>
      <c r="R95" s="44"/>
      <c r="S95" s="44"/>
      <c r="T95" s="43"/>
      <c r="U95" s="43" t="str">
        <f t="shared" si="8"/>
        <v>No</v>
      </c>
      <c r="V95" s="25"/>
      <c r="W95" s="25"/>
      <c r="X95" s="25"/>
      <c r="Y95" s="25"/>
      <c r="Z95" s="25"/>
    </row>
    <row r="96" spans="1:26" ht="15.75" customHeight="1" x14ac:dyDescent="0.25">
      <c r="A96" s="25">
        <v>94</v>
      </c>
      <c r="B96" s="37" t="e">
        <f t="shared" ref="B96:D96" si="193">VLOOKUP($A96,[1]Ambiente!$A$1:$O$274,B$1,0)</f>
        <v>#N/A</v>
      </c>
      <c r="C96" s="38" t="e">
        <f t="shared" si="193"/>
        <v>#N/A</v>
      </c>
      <c r="D96" s="39" t="e">
        <f t="shared" si="193"/>
        <v>#N/A</v>
      </c>
      <c r="E96" s="16" t="e">
        <f t="shared" si="1"/>
        <v>#N/A</v>
      </c>
      <c r="F96" s="16" t="e">
        <f t="shared" ref="F96:K96" si="194">VLOOKUP($A96,[1]Ambiente!$A$1:$O$274,F$1,0)</f>
        <v>#N/A</v>
      </c>
      <c r="G96" s="39" t="e">
        <f t="shared" si="194"/>
        <v>#N/A</v>
      </c>
      <c r="H96" s="16" t="e">
        <f t="shared" si="194"/>
        <v>#N/A</v>
      </c>
      <c r="I96" s="16" t="e">
        <f t="shared" si="194"/>
        <v>#N/A</v>
      </c>
      <c r="J96" s="40" t="e">
        <f t="shared" si="194"/>
        <v>#N/A</v>
      </c>
      <c r="K96" s="16" t="e">
        <f t="shared" si="194"/>
        <v>#N/A</v>
      </c>
      <c r="L96" s="40" t="e">
        <f t="shared" si="3"/>
        <v>#N/A</v>
      </c>
      <c r="M96" s="16" t="e">
        <f t="shared" si="4"/>
        <v>#N/A</v>
      </c>
      <c r="N96" s="16" t="e">
        <f t="shared" si="5"/>
        <v>#N/A</v>
      </c>
      <c r="O96" s="16" t="s">
        <v>64</v>
      </c>
      <c r="P96" s="16" t="str">
        <f t="shared" si="6"/>
        <v/>
      </c>
      <c r="Q96" s="41" t="e">
        <f t="shared" si="7"/>
        <v>#N/A</v>
      </c>
      <c r="R96" s="44"/>
      <c r="S96" s="44"/>
      <c r="T96" s="43"/>
      <c r="U96" s="43" t="str">
        <f t="shared" si="8"/>
        <v>No</v>
      </c>
      <c r="V96" s="25"/>
      <c r="W96" s="25"/>
      <c r="X96" s="25"/>
      <c r="Y96" s="25"/>
      <c r="Z96" s="25"/>
    </row>
    <row r="97" spans="1:26" ht="15.75" customHeight="1" x14ac:dyDescent="0.25">
      <c r="A97" s="25">
        <v>95</v>
      </c>
      <c r="B97" s="37" t="e">
        <f t="shared" ref="B97:D97" si="195">VLOOKUP($A97,[1]Ambiente!$A$1:$O$274,B$1,0)</f>
        <v>#N/A</v>
      </c>
      <c r="C97" s="38" t="e">
        <f t="shared" si="195"/>
        <v>#N/A</v>
      </c>
      <c r="D97" s="39" t="e">
        <f t="shared" si="195"/>
        <v>#N/A</v>
      </c>
      <c r="E97" s="16" t="e">
        <f t="shared" si="1"/>
        <v>#N/A</v>
      </c>
      <c r="F97" s="16" t="e">
        <f t="shared" ref="F97:K97" si="196">VLOOKUP($A97,[1]Ambiente!$A$1:$O$274,F$1,0)</f>
        <v>#N/A</v>
      </c>
      <c r="G97" s="39" t="e">
        <f t="shared" si="196"/>
        <v>#N/A</v>
      </c>
      <c r="H97" s="16" t="e">
        <f t="shared" si="196"/>
        <v>#N/A</v>
      </c>
      <c r="I97" s="16" t="e">
        <f t="shared" si="196"/>
        <v>#N/A</v>
      </c>
      <c r="J97" s="40" t="e">
        <f t="shared" si="196"/>
        <v>#N/A</v>
      </c>
      <c r="K97" s="16" t="e">
        <f t="shared" si="196"/>
        <v>#N/A</v>
      </c>
      <c r="L97" s="40" t="e">
        <f t="shared" si="3"/>
        <v>#N/A</v>
      </c>
      <c r="M97" s="16" t="e">
        <f t="shared" si="4"/>
        <v>#N/A</v>
      </c>
      <c r="N97" s="16" t="e">
        <f t="shared" si="5"/>
        <v>#N/A</v>
      </c>
      <c r="O97" s="16" t="s">
        <v>64</v>
      </c>
      <c r="P97" s="16" t="str">
        <f t="shared" si="6"/>
        <v/>
      </c>
      <c r="Q97" s="41" t="e">
        <f t="shared" si="7"/>
        <v>#N/A</v>
      </c>
      <c r="R97" s="44"/>
      <c r="S97" s="44"/>
      <c r="T97" s="43"/>
      <c r="U97" s="43" t="str">
        <f t="shared" si="8"/>
        <v>No</v>
      </c>
      <c r="V97" s="25"/>
      <c r="W97" s="25"/>
      <c r="X97" s="25"/>
      <c r="Y97" s="25"/>
      <c r="Z97" s="25"/>
    </row>
    <row r="98" spans="1:26" ht="15.75" customHeight="1" x14ac:dyDescent="0.25">
      <c r="A98" s="25">
        <v>96</v>
      </c>
      <c r="B98" s="37" t="e">
        <f t="shared" ref="B98:D98" si="197">VLOOKUP($A98,[1]Ambiente!$A$1:$O$274,B$1,0)</f>
        <v>#N/A</v>
      </c>
      <c r="C98" s="38" t="e">
        <f t="shared" si="197"/>
        <v>#N/A</v>
      </c>
      <c r="D98" s="39" t="e">
        <f t="shared" si="197"/>
        <v>#N/A</v>
      </c>
      <c r="E98" s="16" t="e">
        <f t="shared" si="1"/>
        <v>#N/A</v>
      </c>
      <c r="F98" s="16" t="e">
        <f t="shared" ref="F98:K98" si="198">VLOOKUP($A98,[1]Ambiente!$A$1:$O$274,F$1,0)</f>
        <v>#N/A</v>
      </c>
      <c r="G98" s="39" t="e">
        <f t="shared" si="198"/>
        <v>#N/A</v>
      </c>
      <c r="H98" s="16" t="e">
        <f t="shared" si="198"/>
        <v>#N/A</v>
      </c>
      <c r="I98" s="16" t="e">
        <f t="shared" si="198"/>
        <v>#N/A</v>
      </c>
      <c r="J98" s="40" t="e">
        <f t="shared" si="198"/>
        <v>#N/A</v>
      </c>
      <c r="K98" s="16" t="e">
        <f t="shared" si="198"/>
        <v>#N/A</v>
      </c>
      <c r="L98" s="40" t="e">
        <f t="shared" si="3"/>
        <v>#N/A</v>
      </c>
      <c r="M98" s="16" t="e">
        <f t="shared" si="4"/>
        <v>#N/A</v>
      </c>
      <c r="N98" s="16" t="e">
        <f t="shared" si="5"/>
        <v>#N/A</v>
      </c>
      <c r="O98" s="16" t="s">
        <v>64</v>
      </c>
      <c r="P98" s="16" t="str">
        <f t="shared" si="6"/>
        <v/>
      </c>
      <c r="Q98" s="41" t="e">
        <f t="shared" si="7"/>
        <v>#N/A</v>
      </c>
      <c r="R98" s="44"/>
      <c r="S98" s="44"/>
      <c r="T98" s="43"/>
      <c r="U98" s="43" t="str">
        <f t="shared" si="8"/>
        <v>No</v>
      </c>
      <c r="V98" s="25"/>
      <c r="W98" s="25"/>
      <c r="X98" s="25"/>
      <c r="Y98" s="25"/>
      <c r="Z98" s="25"/>
    </row>
    <row r="99" spans="1:26" ht="15.75" customHeight="1" x14ac:dyDescent="0.25">
      <c r="A99" s="25">
        <v>97</v>
      </c>
      <c r="B99" s="37" t="e">
        <f t="shared" ref="B99:D99" si="199">VLOOKUP($A99,[1]Ambiente!$A$1:$O$274,B$1,0)</f>
        <v>#N/A</v>
      </c>
      <c r="C99" s="38" t="e">
        <f t="shared" si="199"/>
        <v>#N/A</v>
      </c>
      <c r="D99" s="39" t="e">
        <f t="shared" si="199"/>
        <v>#N/A</v>
      </c>
      <c r="E99" s="16" t="e">
        <f t="shared" si="1"/>
        <v>#N/A</v>
      </c>
      <c r="F99" s="16" t="e">
        <f t="shared" ref="F99:K99" si="200">VLOOKUP($A99,[1]Ambiente!$A$1:$O$274,F$1,0)</f>
        <v>#N/A</v>
      </c>
      <c r="G99" s="39" t="e">
        <f t="shared" si="200"/>
        <v>#N/A</v>
      </c>
      <c r="H99" s="16" t="e">
        <f t="shared" si="200"/>
        <v>#N/A</v>
      </c>
      <c r="I99" s="16" t="e">
        <f t="shared" si="200"/>
        <v>#N/A</v>
      </c>
      <c r="J99" s="40" t="e">
        <f t="shared" si="200"/>
        <v>#N/A</v>
      </c>
      <c r="K99" s="16" t="e">
        <f t="shared" si="200"/>
        <v>#N/A</v>
      </c>
      <c r="L99" s="40" t="e">
        <f t="shared" si="3"/>
        <v>#N/A</v>
      </c>
      <c r="M99" s="16" t="e">
        <f t="shared" si="4"/>
        <v>#N/A</v>
      </c>
      <c r="N99" s="16" t="e">
        <f t="shared" si="5"/>
        <v>#N/A</v>
      </c>
      <c r="O99" s="16" t="s">
        <v>64</v>
      </c>
      <c r="P99" s="16" t="str">
        <f t="shared" si="6"/>
        <v/>
      </c>
      <c r="Q99" s="41" t="e">
        <f t="shared" si="7"/>
        <v>#N/A</v>
      </c>
      <c r="R99" s="44"/>
      <c r="S99" s="44"/>
      <c r="T99" s="43"/>
      <c r="U99" s="43" t="str">
        <f t="shared" si="8"/>
        <v>No</v>
      </c>
      <c r="V99" s="25"/>
      <c r="W99" s="25"/>
      <c r="X99" s="25"/>
      <c r="Y99" s="25"/>
      <c r="Z99" s="25"/>
    </row>
    <row r="100" spans="1:26" ht="15.75" customHeight="1" x14ac:dyDescent="0.25">
      <c r="A100" s="25">
        <v>98</v>
      </c>
      <c r="B100" s="37" t="e">
        <f t="shared" ref="B100:D100" si="201">VLOOKUP($A100,[1]Ambiente!$A$1:$O$274,B$1,0)</f>
        <v>#N/A</v>
      </c>
      <c r="C100" s="38" t="e">
        <f t="shared" si="201"/>
        <v>#N/A</v>
      </c>
      <c r="D100" s="39" t="e">
        <f t="shared" si="201"/>
        <v>#N/A</v>
      </c>
      <c r="E100" s="16" t="e">
        <f t="shared" si="1"/>
        <v>#N/A</v>
      </c>
      <c r="F100" s="16" t="e">
        <f t="shared" ref="F100:K100" si="202">VLOOKUP($A100,[1]Ambiente!$A$1:$O$274,F$1,0)</f>
        <v>#N/A</v>
      </c>
      <c r="G100" s="39" t="e">
        <f t="shared" si="202"/>
        <v>#N/A</v>
      </c>
      <c r="H100" s="16" t="e">
        <f t="shared" si="202"/>
        <v>#N/A</v>
      </c>
      <c r="I100" s="16" t="e">
        <f t="shared" si="202"/>
        <v>#N/A</v>
      </c>
      <c r="J100" s="40" t="e">
        <f t="shared" si="202"/>
        <v>#N/A</v>
      </c>
      <c r="K100" s="16" t="e">
        <f t="shared" si="202"/>
        <v>#N/A</v>
      </c>
      <c r="L100" s="40" t="e">
        <f t="shared" si="3"/>
        <v>#N/A</v>
      </c>
      <c r="M100" s="16" t="e">
        <f t="shared" si="4"/>
        <v>#N/A</v>
      </c>
      <c r="N100" s="16" t="e">
        <f t="shared" si="5"/>
        <v>#N/A</v>
      </c>
      <c r="O100" s="16" t="s">
        <v>64</v>
      </c>
      <c r="P100" s="16" t="str">
        <f t="shared" si="6"/>
        <v/>
      </c>
      <c r="Q100" s="41" t="e">
        <f t="shared" si="7"/>
        <v>#N/A</v>
      </c>
      <c r="R100" s="44"/>
      <c r="S100" s="44"/>
      <c r="T100" s="43"/>
      <c r="U100" s="43" t="str">
        <f t="shared" si="8"/>
        <v>No</v>
      </c>
      <c r="V100" s="25"/>
      <c r="W100" s="25"/>
      <c r="X100" s="25"/>
      <c r="Y100" s="25"/>
      <c r="Z100" s="25"/>
    </row>
    <row r="101" spans="1:26" ht="15.75" customHeight="1" x14ac:dyDescent="0.25">
      <c r="A101" s="25">
        <v>99</v>
      </c>
      <c r="B101" s="37" t="e">
        <f t="shared" ref="B101:D101" si="203">VLOOKUP($A101,[1]Ambiente!$A$1:$O$274,B$1,0)</f>
        <v>#N/A</v>
      </c>
      <c r="C101" s="38" t="e">
        <f t="shared" si="203"/>
        <v>#N/A</v>
      </c>
      <c r="D101" s="39" t="e">
        <f t="shared" si="203"/>
        <v>#N/A</v>
      </c>
      <c r="E101" s="16" t="e">
        <f t="shared" si="1"/>
        <v>#N/A</v>
      </c>
      <c r="F101" s="16" t="e">
        <f t="shared" ref="F101:K101" si="204">VLOOKUP($A101,[1]Ambiente!$A$1:$O$274,F$1,0)</f>
        <v>#N/A</v>
      </c>
      <c r="G101" s="39" t="e">
        <f t="shared" si="204"/>
        <v>#N/A</v>
      </c>
      <c r="H101" s="16" t="e">
        <f t="shared" si="204"/>
        <v>#N/A</v>
      </c>
      <c r="I101" s="16" t="e">
        <f t="shared" si="204"/>
        <v>#N/A</v>
      </c>
      <c r="J101" s="40" t="e">
        <f t="shared" si="204"/>
        <v>#N/A</v>
      </c>
      <c r="K101" s="16" t="e">
        <f t="shared" si="204"/>
        <v>#N/A</v>
      </c>
      <c r="L101" s="40" t="e">
        <f t="shared" si="3"/>
        <v>#N/A</v>
      </c>
      <c r="M101" s="16" t="e">
        <f t="shared" si="4"/>
        <v>#N/A</v>
      </c>
      <c r="N101" s="16" t="e">
        <f t="shared" si="5"/>
        <v>#N/A</v>
      </c>
      <c r="O101" s="16" t="s">
        <v>64</v>
      </c>
      <c r="P101" s="16" t="str">
        <f t="shared" si="6"/>
        <v/>
      </c>
      <c r="Q101" s="41" t="e">
        <f t="shared" si="7"/>
        <v>#N/A</v>
      </c>
      <c r="R101" s="44"/>
      <c r="S101" s="44"/>
      <c r="T101" s="43"/>
      <c r="U101" s="43" t="str">
        <f t="shared" si="8"/>
        <v>No</v>
      </c>
      <c r="V101" s="25"/>
      <c r="W101" s="25"/>
      <c r="X101" s="25"/>
      <c r="Y101" s="25"/>
      <c r="Z101" s="25"/>
    </row>
    <row r="102" spans="1:26" ht="15.75" customHeight="1" x14ac:dyDescent="0.25">
      <c r="A102" s="25">
        <v>100</v>
      </c>
      <c r="B102" s="37" t="e">
        <f t="shared" ref="B102:D102" si="205">VLOOKUP($A102,[1]Ambiente!$A$1:$O$274,B$1,0)</f>
        <v>#N/A</v>
      </c>
      <c r="C102" s="38" t="e">
        <f t="shared" si="205"/>
        <v>#N/A</v>
      </c>
      <c r="D102" s="39" t="e">
        <f t="shared" si="205"/>
        <v>#N/A</v>
      </c>
      <c r="E102" s="16" t="e">
        <f t="shared" si="1"/>
        <v>#N/A</v>
      </c>
      <c r="F102" s="16" t="e">
        <f t="shared" ref="F102:K102" si="206">VLOOKUP($A102,[1]Ambiente!$A$1:$O$274,F$1,0)</f>
        <v>#N/A</v>
      </c>
      <c r="G102" s="39" t="e">
        <f t="shared" si="206"/>
        <v>#N/A</v>
      </c>
      <c r="H102" s="16" t="e">
        <f t="shared" si="206"/>
        <v>#N/A</v>
      </c>
      <c r="I102" s="16" t="e">
        <f t="shared" si="206"/>
        <v>#N/A</v>
      </c>
      <c r="J102" s="40" t="e">
        <f t="shared" si="206"/>
        <v>#N/A</v>
      </c>
      <c r="K102" s="16" t="e">
        <f t="shared" si="206"/>
        <v>#N/A</v>
      </c>
      <c r="L102" s="40" t="e">
        <f t="shared" si="3"/>
        <v>#N/A</v>
      </c>
      <c r="M102" s="16" t="e">
        <f t="shared" si="4"/>
        <v>#N/A</v>
      </c>
      <c r="N102" s="16" t="e">
        <f t="shared" si="5"/>
        <v>#N/A</v>
      </c>
      <c r="O102" s="16" t="s">
        <v>64</v>
      </c>
      <c r="P102" s="16" t="str">
        <f t="shared" si="6"/>
        <v/>
      </c>
      <c r="Q102" s="41" t="e">
        <f t="shared" si="7"/>
        <v>#N/A</v>
      </c>
      <c r="R102" s="44"/>
      <c r="S102" s="44"/>
      <c r="T102" s="43"/>
      <c r="U102" s="43" t="str">
        <f t="shared" si="8"/>
        <v>No</v>
      </c>
      <c r="V102" s="25"/>
      <c r="W102" s="25"/>
      <c r="X102" s="25"/>
      <c r="Y102" s="25"/>
      <c r="Z102" s="25"/>
    </row>
    <row r="103" spans="1:26" ht="15.75" customHeight="1" x14ac:dyDescent="0.25">
      <c r="A103" s="25">
        <v>101</v>
      </c>
      <c r="B103" s="37" t="e">
        <f t="shared" ref="B103:D103" si="207">VLOOKUP($A103,[1]Ambiente!$A$1:$O$274,B$1,0)</f>
        <v>#N/A</v>
      </c>
      <c r="C103" s="38" t="e">
        <f t="shared" si="207"/>
        <v>#N/A</v>
      </c>
      <c r="D103" s="39" t="e">
        <f t="shared" si="207"/>
        <v>#N/A</v>
      </c>
      <c r="E103" s="16" t="e">
        <f t="shared" si="1"/>
        <v>#N/A</v>
      </c>
      <c r="F103" s="16" t="e">
        <f t="shared" ref="F103:K103" si="208">VLOOKUP($A103,[1]Ambiente!$A$1:$O$274,F$1,0)</f>
        <v>#N/A</v>
      </c>
      <c r="G103" s="39" t="e">
        <f t="shared" si="208"/>
        <v>#N/A</v>
      </c>
      <c r="H103" s="16" t="e">
        <f t="shared" si="208"/>
        <v>#N/A</v>
      </c>
      <c r="I103" s="16" t="e">
        <f t="shared" si="208"/>
        <v>#N/A</v>
      </c>
      <c r="J103" s="40" t="e">
        <f t="shared" si="208"/>
        <v>#N/A</v>
      </c>
      <c r="K103" s="16" t="e">
        <f t="shared" si="208"/>
        <v>#N/A</v>
      </c>
      <c r="L103" s="40" t="e">
        <f t="shared" si="3"/>
        <v>#N/A</v>
      </c>
      <c r="M103" s="16" t="e">
        <f t="shared" si="4"/>
        <v>#N/A</v>
      </c>
      <c r="N103" s="16" t="e">
        <f t="shared" si="5"/>
        <v>#N/A</v>
      </c>
      <c r="O103" s="16" t="s">
        <v>64</v>
      </c>
      <c r="P103" s="16" t="str">
        <f t="shared" si="6"/>
        <v/>
      </c>
      <c r="Q103" s="41" t="e">
        <f t="shared" si="7"/>
        <v>#N/A</v>
      </c>
      <c r="R103" s="44"/>
      <c r="S103" s="44"/>
      <c r="T103" s="43"/>
      <c r="U103" s="43" t="str">
        <f t="shared" si="8"/>
        <v>No</v>
      </c>
      <c r="V103" s="25"/>
      <c r="W103" s="25"/>
      <c r="X103" s="25"/>
      <c r="Y103" s="25"/>
      <c r="Z103" s="25"/>
    </row>
    <row r="104" spans="1:26" ht="15.75" customHeight="1" x14ac:dyDescent="0.25">
      <c r="A104" s="25">
        <v>102</v>
      </c>
      <c r="B104" s="37" t="e">
        <f t="shared" ref="B104:D104" si="209">VLOOKUP($A104,[1]Ambiente!$A$1:$O$274,B$1,0)</f>
        <v>#N/A</v>
      </c>
      <c r="C104" s="38" t="e">
        <f t="shared" si="209"/>
        <v>#N/A</v>
      </c>
      <c r="D104" s="39" t="e">
        <f t="shared" si="209"/>
        <v>#N/A</v>
      </c>
      <c r="E104" s="16" t="e">
        <f t="shared" si="1"/>
        <v>#N/A</v>
      </c>
      <c r="F104" s="16" t="e">
        <f t="shared" ref="F104:K104" si="210">VLOOKUP($A104,[1]Ambiente!$A$1:$O$274,F$1,0)</f>
        <v>#N/A</v>
      </c>
      <c r="G104" s="39" t="e">
        <f t="shared" si="210"/>
        <v>#N/A</v>
      </c>
      <c r="H104" s="16" t="e">
        <f t="shared" si="210"/>
        <v>#N/A</v>
      </c>
      <c r="I104" s="16" t="e">
        <f t="shared" si="210"/>
        <v>#N/A</v>
      </c>
      <c r="J104" s="40" t="e">
        <f t="shared" si="210"/>
        <v>#N/A</v>
      </c>
      <c r="K104" s="16" t="e">
        <f t="shared" si="210"/>
        <v>#N/A</v>
      </c>
      <c r="L104" s="40" t="e">
        <f t="shared" si="3"/>
        <v>#N/A</v>
      </c>
      <c r="M104" s="16" t="e">
        <f t="shared" si="4"/>
        <v>#N/A</v>
      </c>
      <c r="N104" s="16" t="e">
        <f t="shared" si="5"/>
        <v>#N/A</v>
      </c>
      <c r="O104" s="16" t="s">
        <v>64</v>
      </c>
      <c r="P104" s="16" t="str">
        <f t="shared" si="6"/>
        <v/>
      </c>
      <c r="Q104" s="41" t="e">
        <f t="shared" si="7"/>
        <v>#N/A</v>
      </c>
      <c r="R104" s="44"/>
      <c r="S104" s="44"/>
      <c r="T104" s="43"/>
      <c r="U104" s="43" t="str">
        <f t="shared" si="8"/>
        <v>No</v>
      </c>
      <c r="V104" s="25"/>
      <c r="W104" s="25"/>
      <c r="X104" s="25"/>
      <c r="Y104" s="25"/>
      <c r="Z104" s="25"/>
    </row>
    <row r="105" spans="1:26" ht="15.75" customHeight="1" x14ac:dyDescent="0.25">
      <c r="A105" s="25">
        <v>103</v>
      </c>
      <c r="B105" s="37" t="e">
        <f t="shared" ref="B105:D105" si="211">VLOOKUP($A105,[1]Ambiente!$A$1:$O$274,B$1,0)</f>
        <v>#N/A</v>
      </c>
      <c r="C105" s="38" t="e">
        <f t="shared" si="211"/>
        <v>#N/A</v>
      </c>
      <c r="D105" s="39" t="e">
        <f t="shared" si="211"/>
        <v>#N/A</v>
      </c>
      <c r="E105" s="16" t="e">
        <f t="shared" si="1"/>
        <v>#N/A</v>
      </c>
      <c r="F105" s="16" t="e">
        <f t="shared" ref="F105:K105" si="212">VLOOKUP($A105,[1]Ambiente!$A$1:$O$274,F$1,0)</f>
        <v>#N/A</v>
      </c>
      <c r="G105" s="39" t="e">
        <f t="shared" si="212"/>
        <v>#N/A</v>
      </c>
      <c r="H105" s="16" t="e">
        <f t="shared" si="212"/>
        <v>#N/A</v>
      </c>
      <c r="I105" s="16" t="e">
        <f t="shared" si="212"/>
        <v>#N/A</v>
      </c>
      <c r="J105" s="40" t="e">
        <f t="shared" si="212"/>
        <v>#N/A</v>
      </c>
      <c r="K105" s="16" t="e">
        <f t="shared" si="212"/>
        <v>#N/A</v>
      </c>
      <c r="L105" s="40" t="e">
        <f t="shared" si="3"/>
        <v>#N/A</v>
      </c>
      <c r="M105" s="16" t="e">
        <f t="shared" si="4"/>
        <v>#N/A</v>
      </c>
      <c r="N105" s="16" t="e">
        <f t="shared" si="5"/>
        <v>#N/A</v>
      </c>
      <c r="O105" s="16" t="s">
        <v>64</v>
      </c>
      <c r="P105" s="16" t="str">
        <f t="shared" si="6"/>
        <v/>
      </c>
      <c r="Q105" s="41" t="e">
        <f t="shared" si="7"/>
        <v>#N/A</v>
      </c>
      <c r="R105" s="44"/>
      <c r="S105" s="44"/>
      <c r="T105" s="43"/>
      <c r="U105" s="43" t="str">
        <f t="shared" si="8"/>
        <v>No</v>
      </c>
      <c r="V105" s="25"/>
      <c r="W105" s="25"/>
      <c r="X105" s="25"/>
      <c r="Y105" s="25"/>
      <c r="Z105" s="25"/>
    </row>
    <row r="106" spans="1:26" ht="15.75" customHeight="1" x14ac:dyDescent="0.25">
      <c r="A106" s="25">
        <v>104</v>
      </c>
      <c r="B106" s="37" t="e">
        <f t="shared" ref="B106:D106" si="213">VLOOKUP($A106,[1]Ambiente!$A$1:$O$274,B$1,0)</f>
        <v>#N/A</v>
      </c>
      <c r="C106" s="38" t="e">
        <f t="shared" si="213"/>
        <v>#N/A</v>
      </c>
      <c r="D106" s="39" t="e">
        <f t="shared" si="213"/>
        <v>#N/A</v>
      </c>
      <c r="E106" s="16" t="e">
        <f t="shared" si="1"/>
        <v>#N/A</v>
      </c>
      <c r="F106" s="16" t="e">
        <f t="shared" ref="F106:K106" si="214">VLOOKUP($A106,[1]Ambiente!$A$1:$O$274,F$1,0)</f>
        <v>#N/A</v>
      </c>
      <c r="G106" s="39" t="e">
        <f t="shared" si="214"/>
        <v>#N/A</v>
      </c>
      <c r="H106" s="16" t="e">
        <f t="shared" si="214"/>
        <v>#N/A</v>
      </c>
      <c r="I106" s="16" t="e">
        <f t="shared" si="214"/>
        <v>#N/A</v>
      </c>
      <c r="J106" s="40" t="e">
        <f t="shared" si="214"/>
        <v>#N/A</v>
      </c>
      <c r="K106" s="16" t="e">
        <f t="shared" si="214"/>
        <v>#N/A</v>
      </c>
      <c r="L106" s="40" t="e">
        <f t="shared" si="3"/>
        <v>#N/A</v>
      </c>
      <c r="M106" s="16" t="e">
        <f t="shared" si="4"/>
        <v>#N/A</v>
      </c>
      <c r="N106" s="16" t="e">
        <f t="shared" si="5"/>
        <v>#N/A</v>
      </c>
      <c r="O106" s="16" t="s">
        <v>64</v>
      </c>
      <c r="P106" s="16" t="str">
        <f t="shared" si="6"/>
        <v/>
      </c>
      <c r="Q106" s="41" t="e">
        <f t="shared" si="7"/>
        <v>#N/A</v>
      </c>
      <c r="R106" s="44"/>
      <c r="S106" s="44"/>
      <c r="T106" s="43"/>
      <c r="U106" s="43" t="str">
        <f t="shared" si="8"/>
        <v>No</v>
      </c>
      <c r="V106" s="25"/>
      <c r="W106" s="25"/>
      <c r="X106" s="25"/>
      <c r="Y106" s="25"/>
      <c r="Z106" s="25"/>
    </row>
    <row r="107" spans="1:26" ht="15.75" customHeight="1" x14ac:dyDescent="0.25">
      <c r="A107" s="25">
        <v>105</v>
      </c>
      <c r="B107" s="37" t="e">
        <f t="shared" ref="B107:D107" si="215">VLOOKUP($A107,[1]Ambiente!$A$1:$O$274,B$1,0)</f>
        <v>#N/A</v>
      </c>
      <c r="C107" s="38" t="e">
        <f t="shared" si="215"/>
        <v>#N/A</v>
      </c>
      <c r="D107" s="39" t="e">
        <f t="shared" si="215"/>
        <v>#N/A</v>
      </c>
      <c r="E107" s="16" t="e">
        <f t="shared" si="1"/>
        <v>#N/A</v>
      </c>
      <c r="F107" s="16" t="e">
        <f t="shared" ref="F107:K107" si="216">VLOOKUP($A107,[1]Ambiente!$A$1:$O$274,F$1,0)</f>
        <v>#N/A</v>
      </c>
      <c r="G107" s="39" t="e">
        <f t="shared" si="216"/>
        <v>#N/A</v>
      </c>
      <c r="H107" s="16" t="e">
        <f t="shared" si="216"/>
        <v>#N/A</v>
      </c>
      <c r="I107" s="16" t="e">
        <f t="shared" si="216"/>
        <v>#N/A</v>
      </c>
      <c r="J107" s="40" t="e">
        <f t="shared" si="216"/>
        <v>#N/A</v>
      </c>
      <c r="K107" s="16" t="e">
        <f t="shared" si="216"/>
        <v>#N/A</v>
      </c>
      <c r="L107" s="40" t="e">
        <f t="shared" si="3"/>
        <v>#N/A</v>
      </c>
      <c r="M107" s="16" t="e">
        <f t="shared" si="4"/>
        <v>#N/A</v>
      </c>
      <c r="N107" s="16" t="e">
        <f t="shared" si="5"/>
        <v>#N/A</v>
      </c>
      <c r="O107" s="16" t="s">
        <v>64</v>
      </c>
      <c r="P107" s="16" t="str">
        <f t="shared" si="6"/>
        <v/>
      </c>
      <c r="Q107" s="41" t="e">
        <f t="shared" si="7"/>
        <v>#N/A</v>
      </c>
      <c r="R107" s="44"/>
      <c r="S107" s="44"/>
      <c r="T107" s="43"/>
      <c r="U107" s="43" t="str">
        <f t="shared" si="8"/>
        <v>No</v>
      </c>
      <c r="V107" s="25"/>
      <c r="W107" s="25"/>
      <c r="X107" s="25"/>
      <c r="Y107" s="25"/>
      <c r="Z107" s="25"/>
    </row>
    <row r="108" spans="1:26" ht="15.75" customHeight="1" x14ac:dyDescent="0.25">
      <c r="A108" s="25">
        <v>106</v>
      </c>
      <c r="B108" s="37" t="e">
        <f t="shared" ref="B108:D108" si="217">VLOOKUP($A108,[1]Ambiente!$A$1:$O$274,B$1,0)</f>
        <v>#N/A</v>
      </c>
      <c r="C108" s="38" t="e">
        <f t="shared" si="217"/>
        <v>#N/A</v>
      </c>
      <c r="D108" s="39" t="e">
        <f t="shared" si="217"/>
        <v>#N/A</v>
      </c>
      <c r="E108" s="16" t="e">
        <f t="shared" si="1"/>
        <v>#N/A</v>
      </c>
      <c r="F108" s="16" t="e">
        <f t="shared" ref="F108:K108" si="218">VLOOKUP($A108,[1]Ambiente!$A$1:$O$274,F$1,0)</f>
        <v>#N/A</v>
      </c>
      <c r="G108" s="39" t="e">
        <f t="shared" si="218"/>
        <v>#N/A</v>
      </c>
      <c r="H108" s="16" t="e">
        <f t="shared" si="218"/>
        <v>#N/A</v>
      </c>
      <c r="I108" s="16" t="e">
        <f t="shared" si="218"/>
        <v>#N/A</v>
      </c>
      <c r="J108" s="40" t="e">
        <f t="shared" si="218"/>
        <v>#N/A</v>
      </c>
      <c r="K108" s="16" t="e">
        <f t="shared" si="218"/>
        <v>#N/A</v>
      </c>
      <c r="L108" s="40" t="e">
        <f t="shared" si="3"/>
        <v>#N/A</v>
      </c>
      <c r="M108" s="16" t="e">
        <f t="shared" si="4"/>
        <v>#N/A</v>
      </c>
      <c r="N108" s="16" t="e">
        <f t="shared" si="5"/>
        <v>#N/A</v>
      </c>
      <c r="O108" s="16" t="s">
        <v>64</v>
      </c>
      <c r="P108" s="16" t="str">
        <f t="shared" si="6"/>
        <v/>
      </c>
      <c r="Q108" s="41" t="e">
        <f t="shared" si="7"/>
        <v>#N/A</v>
      </c>
      <c r="R108" s="44"/>
      <c r="S108" s="44"/>
      <c r="T108" s="43"/>
      <c r="U108" s="43" t="str">
        <f t="shared" si="8"/>
        <v>No</v>
      </c>
      <c r="V108" s="25"/>
      <c r="W108" s="25"/>
      <c r="X108" s="25"/>
      <c r="Y108" s="25"/>
      <c r="Z108" s="25"/>
    </row>
    <row r="109" spans="1:26" ht="15.75" customHeight="1" x14ac:dyDescent="0.25">
      <c r="A109" s="25">
        <v>107</v>
      </c>
      <c r="B109" s="37" t="e">
        <f t="shared" ref="B109:D109" si="219">VLOOKUP($A109,[1]Ambiente!$A$1:$O$274,B$1,0)</f>
        <v>#N/A</v>
      </c>
      <c r="C109" s="38" t="e">
        <f t="shared" si="219"/>
        <v>#N/A</v>
      </c>
      <c r="D109" s="39" t="e">
        <f t="shared" si="219"/>
        <v>#N/A</v>
      </c>
      <c r="E109" s="16" t="e">
        <f t="shared" si="1"/>
        <v>#N/A</v>
      </c>
      <c r="F109" s="16" t="e">
        <f t="shared" ref="F109:K109" si="220">VLOOKUP($A109,[1]Ambiente!$A$1:$O$274,F$1,0)</f>
        <v>#N/A</v>
      </c>
      <c r="G109" s="39" t="e">
        <f t="shared" si="220"/>
        <v>#N/A</v>
      </c>
      <c r="H109" s="16" t="e">
        <f t="shared" si="220"/>
        <v>#N/A</v>
      </c>
      <c r="I109" s="16" t="e">
        <f t="shared" si="220"/>
        <v>#N/A</v>
      </c>
      <c r="J109" s="40" t="e">
        <f t="shared" si="220"/>
        <v>#N/A</v>
      </c>
      <c r="K109" s="16" t="e">
        <f t="shared" si="220"/>
        <v>#N/A</v>
      </c>
      <c r="L109" s="40" t="e">
        <f t="shared" si="3"/>
        <v>#N/A</v>
      </c>
      <c r="M109" s="16" t="e">
        <f t="shared" si="4"/>
        <v>#N/A</v>
      </c>
      <c r="N109" s="16" t="e">
        <f t="shared" si="5"/>
        <v>#N/A</v>
      </c>
      <c r="O109" s="16" t="s">
        <v>64</v>
      </c>
      <c r="P109" s="16" t="str">
        <f t="shared" si="6"/>
        <v/>
      </c>
      <c r="Q109" s="41" t="e">
        <f t="shared" si="7"/>
        <v>#N/A</v>
      </c>
      <c r="R109" s="44"/>
      <c r="S109" s="44"/>
      <c r="T109" s="43"/>
      <c r="U109" s="43" t="str">
        <f t="shared" si="8"/>
        <v>No</v>
      </c>
      <c r="V109" s="25"/>
      <c r="W109" s="25"/>
      <c r="X109" s="25"/>
      <c r="Y109" s="25"/>
      <c r="Z109" s="25"/>
    </row>
    <row r="110" spans="1:26" ht="15.75" customHeight="1" x14ac:dyDescent="0.25">
      <c r="A110" s="25">
        <v>108</v>
      </c>
      <c r="B110" s="37" t="e">
        <f t="shared" ref="B110:D110" si="221">VLOOKUP($A110,[1]Ambiente!$A$1:$O$274,B$1,0)</f>
        <v>#N/A</v>
      </c>
      <c r="C110" s="38" t="e">
        <f t="shared" si="221"/>
        <v>#N/A</v>
      </c>
      <c r="D110" s="39" t="e">
        <f t="shared" si="221"/>
        <v>#N/A</v>
      </c>
      <c r="E110" s="16" t="e">
        <f t="shared" si="1"/>
        <v>#N/A</v>
      </c>
      <c r="F110" s="16" t="e">
        <f t="shared" ref="F110:K110" si="222">VLOOKUP($A110,[1]Ambiente!$A$1:$O$274,F$1,0)</f>
        <v>#N/A</v>
      </c>
      <c r="G110" s="39" t="e">
        <f t="shared" si="222"/>
        <v>#N/A</v>
      </c>
      <c r="H110" s="16" t="e">
        <f t="shared" si="222"/>
        <v>#N/A</v>
      </c>
      <c r="I110" s="16" t="e">
        <f t="shared" si="222"/>
        <v>#N/A</v>
      </c>
      <c r="J110" s="40" t="e">
        <f t="shared" si="222"/>
        <v>#N/A</v>
      </c>
      <c r="K110" s="16" t="e">
        <f t="shared" si="222"/>
        <v>#N/A</v>
      </c>
      <c r="L110" s="40" t="e">
        <f t="shared" si="3"/>
        <v>#N/A</v>
      </c>
      <c r="M110" s="16" t="e">
        <f t="shared" si="4"/>
        <v>#N/A</v>
      </c>
      <c r="N110" s="16" t="e">
        <f t="shared" si="5"/>
        <v>#N/A</v>
      </c>
      <c r="O110" s="16" t="s">
        <v>64</v>
      </c>
      <c r="P110" s="16" t="str">
        <f t="shared" si="6"/>
        <v/>
      </c>
      <c r="Q110" s="41" t="e">
        <f t="shared" si="7"/>
        <v>#N/A</v>
      </c>
      <c r="R110" s="44"/>
      <c r="S110" s="44"/>
      <c r="T110" s="43"/>
      <c r="U110" s="43" t="str">
        <f t="shared" si="8"/>
        <v>No</v>
      </c>
      <c r="V110" s="25"/>
      <c r="W110" s="25"/>
      <c r="X110" s="25"/>
      <c r="Y110" s="25"/>
      <c r="Z110" s="25"/>
    </row>
    <row r="111" spans="1:26" ht="15.75" customHeight="1" x14ac:dyDescent="0.25">
      <c r="A111" s="25">
        <v>109</v>
      </c>
      <c r="B111" s="37" t="e">
        <f t="shared" ref="B111:D111" si="223">VLOOKUP($A111,[1]Ambiente!$A$1:$O$274,B$1,0)</f>
        <v>#N/A</v>
      </c>
      <c r="C111" s="38" t="e">
        <f t="shared" si="223"/>
        <v>#N/A</v>
      </c>
      <c r="D111" s="39" t="e">
        <f t="shared" si="223"/>
        <v>#N/A</v>
      </c>
      <c r="E111" s="16" t="e">
        <f t="shared" si="1"/>
        <v>#N/A</v>
      </c>
      <c r="F111" s="16" t="e">
        <f t="shared" ref="F111:K111" si="224">VLOOKUP($A111,[1]Ambiente!$A$1:$O$274,F$1,0)</f>
        <v>#N/A</v>
      </c>
      <c r="G111" s="39" t="e">
        <f t="shared" si="224"/>
        <v>#N/A</v>
      </c>
      <c r="H111" s="16" t="e">
        <f t="shared" si="224"/>
        <v>#N/A</v>
      </c>
      <c r="I111" s="16" t="e">
        <f t="shared" si="224"/>
        <v>#N/A</v>
      </c>
      <c r="J111" s="40" t="e">
        <f t="shared" si="224"/>
        <v>#N/A</v>
      </c>
      <c r="K111" s="16" t="e">
        <f t="shared" si="224"/>
        <v>#N/A</v>
      </c>
      <c r="L111" s="40" t="e">
        <f t="shared" si="3"/>
        <v>#N/A</v>
      </c>
      <c r="M111" s="16" t="e">
        <f t="shared" si="4"/>
        <v>#N/A</v>
      </c>
      <c r="N111" s="16" t="e">
        <f t="shared" si="5"/>
        <v>#N/A</v>
      </c>
      <c r="O111" s="16" t="s">
        <v>64</v>
      </c>
      <c r="P111" s="16" t="str">
        <f t="shared" si="6"/>
        <v/>
      </c>
      <c r="Q111" s="41" t="e">
        <f t="shared" si="7"/>
        <v>#N/A</v>
      </c>
      <c r="R111" s="44"/>
      <c r="S111" s="44"/>
      <c r="T111" s="43"/>
      <c r="U111" s="43" t="str">
        <f t="shared" si="8"/>
        <v>No</v>
      </c>
      <c r="V111" s="25"/>
      <c r="W111" s="25"/>
      <c r="X111" s="25"/>
      <c r="Y111" s="25"/>
      <c r="Z111" s="25"/>
    </row>
    <row r="112" spans="1:26" ht="15.75" customHeight="1" x14ac:dyDescent="0.25">
      <c r="A112" s="25">
        <v>110</v>
      </c>
      <c r="B112" s="37" t="e">
        <f t="shared" ref="B112:D112" si="225">VLOOKUP($A112,[1]Ambiente!$A$1:$O$274,B$1,0)</f>
        <v>#N/A</v>
      </c>
      <c r="C112" s="38" t="e">
        <f t="shared" si="225"/>
        <v>#N/A</v>
      </c>
      <c r="D112" s="39" t="e">
        <f t="shared" si="225"/>
        <v>#N/A</v>
      </c>
      <c r="E112" s="16" t="e">
        <f t="shared" si="1"/>
        <v>#N/A</v>
      </c>
      <c r="F112" s="16" t="e">
        <f t="shared" ref="F112:K112" si="226">VLOOKUP($A112,[1]Ambiente!$A$1:$O$274,F$1,0)</f>
        <v>#N/A</v>
      </c>
      <c r="G112" s="39" t="e">
        <f t="shared" si="226"/>
        <v>#N/A</v>
      </c>
      <c r="H112" s="16" t="e">
        <f t="shared" si="226"/>
        <v>#N/A</v>
      </c>
      <c r="I112" s="16" t="e">
        <f t="shared" si="226"/>
        <v>#N/A</v>
      </c>
      <c r="J112" s="40" t="e">
        <f t="shared" si="226"/>
        <v>#N/A</v>
      </c>
      <c r="K112" s="16" t="e">
        <f t="shared" si="226"/>
        <v>#N/A</v>
      </c>
      <c r="L112" s="40" t="e">
        <f t="shared" si="3"/>
        <v>#N/A</v>
      </c>
      <c r="M112" s="16" t="e">
        <f t="shared" si="4"/>
        <v>#N/A</v>
      </c>
      <c r="N112" s="16" t="e">
        <f t="shared" si="5"/>
        <v>#N/A</v>
      </c>
      <c r="O112" s="16" t="s">
        <v>64</v>
      </c>
      <c r="P112" s="16" t="str">
        <f t="shared" si="6"/>
        <v/>
      </c>
      <c r="Q112" s="41" t="e">
        <f t="shared" si="7"/>
        <v>#N/A</v>
      </c>
      <c r="R112" s="44"/>
      <c r="S112" s="44"/>
      <c r="T112" s="43"/>
      <c r="U112" s="43" t="str">
        <f t="shared" si="8"/>
        <v>No</v>
      </c>
      <c r="V112" s="25"/>
      <c r="W112" s="25"/>
      <c r="X112" s="25"/>
      <c r="Y112" s="25"/>
      <c r="Z112" s="25"/>
    </row>
    <row r="113" spans="1:26" ht="15.75" customHeight="1" x14ac:dyDescent="0.25">
      <c r="A113" s="25">
        <v>111</v>
      </c>
      <c r="B113" s="37" t="e">
        <f t="shared" ref="B113:D113" si="227">VLOOKUP($A113,[1]Ambiente!$A$1:$O$274,B$1,0)</f>
        <v>#N/A</v>
      </c>
      <c r="C113" s="38" t="e">
        <f t="shared" si="227"/>
        <v>#N/A</v>
      </c>
      <c r="D113" s="39" t="e">
        <f t="shared" si="227"/>
        <v>#N/A</v>
      </c>
      <c r="E113" s="16" t="e">
        <f t="shared" si="1"/>
        <v>#N/A</v>
      </c>
      <c r="F113" s="16" t="e">
        <f t="shared" ref="F113:K113" si="228">VLOOKUP($A113,[1]Ambiente!$A$1:$O$274,F$1,0)</f>
        <v>#N/A</v>
      </c>
      <c r="G113" s="39" t="e">
        <f t="shared" si="228"/>
        <v>#N/A</v>
      </c>
      <c r="H113" s="16" t="e">
        <f t="shared" si="228"/>
        <v>#N/A</v>
      </c>
      <c r="I113" s="16" t="e">
        <f t="shared" si="228"/>
        <v>#N/A</v>
      </c>
      <c r="J113" s="40" t="e">
        <f t="shared" si="228"/>
        <v>#N/A</v>
      </c>
      <c r="K113" s="16" t="e">
        <f t="shared" si="228"/>
        <v>#N/A</v>
      </c>
      <c r="L113" s="40" t="e">
        <f t="shared" si="3"/>
        <v>#N/A</v>
      </c>
      <c r="M113" s="16" t="e">
        <f t="shared" si="4"/>
        <v>#N/A</v>
      </c>
      <c r="N113" s="16" t="e">
        <f t="shared" si="5"/>
        <v>#N/A</v>
      </c>
      <c r="O113" s="16" t="s">
        <v>64</v>
      </c>
      <c r="P113" s="16" t="str">
        <f t="shared" si="6"/>
        <v/>
      </c>
      <c r="Q113" s="41" t="e">
        <f t="shared" si="7"/>
        <v>#N/A</v>
      </c>
      <c r="R113" s="44"/>
      <c r="S113" s="44"/>
      <c r="T113" s="43"/>
      <c r="U113" s="43" t="str">
        <f t="shared" si="8"/>
        <v>No</v>
      </c>
      <c r="V113" s="25"/>
      <c r="W113" s="25"/>
      <c r="X113" s="25"/>
      <c r="Y113" s="25"/>
      <c r="Z113" s="25"/>
    </row>
    <row r="114" spans="1:26" ht="15.75" customHeight="1" x14ac:dyDescent="0.25">
      <c r="A114" s="25">
        <v>112</v>
      </c>
      <c r="B114" s="37" t="e">
        <f t="shared" ref="B114:D114" si="229">VLOOKUP($A114,[1]Ambiente!$A$1:$O$274,B$1,0)</f>
        <v>#N/A</v>
      </c>
      <c r="C114" s="38" t="e">
        <f t="shared" si="229"/>
        <v>#N/A</v>
      </c>
      <c r="D114" s="39" t="e">
        <f t="shared" si="229"/>
        <v>#N/A</v>
      </c>
      <c r="E114" s="16" t="e">
        <f t="shared" si="1"/>
        <v>#N/A</v>
      </c>
      <c r="F114" s="16" t="e">
        <f t="shared" ref="F114:K114" si="230">VLOOKUP($A114,[1]Ambiente!$A$1:$O$274,F$1,0)</f>
        <v>#N/A</v>
      </c>
      <c r="G114" s="39" t="e">
        <f t="shared" si="230"/>
        <v>#N/A</v>
      </c>
      <c r="H114" s="16" t="e">
        <f t="shared" si="230"/>
        <v>#N/A</v>
      </c>
      <c r="I114" s="16" t="e">
        <f t="shared" si="230"/>
        <v>#N/A</v>
      </c>
      <c r="J114" s="40" t="e">
        <f t="shared" si="230"/>
        <v>#N/A</v>
      </c>
      <c r="K114" s="16" t="e">
        <f t="shared" si="230"/>
        <v>#N/A</v>
      </c>
      <c r="L114" s="40" t="e">
        <f t="shared" si="3"/>
        <v>#N/A</v>
      </c>
      <c r="M114" s="16" t="e">
        <f t="shared" si="4"/>
        <v>#N/A</v>
      </c>
      <c r="N114" s="16" t="e">
        <f t="shared" si="5"/>
        <v>#N/A</v>
      </c>
      <c r="O114" s="16" t="s">
        <v>64</v>
      </c>
      <c r="P114" s="16" t="str">
        <f t="shared" si="6"/>
        <v/>
      </c>
      <c r="Q114" s="41" t="e">
        <f t="shared" si="7"/>
        <v>#N/A</v>
      </c>
      <c r="R114" s="44"/>
      <c r="S114" s="44"/>
      <c r="T114" s="43"/>
      <c r="U114" s="43" t="str">
        <f t="shared" si="8"/>
        <v>No</v>
      </c>
      <c r="V114" s="25"/>
      <c r="W114" s="25"/>
      <c r="X114" s="25"/>
      <c r="Y114" s="25"/>
      <c r="Z114" s="25"/>
    </row>
    <row r="115" spans="1:26" ht="15.75" customHeight="1" x14ac:dyDescent="0.25">
      <c r="A115" s="25">
        <v>113</v>
      </c>
      <c r="B115" s="37" t="e">
        <f t="shared" ref="B115:D115" si="231">VLOOKUP($A115,[1]Ambiente!$A$1:$O$274,B$1,0)</f>
        <v>#N/A</v>
      </c>
      <c r="C115" s="38" t="e">
        <f t="shared" si="231"/>
        <v>#N/A</v>
      </c>
      <c r="D115" s="39" t="e">
        <f t="shared" si="231"/>
        <v>#N/A</v>
      </c>
      <c r="E115" s="16" t="e">
        <f t="shared" si="1"/>
        <v>#N/A</v>
      </c>
      <c r="F115" s="16" t="e">
        <f t="shared" ref="F115:K115" si="232">VLOOKUP($A115,[1]Ambiente!$A$1:$O$274,F$1,0)</f>
        <v>#N/A</v>
      </c>
      <c r="G115" s="39" t="e">
        <f t="shared" si="232"/>
        <v>#N/A</v>
      </c>
      <c r="H115" s="16" t="e">
        <f t="shared" si="232"/>
        <v>#N/A</v>
      </c>
      <c r="I115" s="16" t="e">
        <f t="shared" si="232"/>
        <v>#N/A</v>
      </c>
      <c r="J115" s="40" t="e">
        <f t="shared" si="232"/>
        <v>#N/A</v>
      </c>
      <c r="K115" s="16" t="e">
        <f t="shared" si="232"/>
        <v>#N/A</v>
      </c>
      <c r="L115" s="40" t="e">
        <f t="shared" si="3"/>
        <v>#N/A</v>
      </c>
      <c r="M115" s="16" t="e">
        <f t="shared" si="4"/>
        <v>#N/A</v>
      </c>
      <c r="N115" s="16" t="e">
        <f t="shared" si="5"/>
        <v>#N/A</v>
      </c>
      <c r="O115" s="16" t="s">
        <v>64</v>
      </c>
      <c r="P115" s="16" t="str">
        <f t="shared" si="6"/>
        <v/>
      </c>
      <c r="Q115" s="41" t="e">
        <f t="shared" si="7"/>
        <v>#N/A</v>
      </c>
      <c r="R115" s="44"/>
      <c r="S115" s="44"/>
      <c r="T115" s="43"/>
      <c r="U115" s="43" t="str">
        <f t="shared" si="8"/>
        <v>No</v>
      </c>
      <c r="V115" s="25"/>
      <c r="W115" s="25"/>
      <c r="X115" s="25"/>
      <c r="Y115" s="25"/>
      <c r="Z115" s="25"/>
    </row>
    <row r="116" spans="1:26" ht="15.75" customHeight="1" x14ac:dyDescent="0.25">
      <c r="A116" s="25">
        <v>114</v>
      </c>
      <c r="B116" s="37" t="e">
        <f t="shared" ref="B116:D116" si="233">VLOOKUP($A116,[1]Ambiente!$A$1:$O$274,B$1,0)</f>
        <v>#N/A</v>
      </c>
      <c r="C116" s="38" t="e">
        <f t="shared" si="233"/>
        <v>#N/A</v>
      </c>
      <c r="D116" s="39" t="e">
        <f t="shared" si="233"/>
        <v>#N/A</v>
      </c>
      <c r="E116" s="16" t="e">
        <f t="shared" si="1"/>
        <v>#N/A</v>
      </c>
      <c r="F116" s="16" t="e">
        <f t="shared" ref="F116:K116" si="234">VLOOKUP($A116,[1]Ambiente!$A$1:$O$274,F$1,0)</f>
        <v>#N/A</v>
      </c>
      <c r="G116" s="39" t="e">
        <f t="shared" si="234"/>
        <v>#N/A</v>
      </c>
      <c r="H116" s="16" t="e">
        <f t="shared" si="234"/>
        <v>#N/A</v>
      </c>
      <c r="I116" s="16" t="e">
        <f t="shared" si="234"/>
        <v>#N/A</v>
      </c>
      <c r="J116" s="40" t="e">
        <f t="shared" si="234"/>
        <v>#N/A</v>
      </c>
      <c r="K116" s="16" t="e">
        <f t="shared" si="234"/>
        <v>#N/A</v>
      </c>
      <c r="L116" s="40" t="e">
        <f t="shared" si="3"/>
        <v>#N/A</v>
      </c>
      <c r="M116" s="16" t="e">
        <f t="shared" si="4"/>
        <v>#N/A</v>
      </c>
      <c r="N116" s="16" t="e">
        <f t="shared" si="5"/>
        <v>#N/A</v>
      </c>
      <c r="O116" s="16" t="s">
        <v>64</v>
      </c>
      <c r="P116" s="16" t="str">
        <f t="shared" si="6"/>
        <v/>
      </c>
      <c r="Q116" s="41" t="e">
        <f t="shared" si="7"/>
        <v>#N/A</v>
      </c>
      <c r="R116" s="44"/>
      <c r="S116" s="44"/>
      <c r="T116" s="43"/>
      <c r="U116" s="43" t="str">
        <f t="shared" si="8"/>
        <v>No</v>
      </c>
      <c r="V116" s="25"/>
      <c r="W116" s="25"/>
      <c r="X116" s="25"/>
      <c r="Y116" s="25"/>
      <c r="Z116" s="25"/>
    </row>
    <row r="117" spans="1:26" ht="15.75" customHeight="1" x14ac:dyDescent="0.25">
      <c r="A117" s="25">
        <v>115</v>
      </c>
      <c r="B117" s="37" t="e">
        <f t="shared" ref="B117:D117" si="235">VLOOKUP($A117,[1]Ambiente!$A$1:$O$274,B$1,0)</f>
        <v>#N/A</v>
      </c>
      <c r="C117" s="38" t="e">
        <f t="shared" si="235"/>
        <v>#N/A</v>
      </c>
      <c r="D117" s="39" t="e">
        <f t="shared" si="235"/>
        <v>#N/A</v>
      </c>
      <c r="E117" s="16" t="e">
        <f t="shared" si="1"/>
        <v>#N/A</v>
      </c>
      <c r="F117" s="16" t="e">
        <f t="shared" ref="F117:K117" si="236">VLOOKUP($A117,[1]Ambiente!$A$1:$O$274,F$1,0)</f>
        <v>#N/A</v>
      </c>
      <c r="G117" s="39" t="e">
        <f t="shared" si="236"/>
        <v>#N/A</v>
      </c>
      <c r="H117" s="16" t="e">
        <f t="shared" si="236"/>
        <v>#N/A</v>
      </c>
      <c r="I117" s="16" t="e">
        <f t="shared" si="236"/>
        <v>#N/A</v>
      </c>
      <c r="J117" s="40" t="e">
        <f t="shared" si="236"/>
        <v>#N/A</v>
      </c>
      <c r="K117" s="16" t="e">
        <f t="shared" si="236"/>
        <v>#N/A</v>
      </c>
      <c r="L117" s="40" t="e">
        <f t="shared" si="3"/>
        <v>#N/A</v>
      </c>
      <c r="M117" s="16" t="e">
        <f t="shared" si="4"/>
        <v>#N/A</v>
      </c>
      <c r="N117" s="16" t="e">
        <f t="shared" si="5"/>
        <v>#N/A</v>
      </c>
      <c r="O117" s="16" t="s">
        <v>64</v>
      </c>
      <c r="P117" s="16" t="str">
        <f t="shared" si="6"/>
        <v/>
      </c>
      <c r="Q117" s="41" t="e">
        <f t="shared" si="7"/>
        <v>#N/A</v>
      </c>
      <c r="R117" s="44"/>
      <c r="S117" s="44"/>
      <c r="T117" s="43"/>
      <c r="U117" s="43" t="str">
        <f t="shared" si="8"/>
        <v>No</v>
      </c>
      <c r="V117" s="25"/>
      <c r="W117" s="25"/>
      <c r="X117" s="25"/>
      <c r="Y117" s="25"/>
      <c r="Z117" s="25"/>
    </row>
    <row r="118" spans="1:26" ht="15.75" customHeight="1" x14ac:dyDescent="0.25">
      <c r="A118" s="25">
        <v>116</v>
      </c>
      <c r="B118" s="37" t="e">
        <f t="shared" ref="B118:D118" si="237">VLOOKUP($A118,[1]Ambiente!$A$1:$O$274,B$1,0)</f>
        <v>#N/A</v>
      </c>
      <c r="C118" s="38" t="e">
        <f t="shared" si="237"/>
        <v>#N/A</v>
      </c>
      <c r="D118" s="39" t="e">
        <f t="shared" si="237"/>
        <v>#N/A</v>
      </c>
      <c r="E118" s="16" t="e">
        <f t="shared" si="1"/>
        <v>#N/A</v>
      </c>
      <c r="F118" s="16" t="e">
        <f t="shared" ref="F118:K118" si="238">VLOOKUP($A118,[1]Ambiente!$A$1:$O$274,F$1,0)</f>
        <v>#N/A</v>
      </c>
      <c r="G118" s="39" t="e">
        <f t="shared" si="238"/>
        <v>#N/A</v>
      </c>
      <c r="H118" s="16" t="e">
        <f t="shared" si="238"/>
        <v>#N/A</v>
      </c>
      <c r="I118" s="16" t="e">
        <f t="shared" si="238"/>
        <v>#N/A</v>
      </c>
      <c r="J118" s="40" t="e">
        <f t="shared" si="238"/>
        <v>#N/A</v>
      </c>
      <c r="K118" s="16" t="e">
        <f t="shared" si="238"/>
        <v>#N/A</v>
      </c>
      <c r="L118" s="40" t="e">
        <f t="shared" si="3"/>
        <v>#N/A</v>
      </c>
      <c r="M118" s="16" t="e">
        <f t="shared" si="4"/>
        <v>#N/A</v>
      </c>
      <c r="N118" s="16" t="e">
        <f t="shared" si="5"/>
        <v>#N/A</v>
      </c>
      <c r="O118" s="16" t="s">
        <v>64</v>
      </c>
      <c r="P118" s="16" t="str">
        <f t="shared" si="6"/>
        <v/>
      </c>
      <c r="Q118" s="41" t="e">
        <f t="shared" si="7"/>
        <v>#N/A</v>
      </c>
      <c r="R118" s="44"/>
      <c r="S118" s="44"/>
      <c r="T118" s="43"/>
      <c r="U118" s="43" t="str">
        <f t="shared" si="8"/>
        <v>No</v>
      </c>
      <c r="V118" s="25"/>
      <c r="W118" s="25"/>
      <c r="X118" s="25"/>
      <c r="Y118" s="25"/>
      <c r="Z118" s="25"/>
    </row>
    <row r="119" spans="1:26" ht="15.75" customHeight="1" x14ac:dyDescent="0.25">
      <c r="A119" s="25">
        <v>117</v>
      </c>
      <c r="B119" s="37" t="e">
        <f t="shared" ref="B119:D119" si="239">VLOOKUP($A119,[1]Ambiente!$A$1:$O$274,B$1,0)</f>
        <v>#N/A</v>
      </c>
      <c r="C119" s="38" t="e">
        <f t="shared" si="239"/>
        <v>#N/A</v>
      </c>
      <c r="D119" s="39" t="e">
        <f t="shared" si="239"/>
        <v>#N/A</v>
      </c>
      <c r="E119" s="16" t="e">
        <f t="shared" si="1"/>
        <v>#N/A</v>
      </c>
      <c r="F119" s="16" t="e">
        <f t="shared" ref="F119:K119" si="240">VLOOKUP($A119,[1]Ambiente!$A$1:$O$274,F$1,0)</f>
        <v>#N/A</v>
      </c>
      <c r="G119" s="39" t="e">
        <f t="shared" si="240"/>
        <v>#N/A</v>
      </c>
      <c r="H119" s="16" t="e">
        <f t="shared" si="240"/>
        <v>#N/A</v>
      </c>
      <c r="I119" s="16" t="e">
        <f t="shared" si="240"/>
        <v>#N/A</v>
      </c>
      <c r="J119" s="40" t="e">
        <f t="shared" si="240"/>
        <v>#N/A</v>
      </c>
      <c r="K119" s="16" t="e">
        <f t="shared" si="240"/>
        <v>#N/A</v>
      </c>
      <c r="L119" s="40" t="e">
        <f t="shared" si="3"/>
        <v>#N/A</v>
      </c>
      <c r="M119" s="16" t="e">
        <f t="shared" si="4"/>
        <v>#N/A</v>
      </c>
      <c r="N119" s="16" t="e">
        <f t="shared" si="5"/>
        <v>#N/A</v>
      </c>
      <c r="O119" s="16" t="s">
        <v>64</v>
      </c>
      <c r="P119" s="16" t="str">
        <f t="shared" si="6"/>
        <v/>
      </c>
      <c r="Q119" s="41" t="e">
        <f t="shared" si="7"/>
        <v>#N/A</v>
      </c>
      <c r="R119" s="44"/>
      <c r="S119" s="44"/>
      <c r="T119" s="43"/>
      <c r="U119" s="43" t="str">
        <f t="shared" si="8"/>
        <v>No</v>
      </c>
      <c r="V119" s="25"/>
      <c r="W119" s="25"/>
      <c r="X119" s="25"/>
      <c r="Y119" s="25"/>
      <c r="Z119" s="25"/>
    </row>
    <row r="120" spans="1:26" ht="15.75" customHeight="1" x14ac:dyDescent="0.25">
      <c r="A120" s="25">
        <v>118</v>
      </c>
      <c r="B120" s="37" t="e">
        <f t="shared" ref="B120:D120" si="241">VLOOKUP($A120,[1]Ambiente!$A$1:$O$274,B$1,0)</f>
        <v>#N/A</v>
      </c>
      <c r="C120" s="38" t="e">
        <f t="shared" si="241"/>
        <v>#N/A</v>
      </c>
      <c r="D120" s="39" t="e">
        <f t="shared" si="241"/>
        <v>#N/A</v>
      </c>
      <c r="E120" s="16" t="e">
        <f t="shared" si="1"/>
        <v>#N/A</v>
      </c>
      <c r="F120" s="16" t="e">
        <f t="shared" ref="F120:K120" si="242">VLOOKUP($A120,[1]Ambiente!$A$1:$O$274,F$1,0)</f>
        <v>#N/A</v>
      </c>
      <c r="G120" s="39" t="e">
        <f t="shared" si="242"/>
        <v>#N/A</v>
      </c>
      <c r="H120" s="16" t="e">
        <f t="shared" si="242"/>
        <v>#N/A</v>
      </c>
      <c r="I120" s="16" t="e">
        <f t="shared" si="242"/>
        <v>#N/A</v>
      </c>
      <c r="J120" s="40" t="e">
        <f t="shared" si="242"/>
        <v>#N/A</v>
      </c>
      <c r="K120" s="16" t="e">
        <f t="shared" si="242"/>
        <v>#N/A</v>
      </c>
      <c r="L120" s="40" t="e">
        <f t="shared" si="3"/>
        <v>#N/A</v>
      </c>
      <c r="M120" s="16" t="e">
        <f t="shared" si="4"/>
        <v>#N/A</v>
      </c>
      <c r="N120" s="16" t="e">
        <f t="shared" si="5"/>
        <v>#N/A</v>
      </c>
      <c r="O120" s="16" t="s">
        <v>64</v>
      </c>
      <c r="P120" s="16" t="str">
        <f t="shared" si="6"/>
        <v/>
      </c>
      <c r="Q120" s="41" t="e">
        <f t="shared" si="7"/>
        <v>#N/A</v>
      </c>
      <c r="R120" s="44"/>
      <c r="S120" s="44"/>
      <c r="T120" s="43"/>
      <c r="U120" s="43" t="str">
        <f t="shared" si="8"/>
        <v>No</v>
      </c>
      <c r="V120" s="25"/>
      <c r="W120" s="25"/>
      <c r="X120" s="25"/>
      <c r="Y120" s="25"/>
      <c r="Z120" s="25"/>
    </row>
    <row r="121" spans="1:26" ht="15.75" customHeight="1" x14ac:dyDescent="0.25">
      <c r="A121" s="25">
        <v>119</v>
      </c>
      <c r="B121" s="37" t="e">
        <f t="shared" ref="B121:D121" si="243">VLOOKUP($A121,[1]Ambiente!$A$1:$O$274,B$1,0)</f>
        <v>#N/A</v>
      </c>
      <c r="C121" s="38" t="e">
        <f t="shared" si="243"/>
        <v>#N/A</v>
      </c>
      <c r="D121" s="39" t="e">
        <f t="shared" si="243"/>
        <v>#N/A</v>
      </c>
      <c r="E121" s="16" t="e">
        <f t="shared" si="1"/>
        <v>#N/A</v>
      </c>
      <c r="F121" s="16" t="e">
        <f t="shared" ref="F121:K121" si="244">VLOOKUP($A121,[1]Ambiente!$A$1:$O$274,F$1,0)</f>
        <v>#N/A</v>
      </c>
      <c r="G121" s="39" t="e">
        <f t="shared" si="244"/>
        <v>#N/A</v>
      </c>
      <c r="H121" s="16" t="e">
        <f t="shared" si="244"/>
        <v>#N/A</v>
      </c>
      <c r="I121" s="16" t="e">
        <f t="shared" si="244"/>
        <v>#N/A</v>
      </c>
      <c r="J121" s="40" t="e">
        <f t="shared" si="244"/>
        <v>#N/A</v>
      </c>
      <c r="K121" s="16" t="e">
        <f t="shared" si="244"/>
        <v>#N/A</v>
      </c>
      <c r="L121" s="40" t="e">
        <f t="shared" si="3"/>
        <v>#N/A</v>
      </c>
      <c r="M121" s="16" t="e">
        <f t="shared" si="4"/>
        <v>#N/A</v>
      </c>
      <c r="N121" s="16" t="e">
        <f t="shared" si="5"/>
        <v>#N/A</v>
      </c>
      <c r="O121" s="16" t="s">
        <v>64</v>
      </c>
      <c r="P121" s="16" t="str">
        <f t="shared" si="6"/>
        <v/>
      </c>
      <c r="Q121" s="41" t="e">
        <f t="shared" si="7"/>
        <v>#N/A</v>
      </c>
      <c r="R121" s="44"/>
      <c r="S121" s="44"/>
      <c r="T121" s="43"/>
      <c r="U121" s="43" t="str">
        <f t="shared" si="8"/>
        <v>No</v>
      </c>
      <c r="V121" s="25"/>
      <c r="W121" s="25"/>
      <c r="X121" s="25"/>
      <c r="Y121" s="25"/>
      <c r="Z121" s="25"/>
    </row>
    <row r="122" spans="1:26" ht="15.75" customHeight="1" x14ac:dyDescent="0.25">
      <c r="A122" s="25">
        <v>120</v>
      </c>
      <c r="B122" s="37" t="e">
        <f t="shared" ref="B122:D122" si="245">VLOOKUP($A122,[1]Ambiente!$A$1:$O$274,B$1,0)</f>
        <v>#N/A</v>
      </c>
      <c r="C122" s="38" t="e">
        <f t="shared" si="245"/>
        <v>#N/A</v>
      </c>
      <c r="D122" s="39" t="e">
        <f t="shared" si="245"/>
        <v>#N/A</v>
      </c>
      <c r="E122" s="16" t="e">
        <f t="shared" si="1"/>
        <v>#N/A</v>
      </c>
      <c r="F122" s="16" t="e">
        <f t="shared" ref="F122:K122" si="246">VLOOKUP($A122,[1]Ambiente!$A$1:$O$274,F$1,0)</f>
        <v>#N/A</v>
      </c>
      <c r="G122" s="39" t="e">
        <f t="shared" si="246"/>
        <v>#N/A</v>
      </c>
      <c r="H122" s="16" t="e">
        <f t="shared" si="246"/>
        <v>#N/A</v>
      </c>
      <c r="I122" s="16" t="e">
        <f t="shared" si="246"/>
        <v>#N/A</v>
      </c>
      <c r="J122" s="40" t="e">
        <f t="shared" si="246"/>
        <v>#N/A</v>
      </c>
      <c r="K122" s="16" t="e">
        <f t="shared" si="246"/>
        <v>#N/A</v>
      </c>
      <c r="L122" s="40" t="e">
        <f t="shared" si="3"/>
        <v>#N/A</v>
      </c>
      <c r="M122" s="16" t="e">
        <f t="shared" si="4"/>
        <v>#N/A</v>
      </c>
      <c r="N122" s="16" t="e">
        <f t="shared" si="5"/>
        <v>#N/A</v>
      </c>
      <c r="O122" s="16" t="s">
        <v>64</v>
      </c>
      <c r="P122" s="16" t="str">
        <f t="shared" si="6"/>
        <v/>
      </c>
      <c r="Q122" s="41" t="e">
        <f t="shared" si="7"/>
        <v>#N/A</v>
      </c>
      <c r="R122" s="44"/>
      <c r="S122" s="44"/>
      <c r="T122" s="43"/>
      <c r="U122" s="43" t="str">
        <f t="shared" si="8"/>
        <v>No</v>
      </c>
      <c r="V122" s="25"/>
      <c r="W122" s="25"/>
      <c r="X122" s="25"/>
      <c r="Y122" s="25"/>
      <c r="Z122" s="25"/>
    </row>
    <row r="123" spans="1:26" ht="15.75" customHeight="1" x14ac:dyDescent="0.25">
      <c r="A123" s="25">
        <v>121</v>
      </c>
      <c r="B123" s="37" t="e">
        <f t="shared" ref="B123:D123" si="247">VLOOKUP($A123,[1]Ambiente!$A$1:$O$274,B$1,0)</f>
        <v>#N/A</v>
      </c>
      <c r="C123" s="38" t="e">
        <f t="shared" si="247"/>
        <v>#N/A</v>
      </c>
      <c r="D123" s="39" t="e">
        <f t="shared" si="247"/>
        <v>#N/A</v>
      </c>
      <c r="E123" s="16" t="e">
        <f t="shared" si="1"/>
        <v>#N/A</v>
      </c>
      <c r="F123" s="16" t="e">
        <f t="shared" ref="F123:K123" si="248">VLOOKUP($A123,[1]Ambiente!$A$1:$O$274,F$1,0)</f>
        <v>#N/A</v>
      </c>
      <c r="G123" s="39" t="e">
        <f t="shared" si="248"/>
        <v>#N/A</v>
      </c>
      <c r="H123" s="16" t="e">
        <f t="shared" si="248"/>
        <v>#N/A</v>
      </c>
      <c r="I123" s="16" t="e">
        <f t="shared" si="248"/>
        <v>#N/A</v>
      </c>
      <c r="J123" s="40" t="e">
        <f t="shared" si="248"/>
        <v>#N/A</v>
      </c>
      <c r="K123" s="16" t="e">
        <f t="shared" si="248"/>
        <v>#N/A</v>
      </c>
      <c r="L123" s="40" t="e">
        <f t="shared" si="3"/>
        <v>#N/A</v>
      </c>
      <c r="M123" s="16" t="e">
        <f t="shared" si="4"/>
        <v>#N/A</v>
      </c>
      <c r="N123" s="16" t="e">
        <f t="shared" si="5"/>
        <v>#N/A</v>
      </c>
      <c r="O123" s="16" t="s">
        <v>64</v>
      </c>
      <c r="P123" s="16" t="str">
        <f t="shared" si="6"/>
        <v/>
      </c>
      <c r="Q123" s="41" t="e">
        <f t="shared" si="7"/>
        <v>#N/A</v>
      </c>
      <c r="R123" s="44"/>
      <c r="S123" s="44"/>
      <c r="T123" s="43"/>
      <c r="U123" s="43" t="str">
        <f t="shared" si="8"/>
        <v>No</v>
      </c>
      <c r="V123" s="25"/>
      <c r="W123" s="25"/>
      <c r="X123" s="25"/>
      <c r="Y123" s="25"/>
      <c r="Z123" s="25"/>
    </row>
    <row r="124" spans="1:26" ht="15.75" customHeight="1" x14ac:dyDescent="0.25">
      <c r="A124" s="25">
        <v>122</v>
      </c>
      <c r="B124" s="37" t="e">
        <f t="shared" ref="B124:D124" si="249">VLOOKUP($A124,[1]Ambiente!$A$1:$O$274,B$1,0)</f>
        <v>#N/A</v>
      </c>
      <c r="C124" s="38" t="e">
        <f t="shared" si="249"/>
        <v>#N/A</v>
      </c>
      <c r="D124" s="39" t="e">
        <f t="shared" si="249"/>
        <v>#N/A</v>
      </c>
      <c r="E124" s="16" t="e">
        <f t="shared" si="1"/>
        <v>#N/A</v>
      </c>
      <c r="F124" s="16" t="e">
        <f t="shared" ref="F124:K124" si="250">VLOOKUP($A124,[1]Ambiente!$A$1:$O$274,F$1,0)</f>
        <v>#N/A</v>
      </c>
      <c r="G124" s="39" t="e">
        <f t="shared" si="250"/>
        <v>#N/A</v>
      </c>
      <c r="H124" s="16" t="e">
        <f t="shared" si="250"/>
        <v>#N/A</v>
      </c>
      <c r="I124" s="16" t="e">
        <f t="shared" si="250"/>
        <v>#N/A</v>
      </c>
      <c r="J124" s="40" t="e">
        <f t="shared" si="250"/>
        <v>#N/A</v>
      </c>
      <c r="K124" s="16" t="e">
        <f t="shared" si="250"/>
        <v>#N/A</v>
      </c>
      <c r="L124" s="40" t="e">
        <f t="shared" si="3"/>
        <v>#N/A</v>
      </c>
      <c r="M124" s="16" t="e">
        <f t="shared" si="4"/>
        <v>#N/A</v>
      </c>
      <c r="N124" s="16" t="e">
        <f t="shared" si="5"/>
        <v>#N/A</v>
      </c>
      <c r="O124" s="16" t="s">
        <v>64</v>
      </c>
      <c r="P124" s="16" t="str">
        <f t="shared" si="6"/>
        <v/>
      </c>
      <c r="Q124" s="41" t="e">
        <f t="shared" si="7"/>
        <v>#N/A</v>
      </c>
      <c r="R124" s="44"/>
      <c r="S124" s="44"/>
      <c r="T124" s="43"/>
      <c r="U124" s="43" t="str">
        <f t="shared" si="8"/>
        <v>No</v>
      </c>
      <c r="V124" s="25"/>
      <c r="W124" s="25"/>
      <c r="X124" s="25"/>
      <c r="Y124" s="25"/>
      <c r="Z124" s="25"/>
    </row>
    <row r="125" spans="1:26" ht="15.75" customHeight="1" x14ac:dyDescent="0.25">
      <c r="A125" s="25">
        <v>123</v>
      </c>
      <c r="B125" s="37" t="e">
        <f t="shared" ref="B125:D125" si="251">VLOOKUP($A125,[1]Ambiente!$A$1:$O$274,B$1,0)</f>
        <v>#N/A</v>
      </c>
      <c r="C125" s="38" t="e">
        <f t="shared" si="251"/>
        <v>#N/A</v>
      </c>
      <c r="D125" s="39" t="e">
        <f t="shared" si="251"/>
        <v>#N/A</v>
      </c>
      <c r="E125" s="16" t="e">
        <f t="shared" si="1"/>
        <v>#N/A</v>
      </c>
      <c r="F125" s="16" t="e">
        <f t="shared" ref="F125:K125" si="252">VLOOKUP($A125,[1]Ambiente!$A$1:$O$274,F$1,0)</f>
        <v>#N/A</v>
      </c>
      <c r="G125" s="39" t="e">
        <f t="shared" si="252"/>
        <v>#N/A</v>
      </c>
      <c r="H125" s="16" t="e">
        <f t="shared" si="252"/>
        <v>#N/A</v>
      </c>
      <c r="I125" s="16" t="e">
        <f t="shared" si="252"/>
        <v>#N/A</v>
      </c>
      <c r="J125" s="40" t="e">
        <f t="shared" si="252"/>
        <v>#N/A</v>
      </c>
      <c r="K125" s="16" t="e">
        <f t="shared" si="252"/>
        <v>#N/A</v>
      </c>
      <c r="L125" s="40" t="e">
        <f t="shared" si="3"/>
        <v>#N/A</v>
      </c>
      <c r="M125" s="16" t="e">
        <f t="shared" si="4"/>
        <v>#N/A</v>
      </c>
      <c r="N125" s="16" t="e">
        <f t="shared" si="5"/>
        <v>#N/A</v>
      </c>
      <c r="O125" s="16" t="s">
        <v>64</v>
      </c>
      <c r="P125" s="16" t="str">
        <f t="shared" si="6"/>
        <v/>
      </c>
      <c r="Q125" s="41" t="e">
        <f t="shared" si="7"/>
        <v>#N/A</v>
      </c>
      <c r="R125" s="44"/>
      <c r="S125" s="44"/>
      <c r="T125" s="43"/>
      <c r="U125" s="43" t="str">
        <f t="shared" si="8"/>
        <v>No</v>
      </c>
      <c r="V125" s="25"/>
      <c r="W125" s="25"/>
      <c r="X125" s="25"/>
      <c r="Y125" s="25"/>
      <c r="Z125" s="25"/>
    </row>
    <row r="126" spans="1:26" ht="15.75" customHeight="1" x14ac:dyDescent="0.25">
      <c r="A126" s="25">
        <v>124</v>
      </c>
      <c r="B126" s="37" t="e">
        <f t="shared" ref="B126:D126" si="253">VLOOKUP($A126,[1]Ambiente!$A$1:$O$274,B$1,0)</f>
        <v>#N/A</v>
      </c>
      <c r="C126" s="38" t="e">
        <f t="shared" si="253"/>
        <v>#N/A</v>
      </c>
      <c r="D126" s="39" t="e">
        <f t="shared" si="253"/>
        <v>#N/A</v>
      </c>
      <c r="E126" s="16" t="e">
        <f t="shared" si="1"/>
        <v>#N/A</v>
      </c>
      <c r="F126" s="16" t="e">
        <f t="shared" ref="F126:K126" si="254">VLOOKUP($A126,[1]Ambiente!$A$1:$O$274,F$1,0)</f>
        <v>#N/A</v>
      </c>
      <c r="G126" s="39" t="e">
        <f t="shared" si="254"/>
        <v>#N/A</v>
      </c>
      <c r="H126" s="16" t="e">
        <f t="shared" si="254"/>
        <v>#N/A</v>
      </c>
      <c r="I126" s="16" t="e">
        <f t="shared" si="254"/>
        <v>#N/A</v>
      </c>
      <c r="J126" s="40" t="e">
        <f t="shared" si="254"/>
        <v>#N/A</v>
      </c>
      <c r="K126" s="16" t="e">
        <f t="shared" si="254"/>
        <v>#N/A</v>
      </c>
      <c r="L126" s="40" t="e">
        <f t="shared" si="3"/>
        <v>#N/A</v>
      </c>
      <c r="M126" s="16" t="e">
        <f t="shared" si="4"/>
        <v>#N/A</v>
      </c>
      <c r="N126" s="16" t="e">
        <f t="shared" si="5"/>
        <v>#N/A</v>
      </c>
      <c r="O126" s="16" t="s">
        <v>64</v>
      </c>
      <c r="P126" s="16" t="str">
        <f t="shared" si="6"/>
        <v/>
      </c>
      <c r="Q126" s="41" t="e">
        <f t="shared" si="7"/>
        <v>#N/A</v>
      </c>
      <c r="R126" s="44"/>
      <c r="S126" s="44"/>
      <c r="T126" s="43"/>
      <c r="U126" s="43" t="str">
        <f t="shared" si="8"/>
        <v>No</v>
      </c>
      <c r="V126" s="25"/>
      <c r="W126" s="25"/>
      <c r="X126" s="25"/>
      <c r="Y126" s="25"/>
      <c r="Z126" s="25"/>
    </row>
    <row r="127" spans="1:26" ht="15.75" customHeight="1" x14ac:dyDescent="0.25">
      <c r="A127" s="25">
        <v>125</v>
      </c>
      <c r="B127" s="37" t="e">
        <f t="shared" ref="B127:D127" si="255">VLOOKUP($A127,[1]Ambiente!$A$1:$O$274,B$1,0)</f>
        <v>#N/A</v>
      </c>
      <c r="C127" s="38" t="e">
        <f t="shared" si="255"/>
        <v>#N/A</v>
      </c>
      <c r="D127" s="39" t="e">
        <f t="shared" si="255"/>
        <v>#N/A</v>
      </c>
      <c r="E127" s="16" t="e">
        <f t="shared" si="1"/>
        <v>#N/A</v>
      </c>
      <c r="F127" s="16" t="e">
        <f t="shared" ref="F127:K127" si="256">VLOOKUP($A127,[1]Ambiente!$A$1:$O$274,F$1,0)</f>
        <v>#N/A</v>
      </c>
      <c r="G127" s="39" t="e">
        <f t="shared" si="256"/>
        <v>#N/A</v>
      </c>
      <c r="H127" s="16" t="e">
        <f t="shared" si="256"/>
        <v>#N/A</v>
      </c>
      <c r="I127" s="16" t="e">
        <f t="shared" si="256"/>
        <v>#N/A</v>
      </c>
      <c r="J127" s="40" t="e">
        <f t="shared" si="256"/>
        <v>#N/A</v>
      </c>
      <c r="K127" s="16" t="e">
        <f t="shared" si="256"/>
        <v>#N/A</v>
      </c>
      <c r="L127" s="40" t="e">
        <f t="shared" si="3"/>
        <v>#N/A</v>
      </c>
      <c r="M127" s="16" t="e">
        <f t="shared" si="4"/>
        <v>#N/A</v>
      </c>
      <c r="N127" s="16" t="e">
        <f t="shared" si="5"/>
        <v>#N/A</v>
      </c>
      <c r="O127" s="16" t="s">
        <v>64</v>
      </c>
      <c r="P127" s="16" t="str">
        <f t="shared" si="6"/>
        <v/>
      </c>
      <c r="Q127" s="41" t="e">
        <f t="shared" si="7"/>
        <v>#N/A</v>
      </c>
      <c r="R127" s="44"/>
      <c r="S127" s="44"/>
      <c r="T127" s="43"/>
      <c r="U127" s="43" t="str">
        <f t="shared" si="8"/>
        <v>No</v>
      </c>
      <c r="V127" s="25"/>
      <c r="W127" s="25"/>
      <c r="X127" s="25"/>
      <c r="Y127" s="25"/>
      <c r="Z127" s="25"/>
    </row>
    <row r="128" spans="1:26" ht="15.75" customHeight="1" x14ac:dyDescent="0.25">
      <c r="A128" s="25">
        <v>126</v>
      </c>
      <c r="B128" s="37" t="e">
        <f t="shared" ref="B128:D128" si="257">VLOOKUP($A128,[1]Ambiente!$A$1:$O$274,B$1,0)</f>
        <v>#N/A</v>
      </c>
      <c r="C128" s="38" t="e">
        <f t="shared" si="257"/>
        <v>#N/A</v>
      </c>
      <c r="D128" s="39" t="e">
        <f t="shared" si="257"/>
        <v>#N/A</v>
      </c>
      <c r="E128" s="16" t="e">
        <f t="shared" si="1"/>
        <v>#N/A</v>
      </c>
      <c r="F128" s="16" t="e">
        <f t="shared" ref="F128:K128" si="258">VLOOKUP($A128,[1]Ambiente!$A$1:$O$274,F$1,0)</f>
        <v>#N/A</v>
      </c>
      <c r="G128" s="39" t="e">
        <f t="shared" si="258"/>
        <v>#N/A</v>
      </c>
      <c r="H128" s="16" t="e">
        <f t="shared" si="258"/>
        <v>#N/A</v>
      </c>
      <c r="I128" s="16" t="e">
        <f t="shared" si="258"/>
        <v>#N/A</v>
      </c>
      <c r="J128" s="40" t="e">
        <f t="shared" si="258"/>
        <v>#N/A</v>
      </c>
      <c r="K128" s="16" t="e">
        <f t="shared" si="258"/>
        <v>#N/A</v>
      </c>
      <c r="L128" s="40" t="e">
        <f t="shared" si="3"/>
        <v>#N/A</v>
      </c>
      <c r="M128" s="16" t="e">
        <f t="shared" si="4"/>
        <v>#N/A</v>
      </c>
      <c r="N128" s="16" t="e">
        <f t="shared" si="5"/>
        <v>#N/A</v>
      </c>
      <c r="O128" s="16" t="s">
        <v>64</v>
      </c>
      <c r="P128" s="16" t="str">
        <f t="shared" si="6"/>
        <v/>
      </c>
      <c r="Q128" s="41" t="e">
        <f t="shared" si="7"/>
        <v>#N/A</v>
      </c>
      <c r="R128" s="44"/>
      <c r="S128" s="44"/>
      <c r="T128" s="43"/>
      <c r="U128" s="43" t="str">
        <f t="shared" si="8"/>
        <v>No</v>
      </c>
      <c r="V128" s="25"/>
      <c r="W128" s="25"/>
      <c r="X128" s="25"/>
      <c r="Y128" s="25"/>
      <c r="Z128" s="25"/>
    </row>
    <row r="129" spans="1:26" ht="15.75" customHeight="1" x14ac:dyDescent="0.25">
      <c r="A129" s="25">
        <v>127</v>
      </c>
      <c r="B129" s="37" t="e">
        <f t="shared" ref="B129:D129" si="259">VLOOKUP($A129,[1]Ambiente!$A$1:$O$274,B$1,0)</f>
        <v>#N/A</v>
      </c>
      <c r="C129" s="38" t="e">
        <f t="shared" si="259"/>
        <v>#N/A</v>
      </c>
      <c r="D129" s="39" t="e">
        <f t="shared" si="259"/>
        <v>#N/A</v>
      </c>
      <c r="E129" s="16" t="e">
        <f t="shared" si="1"/>
        <v>#N/A</v>
      </c>
      <c r="F129" s="16" t="e">
        <f t="shared" ref="F129:K129" si="260">VLOOKUP($A129,[1]Ambiente!$A$1:$O$274,F$1,0)</f>
        <v>#N/A</v>
      </c>
      <c r="G129" s="39" t="e">
        <f t="shared" si="260"/>
        <v>#N/A</v>
      </c>
      <c r="H129" s="16" t="e">
        <f t="shared" si="260"/>
        <v>#N/A</v>
      </c>
      <c r="I129" s="16" t="e">
        <f t="shared" si="260"/>
        <v>#N/A</v>
      </c>
      <c r="J129" s="40" t="e">
        <f t="shared" si="260"/>
        <v>#N/A</v>
      </c>
      <c r="K129" s="16" t="e">
        <f t="shared" si="260"/>
        <v>#N/A</v>
      </c>
      <c r="L129" s="40" t="e">
        <f t="shared" si="3"/>
        <v>#N/A</v>
      </c>
      <c r="M129" s="16" t="e">
        <f t="shared" si="4"/>
        <v>#N/A</v>
      </c>
      <c r="N129" s="16" t="e">
        <f t="shared" si="5"/>
        <v>#N/A</v>
      </c>
      <c r="O129" s="16" t="s">
        <v>64</v>
      </c>
      <c r="P129" s="16" t="str">
        <f t="shared" si="6"/>
        <v/>
      </c>
      <c r="Q129" s="41" t="e">
        <f t="shared" si="7"/>
        <v>#N/A</v>
      </c>
      <c r="R129" s="44"/>
      <c r="S129" s="44"/>
      <c r="T129" s="43"/>
      <c r="U129" s="43" t="str">
        <f t="shared" si="8"/>
        <v>No</v>
      </c>
      <c r="V129" s="25"/>
      <c r="W129" s="25"/>
      <c r="X129" s="25"/>
      <c r="Y129" s="25"/>
      <c r="Z129" s="25"/>
    </row>
    <row r="130" spans="1:26" ht="15.75" customHeight="1" x14ac:dyDescent="0.25">
      <c r="A130" s="25">
        <v>128</v>
      </c>
      <c r="B130" s="37" t="e">
        <f t="shared" ref="B130:D130" si="261">VLOOKUP($A130,[1]Ambiente!$A$1:$O$274,B$1,0)</f>
        <v>#N/A</v>
      </c>
      <c r="C130" s="38" t="e">
        <f t="shared" si="261"/>
        <v>#N/A</v>
      </c>
      <c r="D130" s="39" t="e">
        <f t="shared" si="261"/>
        <v>#N/A</v>
      </c>
      <c r="E130" s="16" t="e">
        <f t="shared" si="1"/>
        <v>#N/A</v>
      </c>
      <c r="F130" s="16" t="e">
        <f t="shared" ref="F130:K130" si="262">VLOOKUP($A130,[1]Ambiente!$A$1:$O$274,F$1,0)</f>
        <v>#N/A</v>
      </c>
      <c r="G130" s="39" t="e">
        <f t="shared" si="262"/>
        <v>#N/A</v>
      </c>
      <c r="H130" s="16" t="e">
        <f t="shared" si="262"/>
        <v>#N/A</v>
      </c>
      <c r="I130" s="16" t="e">
        <f t="shared" si="262"/>
        <v>#N/A</v>
      </c>
      <c r="J130" s="40" t="e">
        <f t="shared" si="262"/>
        <v>#N/A</v>
      </c>
      <c r="K130" s="16" t="e">
        <f t="shared" si="262"/>
        <v>#N/A</v>
      </c>
      <c r="L130" s="40" t="e">
        <f t="shared" si="3"/>
        <v>#N/A</v>
      </c>
      <c r="M130" s="16" t="e">
        <f t="shared" si="4"/>
        <v>#N/A</v>
      </c>
      <c r="N130" s="16" t="e">
        <f t="shared" si="5"/>
        <v>#N/A</v>
      </c>
      <c r="O130" s="16" t="s">
        <v>64</v>
      </c>
      <c r="P130" s="16" t="str">
        <f t="shared" si="6"/>
        <v/>
      </c>
      <c r="Q130" s="41" t="e">
        <f t="shared" si="7"/>
        <v>#N/A</v>
      </c>
      <c r="R130" s="44"/>
      <c r="S130" s="44"/>
      <c r="T130" s="43"/>
      <c r="U130" s="43" t="str">
        <f t="shared" si="8"/>
        <v>No</v>
      </c>
      <c r="V130" s="25"/>
      <c r="W130" s="25"/>
      <c r="X130" s="25"/>
      <c r="Y130" s="25"/>
      <c r="Z130" s="25"/>
    </row>
    <row r="131" spans="1:26" ht="15.75" customHeight="1" x14ac:dyDescent="0.25">
      <c r="A131" s="25">
        <v>129</v>
      </c>
      <c r="B131" s="37" t="e">
        <f t="shared" ref="B131:D131" si="263">VLOOKUP($A131,[1]Ambiente!$A$1:$O$274,B$1,0)</f>
        <v>#N/A</v>
      </c>
      <c r="C131" s="38" t="e">
        <f t="shared" si="263"/>
        <v>#N/A</v>
      </c>
      <c r="D131" s="39" t="e">
        <f t="shared" si="263"/>
        <v>#N/A</v>
      </c>
      <c r="E131" s="16" t="e">
        <f t="shared" si="1"/>
        <v>#N/A</v>
      </c>
      <c r="F131" s="16" t="e">
        <f t="shared" ref="F131:K131" si="264">VLOOKUP($A131,[1]Ambiente!$A$1:$O$274,F$1,0)</f>
        <v>#N/A</v>
      </c>
      <c r="G131" s="39" t="e">
        <f t="shared" si="264"/>
        <v>#N/A</v>
      </c>
      <c r="H131" s="16" t="e">
        <f t="shared" si="264"/>
        <v>#N/A</v>
      </c>
      <c r="I131" s="16" t="e">
        <f t="shared" si="264"/>
        <v>#N/A</v>
      </c>
      <c r="J131" s="40" t="e">
        <f t="shared" si="264"/>
        <v>#N/A</v>
      </c>
      <c r="K131" s="16" t="e">
        <f t="shared" si="264"/>
        <v>#N/A</v>
      </c>
      <c r="L131" s="40" t="e">
        <f t="shared" si="3"/>
        <v>#N/A</v>
      </c>
      <c r="M131" s="16" t="e">
        <f t="shared" si="4"/>
        <v>#N/A</v>
      </c>
      <c r="N131" s="16" t="e">
        <f t="shared" si="5"/>
        <v>#N/A</v>
      </c>
      <c r="O131" s="16" t="s">
        <v>64</v>
      </c>
      <c r="P131" s="16" t="str">
        <f t="shared" si="6"/>
        <v/>
      </c>
      <c r="Q131" s="41" t="e">
        <f t="shared" si="7"/>
        <v>#N/A</v>
      </c>
      <c r="R131" s="44"/>
      <c r="S131" s="44"/>
      <c r="T131" s="43"/>
      <c r="U131" s="43" t="str">
        <f t="shared" si="8"/>
        <v>No</v>
      </c>
      <c r="V131" s="25"/>
      <c r="W131" s="25"/>
      <c r="X131" s="25"/>
      <c r="Y131" s="25"/>
      <c r="Z131" s="25"/>
    </row>
    <row r="132" spans="1:26" ht="15.75" customHeight="1" x14ac:dyDescent="0.25">
      <c r="A132" s="25">
        <v>130</v>
      </c>
      <c r="B132" s="37" t="e">
        <f t="shared" ref="B132:D132" si="265">VLOOKUP($A132,[1]Ambiente!$A$1:$O$274,B$1,0)</f>
        <v>#N/A</v>
      </c>
      <c r="C132" s="38" t="e">
        <f t="shared" si="265"/>
        <v>#N/A</v>
      </c>
      <c r="D132" s="39" t="e">
        <f t="shared" si="265"/>
        <v>#N/A</v>
      </c>
      <c r="E132" s="16" t="e">
        <f t="shared" si="1"/>
        <v>#N/A</v>
      </c>
      <c r="F132" s="16" t="e">
        <f t="shared" ref="F132:K132" si="266">VLOOKUP($A132,[1]Ambiente!$A$1:$O$274,F$1,0)</f>
        <v>#N/A</v>
      </c>
      <c r="G132" s="39" t="e">
        <f t="shared" si="266"/>
        <v>#N/A</v>
      </c>
      <c r="H132" s="16" t="e">
        <f t="shared" si="266"/>
        <v>#N/A</v>
      </c>
      <c r="I132" s="16" t="e">
        <f t="shared" si="266"/>
        <v>#N/A</v>
      </c>
      <c r="J132" s="40" t="e">
        <f t="shared" si="266"/>
        <v>#N/A</v>
      </c>
      <c r="K132" s="16" t="e">
        <f t="shared" si="266"/>
        <v>#N/A</v>
      </c>
      <c r="L132" s="40" t="e">
        <f t="shared" si="3"/>
        <v>#N/A</v>
      </c>
      <c r="M132" s="16" t="e">
        <f t="shared" si="4"/>
        <v>#N/A</v>
      </c>
      <c r="N132" s="16" t="e">
        <f t="shared" si="5"/>
        <v>#N/A</v>
      </c>
      <c r="O132" s="16" t="s">
        <v>64</v>
      </c>
      <c r="P132" s="16" t="str">
        <f t="shared" si="6"/>
        <v/>
      </c>
      <c r="Q132" s="41" t="e">
        <f t="shared" si="7"/>
        <v>#N/A</v>
      </c>
      <c r="R132" s="44"/>
      <c r="S132" s="44"/>
      <c r="T132" s="43"/>
      <c r="U132" s="43" t="str">
        <f t="shared" si="8"/>
        <v>No</v>
      </c>
      <c r="V132" s="25"/>
      <c r="W132" s="25"/>
      <c r="X132" s="25"/>
      <c r="Y132" s="25"/>
      <c r="Z132" s="25"/>
    </row>
    <row r="133" spans="1:26" ht="15.75" customHeight="1" x14ac:dyDescent="0.25">
      <c r="A133" s="25">
        <v>131</v>
      </c>
      <c r="B133" s="37" t="e">
        <f t="shared" ref="B133:D133" si="267">VLOOKUP($A133,[1]Ambiente!$A$1:$O$274,B$1,0)</f>
        <v>#N/A</v>
      </c>
      <c r="C133" s="38" t="e">
        <f t="shared" si="267"/>
        <v>#N/A</v>
      </c>
      <c r="D133" s="39" t="e">
        <f t="shared" si="267"/>
        <v>#N/A</v>
      </c>
      <c r="E133" s="16" t="e">
        <f t="shared" si="1"/>
        <v>#N/A</v>
      </c>
      <c r="F133" s="16" t="e">
        <f t="shared" ref="F133:K133" si="268">VLOOKUP($A133,[1]Ambiente!$A$1:$O$274,F$1,0)</f>
        <v>#N/A</v>
      </c>
      <c r="G133" s="39" t="e">
        <f t="shared" si="268"/>
        <v>#N/A</v>
      </c>
      <c r="H133" s="16" t="e">
        <f t="shared" si="268"/>
        <v>#N/A</v>
      </c>
      <c r="I133" s="16" t="e">
        <f t="shared" si="268"/>
        <v>#N/A</v>
      </c>
      <c r="J133" s="40" t="e">
        <f t="shared" si="268"/>
        <v>#N/A</v>
      </c>
      <c r="K133" s="16" t="e">
        <f t="shared" si="268"/>
        <v>#N/A</v>
      </c>
      <c r="L133" s="40" t="e">
        <f t="shared" si="3"/>
        <v>#N/A</v>
      </c>
      <c r="M133" s="16" t="e">
        <f t="shared" si="4"/>
        <v>#N/A</v>
      </c>
      <c r="N133" s="16" t="e">
        <f t="shared" si="5"/>
        <v>#N/A</v>
      </c>
      <c r="O133" s="16" t="s">
        <v>64</v>
      </c>
      <c r="P133" s="16" t="str">
        <f t="shared" si="6"/>
        <v/>
      </c>
      <c r="Q133" s="41" t="e">
        <f t="shared" si="7"/>
        <v>#N/A</v>
      </c>
      <c r="R133" s="44"/>
      <c r="S133" s="44"/>
      <c r="T133" s="43"/>
      <c r="U133" s="43" t="str">
        <f t="shared" si="8"/>
        <v>No</v>
      </c>
      <c r="V133" s="25"/>
      <c r="W133" s="25"/>
      <c r="X133" s="25"/>
      <c r="Y133" s="25"/>
      <c r="Z133" s="25"/>
    </row>
    <row r="134" spans="1:26" ht="15.75" customHeight="1" x14ac:dyDescent="0.25">
      <c r="A134" s="25">
        <v>132</v>
      </c>
      <c r="B134" s="37" t="e">
        <f t="shared" ref="B134:D134" si="269">VLOOKUP($A134,[1]Ambiente!$A$1:$O$274,B$1,0)</f>
        <v>#N/A</v>
      </c>
      <c r="C134" s="38" t="e">
        <f t="shared" si="269"/>
        <v>#N/A</v>
      </c>
      <c r="D134" s="39" t="e">
        <f t="shared" si="269"/>
        <v>#N/A</v>
      </c>
      <c r="E134" s="16" t="e">
        <f t="shared" si="1"/>
        <v>#N/A</v>
      </c>
      <c r="F134" s="16" t="e">
        <f t="shared" ref="F134:K134" si="270">VLOOKUP($A134,[1]Ambiente!$A$1:$O$274,F$1,0)</f>
        <v>#N/A</v>
      </c>
      <c r="G134" s="39" t="e">
        <f t="shared" si="270"/>
        <v>#N/A</v>
      </c>
      <c r="H134" s="16" t="e">
        <f t="shared" si="270"/>
        <v>#N/A</v>
      </c>
      <c r="I134" s="16" t="e">
        <f t="shared" si="270"/>
        <v>#N/A</v>
      </c>
      <c r="J134" s="40" t="e">
        <f t="shared" si="270"/>
        <v>#N/A</v>
      </c>
      <c r="K134" s="16" t="e">
        <f t="shared" si="270"/>
        <v>#N/A</v>
      </c>
      <c r="L134" s="40" t="e">
        <f t="shared" si="3"/>
        <v>#N/A</v>
      </c>
      <c r="M134" s="16" t="e">
        <f t="shared" si="4"/>
        <v>#N/A</v>
      </c>
      <c r="N134" s="16" t="e">
        <f t="shared" si="5"/>
        <v>#N/A</v>
      </c>
      <c r="O134" s="16" t="s">
        <v>64</v>
      </c>
      <c r="P134" s="16" t="str">
        <f t="shared" si="6"/>
        <v/>
      </c>
      <c r="Q134" s="41" t="e">
        <f t="shared" si="7"/>
        <v>#N/A</v>
      </c>
      <c r="R134" s="44"/>
      <c r="S134" s="44"/>
      <c r="T134" s="43"/>
      <c r="U134" s="43" t="str">
        <f t="shared" si="8"/>
        <v>No</v>
      </c>
      <c r="V134" s="25"/>
      <c r="W134" s="25"/>
      <c r="X134" s="25"/>
      <c r="Y134" s="25"/>
      <c r="Z134" s="25"/>
    </row>
    <row r="135" spans="1:26" ht="15.75" customHeight="1" x14ac:dyDescent="0.25">
      <c r="A135" s="25">
        <v>133</v>
      </c>
      <c r="B135" s="37" t="e">
        <f t="shared" ref="B135:D135" si="271">VLOOKUP($A135,[1]Ambiente!$A$1:$O$274,B$1,0)</f>
        <v>#N/A</v>
      </c>
      <c r="C135" s="38" t="e">
        <f t="shared" si="271"/>
        <v>#N/A</v>
      </c>
      <c r="D135" s="39" t="e">
        <f t="shared" si="271"/>
        <v>#N/A</v>
      </c>
      <c r="E135" s="16" t="e">
        <f t="shared" si="1"/>
        <v>#N/A</v>
      </c>
      <c r="F135" s="16" t="e">
        <f t="shared" ref="F135:K135" si="272">VLOOKUP($A135,[1]Ambiente!$A$1:$O$274,F$1,0)</f>
        <v>#N/A</v>
      </c>
      <c r="G135" s="39" t="e">
        <f t="shared" si="272"/>
        <v>#N/A</v>
      </c>
      <c r="H135" s="16" t="e">
        <f t="shared" si="272"/>
        <v>#N/A</v>
      </c>
      <c r="I135" s="16" t="e">
        <f t="shared" si="272"/>
        <v>#N/A</v>
      </c>
      <c r="J135" s="40" t="e">
        <f t="shared" si="272"/>
        <v>#N/A</v>
      </c>
      <c r="K135" s="16" t="e">
        <f t="shared" si="272"/>
        <v>#N/A</v>
      </c>
      <c r="L135" s="40" t="e">
        <f t="shared" si="3"/>
        <v>#N/A</v>
      </c>
      <c r="M135" s="16" t="e">
        <f t="shared" si="4"/>
        <v>#N/A</v>
      </c>
      <c r="N135" s="16" t="e">
        <f t="shared" si="5"/>
        <v>#N/A</v>
      </c>
      <c r="O135" s="16" t="s">
        <v>64</v>
      </c>
      <c r="P135" s="16" t="str">
        <f t="shared" si="6"/>
        <v/>
      </c>
      <c r="Q135" s="41" t="e">
        <f t="shared" si="7"/>
        <v>#N/A</v>
      </c>
      <c r="R135" s="44"/>
      <c r="S135" s="44"/>
      <c r="T135" s="43"/>
      <c r="U135" s="43" t="str">
        <f t="shared" si="8"/>
        <v>No</v>
      </c>
      <c r="V135" s="25"/>
      <c r="W135" s="25"/>
      <c r="X135" s="25"/>
      <c r="Y135" s="25"/>
      <c r="Z135" s="25"/>
    </row>
    <row r="136" spans="1:26" ht="15.75" customHeight="1" x14ac:dyDescent="0.25">
      <c r="A136" s="25">
        <v>134</v>
      </c>
      <c r="B136" s="37" t="e">
        <f t="shared" ref="B136:D136" si="273">VLOOKUP($A136,[1]Ambiente!$A$1:$O$274,B$1,0)</f>
        <v>#N/A</v>
      </c>
      <c r="C136" s="38" t="e">
        <f t="shared" si="273"/>
        <v>#N/A</v>
      </c>
      <c r="D136" s="39" t="e">
        <f t="shared" si="273"/>
        <v>#N/A</v>
      </c>
      <c r="E136" s="16" t="e">
        <f t="shared" si="1"/>
        <v>#N/A</v>
      </c>
      <c r="F136" s="16" t="e">
        <f t="shared" ref="F136:K136" si="274">VLOOKUP($A136,[1]Ambiente!$A$1:$O$274,F$1,0)</f>
        <v>#N/A</v>
      </c>
      <c r="G136" s="39" t="e">
        <f t="shared" si="274"/>
        <v>#N/A</v>
      </c>
      <c r="H136" s="16" t="e">
        <f t="shared" si="274"/>
        <v>#N/A</v>
      </c>
      <c r="I136" s="16" t="e">
        <f t="shared" si="274"/>
        <v>#N/A</v>
      </c>
      <c r="J136" s="40" t="e">
        <f t="shared" si="274"/>
        <v>#N/A</v>
      </c>
      <c r="K136" s="16" t="e">
        <f t="shared" si="274"/>
        <v>#N/A</v>
      </c>
      <c r="L136" s="40" t="e">
        <f t="shared" si="3"/>
        <v>#N/A</v>
      </c>
      <c r="M136" s="16" t="e">
        <f t="shared" si="4"/>
        <v>#N/A</v>
      </c>
      <c r="N136" s="16" t="e">
        <f t="shared" si="5"/>
        <v>#N/A</v>
      </c>
      <c r="O136" s="16" t="s">
        <v>64</v>
      </c>
      <c r="P136" s="16" t="str">
        <f t="shared" si="6"/>
        <v/>
      </c>
      <c r="Q136" s="41" t="e">
        <f t="shared" si="7"/>
        <v>#N/A</v>
      </c>
      <c r="R136" s="44"/>
      <c r="S136" s="44"/>
      <c r="T136" s="43"/>
      <c r="U136" s="43" t="str">
        <f t="shared" si="8"/>
        <v>No</v>
      </c>
      <c r="V136" s="25"/>
      <c r="W136" s="25"/>
      <c r="X136" s="25"/>
      <c r="Y136" s="25"/>
      <c r="Z136" s="25"/>
    </row>
    <row r="137" spans="1:26" ht="15.75" customHeight="1" x14ac:dyDescent="0.25">
      <c r="A137" s="25">
        <v>135</v>
      </c>
      <c r="B137" s="37" t="e">
        <f t="shared" ref="B137:D137" si="275">VLOOKUP($A137,[1]Ambiente!$A$1:$O$274,B$1,0)</f>
        <v>#N/A</v>
      </c>
      <c r="C137" s="38" t="e">
        <f t="shared" si="275"/>
        <v>#N/A</v>
      </c>
      <c r="D137" s="39" t="e">
        <f t="shared" si="275"/>
        <v>#N/A</v>
      </c>
      <c r="E137" s="16" t="e">
        <f t="shared" si="1"/>
        <v>#N/A</v>
      </c>
      <c r="F137" s="16" t="e">
        <f t="shared" ref="F137:K137" si="276">VLOOKUP($A137,[1]Ambiente!$A$1:$O$274,F$1,0)</f>
        <v>#N/A</v>
      </c>
      <c r="G137" s="39" t="e">
        <f t="shared" si="276"/>
        <v>#N/A</v>
      </c>
      <c r="H137" s="16" t="e">
        <f t="shared" si="276"/>
        <v>#N/A</v>
      </c>
      <c r="I137" s="16" t="e">
        <f t="shared" si="276"/>
        <v>#N/A</v>
      </c>
      <c r="J137" s="40" t="e">
        <f t="shared" si="276"/>
        <v>#N/A</v>
      </c>
      <c r="K137" s="16" t="e">
        <f t="shared" si="276"/>
        <v>#N/A</v>
      </c>
      <c r="L137" s="40" t="e">
        <f t="shared" si="3"/>
        <v>#N/A</v>
      </c>
      <c r="M137" s="16" t="e">
        <f t="shared" si="4"/>
        <v>#N/A</v>
      </c>
      <c r="N137" s="16" t="e">
        <f t="shared" si="5"/>
        <v>#N/A</v>
      </c>
      <c r="O137" s="16" t="s">
        <v>64</v>
      </c>
      <c r="P137" s="16" t="str">
        <f t="shared" si="6"/>
        <v/>
      </c>
      <c r="Q137" s="41" t="e">
        <f t="shared" si="7"/>
        <v>#N/A</v>
      </c>
      <c r="R137" s="44"/>
      <c r="S137" s="44"/>
      <c r="T137" s="43"/>
      <c r="U137" s="43" t="str">
        <f t="shared" si="8"/>
        <v>No</v>
      </c>
      <c r="V137" s="25"/>
      <c r="W137" s="25"/>
      <c r="X137" s="25"/>
      <c r="Y137" s="25"/>
      <c r="Z137" s="25"/>
    </row>
    <row r="138" spans="1:26" ht="15.75" customHeight="1" x14ac:dyDescent="0.25">
      <c r="A138" s="25">
        <v>136</v>
      </c>
      <c r="B138" s="37" t="e">
        <f t="shared" ref="B138:D138" si="277">VLOOKUP($A138,[1]Ambiente!$A$1:$O$274,B$1,0)</f>
        <v>#N/A</v>
      </c>
      <c r="C138" s="38" t="e">
        <f t="shared" si="277"/>
        <v>#N/A</v>
      </c>
      <c r="D138" s="39" t="e">
        <f t="shared" si="277"/>
        <v>#N/A</v>
      </c>
      <c r="E138" s="16" t="e">
        <f t="shared" si="1"/>
        <v>#N/A</v>
      </c>
      <c r="F138" s="16" t="e">
        <f t="shared" ref="F138:K138" si="278">VLOOKUP($A138,[1]Ambiente!$A$1:$O$274,F$1,0)</f>
        <v>#N/A</v>
      </c>
      <c r="G138" s="39" t="e">
        <f t="shared" si="278"/>
        <v>#N/A</v>
      </c>
      <c r="H138" s="16" t="e">
        <f t="shared" si="278"/>
        <v>#N/A</v>
      </c>
      <c r="I138" s="16" t="e">
        <f t="shared" si="278"/>
        <v>#N/A</v>
      </c>
      <c r="J138" s="40" t="e">
        <f t="shared" si="278"/>
        <v>#N/A</v>
      </c>
      <c r="K138" s="16" t="e">
        <f t="shared" si="278"/>
        <v>#N/A</v>
      </c>
      <c r="L138" s="40" t="e">
        <f t="shared" si="3"/>
        <v>#N/A</v>
      </c>
      <c r="M138" s="16" t="e">
        <f t="shared" si="4"/>
        <v>#N/A</v>
      </c>
      <c r="N138" s="16" t="e">
        <f t="shared" si="5"/>
        <v>#N/A</v>
      </c>
      <c r="O138" s="16" t="s">
        <v>64</v>
      </c>
      <c r="P138" s="16" t="str">
        <f t="shared" si="6"/>
        <v/>
      </c>
      <c r="Q138" s="41" t="e">
        <f t="shared" si="7"/>
        <v>#N/A</v>
      </c>
      <c r="R138" s="44"/>
      <c r="S138" s="44"/>
      <c r="T138" s="43"/>
      <c r="U138" s="43" t="str">
        <f t="shared" si="8"/>
        <v>No</v>
      </c>
      <c r="V138" s="25"/>
      <c r="W138" s="25"/>
      <c r="X138" s="25"/>
      <c r="Y138" s="25"/>
      <c r="Z138" s="25"/>
    </row>
    <row r="139" spans="1:26" ht="15.75" customHeight="1" x14ac:dyDescent="0.25">
      <c r="A139" s="25">
        <v>137</v>
      </c>
      <c r="B139" s="37" t="e">
        <f t="shared" ref="B139:D139" si="279">VLOOKUP($A139,[1]Ambiente!$A$1:$O$274,B$1,0)</f>
        <v>#N/A</v>
      </c>
      <c r="C139" s="38" t="e">
        <f t="shared" si="279"/>
        <v>#N/A</v>
      </c>
      <c r="D139" s="39" t="e">
        <f t="shared" si="279"/>
        <v>#N/A</v>
      </c>
      <c r="E139" s="16" t="e">
        <f t="shared" si="1"/>
        <v>#N/A</v>
      </c>
      <c r="F139" s="16" t="e">
        <f t="shared" ref="F139:K139" si="280">VLOOKUP($A139,[1]Ambiente!$A$1:$O$274,F$1,0)</f>
        <v>#N/A</v>
      </c>
      <c r="G139" s="39" t="e">
        <f t="shared" si="280"/>
        <v>#N/A</v>
      </c>
      <c r="H139" s="16" t="e">
        <f t="shared" si="280"/>
        <v>#N/A</v>
      </c>
      <c r="I139" s="16" t="e">
        <f t="shared" si="280"/>
        <v>#N/A</v>
      </c>
      <c r="J139" s="40" t="e">
        <f t="shared" si="280"/>
        <v>#N/A</v>
      </c>
      <c r="K139" s="16" t="e">
        <f t="shared" si="280"/>
        <v>#N/A</v>
      </c>
      <c r="L139" s="40" t="e">
        <f t="shared" si="3"/>
        <v>#N/A</v>
      </c>
      <c r="M139" s="16" t="e">
        <f t="shared" si="4"/>
        <v>#N/A</v>
      </c>
      <c r="N139" s="16" t="e">
        <f t="shared" si="5"/>
        <v>#N/A</v>
      </c>
      <c r="O139" s="16" t="s">
        <v>64</v>
      </c>
      <c r="P139" s="16" t="str">
        <f t="shared" si="6"/>
        <v/>
      </c>
      <c r="Q139" s="41" t="e">
        <f t="shared" si="7"/>
        <v>#N/A</v>
      </c>
      <c r="R139" s="44"/>
      <c r="S139" s="44"/>
      <c r="T139" s="43"/>
      <c r="U139" s="43" t="str">
        <f t="shared" si="8"/>
        <v>No</v>
      </c>
      <c r="V139" s="25"/>
      <c r="W139" s="25"/>
      <c r="X139" s="25"/>
      <c r="Y139" s="25"/>
      <c r="Z139" s="25"/>
    </row>
    <row r="140" spans="1:26" ht="15.75" customHeight="1" x14ac:dyDescent="0.25">
      <c r="A140" s="25">
        <v>138</v>
      </c>
      <c r="B140" s="37" t="e">
        <f t="shared" ref="B140:D140" si="281">VLOOKUP($A140,[1]Ambiente!$A$1:$O$274,B$1,0)</f>
        <v>#N/A</v>
      </c>
      <c r="C140" s="38" t="e">
        <f t="shared" si="281"/>
        <v>#N/A</v>
      </c>
      <c r="D140" s="39" t="e">
        <f t="shared" si="281"/>
        <v>#N/A</v>
      </c>
      <c r="E140" s="16" t="e">
        <f t="shared" si="1"/>
        <v>#N/A</v>
      </c>
      <c r="F140" s="16" t="e">
        <f t="shared" ref="F140:K140" si="282">VLOOKUP($A140,[1]Ambiente!$A$1:$O$274,F$1,0)</f>
        <v>#N/A</v>
      </c>
      <c r="G140" s="39" t="e">
        <f t="shared" si="282"/>
        <v>#N/A</v>
      </c>
      <c r="H140" s="16" t="e">
        <f t="shared" si="282"/>
        <v>#N/A</v>
      </c>
      <c r="I140" s="16" t="e">
        <f t="shared" si="282"/>
        <v>#N/A</v>
      </c>
      <c r="J140" s="40" t="e">
        <f t="shared" si="282"/>
        <v>#N/A</v>
      </c>
      <c r="K140" s="16" t="e">
        <f t="shared" si="282"/>
        <v>#N/A</v>
      </c>
      <c r="L140" s="40" t="e">
        <f t="shared" si="3"/>
        <v>#N/A</v>
      </c>
      <c r="M140" s="16" t="e">
        <f t="shared" si="4"/>
        <v>#N/A</v>
      </c>
      <c r="N140" s="16" t="e">
        <f t="shared" si="5"/>
        <v>#N/A</v>
      </c>
      <c r="O140" s="16" t="s">
        <v>64</v>
      </c>
      <c r="P140" s="16" t="str">
        <f t="shared" si="6"/>
        <v/>
      </c>
      <c r="Q140" s="41" t="e">
        <f t="shared" si="7"/>
        <v>#N/A</v>
      </c>
      <c r="R140" s="44"/>
      <c r="S140" s="44"/>
      <c r="T140" s="43"/>
      <c r="U140" s="43" t="str">
        <f t="shared" si="8"/>
        <v>No</v>
      </c>
      <c r="V140" s="25"/>
      <c r="W140" s="25"/>
      <c r="X140" s="25"/>
      <c r="Y140" s="25"/>
      <c r="Z140" s="25"/>
    </row>
    <row r="141" spans="1:26" ht="15.75" customHeight="1" x14ac:dyDescent="0.25">
      <c r="A141" s="25">
        <v>139</v>
      </c>
      <c r="B141" s="37" t="e">
        <f t="shared" ref="B141:D141" si="283">VLOOKUP($A141,[1]Ambiente!$A$1:$O$274,B$1,0)</f>
        <v>#N/A</v>
      </c>
      <c r="C141" s="38" t="e">
        <f t="shared" si="283"/>
        <v>#N/A</v>
      </c>
      <c r="D141" s="39" t="e">
        <f t="shared" si="283"/>
        <v>#N/A</v>
      </c>
      <c r="E141" s="16" t="e">
        <f t="shared" si="1"/>
        <v>#N/A</v>
      </c>
      <c r="F141" s="16" t="e">
        <f t="shared" ref="F141:K141" si="284">VLOOKUP($A141,[1]Ambiente!$A$1:$O$274,F$1,0)</f>
        <v>#N/A</v>
      </c>
      <c r="G141" s="39" t="e">
        <f t="shared" si="284"/>
        <v>#N/A</v>
      </c>
      <c r="H141" s="16" t="e">
        <f t="shared" si="284"/>
        <v>#N/A</v>
      </c>
      <c r="I141" s="16" t="e">
        <f t="shared" si="284"/>
        <v>#N/A</v>
      </c>
      <c r="J141" s="40" t="e">
        <f t="shared" si="284"/>
        <v>#N/A</v>
      </c>
      <c r="K141" s="16" t="e">
        <f t="shared" si="284"/>
        <v>#N/A</v>
      </c>
      <c r="L141" s="40" t="e">
        <f t="shared" si="3"/>
        <v>#N/A</v>
      </c>
      <c r="M141" s="16" t="e">
        <f t="shared" si="4"/>
        <v>#N/A</v>
      </c>
      <c r="N141" s="16" t="e">
        <f t="shared" si="5"/>
        <v>#N/A</v>
      </c>
      <c r="O141" s="16" t="s">
        <v>64</v>
      </c>
      <c r="P141" s="16" t="str">
        <f t="shared" si="6"/>
        <v/>
      </c>
      <c r="Q141" s="41" t="e">
        <f t="shared" si="7"/>
        <v>#N/A</v>
      </c>
      <c r="R141" s="44"/>
      <c r="S141" s="44"/>
      <c r="T141" s="43"/>
      <c r="U141" s="43" t="str">
        <f t="shared" si="8"/>
        <v>No</v>
      </c>
      <c r="V141" s="25"/>
      <c r="W141" s="25"/>
      <c r="X141" s="25"/>
      <c r="Y141" s="25"/>
      <c r="Z141" s="25"/>
    </row>
    <row r="142" spans="1:26" ht="15.75" customHeight="1" x14ac:dyDescent="0.25">
      <c r="A142" s="25">
        <v>140</v>
      </c>
      <c r="B142" s="37" t="e">
        <f t="shared" ref="B142:D142" si="285">VLOOKUP($A142,[1]Ambiente!$A$1:$O$274,B$1,0)</f>
        <v>#N/A</v>
      </c>
      <c r="C142" s="38" t="e">
        <f t="shared" si="285"/>
        <v>#N/A</v>
      </c>
      <c r="D142" s="39" t="e">
        <f t="shared" si="285"/>
        <v>#N/A</v>
      </c>
      <c r="E142" s="16" t="e">
        <f t="shared" si="1"/>
        <v>#N/A</v>
      </c>
      <c r="F142" s="16" t="e">
        <f t="shared" ref="F142:K142" si="286">VLOOKUP($A142,[1]Ambiente!$A$1:$O$274,F$1,0)</f>
        <v>#N/A</v>
      </c>
      <c r="G142" s="39" t="e">
        <f t="shared" si="286"/>
        <v>#N/A</v>
      </c>
      <c r="H142" s="16" t="e">
        <f t="shared" si="286"/>
        <v>#N/A</v>
      </c>
      <c r="I142" s="16" t="e">
        <f t="shared" si="286"/>
        <v>#N/A</v>
      </c>
      <c r="J142" s="40" t="e">
        <f t="shared" si="286"/>
        <v>#N/A</v>
      </c>
      <c r="K142" s="16" t="e">
        <f t="shared" si="286"/>
        <v>#N/A</v>
      </c>
      <c r="L142" s="40" t="e">
        <f t="shared" si="3"/>
        <v>#N/A</v>
      </c>
      <c r="M142" s="16" t="e">
        <f t="shared" si="4"/>
        <v>#N/A</v>
      </c>
      <c r="N142" s="16" t="e">
        <f t="shared" si="5"/>
        <v>#N/A</v>
      </c>
      <c r="O142" s="16" t="s">
        <v>64</v>
      </c>
      <c r="P142" s="16" t="str">
        <f t="shared" si="6"/>
        <v/>
      </c>
      <c r="Q142" s="41" t="e">
        <f t="shared" si="7"/>
        <v>#N/A</v>
      </c>
      <c r="R142" s="44"/>
      <c r="S142" s="44"/>
      <c r="T142" s="43"/>
      <c r="U142" s="43" t="str">
        <f t="shared" si="8"/>
        <v>No</v>
      </c>
      <c r="V142" s="25"/>
      <c r="W142" s="25"/>
      <c r="X142" s="25"/>
      <c r="Y142" s="25"/>
      <c r="Z142" s="25"/>
    </row>
    <row r="143" spans="1:26" ht="15.75" customHeight="1" x14ac:dyDescent="0.25">
      <c r="A143" s="25">
        <v>141</v>
      </c>
      <c r="B143" s="37" t="e">
        <f t="shared" ref="B143:D143" si="287">VLOOKUP($A143,[1]Ambiente!$A$1:$O$274,B$1,0)</f>
        <v>#N/A</v>
      </c>
      <c r="C143" s="38" t="e">
        <f t="shared" si="287"/>
        <v>#N/A</v>
      </c>
      <c r="D143" s="39" t="e">
        <f t="shared" si="287"/>
        <v>#N/A</v>
      </c>
      <c r="E143" s="16" t="e">
        <f t="shared" si="1"/>
        <v>#N/A</v>
      </c>
      <c r="F143" s="16" t="e">
        <f t="shared" ref="F143:K143" si="288">VLOOKUP($A143,[1]Ambiente!$A$1:$O$274,F$1,0)</f>
        <v>#N/A</v>
      </c>
      <c r="G143" s="39" t="e">
        <f t="shared" si="288"/>
        <v>#N/A</v>
      </c>
      <c r="H143" s="16" t="e">
        <f t="shared" si="288"/>
        <v>#N/A</v>
      </c>
      <c r="I143" s="16" t="e">
        <f t="shared" si="288"/>
        <v>#N/A</v>
      </c>
      <c r="J143" s="40" t="e">
        <f t="shared" si="288"/>
        <v>#N/A</v>
      </c>
      <c r="K143" s="16" t="e">
        <f t="shared" si="288"/>
        <v>#N/A</v>
      </c>
      <c r="L143" s="40" t="e">
        <f t="shared" si="3"/>
        <v>#N/A</v>
      </c>
      <c r="M143" s="16" t="e">
        <f t="shared" si="4"/>
        <v>#N/A</v>
      </c>
      <c r="N143" s="16" t="e">
        <f t="shared" si="5"/>
        <v>#N/A</v>
      </c>
      <c r="O143" s="16" t="s">
        <v>64</v>
      </c>
      <c r="P143" s="16" t="str">
        <f t="shared" si="6"/>
        <v/>
      </c>
      <c r="Q143" s="41" t="e">
        <f t="shared" si="7"/>
        <v>#N/A</v>
      </c>
      <c r="R143" s="44"/>
      <c r="S143" s="44"/>
      <c r="T143" s="43"/>
      <c r="U143" s="43" t="str">
        <f t="shared" si="8"/>
        <v>No</v>
      </c>
      <c r="V143" s="25"/>
      <c r="W143" s="25"/>
      <c r="X143" s="25"/>
      <c r="Y143" s="25"/>
      <c r="Z143" s="25"/>
    </row>
    <row r="144" spans="1:26" ht="15.75" customHeight="1" x14ac:dyDescent="0.25">
      <c r="A144" s="25">
        <v>142</v>
      </c>
      <c r="B144" s="37" t="e">
        <f t="shared" ref="B144:D144" si="289">VLOOKUP($A144,[1]Ambiente!$A$1:$O$274,B$1,0)</f>
        <v>#N/A</v>
      </c>
      <c r="C144" s="38" t="e">
        <f t="shared" si="289"/>
        <v>#N/A</v>
      </c>
      <c r="D144" s="39" t="e">
        <f t="shared" si="289"/>
        <v>#N/A</v>
      </c>
      <c r="E144" s="16" t="e">
        <f t="shared" si="1"/>
        <v>#N/A</v>
      </c>
      <c r="F144" s="16" t="e">
        <f t="shared" ref="F144:K144" si="290">VLOOKUP($A144,[1]Ambiente!$A$1:$O$274,F$1,0)</f>
        <v>#N/A</v>
      </c>
      <c r="G144" s="39" t="e">
        <f t="shared" si="290"/>
        <v>#N/A</v>
      </c>
      <c r="H144" s="16" t="e">
        <f t="shared" si="290"/>
        <v>#N/A</v>
      </c>
      <c r="I144" s="16" t="e">
        <f t="shared" si="290"/>
        <v>#N/A</v>
      </c>
      <c r="J144" s="40" t="e">
        <f t="shared" si="290"/>
        <v>#N/A</v>
      </c>
      <c r="K144" s="16" t="e">
        <f t="shared" si="290"/>
        <v>#N/A</v>
      </c>
      <c r="L144" s="40" t="e">
        <f t="shared" si="3"/>
        <v>#N/A</v>
      </c>
      <c r="M144" s="16" t="e">
        <f t="shared" si="4"/>
        <v>#N/A</v>
      </c>
      <c r="N144" s="16" t="e">
        <f t="shared" si="5"/>
        <v>#N/A</v>
      </c>
      <c r="O144" s="16" t="s">
        <v>64</v>
      </c>
      <c r="P144" s="16" t="str">
        <f t="shared" si="6"/>
        <v/>
      </c>
      <c r="Q144" s="41" t="e">
        <f t="shared" si="7"/>
        <v>#N/A</v>
      </c>
      <c r="R144" s="44"/>
      <c r="S144" s="44"/>
      <c r="T144" s="43"/>
      <c r="U144" s="43" t="str">
        <f t="shared" si="8"/>
        <v>No</v>
      </c>
      <c r="V144" s="25"/>
      <c r="W144" s="25"/>
      <c r="X144" s="25"/>
      <c r="Y144" s="25"/>
      <c r="Z144" s="25"/>
    </row>
    <row r="145" spans="1:26" ht="15.75" customHeight="1" x14ac:dyDescent="0.25">
      <c r="A145" s="25">
        <v>143</v>
      </c>
      <c r="B145" s="37" t="e">
        <f t="shared" ref="B145:D145" si="291">VLOOKUP($A145,[1]Ambiente!$A$1:$O$274,B$1,0)</f>
        <v>#N/A</v>
      </c>
      <c r="C145" s="38" t="e">
        <f t="shared" si="291"/>
        <v>#N/A</v>
      </c>
      <c r="D145" s="39" t="e">
        <f t="shared" si="291"/>
        <v>#N/A</v>
      </c>
      <c r="E145" s="16" t="e">
        <f t="shared" si="1"/>
        <v>#N/A</v>
      </c>
      <c r="F145" s="16" t="e">
        <f t="shared" ref="F145:K145" si="292">VLOOKUP($A145,[1]Ambiente!$A$1:$O$274,F$1,0)</f>
        <v>#N/A</v>
      </c>
      <c r="G145" s="39" t="e">
        <f t="shared" si="292"/>
        <v>#N/A</v>
      </c>
      <c r="H145" s="16" t="e">
        <f t="shared" si="292"/>
        <v>#N/A</v>
      </c>
      <c r="I145" s="16" t="e">
        <f t="shared" si="292"/>
        <v>#N/A</v>
      </c>
      <c r="J145" s="40" t="e">
        <f t="shared" si="292"/>
        <v>#N/A</v>
      </c>
      <c r="K145" s="16" t="e">
        <f t="shared" si="292"/>
        <v>#N/A</v>
      </c>
      <c r="L145" s="40" t="e">
        <f t="shared" si="3"/>
        <v>#N/A</v>
      </c>
      <c r="M145" s="16" t="e">
        <f t="shared" si="4"/>
        <v>#N/A</v>
      </c>
      <c r="N145" s="16" t="e">
        <f t="shared" si="5"/>
        <v>#N/A</v>
      </c>
      <c r="O145" s="16" t="s">
        <v>64</v>
      </c>
      <c r="P145" s="16" t="str">
        <f t="shared" si="6"/>
        <v/>
      </c>
      <c r="Q145" s="41" t="e">
        <f t="shared" si="7"/>
        <v>#N/A</v>
      </c>
      <c r="R145" s="44"/>
      <c r="S145" s="44"/>
      <c r="T145" s="43"/>
      <c r="U145" s="43" t="str">
        <f t="shared" si="8"/>
        <v>No</v>
      </c>
      <c r="V145" s="25"/>
      <c r="W145" s="25"/>
      <c r="X145" s="25"/>
      <c r="Y145" s="25"/>
      <c r="Z145" s="25"/>
    </row>
    <row r="146" spans="1:26" ht="15.75" customHeight="1" x14ac:dyDescent="0.25">
      <c r="A146" s="25">
        <v>144</v>
      </c>
      <c r="B146" s="37" t="e">
        <f t="shared" ref="B146:D146" si="293">VLOOKUP($A146,[1]Ambiente!$A$1:$O$274,B$1,0)</f>
        <v>#N/A</v>
      </c>
      <c r="C146" s="38" t="e">
        <f t="shared" si="293"/>
        <v>#N/A</v>
      </c>
      <c r="D146" s="39" t="e">
        <f t="shared" si="293"/>
        <v>#N/A</v>
      </c>
      <c r="E146" s="16" t="e">
        <f t="shared" si="1"/>
        <v>#N/A</v>
      </c>
      <c r="F146" s="16" t="e">
        <f t="shared" ref="F146:K146" si="294">VLOOKUP($A146,[1]Ambiente!$A$1:$O$274,F$1,0)</f>
        <v>#N/A</v>
      </c>
      <c r="G146" s="39" t="e">
        <f t="shared" si="294"/>
        <v>#N/A</v>
      </c>
      <c r="H146" s="16" t="e">
        <f t="shared" si="294"/>
        <v>#N/A</v>
      </c>
      <c r="I146" s="16" t="e">
        <f t="shared" si="294"/>
        <v>#N/A</v>
      </c>
      <c r="J146" s="40" t="e">
        <f t="shared" si="294"/>
        <v>#N/A</v>
      </c>
      <c r="K146" s="16" t="e">
        <f t="shared" si="294"/>
        <v>#N/A</v>
      </c>
      <c r="L146" s="40" t="e">
        <f t="shared" si="3"/>
        <v>#N/A</v>
      </c>
      <c r="M146" s="16" t="e">
        <f t="shared" si="4"/>
        <v>#N/A</v>
      </c>
      <c r="N146" s="16" t="e">
        <f t="shared" si="5"/>
        <v>#N/A</v>
      </c>
      <c r="O146" s="16" t="s">
        <v>64</v>
      </c>
      <c r="P146" s="16" t="str">
        <f t="shared" si="6"/>
        <v/>
      </c>
      <c r="Q146" s="41" t="e">
        <f t="shared" si="7"/>
        <v>#N/A</v>
      </c>
      <c r="R146" s="44"/>
      <c r="S146" s="44"/>
      <c r="T146" s="43"/>
      <c r="U146" s="43" t="str">
        <f t="shared" si="8"/>
        <v>No</v>
      </c>
      <c r="V146" s="25"/>
      <c r="W146" s="25"/>
      <c r="X146" s="25"/>
      <c r="Y146" s="25"/>
      <c r="Z146" s="25"/>
    </row>
    <row r="147" spans="1:26" ht="15.75" customHeight="1" x14ac:dyDescent="0.25">
      <c r="A147" s="25">
        <v>145</v>
      </c>
      <c r="B147" s="37" t="e">
        <f t="shared" ref="B147:D147" si="295">VLOOKUP($A147,[1]Ambiente!$A$1:$O$274,B$1,0)</f>
        <v>#N/A</v>
      </c>
      <c r="C147" s="38" t="e">
        <f t="shared" si="295"/>
        <v>#N/A</v>
      </c>
      <c r="D147" s="39" t="e">
        <f t="shared" si="295"/>
        <v>#N/A</v>
      </c>
      <c r="E147" s="16" t="e">
        <f t="shared" si="1"/>
        <v>#N/A</v>
      </c>
      <c r="F147" s="16" t="e">
        <f t="shared" ref="F147:K147" si="296">VLOOKUP($A147,[1]Ambiente!$A$1:$O$274,F$1,0)</f>
        <v>#N/A</v>
      </c>
      <c r="G147" s="39" t="e">
        <f t="shared" si="296"/>
        <v>#N/A</v>
      </c>
      <c r="H147" s="16" t="e">
        <f t="shared" si="296"/>
        <v>#N/A</v>
      </c>
      <c r="I147" s="16" t="e">
        <f t="shared" si="296"/>
        <v>#N/A</v>
      </c>
      <c r="J147" s="40" t="e">
        <f t="shared" si="296"/>
        <v>#N/A</v>
      </c>
      <c r="K147" s="16" t="e">
        <f t="shared" si="296"/>
        <v>#N/A</v>
      </c>
      <c r="L147" s="40" t="e">
        <f t="shared" si="3"/>
        <v>#N/A</v>
      </c>
      <c r="M147" s="16" t="e">
        <f t="shared" si="4"/>
        <v>#N/A</v>
      </c>
      <c r="N147" s="16" t="e">
        <f t="shared" si="5"/>
        <v>#N/A</v>
      </c>
      <c r="O147" s="16" t="s">
        <v>64</v>
      </c>
      <c r="P147" s="16" t="str">
        <f t="shared" si="6"/>
        <v/>
      </c>
      <c r="Q147" s="41" t="e">
        <f t="shared" si="7"/>
        <v>#N/A</v>
      </c>
      <c r="R147" s="44"/>
      <c r="S147" s="44"/>
      <c r="T147" s="43"/>
      <c r="U147" s="43" t="str">
        <f t="shared" si="8"/>
        <v>No</v>
      </c>
      <c r="V147" s="25"/>
      <c r="W147" s="25"/>
      <c r="X147" s="25"/>
      <c r="Y147" s="25"/>
      <c r="Z147" s="25"/>
    </row>
    <row r="148" spans="1:26" ht="15.75" customHeight="1" x14ac:dyDescent="0.25">
      <c r="A148" s="25">
        <v>146</v>
      </c>
      <c r="B148" s="37" t="e">
        <f t="shared" ref="B148:D148" si="297">VLOOKUP($A148,[1]Ambiente!$A$1:$O$274,B$1,0)</f>
        <v>#N/A</v>
      </c>
      <c r="C148" s="38" t="e">
        <f t="shared" si="297"/>
        <v>#N/A</v>
      </c>
      <c r="D148" s="39" t="e">
        <f t="shared" si="297"/>
        <v>#N/A</v>
      </c>
      <c r="E148" s="16" t="e">
        <f t="shared" si="1"/>
        <v>#N/A</v>
      </c>
      <c r="F148" s="16" t="e">
        <f t="shared" ref="F148:K148" si="298">VLOOKUP($A148,[1]Ambiente!$A$1:$O$274,F$1,0)</f>
        <v>#N/A</v>
      </c>
      <c r="G148" s="39" t="e">
        <f t="shared" si="298"/>
        <v>#N/A</v>
      </c>
      <c r="H148" s="16" t="e">
        <f t="shared" si="298"/>
        <v>#N/A</v>
      </c>
      <c r="I148" s="16" t="e">
        <f t="shared" si="298"/>
        <v>#N/A</v>
      </c>
      <c r="J148" s="40" t="e">
        <f t="shared" si="298"/>
        <v>#N/A</v>
      </c>
      <c r="K148" s="16" t="e">
        <f t="shared" si="298"/>
        <v>#N/A</v>
      </c>
      <c r="L148" s="40" t="e">
        <f t="shared" si="3"/>
        <v>#N/A</v>
      </c>
      <c r="M148" s="16" t="e">
        <f t="shared" si="4"/>
        <v>#N/A</v>
      </c>
      <c r="N148" s="16" t="e">
        <f t="shared" si="5"/>
        <v>#N/A</v>
      </c>
      <c r="O148" s="16" t="s">
        <v>64</v>
      </c>
      <c r="P148" s="16" t="str">
        <f t="shared" si="6"/>
        <v/>
      </c>
      <c r="Q148" s="41" t="e">
        <f t="shared" si="7"/>
        <v>#N/A</v>
      </c>
      <c r="R148" s="44"/>
      <c r="S148" s="44"/>
      <c r="T148" s="43"/>
      <c r="U148" s="43" t="str">
        <f t="shared" si="8"/>
        <v>No</v>
      </c>
      <c r="V148" s="25"/>
      <c r="W148" s="25"/>
      <c r="X148" s="25"/>
      <c r="Y148" s="25"/>
      <c r="Z148" s="25"/>
    </row>
    <row r="149" spans="1:26" ht="15.75" customHeight="1" x14ac:dyDescent="0.25">
      <c r="A149" s="25">
        <v>147</v>
      </c>
      <c r="B149" s="37" t="e">
        <f t="shared" ref="B149:D149" si="299">VLOOKUP($A149,[1]Ambiente!$A$1:$O$274,B$1,0)</f>
        <v>#N/A</v>
      </c>
      <c r="C149" s="38" t="e">
        <f t="shared" si="299"/>
        <v>#N/A</v>
      </c>
      <c r="D149" s="39" t="e">
        <f t="shared" si="299"/>
        <v>#N/A</v>
      </c>
      <c r="E149" s="16" t="e">
        <f t="shared" si="1"/>
        <v>#N/A</v>
      </c>
      <c r="F149" s="16" t="e">
        <f t="shared" ref="F149:K149" si="300">VLOOKUP($A149,[1]Ambiente!$A$1:$O$274,F$1,0)</f>
        <v>#N/A</v>
      </c>
      <c r="G149" s="39" t="e">
        <f t="shared" si="300"/>
        <v>#N/A</v>
      </c>
      <c r="H149" s="16" t="e">
        <f t="shared" si="300"/>
        <v>#N/A</v>
      </c>
      <c r="I149" s="16" t="e">
        <f t="shared" si="300"/>
        <v>#N/A</v>
      </c>
      <c r="J149" s="40" t="e">
        <f t="shared" si="300"/>
        <v>#N/A</v>
      </c>
      <c r="K149" s="16" t="e">
        <f t="shared" si="300"/>
        <v>#N/A</v>
      </c>
      <c r="L149" s="40" t="e">
        <f t="shared" si="3"/>
        <v>#N/A</v>
      </c>
      <c r="M149" s="16" t="e">
        <f t="shared" si="4"/>
        <v>#N/A</v>
      </c>
      <c r="N149" s="16" t="e">
        <f t="shared" si="5"/>
        <v>#N/A</v>
      </c>
      <c r="O149" s="16" t="s">
        <v>64</v>
      </c>
      <c r="P149" s="16" t="str">
        <f t="shared" si="6"/>
        <v/>
      </c>
      <c r="Q149" s="41" t="e">
        <f t="shared" si="7"/>
        <v>#N/A</v>
      </c>
      <c r="R149" s="44"/>
      <c r="S149" s="44"/>
      <c r="T149" s="43"/>
      <c r="U149" s="43" t="str">
        <f t="shared" si="8"/>
        <v>No</v>
      </c>
      <c r="V149" s="25"/>
      <c r="W149" s="25"/>
      <c r="X149" s="25"/>
      <c r="Y149" s="25"/>
      <c r="Z149" s="25"/>
    </row>
    <row r="150" spans="1:26" ht="15.75" customHeight="1" x14ac:dyDescent="0.25">
      <c r="A150" s="25">
        <v>148</v>
      </c>
      <c r="B150" s="37" t="e">
        <f t="shared" ref="B150:D150" si="301">VLOOKUP($A150,[1]Ambiente!$A$1:$O$274,B$1,0)</f>
        <v>#N/A</v>
      </c>
      <c r="C150" s="38" t="e">
        <f t="shared" si="301"/>
        <v>#N/A</v>
      </c>
      <c r="D150" s="39" t="e">
        <f t="shared" si="301"/>
        <v>#N/A</v>
      </c>
      <c r="E150" s="16" t="e">
        <f t="shared" si="1"/>
        <v>#N/A</v>
      </c>
      <c r="F150" s="16" t="e">
        <f t="shared" ref="F150:K150" si="302">VLOOKUP($A150,[1]Ambiente!$A$1:$O$274,F$1,0)</f>
        <v>#N/A</v>
      </c>
      <c r="G150" s="39" t="e">
        <f t="shared" si="302"/>
        <v>#N/A</v>
      </c>
      <c r="H150" s="16" t="e">
        <f t="shared" si="302"/>
        <v>#N/A</v>
      </c>
      <c r="I150" s="16" t="e">
        <f t="shared" si="302"/>
        <v>#N/A</v>
      </c>
      <c r="J150" s="40" t="e">
        <f t="shared" si="302"/>
        <v>#N/A</v>
      </c>
      <c r="K150" s="16" t="e">
        <f t="shared" si="302"/>
        <v>#N/A</v>
      </c>
      <c r="L150" s="40" t="e">
        <f t="shared" si="3"/>
        <v>#N/A</v>
      </c>
      <c r="M150" s="16" t="e">
        <f t="shared" si="4"/>
        <v>#N/A</v>
      </c>
      <c r="N150" s="16" t="e">
        <f t="shared" si="5"/>
        <v>#N/A</v>
      </c>
      <c r="O150" s="16" t="s">
        <v>64</v>
      </c>
      <c r="P150" s="16" t="str">
        <f t="shared" si="6"/>
        <v/>
      </c>
      <c r="Q150" s="41" t="e">
        <f t="shared" si="7"/>
        <v>#N/A</v>
      </c>
      <c r="R150" s="44"/>
      <c r="S150" s="44"/>
      <c r="T150" s="43"/>
      <c r="U150" s="43" t="str">
        <f t="shared" si="8"/>
        <v>No</v>
      </c>
      <c r="V150" s="25"/>
      <c r="W150" s="25"/>
      <c r="X150" s="25"/>
      <c r="Y150" s="25"/>
      <c r="Z150" s="25"/>
    </row>
    <row r="151" spans="1:26" ht="15.75" customHeight="1" x14ac:dyDescent="0.25">
      <c r="A151" s="25">
        <v>149</v>
      </c>
      <c r="B151" s="37" t="e">
        <f t="shared" ref="B151:D151" si="303">VLOOKUP($A151,[1]Ambiente!$A$1:$O$274,B$1,0)</f>
        <v>#N/A</v>
      </c>
      <c r="C151" s="38" t="e">
        <f t="shared" si="303"/>
        <v>#N/A</v>
      </c>
      <c r="D151" s="39" t="e">
        <f t="shared" si="303"/>
        <v>#N/A</v>
      </c>
      <c r="E151" s="16" t="e">
        <f t="shared" si="1"/>
        <v>#N/A</v>
      </c>
      <c r="F151" s="16" t="e">
        <f t="shared" ref="F151:K151" si="304">VLOOKUP($A151,[1]Ambiente!$A$1:$O$274,F$1,0)</f>
        <v>#N/A</v>
      </c>
      <c r="G151" s="39" t="e">
        <f t="shared" si="304"/>
        <v>#N/A</v>
      </c>
      <c r="H151" s="16" t="e">
        <f t="shared" si="304"/>
        <v>#N/A</v>
      </c>
      <c r="I151" s="16" t="e">
        <f t="shared" si="304"/>
        <v>#N/A</v>
      </c>
      <c r="J151" s="40" t="e">
        <f t="shared" si="304"/>
        <v>#N/A</v>
      </c>
      <c r="K151" s="16" t="e">
        <f t="shared" si="304"/>
        <v>#N/A</v>
      </c>
      <c r="L151" s="40" t="e">
        <f t="shared" si="3"/>
        <v>#N/A</v>
      </c>
      <c r="M151" s="16" t="e">
        <f t="shared" si="4"/>
        <v>#N/A</v>
      </c>
      <c r="N151" s="16" t="e">
        <f t="shared" si="5"/>
        <v>#N/A</v>
      </c>
      <c r="O151" s="16" t="s">
        <v>64</v>
      </c>
      <c r="P151" s="16" t="str">
        <f t="shared" si="6"/>
        <v/>
      </c>
      <c r="Q151" s="41" t="e">
        <f t="shared" si="7"/>
        <v>#N/A</v>
      </c>
      <c r="R151" s="44"/>
      <c r="S151" s="44"/>
      <c r="T151" s="43"/>
      <c r="U151" s="43" t="str">
        <f t="shared" si="8"/>
        <v>No</v>
      </c>
      <c r="V151" s="25"/>
      <c r="W151" s="25"/>
      <c r="X151" s="25"/>
      <c r="Y151" s="25"/>
      <c r="Z151" s="25"/>
    </row>
    <row r="152" spans="1:26" ht="15.75" customHeight="1" x14ac:dyDescent="0.25">
      <c r="A152" s="25">
        <v>150</v>
      </c>
      <c r="B152" s="37" t="e">
        <f t="shared" ref="B152:D152" si="305">VLOOKUP($A152,[1]Ambiente!$A$1:$O$274,B$1,0)</f>
        <v>#N/A</v>
      </c>
      <c r="C152" s="38" t="e">
        <f t="shared" si="305"/>
        <v>#N/A</v>
      </c>
      <c r="D152" s="39" t="e">
        <f t="shared" si="305"/>
        <v>#N/A</v>
      </c>
      <c r="E152" s="16" t="e">
        <f t="shared" si="1"/>
        <v>#N/A</v>
      </c>
      <c r="F152" s="16" t="e">
        <f t="shared" ref="F152:K152" si="306">VLOOKUP($A152,[1]Ambiente!$A$1:$O$274,F$1,0)</f>
        <v>#N/A</v>
      </c>
      <c r="G152" s="39" t="e">
        <f t="shared" si="306"/>
        <v>#N/A</v>
      </c>
      <c r="H152" s="16" t="e">
        <f t="shared" si="306"/>
        <v>#N/A</v>
      </c>
      <c r="I152" s="16" t="e">
        <f t="shared" si="306"/>
        <v>#N/A</v>
      </c>
      <c r="J152" s="40" t="e">
        <f t="shared" si="306"/>
        <v>#N/A</v>
      </c>
      <c r="K152" s="16" t="e">
        <f t="shared" si="306"/>
        <v>#N/A</v>
      </c>
      <c r="L152" s="40" t="e">
        <f t="shared" si="3"/>
        <v>#N/A</v>
      </c>
      <c r="M152" s="16" t="e">
        <f t="shared" si="4"/>
        <v>#N/A</v>
      </c>
      <c r="N152" s="16" t="e">
        <f t="shared" si="5"/>
        <v>#N/A</v>
      </c>
      <c r="O152" s="16" t="s">
        <v>64</v>
      </c>
      <c r="P152" s="16" t="str">
        <f t="shared" si="6"/>
        <v/>
      </c>
      <c r="Q152" s="41" t="e">
        <f t="shared" si="7"/>
        <v>#N/A</v>
      </c>
      <c r="R152" s="44"/>
      <c r="S152" s="44"/>
      <c r="T152" s="43"/>
      <c r="U152" s="43" t="str">
        <f t="shared" si="8"/>
        <v>No</v>
      </c>
      <c r="V152" s="25"/>
      <c r="W152" s="25"/>
      <c r="X152" s="25"/>
      <c r="Y152" s="25"/>
      <c r="Z152" s="25"/>
    </row>
    <row r="153" spans="1:26" ht="15.75" customHeight="1" x14ac:dyDescent="0.25">
      <c r="A153" s="25">
        <v>151</v>
      </c>
      <c r="B153" s="37" t="e">
        <f t="shared" ref="B153:D153" si="307">VLOOKUP($A153,[1]Ambiente!$A$1:$O$274,B$1,0)</f>
        <v>#N/A</v>
      </c>
      <c r="C153" s="38" t="e">
        <f t="shared" si="307"/>
        <v>#N/A</v>
      </c>
      <c r="D153" s="39" t="e">
        <f t="shared" si="307"/>
        <v>#N/A</v>
      </c>
      <c r="E153" s="16" t="e">
        <f t="shared" si="1"/>
        <v>#N/A</v>
      </c>
      <c r="F153" s="16" t="e">
        <f t="shared" ref="F153:K153" si="308">VLOOKUP($A153,[1]Ambiente!$A$1:$O$274,F$1,0)</f>
        <v>#N/A</v>
      </c>
      <c r="G153" s="39" t="e">
        <f t="shared" si="308"/>
        <v>#N/A</v>
      </c>
      <c r="H153" s="16" t="e">
        <f t="shared" si="308"/>
        <v>#N/A</v>
      </c>
      <c r="I153" s="16" t="e">
        <f t="shared" si="308"/>
        <v>#N/A</v>
      </c>
      <c r="J153" s="40" t="e">
        <f t="shared" si="308"/>
        <v>#N/A</v>
      </c>
      <c r="K153" s="16" t="e">
        <f t="shared" si="308"/>
        <v>#N/A</v>
      </c>
      <c r="L153" s="40" t="e">
        <f t="shared" si="3"/>
        <v>#N/A</v>
      </c>
      <c r="M153" s="16" t="e">
        <f t="shared" si="4"/>
        <v>#N/A</v>
      </c>
      <c r="N153" s="16" t="e">
        <f t="shared" si="5"/>
        <v>#N/A</v>
      </c>
      <c r="O153" s="16" t="s">
        <v>64</v>
      </c>
      <c r="P153" s="16" t="str">
        <f t="shared" si="6"/>
        <v/>
      </c>
      <c r="Q153" s="41" t="e">
        <f t="shared" si="7"/>
        <v>#N/A</v>
      </c>
      <c r="R153" s="44"/>
      <c r="S153" s="44"/>
      <c r="T153" s="43"/>
      <c r="U153" s="43" t="str">
        <f t="shared" si="8"/>
        <v>No</v>
      </c>
      <c r="V153" s="25"/>
      <c r="W153" s="25"/>
      <c r="X153" s="25"/>
      <c r="Y153" s="25"/>
      <c r="Z153" s="25"/>
    </row>
    <row r="154" spans="1:26" ht="15.75" customHeight="1" x14ac:dyDescent="0.25">
      <c r="A154" s="25">
        <v>152</v>
      </c>
      <c r="B154" s="37" t="e">
        <f t="shared" ref="B154:D154" si="309">VLOOKUP($A154,[1]Ambiente!$A$1:$O$274,B$1,0)</f>
        <v>#N/A</v>
      </c>
      <c r="C154" s="38" t="e">
        <f t="shared" si="309"/>
        <v>#N/A</v>
      </c>
      <c r="D154" s="39" t="e">
        <f t="shared" si="309"/>
        <v>#N/A</v>
      </c>
      <c r="E154" s="16" t="e">
        <f t="shared" si="1"/>
        <v>#N/A</v>
      </c>
      <c r="F154" s="16" t="e">
        <f t="shared" ref="F154:K154" si="310">VLOOKUP($A154,[1]Ambiente!$A$1:$O$274,F$1,0)</f>
        <v>#N/A</v>
      </c>
      <c r="G154" s="39" t="e">
        <f t="shared" si="310"/>
        <v>#N/A</v>
      </c>
      <c r="H154" s="16" t="e">
        <f t="shared" si="310"/>
        <v>#N/A</v>
      </c>
      <c r="I154" s="16" t="e">
        <f t="shared" si="310"/>
        <v>#N/A</v>
      </c>
      <c r="J154" s="40" t="e">
        <f t="shared" si="310"/>
        <v>#N/A</v>
      </c>
      <c r="K154" s="16" t="e">
        <f t="shared" si="310"/>
        <v>#N/A</v>
      </c>
      <c r="L154" s="40" t="e">
        <f t="shared" si="3"/>
        <v>#N/A</v>
      </c>
      <c r="M154" s="16" t="e">
        <f t="shared" si="4"/>
        <v>#N/A</v>
      </c>
      <c r="N154" s="16" t="e">
        <f t="shared" si="5"/>
        <v>#N/A</v>
      </c>
      <c r="O154" s="16" t="s">
        <v>64</v>
      </c>
      <c r="P154" s="16" t="str">
        <f t="shared" si="6"/>
        <v/>
      </c>
      <c r="Q154" s="41" t="e">
        <f t="shared" si="7"/>
        <v>#N/A</v>
      </c>
      <c r="R154" s="44"/>
      <c r="S154" s="44"/>
      <c r="T154" s="43"/>
      <c r="U154" s="43" t="str">
        <f t="shared" si="8"/>
        <v>No</v>
      </c>
      <c r="V154" s="25"/>
      <c r="W154" s="25"/>
      <c r="X154" s="25"/>
      <c r="Y154" s="25"/>
      <c r="Z154" s="25"/>
    </row>
    <row r="155" spans="1:26" ht="15.75" customHeight="1" x14ac:dyDescent="0.25">
      <c r="A155" s="25">
        <v>153</v>
      </c>
      <c r="B155" s="37" t="e">
        <f t="shared" ref="B155:D155" si="311">VLOOKUP($A155,[1]Ambiente!$A$1:$O$274,B$1,0)</f>
        <v>#N/A</v>
      </c>
      <c r="C155" s="38" t="e">
        <f t="shared" si="311"/>
        <v>#N/A</v>
      </c>
      <c r="D155" s="39" t="e">
        <f t="shared" si="311"/>
        <v>#N/A</v>
      </c>
      <c r="E155" s="16" t="e">
        <f t="shared" si="1"/>
        <v>#N/A</v>
      </c>
      <c r="F155" s="16" t="e">
        <f t="shared" ref="F155:K155" si="312">VLOOKUP($A155,[1]Ambiente!$A$1:$O$274,F$1,0)</f>
        <v>#N/A</v>
      </c>
      <c r="G155" s="39" t="e">
        <f t="shared" si="312"/>
        <v>#N/A</v>
      </c>
      <c r="H155" s="16" t="e">
        <f t="shared" si="312"/>
        <v>#N/A</v>
      </c>
      <c r="I155" s="16" t="e">
        <f t="shared" si="312"/>
        <v>#N/A</v>
      </c>
      <c r="J155" s="40" t="e">
        <f t="shared" si="312"/>
        <v>#N/A</v>
      </c>
      <c r="K155" s="16" t="e">
        <f t="shared" si="312"/>
        <v>#N/A</v>
      </c>
      <c r="L155" s="40" t="e">
        <f t="shared" si="3"/>
        <v>#N/A</v>
      </c>
      <c r="M155" s="16" t="e">
        <f t="shared" si="4"/>
        <v>#N/A</v>
      </c>
      <c r="N155" s="16" t="e">
        <f t="shared" si="5"/>
        <v>#N/A</v>
      </c>
      <c r="O155" s="16" t="s">
        <v>64</v>
      </c>
      <c r="P155" s="16" t="str">
        <f t="shared" si="6"/>
        <v/>
      </c>
      <c r="Q155" s="41" t="e">
        <f t="shared" si="7"/>
        <v>#N/A</v>
      </c>
      <c r="R155" s="44"/>
      <c r="S155" s="44"/>
      <c r="T155" s="43"/>
      <c r="U155" s="43" t="str">
        <f t="shared" si="8"/>
        <v>No</v>
      </c>
      <c r="V155" s="25"/>
      <c r="W155" s="25"/>
      <c r="X155" s="25"/>
      <c r="Y155" s="25"/>
      <c r="Z155" s="25"/>
    </row>
    <row r="156" spans="1:26" ht="15.75" customHeight="1" x14ac:dyDescent="0.25">
      <c r="A156" s="25">
        <v>154</v>
      </c>
      <c r="B156" s="37" t="e">
        <f t="shared" ref="B156:D156" si="313">VLOOKUP($A156,[1]Ambiente!$A$1:$O$274,B$1,0)</f>
        <v>#N/A</v>
      </c>
      <c r="C156" s="38" t="e">
        <f t="shared" si="313"/>
        <v>#N/A</v>
      </c>
      <c r="D156" s="39" t="e">
        <f t="shared" si="313"/>
        <v>#N/A</v>
      </c>
      <c r="E156" s="16" t="e">
        <f t="shared" si="1"/>
        <v>#N/A</v>
      </c>
      <c r="F156" s="16" t="e">
        <f t="shared" ref="F156:K156" si="314">VLOOKUP($A156,[1]Ambiente!$A$1:$O$274,F$1,0)</f>
        <v>#N/A</v>
      </c>
      <c r="G156" s="39" t="e">
        <f t="shared" si="314"/>
        <v>#N/A</v>
      </c>
      <c r="H156" s="16" t="e">
        <f t="shared" si="314"/>
        <v>#N/A</v>
      </c>
      <c r="I156" s="16" t="e">
        <f t="shared" si="314"/>
        <v>#N/A</v>
      </c>
      <c r="J156" s="40" t="e">
        <f t="shared" si="314"/>
        <v>#N/A</v>
      </c>
      <c r="K156" s="16" t="e">
        <f t="shared" si="314"/>
        <v>#N/A</v>
      </c>
      <c r="L156" s="40" t="e">
        <f t="shared" si="3"/>
        <v>#N/A</v>
      </c>
      <c r="M156" s="16" t="e">
        <f t="shared" si="4"/>
        <v>#N/A</v>
      </c>
      <c r="N156" s="16" t="e">
        <f t="shared" si="5"/>
        <v>#N/A</v>
      </c>
      <c r="O156" s="16" t="s">
        <v>64</v>
      </c>
      <c r="P156" s="16" t="str">
        <f t="shared" si="6"/>
        <v/>
      </c>
      <c r="Q156" s="41" t="e">
        <f t="shared" si="7"/>
        <v>#N/A</v>
      </c>
      <c r="R156" s="44"/>
      <c r="S156" s="44"/>
      <c r="T156" s="43"/>
      <c r="U156" s="43" t="str">
        <f t="shared" si="8"/>
        <v>No</v>
      </c>
      <c r="V156" s="25"/>
      <c r="W156" s="25"/>
      <c r="X156" s="25"/>
      <c r="Y156" s="25"/>
      <c r="Z156" s="25"/>
    </row>
    <row r="157" spans="1:26" ht="15.75" customHeight="1" x14ac:dyDescent="0.25">
      <c r="A157" s="25">
        <v>155</v>
      </c>
      <c r="B157" s="37" t="e">
        <f t="shared" ref="B157:D157" si="315">VLOOKUP($A157,[1]Ambiente!$A$1:$O$274,B$1,0)</f>
        <v>#N/A</v>
      </c>
      <c r="C157" s="38" t="e">
        <f t="shared" si="315"/>
        <v>#N/A</v>
      </c>
      <c r="D157" s="39" t="e">
        <f t="shared" si="315"/>
        <v>#N/A</v>
      </c>
      <c r="E157" s="16" t="e">
        <f t="shared" si="1"/>
        <v>#N/A</v>
      </c>
      <c r="F157" s="16" t="e">
        <f t="shared" ref="F157:K157" si="316">VLOOKUP($A157,[1]Ambiente!$A$1:$O$274,F$1,0)</f>
        <v>#N/A</v>
      </c>
      <c r="G157" s="39" t="e">
        <f t="shared" si="316"/>
        <v>#N/A</v>
      </c>
      <c r="H157" s="16" t="e">
        <f t="shared" si="316"/>
        <v>#N/A</v>
      </c>
      <c r="I157" s="16" t="e">
        <f t="shared" si="316"/>
        <v>#N/A</v>
      </c>
      <c r="J157" s="40" t="e">
        <f t="shared" si="316"/>
        <v>#N/A</v>
      </c>
      <c r="K157" s="16" t="e">
        <f t="shared" si="316"/>
        <v>#N/A</v>
      </c>
      <c r="L157" s="40" t="e">
        <f t="shared" si="3"/>
        <v>#N/A</v>
      </c>
      <c r="M157" s="16" t="e">
        <f t="shared" si="4"/>
        <v>#N/A</v>
      </c>
      <c r="N157" s="16" t="e">
        <f t="shared" si="5"/>
        <v>#N/A</v>
      </c>
      <c r="O157" s="16" t="s">
        <v>64</v>
      </c>
      <c r="P157" s="16" t="str">
        <f t="shared" si="6"/>
        <v/>
      </c>
      <c r="Q157" s="41" t="e">
        <f t="shared" si="7"/>
        <v>#N/A</v>
      </c>
      <c r="R157" s="44"/>
      <c r="S157" s="44"/>
      <c r="T157" s="43"/>
      <c r="U157" s="43" t="str">
        <f t="shared" si="8"/>
        <v>No</v>
      </c>
      <c r="V157" s="25"/>
      <c r="W157" s="25"/>
      <c r="X157" s="25"/>
      <c r="Y157" s="25"/>
      <c r="Z157" s="25"/>
    </row>
    <row r="158" spans="1:26" ht="15.75" customHeight="1" x14ac:dyDescent="0.25">
      <c r="A158" s="25">
        <v>156</v>
      </c>
      <c r="B158" s="37" t="e">
        <f t="shared" ref="B158:D158" si="317">VLOOKUP($A158,[1]Ambiente!$A$1:$O$274,B$1,0)</f>
        <v>#N/A</v>
      </c>
      <c r="C158" s="38" t="e">
        <f t="shared" si="317"/>
        <v>#N/A</v>
      </c>
      <c r="D158" s="39" t="e">
        <f t="shared" si="317"/>
        <v>#N/A</v>
      </c>
      <c r="E158" s="16" t="e">
        <f t="shared" si="1"/>
        <v>#N/A</v>
      </c>
      <c r="F158" s="16" t="e">
        <f t="shared" ref="F158:K158" si="318">VLOOKUP($A158,[1]Ambiente!$A$1:$O$274,F$1,0)</f>
        <v>#N/A</v>
      </c>
      <c r="G158" s="39" t="e">
        <f t="shared" si="318"/>
        <v>#N/A</v>
      </c>
      <c r="H158" s="16" t="e">
        <f t="shared" si="318"/>
        <v>#N/A</v>
      </c>
      <c r="I158" s="16" t="e">
        <f t="shared" si="318"/>
        <v>#N/A</v>
      </c>
      <c r="J158" s="40" t="e">
        <f t="shared" si="318"/>
        <v>#N/A</v>
      </c>
      <c r="K158" s="16" t="e">
        <f t="shared" si="318"/>
        <v>#N/A</v>
      </c>
      <c r="L158" s="40" t="e">
        <f t="shared" si="3"/>
        <v>#N/A</v>
      </c>
      <c r="M158" s="16" t="e">
        <f t="shared" si="4"/>
        <v>#N/A</v>
      </c>
      <c r="N158" s="16" t="e">
        <f t="shared" si="5"/>
        <v>#N/A</v>
      </c>
      <c r="O158" s="16" t="s">
        <v>64</v>
      </c>
      <c r="P158" s="16" t="str">
        <f t="shared" si="6"/>
        <v/>
      </c>
      <c r="Q158" s="41" t="e">
        <f t="shared" si="7"/>
        <v>#N/A</v>
      </c>
      <c r="R158" s="44"/>
      <c r="S158" s="44"/>
      <c r="T158" s="43"/>
      <c r="U158" s="43" t="str">
        <f t="shared" si="8"/>
        <v>No</v>
      </c>
      <c r="V158" s="25"/>
      <c r="W158" s="25"/>
      <c r="X158" s="25"/>
      <c r="Y158" s="25"/>
      <c r="Z158" s="25"/>
    </row>
    <row r="159" spans="1:26" ht="15.75" customHeight="1" x14ac:dyDescent="0.25">
      <c r="A159" s="25">
        <v>157</v>
      </c>
      <c r="B159" s="37" t="e">
        <f t="shared" ref="B159:D159" si="319">VLOOKUP($A159,[1]Ambiente!$A$1:$O$274,B$1,0)</f>
        <v>#N/A</v>
      </c>
      <c r="C159" s="38" t="e">
        <f t="shared" si="319"/>
        <v>#N/A</v>
      </c>
      <c r="D159" s="39" t="e">
        <f t="shared" si="319"/>
        <v>#N/A</v>
      </c>
      <c r="E159" s="16" t="e">
        <f t="shared" si="1"/>
        <v>#N/A</v>
      </c>
      <c r="F159" s="16" t="e">
        <f t="shared" ref="F159:K159" si="320">VLOOKUP($A159,[1]Ambiente!$A$1:$O$274,F$1,0)</f>
        <v>#N/A</v>
      </c>
      <c r="G159" s="39" t="e">
        <f t="shared" si="320"/>
        <v>#N/A</v>
      </c>
      <c r="H159" s="16" t="e">
        <f t="shared" si="320"/>
        <v>#N/A</v>
      </c>
      <c r="I159" s="16" t="e">
        <f t="shared" si="320"/>
        <v>#N/A</v>
      </c>
      <c r="J159" s="40" t="e">
        <f t="shared" si="320"/>
        <v>#N/A</v>
      </c>
      <c r="K159" s="16" t="e">
        <f t="shared" si="320"/>
        <v>#N/A</v>
      </c>
      <c r="L159" s="40" t="e">
        <f t="shared" si="3"/>
        <v>#N/A</v>
      </c>
      <c r="M159" s="16" t="e">
        <f t="shared" si="4"/>
        <v>#N/A</v>
      </c>
      <c r="N159" s="16" t="e">
        <f t="shared" si="5"/>
        <v>#N/A</v>
      </c>
      <c r="O159" s="16" t="s">
        <v>64</v>
      </c>
      <c r="P159" s="16" t="str">
        <f t="shared" si="6"/>
        <v/>
      </c>
      <c r="Q159" s="41" t="e">
        <f t="shared" si="7"/>
        <v>#N/A</v>
      </c>
      <c r="R159" s="44"/>
      <c r="S159" s="44"/>
      <c r="T159" s="43"/>
      <c r="U159" s="43" t="str">
        <f t="shared" si="8"/>
        <v>No</v>
      </c>
      <c r="V159" s="25"/>
      <c r="W159" s="25"/>
      <c r="X159" s="25"/>
      <c r="Y159" s="25"/>
      <c r="Z159" s="25"/>
    </row>
    <row r="160" spans="1:26" ht="15.75" customHeight="1" x14ac:dyDescent="0.25">
      <c r="A160" s="25">
        <v>158</v>
      </c>
      <c r="B160" s="37" t="e">
        <f t="shared" ref="B160:D160" si="321">VLOOKUP($A160,[1]Ambiente!$A$1:$O$274,B$1,0)</f>
        <v>#N/A</v>
      </c>
      <c r="C160" s="38" t="e">
        <f t="shared" si="321"/>
        <v>#N/A</v>
      </c>
      <c r="D160" s="39" t="e">
        <f t="shared" si="321"/>
        <v>#N/A</v>
      </c>
      <c r="E160" s="16" t="e">
        <f t="shared" si="1"/>
        <v>#N/A</v>
      </c>
      <c r="F160" s="16" t="e">
        <f t="shared" ref="F160:K160" si="322">VLOOKUP($A160,[1]Ambiente!$A$1:$O$274,F$1,0)</f>
        <v>#N/A</v>
      </c>
      <c r="G160" s="39" t="e">
        <f t="shared" si="322"/>
        <v>#N/A</v>
      </c>
      <c r="H160" s="16" t="e">
        <f t="shared" si="322"/>
        <v>#N/A</v>
      </c>
      <c r="I160" s="16" t="e">
        <f t="shared" si="322"/>
        <v>#N/A</v>
      </c>
      <c r="J160" s="40" t="e">
        <f t="shared" si="322"/>
        <v>#N/A</v>
      </c>
      <c r="K160" s="16" t="e">
        <f t="shared" si="322"/>
        <v>#N/A</v>
      </c>
      <c r="L160" s="40" t="e">
        <f t="shared" si="3"/>
        <v>#N/A</v>
      </c>
      <c r="M160" s="16" t="e">
        <f t="shared" si="4"/>
        <v>#N/A</v>
      </c>
      <c r="N160" s="16" t="e">
        <f t="shared" si="5"/>
        <v>#N/A</v>
      </c>
      <c r="O160" s="16" t="s">
        <v>64</v>
      </c>
      <c r="P160" s="16" t="str">
        <f t="shared" si="6"/>
        <v/>
      </c>
      <c r="Q160" s="41" t="e">
        <f t="shared" si="7"/>
        <v>#N/A</v>
      </c>
      <c r="R160" s="44"/>
      <c r="S160" s="44"/>
      <c r="T160" s="43"/>
      <c r="U160" s="43" t="str">
        <f t="shared" si="8"/>
        <v>No</v>
      </c>
      <c r="V160" s="25"/>
      <c r="W160" s="25"/>
      <c r="X160" s="25"/>
      <c r="Y160" s="25"/>
      <c r="Z160" s="25"/>
    </row>
    <row r="161" spans="1:26" ht="15.75" customHeight="1" x14ac:dyDescent="0.25">
      <c r="A161" s="25">
        <v>159</v>
      </c>
      <c r="B161" s="37" t="e">
        <f t="shared" ref="B161:D161" si="323">VLOOKUP($A161,[1]Ambiente!$A$1:$O$274,B$1,0)</f>
        <v>#N/A</v>
      </c>
      <c r="C161" s="38" t="e">
        <f t="shared" si="323"/>
        <v>#N/A</v>
      </c>
      <c r="D161" s="39" t="e">
        <f t="shared" si="323"/>
        <v>#N/A</v>
      </c>
      <c r="E161" s="16" t="e">
        <f t="shared" si="1"/>
        <v>#N/A</v>
      </c>
      <c r="F161" s="16" t="e">
        <f t="shared" ref="F161:K161" si="324">VLOOKUP($A161,[1]Ambiente!$A$1:$O$274,F$1,0)</f>
        <v>#N/A</v>
      </c>
      <c r="G161" s="39" t="e">
        <f t="shared" si="324"/>
        <v>#N/A</v>
      </c>
      <c r="H161" s="16" t="e">
        <f t="shared" si="324"/>
        <v>#N/A</v>
      </c>
      <c r="I161" s="16" t="e">
        <f t="shared" si="324"/>
        <v>#N/A</v>
      </c>
      <c r="J161" s="40" t="e">
        <f t="shared" si="324"/>
        <v>#N/A</v>
      </c>
      <c r="K161" s="16" t="e">
        <f t="shared" si="324"/>
        <v>#N/A</v>
      </c>
      <c r="L161" s="40" t="e">
        <f t="shared" si="3"/>
        <v>#N/A</v>
      </c>
      <c r="M161" s="16" t="e">
        <f t="shared" si="4"/>
        <v>#N/A</v>
      </c>
      <c r="N161" s="16" t="e">
        <f t="shared" si="5"/>
        <v>#N/A</v>
      </c>
      <c r="O161" s="16" t="s">
        <v>64</v>
      </c>
      <c r="P161" s="16" t="str">
        <f t="shared" si="6"/>
        <v/>
      </c>
      <c r="Q161" s="41" t="e">
        <f t="shared" si="7"/>
        <v>#N/A</v>
      </c>
      <c r="R161" s="44"/>
      <c r="S161" s="44"/>
      <c r="T161" s="43"/>
      <c r="U161" s="43" t="str">
        <f t="shared" si="8"/>
        <v>No</v>
      </c>
      <c r="V161" s="25"/>
      <c r="W161" s="25"/>
      <c r="X161" s="25"/>
      <c r="Y161" s="25"/>
      <c r="Z161" s="25"/>
    </row>
    <row r="162" spans="1:26" ht="15.75" customHeight="1" x14ac:dyDescent="0.25">
      <c r="A162" s="25">
        <v>160</v>
      </c>
      <c r="B162" s="37" t="e">
        <f t="shared" ref="B162:D162" si="325">VLOOKUP($A162,[1]Ambiente!$A$1:$O$274,B$1,0)</f>
        <v>#N/A</v>
      </c>
      <c r="C162" s="38" t="e">
        <f t="shared" si="325"/>
        <v>#N/A</v>
      </c>
      <c r="D162" s="39" t="e">
        <f t="shared" si="325"/>
        <v>#N/A</v>
      </c>
      <c r="E162" s="16" t="e">
        <f t="shared" si="1"/>
        <v>#N/A</v>
      </c>
      <c r="F162" s="16" t="e">
        <f t="shared" ref="F162:K162" si="326">VLOOKUP($A162,[1]Ambiente!$A$1:$O$274,F$1,0)</f>
        <v>#N/A</v>
      </c>
      <c r="G162" s="39" t="e">
        <f t="shared" si="326"/>
        <v>#N/A</v>
      </c>
      <c r="H162" s="16" t="e">
        <f t="shared" si="326"/>
        <v>#N/A</v>
      </c>
      <c r="I162" s="16" t="e">
        <f t="shared" si="326"/>
        <v>#N/A</v>
      </c>
      <c r="J162" s="40" t="e">
        <f t="shared" si="326"/>
        <v>#N/A</v>
      </c>
      <c r="K162" s="16" t="e">
        <f t="shared" si="326"/>
        <v>#N/A</v>
      </c>
      <c r="L162" s="40" t="e">
        <f t="shared" si="3"/>
        <v>#N/A</v>
      </c>
      <c r="M162" s="16" t="e">
        <f t="shared" si="4"/>
        <v>#N/A</v>
      </c>
      <c r="N162" s="16" t="e">
        <f t="shared" si="5"/>
        <v>#N/A</v>
      </c>
      <c r="O162" s="16" t="s">
        <v>64</v>
      </c>
      <c r="P162" s="16" t="str">
        <f t="shared" si="6"/>
        <v/>
      </c>
      <c r="Q162" s="41" t="e">
        <f t="shared" si="7"/>
        <v>#N/A</v>
      </c>
      <c r="R162" s="44"/>
      <c r="S162" s="44"/>
      <c r="T162" s="43"/>
      <c r="U162" s="43" t="str">
        <f t="shared" si="8"/>
        <v>No</v>
      </c>
      <c r="V162" s="25"/>
      <c r="W162" s="25"/>
      <c r="X162" s="25"/>
      <c r="Y162" s="25"/>
      <c r="Z162" s="25"/>
    </row>
    <row r="163" spans="1:26" ht="15.75" customHeight="1" x14ac:dyDescent="0.25">
      <c r="A163" s="25">
        <v>161</v>
      </c>
      <c r="B163" s="37" t="e">
        <f t="shared" ref="B163:D163" si="327">VLOOKUP($A163,[1]Ambiente!$A$1:$O$274,B$1,0)</f>
        <v>#N/A</v>
      </c>
      <c r="C163" s="38" t="e">
        <f t="shared" si="327"/>
        <v>#N/A</v>
      </c>
      <c r="D163" s="39" t="e">
        <f t="shared" si="327"/>
        <v>#N/A</v>
      </c>
      <c r="E163" s="16" t="e">
        <f t="shared" si="1"/>
        <v>#N/A</v>
      </c>
      <c r="F163" s="16" t="e">
        <f t="shared" ref="F163:K163" si="328">VLOOKUP($A163,[1]Ambiente!$A$1:$O$274,F$1,0)</f>
        <v>#N/A</v>
      </c>
      <c r="G163" s="39" t="e">
        <f t="shared" si="328"/>
        <v>#N/A</v>
      </c>
      <c r="H163" s="16" t="e">
        <f t="shared" si="328"/>
        <v>#N/A</v>
      </c>
      <c r="I163" s="16" t="e">
        <f t="shared" si="328"/>
        <v>#N/A</v>
      </c>
      <c r="J163" s="40" t="e">
        <f t="shared" si="328"/>
        <v>#N/A</v>
      </c>
      <c r="K163" s="16" t="e">
        <f t="shared" si="328"/>
        <v>#N/A</v>
      </c>
      <c r="L163" s="40" t="e">
        <f t="shared" si="3"/>
        <v>#N/A</v>
      </c>
      <c r="M163" s="16" t="e">
        <f t="shared" si="4"/>
        <v>#N/A</v>
      </c>
      <c r="N163" s="16" t="e">
        <f t="shared" si="5"/>
        <v>#N/A</v>
      </c>
      <c r="O163" s="16" t="s">
        <v>64</v>
      </c>
      <c r="P163" s="16" t="str">
        <f t="shared" si="6"/>
        <v/>
      </c>
      <c r="Q163" s="41" t="e">
        <f t="shared" si="7"/>
        <v>#N/A</v>
      </c>
      <c r="R163" s="44"/>
      <c r="S163" s="44"/>
      <c r="T163" s="43"/>
      <c r="U163" s="43" t="str">
        <f t="shared" si="8"/>
        <v>No</v>
      </c>
      <c r="V163" s="25"/>
      <c r="W163" s="25"/>
      <c r="X163" s="25"/>
      <c r="Y163" s="25"/>
      <c r="Z163" s="25"/>
    </row>
    <row r="164" spans="1:26" ht="15.75" customHeight="1" x14ac:dyDescent="0.25">
      <c r="A164" s="25">
        <v>162</v>
      </c>
      <c r="B164" s="37" t="e">
        <f t="shared" ref="B164:D164" si="329">VLOOKUP($A164,[1]Ambiente!$A$1:$O$274,B$1,0)</f>
        <v>#N/A</v>
      </c>
      <c r="C164" s="38" t="e">
        <f t="shared" si="329"/>
        <v>#N/A</v>
      </c>
      <c r="D164" s="39" t="e">
        <f t="shared" si="329"/>
        <v>#N/A</v>
      </c>
      <c r="E164" s="16" t="e">
        <f t="shared" si="1"/>
        <v>#N/A</v>
      </c>
      <c r="F164" s="16" t="e">
        <f t="shared" ref="F164:K164" si="330">VLOOKUP($A164,[1]Ambiente!$A$1:$O$274,F$1,0)</f>
        <v>#N/A</v>
      </c>
      <c r="G164" s="39" t="e">
        <f t="shared" si="330"/>
        <v>#N/A</v>
      </c>
      <c r="H164" s="16" t="e">
        <f t="shared" si="330"/>
        <v>#N/A</v>
      </c>
      <c r="I164" s="16" t="e">
        <f t="shared" si="330"/>
        <v>#N/A</v>
      </c>
      <c r="J164" s="40" t="e">
        <f t="shared" si="330"/>
        <v>#N/A</v>
      </c>
      <c r="K164" s="16" t="e">
        <f t="shared" si="330"/>
        <v>#N/A</v>
      </c>
      <c r="L164" s="40" t="e">
        <f t="shared" si="3"/>
        <v>#N/A</v>
      </c>
      <c r="M164" s="16" t="e">
        <f t="shared" si="4"/>
        <v>#N/A</v>
      </c>
      <c r="N164" s="16" t="e">
        <f t="shared" si="5"/>
        <v>#N/A</v>
      </c>
      <c r="O164" s="16" t="s">
        <v>64</v>
      </c>
      <c r="P164" s="16" t="str">
        <f t="shared" si="6"/>
        <v/>
      </c>
      <c r="Q164" s="41" t="e">
        <f t="shared" si="7"/>
        <v>#N/A</v>
      </c>
      <c r="R164" s="44"/>
      <c r="S164" s="44"/>
      <c r="T164" s="43"/>
      <c r="U164" s="43" t="str">
        <f t="shared" si="8"/>
        <v>No</v>
      </c>
      <c r="V164" s="25"/>
      <c r="W164" s="25"/>
      <c r="X164" s="25"/>
      <c r="Y164" s="25"/>
      <c r="Z164" s="25"/>
    </row>
    <row r="165" spans="1:26" ht="15.75" customHeight="1" x14ac:dyDescent="0.25">
      <c r="A165" s="25">
        <v>163</v>
      </c>
      <c r="B165" s="37" t="e">
        <f t="shared" ref="B165:D165" si="331">VLOOKUP($A165,[1]Ambiente!$A$1:$O$274,B$1,0)</f>
        <v>#N/A</v>
      </c>
      <c r="C165" s="38" t="e">
        <f t="shared" si="331"/>
        <v>#N/A</v>
      </c>
      <c r="D165" s="39" t="e">
        <f t="shared" si="331"/>
        <v>#N/A</v>
      </c>
      <c r="E165" s="16" t="e">
        <f t="shared" si="1"/>
        <v>#N/A</v>
      </c>
      <c r="F165" s="16" t="e">
        <f t="shared" ref="F165:K165" si="332">VLOOKUP($A165,[1]Ambiente!$A$1:$O$274,F$1,0)</f>
        <v>#N/A</v>
      </c>
      <c r="G165" s="39" t="e">
        <f t="shared" si="332"/>
        <v>#N/A</v>
      </c>
      <c r="H165" s="16" t="e">
        <f t="shared" si="332"/>
        <v>#N/A</v>
      </c>
      <c r="I165" s="16" t="e">
        <f t="shared" si="332"/>
        <v>#N/A</v>
      </c>
      <c r="J165" s="40" t="e">
        <f t="shared" si="332"/>
        <v>#N/A</v>
      </c>
      <c r="K165" s="16" t="e">
        <f t="shared" si="332"/>
        <v>#N/A</v>
      </c>
      <c r="L165" s="40" t="e">
        <f t="shared" si="3"/>
        <v>#N/A</v>
      </c>
      <c r="M165" s="16" t="e">
        <f t="shared" si="4"/>
        <v>#N/A</v>
      </c>
      <c r="N165" s="16" t="e">
        <f t="shared" si="5"/>
        <v>#N/A</v>
      </c>
      <c r="O165" s="16" t="s">
        <v>64</v>
      </c>
      <c r="P165" s="16" t="str">
        <f t="shared" si="6"/>
        <v/>
      </c>
      <c r="Q165" s="41" t="e">
        <f t="shared" si="7"/>
        <v>#N/A</v>
      </c>
      <c r="R165" s="44"/>
      <c r="S165" s="44"/>
      <c r="T165" s="43"/>
      <c r="U165" s="43" t="str">
        <f t="shared" si="8"/>
        <v>No</v>
      </c>
      <c r="V165" s="25"/>
      <c r="W165" s="25"/>
      <c r="X165" s="25"/>
      <c r="Y165" s="25"/>
      <c r="Z165" s="25"/>
    </row>
    <row r="166" spans="1:26" ht="15.75" customHeight="1" x14ac:dyDescent="0.25">
      <c r="A166" s="25">
        <v>164</v>
      </c>
      <c r="B166" s="37" t="e">
        <f t="shared" ref="B166:D166" si="333">VLOOKUP($A166,[1]Ambiente!$A$1:$O$274,B$1,0)</f>
        <v>#N/A</v>
      </c>
      <c r="C166" s="38" t="e">
        <f t="shared" si="333"/>
        <v>#N/A</v>
      </c>
      <c r="D166" s="39" t="e">
        <f t="shared" si="333"/>
        <v>#N/A</v>
      </c>
      <c r="E166" s="16" t="e">
        <f t="shared" si="1"/>
        <v>#N/A</v>
      </c>
      <c r="F166" s="16" t="e">
        <f t="shared" ref="F166:K166" si="334">VLOOKUP($A166,[1]Ambiente!$A$1:$O$274,F$1,0)</f>
        <v>#N/A</v>
      </c>
      <c r="G166" s="39" t="e">
        <f t="shared" si="334"/>
        <v>#N/A</v>
      </c>
      <c r="H166" s="16" t="e">
        <f t="shared" si="334"/>
        <v>#N/A</v>
      </c>
      <c r="I166" s="16" t="e">
        <f t="shared" si="334"/>
        <v>#N/A</v>
      </c>
      <c r="J166" s="40" t="e">
        <f t="shared" si="334"/>
        <v>#N/A</v>
      </c>
      <c r="K166" s="16" t="e">
        <f t="shared" si="334"/>
        <v>#N/A</v>
      </c>
      <c r="L166" s="40" t="e">
        <f t="shared" si="3"/>
        <v>#N/A</v>
      </c>
      <c r="M166" s="16" t="e">
        <f t="shared" si="4"/>
        <v>#N/A</v>
      </c>
      <c r="N166" s="16" t="e">
        <f t="shared" si="5"/>
        <v>#N/A</v>
      </c>
      <c r="O166" s="16" t="s">
        <v>64</v>
      </c>
      <c r="P166" s="16" t="str">
        <f t="shared" si="6"/>
        <v/>
      </c>
      <c r="Q166" s="41" t="e">
        <f t="shared" si="7"/>
        <v>#N/A</v>
      </c>
      <c r="R166" s="44"/>
      <c r="S166" s="44"/>
      <c r="T166" s="43"/>
      <c r="U166" s="43" t="str">
        <f t="shared" si="8"/>
        <v>No</v>
      </c>
      <c r="V166" s="25"/>
      <c r="W166" s="25"/>
      <c r="X166" s="25"/>
      <c r="Y166" s="25"/>
      <c r="Z166" s="25"/>
    </row>
    <row r="167" spans="1:26" ht="15.75" customHeight="1" x14ac:dyDescent="0.25">
      <c r="A167" s="25">
        <v>165</v>
      </c>
      <c r="B167" s="37" t="e">
        <f t="shared" ref="B167:D167" si="335">VLOOKUP($A167,[1]Ambiente!$A$1:$O$274,B$1,0)</f>
        <v>#N/A</v>
      </c>
      <c r="C167" s="38" t="e">
        <f t="shared" si="335"/>
        <v>#N/A</v>
      </c>
      <c r="D167" s="39" t="e">
        <f t="shared" si="335"/>
        <v>#N/A</v>
      </c>
      <c r="E167" s="16" t="e">
        <f t="shared" si="1"/>
        <v>#N/A</v>
      </c>
      <c r="F167" s="16" t="e">
        <f t="shared" ref="F167:K167" si="336">VLOOKUP($A167,[1]Ambiente!$A$1:$O$274,F$1,0)</f>
        <v>#N/A</v>
      </c>
      <c r="G167" s="39" t="e">
        <f t="shared" si="336"/>
        <v>#N/A</v>
      </c>
      <c r="H167" s="16" t="e">
        <f t="shared" si="336"/>
        <v>#N/A</v>
      </c>
      <c r="I167" s="16" t="e">
        <f t="shared" si="336"/>
        <v>#N/A</v>
      </c>
      <c r="J167" s="40" t="e">
        <f t="shared" si="336"/>
        <v>#N/A</v>
      </c>
      <c r="K167" s="16" t="e">
        <f t="shared" si="336"/>
        <v>#N/A</v>
      </c>
      <c r="L167" s="40" t="e">
        <f t="shared" si="3"/>
        <v>#N/A</v>
      </c>
      <c r="M167" s="16" t="e">
        <f t="shared" si="4"/>
        <v>#N/A</v>
      </c>
      <c r="N167" s="16" t="e">
        <f t="shared" si="5"/>
        <v>#N/A</v>
      </c>
      <c r="O167" s="16" t="s">
        <v>64</v>
      </c>
      <c r="P167" s="16" t="str">
        <f t="shared" si="6"/>
        <v/>
      </c>
      <c r="Q167" s="41" t="e">
        <f t="shared" si="7"/>
        <v>#N/A</v>
      </c>
      <c r="R167" s="44"/>
      <c r="S167" s="44"/>
      <c r="T167" s="43"/>
      <c r="U167" s="43" t="str">
        <f t="shared" si="8"/>
        <v>No</v>
      </c>
      <c r="V167" s="25"/>
      <c r="W167" s="25"/>
      <c r="X167" s="25"/>
      <c r="Y167" s="25"/>
      <c r="Z167" s="25"/>
    </row>
    <row r="168" spans="1:26" ht="15.75" customHeight="1" x14ac:dyDescent="0.25">
      <c r="A168" s="25">
        <v>166</v>
      </c>
      <c r="B168" s="37" t="e">
        <f t="shared" ref="B168:D168" si="337">VLOOKUP($A168,[1]Ambiente!$A$1:$O$274,B$1,0)</f>
        <v>#N/A</v>
      </c>
      <c r="C168" s="38" t="e">
        <f t="shared" si="337"/>
        <v>#N/A</v>
      </c>
      <c r="D168" s="39" t="e">
        <f t="shared" si="337"/>
        <v>#N/A</v>
      </c>
      <c r="E168" s="16" t="e">
        <f t="shared" si="1"/>
        <v>#N/A</v>
      </c>
      <c r="F168" s="16" t="e">
        <f t="shared" ref="F168:K168" si="338">VLOOKUP($A168,[1]Ambiente!$A$1:$O$274,F$1,0)</f>
        <v>#N/A</v>
      </c>
      <c r="G168" s="39" t="e">
        <f t="shared" si="338"/>
        <v>#N/A</v>
      </c>
      <c r="H168" s="16" t="e">
        <f t="shared" si="338"/>
        <v>#N/A</v>
      </c>
      <c r="I168" s="16" t="e">
        <f t="shared" si="338"/>
        <v>#N/A</v>
      </c>
      <c r="J168" s="40" t="e">
        <f t="shared" si="338"/>
        <v>#N/A</v>
      </c>
      <c r="K168" s="16" t="e">
        <f t="shared" si="338"/>
        <v>#N/A</v>
      </c>
      <c r="L168" s="40" t="e">
        <f t="shared" si="3"/>
        <v>#N/A</v>
      </c>
      <c r="M168" s="16" t="e">
        <f t="shared" si="4"/>
        <v>#N/A</v>
      </c>
      <c r="N168" s="16" t="e">
        <f t="shared" si="5"/>
        <v>#N/A</v>
      </c>
      <c r="O168" s="16" t="s">
        <v>64</v>
      </c>
      <c r="P168" s="16" t="str">
        <f t="shared" si="6"/>
        <v/>
      </c>
      <c r="Q168" s="41" t="e">
        <f t="shared" si="7"/>
        <v>#N/A</v>
      </c>
      <c r="R168" s="44"/>
      <c r="S168" s="44"/>
      <c r="T168" s="43"/>
      <c r="U168" s="43" t="str">
        <f t="shared" si="8"/>
        <v>No</v>
      </c>
      <c r="V168" s="25"/>
      <c r="W168" s="25"/>
      <c r="X168" s="25"/>
      <c r="Y168" s="25"/>
      <c r="Z168" s="25"/>
    </row>
    <row r="169" spans="1:26" ht="15.75" customHeight="1" x14ac:dyDescent="0.25">
      <c r="A169" s="25">
        <v>167</v>
      </c>
      <c r="B169" s="37" t="e">
        <f t="shared" ref="B169:D169" si="339">VLOOKUP($A169,[1]Ambiente!$A$1:$O$274,B$1,0)</f>
        <v>#N/A</v>
      </c>
      <c r="C169" s="38" t="e">
        <f t="shared" si="339"/>
        <v>#N/A</v>
      </c>
      <c r="D169" s="39" t="e">
        <f t="shared" si="339"/>
        <v>#N/A</v>
      </c>
      <c r="E169" s="16" t="e">
        <f t="shared" si="1"/>
        <v>#N/A</v>
      </c>
      <c r="F169" s="16" t="e">
        <f t="shared" ref="F169:K169" si="340">VLOOKUP($A169,[1]Ambiente!$A$1:$O$274,F$1,0)</f>
        <v>#N/A</v>
      </c>
      <c r="G169" s="39" t="e">
        <f t="shared" si="340"/>
        <v>#N/A</v>
      </c>
      <c r="H169" s="16" t="e">
        <f t="shared" si="340"/>
        <v>#N/A</v>
      </c>
      <c r="I169" s="16" t="e">
        <f t="shared" si="340"/>
        <v>#N/A</v>
      </c>
      <c r="J169" s="40" t="e">
        <f t="shared" si="340"/>
        <v>#N/A</v>
      </c>
      <c r="K169" s="16" t="e">
        <f t="shared" si="340"/>
        <v>#N/A</v>
      </c>
      <c r="L169" s="40" t="e">
        <f t="shared" si="3"/>
        <v>#N/A</v>
      </c>
      <c r="M169" s="16" t="e">
        <f t="shared" si="4"/>
        <v>#N/A</v>
      </c>
      <c r="N169" s="16" t="e">
        <f t="shared" si="5"/>
        <v>#N/A</v>
      </c>
      <c r="O169" s="16" t="s">
        <v>64</v>
      </c>
      <c r="P169" s="16" t="str">
        <f t="shared" si="6"/>
        <v/>
      </c>
      <c r="Q169" s="41" t="e">
        <f t="shared" si="7"/>
        <v>#N/A</v>
      </c>
      <c r="R169" s="44"/>
      <c r="S169" s="44"/>
      <c r="T169" s="43"/>
      <c r="U169" s="43" t="str">
        <f t="shared" si="8"/>
        <v>No</v>
      </c>
      <c r="V169" s="25"/>
      <c r="W169" s="25"/>
      <c r="X169" s="25"/>
      <c r="Y169" s="25"/>
      <c r="Z169" s="25"/>
    </row>
    <row r="170" spans="1:26" ht="15.75" customHeight="1" x14ac:dyDescent="0.25">
      <c r="A170" s="25">
        <v>168</v>
      </c>
      <c r="B170" s="37" t="e">
        <f t="shared" ref="B170:D170" si="341">VLOOKUP($A170,[1]Ambiente!$A$1:$O$274,B$1,0)</f>
        <v>#N/A</v>
      </c>
      <c r="C170" s="38" t="e">
        <f t="shared" si="341"/>
        <v>#N/A</v>
      </c>
      <c r="D170" s="39" t="e">
        <f t="shared" si="341"/>
        <v>#N/A</v>
      </c>
      <c r="E170" s="16" t="e">
        <f t="shared" si="1"/>
        <v>#N/A</v>
      </c>
      <c r="F170" s="16" t="e">
        <f t="shared" ref="F170:K170" si="342">VLOOKUP($A170,[1]Ambiente!$A$1:$O$274,F$1,0)</f>
        <v>#N/A</v>
      </c>
      <c r="G170" s="39" t="e">
        <f t="shared" si="342"/>
        <v>#N/A</v>
      </c>
      <c r="H170" s="16" t="e">
        <f t="shared" si="342"/>
        <v>#N/A</v>
      </c>
      <c r="I170" s="16" t="e">
        <f t="shared" si="342"/>
        <v>#N/A</v>
      </c>
      <c r="J170" s="40" t="e">
        <f t="shared" si="342"/>
        <v>#N/A</v>
      </c>
      <c r="K170" s="16" t="e">
        <f t="shared" si="342"/>
        <v>#N/A</v>
      </c>
      <c r="L170" s="40" t="e">
        <f t="shared" si="3"/>
        <v>#N/A</v>
      </c>
      <c r="M170" s="16" t="e">
        <f t="shared" si="4"/>
        <v>#N/A</v>
      </c>
      <c r="N170" s="16" t="e">
        <f t="shared" si="5"/>
        <v>#N/A</v>
      </c>
      <c r="O170" s="16" t="s">
        <v>64</v>
      </c>
      <c r="P170" s="16" t="str">
        <f t="shared" si="6"/>
        <v/>
      </c>
      <c r="Q170" s="41" t="e">
        <f t="shared" si="7"/>
        <v>#N/A</v>
      </c>
      <c r="R170" s="44"/>
      <c r="S170" s="44"/>
      <c r="T170" s="43"/>
      <c r="U170" s="43" t="str">
        <f t="shared" si="8"/>
        <v>No</v>
      </c>
      <c r="V170" s="25"/>
      <c r="W170" s="25"/>
      <c r="X170" s="25"/>
      <c r="Y170" s="25"/>
      <c r="Z170" s="25"/>
    </row>
    <row r="171" spans="1:26" ht="15.75" customHeight="1" x14ac:dyDescent="0.25">
      <c r="A171" s="25">
        <v>169</v>
      </c>
      <c r="B171" s="37" t="e">
        <f t="shared" ref="B171:D171" si="343">VLOOKUP($A171,[1]Ambiente!$A$1:$O$274,B$1,0)</f>
        <v>#N/A</v>
      </c>
      <c r="C171" s="38" t="e">
        <f t="shared" si="343"/>
        <v>#N/A</v>
      </c>
      <c r="D171" s="39" t="e">
        <f t="shared" si="343"/>
        <v>#N/A</v>
      </c>
      <c r="E171" s="16" t="e">
        <f t="shared" si="1"/>
        <v>#N/A</v>
      </c>
      <c r="F171" s="16" t="e">
        <f t="shared" ref="F171:K171" si="344">VLOOKUP($A171,[1]Ambiente!$A$1:$O$274,F$1,0)</f>
        <v>#N/A</v>
      </c>
      <c r="G171" s="39" t="e">
        <f t="shared" si="344"/>
        <v>#N/A</v>
      </c>
      <c r="H171" s="16" t="e">
        <f t="shared" si="344"/>
        <v>#N/A</v>
      </c>
      <c r="I171" s="16" t="e">
        <f t="shared" si="344"/>
        <v>#N/A</v>
      </c>
      <c r="J171" s="40" t="e">
        <f t="shared" si="344"/>
        <v>#N/A</v>
      </c>
      <c r="K171" s="16" t="e">
        <f t="shared" si="344"/>
        <v>#N/A</v>
      </c>
      <c r="L171" s="40" t="e">
        <f t="shared" si="3"/>
        <v>#N/A</v>
      </c>
      <c r="M171" s="16" t="e">
        <f t="shared" si="4"/>
        <v>#N/A</v>
      </c>
      <c r="N171" s="16" t="e">
        <f t="shared" si="5"/>
        <v>#N/A</v>
      </c>
      <c r="O171" s="16" t="s">
        <v>64</v>
      </c>
      <c r="P171" s="16" t="str">
        <f t="shared" si="6"/>
        <v/>
      </c>
      <c r="Q171" s="41" t="e">
        <f t="shared" si="7"/>
        <v>#N/A</v>
      </c>
      <c r="R171" s="44"/>
      <c r="S171" s="44"/>
      <c r="T171" s="43"/>
      <c r="U171" s="43" t="str">
        <f t="shared" si="8"/>
        <v>No</v>
      </c>
      <c r="V171" s="25"/>
      <c r="W171" s="25"/>
      <c r="X171" s="25"/>
      <c r="Y171" s="25"/>
      <c r="Z171" s="25"/>
    </row>
    <row r="172" spans="1:26" ht="15.75" customHeight="1" x14ac:dyDescent="0.25">
      <c r="A172" s="25">
        <v>170</v>
      </c>
      <c r="B172" s="37" t="e">
        <f t="shared" ref="B172:D172" si="345">VLOOKUP($A172,[1]Ambiente!$A$1:$O$274,B$1,0)</f>
        <v>#N/A</v>
      </c>
      <c r="C172" s="38" t="e">
        <f t="shared" si="345"/>
        <v>#N/A</v>
      </c>
      <c r="D172" s="39" t="e">
        <f t="shared" si="345"/>
        <v>#N/A</v>
      </c>
      <c r="E172" s="16" t="e">
        <f t="shared" si="1"/>
        <v>#N/A</v>
      </c>
      <c r="F172" s="16" t="e">
        <f t="shared" ref="F172:K172" si="346">VLOOKUP($A172,[1]Ambiente!$A$1:$O$274,F$1,0)</f>
        <v>#N/A</v>
      </c>
      <c r="G172" s="39" t="e">
        <f t="shared" si="346"/>
        <v>#N/A</v>
      </c>
      <c r="H172" s="16" t="e">
        <f t="shared" si="346"/>
        <v>#N/A</v>
      </c>
      <c r="I172" s="16" t="e">
        <f t="shared" si="346"/>
        <v>#N/A</v>
      </c>
      <c r="J172" s="40" t="e">
        <f t="shared" si="346"/>
        <v>#N/A</v>
      </c>
      <c r="K172" s="16" t="e">
        <f t="shared" si="346"/>
        <v>#N/A</v>
      </c>
      <c r="L172" s="40" t="e">
        <f t="shared" si="3"/>
        <v>#N/A</v>
      </c>
      <c r="M172" s="16" t="e">
        <f t="shared" si="4"/>
        <v>#N/A</v>
      </c>
      <c r="N172" s="16" t="e">
        <f t="shared" si="5"/>
        <v>#N/A</v>
      </c>
      <c r="O172" s="16" t="s">
        <v>64</v>
      </c>
      <c r="P172" s="16" t="str">
        <f t="shared" si="6"/>
        <v/>
      </c>
      <c r="Q172" s="41" t="e">
        <f t="shared" si="7"/>
        <v>#N/A</v>
      </c>
      <c r="R172" s="44"/>
      <c r="S172" s="44"/>
      <c r="T172" s="43"/>
      <c r="U172" s="43" t="str">
        <f t="shared" si="8"/>
        <v>No</v>
      </c>
      <c r="V172" s="25"/>
      <c r="W172" s="25"/>
      <c r="X172" s="25"/>
      <c r="Y172" s="25"/>
      <c r="Z172" s="25"/>
    </row>
    <row r="173" spans="1:26" ht="15.75" customHeight="1" x14ac:dyDescent="0.25">
      <c r="A173" s="25">
        <v>171</v>
      </c>
      <c r="B173" s="37" t="e">
        <f t="shared" ref="B173:D173" si="347">VLOOKUP($A173,[1]Ambiente!$A$1:$O$274,B$1,0)</f>
        <v>#N/A</v>
      </c>
      <c r="C173" s="38" t="e">
        <f t="shared" si="347"/>
        <v>#N/A</v>
      </c>
      <c r="D173" s="39" t="e">
        <f t="shared" si="347"/>
        <v>#N/A</v>
      </c>
      <c r="E173" s="16" t="e">
        <f t="shared" si="1"/>
        <v>#N/A</v>
      </c>
      <c r="F173" s="16" t="e">
        <f t="shared" ref="F173:K173" si="348">VLOOKUP($A173,[1]Ambiente!$A$1:$O$274,F$1,0)</f>
        <v>#N/A</v>
      </c>
      <c r="G173" s="39" t="e">
        <f t="shared" si="348"/>
        <v>#N/A</v>
      </c>
      <c r="H173" s="16" t="e">
        <f t="shared" si="348"/>
        <v>#N/A</v>
      </c>
      <c r="I173" s="16" t="e">
        <f t="shared" si="348"/>
        <v>#N/A</v>
      </c>
      <c r="J173" s="40" t="e">
        <f t="shared" si="348"/>
        <v>#N/A</v>
      </c>
      <c r="K173" s="16" t="e">
        <f t="shared" si="348"/>
        <v>#N/A</v>
      </c>
      <c r="L173" s="40" t="e">
        <f t="shared" si="3"/>
        <v>#N/A</v>
      </c>
      <c r="M173" s="16" t="e">
        <f t="shared" si="4"/>
        <v>#N/A</v>
      </c>
      <c r="N173" s="16" t="e">
        <f t="shared" si="5"/>
        <v>#N/A</v>
      </c>
      <c r="O173" s="16" t="s">
        <v>64</v>
      </c>
      <c r="P173" s="16" t="str">
        <f t="shared" si="6"/>
        <v/>
      </c>
      <c r="Q173" s="41" t="e">
        <f t="shared" si="7"/>
        <v>#N/A</v>
      </c>
      <c r="R173" s="44"/>
      <c r="S173" s="44"/>
      <c r="T173" s="43"/>
      <c r="U173" s="43" t="str">
        <f t="shared" si="8"/>
        <v>No</v>
      </c>
      <c r="V173" s="25"/>
      <c r="W173" s="25"/>
      <c r="X173" s="25"/>
      <c r="Y173" s="25"/>
      <c r="Z173" s="25"/>
    </row>
    <row r="174" spans="1:26" ht="15.75" customHeight="1" x14ac:dyDescent="0.25">
      <c r="A174" s="25">
        <v>172</v>
      </c>
      <c r="B174" s="37" t="e">
        <f t="shared" ref="B174:D174" si="349">VLOOKUP($A174,[1]Ambiente!$A$1:$O$274,B$1,0)</f>
        <v>#N/A</v>
      </c>
      <c r="C174" s="38" t="e">
        <f t="shared" si="349"/>
        <v>#N/A</v>
      </c>
      <c r="D174" s="39" t="e">
        <f t="shared" si="349"/>
        <v>#N/A</v>
      </c>
      <c r="E174" s="16" t="e">
        <f t="shared" si="1"/>
        <v>#N/A</v>
      </c>
      <c r="F174" s="16" t="e">
        <f t="shared" ref="F174:K174" si="350">VLOOKUP($A174,[1]Ambiente!$A$1:$O$274,F$1,0)</f>
        <v>#N/A</v>
      </c>
      <c r="G174" s="39" t="e">
        <f t="shared" si="350"/>
        <v>#N/A</v>
      </c>
      <c r="H174" s="16" t="e">
        <f t="shared" si="350"/>
        <v>#N/A</v>
      </c>
      <c r="I174" s="16" t="e">
        <f t="shared" si="350"/>
        <v>#N/A</v>
      </c>
      <c r="J174" s="40" t="e">
        <f t="shared" si="350"/>
        <v>#N/A</v>
      </c>
      <c r="K174" s="16" t="e">
        <f t="shared" si="350"/>
        <v>#N/A</v>
      </c>
      <c r="L174" s="40" t="e">
        <f t="shared" si="3"/>
        <v>#N/A</v>
      </c>
      <c r="M174" s="16" t="e">
        <f t="shared" si="4"/>
        <v>#N/A</v>
      </c>
      <c r="N174" s="16" t="e">
        <f t="shared" si="5"/>
        <v>#N/A</v>
      </c>
      <c r="O174" s="16" t="s">
        <v>64</v>
      </c>
      <c r="P174" s="16" t="str">
        <f t="shared" si="6"/>
        <v/>
      </c>
      <c r="Q174" s="41" t="e">
        <f t="shared" si="7"/>
        <v>#N/A</v>
      </c>
      <c r="R174" s="44"/>
      <c r="S174" s="44"/>
      <c r="T174" s="43"/>
      <c r="U174" s="43" t="str">
        <f t="shared" si="8"/>
        <v>No</v>
      </c>
      <c r="V174" s="25"/>
      <c r="W174" s="25"/>
      <c r="X174" s="25"/>
      <c r="Y174" s="25"/>
      <c r="Z174" s="25"/>
    </row>
    <row r="175" spans="1:26" ht="15.75" customHeight="1" x14ac:dyDescent="0.25">
      <c r="A175" s="25">
        <v>173</v>
      </c>
      <c r="B175" s="37" t="e">
        <f t="shared" ref="B175:D175" si="351">VLOOKUP($A175,[1]Ambiente!$A$1:$O$274,B$1,0)</f>
        <v>#N/A</v>
      </c>
      <c r="C175" s="38" t="e">
        <f t="shared" si="351"/>
        <v>#N/A</v>
      </c>
      <c r="D175" s="39" t="e">
        <f t="shared" si="351"/>
        <v>#N/A</v>
      </c>
      <c r="E175" s="16" t="e">
        <f t="shared" si="1"/>
        <v>#N/A</v>
      </c>
      <c r="F175" s="16" t="e">
        <f t="shared" ref="F175:K175" si="352">VLOOKUP($A175,[1]Ambiente!$A$1:$O$274,F$1,0)</f>
        <v>#N/A</v>
      </c>
      <c r="G175" s="39" t="e">
        <f t="shared" si="352"/>
        <v>#N/A</v>
      </c>
      <c r="H175" s="16" t="e">
        <f t="shared" si="352"/>
        <v>#N/A</v>
      </c>
      <c r="I175" s="16" t="e">
        <f t="shared" si="352"/>
        <v>#N/A</v>
      </c>
      <c r="J175" s="40" t="e">
        <f t="shared" si="352"/>
        <v>#N/A</v>
      </c>
      <c r="K175" s="16" t="e">
        <f t="shared" si="352"/>
        <v>#N/A</v>
      </c>
      <c r="L175" s="40" t="e">
        <f t="shared" si="3"/>
        <v>#N/A</v>
      </c>
      <c r="M175" s="16" t="e">
        <f t="shared" si="4"/>
        <v>#N/A</v>
      </c>
      <c r="N175" s="16" t="e">
        <f t="shared" si="5"/>
        <v>#N/A</v>
      </c>
      <c r="O175" s="16" t="s">
        <v>64</v>
      </c>
      <c r="P175" s="16" t="str">
        <f t="shared" si="6"/>
        <v/>
      </c>
      <c r="Q175" s="41" t="e">
        <f t="shared" si="7"/>
        <v>#N/A</v>
      </c>
      <c r="R175" s="44"/>
      <c r="S175" s="44"/>
      <c r="T175" s="43"/>
      <c r="U175" s="43" t="str">
        <f t="shared" si="8"/>
        <v>No</v>
      </c>
      <c r="V175" s="25"/>
      <c r="W175" s="25"/>
      <c r="X175" s="25"/>
      <c r="Y175" s="25"/>
      <c r="Z175" s="25"/>
    </row>
    <row r="176" spans="1:26" ht="15.75" customHeight="1" x14ac:dyDescent="0.25">
      <c r="A176" s="25">
        <v>174</v>
      </c>
      <c r="B176" s="37" t="e">
        <f t="shared" ref="B176:D176" si="353">VLOOKUP($A176,[1]Ambiente!$A$1:$O$274,B$1,0)</f>
        <v>#N/A</v>
      </c>
      <c r="C176" s="38" t="e">
        <f t="shared" si="353"/>
        <v>#N/A</v>
      </c>
      <c r="D176" s="39" t="e">
        <f t="shared" si="353"/>
        <v>#N/A</v>
      </c>
      <c r="E176" s="16" t="e">
        <f t="shared" si="1"/>
        <v>#N/A</v>
      </c>
      <c r="F176" s="16" t="e">
        <f t="shared" ref="F176:K176" si="354">VLOOKUP($A176,[1]Ambiente!$A$1:$O$274,F$1,0)</f>
        <v>#N/A</v>
      </c>
      <c r="G176" s="39" t="e">
        <f t="shared" si="354"/>
        <v>#N/A</v>
      </c>
      <c r="H176" s="16" t="e">
        <f t="shared" si="354"/>
        <v>#N/A</v>
      </c>
      <c r="I176" s="16" t="e">
        <f t="shared" si="354"/>
        <v>#N/A</v>
      </c>
      <c r="J176" s="40" t="e">
        <f t="shared" si="354"/>
        <v>#N/A</v>
      </c>
      <c r="K176" s="16" t="e">
        <f t="shared" si="354"/>
        <v>#N/A</v>
      </c>
      <c r="L176" s="40" t="e">
        <f t="shared" si="3"/>
        <v>#N/A</v>
      </c>
      <c r="M176" s="16" t="e">
        <f t="shared" si="4"/>
        <v>#N/A</v>
      </c>
      <c r="N176" s="16" t="e">
        <f t="shared" si="5"/>
        <v>#N/A</v>
      </c>
      <c r="O176" s="16" t="s">
        <v>64</v>
      </c>
      <c r="P176" s="16" t="str">
        <f t="shared" si="6"/>
        <v/>
      </c>
      <c r="Q176" s="41" t="e">
        <f t="shared" si="7"/>
        <v>#N/A</v>
      </c>
      <c r="R176" s="44"/>
      <c r="S176" s="44"/>
      <c r="T176" s="43"/>
      <c r="U176" s="43" t="str">
        <f t="shared" si="8"/>
        <v>No</v>
      </c>
      <c r="V176" s="25"/>
      <c r="W176" s="25"/>
      <c r="X176" s="25"/>
      <c r="Y176" s="25"/>
      <c r="Z176" s="25"/>
    </row>
    <row r="177" spans="1:26" ht="15.75" customHeight="1" x14ac:dyDescent="0.25">
      <c r="A177" s="25">
        <v>175</v>
      </c>
      <c r="B177" s="37" t="e">
        <f t="shared" ref="B177:D177" si="355">VLOOKUP($A177,[1]Ambiente!$A$1:$O$274,B$1,0)</f>
        <v>#N/A</v>
      </c>
      <c r="C177" s="38" t="e">
        <f t="shared" si="355"/>
        <v>#N/A</v>
      </c>
      <c r="D177" s="39" t="e">
        <f t="shared" si="355"/>
        <v>#N/A</v>
      </c>
      <c r="E177" s="16" t="e">
        <f t="shared" si="1"/>
        <v>#N/A</v>
      </c>
      <c r="F177" s="16" t="e">
        <f t="shared" ref="F177:K177" si="356">VLOOKUP($A177,[1]Ambiente!$A$1:$O$274,F$1,0)</f>
        <v>#N/A</v>
      </c>
      <c r="G177" s="39" t="e">
        <f t="shared" si="356"/>
        <v>#N/A</v>
      </c>
      <c r="H177" s="16" t="e">
        <f t="shared" si="356"/>
        <v>#N/A</v>
      </c>
      <c r="I177" s="16" t="e">
        <f t="shared" si="356"/>
        <v>#N/A</v>
      </c>
      <c r="J177" s="40" t="e">
        <f t="shared" si="356"/>
        <v>#N/A</v>
      </c>
      <c r="K177" s="16" t="e">
        <f t="shared" si="356"/>
        <v>#N/A</v>
      </c>
      <c r="L177" s="40" t="e">
        <f t="shared" si="3"/>
        <v>#N/A</v>
      </c>
      <c r="M177" s="16" t="e">
        <f t="shared" si="4"/>
        <v>#N/A</v>
      </c>
      <c r="N177" s="16" t="e">
        <f t="shared" si="5"/>
        <v>#N/A</v>
      </c>
      <c r="O177" s="16" t="s">
        <v>64</v>
      </c>
      <c r="P177" s="16" t="str">
        <f t="shared" si="6"/>
        <v/>
      </c>
      <c r="Q177" s="41" t="e">
        <f t="shared" si="7"/>
        <v>#N/A</v>
      </c>
      <c r="R177" s="44"/>
      <c r="S177" s="44"/>
      <c r="T177" s="43"/>
      <c r="U177" s="43" t="str">
        <f t="shared" si="8"/>
        <v>No</v>
      </c>
      <c r="V177" s="25"/>
      <c r="W177" s="25"/>
      <c r="X177" s="25"/>
      <c r="Y177" s="25"/>
      <c r="Z177" s="25"/>
    </row>
    <row r="178" spans="1:26" ht="15.75" customHeight="1" x14ac:dyDescent="0.25">
      <c r="A178" s="25">
        <v>176</v>
      </c>
      <c r="B178" s="37" t="e">
        <f t="shared" ref="B178:D178" si="357">VLOOKUP($A178,[1]Ambiente!$A$1:$O$274,B$1,0)</f>
        <v>#N/A</v>
      </c>
      <c r="C178" s="38" t="e">
        <f t="shared" si="357"/>
        <v>#N/A</v>
      </c>
      <c r="D178" s="39" t="e">
        <f t="shared" si="357"/>
        <v>#N/A</v>
      </c>
      <c r="E178" s="16" t="e">
        <f t="shared" si="1"/>
        <v>#N/A</v>
      </c>
      <c r="F178" s="16" t="e">
        <f t="shared" ref="F178:K178" si="358">VLOOKUP($A178,[1]Ambiente!$A$1:$O$274,F$1,0)</f>
        <v>#N/A</v>
      </c>
      <c r="G178" s="39" t="e">
        <f t="shared" si="358"/>
        <v>#N/A</v>
      </c>
      <c r="H178" s="16" t="e">
        <f t="shared" si="358"/>
        <v>#N/A</v>
      </c>
      <c r="I178" s="16" t="e">
        <f t="shared" si="358"/>
        <v>#N/A</v>
      </c>
      <c r="J178" s="40" t="e">
        <f t="shared" si="358"/>
        <v>#N/A</v>
      </c>
      <c r="K178" s="16" t="e">
        <f t="shared" si="358"/>
        <v>#N/A</v>
      </c>
      <c r="L178" s="40" t="e">
        <f t="shared" si="3"/>
        <v>#N/A</v>
      </c>
      <c r="M178" s="16" t="e">
        <f t="shared" si="4"/>
        <v>#N/A</v>
      </c>
      <c r="N178" s="16" t="e">
        <f t="shared" si="5"/>
        <v>#N/A</v>
      </c>
      <c r="O178" s="16" t="s">
        <v>64</v>
      </c>
      <c r="P178" s="16" t="str">
        <f t="shared" si="6"/>
        <v/>
      </c>
      <c r="Q178" s="41" t="e">
        <f t="shared" si="7"/>
        <v>#N/A</v>
      </c>
      <c r="R178" s="44"/>
      <c r="S178" s="44"/>
      <c r="T178" s="43"/>
      <c r="U178" s="43" t="str">
        <f t="shared" si="8"/>
        <v>No</v>
      </c>
      <c r="V178" s="25"/>
      <c r="W178" s="25"/>
      <c r="X178" s="25"/>
      <c r="Y178" s="25"/>
      <c r="Z178" s="25"/>
    </row>
    <row r="179" spans="1:26" ht="15.75" customHeight="1" x14ac:dyDescent="0.25">
      <c r="A179" s="25">
        <v>177</v>
      </c>
      <c r="B179" s="37" t="e">
        <f t="shared" ref="B179:D179" si="359">VLOOKUP($A179,[1]Ambiente!$A$1:$O$274,B$1,0)</f>
        <v>#N/A</v>
      </c>
      <c r="C179" s="38" t="e">
        <f t="shared" si="359"/>
        <v>#N/A</v>
      </c>
      <c r="D179" s="39" t="e">
        <f t="shared" si="359"/>
        <v>#N/A</v>
      </c>
      <c r="E179" s="16" t="e">
        <f t="shared" si="1"/>
        <v>#N/A</v>
      </c>
      <c r="F179" s="16" t="e">
        <f t="shared" ref="F179:K179" si="360">VLOOKUP($A179,[1]Ambiente!$A$1:$O$274,F$1,0)</f>
        <v>#N/A</v>
      </c>
      <c r="G179" s="39" t="e">
        <f t="shared" si="360"/>
        <v>#N/A</v>
      </c>
      <c r="H179" s="16" t="e">
        <f t="shared" si="360"/>
        <v>#N/A</v>
      </c>
      <c r="I179" s="16" t="e">
        <f t="shared" si="360"/>
        <v>#N/A</v>
      </c>
      <c r="J179" s="40" t="e">
        <f t="shared" si="360"/>
        <v>#N/A</v>
      </c>
      <c r="K179" s="16" t="e">
        <f t="shared" si="360"/>
        <v>#N/A</v>
      </c>
      <c r="L179" s="40" t="e">
        <f t="shared" si="3"/>
        <v>#N/A</v>
      </c>
      <c r="M179" s="16" t="e">
        <f t="shared" si="4"/>
        <v>#N/A</v>
      </c>
      <c r="N179" s="16" t="e">
        <f t="shared" si="5"/>
        <v>#N/A</v>
      </c>
      <c r="O179" s="16" t="s">
        <v>64</v>
      </c>
      <c r="P179" s="16" t="str">
        <f t="shared" si="6"/>
        <v/>
      </c>
      <c r="Q179" s="41" t="e">
        <f t="shared" si="7"/>
        <v>#N/A</v>
      </c>
      <c r="R179" s="44"/>
      <c r="S179" s="44"/>
      <c r="T179" s="43"/>
      <c r="U179" s="43" t="str">
        <f t="shared" si="8"/>
        <v>No</v>
      </c>
      <c r="V179" s="25"/>
      <c r="W179" s="25"/>
      <c r="X179" s="25"/>
      <c r="Y179" s="25"/>
      <c r="Z179" s="25"/>
    </row>
    <row r="180" spans="1:26" ht="15.75" customHeight="1" x14ac:dyDescent="0.25">
      <c r="A180" s="25">
        <v>178</v>
      </c>
      <c r="B180" s="37" t="e">
        <f t="shared" ref="B180:D180" si="361">VLOOKUP($A180,[1]Ambiente!$A$1:$O$274,B$1,0)</f>
        <v>#N/A</v>
      </c>
      <c r="C180" s="38" t="e">
        <f t="shared" si="361"/>
        <v>#N/A</v>
      </c>
      <c r="D180" s="39" t="e">
        <f t="shared" si="361"/>
        <v>#N/A</v>
      </c>
      <c r="E180" s="16" t="e">
        <f t="shared" si="1"/>
        <v>#N/A</v>
      </c>
      <c r="F180" s="16" t="e">
        <f t="shared" ref="F180:K180" si="362">VLOOKUP($A180,[1]Ambiente!$A$1:$O$274,F$1,0)</f>
        <v>#N/A</v>
      </c>
      <c r="G180" s="39" t="e">
        <f t="shared" si="362"/>
        <v>#N/A</v>
      </c>
      <c r="H180" s="16" t="e">
        <f t="shared" si="362"/>
        <v>#N/A</v>
      </c>
      <c r="I180" s="16" t="e">
        <f t="shared" si="362"/>
        <v>#N/A</v>
      </c>
      <c r="J180" s="40" t="e">
        <f t="shared" si="362"/>
        <v>#N/A</v>
      </c>
      <c r="K180" s="16" t="e">
        <f t="shared" si="362"/>
        <v>#N/A</v>
      </c>
      <c r="L180" s="40" t="e">
        <f t="shared" si="3"/>
        <v>#N/A</v>
      </c>
      <c r="M180" s="16" t="e">
        <f t="shared" si="4"/>
        <v>#N/A</v>
      </c>
      <c r="N180" s="16" t="e">
        <f t="shared" si="5"/>
        <v>#N/A</v>
      </c>
      <c r="O180" s="16" t="s">
        <v>64</v>
      </c>
      <c r="P180" s="16" t="str">
        <f t="shared" si="6"/>
        <v/>
      </c>
      <c r="Q180" s="41" t="e">
        <f t="shared" si="7"/>
        <v>#N/A</v>
      </c>
      <c r="R180" s="44"/>
      <c r="S180" s="44"/>
      <c r="T180" s="43"/>
      <c r="U180" s="43" t="str">
        <f t="shared" si="8"/>
        <v>No</v>
      </c>
      <c r="V180" s="25"/>
      <c r="W180" s="25"/>
      <c r="X180" s="25"/>
      <c r="Y180" s="25"/>
      <c r="Z180" s="25"/>
    </row>
    <row r="181" spans="1:26" ht="15.75" customHeight="1" x14ac:dyDescent="0.25">
      <c r="A181" s="25">
        <v>179</v>
      </c>
      <c r="B181" s="37" t="e">
        <f t="shared" ref="B181:D181" si="363">VLOOKUP($A181,[1]Ambiente!$A$1:$O$274,B$1,0)</f>
        <v>#N/A</v>
      </c>
      <c r="C181" s="38" t="e">
        <f t="shared" si="363"/>
        <v>#N/A</v>
      </c>
      <c r="D181" s="39" t="e">
        <f t="shared" si="363"/>
        <v>#N/A</v>
      </c>
      <c r="E181" s="16" t="e">
        <f t="shared" si="1"/>
        <v>#N/A</v>
      </c>
      <c r="F181" s="16" t="e">
        <f t="shared" ref="F181:K181" si="364">VLOOKUP($A181,[1]Ambiente!$A$1:$O$274,F$1,0)</f>
        <v>#N/A</v>
      </c>
      <c r="G181" s="39" t="e">
        <f t="shared" si="364"/>
        <v>#N/A</v>
      </c>
      <c r="H181" s="16" t="e">
        <f t="shared" si="364"/>
        <v>#N/A</v>
      </c>
      <c r="I181" s="16" t="e">
        <f t="shared" si="364"/>
        <v>#N/A</v>
      </c>
      <c r="J181" s="40" t="e">
        <f t="shared" si="364"/>
        <v>#N/A</v>
      </c>
      <c r="K181" s="16" t="e">
        <f t="shared" si="364"/>
        <v>#N/A</v>
      </c>
      <c r="L181" s="40" t="e">
        <f t="shared" si="3"/>
        <v>#N/A</v>
      </c>
      <c r="M181" s="16" t="e">
        <f t="shared" si="4"/>
        <v>#N/A</v>
      </c>
      <c r="N181" s="16" t="e">
        <f t="shared" si="5"/>
        <v>#N/A</v>
      </c>
      <c r="O181" s="16" t="s">
        <v>64</v>
      </c>
      <c r="P181" s="16" t="str">
        <f t="shared" si="6"/>
        <v/>
      </c>
      <c r="Q181" s="41" t="e">
        <f t="shared" si="7"/>
        <v>#N/A</v>
      </c>
      <c r="R181" s="44"/>
      <c r="S181" s="44"/>
      <c r="T181" s="43"/>
      <c r="U181" s="43" t="str">
        <f t="shared" si="8"/>
        <v>No</v>
      </c>
      <c r="V181" s="25"/>
      <c r="W181" s="25"/>
      <c r="X181" s="25"/>
      <c r="Y181" s="25"/>
      <c r="Z181" s="25"/>
    </row>
    <row r="182" spans="1:26" ht="15.75" customHeight="1" x14ac:dyDescent="0.25">
      <c r="A182" s="25">
        <v>180</v>
      </c>
      <c r="B182" s="37" t="e">
        <f t="shared" ref="B182:D182" si="365">VLOOKUP($A182,[1]Ambiente!$A$1:$O$274,B$1,0)</f>
        <v>#N/A</v>
      </c>
      <c r="C182" s="38" t="e">
        <f t="shared" si="365"/>
        <v>#N/A</v>
      </c>
      <c r="D182" s="39" t="e">
        <f t="shared" si="365"/>
        <v>#N/A</v>
      </c>
      <c r="E182" s="16" t="e">
        <f t="shared" si="1"/>
        <v>#N/A</v>
      </c>
      <c r="F182" s="16" t="e">
        <f t="shared" ref="F182:K182" si="366">VLOOKUP($A182,[1]Ambiente!$A$1:$O$274,F$1,0)</f>
        <v>#N/A</v>
      </c>
      <c r="G182" s="39" t="e">
        <f t="shared" si="366"/>
        <v>#N/A</v>
      </c>
      <c r="H182" s="16" t="e">
        <f t="shared" si="366"/>
        <v>#N/A</v>
      </c>
      <c r="I182" s="16" t="e">
        <f t="shared" si="366"/>
        <v>#N/A</v>
      </c>
      <c r="J182" s="40" t="e">
        <f t="shared" si="366"/>
        <v>#N/A</v>
      </c>
      <c r="K182" s="16" t="e">
        <f t="shared" si="366"/>
        <v>#N/A</v>
      </c>
      <c r="L182" s="40" t="e">
        <f t="shared" si="3"/>
        <v>#N/A</v>
      </c>
      <c r="M182" s="16" t="e">
        <f t="shared" si="4"/>
        <v>#N/A</v>
      </c>
      <c r="N182" s="16" t="e">
        <f t="shared" si="5"/>
        <v>#N/A</v>
      </c>
      <c r="O182" s="16" t="s">
        <v>64</v>
      </c>
      <c r="P182" s="16" t="str">
        <f t="shared" si="6"/>
        <v/>
      </c>
      <c r="Q182" s="41" t="e">
        <f t="shared" si="7"/>
        <v>#N/A</v>
      </c>
      <c r="R182" s="44"/>
      <c r="S182" s="44"/>
      <c r="T182" s="43"/>
      <c r="U182" s="43" t="str">
        <f t="shared" si="8"/>
        <v>No</v>
      </c>
      <c r="V182" s="25"/>
      <c r="W182" s="25"/>
      <c r="X182" s="25"/>
      <c r="Y182" s="25"/>
      <c r="Z182" s="25"/>
    </row>
    <row r="183" spans="1:26" ht="15.75" customHeight="1" x14ac:dyDescent="0.25">
      <c r="A183" s="25">
        <v>181</v>
      </c>
      <c r="B183" s="37" t="e">
        <f t="shared" ref="B183:D183" si="367">VLOOKUP($A183,[1]Ambiente!$A$1:$O$274,B$1,0)</f>
        <v>#N/A</v>
      </c>
      <c r="C183" s="38" t="e">
        <f t="shared" si="367"/>
        <v>#N/A</v>
      </c>
      <c r="D183" s="39" t="e">
        <f t="shared" si="367"/>
        <v>#N/A</v>
      </c>
      <c r="E183" s="16" t="e">
        <f t="shared" si="1"/>
        <v>#N/A</v>
      </c>
      <c r="F183" s="16" t="e">
        <f t="shared" ref="F183:K183" si="368">VLOOKUP($A183,[1]Ambiente!$A$1:$O$274,F$1,0)</f>
        <v>#N/A</v>
      </c>
      <c r="G183" s="39" t="e">
        <f t="shared" si="368"/>
        <v>#N/A</v>
      </c>
      <c r="H183" s="16" t="e">
        <f t="shared" si="368"/>
        <v>#N/A</v>
      </c>
      <c r="I183" s="16" t="e">
        <f t="shared" si="368"/>
        <v>#N/A</v>
      </c>
      <c r="J183" s="40" t="e">
        <f t="shared" si="368"/>
        <v>#N/A</v>
      </c>
      <c r="K183" s="16" t="e">
        <f t="shared" si="368"/>
        <v>#N/A</v>
      </c>
      <c r="L183" s="40" t="e">
        <f t="shared" si="3"/>
        <v>#N/A</v>
      </c>
      <c r="M183" s="16" t="e">
        <f t="shared" si="4"/>
        <v>#N/A</v>
      </c>
      <c r="N183" s="16" t="e">
        <f t="shared" si="5"/>
        <v>#N/A</v>
      </c>
      <c r="O183" s="16" t="s">
        <v>64</v>
      </c>
      <c r="P183" s="16" t="str">
        <f t="shared" si="6"/>
        <v/>
      </c>
      <c r="Q183" s="41" t="e">
        <f t="shared" si="7"/>
        <v>#N/A</v>
      </c>
      <c r="R183" s="44"/>
      <c r="S183" s="44"/>
      <c r="T183" s="43"/>
      <c r="U183" s="43" t="str">
        <f t="shared" si="8"/>
        <v>No</v>
      </c>
      <c r="V183" s="25"/>
      <c r="W183" s="25"/>
      <c r="X183" s="25"/>
      <c r="Y183" s="25"/>
      <c r="Z183" s="25"/>
    </row>
    <row r="184" spans="1:26" ht="15.75" customHeight="1" x14ac:dyDescent="0.25">
      <c r="A184" s="25">
        <v>182</v>
      </c>
      <c r="B184" s="37" t="e">
        <f t="shared" ref="B184:D184" si="369">VLOOKUP($A184,[1]Ambiente!$A$1:$O$274,B$1,0)</f>
        <v>#N/A</v>
      </c>
      <c r="C184" s="38" t="e">
        <f t="shared" si="369"/>
        <v>#N/A</v>
      </c>
      <c r="D184" s="39" t="e">
        <f t="shared" si="369"/>
        <v>#N/A</v>
      </c>
      <c r="E184" s="16" t="e">
        <f t="shared" si="1"/>
        <v>#N/A</v>
      </c>
      <c r="F184" s="16" t="e">
        <f t="shared" ref="F184:K184" si="370">VLOOKUP($A184,[1]Ambiente!$A$1:$O$274,F$1,0)</f>
        <v>#N/A</v>
      </c>
      <c r="G184" s="39" t="e">
        <f t="shared" si="370"/>
        <v>#N/A</v>
      </c>
      <c r="H184" s="16" t="e">
        <f t="shared" si="370"/>
        <v>#N/A</v>
      </c>
      <c r="I184" s="16" t="e">
        <f t="shared" si="370"/>
        <v>#N/A</v>
      </c>
      <c r="J184" s="40" t="e">
        <f t="shared" si="370"/>
        <v>#N/A</v>
      </c>
      <c r="K184" s="16" t="e">
        <f t="shared" si="370"/>
        <v>#N/A</v>
      </c>
      <c r="L184" s="40" t="e">
        <f t="shared" si="3"/>
        <v>#N/A</v>
      </c>
      <c r="M184" s="16" t="e">
        <f t="shared" si="4"/>
        <v>#N/A</v>
      </c>
      <c r="N184" s="16" t="e">
        <f t="shared" si="5"/>
        <v>#N/A</v>
      </c>
      <c r="O184" s="16" t="s">
        <v>64</v>
      </c>
      <c r="P184" s="16" t="str">
        <f t="shared" si="6"/>
        <v/>
      </c>
      <c r="Q184" s="41" t="e">
        <f t="shared" si="7"/>
        <v>#N/A</v>
      </c>
      <c r="R184" s="44"/>
      <c r="S184" s="44"/>
      <c r="T184" s="43"/>
      <c r="U184" s="43" t="str">
        <f t="shared" si="8"/>
        <v>No</v>
      </c>
      <c r="V184" s="25"/>
      <c r="W184" s="25"/>
      <c r="X184" s="25"/>
      <c r="Y184" s="25"/>
      <c r="Z184" s="25"/>
    </row>
    <row r="185" spans="1:26" ht="15.75" customHeight="1" x14ac:dyDescent="0.25">
      <c r="A185" s="25">
        <v>183</v>
      </c>
      <c r="B185" s="37" t="e">
        <f t="shared" ref="B185:D185" si="371">VLOOKUP($A185,[1]Ambiente!$A$1:$O$274,B$1,0)</f>
        <v>#N/A</v>
      </c>
      <c r="C185" s="38" t="e">
        <f t="shared" si="371"/>
        <v>#N/A</v>
      </c>
      <c r="D185" s="39" t="e">
        <f t="shared" si="371"/>
        <v>#N/A</v>
      </c>
      <c r="E185" s="16" t="e">
        <f t="shared" si="1"/>
        <v>#N/A</v>
      </c>
      <c r="F185" s="16" t="e">
        <f t="shared" ref="F185:K185" si="372">VLOOKUP($A185,[1]Ambiente!$A$1:$O$274,F$1,0)</f>
        <v>#N/A</v>
      </c>
      <c r="G185" s="39" t="e">
        <f t="shared" si="372"/>
        <v>#N/A</v>
      </c>
      <c r="H185" s="16" t="e">
        <f t="shared" si="372"/>
        <v>#N/A</v>
      </c>
      <c r="I185" s="16" t="e">
        <f t="shared" si="372"/>
        <v>#N/A</v>
      </c>
      <c r="J185" s="40" t="e">
        <f t="shared" si="372"/>
        <v>#N/A</v>
      </c>
      <c r="K185" s="16" t="e">
        <f t="shared" si="372"/>
        <v>#N/A</v>
      </c>
      <c r="L185" s="40" t="e">
        <f t="shared" si="3"/>
        <v>#N/A</v>
      </c>
      <c r="M185" s="16" t="e">
        <f t="shared" si="4"/>
        <v>#N/A</v>
      </c>
      <c r="N185" s="16" t="e">
        <f t="shared" si="5"/>
        <v>#N/A</v>
      </c>
      <c r="O185" s="16" t="s">
        <v>64</v>
      </c>
      <c r="P185" s="16" t="str">
        <f t="shared" si="6"/>
        <v/>
      </c>
      <c r="Q185" s="41" t="e">
        <f t="shared" si="7"/>
        <v>#N/A</v>
      </c>
      <c r="R185" s="44"/>
      <c r="S185" s="44"/>
      <c r="T185" s="43"/>
      <c r="U185" s="43" t="str">
        <f t="shared" si="8"/>
        <v>No</v>
      </c>
      <c r="V185" s="25"/>
      <c r="W185" s="25"/>
      <c r="X185" s="25"/>
      <c r="Y185" s="25"/>
      <c r="Z185" s="25"/>
    </row>
    <row r="186" spans="1:26" ht="15.75" customHeight="1" x14ac:dyDescent="0.25">
      <c r="A186" s="25">
        <v>184</v>
      </c>
      <c r="B186" s="37" t="e">
        <f t="shared" ref="B186:D186" si="373">VLOOKUP($A186,[1]Ambiente!$A$1:$O$274,B$1,0)</f>
        <v>#N/A</v>
      </c>
      <c r="C186" s="38" t="e">
        <f t="shared" si="373"/>
        <v>#N/A</v>
      </c>
      <c r="D186" s="39" t="e">
        <f t="shared" si="373"/>
        <v>#N/A</v>
      </c>
      <c r="E186" s="16" t="e">
        <f t="shared" si="1"/>
        <v>#N/A</v>
      </c>
      <c r="F186" s="16" t="e">
        <f t="shared" ref="F186:K186" si="374">VLOOKUP($A186,[1]Ambiente!$A$1:$O$274,F$1,0)</f>
        <v>#N/A</v>
      </c>
      <c r="G186" s="39" t="e">
        <f t="shared" si="374"/>
        <v>#N/A</v>
      </c>
      <c r="H186" s="16" t="e">
        <f t="shared" si="374"/>
        <v>#N/A</v>
      </c>
      <c r="I186" s="16" t="e">
        <f t="shared" si="374"/>
        <v>#N/A</v>
      </c>
      <c r="J186" s="40" t="e">
        <f t="shared" si="374"/>
        <v>#N/A</v>
      </c>
      <c r="K186" s="16" t="e">
        <f t="shared" si="374"/>
        <v>#N/A</v>
      </c>
      <c r="L186" s="40" t="e">
        <f t="shared" si="3"/>
        <v>#N/A</v>
      </c>
      <c r="M186" s="16" t="e">
        <f t="shared" si="4"/>
        <v>#N/A</v>
      </c>
      <c r="N186" s="16" t="e">
        <f t="shared" si="5"/>
        <v>#N/A</v>
      </c>
      <c r="O186" s="16" t="s">
        <v>64</v>
      </c>
      <c r="P186" s="16" t="str">
        <f t="shared" si="6"/>
        <v/>
      </c>
      <c r="Q186" s="41" t="e">
        <f t="shared" si="7"/>
        <v>#N/A</v>
      </c>
      <c r="R186" s="44"/>
      <c r="S186" s="44"/>
      <c r="T186" s="43"/>
      <c r="U186" s="43" t="str">
        <f t="shared" si="8"/>
        <v>No</v>
      </c>
      <c r="V186" s="25"/>
      <c r="W186" s="25"/>
      <c r="X186" s="25"/>
      <c r="Y186" s="25"/>
      <c r="Z186" s="25"/>
    </row>
    <row r="187" spans="1:26" ht="15.75" customHeight="1" x14ac:dyDescent="0.25">
      <c r="A187" s="25">
        <v>185</v>
      </c>
      <c r="B187" s="37" t="e">
        <f t="shared" ref="B187:D187" si="375">VLOOKUP($A187,[1]Ambiente!$A$1:$O$274,B$1,0)</f>
        <v>#N/A</v>
      </c>
      <c r="C187" s="38" t="e">
        <f t="shared" si="375"/>
        <v>#N/A</v>
      </c>
      <c r="D187" s="39" t="e">
        <f t="shared" si="375"/>
        <v>#N/A</v>
      </c>
      <c r="E187" s="16" t="e">
        <f t="shared" si="1"/>
        <v>#N/A</v>
      </c>
      <c r="F187" s="16" t="e">
        <f t="shared" ref="F187:K187" si="376">VLOOKUP($A187,[1]Ambiente!$A$1:$O$274,F$1,0)</f>
        <v>#N/A</v>
      </c>
      <c r="G187" s="39" t="e">
        <f t="shared" si="376"/>
        <v>#N/A</v>
      </c>
      <c r="H187" s="16" t="e">
        <f t="shared" si="376"/>
        <v>#N/A</v>
      </c>
      <c r="I187" s="16" t="e">
        <f t="shared" si="376"/>
        <v>#N/A</v>
      </c>
      <c r="J187" s="40" t="e">
        <f t="shared" si="376"/>
        <v>#N/A</v>
      </c>
      <c r="K187" s="16" t="e">
        <f t="shared" si="376"/>
        <v>#N/A</v>
      </c>
      <c r="L187" s="40" t="e">
        <f t="shared" si="3"/>
        <v>#N/A</v>
      </c>
      <c r="M187" s="16" t="e">
        <f t="shared" si="4"/>
        <v>#N/A</v>
      </c>
      <c r="N187" s="16" t="e">
        <f t="shared" si="5"/>
        <v>#N/A</v>
      </c>
      <c r="O187" s="16" t="s">
        <v>64</v>
      </c>
      <c r="P187" s="16" t="str">
        <f t="shared" si="6"/>
        <v/>
      </c>
      <c r="Q187" s="41" t="e">
        <f t="shared" si="7"/>
        <v>#N/A</v>
      </c>
      <c r="R187" s="44"/>
      <c r="S187" s="44"/>
      <c r="T187" s="43"/>
      <c r="U187" s="43" t="str">
        <f t="shared" si="8"/>
        <v>No</v>
      </c>
      <c r="V187" s="25"/>
      <c r="W187" s="25"/>
      <c r="X187" s="25"/>
      <c r="Y187" s="25"/>
      <c r="Z187" s="25"/>
    </row>
    <row r="188" spans="1:26" ht="15.75" customHeight="1" x14ac:dyDescent="0.25">
      <c r="A188" s="25">
        <v>186</v>
      </c>
      <c r="B188" s="37" t="e">
        <f t="shared" ref="B188:D188" si="377">VLOOKUP($A188,[1]Ambiente!$A$1:$O$274,B$1,0)</f>
        <v>#N/A</v>
      </c>
      <c r="C188" s="38" t="e">
        <f t="shared" si="377"/>
        <v>#N/A</v>
      </c>
      <c r="D188" s="39" t="e">
        <f t="shared" si="377"/>
        <v>#N/A</v>
      </c>
      <c r="E188" s="16" t="e">
        <f t="shared" si="1"/>
        <v>#N/A</v>
      </c>
      <c r="F188" s="16" t="e">
        <f t="shared" ref="F188:K188" si="378">VLOOKUP($A188,[1]Ambiente!$A$1:$O$274,F$1,0)</f>
        <v>#N/A</v>
      </c>
      <c r="G188" s="39" t="e">
        <f t="shared" si="378"/>
        <v>#N/A</v>
      </c>
      <c r="H188" s="16" t="e">
        <f t="shared" si="378"/>
        <v>#N/A</v>
      </c>
      <c r="I188" s="16" t="e">
        <f t="shared" si="378"/>
        <v>#N/A</v>
      </c>
      <c r="J188" s="40" t="e">
        <f t="shared" si="378"/>
        <v>#N/A</v>
      </c>
      <c r="K188" s="16" t="e">
        <f t="shared" si="378"/>
        <v>#N/A</v>
      </c>
      <c r="L188" s="40" t="e">
        <f t="shared" si="3"/>
        <v>#N/A</v>
      </c>
      <c r="M188" s="16" t="e">
        <f t="shared" si="4"/>
        <v>#N/A</v>
      </c>
      <c r="N188" s="16" t="e">
        <f t="shared" si="5"/>
        <v>#N/A</v>
      </c>
      <c r="O188" s="16" t="s">
        <v>64</v>
      </c>
      <c r="P188" s="16" t="str">
        <f t="shared" si="6"/>
        <v/>
      </c>
      <c r="Q188" s="41" t="e">
        <f t="shared" si="7"/>
        <v>#N/A</v>
      </c>
      <c r="R188" s="44"/>
      <c r="S188" s="44"/>
      <c r="T188" s="43"/>
      <c r="U188" s="43" t="str">
        <f t="shared" si="8"/>
        <v>No</v>
      </c>
      <c r="V188" s="25"/>
      <c r="W188" s="25"/>
      <c r="X188" s="25"/>
      <c r="Y188" s="25"/>
      <c r="Z188" s="25"/>
    </row>
    <row r="189" spans="1:26" ht="15.75" customHeight="1" x14ac:dyDescent="0.25">
      <c r="A189" s="25">
        <v>187</v>
      </c>
      <c r="B189" s="37" t="e">
        <f t="shared" ref="B189:D189" si="379">VLOOKUP($A189,[1]Ambiente!$A$1:$O$274,B$1,0)</f>
        <v>#N/A</v>
      </c>
      <c r="C189" s="38" t="e">
        <f t="shared" si="379"/>
        <v>#N/A</v>
      </c>
      <c r="D189" s="39" t="e">
        <f t="shared" si="379"/>
        <v>#N/A</v>
      </c>
      <c r="E189" s="16" t="e">
        <f t="shared" si="1"/>
        <v>#N/A</v>
      </c>
      <c r="F189" s="16" t="e">
        <f t="shared" ref="F189:K189" si="380">VLOOKUP($A189,[1]Ambiente!$A$1:$O$274,F$1,0)</f>
        <v>#N/A</v>
      </c>
      <c r="G189" s="39" t="e">
        <f t="shared" si="380"/>
        <v>#N/A</v>
      </c>
      <c r="H189" s="16" t="e">
        <f t="shared" si="380"/>
        <v>#N/A</v>
      </c>
      <c r="I189" s="16" t="e">
        <f t="shared" si="380"/>
        <v>#N/A</v>
      </c>
      <c r="J189" s="40" t="e">
        <f t="shared" si="380"/>
        <v>#N/A</v>
      </c>
      <c r="K189" s="16" t="e">
        <f t="shared" si="380"/>
        <v>#N/A</v>
      </c>
      <c r="L189" s="40" t="e">
        <f t="shared" si="3"/>
        <v>#N/A</v>
      </c>
      <c r="M189" s="16" t="e">
        <f t="shared" si="4"/>
        <v>#N/A</v>
      </c>
      <c r="N189" s="16" t="e">
        <f t="shared" si="5"/>
        <v>#N/A</v>
      </c>
      <c r="O189" s="16" t="s">
        <v>64</v>
      </c>
      <c r="P189" s="16" t="str">
        <f t="shared" si="6"/>
        <v/>
      </c>
      <c r="Q189" s="41" t="e">
        <f t="shared" si="7"/>
        <v>#N/A</v>
      </c>
      <c r="R189" s="44"/>
      <c r="S189" s="44"/>
      <c r="T189" s="43"/>
      <c r="U189" s="43" t="str">
        <f t="shared" si="8"/>
        <v>No</v>
      </c>
      <c r="V189" s="25"/>
      <c r="W189" s="25"/>
      <c r="X189" s="25"/>
      <c r="Y189" s="25"/>
      <c r="Z189" s="25"/>
    </row>
    <row r="190" spans="1:26" ht="15.75" customHeight="1" x14ac:dyDescent="0.25">
      <c r="A190" s="25">
        <v>188</v>
      </c>
      <c r="B190" s="37" t="e">
        <f t="shared" ref="B190:D190" si="381">VLOOKUP($A190,[1]Ambiente!$A$1:$O$274,B$1,0)</f>
        <v>#N/A</v>
      </c>
      <c r="C190" s="38" t="e">
        <f t="shared" si="381"/>
        <v>#N/A</v>
      </c>
      <c r="D190" s="39" t="e">
        <f t="shared" si="381"/>
        <v>#N/A</v>
      </c>
      <c r="E190" s="16" t="e">
        <f t="shared" si="1"/>
        <v>#N/A</v>
      </c>
      <c r="F190" s="16" t="e">
        <f t="shared" ref="F190:K190" si="382">VLOOKUP($A190,[1]Ambiente!$A$1:$O$274,F$1,0)</f>
        <v>#N/A</v>
      </c>
      <c r="G190" s="39" t="e">
        <f t="shared" si="382"/>
        <v>#N/A</v>
      </c>
      <c r="H190" s="16" t="e">
        <f t="shared" si="382"/>
        <v>#N/A</v>
      </c>
      <c r="I190" s="16" t="e">
        <f t="shared" si="382"/>
        <v>#N/A</v>
      </c>
      <c r="J190" s="40" t="e">
        <f t="shared" si="382"/>
        <v>#N/A</v>
      </c>
      <c r="K190" s="16" t="e">
        <f t="shared" si="382"/>
        <v>#N/A</v>
      </c>
      <c r="L190" s="40" t="e">
        <f t="shared" si="3"/>
        <v>#N/A</v>
      </c>
      <c r="M190" s="16" t="e">
        <f t="shared" si="4"/>
        <v>#N/A</v>
      </c>
      <c r="N190" s="16" t="e">
        <f t="shared" si="5"/>
        <v>#N/A</v>
      </c>
      <c r="O190" s="16" t="s">
        <v>64</v>
      </c>
      <c r="P190" s="16" t="str">
        <f t="shared" si="6"/>
        <v/>
      </c>
      <c r="Q190" s="41" t="e">
        <f t="shared" si="7"/>
        <v>#N/A</v>
      </c>
      <c r="R190" s="44"/>
      <c r="S190" s="44"/>
      <c r="T190" s="43"/>
      <c r="U190" s="43" t="str">
        <f t="shared" si="8"/>
        <v>No</v>
      </c>
      <c r="V190" s="25"/>
      <c r="W190" s="25"/>
      <c r="X190" s="25"/>
      <c r="Y190" s="25"/>
      <c r="Z190" s="25"/>
    </row>
    <row r="191" spans="1:26" ht="15.75" customHeight="1" x14ac:dyDescent="0.25">
      <c r="A191" s="25">
        <v>189</v>
      </c>
      <c r="B191" s="37" t="e">
        <f t="shared" ref="B191:D191" si="383">VLOOKUP($A191,[1]Ambiente!$A$1:$O$274,B$1,0)</f>
        <v>#N/A</v>
      </c>
      <c r="C191" s="38" t="e">
        <f t="shared" si="383"/>
        <v>#N/A</v>
      </c>
      <c r="D191" s="39" t="e">
        <f t="shared" si="383"/>
        <v>#N/A</v>
      </c>
      <c r="E191" s="16" t="e">
        <f t="shared" si="1"/>
        <v>#N/A</v>
      </c>
      <c r="F191" s="16" t="e">
        <f t="shared" ref="F191:K191" si="384">VLOOKUP($A191,[1]Ambiente!$A$1:$O$274,F$1,0)</f>
        <v>#N/A</v>
      </c>
      <c r="G191" s="39" t="e">
        <f t="shared" si="384"/>
        <v>#N/A</v>
      </c>
      <c r="H191" s="16" t="e">
        <f t="shared" si="384"/>
        <v>#N/A</v>
      </c>
      <c r="I191" s="16" t="e">
        <f t="shared" si="384"/>
        <v>#N/A</v>
      </c>
      <c r="J191" s="40" t="e">
        <f t="shared" si="384"/>
        <v>#N/A</v>
      </c>
      <c r="K191" s="16" t="e">
        <f t="shared" si="384"/>
        <v>#N/A</v>
      </c>
      <c r="L191" s="40" t="e">
        <f t="shared" si="3"/>
        <v>#N/A</v>
      </c>
      <c r="M191" s="16" t="e">
        <f t="shared" si="4"/>
        <v>#N/A</v>
      </c>
      <c r="N191" s="16" t="e">
        <f t="shared" si="5"/>
        <v>#N/A</v>
      </c>
      <c r="O191" s="16" t="s">
        <v>64</v>
      </c>
      <c r="P191" s="16" t="str">
        <f t="shared" si="6"/>
        <v/>
      </c>
      <c r="Q191" s="41" t="e">
        <f t="shared" si="7"/>
        <v>#N/A</v>
      </c>
      <c r="R191" s="44"/>
      <c r="S191" s="44"/>
      <c r="T191" s="43"/>
      <c r="U191" s="43" t="str">
        <f t="shared" si="8"/>
        <v>No</v>
      </c>
      <c r="V191" s="25"/>
      <c r="W191" s="25"/>
      <c r="X191" s="25"/>
      <c r="Y191" s="25"/>
      <c r="Z191" s="25"/>
    </row>
    <row r="192" spans="1:26" ht="15.75" customHeight="1" x14ac:dyDescent="0.25">
      <c r="A192" s="25">
        <v>190</v>
      </c>
      <c r="B192" s="37" t="e">
        <f t="shared" ref="B192:D192" si="385">VLOOKUP($A192,[1]Ambiente!$A$1:$O$274,B$1,0)</f>
        <v>#N/A</v>
      </c>
      <c r="C192" s="38" t="e">
        <f t="shared" si="385"/>
        <v>#N/A</v>
      </c>
      <c r="D192" s="39" t="e">
        <f t="shared" si="385"/>
        <v>#N/A</v>
      </c>
      <c r="E192" s="16" t="e">
        <f t="shared" si="1"/>
        <v>#N/A</v>
      </c>
      <c r="F192" s="16" t="e">
        <f t="shared" ref="F192:K192" si="386">VLOOKUP($A192,[1]Ambiente!$A$1:$O$274,F$1,0)</f>
        <v>#N/A</v>
      </c>
      <c r="G192" s="39" t="e">
        <f t="shared" si="386"/>
        <v>#N/A</v>
      </c>
      <c r="H192" s="16" t="e">
        <f t="shared" si="386"/>
        <v>#N/A</v>
      </c>
      <c r="I192" s="16" t="e">
        <f t="shared" si="386"/>
        <v>#N/A</v>
      </c>
      <c r="J192" s="40" t="e">
        <f t="shared" si="386"/>
        <v>#N/A</v>
      </c>
      <c r="K192" s="16" t="e">
        <f t="shared" si="386"/>
        <v>#N/A</v>
      </c>
      <c r="L192" s="40" t="e">
        <f t="shared" si="3"/>
        <v>#N/A</v>
      </c>
      <c r="M192" s="16" t="e">
        <f t="shared" si="4"/>
        <v>#N/A</v>
      </c>
      <c r="N192" s="16" t="e">
        <f t="shared" si="5"/>
        <v>#N/A</v>
      </c>
      <c r="O192" s="16" t="s">
        <v>64</v>
      </c>
      <c r="P192" s="16" t="str">
        <f t="shared" si="6"/>
        <v/>
      </c>
      <c r="Q192" s="41" t="e">
        <f t="shared" si="7"/>
        <v>#N/A</v>
      </c>
      <c r="R192" s="44"/>
      <c r="S192" s="44"/>
      <c r="T192" s="43"/>
      <c r="U192" s="43" t="str">
        <f t="shared" si="8"/>
        <v>No</v>
      </c>
      <c r="V192" s="25"/>
      <c r="W192" s="25"/>
      <c r="X192" s="25"/>
      <c r="Y192" s="25"/>
      <c r="Z192" s="25"/>
    </row>
    <row r="193" spans="1:26" ht="15.75" customHeight="1" x14ac:dyDescent="0.25">
      <c r="A193" s="25">
        <v>191</v>
      </c>
      <c r="B193" s="37" t="e">
        <f t="shared" ref="B193:D193" si="387">VLOOKUP($A193,[1]Ambiente!$A$1:$O$274,B$1,0)</f>
        <v>#N/A</v>
      </c>
      <c r="C193" s="38" t="e">
        <f t="shared" si="387"/>
        <v>#N/A</v>
      </c>
      <c r="D193" s="39" t="e">
        <f t="shared" si="387"/>
        <v>#N/A</v>
      </c>
      <c r="E193" s="16" t="e">
        <f t="shared" si="1"/>
        <v>#N/A</v>
      </c>
      <c r="F193" s="16" t="e">
        <f t="shared" ref="F193:K193" si="388">VLOOKUP($A193,[1]Ambiente!$A$1:$O$274,F$1,0)</f>
        <v>#N/A</v>
      </c>
      <c r="G193" s="39" t="e">
        <f t="shared" si="388"/>
        <v>#N/A</v>
      </c>
      <c r="H193" s="16" t="e">
        <f t="shared" si="388"/>
        <v>#N/A</v>
      </c>
      <c r="I193" s="16" t="e">
        <f t="shared" si="388"/>
        <v>#N/A</v>
      </c>
      <c r="J193" s="40" t="e">
        <f t="shared" si="388"/>
        <v>#N/A</v>
      </c>
      <c r="K193" s="16" t="e">
        <f t="shared" si="388"/>
        <v>#N/A</v>
      </c>
      <c r="L193" s="40" t="e">
        <f t="shared" si="3"/>
        <v>#N/A</v>
      </c>
      <c r="M193" s="16" t="e">
        <f t="shared" si="4"/>
        <v>#N/A</v>
      </c>
      <c r="N193" s="16" t="e">
        <f t="shared" si="5"/>
        <v>#N/A</v>
      </c>
      <c r="O193" s="16" t="s">
        <v>64</v>
      </c>
      <c r="P193" s="16" t="str">
        <f t="shared" si="6"/>
        <v/>
      </c>
      <c r="Q193" s="41" t="e">
        <f t="shared" si="7"/>
        <v>#N/A</v>
      </c>
      <c r="R193" s="44"/>
      <c r="S193" s="44"/>
      <c r="T193" s="43"/>
      <c r="U193" s="43" t="str">
        <f t="shared" si="8"/>
        <v>No</v>
      </c>
      <c r="V193" s="25"/>
      <c r="W193" s="25"/>
      <c r="X193" s="25"/>
      <c r="Y193" s="25"/>
      <c r="Z193" s="25"/>
    </row>
    <row r="194" spans="1:26" ht="15.75" customHeight="1" x14ac:dyDescent="0.25">
      <c r="A194" s="25">
        <v>192</v>
      </c>
      <c r="B194" s="37" t="e">
        <f t="shared" ref="B194:D194" si="389">VLOOKUP($A194,[1]Ambiente!$A$1:$O$274,B$1,0)</f>
        <v>#N/A</v>
      </c>
      <c r="C194" s="38" t="e">
        <f t="shared" si="389"/>
        <v>#N/A</v>
      </c>
      <c r="D194" s="39" t="e">
        <f t="shared" si="389"/>
        <v>#N/A</v>
      </c>
      <c r="E194" s="16" t="e">
        <f t="shared" si="1"/>
        <v>#N/A</v>
      </c>
      <c r="F194" s="16" t="e">
        <f t="shared" ref="F194:K194" si="390">VLOOKUP($A194,[1]Ambiente!$A$1:$O$274,F$1,0)</f>
        <v>#N/A</v>
      </c>
      <c r="G194" s="39" t="e">
        <f t="shared" si="390"/>
        <v>#N/A</v>
      </c>
      <c r="H194" s="16" t="e">
        <f t="shared" si="390"/>
        <v>#N/A</v>
      </c>
      <c r="I194" s="16" t="e">
        <f t="shared" si="390"/>
        <v>#N/A</v>
      </c>
      <c r="J194" s="40" t="e">
        <f t="shared" si="390"/>
        <v>#N/A</v>
      </c>
      <c r="K194" s="16" t="e">
        <f t="shared" si="390"/>
        <v>#N/A</v>
      </c>
      <c r="L194" s="40" t="e">
        <f t="shared" si="3"/>
        <v>#N/A</v>
      </c>
      <c r="M194" s="16" t="e">
        <f t="shared" si="4"/>
        <v>#N/A</v>
      </c>
      <c r="N194" s="16" t="e">
        <f t="shared" si="5"/>
        <v>#N/A</v>
      </c>
      <c r="O194" s="16" t="s">
        <v>64</v>
      </c>
      <c r="P194" s="16" t="str">
        <f t="shared" si="6"/>
        <v/>
      </c>
      <c r="Q194" s="41" t="e">
        <f t="shared" si="7"/>
        <v>#N/A</v>
      </c>
      <c r="R194" s="44"/>
      <c r="S194" s="44"/>
      <c r="T194" s="43"/>
      <c r="U194" s="43" t="str">
        <f t="shared" si="8"/>
        <v>No</v>
      </c>
      <c r="V194" s="25"/>
      <c r="W194" s="25"/>
      <c r="X194" s="25"/>
      <c r="Y194" s="25"/>
      <c r="Z194" s="25"/>
    </row>
    <row r="195" spans="1:26" ht="15.75" customHeight="1" x14ac:dyDescent="0.25">
      <c r="A195" s="25">
        <v>193</v>
      </c>
      <c r="B195" s="37" t="e">
        <f t="shared" ref="B195:D195" si="391">VLOOKUP($A195,[1]Ambiente!$A$1:$O$274,B$1,0)</f>
        <v>#N/A</v>
      </c>
      <c r="C195" s="38" t="e">
        <f t="shared" si="391"/>
        <v>#N/A</v>
      </c>
      <c r="D195" s="39" t="e">
        <f t="shared" si="391"/>
        <v>#N/A</v>
      </c>
      <c r="E195" s="16" t="e">
        <f t="shared" si="1"/>
        <v>#N/A</v>
      </c>
      <c r="F195" s="16" t="e">
        <f t="shared" ref="F195:K195" si="392">VLOOKUP($A195,[1]Ambiente!$A$1:$O$274,F$1,0)</f>
        <v>#N/A</v>
      </c>
      <c r="G195" s="39" t="e">
        <f t="shared" si="392"/>
        <v>#N/A</v>
      </c>
      <c r="H195" s="16" t="e">
        <f t="shared" si="392"/>
        <v>#N/A</v>
      </c>
      <c r="I195" s="16" t="e">
        <f t="shared" si="392"/>
        <v>#N/A</v>
      </c>
      <c r="J195" s="40" t="e">
        <f t="shared" si="392"/>
        <v>#N/A</v>
      </c>
      <c r="K195" s="16" t="e">
        <f t="shared" si="392"/>
        <v>#N/A</v>
      </c>
      <c r="L195" s="40" t="e">
        <f t="shared" si="3"/>
        <v>#N/A</v>
      </c>
      <c r="M195" s="16" t="e">
        <f t="shared" si="4"/>
        <v>#N/A</v>
      </c>
      <c r="N195" s="16" t="e">
        <f t="shared" si="5"/>
        <v>#N/A</v>
      </c>
      <c r="O195" s="16" t="s">
        <v>64</v>
      </c>
      <c r="P195" s="16" t="str">
        <f t="shared" si="6"/>
        <v/>
      </c>
      <c r="Q195" s="41" t="e">
        <f t="shared" si="7"/>
        <v>#N/A</v>
      </c>
      <c r="R195" s="44"/>
      <c r="S195" s="44"/>
      <c r="T195" s="43"/>
      <c r="U195" s="43" t="str">
        <f t="shared" si="8"/>
        <v>No</v>
      </c>
      <c r="V195" s="25"/>
      <c r="W195" s="25"/>
      <c r="X195" s="25"/>
      <c r="Y195" s="25"/>
      <c r="Z195" s="25"/>
    </row>
    <row r="196" spans="1:26" ht="15.75" customHeight="1" x14ac:dyDescent="0.25">
      <c r="A196" s="25">
        <v>194</v>
      </c>
      <c r="B196" s="37" t="e">
        <f t="shared" ref="B196:D196" si="393">VLOOKUP($A196,[1]Ambiente!$A$1:$O$274,B$1,0)</f>
        <v>#N/A</v>
      </c>
      <c r="C196" s="38" t="e">
        <f t="shared" si="393"/>
        <v>#N/A</v>
      </c>
      <c r="D196" s="39" t="e">
        <f t="shared" si="393"/>
        <v>#N/A</v>
      </c>
      <c r="E196" s="16" t="e">
        <f t="shared" si="1"/>
        <v>#N/A</v>
      </c>
      <c r="F196" s="16" t="e">
        <f t="shared" ref="F196:K196" si="394">VLOOKUP($A196,[1]Ambiente!$A$1:$O$274,F$1,0)</f>
        <v>#N/A</v>
      </c>
      <c r="G196" s="39" t="e">
        <f t="shared" si="394"/>
        <v>#N/A</v>
      </c>
      <c r="H196" s="16" t="e">
        <f t="shared" si="394"/>
        <v>#N/A</v>
      </c>
      <c r="I196" s="16" t="e">
        <f t="shared" si="394"/>
        <v>#N/A</v>
      </c>
      <c r="J196" s="40" t="e">
        <f t="shared" si="394"/>
        <v>#N/A</v>
      </c>
      <c r="K196" s="16" t="e">
        <f t="shared" si="394"/>
        <v>#N/A</v>
      </c>
      <c r="L196" s="40" t="e">
        <f t="shared" si="3"/>
        <v>#N/A</v>
      </c>
      <c r="M196" s="16" t="e">
        <f t="shared" si="4"/>
        <v>#N/A</v>
      </c>
      <c r="N196" s="16" t="e">
        <f t="shared" si="5"/>
        <v>#N/A</v>
      </c>
      <c r="O196" s="16" t="s">
        <v>64</v>
      </c>
      <c r="P196" s="16" t="str">
        <f t="shared" si="6"/>
        <v/>
      </c>
      <c r="Q196" s="41" t="e">
        <f t="shared" si="7"/>
        <v>#N/A</v>
      </c>
      <c r="R196" s="44"/>
      <c r="S196" s="44"/>
      <c r="T196" s="43"/>
      <c r="U196" s="43" t="str">
        <f t="shared" si="8"/>
        <v>No</v>
      </c>
      <c r="V196" s="25"/>
      <c r="W196" s="25"/>
      <c r="X196" s="25"/>
      <c r="Y196" s="25"/>
      <c r="Z196" s="25"/>
    </row>
    <row r="197" spans="1:26" ht="15.75" customHeight="1" x14ac:dyDescent="0.25">
      <c r="A197" s="25">
        <v>195</v>
      </c>
      <c r="B197" s="37" t="e">
        <f t="shared" ref="B197:D197" si="395">VLOOKUP($A197,[1]Ambiente!$A$1:$O$274,B$1,0)</f>
        <v>#N/A</v>
      </c>
      <c r="C197" s="38" t="e">
        <f t="shared" si="395"/>
        <v>#N/A</v>
      </c>
      <c r="D197" s="39" t="e">
        <f t="shared" si="395"/>
        <v>#N/A</v>
      </c>
      <c r="E197" s="16" t="e">
        <f t="shared" si="1"/>
        <v>#N/A</v>
      </c>
      <c r="F197" s="16" t="e">
        <f t="shared" ref="F197:K197" si="396">VLOOKUP($A197,[1]Ambiente!$A$1:$O$274,F$1,0)</f>
        <v>#N/A</v>
      </c>
      <c r="G197" s="39" t="e">
        <f t="shared" si="396"/>
        <v>#N/A</v>
      </c>
      <c r="H197" s="16" t="e">
        <f t="shared" si="396"/>
        <v>#N/A</v>
      </c>
      <c r="I197" s="16" t="e">
        <f t="shared" si="396"/>
        <v>#N/A</v>
      </c>
      <c r="J197" s="40" t="e">
        <f t="shared" si="396"/>
        <v>#N/A</v>
      </c>
      <c r="K197" s="16" t="e">
        <f t="shared" si="396"/>
        <v>#N/A</v>
      </c>
      <c r="L197" s="40" t="e">
        <f t="shared" si="3"/>
        <v>#N/A</v>
      </c>
      <c r="M197" s="16" t="e">
        <f t="shared" si="4"/>
        <v>#N/A</v>
      </c>
      <c r="N197" s="16" t="e">
        <f t="shared" si="5"/>
        <v>#N/A</v>
      </c>
      <c r="O197" s="16" t="s">
        <v>64</v>
      </c>
      <c r="P197" s="16" t="str">
        <f t="shared" si="6"/>
        <v/>
      </c>
      <c r="Q197" s="41" t="e">
        <f t="shared" si="7"/>
        <v>#N/A</v>
      </c>
      <c r="R197" s="44"/>
      <c r="S197" s="44"/>
      <c r="T197" s="43"/>
      <c r="U197" s="43" t="str">
        <f t="shared" si="8"/>
        <v>No</v>
      </c>
      <c r="V197" s="25"/>
      <c r="W197" s="25"/>
      <c r="X197" s="25"/>
      <c r="Y197" s="25"/>
      <c r="Z197" s="25"/>
    </row>
    <row r="198" spans="1:26" ht="15.75" customHeight="1" x14ac:dyDescent="0.25">
      <c r="A198" s="25">
        <v>196</v>
      </c>
      <c r="B198" s="37" t="e">
        <f t="shared" ref="B198:D198" si="397">VLOOKUP($A198,[1]Ambiente!$A$1:$O$274,B$1,0)</f>
        <v>#N/A</v>
      </c>
      <c r="C198" s="38" t="e">
        <f t="shared" si="397"/>
        <v>#N/A</v>
      </c>
      <c r="D198" s="39" t="e">
        <f t="shared" si="397"/>
        <v>#N/A</v>
      </c>
      <c r="E198" s="16" t="e">
        <f t="shared" si="1"/>
        <v>#N/A</v>
      </c>
      <c r="F198" s="16" t="e">
        <f t="shared" ref="F198:K198" si="398">VLOOKUP($A198,[1]Ambiente!$A$1:$O$274,F$1,0)</f>
        <v>#N/A</v>
      </c>
      <c r="G198" s="39" t="e">
        <f t="shared" si="398"/>
        <v>#N/A</v>
      </c>
      <c r="H198" s="16" t="e">
        <f t="shared" si="398"/>
        <v>#N/A</v>
      </c>
      <c r="I198" s="16" t="e">
        <f t="shared" si="398"/>
        <v>#N/A</v>
      </c>
      <c r="J198" s="40" t="e">
        <f t="shared" si="398"/>
        <v>#N/A</v>
      </c>
      <c r="K198" s="16" t="e">
        <f t="shared" si="398"/>
        <v>#N/A</v>
      </c>
      <c r="L198" s="40" t="e">
        <f t="shared" si="3"/>
        <v>#N/A</v>
      </c>
      <c r="M198" s="16" t="e">
        <f t="shared" si="4"/>
        <v>#N/A</v>
      </c>
      <c r="N198" s="16" t="e">
        <f t="shared" si="5"/>
        <v>#N/A</v>
      </c>
      <c r="O198" s="16" t="s">
        <v>64</v>
      </c>
      <c r="P198" s="16" t="str">
        <f t="shared" si="6"/>
        <v/>
      </c>
      <c r="Q198" s="41" t="e">
        <f t="shared" si="7"/>
        <v>#N/A</v>
      </c>
      <c r="R198" s="44"/>
      <c r="S198" s="44"/>
      <c r="T198" s="43"/>
      <c r="U198" s="43" t="str">
        <f t="shared" si="8"/>
        <v>No</v>
      </c>
      <c r="V198" s="25"/>
      <c r="W198" s="25"/>
      <c r="X198" s="25"/>
      <c r="Y198" s="25"/>
      <c r="Z198" s="25"/>
    </row>
    <row r="199" spans="1:26" ht="15.75" customHeight="1" x14ac:dyDescent="0.25">
      <c r="A199" s="25">
        <v>197</v>
      </c>
      <c r="B199" s="37" t="e">
        <f t="shared" ref="B199:D199" si="399">VLOOKUP($A199,[1]Ambiente!$A$1:$O$274,B$1,0)</f>
        <v>#N/A</v>
      </c>
      <c r="C199" s="38" t="e">
        <f t="shared" si="399"/>
        <v>#N/A</v>
      </c>
      <c r="D199" s="39" t="e">
        <f t="shared" si="399"/>
        <v>#N/A</v>
      </c>
      <c r="E199" s="16" t="e">
        <f t="shared" si="1"/>
        <v>#N/A</v>
      </c>
      <c r="F199" s="16" t="e">
        <f t="shared" ref="F199:K199" si="400">VLOOKUP($A199,[1]Ambiente!$A$1:$O$274,F$1,0)</f>
        <v>#N/A</v>
      </c>
      <c r="G199" s="39" t="e">
        <f t="shared" si="400"/>
        <v>#N/A</v>
      </c>
      <c r="H199" s="16" t="e">
        <f t="shared" si="400"/>
        <v>#N/A</v>
      </c>
      <c r="I199" s="16" t="e">
        <f t="shared" si="400"/>
        <v>#N/A</v>
      </c>
      <c r="J199" s="40" t="e">
        <f t="shared" si="400"/>
        <v>#N/A</v>
      </c>
      <c r="K199" s="16" t="e">
        <f t="shared" si="400"/>
        <v>#N/A</v>
      </c>
      <c r="L199" s="40" t="e">
        <f t="shared" si="3"/>
        <v>#N/A</v>
      </c>
      <c r="M199" s="16" t="e">
        <f t="shared" si="4"/>
        <v>#N/A</v>
      </c>
      <c r="N199" s="16" t="e">
        <f t="shared" si="5"/>
        <v>#N/A</v>
      </c>
      <c r="O199" s="16" t="s">
        <v>64</v>
      </c>
      <c r="P199" s="16" t="str">
        <f t="shared" si="6"/>
        <v/>
      </c>
      <c r="Q199" s="41" t="e">
        <f t="shared" si="7"/>
        <v>#N/A</v>
      </c>
      <c r="R199" s="44"/>
      <c r="S199" s="44"/>
      <c r="T199" s="43"/>
      <c r="U199" s="43" t="str">
        <f t="shared" si="8"/>
        <v>No</v>
      </c>
      <c r="V199" s="25"/>
      <c r="W199" s="25"/>
      <c r="X199" s="25"/>
      <c r="Y199" s="25"/>
      <c r="Z199" s="25"/>
    </row>
    <row r="200" spans="1:26" ht="15.75" customHeight="1" x14ac:dyDescent="0.25">
      <c r="A200" s="25">
        <v>198</v>
      </c>
      <c r="B200" s="37" t="e">
        <f t="shared" ref="B200:D200" si="401">VLOOKUP($A200,[1]Ambiente!$A$1:$O$274,B$1,0)</f>
        <v>#N/A</v>
      </c>
      <c r="C200" s="38" t="e">
        <f t="shared" si="401"/>
        <v>#N/A</v>
      </c>
      <c r="D200" s="39" t="e">
        <f t="shared" si="401"/>
        <v>#N/A</v>
      </c>
      <c r="E200" s="16" t="e">
        <f t="shared" si="1"/>
        <v>#N/A</v>
      </c>
      <c r="F200" s="16" t="e">
        <f t="shared" ref="F200:K200" si="402">VLOOKUP($A200,[1]Ambiente!$A$1:$O$274,F$1,0)</f>
        <v>#N/A</v>
      </c>
      <c r="G200" s="39" t="e">
        <f t="shared" si="402"/>
        <v>#N/A</v>
      </c>
      <c r="H200" s="16" t="e">
        <f t="shared" si="402"/>
        <v>#N/A</v>
      </c>
      <c r="I200" s="16" t="e">
        <f t="shared" si="402"/>
        <v>#N/A</v>
      </c>
      <c r="J200" s="40" t="e">
        <f t="shared" si="402"/>
        <v>#N/A</v>
      </c>
      <c r="K200" s="16" t="e">
        <f t="shared" si="402"/>
        <v>#N/A</v>
      </c>
      <c r="L200" s="40" t="e">
        <f t="shared" si="3"/>
        <v>#N/A</v>
      </c>
      <c r="M200" s="16" t="e">
        <f t="shared" si="4"/>
        <v>#N/A</v>
      </c>
      <c r="N200" s="16" t="e">
        <f t="shared" si="5"/>
        <v>#N/A</v>
      </c>
      <c r="O200" s="16" t="s">
        <v>64</v>
      </c>
      <c r="P200" s="16" t="str">
        <f t="shared" si="6"/>
        <v/>
      </c>
      <c r="Q200" s="41" t="e">
        <f t="shared" si="7"/>
        <v>#N/A</v>
      </c>
      <c r="R200" s="44"/>
      <c r="S200" s="44"/>
      <c r="T200" s="43"/>
      <c r="U200" s="43" t="str">
        <f t="shared" si="8"/>
        <v>No</v>
      </c>
      <c r="V200" s="25"/>
      <c r="W200" s="25"/>
      <c r="X200" s="25"/>
      <c r="Y200" s="25"/>
      <c r="Z200" s="25"/>
    </row>
    <row r="201" spans="1:26" ht="15.75" customHeight="1" x14ac:dyDescent="0.25">
      <c r="A201" s="25">
        <v>199</v>
      </c>
      <c r="B201" s="37" t="e">
        <f t="shared" ref="B201:D201" si="403">VLOOKUP($A201,[1]Ambiente!$A$1:$O$274,B$1,0)</f>
        <v>#N/A</v>
      </c>
      <c r="C201" s="38" t="e">
        <f t="shared" si="403"/>
        <v>#N/A</v>
      </c>
      <c r="D201" s="39" t="e">
        <f t="shared" si="403"/>
        <v>#N/A</v>
      </c>
      <c r="E201" s="16" t="e">
        <f t="shared" si="1"/>
        <v>#N/A</v>
      </c>
      <c r="F201" s="16" t="e">
        <f t="shared" ref="F201:K201" si="404">VLOOKUP($A201,[1]Ambiente!$A$1:$O$274,F$1,0)</f>
        <v>#N/A</v>
      </c>
      <c r="G201" s="39" t="e">
        <f t="shared" si="404"/>
        <v>#N/A</v>
      </c>
      <c r="H201" s="16" t="e">
        <f t="shared" si="404"/>
        <v>#N/A</v>
      </c>
      <c r="I201" s="16" t="e">
        <f t="shared" si="404"/>
        <v>#N/A</v>
      </c>
      <c r="J201" s="40" t="e">
        <f t="shared" si="404"/>
        <v>#N/A</v>
      </c>
      <c r="K201" s="16" t="e">
        <f t="shared" si="404"/>
        <v>#N/A</v>
      </c>
      <c r="L201" s="40" t="e">
        <f t="shared" si="3"/>
        <v>#N/A</v>
      </c>
      <c r="M201" s="16" t="e">
        <f t="shared" si="4"/>
        <v>#N/A</v>
      </c>
      <c r="N201" s="16" t="e">
        <f t="shared" si="5"/>
        <v>#N/A</v>
      </c>
      <c r="O201" s="16" t="s">
        <v>64</v>
      </c>
      <c r="P201" s="16" t="str">
        <f t="shared" si="6"/>
        <v/>
      </c>
      <c r="Q201" s="41" t="e">
        <f t="shared" si="7"/>
        <v>#N/A</v>
      </c>
      <c r="R201" s="44"/>
      <c r="S201" s="44"/>
      <c r="T201" s="43"/>
      <c r="U201" s="43" t="str">
        <f t="shared" si="8"/>
        <v>No</v>
      </c>
      <c r="V201" s="25"/>
      <c r="W201" s="25"/>
      <c r="X201" s="25"/>
      <c r="Y201" s="25"/>
      <c r="Z201" s="25"/>
    </row>
    <row r="202" spans="1:26" ht="15.75" customHeight="1" x14ac:dyDescent="0.25">
      <c r="A202" s="25">
        <v>200</v>
      </c>
      <c r="B202" s="37" t="e">
        <f t="shared" ref="B202:D202" si="405">VLOOKUP($A202,[1]Ambiente!$A$1:$O$274,B$1,0)</f>
        <v>#N/A</v>
      </c>
      <c r="C202" s="38" t="e">
        <f t="shared" si="405"/>
        <v>#N/A</v>
      </c>
      <c r="D202" s="39" t="e">
        <f t="shared" si="405"/>
        <v>#N/A</v>
      </c>
      <c r="E202" s="16" t="e">
        <f t="shared" si="1"/>
        <v>#N/A</v>
      </c>
      <c r="F202" s="16" t="e">
        <f t="shared" ref="F202:K202" si="406">VLOOKUP($A202,[1]Ambiente!$A$1:$O$274,F$1,0)</f>
        <v>#N/A</v>
      </c>
      <c r="G202" s="39" t="e">
        <f t="shared" si="406"/>
        <v>#N/A</v>
      </c>
      <c r="H202" s="16" t="e">
        <f t="shared" si="406"/>
        <v>#N/A</v>
      </c>
      <c r="I202" s="16" t="e">
        <f t="shared" si="406"/>
        <v>#N/A</v>
      </c>
      <c r="J202" s="40" t="e">
        <f t="shared" si="406"/>
        <v>#N/A</v>
      </c>
      <c r="K202" s="16" t="e">
        <f t="shared" si="406"/>
        <v>#N/A</v>
      </c>
      <c r="L202" s="40" t="e">
        <f t="shared" si="3"/>
        <v>#N/A</v>
      </c>
      <c r="M202" s="16" t="e">
        <f t="shared" si="4"/>
        <v>#N/A</v>
      </c>
      <c r="N202" s="16" t="e">
        <f t="shared" si="5"/>
        <v>#N/A</v>
      </c>
      <c r="O202" s="16" t="s">
        <v>64</v>
      </c>
      <c r="P202" s="16" t="str">
        <f t="shared" si="6"/>
        <v/>
      </c>
      <c r="Q202" s="41" t="e">
        <f t="shared" si="7"/>
        <v>#N/A</v>
      </c>
      <c r="R202" s="44"/>
      <c r="S202" s="44"/>
      <c r="T202" s="43"/>
      <c r="U202" s="43" t="str">
        <f t="shared" si="8"/>
        <v>No</v>
      </c>
      <c r="V202" s="25"/>
      <c r="W202" s="25"/>
      <c r="X202" s="25"/>
      <c r="Y202" s="25"/>
      <c r="Z202" s="25"/>
    </row>
    <row r="203" spans="1:26" ht="15.75" customHeight="1" x14ac:dyDescent="0.25">
      <c r="A203" s="25">
        <v>201</v>
      </c>
      <c r="B203" s="37" t="e">
        <f t="shared" ref="B203:D203" si="407">VLOOKUP($A203,[1]Ambiente!$A$1:$O$274,B$1,0)</f>
        <v>#N/A</v>
      </c>
      <c r="C203" s="38" t="e">
        <f t="shared" si="407"/>
        <v>#N/A</v>
      </c>
      <c r="D203" s="39" t="e">
        <f t="shared" si="407"/>
        <v>#N/A</v>
      </c>
      <c r="E203" s="16" t="e">
        <f t="shared" si="1"/>
        <v>#N/A</v>
      </c>
      <c r="F203" s="16" t="e">
        <f t="shared" ref="F203:K203" si="408">VLOOKUP($A203,[1]Ambiente!$A$1:$O$274,F$1,0)</f>
        <v>#N/A</v>
      </c>
      <c r="G203" s="39" t="e">
        <f t="shared" si="408"/>
        <v>#N/A</v>
      </c>
      <c r="H203" s="16" t="e">
        <f t="shared" si="408"/>
        <v>#N/A</v>
      </c>
      <c r="I203" s="16" t="e">
        <f t="shared" si="408"/>
        <v>#N/A</v>
      </c>
      <c r="J203" s="40" t="e">
        <f t="shared" si="408"/>
        <v>#N/A</v>
      </c>
      <c r="K203" s="16" t="e">
        <f t="shared" si="408"/>
        <v>#N/A</v>
      </c>
      <c r="L203" s="40" t="e">
        <f t="shared" si="3"/>
        <v>#N/A</v>
      </c>
      <c r="M203" s="16" t="e">
        <f t="shared" si="4"/>
        <v>#N/A</v>
      </c>
      <c r="N203" s="16" t="e">
        <f t="shared" si="5"/>
        <v>#N/A</v>
      </c>
      <c r="O203" s="16" t="s">
        <v>64</v>
      </c>
      <c r="P203" s="16" t="str">
        <f t="shared" si="6"/>
        <v/>
      </c>
      <c r="Q203" s="41" t="e">
        <f t="shared" si="7"/>
        <v>#N/A</v>
      </c>
      <c r="R203" s="44"/>
      <c r="S203" s="44"/>
      <c r="T203" s="43"/>
      <c r="U203" s="43" t="str">
        <f t="shared" si="8"/>
        <v>No</v>
      </c>
      <c r="V203" s="25"/>
      <c r="W203" s="25"/>
      <c r="X203" s="25"/>
      <c r="Y203" s="25"/>
      <c r="Z203" s="25"/>
    </row>
    <row r="204" spans="1:26" ht="15.75" customHeight="1" x14ac:dyDescent="0.25">
      <c r="A204" s="25">
        <v>202</v>
      </c>
      <c r="B204" s="37" t="e">
        <f t="shared" ref="B204:D204" si="409">VLOOKUP($A204,[1]Ambiente!$A$1:$O$274,B$1,0)</f>
        <v>#N/A</v>
      </c>
      <c r="C204" s="38" t="e">
        <f t="shared" si="409"/>
        <v>#N/A</v>
      </c>
      <c r="D204" s="39" t="e">
        <f t="shared" si="409"/>
        <v>#N/A</v>
      </c>
      <c r="E204" s="16" t="e">
        <f t="shared" si="1"/>
        <v>#N/A</v>
      </c>
      <c r="F204" s="16" t="e">
        <f t="shared" ref="F204:K204" si="410">VLOOKUP($A204,[1]Ambiente!$A$1:$O$274,F$1,0)</f>
        <v>#N/A</v>
      </c>
      <c r="G204" s="39" t="e">
        <f t="shared" si="410"/>
        <v>#N/A</v>
      </c>
      <c r="H204" s="16" t="e">
        <f t="shared" si="410"/>
        <v>#N/A</v>
      </c>
      <c r="I204" s="16" t="e">
        <f t="shared" si="410"/>
        <v>#N/A</v>
      </c>
      <c r="J204" s="40" t="e">
        <f t="shared" si="410"/>
        <v>#N/A</v>
      </c>
      <c r="K204" s="16" t="e">
        <f t="shared" si="410"/>
        <v>#N/A</v>
      </c>
      <c r="L204" s="40" t="e">
        <f t="shared" si="3"/>
        <v>#N/A</v>
      </c>
      <c r="M204" s="16" t="e">
        <f t="shared" si="4"/>
        <v>#N/A</v>
      </c>
      <c r="N204" s="16" t="e">
        <f t="shared" si="5"/>
        <v>#N/A</v>
      </c>
      <c r="O204" s="16" t="s">
        <v>64</v>
      </c>
      <c r="P204" s="16" t="str">
        <f t="shared" si="6"/>
        <v/>
      </c>
      <c r="Q204" s="41" t="e">
        <f t="shared" si="7"/>
        <v>#N/A</v>
      </c>
      <c r="R204" s="44"/>
      <c r="S204" s="44"/>
      <c r="T204" s="43"/>
      <c r="U204" s="43" t="str">
        <f t="shared" si="8"/>
        <v>No</v>
      </c>
      <c r="V204" s="25"/>
      <c r="W204" s="25"/>
      <c r="X204" s="25"/>
      <c r="Y204" s="25"/>
      <c r="Z204" s="25"/>
    </row>
    <row r="205" spans="1:26" ht="15.75" customHeight="1" x14ac:dyDescent="0.25">
      <c r="A205" s="25">
        <v>203</v>
      </c>
      <c r="B205" s="37" t="e">
        <f t="shared" ref="B205:D205" si="411">VLOOKUP($A205,[1]Ambiente!$A$1:$O$274,B$1,0)</f>
        <v>#N/A</v>
      </c>
      <c r="C205" s="38" t="e">
        <f t="shared" si="411"/>
        <v>#N/A</v>
      </c>
      <c r="D205" s="39" t="e">
        <f t="shared" si="411"/>
        <v>#N/A</v>
      </c>
      <c r="E205" s="16" t="e">
        <f t="shared" si="1"/>
        <v>#N/A</v>
      </c>
      <c r="F205" s="16" t="e">
        <f t="shared" ref="F205:K205" si="412">VLOOKUP($A205,[1]Ambiente!$A$1:$O$274,F$1,0)</f>
        <v>#N/A</v>
      </c>
      <c r="G205" s="39" t="e">
        <f t="shared" si="412"/>
        <v>#N/A</v>
      </c>
      <c r="H205" s="16" t="e">
        <f t="shared" si="412"/>
        <v>#N/A</v>
      </c>
      <c r="I205" s="16" t="e">
        <f t="shared" si="412"/>
        <v>#N/A</v>
      </c>
      <c r="J205" s="40" t="e">
        <f t="shared" si="412"/>
        <v>#N/A</v>
      </c>
      <c r="K205" s="16" t="e">
        <f t="shared" si="412"/>
        <v>#N/A</v>
      </c>
      <c r="L205" s="40" t="e">
        <f t="shared" si="3"/>
        <v>#N/A</v>
      </c>
      <c r="M205" s="16" t="e">
        <f t="shared" si="4"/>
        <v>#N/A</v>
      </c>
      <c r="N205" s="16" t="e">
        <f t="shared" si="5"/>
        <v>#N/A</v>
      </c>
      <c r="O205" s="16" t="s">
        <v>64</v>
      </c>
      <c r="P205" s="16" t="str">
        <f t="shared" si="6"/>
        <v/>
      </c>
      <c r="Q205" s="41" t="e">
        <f t="shared" si="7"/>
        <v>#N/A</v>
      </c>
      <c r="R205" s="44"/>
      <c r="S205" s="44"/>
      <c r="T205" s="43"/>
      <c r="U205" s="43" t="str">
        <f t="shared" si="8"/>
        <v>No</v>
      </c>
      <c r="V205" s="25"/>
      <c r="W205" s="25"/>
      <c r="X205" s="25"/>
      <c r="Y205" s="25"/>
      <c r="Z205" s="25"/>
    </row>
    <row r="206" spans="1:26" ht="15.75" customHeight="1" x14ac:dyDescent="0.25">
      <c r="A206" s="25">
        <v>204</v>
      </c>
      <c r="B206" s="37" t="e">
        <f t="shared" ref="B206:D206" si="413">VLOOKUP($A206,[1]Ambiente!$A$1:$O$274,B$1,0)</f>
        <v>#N/A</v>
      </c>
      <c r="C206" s="38" t="e">
        <f t="shared" si="413"/>
        <v>#N/A</v>
      </c>
      <c r="D206" s="39" t="e">
        <f t="shared" si="413"/>
        <v>#N/A</v>
      </c>
      <c r="E206" s="16" t="e">
        <f t="shared" si="1"/>
        <v>#N/A</v>
      </c>
      <c r="F206" s="16" t="e">
        <f t="shared" ref="F206:K206" si="414">VLOOKUP($A206,[1]Ambiente!$A$1:$O$274,F$1,0)</f>
        <v>#N/A</v>
      </c>
      <c r="G206" s="39" t="e">
        <f t="shared" si="414"/>
        <v>#N/A</v>
      </c>
      <c r="H206" s="16" t="e">
        <f t="shared" si="414"/>
        <v>#N/A</v>
      </c>
      <c r="I206" s="16" t="e">
        <f t="shared" si="414"/>
        <v>#N/A</v>
      </c>
      <c r="J206" s="40" t="e">
        <f t="shared" si="414"/>
        <v>#N/A</v>
      </c>
      <c r="K206" s="16" t="e">
        <f t="shared" si="414"/>
        <v>#N/A</v>
      </c>
      <c r="L206" s="40" t="e">
        <f t="shared" si="3"/>
        <v>#N/A</v>
      </c>
      <c r="M206" s="16" t="e">
        <f t="shared" si="4"/>
        <v>#N/A</v>
      </c>
      <c r="N206" s="16" t="e">
        <f t="shared" si="5"/>
        <v>#N/A</v>
      </c>
      <c r="O206" s="16" t="s">
        <v>64</v>
      </c>
      <c r="P206" s="16" t="str">
        <f t="shared" si="6"/>
        <v/>
      </c>
      <c r="Q206" s="41" t="e">
        <f t="shared" si="7"/>
        <v>#N/A</v>
      </c>
      <c r="R206" s="44"/>
      <c r="S206" s="44"/>
      <c r="T206" s="43"/>
      <c r="U206" s="43" t="str">
        <f t="shared" si="8"/>
        <v>No</v>
      </c>
      <c r="V206" s="25"/>
      <c r="W206" s="25"/>
      <c r="X206" s="25"/>
      <c r="Y206" s="25"/>
      <c r="Z206" s="25"/>
    </row>
    <row r="207" spans="1:26" ht="15.75" customHeight="1" x14ac:dyDescent="0.25">
      <c r="A207" s="25">
        <v>205</v>
      </c>
      <c r="B207" s="37" t="e">
        <f t="shared" ref="B207:D207" si="415">VLOOKUP($A207,[1]Ambiente!$A$1:$O$274,B$1,0)</f>
        <v>#N/A</v>
      </c>
      <c r="C207" s="38" t="e">
        <f t="shared" si="415"/>
        <v>#N/A</v>
      </c>
      <c r="D207" s="39" t="e">
        <f t="shared" si="415"/>
        <v>#N/A</v>
      </c>
      <c r="E207" s="16" t="e">
        <f t="shared" si="1"/>
        <v>#N/A</v>
      </c>
      <c r="F207" s="16" t="e">
        <f t="shared" ref="F207:K207" si="416">VLOOKUP($A207,[1]Ambiente!$A$1:$O$274,F$1,0)</f>
        <v>#N/A</v>
      </c>
      <c r="G207" s="39" t="e">
        <f t="shared" si="416"/>
        <v>#N/A</v>
      </c>
      <c r="H207" s="16" t="e">
        <f t="shared" si="416"/>
        <v>#N/A</v>
      </c>
      <c r="I207" s="16" t="e">
        <f t="shared" si="416"/>
        <v>#N/A</v>
      </c>
      <c r="J207" s="40" t="e">
        <f t="shared" si="416"/>
        <v>#N/A</v>
      </c>
      <c r="K207" s="16" t="e">
        <f t="shared" si="416"/>
        <v>#N/A</v>
      </c>
      <c r="L207" s="40" t="e">
        <f t="shared" si="3"/>
        <v>#N/A</v>
      </c>
      <c r="M207" s="16" t="e">
        <f t="shared" si="4"/>
        <v>#N/A</v>
      </c>
      <c r="N207" s="16" t="e">
        <f t="shared" si="5"/>
        <v>#N/A</v>
      </c>
      <c r="O207" s="16" t="s">
        <v>64</v>
      </c>
      <c r="P207" s="16" t="str">
        <f t="shared" si="6"/>
        <v/>
      </c>
      <c r="Q207" s="41" t="e">
        <f t="shared" si="7"/>
        <v>#N/A</v>
      </c>
      <c r="R207" s="44"/>
      <c r="S207" s="44"/>
      <c r="T207" s="43"/>
      <c r="U207" s="43" t="str">
        <f t="shared" si="8"/>
        <v>No</v>
      </c>
      <c r="V207" s="25"/>
      <c r="W207" s="25"/>
      <c r="X207" s="25"/>
      <c r="Y207" s="25"/>
      <c r="Z207" s="25"/>
    </row>
    <row r="208" spans="1:26" ht="15.75" customHeight="1" x14ac:dyDescent="0.25">
      <c r="A208" s="25">
        <v>206</v>
      </c>
      <c r="B208" s="37" t="e">
        <f t="shared" ref="B208:D208" si="417">VLOOKUP($A208,[1]Ambiente!$A$1:$O$274,B$1,0)</f>
        <v>#N/A</v>
      </c>
      <c r="C208" s="38" t="e">
        <f t="shared" si="417"/>
        <v>#N/A</v>
      </c>
      <c r="D208" s="39" t="e">
        <f t="shared" si="417"/>
        <v>#N/A</v>
      </c>
      <c r="E208" s="16" t="e">
        <f t="shared" si="1"/>
        <v>#N/A</v>
      </c>
      <c r="F208" s="16" t="e">
        <f t="shared" ref="F208:K208" si="418">VLOOKUP($A208,[1]Ambiente!$A$1:$O$274,F$1,0)</f>
        <v>#N/A</v>
      </c>
      <c r="G208" s="39" t="e">
        <f t="shared" si="418"/>
        <v>#N/A</v>
      </c>
      <c r="H208" s="16" t="e">
        <f t="shared" si="418"/>
        <v>#N/A</v>
      </c>
      <c r="I208" s="16" t="e">
        <f t="shared" si="418"/>
        <v>#N/A</v>
      </c>
      <c r="J208" s="40" t="e">
        <f t="shared" si="418"/>
        <v>#N/A</v>
      </c>
      <c r="K208" s="16" t="e">
        <f t="shared" si="418"/>
        <v>#N/A</v>
      </c>
      <c r="L208" s="40" t="e">
        <f t="shared" si="3"/>
        <v>#N/A</v>
      </c>
      <c r="M208" s="16" t="e">
        <f t="shared" si="4"/>
        <v>#N/A</v>
      </c>
      <c r="N208" s="16" t="e">
        <f t="shared" si="5"/>
        <v>#N/A</v>
      </c>
      <c r="O208" s="16" t="s">
        <v>64</v>
      </c>
      <c r="P208" s="16" t="str">
        <f t="shared" si="6"/>
        <v/>
      </c>
      <c r="Q208" s="41" t="e">
        <f t="shared" si="7"/>
        <v>#N/A</v>
      </c>
      <c r="R208" s="44"/>
      <c r="S208" s="44"/>
      <c r="T208" s="43"/>
      <c r="U208" s="43" t="str">
        <f t="shared" si="8"/>
        <v>No</v>
      </c>
      <c r="V208" s="25"/>
      <c r="W208" s="25"/>
      <c r="X208" s="25"/>
      <c r="Y208" s="25"/>
      <c r="Z208" s="25"/>
    </row>
    <row r="209" spans="1:26" ht="15.75" customHeight="1" x14ac:dyDescent="0.25">
      <c r="A209" s="25">
        <v>207</v>
      </c>
      <c r="B209" s="37" t="e">
        <f t="shared" ref="B209:D209" si="419">VLOOKUP($A209,[1]Ambiente!$A$1:$O$274,B$1,0)</f>
        <v>#N/A</v>
      </c>
      <c r="C209" s="38" t="e">
        <f t="shared" si="419"/>
        <v>#N/A</v>
      </c>
      <c r="D209" s="39" t="e">
        <f t="shared" si="419"/>
        <v>#N/A</v>
      </c>
      <c r="E209" s="16" t="e">
        <f t="shared" si="1"/>
        <v>#N/A</v>
      </c>
      <c r="F209" s="16" t="e">
        <f t="shared" ref="F209:K209" si="420">VLOOKUP($A209,[1]Ambiente!$A$1:$O$274,F$1,0)</f>
        <v>#N/A</v>
      </c>
      <c r="G209" s="39" t="e">
        <f t="shared" si="420"/>
        <v>#N/A</v>
      </c>
      <c r="H209" s="16" t="e">
        <f t="shared" si="420"/>
        <v>#N/A</v>
      </c>
      <c r="I209" s="16" t="e">
        <f t="shared" si="420"/>
        <v>#N/A</v>
      </c>
      <c r="J209" s="40" t="e">
        <f t="shared" si="420"/>
        <v>#N/A</v>
      </c>
      <c r="K209" s="16" t="e">
        <f t="shared" si="420"/>
        <v>#N/A</v>
      </c>
      <c r="L209" s="40" t="e">
        <f t="shared" si="3"/>
        <v>#N/A</v>
      </c>
      <c r="M209" s="16" t="e">
        <f t="shared" si="4"/>
        <v>#N/A</v>
      </c>
      <c r="N209" s="16" t="e">
        <f t="shared" si="5"/>
        <v>#N/A</v>
      </c>
      <c r="O209" s="16" t="s">
        <v>64</v>
      </c>
      <c r="P209" s="16" t="str">
        <f t="shared" si="6"/>
        <v/>
      </c>
      <c r="Q209" s="41" t="e">
        <f t="shared" si="7"/>
        <v>#N/A</v>
      </c>
      <c r="R209" s="44"/>
      <c r="S209" s="44"/>
      <c r="T209" s="43"/>
      <c r="U209" s="43" t="str">
        <f t="shared" si="8"/>
        <v>No</v>
      </c>
      <c r="V209" s="25"/>
      <c r="W209" s="25"/>
      <c r="X209" s="25"/>
      <c r="Y209" s="25"/>
      <c r="Z209" s="25"/>
    </row>
    <row r="210" spans="1:26" ht="15.75" customHeight="1" x14ac:dyDescent="0.25">
      <c r="A210" s="25">
        <v>208</v>
      </c>
      <c r="B210" s="37" t="e">
        <f t="shared" ref="B210:D210" si="421">VLOOKUP($A210,[1]Ambiente!$A$1:$O$274,B$1,0)</f>
        <v>#N/A</v>
      </c>
      <c r="C210" s="38" t="e">
        <f t="shared" si="421"/>
        <v>#N/A</v>
      </c>
      <c r="D210" s="39" t="e">
        <f t="shared" si="421"/>
        <v>#N/A</v>
      </c>
      <c r="E210" s="16" t="e">
        <f t="shared" si="1"/>
        <v>#N/A</v>
      </c>
      <c r="F210" s="16" t="e">
        <f t="shared" ref="F210:K210" si="422">VLOOKUP($A210,[1]Ambiente!$A$1:$O$274,F$1,0)</f>
        <v>#N/A</v>
      </c>
      <c r="G210" s="39" t="e">
        <f t="shared" si="422"/>
        <v>#N/A</v>
      </c>
      <c r="H210" s="16" t="e">
        <f t="shared" si="422"/>
        <v>#N/A</v>
      </c>
      <c r="I210" s="16" t="e">
        <f t="shared" si="422"/>
        <v>#N/A</v>
      </c>
      <c r="J210" s="40" t="e">
        <f t="shared" si="422"/>
        <v>#N/A</v>
      </c>
      <c r="K210" s="16" t="e">
        <f t="shared" si="422"/>
        <v>#N/A</v>
      </c>
      <c r="L210" s="40" t="e">
        <f t="shared" si="3"/>
        <v>#N/A</v>
      </c>
      <c r="M210" s="16" t="e">
        <f t="shared" si="4"/>
        <v>#N/A</v>
      </c>
      <c r="N210" s="16" t="e">
        <f t="shared" si="5"/>
        <v>#N/A</v>
      </c>
      <c r="O210" s="16" t="s">
        <v>64</v>
      </c>
      <c r="P210" s="16" t="str">
        <f t="shared" si="6"/>
        <v/>
      </c>
      <c r="Q210" s="41" t="e">
        <f t="shared" si="7"/>
        <v>#N/A</v>
      </c>
      <c r="R210" s="44"/>
      <c r="S210" s="44"/>
      <c r="T210" s="43"/>
      <c r="U210" s="43" t="str">
        <f t="shared" si="8"/>
        <v>No</v>
      </c>
      <c r="V210" s="25"/>
      <c r="W210" s="25"/>
      <c r="X210" s="25"/>
      <c r="Y210" s="25"/>
      <c r="Z210" s="25"/>
    </row>
    <row r="211" spans="1:26" ht="15.75" customHeight="1" x14ac:dyDescent="0.25">
      <c r="A211" s="25">
        <v>209</v>
      </c>
      <c r="B211" s="37" t="e">
        <f t="shared" ref="B211:D211" si="423">VLOOKUP($A211,[1]Ambiente!$A$1:$O$274,B$1,0)</f>
        <v>#N/A</v>
      </c>
      <c r="C211" s="38" t="e">
        <f t="shared" si="423"/>
        <v>#N/A</v>
      </c>
      <c r="D211" s="39" t="e">
        <f t="shared" si="423"/>
        <v>#N/A</v>
      </c>
      <c r="E211" s="16" t="e">
        <f t="shared" si="1"/>
        <v>#N/A</v>
      </c>
      <c r="F211" s="16" t="e">
        <f t="shared" ref="F211:K211" si="424">VLOOKUP($A211,[1]Ambiente!$A$1:$O$274,F$1,0)</f>
        <v>#N/A</v>
      </c>
      <c r="G211" s="39" t="e">
        <f t="shared" si="424"/>
        <v>#N/A</v>
      </c>
      <c r="H211" s="16" t="e">
        <f t="shared" si="424"/>
        <v>#N/A</v>
      </c>
      <c r="I211" s="16" t="e">
        <f t="shared" si="424"/>
        <v>#N/A</v>
      </c>
      <c r="J211" s="40" t="e">
        <f t="shared" si="424"/>
        <v>#N/A</v>
      </c>
      <c r="K211" s="16" t="e">
        <f t="shared" si="424"/>
        <v>#N/A</v>
      </c>
      <c r="L211" s="40" t="e">
        <f t="shared" si="3"/>
        <v>#N/A</v>
      </c>
      <c r="M211" s="16" t="e">
        <f t="shared" si="4"/>
        <v>#N/A</v>
      </c>
      <c r="N211" s="16" t="e">
        <f t="shared" si="5"/>
        <v>#N/A</v>
      </c>
      <c r="O211" s="16" t="s">
        <v>64</v>
      </c>
      <c r="P211" s="16" t="str">
        <f t="shared" si="6"/>
        <v/>
      </c>
      <c r="Q211" s="41" t="e">
        <f t="shared" si="7"/>
        <v>#N/A</v>
      </c>
      <c r="R211" s="44"/>
      <c r="S211" s="44"/>
      <c r="T211" s="43"/>
      <c r="U211" s="43" t="str">
        <f t="shared" si="8"/>
        <v>No</v>
      </c>
      <c r="V211" s="25"/>
      <c r="W211" s="25"/>
      <c r="X211" s="25"/>
      <c r="Y211" s="25"/>
      <c r="Z211" s="25"/>
    </row>
    <row r="212" spans="1:26" ht="15.75" customHeight="1" x14ac:dyDescent="0.25">
      <c r="A212" s="25">
        <v>210</v>
      </c>
      <c r="B212" s="37" t="e">
        <f t="shared" ref="B212:D212" si="425">VLOOKUP($A212,[1]Ambiente!$A$1:$O$274,B$1,0)</f>
        <v>#N/A</v>
      </c>
      <c r="C212" s="38" t="e">
        <f t="shared" si="425"/>
        <v>#N/A</v>
      </c>
      <c r="D212" s="39" t="e">
        <f t="shared" si="425"/>
        <v>#N/A</v>
      </c>
      <c r="E212" s="16" t="e">
        <f t="shared" si="1"/>
        <v>#N/A</v>
      </c>
      <c r="F212" s="16" t="e">
        <f t="shared" ref="F212:K212" si="426">VLOOKUP($A212,[1]Ambiente!$A$1:$O$274,F$1,0)</f>
        <v>#N/A</v>
      </c>
      <c r="G212" s="39" t="e">
        <f t="shared" si="426"/>
        <v>#N/A</v>
      </c>
      <c r="H212" s="16" t="e">
        <f t="shared" si="426"/>
        <v>#N/A</v>
      </c>
      <c r="I212" s="16" t="e">
        <f t="shared" si="426"/>
        <v>#N/A</v>
      </c>
      <c r="J212" s="40" t="e">
        <f t="shared" si="426"/>
        <v>#N/A</v>
      </c>
      <c r="K212" s="16" t="e">
        <f t="shared" si="426"/>
        <v>#N/A</v>
      </c>
      <c r="L212" s="40" t="e">
        <f t="shared" si="3"/>
        <v>#N/A</v>
      </c>
      <c r="M212" s="16" t="e">
        <f t="shared" si="4"/>
        <v>#N/A</v>
      </c>
      <c r="N212" s="16" t="e">
        <f t="shared" si="5"/>
        <v>#N/A</v>
      </c>
      <c r="O212" s="16" t="s">
        <v>64</v>
      </c>
      <c r="P212" s="16" t="str">
        <f t="shared" si="6"/>
        <v/>
      </c>
      <c r="Q212" s="41" t="e">
        <f t="shared" si="7"/>
        <v>#N/A</v>
      </c>
      <c r="R212" s="44"/>
      <c r="S212" s="44"/>
      <c r="T212" s="43"/>
      <c r="U212" s="43" t="str">
        <f t="shared" si="8"/>
        <v>No</v>
      </c>
      <c r="V212" s="25"/>
      <c r="W212" s="25"/>
      <c r="X212" s="25"/>
      <c r="Y212" s="25"/>
      <c r="Z212" s="25"/>
    </row>
    <row r="213" spans="1:26" ht="15.75" customHeight="1" x14ac:dyDescent="0.25">
      <c r="A213" s="25">
        <v>211</v>
      </c>
      <c r="B213" s="37" t="e">
        <f t="shared" ref="B213:D213" si="427">VLOOKUP($A213,[1]Ambiente!$A$1:$O$274,B$1,0)</f>
        <v>#N/A</v>
      </c>
      <c r="C213" s="38" t="e">
        <f t="shared" si="427"/>
        <v>#N/A</v>
      </c>
      <c r="D213" s="39" t="e">
        <f t="shared" si="427"/>
        <v>#N/A</v>
      </c>
      <c r="E213" s="16" t="e">
        <f t="shared" si="1"/>
        <v>#N/A</v>
      </c>
      <c r="F213" s="16" t="e">
        <f t="shared" ref="F213:K213" si="428">VLOOKUP($A213,[1]Ambiente!$A$1:$O$274,F$1,0)</f>
        <v>#N/A</v>
      </c>
      <c r="G213" s="39" t="e">
        <f t="shared" si="428"/>
        <v>#N/A</v>
      </c>
      <c r="H213" s="16" t="e">
        <f t="shared" si="428"/>
        <v>#N/A</v>
      </c>
      <c r="I213" s="16" t="e">
        <f t="shared" si="428"/>
        <v>#N/A</v>
      </c>
      <c r="J213" s="40" t="e">
        <f t="shared" si="428"/>
        <v>#N/A</v>
      </c>
      <c r="K213" s="16" t="e">
        <f t="shared" si="428"/>
        <v>#N/A</v>
      </c>
      <c r="L213" s="40" t="e">
        <f t="shared" si="3"/>
        <v>#N/A</v>
      </c>
      <c r="M213" s="16" t="e">
        <f t="shared" si="4"/>
        <v>#N/A</v>
      </c>
      <c r="N213" s="16" t="e">
        <f t="shared" si="5"/>
        <v>#N/A</v>
      </c>
      <c r="O213" s="16" t="s">
        <v>64</v>
      </c>
      <c r="P213" s="16" t="str">
        <f t="shared" si="6"/>
        <v/>
      </c>
      <c r="Q213" s="41" t="e">
        <f t="shared" si="7"/>
        <v>#N/A</v>
      </c>
      <c r="R213" s="44"/>
      <c r="S213" s="44"/>
      <c r="T213" s="43"/>
      <c r="U213" s="43" t="str">
        <f t="shared" si="8"/>
        <v>No</v>
      </c>
      <c r="V213" s="25"/>
      <c r="W213" s="25"/>
      <c r="X213" s="25"/>
      <c r="Y213" s="25"/>
      <c r="Z213" s="25"/>
    </row>
    <row r="214" spans="1:26" ht="15.75" customHeight="1" x14ac:dyDescent="0.25">
      <c r="A214" s="25">
        <v>212</v>
      </c>
      <c r="B214" s="37" t="e">
        <f t="shared" ref="B214:D214" si="429">VLOOKUP($A214,[1]Ambiente!$A$1:$O$274,B$1,0)</f>
        <v>#N/A</v>
      </c>
      <c r="C214" s="38" t="e">
        <f t="shared" si="429"/>
        <v>#N/A</v>
      </c>
      <c r="D214" s="39" t="e">
        <f t="shared" si="429"/>
        <v>#N/A</v>
      </c>
      <c r="E214" s="16" t="e">
        <f t="shared" si="1"/>
        <v>#N/A</v>
      </c>
      <c r="F214" s="16" t="e">
        <f t="shared" ref="F214:K214" si="430">VLOOKUP($A214,[1]Ambiente!$A$1:$O$274,F$1,0)</f>
        <v>#N/A</v>
      </c>
      <c r="G214" s="39" t="e">
        <f t="shared" si="430"/>
        <v>#N/A</v>
      </c>
      <c r="H214" s="16" t="e">
        <f t="shared" si="430"/>
        <v>#N/A</v>
      </c>
      <c r="I214" s="16" t="e">
        <f t="shared" si="430"/>
        <v>#N/A</v>
      </c>
      <c r="J214" s="40" t="e">
        <f t="shared" si="430"/>
        <v>#N/A</v>
      </c>
      <c r="K214" s="16" t="e">
        <f t="shared" si="430"/>
        <v>#N/A</v>
      </c>
      <c r="L214" s="40" t="e">
        <f t="shared" si="3"/>
        <v>#N/A</v>
      </c>
      <c r="M214" s="16" t="e">
        <f t="shared" si="4"/>
        <v>#N/A</v>
      </c>
      <c r="N214" s="16" t="e">
        <f t="shared" si="5"/>
        <v>#N/A</v>
      </c>
      <c r="O214" s="16" t="s">
        <v>64</v>
      </c>
      <c r="P214" s="16" t="str">
        <f t="shared" si="6"/>
        <v/>
      </c>
      <c r="Q214" s="41" t="e">
        <f t="shared" si="7"/>
        <v>#N/A</v>
      </c>
      <c r="R214" s="44"/>
      <c r="S214" s="44"/>
      <c r="T214" s="43"/>
      <c r="U214" s="43" t="str">
        <f t="shared" si="8"/>
        <v>No</v>
      </c>
      <c r="V214" s="25"/>
      <c r="W214" s="25"/>
      <c r="X214" s="25"/>
      <c r="Y214" s="25"/>
      <c r="Z214" s="25"/>
    </row>
    <row r="215" spans="1:26" ht="15.75" customHeight="1" x14ac:dyDescent="0.25">
      <c r="A215" s="25">
        <v>213</v>
      </c>
      <c r="B215" s="37" t="e">
        <f t="shared" ref="B215:D215" si="431">VLOOKUP($A215,[1]Ambiente!$A$1:$O$274,B$1,0)</f>
        <v>#N/A</v>
      </c>
      <c r="C215" s="38" t="e">
        <f t="shared" si="431"/>
        <v>#N/A</v>
      </c>
      <c r="D215" s="39" t="e">
        <f t="shared" si="431"/>
        <v>#N/A</v>
      </c>
      <c r="E215" s="16" t="e">
        <f t="shared" si="1"/>
        <v>#N/A</v>
      </c>
      <c r="F215" s="16" t="e">
        <f t="shared" ref="F215:K215" si="432">VLOOKUP($A215,[1]Ambiente!$A$1:$O$274,F$1,0)</f>
        <v>#N/A</v>
      </c>
      <c r="G215" s="39" t="e">
        <f t="shared" si="432"/>
        <v>#N/A</v>
      </c>
      <c r="H215" s="16" t="e">
        <f t="shared" si="432"/>
        <v>#N/A</v>
      </c>
      <c r="I215" s="16" t="e">
        <f t="shared" si="432"/>
        <v>#N/A</v>
      </c>
      <c r="J215" s="40" t="e">
        <f t="shared" si="432"/>
        <v>#N/A</v>
      </c>
      <c r="K215" s="16" t="e">
        <f t="shared" si="432"/>
        <v>#N/A</v>
      </c>
      <c r="L215" s="40" t="e">
        <f t="shared" si="3"/>
        <v>#N/A</v>
      </c>
      <c r="M215" s="16" t="e">
        <f t="shared" si="4"/>
        <v>#N/A</v>
      </c>
      <c r="N215" s="16" t="e">
        <f t="shared" si="5"/>
        <v>#N/A</v>
      </c>
      <c r="O215" s="16" t="s">
        <v>64</v>
      </c>
      <c r="P215" s="16" t="str">
        <f t="shared" si="6"/>
        <v/>
      </c>
      <c r="Q215" s="41" t="e">
        <f t="shared" si="7"/>
        <v>#N/A</v>
      </c>
      <c r="R215" s="44"/>
      <c r="S215" s="44"/>
      <c r="T215" s="43"/>
      <c r="U215" s="43" t="str">
        <f t="shared" si="8"/>
        <v>No</v>
      </c>
      <c r="V215" s="25"/>
      <c r="W215" s="25"/>
      <c r="X215" s="25"/>
      <c r="Y215" s="25"/>
      <c r="Z215" s="25"/>
    </row>
    <row r="216" spans="1:26" ht="15.75" customHeight="1" x14ac:dyDescent="0.25">
      <c r="A216" s="25">
        <v>214</v>
      </c>
      <c r="B216" s="37" t="e">
        <f t="shared" ref="B216:D216" si="433">VLOOKUP($A216,[1]Ambiente!$A$1:$O$274,B$1,0)</f>
        <v>#N/A</v>
      </c>
      <c r="C216" s="38" t="e">
        <f t="shared" si="433"/>
        <v>#N/A</v>
      </c>
      <c r="D216" s="39" t="e">
        <f t="shared" si="433"/>
        <v>#N/A</v>
      </c>
      <c r="E216" s="16" t="e">
        <f t="shared" si="1"/>
        <v>#N/A</v>
      </c>
      <c r="F216" s="16" t="e">
        <f t="shared" ref="F216:K216" si="434">VLOOKUP($A216,[1]Ambiente!$A$1:$O$274,F$1,0)</f>
        <v>#N/A</v>
      </c>
      <c r="G216" s="39" t="e">
        <f t="shared" si="434"/>
        <v>#N/A</v>
      </c>
      <c r="H216" s="16" t="e">
        <f t="shared" si="434"/>
        <v>#N/A</v>
      </c>
      <c r="I216" s="16" t="e">
        <f t="shared" si="434"/>
        <v>#N/A</v>
      </c>
      <c r="J216" s="40" t="e">
        <f t="shared" si="434"/>
        <v>#N/A</v>
      </c>
      <c r="K216" s="16" t="e">
        <f t="shared" si="434"/>
        <v>#N/A</v>
      </c>
      <c r="L216" s="40" t="e">
        <f t="shared" si="3"/>
        <v>#N/A</v>
      </c>
      <c r="M216" s="16" t="e">
        <f t="shared" si="4"/>
        <v>#N/A</v>
      </c>
      <c r="N216" s="16" t="e">
        <f t="shared" si="5"/>
        <v>#N/A</v>
      </c>
      <c r="O216" s="16" t="s">
        <v>64</v>
      </c>
      <c r="P216" s="16" t="str">
        <f t="shared" si="6"/>
        <v/>
      </c>
      <c r="Q216" s="41" t="e">
        <f t="shared" si="7"/>
        <v>#N/A</v>
      </c>
      <c r="R216" s="44"/>
      <c r="S216" s="44"/>
      <c r="T216" s="43"/>
      <c r="U216" s="43" t="str">
        <f t="shared" si="8"/>
        <v>No</v>
      </c>
      <c r="V216" s="25"/>
      <c r="W216" s="25"/>
      <c r="X216" s="25"/>
      <c r="Y216" s="25"/>
      <c r="Z216" s="25"/>
    </row>
    <row r="217" spans="1:26" ht="15.75" customHeight="1" x14ac:dyDescent="0.25">
      <c r="A217" s="25">
        <v>215</v>
      </c>
      <c r="B217" s="37" t="e">
        <f t="shared" ref="B217:D217" si="435">VLOOKUP($A217,[1]Ambiente!$A$1:$O$274,B$1,0)</f>
        <v>#N/A</v>
      </c>
      <c r="C217" s="38" t="e">
        <f t="shared" si="435"/>
        <v>#N/A</v>
      </c>
      <c r="D217" s="39" t="e">
        <f t="shared" si="435"/>
        <v>#N/A</v>
      </c>
      <c r="E217" s="16" t="e">
        <f t="shared" si="1"/>
        <v>#N/A</v>
      </c>
      <c r="F217" s="16" t="e">
        <f t="shared" ref="F217:K217" si="436">VLOOKUP($A217,[1]Ambiente!$A$1:$O$274,F$1,0)</f>
        <v>#N/A</v>
      </c>
      <c r="G217" s="39" t="e">
        <f t="shared" si="436"/>
        <v>#N/A</v>
      </c>
      <c r="H217" s="16" t="e">
        <f t="shared" si="436"/>
        <v>#N/A</v>
      </c>
      <c r="I217" s="16" t="e">
        <f t="shared" si="436"/>
        <v>#N/A</v>
      </c>
      <c r="J217" s="40" t="e">
        <f t="shared" si="436"/>
        <v>#N/A</v>
      </c>
      <c r="K217" s="16" t="e">
        <f t="shared" si="436"/>
        <v>#N/A</v>
      </c>
      <c r="L217" s="40" t="e">
        <f t="shared" si="3"/>
        <v>#N/A</v>
      </c>
      <c r="M217" s="16" t="e">
        <f t="shared" si="4"/>
        <v>#N/A</v>
      </c>
      <c r="N217" s="16" t="e">
        <f t="shared" si="5"/>
        <v>#N/A</v>
      </c>
      <c r="O217" s="16" t="s">
        <v>64</v>
      </c>
      <c r="P217" s="16" t="str">
        <f t="shared" si="6"/>
        <v/>
      </c>
      <c r="Q217" s="41" t="e">
        <f t="shared" si="7"/>
        <v>#N/A</v>
      </c>
      <c r="R217" s="44"/>
      <c r="S217" s="44"/>
      <c r="T217" s="43"/>
      <c r="U217" s="43" t="str">
        <f t="shared" si="8"/>
        <v>No</v>
      </c>
      <c r="V217" s="25"/>
      <c r="W217" s="25"/>
      <c r="X217" s="25"/>
      <c r="Y217" s="25"/>
      <c r="Z217" s="25"/>
    </row>
    <row r="218" spans="1:26" ht="15.75" customHeight="1" x14ac:dyDescent="0.25">
      <c r="A218" s="25">
        <v>216</v>
      </c>
      <c r="B218" s="37" t="e">
        <f t="shared" ref="B218:D218" si="437">VLOOKUP($A218,[1]Ambiente!$A$1:$O$274,B$1,0)</f>
        <v>#N/A</v>
      </c>
      <c r="C218" s="38" t="e">
        <f t="shared" si="437"/>
        <v>#N/A</v>
      </c>
      <c r="D218" s="39" t="e">
        <f t="shared" si="437"/>
        <v>#N/A</v>
      </c>
      <c r="E218" s="16" t="e">
        <f t="shared" si="1"/>
        <v>#N/A</v>
      </c>
      <c r="F218" s="16" t="e">
        <f t="shared" ref="F218:K218" si="438">VLOOKUP($A218,[1]Ambiente!$A$1:$O$274,F$1,0)</f>
        <v>#N/A</v>
      </c>
      <c r="G218" s="39" t="e">
        <f t="shared" si="438"/>
        <v>#N/A</v>
      </c>
      <c r="H218" s="16" t="e">
        <f t="shared" si="438"/>
        <v>#N/A</v>
      </c>
      <c r="I218" s="16" t="e">
        <f t="shared" si="438"/>
        <v>#N/A</v>
      </c>
      <c r="J218" s="40" t="e">
        <f t="shared" si="438"/>
        <v>#N/A</v>
      </c>
      <c r="K218" s="16" t="e">
        <f t="shared" si="438"/>
        <v>#N/A</v>
      </c>
      <c r="L218" s="40" t="e">
        <f t="shared" si="3"/>
        <v>#N/A</v>
      </c>
      <c r="M218" s="16" t="e">
        <f t="shared" si="4"/>
        <v>#N/A</v>
      </c>
      <c r="N218" s="16" t="e">
        <f t="shared" si="5"/>
        <v>#N/A</v>
      </c>
      <c r="O218" s="16" t="s">
        <v>64</v>
      </c>
      <c r="P218" s="16" t="str">
        <f t="shared" si="6"/>
        <v/>
      </c>
      <c r="Q218" s="41" t="e">
        <f t="shared" si="7"/>
        <v>#N/A</v>
      </c>
      <c r="R218" s="44"/>
      <c r="S218" s="44"/>
      <c r="T218" s="43"/>
      <c r="U218" s="43" t="str">
        <f t="shared" si="8"/>
        <v>No</v>
      </c>
      <c r="V218" s="25"/>
      <c r="W218" s="25"/>
      <c r="X218" s="25"/>
      <c r="Y218" s="25"/>
      <c r="Z218" s="25"/>
    </row>
    <row r="219" spans="1:26" ht="15.75" customHeight="1" x14ac:dyDescent="0.25">
      <c r="A219" s="25">
        <v>217</v>
      </c>
      <c r="B219" s="37" t="e">
        <f t="shared" ref="B219:D219" si="439">VLOOKUP($A219,[1]Ambiente!$A$1:$O$274,B$1,0)</f>
        <v>#N/A</v>
      </c>
      <c r="C219" s="38" t="e">
        <f t="shared" si="439"/>
        <v>#N/A</v>
      </c>
      <c r="D219" s="39" t="e">
        <f t="shared" si="439"/>
        <v>#N/A</v>
      </c>
      <c r="E219" s="16" t="e">
        <f t="shared" si="1"/>
        <v>#N/A</v>
      </c>
      <c r="F219" s="16" t="e">
        <f t="shared" ref="F219:K219" si="440">VLOOKUP($A219,[1]Ambiente!$A$1:$O$274,F$1,0)</f>
        <v>#N/A</v>
      </c>
      <c r="G219" s="39" t="e">
        <f t="shared" si="440"/>
        <v>#N/A</v>
      </c>
      <c r="H219" s="16" t="e">
        <f t="shared" si="440"/>
        <v>#N/A</v>
      </c>
      <c r="I219" s="16" t="e">
        <f t="shared" si="440"/>
        <v>#N/A</v>
      </c>
      <c r="J219" s="40" t="e">
        <f t="shared" si="440"/>
        <v>#N/A</v>
      </c>
      <c r="K219" s="16" t="e">
        <f t="shared" si="440"/>
        <v>#N/A</v>
      </c>
      <c r="L219" s="40" t="e">
        <f t="shared" si="3"/>
        <v>#N/A</v>
      </c>
      <c r="M219" s="16" t="e">
        <f t="shared" si="4"/>
        <v>#N/A</v>
      </c>
      <c r="N219" s="16" t="e">
        <f t="shared" si="5"/>
        <v>#N/A</v>
      </c>
      <c r="O219" s="16" t="s">
        <v>64</v>
      </c>
      <c r="P219" s="16" t="str">
        <f t="shared" si="6"/>
        <v/>
      </c>
      <c r="Q219" s="41" t="e">
        <f t="shared" si="7"/>
        <v>#N/A</v>
      </c>
      <c r="R219" s="44"/>
      <c r="S219" s="44"/>
      <c r="T219" s="43"/>
      <c r="U219" s="43" t="str">
        <f t="shared" si="8"/>
        <v>No</v>
      </c>
      <c r="V219" s="25"/>
      <c r="W219" s="25"/>
      <c r="X219" s="25"/>
      <c r="Y219" s="25"/>
      <c r="Z219" s="25"/>
    </row>
    <row r="220" spans="1:26" ht="15.75" customHeight="1" x14ac:dyDescent="0.25">
      <c r="A220" s="25">
        <v>218</v>
      </c>
      <c r="B220" s="37" t="e">
        <f t="shared" ref="B220:D220" si="441">VLOOKUP($A220,[1]Ambiente!$A$1:$O$274,B$1,0)</f>
        <v>#N/A</v>
      </c>
      <c r="C220" s="38" t="e">
        <f t="shared" si="441"/>
        <v>#N/A</v>
      </c>
      <c r="D220" s="39" t="e">
        <f t="shared" si="441"/>
        <v>#N/A</v>
      </c>
      <c r="E220" s="16" t="e">
        <f t="shared" si="1"/>
        <v>#N/A</v>
      </c>
      <c r="F220" s="16" t="e">
        <f t="shared" ref="F220:K220" si="442">VLOOKUP($A220,[1]Ambiente!$A$1:$O$274,F$1,0)</f>
        <v>#N/A</v>
      </c>
      <c r="G220" s="39" t="e">
        <f t="shared" si="442"/>
        <v>#N/A</v>
      </c>
      <c r="H220" s="16" t="e">
        <f t="shared" si="442"/>
        <v>#N/A</v>
      </c>
      <c r="I220" s="16" t="e">
        <f t="shared" si="442"/>
        <v>#N/A</v>
      </c>
      <c r="J220" s="40" t="e">
        <f t="shared" si="442"/>
        <v>#N/A</v>
      </c>
      <c r="K220" s="16" t="e">
        <f t="shared" si="442"/>
        <v>#N/A</v>
      </c>
      <c r="L220" s="40" t="e">
        <f t="shared" si="3"/>
        <v>#N/A</v>
      </c>
      <c r="M220" s="16" t="e">
        <f t="shared" si="4"/>
        <v>#N/A</v>
      </c>
      <c r="N220" s="16" t="e">
        <f t="shared" si="5"/>
        <v>#N/A</v>
      </c>
      <c r="O220" s="16" t="s">
        <v>64</v>
      </c>
      <c r="P220" s="16" t="str">
        <f t="shared" si="6"/>
        <v/>
      </c>
      <c r="Q220" s="41" t="e">
        <f t="shared" si="7"/>
        <v>#N/A</v>
      </c>
      <c r="R220" s="44"/>
      <c r="S220" s="44"/>
      <c r="T220" s="43"/>
      <c r="U220" s="43" t="str">
        <f t="shared" si="8"/>
        <v>No</v>
      </c>
      <c r="V220" s="25"/>
      <c r="W220" s="25"/>
      <c r="X220" s="25"/>
      <c r="Y220" s="25"/>
      <c r="Z220" s="25"/>
    </row>
    <row r="221" spans="1:26" ht="15.75" customHeight="1" x14ac:dyDescent="0.25">
      <c r="A221" s="25">
        <v>219</v>
      </c>
      <c r="B221" s="37" t="e">
        <f t="shared" ref="B221:D221" si="443">VLOOKUP($A221,[1]Ambiente!$A$1:$O$274,B$1,0)</f>
        <v>#N/A</v>
      </c>
      <c r="C221" s="38" t="e">
        <f t="shared" si="443"/>
        <v>#N/A</v>
      </c>
      <c r="D221" s="39" t="e">
        <f t="shared" si="443"/>
        <v>#N/A</v>
      </c>
      <c r="E221" s="16" t="e">
        <f t="shared" si="1"/>
        <v>#N/A</v>
      </c>
      <c r="F221" s="16" t="e">
        <f t="shared" ref="F221:K221" si="444">VLOOKUP($A221,[1]Ambiente!$A$1:$O$274,F$1,0)</f>
        <v>#N/A</v>
      </c>
      <c r="G221" s="39" t="e">
        <f t="shared" si="444"/>
        <v>#N/A</v>
      </c>
      <c r="H221" s="16" t="e">
        <f t="shared" si="444"/>
        <v>#N/A</v>
      </c>
      <c r="I221" s="16" t="e">
        <f t="shared" si="444"/>
        <v>#N/A</v>
      </c>
      <c r="J221" s="40" t="e">
        <f t="shared" si="444"/>
        <v>#N/A</v>
      </c>
      <c r="K221" s="16" t="e">
        <f t="shared" si="444"/>
        <v>#N/A</v>
      </c>
      <c r="L221" s="40" t="e">
        <f t="shared" si="3"/>
        <v>#N/A</v>
      </c>
      <c r="M221" s="16" t="e">
        <f t="shared" si="4"/>
        <v>#N/A</v>
      </c>
      <c r="N221" s="16" t="e">
        <f t="shared" si="5"/>
        <v>#N/A</v>
      </c>
      <c r="O221" s="16" t="s">
        <v>64</v>
      </c>
      <c r="P221" s="16" t="str">
        <f t="shared" si="6"/>
        <v/>
      </c>
      <c r="Q221" s="41" t="e">
        <f t="shared" si="7"/>
        <v>#N/A</v>
      </c>
      <c r="R221" s="44"/>
      <c r="S221" s="44"/>
      <c r="T221" s="43"/>
      <c r="U221" s="43" t="str">
        <f t="shared" si="8"/>
        <v>No</v>
      </c>
      <c r="V221" s="25"/>
      <c r="W221" s="25"/>
      <c r="X221" s="25"/>
      <c r="Y221" s="25"/>
      <c r="Z221" s="25"/>
    </row>
    <row r="222" spans="1:26" ht="15.75" customHeight="1" x14ac:dyDescent="0.25">
      <c r="A222" s="25">
        <v>220</v>
      </c>
      <c r="B222" s="37" t="e">
        <f t="shared" ref="B222:D222" si="445">VLOOKUP($A222,[1]Ambiente!$A$1:$O$274,B$1,0)</f>
        <v>#N/A</v>
      </c>
      <c r="C222" s="38" t="e">
        <f t="shared" si="445"/>
        <v>#N/A</v>
      </c>
      <c r="D222" s="39" t="e">
        <f t="shared" si="445"/>
        <v>#N/A</v>
      </c>
      <c r="E222" s="16" t="e">
        <f t="shared" si="1"/>
        <v>#N/A</v>
      </c>
      <c r="F222" s="16" t="e">
        <f t="shared" ref="F222:K222" si="446">VLOOKUP($A222,[1]Ambiente!$A$1:$O$274,F$1,0)</f>
        <v>#N/A</v>
      </c>
      <c r="G222" s="39" t="e">
        <f t="shared" si="446"/>
        <v>#N/A</v>
      </c>
      <c r="H222" s="16" t="e">
        <f t="shared" si="446"/>
        <v>#N/A</v>
      </c>
      <c r="I222" s="16" t="e">
        <f t="shared" si="446"/>
        <v>#N/A</v>
      </c>
      <c r="J222" s="40" t="e">
        <f t="shared" si="446"/>
        <v>#N/A</v>
      </c>
      <c r="K222" s="16" t="e">
        <f t="shared" si="446"/>
        <v>#N/A</v>
      </c>
      <c r="L222" s="40" t="e">
        <f t="shared" si="3"/>
        <v>#N/A</v>
      </c>
      <c r="M222" s="16" t="e">
        <f t="shared" si="4"/>
        <v>#N/A</v>
      </c>
      <c r="N222" s="16" t="e">
        <f t="shared" si="5"/>
        <v>#N/A</v>
      </c>
      <c r="O222" s="16" t="s">
        <v>64</v>
      </c>
      <c r="P222" s="16" t="str">
        <f t="shared" si="6"/>
        <v/>
      </c>
      <c r="Q222" s="41" t="e">
        <f t="shared" si="7"/>
        <v>#N/A</v>
      </c>
      <c r="R222" s="44"/>
      <c r="S222" s="44"/>
      <c r="T222" s="43"/>
      <c r="U222" s="43" t="str">
        <f t="shared" si="8"/>
        <v>No</v>
      </c>
      <c r="V222" s="25"/>
      <c r="W222" s="25"/>
      <c r="X222" s="25"/>
      <c r="Y222" s="25"/>
      <c r="Z222" s="25"/>
    </row>
    <row r="223" spans="1:26" ht="15.75" customHeight="1" x14ac:dyDescent="0.25">
      <c r="A223" s="25">
        <v>221</v>
      </c>
      <c r="B223" s="37" t="e">
        <f t="shared" ref="B223:D223" si="447">VLOOKUP($A223,[1]Ambiente!$A$1:$O$274,B$1,0)</f>
        <v>#N/A</v>
      </c>
      <c r="C223" s="38" t="e">
        <f t="shared" si="447"/>
        <v>#N/A</v>
      </c>
      <c r="D223" s="39" t="e">
        <f t="shared" si="447"/>
        <v>#N/A</v>
      </c>
      <c r="E223" s="16" t="e">
        <f t="shared" si="1"/>
        <v>#N/A</v>
      </c>
      <c r="F223" s="16" t="e">
        <f t="shared" ref="F223:K223" si="448">VLOOKUP($A223,[1]Ambiente!$A$1:$O$274,F$1,0)</f>
        <v>#N/A</v>
      </c>
      <c r="G223" s="39" t="e">
        <f t="shared" si="448"/>
        <v>#N/A</v>
      </c>
      <c r="H223" s="16" t="e">
        <f t="shared" si="448"/>
        <v>#N/A</v>
      </c>
      <c r="I223" s="16" t="e">
        <f t="shared" si="448"/>
        <v>#N/A</v>
      </c>
      <c r="J223" s="40" t="e">
        <f t="shared" si="448"/>
        <v>#N/A</v>
      </c>
      <c r="K223" s="16" t="e">
        <f t="shared" si="448"/>
        <v>#N/A</v>
      </c>
      <c r="L223" s="40" t="e">
        <f t="shared" si="3"/>
        <v>#N/A</v>
      </c>
      <c r="M223" s="16" t="e">
        <f t="shared" si="4"/>
        <v>#N/A</v>
      </c>
      <c r="N223" s="16" t="e">
        <f t="shared" si="5"/>
        <v>#N/A</v>
      </c>
      <c r="O223" s="16" t="s">
        <v>64</v>
      </c>
      <c r="P223" s="16" t="str">
        <f t="shared" si="6"/>
        <v/>
      </c>
      <c r="Q223" s="41" t="e">
        <f t="shared" si="7"/>
        <v>#N/A</v>
      </c>
      <c r="R223" s="44"/>
      <c r="S223" s="44"/>
      <c r="T223" s="43"/>
      <c r="U223" s="43" t="str">
        <f t="shared" si="8"/>
        <v>No</v>
      </c>
      <c r="V223" s="25"/>
      <c r="W223" s="25"/>
      <c r="X223" s="25"/>
      <c r="Y223" s="25"/>
      <c r="Z223" s="25"/>
    </row>
    <row r="224" spans="1:26" ht="15.75" customHeight="1" x14ac:dyDescent="0.25">
      <c r="A224" s="25">
        <v>222</v>
      </c>
      <c r="B224" s="37" t="e">
        <f t="shared" ref="B224:D224" si="449">VLOOKUP($A224,[1]Ambiente!$A$1:$O$274,B$1,0)</f>
        <v>#N/A</v>
      </c>
      <c r="C224" s="38" t="e">
        <f t="shared" si="449"/>
        <v>#N/A</v>
      </c>
      <c r="D224" s="39" t="e">
        <f t="shared" si="449"/>
        <v>#N/A</v>
      </c>
      <c r="E224" s="16" t="e">
        <f t="shared" si="1"/>
        <v>#N/A</v>
      </c>
      <c r="F224" s="16" t="e">
        <f t="shared" ref="F224:K224" si="450">VLOOKUP($A224,[1]Ambiente!$A$1:$O$274,F$1,0)</f>
        <v>#N/A</v>
      </c>
      <c r="G224" s="39" t="e">
        <f t="shared" si="450"/>
        <v>#N/A</v>
      </c>
      <c r="H224" s="16" t="e">
        <f t="shared" si="450"/>
        <v>#N/A</v>
      </c>
      <c r="I224" s="16" t="e">
        <f t="shared" si="450"/>
        <v>#N/A</v>
      </c>
      <c r="J224" s="40" t="e">
        <f t="shared" si="450"/>
        <v>#N/A</v>
      </c>
      <c r="K224" s="16" t="e">
        <f t="shared" si="450"/>
        <v>#N/A</v>
      </c>
      <c r="L224" s="40" t="e">
        <f t="shared" si="3"/>
        <v>#N/A</v>
      </c>
      <c r="M224" s="16" t="e">
        <f t="shared" si="4"/>
        <v>#N/A</v>
      </c>
      <c r="N224" s="16" t="e">
        <f t="shared" si="5"/>
        <v>#N/A</v>
      </c>
      <c r="O224" s="16" t="s">
        <v>64</v>
      </c>
      <c r="P224" s="16" t="str">
        <f t="shared" si="6"/>
        <v/>
      </c>
      <c r="Q224" s="41" t="e">
        <f t="shared" si="7"/>
        <v>#N/A</v>
      </c>
      <c r="R224" s="44"/>
      <c r="S224" s="44"/>
      <c r="T224" s="43"/>
      <c r="U224" s="43" t="str">
        <f t="shared" si="8"/>
        <v>No</v>
      </c>
      <c r="V224" s="25"/>
      <c r="W224" s="25"/>
      <c r="X224" s="25"/>
      <c r="Y224" s="25"/>
      <c r="Z224" s="25"/>
    </row>
    <row r="225" spans="1:26" ht="15.75" customHeight="1" x14ac:dyDescent="0.25">
      <c r="A225" s="25">
        <v>223</v>
      </c>
      <c r="B225" s="37" t="e">
        <f t="shared" ref="B225:D225" si="451">VLOOKUP($A225,[1]Ambiente!$A$1:$O$274,B$1,0)</f>
        <v>#N/A</v>
      </c>
      <c r="C225" s="38" t="e">
        <f t="shared" si="451"/>
        <v>#N/A</v>
      </c>
      <c r="D225" s="39" t="e">
        <f t="shared" si="451"/>
        <v>#N/A</v>
      </c>
      <c r="E225" s="16" t="e">
        <f t="shared" si="1"/>
        <v>#N/A</v>
      </c>
      <c r="F225" s="16" t="e">
        <f t="shared" ref="F225:K225" si="452">VLOOKUP($A225,[1]Ambiente!$A$1:$O$274,F$1,0)</f>
        <v>#N/A</v>
      </c>
      <c r="G225" s="39" t="e">
        <f t="shared" si="452"/>
        <v>#N/A</v>
      </c>
      <c r="H225" s="16" t="e">
        <f t="shared" si="452"/>
        <v>#N/A</v>
      </c>
      <c r="I225" s="16" t="e">
        <f t="shared" si="452"/>
        <v>#N/A</v>
      </c>
      <c r="J225" s="40" t="e">
        <f t="shared" si="452"/>
        <v>#N/A</v>
      </c>
      <c r="K225" s="16" t="e">
        <f t="shared" si="452"/>
        <v>#N/A</v>
      </c>
      <c r="L225" s="40" t="e">
        <f t="shared" si="3"/>
        <v>#N/A</v>
      </c>
      <c r="M225" s="16" t="e">
        <f t="shared" si="4"/>
        <v>#N/A</v>
      </c>
      <c r="N225" s="16" t="e">
        <f t="shared" si="5"/>
        <v>#N/A</v>
      </c>
      <c r="O225" s="16" t="s">
        <v>64</v>
      </c>
      <c r="P225" s="16" t="str">
        <f t="shared" si="6"/>
        <v/>
      </c>
      <c r="Q225" s="41" t="e">
        <f t="shared" si="7"/>
        <v>#N/A</v>
      </c>
      <c r="R225" s="44"/>
      <c r="S225" s="44"/>
      <c r="T225" s="43"/>
      <c r="U225" s="43" t="str">
        <f t="shared" si="8"/>
        <v>No</v>
      </c>
      <c r="V225" s="25"/>
      <c r="W225" s="25"/>
      <c r="X225" s="25"/>
      <c r="Y225" s="25"/>
      <c r="Z225" s="25"/>
    </row>
    <row r="226" spans="1:26" ht="15.75" customHeight="1" x14ac:dyDescent="0.25">
      <c r="A226" s="25">
        <v>224</v>
      </c>
      <c r="B226" s="37" t="e">
        <f t="shared" ref="B226:D226" si="453">VLOOKUP($A226,[1]Ambiente!$A$1:$O$274,B$1,0)</f>
        <v>#N/A</v>
      </c>
      <c r="C226" s="38" t="e">
        <f t="shared" si="453"/>
        <v>#N/A</v>
      </c>
      <c r="D226" s="39" t="e">
        <f t="shared" si="453"/>
        <v>#N/A</v>
      </c>
      <c r="E226" s="16" t="e">
        <f t="shared" si="1"/>
        <v>#N/A</v>
      </c>
      <c r="F226" s="16" t="e">
        <f t="shared" ref="F226:K226" si="454">VLOOKUP($A226,[1]Ambiente!$A$1:$O$274,F$1,0)</f>
        <v>#N/A</v>
      </c>
      <c r="G226" s="39" t="e">
        <f t="shared" si="454"/>
        <v>#N/A</v>
      </c>
      <c r="H226" s="16" t="e">
        <f t="shared" si="454"/>
        <v>#N/A</v>
      </c>
      <c r="I226" s="16" t="e">
        <f t="shared" si="454"/>
        <v>#N/A</v>
      </c>
      <c r="J226" s="40" t="e">
        <f t="shared" si="454"/>
        <v>#N/A</v>
      </c>
      <c r="K226" s="16" t="e">
        <f t="shared" si="454"/>
        <v>#N/A</v>
      </c>
      <c r="L226" s="40" t="e">
        <f t="shared" si="3"/>
        <v>#N/A</v>
      </c>
      <c r="M226" s="16" t="e">
        <f t="shared" si="4"/>
        <v>#N/A</v>
      </c>
      <c r="N226" s="16" t="e">
        <f t="shared" si="5"/>
        <v>#N/A</v>
      </c>
      <c r="O226" s="16" t="s">
        <v>64</v>
      </c>
      <c r="P226" s="16" t="str">
        <f t="shared" si="6"/>
        <v/>
      </c>
      <c r="Q226" s="41" t="e">
        <f t="shared" si="7"/>
        <v>#N/A</v>
      </c>
      <c r="R226" s="44"/>
      <c r="S226" s="44"/>
      <c r="T226" s="43"/>
      <c r="U226" s="43" t="str">
        <f t="shared" si="8"/>
        <v>No</v>
      </c>
      <c r="V226" s="25"/>
      <c r="W226" s="25"/>
      <c r="X226" s="25"/>
      <c r="Y226" s="25"/>
      <c r="Z226" s="25"/>
    </row>
    <row r="227" spans="1:26" ht="15.75" customHeight="1" x14ac:dyDescent="0.25">
      <c r="A227" s="25">
        <v>225</v>
      </c>
      <c r="B227" s="37" t="e">
        <f t="shared" ref="B227:D227" si="455">VLOOKUP($A227,[1]Ambiente!$A$1:$O$274,B$1,0)</f>
        <v>#N/A</v>
      </c>
      <c r="C227" s="38" t="e">
        <f t="shared" si="455"/>
        <v>#N/A</v>
      </c>
      <c r="D227" s="39" t="e">
        <f t="shared" si="455"/>
        <v>#N/A</v>
      </c>
      <c r="E227" s="16" t="e">
        <f t="shared" si="1"/>
        <v>#N/A</v>
      </c>
      <c r="F227" s="16" t="e">
        <f t="shared" ref="F227:K227" si="456">VLOOKUP($A227,[1]Ambiente!$A$1:$O$274,F$1,0)</f>
        <v>#N/A</v>
      </c>
      <c r="G227" s="39" t="e">
        <f t="shared" si="456"/>
        <v>#N/A</v>
      </c>
      <c r="H227" s="16" t="e">
        <f t="shared" si="456"/>
        <v>#N/A</v>
      </c>
      <c r="I227" s="16" t="e">
        <f t="shared" si="456"/>
        <v>#N/A</v>
      </c>
      <c r="J227" s="40" t="e">
        <f t="shared" si="456"/>
        <v>#N/A</v>
      </c>
      <c r="K227" s="16" t="e">
        <f t="shared" si="456"/>
        <v>#N/A</v>
      </c>
      <c r="L227" s="40" t="e">
        <f t="shared" si="3"/>
        <v>#N/A</v>
      </c>
      <c r="M227" s="16" t="e">
        <f t="shared" si="4"/>
        <v>#N/A</v>
      </c>
      <c r="N227" s="16" t="e">
        <f t="shared" si="5"/>
        <v>#N/A</v>
      </c>
      <c r="O227" s="16" t="s">
        <v>64</v>
      </c>
      <c r="P227" s="16" t="str">
        <f t="shared" si="6"/>
        <v/>
      </c>
      <c r="Q227" s="41" t="e">
        <f t="shared" si="7"/>
        <v>#N/A</v>
      </c>
      <c r="R227" s="44"/>
      <c r="S227" s="44"/>
      <c r="T227" s="43"/>
      <c r="U227" s="43" t="str">
        <f t="shared" si="8"/>
        <v>No</v>
      </c>
      <c r="V227" s="25"/>
      <c r="W227" s="25"/>
      <c r="X227" s="25"/>
      <c r="Y227" s="25"/>
      <c r="Z227" s="25"/>
    </row>
    <row r="228" spans="1:26" ht="15.75" customHeight="1" x14ac:dyDescent="0.25">
      <c r="A228" s="25">
        <v>226</v>
      </c>
      <c r="B228" s="37" t="e">
        <f t="shared" ref="B228:D228" si="457">VLOOKUP($A228,[1]Ambiente!$A$1:$O$274,B$1,0)</f>
        <v>#N/A</v>
      </c>
      <c r="C228" s="38" t="e">
        <f t="shared" si="457"/>
        <v>#N/A</v>
      </c>
      <c r="D228" s="39" t="e">
        <f t="shared" si="457"/>
        <v>#N/A</v>
      </c>
      <c r="E228" s="16" t="e">
        <f t="shared" si="1"/>
        <v>#N/A</v>
      </c>
      <c r="F228" s="16" t="e">
        <f t="shared" ref="F228:K228" si="458">VLOOKUP($A228,[1]Ambiente!$A$1:$O$274,F$1,0)</f>
        <v>#N/A</v>
      </c>
      <c r="G228" s="39" t="e">
        <f t="shared" si="458"/>
        <v>#N/A</v>
      </c>
      <c r="H228" s="16" t="e">
        <f t="shared" si="458"/>
        <v>#N/A</v>
      </c>
      <c r="I228" s="16" t="e">
        <f t="shared" si="458"/>
        <v>#N/A</v>
      </c>
      <c r="J228" s="40" t="e">
        <f t="shared" si="458"/>
        <v>#N/A</v>
      </c>
      <c r="K228" s="16" t="e">
        <f t="shared" si="458"/>
        <v>#N/A</v>
      </c>
      <c r="L228" s="40" t="e">
        <f t="shared" si="3"/>
        <v>#N/A</v>
      </c>
      <c r="M228" s="16" t="e">
        <f t="shared" si="4"/>
        <v>#N/A</v>
      </c>
      <c r="N228" s="16" t="e">
        <f t="shared" si="5"/>
        <v>#N/A</v>
      </c>
      <c r="O228" s="16" t="s">
        <v>64</v>
      </c>
      <c r="P228" s="16" t="str">
        <f t="shared" si="6"/>
        <v/>
      </c>
      <c r="Q228" s="41" t="e">
        <f t="shared" si="7"/>
        <v>#N/A</v>
      </c>
      <c r="R228" s="44"/>
      <c r="S228" s="44"/>
      <c r="T228" s="43"/>
      <c r="U228" s="43" t="str">
        <f t="shared" si="8"/>
        <v>No</v>
      </c>
      <c r="V228" s="25"/>
      <c r="W228" s="25"/>
      <c r="X228" s="25"/>
      <c r="Y228" s="25"/>
      <c r="Z228" s="25"/>
    </row>
    <row r="229" spans="1:26" ht="15.75" customHeight="1" x14ac:dyDescent="0.25">
      <c r="A229" s="25">
        <v>227</v>
      </c>
      <c r="B229" s="37" t="e">
        <f t="shared" ref="B229:D229" si="459">VLOOKUP($A229,[1]Ambiente!$A$1:$O$274,B$1,0)</f>
        <v>#N/A</v>
      </c>
      <c r="C229" s="38" t="e">
        <f t="shared" si="459"/>
        <v>#N/A</v>
      </c>
      <c r="D229" s="39" t="e">
        <f t="shared" si="459"/>
        <v>#N/A</v>
      </c>
      <c r="E229" s="16" t="e">
        <f t="shared" si="1"/>
        <v>#N/A</v>
      </c>
      <c r="F229" s="16" t="e">
        <f t="shared" ref="F229:K229" si="460">VLOOKUP($A229,[1]Ambiente!$A$1:$O$274,F$1,0)</f>
        <v>#N/A</v>
      </c>
      <c r="G229" s="39" t="e">
        <f t="shared" si="460"/>
        <v>#N/A</v>
      </c>
      <c r="H229" s="16" t="e">
        <f t="shared" si="460"/>
        <v>#N/A</v>
      </c>
      <c r="I229" s="16" t="e">
        <f t="shared" si="460"/>
        <v>#N/A</v>
      </c>
      <c r="J229" s="40" t="e">
        <f t="shared" si="460"/>
        <v>#N/A</v>
      </c>
      <c r="K229" s="16" t="e">
        <f t="shared" si="460"/>
        <v>#N/A</v>
      </c>
      <c r="L229" s="40" t="e">
        <f t="shared" si="3"/>
        <v>#N/A</v>
      </c>
      <c r="M229" s="16" t="e">
        <f t="shared" si="4"/>
        <v>#N/A</v>
      </c>
      <c r="N229" s="16" t="e">
        <f t="shared" si="5"/>
        <v>#N/A</v>
      </c>
      <c r="O229" s="16" t="s">
        <v>64</v>
      </c>
      <c r="P229" s="16" t="str">
        <f t="shared" si="6"/>
        <v/>
      </c>
      <c r="Q229" s="41" t="e">
        <f t="shared" si="7"/>
        <v>#N/A</v>
      </c>
      <c r="R229" s="44"/>
      <c r="S229" s="44"/>
      <c r="T229" s="43"/>
      <c r="U229" s="43" t="str">
        <f t="shared" si="8"/>
        <v>No</v>
      </c>
      <c r="V229" s="25"/>
      <c r="W229" s="25"/>
      <c r="X229" s="25"/>
      <c r="Y229" s="25"/>
      <c r="Z229" s="25"/>
    </row>
    <row r="230" spans="1:26" ht="15.75" customHeight="1" x14ac:dyDescent="0.25">
      <c r="A230" s="25">
        <v>228</v>
      </c>
      <c r="B230" s="37" t="e">
        <f t="shared" ref="B230:D230" si="461">VLOOKUP($A230,[1]Ambiente!$A$1:$O$274,B$1,0)</f>
        <v>#N/A</v>
      </c>
      <c r="C230" s="38" t="e">
        <f t="shared" si="461"/>
        <v>#N/A</v>
      </c>
      <c r="D230" s="39" t="e">
        <f t="shared" si="461"/>
        <v>#N/A</v>
      </c>
      <c r="E230" s="16" t="e">
        <f t="shared" si="1"/>
        <v>#N/A</v>
      </c>
      <c r="F230" s="16" t="e">
        <f t="shared" ref="F230:K230" si="462">VLOOKUP($A230,[1]Ambiente!$A$1:$O$274,F$1,0)</f>
        <v>#N/A</v>
      </c>
      <c r="G230" s="39" t="e">
        <f t="shared" si="462"/>
        <v>#N/A</v>
      </c>
      <c r="H230" s="16" t="e">
        <f t="shared" si="462"/>
        <v>#N/A</v>
      </c>
      <c r="I230" s="16" t="e">
        <f t="shared" si="462"/>
        <v>#N/A</v>
      </c>
      <c r="J230" s="40" t="e">
        <f t="shared" si="462"/>
        <v>#N/A</v>
      </c>
      <c r="K230" s="16" t="e">
        <f t="shared" si="462"/>
        <v>#N/A</v>
      </c>
      <c r="L230" s="40" t="e">
        <f t="shared" si="3"/>
        <v>#N/A</v>
      </c>
      <c r="M230" s="16" t="e">
        <f t="shared" si="4"/>
        <v>#N/A</v>
      </c>
      <c r="N230" s="16" t="e">
        <f t="shared" si="5"/>
        <v>#N/A</v>
      </c>
      <c r="O230" s="16" t="s">
        <v>64</v>
      </c>
      <c r="P230" s="16" t="str">
        <f t="shared" si="6"/>
        <v/>
      </c>
      <c r="Q230" s="41" t="e">
        <f t="shared" si="7"/>
        <v>#N/A</v>
      </c>
      <c r="R230" s="44"/>
      <c r="S230" s="44"/>
      <c r="T230" s="43"/>
      <c r="U230" s="43" t="str">
        <f t="shared" si="8"/>
        <v>No</v>
      </c>
      <c r="V230" s="25"/>
      <c r="W230" s="25"/>
      <c r="X230" s="25"/>
      <c r="Y230" s="25"/>
      <c r="Z230" s="25"/>
    </row>
    <row r="231" spans="1:26" ht="15.75" customHeight="1" x14ac:dyDescent="0.25">
      <c r="A231" s="25">
        <v>229</v>
      </c>
      <c r="B231" s="37" t="e">
        <f t="shared" ref="B231:D231" si="463">VLOOKUP($A231,[1]Ambiente!$A$1:$O$274,B$1,0)</f>
        <v>#N/A</v>
      </c>
      <c r="C231" s="38" t="e">
        <f t="shared" si="463"/>
        <v>#N/A</v>
      </c>
      <c r="D231" s="39" t="e">
        <f t="shared" si="463"/>
        <v>#N/A</v>
      </c>
      <c r="E231" s="16" t="e">
        <f t="shared" si="1"/>
        <v>#N/A</v>
      </c>
      <c r="F231" s="16" t="e">
        <f t="shared" ref="F231:K231" si="464">VLOOKUP($A231,[1]Ambiente!$A$1:$O$274,F$1,0)</f>
        <v>#N/A</v>
      </c>
      <c r="G231" s="39" t="e">
        <f t="shared" si="464"/>
        <v>#N/A</v>
      </c>
      <c r="H231" s="16" t="e">
        <f t="shared" si="464"/>
        <v>#N/A</v>
      </c>
      <c r="I231" s="16" t="e">
        <f t="shared" si="464"/>
        <v>#N/A</v>
      </c>
      <c r="J231" s="40" t="e">
        <f t="shared" si="464"/>
        <v>#N/A</v>
      </c>
      <c r="K231" s="16" t="e">
        <f t="shared" si="464"/>
        <v>#N/A</v>
      </c>
      <c r="L231" s="40" t="e">
        <f t="shared" si="3"/>
        <v>#N/A</v>
      </c>
      <c r="M231" s="16" t="e">
        <f t="shared" si="4"/>
        <v>#N/A</v>
      </c>
      <c r="N231" s="16" t="e">
        <f t="shared" si="5"/>
        <v>#N/A</v>
      </c>
      <c r="O231" s="16" t="s">
        <v>64</v>
      </c>
      <c r="P231" s="16" t="str">
        <f t="shared" si="6"/>
        <v/>
      </c>
      <c r="Q231" s="41" t="e">
        <f t="shared" si="7"/>
        <v>#N/A</v>
      </c>
      <c r="R231" s="44"/>
      <c r="S231" s="44"/>
      <c r="T231" s="43"/>
      <c r="U231" s="43" t="str">
        <f t="shared" si="8"/>
        <v>No</v>
      </c>
      <c r="V231" s="25"/>
      <c r="W231" s="25"/>
      <c r="X231" s="25"/>
      <c r="Y231" s="25"/>
      <c r="Z231" s="25"/>
    </row>
    <row r="232" spans="1:26" ht="15.75" customHeight="1" x14ac:dyDescent="0.25">
      <c r="A232" s="25">
        <v>230</v>
      </c>
      <c r="B232" s="37" t="e">
        <f t="shared" ref="B232:D232" si="465">VLOOKUP($A232,[1]Ambiente!$A$1:$O$274,B$1,0)</f>
        <v>#N/A</v>
      </c>
      <c r="C232" s="38" t="e">
        <f t="shared" si="465"/>
        <v>#N/A</v>
      </c>
      <c r="D232" s="39" t="e">
        <f t="shared" si="465"/>
        <v>#N/A</v>
      </c>
      <c r="E232" s="16" t="e">
        <f t="shared" si="1"/>
        <v>#N/A</v>
      </c>
      <c r="F232" s="16" t="e">
        <f t="shared" ref="F232:K232" si="466">VLOOKUP($A232,[1]Ambiente!$A$1:$O$274,F$1,0)</f>
        <v>#N/A</v>
      </c>
      <c r="G232" s="39" t="e">
        <f t="shared" si="466"/>
        <v>#N/A</v>
      </c>
      <c r="H232" s="16" t="e">
        <f t="shared" si="466"/>
        <v>#N/A</v>
      </c>
      <c r="I232" s="16" t="e">
        <f t="shared" si="466"/>
        <v>#N/A</v>
      </c>
      <c r="J232" s="40" t="e">
        <f t="shared" si="466"/>
        <v>#N/A</v>
      </c>
      <c r="K232" s="16" t="e">
        <f t="shared" si="466"/>
        <v>#N/A</v>
      </c>
      <c r="L232" s="40" t="e">
        <f t="shared" si="3"/>
        <v>#N/A</v>
      </c>
      <c r="M232" s="16" t="e">
        <f t="shared" si="4"/>
        <v>#N/A</v>
      </c>
      <c r="N232" s="16" t="e">
        <f t="shared" si="5"/>
        <v>#N/A</v>
      </c>
      <c r="O232" s="16" t="s">
        <v>64</v>
      </c>
      <c r="P232" s="16" t="str">
        <f t="shared" si="6"/>
        <v/>
      </c>
      <c r="Q232" s="41" t="e">
        <f t="shared" si="7"/>
        <v>#N/A</v>
      </c>
      <c r="R232" s="44"/>
      <c r="S232" s="44"/>
      <c r="T232" s="43"/>
      <c r="U232" s="43" t="str">
        <f t="shared" si="8"/>
        <v>No</v>
      </c>
      <c r="V232" s="25"/>
      <c r="W232" s="25"/>
      <c r="X232" s="25"/>
      <c r="Y232" s="25"/>
      <c r="Z232" s="25"/>
    </row>
    <row r="233" spans="1:26" ht="15.75" customHeight="1" x14ac:dyDescent="0.25">
      <c r="A233" s="25">
        <v>231</v>
      </c>
      <c r="B233" s="37" t="e">
        <f t="shared" ref="B233:D233" si="467">VLOOKUP($A233,[1]Ambiente!$A$1:$O$274,B$1,0)</f>
        <v>#N/A</v>
      </c>
      <c r="C233" s="38" t="e">
        <f t="shared" si="467"/>
        <v>#N/A</v>
      </c>
      <c r="D233" s="39" t="e">
        <f t="shared" si="467"/>
        <v>#N/A</v>
      </c>
      <c r="E233" s="16" t="e">
        <f t="shared" si="1"/>
        <v>#N/A</v>
      </c>
      <c r="F233" s="16" t="e">
        <f t="shared" ref="F233:K233" si="468">VLOOKUP($A233,[1]Ambiente!$A$1:$O$274,F$1,0)</f>
        <v>#N/A</v>
      </c>
      <c r="G233" s="39" t="e">
        <f t="shared" si="468"/>
        <v>#N/A</v>
      </c>
      <c r="H233" s="16" t="e">
        <f t="shared" si="468"/>
        <v>#N/A</v>
      </c>
      <c r="I233" s="16" t="e">
        <f t="shared" si="468"/>
        <v>#N/A</v>
      </c>
      <c r="J233" s="40" t="e">
        <f t="shared" si="468"/>
        <v>#N/A</v>
      </c>
      <c r="K233" s="16" t="e">
        <f t="shared" si="468"/>
        <v>#N/A</v>
      </c>
      <c r="L233" s="40" t="e">
        <f t="shared" si="3"/>
        <v>#N/A</v>
      </c>
      <c r="M233" s="16" t="e">
        <f t="shared" si="4"/>
        <v>#N/A</v>
      </c>
      <c r="N233" s="16" t="e">
        <f t="shared" si="5"/>
        <v>#N/A</v>
      </c>
      <c r="O233" s="16" t="s">
        <v>64</v>
      </c>
      <c r="P233" s="16" t="str">
        <f t="shared" si="6"/>
        <v/>
      </c>
      <c r="Q233" s="41" t="e">
        <f t="shared" si="7"/>
        <v>#N/A</v>
      </c>
      <c r="R233" s="44"/>
      <c r="S233" s="44"/>
      <c r="T233" s="43"/>
      <c r="U233" s="43" t="str">
        <f t="shared" si="8"/>
        <v>No</v>
      </c>
      <c r="V233" s="25"/>
      <c r="W233" s="25"/>
      <c r="X233" s="25"/>
      <c r="Y233" s="25"/>
      <c r="Z233" s="25"/>
    </row>
    <row r="234" spans="1:26" ht="15.75" customHeight="1" x14ac:dyDescent="0.25">
      <c r="A234" s="25">
        <v>232</v>
      </c>
      <c r="B234" s="37" t="e">
        <f t="shared" ref="B234:D234" si="469">VLOOKUP($A234,[1]Ambiente!$A$1:$O$274,B$1,0)</f>
        <v>#N/A</v>
      </c>
      <c r="C234" s="38" t="e">
        <f t="shared" si="469"/>
        <v>#N/A</v>
      </c>
      <c r="D234" s="39" t="e">
        <f t="shared" si="469"/>
        <v>#N/A</v>
      </c>
      <c r="E234" s="16" t="e">
        <f t="shared" si="1"/>
        <v>#N/A</v>
      </c>
      <c r="F234" s="16" t="e">
        <f t="shared" ref="F234:K234" si="470">VLOOKUP($A234,[1]Ambiente!$A$1:$O$274,F$1,0)</f>
        <v>#N/A</v>
      </c>
      <c r="G234" s="39" t="e">
        <f t="shared" si="470"/>
        <v>#N/A</v>
      </c>
      <c r="H234" s="16" t="e">
        <f t="shared" si="470"/>
        <v>#N/A</v>
      </c>
      <c r="I234" s="16" t="e">
        <f t="shared" si="470"/>
        <v>#N/A</v>
      </c>
      <c r="J234" s="40" t="e">
        <f t="shared" si="470"/>
        <v>#N/A</v>
      </c>
      <c r="K234" s="16" t="e">
        <f t="shared" si="470"/>
        <v>#N/A</v>
      </c>
      <c r="L234" s="40" t="e">
        <f t="shared" si="3"/>
        <v>#N/A</v>
      </c>
      <c r="M234" s="16" t="e">
        <f t="shared" si="4"/>
        <v>#N/A</v>
      </c>
      <c r="N234" s="16" t="e">
        <f t="shared" si="5"/>
        <v>#N/A</v>
      </c>
      <c r="O234" s="16" t="s">
        <v>64</v>
      </c>
      <c r="P234" s="16" t="str">
        <f t="shared" si="6"/>
        <v/>
      </c>
      <c r="Q234" s="41" t="e">
        <f t="shared" si="7"/>
        <v>#N/A</v>
      </c>
      <c r="R234" s="44"/>
      <c r="S234" s="44"/>
      <c r="T234" s="43"/>
      <c r="U234" s="43" t="str">
        <f t="shared" si="8"/>
        <v>No</v>
      </c>
      <c r="V234" s="25"/>
      <c r="W234" s="25"/>
      <c r="X234" s="25"/>
      <c r="Y234" s="25"/>
      <c r="Z234" s="25"/>
    </row>
    <row r="235" spans="1:26" ht="15.75" customHeight="1" x14ac:dyDescent="0.25">
      <c r="A235" s="25">
        <v>233</v>
      </c>
      <c r="B235" s="37" t="e">
        <f t="shared" ref="B235:D235" si="471">VLOOKUP($A235,[1]Ambiente!$A$1:$O$274,B$1,0)</f>
        <v>#N/A</v>
      </c>
      <c r="C235" s="38" t="e">
        <f t="shared" si="471"/>
        <v>#N/A</v>
      </c>
      <c r="D235" s="39" t="e">
        <f t="shared" si="471"/>
        <v>#N/A</v>
      </c>
      <c r="E235" s="16" t="e">
        <f t="shared" si="1"/>
        <v>#N/A</v>
      </c>
      <c r="F235" s="16" t="e">
        <f t="shared" ref="F235:K235" si="472">VLOOKUP($A235,[1]Ambiente!$A$1:$O$274,F$1,0)</f>
        <v>#N/A</v>
      </c>
      <c r="G235" s="39" t="e">
        <f t="shared" si="472"/>
        <v>#N/A</v>
      </c>
      <c r="H235" s="16" t="e">
        <f t="shared" si="472"/>
        <v>#N/A</v>
      </c>
      <c r="I235" s="16" t="e">
        <f t="shared" si="472"/>
        <v>#N/A</v>
      </c>
      <c r="J235" s="40" t="e">
        <f t="shared" si="472"/>
        <v>#N/A</v>
      </c>
      <c r="K235" s="16" t="e">
        <f t="shared" si="472"/>
        <v>#N/A</v>
      </c>
      <c r="L235" s="40" t="e">
        <f t="shared" si="3"/>
        <v>#N/A</v>
      </c>
      <c r="M235" s="16" t="e">
        <f t="shared" si="4"/>
        <v>#N/A</v>
      </c>
      <c r="N235" s="16" t="e">
        <f t="shared" si="5"/>
        <v>#N/A</v>
      </c>
      <c r="O235" s="16" t="s">
        <v>64</v>
      </c>
      <c r="P235" s="16" t="str">
        <f t="shared" si="6"/>
        <v/>
      </c>
      <c r="Q235" s="41" t="e">
        <f t="shared" si="7"/>
        <v>#N/A</v>
      </c>
      <c r="R235" s="44"/>
      <c r="S235" s="44"/>
      <c r="T235" s="43"/>
      <c r="U235" s="43" t="str">
        <f t="shared" si="8"/>
        <v>No</v>
      </c>
      <c r="V235" s="25"/>
      <c r="W235" s="25"/>
      <c r="X235" s="25"/>
      <c r="Y235" s="25"/>
      <c r="Z235" s="25"/>
    </row>
    <row r="236" spans="1:26" ht="15.75" customHeight="1" x14ac:dyDescent="0.25">
      <c r="A236" s="25">
        <v>234</v>
      </c>
      <c r="B236" s="37" t="e">
        <f t="shared" ref="B236:D236" si="473">VLOOKUP($A236,[1]Ambiente!$A$1:$O$274,B$1,0)</f>
        <v>#N/A</v>
      </c>
      <c r="C236" s="38" t="e">
        <f t="shared" si="473"/>
        <v>#N/A</v>
      </c>
      <c r="D236" s="39" t="e">
        <f t="shared" si="473"/>
        <v>#N/A</v>
      </c>
      <c r="E236" s="16" t="e">
        <f t="shared" si="1"/>
        <v>#N/A</v>
      </c>
      <c r="F236" s="16" t="e">
        <f t="shared" ref="F236:K236" si="474">VLOOKUP($A236,[1]Ambiente!$A$1:$O$274,F$1,0)</f>
        <v>#N/A</v>
      </c>
      <c r="G236" s="39" t="e">
        <f t="shared" si="474"/>
        <v>#N/A</v>
      </c>
      <c r="H236" s="16" t="e">
        <f t="shared" si="474"/>
        <v>#N/A</v>
      </c>
      <c r="I236" s="16" t="e">
        <f t="shared" si="474"/>
        <v>#N/A</v>
      </c>
      <c r="J236" s="40" t="e">
        <f t="shared" si="474"/>
        <v>#N/A</v>
      </c>
      <c r="K236" s="16" t="e">
        <f t="shared" si="474"/>
        <v>#N/A</v>
      </c>
      <c r="L236" s="40" t="e">
        <f t="shared" si="3"/>
        <v>#N/A</v>
      </c>
      <c r="M236" s="16" t="e">
        <f t="shared" si="4"/>
        <v>#N/A</v>
      </c>
      <c r="N236" s="16" t="e">
        <f t="shared" si="5"/>
        <v>#N/A</v>
      </c>
      <c r="O236" s="16" t="s">
        <v>64</v>
      </c>
      <c r="P236" s="16" t="str">
        <f t="shared" si="6"/>
        <v/>
      </c>
      <c r="Q236" s="41" t="e">
        <f t="shared" si="7"/>
        <v>#N/A</v>
      </c>
      <c r="R236" s="44"/>
      <c r="S236" s="44"/>
      <c r="T236" s="43"/>
      <c r="U236" s="43" t="str">
        <f t="shared" si="8"/>
        <v>No</v>
      </c>
      <c r="V236" s="25"/>
      <c r="W236" s="25"/>
      <c r="X236" s="25"/>
      <c r="Y236" s="25"/>
      <c r="Z236" s="25"/>
    </row>
    <row r="237" spans="1:26" ht="15.75" customHeight="1" x14ac:dyDescent="0.25">
      <c r="A237" s="25">
        <v>235</v>
      </c>
      <c r="B237" s="37" t="e">
        <f t="shared" ref="B237:D237" si="475">VLOOKUP($A237,[1]Ambiente!$A$1:$O$274,B$1,0)</f>
        <v>#N/A</v>
      </c>
      <c r="C237" s="38" t="e">
        <f t="shared" si="475"/>
        <v>#N/A</v>
      </c>
      <c r="D237" s="39" t="e">
        <f t="shared" si="475"/>
        <v>#N/A</v>
      </c>
      <c r="E237" s="16" t="e">
        <f t="shared" si="1"/>
        <v>#N/A</v>
      </c>
      <c r="F237" s="16" t="e">
        <f t="shared" ref="F237:K237" si="476">VLOOKUP($A237,[1]Ambiente!$A$1:$O$274,F$1,0)</f>
        <v>#N/A</v>
      </c>
      <c r="G237" s="39" t="e">
        <f t="shared" si="476"/>
        <v>#N/A</v>
      </c>
      <c r="H237" s="16" t="e">
        <f t="shared" si="476"/>
        <v>#N/A</v>
      </c>
      <c r="I237" s="16" t="e">
        <f t="shared" si="476"/>
        <v>#N/A</v>
      </c>
      <c r="J237" s="40" t="e">
        <f t="shared" si="476"/>
        <v>#N/A</v>
      </c>
      <c r="K237" s="16" t="e">
        <f t="shared" si="476"/>
        <v>#N/A</v>
      </c>
      <c r="L237" s="40" t="e">
        <f t="shared" si="3"/>
        <v>#N/A</v>
      </c>
      <c r="M237" s="16" t="e">
        <f t="shared" si="4"/>
        <v>#N/A</v>
      </c>
      <c r="N237" s="16" t="e">
        <f t="shared" si="5"/>
        <v>#N/A</v>
      </c>
      <c r="O237" s="16" t="s">
        <v>64</v>
      </c>
      <c r="P237" s="16" t="str">
        <f t="shared" si="6"/>
        <v/>
      </c>
      <c r="Q237" s="41" t="e">
        <f t="shared" si="7"/>
        <v>#N/A</v>
      </c>
      <c r="R237" s="44"/>
      <c r="S237" s="44"/>
      <c r="T237" s="43"/>
      <c r="U237" s="43" t="str">
        <f t="shared" si="8"/>
        <v>No</v>
      </c>
      <c r="V237" s="25"/>
      <c r="W237" s="25"/>
      <c r="X237" s="25"/>
      <c r="Y237" s="25"/>
      <c r="Z237" s="25"/>
    </row>
    <row r="238" spans="1:26" ht="15.75" customHeight="1" x14ac:dyDescent="0.25">
      <c r="A238" s="25">
        <v>236</v>
      </c>
      <c r="B238" s="37" t="e">
        <f t="shared" ref="B238:D238" si="477">VLOOKUP($A238,[1]Ambiente!$A$1:$O$274,B$1,0)</f>
        <v>#N/A</v>
      </c>
      <c r="C238" s="38" t="e">
        <f t="shared" si="477"/>
        <v>#N/A</v>
      </c>
      <c r="D238" s="39" t="e">
        <f t="shared" si="477"/>
        <v>#N/A</v>
      </c>
      <c r="E238" s="16" t="e">
        <f t="shared" si="1"/>
        <v>#N/A</v>
      </c>
      <c r="F238" s="16" t="e">
        <f t="shared" ref="F238:K238" si="478">VLOOKUP($A238,[1]Ambiente!$A$1:$O$274,F$1,0)</f>
        <v>#N/A</v>
      </c>
      <c r="G238" s="39" t="e">
        <f t="shared" si="478"/>
        <v>#N/A</v>
      </c>
      <c r="H238" s="16" t="e">
        <f t="shared" si="478"/>
        <v>#N/A</v>
      </c>
      <c r="I238" s="16" t="e">
        <f t="shared" si="478"/>
        <v>#N/A</v>
      </c>
      <c r="J238" s="40" t="e">
        <f t="shared" si="478"/>
        <v>#N/A</v>
      </c>
      <c r="K238" s="16" t="e">
        <f t="shared" si="478"/>
        <v>#N/A</v>
      </c>
      <c r="L238" s="40" t="e">
        <f t="shared" si="3"/>
        <v>#N/A</v>
      </c>
      <c r="M238" s="16" t="e">
        <f t="shared" si="4"/>
        <v>#N/A</v>
      </c>
      <c r="N238" s="16" t="e">
        <f t="shared" si="5"/>
        <v>#N/A</v>
      </c>
      <c r="O238" s="16" t="s">
        <v>64</v>
      </c>
      <c r="P238" s="16" t="str">
        <f t="shared" si="6"/>
        <v/>
      </c>
      <c r="Q238" s="41" t="e">
        <f t="shared" si="7"/>
        <v>#N/A</v>
      </c>
      <c r="R238" s="44"/>
      <c r="S238" s="44"/>
      <c r="T238" s="43"/>
      <c r="U238" s="43" t="str">
        <f t="shared" si="8"/>
        <v>No</v>
      </c>
      <c r="V238" s="25"/>
      <c r="W238" s="25"/>
      <c r="X238" s="25"/>
      <c r="Y238" s="25"/>
      <c r="Z238" s="25"/>
    </row>
    <row r="239" spans="1:26" ht="15.75" customHeight="1" x14ac:dyDescent="0.25">
      <c r="A239" s="25">
        <v>237</v>
      </c>
      <c r="B239" s="37" t="e">
        <f t="shared" ref="B239:D239" si="479">VLOOKUP($A239,[1]Ambiente!$A$1:$O$274,B$1,0)</f>
        <v>#N/A</v>
      </c>
      <c r="C239" s="38" t="e">
        <f t="shared" si="479"/>
        <v>#N/A</v>
      </c>
      <c r="D239" s="39" t="e">
        <f t="shared" si="479"/>
        <v>#N/A</v>
      </c>
      <c r="E239" s="16" t="e">
        <f t="shared" si="1"/>
        <v>#N/A</v>
      </c>
      <c r="F239" s="16" t="e">
        <f t="shared" ref="F239:K239" si="480">VLOOKUP($A239,[1]Ambiente!$A$1:$O$274,F$1,0)</f>
        <v>#N/A</v>
      </c>
      <c r="G239" s="39" t="e">
        <f t="shared" si="480"/>
        <v>#N/A</v>
      </c>
      <c r="H239" s="16" t="e">
        <f t="shared" si="480"/>
        <v>#N/A</v>
      </c>
      <c r="I239" s="16" t="e">
        <f t="shared" si="480"/>
        <v>#N/A</v>
      </c>
      <c r="J239" s="40" t="e">
        <f t="shared" si="480"/>
        <v>#N/A</v>
      </c>
      <c r="K239" s="16" t="e">
        <f t="shared" si="480"/>
        <v>#N/A</v>
      </c>
      <c r="L239" s="40" t="e">
        <f t="shared" si="3"/>
        <v>#N/A</v>
      </c>
      <c r="M239" s="16" t="e">
        <f t="shared" si="4"/>
        <v>#N/A</v>
      </c>
      <c r="N239" s="16" t="e">
        <f t="shared" si="5"/>
        <v>#N/A</v>
      </c>
      <c r="O239" s="16" t="s">
        <v>64</v>
      </c>
      <c r="P239" s="16" t="str">
        <f t="shared" si="6"/>
        <v/>
      </c>
      <c r="Q239" s="41" t="e">
        <f t="shared" si="7"/>
        <v>#N/A</v>
      </c>
      <c r="R239" s="44"/>
      <c r="S239" s="44"/>
      <c r="T239" s="43"/>
      <c r="U239" s="43" t="str">
        <f t="shared" si="8"/>
        <v>No</v>
      </c>
      <c r="V239" s="25"/>
      <c r="W239" s="25"/>
      <c r="X239" s="25"/>
      <c r="Y239" s="25"/>
      <c r="Z239" s="25"/>
    </row>
    <row r="240" spans="1:26" ht="15.75" customHeight="1" x14ac:dyDescent="0.25">
      <c r="A240" s="25">
        <v>238</v>
      </c>
      <c r="B240" s="37" t="e">
        <f t="shared" ref="B240:D240" si="481">VLOOKUP($A240,[1]Ambiente!$A$1:$O$274,B$1,0)</f>
        <v>#N/A</v>
      </c>
      <c r="C240" s="38" t="e">
        <f t="shared" si="481"/>
        <v>#N/A</v>
      </c>
      <c r="D240" s="39" t="e">
        <f t="shared" si="481"/>
        <v>#N/A</v>
      </c>
      <c r="E240" s="16" t="e">
        <f t="shared" si="1"/>
        <v>#N/A</v>
      </c>
      <c r="F240" s="16" t="e">
        <f t="shared" ref="F240:K240" si="482">VLOOKUP($A240,[1]Ambiente!$A$1:$O$274,F$1,0)</f>
        <v>#N/A</v>
      </c>
      <c r="G240" s="39" t="e">
        <f t="shared" si="482"/>
        <v>#N/A</v>
      </c>
      <c r="H240" s="16" t="e">
        <f t="shared" si="482"/>
        <v>#N/A</v>
      </c>
      <c r="I240" s="16" t="e">
        <f t="shared" si="482"/>
        <v>#N/A</v>
      </c>
      <c r="J240" s="40" t="e">
        <f t="shared" si="482"/>
        <v>#N/A</v>
      </c>
      <c r="K240" s="16" t="e">
        <f t="shared" si="482"/>
        <v>#N/A</v>
      </c>
      <c r="L240" s="40" t="e">
        <f t="shared" si="3"/>
        <v>#N/A</v>
      </c>
      <c r="M240" s="16" t="e">
        <f t="shared" si="4"/>
        <v>#N/A</v>
      </c>
      <c r="N240" s="16" t="e">
        <f t="shared" si="5"/>
        <v>#N/A</v>
      </c>
      <c r="O240" s="16" t="s">
        <v>64</v>
      </c>
      <c r="P240" s="16" t="str">
        <f t="shared" si="6"/>
        <v/>
      </c>
      <c r="Q240" s="41" t="e">
        <f t="shared" si="7"/>
        <v>#N/A</v>
      </c>
      <c r="R240" s="44"/>
      <c r="S240" s="44"/>
      <c r="T240" s="43"/>
      <c r="U240" s="43" t="str">
        <f t="shared" si="8"/>
        <v>No</v>
      </c>
      <c r="V240" s="25"/>
      <c r="W240" s="25"/>
      <c r="X240" s="25"/>
      <c r="Y240" s="25"/>
      <c r="Z240" s="25"/>
    </row>
    <row r="241" spans="1:26" ht="15.75" customHeight="1" x14ac:dyDescent="0.25">
      <c r="A241" s="25">
        <v>239</v>
      </c>
      <c r="B241" s="37" t="e">
        <f t="shared" ref="B241:D241" si="483">VLOOKUP($A241,[1]Ambiente!$A$1:$O$274,B$1,0)</f>
        <v>#N/A</v>
      </c>
      <c r="C241" s="38" t="e">
        <f t="shared" si="483"/>
        <v>#N/A</v>
      </c>
      <c r="D241" s="39" t="e">
        <f t="shared" si="483"/>
        <v>#N/A</v>
      </c>
      <c r="E241" s="16" t="e">
        <f t="shared" si="1"/>
        <v>#N/A</v>
      </c>
      <c r="F241" s="16" t="e">
        <f t="shared" ref="F241:K241" si="484">VLOOKUP($A241,[1]Ambiente!$A$1:$O$274,F$1,0)</f>
        <v>#N/A</v>
      </c>
      <c r="G241" s="39" t="e">
        <f t="shared" si="484"/>
        <v>#N/A</v>
      </c>
      <c r="H241" s="16" t="e">
        <f t="shared" si="484"/>
        <v>#N/A</v>
      </c>
      <c r="I241" s="16" t="e">
        <f t="shared" si="484"/>
        <v>#N/A</v>
      </c>
      <c r="J241" s="40" t="e">
        <f t="shared" si="484"/>
        <v>#N/A</v>
      </c>
      <c r="K241" s="16" t="e">
        <f t="shared" si="484"/>
        <v>#N/A</v>
      </c>
      <c r="L241" s="40" t="e">
        <f t="shared" si="3"/>
        <v>#N/A</v>
      </c>
      <c r="M241" s="16" t="e">
        <f t="shared" si="4"/>
        <v>#N/A</v>
      </c>
      <c r="N241" s="16" t="e">
        <f t="shared" si="5"/>
        <v>#N/A</v>
      </c>
      <c r="O241" s="16" t="s">
        <v>64</v>
      </c>
      <c r="P241" s="16" t="str">
        <f t="shared" si="6"/>
        <v/>
      </c>
      <c r="Q241" s="41" t="e">
        <f t="shared" si="7"/>
        <v>#N/A</v>
      </c>
      <c r="R241" s="44"/>
      <c r="S241" s="44"/>
      <c r="T241" s="43"/>
      <c r="U241" s="43" t="str">
        <f t="shared" si="8"/>
        <v>No</v>
      </c>
      <c r="V241" s="25"/>
      <c r="W241" s="25"/>
      <c r="X241" s="25"/>
      <c r="Y241" s="25"/>
      <c r="Z241" s="25"/>
    </row>
    <row r="242" spans="1:26" ht="15.75" customHeight="1" x14ac:dyDescent="0.25">
      <c r="A242" s="25">
        <v>240</v>
      </c>
      <c r="B242" s="37" t="e">
        <f t="shared" ref="B242:D242" si="485">VLOOKUP($A242,[1]Ambiente!$A$1:$O$274,B$1,0)</f>
        <v>#N/A</v>
      </c>
      <c r="C242" s="38" t="e">
        <f t="shared" si="485"/>
        <v>#N/A</v>
      </c>
      <c r="D242" s="39" t="e">
        <f t="shared" si="485"/>
        <v>#N/A</v>
      </c>
      <c r="E242" s="16" t="e">
        <f t="shared" si="1"/>
        <v>#N/A</v>
      </c>
      <c r="F242" s="16" t="e">
        <f t="shared" ref="F242:K242" si="486">VLOOKUP($A242,[1]Ambiente!$A$1:$O$274,F$1,0)</f>
        <v>#N/A</v>
      </c>
      <c r="G242" s="39" t="e">
        <f t="shared" si="486"/>
        <v>#N/A</v>
      </c>
      <c r="H242" s="16" t="e">
        <f t="shared" si="486"/>
        <v>#N/A</v>
      </c>
      <c r="I242" s="16" t="e">
        <f t="shared" si="486"/>
        <v>#N/A</v>
      </c>
      <c r="J242" s="40" t="e">
        <f t="shared" si="486"/>
        <v>#N/A</v>
      </c>
      <c r="K242" s="16" t="e">
        <f t="shared" si="486"/>
        <v>#N/A</v>
      </c>
      <c r="L242" s="40" t="e">
        <f t="shared" si="3"/>
        <v>#N/A</v>
      </c>
      <c r="M242" s="16" t="e">
        <f t="shared" si="4"/>
        <v>#N/A</v>
      </c>
      <c r="N242" s="16" t="e">
        <f t="shared" si="5"/>
        <v>#N/A</v>
      </c>
      <c r="O242" s="16" t="s">
        <v>64</v>
      </c>
      <c r="P242" s="16" t="str">
        <f t="shared" si="6"/>
        <v/>
      </c>
      <c r="Q242" s="41" t="e">
        <f t="shared" si="7"/>
        <v>#N/A</v>
      </c>
      <c r="R242" s="44"/>
      <c r="S242" s="44"/>
      <c r="T242" s="43"/>
      <c r="U242" s="43" t="str">
        <f t="shared" si="8"/>
        <v>No</v>
      </c>
      <c r="V242" s="25"/>
      <c r="W242" s="25"/>
      <c r="X242" s="25"/>
      <c r="Y242" s="25"/>
      <c r="Z242" s="25"/>
    </row>
    <row r="243" spans="1:26" ht="15.75" customHeight="1" x14ac:dyDescent="0.25">
      <c r="A243" s="25">
        <v>241</v>
      </c>
      <c r="B243" s="37" t="e">
        <f t="shared" ref="B243:D243" si="487">VLOOKUP($A243,[1]Ambiente!$A$1:$O$274,B$1,0)</f>
        <v>#N/A</v>
      </c>
      <c r="C243" s="38" t="e">
        <f t="shared" si="487"/>
        <v>#N/A</v>
      </c>
      <c r="D243" s="39" t="e">
        <f t="shared" si="487"/>
        <v>#N/A</v>
      </c>
      <c r="E243" s="16" t="e">
        <f t="shared" si="1"/>
        <v>#N/A</v>
      </c>
      <c r="F243" s="16" t="e">
        <f t="shared" ref="F243:K243" si="488">VLOOKUP($A243,[1]Ambiente!$A$1:$O$274,F$1,0)</f>
        <v>#N/A</v>
      </c>
      <c r="G243" s="39" t="e">
        <f t="shared" si="488"/>
        <v>#N/A</v>
      </c>
      <c r="H243" s="16" t="e">
        <f t="shared" si="488"/>
        <v>#N/A</v>
      </c>
      <c r="I243" s="16" t="e">
        <f t="shared" si="488"/>
        <v>#N/A</v>
      </c>
      <c r="J243" s="40" t="e">
        <f t="shared" si="488"/>
        <v>#N/A</v>
      </c>
      <c r="K243" s="16" t="e">
        <f t="shared" si="488"/>
        <v>#N/A</v>
      </c>
      <c r="L243" s="40" t="e">
        <f t="shared" si="3"/>
        <v>#N/A</v>
      </c>
      <c r="M243" s="16" t="e">
        <f t="shared" si="4"/>
        <v>#N/A</v>
      </c>
      <c r="N243" s="16" t="e">
        <f t="shared" si="5"/>
        <v>#N/A</v>
      </c>
      <c r="O243" s="16" t="s">
        <v>64</v>
      </c>
      <c r="P243" s="16" t="str">
        <f t="shared" si="6"/>
        <v/>
      </c>
      <c r="Q243" s="41" t="e">
        <f t="shared" si="7"/>
        <v>#N/A</v>
      </c>
      <c r="R243" s="44"/>
      <c r="S243" s="44"/>
      <c r="T243" s="43"/>
      <c r="U243" s="43" t="str">
        <f t="shared" si="8"/>
        <v>No</v>
      </c>
      <c r="V243" s="25"/>
      <c r="W243" s="25"/>
      <c r="X243" s="25"/>
      <c r="Y243" s="25"/>
      <c r="Z243" s="25"/>
    </row>
    <row r="244" spans="1:26" ht="15.75" customHeight="1" x14ac:dyDescent="0.25">
      <c r="A244" s="25">
        <v>242</v>
      </c>
      <c r="B244" s="37" t="e">
        <f t="shared" ref="B244:D244" si="489">VLOOKUP($A244,[1]Ambiente!$A$1:$O$274,B$1,0)</f>
        <v>#N/A</v>
      </c>
      <c r="C244" s="38" t="e">
        <f t="shared" si="489"/>
        <v>#N/A</v>
      </c>
      <c r="D244" s="39" t="e">
        <f t="shared" si="489"/>
        <v>#N/A</v>
      </c>
      <c r="E244" s="16" t="e">
        <f t="shared" si="1"/>
        <v>#N/A</v>
      </c>
      <c r="F244" s="16" t="e">
        <f t="shared" ref="F244:K244" si="490">VLOOKUP($A244,[1]Ambiente!$A$1:$O$274,F$1,0)</f>
        <v>#N/A</v>
      </c>
      <c r="G244" s="39" t="e">
        <f t="shared" si="490"/>
        <v>#N/A</v>
      </c>
      <c r="H244" s="16" t="e">
        <f t="shared" si="490"/>
        <v>#N/A</v>
      </c>
      <c r="I244" s="16" t="e">
        <f t="shared" si="490"/>
        <v>#N/A</v>
      </c>
      <c r="J244" s="40" t="e">
        <f t="shared" si="490"/>
        <v>#N/A</v>
      </c>
      <c r="K244" s="16" t="e">
        <f t="shared" si="490"/>
        <v>#N/A</v>
      </c>
      <c r="L244" s="40" t="e">
        <f t="shared" si="3"/>
        <v>#N/A</v>
      </c>
      <c r="M244" s="16" t="e">
        <f t="shared" si="4"/>
        <v>#N/A</v>
      </c>
      <c r="N244" s="16" t="e">
        <f t="shared" si="5"/>
        <v>#N/A</v>
      </c>
      <c r="O244" s="16" t="s">
        <v>64</v>
      </c>
      <c r="P244" s="16" t="str">
        <f t="shared" si="6"/>
        <v/>
      </c>
      <c r="Q244" s="41" t="e">
        <f t="shared" si="7"/>
        <v>#N/A</v>
      </c>
      <c r="R244" s="44"/>
      <c r="S244" s="44"/>
      <c r="T244" s="43"/>
      <c r="U244" s="43" t="str">
        <f t="shared" si="8"/>
        <v>No</v>
      </c>
      <c r="V244" s="25"/>
      <c r="W244" s="25"/>
      <c r="X244" s="25"/>
      <c r="Y244" s="25"/>
      <c r="Z244" s="25"/>
    </row>
    <row r="245" spans="1:26" ht="15.75" customHeight="1" x14ac:dyDescent="0.25">
      <c r="A245" s="25">
        <v>243</v>
      </c>
      <c r="B245" s="37" t="e">
        <f t="shared" ref="B245:D245" si="491">VLOOKUP($A245,[1]Ambiente!$A$1:$O$274,B$1,0)</f>
        <v>#N/A</v>
      </c>
      <c r="C245" s="38" t="e">
        <f t="shared" si="491"/>
        <v>#N/A</v>
      </c>
      <c r="D245" s="39" t="e">
        <f t="shared" si="491"/>
        <v>#N/A</v>
      </c>
      <c r="E245" s="16" t="e">
        <f t="shared" si="1"/>
        <v>#N/A</v>
      </c>
      <c r="F245" s="16" t="e">
        <f t="shared" ref="F245:K245" si="492">VLOOKUP($A245,[1]Ambiente!$A$1:$O$274,F$1,0)</f>
        <v>#N/A</v>
      </c>
      <c r="G245" s="39" t="e">
        <f t="shared" si="492"/>
        <v>#N/A</v>
      </c>
      <c r="H245" s="16" t="e">
        <f t="shared" si="492"/>
        <v>#N/A</v>
      </c>
      <c r="I245" s="16" t="e">
        <f t="shared" si="492"/>
        <v>#N/A</v>
      </c>
      <c r="J245" s="40" t="e">
        <f t="shared" si="492"/>
        <v>#N/A</v>
      </c>
      <c r="K245" s="16" t="e">
        <f t="shared" si="492"/>
        <v>#N/A</v>
      </c>
      <c r="L245" s="40" t="e">
        <f t="shared" si="3"/>
        <v>#N/A</v>
      </c>
      <c r="M245" s="16" t="e">
        <f t="shared" si="4"/>
        <v>#N/A</v>
      </c>
      <c r="N245" s="16" t="e">
        <f t="shared" si="5"/>
        <v>#N/A</v>
      </c>
      <c r="O245" s="16" t="s">
        <v>64</v>
      </c>
      <c r="P245" s="16" t="str">
        <f t="shared" si="6"/>
        <v/>
      </c>
      <c r="Q245" s="41" t="e">
        <f t="shared" si="7"/>
        <v>#N/A</v>
      </c>
      <c r="R245" s="44"/>
      <c r="S245" s="44"/>
      <c r="T245" s="43"/>
      <c r="U245" s="43" t="str">
        <f t="shared" si="8"/>
        <v>No</v>
      </c>
      <c r="V245" s="25"/>
      <c r="W245" s="25"/>
      <c r="X245" s="25"/>
      <c r="Y245" s="25"/>
      <c r="Z245" s="25"/>
    </row>
    <row r="246" spans="1:26" ht="15.75" customHeight="1" x14ac:dyDescent="0.25">
      <c r="A246" s="25">
        <v>244</v>
      </c>
      <c r="B246" s="37" t="e">
        <f t="shared" ref="B246:D246" si="493">VLOOKUP($A246,[1]Ambiente!$A$1:$O$274,B$1,0)</f>
        <v>#N/A</v>
      </c>
      <c r="C246" s="38" t="e">
        <f t="shared" si="493"/>
        <v>#N/A</v>
      </c>
      <c r="D246" s="39" t="e">
        <f t="shared" si="493"/>
        <v>#N/A</v>
      </c>
      <c r="E246" s="16" t="e">
        <f t="shared" si="1"/>
        <v>#N/A</v>
      </c>
      <c r="F246" s="16" t="e">
        <f t="shared" ref="F246:K246" si="494">VLOOKUP($A246,[1]Ambiente!$A$1:$O$274,F$1,0)</f>
        <v>#N/A</v>
      </c>
      <c r="G246" s="39" t="e">
        <f t="shared" si="494"/>
        <v>#N/A</v>
      </c>
      <c r="H246" s="16" t="e">
        <f t="shared" si="494"/>
        <v>#N/A</v>
      </c>
      <c r="I246" s="16" t="e">
        <f t="shared" si="494"/>
        <v>#N/A</v>
      </c>
      <c r="J246" s="40" t="e">
        <f t="shared" si="494"/>
        <v>#N/A</v>
      </c>
      <c r="K246" s="16" t="e">
        <f t="shared" si="494"/>
        <v>#N/A</v>
      </c>
      <c r="L246" s="40" t="e">
        <f t="shared" si="3"/>
        <v>#N/A</v>
      </c>
      <c r="M246" s="16" t="e">
        <f t="shared" si="4"/>
        <v>#N/A</v>
      </c>
      <c r="N246" s="16" t="e">
        <f t="shared" si="5"/>
        <v>#N/A</v>
      </c>
      <c r="O246" s="16" t="s">
        <v>64</v>
      </c>
      <c r="P246" s="16" t="str">
        <f t="shared" si="6"/>
        <v/>
      </c>
      <c r="Q246" s="41" t="e">
        <f t="shared" si="7"/>
        <v>#N/A</v>
      </c>
      <c r="R246" s="44"/>
      <c r="S246" s="44"/>
      <c r="T246" s="43"/>
      <c r="U246" s="43" t="str">
        <f t="shared" si="8"/>
        <v>No</v>
      </c>
      <c r="V246" s="25"/>
      <c r="W246" s="25"/>
      <c r="X246" s="25"/>
      <c r="Y246" s="25"/>
      <c r="Z246" s="25"/>
    </row>
    <row r="247" spans="1:26" ht="15.75" customHeight="1" x14ac:dyDescent="0.25">
      <c r="A247" s="25">
        <v>245</v>
      </c>
      <c r="B247" s="37" t="e">
        <f t="shared" ref="B247:D247" si="495">VLOOKUP($A247,[1]Ambiente!$A$1:$O$274,B$1,0)</f>
        <v>#N/A</v>
      </c>
      <c r="C247" s="38" t="e">
        <f t="shared" si="495"/>
        <v>#N/A</v>
      </c>
      <c r="D247" s="39" t="e">
        <f t="shared" si="495"/>
        <v>#N/A</v>
      </c>
      <c r="E247" s="16" t="e">
        <f t="shared" si="1"/>
        <v>#N/A</v>
      </c>
      <c r="F247" s="16" t="e">
        <f t="shared" ref="F247:K247" si="496">VLOOKUP($A247,[1]Ambiente!$A$1:$O$274,F$1,0)</f>
        <v>#N/A</v>
      </c>
      <c r="G247" s="39" t="e">
        <f t="shared" si="496"/>
        <v>#N/A</v>
      </c>
      <c r="H247" s="16" t="e">
        <f t="shared" si="496"/>
        <v>#N/A</v>
      </c>
      <c r="I247" s="16" t="e">
        <f t="shared" si="496"/>
        <v>#N/A</v>
      </c>
      <c r="J247" s="40" t="e">
        <f t="shared" si="496"/>
        <v>#N/A</v>
      </c>
      <c r="K247" s="16" t="e">
        <f t="shared" si="496"/>
        <v>#N/A</v>
      </c>
      <c r="L247" s="40" t="e">
        <f t="shared" si="3"/>
        <v>#N/A</v>
      </c>
      <c r="M247" s="16" t="e">
        <f t="shared" si="4"/>
        <v>#N/A</v>
      </c>
      <c r="N247" s="16" t="e">
        <f t="shared" si="5"/>
        <v>#N/A</v>
      </c>
      <c r="O247" s="16" t="s">
        <v>64</v>
      </c>
      <c r="P247" s="16" t="str">
        <f t="shared" si="6"/>
        <v/>
      </c>
      <c r="Q247" s="41" t="e">
        <f t="shared" si="7"/>
        <v>#N/A</v>
      </c>
      <c r="R247" s="44"/>
      <c r="S247" s="44"/>
      <c r="T247" s="43"/>
      <c r="U247" s="43" t="str">
        <f t="shared" si="8"/>
        <v>No</v>
      </c>
      <c r="V247" s="25"/>
      <c r="W247" s="25"/>
      <c r="X247" s="25"/>
      <c r="Y247" s="25"/>
      <c r="Z247" s="25"/>
    </row>
    <row r="248" spans="1:26" ht="15.75" customHeight="1" x14ac:dyDescent="0.25">
      <c r="A248" s="25">
        <v>246</v>
      </c>
      <c r="B248" s="37" t="e">
        <f t="shared" ref="B248:D248" si="497">VLOOKUP($A248,[1]Ambiente!$A$1:$O$274,B$1,0)</f>
        <v>#N/A</v>
      </c>
      <c r="C248" s="38" t="e">
        <f t="shared" si="497"/>
        <v>#N/A</v>
      </c>
      <c r="D248" s="39" t="e">
        <f t="shared" si="497"/>
        <v>#N/A</v>
      </c>
      <c r="E248" s="16" t="e">
        <f t="shared" si="1"/>
        <v>#N/A</v>
      </c>
      <c r="F248" s="16" t="e">
        <f t="shared" ref="F248:K248" si="498">VLOOKUP($A248,[1]Ambiente!$A$1:$O$274,F$1,0)</f>
        <v>#N/A</v>
      </c>
      <c r="G248" s="39" t="e">
        <f t="shared" si="498"/>
        <v>#N/A</v>
      </c>
      <c r="H248" s="16" t="e">
        <f t="shared" si="498"/>
        <v>#N/A</v>
      </c>
      <c r="I248" s="16" t="e">
        <f t="shared" si="498"/>
        <v>#N/A</v>
      </c>
      <c r="J248" s="40" t="e">
        <f t="shared" si="498"/>
        <v>#N/A</v>
      </c>
      <c r="K248" s="16" t="e">
        <f t="shared" si="498"/>
        <v>#N/A</v>
      </c>
      <c r="L248" s="40" t="e">
        <f t="shared" si="3"/>
        <v>#N/A</v>
      </c>
      <c r="M248" s="16" t="e">
        <f t="shared" si="4"/>
        <v>#N/A</v>
      </c>
      <c r="N248" s="16" t="e">
        <f t="shared" si="5"/>
        <v>#N/A</v>
      </c>
      <c r="O248" s="16" t="s">
        <v>64</v>
      </c>
      <c r="P248" s="16" t="str">
        <f t="shared" si="6"/>
        <v/>
      </c>
      <c r="Q248" s="41" t="e">
        <f t="shared" si="7"/>
        <v>#N/A</v>
      </c>
      <c r="R248" s="44"/>
      <c r="S248" s="44"/>
      <c r="T248" s="43"/>
      <c r="U248" s="43" t="str">
        <f t="shared" si="8"/>
        <v>No</v>
      </c>
      <c r="V248" s="25"/>
      <c r="W248" s="25"/>
      <c r="X248" s="25"/>
      <c r="Y248" s="25"/>
      <c r="Z248" s="25"/>
    </row>
    <row r="249" spans="1:26" ht="15.75" customHeight="1" x14ac:dyDescent="0.25">
      <c r="A249" s="25">
        <v>247</v>
      </c>
      <c r="B249" s="37" t="e">
        <f t="shared" ref="B249:D249" si="499">VLOOKUP($A249,[1]Ambiente!$A$1:$O$274,B$1,0)</f>
        <v>#N/A</v>
      </c>
      <c r="C249" s="38" t="e">
        <f t="shared" si="499"/>
        <v>#N/A</v>
      </c>
      <c r="D249" s="39" t="e">
        <f t="shared" si="499"/>
        <v>#N/A</v>
      </c>
      <c r="E249" s="16" t="e">
        <f t="shared" si="1"/>
        <v>#N/A</v>
      </c>
      <c r="F249" s="16" t="e">
        <f t="shared" ref="F249:K249" si="500">VLOOKUP($A249,[1]Ambiente!$A$1:$O$274,F$1,0)</f>
        <v>#N/A</v>
      </c>
      <c r="G249" s="39" t="e">
        <f t="shared" si="500"/>
        <v>#N/A</v>
      </c>
      <c r="H249" s="16" t="e">
        <f t="shared" si="500"/>
        <v>#N/A</v>
      </c>
      <c r="I249" s="16" t="e">
        <f t="shared" si="500"/>
        <v>#N/A</v>
      </c>
      <c r="J249" s="40" t="e">
        <f t="shared" si="500"/>
        <v>#N/A</v>
      </c>
      <c r="K249" s="16" t="e">
        <f t="shared" si="500"/>
        <v>#N/A</v>
      </c>
      <c r="L249" s="40" t="e">
        <f t="shared" si="3"/>
        <v>#N/A</v>
      </c>
      <c r="M249" s="16" t="e">
        <f t="shared" si="4"/>
        <v>#N/A</v>
      </c>
      <c r="N249" s="16" t="e">
        <f t="shared" si="5"/>
        <v>#N/A</v>
      </c>
      <c r="O249" s="16" t="s">
        <v>64</v>
      </c>
      <c r="P249" s="16" t="str">
        <f t="shared" si="6"/>
        <v/>
      </c>
      <c r="Q249" s="41" t="e">
        <f t="shared" si="7"/>
        <v>#N/A</v>
      </c>
      <c r="R249" s="44"/>
      <c r="S249" s="44"/>
      <c r="T249" s="43"/>
      <c r="U249" s="43" t="str">
        <f t="shared" si="8"/>
        <v>No</v>
      </c>
      <c r="V249" s="25"/>
      <c r="W249" s="25"/>
      <c r="X249" s="25"/>
      <c r="Y249" s="25"/>
      <c r="Z249" s="25"/>
    </row>
    <row r="250" spans="1:26" ht="15.75" customHeight="1" x14ac:dyDescent="0.25">
      <c r="A250" s="25">
        <v>248</v>
      </c>
      <c r="B250" s="37" t="e">
        <f t="shared" ref="B250:D250" si="501">VLOOKUP($A250,[1]Ambiente!$A$1:$O$274,B$1,0)</f>
        <v>#N/A</v>
      </c>
      <c r="C250" s="38" t="e">
        <f t="shared" si="501"/>
        <v>#N/A</v>
      </c>
      <c r="D250" s="39" t="e">
        <f t="shared" si="501"/>
        <v>#N/A</v>
      </c>
      <c r="E250" s="16" t="e">
        <f t="shared" si="1"/>
        <v>#N/A</v>
      </c>
      <c r="F250" s="16" t="e">
        <f t="shared" ref="F250:K250" si="502">VLOOKUP($A250,[1]Ambiente!$A$1:$O$274,F$1,0)</f>
        <v>#N/A</v>
      </c>
      <c r="G250" s="39" t="e">
        <f t="shared" si="502"/>
        <v>#N/A</v>
      </c>
      <c r="H250" s="16" t="e">
        <f t="shared" si="502"/>
        <v>#N/A</v>
      </c>
      <c r="I250" s="16" t="e">
        <f t="shared" si="502"/>
        <v>#N/A</v>
      </c>
      <c r="J250" s="40" t="e">
        <f t="shared" si="502"/>
        <v>#N/A</v>
      </c>
      <c r="K250" s="16" t="e">
        <f t="shared" si="502"/>
        <v>#N/A</v>
      </c>
      <c r="L250" s="40" t="e">
        <f t="shared" si="3"/>
        <v>#N/A</v>
      </c>
      <c r="M250" s="16" t="e">
        <f t="shared" si="4"/>
        <v>#N/A</v>
      </c>
      <c r="N250" s="16" t="e">
        <f t="shared" si="5"/>
        <v>#N/A</v>
      </c>
      <c r="O250" s="16" t="s">
        <v>64</v>
      </c>
      <c r="P250" s="16" t="str">
        <f t="shared" si="6"/>
        <v/>
      </c>
      <c r="Q250" s="41" t="e">
        <f t="shared" si="7"/>
        <v>#N/A</v>
      </c>
      <c r="R250" s="44"/>
      <c r="S250" s="44"/>
      <c r="T250" s="43"/>
      <c r="U250" s="43" t="str">
        <f t="shared" si="8"/>
        <v>No</v>
      </c>
      <c r="V250" s="25"/>
      <c r="W250" s="25"/>
      <c r="X250" s="25"/>
      <c r="Y250" s="25"/>
      <c r="Z250" s="25"/>
    </row>
    <row r="251" spans="1:26" ht="15.75" customHeight="1" x14ac:dyDescent="0.25">
      <c r="A251" s="25">
        <v>249</v>
      </c>
      <c r="B251" s="37" t="e">
        <f t="shared" ref="B251:D251" si="503">VLOOKUP($A251,[1]Ambiente!$A$1:$O$274,B$1,0)</f>
        <v>#N/A</v>
      </c>
      <c r="C251" s="38" t="e">
        <f t="shared" si="503"/>
        <v>#N/A</v>
      </c>
      <c r="D251" s="39" t="e">
        <f t="shared" si="503"/>
        <v>#N/A</v>
      </c>
      <c r="E251" s="16" t="e">
        <f t="shared" si="1"/>
        <v>#N/A</v>
      </c>
      <c r="F251" s="16" t="e">
        <f t="shared" ref="F251:K251" si="504">VLOOKUP($A251,[1]Ambiente!$A$1:$O$274,F$1,0)</f>
        <v>#N/A</v>
      </c>
      <c r="G251" s="39" t="e">
        <f t="shared" si="504"/>
        <v>#N/A</v>
      </c>
      <c r="H251" s="16" t="e">
        <f t="shared" si="504"/>
        <v>#N/A</v>
      </c>
      <c r="I251" s="16" t="e">
        <f t="shared" si="504"/>
        <v>#N/A</v>
      </c>
      <c r="J251" s="40" t="e">
        <f t="shared" si="504"/>
        <v>#N/A</v>
      </c>
      <c r="K251" s="16" t="e">
        <f t="shared" si="504"/>
        <v>#N/A</v>
      </c>
      <c r="L251" s="40" t="e">
        <f t="shared" si="3"/>
        <v>#N/A</v>
      </c>
      <c r="M251" s="16" t="e">
        <f t="shared" si="4"/>
        <v>#N/A</v>
      </c>
      <c r="N251" s="16" t="e">
        <f t="shared" si="5"/>
        <v>#N/A</v>
      </c>
      <c r="O251" s="16" t="s">
        <v>64</v>
      </c>
      <c r="P251" s="16" t="str">
        <f t="shared" si="6"/>
        <v/>
      </c>
      <c r="Q251" s="41" t="e">
        <f t="shared" si="7"/>
        <v>#N/A</v>
      </c>
      <c r="R251" s="44"/>
      <c r="S251" s="44"/>
      <c r="T251" s="43"/>
      <c r="U251" s="43" t="str">
        <f t="shared" si="8"/>
        <v>No</v>
      </c>
      <c r="V251" s="25"/>
      <c r="W251" s="25"/>
      <c r="X251" s="25"/>
      <c r="Y251" s="25"/>
      <c r="Z251" s="25"/>
    </row>
    <row r="252" spans="1:26" ht="15.75" customHeight="1" x14ac:dyDescent="0.25">
      <c r="A252" s="25">
        <v>250</v>
      </c>
      <c r="B252" s="37" t="e">
        <f t="shared" ref="B252:D252" si="505">VLOOKUP($A252,[1]Ambiente!$A$1:$O$274,B$1,0)</f>
        <v>#N/A</v>
      </c>
      <c r="C252" s="38" t="e">
        <f t="shared" si="505"/>
        <v>#N/A</v>
      </c>
      <c r="D252" s="39" t="e">
        <f t="shared" si="505"/>
        <v>#N/A</v>
      </c>
      <c r="E252" s="16" t="e">
        <f t="shared" si="1"/>
        <v>#N/A</v>
      </c>
      <c r="F252" s="16" t="e">
        <f t="shared" ref="F252:K252" si="506">VLOOKUP($A252,[1]Ambiente!$A$1:$O$274,F$1,0)</f>
        <v>#N/A</v>
      </c>
      <c r="G252" s="39" t="e">
        <f t="shared" si="506"/>
        <v>#N/A</v>
      </c>
      <c r="H252" s="16" t="e">
        <f t="shared" si="506"/>
        <v>#N/A</v>
      </c>
      <c r="I252" s="16" t="e">
        <f t="shared" si="506"/>
        <v>#N/A</v>
      </c>
      <c r="J252" s="40" t="e">
        <f t="shared" si="506"/>
        <v>#N/A</v>
      </c>
      <c r="K252" s="16" t="e">
        <f t="shared" si="506"/>
        <v>#N/A</v>
      </c>
      <c r="L252" s="40" t="e">
        <f t="shared" si="3"/>
        <v>#N/A</v>
      </c>
      <c r="M252" s="16" t="e">
        <f t="shared" si="4"/>
        <v>#N/A</v>
      </c>
      <c r="N252" s="16" t="e">
        <f t="shared" si="5"/>
        <v>#N/A</v>
      </c>
      <c r="O252" s="16" t="s">
        <v>64</v>
      </c>
      <c r="P252" s="16" t="str">
        <f t="shared" si="6"/>
        <v/>
      </c>
      <c r="Q252" s="41" t="e">
        <f t="shared" si="7"/>
        <v>#N/A</v>
      </c>
      <c r="R252" s="44"/>
      <c r="S252" s="44"/>
      <c r="T252" s="43"/>
      <c r="U252" s="43" t="str">
        <f t="shared" si="8"/>
        <v>No</v>
      </c>
      <c r="V252" s="25"/>
      <c r="W252" s="25"/>
      <c r="X252" s="25"/>
      <c r="Y252" s="25"/>
      <c r="Z252" s="25"/>
    </row>
    <row r="253" spans="1:26" ht="15.75" customHeight="1" x14ac:dyDescent="0.25">
      <c r="A253" s="25">
        <v>251</v>
      </c>
      <c r="B253" s="37" t="e">
        <f t="shared" ref="B253:D253" si="507">VLOOKUP($A253,[1]Ambiente!$A$1:$O$274,B$1,0)</f>
        <v>#N/A</v>
      </c>
      <c r="C253" s="38" t="e">
        <f t="shared" si="507"/>
        <v>#N/A</v>
      </c>
      <c r="D253" s="39" t="e">
        <f t="shared" si="507"/>
        <v>#N/A</v>
      </c>
      <c r="E253" s="16" t="e">
        <f t="shared" si="1"/>
        <v>#N/A</v>
      </c>
      <c r="F253" s="16" t="e">
        <f t="shared" ref="F253:K253" si="508">VLOOKUP($A253,[1]Ambiente!$A$1:$O$274,F$1,0)</f>
        <v>#N/A</v>
      </c>
      <c r="G253" s="39" t="e">
        <f t="shared" si="508"/>
        <v>#N/A</v>
      </c>
      <c r="H253" s="16" t="e">
        <f t="shared" si="508"/>
        <v>#N/A</v>
      </c>
      <c r="I253" s="16" t="e">
        <f t="shared" si="508"/>
        <v>#N/A</v>
      </c>
      <c r="J253" s="40" t="e">
        <f t="shared" si="508"/>
        <v>#N/A</v>
      </c>
      <c r="K253" s="16" t="e">
        <f t="shared" si="508"/>
        <v>#N/A</v>
      </c>
      <c r="L253" s="40" t="e">
        <f t="shared" si="3"/>
        <v>#N/A</v>
      </c>
      <c r="M253" s="16" t="e">
        <f t="shared" si="4"/>
        <v>#N/A</v>
      </c>
      <c r="N253" s="16" t="e">
        <f t="shared" si="5"/>
        <v>#N/A</v>
      </c>
      <c r="O253" s="16" t="s">
        <v>64</v>
      </c>
      <c r="P253" s="16" t="str">
        <f t="shared" si="6"/>
        <v/>
      </c>
      <c r="Q253" s="41" t="e">
        <f t="shared" si="7"/>
        <v>#N/A</v>
      </c>
      <c r="R253" s="44"/>
      <c r="S253" s="44"/>
      <c r="T253" s="43"/>
      <c r="U253" s="43" t="str">
        <f t="shared" si="8"/>
        <v>No</v>
      </c>
      <c r="V253" s="25"/>
      <c r="W253" s="25"/>
      <c r="X253" s="25"/>
      <c r="Y253" s="25"/>
      <c r="Z253" s="25"/>
    </row>
    <row r="254" spans="1:26" ht="15.75" customHeight="1" x14ac:dyDescent="0.25">
      <c r="A254" s="25">
        <v>252</v>
      </c>
      <c r="B254" s="37" t="e">
        <f t="shared" ref="B254:D254" si="509">VLOOKUP($A254,[1]Ambiente!$A$1:$O$274,B$1,0)</f>
        <v>#N/A</v>
      </c>
      <c r="C254" s="38" t="e">
        <f t="shared" si="509"/>
        <v>#N/A</v>
      </c>
      <c r="D254" s="39" t="e">
        <f t="shared" si="509"/>
        <v>#N/A</v>
      </c>
      <c r="E254" s="16" t="e">
        <f t="shared" si="1"/>
        <v>#N/A</v>
      </c>
      <c r="F254" s="16" t="e">
        <f t="shared" ref="F254:K254" si="510">VLOOKUP($A254,[1]Ambiente!$A$1:$O$274,F$1,0)</f>
        <v>#N/A</v>
      </c>
      <c r="G254" s="39" t="e">
        <f t="shared" si="510"/>
        <v>#N/A</v>
      </c>
      <c r="H254" s="16" t="e">
        <f t="shared" si="510"/>
        <v>#N/A</v>
      </c>
      <c r="I254" s="16" t="e">
        <f t="shared" si="510"/>
        <v>#N/A</v>
      </c>
      <c r="J254" s="40" t="e">
        <f t="shared" si="510"/>
        <v>#N/A</v>
      </c>
      <c r="K254" s="16" t="e">
        <f t="shared" si="510"/>
        <v>#N/A</v>
      </c>
      <c r="L254" s="40" t="e">
        <f t="shared" si="3"/>
        <v>#N/A</v>
      </c>
      <c r="M254" s="16" t="e">
        <f t="shared" si="4"/>
        <v>#N/A</v>
      </c>
      <c r="N254" s="16" t="e">
        <f t="shared" si="5"/>
        <v>#N/A</v>
      </c>
      <c r="O254" s="16" t="s">
        <v>64</v>
      </c>
      <c r="P254" s="16" t="str">
        <f t="shared" si="6"/>
        <v/>
      </c>
      <c r="Q254" s="41" t="e">
        <f t="shared" si="7"/>
        <v>#N/A</v>
      </c>
      <c r="R254" s="44"/>
      <c r="S254" s="44"/>
      <c r="T254" s="43"/>
      <c r="U254" s="43" t="str">
        <f t="shared" si="8"/>
        <v>No</v>
      </c>
      <c r="V254" s="25"/>
      <c r="W254" s="25"/>
      <c r="X254" s="25"/>
      <c r="Y254" s="25"/>
      <c r="Z254" s="25"/>
    </row>
    <row r="255" spans="1:26" ht="15.75" customHeight="1" x14ac:dyDescent="0.25">
      <c r="A255" s="25">
        <v>253</v>
      </c>
      <c r="B255" s="37" t="e">
        <f t="shared" ref="B255:D255" si="511">VLOOKUP($A255,[1]Ambiente!$A$1:$O$274,B$1,0)</f>
        <v>#N/A</v>
      </c>
      <c r="C255" s="38" t="e">
        <f t="shared" si="511"/>
        <v>#N/A</v>
      </c>
      <c r="D255" s="39" t="e">
        <f t="shared" si="511"/>
        <v>#N/A</v>
      </c>
      <c r="E255" s="16" t="e">
        <f t="shared" si="1"/>
        <v>#N/A</v>
      </c>
      <c r="F255" s="16" t="e">
        <f t="shared" ref="F255:K255" si="512">VLOOKUP($A255,[1]Ambiente!$A$1:$O$274,F$1,0)</f>
        <v>#N/A</v>
      </c>
      <c r="G255" s="39" t="e">
        <f t="shared" si="512"/>
        <v>#N/A</v>
      </c>
      <c r="H255" s="16" t="e">
        <f t="shared" si="512"/>
        <v>#N/A</v>
      </c>
      <c r="I255" s="16" t="e">
        <f t="shared" si="512"/>
        <v>#N/A</v>
      </c>
      <c r="J255" s="40" t="e">
        <f t="shared" si="512"/>
        <v>#N/A</v>
      </c>
      <c r="K255" s="16" t="e">
        <f t="shared" si="512"/>
        <v>#N/A</v>
      </c>
      <c r="L255" s="40" t="e">
        <f t="shared" si="3"/>
        <v>#N/A</v>
      </c>
      <c r="M255" s="16" t="e">
        <f t="shared" si="4"/>
        <v>#N/A</v>
      </c>
      <c r="N255" s="16" t="e">
        <f t="shared" si="5"/>
        <v>#N/A</v>
      </c>
      <c r="O255" s="16" t="s">
        <v>64</v>
      </c>
      <c r="P255" s="16" t="str">
        <f t="shared" si="6"/>
        <v/>
      </c>
      <c r="Q255" s="41" t="e">
        <f t="shared" si="7"/>
        <v>#N/A</v>
      </c>
      <c r="R255" s="44"/>
      <c r="S255" s="44"/>
      <c r="T255" s="43"/>
      <c r="U255" s="43" t="str">
        <f t="shared" si="8"/>
        <v>No</v>
      </c>
      <c r="V255" s="25"/>
      <c r="W255" s="25"/>
      <c r="X255" s="25"/>
      <c r="Y255" s="25"/>
      <c r="Z255" s="25"/>
    </row>
    <row r="256" spans="1:26" ht="15.75" customHeight="1" x14ac:dyDescent="0.25">
      <c r="A256" s="25">
        <v>254</v>
      </c>
      <c r="B256" s="37" t="e">
        <f t="shared" ref="B256:D256" si="513">VLOOKUP($A256,[1]Ambiente!$A$1:$O$274,B$1,0)</f>
        <v>#N/A</v>
      </c>
      <c r="C256" s="38" t="e">
        <f t="shared" si="513"/>
        <v>#N/A</v>
      </c>
      <c r="D256" s="39" t="e">
        <f t="shared" si="513"/>
        <v>#N/A</v>
      </c>
      <c r="E256" s="16" t="e">
        <f t="shared" si="1"/>
        <v>#N/A</v>
      </c>
      <c r="F256" s="16" t="e">
        <f t="shared" ref="F256:K256" si="514">VLOOKUP($A256,[1]Ambiente!$A$1:$O$274,F$1,0)</f>
        <v>#N/A</v>
      </c>
      <c r="G256" s="39" t="e">
        <f t="shared" si="514"/>
        <v>#N/A</v>
      </c>
      <c r="H256" s="16" t="e">
        <f t="shared" si="514"/>
        <v>#N/A</v>
      </c>
      <c r="I256" s="16" t="e">
        <f t="shared" si="514"/>
        <v>#N/A</v>
      </c>
      <c r="J256" s="40" t="e">
        <f t="shared" si="514"/>
        <v>#N/A</v>
      </c>
      <c r="K256" s="16" t="e">
        <f t="shared" si="514"/>
        <v>#N/A</v>
      </c>
      <c r="L256" s="40" t="e">
        <f t="shared" si="3"/>
        <v>#N/A</v>
      </c>
      <c r="M256" s="16" t="e">
        <f t="shared" si="4"/>
        <v>#N/A</v>
      </c>
      <c r="N256" s="16" t="e">
        <f t="shared" si="5"/>
        <v>#N/A</v>
      </c>
      <c r="O256" s="16" t="s">
        <v>64</v>
      </c>
      <c r="P256" s="16" t="str">
        <f t="shared" si="6"/>
        <v/>
      </c>
      <c r="Q256" s="41" t="e">
        <f t="shared" si="7"/>
        <v>#N/A</v>
      </c>
      <c r="R256" s="44"/>
      <c r="S256" s="44"/>
      <c r="T256" s="43"/>
      <c r="U256" s="43" t="str">
        <f t="shared" si="8"/>
        <v>No</v>
      </c>
      <c r="V256" s="25"/>
      <c r="W256" s="25"/>
      <c r="X256" s="25"/>
      <c r="Y256" s="25"/>
      <c r="Z256" s="25"/>
    </row>
    <row r="257" spans="1:26" ht="15.75" customHeight="1" x14ac:dyDescent="0.25">
      <c r="A257" s="25">
        <v>255</v>
      </c>
      <c r="B257" s="37" t="e">
        <f t="shared" ref="B257:D257" si="515">VLOOKUP($A257,[1]Ambiente!$A$1:$O$274,B$1,0)</f>
        <v>#N/A</v>
      </c>
      <c r="C257" s="38" t="e">
        <f t="shared" si="515"/>
        <v>#N/A</v>
      </c>
      <c r="D257" s="39" t="e">
        <f t="shared" si="515"/>
        <v>#N/A</v>
      </c>
      <c r="E257" s="16" t="e">
        <f t="shared" si="1"/>
        <v>#N/A</v>
      </c>
      <c r="F257" s="16" t="e">
        <f t="shared" ref="F257:K257" si="516">VLOOKUP($A257,[1]Ambiente!$A$1:$O$274,F$1,0)</f>
        <v>#N/A</v>
      </c>
      <c r="G257" s="39" t="e">
        <f t="shared" si="516"/>
        <v>#N/A</v>
      </c>
      <c r="H257" s="16" t="e">
        <f t="shared" si="516"/>
        <v>#N/A</v>
      </c>
      <c r="I257" s="16" t="e">
        <f t="shared" si="516"/>
        <v>#N/A</v>
      </c>
      <c r="J257" s="40" t="e">
        <f t="shared" si="516"/>
        <v>#N/A</v>
      </c>
      <c r="K257" s="16" t="e">
        <f t="shared" si="516"/>
        <v>#N/A</v>
      </c>
      <c r="L257" s="40" t="e">
        <f t="shared" si="3"/>
        <v>#N/A</v>
      </c>
      <c r="M257" s="16" t="e">
        <f t="shared" si="4"/>
        <v>#N/A</v>
      </c>
      <c r="N257" s="16" t="e">
        <f t="shared" si="5"/>
        <v>#N/A</v>
      </c>
      <c r="O257" s="16" t="s">
        <v>64</v>
      </c>
      <c r="P257" s="16" t="str">
        <f t="shared" si="6"/>
        <v/>
      </c>
      <c r="Q257" s="41" t="e">
        <f t="shared" si="7"/>
        <v>#N/A</v>
      </c>
      <c r="R257" s="44"/>
      <c r="S257" s="44"/>
      <c r="T257" s="43"/>
      <c r="U257" s="43" t="str">
        <f t="shared" si="8"/>
        <v>No</v>
      </c>
      <c r="V257" s="25"/>
      <c r="W257" s="25"/>
      <c r="X257" s="25"/>
      <c r="Y257" s="25"/>
      <c r="Z257" s="25"/>
    </row>
    <row r="258" spans="1:26" ht="15.75" customHeight="1" x14ac:dyDescent="0.25">
      <c r="A258" s="25">
        <v>256</v>
      </c>
      <c r="B258" s="37" t="e">
        <f t="shared" ref="B258:D258" si="517">VLOOKUP($A258,[1]Ambiente!$A$1:$O$274,B$1,0)</f>
        <v>#N/A</v>
      </c>
      <c r="C258" s="38" t="e">
        <f t="shared" si="517"/>
        <v>#N/A</v>
      </c>
      <c r="D258" s="39" t="e">
        <f t="shared" si="517"/>
        <v>#N/A</v>
      </c>
      <c r="E258" s="16" t="e">
        <f t="shared" si="1"/>
        <v>#N/A</v>
      </c>
      <c r="F258" s="16" t="e">
        <f t="shared" ref="F258:K258" si="518">VLOOKUP($A258,[1]Ambiente!$A$1:$O$274,F$1,0)</f>
        <v>#N/A</v>
      </c>
      <c r="G258" s="39" t="e">
        <f t="shared" si="518"/>
        <v>#N/A</v>
      </c>
      <c r="H258" s="16" t="e">
        <f t="shared" si="518"/>
        <v>#N/A</v>
      </c>
      <c r="I258" s="16" t="e">
        <f t="shared" si="518"/>
        <v>#N/A</v>
      </c>
      <c r="J258" s="40" t="e">
        <f t="shared" si="518"/>
        <v>#N/A</v>
      </c>
      <c r="K258" s="16" t="e">
        <f t="shared" si="518"/>
        <v>#N/A</v>
      </c>
      <c r="L258" s="40" t="e">
        <f t="shared" si="3"/>
        <v>#N/A</v>
      </c>
      <c r="M258" s="16" t="e">
        <f t="shared" si="4"/>
        <v>#N/A</v>
      </c>
      <c r="N258" s="16" t="e">
        <f t="shared" si="5"/>
        <v>#N/A</v>
      </c>
      <c r="O258" s="16" t="s">
        <v>64</v>
      </c>
      <c r="P258" s="16" t="str">
        <f t="shared" si="6"/>
        <v/>
      </c>
      <c r="Q258" s="41" t="e">
        <f t="shared" si="7"/>
        <v>#N/A</v>
      </c>
      <c r="R258" s="44"/>
      <c r="S258" s="44"/>
      <c r="T258" s="43"/>
      <c r="U258" s="43" t="str">
        <f t="shared" si="8"/>
        <v>No</v>
      </c>
      <c r="V258" s="25"/>
      <c r="W258" s="25"/>
      <c r="X258" s="25"/>
      <c r="Y258" s="25"/>
      <c r="Z258" s="25"/>
    </row>
    <row r="259" spans="1:26" ht="15.75" customHeight="1" x14ac:dyDescent="0.25">
      <c r="A259" s="25">
        <v>257</v>
      </c>
      <c r="B259" s="37" t="e">
        <f t="shared" ref="B259:D259" si="519">VLOOKUP($A259,[1]Ambiente!$A$1:$O$274,B$1,0)</f>
        <v>#N/A</v>
      </c>
      <c r="C259" s="38" t="e">
        <f t="shared" si="519"/>
        <v>#N/A</v>
      </c>
      <c r="D259" s="39" t="e">
        <f t="shared" si="519"/>
        <v>#N/A</v>
      </c>
      <c r="E259" s="16" t="e">
        <f t="shared" si="1"/>
        <v>#N/A</v>
      </c>
      <c r="F259" s="16" t="e">
        <f t="shared" ref="F259:K259" si="520">VLOOKUP($A259,[1]Ambiente!$A$1:$O$274,F$1,0)</f>
        <v>#N/A</v>
      </c>
      <c r="G259" s="39" t="e">
        <f t="shared" si="520"/>
        <v>#N/A</v>
      </c>
      <c r="H259" s="16" t="e">
        <f t="shared" si="520"/>
        <v>#N/A</v>
      </c>
      <c r="I259" s="16" t="e">
        <f t="shared" si="520"/>
        <v>#N/A</v>
      </c>
      <c r="J259" s="40" t="e">
        <f t="shared" si="520"/>
        <v>#N/A</v>
      </c>
      <c r="K259" s="16" t="e">
        <f t="shared" si="520"/>
        <v>#N/A</v>
      </c>
      <c r="L259" s="40" t="e">
        <f t="shared" si="3"/>
        <v>#N/A</v>
      </c>
      <c r="M259" s="16" t="e">
        <f t="shared" si="4"/>
        <v>#N/A</v>
      </c>
      <c r="N259" s="16" t="e">
        <f t="shared" si="5"/>
        <v>#N/A</v>
      </c>
      <c r="O259" s="16" t="s">
        <v>64</v>
      </c>
      <c r="P259" s="16" t="str">
        <f t="shared" si="6"/>
        <v/>
      </c>
      <c r="Q259" s="41" t="e">
        <f t="shared" si="7"/>
        <v>#N/A</v>
      </c>
      <c r="R259" s="44"/>
      <c r="S259" s="44"/>
      <c r="T259" s="43"/>
      <c r="U259" s="43" t="str">
        <f t="shared" si="8"/>
        <v>No</v>
      </c>
      <c r="V259" s="25"/>
      <c r="W259" s="25"/>
      <c r="X259" s="25"/>
      <c r="Y259" s="25"/>
      <c r="Z259" s="25"/>
    </row>
    <row r="260" spans="1:26" ht="15.75" customHeight="1" x14ac:dyDescent="0.25">
      <c r="A260" s="25">
        <v>258</v>
      </c>
      <c r="B260" s="37" t="e">
        <f t="shared" ref="B260:D260" si="521">VLOOKUP($A260,[1]Ambiente!$A$1:$O$274,B$1,0)</f>
        <v>#N/A</v>
      </c>
      <c r="C260" s="38" t="e">
        <f t="shared" si="521"/>
        <v>#N/A</v>
      </c>
      <c r="D260" s="39" t="e">
        <f t="shared" si="521"/>
        <v>#N/A</v>
      </c>
      <c r="E260" s="16" t="e">
        <f t="shared" si="1"/>
        <v>#N/A</v>
      </c>
      <c r="F260" s="16" t="e">
        <f t="shared" ref="F260:K260" si="522">VLOOKUP($A260,[1]Ambiente!$A$1:$O$274,F$1,0)</f>
        <v>#N/A</v>
      </c>
      <c r="G260" s="39" t="e">
        <f t="shared" si="522"/>
        <v>#N/A</v>
      </c>
      <c r="H260" s="16" t="e">
        <f t="shared" si="522"/>
        <v>#N/A</v>
      </c>
      <c r="I260" s="16" t="e">
        <f t="shared" si="522"/>
        <v>#N/A</v>
      </c>
      <c r="J260" s="40" t="e">
        <f t="shared" si="522"/>
        <v>#N/A</v>
      </c>
      <c r="K260" s="16" t="e">
        <f t="shared" si="522"/>
        <v>#N/A</v>
      </c>
      <c r="L260" s="40" t="e">
        <f t="shared" si="3"/>
        <v>#N/A</v>
      </c>
      <c r="M260" s="16" t="e">
        <f t="shared" si="4"/>
        <v>#N/A</v>
      </c>
      <c r="N260" s="16" t="e">
        <f t="shared" si="5"/>
        <v>#N/A</v>
      </c>
      <c r="O260" s="16" t="s">
        <v>64</v>
      </c>
      <c r="P260" s="16" t="str">
        <f t="shared" si="6"/>
        <v/>
      </c>
      <c r="Q260" s="41" t="e">
        <f t="shared" si="7"/>
        <v>#N/A</v>
      </c>
      <c r="R260" s="44"/>
      <c r="S260" s="44"/>
      <c r="T260" s="43"/>
      <c r="U260" s="43" t="str">
        <f t="shared" si="8"/>
        <v>No</v>
      </c>
      <c r="V260" s="25"/>
      <c r="W260" s="25"/>
      <c r="X260" s="25"/>
      <c r="Y260" s="25"/>
      <c r="Z260" s="25"/>
    </row>
    <row r="261" spans="1:26" ht="15.75" customHeight="1" x14ac:dyDescent="0.25">
      <c r="A261" s="25">
        <v>259</v>
      </c>
      <c r="B261" s="37" t="e">
        <f t="shared" ref="B261:D261" si="523">VLOOKUP($A261,[1]Ambiente!$A$1:$O$274,B$1,0)</f>
        <v>#N/A</v>
      </c>
      <c r="C261" s="38" t="e">
        <f t="shared" si="523"/>
        <v>#N/A</v>
      </c>
      <c r="D261" s="39" t="e">
        <f t="shared" si="523"/>
        <v>#N/A</v>
      </c>
      <c r="E261" s="16" t="e">
        <f t="shared" si="1"/>
        <v>#N/A</v>
      </c>
      <c r="F261" s="16" t="e">
        <f t="shared" ref="F261:K261" si="524">VLOOKUP($A261,[1]Ambiente!$A$1:$O$274,F$1,0)</f>
        <v>#N/A</v>
      </c>
      <c r="G261" s="39" t="e">
        <f t="shared" si="524"/>
        <v>#N/A</v>
      </c>
      <c r="H261" s="16" t="e">
        <f t="shared" si="524"/>
        <v>#N/A</v>
      </c>
      <c r="I261" s="16" t="e">
        <f t="shared" si="524"/>
        <v>#N/A</v>
      </c>
      <c r="J261" s="40" t="e">
        <f t="shared" si="524"/>
        <v>#N/A</v>
      </c>
      <c r="K261" s="16" t="e">
        <f t="shared" si="524"/>
        <v>#N/A</v>
      </c>
      <c r="L261" s="40" t="e">
        <f t="shared" si="3"/>
        <v>#N/A</v>
      </c>
      <c r="M261" s="16" t="e">
        <f t="shared" si="4"/>
        <v>#N/A</v>
      </c>
      <c r="N261" s="16" t="e">
        <f t="shared" si="5"/>
        <v>#N/A</v>
      </c>
      <c r="O261" s="16" t="s">
        <v>64</v>
      </c>
      <c r="P261" s="16" t="str">
        <f t="shared" si="6"/>
        <v/>
      </c>
      <c r="Q261" s="41" t="e">
        <f t="shared" si="7"/>
        <v>#N/A</v>
      </c>
      <c r="R261" s="44"/>
      <c r="S261" s="44"/>
      <c r="T261" s="43"/>
      <c r="U261" s="43" t="str">
        <f t="shared" si="8"/>
        <v>No</v>
      </c>
      <c r="V261" s="25"/>
      <c r="W261" s="25"/>
      <c r="X261" s="25"/>
      <c r="Y261" s="25"/>
      <c r="Z261" s="25"/>
    </row>
    <row r="262" spans="1:26" ht="15.75" customHeight="1" x14ac:dyDescent="0.25">
      <c r="A262" s="25">
        <v>260</v>
      </c>
      <c r="B262" s="37" t="e">
        <f t="shared" ref="B262:D262" si="525">VLOOKUP($A262,[1]Ambiente!$A$1:$O$274,B$1,0)</f>
        <v>#N/A</v>
      </c>
      <c r="C262" s="38" t="e">
        <f t="shared" si="525"/>
        <v>#N/A</v>
      </c>
      <c r="D262" s="39" t="e">
        <f t="shared" si="525"/>
        <v>#N/A</v>
      </c>
      <c r="E262" s="16" t="e">
        <f t="shared" si="1"/>
        <v>#N/A</v>
      </c>
      <c r="F262" s="16" t="e">
        <f t="shared" ref="F262:K262" si="526">VLOOKUP($A262,[1]Ambiente!$A$1:$O$274,F$1,0)</f>
        <v>#N/A</v>
      </c>
      <c r="G262" s="39" t="e">
        <f t="shared" si="526"/>
        <v>#N/A</v>
      </c>
      <c r="H262" s="16" t="e">
        <f t="shared" si="526"/>
        <v>#N/A</v>
      </c>
      <c r="I262" s="16" t="e">
        <f t="shared" si="526"/>
        <v>#N/A</v>
      </c>
      <c r="J262" s="40" t="e">
        <f t="shared" si="526"/>
        <v>#N/A</v>
      </c>
      <c r="K262" s="16" t="e">
        <f t="shared" si="526"/>
        <v>#N/A</v>
      </c>
      <c r="L262" s="40" t="e">
        <f t="shared" si="3"/>
        <v>#N/A</v>
      </c>
      <c r="M262" s="16" t="e">
        <f t="shared" si="4"/>
        <v>#N/A</v>
      </c>
      <c r="N262" s="16" t="e">
        <f t="shared" si="5"/>
        <v>#N/A</v>
      </c>
      <c r="O262" s="16" t="s">
        <v>64</v>
      </c>
      <c r="P262" s="16" t="str">
        <f t="shared" si="6"/>
        <v/>
      </c>
      <c r="Q262" s="41" t="e">
        <f t="shared" si="7"/>
        <v>#N/A</v>
      </c>
      <c r="R262" s="44"/>
      <c r="S262" s="44"/>
      <c r="T262" s="43"/>
      <c r="U262" s="43" t="str">
        <f t="shared" si="8"/>
        <v>No</v>
      </c>
      <c r="V262" s="25"/>
      <c r="W262" s="25"/>
      <c r="X262" s="25"/>
      <c r="Y262" s="25"/>
      <c r="Z262" s="25"/>
    </row>
    <row r="263" spans="1:26" ht="15.75" customHeight="1" x14ac:dyDescent="0.25">
      <c r="A263" s="25">
        <v>261</v>
      </c>
      <c r="B263" s="37" t="e">
        <f t="shared" ref="B263:D263" si="527">VLOOKUP($A263,[1]Ambiente!$A$1:$O$274,B$1,0)</f>
        <v>#N/A</v>
      </c>
      <c r="C263" s="38" t="e">
        <f t="shared" si="527"/>
        <v>#N/A</v>
      </c>
      <c r="D263" s="39" t="e">
        <f t="shared" si="527"/>
        <v>#N/A</v>
      </c>
      <c r="E263" s="16" t="e">
        <f t="shared" si="1"/>
        <v>#N/A</v>
      </c>
      <c r="F263" s="16" t="e">
        <f t="shared" ref="F263:K263" si="528">VLOOKUP($A263,[1]Ambiente!$A$1:$O$274,F$1,0)</f>
        <v>#N/A</v>
      </c>
      <c r="G263" s="39" t="e">
        <f t="shared" si="528"/>
        <v>#N/A</v>
      </c>
      <c r="H263" s="16" t="e">
        <f t="shared" si="528"/>
        <v>#N/A</v>
      </c>
      <c r="I263" s="16" t="e">
        <f t="shared" si="528"/>
        <v>#N/A</v>
      </c>
      <c r="J263" s="40" t="e">
        <f t="shared" si="528"/>
        <v>#N/A</v>
      </c>
      <c r="K263" s="16" t="e">
        <f t="shared" si="528"/>
        <v>#N/A</v>
      </c>
      <c r="L263" s="40" t="e">
        <f t="shared" si="3"/>
        <v>#N/A</v>
      </c>
      <c r="M263" s="16" t="e">
        <f t="shared" si="4"/>
        <v>#N/A</v>
      </c>
      <c r="N263" s="16" t="e">
        <f t="shared" si="5"/>
        <v>#N/A</v>
      </c>
      <c r="O263" s="16" t="s">
        <v>64</v>
      </c>
      <c r="P263" s="16" t="str">
        <f t="shared" si="6"/>
        <v/>
      </c>
      <c r="Q263" s="41" t="e">
        <f t="shared" si="7"/>
        <v>#N/A</v>
      </c>
      <c r="R263" s="44"/>
      <c r="S263" s="44"/>
      <c r="T263" s="43"/>
      <c r="U263" s="43" t="str">
        <f t="shared" si="8"/>
        <v>No</v>
      </c>
      <c r="V263" s="25"/>
      <c r="W263" s="25"/>
      <c r="X263" s="25"/>
      <c r="Y263" s="25"/>
      <c r="Z263" s="25"/>
    </row>
    <row r="264" spans="1:26" ht="15.75" customHeight="1" x14ac:dyDescent="0.25">
      <c r="A264" s="25">
        <v>262</v>
      </c>
      <c r="B264" s="37" t="e">
        <f t="shared" ref="B264:D264" si="529">VLOOKUP($A264,[1]Ambiente!$A$1:$O$274,B$1,0)</f>
        <v>#N/A</v>
      </c>
      <c r="C264" s="38" t="e">
        <f t="shared" si="529"/>
        <v>#N/A</v>
      </c>
      <c r="D264" s="39" t="e">
        <f t="shared" si="529"/>
        <v>#N/A</v>
      </c>
      <c r="E264" s="16" t="e">
        <f t="shared" si="1"/>
        <v>#N/A</v>
      </c>
      <c r="F264" s="16" t="e">
        <f t="shared" ref="F264:K264" si="530">VLOOKUP($A264,[1]Ambiente!$A$1:$O$274,F$1,0)</f>
        <v>#N/A</v>
      </c>
      <c r="G264" s="39" t="e">
        <f t="shared" si="530"/>
        <v>#N/A</v>
      </c>
      <c r="H264" s="16" t="e">
        <f t="shared" si="530"/>
        <v>#N/A</v>
      </c>
      <c r="I264" s="16" t="e">
        <f t="shared" si="530"/>
        <v>#N/A</v>
      </c>
      <c r="J264" s="40" t="e">
        <f t="shared" si="530"/>
        <v>#N/A</v>
      </c>
      <c r="K264" s="16" t="e">
        <f t="shared" si="530"/>
        <v>#N/A</v>
      </c>
      <c r="L264" s="40" t="e">
        <f t="shared" si="3"/>
        <v>#N/A</v>
      </c>
      <c r="M264" s="16" t="e">
        <f t="shared" si="4"/>
        <v>#N/A</v>
      </c>
      <c r="N264" s="16" t="e">
        <f t="shared" si="5"/>
        <v>#N/A</v>
      </c>
      <c r="O264" s="16" t="s">
        <v>64</v>
      </c>
      <c r="P264" s="16" t="str">
        <f t="shared" si="6"/>
        <v/>
      </c>
      <c r="Q264" s="41" t="e">
        <f t="shared" si="7"/>
        <v>#N/A</v>
      </c>
      <c r="R264" s="44"/>
      <c r="S264" s="44"/>
      <c r="T264" s="43"/>
      <c r="U264" s="43" t="str">
        <f t="shared" si="8"/>
        <v>No</v>
      </c>
      <c r="V264" s="25"/>
      <c r="W264" s="25"/>
      <c r="X264" s="25"/>
      <c r="Y264" s="25"/>
      <c r="Z264" s="25"/>
    </row>
    <row r="265" spans="1:26" ht="15.75" customHeight="1" x14ac:dyDescent="0.25">
      <c r="A265" s="25">
        <v>263</v>
      </c>
      <c r="B265" s="37" t="e">
        <f t="shared" ref="B265:D265" si="531">VLOOKUP($A265,[1]Ambiente!$A$1:$O$274,B$1,0)</f>
        <v>#N/A</v>
      </c>
      <c r="C265" s="38" t="e">
        <f t="shared" si="531"/>
        <v>#N/A</v>
      </c>
      <c r="D265" s="39" t="e">
        <f t="shared" si="531"/>
        <v>#N/A</v>
      </c>
      <c r="E265" s="16" t="e">
        <f t="shared" si="1"/>
        <v>#N/A</v>
      </c>
      <c r="F265" s="16" t="e">
        <f t="shared" ref="F265:K265" si="532">VLOOKUP($A265,[1]Ambiente!$A$1:$O$274,F$1,0)</f>
        <v>#N/A</v>
      </c>
      <c r="G265" s="39" t="e">
        <f t="shared" si="532"/>
        <v>#N/A</v>
      </c>
      <c r="H265" s="16" t="e">
        <f t="shared" si="532"/>
        <v>#N/A</v>
      </c>
      <c r="I265" s="16" t="e">
        <f t="shared" si="532"/>
        <v>#N/A</v>
      </c>
      <c r="J265" s="40" t="e">
        <f t="shared" si="532"/>
        <v>#N/A</v>
      </c>
      <c r="K265" s="16" t="e">
        <f t="shared" si="532"/>
        <v>#N/A</v>
      </c>
      <c r="L265" s="40" t="e">
        <f t="shared" si="3"/>
        <v>#N/A</v>
      </c>
      <c r="M265" s="16" t="e">
        <f t="shared" si="4"/>
        <v>#N/A</v>
      </c>
      <c r="N265" s="16" t="e">
        <f t="shared" si="5"/>
        <v>#N/A</v>
      </c>
      <c r="O265" s="16" t="s">
        <v>64</v>
      </c>
      <c r="P265" s="16" t="str">
        <f t="shared" si="6"/>
        <v/>
      </c>
      <c r="Q265" s="41" t="e">
        <f t="shared" si="7"/>
        <v>#N/A</v>
      </c>
      <c r="R265" s="44"/>
      <c r="S265" s="44"/>
      <c r="T265" s="43"/>
      <c r="U265" s="43" t="str">
        <f t="shared" si="8"/>
        <v>No</v>
      </c>
      <c r="V265" s="25"/>
      <c r="W265" s="25"/>
      <c r="X265" s="25"/>
      <c r="Y265" s="25"/>
      <c r="Z265" s="25"/>
    </row>
    <row r="266" spans="1:26" ht="15.75" customHeight="1" x14ac:dyDescent="0.25">
      <c r="A266" s="25">
        <v>264</v>
      </c>
      <c r="B266" s="37" t="e">
        <f t="shared" ref="B266:D266" si="533">VLOOKUP($A266,[1]Ambiente!$A$1:$O$274,B$1,0)</f>
        <v>#N/A</v>
      </c>
      <c r="C266" s="38" t="e">
        <f t="shared" si="533"/>
        <v>#N/A</v>
      </c>
      <c r="D266" s="39" t="e">
        <f t="shared" si="533"/>
        <v>#N/A</v>
      </c>
      <c r="E266" s="16" t="e">
        <f t="shared" si="1"/>
        <v>#N/A</v>
      </c>
      <c r="F266" s="16" t="e">
        <f t="shared" ref="F266:K266" si="534">VLOOKUP($A266,[1]Ambiente!$A$1:$O$274,F$1,0)</f>
        <v>#N/A</v>
      </c>
      <c r="G266" s="39" t="e">
        <f t="shared" si="534"/>
        <v>#N/A</v>
      </c>
      <c r="H266" s="16" t="e">
        <f t="shared" si="534"/>
        <v>#N/A</v>
      </c>
      <c r="I266" s="16" t="e">
        <f t="shared" si="534"/>
        <v>#N/A</v>
      </c>
      <c r="J266" s="40" t="e">
        <f t="shared" si="534"/>
        <v>#N/A</v>
      </c>
      <c r="K266" s="16" t="e">
        <f t="shared" si="534"/>
        <v>#N/A</v>
      </c>
      <c r="L266" s="40" t="e">
        <f t="shared" si="3"/>
        <v>#N/A</v>
      </c>
      <c r="M266" s="16" t="e">
        <f t="shared" si="4"/>
        <v>#N/A</v>
      </c>
      <c r="N266" s="16" t="e">
        <f t="shared" si="5"/>
        <v>#N/A</v>
      </c>
      <c r="O266" s="16" t="s">
        <v>64</v>
      </c>
      <c r="P266" s="16" t="str">
        <f t="shared" si="6"/>
        <v/>
      </c>
      <c r="Q266" s="41" t="e">
        <f t="shared" si="7"/>
        <v>#N/A</v>
      </c>
      <c r="R266" s="44"/>
      <c r="S266" s="44"/>
      <c r="T266" s="43"/>
      <c r="U266" s="43" t="str">
        <f t="shared" si="8"/>
        <v>No</v>
      </c>
      <c r="V266" s="25"/>
      <c r="W266" s="25"/>
      <c r="X266" s="25"/>
      <c r="Y266" s="25"/>
      <c r="Z266" s="25"/>
    </row>
    <row r="267" spans="1:26" ht="15.75" customHeight="1" x14ac:dyDescent="0.25">
      <c r="A267" s="25">
        <v>265</v>
      </c>
      <c r="B267" s="37" t="e">
        <f t="shared" ref="B267:D267" si="535">VLOOKUP($A267,[1]Ambiente!$A$1:$O$274,B$1,0)</f>
        <v>#N/A</v>
      </c>
      <c r="C267" s="38" t="e">
        <f t="shared" si="535"/>
        <v>#N/A</v>
      </c>
      <c r="D267" s="39" t="e">
        <f t="shared" si="535"/>
        <v>#N/A</v>
      </c>
      <c r="E267" s="16" t="e">
        <f t="shared" si="1"/>
        <v>#N/A</v>
      </c>
      <c r="F267" s="16" t="e">
        <f t="shared" ref="F267:K267" si="536">VLOOKUP($A267,[1]Ambiente!$A$1:$O$274,F$1,0)</f>
        <v>#N/A</v>
      </c>
      <c r="G267" s="39" t="e">
        <f t="shared" si="536"/>
        <v>#N/A</v>
      </c>
      <c r="H267" s="16" t="e">
        <f t="shared" si="536"/>
        <v>#N/A</v>
      </c>
      <c r="I267" s="16" t="e">
        <f t="shared" si="536"/>
        <v>#N/A</v>
      </c>
      <c r="J267" s="40" t="e">
        <f t="shared" si="536"/>
        <v>#N/A</v>
      </c>
      <c r="K267" s="16" t="e">
        <f t="shared" si="536"/>
        <v>#N/A</v>
      </c>
      <c r="L267" s="40" t="e">
        <f t="shared" si="3"/>
        <v>#N/A</v>
      </c>
      <c r="M267" s="16" t="e">
        <f t="shared" si="4"/>
        <v>#N/A</v>
      </c>
      <c r="N267" s="16" t="e">
        <f t="shared" si="5"/>
        <v>#N/A</v>
      </c>
      <c r="O267" s="16" t="s">
        <v>64</v>
      </c>
      <c r="P267" s="16" t="str">
        <f t="shared" si="6"/>
        <v/>
      </c>
      <c r="Q267" s="41" t="e">
        <f t="shared" si="7"/>
        <v>#N/A</v>
      </c>
      <c r="R267" s="44"/>
      <c r="S267" s="44"/>
      <c r="T267" s="43"/>
      <c r="U267" s="43" t="str">
        <f t="shared" si="8"/>
        <v>No</v>
      </c>
      <c r="V267" s="25"/>
      <c r="W267" s="25"/>
      <c r="X267" s="25"/>
      <c r="Y267" s="25"/>
      <c r="Z267" s="25"/>
    </row>
    <row r="268" spans="1:26" ht="15.75" customHeight="1" x14ac:dyDescent="0.25">
      <c r="A268" s="25">
        <v>266</v>
      </c>
      <c r="B268" s="37" t="e">
        <f t="shared" ref="B268:D268" si="537">VLOOKUP($A268,[1]Ambiente!$A$1:$O$274,B$1,0)</f>
        <v>#N/A</v>
      </c>
      <c r="C268" s="38" t="e">
        <f t="shared" si="537"/>
        <v>#N/A</v>
      </c>
      <c r="D268" s="39" t="e">
        <f t="shared" si="537"/>
        <v>#N/A</v>
      </c>
      <c r="E268" s="16" t="e">
        <f t="shared" si="1"/>
        <v>#N/A</v>
      </c>
      <c r="F268" s="16" t="e">
        <f t="shared" ref="F268:K268" si="538">VLOOKUP($A268,[1]Ambiente!$A$1:$O$274,F$1,0)</f>
        <v>#N/A</v>
      </c>
      <c r="G268" s="39" t="e">
        <f t="shared" si="538"/>
        <v>#N/A</v>
      </c>
      <c r="H268" s="16" t="e">
        <f t="shared" si="538"/>
        <v>#N/A</v>
      </c>
      <c r="I268" s="16" t="e">
        <f t="shared" si="538"/>
        <v>#N/A</v>
      </c>
      <c r="J268" s="40" t="e">
        <f t="shared" si="538"/>
        <v>#N/A</v>
      </c>
      <c r="K268" s="16" t="e">
        <f t="shared" si="538"/>
        <v>#N/A</v>
      </c>
      <c r="L268" s="40" t="e">
        <f t="shared" si="3"/>
        <v>#N/A</v>
      </c>
      <c r="M268" s="16" t="e">
        <f t="shared" si="4"/>
        <v>#N/A</v>
      </c>
      <c r="N268" s="16" t="e">
        <f t="shared" si="5"/>
        <v>#N/A</v>
      </c>
      <c r="O268" s="16" t="s">
        <v>64</v>
      </c>
      <c r="P268" s="16" t="str">
        <f t="shared" si="6"/>
        <v/>
      </c>
      <c r="Q268" s="41" t="e">
        <f t="shared" si="7"/>
        <v>#N/A</v>
      </c>
      <c r="R268" s="44"/>
      <c r="S268" s="44"/>
      <c r="T268" s="43"/>
      <c r="U268" s="43" t="str">
        <f t="shared" si="8"/>
        <v>No</v>
      </c>
      <c r="V268" s="25"/>
      <c r="W268" s="25"/>
      <c r="X268" s="25"/>
      <c r="Y268" s="25"/>
      <c r="Z268" s="25"/>
    </row>
    <row r="269" spans="1:26" ht="15.75" customHeight="1" x14ac:dyDescent="0.25">
      <c r="A269" s="25">
        <v>267</v>
      </c>
      <c r="B269" s="37" t="e">
        <f t="shared" ref="B269:D269" si="539">VLOOKUP($A269,[1]Ambiente!$A$1:$O$274,B$1,0)</f>
        <v>#N/A</v>
      </c>
      <c r="C269" s="38" t="e">
        <f t="shared" si="539"/>
        <v>#N/A</v>
      </c>
      <c r="D269" s="39" t="e">
        <f t="shared" si="539"/>
        <v>#N/A</v>
      </c>
      <c r="E269" s="16" t="e">
        <f t="shared" si="1"/>
        <v>#N/A</v>
      </c>
      <c r="F269" s="16" t="e">
        <f t="shared" ref="F269:K269" si="540">VLOOKUP($A269,[1]Ambiente!$A$1:$O$274,F$1,0)</f>
        <v>#N/A</v>
      </c>
      <c r="G269" s="39" t="e">
        <f t="shared" si="540"/>
        <v>#N/A</v>
      </c>
      <c r="H269" s="16" t="e">
        <f t="shared" si="540"/>
        <v>#N/A</v>
      </c>
      <c r="I269" s="16" t="e">
        <f t="shared" si="540"/>
        <v>#N/A</v>
      </c>
      <c r="J269" s="40" t="e">
        <f t="shared" si="540"/>
        <v>#N/A</v>
      </c>
      <c r="K269" s="16" t="e">
        <f t="shared" si="540"/>
        <v>#N/A</v>
      </c>
      <c r="L269" s="40" t="e">
        <f t="shared" si="3"/>
        <v>#N/A</v>
      </c>
      <c r="M269" s="16" t="e">
        <f t="shared" si="4"/>
        <v>#N/A</v>
      </c>
      <c r="N269" s="16" t="e">
        <f t="shared" si="5"/>
        <v>#N/A</v>
      </c>
      <c r="O269" s="16" t="s">
        <v>64</v>
      </c>
      <c r="P269" s="16" t="str">
        <f t="shared" si="6"/>
        <v/>
      </c>
      <c r="Q269" s="41" t="e">
        <f t="shared" si="7"/>
        <v>#N/A</v>
      </c>
      <c r="R269" s="44"/>
      <c r="S269" s="44"/>
      <c r="T269" s="43"/>
      <c r="U269" s="43" t="str">
        <f t="shared" si="8"/>
        <v>No</v>
      </c>
      <c r="V269" s="25"/>
      <c r="W269" s="25"/>
      <c r="X269" s="25"/>
      <c r="Y269" s="25"/>
      <c r="Z269" s="25"/>
    </row>
    <row r="270" spans="1:26" ht="15.75" customHeight="1" x14ac:dyDescent="0.25">
      <c r="A270" s="25">
        <v>268</v>
      </c>
      <c r="B270" s="37" t="e">
        <f t="shared" ref="B270:D270" si="541">VLOOKUP($A270,[1]Ambiente!$A$1:$O$274,B$1,0)</f>
        <v>#N/A</v>
      </c>
      <c r="C270" s="38" t="e">
        <f t="shared" si="541"/>
        <v>#N/A</v>
      </c>
      <c r="D270" s="39" t="e">
        <f t="shared" si="541"/>
        <v>#N/A</v>
      </c>
      <c r="E270" s="16" t="e">
        <f t="shared" si="1"/>
        <v>#N/A</v>
      </c>
      <c r="F270" s="16" t="e">
        <f t="shared" ref="F270:K270" si="542">VLOOKUP($A270,[1]Ambiente!$A$1:$O$274,F$1,0)</f>
        <v>#N/A</v>
      </c>
      <c r="G270" s="39" t="e">
        <f t="shared" si="542"/>
        <v>#N/A</v>
      </c>
      <c r="H270" s="16" t="e">
        <f t="shared" si="542"/>
        <v>#N/A</v>
      </c>
      <c r="I270" s="16" t="e">
        <f t="shared" si="542"/>
        <v>#N/A</v>
      </c>
      <c r="J270" s="40" t="e">
        <f t="shared" si="542"/>
        <v>#N/A</v>
      </c>
      <c r="K270" s="16" t="e">
        <f t="shared" si="542"/>
        <v>#N/A</v>
      </c>
      <c r="L270" s="40" t="e">
        <f t="shared" si="3"/>
        <v>#N/A</v>
      </c>
      <c r="M270" s="16" t="e">
        <f t="shared" si="4"/>
        <v>#N/A</v>
      </c>
      <c r="N270" s="16" t="e">
        <f t="shared" si="5"/>
        <v>#N/A</v>
      </c>
      <c r="O270" s="16" t="s">
        <v>64</v>
      </c>
      <c r="P270" s="16" t="str">
        <f t="shared" si="6"/>
        <v/>
      </c>
      <c r="Q270" s="41" t="e">
        <f t="shared" si="7"/>
        <v>#N/A</v>
      </c>
      <c r="R270" s="44"/>
      <c r="S270" s="44"/>
      <c r="T270" s="43"/>
      <c r="U270" s="43" t="str">
        <f t="shared" si="8"/>
        <v>No</v>
      </c>
      <c r="V270" s="25"/>
      <c r="W270" s="25"/>
      <c r="X270" s="25"/>
      <c r="Y270" s="25"/>
      <c r="Z270" s="25"/>
    </row>
    <row r="271" spans="1:26" ht="15.75" customHeight="1" x14ac:dyDescent="0.25">
      <c r="A271" s="25">
        <v>269</v>
      </c>
      <c r="B271" s="37" t="e">
        <f t="shared" ref="B271:D271" si="543">VLOOKUP($A271,[1]Ambiente!$A$1:$O$274,B$1,0)</f>
        <v>#N/A</v>
      </c>
      <c r="C271" s="38" t="e">
        <f t="shared" si="543"/>
        <v>#N/A</v>
      </c>
      <c r="D271" s="39" t="e">
        <f t="shared" si="543"/>
        <v>#N/A</v>
      </c>
      <c r="E271" s="16" t="e">
        <f t="shared" si="1"/>
        <v>#N/A</v>
      </c>
      <c r="F271" s="16" t="e">
        <f t="shared" ref="F271:K271" si="544">VLOOKUP($A271,[1]Ambiente!$A$1:$O$274,F$1,0)</f>
        <v>#N/A</v>
      </c>
      <c r="G271" s="39" t="e">
        <f t="shared" si="544"/>
        <v>#N/A</v>
      </c>
      <c r="H271" s="16" t="e">
        <f t="shared" si="544"/>
        <v>#N/A</v>
      </c>
      <c r="I271" s="16" t="e">
        <f t="shared" si="544"/>
        <v>#N/A</v>
      </c>
      <c r="J271" s="40" t="e">
        <f t="shared" si="544"/>
        <v>#N/A</v>
      </c>
      <c r="K271" s="16" t="e">
        <f t="shared" si="544"/>
        <v>#N/A</v>
      </c>
      <c r="L271" s="40" t="e">
        <f t="shared" si="3"/>
        <v>#N/A</v>
      </c>
      <c r="M271" s="16" t="e">
        <f t="shared" si="4"/>
        <v>#N/A</v>
      </c>
      <c r="N271" s="16" t="e">
        <f t="shared" si="5"/>
        <v>#N/A</v>
      </c>
      <c r="O271" s="16" t="s">
        <v>64</v>
      </c>
      <c r="P271" s="16" t="str">
        <f t="shared" si="6"/>
        <v/>
      </c>
      <c r="Q271" s="41" t="e">
        <f t="shared" si="7"/>
        <v>#N/A</v>
      </c>
      <c r="R271" s="44"/>
      <c r="S271" s="44"/>
      <c r="T271" s="43"/>
      <c r="U271" s="43" t="str">
        <f t="shared" si="8"/>
        <v>No</v>
      </c>
      <c r="V271" s="25"/>
      <c r="W271" s="25"/>
      <c r="X271" s="25"/>
      <c r="Y271" s="25"/>
      <c r="Z271" s="25"/>
    </row>
    <row r="272" spans="1:26" ht="15.75" customHeight="1" x14ac:dyDescent="0.25">
      <c r="A272" s="25">
        <v>270</v>
      </c>
      <c r="B272" s="37" t="e">
        <f t="shared" ref="B272:D272" si="545">VLOOKUP($A272,[1]Ambiente!$A$1:$O$274,B$1,0)</f>
        <v>#N/A</v>
      </c>
      <c r="C272" s="38" t="e">
        <f t="shared" si="545"/>
        <v>#N/A</v>
      </c>
      <c r="D272" s="39" t="e">
        <f t="shared" si="545"/>
        <v>#N/A</v>
      </c>
      <c r="E272" s="16" t="e">
        <f t="shared" si="1"/>
        <v>#N/A</v>
      </c>
      <c r="F272" s="16" t="e">
        <f t="shared" ref="F272:K272" si="546">VLOOKUP($A272,[1]Ambiente!$A$1:$O$274,F$1,0)</f>
        <v>#N/A</v>
      </c>
      <c r="G272" s="39" t="e">
        <f t="shared" si="546"/>
        <v>#N/A</v>
      </c>
      <c r="H272" s="16" t="e">
        <f t="shared" si="546"/>
        <v>#N/A</v>
      </c>
      <c r="I272" s="16" t="e">
        <f t="shared" si="546"/>
        <v>#N/A</v>
      </c>
      <c r="J272" s="40" t="e">
        <f t="shared" si="546"/>
        <v>#N/A</v>
      </c>
      <c r="K272" s="16" t="e">
        <f t="shared" si="546"/>
        <v>#N/A</v>
      </c>
      <c r="L272" s="40" t="e">
        <f t="shared" si="3"/>
        <v>#N/A</v>
      </c>
      <c r="M272" s="16" t="e">
        <f t="shared" si="4"/>
        <v>#N/A</v>
      </c>
      <c r="N272" s="16" t="e">
        <f t="shared" si="5"/>
        <v>#N/A</v>
      </c>
      <c r="O272" s="16" t="s">
        <v>64</v>
      </c>
      <c r="P272" s="16" t="str">
        <f t="shared" si="6"/>
        <v/>
      </c>
      <c r="Q272" s="41" t="e">
        <f t="shared" si="7"/>
        <v>#N/A</v>
      </c>
      <c r="R272" s="44"/>
      <c r="S272" s="44"/>
      <c r="T272" s="43"/>
      <c r="U272" s="43" t="str">
        <f t="shared" si="8"/>
        <v>No</v>
      </c>
      <c r="V272" s="25"/>
      <c r="W272" s="25"/>
      <c r="X272" s="25"/>
      <c r="Y272" s="25"/>
      <c r="Z272" s="25"/>
    </row>
    <row r="273" spans="1:26" ht="15.75" customHeight="1" x14ac:dyDescent="0.25">
      <c r="A273" s="25">
        <v>271</v>
      </c>
      <c r="B273" s="37" t="e">
        <f t="shared" ref="B273:D273" si="547">VLOOKUP($A273,[1]Ambiente!$A$1:$O$274,B$1,0)</f>
        <v>#N/A</v>
      </c>
      <c r="C273" s="38" t="e">
        <f t="shared" si="547"/>
        <v>#N/A</v>
      </c>
      <c r="D273" s="39" t="e">
        <f t="shared" si="547"/>
        <v>#N/A</v>
      </c>
      <c r="E273" s="16" t="e">
        <f t="shared" si="1"/>
        <v>#N/A</v>
      </c>
      <c r="F273" s="16" t="e">
        <f t="shared" ref="F273:K273" si="548">VLOOKUP($A273,[1]Ambiente!$A$1:$O$274,F$1,0)</f>
        <v>#N/A</v>
      </c>
      <c r="G273" s="39" t="e">
        <f t="shared" si="548"/>
        <v>#N/A</v>
      </c>
      <c r="H273" s="16" t="e">
        <f t="shared" si="548"/>
        <v>#N/A</v>
      </c>
      <c r="I273" s="16" t="e">
        <f t="shared" si="548"/>
        <v>#N/A</v>
      </c>
      <c r="J273" s="40" t="e">
        <f t="shared" si="548"/>
        <v>#N/A</v>
      </c>
      <c r="K273" s="16" t="e">
        <f t="shared" si="548"/>
        <v>#N/A</v>
      </c>
      <c r="L273" s="40" t="e">
        <f t="shared" si="3"/>
        <v>#N/A</v>
      </c>
      <c r="M273" s="16" t="e">
        <f t="shared" si="4"/>
        <v>#N/A</v>
      </c>
      <c r="N273" s="16" t="e">
        <f t="shared" si="5"/>
        <v>#N/A</v>
      </c>
      <c r="O273" s="16" t="s">
        <v>64</v>
      </c>
      <c r="P273" s="16" t="str">
        <f t="shared" si="6"/>
        <v/>
      </c>
      <c r="Q273" s="41" t="e">
        <f t="shared" si="7"/>
        <v>#N/A</v>
      </c>
      <c r="R273" s="44"/>
      <c r="S273" s="44"/>
      <c r="T273" s="43"/>
      <c r="U273" s="43" t="str">
        <f t="shared" si="8"/>
        <v>No</v>
      </c>
      <c r="V273" s="25"/>
      <c r="W273" s="25"/>
      <c r="X273" s="25"/>
      <c r="Y273" s="25"/>
      <c r="Z273" s="25"/>
    </row>
    <row r="274" spans="1:26" ht="15.75" customHeight="1" x14ac:dyDescent="0.25">
      <c r="A274" s="25">
        <v>272</v>
      </c>
      <c r="B274" s="37" t="e">
        <f t="shared" ref="B274:D274" si="549">VLOOKUP($A274,[1]Ambiente!$A$1:$O$274,B$1,0)</f>
        <v>#N/A</v>
      </c>
      <c r="C274" s="38" t="e">
        <f t="shared" si="549"/>
        <v>#N/A</v>
      </c>
      <c r="D274" s="39" t="e">
        <f t="shared" si="549"/>
        <v>#N/A</v>
      </c>
      <c r="E274" s="16" t="e">
        <f t="shared" si="1"/>
        <v>#N/A</v>
      </c>
      <c r="F274" s="16" t="e">
        <f t="shared" ref="F274:K274" si="550">VLOOKUP($A274,[1]Ambiente!$A$1:$O$274,F$1,0)</f>
        <v>#N/A</v>
      </c>
      <c r="G274" s="39" t="e">
        <f t="shared" si="550"/>
        <v>#N/A</v>
      </c>
      <c r="H274" s="16" t="e">
        <f t="shared" si="550"/>
        <v>#N/A</v>
      </c>
      <c r="I274" s="16" t="e">
        <f t="shared" si="550"/>
        <v>#N/A</v>
      </c>
      <c r="J274" s="40" t="e">
        <f t="shared" si="550"/>
        <v>#N/A</v>
      </c>
      <c r="K274" s="16" t="e">
        <f t="shared" si="550"/>
        <v>#N/A</v>
      </c>
      <c r="L274" s="40" t="e">
        <f t="shared" si="3"/>
        <v>#N/A</v>
      </c>
      <c r="M274" s="16" t="e">
        <f t="shared" si="4"/>
        <v>#N/A</v>
      </c>
      <c r="N274" s="16" t="e">
        <f t="shared" si="5"/>
        <v>#N/A</v>
      </c>
      <c r="O274" s="16" t="s">
        <v>64</v>
      </c>
      <c r="P274" s="16" t="str">
        <f t="shared" si="6"/>
        <v/>
      </c>
      <c r="Q274" s="41" t="e">
        <f t="shared" si="7"/>
        <v>#N/A</v>
      </c>
      <c r="R274" s="44"/>
      <c r="S274" s="44"/>
      <c r="T274" s="43"/>
      <c r="U274" s="43" t="str">
        <f t="shared" si="8"/>
        <v>No</v>
      </c>
      <c r="V274" s="25"/>
      <c r="W274" s="25"/>
      <c r="X274" s="25"/>
      <c r="Y274" s="25"/>
      <c r="Z274" s="25"/>
    </row>
    <row r="275" spans="1:26" ht="15.75" customHeight="1" x14ac:dyDescent="0.25">
      <c r="A275" s="25">
        <v>273</v>
      </c>
      <c r="B275" s="37" t="e">
        <f t="shared" ref="B275:D275" si="551">VLOOKUP($A275,[1]Ambiente!$A$1:$O$274,B$1,0)</f>
        <v>#N/A</v>
      </c>
      <c r="C275" s="38" t="e">
        <f t="shared" si="551"/>
        <v>#N/A</v>
      </c>
      <c r="D275" s="39" t="e">
        <f t="shared" si="551"/>
        <v>#N/A</v>
      </c>
      <c r="E275" s="16" t="e">
        <f t="shared" si="1"/>
        <v>#N/A</v>
      </c>
      <c r="F275" s="16" t="e">
        <f t="shared" ref="F275:K275" si="552">VLOOKUP($A275,[1]Ambiente!$A$1:$O$274,F$1,0)</f>
        <v>#N/A</v>
      </c>
      <c r="G275" s="39" t="e">
        <f t="shared" si="552"/>
        <v>#N/A</v>
      </c>
      <c r="H275" s="16" t="e">
        <f t="shared" si="552"/>
        <v>#N/A</v>
      </c>
      <c r="I275" s="16" t="e">
        <f t="shared" si="552"/>
        <v>#N/A</v>
      </c>
      <c r="J275" s="40" t="e">
        <f t="shared" si="552"/>
        <v>#N/A</v>
      </c>
      <c r="K275" s="16" t="e">
        <f t="shared" si="552"/>
        <v>#N/A</v>
      </c>
      <c r="L275" s="40" t="e">
        <f t="shared" si="3"/>
        <v>#N/A</v>
      </c>
      <c r="M275" s="16" t="e">
        <f t="shared" si="4"/>
        <v>#N/A</v>
      </c>
      <c r="N275" s="16" t="e">
        <f t="shared" si="5"/>
        <v>#N/A</v>
      </c>
      <c r="O275" s="16" t="s">
        <v>64</v>
      </c>
      <c r="P275" s="16" t="str">
        <f t="shared" si="6"/>
        <v/>
      </c>
      <c r="Q275" s="41" t="e">
        <f t="shared" si="7"/>
        <v>#N/A</v>
      </c>
      <c r="R275" s="44"/>
      <c r="S275" s="44"/>
      <c r="T275" s="43"/>
      <c r="U275" s="43" t="str">
        <f t="shared" si="8"/>
        <v>No</v>
      </c>
      <c r="V275" s="25"/>
      <c r="W275" s="25"/>
      <c r="X275" s="25"/>
      <c r="Y275" s="25"/>
      <c r="Z275" s="25"/>
    </row>
    <row r="276" spans="1:26" ht="15.75" customHeight="1" x14ac:dyDescent="0.25">
      <c r="A276" s="25">
        <v>274</v>
      </c>
      <c r="B276" s="37" t="e">
        <f t="shared" ref="B276:D276" si="553">VLOOKUP($A276,[1]Ambiente!$A$1:$O$274,B$1,0)</f>
        <v>#N/A</v>
      </c>
      <c r="C276" s="38" t="e">
        <f t="shared" si="553"/>
        <v>#N/A</v>
      </c>
      <c r="D276" s="39" t="e">
        <f t="shared" si="553"/>
        <v>#N/A</v>
      </c>
      <c r="E276" s="16" t="e">
        <f t="shared" si="1"/>
        <v>#N/A</v>
      </c>
      <c r="F276" s="16" t="e">
        <f t="shared" ref="F276:K276" si="554">VLOOKUP($A276,[1]Ambiente!$A$1:$O$274,F$1,0)</f>
        <v>#N/A</v>
      </c>
      <c r="G276" s="39" t="e">
        <f t="shared" si="554"/>
        <v>#N/A</v>
      </c>
      <c r="H276" s="16" t="e">
        <f t="shared" si="554"/>
        <v>#N/A</v>
      </c>
      <c r="I276" s="16" t="e">
        <f t="shared" si="554"/>
        <v>#N/A</v>
      </c>
      <c r="J276" s="40" t="e">
        <f t="shared" si="554"/>
        <v>#N/A</v>
      </c>
      <c r="K276" s="16" t="e">
        <f t="shared" si="554"/>
        <v>#N/A</v>
      </c>
      <c r="L276" s="40" t="e">
        <f t="shared" si="3"/>
        <v>#N/A</v>
      </c>
      <c r="M276" s="16" t="e">
        <f t="shared" si="4"/>
        <v>#N/A</v>
      </c>
      <c r="N276" s="16" t="e">
        <f t="shared" si="5"/>
        <v>#N/A</v>
      </c>
      <c r="O276" s="16" t="s">
        <v>64</v>
      </c>
      <c r="P276" s="16" t="str">
        <f t="shared" si="6"/>
        <v/>
      </c>
      <c r="Q276" s="41" t="e">
        <f t="shared" si="7"/>
        <v>#N/A</v>
      </c>
      <c r="R276" s="44"/>
      <c r="S276" s="44"/>
      <c r="T276" s="43"/>
      <c r="U276" s="43" t="str">
        <f t="shared" si="8"/>
        <v>No</v>
      </c>
      <c r="V276" s="25"/>
      <c r="W276" s="25"/>
      <c r="X276" s="25"/>
      <c r="Y276" s="25"/>
      <c r="Z276" s="25"/>
    </row>
    <row r="277" spans="1:26" ht="15.75" customHeight="1" x14ac:dyDescent="0.25">
      <c r="A277" s="25">
        <v>275</v>
      </c>
      <c r="B277" s="37" t="e">
        <f t="shared" ref="B277:D277" si="555">VLOOKUP($A277,[1]Ambiente!$A$1:$O$274,B$1,0)</f>
        <v>#N/A</v>
      </c>
      <c r="C277" s="38" t="e">
        <f t="shared" si="555"/>
        <v>#N/A</v>
      </c>
      <c r="D277" s="39" t="e">
        <f t="shared" si="555"/>
        <v>#N/A</v>
      </c>
      <c r="E277" s="16" t="e">
        <f t="shared" si="1"/>
        <v>#N/A</v>
      </c>
      <c r="F277" s="16" t="e">
        <f t="shared" ref="F277:K277" si="556">VLOOKUP($A277,[1]Ambiente!$A$1:$O$274,F$1,0)</f>
        <v>#N/A</v>
      </c>
      <c r="G277" s="39" t="e">
        <f t="shared" si="556"/>
        <v>#N/A</v>
      </c>
      <c r="H277" s="16" t="e">
        <f t="shared" si="556"/>
        <v>#N/A</v>
      </c>
      <c r="I277" s="16" t="e">
        <f t="shared" si="556"/>
        <v>#N/A</v>
      </c>
      <c r="J277" s="40" t="e">
        <f t="shared" si="556"/>
        <v>#N/A</v>
      </c>
      <c r="K277" s="16" t="e">
        <f t="shared" si="556"/>
        <v>#N/A</v>
      </c>
      <c r="L277" s="40" t="e">
        <f t="shared" si="3"/>
        <v>#N/A</v>
      </c>
      <c r="M277" s="16" t="e">
        <f t="shared" si="4"/>
        <v>#N/A</v>
      </c>
      <c r="N277" s="16" t="e">
        <f t="shared" si="5"/>
        <v>#N/A</v>
      </c>
      <c r="O277" s="16" t="s">
        <v>64</v>
      </c>
      <c r="P277" s="16" t="str">
        <f t="shared" si="6"/>
        <v/>
      </c>
      <c r="Q277" s="41" t="e">
        <f t="shared" si="7"/>
        <v>#N/A</v>
      </c>
      <c r="R277" s="44"/>
      <c r="S277" s="44"/>
      <c r="T277" s="43"/>
      <c r="U277" s="43" t="str">
        <f t="shared" si="8"/>
        <v>No</v>
      </c>
      <c r="V277" s="25"/>
      <c r="W277" s="25"/>
      <c r="X277" s="25"/>
      <c r="Y277" s="25"/>
      <c r="Z277" s="25"/>
    </row>
    <row r="278" spans="1:26" ht="15.75" customHeight="1" x14ac:dyDescent="0.25">
      <c r="A278" s="25">
        <v>276</v>
      </c>
      <c r="B278" s="37" t="e">
        <f t="shared" ref="B278:D278" si="557">VLOOKUP($A278,[1]Ambiente!$A$1:$O$274,B$1,0)</f>
        <v>#N/A</v>
      </c>
      <c r="C278" s="38" t="e">
        <f t="shared" si="557"/>
        <v>#N/A</v>
      </c>
      <c r="D278" s="39" t="e">
        <f t="shared" si="557"/>
        <v>#N/A</v>
      </c>
      <c r="E278" s="16" t="e">
        <f t="shared" si="1"/>
        <v>#N/A</v>
      </c>
      <c r="F278" s="16" t="e">
        <f t="shared" ref="F278:K278" si="558">VLOOKUP($A278,[1]Ambiente!$A$1:$O$274,F$1,0)</f>
        <v>#N/A</v>
      </c>
      <c r="G278" s="39" t="e">
        <f t="shared" si="558"/>
        <v>#N/A</v>
      </c>
      <c r="H278" s="16" t="e">
        <f t="shared" si="558"/>
        <v>#N/A</v>
      </c>
      <c r="I278" s="16" t="e">
        <f t="shared" si="558"/>
        <v>#N/A</v>
      </c>
      <c r="J278" s="40" t="e">
        <f t="shared" si="558"/>
        <v>#N/A</v>
      </c>
      <c r="K278" s="16" t="e">
        <f t="shared" si="558"/>
        <v>#N/A</v>
      </c>
      <c r="L278" s="40" t="e">
        <f t="shared" si="3"/>
        <v>#N/A</v>
      </c>
      <c r="M278" s="16" t="e">
        <f t="shared" si="4"/>
        <v>#N/A</v>
      </c>
      <c r="N278" s="16" t="e">
        <f t="shared" si="5"/>
        <v>#N/A</v>
      </c>
      <c r="O278" s="16" t="s">
        <v>64</v>
      </c>
      <c r="P278" s="16" t="str">
        <f t="shared" si="6"/>
        <v/>
      </c>
      <c r="Q278" s="41" t="e">
        <f t="shared" si="7"/>
        <v>#N/A</v>
      </c>
      <c r="R278" s="44"/>
      <c r="S278" s="44"/>
      <c r="T278" s="43"/>
      <c r="U278" s="43" t="str">
        <f t="shared" si="8"/>
        <v>No</v>
      </c>
      <c r="V278" s="25"/>
      <c r="W278" s="25"/>
      <c r="X278" s="25"/>
      <c r="Y278" s="25"/>
      <c r="Z278" s="25"/>
    </row>
    <row r="279" spans="1:26" ht="15.75" customHeight="1" x14ac:dyDescent="0.25">
      <c r="A279" s="25">
        <v>277</v>
      </c>
      <c r="B279" s="37" t="e">
        <f t="shared" ref="B279:D279" si="559">VLOOKUP($A279,[1]Ambiente!$A$1:$O$274,B$1,0)</f>
        <v>#N/A</v>
      </c>
      <c r="C279" s="38" t="e">
        <f t="shared" si="559"/>
        <v>#N/A</v>
      </c>
      <c r="D279" s="39" t="e">
        <f t="shared" si="559"/>
        <v>#N/A</v>
      </c>
      <c r="E279" s="16" t="e">
        <f t="shared" si="1"/>
        <v>#N/A</v>
      </c>
      <c r="F279" s="16" t="e">
        <f t="shared" ref="F279:K279" si="560">VLOOKUP($A279,[1]Ambiente!$A$1:$O$274,F$1,0)</f>
        <v>#N/A</v>
      </c>
      <c r="G279" s="39" t="e">
        <f t="shared" si="560"/>
        <v>#N/A</v>
      </c>
      <c r="H279" s="16" t="e">
        <f t="shared" si="560"/>
        <v>#N/A</v>
      </c>
      <c r="I279" s="16" t="e">
        <f t="shared" si="560"/>
        <v>#N/A</v>
      </c>
      <c r="J279" s="40" t="e">
        <f t="shared" si="560"/>
        <v>#N/A</v>
      </c>
      <c r="K279" s="16" t="e">
        <f t="shared" si="560"/>
        <v>#N/A</v>
      </c>
      <c r="L279" s="40" t="e">
        <f t="shared" si="3"/>
        <v>#N/A</v>
      </c>
      <c r="M279" s="16" t="e">
        <f t="shared" si="4"/>
        <v>#N/A</v>
      </c>
      <c r="N279" s="16" t="e">
        <f t="shared" si="5"/>
        <v>#N/A</v>
      </c>
      <c r="O279" s="16" t="s">
        <v>64</v>
      </c>
      <c r="P279" s="16" t="str">
        <f t="shared" si="6"/>
        <v/>
      </c>
      <c r="Q279" s="41" t="e">
        <f t="shared" si="7"/>
        <v>#N/A</v>
      </c>
      <c r="R279" s="44"/>
      <c r="S279" s="44"/>
      <c r="T279" s="43"/>
      <c r="U279" s="43" t="str">
        <f t="shared" si="8"/>
        <v>No</v>
      </c>
      <c r="V279" s="25"/>
      <c r="W279" s="25"/>
      <c r="X279" s="25"/>
      <c r="Y279" s="25"/>
      <c r="Z279" s="25"/>
    </row>
    <row r="280" spans="1:26" ht="15.75" customHeight="1" x14ac:dyDescent="0.25">
      <c r="A280" s="25">
        <v>278</v>
      </c>
      <c r="B280" s="37" t="e">
        <f t="shared" ref="B280:D280" si="561">VLOOKUP($A280,[1]Ambiente!$A$1:$O$274,B$1,0)</f>
        <v>#N/A</v>
      </c>
      <c r="C280" s="38" t="e">
        <f t="shared" si="561"/>
        <v>#N/A</v>
      </c>
      <c r="D280" s="39" t="e">
        <f t="shared" si="561"/>
        <v>#N/A</v>
      </c>
      <c r="E280" s="16" t="e">
        <f t="shared" si="1"/>
        <v>#N/A</v>
      </c>
      <c r="F280" s="16" t="e">
        <f t="shared" ref="F280:K280" si="562">VLOOKUP($A280,[1]Ambiente!$A$1:$O$274,F$1,0)</f>
        <v>#N/A</v>
      </c>
      <c r="G280" s="39" t="e">
        <f t="shared" si="562"/>
        <v>#N/A</v>
      </c>
      <c r="H280" s="16" t="e">
        <f t="shared" si="562"/>
        <v>#N/A</v>
      </c>
      <c r="I280" s="16" t="e">
        <f t="shared" si="562"/>
        <v>#N/A</v>
      </c>
      <c r="J280" s="40" t="e">
        <f t="shared" si="562"/>
        <v>#N/A</v>
      </c>
      <c r="K280" s="16" t="e">
        <f t="shared" si="562"/>
        <v>#N/A</v>
      </c>
      <c r="L280" s="40" t="e">
        <f t="shared" si="3"/>
        <v>#N/A</v>
      </c>
      <c r="M280" s="16" t="e">
        <f t="shared" si="4"/>
        <v>#N/A</v>
      </c>
      <c r="N280" s="16" t="e">
        <f t="shared" si="5"/>
        <v>#N/A</v>
      </c>
      <c r="O280" s="16" t="s">
        <v>64</v>
      </c>
      <c r="P280" s="16" t="str">
        <f t="shared" si="6"/>
        <v/>
      </c>
      <c r="Q280" s="41" t="e">
        <f t="shared" si="7"/>
        <v>#N/A</v>
      </c>
      <c r="R280" s="44"/>
      <c r="S280" s="44"/>
      <c r="T280" s="43"/>
      <c r="U280" s="43" t="str">
        <f t="shared" si="8"/>
        <v>No</v>
      </c>
      <c r="V280" s="25"/>
      <c r="W280" s="25"/>
      <c r="X280" s="25"/>
      <c r="Y280" s="25"/>
      <c r="Z280" s="25"/>
    </row>
    <row r="281" spans="1:26" ht="15.75" customHeight="1" x14ac:dyDescent="0.25">
      <c r="A281" s="25">
        <v>279</v>
      </c>
      <c r="B281" s="37" t="e">
        <f t="shared" ref="B281:D281" si="563">VLOOKUP($A281,[1]Ambiente!$A$1:$O$274,B$1,0)</f>
        <v>#N/A</v>
      </c>
      <c r="C281" s="38" t="e">
        <f t="shared" si="563"/>
        <v>#N/A</v>
      </c>
      <c r="D281" s="39" t="e">
        <f t="shared" si="563"/>
        <v>#N/A</v>
      </c>
      <c r="E281" s="16" t="e">
        <f t="shared" si="1"/>
        <v>#N/A</v>
      </c>
      <c r="F281" s="16" t="e">
        <f t="shared" ref="F281:K281" si="564">VLOOKUP($A281,[1]Ambiente!$A$1:$O$274,F$1,0)</f>
        <v>#N/A</v>
      </c>
      <c r="G281" s="39" t="e">
        <f t="shared" si="564"/>
        <v>#N/A</v>
      </c>
      <c r="H281" s="16" t="e">
        <f t="shared" si="564"/>
        <v>#N/A</v>
      </c>
      <c r="I281" s="16" t="e">
        <f t="shared" si="564"/>
        <v>#N/A</v>
      </c>
      <c r="J281" s="40" t="e">
        <f t="shared" si="564"/>
        <v>#N/A</v>
      </c>
      <c r="K281" s="16" t="e">
        <f t="shared" si="564"/>
        <v>#N/A</v>
      </c>
      <c r="L281" s="40" t="e">
        <f t="shared" si="3"/>
        <v>#N/A</v>
      </c>
      <c r="M281" s="16" t="e">
        <f t="shared" si="4"/>
        <v>#N/A</v>
      </c>
      <c r="N281" s="16" t="e">
        <f t="shared" si="5"/>
        <v>#N/A</v>
      </c>
      <c r="O281" s="16" t="s">
        <v>64</v>
      </c>
      <c r="P281" s="16" t="str">
        <f t="shared" si="6"/>
        <v/>
      </c>
      <c r="Q281" s="41" t="e">
        <f t="shared" si="7"/>
        <v>#N/A</v>
      </c>
      <c r="R281" s="44"/>
      <c r="S281" s="44"/>
      <c r="T281" s="43"/>
      <c r="U281" s="43" t="str">
        <f t="shared" si="8"/>
        <v>No</v>
      </c>
      <c r="V281" s="25"/>
      <c r="W281" s="25"/>
      <c r="X281" s="25"/>
      <c r="Y281" s="25"/>
      <c r="Z281" s="25"/>
    </row>
    <row r="282" spans="1:26" ht="15.75" customHeight="1" x14ac:dyDescent="0.25">
      <c r="A282" s="25">
        <v>280</v>
      </c>
      <c r="B282" s="37" t="e">
        <f t="shared" ref="B282:D282" si="565">VLOOKUP($A282,[1]Ambiente!$A$1:$O$274,B$1,0)</f>
        <v>#N/A</v>
      </c>
      <c r="C282" s="38" t="e">
        <f t="shared" si="565"/>
        <v>#N/A</v>
      </c>
      <c r="D282" s="39" t="e">
        <f t="shared" si="565"/>
        <v>#N/A</v>
      </c>
      <c r="E282" s="16" t="e">
        <f t="shared" si="1"/>
        <v>#N/A</v>
      </c>
      <c r="F282" s="16" t="e">
        <f t="shared" ref="F282:K282" si="566">VLOOKUP($A282,[1]Ambiente!$A$1:$O$274,F$1,0)</f>
        <v>#N/A</v>
      </c>
      <c r="G282" s="39" t="e">
        <f t="shared" si="566"/>
        <v>#N/A</v>
      </c>
      <c r="H282" s="16" t="e">
        <f t="shared" si="566"/>
        <v>#N/A</v>
      </c>
      <c r="I282" s="16" t="e">
        <f t="shared" si="566"/>
        <v>#N/A</v>
      </c>
      <c r="J282" s="40" t="e">
        <f t="shared" si="566"/>
        <v>#N/A</v>
      </c>
      <c r="K282" s="16" t="e">
        <f t="shared" si="566"/>
        <v>#N/A</v>
      </c>
      <c r="L282" s="40" t="e">
        <f t="shared" si="3"/>
        <v>#N/A</v>
      </c>
      <c r="M282" s="16" t="e">
        <f t="shared" si="4"/>
        <v>#N/A</v>
      </c>
      <c r="N282" s="16" t="e">
        <f t="shared" si="5"/>
        <v>#N/A</v>
      </c>
      <c r="O282" s="16" t="s">
        <v>64</v>
      </c>
      <c r="P282" s="16" t="str">
        <f t="shared" si="6"/>
        <v/>
      </c>
      <c r="Q282" s="41" t="e">
        <f t="shared" si="7"/>
        <v>#N/A</v>
      </c>
      <c r="R282" s="44"/>
      <c r="S282" s="44"/>
      <c r="T282" s="43"/>
      <c r="U282" s="43" t="str">
        <f t="shared" si="8"/>
        <v>No</v>
      </c>
      <c r="V282" s="25"/>
      <c r="W282" s="25"/>
      <c r="X282" s="25"/>
      <c r="Y282" s="25"/>
      <c r="Z282" s="25"/>
    </row>
    <row r="283" spans="1:26" ht="15.75" customHeight="1" x14ac:dyDescent="0.25">
      <c r="A283" s="25">
        <v>281</v>
      </c>
      <c r="B283" s="37" t="e">
        <f t="shared" ref="B283:D283" si="567">VLOOKUP($A283,[1]Ambiente!$A$1:$O$274,B$1,0)</f>
        <v>#N/A</v>
      </c>
      <c r="C283" s="38" t="e">
        <f t="shared" si="567"/>
        <v>#N/A</v>
      </c>
      <c r="D283" s="39" t="e">
        <f t="shared" si="567"/>
        <v>#N/A</v>
      </c>
      <c r="E283" s="16" t="e">
        <f t="shared" si="1"/>
        <v>#N/A</v>
      </c>
      <c r="F283" s="16" t="e">
        <f t="shared" ref="F283:K283" si="568">VLOOKUP($A283,[1]Ambiente!$A$1:$O$274,F$1,0)</f>
        <v>#N/A</v>
      </c>
      <c r="G283" s="39" t="e">
        <f t="shared" si="568"/>
        <v>#N/A</v>
      </c>
      <c r="H283" s="16" t="e">
        <f t="shared" si="568"/>
        <v>#N/A</v>
      </c>
      <c r="I283" s="16" t="e">
        <f t="shared" si="568"/>
        <v>#N/A</v>
      </c>
      <c r="J283" s="40" t="e">
        <f t="shared" si="568"/>
        <v>#N/A</v>
      </c>
      <c r="K283" s="16" t="e">
        <f t="shared" si="568"/>
        <v>#N/A</v>
      </c>
      <c r="L283" s="40" t="e">
        <f t="shared" si="3"/>
        <v>#N/A</v>
      </c>
      <c r="M283" s="16" t="e">
        <f t="shared" si="4"/>
        <v>#N/A</v>
      </c>
      <c r="N283" s="16" t="e">
        <f t="shared" si="5"/>
        <v>#N/A</v>
      </c>
      <c r="O283" s="16" t="s">
        <v>64</v>
      </c>
      <c r="P283" s="16" t="str">
        <f t="shared" si="6"/>
        <v/>
      </c>
      <c r="Q283" s="41" t="e">
        <f t="shared" si="7"/>
        <v>#N/A</v>
      </c>
      <c r="R283" s="44"/>
      <c r="S283" s="44"/>
      <c r="T283" s="43"/>
      <c r="U283" s="43" t="str">
        <f t="shared" si="8"/>
        <v>No</v>
      </c>
      <c r="V283" s="25"/>
      <c r="W283" s="25"/>
      <c r="X283" s="25"/>
      <c r="Y283" s="25"/>
      <c r="Z283" s="25"/>
    </row>
    <row r="284" spans="1:26" ht="15.75" customHeight="1" x14ac:dyDescent="0.25">
      <c r="A284" s="25">
        <v>282</v>
      </c>
      <c r="B284" s="37" t="e">
        <f t="shared" ref="B284:D284" si="569">VLOOKUP($A284,[1]Ambiente!$A$1:$O$274,B$1,0)</f>
        <v>#N/A</v>
      </c>
      <c r="C284" s="38" t="e">
        <f t="shared" si="569"/>
        <v>#N/A</v>
      </c>
      <c r="D284" s="39" t="e">
        <f t="shared" si="569"/>
        <v>#N/A</v>
      </c>
      <c r="E284" s="16" t="e">
        <f t="shared" si="1"/>
        <v>#N/A</v>
      </c>
      <c r="F284" s="16" t="e">
        <f t="shared" ref="F284:K284" si="570">VLOOKUP($A284,[1]Ambiente!$A$1:$O$274,F$1,0)</f>
        <v>#N/A</v>
      </c>
      <c r="G284" s="39" t="e">
        <f t="shared" si="570"/>
        <v>#N/A</v>
      </c>
      <c r="H284" s="16" t="e">
        <f t="shared" si="570"/>
        <v>#N/A</v>
      </c>
      <c r="I284" s="16" t="e">
        <f t="shared" si="570"/>
        <v>#N/A</v>
      </c>
      <c r="J284" s="40" t="e">
        <f t="shared" si="570"/>
        <v>#N/A</v>
      </c>
      <c r="K284" s="16" t="e">
        <f t="shared" si="570"/>
        <v>#N/A</v>
      </c>
      <c r="L284" s="40" t="e">
        <f t="shared" si="3"/>
        <v>#N/A</v>
      </c>
      <c r="M284" s="16" t="e">
        <f t="shared" si="4"/>
        <v>#N/A</v>
      </c>
      <c r="N284" s="16" t="e">
        <f t="shared" si="5"/>
        <v>#N/A</v>
      </c>
      <c r="O284" s="16" t="s">
        <v>64</v>
      </c>
      <c r="P284" s="16" t="str">
        <f t="shared" si="6"/>
        <v/>
      </c>
      <c r="Q284" s="41" t="e">
        <f t="shared" si="7"/>
        <v>#N/A</v>
      </c>
      <c r="R284" s="44"/>
      <c r="S284" s="44"/>
      <c r="T284" s="43"/>
      <c r="U284" s="43" t="str">
        <f t="shared" si="8"/>
        <v>No</v>
      </c>
      <c r="V284" s="25"/>
      <c r="W284" s="25"/>
      <c r="X284" s="25"/>
      <c r="Y284" s="25"/>
      <c r="Z284" s="25"/>
    </row>
    <row r="285" spans="1:26" ht="15.75" customHeight="1" x14ac:dyDescent="0.25">
      <c r="A285" s="25">
        <v>283</v>
      </c>
      <c r="B285" s="37" t="e">
        <f t="shared" ref="B285:D285" si="571">VLOOKUP($A285,[1]Ambiente!$A$1:$O$274,B$1,0)</f>
        <v>#N/A</v>
      </c>
      <c r="C285" s="38" t="e">
        <f t="shared" si="571"/>
        <v>#N/A</v>
      </c>
      <c r="D285" s="39" t="e">
        <f t="shared" si="571"/>
        <v>#N/A</v>
      </c>
      <c r="E285" s="16" t="e">
        <f t="shared" si="1"/>
        <v>#N/A</v>
      </c>
      <c r="F285" s="16" t="e">
        <f t="shared" ref="F285:K285" si="572">VLOOKUP($A285,[1]Ambiente!$A$1:$O$274,F$1,0)</f>
        <v>#N/A</v>
      </c>
      <c r="G285" s="39" t="e">
        <f t="shared" si="572"/>
        <v>#N/A</v>
      </c>
      <c r="H285" s="16" t="e">
        <f t="shared" si="572"/>
        <v>#N/A</v>
      </c>
      <c r="I285" s="16" t="e">
        <f t="shared" si="572"/>
        <v>#N/A</v>
      </c>
      <c r="J285" s="40" t="e">
        <f t="shared" si="572"/>
        <v>#N/A</v>
      </c>
      <c r="K285" s="16" t="e">
        <f t="shared" si="572"/>
        <v>#N/A</v>
      </c>
      <c r="L285" s="40" t="e">
        <f t="shared" si="3"/>
        <v>#N/A</v>
      </c>
      <c r="M285" s="16" t="e">
        <f t="shared" si="4"/>
        <v>#N/A</v>
      </c>
      <c r="N285" s="16" t="e">
        <f t="shared" si="5"/>
        <v>#N/A</v>
      </c>
      <c r="O285" s="16" t="s">
        <v>64</v>
      </c>
      <c r="P285" s="16" t="str">
        <f t="shared" si="6"/>
        <v/>
      </c>
      <c r="Q285" s="41" t="e">
        <f t="shared" si="7"/>
        <v>#N/A</v>
      </c>
      <c r="R285" s="44"/>
      <c r="S285" s="44"/>
      <c r="T285" s="43"/>
      <c r="U285" s="43" t="str">
        <f t="shared" si="8"/>
        <v>No</v>
      </c>
      <c r="V285" s="25"/>
      <c r="W285" s="25"/>
      <c r="X285" s="25"/>
      <c r="Y285" s="25"/>
      <c r="Z285" s="25"/>
    </row>
    <row r="286" spans="1:26" ht="15.75" customHeight="1" x14ac:dyDescent="0.25">
      <c r="A286" s="25">
        <v>284</v>
      </c>
      <c r="B286" s="37" t="e">
        <f t="shared" ref="B286:D286" si="573">VLOOKUP($A286,[1]Ambiente!$A$1:$O$274,B$1,0)</f>
        <v>#N/A</v>
      </c>
      <c r="C286" s="38" t="e">
        <f t="shared" si="573"/>
        <v>#N/A</v>
      </c>
      <c r="D286" s="39" t="e">
        <f t="shared" si="573"/>
        <v>#N/A</v>
      </c>
      <c r="E286" s="16" t="e">
        <f t="shared" si="1"/>
        <v>#N/A</v>
      </c>
      <c r="F286" s="16" t="e">
        <f t="shared" ref="F286:K286" si="574">VLOOKUP($A286,[1]Ambiente!$A$1:$O$274,F$1,0)</f>
        <v>#N/A</v>
      </c>
      <c r="G286" s="39" t="e">
        <f t="shared" si="574"/>
        <v>#N/A</v>
      </c>
      <c r="H286" s="16" t="e">
        <f t="shared" si="574"/>
        <v>#N/A</v>
      </c>
      <c r="I286" s="16" t="e">
        <f t="shared" si="574"/>
        <v>#N/A</v>
      </c>
      <c r="J286" s="40" t="e">
        <f t="shared" si="574"/>
        <v>#N/A</v>
      </c>
      <c r="K286" s="16" t="e">
        <f t="shared" si="574"/>
        <v>#N/A</v>
      </c>
      <c r="L286" s="40" t="e">
        <f t="shared" si="3"/>
        <v>#N/A</v>
      </c>
      <c r="M286" s="16" t="e">
        <f t="shared" si="4"/>
        <v>#N/A</v>
      </c>
      <c r="N286" s="16" t="e">
        <f t="shared" si="5"/>
        <v>#N/A</v>
      </c>
      <c r="O286" s="16" t="s">
        <v>64</v>
      </c>
      <c r="P286" s="16" t="str">
        <f t="shared" si="6"/>
        <v/>
      </c>
      <c r="Q286" s="41" t="e">
        <f t="shared" si="7"/>
        <v>#N/A</v>
      </c>
      <c r="R286" s="44"/>
      <c r="S286" s="44"/>
      <c r="T286" s="43"/>
      <c r="U286" s="43" t="str">
        <f t="shared" si="8"/>
        <v>No</v>
      </c>
      <c r="V286" s="25"/>
      <c r="W286" s="25"/>
      <c r="X286" s="25"/>
      <c r="Y286" s="25"/>
      <c r="Z286" s="25"/>
    </row>
    <row r="287" spans="1:26" ht="15.75" customHeight="1" x14ac:dyDescent="0.25">
      <c r="A287" s="25">
        <v>285</v>
      </c>
      <c r="B287" s="37" t="e">
        <f t="shared" ref="B287:D287" si="575">VLOOKUP($A287,[1]Ambiente!$A$1:$O$274,B$1,0)</f>
        <v>#N/A</v>
      </c>
      <c r="C287" s="38" t="e">
        <f t="shared" si="575"/>
        <v>#N/A</v>
      </c>
      <c r="D287" s="39" t="e">
        <f t="shared" si="575"/>
        <v>#N/A</v>
      </c>
      <c r="E287" s="16" t="e">
        <f t="shared" si="1"/>
        <v>#N/A</v>
      </c>
      <c r="F287" s="16" t="e">
        <f t="shared" ref="F287:K287" si="576">VLOOKUP($A287,[1]Ambiente!$A$1:$O$274,F$1,0)</f>
        <v>#N/A</v>
      </c>
      <c r="G287" s="39" t="e">
        <f t="shared" si="576"/>
        <v>#N/A</v>
      </c>
      <c r="H287" s="16" t="e">
        <f t="shared" si="576"/>
        <v>#N/A</v>
      </c>
      <c r="I287" s="16" t="e">
        <f t="shared" si="576"/>
        <v>#N/A</v>
      </c>
      <c r="J287" s="40" t="e">
        <f t="shared" si="576"/>
        <v>#N/A</v>
      </c>
      <c r="K287" s="16" t="e">
        <f t="shared" si="576"/>
        <v>#N/A</v>
      </c>
      <c r="L287" s="40" t="e">
        <f t="shared" si="3"/>
        <v>#N/A</v>
      </c>
      <c r="M287" s="16" t="e">
        <f t="shared" si="4"/>
        <v>#N/A</v>
      </c>
      <c r="N287" s="16" t="e">
        <f t="shared" si="5"/>
        <v>#N/A</v>
      </c>
      <c r="O287" s="16" t="s">
        <v>64</v>
      </c>
      <c r="P287" s="16" t="str">
        <f t="shared" si="6"/>
        <v/>
      </c>
      <c r="Q287" s="41" t="e">
        <f t="shared" si="7"/>
        <v>#N/A</v>
      </c>
      <c r="R287" s="44"/>
      <c r="S287" s="44"/>
      <c r="T287" s="43"/>
      <c r="U287" s="43" t="str">
        <f t="shared" si="8"/>
        <v>No</v>
      </c>
      <c r="V287" s="25"/>
      <c r="W287" s="25"/>
      <c r="X287" s="25"/>
      <c r="Y287" s="25"/>
      <c r="Z287" s="25"/>
    </row>
    <row r="288" spans="1:26" ht="15.75" customHeight="1" x14ac:dyDescent="0.25">
      <c r="A288" s="25">
        <v>286</v>
      </c>
      <c r="B288" s="37" t="e">
        <f t="shared" ref="B288:D288" si="577">VLOOKUP($A288,[1]Ambiente!$A$1:$O$274,B$1,0)</f>
        <v>#N/A</v>
      </c>
      <c r="C288" s="38" t="e">
        <f t="shared" si="577"/>
        <v>#N/A</v>
      </c>
      <c r="D288" s="39" t="e">
        <f t="shared" si="577"/>
        <v>#N/A</v>
      </c>
      <c r="E288" s="16" t="e">
        <f t="shared" si="1"/>
        <v>#N/A</v>
      </c>
      <c r="F288" s="16" t="e">
        <f t="shared" ref="F288:K288" si="578">VLOOKUP($A288,[1]Ambiente!$A$1:$O$274,F$1,0)</f>
        <v>#N/A</v>
      </c>
      <c r="G288" s="39" t="e">
        <f t="shared" si="578"/>
        <v>#N/A</v>
      </c>
      <c r="H288" s="16" t="e">
        <f t="shared" si="578"/>
        <v>#N/A</v>
      </c>
      <c r="I288" s="16" t="e">
        <f t="shared" si="578"/>
        <v>#N/A</v>
      </c>
      <c r="J288" s="40" t="e">
        <f t="shared" si="578"/>
        <v>#N/A</v>
      </c>
      <c r="K288" s="16" t="e">
        <f t="shared" si="578"/>
        <v>#N/A</v>
      </c>
      <c r="L288" s="40" t="e">
        <f t="shared" si="3"/>
        <v>#N/A</v>
      </c>
      <c r="M288" s="16" t="e">
        <f t="shared" si="4"/>
        <v>#N/A</v>
      </c>
      <c r="N288" s="16" t="e">
        <f t="shared" si="5"/>
        <v>#N/A</v>
      </c>
      <c r="O288" s="16" t="s">
        <v>64</v>
      </c>
      <c r="P288" s="16" t="str">
        <f t="shared" si="6"/>
        <v/>
      </c>
      <c r="Q288" s="41" t="e">
        <f t="shared" si="7"/>
        <v>#N/A</v>
      </c>
      <c r="R288" s="44"/>
      <c r="S288" s="44"/>
      <c r="T288" s="43"/>
      <c r="U288" s="43" t="str">
        <f t="shared" si="8"/>
        <v>No</v>
      </c>
      <c r="V288" s="25"/>
      <c r="W288" s="25"/>
      <c r="X288" s="25"/>
      <c r="Y288" s="25"/>
      <c r="Z288" s="25"/>
    </row>
    <row r="289" spans="1:26" ht="15.75" customHeight="1" x14ac:dyDescent="0.25">
      <c r="A289" s="25">
        <v>287</v>
      </c>
      <c r="B289" s="37" t="e">
        <f t="shared" ref="B289:D289" si="579">VLOOKUP($A289,[1]Ambiente!$A$1:$O$274,B$1,0)</f>
        <v>#N/A</v>
      </c>
      <c r="C289" s="38" t="e">
        <f t="shared" si="579"/>
        <v>#N/A</v>
      </c>
      <c r="D289" s="39" t="e">
        <f t="shared" si="579"/>
        <v>#N/A</v>
      </c>
      <c r="E289" s="16" t="e">
        <f t="shared" si="1"/>
        <v>#N/A</v>
      </c>
      <c r="F289" s="16" t="e">
        <f t="shared" ref="F289:K289" si="580">VLOOKUP($A289,[1]Ambiente!$A$1:$O$274,F$1,0)</f>
        <v>#N/A</v>
      </c>
      <c r="G289" s="39" t="e">
        <f t="shared" si="580"/>
        <v>#N/A</v>
      </c>
      <c r="H289" s="16" t="e">
        <f t="shared" si="580"/>
        <v>#N/A</v>
      </c>
      <c r="I289" s="16" t="e">
        <f t="shared" si="580"/>
        <v>#N/A</v>
      </c>
      <c r="J289" s="40" t="e">
        <f t="shared" si="580"/>
        <v>#N/A</v>
      </c>
      <c r="K289" s="16" t="e">
        <f t="shared" si="580"/>
        <v>#N/A</v>
      </c>
      <c r="L289" s="40" t="e">
        <f t="shared" si="3"/>
        <v>#N/A</v>
      </c>
      <c r="M289" s="16" t="e">
        <f t="shared" si="4"/>
        <v>#N/A</v>
      </c>
      <c r="N289" s="16" t="e">
        <f t="shared" si="5"/>
        <v>#N/A</v>
      </c>
      <c r="O289" s="16" t="s">
        <v>64</v>
      </c>
      <c r="P289" s="16" t="str">
        <f t="shared" si="6"/>
        <v/>
      </c>
      <c r="Q289" s="41" t="e">
        <f t="shared" si="7"/>
        <v>#N/A</v>
      </c>
      <c r="R289" s="44"/>
      <c r="S289" s="44"/>
      <c r="T289" s="43"/>
      <c r="U289" s="43" t="str">
        <f t="shared" si="8"/>
        <v>No</v>
      </c>
      <c r="V289" s="25"/>
      <c r="W289" s="25"/>
      <c r="X289" s="25"/>
      <c r="Y289" s="25"/>
      <c r="Z289" s="25"/>
    </row>
    <row r="290" spans="1:26" ht="15.75" customHeight="1" x14ac:dyDescent="0.25">
      <c r="A290" s="25">
        <v>288</v>
      </c>
      <c r="B290" s="37" t="e">
        <f t="shared" ref="B290:D290" si="581">VLOOKUP($A290,[1]Ambiente!$A$1:$O$274,B$1,0)</f>
        <v>#N/A</v>
      </c>
      <c r="C290" s="38" t="e">
        <f t="shared" si="581"/>
        <v>#N/A</v>
      </c>
      <c r="D290" s="39" t="e">
        <f t="shared" si="581"/>
        <v>#N/A</v>
      </c>
      <c r="E290" s="16" t="e">
        <f t="shared" si="1"/>
        <v>#N/A</v>
      </c>
      <c r="F290" s="16" t="e">
        <f t="shared" ref="F290:K290" si="582">VLOOKUP($A290,[1]Ambiente!$A$1:$O$274,F$1,0)</f>
        <v>#N/A</v>
      </c>
      <c r="G290" s="39" t="e">
        <f t="shared" si="582"/>
        <v>#N/A</v>
      </c>
      <c r="H290" s="16" t="e">
        <f t="shared" si="582"/>
        <v>#N/A</v>
      </c>
      <c r="I290" s="16" t="e">
        <f t="shared" si="582"/>
        <v>#N/A</v>
      </c>
      <c r="J290" s="40" t="e">
        <f t="shared" si="582"/>
        <v>#N/A</v>
      </c>
      <c r="K290" s="16" t="e">
        <f t="shared" si="582"/>
        <v>#N/A</v>
      </c>
      <c r="L290" s="40" t="e">
        <f t="shared" si="3"/>
        <v>#N/A</v>
      </c>
      <c r="M290" s="16" t="e">
        <f t="shared" si="4"/>
        <v>#N/A</v>
      </c>
      <c r="N290" s="16" t="e">
        <f t="shared" si="5"/>
        <v>#N/A</v>
      </c>
      <c r="O290" s="16" t="s">
        <v>64</v>
      </c>
      <c r="P290" s="16" t="str">
        <f t="shared" si="6"/>
        <v/>
      </c>
      <c r="Q290" s="41" t="e">
        <f t="shared" si="7"/>
        <v>#N/A</v>
      </c>
      <c r="R290" s="44"/>
      <c r="S290" s="44"/>
      <c r="T290" s="43"/>
      <c r="U290" s="43" t="str">
        <f t="shared" si="8"/>
        <v>No</v>
      </c>
      <c r="V290" s="25"/>
      <c r="W290" s="25"/>
      <c r="X290" s="25"/>
      <c r="Y290" s="25"/>
      <c r="Z290" s="25"/>
    </row>
    <row r="291" spans="1:26" ht="15.75" customHeight="1" x14ac:dyDescent="0.25">
      <c r="A291" s="25">
        <v>289</v>
      </c>
      <c r="B291" s="37" t="e">
        <f t="shared" ref="B291:D291" si="583">VLOOKUP($A291,[1]Ambiente!$A$1:$O$274,B$1,0)</f>
        <v>#N/A</v>
      </c>
      <c r="C291" s="38" t="e">
        <f t="shared" si="583"/>
        <v>#N/A</v>
      </c>
      <c r="D291" s="39" t="e">
        <f t="shared" si="583"/>
        <v>#N/A</v>
      </c>
      <c r="E291" s="16" t="e">
        <f t="shared" si="1"/>
        <v>#N/A</v>
      </c>
      <c r="F291" s="16" t="e">
        <f t="shared" ref="F291:K291" si="584">VLOOKUP($A291,[1]Ambiente!$A$1:$O$274,F$1,0)</f>
        <v>#N/A</v>
      </c>
      <c r="G291" s="39" t="e">
        <f t="shared" si="584"/>
        <v>#N/A</v>
      </c>
      <c r="H291" s="16" t="e">
        <f t="shared" si="584"/>
        <v>#N/A</v>
      </c>
      <c r="I291" s="16" t="e">
        <f t="shared" si="584"/>
        <v>#N/A</v>
      </c>
      <c r="J291" s="40" t="e">
        <f t="shared" si="584"/>
        <v>#N/A</v>
      </c>
      <c r="K291" s="16" t="e">
        <f t="shared" si="584"/>
        <v>#N/A</v>
      </c>
      <c r="L291" s="40" t="e">
        <f t="shared" si="3"/>
        <v>#N/A</v>
      </c>
      <c r="M291" s="16" t="e">
        <f t="shared" si="4"/>
        <v>#N/A</v>
      </c>
      <c r="N291" s="16" t="e">
        <f t="shared" si="5"/>
        <v>#N/A</v>
      </c>
      <c r="O291" s="16" t="s">
        <v>64</v>
      </c>
      <c r="P291" s="16" t="str">
        <f t="shared" si="6"/>
        <v/>
      </c>
      <c r="Q291" s="41" t="e">
        <f t="shared" si="7"/>
        <v>#N/A</v>
      </c>
      <c r="R291" s="44"/>
      <c r="S291" s="44"/>
      <c r="T291" s="43"/>
      <c r="U291" s="43" t="str">
        <f t="shared" si="8"/>
        <v>No</v>
      </c>
      <c r="V291" s="25"/>
      <c r="W291" s="25"/>
      <c r="X291" s="25"/>
      <c r="Y291" s="25"/>
      <c r="Z291" s="25"/>
    </row>
    <row r="292" spans="1:26" ht="15.75" customHeight="1" x14ac:dyDescent="0.25">
      <c r="A292" s="25">
        <v>290</v>
      </c>
      <c r="B292" s="37" t="e">
        <f t="shared" ref="B292:D292" si="585">VLOOKUP($A292,[1]Ambiente!$A$1:$O$274,B$1,0)</f>
        <v>#N/A</v>
      </c>
      <c r="C292" s="38" t="e">
        <f t="shared" si="585"/>
        <v>#N/A</v>
      </c>
      <c r="D292" s="39" t="e">
        <f t="shared" si="585"/>
        <v>#N/A</v>
      </c>
      <c r="E292" s="16" t="e">
        <f t="shared" si="1"/>
        <v>#N/A</v>
      </c>
      <c r="F292" s="16" t="e">
        <f t="shared" ref="F292:K292" si="586">VLOOKUP($A292,[1]Ambiente!$A$1:$O$274,F$1,0)</f>
        <v>#N/A</v>
      </c>
      <c r="G292" s="39" t="e">
        <f t="shared" si="586"/>
        <v>#N/A</v>
      </c>
      <c r="H292" s="16" t="e">
        <f t="shared" si="586"/>
        <v>#N/A</v>
      </c>
      <c r="I292" s="16" t="e">
        <f t="shared" si="586"/>
        <v>#N/A</v>
      </c>
      <c r="J292" s="40" t="e">
        <f t="shared" si="586"/>
        <v>#N/A</v>
      </c>
      <c r="K292" s="16" t="e">
        <f t="shared" si="586"/>
        <v>#N/A</v>
      </c>
      <c r="L292" s="40" t="e">
        <f t="shared" si="3"/>
        <v>#N/A</v>
      </c>
      <c r="M292" s="16" t="e">
        <f t="shared" si="4"/>
        <v>#N/A</v>
      </c>
      <c r="N292" s="16" t="e">
        <f t="shared" si="5"/>
        <v>#N/A</v>
      </c>
      <c r="O292" s="16" t="s">
        <v>64</v>
      </c>
      <c r="P292" s="16" t="str">
        <f t="shared" si="6"/>
        <v/>
      </c>
      <c r="Q292" s="41" t="e">
        <f t="shared" si="7"/>
        <v>#N/A</v>
      </c>
      <c r="R292" s="44"/>
      <c r="S292" s="44"/>
      <c r="T292" s="43"/>
      <c r="U292" s="43" t="str">
        <f t="shared" si="8"/>
        <v>No</v>
      </c>
      <c r="V292" s="25"/>
      <c r="W292" s="25"/>
      <c r="X292" s="25"/>
      <c r="Y292" s="25"/>
      <c r="Z292" s="25"/>
    </row>
    <row r="293" spans="1:26" ht="15.75" customHeight="1" x14ac:dyDescent="0.25">
      <c r="A293" s="25">
        <v>291</v>
      </c>
      <c r="B293" s="37" t="e">
        <f t="shared" ref="B293:D293" si="587">VLOOKUP($A293,[1]Ambiente!$A$1:$O$274,B$1,0)</f>
        <v>#N/A</v>
      </c>
      <c r="C293" s="38" t="e">
        <f t="shared" si="587"/>
        <v>#N/A</v>
      </c>
      <c r="D293" s="39" t="e">
        <f t="shared" si="587"/>
        <v>#N/A</v>
      </c>
      <c r="E293" s="16" t="e">
        <f t="shared" si="1"/>
        <v>#N/A</v>
      </c>
      <c r="F293" s="16" t="e">
        <f t="shared" ref="F293:K293" si="588">VLOOKUP($A293,[1]Ambiente!$A$1:$O$274,F$1,0)</f>
        <v>#N/A</v>
      </c>
      <c r="G293" s="39" t="e">
        <f t="shared" si="588"/>
        <v>#N/A</v>
      </c>
      <c r="H293" s="16" t="e">
        <f t="shared" si="588"/>
        <v>#N/A</v>
      </c>
      <c r="I293" s="16" t="e">
        <f t="shared" si="588"/>
        <v>#N/A</v>
      </c>
      <c r="J293" s="40" t="e">
        <f t="shared" si="588"/>
        <v>#N/A</v>
      </c>
      <c r="K293" s="16" t="e">
        <f t="shared" si="588"/>
        <v>#N/A</v>
      </c>
      <c r="L293" s="40" t="e">
        <f t="shared" si="3"/>
        <v>#N/A</v>
      </c>
      <c r="M293" s="16" t="e">
        <f t="shared" si="4"/>
        <v>#N/A</v>
      </c>
      <c r="N293" s="16" t="e">
        <f t="shared" si="5"/>
        <v>#N/A</v>
      </c>
      <c r="O293" s="16" t="s">
        <v>64</v>
      </c>
      <c r="P293" s="16" t="str">
        <f t="shared" si="6"/>
        <v/>
      </c>
      <c r="Q293" s="41" t="e">
        <f t="shared" si="7"/>
        <v>#N/A</v>
      </c>
      <c r="R293" s="44"/>
      <c r="S293" s="44"/>
      <c r="T293" s="43"/>
      <c r="U293" s="43" t="str">
        <f t="shared" si="8"/>
        <v>No</v>
      </c>
      <c r="V293" s="25"/>
      <c r="W293" s="25"/>
      <c r="X293" s="25"/>
      <c r="Y293" s="25"/>
      <c r="Z293" s="25"/>
    </row>
    <row r="294" spans="1:26" ht="15.75" customHeight="1" x14ac:dyDescent="0.25">
      <c r="A294" s="25">
        <v>292</v>
      </c>
      <c r="B294" s="37" t="e">
        <f t="shared" ref="B294:D294" si="589">VLOOKUP($A294,[1]Ambiente!$A$1:$O$274,B$1,0)</f>
        <v>#N/A</v>
      </c>
      <c r="C294" s="38" t="e">
        <f t="shared" si="589"/>
        <v>#N/A</v>
      </c>
      <c r="D294" s="39" t="e">
        <f t="shared" si="589"/>
        <v>#N/A</v>
      </c>
      <c r="E294" s="16" t="e">
        <f t="shared" si="1"/>
        <v>#N/A</v>
      </c>
      <c r="F294" s="16" t="e">
        <f t="shared" ref="F294:K294" si="590">VLOOKUP($A294,[1]Ambiente!$A$1:$O$274,F$1,0)</f>
        <v>#N/A</v>
      </c>
      <c r="G294" s="39" t="e">
        <f t="shared" si="590"/>
        <v>#N/A</v>
      </c>
      <c r="H294" s="16" t="e">
        <f t="shared" si="590"/>
        <v>#N/A</v>
      </c>
      <c r="I294" s="16" t="e">
        <f t="shared" si="590"/>
        <v>#N/A</v>
      </c>
      <c r="J294" s="40" t="e">
        <f t="shared" si="590"/>
        <v>#N/A</v>
      </c>
      <c r="K294" s="16" t="e">
        <f t="shared" si="590"/>
        <v>#N/A</v>
      </c>
      <c r="L294" s="40" t="e">
        <f t="shared" si="3"/>
        <v>#N/A</v>
      </c>
      <c r="M294" s="16" t="e">
        <f t="shared" si="4"/>
        <v>#N/A</v>
      </c>
      <c r="N294" s="16" t="e">
        <f t="shared" si="5"/>
        <v>#N/A</v>
      </c>
      <c r="O294" s="16" t="s">
        <v>64</v>
      </c>
      <c r="P294" s="16" t="str">
        <f t="shared" si="6"/>
        <v/>
      </c>
      <c r="Q294" s="41" t="e">
        <f t="shared" si="7"/>
        <v>#N/A</v>
      </c>
      <c r="R294" s="44"/>
      <c r="S294" s="44"/>
      <c r="T294" s="43"/>
      <c r="U294" s="43" t="str">
        <f t="shared" si="8"/>
        <v>No</v>
      </c>
      <c r="V294" s="25"/>
      <c r="W294" s="25"/>
      <c r="X294" s="25"/>
      <c r="Y294" s="25"/>
      <c r="Z294" s="25"/>
    </row>
    <row r="295" spans="1:26" ht="15.75" customHeight="1" x14ac:dyDescent="0.25">
      <c r="A295" s="25">
        <v>293</v>
      </c>
      <c r="B295" s="37" t="e">
        <f t="shared" ref="B295:D295" si="591">VLOOKUP($A295,[1]Ambiente!$A$1:$O$274,B$1,0)</f>
        <v>#N/A</v>
      </c>
      <c r="C295" s="38" t="e">
        <f t="shared" si="591"/>
        <v>#N/A</v>
      </c>
      <c r="D295" s="39" t="e">
        <f t="shared" si="591"/>
        <v>#N/A</v>
      </c>
      <c r="E295" s="16" t="e">
        <f t="shared" si="1"/>
        <v>#N/A</v>
      </c>
      <c r="F295" s="16" t="e">
        <f t="shared" ref="F295:K295" si="592">VLOOKUP($A295,[1]Ambiente!$A$1:$O$274,F$1,0)</f>
        <v>#N/A</v>
      </c>
      <c r="G295" s="39" t="e">
        <f t="shared" si="592"/>
        <v>#N/A</v>
      </c>
      <c r="H295" s="16" t="e">
        <f t="shared" si="592"/>
        <v>#N/A</v>
      </c>
      <c r="I295" s="16" t="e">
        <f t="shared" si="592"/>
        <v>#N/A</v>
      </c>
      <c r="J295" s="40" t="e">
        <f t="shared" si="592"/>
        <v>#N/A</v>
      </c>
      <c r="K295" s="16" t="e">
        <f t="shared" si="592"/>
        <v>#N/A</v>
      </c>
      <c r="L295" s="40" t="e">
        <f t="shared" si="3"/>
        <v>#N/A</v>
      </c>
      <c r="M295" s="16" t="e">
        <f t="shared" si="4"/>
        <v>#N/A</v>
      </c>
      <c r="N295" s="16" t="e">
        <f t="shared" si="5"/>
        <v>#N/A</v>
      </c>
      <c r="O295" s="16" t="s">
        <v>64</v>
      </c>
      <c r="P295" s="16" t="str">
        <f t="shared" si="6"/>
        <v/>
      </c>
      <c r="Q295" s="41" t="e">
        <f t="shared" si="7"/>
        <v>#N/A</v>
      </c>
      <c r="R295" s="44"/>
      <c r="S295" s="44"/>
      <c r="T295" s="43"/>
      <c r="U295" s="43" t="str">
        <f t="shared" si="8"/>
        <v>No</v>
      </c>
      <c r="V295" s="25"/>
      <c r="W295" s="25"/>
      <c r="X295" s="25"/>
      <c r="Y295" s="25"/>
      <c r="Z295" s="25"/>
    </row>
    <row r="296" spans="1:26" ht="15.75" customHeight="1" x14ac:dyDescent="0.25">
      <c r="A296" s="25">
        <v>294</v>
      </c>
      <c r="B296" s="37" t="e">
        <f t="shared" ref="B296:D296" si="593">VLOOKUP($A296,[1]Ambiente!$A$1:$O$274,B$1,0)</f>
        <v>#N/A</v>
      </c>
      <c r="C296" s="38" t="e">
        <f t="shared" si="593"/>
        <v>#N/A</v>
      </c>
      <c r="D296" s="39" t="e">
        <f t="shared" si="593"/>
        <v>#N/A</v>
      </c>
      <c r="E296" s="16" t="e">
        <f t="shared" si="1"/>
        <v>#N/A</v>
      </c>
      <c r="F296" s="16" t="e">
        <f t="shared" ref="F296:K296" si="594">VLOOKUP($A296,[1]Ambiente!$A$1:$O$274,F$1,0)</f>
        <v>#N/A</v>
      </c>
      <c r="G296" s="39" t="e">
        <f t="shared" si="594"/>
        <v>#N/A</v>
      </c>
      <c r="H296" s="16" t="e">
        <f t="shared" si="594"/>
        <v>#N/A</v>
      </c>
      <c r="I296" s="16" t="e">
        <f t="shared" si="594"/>
        <v>#N/A</v>
      </c>
      <c r="J296" s="40" t="e">
        <f t="shared" si="594"/>
        <v>#N/A</v>
      </c>
      <c r="K296" s="16" t="e">
        <f t="shared" si="594"/>
        <v>#N/A</v>
      </c>
      <c r="L296" s="40" t="e">
        <f t="shared" si="3"/>
        <v>#N/A</v>
      </c>
      <c r="M296" s="16" t="e">
        <f t="shared" si="4"/>
        <v>#N/A</v>
      </c>
      <c r="N296" s="16" t="e">
        <f t="shared" si="5"/>
        <v>#N/A</v>
      </c>
      <c r="O296" s="16" t="s">
        <v>64</v>
      </c>
      <c r="P296" s="16" t="str">
        <f t="shared" si="6"/>
        <v/>
      </c>
      <c r="Q296" s="41" t="e">
        <f t="shared" si="7"/>
        <v>#N/A</v>
      </c>
      <c r="R296" s="44"/>
      <c r="S296" s="44"/>
      <c r="T296" s="43"/>
      <c r="U296" s="43" t="str">
        <f t="shared" si="8"/>
        <v>No</v>
      </c>
      <c r="V296" s="25"/>
      <c r="W296" s="25"/>
      <c r="X296" s="25"/>
      <c r="Y296" s="25"/>
      <c r="Z296" s="25"/>
    </row>
    <row r="297" spans="1:26" ht="15.75" customHeight="1" x14ac:dyDescent="0.25">
      <c r="A297" s="25">
        <v>295</v>
      </c>
      <c r="B297" s="37" t="e">
        <f t="shared" ref="B297:D297" si="595">VLOOKUP($A297,[1]Ambiente!$A$1:$O$274,B$1,0)</f>
        <v>#N/A</v>
      </c>
      <c r="C297" s="38" t="e">
        <f t="shared" si="595"/>
        <v>#N/A</v>
      </c>
      <c r="D297" s="39" t="e">
        <f t="shared" si="595"/>
        <v>#N/A</v>
      </c>
      <c r="E297" s="16" t="e">
        <f t="shared" si="1"/>
        <v>#N/A</v>
      </c>
      <c r="F297" s="16" t="e">
        <f t="shared" ref="F297:K297" si="596">VLOOKUP($A297,[1]Ambiente!$A$1:$O$274,F$1,0)</f>
        <v>#N/A</v>
      </c>
      <c r="G297" s="39" t="e">
        <f t="shared" si="596"/>
        <v>#N/A</v>
      </c>
      <c r="H297" s="16" t="e">
        <f t="shared" si="596"/>
        <v>#N/A</v>
      </c>
      <c r="I297" s="16" t="e">
        <f t="shared" si="596"/>
        <v>#N/A</v>
      </c>
      <c r="J297" s="40" t="e">
        <f t="shared" si="596"/>
        <v>#N/A</v>
      </c>
      <c r="K297" s="16" t="e">
        <f t="shared" si="596"/>
        <v>#N/A</v>
      </c>
      <c r="L297" s="40" t="e">
        <f t="shared" si="3"/>
        <v>#N/A</v>
      </c>
      <c r="M297" s="16" t="e">
        <f t="shared" si="4"/>
        <v>#N/A</v>
      </c>
      <c r="N297" s="16" t="e">
        <f t="shared" si="5"/>
        <v>#N/A</v>
      </c>
      <c r="O297" s="16" t="s">
        <v>64</v>
      </c>
      <c r="P297" s="16" t="str">
        <f t="shared" si="6"/>
        <v/>
      </c>
      <c r="Q297" s="41" t="e">
        <f t="shared" si="7"/>
        <v>#N/A</v>
      </c>
      <c r="R297" s="44"/>
      <c r="S297" s="44"/>
      <c r="T297" s="43"/>
      <c r="U297" s="43" t="str">
        <f t="shared" si="8"/>
        <v>No</v>
      </c>
      <c r="V297" s="25"/>
      <c r="W297" s="25"/>
      <c r="X297" s="25"/>
      <c r="Y297" s="25"/>
      <c r="Z297" s="25"/>
    </row>
    <row r="298" spans="1:26" ht="15.75" customHeight="1" x14ac:dyDescent="0.25">
      <c r="A298" s="25">
        <v>296</v>
      </c>
      <c r="B298" s="37" t="e">
        <f t="shared" ref="B298:D298" si="597">VLOOKUP($A298,[1]Ambiente!$A$1:$O$274,B$1,0)</f>
        <v>#N/A</v>
      </c>
      <c r="C298" s="38" t="e">
        <f t="shared" si="597"/>
        <v>#N/A</v>
      </c>
      <c r="D298" s="39" t="e">
        <f t="shared" si="597"/>
        <v>#N/A</v>
      </c>
      <c r="E298" s="16" t="e">
        <f t="shared" si="1"/>
        <v>#N/A</v>
      </c>
      <c r="F298" s="16" t="e">
        <f t="shared" ref="F298:K298" si="598">VLOOKUP($A298,[1]Ambiente!$A$1:$O$274,F$1,0)</f>
        <v>#N/A</v>
      </c>
      <c r="G298" s="39" t="e">
        <f t="shared" si="598"/>
        <v>#N/A</v>
      </c>
      <c r="H298" s="16" t="e">
        <f t="shared" si="598"/>
        <v>#N/A</v>
      </c>
      <c r="I298" s="16" t="e">
        <f t="shared" si="598"/>
        <v>#N/A</v>
      </c>
      <c r="J298" s="40" t="e">
        <f t="shared" si="598"/>
        <v>#N/A</v>
      </c>
      <c r="K298" s="16" t="e">
        <f t="shared" si="598"/>
        <v>#N/A</v>
      </c>
      <c r="L298" s="40" t="e">
        <f t="shared" si="3"/>
        <v>#N/A</v>
      </c>
      <c r="M298" s="16" t="e">
        <f t="shared" si="4"/>
        <v>#N/A</v>
      </c>
      <c r="N298" s="16" t="e">
        <f t="shared" si="5"/>
        <v>#N/A</v>
      </c>
      <c r="O298" s="16" t="s">
        <v>64</v>
      </c>
      <c r="P298" s="16" t="str">
        <f t="shared" si="6"/>
        <v/>
      </c>
      <c r="Q298" s="41" t="e">
        <f t="shared" si="7"/>
        <v>#N/A</v>
      </c>
      <c r="R298" s="44"/>
      <c r="S298" s="44"/>
      <c r="T298" s="43"/>
      <c r="U298" s="43" t="str">
        <f t="shared" si="8"/>
        <v>No</v>
      </c>
      <c r="V298" s="25"/>
      <c r="W298" s="25"/>
      <c r="X298" s="25"/>
      <c r="Y298" s="25"/>
      <c r="Z298" s="25"/>
    </row>
    <row r="299" spans="1:26" ht="15.75" customHeight="1" x14ac:dyDescent="0.25">
      <c r="A299" s="25">
        <v>297</v>
      </c>
      <c r="B299" s="37" t="e">
        <f t="shared" ref="B299:D299" si="599">VLOOKUP($A299,[1]Ambiente!$A$1:$O$274,B$1,0)</f>
        <v>#N/A</v>
      </c>
      <c r="C299" s="38" t="e">
        <f t="shared" si="599"/>
        <v>#N/A</v>
      </c>
      <c r="D299" s="39" t="e">
        <f t="shared" si="599"/>
        <v>#N/A</v>
      </c>
      <c r="E299" s="16" t="e">
        <f t="shared" si="1"/>
        <v>#N/A</v>
      </c>
      <c r="F299" s="16" t="e">
        <f t="shared" ref="F299:K299" si="600">VLOOKUP($A299,[1]Ambiente!$A$1:$O$274,F$1,0)</f>
        <v>#N/A</v>
      </c>
      <c r="G299" s="39" t="e">
        <f t="shared" si="600"/>
        <v>#N/A</v>
      </c>
      <c r="H299" s="16" t="e">
        <f t="shared" si="600"/>
        <v>#N/A</v>
      </c>
      <c r="I299" s="16" t="e">
        <f t="shared" si="600"/>
        <v>#N/A</v>
      </c>
      <c r="J299" s="40" t="e">
        <f t="shared" si="600"/>
        <v>#N/A</v>
      </c>
      <c r="K299" s="16" t="e">
        <f t="shared" si="600"/>
        <v>#N/A</v>
      </c>
      <c r="L299" s="40" t="e">
        <f t="shared" si="3"/>
        <v>#N/A</v>
      </c>
      <c r="M299" s="16" t="e">
        <f t="shared" si="4"/>
        <v>#N/A</v>
      </c>
      <c r="N299" s="16" t="e">
        <f t="shared" si="5"/>
        <v>#N/A</v>
      </c>
      <c r="O299" s="16" t="s">
        <v>64</v>
      </c>
      <c r="P299" s="16" t="str">
        <f t="shared" si="6"/>
        <v/>
      </c>
      <c r="Q299" s="41" t="e">
        <f t="shared" si="7"/>
        <v>#N/A</v>
      </c>
      <c r="R299" s="44"/>
      <c r="S299" s="44"/>
      <c r="T299" s="43"/>
      <c r="U299" s="43" t="str">
        <f t="shared" si="8"/>
        <v>No</v>
      </c>
      <c r="V299" s="25"/>
      <c r="W299" s="25"/>
      <c r="X299" s="25"/>
      <c r="Y299" s="25"/>
      <c r="Z299" s="25"/>
    </row>
    <row r="300" spans="1:26" ht="15.75" customHeight="1" x14ac:dyDescent="0.25">
      <c r="A300" s="25">
        <v>298</v>
      </c>
      <c r="B300" s="37" t="e">
        <f t="shared" ref="B300:D300" si="601">VLOOKUP($A300,[1]Ambiente!$A$1:$O$274,B$1,0)</f>
        <v>#N/A</v>
      </c>
      <c r="C300" s="38" t="e">
        <f t="shared" si="601"/>
        <v>#N/A</v>
      </c>
      <c r="D300" s="39" t="e">
        <f t="shared" si="601"/>
        <v>#N/A</v>
      </c>
      <c r="E300" s="16" t="e">
        <f t="shared" si="1"/>
        <v>#N/A</v>
      </c>
      <c r="F300" s="16" t="e">
        <f t="shared" ref="F300:K300" si="602">VLOOKUP($A300,[1]Ambiente!$A$1:$O$274,F$1,0)</f>
        <v>#N/A</v>
      </c>
      <c r="G300" s="39" t="e">
        <f t="shared" si="602"/>
        <v>#N/A</v>
      </c>
      <c r="H300" s="16" t="e">
        <f t="shared" si="602"/>
        <v>#N/A</v>
      </c>
      <c r="I300" s="16" t="e">
        <f t="shared" si="602"/>
        <v>#N/A</v>
      </c>
      <c r="J300" s="40" t="e">
        <f t="shared" si="602"/>
        <v>#N/A</v>
      </c>
      <c r="K300" s="16" t="e">
        <f t="shared" si="602"/>
        <v>#N/A</v>
      </c>
      <c r="L300" s="40" t="e">
        <f t="shared" si="3"/>
        <v>#N/A</v>
      </c>
      <c r="M300" s="16" t="e">
        <f t="shared" si="4"/>
        <v>#N/A</v>
      </c>
      <c r="N300" s="16" t="e">
        <f t="shared" si="5"/>
        <v>#N/A</v>
      </c>
      <c r="O300" s="16" t="s">
        <v>64</v>
      </c>
      <c r="P300" s="16" t="str">
        <f t="shared" si="6"/>
        <v/>
      </c>
      <c r="Q300" s="41" t="e">
        <f t="shared" si="7"/>
        <v>#N/A</v>
      </c>
      <c r="R300" s="44"/>
      <c r="S300" s="44"/>
      <c r="T300" s="43"/>
      <c r="U300" s="43" t="str">
        <f t="shared" si="8"/>
        <v>No</v>
      </c>
      <c r="V300" s="25"/>
      <c r="W300" s="25"/>
      <c r="X300" s="25"/>
      <c r="Y300" s="25"/>
      <c r="Z300" s="25"/>
    </row>
    <row r="301" spans="1:26" ht="15.75" customHeight="1" x14ac:dyDescent="0.25">
      <c r="A301" s="25">
        <v>299</v>
      </c>
      <c r="B301" s="37" t="e">
        <f t="shared" ref="B301:D301" si="603">VLOOKUP($A301,[1]Ambiente!$A$1:$O$274,B$1,0)</f>
        <v>#N/A</v>
      </c>
      <c r="C301" s="38" t="e">
        <f t="shared" si="603"/>
        <v>#N/A</v>
      </c>
      <c r="D301" s="39" t="e">
        <f t="shared" si="603"/>
        <v>#N/A</v>
      </c>
      <c r="E301" s="16" t="e">
        <f t="shared" si="1"/>
        <v>#N/A</v>
      </c>
      <c r="F301" s="16" t="e">
        <f t="shared" ref="F301:K301" si="604">VLOOKUP($A301,[1]Ambiente!$A$1:$O$274,F$1,0)</f>
        <v>#N/A</v>
      </c>
      <c r="G301" s="39" t="e">
        <f t="shared" si="604"/>
        <v>#N/A</v>
      </c>
      <c r="H301" s="16" t="e">
        <f t="shared" si="604"/>
        <v>#N/A</v>
      </c>
      <c r="I301" s="16" t="e">
        <f t="shared" si="604"/>
        <v>#N/A</v>
      </c>
      <c r="J301" s="40" t="e">
        <f t="shared" si="604"/>
        <v>#N/A</v>
      </c>
      <c r="K301" s="16" t="e">
        <f t="shared" si="604"/>
        <v>#N/A</v>
      </c>
      <c r="L301" s="40" t="e">
        <f t="shared" si="3"/>
        <v>#N/A</v>
      </c>
      <c r="M301" s="16" t="e">
        <f t="shared" si="4"/>
        <v>#N/A</v>
      </c>
      <c r="N301" s="16" t="e">
        <f t="shared" si="5"/>
        <v>#N/A</v>
      </c>
      <c r="O301" s="16" t="s">
        <v>64</v>
      </c>
      <c r="P301" s="16" t="str">
        <f t="shared" si="6"/>
        <v/>
      </c>
      <c r="Q301" s="41" t="e">
        <f t="shared" si="7"/>
        <v>#N/A</v>
      </c>
      <c r="R301" s="44"/>
      <c r="S301" s="44"/>
      <c r="T301" s="43"/>
      <c r="U301" s="43" t="str">
        <f t="shared" si="8"/>
        <v>No</v>
      </c>
      <c r="V301" s="25"/>
      <c r="W301" s="25"/>
      <c r="X301" s="25"/>
      <c r="Y301" s="25"/>
      <c r="Z301" s="25"/>
    </row>
    <row r="302" spans="1:26" ht="15.75" customHeight="1" x14ac:dyDescent="0.25">
      <c r="A302" s="25">
        <v>300</v>
      </c>
      <c r="B302" s="37" t="e">
        <f t="shared" ref="B302:D302" si="605">VLOOKUP($A302,[1]Ambiente!$A$1:$O$274,B$1,0)</f>
        <v>#N/A</v>
      </c>
      <c r="C302" s="38" t="e">
        <f t="shared" si="605"/>
        <v>#N/A</v>
      </c>
      <c r="D302" s="39" t="e">
        <f t="shared" si="605"/>
        <v>#N/A</v>
      </c>
      <c r="E302" s="16" t="e">
        <f t="shared" si="1"/>
        <v>#N/A</v>
      </c>
      <c r="F302" s="16" t="e">
        <f t="shared" ref="F302:K302" si="606">VLOOKUP($A302,[1]Ambiente!$A$1:$O$274,F$1,0)</f>
        <v>#N/A</v>
      </c>
      <c r="G302" s="39" t="e">
        <f t="shared" si="606"/>
        <v>#N/A</v>
      </c>
      <c r="H302" s="16" t="e">
        <f t="shared" si="606"/>
        <v>#N/A</v>
      </c>
      <c r="I302" s="16" t="e">
        <f t="shared" si="606"/>
        <v>#N/A</v>
      </c>
      <c r="J302" s="40" t="e">
        <f t="shared" si="606"/>
        <v>#N/A</v>
      </c>
      <c r="K302" s="16" t="e">
        <f t="shared" si="606"/>
        <v>#N/A</v>
      </c>
      <c r="L302" s="40" t="e">
        <f t="shared" si="3"/>
        <v>#N/A</v>
      </c>
      <c r="M302" s="16" t="e">
        <f t="shared" si="4"/>
        <v>#N/A</v>
      </c>
      <c r="N302" s="16" t="e">
        <f t="shared" si="5"/>
        <v>#N/A</v>
      </c>
      <c r="O302" s="16" t="s">
        <v>64</v>
      </c>
      <c r="P302" s="16" t="str">
        <f t="shared" si="6"/>
        <v/>
      </c>
      <c r="Q302" s="41" t="e">
        <f t="shared" si="7"/>
        <v>#N/A</v>
      </c>
      <c r="R302" s="44"/>
      <c r="S302" s="44"/>
      <c r="T302" s="43"/>
      <c r="U302" s="43" t="str">
        <f t="shared" si="8"/>
        <v>No</v>
      </c>
      <c r="V302" s="25"/>
      <c r="W302" s="25"/>
      <c r="X302" s="25"/>
      <c r="Y302" s="25"/>
      <c r="Z302" s="25"/>
    </row>
    <row r="303" spans="1:26" ht="15.75" customHeight="1" x14ac:dyDescent="0.25">
      <c r="A303" s="25">
        <v>301</v>
      </c>
      <c r="B303" s="37" t="e">
        <f t="shared" ref="B303:D303" si="607">VLOOKUP($A303,#REF!,B$1,0)</f>
        <v>#REF!</v>
      </c>
      <c r="C303" s="38" t="e">
        <f t="shared" si="607"/>
        <v>#REF!</v>
      </c>
      <c r="D303" s="39" t="e">
        <f t="shared" si="607"/>
        <v>#REF!</v>
      </c>
      <c r="E303" s="16" t="e">
        <f t="shared" si="1"/>
        <v>#REF!</v>
      </c>
      <c r="F303" s="16" t="e">
        <f t="shared" ref="F303:K303" si="608">VLOOKUP($A303,#REF!,F$1,0)</f>
        <v>#REF!</v>
      </c>
      <c r="G303" s="39" t="e">
        <f t="shared" si="608"/>
        <v>#REF!</v>
      </c>
      <c r="H303" s="16" t="e">
        <f t="shared" si="608"/>
        <v>#REF!</v>
      </c>
      <c r="I303" s="16" t="e">
        <f t="shared" si="608"/>
        <v>#REF!</v>
      </c>
      <c r="J303" s="40" t="e">
        <f t="shared" si="608"/>
        <v>#REF!</v>
      </c>
      <c r="K303" s="16" t="e">
        <f t="shared" si="608"/>
        <v>#REF!</v>
      </c>
      <c r="L303" s="40" t="e">
        <f t="shared" ref="L303:L602" si="609">VLOOKUP($A303,#REF!,13,0)</f>
        <v>#REF!</v>
      </c>
      <c r="M303" s="16" t="e">
        <f t="shared" ref="M303:M602" si="610">VLOOKUP($A303,#REF!,14,0)</f>
        <v>#REF!</v>
      </c>
      <c r="N303" s="16" t="e">
        <f t="shared" ref="N303:N602" si="611">VLOOKUP($A303,#REF!,15,0)</f>
        <v>#REF!</v>
      </c>
      <c r="O303" s="16" t="s">
        <v>65</v>
      </c>
      <c r="P303" s="16" t="str">
        <f t="shared" si="6"/>
        <v/>
      </c>
      <c r="Q303" s="41" t="e">
        <f t="shared" ref="Q303:Q602" si="612">VLOOKUP($A303,#REF!,12,0)</f>
        <v>#REF!</v>
      </c>
      <c r="R303" s="44"/>
      <c r="S303" s="44"/>
      <c r="T303" s="43"/>
      <c r="U303" s="43" t="str">
        <f t="shared" si="8"/>
        <v>No</v>
      </c>
      <c r="V303" s="25"/>
      <c r="W303" s="25"/>
      <c r="X303" s="25"/>
      <c r="Y303" s="25"/>
      <c r="Z303" s="25"/>
    </row>
    <row r="304" spans="1:26" ht="15.75" customHeight="1" x14ac:dyDescent="0.25">
      <c r="A304" s="25">
        <v>302</v>
      </c>
      <c r="B304" s="37" t="e">
        <f t="shared" ref="B304:D304" si="613">VLOOKUP($A304,#REF!,B$1,0)</f>
        <v>#REF!</v>
      </c>
      <c r="C304" s="38" t="e">
        <f t="shared" si="613"/>
        <v>#REF!</v>
      </c>
      <c r="D304" s="39" t="e">
        <f t="shared" si="613"/>
        <v>#REF!</v>
      </c>
      <c r="E304" s="16" t="e">
        <f t="shared" si="1"/>
        <v>#REF!</v>
      </c>
      <c r="F304" s="16" t="e">
        <f t="shared" ref="F304:K304" si="614">VLOOKUP($A304,#REF!,F$1,0)</f>
        <v>#REF!</v>
      </c>
      <c r="G304" s="39" t="e">
        <f t="shared" si="614"/>
        <v>#REF!</v>
      </c>
      <c r="H304" s="16" t="e">
        <f t="shared" si="614"/>
        <v>#REF!</v>
      </c>
      <c r="I304" s="16" t="e">
        <f t="shared" si="614"/>
        <v>#REF!</v>
      </c>
      <c r="J304" s="40" t="e">
        <f t="shared" si="614"/>
        <v>#REF!</v>
      </c>
      <c r="K304" s="16" t="e">
        <f t="shared" si="614"/>
        <v>#REF!</v>
      </c>
      <c r="L304" s="40" t="e">
        <f t="shared" si="609"/>
        <v>#REF!</v>
      </c>
      <c r="M304" s="16" t="e">
        <f t="shared" si="610"/>
        <v>#REF!</v>
      </c>
      <c r="N304" s="16" t="e">
        <f t="shared" si="611"/>
        <v>#REF!</v>
      </c>
      <c r="O304" s="16" t="s">
        <v>65</v>
      </c>
      <c r="P304" s="16" t="str">
        <f t="shared" si="6"/>
        <v/>
      </c>
      <c r="Q304" s="41" t="e">
        <f t="shared" si="612"/>
        <v>#REF!</v>
      </c>
      <c r="R304" s="44"/>
      <c r="S304" s="44"/>
      <c r="T304" s="43"/>
      <c r="U304" s="43" t="str">
        <f t="shared" si="8"/>
        <v>No</v>
      </c>
      <c r="V304" s="25"/>
      <c r="W304" s="25"/>
      <c r="X304" s="25"/>
      <c r="Y304" s="25"/>
      <c r="Z304" s="25"/>
    </row>
    <row r="305" spans="1:26" ht="15.75" customHeight="1" x14ac:dyDescent="0.25">
      <c r="A305" s="25">
        <v>303</v>
      </c>
      <c r="B305" s="37" t="e">
        <f t="shared" ref="B305:D305" si="615">VLOOKUP($A305,#REF!,B$1,0)</f>
        <v>#REF!</v>
      </c>
      <c r="C305" s="38" t="e">
        <f t="shared" si="615"/>
        <v>#REF!</v>
      </c>
      <c r="D305" s="39" t="e">
        <f t="shared" si="615"/>
        <v>#REF!</v>
      </c>
      <c r="E305" s="16" t="e">
        <f t="shared" si="1"/>
        <v>#REF!</v>
      </c>
      <c r="F305" s="16" t="e">
        <f t="shared" ref="F305:K305" si="616">VLOOKUP($A305,#REF!,F$1,0)</f>
        <v>#REF!</v>
      </c>
      <c r="G305" s="39" t="e">
        <f t="shared" si="616"/>
        <v>#REF!</v>
      </c>
      <c r="H305" s="16" t="e">
        <f t="shared" si="616"/>
        <v>#REF!</v>
      </c>
      <c r="I305" s="16" t="e">
        <f t="shared" si="616"/>
        <v>#REF!</v>
      </c>
      <c r="J305" s="40" t="e">
        <f t="shared" si="616"/>
        <v>#REF!</v>
      </c>
      <c r="K305" s="16" t="e">
        <f t="shared" si="616"/>
        <v>#REF!</v>
      </c>
      <c r="L305" s="40" t="e">
        <f t="shared" si="609"/>
        <v>#REF!</v>
      </c>
      <c r="M305" s="16" t="e">
        <f t="shared" si="610"/>
        <v>#REF!</v>
      </c>
      <c r="N305" s="16" t="e">
        <f t="shared" si="611"/>
        <v>#REF!</v>
      </c>
      <c r="O305" s="16" t="s">
        <v>65</v>
      </c>
      <c r="P305" s="16" t="str">
        <f t="shared" si="6"/>
        <v/>
      </c>
      <c r="Q305" s="41" t="e">
        <f t="shared" si="612"/>
        <v>#REF!</v>
      </c>
      <c r="R305" s="44"/>
      <c r="S305" s="44"/>
      <c r="T305" s="43"/>
      <c r="U305" s="43" t="str">
        <f t="shared" si="8"/>
        <v>No</v>
      </c>
      <c r="V305" s="25"/>
      <c r="W305" s="25"/>
      <c r="X305" s="25"/>
      <c r="Y305" s="25"/>
      <c r="Z305" s="25"/>
    </row>
    <row r="306" spans="1:26" ht="15.75" customHeight="1" x14ac:dyDescent="0.25">
      <c r="A306" s="25">
        <v>304</v>
      </c>
      <c r="B306" s="37" t="e">
        <f t="shared" ref="B306:D306" si="617">VLOOKUP($A306,#REF!,B$1,0)</f>
        <v>#REF!</v>
      </c>
      <c r="C306" s="38" t="e">
        <f t="shared" si="617"/>
        <v>#REF!</v>
      </c>
      <c r="D306" s="39" t="e">
        <f t="shared" si="617"/>
        <v>#REF!</v>
      </c>
      <c r="E306" s="16" t="e">
        <f t="shared" si="1"/>
        <v>#REF!</v>
      </c>
      <c r="F306" s="16" t="e">
        <f t="shared" ref="F306:K306" si="618">VLOOKUP($A306,#REF!,F$1,0)</f>
        <v>#REF!</v>
      </c>
      <c r="G306" s="39" t="e">
        <f t="shared" si="618"/>
        <v>#REF!</v>
      </c>
      <c r="H306" s="16" t="e">
        <f t="shared" si="618"/>
        <v>#REF!</v>
      </c>
      <c r="I306" s="16" t="e">
        <f t="shared" si="618"/>
        <v>#REF!</v>
      </c>
      <c r="J306" s="40" t="e">
        <f t="shared" si="618"/>
        <v>#REF!</v>
      </c>
      <c r="K306" s="16" t="e">
        <f t="shared" si="618"/>
        <v>#REF!</v>
      </c>
      <c r="L306" s="40" t="e">
        <f t="shared" si="609"/>
        <v>#REF!</v>
      </c>
      <c r="M306" s="16" t="e">
        <f t="shared" si="610"/>
        <v>#REF!</v>
      </c>
      <c r="N306" s="16" t="e">
        <f t="shared" si="611"/>
        <v>#REF!</v>
      </c>
      <c r="O306" s="16" t="s">
        <v>65</v>
      </c>
      <c r="P306" s="16" t="str">
        <f t="shared" si="6"/>
        <v/>
      </c>
      <c r="Q306" s="41" t="e">
        <f t="shared" si="612"/>
        <v>#REF!</v>
      </c>
      <c r="R306" s="44"/>
      <c r="S306" s="44"/>
      <c r="T306" s="43"/>
      <c r="U306" s="43" t="str">
        <f t="shared" si="8"/>
        <v>No</v>
      </c>
      <c r="V306" s="25"/>
      <c r="W306" s="25"/>
      <c r="X306" s="25"/>
      <c r="Y306" s="25"/>
      <c r="Z306" s="25"/>
    </row>
    <row r="307" spans="1:26" ht="15.75" customHeight="1" x14ac:dyDescent="0.25">
      <c r="A307" s="25">
        <v>305</v>
      </c>
      <c r="B307" s="37" t="e">
        <f t="shared" ref="B307:D307" si="619">VLOOKUP($A307,#REF!,B$1,0)</f>
        <v>#REF!</v>
      </c>
      <c r="C307" s="38" t="e">
        <f t="shared" si="619"/>
        <v>#REF!</v>
      </c>
      <c r="D307" s="39" t="e">
        <f t="shared" si="619"/>
        <v>#REF!</v>
      </c>
      <c r="E307" s="16" t="e">
        <f t="shared" si="1"/>
        <v>#REF!</v>
      </c>
      <c r="F307" s="16" t="e">
        <f t="shared" ref="F307:K307" si="620">VLOOKUP($A307,#REF!,F$1,0)</f>
        <v>#REF!</v>
      </c>
      <c r="G307" s="39" t="e">
        <f t="shared" si="620"/>
        <v>#REF!</v>
      </c>
      <c r="H307" s="16" t="e">
        <f t="shared" si="620"/>
        <v>#REF!</v>
      </c>
      <c r="I307" s="16" t="e">
        <f t="shared" si="620"/>
        <v>#REF!</v>
      </c>
      <c r="J307" s="40" t="e">
        <f t="shared" si="620"/>
        <v>#REF!</v>
      </c>
      <c r="K307" s="16" t="e">
        <f t="shared" si="620"/>
        <v>#REF!</v>
      </c>
      <c r="L307" s="40" t="e">
        <f t="shared" si="609"/>
        <v>#REF!</v>
      </c>
      <c r="M307" s="16" t="e">
        <f t="shared" si="610"/>
        <v>#REF!</v>
      </c>
      <c r="N307" s="16" t="e">
        <f t="shared" si="611"/>
        <v>#REF!</v>
      </c>
      <c r="O307" s="16" t="s">
        <v>65</v>
      </c>
      <c r="P307" s="16" t="str">
        <f t="shared" si="6"/>
        <v/>
      </c>
      <c r="Q307" s="41" t="e">
        <f t="shared" si="612"/>
        <v>#REF!</v>
      </c>
      <c r="R307" s="44"/>
      <c r="S307" s="44"/>
      <c r="T307" s="43"/>
      <c r="U307" s="43" t="str">
        <f t="shared" si="8"/>
        <v>No</v>
      </c>
      <c r="V307" s="25"/>
      <c r="W307" s="25"/>
      <c r="X307" s="25"/>
      <c r="Y307" s="25"/>
      <c r="Z307" s="25"/>
    </row>
    <row r="308" spans="1:26" ht="15.75" customHeight="1" x14ac:dyDescent="0.25">
      <c r="A308" s="25">
        <v>306</v>
      </c>
      <c r="B308" s="37" t="e">
        <f t="shared" ref="B308:D308" si="621">VLOOKUP($A308,#REF!,B$1,0)</f>
        <v>#REF!</v>
      </c>
      <c r="C308" s="38" t="e">
        <f t="shared" si="621"/>
        <v>#REF!</v>
      </c>
      <c r="D308" s="39" t="e">
        <f t="shared" si="621"/>
        <v>#REF!</v>
      </c>
      <c r="E308" s="16" t="e">
        <f t="shared" si="1"/>
        <v>#REF!</v>
      </c>
      <c r="F308" s="16" t="e">
        <f t="shared" ref="F308:K308" si="622">VLOOKUP($A308,#REF!,F$1,0)</f>
        <v>#REF!</v>
      </c>
      <c r="G308" s="39" t="e">
        <f t="shared" si="622"/>
        <v>#REF!</v>
      </c>
      <c r="H308" s="16" t="e">
        <f t="shared" si="622"/>
        <v>#REF!</v>
      </c>
      <c r="I308" s="16" t="e">
        <f t="shared" si="622"/>
        <v>#REF!</v>
      </c>
      <c r="J308" s="40" t="e">
        <f t="shared" si="622"/>
        <v>#REF!</v>
      </c>
      <c r="K308" s="16" t="e">
        <f t="shared" si="622"/>
        <v>#REF!</v>
      </c>
      <c r="L308" s="40" t="e">
        <f t="shared" si="609"/>
        <v>#REF!</v>
      </c>
      <c r="M308" s="16" t="e">
        <f t="shared" si="610"/>
        <v>#REF!</v>
      </c>
      <c r="N308" s="16" t="e">
        <f t="shared" si="611"/>
        <v>#REF!</v>
      </c>
      <c r="O308" s="16" t="s">
        <v>65</v>
      </c>
      <c r="P308" s="16" t="str">
        <f t="shared" si="6"/>
        <v/>
      </c>
      <c r="Q308" s="41" t="e">
        <f t="shared" si="612"/>
        <v>#REF!</v>
      </c>
      <c r="R308" s="44"/>
      <c r="S308" s="44"/>
      <c r="T308" s="43"/>
      <c r="U308" s="43" t="str">
        <f t="shared" si="8"/>
        <v>No</v>
      </c>
      <c r="V308" s="25"/>
      <c r="W308" s="25"/>
      <c r="X308" s="25"/>
      <c r="Y308" s="25"/>
      <c r="Z308" s="25"/>
    </row>
    <row r="309" spans="1:26" ht="15.75" customHeight="1" x14ac:dyDescent="0.25">
      <c r="A309" s="25">
        <v>307</v>
      </c>
      <c r="B309" s="37" t="e">
        <f t="shared" ref="B309:D309" si="623">VLOOKUP($A309,#REF!,B$1,0)</f>
        <v>#REF!</v>
      </c>
      <c r="C309" s="38" t="e">
        <f t="shared" si="623"/>
        <v>#REF!</v>
      </c>
      <c r="D309" s="39" t="e">
        <f t="shared" si="623"/>
        <v>#REF!</v>
      </c>
      <c r="E309" s="16" t="e">
        <f t="shared" si="1"/>
        <v>#REF!</v>
      </c>
      <c r="F309" s="16" t="e">
        <f t="shared" ref="F309:K309" si="624">VLOOKUP($A309,#REF!,F$1,0)</f>
        <v>#REF!</v>
      </c>
      <c r="G309" s="39" t="e">
        <f t="shared" si="624"/>
        <v>#REF!</v>
      </c>
      <c r="H309" s="16" t="e">
        <f t="shared" si="624"/>
        <v>#REF!</v>
      </c>
      <c r="I309" s="16" t="e">
        <f t="shared" si="624"/>
        <v>#REF!</v>
      </c>
      <c r="J309" s="40" t="e">
        <f t="shared" si="624"/>
        <v>#REF!</v>
      </c>
      <c r="K309" s="16" t="e">
        <f t="shared" si="624"/>
        <v>#REF!</v>
      </c>
      <c r="L309" s="40" t="e">
        <f t="shared" si="609"/>
        <v>#REF!</v>
      </c>
      <c r="M309" s="16" t="e">
        <f t="shared" si="610"/>
        <v>#REF!</v>
      </c>
      <c r="N309" s="16" t="e">
        <f t="shared" si="611"/>
        <v>#REF!</v>
      </c>
      <c r="O309" s="16" t="s">
        <v>65</v>
      </c>
      <c r="P309" s="16" t="str">
        <f t="shared" si="6"/>
        <v/>
      </c>
      <c r="Q309" s="41" t="e">
        <f t="shared" si="612"/>
        <v>#REF!</v>
      </c>
      <c r="R309" s="44"/>
      <c r="S309" s="44"/>
      <c r="T309" s="43"/>
      <c r="U309" s="43" t="str">
        <f t="shared" si="8"/>
        <v>No</v>
      </c>
      <c r="V309" s="25"/>
      <c r="W309" s="25"/>
      <c r="X309" s="25"/>
      <c r="Y309" s="25"/>
      <c r="Z309" s="25"/>
    </row>
    <row r="310" spans="1:26" ht="15.75" customHeight="1" x14ac:dyDescent="0.25">
      <c r="A310" s="25">
        <v>308</v>
      </c>
      <c r="B310" s="37" t="e">
        <f t="shared" ref="B310:D310" si="625">VLOOKUP($A310,#REF!,B$1,0)</f>
        <v>#REF!</v>
      </c>
      <c r="C310" s="38" t="e">
        <f t="shared" si="625"/>
        <v>#REF!</v>
      </c>
      <c r="D310" s="39" t="e">
        <f t="shared" si="625"/>
        <v>#REF!</v>
      </c>
      <c r="E310" s="16" t="e">
        <f t="shared" si="1"/>
        <v>#REF!</v>
      </c>
      <c r="F310" s="16" t="e">
        <f t="shared" ref="F310:K310" si="626">VLOOKUP($A310,#REF!,F$1,0)</f>
        <v>#REF!</v>
      </c>
      <c r="G310" s="39" t="e">
        <f t="shared" si="626"/>
        <v>#REF!</v>
      </c>
      <c r="H310" s="16" t="e">
        <f t="shared" si="626"/>
        <v>#REF!</v>
      </c>
      <c r="I310" s="16" t="e">
        <f t="shared" si="626"/>
        <v>#REF!</v>
      </c>
      <c r="J310" s="40" t="e">
        <f t="shared" si="626"/>
        <v>#REF!</v>
      </c>
      <c r="K310" s="16" t="e">
        <f t="shared" si="626"/>
        <v>#REF!</v>
      </c>
      <c r="L310" s="40" t="e">
        <f t="shared" si="609"/>
        <v>#REF!</v>
      </c>
      <c r="M310" s="16" t="e">
        <f t="shared" si="610"/>
        <v>#REF!</v>
      </c>
      <c r="N310" s="16" t="e">
        <f t="shared" si="611"/>
        <v>#REF!</v>
      </c>
      <c r="O310" s="16" t="s">
        <v>65</v>
      </c>
      <c r="P310" s="16" t="str">
        <f t="shared" si="6"/>
        <v/>
      </c>
      <c r="Q310" s="41" t="e">
        <f t="shared" si="612"/>
        <v>#REF!</v>
      </c>
      <c r="R310" s="44"/>
      <c r="S310" s="44"/>
      <c r="T310" s="43"/>
      <c r="U310" s="43" t="str">
        <f t="shared" si="8"/>
        <v>No</v>
      </c>
      <c r="V310" s="25"/>
      <c r="W310" s="25"/>
      <c r="X310" s="25"/>
      <c r="Y310" s="25"/>
      <c r="Z310" s="25"/>
    </row>
    <row r="311" spans="1:26" ht="15.75" customHeight="1" x14ac:dyDescent="0.25">
      <c r="A311" s="25">
        <v>309</v>
      </c>
      <c r="B311" s="37" t="e">
        <f t="shared" ref="B311:D311" si="627">VLOOKUP($A311,#REF!,B$1,0)</f>
        <v>#REF!</v>
      </c>
      <c r="C311" s="38" t="e">
        <f t="shared" si="627"/>
        <v>#REF!</v>
      </c>
      <c r="D311" s="39" t="e">
        <f t="shared" si="627"/>
        <v>#REF!</v>
      </c>
      <c r="E311" s="16" t="e">
        <f t="shared" si="1"/>
        <v>#REF!</v>
      </c>
      <c r="F311" s="16" t="e">
        <f t="shared" ref="F311:K311" si="628">VLOOKUP($A311,#REF!,F$1,0)</f>
        <v>#REF!</v>
      </c>
      <c r="G311" s="39" t="e">
        <f t="shared" si="628"/>
        <v>#REF!</v>
      </c>
      <c r="H311" s="16" t="e">
        <f t="shared" si="628"/>
        <v>#REF!</v>
      </c>
      <c r="I311" s="16" t="e">
        <f t="shared" si="628"/>
        <v>#REF!</v>
      </c>
      <c r="J311" s="40" t="e">
        <f t="shared" si="628"/>
        <v>#REF!</v>
      </c>
      <c r="K311" s="16" t="e">
        <f t="shared" si="628"/>
        <v>#REF!</v>
      </c>
      <c r="L311" s="40" t="e">
        <f t="shared" si="609"/>
        <v>#REF!</v>
      </c>
      <c r="M311" s="16" t="e">
        <f t="shared" si="610"/>
        <v>#REF!</v>
      </c>
      <c r="N311" s="16" t="e">
        <f t="shared" si="611"/>
        <v>#REF!</v>
      </c>
      <c r="O311" s="16" t="s">
        <v>65</v>
      </c>
      <c r="P311" s="16" t="str">
        <f t="shared" si="6"/>
        <v/>
      </c>
      <c r="Q311" s="41" t="e">
        <f t="shared" si="612"/>
        <v>#REF!</v>
      </c>
      <c r="R311" s="44"/>
      <c r="S311" s="44"/>
      <c r="T311" s="43"/>
      <c r="U311" s="43" t="str">
        <f t="shared" si="8"/>
        <v>No</v>
      </c>
      <c r="V311" s="25"/>
      <c r="W311" s="25"/>
      <c r="X311" s="25"/>
      <c r="Y311" s="25"/>
      <c r="Z311" s="25"/>
    </row>
    <row r="312" spans="1:26" ht="15.75" customHeight="1" x14ac:dyDescent="0.25">
      <c r="A312" s="25">
        <v>310</v>
      </c>
      <c r="B312" s="37" t="e">
        <f t="shared" ref="B312:D312" si="629">VLOOKUP($A312,#REF!,B$1,0)</f>
        <v>#REF!</v>
      </c>
      <c r="C312" s="38" t="e">
        <f t="shared" si="629"/>
        <v>#REF!</v>
      </c>
      <c r="D312" s="39" t="e">
        <f t="shared" si="629"/>
        <v>#REF!</v>
      </c>
      <c r="E312" s="16" t="e">
        <f t="shared" si="1"/>
        <v>#REF!</v>
      </c>
      <c r="F312" s="16" t="e">
        <f t="shared" ref="F312:K312" si="630">VLOOKUP($A312,#REF!,F$1,0)</f>
        <v>#REF!</v>
      </c>
      <c r="G312" s="39" t="e">
        <f t="shared" si="630"/>
        <v>#REF!</v>
      </c>
      <c r="H312" s="16" t="e">
        <f t="shared" si="630"/>
        <v>#REF!</v>
      </c>
      <c r="I312" s="16" t="e">
        <f t="shared" si="630"/>
        <v>#REF!</v>
      </c>
      <c r="J312" s="40" t="e">
        <f t="shared" si="630"/>
        <v>#REF!</v>
      </c>
      <c r="K312" s="16" t="e">
        <f t="shared" si="630"/>
        <v>#REF!</v>
      </c>
      <c r="L312" s="40" t="e">
        <f t="shared" si="609"/>
        <v>#REF!</v>
      </c>
      <c r="M312" s="16" t="e">
        <f t="shared" si="610"/>
        <v>#REF!</v>
      </c>
      <c r="N312" s="16" t="e">
        <f t="shared" si="611"/>
        <v>#REF!</v>
      </c>
      <c r="O312" s="16" t="s">
        <v>65</v>
      </c>
      <c r="P312" s="16" t="str">
        <f t="shared" si="6"/>
        <v/>
      </c>
      <c r="Q312" s="41" t="e">
        <f t="shared" si="612"/>
        <v>#REF!</v>
      </c>
      <c r="R312" s="44"/>
      <c r="S312" s="44"/>
      <c r="T312" s="43"/>
      <c r="U312" s="43" t="str">
        <f t="shared" si="8"/>
        <v>No</v>
      </c>
      <c r="V312" s="25"/>
      <c r="W312" s="25"/>
      <c r="X312" s="25"/>
      <c r="Y312" s="25"/>
      <c r="Z312" s="25"/>
    </row>
    <row r="313" spans="1:26" ht="15.75" customHeight="1" x14ac:dyDescent="0.25">
      <c r="A313" s="25">
        <v>311</v>
      </c>
      <c r="B313" s="37" t="e">
        <f t="shared" ref="B313:D313" si="631">VLOOKUP($A313,#REF!,B$1,0)</f>
        <v>#REF!</v>
      </c>
      <c r="C313" s="38" t="e">
        <f t="shared" si="631"/>
        <v>#REF!</v>
      </c>
      <c r="D313" s="39" t="e">
        <f t="shared" si="631"/>
        <v>#REF!</v>
      </c>
      <c r="E313" s="16" t="e">
        <f t="shared" si="1"/>
        <v>#REF!</v>
      </c>
      <c r="F313" s="16" t="e">
        <f t="shared" ref="F313:K313" si="632">VLOOKUP($A313,#REF!,F$1,0)</f>
        <v>#REF!</v>
      </c>
      <c r="G313" s="39" t="e">
        <f t="shared" si="632"/>
        <v>#REF!</v>
      </c>
      <c r="H313" s="16" t="e">
        <f t="shared" si="632"/>
        <v>#REF!</v>
      </c>
      <c r="I313" s="16" t="e">
        <f t="shared" si="632"/>
        <v>#REF!</v>
      </c>
      <c r="J313" s="40" t="e">
        <f t="shared" si="632"/>
        <v>#REF!</v>
      </c>
      <c r="K313" s="16" t="e">
        <f t="shared" si="632"/>
        <v>#REF!</v>
      </c>
      <c r="L313" s="40" t="e">
        <f t="shared" si="609"/>
        <v>#REF!</v>
      </c>
      <c r="M313" s="16" t="e">
        <f t="shared" si="610"/>
        <v>#REF!</v>
      </c>
      <c r="N313" s="16" t="e">
        <f t="shared" si="611"/>
        <v>#REF!</v>
      </c>
      <c r="O313" s="16" t="s">
        <v>65</v>
      </c>
      <c r="P313" s="16" t="str">
        <f t="shared" si="6"/>
        <v/>
      </c>
      <c r="Q313" s="41" t="e">
        <f t="shared" si="612"/>
        <v>#REF!</v>
      </c>
      <c r="R313" s="44"/>
      <c r="S313" s="44"/>
      <c r="T313" s="43"/>
      <c r="U313" s="43" t="str">
        <f t="shared" si="8"/>
        <v>No</v>
      </c>
      <c r="V313" s="25"/>
      <c r="W313" s="25"/>
      <c r="X313" s="25"/>
      <c r="Y313" s="25"/>
      <c r="Z313" s="25"/>
    </row>
    <row r="314" spans="1:26" ht="15.75" customHeight="1" x14ac:dyDescent="0.25">
      <c r="A314" s="25">
        <v>312</v>
      </c>
      <c r="B314" s="37" t="e">
        <f t="shared" ref="B314:D314" si="633">VLOOKUP($A314,#REF!,B$1,0)</f>
        <v>#REF!</v>
      </c>
      <c r="C314" s="38" t="e">
        <f t="shared" si="633"/>
        <v>#REF!</v>
      </c>
      <c r="D314" s="39" t="e">
        <f t="shared" si="633"/>
        <v>#REF!</v>
      </c>
      <c r="E314" s="16" t="e">
        <f t="shared" si="1"/>
        <v>#REF!</v>
      </c>
      <c r="F314" s="16" t="e">
        <f t="shared" ref="F314:K314" si="634">VLOOKUP($A314,#REF!,F$1,0)</f>
        <v>#REF!</v>
      </c>
      <c r="G314" s="39" t="e">
        <f t="shared" si="634"/>
        <v>#REF!</v>
      </c>
      <c r="H314" s="16" t="e">
        <f t="shared" si="634"/>
        <v>#REF!</v>
      </c>
      <c r="I314" s="16" t="e">
        <f t="shared" si="634"/>
        <v>#REF!</v>
      </c>
      <c r="J314" s="40" t="e">
        <f t="shared" si="634"/>
        <v>#REF!</v>
      </c>
      <c r="K314" s="16" t="e">
        <f t="shared" si="634"/>
        <v>#REF!</v>
      </c>
      <c r="L314" s="40" t="e">
        <f t="shared" si="609"/>
        <v>#REF!</v>
      </c>
      <c r="M314" s="16" t="e">
        <f t="shared" si="610"/>
        <v>#REF!</v>
      </c>
      <c r="N314" s="16" t="e">
        <f t="shared" si="611"/>
        <v>#REF!</v>
      </c>
      <c r="O314" s="16" t="s">
        <v>65</v>
      </c>
      <c r="P314" s="16" t="str">
        <f t="shared" si="6"/>
        <v/>
      </c>
      <c r="Q314" s="41" t="e">
        <f t="shared" si="612"/>
        <v>#REF!</v>
      </c>
      <c r="R314" s="44"/>
      <c r="S314" s="44"/>
      <c r="T314" s="43"/>
      <c r="U314" s="43" t="str">
        <f t="shared" si="8"/>
        <v>No</v>
      </c>
      <c r="V314" s="25"/>
      <c r="W314" s="25"/>
      <c r="X314" s="25"/>
      <c r="Y314" s="25"/>
      <c r="Z314" s="25"/>
    </row>
    <row r="315" spans="1:26" ht="15.75" customHeight="1" x14ac:dyDescent="0.25">
      <c r="A315" s="25">
        <v>313</v>
      </c>
      <c r="B315" s="37" t="e">
        <f t="shared" ref="B315:D315" si="635">VLOOKUP($A315,#REF!,B$1,0)</f>
        <v>#REF!</v>
      </c>
      <c r="C315" s="38" t="e">
        <f t="shared" si="635"/>
        <v>#REF!</v>
      </c>
      <c r="D315" s="39" t="e">
        <f t="shared" si="635"/>
        <v>#REF!</v>
      </c>
      <c r="E315" s="16" t="e">
        <f t="shared" si="1"/>
        <v>#REF!</v>
      </c>
      <c r="F315" s="16" t="e">
        <f t="shared" ref="F315:K315" si="636">VLOOKUP($A315,#REF!,F$1,0)</f>
        <v>#REF!</v>
      </c>
      <c r="G315" s="39" t="e">
        <f t="shared" si="636"/>
        <v>#REF!</v>
      </c>
      <c r="H315" s="16" t="e">
        <f t="shared" si="636"/>
        <v>#REF!</v>
      </c>
      <c r="I315" s="16" t="e">
        <f t="shared" si="636"/>
        <v>#REF!</v>
      </c>
      <c r="J315" s="40" t="e">
        <f t="shared" si="636"/>
        <v>#REF!</v>
      </c>
      <c r="K315" s="16" t="e">
        <f t="shared" si="636"/>
        <v>#REF!</v>
      </c>
      <c r="L315" s="40" t="e">
        <f t="shared" si="609"/>
        <v>#REF!</v>
      </c>
      <c r="M315" s="16" t="e">
        <f t="shared" si="610"/>
        <v>#REF!</v>
      </c>
      <c r="N315" s="16" t="e">
        <f t="shared" si="611"/>
        <v>#REF!</v>
      </c>
      <c r="O315" s="16" t="s">
        <v>65</v>
      </c>
      <c r="P315" s="16" t="str">
        <f t="shared" si="6"/>
        <v/>
      </c>
      <c r="Q315" s="41" t="e">
        <f t="shared" si="612"/>
        <v>#REF!</v>
      </c>
      <c r="R315" s="44"/>
      <c r="S315" s="44"/>
      <c r="T315" s="43"/>
      <c r="U315" s="43" t="str">
        <f t="shared" si="8"/>
        <v>No</v>
      </c>
      <c r="V315" s="25"/>
      <c r="W315" s="25"/>
      <c r="X315" s="25"/>
      <c r="Y315" s="25"/>
      <c r="Z315" s="25"/>
    </row>
    <row r="316" spans="1:26" ht="15.75" customHeight="1" x14ac:dyDescent="0.25">
      <c r="A316" s="25">
        <v>314</v>
      </c>
      <c r="B316" s="37" t="e">
        <f t="shared" ref="B316:D316" si="637">VLOOKUP($A316,#REF!,B$1,0)</f>
        <v>#REF!</v>
      </c>
      <c r="C316" s="38" t="e">
        <f t="shared" si="637"/>
        <v>#REF!</v>
      </c>
      <c r="D316" s="39" t="e">
        <f t="shared" si="637"/>
        <v>#REF!</v>
      </c>
      <c r="E316" s="16" t="e">
        <f t="shared" si="1"/>
        <v>#REF!</v>
      </c>
      <c r="F316" s="16" t="e">
        <f t="shared" ref="F316:K316" si="638">VLOOKUP($A316,#REF!,F$1,0)</f>
        <v>#REF!</v>
      </c>
      <c r="G316" s="39" t="e">
        <f t="shared" si="638"/>
        <v>#REF!</v>
      </c>
      <c r="H316" s="16" t="e">
        <f t="shared" si="638"/>
        <v>#REF!</v>
      </c>
      <c r="I316" s="16" t="e">
        <f t="shared" si="638"/>
        <v>#REF!</v>
      </c>
      <c r="J316" s="40" t="e">
        <f t="shared" si="638"/>
        <v>#REF!</v>
      </c>
      <c r="K316" s="16" t="e">
        <f t="shared" si="638"/>
        <v>#REF!</v>
      </c>
      <c r="L316" s="40" t="e">
        <f t="shared" si="609"/>
        <v>#REF!</v>
      </c>
      <c r="M316" s="16" t="e">
        <f t="shared" si="610"/>
        <v>#REF!</v>
      </c>
      <c r="N316" s="16" t="e">
        <f t="shared" si="611"/>
        <v>#REF!</v>
      </c>
      <c r="O316" s="16" t="s">
        <v>65</v>
      </c>
      <c r="P316" s="16" t="str">
        <f t="shared" si="6"/>
        <v/>
      </c>
      <c r="Q316" s="41" t="e">
        <f t="shared" si="612"/>
        <v>#REF!</v>
      </c>
      <c r="R316" s="44"/>
      <c r="S316" s="44"/>
      <c r="T316" s="43"/>
      <c r="U316" s="43" t="str">
        <f t="shared" si="8"/>
        <v>No</v>
      </c>
      <c r="V316" s="25"/>
      <c r="W316" s="25"/>
      <c r="X316" s="25"/>
      <c r="Y316" s="25"/>
      <c r="Z316" s="25"/>
    </row>
    <row r="317" spans="1:26" ht="15.75" customHeight="1" x14ac:dyDescent="0.25">
      <c r="A317" s="25">
        <v>315</v>
      </c>
      <c r="B317" s="37" t="e">
        <f t="shared" ref="B317:D317" si="639">VLOOKUP($A317,#REF!,B$1,0)</f>
        <v>#REF!</v>
      </c>
      <c r="C317" s="38" t="e">
        <f t="shared" si="639"/>
        <v>#REF!</v>
      </c>
      <c r="D317" s="39" t="e">
        <f t="shared" si="639"/>
        <v>#REF!</v>
      </c>
      <c r="E317" s="16" t="e">
        <f t="shared" si="1"/>
        <v>#REF!</v>
      </c>
      <c r="F317" s="16" t="e">
        <f t="shared" ref="F317:K317" si="640">VLOOKUP($A317,#REF!,F$1,0)</f>
        <v>#REF!</v>
      </c>
      <c r="G317" s="39" t="e">
        <f t="shared" si="640"/>
        <v>#REF!</v>
      </c>
      <c r="H317" s="16" t="e">
        <f t="shared" si="640"/>
        <v>#REF!</v>
      </c>
      <c r="I317" s="16" t="e">
        <f t="shared" si="640"/>
        <v>#REF!</v>
      </c>
      <c r="J317" s="40" t="e">
        <f t="shared" si="640"/>
        <v>#REF!</v>
      </c>
      <c r="K317" s="16" t="e">
        <f t="shared" si="640"/>
        <v>#REF!</v>
      </c>
      <c r="L317" s="40" t="e">
        <f t="shared" si="609"/>
        <v>#REF!</v>
      </c>
      <c r="M317" s="16" t="e">
        <f t="shared" si="610"/>
        <v>#REF!</v>
      </c>
      <c r="N317" s="16" t="e">
        <f t="shared" si="611"/>
        <v>#REF!</v>
      </c>
      <c r="O317" s="16" t="s">
        <v>65</v>
      </c>
      <c r="P317" s="16" t="str">
        <f t="shared" si="6"/>
        <v/>
      </c>
      <c r="Q317" s="41" t="e">
        <f t="shared" si="612"/>
        <v>#REF!</v>
      </c>
      <c r="R317" s="44"/>
      <c r="S317" s="44"/>
      <c r="T317" s="43"/>
      <c r="U317" s="43" t="str">
        <f t="shared" si="8"/>
        <v>No</v>
      </c>
      <c r="V317" s="25"/>
      <c r="W317" s="25"/>
      <c r="X317" s="25"/>
      <c r="Y317" s="25"/>
      <c r="Z317" s="25"/>
    </row>
    <row r="318" spans="1:26" ht="15.75" customHeight="1" x14ac:dyDescent="0.25">
      <c r="A318" s="25">
        <v>316</v>
      </c>
      <c r="B318" s="37" t="e">
        <f t="shared" ref="B318:D318" si="641">VLOOKUP($A318,#REF!,B$1,0)</f>
        <v>#REF!</v>
      </c>
      <c r="C318" s="38" t="e">
        <f t="shared" si="641"/>
        <v>#REF!</v>
      </c>
      <c r="D318" s="39" t="e">
        <f t="shared" si="641"/>
        <v>#REF!</v>
      </c>
      <c r="E318" s="16" t="e">
        <f t="shared" si="1"/>
        <v>#REF!</v>
      </c>
      <c r="F318" s="16" t="e">
        <f t="shared" ref="F318:K318" si="642">VLOOKUP($A318,#REF!,F$1,0)</f>
        <v>#REF!</v>
      </c>
      <c r="G318" s="39" t="e">
        <f t="shared" si="642"/>
        <v>#REF!</v>
      </c>
      <c r="H318" s="16" t="e">
        <f t="shared" si="642"/>
        <v>#REF!</v>
      </c>
      <c r="I318" s="16" t="e">
        <f t="shared" si="642"/>
        <v>#REF!</v>
      </c>
      <c r="J318" s="40" t="e">
        <f t="shared" si="642"/>
        <v>#REF!</v>
      </c>
      <c r="K318" s="16" t="e">
        <f t="shared" si="642"/>
        <v>#REF!</v>
      </c>
      <c r="L318" s="40" t="e">
        <f t="shared" si="609"/>
        <v>#REF!</v>
      </c>
      <c r="M318" s="16" t="e">
        <f t="shared" si="610"/>
        <v>#REF!</v>
      </c>
      <c r="N318" s="16" t="e">
        <f t="shared" si="611"/>
        <v>#REF!</v>
      </c>
      <c r="O318" s="16" t="s">
        <v>65</v>
      </c>
      <c r="P318" s="16" t="str">
        <f t="shared" si="6"/>
        <v/>
      </c>
      <c r="Q318" s="41" t="e">
        <f t="shared" si="612"/>
        <v>#REF!</v>
      </c>
      <c r="R318" s="44"/>
      <c r="S318" s="44"/>
      <c r="T318" s="43"/>
      <c r="U318" s="43" t="str">
        <f t="shared" si="8"/>
        <v>No</v>
      </c>
      <c r="V318" s="25"/>
      <c r="W318" s="25"/>
      <c r="X318" s="25"/>
      <c r="Y318" s="25"/>
      <c r="Z318" s="25"/>
    </row>
    <row r="319" spans="1:26" ht="15.75" customHeight="1" x14ac:dyDescent="0.25">
      <c r="A319" s="25">
        <v>317</v>
      </c>
      <c r="B319" s="37" t="e">
        <f t="shared" ref="B319:D319" si="643">VLOOKUP($A319,#REF!,B$1,0)</f>
        <v>#REF!</v>
      </c>
      <c r="C319" s="38" t="e">
        <f t="shared" si="643"/>
        <v>#REF!</v>
      </c>
      <c r="D319" s="39" t="e">
        <f t="shared" si="643"/>
        <v>#REF!</v>
      </c>
      <c r="E319" s="16" t="e">
        <f t="shared" si="1"/>
        <v>#REF!</v>
      </c>
      <c r="F319" s="16" t="e">
        <f t="shared" ref="F319:K319" si="644">VLOOKUP($A319,#REF!,F$1,0)</f>
        <v>#REF!</v>
      </c>
      <c r="G319" s="39" t="e">
        <f t="shared" si="644"/>
        <v>#REF!</v>
      </c>
      <c r="H319" s="16" t="e">
        <f t="shared" si="644"/>
        <v>#REF!</v>
      </c>
      <c r="I319" s="16" t="e">
        <f t="shared" si="644"/>
        <v>#REF!</v>
      </c>
      <c r="J319" s="40" t="e">
        <f t="shared" si="644"/>
        <v>#REF!</v>
      </c>
      <c r="K319" s="16" t="e">
        <f t="shared" si="644"/>
        <v>#REF!</v>
      </c>
      <c r="L319" s="40" t="e">
        <f t="shared" si="609"/>
        <v>#REF!</v>
      </c>
      <c r="M319" s="16" t="e">
        <f t="shared" si="610"/>
        <v>#REF!</v>
      </c>
      <c r="N319" s="16" t="e">
        <f t="shared" si="611"/>
        <v>#REF!</v>
      </c>
      <c r="O319" s="16" t="s">
        <v>65</v>
      </c>
      <c r="P319" s="16" t="str">
        <f t="shared" si="6"/>
        <v/>
      </c>
      <c r="Q319" s="41" t="e">
        <f t="shared" si="612"/>
        <v>#REF!</v>
      </c>
      <c r="R319" s="44"/>
      <c r="S319" s="44"/>
      <c r="T319" s="43"/>
      <c r="U319" s="43" t="str">
        <f t="shared" si="8"/>
        <v>No</v>
      </c>
      <c r="V319" s="25"/>
      <c r="W319" s="25"/>
      <c r="X319" s="25"/>
      <c r="Y319" s="25"/>
      <c r="Z319" s="25"/>
    </row>
    <row r="320" spans="1:26" ht="15.75" customHeight="1" x14ac:dyDescent="0.25">
      <c r="A320" s="25">
        <v>318</v>
      </c>
      <c r="B320" s="37" t="e">
        <f t="shared" ref="B320:D320" si="645">VLOOKUP($A320,#REF!,B$1,0)</f>
        <v>#REF!</v>
      </c>
      <c r="C320" s="38" t="e">
        <f t="shared" si="645"/>
        <v>#REF!</v>
      </c>
      <c r="D320" s="39" t="e">
        <f t="shared" si="645"/>
        <v>#REF!</v>
      </c>
      <c r="E320" s="16" t="e">
        <f t="shared" si="1"/>
        <v>#REF!</v>
      </c>
      <c r="F320" s="16" t="e">
        <f t="shared" ref="F320:K320" si="646">VLOOKUP($A320,#REF!,F$1,0)</f>
        <v>#REF!</v>
      </c>
      <c r="G320" s="39" t="e">
        <f t="shared" si="646"/>
        <v>#REF!</v>
      </c>
      <c r="H320" s="16" t="e">
        <f t="shared" si="646"/>
        <v>#REF!</v>
      </c>
      <c r="I320" s="16" t="e">
        <f t="shared" si="646"/>
        <v>#REF!</v>
      </c>
      <c r="J320" s="40" t="e">
        <f t="shared" si="646"/>
        <v>#REF!</v>
      </c>
      <c r="K320" s="16" t="e">
        <f t="shared" si="646"/>
        <v>#REF!</v>
      </c>
      <c r="L320" s="40" t="e">
        <f t="shared" si="609"/>
        <v>#REF!</v>
      </c>
      <c r="M320" s="16" t="e">
        <f t="shared" si="610"/>
        <v>#REF!</v>
      </c>
      <c r="N320" s="16" t="e">
        <f t="shared" si="611"/>
        <v>#REF!</v>
      </c>
      <c r="O320" s="16" t="s">
        <v>65</v>
      </c>
      <c r="P320" s="16" t="str">
        <f t="shared" si="6"/>
        <v/>
      </c>
      <c r="Q320" s="41" t="e">
        <f t="shared" si="612"/>
        <v>#REF!</v>
      </c>
      <c r="R320" s="44"/>
      <c r="S320" s="44"/>
      <c r="T320" s="43"/>
      <c r="U320" s="43" t="str">
        <f t="shared" si="8"/>
        <v>No</v>
      </c>
      <c r="V320" s="25"/>
      <c r="W320" s="25"/>
      <c r="X320" s="25"/>
      <c r="Y320" s="25"/>
      <c r="Z320" s="25"/>
    </row>
    <row r="321" spans="1:26" ht="15.75" customHeight="1" x14ac:dyDescent="0.25">
      <c r="A321" s="25">
        <v>319</v>
      </c>
      <c r="B321" s="37" t="e">
        <f t="shared" ref="B321:D321" si="647">VLOOKUP($A321,#REF!,B$1,0)</f>
        <v>#REF!</v>
      </c>
      <c r="C321" s="38" t="e">
        <f t="shared" si="647"/>
        <v>#REF!</v>
      </c>
      <c r="D321" s="39" t="e">
        <f t="shared" si="647"/>
        <v>#REF!</v>
      </c>
      <c r="E321" s="16" t="e">
        <f t="shared" si="1"/>
        <v>#REF!</v>
      </c>
      <c r="F321" s="16" t="e">
        <f t="shared" ref="F321:K321" si="648">VLOOKUP($A321,#REF!,F$1,0)</f>
        <v>#REF!</v>
      </c>
      <c r="G321" s="39" t="e">
        <f t="shared" si="648"/>
        <v>#REF!</v>
      </c>
      <c r="H321" s="16" t="e">
        <f t="shared" si="648"/>
        <v>#REF!</v>
      </c>
      <c r="I321" s="16" t="e">
        <f t="shared" si="648"/>
        <v>#REF!</v>
      </c>
      <c r="J321" s="40" t="e">
        <f t="shared" si="648"/>
        <v>#REF!</v>
      </c>
      <c r="K321" s="16" t="e">
        <f t="shared" si="648"/>
        <v>#REF!</v>
      </c>
      <c r="L321" s="40" t="e">
        <f t="shared" si="609"/>
        <v>#REF!</v>
      </c>
      <c r="M321" s="16" t="e">
        <f t="shared" si="610"/>
        <v>#REF!</v>
      </c>
      <c r="N321" s="16" t="e">
        <f t="shared" si="611"/>
        <v>#REF!</v>
      </c>
      <c r="O321" s="16" t="s">
        <v>65</v>
      </c>
      <c r="P321" s="16" t="str">
        <f t="shared" si="6"/>
        <v/>
      </c>
      <c r="Q321" s="41" t="e">
        <f t="shared" si="612"/>
        <v>#REF!</v>
      </c>
      <c r="R321" s="44"/>
      <c r="S321" s="44"/>
      <c r="T321" s="43"/>
      <c r="U321" s="43" t="str">
        <f t="shared" si="8"/>
        <v>No</v>
      </c>
      <c r="V321" s="25"/>
      <c r="W321" s="25"/>
      <c r="X321" s="25"/>
      <c r="Y321" s="25"/>
      <c r="Z321" s="25"/>
    </row>
    <row r="322" spans="1:26" ht="15.75" customHeight="1" x14ac:dyDescent="0.25">
      <c r="A322" s="25">
        <v>320</v>
      </c>
      <c r="B322" s="37" t="e">
        <f t="shared" ref="B322:D322" si="649">VLOOKUP($A322,#REF!,B$1,0)</f>
        <v>#REF!</v>
      </c>
      <c r="C322" s="38" t="e">
        <f t="shared" si="649"/>
        <v>#REF!</v>
      </c>
      <c r="D322" s="39" t="e">
        <f t="shared" si="649"/>
        <v>#REF!</v>
      </c>
      <c r="E322" s="16" t="e">
        <f t="shared" si="1"/>
        <v>#REF!</v>
      </c>
      <c r="F322" s="16" t="e">
        <f t="shared" ref="F322:K322" si="650">VLOOKUP($A322,#REF!,F$1,0)</f>
        <v>#REF!</v>
      </c>
      <c r="G322" s="39" t="e">
        <f t="shared" si="650"/>
        <v>#REF!</v>
      </c>
      <c r="H322" s="16" t="e">
        <f t="shared" si="650"/>
        <v>#REF!</v>
      </c>
      <c r="I322" s="16" t="e">
        <f t="shared" si="650"/>
        <v>#REF!</v>
      </c>
      <c r="J322" s="40" t="e">
        <f t="shared" si="650"/>
        <v>#REF!</v>
      </c>
      <c r="K322" s="16" t="e">
        <f t="shared" si="650"/>
        <v>#REF!</v>
      </c>
      <c r="L322" s="40" t="e">
        <f t="shared" si="609"/>
        <v>#REF!</v>
      </c>
      <c r="M322" s="16" t="e">
        <f t="shared" si="610"/>
        <v>#REF!</v>
      </c>
      <c r="N322" s="16" t="e">
        <f t="shared" si="611"/>
        <v>#REF!</v>
      </c>
      <c r="O322" s="16" t="s">
        <v>65</v>
      </c>
      <c r="P322" s="16" t="str">
        <f t="shared" si="6"/>
        <v/>
      </c>
      <c r="Q322" s="41" t="e">
        <f t="shared" si="612"/>
        <v>#REF!</v>
      </c>
      <c r="R322" s="44"/>
      <c r="S322" s="44"/>
      <c r="T322" s="43"/>
      <c r="U322" s="43" t="str">
        <f t="shared" si="8"/>
        <v>No</v>
      </c>
      <c r="V322" s="25"/>
      <c r="W322" s="25"/>
      <c r="X322" s="25"/>
      <c r="Y322" s="25"/>
      <c r="Z322" s="25"/>
    </row>
    <row r="323" spans="1:26" ht="15.75" customHeight="1" x14ac:dyDescent="0.25">
      <c r="A323" s="25">
        <v>321</v>
      </c>
      <c r="B323" s="37" t="e">
        <f t="shared" ref="B323:D323" si="651">VLOOKUP($A323,#REF!,B$1,0)</f>
        <v>#REF!</v>
      </c>
      <c r="C323" s="38" t="e">
        <f t="shared" si="651"/>
        <v>#REF!</v>
      </c>
      <c r="D323" s="39" t="e">
        <f t="shared" si="651"/>
        <v>#REF!</v>
      </c>
      <c r="E323" s="16" t="e">
        <f t="shared" si="1"/>
        <v>#REF!</v>
      </c>
      <c r="F323" s="16" t="e">
        <f t="shared" ref="F323:K323" si="652">VLOOKUP($A323,#REF!,F$1,0)</f>
        <v>#REF!</v>
      </c>
      <c r="G323" s="39" t="e">
        <f t="shared" si="652"/>
        <v>#REF!</v>
      </c>
      <c r="H323" s="16" t="e">
        <f t="shared" si="652"/>
        <v>#REF!</v>
      </c>
      <c r="I323" s="16" t="e">
        <f t="shared" si="652"/>
        <v>#REF!</v>
      </c>
      <c r="J323" s="40" t="e">
        <f t="shared" si="652"/>
        <v>#REF!</v>
      </c>
      <c r="K323" s="16" t="e">
        <f t="shared" si="652"/>
        <v>#REF!</v>
      </c>
      <c r="L323" s="40" t="e">
        <f t="shared" si="609"/>
        <v>#REF!</v>
      </c>
      <c r="M323" s="16" t="e">
        <f t="shared" si="610"/>
        <v>#REF!</v>
      </c>
      <c r="N323" s="16" t="e">
        <f t="shared" si="611"/>
        <v>#REF!</v>
      </c>
      <c r="O323" s="16" t="s">
        <v>65</v>
      </c>
      <c r="P323" s="16" t="str">
        <f t="shared" si="6"/>
        <v/>
      </c>
      <c r="Q323" s="41" t="e">
        <f t="shared" si="612"/>
        <v>#REF!</v>
      </c>
      <c r="R323" s="44"/>
      <c r="S323" s="44"/>
      <c r="T323" s="43"/>
      <c r="U323" s="43" t="str">
        <f t="shared" si="8"/>
        <v>No</v>
      </c>
      <c r="V323" s="25"/>
      <c r="W323" s="25"/>
      <c r="X323" s="25"/>
      <c r="Y323" s="25"/>
      <c r="Z323" s="25"/>
    </row>
    <row r="324" spans="1:26" ht="15.75" customHeight="1" x14ac:dyDescent="0.25">
      <c r="A324" s="25">
        <v>322</v>
      </c>
      <c r="B324" s="37" t="e">
        <f t="shared" ref="B324:D324" si="653">VLOOKUP($A324,#REF!,B$1,0)</f>
        <v>#REF!</v>
      </c>
      <c r="C324" s="38" t="e">
        <f t="shared" si="653"/>
        <v>#REF!</v>
      </c>
      <c r="D324" s="39" t="e">
        <f t="shared" si="653"/>
        <v>#REF!</v>
      </c>
      <c r="E324" s="16" t="e">
        <f t="shared" si="1"/>
        <v>#REF!</v>
      </c>
      <c r="F324" s="16" t="e">
        <f t="shared" ref="F324:K324" si="654">VLOOKUP($A324,#REF!,F$1,0)</f>
        <v>#REF!</v>
      </c>
      <c r="G324" s="39" t="e">
        <f t="shared" si="654"/>
        <v>#REF!</v>
      </c>
      <c r="H324" s="16" t="e">
        <f t="shared" si="654"/>
        <v>#REF!</v>
      </c>
      <c r="I324" s="16" t="e">
        <f t="shared" si="654"/>
        <v>#REF!</v>
      </c>
      <c r="J324" s="40" t="e">
        <f t="shared" si="654"/>
        <v>#REF!</v>
      </c>
      <c r="K324" s="16" t="e">
        <f t="shared" si="654"/>
        <v>#REF!</v>
      </c>
      <c r="L324" s="40" t="e">
        <f t="shared" si="609"/>
        <v>#REF!</v>
      </c>
      <c r="M324" s="45" t="e">
        <f t="shared" si="610"/>
        <v>#REF!</v>
      </c>
      <c r="N324" s="16" t="e">
        <f t="shared" si="611"/>
        <v>#REF!</v>
      </c>
      <c r="O324" s="16" t="s">
        <v>65</v>
      </c>
      <c r="P324" s="16" t="str">
        <f t="shared" si="6"/>
        <v/>
      </c>
      <c r="Q324" s="41" t="e">
        <f t="shared" si="612"/>
        <v>#REF!</v>
      </c>
      <c r="R324" s="44"/>
      <c r="S324" s="44"/>
      <c r="T324" s="43"/>
      <c r="U324" s="43" t="str">
        <f t="shared" si="8"/>
        <v>No</v>
      </c>
      <c r="V324" s="25"/>
      <c r="W324" s="25"/>
      <c r="X324" s="25"/>
      <c r="Y324" s="25"/>
      <c r="Z324" s="25"/>
    </row>
    <row r="325" spans="1:26" ht="15.75" customHeight="1" x14ac:dyDescent="0.25">
      <c r="A325" s="25">
        <v>323</v>
      </c>
      <c r="B325" s="37" t="e">
        <f t="shared" ref="B325:D325" si="655">VLOOKUP($A325,#REF!,B$1,0)</f>
        <v>#REF!</v>
      </c>
      <c r="C325" s="38" t="e">
        <f t="shared" si="655"/>
        <v>#REF!</v>
      </c>
      <c r="D325" s="39" t="e">
        <f t="shared" si="655"/>
        <v>#REF!</v>
      </c>
      <c r="E325" s="16" t="e">
        <f t="shared" si="1"/>
        <v>#REF!</v>
      </c>
      <c r="F325" s="16" t="e">
        <f t="shared" ref="F325:K325" si="656">VLOOKUP($A325,#REF!,F$1,0)</f>
        <v>#REF!</v>
      </c>
      <c r="G325" s="39" t="e">
        <f t="shared" si="656"/>
        <v>#REF!</v>
      </c>
      <c r="H325" s="16" t="e">
        <f t="shared" si="656"/>
        <v>#REF!</v>
      </c>
      <c r="I325" s="16" t="e">
        <f t="shared" si="656"/>
        <v>#REF!</v>
      </c>
      <c r="J325" s="40" t="e">
        <f t="shared" si="656"/>
        <v>#REF!</v>
      </c>
      <c r="K325" s="16" t="e">
        <f t="shared" si="656"/>
        <v>#REF!</v>
      </c>
      <c r="L325" s="40" t="e">
        <f t="shared" si="609"/>
        <v>#REF!</v>
      </c>
      <c r="M325" s="16" t="e">
        <f t="shared" si="610"/>
        <v>#REF!</v>
      </c>
      <c r="N325" s="16" t="e">
        <f t="shared" si="611"/>
        <v>#REF!</v>
      </c>
      <c r="O325" s="16" t="s">
        <v>65</v>
      </c>
      <c r="P325" s="16" t="str">
        <f t="shared" si="6"/>
        <v/>
      </c>
      <c r="Q325" s="41" t="e">
        <f t="shared" si="612"/>
        <v>#REF!</v>
      </c>
      <c r="R325" s="44"/>
      <c r="S325" s="44"/>
      <c r="T325" s="43"/>
      <c r="U325" s="43" t="str">
        <f t="shared" si="8"/>
        <v>No</v>
      </c>
      <c r="V325" s="25"/>
      <c r="W325" s="25"/>
      <c r="X325" s="25"/>
      <c r="Y325" s="25"/>
      <c r="Z325" s="25"/>
    </row>
    <row r="326" spans="1:26" ht="15.75" customHeight="1" x14ac:dyDescent="0.25">
      <c r="A326" s="25">
        <v>324</v>
      </c>
      <c r="B326" s="37" t="e">
        <f t="shared" ref="B326:D326" si="657">VLOOKUP($A326,#REF!,B$1,0)</f>
        <v>#REF!</v>
      </c>
      <c r="C326" s="38" t="e">
        <f t="shared" si="657"/>
        <v>#REF!</v>
      </c>
      <c r="D326" s="39" t="e">
        <f t="shared" si="657"/>
        <v>#REF!</v>
      </c>
      <c r="E326" s="16" t="e">
        <f t="shared" si="1"/>
        <v>#REF!</v>
      </c>
      <c r="F326" s="16" t="e">
        <f t="shared" ref="F326:K326" si="658">VLOOKUP($A326,#REF!,F$1,0)</f>
        <v>#REF!</v>
      </c>
      <c r="G326" s="39" t="e">
        <f t="shared" si="658"/>
        <v>#REF!</v>
      </c>
      <c r="H326" s="16" t="e">
        <f t="shared" si="658"/>
        <v>#REF!</v>
      </c>
      <c r="I326" s="16" t="e">
        <f t="shared" si="658"/>
        <v>#REF!</v>
      </c>
      <c r="J326" s="40" t="e">
        <f t="shared" si="658"/>
        <v>#REF!</v>
      </c>
      <c r="K326" s="16" t="e">
        <f t="shared" si="658"/>
        <v>#REF!</v>
      </c>
      <c r="L326" s="40" t="e">
        <f t="shared" si="609"/>
        <v>#REF!</v>
      </c>
      <c r="M326" s="16" t="e">
        <f t="shared" si="610"/>
        <v>#REF!</v>
      </c>
      <c r="N326" s="16" t="e">
        <f t="shared" si="611"/>
        <v>#REF!</v>
      </c>
      <c r="O326" s="16" t="s">
        <v>65</v>
      </c>
      <c r="P326" s="16" t="str">
        <f t="shared" si="6"/>
        <v/>
      </c>
      <c r="Q326" s="41" t="e">
        <f t="shared" si="612"/>
        <v>#REF!</v>
      </c>
      <c r="R326" s="44"/>
      <c r="S326" s="44"/>
      <c r="T326" s="43"/>
      <c r="U326" s="43" t="str">
        <f t="shared" si="8"/>
        <v>No</v>
      </c>
      <c r="V326" s="25"/>
      <c r="W326" s="25"/>
      <c r="X326" s="25"/>
      <c r="Y326" s="25"/>
      <c r="Z326" s="25"/>
    </row>
    <row r="327" spans="1:26" ht="15.75" customHeight="1" x14ac:dyDescent="0.25">
      <c r="A327" s="25">
        <v>325</v>
      </c>
      <c r="B327" s="37" t="e">
        <f t="shared" ref="B327:D327" si="659">VLOOKUP($A327,#REF!,B$1,0)</f>
        <v>#REF!</v>
      </c>
      <c r="C327" s="38" t="e">
        <f t="shared" si="659"/>
        <v>#REF!</v>
      </c>
      <c r="D327" s="39" t="e">
        <f t="shared" si="659"/>
        <v>#REF!</v>
      </c>
      <c r="E327" s="16" t="e">
        <f t="shared" si="1"/>
        <v>#REF!</v>
      </c>
      <c r="F327" s="16" t="e">
        <f t="shared" ref="F327:K327" si="660">VLOOKUP($A327,#REF!,F$1,0)</f>
        <v>#REF!</v>
      </c>
      <c r="G327" s="39" t="e">
        <f t="shared" si="660"/>
        <v>#REF!</v>
      </c>
      <c r="H327" s="16" t="e">
        <f t="shared" si="660"/>
        <v>#REF!</v>
      </c>
      <c r="I327" s="16" t="e">
        <f t="shared" si="660"/>
        <v>#REF!</v>
      </c>
      <c r="J327" s="40" t="e">
        <f t="shared" si="660"/>
        <v>#REF!</v>
      </c>
      <c r="K327" s="16" t="e">
        <f t="shared" si="660"/>
        <v>#REF!</v>
      </c>
      <c r="L327" s="40" t="e">
        <f t="shared" si="609"/>
        <v>#REF!</v>
      </c>
      <c r="M327" s="16" t="e">
        <f t="shared" si="610"/>
        <v>#REF!</v>
      </c>
      <c r="N327" s="16" t="e">
        <f t="shared" si="611"/>
        <v>#REF!</v>
      </c>
      <c r="O327" s="16" t="s">
        <v>65</v>
      </c>
      <c r="P327" s="16" t="str">
        <f t="shared" si="6"/>
        <v/>
      </c>
      <c r="Q327" s="41" t="e">
        <f t="shared" si="612"/>
        <v>#REF!</v>
      </c>
      <c r="R327" s="44"/>
      <c r="S327" s="44"/>
      <c r="T327" s="43"/>
      <c r="U327" s="43" t="str">
        <f t="shared" si="8"/>
        <v>No</v>
      </c>
      <c r="V327" s="25"/>
      <c r="W327" s="25"/>
      <c r="X327" s="25"/>
      <c r="Y327" s="25"/>
      <c r="Z327" s="25"/>
    </row>
    <row r="328" spans="1:26" ht="15.75" customHeight="1" x14ac:dyDescent="0.25">
      <c r="A328" s="25">
        <v>326</v>
      </c>
      <c r="B328" s="37" t="e">
        <f t="shared" ref="B328:D328" si="661">VLOOKUP($A328,#REF!,B$1,0)</f>
        <v>#REF!</v>
      </c>
      <c r="C328" s="38" t="e">
        <f t="shared" si="661"/>
        <v>#REF!</v>
      </c>
      <c r="D328" s="39" t="e">
        <f t="shared" si="661"/>
        <v>#REF!</v>
      </c>
      <c r="E328" s="16" t="e">
        <f t="shared" si="1"/>
        <v>#REF!</v>
      </c>
      <c r="F328" s="16" t="e">
        <f t="shared" ref="F328:K328" si="662">VLOOKUP($A328,#REF!,F$1,0)</f>
        <v>#REF!</v>
      </c>
      <c r="G328" s="39" t="e">
        <f t="shared" si="662"/>
        <v>#REF!</v>
      </c>
      <c r="H328" s="16" t="e">
        <f t="shared" si="662"/>
        <v>#REF!</v>
      </c>
      <c r="I328" s="16" t="e">
        <f t="shared" si="662"/>
        <v>#REF!</v>
      </c>
      <c r="J328" s="40" t="e">
        <f t="shared" si="662"/>
        <v>#REF!</v>
      </c>
      <c r="K328" s="16" t="e">
        <f t="shared" si="662"/>
        <v>#REF!</v>
      </c>
      <c r="L328" s="40" t="e">
        <f t="shared" si="609"/>
        <v>#REF!</v>
      </c>
      <c r="M328" s="16" t="e">
        <f t="shared" si="610"/>
        <v>#REF!</v>
      </c>
      <c r="N328" s="16" t="e">
        <f t="shared" si="611"/>
        <v>#REF!</v>
      </c>
      <c r="O328" s="16" t="s">
        <v>65</v>
      </c>
      <c r="P328" s="16" t="str">
        <f t="shared" si="6"/>
        <v/>
      </c>
      <c r="Q328" s="41" t="e">
        <f t="shared" si="612"/>
        <v>#REF!</v>
      </c>
      <c r="R328" s="44"/>
      <c r="S328" s="44"/>
      <c r="T328" s="43"/>
      <c r="U328" s="43" t="str">
        <f t="shared" si="8"/>
        <v>No</v>
      </c>
      <c r="V328" s="25"/>
      <c r="W328" s="25"/>
      <c r="X328" s="25"/>
      <c r="Y328" s="25"/>
      <c r="Z328" s="25"/>
    </row>
    <row r="329" spans="1:26" ht="15.75" customHeight="1" x14ac:dyDescent="0.25">
      <c r="A329" s="25">
        <v>327</v>
      </c>
      <c r="B329" s="37" t="e">
        <f t="shared" ref="B329:D329" si="663">VLOOKUP($A329,#REF!,B$1,0)</f>
        <v>#REF!</v>
      </c>
      <c r="C329" s="38" t="e">
        <f t="shared" si="663"/>
        <v>#REF!</v>
      </c>
      <c r="D329" s="39" t="e">
        <f t="shared" si="663"/>
        <v>#REF!</v>
      </c>
      <c r="E329" s="16" t="e">
        <f t="shared" si="1"/>
        <v>#REF!</v>
      </c>
      <c r="F329" s="16" t="e">
        <f t="shared" ref="F329:K329" si="664">VLOOKUP($A329,#REF!,F$1,0)</f>
        <v>#REF!</v>
      </c>
      <c r="G329" s="39" t="e">
        <f t="shared" si="664"/>
        <v>#REF!</v>
      </c>
      <c r="H329" s="16" t="e">
        <f t="shared" si="664"/>
        <v>#REF!</v>
      </c>
      <c r="I329" s="16" t="e">
        <f t="shared" si="664"/>
        <v>#REF!</v>
      </c>
      <c r="J329" s="40" t="e">
        <f t="shared" si="664"/>
        <v>#REF!</v>
      </c>
      <c r="K329" s="16" t="e">
        <f t="shared" si="664"/>
        <v>#REF!</v>
      </c>
      <c r="L329" s="40" t="e">
        <f t="shared" si="609"/>
        <v>#REF!</v>
      </c>
      <c r="M329" s="16" t="e">
        <f t="shared" si="610"/>
        <v>#REF!</v>
      </c>
      <c r="N329" s="16" t="e">
        <f t="shared" si="611"/>
        <v>#REF!</v>
      </c>
      <c r="O329" s="16" t="s">
        <v>65</v>
      </c>
      <c r="P329" s="16" t="str">
        <f t="shared" si="6"/>
        <v/>
      </c>
      <c r="Q329" s="41" t="e">
        <f t="shared" si="612"/>
        <v>#REF!</v>
      </c>
      <c r="R329" s="44"/>
      <c r="S329" s="44"/>
      <c r="T329" s="43"/>
      <c r="U329" s="43" t="str">
        <f t="shared" si="8"/>
        <v>No</v>
      </c>
      <c r="V329" s="25"/>
      <c r="W329" s="25"/>
      <c r="X329" s="25"/>
      <c r="Y329" s="25"/>
      <c r="Z329" s="25"/>
    </row>
    <row r="330" spans="1:26" ht="15.75" customHeight="1" x14ac:dyDescent="0.25">
      <c r="A330" s="25">
        <v>328</v>
      </c>
      <c r="B330" s="37" t="e">
        <f t="shared" ref="B330:D330" si="665">VLOOKUP($A330,#REF!,B$1,0)</f>
        <v>#REF!</v>
      </c>
      <c r="C330" s="38" t="e">
        <f t="shared" si="665"/>
        <v>#REF!</v>
      </c>
      <c r="D330" s="39" t="e">
        <f t="shared" si="665"/>
        <v>#REF!</v>
      </c>
      <c r="E330" s="16" t="e">
        <f t="shared" si="1"/>
        <v>#REF!</v>
      </c>
      <c r="F330" s="16" t="e">
        <f t="shared" ref="F330:K330" si="666">VLOOKUP($A330,#REF!,F$1,0)</f>
        <v>#REF!</v>
      </c>
      <c r="G330" s="39" t="e">
        <f t="shared" si="666"/>
        <v>#REF!</v>
      </c>
      <c r="H330" s="16" t="e">
        <f t="shared" si="666"/>
        <v>#REF!</v>
      </c>
      <c r="I330" s="16" t="e">
        <f t="shared" si="666"/>
        <v>#REF!</v>
      </c>
      <c r="J330" s="40" t="e">
        <f t="shared" si="666"/>
        <v>#REF!</v>
      </c>
      <c r="K330" s="16" t="e">
        <f t="shared" si="666"/>
        <v>#REF!</v>
      </c>
      <c r="L330" s="40" t="e">
        <f t="shared" si="609"/>
        <v>#REF!</v>
      </c>
      <c r="M330" s="16" t="e">
        <f t="shared" si="610"/>
        <v>#REF!</v>
      </c>
      <c r="N330" s="16" t="e">
        <f t="shared" si="611"/>
        <v>#REF!</v>
      </c>
      <c r="O330" s="16" t="s">
        <v>65</v>
      </c>
      <c r="P330" s="16" t="str">
        <f t="shared" si="6"/>
        <v/>
      </c>
      <c r="Q330" s="41" t="e">
        <f t="shared" si="612"/>
        <v>#REF!</v>
      </c>
      <c r="R330" s="44"/>
      <c r="S330" s="44"/>
      <c r="T330" s="43"/>
      <c r="U330" s="43" t="str">
        <f t="shared" si="8"/>
        <v>No</v>
      </c>
      <c r="V330" s="25"/>
      <c r="W330" s="25"/>
      <c r="X330" s="25"/>
      <c r="Y330" s="25"/>
      <c r="Z330" s="25"/>
    </row>
    <row r="331" spans="1:26" ht="15.75" customHeight="1" x14ac:dyDescent="0.25">
      <c r="A331" s="25">
        <v>329</v>
      </c>
      <c r="B331" s="37" t="e">
        <f t="shared" ref="B331:D331" si="667">VLOOKUP($A331,#REF!,B$1,0)</f>
        <v>#REF!</v>
      </c>
      <c r="C331" s="38" t="e">
        <f t="shared" si="667"/>
        <v>#REF!</v>
      </c>
      <c r="D331" s="39" t="e">
        <f t="shared" si="667"/>
        <v>#REF!</v>
      </c>
      <c r="E331" s="16" t="e">
        <f t="shared" si="1"/>
        <v>#REF!</v>
      </c>
      <c r="F331" s="16" t="e">
        <f t="shared" ref="F331:K331" si="668">VLOOKUP($A331,#REF!,F$1,0)</f>
        <v>#REF!</v>
      </c>
      <c r="G331" s="39" t="e">
        <f t="shared" si="668"/>
        <v>#REF!</v>
      </c>
      <c r="H331" s="16" t="e">
        <f t="shared" si="668"/>
        <v>#REF!</v>
      </c>
      <c r="I331" s="16" t="e">
        <f t="shared" si="668"/>
        <v>#REF!</v>
      </c>
      <c r="J331" s="40" t="e">
        <f t="shared" si="668"/>
        <v>#REF!</v>
      </c>
      <c r="K331" s="16" t="e">
        <f t="shared" si="668"/>
        <v>#REF!</v>
      </c>
      <c r="L331" s="40" t="e">
        <f t="shared" si="609"/>
        <v>#REF!</v>
      </c>
      <c r="M331" s="16" t="e">
        <f t="shared" si="610"/>
        <v>#REF!</v>
      </c>
      <c r="N331" s="16" t="e">
        <f t="shared" si="611"/>
        <v>#REF!</v>
      </c>
      <c r="O331" s="16" t="s">
        <v>65</v>
      </c>
      <c r="P331" s="16" t="str">
        <f t="shared" si="6"/>
        <v/>
      </c>
      <c r="Q331" s="41" t="e">
        <f t="shared" si="612"/>
        <v>#REF!</v>
      </c>
      <c r="R331" s="44"/>
      <c r="S331" s="44"/>
      <c r="T331" s="43"/>
      <c r="U331" s="43" t="str">
        <f t="shared" si="8"/>
        <v>No</v>
      </c>
      <c r="V331" s="25"/>
      <c r="W331" s="25"/>
      <c r="X331" s="25"/>
      <c r="Y331" s="25"/>
      <c r="Z331" s="25"/>
    </row>
    <row r="332" spans="1:26" ht="15.75" customHeight="1" x14ac:dyDescent="0.25">
      <c r="A332" s="25">
        <v>330</v>
      </c>
      <c r="B332" s="37" t="e">
        <f t="shared" ref="B332:D332" si="669">VLOOKUP($A332,#REF!,B$1,0)</f>
        <v>#REF!</v>
      </c>
      <c r="C332" s="38" t="e">
        <f t="shared" si="669"/>
        <v>#REF!</v>
      </c>
      <c r="D332" s="39" t="e">
        <f t="shared" si="669"/>
        <v>#REF!</v>
      </c>
      <c r="E332" s="16" t="e">
        <f t="shared" si="1"/>
        <v>#REF!</v>
      </c>
      <c r="F332" s="16" t="e">
        <f t="shared" ref="F332:K332" si="670">VLOOKUP($A332,#REF!,F$1,0)</f>
        <v>#REF!</v>
      </c>
      <c r="G332" s="39" t="e">
        <f t="shared" si="670"/>
        <v>#REF!</v>
      </c>
      <c r="H332" s="16" t="e">
        <f t="shared" si="670"/>
        <v>#REF!</v>
      </c>
      <c r="I332" s="16" t="e">
        <f t="shared" si="670"/>
        <v>#REF!</v>
      </c>
      <c r="J332" s="40" t="e">
        <f t="shared" si="670"/>
        <v>#REF!</v>
      </c>
      <c r="K332" s="16" t="e">
        <f t="shared" si="670"/>
        <v>#REF!</v>
      </c>
      <c r="L332" s="40" t="e">
        <f t="shared" si="609"/>
        <v>#REF!</v>
      </c>
      <c r="M332" s="16" t="e">
        <f t="shared" si="610"/>
        <v>#REF!</v>
      </c>
      <c r="N332" s="16" t="e">
        <f t="shared" si="611"/>
        <v>#REF!</v>
      </c>
      <c r="O332" s="16" t="s">
        <v>65</v>
      </c>
      <c r="P332" s="16" t="str">
        <f t="shared" si="6"/>
        <v/>
      </c>
      <c r="Q332" s="41" t="e">
        <f t="shared" si="612"/>
        <v>#REF!</v>
      </c>
      <c r="R332" s="44"/>
      <c r="S332" s="44"/>
      <c r="T332" s="43"/>
      <c r="U332" s="43" t="str">
        <f t="shared" si="8"/>
        <v>No</v>
      </c>
      <c r="V332" s="25"/>
      <c r="W332" s="25"/>
      <c r="X332" s="25"/>
      <c r="Y332" s="25"/>
      <c r="Z332" s="25"/>
    </row>
    <row r="333" spans="1:26" ht="15.75" customHeight="1" x14ac:dyDescent="0.25">
      <c r="A333" s="25">
        <v>331</v>
      </c>
      <c r="B333" s="37" t="e">
        <f t="shared" ref="B333:D333" si="671">VLOOKUP($A333,#REF!,B$1,0)</f>
        <v>#REF!</v>
      </c>
      <c r="C333" s="38" t="e">
        <f t="shared" si="671"/>
        <v>#REF!</v>
      </c>
      <c r="D333" s="39" t="e">
        <f t="shared" si="671"/>
        <v>#REF!</v>
      </c>
      <c r="E333" s="16" t="e">
        <f t="shared" si="1"/>
        <v>#REF!</v>
      </c>
      <c r="F333" s="16" t="e">
        <f t="shared" ref="F333:K333" si="672">VLOOKUP($A333,#REF!,F$1,0)</f>
        <v>#REF!</v>
      </c>
      <c r="G333" s="39" t="e">
        <f t="shared" si="672"/>
        <v>#REF!</v>
      </c>
      <c r="H333" s="16" t="e">
        <f t="shared" si="672"/>
        <v>#REF!</v>
      </c>
      <c r="I333" s="16" t="e">
        <f t="shared" si="672"/>
        <v>#REF!</v>
      </c>
      <c r="J333" s="40" t="e">
        <f t="shared" si="672"/>
        <v>#REF!</v>
      </c>
      <c r="K333" s="16" t="e">
        <f t="shared" si="672"/>
        <v>#REF!</v>
      </c>
      <c r="L333" s="40" t="e">
        <f t="shared" si="609"/>
        <v>#REF!</v>
      </c>
      <c r="M333" s="16" t="e">
        <f t="shared" si="610"/>
        <v>#REF!</v>
      </c>
      <c r="N333" s="16" t="e">
        <f t="shared" si="611"/>
        <v>#REF!</v>
      </c>
      <c r="O333" s="16" t="s">
        <v>65</v>
      </c>
      <c r="P333" s="16" t="str">
        <f t="shared" si="6"/>
        <v/>
      </c>
      <c r="Q333" s="41" t="e">
        <f t="shared" si="612"/>
        <v>#REF!</v>
      </c>
      <c r="R333" s="44"/>
      <c r="S333" s="44"/>
      <c r="T333" s="43"/>
      <c r="U333" s="43" t="str">
        <f t="shared" si="8"/>
        <v>No</v>
      </c>
      <c r="V333" s="25"/>
      <c r="W333" s="25"/>
      <c r="X333" s="25"/>
      <c r="Y333" s="25"/>
      <c r="Z333" s="25"/>
    </row>
    <row r="334" spans="1:26" ht="15.75" customHeight="1" x14ac:dyDescent="0.25">
      <c r="A334" s="25">
        <v>332</v>
      </c>
      <c r="B334" s="37" t="e">
        <f t="shared" ref="B334:D334" si="673">VLOOKUP($A334,#REF!,B$1,0)</f>
        <v>#REF!</v>
      </c>
      <c r="C334" s="38" t="e">
        <f t="shared" si="673"/>
        <v>#REF!</v>
      </c>
      <c r="D334" s="39" t="e">
        <f t="shared" si="673"/>
        <v>#REF!</v>
      </c>
      <c r="E334" s="16" t="e">
        <f t="shared" si="1"/>
        <v>#REF!</v>
      </c>
      <c r="F334" s="16" t="e">
        <f t="shared" ref="F334:K334" si="674">VLOOKUP($A334,#REF!,F$1,0)</f>
        <v>#REF!</v>
      </c>
      <c r="G334" s="39" t="e">
        <f t="shared" si="674"/>
        <v>#REF!</v>
      </c>
      <c r="H334" s="16" t="e">
        <f t="shared" si="674"/>
        <v>#REF!</v>
      </c>
      <c r="I334" s="16" t="e">
        <f t="shared" si="674"/>
        <v>#REF!</v>
      </c>
      <c r="J334" s="40" t="e">
        <f t="shared" si="674"/>
        <v>#REF!</v>
      </c>
      <c r="K334" s="16" t="e">
        <f t="shared" si="674"/>
        <v>#REF!</v>
      </c>
      <c r="L334" s="40" t="e">
        <f t="shared" si="609"/>
        <v>#REF!</v>
      </c>
      <c r="M334" s="16" t="e">
        <f t="shared" si="610"/>
        <v>#REF!</v>
      </c>
      <c r="N334" s="16" t="e">
        <f t="shared" si="611"/>
        <v>#REF!</v>
      </c>
      <c r="O334" s="16" t="s">
        <v>65</v>
      </c>
      <c r="P334" s="16" t="str">
        <f t="shared" si="6"/>
        <v/>
      </c>
      <c r="Q334" s="41" t="e">
        <f t="shared" si="612"/>
        <v>#REF!</v>
      </c>
      <c r="R334" s="44"/>
      <c r="S334" s="44"/>
      <c r="T334" s="43"/>
      <c r="U334" s="43" t="str">
        <f t="shared" si="8"/>
        <v>No</v>
      </c>
      <c r="V334" s="25"/>
      <c r="W334" s="25"/>
      <c r="X334" s="25"/>
      <c r="Y334" s="25"/>
      <c r="Z334" s="25"/>
    </row>
    <row r="335" spans="1:26" ht="15.75" customHeight="1" x14ac:dyDescent="0.25">
      <c r="A335" s="25">
        <v>333</v>
      </c>
      <c r="B335" s="37" t="e">
        <f t="shared" ref="B335:D335" si="675">VLOOKUP($A335,#REF!,B$1,0)</f>
        <v>#REF!</v>
      </c>
      <c r="C335" s="38" t="e">
        <f t="shared" si="675"/>
        <v>#REF!</v>
      </c>
      <c r="D335" s="39" t="e">
        <f t="shared" si="675"/>
        <v>#REF!</v>
      </c>
      <c r="E335" s="16" t="e">
        <f t="shared" si="1"/>
        <v>#REF!</v>
      </c>
      <c r="F335" s="16" t="e">
        <f t="shared" ref="F335:K335" si="676">VLOOKUP($A335,#REF!,F$1,0)</f>
        <v>#REF!</v>
      </c>
      <c r="G335" s="39" t="e">
        <f t="shared" si="676"/>
        <v>#REF!</v>
      </c>
      <c r="H335" s="16" t="e">
        <f t="shared" si="676"/>
        <v>#REF!</v>
      </c>
      <c r="I335" s="16" t="e">
        <f t="shared" si="676"/>
        <v>#REF!</v>
      </c>
      <c r="J335" s="40" t="e">
        <f t="shared" si="676"/>
        <v>#REF!</v>
      </c>
      <c r="K335" s="16" t="e">
        <f t="shared" si="676"/>
        <v>#REF!</v>
      </c>
      <c r="L335" s="40" t="e">
        <f t="shared" si="609"/>
        <v>#REF!</v>
      </c>
      <c r="M335" s="16" t="e">
        <f t="shared" si="610"/>
        <v>#REF!</v>
      </c>
      <c r="N335" s="16" t="e">
        <f t="shared" si="611"/>
        <v>#REF!</v>
      </c>
      <c r="O335" s="16" t="s">
        <v>65</v>
      </c>
      <c r="P335" s="16" t="str">
        <f t="shared" si="6"/>
        <v/>
      </c>
      <c r="Q335" s="41" t="e">
        <f t="shared" si="612"/>
        <v>#REF!</v>
      </c>
      <c r="R335" s="44"/>
      <c r="S335" s="44"/>
      <c r="T335" s="43"/>
      <c r="U335" s="43" t="str">
        <f t="shared" si="8"/>
        <v>No</v>
      </c>
      <c r="V335" s="25"/>
      <c r="W335" s="25"/>
      <c r="X335" s="25"/>
      <c r="Y335" s="25"/>
      <c r="Z335" s="25"/>
    </row>
    <row r="336" spans="1:26" ht="15.75" customHeight="1" x14ac:dyDescent="0.25">
      <c r="A336" s="25">
        <v>334</v>
      </c>
      <c r="B336" s="37" t="e">
        <f t="shared" ref="B336:D336" si="677">VLOOKUP($A336,#REF!,B$1,0)</f>
        <v>#REF!</v>
      </c>
      <c r="C336" s="38" t="e">
        <f t="shared" si="677"/>
        <v>#REF!</v>
      </c>
      <c r="D336" s="39" t="e">
        <f t="shared" si="677"/>
        <v>#REF!</v>
      </c>
      <c r="E336" s="16" t="e">
        <f t="shared" si="1"/>
        <v>#REF!</v>
      </c>
      <c r="F336" s="16" t="e">
        <f t="shared" ref="F336:K336" si="678">VLOOKUP($A336,#REF!,F$1,0)</f>
        <v>#REF!</v>
      </c>
      <c r="G336" s="39" t="e">
        <f t="shared" si="678"/>
        <v>#REF!</v>
      </c>
      <c r="H336" s="16" t="e">
        <f t="shared" si="678"/>
        <v>#REF!</v>
      </c>
      <c r="I336" s="16" t="e">
        <f t="shared" si="678"/>
        <v>#REF!</v>
      </c>
      <c r="J336" s="40" t="e">
        <f t="shared" si="678"/>
        <v>#REF!</v>
      </c>
      <c r="K336" s="16" t="e">
        <f t="shared" si="678"/>
        <v>#REF!</v>
      </c>
      <c r="L336" s="40" t="e">
        <f t="shared" si="609"/>
        <v>#REF!</v>
      </c>
      <c r="M336" s="16" t="e">
        <f t="shared" si="610"/>
        <v>#REF!</v>
      </c>
      <c r="N336" s="16" t="e">
        <f t="shared" si="611"/>
        <v>#REF!</v>
      </c>
      <c r="O336" s="16" t="s">
        <v>65</v>
      </c>
      <c r="P336" s="16" t="str">
        <f t="shared" si="6"/>
        <v/>
      </c>
      <c r="Q336" s="41" t="e">
        <f t="shared" si="612"/>
        <v>#REF!</v>
      </c>
      <c r="R336" s="44"/>
      <c r="S336" s="44"/>
      <c r="T336" s="43"/>
      <c r="U336" s="43" t="str">
        <f t="shared" si="8"/>
        <v>No</v>
      </c>
      <c r="V336" s="25"/>
      <c r="W336" s="25"/>
      <c r="X336" s="25"/>
      <c r="Y336" s="25"/>
      <c r="Z336" s="25"/>
    </row>
    <row r="337" spans="1:26" ht="15.75" customHeight="1" x14ac:dyDescent="0.25">
      <c r="A337" s="25">
        <v>335</v>
      </c>
      <c r="B337" s="37" t="e">
        <f t="shared" ref="B337:D337" si="679">VLOOKUP($A337,#REF!,B$1,0)</f>
        <v>#REF!</v>
      </c>
      <c r="C337" s="38" t="e">
        <f t="shared" si="679"/>
        <v>#REF!</v>
      </c>
      <c r="D337" s="39" t="e">
        <f t="shared" si="679"/>
        <v>#REF!</v>
      </c>
      <c r="E337" s="16" t="e">
        <f t="shared" si="1"/>
        <v>#REF!</v>
      </c>
      <c r="F337" s="16" t="e">
        <f t="shared" ref="F337:K337" si="680">VLOOKUP($A337,#REF!,F$1,0)</f>
        <v>#REF!</v>
      </c>
      <c r="G337" s="39" t="e">
        <f t="shared" si="680"/>
        <v>#REF!</v>
      </c>
      <c r="H337" s="16" t="e">
        <f t="shared" si="680"/>
        <v>#REF!</v>
      </c>
      <c r="I337" s="16" t="e">
        <f t="shared" si="680"/>
        <v>#REF!</v>
      </c>
      <c r="J337" s="40" t="e">
        <f t="shared" si="680"/>
        <v>#REF!</v>
      </c>
      <c r="K337" s="16" t="e">
        <f t="shared" si="680"/>
        <v>#REF!</v>
      </c>
      <c r="L337" s="40" t="e">
        <f t="shared" si="609"/>
        <v>#REF!</v>
      </c>
      <c r="M337" s="16" t="e">
        <f t="shared" si="610"/>
        <v>#REF!</v>
      </c>
      <c r="N337" s="16" t="e">
        <f t="shared" si="611"/>
        <v>#REF!</v>
      </c>
      <c r="O337" s="16" t="s">
        <v>65</v>
      </c>
      <c r="P337" s="16" t="str">
        <f t="shared" si="6"/>
        <v/>
      </c>
      <c r="Q337" s="41" t="e">
        <f t="shared" si="612"/>
        <v>#REF!</v>
      </c>
      <c r="R337" s="44"/>
      <c r="S337" s="44"/>
      <c r="T337" s="43"/>
      <c r="U337" s="43" t="str">
        <f t="shared" si="8"/>
        <v>No</v>
      </c>
      <c r="V337" s="25"/>
      <c r="W337" s="25"/>
      <c r="X337" s="25"/>
      <c r="Y337" s="25"/>
      <c r="Z337" s="25"/>
    </row>
    <row r="338" spans="1:26" ht="15.75" customHeight="1" x14ac:dyDescent="0.25">
      <c r="A338" s="25">
        <v>336</v>
      </c>
      <c r="B338" s="37" t="e">
        <f t="shared" ref="B338:D338" si="681">VLOOKUP($A338,#REF!,B$1,0)</f>
        <v>#REF!</v>
      </c>
      <c r="C338" s="38" t="e">
        <f t="shared" si="681"/>
        <v>#REF!</v>
      </c>
      <c r="D338" s="39" t="e">
        <f t="shared" si="681"/>
        <v>#REF!</v>
      </c>
      <c r="E338" s="16" t="e">
        <f t="shared" si="1"/>
        <v>#REF!</v>
      </c>
      <c r="F338" s="16" t="e">
        <f t="shared" ref="F338:K338" si="682">VLOOKUP($A338,#REF!,F$1,0)</f>
        <v>#REF!</v>
      </c>
      <c r="G338" s="39" t="e">
        <f t="shared" si="682"/>
        <v>#REF!</v>
      </c>
      <c r="H338" s="16" t="e">
        <f t="shared" si="682"/>
        <v>#REF!</v>
      </c>
      <c r="I338" s="16" t="e">
        <f t="shared" si="682"/>
        <v>#REF!</v>
      </c>
      <c r="J338" s="40" t="e">
        <f t="shared" si="682"/>
        <v>#REF!</v>
      </c>
      <c r="K338" s="16" t="e">
        <f t="shared" si="682"/>
        <v>#REF!</v>
      </c>
      <c r="L338" s="40" t="e">
        <f t="shared" si="609"/>
        <v>#REF!</v>
      </c>
      <c r="M338" s="16" t="e">
        <f t="shared" si="610"/>
        <v>#REF!</v>
      </c>
      <c r="N338" s="16" t="e">
        <f t="shared" si="611"/>
        <v>#REF!</v>
      </c>
      <c r="O338" s="16" t="s">
        <v>65</v>
      </c>
      <c r="P338" s="16" t="str">
        <f t="shared" si="6"/>
        <v/>
      </c>
      <c r="Q338" s="41" t="e">
        <f t="shared" si="612"/>
        <v>#REF!</v>
      </c>
      <c r="R338" s="44"/>
      <c r="S338" s="44"/>
      <c r="T338" s="43"/>
      <c r="U338" s="43" t="str">
        <f t="shared" si="8"/>
        <v>No</v>
      </c>
      <c r="V338" s="25"/>
      <c r="W338" s="25"/>
      <c r="X338" s="25"/>
      <c r="Y338" s="25"/>
      <c r="Z338" s="25"/>
    </row>
    <row r="339" spans="1:26" ht="15.75" customHeight="1" x14ac:dyDescent="0.25">
      <c r="A339" s="25">
        <v>337</v>
      </c>
      <c r="B339" s="37" t="e">
        <f t="shared" ref="B339:D339" si="683">VLOOKUP($A339,#REF!,B$1,0)</f>
        <v>#REF!</v>
      </c>
      <c r="C339" s="38" t="e">
        <f t="shared" si="683"/>
        <v>#REF!</v>
      </c>
      <c r="D339" s="39" t="e">
        <f t="shared" si="683"/>
        <v>#REF!</v>
      </c>
      <c r="E339" s="16" t="e">
        <f t="shared" si="1"/>
        <v>#REF!</v>
      </c>
      <c r="F339" s="16" t="e">
        <f t="shared" ref="F339:K339" si="684">VLOOKUP($A339,#REF!,F$1,0)</f>
        <v>#REF!</v>
      </c>
      <c r="G339" s="39" t="e">
        <f t="shared" si="684"/>
        <v>#REF!</v>
      </c>
      <c r="H339" s="16" t="e">
        <f t="shared" si="684"/>
        <v>#REF!</v>
      </c>
      <c r="I339" s="16" t="e">
        <f t="shared" si="684"/>
        <v>#REF!</v>
      </c>
      <c r="J339" s="40" t="e">
        <f t="shared" si="684"/>
        <v>#REF!</v>
      </c>
      <c r="K339" s="16" t="e">
        <f t="shared" si="684"/>
        <v>#REF!</v>
      </c>
      <c r="L339" s="40" t="e">
        <f t="shared" si="609"/>
        <v>#REF!</v>
      </c>
      <c r="M339" s="16" t="e">
        <f t="shared" si="610"/>
        <v>#REF!</v>
      </c>
      <c r="N339" s="16" t="e">
        <f t="shared" si="611"/>
        <v>#REF!</v>
      </c>
      <c r="O339" s="16" t="s">
        <v>65</v>
      </c>
      <c r="P339" s="16" t="str">
        <f t="shared" si="6"/>
        <v/>
      </c>
      <c r="Q339" s="41" t="e">
        <f t="shared" si="612"/>
        <v>#REF!</v>
      </c>
      <c r="R339" s="44"/>
      <c r="S339" s="44"/>
      <c r="T339" s="43"/>
      <c r="U339" s="43" t="str">
        <f t="shared" si="8"/>
        <v>No</v>
      </c>
      <c r="V339" s="25"/>
      <c r="W339" s="25"/>
      <c r="X339" s="25"/>
      <c r="Y339" s="25"/>
      <c r="Z339" s="25"/>
    </row>
    <row r="340" spans="1:26" ht="15.75" customHeight="1" x14ac:dyDescent="0.25">
      <c r="A340" s="25">
        <v>338</v>
      </c>
      <c r="B340" s="37" t="e">
        <f t="shared" ref="B340:D340" si="685">VLOOKUP($A340,#REF!,B$1,0)</f>
        <v>#REF!</v>
      </c>
      <c r="C340" s="38" t="e">
        <f t="shared" si="685"/>
        <v>#REF!</v>
      </c>
      <c r="D340" s="39" t="e">
        <f t="shared" si="685"/>
        <v>#REF!</v>
      </c>
      <c r="E340" s="16" t="e">
        <f t="shared" si="1"/>
        <v>#REF!</v>
      </c>
      <c r="F340" s="16" t="e">
        <f t="shared" ref="F340:K340" si="686">VLOOKUP($A340,#REF!,F$1,0)</f>
        <v>#REF!</v>
      </c>
      <c r="G340" s="39" t="e">
        <f t="shared" si="686"/>
        <v>#REF!</v>
      </c>
      <c r="H340" s="16" t="e">
        <f t="shared" si="686"/>
        <v>#REF!</v>
      </c>
      <c r="I340" s="16" t="e">
        <f t="shared" si="686"/>
        <v>#REF!</v>
      </c>
      <c r="J340" s="40" t="e">
        <f t="shared" si="686"/>
        <v>#REF!</v>
      </c>
      <c r="K340" s="16" t="e">
        <f t="shared" si="686"/>
        <v>#REF!</v>
      </c>
      <c r="L340" s="40" t="e">
        <f t="shared" si="609"/>
        <v>#REF!</v>
      </c>
      <c r="M340" s="16" t="e">
        <f t="shared" si="610"/>
        <v>#REF!</v>
      </c>
      <c r="N340" s="16" t="e">
        <f t="shared" si="611"/>
        <v>#REF!</v>
      </c>
      <c r="O340" s="16" t="s">
        <v>65</v>
      </c>
      <c r="P340" s="16" t="str">
        <f t="shared" si="6"/>
        <v/>
      </c>
      <c r="Q340" s="41" t="e">
        <f t="shared" si="612"/>
        <v>#REF!</v>
      </c>
      <c r="R340" s="44"/>
      <c r="S340" s="44"/>
      <c r="T340" s="43"/>
      <c r="U340" s="43" t="str">
        <f t="shared" si="8"/>
        <v>No</v>
      </c>
      <c r="V340" s="25"/>
      <c r="W340" s="25"/>
      <c r="X340" s="25"/>
      <c r="Y340" s="25"/>
      <c r="Z340" s="25"/>
    </row>
    <row r="341" spans="1:26" ht="15.75" customHeight="1" x14ac:dyDescent="0.25">
      <c r="A341" s="25">
        <v>339</v>
      </c>
      <c r="B341" s="37" t="e">
        <f t="shared" ref="B341:D341" si="687">VLOOKUP($A341,#REF!,B$1,0)</f>
        <v>#REF!</v>
      </c>
      <c r="C341" s="38" t="e">
        <f t="shared" si="687"/>
        <v>#REF!</v>
      </c>
      <c r="D341" s="39" t="e">
        <f t="shared" si="687"/>
        <v>#REF!</v>
      </c>
      <c r="E341" s="16" t="e">
        <f t="shared" si="1"/>
        <v>#REF!</v>
      </c>
      <c r="F341" s="16" t="e">
        <f t="shared" ref="F341:K341" si="688">VLOOKUP($A341,#REF!,F$1,0)</f>
        <v>#REF!</v>
      </c>
      <c r="G341" s="39" t="e">
        <f t="shared" si="688"/>
        <v>#REF!</v>
      </c>
      <c r="H341" s="16" t="e">
        <f t="shared" si="688"/>
        <v>#REF!</v>
      </c>
      <c r="I341" s="16" t="e">
        <f t="shared" si="688"/>
        <v>#REF!</v>
      </c>
      <c r="J341" s="40" t="e">
        <f t="shared" si="688"/>
        <v>#REF!</v>
      </c>
      <c r="K341" s="16" t="e">
        <f t="shared" si="688"/>
        <v>#REF!</v>
      </c>
      <c r="L341" s="40" t="e">
        <f t="shared" si="609"/>
        <v>#REF!</v>
      </c>
      <c r="M341" s="16" t="e">
        <f t="shared" si="610"/>
        <v>#REF!</v>
      </c>
      <c r="N341" s="16" t="e">
        <f t="shared" si="611"/>
        <v>#REF!</v>
      </c>
      <c r="O341" s="16" t="s">
        <v>65</v>
      </c>
      <c r="P341" s="16" t="str">
        <f t="shared" si="6"/>
        <v/>
      </c>
      <c r="Q341" s="41" t="e">
        <f t="shared" si="612"/>
        <v>#REF!</v>
      </c>
      <c r="R341" s="44"/>
      <c r="S341" s="44"/>
      <c r="T341" s="43"/>
      <c r="U341" s="43" t="str">
        <f t="shared" si="8"/>
        <v>No</v>
      </c>
      <c r="V341" s="25"/>
      <c r="W341" s="25"/>
      <c r="X341" s="25"/>
      <c r="Y341" s="25"/>
      <c r="Z341" s="25"/>
    </row>
    <row r="342" spans="1:26" ht="15.75" customHeight="1" x14ac:dyDescent="0.25">
      <c r="A342" s="25">
        <v>340</v>
      </c>
      <c r="B342" s="37" t="e">
        <f t="shared" ref="B342:D342" si="689">VLOOKUP($A342,#REF!,B$1,0)</f>
        <v>#REF!</v>
      </c>
      <c r="C342" s="38" t="e">
        <f t="shared" si="689"/>
        <v>#REF!</v>
      </c>
      <c r="D342" s="39" t="e">
        <f t="shared" si="689"/>
        <v>#REF!</v>
      </c>
      <c r="E342" s="16" t="e">
        <f t="shared" si="1"/>
        <v>#REF!</v>
      </c>
      <c r="F342" s="16" t="e">
        <f t="shared" ref="F342:K342" si="690">VLOOKUP($A342,#REF!,F$1,0)</f>
        <v>#REF!</v>
      </c>
      <c r="G342" s="39" t="e">
        <f t="shared" si="690"/>
        <v>#REF!</v>
      </c>
      <c r="H342" s="16" t="e">
        <f t="shared" si="690"/>
        <v>#REF!</v>
      </c>
      <c r="I342" s="16" t="e">
        <f t="shared" si="690"/>
        <v>#REF!</v>
      </c>
      <c r="J342" s="40" t="e">
        <f t="shared" si="690"/>
        <v>#REF!</v>
      </c>
      <c r="K342" s="16" t="e">
        <f t="shared" si="690"/>
        <v>#REF!</v>
      </c>
      <c r="L342" s="40" t="e">
        <f t="shared" si="609"/>
        <v>#REF!</v>
      </c>
      <c r="M342" s="16" t="e">
        <f t="shared" si="610"/>
        <v>#REF!</v>
      </c>
      <c r="N342" s="16" t="e">
        <f t="shared" si="611"/>
        <v>#REF!</v>
      </c>
      <c r="O342" s="16" t="s">
        <v>65</v>
      </c>
      <c r="P342" s="16" t="str">
        <f t="shared" si="6"/>
        <v/>
      </c>
      <c r="Q342" s="41" t="e">
        <f t="shared" si="612"/>
        <v>#REF!</v>
      </c>
      <c r="R342" s="44"/>
      <c r="S342" s="44"/>
      <c r="T342" s="43"/>
      <c r="U342" s="43" t="str">
        <f t="shared" si="8"/>
        <v>No</v>
      </c>
      <c r="V342" s="25"/>
      <c r="W342" s="25"/>
      <c r="X342" s="25"/>
      <c r="Y342" s="25"/>
      <c r="Z342" s="25"/>
    </row>
    <row r="343" spans="1:26" ht="15.75" customHeight="1" x14ac:dyDescent="0.25">
      <c r="A343" s="25">
        <v>341</v>
      </c>
      <c r="B343" s="37" t="e">
        <f t="shared" ref="B343:D343" si="691">VLOOKUP($A343,#REF!,B$1,0)</f>
        <v>#REF!</v>
      </c>
      <c r="C343" s="38" t="e">
        <f t="shared" si="691"/>
        <v>#REF!</v>
      </c>
      <c r="D343" s="39" t="e">
        <f t="shared" si="691"/>
        <v>#REF!</v>
      </c>
      <c r="E343" s="16" t="e">
        <f t="shared" si="1"/>
        <v>#REF!</v>
      </c>
      <c r="F343" s="16" t="e">
        <f t="shared" ref="F343:K343" si="692">VLOOKUP($A343,#REF!,F$1,0)</f>
        <v>#REF!</v>
      </c>
      <c r="G343" s="39" t="e">
        <f t="shared" si="692"/>
        <v>#REF!</v>
      </c>
      <c r="H343" s="16" t="e">
        <f t="shared" si="692"/>
        <v>#REF!</v>
      </c>
      <c r="I343" s="16" t="e">
        <f t="shared" si="692"/>
        <v>#REF!</v>
      </c>
      <c r="J343" s="40" t="e">
        <f t="shared" si="692"/>
        <v>#REF!</v>
      </c>
      <c r="K343" s="16" t="e">
        <f t="shared" si="692"/>
        <v>#REF!</v>
      </c>
      <c r="L343" s="40" t="e">
        <f t="shared" si="609"/>
        <v>#REF!</v>
      </c>
      <c r="M343" s="16" t="e">
        <f t="shared" si="610"/>
        <v>#REF!</v>
      </c>
      <c r="N343" s="16" t="e">
        <f t="shared" si="611"/>
        <v>#REF!</v>
      </c>
      <c r="O343" s="16" t="s">
        <v>65</v>
      </c>
      <c r="P343" s="16" t="str">
        <f t="shared" si="6"/>
        <v/>
      </c>
      <c r="Q343" s="41" t="e">
        <f t="shared" si="612"/>
        <v>#REF!</v>
      </c>
      <c r="R343" s="44"/>
      <c r="S343" s="44"/>
      <c r="T343" s="43"/>
      <c r="U343" s="43" t="str">
        <f t="shared" si="8"/>
        <v>No</v>
      </c>
      <c r="V343" s="25"/>
      <c r="W343" s="25"/>
      <c r="X343" s="25"/>
      <c r="Y343" s="25"/>
      <c r="Z343" s="25"/>
    </row>
    <row r="344" spans="1:26" ht="15.75" customHeight="1" x14ac:dyDescent="0.25">
      <c r="A344" s="25">
        <v>342</v>
      </c>
      <c r="B344" s="37" t="e">
        <f t="shared" ref="B344:D344" si="693">VLOOKUP($A344,#REF!,B$1,0)</f>
        <v>#REF!</v>
      </c>
      <c r="C344" s="38" t="e">
        <f t="shared" si="693"/>
        <v>#REF!</v>
      </c>
      <c r="D344" s="39" t="e">
        <f t="shared" si="693"/>
        <v>#REF!</v>
      </c>
      <c r="E344" s="16" t="e">
        <f t="shared" si="1"/>
        <v>#REF!</v>
      </c>
      <c r="F344" s="16" t="e">
        <f t="shared" ref="F344:K344" si="694">VLOOKUP($A344,#REF!,F$1,0)</f>
        <v>#REF!</v>
      </c>
      <c r="G344" s="39" t="e">
        <f t="shared" si="694"/>
        <v>#REF!</v>
      </c>
      <c r="H344" s="16" t="e">
        <f t="shared" si="694"/>
        <v>#REF!</v>
      </c>
      <c r="I344" s="16" t="e">
        <f t="shared" si="694"/>
        <v>#REF!</v>
      </c>
      <c r="J344" s="40" t="e">
        <f t="shared" si="694"/>
        <v>#REF!</v>
      </c>
      <c r="K344" s="16" t="e">
        <f t="shared" si="694"/>
        <v>#REF!</v>
      </c>
      <c r="L344" s="40" t="e">
        <f t="shared" si="609"/>
        <v>#REF!</v>
      </c>
      <c r="M344" s="16" t="e">
        <f t="shared" si="610"/>
        <v>#REF!</v>
      </c>
      <c r="N344" s="16" t="e">
        <f t="shared" si="611"/>
        <v>#REF!</v>
      </c>
      <c r="O344" s="16" t="s">
        <v>65</v>
      </c>
      <c r="P344" s="16" t="str">
        <f t="shared" si="6"/>
        <v/>
      </c>
      <c r="Q344" s="41" t="e">
        <f t="shared" si="612"/>
        <v>#REF!</v>
      </c>
      <c r="R344" s="44"/>
      <c r="S344" s="44"/>
      <c r="T344" s="43"/>
      <c r="U344" s="43" t="str">
        <f t="shared" si="8"/>
        <v>No</v>
      </c>
      <c r="V344" s="25"/>
      <c r="W344" s="25"/>
      <c r="X344" s="25"/>
      <c r="Y344" s="25"/>
      <c r="Z344" s="25"/>
    </row>
    <row r="345" spans="1:26" ht="15.75" customHeight="1" x14ac:dyDescent="0.25">
      <c r="A345" s="25">
        <v>343</v>
      </c>
      <c r="B345" s="37" t="e">
        <f t="shared" ref="B345:D345" si="695">VLOOKUP($A345,#REF!,B$1,0)</f>
        <v>#REF!</v>
      </c>
      <c r="C345" s="38" t="e">
        <f t="shared" si="695"/>
        <v>#REF!</v>
      </c>
      <c r="D345" s="39" t="e">
        <f t="shared" si="695"/>
        <v>#REF!</v>
      </c>
      <c r="E345" s="16" t="e">
        <f t="shared" si="1"/>
        <v>#REF!</v>
      </c>
      <c r="F345" s="16" t="e">
        <f t="shared" ref="F345:K345" si="696">VLOOKUP($A345,#REF!,F$1,0)</f>
        <v>#REF!</v>
      </c>
      <c r="G345" s="39" t="e">
        <f t="shared" si="696"/>
        <v>#REF!</v>
      </c>
      <c r="H345" s="16" t="e">
        <f t="shared" si="696"/>
        <v>#REF!</v>
      </c>
      <c r="I345" s="16" t="e">
        <f t="shared" si="696"/>
        <v>#REF!</v>
      </c>
      <c r="J345" s="40" t="e">
        <f t="shared" si="696"/>
        <v>#REF!</v>
      </c>
      <c r="K345" s="16" t="e">
        <f t="shared" si="696"/>
        <v>#REF!</v>
      </c>
      <c r="L345" s="40" t="e">
        <f t="shared" si="609"/>
        <v>#REF!</v>
      </c>
      <c r="M345" s="16" t="e">
        <f t="shared" si="610"/>
        <v>#REF!</v>
      </c>
      <c r="N345" s="16" t="e">
        <f t="shared" si="611"/>
        <v>#REF!</v>
      </c>
      <c r="O345" s="16" t="s">
        <v>65</v>
      </c>
      <c r="P345" s="16" t="str">
        <f t="shared" si="6"/>
        <v/>
      </c>
      <c r="Q345" s="41" t="e">
        <f t="shared" si="612"/>
        <v>#REF!</v>
      </c>
      <c r="R345" s="44"/>
      <c r="S345" s="44"/>
      <c r="T345" s="43"/>
      <c r="U345" s="43" t="str">
        <f t="shared" si="8"/>
        <v>No</v>
      </c>
      <c r="V345" s="25"/>
      <c r="W345" s="25"/>
      <c r="X345" s="25"/>
      <c r="Y345" s="25"/>
      <c r="Z345" s="25"/>
    </row>
    <row r="346" spans="1:26" ht="15.75" customHeight="1" x14ac:dyDescent="0.25">
      <c r="A346" s="25">
        <v>344</v>
      </c>
      <c r="B346" s="37" t="e">
        <f t="shared" ref="B346:D346" si="697">VLOOKUP($A346,#REF!,B$1,0)</f>
        <v>#REF!</v>
      </c>
      <c r="C346" s="38" t="e">
        <f t="shared" si="697"/>
        <v>#REF!</v>
      </c>
      <c r="D346" s="39" t="e">
        <f t="shared" si="697"/>
        <v>#REF!</v>
      </c>
      <c r="E346" s="16" t="e">
        <f t="shared" si="1"/>
        <v>#REF!</v>
      </c>
      <c r="F346" s="16" t="e">
        <f t="shared" ref="F346:K346" si="698">VLOOKUP($A346,#REF!,F$1,0)</f>
        <v>#REF!</v>
      </c>
      <c r="G346" s="39" t="e">
        <f t="shared" si="698"/>
        <v>#REF!</v>
      </c>
      <c r="H346" s="16" t="e">
        <f t="shared" si="698"/>
        <v>#REF!</v>
      </c>
      <c r="I346" s="16" t="e">
        <f t="shared" si="698"/>
        <v>#REF!</v>
      </c>
      <c r="J346" s="40" t="e">
        <f t="shared" si="698"/>
        <v>#REF!</v>
      </c>
      <c r="K346" s="16" t="e">
        <f t="shared" si="698"/>
        <v>#REF!</v>
      </c>
      <c r="L346" s="40" t="e">
        <f t="shared" si="609"/>
        <v>#REF!</v>
      </c>
      <c r="M346" s="16" t="e">
        <f t="shared" si="610"/>
        <v>#REF!</v>
      </c>
      <c r="N346" s="16" t="e">
        <f t="shared" si="611"/>
        <v>#REF!</v>
      </c>
      <c r="O346" s="16" t="s">
        <v>65</v>
      </c>
      <c r="P346" s="16" t="str">
        <f t="shared" si="6"/>
        <v/>
      </c>
      <c r="Q346" s="41" t="e">
        <f t="shared" si="612"/>
        <v>#REF!</v>
      </c>
      <c r="R346" s="44"/>
      <c r="S346" s="44"/>
      <c r="T346" s="43"/>
      <c r="U346" s="43" t="str">
        <f t="shared" si="8"/>
        <v>No</v>
      </c>
      <c r="V346" s="25"/>
      <c r="W346" s="25"/>
      <c r="X346" s="25"/>
      <c r="Y346" s="25"/>
      <c r="Z346" s="25"/>
    </row>
    <row r="347" spans="1:26" ht="15.75" customHeight="1" x14ac:dyDescent="0.25">
      <c r="A347" s="25">
        <v>345</v>
      </c>
      <c r="B347" s="37" t="e">
        <f t="shared" ref="B347:D347" si="699">VLOOKUP($A347,#REF!,B$1,0)</f>
        <v>#REF!</v>
      </c>
      <c r="C347" s="38" t="e">
        <f t="shared" si="699"/>
        <v>#REF!</v>
      </c>
      <c r="D347" s="39" t="e">
        <f t="shared" si="699"/>
        <v>#REF!</v>
      </c>
      <c r="E347" s="16" t="e">
        <f t="shared" si="1"/>
        <v>#REF!</v>
      </c>
      <c r="F347" s="16" t="e">
        <f t="shared" ref="F347:K347" si="700">VLOOKUP($A347,#REF!,F$1,0)</f>
        <v>#REF!</v>
      </c>
      <c r="G347" s="39" t="e">
        <f t="shared" si="700"/>
        <v>#REF!</v>
      </c>
      <c r="H347" s="16" t="e">
        <f t="shared" si="700"/>
        <v>#REF!</v>
      </c>
      <c r="I347" s="16" t="e">
        <f t="shared" si="700"/>
        <v>#REF!</v>
      </c>
      <c r="J347" s="40" t="e">
        <f t="shared" si="700"/>
        <v>#REF!</v>
      </c>
      <c r="K347" s="16" t="e">
        <f t="shared" si="700"/>
        <v>#REF!</v>
      </c>
      <c r="L347" s="40" t="e">
        <f t="shared" si="609"/>
        <v>#REF!</v>
      </c>
      <c r="M347" s="16" t="e">
        <f t="shared" si="610"/>
        <v>#REF!</v>
      </c>
      <c r="N347" s="16" t="e">
        <f t="shared" si="611"/>
        <v>#REF!</v>
      </c>
      <c r="O347" s="16" t="s">
        <v>65</v>
      </c>
      <c r="P347" s="16" t="str">
        <f t="shared" si="6"/>
        <v/>
      </c>
      <c r="Q347" s="41" t="e">
        <f t="shared" si="612"/>
        <v>#REF!</v>
      </c>
      <c r="R347" s="44"/>
      <c r="S347" s="44"/>
      <c r="T347" s="43"/>
      <c r="U347" s="43" t="str">
        <f t="shared" si="8"/>
        <v>No</v>
      </c>
      <c r="V347" s="25"/>
      <c r="W347" s="25"/>
      <c r="X347" s="25"/>
      <c r="Y347" s="25"/>
      <c r="Z347" s="25"/>
    </row>
    <row r="348" spans="1:26" ht="15.75" customHeight="1" x14ac:dyDescent="0.25">
      <c r="A348" s="25">
        <v>346</v>
      </c>
      <c r="B348" s="37" t="e">
        <f t="shared" ref="B348:D348" si="701">VLOOKUP($A348,#REF!,B$1,0)</f>
        <v>#REF!</v>
      </c>
      <c r="C348" s="38" t="e">
        <f t="shared" si="701"/>
        <v>#REF!</v>
      </c>
      <c r="D348" s="39" t="e">
        <f t="shared" si="701"/>
        <v>#REF!</v>
      </c>
      <c r="E348" s="16" t="e">
        <f t="shared" si="1"/>
        <v>#REF!</v>
      </c>
      <c r="F348" s="16" t="e">
        <f t="shared" ref="F348:K348" si="702">VLOOKUP($A348,#REF!,F$1,0)</f>
        <v>#REF!</v>
      </c>
      <c r="G348" s="39" t="e">
        <f t="shared" si="702"/>
        <v>#REF!</v>
      </c>
      <c r="H348" s="16" t="e">
        <f t="shared" si="702"/>
        <v>#REF!</v>
      </c>
      <c r="I348" s="16" t="e">
        <f t="shared" si="702"/>
        <v>#REF!</v>
      </c>
      <c r="J348" s="40" t="e">
        <f t="shared" si="702"/>
        <v>#REF!</v>
      </c>
      <c r="K348" s="16" t="e">
        <f t="shared" si="702"/>
        <v>#REF!</v>
      </c>
      <c r="L348" s="40" t="e">
        <f t="shared" si="609"/>
        <v>#REF!</v>
      </c>
      <c r="M348" s="16" t="e">
        <f t="shared" si="610"/>
        <v>#REF!</v>
      </c>
      <c r="N348" s="16" t="e">
        <f t="shared" si="611"/>
        <v>#REF!</v>
      </c>
      <c r="O348" s="16" t="s">
        <v>65</v>
      </c>
      <c r="P348" s="16" t="str">
        <f t="shared" si="6"/>
        <v/>
      </c>
      <c r="Q348" s="41" t="e">
        <f t="shared" si="612"/>
        <v>#REF!</v>
      </c>
      <c r="R348" s="44"/>
      <c r="S348" s="44"/>
      <c r="T348" s="43"/>
      <c r="U348" s="43" t="str">
        <f t="shared" si="8"/>
        <v>No</v>
      </c>
      <c r="V348" s="25"/>
      <c r="W348" s="25"/>
      <c r="X348" s="25"/>
      <c r="Y348" s="25"/>
      <c r="Z348" s="25"/>
    </row>
    <row r="349" spans="1:26" ht="15.75" customHeight="1" x14ac:dyDescent="0.25">
      <c r="A349" s="25">
        <v>347</v>
      </c>
      <c r="B349" s="37" t="e">
        <f t="shared" ref="B349:D349" si="703">VLOOKUP($A349,#REF!,B$1,0)</f>
        <v>#REF!</v>
      </c>
      <c r="C349" s="38" t="e">
        <f t="shared" si="703"/>
        <v>#REF!</v>
      </c>
      <c r="D349" s="39" t="e">
        <f t="shared" si="703"/>
        <v>#REF!</v>
      </c>
      <c r="E349" s="16" t="e">
        <f t="shared" si="1"/>
        <v>#REF!</v>
      </c>
      <c r="F349" s="16" t="e">
        <f t="shared" ref="F349:K349" si="704">VLOOKUP($A349,#REF!,F$1,0)</f>
        <v>#REF!</v>
      </c>
      <c r="G349" s="39" t="e">
        <f t="shared" si="704"/>
        <v>#REF!</v>
      </c>
      <c r="H349" s="16" t="e">
        <f t="shared" si="704"/>
        <v>#REF!</v>
      </c>
      <c r="I349" s="16" t="e">
        <f t="shared" si="704"/>
        <v>#REF!</v>
      </c>
      <c r="J349" s="40" t="e">
        <f t="shared" si="704"/>
        <v>#REF!</v>
      </c>
      <c r="K349" s="16" t="e">
        <f t="shared" si="704"/>
        <v>#REF!</v>
      </c>
      <c r="L349" s="40" t="e">
        <f t="shared" si="609"/>
        <v>#REF!</v>
      </c>
      <c r="M349" s="16" t="e">
        <f t="shared" si="610"/>
        <v>#REF!</v>
      </c>
      <c r="N349" s="16" t="e">
        <f t="shared" si="611"/>
        <v>#REF!</v>
      </c>
      <c r="O349" s="16" t="s">
        <v>65</v>
      </c>
      <c r="P349" s="16" t="str">
        <f t="shared" si="6"/>
        <v/>
      </c>
      <c r="Q349" s="41" t="e">
        <f t="shared" si="612"/>
        <v>#REF!</v>
      </c>
      <c r="R349" s="44"/>
      <c r="S349" s="44"/>
      <c r="T349" s="43"/>
      <c r="U349" s="43" t="str">
        <f t="shared" si="8"/>
        <v>No</v>
      </c>
      <c r="V349" s="25"/>
      <c r="W349" s="25"/>
      <c r="X349" s="25"/>
      <c r="Y349" s="25"/>
      <c r="Z349" s="25"/>
    </row>
    <row r="350" spans="1:26" ht="15.75" customHeight="1" x14ac:dyDescent="0.25">
      <c r="A350" s="25">
        <v>348</v>
      </c>
      <c r="B350" s="37" t="e">
        <f t="shared" ref="B350:D350" si="705">VLOOKUP($A350,#REF!,B$1,0)</f>
        <v>#REF!</v>
      </c>
      <c r="C350" s="38" t="e">
        <f t="shared" si="705"/>
        <v>#REF!</v>
      </c>
      <c r="D350" s="39" t="e">
        <f t="shared" si="705"/>
        <v>#REF!</v>
      </c>
      <c r="E350" s="16" t="e">
        <f t="shared" si="1"/>
        <v>#REF!</v>
      </c>
      <c r="F350" s="16" t="e">
        <f t="shared" ref="F350:K350" si="706">VLOOKUP($A350,#REF!,F$1,0)</f>
        <v>#REF!</v>
      </c>
      <c r="G350" s="39" t="e">
        <f t="shared" si="706"/>
        <v>#REF!</v>
      </c>
      <c r="H350" s="16" t="e">
        <f t="shared" si="706"/>
        <v>#REF!</v>
      </c>
      <c r="I350" s="16" t="e">
        <f t="shared" si="706"/>
        <v>#REF!</v>
      </c>
      <c r="J350" s="40" t="e">
        <f t="shared" si="706"/>
        <v>#REF!</v>
      </c>
      <c r="K350" s="16" t="e">
        <f t="shared" si="706"/>
        <v>#REF!</v>
      </c>
      <c r="L350" s="40" t="e">
        <f t="shared" si="609"/>
        <v>#REF!</v>
      </c>
      <c r="M350" s="16" t="e">
        <f t="shared" si="610"/>
        <v>#REF!</v>
      </c>
      <c r="N350" s="16" t="e">
        <f t="shared" si="611"/>
        <v>#REF!</v>
      </c>
      <c r="O350" s="16" t="s">
        <v>65</v>
      </c>
      <c r="P350" s="16" t="str">
        <f t="shared" si="6"/>
        <v/>
      </c>
      <c r="Q350" s="41" t="e">
        <f t="shared" si="612"/>
        <v>#REF!</v>
      </c>
      <c r="R350" s="44"/>
      <c r="S350" s="44"/>
      <c r="T350" s="43"/>
      <c r="U350" s="43" t="str">
        <f t="shared" si="8"/>
        <v>No</v>
      </c>
      <c r="V350" s="25"/>
      <c r="W350" s="25"/>
      <c r="X350" s="25"/>
      <c r="Y350" s="25"/>
      <c r="Z350" s="25"/>
    </row>
    <row r="351" spans="1:26" ht="15.75" customHeight="1" x14ac:dyDescent="0.25">
      <c r="A351" s="25">
        <v>349</v>
      </c>
      <c r="B351" s="37" t="e">
        <f t="shared" ref="B351:D351" si="707">VLOOKUP($A351,#REF!,B$1,0)</f>
        <v>#REF!</v>
      </c>
      <c r="C351" s="38" t="e">
        <f t="shared" si="707"/>
        <v>#REF!</v>
      </c>
      <c r="D351" s="39" t="e">
        <f t="shared" si="707"/>
        <v>#REF!</v>
      </c>
      <c r="E351" s="16" t="e">
        <f t="shared" si="1"/>
        <v>#REF!</v>
      </c>
      <c r="F351" s="16" t="e">
        <f t="shared" ref="F351:K351" si="708">VLOOKUP($A351,#REF!,F$1,0)</f>
        <v>#REF!</v>
      </c>
      <c r="G351" s="39" t="e">
        <f t="shared" si="708"/>
        <v>#REF!</v>
      </c>
      <c r="H351" s="16" t="e">
        <f t="shared" si="708"/>
        <v>#REF!</v>
      </c>
      <c r="I351" s="16" t="e">
        <f t="shared" si="708"/>
        <v>#REF!</v>
      </c>
      <c r="J351" s="40" t="e">
        <f t="shared" si="708"/>
        <v>#REF!</v>
      </c>
      <c r="K351" s="16" t="e">
        <f t="shared" si="708"/>
        <v>#REF!</v>
      </c>
      <c r="L351" s="40" t="e">
        <f t="shared" si="609"/>
        <v>#REF!</v>
      </c>
      <c r="M351" s="16" t="e">
        <f t="shared" si="610"/>
        <v>#REF!</v>
      </c>
      <c r="N351" s="16" t="e">
        <f t="shared" si="611"/>
        <v>#REF!</v>
      </c>
      <c r="O351" s="16" t="s">
        <v>65</v>
      </c>
      <c r="P351" s="16" t="str">
        <f t="shared" si="6"/>
        <v/>
      </c>
      <c r="Q351" s="41" t="e">
        <f t="shared" si="612"/>
        <v>#REF!</v>
      </c>
      <c r="R351" s="44"/>
      <c r="S351" s="44"/>
      <c r="T351" s="43"/>
      <c r="U351" s="43" t="str">
        <f t="shared" si="8"/>
        <v>No</v>
      </c>
      <c r="V351" s="25"/>
      <c r="W351" s="25"/>
      <c r="X351" s="25"/>
      <c r="Y351" s="25"/>
      <c r="Z351" s="25"/>
    </row>
    <row r="352" spans="1:26" ht="15.75" customHeight="1" x14ac:dyDescent="0.25">
      <c r="A352" s="25">
        <v>350</v>
      </c>
      <c r="B352" s="37" t="e">
        <f t="shared" ref="B352:D352" si="709">VLOOKUP($A352,#REF!,B$1,0)</f>
        <v>#REF!</v>
      </c>
      <c r="C352" s="38" t="e">
        <f t="shared" si="709"/>
        <v>#REF!</v>
      </c>
      <c r="D352" s="39" t="e">
        <f t="shared" si="709"/>
        <v>#REF!</v>
      </c>
      <c r="E352" s="16" t="e">
        <f t="shared" si="1"/>
        <v>#REF!</v>
      </c>
      <c r="F352" s="16" t="e">
        <f t="shared" ref="F352:K352" si="710">VLOOKUP($A352,#REF!,F$1,0)</f>
        <v>#REF!</v>
      </c>
      <c r="G352" s="39" t="e">
        <f t="shared" si="710"/>
        <v>#REF!</v>
      </c>
      <c r="H352" s="16" t="e">
        <f t="shared" si="710"/>
        <v>#REF!</v>
      </c>
      <c r="I352" s="16" t="e">
        <f t="shared" si="710"/>
        <v>#REF!</v>
      </c>
      <c r="J352" s="40" t="e">
        <f t="shared" si="710"/>
        <v>#REF!</v>
      </c>
      <c r="K352" s="16" t="e">
        <f t="shared" si="710"/>
        <v>#REF!</v>
      </c>
      <c r="L352" s="40" t="e">
        <f t="shared" si="609"/>
        <v>#REF!</v>
      </c>
      <c r="M352" s="16" t="e">
        <f t="shared" si="610"/>
        <v>#REF!</v>
      </c>
      <c r="N352" s="16" t="e">
        <f t="shared" si="611"/>
        <v>#REF!</v>
      </c>
      <c r="O352" s="16" t="s">
        <v>65</v>
      </c>
      <c r="P352" s="16" t="str">
        <f t="shared" si="6"/>
        <v/>
      </c>
      <c r="Q352" s="41" t="e">
        <f t="shared" si="612"/>
        <v>#REF!</v>
      </c>
      <c r="R352" s="44"/>
      <c r="S352" s="44"/>
      <c r="T352" s="43"/>
      <c r="U352" s="43" t="str">
        <f t="shared" si="8"/>
        <v>No</v>
      </c>
      <c r="V352" s="25"/>
      <c r="W352" s="25"/>
      <c r="X352" s="25"/>
      <c r="Y352" s="25"/>
      <c r="Z352" s="25"/>
    </row>
    <row r="353" spans="1:26" ht="15.75" customHeight="1" x14ac:dyDescent="0.25">
      <c r="A353" s="25">
        <v>351</v>
      </c>
      <c r="B353" s="37" t="e">
        <f t="shared" ref="B353:D353" si="711">VLOOKUP($A353,#REF!,B$1,0)</f>
        <v>#REF!</v>
      </c>
      <c r="C353" s="38" t="e">
        <f t="shared" si="711"/>
        <v>#REF!</v>
      </c>
      <c r="D353" s="39" t="e">
        <f t="shared" si="711"/>
        <v>#REF!</v>
      </c>
      <c r="E353" s="16" t="e">
        <f t="shared" si="1"/>
        <v>#REF!</v>
      </c>
      <c r="F353" s="16" t="e">
        <f t="shared" ref="F353:K353" si="712">VLOOKUP($A353,#REF!,F$1,0)</f>
        <v>#REF!</v>
      </c>
      <c r="G353" s="39" t="e">
        <f t="shared" si="712"/>
        <v>#REF!</v>
      </c>
      <c r="H353" s="16" t="e">
        <f t="shared" si="712"/>
        <v>#REF!</v>
      </c>
      <c r="I353" s="16" t="e">
        <f t="shared" si="712"/>
        <v>#REF!</v>
      </c>
      <c r="J353" s="40" t="e">
        <f t="shared" si="712"/>
        <v>#REF!</v>
      </c>
      <c r="K353" s="16" t="e">
        <f t="shared" si="712"/>
        <v>#REF!</v>
      </c>
      <c r="L353" s="40" t="e">
        <f t="shared" si="609"/>
        <v>#REF!</v>
      </c>
      <c r="M353" s="16" t="e">
        <f t="shared" si="610"/>
        <v>#REF!</v>
      </c>
      <c r="N353" s="16" t="e">
        <f t="shared" si="611"/>
        <v>#REF!</v>
      </c>
      <c r="O353" s="16" t="s">
        <v>65</v>
      </c>
      <c r="P353" s="16" t="str">
        <f t="shared" si="6"/>
        <v/>
      </c>
      <c r="Q353" s="46" t="e">
        <f t="shared" si="612"/>
        <v>#REF!</v>
      </c>
      <c r="R353" s="44"/>
      <c r="S353" s="44"/>
      <c r="T353" s="43"/>
      <c r="U353" s="43" t="str">
        <f t="shared" si="8"/>
        <v>No</v>
      </c>
      <c r="V353" s="25"/>
      <c r="W353" s="25"/>
      <c r="X353" s="25"/>
      <c r="Y353" s="25"/>
      <c r="Z353" s="25"/>
    </row>
    <row r="354" spans="1:26" ht="15.75" customHeight="1" x14ac:dyDescent="0.25">
      <c r="A354" s="25">
        <v>352</v>
      </c>
      <c r="B354" s="37" t="e">
        <f t="shared" ref="B354:D354" si="713">VLOOKUP($A354,#REF!,B$1,0)</f>
        <v>#REF!</v>
      </c>
      <c r="C354" s="38" t="e">
        <f t="shared" si="713"/>
        <v>#REF!</v>
      </c>
      <c r="D354" s="39" t="e">
        <f t="shared" si="713"/>
        <v>#REF!</v>
      </c>
      <c r="E354" s="16" t="e">
        <f t="shared" si="1"/>
        <v>#REF!</v>
      </c>
      <c r="F354" s="16" t="e">
        <f t="shared" ref="F354:K354" si="714">VLOOKUP($A354,#REF!,F$1,0)</f>
        <v>#REF!</v>
      </c>
      <c r="G354" s="39" t="e">
        <f t="shared" si="714"/>
        <v>#REF!</v>
      </c>
      <c r="H354" s="16" t="e">
        <f t="shared" si="714"/>
        <v>#REF!</v>
      </c>
      <c r="I354" s="16" t="e">
        <f t="shared" si="714"/>
        <v>#REF!</v>
      </c>
      <c r="J354" s="40" t="e">
        <f t="shared" si="714"/>
        <v>#REF!</v>
      </c>
      <c r="K354" s="16" t="e">
        <f t="shared" si="714"/>
        <v>#REF!</v>
      </c>
      <c r="L354" s="40" t="e">
        <f t="shared" si="609"/>
        <v>#REF!</v>
      </c>
      <c r="M354" s="16" t="e">
        <f t="shared" si="610"/>
        <v>#REF!</v>
      </c>
      <c r="N354" s="16" t="e">
        <f t="shared" si="611"/>
        <v>#REF!</v>
      </c>
      <c r="O354" s="16" t="s">
        <v>65</v>
      </c>
      <c r="P354" s="16" t="str">
        <f t="shared" si="6"/>
        <v/>
      </c>
      <c r="Q354" s="41" t="e">
        <f t="shared" si="612"/>
        <v>#REF!</v>
      </c>
      <c r="R354" s="44"/>
      <c r="S354" s="44"/>
      <c r="T354" s="43"/>
      <c r="U354" s="43" t="str">
        <f t="shared" si="8"/>
        <v>No</v>
      </c>
      <c r="V354" s="25"/>
      <c r="W354" s="25"/>
      <c r="X354" s="25"/>
      <c r="Y354" s="25"/>
      <c r="Z354" s="25"/>
    </row>
    <row r="355" spans="1:26" ht="15.75" customHeight="1" x14ac:dyDescent="0.25">
      <c r="A355" s="25">
        <v>353</v>
      </c>
      <c r="B355" s="37" t="e">
        <f t="shared" ref="B355:D355" si="715">VLOOKUP($A355,#REF!,B$1,0)</f>
        <v>#REF!</v>
      </c>
      <c r="C355" s="38" t="e">
        <f t="shared" si="715"/>
        <v>#REF!</v>
      </c>
      <c r="D355" s="39" t="e">
        <f t="shared" si="715"/>
        <v>#REF!</v>
      </c>
      <c r="E355" s="16" t="e">
        <f t="shared" si="1"/>
        <v>#REF!</v>
      </c>
      <c r="F355" s="16" t="e">
        <f t="shared" ref="F355:K355" si="716">VLOOKUP($A355,#REF!,F$1,0)</f>
        <v>#REF!</v>
      </c>
      <c r="G355" s="39" t="e">
        <f t="shared" si="716"/>
        <v>#REF!</v>
      </c>
      <c r="H355" s="16" t="e">
        <f t="shared" si="716"/>
        <v>#REF!</v>
      </c>
      <c r="I355" s="16" t="e">
        <f t="shared" si="716"/>
        <v>#REF!</v>
      </c>
      <c r="J355" s="40" t="e">
        <f t="shared" si="716"/>
        <v>#REF!</v>
      </c>
      <c r="K355" s="16" t="e">
        <f t="shared" si="716"/>
        <v>#REF!</v>
      </c>
      <c r="L355" s="40" t="e">
        <f t="shared" si="609"/>
        <v>#REF!</v>
      </c>
      <c r="M355" s="16" t="e">
        <f t="shared" si="610"/>
        <v>#REF!</v>
      </c>
      <c r="N355" s="16" t="e">
        <f t="shared" si="611"/>
        <v>#REF!</v>
      </c>
      <c r="O355" s="16" t="s">
        <v>65</v>
      </c>
      <c r="P355" s="16" t="str">
        <f t="shared" si="6"/>
        <v/>
      </c>
      <c r="Q355" s="41" t="e">
        <f t="shared" si="612"/>
        <v>#REF!</v>
      </c>
      <c r="R355" s="44"/>
      <c r="S355" s="44"/>
      <c r="T355" s="43"/>
      <c r="U355" s="43" t="str">
        <f t="shared" si="8"/>
        <v>No</v>
      </c>
      <c r="V355" s="25"/>
      <c r="W355" s="25"/>
      <c r="X355" s="25"/>
      <c r="Y355" s="25"/>
      <c r="Z355" s="25"/>
    </row>
    <row r="356" spans="1:26" ht="15.75" customHeight="1" x14ac:dyDescent="0.25">
      <c r="A356" s="25">
        <v>354</v>
      </c>
      <c r="B356" s="37" t="e">
        <f t="shared" ref="B356:D356" si="717">VLOOKUP($A356,#REF!,B$1,0)</f>
        <v>#REF!</v>
      </c>
      <c r="C356" s="38" t="e">
        <f t="shared" si="717"/>
        <v>#REF!</v>
      </c>
      <c r="D356" s="39" t="e">
        <f t="shared" si="717"/>
        <v>#REF!</v>
      </c>
      <c r="E356" s="16" t="e">
        <f t="shared" si="1"/>
        <v>#REF!</v>
      </c>
      <c r="F356" s="16" t="e">
        <f t="shared" ref="F356:K356" si="718">VLOOKUP($A356,#REF!,F$1,0)</f>
        <v>#REF!</v>
      </c>
      <c r="G356" s="39" t="e">
        <f t="shared" si="718"/>
        <v>#REF!</v>
      </c>
      <c r="H356" s="16" t="e">
        <f t="shared" si="718"/>
        <v>#REF!</v>
      </c>
      <c r="I356" s="16" t="e">
        <f t="shared" si="718"/>
        <v>#REF!</v>
      </c>
      <c r="J356" s="40" t="e">
        <f t="shared" si="718"/>
        <v>#REF!</v>
      </c>
      <c r="K356" s="16" t="e">
        <f t="shared" si="718"/>
        <v>#REF!</v>
      </c>
      <c r="L356" s="40" t="e">
        <f t="shared" si="609"/>
        <v>#REF!</v>
      </c>
      <c r="M356" s="16" t="e">
        <f t="shared" si="610"/>
        <v>#REF!</v>
      </c>
      <c r="N356" s="16" t="e">
        <f t="shared" si="611"/>
        <v>#REF!</v>
      </c>
      <c r="O356" s="16" t="s">
        <v>65</v>
      </c>
      <c r="P356" s="16" t="str">
        <f t="shared" si="6"/>
        <v/>
      </c>
      <c r="Q356" s="41" t="e">
        <f t="shared" si="612"/>
        <v>#REF!</v>
      </c>
      <c r="R356" s="44"/>
      <c r="S356" s="44"/>
      <c r="T356" s="43"/>
      <c r="U356" s="43" t="str">
        <f t="shared" si="8"/>
        <v>No</v>
      </c>
      <c r="V356" s="25"/>
      <c r="W356" s="25"/>
      <c r="X356" s="25"/>
      <c r="Y356" s="25"/>
      <c r="Z356" s="25"/>
    </row>
    <row r="357" spans="1:26" ht="15.75" customHeight="1" x14ac:dyDescent="0.25">
      <c r="A357" s="25">
        <v>355</v>
      </c>
      <c r="B357" s="37" t="e">
        <f t="shared" ref="B357:D357" si="719">VLOOKUP($A357,#REF!,B$1,0)</f>
        <v>#REF!</v>
      </c>
      <c r="C357" s="38" t="e">
        <f t="shared" si="719"/>
        <v>#REF!</v>
      </c>
      <c r="D357" s="39" t="e">
        <f t="shared" si="719"/>
        <v>#REF!</v>
      </c>
      <c r="E357" s="16" t="e">
        <f t="shared" si="1"/>
        <v>#REF!</v>
      </c>
      <c r="F357" s="16" t="e">
        <f t="shared" ref="F357:K357" si="720">VLOOKUP($A357,#REF!,F$1,0)</f>
        <v>#REF!</v>
      </c>
      <c r="G357" s="39" t="e">
        <f t="shared" si="720"/>
        <v>#REF!</v>
      </c>
      <c r="H357" s="16" t="e">
        <f t="shared" si="720"/>
        <v>#REF!</v>
      </c>
      <c r="I357" s="16" t="e">
        <f t="shared" si="720"/>
        <v>#REF!</v>
      </c>
      <c r="J357" s="40" t="e">
        <f t="shared" si="720"/>
        <v>#REF!</v>
      </c>
      <c r="K357" s="16" t="e">
        <f t="shared" si="720"/>
        <v>#REF!</v>
      </c>
      <c r="L357" s="40" t="e">
        <f t="shared" si="609"/>
        <v>#REF!</v>
      </c>
      <c r="M357" s="16" t="e">
        <f t="shared" si="610"/>
        <v>#REF!</v>
      </c>
      <c r="N357" s="16" t="e">
        <f t="shared" si="611"/>
        <v>#REF!</v>
      </c>
      <c r="O357" s="16" t="s">
        <v>65</v>
      </c>
      <c r="P357" s="16" t="str">
        <f t="shared" si="6"/>
        <v/>
      </c>
      <c r="Q357" s="41" t="e">
        <f t="shared" si="612"/>
        <v>#REF!</v>
      </c>
      <c r="R357" s="44"/>
      <c r="S357" s="44"/>
      <c r="T357" s="43"/>
      <c r="U357" s="43" t="str">
        <f t="shared" si="8"/>
        <v>No</v>
      </c>
      <c r="V357" s="25"/>
      <c r="W357" s="25"/>
      <c r="X357" s="25"/>
      <c r="Y357" s="25"/>
      <c r="Z357" s="25"/>
    </row>
    <row r="358" spans="1:26" ht="15.75" customHeight="1" x14ac:dyDescent="0.25">
      <c r="A358" s="25">
        <v>356</v>
      </c>
      <c r="B358" s="37" t="e">
        <f t="shared" ref="B358:D358" si="721">VLOOKUP($A358,#REF!,B$1,0)</f>
        <v>#REF!</v>
      </c>
      <c r="C358" s="38" t="e">
        <f t="shared" si="721"/>
        <v>#REF!</v>
      </c>
      <c r="D358" s="39" t="e">
        <f t="shared" si="721"/>
        <v>#REF!</v>
      </c>
      <c r="E358" s="16" t="e">
        <f t="shared" si="1"/>
        <v>#REF!</v>
      </c>
      <c r="F358" s="16" t="e">
        <f t="shared" ref="F358:K358" si="722">VLOOKUP($A358,#REF!,F$1,0)</f>
        <v>#REF!</v>
      </c>
      <c r="G358" s="39" t="e">
        <f t="shared" si="722"/>
        <v>#REF!</v>
      </c>
      <c r="H358" s="16" t="e">
        <f t="shared" si="722"/>
        <v>#REF!</v>
      </c>
      <c r="I358" s="16" t="e">
        <f t="shared" si="722"/>
        <v>#REF!</v>
      </c>
      <c r="J358" s="40" t="e">
        <f t="shared" si="722"/>
        <v>#REF!</v>
      </c>
      <c r="K358" s="16" t="e">
        <f t="shared" si="722"/>
        <v>#REF!</v>
      </c>
      <c r="L358" s="40" t="e">
        <f t="shared" si="609"/>
        <v>#REF!</v>
      </c>
      <c r="M358" s="16" t="e">
        <f t="shared" si="610"/>
        <v>#REF!</v>
      </c>
      <c r="N358" s="16" t="e">
        <f t="shared" si="611"/>
        <v>#REF!</v>
      </c>
      <c r="O358" s="16" t="s">
        <v>65</v>
      </c>
      <c r="P358" s="16" t="str">
        <f t="shared" si="6"/>
        <v/>
      </c>
      <c r="Q358" s="41" t="e">
        <f t="shared" si="612"/>
        <v>#REF!</v>
      </c>
      <c r="R358" s="44"/>
      <c r="S358" s="44"/>
      <c r="T358" s="43"/>
      <c r="U358" s="43" t="str">
        <f t="shared" si="8"/>
        <v>No</v>
      </c>
      <c r="V358" s="25"/>
      <c r="W358" s="25"/>
      <c r="X358" s="25"/>
      <c r="Y358" s="25"/>
      <c r="Z358" s="25"/>
    </row>
    <row r="359" spans="1:26" ht="15.75" customHeight="1" x14ac:dyDescent="0.25">
      <c r="A359" s="25">
        <v>357</v>
      </c>
      <c r="B359" s="37" t="e">
        <f t="shared" ref="B359:D359" si="723">VLOOKUP($A359,#REF!,B$1,0)</f>
        <v>#REF!</v>
      </c>
      <c r="C359" s="38" t="e">
        <f t="shared" si="723"/>
        <v>#REF!</v>
      </c>
      <c r="D359" s="39" t="e">
        <f t="shared" si="723"/>
        <v>#REF!</v>
      </c>
      <c r="E359" s="16" t="e">
        <f t="shared" si="1"/>
        <v>#REF!</v>
      </c>
      <c r="F359" s="16" t="e">
        <f t="shared" ref="F359:K359" si="724">VLOOKUP($A359,#REF!,F$1,0)</f>
        <v>#REF!</v>
      </c>
      <c r="G359" s="39" t="e">
        <f t="shared" si="724"/>
        <v>#REF!</v>
      </c>
      <c r="H359" s="16" t="e">
        <f t="shared" si="724"/>
        <v>#REF!</v>
      </c>
      <c r="I359" s="16" t="e">
        <f t="shared" si="724"/>
        <v>#REF!</v>
      </c>
      <c r="J359" s="40" t="e">
        <f t="shared" si="724"/>
        <v>#REF!</v>
      </c>
      <c r="K359" s="16" t="e">
        <f t="shared" si="724"/>
        <v>#REF!</v>
      </c>
      <c r="L359" s="40" t="e">
        <f t="shared" si="609"/>
        <v>#REF!</v>
      </c>
      <c r="M359" s="16" t="e">
        <f t="shared" si="610"/>
        <v>#REF!</v>
      </c>
      <c r="N359" s="16" t="e">
        <f t="shared" si="611"/>
        <v>#REF!</v>
      </c>
      <c r="O359" s="16" t="s">
        <v>65</v>
      </c>
      <c r="P359" s="16" t="str">
        <f t="shared" si="6"/>
        <v/>
      </c>
      <c r="Q359" s="41" t="e">
        <f t="shared" si="612"/>
        <v>#REF!</v>
      </c>
      <c r="R359" s="44"/>
      <c r="S359" s="44"/>
      <c r="T359" s="43"/>
      <c r="U359" s="43" t="str">
        <f t="shared" si="8"/>
        <v>No</v>
      </c>
      <c r="V359" s="25"/>
      <c r="W359" s="25"/>
      <c r="X359" s="25"/>
      <c r="Y359" s="25"/>
      <c r="Z359" s="25"/>
    </row>
    <row r="360" spans="1:26" ht="15.75" customHeight="1" x14ac:dyDescent="0.25">
      <c r="A360" s="25">
        <v>358</v>
      </c>
      <c r="B360" s="37" t="e">
        <f t="shared" ref="B360:D360" si="725">VLOOKUP($A360,#REF!,B$1,0)</f>
        <v>#REF!</v>
      </c>
      <c r="C360" s="38" t="e">
        <f t="shared" si="725"/>
        <v>#REF!</v>
      </c>
      <c r="D360" s="39" t="e">
        <f t="shared" si="725"/>
        <v>#REF!</v>
      </c>
      <c r="E360" s="16" t="e">
        <f t="shared" si="1"/>
        <v>#REF!</v>
      </c>
      <c r="F360" s="16" t="e">
        <f t="shared" ref="F360:K360" si="726">VLOOKUP($A360,#REF!,F$1,0)</f>
        <v>#REF!</v>
      </c>
      <c r="G360" s="39" t="e">
        <f t="shared" si="726"/>
        <v>#REF!</v>
      </c>
      <c r="H360" s="16" t="e">
        <f t="shared" si="726"/>
        <v>#REF!</v>
      </c>
      <c r="I360" s="16" t="e">
        <f t="shared" si="726"/>
        <v>#REF!</v>
      </c>
      <c r="J360" s="40" t="e">
        <f t="shared" si="726"/>
        <v>#REF!</v>
      </c>
      <c r="K360" s="16" t="e">
        <f t="shared" si="726"/>
        <v>#REF!</v>
      </c>
      <c r="L360" s="40" t="e">
        <f t="shared" si="609"/>
        <v>#REF!</v>
      </c>
      <c r="M360" s="16" t="e">
        <f t="shared" si="610"/>
        <v>#REF!</v>
      </c>
      <c r="N360" s="16" t="e">
        <f t="shared" si="611"/>
        <v>#REF!</v>
      </c>
      <c r="O360" s="16" t="s">
        <v>65</v>
      </c>
      <c r="P360" s="16" t="str">
        <f t="shared" si="6"/>
        <v/>
      </c>
      <c r="Q360" s="41" t="e">
        <f t="shared" si="612"/>
        <v>#REF!</v>
      </c>
      <c r="R360" s="44"/>
      <c r="S360" s="44"/>
      <c r="T360" s="43"/>
      <c r="U360" s="43" t="str">
        <f t="shared" si="8"/>
        <v>No</v>
      </c>
      <c r="V360" s="25"/>
      <c r="W360" s="25"/>
      <c r="X360" s="25"/>
      <c r="Y360" s="25"/>
      <c r="Z360" s="25"/>
    </row>
    <row r="361" spans="1:26" ht="15.75" customHeight="1" x14ac:dyDescent="0.25">
      <c r="A361" s="25">
        <v>359</v>
      </c>
      <c r="B361" s="37" t="e">
        <f t="shared" ref="B361:D361" si="727">VLOOKUP($A361,#REF!,B$1,0)</f>
        <v>#REF!</v>
      </c>
      <c r="C361" s="38" t="e">
        <f t="shared" si="727"/>
        <v>#REF!</v>
      </c>
      <c r="D361" s="39" t="e">
        <f t="shared" si="727"/>
        <v>#REF!</v>
      </c>
      <c r="E361" s="16" t="e">
        <f t="shared" si="1"/>
        <v>#REF!</v>
      </c>
      <c r="F361" s="16" t="e">
        <f t="shared" ref="F361:K361" si="728">VLOOKUP($A361,#REF!,F$1,0)</f>
        <v>#REF!</v>
      </c>
      <c r="G361" s="39" t="e">
        <f t="shared" si="728"/>
        <v>#REF!</v>
      </c>
      <c r="H361" s="16" t="e">
        <f t="shared" si="728"/>
        <v>#REF!</v>
      </c>
      <c r="I361" s="16" t="e">
        <f t="shared" si="728"/>
        <v>#REF!</v>
      </c>
      <c r="J361" s="40" t="e">
        <f t="shared" si="728"/>
        <v>#REF!</v>
      </c>
      <c r="K361" s="16" t="e">
        <f t="shared" si="728"/>
        <v>#REF!</v>
      </c>
      <c r="L361" s="40" t="e">
        <f t="shared" si="609"/>
        <v>#REF!</v>
      </c>
      <c r="M361" s="16" t="e">
        <f t="shared" si="610"/>
        <v>#REF!</v>
      </c>
      <c r="N361" s="16" t="e">
        <f t="shared" si="611"/>
        <v>#REF!</v>
      </c>
      <c r="O361" s="16" t="s">
        <v>65</v>
      </c>
      <c r="P361" s="16" t="str">
        <f t="shared" si="6"/>
        <v/>
      </c>
      <c r="Q361" s="41" t="e">
        <f t="shared" si="612"/>
        <v>#REF!</v>
      </c>
      <c r="R361" s="44"/>
      <c r="S361" s="44"/>
      <c r="T361" s="43"/>
      <c r="U361" s="43" t="str">
        <f t="shared" si="8"/>
        <v>No</v>
      </c>
      <c r="V361" s="25"/>
      <c r="W361" s="25"/>
      <c r="X361" s="25"/>
      <c r="Y361" s="25"/>
      <c r="Z361" s="25"/>
    </row>
    <row r="362" spans="1:26" ht="15.75" customHeight="1" x14ac:dyDescent="0.25">
      <c r="A362" s="25">
        <v>360</v>
      </c>
      <c r="B362" s="37" t="e">
        <f t="shared" ref="B362:D362" si="729">VLOOKUP($A362,#REF!,B$1,0)</f>
        <v>#REF!</v>
      </c>
      <c r="C362" s="38" t="e">
        <f t="shared" si="729"/>
        <v>#REF!</v>
      </c>
      <c r="D362" s="39" t="e">
        <f t="shared" si="729"/>
        <v>#REF!</v>
      </c>
      <c r="E362" s="16" t="e">
        <f t="shared" si="1"/>
        <v>#REF!</v>
      </c>
      <c r="F362" s="16" t="e">
        <f t="shared" ref="F362:K362" si="730">VLOOKUP($A362,#REF!,F$1,0)</f>
        <v>#REF!</v>
      </c>
      <c r="G362" s="39" t="e">
        <f t="shared" si="730"/>
        <v>#REF!</v>
      </c>
      <c r="H362" s="16" t="e">
        <f t="shared" si="730"/>
        <v>#REF!</v>
      </c>
      <c r="I362" s="16" t="e">
        <f t="shared" si="730"/>
        <v>#REF!</v>
      </c>
      <c r="J362" s="40" t="e">
        <f t="shared" si="730"/>
        <v>#REF!</v>
      </c>
      <c r="K362" s="16" t="e">
        <f t="shared" si="730"/>
        <v>#REF!</v>
      </c>
      <c r="L362" s="40" t="e">
        <f t="shared" si="609"/>
        <v>#REF!</v>
      </c>
      <c r="M362" s="16" t="e">
        <f t="shared" si="610"/>
        <v>#REF!</v>
      </c>
      <c r="N362" s="16" t="e">
        <f t="shared" si="611"/>
        <v>#REF!</v>
      </c>
      <c r="O362" s="16" t="s">
        <v>65</v>
      </c>
      <c r="P362" s="16" t="str">
        <f t="shared" si="6"/>
        <v/>
      </c>
      <c r="Q362" s="41" t="e">
        <f t="shared" si="612"/>
        <v>#REF!</v>
      </c>
      <c r="R362" s="44"/>
      <c r="S362" s="44"/>
      <c r="T362" s="43"/>
      <c r="U362" s="43" t="str">
        <f t="shared" si="8"/>
        <v>No</v>
      </c>
      <c r="V362" s="25"/>
      <c r="W362" s="25"/>
      <c r="X362" s="25"/>
      <c r="Y362" s="25"/>
      <c r="Z362" s="25"/>
    </row>
    <row r="363" spans="1:26" ht="15.75" customHeight="1" x14ac:dyDescent="0.25">
      <c r="A363" s="25">
        <v>361</v>
      </c>
      <c r="B363" s="37" t="e">
        <f t="shared" ref="B363:D363" si="731">VLOOKUP($A363,#REF!,B$1,0)</f>
        <v>#REF!</v>
      </c>
      <c r="C363" s="38" t="e">
        <f t="shared" si="731"/>
        <v>#REF!</v>
      </c>
      <c r="D363" s="39" t="e">
        <f t="shared" si="731"/>
        <v>#REF!</v>
      </c>
      <c r="E363" s="16" t="e">
        <f t="shared" si="1"/>
        <v>#REF!</v>
      </c>
      <c r="F363" s="16" t="e">
        <f t="shared" ref="F363:K363" si="732">VLOOKUP($A363,#REF!,F$1,0)</f>
        <v>#REF!</v>
      </c>
      <c r="G363" s="39" t="e">
        <f t="shared" si="732"/>
        <v>#REF!</v>
      </c>
      <c r="H363" s="16" t="e">
        <f t="shared" si="732"/>
        <v>#REF!</v>
      </c>
      <c r="I363" s="16" t="e">
        <f t="shared" si="732"/>
        <v>#REF!</v>
      </c>
      <c r="J363" s="40" t="e">
        <f t="shared" si="732"/>
        <v>#REF!</v>
      </c>
      <c r="K363" s="16" t="e">
        <f t="shared" si="732"/>
        <v>#REF!</v>
      </c>
      <c r="L363" s="40" t="e">
        <f t="shared" si="609"/>
        <v>#REF!</v>
      </c>
      <c r="M363" s="16" t="e">
        <f t="shared" si="610"/>
        <v>#REF!</v>
      </c>
      <c r="N363" s="16" t="e">
        <f t="shared" si="611"/>
        <v>#REF!</v>
      </c>
      <c r="O363" s="16" t="s">
        <v>65</v>
      </c>
      <c r="P363" s="16" t="str">
        <f t="shared" si="6"/>
        <v/>
      </c>
      <c r="Q363" s="41" t="e">
        <f t="shared" si="612"/>
        <v>#REF!</v>
      </c>
      <c r="R363" s="44"/>
      <c r="S363" s="44"/>
      <c r="T363" s="43"/>
      <c r="U363" s="43" t="str">
        <f t="shared" si="8"/>
        <v>No</v>
      </c>
      <c r="V363" s="25"/>
      <c r="W363" s="25"/>
      <c r="X363" s="25"/>
      <c r="Y363" s="25"/>
      <c r="Z363" s="25"/>
    </row>
    <row r="364" spans="1:26" ht="15.75" customHeight="1" x14ac:dyDescent="0.25">
      <c r="A364" s="25">
        <v>362</v>
      </c>
      <c r="B364" s="37" t="e">
        <f t="shared" ref="B364:D364" si="733">VLOOKUP($A364,#REF!,B$1,0)</f>
        <v>#REF!</v>
      </c>
      <c r="C364" s="38" t="e">
        <f t="shared" si="733"/>
        <v>#REF!</v>
      </c>
      <c r="D364" s="39" t="e">
        <f t="shared" si="733"/>
        <v>#REF!</v>
      </c>
      <c r="E364" s="16" t="e">
        <f t="shared" si="1"/>
        <v>#REF!</v>
      </c>
      <c r="F364" s="16" t="e">
        <f t="shared" ref="F364:K364" si="734">VLOOKUP($A364,#REF!,F$1,0)</f>
        <v>#REF!</v>
      </c>
      <c r="G364" s="39" t="e">
        <f t="shared" si="734"/>
        <v>#REF!</v>
      </c>
      <c r="H364" s="16" t="e">
        <f t="shared" si="734"/>
        <v>#REF!</v>
      </c>
      <c r="I364" s="16" t="e">
        <f t="shared" si="734"/>
        <v>#REF!</v>
      </c>
      <c r="J364" s="40" t="e">
        <f t="shared" si="734"/>
        <v>#REF!</v>
      </c>
      <c r="K364" s="16" t="e">
        <f t="shared" si="734"/>
        <v>#REF!</v>
      </c>
      <c r="L364" s="40" t="e">
        <f t="shared" si="609"/>
        <v>#REF!</v>
      </c>
      <c r="M364" s="16" t="e">
        <f t="shared" si="610"/>
        <v>#REF!</v>
      </c>
      <c r="N364" s="16" t="e">
        <f t="shared" si="611"/>
        <v>#REF!</v>
      </c>
      <c r="O364" s="16" t="s">
        <v>65</v>
      </c>
      <c r="P364" s="16" t="str">
        <f t="shared" si="6"/>
        <v/>
      </c>
      <c r="Q364" s="41" t="e">
        <f t="shared" si="612"/>
        <v>#REF!</v>
      </c>
      <c r="R364" s="44"/>
      <c r="S364" s="44"/>
      <c r="T364" s="43"/>
      <c r="U364" s="43" t="str">
        <f t="shared" si="8"/>
        <v>No</v>
      </c>
      <c r="V364" s="25"/>
      <c r="W364" s="25"/>
      <c r="X364" s="25"/>
      <c r="Y364" s="25"/>
      <c r="Z364" s="25"/>
    </row>
    <row r="365" spans="1:26" ht="15.75" customHeight="1" x14ac:dyDescent="0.25">
      <c r="A365" s="25">
        <v>363</v>
      </c>
      <c r="B365" s="37" t="e">
        <f t="shared" ref="B365:D365" si="735">VLOOKUP($A365,#REF!,B$1,0)</f>
        <v>#REF!</v>
      </c>
      <c r="C365" s="38" t="e">
        <f t="shared" si="735"/>
        <v>#REF!</v>
      </c>
      <c r="D365" s="39" t="e">
        <f t="shared" si="735"/>
        <v>#REF!</v>
      </c>
      <c r="E365" s="16" t="e">
        <f t="shared" si="1"/>
        <v>#REF!</v>
      </c>
      <c r="F365" s="16" t="e">
        <f t="shared" ref="F365:K365" si="736">VLOOKUP($A365,#REF!,F$1,0)</f>
        <v>#REF!</v>
      </c>
      <c r="G365" s="39" t="e">
        <f t="shared" si="736"/>
        <v>#REF!</v>
      </c>
      <c r="H365" s="16" t="e">
        <f t="shared" si="736"/>
        <v>#REF!</v>
      </c>
      <c r="I365" s="16" t="e">
        <f t="shared" si="736"/>
        <v>#REF!</v>
      </c>
      <c r="J365" s="40" t="e">
        <f t="shared" si="736"/>
        <v>#REF!</v>
      </c>
      <c r="K365" s="16" t="e">
        <f t="shared" si="736"/>
        <v>#REF!</v>
      </c>
      <c r="L365" s="40" t="e">
        <f t="shared" si="609"/>
        <v>#REF!</v>
      </c>
      <c r="M365" s="16" t="e">
        <f t="shared" si="610"/>
        <v>#REF!</v>
      </c>
      <c r="N365" s="16" t="e">
        <f t="shared" si="611"/>
        <v>#REF!</v>
      </c>
      <c r="O365" s="16" t="s">
        <v>65</v>
      </c>
      <c r="P365" s="16" t="str">
        <f t="shared" si="6"/>
        <v/>
      </c>
      <c r="Q365" s="41" t="e">
        <f t="shared" si="612"/>
        <v>#REF!</v>
      </c>
      <c r="R365" s="44"/>
      <c r="S365" s="44"/>
      <c r="T365" s="43"/>
      <c r="U365" s="43" t="str">
        <f t="shared" si="8"/>
        <v>No</v>
      </c>
      <c r="V365" s="25"/>
      <c r="W365" s="25"/>
      <c r="X365" s="25"/>
      <c r="Y365" s="25"/>
      <c r="Z365" s="25"/>
    </row>
    <row r="366" spans="1:26" ht="15.75" customHeight="1" x14ac:dyDescent="0.25">
      <c r="A366" s="25">
        <v>364</v>
      </c>
      <c r="B366" s="37" t="e">
        <f t="shared" ref="B366:D366" si="737">VLOOKUP($A366,#REF!,B$1,0)</f>
        <v>#REF!</v>
      </c>
      <c r="C366" s="38" t="e">
        <f t="shared" si="737"/>
        <v>#REF!</v>
      </c>
      <c r="D366" s="39" t="e">
        <f t="shared" si="737"/>
        <v>#REF!</v>
      </c>
      <c r="E366" s="16" t="e">
        <f t="shared" si="1"/>
        <v>#REF!</v>
      </c>
      <c r="F366" s="16" t="e">
        <f t="shared" ref="F366:K366" si="738">VLOOKUP($A366,#REF!,F$1,0)</f>
        <v>#REF!</v>
      </c>
      <c r="G366" s="39" t="e">
        <f t="shared" si="738"/>
        <v>#REF!</v>
      </c>
      <c r="H366" s="16" t="e">
        <f t="shared" si="738"/>
        <v>#REF!</v>
      </c>
      <c r="I366" s="16" t="e">
        <f t="shared" si="738"/>
        <v>#REF!</v>
      </c>
      <c r="J366" s="40" t="e">
        <f t="shared" si="738"/>
        <v>#REF!</v>
      </c>
      <c r="K366" s="16" t="e">
        <f t="shared" si="738"/>
        <v>#REF!</v>
      </c>
      <c r="L366" s="40" t="e">
        <f t="shared" si="609"/>
        <v>#REF!</v>
      </c>
      <c r="M366" s="16" t="e">
        <f t="shared" si="610"/>
        <v>#REF!</v>
      </c>
      <c r="N366" s="16" t="e">
        <f t="shared" si="611"/>
        <v>#REF!</v>
      </c>
      <c r="O366" s="16" t="s">
        <v>65</v>
      </c>
      <c r="P366" s="16" t="str">
        <f t="shared" si="6"/>
        <v/>
      </c>
      <c r="Q366" s="41" t="e">
        <f t="shared" si="612"/>
        <v>#REF!</v>
      </c>
      <c r="R366" s="44"/>
      <c r="S366" s="44"/>
      <c r="T366" s="43"/>
      <c r="U366" s="43" t="str">
        <f t="shared" si="8"/>
        <v>No</v>
      </c>
      <c r="V366" s="25"/>
      <c r="W366" s="25"/>
      <c r="X366" s="25"/>
      <c r="Y366" s="25"/>
      <c r="Z366" s="25"/>
    </row>
    <row r="367" spans="1:26" ht="15.75" customHeight="1" x14ac:dyDescent="0.25">
      <c r="A367" s="25">
        <v>365</v>
      </c>
      <c r="B367" s="37" t="e">
        <f t="shared" ref="B367:D367" si="739">VLOOKUP($A367,#REF!,B$1,0)</f>
        <v>#REF!</v>
      </c>
      <c r="C367" s="38" t="e">
        <f t="shared" si="739"/>
        <v>#REF!</v>
      </c>
      <c r="D367" s="39" t="e">
        <f t="shared" si="739"/>
        <v>#REF!</v>
      </c>
      <c r="E367" s="16" t="e">
        <f t="shared" si="1"/>
        <v>#REF!</v>
      </c>
      <c r="F367" s="16" t="e">
        <f t="shared" ref="F367:K367" si="740">VLOOKUP($A367,#REF!,F$1,0)</f>
        <v>#REF!</v>
      </c>
      <c r="G367" s="39" t="e">
        <f t="shared" si="740"/>
        <v>#REF!</v>
      </c>
      <c r="H367" s="16" t="e">
        <f t="shared" si="740"/>
        <v>#REF!</v>
      </c>
      <c r="I367" s="16" t="e">
        <f t="shared" si="740"/>
        <v>#REF!</v>
      </c>
      <c r="J367" s="40" t="e">
        <f t="shared" si="740"/>
        <v>#REF!</v>
      </c>
      <c r="K367" s="16" t="e">
        <f t="shared" si="740"/>
        <v>#REF!</v>
      </c>
      <c r="L367" s="40" t="e">
        <f t="shared" si="609"/>
        <v>#REF!</v>
      </c>
      <c r="M367" s="16" t="e">
        <f t="shared" si="610"/>
        <v>#REF!</v>
      </c>
      <c r="N367" s="16" t="e">
        <f t="shared" si="611"/>
        <v>#REF!</v>
      </c>
      <c r="O367" s="16" t="s">
        <v>65</v>
      </c>
      <c r="P367" s="16" t="str">
        <f t="shared" si="6"/>
        <v/>
      </c>
      <c r="Q367" s="41" t="e">
        <f t="shared" si="612"/>
        <v>#REF!</v>
      </c>
      <c r="R367" s="44"/>
      <c r="S367" s="44"/>
      <c r="T367" s="43"/>
      <c r="U367" s="43" t="str">
        <f t="shared" si="8"/>
        <v>No</v>
      </c>
      <c r="V367" s="25"/>
      <c r="W367" s="25"/>
      <c r="X367" s="25"/>
      <c r="Y367" s="25"/>
      <c r="Z367" s="25"/>
    </row>
    <row r="368" spans="1:26" ht="15.75" customHeight="1" x14ac:dyDescent="0.25">
      <c r="A368" s="25">
        <v>366</v>
      </c>
      <c r="B368" s="37" t="e">
        <f t="shared" ref="B368:D368" si="741">VLOOKUP($A368,#REF!,B$1,0)</f>
        <v>#REF!</v>
      </c>
      <c r="C368" s="38" t="e">
        <f t="shared" si="741"/>
        <v>#REF!</v>
      </c>
      <c r="D368" s="39" t="e">
        <f t="shared" si="741"/>
        <v>#REF!</v>
      </c>
      <c r="E368" s="16" t="e">
        <f t="shared" si="1"/>
        <v>#REF!</v>
      </c>
      <c r="F368" s="16" t="e">
        <f t="shared" ref="F368:K368" si="742">VLOOKUP($A368,#REF!,F$1,0)</f>
        <v>#REF!</v>
      </c>
      <c r="G368" s="39" t="e">
        <f t="shared" si="742"/>
        <v>#REF!</v>
      </c>
      <c r="H368" s="16" t="e">
        <f t="shared" si="742"/>
        <v>#REF!</v>
      </c>
      <c r="I368" s="16" t="e">
        <f t="shared" si="742"/>
        <v>#REF!</v>
      </c>
      <c r="J368" s="40" t="e">
        <f t="shared" si="742"/>
        <v>#REF!</v>
      </c>
      <c r="K368" s="16" t="e">
        <f t="shared" si="742"/>
        <v>#REF!</v>
      </c>
      <c r="L368" s="40" t="e">
        <f t="shared" si="609"/>
        <v>#REF!</v>
      </c>
      <c r="M368" s="16" t="e">
        <f t="shared" si="610"/>
        <v>#REF!</v>
      </c>
      <c r="N368" s="16" t="e">
        <f t="shared" si="611"/>
        <v>#REF!</v>
      </c>
      <c r="O368" s="16" t="s">
        <v>65</v>
      </c>
      <c r="P368" s="16" t="str">
        <f t="shared" si="6"/>
        <v/>
      </c>
      <c r="Q368" s="41" t="e">
        <f t="shared" si="612"/>
        <v>#REF!</v>
      </c>
      <c r="R368" s="44"/>
      <c r="S368" s="44"/>
      <c r="T368" s="43"/>
      <c r="U368" s="43" t="str">
        <f t="shared" si="8"/>
        <v>No</v>
      </c>
      <c r="V368" s="25"/>
      <c r="W368" s="25"/>
      <c r="X368" s="25"/>
      <c r="Y368" s="25"/>
      <c r="Z368" s="25"/>
    </row>
    <row r="369" spans="1:26" ht="15.75" customHeight="1" x14ac:dyDescent="0.25">
      <c r="A369" s="25">
        <v>367</v>
      </c>
      <c r="B369" s="37" t="e">
        <f t="shared" ref="B369:D369" si="743">VLOOKUP($A369,#REF!,B$1,0)</f>
        <v>#REF!</v>
      </c>
      <c r="C369" s="38" t="e">
        <f t="shared" si="743"/>
        <v>#REF!</v>
      </c>
      <c r="D369" s="39" t="e">
        <f t="shared" si="743"/>
        <v>#REF!</v>
      </c>
      <c r="E369" s="16" t="e">
        <f t="shared" si="1"/>
        <v>#REF!</v>
      </c>
      <c r="F369" s="16" t="e">
        <f t="shared" ref="F369:K369" si="744">VLOOKUP($A369,#REF!,F$1,0)</f>
        <v>#REF!</v>
      </c>
      <c r="G369" s="39" t="e">
        <f t="shared" si="744"/>
        <v>#REF!</v>
      </c>
      <c r="H369" s="16" t="e">
        <f t="shared" si="744"/>
        <v>#REF!</v>
      </c>
      <c r="I369" s="16" t="e">
        <f t="shared" si="744"/>
        <v>#REF!</v>
      </c>
      <c r="J369" s="40" t="e">
        <f t="shared" si="744"/>
        <v>#REF!</v>
      </c>
      <c r="K369" s="16" t="e">
        <f t="shared" si="744"/>
        <v>#REF!</v>
      </c>
      <c r="L369" s="40" t="e">
        <f t="shared" si="609"/>
        <v>#REF!</v>
      </c>
      <c r="M369" s="16" t="e">
        <f t="shared" si="610"/>
        <v>#REF!</v>
      </c>
      <c r="N369" s="16" t="e">
        <f t="shared" si="611"/>
        <v>#REF!</v>
      </c>
      <c r="O369" s="16" t="s">
        <v>65</v>
      </c>
      <c r="P369" s="16" t="str">
        <f t="shared" si="6"/>
        <v/>
      </c>
      <c r="Q369" s="41" t="e">
        <f t="shared" si="612"/>
        <v>#REF!</v>
      </c>
      <c r="R369" s="44"/>
      <c r="S369" s="44"/>
      <c r="T369" s="43"/>
      <c r="U369" s="43" t="str">
        <f t="shared" si="8"/>
        <v>No</v>
      </c>
      <c r="V369" s="25"/>
      <c r="W369" s="25"/>
      <c r="X369" s="25"/>
      <c r="Y369" s="25"/>
      <c r="Z369" s="25"/>
    </row>
    <row r="370" spans="1:26" ht="15.75" customHeight="1" x14ac:dyDescent="0.25">
      <c r="A370" s="25">
        <v>368</v>
      </c>
      <c r="B370" s="37" t="e">
        <f t="shared" ref="B370:D370" si="745">VLOOKUP($A370,#REF!,B$1,0)</f>
        <v>#REF!</v>
      </c>
      <c r="C370" s="38" t="e">
        <f t="shared" si="745"/>
        <v>#REF!</v>
      </c>
      <c r="D370" s="39" t="e">
        <f t="shared" si="745"/>
        <v>#REF!</v>
      </c>
      <c r="E370" s="16" t="e">
        <f t="shared" si="1"/>
        <v>#REF!</v>
      </c>
      <c r="F370" s="16" t="e">
        <f t="shared" ref="F370:K370" si="746">VLOOKUP($A370,#REF!,F$1,0)</f>
        <v>#REF!</v>
      </c>
      <c r="G370" s="39" t="e">
        <f t="shared" si="746"/>
        <v>#REF!</v>
      </c>
      <c r="H370" s="16" t="e">
        <f t="shared" si="746"/>
        <v>#REF!</v>
      </c>
      <c r="I370" s="16" t="e">
        <f t="shared" si="746"/>
        <v>#REF!</v>
      </c>
      <c r="J370" s="40" t="e">
        <f t="shared" si="746"/>
        <v>#REF!</v>
      </c>
      <c r="K370" s="16" t="e">
        <f t="shared" si="746"/>
        <v>#REF!</v>
      </c>
      <c r="L370" s="40" t="e">
        <f t="shared" si="609"/>
        <v>#REF!</v>
      </c>
      <c r="M370" s="16" t="e">
        <f t="shared" si="610"/>
        <v>#REF!</v>
      </c>
      <c r="N370" s="16" t="e">
        <f t="shared" si="611"/>
        <v>#REF!</v>
      </c>
      <c r="O370" s="16" t="s">
        <v>65</v>
      </c>
      <c r="P370" s="16" t="str">
        <f t="shared" si="6"/>
        <v/>
      </c>
      <c r="Q370" s="41" t="e">
        <f t="shared" si="612"/>
        <v>#REF!</v>
      </c>
      <c r="R370" s="44"/>
      <c r="S370" s="44"/>
      <c r="T370" s="43"/>
      <c r="U370" s="43" t="str">
        <f t="shared" si="8"/>
        <v>No</v>
      </c>
      <c r="V370" s="25"/>
      <c r="W370" s="25"/>
      <c r="X370" s="25"/>
      <c r="Y370" s="25"/>
      <c r="Z370" s="25"/>
    </row>
    <row r="371" spans="1:26" ht="15.75" customHeight="1" x14ac:dyDescent="0.25">
      <c r="A371" s="25">
        <v>369</v>
      </c>
      <c r="B371" s="37" t="e">
        <f t="shared" ref="B371:D371" si="747">VLOOKUP($A371,#REF!,B$1,0)</f>
        <v>#REF!</v>
      </c>
      <c r="C371" s="38" t="e">
        <f t="shared" si="747"/>
        <v>#REF!</v>
      </c>
      <c r="D371" s="39" t="e">
        <f t="shared" si="747"/>
        <v>#REF!</v>
      </c>
      <c r="E371" s="16" t="e">
        <f t="shared" si="1"/>
        <v>#REF!</v>
      </c>
      <c r="F371" s="16" t="e">
        <f t="shared" ref="F371:K371" si="748">VLOOKUP($A371,#REF!,F$1,0)</f>
        <v>#REF!</v>
      </c>
      <c r="G371" s="39" t="e">
        <f t="shared" si="748"/>
        <v>#REF!</v>
      </c>
      <c r="H371" s="16" t="e">
        <f t="shared" si="748"/>
        <v>#REF!</v>
      </c>
      <c r="I371" s="16" t="e">
        <f t="shared" si="748"/>
        <v>#REF!</v>
      </c>
      <c r="J371" s="40" t="e">
        <f t="shared" si="748"/>
        <v>#REF!</v>
      </c>
      <c r="K371" s="16" t="e">
        <f t="shared" si="748"/>
        <v>#REF!</v>
      </c>
      <c r="L371" s="40" t="e">
        <f t="shared" si="609"/>
        <v>#REF!</v>
      </c>
      <c r="M371" s="16" t="e">
        <f t="shared" si="610"/>
        <v>#REF!</v>
      </c>
      <c r="N371" s="16" t="e">
        <f t="shared" si="611"/>
        <v>#REF!</v>
      </c>
      <c r="O371" s="16" t="s">
        <v>65</v>
      </c>
      <c r="P371" s="16" t="str">
        <f t="shared" si="6"/>
        <v/>
      </c>
      <c r="Q371" s="41" t="e">
        <f t="shared" si="612"/>
        <v>#REF!</v>
      </c>
      <c r="R371" s="44"/>
      <c r="S371" s="44"/>
      <c r="T371" s="43"/>
      <c r="U371" s="43" t="str">
        <f t="shared" si="8"/>
        <v>No</v>
      </c>
      <c r="V371" s="25"/>
      <c r="W371" s="25"/>
      <c r="X371" s="25"/>
      <c r="Y371" s="25"/>
      <c r="Z371" s="25"/>
    </row>
    <row r="372" spans="1:26" ht="15.75" customHeight="1" x14ac:dyDescent="0.25">
      <c r="A372" s="25">
        <v>370</v>
      </c>
      <c r="B372" s="37" t="e">
        <f t="shared" ref="B372:D372" si="749">VLOOKUP($A372,#REF!,B$1,0)</f>
        <v>#REF!</v>
      </c>
      <c r="C372" s="38" t="e">
        <f t="shared" si="749"/>
        <v>#REF!</v>
      </c>
      <c r="D372" s="39" t="e">
        <f t="shared" si="749"/>
        <v>#REF!</v>
      </c>
      <c r="E372" s="16" t="e">
        <f t="shared" si="1"/>
        <v>#REF!</v>
      </c>
      <c r="F372" s="16" t="e">
        <f t="shared" ref="F372:K372" si="750">VLOOKUP($A372,#REF!,F$1,0)</f>
        <v>#REF!</v>
      </c>
      <c r="G372" s="39" t="e">
        <f t="shared" si="750"/>
        <v>#REF!</v>
      </c>
      <c r="H372" s="16" t="e">
        <f t="shared" si="750"/>
        <v>#REF!</v>
      </c>
      <c r="I372" s="16" t="e">
        <f t="shared" si="750"/>
        <v>#REF!</v>
      </c>
      <c r="J372" s="40" t="e">
        <f t="shared" si="750"/>
        <v>#REF!</v>
      </c>
      <c r="K372" s="16" t="e">
        <f t="shared" si="750"/>
        <v>#REF!</v>
      </c>
      <c r="L372" s="40" t="e">
        <f t="shared" si="609"/>
        <v>#REF!</v>
      </c>
      <c r="M372" s="16" t="e">
        <f t="shared" si="610"/>
        <v>#REF!</v>
      </c>
      <c r="N372" s="16" t="e">
        <f t="shared" si="611"/>
        <v>#REF!</v>
      </c>
      <c r="O372" s="16" t="s">
        <v>65</v>
      </c>
      <c r="P372" s="16" t="str">
        <f t="shared" si="6"/>
        <v/>
      </c>
      <c r="Q372" s="41" t="e">
        <f t="shared" si="612"/>
        <v>#REF!</v>
      </c>
      <c r="R372" s="44"/>
      <c r="S372" s="44"/>
      <c r="T372" s="43"/>
      <c r="U372" s="43" t="str">
        <f t="shared" si="8"/>
        <v>No</v>
      </c>
      <c r="V372" s="25"/>
      <c r="W372" s="25"/>
      <c r="X372" s="25"/>
      <c r="Y372" s="25"/>
      <c r="Z372" s="25"/>
    </row>
    <row r="373" spans="1:26" ht="15.75" customHeight="1" x14ac:dyDescent="0.25">
      <c r="A373" s="25">
        <v>371</v>
      </c>
      <c r="B373" s="37" t="e">
        <f t="shared" ref="B373:D373" si="751">VLOOKUP($A373,#REF!,B$1,0)</f>
        <v>#REF!</v>
      </c>
      <c r="C373" s="38" t="e">
        <f t="shared" si="751"/>
        <v>#REF!</v>
      </c>
      <c r="D373" s="39" t="e">
        <f t="shared" si="751"/>
        <v>#REF!</v>
      </c>
      <c r="E373" s="16" t="e">
        <f t="shared" si="1"/>
        <v>#REF!</v>
      </c>
      <c r="F373" s="16" t="e">
        <f t="shared" ref="F373:K373" si="752">VLOOKUP($A373,#REF!,F$1,0)</f>
        <v>#REF!</v>
      </c>
      <c r="G373" s="39" t="e">
        <f t="shared" si="752"/>
        <v>#REF!</v>
      </c>
      <c r="H373" s="16" t="e">
        <f t="shared" si="752"/>
        <v>#REF!</v>
      </c>
      <c r="I373" s="16" t="e">
        <f t="shared" si="752"/>
        <v>#REF!</v>
      </c>
      <c r="J373" s="40" t="e">
        <f t="shared" si="752"/>
        <v>#REF!</v>
      </c>
      <c r="K373" s="16" t="e">
        <f t="shared" si="752"/>
        <v>#REF!</v>
      </c>
      <c r="L373" s="40" t="e">
        <f t="shared" si="609"/>
        <v>#REF!</v>
      </c>
      <c r="M373" s="16" t="e">
        <f t="shared" si="610"/>
        <v>#REF!</v>
      </c>
      <c r="N373" s="16" t="e">
        <f t="shared" si="611"/>
        <v>#REF!</v>
      </c>
      <c r="O373" s="16" t="s">
        <v>65</v>
      </c>
      <c r="P373" s="16" t="str">
        <f t="shared" si="6"/>
        <v/>
      </c>
      <c r="Q373" s="41" t="e">
        <f t="shared" si="612"/>
        <v>#REF!</v>
      </c>
      <c r="R373" s="44"/>
      <c r="S373" s="44"/>
      <c r="T373" s="43"/>
      <c r="U373" s="43" t="str">
        <f t="shared" si="8"/>
        <v>No</v>
      </c>
      <c r="V373" s="25"/>
      <c r="W373" s="25"/>
      <c r="X373" s="25"/>
      <c r="Y373" s="25"/>
      <c r="Z373" s="25"/>
    </row>
    <row r="374" spans="1:26" ht="15.75" customHeight="1" x14ac:dyDescent="0.25">
      <c r="A374" s="25">
        <v>372</v>
      </c>
      <c r="B374" s="37" t="e">
        <f t="shared" ref="B374:D374" si="753">VLOOKUP($A374,#REF!,B$1,0)</f>
        <v>#REF!</v>
      </c>
      <c r="C374" s="38" t="e">
        <f t="shared" si="753"/>
        <v>#REF!</v>
      </c>
      <c r="D374" s="39" t="e">
        <f t="shared" si="753"/>
        <v>#REF!</v>
      </c>
      <c r="E374" s="16" t="e">
        <f t="shared" si="1"/>
        <v>#REF!</v>
      </c>
      <c r="F374" s="16" t="e">
        <f t="shared" ref="F374:K374" si="754">VLOOKUP($A374,#REF!,F$1,0)</f>
        <v>#REF!</v>
      </c>
      <c r="G374" s="39" t="e">
        <f t="shared" si="754"/>
        <v>#REF!</v>
      </c>
      <c r="H374" s="16" t="e">
        <f t="shared" si="754"/>
        <v>#REF!</v>
      </c>
      <c r="I374" s="16" t="e">
        <f t="shared" si="754"/>
        <v>#REF!</v>
      </c>
      <c r="J374" s="40" t="e">
        <f t="shared" si="754"/>
        <v>#REF!</v>
      </c>
      <c r="K374" s="16" t="e">
        <f t="shared" si="754"/>
        <v>#REF!</v>
      </c>
      <c r="L374" s="40" t="e">
        <f t="shared" si="609"/>
        <v>#REF!</v>
      </c>
      <c r="M374" s="16" t="e">
        <f t="shared" si="610"/>
        <v>#REF!</v>
      </c>
      <c r="N374" s="16" t="e">
        <f t="shared" si="611"/>
        <v>#REF!</v>
      </c>
      <c r="O374" s="16" t="s">
        <v>65</v>
      </c>
      <c r="P374" s="16" t="str">
        <f t="shared" si="6"/>
        <v/>
      </c>
      <c r="Q374" s="41" t="e">
        <f t="shared" si="612"/>
        <v>#REF!</v>
      </c>
      <c r="R374" s="44"/>
      <c r="S374" s="44"/>
      <c r="T374" s="43"/>
      <c r="U374" s="43" t="str">
        <f t="shared" si="8"/>
        <v>No</v>
      </c>
      <c r="V374" s="25"/>
      <c r="W374" s="25"/>
      <c r="X374" s="25"/>
      <c r="Y374" s="25"/>
      <c r="Z374" s="25"/>
    </row>
    <row r="375" spans="1:26" ht="15.75" customHeight="1" x14ac:dyDescent="0.25">
      <c r="A375" s="25">
        <v>373</v>
      </c>
      <c r="B375" s="37" t="e">
        <f t="shared" ref="B375:D375" si="755">VLOOKUP($A375,#REF!,B$1,0)</f>
        <v>#REF!</v>
      </c>
      <c r="C375" s="38" t="e">
        <f t="shared" si="755"/>
        <v>#REF!</v>
      </c>
      <c r="D375" s="39" t="e">
        <f t="shared" si="755"/>
        <v>#REF!</v>
      </c>
      <c r="E375" s="16" t="e">
        <f t="shared" si="1"/>
        <v>#REF!</v>
      </c>
      <c r="F375" s="16" t="e">
        <f t="shared" ref="F375:K375" si="756">VLOOKUP($A375,#REF!,F$1,0)</f>
        <v>#REF!</v>
      </c>
      <c r="G375" s="39" t="e">
        <f t="shared" si="756"/>
        <v>#REF!</v>
      </c>
      <c r="H375" s="16" t="e">
        <f t="shared" si="756"/>
        <v>#REF!</v>
      </c>
      <c r="I375" s="16" t="e">
        <f t="shared" si="756"/>
        <v>#REF!</v>
      </c>
      <c r="J375" s="40" t="e">
        <f t="shared" si="756"/>
        <v>#REF!</v>
      </c>
      <c r="K375" s="16" t="e">
        <f t="shared" si="756"/>
        <v>#REF!</v>
      </c>
      <c r="L375" s="40" t="e">
        <f t="shared" si="609"/>
        <v>#REF!</v>
      </c>
      <c r="M375" s="16" t="e">
        <f t="shared" si="610"/>
        <v>#REF!</v>
      </c>
      <c r="N375" s="16" t="e">
        <f t="shared" si="611"/>
        <v>#REF!</v>
      </c>
      <c r="O375" s="16" t="s">
        <v>65</v>
      </c>
      <c r="P375" s="16" t="str">
        <f t="shared" si="6"/>
        <v/>
      </c>
      <c r="Q375" s="41" t="e">
        <f t="shared" si="612"/>
        <v>#REF!</v>
      </c>
      <c r="R375" s="44"/>
      <c r="S375" s="44"/>
      <c r="T375" s="43"/>
      <c r="U375" s="43" t="str">
        <f t="shared" si="8"/>
        <v>No</v>
      </c>
      <c r="V375" s="25"/>
      <c r="W375" s="25"/>
      <c r="X375" s="25"/>
      <c r="Y375" s="25"/>
      <c r="Z375" s="25"/>
    </row>
    <row r="376" spans="1:26" ht="15.75" customHeight="1" x14ac:dyDescent="0.25">
      <c r="A376" s="25">
        <v>374</v>
      </c>
      <c r="B376" s="37" t="e">
        <f t="shared" ref="B376:D376" si="757">VLOOKUP($A376,#REF!,B$1,0)</f>
        <v>#REF!</v>
      </c>
      <c r="C376" s="38" t="e">
        <f t="shared" si="757"/>
        <v>#REF!</v>
      </c>
      <c r="D376" s="39" t="e">
        <f t="shared" si="757"/>
        <v>#REF!</v>
      </c>
      <c r="E376" s="16" t="e">
        <f t="shared" si="1"/>
        <v>#REF!</v>
      </c>
      <c r="F376" s="16" t="e">
        <f t="shared" ref="F376:K376" si="758">VLOOKUP($A376,#REF!,F$1,0)</f>
        <v>#REF!</v>
      </c>
      <c r="G376" s="39" t="e">
        <f t="shared" si="758"/>
        <v>#REF!</v>
      </c>
      <c r="H376" s="16" t="e">
        <f t="shared" si="758"/>
        <v>#REF!</v>
      </c>
      <c r="I376" s="16" t="e">
        <f t="shared" si="758"/>
        <v>#REF!</v>
      </c>
      <c r="J376" s="40" t="e">
        <f t="shared" si="758"/>
        <v>#REF!</v>
      </c>
      <c r="K376" s="16" t="e">
        <f t="shared" si="758"/>
        <v>#REF!</v>
      </c>
      <c r="L376" s="40" t="e">
        <f t="shared" si="609"/>
        <v>#REF!</v>
      </c>
      <c r="M376" s="16" t="e">
        <f t="shared" si="610"/>
        <v>#REF!</v>
      </c>
      <c r="N376" s="16" t="e">
        <f t="shared" si="611"/>
        <v>#REF!</v>
      </c>
      <c r="O376" s="16" t="s">
        <v>65</v>
      </c>
      <c r="P376" s="16" t="str">
        <f t="shared" si="6"/>
        <v/>
      </c>
      <c r="Q376" s="41" t="e">
        <f t="shared" si="612"/>
        <v>#REF!</v>
      </c>
      <c r="R376" s="44"/>
      <c r="S376" s="44"/>
      <c r="T376" s="43"/>
      <c r="U376" s="43" t="str">
        <f t="shared" si="8"/>
        <v>No</v>
      </c>
      <c r="V376" s="25"/>
      <c r="W376" s="25"/>
      <c r="X376" s="25"/>
      <c r="Y376" s="25"/>
      <c r="Z376" s="25"/>
    </row>
    <row r="377" spans="1:26" ht="15.75" customHeight="1" x14ac:dyDescent="0.25">
      <c r="A377" s="25">
        <v>375</v>
      </c>
      <c r="B377" s="37" t="e">
        <f t="shared" ref="B377:D377" si="759">VLOOKUP($A377,#REF!,B$1,0)</f>
        <v>#REF!</v>
      </c>
      <c r="C377" s="38" t="e">
        <f t="shared" si="759"/>
        <v>#REF!</v>
      </c>
      <c r="D377" s="39" t="e">
        <f t="shared" si="759"/>
        <v>#REF!</v>
      </c>
      <c r="E377" s="16" t="e">
        <f t="shared" si="1"/>
        <v>#REF!</v>
      </c>
      <c r="F377" s="16" t="e">
        <f t="shared" ref="F377:K377" si="760">VLOOKUP($A377,#REF!,F$1,0)</f>
        <v>#REF!</v>
      </c>
      <c r="G377" s="39" t="e">
        <f t="shared" si="760"/>
        <v>#REF!</v>
      </c>
      <c r="H377" s="16" t="e">
        <f t="shared" si="760"/>
        <v>#REF!</v>
      </c>
      <c r="I377" s="16" t="e">
        <f t="shared" si="760"/>
        <v>#REF!</v>
      </c>
      <c r="J377" s="40" t="e">
        <f t="shared" si="760"/>
        <v>#REF!</v>
      </c>
      <c r="K377" s="16" t="e">
        <f t="shared" si="760"/>
        <v>#REF!</v>
      </c>
      <c r="L377" s="40" t="e">
        <f t="shared" si="609"/>
        <v>#REF!</v>
      </c>
      <c r="M377" s="16" t="e">
        <f t="shared" si="610"/>
        <v>#REF!</v>
      </c>
      <c r="N377" s="16" t="e">
        <f t="shared" si="611"/>
        <v>#REF!</v>
      </c>
      <c r="O377" s="16" t="s">
        <v>65</v>
      </c>
      <c r="P377" s="16" t="str">
        <f t="shared" si="6"/>
        <v/>
      </c>
      <c r="Q377" s="41" t="e">
        <f t="shared" si="612"/>
        <v>#REF!</v>
      </c>
      <c r="R377" s="44"/>
      <c r="S377" s="44"/>
      <c r="T377" s="43"/>
      <c r="U377" s="43" t="str">
        <f t="shared" si="8"/>
        <v>No</v>
      </c>
      <c r="V377" s="25"/>
      <c r="W377" s="25"/>
      <c r="X377" s="25"/>
      <c r="Y377" s="25"/>
      <c r="Z377" s="25"/>
    </row>
    <row r="378" spans="1:26" ht="15.75" customHeight="1" x14ac:dyDescent="0.25">
      <c r="A378" s="25">
        <v>376</v>
      </c>
      <c r="B378" s="37" t="e">
        <f t="shared" ref="B378:D378" si="761">VLOOKUP($A378,#REF!,B$1,0)</f>
        <v>#REF!</v>
      </c>
      <c r="C378" s="38" t="e">
        <f t="shared" si="761"/>
        <v>#REF!</v>
      </c>
      <c r="D378" s="39" t="e">
        <f t="shared" si="761"/>
        <v>#REF!</v>
      </c>
      <c r="E378" s="16" t="e">
        <f t="shared" si="1"/>
        <v>#REF!</v>
      </c>
      <c r="F378" s="16" t="e">
        <f t="shared" ref="F378:K378" si="762">VLOOKUP($A378,#REF!,F$1,0)</f>
        <v>#REF!</v>
      </c>
      <c r="G378" s="39" t="e">
        <f t="shared" si="762"/>
        <v>#REF!</v>
      </c>
      <c r="H378" s="16" t="e">
        <f t="shared" si="762"/>
        <v>#REF!</v>
      </c>
      <c r="I378" s="16" t="e">
        <f t="shared" si="762"/>
        <v>#REF!</v>
      </c>
      <c r="J378" s="40" t="e">
        <f t="shared" si="762"/>
        <v>#REF!</v>
      </c>
      <c r="K378" s="16" t="e">
        <f t="shared" si="762"/>
        <v>#REF!</v>
      </c>
      <c r="L378" s="40" t="e">
        <f t="shared" si="609"/>
        <v>#REF!</v>
      </c>
      <c r="M378" s="16" t="e">
        <f t="shared" si="610"/>
        <v>#REF!</v>
      </c>
      <c r="N378" s="16" t="e">
        <f t="shared" si="611"/>
        <v>#REF!</v>
      </c>
      <c r="O378" s="16" t="s">
        <v>65</v>
      </c>
      <c r="P378" s="16" t="str">
        <f t="shared" si="6"/>
        <v/>
      </c>
      <c r="Q378" s="41" t="e">
        <f t="shared" si="612"/>
        <v>#REF!</v>
      </c>
      <c r="R378" s="44"/>
      <c r="S378" s="44"/>
      <c r="T378" s="43"/>
      <c r="U378" s="43" t="str">
        <f t="shared" si="8"/>
        <v>No</v>
      </c>
      <c r="V378" s="25"/>
      <c r="W378" s="25"/>
      <c r="X378" s="25"/>
      <c r="Y378" s="25"/>
      <c r="Z378" s="25"/>
    </row>
    <row r="379" spans="1:26" ht="15.75" customHeight="1" x14ac:dyDescent="0.25">
      <c r="A379" s="25">
        <v>377</v>
      </c>
      <c r="B379" s="37" t="e">
        <f t="shared" ref="B379:D379" si="763">VLOOKUP($A379,#REF!,B$1,0)</f>
        <v>#REF!</v>
      </c>
      <c r="C379" s="38" t="e">
        <f t="shared" si="763"/>
        <v>#REF!</v>
      </c>
      <c r="D379" s="39" t="e">
        <f t="shared" si="763"/>
        <v>#REF!</v>
      </c>
      <c r="E379" s="16" t="e">
        <f t="shared" si="1"/>
        <v>#REF!</v>
      </c>
      <c r="F379" s="16" t="e">
        <f t="shared" ref="F379:K379" si="764">VLOOKUP($A379,#REF!,F$1,0)</f>
        <v>#REF!</v>
      </c>
      <c r="G379" s="39" t="e">
        <f t="shared" si="764"/>
        <v>#REF!</v>
      </c>
      <c r="H379" s="16" t="e">
        <f t="shared" si="764"/>
        <v>#REF!</v>
      </c>
      <c r="I379" s="16" t="e">
        <f t="shared" si="764"/>
        <v>#REF!</v>
      </c>
      <c r="J379" s="40" t="e">
        <f t="shared" si="764"/>
        <v>#REF!</v>
      </c>
      <c r="K379" s="16" t="e">
        <f t="shared" si="764"/>
        <v>#REF!</v>
      </c>
      <c r="L379" s="40" t="e">
        <f t="shared" si="609"/>
        <v>#REF!</v>
      </c>
      <c r="M379" s="16" t="e">
        <f t="shared" si="610"/>
        <v>#REF!</v>
      </c>
      <c r="N379" s="16" t="e">
        <f t="shared" si="611"/>
        <v>#REF!</v>
      </c>
      <c r="O379" s="16" t="s">
        <v>65</v>
      </c>
      <c r="P379" s="16" t="str">
        <f t="shared" si="6"/>
        <v/>
      </c>
      <c r="Q379" s="41" t="e">
        <f t="shared" si="612"/>
        <v>#REF!</v>
      </c>
      <c r="R379" s="44"/>
      <c r="S379" s="44"/>
      <c r="T379" s="43"/>
      <c r="U379" s="43" t="str">
        <f t="shared" si="8"/>
        <v>No</v>
      </c>
      <c r="V379" s="25"/>
      <c r="W379" s="25"/>
      <c r="X379" s="25"/>
      <c r="Y379" s="25"/>
      <c r="Z379" s="25"/>
    </row>
    <row r="380" spans="1:26" ht="15.75" customHeight="1" x14ac:dyDescent="0.25">
      <c r="A380" s="25">
        <v>378</v>
      </c>
      <c r="B380" s="37" t="e">
        <f t="shared" ref="B380:D380" si="765">VLOOKUP($A380,#REF!,B$1,0)</f>
        <v>#REF!</v>
      </c>
      <c r="C380" s="38" t="e">
        <f t="shared" si="765"/>
        <v>#REF!</v>
      </c>
      <c r="D380" s="39" t="e">
        <f t="shared" si="765"/>
        <v>#REF!</v>
      </c>
      <c r="E380" s="16" t="e">
        <f t="shared" si="1"/>
        <v>#REF!</v>
      </c>
      <c r="F380" s="16" t="e">
        <f t="shared" ref="F380:K380" si="766">VLOOKUP($A380,#REF!,F$1,0)</f>
        <v>#REF!</v>
      </c>
      <c r="G380" s="39" t="e">
        <f t="shared" si="766"/>
        <v>#REF!</v>
      </c>
      <c r="H380" s="16" t="e">
        <f t="shared" si="766"/>
        <v>#REF!</v>
      </c>
      <c r="I380" s="16" t="e">
        <f t="shared" si="766"/>
        <v>#REF!</v>
      </c>
      <c r="J380" s="40" t="e">
        <f t="shared" si="766"/>
        <v>#REF!</v>
      </c>
      <c r="K380" s="16" t="e">
        <f t="shared" si="766"/>
        <v>#REF!</v>
      </c>
      <c r="L380" s="40" t="e">
        <f t="shared" si="609"/>
        <v>#REF!</v>
      </c>
      <c r="M380" s="16" t="e">
        <f t="shared" si="610"/>
        <v>#REF!</v>
      </c>
      <c r="N380" s="16" t="e">
        <f t="shared" si="611"/>
        <v>#REF!</v>
      </c>
      <c r="O380" s="16" t="s">
        <v>65</v>
      </c>
      <c r="P380" s="16" t="str">
        <f t="shared" si="6"/>
        <v/>
      </c>
      <c r="Q380" s="41" t="e">
        <f t="shared" si="612"/>
        <v>#REF!</v>
      </c>
      <c r="R380" s="44"/>
      <c r="S380" s="44"/>
      <c r="T380" s="43"/>
      <c r="U380" s="43" t="str">
        <f t="shared" si="8"/>
        <v>No</v>
      </c>
      <c r="V380" s="25"/>
      <c r="W380" s="25"/>
      <c r="X380" s="25"/>
      <c r="Y380" s="25"/>
      <c r="Z380" s="25"/>
    </row>
    <row r="381" spans="1:26" ht="15.75" customHeight="1" x14ac:dyDescent="0.25">
      <c r="A381" s="25">
        <v>379</v>
      </c>
      <c r="B381" s="37" t="e">
        <f t="shared" ref="B381:D381" si="767">VLOOKUP($A381,#REF!,B$1,0)</f>
        <v>#REF!</v>
      </c>
      <c r="C381" s="38" t="e">
        <f t="shared" si="767"/>
        <v>#REF!</v>
      </c>
      <c r="D381" s="39" t="e">
        <f t="shared" si="767"/>
        <v>#REF!</v>
      </c>
      <c r="E381" s="16" t="e">
        <f t="shared" si="1"/>
        <v>#REF!</v>
      </c>
      <c r="F381" s="16" t="e">
        <f t="shared" ref="F381:K381" si="768">VLOOKUP($A381,#REF!,F$1,0)</f>
        <v>#REF!</v>
      </c>
      <c r="G381" s="39" t="e">
        <f t="shared" si="768"/>
        <v>#REF!</v>
      </c>
      <c r="H381" s="16" t="e">
        <f t="shared" si="768"/>
        <v>#REF!</v>
      </c>
      <c r="I381" s="16" t="e">
        <f t="shared" si="768"/>
        <v>#REF!</v>
      </c>
      <c r="J381" s="40" t="e">
        <f t="shared" si="768"/>
        <v>#REF!</v>
      </c>
      <c r="K381" s="16" t="e">
        <f t="shared" si="768"/>
        <v>#REF!</v>
      </c>
      <c r="L381" s="40" t="e">
        <f t="shared" si="609"/>
        <v>#REF!</v>
      </c>
      <c r="M381" s="16" t="e">
        <f t="shared" si="610"/>
        <v>#REF!</v>
      </c>
      <c r="N381" s="16" t="e">
        <f t="shared" si="611"/>
        <v>#REF!</v>
      </c>
      <c r="O381" s="16" t="s">
        <v>65</v>
      </c>
      <c r="P381" s="16" t="str">
        <f t="shared" si="6"/>
        <v/>
      </c>
      <c r="Q381" s="41" t="e">
        <f t="shared" si="612"/>
        <v>#REF!</v>
      </c>
      <c r="R381" s="44"/>
      <c r="S381" s="44"/>
      <c r="T381" s="43"/>
      <c r="U381" s="43" t="str">
        <f t="shared" si="8"/>
        <v>No</v>
      </c>
      <c r="V381" s="25"/>
      <c r="W381" s="25"/>
      <c r="X381" s="25"/>
      <c r="Y381" s="25"/>
      <c r="Z381" s="25"/>
    </row>
    <row r="382" spans="1:26" ht="15.75" customHeight="1" x14ac:dyDescent="0.25">
      <c r="A382" s="25">
        <v>380</v>
      </c>
      <c r="B382" s="37" t="e">
        <f t="shared" ref="B382:D382" si="769">VLOOKUP($A382,#REF!,B$1,0)</f>
        <v>#REF!</v>
      </c>
      <c r="C382" s="38" t="e">
        <f t="shared" si="769"/>
        <v>#REF!</v>
      </c>
      <c r="D382" s="39" t="e">
        <f t="shared" si="769"/>
        <v>#REF!</v>
      </c>
      <c r="E382" s="16" t="e">
        <f t="shared" si="1"/>
        <v>#REF!</v>
      </c>
      <c r="F382" s="16" t="e">
        <f t="shared" ref="F382:K382" si="770">VLOOKUP($A382,#REF!,F$1,0)</f>
        <v>#REF!</v>
      </c>
      <c r="G382" s="39" t="e">
        <f t="shared" si="770"/>
        <v>#REF!</v>
      </c>
      <c r="H382" s="16" t="e">
        <f t="shared" si="770"/>
        <v>#REF!</v>
      </c>
      <c r="I382" s="16" t="e">
        <f t="shared" si="770"/>
        <v>#REF!</v>
      </c>
      <c r="J382" s="40" t="e">
        <f t="shared" si="770"/>
        <v>#REF!</v>
      </c>
      <c r="K382" s="16" t="e">
        <f t="shared" si="770"/>
        <v>#REF!</v>
      </c>
      <c r="L382" s="40" t="e">
        <f t="shared" si="609"/>
        <v>#REF!</v>
      </c>
      <c r="M382" s="16" t="e">
        <f t="shared" si="610"/>
        <v>#REF!</v>
      </c>
      <c r="N382" s="16" t="e">
        <f t="shared" si="611"/>
        <v>#REF!</v>
      </c>
      <c r="O382" s="16" t="s">
        <v>65</v>
      </c>
      <c r="P382" s="16" t="str">
        <f t="shared" si="6"/>
        <v/>
      </c>
      <c r="Q382" s="41" t="e">
        <f t="shared" si="612"/>
        <v>#REF!</v>
      </c>
      <c r="R382" s="44"/>
      <c r="S382" s="44"/>
      <c r="T382" s="43"/>
      <c r="U382" s="43" t="str">
        <f t="shared" si="8"/>
        <v>No</v>
      </c>
      <c r="V382" s="25"/>
      <c r="W382" s="25"/>
      <c r="X382" s="25"/>
      <c r="Y382" s="25"/>
      <c r="Z382" s="25"/>
    </row>
    <row r="383" spans="1:26" ht="15.75" customHeight="1" x14ac:dyDescent="0.25">
      <c r="A383" s="25">
        <v>381</v>
      </c>
      <c r="B383" s="37" t="e">
        <f t="shared" ref="B383:D383" si="771">VLOOKUP($A383,#REF!,B$1,0)</f>
        <v>#REF!</v>
      </c>
      <c r="C383" s="38" t="e">
        <f t="shared" si="771"/>
        <v>#REF!</v>
      </c>
      <c r="D383" s="39" t="e">
        <f t="shared" si="771"/>
        <v>#REF!</v>
      </c>
      <c r="E383" s="16" t="e">
        <f t="shared" si="1"/>
        <v>#REF!</v>
      </c>
      <c r="F383" s="16" t="e">
        <f t="shared" ref="F383:K383" si="772">VLOOKUP($A383,#REF!,F$1,0)</f>
        <v>#REF!</v>
      </c>
      <c r="G383" s="39" t="e">
        <f t="shared" si="772"/>
        <v>#REF!</v>
      </c>
      <c r="H383" s="16" t="e">
        <f t="shared" si="772"/>
        <v>#REF!</v>
      </c>
      <c r="I383" s="16" t="e">
        <f t="shared" si="772"/>
        <v>#REF!</v>
      </c>
      <c r="J383" s="40" t="e">
        <f t="shared" si="772"/>
        <v>#REF!</v>
      </c>
      <c r="K383" s="16" t="e">
        <f t="shared" si="772"/>
        <v>#REF!</v>
      </c>
      <c r="L383" s="40" t="e">
        <f t="shared" si="609"/>
        <v>#REF!</v>
      </c>
      <c r="M383" s="16" t="e">
        <f t="shared" si="610"/>
        <v>#REF!</v>
      </c>
      <c r="N383" s="16" t="e">
        <f t="shared" si="611"/>
        <v>#REF!</v>
      </c>
      <c r="O383" s="16" t="s">
        <v>65</v>
      </c>
      <c r="P383" s="16" t="str">
        <f t="shared" si="6"/>
        <v/>
      </c>
      <c r="Q383" s="41" t="e">
        <f t="shared" si="612"/>
        <v>#REF!</v>
      </c>
      <c r="R383" s="44"/>
      <c r="S383" s="44"/>
      <c r="T383" s="43"/>
      <c r="U383" s="43" t="str">
        <f t="shared" si="8"/>
        <v>No</v>
      </c>
      <c r="V383" s="25"/>
      <c r="W383" s="25"/>
      <c r="X383" s="25"/>
      <c r="Y383" s="25"/>
      <c r="Z383" s="25"/>
    </row>
    <row r="384" spans="1:26" ht="15.75" customHeight="1" x14ac:dyDescent="0.25">
      <c r="A384" s="25">
        <v>382</v>
      </c>
      <c r="B384" s="37" t="e">
        <f t="shared" ref="B384:D384" si="773">VLOOKUP($A384,#REF!,B$1,0)</f>
        <v>#REF!</v>
      </c>
      <c r="C384" s="38" t="e">
        <f t="shared" si="773"/>
        <v>#REF!</v>
      </c>
      <c r="D384" s="39" t="e">
        <f t="shared" si="773"/>
        <v>#REF!</v>
      </c>
      <c r="E384" s="16" t="e">
        <f t="shared" si="1"/>
        <v>#REF!</v>
      </c>
      <c r="F384" s="16" t="e">
        <f t="shared" ref="F384:K384" si="774">VLOOKUP($A384,#REF!,F$1,0)</f>
        <v>#REF!</v>
      </c>
      <c r="G384" s="39" t="e">
        <f t="shared" si="774"/>
        <v>#REF!</v>
      </c>
      <c r="H384" s="16" t="e">
        <f t="shared" si="774"/>
        <v>#REF!</v>
      </c>
      <c r="I384" s="16" t="e">
        <f t="shared" si="774"/>
        <v>#REF!</v>
      </c>
      <c r="J384" s="40" t="e">
        <f t="shared" si="774"/>
        <v>#REF!</v>
      </c>
      <c r="K384" s="16" t="e">
        <f t="shared" si="774"/>
        <v>#REF!</v>
      </c>
      <c r="L384" s="40" t="e">
        <f t="shared" si="609"/>
        <v>#REF!</v>
      </c>
      <c r="M384" s="16" t="e">
        <f t="shared" si="610"/>
        <v>#REF!</v>
      </c>
      <c r="N384" s="16" t="e">
        <f t="shared" si="611"/>
        <v>#REF!</v>
      </c>
      <c r="O384" s="16" t="s">
        <v>65</v>
      </c>
      <c r="P384" s="16" t="str">
        <f t="shared" si="6"/>
        <v/>
      </c>
      <c r="Q384" s="41" t="e">
        <f t="shared" si="612"/>
        <v>#REF!</v>
      </c>
      <c r="R384" s="44"/>
      <c r="S384" s="44"/>
      <c r="T384" s="43"/>
      <c r="U384" s="43" t="str">
        <f t="shared" si="8"/>
        <v>No</v>
      </c>
      <c r="V384" s="25"/>
      <c r="W384" s="25"/>
      <c r="X384" s="25"/>
      <c r="Y384" s="25"/>
      <c r="Z384" s="25"/>
    </row>
    <row r="385" spans="1:26" ht="15.75" customHeight="1" x14ac:dyDescent="0.25">
      <c r="A385" s="25">
        <v>383</v>
      </c>
      <c r="B385" s="37" t="e">
        <f t="shared" ref="B385:D385" si="775">VLOOKUP($A385,#REF!,B$1,0)</f>
        <v>#REF!</v>
      </c>
      <c r="C385" s="38" t="e">
        <f t="shared" si="775"/>
        <v>#REF!</v>
      </c>
      <c r="D385" s="39" t="e">
        <f t="shared" si="775"/>
        <v>#REF!</v>
      </c>
      <c r="E385" s="16" t="e">
        <f t="shared" si="1"/>
        <v>#REF!</v>
      </c>
      <c r="F385" s="16" t="e">
        <f t="shared" ref="F385:K385" si="776">VLOOKUP($A385,#REF!,F$1,0)</f>
        <v>#REF!</v>
      </c>
      <c r="G385" s="39" t="e">
        <f t="shared" si="776"/>
        <v>#REF!</v>
      </c>
      <c r="H385" s="16" t="e">
        <f t="shared" si="776"/>
        <v>#REF!</v>
      </c>
      <c r="I385" s="16" t="e">
        <f t="shared" si="776"/>
        <v>#REF!</v>
      </c>
      <c r="J385" s="40" t="e">
        <f t="shared" si="776"/>
        <v>#REF!</v>
      </c>
      <c r="K385" s="16" t="e">
        <f t="shared" si="776"/>
        <v>#REF!</v>
      </c>
      <c r="L385" s="40" t="e">
        <f t="shared" si="609"/>
        <v>#REF!</v>
      </c>
      <c r="M385" s="16" t="e">
        <f t="shared" si="610"/>
        <v>#REF!</v>
      </c>
      <c r="N385" s="16" t="e">
        <f t="shared" si="611"/>
        <v>#REF!</v>
      </c>
      <c r="O385" s="16" t="s">
        <v>65</v>
      </c>
      <c r="P385" s="16" t="str">
        <f t="shared" si="6"/>
        <v/>
      </c>
      <c r="Q385" s="41" t="e">
        <f t="shared" si="612"/>
        <v>#REF!</v>
      </c>
      <c r="R385" s="44"/>
      <c r="S385" s="44"/>
      <c r="T385" s="43"/>
      <c r="U385" s="43" t="str">
        <f t="shared" si="8"/>
        <v>No</v>
      </c>
      <c r="V385" s="25"/>
      <c r="W385" s="25"/>
      <c r="X385" s="25"/>
      <c r="Y385" s="25"/>
      <c r="Z385" s="25"/>
    </row>
    <row r="386" spans="1:26" ht="15.75" customHeight="1" x14ac:dyDescent="0.25">
      <c r="A386" s="25">
        <v>384</v>
      </c>
      <c r="B386" s="37" t="e">
        <f t="shared" ref="B386:D386" si="777">VLOOKUP($A386,#REF!,B$1,0)</f>
        <v>#REF!</v>
      </c>
      <c r="C386" s="38" t="e">
        <f t="shared" si="777"/>
        <v>#REF!</v>
      </c>
      <c r="D386" s="39" t="e">
        <f t="shared" si="777"/>
        <v>#REF!</v>
      </c>
      <c r="E386" s="16" t="e">
        <f t="shared" si="1"/>
        <v>#REF!</v>
      </c>
      <c r="F386" s="16" t="e">
        <f t="shared" ref="F386:K386" si="778">VLOOKUP($A386,#REF!,F$1,0)</f>
        <v>#REF!</v>
      </c>
      <c r="G386" s="39" t="e">
        <f t="shared" si="778"/>
        <v>#REF!</v>
      </c>
      <c r="H386" s="16" t="e">
        <f t="shared" si="778"/>
        <v>#REF!</v>
      </c>
      <c r="I386" s="16" t="e">
        <f t="shared" si="778"/>
        <v>#REF!</v>
      </c>
      <c r="J386" s="40" t="e">
        <f t="shared" si="778"/>
        <v>#REF!</v>
      </c>
      <c r="K386" s="16" t="e">
        <f t="shared" si="778"/>
        <v>#REF!</v>
      </c>
      <c r="L386" s="40" t="e">
        <f t="shared" si="609"/>
        <v>#REF!</v>
      </c>
      <c r="M386" s="16" t="e">
        <f t="shared" si="610"/>
        <v>#REF!</v>
      </c>
      <c r="N386" s="16" t="e">
        <f t="shared" si="611"/>
        <v>#REF!</v>
      </c>
      <c r="O386" s="16" t="s">
        <v>65</v>
      </c>
      <c r="P386" s="16" t="str">
        <f t="shared" si="6"/>
        <v/>
      </c>
      <c r="Q386" s="41" t="e">
        <f t="shared" si="612"/>
        <v>#REF!</v>
      </c>
      <c r="R386" s="44"/>
      <c r="S386" s="44"/>
      <c r="T386" s="43"/>
      <c r="U386" s="43" t="str">
        <f t="shared" si="8"/>
        <v>No</v>
      </c>
      <c r="V386" s="25"/>
      <c r="W386" s="25"/>
      <c r="X386" s="25"/>
      <c r="Y386" s="25"/>
      <c r="Z386" s="25"/>
    </row>
    <row r="387" spans="1:26" ht="15.75" customHeight="1" x14ac:dyDescent="0.25">
      <c r="A387" s="25">
        <v>385</v>
      </c>
      <c r="B387" s="37" t="e">
        <f t="shared" ref="B387:D387" si="779">VLOOKUP($A387,#REF!,B$1,0)</f>
        <v>#REF!</v>
      </c>
      <c r="C387" s="38" t="e">
        <f t="shared" si="779"/>
        <v>#REF!</v>
      </c>
      <c r="D387" s="39" t="e">
        <f t="shared" si="779"/>
        <v>#REF!</v>
      </c>
      <c r="E387" s="16" t="e">
        <f t="shared" si="1"/>
        <v>#REF!</v>
      </c>
      <c r="F387" s="16" t="e">
        <f t="shared" ref="F387:K387" si="780">VLOOKUP($A387,#REF!,F$1,0)</f>
        <v>#REF!</v>
      </c>
      <c r="G387" s="39" t="e">
        <f t="shared" si="780"/>
        <v>#REF!</v>
      </c>
      <c r="H387" s="16" t="e">
        <f t="shared" si="780"/>
        <v>#REF!</v>
      </c>
      <c r="I387" s="16" t="e">
        <f t="shared" si="780"/>
        <v>#REF!</v>
      </c>
      <c r="J387" s="40" t="e">
        <f t="shared" si="780"/>
        <v>#REF!</v>
      </c>
      <c r="K387" s="16" t="e">
        <f t="shared" si="780"/>
        <v>#REF!</v>
      </c>
      <c r="L387" s="40" t="e">
        <f t="shared" si="609"/>
        <v>#REF!</v>
      </c>
      <c r="M387" s="16" t="e">
        <f t="shared" si="610"/>
        <v>#REF!</v>
      </c>
      <c r="N387" s="16" t="e">
        <f t="shared" si="611"/>
        <v>#REF!</v>
      </c>
      <c r="O387" s="16" t="s">
        <v>65</v>
      </c>
      <c r="P387" s="16" t="str">
        <f t="shared" si="6"/>
        <v/>
      </c>
      <c r="Q387" s="41" t="e">
        <f t="shared" si="612"/>
        <v>#REF!</v>
      </c>
      <c r="R387" s="44"/>
      <c r="S387" s="44"/>
      <c r="T387" s="43"/>
      <c r="U387" s="43" t="str">
        <f t="shared" si="8"/>
        <v>No</v>
      </c>
      <c r="V387" s="25"/>
      <c r="W387" s="25"/>
      <c r="X387" s="25"/>
      <c r="Y387" s="25"/>
      <c r="Z387" s="25"/>
    </row>
    <row r="388" spans="1:26" ht="15.75" customHeight="1" x14ac:dyDescent="0.25">
      <c r="A388" s="25">
        <v>386</v>
      </c>
      <c r="B388" s="37" t="e">
        <f t="shared" ref="B388:D388" si="781">VLOOKUP($A388,#REF!,B$1,0)</f>
        <v>#REF!</v>
      </c>
      <c r="C388" s="38" t="e">
        <f t="shared" si="781"/>
        <v>#REF!</v>
      </c>
      <c r="D388" s="39" t="e">
        <f t="shared" si="781"/>
        <v>#REF!</v>
      </c>
      <c r="E388" s="16" t="e">
        <f t="shared" si="1"/>
        <v>#REF!</v>
      </c>
      <c r="F388" s="16" t="e">
        <f t="shared" ref="F388:K388" si="782">VLOOKUP($A388,#REF!,F$1,0)</f>
        <v>#REF!</v>
      </c>
      <c r="G388" s="39" t="e">
        <f t="shared" si="782"/>
        <v>#REF!</v>
      </c>
      <c r="H388" s="16" t="e">
        <f t="shared" si="782"/>
        <v>#REF!</v>
      </c>
      <c r="I388" s="16" t="e">
        <f t="shared" si="782"/>
        <v>#REF!</v>
      </c>
      <c r="J388" s="40" t="e">
        <f t="shared" si="782"/>
        <v>#REF!</v>
      </c>
      <c r="K388" s="16" t="e">
        <f t="shared" si="782"/>
        <v>#REF!</v>
      </c>
      <c r="L388" s="40" t="e">
        <f t="shared" si="609"/>
        <v>#REF!</v>
      </c>
      <c r="M388" s="16" t="e">
        <f t="shared" si="610"/>
        <v>#REF!</v>
      </c>
      <c r="N388" s="16" t="e">
        <f t="shared" si="611"/>
        <v>#REF!</v>
      </c>
      <c r="O388" s="16" t="s">
        <v>65</v>
      </c>
      <c r="P388" s="16" t="str">
        <f t="shared" si="6"/>
        <v/>
      </c>
      <c r="Q388" s="41" t="e">
        <f t="shared" si="612"/>
        <v>#REF!</v>
      </c>
      <c r="R388" s="44"/>
      <c r="S388" s="44"/>
      <c r="T388" s="43"/>
      <c r="U388" s="43" t="str">
        <f t="shared" si="8"/>
        <v>No</v>
      </c>
      <c r="V388" s="25"/>
      <c r="W388" s="25"/>
      <c r="X388" s="25"/>
      <c r="Y388" s="25"/>
      <c r="Z388" s="25"/>
    </row>
    <row r="389" spans="1:26" ht="15.75" customHeight="1" x14ac:dyDescent="0.25">
      <c r="A389" s="25">
        <v>387</v>
      </c>
      <c r="B389" s="37" t="e">
        <f t="shared" ref="B389:D389" si="783">VLOOKUP($A389,#REF!,B$1,0)</f>
        <v>#REF!</v>
      </c>
      <c r="C389" s="38" t="e">
        <f t="shared" si="783"/>
        <v>#REF!</v>
      </c>
      <c r="D389" s="39" t="e">
        <f t="shared" si="783"/>
        <v>#REF!</v>
      </c>
      <c r="E389" s="16" t="e">
        <f t="shared" si="1"/>
        <v>#REF!</v>
      </c>
      <c r="F389" s="16" t="e">
        <f t="shared" ref="F389:K389" si="784">VLOOKUP($A389,#REF!,F$1,0)</f>
        <v>#REF!</v>
      </c>
      <c r="G389" s="39" t="e">
        <f t="shared" si="784"/>
        <v>#REF!</v>
      </c>
      <c r="H389" s="16" t="e">
        <f t="shared" si="784"/>
        <v>#REF!</v>
      </c>
      <c r="I389" s="16" t="e">
        <f t="shared" si="784"/>
        <v>#REF!</v>
      </c>
      <c r="J389" s="40" t="e">
        <f t="shared" si="784"/>
        <v>#REF!</v>
      </c>
      <c r="K389" s="16" t="e">
        <f t="shared" si="784"/>
        <v>#REF!</v>
      </c>
      <c r="L389" s="40" t="e">
        <f t="shared" si="609"/>
        <v>#REF!</v>
      </c>
      <c r="M389" s="16" t="e">
        <f t="shared" si="610"/>
        <v>#REF!</v>
      </c>
      <c r="N389" s="16" t="e">
        <f t="shared" si="611"/>
        <v>#REF!</v>
      </c>
      <c r="O389" s="16" t="s">
        <v>65</v>
      </c>
      <c r="P389" s="16" t="str">
        <f t="shared" si="6"/>
        <v/>
      </c>
      <c r="Q389" s="41" t="e">
        <f t="shared" si="612"/>
        <v>#REF!</v>
      </c>
      <c r="R389" s="44"/>
      <c r="S389" s="44"/>
      <c r="T389" s="43"/>
      <c r="U389" s="43" t="str">
        <f t="shared" si="8"/>
        <v>No</v>
      </c>
      <c r="V389" s="25"/>
      <c r="W389" s="25"/>
      <c r="X389" s="25"/>
      <c r="Y389" s="25"/>
      <c r="Z389" s="25"/>
    </row>
    <row r="390" spans="1:26" ht="15.75" customHeight="1" x14ac:dyDescent="0.25">
      <c r="A390" s="25">
        <v>388</v>
      </c>
      <c r="B390" s="37" t="e">
        <f t="shared" ref="B390:D390" si="785">VLOOKUP($A390,#REF!,B$1,0)</f>
        <v>#REF!</v>
      </c>
      <c r="C390" s="38" t="e">
        <f t="shared" si="785"/>
        <v>#REF!</v>
      </c>
      <c r="D390" s="39" t="e">
        <f t="shared" si="785"/>
        <v>#REF!</v>
      </c>
      <c r="E390" s="16" t="e">
        <f t="shared" si="1"/>
        <v>#REF!</v>
      </c>
      <c r="F390" s="16" t="e">
        <f t="shared" ref="F390:K390" si="786">VLOOKUP($A390,#REF!,F$1,0)</f>
        <v>#REF!</v>
      </c>
      <c r="G390" s="39" t="e">
        <f t="shared" si="786"/>
        <v>#REF!</v>
      </c>
      <c r="H390" s="16" t="e">
        <f t="shared" si="786"/>
        <v>#REF!</v>
      </c>
      <c r="I390" s="16" t="e">
        <f t="shared" si="786"/>
        <v>#REF!</v>
      </c>
      <c r="J390" s="40" t="e">
        <f t="shared" si="786"/>
        <v>#REF!</v>
      </c>
      <c r="K390" s="16" t="e">
        <f t="shared" si="786"/>
        <v>#REF!</v>
      </c>
      <c r="L390" s="40" t="e">
        <f t="shared" si="609"/>
        <v>#REF!</v>
      </c>
      <c r="M390" s="16" t="e">
        <f t="shared" si="610"/>
        <v>#REF!</v>
      </c>
      <c r="N390" s="16" t="e">
        <f t="shared" si="611"/>
        <v>#REF!</v>
      </c>
      <c r="O390" s="16" t="s">
        <v>65</v>
      </c>
      <c r="P390" s="16" t="str">
        <f t="shared" si="6"/>
        <v/>
      </c>
      <c r="Q390" s="41" t="e">
        <f t="shared" si="612"/>
        <v>#REF!</v>
      </c>
      <c r="R390" s="44"/>
      <c r="S390" s="44"/>
      <c r="T390" s="43"/>
      <c r="U390" s="43" t="str">
        <f t="shared" si="8"/>
        <v>No</v>
      </c>
      <c r="V390" s="25"/>
      <c r="W390" s="25"/>
      <c r="X390" s="25"/>
      <c r="Y390" s="25"/>
      <c r="Z390" s="25"/>
    </row>
    <row r="391" spans="1:26" ht="15.75" customHeight="1" x14ac:dyDescent="0.25">
      <c r="A391" s="25">
        <v>389</v>
      </c>
      <c r="B391" s="37" t="e">
        <f t="shared" ref="B391:D391" si="787">VLOOKUP($A391,#REF!,B$1,0)</f>
        <v>#REF!</v>
      </c>
      <c r="C391" s="38" t="e">
        <f t="shared" si="787"/>
        <v>#REF!</v>
      </c>
      <c r="D391" s="39" t="e">
        <f t="shared" si="787"/>
        <v>#REF!</v>
      </c>
      <c r="E391" s="16" t="e">
        <f t="shared" si="1"/>
        <v>#REF!</v>
      </c>
      <c r="F391" s="16" t="e">
        <f t="shared" ref="F391:K391" si="788">VLOOKUP($A391,#REF!,F$1,0)</f>
        <v>#REF!</v>
      </c>
      <c r="G391" s="39" t="e">
        <f t="shared" si="788"/>
        <v>#REF!</v>
      </c>
      <c r="H391" s="16" t="e">
        <f t="shared" si="788"/>
        <v>#REF!</v>
      </c>
      <c r="I391" s="16" t="e">
        <f t="shared" si="788"/>
        <v>#REF!</v>
      </c>
      <c r="J391" s="40" t="e">
        <f t="shared" si="788"/>
        <v>#REF!</v>
      </c>
      <c r="K391" s="16" t="e">
        <f t="shared" si="788"/>
        <v>#REF!</v>
      </c>
      <c r="L391" s="40" t="e">
        <f t="shared" si="609"/>
        <v>#REF!</v>
      </c>
      <c r="M391" s="16" t="e">
        <f t="shared" si="610"/>
        <v>#REF!</v>
      </c>
      <c r="N391" s="16" t="e">
        <f t="shared" si="611"/>
        <v>#REF!</v>
      </c>
      <c r="O391" s="16" t="s">
        <v>65</v>
      </c>
      <c r="P391" s="16" t="str">
        <f t="shared" si="6"/>
        <v/>
      </c>
      <c r="Q391" s="41" t="e">
        <f t="shared" si="612"/>
        <v>#REF!</v>
      </c>
      <c r="R391" s="44"/>
      <c r="S391" s="44"/>
      <c r="T391" s="43"/>
      <c r="U391" s="43" t="str">
        <f t="shared" si="8"/>
        <v>No</v>
      </c>
      <c r="V391" s="25"/>
      <c r="W391" s="25"/>
      <c r="X391" s="25"/>
      <c r="Y391" s="25"/>
      <c r="Z391" s="25"/>
    </row>
    <row r="392" spans="1:26" ht="15.75" customHeight="1" x14ac:dyDescent="0.25">
      <c r="A392" s="25">
        <v>390</v>
      </c>
      <c r="B392" s="37" t="e">
        <f t="shared" ref="B392:D392" si="789">VLOOKUP($A392,#REF!,B$1,0)</f>
        <v>#REF!</v>
      </c>
      <c r="C392" s="38" t="e">
        <f t="shared" si="789"/>
        <v>#REF!</v>
      </c>
      <c r="D392" s="39" t="e">
        <f t="shared" si="789"/>
        <v>#REF!</v>
      </c>
      <c r="E392" s="16" t="e">
        <f t="shared" si="1"/>
        <v>#REF!</v>
      </c>
      <c r="F392" s="16" t="e">
        <f t="shared" ref="F392:K392" si="790">VLOOKUP($A392,#REF!,F$1,0)</f>
        <v>#REF!</v>
      </c>
      <c r="G392" s="39" t="e">
        <f t="shared" si="790"/>
        <v>#REF!</v>
      </c>
      <c r="H392" s="16" t="e">
        <f t="shared" si="790"/>
        <v>#REF!</v>
      </c>
      <c r="I392" s="16" t="e">
        <f t="shared" si="790"/>
        <v>#REF!</v>
      </c>
      <c r="J392" s="40" t="e">
        <f t="shared" si="790"/>
        <v>#REF!</v>
      </c>
      <c r="K392" s="16" t="e">
        <f t="shared" si="790"/>
        <v>#REF!</v>
      </c>
      <c r="L392" s="40" t="e">
        <f t="shared" si="609"/>
        <v>#REF!</v>
      </c>
      <c r="M392" s="16" t="e">
        <f t="shared" si="610"/>
        <v>#REF!</v>
      </c>
      <c r="N392" s="16" t="e">
        <f t="shared" si="611"/>
        <v>#REF!</v>
      </c>
      <c r="O392" s="16" t="s">
        <v>65</v>
      </c>
      <c r="P392" s="16" t="str">
        <f t="shared" si="6"/>
        <v/>
      </c>
      <c r="Q392" s="41" t="e">
        <f t="shared" si="612"/>
        <v>#REF!</v>
      </c>
      <c r="R392" s="44"/>
      <c r="S392" s="44"/>
      <c r="T392" s="43"/>
      <c r="U392" s="43" t="str">
        <f t="shared" si="8"/>
        <v>No</v>
      </c>
      <c r="V392" s="25"/>
      <c r="W392" s="25"/>
      <c r="X392" s="25"/>
      <c r="Y392" s="25"/>
      <c r="Z392" s="25"/>
    </row>
    <row r="393" spans="1:26" ht="15.75" customHeight="1" x14ac:dyDescent="0.25">
      <c r="A393" s="25">
        <v>391</v>
      </c>
      <c r="B393" s="37" t="e">
        <f t="shared" ref="B393:D393" si="791">VLOOKUP($A393,#REF!,B$1,0)</f>
        <v>#REF!</v>
      </c>
      <c r="C393" s="38" t="e">
        <f t="shared" si="791"/>
        <v>#REF!</v>
      </c>
      <c r="D393" s="39" t="e">
        <f t="shared" si="791"/>
        <v>#REF!</v>
      </c>
      <c r="E393" s="16" t="e">
        <f t="shared" si="1"/>
        <v>#REF!</v>
      </c>
      <c r="F393" s="16" t="e">
        <f t="shared" ref="F393:K393" si="792">VLOOKUP($A393,#REF!,F$1,0)</f>
        <v>#REF!</v>
      </c>
      <c r="G393" s="39" t="e">
        <f t="shared" si="792"/>
        <v>#REF!</v>
      </c>
      <c r="H393" s="16" t="e">
        <f t="shared" si="792"/>
        <v>#REF!</v>
      </c>
      <c r="I393" s="16" t="e">
        <f t="shared" si="792"/>
        <v>#REF!</v>
      </c>
      <c r="J393" s="40" t="e">
        <f t="shared" si="792"/>
        <v>#REF!</v>
      </c>
      <c r="K393" s="16" t="e">
        <f t="shared" si="792"/>
        <v>#REF!</v>
      </c>
      <c r="L393" s="40" t="e">
        <f t="shared" si="609"/>
        <v>#REF!</v>
      </c>
      <c r="M393" s="16" t="e">
        <f t="shared" si="610"/>
        <v>#REF!</v>
      </c>
      <c r="N393" s="16" t="e">
        <f t="shared" si="611"/>
        <v>#REF!</v>
      </c>
      <c r="O393" s="16" t="s">
        <v>65</v>
      </c>
      <c r="P393" s="16" t="str">
        <f t="shared" si="6"/>
        <v/>
      </c>
      <c r="Q393" s="41" t="e">
        <f t="shared" si="612"/>
        <v>#REF!</v>
      </c>
      <c r="R393" s="44"/>
      <c r="S393" s="44"/>
      <c r="T393" s="43"/>
      <c r="U393" s="43" t="str">
        <f t="shared" si="8"/>
        <v>No</v>
      </c>
      <c r="V393" s="25"/>
      <c r="W393" s="25"/>
      <c r="X393" s="25"/>
      <c r="Y393" s="25"/>
      <c r="Z393" s="25"/>
    </row>
    <row r="394" spans="1:26" ht="15.75" customHeight="1" x14ac:dyDescent="0.25">
      <c r="A394" s="25">
        <v>392</v>
      </c>
      <c r="B394" s="37" t="e">
        <f t="shared" ref="B394:D394" si="793">VLOOKUP($A394,#REF!,B$1,0)</f>
        <v>#REF!</v>
      </c>
      <c r="C394" s="38" t="e">
        <f t="shared" si="793"/>
        <v>#REF!</v>
      </c>
      <c r="D394" s="39" t="e">
        <f t="shared" si="793"/>
        <v>#REF!</v>
      </c>
      <c r="E394" s="16" t="e">
        <f t="shared" si="1"/>
        <v>#REF!</v>
      </c>
      <c r="F394" s="16" t="e">
        <f t="shared" ref="F394:K394" si="794">VLOOKUP($A394,#REF!,F$1,0)</f>
        <v>#REF!</v>
      </c>
      <c r="G394" s="39" t="e">
        <f t="shared" si="794"/>
        <v>#REF!</v>
      </c>
      <c r="H394" s="16" t="e">
        <f t="shared" si="794"/>
        <v>#REF!</v>
      </c>
      <c r="I394" s="16" t="e">
        <f t="shared" si="794"/>
        <v>#REF!</v>
      </c>
      <c r="J394" s="40" t="e">
        <f t="shared" si="794"/>
        <v>#REF!</v>
      </c>
      <c r="K394" s="16" t="e">
        <f t="shared" si="794"/>
        <v>#REF!</v>
      </c>
      <c r="L394" s="40" t="e">
        <f t="shared" si="609"/>
        <v>#REF!</v>
      </c>
      <c r="M394" s="16" t="e">
        <f t="shared" si="610"/>
        <v>#REF!</v>
      </c>
      <c r="N394" s="16" t="e">
        <f t="shared" si="611"/>
        <v>#REF!</v>
      </c>
      <c r="O394" s="16" t="s">
        <v>65</v>
      </c>
      <c r="P394" s="16" t="str">
        <f t="shared" si="6"/>
        <v/>
      </c>
      <c r="Q394" s="41" t="e">
        <f t="shared" si="612"/>
        <v>#REF!</v>
      </c>
      <c r="R394" s="44"/>
      <c r="S394" s="44"/>
      <c r="T394" s="43"/>
      <c r="U394" s="43" t="str">
        <f t="shared" si="8"/>
        <v>No</v>
      </c>
      <c r="V394" s="25"/>
      <c r="W394" s="25"/>
      <c r="X394" s="25"/>
      <c r="Y394" s="25"/>
      <c r="Z394" s="25"/>
    </row>
    <row r="395" spans="1:26" ht="15.75" customHeight="1" x14ac:dyDescent="0.25">
      <c r="A395" s="25">
        <v>393</v>
      </c>
      <c r="B395" s="37" t="e">
        <f t="shared" ref="B395:D395" si="795">VLOOKUP($A395,#REF!,B$1,0)</f>
        <v>#REF!</v>
      </c>
      <c r="C395" s="38" t="e">
        <f t="shared" si="795"/>
        <v>#REF!</v>
      </c>
      <c r="D395" s="39" t="e">
        <f t="shared" si="795"/>
        <v>#REF!</v>
      </c>
      <c r="E395" s="16" t="e">
        <f t="shared" si="1"/>
        <v>#REF!</v>
      </c>
      <c r="F395" s="16" t="e">
        <f t="shared" ref="F395:K395" si="796">VLOOKUP($A395,#REF!,F$1,0)</f>
        <v>#REF!</v>
      </c>
      <c r="G395" s="39" t="e">
        <f t="shared" si="796"/>
        <v>#REF!</v>
      </c>
      <c r="H395" s="16" t="e">
        <f t="shared" si="796"/>
        <v>#REF!</v>
      </c>
      <c r="I395" s="16" t="e">
        <f t="shared" si="796"/>
        <v>#REF!</v>
      </c>
      <c r="J395" s="40" t="e">
        <f t="shared" si="796"/>
        <v>#REF!</v>
      </c>
      <c r="K395" s="16" t="e">
        <f t="shared" si="796"/>
        <v>#REF!</v>
      </c>
      <c r="L395" s="40" t="e">
        <f t="shared" si="609"/>
        <v>#REF!</v>
      </c>
      <c r="M395" s="16" t="e">
        <f t="shared" si="610"/>
        <v>#REF!</v>
      </c>
      <c r="N395" s="16" t="e">
        <f t="shared" si="611"/>
        <v>#REF!</v>
      </c>
      <c r="O395" s="16" t="s">
        <v>65</v>
      </c>
      <c r="P395" s="16" t="str">
        <f t="shared" si="6"/>
        <v/>
      </c>
      <c r="Q395" s="41" t="e">
        <f t="shared" si="612"/>
        <v>#REF!</v>
      </c>
      <c r="R395" s="44"/>
      <c r="S395" s="44"/>
      <c r="T395" s="43"/>
      <c r="U395" s="43" t="str">
        <f t="shared" si="8"/>
        <v>No</v>
      </c>
      <c r="V395" s="25"/>
      <c r="W395" s="25"/>
      <c r="X395" s="25"/>
      <c r="Y395" s="25"/>
      <c r="Z395" s="25"/>
    </row>
    <row r="396" spans="1:26" ht="15.75" customHeight="1" x14ac:dyDescent="0.25">
      <c r="A396" s="25">
        <v>394</v>
      </c>
      <c r="B396" s="37" t="e">
        <f t="shared" ref="B396:D396" si="797">VLOOKUP($A396,#REF!,B$1,0)</f>
        <v>#REF!</v>
      </c>
      <c r="C396" s="38" t="e">
        <f t="shared" si="797"/>
        <v>#REF!</v>
      </c>
      <c r="D396" s="39" t="e">
        <f t="shared" si="797"/>
        <v>#REF!</v>
      </c>
      <c r="E396" s="16" t="e">
        <f t="shared" si="1"/>
        <v>#REF!</v>
      </c>
      <c r="F396" s="16" t="e">
        <f t="shared" ref="F396:K396" si="798">VLOOKUP($A396,#REF!,F$1,0)</f>
        <v>#REF!</v>
      </c>
      <c r="G396" s="39" t="e">
        <f t="shared" si="798"/>
        <v>#REF!</v>
      </c>
      <c r="H396" s="16" t="e">
        <f t="shared" si="798"/>
        <v>#REF!</v>
      </c>
      <c r="I396" s="16" t="e">
        <f t="shared" si="798"/>
        <v>#REF!</v>
      </c>
      <c r="J396" s="40" t="e">
        <f t="shared" si="798"/>
        <v>#REF!</v>
      </c>
      <c r="K396" s="16" t="e">
        <f t="shared" si="798"/>
        <v>#REF!</v>
      </c>
      <c r="L396" s="40" t="e">
        <f t="shared" si="609"/>
        <v>#REF!</v>
      </c>
      <c r="M396" s="16" t="e">
        <f t="shared" si="610"/>
        <v>#REF!</v>
      </c>
      <c r="N396" s="16" t="e">
        <f t="shared" si="611"/>
        <v>#REF!</v>
      </c>
      <c r="O396" s="16" t="s">
        <v>65</v>
      </c>
      <c r="P396" s="16" t="str">
        <f t="shared" si="6"/>
        <v/>
      </c>
      <c r="Q396" s="41" t="e">
        <f t="shared" si="612"/>
        <v>#REF!</v>
      </c>
      <c r="R396" s="44"/>
      <c r="S396" s="44"/>
      <c r="T396" s="43"/>
      <c r="U396" s="43" t="str">
        <f t="shared" si="8"/>
        <v>No</v>
      </c>
      <c r="V396" s="25"/>
      <c r="W396" s="25"/>
      <c r="X396" s="25"/>
      <c r="Y396" s="25"/>
      <c r="Z396" s="25"/>
    </row>
    <row r="397" spans="1:26" ht="15.75" customHeight="1" x14ac:dyDescent="0.25">
      <c r="A397" s="25">
        <v>395</v>
      </c>
      <c r="B397" s="37" t="e">
        <f t="shared" ref="B397:D397" si="799">VLOOKUP($A397,#REF!,B$1,0)</f>
        <v>#REF!</v>
      </c>
      <c r="C397" s="38" t="e">
        <f t="shared" si="799"/>
        <v>#REF!</v>
      </c>
      <c r="D397" s="39" t="e">
        <f t="shared" si="799"/>
        <v>#REF!</v>
      </c>
      <c r="E397" s="16" t="e">
        <f t="shared" si="1"/>
        <v>#REF!</v>
      </c>
      <c r="F397" s="16" t="e">
        <f t="shared" ref="F397:K397" si="800">VLOOKUP($A397,#REF!,F$1,0)</f>
        <v>#REF!</v>
      </c>
      <c r="G397" s="39" t="e">
        <f t="shared" si="800"/>
        <v>#REF!</v>
      </c>
      <c r="H397" s="16" t="e">
        <f t="shared" si="800"/>
        <v>#REF!</v>
      </c>
      <c r="I397" s="16" t="e">
        <f t="shared" si="800"/>
        <v>#REF!</v>
      </c>
      <c r="J397" s="40" t="e">
        <f t="shared" si="800"/>
        <v>#REF!</v>
      </c>
      <c r="K397" s="16" t="e">
        <f t="shared" si="800"/>
        <v>#REF!</v>
      </c>
      <c r="L397" s="40" t="e">
        <f t="shared" si="609"/>
        <v>#REF!</v>
      </c>
      <c r="M397" s="16" t="e">
        <f t="shared" si="610"/>
        <v>#REF!</v>
      </c>
      <c r="N397" s="16" t="e">
        <f t="shared" si="611"/>
        <v>#REF!</v>
      </c>
      <c r="O397" s="16" t="s">
        <v>65</v>
      </c>
      <c r="P397" s="16" t="str">
        <f t="shared" si="6"/>
        <v/>
      </c>
      <c r="Q397" s="41" t="e">
        <f t="shared" si="612"/>
        <v>#REF!</v>
      </c>
      <c r="R397" s="44"/>
      <c r="S397" s="44"/>
      <c r="T397" s="43"/>
      <c r="U397" s="43" t="str">
        <f t="shared" si="8"/>
        <v>No</v>
      </c>
      <c r="V397" s="25"/>
      <c r="W397" s="25"/>
      <c r="X397" s="25"/>
      <c r="Y397" s="25"/>
      <c r="Z397" s="25"/>
    </row>
    <row r="398" spans="1:26" ht="15.75" customHeight="1" x14ac:dyDescent="0.25">
      <c r="A398" s="25">
        <v>396</v>
      </c>
      <c r="B398" s="37" t="e">
        <f t="shared" ref="B398:D398" si="801">VLOOKUP($A398,#REF!,B$1,0)</f>
        <v>#REF!</v>
      </c>
      <c r="C398" s="38" t="e">
        <f t="shared" si="801"/>
        <v>#REF!</v>
      </c>
      <c r="D398" s="39" t="e">
        <f t="shared" si="801"/>
        <v>#REF!</v>
      </c>
      <c r="E398" s="16" t="e">
        <f t="shared" si="1"/>
        <v>#REF!</v>
      </c>
      <c r="F398" s="16" t="e">
        <f t="shared" ref="F398:K398" si="802">VLOOKUP($A398,#REF!,F$1,0)</f>
        <v>#REF!</v>
      </c>
      <c r="G398" s="39" t="e">
        <f t="shared" si="802"/>
        <v>#REF!</v>
      </c>
      <c r="H398" s="16" t="e">
        <f t="shared" si="802"/>
        <v>#REF!</v>
      </c>
      <c r="I398" s="16" t="e">
        <f t="shared" si="802"/>
        <v>#REF!</v>
      </c>
      <c r="J398" s="40" t="e">
        <f t="shared" si="802"/>
        <v>#REF!</v>
      </c>
      <c r="K398" s="16" t="e">
        <f t="shared" si="802"/>
        <v>#REF!</v>
      </c>
      <c r="L398" s="40" t="e">
        <f t="shared" si="609"/>
        <v>#REF!</v>
      </c>
      <c r="M398" s="16" t="e">
        <f t="shared" si="610"/>
        <v>#REF!</v>
      </c>
      <c r="N398" s="16" t="e">
        <f t="shared" si="611"/>
        <v>#REF!</v>
      </c>
      <c r="O398" s="16" t="s">
        <v>65</v>
      </c>
      <c r="P398" s="16" t="str">
        <f t="shared" si="6"/>
        <v/>
      </c>
      <c r="Q398" s="41" t="e">
        <f t="shared" si="612"/>
        <v>#REF!</v>
      </c>
      <c r="R398" s="44"/>
      <c r="S398" s="44"/>
      <c r="T398" s="43"/>
      <c r="U398" s="43" t="str">
        <f t="shared" si="8"/>
        <v>No</v>
      </c>
      <c r="V398" s="25"/>
      <c r="W398" s="25"/>
      <c r="X398" s="25"/>
      <c r="Y398" s="25"/>
      <c r="Z398" s="25"/>
    </row>
    <row r="399" spans="1:26" ht="15.75" customHeight="1" x14ac:dyDescent="0.25">
      <c r="A399" s="25">
        <v>397</v>
      </c>
      <c r="B399" s="37" t="e">
        <f t="shared" ref="B399:D399" si="803">VLOOKUP($A399,#REF!,B$1,0)</f>
        <v>#REF!</v>
      </c>
      <c r="C399" s="38" t="e">
        <f t="shared" si="803"/>
        <v>#REF!</v>
      </c>
      <c r="D399" s="39" t="e">
        <f t="shared" si="803"/>
        <v>#REF!</v>
      </c>
      <c r="E399" s="16" t="e">
        <f t="shared" si="1"/>
        <v>#REF!</v>
      </c>
      <c r="F399" s="16" t="e">
        <f t="shared" ref="F399:K399" si="804">VLOOKUP($A399,#REF!,F$1,0)</f>
        <v>#REF!</v>
      </c>
      <c r="G399" s="39" t="e">
        <f t="shared" si="804"/>
        <v>#REF!</v>
      </c>
      <c r="H399" s="16" t="e">
        <f t="shared" si="804"/>
        <v>#REF!</v>
      </c>
      <c r="I399" s="16" t="e">
        <f t="shared" si="804"/>
        <v>#REF!</v>
      </c>
      <c r="J399" s="40" t="e">
        <f t="shared" si="804"/>
        <v>#REF!</v>
      </c>
      <c r="K399" s="16" t="e">
        <f t="shared" si="804"/>
        <v>#REF!</v>
      </c>
      <c r="L399" s="40" t="e">
        <f t="shared" si="609"/>
        <v>#REF!</v>
      </c>
      <c r="M399" s="16" t="e">
        <f t="shared" si="610"/>
        <v>#REF!</v>
      </c>
      <c r="N399" s="16" t="e">
        <f t="shared" si="611"/>
        <v>#REF!</v>
      </c>
      <c r="O399" s="16" t="s">
        <v>65</v>
      </c>
      <c r="P399" s="16" t="str">
        <f t="shared" si="6"/>
        <v/>
      </c>
      <c r="Q399" s="41" t="e">
        <f t="shared" si="612"/>
        <v>#REF!</v>
      </c>
      <c r="R399" s="44"/>
      <c r="S399" s="44"/>
      <c r="T399" s="43"/>
      <c r="U399" s="43" t="str">
        <f t="shared" si="8"/>
        <v>No</v>
      </c>
      <c r="V399" s="25"/>
      <c r="W399" s="25"/>
      <c r="X399" s="25"/>
      <c r="Y399" s="25"/>
      <c r="Z399" s="25"/>
    </row>
    <row r="400" spans="1:26" ht="15.75" customHeight="1" x14ac:dyDescent="0.25">
      <c r="A400" s="25">
        <v>398</v>
      </c>
      <c r="B400" s="37" t="e">
        <f t="shared" ref="B400:D400" si="805">VLOOKUP($A400,#REF!,B$1,0)</f>
        <v>#REF!</v>
      </c>
      <c r="C400" s="38" t="e">
        <f t="shared" si="805"/>
        <v>#REF!</v>
      </c>
      <c r="D400" s="39" t="e">
        <f t="shared" si="805"/>
        <v>#REF!</v>
      </c>
      <c r="E400" s="16" t="e">
        <f t="shared" si="1"/>
        <v>#REF!</v>
      </c>
      <c r="F400" s="16" t="e">
        <f t="shared" ref="F400:K400" si="806">VLOOKUP($A400,#REF!,F$1,0)</f>
        <v>#REF!</v>
      </c>
      <c r="G400" s="39" t="e">
        <f t="shared" si="806"/>
        <v>#REF!</v>
      </c>
      <c r="H400" s="16" t="e">
        <f t="shared" si="806"/>
        <v>#REF!</v>
      </c>
      <c r="I400" s="16" t="e">
        <f t="shared" si="806"/>
        <v>#REF!</v>
      </c>
      <c r="J400" s="40" t="e">
        <f t="shared" si="806"/>
        <v>#REF!</v>
      </c>
      <c r="K400" s="16" t="e">
        <f t="shared" si="806"/>
        <v>#REF!</v>
      </c>
      <c r="L400" s="40" t="e">
        <f t="shared" si="609"/>
        <v>#REF!</v>
      </c>
      <c r="M400" s="16" t="e">
        <f t="shared" si="610"/>
        <v>#REF!</v>
      </c>
      <c r="N400" s="16" t="e">
        <f t="shared" si="611"/>
        <v>#REF!</v>
      </c>
      <c r="O400" s="16" t="s">
        <v>65</v>
      </c>
      <c r="P400" s="16" t="str">
        <f t="shared" si="6"/>
        <v/>
      </c>
      <c r="Q400" s="41" t="e">
        <f t="shared" si="612"/>
        <v>#REF!</v>
      </c>
      <c r="R400" s="44"/>
      <c r="S400" s="44"/>
      <c r="T400" s="43"/>
      <c r="U400" s="43" t="str">
        <f t="shared" si="8"/>
        <v>No</v>
      </c>
      <c r="V400" s="25"/>
      <c r="W400" s="25"/>
      <c r="X400" s="25"/>
      <c r="Y400" s="25"/>
      <c r="Z400" s="25"/>
    </row>
    <row r="401" spans="1:26" ht="15.75" customHeight="1" x14ac:dyDescent="0.25">
      <c r="A401" s="25">
        <v>399</v>
      </c>
      <c r="B401" s="37" t="e">
        <f t="shared" ref="B401:D401" si="807">VLOOKUP($A401,#REF!,B$1,0)</f>
        <v>#REF!</v>
      </c>
      <c r="C401" s="38" t="e">
        <f t="shared" si="807"/>
        <v>#REF!</v>
      </c>
      <c r="D401" s="39" t="e">
        <f t="shared" si="807"/>
        <v>#REF!</v>
      </c>
      <c r="E401" s="16" t="e">
        <f t="shared" si="1"/>
        <v>#REF!</v>
      </c>
      <c r="F401" s="16" t="e">
        <f t="shared" ref="F401:K401" si="808">VLOOKUP($A401,#REF!,F$1,0)</f>
        <v>#REF!</v>
      </c>
      <c r="G401" s="39" t="e">
        <f t="shared" si="808"/>
        <v>#REF!</v>
      </c>
      <c r="H401" s="16" t="e">
        <f t="shared" si="808"/>
        <v>#REF!</v>
      </c>
      <c r="I401" s="16" t="e">
        <f t="shared" si="808"/>
        <v>#REF!</v>
      </c>
      <c r="J401" s="40" t="e">
        <f t="shared" si="808"/>
        <v>#REF!</v>
      </c>
      <c r="K401" s="16" t="e">
        <f t="shared" si="808"/>
        <v>#REF!</v>
      </c>
      <c r="L401" s="40" t="e">
        <f t="shared" si="609"/>
        <v>#REF!</v>
      </c>
      <c r="M401" s="16" t="e">
        <f t="shared" si="610"/>
        <v>#REF!</v>
      </c>
      <c r="N401" s="16" t="e">
        <f t="shared" si="611"/>
        <v>#REF!</v>
      </c>
      <c r="O401" s="16" t="s">
        <v>65</v>
      </c>
      <c r="P401" s="16" t="str">
        <f t="shared" si="6"/>
        <v/>
      </c>
      <c r="Q401" s="41" t="e">
        <f t="shared" si="612"/>
        <v>#REF!</v>
      </c>
      <c r="R401" s="44"/>
      <c r="S401" s="44"/>
      <c r="T401" s="43"/>
      <c r="U401" s="43" t="str">
        <f t="shared" si="8"/>
        <v>No</v>
      </c>
      <c r="V401" s="25"/>
      <c r="W401" s="25"/>
      <c r="X401" s="25"/>
      <c r="Y401" s="25"/>
      <c r="Z401" s="25"/>
    </row>
    <row r="402" spans="1:26" ht="15.75" customHeight="1" x14ac:dyDescent="0.25">
      <c r="A402" s="25">
        <v>400</v>
      </c>
      <c r="B402" s="37" t="e">
        <f t="shared" ref="B402:D402" si="809">VLOOKUP($A402,#REF!,B$1,0)</f>
        <v>#REF!</v>
      </c>
      <c r="C402" s="38" t="e">
        <f t="shared" si="809"/>
        <v>#REF!</v>
      </c>
      <c r="D402" s="39" t="e">
        <f t="shared" si="809"/>
        <v>#REF!</v>
      </c>
      <c r="E402" s="16" t="e">
        <f t="shared" si="1"/>
        <v>#REF!</v>
      </c>
      <c r="F402" s="16" t="e">
        <f t="shared" ref="F402:K402" si="810">VLOOKUP($A402,#REF!,F$1,0)</f>
        <v>#REF!</v>
      </c>
      <c r="G402" s="39" t="e">
        <f t="shared" si="810"/>
        <v>#REF!</v>
      </c>
      <c r="H402" s="16" t="e">
        <f t="shared" si="810"/>
        <v>#REF!</v>
      </c>
      <c r="I402" s="16" t="e">
        <f t="shared" si="810"/>
        <v>#REF!</v>
      </c>
      <c r="J402" s="40" t="e">
        <f t="shared" si="810"/>
        <v>#REF!</v>
      </c>
      <c r="K402" s="16" t="e">
        <f t="shared" si="810"/>
        <v>#REF!</v>
      </c>
      <c r="L402" s="40" t="e">
        <f t="shared" si="609"/>
        <v>#REF!</v>
      </c>
      <c r="M402" s="16" t="e">
        <f t="shared" si="610"/>
        <v>#REF!</v>
      </c>
      <c r="N402" s="16" t="e">
        <f t="shared" si="611"/>
        <v>#REF!</v>
      </c>
      <c r="O402" s="16" t="s">
        <v>65</v>
      </c>
      <c r="P402" s="16" t="str">
        <f t="shared" si="6"/>
        <v/>
      </c>
      <c r="Q402" s="41" t="e">
        <f t="shared" si="612"/>
        <v>#REF!</v>
      </c>
      <c r="R402" s="44"/>
      <c r="S402" s="44"/>
      <c r="T402" s="43"/>
      <c r="U402" s="43" t="str">
        <f t="shared" si="8"/>
        <v>No</v>
      </c>
      <c r="V402" s="25"/>
      <c r="W402" s="25"/>
      <c r="X402" s="25"/>
      <c r="Y402" s="25"/>
      <c r="Z402" s="25"/>
    </row>
    <row r="403" spans="1:26" ht="15.75" customHeight="1" x14ac:dyDescent="0.25">
      <c r="A403" s="25">
        <v>401</v>
      </c>
      <c r="B403" s="37" t="e">
        <f t="shared" ref="B403:D403" si="811">VLOOKUP($A403,#REF!,B$1,0)</f>
        <v>#REF!</v>
      </c>
      <c r="C403" s="38" t="e">
        <f t="shared" si="811"/>
        <v>#REF!</v>
      </c>
      <c r="D403" s="39" t="e">
        <f t="shared" si="811"/>
        <v>#REF!</v>
      </c>
      <c r="E403" s="16" t="e">
        <f t="shared" si="1"/>
        <v>#REF!</v>
      </c>
      <c r="F403" s="16" t="e">
        <f t="shared" ref="F403:K403" si="812">VLOOKUP($A403,#REF!,F$1,0)</f>
        <v>#REF!</v>
      </c>
      <c r="G403" s="39" t="e">
        <f t="shared" si="812"/>
        <v>#REF!</v>
      </c>
      <c r="H403" s="16" t="e">
        <f t="shared" si="812"/>
        <v>#REF!</v>
      </c>
      <c r="I403" s="16" t="e">
        <f t="shared" si="812"/>
        <v>#REF!</v>
      </c>
      <c r="J403" s="40" t="e">
        <f t="shared" si="812"/>
        <v>#REF!</v>
      </c>
      <c r="K403" s="16" t="e">
        <f t="shared" si="812"/>
        <v>#REF!</v>
      </c>
      <c r="L403" s="40" t="e">
        <f t="shared" si="609"/>
        <v>#REF!</v>
      </c>
      <c r="M403" s="16" t="e">
        <f t="shared" si="610"/>
        <v>#REF!</v>
      </c>
      <c r="N403" s="16" t="e">
        <f t="shared" si="611"/>
        <v>#REF!</v>
      </c>
      <c r="O403" s="16" t="s">
        <v>65</v>
      </c>
      <c r="P403" s="16" t="str">
        <f t="shared" si="6"/>
        <v/>
      </c>
      <c r="Q403" s="41" t="e">
        <f t="shared" si="612"/>
        <v>#REF!</v>
      </c>
      <c r="R403" s="44"/>
      <c r="S403" s="44"/>
      <c r="T403" s="43"/>
      <c r="U403" s="43" t="str">
        <f t="shared" si="8"/>
        <v>No</v>
      </c>
      <c r="V403" s="25"/>
      <c r="W403" s="25"/>
      <c r="X403" s="25"/>
      <c r="Y403" s="25"/>
      <c r="Z403" s="25"/>
    </row>
    <row r="404" spans="1:26" ht="15.75" customHeight="1" x14ac:dyDescent="0.25">
      <c r="A404" s="25">
        <v>402</v>
      </c>
      <c r="B404" s="37" t="e">
        <f t="shared" ref="B404:D404" si="813">VLOOKUP($A404,#REF!,B$1,0)</f>
        <v>#REF!</v>
      </c>
      <c r="C404" s="38" t="e">
        <f t="shared" si="813"/>
        <v>#REF!</v>
      </c>
      <c r="D404" s="39" t="e">
        <f t="shared" si="813"/>
        <v>#REF!</v>
      </c>
      <c r="E404" s="16" t="e">
        <f t="shared" si="1"/>
        <v>#REF!</v>
      </c>
      <c r="F404" s="16" t="e">
        <f t="shared" ref="F404:K404" si="814">VLOOKUP($A404,#REF!,F$1,0)</f>
        <v>#REF!</v>
      </c>
      <c r="G404" s="39" t="e">
        <f t="shared" si="814"/>
        <v>#REF!</v>
      </c>
      <c r="H404" s="16" t="e">
        <f t="shared" si="814"/>
        <v>#REF!</v>
      </c>
      <c r="I404" s="16" t="e">
        <f t="shared" si="814"/>
        <v>#REF!</v>
      </c>
      <c r="J404" s="40" t="e">
        <f t="shared" si="814"/>
        <v>#REF!</v>
      </c>
      <c r="K404" s="16" t="e">
        <f t="shared" si="814"/>
        <v>#REF!</v>
      </c>
      <c r="L404" s="40" t="e">
        <f t="shared" si="609"/>
        <v>#REF!</v>
      </c>
      <c r="M404" s="16" t="e">
        <f t="shared" si="610"/>
        <v>#REF!</v>
      </c>
      <c r="N404" s="16" t="e">
        <f t="shared" si="611"/>
        <v>#REF!</v>
      </c>
      <c r="O404" s="16" t="s">
        <v>65</v>
      </c>
      <c r="P404" s="16" t="str">
        <f t="shared" si="6"/>
        <v/>
      </c>
      <c r="Q404" s="41" t="e">
        <f t="shared" si="612"/>
        <v>#REF!</v>
      </c>
      <c r="R404" s="44"/>
      <c r="S404" s="44"/>
      <c r="T404" s="43"/>
      <c r="U404" s="43" t="str">
        <f t="shared" si="8"/>
        <v>No</v>
      </c>
      <c r="V404" s="25"/>
      <c r="W404" s="25"/>
      <c r="X404" s="25"/>
      <c r="Y404" s="25"/>
      <c r="Z404" s="25"/>
    </row>
    <row r="405" spans="1:26" ht="15.75" customHeight="1" x14ac:dyDescent="0.25">
      <c r="A405" s="25">
        <v>403</v>
      </c>
      <c r="B405" s="37" t="e">
        <f t="shared" ref="B405:D405" si="815">VLOOKUP($A405,#REF!,B$1,0)</f>
        <v>#REF!</v>
      </c>
      <c r="C405" s="38" t="e">
        <f t="shared" si="815"/>
        <v>#REF!</v>
      </c>
      <c r="D405" s="39" t="e">
        <f t="shared" si="815"/>
        <v>#REF!</v>
      </c>
      <c r="E405" s="16" t="e">
        <f t="shared" si="1"/>
        <v>#REF!</v>
      </c>
      <c r="F405" s="16" t="e">
        <f t="shared" ref="F405:K405" si="816">VLOOKUP($A405,#REF!,F$1,0)</f>
        <v>#REF!</v>
      </c>
      <c r="G405" s="39" t="e">
        <f t="shared" si="816"/>
        <v>#REF!</v>
      </c>
      <c r="H405" s="16" t="e">
        <f t="shared" si="816"/>
        <v>#REF!</v>
      </c>
      <c r="I405" s="16" t="e">
        <f t="shared" si="816"/>
        <v>#REF!</v>
      </c>
      <c r="J405" s="40" t="e">
        <f t="shared" si="816"/>
        <v>#REF!</v>
      </c>
      <c r="K405" s="16" t="e">
        <f t="shared" si="816"/>
        <v>#REF!</v>
      </c>
      <c r="L405" s="40" t="e">
        <f t="shared" si="609"/>
        <v>#REF!</v>
      </c>
      <c r="M405" s="16" t="e">
        <f t="shared" si="610"/>
        <v>#REF!</v>
      </c>
      <c r="N405" s="16" t="e">
        <f t="shared" si="611"/>
        <v>#REF!</v>
      </c>
      <c r="O405" s="16" t="s">
        <v>65</v>
      </c>
      <c r="P405" s="16" t="str">
        <f t="shared" si="6"/>
        <v/>
      </c>
      <c r="Q405" s="41" t="e">
        <f t="shared" si="612"/>
        <v>#REF!</v>
      </c>
      <c r="R405" s="44"/>
      <c r="S405" s="44"/>
      <c r="T405" s="43"/>
      <c r="U405" s="43" t="str">
        <f t="shared" si="8"/>
        <v>No</v>
      </c>
      <c r="V405" s="25"/>
      <c r="W405" s="25"/>
      <c r="X405" s="25"/>
      <c r="Y405" s="25"/>
      <c r="Z405" s="25"/>
    </row>
    <row r="406" spans="1:26" ht="15.75" customHeight="1" x14ac:dyDescent="0.25">
      <c r="A406" s="25">
        <v>404</v>
      </c>
      <c r="B406" s="37" t="e">
        <f t="shared" ref="B406:D406" si="817">VLOOKUP($A406,#REF!,B$1,0)</f>
        <v>#REF!</v>
      </c>
      <c r="C406" s="38" t="e">
        <f t="shared" si="817"/>
        <v>#REF!</v>
      </c>
      <c r="D406" s="39" t="e">
        <f t="shared" si="817"/>
        <v>#REF!</v>
      </c>
      <c r="E406" s="16" t="e">
        <f t="shared" si="1"/>
        <v>#REF!</v>
      </c>
      <c r="F406" s="16" t="e">
        <f t="shared" ref="F406:K406" si="818">VLOOKUP($A406,#REF!,F$1,0)</f>
        <v>#REF!</v>
      </c>
      <c r="G406" s="39" t="e">
        <f t="shared" si="818"/>
        <v>#REF!</v>
      </c>
      <c r="H406" s="16" t="e">
        <f t="shared" si="818"/>
        <v>#REF!</v>
      </c>
      <c r="I406" s="16" t="e">
        <f t="shared" si="818"/>
        <v>#REF!</v>
      </c>
      <c r="J406" s="40" t="e">
        <f t="shared" si="818"/>
        <v>#REF!</v>
      </c>
      <c r="K406" s="16" t="e">
        <f t="shared" si="818"/>
        <v>#REF!</v>
      </c>
      <c r="L406" s="40" t="e">
        <f t="shared" si="609"/>
        <v>#REF!</v>
      </c>
      <c r="M406" s="16" t="e">
        <f t="shared" si="610"/>
        <v>#REF!</v>
      </c>
      <c r="N406" s="16" t="e">
        <f t="shared" si="611"/>
        <v>#REF!</v>
      </c>
      <c r="O406" s="16" t="s">
        <v>65</v>
      </c>
      <c r="P406" s="16" t="str">
        <f t="shared" si="6"/>
        <v/>
      </c>
      <c r="Q406" s="41" t="e">
        <f t="shared" si="612"/>
        <v>#REF!</v>
      </c>
      <c r="R406" s="44"/>
      <c r="S406" s="44"/>
      <c r="T406" s="43"/>
      <c r="U406" s="43" t="str">
        <f t="shared" si="8"/>
        <v>No</v>
      </c>
      <c r="V406" s="25"/>
      <c r="W406" s="25"/>
      <c r="X406" s="25"/>
      <c r="Y406" s="25"/>
      <c r="Z406" s="25"/>
    </row>
    <row r="407" spans="1:26" ht="15.75" customHeight="1" x14ac:dyDescent="0.25">
      <c r="A407" s="25">
        <v>405</v>
      </c>
      <c r="B407" s="37" t="e">
        <f t="shared" ref="B407:D407" si="819">VLOOKUP($A407,#REF!,B$1,0)</f>
        <v>#REF!</v>
      </c>
      <c r="C407" s="38" t="e">
        <f t="shared" si="819"/>
        <v>#REF!</v>
      </c>
      <c r="D407" s="39" t="e">
        <f t="shared" si="819"/>
        <v>#REF!</v>
      </c>
      <c r="E407" s="16" t="e">
        <f t="shared" si="1"/>
        <v>#REF!</v>
      </c>
      <c r="F407" s="16" t="e">
        <f t="shared" ref="F407:K407" si="820">VLOOKUP($A407,#REF!,F$1,0)</f>
        <v>#REF!</v>
      </c>
      <c r="G407" s="39" t="e">
        <f t="shared" si="820"/>
        <v>#REF!</v>
      </c>
      <c r="H407" s="16" t="e">
        <f t="shared" si="820"/>
        <v>#REF!</v>
      </c>
      <c r="I407" s="16" t="e">
        <f t="shared" si="820"/>
        <v>#REF!</v>
      </c>
      <c r="J407" s="40" t="e">
        <f t="shared" si="820"/>
        <v>#REF!</v>
      </c>
      <c r="K407" s="16" t="e">
        <f t="shared" si="820"/>
        <v>#REF!</v>
      </c>
      <c r="L407" s="40" t="e">
        <f t="shared" si="609"/>
        <v>#REF!</v>
      </c>
      <c r="M407" s="16" t="e">
        <f t="shared" si="610"/>
        <v>#REF!</v>
      </c>
      <c r="N407" s="16" t="e">
        <f t="shared" si="611"/>
        <v>#REF!</v>
      </c>
      <c r="O407" s="16" t="s">
        <v>65</v>
      </c>
      <c r="P407" s="16" t="str">
        <f t="shared" si="6"/>
        <v/>
      </c>
      <c r="Q407" s="41" t="e">
        <f t="shared" si="612"/>
        <v>#REF!</v>
      </c>
      <c r="R407" s="44"/>
      <c r="S407" s="44"/>
      <c r="T407" s="43"/>
      <c r="U407" s="43" t="str">
        <f t="shared" si="8"/>
        <v>No</v>
      </c>
      <c r="V407" s="25"/>
      <c r="W407" s="25"/>
      <c r="X407" s="25"/>
      <c r="Y407" s="25"/>
      <c r="Z407" s="25"/>
    </row>
    <row r="408" spans="1:26" ht="15.75" customHeight="1" x14ac:dyDescent="0.25">
      <c r="A408" s="25">
        <v>406</v>
      </c>
      <c r="B408" s="37" t="e">
        <f t="shared" ref="B408:D408" si="821">VLOOKUP($A408,#REF!,B$1,0)</f>
        <v>#REF!</v>
      </c>
      <c r="C408" s="38" t="e">
        <f t="shared" si="821"/>
        <v>#REF!</v>
      </c>
      <c r="D408" s="39" t="e">
        <f t="shared" si="821"/>
        <v>#REF!</v>
      </c>
      <c r="E408" s="16" t="e">
        <f t="shared" si="1"/>
        <v>#REF!</v>
      </c>
      <c r="F408" s="16" t="e">
        <f t="shared" ref="F408:K408" si="822">VLOOKUP($A408,#REF!,F$1,0)</f>
        <v>#REF!</v>
      </c>
      <c r="G408" s="39" t="e">
        <f t="shared" si="822"/>
        <v>#REF!</v>
      </c>
      <c r="H408" s="16" t="e">
        <f t="shared" si="822"/>
        <v>#REF!</v>
      </c>
      <c r="I408" s="16" t="e">
        <f t="shared" si="822"/>
        <v>#REF!</v>
      </c>
      <c r="J408" s="40" t="e">
        <f t="shared" si="822"/>
        <v>#REF!</v>
      </c>
      <c r="K408" s="16" t="e">
        <f t="shared" si="822"/>
        <v>#REF!</v>
      </c>
      <c r="L408" s="40" t="e">
        <f t="shared" si="609"/>
        <v>#REF!</v>
      </c>
      <c r="M408" s="16" t="e">
        <f t="shared" si="610"/>
        <v>#REF!</v>
      </c>
      <c r="N408" s="16" t="e">
        <f t="shared" si="611"/>
        <v>#REF!</v>
      </c>
      <c r="O408" s="16" t="s">
        <v>65</v>
      </c>
      <c r="P408" s="16" t="str">
        <f t="shared" si="6"/>
        <v/>
      </c>
      <c r="Q408" s="41" t="e">
        <f t="shared" si="612"/>
        <v>#REF!</v>
      </c>
      <c r="R408" s="44"/>
      <c r="S408" s="44"/>
      <c r="T408" s="43"/>
      <c r="U408" s="43" t="str">
        <f t="shared" si="8"/>
        <v>No</v>
      </c>
      <c r="V408" s="25"/>
      <c r="W408" s="25"/>
      <c r="X408" s="25"/>
      <c r="Y408" s="25"/>
      <c r="Z408" s="25"/>
    </row>
    <row r="409" spans="1:26" ht="15.75" customHeight="1" x14ac:dyDescent="0.25">
      <c r="A409" s="25">
        <v>407</v>
      </c>
      <c r="B409" s="37" t="e">
        <f t="shared" ref="B409:D409" si="823">VLOOKUP($A409,#REF!,B$1,0)</f>
        <v>#REF!</v>
      </c>
      <c r="C409" s="38" t="e">
        <f t="shared" si="823"/>
        <v>#REF!</v>
      </c>
      <c r="D409" s="39" t="e">
        <f t="shared" si="823"/>
        <v>#REF!</v>
      </c>
      <c r="E409" s="16" t="e">
        <f t="shared" si="1"/>
        <v>#REF!</v>
      </c>
      <c r="F409" s="16" t="e">
        <f t="shared" ref="F409:K409" si="824">VLOOKUP($A409,#REF!,F$1,0)</f>
        <v>#REF!</v>
      </c>
      <c r="G409" s="39" t="e">
        <f t="shared" si="824"/>
        <v>#REF!</v>
      </c>
      <c r="H409" s="16" t="e">
        <f t="shared" si="824"/>
        <v>#REF!</v>
      </c>
      <c r="I409" s="16" t="e">
        <f t="shared" si="824"/>
        <v>#REF!</v>
      </c>
      <c r="J409" s="40" t="e">
        <f t="shared" si="824"/>
        <v>#REF!</v>
      </c>
      <c r="K409" s="16" t="e">
        <f t="shared" si="824"/>
        <v>#REF!</v>
      </c>
      <c r="L409" s="40" t="e">
        <f t="shared" si="609"/>
        <v>#REF!</v>
      </c>
      <c r="M409" s="16" t="e">
        <f t="shared" si="610"/>
        <v>#REF!</v>
      </c>
      <c r="N409" s="16" t="e">
        <f t="shared" si="611"/>
        <v>#REF!</v>
      </c>
      <c r="O409" s="16" t="s">
        <v>65</v>
      </c>
      <c r="P409" s="16" t="str">
        <f t="shared" si="6"/>
        <v/>
      </c>
      <c r="Q409" s="41" t="e">
        <f t="shared" si="612"/>
        <v>#REF!</v>
      </c>
      <c r="R409" s="44"/>
      <c r="S409" s="44"/>
      <c r="T409" s="43"/>
      <c r="U409" s="43" t="str">
        <f t="shared" si="8"/>
        <v>No</v>
      </c>
      <c r="V409" s="25"/>
      <c r="W409" s="25"/>
      <c r="X409" s="25"/>
      <c r="Y409" s="25"/>
      <c r="Z409" s="25"/>
    </row>
    <row r="410" spans="1:26" ht="15.75" customHeight="1" x14ac:dyDescent="0.25">
      <c r="A410" s="25">
        <v>408</v>
      </c>
      <c r="B410" s="37" t="e">
        <f t="shared" ref="B410:D410" si="825">VLOOKUP($A410,#REF!,B$1,0)</f>
        <v>#REF!</v>
      </c>
      <c r="C410" s="38" t="e">
        <f t="shared" si="825"/>
        <v>#REF!</v>
      </c>
      <c r="D410" s="39" t="e">
        <f t="shared" si="825"/>
        <v>#REF!</v>
      </c>
      <c r="E410" s="16" t="e">
        <f t="shared" si="1"/>
        <v>#REF!</v>
      </c>
      <c r="F410" s="16" t="e">
        <f t="shared" ref="F410:K410" si="826">VLOOKUP($A410,#REF!,F$1,0)</f>
        <v>#REF!</v>
      </c>
      <c r="G410" s="39" t="e">
        <f t="shared" si="826"/>
        <v>#REF!</v>
      </c>
      <c r="H410" s="16" t="e">
        <f t="shared" si="826"/>
        <v>#REF!</v>
      </c>
      <c r="I410" s="16" t="e">
        <f t="shared" si="826"/>
        <v>#REF!</v>
      </c>
      <c r="J410" s="40" t="e">
        <f t="shared" si="826"/>
        <v>#REF!</v>
      </c>
      <c r="K410" s="16" t="e">
        <f t="shared" si="826"/>
        <v>#REF!</v>
      </c>
      <c r="L410" s="40" t="e">
        <f t="shared" si="609"/>
        <v>#REF!</v>
      </c>
      <c r="M410" s="16" t="e">
        <f t="shared" si="610"/>
        <v>#REF!</v>
      </c>
      <c r="N410" s="16" t="e">
        <f t="shared" si="611"/>
        <v>#REF!</v>
      </c>
      <c r="O410" s="16" t="s">
        <v>65</v>
      </c>
      <c r="P410" s="16" t="str">
        <f t="shared" si="6"/>
        <v/>
      </c>
      <c r="Q410" s="41" t="e">
        <f t="shared" si="612"/>
        <v>#REF!</v>
      </c>
      <c r="R410" s="44"/>
      <c r="S410" s="44"/>
      <c r="T410" s="43"/>
      <c r="U410" s="43" t="str">
        <f t="shared" si="8"/>
        <v>No</v>
      </c>
      <c r="V410" s="25"/>
      <c r="W410" s="25"/>
      <c r="X410" s="25"/>
      <c r="Y410" s="25"/>
      <c r="Z410" s="25"/>
    </row>
    <row r="411" spans="1:26" ht="15.75" customHeight="1" x14ac:dyDescent="0.25">
      <c r="A411" s="25">
        <v>409</v>
      </c>
      <c r="B411" s="37" t="e">
        <f t="shared" ref="B411:D411" si="827">VLOOKUP($A411,#REF!,B$1,0)</f>
        <v>#REF!</v>
      </c>
      <c r="C411" s="38" t="e">
        <f t="shared" si="827"/>
        <v>#REF!</v>
      </c>
      <c r="D411" s="39" t="e">
        <f t="shared" si="827"/>
        <v>#REF!</v>
      </c>
      <c r="E411" s="16" t="e">
        <f t="shared" si="1"/>
        <v>#REF!</v>
      </c>
      <c r="F411" s="16" t="e">
        <f t="shared" ref="F411:K411" si="828">VLOOKUP($A411,#REF!,F$1,0)</f>
        <v>#REF!</v>
      </c>
      <c r="G411" s="39" t="e">
        <f t="shared" si="828"/>
        <v>#REF!</v>
      </c>
      <c r="H411" s="16" t="e">
        <f t="shared" si="828"/>
        <v>#REF!</v>
      </c>
      <c r="I411" s="16" t="e">
        <f t="shared" si="828"/>
        <v>#REF!</v>
      </c>
      <c r="J411" s="40" t="e">
        <f t="shared" si="828"/>
        <v>#REF!</v>
      </c>
      <c r="K411" s="16" t="e">
        <f t="shared" si="828"/>
        <v>#REF!</v>
      </c>
      <c r="L411" s="40" t="e">
        <f t="shared" si="609"/>
        <v>#REF!</v>
      </c>
      <c r="M411" s="16" t="e">
        <f t="shared" si="610"/>
        <v>#REF!</v>
      </c>
      <c r="N411" s="16" t="e">
        <f t="shared" si="611"/>
        <v>#REF!</v>
      </c>
      <c r="O411" s="16" t="s">
        <v>65</v>
      </c>
      <c r="P411" s="16" t="str">
        <f t="shared" si="6"/>
        <v/>
      </c>
      <c r="Q411" s="41" t="e">
        <f t="shared" si="612"/>
        <v>#REF!</v>
      </c>
      <c r="R411" s="44"/>
      <c r="S411" s="44"/>
      <c r="T411" s="43"/>
      <c r="U411" s="43" t="str">
        <f t="shared" si="8"/>
        <v>No</v>
      </c>
      <c r="V411" s="25"/>
      <c r="W411" s="25"/>
      <c r="X411" s="25"/>
      <c r="Y411" s="25"/>
      <c r="Z411" s="25"/>
    </row>
    <row r="412" spans="1:26" ht="15.75" customHeight="1" x14ac:dyDescent="0.25">
      <c r="A412" s="25">
        <v>410</v>
      </c>
      <c r="B412" s="37" t="e">
        <f t="shared" ref="B412:D412" si="829">VLOOKUP($A412,#REF!,B$1,0)</f>
        <v>#REF!</v>
      </c>
      <c r="C412" s="38" t="e">
        <f t="shared" si="829"/>
        <v>#REF!</v>
      </c>
      <c r="D412" s="39" t="e">
        <f t="shared" si="829"/>
        <v>#REF!</v>
      </c>
      <c r="E412" s="16" t="e">
        <f t="shared" si="1"/>
        <v>#REF!</v>
      </c>
      <c r="F412" s="16" t="e">
        <f t="shared" ref="F412:K412" si="830">VLOOKUP($A412,#REF!,F$1,0)</f>
        <v>#REF!</v>
      </c>
      <c r="G412" s="39" t="e">
        <f t="shared" si="830"/>
        <v>#REF!</v>
      </c>
      <c r="H412" s="16" t="e">
        <f t="shared" si="830"/>
        <v>#REF!</v>
      </c>
      <c r="I412" s="16" t="e">
        <f t="shared" si="830"/>
        <v>#REF!</v>
      </c>
      <c r="J412" s="40" t="e">
        <f t="shared" si="830"/>
        <v>#REF!</v>
      </c>
      <c r="K412" s="16" t="e">
        <f t="shared" si="830"/>
        <v>#REF!</v>
      </c>
      <c r="L412" s="40" t="e">
        <f t="shared" si="609"/>
        <v>#REF!</v>
      </c>
      <c r="M412" s="16" t="e">
        <f t="shared" si="610"/>
        <v>#REF!</v>
      </c>
      <c r="N412" s="16" t="e">
        <f t="shared" si="611"/>
        <v>#REF!</v>
      </c>
      <c r="O412" s="16" t="s">
        <v>65</v>
      </c>
      <c r="P412" s="16" t="str">
        <f t="shared" si="6"/>
        <v/>
      </c>
      <c r="Q412" s="41" t="e">
        <f t="shared" si="612"/>
        <v>#REF!</v>
      </c>
      <c r="R412" s="44"/>
      <c r="S412" s="44"/>
      <c r="T412" s="43"/>
      <c r="U412" s="43" t="str">
        <f t="shared" si="8"/>
        <v>No</v>
      </c>
      <c r="V412" s="25"/>
      <c r="W412" s="25"/>
      <c r="X412" s="25"/>
      <c r="Y412" s="25"/>
      <c r="Z412" s="25"/>
    </row>
    <row r="413" spans="1:26" ht="15.75" customHeight="1" x14ac:dyDescent="0.25">
      <c r="A413" s="25">
        <v>411</v>
      </c>
      <c r="B413" s="37" t="e">
        <f t="shared" ref="B413:D413" si="831">VLOOKUP($A413,#REF!,B$1,0)</f>
        <v>#REF!</v>
      </c>
      <c r="C413" s="38" t="e">
        <f t="shared" si="831"/>
        <v>#REF!</v>
      </c>
      <c r="D413" s="39" t="e">
        <f t="shared" si="831"/>
        <v>#REF!</v>
      </c>
      <c r="E413" s="16" t="e">
        <f t="shared" si="1"/>
        <v>#REF!</v>
      </c>
      <c r="F413" s="16" t="e">
        <f t="shared" ref="F413:K413" si="832">VLOOKUP($A413,#REF!,F$1,0)</f>
        <v>#REF!</v>
      </c>
      <c r="G413" s="39" t="e">
        <f t="shared" si="832"/>
        <v>#REF!</v>
      </c>
      <c r="H413" s="16" t="e">
        <f t="shared" si="832"/>
        <v>#REF!</v>
      </c>
      <c r="I413" s="16" t="e">
        <f t="shared" si="832"/>
        <v>#REF!</v>
      </c>
      <c r="J413" s="40" t="e">
        <f t="shared" si="832"/>
        <v>#REF!</v>
      </c>
      <c r="K413" s="16" t="e">
        <f t="shared" si="832"/>
        <v>#REF!</v>
      </c>
      <c r="L413" s="40" t="e">
        <f t="shared" si="609"/>
        <v>#REF!</v>
      </c>
      <c r="M413" s="16" t="e">
        <f t="shared" si="610"/>
        <v>#REF!</v>
      </c>
      <c r="N413" s="16" t="e">
        <f t="shared" si="611"/>
        <v>#REF!</v>
      </c>
      <c r="O413" s="16" t="s">
        <v>65</v>
      </c>
      <c r="P413" s="16" t="str">
        <f t="shared" si="6"/>
        <v/>
      </c>
      <c r="Q413" s="41" t="e">
        <f t="shared" si="612"/>
        <v>#REF!</v>
      </c>
      <c r="R413" s="44"/>
      <c r="S413" s="44"/>
      <c r="T413" s="43"/>
      <c r="U413" s="43" t="str">
        <f t="shared" si="8"/>
        <v>No</v>
      </c>
      <c r="V413" s="25"/>
      <c r="W413" s="25"/>
      <c r="X413" s="25"/>
      <c r="Y413" s="25"/>
      <c r="Z413" s="25"/>
    </row>
    <row r="414" spans="1:26" ht="15.75" customHeight="1" x14ac:dyDescent="0.25">
      <c r="A414" s="25">
        <v>412</v>
      </c>
      <c r="B414" s="37" t="e">
        <f t="shared" ref="B414:D414" si="833">VLOOKUP($A414,#REF!,B$1,0)</f>
        <v>#REF!</v>
      </c>
      <c r="C414" s="38" t="e">
        <f t="shared" si="833"/>
        <v>#REF!</v>
      </c>
      <c r="D414" s="39" t="e">
        <f t="shared" si="833"/>
        <v>#REF!</v>
      </c>
      <c r="E414" s="16" t="e">
        <f t="shared" si="1"/>
        <v>#REF!</v>
      </c>
      <c r="F414" s="16" t="e">
        <f t="shared" ref="F414:K414" si="834">VLOOKUP($A414,#REF!,F$1,0)</f>
        <v>#REF!</v>
      </c>
      <c r="G414" s="39" t="e">
        <f t="shared" si="834"/>
        <v>#REF!</v>
      </c>
      <c r="H414" s="16" t="e">
        <f t="shared" si="834"/>
        <v>#REF!</v>
      </c>
      <c r="I414" s="16" t="e">
        <f t="shared" si="834"/>
        <v>#REF!</v>
      </c>
      <c r="J414" s="40" t="e">
        <f t="shared" si="834"/>
        <v>#REF!</v>
      </c>
      <c r="K414" s="16" t="e">
        <f t="shared" si="834"/>
        <v>#REF!</v>
      </c>
      <c r="L414" s="40" t="e">
        <f t="shared" si="609"/>
        <v>#REF!</v>
      </c>
      <c r="M414" s="16" t="e">
        <f t="shared" si="610"/>
        <v>#REF!</v>
      </c>
      <c r="N414" s="16" t="e">
        <f t="shared" si="611"/>
        <v>#REF!</v>
      </c>
      <c r="O414" s="16" t="s">
        <v>65</v>
      </c>
      <c r="P414" s="16" t="str">
        <f t="shared" si="6"/>
        <v/>
      </c>
      <c r="Q414" s="41" t="e">
        <f t="shared" si="612"/>
        <v>#REF!</v>
      </c>
      <c r="R414" s="44"/>
      <c r="S414" s="44"/>
      <c r="T414" s="43"/>
      <c r="U414" s="43" t="str">
        <f t="shared" si="8"/>
        <v>No</v>
      </c>
      <c r="V414" s="25"/>
      <c r="W414" s="25"/>
      <c r="X414" s="25"/>
      <c r="Y414" s="25"/>
      <c r="Z414" s="25"/>
    </row>
    <row r="415" spans="1:26" ht="15.75" customHeight="1" x14ac:dyDescent="0.25">
      <c r="A415" s="25">
        <v>413</v>
      </c>
      <c r="B415" s="37" t="e">
        <f t="shared" ref="B415:D415" si="835">VLOOKUP($A415,#REF!,B$1,0)</f>
        <v>#REF!</v>
      </c>
      <c r="C415" s="38" t="e">
        <f t="shared" si="835"/>
        <v>#REF!</v>
      </c>
      <c r="D415" s="39" t="e">
        <f t="shared" si="835"/>
        <v>#REF!</v>
      </c>
      <c r="E415" s="16" t="e">
        <f t="shared" si="1"/>
        <v>#REF!</v>
      </c>
      <c r="F415" s="16" t="e">
        <f t="shared" ref="F415:K415" si="836">VLOOKUP($A415,#REF!,F$1,0)</f>
        <v>#REF!</v>
      </c>
      <c r="G415" s="39" t="e">
        <f t="shared" si="836"/>
        <v>#REF!</v>
      </c>
      <c r="H415" s="16" t="e">
        <f t="shared" si="836"/>
        <v>#REF!</v>
      </c>
      <c r="I415" s="16" t="e">
        <f t="shared" si="836"/>
        <v>#REF!</v>
      </c>
      <c r="J415" s="40" t="e">
        <f t="shared" si="836"/>
        <v>#REF!</v>
      </c>
      <c r="K415" s="16" t="e">
        <f t="shared" si="836"/>
        <v>#REF!</v>
      </c>
      <c r="L415" s="40" t="e">
        <f t="shared" si="609"/>
        <v>#REF!</v>
      </c>
      <c r="M415" s="16" t="e">
        <f t="shared" si="610"/>
        <v>#REF!</v>
      </c>
      <c r="N415" s="16" t="e">
        <f t="shared" si="611"/>
        <v>#REF!</v>
      </c>
      <c r="O415" s="16" t="s">
        <v>65</v>
      </c>
      <c r="P415" s="16" t="str">
        <f t="shared" si="6"/>
        <v/>
      </c>
      <c r="Q415" s="41" t="e">
        <f t="shared" si="612"/>
        <v>#REF!</v>
      </c>
      <c r="R415" s="44"/>
      <c r="S415" s="44"/>
      <c r="T415" s="43"/>
      <c r="U415" s="43" t="str">
        <f t="shared" si="8"/>
        <v>No</v>
      </c>
      <c r="V415" s="25"/>
      <c r="W415" s="25"/>
      <c r="X415" s="25"/>
      <c r="Y415" s="25"/>
      <c r="Z415" s="25"/>
    </row>
    <row r="416" spans="1:26" ht="15.75" customHeight="1" x14ac:dyDescent="0.25">
      <c r="A416" s="25">
        <v>414</v>
      </c>
      <c r="B416" s="37" t="e">
        <f t="shared" ref="B416:D416" si="837">VLOOKUP($A416,#REF!,B$1,0)</f>
        <v>#REF!</v>
      </c>
      <c r="C416" s="38" t="e">
        <f t="shared" si="837"/>
        <v>#REF!</v>
      </c>
      <c r="D416" s="39" t="e">
        <f t="shared" si="837"/>
        <v>#REF!</v>
      </c>
      <c r="E416" s="16" t="e">
        <f t="shared" si="1"/>
        <v>#REF!</v>
      </c>
      <c r="F416" s="16" t="e">
        <f t="shared" ref="F416:K416" si="838">VLOOKUP($A416,#REF!,F$1,0)</f>
        <v>#REF!</v>
      </c>
      <c r="G416" s="39" t="e">
        <f t="shared" si="838"/>
        <v>#REF!</v>
      </c>
      <c r="H416" s="16" t="e">
        <f t="shared" si="838"/>
        <v>#REF!</v>
      </c>
      <c r="I416" s="16" t="e">
        <f t="shared" si="838"/>
        <v>#REF!</v>
      </c>
      <c r="J416" s="40" t="e">
        <f t="shared" si="838"/>
        <v>#REF!</v>
      </c>
      <c r="K416" s="16" t="e">
        <f t="shared" si="838"/>
        <v>#REF!</v>
      </c>
      <c r="L416" s="40" t="e">
        <f t="shared" si="609"/>
        <v>#REF!</v>
      </c>
      <c r="M416" s="16" t="e">
        <f t="shared" si="610"/>
        <v>#REF!</v>
      </c>
      <c r="N416" s="16" t="e">
        <f t="shared" si="611"/>
        <v>#REF!</v>
      </c>
      <c r="O416" s="16" t="s">
        <v>65</v>
      </c>
      <c r="P416" s="16" t="str">
        <f t="shared" si="6"/>
        <v/>
      </c>
      <c r="Q416" s="41" t="e">
        <f t="shared" si="612"/>
        <v>#REF!</v>
      </c>
      <c r="R416" s="44"/>
      <c r="S416" s="44"/>
      <c r="T416" s="43"/>
      <c r="U416" s="43" t="str">
        <f t="shared" si="8"/>
        <v>No</v>
      </c>
      <c r="V416" s="25"/>
      <c r="W416" s="25"/>
      <c r="X416" s="25"/>
      <c r="Y416" s="25"/>
      <c r="Z416" s="25"/>
    </row>
    <row r="417" spans="1:26" ht="15.75" customHeight="1" x14ac:dyDescent="0.25">
      <c r="A417" s="25">
        <v>415</v>
      </c>
      <c r="B417" s="37" t="e">
        <f t="shared" ref="B417:D417" si="839">VLOOKUP($A417,#REF!,B$1,0)</f>
        <v>#REF!</v>
      </c>
      <c r="C417" s="38" t="e">
        <f t="shared" si="839"/>
        <v>#REF!</v>
      </c>
      <c r="D417" s="39" t="e">
        <f t="shared" si="839"/>
        <v>#REF!</v>
      </c>
      <c r="E417" s="16" t="e">
        <f t="shared" si="1"/>
        <v>#REF!</v>
      </c>
      <c r="F417" s="16" t="e">
        <f t="shared" ref="F417:K417" si="840">VLOOKUP($A417,#REF!,F$1,0)</f>
        <v>#REF!</v>
      </c>
      <c r="G417" s="39" t="e">
        <f t="shared" si="840"/>
        <v>#REF!</v>
      </c>
      <c r="H417" s="16" t="e">
        <f t="shared" si="840"/>
        <v>#REF!</v>
      </c>
      <c r="I417" s="16" t="e">
        <f t="shared" si="840"/>
        <v>#REF!</v>
      </c>
      <c r="J417" s="40" t="e">
        <f t="shared" si="840"/>
        <v>#REF!</v>
      </c>
      <c r="K417" s="16" t="e">
        <f t="shared" si="840"/>
        <v>#REF!</v>
      </c>
      <c r="L417" s="40" t="e">
        <f t="shared" si="609"/>
        <v>#REF!</v>
      </c>
      <c r="M417" s="16" t="e">
        <f t="shared" si="610"/>
        <v>#REF!</v>
      </c>
      <c r="N417" s="16" t="e">
        <f t="shared" si="611"/>
        <v>#REF!</v>
      </c>
      <c r="O417" s="16" t="s">
        <v>65</v>
      </c>
      <c r="P417" s="16" t="str">
        <f t="shared" si="6"/>
        <v/>
      </c>
      <c r="Q417" s="41" t="e">
        <f t="shared" si="612"/>
        <v>#REF!</v>
      </c>
      <c r="R417" s="44"/>
      <c r="S417" s="44"/>
      <c r="T417" s="43"/>
      <c r="U417" s="43" t="str">
        <f t="shared" si="8"/>
        <v>No</v>
      </c>
      <c r="V417" s="25"/>
      <c r="W417" s="25"/>
      <c r="X417" s="25"/>
      <c r="Y417" s="25"/>
      <c r="Z417" s="25"/>
    </row>
    <row r="418" spans="1:26" ht="15.75" customHeight="1" x14ac:dyDescent="0.25">
      <c r="A418" s="25">
        <v>416</v>
      </c>
      <c r="B418" s="37" t="e">
        <f t="shared" ref="B418:D418" si="841">VLOOKUP($A418,#REF!,B$1,0)</f>
        <v>#REF!</v>
      </c>
      <c r="C418" s="38" t="e">
        <f t="shared" si="841"/>
        <v>#REF!</v>
      </c>
      <c r="D418" s="39" t="e">
        <f t="shared" si="841"/>
        <v>#REF!</v>
      </c>
      <c r="E418" s="16" t="e">
        <f t="shared" si="1"/>
        <v>#REF!</v>
      </c>
      <c r="F418" s="16" t="e">
        <f t="shared" ref="F418:K418" si="842">VLOOKUP($A418,#REF!,F$1,0)</f>
        <v>#REF!</v>
      </c>
      <c r="G418" s="39" t="e">
        <f t="shared" si="842"/>
        <v>#REF!</v>
      </c>
      <c r="H418" s="16" t="e">
        <f t="shared" si="842"/>
        <v>#REF!</v>
      </c>
      <c r="I418" s="16" t="e">
        <f t="shared" si="842"/>
        <v>#REF!</v>
      </c>
      <c r="J418" s="40" t="e">
        <f t="shared" si="842"/>
        <v>#REF!</v>
      </c>
      <c r="K418" s="16" t="e">
        <f t="shared" si="842"/>
        <v>#REF!</v>
      </c>
      <c r="L418" s="40" t="e">
        <f t="shared" si="609"/>
        <v>#REF!</v>
      </c>
      <c r="M418" s="16" t="e">
        <f t="shared" si="610"/>
        <v>#REF!</v>
      </c>
      <c r="N418" s="16" t="e">
        <f t="shared" si="611"/>
        <v>#REF!</v>
      </c>
      <c r="O418" s="16" t="s">
        <v>65</v>
      </c>
      <c r="P418" s="16" t="str">
        <f t="shared" si="6"/>
        <v/>
      </c>
      <c r="Q418" s="41" t="e">
        <f t="shared" si="612"/>
        <v>#REF!</v>
      </c>
      <c r="R418" s="44"/>
      <c r="S418" s="44"/>
      <c r="T418" s="43"/>
      <c r="U418" s="43" t="str">
        <f t="shared" si="8"/>
        <v>No</v>
      </c>
      <c r="V418" s="25"/>
      <c r="W418" s="25"/>
      <c r="X418" s="25"/>
      <c r="Y418" s="25"/>
      <c r="Z418" s="25"/>
    </row>
    <row r="419" spans="1:26" ht="15.75" customHeight="1" x14ac:dyDescent="0.25">
      <c r="A419" s="25">
        <v>417</v>
      </c>
      <c r="B419" s="37" t="e">
        <f t="shared" ref="B419:D419" si="843">VLOOKUP($A419,#REF!,B$1,0)</f>
        <v>#REF!</v>
      </c>
      <c r="C419" s="38" t="e">
        <f t="shared" si="843"/>
        <v>#REF!</v>
      </c>
      <c r="D419" s="39" t="e">
        <f t="shared" si="843"/>
        <v>#REF!</v>
      </c>
      <c r="E419" s="16" t="e">
        <f t="shared" si="1"/>
        <v>#REF!</v>
      </c>
      <c r="F419" s="16" t="e">
        <f t="shared" ref="F419:K419" si="844">VLOOKUP($A419,#REF!,F$1,0)</f>
        <v>#REF!</v>
      </c>
      <c r="G419" s="39" t="e">
        <f t="shared" si="844"/>
        <v>#REF!</v>
      </c>
      <c r="H419" s="16" t="e">
        <f t="shared" si="844"/>
        <v>#REF!</v>
      </c>
      <c r="I419" s="16" t="e">
        <f t="shared" si="844"/>
        <v>#REF!</v>
      </c>
      <c r="J419" s="40" t="e">
        <f t="shared" si="844"/>
        <v>#REF!</v>
      </c>
      <c r="K419" s="16" t="e">
        <f t="shared" si="844"/>
        <v>#REF!</v>
      </c>
      <c r="L419" s="40" t="e">
        <f t="shared" si="609"/>
        <v>#REF!</v>
      </c>
      <c r="M419" s="16" t="e">
        <f t="shared" si="610"/>
        <v>#REF!</v>
      </c>
      <c r="N419" s="16" t="e">
        <f t="shared" si="611"/>
        <v>#REF!</v>
      </c>
      <c r="O419" s="16" t="s">
        <v>65</v>
      </c>
      <c r="P419" s="16" t="str">
        <f t="shared" si="6"/>
        <v/>
      </c>
      <c r="Q419" s="41" t="e">
        <f t="shared" si="612"/>
        <v>#REF!</v>
      </c>
      <c r="R419" s="44"/>
      <c r="S419" s="44"/>
      <c r="T419" s="43"/>
      <c r="U419" s="43" t="str">
        <f t="shared" si="8"/>
        <v>No</v>
      </c>
      <c r="V419" s="25"/>
      <c r="W419" s="25"/>
      <c r="X419" s="25"/>
      <c r="Y419" s="25"/>
      <c r="Z419" s="25"/>
    </row>
    <row r="420" spans="1:26" ht="15.75" customHeight="1" x14ac:dyDescent="0.25">
      <c r="A420" s="25">
        <v>418</v>
      </c>
      <c r="B420" s="37" t="e">
        <f t="shared" ref="B420:D420" si="845">VLOOKUP($A420,#REF!,B$1,0)</f>
        <v>#REF!</v>
      </c>
      <c r="C420" s="38" t="e">
        <f t="shared" si="845"/>
        <v>#REF!</v>
      </c>
      <c r="D420" s="39" t="e">
        <f t="shared" si="845"/>
        <v>#REF!</v>
      </c>
      <c r="E420" s="16" t="e">
        <f t="shared" si="1"/>
        <v>#REF!</v>
      </c>
      <c r="F420" s="16" t="e">
        <f t="shared" ref="F420:K420" si="846">VLOOKUP($A420,#REF!,F$1,0)</f>
        <v>#REF!</v>
      </c>
      <c r="G420" s="39" t="e">
        <f t="shared" si="846"/>
        <v>#REF!</v>
      </c>
      <c r="H420" s="16" t="e">
        <f t="shared" si="846"/>
        <v>#REF!</v>
      </c>
      <c r="I420" s="16" t="e">
        <f t="shared" si="846"/>
        <v>#REF!</v>
      </c>
      <c r="J420" s="40" t="e">
        <f t="shared" si="846"/>
        <v>#REF!</v>
      </c>
      <c r="K420" s="16" t="e">
        <f t="shared" si="846"/>
        <v>#REF!</v>
      </c>
      <c r="L420" s="40" t="e">
        <f t="shared" si="609"/>
        <v>#REF!</v>
      </c>
      <c r="M420" s="16" t="e">
        <f t="shared" si="610"/>
        <v>#REF!</v>
      </c>
      <c r="N420" s="16" t="e">
        <f t="shared" si="611"/>
        <v>#REF!</v>
      </c>
      <c r="O420" s="16" t="s">
        <v>65</v>
      </c>
      <c r="P420" s="16" t="str">
        <f t="shared" si="6"/>
        <v/>
      </c>
      <c r="Q420" s="41" t="e">
        <f t="shared" si="612"/>
        <v>#REF!</v>
      </c>
      <c r="R420" s="44"/>
      <c r="S420" s="44"/>
      <c r="T420" s="43"/>
      <c r="U420" s="43" t="str">
        <f t="shared" si="8"/>
        <v>No</v>
      </c>
      <c r="V420" s="25"/>
      <c r="W420" s="25"/>
      <c r="X420" s="25"/>
      <c r="Y420" s="25"/>
      <c r="Z420" s="25"/>
    </row>
    <row r="421" spans="1:26" ht="15.75" customHeight="1" x14ac:dyDescent="0.25">
      <c r="A421" s="25">
        <v>419</v>
      </c>
      <c r="B421" s="37" t="e">
        <f t="shared" ref="B421:D421" si="847">VLOOKUP($A421,#REF!,B$1,0)</f>
        <v>#REF!</v>
      </c>
      <c r="C421" s="38" t="e">
        <f t="shared" si="847"/>
        <v>#REF!</v>
      </c>
      <c r="D421" s="39" t="e">
        <f t="shared" si="847"/>
        <v>#REF!</v>
      </c>
      <c r="E421" s="16" t="e">
        <f t="shared" si="1"/>
        <v>#REF!</v>
      </c>
      <c r="F421" s="16" t="e">
        <f t="shared" ref="F421:K421" si="848">VLOOKUP($A421,#REF!,F$1,0)</f>
        <v>#REF!</v>
      </c>
      <c r="G421" s="39" t="e">
        <f t="shared" si="848"/>
        <v>#REF!</v>
      </c>
      <c r="H421" s="16" t="e">
        <f t="shared" si="848"/>
        <v>#REF!</v>
      </c>
      <c r="I421" s="16" t="e">
        <f t="shared" si="848"/>
        <v>#REF!</v>
      </c>
      <c r="J421" s="40" t="e">
        <f t="shared" si="848"/>
        <v>#REF!</v>
      </c>
      <c r="K421" s="16" t="e">
        <f t="shared" si="848"/>
        <v>#REF!</v>
      </c>
      <c r="L421" s="40" t="e">
        <f t="shared" si="609"/>
        <v>#REF!</v>
      </c>
      <c r="M421" s="16" t="e">
        <f t="shared" si="610"/>
        <v>#REF!</v>
      </c>
      <c r="N421" s="16" t="e">
        <f t="shared" si="611"/>
        <v>#REF!</v>
      </c>
      <c r="O421" s="16" t="s">
        <v>65</v>
      </c>
      <c r="P421" s="16" t="str">
        <f t="shared" si="6"/>
        <v/>
      </c>
      <c r="Q421" s="41" t="e">
        <f t="shared" si="612"/>
        <v>#REF!</v>
      </c>
      <c r="R421" s="44"/>
      <c r="S421" s="44"/>
      <c r="T421" s="43"/>
      <c r="U421" s="43" t="str">
        <f t="shared" si="8"/>
        <v>No</v>
      </c>
      <c r="V421" s="25"/>
      <c r="W421" s="25"/>
      <c r="X421" s="25"/>
      <c r="Y421" s="25"/>
      <c r="Z421" s="25"/>
    </row>
    <row r="422" spans="1:26" ht="15.75" customHeight="1" x14ac:dyDescent="0.25">
      <c r="A422" s="25">
        <v>420</v>
      </c>
      <c r="B422" s="37" t="e">
        <f t="shared" ref="B422:D422" si="849">VLOOKUP($A422,#REF!,B$1,0)</f>
        <v>#REF!</v>
      </c>
      <c r="C422" s="38" t="e">
        <f t="shared" si="849"/>
        <v>#REF!</v>
      </c>
      <c r="D422" s="39" t="e">
        <f t="shared" si="849"/>
        <v>#REF!</v>
      </c>
      <c r="E422" s="16" t="e">
        <f t="shared" si="1"/>
        <v>#REF!</v>
      </c>
      <c r="F422" s="16" t="e">
        <f t="shared" ref="F422:K422" si="850">VLOOKUP($A422,#REF!,F$1,0)</f>
        <v>#REF!</v>
      </c>
      <c r="G422" s="39" t="e">
        <f t="shared" si="850"/>
        <v>#REF!</v>
      </c>
      <c r="H422" s="16" t="e">
        <f t="shared" si="850"/>
        <v>#REF!</v>
      </c>
      <c r="I422" s="16" t="e">
        <f t="shared" si="850"/>
        <v>#REF!</v>
      </c>
      <c r="J422" s="40" t="e">
        <f t="shared" si="850"/>
        <v>#REF!</v>
      </c>
      <c r="K422" s="16" t="e">
        <f t="shared" si="850"/>
        <v>#REF!</v>
      </c>
      <c r="L422" s="40" t="e">
        <f t="shared" si="609"/>
        <v>#REF!</v>
      </c>
      <c r="M422" s="16" t="e">
        <f t="shared" si="610"/>
        <v>#REF!</v>
      </c>
      <c r="N422" s="16" t="e">
        <f t="shared" si="611"/>
        <v>#REF!</v>
      </c>
      <c r="O422" s="16" t="s">
        <v>65</v>
      </c>
      <c r="P422" s="16" t="str">
        <f t="shared" si="6"/>
        <v/>
      </c>
      <c r="Q422" s="41" t="e">
        <f t="shared" si="612"/>
        <v>#REF!</v>
      </c>
      <c r="R422" s="44"/>
      <c r="S422" s="44"/>
      <c r="T422" s="43"/>
      <c r="U422" s="43" t="str">
        <f t="shared" si="8"/>
        <v>No</v>
      </c>
      <c r="V422" s="25"/>
      <c r="W422" s="25"/>
      <c r="X422" s="25"/>
      <c r="Y422" s="25"/>
      <c r="Z422" s="25"/>
    </row>
    <row r="423" spans="1:26" ht="15.75" customHeight="1" x14ac:dyDescent="0.25">
      <c r="A423" s="25">
        <v>421</v>
      </c>
      <c r="B423" s="37" t="e">
        <f t="shared" ref="B423:D423" si="851">VLOOKUP($A423,#REF!,B$1,0)</f>
        <v>#REF!</v>
      </c>
      <c r="C423" s="38" t="e">
        <f t="shared" si="851"/>
        <v>#REF!</v>
      </c>
      <c r="D423" s="39" t="e">
        <f t="shared" si="851"/>
        <v>#REF!</v>
      </c>
      <c r="E423" s="16" t="e">
        <f t="shared" si="1"/>
        <v>#REF!</v>
      </c>
      <c r="F423" s="16" t="e">
        <f t="shared" ref="F423:K423" si="852">VLOOKUP($A423,#REF!,F$1,0)</f>
        <v>#REF!</v>
      </c>
      <c r="G423" s="39" t="e">
        <f t="shared" si="852"/>
        <v>#REF!</v>
      </c>
      <c r="H423" s="16" t="e">
        <f t="shared" si="852"/>
        <v>#REF!</v>
      </c>
      <c r="I423" s="16" t="e">
        <f t="shared" si="852"/>
        <v>#REF!</v>
      </c>
      <c r="J423" s="40" t="e">
        <f t="shared" si="852"/>
        <v>#REF!</v>
      </c>
      <c r="K423" s="16" t="e">
        <f t="shared" si="852"/>
        <v>#REF!</v>
      </c>
      <c r="L423" s="40" t="e">
        <f t="shared" si="609"/>
        <v>#REF!</v>
      </c>
      <c r="M423" s="16" t="e">
        <f t="shared" si="610"/>
        <v>#REF!</v>
      </c>
      <c r="N423" s="16" t="e">
        <f t="shared" si="611"/>
        <v>#REF!</v>
      </c>
      <c r="O423" s="16" t="s">
        <v>65</v>
      </c>
      <c r="P423" s="16" t="str">
        <f t="shared" si="6"/>
        <v/>
      </c>
      <c r="Q423" s="41" t="e">
        <f t="shared" si="612"/>
        <v>#REF!</v>
      </c>
      <c r="R423" s="44"/>
      <c r="S423" s="44"/>
      <c r="T423" s="43"/>
      <c r="U423" s="43" t="str">
        <f t="shared" si="8"/>
        <v>No</v>
      </c>
      <c r="V423" s="25"/>
      <c r="W423" s="25"/>
      <c r="X423" s="25"/>
      <c r="Y423" s="25"/>
      <c r="Z423" s="25"/>
    </row>
    <row r="424" spans="1:26" ht="15.75" customHeight="1" x14ac:dyDescent="0.25">
      <c r="A424" s="25">
        <v>422</v>
      </c>
      <c r="B424" s="37" t="e">
        <f t="shared" ref="B424:D424" si="853">VLOOKUP($A424,#REF!,B$1,0)</f>
        <v>#REF!</v>
      </c>
      <c r="C424" s="38" t="e">
        <f t="shared" si="853"/>
        <v>#REF!</v>
      </c>
      <c r="D424" s="39" t="e">
        <f t="shared" si="853"/>
        <v>#REF!</v>
      </c>
      <c r="E424" s="16" t="e">
        <f t="shared" si="1"/>
        <v>#REF!</v>
      </c>
      <c r="F424" s="16" t="e">
        <f t="shared" ref="F424:K424" si="854">VLOOKUP($A424,#REF!,F$1,0)</f>
        <v>#REF!</v>
      </c>
      <c r="G424" s="39" t="e">
        <f t="shared" si="854"/>
        <v>#REF!</v>
      </c>
      <c r="H424" s="16" t="e">
        <f t="shared" si="854"/>
        <v>#REF!</v>
      </c>
      <c r="I424" s="16" t="e">
        <f t="shared" si="854"/>
        <v>#REF!</v>
      </c>
      <c r="J424" s="40" t="e">
        <f t="shared" si="854"/>
        <v>#REF!</v>
      </c>
      <c r="K424" s="16" t="e">
        <f t="shared" si="854"/>
        <v>#REF!</v>
      </c>
      <c r="L424" s="40" t="e">
        <f t="shared" si="609"/>
        <v>#REF!</v>
      </c>
      <c r="M424" s="16" t="e">
        <f t="shared" si="610"/>
        <v>#REF!</v>
      </c>
      <c r="N424" s="16" t="e">
        <f t="shared" si="611"/>
        <v>#REF!</v>
      </c>
      <c r="O424" s="16" t="s">
        <v>65</v>
      </c>
      <c r="P424" s="16" t="str">
        <f t="shared" si="6"/>
        <v/>
      </c>
      <c r="Q424" s="41" t="e">
        <f t="shared" si="612"/>
        <v>#REF!</v>
      </c>
      <c r="R424" s="44"/>
      <c r="S424" s="44"/>
      <c r="T424" s="43"/>
      <c r="U424" s="43" t="str">
        <f t="shared" si="8"/>
        <v>No</v>
      </c>
      <c r="V424" s="25"/>
      <c r="W424" s="25"/>
      <c r="X424" s="25"/>
      <c r="Y424" s="25"/>
      <c r="Z424" s="25"/>
    </row>
    <row r="425" spans="1:26" ht="15.75" customHeight="1" x14ac:dyDescent="0.25">
      <c r="A425" s="25">
        <v>423</v>
      </c>
      <c r="B425" s="37" t="e">
        <f t="shared" ref="B425:D425" si="855">VLOOKUP($A425,#REF!,B$1,0)</f>
        <v>#REF!</v>
      </c>
      <c r="C425" s="38" t="e">
        <f t="shared" si="855"/>
        <v>#REF!</v>
      </c>
      <c r="D425" s="39" t="e">
        <f t="shared" si="855"/>
        <v>#REF!</v>
      </c>
      <c r="E425" s="16" t="e">
        <f t="shared" si="1"/>
        <v>#REF!</v>
      </c>
      <c r="F425" s="16" t="e">
        <f t="shared" ref="F425:K425" si="856">VLOOKUP($A425,#REF!,F$1,0)</f>
        <v>#REF!</v>
      </c>
      <c r="G425" s="39" t="e">
        <f t="shared" si="856"/>
        <v>#REF!</v>
      </c>
      <c r="H425" s="16" t="e">
        <f t="shared" si="856"/>
        <v>#REF!</v>
      </c>
      <c r="I425" s="16" t="e">
        <f t="shared" si="856"/>
        <v>#REF!</v>
      </c>
      <c r="J425" s="40" t="e">
        <f t="shared" si="856"/>
        <v>#REF!</v>
      </c>
      <c r="K425" s="16" t="e">
        <f t="shared" si="856"/>
        <v>#REF!</v>
      </c>
      <c r="L425" s="40" t="e">
        <f t="shared" si="609"/>
        <v>#REF!</v>
      </c>
      <c r="M425" s="16" t="e">
        <f t="shared" si="610"/>
        <v>#REF!</v>
      </c>
      <c r="N425" s="16" t="e">
        <f t="shared" si="611"/>
        <v>#REF!</v>
      </c>
      <c r="O425" s="16" t="s">
        <v>65</v>
      </c>
      <c r="P425" s="16" t="str">
        <f t="shared" si="6"/>
        <v/>
      </c>
      <c r="Q425" s="41" t="e">
        <f t="shared" si="612"/>
        <v>#REF!</v>
      </c>
      <c r="R425" s="44"/>
      <c r="S425" s="44"/>
      <c r="T425" s="43"/>
      <c r="U425" s="43" t="str">
        <f t="shared" si="8"/>
        <v>No</v>
      </c>
      <c r="V425" s="25"/>
      <c r="W425" s="25"/>
      <c r="X425" s="25"/>
      <c r="Y425" s="25"/>
      <c r="Z425" s="25"/>
    </row>
    <row r="426" spans="1:26" ht="15.75" customHeight="1" x14ac:dyDescent="0.25">
      <c r="A426" s="25">
        <v>424</v>
      </c>
      <c r="B426" s="37" t="e">
        <f t="shared" ref="B426:D426" si="857">VLOOKUP($A426,#REF!,B$1,0)</f>
        <v>#REF!</v>
      </c>
      <c r="C426" s="38" t="e">
        <f t="shared" si="857"/>
        <v>#REF!</v>
      </c>
      <c r="D426" s="39" t="e">
        <f t="shared" si="857"/>
        <v>#REF!</v>
      </c>
      <c r="E426" s="16" t="e">
        <f t="shared" si="1"/>
        <v>#REF!</v>
      </c>
      <c r="F426" s="16" t="e">
        <f t="shared" ref="F426:K426" si="858">VLOOKUP($A426,#REF!,F$1,0)</f>
        <v>#REF!</v>
      </c>
      <c r="G426" s="39" t="e">
        <f t="shared" si="858"/>
        <v>#REF!</v>
      </c>
      <c r="H426" s="16" t="e">
        <f t="shared" si="858"/>
        <v>#REF!</v>
      </c>
      <c r="I426" s="16" t="e">
        <f t="shared" si="858"/>
        <v>#REF!</v>
      </c>
      <c r="J426" s="40" t="e">
        <f t="shared" si="858"/>
        <v>#REF!</v>
      </c>
      <c r="K426" s="16" t="e">
        <f t="shared" si="858"/>
        <v>#REF!</v>
      </c>
      <c r="L426" s="40" t="e">
        <f t="shared" si="609"/>
        <v>#REF!</v>
      </c>
      <c r="M426" s="16" t="e">
        <f t="shared" si="610"/>
        <v>#REF!</v>
      </c>
      <c r="N426" s="16" t="e">
        <f t="shared" si="611"/>
        <v>#REF!</v>
      </c>
      <c r="O426" s="16" t="s">
        <v>65</v>
      </c>
      <c r="P426" s="16" t="str">
        <f t="shared" si="6"/>
        <v/>
      </c>
      <c r="Q426" s="41" t="e">
        <f t="shared" si="612"/>
        <v>#REF!</v>
      </c>
      <c r="R426" s="44"/>
      <c r="S426" s="44"/>
      <c r="T426" s="43"/>
      <c r="U426" s="43" t="str">
        <f t="shared" si="8"/>
        <v>No</v>
      </c>
      <c r="V426" s="25"/>
      <c r="W426" s="25"/>
      <c r="X426" s="25"/>
      <c r="Y426" s="25"/>
      <c r="Z426" s="25"/>
    </row>
    <row r="427" spans="1:26" ht="15.75" customHeight="1" x14ac:dyDescent="0.25">
      <c r="A427" s="25">
        <v>425</v>
      </c>
      <c r="B427" s="37" t="e">
        <f t="shared" ref="B427:D427" si="859">VLOOKUP($A427,#REF!,B$1,0)</f>
        <v>#REF!</v>
      </c>
      <c r="C427" s="38" t="e">
        <f t="shared" si="859"/>
        <v>#REF!</v>
      </c>
      <c r="D427" s="39" t="e">
        <f t="shared" si="859"/>
        <v>#REF!</v>
      </c>
      <c r="E427" s="16" t="e">
        <f t="shared" si="1"/>
        <v>#REF!</v>
      </c>
      <c r="F427" s="16" t="e">
        <f t="shared" ref="F427:K427" si="860">VLOOKUP($A427,#REF!,F$1,0)</f>
        <v>#REF!</v>
      </c>
      <c r="G427" s="39" t="e">
        <f t="shared" si="860"/>
        <v>#REF!</v>
      </c>
      <c r="H427" s="16" t="e">
        <f t="shared" si="860"/>
        <v>#REF!</v>
      </c>
      <c r="I427" s="16" t="e">
        <f t="shared" si="860"/>
        <v>#REF!</v>
      </c>
      <c r="J427" s="40" t="e">
        <f t="shared" si="860"/>
        <v>#REF!</v>
      </c>
      <c r="K427" s="16" t="e">
        <f t="shared" si="860"/>
        <v>#REF!</v>
      </c>
      <c r="L427" s="40" t="e">
        <f t="shared" si="609"/>
        <v>#REF!</v>
      </c>
      <c r="M427" s="16" t="e">
        <f t="shared" si="610"/>
        <v>#REF!</v>
      </c>
      <c r="N427" s="16" t="e">
        <f t="shared" si="611"/>
        <v>#REF!</v>
      </c>
      <c r="O427" s="16" t="s">
        <v>65</v>
      </c>
      <c r="P427" s="16" t="str">
        <f t="shared" si="6"/>
        <v/>
      </c>
      <c r="Q427" s="41" t="e">
        <f t="shared" si="612"/>
        <v>#REF!</v>
      </c>
      <c r="R427" s="44"/>
      <c r="S427" s="44"/>
      <c r="T427" s="43"/>
      <c r="U427" s="43" t="str">
        <f t="shared" si="8"/>
        <v>No</v>
      </c>
      <c r="V427" s="25"/>
      <c r="W427" s="25"/>
      <c r="X427" s="25"/>
      <c r="Y427" s="25"/>
      <c r="Z427" s="25"/>
    </row>
    <row r="428" spans="1:26" ht="15.75" customHeight="1" x14ac:dyDescent="0.25">
      <c r="A428" s="25">
        <v>426</v>
      </c>
      <c r="B428" s="37" t="e">
        <f t="shared" ref="B428:D428" si="861">VLOOKUP($A428,#REF!,B$1,0)</f>
        <v>#REF!</v>
      </c>
      <c r="C428" s="38" t="e">
        <f t="shared" si="861"/>
        <v>#REF!</v>
      </c>
      <c r="D428" s="39" t="e">
        <f t="shared" si="861"/>
        <v>#REF!</v>
      </c>
      <c r="E428" s="16" t="e">
        <f t="shared" si="1"/>
        <v>#REF!</v>
      </c>
      <c r="F428" s="16" t="e">
        <f t="shared" ref="F428:K428" si="862">VLOOKUP($A428,#REF!,F$1,0)</f>
        <v>#REF!</v>
      </c>
      <c r="G428" s="39" t="e">
        <f t="shared" si="862"/>
        <v>#REF!</v>
      </c>
      <c r="H428" s="16" t="e">
        <f t="shared" si="862"/>
        <v>#REF!</v>
      </c>
      <c r="I428" s="16" t="e">
        <f t="shared" si="862"/>
        <v>#REF!</v>
      </c>
      <c r="J428" s="40" t="e">
        <f t="shared" si="862"/>
        <v>#REF!</v>
      </c>
      <c r="K428" s="16" t="e">
        <f t="shared" si="862"/>
        <v>#REF!</v>
      </c>
      <c r="L428" s="40" t="e">
        <f t="shared" si="609"/>
        <v>#REF!</v>
      </c>
      <c r="M428" s="16" t="e">
        <f t="shared" si="610"/>
        <v>#REF!</v>
      </c>
      <c r="N428" s="16" t="e">
        <f t="shared" si="611"/>
        <v>#REF!</v>
      </c>
      <c r="O428" s="16" t="s">
        <v>65</v>
      </c>
      <c r="P428" s="16" t="str">
        <f t="shared" si="6"/>
        <v/>
      </c>
      <c r="Q428" s="41" t="e">
        <f t="shared" si="612"/>
        <v>#REF!</v>
      </c>
      <c r="R428" s="44"/>
      <c r="S428" s="44"/>
      <c r="T428" s="43"/>
      <c r="U428" s="43" t="str">
        <f t="shared" si="8"/>
        <v>No</v>
      </c>
      <c r="V428" s="25"/>
      <c r="W428" s="25"/>
      <c r="X428" s="25"/>
      <c r="Y428" s="25"/>
      <c r="Z428" s="25"/>
    </row>
    <row r="429" spans="1:26" ht="15.75" customHeight="1" x14ac:dyDescent="0.25">
      <c r="A429" s="25">
        <v>427</v>
      </c>
      <c r="B429" s="37" t="e">
        <f t="shared" ref="B429:D429" si="863">VLOOKUP($A429,#REF!,B$1,0)</f>
        <v>#REF!</v>
      </c>
      <c r="C429" s="38" t="e">
        <f t="shared" si="863"/>
        <v>#REF!</v>
      </c>
      <c r="D429" s="39" t="e">
        <f t="shared" si="863"/>
        <v>#REF!</v>
      </c>
      <c r="E429" s="16" t="e">
        <f t="shared" si="1"/>
        <v>#REF!</v>
      </c>
      <c r="F429" s="16" t="e">
        <f t="shared" ref="F429:K429" si="864">VLOOKUP($A429,#REF!,F$1,0)</f>
        <v>#REF!</v>
      </c>
      <c r="G429" s="39" t="e">
        <f t="shared" si="864"/>
        <v>#REF!</v>
      </c>
      <c r="H429" s="16" t="e">
        <f t="shared" si="864"/>
        <v>#REF!</v>
      </c>
      <c r="I429" s="16" t="e">
        <f t="shared" si="864"/>
        <v>#REF!</v>
      </c>
      <c r="J429" s="40" t="e">
        <f t="shared" si="864"/>
        <v>#REF!</v>
      </c>
      <c r="K429" s="16" t="e">
        <f t="shared" si="864"/>
        <v>#REF!</v>
      </c>
      <c r="L429" s="40" t="e">
        <f t="shared" si="609"/>
        <v>#REF!</v>
      </c>
      <c r="M429" s="16" t="e">
        <f t="shared" si="610"/>
        <v>#REF!</v>
      </c>
      <c r="N429" s="16" t="e">
        <f t="shared" si="611"/>
        <v>#REF!</v>
      </c>
      <c r="O429" s="16" t="s">
        <v>65</v>
      </c>
      <c r="P429" s="16" t="str">
        <f t="shared" si="6"/>
        <v/>
      </c>
      <c r="Q429" s="41" t="e">
        <f t="shared" si="612"/>
        <v>#REF!</v>
      </c>
      <c r="R429" s="44"/>
      <c r="S429" s="44"/>
      <c r="T429" s="43"/>
      <c r="U429" s="43" t="str">
        <f t="shared" si="8"/>
        <v>No</v>
      </c>
      <c r="V429" s="25"/>
      <c r="W429" s="25"/>
      <c r="X429" s="25"/>
      <c r="Y429" s="25"/>
      <c r="Z429" s="25"/>
    </row>
    <row r="430" spans="1:26" ht="15.75" customHeight="1" x14ac:dyDescent="0.25">
      <c r="A430" s="25">
        <v>428</v>
      </c>
      <c r="B430" s="37" t="e">
        <f t="shared" ref="B430:D430" si="865">VLOOKUP($A430,#REF!,B$1,0)</f>
        <v>#REF!</v>
      </c>
      <c r="C430" s="38" t="e">
        <f t="shared" si="865"/>
        <v>#REF!</v>
      </c>
      <c r="D430" s="39" t="e">
        <f t="shared" si="865"/>
        <v>#REF!</v>
      </c>
      <c r="E430" s="16" t="e">
        <f t="shared" si="1"/>
        <v>#REF!</v>
      </c>
      <c r="F430" s="16" t="e">
        <f t="shared" ref="F430:K430" si="866">VLOOKUP($A430,#REF!,F$1,0)</f>
        <v>#REF!</v>
      </c>
      <c r="G430" s="39" t="e">
        <f t="shared" si="866"/>
        <v>#REF!</v>
      </c>
      <c r="H430" s="16" t="e">
        <f t="shared" si="866"/>
        <v>#REF!</v>
      </c>
      <c r="I430" s="16" t="e">
        <f t="shared" si="866"/>
        <v>#REF!</v>
      </c>
      <c r="J430" s="40" t="e">
        <f t="shared" si="866"/>
        <v>#REF!</v>
      </c>
      <c r="K430" s="16" t="e">
        <f t="shared" si="866"/>
        <v>#REF!</v>
      </c>
      <c r="L430" s="40" t="e">
        <f t="shared" si="609"/>
        <v>#REF!</v>
      </c>
      <c r="M430" s="16" t="e">
        <f t="shared" si="610"/>
        <v>#REF!</v>
      </c>
      <c r="N430" s="16" t="e">
        <f t="shared" si="611"/>
        <v>#REF!</v>
      </c>
      <c r="O430" s="16" t="s">
        <v>65</v>
      </c>
      <c r="P430" s="16" t="str">
        <f t="shared" si="6"/>
        <v/>
      </c>
      <c r="Q430" s="41" t="e">
        <f t="shared" si="612"/>
        <v>#REF!</v>
      </c>
      <c r="R430" s="44"/>
      <c r="S430" s="44"/>
      <c r="T430" s="43"/>
      <c r="U430" s="43" t="str">
        <f t="shared" si="8"/>
        <v>No</v>
      </c>
      <c r="V430" s="25"/>
      <c r="W430" s="25"/>
      <c r="X430" s="25"/>
      <c r="Y430" s="25"/>
      <c r="Z430" s="25"/>
    </row>
    <row r="431" spans="1:26" ht="15.75" customHeight="1" x14ac:dyDescent="0.25">
      <c r="A431" s="25">
        <v>429</v>
      </c>
      <c r="B431" s="37" t="e">
        <f t="shared" ref="B431:D431" si="867">VLOOKUP($A431,#REF!,B$1,0)</f>
        <v>#REF!</v>
      </c>
      <c r="C431" s="38" t="e">
        <f t="shared" si="867"/>
        <v>#REF!</v>
      </c>
      <c r="D431" s="39" t="e">
        <f t="shared" si="867"/>
        <v>#REF!</v>
      </c>
      <c r="E431" s="16" t="e">
        <f t="shared" si="1"/>
        <v>#REF!</v>
      </c>
      <c r="F431" s="16" t="e">
        <f t="shared" ref="F431:K431" si="868">VLOOKUP($A431,#REF!,F$1,0)</f>
        <v>#REF!</v>
      </c>
      <c r="G431" s="39" t="e">
        <f t="shared" si="868"/>
        <v>#REF!</v>
      </c>
      <c r="H431" s="16" t="e">
        <f t="shared" si="868"/>
        <v>#REF!</v>
      </c>
      <c r="I431" s="16" t="e">
        <f t="shared" si="868"/>
        <v>#REF!</v>
      </c>
      <c r="J431" s="40" t="e">
        <f t="shared" si="868"/>
        <v>#REF!</v>
      </c>
      <c r="K431" s="16" t="e">
        <f t="shared" si="868"/>
        <v>#REF!</v>
      </c>
      <c r="L431" s="40" t="e">
        <f t="shared" si="609"/>
        <v>#REF!</v>
      </c>
      <c r="M431" s="16" t="e">
        <f t="shared" si="610"/>
        <v>#REF!</v>
      </c>
      <c r="N431" s="16" t="e">
        <f t="shared" si="611"/>
        <v>#REF!</v>
      </c>
      <c r="O431" s="16" t="s">
        <v>65</v>
      </c>
      <c r="P431" s="16" t="str">
        <f t="shared" si="6"/>
        <v/>
      </c>
      <c r="Q431" s="41" t="e">
        <f t="shared" si="612"/>
        <v>#REF!</v>
      </c>
      <c r="R431" s="44"/>
      <c r="S431" s="44"/>
      <c r="T431" s="43"/>
      <c r="U431" s="43" t="str">
        <f t="shared" si="8"/>
        <v>No</v>
      </c>
      <c r="V431" s="25"/>
      <c r="W431" s="25"/>
      <c r="X431" s="25"/>
      <c r="Y431" s="25"/>
      <c r="Z431" s="25"/>
    </row>
    <row r="432" spans="1:26" ht="15.75" customHeight="1" x14ac:dyDescent="0.25">
      <c r="A432" s="25">
        <v>430</v>
      </c>
      <c r="B432" s="37" t="e">
        <f t="shared" ref="B432:D432" si="869">VLOOKUP($A432,#REF!,B$1,0)</f>
        <v>#REF!</v>
      </c>
      <c r="C432" s="38" t="e">
        <f t="shared" si="869"/>
        <v>#REF!</v>
      </c>
      <c r="D432" s="39" t="e">
        <f t="shared" si="869"/>
        <v>#REF!</v>
      </c>
      <c r="E432" s="16" t="e">
        <f t="shared" si="1"/>
        <v>#REF!</v>
      </c>
      <c r="F432" s="16" t="e">
        <f t="shared" ref="F432:K432" si="870">VLOOKUP($A432,#REF!,F$1,0)</f>
        <v>#REF!</v>
      </c>
      <c r="G432" s="39" t="e">
        <f t="shared" si="870"/>
        <v>#REF!</v>
      </c>
      <c r="H432" s="16" t="e">
        <f t="shared" si="870"/>
        <v>#REF!</v>
      </c>
      <c r="I432" s="16" t="e">
        <f t="shared" si="870"/>
        <v>#REF!</v>
      </c>
      <c r="J432" s="40" t="e">
        <f t="shared" si="870"/>
        <v>#REF!</v>
      </c>
      <c r="K432" s="16" t="e">
        <f t="shared" si="870"/>
        <v>#REF!</v>
      </c>
      <c r="L432" s="40" t="e">
        <f t="shared" si="609"/>
        <v>#REF!</v>
      </c>
      <c r="M432" s="16" t="e">
        <f t="shared" si="610"/>
        <v>#REF!</v>
      </c>
      <c r="N432" s="16" t="e">
        <f t="shared" si="611"/>
        <v>#REF!</v>
      </c>
      <c r="O432" s="16" t="s">
        <v>65</v>
      </c>
      <c r="P432" s="16" t="str">
        <f t="shared" si="6"/>
        <v/>
      </c>
      <c r="Q432" s="41" t="e">
        <f t="shared" si="612"/>
        <v>#REF!</v>
      </c>
      <c r="R432" s="44"/>
      <c r="S432" s="44"/>
      <c r="T432" s="43"/>
      <c r="U432" s="43" t="str">
        <f t="shared" si="8"/>
        <v>No</v>
      </c>
      <c r="V432" s="25"/>
      <c r="W432" s="25"/>
      <c r="X432" s="25"/>
      <c r="Y432" s="25"/>
      <c r="Z432" s="25"/>
    </row>
    <row r="433" spans="1:26" ht="15.75" customHeight="1" x14ac:dyDescent="0.25">
      <c r="A433" s="25">
        <v>431</v>
      </c>
      <c r="B433" s="37" t="e">
        <f t="shared" ref="B433:D433" si="871">VLOOKUP($A433,#REF!,B$1,0)</f>
        <v>#REF!</v>
      </c>
      <c r="C433" s="38" t="e">
        <f t="shared" si="871"/>
        <v>#REF!</v>
      </c>
      <c r="D433" s="39" t="e">
        <f t="shared" si="871"/>
        <v>#REF!</v>
      </c>
      <c r="E433" s="16" t="e">
        <f t="shared" si="1"/>
        <v>#REF!</v>
      </c>
      <c r="F433" s="16" t="e">
        <f t="shared" ref="F433:K433" si="872">VLOOKUP($A433,#REF!,F$1,0)</f>
        <v>#REF!</v>
      </c>
      <c r="G433" s="39" t="e">
        <f t="shared" si="872"/>
        <v>#REF!</v>
      </c>
      <c r="H433" s="16" t="e">
        <f t="shared" si="872"/>
        <v>#REF!</v>
      </c>
      <c r="I433" s="16" t="e">
        <f t="shared" si="872"/>
        <v>#REF!</v>
      </c>
      <c r="J433" s="40" t="e">
        <f t="shared" si="872"/>
        <v>#REF!</v>
      </c>
      <c r="K433" s="16" t="e">
        <f t="shared" si="872"/>
        <v>#REF!</v>
      </c>
      <c r="L433" s="40" t="e">
        <f t="shared" si="609"/>
        <v>#REF!</v>
      </c>
      <c r="M433" s="16" t="e">
        <f t="shared" si="610"/>
        <v>#REF!</v>
      </c>
      <c r="N433" s="16" t="e">
        <f t="shared" si="611"/>
        <v>#REF!</v>
      </c>
      <c r="O433" s="16" t="s">
        <v>65</v>
      </c>
      <c r="P433" s="16" t="str">
        <f t="shared" si="6"/>
        <v/>
      </c>
      <c r="Q433" s="41" t="e">
        <f t="shared" si="612"/>
        <v>#REF!</v>
      </c>
      <c r="R433" s="44"/>
      <c r="S433" s="44"/>
      <c r="T433" s="43"/>
      <c r="U433" s="43" t="str">
        <f t="shared" si="8"/>
        <v>No</v>
      </c>
      <c r="V433" s="25"/>
      <c r="W433" s="25"/>
      <c r="X433" s="25"/>
      <c r="Y433" s="25"/>
      <c r="Z433" s="25"/>
    </row>
    <row r="434" spans="1:26" ht="15.75" customHeight="1" x14ac:dyDescent="0.25">
      <c r="A434" s="25">
        <v>432</v>
      </c>
      <c r="B434" s="37" t="e">
        <f t="shared" ref="B434:D434" si="873">VLOOKUP($A434,#REF!,B$1,0)</f>
        <v>#REF!</v>
      </c>
      <c r="C434" s="38" t="e">
        <f t="shared" si="873"/>
        <v>#REF!</v>
      </c>
      <c r="D434" s="39" t="e">
        <f t="shared" si="873"/>
        <v>#REF!</v>
      </c>
      <c r="E434" s="16" t="e">
        <f t="shared" si="1"/>
        <v>#REF!</v>
      </c>
      <c r="F434" s="16" t="e">
        <f t="shared" ref="F434:K434" si="874">VLOOKUP($A434,#REF!,F$1,0)</f>
        <v>#REF!</v>
      </c>
      <c r="G434" s="39" t="e">
        <f t="shared" si="874"/>
        <v>#REF!</v>
      </c>
      <c r="H434" s="16" t="e">
        <f t="shared" si="874"/>
        <v>#REF!</v>
      </c>
      <c r="I434" s="16" t="e">
        <f t="shared" si="874"/>
        <v>#REF!</v>
      </c>
      <c r="J434" s="40" t="e">
        <f t="shared" si="874"/>
        <v>#REF!</v>
      </c>
      <c r="K434" s="16" t="e">
        <f t="shared" si="874"/>
        <v>#REF!</v>
      </c>
      <c r="L434" s="40" t="e">
        <f t="shared" si="609"/>
        <v>#REF!</v>
      </c>
      <c r="M434" s="16" t="e">
        <f t="shared" si="610"/>
        <v>#REF!</v>
      </c>
      <c r="N434" s="16" t="e">
        <f t="shared" si="611"/>
        <v>#REF!</v>
      </c>
      <c r="O434" s="16" t="s">
        <v>65</v>
      </c>
      <c r="P434" s="16" t="str">
        <f t="shared" si="6"/>
        <v/>
      </c>
      <c r="Q434" s="41" t="e">
        <f t="shared" si="612"/>
        <v>#REF!</v>
      </c>
      <c r="R434" s="44"/>
      <c r="S434" s="44"/>
      <c r="T434" s="43"/>
      <c r="U434" s="43" t="str">
        <f t="shared" si="8"/>
        <v>No</v>
      </c>
      <c r="V434" s="25"/>
      <c r="W434" s="25"/>
      <c r="X434" s="25"/>
      <c r="Y434" s="25"/>
      <c r="Z434" s="25"/>
    </row>
    <row r="435" spans="1:26" ht="15.75" customHeight="1" x14ac:dyDescent="0.25">
      <c r="A435" s="25">
        <v>433</v>
      </c>
      <c r="B435" s="37" t="e">
        <f t="shared" ref="B435:D435" si="875">VLOOKUP($A435,#REF!,B$1,0)</f>
        <v>#REF!</v>
      </c>
      <c r="C435" s="38" t="e">
        <f t="shared" si="875"/>
        <v>#REF!</v>
      </c>
      <c r="D435" s="39" t="e">
        <f t="shared" si="875"/>
        <v>#REF!</v>
      </c>
      <c r="E435" s="16" t="e">
        <f t="shared" si="1"/>
        <v>#REF!</v>
      </c>
      <c r="F435" s="16" t="e">
        <f t="shared" ref="F435:K435" si="876">VLOOKUP($A435,#REF!,F$1,0)</f>
        <v>#REF!</v>
      </c>
      <c r="G435" s="39" t="e">
        <f t="shared" si="876"/>
        <v>#REF!</v>
      </c>
      <c r="H435" s="16" t="e">
        <f t="shared" si="876"/>
        <v>#REF!</v>
      </c>
      <c r="I435" s="16" t="e">
        <f t="shared" si="876"/>
        <v>#REF!</v>
      </c>
      <c r="J435" s="40" t="e">
        <f t="shared" si="876"/>
        <v>#REF!</v>
      </c>
      <c r="K435" s="16" t="e">
        <f t="shared" si="876"/>
        <v>#REF!</v>
      </c>
      <c r="L435" s="40" t="e">
        <f t="shared" si="609"/>
        <v>#REF!</v>
      </c>
      <c r="M435" s="16" t="e">
        <f t="shared" si="610"/>
        <v>#REF!</v>
      </c>
      <c r="N435" s="16" t="e">
        <f t="shared" si="611"/>
        <v>#REF!</v>
      </c>
      <c r="O435" s="16" t="s">
        <v>65</v>
      </c>
      <c r="P435" s="16" t="str">
        <f t="shared" si="6"/>
        <v/>
      </c>
      <c r="Q435" s="41" t="e">
        <f t="shared" si="612"/>
        <v>#REF!</v>
      </c>
      <c r="R435" s="44"/>
      <c r="S435" s="44"/>
      <c r="T435" s="43"/>
      <c r="U435" s="43" t="str">
        <f t="shared" si="8"/>
        <v>No</v>
      </c>
      <c r="V435" s="25"/>
      <c r="W435" s="25"/>
      <c r="X435" s="25"/>
      <c r="Y435" s="25"/>
      <c r="Z435" s="25"/>
    </row>
    <row r="436" spans="1:26" ht="15.75" customHeight="1" x14ac:dyDescent="0.25">
      <c r="A436" s="25">
        <v>434</v>
      </c>
      <c r="B436" s="37" t="e">
        <f t="shared" ref="B436:D436" si="877">VLOOKUP($A436,#REF!,B$1,0)</f>
        <v>#REF!</v>
      </c>
      <c r="C436" s="38" t="e">
        <f t="shared" si="877"/>
        <v>#REF!</v>
      </c>
      <c r="D436" s="39" t="e">
        <f t="shared" si="877"/>
        <v>#REF!</v>
      </c>
      <c r="E436" s="16" t="e">
        <f t="shared" si="1"/>
        <v>#REF!</v>
      </c>
      <c r="F436" s="16" t="e">
        <f t="shared" ref="F436:K436" si="878">VLOOKUP($A436,#REF!,F$1,0)</f>
        <v>#REF!</v>
      </c>
      <c r="G436" s="39" t="e">
        <f t="shared" si="878"/>
        <v>#REF!</v>
      </c>
      <c r="H436" s="16" t="e">
        <f t="shared" si="878"/>
        <v>#REF!</v>
      </c>
      <c r="I436" s="16" t="e">
        <f t="shared" si="878"/>
        <v>#REF!</v>
      </c>
      <c r="J436" s="40" t="e">
        <f t="shared" si="878"/>
        <v>#REF!</v>
      </c>
      <c r="K436" s="16" t="e">
        <f t="shared" si="878"/>
        <v>#REF!</v>
      </c>
      <c r="L436" s="40" t="e">
        <f t="shared" si="609"/>
        <v>#REF!</v>
      </c>
      <c r="M436" s="16" t="e">
        <f t="shared" si="610"/>
        <v>#REF!</v>
      </c>
      <c r="N436" s="16" t="e">
        <f t="shared" si="611"/>
        <v>#REF!</v>
      </c>
      <c r="O436" s="16" t="s">
        <v>65</v>
      </c>
      <c r="P436" s="16" t="str">
        <f t="shared" si="6"/>
        <v/>
      </c>
      <c r="Q436" s="41" t="e">
        <f t="shared" si="612"/>
        <v>#REF!</v>
      </c>
      <c r="R436" s="44"/>
      <c r="S436" s="44"/>
      <c r="T436" s="43"/>
      <c r="U436" s="43" t="str">
        <f t="shared" si="8"/>
        <v>No</v>
      </c>
      <c r="V436" s="25"/>
      <c r="W436" s="25"/>
      <c r="X436" s="25"/>
      <c r="Y436" s="25"/>
      <c r="Z436" s="25"/>
    </row>
    <row r="437" spans="1:26" ht="15.75" customHeight="1" x14ac:dyDescent="0.25">
      <c r="A437" s="25">
        <v>435</v>
      </c>
      <c r="B437" s="37" t="e">
        <f t="shared" ref="B437:D437" si="879">VLOOKUP($A437,#REF!,B$1,0)</f>
        <v>#REF!</v>
      </c>
      <c r="C437" s="38" t="e">
        <f t="shared" si="879"/>
        <v>#REF!</v>
      </c>
      <c r="D437" s="39" t="e">
        <f t="shared" si="879"/>
        <v>#REF!</v>
      </c>
      <c r="E437" s="16" t="e">
        <f t="shared" si="1"/>
        <v>#REF!</v>
      </c>
      <c r="F437" s="16" t="e">
        <f t="shared" ref="F437:K437" si="880">VLOOKUP($A437,#REF!,F$1,0)</f>
        <v>#REF!</v>
      </c>
      <c r="G437" s="39" t="e">
        <f t="shared" si="880"/>
        <v>#REF!</v>
      </c>
      <c r="H437" s="16" t="e">
        <f t="shared" si="880"/>
        <v>#REF!</v>
      </c>
      <c r="I437" s="16" t="e">
        <f t="shared" si="880"/>
        <v>#REF!</v>
      </c>
      <c r="J437" s="40" t="e">
        <f t="shared" si="880"/>
        <v>#REF!</v>
      </c>
      <c r="K437" s="16" t="e">
        <f t="shared" si="880"/>
        <v>#REF!</v>
      </c>
      <c r="L437" s="40" t="e">
        <f t="shared" si="609"/>
        <v>#REF!</v>
      </c>
      <c r="M437" s="16" t="e">
        <f t="shared" si="610"/>
        <v>#REF!</v>
      </c>
      <c r="N437" s="16" t="e">
        <f t="shared" si="611"/>
        <v>#REF!</v>
      </c>
      <c r="O437" s="16" t="s">
        <v>65</v>
      </c>
      <c r="P437" s="16" t="str">
        <f t="shared" si="6"/>
        <v/>
      </c>
      <c r="Q437" s="41" t="e">
        <f t="shared" si="612"/>
        <v>#REF!</v>
      </c>
      <c r="R437" s="44"/>
      <c r="S437" s="44"/>
      <c r="T437" s="43"/>
      <c r="U437" s="43" t="str">
        <f t="shared" si="8"/>
        <v>No</v>
      </c>
      <c r="V437" s="25"/>
      <c r="W437" s="25"/>
      <c r="X437" s="25"/>
      <c r="Y437" s="25"/>
      <c r="Z437" s="25"/>
    </row>
    <row r="438" spans="1:26" ht="15.75" customHeight="1" x14ac:dyDescent="0.25">
      <c r="A438" s="25">
        <v>436</v>
      </c>
      <c r="B438" s="37" t="e">
        <f t="shared" ref="B438:D438" si="881">VLOOKUP($A438,#REF!,B$1,0)</f>
        <v>#REF!</v>
      </c>
      <c r="C438" s="38" t="e">
        <f t="shared" si="881"/>
        <v>#REF!</v>
      </c>
      <c r="D438" s="39" t="e">
        <f t="shared" si="881"/>
        <v>#REF!</v>
      </c>
      <c r="E438" s="16" t="e">
        <f t="shared" si="1"/>
        <v>#REF!</v>
      </c>
      <c r="F438" s="16" t="e">
        <f t="shared" ref="F438:K438" si="882">VLOOKUP($A438,#REF!,F$1,0)</f>
        <v>#REF!</v>
      </c>
      <c r="G438" s="39" t="e">
        <f t="shared" si="882"/>
        <v>#REF!</v>
      </c>
      <c r="H438" s="16" t="e">
        <f t="shared" si="882"/>
        <v>#REF!</v>
      </c>
      <c r="I438" s="16" t="e">
        <f t="shared" si="882"/>
        <v>#REF!</v>
      </c>
      <c r="J438" s="40" t="e">
        <f t="shared" si="882"/>
        <v>#REF!</v>
      </c>
      <c r="K438" s="16" t="e">
        <f t="shared" si="882"/>
        <v>#REF!</v>
      </c>
      <c r="L438" s="40" t="e">
        <f t="shared" si="609"/>
        <v>#REF!</v>
      </c>
      <c r="M438" s="16" t="e">
        <f t="shared" si="610"/>
        <v>#REF!</v>
      </c>
      <c r="N438" s="16" t="e">
        <f t="shared" si="611"/>
        <v>#REF!</v>
      </c>
      <c r="O438" s="16" t="s">
        <v>65</v>
      </c>
      <c r="P438" s="16" t="str">
        <f t="shared" si="6"/>
        <v/>
      </c>
      <c r="Q438" s="41" t="e">
        <f t="shared" si="612"/>
        <v>#REF!</v>
      </c>
      <c r="R438" s="44"/>
      <c r="S438" s="44"/>
      <c r="T438" s="43"/>
      <c r="U438" s="43" t="str">
        <f t="shared" si="8"/>
        <v>No</v>
      </c>
      <c r="V438" s="25"/>
      <c r="W438" s="25"/>
      <c r="X438" s="25"/>
      <c r="Y438" s="25"/>
      <c r="Z438" s="25"/>
    </row>
    <row r="439" spans="1:26" ht="15.75" customHeight="1" x14ac:dyDescent="0.25">
      <c r="A439" s="25">
        <v>437</v>
      </c>
      <c r="B439" s="37" t="e">
        <f t="shared" ref="B439:D439" si="883">VLOOKUP($A439,#REF!,B$1,0)</f>
        <v>#REF!</v>
      </c>
      <c r="C439" s="38" t="e">
        <f t="shared" si="883"/>
        <v>#REF!</v>
      </c>
      <c r="D439" s="39" t="e">
        <f t="shared" si="883"/>
        <v>#REF!</v>
      </c>
      <c r="E439" s="16" t="e">
        <f t="shared" si="1"/>
        <v>#REF!</v>
      </c>
      <c r="F439" s="16" t="e">
        <f t="shared" ref="F439:K439" si="884">VLOOKUP($A439,#REF!,F$1,0)</f>
        <v>#REF!</v>
      </c>
      <c r="G439" s="39" t="e">
        <f t="shared" si="884"/>
        <v>#REF!</v>
      </c>
      <c r="H439" s="16" t="e">
        <f t="shared" si="884"/>
        <v>#REF!</v>
      </c>
      <c r="I439" s="16" t="e">
        <f t="shared" si="884"/>
        <v>#REF!</v>
      </c>
      <c r="J439" s="40" t="e">
        <f t="shared" si="884"/>
        <v>#REF!</v>
      </c>
      <c r="K439" s="16" t="e">
        <f t="shared" si="884"/>
        <v>#REF!</v>
      </c>
      <c r="L439" s="40" t="e">
        <f t="shared" si="609"/>
        <v>#REF!</v>
      </c>
      <c r="M439" s="16" t="e">
        <f t="shared" si="610"/>
        <v>#REF!</v>
      </c>
      <c r="N439" s="16" t="e">
        <f t="shared" si="611"/>
        <v>#REF!</v>
      </c>
      <c r="O439" s="16" t="s">
        <v>65</v>
      </c>
      <c r="P439" s="16" t="str">
        <f t="shared" si="6"/>
        <v/>
      </c>
      <c r="Q439" s="41" t="e">
        <f t="shared" si="612"/>
        <v>#REF!</v>
      </c>
      <c r="R439" s="44"/>
      <c r="S439" s="44"/>
      <c r="T439" s="43"/>
      <c r="U439" s="43" t="str">
        <f t="shared" si="8"/>
        <v>No</v>
      </c>
      <c r="V439" s="25"/>
      <c r="W439" s="25"/>
      <c r="X439" s="25"/>
      <c r="Y439" s="25"/>
      <c r="Z439" s="25"/>
    </row>
    <row r="440" spans="1:26" ht="15.75" customHeight="1" x14ac:dyDescent="0.25">
      <c r="A440" s="25">
        <v>438</v>
      </c>
      <c r="B440" s="37" t="e">
        <f t="shared" ref="B440:D440" si="885">VLOOKUP($A440,#REF!,B$1,0)</f>
        <v>#REF!</v>
      </c>
      <c r="C440" s="38" t="e">
        <f t="shared" si="885"/>
        <v>#REF!</v>
      </c>
      <c r="D440" s="39" t="e">
        <f t="shared" si="885"/>
        <v>#REF!</v>
      </c>
      <c r="E440" s="16" t="e">
        <f t="shared" si="1"/>
        <v>#REF!</v>
      </c>
      <c r="F440" s="16" t="e">
        <f t="shared" ref="F440:K440" si="886">VLOOKUP($A440,#REF!,F$1,0)</f>
        <v>#REF!</v>
      </c>
      <c r="G440" s="39" t="e">
        <f t="shared" si="886"/>
        <v>#REF!</v>
      </c>
      <c r="H440" s="16" t="e">
        <f t="shared" si="886"/>
        <v>#REF!</v>
      </c>
      <c r="I440" s="16" t="e">
        <f t="shared" si="886"/>
        <v>#REF!</v>
      </c>
      <c r="J440" s="40" t="e">
        <f t="shared" si="886"/>
        <v>#REF!</v>
      </c>
      <c r="K440" s="16" t="e">
        <f t="shared" si="886"/>
        <v>#REF!</v>
      </c>
      <c r="L440" s="40" t="e">
        <f t="shared" si="609"/>
        <v>#REF!</v>
      </c>
      <c r="M440" s="16" t="e">
        <f t="shared" si="610"/>
        <v>#REF!</v>
      </c>
      <c r="N440" s="16" t="e">
        <f t="shared" si="611"/>
        <v>#REF!</v>
      </c>
      <c r="O440" s="16" t="s">
        <v>65</v>
      </c>
      <c r="P440" s="16" t="str">
        <f t="shared" si="6"/>
        <v/>
      </c>
      <c r="Q440" s="41" t="e">
        <f t="shared" si="612"/>
        <v>#REF!</v>
      </c>
      <c r="R440" s="44"/>
      <c r="S440" s="44"/>
      <c r="T440" s="43"/>
      <c r="U440" s="43" t="str">
        <f t="shared" si="8"/>
        <v>No</v>
      </c>
      <c r="V440" s="25"/>
      <c r="W440" s="25"/>
      <c r="X440" s="25"/>
      <c r="Y440" s="25"/>
      <c r="Z440" s="25"/>
    </row>
    <row r="441" spans="1:26" ht="15.75" customHeight="1" x14ac:dyDescent="0.25">
      <c r="A441" s="25">
        <v>439</v>
      </c>
      <c r="B441" s="37" t="e">
        <f t="shared" ref="B441:D441" si="887">VLOOKUP($A441,#REF!,B$1,0)</f>
        <v>#REF!</v>
      </c>
      <c r="C441" s="38" t="e">
        <f t="shared" si="887"/>
        <v>#REF!</v>
      </c>
      <c r="D441" s="39" t="e">
        <f t="shared" si="887"/>
        <v>#REF!</v>
      </c>
      <c r="E441" s="16" t="e">
        <f t="shared" si="1"/>
        <v>#REF!</v>
      </c>
      <c r="F441" s="16" t="e">
        <f t="shared" ref="F441:K441" si="888">VLOOKUP($A441,#REF!,F$1,0)</f>
        <v>#REF!</v>
      </c>
      <c r="G441" s="39" t="e">
        <f t="shared" si="888"/>
        <v>#REF!</v>
      </c>
      <c r="H441" s="16" t="e">
        <f t="shared" si="888"/>
        <v>#REF!</v>
      </c>
      <c r="I441" s="16" t="e">
        <f t="shared" si="888"/>
        <v>#REF!</v>
      </c>
      <c r="J441" s="40" t="e">
        <f t="shared" si="888"/>
        <v>#REF!</v>
      </c>
      <c r="K441" s="16" t="e">
        <f t="shared" si="888"/>
        <v>#REF!</v>
      </c>
      <c r="L441" s="40" t="e">
        <f t="shared" si="609"/>
        <v>#REF!</v>
      </c>
      <c r="M441" s="16" t="e">
        <f t="shared" si="610"/>
        <v>#REF!</v>
      </c>
      <c r="N441" s="16" t="e">
        <f t="shared" si="611"/>
        <v>#REF!</v>
      </c>
      <c r="O441" s="16" t="s">
        <v>65</v>
      </c>
      <c r="P441" s="16" t="str">
        <f t="shared" si="6"/>
        <v/>
      </c>
      <c r="Q441" s="41" t="e">
        <f t="shared" si="612"/>
        <v>#REF!</v>
      </c>
      <c r="R441" s="44"/>
      <c r="S441" s="44"/>
      <c r="T441" s="43"/>
      <c r="U441" s="43" t="str">
        <f t="shared" si="8"/>
        <v>No</v>
      </c>
      <c r="V441" s="25"/>
      <c r="W441" s="25"/>
      <c r="X441" s="25"/>
      <c r="Y441" s="25"/>
      <c r="Z441" s="25"/>
    </row>
    <row r="442" spans="1:26" ht="15.75" customHeight="1" x14ac:dyDescent="0.25">
      <c r="A442" s="25">
        <v>440</v>
      </c>
      <c r="B442" s="37" t="e">
        <f t="shared" ref="B442:D442" si="889">VLOOKUP($A442,#REF!,B$1,0)</f>
        <v>#REF!</v>
      </c>
      <c r="C442" s="38" t="e">
        <f t="shared" si="889"/>
        <v>#REF!</v>
      </c>
      <c r="D442" s="39" t="e">
        <f t="shared" si="889"/>
        <v>#REF!</v>
      </c>
      <c r="E442" s="16" t="e">
        <f t="shared" si="1"/>
        <v>#REF!</v>
      </c>
      <c r="F442" s="16" t="e">
        <f t="shared" ref="F442:K442" si="890">VLOOKUP($A442,#REF!,F$1,0)</f>
        <v>#REF!</v>
      </c>
      <c r="G442" s="39" t="e">
        <f t="shared" si="890"/>
        <v>#REF!</v>
      </c>
      <c r="H442" s="16" t="e">
        <f t="shared" si="890"/>
        <v>#REF!</v>
      </c>
      <c r="I442" s="16" t="e">
        <f t="shared" si="890"/>
        <v>#REF!</v>
      </c>
      <c r="J442" s="40" t="e">
        <f t="shared" si="890"/>
        <v>#REF!</v>
      </c>
      <c r="K442" s="16" t="e">
        <f t="shared" si="890"/>
        <v>#REF!</v>
      </c>
      <c r="L442" s="40" t="e">
        <f t="shared" si="609"/>
        <v>#REF!</v>
      </c>
      <c r="M442" s="16" t="e">
        <f t="shared" si="610"/>
        <v>#REF!</v>
      </c>
      <c r="N442" s="16" t="e">
        <f t="shared" si="611"/>
        <v>#REF!</v>
      </c>
      <c r="O442" s="16" t="s">
        <v>65</v>
      </c>
      <c r="P442" s="16" t="str">
        <f t="shared" si="6"/>
        <v/>
      </c>
      <c r="Q442" s="41" t="e">
        <f t="shared" si="612"/>
        <v>#REF!</v>
      </c>
      <c r="R442" s="44"/>
      <c r="S442" s="44"/>
      <c r="T442" s="43"/>
      <c r="U442" s="43" t="str">
        <f t="shared" si="8"/>
        <v>No</v>
      </c>
      <c r="V442" s="25"/>
      <c r="W442" s="25"/>
      <c r="X442" s="25"/>
      <c r="Y442" s="25"/>
      <c r="Z442" s="25"/>
    </row>
    <row r="443" spans="1:26" ht="15.75" customHeight="1" x14ac:dyDescent="0.25">
      <c r="A443" s="25">
        <v>441</v>
      </c>
      <c r="B443" s="37" t="e">
        <f t="shared" ref="B443:D443" si="891">VLOOKUP($A443,#REF!,B$1,0)</f>
        <v>#REF!</v>
      </c>
      <c r="C443" s="38" t="e">
        <f t="shared" si="891"/>
        <v>#REF!</v>
      </c>
      <c r="D443" s="39" t="e">
        <f t="shared" si="891"/>
        <v>#REF!</v>
      </c>
      <c r="E443" s="16" t="e">
        <f t="shared" si="1"/>
        <v>#REF!</v>
      </c>
      <c r="F443" s="16" t="e">
        <f t="shared" ref="F443:K443" si="892">VLOOKUP($A443,#REF!,F$1,0)</f>
        <v>#REF!</v>
      </c>
      <c r="G443" s="39" t="e">
        <f t="shared" si="892"/>
        <v>#REF!</v>
      </c>
      <c r="H443" s="16" t="e">
        <f t="shared" si="892"/>
        <v>#REF!</v>
      </c>
      <c r="I443" s="16" t="e">
        <f t="shared" si="892"/>
        <v>#REF!</v>
      </c>
      <c r="J443" s="40" t="e">
        <f t="shared" si="892"/>
        <v>#REF!</v>
      </c>
      <c r="K443" s="16" t="e">
        <f t="shared" si="892"/>
        <v>#REF!</v>
      </c>
      <c r="L443" s="40" t="e">
        <f t="shared" si="609"/>
        <v>#REF!</v>
      </c>
      <c r="M443" s="16" t="e">
        <f t="shared" si="610"/>
        <v>#REF!</v>
      </c>
      <c r="N443" s="16" t="e">
        <f t="shared" si="611"/>
        <v>#REF!</v>
      </c>
      <c r="O443" s="16" t="s">
        <v>65</v>
      </c>
      <c r="P443" s="16" t="str">
        <f t="shared" si="6"/>
        <v/>
      </c>
      <c r="Q443" s="41" t="e">
        <f t="shared" si="612"/>
        <v>#REF!</v>
      </c>
      <c r="R443" s="44"/>
      <c r="S443" s="44"/>
      <c r="T443" s="43"/>
      <c r="U443" s="43" t="str">
        <f t="shared" si="8"/>
        <v>No</v>
      </c>
      <c r="V443" s="25"/>
      <c r="W443" s="25"/>
      <c r="X443" s="25"/>
      <c r="Y443" s="25"/>
      <c r="Z443" s="25"/>
    </row>
    <row r="444" spans="1:26" ht="15.75" customHeight="1" x14ac:dyDescent="0.25">
      <c r="A444" s="25">
        <v>442</v>
      </c>
      <c r="B444" s="37" t="e">
        <f t="shared" ref="B444:D444" si="893">VLOOKUP($A444,#REF!,B$1,0)</f>
        <v>#REF!</v>
      </c>
      <c r="C444" s="38" t="e">
        <f t="shared" si="893"/>
        <v>#REF!</v>
      </c>
      <c r="D444" s="39" t="e">
        <f t="shared" si="893"/>
        <v>#REF!</v>
      </c>
      <c r="E444" s="16" t="e">
        <f t="shared" si="1"/>
        <v>#REF!</v>
      </c>
      <c r="F444" s="16" t="e">
        <f t="shared" ref="F444:K444" si="894">VLOOKUP($A444,#REF!,F$1,0)</f>
        <v>#REF!</v>
      </c>
      <c r="G444" s="39" t="e">
        <f t="shared" si="894"/>
        <v>#REF!</v>
      </c>
      <c r="H444" s="16" t="e">
        <f t="shared" si="894"/>
        <v>#REF!</v>
      </c>
      <c r="I444" s="16" t="e">
        <f t="shared" si="894"/>
        <v>#REF!</v>
      </c>
      <c r="J444" s="40" t="e">
        <f t="shared" si="894"/>
        <v>#REF!</v>
      </c>
      <c r="K444" s="16" t="e">
        <f t="shared" si="894"/>
        <v>#REF!</v>
      </c>
      <c r="L444" s="40" t="e">
        <f t="shared" si="609"/>
        <v>#REF!</v>
      </c>
      <c r="M444" s="16" t="e">
        <f t="shared" si="610"/>
        <v>#REF!</v>
      </c>
      <c r="N444" s="16" t="e">
        <f t="shared" si="611"/>
        <v>#REF!</v>
      </c>
      <c r="O444" s="16" t="s">
        <v>65</v>
      </c>
      <c r="P444" s="16" t="str">
        <f t="shared" si="6"/>
        <v/>
      </c>
      <c r="Q444" s="41" t="e">
        <f t="shared" si="612"/>
        <v>#REF!</v>
      </c>
      <c r="R444" s="44"/>
      <c r="S444" s="44"/>
      <c r="T444" s="43"/>
      <c r="U444" s="43" t="str">
        <f t="shared" si="8"/>
        <v>No</v>
      </c>
      <c r="V444" s="25"/>
      <c r="W444" s="25"/>
      <c r="X444" s="25"/>
      <c r="Y444" s="25"/>
      <c r="Z444" s="25"/>
    </row>
    <row r="445" spans="1:26" ht="15.75" customHeight="1" x14ac:dyDescent="0.25">
      <c r="A445" s="25">
        <v>443</v>
      </c>
      <c r="B445" s="37" t="e">
        <f t="shared" ref="B445:D445" si="895">VLOOKUP($A445,#REF!,B$1,0)</f>
        <v>#REF!</v>
      </c>
      <c r="C445" s="38" t="e">
        <f t="shared" si="895"/>
        <v>#REF!</v>
      </c>
      <c r="D445" s="39" t="e">
        <f t="shared" si="895"/>
        <v>#REF!</v>
      </c>
      <c r="E445" s="16" t="e">
        <f t="shared" si="1"/>
        <v>#REF!</v>
      </c>
      <c r="F445" s="16" t="e">
        <f t="shared" ref="F445:K445" si="896">VLOOKUP($A445,#REF!,F$1,0)</f>
        <v>#REF!</v>
      </c>
      <c r="G445" s="39" t="e">
        <f t="shared" si="896"/>
        <v>#REF!</v>
      </c>
      <c r="H445" s="16" t="e">
        <f t="shared" si="896"/>
        <v>#REF!</v>
      </c>
      <c r="I445" s="16" t="e">
        <f t="shared" si="896"/>
        <v>#REF!</v>
      </c>
      <c r="J445" s="40" t="e">
        <f t="shared" si="896"/>
        <v>#REF!</v>
      </c>
      <c r="K445" s="16" t="e">
        <f t="shared" si="896"/>
        <v>#REF!</v>
      </c>
      <c r="L445" s="40" t="e">
        <f t="shared" si="609"/>
        <v>#REF!</v>
      </c>
      <c r="M445" s="16" t="e">
        <f t="shared" si="610"/>
        <v>#REF!</v>
      </c>
      <c r="N445" s="16" t="e">
        <f t="shared" si="611"/>
        <v>#REF!</v>
      </c>
      <c r="O445" s="16" t="s">
        <v>65</v>
      </c>
      <c r="P445" s="16" t="str">
        <f t="shared" si="6"/>
        <v/>
      </c>
      <c r="Q445" s="41" t="e">
        <f t="shared" si="612"/>
        <v>#REF!</v>
      </c>
      <c r="R445" s="44"/>
      <c r="S445" s="44"/>
      <c r="T445" s="43"/>
      <c r="U445" s="43" t="str">
        <f t="shared" si="8"/>
        <v>No</v>
      </c>
      <c r="V445" s="25"/>
      <c r="W445" s="25"/>
      <c r="X445" s="25"/>
      <c r="Y445" s="25"/>
      <c r="Z445" s="25"/>
    </row>
    <row r="446" spans="1:26" ht="15.75" customHeight="1" x14ac:dyDescent="0.25">
      <c r="A446" s="25">
        <v>444</v>
      </c>
      <c r="B446" s="37" t="e">
        <f t="shared" ref="B446:D446" si="897">VLOOKUP($A446,#REF!,B$1,0)</f>
        <v>#REF!</v>
      </c>
      <c r="C446" s="38" t="e">
        <f t="shared" si="897"/>
        <v>#REF!</v>
      </c>
      <c r="D446" s="39" t="e">
        <f t="shared" si="897"/>
        <v>#REF!</v>
      </c>
      <c r="E446" s="16" t="e">
        <f t="shared" si="1"/>
        <v>#REF!</v>
      </c>
      <c r="F446" s="16" t="e">
        <f t="shared" ref="F446:K446" si="898">VLOOKUP($A446,#REF!,F$1,0)</f>
        <v>#REF!</v>
      </c>
      <c r="G446" s="39" t="e">
        <f t="shared" si="898"/>
        <v>#REF!</v>
      </c>
      <c r="H446" s="16" t="e">
        <f t="shared" si="898"/>
        <v>#REF!</v>
      </c>
      <c r="I446" s="16" t="e">
        <f t="shared" si="898"/>
        <v>#REF!</v>
      </c>
      <c r="J446" s="40" t="e">
        <f t="shared" si="898"/>
        <v>#REF!</v>
      </c>
      <c r="K446" s="16" t="e">
        <f t="shared" si="898"/>
        <v>#REF!</v>
      </c>
      <c r="L446" s="40" t="e">
        <f t="shared" si="609"/>
        <v>#REF!</v>
      </c>
      <c r="M446" s="16" t="e">
        <f t="shared" si="610"/>
        <v>#REF!</v>
      </c>
      <c r="N446" s="16" t="e">
        <f t="shared" si="611"/>
        <v>#REF!</v>
      </c>
      <c r="O446" s="16" t="s">
        <v>65</v>
      </c>
      <c r="P446" s="16" t="str">
        <f t="shared" si="6"/>
        <v/>
      </c>
      <c r="Q446" s="41" t="e">
        <f t="shared" si="612"/>
        <v>#REF!</v>
      </c>
      <c r="R446" s="44"/>
      <c r="S446" s="44"/>
      <c r="T446" s="43"/>
      <c r="U446" s="43" t="str">
        <f t="shared" si="8"/>
        <v>No</v>
      </c>
      <c r="V446" s="25"/>
      <c r="W446" s="25"/>
      <c r="X446" s="25"/>
      <c r="Y446" s="25"/>
      <c r="Z446" s="25"/>
    </row>
    <row r="447" spans="1:26" ht="15.75" customHeight="1" x14ac:dyDescent="0.25">
      <c r="A447" s="25">
        <v>445</v>
      </c>
      <c r="B447" s="37" t="e">
        <f t="shared" ref="B447:D447" si="899">VLOOKUP($A447,#REF!,B$1,0)</f>
        <v>#REF!</v>
      </c>
      <c r="C447" s="38" t="e">
        <f t="shared" si="899"/>
        <v>#REF!</v>
      </c>
      <c r="D447" s="39" t="e">
        <f t="shared" si="899"/>
        <v>#REF!</v>
      </c>
      <c r="E447" s="16" t="e">
        <f t="shared" si="1"/>
        <v>#REF!</v>
      </c>
      <c r="F447" s="16" t="e">
        <f t="shared" ref="F447:K447" si="900">VLOOKUP($A447,#REF!,F$1,0)</f>
        <v>#REF!</v>
      </c>
      <c r="G447" s="39" t="e">
        <f t="shared" si="900"/>
        <v>#REF!</v>
      </c>
      <c r="H447" s="16" t="e">
        <f t="shared" si="900"/>
        <v>#REF!</v>
      </c>
      <c r="I447" s="16" t="e">
        <f t="shared" si="900"/>
        <v>#REF!</v>
      </c>
      <c r="J447" s="40" t="e">
        <f t="shared" si="900"/>
        <v>#REF!</v>
      </c>
      <c r="K447" s="16" t="e">
        <f t="shared" si="900"/>
        <v>#REF!</v>
      </c>
      <c r="L447" s="40" t="e">
        <f t="shared" si="609"/>
        <v>#REF!</v>
      </c>
      <c r="M447" s="16" t="e">
        <f t="shared" si="610"/>
        <v>#REF!</v>
      </c>
      <c r="N447" s="16" t="e">
        <f t="shared" si="611"/>
        <v>#REF!</v>
      </c>
      <c r="O447" s="16" t="s">
        <v>65</v>
      </c>
      <c r="P447" s="16" t="str">
        <f t="shared" si="6"/>
        <v/>
      </c>
      <c r="Q447" s="41" t="e">
        <f t="shared" si="612"/>
        <v>#REF!</v>
      </c>
      <c r="R447" s="44"/>
      <c r="S447" s="44"/>
      <c r="T447" s="43"/>
      <c r="U447" s="43" t="str">
        <f t="shared" si="8"/>
        <v>No</v>
      </c>
      <c r="V447" s="25"/>
      <c r="W447" s="25"/>
      <c r="X447" s="25"/>
      <c r="Y447" s="25"/>
      <c r="Z447" s="25"/>
    </row>
    <row r="448" spans="1:26" ht="15.75" customHeight="1" x14ac:dyDescent="0.25">
      <c r="A448" s="25">
        <v>446</v>
      </c>
      <c r="B448" s="37" t="e">
        <f t="shared" ref="B448:D448" si="901">VLOOKUP($A448,#REF!,B$1,0)</f>
        <v>#REF!</v>
      </c>
      <c r="C448" s="38" t="e">
        <f t="shared" si="901"/>
        <v>#REF!</v>
      </c>
      <c r="D448" s="39" t="e">
        <f t="shared" si="901"/>
        <v>#REF!</v>
      </c>
      <c r="E448" s="16" t="e">
        <f t="shared" si="1"/>
        <v>#REF!</v>
      </c>
      <c r="F448" s="16" t="e">
        <f t="shared" ref="F448:K448" si="902">VLOOKUP($A448,#REF!,F$1,0)</f>
        <v>#REF!</v>
      </c>
      <c r="G448" s="39" t="e">
        <f t="shared" si="902"/>
        <v>#REF!</v>
      </c>
      <c r="H448" s="16" t="e">
        <f t="shared" si="902"/>
        <v>#REF!</v>
      </c>
      <c r="I448" s="16" t="e">
        <f t="shared" si="902"/>
        <v>#REF!</v>
      </c>
      <c r="J448" s="40" t="e">
        <f t="shared" si="902"/>
        <v>#REF!</v>
      </c>
      <c r="K448" s="16" t="e">
        <f t="shared" si="902"/>
        <v>#REF!</v>
      </c>
      <c r="L448" s="40" t="e">
        <f t="shared" si="609"/>
        <v>#REF!</v>
      </c>
      <c r="M448" s="16" t="e">
        <f t="shared" si="610"/>
        <v>#REF!</v>
      </c>
      <c r="N448" s="16" t="e">
        <f t="shared" si="611"/>
        <v>#REF!</v>
      </c>
      <c r="O448" s="16" t="s">
        <v>65</v>
      </c>
      <c r="P448" s="16" t="str">
        <f t="shared" si="6"/>
        <v/>
      </c>
      <c r="Q448" s="41" t="e">
        <f t="shared" si="612"/>
        <v>#REF!</v>
      </c>
      <c r="R448" s="44"/>
      <c r="S448" s="44"/>
      <c r="T448" s="43"/>
      <c r="U448" s="43" t="str">
        <f t="shared" si="8"/>
        <v>No</v>
      </c>
      <c r="V448" s="25"/>
      <c r="W448" s="25"/>
      <c r="X448" s="25"/>
      <c r="Y448" s="25"/>
      <c r="Z448" s="25"/>
    </row>
    <row r="449" spans="1:26" ht="15.75" customHeight="1" x14ac:dyDescent="0.25">
      <c r="A449" s="25">
        <v>447</v>
      </c>
      <c r="B449" s="37" t="e">
        <f t="shared" ref="B449:D449" si="903">VLOOKUP($A449,#REF!,B$1,0)</f>
        <v>#REF!</v>
      </c>
      <c r="C449" s="38" t="e">
        <f t="shared" si="903"/>
        <v>#REF!</v>
      </c>
      <c r="D449" s="39" t="e">
        <f t="shared" si="903"/>
        <v>#REF!</v>
      </c>
      <c r="E449" s="16" t="e">
        <f t="shared" si="1"/>
        <v>#REF!</v>
      </c>
      <c r="F449" s="16" t="e">
        <f t="shared" ref="F449:K449" si="904">VLOOKUP($A449,#REF!,F$1,0)</f>
        <v>#REF!</v>
      </c>
      <c r="G449" s="39" t="e">
        <f t="shared" si="904"/>
        <v>#REF!</v>
      </c>
      <c r="H449" s="16" t="e">
        <f t="shared" si="904"/>
        <v>#REF!</v>
      </c>
      <c r="I449" s="16" t="e">
        <f t="shared" si="904"/>
        <v>#REF!</v>
      </c>
      <c r="J449" s="40" t="e">
        <f t="shared" si="904"/>
        <v>#REF!</v>
      </c>
      <c r="K449" s="16" t="e">
        <f t="shared" si="904"/>
        <v>#REF!</v>
      </c>
      <c r="L449" s="40" t="e">
        <f t="shared" si="609"/>
        <v>#REF!</v>
      </c>
      <c r="M449" s="16" t="e">
        <f t="shared" si="610"/>
        <v>#REF!</v>
      </c>
      <c r="N449" s="16" t="e">
        <f t="shared" si="611"/>
        <v>#REF!</v>
      </c>
      <c r="O449" s="16" t="s">
        <v>65</v>
      </c>
      <c r="P449" s="16" t="str">
        <f t="shared" si="6"/>
        <v/>
      </c>
      <c r="Q449" s="41" t="e">
        <f t="shared" si="612"/>
        <v>#REF!</v>
      </c>
      <c r="R449" s="44"/>
      <c r="S449" s="44"/>
      <c r="T449" s="43"/>
      <c r="U449" s="43" t="str">
        <f t="shared" si="8"/>
        <v>No</v>
      </c>
      <c r="V449" s="25"/>
      <c r="W449" s="25"/>
      <c r="X449" s="25"/>
      <c r="Y449" s="25"/>
      <c r="Z449" s="25"/>
    </row>
    <row r="450" spans="1:26" ht="15.75" customHeight="1" x14ac:dyDescent="0.25">
      <c r="A450" s="25">
        <v>448</v>
      </c>
      <c r="B450" s="37" t="e">
        <f t="shared" ref="B450:D450" si="905">VLOOKUP($A450,#REF!,B$1,0)</f>
        <v>#REF!</v>
      </c>
      <c r="C450" s="38" t="e">
        <f t="shared" si="905"/>
        <v>#REF!</v>
      </c>
      <c r="D450" s="39" t="e">
        <f t="shared" si="905"/>
        <v>#REF!</v>
      </c>
      <c r="E450" s="16" t="e">
        <f t="shared" si="1"/>
        <v>#REF!</v>
      </c>
      <c r="F450" s="16" t="e">
        <f t="shared" ref="F450:K450" si="906">VLOOKUP($A450,#REF!,F$1,0)</f>
        <v>#REF!</v>
      </c>
      <c r="G450" s="39" t="e">
        <f t="shared" si="906"/>
        <v>#REF!</v>
      </c>
      <c r="H450" s="16" t="e">
        <f t="shared" si="906"/>
        <v>#REF!</v>
      </c>
      <c r="I450" s="16" t="e">
        <f t="shared" si="906"/>
        <v>#REF!</v>
      </c>
      <c r="J450" s="40" t="e">
        <f t="shared" si="906"/>
        <v>#REF!</v>
      </c>
      <c r="K450" s="16" t="e">
        <f t="shared" si="906"/>
        <v>#REF!</v>
      </c>
      <c r="L450" s="40" t="e">
        <f t="shared" si="609"/>
        <v>#REF!</v>
      </c>
      <c r="M450" s="16" t="e">
        <f t="shared" si="610"/>
        <v>#REF!</v>
      </c>
      <c r="N450" s="16" t="e">
        <f t="shared" si="611"/>
        <v>#REF!</v>
      </c>
      <c r="O450" s="16" t="s">
        <v>65</v>
      </c>
      <c r="P450" s="16" t="str">
        <f t="shared" si="6"/>
        <v/>
      </c>
      <c r="Q450" s="41" t="e">
        <f t="shared" si="612"/>
        <v>#REF!</v>
      </c>
      <c r="R450" s="44"/>
      <c r="S450" s="44"/>
      <c r="T450" s="43"/>
      <c r="U450" s="43" t="str">
        <f t="shared" si="8"/>
        <v>No</v>
      </c>
      <c r="V450" s="25"/>
      <c r="W450" s="25"/>
      <c r="X450" s="25"/>
      <c r="Y450" s="25"/>
      <c r="Z450" s="25"/>
    </row>
    <row r="451" spans="1:26" ht="15.75" customHeight="1" x14ac:dyDescent="0.25">
      <c r="A451" s="25">
        <v>449</v>
      </c>
      <c r="B451" s="37" t="e">
        <f t="shared" ref="B451:D451" si="907">VLOOKUP($A451,#REF!,B$1,0)</f>
        <v>#REF!</v>
      </c>
      <c r="C451" s="38" t="e">
        <f t="shared" si="907"/>
        <v>#REF!</v>
      </c>
      <c r="D451" s="39" t="e">
        <f t="shared" si="907"/>
        <v>#REF!</v>
      </c>
      <c r="E451" s="16" t="e">
        <f t="shared" si="1"/>
        <v>#REF!</v>
      </c>
      <c r="F451" s="16" t="e">
        <f t="shared" ref="F451:K451" si="908">VLOOKUP($A451,#REF!,F$1,0)</f>
        <v>#REF!</v>
      </c>
      <c r="G451" s="39" t="e">
        <f t="shared" si="908"/>
        <v>#REF!</v>
      </c>
      <c r="H451" s="16" t="e">
        <f t="shared" si="908"/>
        <v>#REF!</v>
      </c>
      <c r="I451" s="16" t="e">
        <f t="shared" si="908"/>
        <v>#REF!</v>
      </c>
      <c r="J451" s="40" t="e">
        <f t="shared" si="908"/>
        <v>#REF!</v>
      </c>
      <c r="K451" s="16" t="e">
        <f t="shared" si="908"/>
        <v>#REF!</v>
      </c>
      <c r="L451" s="40" t="e">
        <f t="shared" si="609"/>
        <v>#REF!</v>
      </c>
      <c r="M451" s="16" t="e">
        <f t="shared" si="610"/>
        <v>#REF!</v>
      </c>
      <c r="N451" s="16" t="e">
        <f t="shared" si="611"/>
        <v>#REF!</v>
      </c>
      <c r="O451" s="16" t="s">
        <v>65</v>
      </c>
      <c r="P451" s="16" t="str">
        <f t="shared" si="6"/>
        <v/>
      </c>
      <c r="Q451" s="41" t="e">
        <f t="shared" si="612"/>
        <v>#REF!</v>
      </c>
      <c r="R451" s="44"/>
      <c r="S451" s="44"/>
      <c r="T451" s="43"/>
      <c r="U451" s="43" t="str">
        <f t="shared" si="8"/>
        <v>No</v>
      </c>
      <c r="V451" s="25"/>
      <c r="W451" s="25"/>
      <c r="X451" s="25"/>
      <c r="Y451" s="25"/>
      <c r="Z451" s="25"/>
    </row>
    <row r="452" spans="1:26" ht="15.75" customHeight="1" x14ac:dyDescent="0.25">
      <c r="A452" s="25">
        <v>450</v>
      </c>
      <c r="B452" s="37" t="e">
        <f t="shared" ref="B452:D452" si="909">VLOOKUP($A452,#REF!,B$1,0)</f>
        <v>#REF!</v>
      </c>
      <c r="C452" s="38" t="e">
        <f t="shared" si="909"/>
        <v>#REF!</v>
      </c>
      <c r="D452" s="39" t="e">
        <f t="shared" si="909"/>
        <v>#REF!</v>
      </c>
      <c r="E452" s="16" t="e">
        <f t="shared" si="1"/>
        <v>#REF!</v>
      </c>
      <c r="F452" s="16" t="e">
        <f t="shared" ref="F452:K452" si="910">VLOOKUP($A452,#REF!,F$1,0)</f>
        <v>#REF!</v>
      </c>
      <c r="G452" s="39" t="e">
        <f t="shared" si="910"/>
        <v>#REF!</v>
      </c>
      <c r="H452" s="16" t="e">
        <f t="shared" si="910"/>
        <v>#REF!</v>
      </c>
      <c r="I452" s="16" t="e">
        <f t="shared" si="910"/>
        <v>#REF!</v>
      </c>
      <c r="J452" s="40" t="e">
        <f t="shared" si="910"/>
        <v>#REF!</v>
      </c>
      <c r="K452" s="16" t="e">
        <f t="shared" si="910"/>
        <v>#REF!</v>
      </c>
      <c r="L452" s="40" t="e">
        <f t="shared" si="609"/>
        <v>#REF!</v>
      </c>
      <c r="M452" s="16" t="e">
        <f t="shared" si="610"/>
        <v>#REF!</v>
      </c>
      <c r="N452" s="16" t="e">
        <f t="shared" si="611"/>
        <v>#REF!</v>
      </c>
      <c r="O452" s="16" t="s">
        <v>65</v>
      </c>
      <c r="P452" s="16" t="str">
        <f t="shared" si="6"/>
        <v/>
      </c>
      <c r="Q452" s="41" t="e">
        <f t="shared" si="612"/>
        <v>#REF!</v>
      </c>
      <c r="R452" s="44"/>
      <c r="S452" s="44"/>
      <c r="T452" s="43"/>
      <c r="U452" s="43" t="str">
        <f t="shared" si="8"/>
        <v>No</v>
      </c>
      <c r="V452" s="25"/>
      <c r="W452" s="25"/>
      <c r="X452" s="25"/>
      <c r="Y452" s="25"/>
      <c r="Z452" s="25"/>
    </row>
    <row r="453" spans="1:26" ht="15.75" customHeight="1" x14ac:dyDescent="0.25">
      <c r="A453" s="25">
        <v>451</v>
      </c>
      <c r="B453" s="37" t="e">
        <f t="shared" ref="B453:D453" si="911">VLOOKUP($A453,#REF!,B$1,0)</f>
        <v>#REF!</v>
      </c>
      <c r="C453" s="38" t="e">
        <f t="shared" si="911"/>
        <v>#REF!</v>
      </c>
      <c r="D453" s="39" t="e">
        <f t="shared" si="911"/>
        <v>#REF!</v>
      </c>
      <c r="E453" s="16" t="e">
        <f t="shared" si="1"/>
        <v>#REF!</v>
      </c>
      <c r="F453" s="16" t="e">
        <f t="shared" ref="F453:K453" si="912">VLOOKUP($A453,#REF!,F$1,0)</f>
        <v>#REF!</v>
      </c>
      <c r="G453" s="39" t="e">
        <f t="shared" si="912"/>
        <v>#REF!</v>
      </c>
      <c r="H453" s="16" t="e">
        <f t="shared" si="912"/>
        <v>#REF!</v>
      </c>
      <c r="I453" s="16" t="e">
        <f t="shared" si="912"/>
        <v>#REF!</v>
      </c>
      <c r="J453" s="40" t="e">
        <f t="shared" si="912"/>
        <v>#REF!</v>
      </c>
      <c r="K453" s="16" t="e">
        <f t="shared" si="912"/>
        <v>#REF!</v>
      </c>
      <c r="L453" s="40" t="e">
        <f t="shared" si="609"/>
        <v>#REF!</v>
      </c>
      <c r="M453" s="16" t="e">
        <f t="shared" si="610"/>
        <v>#REF!</v>
      </c>
      <c r="N453" s="16" t="e">
        <f t="shared" si="611"/>
        <v>#REF!</v>
      </c>
      <c r="O453" s="16" t="s">
        <v>65</v>
      </c>
      <c r="P453" s="16" t="str">
        <f t="shared" si="6"/>
        <v/>
      </c>
      <c r="Q453" s="41" t="e">
        <f t="shared" si="612"/>
        <v>#REF!</v>
      </c>
      <c r="R453" s="44"/>
      <c r="S453" s="44"/>
      <c r="T453" s="43"/>
      <c r="U453" s="43" t="str">
        <f t="shared" si="8"/>
        <v>No</v>
      </c>
      <c r="V453" s="25"/>
      <c r="W453" s="25"/>
      <c r="X453" s="25"/>
      <c r="Y453" s="25"/>
      <c r="Z453" s="25"/>
    </row>
    <row r="454" spans="1:26" ht="15.75" customHeight="1" x14ac:dyDescent="0.25">
      <c r="A454" s="25">
        <v>452</v>
      </c>
      <c r="B454" s="37" t="e">
        <f t="shared" ref="B454:D454" si="913">VLOOKUP($A454,#REF!,B$1,0)</f>
        <v>#REF!</v>
      </c>
      <c r="C454" s="38" t="e">
        <f t="shared" si="913"/>
        <v>#REF!</v>
      </c>
      <c r="D454" s="39" t="e">
        <f t="shared" si="913"/>
        <v>#REF!</v>
      </c>
      <c r="E454" s="16" t="e">
        <f t="shared" si="1"/>
        <v>#REF!</v>
      </c>
      <c r="F454" s="16" t="e">
        <f t="shared" ref="F454:K454" si="914">VLOOKUP($A454,#REF!,F$1,0)</f>
        <v>#REF!</v>
      </c>
      <c r="G454" s="39" t="e">
        <f t="shared" si="914"/>
        <v>#REF!</v>
      </c>
      <c r="H454" s="16" t="e">
        <f t="shared" si="914"/>
        <v>#REF!</v>
      </c>
      <c r="I454" s="16" t="e">
        <f t="shared" si="914"/>
        <v>#REF!</v>
      </c>
      <c r="J454" s="40" t="e">
        <f t="shared" si="914"/>
        <v>#REF!</v>
      </c>
      <c r="K454" s="16" t="e">
        <f t="shared" si="914"/>
        <v>#REF!</v>
      </c>
      <c r="L454" s="40" t="e">
        <f t="shared" si="609"/>
        <v>#REF!</v>
      </c>
      <c r="M454" s="16" t="e">
        <f t="shared" si="610"/>
        <v>#REF!</v>
      </c>
      <c r="N454" s="16" t="e">
        <f t="shared" si="611"/>
        <v>#REF!</v>
      </c>
      <c r="O454" s="16" t="s">
        <v>65</v>
      </c>
      <c r="P454" s="16" t="str">
        <f t="shared" si="6"/>
        <v/>
      </c>
      <c r="Q454" s="41" t="e">
        <f t="shared" si="612"/>
        <v>#REF!</v>
      </c>
      <c r="R454" s="44"/>
      <c r="S454" s="44"/>
      <c r="T454" s="43"/>
      <c r="U454" s="43" t="str">
        <f t="shared" si="8"/>
        <v>No</v>
      </c>
      <c r="V454" s="25"/>
      <c r="W454" s="25"/>
      <c r="X454" s="25"/>
      <c r="Y454" s="25"/>
      <c r="Z454" s="25"/>
    </row>
    <row r="455" spans="1:26" ht="15.75" customHeight="1" x14ac:dyDescent="0.25">
      <c r="A455" s="25">
        <v>453</v>
      </c>
      <c r="B455" s="37" t="e">
        <f t="shared" ref="B455:D455" si="915">VLOOKUP($A455,#REF!,B$1,0)</f>
        <v>#REF!</v>
      </c>
      <c r="C455" s="38" t="e">
        <f t="shared" si="915"/>
        <v>#REF!</v>
      </c>
      <c r="D455" s="39" t="e">
        <f t="shared" si="915"/>
        <v>#REF!</v>
      </c>
      <c r="E455" s="16" t="e">
        <f t="shared" si="1"/>
        <v>#REF!</v>
      </c>
      <c r="F455" s="16" t="e">
        <f t="shared" ref="F455:K455" si="916">VLOOKUP($A455,#REF!,F$1,0)</f>
        <v>#REF!</v>
      </c>
      <c r="G455" s="39" t="e">
        <f t="shared" si="916"/>
        <v>#REF!</v>
      </c>
      <c r="H455" s="16" t="e">
        <f t="shared" si="916"/>
        <v>#REF!</v>
      </c>
      <c r="I455" s="16" t="e">
        <f t="shared" si="916"/>
        <v>#REF!</v>
      </c>
      <c r="J455" s="40" t="e">
        <f t="shared" si="916"/>
        <v>#REF!</v>
      </c>
      <c r="K455" s="16" t="e">
        <f t="shared" si="916"/>
        <v>#REF!</v>
      </c>
      <c r="L455" s="40" t="e">
        <f t="shared" si="609"/>
        <v>#REF!</v>
      </c>
      <c r="M455" s="16" t="e">
        <f t="shared" si="610"/>
        <v>#REF!</v>
      </c>
      <c r="N455" s="16" t="e">
        <f t="shared" si="611"/>
        <v>#REF!</v>
      </c>
      <c r="O455" s="16" t="s">
        <v>65</v>
      </c>
      <c r="P455" s="16" t="str">
        <f t="shared" si="6"/>
        <v/>
      </c>
      <c r="Q455" s="41" t="e">
        <f t="shared" si="612"/>
        <v>#REF!</v>
      </c>
      <c r="R455" s="44"/>
      <c r="S455" s="44"/>
      <c r="T455" s="43"/>
      <c r="U455" s="43" t="str">
        <f t="shared" si="8"/>
        <v>No</v>
      </c>
      <c r="V455" s="25"/>
      <c r="W455" s="25"/>
      <c r="X455" s="25"/>
      <c r="Y455" s="25"/>
      <c r="Z455" s="25"/>
    </row>
    <row r="456" spans="1:26" ht="15.75" customHeight="1" x14ac:dyDescent="0.25">
      <c r="A456" s="25">
        <v>454</v>
      </c>
      <c r="B456" s="37" t="e">
        <f t="shared" ref="B456:D456" si="917">VLOOKUP($A456,#REF!,B$1,0)</f>
        <v>#REF!</v>
      </c>
      <c r="C456" s="38" t="e">
        <f t="shared" si="917"/>
        <v>#REF!</v>
      </c>
      <c r="D456" s="39" t="e">
        <f t="shared" si="917"/>
        <v>#REF!</v>
      </c>
      <c r="E456" s="16" t="e">
        <f t="shared" si="1"/>
        <v>#REF!</v>
      </c>
      <c r="F456" s="16" t="e">
        <f t="shared" ref="F456:K456" si="918">VLOOKUP($A456,#REF!,F$1,0)</f>
        <v>#REF!</v>
      </c>
      <c r="G456" s="39" t="e">
        <f t="shared" si="918"/>
        <v>#REF!</v>
      </c>
      <c r="H456" s="16" t="e">
        <f t="shared" si="918"/>
        <v>#REF!</v>
      </c>
      <c r="I456" s="16" t="e">
        <f t="shared" si="918"/>
        <v>#REF!</v>
      </c>
      <c r="J456" s="40" t="e">
        <f t="shared" si="918"/>
        <v>#REF!</v>
      </c>
      <c r="K456" s="16" t="e">
        <f t="shared" si="918"/>
        <v>#REF!</v>
      </c>
      <c r="L456" s="40" t="e">
        <f t="shared" si="609"/>
        <v>#REF!</v>
      </c>
      <c r="M456" s="16" t="e">
        <f t="shared" si="610"/>
        <v>#REF!</v>
      </c>
      <c r="N456" s="16" t="e">
        <f t="shared" si="611"/>
        <v>#REF!</v>
      </c>
      <c r="O456" s="16" t="s">
        <v>65</v>
      </c>
      <c r="P456" s="16" t="str">
        <f t="shared" si="6"/>
        <v/>
      </c>
      <c r="Q456" s="41" t="e">
        <f t="shared" si="612"/>
        <v>#REF!</v>
      </c>
      <c r="R456" s="44"/>
      <c r="S456" s="44"/>
      <c r="T456" s="43"/>
      <c r="U456" s="43" t="str">
        <f t="shared" si="8"/>
        <v>No</v>
      </c>
      <c r="V456" s="25"/>
      <c r="W456" s="25"/>
      <c r="X456" s="25"/>
      <c r="Y456" s="25"/>
      <c r="Z456" s="25"/>
    </row>
    <row r="457" spans="1:26" ht="15.75" customHeight="1" x14ac:dyDescent="0.25">
      <c r="A457" s="25">
        <v>455</v>
      </c>
      <c r="B457" s="37" t="e">
        <f t="shared" ref="B457:D457" si="919">VLOOKUP($A457,#REF!,B$1,0)</f>
        <v>#REF!</v>
      </c>
      <c r="C457" s="38" t="e">
        <f t="shared" si="919"/>
        <v>#REF!</v>
      </c>
      <c r="D457" s="39" t="e">
        <f t="shared" si="919"/>
        <v>#REF!</v>
      </c>
      <c r="E457" s="16" t="e">
        <f t="shared" si="1"/>
        <v>#REF!</v>
      </c>
      <c r="F457" s="16" t="e">
        <f t="shared" ref="F457:K457" si="920">VLOOKUP($A457,#REF!,F$1,0)</f>
        <v>#REF!</v>
      </c>
      <c r="G457" s="39" t="e">
        <f t="shared" si="920"/>
        <v>#REF!</v>
      </c>
      <c r="H457" s="16" t="e">
        <f t="shared" si="920"/>
        <v>#REF!</v>
      </c>
      <c r="I457" s="16" t="e">
        <f t="shared" si="920"/>
        <v>#REF!</v>
      </c>
      <c r="J457" s="40" t="e">
        <f t="shared" si="920"/>
        <v>#REF!</v>
      </c>
      <c r="K457" s="16" t="e">
        <f t="shared" si="920"/>
        <v>#REF!</v>
      </c>
      <c r="L457" s="40" t="e">
        <f t="shared" si="609"/>
        <v>#REF!</v>
      </c>
      <c r="M457" s="16" t="e">
        <f t="shared" si="610"/>
        <v>#REF!</v>
      </c>
      <c r="N457" s="16" t="e">
        <f t="shared" si="611"/>
        <v>#REF!</v>
      </c>
      <c r="O457" s="16" t="s">
        <v>65</v>
      </c>
      <c r="P457" s="16" t="str">
        <f t="shared" si="6"/>
        <v/>
      </c>
      <c r="Q457" s="41" t="e">
        <f t="shared" si="612"/>
        <v>#REF!</v>
      </c>
      <c r="R457" s="44"/>
      <c r="S457" s="44"/>
      <c r="T457" s="43"/>
      <c r="U457" s="43" t="str">
        <f t="shared" si="8"/>
        <v>No</v>
      </c>
      <c r="V457" s="25"/>
      <c r="W457" s="25"/>
      <c r="X457" s="25"/>
      <c r="Y457" s="25"/>
      <c r="Z457" s="25"/>
    </row>
    <row r="458" spans="1:26" ht="15.75" customHeight="1" x14ac:dyDescent="0.25">
      <c r="A458" s="25">
        <v>456</v>
      </c>
      <c r="B458" s="37" t="e">
        <f t="shared" ref="B458:D458" si="921">VLOOKUP($A458,#REF!,B$1,0)</f>
        <v>#REF!</v>
      </c>
      <c r="C458" s="38" t="e">
        <f t="shared" si="921"/>
        <v>#REF!</v>
      </c>
      <c r="D458" s="39" t="e">
        <f t="shared" si="921"/>
        <v>#REF!</v>
      </c>
      <c r="E458" s="16" t="e">
        <f t="shared" si="1"/>
        <v>#REF!</v>
      </c>
      <c r="F458" s="16" t="e">
        <f t="shared" ref="F458:K458" si="922">VLOOKUP($A458,#REF!,F$1,0)</f>
        <v>#REF!</v>
      </c>
      <c r="G458" s="39" t="e">
        <f t="shared" si="922"/>
        <v>#REF!</v>
      </c>
      <c r="H458" s="16" t="e">
        <f t="shared" si="922"/>
        <v>#REF!</v>
      </c>
      <c r="I458" s="16" t="e">
        <f t="shared" si="922"/>
        <v>#REF!</v>
      </c>
      <c r="J458" s="40" t="e">
        <f t="shared" si="922"/>
        <v>#REF!</v>
      </c>
      <c r="K458" s="16" t="e">
        <f t="shared" si="922"/>
        <v>#REF!</v>
      </c>
      <c r="L458" s="40" t="e">
        <f t="shared" si="609"/>
        <v>#REF!</v>
      </c>
      <c r="M458" s="16" t="e">
        <f t="shared" si="610"/>
        <v>#REF!</v>
      </c>
      <c r="N458" s="16" t="e">
        <f t="shared" si="611"/>
        <v>#REF!</v>
      </c>
      <c r="O458" s="16" t="s">
        <v>65</v>
      </c>
      <c r="P458" s="16" t="str">
        <f t="shared" si="6"/>
        <v/>
      </c>
      <c r="Q458" s="41" t="e">
        <f t="shared" si="612"/>
        <v>#REF!</v>
      </c>
      <c r="R458" s="44"/>
      <c r="S458" s="44"/>
      <c r="T458" s="43"/>
      <c r="U458" s="43" t="str">
        <f t="shared" si="8"/>
        <v>No</v>
      </c>
      <c r="V458" s="25"/>
      <c r="W458" s="25"/>
      <c r="X458" s="25"/>
      <c r="Y458" s="25"/>
      <c r="Z458" s="25"/>
    </row>
    <row r="459" spans="1:26" ht="15.75" customHeight="1" x14ac:dyDescent="0.25">
      <c r="A459" s="25">
        <v>457</v>
      </c>
      <c r="B459" s="37" t="e">
        <f t="shared" ref="B459:D459" si="923">VLOOKUP($A459,#REF!,B$1,0)</f>
        <v>#REF!</v>
      </c>
      <c r="C459" s="38" t="e">
        <f t="shared" si="923"/>
        <v>#REF!</v>
      </c>
      <c r="D459" s="39" t="e">
        <f t="shared" si="923"/>
        <v>#REF!</v>
      </c>
      <c r="E459" s="16" t="e">
        <f t="shared" si="1"/>
        <v>#REF!</v>
      </c>
      <c r="F459" s="16" t="e">
        <f t="shared" ref="F459:K459" si="924">VLOOKUP($A459,#REF!,F$1,0)</f>
        <v>#REF!</v>
      </c>
      <c r="G459" s="39" t="e">
        <f t="shared" si="924"/>
        <v>#REF!</v>
      </c>
      <c r="H459" s="16" t="e">
        <f t="shared" si="924"/>
        <v>#REF!</v>
      </c>
      <c r="I459" s="16" t="e">
        <f t="shared" si="924"/>
        <v>#REF!</v>
      </c>
      <c r="J459" s="40" t="e">
        <f t="shared" si="924"/>
        <v>#REF!</v>
      </c>
      <c r="K459" s="16" t="e">
        <f t="shared" si="924"/>
        <v>#REF!</v>
      </c>
      <c r="L459" s="40" t="e">
        <f t="shared" si="609"/>
        <v>#REF!</v>
      </c>
      <c r="M459" s="16" t="e">
        <f t="shared" si="610"/>
        <v>#REF!</v>
      </c>
      <c r="N459" s="16" t="e">
        <f t="shared" si="611"/>
        <v>#REF!</v>
      </c>
      <c r="O459" s="16" t="s">
        <v>65</v>
      </c>
      <c r="P459" s="16" t="str">
        <f t="shared" si="6"/>
        <v/>
      </c>
      <c r="Q459" s="41" t="e">
        <f t="shared" si="612"/>
        <v>#REF!</v>
      </c>
      <c r="R459" s="44"/>
      <c r="S459" s="44"/>
      <c r="T459" s="43"/>
      <c r="U459" s="43" t="str">
        <f t="shared" si="8"/>
        <v>No</v>
      </c>
      <c r="V459" s="25"/>
      <c r="W459" s="25"/>
      <c r="X459" s="25"/>
      <c r="Y459" s="25"/>
      <c r="Z459" s="25"/>
    </row>
    <row r="460" spans="1:26" ht="15.75" customHeight="1" x14ac:dyDescent="0.25">
      <c r="A460" s="25">
        <v>458</v>
      </c>
      <c r="B460" s="37" t="e">
        <f t="shared" ref="B460:D460" si="925">VLOOKUP($A460,#REF!,B$1,0)</f>
        <v>#REF!</v>
      </c>
      <c r="C460" s="38" t="e">
        <f t="shared" si="925"/>
        <v>#REF!</v>
      </c>
      <c r="D460" s="39" t="e">
        <f t="shared" si="925"/>
        <v>#REF!</v>
      </c>
      <c r="E460" s="16" t="e">
        <f t="shared" si="1"/>
        <v>#REF!</v>
      </c>
      <c r="F460" s="16" t="e">
        <f t="shared" ref="F460:K460" si="926">VLOOKUP($A460,#REF!,F$1,0)</f>
        <v>#REF!</v>
      </c>
      <c r="G460" s="39" t="e">
        <f t="shared" si="926"/>
        <v>#REF!</v>
      </c>
      <c r="H460" s="16" t="e">
        <f t="shared" si="926"/>
        <v>#REF!</v>
      </c>
      <c r="I460" s="16" t="e">
        <f t="shared" si="926"/>
        <v>#REF!</v>
      </c>
      <c r="J460" s="40" t="e">
        <f t="shared" si="926"/>
        <v>#REF!</v>
      </c>
      <c r="K460" s="16" t="e">
        <f t="shared" si="926"/>
        <v>#REF!</v>
      </c>
      <c r="L460" s="40" t="e">
        <f t="shared" si="609"/>
        <v>#REF!</v>
      </c>
      <c r="M460" s="16" t="e">
        <f t="shared" si="610"/>
        <v>#REF!</v>
      </c>
      <c r="N460" s="16" t="e">
        <f t="shared" si="611"/>
        <v>#REF!</v>
      </c>
      <c r="O460" s="16" t="s">
        <v>65</v>
      </c>
      <c r="P460" s="16" t="str">
        <f t="shared" si="6"/>
        <v/>
      </c>
      <c r="Q460" s="41" t="e">
        <f t="shared" si="612"/>
        <v>#REF!</v>
      </c>
      <c r="R460" s="44"/>
      <c r="S460" s="44"/>
      <c r="T460" s="43"/>
      <c r="U460" s="43" t="str">
        <f t="shared" si="8"/>
        <v>No</v>
      </c>
      <c r="V460" s="25"/>
      <c r="W460" s="25"/>
      <c r="X460" s="25"/>
      <c r="Y460" s="25"/>
      <c r="Z460" s="25"/>
    </row>
    <row r="461" spans="1:26" ht="15.75" customHeight="1" x14ac:dyDescent="0.25">
      <c r="A461" s="25">
        <v>459</v>
      </c>
      <c r="B461" s="37" t="e">
        <f t="shared" ref="B461:D461" si="927">VLOOKUP($A461,#REF!,B$1,0)</f>
        <v>#REF!</v>
      </c>
      <c r="C461" s="38" t="e">
        <f t="shared" si="927"/>
        <v>#REF!</v>
      </c>
      <c r="D461" s="39" t="e">
        <f t="shared" si="927"/>
        <v>#REF!</v>
      </c>
      <c r="E461" s="16" t="e">
        <f t="shared" si="1"/>
        <v>#REF!</v>
      </c>
      <c r="F461" s="16" t="e">
        <f t="shared" ref="F461:K461" si="928">VLOOKUP($A461,#REF!,F$1,0)</f>
        <v>#REF!</v>
      </c>
      <c r="G461" s="39" t="e">
        <f t="shared" si="928"/>
        <v>#REF!</v>
      </c>
      <c r="H461" s="16" t="e">
        <f t="shared" si="928"/>
        <v>#REF!</v>
      </c>
      <c r="I461" s="16" t="e">
        <f t="shared" si="928"/>
        <v>#REF!</v>
      </c>
      <c r="J461" s="40" t="e">
        <f t="shared" si="928"/>
        <v>#REF!</v>
      </c>
      <c r="K461" s="16" t="e">
        <f t="shared" si="928"/>
        <v>#REF!</v>
      </c>
      <c r="L461" s="40" t="e">
        <f t="shared" si="609"/>
        <v>#REF!</v>
      </c>
      <c r="M461" s="16" t="e">
        <f t="shared" si="610"/>
        <v>#REF!</v>
      </c>
      <c r="N461" s="16" t="e">
        <f t="shared" si="611"/>
        <v>#REF!</v>
      </c>
      <c r="O461" s="16" t="s">
        <v>65</v>
      </c>
      <c r="P461" s="16" t="str">
        <f t="shared" si="6"/>
        <v/>
      </c>
      <c r="Q461" s="41" t="e">
        <f t="shared" si="612"/>
        <v>#REF!</v>
      </c>
      <c r="R461" s="44"/>
      <c r="S461" s="44"/>
      <c r="T461" s="43"/>
      <c r="U461" s="43" t="str">
        <f t="shared" si="8"/>
        <v>No</v>
      </c>
      <c r="V461" s="25"/>
      <c r="W461" s="25"/>
      <c r="X461" s="25"/>
      <c r="Y461" s="25"/>
      <c r="Z461" s="25"/>
    </row>
    <row r="462" spans="1:26" ht="15.75" customHeight="1" x14ac:dyDescent="0.25">
      <c r="A462" s="25">
        <v>460</v>
      </c>
      <c r="B462" s="37" t="e">
        <f t="shared" ref="B462:D462" si="929">VLOOKUP($A462,#REF!,B$1,0)</f>
        <v>#REF!</v>
      </c>
      <c r="C462" s="38" t="e">
        <f t="shared" si="929"/>
        <v>#REF!</v>
      </c>
      <c r="D462" s="39" t="e">
        <f t="shared" si="929"/>
        <v>#REF!</v>
      </c>
      <c r="E462" s="16" t="e">
        <f t="shared" si="1"/>
        <v>#REF!</v>
      </c>
      <c r="F462" s="16" t="e">
        <f t="shared" ref="F462:K462" si="930">VLOOKUP($A462,#REF!,F$1,0)</f>
        <v>#REF!</v>
      </c>
      <c r="G462" s="39" t="e">
        <f t="shared" si="930"/>
        <v>#REF!</v>
      </c>
      <c r="H462" s="16" t="e">
        <f t="shared" si="930"/>
        <v>#REF!</v>
      </c>
      <c r="I462" s="16" t="e">
        <f t="shared" si="930"/>
        <v>#REF!</v>
      </c>
      <c r="J462" s="40" t="e">
        <f t="shared" si="930"/>
        <v>#REF!</v>
      </c>
      <c r="K462" s="16" t="e">
        <f t="shared" si="930"/>
        <v>#REF!</v>
      </c>
      <c r="L462" s="40" t="e">
        <f t="shared" si="609"/>
        <v>#REF!</v>
      </c>
      <c r="M462" s="16" t="e">
        <f t="shared" si="610"/>
        <v>#REF!</v>
      </c>
      <c r="N462" s="16" t="e">
        <f t="shared" si="611"/>
        <v>#REF!</v>
      </c>
      <c r="O462" s="16" t="s">
        <v>65</v>
      </c>
      <c r="P462" s="16" t="str">
        <f t="shared" si="6"/>
        <v/>
      </c>
      <c r="Q462" s="41" t="e">
        <f t="shared" si="612"/>
        <v>#REF!</v>
      </c>
      <c r="R462" s="44"/>
      <c r="S462" s="44"/>
      <c r="T462" s="43"/>
      <c r="U462" s="43" t="str">
        <f t="shared" si="8"/>
        <v>No</v>
      </c>
      <c r="V462" s="25"/>
      <c r="W462" s="25"/>
      <c r="X462" s="25"/>
      <c r="Y462" s="25"/>
      <c r="Z462" s="25"/>
    </row>
    <row r="463" spans="1:26" ht="15.75" customHeight="1" x14ac:dyDescent="0.25">
      <c r="A463" s="25">
        <v>461</v>
      </c>
      <c r="B463" s="37" t="e">
        <f t="shared" ref="B463:D463" si="931">VLOOKUP($A463,#REF!,B$1,0)</f>
        <v>#REF!</v>
      </c>
      <c r="C463" s="38" t="e">
        <f t="shared" si="931"/>
        <v>#REF!</v>
      </c>
      <c r="D463" s="39" t="e">
        <f t="shared" si="931"/>
        <v>#REF!</v>
      </c>
      <c r="E463" s="16" t="e">
        <f t="shared" si="1"/>
        <v>#REF!</v>
      </c>
      <c r="F463" s="16" t="e">
        <f t="shared" ref="F463:K463" si="932">VLOOKUP($A463,#REF!,F$1,0)</f>
        <v>#REF!</v>
      </c>
      <c r="G463" s="39" t="e">
        <f t="shared" si="932"/>
        <v>#REF!</v>
      </c>
      <c r="H463" s="16" t="e">
        <f t="shared" si="932"/>
        <v>#REF!</v>
      </c>
      <c r="I463" s="16" t="e">
        <f t="shared" si="932"/>
        <v>#REF!</v>
      </c>
      <c r="J463" s="40" t="e">
        <f t="shared" si="932"/>
        <v>#REF!</v>
      </c>
      <c r="K463" s="16" t="e">
        <f t="shared" si="932"/>
        <v>#REF!</v>
      </c>
      <c r="L463" s="40" t="e">
        <f t="shared" si="609"/>
        <v>#REF!</v>
      </c>
      <c r="M463" s="16" t="e">
        <f t="shared" si="610"/>
        <v>#REF!</v>
      </c>
      <c r="N463" s="16" t="e">
        <f t="shared" si="611"/>
        <v>#REF!</v>
      </c>
      <c r="O463" s="16" t="s">
        <v>65</v>
      </c>
      <c r="P463" s="16" t="str">
        <f t="shared" si="6"/>
        <v/>
      </c>
      <c r="Q463" s="41" t="e">
        <f t="shared" si="612"/>
        <v>#REF!</v>
      </c>
      <c r="R463" s="44"/>
      <c r="S463" s="44"/>
      <c r="T463" s="43"/>
      <c r="U463" s="43" t="str">
        <f t="shared" si="8"/>
        <v>No</v>
      </c>
      <c r="V463" s="25"/>
      <c r="W463" s="25"/>
      <c r="X463" s="25"/>
      <c r="Y463" s="25"/>
      <c r="Z463" s="25"/>
    </row>
    <row r="464" spans="1:26" ht="15.75" customHeight="1" x14ac:dyDescent="0.25">
      <c r="A464" s="25">
        <v>462</v>
      </c>
      <c r="B464" s="37" t="e">
        <f t="shared" ref="B464:D464" si="933">VLOOKUP($A464,#REF!,B$1,0)</f>
        <v>#REF!</v>
      </c>
      <c r="C464" s="38" t="e">
        <f t="shared" si="933"/>
        <v>#REF!</v>
      </c>
      <c r="D464" s="39" t="e">
        <f t="shared" si="933"/>
        <v>#REF!</v>
      </c>
      <c r="E464" s="16" t="e">
        <f t="shared" si="1"/>
        <v>#REF!</v>
      </c>
      <c r="F464" s="16" t="e">
        <f t="shared" ref="F464:K464" si="934">VLOOKUP($A464,#REF!,F$1,0)</f>
        <v>#REF!</v>
      </c>
      <c r="G464" s="39" t="e">
        <f t="shared" si="934"/>
        <v>#REF!</v>
      </c>
      <c r="H464" s="16" t="e">
        <f t="shared" si="934"/>
        <v>#REF!</v>
      </c>
      <c r="I464" s="16" t="e">
        <f t="shared" si="934"/>
        <v>#REF!</v>
      </c>
      <c r="J464" s="40" t="e">
        <f t="shared" si="934"/>
        <v>#REF!</v>
      </c>
      <c r="K464" s="16" t="e">
        <f t="shared" si="934"/>
        <v>#REF!</v>
      </c>
      <c r="L464" s="40" t="e">
        <f t="shared" si="609"/>
        <v>#REF!</v>
      </c>
      <c r="M464" s="16" t="e">
        <f t="shared" si="610"/>
        <v>#REF!</v>
      </c>
      <c r="N464" s="16" t="e">
        <f t="shared" si="611"/>
        <v>#REF!</v>
      </c>
      <c r="O464" s="16" t="s">
        <v>65</v>
      </c>
      <c r="P464" s="16" t="str">
        <f t="shared" si="6"/>
        <v/>
      </c>
      <c r="Q464" s="41" t="e">
        <f t="shared" si="612"/>
        <v>#REF!</v>
      </c>
      <c r="R464" s="44"/>
      <c r="S464" s="44"/>
      <c r="T464" s="43"/>
      <c r="U464" s="43" t="str">
        <f t="shared" si="8"/>
        <v>No</v>
      </c>
      <c r="V464" s="25"/>
      <c r="W464" s="25"/>
      <c r="X464" s="25"/>
      <c r="Y464" s="25"/>
      <c r="Z464" s="25"/>
    </row>
    <row r="465" spans="1:26" ht="15.75" customHeight="1" x14ac:dyDescent="0.25">
      <c r="A465" s="25">
        <v>463</v>
      </c>
      <c r="B465" s="37" t="e">
        <f t="shared" ref="B465:D465" si="935">VLOOKUP($A465,#REF!,B$1,0)</f>
        <v>#REF!</v>
      </c>
      <c r="C465" s="38" t="e">
        <f t="shared" si="935"/>
        <v>#REF!</v>
      </c>
      <c r="D465" s="39" t="e">
        <f t="shared" si="935"/>
        <v>#REF!</v>
      </c>
      <c r="E465" s="16" t="e">
        <f t="shared" si="1"/>
        <v>#REF!</v>
      </c>
      <c r="F465" s="16" t="e">
        <f t="shared" ref="F465:K465" si="936">VLOOKUP($A465,#REF!,F$1,0)</f>
        <v>#REF!</v>
      </c>
      <c r="G465" s="39" t="e">
        <f t="shared" si="936"/>
        <v>#REF!</v>
      </c>
      <c r="H465" s="16" t="e">
        <f t="shared" si="936"/>
        <v>#REF!</v>
      </c>
      <c r="I465" s="16" t="e">
        <f t="shared" si="936"/>
        <v>#REF!</v>
      </c>
      <c r="J465" s="40" t="e">
        <f t="shared" si="936"/>
        <v>#REF!</v>
      </c>
      <c r="K465" s="16" t="e">
        <f t="shared" si="936"/>
        <v>#REF!</v>
      </c>
      <c r="L465" s="40" t="e">
        <f t="shared" si="609"/>
        <v>#REF!</v>
      </c>
      <c r="M465" s="16" t="e">
        <f t="shared" si="610"/>
        <v>#REF!</v>
      </c>
      <c r="N465" s="16" t="e">
        <f t="shared" si="611"/>
        <v>#REF!</v>
      </c>
      <c r="O465" s="16" t="s">
        <v>65</v>
      </c>
      <c r="P465" s="16" t="str">
        <f t="shared" si="6"/>
        <v/>
      </c>
      <c r="Q465" s="41" t="e">
        <f t="shared" si="612"/>
        <v>#REF!</v>
      </c>
      <c r="R465" s="44"/>
      <c r="S465" s="44"/>
      <c r="T465" s="43"/>
      <c r="U465" s="43" t="str">
        <f t="shared" si="8"/>
        <v>No</v>
      </c>
      <c r="V465" s="25"/>
      <c r="W465" s="25"/>
      <c r="X465" s="25"/>
      <c r="Y465" s="25"/>
      <c r="Z465" s="25"/>
    </row>
    <row r="466" spans="1:26" ht="15.75" customHeight="1" x14ac:dyDescent="0.25">
      <c r="A466" s="25">
        <v>464</v>
      </c>
      <c r="B466" s="37" t="e">
        <f t="shared" ref="B466:D466" si="937">VLOOKUP($A466,#REF!,B$1,0)</f>
        <v>#REF!</v>
      </c>
      <c r="C466" s="38" t="e">
        <f t="shared" si="937"/>
        <v>#REF!</v>
      </c>
      <c r="D466" s="39" t="e">
        <f t="shared" si="937"/>
        <v>#REF!</v>
      </c>
      <c r="E466" s="16" t="e">
        <f t="shared" si="1"/>
        <v>#REF!</v>
      </c>
      <c r="F466" s="16" t="e">
        <f t="shared" ref="F466:K466" si="938">VLOOKUP($A466,#REF!,F$1,0)</f>
        <v>#REF!</v>
      </c>
      <c r="G466" s="39" t="e">
        <f t="shared" si="938"/>
        <v>#REF!</v>
      </c>
      <c r="H466" s="16" t="e">
        <f t="shared" si="938"/>
        <v>#REF!</v>
      </c>
      <c r="I466" s="16" t="e">
        <f t="shared" si="938"/>
        <v>#REF!</v>
      </c>
      <c r="J466" s="40" t="e">
        <f t="shared" si="938"/>
        <v>#REF!</v>
      </c>
      <c r="K466" s="16" t="e">
        <f t="shared" si="938"/>
        <v>#REF!</v>
      </c>
      <c r="L466" s="40" t="e">
        <f t="shared" si="609"/>
        <v>#REF!</v>
      </c>
      <c r="M466" s="16" t="e">
        <f t="shared" si="610"/>
        <v>#REF!</v>
      </c>
      <c r="N466" s="16" t="e">
        <f t="shared" si="611"/>
        <v>#REF!</v>
      </c>
      <c r="O466" s="16" t="s">
        <v>65</v>
      </c>
      <c r="P466" s="16" t="str">
        <f t="shared" si="6"/>
        <v/>
      </c>
      <c r="Q466" s="41" t="e">
        <f t="shared" si="612"/>
        <v>#REF!</v>
      </c>
      <c r="R466" s="44"/>
      <c r="S466" s="44"/>
      <c r="T466" s="43"/>
      <c r="U466" s="43" t="str">
        <f t="shared" si="8"/>
        <v>No</v>
      </c>
      <c r="V466" s="25"/>
      <c r="W466" s="25"/>
      <c r="X466" s="25"/>
      <c r="Y466" s="25"/>
      <c r="Z466" s="25"/>
    </row>
    <row r="467" spans="1:26" ht="15.75" customHeight="1" x14ac:dyDescent="0.25">
      <c r="A467" s="25">
        <v>465</v>
      </c>
      <c r="B467" s="37" t="e">
        <f t="shared" ref="B467:D467" si="939">VLOOKUP($A467,#REF!,B$1,0)</f>
        <v>#REF!</v>
      </c>
      <c r="C467" s="38" t="e">
        <f t="shared" si="939"/>
        <v>#REF!</v>
      </c>
      <c r="D467" s="39" t="e">
        <f t="shared" si="939"/>
        <v>#REF!</v>
      </c>
      <c r="E467" s="16" t="e">
        <f t="shared" si="1"/>
        <v>#REF!</v>
      </c>
      <c r="F467" s="16" t="e">
        <f t="shared" ref="F467:K467" si="940">VLOOKUP($A467,#REF!,F$1,0)</f>
        <v>#REF!</v>
      </c>
      <c r="G467" s="39" t="e">
        <f t="shared" si="940"/>
        <v>#REF!</v>
      </c>
      <c r="H467" s="16" t="e">
        <f t="shared" si="940"/>
        <v>#REF!</v>
      </c>
      <c r="I467" s="16" t="e">
        <f t="shared" si="940"/>
        <v>#REF!</v>
      </c>
      <c r="J467" s="40" t="e">
        <f t="shared" si="940"/>
        <v>#REF!</v>
      </c>
      <c r="K467" s="16" t="e">
        <f t="shared" si="940"/>
        <v>#REF!</v>
      </c>
      <c r="L467" s="40" t="e">
        <f t="shared" si="609"/>
        <v>#REF!</v>
      </c>
      <c r="M467" s="16" t="e">
        <f t="shared" si="610"/>
        <v>#REF!</v>
      </c>
      <c r="N467" s="16" t="e">
        <f t="shared" si="611"/>
        <v>#REF!</v>
      </c>
      <c r="O467" s="16" t="s">
        <v>65</v>
      </c>
      <c r="P467" s="16" t="str">
        <f t="shared" si="6"/>
        <v/>
      </c>
      <c r="Q467" s="41" t="e">
        <f t="shared" si="612"/>
        <v>#REF!</v>
      </c>
      <c r="R467" s="44"/>
      <c r="S467" s="44"/>
      <c r="T467" s="43"/>
      <c r="U467" s="43" t="str">
        <f t="shared" si="8"/>
        <v>No</v>
      </c>
      <c r="V467" s="25"/>
      <c r="W467" s="25"/>
      <c r="X467" s="25"/>
      <c r="Y467" s="25"/>
      <c r="Z467" s="25"/>
    </row>
    <row r="468" spans="1:26" ht="15.75" customHeight="1" x14ac:dyDescent="0.25">
      <c r="A468" s="25">
        <v>466</v>
      </c>
      <c r="B468" s="37" t="e">
        <f t="shared" ref="B468:D468" si="941">VLOOKUP($A468,#REF!,B$1,0)</f>
        <v>#REF!</v>
      </c>
      <c r="C468" s="38" t="e">
        <f t="shared" si="941"/>
        <v>#REF!</v>
      </c>
      <c r="D468" s="39" t="e">
        <f t="shared" si="941"/>
        <v>#REF!</v>
      </c>
      <c r="E468" s="16" t="e">
        <f t="shared" si="1"/>
        <v>#REF!</v>
      </c>
      <c r="F468" s="16" t="e">
        <f t="shared" ref="F468:K468" si="942">VLOOKUP($A468,#REF!,F$1,0)</f>
        <v>#REF!</v>
      </c>
      <c r="G468" s="39" t="e">
        <f t="shared" si="942"/>
        <v>#REF!</v>
      </c>
      <c r="H468" s="16" t="e">
        <f t="shared" si="942"/>
        <v>#REF!</v>
      </c>
      <c r="I468" s="16" t="e">
        <f t="shared" si="942"/>
        <v>#REF!</v>
      </c>
      <c r="J468" s="40" t="e">
        <f t="shared" si="942"/>
        <v>#REF!</v>
      </c>
      <c r="K468" s="16" t="e">
        <f t="shared" si="942"/>
        <v>#REF!</v>
      </c>
      <c r="L468" s="40" t="e">
        <f t="shared" si="609"/>
        <v>#REF!</v>
      </c>
      <c r="M468" s="16" t="e">
        <f t="shared" si="610"/>
        <v>#REF!</v>
      </c>
      <c r="N468" s="16" t="e">
        <f t="shared" si="611"/>
        <v>#REF!</v>
      </c>
      <c r="O468" s="16" t="s">
        <v>65</v>
      </c>
      <c r="P468" s="16" t="str">
        <f t="shared" si="6"/>
        <v/>
      </c>
      <c r="Q468" s="41" t="e">
        <f t="shared" si="612"/>
        <v>#REF!</v>
      </c>
      <c r="R468" s="44"/>
      <c r="S468" s="44"/>
      <c r="T468" s="43"/>
      <c r="U468" s="43" t="str">
        <f t="shared" si="8"/>
        <v>No</v>
      </c>
      <c r="V468" s="25"/>
      <c r="W468" s="25"/>
      <c r="X468" s="25"/>
      <c r="Y468" s="25"/>
      <c r="Z468" s="25"/>
    </row>
    <row r="469" spans="1:26" ht="15.75" customHeight="1" x14ac:dyDescent="0.25">
      <c r="A469" s="25">
        <v>467</v>
      </c>
      <c r="B469" s="37" t="e">
        <f t="shared" ref="B469:D469" si="943">VLOOKUP($A469,#REF!,B$1,0)</f>
        <v>#REF!</v>
      </c>
      <c r="C469" s="38" t="e">
        <f t="shared" si="943"/>
        <v>#REF!</v>
      </c>
      <c r="D469" s="39" t="e">
        <f t="shared" si="943"/>
        <v>#REF!</v>
      </c>
      <c r="E469" s="16" t="e">
        <f t="shared" si="1"/>
        <v>#REF!</v>
      </c>
      <c r="F469" s="16" t="e">
        <f t="shared" ref="F469:K469" si="944">VLOOKUP($A469,#REF!,F$1,0)</f>
        <v>#REF!</v>
      </c>
      <c r="G469" s="39" t="e">
        <f t="shared" si="944"/>
        <v>#REF!</v>
      </c>
      <c r="H469" s="16" t="e">
        <f t="shared" si="944"/>
        <v>#REF!</v>
      </c>
      <c r="I469" s="16" t="e">
        <f t="shared" si="944"/>
        <v>#REF!</v>
      </c>
      <c r="J469" s="40" t="e">
        <f t="shared" si="944"/>
        <v>#REF!</v>
      </c>
      <c r="K469" s="16" t="e">
        <f t="shared" si="944"/>
        <v>#REF!</v>
      </c>
      <c r="L469" s="40" t="e">
        <f t="shared" si="609"/>
        <v>#REF!</v>
      </c>
      <c r="M469" s="16" t="e">
        <f t="shared" si="610"/>
        <v>#REF!</v>
      </c>
      <c r="N469" s="16" t="e">
        <f t="shared" si="611"/>
        <v>#REF!</v>
      </c>
      <c r="O469" s="16" t="s">
        <v>65</v>
      </c>
      <c r="P469" s="16" t="str">
        <f t="shared" si="6"/>
        <v/>
      </c>
      <c r="Q469" s="41" t="e">
        <f t="shared" si="612"/>
        <v>#REF!</v>
      </c>
      <c r="R469" s="44"/>
      <c r="S469" s="44"/>
      <c r="T469" s="43"/>
      <c r="U469" s="43" t="str">
        <f t="shared" si="8"/>
        <v>No</v>
      </c>
      <c r="V469" s="25"/>
      <c r="W469" s="25"/>
      <c r="X469" s="25"/>
      <c r="Y469" s="25"/>
      <c r="Z469" s="25"/>
    </row>
    <row r="470" spans="1:26" ht="15.75" customHeight="1" x14ac:dyDescent="0.25">
      <c r="A470" s="25">
        <v>468</v>
      </c>
      <c r="B470" s="37" t="e">
        <f t="shared" ref="B470:D470" si="945">VLOOKUP($A470,#REF!,B$1,0)</f>
        <v>#REF!</v>
      </c>
      <c r="C470" s="38" t="e">
        <f t="shared" si="945"/>
        <v>#REF!</v>
      </c>
      <c r="D470" s="39" t="e">
        <f t="shared" si="945"/>
        <v>#REF!</v>
      </c>
      <c r="E470" s="16" t="e">
        <f t="shared" si="1"/>
        <v>#REF!</v>
      </c>
      <c r="F470" s="16" t="e">
        <f t="shared" ref="F470:K470" si="946">VLOOKUP($A470,#REF!,F$1,0)</f>
        <v>#REF!</v>
      </c>
      <c r="G470" s="39" t="e">
        <f t="shared" si="946"/>
        <v>#REF!</v>
      </c>
      <c r="H470" s="16" t="e">
        <f t="shared" si="946"/>
        <v>#REF!</v>
      </c>
      <c r="I470" s="16" t="e">
        <f t="shared" si="946"/>
        <v>#REF!</v>
      </c>
      <c r="J470" s="40" t="e">
        <f t="shared" si="946"/>
        <v>#REF!</v>
      </c>
      <c r="K470" s="16" t="e">
        <f t="shared" si="946"/>
        <v>#REF!</v>
      </c>
      <c r="L470" s="40" t="e">
        <f t="shared" si="609"/>
        <v>#REF!</v>
      </c>
      <c r="M470" s="16" t="e">
        <f t="shared" si="610"/>
        <v>#REF!</v>
      </c>
      <c r="N470" s="16" t="e">
        <f t="shared" si="611"/>
        <v>#REF!</v>
      </c>
      <c r="O470" s="16" t="s">
        <v>65</v>
      </c>
      <c r="P470" s="16" t="str">
        <f t="shared" si="6"/>
        <v/>
      </c>
      <c r="Q470" s="41" t="e">
        <f t="shared" si="612"/>
        <v>#REF!</v>
      </c>
      <c r="R470" s="44"/>
      <c r="S470" s="44"/>
      <c r="T470" s="43"/>
      <c r="U470" s="43" t="str">
        <f t="shared" si="8"/>
        <v>No</v>
      </c>
      <c r="V470" s="25"/>
      <c r="W470" s="25"/>
      <c r="X470" s="25"/>
      <c r="Y470" s="25"/>
      <c r="Z470" s="25"/>
    </row>
    <row r="471" spans="1:26" ht="15.75" customHeight="1" x14ac:dyDescent="0.25">
      <c r="A471" s="25">
        <v>469</v>
      </c>
      <c r="B471" s="37" t="e">
        <f t="shared" ref="B471:D471" si="947">VLOOKUP($A471,#REF!,B$1,0)</f>
        <v>#REF!</v>
      </c>
      <c r="C471" s="38" t="e">
        <f t="shared" si="947"/>
        <v>#REF!</v>
      </c>
      <c r="D471" s="39" t="e">
        <f t="shared" si="947"/>
        <v>#REF!</v>
      </c>
      <c r="E471" s="16" t="e">
        <f t="shared" si="1"/>
        <v>#REF!</v>
      </c>
      <c r="F471" s="16" t="e">
        <f t="shared" ref="F471:K471" si="948">VLOOKUP($A471,#REF!,F$1,0)</f>
        <v>#REF!</v>
      </c>
      <c r="G471" s="39" t="e">
        <f t="shared" si="948"/>
        <v>#REF!</v>
      </c>
      <c r="H471" s="16" t="e">
        <f t="shared" si="948"/>
        <v>#REF!</v>
      </c>
      <c r="I471" s="16" t="e">
        <f t="shared" si="948"/>
        <v>#REF!</v>
      </c>
      <c r="J471" s="40" t="e">
        <f t="shared" si="948"/>
        <v>#REF!</v>
      </c>
      <c r="K471" s="16" t="e">
        <f t="shared" si="948"/>
        <v>#REF!</v>
      </c>
      <c r="L471" s="40" t="e">
        <f t="shared" si="609"/>
        <v>#REF!</v>
      </c>
      <c r="M471" s="16" t="e">
        <f t="shared" si="610"/>
        <v>#REF!</v>
      </c>
      <c r="N471" s="16" t="e">
        <f t="shared" si="611"/>
        <v>#REF!</v>
      </c>
      <c r="O471" s="16" t="s">
        <v>65</v>
      </c>
      <c r="P471" s="16" t="str">
        <f t="shared" si="6"/>
        <v/>
      </c>
      <c r="Q471" s="41" t="e">
        <f t="shared" si="612"/>
        <v>#REF!</v>
      </c>
      <c r="R471" s="44"/>
      <c r="S471" s="44"/>
      <c r="T471" s="43"/>
      <c r="U471" s="43" t="str">
        <f t="shared" si="8"/>
        <v>No</v>
      </c>
      <c r="V471" s="25"/>
      <c r="W471" s="25"/>
      <c r="X471" s="25"/>
      <c r="Y471" s="25"/>
      <c r="Z471" s="25"/>
    </row>
    <row r="472" spans="1:26" ht="15.75" customHeight="1" x14ac:dyDescent="0.25">
      <c r="A472" s="25">
        <v>470</v>
      </c>
      <c r="B472" s="37" t="e">
        <f t="shared" ref="B472:D472" si="949">VLOOKUP($A472,#REF!,B$1,0)</f>
        <v>#REF!</v>
      </c>
      <c r="C472" s="38" t="e">
        <f t="shared" si="949"/>
        <v>#REF!</v>
      </c>
      <c r="D472" s="39" t="e">
        <f t="shared" si="949"/>
        <v>#REF!</v>
      </c>
      <c r="E472" s="16" t="e">
        <f t="shared" si="1"/>
        <v>#REF!</v>
      </c>
      <c r="F472" s="16" t="e">
        <f t="shared" ref="F472:K472" si="950">VLOOKUP($A472,#REF!,F$1,0)</f>
        <v>#REF!</v>
      </c>
      <c r="G472" s="39" t="e">
        <f t="shared" si="950"/>
        <v>#REF!</v>
      </c>
      <c r="H472" s="16" t="e">
        <f t="shared" si="950"/>
        <v>#REF!</v>
      </c>
      <c r="I472" s="16" t="e">
        <f t="shared" si="950"/>
        <v>#REF!</v>
      </c>
      <c r="J472" s="40" t="e">
        <f t="shared" si="950"/>
        <v>#REF!</v>
      </c>
      <c r="K472" s="16" t="e">
        <f t="shared" si="950"/>
        <v>#REF!</v>
      </c>
      <c r="L472" s="40" t="e">
        <f t="shared" si="609"/>
        <v>#REF!</v>
      </c>
      <c r="M472" s="16" t="e">
        <f t="shared" si="610"/>
        <v>#REF!</v>
      </c>
      <c r="N472" s="16" t="e">
        <f t="shared" si="611"/>
        <v>#REF!</v>
      </c>
      <c r="O472" s="16" t="s">
        <v>65</v>
      </c>
      <c r="P472" s="16" t="str">
        <f t="shared" si="6"/>
        <v/>
      </c>
      <c r="Q472" s="41" t="e">
        <f t="shared" si="612"/>
        <v>#REF!</v>
      </c>
      <c r="R472" s="44"/>
      <c r="S472" s="44"/>
      <c r="T472" s="43"/>
      <c r="U472" s="43" t="str">
        <f t="shared" si="8"/>
        <v>No</v>
      </c>
      <c r="V472" s="25"/>
      <c r="W472" s="25"/>
      <c r="X472" s="25"/>
      <c r="Y472" s="25"/>
      <c r="Z472" s="25"/>
    </row>
    <row r="473" spans="1:26" ht="15.75" customHeight="1" x14ac:dyDescent="0.25">
      <c r="A473" s="25">
        <v>471</v>
      </c>
      <c r="B473" s="37" t="e">
        <f t="shared" ref="B473:D473" si="951">VLOOKUP($A473,#REF!,B$1,0)</f>
        <v>#REF!</v>
      </c>
      <c r="C473" s="38" t="e">
        <f t="shared" si="951"/>
        <v>#REF!</v>
      </c>
      <c r="D473" s="39" t="e">
        <f t="shared" si="951"/>
        <v>#REF!</v>
      </c>
      <c r="E473" s="16" t="e">
        <f t="shared" si="1"/>
        <v>#REF!</v>
      </c>
      <c r="F473" s="16" t="e">
        <f t="shared" ref="F473:K473" si="952">VLOOKUP($A473,#REF!,F$1,0)</f>
        <v>#REF!</v>
      </c>
      <c r="G473" s="39" t="e">
        <f t="shared" si="952"/>
        <v>#REF!</v>
      </c>
      <c r="H473" s="16" t="e">
        <f t="shared" si="952"/>
        <v>#REF!</v>
      </c>
      <c r="I473" s="16" t="e">
        <f t="shared" si="952"/>
        <v>#REF!</v>
      </c>
      <c r="J473" s="40" t="e">
        <f t="shared" si="952"/>
        <v>#REF!</v>
      </c>
      <c r="K473" s="16" t="e">
        <f t="shared" si="952"/>
        <v>#REF!</v>
      </c>
      <c r="L473" s="40" t="e">
        <f t="shared" si="609"/>
        <v>#REF!</v>
      </c>
      <c r="M473" s="16" t="e">
        <f t="shared" si="610"/>
        <v>#REF!</v>
      </c>
      <c r="N473" s="16" t="e">
        <f t="shared" si="611"/>
        <v>#REF!</v>
      </c>
      <c r="O473" s="16" t="s">
        <v>65</v>
      </c>
      <c r="P473" s="16" t="str">
        <f t="shared" si="6"/>
        <v/>
      </c>
      <c r="Q473" s="41" t="e">
        <f t="shared" si="612"/>
        <v>#REF!</v>
      </c>
      <c r="R473" s="44"/>
      <c r="S473" s="44"/>
      <c r="T473" s="43"/>
      <c r="U473" s="43" t="str">
        <f t="shared" si="8"/>
        <v>No</v>
      </c>
      <c r="V473" s="25"/>
      <c r="W473" s="25"/>
      <c r="X473" s="25"/>
      <c r="Y473" s="25"/>
      <c r="Z473" s="25"/>
    </row>
    <row r="474" spans="1:26" ht="15.75" customHeight="1" x14ac:dyDescent="0.25">
      <c r="A474" s="25">
        <v>472</v>
      </c>
      <c r="B474" s="37" t="e">
        <f t="shared" ref="B474:D474" si="953">VLOOKUP($A474,#REF!,B$1,0)</f>
        <v>#REF!</v>
      </c>
      <c r="C474" s="38" t="e">
        <f t="shared" si="953"/>
        <v>#REF!</v>
      </c>
      <c r="D474" s="39" t="e">
        <f t="shared" si="953"/>
        <v>#REF!</v>
      </c>
      <c r="E474" s="16" t="e">
        <f t="shared" si="1"/>
        <v>#REF!</v>
      </c>
      <c r="F474" s="16" t="e">
        <f t="shared" ref="F474:K474" si="954">VLOOKUP($A474,#REF!,F$1,0)</f>
        <v>#REF!</v>
      </c>
      <c r="G474" s="39" t="e">
        <f t="shared" si="954"/>
        <v>#REF!</v>
      </c>
      <c r="H474" s="16" t="e">
        <f t="shared" si="954"/>
        <v>#REF!</v>
      </c>
      <c r="I474" s="16" t="e">
        <f t="shared" si="954"/>
        <v>#REF!</v>
      </c>
      <c r="J474" s="40" t="e">
        <f t="shared" si="954"/>
        <v>#REF!</v>
      </c>
      <c r="K474" s="16" t="e">
        <f t="shared" si="954"/>
        <v>#REF!</v>
      </c>
      <c r="L474" s="40" t="e">
        <f t="shared" si="609"/>
        <v>#REF!</v>
      </c>
      <c r="M474" s="16" t="e">
        <f t="shared" si="610"/>
        <v>#REF!</v>
      </c>
      <c r="N474" s="16" t="e">
        <f t="shared" si="611"/>
        <v>#REF!</v>
      </c>
      <c r="O474" s="16" t="s">
        <v>65</v>
      </c>
      <c r="P474" s="16" t="str">
        <f t="shared" si="6"/>
        <v/>
      </c>
      <c r="Q474" s="41" t="e">
        <f t="shared" si="612"/>
        <v>#REF!</v>
      </c>
      <c r="R474" s="44"/>
      <c r="S474" s="44"/>
      <c r="T474" s="43"/>
      <c r="U474" s="43" t="str">
        <f t="shared" si="8"/>
        <v>No</v>
      </c>
      <c r="V474" s="25"/>
      <c r="W474" s="25"/>
      <c r="X474" s="25"/>
      <c r="Y474" s="25"/>
      <c r="Z474" s="25"/>
    </row>
    <row r="475" spans="1:26" ht="15.75" customHeight="1" x14ac:dyDescent="0.25">
      <c r="A475" s="25">
        <v>473</v>
      </c>
      <c r="B475" s="37" t="e">
        <f t="shared" ref="B475:D475" si="955">VLOOKUP($A475,#REF!,B$1,0)</f>
        <v>#REF!</v>
      </c>
      <c r="C475" s="38" t="e">
        <f t="shared" si="955"/>
        <v>#REF!</v>
      </c>
      <c r="D475" s="39" t="e">
        <f t="shared" si="955"/>
        <v>#REF!</v>
      </c>
      <c r="E475" s="16" t="e">
        <f t="shared" si="1"/>
        <v>#REF!</v>
      </c>
      <c r="F475" s="16" t="e">
        <f t="shared" ref="F475:K475" si="956">VLOOKUP($A475,#REF!,F$1,0)</f>
        <v>#REF!</v>
      </c>
      <c r="G475" s="39" t="e">
        <f t="shared" si="956"/>
        <v>#REF!</v>
      </c>
      <c r="H475" s="16" t="e">
        <f t="shared" si="956"/>
        <v>#REF!</v>
      </c>
      <c r="I475" s="16" t="e">
        <f t="shared" si="956"/>
        <v>#REF!</v>
      </c>
      <c r="J475" s="40" t="e">
        <f t="shared" si="956"/>
        <v>#REF!</v>
      </c>
      <c r="K475" s="16" t="e">
        <f t="shared" si="956"/>
        <v>#REF!</v>
      </c>
      <c r="L475" s="40" t="e">
        <f t="shared" si="609"/>
        <v>#REF!</v>
      </c>
      <c r="M475" s="16" t="e">
        <f t="shared" si="610"/>
        <v>#REF!</v>
      </c>
      <c r="N475" s="16" t="e">
        <f t="shared" si="611"/>
        <v>#REF!</v>
      </c>
      <c r="O475" s="16" t="s">
        <v>65</v>
      </c>
      <c r="P475" s="16" t="str">
        <f t="shared" si="6"/>
        <v/>
      </c>
      <c r="Q475" s="41" t="e">
        <f t="shared" si="612"/>
        <v>#REF!</v>
      </c>
      <c r="R475" s="44"/>
      <c r="S475" s="44"/>
      <c r="T475" s="43"/>
      <c r="U475" s="43" t="str">
        <f t="shared" si="8"/>
        <v>No</v>
      </c>
      <c r="V475" s="25"/>
      <c r="W475" s="25"/>
      <c r="X475" s="25"/>
      <c r="Y475" s="25"/>
      <c r="Z475" s="25"/>
    </row>
    <row r="476" spans="1:26" ht="15.75" customHeight="1" x14ac:dyDescent="0.25">
      <c r="A476" s="25">
        <v>474</v>
      </c>
      <c r="B476" s="37" t="e">
        <f t="shared" ref="B476:D476" si="957">VLOOKUP($A476,#REF!,B$1,0)</f>
        <v>#REF!</v>
      </c>
      <c r="C476" s="38" t="e">
        <f t="shared" si="957"/>
        <v>#REF!</v>
      </c>
      <c r="D476" s="39" t="e">
        <f t="shared" si="957"/>
        <v>#REF!</v>
      </c>
      <c r="E476" s="16" t="e">
        <f t="shared" si="1"/>
        <v>#REF!</v>
      </c>
      <c r="F476" s="16" t="e">
        <f t="shared" ref="F476:K476" si="958">VLOOKUP($A476,#REF!,F$1,0)</f>
        <v>#REF!</v>
      </c>
      <c r="G476" s="39" t="e">
        <f t="shared" si="958"/>
        <v>#REF!</v>
      </c>
      <c r="H476" s="16" t="e">
        <f t="shared" si="958"/>
        <v>#REF!</v>
      </c>
      <c r="I476" s="16" t="e">
        <f t="shared" si="958"/>
        <v>#REF!</v>
      </c>
      <c r="J476" s="40" t="e">
        <f t="shared" si="958"/>
        <v>#REF!</v>
      </c>
      <c r="K476" s="16" t="e">
        <f t="shared" si="958"/>
        <v>#REF!</v>
      </c>
      <c r="L476" s="40" t="e">
        <f t="shared" si="609"/>
        <v>#REF!</v>
      </c>
      <c r="M476" s="16" t="e">
        <f t="shared" si="610"/>
        <v>#REF!</v>
      </c>
      <c r="N476" s="16" t="e">
        <f t="shared" si="611"/>
        <v>#REF!</v>
      </c>
      <c r="O476" s="16" t="s">
        <v>65</v>
      </c>
      <c r="P476" s="16" t="str">
        <f t="shared" si="6"/>
        <v/>
      </c>
      <c r="Q476" s="41" t="e">
        <f t="shared" si="612"/>
        <v>#REF!</v>
      </c>
      <c r="R476" s="44"/>
      <c r="S476" s="44"/>
      <c r="T476" s="43"/>
      <c r="U476" s="43" t="str">
        <f t="shared" si="8"/>
        <v>No</v>
      </c>
      <c r="V476" s="25"/>
      <c r="W476" s="25"/>
      <c r="X476" s="25"/>
      <c r="Y476" s="25"/>
      <c r="Z476" s="25"/>
    </row>
    <row r="477" spans="1:26" ht="15.75" customHeight="1" x14ac:dyDescent="0.25">
      <c r="A477" s="25">
        <v>475</v>
      </c>
      <c r="B477" s="37" t="e">
        <f t="shared" ref="B477:D477" si="959">VLOOKUP($A477,#REF!,B$1,0)</f>
        <v>#REF!</v>
      </c>
      <c r="C477" s="38" t="e">
        <f t="shared" si="959"/>
        <v>#REF!</v>
      </c>
      <c r="D477" s="39" t="e">
        <f t="shared" si="959"/>
        <v>#REF!</v>
      </c>
      <c r="E477" s="16" t="e">
        <f t="shared" si="1"/>
        <v>#REF!</v>
      </c>
      <c r="F477" s="16" t="e">
        <f t="shared" ref="F477:K477" si="960">VLOOKUP($A477,#REF!,F$1,0)</f>
        <v>#REF!</v>
      </c>
      <c r="G477" s="39" t="e">
        <f t="shared" si="960"/>
        <v>#REF!</v>
      </c>
      <c r="H477" s="16" t="e">
        <f t="shared" si="960"/>
        <v>#REF!</v>
      </c>
      <c r="I477" s="16" t="e">
        <f t="shared" si="960"/>
        <v>#REF!</v>
      </c>
      <c r="J477" s="40" t="e">
        <f t="shared" si="960"/>
        <v>#REF!</v>
      </c>
      <c r="K477" s="16" t="e">
        <f t="shared" si="960"/>
        <v>#REF!</v>
      </c>
      <c r="L477" s="40" t="e">
        <f t="shared" si="609"/>
        <v>#REF!</v>
      </c>
      <c r="M477" s="16" t="e">
        <f t="shared" si="610"/>
        <v>#REF!</v>
      </c>
      <c r="N477" s="16" t="e">
        <f t="shared" si="611"/>
        <v>#REF!</v>
      </c>
      <c r="O477" s="16" t="s">
        <v>65</v>
      </c>
      <c r="P477" s="16" t="str">
        <f t="shared" si="6"/>
        <v/>
      </c>
      <c r="Q477" s="41" t="e">
        <f t="shared" si="612"/>
        <v>#REF!</v>
      </c>
      <c r="R477" s="44"/>
      <c r="S477" s="44"/>
      <c r="T477" s="43"/>
      <c r="U477" s="43" t="str">
        <f t="shared" si="8"/>
        <v>No</v>
      </c>
      <c r="V477" s="25"/>
      <c r="W477" s="25"/>
      <c r="X477" s="25"/>
      <c r="Y477" s="25"/>
      <c r="Z477" s="25"/>
    </row>
    <row r="478" spans="1:26" ht="15.75" customHeight="1" x14ac:dyDescent="0.25">
      <c r="A478" s="25">
        <v>476</v>
      </c>
      <c r="B478" s="37" t="e">
        <f t="shared" ref="B478:D478" si="961">VLOOKUP($A478,#REF!,B$1,0)</f>
        <v>#REF!</v>
      </c>
      <c r="C478" s="38" t="e">
        <f t="shared" si="961"/>
        <v>#REF!</v>
      </c>
      <c r="D478" s="39" t="e">
        <f t="shared" si="961"/>
        <v>#REF!</v>
      </c>
      <c r="E478" s="16" t="e">
        <f t="shared" si="1"/>
        <v>#REF!</v>
      </c>
      <c r="F478" s="16" t="e">
        <f t="shared" ref="F478:K478" si="962">VLOOKUP($A478,#REF!,F$1,0)</f>
        <v>#REF!</v>
      </c>
      <c r="G478" s="39" t="e">
        <f t="shared" si="962"/>
        <v>#REF!</v>
      </c>
      <c r="H478" s="16" t="e">
        <f t="shared" si="962"/>
        <v>#REF!</v>
      </c>
      <c r="I478" s="16" t="e">
        <f t="shared" si="962"/>
        <v>#REF!</v>
      </c>
      <c r="J478" s="40" t="e">
        <f t="shared" si="962"/>
        <v>#REF!</v>
      </c>
      <c r="K478" s="16" t="e">
        <f t="shared" si="962"/>
        <v>#REF!</v>
      </c>
      <c r="L478" s="40" t="e">
        <f t="shared" si="609"/>
        <v>#REF!</v>
      </c>
      <c r="M478" s="16" t="e">
        <f t="shared" si="610"/>
        <v>#REF!</v>
      </c>
      <c r="N478" s="16" t="e">
        <f t="shared" si="611"/>
        <v>#REF!</v>
      </c>
      <c r="O478" s="16" t="s">
        <v>65</v>
      </c>
      <c r="P478" s="16" t="str">
        <f t="shared" si="6"/>
        <v/>
      </c>
      <c r="Q478" s="41" t="e">
        <f t="shared" si="612"/>
        <v>#REF!</v>
      </c>
      <c r="R478" s="44"/>
      <c r="S478" s="44"/>
      <c r="T478" s="43"/>
      <c r="U478" s="43" t="str">
        <f t="shared" si="8"/>
        <v>No</v>
      </c>
      <c r="V478" s="25"/>
      <c r="W478" s="25"/>
      <c r="X478" s="25"/>
      <c r="Y478" s="25"/>
      <c r="Z478" s="25"/>
    </row>
    <row r="479" spans="1:26" ht="15.75" customHeight="1" x14ac:dyDescent="0.25">
      <c r="A479" s="25">
        <v>477</v>
      </c>
      <c r="B479" s="37" t="e">
        <f t="shared" ref="B479:D479" si="963">VLOOKUP($A479,#REF!,B$1,0)</f>
        <v>#REF!</v>
      </c>
      <c r="C479" s="38" t="e">
        <f t="shared" si="963"/>
        <v>#REF!</v>
      </c>
      <c r="D479" s="39" t="e">
        <f t="shared" si="963"/>
        <v>#REF!</v>
      </c>
      <c r="E479" s="16" t="e">
        <f t="shared" si="1"/>
        <v>#REF!</v>
      </c>
      <c r="F479" s="16" t="e">
        <f t="shared" ref="F479:K479" si="964">VLOOKUP($A479,#REF!,F$1,0)</f>
        <v>#REF!</v>
      </c>
      <c r="G479" s="39" t="e">
        <f t="shared" si="964"/>
        <v>#REF!</v>
      </c>
      <c r="H479" s="16" t="e">
        <f t="shared" si="964"/>
        <v>#REF!</v>
      </c>
      <c r="I479" s="16" t="e">
        <f t="shared" si="964"/>
        <v>#REF!</v>
      </c>
      <c r="J479" s="40" t="e">
        <f t="shared" si="964"/>
        <v>#REF!</v>
      </c>
      <c r="K479" s="16" t="e">
        <f t="shared" si="964"/>
        <v>#REF!</v>
      </c>
      <c r="L479" s="40" t="e">
        <f t="shared" si="609"/>
        <v>#REF!</v>
      </c>
      <c r="M479" s="16" t="e">
        <f t="shared" si="610"/>
        <v>#REF!</v>
      </c>
      <c r="N479" s="16" t="e">
        <f t="shared" si="611"/>
        <v>#REF!</v>
      </c>
      <c r="O479" s="16" t="s">
        <v>65</v>
      </c>
      <c r="P479" s="16" t="str">
        <f t="shared" si="6"/>
        <v/>
      </c>
      <c r="Q479" s="41" t="e">
        <f t="shared" si="612"/>
        <v>#REF!</v>
      </c>
      <c r="R479" s="44"/>
      <c r="S479" s="44"/>
      <c r="T479" s="43"/>
      <c r="U479" s="43" t="str">
        <f t="shared" si="8"/>
        <v>No</v>
      </c>
      <c r="V479" s="25"/>
      <c r="W479" s="25"/>
      <c r="X479" s="25"/>
      <c r="Y479" s="25"/>
      <c r="Z479" s="25"/>
    </row>
    <row r="480" spans="1:26" ht="15.75" customHeight="1" x14ac:dyDescent="0.25">
      <c r="A480" s="25">
        <v>478</v>
      </c>
      <c r="B480" s="37" t="e">
        <f t="shared" ref="B480:D480" si="965">VLOOKUP($A480,#REF!,B$1,0)</f>
        <v>#REF!</v>
      </c>
      <c r="C480" s="38" t="e">
        <f t="shared" si="965"/>
        <v>#REF!</v>
      </c>
      <c r="D480" s="39" t="e">
        <f t="shared" si="965"/>
        <v>#REF!</v>
      </c>
      <c r="E480" s="16" t="e">
        <f t="shared" si="1"/>
        <v>#REF!</v>
      </c>
      <c r="F480" s="16" t="e">
        <f t="shared" ref="F480:K480" si="966">VLOOKUP($A480,#REF!,F$1,0)</f>
        <v>#REF!</v>
      </c>
      <c r="G480" s="39" t="e">
        <f t="shared" si="966"/>
        <v>#REF!</v>
      </c>
      <c r="H480" s="16" t="e">
        <f t="shared" si="966"/>
        <v>#REF!</v>
      </c>
      <c r="I480" s="16" t="e">
        <f t="shared" si="966"/>
        <v>#REF!</v>
      </c>
      <c r="J480" s="40" t="e">
        <f t="shared" si="966"/>
        <v>#REF!</v>
      </c>
      <c r="K480" s="16" t="e">
        <f t="shared" si="966"/>
        <v>#REF!</v>
      </c>
      <c r="L480" s="40" t="e">
        <f t="shared" si="609"/>
        <v>#REF!</v>
      </c>
      <c r="M480" s="16" t="e">
        <f t="shared" si="610"/>
        <v>#REF!</v>
      </c>
      <c r="N480" s="16" t="e">
        <f t="shared" si="611"/>
        <v>#REF!</v>
      </c>
      <c r="O480" s="16" t="s">
        <v>65</v>
      </c>
      <c r="P480" s="16" t="str">
        <f t="shared" si="6"/>
        <v/>
      </c>
      <c r="Q480" s="41" t="e">
        <f t="shared" si="612"/>
        <v>#REF!</v>
      </c>
      <c r="R480" s="44"/>
      <c r="S480" s="44"/>
      <c r="T480" s="43"/>
      <c r="U480" s="43" t="str">
        <f t="shared" si="8"/>
        <v>No</v>
      </c>
      <c r="V480" s="25"/>
      <c r="W480" s="25"/>
      <c r="X480" s="25"/>
      <c r="Y480" s="25"/>
      <c r="Z480" s="25"/>
    </row>
    <row r="481" spans="1:26" ht="15.75" customHeight="1" x14ac:dyDescent="0.25">
      <c r="A481" s="25">
        <v>479</v>
      </c>
      <c r="B481" s="37" t="e">
        <f t="shared" ref="B481:D481" si="967">VLOOKUP($A481,#REF!,B$1,0)</f>
        <v>#REF!</v>
      </c>
      <c r="C481" s="38" t="e">
        <f t="shared" si="967"/>
        <v>#REF!</v>
      </c>
      <c r="D481" s="39" t="e">
        <f t="shared" si="967"/>
        <v>#REF!</v>
      </c>
      <c r="E481" s="16" t="e">
        <f t="shared" si="1"/>
        <v>#REF!</v>
      </c>
      <c r="F481" s="16" t="e">
        <f t="shared" ref="F481:K481" si="968">VLOOKUP($A481,#REF!,F$1,0)</f>
        <v>#REF!</v>
      </c>
      <c r="G481" s="39" t="e">
        <f t="shared" si="968"/>
        <v>#REF!</v>
      </c>
      <c r="H481" s="16" t="e">
        <f t="shared" si="968"/>
        <v>#REF!</v>
      </c>
      <c r="I481" s="16" t="e">
        <f t="shared" si="968"/>
        <v>#REF!</v>
      </c>
      <c r="J481" s="40" t="e">
        <f t="shared" si="968"/>
        <v>#REF!</v>
      </c>
      <c r="K481" s="16" t="e">
        <f t="shared" si="968"/>
        <v>#REF!</v>
      </c>
      <c r="L481" s="40" t="e">
        <f t="shared" si="609"/>
        <v>#REF!</v>
      </c>
      <c r="M481" s="16" t="e">
        <f t="shared" si="610"/>
        <v>#REF!</v>
      </c>
      <c r="N481" s="16" t="e">
        <f t="shared" si="611"/>
        <v>#REF!</v>
      </c>
      <c r="O481" s="16" t="s">
        <v>65</v>
      </c>
      <c r="P481" s="16" t="str">
        <f t="shared" si="6"/>
        <v/>
      </c>
      <c r="Q481" s="41" t="e">
        <f t="shared" si="612"/>
        <v>#REF!</v>
      </c>
      <c r="R481" s="44"/>
      <c r="S481" s="44"/>
      <c r="T481" s="43"/>
      <c r="U481" s="43" t="str">
        <f t="shared" si="8"/>
        <v>No</v>
      </c>
      <c r="V481" s="25"/>
      <c r="W481" s="25"/>
      <c r="X481" s="25"/>
      <c r="Y481" s="25"/>
      <c r="Z481" s="25"/>
    </row>
    <row r="482" spans="1:26" ht="15.75" customHeight="1" x14ac:dyDescent="0.25">
      <c r="A482" s="25">
        <v>480</v>
      </c>
      <c r="B482" s="37" t="e">
        <f t="shared" ref="B482:D482" si="969">VLOOKUP($A482,#REF!,B$1,0)</f>
        <v>#REF!</v>
      </c>
      <c r="C482" s="38" t="e">
        <f t="shared" si="969"/>
        <v>#REF!</v>
      </c>
      <c r="D482" s="39" t="e">
        <f t="shared" si="969"/>
        <v>#REF!</v>
      </c>
      <c r="E482" s="16" t="e">
        <f t="shared" si="1"/>
        <v>#REF!</v>
      </c>
      <c r="F482" s="16" t="e">
        <f t="shared" ref="F482:K482" si="970">VLOOKUP($A482,#REF!,F$1,0)</f>
        <v>#REF!</v>
      </c>
      <c r="G482" s="39" t="e">
        <f t="shared" si="970"/>
        <v>#REF!</v>
      </c>
      <c r="H482" s="16" t="e">
        <f t="shared" si="970"/>
        <v>#REF!</v>
      </c>
      <c r="I482" s="16" t="e">
        <f t="shared" si="970"/>
        <v>#REF!</v>
      </c>
      <c r="J482" s="40" t="e">
        <f t="shared" si="970"/>
        <v>#REF!</v>
      </c>
      <c r="K482" s="16" t="e">
        <f t="shared" si="970"/>
        <v>#REF!</v>
      </c>
      <c r="L482" s="40" t="e">
        <f t="shared" si="609"/>
        <v>#REF!</v>
      </c>
      <c r="M482" s="16" t="e">
        <f t="shared" si="610"/>
        <v>#REF!</v>
      </c>
      <c r="N482" s="16" t="e">
        <f t="shared" si="611"/>
        <v>#REF!</v>
      </c>
      <c r="O482" s="16" t="s">
        <v>65</v>
      </c>
      <c r="P482" s="16" t="str">
        <f t="shared" si="6"/>
        <v/>
      </c>
      <c r="Q482" s="41" t="e">
        <f t="shared" si="612"/>
        <v>#REF!</v>
      </c>
      <c r="R482" s="44"/>
      <c r="S482" s="44"/>
      <c r="T482" s="43"/>
      <c r="U482" s="43" t="str">
        <f t="shared" si="8"/>
        <v>No</v>
      </c>
      <c r="V482" s="25"/>
      <c r="W482" s="25"/>
      <c r="X482" s="25"/>
      <c r="Y482" s="25"/>
      <c r="Z482" s="25"/>
    </row>
    <row r="483" spans="1:26" ht="15.75" customHeight="1" x14ac:dyDescent="0.25">
      <c r="A483" s="25">
        <v>481</v>
      </c>
      <c r="B483" s="37" t="e">
        <f t="shared" ref="B483:D483" si="971">VLOOKUP($A483,#REF!,B$1,0)</f>
        <v>#REF!</v>
      </c>
      <c r="C483" s="38" t="e">
        <f t="shared" si="971"/>
        <v>#REF!</v>
      </c>
      <c r="D483" s="39" t="e">
        <f t="shared" si="971"/>
        <v>#REF!</v>
      </c>
      <c r="E483" s="16" t="e">
        <f t="shared" si="1"/>
        <v>#REF!</v>
      </c>
      <c r="F483" s="16" t="e">
        <f t="shared" ref="F483:K483" si="972">VLOOKUP($A483,#REF!,F$1,0)</f>
        <v>#REF!</v>
      </c>
      <c r="G483" s="39" t="e">
        <f t="shared" si="972"/>
        <v>#REF!</v>
      </c>
      <c r="H483" s="16" t="e">
        <f t="shared" si="972"/>
        <v>#REF!</v>
      </c>
      <c r="I483" s="16" t="e">
        <f t="shared" si="972"/>
        <v>#REF!</v>
      </c>
      <c r="J483" s="40" t="e">
        <f t="shared" si="972"/>
        <v>#REF!</v>
      </c>
      <c r="K483" s="16" t="e">
        <f t="shared" si="972"/>
        <v>#REF!</v>
      </c>
      <c r="L483" s="40" t="e">
        <f t="shared" si="609"/>
        <v>#REF!</v>
      </c>
      <c r="M483" s="16" t="e">
        <f t="shared" si="610"/>
        <v>#REF!</v>
      </c>
      <c r="N483" s="16" t="e">
        <f t="shared" si="611"/>
        <v>#REF!</v>
      </c>
      <c r="O483" s="16" t="s">
        <v>65</v>
      </c>
      <c r="P483" s="16" t="str">
        <f t="shared" si="6"/>
        <v/>
      </c>
      <c r="Q483" s="41" t="e">
        <f t="shared" si="612"/>
        <v>#REF!</v>
      </c>
      <c r="R483" s="44"/>
      <c r="S483" s="44"/>
      <c r="T483" s="43"/>
      <c r="U483" s="43" t="str">
        <f t="shared" si="8"/>
        <v>No</v>
      </c>
      <c r="V483" s="25"/>
      <c r="W483" s="25"/>
      <c r="X483" s="25"/>
      <c r="Y483" s="25"/>
      <c r="Z483" s="25"/>
    </row>
    <row r="484" spans="1:26" ht="15.75" customHeight="1" x14ac:dyDescent="0.25">
      <c r="A484" s="25">
        <v>482</v>
      </c>
      <c r="B484" s="37" t="e">
        <f t="shared" ref="B484:D484" si="973">VLOOKUP($A484,#REF!,B$1,0)</f>
        <v>#REF!</v>
      </c>
      <c r="C484" s="38" t="e">
        <f t="shared" si="973"/>
        <v>#REF!</v>
      </c>
      <c r="D484" s="39" t="e">
        <f t="shared" si="973"/>
        <v>#REF!</v>
      </c>
      <c r="E484" s="16" t="e">
        <f t="shared" si="1"/>
        <v>#REF!</v>
      </c>
      <c r="F484" s="16" t="e">
        <f t="shared" ref="F484:K484" si="974">VLOOKUP($A484,#REF!,F$1,0)</f>
        <v>#REF!</v>
      </c>
      <c r="G484" s="39" t="e">
        <f t="shared" si="974"/>
        <v>#REF!</v>
      </c>
      <c r="H484" s="16" t="e">
        <f t="shared" si="974"/>
        <v>#REF!</v>
      </c>
      <c r="I484" s="16" t="e">
        <f t="shared" si="974"/>
        <v>#REF!</v>
      </c>
      <c r="J484" s="40" t="e">
        <f t="shared" si="974"/>
        <v>#REF!</v>
      </c>
      <c r="K484" s="16" t="e">
        <f t="shared" si="974"/>
        <v>#REF!</v>
      </c>
      <c r="L484" s="40" t="e">
        <f t="shared" si="609"/>
        <v>#REF!</v>
      </c>
      <c r="M484" s="16" t="e">
        <f t="shared" si="610"/>
        <v>#REF!</v>
      </c>
      <c r="N484" s="16" t="e">
        <f t="shared" si="611"/>
        <v>#REF!</v>
      </c>
      <c r="O484" s="16" t="s">
        <v>65</v>
      </c>
      <c r="P484" s="16" t="str">
        <f t="shared" si="6"/>
        <v/>
      </c>
      <c r="Q484" s="41" t="e">
        <f t="shared" si="612"/>
        <v>#REF!</v>
      </c>
      <c r="R484" s="44"/>
      <c r="S484" s="44"/>
      <c r="T484" s="43"/>
      <c r="U484" s="43" t="str">
        <f t="shared" si="8"/>
        <v>No</v>
      </c>
      <c r="V484" s="25"/>
      <c r="W484" s="25"/>
      <c r="X484" s="25"/>
      <c r="Y484" s="25"/>
      <c r="Z484" s="25"/>
    </row>
    <row r="485" spans="1:26" ht="15.75" customHeight="1" x14ac:dyDescent="0.25">
      <c r="A485" s="25">
        <v>483</v>
      </c>
      <c r="B485" s="37" t="e">
        <f t="shared" ref="B485:D485" si="975">VLOOKUP($A485,#REF!,B$1,0)</f>
        <v>#REF!</v>
      </c>
      <c r="C485" s="38" t="e">
        <f t="shared" si="975"/>
        <v>#REF!</v>
      </c>
      <c r="D485" s="39" t="e">
        <f t="shared" si="975"/>
        <v>#REF!</v>
      </c>
      <c r="E485" s="16" t="e">
        <f t="shared" si="1"/>
        <v>#REF!</v>
      </c>
      <c r="F485" s="16" t="e">
        <f t="shared" ref="F485:K485" si="976">VLOOKUP($A485,#REF!,F$1,0)</f>
        <v>#REF!</v>
      </c>
      <c r="G485" s="39" t="e">
        <f t="shared" si="976"/>
        <v>#REF!</v>
      </c>
      <c r="H485" s="16" t="e">
        <f t="shared" si="976"/>
        <v>#REF!</v>
      </c>
      <c r="I485" s="16" t="e">
        <f t="shared" si="976"/>
        <v>#REF!</v>
      </c>
      <c r="J485" s="40" t="e">
        <f t="shared" si="976"/>
        <v>#REF!</v>
      </c>
      <c r="K485" s="16" t="e">
        <f t="shared" si="976"/>
        <v>#REF!</v>
      </c>
      <c r="L485" s="40" t="e">
        <f t="shared" si="609"/>
        <v>#REF!</v>
      </c>
      <c r="M485" s="16" t="e">
        <f t="shared" si="610"/>
        <v>#REF!</v>
      </c>
      <c r="N485" s="16" t="e">
        <f t="shared" si="611"/>
        <v>#REF!</v>
      </c>
      <c r="O485" s="16" t="s">
        <v>65</v>
      </c>
      <c r="P485" s="16" t="str">
        <f t="shared" si="6"/>
        <v/>
      </c>
      <c r="Q485" s="41" t="e">
        <f t="shared" si="612"/>
        <v>#REF!</v>
      </c>
      <c r="R485" s="44"/>
      <c r="S485" s="44"/>
      <c r="T485" s="43"/>
      <c r="U485" s="43" t="str">
        <f t="shared" si="8"/>
        <v>No</v>
      </c>
      <c r="V485" s="25"/>
      <c r="W485" s="25"/>
      <c r="X485" s="25"/>
      <c r="Y485" s="25"/>
      <c r="Z485" s="25"/>
    </row>
    <row r="486" spans="1:26" ht="15.75" customHeight="1" x14ac:dyDescent="0.25">
      <c r="A486" s="25">
        <v>484</v>
      </c>
      <c r="B486" s="37" t="e">
        <f t="shared" ref="B486:D486" si="977">VLOOKUP($A486,#REF!,B$1,0)</f>
        <v>#REF!</v>
      </c>
      <c r="C486" s="38" t="e">
        <f t="shared" si="977"/>
        <v>#REF!</v>
      </c>
      <c r="D486" s="39" t="e">
        <f t="shared" si="977"/>
        <v>#REF!</v>
      </c>
      <c r="E486" s="16" t="e">
        <f t="shared" si="1"/>
        <v>#REF!</v>
      </c>
      <c r="F486" s="16" t="e">
        <f t="shared" ref="F486:K486" si="978">VLOOKUP($A486,#REF!,F$1,0)</f>
        <v>#REF!</v>
      </c>
      <c r="G486" s="39" t="e">
        <f t="shared" si="978"/>
        <v>#REF!</v>
      </c>
      <c r="H486" s="16" t="e">
        <f t="shared" si="978"/>
        <v>#REF!</v>
      </c>
      <c r="I486" s="16" t="e">
        <f t="shared" si="978"/>
        <v>#REF!</v>
      </c>
      <c r="J486" s="40" t="e">
        <f t="shared" si="978"/>
        <v>#REF!</v>
      </c>
      <c r="K486" s="16" t="e">
        <f t="shared" si="978"/>
        <v>#REF!</v>
      </c>
      <c r="L486" s="40" t="e">
        <f t="shared" si="609"/>
        <v>#REF!</v>
      </c>
      <c r="M486" s="16" t="e">
        <f t="shared" si="610"/>
        <v>#REF!</v>
      </c>
      <c r="N486" s="16" t="e">
        <f t="shared" si="611"/>
        <v>#REF!</v>
      </c>
      <c r="O486" s="16" t="s">
        <v>65</v>
      </c>
      <c r="P486" s="16" t="str">
        <f t="shared" si="6"/>
        <v/>
      </c>
      <c r="Q486" s="41" t="e">
        <f t="shared" si="612"/>
        <v>#REF!</v>
      </c>
      <c r="R486" s="44"/>
      <c r="S486" s="44"/>
      <c r="T486" s="43"/>
      <c r="U486" s="43" t="str">
        <f t="shared" si="8"/>
        <v>No</v>
      </c>
      <c r="V486" s="25"/>
      <c r="W486" s="25"/>
      <c r="X486" s="25"/>
      <c r="Y486" s="25"/>
      <c r="Z486" s="25"/>
    </row>
    <row r="487" spans="1:26" ht="15.75" customHeight="1" x14ac:dyDescent="0.25">
      <c r="A487" s="25">
        <v>485</v>
      </c>
      <c r="B487" s="37" t="e">
        <f t="shared" ref="B487:D487" si="979">VLOOKUP($A487,#REF!,B$1,0)</f>
        <v>#REF!</v>
      </c>
      <c r="C487" s="38" t="e">
        <f t="shared" si="979"/>
        <v>#REF!</v>
      </c>
      <c r="D487" s="39" t="e">
        <f t="shared" si="979"/>
        <v>#REF!</v>
      </c>
      <c r="E487" s="16" t="e">
        <f t="shared" si="1"/>
        <v>#REF!</v>
      </c>
      <c r="F487" s="16" t="e">
        <f t="shared" ref="F487:K487" si="980">VLOOKUP($A487,#REF!,F$1,0)</f>
        <v>#REF!</v>
      </c>
      <c r="G487" s="39" t="e">
        <f t="shared" si="980"/>
        <v>#REF!</v>
      </c>
      <c r="H487" s="16" t="e">
        <f t="shared" si="980"/>
        <v>#REF!</v>
      </c>
      <c r="I487" s="16" t="e">
        <f t="shared" si="980"/>
        <v>#REF!</v>
      </c>
      <c r="J487" s="40" t="e">
        <f t="shared" si="980"/>
        <v>#REF!</v>
      </c>
      <c r="K487" s="16" t="e">
        <f t="shared" si="980"/>
        <v>#REF!</v>
      </c>
      <c r="L487" s="40" t="e">
        <f t="shared" si="609"/>
        <v>#REF!</v>
      </c>
      <c r="M487" s="16" t="e">
        <f t="shared" si="610"/>
        <v>#REF!</v>
      </c>
      <c r="N487" s="16" t="e">
        <f t="shared" si="611"/>
        <v>#REF!</v>
      </c>
      <c r="O487" s="16" t="s">
        <v>65</v>
      </c>
      <c r="P487" s="16" t="str">
        <f t="shared" si="6"/>
        <v/>
      </c>
      <c r="Q487" s="41" t="e">
        <f t="shared" si="612"/>
        <v>#REF!</v>
      </c>
      <c r="R487" s="44"/>
      <c r="S487" s="44"/>
      <c r="T487" s="43"/>
      <c r="U487" s="43" t="str">
        <f t="shared" si="8"/>
        <v>No</v>
      </c>
      <c r="V487" s="25"/>
      <c r="W487" s="25"/>
      <c r="X487" s="25"/>
      <c r="Y487" s="25"/>
      <c r="Z487" s="25"/>
    </row>
    <row r="488" spans="1:26" ht="15.75" customHeight="1" x14ac:dyDescent="0.25">
      <c r="A488" s="25">
        <v>486</v>
      </c>
      <c r="B488" s="37" t="e">
        <f t="shared" ref="B488:D488" si="981">VLOOKUP($A488,#REF!,B$1,0)</f>
        <v>#REF!</v>
      </c>
      <c r="C488" s="38" t="e">
        <f t="shared" si="981"/>
        <v>#REF!</v>
      </c>
      <c r="D488" s="39" t="e">
        <f t="shared" si="981"/>
        <v>#REF!</v>
      </c>
      <c r="E488" s="16" t="e">
        <f t="shared" si="1"/>
        <v>#REF!</v>
      </c>
      <c r="F488" s="16" t="e">
        <f t="shared" ref="F488:K488" si="982">VLOOKUP($A488,#REF!,F$1,0)</f>
        <v>#REF!</v>
      </c>
      <c r="G488" s="39" t="e">
        <f t="shared" si="982"/>
        <v>#REF!</v>
      </c>
      <c r="H488" s="16" t="e">
        <f t="shared" si="982"/>
        <v>#REF!</v>
      </c>
      <c r="I488" s="16" t="e">
        <f t="shared" si="982"/>
        <v>#REF!</v>
      </c>
      <c r="J488" s="40" t="e">
        <f t="shared" si="982"/>
        <v>#REF!</v>
      </c>
      <c r="K488" s="16" t="e">
        <f t="shared" si="982"/>
        <v>#REF!</v>
      </c>
      <c r="L488" s="40" t="e">
        <f t="shared" si="609"/>
        <v>#REF!</v>
      </c>
      <c r="M488" s="16" t="e">
        <f t="shared" si="610"/>
        <v>#REF!</v>
      </c>
      <c r="N488" s="16" t="e">
        <f t="shared" si="611"/>
        <v>#REF!</v>
      </c>
      <c r="O488" s="16" t="s">
        <v>65</v>
      </c>
      <c r="P488" s="16" t="str">
        <f t="shared" si="6"/>
        <v/>
      </c>
      <c r="Q488" s="41" t="e">
        <f t="shared" si="612"/>
        <v>#REF!</v>
      </c>
      <c r="R488" s="44"/>
      <c r="S488" s="44"/>
      <c r="T488" s="43"/>
      <c r="U488" s="43" t="str">
        <f t="shared" si="8"/>
        <v>No</v>
      </c>
      <c r="V488" s="25"/>
      <c r="W488" s="25"/>
      <c r="X488" s="25"/>
      <c r="Y488" s="25"/>
      <c r="Z488" s="25"/>
    </row>
    <row r="489" spans="1:26" ht="15.75" customHeight="1" x14ac:dyDescent="0.25">
      <c r="A489" s="25">
        <v>487</v>
      </c>
      <c r="B489" s="37" t="e">
        <f t="shared" ref="B489:D489" si="983">VLOOKUP($A489,#REF!,B$1,0)</f>
        <v>#REF!</v>
      </c>
      <c r="C489" s="38" t="e">
        <f t="shared" si="983"/>
        <v>#REF!</v>
      </c>
      <c r="D489" s="39" t="e">
        <f t="shared" si="983"/>
        <v>#REF!</v>
      </c>
      <c r="E489" s="16" t="e">
        <f t="shared" si="1"/>
        <v>#REF!</v>
      </c>
      <c r="F489" s="16" t="e">
        <f t="shared" ref="F489:K489" si="984">VLOOKUP($A489,#REF!,F$1,0)</f>
        <v>#REF!</v>
      </c>
      <c r="G489" s="39" t="e">
        <f t="shared" si="984"/>
        <v>#REF!</v>
      </c>
      <c r="H489" s="16" t="e">
        <f t="shared" si="984"/>
        <v>#REF!</v>
      </c>
      <c r="I489" s="16" t="e">
        <f t="shared" si="984"/>
        <v>#REF!</v>
      </c>
      <c r="J489" s="40" t="e">
        <f t="shared" si="984"/>
        <v>#REF!</v>
      </c>
      <c r="K489" s="16" t="e">
        <f t="shared" si="984"/>
        <v>#REF!</v>
      </c>
      <c r="L489" s="40" t="e">
        <f t="shared" si="609"/>
        <v>#REF!</v>
      </c>
      <c r="M489" s="16" t="e">
        <f t="shared" si="610"/>
        <v>#REF!</v>
      </c>
      <c r="N489" s="16" t="e">
        <f t="shared" si="611"/>
        <v>#REF!</v>
      </c>
      <c r="O489" s="16" t="s">
        <v>65</v>
      </c>
      <c r="P489" s="16" t="str">
        <f t="shared" si="6"/>
        <v/>
      </c>
      <c r="Q489" s="41" t="e">
        <f t="shared" si="612"/>
        <v>#REF!</v>
      </c>
      <c r="R489" s="44"/>
      <c r="S489" s="44"/>
      <c r="T489" s="43"/>
      <c r="U489" s="43" t="str">
        <f t="shared" si="8"/>
        <v>No</v>
      </c>
      <c r="V489" s="25"/>
      <c r="W489" s="25"/>
      <c r="X489" s="25"/>
      <c r="Y489" s="25"/>
      <c r="Z489" s="25"/>
    </row>
    <row r="490" spans="1:26" ht="15.75" customHeight="1" x14ac:dyDescent="0.25">
      <c r="A490" s="25">
        <v>488</v>
      </c>
      <c r="B490" s="37" t="e">
        <f t="shared" ref="B490:D490" si="985">VLOOKUP($A490,#REF!,B$1,0)</f>
        <v>#REF!</v>
      </c>
      <c r="C490" s="38" t="e">
        <f t="shared" si="985"/>
        <v>#REF!</v>
      </c>
      <c r="D490" s="39" t="e">
        <f t="shared" si="985"/>
        <v>#REF!</v>
      </c>
      <c r="E490" s="16" t="e">
        <f t="shared" si="1"/>
        <v>#REF!</v>
      </c>
      <c r="F490" s="16" t="e">
        <f t="shared" ref="F490:K490" si="986">VLOOKUP($A490,#REF!,F$1,0)</f>
        <v>#REF!</v>
      </c>
      <c r="G490" s="39" t="e">
        <f t="shared" si="986"/>
        <v>#REF!</v>
      </c>
      <c r="H490" s="16" t="e">
        <f t="shared" si="986"/>
        <v>#REF!</v>
      </c>
      <c r="I490" s="16" t="e">
        <f t="shared" si="986"/>
        <v>#REF!</v>
      </c>
      <c r="J490" s="40" t="e">
        <f t="shared" si="986"/>
        <v>#REF!</v>
      </c>
      <c r="K490" s="16" t="e">
        <f t="shared" si="986"/>
        <v>#REF!</v>
      </c>
      <c r="L490" s="40" t="e">
        <f t="shared" si="609"/>
        <v>#REF!</v>
      </c>
      <c r="M490" s="16" t="e">
        <f t="shared" si="610"/>
        <v>#REF!</v>
      </c>
      <c r="N490" s="16" t="e">
        <f t="shared" si="611"/>
        <v>#REF!</v>
      </c>
      <c r="O490" s="16" t="s">
        <v>65</v>
      </c>
      <c r="P490" s="16" t="str">
        <f t="shared" si="6"/>
        <v/>
      </c>
      <c r="Q490" s="41" t="e">
        <f t="shared" si="612"/>
        <v>#REF!</v>
      </c>
      <c r="R490" s="44"/>
      <c r="S490" s="44"/>
      <c r="T490" s="43"/>
      <c r="U490" s="43" t="str">
        <f t="shared" si="8"/>
        <v>No</v>
      </c>
      <c r="V490" s="25"/>
      <c r="W490" s="25"/>
      <c r="X490" s="25"/>
      <c r="Y490" s="25"/>
      <c r="Z490" s="25"/>
    </row>
    <row r="491" spans="1:26" ht="15.75" customHeight="1" x14ac:dyDescent="0.25">
      <c r="A491" s="25">
        <v>489</v>
      </c>
      <c r="B491" s="37" t="e">
        <f t="shared" ref="B491:D491" si="987">VLOOKUP($A491,#REF!,B$1,0)</f>
        <v>#REF!</v>
      </c>
      <c r="C491" s="38" t="e">
        <f t="shared" si="987"/>
        <v>#REF!</v>
      </c>
      <c r="D491" s="39" t="e">
        <f t="shared" si="987"/>
        <v>#REF!</v>
      </c>
      <c r="E491" s="16" t="e">
        <f t="shared" si="1"/>
        <v>#REF!</v>
      </c>
      <c r="F491" s="16" t="e">
        <f t="shared" ref="F491:K491" si="988">VLOOKUP($A491,#REF!,F$1,0)</f>
        <v>#REF!</v>
      </c>
      <c r="G491" s="39" t="e">
        <f t="shared" si="988"/>
        <v>#REF!</v>
      </c>
      <c r="H491" s="16" t="e">
        <f t="shared" si="988"/>
        <v>#REF!</v>
      </c>
      <c r="I491" s="16" t="e">
        <f t="shared" si="988"/>
        <v>#REF!</v>
      </c>
      <c r="J491" s="40" t="e">
        <f t="shared" si="988"/>
        <v>#REF!</v>
      </c>
      <c r="K491" s="16" t="e">
        <f t="shared" si="988"/>
        <v>#REF!</v>
      </c>
      <c r="L491" s="40" t="e">
        <f t="shared" si="609"/>
        <v>#REF!</v>
      </c>
      <c r="M491" s="16" t="e">
        <f t="shared" si="610"/>
        <v>#REF!</v>
      </c>
      <c r="N491" s="16" t="e">
        <f t="shared" si="611"/>
        <v>#REF!</v>
      </c>
      <c r="O491" s="16" t="s">
        <v>65</v>
      </c>
      <c r="P491" s="16" t="str">
        <f t="shared" si="6"/>
        <v/>
      </c>
      <c r="Q491" s="41" t="e">
        <f t="shared" si="612"/>
        <v>#REF!</v>
      </c>
      <c r="R491" s="44"/>
      <c r="S491" s="44"/>
      <c r="T491" s="43"/>
      <c r="U491" s="43" t="str">
        <f t="shared" si="8"/>
        <v>No</v>
      </c>
      <c r="V491" s="25"/>
      <c r="W491" s="25"/>
      <c r="X491" s="25"/>
      <c r="Y491" s="25"/>
      <c r="Z491" s="25"/>
    </row>
    <row r="492" spans="1:26" ht="15.75" customHeight="1" x14ac:dyDescent="0.25">
      <c r="A492" s="25">
        <v>490</v>
      </c>
      <c r="B492" s="37" t="e">
        <f t="shared" ref="B492:D492" si="989">VLOOKUP($A492,#REF!,B$1,0)</f>
        <v>#REF!</v>
      </c>
      <c r="C492" s="38" t="e">
        <f t="shared" si="989"/>
        <v>#REF!</v>
      </c>
      <c r="D492" s="39" t="e">
        <f t="shared" si="989"/>
        <v>#REF!</v>
      </c>
      <c r="E492" s="16" t="e">
        <f t="shared" si="1"/>
        <v>#REF!</v>
      </c>
      <c r="F492" s="16" t="e">
        <f t="shared" ref="F492:K492" si="990">VLOOKUP($A492,#REF!,F$1,0)</f>
        <v>#REF!</v>
      </c>
      <c r="G492" s="39" t="e">
        <f t="shared" si="990"/>
        <v>#REF!</v>
      </c>
      <c r="H492" s="16" t="e">
        <f t="shared" si="990"/>
        <v>#REF!</v>
      </c>
      <c r="I492" s="16" t="e">
        <f t="shared" si="990"/>
        <v>#REF!</v>
      </c>
      <c r="J492" s="40" t="e">
        <f t="shared" si="990"/>
        <v>#REF!</v>
      </c>
      <c r="K492" s="16" t="e">
        <f t="shared" si="990"/>
        <v>#REF!</v>
      </c>
      <c r="L492" s="40" t="e">
        <f t="shared" si="609"/>
        <v>#REF!</v>
      </c>
      <c r="M492" s="16" t="e">
        <f t="shared" si="610"/>
        <v>#REF!</v>
      </c>
      <c r="N492" s="16" t="e">
        <f t="shared" si="611"/>
        <v>#REF!</v>
      </c>
      <c r="O492" s="16" t="s">
        <v>65</v>
      </c>
      <c r="P492" s="16" t="str">
        <f t="shared" si="6"/>
        <v/>
      </c>
      <c r="Q492" s="41" t="e">
        <f t="shared" si="612"/>
        <v>#REF!</v>
      </c>
      <c r="R492" s="44"/>
      <c r="S492" s="44"/>
      <c r="T492" s="43"/>
      <c r="U492" s="43" t="str">
        <f t="shared" si="8"/>
        <v>No</v>
      </c>
      <c r="V492" s="25"/>
      <c r="W492" s="25"/>
      <c r="X492" s="25"/>
      <c r="Y492" s="25"/>
      <c r="Z492" s="25"/>
    </row>
    <row r="493" spans="1:26" ht="15.75" customHeight="1" x14ac:dyDescent="0.25">
      <c r="A493" s="25">
        <v>491</v>
      </c>
      <c r="B493" s="37" t="e">
        <f t="shared" ref="B493:D493" si="991">VLOOKUP($A493,#REF!,B$1,0)</f>
        <v>#REF!</v>
      </c>
      <c r="C493" s="38" t="e">
        <f t="shared" si="991"/>
        <v>#REF!</v>
      </c>
      <c r="D493" s="39" t="e">
        <f t="shared" si="991"/>
        <v>#REF!</v>
      </c>
      <c r="E493" s="16" t="e">
        <f t="shared" si="1"/>
        <v>#REF!</v>
      </c>
      <c r="F493" s="16" t="e">
        <f t="shared" ref="F493:K493" si="992">VLOOKUP($A493,#REF!,F$1,0)</f>
        <v>#REF!</v>
      </c>
      <c r="G493" s="39" t="e">
        <f t="shared" si="992"/>
        <v>#REF!</v>
      </c>
      <c r="H493" s="16" t="e">
        <f t="shared" si="992"/>
        <v>#REF!</v>
      </c>
      <c r="I493" s="16" t="e">
        <f t="shared" si="992"/>
        <v>#REF!</v>
      </c>
      <c r="J493" s="40" t="e">
        <f t="shared" si="992"/>
        <v>#REF!</v>
      </c>
      <c r="K493" s="16" t="e">
        <f t="shared" si="992"/>
        <v>#REF!</v>
      </c>
      <c r="L493" s="40" t="e">
        <f t="shared" si="609"/>
        <v>#REF!</v>
      </c>
      <c r="M493" s="16" t="e">
        <f t="shared" si="610"/>
        <v>#REF!</v>
      </c>
      <c r="N493" s="16" t="e">
        <f t="shared" si="611"/>
        <v>#REF!</v>
      </c>
      <c r="O493" s="16" t="s">
        <v>65</v>
      </c>
      <c r="P493" s="16" t="str">
        <f t="shared" si="6"/>
        <v/>
      </c>
      <c r="Q493" s="41" t="e">
        <f t="shared" si="612"/>
        <v>#REF!</v>
      </c>
      <c r="R493" s="44"/>
      <c r="S493" s="44"/>
      <c r="T493" s="43"/>
      <c r="U493" s="43" t="str">
        <f t="shared" si="8"/>
        <v>No</v>
      </c>
      <c r="V493" s="25"/>
      <c r="W493" s="25"/>
      <c r="X493" s="25"/>
      <c r="Y493" s="25"/>
      <c r="Z493" s="25"/>
    </row>
    <row r="494" spans="1:26" ht="15.75" customHeight="1" x14ac:dyDescent="0.25">
      <c r="A494" s="25">
        <v>492</v>
      </c>
      <c r="B494" s="37" t="e">
        <f t="shared" ref="B494:D494" si="993">VLOOKUP($A494,#REF!,B$1,0)</f>
        <v>#REF!</v>
      </c>
      <c r="C494" s="38" t="e">
        <f t="shared" si="993"/>
        <v>#REF!</v>
      </c>
      <c r="D494" s="39" t="e">
        <f t="shared" si="993"/>
        <v>#REF!</v>
      </c>
      <c r="E494" s="16" t="e">
        <f t="shared" si="1"/>
        <v>#REF!</v>
      </c>
      <c r="F494" s="16" t="e">
        <f t="shared" ref="F494:K494" si="994">VLOOKUP($A494,#REF!,F$1,0)</f>
        <v>#REF!</v>
      </c>
      <c r="G494" s="39" t="e">
        <f t="shared" si="994"/>
        <v>#REF!</v>
      </c>
      <c r="H494" s="16" t="e">
        <f t="shared" si="994"/>
        <v>#REF!</v>
      </c>
      <c r="I494" s="16" t="e">
        <f t="shared" si="994"/>
        <v>#REF!</v>
      </c>
      <c r="J494" s="40" t="e">
        <f t="shared" si="994"/>
        <v>#REF!</v>
      </c>
      <c r="K494" s="16" t="e">
        <f t="shared" si="994"/>
        <v>#REF!</v>
      </c>
      <c r="L494" s="40" t="e">
        <f t="shared" si="609"/>
        <v>#REF!</v>
      </c>
      <c r="M494" s="16" t="e">
        <f t="shared" si="610"/>
        <v>#REF!</v>
      </c>
      <c r="N494" s="16" t="e">
        <f t="shared" si="611"/>
        <v>#REF!</v>
      </c>
      <c r="O494" s="16" t="s">
        <v>65</v>
      </c>
      <c r="P494" s="16" t="str">
        <f t="shared" si="6"/>
        <v/>
      </c>
      <c r="Q494" s="41" t="e">
        <f t="shared" si="612"/>
        <v>#REF!</v>
      </c>
      <c r="R494" s="44"/>
      <c r="S494" s="44"/>
      <c r="T494" s="43"/>
      <c r="U494" s="43" t="str">
        <f t="shared" si="8"/>
        <v>No</v>
      </c>
      <c r="V494" s="25"/>
      <c r="W494" s="25"/>
      <c r="X494" s="25"/>
      <c r="Y494" s="25"/>
      <c r="Z494" s="25"/>
    </row>
    <row r="495" spans="1:26" ht="15.75" customHeight="1" x14ac:dyDescent="0.25">
      <c r="A495" s="25">
        <v>493</v>
      </c>
      <c r="B495" s="37" t="e">
        <f t="shared" ref="B495:D495" si="995">VLOOKUP($A495,#REF!,B$1,0)</f>
        <v>#REF!</v>
      </c>
      <c r="C495" s="38" t="e">
        <f t="shared" si="995"/>
        <v>#REF!</v>
      </c>
      <c r="D495" s="39" t="e">
        <f t="shared" si="995"/>
        <v>#REF!</v>
      </c>
      <c r="E495" s="16" t="e">
        <f t="shared" si="1"/>
        <v>#REF!</v>
      </c>
      <c r="F495" s="16" t="e">
        <f t="shared" ref="F495:K495" si="996">VLOOKUP($A495,#REF!,F$1,0)</f>
        <v>#REF!</v>
      </c>
      <c r="G495" s="39" t="e">
        <f t="shared" si="996"/>
        <v>#REF!</v>
      </c>
      <c r="H495" s="16" t="e">
        <f t="shared" si="996"/>
        <v>#REF!</v>
      </c>
      <c r="I495" s="16" t="e">
        <f t="shared" si="996"/>
        <v>#REF!</v>
      </c>
      <c r="J495" s="40" t="e">
        <f t="shared" si="996"/>
        <v>#REF!</v>
      </c>
      <c r="K495" s="16" t="e">
        <f t="shared" si="996"/>
        <v>#REF!</v>
      </c>
      <c r="L495" s="40" t="e">
        <f t="shared" si="609"/>
        <v>#REF!</v>
      </c>
      <c r="M495" s="16" t="e">
        <f t="shared" si="610"/>
        <v>#REF!</v>
      </c>
      <c r="N495" s="16" t="e">
        <f t="shared" si="611"/>
        <v>#REF!</v>
      </c>
      <c r="O495" s="16" t="s">
        <v>65</v>
      </c>
      <c r="P495" s="16" t="str">
        <f t="shared" si="6"/>
        <v/>
      </c>
      <c r="Q495" s="41" t="e">
        <f t="shared" si="612"/>
        <v>#REF!</v>
      </c>
      <c r="R495" s="44"/>
      <c r="S495" s="44"/>
      <c r="T495" s="43"/>
      <c r="U495" s="43" t="str">
        <f t="shared" si="8"/>
        <v>No</v>
      </c>
      <c r="V495" s="25"/>
      <c r="W495" s="25"/>
      <c r="X495" s="25"/>
      <c r="Y495" s="25"/>
      <c r="Z495" s="25"/>
    </row>
    <row r="496" spans="1:26" ht="15.75" customHeight="1" x14ac:dyDescent="0.25">
      <c r="A496" s="25">
        <v>494</v>
      </c>
      <c r="B496" s="37" t="e">
        <f t="shared" ref="B496:D496" si="997">VLOOKUP($A496,#REF!,B$1,0)</f>
        <v>#REF!</v>
      </c>
      <c r="C496" s="38" t="e">
        <f t="shared" si="997"/>
        <v>#REF!</v>
      </c>
      <c r="D496" s="39" t="e">
        <f t="shared" si="997"/>
        <v>#REF!</v>
      </c>
      <c r="E496" s="16" t="e">
        <f t="shared" si="1"/>
        <v>#REF!</v>
      </c>
      <c r="F496" s="16" t="e">
        <f t="shared" ref="F496:K496" si="998">VLOOKUP($A496,#REF!,F$1,0)</f>
        <v>#REF!</v>
      </c>
      <c r="G496" s="39" t="e">
        <f t="shared" si="998"/>
        <v>#REF!</v>
      </c>
      <c r="H496" s="16" t="e">
        <f t="shared" si="998"/>
        <v>#REF!</v>
      </c>
      <c r="I496" s="16" t="e">
        <f t="shared" si="998"/>
        <v>#REF!</v>
      </c>
      <c r="J496" s="40" t="e">
        <f t="shared" si="998"/>
        <v>#REF!</v>
      </c>
      <c r="K496" s="16" t="e">
        <f t="shared" si="998"/>
        <v>#REF!</v>
      </c>
      <c r="L496" s="40" t="e">
        <f t="shared" si="609"/>
        <v>#REF!</v>
      </c>
      <c r="M496" s="16" t="e">
        <f t="shared" si="610"/>
        <v>#REF!</v>
      </c>
      <c r="N496" s="16" t="e">
        <f t="shared" si="611"/>
        <v>#REF!</v>
      </c>
      <c r="O496" s="16" t="s">
        <v>65</v>
      </c>
      <c r="P496" s="16" t="str">
        <f t="shared" si="6"/>
        <v/>
      </c>
      <c r="Q496" s="41" t="e">
        <f t="shared" si="612"/>
        <v>#REF!</v>
      </c>
      <c r="R496" s="44"/>
      <c r="S496" s="44"/>
      <c r="T496" s="43"/>
      <c r="U496" s="43" t="str">
        <f t="shared" si="8"/>
        <v>No</v>
      </c>
      <c r="V496" s="25"/>
      <c r="W496" s="25"/>
      <c r="X496" s="25"/>
      <c r="Y496" s="25"/>
      <c r="Z496" s="25"/>
    </row>
    <row r="497" spans="1:26" ht="15.75" customHeight="1" x14ac:dyDescent="0.25">
      <c r="A497" s="25">
        <v>495</v>
      </c>
      <c r="B497" s="37" t="e">
        <f t="shared" ref="B497:D497" si="999">VLOOKUP($A497,#REF!,B$1,0)</f>
        <v>#REF!</v>
      </c>
      <c r="C497" s="38" t="e">
        <f t="shared" si="999"/>
        <v>#REF!</v>
      </c>
      <c r="D497" s="39" t="e">
        <f t="shared" si="999"/>
        <v>#REF!</v>
      </c>
      <c r="E497" s="16" t="e">
        <f t="shared" si="1"/>
        <v>#REF!</v>
      </c>
      <c r="F497" s="16" t="e">
        <f t="shared" ref="F497:K497" si="1000">VLOOKUP($A497,#REF!,F$1,0)</f>
        <v>#REF!</v>
      </c>
      <c r="G497" s="39" t="e">
        <f t="shared" si="1000"/>
        <v>#REF!</v>
      </c>
      <c r="H497" s="16" t="e">
        <f t="shared" si="1000"/>
        <v>#REF!</v>
      </c>
      <c r="I497" s="16" t="e">
        <f t="shared" si="1000"/>
        <v>#REF!</v>
      </c>
      <c r="J497" s="40" t="e">
        <f t="shared" si="1000"/>
        <v>#REF!</v>
      </c>
      <c r="K497" s="16" t="e">
        <f t="shared" si="1000"/>
        <v>#REF!</v>
      </c>
      <c r="L497" s="40" t="e">
        <f t="shared" si="609"/>
        <v>#REF!</v>
      </c>
      <c r="M497" s="16" t="e">
        <f t="shared" si="610"/>
        <v>#REF!</v>
      </c>
      <c r="N497" s="16" t="e">
        <f t="shared" si="611"/>
        <v>#REF!</v>
      </c>
      <c r="O497" s="16" t="s">
        <v>65</v>
      </c>
      <c r="P497" s="16" t="str">
        <f t="shared" si="6"/>
        <v/>
      </c>
      <c r="Q497" s="41" t="e">
        <f t="shared" si="612"/>
        <v>#REF!</v>
      </c>
      <c r="R497" s="44"/>
      <c r="S497" s="44"/>
      <c r="T497" s="43"/>
      <c r="U497" s="43" t="str">
        <f t="shared" si="8"/>
        <v>No</v>
      </c>
      <c r="V497" s="25"/>
      <c r="W497" s="25"/>
      <c r="X497" s="25"/>
      <c r="Y497" s="25"/>
      <c r="Z497" s="25"/>
    </row>
    <row r="498" spans="1:26" ht="15.75" customHeight="1" x14ac:dyDescent="0.25">
      <c r="A498" s="25">
        <v>496</v>
      </c>
      <c r="B498" s="37" t="e">
        <f t="shared" ref="B498:D498" si="1001">VLOOKUP($A498,#REF!,B$1,0)</f>
        <v>#REF!</v>
      </c>
      <c r="C498" s="38" t="e">
        <f t="shared" si="1001"/>
        <v>#REF!</v>
      </c>
      <c r="D498" s="39" t="e">
        <f t="shared" si="1001"/>
        <v>#REF!</v>
      </c>
      <c r="E498" s="16" t="e">
        <f t="shared" si="1"/>
        <v>#REF!</v>
      </c>
      <c r="F498" s="16" t="e">
        <f t="shared" ref="F498:K498" si="1002">VLOOKUP($A498,#REF!,F$1,0)</f>
        <v>#REF!</v>
      </c>
      <c r="G498" s="39" t="e">
        <f t="shared" si="1002"/>
        <v>#REF!</v>
      </c>
      <c r="H498" s="16" t="e">
        <f t="shared" si="1002"/>
        <v>#REF!</v>
      </c>
      <c r="I498" s="16" t="e">
        <f t="shared" si="1002"/>
        <v>#REF!</v>
      </c>
      <c r="J498" s="40" t="e">
        <f t="shared" si="1002"/>
        <v>#REF!</v>
      </c>
      <c r="K498" s="16" t="e">
        <f t="shared" si="1002"/>
        <v>#REF!</v>
      </c>
      <c r="L498" s="40" t="e">
        <f t="shared" si="609"/>
        <v>#REF!</v>
      </c>
      <c r="M498" s="16" t="e">
        <f t="shared" si="610"/>
        <v>#REF!</v>
      </c>
      <c r="N498" s="16" t="e">
        <f t="shared" si="611"/>
        <v>#REF!</v>
      </c>
      <c r="O498" s="16" t="s">
        <v>65</v>
      </c>
      <c r="P498" s="16" t="str">
        <f t="shared" si="6"/>
        <v/>
      </c>
      <c r="Q498" s="41" t="e">
        <f t="shared" si="612"/>
        <v>#REF!</v>
      </c>
      <c r="R498" s="44"/>
      <c r="S498" s="44"/>
      <c r="T498" s="43"/>
      <c r="U498" s="43" t="str">
        <f t="shared" si="8"/>
        <v>No</v>
      </c>
      <c r="V498" s="25"/>
      <c r="W498" s="25"/>
      <c r="X498" s="25"/>
      <c r="Y498" s="25"/>
      <c r="Z498" s="25"/>
    </row>
    <row r="499" spans="1:26" ht="15.75" customHeight="1" x14ac:dyDescent="0.25">
      <c r="A499" s="25">
        <v>497</v>
      </c>
      <c r="B499" s="37" t="e">
        <f t="shared" ref="B499:D499" si="1003">VLOOKUP($A499,#REF!,B$1,0)</f>
        <v>#REF!</v>
      </c>
      <c r="C499" s="38" t="e">
        <f t="shared" si="1003"/>
        <v>#REF!</v>
      </c>
      <c r="D499" s="39" t="e">
        <f t="shared" si="1003"/>
        <v>#REF!</v>
      </c>
      <c r="E499" s="16" t="e">
        <f t="shared" si="1"/>
        <v>#REF!</v>
      </c>
      <c r="F499" s="16" t="e">
        <f t="shared" ref="F499:K499" si="1004">VLOOKUP($A499,#REF!,F$1,0)</f>
        <v>#REF!</v>
      </c>
      <c r="G499" s="39" t="e">
        <f t="shared" si="1004"/>
        <v>#REF!</v>
      </c>
      <c r="H499" s="16" t="e">
        <f t="shared" si="1004"/>
        <v>#REF!</v>
      </c>
      <c r="I499" s="16" t="e">
        <f t="shared" si="1004"/>
        <v>#REF!</v>
      </c>
      <c r="J499" s="40" t="e">
        <f t="shared" si="1004"/>
        <v>#REF!</v>
      </c>
      <c r="K499" s="16" t="e">
        <f t="shared" si="1004"/>
        <v>#REF!</v>
      </c>
      <c r="L499" s="40" t="e">
        <f t="shared" si="609"/>
        <v>#REF!</v>
      </c>
      <c r="M499" s="16" t="e">
        <f t="shared" si="610"/>
        <v>#REF!</v>
      </c>
      <c r="N499" s="16" t="e">
        <f t="shared" si="611"/>
        <v>#REF!</v>
      </c>
      <c r="O499" s="16" t="s">
        <v>65</v>
      </c>
      <c r="P499" s="16" t="str">
        <f t="shared" si="6"/>
        <v/>
      </c>
      <c r="Q499" s="41" t="e">
        <f t="shared" si="612"/>
        <v>#REF!</v>
      </c>
      <c r="R499" s="44"/>
      <c r="S499" s="44"/>
      <c r="T499" s="43"/>
      <c r="U499" s="43" t="str">
        <f t="shared" si="8"/>
        <v>No</v>
      </c>
      <c r="V499" s="25"/>
      <c r="W499" s="25"/>
      <c r="X499" s="25"/>
      <c r="Y499" s="25"/>
      <c r="Z499" s="25"/>
    </row>
    <row r="500" spans="1:26" ht="15.75" customHeight="1" x14ac:dyDescent="0.25">
      <c r="A500" s="25">
        <v>498</v>
      </c>
      <c r="B500" s="37" t="e">
        <f t="shared" ref="B500:D500" si="1005">VLOOKUP($A500,#REF!,B$1,0)</f>
        <v>#REF!</v>
      </c>
      <c r="C500" s="38" t="e">
        <f t="shared" si="1005"/>
        <v>#REF!</v>
      </c>
      <c r="D500" s="39" t="e">
        <f t="shared" si="1005"/>
        <v>#REF!</v>
      </c>
      <c r="E500" s="16" t="e">
        <f t="shared" si="1"/>
        <v>#REF!</v>
      </c>
      <c r="F500" s="16" t="e">
        <f t="shared" ref="F500:K500" si="1006">VLOOKUP($A500,#REF!,F$1,0)</f>
        <v>#REF!</v>
      </c>
      <c r="G500" s="39" t="e">
        <f t="shared" si="1006"/>
        <v>#REF!</v>
      </c>
      <c r="H500" s="16" t="e">
        <f t="shared" si="1006"/>
        <v>#REF!</v>
      </c>
      <c r="I500" s="16" t="e">
        <f t="shared" si="1006"/>
        <v>#REF!</v>
      </c>
      <c r="J500" s="40" t="e">
        <f t="shared" si="1006"/>
        <v>#REF!</v>
      </c>
      <c r="K500" s="16" t="e">
        <f t="shared" si="1006"/>
        <v>#REF!</v>
      </c>
      <c r="L500" s="40" t="e">
        <f t="shared" si="609"/>
        <v>#REF!</v>
      </c>
      <c r="M500" s="16" t="e">
        <f t="shared" si="610"/>
        <v>#REF!</v>
      </c>
      <c r="N500" s="16" t="e">
        <f t="shared" si="611"/>
        <v>#REF!</v>
      </c>
      <c r="O500" s="16" t="s">
        <v>65</v>
      </c>
      <c r="P500" s="16" t="str">
        <f t="shared" si="6"/>
        <v/>
      </c>
      <c r="Q500" s="41" t="e">
        <f t="shared" si="612"/>
        <v>#REF!</v>
      </c>
      <c r="R500" s="44"/>
      <c r="S500" s="44"/>
      <c r="T500" s="43"/>
      <c r="U500" s="43" t="str">
        <f t="shared" si="8"/>
        <v>No</v>
      </c>
      <c r="V500" s="25"/>
      <c r="W500" s="25"/>
      <c r="X500" s="25"/>
      <c r="Y500" s="25"/>
      <c r="Z500" s="25"/>
    </row>
    <row r="501" spans="1:26" ht="15.75" customHeight="1" x14ac:dyDescent="0.25">
      <c r="A501" s="25">
        <v>499</v>
      </c>
      <c r="B501" s="37" t="e">
        <f t="shared" ref="B501:D501" si="1007">VLOOKUP($A501,#REF!,B$1,0)</f>
        <v>#REF!</v>
      </c>
      <c r="C501" s="38" t="e">
        <f t="shared" si="1007"/>
        <v>#REF!</v>
      </c>
      <c r="D501" s="39" t="e">
        <f t="shared" si="1007"/>
        <v>#REF!</v>
      </c>
      <c r="E501" s="16" t="e">
        <f t="shared" si="1"/>
        <v>#REF!</v>
      </c>
      <c r="F501" s="16" t="e">
        <f t="shared" ref="F501:K501" si="1008">VLOOKUP($A501,#REF!,F$1,0)</f>
        <v>#REF!</v>
      </c>
      <c r="G501" s="39" t="e">
        <f t="shared" si="1008"/>
        <v>#REF!</v>
      </c>
      <c r="H501" s="16" t="e">
        <f t="shared" si="1008"/>
        <v>#REF!</v>
      </c>
      <c r="I501" s="16" t="e">
        <f t="shared" si="1008"/>
        <v>#REF!</v>
      </c>
      <c r="J501" s="40" t="e">
        <f t="shared" si="1008"/>
        <v>#REF!</v>
      </c>
      <c r="K501" s="16" t="e">
        <f t="shared" si="1008"/>
        <v>#REF!</v>
      </c>
      <c r="L501" s="40" t="e">
        <f t="shared" si="609"/>
        <v>#REF!</v>
      </c>
      <c r="M501" s="16" t="e">
        <f t="shared" si="610"/>
        <v>#REF!</v>
      </c>
      <c r="N501" s="16" t="e">
        <f t="shared" si="611"/>
        <v>#REF!</v>
      </c>
      <c r="O501" s="16" t="s">
        <v>65</v>
      </c>
      <c r="P501" s="16" t="str">
        <f t="shared" si="6"/>
        <v/>
      </c>
      <c r="Q501" s="41" t="e">
        <f t="shared" si="612"/>
        <v>#REF!</v>
      </c>
      <c r="R501" s="44"/>
      <c r="S501" s="44"/>
      <c r="T501" s="43"/>
      <c r="U501" s="43" t="str">
        <f t="shared" si="8"/>
        <v>No</v>
      </c>
      <c r="V501" s="25"/>
      <c r="W501" s="25"/>
      <c r="X501" s="25"/>
      <c r="Y501" s="25"/>
      <c r="Z501" s="25"/>
    </row>
    <row r="502" spans="1:26" ht="15.75" customHeight="1" x14ac:dyDescent="0.25">
      <c r="A502" s="25">
        <v>500</v>
      </c>
      <c r="B502" s="37" t="e">
        <f t="shared" ref="B502:D502" si="1009">VLOOKUP($A502,#REF!,B$1,0)</f>
        <v>#REF!</v>
      </c>
      <c r="C502" s="38" t="e">
        <f t="shared" si="1009"/>
        <v>#REF!</v>
      </c>
      <c r="D502" s="39" t="e">
        <f t="shared" si="1009"/>
        <v>#REF!</v>
      </c>
      <c r="E502" s="16" t="e">
        <f t="shared" si="1"/>
        <v>#REF!</v>
      </c>
      <c r="F502" s="16" t="e">
        <f t="shared" ref="F502:K502" si="1010">VLOOKUP($A502,#REF!,F$1,0)</f>
        <v>#REF!</v>
      </c>
      <c r="G502" s="39" t="e">
        <f t="shared" si="1010"/>
        <v>#REF!</v>
      </c>
      <c r="H502" s="16" t="e">
        <f t="shared" si="1010"/>
        <v>#REF!</v>
      </c>
      <c r="I502" s="16" t="e">
        <f t="shared" si="1010"/>
        <v>#REF!</v>
      </c>
      <c r="J502" s="40" t="e">
        <f t="shared" si="1010"/>
        <v>#REF!</v>
      </c>
      <c r="K502" s="16" t="e">
        <f t="shared" si="1010"/>
        <v>#REF!</v>
      </c>
      <c r="L502" s="40" t="e">
        <f t="shared" si="609"/>
        <v>#REF!</v>
      </c>
      <c r="M502" s="16" t="e">
        <f t="shared" si="610"/>
        <v>#REF!</v>
      </c>
      <c r="N502" s="16" t="e">
        <f t="shared" si="611"/>
        <v>#REF!</v>
      </c>
      <c r="O502" s="16" t="s">
        <v>65</v>
      </c>
      <c r="P502" s="16" t="str">
        <f t="shared" si="6"/>
        <v/>
      </c>
      <c r="Q502" s="41" t="e">
        <f t="shared" si="612"/>
        <v>#REF!</v>
      </c>
      <c r="R502" s="44"/>
      <c r="S502" s="44"/>
      <c r="T502" s="43"/>
      <c r="U502" s="43" t="str">
        <f t="shared" si="8"/>
        <v>No</v>
      </c>
      <c r="V502" s="25"/>
      <c r="W502" s="25"/>
      <c r="X502" s="25"/>
      <c r="Y502" s="25"/>
      <c r="Z502" s="25"/>
    </row>
    <row r="503" spans="1:26" ht="15.75" customHeight="1" x14ac:dyDescent="0.25">
      <c r="A503" s="25">
        <v>501</v>
      </c>
      <c r="B503" s="37" t="e">
        <f t="shared" ref="B503:D503" si="1011">VLOOKUP($A503,#REF!,B$1,0)</f>
        <v>#REF!</v>
      </c>
      <c r="C503" s="38" t="e">
        <f t="shared" si="1011"/>
        <v>#REF!</v>
      </c>
      <c r="D503" s="39" t="e">
        <f t="shared" si="1011"/>
        <v>#REF!</v>
      </c>
      <c r="E503" s="16" t="e">
        <f t="shared" si="1"/>
        <v>#REF!</v>
      </c>
      <c r="F503" s="16" t="e">
        <f t="shared" ref="F503:K503" si="1012">VLOOKUP($A503,#REF!,F$1,0)</f>
        <v>#REF!</v>
      </c>
      <c r="G503" s="39" t="e">
        <f t="shared" si="1012"/>
        <v>#REF!</v>
      </c>
      <c r="H503" s="16" t="e">
        <f t="shared" si="1012"/>
        <v>#REF!</v>
      </c>
      <c r="I503" s="16" t="e">
        <f t="shared" si="1012"/>
        <v>#REF!</v>
      </c>
      <c r="J503" s="40" t="e">
        <f t="shared" si="1012"/>
        <v>#REF!</v>
      </c>
      <c r="K503" s="16" t="e">
        <f t="shared" si="1012"/>
        <v>#REF!</v>
      </c>
      <c r="L503" s="40" t="e">
        <f t="shared" si="609"/>
        <v>#REF!</v>
      </c>
      <c r="M503" s="16" t="e">
        <f t="shared" si="610"/>
        <v>#REF!</v>
      </c>
      <c r="N503" s="16" t="e">
        <f t="shared" si="611"/>
        <v>#REF!</v>
      </c>
      <c r="O503" s="16" t="s">
        <v>65</v>
      </c>
      <c r="P503" s="16" t="str">
        <f t="shared" si="6"/>
        <v/>
      </c>
      <c r="Q503" s="41" t="e">
        <f t="shared" si="612"/>
        <v>#REF!</v>
      </c>
      <c r="R503" s="44"/>
      <c r="S503" s="44"/>
      <c r="T503" s="43"/>
      <c r="U503" s="43" t="str">
        <f t="shared" si="8"/>
        <v>No</v>
      </c>
      <c r="V503" s="25"/>
      <c r="W503" s="25"/>
      <c r="X503" s="25"/>
      <c r="Y503" s="25"/>
      <c r="Z503" s="25"/>
    </row>
    <row r="504" spans="1:26" ht="15.75" customHeight="1" x14ac:dyDescent="0.25">
      <c r="A504" s="25">
        <v>502</v>
      </c>
      <c r="B504" s="37" t="e">
        <f t="shared" ref="B504:D504" si="1013">VLOOKUP($A504,#REF!,B$1,0)</f>
        <v>#REF!</v>
      </c>
      <c r="C504" s="38" t="e">
        <f t="shared" si="1013"/>
        <v>#REF!</v>
      </c>
      <c r="D504" s="39" t="e">
        <f t="shared" si="1013"/>
        <v>#REF!</v>
      </c>
      <c r="E504" s="16" t="e">
        <f t="shared" si="1"/>
        <v>#REF!</v>
      </c>
      <c r="F504" s="16" t="e">
        <f t="shared" ref="F504:K504" si="1014">VLOOKUP($A504,#REF!,F$1,0)</f>
        <v>#REF!</v>
      </c>
      <c r="G504" s="39" t="e">
        <f t="shared" si="1014"/>
        <v>#REF!</v>
      </c>
      <c r="H504" s="16" t="e">
        <f t="shared" si="1014"/>
        <v>#REF!</v>
      </c>
      <c r="I504" s="16" t="e">
        <f t="shared" si="1014"/>
        <v>#REF!</v>
      </c>
      <c r="J504" s="40" t="e">
        <f t="shared" si="1014"/>
        <v>#REF!</v>
      </c>
      <c r="K504" s="16" t="e">
        <f t="shared" si="1014"/>
        <v>#REF!</v>
      </c>
      <c r="L504" s="40" t="e">
        <f t="shared" si="609"/>
        <v>#REF!</v>
      </c>
      <c r="M504" s="16" t="e">
        <f t="shared" si="610"/>
        <v>#REF!</v>
      </c>
      <c r="N504" s="16" t="e">
        <f t="shared" si="611"/>
        <v>#REF!</v>
      </c>
      <c r="O504" s="16" t="s">
        <v>65</v>
      </c>
      <c r="P504" s="16" t="str">
        <f t="shared" si="6"/>
        <v/>
      </c>
      <c r="Q504" s="41" t="e">
        <f t="shared" si="612"/>
        <v>#REF!</v>
      </c>
      <c r="R504" s="44"/>
      <c r="S504" s="44"/>
      <c r="T504" s="43"/>
      <c r="U504" s="43" t="str">
        <f t="shared" si="8"/>
        <v>No</v>
      </c>
      <c r="V504" s="25"/>
      <c r="W504" s="25"/>
      <c r="X504" s="25"/>
      <c r="Y504" s="25"/>
      <c r="Z504" s="25"/>
    </row>
    <row r="505" spans="1:26" ht="15.75" customHeight="1" x14ac:dyDescent="0.25">
      <c r="A505" s="25">
        <v>503</v>
      </c>
      <c r="B505" s="37" t="e">
        <f t="shared" ref="B505:D505" si="1015">VLOOKUP($A505,#REF!,B$1,0)</f>
        <v>#REF!</v>
      </c>
      <c r="C505" s="38" t="e">
        <f t="shared" si="1015"/>
        <v>#REF!</v>
      </c>
      <c r="D505" s="39" t="e">
        <f t="shared" si="1015"/>
        <v>#REF!</v>
      </c>
      <c r="E505" s="16" t="e">
        <f t="shared" si="1"/>
        <v>#REF!</v>
      </c>
      <c r="F505" s="16" t="e">
        <f t="shared" ref="F505:K505" si="1016">VLOOKUP($A505,#REF!,F$1,0)</f>
        <v>#REF!</v>
      </c>
      <c r="G505" s="39" t="e">
        <f t="shared" si="1016"/>
        <v>#REF!</v>
      </c>
      <c r="H505" s="16" t="e">
        <f t="shared" si="1016"/>
        <v>#REF!</v>
      </c>
      <c r="I505" s="16" t="e">
        <f t="shared" si="1016"/>
        <v>#REF!</v>
      </c>
      <c r="J505" s="40" t="e">
        <f t="shared" si="1016"/>
        <v>#REF!</v>
      </c>
      <c r="K505" s="16" t="e">
        <f t="shared" si="1016"/>
        <v>#REF!</v>
      </c>
      <c r="L505" s="40" t="e">
        <f t="shared" si="609"/>
        <v>#REF!</v>
      </c>
      <c r="M505" s="16" t="e">
        <f t="shared" si="610"/>
        <v>#REF!</v>
      </c>
      <c r="N505" s="16" t="e">
        <f t="shared" si="611"/>
        <v>#REF!</v>
      </c>
      <c r="O505" s="16" t="s">
        <v>65</v>
      </c>
      <c r="P505" s="16" t="str">
        <f t="shared" si="6"/>
        <v/>
      </c>
      <c r="Q505" s="41" t="e">
        <f t="shared" si="612"/>
        <v>#REF!</v>
      </c>
      <c r="R505" s="44"/>
      <c r="S505" s="44"/>
      <c r="T505" s="43"/>
      <c r="U505" s="43" t="str">
        <f t="shared" si="8"/>
        <v>No</v>
      </c>
      <c r="V505" s="25"/>
      <c r="W505" s="25"/>
      <c r="X505" s="25"/>
      <c r="Y505" s="25"/>
      <c r="Z505" s="25"/>
    </row>
    <row r="506" spans="1:26" ht="15.75" customHeight="1" x14ac:dyDescent="0.25">
      <c r="A506" s="25">
        <v>504</v>
      </c>
      <c r="B506" s="37" t="e">
        <f t="shared" ref="B506:D506" si="1017">VLOOKUP($A506,#REF!,B$1,0)</f>
        <v>#REF!</v>
      </c>
      <c r="C506" s="38" t="e">
        <f t="shared" si="1017"/>
        <v>#REF!</v>
      </c>
      <c r="D506" s="39" t="e">
        <f t="shared" si="1017"/>
        <v>#REF!</v>
      </c>
      <c r="E506" s="16" t="e">
        <f t="shared" si="1"/>
        <v>#REF!</v>
      </c>
      <c r="F506" s="16" t="e">
        <f t="shared" ref="F506:K506" si="1018">VLOOKUP($A506,#REF!,F$1,0)</f>
        <v>#REF!</v>
      </c>
      <c r="G506" s="39" t="e">
        <f t="shared" si="1018"/>
        <v>#REF!</v>
      </c>
      <c r="H506" s="16" t="e">
        <f t="shared" si="1018"/>
        <v>#REF!</v>
      </c>
      <c r="I506" s="16" t="e">
        <f t="shared" si="1018"/>
        <v>#REF!</v>
      </c>
      <c r="J506" s="40" t="e">
        <f t="shared" si="1018"/>
        <v>#REF!</v>
      </c>
      <c r="K506" s="16" t="e">
        <f t="shared" si="1018"/>
        <v>#REF!</v>
      </c>
      <c r="L506" s="40" t="e">
        <f t="shared" si="609"/>
        <v>#REF!</v>
      </c>
      <c r="M506" s="16" t="e">
        <f t="shared" si="610"/>
        <v>#REF!</v>
      </c>
      <c r="N506" s="16" t="e">
        <f t="shared" si="611"/>
        <v>#REF!</v>
      </c>
      <c r="O506" s="16" t="s">
        <v>65</v>
      </c>
      <c r="P506" s="16" t="str">
        <f t="shared" si="6"/>
        <v/>
      </c>
      <c r="Q506" s="41" t="e">
        <f t="shared" si="612"/>
        <v>#REF!</v>
      </c>
      <c r="R506" s="44"/>
      <c r="S506" s="44"/>
      <c r="T506" s="43"/>
      <c r="U506" s="43" t="str">
        <f t="shared" si="8"/>
        <v>No</v>
      </c>
      <c r="V506" s="25"/>
      <c r="W506" s="25"/>
      <c r="X506" s="25"/>
      <c r="Y506" s="25"/>
      <c r="Z506" s="25"/>
    </row>
    <row r="507" spans="1:26" ht="15.75" customHeight="1" x14ac:dyDescent="0.25">
      <c r="A507" s="25">
        <v>505</v>
      </c>
      <c r="B507" s="37" t="e">
        <f t="shared" ref="B507:D507" si="1019">VLOOKUP($A507,#REF!,B$1,0)</f>
        <v>#REF!</v>
      </c>
      <c r="C507" s="38" t="e">
        <f t="shared" si="1019"/>
        <v>#REF!</v>
      </c>
      <c r="D507" s="39" t="e">
        <f t="shared" si="1019"/>
        <v>#REF!</v>
      </c>
      <c r="E507" s="16" t="e">
        <f t="shared" si="1"/>
        <v>#REF!</v>
      </c>
      <c r="F507" s="16" t="e">
        <f t="shared" ref="F507:K507" si="1020">VLOOKUP($A507,#REF!,F$1,0)</f>
        <v>#REF!</v>
      </c>
      <c r="G507" s="39" t="e">
        <f t="shared" si="1020"/>
        <v>#REF!</v>
      </c>
      <c r="H507" s="16" t="e">
        <f t="shared" si="1020"/>
        <v>#REF!</v>
      </c>
      <c r="I507" s="16" t="e">
        <f t="shared" si="1020"/>
        <v>#REF!</v>
      </c>
      <c r="J507" s="40" t="e">
        <f t="shared" si="1020"/>
        <v>#REF!</v>
      </c>
      <c r="K507" s="16" t="e">
        <f t="shared" si="1020"/>
        <v>#REF!</v>
      </c>
      <c r="L507" s="40" t="e">
        <f t="shared" si="609"/>
        <v>#REF!</v>
      </c>
      <c r="M507" s="16" t="e">
        <f t="shared" si="610"/>
        <v>#REF!</v>
      </c>
      <c r="N507" s="16" t="e">
        <f t="shared" si="611"/>
        <v>#REF!</v>
      </c>
      <c r="O507" s="16" t="s">
        <v>65</v>
      </c>
      <c r="P507" s="16" t="str">
        <f t="shared" si="6"/>
        <v/>
      </c>
      <c r="Q507" s="41" t="e">
        <f t="shared" si="612"/>
        <v>#REF!</v>
      </c>
      <c r="R507" s="44"/>
      <c r="S507" s="44"/>
      <c r="T507" s="43"/>
      <c r="U507" s="43" t="str">
        <f t="shared" si="8"/>
        <v>No</v>
      </c>
      <c r="V507" s="25"/>
      <c r="W507" s="25"/>
      <c r="X507" s="25"/>
      <c r="Y507" s="25"/>
      <c r="Z507" s="25"/>
    </row>
    <row r="508" spans="1:26" ht="15.75" customHeight="1" x14ac:dyDescent="0.25">
      <c r="A508" s="25">
        <v>506</v>
      </c>
      <c r="B508" s="37" t="e">
        <f t="shared" ref="B508:D508" si="1021">VLOOKUP($A508,#REF!,B$1,0)</f>
        <v>#REF!</v>
      </c>
      <c r="C508" s="38" t="e">
        <f t="shared" si="1021"/>
        <v>#REF!</v>
      </c>
      <c r="D508" s="39" t="e">
        <f t="shared" si="1021"/>
        <v>#REF!</v>
      </c>
      <c r="E508" s="16" t="e">
        <f t="shared" si="1"/>
        <v>#REF!</v>
      </c>
      <c r="F508" s="16" t="e">
        <f t="shared" ref="F508:K508" si="1022">VLOOKUP($A508,#REF!,F$1,0)</f>
        <v>#REF!</v>
      </c>
      <c r="G508" s="39" t="e">
        <f t="shared" si="1022"/>
        <v>#REF!</v>
      </c>
      <c r="H508" s="16" t="e">
        <f t="shared" si="1022"/>
        <v>#REF!</v>
      </c>
      <c r="I508" s="16" t="e">
        <f t="shared" si="1022"/>
        <v>#REF!</v>
      </c>
      <c r="J508" s="40" t="e">
        <f t="shared" si="1022"/>
        <v>#REF!</v>
      </c>
      <c r="K508" s="16" t="e">
        <f t="shared" si="1022"/>
        <v>#REF!</v>
      </c>
      <c r="L508" s="40" t="e">
        <f t="shared" si="609"/>
        <v>#REF!</v>
      </c>
      <c r="M508" s="16" t="e">
        <f t="shared" si="610"/>
        <v>#REF!</v>
      </c>
      <c r="N508" s="16" t="e">
        <f t="shared" si="611"/>
        <v>#REF!</v>
      </c>
      <c r="O508" s="16" t="s">
        <v>65</v>
      </c>
      <c r="P508" s="16" t="str">
        <f t="shared" si="6"/>
        <v/>
      </c>
      <c r="Q508" s="41" t="e">
        <f t="shared" si="612"/>
        <v>#REF!</v>
      </c>
      <c r="R508" s="44"/>
      <c r="S508" s="44"/>
      <c r="T508" s="43"/>
      <c r="U508" s="43" t="str">
        <f t="shared" si="8"/>
        <v>No</v>
      </c>
      <c r="V508" s="25"/>
      <c r="W508" s="25"/>
      <c r="X508" s="25"/>
      <c r="Y508" s="25"/>
      <c r="Z508" s="25"/>
    </row>
    <row r="509" spans="1:26" ht="15.75" customHeight="1" x14ac:dyDescent="0.25">
      <c r="A509" s="25">
        <v>507</v>
      </c>
      <c r="B509" s="37" t="e">
        <f t="shared" ref="B509:D509" si="1023">VLOOKUP($A509,#REF!,B$1,0)</f>
        <v>#REF!</v>
      </c>
      <c r="C509" s="38" t="e">
        <f t="shared" si="1023"/>
        <v>#REF!</v>
      </c>
      <c r="D509" s="39" t="e">
        <f t="shared" si="1023"/>
        <v>#REF!</v>
      </c>
      <c r="E509" s="16" t="e">
        <f t="shared" si="1"/>
        <v>#REF!</v>
      </c>
      <c r="F509" s="16" t="e">
        <f t="shared" ref="F509:K509" si="1024">VLOOKUP($A509,#REF!,F$1,0)</f>
        <v>#REF!</v>
      </c>
      <c r="G509" s="39" t="e">
        <f t="shared" si="1024"/>
        <v>#REF!</v>
      </c>
      <c r="H509" s="16" t="e">
        <f t="shared" si="1024"/>
        <v>#REF!</v>
      </c>
      <c r="I509" s="16" t="e">
        <f t="shared" si="1024"/>
        <v>#REF!</v>
      </c>
      <c r="J509" s="40" t="e">
        <f t="shared" si="1024"/>
        <v>#REF!</v>
      </c>
      <c r="K509" s="16" t="e">
        <f t="shared" si="1024"/>
        <v>#REF!</v>
      </c>
      <c r="L509" s="40" t="e">
        <f t="shared" si="609"/>
        <v>#REF!</v>
      </c>
      <c r="M509" s="16" t="e">
        <f t="shared" si="610"/>
        <v>#REF!</v>
      </c>
      <c r="N509" s="16" t="e">
        <f t="shared" si="611"/>
        <v>#REF!</v>
      </c>
      <c r="O509" s="16" t="s">
        <v>65</v>
      </c>
      <c r="P509" s="16" t="str">
        <f t="shared" si="6"/>
        <v/>
      </c>
      <c r="Q509" s="41" t="e">
        <f t="shared" si="612"/>
        <v>#REF!</v>
      </c>
      <c r="R509" s="44"/>
      <c r="S509" s="44"/>
      <c r="T509" s="43"/>
      <c r="U509" s="43" t="str">
        <f t="shared" si="8"/>
        <v>No</v>
      </c>
      <c r="V509" s="25"/>
      <c r="W509" s="25"/>
      <c r="X509" s="25"/>
      <c r="Y509" s="25"/>
      <c r="Z509" s="25"/>
    </row>
    <row r="510" spans="1:26" ht="15.75" customHeight="1" x14ac:dyDescent="0.25">
      <c r="A510" s="25">
        <v>508</v>
      </c>
      <c r="B510" s="37" t="e">
        <f t="shared" ref="B510:D510" si="1025">VLOOKUP($A510,#REF!,B$1,0)</f>
        <v>#REF!</v>
      </c>
      <c r="C510" s="38" t="e">
        <f t="shared" si="1025"/>
        <v>#REF!</v>
      </c>
      <c r="D510" s="39" t="e">
        <f t="shared" si="1025"/>
        <v>#REF!</v>
      </c>
      <c r="E510" s="16" t="e">
        <f t="shared" si="1"/>
        <v>#REF!</v>
      </c>
      <c r="F510" s="16" t="e">
        <f t="shared" ref="F510:K510" si="1026">VLOOKUP($A510,#REF!,F$1,0)</f>
        <v>#REF!</v>
      </c>
      <c r="G510" s="39" t="e">
        <f t="shared" si="1026"/>
        <v>#REF!</v>
      </c>
      <c r="H510" s="16" t="e">
        <f t="shared" si="1026"/>
        <v>#REF!</v>
      </c>
      <c r="I510" s="16" t="e">
        <f t="shared" si="1026"/>
        <v>#REF!</v>
      </c>
      <c r="J510" s="40" t="e">
        <f t="shared" si="1026"/>
        <v>#REF!</v>
      </c>
      <c r="K510" s="16" t="e">
        <f t="shared" si="1026"/>
        <v>#REF!</v>
      </c>
      <c r="L510" s="40" t="e">
        <f t="shared" si="609"/>
        <v>#REF!</v>
      </c>
      <c r="M510" s="16" t="e">
        <f t="shared" si="610"/>
        <v>#REF!</v>
      </c>
      <c r="N510" s="16" t="e">
        <f t="shared" si="611"/>
        <v>#REF!</v>
      </c>
      <c r="O510" s="16" t="s">
        <v>65</v>
      </c>
      <c r="P510" s="16" t="str">
        <f t="shared" si="6"/>
        <v/>
      </c>
      <c r="Q510" s="41" t="e">
        <f t="shared" si="612"/>
        <v>#REF!</v>
      </c>
      <c r="R510" s="44"/>
      <c r="S510" s="44"/>
      <c r="T510" s="43"/>
      <c r="U510" s="43" t="str">
        <f t="shared" si="8"/>
        <v>No</v>
      </c>
      <c r="V510" s="25"/>
      <c r="W510" s="25"/>
      <c r="X510" s="25"/>
      <c r="Y510" s="25"/>
      <c r="Z510" s="25"/>
    </row>
    <row r="511" spans="1:26" ht="15.75" customHeight="1" x14ac:dyDescent="0.25">
      <c r="A511" s="25">
        <v>509</v>
      </c>
      <c r="B511" s="37" t="e">
        <f t="shared" ref="B511:D511" si="1027">VLOOKUP($A511,#REF!,B$1,0)</f>
        <v>#REF!</v>
      </c>
      <c r="C511" s="38" t="e">
        <f t="shared" si="1027"/>
        <v>#REF!</v>
      </c>
      <c r="D511" s="39" t="e">
        <f t="shared" si="1027"/>
        <v>#REF!</v>
      </c>
      <c r="E511" s="16" t="e">
        <f t="shared" si="1"/>
        <v>#REF!</v>
      </c>
      <c r="F511" s="16" t="e">
        <f t="shared" ref="F511:K511" si="1028">VLOOKUP($A511,#REF!,F$1,0)</f>
        <v>#REF!</v>
      </c>
      <c r="G511" s="39" t="e">
        <f t="shared" si="1028"/>
        <v>#REF!</v>
      </c>
      <c r="H511" s="16" t="e">
        <f t="shared" si="1028"/>
        <v>#REF!</v>
      </c>
      <c r="I511" s="16" t="e">
        <f t="shared" si="1028"/>
        <v>#REF!</v>
      </c>
      <c r="J511" s="40" t="e">
        <f t="shared" si="1028"/>
        <v>#REF!</v>
      </c>
      <c r="K511" s="16" t="e">
        <f t="shared" si="1028"/>
        <v>#REF!</v>
      </c>
      <c r="L511" s="40" t="e">
        <f t="shared" si="609"/>
        <v>#REF!</v>
      </c>
      <c r="M511" s="16" t="e">
        <f t="shared" si="610"/>
        <v>#REF!</v>
      </c>
      <c r="N511" s="16" t="e">
        <f t="shared" si="611"/>
        <v>#REF!</v>
      </c>
      <c r="O511" s="16" t="s">
        <v>65</v>
      </c>
      <c r="P511" s="16" t="str">
        <f t="shared" si="6"/>
        <v/>
      </c>
      <c r="Q511" s="41" t="e">
        <f t="shared" si="612"/>
        <v>#REF!</v>
      </c>
      <c r="R511" s="44"/>
      <c r="S511" s="44"/>
      <c r="T511" s="43"/>
      <c r="U511" s="43" t="str">
        <f t="shared" si="8"/>
        <v>No</v>
      </c>
      <c r="V511" s="25"/>
      <c r="W511" s="25"/>
      <c r="X511" s="25"/>
      <c r="Y511" s="25"/>
      <c r="Z511" s="25"/>
    </row>
    <row r="512" spans="1:26" ht="15.75" customHeight="1" x14ac:dyDescent="0.25">
      <c r="A512" s="25">
        <v>510</v>
      </c>
      <c r="B512" s="37" t="e">
        <f t="shared" ref="B512:D512" si="1029">VLOOKUP($A512,#REF!,B$1,0)</f>
        <v>#REF!</v>
      </c>
      <c r="C512" s="38" t="e">
        <f t="shared" si="1029"/>
        <v>#REF!</v>
      </c>
      <c r="D512" s="39" t="e">
        <f t="shared" si="1029"/>
        <v>#REF!</v>
      </c>
      <c r="E512" s="16" t="e">
        <f t="shared" si="1"/>
        <v>#REF!</v>
      </c>
      <c r="F512" s="16" t="e">
        <f t="shared" ref="F512:K512" si="1030">VLOOKUP($A512,#REF!,F$1,0)</f>
        <v>#REF!</v>
      </c>
      <c r="G512" s="39" t="e">
        <f t="shared" si="1030"/>
        <v>#REF!</v>
      </c>
      <c r="H512" s="16" t="e">
        <f t="shared" si="1030"/>
        <v>#REF!</v>
      </c>
      <c r="I512" s="16" t="e">
        <f t="shared" si="1030"/>
        <v>#REF!</v>
      </c>
      <c r="J512" s="40" t="e">
        <f t="shared" si="1030"/>
        <v>#REF!</v>
      </c>
      <c r="K512" s="16" t="e">
        <f t="shared" si="1030"/>
        <v>#REF!</v>
      </c>
      <c r="L512" s="40" t="e">
        <f t="shared" si="609"/>
        <v>#REF!</v>
      </c>
      <c r="M512" s="16" t="e">
        <f t="shared" si="610"/>
        <v>#REF!</v>
      </c>
      <c r="N512" s="16" t="e">
        <f t="shared" si="611"/>
        <v>#REF!</v>
      </c>
      <c r="O512" s="16" t="s">
        <v>65</v>
      </c>
      <c r="P512" s="16" t="str">
        <f t="shared" si="6"/>
        <v/>
      </c>
      <c r="Q512" s="41" t="e">
        <f t="shared" si="612"/>
        <v>#REF!</v>
      </c>
      <c r="R512" s="44"/>
      <c r="S512" s="44"/>
      <c r="T512" s="43"/>
      <c r="U512" s="43" t="str">
        <f t="shared" si="8"/>
        <v>No</v>
      </c>
      <c r="V512" s="25"/>
      <c r="W512" s="25"/>
      <c r="X512" s="25"/>
      <c r="Y512" s="25"/>
      <c r="Z512" s="25"/>
    </row>
    <row r="513" spans="1:26" ht="15.75" customHeight="1" x14ac:dyDescent="0.25">
      <c r="A513" s="25">
        <v>511</v>
      </c>
      <c r="B513" s="37" t="e">
        <f t="shared" ref="B513:D513" si="1031">VLOOKUP($A513,#REF!,B$1,0)</f>
        <v>#REF!</v>
      </c>
      <c r="C513" s="38" t="e">
        <f t="shared" si="1031"/>
        <v>#REF!</v>
      </c>
      <c r="D513" s="39" t="e">
        <f t="shared" si="1031"/>
        <v>#REF!</v>
      </c>
      <c r="E513" s="16" t="e">
        <f t="shared" si="1"/>
        <v>#REF!</v>
      </c>
      <c r="F513" s="16" t="e">
        <f t="shared" ref="F513:K513" si="1032">VLOOKUP($A513,#REF!,F$1,0)</f>
        <v>#REF!</v>
      </c>
      <c r="G513" s="39" t="e">
        <f t="shared" si="1032"/>
        <v>#REF!</v>
      </c>
      <c r="H513" s="16" t="e">
        <f t="shared" si="1032"/>
        <v>#REF!</v>
      </c>
      <c r="I513" s="16" t="e">
        <f t="shared" si="1032"/>
        <v>#REF!</v>
      </c>
      <c r="J513" s="40" t="e">
        <f t="shared" si="1032"/>
        <v>#REF!</v>
      </c>
      <c r="K513" s="16" t="e">
        <f t="shared" si="1032"/>
        <v>#REF!</v>
      </c>
      <c r="L513" s="40" t="e">
        <f t="shared" si="609"/>
        <v>#REF!</v>
      </c>
      <c r="M513" s="16" t="e">
        <f t="shared" si="610"/>
        <v>#REF!</v>
      </c>
      <c r="N513" s="16" t="e">
        <f t="shared" si="611"/>
        <v>#REF!</v>
      </c>
      <c r="O513" s="16" t="s">
        <v>65</v>
      </c>
      <c r="P513" s="16" t="str">
        <f t="shared" si="6"/>
        <v/>
      </c>
      <c r="Q513" s="41" t="e">
        <f t="shared" si="612"/>
        <v>#REF!</v>
      </c>
      <c r="R513" s="44"/>
      <c r="S513" s="44"/>
      <c r="T513" s="43"/>
      <c r="U513" s="43" t="str">
        <f t="shared" si="8"/>
        <v>No</v>
      </c>
      <c r="V513" s="25"/>
      <c r="W513" s="25"/>
      <c r="X513" s="25"/>
      <c r="Y513" s="25"/>
      <c r="Z513" s="25"/>
    </row>
    <row r="514" spans="1:26" ht="15.75" customHeight="1" x14ac:dyDescent="0.25">
      <c r="A514" s="25">
        <v>512</v>
      </c>
      <c r="B514" s="37" t="e">
        <f t="shared" ref="B514:D514" si="1033">VLOOKUP($A514,#REF!,B$1,0)</f>
        <v>#REF!</v>
      </c>
      <c r="C514" s="38" t="e">
        <f t="shared" si="1033"/>
        <v>#REF!</v>
      </c>
      <c r="D514" s="39" t="e">
        <f t="shared" si="1033"/>
        <v>#REF!</v>
      </c>
      <c r="E514" s="16" t="e">
        <f t="shared" si="1"/>
        <v>#REF!</v>
      </c>
      <c r="F514" s="16" t="e">
        <f t="shared" ref="F514:K514" si="1034">VLOOKUP($A514,#REF!,F$1,0)</f>
        <v>#REF!</v>
      </c>
      <c r="G514" s="39" t="e">
        <f t="shared" si="1034"/>
        <v>#REF!</v>
      </c>
      <c r="H514" s="16" t="e">
        <f t="shared" si="1034"/>
        <v>#REF!</v>
      </c>
      <c r="I514" s="16" t="e">
        <f t="shared" si="1034"/>
        <v>#REF!</v>
      </c>
      <c r="J514" s="40" t="e">
        <f t="shared" si="1034"/>
        <v>#REF!</v>
      </c>
      <c r="K514" s="16" t="e">
        <f t="shared" si="1034"/>
        <v>#REF!</v>
      </c>
      <c r="L514" s="40" t="e">
        <f t="shared" si="609"/>
        <v>#REF!</v>
      </c>
      <c r="M514" s="16" t="e">
        <f t="shared" si="610"/>
        <v>#REF!</v>
      </c>
      <c r="N514" s="16" t="e">
        <f t="shared" si="611"/>
        <v>#REF!</v>
      </c>
      <c r="O514" s="16" t="s">
        <v>65</v>
      </c>
      <c r="P514" s="16" t="str">
        <f t="shared" si="6"/>
        <v/>
      </c>
      <c r="Q514" s="41" t="e">
        <f t="shared" si="612"/>
        <v>#REF!</v>
      </c>
      <c r="R514" s="44"/>
      <c r="S514" s="44"/>
      <c r="T514" s="43"/>
      <c r="U514" s="43" t="str">
        <f t="shared" si="8"/>
        <v>No</v>
      </c>
      <c r="V514" s="25"/>
      <c r="W514" s="25"/>
      <c r="X514" s="25"/>
      <c r="Y514" s="25"/>
      <c r="Z514" s="25"/>
    </row>
    <row r="515" spans="1:26" ht="15.75" customHeight="1" x14ac:dyDescent="0.25">
      <c r="A515" s="25">
        <v>513</v>
      </c>
      <c r="B515" s="37" t="e">
        <f t="shared" ref="B515:D515" si="1035">VLOOKUP($A515,#REF!,B$1,0)</f>
        <v>#REF!</v>
      </c>
      <c r="C515" s="38" t="e">
        <f t="shared" si="1035"/>
        <v>#REF!</v>
      </c>
      <c r="D515" s="39" t="e">
        <f t="shared" si="1035"/>
        <v>#REF!</v>
      </c>
      <c r="E515" s="16" t="e">
        <f t="shared" si="1"/>
        <v>#REF!</v>
      </c>
      <c r="F515" s="16" t="e">
        <f t="shared" ref="F515:K515" si="1036">VLOOKUP($A515,#REF!,F$1,0)</f>
        <v>#REF!</v>
      </c>
      <c r="G515" s="39" t="e">
        <f t="shared" si="1036"/>
        <v>#REF!</v>
      </c>
      <c r="H515" s="16" t="e">
        <f t="shared" si="1036"/>
        <v>#REF!</v>
      </c>
      <c r="I515" s="16" t="e">
        <f t="shared" si="1036"/>
        <v>#REF!</v>
      </c>
      <c r="J515" s="40" t="e">
        <f t="shared" si="1036"/>
        <v>#REF!</v>
      </c>
      <c r="K515" s="16" t="e">
        <f t="shared" si="1036"/>
        <v>#REF!</v>
      </c>
      <c r="L515" s="40" t="e">
        <f t="shared" si="609"/>
        <v>#REF!</v>
      </c>
      <c r="M515" s="16" t="e">
        <f t="shared" si="610"/>
        <v>#REF!</v>
      </c>
      <c r="N515" s="16" t="e">
        <f t="shared" si="611"/>
        <v>#REF!</v>
      </c>
      <c r="O515" s="16" t="s">
        <v>65</v>
      </c>
      <c r="P515" s="16" t="str">
        <f t="shared" si="6"/>
        <v/>
      </c>
      <c r="Q515" s="41" t="e">
        <f t="shared" si="612"/>
        <v>#REF!</v>
      </c>
      <c r="R515" s="44"/>
      <c r="S515" s="44"/>
      <c r="T515" s="43"/>
      <c r="U515" s="43" t="str">
        <f t="shared" si="8"/>
        <v>No</v>
      </c>
      <c r="V515" s="25"/>
      <c r="W515" s="25"/>
      <c r="X515" s="25"/>
      <c r="Y515" s="25"/>
      <c r="Z515" s="25"/>
    </row>
    <row r="516" spans="1:26" ht="15.75" customHeight="1" x14ac:dyDescent="0.25">
      <c r="A516" s="25">
        <v>514</v>
      </c>
      <c r="B516" s="37" t="e">
        <f t="shared" ref="B516:D516" si="1037">VLOOKUP($A516,#REF!,B$1,0)</f>
        <v>#REF!</v>
      </c>
      <c r="C516" s="38" t="e">
        <f t="shared" si="1037"/>
        <v>#REF!</v>
      </c>
      <c r="D516" s="39" t="e">
        <f t="shared" si="1037"/>
        <v>#REF!</v>
      </c>
      <c r="E516" s="16" t="e">
        <f t="shared" si="1"/>
        <v>#REF!</v>
      </c>
      <c r="F516" s="16" t="e">
        <f t="shared" ref="F516:K516" si="1038">VLOOKUP($A516,#REF!,F$1,0)</f>
        <v>#REF!</v>
      </c>
      <c r="G516" s="39" t="e">
        <f t="shared" si="1038"/>
        <v>#REF!</v>
      </c>
      <c r="H516" s="16" t="e">
        <f t="shared" si="1038"/>
        <v>#REF!</v>
      </c>
      <c r="I516" s="16" t="e">
        <f t="shared" si="1038"/>
        <v>#REF!</v>
      </c>
      <c r="J516" s="40" t="e">
        <f t="shared" si="1038"/>
        <v>#REF!</v>
      </c>
      <c r="K516" s="16" t="e">
        <f t="shared" si="1038"/>
        <v>#REF!</v>
      </c>
      <c r="L516" s="40" t="e">
        <f t="shared" si="609"/>
        <v>#REF!</v>
      </c>
      <c r="M516" s="16" t="e">
        <f t="shared" si="610"/>
        <v>#REF!</v>
      </c>
      <c r="N516" s="16" t="e">
        <f t="shared" si="611"/>
        <v>#REF!</v>
      </c>
      <c r="O516" s="16" t="s">
        <v>65</v>
      </c>
      <c r="P516" s="16" t="str">
        <f t="shared" si="6"/>
        <v/>
      </c>
      <c r="Q516" s="41" t="e">
        <f t="shared" si="612"/>
        <v>#REF!</v>
      </c>
      <c r="R516" s="44"/>
      <c r="S516" s="44"/>
      <c r="T516" s="43"/>
      <c r="U516" s="43" t="str">
        <f t="shared" si="8"/>
        <v>No</v>
      </c>
      <c r="V516" s="25"/>
      <c r="W516" s="25"/>
      <c r="X516" s="25"/>
      <c r="Y516" s="25"/>
      <c r="Z516" s="25"/>
    </row>
    <row r="517" spans="1:26" ht="15.75" customHeight="1" x14ac:dyDescent="0.25">
      <c r="A517" s="25">
        <v>515</v>
      </c>
      <c r="B517" s="37" t="e">
        <f t="shared" ref="B517:D517" si="1039">VLOOKUP($A517,#REF!,B$1,0)</f>
        <v>#REF!</v>
      </c>
      <c r="C517" s="38" t="e">
        <f t="shared" si="1039"/>
        <v>#REF!</v>
      </c>
      <c r="D517" s="39" t="e">
        <f t="shared" si="1039"/>
        <v>#REF!</v>
      </c>
      <c r="E517" s="16" t="e">
        <f t="shared" si="1"/>
        <v>#REF!</v>
      </c>
      <c r="F517" s="16" t="e">
        <f t="shared" ref="F517:K517" si="1040">VLOOKUP($A517,#REF!,F$1,0)</f>
        <v>#REF!</v>
      </c>
      <c r="G517" s="39" t="e">
        <f t="shared" si="1040"/>
        <v>#REF!</v>
      </c>
      <c r="H517" s="16" t="e">
        <f t="shared" si="1040"/>
        <v>#REF!</v>
      </c>
      <c r="I517" s="16" t="e">
        <f t="shared" si="1040"/>
        <v>#REF!</v>
      </c>
      <c r="J517" s="40" t="e">
        <f t="shared" si="1040"/>
        <v>#REF!</v>
      </c>
      <c r="K517" s="16" t="e">
        <f t="shared" si="1040"/>
        <v>#REF!</v>
      </c>
      <c r="L517" s="40" t="e">
        <f t="shared" si="609"/>
        <v>#REF!</v>
      </c>
      <c r="M517" s="16" t="e">
        <f t="shared" si="610"/>
        <v>#REF!</v>
      </c>
      <c r="N517" s="16" t="e">
        <f t="shared" si="611"/>
        <v>#REF!</v>
      </c>
      <c r="O517" s="16" t="s">
        <v>65</v>
      </c>
      <c r="P517" s="16" t="str">
        <f t="shared" si="6"/>
        <v/>
      </c>
      <c r="Q517" s="41" t="e">
        <f t="shared" si="612"/>
        <v>#REF!</v>
      </c>
      <c r="R517" s="44"/>
      <c r="S517" s="44"/>
      <c r="T517" s="43"/>
      <c r="U517" s="43" t="str">
        <f t="shared" si="8"/>
        <v>No</v>
      </c>
      <c r="V517" s="25"/>
      <c r="W517" s="25"/>
      <c r="X517" s="25"/>
      <c r="Y517" s="25"/>
      <c r="Z517" s="25"/>
    </row>
    <row r="518" spans="1:26" ht="15.75" customHeight="1" x14ac:dyDescent="0.25">
      <c r="A518" s="25">
        <v>516</v>
      </c>
      <c r="B518" s="37" t="e">
        <f t="shared" ref="B518:D518" si="1041">VLOOKUP($A518,#REF!,B$1,0)</f>
        <v>#REF!</v>
      </c>
      <c r="C518" s="38" t="e">
        <f t="shared" si="1041"/>
        <v>#REF!</v>
      </c>
      <c r="D518" s="39" t="e">
        <f t="shared" si="1041"/>
        <v>#REF!</v>
      </c>
      <c r="E518" s="16" t="e">
        <f t="shared" si="1"/>
        <v>#REF!</v>
      </c>
      <c r="F518" s="16" t="e">
        <f t="shared" ref="F518:K518" si="1042">VLOOKUP($A518,#REF!,F$1,0)</f>
        <v>#REF!</v>
      </c>
      <c r="G518" s="39" t="e">
        <f t="shared" si="1042"/>
        <v>#REF!</v>
      </c>
      <c r="H518" s="16" t="e">
        <f t="shared" si="1042"/>
        <v>#REF!</v>
      </c>
      <c r="I518" s="16" t="e">
        <f t="shared" si="1042"/>
        <v>#REF!</v>
      </c>
      <c r="J518" s="40" t="e">
        <f t="shared" si="1042"/>
        <v>#REF!</v>
      </c>
      <c r="K518" s="16" t="e">
        <f t="shared" si="1042"/>
        <v>#REF!</v>
      </c>
      <c r="L518" s="40" t="e">
        <f t="shared" si="609"/>
        <v>#REF!</v>
      </c>
      <c r="M518" s="16" t="e">
        <f t="shared" si="610"/>
        <v>#REF!</v>
      </c>
      <c r="N518" s="16" t="e">
        <f t="shared" si="611"/>
        <v>#REF!</v>
      </c>
      <c r="O518" s="16" t="s">
        <v>65</v>
      </c>
      <c r="P518" s="16" t="str">
        <f t="shared" si="6"/>
        <v/>
      </c>
      <c r="Q518" s="41" t="e">
        <f t="shared" si="612"/>
        <v>#REF!</v>
      </c>
      <c r="R518" s="44"/>
      <c r="S518" s="44"/>
      <c r="T518" s="43"/>
      <c r="U518" s="43" t="str">
        <f t="shared" si="8"/>
        <v>No</v>
      </c>
      <c r="V518" s="25"/>
      <c r="W518" s="25"/>
      <c r="X518" s="25"/>
      <c r="Y518" s="25"/>
      <c r="Z518" s="25"/>
    </row>
    <row r="519" spans="1:26" ht="15.75" customHeight="1" x14ac:dyDescent="0.25">
      <c r="A519" s="25">
        <v>517</v>
      </c>
      <c r="B519" s="37" t="e">
        <f t="shared" ref="B519:D519" si="1043">VLOOKUP($A519,#REF!,B$1,0)</f>
        <v>#REF!</v>
      </c>
      <c r="C519" s="38" t="e">
        <f t="shared" si="1043"/>
        <v>#REF!</v>
      </c>
      <c r="D519" s="39" t="e">
        <f t="shared" si="1043"/>
        <v>#REF!</v>
      </c>
      <c r="E519" s="16" t="e">
        <f t="shared" si="1"/>
        <v>#REF!</v>
      </c>
      <c r="F519" s="16" t="e">
        <f t="shared" ref="F519:K519" si="1044">VLOOKUP($A519,#REF!,F$1,0)</f>
        <v>#REF!</v>
      </c>
      <c r="G519" s="39" t="e">
        <f t="shared" si="1044"/>
        <v>#REF!</v>
      </c>
      <c r="H519" s="16" t="e">
        <f t="shared" si="1044"/>
        <v>#REF!</v>
      </c>
      <c r="I519" s="16" t="e">
        <f t="shared" si="1044"/>
        <v>#REF!</v>
      </c>
      <c r="J519" s="40" t="e">
        <f t="shared" si="1044"/>
        <v>#REF!</v>
      </c>
      <c r="K519" s="16" t="e">
        <f t="shared" si="1044"/>
        <v>#REF!</v>
      </c>
      <c r="L519" s="40" t="e">
        <f t="shared" si="609"/>
        <v>#REF!</v>
      </c>
      <c r="M519" s="16" t="e">
        <f t="shared" si="610"/>
        <v>#REF!</v>
      </c>
      <c r="N519" s="16" t="e">
        <f t="shared" si="611"/>
        <v>#REF!</v>
      </c>
      <c r="O519" s="16" t="s">
        <v>65</v>
      </c>
      <c r="P519" s="16" t="str">
        <f t="shared" si="6"/>
        <v/>
      </c>
      <c r="Q519" s="41" t="e">
        <f t="shared" si="612"/>
        <v>#REF!</v>
      </c>
      <c r="R519" s="44"/>
      <c r="S519" s="44"/>
      <c r="T519" s="43"/>
      <c r="U519" s="43" t="str">
        <f t="shared" si="8"/>
        <v>No</v>
      </c>
      <c r="V519" s="25"/>
      <c r="W519" s="25"/>
      <c r="X519" s="25"/>
      <c r="Y519" s="25"/>
      <c r="Z519" s="25"/>
    </row>
    <row r="520" spans="1:26" ht="15.75" customHeight="1" x14ac:dyDescent="0.25">
      <c r="A520" s="25">
        <v>518</v>
      </c>
      <c r="B520" s="37" t="e">
        <f t="shared" ref="B520:D520" si="1045">VLOOKUP($A520,#REF!,B$1,0)</f>
        <v>#REF!</v>
      </c>
      <c r="C520" s="38" t="e">
        <f t="shared" si="1045"/>
        <v>#REF!</v>
      </c>
      <c r="D520" s="39" t="e">
        <f t="shared" si="1045"/>
        <v>#REF!</v>
      </c>
      <c r="E520" s="16" t="e">
        <f t="shared" si="1"/>
        <v>#REF!</v>
      </c>
      <c r="F520" s="16" t="e">
        <f t="shared" ref="F520:K520" si="1046">VLOOKUP($A520,#REF!,F$1,0)</f>
        <v>#REF!</v>
      </c>
      <c r="G520" s="39" t="e">
        <f t="shared" si="1046"/>
        <v>#REF!</v>
      </c>
      <c r="H520" s="16" t="e">
        <f t="shared" si="1046"/>
        <v>#REF!</v>
      </c>
      <c r="I520" s="16" t="e">
        <f t="shared" si="1046"/>
        <v>#REF!</v>
      </c>
      <c r="J520" s="40" t="e">
        <f t="shared" si="1046"/>
        <v>#REF!</v>
      </c>
      <c r="K520" s="16" t="e">
        <f t="shared" si="1046"/>
        <v>#REF!</v>
      </c>
      <c r="L520" s="40" t="e">
        <f t="shared" si="609"/>
        <v>#REF!</v>
      </c>
      <c r="M520" s="16" t="e">
        <f t="shared" si="610"/>
        <v>#REF!</v>
      </c>
      <c r="N520" s="16" t="e">
        <f t="shared" si="611"/>
        <v>#REF!</v>
      </c>
      <c r="O520" s="16" t="s">
        <v>65</v>
      </c>
      <c r="P520" s="16" t="str">
        <f t="shared" si="6"/>
        <v/>
      </c>
      <c r="Q520" s="41" t="e">
        <f t="shared" si="612"/>
        <v>#REF!</v>
      </c>
      <c r="R520" s="44"/>
      <c r="S520" s="44"/>
      <c r="T520" s="43"/>
      <c r="U520" s="43" t="str">
        <f t="shared" si="8"/>
        <v>No</v>
      </c>
      <c r="V520" s="25"/>
      <c r="W520" s="25"/>
      <c r="X520" s="25"/>
      <c r="Y520" s="25"/>
      <c r="Z520" s="25"/>
    </row>
    <row r="521" spans="1:26" ht="15.75" customHeight="1" x14ac:dyDescent="0.25">
      <c r="A521" s="25">
        <v>519</v>
      </c>
      <c r="B521" s="37" t="e">
        <f t="shared" ref="B521:D521" si="1047">VLOOKUP($A521,#REF!,B$1,0)</f>
        <v>#REF!</v>
      </c>
      <c r="C521" s="38" t="e">
        <f t="shared" si="1047"/>
        <v>#REF!</v>
      </c>
      <c r="D521" s="39" t="e">
        <f t="shared" si="1047"/>
        <v>#REF!</v>
      </c>
      <c r="E521" s="16" t="e">
        <f t="shared" si="1"/>
        <v>#REF!</v>
      </c>
      <c r="F521" s="16" t="e">
        <f t="shared" ref="F521:K521" si="1048">VLOOKUP($A521,#REF!,F$1,0)</f>
        <v>#REF!</v>
      </c>
      <c r="G521" s="39" t="e">
        <f t="shared" si="1048"/>
        <v>#REF!</v>
      </c>
      <c r="H521" s="16" t="e">
        <f t="shared" si="1048"/>
        <v>#REF!</v>
      </c>
      <c r="I521" s="16" t="e">
        <f t="shared" si="1048"/>
        <v>#REF!</v>
      </c>
      <c r="J521" s="40" t="e">
        <f t="shared" si="1048"/>
        <v>#REF!</v>
      </c>
      <c r="K521" s="16" t="e">
        <f t="shared" si="1048"/>
        <v>#REF!</v>
      </c>
      <c r="L521" s="40" t="e">
        <f t="shared" si="609"/>
        <v>#REF!</v>
      </c>
      <c r="M521" s="16" t="e">
        <f t="shared" si="610"/>
        <v>#REF!</v>
      </c>
      <c r="N521" s="16" t="e">
        <f t="shared" si="611"/>
        <v>#REF!</v>
      </c>
      <c r="O521" s="16" t="s">
        <v>65</v>
      </c>
      <c r="P521" s="16" t="str">
        <f t="shared" si="6"/>
        <v/>
      </c>
      <c r="Q521" s="41" t="e">
        <f t="shared" si="612"/>
        <v>#REF!</v>
      </c>
      <c r="R521" s="44"/>
      <c r="S521" s="44"/>
      <c r="T521" s="43"/>
      <c r="U521" s="43" t="str">
        <f t="shared" si="8"/>
        <v>No</v>
      </c>
      <c r="V521" s="25"/>
      <c r="W521" s="25"/>
      <c r="X521" s="25"/>
      <c r="Y521" s="25"/>
      <c r="Z521" s="25"/>
    </row>
    <row r="522" spans="1:26" ht="15.75" customHeight="1" x14ac:dyDescent="0.25">
      <c r="A522" s="25">
        <v>520</v>
      </c>
      <c r="B522" s="37" t="e">
        <f t="shared" ref="B522:D522" si="1049">VLOOKUP($A522,#REF!,B$1,0)</f>
        <v>#REF!</v>
      </c>
      <c r="C522" s="38" t="e">
        <f t="shared" si="1049"/>
        <v>#REF!</v>
      </c>
      <c r="D522" s="39" t="e">
        <f t="shared" si="1049"/>
        <v>#REF!</v>
      </c>
      <c r="E522" s="16" t="e">
        <f t="shared" si="1"/>
        <v>#REF!</v>
      </c>
      <c r="F522" s="16" t="e">
        <f t="shared" ref="F522:K522" si="1050">VLOOKUP($A522,#REF!,F$1,0)</f>
        <v>#REF!</v>
      </c>
      <c r="G522" s="39" t="e">
        <f t="shared" si="1050"/>
        <v>#REF!</v>
      </c>
      <c r="H522" s="16" t="e">
        <f t="shared" si="1050"/>
        <v>#REF!</v>
      </c>
      <c r="I522" s="16" t="e">
        <f t="shared" si="1050"/>
        <v>#REF!</v>
      </c>
      <c r="J522" s="40" t="e">
        <f t="shared" si="1050"/>
        <v>#REF!</v>
      </c>
      <c r="K522" s="16" t="e">
        <f t="shared" si="1050"/>
        <v>#REF!</v>
      </c>
      <c r="L522" s="40" t="e">
        <f t="shared" si="609"/>
        <v>#REF!</v>
      </c>
      <c r="M522" s="16" t="e">
        <f t="shared" si="610"/>
        <v>#REF!</v>
      </c>
      <c r="N522" s="16" t="e">
        <f t="shared" si="611"/>
        <v>#REF!</v>
      </c>
      <c r="O522" s="16" t="s">
        <v>65</v>
      </c>
      <c r="P522" s="16" t="str">
        <f t="shared" si="6"/>
        <v/>
      </c>
      <c r="Q522" s="41" t="e">
        <f t="shared" si="612"/>
        <v>#REF!</v>
      </c>
      <c r="R522" s="44"/>
      <c r="S522" s="44"/>
      <c r="T522" s="43"/>
      <c r="U522" s="43" t="str">
        <f t="shared" si="8"/>
        <v>No</v>
      </c>
      <c r="V522" s="25"/>
      <c r="W522" s="25"/>
      <c r="X522" s="25"/>
      <c r="Y522" s="25"/>
      <c r="Z522" s="25"/>
    </row>
    <row r="523" spans="1:26" ht="15.75" customHeight="1" x14ac:dyDescent="0.25">
      <c r="A523" s="25">
        <v>521</v>
      </c>
      <c r="B523" s="37" t="e">
        <f t="shared" ref="B523:D523" si="1051">VLOOKUP($A523,#REF!,B$1,0)</f>
        <v>#REF!</v>
      </c>
      <c r="C523" s="38" t="e">
        <f t="shared" si="1051"/>
        <v>#REF!</v>
      </c>
      <c r="D523" s="39" t="e">
        <f t="shared" si="1051"/>
        <v>#REF!</v>
      </c>
      <c r="E523" s="16" t="e">
        <f t="shared" si="1"/>
        <v>#REF!</v>
      </c>
      <c r="F523" s="16" t="e">
        <f t="shared" ref="F523:K523" si="1052">VLOOKUP($A523,#REF!,F$1,0)</f>
        <v>#REF!</v>
      </c>
      <c r="G523" s="39" t="e">
        <f t="shared" si="1052"/>
        <v>#REF!</v>
      </c>
      <c r="H523" s="16" t="e">
        <f t="shared" si="1052"/>
        <v>#REF!</v>
      </c>
      <c r="I523" s="16" t="e">
        <f t="shared" si="1052"/>
        <v>#REF!</v>
      </c>
      <c r="J523" s="40" t="e">
        <f t="shared" si="1052"/>
        <v>#REF!</v>
      </c>
      <c r="K523" s="16" t="e">
        <f t="shared" si="1052"/>
        <v>#REF!</v>
      </c>
      <c r="L523" s="40" t="e">
        <f t="shared" si="609"/>
        <v>#REF!</v>
      </c>
      <c r="M523" s="16" t="e">
        <f t="shared" si="610"/>
        <v>#REF!</v>
      </c>
      <c r="N523" s="16" t="e">
        <f t="shared" si="611"/>
        <v>#REF!</v>
      </c>
      <c r="O523" s="16" t="s">
        <v>65</v>
      </c>
      <c r="P523" s="16" t="str">
        <f t="shared" si="6"/>
        <v/>
      </c>
      <c r="Q523" s="41" t="e">
        <f t="shared" si="612"/>
        <v>#REF!</v>
      </c>
      <c r="R523" s="44"/>
      <c r="S523" s="44"/>
      <c r="T523" s="43"/>
      <c r="U523" s="43" t="str">
        <f t="shared" si="8"/>
        <v>No</v>
      </c>
      <c r="V523" s="25"/>
      <c r="W523" s="25"/>
      <c r="X523" s="25"/>
      <c r="Y523" s="25"/>
      <c r="Z523" s="25"/>
    </row>
    <row r="524" spans="1:26" ht="15.75" customHeight="1" x14ac:dyDescent="0.25">
      <c r="A524" s="25">
        <v>522</v>
      </c>
      <c r="B524" s="37" t="e">
        <f t="shared" ref="B524:D524" si="1053">VLOOKUP($A524,#REF!,B$1,0)</f>
        <v>#REF!</v>
      </c>
      <c r="C524" s="38" t="e">
        <f t="shared" si="1053"/>
        <v>#REF!</v>
      </c>
      <c r="D524" s="39" t="e">
        <f t="shared" si="1053"/>
        <v>#REF!</v>
      </c>
      <c r="E524" s="16" t="e">
        <f t="shared" si="1"/>
        <v>#REF!</v>
      </c>
      <c r="F524" s="16" t="e">
        <f t="shared" ref="F524:K524" si="1054">VLOOKUP($A524,#REF!,F$1,0)</f>
        <v>#REF!</v>
      </c>
      <c r="G524" s="39" t="e">
        <f t="shared" si="1054"/>
        <v>#REF!</v>
      </c>
      <c r="H524" s="16" t="e">
        <f t="shared" si="1054"/>
        <v>#REF!</v>
      </c>
      <c r="I524" s="16" t="e">
        <f t="shared" si="1054"/>
        <v>#REF!</v>
      </c>
      <c r="J524" s="40" t="e">
        <f t="shared" si="1054"/>
        <v>#REF!</v>
      </c>
      <c r="K524" s="16" t="e">
        <f t="shared" si="1054"/>
        <v>#REF!</v>
      </c>
      <c r="L524" s="40" t="e">
        <f t="shared" si="609"/>
        <v>#REF!</v>
      </c>
      <c r="M524" s="16" t="e">
        <f t="shared" si="610"/>
        <v>#REF!</v>
      </c>
      <c r="N524" s="16" t="e">
        <f t="shared" si="611"/>
        <v>#REF!</v>
      </c>
      <c r="O524" s="16" t="s">
        <v>65</v>
      </c>
      <c r="P524" s="16" t="str">
        <f t="shared" si="6"/>
        <v/>
      </c>
      <c r="Q524" s="41" t="e">
        <f t="shared" si="612"/>
        <v>#REF!</v>
      </c>
      <c r="R524" s="44"/>
      <c r="S524" s="44"/>
      <c r="T524" s="43"/>
      <c r="U524" s="43" t="str">
        <f t="shared" si="8"/>
        <v>No</v>
      </c>
      <c r="V524" s="25"/>
      <c r="W524" s="25"/>
      <c r="X524" s="25"/>
      <c r="Y524" s="25"/>
      <c r="Z524" s="25"/>
    </row>
    <row r="525" spans="1:26" ht="15.75" customHeight="1" x14ac:dyDescent="0.25">
      <c r="A525" s="25">
        <v>523</v>
      </c>
      <c r="B525" s="37" t="e">
        <f t="shared" ref="B525:D525" si="1055">VLOOKUP($A525,#REF!,B$1,0)</f>
        <v>#REF!</v>
      </c>
      <c r="C525" s="38" t="e">
        <f t="shared" si="1055"/>
        <v>#REF!</v>
      </c>
      <c r="D525" s="39" t="e">
        <f t="shared" si="1055"/>
        <v>#REF!</v>
      </c>
      <c r="E525" s="16" t="e">
        <f t="shared" si="1"/>
        <v>#REF!</v>
      </c>
      <c r="F525" s="16" t="e">
        <f t="shared" ref="F525:K525" si="1056">VLOOKUP($A525,#REF!,F$1,0)</f>
        <v>#REF!</v>
      </c>
      <c r="G525" s="39" t="e">
        <f t="shared" si="1056"/>
        <v>#REF!</v>
      </c>
      <c r="H525" s="16" t="e">
        <f t="shared" si="1056"/>
        <v>#REF!</v>
      </c>
      <c r="I525" s="16" t="e">
        <f t="shared" si="1056"/>
        <v>#REF!</v>
      </c>
      <c r="J525" s="40" t="e">
        <f t="shared" si="1056"/>
        <v>#REF!</v>
      </c>
      <c r="K525" s="16" t="e">
        <f t="shared" si="1056"/>
        <v>#REF!</v>
      </c>
      <c r="L525" s="40" t="e">
        <f t="shared" si="609"/>
        <v>#REF!</v>
      </c>
      <c r="M525" s="16" t="e">
        <f t="shared" si="610"/>
        <v>#REF!</v>
      </c>
      <c r="N525" s="16" t="e">
        <f t="shared" si="611"/>
        <v>#REF!</v>
      </c>
      <c r="O525" s="16" t="s">
        <v>65</v>
      </c>
      <c r="P525" s="16" t="str">
        <f t="shared" si="6"/>
        <v/>
      </c>
      <c r="Q525" s="41" t="e">
        <f t="shared" si="612"/>
        <v>#REF!</v>
      </c>
      <c r="R525" s="44"/>
      <c r="S525" s="44"/>
      <c r="T525" s="43"/>
      <c r="U525" s="43" t="str">
        <f t="shared" si="8"/>
        <v>No</v>
      </c>
      <c r="V525" s="25"/>
      <c r="W525" s="25"/>
      <c r="X525" s="25"/>
      <c r="Y525" s="25"/>
      <c r="Z525" s="25"/>
    </row>
    <row r="526" spans="1:26" ht="15.75" customHeight="1" x14ac:dyDescent="0.25">
      <c r="A526" s="25">
        <v>524</v>
      </c>
      <c r="B526" s="37" t="e">
        <f t="shared" ref="B526:D526" si="1057">VLOOKUP($A526,#REF!,B$1,0)</f>
        <v>#REF!</v>
      </c>
      <c r="C526" s="38" t="e">
        <f t="shared" si="1057"/>
        <v>#REF!</v>
      </c>
      <c r="D526" s="39" t="e">
        <f t="shared" si="1057"/>
        <v>#REF!</v>
      </c>
      <c r="E526" s="16" t="e">
        <f t="shared" si="1"/>
        <v>#REF!</v>
      </c>
      <c r="F526" s="16" t="e">
        <f t="shared" ref="F526:K526" si="1058">VLOOKUP($A526,#REF!,F$1,0)</f>
        <v>#REF!</v>
      </c>
      <c r="G526" s="39" t="e">
        <f t="shared" si="1058"/>
        <v>#REF!</v>
      </c>
      <c r="H526" s="16" t="e">
        <f t="shared" si="1058"/>
        <v>#REF!</v>
      </c>
      <c r="I526" s="16" t="e">
        <f t="shared" si="1058"/>
        <v>#REF!</v>
      </c>
      <c r="J526" s="40" t="e">
        <f t="shared" si="1058"/>
        <v>#REF!</v>
      </c>
      <c r="K526" s="16" t="e">
        <f t="shared" si="1058"/>
        <v>#REF!</v>
      </c>
      <c r="L526" s="40" t="e">
        <f t="shared" si="609"/>
        <v>#REF!</v>
      </c>
      <c r="M526" s="16" t="e">
        <f t="shared" si="610"/>
        <v>#REF!</v>
      </c>
      <c r="N526" s="16" t="e">
        <f t="shared" si="611"/>
        <v>#REF!</v>
      </c>
      <c r="O526" s="16" t="s">
        <v>65</v>
      </c>
      <c r="P526" s="16" t="str">
        <f t="shared" si="6"/>
        <v/>
      </c>
      <c r="Q526" s="41" t="e">
        <f t="shared" si="612"/>
        <v>#REF!</v>
      </c>
      <c r="R526" s="44"/>
      <c r="S526" s="44"/>
      <c r="T526" s="43"/>
      <c r="U526" s="43" t="str">
        <f t="shared" si="8"/>
        <v>No</v>
      </c>
      <c r="V526" s="25"/>
      <c r="W526" s="25"/>
      <c r="X526" s="25"/>
      <c r="Y526" s="25"/>
      <c r="Z526" s="25"/>
    </row>
    <row r="527" spans="1:26" ht="15.75" customHeight="1" x14ac:dyDescent="0.25">
      <c r="A527" s="25">
        <v>525</v>
      </c>
      <c r="B527" s="37" t="e">
        <f t="shared" ref="B527:D527" si="1059">VLOOKUP($A527,#REF!,B$1,0)</f>
        <v>#REF!</v>
      </c>
      <c r="C527" s="38" t="e">
        <f t="shared" si="1059"/>
        <v>#REF!</v>
      </c>
      <c r="D527" s="39" t="e">
        <f t="shared" si="1059"/>
        <v>#REF!</v>
      </c>
      <c r="E527" s="16" t="e">
        <f t="shared" si="1"/>
        <v>#REF!</v>
      </c>
      <c r="F527" s="16" t="e">
        <f t="shared" ref="F527:K527" si="1060">VLOOKUP($A527,#REF!,F$1,0)</f>
        <v>#REF!</v>
      </c>
      <c r="G527" s="39" t="e">
        <f t="shared" si="1060"/>
        <v>#REF!</v>
      </c>
      <c r="H527" s="16" t="e">
        <f t="shared" si="1060"/>
        <v>#REF!</v>
      </c>
      <c r="I527" s="16" t="e">
        <f t="shared" si="1060"/>
        <v>#REF!</v>
      </c>
      <c r="J527" s="40" t="e">
        <f t="shared" si="1060"/>
        <v>#REF!</v>
      </c>
      <c r="K527" s="16" t="e">
        <f t="shared" si="1060"/>
        <v>#REF!</v>
      </c>
      <c r="L527" s="40" t="e">
        <f t="shared" si="609"/>
        <v>#REF!</v>
      </c>
      <c r="M527" s="16" t="e">
        <f t="shared" si="610"/>
        <v>#REF!</v>
      </c>
      <c r="N527" s="16" t="e">
        <f t="shared" si="611"/>
        <v>#REF!</v>
      </c>
      <c r="O527" s="16" t="s">
        <v>65</v>
      </c>
      <c r="P527" s="16" t="str">
        <f t="shared" si="6"/>
        <v/>
      </c>
      <c r="Q527" s="41" t="e">
        <f t="shared" si="612"/>
        <v>#REF!</v>
      </c>
      <c r="R527" s="44"/>
      <c r="S527" s="44"/>
      <c r="T527" s="43"/>
      <c r="U527" s="43" t="str">
        <f t="shared" si="8"/>
        <v>No</v>
      </c>
      <c r="V527" s="25"/>
      <c r="W527" s="25"/>
      <c r="X527" s="25"/>
      <c r="Y527" s="25"/>
      <c r="Z527" s="25"/>
    </row>
    <row r="528" spans="1:26" ht="15.75" customHeight="1" x14ac:dyDescent="0.25">
      <c r="A528" s="25">
        <v>526</v>
      </c>
      <c r="B528" s="37" t="e">
        <f t="shared" ref="B528:D528" si="1061">VLOOKUP($A528,#REF!,B$1,0)</f>
        <v>#REF!</v>
      </c>
      <c r="C528" s="38" t="e">
        <f t="shared" si="1061"/>
        <v>#REF!</v>
      </c>
      <c r="D528" s="39" t="e">
        <f t="shared" si="1061"/>
        <v>#REF!</v>
      </c>
      <c r="E528" s="16" t="e">
        <f t="shared" si="1"/>
        <v>#REF!</v>
      </c>
      <c r="F528" s="16" t="e">
        <f t="shared" ref="F528:K528" si="1062">VLOOKUP($A528,#REF!,F$1,0)</f>
        <v>#REF!</v>
      </c>
      <c r="G528" s="39" t="e">
        <f t="shared" si="1062"/>
        <v>#REF!</v>
      </c>
      <c r="H528" s="16" t="e">
        <f t="shared" si="1062"/>
        <v>#REF!</v>
      </c>
      <c r="I528" s="16" t="e">
        <f t="shared" si="1062"/>
        <v>#REF!</v>
      </c>
      <c r="J528" s="40" t="e">
        <f t="shared" si="1062"/>
        <v>#REF!</v>
      </c>
      <c r="K528" s="16" t="e">
        <f t="shared" si="1062"/>
        <v>#REF!</v>
      </c>
      <c r="L528" s="40" t="e">
        <f t="shared" si="609"/>
        <v>#REF!</v>
      </c>
      <c r="M528" s="16" t="e">
        <f t="shared" si="610"/>
        <v>#REF!</v>
      </c>
      <c r="N528" s="16" t="e">
        <f t="shared" si="611"/>
        <v>#REF!</v>
      </c>
      <c r="O528" s="16" t="s">
        <v>65</v>
      </c>
      <c r="P528" s="16" t="str">
        <f t="shared" si="6"/>
        <v/>
      </c>
      <c r="Q528" s="41" t="e">
        <f t="shared" si="612"/>
        <v>#REF!</v>
      </c>
      <c r="R528" s="44"/>
      <c r="S528" s="44"/>
      <c r="T528" s="43"/>
      <c r="U528" s="43" t="str">
        <f t="shared" si="8"/>
        <v>No</v>
      </c>
      <c r="V528" s="25"/>
      <c r="W528" s="25"/>
      <c r="X528" s="25"/>
      <c r="Y528" s="25"/>
      <c r="Z528" s="25"/>
    </row>
    <row r="529" spans="1:26" ht="15.75" customHeight="1" x14ac:dyDescent="0.25">
      <c r="A529" s="25">
        <v>527</v>
      </c>
      <c r="B529" s="37" t="e">
        <f t="shared" ref="B529:D529" si="1063">VLOOKUP($A529,#REF!,B$1,0)</f>
        <v>#REF!</v>
      </c>
      <c r="C529" s="38" t="e">
        <f t="shared" si="1063"/>
        <v>#REF!</v>
      </c>
      <c r="D529" s="39" t="e">
        <f t="shared" si="1063"/>
        <v>#REF!</v>
      </c>
      <c r="E529" s="16" t="e">
        <f t="shared" si="1"/>
        <v>#REF!</v>
      </c>
      <c r="F529" s="16" t="e">
        <f t="shared" ref="F529:K529" si="1064">VLOOKUP($A529,#REF!,F$1,0)</f>
        <v>#REF!</v>
      </c>
      <c r="G529" s="39" t="e">
        <f t="shared" si="1064"/>
        <v>#REF!</v>
      </c>
      <c r="H529" s="16" t="e">
        <f t="shared" si="1064"/>
        <v>#REF!</v>
      </c>
      <c r="I529" s="16" t="e">
        <f t="shared" si="1064"/>
        <v>#REF!</v>
      </c>
      <c r="J529" s="40" t="e">
        <f t="shared" si="1064"/>
        <v>#REF!</v>
      </c>
      <c r="K529" s="16" t="e">
        <f t="shared" si="1064"/>
        <v>#REF!</v>
      </c>
      <c r="L529" s="40" t="e">
        <f t="shared" si="609"/>
        <v>#REF!</v>
      </c>
      <c r="M529" s="16" t="e">
        <f t="shared" si="610"/>
        <v>#REF!</v>
      </c>
      <c r="N529" s="16" t="e">
        <f t="shared" si="611"/>
        <v>#REF!</v>
      </c>
      <c r="O529" s="16" t="s">
        <v>65</v>
      </c>
      <c r="P529" s="16" t="str">
        <f t="shared" si="6"/>
        <v/>
      </c>
      <c r="Q529" s="41" t="e">
        <f t="shared" si="612"/>
        <v>#REF!</v>
      </c>
      <c r="R529" s="44"/>
      <c r="S529" s="44"/>
      <c r="T529" s="43"/>
      <c r="U529" s="43" t="str">
        <f t="shared" si="8"/>
        <v>No</v>
      </c>
      <c r="V529" s="25"/>
      <c r="W529" s="25"/>
      <c r="X529" s="25"/>
      <c r="Y529" s="25"/>
      <c r="Z529" s="25"/>
    </row>
    <row r="530" spans="1:26" ht="15.75" customHeight="1" x14ac:dyDescent="0.25">
      <c r="A530" s="25">
        <v>528</v>
      </c>
      <c r="B530" s="37" t="e">
        <f t="shared" ref="B530:D530" si="1065">VLOOKUP($A530,#REF!,B$1,0)</f>
        <v>#REF!</v>
      </c>
      <c r="C530" s="38" t="e">
        <f t="shared" si="1065"/>
        <v>#REF!</v>
      </c>
      <c r="D530" s="39" t="e">
        <f t="shared" si="1065"/>
        <v>#REF!</v>
      </c>
      <c r="E530" s="16" t="e">
        <f t="shared" si="1"/>
        <v>#REF!</v>
      </c>
      <c r="F530" s="16" t="e">
        <f t="shared" ref="F530:K530" si="1066">VLOOKUP($A530,#REF!,F$1,0)</f>
        <v>#REF!</v>
      </c>
      <c r="G530" s="39" t="e">
        <f t="shared" si="1066"/>
        <v>#REF!</v>
      </c>
      <c r="H530" s="16" t="e">
        <f t="shared" si="1066"/>
        <v>#REF!</v>
      </c>
      <c r="I530" s="16" t="e">
        <f t="shared" si="1066"/>
        <v>#REF!</v>
      </c>
      <c r="J530" s="40" t="e">
        <f t="shared" si="1066"/>
        <v>#REF!</v>
      </c>
      <c r="K530" s="16" t="e">
        <f t="shared" si="1066"/>
        <v>#REF!</v>
      </c>
      <c r="L530" s="40" t="e">
        <f t="shared" si="609"/>
        <v>#REF!</v>
      </c>
      <c r="M530" s="16" t="e">
        <f t="shared" si="610"/>
        <v>#REF!</v>
      </c>
      <c r="N530" s="16" t="e">
        <f t="shared" si="611"/>
        <v>#REF!</v>
      </c>
      <c r="O530" s="16" t="s">
        <v>65</v>
      </c>
      <c r="P530" s="16" t="str">
        <f t="shared" si="6"/>
        <v/>
      </c>
      <c r="Q530" s="41" t="e">
        <f t="shared" si="612"/>
        <v>#REF!</v>
      </c>
      <c r="R530" s="44"/>
      <c r="S530" s="44"/>
      <c r="T530" s="43"/>
      <c r="U530" s="43" t="str">
        <f t="shared" si="8"/>
        <v>No</v>
      </c>
      <c r="V530" s="25"/>
      <c r="W530" s="25"/>
      <c r="X530" s="25"/>
      <c r="Y530" s="25"/>
      <c r="Z530" s="25"/>
    </row>
    <row r="531" spans="1:26" ht="15.75" customHeight="1" x14ac:dyDescent="0.25">
      <c r="A531" s="25">
        <v>529</v>
      </c>
      <c r="B531" s="37" t="e">
        <f t="shared" ref="B531:D531" si="1067">VLOOKUP($A531,#REF!,B$1,0)</f>
        <v>#REF!</v>
      </c>
      <c r="C531" s="38" t="e">
        <f t="shared" si="1067"/>
        <v>#REF!</v>
      </c>
      <c r="D531" s="39" t="e">
        <f t="shared" si="1067"/>
        <v>#REF!</v>
      </c>
      <c r="E531" s="16" t="e">
        <f t="shared" si="1"/>
        <v>#REF!</v>
      </c>
      <c r="F531" s="16" t="e">
        <f t="shared" ref="F531:K531" si="1068">VLOOKUP($A531,#REF!,F$1,0)</f>
        <v>#REF!</v>
      </c>
      <c r="G531" s="39" t="e">
        <f t="shared" si="1068"/>
        <v>#REF!</v>
      </c>
      <c r="H531" s="16" t="e">
        <f t="shared" si="1068"/>
        <v>#REF!</v>
      </c>
      <c r="I531" s="16" t="e">
        <f t="shared" si="1068"/>
        <v>#REF!</v>
      </c>
      <c r="J531" s="40" t="e">
        <f t="shared" si="1068"/>
        <v>#REF!</v>
      </c>
      <c r="K531" s="16" t="e">
        <f t="shared" si="1068"/>
        <v>#REF!</v>
      </c>
      <c r="L531" s="40" t="e">
        <f t="shared" si="609"/>
        <v>#REF!</v>
      </c>
      <c r="M531" s="16" t="e">
        <f t="shared" si="610"/>
        <v>#REF!</v>
      </c>
      <c r="N531" s="16" t="e">
        <f t="shared" si="611"/>
        <v>#REF!</v>
      </c>
      <c r="O531" s="16" t="s">
        <v>65</v>
      </c>
      <c r="P531" s="16" t="str">
        <f t="shared" si="6"/>
        <v/>
      </c>
      <c r="Q531" s="41" t="e">
        <f t="shared" si="612"/>
        <v>#REF!</v>
      </c>
      <c r="R531" s="44"/>
      <c r="S531" s="44"/>
      <c r="T531" s="43"/>
      <c r="U531" s="43" t="str">
        <f t="shared" si="8"/>
        <v>No</v>
      </c>
      <c r="V531" s="25"/>
      <c r="W531" s="25"/>
      <c r="X531" s="25"/>
      <c r="Y531" s="25"/>
      <c r="Z531" s="25"/>
    </row>
    <row r="532" spans="1:26" ht="15.75" customHeight="1" x14ac:dyDescent="0.25">
      <c r="A532" s="25">
        <v>530</v>
      </c>
      <c r="B532" s="37" t="e">
        <f t="shared" ref="B532:D532" si="1069">VLOOKUP($A532,#REF!,B$1,0)</f>
        <v>#REF!</v>
      </c>
      <c r="C532" s="38" t="e">
        <f t="shared" si="1069"/>
        <v>#REF!</v>
      </c>
      <c r="D532" s="39" t="e">
        <f t="shared" si="1069"/>
        <v>#REF!</v>
      </c>
      <c r="E532" s="16" t="e">
        <f t="shared" si="1"/>
        <v>#REF!</v>
      </c>
      <c r="F532" s="16" t="e">
        <f t="shared" ref="F532:K532" si="1070">VLOOKUP($A532,#REF!,F$1,0)</f>
        <v>#REF!</v>
      </c>
      <c r="G532" s="39" t="e">
        <f t="shared" si="1070"/>
        <v>#REF!</v>
      </c>
      <c r="H532" s="16" t="e">
        <f t="shared" si="1070"/>
        <v>#REF!</v>
      </c>
      <c r="I532" s="16" t="e">
        <f t="shared" si="1070"/>
        <v>#REF!</v>
      </c>
      <c r="J532" s="40" t="e">
        <f t="shared" si="1070"/>
        <v>#REF!</v>
      </c>
      <c r="K532" s="16" t="e">
        <f t="shared" si="1070"/>
        <v>#REF!</v>
      </c>
      <c r="L532" s="40" t="e">
        <f t="shared" si="609"/>
        <v>#REF!</v>
      </c>
      <c r="M532" s="16" t="e">
        <f t="shared" si="610"/>
        <v>#REF!</v>
      </c>
      <c r="N532" s="16" t="e">
        <f t="shared" si="611"/>
        <v>#REF!</v>
      </c>
      <c r="O532" s="16" t="s">
        <v>65</v>
      </c>
      <c r="P532" s="16" t="str">
        <f t="shared" si="6"/>
        <v/>
      </c>
      <c r="Q532" s="41" t="e">
        <f t="shared" si="612"/>
        <v>#REF!</v>
      </c>
      <c r="R532" s="44"/>
      <c r="S532" s="44"/>
      <c r="T532" s="43"/>
      <c r="U532" s="43" t="str">
        <f t="shared" si="8"/>
        <v>No</v>
      </c>
      <c r="V532" s="25"/>
      <c r="W532" s="25"/>
      <c r="X532" s="25"/>
      <c r="Y532" s="25"/>
      <c r="Z532" s="25"/>
    </row>
    <row r="533" spans="1:26" ht="15.75" customHeight="1" x14ac:dyDescent="0.25">
      <c r="A533" s="25">
        <v>531</v>
      </c>
      <c r="B533" s="37" t="e">
        <f t="shared" ref="B533:D533" si="1071">VLOOKUP($A533,#REF!,B$1,0)</f>
        <v>#REF!</v>
      </c>
      <c r="C533" s="38" t="e">
        <f t="shared" si="1071"/>
        <v>#REF!</v>
      </c>
      <c r="D533" s="39" t="e">
        <f t="shared" si="1071"/>
        <v>#REF!</v>
      </c>
      <c r="E533" s="16" t="e">
        <f t="shared" si="1"/>
        <v>#REF!</v>
      </c>
      <c r="F533" s="16" t="e">
        <f t="shared" ref="F533:K533" si="1072">VLOOKUP($A533,#REF!,F$1,0)</f>
        <v>#REF!</v>
      </c>
      <c r="G533" s="39" t="e">
        <f t="shared" si="1072"/>
        <v>#REF!</v>
      </c>
      <c r="H533" s="16" t="e">
        <f t="shared" si="1072"/>
        <v>#REF!</v>
      </c>
      <c r="I533" s="16" t="e">
        <f t="shared" si="1072"/>
        <v>#REF!</v>
      </c>
      <c r="J533" s="40" t="e">
        <f t="shared" si="1072"/>
        <v>#REF!</v>
      </c>
      <c r="K533" s="16" t="e">
        <f t="shared" si="1072"/>
        <v>#REF!</v>
      </c>
      <c r="L533" s="40" t="e">
        <f t="shared" si="609"/>
        <v>#REF!</v>
      </c>
      <c r="M533" s="16" t="e">
        <f t="shared" si="610"/>
        <v>#REF!</v>
      </c>
      <c r="N533" s="16" t="e">
        <f t="shared" si="611"/>
        <v>#REF!</v>
      </c>
      <c r="O533" s="16" t="s">
        <v>65</v>
      </c>
      <c r="P533" s="16" t="str">
        <f t="shared" si="6"/>
        <v/>
      </c>
      <c r="Q533" s="41" t="e">
        <f t="shared" si="612"/>
        <v>#REF!</v>
      </c>
      <c r="R533" s="44"/>
      <c r="S533" s="44"/>
      <c r="T533" s="43"/>
      <c r="U533" s="43" t="str">
        <f t="shared" si="8"/>
        <v>No</v>
      </c>
      <c r="V533" s="25"/>
      <c r="W533" s="25"/>
      <c r="X533" s="25"/>
      <c r="Y533" s="25"/>
      <c r="Z533" s="25"/>
    </row>
    <row r="534" spans="1:26" ht="15.75" customHeight="1" x14ac:dyDescent="0.25">
      <c r="A534" s="25">
        <v>532</v>
      </c>
      <c r="B534" s="37" t="e">
        <f t="shared" ref="B534:D534" si="1073">VLOOKUP($A534,#REF!,B$1,0)</f>
        <v>#REF!</v>
      </c>
      <c r="C534" s="38" t="e">
        <f t="shared" si="1073"/>
        <v>#REF!</v>
      </c>
      <c r="D534" s="39" t="e">
        <f t="shared" si="1073"/>
        <v>#REF!</v>
      </c>
      <c r="E534" s="16" t="e">
        <f t="shared" si="1"/>
        <v>#REF!</v>
      </c>
      <c r="F534" s="16" t="e">
        <f t="shared" ref="F534:K534" si="1074">VLOOKUP($A534,#REF!,F$1,0)</f>
        <v>#REF!</v>
      </c>
      <c r="G534" s="39" t="e">
        <f t="shared" si="1074"/>
        <v>#REF!</v>
      </c>
      <c r="H534" s="16" t="e">
        <f t="shared" si="1074"/>
        <v>#REF!</v>
      </c>
      <c r="I534" s="16" t="e">
        <f t="shared" si="1074"/>
        <v>#REF!</v>
      </c>
      <c r="J534" s="40" t="e">
        <f t="shared" si="1074"/>
        <v>#REF!</v>
      </c>
      <c r="K534" s="16" t="e">
        <f t="shared" si="1074"/>
        <v>#REF!</v>
      </c>
      <c r="L534" s="40" t="e">
        <f t="shared" si="609"/>
        <v>#REF!</v>
      </c>
      <c r="M534" s="16" t="e">
        <f t="shared" si="610"/>
        <v>#REF!</v>
      </c>
      <c r="N534" s="16" t="e">
        <f t="shared" si="611"/>
        <v>#REF!</v>
      </c>
      <c r="O534" s="16" t="s">
        <v>65</v>
      </c>
      <c r="P534" s="16" t="str">
        <f t="shared" si="6"/>
        <v/>
      </c>
      <c r="Q534" s="41" t="e">
        <f t="shared" si="612"/>
        <v>#REF!</v>
      </c>
      <c r="R534" s="44"/>
      <c r="S534" s="44"/>
      <c r="T534" s="43"/>
      <c r="U534" s="43" t="str">
        <f t="shared" si="8"/>
        <v>No</v>
      </c>
      <c r="V534" s="25"/>
      <c r="W534" s="25"/>
      <c r="X534" s="25"/>
      <c r="Y534" s="25"/>
      <c r="Z534" s="25"/>
    </row>
    <row r="535" spans="1:26" ht="15.75" customHeight="1" x14ac:dyDescent="0.25">
      <c r="A535" s="25">
        <v>533</v>
      </c>
      <c r="B535" s="37" t="e">
        <f t="shared" ref="B535:D535" si="1075">VLOOKUP($A535,#REF!,B$1,0)</f>
        <v>#REF!</v>
      </c>
      <c r="C535" s="38" t="e">
        <f t="shared" si="1075"/>
        <v>#REF!</v>
      </c>
      <c r="D535" s="39" t="e">
        <f t="shared" si="1075"/>
        <v>#REF!</v>
      </c>
      <c r="E535" s="16" t="e">
        <f t="shared" si="1"/>
        <v>#REF!</v>
      </c>
      <c r="F535" s="16" t="e">
        <f t="shared" ref="F535:K535" si="1076">VLOOKUP($A535,#REF!,F$1,0)</f>
        <v>#REF!</v>
      </c>
      <c r="G535" s="39" t="e">
        <f t="shared" si="1076"/>
        <v>#REF!</v>
      </c>
      <c r="H535" s="16" t="e">
        <f t="shared" si="1076"/>
        <v>#REF!</v>
      </c>
      <c r="I535" s="16" t="e">
        <f t="shared" si="1076"/>
        <v>#REF!</v>
      </c>
      <c r="J535" s="40" t="e">
        <f t="shared" si="1076"/>
        <v>#REF!</v>
      </c>
      <c r="K535" s="16" t="e">
        <f t="shared" si="1076"/>
        <v>#REF!</v>
      </c>
      <c r="L535" s="40" t="e">
        <f t="shared" si="609"/>
        <v>#REF!</v>
      </c>
      <c r="M535" s="16" t="e">
        <f t="shared" si="610"/>
        <v>#REF!</v>
      </c>
      <c r="N535" s="16" t="e">
        <f t="shared" si="611"/>
        <v>#REF!</v>
      </c>
      <c r="O535" s="16" t="s">
        <v>65</v>
      </c>
      <c r="P535" s="16" t="str">
        <f t="shared" si="6"/>
        <v/>
      </c>
      <c r="Q535" s="41" t="e">
        <f t="shared" si="612"/>
        <v>#REF!</v>
      </c>
      <c r="R535" s="44"/>
      <c r="S535" s="44"/>
      <c r="T535" s="43"/>
      <c r="U535" s="43" t="str">
        <f t="shared" si="8"/>
        <v>No</v>
      </c>
      <c r="V535" s="25"/>
      <c r="W535" s="25"/>
      <c r="X535" s="25"/>
      <c r="Y535" s="25"/>
      <c r="Z535" s="25"/>
    </row>
    <row r="536" spans="1:26" ht="15.75" customHeight="1" x14ac:dyDescent="0.25">
      <c r="A536" s="25">
        <v>534</v>
      </c>
      <c r="B536" s="37" t="e">
        <f t="shared" ref="B536:D536" si="1077">VLOOKUP($A536,#REF!,B$1,0)</f>
        <v>#REF!</v>
      </c>
      <c r="C536" s="38" t="e">
        <f t="shared" si="1077"/>
        <v>#REF!</v>
      </c>
      <c r="D536" s="39" t="e">
        <f t="shared" si="1077"/>
        <v>#REF!</v>
      </c>
      <c r="E536" s="16" t="e">
        <f t="shared" si="1"/>
        <v>#REF!</v>
      </c>
      <c r="F536" s="16" t="e">
        <f t="shared" ref="F536:K536" si="1078">VLOOKUP($A536,#REF!,F$1,0)</f>
        <v>#REF!</v>
      </c>
      <c r="G536" s="39" t="e">
        <f t="shared" si="1078"/>
        <v>#REF!</v>
      </c>
      <c r="H536" s="16" t="e">
        <f t="shared" si="1078"/>
        <v>#REF!</v>
      </c>
      <c r="I536" s="16" t="e">
        <f t="shared" si="1078"/>
        <v>#REF!</v>
      </c>
      <c r="J536" s="40" t="e">
        <f t="shared" si="1078"/>
        <v>#REF!</v>
      </c>
      <c r="K536" s="16" t="e">
        <f t="shared" si="1078"/>
        <v>#REF!</v>
      </c>
      <c r="L536" s="40" t="e">
        <f t="shared" si="609"/>
        <v>#REF!</v>
      </c>
      <c r="M536" s="16" t="e">
        <f t="shared" si="610"/>
        <v>#REF!</v>
      </c>
      <c r="N536" s="16" t="e">
        <f t="shared" si="611"/>
        <v>#REF!</v>
      </c>
      <c r="O536" s="16" t="s">
        <v>65</v>
      </c>
      <c r="P536" s="16" t="str">
        <f t="shared" si="6"/>
        <v/>
      </c>
      <c r="Q536" s="41" t="e">
        <f t="shared" si="612"/>
        <v>#REF!</v>
      </c>
      <c r="R536" s="44"/>
      <c r="S536" s="44"/>
      <c r="T536" s="43"/>
      <c r="U536" s="43" t="str">
        <f t="shared" si="8"/>
        <v>No</v>
      </c>
      <c r="V536" s="25"/>
      <c r="W536" s="25"/>
      <c r="X536" s="25"/>
      <c r="Y536" s="25"/>
      <c r="Z536" s="25"/>
    </row>
    <row r="537" spans="1:26" ht="15.75" customHeight="1" x14ac:dyDescent="0.25">
      <c r="A537" s="25">
        <v>535</v>
      </c>
      <c r="B537" s="37" t="e">
        <f t="shared" ref="B537:D537" si="1079">VLOOKUP($A537,#REF!,B$1,0)</f>
        <v>#REF!</v>
      </c>
      <c r="C537" s="38" t="e">
        <f t="shared" si="1079"/>
        <v>#REF!</v>
      </c>
      <c r="D537" s="39" t="e">
        <f t="shared" si="1079"/>
        <v>#REF!</v>
      </c>
      <c r="E537" s="16" t="e">
        <f t="shared" si="1"/>
        <v>#REF!</v>
      </c>
      <c r="F537" s="16" t="e">
        <f t="shared" ref="F537:K537" si="1080">VLOOKUP($A537,#REF!,F$1,0)</f>
        <v>#REF!</v>
      </c>
      <c r="G537" s="39" t="e">
        <f t="shared" si="1080"/>
        <v>#REF!</v>
      </c>
      <c r="H537" s="16" t="e">
        <f t="shared" si="1080"/>
        <v>#REF!</v>
      </c>
      <c r="I537" s="16" t="e">
        <f t="shared" si="1080"/>
        <v>#REF!</v>
      </c>
      <c r="J537" s="40" t="e">
        <f t="shared" si="1080"/>
        <v>#REF!</v>
      </c>
      <c r="K537" s="16" t="e">
        <f t="shared" si="1080"/>
        <v>#REF!</v>
      </c>
      <c r="L537" s="40" t="e">
        <f t="shared" si="609"/>
        <v>#REF!</v>
      </c>
      <c r="M537" s="16" t="e">
        <f t="shared" si="610"/>
        <v>#REF!</v>
      </c>
      <c r="N537" s="16" t="e">
        <f t="shared" si="611"/>
        <v>#REF!</v>
      </c>
      <c r="O537" s="16" t="s">
        <v>65</v>
      </c>
      <c r="P537" s="16" t="str">
        <f t="shared" si="6"/>
        <v/>
      </c>
      <c r="Q537" s="41" t="e">
        <f t="shared" si="612"/>
        <v>#REF!</v>
      </c>
      <c r="R537" s="44"/>
      <c r="S537" s="44"/>
      <c r="T537" s="43"/>
      <c r="U537" s="43" t="str">
        <f t="shared" si="8"/>
        <v>No</v>
      </c>
      <c r="V537" s="25"/>
      <c r="W537" s="25"/>
      <c r="X537" s="25"/>
      <c r="Y537" s="25"/>
      <c r="Z537" s="25"/>
    </row>
    <row r="538" spans="1:26" ht="15.75" customHeight="1" x14ac:dyDescent="0.25">
      <c r="A538" s="25">
        <v>536</v>
      </c>
      <c r="B538" s="37" t="e">
        <f t="shared" ref="B538:D538" si="1081">VLOOKUP($A538,#REF!,B$1,0)</f>
        <v>#REF!</v>
      </c>
      <c r="C538" s="38" t="e">
        <f t="shared" si="1081"/>
        <v>#REF!</v>
      </c>
      <c r="D538" s="39" t="e">
        <f t="shared" si="1081"/>
        <v>#REF!</v>
      </c>
      <c r="E538" s="16" t="e">
        <f t="shared" si="1"/>
        <v>#REF!</v>
      </c>
      <c r="F538" s="16" t="e">
        <f t="shared" ref="F538:K538" si="1082">VLOOKUP($A538,#REF!,F$1,0)</f>
        <v>#REF!</v>
      </c>
      <c r="G538" s="39" t="e">
        <f t="shared" si="1082"/>
        <v>#REF!</v>
      </c>
      <c r="H538" s="16" t="e">
        <f t="shared" si="1082"/>
        <v>#REF!</v>
      </c>
      <c r="I538" s="16" t="e">
        <f t="shared" si="1082"/>
        <v>#REF!</v>
      </c>
      <c r="J538" s="40" t="e">
        <f t="shared" si="1082"/>
        <v>#REF!</v>
      </c>
      <c r="K538" s="16" t="e">
        <f t="shared" si="1082"/>
        <v>#REF!</v>
      </c>
      <c r="L538" s="40" t="e">
        <f t="shared" si="609"/>
        <v>#REF!</v>
      </c>
      <c r="M538" s="16" t="e">
        <f t="shared" si="610"/>
        <v>#REF!</v>
      </c>
      <c r="N538" s="16" t="e">
        <f t="shared" si="611"/>
        <v>#REF!</v>
      </c>
      <c r="O538" s="16" t="s">
        <v>65</v>
      </c>
      <c r="P538" s="16" t="str">
        <f t="shared" si="6"/>
        <v/>
      </c>
      <c r="Q538" s="41" t="e">
        <f t="shared" si="612"/>
        <v>#REF!</v>
      </c>
      <c r="R538" s="44"/>
      <c r="S538" s="44"/>
      <c r="T538" s="43"/>
      <c r="U538" s="43" t="str">
        <f t="shared" si="8"/>
        <v>No</v>
      </c>
      <c r="V538" s="25"/>
      <c r="W538" s="25"/>
      <c r="X538" s="25"/>
      <c r="Y538" s="25"/>
      <c r="Z538" s="25"/>
    </row>
    <row r="539" spans="1:26" ht="15.75" customHeight="1" x14ac:dyDescent="0.25">
      <c r="A539" s="25">
        <v>537</v>
      </c>
      <c r="B539" s="37" t="e">
        <f t="shared" ref="B539:D539" si="1083">VLOOKUP($A539,#REF!,B$1,0)</f>
        <v>#REF!</v>
      </c>
      <c r="C539" s="38" t="e">
        <f t="shared" si="1083"/>
        <v>#REF!</v>
      </c>
      <c r="D539" s="39" t="e">
        <f t="shared" si="1083"/>
        <v>#REF!</v>
      </c>
      <c r="E539" s="16" t="e">
        <f t="shared" si="1"/>
        <v>#REF!</v>
      </c>
      <c r="F539" s="16" t="e">
        <f t="shared" ref="F539:K539" si="1084">VLOOKUP($A539,#REF!,F$1,0)</f>
        <v>#REF!</v>
      </c>
      <c r="G539" s="39" t="e">
        <f t="shared" si="1084"/>
        <v>#REF!</v>
      </c>
      <c r="H539" s="16" t="e">
        <f t="shared" si="1084"/>
        <v>#REF!</v>
      </c>
      <c r="I539" s="16" t="e">
        <f t="shared" si="1084"/>
        <v>#REF!</v>
      </c>
      <c r="J539" s="40" t="e">
        <f t="shared" si="1084"/>
        <v>#REF!</v>
      </c>
      <c r="K539" s="16" t="e">
        <f t="shared" si="1084"/>
        <v>#REF!</v>
      </c>
      <c r="L539" s="40" t="e">
        <f t="shared" si="609"/>
        <v>#REF!</v>
      </c>
      <c r="M539" s="16" t="e">
        <f t="shared" si="610"/>
        <v>#REF!</v>
      </c>
      <c r="N539" s="16" t="e">
        <f t="shared" si="611"/>
        <v>#REF!</v>
      </c>
      <c r="O539" s="16" t="s">
        <v>65</v>
      </c>
      <c r="P539" s="16" t="str">
        <f t="shared" si="6"/>
        <v/>
      </c>
      <c r="Q539" s="41" t="e">
        <f t="shared" si="612"/>
        <v>#REF!</v>
      </c>
      <c r="R539" s="44"/>
      <c r="S539" s="44"/>
      <c r="T539" s="43"/>
      <c r="U539" s="43" t="str">
        <f t="shared" si="8"/>
        <v>No</v>
      </c>
      <c r="V539" s="25"/>
      <c r="W539" s="25"/>
      <c r="X539" s="25"/>
      <c r="Y539" s="25"/>
      <c r="Z539" s="25"/>
    </row>
    <row r="540" spans="1:26" ht="15.75" customHeight="1" x14ac:dyDescent="0.25">
      <c r="A540" s="25">
        <v>538</v>
      </c>
      <c r="B540" s="37" t="e">
        <f t="shared" ref="B540:D540" si="1085">VLOOKUP($A540,#REF!,B$1,0)</f>
        <v>#REF!</v>
      </c>
      <c r="C540" s="38" t="e">
        <f t="shared" si="1085"/>
        <v>#REF!</v>
      </c>
      <c r="D540" s="39" t="e">
        <f t="shared" si="1085"/>
        <v>#REF!</v>
      </c>
      <c r="E540" s="16" t="e">
        <f t="shared" si="1"/>
        <v>#REF!</v>
      </c>
      <c r="F540" s="16" t="e">
        <f t="shared" ref="F540:K540" si="1086">VLOOKUP($A540,#REF!,F$1,0)</f>
        <v>#REF!</v>
      </c>
      <c r="G540" s="39" t="e">
        <f t="shared" si="1086"/>
        <v>#REF!</v>
      </c>
      <c r="H540" s="16" t="e">
        <f t="shared" si="1086"/>
        <v>#REF!</v>
      </c>
      <c r="I540" s="16" t="e">
        <f t="shared" si="1086"/>
        <v>#REF!</v>
      </c>
      <c r="J540" s="40" t="e">
        <f t="shared" si="1086"/>
        <v>#REF!</v>
      </c>
      <c r="K540" s="16" t="e">
        <f t="shared" si="1086"/>
        <v>#REF!</v>
      </c>
      <c r="L540" s="40" t="e">
        <f t="shared" si="609"/>
        <v>#REF!</v>
      </c>
      <c r="M540" s="16" t="e">
        <f t="shared" si="610"/>
        <v>#REF!</v>
      </c>
      <c r="N540" s="16" t="e">
        <f t="shared" si="611"/>
        <v>#REF!</v>
      </c>
      <c r="O540" s="16" t="s">
        <v>65</v>
      </c>
      <c r="P540" s="16" t="str">
        <f t="shared" si="6"/>
        <v/>
      </c>
      <c r="Q540" s="41" t="e">
        <f t="shared" si="612"/>
        <v>#REF!</v>
      </c>
      <c r="R540" s="44"/>
      <c r="S540" s="44"/>
      <c r="T540" s="43"/>
      <c r="U540" s="43" t="str">
        <f t="shared" si="8"/>
        <v>No</v>
      </c>
      <c r="V540" s="25"/>
      <c r="W540" s="25"/>
      <c r="X540" s="25"/>
      <c r="Y540" s="25"/>
      <c r="Z540" s="25"/>
    </row>
    <row r="541" spans="1:26" ht="15.75" customHeight="1" x14ac:dyDescent="0.25">
      <c r="A541" s="25">
        <v>539</v>
      </c>
      <c r="B541" s="37" t="e">
        <f t="shared" ref="B541:D541" si="1087">VLOOKUP($A541,#REF!,B$1,0)</f>
        <v>#REF!</v>
      </c>
      <c r="C541" s="38" t="e">
        <f t="shared" si="1087"/>
        <v>#REF!</v>
      </c>
      <c r="D541" s="39" t="e">
        <f t="shared" si="1087"/>
        <v>#REF!</v>
      </c>
      <c r="E541" s="16" t="e">
        <f t="shared" si="1"/>
        <v>#REF!</v>
      </c>
      <c r="F541" s="16" t="e">
        <f t="shared" ref="F541:K541" si="1088">VLOOKUP($A541,#REF!,F$1,0)</f>
        <v>#REF!</v>
      </c>
      <c r="G541" s="39" t="e">
        <f t="shared" si="1088"/>
        <v>#REF!</v>
      </c>
      <c r="H541" s="16" t="e">
        <f t="shared" si="1088"/>
        <v>#REF!</v>
      </c>
      <c r="I541" s="16" t="e">
        <f t="shared" si="1088"/>
        <v>#REF!</v>
      </c>
      <c r="J541" s="40" t="e">
        <f t="shared" si="1088"/>
        <v>#REF!</v>
      </c>
      <c r="K541" s="16" t="e">
        <f t="shared" si="1088"/>
        <v>#REF!</v>
      </c>
      <c r="L541" s="40" t="e">
        <f t="shared" si="609"/>
        <v>#REF!</v>
      </c>
      <c r="M541" s="16" t="e">
        <f t="shared" si="610"/>
        <v>#REF!</v>
      </c>
      <c r="N541" s="16" t="e">
        <f t="shared" si="611"/>
        <v>#REF!</v>
      </c>
      <c r="O541" s="16" t="s">
        <v>65</v>
      </c>
      <c r="P541" s="16" t="str">
        <f t="shared" si="6"/>
        <v/>
      </c>
      <c r="Q541" s="41" t="e">
        <f t="shared" si="612"/>
        <v>#REF!</v>
      </c>
      <c r="R541" s="44"/>
      <c r="S541" s="44"/>
      <c r="T541" s="43"/>
      <c r="U541" s="43" t="str">
        <f t="shared" si="8"/>
        <v>No</v>
      </c>
      <c r="V541" s="25"/>
      <c r="W541" s="25"/>
      <c r="X541" s="25"/>
      <c r="Y541" s="25"/>
      <c r="Z541" s="25"/>
    </row>
    <row r="542" spans="1:26" ht="15.75" customHeight="1" x14ac:dyDescent="0.25">
      <c r="A542" s="25">
        <v>540</v>
      </c>
      <c r="B542" s="37" t="e">
        <f t="shared" ref="B542:D542" si="1089">VLOOKUP($A542,#REF!,B$1,0)</f>
        <v>#REF!</v>
      </c>
      <c r="C542" s="38" t="e">
        <f t="shared" si="1089"/>
        <v>#REF!</v>
      </c>
      <c r="D542" s="39" t="e">
        <f t="shared" si="1089"/>
        <v>#REF!</v>
      </c>
      <c r="E542" s="16" t="e">
        <f t="shared" si="1"/>
        <v>#REF!</v>
      </c>
      <c r="F542" s="16" t="e">
        <f t="shared" ref="F542:K542" si="1090">VLOOKUP($A542,#REF!,F$1,0)</f>
        <v>#REF!</v>
      </c>
      <c r="G542" s="39" t="e">
        <f t="shared" si="1090"/>
        <v>#REF!</v>
      </c>
      <c r="H542" s="16" t="e">
        <f t="shared" si="1090"/>
        <v>#REF!</v>
      </c>
      <c r="I542" s="16" t="e">
        <f t="shared" si="1090"/>
        <v>#REF!</v>
      </c>
      <c r="J542" s="40" t="e">
        <f t="shared" si="1090"/>
        <v>#REF!</v>
      </c>
      <c r="K542" s="16" t="e">
        <f t="shared" si="1090"/>
        <v>#REF!</v>
      </c>
      <c r="L542" s="40" t="e">
        <f t="shared" si="609"/>
        <v>#REF!</v>
      </c>
      <c r="M542" s="16" t="e">
        <f t="shared" si="610"/>
        <v>#REF!</v>
      </c>
      <c r="N542" s="16" t="e">
        <f t="shared" si="611"/>
        <v>#REF!</v>
      </c>
      <c r="O542" s="16" t="s">
        <v>65</v>
      </c>
      <c r="P542" s="16" t="str">
        <f t="shared" si="6"/>
        <v/>
      </c>
      <c r="Q542" s="41" t="e">
        <f t="shared" si="612"/>
        <v>#REF!</v>
      </c>
      <c r="R542" s="44"/>
      <c r="S542" s="44"/>
      <c r="T542" s="43"/>
      <c r="U542" s="43" t="str">
        <f t="shared" si="8"/>
        <v>No</v>
      </c>
      <c r="V542" s="25"/>
      <c r="W542" s="25"/>
      <c r="X542" s="25"/>
      <c r="Y542" s="25"/>
      <c r="Z542" s="25"/>
    </row>
    <row r="543" spans="1:26" ht="15.75" customHeight="1" x14ac:dyDescent="0.25">
      <c r="A543" s="25">
        <v>541</v>
      </c>
      <c r="B543" s="37" t="e">
        <f t="shared" ref="B543:D543" si="1091">VLOOKUP($A543,#REF!,B$1,0)</f>
        <v>#REF!</v>
      </c>
      <c r="C543" s="38" t="e">
        <f t="shared" si="1091"/>
        <v>#REF!</v>
      </c>
      <c r="D543" s="39" t="e">
        <f t="shared" si="1091"/>
        <v>#REF!</v>
      </c>
      <c r="E543" s="16" t="e">
        <f t="shared" si="1"/>
        <v>#REF!</v>
      </c>
      <c r="F543" s="16" t="e">
        <f t="shared" ref="F543:K543" si="1092">VLOOKUP($A543,#REF!,F$1,0)</f>
        <v>#REF!</v>
      </c>
      <c r="G543" s="39" t="e">
        <f t="shared" si="1092"/>
        <v>#REF!</v>
      </c>
      <c r="H543" s="16" t="e">
        <f t="shared" si="1092"/>
        <v>#REF!</v>
      </c>
      <c r="I543" s="16" t="e">
        <f t="shared" si="1092"/>
        <v>#REF!</v>
      </c>
      <c r="J543" s="40" t="e">
        <f t="shared" si="1092"/>
        <v>#REF!</v>
      </c>
      <c r="K543" s="16" t="e">
        <f t="shared" si="1092"/>
        <v>#REF!</v>
      </c>
      <c r="L543" s="40" t="e">
        <f t="shared" si="609"/>
        <v>#REF!</v>
      </c>
      <c r="M543" s="16" t="e">
        <f t="shared" si="610"/>
        <v>#REF!</v>
      </c>
      <c r="N543" s="16" t="e">
        <f t="shared" si="611"/>
        <v>#REF!</v>
      </c>
      <c r="O543" s="16" t="s">
        <v>65</v>
      </c>
      <c r="P543" s="16" t="str">
        <f t="shared" si="6"/>
        <v/>
      </c>
      <c r="Q543" s="41" t="e">
        <f t="shared" si="612"/>
        <v>#REF!</v>
      </c>
      <c r="R543" s="44"/>
      <c r="S543" s="44"/>
      <c r="T543" s="43"/>
      <c r="U543" s="43" t="str">
        <f t="shared" si="8"/>
        <v>No</v>
      </c>
      <c r="V543" s="25"/>
      <c r="W543" s="25"/>
      <c r="X543" s="25"/>
      <c r="Y543" s="25"/>
      <c r="Z543" s="25"/>
    </row>
    <row r="544" spans="1:26" ht="15.75" customHeight="1" x14ac:dyDescent="0.25">
      <c r="A544" s="25">
        <v>542</v>
      </c>
      <c r="B544" s="37" t="e">
        <f t="shared" ref="B544:D544" si="1093">VLOOKUP($A544,#REF!,B$1,0)</f>
        <v>#REF!</v>
      </c>
      <c r="C544" s="38" t="e">
        <f t="shared" si="1093"/>
        <v>#REF!</v>
      </c>
      <c r="D544" s="39" t="e">
        <f t="shared" si="1093"/>
        <v>#REF!</v>
      </c>
      <c r="E544" s="16" t="e">
        <f t="shared" si="1"/>
        <v>#REF!</v>
      </c>
      <c r="F544" s="16" t="e">
        <f t="shared" ref="F544:K544" si="1094">VLOOKUP($A544,#REF!,F$1,0)</f>
        <v>#REF!</v>
      </c>
      <c r="G544" s="39" t="e">
        <f t="shared" si="1094"/>
        <v>#REF!</v>
      </c>
      <c r="H544" s="16" t="e">
        <f t="shared" si="1094"/>
        <v>#REF!</v>
      </c>
      <c r="I544" s="16" t="e">
        <f t="shared" si="1094"/>
        <v>#REF!</v>
      </c>
      <c r="J544" s="40" t="e">
        <f t="shared" si="1094"/>
        <v>#REF!</v>
      </c>
      <c r="K544" s="16" t="e">
        <f t="shared" si="1094"/>
        <v>#REF!</v>
      </c>
      <c r="L544" s="40" t="e">
        <f t="shared" si="609"/>
        <v>#REF!</v>
      </c>
      <c r="M544" s="16" t="e">
        <f t="shared" si="610"/>
        <v>#REF!</v>
      </c>
      <c r="N544" s="16" t="e">
        <f t="shared" si="611"/>
        <v>#REF!</v>
      </c>
      <c r="O544" s="16" t="s">
        <v>65</v>
      </c>
      <c r="P544" s="16" t="str">
        <f t="shared" si="6"/>
        <v/>
      </c>
      <c r="Q544" s="41" t="e">
        <f t="shared" si="612"/>
        <v>#REF!</v>
      </c>
      <c r="R544" s="44"/>
      <c r="S544" s="44"/>
      <c r="T544" s="43"/>
      <c r="U544" s="43" t="str">
        <f t="shared" si="8"/>
        <v>No</v>
      </c>
      <c r="V544" s="25"/>
      <c r="W544" s="25"/>
      <c r="X544" s="25"/>
      <c r="Y544" s="25"/>
      <c r="Z544" s="25"/>
    </row>
    <row r="545" spans="1:26" ht="15.75" customHeight="1" x14ac:dyDescent="0.25">
      <c r="A545" s="25">
        <v>543</v>
      </c>
      <c r="B545" s="37" t="e">
        <f t="shared" ref="B545:D545" si="1095">VLOOKUP($A545,#REF!,B$1,0)</f>
        <v>#REF!</v>
      </c>
      <c r="C545" s="38" t="e">
        <f t="shared" si="1095"/>
        <v>#REF!</v>
      </c>
      <c r="D545" s="39" t="e">
        <f t="shared" si="1095"/>
        <v>#REF!</v>
      </c>
      <c r="E545" s="16" t="e">
        <f t="shared" si="1"/>
        <v>#REF!</v>
      </c>
      <c r="F545" s="16" t="e">
        <f t="shared" ref="F545:K545" si="1096">VLOOKUP($A545,#REF!,F$1,0)</f>
        <v>#REF!</v>
      </c>
      <c r="G545" s="39" t="e">
        <f t="shared" si="1096"/>
        <v>#REF!</v>
      </c>
      <c r="H545" s="16" t="e">
        <f t="shared" si="1096"/>
        <v>#REF!</v>
      </c>
      <c r="I545" s="16" t="e">
        <f t="shared" si="1096"/>
        <v>#REF!</v>
      </c>
      <c r="J545" s="40" t="e">
        <f t="shared" si="1096"/>
        <v>#REF!</v>
      </c>
      <c r="K545" s="16" t="e">
        <f t="shared" si="1096"/>
        <v>#REF!</v>
      </c>
      <c r="L545" s="40" t="e">
        <f t="shared" si="609"/>
        <v>#REF!</v>
      </c>
      <c r="M545" s="16" t="e">
        <f t="shared" si="610"/>
        <v>#REF!</v>
      </c>
      <c r="N545" s="16" t="e">
        <f t="shared" si="611"/>
        <v>#REF!</v>
      </c>
      <c r="O545" s="16" t="s">
        <v>65</v>
      </c>
      <c r="P545" s="16" t="str">
        <f t="shared" si="6"/>
        <v/>
      </c>
      <c r="Q545" s="41" t="e">
        <f t="shared" si="612"/>
        <v>#REF!</v>
      </c>
      <c r="R545" s="44"/>
      <c r="S545" s="44"/>
      <c r="T545" s="43"/>
      <c r="U545" s="43" t="str">
        <f t="shared" si="8"/>
        <v>No</v>
      </c>
      <c r="V545" s="25"/>
      <c r="W545" s="25"/>
      <c r="X545" s="25"/>
      <c r="Y545" s="25"/>
      <c r="Z545" s="25"/>
    </row>
    <row r="546" spans="1:26" ht="15.75" customHeight="1" x14ac:dyDescent="0.25">
      <c r="A546" s="25">
        <v>544</v>
      </c>
      <c r="B546" s="37" t="e">
        <f t="shared" ref="B546:D546" si="1097">VLOOKUP($A546,#REF!,B$1,0)</f>
        <v>#REF!</v>
      </c>
      <c r="C546" s="38" t="e">
        <f t="shared" si="1097"/>
        <v>#REF!</v>
      </c>
      <c r="D546" s="39" t="e">
        <f t="shared" si="1097"/>
        <v>#REF!</v>
      </c>
      <c r="E546" s="16" t="e">
        <f t="shared" si="1"/>
        <v>#REF!</v>
      </c>
      <c r="F546" s="16" t="e">
        <f t="shared" ref="F546:K546" si="1098">VLOOKUP($A546,#REF!,F$1,0)</f>
        <v>#REF!</v>
      </c>
      <c r="G546" s="39" t="e">
        <f t="shared" si="1098"/>
        <v>#REF!</v>
      </c>
      <c r="H546" s="16" t="e">
        <f t="shared" si="1098"/>
        <v>#REF!</v>
      </c>
      <c r="I546" s="16" t="e">
        <f t="shared" si="1098"/>
        <v>#REF!</v>
      </c>
      <c r="J546" s="40" t="e">
        <f t="shared" si="1098"/>
        <v>#REF!</v>
      </c>
      <c r="K546" s="16" t="e">
        <f t="shared" si="1098"/>
        <v>#REF!</v>
      </c>
      <c r="L546" s="40" t="e">
        <f t="shared" si="609"/>
        <v>#REF!</v>
      </c>
      <c r="M546" s="16" t="e">
        <f t="shared" si="610"/>
        <v>#REF!</v>
      </c>
      <c r="N546" s="16" t="e">
        <f t="shared" si="611"/>
        <v>#REF!</v>
      </c>
      <c r="O546" s="16" t="s">
        <v>65</v>
      </c>
      <c r="P546" s="16" t="str">
        <f t="shared" si="6"/>
        <v/>
      </c>
      <c r="Q546" s="41" t="e">
        <f t="shared" si="612"/>
        <v>#REF!</v>
      </c>
      <c r="R546" s="44"/>
      <c r="S546" s="44"/>
      <c r="T546" s="43"/>
      <c r="U546" s="43" t="str">
        <f t="shared" si="8"/>
        <v>No</v>
      </c>
      <c r="V546" s="25"/>
      <c r="W546" s="25"/>
      <c r="X546" s="25"/>
      <c r="Y546" s="25"/>
      <c r="Z546" s="25"/>
    </row>
    <row r="547" spans="1:26" ht="15.75" customHeight="1" x14ac:dyDescent="0.25">
      <c r="A547" s="25">
        <v>545</v>
      </c>
      <c r="B547" s="37" t="e">
        <f t="shared" ref="B547:D547" si="1099">VLOOKUP($A547,#REF!,B$1,0)</f>
        <v>#REF!</v>
      </c>
      <c r="C547" s="38" t="e">
        <f t="shared" si="1099"/>
        <v>#REF!</v>
      </c>
      <c r="D547" s="39" t="e">
        <f t="shared" si="1099"/>
        <v>#REF!</v>
      </c>
      <c r="E547" s="16" t="e">
        <f t="shared" si="1"/>
        <v>#REF!</v>
      </c>
      <c r="F547" s="16" t="e">
        <f t="shared" ref="F547:K547" si="1100">VLOOKUP($A547,#REF!,F$1,0)</f>
        <v>#REF!</v>
      </c>
      <c r="G547" s="39" t="e">
        <f t="shared" si="1100"/>
        <v>#REF!</v>
      </c>
      <c r="H547" s="16" t="e">
        <f t="shared" si="1100"/>
        <v>#REF!</v>
      </c>
      <c r="I547" s="16" t="e">
        <f t="shared" si="1100"/>
        <v>#REF!</v>
      </c>
      <c r="J547" s="40" t="e">
        <f t="shared" si="1100"/>
        <v>#REF!</v>
      </c>
      <c r="K547" s="16" t="e">
        <f t="shared" si="1100"/>
        <v>#REF!</v>
      </c>
      <c r="L547" s="40" t="e">
        <f t="shared" si="609"/>
        <v>#REF!</v>
      </c>
      <c r="M547" s="16" t="e">
        <f t="shared" si="610"/>
        <v>#REF!</v>
      </c>
      <c r="N547" s="16" t="e">
        <f t="shared" si="611"/>
        <v>#REF!</v>
      </c>
      <c r="O547" s="16" t="s">
        <v>65</v>
      </c>
      <c r="P547" s="16" t="str">
        <f t="shared" si="6"/>
        <v/>
      </c>
      <c r="Q547" s="41" t="e">
        <f t="shared" si="612"/>
        <v>#REF!</v>
      </c>
      <c r="R547" s="44"/>
      <c r="S547" s="44"/>
      <c r="T547" s="43"/>
      <c r="U547" s="43" t="str">
        <f t="shared" si="8"/>
        <v>No</v>
      </c>
      <c r="V547" s="25"/>
      <c r="W547" s="25"/>
      <c r="X547" s="25"/>
      <c r="Y547" s="25"/>
      <c r="Z547" s="25"/>
    </row>
    <row r="548" spans="1:26" ht="15.75" customHeight="1" x14ac:dyDescent="0.25">
      <c r="A548" s="25">
        <v>546</v>
      </c>
      <c r="B548" s="37" t="e">
        <f t="shared" ref="B548:D548" si="1101">VLOOKUP($A548,#REF!,B$1,0)</f>
        <v>#REF!</v>
      </c>
      <c r="C548" s="38" t="e">
        <f t="shared" si="1101"/>
        <v>#REF!</v>
      </c>
      <c r="D548" s="39" t="e">
        <f t="shared" si="1101"/>
        <v>#REF!</v>
      </c>
      <c r="E548" s="16" t="e">
        <f t="shared" si="1"/>
        <v>#REF!</v>
      </c>
      <c r="F548" s="16" t="e">
        <f t="shared" ref="F548:K548" si="1102">VLOOKUP($A548,#REF!,F$1,0)</f>
        <v>#REF!</v>
      </c>
      <c r="G548" s="39" t="e">
        <f t="shared" si="1102"/>
        <v>#REF!</v>
      </c>
      <c r="H548" s="16" t="e">
        <f t="shared" si="1102"/>
        <v>#REF!</v>
      </c>
      <c r="I548" s="16" t="e">
        <f t="shared" si="1102"/>
        <v>#REF!</v>
      </c>
      <c r="J548" s="40" t="e">
        <f t="shared" si="1102"/>
        <v>#REF!</v>
      </c>
      <c r="K548" s="16" t="e">
        <f t="shared" si="1102"/>
        <v>#REF!</v>
      </c>
      <c r="L548" s="40" t="e">
        <f t="shared" si="609"/>
        <v>#REF!</v>
      </c>
      <c r="M548" s="16" t="e">
        <f t="shared" si="610"/>
        <v>#REF!</v>
      </c>
      <c r="N548" s="16" t="e">
        <f t="shared" si="611"/>
        <v>#REF!</v>
      </c>
      <c r="O548" s="16" t="s">
        <v>65</v>
      </c>
      <c r="P548" s="16" t="str">
        <f t="shared" si="6"/>
        <v/>
      </c>
      <c r="Q548" s="41" t="e">
        <f t="shared" si="612"/>
        <v>#REF!</v>
      </c>
      <c r="R548" s="44"/>
      <c r="S548" s="44"/>
      <c r="T548" s="43"/>
      <c r="U548" s="43" t="str">
        <f t="shared" si="8"/>
        <v>No</v>
      </c>
      <c r="V548" s="25"/>
      <c r="W548" s="25"/>
      <c r="X548" s="25"/>
      <c r="Y548" s="25"/>
      <c r="Z548" s="25"/>
    </row>
    <row r="549" spans="1:26" ht="15.75" customHeight="1" x14ac:dyDescent="0.25">
      <c r="A549" s="25">
        <v>547</v>
      </c>
      <c r="B549" s="37" t="e">
        <f t="shared" ref="B549:D549" si="1103">VLOOKUP($A549,#REF!,B$1,0)</f>
        <v>#REF!</v>
      </c>
      <c r="C549" s="38" t="e">
        <f t="shared" si="1103"/>
        <v>#REF!</v>
      </c>
      <c r="D549" s="39" t="e">
        <f t="shared" si="1103"/>
        <v>#REF!</v>
      </c>
      <c r="E549" s="16" t="e">
        <f t="shared" si="1"/>
        <v>#REF!</v>
      </c>
      <c r="F549" s="16" t="e">
        <f t="shared" ref="F549:K549" si="1104">VLOOKUP($A549,#REF!,F$1,0)</f>
        <v>#REF!</v>
      </c>
      <c r="G549" s="39" t="e">
        <f t="shared" si="1104"/>
        <v>#REF!</v>
      </c>
      <c r="H549" s="16" t="e">
        <f t="shared" si="1104"/>
        <v>#REF!</v>
      </c>
      <c r="I549" s="16" t="e">
        <f t="shared" si="1104"/>
        <v>#REF!</v>
      </c>
      <c r="J549" s="40" t="e">
        <f t="shared" si="1104"/>
        <v>#REF!</v>
      </c>
      <c r="K549" s="16" t="e">
        <f t="shared" si="1104"/>
        <v>#REF!</v>
      </c>
      <c r="L549" s="40" t="e">
        <f t="shared" si="609"/>
        <v>#REF!</v>
      </c>
      <c r="M549" s="16" t="e">
        <f t="shared" si="610"/>
        <v>#REF!</v>
      </c>
      <c r="N549" s="16" t="e">
        <f t="shared" si="611"/>
        <v>#REF!</v>
      </c>
      <c r="O549" s="16" t="s">
        <v>65</v>
      </c>
      <c r="P549" s="16" t="str">
        <f t="shared" si="6"/>
        <v/>
      </c>
      <c r="Q549" s="41" t="e">
        <f t="shared" si="612"/>
        <v>#REF!</v>
      </c>
      <c r="R549" s="44"/>
      <c r="S549" s="44"/>
      <c r="T549" s="43"/>
      <c r="U549" s="43" t="str">
        <f t="shared" si="8"/>
        <v>No</v>
      </c>
      <c r="V549" s="25"/>
      <c r="W549" s="25"/>
      <c r="X549" s="25"/>
      <c r="Y549" s="25"/>
      <c r="Z549" s="25"/>
    </row>
    <row r="550" spans="1:26" ht="15.75" customHeight="1" x14ac:dyDescent="0.25">
      <c r="A550" s="25">
        <v>548</v>
      </c>
      <c r="B550" s="37" t="e">
        <f t="shared" ref="B550:D550" si="1105">VLOOKUP($A550,#REF!,B$1,0)</f>
        <v>#REF!</v>
      </c>
      <c r="C550" s="38" t="e">
        <f t="shared" si="1105"/>
        <v>#REF!</v>
      </c>
      <c r="D550" s="39" t="e">
        <f t="shared" si="1105"/>
        <v>#REF!</v>
      </c>
      <c r="E550" s="16" t="e">
        <f t="shared" si="1"/>
        <v>#REF!</v>
      </c>
      <c r="F550" s="16" t="e">
        <f t="shared" ref="F550:K550" si="1106">VLOOKUP($A550,#REF!,F$1,0)</f>
        <v>#REF!</v>
      </c>
      <c r="G550" s="39" t="e">
        <f t="shared" si="1106"/>
        <v>#REF!</v>
      </c>
      <c r="H550" s="16" t="e">
        <f t="shared" si="1106"/>
        <v>#REF!</v>
      </c>
      <c r="I550" s="16" t="e">
        <f t="shared" si="1106"/>
        <v>#REF!</v>
      </c>
      <c r="J550" s="40" t="e">
        <f t="shared" si="1106"/>
        <v>#REF!</v>
      </c>
      <c r="K550" s="16" t="e">
        <f t="shared" si="1106"/>
        <v>#REF!</v>
      </c>
      <c r="L550" s="40" t="e">
        <f t="shared" si="609"/>
        <v>#REF!</v>
      </c>
      <c r="M550" s="16" t="e">
        <f t="shared" si="610"/>
        <v>#REF!</v>
      </c>
      <c r="N550" s="16" t="e">
        <f t="shared" si="611"/>
        <v>#REF!</v>
      </c>
      <c r="O550" s="16" t="s">
        <v>65</v>
      </c>
      <c r="P550" s="16" t="str">
        <f t="shared" si="6"/>
        <v/>
      </c>
      <c r="Q550" s="41" t="e">
        <f t="shared" si="612"/>
        <v>#REF!</v>
      </c>
      <c r="R550" s="44"/>
      <c r="S550" s="44"/>
      <c r="T550" s="43"/>
      <c r="U550" s="43" t="str">
        <f t="shared" si="8"/>
        <v>No</v>
      </c>
      <c r="V550" s="25"/>
      <c r="W550" s="25"/>
      <c r="X550" s="25"/>
      <c r="Y550" s="25"/>
      <c r="Z550" s="25"/>
    </row>
    <row r="551" spans="1:26" ht="15.75" customHeight="1" x14ac:dyDescent="0.25">
      <c r="A551" s="25">
        <v>549</v>
      </c>
      <c r="B551" s="37" t="e">
        <f t="shared" ref="B551:D551" si="1107">VLOOKUP($A551,#REF!,B$1,0)</f>
        <v>#REF!</v>
      </c>
      <c r="C551" s="38" t="e">
        <f t="shared" si="1107"/>
        <v>#REF!</v>
      </c>
      <c r="D551" s="39" t="e">
        <f t="shared" si="1107"/>
        <v>#REF!</v>
      </c>
      <c r="E551" s="16" t="e">
        <f t="shared" si="1"/>
        <v>#REF!</v>
      </c>
      <c r="F551" s="16" t="e">
        <f t="shared" ref="F551:K551" si="1108">VLOOKUP($A551,#REF!,F$1,0)</f>
        <v>#REF!</v>
      </c>
      <c r="G551" s="39" t="e">
        <f t="shared" si="1108"/>
        <v>#REF!</v>
      </c>
      <c r="H551" s="16" t="e">
        <f t="shared" si="1108"/>
        <v>#REF!</v>
      </c>
      <c r="I551" s="16" t="e">
        <f t="shared" si="1108"/>
        <v>#REF!</v>
      </c>
      <c r="J551" s="40" t="e">
        <f t="shared" si="1108"/>
        <v>#REF!</v>
      </c>
      <c r="K551" s="16" t="e">
        <f t="shared" si="1108"/>
        <v>#REF!</v>
      </c>
      <c r="L551" s="40" t="e">
        <f t="shared" si="609"/>
        <v>#REF!</v>
      </c>
      <c r="M551" s="16" t="e">
        <f t="shared" si="610"/>
        <v>#REF!</v>
      </c>
      <c r="N551" s="16" t="e">
        <f t="shared" si="611"/>
        <v>#REF!</v>
      </c>
      <c r="O551" s="16" t="s">
        <v>65</v>
      </c>
      <c r="P551" s="16" t="str">
        <f t="shared" si="6"/>
        <v/>
      </c>
      <c r="Q551" s="41" t="e">
        <f t="shared" si="612"/>
        <v>#REF!</v>
      </c>
      <c r="R551" s="44"/>
      <c r="S551" s="44"/>
      <c r="T551" s="43"/>
      <c r="U551" s="43" t="str">
        <f t="shared" si="8"/>
        <v>No</v>
      </c>
      <c r="V551" s="25"/>
      <c r="W551" s="25"/>
      <c r="X551" s="25"/>
      <c r="Y551" s="25"/>
      <c r="Z551" s="25"/>
    </row>
    <row r="552" spans="1:26" ht="15.75" customHeight="1" x14ac:dyDescent="0.25">
      <c r="A552" s="25">
        <v>550</v>
      </c>
      <c r="B552" s="37" t="e">
        <f t="shared" ref="B552:D552" si="1109">VLOOKUP($A552,#REF!,B$1,0)</f>
        <v>#REF!</v>
      </c>
      <c r="C552" s="38" t="e">
        <f t="shared" si="1109"/>
        <v>#REF!</v>
      </c>
      <c r="D552" s="39" t="e">
        <f t="shared" si="1109"/>
        <v>#REF!</v>
      </c>
      <c r="E552" s="16" t="e">
        <f t="shared" si="1"/>
        <v>#REF!</v>
      </c>
      <c r="F552" s="16" t="e">
        <f t="shared" ref="F552:K552" si="1110">VLOOKUP($A552,#REF!,F$1,0)</f>
        <v>#REF!</v>
      </c>
      <c r="G552" s="39" t="e">
        <f t="shared" si="1110"/>
        <v>#REF!</v>
      </c>
      <c r="H552" s="16" t="e">
        <f t="shared" si="1110"/>
        <v>#REF!</v>
      </c>
      <c r="I552" s="16" t="e">
        <f t="shared" si="1110"/>
        <v>#REF!</v>
      </c>
      <c r="J552" s="40" t="e">
        <f t="shared" si="1110"/>
        <v>#REF!</v>
      </c>
      <c r="K552" s="16" t="e">
        <f t="shared" si="1110"/>
        <v>#REF!</v>
      </c>
      <c r="L552" s="40" t="e">
        <f t="shared" si="609"/>
        <v>#REF!</v>
      </c>
      <c r="M552" s="16" t="e">
        <f t="shared" si="610"/>
        <v>#REF!</v>
      </c>
      <c r="N552" s="16" t="e">
        <f t="shared" si="611"/>
        <v>#REF!</v>
      </c>
      <c r="O552" s="16" t="s">
        <v>65</v>
      </c>
      <c r="P552" s="16" t="str">
        <f t="shared" si="6"/>
        <v/>
      </c>
      <c r="Q552" s="41" t="e">
        <f t="shared" si="612"/>
        <v>#REF!</v>
      </c>
      <c r="R552" s="44"/>
      <c r="S552" s="44"/>
      <c r="T552" s="43"/>
      <c r="U552" s="43" t="str">
        <f t="shared" si="8"/>
        <v>No</v>
      </c>
      <c r="V552" s="25"/>
      <c r="W552" s="25"/>
      <c r="X552" s="25"/>
      <c r="Y552" s="25"/>
      <c r="Z552" s="25"/>
    </row>
    <row r="553" spans="1:26" ht="15.75" customHeight="1" x14ac:dyDescent="0.25">
      <c r="A553" s="25">
        <v>551</v>
      </c>
      <c r="B553" s="37" t="e">
        <f t="shared" ref="B553:D553" si="1111">VLOOKUP($A553,#REF!,B$1,0)</f>
        <v>#REF!</v>
      </c>
      <c r="C553" s="38" t="e">
        <f t="shared" si="1111"/>
        <v>#REF!</v>
      </c>
      <c r="D553" s="39" t="e">
        <f t="shared" si="1111"/>
        <v>#REF!</v>
      </c>
      <c r="E553" s="16" t="e">
        <f t="shared" si="1"/>
        <v>#REF!</v>
      </c>
      <c r="F553" s="16" t="e">
        <f t="shared" ref="F553:K553" si="1112">VLOOKUP($A553,#REF!,F$1,0)</f>
        <v>#REF!</v>
      </c>
      <c r="G553" s="39" t="e">
        <f t="shared" si="1112"/>
        <v>#REF!</v>
      </c>
      <c r="H553" s="16" t="e">
        <f t="shared" si="1112"/>
        <v>#REF!</v>
      </c>
      <c r="I553" s="16" t="e">
        <f t="shared" si="1112"/>
        <v>#REF!</v>
      </c>
      <c r="J553" s="40" t="e">
        <f t="shared" si="1112"/>
        <v>#REF!</v>
      </c>
      <c r="K553" s="16" t="e">
        <f t="shared" si="1112"/>
        <v>#REF!</v>
      </c>
      <c r="L553" s="40" t="e">
        <f t="shared" si="609"/>
        <v>#REF!</v>
      </c>
      <c r="M553" s="16" t="e">
        <f t="shared" si="610"/>
        <v>#REF!</v>
      </c>
      <c r="N553" s="16" t="e">
        <f t="shared" si="611"/>
        <v>#REF!</v>
      </c>
      <c r="O553" s="16" t="s">
        <v>65</v>
      </c>
      <c r="P553" s="16" t="str">
        <f t="shared" si="6"/>
        <v/>
      </c>
      <c r="Q553" s="41" t="e">
        <f t="shared" si="612"/>
        <v>#REF!</v>
      </c>
      <c r="R553" s="44"/>
      <c r="S553" s="44"/>
      <c r="T553" s="43"/>
      <c r="U553" s="43" t="str">
        <f t="shared" si="8"/>
        <v>No</v>
      </c>
      <c r="V553" s="25"/>
      <c r="W553" s="25"/>
      <c r="X553" s="25"/>
      <c r="Y553" s="25"/>
      <c r="Z553" s="25"/>
    </row>
    <row r="554" spans="1:26" ht="15.75" customHeight="1" x14ac:dyDescent="0.25">
      <c r="A554" s="25">
        <v>552</v>
      </c>
      <c r="B554" s="37" t="e">
        <f t="shared" ref="B554:D554" si="1113">VLOOKUP($A554,#REF!,B$1,0)</f>
        <v>#REF!</v>
      </c>
      <c r="C554" s="38" t="e">
        <f t="shared" si="1113"/>
        <v>#REF!</v>
      </c>
      <c r="D554" s="39" t="e">
        <f t="shared" si="1113"/>
        <v>#REF!</v>
      </c>
      <c r="E554" s="16" t="e">
        <f t="shared" si="1"/>
        <v>#REF!</v>
      </c>
      <c r="F554" s="16" t="e">
        <f t="shared" ref="F554:K554" si="1114">VLOOKUP($A554,#REF!,F$1,0)</f>
        <v>#REF!</v>
      </c>
      <c r="G554" s="39" t="e">
        <f t="shared" si="1114"/>
        <v>#REF!</v>
      </c>
      <c r="H554" s="16" t="e">
        <f t="shared" si="1114"/>
        <v>#REF!</v>
      </c>
      <c r="I554" s="16" t="e">
        <f t="shared" si="1114"/>
        <v>#REF!</v>
      </c>
      <c r="J554" s="40" t="e">
        <f t="shared" si="1114"/>
        <v>#REF!</v>
      </c>
      <c r="K554" s="16" t="e">
        <f t="shared" si="1114"/>
        <v>#REF!</v>
      </c>
      <c r="L554" s="40" t="e">
        <f t="shared" si="609"/>
        <v>#REF!</v>
      </c>
      <c r="M554" s="16" t="e">
        <f t="shared" si="610"/>
        <v>#REF!</v>
      </c>
      <c r="N554" s="16" t="e">
        <f t="shared" si="611"/>
        <v>#REF!</v>
      </c>
      <c r="O554" s="16" t="s">
        <v>65</v>
      </c>
      <c r="P554" s="16" t="str">
        <f t="shared" si="6"/>
        <v/>
      </c>
      <c r="Q554" s="41" t="e">
        <f t="shared" si="612"/>
        <v>#REF!</v>
      </c>
      <c r="R554" s="44"/>
      <c r="S554" s="44"/>
      <c r="T554" s="43"/>
      <c r="U554" s="43" t="str">
        <f t="shared" si="8"/>
        <v>No</v>
      </c>
      <c r="V554" s="25"/>
      <c r="W554" s="25"/>
      <c r="X554" s="25"/>
      <c r="Y554" s="25"/>
      <c r="Z554" s="25"/>
    </row>
    <row r="555" spans="1:26" ht="15.75" customHeight="1" x14ac:dyDescent="0.25">
      <c r="A555" s="25">
        <v>553</v>
      </c>
      <c r="B555" s="37" t="e">
        <f t="shared" ref="B555:D555" si="1115">VLOOKUP($A555,#REF!,B$1,0)</f>
        <v>#REF!</v>
      </c>
      <c r="C555" s="38" t="e">
        <f t="shared" si="1115"/>
        <v>#REF!</v>
      </c>
      <c r="D555" s="39" t="e">
        <f t="shared" si="1115"/>
        <v>#REF!</v>
      </c>
      <c r="E555" s="16" t="e">
        <f t="shared" si="1"/>
        <v>#REF!</v>
      </c>
      <c r="F555" s="16" t="e">
        <f t="shared" ref="F555:K555" si="1116">VLOOKUP($A555,#REF!,F$1,0)</f>
        <v>#REF!</v>
      </c>
      <c r="G555" s="39" t="e">
        <f t="shared" si="1116"/>
        <v>#REF!</v>
      </c>
      <c r="H555" s="16" t="e">
        <f t="shared" si="1116"/>
        <v>#REF!</v>
      </c>
      <c r="I555" s="16" t="e">
        <f t="shared" si="1116"/>
        <v>#REF!</v>
      </c>
      <c r="J555" s="40" t="e">
        <f t="shared" si="1116"/>
        <v>#REF!</v>
      </c>
      <c r="K555" s="16" t="e">
        <f t="shared" si="1116"/>
        <v>#REF!</v>
      </c>
      <c r="L555" s="40" t="e">
        <f t="shared" si="609"/>
        <v>#REF!</v>
      </c>
      <c r="M555" s="16" t="e">
        <f t="shared" si="610"/>
        <v>#REF!</v>
      </c>
      <c r="N555" s="16" t="e">
        <f t="shared" si="611"/>
        <v>#REF!</v>
      </c>
      <c r="O555" s="16" t="s">
        <v>65</v>
      </c>
      <c r="P555" s="16" t="str">
        <f t="shared" si="6"/>
        <v/>
      </c>
      <c r="Q555" s="41" t="e">
        <f t="shared" si="612"/>
        <v>#REF!</v>
      </c>
      <c r="R555" s="44"/>
      <c r="S555" s="44"/>
      <c r="T555" s="43"/>
      <c r="U555" s="43" t="str">
        <f t="shared" si="8"/>
        <v>No</v>
      </c>
      <c r="V555" s="25"/>
      <c r="W555" s="25"/>
      <c r="X555" s="25"/>
      <c r="Y555" s="25"/>
      <c r="Z555" s="25"/>
    </row>
    <row r="556" spans="1:26" ht="15.75" customHeight="1" x14ac:dyDescent="0.25">
      <c r="A556" s="25">
        <v>554</v>
      </c>
      <c r="B556" s="37" t="e">
        <f t="shared" ref="B556:D556" si="1117">VLOOKUP($A556,#REF!,B$1,0)</f>
        <v>#REF!</v>
      </c>
      <c r="C556" s="38" t="e">
        <f t="shared" si="1117"/>
        <v>#REF!</v>
      </c>
      <c r="D556" s="39" t="e">
        <f t="shared" si="1117"/>
        <v>#REF!</v>
      </c>
      <c r="E556" s="16" t="e">
        <f t="shared" si="1"/>
        <v>#REF!</v>
      </c>
      <c r="F556" s="16" t="e">
        <f t="shared" ref="F556:K556" si="1118">VLOOKUP($A556,#REF!,F$1,0)</f>
        <v>#REF!</v>
      </c>
      <c r="G556" s="39" t="e">
        <f t="shared" si="1118"/>
        <v>#REF!</v>
      </c>
      <c r="H556" s="16" t="e">
        <f t="shared" si="1118"/>
        <v>#REF!</v>
      </c>
      <c r="I556" s="16" t="e">
        <f t="shared" si="1118"/>
        <v>#REF!</v>
      </c>
      <c r="J556" s="40" t="e">
        <f t="shared" si="1118"/>
        <v>#REF!</v>
      </c>
      <c r="K556" s="16" t="e">
        <f t="shared" si="1118"/>
        <v>#REF!</v>
      </c>
      <c r="L556" s="40" t="e">
        <f t="shared" si="609"/>
        <v>#REF!</v>
      </c>
      <c r="M556" s="16" t="e">
        <f t="shared" si="610"/>
        <v>#REF!</v>
      </c>
      <c r="N556" s="16" t="e">
        <f t="shared" si="611"/>
        <v>#REF!</v>
      </c>
      <c r="O556" s="16" t="s">
        <v>65</v>
      </c>
      <c r="P556" s="16" t="str">
        <f t="shared" si="6"/>
        <v/>
      </c>
      <c r="Q556" s="41" t="e">
        <f t="shared" si="612"/>
        <v>#REF!</v>
      </c>
      <c r="R556" s="44"/>
      <c r="S556" s="44"/>
      <c r="T556" s="43"/>
      <c r="U556" s="43" t="str">
        <f t="shared" si="8"/>
        <v>No</v>
      </c>
      <c r="V556" s="25"/>
      <c r="W556" s="25"/>
      <c r="X556" s="25"/>
      <c r="Y556" s="25"/>
      <c r="Z556" s="25"/>
    </row>
    <row r="557" spans="1:26" ht="15.75" customHeight="1" x14ac:dyDescent="0.25">
      <c r="A557" s="25">
        <v>555</v>
      </c>
      <c r="B557" s="37" t="e">
        <f t="shared" ref="B557:D557" si="1119">VLOOKUP($A557,#REF!,B$1,0)</f>
        <v>#REF!</v>
      </c>
      <c r="C557" s="38" t="e">
        <f t="shared" si="1119"/>
        <v>#REF!</v>
      </c>
      <c r="D557" s="39" t="e">
        <f t="shared" si="1119"/>
        <v>#REF!</v>
      </c>
      <c r="E557" s="16" t="e">
        <f t="shared" si="1"/>
        <v>#REF!</v>
      </c>
      <c r="F557" s="16" t="e">
        <f t="shared" ref="F557:K557" si="1120">VLOOKUP($A557,#REF!,F$1,0)</f>
        <v>#REF!</v>
      </c>
      <c r="G557" s="39" t="e">
        <f t="shared" si="1120"/>
        <v>#REF!</v>
      </c>
      <c r="H557" s="16" t="e">
        <f t="shared" si="1120"/>
        <v>#REF!</v>
      </c>
      <c r="I557" s="16" t="e">
        <f t="shared" si="1120"/>
        <v>#REF!</v>
      </c>
      <c r="J557" s="40" t="e">
        <f t="shared" si="1120"/>
        <v>#REF!</v>
      </c>
      <c r="K557" s="16" t="e">
        <f t="shared" si="1120"/>
        <v>#REF!</v>
      </c>
      <c r="L557" s="40" t="e">
        <f t="shared" si="609"/>
        <v>#REF!</v>
      </c>
      <c r="M557" s="16" t="e">
        <f t="shared" si="610"/>
        <v>#REF!</v>
      </c>
      <c r="N557" s="16" t="e">
        <f t="shared" si="611"/>
        <v>#REF!</v>
      </c>
      <c r="O557" s="16" t="s">
        <v>65</v>
      </c>
      <c r="P557" s="16" t="str">
        <f t="shared" si="6"/>
        <v/>
      </c>
      <c r="Q557" s="41" t="e">
        <f t="shared" si="612"/>
        <v>#REF!</v>
      </c>
      <c r="R557" s="44"/>
      <c r="S557" s="44"/>
      <c r="T557" s="43"/>
      <c r="U557" s="43" t="str">
        <f t="shared" si="8"/>
        <v>No</v>
      </c>
      <c r="V557" s="25"/>
      <c r="W557" s="25"/>
      <c r="X557" s="25"/>
      <c r="Y557" s="25"/>
      <c r="Z557" s="25"/>
    </row>
    <row r="558" spans="1:26" ht="15.75" customHeight="1" x14ac:dyDescent="0.25">
      <c r="A558" s="25">
        <v>556</v>
      </c>
      <c r="B558" s="37" t="e">
        <f t="shared" ref="B558:D558" si="1121">VLOOKUP($A558,#REF!,B$1,0)</f>
        <v>#REF!</v>
      </c>
      <c r="C558" s="38" t="e">
        <f t="shared" si="1121"/>
        <v>#REF!</v>
      </c>
      <c r="D558" s="39" t="e">
        <f t="shared" si="1121"/>
        <v>#REF!</v>
      </c>
      <c r="E558" s="16" t="e">
        <f t="shared" si="1"/>
        <v>#REF!</v>
      </c>
      <c r="F558" s="16" t="e">
        <f t="shared" ref="F558:K558" si="1122">VLOOKUP($A558,#REF!,F$1,0)</f>
        <v>#REF!</v>
      </c>
      <c r="G558" s="39" t="e">
        <f t="shared" si="1122"/>
        <v>#REF!</v>
      </c>
      <c r="H558" s="16" t="e">
        <f t="shared" si="1122"/>
        <v>#REF!</v>
      </c>
      <c r="I558" s="16" t="e">
        <f t="shared" si="1122"/>
        <v>#REF!</v>
      </c>
      <c r="J558" s="40" t="e">
        <f t="shared" si="1122"/>
        <v>#REF!</v>
      </c>
      <c r="K558" s="16" t="e">
        <f t="shared" si="1122"/>
        <v>#REF!</v>
      </c>
      <c r="L558" s="40" t="e">
        <f t="shared" si="609"/>
        <v>#REF!</v>
      </c>
      <c r="M558" s="16" t="e">
        <f t="shared" si="610"/>
        <v>#REF!</v>
      </c>
      <c r="N558" s="16" t="e">
        <f t="shared" si="611"/>
        <v>#REF!</v>
      </c>
      <c r="O558" s="16" t="s">
        <v>65</v>
      </c>
      <c r="P558" s="16" t="str">
        <f t="shared" si="6"/>
        <v/>
      </c>
      <c r="Q558" s="41" t="e">
        <f t="shared" si="612"/>
        <v>#REF!</v>
      </c>
      <c r="R558" s="44"/>
      <c r="S558" s="44"/>
      <c r="T558" s="43"/>
      <c r="U558" s="43" t="str">
        <f t="shared" si="8"/>
        <v>No</v>
      </c>
      <c r="V558" s="25"/>
      <c r="W558" s="25"/>
      <c r="X558" s="25"/>
      <c r="Y558" s="25"/>
      <c r="Z558" s="25"/>
    </row>
    <row r="559" spans="1:26" ht="15.75" customHeight="1" x14ac:dyDescent="0.25">
      <c r="A559" s="25">
        <v>557</v>
      </c>
      <c r="B559" s="37" t="e">
        <f t="shared" ref="B559:D559" si="1123">VLOOKUP($A559,#REF!,B$1,0)</f>
        <v>#REF!</v>
      </c>
      <c r="C559" s="38" t="e">
        <f t="shared" si="1123"/>
        <v>#REF!</v>
      </c>
      <c r="D559" s="39" t="e">
        <f t="shared" si="1123"/>
        <v>#REF!</v>
      </c>
      <c r="E559" s="16" t="e">
        <f t="shared" si="1"/>
        <v>#REF!</v>
      </c>
      <c r="F559" s="16" t="e">
        <f t="shared" ref="F559:K559" si="1124">VLOOKUP($A559,#REF!,F$1,0)</f>
        <v>#REF!</v>
      </c>
      <c r="G559" s="39" t="e">
        <f t="shared" si="1124"/>
        <v>#REF!</v>
      </c>
      <c r="H559" s="16" t="e">
        <f t="shared" si="1124"/>
        <v>#REF!</v>
      </c>
      <c r="I559" s="16" t="e">
        <f t="shared" si="1124"/>
        <v>#REF!</v>
      </c>
      <c r="J559" s="40" t="e">
        <f t="shared" si="1124"/>
        <v>#REF!</v>
      </c>
      <c r="K559" s="16" t="e">
        <f t="shared" si="1124"/>
        <v>#REF!</v>
      </c>
      <c r="L559" s="40" t="e">
        <f t="shared" si="609"/>
        <v>#REF!</v>
      </c>
      <c r="M559" s="16" t="e">
        <f t="shared" si="610"/>
        <v>#REF!</v>
      </c>
      <c r="N559" s="16" t="e">
        <f t="shared" si="611"/>
        <v>#REF!</v>
      </c>
      <c r="O559" s="16" t="s">
        <v>65</v>
      </c>
      <c r="P559" s="16" t="str">
        <f t="shared" si="6"/>
        <v/>
      </c>
      <c r="Q559" s="41" t="e">
        <f t="shared" si="612"/>
        <v>#REF!</v>
      </c>
      <c r="R559" s="44"/>
      <c r="S559" s="44"/>
      <c r="T559" s="43"/>
      <c r="U559" s="43" t="str">
        <f t="shared" si="8"/>
        <v>No</v>
      </c>
      <c r="V559" s="25"/>
      <c r="W559" s="25"/>
      <c r="X559" s="25"/>
      <c r="Y559" s="25"/>
      <c r="Z559" s="25"/>
    </row>
    <row r="560" spans="1:26" ht="15.75" customHeight="1" x14ac:dyDescent="0.25">
      <c r="A560" s="25">
        <v>558</v>
      </c>
      <c r="B560" s="37" t="e">
        <f t="shared" ref="B560:D560" si="1125">VLOOKUP($A560,#REF!,B$1,0)</f>
        <v>#REF!</v>
      </c>
      <c r="C560" s="38" t="e">
        <f t="shared" si="1125"/>
        <v>#REF!</v>
      </c>
      <c r="D560" s="39" t="e">
        <f t="shared" si="1125"/>
        <v>#REF!</v>
      </c>
      <c r="E560" s="16" t="e">
        <f t="shared" si="1"/>
        <v>#REF!</v>
      </c>
      <c r="F560" s="16" t="e">
        <f t="shared" ref="F560:K560" si="1126">VLOOKUP($A560,#REF!,F$1,0)</f>
        <v>#REF!</v>
      </c>
      <c r="G560" s="39" t="e">
        <f t="shared" si="1126"/>
        <v>#REF!</v>
      </c>
      <c r="H560" s="16" t="e">
        <f t="shared" si="1126"/>
        <v>#REF!</v>
      </c>
      <c r="I560" s="16" t="e">
        <f t="shared" si="1126"/>
        <v>#REF!</v>
      </c>
      <c r="J560" s="40" t="e">
        <f t="shared" si="1126"/>
        <v>#REF!</v>
      </c>
      <c r="K560" s="16" t="e">
        <f t="shared" si="1126"/>
        <v>#REF!</v>
      </c>
      <c r="L560" s="40" t="e">
        <f t="shared" si="609"/>
        <v>#REF!</v>
      </c>
      <c r="M560" s="16" t="e">
        <f t="shared" si="610"/>
        <v>#REF!</v>
      </c>
      <c r="N560" s="16" t="e">
        <f t="shared" si="611"/>
        <v>#REF!</v>
      </c>
      <c r="O560" s="16" t="s">
        <v>65</v>
      </c>
      <c r="P560" s="16" t="str">
        <f t="shared" si="6"/>
        <v/>
      </c>
      <c r="Q560" s="41" t="e">
        <f t="shared" si="612"/>
        <v>#REF!</v>
      </c>
      <c r="R560" s="44"/>
      <c r="S560" s="44"/>
      <c r="T560" s="43"/>
      <c r="U560" s="43" t="str">
        <f t="shared" si="8"/>
        <v>No</v>
      </c>
      <c r="V560" s="25"/>
      <c r="W560" s="25"/>
      <c r="X560" s="25"/>
      <c r="Y560" s="25"/>
      <c r="Z560" s="25"/>
    </row>
    <row r="561" spans="1:26" ht="15.75" customHeight="1" x14ac:dyDescent="0.25">
      <c r="A561" s="25">
        <v>559</v>
      </c>
      <c r="B561" s="37" t="e">
        <f t="shared" ref="B561:D561" si="1127">VLOOKUP($A561,#REF!,B$1,0)</f>
        <v>#REF!</v>
      </c>
      <c r="C561" s="38" t="e">
        <f t="shared" si="1127"/>
        <v>#REF!</v>
      </c>
      <c r="D561" s="39" t="e">
        <f t="shared" si="1127"/>
        <v>#REF!</v>
      </c>
      <c r="E561" s="16" t="e">
        <f t="shared" si="1"/>
        <v>#REF!</v>
      </c>
      <c r="F561" s="16" t="e">
        <f t="shared" ref="F561:K561" si="1128">VLOOKUP($A561,#REF!,F$1,0)</f>
        <v>#REF!</v>
      </c>
      <c r="G561" s="39" t="e">
        <f t="shared" si="1128"/>
        <v>#REF!</v>
      </c>
      <c r="H561" s="16" t="e">
        <f t="shared" si="1128"/>
        <v>#REF!</v>
      </c>
      <c r="I561" s="16" t="e">
        <f t="shared" si="1128"/>
        <v>#REF!</v>
      </c>
      <c r="J561" s="40" t="e">
        <f t="shared" si="1128"/>
        <v>#REF!</v>
      </c>
      <c r="K561" s="16" t="e">
        <f t="shared" si="1128"/>
        <v>#REF!</v>
      </c>
      <c r="L561" s="40" t="e">
        <f t="shared" si="609"/>
        <v>#REF!</v>
      </c>
      <c r="M561" s="16" t="e">
        <f t="shared" si="610"/>
        <v>#REF!</v>
      </c>
      <c r="N561" s="16" t="e">
        <f t="shared" si="611"/>
        <v>#REF!</v>
      </c>
      <c r="O561" s="16" t="s">
        <v>65</v>
      </c>
      <c r="P561" s="16" t="str">
        <f t="shared" si="6"/>
        <v/>
      </c>
      <c r="Q561" s="41" t="e">
        <f t="shared" si="612"/>
        <v>#REF!</v>
      </c>
      <c r="R561" s="44"/>
      <c r="S561" s="44"/>
      <c r="T561" s="43"/>
      <c r="U561" s="43" t="str">
        <f t="shared" si="8"/>
        <v>No</v>
      </c>
      <c r="V561" s="25"/>
      <c r="W561" s="25"/>
      <c r="X561" s="25"/>
      <c r="Y561" s="25"/>
      <c r="Z561" s="25"/>
    </row>
    <row r="562" spans="1:26" ht="15.75" customHeight="1" x14ac:dyDescent="0.25">
      <c r="A562" s="25">
        <v>560</v>
      </c>
      <c r="B562" s="37" t="e">
        <f t="shared" ref="B562:D562" si="1129">VLOOKUP($A562,#REF!,B$1,0)</f>
        <v>#REF!</v>
      </c>
      <c r="C562" s="38" t="e">
        <f t="shared" si="1129"/>
        <v>#REF!</v>
      </c>
      <c r="D562" s="39" t="e">
        <f t="shared" si="1129"/>
        <v>#REF!</v>
      </c>
      <c r="E562" s="16" t="e">
        <f t="shared" si="1"/>
        <v>#REF!</v>
      </c>
      <c r="F562" s="16" t="e">
        <f t="shared" ref="F562:K562" si="1130">VLOOKUP($A562,#REF!,F$1,0)</f>
        <v>#REF!</v>
      </c>
      <c r="G562" s="39" t="e">
        <f t="shared" si="1130"/>
        <v>#REF!</v>
      </c>
      <c r="H562" s="16" t="e">
        <f t="shared" si="1130"/>
        <v>#REF!</v>
      </c>
      <c r="I562" s="16" t="e">
        <f t="shared" si="1130"/>
        <v>#REF!</v>
      </c>
      <c r="J562" s="40" t="e">
        <f t="shared" si="1130"/>
        <v>#REF!</v>
      </c>
      <c r="K562" s="16" t="e">
        <f t="shared" si="1130"/>
        <v>#REF!</v>
      </c>
      <c r="L562" s="40" t="e">
        <f t="shared" si="609"/>
        <v>#REF!</v>
      </c>
      <c r="M562" s="16" t="e">
        <f t="shared" si="610"/>
        <v>#REF!</v>
      </c>
      <c r="N562" s="16" t="e">
        <f t="shared" si="611"/>
        <v>#REF!</v>
      </c>
      <c r="O562" s="16" t="s">
        <v>65</v>
      </c>
      <c r="P562" s="16" t="str">
        <f t="shared" si="6"/>
        <v/>
      </c>
      <c r="Q562" s="41" t="e">
        <f t="shared" si="612"/>
        <v>#REF!</v>
      </c>
      <c r="R562" s="44"/>
      <c r="S562" s="44"/>
      <c r="T562" s="43"/>
      <c r="U562" s="43" t="str">
        <f t="shared" si="8"/>
        <v>No</v>
      </c>
      <c r="V562" s="25"/>
      <c r="W562" s="25"/>
      <c r="X562" s="25"/>
      <c r="Y562" s="25"/>
      <c r="Z562" s="25"/>
    </row>
    <row r="563" spans="1:26" ht="15.75" customHeight="1" x14ac:dyDescent="0.25">
      <c r="A563" s="25">
        <v>561</v>
      </c>
      <c r="B563" s="37" t="e">
        <f t="shared" ref="B563:D563" si="1131">VLOOKUP($A563,#REF!,B$1,0)</f>
        <v>#REF!</v>
      </c>
      <c r="C563" s="38" t="e">
        <f t="shared" si="1131"/>
        <v>#REF!</v>
      </c>
      <c r="D563" s="39" t="e">
        <f t="shared" si="1131"/>
        <v>#REF!</v>
      </c>
      <c r="E563" s="16" t="e">
        <f t="shared" si="1"/>
        <v>#REF!</v>
      </c>
      <c r="F563" s="16" t="e">
        <f t="shared" ref="F563:K563" si="1132">VLOOKUP($A563,#REF!,F$1,0)</f>
        <v>#REF!</v>
      </c>
      <c r="G563" s="39" t="e">
        <f t="shared" si="1132"/>
        <v>#REF!</v>
      </c>
      <c r="H563" s="16" t="e">
        <f t="shared" si="1132"/>
        <v>#REF!</v>
      </c>
      <c r="I563" s="16" t="e">
        <f t="shared" si="1132"/>
        <v>#REF!</v>
      </c>
      <c r="J563" s="40" t="e">
        <f t="shared" si="1132"/>
        <v>#REF!</v>
      </c>
      <c r="K563" s="16" t="e">
        <f t="shared" si="1132"/>
        <v>#REF!</v>
      </c>
      <c r="L563" s="40" t="e">
        <f t="shared" si="609"/>
        <v>#REF!</v>
      </c>
      <c r="M563" s="16" t="e">
        <f t="shared" si="610"/>
        <v>#REF!</v>
      </c>
      <c r="N563" s="16" t="e">
        <f t="shared" si="611"/>
        <v>#REF!</v>
      </c>
      <c r="O563" s="16" t="s">
        <v>65</v>
      </c>
      <c r="P563" s="16" t="str">
        <f t="shared" si="6"/>
        <v/>
      </c>
      <c r="Q563" s="41" t="e">
        <f t="shared" si="612"/>
        <v>#REF!</v>
      </c>
      <c r="R563" s="44"/>
      <c r="S563" s="44"/>
      <c r="T563" s="43"/>
      <c r="U563" s="43" t="str">
        <f t="shared" si="8"/>
        <v>No</v>
      </c>
      <c r="V563" s="25"/>
      <c r="W563" s="25"/>
      <c r="X563" s="25"/>
      <c r="Y563" s="25"/>
      <c r="Z563" s="25"/>
    </row>
    <row r="564" spans="1:26" ht="15.75" customHeight="1" x14ac:dyDescent="0.25">
      <c r="A564" s="25">
        <v>562</v>
      </c>
      <c r="B564" s="37" t="e">
        <f t="shared" ref="B564:D564" si="1133">VLOOKUP($A564,#REF!,B$1,0)</f>
        <v>#REF!</v>
      </c>
      <c r="C564" s="38" t="e">
        <f t="shared" si="1133"/>
        <v>#REF!</v>
      </c>
      <c r="D564" s="39" t="e">
        <f t="shared" si="1133"/>
        <v>#REF!</v>
      </c>
      <c r="E564" s="16" t="e">
        <f t="shared" si="1"/>
        <v>#REF!</v>
      </c>
      <c r="F564" s="16" t="e">
        <f t="shared" ref="F564:K564" si="1134">VLOOKUP($A564,#REF!,F$1,0)</f>
        <v>#REF!</v>
      </c>
      <c r="G564" s="39" t="e">
        <f t="shared" si="1134"/>
        <v>#REF!</v>
      </c>
      <c r="H564" s="16" t="e">
        <f t="shared" si="1134"/>
        <v>#REF!</v>
      </c>
      <c r="I564" s="16" t="e">
        <f t="shared" si="1134"/>
        <v>#REF!</v>
      </c>
      <c r="J564" s="40" t="e">
        <f t="shared" si="1134"/>
        <v>#REF!</v>
      </c>
      <c r="K564" s="16" t="e">
        <f t="shared" si="1134"/>
        <v>#REF!</v>
      </c>
      <c r="L564" s="40" t="e">
        <f t="shared" si="609"/>
        <v>#REF!</v>
      </c>
      <c r="M564" s="16" t="e">
        <f t="shared" si="610"/>
        <v>#REF!</v>
      </c>
      <c r="N564" s="16" t="e">
        <f t="shared" si="611"/>
        <v>#REF!</v>
      </c>
      <c r="O564" s="16" t="s">
        <v>65</v>
      </c>
      <c r="P564" s="16" t="str">
        <f t="shared" si="6"/>
        <v/>
      </c>
      <c r="Q564" s="41" t="e">
        <f t="shared" si="612"/>
        <v>#REF!</v>
      </c>
      <c r="R564" s="44"/>
      <c r="S564" s="44"/>
      <c r="T564" s="43"/>
      <c r="U564" s="43" t="str">
        <f t="shared" si="8"/>
        <v>No</v>
      </c>
      <c r="V564" s="25"/>
      <c r="W564" s="25"/>
      <c r="X564" s="25"/>
      <c r="Y564" s="25"/>
      <c r="Z564" s="25"/>
    </row>
    <row r="565" spans="1:26" ht="15.75" customHeight="1" x14ac:dyDescent="0.25">
      <c r="A565" s="25">
        <v>563</v>
      </c>
      <c r="B565" s="37" t="e">
        <f t="shared" ref="B565:D565" si="1135">VLOOKUP($A565,#REF!,B$1,0)</f>
        <v>#REF!</v>
      </c>
      <c r="C565" s="38" t="e">
        <f t="shared" si="1135"/>
        <v>#REF!</v>
      </c>
      <c r="D565" s="39" t="e">
        <f t="shared" si="1135"/>
        <v>#REF!</v>
      </c>
      <c r="E565" s="16" t="e">
        <f t="shared" si="1"/>
        <v>#REF!</v>
      </c>
      <c r="F565" s="16" t="e">
        <f t="shared" ref="F565:K565" si="1136">VLOOKUP($A565,#REF!,F$1,0)</f>
        <v>#REF!</v>
      </c>
      <c r="G565" s="39" t="e">
        <f t="shared" si="1136"/>
        <v>#REF!</v>
      </c>
      <c r="H565" s="16" t="e">
        <f t="shared" si="1136"/>
        <v>#REF!</v>
      </c>
      <c r="I565" s="16" t="e">
        <f t="shared" si="1136"/>
        <v>#REF!</v>
      </c>
      <c r="J565" s="40" t="e">
        <f t="shared" si="1136"/>
        <v>#REF!</v>
      </c>
      <c r="K565" s="16" t="e">
        <f t="shared" si="1136"/>
        <v>#REF!</v>
      </c>
      <c r="L565" s="40" t="e">
        <f t="shared" si="609"/>
        <v>#REF!</v>
      </c>
      <c r="M565" s="16" t="e">
        <f t="shared" si="610"/>
        <v>#REF!</v>
      </c>
      <c r="N565" s="16" t="e">
        <f t="shared" si="611"/>
        <v>#REF!</v>
      </c>
      <c r="O565" s="16" t="s">
        <v>65</v>
      </c>
      <c r="P565" s="16" t="str">
        <f t="shared" si="6"/>
        <v/>
      </c>
      <c r="Q565" s="41" t="e">
        <f t="shared" si="612"/>
        <v>#REF!</v>
      </c>
      <c r="R565" s="44"/>
      <c r="S565" s="44"/>
      <c r="T565" s="43"/>
      <c r="U565" s="43" t="str">
        <f t="shared" si="8"/>
        <v>No</v>
      </c>
      <c r="V565" s="25"/>
      <c r="W565" s="25"/>
      <c r="X565" s="25"/>
      <c r="Y565" s="25"/>
      <c r="Z565" s="25"/>
    </row>
    <row r="566" spans="1:26" ht="15.75" customHeight="1" x14ac:dyDescent="0.25">
      <c r="A566" s="25">
        <v>564</v>
      </c>
      <c r="B566" s="37" t="e">
        <f t="shared" ref="B566:D566" si="1137">VLOOKUP($A566,#REF!,B$1,0)</f>
        <v>#REF!</v>
      </c>
      <c r="C566" s="38" t="e">
        <f t="shared" si="1137"/>
        <v>#REF!</v>
      </c>
      <c r="D566" s="39" t="e">
        <f t="shared" si="1137"/>
        <v>#REF!</v>
      </c>
      <c r="E566" s="16" t="e">
        <f t="shared" si="1"/>
        <v>#REF!</v>
      </c>
      <c r="F566" s="16" t="e">
        <f t="shared" ref="F566:K566" si="1138">VLOOKUP($A566,#REF!,F$1,0)</f>
        <v>#REF!</v>
      </c>
      <c r="G566" s="39" t="e">
        <f t="shared" si="1138"/>
        <v>#REF!</v>
      </c>
      <c r="H566" s="16" t="e">
        <f t="shared" si="1138"/>
        <v>#REF!</v>
      </c>
      <c r="I566" s="16" t="e">
        <f t="shared" si="1138"/>
        <v>#REF!</v>
      </c>
      <c r="J566" s="40" t="e">
        <f t="shared" si="1138"/>
        <v>#REF!</v>
      </c>
      <c r="K566" s="16" t="e">
        <f t="shared" si="1138"/>
        <v>#REF!</v>
      </c>
      <c r="L566" s="40" t="e">
        <f t="shared" si="609"/>
        <v>#REF!</v>
      </c>
      <c r="M566" s="16" t="e">
        <f t="shared" si="610"/>
        <v>#REF!</v>
      </c>
      <c r="N566" s="16" t="e">
        <f t="shared" si="611"/>
        <v>#REF!</v>
      </c>
      <c r="O566" s="16" t="s">
        <v>65</v>
      </c>
      <c r="P566" s="16" t="str">
        <f t="shared" si="6"/>
        <v/>
      </c>
      <c r="Q566" s="41" t="e">
        <f t="shared" si="612"/>
        <v>#REF!</v>
      </c>
      <c r="R566" s="44"/>
      <c r="S566" s="44"/>
      <c r="T566" s="43"/>
      <c r="U566" s="43" t="str">
        <f t="shared" si="8"/>
        <v>No</v>
      </c>
      <c r="V566" s="25"/>
      <c r="W566" s="25"/>
      <c r="X566" s="25"/>
      <c r="Y566" s="25"/>
      <c r="Z566" s="25"/>
    </row>
    <row r="567" spans="1:26" ht="15.75" customHeight="1" x14ac:dyDescent="0.25">
      <c r="A567" s="25">
        <v>565</v>
      </c>
      <c r="B567" s="37" t="e">
        <f t="shared" ref="B567:D567" si="1139">VLOOKUP($A567,#REF!,B$1,0)</f>
        <v>#REF!</v>
      </c>
      <c r="C567" s="38" t="e">
        <f t="shared" si="1139"/>
        <v>#REF!</v>
      </c>
      <c r="D567" s="39" t="e">
        <f t="shared" si="1139"/>
        <v>#REF!</v>
      </c>
      <c r="E567" s="16" t="e">
        <f t="shared" si="1"/>
        <v>#REF!</v>
      </c>
      <c r="F567" s="16" t="e">
        <f t="shared" ref="F567:K567" si="1140">VLOOKUP($A567,#REF!,F$1,0)</f>
        <v>#REF!</v>
      </c>
      <c r="G567" s="39" t="e">
        <f t="shared" si="1140"/>
        <v>#REF!</v>
      </c>
      <c r="H567" s="16" t="e">
        <f t="shared" si="1140"/>
        <v>#REF!</v>
      </c>
      <c r="I567" s="16" t="e">
        <f t="shared" si="1140"/>
        <v>#REF!</v>
      </c>
      <c r="J567" s="40" t="e">
        <f t="shared" si="1140"/>
        <v>#REF!</v>
      </c>
      <c r="K567" s="16" t="e">
        <f t="shared" si="1140"/>
        <v>#REF!</v>
      </c>
      <c r="L567" s="40" t="e">
        <f t="shared" si="609"/>
        <v>#REF!</v>
      </c>
      <c r="M567" s="16" t="e">
        <f t="shared" si="610"/>
        <v>#REF!</v>
      </c>
      <c r="N567" s="16" t="e">
        <f t="shared" si="611"/>
        <v>#REF!</v>
      </c>
      <c r="O567" s="16" t="s">
        <v>65</v>
      </c>
      <c r="P567" s="16" t="str">
        <f t="shared" si="6"/>
        <v/>
      </c>
      <c r="Q567" s="41" t="e">
        <f t="shared" si="612"/>
        <v>#REF!</v>
      </c>
      <c r="R567" s="44"/>
      <c r="S567" s="44"/>
      <c r="T567" s="43"/>
      <c r="U567" s="43" t="str">
        <f t="shared" si="8"/>
        <v>No</v>
      </c>
      <c r="V567" s="25"/>
      <c r="W567" s="25"/>
      <c r="X567" s="25"/>
      <c r="Y567" s="25"/>
      <c r="Z567" s="25"/>
    </row>
    <row r="568" spans="1:26" ht="15.75" customHeight="1" x14ac:dyDescent="0.25">
      <c r="A568" s="25">
        <v>566</v>
      </c>
      <c r="B568" s="37" t="e">
        <f t="shared" ref="B568:D568" si="1141">VLOOKUP($A568,#REF!,B$1,0)</f>
        <v>#REF!</v>
      </c>
      <c r="C568" s="38" t="e">
        <f t="shared" si="1141"/>
        <v>#REF!</v>
      </c>
      <c r="D568" s="39" t="e">
        <f t="shared" si="1141"/>
        <v>#REF!</v>
      </c>
      <c r="E568" s="16" t="e">
        <f t="shared" si="1"/>
        <v>#REF!</v>
      </c>
      <c r="F568" s="16" t="e">
        <f t="shared" ref="F568:K568" si="1142">VLOOKUP($A568,#REF!,F$1,0)</f>
        <v>#REF!</v>
      </c>
      <c r="G568" s="39" t="e">
        <f t="shared" si="1142"/>
        <v>#REF!</v>
      </c>
      <c r="H568" s="16" t="e">
        <f t="shared" si="1142"/>
        <v>#REF!</v>
      </c>
      <c r="I568" s="16" t="e">
        <f t="shared" si="1142"/>
        <v>#REF!</v>
      </c>
      <c r="J568" s="40" t="e">
        <f t="shared" si="1142"/>
        <v>#REF!</v>
      </c>
      <c r="K568" s="16" t="e">
        <f t="shared" si="1142"/>
        <v>#REF!</v>
      </c>
      <c r="L568" s="40" t="e">
        <f t="shared" si="609"/>
        <v>#REF!</v>
      </c>
      <c r="M568" s="16" t="e">
        <f t="shared" si="610"/>
        <v>#REF!</v>
      </c>
      <c r="N568" s="16" t="e">
        <f t="shared" si="611"/>
        <v>#REF!</v>
      </c>
      <c r="O568" s="16" t="s">
        <v>65</v>
      </c>
      <c r="P568" s="16" t="str">
        <f t="shared" si="6"/>
        <v/>
      </c>
      <c r="Q568" s="41" t="e">
        <f t="shared" si="612"/>
        <v>#REF!</v>
      </c>
      <c r="R568" s="44"/>
      <c r="S568" s="44"/>
      <c r="T568" s="43"/>
      <c r="U568" s="43" t="str">
        <f t="shared" si="8"/>
        <v>No</v>
      </c>
      <c r="V568" s="25"/>
      <c r="W568" s="25"/>
      <c r="X568" s="25"/>
      <c r="Y568" s="25"/>
      <c r="Z568" s="25"/>
    </row>
    <row r="569" spans="1:26" ht="15.75" customHeight="1" x14ac:dyDescent="0.25">
      <c r="A569" s="25">
        <v>567</v>
      </c>
      <c r="B569" s="37" t="e">
        <f t="shared" ref="B569:D569" si="1143">VLOOKUP($A569,#REF!,B$1,0)</f>
        <v>#REF!</v>
      </c>
      <c r="C569" s="38" t="e">
        <f t="shared" si="1143"/>
        <v>#REF!</v>
      </c>
      <c r="D569" s="39" t="e">
        <f t="shared" si="1143"/>
        <v>#REF!</v>
      </c>
      <c r="E569" s="16" t="e">
        <f t="shared" si="1"/>
        <v>#REF!</v>
      </c>
      <c r="F569" s="16" t="e">
        <f t="shared" ref="F569:K569" si="1144">VLOOKUP($A569,#REF!,F$1,0)</f>
        <v>#REF!</v>
      </c>
      <c r="G569" s="39" t="e">
        <f t="shared" si="1144"/>
        <v>#REF!</v>
      </c>
      <c r="H569" s="16" t="e">
        <f t="shared" si="1144"/>
        <v>#REF!</v>
      </c>
      <c r="I569" s="16" t="e">
        <f t="shared" si="1144"/>
        <v>#REF!</v>
      </c>
      <c r="J569" s="40" t="e">
        <f t="shared" si="1144"/>
        <v>#REF!</v>
      </c>
      <c r="K569" s="16" t="e">
        <f t="shared" si="1144"/>
        <v>#REF!</v>
      </c>
      <c r="L569" s="40" t="e">
        <f t="shared" si="609"/>
        <v>#REF!</v>
      </c>
      <c r="M569" s="16" t="e">
        <f t="shared" si="610"/>
        <v>#REF!</v>
      </c>
      <c r="N569" s="16" t="e">
        <f t="shared" si="611"/>
        <v>#REF!</v>
      </c>
      <c r="O569" s="16" t="s">
        <v>65</v>
      </c>
      <c r="P569" s="16" t="str">
        <f t="shared" si="6"/>
        <v/>
      </c>
      <c r="Q569" s="41" t="e">
        <f t="shared" si="612"/>
        <v>#REF!</v>
      </c>
      <c r="R569" s="44"/>
      <c r="S569" s="44"/>
      <c r="T569" s="43"/>
      <c r="U569" s="43" t="str">
        <f t="shared" si="8"/>
        <v>No</v>
      </c>
      <c r="V569" s="25"/>
      <c r="W569" s="25"/>
      <c r="X569" s="25"/>
      <c r="Y569" s="25"/>
      <c r="Z569" s="25"/>
    </row>
    <row r="570" spans="1:26" ht="15.75" customHeight="1" x14ac:dyDescent="0.25">
      <c r="A570" s="25">
        <v>568</v>
      </c>
      <c r="B570" s="37" t="e">
        <f t="shared" ref="B570:D570" si="1145">VLOOKUP($A570,#REF!,B$1,0)</f>
        <v>#REF!</v>
      </c>
      <c r="C570" s="38" t="e">
        <f t="shared" si="1145"/>
        <v>#REF!</v>
      </c>
      <c r="D570" s="39" t="e">
        <f t="shared" si="1145"/>
        <v>#REF!</v>
      </c>
      <c r="E570" s="16" t="e">
        <f t="shared" si="1"/>
        <v>#REF!</v>
      </c>
      <c r="F570" s="16" t="e">
        <f t="shared" ref="F570:K570" si="1146">VLOOKUP($A570,#REF!,F$1,0)</f>
        <v>#REF!</v>
      </c>
      <c r="G570" s="39" t="e">
        <f t="shared" si="1146"/>
        <v>#REF!</v>
      </c>
      <c r="H570" s="16" t="e">
        <f t="shared" si="1146"/>
        <v>#REF!</v>
      </c>
      <c r="I570" s="16" t="e">
        <f t="shared" si="1146"/>
        <v>#REF!</v>
      </c>
      <c r="J570" s="40" t="e">
        <f t="shared" si="1146"/>
        <v>#REF!</v>
      </c>
      <c r="K570" s="16" t="e">
        <f t="shared" si="1146"/>
        <v>#REF!</v>
      </c>
      <c r="L570" s="40" t="e">
        <f t="shared" si="609"/>
        <v>#REF!</v>
      </c>
      <c r="M570" s="16" t="e">
        <f t="shared" si="610"/>
        <v>#REF!</v>
      </c>
      <c r="N570" s="16" t="e">
        <f t="shared" si="611"/>
        <v>#REF!</v>
      </c>
      <c r="O570" s="16" t="s">
        <v>65</v>
      </c>
      <c r="P570" s="16" t="str">
        <f t="shared" si="6"/>
        <v/>
      </c>
      <c r="Q570" s="41" t="e">
        <f t="shared" si="612"/>
        <v>#REF!</v>
      </c>
      <c r="R570" s="44"/>
      <c r="S570" s="44"/>
      <c r="T570" s="43"/>
      <c r="U570" s="43" t="str">
        <f t="shared" si="8"/>
        <v>No</v>
      </c>
      <c r="V570" s="25"/>
      <c r="W570" s="25"/>
      <c r="X570" s="25"/>
      <c r="Y570" s="25"/>
      <c r="Z570" s="25"/>
    </row>
    <row r="571" spans="1:26" ht="15.75" customHeight="1" x14ac:dyDescent="0.25">
      <c r="A571" s="25">
        <v>569</v>
      </c>
      <c r="B571" s="37" t="e">
        <f t="shared" ref="B571:D571" si="1147">VLOOKUP($A571,#REF!,B$1,0)</f>
        <v>#REF!</v>
      </c>
      <c r="C571" s="38" t="e">
        <f t="shared" si="1147"/>
        <v>#REF!</v>
      </c>
      <c r="D571" s="39" t="e">
        <f t="shared" si="1147"/>
        <v>#REF!</v>
      </c>
      <c r="E571" s="16" t="e">
        <f t="shared" si="1"/>
        <v>#REF!</v>
      </c>
      <c r="F571" s="16" t="e">
        <f t="shared" ref="F571:K571" si="1148">VLOOKUP($A571,#REF!,F$1,0)</f>
        <v>#REF!</v>
      </c>
      <c r="G571" s="39" t="e">
        <f t="shared" si="1148"/>
        <v>#REF!</v>
      </c>
      <c r="H571" s="16" t="e">
        <f t="shared" si="1148"/>
        <v>#REF!</v>
      </c>
      <c r="I571" s="16" t="e">
        <f t="shared" si="1148"/>
        <v>#REF!</v>
      </c>
      <c r="J571" s="40" t="e">
        <f t="shared" si="1148"/>
        <v>#REF!</v>
      </c>
      <c r="K571" s="16" t="e">
        <f t="shared" si="1148"/>
        <v>#REF!</v>
      </c>
      <c r="L571" s="40" t="e">
        <f t="shared" si="609"/>
        <v>#REF!</v>
      </c>
      <c r="M571" s="16" t="e">
        <f t="shared" si="610"/>
        <v>#REF!</v>
      </c>
      <c r="N571" s="16" t="e">
        <f t="shared" si="611"/>
        <v>#REF!</v>
      </c>
      <c r="O571" s="16" t="s">
        <v>65</v>
      </c>
      <c r="P571" s="16" t="str">
        <f t="shared" si="6"/>
        <v/>
      </c>
      <c r="Q571" s="41" t="e">
        <f t="shared" si="612"/>
        <v>#REF!</v>
      </c>
      <c r="R571" s="44"/>
      <c r="S571" s="44"/>
      <c r="T571" s="43"/>
      <c r="U571" s="43" t="str">
        <f t="shared" si="8"/>
        <v>No</v>
      </c>
      <c r="V571" s="25"/>
      <c r="W571" s="25"/>
      <c r="X571" s="25"/>
      <c r="Y571" s="25"/>
      <c r="Z571" s="25"/>
    </row>
    <row r="572" spans="1:26" ht="15.75" customHeight="1" x14ac:dyDescent="0.25">
      <c r="A572" s="25">
        <v>570</v>
      </c>
      <c r="B572" s="37" t="e">
        <f t="shared" ref="B572:D572" si="1149">VLOOKUP($A572,#REF!,B$1,0)</f>
        <v>#REF!</v>
      </c>
      <c r="C572" s="38" t="e">
        <f t="shared" si="1149"/>
        <v>#REF!</v>
      </c>
      <c r="D572" s="39" t="e">
        <f t="shared" si="1149"/>
        <v>#REF!</v>
      </c>
      <c r="E572" s="16" t="e">
        <f t="shared" si="1"/>
        <v>#REF!</v>
      </c>
      <c r="F572" s="16" t="e">
        <f t="shared" ref="F572:K572" si="1150">VLOOKUP($A572,#REF!,F$1,0)</f>
        <v>#REF!</v>
      </c>
      <c r="G572" s="39" t="e">
        <f t="shared" si="1150"/>
        <v>#REF!</v>
      </c>
      <c r="H572" s="16" t="e">
        <f t="shared" si="1150"/>
        <v>#REF!</v>
      </c>
      <c r="I572" s="16" t="e">
        <f t="shared" si="1150"/>
        <v>#REF!</v>
      </c>
      <c r="J572" s="40" t="e">
        <f t="shared" si="1150"/>
        <v>#REF!</v>
      </c>
      <c r="K572" s="16" t="e">
        <f t="shared" si="1150"/>
        <v>#REF!</v>
      </c>
      <c r="L572" s="40" t="e">
        <f t="shared" si="609"/>
        <v>#REF!</v>
      </c>
      <c r="M572" s="16" t="e">
        <f t="shared" si="610"/>
        <v>#REF!</v>
      </c>
      <c r="N572" s="16" t="e">
        <f t="shared" si="611"/>
        <v>#REF!</v>
      </c>
      <c r="O572" s="16" t="s">
        <v>65</v>
      </c>
      <c r="P572" s="16" t="str">
        <f t="shared" si="6"/>
        <v/>
      </c>
      <c r="Q572" s="41" t="e">
        <f t="shared" si="612"/>
        <v>#REF!</v>
      </c>
      <c r="R572" s="44"/>
      <c r="S572" s="44"/>
      <c r="T572" s="43"/>
      <c r="U572" s="43" t="str">
        <f t="shared" si="8"/>
        <v>No</v>
      </c>
      <c r="V572" s="25"/>
      <c r="W572" s="25"/>
      <c r="X572" s="25"/>
      <c r="Y572" s="25"/>
      <c r="Z572" s="25"/>
    </row>
    <row r="573" spans="1:26" ht="15.75" customHeight="1" x14ac:dyDescent="0.25">
      <c r="A573" s="25">
        <v>571</v>
      </c>
      <c r="B573" s="37" t="e">
        <f t="shared" ref="B573:D573" si="1151">VLOOKUP($A573,#REF!,B$1,0)</f>
        <v>#REF!</v>
      </c>
      <c r="C573" s="38" t="e">
        <f t="shared" si="1151"/>
        <v>#REF!</v>
      </c>
      <c r="D573" s="39" t="e">
        <f t="shared" si="1151"/>
        <v>#REF!</v>
      </c>
      <c r="E573" s="16" t="e">
        <f t="shared" si="1"/>
        <v>#REF!</v>
      </c>
      <c r="F573" s="16" t="e">
        <f t="shared" ref="F573:K573" si="1152">VLOOKUP($A573,#REF!,F$1,0)</f>
        <v>#REF!</v>
      </c>
      <c r="G573" s="39" t="e">
        <f t="shared" si="1152"/>
        <v>#REF!</v>
      </c>
      <c r="H573" s="16" t="e">
        <f t="shared" si="1152"/>
        <v>#REF!</v>
      </c>
      <c r="I573" s="16" t="e">
        <f t="shared" si="1152"/>
        <v>#REF!</v>
      </c>
      <c r="J573" s="40" t="e">
        <f t="shared" si="1152"/>
        <v>#REF!</v>
      </c>
      <c r="K573" s="16" t="e">
        <f t="shared" si="1152"/>
        <v>#REF!</v>
      </c>
      <c r="L573" s="40" t="e">
        <f t="shared" si="609"/>
        <v>#REF!</v>
      </c>
      <c r="M573" s="16" t="e">
        <f t="shared" si="610"/>
        <v>#REF!</v>
      </c>
      <c r="N573" s="16" t="e">
        <f t="shared" si="611"/>
        <v>#REF!</v>
      </c>
      <c r="O573" s="16" t="s">
        <v>65</v>
      </c>
      <c r="P573" s="16" t="str">
        <f t="shared" si="6"/>
        <v/>
      </c>
      <c r="Q573" s="41" t="e">
        <f t="shared" si="612"/>
        <v>#REF!</v>
      </c>
      <c r="R573" s="44"/>
      <c r="S573" s="44"/>
      <c r="T573" s="43"/>
      <c r="U573" s="43" t="str">
        <f t="shared" si="8"/>
        <v>No</v>
      </c>
      <c r="V573" s="25"/>
      <c r="W573" s="25"/>
      <c r="X573" s="25"/>
      <c r="Y573" s="25"/>
      <c r="Z573" s="25"/>
    </row>
    <row r="574" spans="1:26" ht="15.75" customHeight="1" x14ac:dyDescent="0.25">
      <c r="A574" s="25">
        <v>572</v>
      </c>
      <c r="B574" s="37" t="e">
        <f t="shared" ref="B574:D574" si="1153">VLOOKUP($A574,#REF!,B$1,0)</f>
        <v>#REF!</v>
      </c>
      <c r="C574" s="38" t="e">
        <f t="shared" si="1153"/>
        <v>#REF!</v>
      </c>
      <c r="D574" s="39" t="e">
        <f t="shared" si="1153"/>
        <v>#REF!</v>
      </c>
      <c r="E574" s="16" t="e">
        <f t="shared" si="1"/>
        <v>#REF!</v>
      </c>
      <c r="F574" s="16" t="e">
        <f t="shared" ref="F574:K574" si="1154">VLOOKUP($A574,#REF!,F$1,0)</f>
        <v>#REF!</v>
      </c>
      <c r="G574" s="39" t="e">
        <f t="shared" si="1154"/>
        <v>#REF!</v>
      </c>
      <c r="H574" s="16" t="e">
        <f t="shared" si="1154"/>
        <v>#REF!</v>
      </c>
      <c r="I574" s="16" t="e">
        <f t="shared" si="1154"/>
        <v>#REF!</v>
      </c>
      <c r="J574" s="40" t="e">
        <f t="shared" si="1154"/>
        <v>#REF!</v>
      </c>
      <c r="K574" s="16" t="e">
        <f t="shared" si="1154"/>
        <v>#REF!</v>
      </c>
      <c r="L574" s="40" t="e">
        <f t="shared" si="609"/>
        <v>#REF!</v>
      </c>
      <c r="M574" s="16" t="e">
        <f t="shared" si="610"/>
        <v>#REF!</v>
      </c>
      <c r="N574" s="16" t="e">
        <f t="shared" si="611"/>
        <v>#REF!</v>
      </c>
      <c r="O574" s="16" t="s">
        <v>65</v>
      </c>
      <c r="P574" s="16" t="str">
        <f t="shared" si="6"/>
        <v/>
      </c>
      <c r="Q574" s="41" t="e">
        <f t="shared" si="612"/>
        <v>#REF!</v>
      </c>
      <c r="R574" s="44"/>
      <c r="S574" s="44"/>
      <c r="T574" s="43"/>
      <c r="U574" s="43" t="str">
        <f t="shared" si="8"/>
        <v>No</v>
      </c>
      <c r="V574" s="25"/>
      <c r="W574" s="25"/>
      <c r="X574" s="25"/>
      <c r="Y574" s="25"/>
      <c r="Z574" s="25"/>
    </row>
    <row r="575" spans="1:26" ht="15.75" customHeight="1" x14ac:dyDescent="0.25">
      <c r="A575" s="25">
        <v>573</v>
      </c>
      <c r="B575" s="37" t="e">
        <f t="shared" ref="B575:D575" si="1155">VLOOKUP($A575,#REF!,B$1,0)</f>
        <v>#REF!</v>
      </c>
      <c r="C575" s="38" t="e">
        <f t="shared" si="1155"/>
        <v>#REF!</v>
      </c>
      <c r="D575" s="39" t="e">
        <f t="shared" si="1155"/>
        <v>#REF!</v>
      </c>
      <c r="E575" s="16" t="e">
        <f t="shared" si="1"/>
        <v>#REF!</v>
      </c>
      <c r="F575" s="16" t="e">
        <f t="shared" ref="F575:K575" si="1156">VLOOKUP($A575,#REF!,F$1,0)</f>
        <v>#REF!</v>
      </c>
      <c r="G575" s="39" t="e">
        <f t="shared" si="1156"/>
        <v>#REF!</v>
      </c>
      <c r="H575" s="16" t="e">
        <f t="shared" si="1156"/>
        <v>#REF!</v>
      </c>
      <c r="I575" s="16" t="e">
        <f t="shared" si="1156"/>
        <v>#REF!</v>
      </c>
      <c r="J575" s="40" t="e">
        <f t="shared" si="1156"/>
        <v>#REF!</v>
      </c>
      <c r="K575" s="16" t="e">
        <f t="shared" si="1156"/>
        <v>#REF!</v>
      </c>
      <c r="L575" s="40" t="e">
        <f t="shared" si="609"/>
        <v>#REF!</v>
      </c>
      <c r="M575" s="16" t="e">
        <f t="shared" si="610"/>
        <v>#REF!</v>
      </c>
      <c r="N575" s="16" t="e">
        <f t="shared" si="611"/>
        <v>#REF!</v>
      </c>
      <c r="O575" s="16" t="s">
        <v>65</v>
      </c>
      <c r="P575" s="16" t="str">
        <f t="shared" si="6"/>
        <v/>
      </c>
      <c r="Q575" s="41" t="e">
        <f t="shared" si="612"/>
        <v>#REF!</v>
      </c>
      <c r="R575" s="44"/>
      <c r="S575" s="44"/>
      <c r="T575" s="43"/>
      <c r="U575" s="43" t="str">
        <f t="shared" si="8"/>
        <v>No</v>
      </c>
      <c r="V575" s="25"/>
      <c r="W575" s="25"/>
      <c r="X575" s="25"/>
      <c r="Y575" s="25"/>
      <c r="Z575" s="25"/>
    </row>
    <row r="576" spans="1:26" ht="15.75" customHeight="1" x14ac:dyDescent="0.25">
      <c r="A576" s="25">
        <v>574</v>
      </c>
      <c r="B576" s="37" t="e">
        <f t="shared" ref="B576:D576" si="1157">VLOOKUP($A576,#REF!,B$1,0)</f>
        <v>#REF!</v>
      </c>
      <c r="C576" s="38" t="e">
        <f t="shared" si="1157"/>
        <v>#REF!</v>
      </c>
      <c r="D576" s="39" t="e">
        <f t="shared" si="1157"/>
        <v>#REF!</v>
      </c>
      <c r="E576" s="16" t="e">
        <f t="shared" si="1"/>
        <v>#REF!</v>
      </c>
      <c r="F576" s="16" t="e">
        <f t="shared" ref="F576:K576" si="1158">VLOOKUP($A576,#REF!,F$1,0)</f>
        <v>#REF!</v>
      </c>
      <c r="G576" s="39" t="e">
        <f t="shared" si="1158"/>
        <v>#REF!</v>
      </c>
      <c r="H576" s="16" t="e">
        <f t="shared" si="1158"/>
        <v>#REF!</v>
      </c>
      <c r="I576" s="16" t="e">
        <f t="shared" si="1158"/>
        <v>#REF!</v>
      </c>
      <c r="J576" s="40" t="e">
        <f t="shared" si="1158"/>
        <v>#REF!</v>
      </c>
      <c r="K576" s="16" t="e">
        <f t="shared" si="1158"/>
        <v>#REF!</v>
      </c>
      <c r="L576" s="40" t="e">
        <f t="shared" si="609"/>
        <v>#REF!</v>
      </c>
      <c r="M576" s="16" t="e">
        <f t="shared" si="610"/>
        <v>#REF!</v>
      </c>
      <c r="N576" s="16" t="e">
        <f t="shared" si="611"/>
        <v>#REF!</v>
      </c>
      <c r="O576" s="16" t="s">
        <v>65</v>
      </c>
      <c r="P576" s="16" t="str">
        <f t="shared" si="6"/>
        <v/>
      </c>
      <c r="Q576" s="41" t="e">
        <f t="shared" si="612"/>
        <v>#REF!</v>
      </c>
      <c r="R576" s="44"/>
      <c r="S576" s="44"/>
      <c r="T576" s="43"/>
      <c r="U576" s="43" t="str">
        <f t="shared" si="8"/>
        <v>No</v>
      </c>
      <c r="V576" s="25"/>
      <c r="W576" s="25"/>
      <c r="X576" s="25"/>
      <c r="Y576" s="25"/>
      <c r="Z576" s="25"/>
    </row>
    <row r="577" spans="1:26" ht="15.75" customHeight="1" x14ac:dyDescent="0.25">
      <c r="A577" s="25">
        <v>575</v>
      </c>
      <c r="B577" s="37" t="e">
        <f t="shared" ref="B577:D577" si="1159">VLOOKUP($A577,#REF!,B$1,0)</f>
        <v>#REF!</v>
      </c>
      <c r="C577" s="38" t="e">
        <f t="shared" si="1159"/>
        <v>#REF!</v>
      </c>
      <c r="D577" s="39" t="e">
        <f t="shared" si="1159"/>
        <v>#REF!</v>
      </c>
      <c r="E577" s="16" t="e">
        <f t="shared" si="1"/>
        <v>#REF!</v>
      </c>
      <c r="F577" s="16" t="e">
        <f t="shared" ref="F577:K577" si="1160">VLOOKUP($A577,#REF!,F$1,0)</f>
        <v>#REF!</v>
      </c>
      <c r="G577" s="39" t="e">
        <f t="shared" si="1160"/>
        <v>#REF!</v>
      </c>
      <c r="H577" s="16" t="e">
        <f t="shared" si="1160"/>
        <v>#REF!</v>
      </c>
      <c r="I577" s="16" t="e">
        <f t="shared" si="1160"/>
        <v>#REF!</v>
      </c>
      <c r="J577" s="40" t="e">
        <f t="shared" si="1160"/>
        <v>#REF!</v>
      </c>
      <c r="K577" s="16" t="e">
        <f t="shared" si="1160"/>
        <v>#REF!</v>
      </c>
      <c r="L577" s="40" t="e">
        <f t="shared" si="609"/>
        <v>#REF!</v>
      </c>
      <c r="M577" s="16" t="e">
        <f t="shared" si="610"/>
        <v>#REF!</v>
      </c>
      <c r="N577" s="16" t="e">
        <f t="shared" si="611"/>
        <v>#REF!</v>
      </c>
      <c r="O577" s="16" t="s">
        <v>65</v>
      </c>
      <c r="P577" s="16" t="str">
        <f t="shared" si="6"/>
        <v/>
      </c>
      <c r="Q577" s="41" t="e">
        <f t="shared" si="612"/>
        <v>#REF!</v>
      </c>
      <c r="R577" s="44"/>
      <c r="S577" s="44"/>
      <c r="T577" s="43"/>
      <c r="U577" s="43" t="str">
        <f t="shared" si="8"/>
        <v>No</v>
      </c>
      <c r="V577" s="25"/>
      <c r="W577" s="25"/>
      <c r="X577" s="25"/>
      <c r="Y577" s="25"/>
      <c r="Z577" s="25"/>
    </row>
    <row r="578" spans="1:26" ht="15.75" customHeight="1" x14ac:dyDescent="0.25">
      <c r="A578" s="25">
        <v>576</v>
      </c>
      <c r="B578" s="37" t="e">
        <f t="shared" ref="B578:D578" si="1161">VLOOKUP($A578,#REF!,B$1,0)</f>
        <v>#REF!</v>
      </c>
      <c r="C578" s="38" t="e">
        <f t="shared" si="1161"/>
        <v>#REF!</v>
      </c>
      <c r="D578" s="39" t="e">
        <f t="shared" si="1161"/>
        <v>#REF!</v>
      </c>
      <c r="E578" s="16" t="e">
        <f t="shared" si="1"/>
        <v>#REF!</v>
      </c>
      <c r="F578" s="16" t="e">
        <f t="shared" ref="F578:K578" si="1162">VLOOKUP($A578,#REF!,F$1,0)</f>
        <v>#REF!</v>
      </c>
      <c r="G578" s="39" t="e">
        <f t="shared" si="1162"/>
        <v>#REF!</v>
      </c>
      <c r="H578" s="16" t="e">
        <f t="shared" si="1162"/>
        <v>#REF!</v>
      </c>
      <c r="I578" s="16" t="e">
        <f t="shared" si="1162"/>
        <v>#REF!</v>
      </c>
      <c r="J578" s="40" t="e">
        <f t="shared" si="1162"/>
        <v>#REF!</v>
      </c>
      <c r="K578" s="16" t="e">
        <f t="shared" si="1162"/>
        <v>#REF!</v>
      </c>
      <c r="L578" s="40" t="e">
        <f t="shared" si="609"/>
        <v>#REF!</v>
      </c>
      <c r="M578" s="16" t="e">
        <f t="shared" si="610"/>
        <v>#REF!</v>
      </c>
      <c r="N578" s="16" t="e">
        <f t="shared" si="611"/>
        <v>#REF!</v>
      </c>
      <c r="O578" s="16" t="s">
        <v>65</v>
      </c>
      <c r="P578" s="16" t="str">
        <f t="shared" si="6"/>
        <v/>
      </c>
      <c r="Q578" s="41" t="e">
        <f t="shared" si="612"/>
        <v>#REF!</v>
      </c>
      <c r="R578" s="44"/>
      <c r="S578" s="44"/>
      <c r="T578" s="43"/>
      <c r="U578" s="43" t="str">
        <f t="shared" si="8"/>
        <v>No</v>
      </c>
      <c r="V578" s="25"/>
      <c r="W578" s="25"/>
      <c r="X578" s="25"/>
      <c r="Y578" s="25"/>
      <c r="Z578" s="25"/>
    </row>
    <row r="579" spans="1:26" ht="15.75" customHeight="1" x14ac:dyDescent="0.25">
      <c r="A579" s="25">
        <v>577</v>
      </c>
      <c r="B579" s="37" t="e">
        <f t="shared" ref="B579:D579" si="1163">VLOOKUP($A579,#REF!,B$1,0)</f>
        <v>#REF!</v>
      </c>
      <c r="C579" s="38" t="e">
        <f t="shared" si="1163"/>
        <v>#REF!</v>
      </c>
      <c r="D579" s="39" t="e">
        <f t="shared" si="1163"/>
        <v>#REF!</v>
      </c>
      <c r="E579" s="16" t="e">
        <f t="shared" si="1"/>
        <v>#REF!</v>
      </c>
      <c r="F579" s="16" t="e">
        <f t="shared" ref="F579:K579" si="1164">VLOOKUP($A579,#REF!,F$1,0)</f>
        <v>#REF!</v>
      </c>
      <c r="G579" s="39" t="e">
        <f t="shared" si="1164"/>
        <v>#REF!</v>
      </c>
      <c r="H579" s="16" t="e">
        <f t="shared" si="1164"/>
        <v>#REF!</v>
      </c>
      <c r="I579" s="16" t="e">
        <f t="shared" si="1164"/>
        <v>#REF!</v>
      </c>
      <c r="J579" s="40" t="e">
        <f t="shared" si="1164"/>
        <v>#REF!</v>
      </c>
      <c r="K579" s="16" t="e">
        <f t="shared" si="1164"/>
        <v>#REF!</v>
      </c>
      <c r="L579" s="40" t="e">
        <f t="shared" si="609"/>
        <v>#REF!</v>
      </c>
      <c r="M579" s="16" t="e">
        <f t="shared" si="610"/>
        <v>#REF!</v>
      </c>
      <c r="N579" s="16" t="e">
        <f t="shared" si="611"/>
        <v>#REF!</v>
      </c>
      <c r="O579" s="16" t="s">
        <v>65</v>
      </c>
      <c r="P579" s="16" t="str">
        <f t="shared" si="6"/>
        <v/>
      </c>
      <c r="Q579" s="41" t="e">
        <f t="shared" si="612"/>
        <v>#REF!</v>
      </c>
      <c r="R579" s="44"/>
      <c r="S579" s="44"/>
      <c r="T579" s="43"/>
      <c r="U579" s="43" t="str">
        <f t="shared" si="8"/>
        <v>No</v>
      </c>
      <c r="V579" s="25"/>
      <c r="W579" s="25"/>
      <c r="X579" s="25"/>
      <c r="Y579" s="25"/>
      <c r="Z579" s="25"/>
    </row>
    <row r="580" spans="1:26" ht="15.75" customHeight="1" x14ac:dyDescent="0.25">
      <c r="A580" s="25">
        <v>578</v>
      </c>
      <c r="B580" s="37" t="e">
        <f t="shared" ref="B580:D580" si="1165">VLOOKUP($A580,#REF!,B$1,0)</f>
        <v>#REF!</v>
      </c>
      <c r="C580" s="38" t="e">
        <f t="shared" si="1165"/>
        <v>#REF!</v>
      </c>
      <c r="D580" s="39" t="e">
        <f t="shared" si="1165"/>
        <v>#REF!</v>
      </c>
      <c r="E580" s="16" t="e">
        <f t="shared" si="1"/>
        <v>#REF!</v>
      </c>
      <c r="F580" s="16" t="e">
        <f t="shared" ref="F580:K580" si="1166">VLOOKUP($A580,#REF!,F$1,0)</f>
        <v>#REF!</v>
      </c>
      <c r="G580" s="39" t="e">
        <f t="shared" si="1166"/>
        <v>#REF!</v>
      </c>
      <c r="H580" s="16" t="e">
        <f t="shared" si="1166"/>
        <v>#REF!</v>
      </c>
      <c r="I580" s="16" t="e">
        <f t="shared" si="1166"/>
        <v>#REF!</v>
      </c>
      <c r="J580" s="40" t="e">
        <f t="shared" si="1166"/>
        <v>#REF!</v>
      </c>
      <c r="K580" s="16" t="e">
        <f t="shared" si="1166"/>
        <v>#REF!</v>
      </c>
      <c r="L580" s="40" t="e">
        <f t="shared" si="609"/>
        <v>#REF!</v>
      </c>
      <c r="M580" s="16" t="e">
        <f t="shared" si="610"/>
        <v>#REF!</v>
      </c>
      <c r="N580" s="16" t="e">
        <f t="shared" si="611"/>
        <v>#REF!</v>
      </c>
      <c r="O580" s="16" t="s">
        <v>65</v>
      </c>
      <c r="P580" s="16" t="str">
        <f t="shared" si="6"/>
        <v/>
      </c>
      <c r="Q580" s="41" t="e">
        <f t="shared" si="612"/>
        <v>#REF!</v>
      </c>
      <c r="R580" s="44"/>
      <c r="S580" s="44"/>
      <c r="T580" s="43"/>
      <c r="U580" s="43" t="str">
        <f t="shared" si="8"/>
        <v>No</v>
      </c>
      <c r="V580" s="25"/>
      <c r="W580" s="25"/>
      <c r="X580" s="25"/>
      <c r="Y580" s="25"/>
      <c r="Z580" s="25"/>
    </row>
    <row r="581" spans="1:26" ht="15.75" customHeight="1" x14ac:dyDescent="0.25">
      <c r="A581" s="25">
        <v>579</v>
      </c>
      <c r="B581" s="37" t="e">
        <f t="shared" ref="B581:D581" si="1167">VLOOKUP($A581,#REF!,B$1,0)</f>
        <v>#REF!</v>
      </c>
      <c r="C581" s="38" t="e">
        <f t="shared" si="1167"/>
        <v>#REF!</v>
      </c>
      <c r="D581" s="39" t="e">
        <f t="shared" si="1167"/>
        <v>#REF!</v>
      </c>
      <c r="E581" s="16" t="e">
        <f t="shared" si="1"/>
        <v>#REF!</v>
      </c>
      <c r="F581" s="16" t="e">
        <f t="shared" ref="F581:K581" si="1168">VLOOKUP($A581,#REF!,F$1,0)</f>
        <v>#REF!</v>
      </c>
      <c r="G581" s="39" t="e">
        <f t="shared" si="1168"/>
        <v>#REF!</v>
      </c>
      <c r="H581" s="16" t="e">
        <f t="shared" si="1168"/>
        <v>#REF!</v>
      </c>
      <c r="I581" s="16" t="e">
        <f t="shared" si="1168"/>
        <v>#REF!</v>
      </c>
      <c r="J581" s="40" t="e">
        <f t="shared" si="1168"/>
        <v>#REF!</v>
      </c>
      <c r="K581" s="16" t="e">
        <f t="shared" si="1168"/>
        <v>#REF!</v>
      </c>
      <c r="L581" s="40" t="e">
        <f t="shared" si="609"/>
        <v>#REF!</v>
      </c>
      <c r="M581" s="16" t="e">
        <f t="shared" si="610"/>
        <v>#REF!</v>
      </c>
      <c r="N581" s="16" t="e">
        <f t="shared" si="611"/>
        <v>#REF!</v>
      </c>
      <c r="O581" s="16" t="s">
        <v>65</v>
      </c>
      <c r="P581" s="16" t="str">
        <f t="shared" si="6"/>
        <v/>
      </c>
      <c r="Q581" s="41" t="e">
        <f t="shared" si="612"/>
        <v>#REF!</v>
      </c>
      <c r="R581" s="44"/>
      <c r="S581" s="44"/>
      <c r="T581" s="43"/>
      <c r="U581" s="43" t="str">
        <f t="shared" si="8"/>
        <v>No</v>
      </c>
      <c r="V581" s="25"/>
      <c r="W581" s="25"/>
      <c r="X581" s="25"/>
      <c r="Y581" s="25"/>
      <c r="Z581" s="25"/>
    </row>
    <row r="582" spans="1:26" ht="15.75" customHeight="1" x14ac:dyDescent="0.25">
      <c r="A582" s="25">
        <v>580</v>
      </c>
      <c r="B582" s="37" t="e">
        <f t="shared" ref="B582:D582" si="1169">VLOOKUP($A582,#REF!,B$1,0)</f>
        <v>#REF!</v>
      </c>
      <c r="C582" s="38" t="e">
        <f t="shared" si="1169"/>
        <v>#REF!</v>
      </c>
      <c r="D582" s="39" t="e">
        <f t="shared" si="1169"/>
        <v>#REF!</v>
      </c>
      <c r="E582" s="16" t="e">
        <f t="shared" si="1"/>
        <v>#REF!</v>
      </c>
      <c r="F582" s="16" t="e">
        <f t="shared" ref="F582:K582" si="1170">VLOOKUP($A582,#REF!,F$1,0)</f>
        <v>#REF!</v>
      </c>
      <c r="G582" s="39" t="e">
        <f t="shared" si="1170"/>
        <v>#REF!</v>
      </c>
      <c r="H582" s="16" t="e">
        <f t="shared" si="1170"/>
        <v>#REF!</v>
      </c>
      <c r="I582" s="16" t="e">
        <f t="shared" si="1170"/>
        <v>#REF!</v>
      </c>
      <c r="J582" s="40" t="e">
        <f t="shared" si="1170"/>
        <v>#REF!</v>
      </c>
      <c r="K582" s="16" t="e">
        <f t="shared" si="1170"/>
        <v>#REF!</v>
      </c>
      <c r="L582" s="40" t="e">
        <f t="shared" si="609"/>
        <v>#REF!</v>
      </c>
      <c r="M582" s="16" t="e">
        <f t="shared" si="610"/>
        <v>#REF!</v>
      </c>
      <c r="N582" s="16" t="e">
        <f t="shared" si="611"/>
        <v>#REF!</v>
      </c>
      <c r="O582" s="16" t="s">
        <v>65</v>
      </c>
      <c r="P582" s="16" t="str">
        <f t="shared" si="6"/>
        <v/>
      </c>
      <c r="Q582" s="41" t="e">
        <f t="shared" si="612"/>
        <v>#REF!</v>
      </c>
      <c r="R582" s="44"/>
      <c r="S582" s="44"/>
      <c r="T582" s="43"/>
      <c r="U582" s="43" t="str">
        <f t="shared" si="8"/>
        <v>No</v>
      </c>
      <c r="V582" s="25"/>
      <c r="W582" s="25"/>
      <c r="X582" s="25"/>
      <c r="Y582" s="25"/>
      <c r="Z582" s="25"/>
    </row>
    <row r="583" spans="1:26" ht="15.75" customHeight="1" x14ac:dyDescent="0.25">
      <c r="A583" s="25">
        <v>581</v>
      </c>
      <c r="B583" s="37" t="e">
        <f t="shared" ref="B583:D583" si="1171">VLOOKUP($A583,#REF!,B$1,0)</f>
        <v>#REF!</v>
      </c>
      <c r="C583" s="38" t="e">
        <f t="shared" si="1171"/>
        <v>#REF!</v>
      </c>
      <c r="D583" s="39" t="e">
        <f t="shared" si="1171"/>
        <v>#REF!</v>
      </c>
      <c r="E583" s="16" t="e">
        <f t="shared" si="1"/>
        <v>#REF!</v>
      </c>
      <c r="F583" s="16" t="e">
        <f t="shared" ref="F583:K583" si="1172">VLOOKUP($A583,#REF!,F$1,0)</f>
        <v>#REF!</v>
      </c>
      <c r="G583" s="39" t="e">
        <f t="shared" si="1172"/>
        <v>#REF!</v>
      </c>
      <c r="H583" s="16" t="e">
        <f t="shared" si="1172"/>
        <v>#REF!</v>
      </c>
      <c r="I583" s="16" t="e">
        <f t="shared" si="1172"/>
        <v>#REF!</v>
      </c>
      <c r="J583" s="40" t="e">
        <f t="shared" si="1172"/>
        <v>#REF!</v>
      </c>
      <c r="K583" s="16" t="e">
        <f t="shared" si="1172"/>
        <v>#REF!</v>
      </c>
      <c r="L583" s="40" t="e">
        <f t="shared" si="609"/>
        <v>#REF!</v>
      </c>
      <c r="M583" s="16" t="e">
        <f t="shared" si="610"/>
        <v>#REF!</v>
      </c>
      <c r="N583" s="16" t="e">
        <f t="shared" si="611"/>
        <v>#REF!</v>
      </c>
      <c r="O583" s="16" t="s">
        <v>65</v>
      </c>
      <c r="P583" s="16" t="str">
        <f t="shared" si="6"/>
        <v/>
      </c>
      <c r="Q583" s="41" t="e">
        <f t="shared" si="612"/>
        <v>#REF!</v>
      </c>
      <c r="R583" s="44"/>
      <c r="S583" s="44"/>
      <c r="T583" s="43"/>
      <c r="U583" s="43" t="str">
        <f t="shared" si="8"/>
        <v>No</v>
      </c>
      <c r="V583" s="25"/>
      <c r="W583" s="25"/>
      <c r="X583" s="25"/>
      <c r="Y583" s="25"/>
      <c r="Z583" s="25"/>
    </row>
    <row r="584" spans="1:26" ht="15.75" customHeight="1" x14ac:dyDescent="0.25">
      <c r="A584" s="25">
        <v>582</v>
      </c>
      <c r="B584" s="37" t="e">
        <f t="shared" ref="B584:D584" si="1173">VLOOKUP($A584,#REF!,B$1,0)</f>
        <v>#REF!</v>
      </c>
      <c r="C584" s="38" t="e">
        <f t="shared" si="1173"/>
        <v>#REF!</v>
      </c>
      <c r="D584" s="39" t="e">
        <f t="shared" si="1173"/>
        <v>#REF!</v>
      </c>
      <c r="E584" s="16" t="e">
        <f t="shared" si="1"/>
        <v>#REF!</v>
      </c>
      <c r="F584" s="16" t="e">
        <f t="shared" ref="F584:K584" si="1174">VLOOKUP($A584,#REF!,F$1,0)</f>
        <v>#REF!</v>
      </c>
      <c r="G584" s="39" t="e">
        <f t="shared" si="1174"/>
        <v>#REF!</v>
      </c>
      <c r="H584" s="16" t="e">
        <f t="shared" si="1174"/>
        <v>#REF!</v>
      </c>
      <c r="I584" s="16" t="e">
        <f t="shared" si="1174"/>
        <v>#REF!</v>
      </c>
      <c r="J584" s="40" t="e">
        <f t="shared" si="1174"/>
        <v>#REF!</v>
      </c>
      <c r="K584" s="16" t="e">
        <f t="shared" si="1174"/>
        <v>#REF!</v>
      </c>
      <c r="L584" s="40" t="e">
        <f t="shared" si="609"/>
        <v>#REF!</v>
      </c>
      <c r="M584" s="16" t="e">
        <f t="shared" si="610"/>
        <v>#REF!</v>
      </c>
      <c r="N584" s="16" t="e">
        <f t="shared" si="611"/>
        <v>#REF!</v>
      </c>
      <c r="O584" s="16" t="s">
        <v>65</v>
      </c>
      <c r="P584" s="16" t="str">
        <f t="shared" si="6"/>
        <v/>
      </c>
      <c r="Q584" s="41" t="e">
        <f t="shared" si="612"/>
        <v>#REF!</v>
      </c>
      <c r="R584" s="44"/>
      <c r="S584" s="44"/>
      <c r="T584" s="43"/>
      <c r="U584" s="43" t="str">
        <f t="shared" si="8"/>
        <v>No</v>
      </c>
      <c r="V584" s="25"/>
      <c r="W584" s="25"/>
      <c r="X584" s="25"/>
      <c r="Y584" s="25"/>
      <c r="Z584" s="25"/>
    </row>
    <row r="585" spans="1:26" ht="15.75" customHeight="1" x14ac:dyDescent="0.25">
      <c r="A585" s="25">
        <v>583</v>
      </c>
      <c r="B585" s="37" t="e">
        <f t="shared" ref="B585:D585" si="1175">VLOOKUP($A585,#REF!,B$1,0)</f>
        <v>#REF!</v>
      </c>
      <c r="C585" s="38" t="e">
        <f t="shared" si="1175"/>
        <v>#REF!</v>
      </c>
      <c r="D585" s="39" t="e">
        <f t="shared" si="1175"/>
        <v>#REF!</v>
      </c>
      <c r="E585" s="16" t="e">
        <f t="shared" si="1"/>
        <v>#REF!</v>
      </c>
      <c r="F585" s="16" t="e">
        <f t="shared" ref="F585:K585" si="1176">VLOOKUP($A585,#REF!,F$1,0)</f>
        <v>#REF!</v>
      </c>
      <c r="G585" s="39" t="e">
        <f t="shared" si="1176"/>
        <v>#REF!</v>
      </c>
      <c r="H585" s="16" t="e">
        <f t="shared" si="1176"/>
        <v>#REF!</v>
      </c>
      <c r="I585" s="16" t="e">
        <f t="shared" si="1176"/>
        <v>#REF!</v>
      </c>
      <c r="J585" s="40" t="e">
        <f t="shared" si="1176"/>
        <v>#REF!</v>
      </c>
      <c r="K585" s="16" t="e">
        <f t="shared" si="1176"/>
        <v>#REF!</v>
      </c>
      <c r="L585" s="40" t="e">
        <f t="shared" si="609"/>
        <v>#REF!</v>
      </c>
      <c r="M585" s="16" t="e">
        <f t="shared" si="610"/>
        <v>#REF!</v>
      </c>
      <c r="N585" s="16" t="e">
        <f t="shared" si="611"/>
        <v>#REF!</v>
      </c>
      <c r="O585" s="16" t="s">
        <v>65</v>
      </c>
      <c r="P585" s="16" t="str">
        <f t="shared" si="6"/>
        <v/>
      </c>
      <c r="Q585" s="41" t="e">
        <f t="shared" si="612"/>
        <v>#REF!</v>
      </c>
      <c r="R585" s="44"/>
      <c r="S585" s="44"/>
      <c r="T585" s="43"/>
      <c r="U585" s="43" t="str">
        <f t="shared" si="8"/>
        <v>No</v>
      </c>
      <c r="V585" s="25"/>
      <c r="W585" s="25"/>
      <c r="X585" s="25"/>
      <c r="Y585" s="25"/>
      <c r="Z585" s="25"/>
    </row>
    <row r="586" spans="1:26" ht="15.75" customHeight="1" x14ac:dyDescent="0.25">
      <c r="A586" s="25">
        <v>584</v>
      </c>
      <c r="B586" s="37" t="e">
        <f t="shared" ref="B586:D586" si="1177">VLOOKUP($A586,#REF!,B$1,0)</f>
        <v>#REF!</v>
      </c>
      <c r="C586" s="38" t="e">
        <f t="shared" si="1177"/>
        <v>#REF!</v>
      </c>
      <c r="D586" s="39" t="e">
        <f t="shared" si="1177"/>
        <v>#REF!</v>
      </c>
      <c r="E586" s="16" t="e">
        <f t="shared" si="1"/>
        <v>#REF!</v>
      </c>
      <c r="F586" s="16" t="e">
        <f t="shared" ref="F586:K586" si="1178">VLOOKUP($A586,#REF!,F$1,0)</f>
        <v>#REF!</v>
      </c>
      <c r="G586" s="39" t="e">
        <f t="shared" si="1178"/>
        <v>#REF!</v>
      </c>
      <c r="H586" s="16" t="e">
        <f t="shared" si="1178"/>
        <v>#REF!</v>
      </c>
      <c r="I586" s="16" t="e">
        <f t="shared" si="1178"/>
        <v>#REF!</v>
      </c>
      <c r="J586" s="40" t="e">
        <f t="shared" si="1178"/>
        <v>#REF!</v>
      </c>
      <c r="K586" s="16" t="e">
        <f t="shared" si="1178"/>
        <v>#REF!</v>
      </c>
      <c r="L586" s="40" t="e">
        <f t="shared" si="609"/>
        <v>#REF!</v>
      </c>
      <c r="M586" s="16" t="e">
        <f t="shared" si="610"/>
        <v>#REF!</v>
      </c>
      <c r="N586" s="16" t="e">
        <f t="shared" si="611"/>
        <v>#REF!</v>
      </c>
      <c r="O586" s="16" t="s">
        <v>65</v>
      </c>
      <c r="P586" s="16" t="str">
        <f t="shared" si="6"/>
        <v/>
      </c>
      <c r="Q586" s="41" t="e">
        <f t="shared" si="612"/>
        <v>#REF!</v>
      </c>
      <c r="R586" s="44"/>
      <c r="S586" s="44"/>
      <c r="T586" s="43"/>
      <c r="U586" s="43" t="str">
        <f t="shared" si="8"/>
        <v>No</v>
      </c>
      <c r="V586" s="25"/>
      <c r="W586" s="25"/>
      <c r="X586" s="25"/>
      <c r="Y586" s="25"/>
      <c r="Z586" s="25"/>
    </row>
    <row r="587" spans="1:26" ht="15.75" customHeight="1" x14ac:dyDescent="0.25">
      <c r="A587" s="25">
        <v>585</v>
      </c>
      <c r="B587" s="37" t="e">
        <f t="shared" ref="B587:D587" si="1179">VLOOKUP($A587,#REF!,B$1,0)</f>
        <v>#REF!</v>
      </c>
      <c r="C587" s="38" t="e">
        <f t="shared" si="1179"/>
        <v>#REF!</v>
      </c>
      <c r="D587" s="39" t="e">
        <f t="shared" si="1179"/>
        <v>#REF!</v>
      </c>
      <c r="E587" s="16" t="e">
        <f t="shared" si="1"/>
        <v>#REF!</v>
      </c>
      <c r="F587" s="16" t="e">
        <f t="shared" ref="F587:K587" si="1180">VLOOKUP($A587,#REF!,F$1,0)</f>
        <v>#REF!</v>
      </c>
      <c r="G587" s="39" t="e">
        <f t="shared" si="1180"/>
        <v>#REF!</v>
      </c>
      <c r="H587" s="16" t="e">
        <f t="shared" si="1180"/>
        <v>#REF!</v>
      </c>
      <c r="I587" s="16" t="e">
        <f t="shared" si="1180"/>
        <v>#REF!</v>
      </c>
      <c r="J587" s="40" t="e">
        <f t="shared" si="1180"/>
        <v>#REF!</v>
      </c>
      <c r="K587" s="16" t="e">
        <f t="shared" si="1180"/>
        <v>#REF!</v>
      </c>
      <c r="L587" s="40" t="e">
        <f t="shared" si="609"/>
        <v>#REF!</v>
      </c>
      <c r="M587" s="16" t="e">
        <f t="shared" si="610"/>
        <v>#REF!</v>
      </c>
      <c r="N587" s="16" t="e">
        <f t="shared" si="611"/>
        <v>#REF!</v>
      </c>
      <c r="O587" s="16" t="s">
        <v>65</v>
      </c>
      <c r="P587" s="16" t="str">
        <f t="shared" si="6"/>
        <v/>
      </c>
      <c r="Q587" s="41" t="e">
        <f t="shared" si="612"/>
        <v>#REF!</v>
      </c>
      <c r="R587" s="44"/>
      <c r="S587" s="44"/>
      <c r="T587" s="43"/>
      <c r="U587" s="43" t="str">
        <f t="shared" si="8"/>
        <v>No</v>
      </c>
      <c r="V587" s="25"/>
      <c r="W587" s="25"/>
      <c r="X587" s="25"/>
      <c r="Y587" s="25"/>
      <c r="Z587" s="25"/>
    </row>
    <row r="588" spans="1:26" ht="15.75" customHeight="1" x14ac:dyDescent="0.25">
      <c r="A588" s="25">
        <v>586</v>
      </c>
      <c r="B588" s="37" t="e">
        <f t="shared" ref="B588:D588" si="1181">VLOOKUP($A588,#REF!,B$1,0)</f>
        <v>#REF!</v>
      </c>
      <c r="C588" s="38" t="e">
        <f t="shared" si="1181"/>
        <v>#REF!</v>
      </c>
      <c r="D588" s="39" t="e">
        <f t="shared" si="1181"/>
        <v>#REF!</v>
      </c>
      <c r="E588" s="16" t="e">
        <f t="shared" si="1"/>
        <v>#REF!</v>
      </c>
      <c r="F588" s="16" t="e">
        <f t="shared" ref="F588:K588" si="1182">VLOOKUP($A588,#REF!,F$1,0)</f>
        <v>#REF!</v>
      </c>
      <c r="G588" s="39" t="e">
        <f t="shared" si="1182"/>
        <v>#REF!</v>
      </c>
      <c r="H588" s="16" t="e">
        <f t="shared" si="1182"/>
        <v>#REF!</v>
      </c>
      <c r="I588" s="16" t="e">
        <f t="shared" si="1182"/>
        <v>#REF!</v>
      </c>
      <c r="J588" s="40" t="e">
        <f t="shared" si="1182"/>
        <v>#REF!</v>
      </c>
      <c r="K588" s="16" t="e">
        <f t="shared" si="1182"/>
        <v>#REF!</v>
      </c>
      <c r="L588" s="40" t="e">
        <f t="shared" si="609"/>
        <v>#REF!</v>
      </c>
      <c r="M588" s="16" t="e">
        <f t="shared" si="610"/>
        <v>#REF!</v>
      </c>
      <c r="N588" s="16" t="e">
        <f t="shared" si="611"/>
        <v>#REF!</v>
      </c>
      <c r="O588" s="16" t="s">
        <v>65</v>
      </c>
      <c r="P588" s="16" t="str">
        <f t="shared" si="6"/>
        <v/>
      </c>
      <c r="Q588" s="41" t="e">
        <f t="shared" si="612"/>
        <v>#REF!</v>
      </c>
      <c r="R588" s="44"/>
      <c r="S588" s="44"/>
      <c r="T588" s="43"/>
      <c r="U588" s="43" t="str">
        <f t="shared" si="8"/>
        <v>No</v>
      </c>
      <c r="V588" s="25"/>
      <c r="W588" s="25"/>
      <c r="X588" s="25"/>
      <c r="Y588" s="25"/>
      <c r="Z588" s="25"/>
    </row>
    <row r="589" spans="1:26" ht="15.75" customHeight="1" x14ac:dyDescent="0.25">
      <c r="A589" s="25">
        <v>587</v>
      </c>
      <c r="B589" s="37" t="e">
        <f t="shared" ref="B589:D589" si="1183">VLOOKUP($A589,#REF!,B$1,0)</f>
        <v>#REF!</v>
      </c>
      <c r="C589" s="38" t="e">
        <f t="shared" si="1183"/>
        <v>#REF!</v>
      </c>
      <c r="D589" s="39" t="e">
        <f t="shared" si="1183"/>
        <v>#REF!</v>
      </c>
      <c r="E589" s="16" t="e">
        <f t="shared" si="1"/>
        <v>#REF!</v>
      </c>
      <c r="F589" s="16" t="e">
        <f t="shared" ref="F589:K589" si="1184">VLOOKUP($A589,#REF!,F$1,0)</f>
        <v>#REF!</v>
      </c>
      <c r="G589" s="39" t="e">
        <f t="shared" si="1184"/>
        <v>#REF!</v>
      </c>
      <c r="H589" s="16" t="e">
        <f t="shared" si="1184"/>
        <v>#REF!</v>
      </c>
      <c r="I589" s="16" t="e">
        <f t="shared" si="1184"/>
        <v>#REF!</v>
      </c>
      <c r="J589" s="40" t="e">
        <f t="shared" si="1184"/>
        <v>#REF!</v>
      </c>
      <c r="K589" s="16" t="e">
        <f t="shared" si="1184"/>
        <v>#REF!</v>
      </c>
      <c r="L589" s="40" t="e">
        <f t="shared" si="609"/>
        <v>#REF!</v>
      </c>
      <c r="M589" s="16" t="e">
        <f t="shared" si="610"/>
        <v>#REF!</v>
      </c>
      <c r="N589" s="16" t="e">
        <f t="shared" si="611"/>
        <v>#REF!</v>
      </c>
      <c r="O589" s="16" t="s">
        <v>65</v>
      </c>
      <c r="P589" s="16" t="str">
        <f t="shared" si="6"/>
        <v/>
      </c>
      <c r="Q589" s="41" t="e">
        <f t="shared" si="612"/>
        <v>#REF!</v>
      </c>
      <c r="R589" s="44"/>
      <c r="S589" s="44"/>
      <c r="T589" s="43"/>
      <c r="U589" s="43" t="str">
        <f t="shared" si="8"/>
        <v>No</v>
      </c>
      <c r="V589" s="25"/>
      <c r="W589" s="25"/>
      <c r="X589" s="25"/>
      <c r="Y589" s="25"/>
      <c r="Z589" s="25"/>
    </row>
    <row r="590" spans="1:26" ht="15.75" customHeight="1" x14ac:dyDescent="0.25">
      <c r="A590" s="25">
        <v>588</v>
      </c>
      <c r="B590" s="37" t="e">
        <f t="shared" ref="B590:D590" si="1185">VLOOKUP($A590,#REF!,B$1,0)</f>
        <v>#REF!</v>
      </c>
      <c r="C590" s="38" t="e">
        <f t="shared" si="1185"/>
        <v>#REF!</v>
      </c>
      <c r="D590" s="39" t="e">
        <f t="shared" si="1185"/>
        <v>#REF!</v>
      </c>
      <c r="E590" s="16" t="e">
        <f t="shared" si="1"/>
        <v>#REF!</v>
      </c>
      <c r="F590" s="16" t="e">
        <f t="shared" ref="F590:K590" si="1186">VLOOKUP($A590,#REF!,F$1,0)</f>
        <v>#REF!</v>
      </c>
      <c r="G590" s="39" t="e">
        <f t="shared" si="1186"/>
        <v>#REF!</v>
      </c>
      <c r="H590" s="16" t="e">
        <f t="shared" si="1186"/>
        <v>#REF!</v>
      </c>
      <c r="I590" s="16" t="e">
        <f t="shared" si="1186"/>
        <v>#REF!</v>
      </c>
      <c r="J590" s="40" t="e">
        <f t="shared" si="1186"/>
        <v>#REF!</v>
      </c>
      <c r="K590" s="16" t="e">
        <f t="shared" si="1186"/>
        <v>#REF!</v>
      </c>
      <c r="L590" s="40" t="e">
        <f t="shared" si="609"/>
        <v>#REF!</v>
      </c>
      <c r="M590" s="16" t="e">
        <f t="shared" si="610"/>
        <v>#REF!</v>
      </c>
      <c r="N590" s="16" t="e">
        <f t="shared" si="611"/>
        <v>#REF!</v>
      </c>
      <c r="O590" s="16" t="s">
        <v>65</v>
      </c>
      <c r="P590" s="16" t="str">
        <f t="shared" si="6"/>
        <v/>
      </c>
      <c r="Q590" s="41" t="e">
        <f t="shared" si="612"/>
        <v>#REF!</v>
      </c>
      <c r="R590" s="44"/>
      <c r="S590" s="44"/>
      <c r="T590" s="43"/>
      <c r="U590" s="43" t="str">
        <f t="shared" si="8"/>
        <v>No</v>
      </c>
      <c r="V590" s="25"/>
      <c r="W590" s="25"/>
      <c r="X590" s="25"/>
      <c r="Y590" s="25"/>
      <c r="Z590" s="25"/>
    </row>
    <row r="591" spans="1:26" ht="15.75" customHeight="1" x14ac:dyDescent="0.25">
      <c r="A591" s="25">
        <v>589</v>
      </c>
      <c r="B591" s="37" t="e">
        <f t="shared" ref="B591:D591" si="1187">VLOOKUP($A591,#REF!,B$1,0)</f>
        <v>#REF!</v>
      </c>
      <c r="C591" s="38" t="e">
        <f t="shared" si="1187"/>
        <v>#REF!</v>
      </c>
      <c r="D591" s="39" t="e">
        <f t="shared" si="1187"/>
        <v>#REF!</v>
      </c>
      <c r="E591" s="16" t="e">
        <f t="shared" si="1"/>
        <v>#REF!</v>
      </c>
      <c r="F591" s="16" t="e">
        <f t="shared" ref="F591:K591" si="1188">VLOOKUP($A591,#REF!,F$1,0)</f>
        <v>#REF!</v>
      </c>
      <c r="G591" s="39" t="e">
        <f t="shared" si="1188"/>
        <v>#REF!</v>
      </c>
      <c r="H591" s="16" t="e">
        <f t="shared" si="1188"/>
        <v>#REF!</v>
      </c>
      <c r="I591" s="16" t="e">
        <f t="shared" si="1188"/>
        <v>#REF!</v>
      </c>
      <c r="J591" s="40" t="e">
        <f t="shared" si="1188"/>
        <v>#REF!</v>
      </c>
      <c r="K591" s="16" t="e">
        <f t="shared" si="1188"/>
        <v>#REF!</v>
      </c>
      <c r="L591" s="40" t="e">
        <f t="shared" si="609"/>
        <v>#REF!</v>
      </c>
      <c r="M591" s="16" t="e">
        <f t="shared" si="610"/>
        <v>#REF!</v>
      </c>
      <c r="N591" s="16" t="e">
        <f t="shared" si="611"/>
        <v>#REF!</v>
      </c>
      <c r="O591" s="16" t="s">
        <v>65</v>
      </c>
      <c r="P591" s="16" t="str">
        <f t="shared" si="6"/>
        <v/>
      </c>
      <c r="Q591" s="41" t="e">
        <f t="shared" si="612"/>
        <v>#REF!</v>
      </c>
      <c r="R591" s="44"/>
      <c r="S591" s="44"/>
      <c r="T591" s="43"/>
      <c r="U591" s="43" t="str">
        <f t="shared" si="8"/>
        <v>No</v>
      </c>
      <c r="V591" s="25"/>
      <c r="W591" s="25"/>
      <c r="X591" s="25"/>
      <c r="Y591" s="25"/>
      <c r="Z591" s="25"/>
    </row>
    <row r="592" spans="1:26" ht="15.75" customHeight="1" x14ac:dyDescent="0.25">
      <c r="A592" s="25">
        <v>590</v>
      </c>
      <c r="B592" s="37" t="e">
        <f t="shared" ref="B592:D592" si="1189">VLOOKUP($A592,#REF!,B$1,0)</f>
        <v>#REF!</v>
      </c>
      <c r="C592" s="38" t="e">
        <f t="shared" si="1189"/>
        <v>#REF!</v>
      </c>
      <c r="D592" s="39" t="e">
        <f t="shared" si="1189"/>
        <v>#REF!</v>
      </c>
      <c r="E592" s="16" t="e">
        <f t="shared" si="1"/>
        <v>#REF!</v>
      </c>
      <c r="F592" s="16" t="e">
        <f t="shared" ref="F592:K592" si="1190">VLOOKUP($A592,#REF!,F$1,0)</f>
        <v>#REF!</v>
      </c>
      <c r="G592" s="39" t="e">
        <f t="shared" si="1190"/>
        <v>#REF!</v>
      </c>
      <c r="H592" s="16" t="e">
        <f t="shared" si="1190"/>
        <v>#REF!</v>
      </c>
      <c r="I592" s="16" t="e">
        <f t="shared" si="1190"/>
        <v>#REF!</v>
      </c>
      <c r="J592" s="40" t="e">
        <f t="shared" si="1190"/>
        <v>#REF!</v>
      </c>
      <c r="K592" s="16" t="e">
        <f t="shared" si="1190"/>
        <v>#REF!</v>
      </c>
      <c r="L592" s="40" t="e">
        <f t="shared" si="609"/>
        <v>#REF!</v>
      </c>
      <c r="M592" s="16" t="e">
        <f t="shared" si="610"/>
        <v>#REF!</v>
      </c>
      <c r="N592" s="16" t="e">
        <f t="shared" si="611"/>
        <v>#REF!</v>
      </c>
      <c r="O592" s="16" t="s">
        <v>65</v>
      </c>
      <c r="P592" s="16" t="str">
        <f t="shared" si="6"/>
        <v/>
      </c>
      <c r="Q592" s="41" t="e">
        <f t="shared" si="612"/>
        <v>#REF!</v>
      </c>
      <c r="R592" s="44"/>
      <c r="S592" s="44"/>
      <c r="T592" s="43"/>
      <c r="U592" s="43" t="str">
        <f t="shared" si="8"/>
        <v>No</v>
      </c>
      <c r="V592" s="25"/>
      <c r="W592" s="25"/>
      <c r="X592" s="25"/>
      <c r="Y592" s="25"/>
      <c r="Z592" s="25"/>
    </row>
    <row r="593" spans="1:26" ht="15.75" customHeight="1" x14ac:dyDescent="0.25">
      <c r="A593" s="25">
        <v>591</v>
      </c>
      <c r="B593" s="37" t="e">
        <f t="shared" ref="B593:D593" si="1191">VLOOKUP($A593,#REF!,B$1,0)</f>
        <v>#REF!</v>
      </c>
      <c r="C593" s="38" t="e">
        <f t="shared" si="1191"/>
        <v>#REF!</v>
      </c>
      <c r="D593" s="39" t="e">
        <f t="shared" si="1191"/>
        <v>#REF!</v>
      </c>
      <c r="E593" s="16" t="e">
        <f t="shared" si="1"/>
        <v>#REF!</v>
      </c>
      <c r="F593" s="16" t="e">
        <f t="shared" ref="F593:K593" si="1192">VLOOKUP($A593,#REF!,F$1,0)</f>
        <v>#REF!</v>
      </c>
      <c r="G593" s="39" t="e">
        <f t="shared" si="1192"/>
        <v>#REF!</v>
      </c>
      <c r="H593" s="16" t="e">
        <f t="shared" si="1192"/>
        <v>#REF!</v>
      </c>
      <c r="I593" s="16" t="e">
        <f t="shared" si="1192"/>
        <v>#REF!</v>
      </c>
      <c r="J593" s="40" t="e">
        <f t="shared" si="1192"/>
        <v>#REF!</v>
      </c>
      <c r="K593" s="16" t="e">
        <f t="shared" si="1192"/>
        <v>#REF!</v>
      </c>
      <c r="L593" s="40" t="e">
        <f t="shared" si="609"/>
        <v>#REF!</v>
      </c>
      <c r="M593" s="16" t="e">
        <f t="shared" si="610"/>
        <v>#REF!</v>
      </c>
      <c r="N593" s="16" t="e">
        <f t="shared" si="611"/>
        <v>#REF!</v>
      </c>
      <c r="O593" s="16" t="s">
        <v>65</v>
      </c>
      <c r="P593" s="16" t="str">
        <f t="shared" si="6"/>
        <v/>
      </c>
      <c r="Q593" s="41" t="e">
        <f t="shared" si="612"/>
        <v>#REF!</v>
      </c>
      <c r="R593" s="44"/>
      <c r="S593" s="44"/>
      <c r="T593" s="43"/>
      <c r="U593" s="43" t="str">
        <f t="shared" si="8"/>
        <v>No</v>
      </c>
      <c r="V593" s="25"/>
      <c r="W593" s="25"/>
      <c r="X593" s="25"/>
      <c r="Y593" s="25"/>
      <c r="Z593" s="25"/>
    </row>
    <row r="594" spans="1:26" ht="15.75" customHeight="1" x14ac:dyDescent="0.25">
      <c r="A594" s="25">
        <v>592</v>
      </c>
      <c r="B594" s="37" t="e">
        <f t="shared" ref="B594:D594" si="1193">VLOOKUP($A594,#REF!,B$1,0)</f>
        <v>#REF!</v>
      </c>
      <c r="C594" s="38" t="e">
        <f t="shared" si="1193"/>
        <v>#REF!</v>
      </c>
      <c r="D594" s="39" t="e">
        <f t="shared" si="1193"/>
        <v>#REF!</v>
      </c>
      <c r="E594" s="16" t="e">
        <f t="shared" si="1"/>
        <v>#REF!</v>
      </c>
      <c r="F594" s="16" t="e">
        <f t="shared" ref="F594:K594" si="1194">VLOOKUP($A594,#REF!,F$1,0)</f>
        <v>#REF!</v>
      </c>
      <c r="G594" s="39" t="e">
        <f t="shared" si="1194"/>
        <v>#REF!</v>
      </c>
      <c r="H594" s="16" t="e">
        <f t="shared" si="1194"/>
        <v>#REF!</v>
      </c>
      <c r="I594" s="16" t="e">
        <f t="shared" si="1194"/>
        <v>#REF!</v>
      </c>
      <c r="J594" s="40" t="e">
        <f t="shared" si="1194"/>
        <v>#REF!</v>
      </c>
      <c r="K594" s="16" t="e">
        <f t="shared" si="1194"/>
        <v>#REF!</v>
      </c>
      <c r="L594" s="40" t="e">
        <f t="shared" si="609"/>
        <v>#REF!</v>
      </c>
      <c r="M594" s="16" t="e">
        <f t="shared" si="610"/>
        <v>#REF!</v>
      </c>
      <c r="N594" s="16" t="e">
        <f t="shared" si="611"/>
        <v>#REF!</v>
      </c>
      <c r="O594" s="16" t="s">
        <v>65</v>
      </c>
      <c r="P594" s="16" t="str">
        <f t="shared" si="6"/>
        <v/>
      </c>
      <c r="Q594" s="41" t="e">
        <f t="shared" si="612"/>
        <v>#REF!</v>
      </c>
      <c r="R594" s="44"/>
      <c r="S594" s="44"/>
      <c r="T594" s="43"/>
      <c r="U594" s="43" t="str">
        <f t="shared" si="8"/>
        <v>No</v>
      </c>
      <c r="V594" s="25"/>
      <c r="W594" s="25"/>
      <c r="X594" s="25"/>
      <c r="Y594" s="25"/>
      <c r="Z594" s="25"/>
    </row>
    <row r="595" spans="1:26" ht="15.75" customHeight="1" x14ac:dyDescent="0.25">
      <c r="A595" s="25">
        <v>593</v>
      </c>
      <c r="B595" s="37" t="e">
        <f t="shared" ref="B595:D595" si="1195">VLOOKUP($A595,#REF!,B$1,0)</f>
        <v>#REF!</v>
      </c>
      <c r="C595" s="38" t="e">
        <f t="shared" si="1195"/>
        <v>#REF!</v>
      </c>
      <c r="D595" s="39" t="e">
        <f t="shared" si="1195"/>
        <v>#REF!</v>
      </c>
      <c r="E595" s="16" t="e">
        <f t="shared" si="1"/>
        <v>#REF!</v>
      </c>
      <c r="F595" s="16" t="e">
        <f t="shared" ref="F595:K595" si="1196">VLOOKUP($A595,#REF!,F$1,0)</f>
        <v>#REF!</v>
      </c>
      <c r="G595" s="39" t="e">
        <f t="shared" si="1196"/>
        <v>#REF!</v>
      </c>
      <c r="H595" s="16" t="e">
        <f t="shared" si="1196"/>
        <v>#REF!</v>
      </c>
      <c r="I595" s="16" t="e">
        <f t="shared" si="1196"/>
        <v>#REF!</v>
      </c>
      <c r="J595" s="40" t="e">
        <f t="shared" si="1196"/>
        <v>#REF!</v>
      </c>
      <c r="K595" s="16" t="e">
        <f t="shared" si="1196"/>
        <v>#REF!</v>
      </c>
      <c r="L595" s="40" t="e">
        <f t="shared" si="609"/>
        <v>#REF!</v>
      </c>
      <c r="M595" s="16" t="e">
        <f t="shared" si="610"/>
        <v>#REF!</v>
      </c>
      <c r="N595" s="16" t="e">
        <f t="shared" si="611"/>
        <v>#REF!</v>
      </c>
      <c r="O595" s="16" t="s">
        <v>65</v>
      </c>
      <c r="P595" s="16" t="str">
        <f t="shared" si="6"/>
        <v/>
      </c>
      <c r="Q595" s="41" t="e">
        <f t="shared" si="612"/>
        <v>#REF!</v>
      </c>
      <c r="R595" s="44"/>
      <c r="S595" s="44"/>
      <c r="T595" s="43"/>
      <c r="U595" s="43" t="str">
        <f t="shared" si="8"/>
        <v>No</v>
      </c>
      <c r="V595" s="25"/>
      <c r="W595" s="25"/>
      <c r="X595" s="25"/>
      <c r="Y595" s="25"/>
      <c r="Z595" s="25"/>
    </row>
    <row r="596" spans="1:26" ht="15.75" customHeight="1" x14ac:dyDescent="0.25">
      <c r="A596" s="25">
        <v>594</v>
      </c>
      <c r="B596" s="37" t="e">
        <f t="shared" ref="B596:D596" si="1197">VLOOKUP($A596,#REF!,B$1,0)</f>
        <v>#REF!</v>
      </c>
      <c r="C596" s="38" t="e">
        <f t="shared" si="1197"/>
        <v>#REF!</v>
      </c>
      <c r="D596" s="39" t="e">
        <f t="shared" si="1197"/>
        <v>#REF!</v>
      </c>
      <c r="E596" s="16" t="e">
        <f t="shared" si="1"/>
        <v>#REF!</v>
      </c>
      <c r="F596" s="16" t="e">
        <f t="shared" ref="F596:K596" si="1198">VLOOKUP($A596,#REF!,F$1,0)</f>
        <v>#REF!</v>
      </c>
      <c r="G596" s="39" t="e">
        <f t="shared" si="1198"/>
        <v>#REF!</v>
      </c>
      <c r="H596" s="16" t="e">
        <f t="shared" si="1198"/>
        <v>#REF!</v>
      </c>
      <c r="I596" s="16" t="e">
        <f t="shared" si="1198"/>
        <v>#REF!</v>
      </c>
      <c r="J596" s="40" t="e">
        <f t="shared" si="1198"/>
        <v>#REF!</v>
      </c>
      <c r="K596" s="16" t="e">
        <f t="shared" si="1198"/>
        <v>#REF!</v>
      </c>
      <c r="L596" s="40" t="e">
        <f t="shared" si="609"/>
        <v>#REF!</v>
      </c>
      <c r="M596" s="16" t="e">
        <f t="shared" si="610"/>
        <v>#REF!</v>
      </c>
      <c r="N596" s="16" t="e">
        <f t="shared" si="611"/>
        <v>#REF!</v>
      </c>
      <c r="O596" s="16" t="s">
        <v>65</v>
      </c>
      <c r="P596" s="16" t="str">
        <f t="shared" si="6"/>
        <v/>
      </c>
      <c r="Q596" s="41" t="e">
        <f t="shared" si="612"/>
        <v>#REF!</v>
      </c>
      <c r="R596" s="44"/>
      <c r="S596" s="44"/>
      <c r="T596" s="43"/>
      <c r="U596" s="43" t="str">
        <f t="shared" si="8"/>
        <v>No</v>
      </c>
      <c r="V596" s="25"/>
      <c r="W596" s="25"/>
      <c r="X596" s="25"/>
      <c r="Y596" s="25"/>
      <c r="Z596" s="25"/>
    </row>
    <row r="597" spans="1:26" ht="15.75" customHeight="1" x14ac:dyDescent="0.25">
      <c r="A597" s="25">
        <v>595</v>
      </c>
      <c r="B597" s="37" t="e">
        <f t="shared" ref="B597:D597" si="1199">VLOOKUP($A597,#REF!,B$1,0)</f>
        <v>#REF!</v>
      </c>
      <c r="C597" s="38" t="e">
        <f t="shared" si="1199"/>
        <v>#REF!</v>
      </c>
      <c r="D597" s="39" t="e">
        <f t="shared" si="1199"/>
        <v>#REF!</v>
      </c>
      <c r="E597" s="16" t="e">
        <f t="shared" si="1"/>
        <v>#REF!</v>
      </c>
      <c r="F597" s="16" t="e">
        <f t="shared" ref="F597:K597" si="1200">VLOOKUP($A597,#REF!,F$1,0)</f>
        <v>#REF!</v>
      </c>
      <c r="G597" s="39" t="e">
        <f t="shared" si="1200"/>
        <v>#REF!</v>
      </c>
      <c r="H597" s="16" t="e">
        <f t="shared" si="1200"/>
        <v>#REF!</v>
      </c>
      <c r="I597" s="16" t="e">
        <f t="shared" si="1200"/>
        <v>#REF!</v>
      </c>
      <c r="J597" s="40" t="e">
        <f t="shared" si="1200"/>
        <v>#REF!</v>
      </c>
      <c r="K597" s="16" t="e">
        <f t="shared" si="1200"/>
        <v>#REF!</v>
      </c>
      <c r="L597" s="40" t="e">
        <f t="shared" si="609"/>
        <v>#REF!</v>
      </c>
      <c r="M597" s="16" t="e">
        <f t="shared" si="610"/>
        <v>#REF!</v>
      </c>
      <c r="N597" s="16" t="e">
        <f t="shared" si="611"/>
        <v>#REF!</v>
      </c>
      <c r="O597" s="16" t="s">
        <v>65</v>
      </c>
      <c r="P597" s="16" t="str">
        <f t="shared" si="6"/>
        <v/>
      </c>
      <c r="Q597" s="41" t="e">
        <f t="shared" si="612"/>
        <v>#REF!</v>
      </c>
      <c r="R597" s="44"/>
      <c r="S597" s="44"/>
      <c r="T597" s="43"/>
      <c r="U597" s="43" t="str">
        <f t="shared" si="8"/>
        <v>No</v>
      </c>
      <c r="V597" s="25"/>
      <c r="W597" s="25"/>
      <c r="X597" s="25"/>
      <c r="Y597" s="25"/>
      <c r="Z597" s="25"/>
    </row>
    <row r="598" spans="1:26" ht="15.75" customHeight="1" x14ac:dyDescent="0.25">
      <c r="A598" s="25">
        <v>596</v>
      </c>
      <c r="B598" s="37" t="e">
        <f t="shared" ref="B598:D598" si="1201">VLOOKUP($A598,#REF!,B$1,0)</f>
        <v>#REF!</v>
      </c>
      <c r="C598" s="38" t="e">
        <f t="shared" si="1201"/>
        <v>#REF!</v>
      </c>
      <c r="D598" s="39" t="e">
        <f t="shared" si="1201"/>
        <v>#REF!</v>
      </c>
      <c r="E598" s="16" t="e">
        <f t="shared" si="1"/>
        <v>#REF!</v>
      </c>
      <c r="F598" s="16" t="e">
        <f t="shared" ref="F598:K598" si="1202">VLOOKUP($A598,#REF!,F$1,0)</f>
        <v>#REF!</v>
      </c>
      <c r="G598" s="39" t="e">
        <f t="shared" si="1202"/>
        <v>#REF!</v>
      </c>
      <c r="H598" s="16" t="e">
        <f t="shared" si="1202"/>
        <v>#REF!</v>
      </c>
      <c r="I598" s="16" t="e">
        <f t="shared" si="1202"/>
        <v>#REF!</v>
      </c>
      <c r="J598" s="40" t="e">
        <f t="shared" si="1202"/>
        <v>#REF!</v>
      </c>
      <c r="K598" s="16" t="e">
        <f t="shared" si="1202"/>
        <v>#REF!</v>
      </c>
      <c r="L598" s="40" t="e">
        <f t="shared" si="609"/>
        <v>#REF!</v>
      </c>
      <c r="M598" s="16" t="e">
        <f t="shared" si="610"/>
        <v>#REF!</v>
      </c>
      <c r="N598" s="16" t="e">
        <f t="shared" si="611"/>
        <v>#REF!</v>
      </c>
      <c r="O598" s="16" t="s">
        <v>65</v>
      </c>
      <c r="P598" s="16" t="str">
        <f t="shared" si="6"/>
        <v/>
      </c>
      <c r="Q598" s="41" t="e">
        <f t="shared" si="612"/>
        <v>#REF!</v>
      </c>
      <c r="R598" s="44"/>
      <c r="S598" s="44"/>
      <c r="T598" s="43"/>
      <c r="U598" s="43" t="str">
        <f t="shared" si="8"/>
        <v>No</v>
      </c>
      <c r="V598" s="25"/>
      <c r="W598" s="25"/>
      <c r="X598" s="25"/>
      <c r="Y598" s="25"/>
      <c r="Z598" s="25"/>
    </row>
    <row r="599" spans="1:26" ht="15.75" customHeight="1" x14ac:dyDescent="0.25">
      <c r="A599" s="25">
        <v>597</v>
      </c>
      <c r="B599" s="37" t="e">
        <f t="shared" ref="B599:D599" si="1203">VLOOKUP($A599,#REF!,B$1,0)</f>
        <v>#REF!</v>
      </c>
      <c r="C599" s="38" t="e">
        <f t="shared" si="1203"/>
        <v>#REF!</v>
      </c>
      <c r="D599" s="39" t="e">
        <f t="shared" si="1203"/>
        <v>#REF!</v>
      </c>
      <c r="E599" s="16" t="e">
        <f t="shared" si="1"/>
        <v>#REF!</v>
      </c>
      <c r="F599" s="16" t="e">
        <f t="shared" ref="F599:K599" si="1204">VLOOKUP($A599,#REF!,F$1,0)</f>
        <v>#REF!</v>
      </c>
      <c r="G599" s="39" t="e">
        <f t="shared" si="1204"/>
        <v>#REF!</v>
      </c>
      <c r="H599" s="16" t="e">
        <f t="shared" si="1204"/>
        <v>#REF!</v>
      </c>
      <c r="I599" s="16" t="e">
        <f t="shared" si="1204"/>
        <v>#REF!</v>
      </c>
      <c r="J599" s="40" t="e">
        <f t="shared" si="1204"/>
        <v>#REF!</v>
      </c>
      <c r="K599" s="16" t="e">
        <f t="shared" si="1204"/>
        <v>#REF!</v>
      </c>
      <c r="L599" s="40" t="e">
        <f t="shared" si="609"/>
        <v>#REF!</v>
      </c>
      <c r="M599" s="16" t="e">
        <f t="shared" si="610"/>
        <v>#REF!</v>
      </c>
      <c r="N599" s="16" t="e">
        <f t="shared" si="611"/>
        <v>#REF!</v>
      </c>
      <c r="O599" s="16" t="s">
        <v>65</v>
      </c>
      <c r="P599" s="16" t="str">
        <f t="shared" si="6"/>
        <v/>
      </c>
      <c r="Q599" s="41" t="e">
        <f t="shared" si="612"/>
        <v>#REF!</v>
      </c>
      <c r="R599" s="44"/>
      <c r="S599" s="44"/>
      <c r="T599" s="43"/>
      <c r="U599" s="43" t="str">
        <f t="shared" si="8"/>
        <v>No</v>
      </c>
      <c r="V599" s="25"/>
      <c r="W599" s="25"/>
      <c r="X599" s="25"/>
      <c r="Y599" s="25"/>
      <c r="Z599" s="25"/>
    </row>
    <row r="600" spans="1:26" ht="15.75" customHeight="1" x14ac:dyDescent="0.25">
      <c r="A600" s="25">
        <v>598</v>
      </c>
      <c r="B600" s="37" t="e">
        <f t="shared" ref="B600:D600" si="1205">VLOOKUP($A600,#REF!,B$1,0)</f>
        <v>#REF!</v>
      </c>
      <c r="C600" s="38" t="e">
        <f t="shared" si="1205"/>
        <v>#REF!</v>
      </c>
      <c r="D600" s="39" t="e">
        <f t="shared" si="1205"/>
        <v>#REF!</v>
      </c>
      <c r="E600" s="16" t="e">
        <f t="shared" si="1"/>
        <v>#REF!</v>
      </c>
      <c r="F600" s="16" t="e">
        <f t="shared" ref="F600:K600" si="1206">VLOOKUP($A600,#REF!,F$1,0)</f>
        <v>#REF!</v>
      </c>
      <c r="G600" s="39" t="e">
        <f t="shared" si="1206"/>
        <v>#REF!</v>
      </c>
      <c r="H600" s="16" t="e">
        <f t="shared" si="1206"/>
        <v>#REF!</v>
      </c>
      <c r="I600" s="16" t="e">
        <f t="shared" si="1206"/>
        <v>#REF!</v>
      </c>
      <c r="J600" s="40" t="e">
        <f t="shared" si="1206"/>
        <v>#REF!</v>
      </c>
      <c r="K600" s="16" t="e">
        <f t="shared" si="1206"/>
        <v>#REF!</v>
      </c>
      <c r="L600" s="40" t="e">
        <f t="shared" si="609"/>
        <v>#REF!</v>
      </c>
      <c r="M600" s="16" t="e">
        <f t="shared" si="610"/>
        <v>#REF!</v>
      </c>
      <c r="N600" s="16" t="e">
        <f t="shared" si="611"/>
        <v>#REF!</v>
      </c>
      <c r="O600" s="16" t="s">
        <v>65</v>
      </c>
      <c r="P600" s="16" t="str">
        <f t="shared" si="6"/>
        <v/>
      </c>
      <c r="Q600" s="41" t="e">
        <f t="shared" si="612"/>
        <v>#REF!</v>
      </c>
      <c r="R600" s="44"/>
      <c r="S600" s="44"/>
      <c r="T600" s="43"/>
      <c r="U600" s="43" t="str">
        <f t="shared" si="8"/>
        <v>No</v>
      </c>
      <c r="V600" s="25"/>
      <c r="W600" s="25"/>
      <c r="X600" s="25"/>
      <c r="Y600" s="25"/>
      <c r="Z600" s="25"/>
    </row>
    <row r="601" spans="1:26" ht="15.75" customHeight="1" x14ac:dyDescent="0.25">
      <c r="A601" s="25">
        <v>599</v>
      </c>
      <c r="B601" s="37" t="e">
        <f t="shared" ref="B601:D601" si="1207">VLOOKUP($A601,#REF!,B$1,0)</f>
        <v>#REF!</v>
      </c>
      <c r="C601" s="38" t="e">
        <f t="shared" si="1207"/>
        <v>#REF!</v>
      </c>
      <c r="D601" s="39" t="e">
        <f t="shared" si="1207"/>
        <v>#REF!</v>
      </c>
      <c r="E601" s="16" t="e">
        <f t="shared" si="1"/>
        <v>#REF!</v>
      </c>
      <c r="F601" s="16" t="e">
        <f t="shared" ref="F601:K601" si="1208">VLOOKUP($A601,#REF!,F$1,0)</f>
        <v>#REF!</v>
      </c>
      <c r="G601" s="39" t="e">
        <f t="shared" si="1208"/>
        <v>#REF!</v>
      </c>
      <c r="H601" s="16" t="e">
        <f t="shared" si="1208"/>
        <v>#REF!</v>
      </c>
      <c r="I601" s="16" t="e">
        <f t="shared" si="1208"/>
        <v>#REF!</v>
      </c>
      <c r="J601" s="40" t="e">
        <f t="shared" si="1208"/>
        <v>#REF!</v>
      </c>
      <c r="K601" s="16" t="e">
        <f t="shared" si="1208"/>
        <v>#REF!</v>
      </c>
      <c r="L601" s="40" t="e">
        <f t="shared" si="609"/>
        <v>#REF!</v>
      </c>
      <c r="M601" s="16" t="e">
        <f t="shared" si="610"/>
        <v>#REF!</v>
      </c>
      <c r="N601" s="16" t="e">
        <f t="shared" si="611"/>
        <v>#REF!</v>
      </c>
      <c r="O601" s="16" t="s">
        <v>65</v>
      </c>
      <c r="P601" s="16" t="str">
        <f t="shared" si="6"/>
        <v/>
      </c>
      <c r="Q601" s="41" t="e">
        <f t="shared" si="612"/>
        <v>#REF!</v>
      </c>
      <c r="R601" s="44"/>
      <c r="S601" s="44"/>
      <c r="T601" s="43"/>
      <c r="U601" s="43" t="str">
        <f t="shared" si="8"/>
        <v>No</v>
      </c>
      <c r="V601" s="25"/>
      <c r="W601" s="25"/>
      <c r="X601" s="25"/>
      <c r="Y601" s="25"/>
      <c r="Z601" s="25"/>
    </row>
    <row r="602" spans="1:26" ht="15.75" customHeight="1" x14ac:dyDescent="0.25">
      <c r="A602" s="25">
        <v>600</v>
      </c>
      <c r="B602" s="37" t="e">
        <f t="shared" ref="B602:D602" si="1209">VLOOKUP($A602,#REF!,B$1,0)</f>
        <v>#REF!</v>
      </c>
      <c r="C602" s="38" t="e">
        <f t="shared" si="1209"/>
        <v>#REF!</v>
      </c>
      <c r="D602" s="39" t="e">
        <f t="shared" si="1209"/>
        <v>#REF!</v>
      </c>
      <c r="E602" s="16" t="e">
        <f t="shared" si="1"/>
        <v>#REF!</v>
      </c>
      <c r="F602" s="16" t="e">
        <f t="shared" ref="F602:K602" si="1210">VLOOKUP($A602,#REF!,F$1,0)</f>
        <v>#REF!</v>
      </c>
      <c r="G602" s="39" t="e">
        <f t="shared" si="1210"/>
        <v>#REF!</v>
      </c>
      <c r="H602" s="16" t="e">
        <f t="shared" si="1210"/>
        <v>#REF!</v>
      </c>
      <c r="I602" s="16" t="e">
        <f t="shared" si="1210"/>
        <v>#REF!</v>
      </c>
      <c r="J602" s="40" t="e">
        <f t="shared" si="1210"/>
        <v>#REF!</v>
      </c>
      <c r="K602" s="16" t="e">
        <f t="shared" si="1210"/>
        <v>#REF!</v>
      </c>
      <c r="L602" s="40" t="e">
        <f t="shared" si="609"/>
        <v>#REF!</v>
      </c>
      <c r="M602" s="16" t="e">
        <f t="shared" si="610"/>
        <v>#REF!</v>
      </c>
      <c r="N602" s="16" t="e">
        <f t="shared" si="611"/>
        <v>#REF!</v>
      </c>
      <c r="O602" s="16" t="s">
        <v>65</v>
      </c>
      <c r="P602" s="16" t="str">
        <f t="shared" si="6"/>
        <v/>
      </c>
      <c r="Q602" s="41" t="e">
        <f t="shared" si="612"/>
        <v>#REF!</v>
      </c>
      <c r="R602" s="44"/>
      <c r="S602" s="44"/>
      <c r="T602" s="43"/>
      <c r="U602" s="43" t="str">
        <f t="shared" si="8"/>
        <v>No</v>
      </c>
      <c r="V602" s="25"/>
      <c r="W602" s="25"/>
      <c r="X602" s="25"/>
      <c r="Y602" s="25"/>
      <c r="Z602" s="25"/>
    </row>
    <row r="603" spans="1:26" ht="15.75" customHeight="1" x14ac:dyDescent="0.25">
      <c r="A603" s="25">
        <v>601</v>
      </c>
      <c r="B603" s="37" t="e">
        <f t="shared" ref="B603:D603" si="1211">VLOOKUP($A603,[2]Educación!$A$1:$O$276,B$1,0)</f>
        <v>#N/A</v>
      </c>
      <c r="C603" s="38" t="e">
        <f t="shared" si="1211"/>
        <v>#N/A</v>
      </c>
      <c r="D603" s="39" t="e">
        <f t="shared" si="1211"/>
        <v>#N/A</v>
      </c>
      <c r="E603" s="16" t="e">
        <f t="shared" si="1"/>
        <v>#N/A</v>
      </c>
      <c r="F603" s="16" t="e">
        <f t="shared" ref="F603:K603" si="1212">VLOOKUP($A603,[2]Educación!$A$1:$O$276,F$1,0)</f>
        <v>#N/A</v>
      </c>
      <c r="G603" s="39" t="e">
        <f t="shared" si="1212"/>
        <v>#N/A</v>
      </c>
      <c r="H603" s="16" t="e">
        <f t="shared" si="1212"/>
        <v>#N/A</v>
      </c>
      <c r="I603" s="16" t="e">
        <f t="shared" si="1212"/>
        <v>#N/A</v>
      </c>
      <c r="J603" s="40" t="e">
        <f t="shared" si="1212"/>
        <v>#N/A</v>
      </c>
      <c r="K603" s="16" t="e">
        <f t="shared" si="1212"/>
        <v>#N/A</v>
      </c>
      <c r="L603" s="40" t="e">
        <f t="shared" ref="L603:L902" si="1213">VLOOKUP($A603,[2]Educación!$A$1:$O$276,13,0)</f>
        <v>#N/A</v>
      </c>
      <c r="M603" s="16" t="e">
        <f t="shared" ref="M603:M902" si="1214">VLOOKUP($A603,[2]Educación!$A$1:$O$276,14,0)</f>
        <v>#N/A</v>
      </c>
      <c r="N603" s="16" t="e">
        <f t="shared" ref="N603:N902" si="1215">VLOOKUP($A603,[2]Educación!$A$1:$O$276,15,0)</f>
        <v>#N/A</v>
      </c>
      <c r="O603" s="16" t="s">
        <v>66</v>
      </c>
      <c r="P603" s="16" t="str">
        <f t="shared" si="6"/>
        <v/>
      </c>
      <c r="Q603" s="41" t="e">
        <f t="shared" ref="Q603:Q902" si="1216">VLOOKUP($A603,[2]Educación!$A$1:$O$276,12,0)</f>
        <v>#N/A</v>
      </c>
      <c r="R603" s="44"/>
      <c r="S603" s="44"/>
      <c r="T603" s="43"/>
      <c r="U603" s="43" t="str">
        <f t="shared" si="8"/>
        <v>No</v>
      </c>
      <c r="V603" s="25"/>
      <c r="W603" s="25"/>
      <c r="X603" s="25"/>
      <c r="Y603" s="25"/>
      <c r="Z603" s="25"/>
    </row>
    <row r="604" spans="1:26" ht="15.75" customHeight="1" x14ac:dyDescent="0.25">
      <c r="A604" s="25">
        <v>602</v>
      </c>
      <c r="B604" s="37" t="e">
        <f t="shared" ref="B604:D604" si="1217">VLOOKUP($A604,[2]Educación!$A$1:$O$276,B$1,0)</f>
        <v>#N/A</v>
      </c>
      <c r="C604" s="38" t="e">
        <f t="shared" si="1217"/>
        <v>#N/A</v>
      </c>
      <c r="D604" s="39" t="e">
        <f t="shared" si="1217"/>
        <v>#N/A</v>
      </c>
      <c r="E604" s="16" t="e">
        <f t="shared" si="1"/>
        <v>#N/A</v>
      </c>
      <c r="F604" s="16" t="e">
        <f t="shared" ref="F604:K604" si="1218">VLOOKUP($A604,[2]Educación!$A$1:$O$276,F$1,0)</f>
        <v>#N/A</v>
      </c>
      <c r="G604" s="39" t="e">
        <f t="shared" si="1218"/>
        <v>#N/A</v>
      </c>
      <c r="H604" s="16" t="e">
        <f t="shared" si="1218"/>
        <v>#N/A</v>
      </c>
      <c r="I604" s="16" t="e">
        <f t="shared" si="1218"/>
        <v>#N/A</v>
      </c>
      <c r="J604" s="40" t="e">
        <f t="shared" si="1218"/>
        <v>#N/A</v>
      </c>
      <c r="K604" s="16" t="e">
        <f t="shared" si="1218"/>
        <v>#N/A</v>
      </c>
      <c r="L604" s="40" t="e">
        <f t="shared" si="1213"/>
        <v>#N/A</v>
      </c>
      <c r="M604" s="16" t="e">
        <f t="shared" si="1214"/>
        <v>#N/A</v>
      </c>
      <c r="N604" s="16" t="e">
        <f t="shared" si="1215"/>
        <v>#N/A</v>
      </c>
      <c r="O604" s="16" t="s">
        <v>66</v>
      </c>
      <c r="P604" s="16" t="str">
        <f t="shared" si="6"/>
        <v/>
      </c>
      <c r="Q604" s="41" t="e">
        <f t="shared" si="1216"/>
        <v>#N/A</v>
      </c>
      <c r="R604" s="44"/>
      <c r="S604" s="44"/>
      <c r="T604" s="43"/>
      <c r="U604" s="43" t="str">
        <f t="shared" si="8"/>
        <v>No</v>
      </c>
      <c r="V604" s="25"/>
      <c r="W604" s="25"/>
      <c r="X604" s="25"/>
      <c r="Y604" s="25"/>
      <c r="Z604" s="25"/>
    </row>
    <row r="605" spans="1:26" ht="15.75" customHeight="1" x14ac:dyDescent="0.25">
      <c r="A605" s="25">
        <v>603</v>
      </c>
      <c r="B605" s="37" t="e">
        <f t="shared" ref="B605:D605" si="1219">VLOOKUP($A605,[2]Educación!$A$1:$O$276,B$1,0)</f>
        <v>#N/A</v>
      </c>
      <c r="C605" s="38" t="e">
        <f t="shared" si="1219"/>
        <v>#N/A</v>
      </c>
      <c r="D605" s="39" t="e">
        <f t="shared" si="1219"/>
        <v>#N/A</v>
      </c>
      <c r="E605" s="16" t="e">
        <f t="shared" si="1"/>
        <v>#N/A</v>
      </c>
      <c r="F605" s="16" t="e">
        <f t="shared" ref="F605:K605" si="1220">VLOOKUP($A605,[2]Educación!$A$1:$O$276,F$1,0)</f>
        <v>#N/A</v>
      </c>
      <c r="G605" s="39" t="e">
        <f t="shared" si="1220"/>
        <v>#N/A</v>
      </c>
      <c r="H605" s="16" t="e">
        <f t="shared" si="1220"/>
        <v>#N/A</v>
      </c>
      <c r="I605" s="16" t="e">
        <f t="shared" si="1220"/>
        <v>#N/A</v>
      </c>
      <c r="J605" s="40" t="e">
        <f t="shared" si="1220"/>
        <v>#N/A</v>
      </c>
      <c r="K605" s="16" t="e">
        <f t="shared" si="1220"/>
        <v>#N/A</v>
      </c>
      <c r="L605" s="40" t="e">
        <f t="shared" si="1213"/>
        <v>#N/A</v>
      </c>
      <c r="M605" s="16" t="e">
        <f t="shared" si="1214"/>
        <v>#N/A</v>
      </c>
      <c r="N605" s="16" t="e">
        <f t="shared" si="1215"/>
        <v>#N/A</v>
      </c>
      <c r="O605" s="16" t="s">
        <v>66</v>
      </c>
      <c r="P605" s="16" t="str">
        <f t="shared" si="6"/>
        <v/>
      </c>
      <c r="Q605" s="41" t="e">
        <f t="shared" si="1216"/>
        <v>#N/A</v>
      </c>
      <c r="R605" s="44"/>
      <c r="S605" s="44"/>
      <c r="T605" s="43"/>
      <c r="U605" s="43" t="str">
        <f t="shared" si="8"/>
        <v>No</v>
      </c>
      <c r="V605" s="25"/>
      <c r="W605" s="25"/>
      <c r="X605" s="25"/>
      <c r="Y605" s="25"/>
      <c r="Z605" s="25"/>
    </row>
    <row r="606" spans="1:26" ht="15.75" customHeight="1" x14ac:dyDescent="0.25">
      <c r="A606" s="25">
        <v>604</v>
      </c>
      <c r="B606" s="37" t="e">
        <f t="shared" ref="B606:D606" si="1221">VLOOKUP($A606,[2]Educación!$A$1:$O$276,B$1,0)</f>
        <v>#N/A</v>
      </c>
      <c r="C606" s="38" t="e">
        <f t="shared" si="1221"/>
        <v>#N/A</v>
      </c>
      <c r="D606" s="39" t="e">
        <f t="shared" si="1221"/>
        <v>#N/A</v>
      </c>
      <c r="E606" s="16" t="e">
        <f t="shared" si="1"/>
        <v>#N/A</v>
      </c>
      <c r="F606" s="16" t="e">
        <f t="shared" ref="F606:K606" si="1222">VLOOKUP($A606,[2]Educación!$A$1:$O$276,F$1,0)</f>
        <v>#N/A</v>
      </c>
      <c r="G606" s="39" t="e">
        <f t="shared" si="1222"/>
        <v>#N/A</v>
      </c>
      <c r="H606" s="16" t="e">
        <f t="shared" si="1222"/>
        <v>#N/A</v>
      </c>
      <c r="I606" s="16" t="e">
        <f t="shared" si="1222"/>
        <v>#N/A</v>
      </c>
      <c r="J606" s="40" t="e">
        <f t="shared" si="1222"/>
        <v>#N/A</v>
      </c>
      <c r="K606" s="16" t="e">
        <f t="shared" si="1222"/>
        <v>#N/A</v>
      </c>
      <c r="L606" s="40" t="e">
        <f t="shared" si="1213"/>
        <v>#N/A</v>
      </c>
      <c r="M606" s="16" t="e">
        <f t="shared" si="1214"/>
        <v>#N/A</v>
      </c>
      <c r="N606" s="16" t="e">
        <f t="shared" si="1215"/>
        <v>#N/A</v>
      </c>
      <c r="O606" s="16" t="s">
        <v>66</v>
      </c>
      <c r="P606" s="16" t="str">
        <f t="shared" si="6"/>
        <v/>
      </c>
      <c r="Q606" s="41" t="e">
        <f t="shared" si="1216"/>
        <v>#N/A</v>
      </c>
      <c r="R606" s="44"/>
      <c r="S606" s="44"/>
      <c r="T606" s="43"/>
      <c r="U606" s="43" t="str">
        <f t="shared" si="8"/>
        <v>No</v>
      </c>
      <c r="V606" s="25"/>
      <c r="W606" s="25"/>
      <c r="X606" s="25"/>
      <c r="Y606" s="25"/>
      <c r="Z606" s="25"/>
    </row>
    <row r="607" spans="1:26" ht="15.75" customHeight="1" x14ac:dyDescent="0.25">
      <c r="A607" s="25">
        <v>605</v>
      </c>
      <c r="B607" s="37" t="e">
        <f t="shared" ref="B607:D607" si="1223">VLOOKUP($A607,[2]Educación!$A$1:$O$276,B$1,0)</f>
        <v>#N/A</v>
      </c>
      <c r="C607" s="38" t="e">
        <f t="shared" si="1223"/>
        <v>#N/A</v>
      </c>
      <c r="D607" s="39" t="e">
        <f t="shared" si="1223"/>
        <v>#N/A</v>
      </c>
      <c r="E607" s="16" t="e">
        <f t="shared" si="1"/>
        <v>#N/A</v>
      </c>
      <c r="F607" s="16" t="e">
        <f t="shared" ref="F607:K607" si="1224">VLOOKUP($A607,[2]Educación!$A$1:$O$276,F$1,0)</f>
        <v>#N/A</v>
      </c>
      <c r="G607" s="39" t="e">
        <f t="shared" si="1224"/>
        <v>#N/A</v>
      </c>
      <c r="H607" s="16" t="e">
        <f t="shared" si="1224"/>
        <v>#N/A</v>
      </c>
      <c r="I607" s="16" t="e">
        <f t="shared" si="1224"/>
        <v>#N/A</v>
      </c>
      <c r="J607" s="40" t="e">
        <f t="shared" si="1224"/>
        <v>#N/A</v>
      </c>
      <c r="K607" s="16" t="e">
        <f t="shared" si="1224"/>
        <v>#N/A</v>
      </c>
      <c r="L607" s="40" t="e">
        <f t="shared" si="1213"/>
        <v>#N/A</v>
      </c>
      <c r="M607" s="16" t="e">
        <f t="shared" si="1214"/>
        <v>#N/A</v>
      </c>
      <c r="N607" s="16" t="e">
        <f t="shared" si="1215"/>
        <v>#N/A</v>
      </c>
      <c r="O607" s="16" t="s">
        <v>66</v>
      </c>
      <c r="P607" s="16" t="str">
        <f t="shared" si="6"/>
        <v/>
      </c>
      <c r="Q607" s="41" t="e">
        <f t="shared" si="1216"/>
        <v>#N/A</v>
      </c>
      <c r="R607" s="44"/>
      <c r="S607" s="44"/>
      <c r="T607" s="43"/>
      <c r="U607" s="43" t="str">
        <f t="shared" si="8"/>
        <v>No</v>
      </c>
      <c r="V607" s="25"/>
      <c r="W607" s="25"/>
      <c r="X607" s="25"/>
      <c r="Y607" s="25"/>
      <c r="Z607" s="25"/>
    </row>
    <row r="608" spans="1:26" ht="15.75" customHeight="1" x14ac:dyDescent="0.25">
      <c r="A608" s="25">
        <v>606</v>
      </c>
      <c r="B608" s="37" t="e">
        <f t="shared" ref="B608:D608" si="1225">VLOOKUP($A608,[2]Educación!$A$1:$O$276,B$1,0)</f>
        <v>#N/A</v>
      </c>
      <c r="C608" s="38" t="e">
        <f t="shared" si="1225"/>
        <v>#N/A</v>
      </c>
      <c r="D608" s="39" t="e">
        <f t="shared" si="1225"/>
        <v>#N/A</v>
      </c>
      <c r="E608" s="16" t="e">
        <f t="shared" si="1"/>
        <v>#N/A</v>
      </c>
      <c r="F608" s="16" t="e">
        <f t="shared" ref="F608:K608" si="1226">VLOOKUP($A608,[2]Educación!$A$1:$O$276,F$1,0)</f>
        <v>#N/A</v>
      </c>
      <c r="G608" s="39" t="e">
        <f t="shared" si="1226"/>
        <v>#N/A</v>
      </c>
      <c r="H608" s="16" t="e">
        <f t="shared" si="1226"/>
        <v>#N/A</v>
      </c>
      <c r="I608" s="16" t="e">
        <f t="shared" si="1226"/>
        <v>#N/A</v>
      </c>
      <c r="J608" s="40" t="e">
        <f t="shared" si="1226"/>
        <v>#N/A</v>
      </c>
      <c r="K608" s="16" t="e">
        <f t="shared" si="1226"/>
        <v>#N/A</v>
      </c>
      <c r="L608" s="40" t="e">
        <f t="shared" si="1213"/>
        <v>#N/A</v>
      </c>
      <c r="M608" s="16" t="e">
        <f t="shared" si="1214"/>
        <v>#N/A</v>
      </c>
      <c r="N608" s="16" t="e">
        <f t="shared" si="1215"/>
        <v>#N/A</v>
      </c>
      <c r="O608" s="16" t="s">
        <v>66</v>
      </c>
      <c r="P608" s="16" t="str">
        <f t="shared" si="6"/>
        <v/>
      </c>
      <c r="Q608" s="41" t="e">
        <f t="shared" si="1216"/>
        <v>#N/A</v>
      </c>
      <c r="R608" s="44"/>
      <c r="S608" s="44"/>
      <c r="T608" s="43"/>
      <c r="U608" s="43" t="str">
        <f t="shared" si="8"/>
        <v>No</v>
      </c>
      <c r="V608" s="25"/>
      <c r="W608" s="25"/>
      <c r="X608" s="25"/>
      <c r="Y608" s="25"/>
      <c r="Z608" s="25"/>
    </row>
    <row r="609" spans="1:26" ht="15.75" customHeight="1" x14ac:dyDescent="0.25">
      <c r="A609" s="25">
        <v>607</v>
      </c>
      <c r="B609" s="37" t="e">
        <f t="shared" ref="B609:D609" si="1227">VLOOKUP($A609,[2]Educación!$A$1:$O$276,B$1,0)</f>
        <v>#N/A</v>
      </c>
      <c r="C609" s="38" t="e">
        <f t="shared" si="1227"/>
        <v>#N/A</v>
      </c>
      <c r="D609" s="39" t="e">
        <f t="shared" si="1227"/>
        <v>#N/A</v>
      </c>
      <c r="E609" s="16" t="e">
        <f t="shared" si="1"/>
        <v>#N/A</v>
      </c>
      <c r="F609" s="16" t="e">
        <f t="shared" ref="F609:K609" si="1228">VLOOKUP($A609,[2]Educación!$A$1:$O$276,F$1,0)</f>
        <v>#N/A</v>
      </c>
      <c r="G609" s="39" t="e">
        <f t="shared" si="1228"/>
        <v>#N/A</v>
      </c>
      <c r="H609" s="16" t="e">
        <f t="shared" si="1228"/>
        <v>#N/A</v>
      </c>
      <c r="I609" s="16" t="e">
        <f t="shared" si="1228"/>
        <v>#N/A</v>
      </c>
      <c r="J609" s="40" t="e">
        <f t="shared" si="1228"/>
        <v>#N/A</v>
      </c>
      <c r="K609" s="16" t="e">
        <f t="shared" si="1228"/>
        <v>#N/A</v>
      </c>
      <c r="L609" s="40" t="e">
        <f t="shared" si="1213"/>
        <v>#N/A</v>
      </c>
      <c r="M609" s="16" t="e">
        <f t="shared" si="1214"/>
        <v>#N/A</v>
      </c>
      <c r="N609" s="16" t="e">
        <f t="shared" si="1215"/>
        <v>#N/A</v>
      </c>
      <c r="O609" s="16" t="s">
        <v>66</v>
      </c>
      <c r="P609" s="16" t="str">
        <f t="shared" si="6"/>
        <v/>
      </c>
      <c r="Q609" s="41" t="e">
        <f t="shared" si="1216"/>
        <v>#N/A</v>
      </c>
      <c r="R609" s="44"/>
      <c r="S609" s="44"/>
      <c r="T609" s="43"/>
      <c r="U609" s="43" t="str">
        <f t="shared" si="8"/>
        <v>No</v>
      </c>
      <c r="V609" s="25"/>
      <c r="W609" s="25"/>
      <c r="X609" s="25"/>
      <c r="Y609" s="25"/>
      <c r="Z609" s="25"/>
    </row>
    <row r="610" spans="1:26" ht="15.75" customHeight="1" x14ac:dyDescent="0.25">
      <c r="A610" s="25">
        <v>608</v>
      </c>
      <c r="B610" s="37" t="e">
        <f t="shared" ref="B610:D610" si="1229">VLOOKUP($A610,[2]Educación!$A$1:$O$276,B$1,0)</f>
        <v>#N/A</v>
      </c>
      <c r="C610" s="38" t="e">
        <f t="shared" si="1229"/>
        <v>#N/A</v>
      </c>
      <c r="D610" s="39" t="e">
        <f t="shared" si="1229"/>
        <v>#N/A</v>
      </c>
      <c r="E610" s="16" t="e">
        <f t="shared" si="1"/>
        <v>#N/A</v>
      </c>
      <c r="F610" s="16" t="e">
        <f t="shared" ref="F610:K610" si="1230">VLOOKUP($A610,[2]Educación!$A$1:$O$276,F$1,0)</f>
        <v>#N/A</v>
      </c>
      <c r="G610" s="39" t="e">
        <f t="shared" si="1230"/>
        <v>#N/A</v>
      </c>
      <c r="H610" s="16" t="e">
        <f t="shared" si="1230"/>
        <v>#N/A</v>
      </c>
      <c r="I610" s="16" t="e">
        <f t="shared" si="1230"/>
        <v>#N/A</v>
      </c>
      <c r="J610" s="40" t="e">
        <f t="shared" si="1230"/>
        <v>#N/A</v>
      </c>
      <c r="K610" s="16" t="e">
        <f t="shared" si="1230"/>
        <v>#N/A</v>
      </c>
      <c r="L610" s="40" t="e">
        <f t="shared" si="1213"/>
        <v>#N/A</v>
      </c>
      <c r="M610" s="16" t="e">
        <f t="shared" si="1214"/>
        <v>#N/A</v>
      </c>
      <c r="N610" s="16" t="e">
        <f t="shared" si="1215"/>
        <v>#N/A</v>
      </c>
      <c r="O610" s="16" t="s">
        <v>66</v>
      </c>
      <c r="P610" s="16" t="str">
        <f t="shared" si="6"/>
        <v/>
      </c>
      <c r="Q610" s="41" t="e">
        <f t="shared" si="1216"/>
        <v>#N/A</v>
      </c>
      <c r="R610" s="44"/>
      <c r="S610" s="44"/>
      <c r="T610" s="43"/>
      <c r="U610" s="43" t="str">
        <f t="shared" si="8"/>
        <v>No</v>
      </c>
      <c r="V610" s="25"/>
      <c r="W610" s="25"/>
      <c r="X610" s="25"/>
      <c r="Y610" s="25"/>
      <c r="Z610" s="25"/>
    </row>
    <row r="611" spans="1:26" ht="15.75" customHeight="1" x14ac:dyDescent="0.25">
      <c r="A611" s="25">
        <v>609</v>
      </c>
      <c r="B611" s="37" t="e">
        <f t="shared" ref="B611:D611" si="1231">VLOOKUP($A611,[2]Educación!$A$1:$O$276,B$1,0)</f>
        <v>#N/A</v>
      </c>
      <c r="C611" s="38" t="e">
        <f t="shared" si="1231"/>
        <v>#N/A</v>
      </c>
      <c r="D611" s="39" t="e">
        <f t="shared" si="1231"/>
        <v>#N/A</v>
      </c>
      <c r="E611" s="16" t="e">
        <f t="shared" si="1"/>
        <v>#N/A</v>
      </c>
      <c r="F611" s="16" t="e">
        <f t="shared" ref="F611:K611" si="1232">VLOOKUP($A611,[2]Educación!$A$1:$O$276,F$1,0)</f>
        <v>#N/A</v>
      </c>
      <c r="G611" s="39" t="e">
        <f t="shared" si="1232"/>
        <v>#N/A</v>
      </c>
      <c r="H611" s="16" t="e">
        <f t="shared" si="1232"/>
        <v>#N/A</v>
      </c>
      <c r="I611" s="16" t="e">
        <f t="shared" si="1232"/>
        <v>#N/A</v>
      </c>
      <c r="J611" s="40" t="e">
        <f t="shared" si="1232"/>
        <v>#N/A</v>
      </c>
      <c r="K611" s="16" t="e">
        <f t="shared" si="1232"/>
        <v>#N/A</v>
      </c>
      <c r="L611" s="40" t="e">
        <f t="shared" si="1213"/>
        <v>#N/A</v>
      </c>
      <c r="M611" s="16" t="e">
        <f t="shared" si="1214"/>
        <v>#N/A</v>
      </c>
      <c r="N611" s="16" t="e">
        <f t="shared" si="1215"/>
        <v>#N/A</v>
      </c>
      <c r="O611" s="16" t="s">
        <v>66</v>
      </c>
      <c r="P611" s="16" t="str">
        <f t="shared" si="6"/>
        <v/>
      </c>
      <c r="Q611" s="41" t="e">
        <f t="shared" si="1216"/>
        <v>#N/A</v>
      </c>
      <c r="R611" s="44"/>
      <c r="S611" s="44"/>
      <c r="T611" s="43"/>
      <c r="U611" s="43" t="str">
        <f t="shared" si="8"/>
        <v>No</v>
      </c>
      <c r="V611" s="25"/>
      <c r="W611" s="25"/>
      <c r="X611" s="25"/>
      <c r="Y611" s="25"/>
      <c r="Z611" s="25"/>
    </row>
    <row r="612" spans="1:26" ht="15.75" customHeight="1" x14ac:dyDescent="0.25">
      <c r="A612" s="25">
        <v>610</v>
      </c>
      <c r="B612" s="37" t="e">
        <f t="shared" ref="B612:D612" si="1233">VLOOKUP($A612,[2]Educación!$A$1:$O$276,B$1,0)</f>
        <v>#N/A</v>
      </c>
      <c r="C612" s="38" t="e">
        <f t="shared" si="1233"/>
        <v>#N/A</v>
      </c>
      <c r="D612" s="39" t="e">
        <f t="shared" si="1233"/>
        <v>#N/A</v>
      </c>
      <c r="E612" s="16" t="e">
        <f t="shared" si="1"/>
        <v>#N/A</v>
      </c>
      <c r="F612" s="16" t="e">
        <f t="shared" ref="F612:K612" si="1234">VLOOKUP($A612,[2]Educación!$A$1:$O$276,F$1,0)</f>
        <v>#N/A</v>
      </c>
      <c r="G612" s="39" t="e">
        <f t="shared" si="1234"/>
        <v>#N/A</v>
      </c>
      <c r="H612" s="16" t="e">
        <f t="shared" si="1234"/>
        <v>#N/A</v>
      </c>
      <c r="I612" s="16" t="e">
        <f t="shared" si="1234"/>
        <v>#N/A</v>
      </c>
      <c r="J612" s="40" t="e">
        <f t="shared" si="1234"/>
        <v>#N/A</v>
      </c>
      <c r="K612" s="16" t="e">
        <f t="shared" si="1234"/>
        <v>#N/A</v>
      </c>
      <c r="L612" s="40" t="e">
        <f t="shared" si="1213"/>
        <v>#N/A</v>
      </c>
      <c r="M612" s="16" t="e">
        <f t="shared" si="1214"/>
        <v>#N/A</v>
      </c>
      <c r="N612" s="16" t="e">
        <f t="shared" si="1215"/>
        <v>#N/A</v>
      </c>
      <c r="O612" s="16" t="s">
        <v>66</v>
      </c>
      <c r="P612" s="16" t="str">
        <f t="shared" si="6"/>
        <v/>
      </c>
      <c r="Q612" s="41" t="e">
        <f t="shared" si="1216"/>
        <v>#N/A</v>
      </c>
      <c r="R612" s="44"/>
      <c r="S612" s="44"/>
      <c r="T612" s="43"/>
      <c r="U612" s="43" t="str">
        <f t="shared" si="8"/>
        <v>No</v>
      </c>
      <c r="V612" s="25"/>
      <c r="W612" s="25"/>
      <c r="X612" s="25"/>
      <c r="Y612" s="25"/>
      <c r="Z612" s="25"/>
    </row>
    <row r="613" spans="1:26" ht="15.75" customHeight="1" x14ac:dyDescent="0.25">
      <c r="A613" s="25">
        <v>611</v>
      </c>
      <c r="B613" s="37" t="e">
        <f t="shared" ref="B613:D613" si="1235">VLOOKUP($A613,[2]Educación!$A$1:$O$276,B$1,0)</f>
        <v>#N/A</v>
      </c>
      <c r="C613" s="38" t="e">
        <f t="shared" si="1235"/>
        <v>#N/A</v>
      </c>
      <c r="D613" s="39" t="e">
        <f t="shared" si="1235"/>
        <v>#N/A</v>
      </c>
      <c r="E613" s="16" t="e">
        <f t="shared" si="1"/>
        <v>#N/A</v>
      </c>
      <c r="F613" s="16" t="e">
        <f t="shared" ref="F613:K613" si="1236">VLOOKUP($A613,[2]Educación!$A$1:$O$276,F$1,0)</f>
        <v>#N/A</v>
      </c>
      <c r="G613" s="39" t="e">
        <f t="shared" si="1236"/>
        <v>#N/A</v>
      </c>
      <c r="H613" s="16" t="e">
        <f t="shared" si="1236"/>
        <v>#N/A</v>
      </c>
      <c r="I613" s="16" t="e">
        <f t="shared" si="1236"/>
        <v>#N/A</v>
      </c>
      <c r="J613" s="40" t="e">
        <f t="shared" si="1236"/>
        <v>#N/A</v>
      </c>
      <c r="K613" s="16" t="e">
        <f t="shared" si="1236"/>
        <v>#N/A</v>
      </c>
      <c r="L613" s="40" t="e">
        <f t="shared" si="1213"/>
        <v>#N/A</v>
      </c>
      <c r="M613" s="16" t="e">
        <f t="shared" si="1214"/>
        <v>#N/A</v>
      </c>
      <c r="N613" s="16" t="e">
        <f t="shared" si="1215"/>
        <v>#N/A</v>
      </c>
      <c r="O613" s="16" t="s">
        <v>66</v>
      </c>
      <c r="P613" s="16" t="str">
        <f t="shared" si="6"/>
        <v/>
      </c>
      <c r="Q613" s="41" t="e">
        <f t="shared" si="1216"/>
        <v>#N/A</v>
      </c>
      <c r="R613" s="44"/>
      <c r="S613" s="44"/>
      <c r="T613" s="43"/>
      <c r="U613" s="43" t="str">
        <f t="shared" si="8"/>
        <v>No</v>
      </c>
      <c r="V613" s="25"/>
      <c r="W613" s="25"/>
      <c r="X613" s="25"/>
      <c r="Y613" s="25"/>
      <c r="Z613" s="25"/>
    </row>
    <row r="614" spans="1:26" ht="15.75" customHeight="1" x14ac:dyDescent="0.25">
      <c r="A614" s="25">
        <v>612</v>
      </c>
      <c r="B614" s="37" t="e">
        <f t="shared" ref="B614:D614" si="1237">VLOOKUP($A614,[2]Educación!$A$1:$O$276,B$1,0)</f>
        <v>#N/A</v>
      </c>
      <c r="C614" s="38" t="e">
        <f t="shared" si="1237"/>
        <v>#N/A</v>
      </c>
      <c r="D614" s="39" t="e">
        <f t="shared" si="1237"/>
        <v>#N/A</v>
      </c>
      <c r="E614" s="16" t="e">
        <f t="shared" si="1"/>
        <v>#N/A</v>
      </c>
      <c r="F614" s="16" t="e">
        <f t="shared" ref="F614:K614" si="1238">VLOOKUP($A614,[2]Educación!$A$1:$O$276,F$1,0)</f>
        <v>#N/A</v>
      </c>
      <c r="G614" s="39" t="e">
        <f t="shared" si="1238"/>
        <v>#N/A</v>
      </c>
      <c r="H614" s="16" t="e">
        <f t="shared" si="1238"/>
        <v>#N/A</v>
      </c>
      <c r="I614" s="16" t="e">
        <f t="shared" si="1238"/>
        <v>#N/A</v>
      </c>
      <c r="J614" s="40" t="e">
        <f t="shared" si="1238"/>
        <v>#N/A</v>
      </c>
      <c r="K614" s="16" t="e">
        <f t="shared" si="1238"/>
        <v>#N/A</v>
      </c>
      <c r="L614" s="40" t="e">
        <f t="shared" si="1213"/>
        <v>#N/A</v>
      </c>
      <c r="M614" s="16" t="e">
        <f t="shared" si="1214"/>
        <v>#N/A</v>
      </c>
      <c r="N614" s="16" t="e">
        <f t="shared" si="1215"/>
        <v>#N/A</v>
      </c>
      <c r="O614" s="16" t="s">
        <v>66</v>
      </c>
      <c r="P614" s="16" t="str">
        <f t="shared" si="6"/>
        <v/>
      </c>
      <c r="Q614" s="41" t="e">
        <f t="shared" si="1216"/>
        <v>#N/A</v>
      </c>
      <c r="R614" s="44"/>
      <c r="S614" s="44"/>
      <c r="T614" s="43"/>
      <c r="U614" s="43" t="str">
        <f t="shared" si="8"/>
        <v>No</v>
      </c>
      <c r="V614" s="25"/>
      <c r="W614" s="25"/>
      <c r="X614" s="25"/>
      <c r="Y614" s="25"/>
      <c r="Z614" s="25"/>
    </row>
    <row r="615" spans="1:26" ht="15.75" customHeight="1" x14ac:dyDescent="0.25">
      <c r="A615" s="25">
        <v>613</v>
      </c>
      <c r="B615" s="37" t="e">
        <f t="shared" ref="B615:D615" si="1239">VLOOKUP($A615,[2]Educación!$A$1:$O$276,B$1,0)</f>
        <v>#N/A</v>
      </c>
      <c r="C615" s="38" t="e">
        <f t="shared" si="1239"/>
        <v>#N/A</v>
      </c>
      <c r="D615" s="39" t="e">
        <f t="shared" si="1239"/>
        <v>#N/A</v>
      </c>
      <c r="E615" s="16" t="e">
        <f t="shared" si="1"/>
        <v>#N/A</v>
      </c>
      <c r="F615" s="16" t="e">
        <f t="shared" ref="F615:K615" si="1240">VLOOKUP($A615,[2]Educación!$A$1:$O$276,F$1,0)</f>
        <v>#N/A</v>
      </c>
      <c r="G615" s="39" t="e">
        <f t="shared" si="1240"/>
        <v>#N/A</v>
      </c>
      <c r="H615" s="16" t="e">
        <f t="shared" si="1240"/>
        <v>#N/A</v>
      </c>
      <c r="I615" s="16" t="e">
        <f t="shared" si="1240"/>
        <v>#N/A</v>
      </c>
      <c r="J615" s="40" t="e">
        <f t="shared" si="1240"/>
        <v>#N/A</v>
      </c>
      <c r="K615" s="16" t="e">
        <f t="shared" si="1240"/>
        <v>#N/A</v>
      </c>
      <c r="L615" s="40" t="e">
        <f t="shared" si="1213"/>
        <v>#N/A</v>
      </c>
      <c r="M615" s="16" t="e">
        <f t="shared" si="1214"/>
        <v>#N/A</v>
      </c>
      <c r="N615" s="16" t="e">
        <f t="shared" si="1215"/>
        <v>#N/A</v>
      </c>
      <c r="O615" s="16" t="s">
        <v>66</v>
      </c>
      <c r="P615" s="16" t="str">
        <f t="shared" si="6"/>
        <v/>
      </c>
      <c r="Q615" s="41" t="e">
        <f t="shared" si="1216"/>
        <v>#N/A</v>
      </c>
      <c r="R615" s="44"/>
      <c r="S615" s="44"/>
      <c r="T615" s="43" t="s">
        <v>89</v>
      </c>
      <c r="U615" s="43" t="str">
        <f t="shared" si="8"/>
        <v>No</v>
      </c>
      <c r="V615" s="25"/>
      <c r="W615" s="25"/>
      <c r="X615" s="25"/>
      <c r="Y615" s="25"/>
      <c r="Z615" s="25"/>
    </row>
    <row r="616" spans="1:26" ht="15.75" customHeight="1" x14ac:dyDescent="0.25">
      <c r="A616" s="25">
        <v>614</v>
      </c>
      <c r="B616" s="37" t="e">
        <f t="shared" ref="B616:D616" si="1241">VLOOKUP($A616,[2]Educación!$A$1:$O$276,B$1,0)</f>
        <v>#N/A</v>
      </c>
      <c r="C616" s="38" t="e">
        <f t="shared" si="1241"/>
        <v>#N/A</v>
      </c>
      <c r="D616" s="39" t="e">
        <f t="shared" si="1241"/>
        <v>#N/A</v>
      </c>
      <c r="E616" s="16" t="e">
        <f t="shared" si="1"/>
        <v>#N/A</v>
      </c>
      <c r="F616" s="16" t="e">
        <f t="shared" ref="F616:K616" si="1242">VLOOKUP($A616,[2]Educación!$A$1:$O$276,F$1,0)</f>
        <v>#N/A</v>
      </c>
      <c r="G616" s="39" t="e">
        <f t="shared" si="1242"/>
        <v>#N/A</v>
      </c>
      <c r="H616" s="16" t="e">
        <f t="shared" si="1242"/>
        <v>#N/A</v>
      </c>
      <c r="I616" s="16" t="e">
        <f t="shared" si="1242"/>
        <v>#N/A</v>
      </c>
      <c r="J616" s="40" t="e">
        <f t="shared" si="1242"/>
        <v>#N/A</v>
      </c>
      <c r="K616" s="16" t="e">
        <f t="shared" si="1242"/>
        <v>#N/A</v>
      </c>
      <c r="L616" s="40" t="e">
        <f t="shared" si="1213"/>
        <v>#N/A</v>
      </c>
      <c r="M616" s="16" t="e">
        <f t="shared" si="1214"/>
        <v>#N/A</v>
      </c>
      <c r="N616" s="16" t="e">
        <f t="shared" si="1215"/>
        <v>#N/A</v>
      </c>
      <c r="O616" s="16" t="s">
        <v>66</v>
      </c>
      <c r="P616" s="16" t="str">
        <f t="shared" si="6"/>
        <v/>
      </c>
      <c r="Q616" s="41" t="e">
        <f t="shared" si="1216"/>
        <v>#N/A</v>
      </c>
      <c r="R616" s="44"/>
      <c r="S616" s="44"/>
      <c r="T616" s="43"/>
      <c r="U616" s="43" t="str">
        <f t="shared" si="8"/>
        <v>No</v>
      </c>
      <c r="V616" s="25"/>
      <c r="W616" s="25"/>
      <c r="X616" s="25"/>
      <c r="Y616" s="25"/>
      <c r="Z616" s="25"/>
    </row>
    <row r="617" spans="1:26" ht="15.75" customHeight="1" x14ac:dyDescent="0.25">
      <c r="A617" s="25">
        <v>615</v>
      </c>
      <c r="B617" s="37" t="e">
        <f t="shared" ref="B617:D617" si="1243">VLOOKUP($A617,[2]Educación!$A$1:$O$276,B$1,0)</f>
        <v>#N/A</v>
      </c>
      <c r="C617" s="38" t="e">
        <f t="shared" si="1243"/>
        <v>#N/A</v>
      </c>
      <c r="D617" s="39" t="e">
        <f t="shared" si="1243"/>
        <v>#N/A</v>
      </c>
      <c r="E617" s="16" t="e">
        <f t="shared" si="1"/>
        <v>#N/A</v>
      </c>
      <c r="F617" s="16" t="e">
        <f t="shared" ref="F617:K617" si="1244">VLOOKUP($A617,[2]Educación!$A$1:$O$276,F$1,0)</f>
        <v>#N/A</v>
      </c>
      <c r="G617" s="39" t="e">
        <f t="shared" si="1244"/>
        <v>#N/A</v>
      </c>
      <c r="H617" s="16" t="e">
        <f t="shared" si="1244"/>
        <v>#N/A</v>
      </c>
      <c r="I617" s="16" t="e">
        <f t="shared" si="1244"/>
        <v>#N/A</v>
      </c>
      <c r="J617" s="40" t="e">
        <f t="shared" si="1244"/>
        <v>#N/A</v>
      </c>
      <c r="K617" s="16" t="e">
        <f t="shared" si="1244"/>
        <v>#N/A</v>
      </c>
      <c r="L617" s="40" t="e">
        <f t="shared" si="1213"/>
        <v>#N/A</v>
      </c>
      <c r="M617" s="16" t="e">
        <f t="shared" si="1214"/>
        <v>#N/A</v>
      </c>
      <c r="N617" s="16" t="e">
        <f t="shared" si="1215"/>
        <v>#N/A</v>
      </c>
      <c r="O617" s="16" t="s">
        <v>66</v>
      </c>
      <c r="P617" s="16" t="str">
        <f t="shared" si="6"/>
        <v/>
      </c>
      <c r="Q617" s="41" t="e">
        <f t="shared" si="1216"/>
        <v>#N/A</v>
      </c>
      <c r="R617" s="44"/>
      <c r="S617" s="44"/>
      <c r="T617" s="43"/>
      <c r="U617" s="43" t="str">
        <f t="shared" si="8"/>
        <v>No</v>
      </c>
      <c r="V617" s="25"/>
      <c r="W617" s="25"/>
      <c r="X617" s="25"/>
      <c r="Y617" s="25"/>
      <c r="Z617" s="25"/>
    </row>
    <row r="618" spans="1:26" ht="15.75" customHeight="1" x14ac:dyDescent="0.25">
      <c r="A618" s="25">
        <v>616</v>
      </c>
      <c r="B618" s="37" t="e">
        <f t="shared" ref="B618:D618" si="1245">VLOOKUP($A618,[2]Educación!$A$1:$O$276,B$1,0)</f>
        <v>#N/A</v>
      </c>
      <c r="C618" s="38" t="e">
        <f t="shared" si="1245"/>
        <v>#N/A</v>
      </c>
      <c r="D618" s="39" t="e">
        <f t="shared" si="1245"/>
        <v>#N/A</v>
      </c>
      <c r="E618" s="16" t="e">
        <f t="shared" si="1"/>
        <v>#N/A</v>
      </c>
      <c r="F618" s="16" t="e">
        <f t="shared" ref="F618:K618" si="1246">VLOOKUP($A618,[2]Educación!$A$1:$O$276,F$1,0)</f>
        <v>#N/A</v>
      </c>
      <c r="G618" s="39" t="e">
        <f t="shared" si="1246"/>
        <v>#N/A</v>
      </c>
      <c r="H618" s="16" t="e">
        <f t="shared" si="1246"/>
        <v>#N/A</v>
      </c>
      <c r="I618" s="16" t="e">
        <f t="shared" si="1246"/>
        <v>#N/A</v>
      </c>
      <c r="J618" s="40" t="e">
        <f t="shared" si="1246"/>
        <v>#N/A</v>
      </c>
      <c r="K618" s="16" t="e">
        <f t="shared" si="1246"/>
        <v>#N/A</v>
      </c>
      <c r="L618" s="40" t="e">
        <f t="shared" si="1213"/>
        <v>#N/A</v>
      </c>
      <c r="M618" s="16" t="e">
        <f t="shared" si="1214"/>
        <v>#N/A</v>
      </c>
      <c r="N618" s="16" t="e">
        <f t="shared" si="1215"/>
        <v>#N/A</v>
      </c>
      <c r="O618" s="16" t="s">
        <v>66</v>
      </c>
      <c r="P618" s="16" t="str">
        <f t="shared" si="6"/>
        <v/>
      </c>
      <c r="Q618" s="41" t="e">
        <f t="shared" si="1216"/>
        <v>#N/A</v>
      </c>
      <c r="R618" s="44"/>
      <c r="S618" s="44"/>
      <c r="T618" s="43"/>
      <c r="U618" s="43" t="str">
        <f t="shared" si="8"/>
        <v>No</v>
      </c>
      <c r="V618" s="25"/>
      <c r="W618" s="25"/>
      <c r="X618" s="25"/>
      <c r="Y618" s="25"/>
      <c r="Z618" s="25"/>
    </row>
    <row r="619" spans="1:26" ht="15.75" customHeight="1" x14ac:dyDescent="0.25">
      <c r="A619" s="25">
        <v>617</v>
      </c>
      <c r="B619" s="37" t="e">
        <f t="shared" ref="B619:D619" si="1247">VLOOKUP($A619,[2]Educación!$A$1:$O$276,B$1,0)</f>
        <v>#N/A</v>
      </c>
      <c r="C619" s="38" t="e">
        <f t="shared" si="1247"/>
        <v>#N/A</v>
      </c>
      <c r="D619" s="39" t="e">
        <f t="shared" si="1247"/>
        <v>#N/A</v>
      </c>
      <c r="E619" s="16" t="e">
        <f t="shared" si="1"/>
        <v>#N/A</v>
      </c>
      <c r="F619" s="16" t="e">
        <f t="shared" ref="F619:K619" si="1248">VLOOKUP($A619,[2]Educación!$A$1:$O$276,F$1,0)</f>
        <v>#N/A</v>
      </c>
      <c r="G619" s="39" t="e">
        <f t="shared" si="1248"/>
        <v>#N/A</v>
      </c>
      <c r="H619" s="16" t="e">
        <f t="shared" si="1248"/>
        <v>#N/A</v>
      </c>
      <c r="I619" s="16" t="e">
        <f t="shared" si="1248"/>
        <v>#N/A</v>
      </c>
      <c r="J619" s="40" t="e">
        <f t="shared" si="1248"/>
        <v>#N/A</v>
      </c>
      <c r="K619" s="16" t="e">
        <f t="shared" si="1248"/>
        <v>#N/A</v>
      </c>
      <c r="L619" s="40" t="e">
        <f t="shared" si="1213"/>
        <v>#N/A</v>
      </c>
      <c r="M619" s="16" t="e">
        <f t="shared" si="1214"/>
        <v>#N/A</v>
      </c>
      <c r="N619" s="16" t="e">
        <f t="shared" si="1215"/>
        <v>#N/A</v>
      </c>
      <c r="O619" s="16" t="s">
        <v>66</v>
      </c>
      <c r="P619" s="16" t="str">
        <f t="shared" si="6"/>
        <v/>
      </c>
      <c r="Q619" s="41" t="e">
        <f t="shared" si="1216"/>
        <v>#N/A</v>
      </c>
      <c r="R619" s="44"/>
      <c r="S619" s="44"/>
      <c r="T619" s="43"/>
      <c r="U619" s="43" t="str">
        <f t="shared" si="8"/>
        <v>No</v>
      </c>
      <c r="V619" s="25"/>
      <c r="W619" s="25"/>
      <c r="X619" s="25"/>
      <c r="Y619" s="25"/>
      <c r="Z619" s="25"/>
    </row>
    <row r="620" spans="1:26" ht="15.75" customHeight="1" x14ac:dyDescent="0.25">
      <c r="A620" s="25">
        <v>618</v>
      </c>
      <c r="B620" s="37" t="e">
        <f t="shared" ref="B620:D620" si="1249">VLOOKUP($A620,[2]Educación!$A$1:$O$276,B$1,0)</f>
        <v>#N/A</v>
      </c>
      <c r="C620" s="38" t="e">
        <f t="shared" si="1249"/>
        <v>#N/A</v>
      </c>
      <c r="D620" s="39" t="e">
        <f t="shared" si="1249"/>
        <v>#N/A</v>
      </c>
      <c r="E620" s="16" t="e">
        <f t="shared" si="1"/>
        <v>#N/A</v>
      </c>
      <c r="F620" s="16" t="e">
        <f t="shared" ref="F620:K620" si="1250">VLOOKUP($A620,[2]Educación!$A$1:$O$276,F$1,0)</f>
        <v>#N/A</v>
      </c>
      <c r="G620" s="39" t="e">
        <f t="shared" si="1250"/>
        <v>#N/A</v>
      </c>
      <c r="H620" s="16" t="e">
        <f t="shared" si="1250"/>
        <v>#N/A</v>
      </c>
      <c r="I620" s="16" t="e">
        <f t="shared" si="1250"/>
        <v>#N/A</v>
      </c>
      <c r="J620" s="40" t="e">
        <f t="shared" si="1250"/>
        <v>#N/A</v>
      </c>
      <c r="K620" s="16" t="e">
        <f t="shared" si="1250"/>
        <v>#N/A</v>
      </c>
      <c r="L620" s="40" t="e">
        <f t="shared" si="1213"/>
        <v>#N/A</v>
      </c>
      <c r="M620" s="16" t="e">
        <f t="shared" si="1214"/>
        <v>#N/A</v>
      </c>
      <c r="N620" s="16" t="e">
        <f t="shared" si="1215"/>
        <v>#N/A</v>
      </c>
      <c r="O620" s="16" t="s">
        <v>66</v>
      </c>
      <c r="P620" s="16" t="str">
        <f t="shared" si="6"/>
        <v/>
      </c>
      <c r="Q620" s="41" t="e">
        <f t="shared" si="1216"/>
        <v>#N/A</v>
      </c>
      <c r="R620" s="44"/>
      <c r="S620" s="44"/>
      <c r="T620" s="43"/>
      <c r="U620" s="43" t="str">
        <f t="shared" si="8"/>
        <v>No</v>
      </c>
      <c r="V620" s="25"/>
      <c r="W620" s="25"/>
      <c r="X620" s="25"/>
      <c r="Y620" s="25"/>
      <c r="Z620" s="25"/>
    </row>
    <row r="621" spans="1:26" ht="15.75" customHeight="1" x14ac:dyDescent="0.25">
      <c r="A621" s="25">
        <v>619</v>
      </c>
      <c r="B621" s="37" t="e">
        <f t="shared" ref="B621:D621" si="1251">VLOOKUP($A621,[2]Educación!$A$1:$O$276,B$1,0)</f>
        <v>#N/A</v>
      </c>
      <c r="C621" s="38" t="e">
        <f t="shared" si="1251"/>
        <v>#N/A</v>
      </c>
      <c r="D621" s="39" t="e">
        <f t="shared" si="1251"/>
        <v>#N/A</v>
      </c>
      <c r="E621" s="16" t="e">
        <f t="shared" si="1"/>
        <v>#N/A</v>
      </c>
      <c r="F621" s="16" t="e">
        <f t="shared" ref="F621:K621" si="1252">VLOOKUP($A621,[2]Educación!$A$1:$O$276,F$1,0)</f>
        <v>#N/A</v>
      </c>
      <c r="G621" s="39" t="e">
        <f t="shared" si="1252"/>
        <v>#N/A</v>
      </c>
      <c r="H621" s="16" t="e">
        <f t="shared" si="1252"/>
        <v>#N/A</v>
      </c>
      <c r="I621" s="16" t="e">
        <f t="shared" si="1252"/>
        <v>#N/A</v>
      </c>
      <c r="J621" s="40" t="e">
        <f t="shared" si="1252"/>
        <v>#N/A</v>
      </c>
      <c r="K621" s="16" t="e">
        <f t="shared" si="1252"/>
        <v>#N/A</v>
      </c>
      <c r="L621" s="40" t="e">
        <f t="shared" si="1213"/>
        <v>#N/A</v>
      </c>
      <c r="M621" s="16" t="e">
        <f t="shared" si="1214"/>
        <v>#N/A</v>
      </c>
      <c r="N621" s="16" t="e">
        <f t="shared" si="1215"/>
        <v>#N/A</v>
      </c>
      <c r="O621" s="16" t="s">
        <v>66</v>
      </c>
      <c r="P621" s="16" t="str">
        <f t="shared" si="6"/>
        <v/>
      </c>
      <c r="Q621" s="41" t="e">
        <f t="shared" si="1216"/>
        <v>#N/A</v>
      </c>
      <c r="R621" s="44"/>
      <c r="S621" s="44"/>
      <c r="T621" s="43"/>
      <c r="U621" s="43" t="str">
        <f t="shared" si="8"/>
        <v>No</v>
      </c>
      <c r="V621" s="25"/>
      <c r="W621" s="25"/>
      <c r="X621" s="25"/>
      <c r="Y621" s="25"/>
      <c r="Z621" s="25"/>
    </row>
    <row r="622" spans="1:26" ht="15.75" customHeight="1" x14ac:dyDescent="0.25">
      <c r="A622" s="25">
        <v>620</v>
      </c>
      <c r="B622" s="37" t="e">
        <f t="shared" ref="B622:D622" si="1253">VLOOKUP($A622,[2]Educación!$A$1:$O$276,B$1,0)</f>
        <v>#N/A</v>
      </c>
      <c r="C622" s="38" t="e">
        <f t="shared" si="1253"/>
        <v>#N/A</v>
      </c>
      <c r="D622" s="39" t="e">
        <f t="shared" si="1253"/>
        <v>#N/A</v>
      </c>
      <c r="E622" s="16" t="e">
        <f t="shared" si="1"/>
        <v>#N/A</v>
      </c>
      <c r="F622" s="16" t="e">
        <f t="shared" ref="F622:K622" si="1254">VLOOKUP($A622,[2]Educación!$A$1:$O$276,F$1,0)</f>
        <v>#N/A</v>
      </c>
      <c r="G622" s="39" t="e">
        <f t="shared" si="1254"/>
        <v>#N/A</v>
      </c>
      <c r="H622" s="16" t="e">
        <f t="shared" si="1254"/>
        <v>#N/A</v>
      </c>
      <c r="I622" s="16" t="e">
        <f t="shared" si="1254"/>
        <v>#N/A</v>
      </c>
      <c r="J622" s="40" t="e">
        <f t="shared" si="1254"/>
        <v>#N/A</v>
      </c>
      <c r="K622" s="16" t="e">
        <f t="shared" si="1254"/>
        <v>#N/A</v>
      </c>
      <c r="L622" s="40" t="e">
        <f t="shared" si="1213"/>
        <v>#N/A</v>
      </c>
      <c r="M622" s="16" t="e">
        <f t="shared" si="1214"/>
        <v>#N/A</v>
      </c>
      <c r="N622" s="16" t="e">
        <f t="shared" si="1215"/>
        <v>#N/A</v>
      </c>
      <c r="O622" s="16" t="s">
        <v>66</v>
      </c>
      <c r="P622" s="16" t="str">
        <f t="shared" si="6"/>
        <v/>
      </c>
      <c r="Q622" s="41" t="e">
        <f t="shared" si="1216"/>
        <v>#N/A</v>
      </c>
      <c r="R622" s="44"/>
      <c r="S622" s="44"/>
      <c r="T622" s="43"/>
      <c r="U622" s="43" t="str">
        <f t="shared" si="8"/>
        <v>No</v>
      </c>
      <c r="V622" s="25"/>
      <c r="W622" s="25"/>
      <c r="X622" s="25"/>
      <c r="Y622" s="25"/>
      <c r="Z622" s="25"/>
    </row>
    <row r="623" spans="1:26" ht="15.75" customHeight="1" x14ac:dyDescent="0.25">
      <c r="A623" s="25">
        <v>621</v>
      </c>
      <c r="B623" s="37" t="e">
        <f t="shared" ref="B623:D623" si="1255">VLOOKUP($A623,[2]Educación!$A$1:$O$276,B$1,0)</f>
        <v>#N/A</v>
      </c>
      <c r="C623" s="38" t="e">
        <f t="shared" si="1255"/>
        <v>#N/A</v>
      </c>
      <c r="D623" s="39" t="e">
        <f t="shared" si="1255"/>
        <v>#N/A</v>
      </c>
      <c r="E623" s="16" t="e">
        <f t="shared" si="1"/>
        <v>#N/A</v>
      </c>
      <c r="F623" s="16" t="e">
        <f t="shared" ref="F623:K623" si="1256">VLOOKUP($A623,[2]Educación!$A$1:$O$276,F$1,0)</f>
        <v>#N/A</v>
      </c>
      <c r="G623" s="39" t="e">
        <f t="shared" si="1256"/>
        <v>#N/A</v>
      </c>
      <c r="H623" s="16" t="e">
        <f t="shared" si="1256"/>
        <v>#N/A</v>
      </c>
      <c r="I623" s="16" t="e">
        <f t="shared" si="1256"/>
        <v>#N/A</v>
      </c>
      <c r="J623" s="40" t="e">
        <f t="shared" si="1256"/>
        <v>#N/A</v>
      </c>
      <c r="K623" s="16" t="e">
        <f t="shared" si="1256"/>
        <v>#N/A</v>
      </c>
      <c r="L623" s="40" t="e">
        <f t="shared" si="1213"/>
        <v>#N/A</v>
      </c>
      <c r="M623" s="16" t="e">
        <f t="shared" si="1214"/>
        <v>#N/A</v>
      </c>
      <c r="N623" s="16" t="e">
        <f t="shared" si="1215"/>
        <v>#N/A</v>
      </c>
      <c r="O623" s="16" t="s">
        <v>66</v>
      </c>
      <c r="P623" s="16" t="str">
        <f t="shared" si="6"/>
        <v/>
      </c>
      <c r="Q623" s="41" t="e">
        <f t="shared" si="1216"/>
        <v>#N/A</v>
      </c>
      <c r="R623" s="44"/>
      <c r="S623" s="44"/>
      <c r="T623" s="43"/>
      <c r="U623" s="43" t="str">
        <f t="shared" si="8"/>
        <v>No</v>
      </c>
      <c r="V623" s="25"/>
      <c r="W623" s="25"/>
      <c r="X623" s="25"/>
      <c r="Y623" s="25"/>
      <c r="Z623" s="25"/>
    </row>
    <row r="624" spans="1:26" ht="15.75" customHeight="1" x14ac:dyDescent="0.25">
      <c r="A624" s="25">
        <v>622</v>
      </c>
      <c r="B624" s="37" t="e">
        <f t="shared" ref="B624:D624" si="1257">VLOOKUP($A624,[2]Educación!$A$1:$O$276,B$1,0)</f>
        <v>#N/A</v>
      </c>
      <c r="C624" s="38" t="e">
        <f t="shared" si="1257"/>
        <v>#N/A</v>
      </c>
      <c r="D624" s="39" t="e">
        <f t="shared" si="1257"/>
        <v>#N/A</v>
      </c>
      <c r="E624" s="16" t="e">
        <f t="shared" si="1"/>
        <v>#N/A</v>
      </c>
      <c r="F624" s="16" t="e">
        <f t="shared" ref="F624:K624" si="1258">VLOOKUP($A624,[2]Educación!$A$1:$O$276,F$1,0)</f>
        <v>#N/A</v>
      </c>
      <c r="G624" s="39" t="e">
        <f t="shared" si="1258"/>
        <v>#N/A</v>
      </c>
      <c r="H624" s="16" t="e">
        <f t="shared" si="1258"/>
        <v>#N/A</v>
      </c>
      <c r="I624" s="16" t="e">
        <f t="shared" si="1258"/>
        <v>#N/A</v>
      </c>
      <c r="J624" s="40" t="e">
        <f t="shared" si="1258"/>
        <v>#N/A</v>
      </c>
      <c r="K624" s="16" t="e">
        <f t="shared" si="1258"/>
        <v>#N/A</v>
      </c>
      <c r="L624" s="40" t="e">
        <f t="shared" si="1213"/>
        <v>#N/A</v>
      </c>
      <c r="M624" s="16" t="e">
        <f t="shared" si="1214"/>
        <v>#N/A</v>
      </c>
      <c r="N624" s="16" t="e">
        <f t="shared" si="1215"/>
        <v>#N/A</v>
      </c>
      <c r="O624" s="16" t="s">
        <v>66</v>
      </c>
      <c r="P624" s="16" t="str">
        <f t="shared" si="6"/>
        <v/>
      </c>
      <c r="Q624" s="41" t="e">
        <f t="shared" si="1216"/>
        <v>#N/A</v>
      </c>
      <c r="R624" s="44"/>
      <c r="S624" s="44"/>
      <c r="T624" s="43"/>
      <c r="U624" s="43" t="str">
        <f t="shared" si="8"/>
        <v>No</v>
      </c>
      <c r="V624" s="25"/>
      <c r="W624" s="25"/>
      <c r="X624" s="25"/>
      <c r="Y624" s="25"/>
      <c r="Z624" s="25"/>
    </row>
    <row r="625" spans="1:26" ht="15.75" customHeight="1" x14ac:dyDescent="0.25">
      <c r="A625" s="25">
        <v>623</v>
      </c>
      <c r="B625" s="37" t="e">
        <f t="shared" ref="B625:D625" si="1259">VLOOKUP($A625,[2]Educación!$A$1:$O$276,B$1,0)</f>
        <v>#N/A</v>
      </c>
      <c r="C625" s="38" t="e">
        <f t="shared" si="1259"/>
        <v>#N/A</v>
      </c>
      <c r="D625" s="39" t="e">
        <f t="shared" si="1259"/>
        <v>#N/A</v>
      </c>
      <c r="E625" s="16" t="e">
        <f t="shared" si="1"/>
        <v>#N/A</v>
      </c>
      <c r="F625" s="16" t="e">
        <f t="shared" ref="F625:K625" si="1260">VLOOKUP($A625,[2]Educación!$A$1:$O$276,F$1,0)</f>
        <v>#N/A</v>
      </c>
      <c r="G625" s="39" t="e">
        <f t="shared" si="1260"/>
        <v>#N/A</v>
      </c>
      <c r="H625" s="16" t="e">
        <f t="shared" si="1260"/>
        <v>#N/A</v>
      </c>
      <c r="I625" s="16" t="e">
        <f t="shared" si="1260"/>
        <v>#N/A</v>
      </c>
      <c r="J625" s="40" t="e">
        <f t="shared" si="1260"/>
        <v>#N/A</v>
      </c>
      <c r="K625" s="16" t="e">
        <f t="shared" si="1260"/>
        <v>#N/A</v>
      </c>
      <c r="L625" s="40" t="e">
        <f t="shared" si="1213"/>
        <v>#N/A</v>
      </c>
      <c r="M625" s="16" t="e">
        <f t="shared" si="1214"/>
        <v>#N/A</v>
      </c>
      <c r="N625" s="16" t="e">
        <f t="shared" si="1215"/>
        <v>#N/A</v>
      </c>
      <c r="O625" s="16" t="s">
        <v>66</v>
      </c>
      <c r="P625" s="16" t="str">
        <f t="shared" si="6"/>
        <v/>
      </c>
      <c r="Q625" s="41" t="e">
        <f t="shared" si="1216"/>
        <v>#N/A</v>
      </c>
      <c r="R625" s="44"/>
      <c r="S625" s="44"/>
      <c r="T625" s="43"/>
      <c r="U625" s="43" t="str">
        <f t="shared" si="8"/>
        <v>No</v>
      </c>
      <c r="V625" s="25"/>
      <c r="W625" s="25"/>
      <c r="X625" s="25"/>
      <c r="Y625" s="25"/>
      <c r="Z625" s="25"/>
    </row>
    <row r="626" spans="1:26" ht="15.75" customHeight="1" x14ac:dyDescent="0.25">
      <c r="A626" s="25">
        <v>624</v>
      </c>
      <c r="B626" s="37" t="e">
        <f t="shared" ref="B626:D626" si="1261">VLOOKUP($A626,[2]Educación!$A$1:$O$276,B$1,0)</f>
        <v>#N/A</v>
      </c>
      <c r="C626" s="38" t="e">
        <f t="shared" si="1261"/>
        <v>#N/A</v>
      </c>
      <c r="D626" s="39" t="e">
        <f t="shared" si="1261"/>
        <v>#N/A</v>
      </c>
      <c r="E626" s="16" t="e">
        <f t="shared" si="1"/>
        <v>#N/A</v>
      </c>
      <c r="F626" s="16" t="e">
        <f t="shared" ref="F626:K626" si="1262">VLOOKUP($A626,[2]Educación!$A$1:$O$276,F$1,0)</f>
        <v>#N/A</v>
      </c>
      <c r="G626" s="39" t="e">
        <f t="shared" si="1262"/>
        <v>#N/A</v>
      </c>
      <c r="H626" s="16" t="e">
        <f t="shared" si="1262"/>
        <v>#N/A</v>
      </c>
      <c r="I626" s="16" t="e">
        <f t="shared" si="1262"/>
        <v>#N/A</v>
      </c>
      <c r="J626" s="40" t="e">
        <f t="shared" si="1262"/>
        <v>#N/A</v>
      </c>
      <c r="K626" s="16" t="e">
        <f t="shared" si="1262"/>
        <v>#N/A</v>
      </c>
      <c r="L626" s="40" t="e">
        <f t="shared" si="1213"/>
        <v>#N/A</v>
      </c>
      <c r="M626" s="16" t="e">
        <f t="shared" si="1214"/>
        <v>#N/A</v>
      </c>
      <c r="N626" s="16" t="e">
        <f t="shared" si="1215"/>
        <v>#N/A</v>
      </c>
      <c r="O626" s="16" t="s">
        <v>66</v>
      </c>
      <c r="P626" s="16" t="str">
        <f t="shared" si="6"/>
        <v/>
      </c>
      <c r="Q626" s="41" t="e">
        <f t="shared" si="1216"/>
        <v>#N/A</v>
      </c>
      <c r="R626" s="44"/>
      <c r="S626" s="44"/>
      <c r="T626" s="43"/>
      <c r="U626" s="43" t="str">
        <f t="shared" si="8"/>
        <v>No</v>
      </c>
      <c r="V626" s="25"/>
      <c r="W626" s="25"/>
      <c r="X626" s="25"/>
      <c r="Y626" s="25"/>
      <c r="Z626" s="25"/>
    </row>
    <row r="627" spans="1:26" ht="15.75" customHeight="1" x14ac:dyDescent="0.25">
      <c r="A627" s="25">
        <v>625</v>
      </c>
      <c r="B627" s="37" t="e">
        <f t="shared" ref="B627:D627" si="1263">VLOOKUP($A627,[2]Educación!$A$1:$O$276,B$1,0)</f>
        <v>#N/A</v>
      </c>
      <c r="C627" s="38" t="e">
        <f t="shared" si="1263"/>
        <v>#N/A</v>
      </c>
      <c r="D627" s="39" t="e">
        <f t="shared" si="1263"/>
        <v>#N/A</v>
      </c>
      <c r="E627" s="16" t="e">
        <f t="shared" si="1"/>
        <v>#N/A</v>
      </c>
      <c r="F627" s="16" t="e">
        <f t="shared" ref="F627:K627" si="1264">VLOOKUP($A627,[2]Educación!$A$1:$O$276,F$1,0)</f>
        <v>#N/A</v>
      </c>
      <c r="G627" s="39" t="e">
        <f t="shared" si="1264"/>
        <v>#N/A</v>
      </c>
      <c r="H627" s="16" t="e">
        <f t="shared" si="1264"/>
        <v>#N/A</v>
      </c>
      <c r="I627" s="16" t="e">
        <f t="shared" si="1264"/>
        <v>#N/A</v>
      </c>
      <c r="J627" s="40" t="e">
        <f t="shared" si="1264"/>
        <v>#N/A</v>
      </c>
      <c r="K627" s="16" t="e">
        <f t="shared" si="1264"/>
        <v>#N/A</v>
      </c>
      <c r="L627" s="40" t="e">
        <f t="shared" si="1213"/>
        <v>#N/A</v>
      </c>
      <c r="M627" s="16" t="e">
        <f t="shared" si="1214"/>
        <v>#N/A</v>
      </c>
      <c r="N627" s="16" t="e">
        <f t="shared" si="1215"/>
        <v>#N/A</v>
      </c>
      <c r="O627" s="16" t="s">
        <v>66</v>
      </c>
      <c r="P627" s="16" t="str">
        <f t="shared" si="6"/>
        <v/>
      </c>
      <c r="Q627" s="41" t="e">
        <f t="shared" si="1216"/>
        <v>#N/A</v>
      </c>
      <c r="R627" s="44"/>
      <c r="S627" s="44"/>
      <c r="T627" s="43"/>
      <c r="U627" s="43" t="str">
        <f t="shared" si="8"/>
        <v>No</v>
      </c>
      <c r="V627" s="25"/>
      <c r="W627" s="25"/>
      <c r="X627" s="25"/>
      <c r="Y627" s="25"/>
      <c r="Z627" s="25"/>
    </row>
    <row r="628" spans="1:26" ht="15.75" customHeight="1" x14ac:dyDescent="0.25">
      <c r="A628" s="25">
        <v>626</v>
      </c>
      <c r="B628" s="37" t="e">
        <f t="shared" ref="B628:D628" si="1265">VLOOKUP($A628,[2]Educación!$A$1:$O$276,B$1,0)</f>
        <v>#N/A</v>
      </c>
      <c r="C628" s="38" t="e">
        <f t="shared" si="1265"/>
        <v>#N/A</v>
      </c>
      <c r="D628" s="39" t="e">
        <f t="shared" si="1265"/>
        <v>#N/A</v>
      </c>
      <c r="E628" s="16" t="e">
        <f t="shared" si="1"/>
        <v>#N/A</v>
      </c>
      <c r="F628" s="16" t="e">
        <f t="shared" ref="F628:K628" si="1266">VLOOKUP($A628,[2]Educación!$A$1:$O$276,F$1,0)</f>
        <v>#N/A</v>
      </c>
      <c r="G628" s="39" t="e">
        <f t="shared" si="1266"/>
        <v>#N/A</v>
      </c>
      <c r="H628" s="16" t="e">
        <f t="shared" si="1266"/>
        <v>#N/A</v>
      </c>
      <c r="I628" s="16" t="e">
        <f t="shared" si="1266"/>
        <v>#N/A</v>
      </c>
      <c r="J628" s="40" t="e">
        <f t="shared" si="1266"/>
        <v>#N/A</v>
      </c>
      <c r="K628" s="16" t="e">
        <f t="shared" si="1266"/>
        <v>#N/A</v>
      </c>
      <c r="L628" s="40" t="e">
        <f t="shared" si="1213"/>
        <v>#N/A</v>
      </c>
      <c r="M628" s="16" t="e">
        <f t="shared" si="1214"/>
        <v>#N/A</v>
      </c>
      <c r="N628" s="16" t="e">
        <f t="shared" si="1215"/>
        <v>#N/A</v>
      </c>
      <c r="O628" s="16" t="s">
        <v>66</v>
      </c>
      <c r="P628" s="16" t="str">
        <f t="shared" si="6"/>
        <v/>
      </c>
      <c r="Q628" s="41" t="e">
        <f t="shared" si="1216"/>
        <v>#N/A</v>
      </c>
      <c r="R628" s="44"/>
      <c r="S628" s="44"/>
      <c r="T628" s="43"/>
      <c r="U628" s="43" t="str">
        <f t="shared" si="8"/>
        <v>No</v>
      </c>
      <c r="V628" s="25"/>
      <c r="W628" s="25"/>
      <c r="X628" s="25"/>
      <c r="Y628" s="25"/>
      <c r="Z628" s="25"/>
    </row>
    <row r="629" spans="1:26" ht="15.75" customHeight="1" x14ac:dyDescent="0.25">
      <c r="A629" s="25">
        <v>627</v>
      </c>
      <c r="B629" s="37" t="e">
        <f t="shared" ref="B629:D629" si="1267">VLOOKUP($A629,[2]Educación!$A$1:$O$276,B$1,0)</f>
        <v>#N/A</v>
      </c>
      <c r="C629" s="38" t="e">
        <f t="shared" si="1267"/>
        <v>#N/A</v>
      </c>
      <c r="D629" s="39" t="e">
        <f t="shared" si="1267"/>
        <v>#N/A</v>
      </c>
      <c r="E629" s="16" t="e">
        <f t="shared" si="1"/>
        <v>#N/A</v>
      </c>
      <c r="F629" s="16" t="e">
        <f t="shared" ref="F629:K629" si="1268">VLOOKUP($A629,[2]Educación!$A$1:$O$276,F$1,0)</f>
        <v>#N/A</v>
      </c>
      <c r="G629" s="39" t="e">
        <f t="shared" si="1268"/>
        <v>#N/A</v>
      </c>
      <c r="H629" s="16" t="e">
        <f t="shared" si="1268"/>
        <v>#N/A</v>
      </c>
      <c r="I629" s="16" t="e">
        <f t="shared" si="1268"/>
        <v>#N/A</v>
      </c>
      <c r="J629" s="40" t="e">
        <f t="shared" si="1268"/>
        <v>#N/A</v>
      </c>
      <c r="K629" s="16" t="e">
        <f t="shared" si="1268"/>
        <v>#N/A</v>
      </c>
      <c r="L629" s="40" t="e">
        <f t="shared" si="1213"/>
        <v>#N/A</v>
      </c>
      <c r="M629" s="16" t="e">
        <f t="shared" si="1214"/>
        <v>#N/A</v>
      </c>
      <c r="N629" s="16" t="e">
        <f t="shared" si="1215"/>
        <v>#N/A</v>
      </c>
      <c r="O629" s="16" t="s">
        <v>66</v>
      </c>
      <c r="P629" s="16" t="str">
        <f t="shared" si="6"/>
        <v/>
      </c>
      <c r="Q629" s="41" t="e">
        <f t="shared" si="1216"/>
        <v>#N/A</v>
      </c>
      <c r="R629" s="44"/>
      <c r="S629" s="44"/>
      <c r="T629" s="43"/>
      <c r="U629" s="43" t="str">
        <f t="shared" si="8"/>
        <v>No</v>
      </c>
      <c r="V629" s="25"/>
      <c r="W629" s="25"/>
      <c r="X629" s="25"/>
      <c r="Y629" s="25"/>
      <c r="Z629" s="25"/>
    </row>
    <row r="630" spans="1:26" ht="15.75" customHeight="1" x14ac:dyDescent="0.25">
      <c r="A630" s="25">
        <v>628</v>
      </c>
      <c r="B630" s="37" t="e">
        <f t="shared" ref="B630:D630" si="1269">VLOOKUP($A630,[2]Educación!$A$1:$O$276,B$1,0)</f>
        <v>#N/A</v>
      </c>
      <c r="C630" s="38" t="e">
        <f t="shared" si="1269"/>
        <v>#N/A</v>
      </c>
      <c r="D630" s="39" t="e">
        <f t="shared" si="1269"/>
        <v>#N/A</v>
      </c>
      <c r="E630" s="16" t="e">
        <f t="shared" si="1"/>
        <v>#N/A</v>
      </c>
      <c r="F630" s="16" t="e">
        <f t="shared" ref="F630:K630" si="1270">VLOOKUP($A630,[2]Educación!$A$1:$O$276,F$1,0)</f>
        <v>#N/A</v>
      </c>
      <c r="G630" s="39" t="e">
        <f t="shared" si="1270"/>
        <v>#N/A</v>
      </c>
      <c r="H630" s="16" t="e">
        <f t="shared" si="1270"/>
        <v>#N/A</v>
      </c>
      <c r="I630" s="16" t="e">
        <f t="shared" si="1270"/>
        <v>#N/A</v>
      </c>
      <c r="J630" s="40" t="e">
        <f t="shared" si="1270"/>
        <v>#N/A</v>
      </c>
      <c r="K630" s="16" t="e">
        <f t="shared" si="1270"/>
        <v>#N/A</v>
      </c>
      <c r="L630" s="40" t="e">
        <f t="shared" si="1213"/>
        <v>#N/A</v>
      </c>
      <c r="M630" s="16" t="e">
        <f t="shared" si="1214"/>
        <v>#N/A</v>
      </c>
      <c r="N630" s="16" t="e">
        <f t="shared" si="1215"/>
        <v>#N/A</v>
      </c>
      <c r="O630" s="16" t="s">
        <v>66</v>
      </c>
      <c r="P630" s="16" t="str">
        <f t="shared" si="6"/>
        <v/>
      </c>
      <c r="Q630" s="41" t="e">
        <f t="shared" si="1216"/>
        <v>#N/A</v>
      </c>
      <c r="R630" s="44"/>
      <c r="S630" s="44"/>
      <c r="T630" s="43"/>
      <c r="U630" s="43" t="str">
        <f t="shared" si="8"/>
        <v>No</v>
      </c>
      <c r="V630" s="25"/>
      <c r="W630" s="25"/>
      <c r="X630" s="25"/>
      <c r="Y630" s="25"/>
      <c r="Z630" s="25"/>
    </row>
    <row r="631" spans="1:26" ht="15.75" customHeight="1" x14ac:dyDescent="0.25">
      <c r="A631" s="25">
        <v>629</v>
      </c>
      <c r="B631" s="37" t="e">
        <f t="shared" ref="B631:D631" si="1271">VLOOKUP($A631,[2]Educación!$A$1:$O$276,B$1,0)</f>
        <v>#N/A</v>
      </c>
      <c r="C631" s="38" t="e">
        <f t="shared" si="1271"/>
        <v>#N/A</v>
      </c>
      <c r="D631" s="39" t="e">
        <f t="shared" si="1271"/>
        <v>#N/A</v>
      </c>
      <c r="E631" s="16" t="e">
        <f t="shared" si="1"/>
        <v>#N/A</v>
      </c>
      <c r="F631" s="16" t="e">
        <f t="shared" ref="F631:K631" si="1272">VLOOKUP($A631,[2]Educación!$A$1:$O$276,F$1,0)</f>
        <v>#N/A</v>
      </c>
      <c r="G631" s="39" t="e">
        <f t="shared" si="1272"/>
        <v>#N/A</v>
      </c>
      <c r="H631" s="16" t="e">
        <f t="shared" si="1272"/>
        <v>#N/A</v>
      </c>
      <c r="I631" s="16" t="e">
        <f t="shared" si="1272"/>
        <v>#N/A</v>
      </c>
      <c r="J631" s="40" t="e">
        <f t="shared" si="1272"/>
        <v>#N/A</v>
      </c>
      <c r="K631" s="16" t="e">
        <f t="shared" si="1272"/>
        <v>#N/A</v>
      </c>
      <c r="L631" s="40" t="e">
        <f t="shared" si="1213"/>
        <v>#N/A</v>
      </c>
      <c r="M631" s="16" t="e">
        <f t="shared" si="1214"/>
        <v>#N/A</v>
      </c>
      <c r="N631" s="16" t="e">
        <f t="shared" si="1215"/>
        <v>#N/A</v>
      </c>
      <c r="O631" s="16" t="s">
        <v>66</v>
      </c>
      <c r="P631" s="16" t="str">
        <f t="shared" si="6"/>
        <v/>
      </c>
      <c r="Q631" s="41" t="e">
        <f t="shared" si="1216"/>
        <v>#N/A</v>
      </c>
      <c r="R631" s="44"/>
      <c r="S631" s="44"/>
      <c r="T631" s="43"/>
      <c r="U631" s="43" t="str">
        <f t="shared" si="8"/>
        <v>No</v>
      </c>
      <c r="V631" s="25"/>
      <c r="W631" s="25"/>
      <c r="X631" s="25"/>
      <c r="Y631" s="25"/>
      <c r="Z631" s="25"/>
    </row>
    <row r="632" spans="1:26" ht="15.75" customHeight="1" x14ac:dyDescent="0.25">
      <c r="A632" s="25">
        <v>630</v>
      </c>
      <c r="B632" s="37" t="e">
        <f t="shared" ref="B632:D632" si="1273">VLOOKUP($A632,[2]Educación!$A$1:$O$276,B$1,0)</f>
        <v>#N/A</v>
      </c>
      <c r="C632" s="38" t="e">
        <f t="shared" si="1273"/>
        <v>#N/A</v>
      </c>
      <c r="D632" s="39" t="e">
        <f t="shared" si="1273"/>
        <v>#N/A</v>
      </c>
      <c r="E632" s="16" t="e">
        <f t="shared" si="1"/>
        <v>#N/A</v>
      </c>
      <c r="F632" s="16" t="e">
        <f t="shared" ref="F632:K632" si="1274">VLOOKUP($A632,[2]Educación!$A$1:$O$276,F$1,0)</f>
        <v>#N/A</v>
      </c>
      <c r="G632" s="39" t="e">
        <f t="shared" si="1274"/>
        <v>#N/A</v>
      </c>
      <c r="H632" s="16" t="e">
        <f t="shared" si="1274"/>
        <v>#N/A</v>
      </c>
      <c r="I632" s="16" t="e">
        <f t="shared" si="1274"/>
        <v>#N/A</v>
      </c>
      <c r="J632" s="40" t="e">
        <f t="shared" si="1274"/>
        <v>#N/A</v>
      </c>
      <c r="K632" s="16" t="e">
        <f t="shared" si="1274"/>
        <v>#N/A</v>
      </c>
      <c r="L632" s="40" t="e">
        <f t="shared" si="1213"/>
        <v>#N/A</v>
      </c>
      <c r="M632" s="16" t="e">
        <f t="shared" si="1214"/>
        <v>#N/A</v>
      </c>
      <c r="N632" s="16" t="e">
        <f t="shared" si="1215"/>
        <v>#N/A</v>
      </c>
      <c r="O632" s="16" t="s">
        <v>66</v>
      </c>
      <c r="P632" s="16" t="str">
        <f t="shared" si="6"/>
        <v/>
      </c>
      <c r="Q632" s="41" t="e">
        <f t="shared" si="1216"/>
        <v>#N/A</v>
      </c>
      <c r="R632" s="44"/>
      <c r="S632" s="44"/>
      <c r="T632" s="43"/>
      <c r="U632" s="43" t="str">
        <f t="shared" si="8"/>
        <v>No</v>
      </c>
      <c r="V632" s="25"/>
      <c r="W632" s="25"/>
      <c r="X632" s="25"/>
      <c r="Y632" s="25"/>
      <c r="Z632" s="25"/>
    </row>
    <row r="633" spans="1:26" ht="15.75" customHeight="1" x14ac:dyDescent="0.25">
      <c r="A633" s="25">
        <v>631</v>
      </c>
      <c r="B633" s="37" t="e">
        <f t="shared" ref="B633:D633" si="1275">VLOOKUP($A633,[2]Educación!$A$1:$O$276,B$1,0)</f>
        <v>#N/A</v>
      </c>
      <c r="C633" s="38" t="e">
        <f t="shared" si="1275"/>
        <v>#N/A</v>
      </c>
      <c r="D633" s="39" t="e">
        <f t="shared" si="1275"/>
        <v>#N/A</v>
      </c>
      <c r="E633" s="16" t="e">
        <f t="shared" si="1"/>
        <v>#N/A</v>
      </c>
      <c r="F633" s="16" t="e">
        <f t="shared" ref="F633:K633" si="1276">VLOOKUP($A633,[2]Educación!$A$1:$O$276,F$1,0)</f>
        <v>#N/A</v>
      </c>
      <c r="G633" s="39" t="e">
        <f t="shared" si="1276"/>
        <v>#N/A</v>
      </c>
      <c r="H633" s="16" t="e">
        <f t="shared" si="1276"/>
        <v>#N/A</v>
      </c>
      <c r="I633" s="16" t="e">
        <f t="shared" si="1276"/>
        <v>#N/A</v>
      </c>
      <c r="J633" s="40" t="e">
        <f t="shared" si="1276"/>
        <v>#N/A</v>
      </c>
      <c r="K633" s="16" t="e">
        <f t="shared" si="1276"/>
        <v>#N/A</v>
      </c>
      <c r="L633" s="40" t="e">
        <f t="shared" si="1213"/>
        <v>#N/A</v>
      </c>
      <c r="M633" s="16" t="e">
        <f t="shared" si="1214"/>
        <v>#N/A</v>
      </c>
      <c r="N633" s="16" t="e">
        <f t="shared" si="1215"/>
        <v>#N/A</v>
      </c>
      <c r="O633" s="16" t="s">
        <v>66</v>
      </c>
      <c r="P633" s="16" t="str">
        <f t="shared" si="6"/>
        <v/>
      </c>
      <c r="Q633" s="41" t="e">
        <f t="shared" si="1216"/>
        <v>#N/A</v>
      </c>
      <c r="R633" s="44"/>
      <c r="S633" s="44"/>
      <c r="T633" s="43"/>
      <c r="U633" s="43" t="str">
        <f t="shared" si="8"/>
        <v>No</v>
      </c>
      <c r="V633" s="25"/>
      <c r="W633" s="25"/>
      <c r="X633" s="25"/>
      <c r="Y633" s="25"/>
      <c r="Z633" s="25"/>
    </row>
    <row r="634" spans="1:26" ht="15.75" customHeight="1" x14ac:dyDescent="0.25">
      <c r="A634" s="25">
        <v>632</v>
      </c>
      <c r="B634" s="37" t="e">
        <f t="shared" ref="B634:D634" si="1277">VLOOKUP($A634,[2]Educación!$A$1:$O$276,B$1,0)</f>
        <v>#N/A</v>
      </c>
      <c r="C634" s="38" t="e">
        <f t="shared" si="1277"/>
        <v>#N/A</v>
      </c>
      <c r="D634" s="39" t="e">
        <f t="shared" si="1277"/>
        <v>#N/A</v>
      </c>
      <c r="E634" s="16" t="e">
        <f t="shared" si="1"/>
        <v>#N/A</v>
      </c>
      <c r="F634" s="16" t="e">
        <f t="shared" ref="F634:K634" si="1278">VLOOKUP($A634,[2]Educación!$A$1:$O$276,F$1,0)</f>
        <v>#N/A</v>
      </c>
      <c r="G634" s="39" t="e">
        <f t="shared" si="1278"/>
        <v>#N/A</v>
      </c>
      <c r="H634" s="16" t="e">
        <f t="shared" si="1278"/>
        <v>#N/A</v>
      </c>
      <c r="I634" s="16" t="e">
        <f t="shared" si="1278"/>
        <v>#N/A</v>
      </c>
      <c r="J634" s="40" t="e">
        <f t="shared" si="1278"/>
        <v>#N/A</v>
      </c>
      <c r="K634" s="16" t="e">
        <f t="shared" si="1278"/>
        <v>#N/A</v>
      </c>
      <c r="L634" s="40" t="e">
        <f t="shared" si="1213"/>
        <v>#N/A</v>
      </c>
      <c r="M634" s="16" t="e">
        <f t="shared" si="1214"/>
        <v>#N/A</v>
      </c>
      <c r="N634" s="16" t="e">
        <f t="shared" si="1215"/>
        <v>#N/A</v>
      </c>
      <c r="O634" s="16" t="s">
        <v>66</v>
      </c>
      <c r="P634" s="16" t="str">
        <f t="shared" si="6"/>
        <v/>
      </c>
      <c r="Q634" s="41" t="e">
        <f t="shared" si="1216"/>
        <v>#N/A</v>
      </c>
      <c r="R634" s="44"/>
      <c r="S634" s="44"/>
      <c r="T634" s="43"/>
      <c r="U634" s="43" t="str">
        <f t="shared" si="8"/>
        <v>No</v>
      </c>
      <c r="V634" s="25"/>
      <c r="W634" s="25"/>
      <c r="X634" s="25"/>
      <c r="Y634" s="25"/>
      <c r="Z634" s="25"/>
    </row>
    <row r="635" spans="1:26" ht="15.75" customHeight="1" x14ac:dyDescent="0.25">
      <c r="A635" s="25">
        <v>633</v>
      </c>
      <c r="B635" s="37" t="e">
        <f t="shared" ref="B635:D635" si="1279">VLOOKUP($A635,[2]Educación!$A$1:$O$276,B$1,0)</f>
        <v>#N/A</v>
      </c>
      <c r="C635" s="38" t="e">
        <f t="shared" si="1279"/>
        <v>#N/A</v>
      </c>
      <c r="D635" s="39" t="e">
        <f t="shared" si="1279"/>
        <v>#N/A</v>
      </c>
      <c r="E635" s="16" t="e">
        <f t="shared" si="1"/>
        <v>#N/A</v>
      </c>
      <c r="F635" s="16" t="e">
        <f t="shared" ref="F635:K635" si="1280">VLOOKUP($A635,[2]Educación!$A$1:$O$276,F$1,0)</f>
        <v>#N/A</v>
      </c>
      <c r="G635" s="39" t="e">
        <f t="shared" si="1280"/>
        <v>#N/A</v>
      </c>
      <c r="H635" s="16" t="e">
        <f t="shared" si="1280"/>
        <v>#N/A</v>
      </c>
      <c r="I635" s="16" t="e">
        <f t="shared" si="1280"/>
        <v>#N/A</v>
      </c>
      <c r="J635" s="40" t="e">
        <f t="shared" si="1280"/>
        <v>#N/A</v>
      </c>
      <c r="K635" s="16" t="e">
        <f t="shared" si="1280"/>
        <v>#N/A</v>
      </c>
      <c r="L635" s="40" t="e">
        <f t="shared" si="1213"/>
        <v>#N/A</v>
      </c>
      <c r="M635" s="16" t="e">
        <f t="shared" si="1214"/>
        <v>#N/A</v>
      </c>
      <c r="N635" s="16" t="e">
        <f t="shared" si="1215"/>
        <v>#N/A</v>
      </c>
      <c r="O635" s="16" t="s">
        <v>66</v>
      </c>
      <c r="P635" s="16" t="str">
        <f t="shared" si="6"/>
        <v/>
      </c>
      <c r="Q635" s="41" t="e">
        <f t="shared" si="1216"/>
        <v>#N/A</v>
      </c>
      <c r="R635" s="44"/>
      <c r="S635" s="44"/>
      <c r="T635" s="43"/>
      <c r="U635" s="43" t="str">
        <f t="shared" si="8"/>
        <v>No</v>
      </c>
      <c r="V635" s="25"/>
      <c r="W635" s="25"/>
      <c r="X635" s="25"/>
      <c r="Y635" s="25"/>
      <c r="Z635" s="25"/>
    </row>
    <row r="636" spans="1:26" ht="15.75" customHeight="1" x14ac:dyDescent="0.25">
      <c r="A636" s="25">
        <v>634</v>
      </c>
      <c r="B636" s="37" t="e">
        <f t="shared" ref="B636:D636" si="1281">VLOOKUP($A636,[2]Educación!$A$1:$O$276,B$1,0)</f>
        <v>#N/A</v>
      </c>
      <c r="C636" s="38" t="e">
        <f t="shared" si="1281"/>
        <v>#N/A</v>
      </c>
      <c r="D636" s="39" t="e">
        <f t="shared" si="1281"/>
        <v>#N/A</v>
      </c>
      <c r="E636" s="16" t="e">
        <f t="shared" si="1"/>
        <v>#N/A</v>
      </c>
      <c r="F636" s="16" t="e">
        <f t="shared" ref="F636:K636" si="1282">VLOOKUP($A636,[2]Educación!$A$1:$O$276,F$1,0)</f>
        <v>#N/A</v>
      </c>
      <c r="G636" s="39" t="e">
        <f t="shared" si="1282"/>
        <v>#N/A</v>
      </c>
      <c r="H636" s="16" t="e">
        <f t="shared" si="1282"/>
        <v>#N/A</v>
      </c>
      <c r="I636" s="16" t="e">
        <f t="shared" si="1282"/>
        <v>#N/A</v>
      </c>
      <c r="J636" s="40" t="e">
        <f t="shared" si="1282"/>
        <v>#N/A</v>
      </c>
      <c r="K636" s="16" t="e">
        <f t="shared" si="1282"/>
        <v>#N/A</v>
      </c>
      <c r="L636" s="40" t="e">
        <f t="shared" si="1213"/>
        <v>#N/A</v>
      </c>
      <c r="M636" s="16" t="e">
        <f t="shared" si="1214"/>
        <v>#N/A</v>
      </c>
      <c r="N636" s="16" t="e">
        <f t="shared" si="1215"/>
        <v>#N/A</v>
      </c>
      <c r="O636" s="16" t="s">
        <v>66</v>
      </c>
      <c r="P636" s="16" t="str">
        <f t="shared" si="6"/>
        <v/>
      </c>
      <c r="Q636" s="41" t="e">
        <f t="shared" si="1216"/>
        <v>#N/A</v>
      </c>
      <c r="R636" s="44"/>
      <c r="S636" s="44"/>
      <c r="T636" s="43"/>
      <c r="U636" s="43" t="str">
        <f t="shared" si="8"/>
        <v>No</v>
      </c>
      <c r="V636" s="25"/>
      <c r="W636" s="25"/>
      <c r="X636" s="25"/>
      <c r="Y636" s="25"/>
      <c r="Z636" s="25"/>
    </row>
    <row r="637" spans="1:26" ht="15.75" customHeight="1" x14ac:dyDescent="0.25">
      <c r="A637" s="25">
        <v>635</v>
      </c>
      <c r="B637" s="37" t="e">
        <f t="shared" ref="B637:D637" si="1283">VLOOKUP($A637,[2]Educación!$A$1:$O$276,B$1,0)</f>
        <v>#N/A</v>
      </c>
      <c r="C637" s="38" t="e">
        <f t="shared" si="1283"/>
        <v>#N/A</v>
      </c>
      <c r="D637" s="39" t="e">
        <f t="shared" si="1283"/>
        <v>#N/A</v>
      </c>
      <c r="E637" s="16" t="e">
        <f t="shared" si="1"/>
        <v>#N/A</v>
      </c>
      <c r="F637" s="16" t="e">
        <f t="shared" ref="F637:K637" si="1284">VLOOKUP($A637,[2]Educación!$A$1:$O$276,F$1,0)</f>
        <v>#N/A</v>
      </c>
      <c r="G637" s="39" t="e">
        <f t="shared" si="1284"/>
        <v>#N/A</v>
      </c>
      <c r="H637" s="16" t="e">
        <f t="shared" si="1284"/>
        <v>#N/A</v>
      </c>
      <c r="I637" s="16" t="e">
        <f t="shared" si="1284"/>
        <v>#N/A</v>
      </c>
      <c r="J637" s="40" t="e">
        <f t="shared" si="1284"/>
        <v>#N/A</v>
      </c>
      <c r="K637" s="16" t="e">
        <f t="shared" si="1284"/>
        <v>#N/A</v>
      </c>
      <c r="L637" s="40" t="e">
        <f t="shared" si="1213"/>
        <v>#N/A</v>
      </c>
      <c r="M637" s="16" t="e">
        <f t="shared" si="1214"/>
        <v>#N/A</v>
      </c>
      <c r="N637" s="16" t="e">
        <f t="shared" si="1215"/>
        <v>#N/A</v>
      </c>
      <c r="O637" s="16" t="s">
        <v>66</v>
      </c>
      <c r="P637" s="16" t="str">
        <f t="shared" si="6"/>
        <v/>
      </c>
      <c r="Q637" s="41" t="e">
        <f t="shared" si="1216"/>
        <v>#N/A</v>
      </c>
      <c r="R637" s="44"/>
      <c r="S637" s="44"/>
      <c r="T637" s="43"/>
      <c r="U637" s="43" t="str">
        <f t="shared" si="8"/>
        <v>No</v>
      </c>
      <c r="V637" s="25"/>
      <c r="W637" s="25"/>
      <c r="X637" s="25"/>
      <c r="Y637" s="25"/>
      <c r="Z637" s="25"/>
    </row>
    <row r="638" spans="1:26" ht="15.75" customHeight="1" x14ac:dyDescent="0.25">
      <c r="A638" s="25">
        <v>636</v>
      </c>
      <c r="B638" s="37" t="e">
        <f t="shared" ref="B638:D638" si="1285">VLOOKUP($A638,[2]Educación!$A$1:$O$276,B$1,0)</f>
        <v>#N/A</v>
      </c>
      <c r="C638" s="38" t="e">
        <f t="shared" si="1285"/>
        <v>#N/A</v>
      </c>
      <c r="D638" s="39" t="e">
        <f t="shared" si="1285"/>
        <v>#N/A</v>
      </c>
      <c r="E638" s="16" t="e">
        <f t="shared" si="1"/>
        <v>#N/A</v>
      </c>
      <c r="F638" s="16" t="e">
        <f t="shared" ref="F638:K638" si="1286">VLOOKUP($A638,[2]Educación!$A$1:$O$276,F$1,0)</f>
        <v>#N/A</v>
      </c>
      <c r="G638" s="39" t="e">
        <f t="shared" si="1286"/>
        <v>#N/A</v>
      </c>
      <c r="H638" s="16" t="e">
        <f t="shared" si="1286"/>
        <v>#N/A</v>
      </c>
      <c r="I638" s="16" t="e">
        <f t="shared" si="1286"/>
        <v>#N/A</v>
      </c>
      <c r="J638" s="40" t="e">
        <f t="shared" si="1286"/>
        <v>#N/A</v>
      </c>
      <c r="K638" s="16" t="e">
        <f t="shared" si="1286"/>
        <v>#N/A</v>
      </c>
      <c r="L638" s="40" t="e">
        <f t="shared" si="1213"/>
        <v>#N/A</v>
      </c>
      <c r="M638" s="16" t="e">
        <f t="shared" si="1214"/>
        <v>#N/A</v>
      </c>
      <c r="N638" s="16" t="e">
        <f t="shared" si="1215"/>
        <v>#N/A</v>
      </c>
      <c r="O638" s="16" t="s">
        <v>66</v>
      </c>
      <c r="P638" s="16" t="str">
        <f t="shared" si="6"/>
        <v/>
      </c>
      <c r="Q638" s="41" t="e">
        <f t="shared" si="1216"/>
        <v>#N/A</v>
      </c>
      <c r="R638" s="44"/>
      <c r="S638" s="44"/>
      <c r="T638" s="43"/>
      <c r="U638" s="43" t="str">
        <f t="shared" si="8"/>
        <v>No</v>
      </c>
      <c r="V638" s="25"/>
      <c r="W638" s="25"/>
      <c r="X638" s="25"/>
      <c r="Y638" s="25"/>
      <c r="Z638" s="25"/>
    </row>
    <row r="639" spans="1:26" ht="15.75" customHeight="1" x14ac:dyDescent="0.25">
      <c r="A639" s="25">
        <v>637</v>
      </c>
      <c r="B639" s="37" t="e">
        <f t="shared" ref="B639:D639" si="1287">VLOOKUP($A639,[2]Educación!$A$1:$O$276,B$1,0)</f>
        <v>#N/A</v>
      </c>
      <c r="C639" s="38" t="e">
        <f t="shared" si="1287"/>
        <v>#N/A</v>
      </c>
      <c r="D639" s="39" t="e">
        <f t="shared" si="1287"/>
        <v>#N/A</v>
      </c>
      <c r="E639" s="16" t="e">
        <f t="shared" si="1"/>
        <v>#N/A</v>
      </c>
      <c r="F639" s="16" t="e">
        <f t="shared" ref="F639:K639" si="1288">VLOOKUP($A639,[2]Educación!$A$1:$O$276,F$1,0)</f>
        <v>#N/A</v>
      </c>
      <c r="G639" s="39" t="e">
        <f t="shared" si="1288"/>
        <v>#N/A</v>
      </c>
      <c r="H639" s="16" t="e">
        <f t="shared" si="1288"/>
        <v>#N/A</v>
      </c>
      <c r="I639" s="16" t="e">
        <f t="shared" si="1288"/>
        <v>#N/A</v>
      </c>
      <c r="J639" s="40" t="e">
        <f t="shared" si="1288"/>
        <v>#N/A</v>
      </c>
      <c r="K639" s="16" t="e">
        <f t="shared" si="1288"/>
        <v>#N/A</v>
      </c>
      <c r="L639" s="40" t="e">
        <f t="shared" si="1213"/>
        <v>#N/A</v>
      </c>
      <c r="M639" s="16" t="e">
        <f t="shared" si="1214"/>
        <v>#N/A</v>
      </c>
      <c r="N639" s="16" t="e">
        <f t="shared" si="1215"/>
        <v>#N/A</v>
      </c>
      <c r="O639" s="16" t="s">
        <v>66</v>
      </c>
      <c r="P639" s="16" t="str">
        <f t="shared" si="6"/>
        <v/>
      </c>
      <c r="Q639" s="41" t="e">
        <f t="shared" si="1216"/>
        <v>#N/A</v>
      </c>
      <c r="R639" s="44"/>
      <c r="S639" s="44"/>
      <c r="T639" s="43"/>
      <c r="U639" s="43" t="str">
        <f t="shared" si="8"/>
        <v>No</v>
      </c>
      <c r="V639" s="25"/>
      <c r="W639" s="25"/>
      <c r="X639" s="25"/>
      <c r="Y639" s="25"/>
      <c r="Z639" s="25"/>
    </row>
    <row r="640" spans="1:26" ht="15.75" customHeight="1" x14ac:dyDescent="0.25">
      <c r="A640" s="25">
        <v>638</v>
      </c>
      <c r="B640" s="37" t="e">
        <f t="shared" ref="B640:D640" si="1289">VLOOKUP($A640,[2]Educación!$A$1:$O$276,B$1,0)</f>
        <v>#N/A</v>
      </c>
      <c r="C640" s="38" t="e">
        <f t="shared" si="1289"/>
        <v>#N/A</v>
      </c>
      <c r="D640" s="39" t="e">
        <f t="shared" si="1289"/>
        <v>#N/A</v>
      </c>
      <c r="E640" s="16" t="e">
        <f t="shared" si="1"/>
        <v>#N/A</v>
      </c>
      <c r="F640" s="16" t="e">
        <f t="shared" ref="F640:K640" si="1290">VLOOKUP($A640,[2]Educación!$A$1:$O$276,F$1,0)</f>
        <v>#N/A</v>
      </c>
      <c r="G640" s="39" t="e">
        <f t="shared" si="1290"/>
        <v>#N/A</v>
      </c>
      <c r="H640" s="16" t="e">
        <f t="shared" si="1290"/>
        <v>#N/A</v>
      </c>
      <c r="I640" s="16" t="e">
        <f t="shared" si="1290"/>
        <v>#N/A</v>
      </c>
      <c r="J640" s="40" t="e">
        <f t="shared" si="1290"/>
        <v>#N/A</v>
      </c>
      <c r="K640" s="16" t="e">
        <f t="shared" si="1290"/>
        <v>#N/A</v>
      </c>
      <c r="L640" s="40" t="e">
        <f t="shared" si="1213"/>
        <v>#N/A</v>
      </c>
      <c r="M640" s="16" t="e">
        <f t="shared" si="1214"/>
        <v>#N/A</v>
      </c>
      <c r="N640" s="16" t="e">
        <f t="shared" si="1215"/>
        <v>#N/A</v>
      </c>
      <c r="O640" s="16" t="s">
        <v>66</v>
      </c>
      <c r="P640" s="16" t="str">
        <f t="shared" si="6"/>
        <v/>
      </c>
      <c r="Q640" s="41" t="e">
        <f t="shared" si="1216"/>
        <v>#N/A</v>
      </c>
      <c r="R640" s="44"/>
      <c r="S640" s="44"/>
      <c r="T640" s="43"/>
      <c r="U640" s="43" t="str">
        <f t="shared" si="8"/>
        <v>No</v>
      </c>
      <c r="V640" s="25"/>
      <c r="W640" s="25"/>
      <c r="X640" s="25"/>
      <c r="Y640" s="25"/>
      <c r="Z640" s="25"/>
    </row>
    <row r="641" spans="1:26" ht="15.75" customHeight="1" x14ac:dyDescent="0.25">
      <c r="A641" s="25">
        <v>639</v>
      </c>
      <c r="B641" s="37" t="e">
        <f t="shared" ref="B641:D641" si="1291">VLOOKUP($A641,[2]Educación!$A$1:$O$276,B$1,0)</f>
        <v>#N/A</v>
      </c>
      <c r="C641" s="38" t="e">
        <f t="shared" si="1291"/>
        <v>#N/A</v>
      </c>
      <c r="D641" s="39" t="e">
        <f t="shared" si="1291"/>
        <v>#N/A</v>
      </c>
      <c r="E641" s="16" t="e">
        <f t="shared" si="1"/>
        <v>#N/A</v>
      </c>
      <c r="F641" s="16" t="e">
        <f t="shared" ref="F641:K641" si="1292">VLOOKUP($A641,[2]Educación!$A$1:$O$276,F$1,0)</f>
        <v>#N/A</v>
      </c>
      <c r="G641" s="39" t="e">
        <f t="shared" si="1292"/>
        <v>#N/A</v>
      </c>
      <c r="H641" s="16" t="e">
        <f t="shared" si="1292"/>
        <v>#N/A</v>
      </c>
      <c r="I641" s="16" t="e">
        <f t="shared" si="1292"/>
        <v>#N/A</v>
      </c>
      <c r="J641" s="40" t="e">
        <f t="shared" si="1292"/>
        <v>#N/A</v>
      </c>
      <c r="K641" s="16" t="e">
        <f t="shared" si="1292"/>
        <v>#N/A</v>
      </c>
      <c r="L641" s="40" t="e">
        <f t="shared" si="1213"/>
        <v>#N/A</v>
      </c>
      <c r="M641" s="16" t="e">
        <f t="shared" si="1214"/>
        <v>#N/A</v>
      </c>
      <c r="N641" s="16" t="e">
        <f t="shared" si="1215"/>
        <v>#N/A</v>
      </c>
      <c r="O641" s="16" t="s">
        <v>66</v>
      </c>
      <c r="P641" s="16" t="str">
        <f t="shared" si="6"/>
        <v/>
      </c>
      <c r="Q641" s="41" t="e">
        <f t="shared" si="1216"/>
        <v>#N/A</v>
      </c>
      <c r="R641" s="44"/>
      <c r="S641" s="44"/>
      <c r="T641" s="43"/>
      <c r="U641" s="43" t="str">
        <f t="shared" si="8"/>
        <v>No</v>
      </c>
      <c r="V641" s="25"/>
      <c r="W641" s="25"/>
      <c r="X641" s="25"/>
      <c r="Y641" s="25"/>
      <c r="Z641" s="25"/>
    </row>
    <row r="642" spans="1:26" ht="15.75" customHeight="1" x14ac:dyDescent="0.25">
      <c r="A642" s="25">
        <v>640</v>
      </c>
      <c r="B642" s="37" t="e">
        <f t="shared" ref="B642:D642" si="1293">VLOOKUP($A642,[2]Educación!$A$1:$O$276,B$1,0)</f>
        <v>#N/A</v>
      </c>
      <c r="C642" s="38" t="e">
        <f t="shared" si="1293"/>
        <v>#N/A</v>
      </c>
      <c r="D642" s="39" t="e">
        <f t="shared" si="1293"/>
        <v>#N/A</v>
      </c>
      <c r="E642" s="16" t="e">
        <f t="shared" si="1"/>
        <v>#N/A</v>
      </c>
      <c r="F642" s="16" t="e">
        <f t="shared" ref="F642:K642" si="1294">VLOOKUP($A642,[2]Educación!$A$1:$O$276,F$1,0)</f>
        <v>#N/A</v>
      </c>
      <c r="G642" s="39" t="e">
        <f t="shared" si="1294"/>
        <v>#N/A</v>
      </c>
      <c r="H642" s="16" t="e">
        <f t="shared" si="1294"/>
        <v>#N/A</v>
      </c>
      <c r="I642" s="16" t="e">
        <f t="shared" si="1294"/>
        <v>#N/A</v>
      </c>
      <c r="J642" s="40" t="e">
        <f t="shared" si="1294"/>
        <v>#N/A</v>
      </c>
      <c r="K642" s="16" t="e">
        <f t="shared" si="1294"/>
        <v>#N/A</v>
      </c>
      <c r="L642" s="40" t="e">
        <f t="shared" si="1213"/>
        <v>#N/A</v>
      </c>
      <c r="M642" s="16" t="e">
        <f t="shared" si="1214"/>
        <v>#N/A</v>
      </c>
      <c r="N642" s="16" t="e">
        <f t="shared" si="1215"/>
        <v>#N/A</v>
      </c>
      <c r="O642" s="16" t="s">
        <v>66</v>
      </c>
      <c r="P642" s="16" t="str">
        <f t="shared" si="6"/>
        <v/>
      </c>
      <c r="Q642" s="41" t="e">
        <f t="shared" si="1216"/>
        <v>#N/A</v>
      </c>
      <c r="R642" s="44"/>
      <c r="S642" s="44"/>
      <c r="T642" s="43"/>
      <c r="U642" s="43" t="str">
        <f t="shared" si="8"/>
        <v>No</v>
      </c>
      <c r="V642" s="25"/>
      <c r="W642" s="25"/>
      <c r="X642" s="25"/>
      <c r="Y642" s="25"/>
      <c r="Z642" s="25"/>
    </row>
    <row r="643" spans="1:26" ht="15.75" customHeight="1" x14ac:dyDescent="0.25">
      <c r="A643" s="25">
        <v>641</v>
      </c>
      <c r="B643" s="37" t="e">
        <f t="shared" ref="B643:D643" si="1295">VLOOKUP($A643,[2]Educación!$A$1:$O$276,B$1,0)</f>
        <v>#N/A</v>
      </c>
      <c r="C643" s="38" t="e">
        <f t="shared" si="1295"/>
        <v>#N/A</v>
      </c>
      <c r="D643" s="39" t="e">
        <f t="shared" si="1295"/>
        <v>#N/A</v>
      </c>
      <c r="E643" s="16" t="e">
        <f t="shared" si="1"/>
        <v>#N/A</v>
      </c>
      <c r="F643" s="16" t="e">
        <f t="shared" ref="F643:K643" si="1296">VLOOKUP($A643,[2]Educación!$A$1:$O$276,F$1,0)</f>
        <v>#N/A</v>
      </c>
      <c r="G643" s="39" t="e">
        <f t="shared" si="1296"/>
        <v>#N/A</v>
      </c>
      <c r="H643" s="16" t="e">
        <f t="shared" si="1296"/>
        <v>#N/A</v>
      </c>
      <c r="I643" s="16" t="e">
        <f t="shared" si="1296"/>
        <v>#N/A</v>
      </c>
      <c r="J643" s="40" t="e">
        <f t="shared" si="1296"/>
        <v>#N/A</v>
      </c>
      <c r="K643" s="16" t="e">
        <f t="shared" si="1296"/>
        <v>#N/A</v>
      </c>
      <c r="L643" s="40" t="e">
        <f t="shared" si="1213"/>
        <v>#N/A</v>
      </c>
      <c r="M643" s="16" t="e">
        <f t="shared" si="1214"/>
        <v>#N/A</v>
      </c>
      <c r="N643" s="16" t="e">
        <f t="shared" si="1215"/>
        <v>#N/A</v>
      </c>
      <c r="O643" s="16" t="s">
        <v>66</v>
      </c>
      <c r="P643" s="16" t="str">
        <f t="shared" si="6"/>
        <v/>
      </c>
      <c r="Q643" s="41" t="e">
        <f t="shared" si="1216"/>
        <v>#N/A</v>
      </c>
      <c r="R643" s="44"/>
      <c r="S643" s="44"/>
      <c r="T643" s="43"/>
      <c r="U643" s="43" t="str">
        <f t="shared" si="8"/>
        <v>No</v>
      </c>
      <c r="V643" s="25"/>
      <c r="W643" s="25"/>
      <c r="X643" s="25"/>
      <c r="Y643" s="25"/>
      <c r="Z643" s="25"/>
    </row>
    <row r="644" spans="1:26" ht="15.75" customHeight="1" x14ac:dyDescent="0.25">
      <c r="A644" s="25">
        <v>642</v>
      </c>
      <c r="B644" s="37" t="e">
        <f t="shared" ref="B644:D644" si="1297">VLOOKUP($A644,[2]Educación!$A$1:$O$276,B$1,0)</f>
        <v>#N/A</v>
      </c>
      <c r="C644" s="38" t="e">
        <f t="shared" si="1297"/>
        <v>#N/A</v>
      </c>
      <c r="D644" s="39" t="e">
        <f t="shared" si="1297"/>
        <v>#N/A</v>
      </c>
      <c r="E644" s="16" t="e">
        <f t="shared" si="1"/>
        <v>#N/A</v>
      </c>
      <c r="F644" s="16" t="e">
        <f t="shared" ref="F644:K644" si="1298">VLOOKUP($A644,[2]Educación!$A$1:$O$276,F$1,0)</f>
        <v>#N/A</v>
      </c>
      <c r="G644" s="39" t="e">
        <f t="shared" si="1298"/>
        <v>#N/A</v>
      </c>
      <c r="H644" s="16" t="e">
        <f t="shared" si="1298"/>
        <v>#N/A</v>
      </c>
      <c r="I644" s="16" t="e">
        <f t="shared" si="1298"/>
        <v>#N/A</v>
      </c>
      <c r="J644" s="40" t="e">
        <f t="shared" si="1298"/>
        <v>#N/A</v>
      </c>
      <c r="K644" s="16" t="e">
        <f t="shared" si="1298"/>
        <v>#N/A</v>
      </c>
      <c r="L644" s="40" t="e">
        <f t="shared" si="1213"/>
        <v>#N/A</v>
      </c>
      <c r="M644" s="16" t="e">
        <f t="shared" si="1214"/>
        <v>#N/A</v>
      </c>
      <c r="N644" s="16" t="e">
        <f t="shared" si="1215"/>
        <v>#N/A</v>
      </c>
      <c r="O644" s="16" t="s">
        <v>66</v>
      </c>
      <c r="P644" s="16" t="str">
        <f t="shared" si="6"/>
        <v/>
      </c>
      <c r="Q644" s="41" t="e">
        <f t="shared" si="1216"/>
        <v>#N/A</v>
      </c>
      <c r="R644" s="44"/>
      <c r="S644" s="44"/>
      <c r="T644" s="43"/>
      <c r="U644" s="43" t="str">
        <f t="shared" si="8"/>
        <v>No</v>
      </c>
      <c r="V644" s="25"/>
      <c r="W644" s="25"/>
      <c r="X644" s="25"/>
      <c r="Y644" s="25"/>
      <c r="Z644" s="25"/>
    </row>
    <row r="645" spans="1:26" ht="15.75" customHeight="1" x14ac:dyDescent="0.25">
      <c r="A645" s="25">
        <v>643</v>
      </c>
      <c r="B645" s="37" t="e">
        <f t="shared" ref="B645:D645" si="1299">VLOOKUP($A645,[2]Educación!$A$1:$O$276,B$1,0)</f>
        <v>#N/A</v>
      </c>
      <c r="C645" s="38" t="e">
        <f t="shared" si="1299"/>
        <v>#N/A</v>
      </c>
      <c r="D645" s="39" t="e">
        <f t="shared" si="1299"/>
        <v>#N/A</v>
      </c>
      <c r="E645" s="16" t="e">
        <f t="shared" si="1"/>
        <v>#N/A</v>
      </c>
      <c r="F645" s="16" t="e">
        <f t="shared" ref="F645:K645" si="1300">VLOOKUP($A645,[2]Educación!$A$1:$O$276,F$1,0)</f>
        <v>#N/A</v>
      </c>
      <c r="G645" s="39" t="e">
        <f t="shared" si="1300"/>
        <v>#N/A</v>
      </c>
      <c r="H645" s="16" t="e">
        <f t="shared" si="1300"/>
        <v>#N/A</v>
      </c>
      <c r="I645" s="16" t="e">
        <f t="shared" si="1300"/>
        <v>#N/A</v>
      </c>
      <c r="J645" s="40" t="e">
        <f t="shared" si="1300"/>
        <v>#N/A</v>
      </c>
      <c r="K645" s="16" t="e">
        <f t="shared" si="1300"/>
        <v>#N/A</v>
      </c>
      <c r="L645" s="40" t="e">
        <f t="shared" si="1213"/>
        <v>#N/A</v>
      </c>
      <c r="M645" s="16" t="e">
        <f t="shared" si="1214"/>
        <v>#N/A</v>
      </c>
      <c r="N645" s="16" t="e">
        <f t="shared" si="1215"/>
        <v>#N/A</v>
      </c>
      <c r="O645" s="16" t="s">
        <v>66</v>
      </c>
      <c r="P645" s="16" t="str">
        <f t="shared" si="6"/>
        <v/>
      </c>
      <c r="Q645" s="41" t="e">
        <f t="shared" si="1216"/>
        <v>#N/A</v>
      </c>
      <c r="R645" s="44"/>
      <c r="S645" s="44"/>
      <c r="T645" s="43"/>
      <c r="U645" s="43" t="str">
        <f t="shared" si="8"/>
        <v>No</v>
      </c>
      <c r="V645" s="25"/>
      <c r="W645" s="25"/>
      <c r="X645" s="25"/>
      <c r="Y645" s="25"/>
      <c r="Z645" s="25"/>
    </row>
    <row r="646" spans="1:26" ht="15.75" customHeight="1" x14ac:dyDescent="0.25">
      <c r="A646" s="25">
        <v>644</v>
      </c>
      <c r="B646" s="37" t="e">
        <f t="shared" ref="B646:D646" si="1301">VLOOKUP($A646,[2]Educación!$A$1:$O$276,B$1,0)</f>
        <v>#N/A</v>
      </c>
      <c r="C646" s="38" t="e">
        <f t="shared" si="1301"/>
        <v>#N/A</v>
      </c>
      <c r="D646" s="39" t="e">
        <f t="shared" si="1301"/>
        <v>#N/A</v>
      </c>
      <c r="E646" s="16" t="e">
        <f t="shared" si="1"/>
        <v>#N/A</v>
      </c>
      <c r="F646" s="16" t="e">
        <f t="shared" ref="F646:K646" si="1302">VLOOKUP($A646,[2]Educación!$A$1:$O$276,F$1,0)</f>
        <v>#N/A</v>
      </c>
      <c r="G646" s="39" t="e">
        <f t="shared" si="1302"/>
        <v>#N/A</v>
      </c>
      <c r="H646" s="16" t="e">
        <f t="shared" si="1302"/>
        <v>#N/A</v>
      </c>
      <c r="I646" s="16" t="e">
        <f t="shared" si="1302"/>
        <v>#N/A</v>
      </c>
      <c r="J646" s="40" t="e">
        <f t="shared" si="1302"/>
        <v>#N/A</v>
      </c>
      <c r="K646" s="16" t="e">
        <f t="shared" si="1302"/>
        <v>#N/A</v>
      </c>
      <c r="L646" s="40" t="e">
        <f t="shared" si="1213"/>
        <v>#N/A</v>
      </c>
      <c r="M646" s="16" t="e">
        <f t="shared" si="1214"/>
        <v>#N/A</v>
      </c>
      <c r="N646" s="16" t="e">
        <f t="shared" si="1215"/>
        <v>#N/A</v>
      </c>
      <c r="O646" s="16" t="s">
        <v>66</v>
      </c>
      <c r="P646" s="16" t="str">
        <f t="shared" si="6"/>
        <v/>
      </c>
      <c r="Q646" s="41" t="e">
        <f t="shared" si="1216"/>
        <v>#N/A</v>
      </c>
      <c r="R646" s="44"/>
      <c r="S646" s="44"/>
      <c r="T646" s="43"/>
      <c r="U646" s="43" t="str">
        <f t="shared" si="8"/>
        <v>No</v>
      </c>
      <c r="V646" s="25"/>
      <c r="W646" s="25"/>
      <c r="X646" s="25"/>
      <c r="Y646" s="25"/>
      <c r="Z646" s="25"/>
    </row>
    <row r="647" spans="1:26" ht="15.75" customHeight="1" x14ac:dyDescent="0.25">
      <c r="A647" s="25">
        <v>645</v>
      </c>
      <c r="B647" s="37" t="e">
        <f t="shared" ref="B647:D647" si="1303">VLOOKUP($A647,[2]Educación!$A$1:$O$276,B$1,0)</f>
        <v>#N/A</v>
      </c>
      <c r="C647" s="38" t="e">
        <f t="shared" si="1303"/>
        <v>#N/A</v>
      </c>
      <c r="D647" s="39" t="e">
        <f t="shared" si="1303"/>
        <v>#N/A</v>
      </c>
      <c r="E647" s="16" t="e">
        <f t="shared" si="1"/>
        <v>#N/A</v>
      </c>
      <c r="F647" s="16" t="e">
        <f t="shared" ref="F647:K647" si="1304">VLOOKUP($A647,[2]Educación!$A$1:$O$276,F$1,0)</f>
        <v>#N/A</v>
      </c>
      <c r="G647" s="39" t="e">
        <f t="shared" si="1304"/>
        <v>#N/A</v>
      </c>
      <c r="H647" s="16" t="e">
        <f t="shared" si="1304"/>
        <v>#N/A</v>
      </c>
      <c r="I647" s="16" t="e">
        <f t="shared" si="1304"/>
        <v>#N/A</v>
      </c>
      <c r="J647" s="40" t="e">
        <f t="shared" si="1304"/>
        <v>#N/A</v>
      </c>
      <c r="K647" s="16" t="e">
        <f t="shared" si="1304"/>
        <v>#N/A</v>
      </c>
      <c r="L647" s="40" t="e">
        <f t="shared" si="1213"/>
        <v>#N/A</v>
      </c>
      <c r="M647" s="16" t="e">
        <f t="shared" si="1214"/>
        <v>#N/A</v>
      </c>
      <c r="N647" s="16" t="e">
        <f t="shared" si="1215"/>
        <v>#N/A</v>
      </c>
      <c r="O647" s="16" t="s">
        <v>66</v>
      </c>
      <c r="P647" s="16" t="str">
        <f t="shared" si="6"/>
        <v/>
      </c>
      <c r="Q647" s="41" t="e">
        <f t="shared" si="1216"/>
        <v>#N/A</v>
      </c>
      <c r="R647" s="44"/>
      <c r="S647" s="44"/>
      <c r="T647" s="43"/>
      <c r="U647" s="43" t="str">
        <f t="shared" si="8"/>
        <v>No</v>
      </c>
      <c r="V647" s="25"/>
      <c r="W647" s="25"/>
      <c r="X647" s="25"/>
      <c r="Y647" s="25"/>
      <c r="Z647" s="25"/>
    </row>
    <row r="648" spans="1:26" ht="15.75" customHeight="1" x14ac:dyDescent="0.25">
      <c r="A648" s="25">
        <v>646</v>
      </c>
      <c r="B648" s="37" t="e">
        <f t="shared" ref="B648:D648" si="1305">VLOOKUP($A648,[2]Educación!$A$1:$O$276,B$1,0)</f>
        <v>#N/A</v>
      </c>
      <c r="C648" s="38" t="e">
        <f t="shared" si="1305"/>
        <v>#N/A</v>
      </c>
      <c r="D648" s="39" t="e">
        <f t="shared" si="1305"/>
        <v>#N/A</v>
      </c>
      <c r="E648" s="16" t="e">
        <f t="shared" si="1"/>
        <v>#N/A</v>
      </c>
      <c r="F648" s="16" t="e">
        <f t="shared" ref="F648:K648" si="1306">VLOOKUP($A648,[2]Educación!$A$1:$O$276,F$1,0)</f>
        <v>#N/A</v>
      </c>
      <c r="G648" s="39" t="e">
        <f t="shared" si="1306"/>
        <v>#N/A</v>
      </c>
      <c r="H648" s="16" t="e">
        <f t="shared" si="1306"/>
        <v>#N/A</v>
      </c>
      <c r="I648" s="16" t="e">
        <f t="shared" si="1306"/>
        <v>#N/A</v>
      </c>
      <c r="J648" s="40" t="e">
        <f t="shared" si="1306"/>
        <v>#N/A</v>
      </c>
      <c r="K648" s="16" t="e">
        <f t="shared" si="1306"/>
        <v>#N/A</v>
      </c>
      <c r="L648" s="40" t="e">
        <f t="shared" si="1213"/>
        <v>#N/A</v>
      </c>
      <c r="M648" s="16" t="e">
        <f t="shared" si="1214"/>
        <v>#N/A</v>
      </c>
      <c r="N648" s="16" t="e">
        <f t="shared" si="1215"/>
        <v>#N/A</v>
      </c>
      <c r="O648" s="16" t="s">
        <v>66</v>
      </c>
      <c r="P648" s="16" t="str">
        <f t="shared" si="6"/>
        <v/>
      </c>
      <c r="Q648" s="41" t="e">
        <f t="shared" si="1216"/>
        <v>#N/A</v>
      </c>
      <c r="R648" s="44"/>
      <c r="S648" s="44"/>
      <c r="T648" s="43"/>
      <c r="U648" s="43" t="str">
        <f t="shared" si="8"/>
        <v>No</v>
      </c>
      <c r="V648" s="25"/>
      <c r="W648" s="25"/>
      <c r="X648" s="25"/>
      <c r="Y648" s="25"/>
      <c r="Z648" s="25"/>
    </row>
    <row r="649" spans="1:26" ht="15.75" customHeight="1" x14ac:dyDescent="0.25">
      <c r="A649" s="25">
        <v>647</v>
      </c>
      <c r="B649" s="37" t="e">
        <f t="shared" ref="B649:D649" si="1307">VLOOKUP($A649,[2]Educación!$A$1:$O$276,B$1,0)</f>
        <v>#N/A</v>
      </c>
      <c r="C649" s="38" t="e">
        <f t="shared" si="1307"/>
        <v>#N/A</v>
      </c>
      <c r="D649" s="39" t="e">
        <f t="shared" si="1307"/>
        <v>#N/A</v>
      </c>
      <c r="E649" s="16" t="e">
        <f t="shared" si="1"/>
        <v>#N/A</v>
      </c>
      <c r="F649" s="16" t="e">
        <f t="shared" ref="F649:K649" si="1308">VLOOKUP($A649,[2]Educación!$A$1:$O$276,F$1,0)</f>
        <v>#N/A</v>
      </c>
      <c r="G649" s="39" t="e">
        <f t="shared" si="1308"/>
        <v>#N/A</v>
      </c>
      <c r="H649" s="16" t="e">
        <f t="shared" si="1308"/>
        <v>#N/A</v>
      </c>
      <c r="I649" s="16" t="e">
        <f t="shared" si="1308"/>
        <v>#N/A</v>
      </c>
      <c r="J649" s="40" t="e">
        <f t="shared" si="1308"/>
        <v>#N/A</v>
      </c>
      <c r="K649" s="16" t="e">
        <f t="shared" si="1308"/>
        <v>#N/A</v>
      </c>
      <c r="L649" s="40" t="e">
        <f t="shared" si="1213"/>
        <v>#N/A</v>
      </c>
      <c r="M649" s="16" t="e">
        <f t="shared" si="1214"/>
        <v>#N/A</v>
      </c>
      <c r="N649" s="16" t="e">
        <f t="shared" si="1215"/>
        <v>#N/A</v>
      </c>
      <c r="O649" s="16" t="s">
        <v>66</v>
      </c>
      <c r="P649" s="16" t="str">
        <f t="shared" si="6"/>
        <v/>
      </c>
      <c r="Q649" s="41" t="e">
        <f t="shared" si="1216"/>
        <v>#N/A</v>
      </c>
      <c r="R649" s="44"/>
      <c r="S649" s="44"/>
      <c r="T649" s="43"/>
      <c r="U649" s="43" t="str">
        <f t="shared" si="8"/>
        <v>No</v>
      </c>
      <c r="V649" s="25"/>
      <c r="W649" s="25"/>
      <c r="X649" s="25"/>
      <c r="Y649" s="25"/>
      <c r="Z649" s="25"/>
    </row>
    <row r="650" spans="1:26" ht="15.75" customHeight="1" x14ac:dyDescent="0.25">
      <c r="A650" s="25">
        <v>648</v>
      </c>
      <c r="B650" s="37" t="e">
        <f t="shared" ref="B650:D650" si="1309">VLOOKUP($A650,[2]Educación!$A$1:$O$276,B$1,0)</f>
        <v>#N/A</v>
      </c>
      <c r="C650" s="38" t="e">
        <f t="shared" si="1309"/>
        <v>#N/A</v>
      </c>
      <c r="D650" s="39" t="e">
        <f t="shared" si="1309"/>
        <v>#N/A</v>
      </c>
      <c r="E650" s="16" t="e">
        <f t="shared" si="1"/>
        <v>#N/A</v>
      </c>
      <c r="F650" s="16" t="e">
        <f t="shared" ref="F650:K650" si="1310">VLOOKUP($A650,[2]Educación!$A$1:$O$276,F$1,0)</f>
        <v>#N/A</v>
      </c>
      <c r="G650" s="39" t="e">
        <f t="shared" si="1310"/>
        <v>#N/A</v>
      </c>
      <c r="H650" s="16" t="e">
        <f t="shared" si="1310"/>
        <v>#N/A</v>
      </c>
      <c r="I650" s="16" t="e">
        <f t="shared" si="1310"/>
        <v>#N/A</v>
      </c>
      <c r="J650" s="40" t="e">
        <f t="shared" si="1310"/>
        <v>#N/A</v>
      </c>
      <c r="K650" s="16" t="e">
        <f t="shared" si="1310"/>
        <v>#N/A</v>
      </c>
      <c r="L650" s="40" t="e">
        <f t="shared" si="1213"/>
        <v>#N/A</v>
      </c>
      <c r="M650" s="16" t="e">
        <f t="shared" si="1214"/>
        <v>#N/A</v>
      </c>
      <c r="N650" s="16" t="e">
        <f t="shared" si="1215"/>
        <v>#N/A</v>
      </c>
      <c r="O650" s="16" t="s">
        <v>66</v>
      </c>
      <c r="P650" s="16" t="str">
        <f t="shared" si="6"/>
        <v/>
      </c>
      <c r="Q650" s="41" t="e">
        <f t="shared" si="1216"/>
        <v>#N/A</v>
      </c>
      <c r="R650" s="44"/>
      <c r="S650" s="44"/>
      <c r="T650" s="43"/>
      <c r="U650" s="43" t="str">
        <f t="shared" si="8"/>
        <v>No</v>
      </c>
      <c r="V650" s="25"/>
      <c r="W650" s="25"/>
      <c r="X650" s="25"/>
      <c r="Y650" s="25"/>
      <c r="Z650" s="25"/>
    </row>
    <row r="651" spans="1:26" ht="15.75" customHeight="1" x14ac:dyDescent="0.25">
      <c r="A651" s="25">
        <v>649</v>
      </c>
      <c r="B651" s="37" t="e">
        <f t="shared" ref="B651:D651" si="1311">VLOOKUP($A651,[2]Educación!$A$1:$O$276,B$1,0)</f>
        <v>#N/A</v>
      </c>
      <c r="C651" s="38" t="e">
        <f t="shared" si="1311"/>
        <v>#N/A</v>
      </c>
      <c r="D651" s="39" t="e">
        <f t="shared" si="1311"/>
        <v>#N/A</v>
      </c>
      <c r="E651" s="16" t="e">
        <f t="shared" si="1"/>
        <v>#N/A</v>
      </c>
      <c r="F651" s="16" t="e">
        <f t="shared" ref="F651:K651" si="1312">VLOOKUP($A651,[2]Educación!$A$1:$O$276,F$1,0)</f>
        <v>#N/A</v>
      </c>
      <c r="G651" s="39" t="e">
        <f t="shared" si="1312"/>
        <v>#N/A</v>
      </c>
      <c r="H651" s="16" t="e">
        <f t="shared" si="1312"/>
        <v>#N/A</v>
      </c>
      <c r="I651" s="16" t="e">
        <f t="shared" si="1312"/>
        <v>#N/A</v>
      </c>
      <c r="J651" s="40" t="e">
        <f t="shared" si="1312"/>
        <v>#N/A</v>
      </c>
      <c r="K651" s="16" t="e">
        <f t="shared" si="1312"/>
        <v>#N/A</v>
      </c>
      <c r="L651" s="40" t="e">
        <f t="shared" si="1213"/>
        <v>#N/A</v>
      </c>
      <c r="M651" s="16" t="e">
        <f t="shared" si="1214"/>
        <v>#N/A</v>
      </c>
      <c r="N651" s="16" t="e">
        <f t="shared" si="1215"/>
        <v>#N/A</v>
      </c>
      <c r="O651" s="16" t="s">
        <v>66</v>
      </c>
      <c r="P651" s="16" t="str">
        <f t="shared" si="6"/>
        <v/>
      </c>
      <c r="Q651" s="41" t="e">
        <f t="shared" si="1216"/>
        <v>#N/A</v>
      </c>
      <c r="R651" s="44"/>
      <c r="S651" s="44"/>
      <c r="T651" s="43"/>
      <c r="U651" s="43" t="str">
        <f t="shared" si="8"/>
        <v>No</v>
      </c>
      <c r="V651" s="25"/>
      <c r="W651" s="25"/>
      <c r="X651" s="25"/>
      <c r="Y651" s="25"/>
      <c r="Z651" s="25"/>
    </row>
    <row r="652" spans="1:26" ht="15.75" customHeight="1" x14ac:dyDescent="0.25">
      <c r="A652" s="25">
        <v>650</v>
      </c>
      <c r="B652" s="37" t="e">
        <f t="shared" ref="B652:D652" si="1313">VLOOKUP($A652,[2]Educación!$A$1:$O$276,B$1,0)</f>
        <v>#N/A</v>
      </c>
      <c r="C652" s="38" t="e">
        <f t="shared" si="1313"/>
        <v>#N/A</v>
      </c>
      <c r="D652" s="39" t="e">
        <f t="shared" si="1313"/>
        <v>#N/A</v>
      </c>
      <c r="E652" s="16" t="e">
        <f t="shared" si="1"/>
        <v>#N/A</v>
      </c>
      <c r="F652" s="16" t="e">
        <f t="shared" ref="F652:K652" si="1314">VLOOKUP($A652,[2]Educación!$A$1:$O$276,F$1,0)</f>
        <v>#N/A</v>
      </c>
      <c r="G652" s="39" t="e">
        <f t="shared" si="1314"/>
        <v>#N/A</v>
      </c>
      <c r="H652" s="16" t="e">
        <f t="shared" si="1314"/>
        <v>#N/A</v>
      </c>
      <c r="I652" s="16" t="e">
        <f t="shared" si="1314"/>
        <v>#N/A</v>
      </c>
      <c r="J652" s="40" t="e">
        <f t="shared" si="1314"/>
        <v>#N/A</v>
      </c>
      <c r="K652" s="16" t="e">
        <f t="shared" si="1314"/>
        <v>#N/A</v>
      </c>
      <c r="L652" s="40" t="e">
        <f t="shared" si="1213"/>
        <v>#N/A</v>
      </c>
      <c r="M652" s="16" t="e">
        <f t="shared" si="1214"/>
        <v>#N/A</v>
      </c>
      <c r="N652" s="16" t="e">
        <f t="shared" si="1215"/>
        <v>#N/A</v>
      </c>
      <c r="O652" s="16" t="s">
        <v>66</v>
      </c>
      <c r="P652" s="16" t="str">
        <f t="shared" si="6"/>
        <v/>
      </c>
      <c r="Q652" s="41" t="e">
        <f t="shared" si="1216"/>
        <v>#N/A</v>
      </c>
      <c r="R652" s="44"/>
      <c r="S652" s="44"/>
      <c r="T652" s="43"/>
      <c r="U652" s="43" t="str">
        <f t="shared" si="8"/>
        <v>No</v>
      </c>
      <c r="V652" s="25"/>
      <c r="W652" s="25"/>
      <c r="X652" s="25"/>
      <c r="Y652" s="25"/>
      <c r="Z652" s="25"/>
    </row>
    <row r="653" spans="1:26" ht="15.75" customHeight="1" x14ac:dyDescent="0.25">
      <c r="A653" s="25">
        <v>651</v>
      </c>
      <c r="B653" s="37" t="e">
        <f t="shared" ref="B653:D653" si="1315">VLOOKUP($A653,[2]Educación!$A$1:$O$276,B$1,0)</f>
        <v>#N/A</v>
      </c>
      <c r="C653" s="38" t="e">
        <f t="shared" si="1315"/>
        <v>#N/A</v>
      </c>
      <c r="D653" s="39" t="e">
        <f t="shared" si="1315"/>
        <v>#N/A</v>
      </c>
      <c r="E653" s="16" t="e">
        <f t="shared" si="1"/>
        <v>#N/A</v>
      </c>
      <c r="F653" s="16" t="e">
        <f t="shared" ref="F653:K653" si="1316">VLOOKUP($A653,[2]Educación!$A$1:$O$276,F$1,0)</f>
        <v>#N/A</v>
      </c>
      <c r="G653" s="39" t="e">
        <f t="shared" si="1316"/>
        <v>#N/A</v>
      </c>
      <c r="H653" s="16" t="e">
        <f t="shared" si="1316"/>
        <v>#N/A</v>
      </c>
      <c r="I653" s="16" t="e">
        <f t="shared" si="1316"/>
        <v>#N/A</v>
      </c>
      <c r="J653" s="40" t="e">
        <f t="shared" si="1316"/>
        <v>#N/A</v>
      </c>
      <c r="K653" s="16" t="e">
        <f t="shared" si="1316"/>
        <v>#N/A</v>
      </c>
      <c r="L653" s="40" t="e">
        <f t="shared" si="1213"/>
        <v>#N/A</v>
      </c>
      <c r="M653" s="16" t="e">
        <f t="shared" si="1214"/>
        <v>#N/A</v>
      </c>
      <c r="N653" s="16" t="e">
        <f t="shared" si="1215"/>
        <v>#N/A</v>
      </c>
      <c r="O653" s="16" t="s">
        <v>66</v>
      </c>
      <c r="P653" s="16" t="str">
        <f t="shared" si="6"/>
        <v/>
      </c>
      <c r="Q653" s="41" t="e">
        <f t="shared" si="1216"/>
        <v>#N/A</v>
      </c>
      <c r="R653" s="44"/>
      <c r="S653" s="44"/>
      <c r="T653" s="43"/>
      <c r="U653" s="43" t="str">
        <f t="shared" si="8"/>
        <v>No</v>
      </c>
      <c r="V653" s="25"/>
      <c r="W653" s="25"/>
      <c r="X653" s="25"/>
      <c r="Y653" s="25"/>
      <c r="Z653" s="25"/>
    </row>
    <row r="654" spans="1:26" ht="15.75" customHeight="1" x14ac:dyDescent="0.25">
      <c r="A654" s="25">
        <v>652</v>
      </c>
      <c r="B654" s="37" t="e">
        <f t="shared" ref="B654:D654" si="1317">VLOOKUP($A654,[2]Educación!$A$1:$O$276,B$1,0)</f>
        <v>#N/A</v>
      </c>
      <c r="C654" s="38" t="e">
        <f t="shared" si="1317"/>
        <v>#N/A</v>
      </c>
      <c r="D654" s="39" t="e">
        <f t="shared" si="1317"/>
        <v>#N/A</v>
      </c>
      <c r="E654" s="16" t="e">
        <f t="shared" si="1"/>
        <v>#N/A</v>
      </c>
      <c r="F654" s="16" t="e">
        <f t="shared" ref="F654:K654" si="1318">VLOOKUP($A654,[2]Educación!$A$1:$O$276,F$1,0)</f>
        <v>#N/A</v>
      </c>
      <c r="G654" s="39" t="e">
        <f t="shared" si="1318"/>
        <v>#N/A</v>
      </c>
      <c r="H654" s="16" t="e">
        <f t="shared" si="1318"/>
        <v>#N/A</v>
      </c>
      <c r="I654" s="16" t="e">
        <f t="shared" si="1318"/>
        <v>#N/A</v>
      </c>
      <c r="J654" s="40" t="e">
        <f t="shared" si="1318"/>
        <v>#N/A</v>
      </c>
      <c r="K654" s="16" t="e">
        <f t="shared" si="1318"/>
        <v>#N/A</v>
      </c>
      <c r="L654" s="40" t="e">
        <f t="shared" si="1213"/>
        <v>#N/A</v>
      </c>
      <c r="M654" s="16" t="e">
        <f t="shared" si="1214"/>
        <v>#N/A</v>
      </c>
      <c r="N654" s="16" t="e">
        <f t="shared" si="1215"/>
        <v>#N/A</v>
      </c>
      <c r="O654" s="16" t="s">
        <v>66</v>
      </c>
      <c r="P654" s="16" t="str">
        <f t="shared" si="6"/>
        <v/>
      </c>
      <c r="Q654" s="41" t="e">
        <f t="shared" si="1216"/>
        <v>#N/A</v>
      </c>
      <c r="R654" s="44"/>
      <c r="S654" s="44"/>
      <c r="T654" s="43"/>
      <c r="U654" s="43" t="str">
        <f t="shared" si="8"/>
        <v>No</v>
      </c>
      <c r="V654" s="25"/>
      <c r="W654" s="25"/>
      <c r="X654" s="25"/>
      <c r="Y654" s="25"/>
      <c r="Z654" s="25"/>
    </row>
    <row r="655" spans="1:26" ht="15.75" customHeight="1" x14ac:dyDescent="0.25">
      <c r="A655" s="25">
        <v>653</v>
      </c>
      <c r="B655" s="37" t="e">
        <f t="shared" ref="B655:D655" si="1319">VLOOKUP($A655,[2]Educación!$A$1:$O$276,B$1,0)</f>
        <v>#N/A</v>
      </c>
      <c r="C655" s="38" t="e">
        <f t="shared" si="1319"/>
        <v>#N/A</v>
      </c>
      <c r="D655" s="39" t="e">
        <f t="shared" si="1319"/>
        <v>#N/A</v>
      </c>
      <c r="E655" s="16" t="e">
        <f t="shared" si="1"/>
        <v>#N/A</v>
      </c>
      <c r="F655" s="16" t="e">
        <f t="shared" ref="F655:K655" si="1320">VLOOKUP($A655,[2]Educación!$A$1:$O$276,F$1,0)</f>
        <v>#N/A</v>
      </c>
      <c r="G655" s="39" t="e">
        <f t="shared" si="1320"/>
        <v>#N/A</v>
      </c>
      <c r="H655" s="16" t="e">
        <f t="shared" si="1320"/>
        <v>#N/A</v>
      </c>
      <c r="I655" s="16" t="e">
        <f t="shared" si="1320"/>
        <v>#N/A</v>
      </c>
      <c r="J655" s="40" t="e">
        <f t="shared" si="1320"/>
        <v>#N/A</v>
      </c>
      <c r="K655" s="16" t="e">
        <f t="shared" si="1320"/>
        <v>#N/A</v>
      </c>
      <c r="L655" s="40" t="e">
        <f t="shared" si="1213"/>
        <v>#N/A</v>
      </c>
      <c r="M655" s="16" t="e">
        <f t="shared" si="1214"/>
        <v>#N/A</v>
      </c>
      <c r="N655" s="16" t="e">
        <f t="shared" si="1215"/>
        <v>#N/A</v>
      </c>
      <c r="O655" s="16" t="s">
        <v>66</v>
      </c>
      <c r="P655" s="16" t="str">
        <f t="shared" si="6"/>
        <v/>
      </c>
      <c r="Q655" s="41" t="e">
        <f t="shared" si="1216"/>
        <v>#N/A</v>
      </c>
      <c r="R655" s="44"/>
      <c r="S655" s="44"/>
      <c r="T655" s="43"/>
      <c r="U655" s="43" t="str">
        <f t="shared" si="8"/>
        <v>No</v>
      </c>
      <c r="V655" s="25"/>
      <c r="W655" s="25"/>
      <c r="X655" s="25"/>
      <c r="Y655" s="25"/>
      <c r="Z655" s="25"/>
    </row>
    <row r="656" spans="1:26" ht="15.75" customHeight="1" x14ac:dyDescent="0.25">
      <c r="A656" s="25">
        <v>654</v>
      </c>
      <c r="B656" s="37" t="e">
        <f t="shared" ref="B656:D656" si="1321">VLOOKUP($A656,[2]Educación!$A$1:$O$276,B$1,0)</f>
        <v>#N/A</v>
      </c>
      <c r="C656" s="38" t="e">
        <f t="shared" si="1321"/>
        <v>#N/A</v>
      </c>
      <c r="D656" s="39" t="e">
        <f t="shared" si="1321"/>
        <v>#N/A</v>
      </c>
      <c r="E656" s="16" t="e">
        <f t="shared" si="1"/>
        <v>#N/A</v>
      </c>
      <c r="F656" s="16" t="e">
        <f t="shared" ref="F656:K656" si="1322">VLOOKUP($A656,[2]Educación!$A$1:$O$276,F$1,0)</f>
        <v>#N/A</v>
      </c>
      <c r="G656" s="39" t="e">
        <f t="shared" si="1322"/>
        <v>#N/A</v>
      </c>
      <c r="H656" s="16" t="e">
        <f t="shared" si="1322"/>
        <v>#N/A</v>
      </c>
      <c r="I656" s="16" t="e">
        <f t="shared" si="1322"/>
        <v>#N/A</v>
      </c>
      <c r="J656" s="40" t="e">
        <f t="shared" si="1322"/>
        <v>#N/A</v>
      </c>
      <c r="K656" s="16" t="e">
        <f t="shared" si="1322"/>
        <v>#N/A</v>
      </c>
      <c r="L656" s="40" t="e">
        <f t="shared" si="1213"/>
        <v>#N/A</v>
      </c>
      <c r="M656" s="16" t="e">
        <f t="shared" si="1214"/>
        <v>#N/A</v>
      </c>
      <c r="N656" s="16" t="e">
        <f t="shared" si="1215"/>
        <v>#N/A</v>
      </c>
      <c r="O656" s="16" t="s">
        <v>66</v>
      </c>
      <c r="P656" s="16" t="str">
        <f t="shared" si="6"/>
        <v/>
      </c>
      <c r="Q656" s="41" t="e">
        <f t="shared" si="1216"/>
        <v>#N/A</v>
      </c>
      <c r="R656" s="44"/>
      <c r="S656" s="44"/>
      <c r="T656" s="43"/>
      <c r="U656" s="43" t="str">
        <f t="shared" si="8"/>
        <v>No</v>
      </c>
      <c r="V656" s="25"/>
      <c r="W656" s="25"/>
      <c r="X656" s="25"/>
      <c r="Y656" s="25"/>
      <c r="Z656" s="25"/>
    </row>
    <row r="657" spans="1:26" ht="15.75" customHeight="1" x14ac:dyDescent="0.25">
      <c r="A657" s="25">
        <v>655</v>
      </c>
      <c r="B657" s="37" t="e">
        <f t="shared" ref="B657:D657" si="1323">VLOOKUP($A657,[2]Educación!$A$1:$O$276,B$1,0)</f>
        <v>#N/A</v>
      </c>
      <c r="C657" s="38" t="e">
        <f t="shared" si="1323"/>
        <v>#N/A</v>
      </c>
      <c r="D657" s="39" t="e">
        <f t="shared" si="1323"/>
        <v>#N/A</v>
      </c>
      <c r="E657" s="16" t="e">
        <f t="shared" si="1"/>
        <v>#N/A</v>
      </c>
      <c r="F657" s="16" t="e">
        <f t="shared" ref="F657:K657" si="1324">VLOOKUP($A657,[2]Educación!$A$1:$O$276,F$1,0)</f>
        <v>#N/A</v>
      </c>
      <c r="G657" s="39" t="e">
        <f t="shared" si="1324"/>
        <v>#N/A</v>
      </c>
      <c r="H657" s="16" t="e">
        <f t="shared" si="1324"/>
        <v>#N/A</v>
      </c>
      <c r="I657" s="16" t="e">
        <f t="shared" si="1324"/>
        <v>#N/A</v>
      </c>
      <c r="J657" s="40" t="e">
        <f t="shared" si="1324"/>
        <v>#N/A</v>
      </c>
      <c r="K657" s="16" t="e">
        <f t="shared" si="1324"/>
        <v>#N/A</v>
      </c>
      <c r="L657" s="40" t="e">
        <f t="shared" si="1213"/>
        <v>#N/A</v>
      </c>
      <c r="M657" s="16" t="e">
        <f t="shared" si="1214"/>
        <v>#N/A</v>
      </c>
      <c r="N657" s="16" t="e">
        <f t="shared" si="1215"/>
        <v>#N/A</v>
      </c>
      <c r="O657" s="16" t="s">
        <v>66</v>
      </c>
      <c r="P657" s="16" t="str">
        <f t="shared" si="6"/>
        <v/>
      </c>
      <c r="Q657" s="41" t="e">
        <f t="shared" si="1216"/>
        <v>#N/A</v>
      </c>
      <c r="R657" s="44"/>
      <c r="S657" s="44"/>
      <c r="T657" s="43"/>
      <c r="U657" s="43" t="str">
        <f t="shared" si="8"/>
        <v>No</v>
      </c>
      <c r="V657" s="25"/>
      <c r="W657" s="25"/>
      <c r="X657" s="25"/>
      <c r="Y657" s="25"/>
      <c r="Z657" s="25"/>
    </row>
    <row r="658" spans="1:26" ht="15.75" customHeight="1" x14ac:dyDescent="0.25">
      <c r="A658" s="25">
        <v>656</v>
      </c>
      <c r="B658" s="37" t="e">
        <f t="shared" ref="B658:D658" si="1325">VLOOKUP($A658,[2]Educación!$A$1:$O$276,B$1,0)</f>
        <v>#N/A</v>
      </c>
      <c r="C658" s="38" t="e">
        <f t="shared" si="1325"/>
        <v>#N/A</v>
      </c>
      <c r="D658" s="39" t="e">
        <f t="shared" si="1325"/>
        <v>#N/A</v>
      </c>
      <c r="E658" s="16" t="e">
        <f t="shared" si="1"/>
        <v>#N/A</v>
      </c>
      <c r="F658" s="16" t="e">
        <f t="shared" ref="F658:K658" si="1326">VLOOKUP($A658,[2]Educación!$A$1:$O$276,F$1,0)</f>
        <v>#N/A</v>
      </c>
      <c r="G658" s="39" t="e">
        <f t="shared" si="1326"/>
        <v>#N/A</v>
      </c>
      <c r="H658" s="16" t="e">
        <f t="shared" si="1326"/>
        <v>#N/A</v>
      </c>
      <c r="I658" s="16" t="e">
        <f t="shared" si="1326"/>
        <v>#N/A</v>
      </c>
      <c r="J658" s="40" t="e">
        <f t="shared" si="1326"/>
        <v>#N/A</v>
      </c>
      <c r="K658" s="16" t="e">
        <f t="shared" si="1326"/>
        <v>#N/A</v>
      </c>
      <c r="L658" s="40" t="e">
        <f t="shared" si="1213"/>
        <v>#N/A</v>
      </c>
      <c r="M658" s="16" t="e">
        <f t="shared" si="1214"/>
        <v>#N/A</v>
      </c>
      <c r="N658" s="16" t="e">
        <f t="shared" si="1215"/>
        <v>#N/A</v>
      </c>
      <c r="O658" s="16" t="s">
        <v>66</v>
      </c>
      <c r="P658" s="16" t="str">
        <f t="shared" si="6"/>
        <v/>
      </c>
      <c r="Q658" s="41" t="e">
        <f t="shared" si="1216"/>
        <v>#N/A</v>
      </c>
      <c r="R658" s="44"/>
      <c r="S658" s="44"/>
      <c r="T658" s="43"/>
      <c r="U658" s="43" t="str">
        <f t="shared" si="8"/>
        <v>No</v>
      </c>
      <c r="V658" s="25"/>
      <c r="W658" s="25"/>
      <c r="X658" s="25"/>
      <c r="Y658" s="25"/>
      <c r="Z658" s="25"/>
    </row>
    <row r="659" spans="1:26" ht="15.75" customHeight="1" x14ac:dyDescent="0.25">
      <c r="A659" s="25">
        <v>657</v>
      </c>
      <c r="B659" s="37" t="e">
        <f t="shared" ref="B659:D659" si="1327">VLOOKUP($A659,[2]Educación!$A$1:$O$276,B$1,0)</f>
        <v>#N/A</v>
      </c>
      <c r="C659" s="38" t="e">
        <f t="shared" si="1327"/>
        <v>#N/A</v>
      </c>
      <c r="D659" s="39" t="e">
        <f t="shared" si="1327"/>
        <v>#N/A</v>
      </c>
      <c r="E659" s="16" t="e">
        <f t="shared" si="1"/>
        <v>#N/A</v>
      </c>
      <c r="F659" s="16" t="e">
        <f t="shared" ref="F659:K659" si="1328">VLOOKUP($A659,[2]Educación!$A$1:$O$276,F$1,0)</f>
        <v>#N/A</v>
      </c>
      <c r="G659" s="39" t="e">
        <f t="shared" si="1328"/>
        <v>#N/A</v>
      </c>
      <c r="H659" s="16" t="e">
        <f t="shared" si="1328"/>
        <v>#N/A</v>
      </c>
      <c r="I659" s="16" t="e">
        <f t="shared" si="1328"/>
        <v>#N/A</v>
      </c>
      <c r="J659" s="40" t="e">
        <f t="shared" si="1328"/>
        <v>#N/A</v>
      </c>
      <c r="K659" s="16" t="e">
        <f t="shared" si="1328"/>
        <v>#N/A</v>
      </c>
      <c r="L659" s="40" t="e">
        <f t="shared" si="1213"/>
        <v>#N/A</v>
      </c>
      <c r="M659" s="16" t="e">
        <f t="shared" si="1214"/>
        <v>#N/A</v>
      </c>
      <c r="N659" s="16" t="e">
        <f t="shared" si="1215"/>
        <v>#N/A</v>
      </c>
      <c r="O659" s="16" t="s">
        <v>66</v>
      </c>
      <c r="P659" s="16" t="str">
        <f t="shared" si="6"/>
        <v/>
      </c>
      <c r="Q659" s="41" t="e">
        <f t="shared" si="1216"/>
        <v>#N/A</v>
      </c>
      <c r="R659" s="44"/>
      <c r="S659" s="44"/>
      <c r="T659" s="43"/>
      <c r="U659" s="43" t="str">
        <f t="shared" si="8"/>
        <v>No</v>
      </c>
      <c r="V659" s="25"/>
      <c r="W659" s="25"/>
      <c r="X659" s="25"/>
      <c r="Y659" s="25"/>
      <c r="Z659" s="25"/>
    </row>
    <row r="660" spans="1:26" ht="15.75" customHeight="1" x14ac:dyDescent="0.25">
      <c r="A660" s="25">
        <v>658</v>
      </c>
      <c r="B660" s="37" t="e">
        <f t="shared" ref="B660:D660" si="1329">VLOOKUP($A660,[2]Educación!$A$1:$O$276,B$1,0)</f>
        <v>#N/A</v>
      </c>
      <c r="C660" s="38" t="e">
        <f t="shared" si="1329"/>
        <v>#N/A</v>
      </c>
      <c r="D660" s="39" t="e">
        <f t="shared" si="1329"/>
        <v>#N/A</v>
      </c>
      <c r="E660" s="16" t="e">
        <f t="shared" si="1"/>
        <v>#N/A</v>
      </c>
      <c r="F660" s="16" t="e">
        <f t="shared" ref="F660:K660" si="1330">VLOOKUP($A660,[2]Educación!$A$1:$O$276,F$1,0)</f>
        <v>#N/A</v>
      </c>
      <c r="G660" s="39" t="e">
        <f t="shared" si="1330"/>
        <v>#N/A</v>
      </c>
      <c r="H660" s="16" t="e">
        <f t="shared" si="1330"/>
        <v>#N/A</v>
      </c>
      <c r="I660" s="16" t="e">
        <f t="shared" si="1330"/>
        <v>#N/A</v>
      </c>
      <c r="J660" s="40" t="e">
        <f t="shared" si="1330"/>
        <v>#N/A</v>
      </c>
      <c r="K660" s="16" t="e">
        <f t="shared" si="1330"/>
        <v>#N/A</v>
      </c>
      <c r="L660" s="40" t="e">
        <f t="shared" si="1213"/>
        <v>#N/A</v>
      </c>
      <c r="M660" s="16" t="e">
        <f t="shared" si="1214"/>
        <v>#N/A</v>
      </c>
      <c r="N660" s="16" t="e">
        <f t="shared" si="1215"/>
        <v>#N/A</v>
      </c>
      <c r="O660" s="16" t="s">
        <v>66</v>
      </c>
      <c r="P660" s="16" t="str">
        <f t="shared" si="6"/>
        <v/>
      </c>
      <c r="Q660" s="41" t="e">
        <f t="shared" si="1216"/>
        <v>#N/A</v>
      </c>
      <c r="R660" s="44"/>
      <c r="S660" s="44"/>
      <c r="T660" s="43"/>
      <c r="U660" s="43" t="str">
        <f t="shared" si="8"/>
        <v>No</v>
      </c>
      <c r="V660" s="25"/>
      <c r="W660" s="25"/>
      <c r="X660" s="25"/>
      <c r="Y660" s="25"/>
      <c r="Z660" s="25"/>
    </row>
    <row r="661" spans="1:26" ht="15.75" customHeight="1" x14ac:dyDescent="0.25">
      <c r="A661" s="25">
        <v>659</v>
      </c>
      <c r="B661" s="37" t="e">
        <f t="shared" ref="B661:D661" si="1331">VLOOKUP($A661,[2]Educación!$A$1:$O$276,B$1,0)</f>
        <v>#N/A</v>
      </c>
      <c r="C661" s="38" t="e">
        <f t="shared" si="1331"/>
        <v>#N/A</v>
      </c>
      <c r="D661" s="39" t="e">
        <f t="shared" si="1331"/>
        <v>#N/A</v>
      </c>
      <c r="E661" s="16" t="e">
        <f t="shared" si="1"/>
        <v>#N/A</v>
      </c>
      <c r="F661" s="16" t="e">
        <f t="shared" ref="F661:K661" si="1332">VLOOKUP($A661,[2]Educación!$A$1:$O$276,F$1,0)</f>
        <v>#N/A</v>
      </c>
      <c r="G661" s="39" t="e">
        <f t="shared" si="1332"/>
        <v>#N/A</v>
      </c>
      <c r="H661" s="16" t="e">
        <f t="shared" si="1332"/>
        <v>#N/A</v>
      </c>
      <c r="I661" s="16" t="e">
        <f t="shared" si="1332"/>
        <v>#N/A</v>
      </c>
      <c r="J661" s="40" t="e">
        <f t="shared" si="1332"/>
        <v>#N/A</v>
      </c>
      <c r="K661" s="16" t="e">
        <f t="shared" si="1332"/>
        <v>#N/A</v>
      </c>
      <c r="L661" s="40" t="e">
        <f t="shared" si="1213"/>
        <v>#N/A</v>
      </c>
      <c r="M661" s="16" t="e">
        <f t="shared" si="1214"/>
        <v>#N/A</v>
      </c>
      <c r="N661" s="16" t="e">
        <f t="shared" si="1215"/>
        <v>#N/A</v>
      </c>
      <c r="O661" s="16" t="s">
        <v>66</v>
      </c>
      <c r="P661" s="16" t="str">
        <f t="shared" si="6"/>
        <v/>
      </c>
      <c r="Q661" s="41" t="e">
        <f t="shared" si="1216"/>
        <v>#N/A</v>
      </c>
      <c r="R661" s="44"/>
      <c r="S661" s="44"/>
      <c r="T661" s="43"/>
      <c r="U661" s="43" t="str">
        <f t="shared" si="8"/>
        <v>No</v>
      </c>
      <c r="V661" s="25"/>
      <c r="W661" s="25"/>
      <c r="X661" s="25"/>
      <c r="Y661" s="25"/>
      <c r="Z661" s="25"/>
    </row>
    <row r="662" spans="1:26" ht="15.75" customHeight="1" x14ac:dyDescent="0.25">
      <c r="A662" s="25">
        <v>660</v>
      </c>
      <c r="B662" s="37" t="e">
        <f t="shared" ref="B662:D662" si="1333">VLOOKUP($A662,[2]Educación!$A$1:$O$276,B$1,0)</f>
        <v>#N/A</v>
      </c>
      <c r="C662" s="38" t="e">
        <f t="shared" si="1333"/>
        <v>#N/A</v>
      </c>
      <c r="D662" s="39" t="e">
        <f t="shared" si="1333"/>
        <v>#N/A</v>
      </c>
      <c r="E662" s="16" t="e">
        <f t="shared" si="1"/>
        <v>#N/A</v>
      </c>
      <c r="F662" s="16" t="e">
        <f t="shared" ref="F662:K662" si="1334">VLOOKUP($A662,[2]Educación!$A$1:$O$276,F$1,0)</f>
        <v>#N/A</v>
      </c>
      <c r="G662" s="39" t="e">
        <f t="shared" si="1334"/>
        <v>#N/A</v>
      </c>
      <c r="H662" s="16" t="e">
        <f t="shared" si="1334"/>
        <v>#N/A</v>
      </c>
      <c r="I662" s="16" t="e">
        <f t="shared" si="1334"/>
        <v>#N/A</v>
      </c>
      <c r="J662" s="40" t="e">
        <f t="shared" si="1334"/>
        <v>#N/A</v>
      </c>
      <c r="K662" s="16" t="e">
        <f t="shared" si="1334"/>
        <v>#N/A</v>
      </c>
      <c r="L662" s="40" t="e">
        <f t="shared" si="1213"/>
        <v>#N/A</v>
      </c>
      <c r="M662" s="16" t="e">
        <f t="shared" si="1214"/>
        <v>#N/A</v>
      </c>
      <c r="N662" s="16" t="e">
        <f t="shared" si="1215"/>
        <v>#N/A</v>
      </c>
      <c r="O662" s="16" t="s">
        <v>66</v>
      </c>
      <c r="P662" s="16" t="str">
        <f t="shared" si="6"/>
        <v/>
      </c>
      <c r="Q662" s="41" t="e">
        <f t="shared" si="1216"/>
        <v>#N/A</v>
      </c>
      <c r="R662" s="44"/>
      <c r="S662" s="44"/>
      <c r="T662" s="43"/>
      <c r="U662" s="43" t="str">
        <f t="shared" si="8"/>
        <v>No</v>
      </c>
      <c r="V662" s="25"/>
      <c r="W662" s="25"/>
      <c r="X662" s="25"/>
      <c r="Y662" s="25"/>
      <c r="Z662" s="25"/>
    </row>
    <row r="663" spans="1:26" ht="15.75" customHeight="1" x14ac:dyDescent="0.25">
      <c r="A663" s="25">
        <v>661</v>
      </c>
      <c r="B663" s="37" t="e">
        <f t="shared" ref="B663:D663" si="1335">VLOOKUP($A663,[2]Educación!$A$1:$O$276,B$1,0)</f>
        <v>#N/A</v>
      </c>
      <c r="C663" s="38" t="e">
        <f t="shared" si="1335"/>
        <v>#N/A</v>
      </c>
      <c r="D663" s="39" t="e">
        <f t="shared" si="1335"/>
        <v>#N/A</v>
      </c>
      <c r="E663" s="16" t="e">
        <f t="shared" si="1"/>
        <v>#N/A</v>
      </c>
      <c r="F663" s="16" t="e">
        <f t="shared" ref="F663:K663" si="1336">VLOOKUP($A663,[2]Educación!$A$1:$O$276,F$1,0)</f>
        <v>#N/A</v>
      </c>
      <c r="G663" s="39" t="e">
        <f t="shared" si="1336"/>
        <v>#N/A</v>
      </c>
      <c r="H663" s="16" t="e">
        <f t="shared" si="1336"/>
        <v>#N/A</v>
      </c>
      <c r="I663" s="16" t="e">
        <f t="shared" si="1336"/>
        <v>#N/A</v>
      </c>
      <c r="J663" s="40" t="e">
        <f t="shared" si="1336"/>
        <v>#N/A</v>
      </c>
      <c r="K663" s="16" t="e">
        <f t="shared" si="1336"/>
        <v>#N/A</v>
      </c>
      <c r="L663" s="40" t="e">
        <f t="shared" si="1213"/>
        <v>#N/A</v>
      </c>
      <c r="M663" s="16" t="e">
        <f t="shared" si="1214"/>
        <v>#N/A</v>
      </c>
      <c r="N663" s="16" t="e">
        <f t="shared" si="1215"/>
        <v>#N/A</v>
      </c>
      <c r="O663" s="16" t="s">
        <v>66</v>
      </c>
      <c r="P663" s="16" t="str">
        <f t="shared" si="6"/>
        <v/>
      </c>
      <c r="Q663" s="41" t="e">
        <f t="shared" si="1216"/>
        <v>#N/A</v>
      </c>
      <c r="R663" s="44"/>
      <c r="S663" s="44"/>
      <c r="T663" s="43"/>
      <c r="U663" s="43" t="str">
        <f t="shared" si="8"/>
        <v>No</v>
      </c>
      <c r="V663" s="25"/>
      <c r="W663" s="25"/>
      <c r="X663" s="25"/>
      <c r="Y663" s="25"/>
      <c r="Z663" s="25"/>
    </row>
    <row r="664" spans="1:26" ht="15.75" customHeight="1" x14ac:dyDescent="0.25">
      <c r="A664" s="25">
        <v>662</v>
      </c>
      <c r="B664" s="37" t="e">
        <f t="shared" ref="B664:D664" si="1337">VLOOKUP($A664,[2]Educación!$A$1:$O$276,B$1,0)</f>
        <v>#N/A</v>
      </c>
      <c r="C664" s="38" t="e">
        <f t="shared" si="1337"/>
        <v>#N/A</v>
      </c>
      <c r="D664" s="39" t="e">
        <f t="shared" si="1337"/>
        <v>#N/A</v>
      </c>
      <c r="E664" s="16" t="e">
        <f t="shared" si="1"/>
        <v>#N/A</v>
      </c>
      <c r="F664" s="16" t="e">
        <f t="shared" ref="F664:K664" si="1338">VLOOKUP($A664,[2]Educación!$A$1:$O$276,F$1,0)</f>
        <v>#N/A</v>
      </c>
      <c r="G664" s="39" t="e">
        <f t="shared" si="1338"/>
        <v>#N/A</v>
      </c>
      <c r="H664" s="16" t="e">
        <f t="shared" si="1338"/>
        <v>#N/A</v>
      </c>
      <c r="I664" s="16" t="e">
        <f t="shared" si="1338"/>
        <v>#N/A</v>
      </c>
      <c r="J664" s="40" t="e">
        <f t="shared" si="1338"/>
        <v>#N/A</v>
      </c>
      <c r="K664" s="16" t="e">
        <f t="shared" si="1338"/>
        <v>#N/A</v>
      </c>
      <c r="L664" s="40" t="e">
        <f t="shared" si="1213"/>
        <v>#N/A</v>
      </c>
      <c r="M664" s="16" t="e">
        <f t="shared" si="1214"/>
        <v>#N/A</v>
      </c>
      <c r="N664" s="16" t="e">
        <f t="shared" si="1215"/>
        <v>#N/A</v>
      </c>
      <c r="O664" s="16" t="s">
        <v>66</v>
      </c>
      <c r="P664" s="16" t="str">
        <f t="shared" si="6"/>
        <v/>
      </c>
      <c r="Q664" s="41" t="e">
        <f t="shared" si="1216"/>
        <v>#N/A</v>
      </c>
      <c r="R664" s="44"/>
      <c r="S664" s="44"/>
      <c r="T664" s="43"/>
      <c r="U664" s="43" t="str">
        <f t="shared" si="8"/>
        <v>No</v>
      </c>
      <c r="V664" s="25"/>
      <c r="W664" s="25"/>
      <c r="X664" s="25"/>
      <c r="Y664" s="25"/>
      <c r="Z664" s="25"/>
    </row>
    <row r="665" spans="1:26" ht="15.75" customHeight="1" x14ac:dyDescent="0.25">
      <c r="A665" s="25">
        <v>663</v>
      </c>
      <c r="B665" s="37" t="e">
        <f t="shared" ref="B665:D665" si="1339">VLOOKUP($A665,[2]Educación!$A$1:$O$276,B$1,0)</f>
        <v>#N/A</v>
      </c>
      <c r="C665" s="38" t="e">
        <f t="shared" si="1339"/>
        <v>#N/A</v>
      </c>
      <c r="D665" s="39" t="e">
        <f t="shared" si="1339"/>
        <v>#N/A</v>
      </c>
      <c r="E665" s="16" t="e">
        <f t="shared" si="1"/>
        <v>#N/A</v>
      </c>
      <c r="F665" s="16" t="e">
        <f t="shared" ref="F665:K665" si="1340">VLOOKUP($A665,[2]Educación!$A$1:$O$276,F$1,0)</f>
        <v>#N/A</v>
      </c>
      <c r="G665" s="39" t="e">
        <f t="shared" si="1340"/>
        <v>#N/A</v>
      </c>
      <c r="H665" s="16" t="e">
        <f t="shared" si="1340"/>
        <v>#N/A</v>
      </c>
      <c r="I665" s="16" t="e">
        <f t="shared" si="1340"/>
        <v>#N/A</v>
      </c>
      <c r="J665" s="40" t="e">
        <f t="shared" si="1340"/>
        <v>#N/A</v>
      </c>
      <c r="K665" s="16" t="e">
        <f t="shared" si="1340"/>
        <v>#N/A</v>
      </c>
      <c r="L665" s="40" t="e">
        <f t="shared" si="1213"/>
        <v>#N/A</v>
      </c>
      <c r="M665" s="16" t="e">
        <f t="shared" si="1214"/>
        <v>#N/A</v>
      </c>
      <c r="N665" s="16" t="e">
        <f t="shared" si="1215"/>
        <v>#N/A</v>
      </c>
      <c r="O665" s="16" t="s">
        <v>66</v>
      </c>
      <c r="P665" s="16" t="str">
        <f t="shared" si="6"/>
        <v/>
      </c>
      <c r="Q665" s="41" t="e">
        <f t="shared" si="1216"/>
        <v>#N/A</v>
      </c>
      <c r="R665" s="44"/>
      <c r="S665" s="44"/>
      <c r="T665" s="43"/>
      <c r="U665" s="43" t="str">
        <f t="shared" si="8"/>
        <v>No</v>
      </c>
      <c r="V665" s="25"/>
      <c r="W665" s="25"/>
      <c r="X665" s="25"/>
      <c r="Y665" s="25"/>
      <c r="Z665" s="25"/>
    </row>
    <row r="666" spans="1:26" ht="15.75" customHeight="1" x14ac:dyDescent="0.25">
      <c r="A666" s="25">
        <v>664</v>
      </c>
      <c r="B666" s="37" t="e">
        <f t="shared" ref="B666:D666" si="1341">VLOOKUP($A666,[2]Educación!$A$1:$O$276,B$1,0)</f>
        <v>#N/A</v>
      </c>
      <c r="C666" s="38" t="e">
        <f t="shared" si="1341"/>
        <v>#N/A</v>
      </c>
      <c r="D666" s="39" t="e">
        <f t="shared" si="1341"/>
        <v>#N/A</v>
      </c>
      <c r="E666" s="16" t="e">
        <f t="shared" si="1"/>
        <v>#N/A</v>
      </c>
      <c r="F666" s="16" t="e">
        <f t="shared" ref="F666:K666" si="1342">VLOOKUP($A666,[2]Educación!$A$1:$O$276,F$1,0)</f>
        <v>#N/A</v>
      </c>
      <c r="G666" s="39" t="e">
        <f t="shared" si="1342"/>
        <v>#N/A</v>
      </c>
      <c r="H666" s="16" t="e">
        <f t="shared" si="1342"/>
        <v>#N/A</v>
      </c>
      <c r="I666" s="16" t="e">
        <f t="shared" si="1342"/>
        <v>#N/A</v>
      </c>
      <c r="J666" s="40" t="e">
        <f t="shared" si="1342"/>
        <v>#N/A</v>
      </c>
      <c r="K666" s="16" t="e">
        <f t="shared" si="1342"/>
        <v>#N/A</v>
      </c>
      <c r="L666" s="40" t="e">
        <f t="shared" si="1213"/>
        <v>#N/A</v>
      </c>
      <c r="M666" s="16" t="e">
        <f t="shared" si="1214"/>
        <v>#N/A</v>
      </c>
      <c r="N666" s="16" t="e">
        <f t="shared" si="1215"/>
        <v>#N/A</v>
      </c>
      <c r="O666" s="16" t="s">
        <v>66</v>
      </c>
      <c r="P666" s="16" t="str">
        <f t="shared" si="6"/>
        <v/>
      </c>
      <c r="Q666" s="41" t="e">
        <f t="shared" si="1216"/>
        <v>#N/A</v>
      </c>
      <c r="R666" s="44"/>
      <c r="S666" s="44"/>
      <c r="T666" s="43"/>
      <c r="U666" s="43" t="str">
        <f t="shared" si="8"/>
        <v>No</v>
      </c>
      <c r="V666" s="25"/>
      <c r="W666" s="25"/>
      <c r="X666" s="25"/>
      <c r="Y666" s="25"/>
      <c r="Z666" s="25"/>
    </row>
    <row r="667" spans="1:26" ht="15.75" customHeight="1" x14ac:dyDescent="0.25">
      <c r="A667" s="25">
        <v>665</v>
      </c>
      <c r="B667" s="37" t="e">
        <f t="shared" ref="B667:D667" si="1343">VLOOKUP($A667,[2]Educación!$A$1:$O$276,B$1,0)</f>
        <v>#N/A</v>
      </c>
      <c r="C667" s="38" t="e">
        <f t="shared" si="1343"/>
        <v>#N/A</v>
      </c>
      <c r="D667" s="39" t="e">
        <f t="shared" si="1343"/>
        <v>#N/A</v>
      </c>
      <c r="E667" s="16" t="e">
        <f t="shared" si="1"/>
        <v>#N/A</v>
      </c>
      <c r="F667" s="16" t="e">
        <f t="shared" ref="F667:K667" si="1344">VLOOKUP($A667,[2]Educación!$A$1:$O$276,F$1,0)</f>
        <v>#N/A</v>
      </c>
      <c r="G667" s="39" t="e">
        <f t="shared" si="1344"/>
        <v>#N/A</v>
      </c>
      <c r="H667" s="16" t="e">
        <f t="shared" si="1344"/>
        <v>#N/A</v>
      </c>
      <c r="I667" s="16" t="e">
        <f t="shared" si="1344"/>
        <v>#N/A</v>
      </c>
      <c r="J667" s="40" t="e">
        <f t="shared" si="1344"/>
        <v>#N/A</v>
      </c>
      <c r="K667" s="16" t="e">
        <f t="shared" si="1344"/>
        <v>#N/A</v>
      </c>
      <c r="L667" s="40" t="e">
        <f t="shared" si="1213"/>
        <v>#N/A</v>
      </c>
      <c r="M667" s="16" t="e">
        <f t="shared" si="1214"/>
        <v>#N/A</v>
      </c>
      <c r="N667" s="16" t="e">
        <f t="shared" si="1215"/>
        <v>#N/A</v>
      </c>
      <c r="O667" s="16" t="s">
        <v>66</v>
      </c>
      <c r="P667" s="16" t="str">
        <f t="shared" si="6"/>
        <v/>
      </c>
      <c r="Q667" s="41" t="e">
        <f t="shared" si="1216"/>
        <v>#N/A</v>
      </c>
      <c r="R667" s="44"/>
      <c r="S667" s="44"/>
      <c r="T667" s="43"/>
      <c r="U667" s="43" t="str">
        <f t="shared" si="8"/>
        <v>No</v>
      </c>
      <c r="V667" s="25"/>
      <c r="W667" s="25"/>
      <c r="X667" s="25"/>
      <c r="Y667" s="25"/>
      <c r="Z667" s="25"/>
    </row>
    <row r="668" spans="1:26" ht="15.75" customHeight="1" x14ac:dyDescent="0.25">
      <c r="A668" s="25">
        <v>666</v>
      </c>
      <c r="B668" s="37" t="e">
        <f t="shared" ref="B668:D668" si="1345">VLOOKUP($A668,[2]Educación!$A$1:$O$276,B$1,0)</f>
        <v>#N/A</v>
      </c>
      <c r="C668" s="38" t="e">
        <f t="shared" si="1345"/>
        <v>#N/A</v>
      </c>
      <c r="D668" s="39" t="e">
        <f t="shared" si="1345"/>
        <v>#N/A</v>
      </c>
      <c r="E668" s="16" t="e">
        <f t="shared" si="1"/>
        <v>#N/A</v>
      </c>
      <c r="F668" s="16" t="e">
        <f t="shared" ref="F668:K668" si="1346">VLOOKUP($A668,[2]Educación!$A$1:$O$276,F$1,0)</f>
        <v>#N/A</v>
      </c>
      <c r="G668" s="39" t="e">
        <f t="shared" si="1346"/>
        <v>#N/A</v>
      </c>
      <c r="H668" s="16" t="e">
        <f t="shared" si="1346"/>
        <v>#N/A</v>
      </c>
      <c r="I668" s="16" t="e">
        <f t="shared" si="1346"/>
        <v>#N/A</v>
      </c>
      <c r="J668" s="40" t="e">
        <f t="shared" si="1346"/>
        <v>#N/A</v>
      </c>
      <c r="K668" s="16" t="e">
        <f t="shared" si="1346"/>
        <v>#N/A</v>
      </c>
      <c r="L668" s="40" t="e">
        <f t="shared" si="1213"/>
        <v>#N/A</v>
      </c>
      <c r="M668" s="16" t="e">
        <f t="shared" si="1214"/>
        <v>#N/A</v>
      </c>
      <c r="N668" s="16" t="e">
        <f t="shared" si="1215"/>
        <v>#N/A</v>
      </c>
      <c r="O668" s="16" t="s">
        <v>66</v>
      </c>
      <c r="P668" s="16" t="str">
        <f t="shared" si="6"/>
        <v/>
      </c>
      <c r="Q668" s="41" t="e">
        <f t="shared" si="1216"/>
        <v>#N/A</v>
      </c>
      <c r="R668" s="44"/>
      <c r="S668" s="44"/>
      <c r="T668" s="43"/>
      <c r="U668" s="43" t="str">
        <f t="shared" si="8"/>
        <v>No</v>
      </c>
      <c r="V668" s="25"/>
      <c r="W668" s="25"/>
      <c r="X668" s="25"/>
      <c r="Y668" s="25"/>
      <c r="Z668" s="25"/>
    </row>
    <row r="669" spans="1:26" ht="15.75" customHeight="1" x14ac:dyDescent="0.25">
      <c r="A669" s="25">
        <v>667</v>
      </c>
      <c r="B669" s="37" t="e">
        <f t="shared" ref="B669:D669" si="1347">VLOOKUP($A669,[2]Educación!$A$1:$O$276,B$1,0)</f>
        <v>#N/A</v>
      </c>
      <c r="C669" s="38" t="e">
        <f t="shared" si="1347"/>
        <v>#N/A</v>
      </c>
      <c r="D669" s="39" t="e">
        <f t="shared" si="1347"/>
        <v>#N/A</v>
      </c>
      <c r="E669" s="16" t="e">
        <f t="shared" si="1"/>
        <v>#N/A</v>
      </c>
      <c r="F669" s="16" t="e">
        <f t="shared" ref="F669:K669" si="1348">VLOOKUP($A669,[2]Educación!$A$1:$O$276,F$1,0)</f>
        <v>#N/A</v>
      </c>
      <c r="G669" s="39" t="e">
        <f t="shared" si="1348"/>
        <v>#N/A</v>
      </c>
      <c r="H669" s="16" t="e">
        <f t="shared" si="1348"/>
        <v>#N/A</v>
      </c>
      <c r="I669" s="16" t="e">
        <f t="shared" si="1348"/>
        <v>#N/A</v>
      </c>
      <c r="J669" s="40" t="e">
        <f t="shared" si="1348"/>
        <v>#N/A</v>
      </c>
      <c r="K669" s="16" t="e">
        <f t="shared" si="1348"/>
        <v>#N/A</v>
      </c>
      <c r="L669" s="40" t="e">
        <f t="shared" si="1213"/>
        <v>#N/A</v>
      </c>
      <c r="M669" s="16" t="e">
        <f t="shared" si="1214"/>
        <v>#N/A</v>
      </c>
      <c r="N669" s="16" t="e">
        <f t="shared" si="1215"/>
        <v>#N/A</v>
      </c>
      <c r="O669" s="16" t="s">
        <v>66</v>
      </c>
      <c r="P669" s="16" t="str">
        <f t="shared" si="6"/>
        <v/>
      </c>
      <c r="Q669" s="41" t="e">
        <f t="shared" si="1216"/>
        <v>#N/A</v>
      </c>
      <c r="R669" s="44"/>
      <c r="S669" s="44"/>
      <c r="T669" s="43"/>
      <c r="U669" s="43" t="str">
        <f t="shared" si="8"/>
        <v>No</v>
      </c>
      <c r="V669" s="25"/>
      <c r="W669" s="25"/>
      <c r="X669" s="25"/>
      <c r="Y669" s="25"/>
      <c r="Z669" s="25"/>
    </row>
    <row r="670" spans="1:26" ht="15.75" customHeight="1" x14ac:dyDescent="0.25">
      <c r="A670" s="25">
        <v>668</v>
      </c>
      <c r="B670" s="37" t="e">
        <f t="shared" ref="B670:D670" si="1349">VLOOKUP($A670,[2]Educación!$A$1:$O$276,B$1,0)</f>
        <v>#N/A</v>
      </c>
      <c r="C670" s="38" t="e">
        <f t="shared" si="1349"/>
        <v>#N/A</v>
      </c>
      <c r="D670" s="39" t="e">
        <f t="shared" si="1349"/>
        <v>#N/A</v>
      </c>
      <c r="E670" s="16" t="e">
        <f t="shared" si="1"/>
        <v>#N/A</v>
      </c>
      <c r="F670" s="16" t="e">
        <f t="shared" ref="F670:K670" si="1350">VLOOKUP($A670,[2]Educación!$A$1:$O$276,F$1,0)</f>
        <v>#N/A</v>
      </c>
      <c r="G670" s="39" t="e">
        <f t="shared" si="1350"/>
        <v>#N/A</v>
      </c>
      <c r="H670" s="16" t="e">
        <f t="shared" si="1350"/>
        <v>#N/A</v>
      </c>
      <c r="I670" s="16" t="e">
        <f t="shared" si="1350"/>
        <v>#N/A</v>
      </c>
      <c r="J670" s="40" t="e">
        <f t="shared" si="1350"/>
        <v>#N/A</v>
      </c>
      <c r="K670" s="16" t="e">
        <f t="shared" si="1350"/>
        <v>#N/A</v>
      </c>
      <c r="L670" s="40" t="e">
        <f t="shared" si="1213"/>
        <v>#N/A</v>
      </c>
      <c r="M670" s="16" t="e">
        <f t="shared" si="1214"/>
        <v>#N/A</v>
      </c>
      <c r="N670" s="16" t="e">
        <f t="shared" si="1215"/>
        <v>#N/A</v>
      </c>
      <c r="O670" s="16" t="s">
        <v>66</v>
      </c>
      <c r="P670" s="16" t="str">
        <f t="shared" si="6"/>
        <v/>
      </c>
      <c r="Q670" s="41" t="e">
        <f t="shared" si="1216"/>
        <v>#N/A</v>
      </c>
      <c r="R670" s="44"/>
      <c r="S670" s="44"/>
      <c r="T670" s="43"/>
      <c r="U670" s="43" t="str">
        <f t="shared" si="8"/>
        <v>No</v>
      </c>
      <c r="V670" s="25"/>
      <c r="W670" s="25"/>
      <c r="X670" s="25"/>
      <c r="Y670" s="25"/>
      <c r="Z670" s="25"/>
    </row>
    <row r="671" spans="1:26" ht="15.75" customHeight="1" x14ac:dyDescent="0.25">
      <c r="A671" s="25">
        <v>669</v>
      </c>
      <c r="B671" s="37" t="e">
        <f t="shared" ref="B671:D671" si="1351">VLOOKUP($A671,[2]Educación!$A$1:$O$276,B$1,0)</f>
        <v>#N/A</v>
      </c>
      <c r="C671" s="38" t="e">
        <f t="shared" si="1351"/>
        <v>#N/A</v>
      </c>
      <c r="D671" s="39" t="e">
        <f t="shared" si="1351"/>
        <v>#N/A</v>
      </c>
      <c r="E671" s="16" t="e">
        <f t="shared" si="1"/>
        <v>#N/A</v>
      </c>
      <c r="F671" s="16" t="e">
        <f t="shared" ref="F671:K671" si="1352">VLOOKUP($A671,[2]Educación!$A$1:$O$276,F$1,0)</f>
        <v>#N/A</v>
      </c>
      <c r="G671" s="39" t="e">
        <f t="shared" si="1352"/>
        <v>#N/A</v>
      </c>
      <c r="H671" s="16" t="e">
        <f t="shared" si="1352"/>
        <v>#N/A</v>
      </c>
      <c r="I671" s="16" t="e">
        <f t="shared" si="1352"/>
        <v>#N/A</v>
      </c>
      <c r="J671" s="40" t="e">
        <f t="shared" si="1352"/>
        <v>#N/A</v>
      </c>
      <c r="K671" s="16" t="e">
        <f t="shared" si="1352"/>
        <v>#N/A</v>
      </c>
      <c r="L671" s="40" t="e">
        <f t="shared" si="1213"/>
        <v>#N/A</v>
      </c>
      <c r="M671" s="16" t="e">
        <f t="shared" si="1214"/>
        <v>#N/A</v>
      </c>
      <c r="N671" s="16" t="e">
        <f t="shared" si="1215"/>
        <v>#N/A</v>
      </c>
      <c r="O671" s="16" t="s">
        <v>66</v>
      </c>
      <c r="P671" s="16" t="str">
        <f t="shared" si="6"/>
        <v/>
      </c>
      <c r="Q671" s="41" t="e">
        <f t="shared" si="1216"/>
        <v>#N/A</v>
      </c>
      <c r="R671" s="44"/>
      <c r="S671" s="44"/>
      <c r="T671" s="43"/>
      <c r="U671" s="43" t="str">
        <f t="shared" si="8"/>
        <v>No</v>
      </c>
      <c r="V671" s="25"/>
      <c r="W671" s="25"/>
      <c r="X671" s="25"/>
      <c r="Y671" s="25"/>
      <c r="Z671" s="25"/>
    </row>
    <row r="672" spans="1:26" ht="15.75" customHeight="1" x14ac:dyDescent="0.25">
      <c r="A672" s="25">
        <v>670</v>
      </c>
      <c r="B672" s="37" t="e">
        <f t="shared" ref="B672:D672" si="1353">VLOOKUP($A672,[2]Educación!$A$1:$O$276,B$1,0)</f>
        <v>#N/A</v>
      </c>
      <c r="C672" s="38" t="e">
        <f t="shared" si="1353"/>
        <v>#N/A</v>
      </c>
      <c r="D672" s="39" t="e">
        <f t="shared" si="1353"/>
        <v>#N/A</v>
      </c>
      <c r="E672" s="16" t="e">
        <f t="shared" si="1"/>
        <v>#N/A</v>
      </c>
      <c r="F672" s="16" t="e">
        <f t="shared" ref="F672:K672" si="1354">VLOOKUP($A672,[2]Educación!$A$1:$O$276,F$1,0)</f>
        <v>#N/A</v>
      </c>
      <c r="G672" s="39" t="e">
        <f t="shared" si="1354"/>
        <v>#N/A</v>
      </c>
      <c r="H672" s="16" t="e">
        <f t="shared" si="1354"/>
        <v>#N/A</v>
      </c>
      <c r="I672" s="16" t="e">
        <f t="shared" si="1354"/>
        <v>#N/A</v>
      </c>
      <c r="J672" s="40" t="e">
        <f t="shared" si="1354"/>
        <v>#N/A</v>
      </c>
      <c r="K672" s="16" t="e">
        <f t="shared" si="1354"/>
        <v>#N/A</v>
      </c>
      <c r="L672" s="40" t="e">
        <f t="shared" si="1213"/>
        <v>#N/A</v>
      </c>
      <c r="M672" s="16" t="e">
        <f t="shared" si="1214"/>
        <v>#N/A</v>
      </c>
      <c r="N672" s="16" t="e">
        <f t="shared" si="1215"/>
        <v>#N/A</v>
      </c>
      <c r="O672" s="16" t="s">
        <v>66</v>
      </c>
      <c r="P672" s="16" t="str">
        <f t="shared" si="6"/>
        <v/>
      </c>
      <c r="Q672" s="41" t="e">
        <f t="shared" si="1216"/>
        <v>#N/A</v>
      </c>
      <c r="R672" s="44"/>
      <c r="S672" s="44"/>
      <c r="T672" s="43"/>
      <c r="U672" s="43" t="str">
        <f t="shared" si="8"/>
        <v>No</v>
      </c>
      <c r="V672" s="25"/>
      <c r="W672" s="25"/>
      <c r="X672" s="25"/>
      <c r="Y672" s="25"/>
      <c r="Z672" s="25"/>
    </row>
    <row r="673" spans="1:26" ht="15.75" customHeight="1" x14ac:dyDescent="0.25">
      <c r="A673" s="25">
        <v>671</v>
      </c>
      <c r="B673" s="37" t="e">
        <f t="shared" ref="B673:D673" si="1355">VLOOKUP($A673,[2]Educación!$A$1:$O$276,B$1,0)</f>
        <v>#N/A</v>
      </c>
      <c r="C673" s="38" t="e">
        <f t="shared" si="1355"/>
        <v>#N/A</v>
      </c>
      <c r="D673" s="39" t="e">
        <f t="shared" si="1355"/>
        <v>#N/A</v>
      </c>
      <c r="E673" s="16" t="e">
        <f t="shared" si="1"/>
        <v>#N/A</v>
      </c>
      <c r="F673" s="16" t="e">
        <f t="shared" ref="F673:K673" si="1356">VLOOKUP($A673,[2]Educación!$A$1:$O$276,F$1,0)</f>
        <v>#N/A</v>
      </c>
      <c r="G673" s="39" t="e">
        <f t="shared" si="1356"/>
        <v>#N/A</v>
      </c>
      <c r="H673" s="16" t="e">
        <f t="shared" si="1356"/>
        <v>#N/A</v>
      </c>
      <c r="I673" s="16" t="e">
        <f t="shared" si="1356"/>
        <v>#N/A</v>
      </c>
      <c r="J673" s="40" t="e">
        <f t="shared" si="1356"/>
        <v>#N/A</v>
      </c>
      <c r="K673" s="16" t="e">
        <f t="shared" si="1356"/>
        <v>#N/A</v>
      </c>
      <c r="L673" s="40" t="e">
        <f t="shared" si="1213"/>
        <v>#N/A</v>
      </c>
      <c r="M673" s="16" t="e">
        <f t="shared" si="1214"/>
        <v>#N/A</v>
      </c>
      <c r="N673" s="16" t="e">
        <f t="shared" si="1215"/>
        <v>#N/A</v>
      </c>
      <c r="O673" s="16" t="s">
        <v>66</v>
      </c>
      <c r="P673" s="16" t="str">
        <f t="shared" si="6"/>
        <v/>
      </c>
      <c r="Q673" s="41" t="e">
        <f t="shared" si="1216"/>
        <v>#N/A</v>
      </c>
      <c r="R673" s="44"/>
      <c r="S673" s="44"/>
      <c r="T673" s="43"/>
      <c r="U673" s="43" t="str">
        <f t="shared" si="8"/>
        <v>No</v>
      </c>
      <c r="V673" s="25"/>
      <c r="W673" s="25"/>
      <c r="X673" s="25"/>
      <c r="Y673" s="25"/>
      <c r="Z673" s="25"/>
    </row>
    <row r="674" spans="1:26" ht="15.75" customHeight="1" x14ac:dyDescent="0.25">
      <c r="A674" s="25">
        <v>672</v>
      </c>
      <c r="B674" s="37" t="e">
        <f t="shared" ref="B674:D674" si="1357">VLOOKUP($A674,[2]Educación!$A$1:$O$276,B$1,0)</f>
        <v>#N/A</v>
      </c>
      <c r="C674" s="38" t="e">
        <f t="shared" si="1357"/>
        <v>#N/A</v>
      </c>
      <c r="D674" s="39" t="e">
        <f t="shared" si="1357"/>
        <v>#N/A</v>
      </c>
      <c r="E674" s="16" t="e">
        <f t="shared" si="1"/>
        <v>#N/A</v>
      </c>
      <c r="F674" s="16" t="e">
        <f t="shared" ref="F674:K674" si="1358">VLOOKUP($A674,[2]Educación!$A$1:$O$276,F$1,0)</f>
        <v>#N/A</v>
      </c>
      <c r="G674" s="39" t="e">
        <f t="shared" si="1358"/>
        <v>#N/A</v>
      </c>
      <c r="H674" s="16" t="e">
        <f t="shared" si="1358"/>
        <v>#N/A</v>
      </c>
      <c r="I674" s="16" t="e">
        <f t="shared" si="1358"/>
        <v>#N/A</v>
      </c>
      <c r="J674" s="40" t="e">
        <f t="shared" si="1358"/>
        <v>#N/A</v>
      </c>
      <c r="K674" s="16" t="e">
        <f t="shared" si="1358"/>
        <v>#N/A</v>
      </c>
      <c r="L674" s="40" t="e">
        <f t="shared" si="1213"/>
        <v>#N/A</v>
      </c>
      <c r="M674" s="16" t="e">
        <f t="shared" si="1214"/>
        <v>#N/A</v>
      </c>
      <c r="N674" s="16" t="e">
        <f t="shared" si="1215"/>
        <v>#N/A</v>
      </c>
      <c r="O674" s="16" t="s">
        <v>66</v>
      </c>
      <c r="P674" s="16" t="str">
        <f t="shared" si="6"/>
        <v/>
      </c>
      <c r="Q674" s="41" t="e">
        <f t="shared" si="1216"/>
        <v>#N/A</v>
      </c>
      <c r="R674" s="44"/>
      <c r="S674" s="44"/>
      <c r="T674" s="43"/>
      <c r="U674" s="43" t="str">
        <f t="shared" si="8"/>
        <v>No</v>
      </c>
      <c r="V674" s="25"/>
      <c r="W674" s="25"/>
      <c r="X674" s="25"/>
      <c r="Y674" s="25"/>
      <c r="Z674" s="25"/>
    </row>
    <row r="675" spans="1:26" ht="15.75" customHeight="1" x14ac:dyDescent="0.25">
      <c r="A675" s="25">
        <v>673</v>
      </c>
      <c r="B675" s="37" t="e">
        <f t="shared" ref="B675:D675" si="1359">VLOOKUP($A675,[2]Educación!$A$1:$O$276,B$1,0)</f>
        <v>#N/A</v>
      </c>
      <c r="C675" s="38" t="e">
        <f t="shared" si="1359"/>
        <v>#N/A</v>
      </c>
      <c r="D675" s="39" t="e">
        <f t="shared" si="1359"/>
        <v>#N/A</v>
      </c>
      <c r="E675" s="16" t="e">
        <f t="shared" si="1"/>
        <v>#N/A</v>
      </c>
      <c r="F675" s="16" t="e">
        <f t="shared" ref="F675:K675" si="1360">VLOOKUP($A675,[2]Educación!$A$1:$O$276,F$1,0)</f>
        <v>#N/A</v>
      </c>
      <c r="G675" s="39" t="e">
        <f t="shared" si="1360"/>
        <v>#N/A</v>
      </c>
      <c r="H675" s="16" t="e">
        <f t="shared" si="1360"/>
        <v>#N/A</v>
      </c>
      <c r="I675" s="16" t="e">
        <f t="shared" si="1360"/>
        <v>#N/A</v>
      </c>
      <c r="J675" s="40" t="e">
        <f t="shared" si="1360"/>
        <v>#N/A</v>
      </c>
      <c r="K675" s="16" t="e">
        <f t="shared" si="1360"/>
        <v>#N/A</v>
      </c>
      <c r="L675" s="40" t="e">
        <f t="shared" si="1213"/>
        <v>#N/A</v>
      </c>
      <c r="M675" s="16" t="e">
        <f t="shared" si="1214"/>
        <v>#N/A</v>
      </c>
      <c r="N675" s="16" t="e">
        <f t="shared" si="1215"/>
        <v>#N/A</v>
      </c>
      <c r="O675" s="16" t="s">
        <v>66</v>
      </c>
      <c r="P675" s="16" t="str">
        <f t="shared" si="6"/>
        <v/>
      </c>
      <c r="Q675" s="41" t="e">
        <f t="shared" si="1216"/>
        <v>#N/A</v>
      </c>
      <c r="R675" s="44"/>
      <c r="S675" s="44"/>
      <c r="T675" s="43"/>
      <c r="U675" s="43" t="str">
        <f t="shared" si="8"/>
        <v>No</v>
      </c>
      <c r="V675" s="25"/>
      <c r="W675" s="25"/>
      <c r="X675" s="25"/>
      <c r="Y675" s="25"/>
      <c r="Z675" s="25"/>
    </row>
    <row r="676" spans="1:26" ht="15.75" customHeight="1" x14ac:dyDescent="0.25">
      <c r="A676" s="25">
        <v>674</v>
      </c>
      <c r="B676" s="37" t="e">
        <f t="shared" ref="B676:D676" si="1361">VLOOKUP($A676,[2]Educación!$A$1:$O$276,B$1,0)</f>
        <v>#N/A</v>
      </c>
      <c r="C676" s="38" t="e">
        <f t="shared" si="1361"/>
        <v>#N/A</v>
      </c>
      <c r="D676" s="39" t="e">
        <f t="shared" si="1361"/>
        <v>#N/A</v>
      </c>
      <c r="E676" s="16" t="e">
        <f t="shared" si="1"/>
        <v>#N/A</v>
      </c>
      <c r="F676" s="16" t="e">
        <f t="shared" ref="F676:K676" si="1362">VLOOKUP($A676,[2]Educación!$A$1:$O$276,F$1,0)</f>
        <v>#N/A</v>
      </c>
      <c r="G676" s="39" t="e">
        <f t="shared" si="1362"/>
        <v>#N/A</v>
      </c>
      <c r="H676" s="16" t="e">
        <f t="shared" si="1362"/>
        <v>#N/A</v>
      </c>
      <c r="I676" s="16" t="e">
        <f t="shared" si="1362"/>
        <v>#N/A</v>
      </c>
      <c r="J676" s="40" t="e">
        <f t="shared" si="1362"/>
        <v>#N/A</v>
      </c>
      <c r="K676" s="16" t="e">
        <f t="shared" si="1362"/>
        <v>#N/A</v>
      </c>
      <c r="L676" s="40" t="e">
        <f t="shared" si="1213"/>
        <v>#N/A</v>
      </c>
      <c r="M676" s="16" t="e">
        <f t="shared" si="1214"/>
        <v>#N/A</v>
      </c>
      <c r="N676" s="16" t="e">
        <f t="shared" si="1215"/>
        <v>#N/A</v>
      </c>
      <c r="O676" s="16" t="s">
        <v>66</v>
      </c>
      <c r="P676" s="16" t="str">
        <f t="shared" si="6"/>
        <v/>
      </c>
      <c r="Q676" s="41" t="e">
        <f t="shared" si="1216"/>
        <v>#N/A</v>
      </c>
      <c r="R676" s="44"/>
      <c r="S676" s="44"/>
      <c r="T676" s="43"/>
      <c r="U676" s="43" t="str">
        <f t="shared" si="8"/>
        <v>No</v>
      </c>
      <c r="V676" s="25"/>
      <c r="W676" s="25"/>
      <c r="X676" s="25"/>
      <c r="Y676" s="25"/>
      <c r="Z676" s="25"/>
    </row>
    <row r="677" spans="1:26" ht="15.75" customHeight="1" x14ac:dyDescent="0.25">
      <c r="A677" s="25">
        <v>675</v>
      </c>
      <c r="B677" s="37" t="e">
        <f t="shared" ref="B677:D677" si="1363">VLOOKUP($A677,[2]Educación!$A$1:$O$276,B$1,0)</f>
        <v>#N/A</v>
      </c>
      <c r="C677" s="38" t="e">
        <f t="shared" si="1363"/>
        <v>#N/A</v>
      </c>
      <c r="D677" s="39" t="e">
        <f t="shared" si="1363"/>
        <v>#N/A</v>
      </c>
      <c r="E677" s="16" t="e">
        <f t="shared" si="1"/>
        <v>#N/A</v>
      </c>
      <c r="F677" s="16" t="e">
        <f t="shared" ref="F677:K677" si="1364">VLOOKUP($A677,[2]Educación!$A$1:$O$276,F$1,0)</f>
        <v>#N/A</v>
      </c>
      <c r="G677" s="39" t="e">
        <f t="shared" si="1364"/>
        <v>#N/A</v>
      </c>
      <c r="H677" s="16" t="e">
        <f t="shared" si="1364"/>
        <v>#N/A</v>
      </c>
      <c r="I677" s="16" t="e">
        <f t="shared" si="1364"/>
        <v>#N/A</v>
      </c>
      <c r="J677" s="40" t="e">
        <f t="shared" si="1364"/>
        <v>#N/A</v>
      </c>
      <c r="K677" s="16" t="e">
        <f t="shared" si="1364"/>
        <v>#N/A</v>
      </c>
      <c r="L677" s="40" t="e">
        <f t="shared" si="1213"/>
        <v>#N/A</v>
      </c>
      <c r="M677" s="16" t="e">
        <f t="shared" si="1214"/>
        <v>#N/A</v>
      </c>
      <c r="N677" s="16" t="e">
        <f t="shared" si="1215"/>
        <v>#N/A</v>
      </c>
      <c r="O677" s="16" t="s">
        <v>66</v>
      </c>
      <c r="P677" s="16" t="str">
        <f t="shared" si="6"/>
        <v/>
      </c>
      <c r="Q677" s="41" t="e">
        <f t="shared" si="1216"/>
        <v>#N/A</v>
      </c>
      <c r="R677" s="44"/>
      <c r="S677" s="44"/>
      <c r="T677" s="43"/>
      <c r="U677" s="43" t="str">
        <f t="shared" si="8"/>
        <v>No</v>
      </c>
      <c r="V677" s="25"/>
      <c r="W677" s="25"/>
      <c r="X677" s="25"/>
      <c r="Y677" s="25"/>
      <c r="Z677" s="25"/>
    </row>
    <row r="678" spans="1:26" ht="15.75" customHeight="1" x14ac:dyDescent="0.25">
      <c r="A678" s="25">
        <v>676</v>
      </c>
      <c r="B678" s="37" t="e">
        <f t="shared" ref="B678:D678" si="1365">VLOOKUP($A678,[2]Educación!$A$1:$O$276,B$1,0)</f>
        <v>#N/A</v>
      </c>
      <c r="C678" s="38" t="e">
        <f t="shared" si="1365"/>
        <v>#N/A</v>
      </c>
      <c r="D678" s="39" t="e">
        <f t="shared" si="1365"/>
        <v>#N/A</v>
      </c>
      <c r="E678" s="16" t="e">
        <f t="shared" si="1"/>
        <v>#N/A</v>
      </c>
      <c r="F678" s="16" t="e">
        <f t="shared" ref="F678:K678" si="1366">VLOOKUP($A678,[2]Educación!$A$1:$O$276,F$1,0)</f>
        <v>#N/A</v>
      </c>
      <c r="G678" s="39" t="e">
        <f t="shared" si="1366"/>
        <v>#N/A</v>
      </c>
      <c r="H678" s="16" t="e">
        <f t="shared" si="1366"/>
        <v>#N/A</v>
      </c>
      <c r="I678" s="16" t="e">
        <f t="shared" si="1366"/>
        <v>#N/A</v>
      </c>
      <c r="J678" s="40" t="e">
        <f t="shared" si="1366"/>
        <v>#N/A</v>
      </c>
      <c r="K678" s="16" t="e">
        <f t="shared" si="1366"/>
        <v>#N/A</v>
      </c>
      <c r="L678" s="40" t="e">
        <f t="shared" si="1213"/>
        <v>#N/A</v>
      </c>
      <c r="M678" s="16" t="e">
        <f t="shared" si="1214"/>
        <v>#N/A</v>
      </c>
      <c r="N678" s="16" t="e">
        <f t="shared" si="1215"/>
        <v>#N/A</v>
      </c>
      <c r="O678" s="16" t="s">
        <v>66</v>
      </c>
      <c r="P678" s="16" t="str">
        <f t="shared" si="6"/>
        <v/>
      </c>
      <c r="Q678" s="41" t="e">
        <f t="shared" si="1216"/>
        <v>#N/A</v>
      </c>
      <c r="R678" s="44"/>
      <c r="S678" s="44"/>
      <c r="T678" s="43"/>
      <c r="U678" s="43" t="str">
        <f t="shared" si="8"/>
        <v>No</v>
      </c>
      <c r="V678" s="25"/>
      <c r="W678" s="25"/>
      <c r="X678" s="25"/>
      <c r="Y678" s="25"/>
      <c r="Z678" s="25"/>
    </row>
    <row r="679" spans="1:26" ht="15.75" customHeight="1" x14ac:dyDescent="0.25">
      <c r="A679" s="25">
        <v>677</v>
      </c>
      <c r="B679" s="37" t="e">
        <f t="shared" ref="B679:D679" si="1367">VLOOKUP($A679,[2]Educación!$A$1:$O$276,B$1,0)</f>
        <v>#N/A</v>
      </c>
      <c r="C679" s="38" t="e">
        <f t="shared" si="1367"/>
        <v>#N/A</v>
      </c>
      <c r="D679" s="39" t="e">
        <f t="shared" si="1367"/>
        <v>#N/A</v>
      </c>
      <c r="E679" s="16" t="e">
        <f t="shared" si="1"/>
        <v>#N/A</v>
      </c>
      <c r="F679" s="16" t="e">
        <f t="shared" ref="F679:K679" si="1368">VLOOKUP($A679,[2]Educación!$A$1:$O$276,F$1,0)</f>
        <v>#N/A</v>
      </c>
      <c r="G679" s="39" t="e">
        <f t="shared" si="1368"/>
        <v>#N/A</v>
      </c>
      <c r="H679" s="16" t="e">
        <f t="shared" si="1368"/>
        <v>#N/A</v>
      </c>
      <c r="I679" s="16" t="e">
        <f t="shared" si="1368"/>
        <v>#N/A</v>
      </c>
      <c r="J679" s="40" t="e">
        <f t="shared" si="1368"/>
        <v>#N/A</v>
      </c>
      <c r="K679" s="16" t="e">
        <f t="shared" si="1368"/>
        <v>#N/A</v>
      </c>
      <c r="L679" s="40" t="e">
        <f t="shared" si="1213"/>
        <v>#N/A</v>
      </c>
      <c r="M679" s="16" t="e">
        <f t="shared" si="1214"/>
        <v>#N/A</v>
      </c>
      <c r="N679" s="16" t="e">
        <f t="shared" si="1215"/>
        <v>#N/A</v>
      </c>
      <c r="O679" s="16" t="s">
        <v>66</v>
      </c>
      <c r="P679" s="16" t="str">
        <f t="shared" si="6"/>
        <v/>
      </c>
      <c r="Q679" s="41" t="e">
        <f t="shared" si="1216"/>
        <v>#N/A</v>
      </c>
      <c r="R679" s="44"/>
      <c r="S679" s="44"/>
      <c r="T679" s="43"/>
      <c r="U679" s="43" t="str">
        <f t="shared" si="8"/>
        <v>No</v>
      </c>
      <c r="V679" s="25"/>
      <c r="W679" s="25"/>
      <c r="X679" s="25"/>
      <c r="Y679" s="25"/>
      <c r="Z679" s="25"/>
    </row>
    <row r="680" spans="1:26" ht="15.75" customHeight="1" x14ac:dyDescent="0.25">
      <c r="A680" s="25">
        <v>678</v>
      </c>
      <c r="B680" s="37" t="e">
        <f t="shared" ref="B680:D680" si="1369">VLOOKUP($A680,[2]Educación!$A$1:$O$276,B$1,0)</f>
        <v>#N/A</v>
      </c>
      <c r="C680" s="38" t="e">
        <f t="shared" si="1369"/>
        <v>#N/A</v>
      </c>
      <c r="D680" s="39" t="e">
        <f t="shared" si="1369"/>
        <v>#N/A</v>
      </c>
      <c r="E680" s="16" t="e">
        <f t="shared" si="1"/>
        <v>#N/A</v>
      </c>
      <c r="F680" s="16" t="e">
        <f t="shared" ref="F680:K680" si="1370">VLOOKUP($A680,[2]Educación!$A$1:$O$276,F$1,0)</f>
        <v>#N/A</v>
      </c>
      <c r="G680" s="39" t="e">
        <f t="shared" si="1370"/>
        <v>#N/A</v>
      </c>
      <c r="H680" s="16" t="e">
        <f t="shared" si="1370"/>
        <v>#N/A</v>
      </c>
      <c r="I680" s="16" t="e">
        <f t="shared" si="1370"/>
        <v>#N/A</v>
      </c>
      <c r="J680" s="40" t="e">
        <f t="shared" si="1370"/>
        <v>#N/A</v>
      </c>
      <c r="K680" s="16" t="e">
        <f t="shared" si="1370"/>
        <v>#N/A</v>
      </c>
      <c r="L680" s="40" t="e">
        <f t="shared" si="1213"/>
        <v>#N/A</v>
      </c>
      <c r="M680" s="16" t="e">
        <f t="shared" si="1214"/>
        <v>#N/A</v>
      </c>
      <c r="N680" s="16" t="e">
        <f t="shared" si="1215"/>
        <v>#N/A</v>
      </c>
      <c r="O680" s="16" t="s">
        <v>66</v>
      </c>
      <c r="P680" s="16" t="str">
        <f t="shared" si="6"/>
        <v/>
      </c>
      <c r="Q680" s="41" t="e">
        <f t="shared" si="1216"/>
        <v>#N/A</v>
      </c>
      <c r="R680" s="44"/>
      <c r="S680" s="44"/>
      <c r="T680" s="43"/>
      <c r="U680" s="43" t="str">
        <f t="shared" si="8"/>
        <v>No</v>
      </c>
      <c r="V680" s="25"/>
      <c r="W680" s="25"/>
      <c r="X680" s="25"/>
      <c r="Y680" s="25"/>
      <c r="Z680" s="25"/>
    </row>
    <row r="681" spans="1:26" ht="15.75" customHeight="1" x14ac:dyDescent="0.25">
      <c r="A681" s="25">
        <v>679</v>
      </c>
      <c r="B681" s="37" t="e">
        <f t="shared" ref="B681:D681" si="1371">VLOOKUP($A681,[2]Educación!$A$1:$O$276,B$1,0)</f>
        <v>#N/A</v>
      </c>
      <c r="C681" s="38" t="e">
        <f t="shared" si="1371"/>
        <v>#N/A</v>
      </c>
      <c r="D681" s="39" t="e">
        <f t="shared" si="1371"/>
        <v>#N/A</v>
      </c>
      <c r="E681" s="16" t="e">
        <f t="shared" si="1"/>
        <v>#N/A</v>
      </c>
      <c r="F681" s="16" t="e">
        <f t="shared" ref="F681:K681" si="1372">VLOOKUP($A681,[2]Educación!$A$1:$O$276,F$1,0)</f>
        <v>#N/A</v>
      </c>
      <c r="G681" s="39" t="e">
        <f t="shared" si="1372"/>
        <v>#N/A</v>
      </c>
      <c r="H681" s="16" t="e">
        <f t="shared" si="1372"/>
        <v>#N/A</v>
      </c>
      <c r="I681" s="16" t="e">
        <f t="shared" si="1372"/>
        <v>#N/A</v>
      </c>
      <c r="J681" s="40" t="e">
        <f t="shared" si="1372"/>
        <v>#N/A</v>
      </c>
      <c r="K681" s="16" t="e">
        <f t="shared" si="1372"/>
        <v>#N/A</v>
      </c>
      <c r="L681" s="40" t="e">
        <f t="shared" si="1213"/>
        <v>#N/A</v>
      </c>
      <c r="M681" s="16" t="e">
        <f t="shared" si="1214"/>
        <v>#N/A</v>
      </c>
      <c r="N681" s="16" t="e">
        <f t="shared" si="1215"/>
        <v>#N/A</v>
      </c>
      <c r="O681" s="16" t="s">
        <v>66</v>
      </c>
      <c r="P681" s="16" t="str">
        <f t="shared" si="6"/>
        <v/>
      </c>
      <c r="Q681" s="41" t="e">
        <f t="shared" si="1216"/>
        <v>#N/A</v>
      </c>
      <c r="R681" s="44"/>
      <c r="S681" s="44"/>
      <c r="T681" s="43"/>
      <c r="U681" s="43" t="str">
        <f t="shared" si="8"/>
        <v>No</v>
      </c>
      <c r="V681" s="25"/>
      <c r="W681" s="25"/>
      <c r="X681" s="25"/>
      <c r="Y681" s="25"/>
      <c r="Z681" s="25"/>
    </row>
    <row r="682" spans="1:26" ht="15.75" customHeight="1" x14ac:dyDescent="0.25">
      <c r="A682" s="25">
        <v>680</v>
      </c>
      <c r="B682" s="37" t="e">
        <f t="shared" ref="B682:D682" si="1373">VLOOKUP($A682,[2]Educación!$A$1:$O$276,B$1,0)</f>
        <v>#N/A</v>
      </c>
      <c r="C682" s="38" t="e">
        <f t="shared" si="1373"/>
        <v>#N/A</v>
      </c>
      <c r="D682" s="39" t="e">
        <f t="shared" si="1373"/>
        <v>#N/A</v>
      </c>
      <c r="E682" s="16" t="e">
        <f t="shared" si="1"/>
        <v>#N/A</v>
      </c>
      <c r="F682" s="16" t="e">
        <f t="shared" ref="F682:K682" si="1374">VLOOKUP($A682,[2]Educación!$A$1:$O$276,F$1,0)</f>
        <v>#N/A</v>
      </c>
      <c r="G682" s="39" t="e">
        <f t="shared" si="1374"/>
        <v>#N/A</v>
      </c>
      <c r="H682" s="16" t="e">
        <f t="shared" si="1374"/>
        <v>#N/A</v>
      </c>
      <c r="I682" s="16" t="e">
        <f t="shared" si="1374"/>
        <v>#N/A</v>
      </c>
      <c r="J682" s="40" t="e">
        <f t="shared" si="1374"/>
        <v>#N/A</v>
      </c>
      <c r="K682" s="16" t="e">
        <f t="shared" si="1374"/>
        <v>#N/A</v>
      </c>
      <c r="L682" s="40" t="e">
        <f t="shared" si="1213"/>
        <v>#N/A</v>
      </c>
      <c r="M682" s="16" t="e">
        <f t="shared" si="1214"/>
        <v>#N/A</v>
      </c>
      <c r="N682" s="16" t="e">
        <f t="shared" si="1215"/>
        <v>#N/A</v>
      </c>
      <c r="O682" s="16" t="s">
        <v>66</v>
      </c>
      <c r="P682" s="16" t="str">
        <f t="shared" si="6"/>
        <v/>
      </c>
      <c r="Q682" s="41" t="e">
        <f t="shared" si="1216"/>
        <v>#N/A</v>
      </c>
      <c r="R682" s="44"/>
      <c r="S682" s="44"/>
      <c r="T682" s="43"/>
      <c r="U682" s="43" t="str">
        <f t="shared" si="8"/>
        <v>No</v>
      </c>
      <c r="V682" s="25"/>
      <c r="W682" s="25"/>
      <c r="X682" s="25"/>
      <c r="Y682" s="25"/>
      <c r="Z682" s="25"/>
    </row>
    <row r="683" spans="1:26" ht="15.75" customHeight="1" x14ac:dyDescent="0.25">
      <c r="A683" s="25">
        <v>681</v>
      </c>
      <c r="B683" s="37" t="e">
        <f t="shared" ref="B683:D683" si="1375">VLOOKUP($A683,[2]Educación!$A$1:$O$276,B$1,0)</f>
        <v>#N/A</v>
      </c>
      <c r="C683" s="38" t="e">
        <f t="shared" si="1375"/>
        <v>#N/A</v>
      </c>
      <c r="D683" s="39" t="e">
        <f t="shared" si="1375"/>
        <v>#N/A</v>
      </c>
      <c r="E683" s="16" t="e">
        <f t="shared" si="1"/>
        <v>#N/A</v>
      </c>
      <c r="F683" s="16" t="e">
        <f t="shared" ref="F683:K683" si="1376">VLOOKUP($A683,[2]Educación!$A$1:$O$276,F$1,0)</f>
        <v>#N/A</v>
      </c>
      <c r="G683" s="39" t="e">
        <f t="shared" si="1376"/>
        <v>#N/A</v>
      </c>
      <c r="H683" s="16" t="e">
        <f t="shared" si="1376"/>
        <v>#N/A</v>
      </c>
      <c r="I683" s="16" t="e">
        <f t="shared" si="1376"/>
        <v>#N/A</v>
      </c>
      <c r="J683" s="40" t="e">
        <f t="shared" si="1376"/>
        <v>#N/A</v>
      </c>
      <c r="K683" s="16" t="e">
        <f t="shared" si="1376"/>
        <v>#N/A</v>
      </c>
      <c r="L683" s="40" t="e">
        <f t="shared" si="1213"/>
        <v>#N/A</v>
      </c>
      <c r="M683" s="16" t="e">
        <f t="shared" si="1214"/>
        <v>#N/A</v>
      </c>
      <c r="N683" s="16" t="e">
        <f t="shared" si="1215"/>
        <v>#N/A</v>
      </c>
      <c r="O683" s="16" t="s">
        <v>66</v>
      </c>
      <c r="P683" s="16" t="str">
        <f t="shared" si="6"/>
        <v/>
      </c>
      <c r="Q683" s="41" t="e">
        <f t="shared" si="1216"/>
        <v>#N/A</v>
      </c>
      <c r="R683" s="44"/>
      <c r="S683" s="44"/>
      <c r="T683" s="43"/>
      <c r="U683" s="43" t="str">
        <f t="shared" si="8"/>
        <v>No</v>
      </c>
      <c r="V683" s="25"/>
      <c r="W683" s="25"/>
      <c r="X683" s="25"/>
      <c r="Y683" s="25"/>
      <c r="Z683" s="25"/>
    </row>
    <row r="684" spans="1:26" ht="15.75" customHeight="1" x14ac:dyDescent="0.25">
      <c r="A684" s="25">
        <v>682</v>
      </c>
      <c r="B684" s="37" t="e">
        <f t="shared" ref="B684:D684" si="1377">VLOOKUP($A684,[2]Educación!$A$1:$O$276,B$1,0)</f>
        <v>#N/A</v>
      </c>
      <c r="C684" s="38" t="e">
        <f t="shared" si="1377"/>
        <v>#N/A</v>
      </c>
      <c r="D684" s="39" t="e">
        <f t="shared" si="1377"/>
        <v>#N/A</v>
      </c>
      <c r="E684" s="16" t="e">
        <f t="shared" si="1"/>
        <v>#N/A</v>
      </c>
      <c r="F684" s="16" t="e">
        <f t="shared" ref="F684:K684" si="1378">VLOOKUP($A684,[2]Educación!$A$1:$O$276,F$1,0)</f>
        <v>#N/A</v>
      </c>
      <c r="G684" s="39" t="e">
        <f t="shared" si="1378"/>
        <v>#N/A</v>
      </c>
      <c r="H684" s="16" t="e">
        <f t="shared" si="1378"/>
        <v>#N/A</v>
      </c>
      <c r="I684" s="16" t="e">
        <f t="shared" si="1378"/>
        <v>#N/A</v>
      </c>
      <c r="J684" s="40" t="e">
        <f t="shared" si="1378"/>
        <v>#N/A</v>
      </c>
      <c r="K684" s="16" t="e">
        <f t="shared" si="1378"/>
        <v>#N/A</v>
      </c>
      <c r="L684" s="40" t="e">
        <f t="shared" si="1213"/>
        <v>#N/A</v>
      </c>
      <c r="M684" s="16" t="e">
        <f t="shared" si="1214"/>
        <v>#N/A</v>
      </c>
      <c r="N684" s="16" t="e">
        <f t="shared" si="1215"/>
        <v>#N/A</v>
      </c>
      <c r="O684" s="16" t="s">
        <v>66</v>
      </c>
      <c r="P684" s="16" t="str">
        <f t="shared" si="6"/>
        <v/>
      </c>
      <c r="Q684" s="41" t="e">
        <f t="shared" si="1216"/>
        <v>#N/A</v>
      </c>
      <c r="R684" s="44"/>
      <c r="S684" s="44"/>
      <c r="T684" s="43"/>
      <c r="U684" s="43" t="str">
        <f t="shared" si="8"/>
        <v>No</v>
      </c>
      <c r="V684" s="25"/>
      <c r="W684" s="25"/>
      <c r="X684" s="25"/>
      <c r="Y684" s="25"/>
      <c r="Z684" s="25"/>
    </row>
    <row r="685" spans="1:26" ht="15.75" customHeight="1" x14ac:dyDescent="0.25">
      <c r="A685" s="25">
        <v>683</v>
      </c>
      <c r="B685" s="37" t="e">
        <f t="shared" ref="B685:D685" si="1379">VLOOKUP($A685,[2]Educación!$A$1:$O$276,B$1,0)</f>
        <v>#N/A</v>
      </c>
      <c r="C685" s="38" t="e">
        <f t="shared" si="1379"/>
        <v>#N/A</v>
      </c>
      <c r="D685" s="39" t="e">
        <f t="shared" si="1379"/>
        <v>#N/A</v>
      </c>
      <c r="E685" s="16" t="e">
        <f t="shared" si="1"/>
        <v>#N/A</v>
      </c>
      <c r="F685" s="16" t="e">
        <f t="shared" ref="F685:K685" si="1380">VLOOKUP($A685,[2]Educación!$A$1:$O$276,F$1,0)</f>
        <v>#N/A</v>
      </c>
      <c r="G685" s="39" t="e">
        <f t="shared" si="1380"/>
        <v>#N/A</v>
      </c>
      <c r="H685" s="16" t="e">
        <f t="shared" si="1380"/>
        <v>#N/A</v>
      </c>
      <c r="I685" s="16" t="e">
        <f t="shared" si="1380"/>
        <v>#N/A</v>
      </c>
      <c r="J685" s="40" t="e">
        <f t="shared" si="1380"/>
        <v>#N/A</v>
      </c>
      <c r="K685" s="16" t="e">
        <f t="shared" si="1380"/>
        <v>#N/A</v>
      </c>
      <c r="L685" s="40" t="e">
        <f t="shared" si="1213"/>
        <v>#N/A</v>
      </c>
      <c r="M685" s="16" t="e">
        <f t="shared" si="1214"/>
        <v>#N/A</v>
      </c>
      <c r="N685" s="16" t="e">
        <f t="shared" si="1215"/>
        <v>#N/A</v>
      </c>
      <c r="O685" s="16" t="s">
        <v>66</v>
      </c>
      <c r="P685" s="16" t="str">
        <f t="shared" si="6"/>
        <v/>
      </c>
      <c r="Q685" s="41" t="e">
        <f t="shared" si="1216"/>
        <v>#N/A</v>
      </c>
      <c r="R685" s="44"/>
      <c r="S685" s="44"/>
      <c r="T685" s="43"/>
      <c r="U685" s="43" t="str">
        <f t="shared" si="8"/>
        <v>No</v>
      </c>
      <c r="V685" s="25"/>
      <c r="W685" s="25"/>
      <c r="X685" s="25"/>
      <c r="Y685" s="25"/>
      <c r="Z685" s="25"/>
    </row>
    <row r="686" spans="1:26" ht="15.75" customHeight="1" x14ac:dyDescent="0.25">
      <c r="A686" s="25">
        <v>684</v>
      </c>
      <c r="B686" s="37" t="e">
        <f t="shared" ref="B686:D686" si="1381">VLOOKUP($A686,[2]Educación!$A$1:$O$276,B$1,0)</f>
        <v>#N/A</v>
      </c>
      <c r="C686" s="38" t="e">
        <f t="shared" si="1381"/>
        <v>#N/A</v>
      </c>
      <c r="D686" s="39" t="e">
        <f t="shared" si="1381"/>
        <v>#N/A</v>
      </c>
      <c r="E686" s="16" t="e">
        <f t="shared" si="1"/>
        <v>#N/A</v>
      </c>
      <c r="F686" s="16" t="e">
        <f t="shared" ref="F686:K686" si="1382">VLOOKUP($A686,[2]Educación!$A$1:$O$276,F$1,0)</f>
        <v>#N/A</v>
      </c>
      <c r="G686" s="39" t="e">
        <f t="shared" si="1382"/>
        <v>#N/A</v>
      </c>
      <c r="H686" s="16" t="e">
        <f t="shared" si="1382"/>
        <v>#N/A</v>
      </c>
      <c r="I686" s="16" t="e">
        <f t="shared" si="1382"/>
        <v>#N/A</v>
      </c>
      <c r="J686" s="40" t="e">
        <f t="shared" si="1382"/>
        <v>#N/A</v>
      </c>
      <c r="K686" s="16" t="e">
        <f t="shared" si="1382"/>
        <v>#N/A</v>
      </c>
      <c r="L686" s="40" t="e">
        <f t="shared" si="1213"/>
        <v>#N/A</v>
      </c>
      <c r="M686" s="16" t="e">
        <f t="shared" si="1214"/>
        <v>#N/A</v>
      </c>
      <c r="N686" s="16" t="e">
        <f t="shared" si="1215"/>
        <v>#N/A</v>
      </c>
      <c r="O686" s="16" t="s">
        <v>66</v>
      </c>
      <c r="P686" s="16" t="str">
        <f t="shared" si="6"/>
        <v/>
      </c>
      <c r="Q686" s="41" t="e">
        <f t="shared" si="1216"/>
        <v>#N/A</v>
      </c>
      <c r="R686" s="44"/>
      <c r="S686" s="44"/>
      <c r="T686" s="43"/>
      <c r="U686" s="43" t="str">
        <f t="shared" si="8"/>
        <v>No</v>
      </c>
      <c r="V686" s="25"/>
      <c r="W686" s="25"/>
      <c r="X686" s="25"/>
      <c r="Y686" s="25"/>
      <c r="Z686" s="25"/>
    </row>
    <row r="687" spans="1:26" ht="15.75" customHeight="1" x14ac:dyDescent="0.25">
      <c r="A687" s="25">
        <v>685</v>
      </c>
      <c r="B687" s="37" t="e">
        <f t="shared" ref="B687:D687" si="1383">VLOOKUP($A687,[2]Educación!$A$1:$O$276,B$1,0)</f>
        <v>#N/A</v>
      </c>
      <c r="C687" s="38" t="e">
        <f t="shared" si="1383"/>
        <v>#N/A</v>
      </c>
      <c r="D687" s="39" t="e">
        <f t="shared" si="1383"/>
        <v>#N/A</v>
      </c>
      <c r="E687" s="16" t="e">
        <f t="shared" si="1"/>
        <v>#N/A</v>
      </c>
      <c r="F687" s="16" t="e">
        <f t="shared" ref="F687:K687" si="1384">VLOOKUP($A687,[2]Educación!$A$1:$O$276,F$1,0)</f>
        <v>#N/A</v>
      </c>
      <c r="G687" s="39" t="e">
        <f t="shared" si="1384"/>
        <v>#N/A</v>
      </c>
      <c r="H687" s="16" t="e">
        <f t="shared" si="1384"/>
        <v>#N/A</v>
      </c>
      <c r="I687" s="16" t="e">
        <f t="shared" si="1384"/>
        <v>#N/A</v>
      </c>
      <c r="J687" s="40" t="e">
        <f t="shared" si="1384"/>
        <v>#N/A</v>
      </c>
      <c r="K687" s="16" t="e">
        <f t="shared" si="1384"/>
        <v>#N/A</v>
      </c>
      <c r="L687" s="40" t="e">
        <f t="shared" si="1213"/>
        <v>#N/A</v>
      </c>
      <c r="M687" s="16" t="e">
        <f t="shared" si="1214"/>
        <v>#N/A</v>
      </c>
      <c r="N687" s="16" t="e">
        <f t="shared" si="1215"/>
        <v>#N/A</v>
      </c>
      <c r="O687" s="16" t="s">
        <v>66</v>
      </c>
      <c r="P687" s="16" t="str">
        <f t="shared" si="6"/>
        <v/>
      </c>
      <c r="Q687" s="41" t="e">
        <f t="shared" si="1216"/>
        <v>#N/A</v>
      </c>
      <c r="R687" s="44"/>
      <c r="S687" s="44"/>
      <c r="T687" s="43"/>
      <c r="U687" s="43" t="str">
        <f t="shared" si="8"/>
        <v>No</v>
      </c>
      <c r="V687" s="25"/>
      <c r="W687" s="25"/>
      <c r="X687" s="25"/>
      <c r="Y687" s="25"/>
      <c r="Z687" s="25"/>
    </row>
    <row r="688" spans="1:26" ht="15.75" customHeight="1" x14ac:dyDescent="0.25">
      <c r="A688" s="25">
        <v>686</v>
      </c>
      <c r="B688" s="37" t="e">
        <f t="shared" ref="B688:D688" si="1385">VLOOKUP($A688,[2]Educación!$A$1:$O$276,B$1,0)</f>
        <v>#N/A</v>
      </c>
      <c r="C688" s="38" t="e">
        <f t="shared" si="1385"/>
        <v>#N/A</v>
      </c>
      <c r="D688" s="39" t="e">
        <f t="shared" si="1385"/>
        <v>#N/A</v>
      </c>
      <c r="E688" s="16" t="e">
        <f t="shared" si="1"/>
        <v>#N/A</v>
      </c>
      <c r="F688" s="16" t="e">
        <f t="shared" ref="F688:K688" si="1386">VLOOKUP($A688,[2]Educación!$A$1:$O$276,F$1,0)</f>
        <v>#N/A</v>
      </c>
      <c r="G688" s="39" t="e">
        <f t="shared" si="1386"/>
        <v>#N/A</v>
      </c>
      <c r="H688" s="16" t="e">
        <f t="shared" si="1386"/>
        <v>#N/A</v>
      </c>
      <c r="I688" s="16" t="e">
        <f t="shared" si="1386"/>
        <v>#N/A</v>
      </c>
      <c r="J688" s="40" t="e">
        <f t="shared" si="1386"/>
        <v>#N/A</v>
      </c>
      <c r="K688" s="16" t="e">
        <f t="shared" si="1386"/>
        <v>#N/A</v>
      </c>
      <c r="L688" s="40" t="e">
        <f t="shared" si="1213"/>
        <v>#N/A</v>
      </c>
      <c r="M688" s="16" t="e">
        <f t="shared" si="1214"/>
        <v>#N/A</v>
      </c>
      <c r="N688" s="16" t="e">
        <f t="shared" si="1215"/>
        <v>#N/A</v>
      </c>
      <c r="O688" s="16" t="s">
        <v>66</v>
      </c>
      <c r="P688" s="16" t="str">
        <f t="shared" si="6"/>
        <v/>
      </c>
      <c r="Q688" s="41" t="e">
        <f t="shared" si="1216"/>
        <v>#N/A</v>
      </c>
      <c r="R688" s="44"/>
      <c r="S688" s="44"/>
      <c r="T688" s="43"/>
      <c r="U688" s="43" t="str">
        <f t="shared" si="8"/>
        <v>No</v>
      </c>
      <c r="V688" s="25"/>
      <c r="W688" s="25"/>
      <c r="X688" s="25"/>
      <c r="Y688" s="25"/>
      <c r="Z688" s="25"/>
    </row>
    <row r="689" spans="1:26" ht="15.75" customHeight="1" x14ac:dyDescent="0.25">
      <c r="A689" s="25">
        <v>687</v>
      </c>
      <c r="B689" s="37" t="e">
        <f t="shared" ref="B689:D689" si="1387">VLOOKUP($A689,[2]Educación!$A$1:$O$276,B$1,0)</f>
        <v>#N/A</v>
      </c>
      <c r="C689" s="38" t="e">
        <f t="shared" si="1387"/>
        <v>#N/A</v>
      </c>
      <c r="D689" s="39" t="e">
        <f t="shared" si="1387"/>
        <v>#N/A</v>
      </c>
      <c r="E689" s="16" t="e">
        <f t="shared" si="1"/>
        <v>#N/A</v>
      </c>
      <c r="F689" s="16" t="e">
        <f t="shared" ref="F689:K689" si="1388">VLOOKUP($A689,[2]Educación!$A$1:$O$276,F$1,0)</f>
        <v>#N/A</v>
      </c>
      <c r="G689" s="39" t="e">
        <f t="shared" si="1388"/>
        <v>#N/A</v>
      </c>
      <c r="H689" s="16" t="e">
        <f t="shared" si="1388"/>
        <v>#N/A</v>
      </c>
      <c r="I689" s="16" t="e">
        <f t="shared" si="1388"/>
        <v>#N/A</v>
      </c>
      <c r="J689" s="40" t="e">
        <f t="shared" si="1388"/>
        <v>#N/A</v>
      </c>
      <c r="K689" s="16" t="e">
        <f t="shared" si="1388"/>
        <v>#N/A</v>
      </c>
      <c r="L689" s="40" t="e">
        <f t="shared" si="1213"/>
        <v>#N/A</v>
      </c>
      <c r="M689" s="16" t="e">
        <f t="shared" si="1214"/>
        <v>#N/A</v>
      </c>
      <c r="N689" s="16" t="e">
        <f t="shared" si="1215"/>
        <v>#N/A</v>
      </c>
      <c r="O689" s="16" t="s">
        <v>66</v>
      </c>
      <c r="P689" s="16" t="str">
        <f t="shared" si="6"/>
        <v/>
      </c>
      <c r="Q689" s="41" t="e">
        <f t="shared" si="1216"/>
        <v>#N/A</v>
      </c>
      <c r="R689" s="44"/>
      <c r="S689" s="44"/>
      <c r="T689" s="43"/>
      <c r="U689" s="43" t="str">
        <f t="shared" si="8"/>
        <v>No</v>
      </c>
      <c r="V689" s="25"/>
      <c r="W689" s="25"/>
      <c r="X689" s="25"/>
      <c r="Y689" s="25"/>
      <c r="Z689" s="25"/>
    </row>
    <row r="690" spans="1:26" ht="15.75" customHeight="1" x14ac:dyDescent="0.25">
      <c r="A690" s="25">
        <v>688</v>
      </c>
      <c r="B690" s="37" t="e">
        <f t="shared" ref="B690:D690" si="1389">VLOOKUP($A690,[2]Educación!$A$1:$O$276,B$1,0)</f>
        <v>#N/A</v>
      </c>
      <c r="C690" s="38" t="e">
        <f t="shared" si="1389"/>
        <v>#N/A</v>
      </c>
      <c r="D690" s="39" t="e">
        <f t="shared" si="1389"/>
        <v>#N/A</v>
      </c>
      <c r="E690" s="16" t="e">
        <f t="shared" si="1"/>
        <v>#N/A</v>
      </c>
      <c r="F690" s="16" t="e">
        <f t="shared" ref="F690:K690" si="1390">VLOOKUP($A690,[2]Educación!$A$1:$O$276,F$1,0)</f>
        <v>#N/A</v>
      </c>
      <c r="G690" s="39" t="e">
        <f t="shared" si="1390"/>
        <v>#N/A</v>
      </c>
      <c r="H690" s="16" t="e">
        <f t="shared" si="1390"/>
        <v>#N/A</v>
      </c>
      <c r="I690" s="16" t="e">
        <f t="shared" si="1390"/>
        <v>#N/A</v>
      </c>
      <c r="J690" s="40" t="e">
        <f t="shared" si="1390"/>
        <v>#N/A</v>
      </c>
      <c r="K690" s="16" t="e">
        <f t="shared" si="1390"/>
        <v>#N/A</v>
      </c>
      <c r="L690" s="40" t="e">
        <f t="shared" si="1213"/>
        <v>#N/A</v>
      </c>
      <c r="M690" s="16" t="e">
        <f t="shared" si="1214"/>
        <v>#N/A</v>
      </c>
      <c r="N690" s="16" t="e">
        <f t="shared" si="1215"/>
        <v>#N/A</v>
      </c>
      <c r="O690" s="16" t="s">
        <v>66</v>
      </c>
      <c r="P690" s="16" t="str">
        <f t="shared" si="6"/>
        <v/>
      </c>
      <c r="Q690" s="41" t="e">
        <f t="shared" si="1216"/>
        <v>#N/A</v>
      </c>
      <c r="R690" s="44"/>
      <c r="S690" s="44"/>
      <c r="T690" s="43"/>
      <c r="U690" s="43" t="str">
        <f t="shared" si="8"/>
        <v>No</v>
      </c>
      <c r="V690" s="25"/>
      <c r="W690" s="25"/>
      <c r="X690" s="25"/>
      <c r="Y690" s="25"/>
      <c r="Z690" s="25"/>
    </row>
    <row r="691" spans="1:26" ht="15.75" customHeight="1" x14ac:dyDescent="0.25">
      <c r="A691" s="25">
        <v>689</v>
      </c>
      <c r="B691" s="37" t="e">
        <f t="shared" ref="B691:D691" si="1391">VLOOKUP($A691,[2]Educación!$A$1:$O$276,B$1,0)</f>
        <v>#N/A</v>
      </c>
      <c r="C691" s="38" t="e">
        <f t="shared" si="1391"/>
        <v>#N/A</v>
      </c>
      <c r="D691" s="39" t="e">
        <f t="shared" si="1391"/>
        <v>#N/A</v>
      </c>
      <c r="E691" s="16" t="e">
        <f t="shared" si="1"/>
        <v>#N/A</v>
      </c>
      <c r="F691" s="16" t="e">
        <f t="shared" ref="F691:K691" si="1392">VLOOKUP($A691,[2]Educación!$A$1:$O$276,F$1,0)</f>
        <v>#N/A</v>
      </c>
      <c r="G691" s="39" t="e">
        <f t="shared" si="1392"/>
        <v>#N/A</v>
      </c>
      <c r="H691" s="16" t="e">
        <f t="shared" si="1392"/>
        <v>#N/A</v>
      </c>
      <c r="I691" s="16" t="e">
        <f t="shared" si="1392"/>
        <v>#N/A</v>
      </c>
      <c r="J691" s="40" t="e">
        <f t="shared" si="1392"/>
        <v>#N/A</v>
      </c>
      <c r="K691" s="16" t="e">
        <f t="shared" si="1392"/>
        <v>#N/A</v>
      </c>
      <c r="L691" s="40" t="e">
        <f t="shared" si="1213"/>
        <v>#N/A</v>
      </c>
      <c r="M691" s="16" t="e">
        <f t="shared" si="1214"/>
        <v>#N/A</v>
      </c>
      <c r="N691" s="16" t="e">
        <f t="shared" si="1215"/>
        <v>#N/A</v>
      </c>
      <c r="O691" s="16" t="s">
        <v>66</v>
      </c>
      <c r="P691" s="16" t="str">
        <f t="shared" si="6"/>
        <v/>
      </c>
      <c r="Q691" s="41" t="e">
        <f t="shared" si="1216"/>
        <v>#N/A</v>
      </c>
      <c r="R691" s="44"/>
      <c r="S691" s="44"/>
      <c r="T691" s="43"/>
      <c r="U691" s="43" t="str">
        <f t="shared" si="8"/>
        <v>No</v>
      </c>
      <c r="V691" s="25"/>
      <c r="W691" s="25"/>
      <c r="X691" s="25"/>
      <c r="Y691" s="25"/>
      <c r="Z691" s="25"/>
    </row>
    <row r="692" spans="1:26" ht="15.75" customHeight="1" x14ac:dyDescent="0.25">
      <c r="A692" s="25">
        <v>690</v>
      </c>
      <c r="B692" s="37" t="e">
        <f t="shared" ref="B692:D692" si="1393">VLOOKUP($A692,[2]Educación!$A$1:$O$276,B$1,0)</f>
        <v>#N/A</v>
      </c>
      <c r="C692" s="38" t="e">
        <f t="shared" si="1393"/>
        <v>#N/A</v>
      </c>
      <c r="D692" s="39" t="e">
        <f t="shared" si="1393"/>
        <v>#N/A</v>
      </c>
      <c r="E692" s="16" t="e">
        <f t="shared" si="1"/>
        <v>#N/A</v>
      </c>
      <c r="F692" s="16" t="e">
        <f t="shared" ref="F692:K692" si="1394">VLOOKUP($A692,[2]Educación!$A$1:$O$276,F$1,0)</f>
        <v>#N/A</v>
      </c>
      <c r="G692" s="39" t="e">
        <f t="shared" si="1394"/>
        <v>#N/A</v>
      </c>
      <c r="H692" s="16" t="e">
        <f t="shared" si="1394"/>
        <v>#N/A</v>
      </c>
      <c r="I692" s="16" t="e">
        <f t="shared" si="1394"/>
        <v>#N/A</v>
      </c>
      <c r="J692" s="40" t="e">
        <f t="shared" si="1394"/>
        <v>#N/A</v>
      </c>
      <c r="K692" s="16" t="e">
        <f t="shared" si="1394"/>
        <v>#N/A</v>
      </c>
      <c r="L692" s="40" t="e">
        <f t="shared" si="1213"/>
        <v>#N/A</v>
      </c>
      <c r="M692" s="16" t="e">
        <f t="shared" si="1214"/>
        <v>#N/A</v>
      </c>
      <c r="N692" s="16" t="e">
        <f t="shared" si="1215"/>
        <v>#N/A</v>
      </c>
      <c r="O692" s="16" t="s">
        <v>66</v>
      </c>
      <c r="P692" s="16" t="str">
        <f t="shared" si="6"/>
        <v/>
      </c>
      <c r="Q692" s="41" t="e">
        <f t="shared" si="1216"/>
        <v>#N/A</v>
      </c>
      <c r="R692" s="44"/>
      <c r="S692" s="44"/>
      <c r="T692" s="43"/>
      <c r="U692" s="43" t="str">
        <f t="shared" si="8"/>
        <v>No</v>
      </c>
      <c r="V692" s="25"/>
      <c r="W692" s="25"/>
      <c r="X692" s="25"/>
      <c r="Y692" s="25"/>
      <c r="Z692" s="25"/>
    </row>
    <row r="693" spans="1:26" ht="15.75" customHeight="1" x14ac:dyDescent="0.25">
      <c r="A693" s="25">
        <v>691</v>
      </c>
      <c r="B693" s="37" t="e">
        <f t="shared" ref="B693:D693" si="1395">VLOOKUP($A693,[2]Educación!$A$1:$O$276,B$1,0)</f>
        <v>#N/A</v>
      </c>
      <c r="C693" s="38" t="e">
        <f t="shared" si="1395"/>
        <v>#N/A</v>
      </c>
      <c r="D693" s="39" t="e">
        <f t="shared" si="1395"/>
        <v>#N/A</v>
      </c>
      <c r="E693" s="16" t="e">
        <f t="shared" si="1"/>
        <v>#N/A</v>
      </c>
      <c r="F693" s="16" t="e">
        <f t="shared" ref="F693:K693" si="1396">VLOOKUP($A693,[2]Educación!$A$1:$O$276,F$1,0)</f>
        <v>#N/A</v>
      </c>
      <c r="G693" s="39" t="e">
        <f t="shared" si="1396"/>
        <v>#N/A</v>
      </c>
      <c r="H693" s="16" t="e">
        <f t="shared" si="1396"/>
        <v>#N/A</v>
      </c>
      <c r="I693" s="16" t="e">
        <f t="shared" si="1396"/>
        <v>#N/A</v>
      </c>
      <c r="J693" s="40" t="e">
        <f t="shared" si="1396"/>
        <v>#N/A</v>
      </c>
      <c r="K693" s="16" t="e">
        <f t="shared" si="1396"/>
        <v>#N/A</v>
      </c>
      <c r="L693" s="40" t="e">
        <f t="shared" si="1213"/>
        <v>#N/A</v>
      </c>
      <c r="M693" s="16" t="e">
        <f t="shared" si="1214"/>
        <v>#N/A</v>
      </c>
      <c r="N693" s="16" t="e">
        <f t="shared" si="1215"/>
        <v>#N/A</v>
      </c>
      <c r="O693" s="16" t="s">
        <v>66</v>
      </c>
      <c r="P693" s="16" t="str">
        <f t="shared" si="6"/>
        <v/>
      </c>
      <c r="Q693" s="41" t="e">
        <f t="shared" si="1216"/>
        <v>#N/A</v>
      </c>
      <c r="R693" s="44"/>
      <c r="S693" s="44"/>
      <c r="T693" s="43"/>
      <c r="U693" s="43" t="str">
        <f t="shared" si="8"/>
        <v>No</v>
      </c>
      <c r="V693" s="25"/>
      <c r="W693" s="25"/>
      <c r="X693" s="25"/>
      <c r="Y693" s="25"/>
      <c r="Z693" s="25"/>
    </row>
    <row r="694" spans="1:26" ht="15.75" customHeight="1" x14ac:dyDescent="0.25">
      <c r="A694" s="25">
        <v>692</v>
      </c>
      <c r="B694" s="37" t="e">
        <f t="shared" ref="B694:D694" si="1397">VLOOKUP($A694,[2]Educación!$A$1:$O$276,B$1,0)</f>
        <v>#N/A</v>
      </c>
      <c r="C694" s="38" t="e">
        <f t="shared" si="1397"/>
        <v>#N/A</v>
      </c>
      <c r="D694" s="39" t="e">
        <f t="shared" si="1397"/>
        <v>#N/A</v>
      </c>
      <c r="E694" s="16" t="e">
        <f t="shared" si="1"/>
        <v>#N/A</v>
      </c>
      <c r="F694" s="16" t="e">
        <f t="shared" ref="F694:K694" si="1398">VLOOKUP($A694,[2]Educación!$A$1:$O$276,F$1,0)</f>
        <v>#N/A</v>
      </c>
      <c r="G694" s="39" t="e">
        <f t="shared" si="1398"/>
        <v>#N/A</v>
      </c>
      <c r="H694" s="16" t="e">
        <f t="shared" si="1398"/>
        <v>#N/A</v>
      </c>
      <c r="I694" s="16" t="e">
        <f t="shared" si="1398"/>
        <v>#N/A</v>
      </c>
      <c r="J694" s="40" t="e">
        <f t="shared" si="1398"/>
        <v>#N/A</v>
      </c>
      <c r="K694" s="16" t="e">
        <f t="shared" si="1398"/>
        <v>#N/A</v>
      </c>
      <c r="L694" s="40" t="e">
        <f t="shared" si="1213"/>
        <v>#N/A</v>
      </c>
      <c r="M694" s="16" t="e">
        <f t="shared" si="1214"/>
        <v>#N/A</v>
      </c>
      <c r="N694" s="16" t="e">
        <f t="shared" si="1215"/>
        <v>#N/A</v>
      </c>
      <c r="O694" s="16" t="s">
        <v>66</v>
      </c>
      <c r="P694" s="16" t="str">
        <f t="shared" si="6"/>
        <v/>
      </c>
      <c r="Q694" s="41" t="e">
        <f t="shared" si="1216"/>
        <v>#N/A</v>
      </c>
      <c r="R694" s="44"/>
      <c r="S694" s="44"/>
      <c r="T694" s="43"/>
      <c r="U694" s="43" t="str">
        <f t="shared" si="8"/>
        <v>No</v>
      </c>
      <c r="V694" s="25"/>
      <c r="W694" s="25"/>
      <c r="X694" s="25"/>
      <c r="Y694" s="25"/>
      <c r="Z694" s="25"/>
    </row>
    <row r="695" spans="1:26" ht="15.75" customHeight="1" x14ac:dyDescent="0.25">
      <c r="A695" s="25">
        <v>693</v>
      </c>
      <c r="B695" s="37" t="e">
        <f t="shared" ref="B695:D695" si="1399">VLOOKUP($A695,[2]Educación!$A$1:$O$276,B$1,0)</f>
        <v>#N/A</v>
      </c>
      <c r="C695" s="38" t="e">
        <f t="shared" si="1399"/>
        <v>#N/A</v>
      </c>
      <c r="D695" s="39" t="e">
        <f t="shared" si="1399"/>
        <v>#N/A</v>
      </c>
      <c r="E695" s="16" t="e">
        <f t="shared" si="1"/>
        <v>#N/A</v>
      </c>
      <c r="F695" s="16" t="e">
        <f t="shared" ref="F695:K695" si="1400">VLOOKUP($A695,[2]Educación!$A$1:$O$276,F$1,0)</f>
        <v>#N/A</v>
      </c>
      <c r="G695" s="39" t="e">
        <f t="shared" si="1400"/>
        <v>#N/A</v>
      </c>
      <c r="H695" s="16" t="e">
        <f t="shared" si="1400"/>
        <v>#N/A</v>
      </c>
      <c r="I695" s="16" t="e">
        <f t="shared" si="1400"/>
        <v>#N/A</v>
      </c>
      <c r="J695" s="40" t="e">
        <f t="shared" si="1400"/>
        <v>#N/A</v>
      </c>
      <c r="K695" s="16" t="e">
        <f t="shared" si="1400"/>
        <v>#N/A</v>
      </c>
      <c r="L695" s="40" t="e">
        <f t="shared" si="1213"/>
        <v>#N/A</v>
      </c>
      <c r="M695" s="16" t="e">
        <f t="shared" si="1214"/>
        <v>#N/A</v>
      </c>
      <c r="N695" s="16" t="e">
        <f t="shared" si="1215"/>
        <v>#N/A</v>
      </c>
      <c r="O695" s="16" t="s">
        <v>66</v>
      </c>
      <c r="P695" s="16" t="str">
        <f t="shared" si="6"/>
        <v/>
      </c>
      <c r="Q695" s="41" t="e">
        <f t="shared" si="1216"/>
        <v>#N/A</v>
      </c>
      <c r="R695" s="44"/>
      <c r="S695" s="44"/>
      <c r="T695" s="43"/>
      <c r="U695" s="43" t="str">
        <f t="shared" si="8"/>
        <v>No</v>
      </c>
      <c r="V695" s="25"/>
      <c r="W695" s="25"/>
      <c r="X695" s="25"/>
      <c r="Y695" s="25"/>
      <c r="Z695" s="25"/>
    </row>
    <row r="696" spans="1:26" ht="15.75" customHeight="1" x14ac:dyDescent="0.25">
      <c r="A696" s="25">
        <v>694</v>
      </c>
      <c r="B696" s="37" t="e">
        <f t="shared" ref="B696:D696" si="1401">VLOOKUP($A696,[2]Educación!$A$1:$O$276,B$1,0)</f>
        <v>#N/A</v>
      </c>
      <c r="C696" s="38" t="e">
        <f t="shared" si="1401"/>
        <v>#N/A</v>
      </c>
      <c r="D696" s="39" t="e">
        <f t="shared" si="1401"/>
        <v>#N/A</v>
      </c>
      <c r="E696" s="16" t="e">
        <f t="shared" si="1"/>
        <v>#N/A</v>
      </c>
      <c r="F696" s="16" t="e">
        <f t="shared" ref="F696:K696" si="1402">VLOOKUP($A696,[2]Educación!$A$1:$O$276,F$1,0)</f>
        <v>#N/A</v>
      </c>
      <c r="G696" s="39" t="e">
        <f t="shared" si="1402"/>
        <v>#N/A</v>
      </c>
      <c r="H696" s="16" t="e">
        <f t="shared" si="1402"/>
        <v>#N/A</v>
      </c>
      <c r="I696" s="16" t="e">
        <f t="shared" si="1402"/>
        <v>#N/A</v>
      </c>
      <c r="J696" s="40" t="e">
        <f t="shared" si="1402"/>
        <v>#N/A</v>
      </c>
      <c r="K696" s="16" t="e">
        <f t="shared" si="1402"/>
        <v>#N/A</v>
      </c>
      <c r="L696" s="40" t="e">
        <f t="shared" si="1213"/>
        <v>#N/A</v>
      </c>
      <c r="M696" s="16" t="e">
        <f t="shared" si="1214"/>
        <v>#N/A</v>
      </c>
      <c r="N696" s="16" t="e">
        <f t="shared" si="1215"/>
        <v>#N/A</v>
      </c>
      <c r="O696" s="16" t="s">
        <v>66</v>
      </c>
      <c r="P696" s="16" t="str">
        <f t="shared" si="6"/>
        <v/>
      </c>
      <c r="Q696" s="41" t="e">
        <f t="shared" si="1216"/>
        <v>#N/A</v>
      </c>
      <c r="R696" s="44"/>
      <c r="S696" s="44"/>
      <c r="T696" s="43"/>
      <c r="U696" s="43" t="str">
        <f t="shared" si="8"/>
        <v>No</v>
      </c>
      <c r="V696" s="25"/>
      <c r="W696" s="25"/>
      <c r="X696" s="25"/>
      <c r="Y696" s="25"/>
      <c r="Z696" s="25"/>
    </row>
    <row r="697" spans="1:26" ht="15.75" customHeight="1" x14ac:dyDescent="0.25">
      <c r="A697" s="25">
        <v>695</v>
      </c>
      <c r="B697" s="37" t="e">
        <f t="shared" ref="B697:D697" si="1403">VLOOKUP($A697,[2]Educación!$A$1:$O$276,B$1,0)</f>
        <v>#N/A</v>
      </c>
      <c r="C697" s="38" t="e">
        <f t="shared" si="1403"/>
        <v>#N/A</v>
      </c>
      <c r="D697" s="39" t="e">
        <f t="shared" si="1403"/>
        <v>#N/A</v>
      </c>
      <c r="E697" s="16" t="e">
        <f t="shared" si="1"/>
        <v>#N/A</v>
      </c>
      <c r="F697" s="16" t="e">
        <f t="shared" ref="F697:K697" si="1404">VLOOKUP($A697,[2]Educación!$A$1:$O$276,F$1,0)</f>
        <v>#N/A</v>
      </c>
      <c r="G697" s="39" t="e">
        <f t="shared" si="1404"/>
        <v>#N/A</v>
      </c>
      <c r="H697" s="16" t="e">
        <f t="shared" si="1404"/>
        <v>#N/A</v>
      </c>
      <c r="I697" s="16" t="e">
        <f t="shared" si="1404"/>
        <v>#N/A</v>
      </c>
      <c r="J697" s="40" t="e">
        <f t="shared" si="1404"/>
        <v>#N/A</v>
      </c>
      <c r="K697" s="16" t="e">
        <f t="shared" si="1404"/>
        <v>#N/A</v>
      </c>
      <c r="L697" s="40" t="e">
        <f t="shared" si="1213"/>
        <v>#N/A</v>
      </c>
      <c r="M697" s="16" t="e">
        <f t="shared" si="1214"/>
        <v>#N/A</v>
      </c>
      <c r="N697" s="16" t="e">
        <f t="shared" si="1215"/>
        <v>#N/A</v>
      </c>
      <c r="O697" s="16" t="s">
        <v>66</v>
      </c>
      <c r="P697" s="16" t="str">
        <f t="shared" si="6"/>
        <v/>
      </c>
      <c r="Q697" s="41" t="e">
        <f t="shared" si="1216"/>
        <v>#N/A</v>
      </c>
      <c r="R697" s="44"/>
      <c r="S697" s="44"/>
      <c r="T697" s="43"/>
      <c r="U697" s="43" t="str">
        <f t="shared" si="8"/>
        <v>No</v>
      </c>
      <c r="V697" s="25"/>
      <c r="W697" s="25"/>
      <c r="X697" s="25"/>
      <c r="Y697" s="25"/>
      <c r="Z697" s="25"/>
    </row>
    <row r="698" spans="1:26" ht="15.75" customHeight="1" x14ac:dyDescent="0.25">
      <c r="A698" s="25">
        <v>696</v>
      </c>
      <c r="B698" s="37" t="e">
        <f t="shared" ref="B698:D698" si="1405">VLOOKUP($A698,[2]Educación!$A$1:$O$276,B$1,0)</f>
        <v>#N/A</v>
      </c>
      <c r="C698" s="38" t="e">
        <f t="shared" si="1405"/>
        <v>#N/A</v>
      </c>
      <c r="D698" s="39" t="e">
        <f t="shared" si="1405"/>
        <v>#N/A</v>
      </c>
      <c r="E698" s="16" t="e">
        <f t="shared" si="1"/>
        <v>#N/A</v>
      </c>
      <c r="F698" s="16" t="e">
        <f t="shared" ref="F698:K698" si="1406">VLOOKUP($A698,[2]Educación!$A$1:$O$276,F$1,0)</f>
        <v>#N/A</v>
      </c>
      <c r="G698" s="39" t="e">
        <f t="shared" si="1406"/>
        <v>#N/A</v>
      </c>
      <c r="H698" s="16" t="e">
        <f t="shared" si="1406"/>
        <v>#N/A</v>
      </c>
      <c r="I698" s="16" t="e">
        <f t="shared" si="1406"/>
        <v>#N/A</v>
      </c>
      <c r="J698" s="40" t="e">
        <f t="shared" si="1406"/>
        <v>#N/A</v>
      </c>
      <c r="K698" s="16" t="e">
        <f t="shared" si="1406"/>
        <v>#N/A</v>
      </c>
      <c r="L698" s="40" t="e">
        <f t="shared" si="1213"/>
        <v>#N/A</v>
      </c>
      <c r="M698" s="16" t="e">
        <f t="shared" si="1214"/>
        <v>#N/A</v>
      </c>
      <c r="N698" s="16" t="e">
        <f t="shared" si="1215"/>
        <v>#N/A</v>
      </c>
      <c r="O698" s="16" t="s">
        <v>66</v>
      </c>
      <c r="P698" s="16" t="str">
        <f t="shared" si="6"/>
        <v/>
      </c>
      <c r="Q698" s="41" t="e">
        <f t="shared" si="1216"/>
        <v>#N/A</v>
      </c>
      <c r="R698" s="44"/>
      <c r="S698" s="44"/>
      <c r="T698" s="43"/>
      <c r="U698" s="43" t="str">
        <f t="shared" si="8"/>
        <v>No</v>
      </c>
      <c r="V698" s="25"/>
      <c r="W698" s="25"/>
      <c r="X698" s="25"/>
      <c r="Y698" s="25"/>
      <c r="Z698" s="25"/>
    </row>
    <row r="699" spans="1:26" ht="15.75" customHeight="1" x14ac:dyDescent="0.25">
      <c r="A699" s="25">
        <v>697</v>
      </c>
      <c r="B699" s="37" t="e">
        <f t="shared" ref="B699:D699" si="1407">VLOOKUP($A699,[2]Educación!$A$1:$O$276,B$1,0)</f>
        <v>#N/A</v>
      </c>
      <c r="C699" s="38" t="e">
        <f t="shared" si="1407"/>
        <v>#N/A</v>
      </c>
      <c r="D699" s="39" t="e">
        <f t="shared" si="1407"/>
        <v>#N/A</v>
      </c>
      <c r="E699" s="16" t="e">
        <f t="shared" si="1"/>
        <v>#N/A</v>
      </c>
      <c r="F699" s="16" t="e">
        <f t="shared" ref="F699:K699" si="1408">VLOOKUP($A699,[2]Educación!$A$1:$O$276,F$1,0)</f>
        <v>#N/A</v>
      </c>
      <c r="G699" s="39" t="e">
        <f t="shared" si="1408"/>
        <v>#N/A</v>
      </c>
      <c r="H699" s="16" t="e">
        <f t="shared" si="1408"/>
        <v>#N/A</v>
      </c>
      <c r="I699" s="16" t="e">
        <f t="shared" si="1408"/>
        <v>#N/A</v>
      </c>
      <c r="J699" s="40" t="e">
        <f t="shared" si="1408"/>
        <v>#N/A</v>
      </c>
      <c r="K699" s="16" t="e">
        <f t="shared" si="1408"/>
        <v>#N/A</v>
      </c>
      <c r="L699" s="40" t="e">
        <f t="shared" si="1213"/>
        <v>#N/A</v>
      </c>
      <c r="M699" s="16" t="e">
        <f t="shared" si="1214"/>
        <v>#N/A</v>
      </c>
      <c r="N699" s="16" t="e">
        <f t="shared" si="1215"/>
        <v>#N/A</v>
      </c>
      <c r="O699" s="16" t="s">
        <v>66</v>
      </c>
      <c r="P699" s="16" t="str">
        <f t="shared" si="6"/>
        <v/>
      </c>
      <c r="Q699" s="41" t="e">
        <f t="shared" si="1216"/>
        <v>#N/A</v>
      </c>
      <c r="R699" s="44"/>
      <c r="S699" s="44"/>
      <c r="T699" s="43"/>
      <c r="U699" s="43" t="str">
        <f t="shared" si="8"/>
        <v>No</v>
      </c>
      <c r="V699" s="25"/>
      <c r="W699" s="25"/>
      <c r="X699" s="25"/>
      <c r="Y699" s="25"/>
      <c r="Z699" s="25"/>
    </row>
    <row r="700" spans="1:26" ht="15.75" customHeight="1" x14ac:dyDescent="0.25">
      <c r="A700" s="25">
        <v>698</v>
      </c>
      <c r="B700" s="37" t="e">
        <f t="shared" ref="B700:D700" si="1409">VLOOKUP($A700,[2]Educación!$A$1:$O$276,B$1,0)</f>
        <v>#N/A</v>
      </c>
      <c r="C700" s="38" t="e">
        <f t="shared" si="1409"/>
        <v>#N/A</v>
      </c>
      <c r="D700" s="39" t="e">
        <f t="shared" si="1409"/>
        <v>#N/A</v>
      </c>
      <c r="E700" s="16" t="e">
        <f t="shared" si="1"/>
        <v>#N/A</v>
      </c>
      <c r="F700" s="16" t="e">
        <f t="shared" ref="F700:K700" si="1410">VLOOKUP($A700,[2]Educación!$A$1:$O$276,F$1,0)</f>
        <v>#N/A</v>
      </c>
      <c r="G700" s="39" t="e">
        <f t="shared" si="1410"/>
        <v>#N/A</v>
      </c>
      <c r="H700" s="16" t="e">
        <f t="shared" si="1410"/>
        <v>#N/A</v>
      </c>
      <c r="I700" s="16" t="e">
        <f t="shared" si="1410"/>
        <v>#N/A</v>
      </c>
      <c r="J700" s="40" t="e">
        <f t="shared" si="1410"/>
        <v>#N/A</v>
      </c>
      <c r="K700" s="16" t="e">
        <f t="shared" si="1410"/>
        <v>#N/A</v>
      </c>
      <c r="L700" s="40" t="e">
        <f t="shared" si="1213"/>
        <v>#N/A</v>
      </c>
      <c r="M700" s="16" t="e">
        <f t="shared" si="1214"/>
        <v>#N/A</v>
      </c>
      <c r="N700" s="16" t="e">
        <f t="shared" si="1215"/>
        <v>#N/A</v>
      </c>
      <c r="O700" s="16" t="s">
        <v>66</v>
      </c>
      <c r="P700" s="16" t="str">
        <f t="shared" si="6"/>
        <v/>
      </c>
      <c r="Q700" s="41" t="e">
        <f t="shared" si="1216"/>
        <v>#N/A</v>
      </c>
      <c r="R700" s="44"/>
      <c r="S700" s="44"/>
      <c r="T700" s="43"/>
      <c r="U700" s="43" t="str">
        <f t="shared" si="8"/>
        <v>No</v>
      </c>
      <c r="V700" s="25"/>
      <c r="W700" s="25"/>
      <c r="X700" s="25"/>
      <c r="Y700" s="25"/>
      <c r="Z700" s="25"/>
    </row>
    <row r="701" spans="1:26" ht="15.75" customHeight="1" x14ac:dyDescent="0.25">
      <c r="A701" s="25">
        <v>699</v>
      </c>
      <c r="B701" s="37" t="e">
        <f t="shared" ref="B701:D701" si="1411">VLOOKUP($A701,[2]Educación!$A$1:$O$276,B$1,0)</f>
        <v>#N/A</v>
      </c>
      <c r="C701" s="38" t="e">
        <f t="shared" si="1411"/>
        <v>#N/A</v>
      </c>
      <c r="D701" s="39" t="e">
        <f t="shared" si="1411"/>
        <v>#N/A</v>
      </c>
      <c r="E701" s="16" t="e">
        <f t="shared" si="1"/>
        <v>#N/A</v>
      </c>
      <c r="F701" s="16" t="e">
        <f t="shared" ref="F701:K701" si="1412">VLOOKUP($A701,[2]Educación!$A$1:$O$276,F$1,0)</f>
        <v>#N/A</v>
      </c>
      <c r="G701" s="39" t="e">
        <f t="shared" si="1412"/>
        <v>#N/A</v>
      </c>
      <c r="H701" s="16" t="e">
        <f t="shared" si="1412"/>
        <v>#N/A</v>
      </c>
      <c r="I701" s="16" t="e">
        <f t="shared" si="1412"/>
        <v>#N/A</v>
      </c>
      <c r="J701" s="40" t="e">
        <f t="shared" si="1412"/>
        <v>#N/A</v>
      </c>
      <c r="K701" s="16" t="e">
        <f t="shared" si="1412"/>
        <v>#N/A</v>
      </c>
      <c r="L701" s="40" t="e">
        <f t="shared" si="1213"/>
        <v>#N/A</v>
      </c>
      <c r="M701" s="16" t="e">
        <f t="shared" si="1214"/>
        <v>#N/A</v>
      </c>
      <c r="N701" s="16" t="e">
        <f t="shared" si="1215"/>
        <v>#N/A</v>
      </c>
      <c r="O701" s="16" t="s">
        <v>66</v>
      </c>
      <c r="P701" s="16" t="str">
        <f t="shared" si="6"/>
        <v/>
      </c>
      <c r="Q701" s="41" t="e">
        <f t="shared" si="1216"/>
        <v>#N/A</v>
      </c>
      <c r="R701" s="44"/>
      <c r="S701" s="44"/>
      <c r="T701" s="43"/>
      <c r="U701" s="43" t="str">
        <f t="shared" si="8"/>
        <v>No</v>
      </c>
      <c r="V701" s="25"/>
      <c r="W701" s="25"/>
      <c r="X701" s="25"/>
      <c r="Y701" s="25"/>
      <c r="Z701" s="25"/>
    </row>
    <row r="702" spans="1:26" ht="15.75" customHeight="1" x14ac:dyDescent="0.25">
      <c r="A702" s="25">
        <v>700</v>
      </c>
      <c r="B702" s="37" t="e">
        <f t="shared" ref="B702:D702" si="1413">VLOOKUP($A702,[2]Educación!$A$1:$O$276,B$1,0)</f>
        <v>#N/A</v>
      </c>
      <c r="C702" s="38" t="e">
        <f t="shared" si="1413"/>
        <v>#N/A</v>
      </c>
      <c r="D702" s="39" t="e">
        <f t="shared" si="1413"/>
        <v>#N/A</v>
      </c>
      <c r="E702" s="16" t="e">
        <f t="shared" si="1"/>
        <v>#N/A</v>
      </c>
      <c r="F702" s="16" t="e">
        <f t="shared" ref="F702:K702" si="1414">VLOOKUP($A702,[2]Educación!$A$1:$O$276,F$1,0)</f>
        <v>#N/A</v>
      </c>
      <c r="G702" s="39" t="e">
        <f t="shared" si="1414"/>
        <v>#N/A</v>
      </c>
      <c r="H702" s="16" t="e">
        <f t="shared" si="1414"/>
        <v>#N/A</v>
      </c>
      <c r="I702" s="16" t="e">
        <f t="shared" si="1414"/>
        <v>#N/A</v>
      </c>
      <c r="J702" s="40" t="e">
        <f t="shared" si="1414"/>
        <v>#N/A</v>
      </c>
      <c r="K702" s="16" t="e">
        <f t="shared" si="1414"/>
        <v>#N/A</v>
      </c>
      <c r="L702" s="40" t="e">
        <f t="shared" si="1213"/>
        <v>#N/A</v>
      </c>
      <c r="M702" s="16" t="e">
        <f t="shared" si="1214"/>
        <v>#N/A</v>
      </c>
      <c r="N702" s="16" t="e">
        <f t="shared" si="1215"/>
        <v>#N/A</v>
      </c>
      <c r="O702" s="16" t="s">
        <v>66</v>
      </c>
      <c r="P702" s="16" t="str">
        <f t="shared" si="6"/>
        <v/>
      </c>
      <c r="Q702" s="41" t="e">
        <f t="shared" si="1216"/>
        <v>#N/A</v>
      </c>
      <c r="R702" s="44"/>
      <c r="S702" s="44"/>
      <c r="T702" s="43"/>
      <c r="U702" s="43" t="str">
        <f t="shared" si="8"/>
        <v>No</v>
      </c>
      <c r="V702" s="25"/>
      <c r="W702" s="25"/>
      <c r="X702" s="25"/>
      <c r="Y702" s="25"/>
      <c r="Z702" s="25"/>
    </row>
    <row r="703" spans="1:26" ht="15.75" customHeight="1" x14ac:dyDescent="0.25">
      <c r="A703" s="25">
        <v>701</v>
      </c>
      <c r="B703" s="37" t="e">
        <f t="shared" ref="B703:D703" si="1415">VLOOKUP($A703,[2]Educación!$A$1:$O$276,B$1,0)</f>
        <v>#N/A</v>
      </c>
      <c r="C703" s="38" t="e">
        <f t="shared" si="1415"/>
        <v>#N/A</v>
      </c>
      <c r="D703" s="39" t="e">
        <f t="shared" si="1415"/>
        <v>#N/A</v>
      </c>
      <c r="E703" s="16" t="e">
        <f t="shared" si="1"/>
        <v>#N/A</v>
      </c>
      <c r="F703" s="16" t="e">
        <f t="shared" ref="F703:K703" si="1416">VLOOKUP($A703,[2]Educación!$A$1:$O$276,F$1,0)</f>
        <v>#N/A</v>
      </c>
      <c r="G703" s="39" t="e">
        <f t="shared" si="1416"/>
        <v>#N/A</v>
      </c>
      <c r="H703" s="16" t="e">
        <f t="shared" si="1416"/>
        <v>#N/A</v>
      </c>
      <c r="I703" s="16" t="e">
        <f t="shared" si="1416"/>
        <v>#N/A</v>
      </c>
      <c r="J703" s="40" t="e">
        <f t="shared" si="1416"/>
        <v>#N/A</v>
      </c>
      <c r="K703" s="16" t="e">
        <f t="shared" si="1416"/>
        <v>#N/A</v>
      </c>
      <c r="L703" s="40" t="e">
        <f t="shared" si="1213"/>
        <v>#N/A</v>
      </c>
      <c r="M703" s="16" t="e">
        <f t="shared" si="1214"/>
        <v>#N/A</v>
      </c>
      <c r="N703" s="16" t="e">
        <f t="shared" si="1215"/>
        <v>#N/A</v>
      </c>
      <c r="O703" s="16" t="s">
        <v>66</v>
      </c>
      <c r="P703" s="16" t="str">
        <f t="shared" si="6"/>
        <v/>
      </c>
      <c r="Q703" s="41" t="e">
        <f t="shared" si="1216"/>
        <v>#N/A</v>
      </c>
      <c r="R703" s="44"/>
      <c r="S703" s="44"/>
      <c r="T703" s="43"/>
      <c r="U703" s="43" t="str">
        <f t="shared" si="8"/>
        <v>No</v>
      </c>
      <c r="V703" s="25"/>
      <c r="W703" s="25"/>
      <c r="X703" s="25"/>
      <c r="Y703" s="25"/>
      <c r="Z703" s="25"/>
    </row>
    <row r="704" spans="1:26" ht="15.75" customHeight="1" x14ac:dyDescent="0.25">
      <c r="A704" s="25">
        <v>702</v>
      </c>
      <c r="B704" s="37" t="e">
        <f t="shared" ref="B704:D704" si="1417">VLOOKUP($A704,[2]Educación!$A$1:$O$276,B$1,0)</f>
        <v>#N/A</v>
      </c>
      <c r="C704" s="38" t="e">
        <f t="shared" si="1417"/>
        <v>#N/A</v>
      </c>
      <c r="D704" s="39" t="e">
        <f t="shared" si="1417"/>
        <v>#N/A</v>
      </c>
      <c r="E704" s="16" t="e">
        <f t="shared" si="1"/>
        <v>#N/A</v>
      </c>
      <c r="F704" s="16" t="e">
        <f t="shared" ref="F704:K704" si="1418">VLOOKUP($A704,[2]Educación!$A$1:$O$276,F$1,0)</f>
        <v>#N/A</v>
      </c>
      <c r="G704" s="39" t="e">
        <f t="shared" si="1418"/>
        <v>#N/A</v>
      </c>
      <c r="H704" s="16" t="e">
        <f t="shared" si="1418"/>
        <v>#N/A</v>
      </c>
      <c r="I704" s="16" t="e">
        <f t="shared" si="1418"/>
        <v>#N/A</v>
      </c>
      <c r="J704" s="40" t="e">
        <f t="shared" si="1418"/>
        <v>#N/A</v>
      </c>
      <c r="K704" s="16" t="e">
        <f t="shared" si="1418"/>
        <v>#N/A</v>
      </c>
      <c r="L704" s="40" t="e">
        <f t="shared" si="1213"/>
        <v>#N/A</v>
      </c>
      <c r="M704" s="16" t="e">
        <f t="shared" si="1214"/>
        <v>#N/A</v>
      </c>
      <c r="N704" s="16" t="e">
        <f t="shared" si="1215"/>
        <v>#N/A</v>
      </c>
      <c r="O704" s="16" t="s">
        <v>66</v>
      </c>
      <c r="P704" s="16" t="str">
        <f t="shared" si="6"/>
        <v/>
      </c>
      <c r="Q704" s="41" t="e">
        <f t="shared" si="1216"/>
        <v>#N/A</v>
      </c>
      <c r="R704" s="44"/>
      <c r="S704" s="44"/>
      <c r="T704" s="43"/>
      <c r="U704" s="43" t="str">
        <f t="shared" si="8"/>
        <v>No</v>
      </c>
      <c r="V704" s="25"/>
      <c r="W704" s="25"/>
      <c r="X704" s="25"/>
      <c r="Y704" s="25"/>
      <c r="Z704" s="25"/>
    </row>
    <row r="705" spans="1:26" ht="15.75" customHeight="1" x14ac:dyDescent="0.25">
      <c r="A705" s="25">
        <v>703</v>
      </c>
      <c r="B705" s="37" t="e">
        <f t="shared" ref="B705:D705" si="1419">VLOOKUP($A705,[2]Educación!$A$1:$O$276,B$1,0)</f>
        <v>#N/A</v>
      </c>
      <c r="C705" s="38" t="e">
        <f t="shared" si="1419"/>
        <v>#N/A</v>
      </c>
      <c r="D705" s="39" t="e">
        <f t="shared" si="1419"/>
        <v>#N/A</v>
      </c>
      <c r="E705" s="16" t="e">
        <f t="shared" si="1"/>
        <v>#N/A</v>
      </c>
      <c r="F705" s="16" t="e">
        <f t="shared" ref="F705:K705" si="1420">VLOOKUP($A705,[2]Educación!$A$1:$O$276,F$1,0)</f>
        <v>#N/A</v>
      </c>
      <c r="G705" s="39" t="e">
        <f t="shared" si="1420"/>
        <v>#N/A</v>
      </c>
      <c r="H705" s="16" t="e">
        <f t="shared" si="1420"/>
        <v>#N/A</v>
      </c>
      <c r="I705" s="16" t="e">
        <f t="shared" si="1420"/>
        <v>#N/A</v>
      </c>
      <c r="J705" s="40" t="e">
        <f t="shared" si="1420"/>
        <v>#N/A</v>
      </c>
      <c r="K705" s="16" t="e">
        <f t="shared" si="1420"/>
        <v>#N/A</v>
      </c>
      <c r="L705" s="40" t="e">
        <f t="shared" si="1213"/>
        <v>#N/A</v>
      </c>
      <c r="M705" s="16" t="e">
        <f t="shared" si="1214"/>
        <v>#N/A</v>
      </c>
      <c r="N705" s="16" t="e">
        <f t="shared" si="1215"/>
        <v>#N/A</v>
      </c>
      <c r="O705" s="16" t="s">
        <v>66</v>
      </c>
      <c r="P705" s="16" t="str">
        <f t="shared" si="6"/>
        <v/>
      </c>
      <c r="Q705" s="41" t="e">
        <f t="shared" si="1216"/>
        <v>#N/A</v>
      </c>
      <c r="R705" s="44"/>
      <c r="S705" s="44"/>
      <c r="T705" s="43"/>
      <c r="U705" s="43" t="str">
        <f t="shared" si="8"/>
        <v>No</v>
      </c>
      <c r="V705" s="25"/>
      <c r="W705" s="25"/>
      <c r="X705" s="25"/>
      <c r="Y705" s="25"/>
      <c r="Z705" s="25"/>
    </row>
    <row r="706" spans="1:26" ht="15.75" customHeight="1" x14ac:dyDescent="0.25">
      <c r="A706" s="25">
        <v>704</v>
      </c>
      <c r="B706" s="37" t="e">
        <f t="shared" ref="B706:D706" si="1421">VLOOKUP($A706,[2]Educación!$A$1:$O$276,B$1,0)</f>
        <v>#N/A</v>
      </c>
      <c r="C706" s="38" t="e">
        <f t="shared" si="1421"/>
        <v>#N/A</v>
      </c>
      <c r="D706" s="39" t="e">
        <f t="shared" si="1421"/>
        <v>#N/A</v>
      </c>
      <c r="E706" s="16" t="e">
        <f t="shared" si="1"/>
        <v>#N/A</v>
      </c>
      <c r="F706" s="16" t="e">
        <f t="shared" ref="F706:K706" si="1422">VLOOKUP($A706,[2]Educación!$A$1:$O$276,F$1,0)</f>
        <v>#N/A</v>
      </c>
      <c r="G706" s="39" t="e">
        <f t="shared" si="1422"/>
        <v>#N/A</v>
      </c>
      <c r="H706" s="16" t="e">
        <f t="shared" si="1422"/>
        <v>#N/A</v>
      </c>
      <c r="I706" s="16" t="e">
        <f t="shared" si="1422"/>
        <v>#N/A</v>
      </c>
      <c r="J706" s="40" t="e">
        <f t="shared" si="1422"/>
        <v>#N/A</v>
      </c>
      <c r="K706" s="16" t="e">
        <f t="shared" si="1422"/>
        <v>#N/A</v>
      </c>
      <c r="L706" s="40" t="e">
        <f t="shared" si="1213"/>
        <v>#N/A</v>
      </c>
      <c r="M706" s="16" t="e">
        <f t="shared" si="1214"/>
        <v>#N/A</v>
      </c>
      <c r="N706" s="16" t="e">
        <f t="shared" si="1215"/>
        <v>#N/A</v>
      </c>
      <c r="O706" s="16" t="s">
        <v>66</v>
      </c>
      <c r="P706" s="16" t="str">
        <f t="shared" si="6"/>
        <v/>
      </c>
      <c r="Q706" s="41" t="e">
        <f t="shared" si="1216"/>
        <v>#N/A</v>
      </c>
      <c r="R706" s="44"/>
      <c r="S706" s="44"/>
      <c r="T706" s="43"/>
      <c r="U706" s="43" t="str">
        <f t="shared" si="8"/>
        <v>No</v>
      </c>
      <c r="V706" s="25"/>
      <c r="W706" s="25"/>
      <c r="X706" s="25"/>
      <c r="Y706" s="25"/>
      <c r="Z706" s="25"/>
    </row>
    <row r="707" spans="1:26" ht="15.75" customHeight="1" x14ac:dyDescent="0.25">
      <c r="A707" s="25">
        <v>705</v>
      </c>
      <c r="B707" s="37" t="e">
        <f t="shared" ref="B707:D707" si="1423">VLOOKUP($A707,[2]Educación!$A$1:$O$276,B$1,0)</f>
        <v>#N/A</v>
      </c>
      <c r="C707" s="38" t="e">
        <f t="shared" si="1423"/>
        <v>#N/A</v>
      </c>
      <c r="D707" s="39" t="e">
        <f t="shared" si="1423"/>
        <v>#N/A</v>
      </c>
      <c r="E707" s="16" t="e">
        <f t="shared" si="1"/>
        <v>#N/A</v>
      </c>
      <c r="F707" s="16" t="e">
        <f t="shared" ref="F707:K707" si="1424">VLOOKUP($A707,[2]Educación!$A$1:$O$276,F$1,0)</f>
        <v>#N/A</v>
      </c>
      <c r="G707" s="39" t="e">
        <f t="shared" si="1424"/>
        <v>#N/A</v>
      </c>
      <c r="H707" s="16" t="e">
        <f t="shared" si="1424"/>
        <v>#N/A</v>
      </c>
      <c r="I707" s="16" t="e">
        <f t="shared" si="1424"/>
        <v>#N/A</v>
      </c>
      <c r="J707" s="40" t="e">
        <f t="shared" si="1424"/>
        <v>#N/A</v>
      </c>
      <c r="K707" s="16" t="e">
        <f t="shared" si="1424"/>
        <v>#N/A</v>
      </c>
      <c r="L707" s="40" t="e">
        <f t="shared" si="1213"/>
        <v>#N/A</v>
      </c>
      <c r="M707" s="16" t="e">
        <f t="shared" si="1214"/>
        <v>#N/A</v>
      </c>
      <c r="N707" s="16" t="e">
        <f t="shared" si="1215"/>
        <v>#N/A</v>
      </c>
      <c r="O707" s="16" t="s">
        <v>66</v>
      </c>
      <c r="P707" s="16" t="str">
        <f t="shared" si="6"/>
        <v/>
      </c>
      <c r="Q707" s="41" t="e">
        <f t="shared" si="1216"/>
        <v>#N/A</v>
      </c>
      <c r="R707" s="44"/>
      <c r="S707" s="44"/>
      <c r="T707" s="43"/>
      <c r="U707" s="43" t="str">
        <f t="shared" si="8"/>
        <v>No</v>
      </c>
      <c r="V707" s="25"/>
      <c r="W707" s="25"/>
      <c r="X707" s="25"/>
      <c r="Y707" s="25"/>
      <c r="Z707" s="25"/>
    </row>
    <row r="708" spans="1:26" ht="15.75" customHeight="1" x14ac:dyDescent="0.25">
      <c r="A708" s="25">
        <v>706</v>
      </c>
      <c r="B708" s="37" t="e">
        <f t="shared" ref="B708:D708" si="1425">VLOOKUP($A708,[2]Educación!$A$1:$O$276,B$1,0)</f>
        <v>#N/A</v>
      </c>
      <c r="C708" s="38" t="e">
        <f t="shared" si="1425"/>
        <v>#N/A</v>
      </c>
      <c r="D708" s="39" t="e">
        <f t="shared" si="1425"/>
        <v>#N/A</v>
      </c>
      <c r="E708" s="16" t="e">
        <f t="shared" si="1"/>
        <v>#N/A</v>
      </c>
      <c r="F708" s="16" t="e">
        <f t="shared" ref="F708:K708" si="1426">VLOOKUP($A708,[2]Educación!$A$1:$O$276,F$1,0)</f>
        <v>#N/A</v>
      </c>
      <c r="G708" s="39" t="e">
        <f t="shared" si="1426"/>
        <v>#N/A</v>
      </c>
      <c r="H708" s="16" t="e">
        <f t="shared" si="1426"/>
        <v>#N/A</v>
      </c>
      <c r="I708" s="16" t="e">
        <f t="shared" si="1426"/>
        <v>#N/A</v>
      </c>
      <c r="J708" s="40" t="e">
        <f t="shared" si="1426"/>
        <v>#N/A</v>
      </c>
      <c r="K708" s="16" t="e">
        <f t="shared" si="1426"/>
        <v>#N/A</v>
      </c>
      <c r="L708" s="40" t="e">
        <f t="shared" si="1213"/>
        <v>#N/A</v>
      </c>
      <c r="M708" s="16" t="e">
        <f t="shared" si="1214"/>
        <v>#N/A</v>
      </c>
      <c r="N708" s="16" t="e">
        <f t="shared" si="1215"/>
        <v>#N/A</v>
      </c>
      <c r="O708" s="16" t="s">
        <v>66</v>
      </c>
      <c r="P708" s="16" t="str">
        <f t="shared" si="6"/>
        <v/>
      </c>
      <c r="Q708" s="41" t="e">
        <f t="shared" si="1216"/>
        <v>#N/A</v>
      </c>
      <c r="R708" s="44"/>
      <c r="S708" s="44"/>
      <c r="T708" s="43"/>
      <c r="U708" s="43" t="str">
        <f t="shared" si="8"/>
        <v>No</v>
      </c>
      <c r="V708" s="25"/>
      <c r="W708" s="25"/>
      <c r="X708" s="25"/>
      <c r="Y708" s="25"/>
      <c r="Z708" s="25"/>
    </row>
    <row r="709" spans="1:26" ht="15.75" customHeight="1" x14ac:dyDescent="0.25">
      <c r="A709" s="25">
        <v>707</v>
      </c>
      <c r="B709" s="37" t="e">
        <f t="shared" ref="B709:D709" si="1427">VLOOKUP($A709,[2]Educación!$A$1:$O$276,B$1,0)</f>
        <v>#N/A</v>
      </c>
      <c r="C709" s="38" t="e">
        <f t="shared" si="1427"/>
        <v>#N/A</v>
      </c>
      <c r="D709" s="39" t="e">
        <f t="shared" si="1427"/>
        <v>#N/A</v>
      </c>
      <c r="E709" s="16" t="e">
        <f t="shared" si="1"/>
        <v>#N/A</v>
      </c>
      <c r="F709" s="16" t="e">
        <f t="shared" ref="F709:K709" si="1428">VLOOKUP($A709,[2]Educación!$A$1:$O$276,F$1,0)</f>
        <v>#N/A</v>
      </c>
      <c r="G709" s="39" t="e">
        <f t="shared" si="1428"/>
        <v>#N/A</v>
      </c>
      <c r="H709" s="16" t="e">
        <f t="shared" si="1428"/>
        <v>#N/A</v>
      </c>
      <c r="I709" s="16" t="e">
        <f t="shared" si="1428"/>
        <v>#N/A</v>
      </c>
      <c r="J709" s="40" t="e">
        <f t="shared" si="1428"/>
        <v>#N/A</v>
      </c>
      <c r="K709" s="16" t="e">
        <f t="shared" si="1428"/>
        <v>#N/A</v>
      </c>
      <c r="L709" s="40" t="e">
        <f t="shared" si="1213"/>
        <v>#N/A</v>
      </c>
      <c r="M709" s="16" t="e">
        <f t="shared" si="1214"/>
        <v>#N/A</v>
      </c>
      <c r="N709" s="16" t="e">
        <f t="shared" si="1215"/>
        <v>#N/A</v>
      </c>
      <c r="O709" s="16" t="s">
        <v>66</v>
      </c>
      <c r="P709" s="16" t="str">
        <f t="shared" si="6"/>
        <v/>
      </c>
      <c r="Q709" s="41" t="e">
        <f t="shared" si="1216"/>
        <v>#N/A</v>
      </c>
      <c r="R709" s="44"/>
      <c r="S709" s="44"/>
      <c r="T709" s="43"/>
      <c r="U709" s="43" t="str">
        <f t="shared" si="8"/>
        <v>No</v>
      </c>
      <c r="V709" s="25"/>
      <c r="W709" s="25"/>
      <c r="X709" s="25"/>
      <c r="Y709" s="25"/>
      <c r="Z709" s="25"/>
    </row>
    <row r="710" spans="1:26" ht="15.75" customHeight="1" x14ac:dyDescent="0.25">
      <c r="A710" s="25">
        <v>708</v>
      </c>
      <c r="B710" s="37" t="e">
        <f t="shared" ref="B710:D710" si="1429">VLOOKUP($A710,[2]Educación!$A$1:$O$276,B$1,0)</f>
        <v>#N/A</v>
      </c>
      <c r="C710" s="38" t="e">
        <f t="shared" si="1429"/>
        <v>#N/A</v>
      </c>
      <c r="D710" s="39" t="e">
        <f t="shared" si="1429"/>
        <v>#N/A</v>
      </c>
      <c r="E710" s="16" t="e">
        <f t="shared" si="1"/>
        <v>#N/A</v>
      </c>
      <c r="F710" s="16" t="e">
        <f t="shared" ref="F710:K710" si="1430">VLOOKUP($A710,[2]Educación!$A$1:$O$276,F$1,0)</f>
        <v>#N/A</v>
      </c>
      <c r="G710" s="39" t="e">
        <f t="shared" si="1430"/>
        <v>#N/A</v>
      </c>
      <c r="H710" s="16" t="e">
        <f t="shared" si="1430"/>
        <v>#N/A</v>
      </c>
      <c r="I710" s="16" t="e">
        <f t="shared" si="1430"/>
        <v>#N/A</v>
      </c>
      <c r="J710" s="40" t="e">
        <f t="shared" si="1430"/>
        <v>#N/A</v>
      </c>
      <c r="K710" s="16" t="e">
        <f t="shared" si="1430"/>
        <v>#N/A</v>
      </c>
      <c r="L710" s="40" t="e">
        <f t="shared" si="1213"/>
        <v>#N/A</v>
      </c>
      <c r="M710" s="16" t="e">
        <f t="shared" si="1214"/>
        <v>#N/A</v>
      </c>
      <c r="N710" s="16" t="e">
        <f t="shared" si="1215"/>
        <v>#N/A</v>
      </c>
      <c r="O710" s="16" t="s">
        <v>66</v>
      </c>
      <c r="P710" s="16" t="str">
        <f t="shared" si="6"/>
        <v/>
      </c>
      <c r="Q710" s="41" t="e">
        <f t="shared" si="1216"/>
        <v>#N/A</v>
      </c>
      <c r="R710" s="44"/>
      <c r="S710" s="44"/>
      <c r="T710" s="43"/>
      <c r="U710" s="43" t="str">
        <f t="shared" si="8"/>
        <v>No</v>
      </c>
      <c r="V710" s="25"/>
      <c r="W710" s="25"/>
      <c r="X710" s="25"/>
      <c r="Y710" s="25"/>
      <c r="Z710" s="25"/>
    </row>
    <row r="711" spans="1:26" ht="15.75" customHeight="1" x14ac:dyDescent="0.25">
      <c r="A711" s="25">
        <v>709</v>
      </c>
      <c r="B711" s="37" t="e">
        <f t="shared" ref="B711:D711" si="1431">VLOOKUP($A711,[2]Educación!$A$1:$O$276,B$1,0)</f>
        <v>#N/A</v>
      </c>
      <c r="C711" s="38" t="e">
        <f t="shared" si="1431"/>
        <v>#N/A</v>
      </c>
      <c r="D711" s="39" t="e">
        <f t="shared" si="1431"/>
        <v>#N/A</v>
      </c>
      <c r="E711" s="16" t="e">
        <f t="shared" si="1"/>
        <v>#N/A</v>
      </c>
      <c r="F711" s="16" t="e">
        <f t="shared" ref="F711:K711" si="1432">VLOOKUP($A711,[2]Educación!$A$1:$O$276,F$1,0)</f>
        <v>#N/A</v>
      </c>
      <c r="G711" s="39" t="e">
        <f t="shared" si="1432"/>
        <v>#N/A</v>
      </c>
      <c r="H711" s="16" t="e">
        <f t="shared" si="1432"/>
        <v>#N/A</v>
      </c>
      <c r="I711" s="16" t="e">
        <f t="shared" si="1432"/>
        <v>#N/A</v>
      </c>
      <c r="J711" s="40" t="e">
        <f t="shared" si="1432"/>
        <v>#N/A</v>
      </c>
      <c r="K711" s="16" t="e">
        <f t="shared" si="1432"/>
        <v>#N/A</v>
      </c>
      <c r="L711" s="40" t="e">
        <f t="shared" si="1213"/>
        <v>#N/A</v>
      </c>
      <c r="M711" s="16" t="e">
        <f t="shared" si="1214"/>
        <v>#N/A</v>
      </c>
      <c r="N711" s="16" t="e">
        <f t="shared" si="1215"/>
        <v>#N/A</v>
      </c>
      <c r="O711" s="16" t="s">
        <v>66</v>
      </c>
      <c r="P711" s="16" t="str">
        <f t="shared" si="6"/>
        <v/>
      </c>
      <c r="Q711" s="41" t="e">
        <f t="shared" si="1216"/>
        <v>#N/A</v>
      </c>
      <c r="R711" s="44"/>
      <c r="S711" s="44"/>
      <c r="T711" s="43"/>
      <c r="U711" s="43" t="str">
        <f t="shared" si="8"/>
        <v>No</v>
      </c>
      <c r="V711" s="25"/>
      <c r="W711" s="25"/>
      <c r="X711" s="25"/>
      <c r="Y711" s="25"/>
      <c r="Z711" s="25"/>
    </row>
    <row r="712" spans="1:26" ht="15.75" customHeight="1" x14ac:dyDescent="0.25">
      <c r="A712" s="25">
        <v>710</v>
      </c>
      <c r="B712" s="37" t="e">
        <f t="shared" ref="B712:D712" si="1433">VLOOKUP($A712,[2]Educación!$A$1:$O$276,B$1,0)</f>
        <v>#N/A</v>
      </c>
      <c r="C712" s="38" t="e">
        <f t="shared" si="1433"/>
        <v>#N/A</v>
      </c>
      <c r="D712" s="39" t="e">
        <f t="shared" si="1433"/>
        <v>#N/A</v>
      </c>
      <c r="E712" s="16" t="e">
        <f t="shared" si="1"/>
        <v>#N/A</v>
      </c>
      <c r="F712" s="16" t="e">
        <f t="shared" ref="F712:K712" si="1434">VLOOKUP($A712,[2]Educación!$A$1:$O$276,F$1,0)</f>
        <v>#N/A</v>
      </c>
      <c r="G712" s="39" t="e">
        <f t="shared" si="1434"/>
        <v>#N/A</v>
      </c>
      <c r="H712" s="16" t="e">
        <f t="shared" si="1434"/>
        <v>#N/A</v>
      </c>
      <c r="I712" s="16" t="e">
        <f t="shared" si="1434"/>
        <v>#N/A</v>
      </c>
      <c r="J712" s="40" t="e">
        <f t="shared" si="1434"/>
        <v>#N/A</v>
      </c>
      <c r="K712" s="16" t="e">
        <f t="shared" si="1434"/>
        <v>#N/A</v>
      </c>
      <c r="L712" s="40" t="e">
        <f t="shared" si="1213"/>
        <v>#N/A</v>
      </c>
      <c r="M712" s="16" t="e">
        <f t="shared" si="1214"/>
        <v>#N/A</v>
      </c>
      <c r="N712" s="16" t="e">
        <f t="shared" si="1215"/>
        <v>#N/A</v>
      </c>
      <c r="O712" s="16" t="s">
        <v>66</v>
      </c>
      <c r="P712" s="16" t="str">
        <f t="shared" si="6"/>
        <v/>
      </c>
      <c r="Q712" s="41" t="e">
        <f t="shared" si="1216"/>
        <v>#N/A</v>
      </c>
      <c r="R712" s="44"/>
      <c r="S712" s="44"/>
      <c r="T712" s="43"/>
      <c r="U712" s="43" t="str">
        <f t="shared" si="8"/>
        <v>No</v>
      </c>
      <c r="V712" s="25"/>
      <c r="W712" s="25"/>
      <c r="X712" s="25"/>
      <c r="Y712" s="25"/>
      <c r="Z712" s="25"/>
    </row>
    <row r="713" spans="1:26" ht="15.75" customHeight="1" x14ac:dyDescent="0.25">
      <c r="A713" s="25">
        <v>711</v>
      </c>
      <c r="B713" s="37" t="e">
        <f t="shared" ref="B713:D713" si="1435">VLOOKUP($A713,[2]Educación!$A$1:$O$276,B$1,0)</f>
        <v>#N/A</v>
      </c>
      <c r="C713" s="38" t="e">
        <f t="shared" si="1435"/>
        <v>#N/A</v>
      </c>
      <c r="D713" s="39" t="e">
        <f t="shared" si="1435"/>
        <v>#N/A</v>
      </c>
      <c r="E713" s="16" t="e">
        <f t="shared" si="1"/>
        <v>#N/A</v>
      </c>
      <c r="F713" s="16" t="e">
        <f t="shared" ref="F713:K713" si="1436">VLOOKUP($A713,[2]Educación!$A$1:$O$276,F$1,0)</f>
        <v>#N/A</v>
      </c>
      <c r="G713" s="39" t="e">
        <f t="shared" si="1436"/>
        <v>#N/A</v>
      </c>
      <c r="H713" s="16" t="e">
        <f t="shared" si="1436"/>
        <v>#N/A</v>
      </c>
      <c r="I713" s="16" t="e">
        <f t="shared" si="1436"/>
        <v>#N/A</v>
      </c>
      <c r="J713" s="40" t="e">
        <f t="shared" si="1436"/>
        <v>#N/A</v>
      </c>
      <c r="K713" s="16" t="e">
        <f t="shared" si="1436"/>
        <v>#N/A</v>
      </c>
      <c r="L713" s="40" t="e">
        <f t="shared" si="1213"/>
        <v>#N/A</v>
      </c>
      <c r="M713" s="16" t="e">
        <f t="shared" si="1214"/>
        <v>#N/A</v>
      </c>
      <c r="N713" s="16" t="e">
        <f t="shared" si="1215"/>
        <v>#N/A</v>
      </c>
      <c r="O713" s="16" t="s">
        <v>66</v>
      </c>
      <c r="P713" s="16" t="str">
        <f t="shared" si="6"/>
        <v/>
      </c>
      <c r="Q713" s="41" t="e">
        <f t="shared" si="1216"/>
        <v>#N/A</v>
      </c>
      <c r="R713" s="44"/>
      <c r="S713" s="44"/>
      <c r="T713" s="43"/>
      <c r="U713" s="43" t="str">
        <f t="shared" si="8"/>
        <v>No</v>
      </c>
      <c r="V713" s="25"/>
      <c r="W713" s="25"/>
      <c r="X713" s="25"/>
      <c r="Y713" s="25"/>
      <c r="Z713" s="25"/>
    </row>
    <row r="714" spans="1:26" ht="15.75" customHeight="1" x14ac:dyDescent="0.25">
      <c r="A714" s="25">
        <v>712</v>
      </c>
      <c r="B714" s="37" t="e">
        <f t="shared" ref="B714:D714" si="1437">VLOOKUP($A714,[2]Educación!$A$1:$O$276,B$1,0)</f>
        <v>#N/A</v>
      </c>
      <c r="C714" s="38" t="e">
        <f t="shared" si="1437"/>
        <v>#N/A</v>
      </c>
      <c r="D714" s="39" t="e">
        <f t="shared" si="1437"/>
        <v>#N/A</v>
      </c>
      <c r="E714" s="16" t="e">
        <f t="shared" si="1"/>
        <v>#N/A</v>
      </c>
      <c r="F714" s="16" t="e">
        <f t="shared" ref="F714:K714" si="1438">VLOOKUP($A714,[2]Educación!$A$1:$O$276,F$1,0)</f>
        <v>#N/A</v>
      </c>
      <c r="G714" s="39" t="e">
        <f t="shared" si="1438"/>
        <v>#N/A</v>
      </c>
      <c r="H714" s="16" t="e">
        <f t="shared" si="1438"/>
        <v>#N/A</v>
      </c>
      <c r="I714" s="16" t="e">
        <f t="shared" si="1438"/>
        <v>#N/A</v>
      </c>
      <c r="J714" s="40" t="e">
        <f t="shared" si="1438"/>
        <v>#N/A</v>
      </c>
      <c r="K714" s="16" t="e">
        <f t="shared" si="1438"/>
        <v>#N/A</v>
      </c>
      <c r="L714" s="40" t="e">
        <f t="shared" si="1213"/>
        <v>#N/A</v>
      </c>
      <c r="M714" s="16" t="e">
        <f t="shared" si="1214"/>
        <v>#N/A</v>
      </c>
      <c r="N714" s="16" t="e">
        <f t="shared" si="1215"/>
        <v>#N/A</v>
      </c>
      <c r="O714" s="16" t="s">
        <v>66</v>
      </c>
      <c r="P714" s="16" t="str">
        <f t="shared" si="6"/>
        <v/>
      </c>
      <c r="Q714" s="41" t="e">
        <f t="shared" si="1216"/>
        <v>#N/A</v>
      </c>
      <c r="R714" s="44"/>
      <c r="S714" s="44"/>
      <c r="T714" s="43"/>
      <c r="U714" s="43" t="str">
        <f t="shared" si="8"/>
        <v>No</v>
      </c>
      <c r="V714" s="25"/>
      <c r="W714" s="25"/>
      <c r="X714" s="25"/>
      <c r="Y714" s="25"/>
      <c r="Z714" s="25"/>
    </row>
    <row r="715" spans="1:26" ht="15.75" customHeight="1" x14ac:dyDescent="0.25">
      <c r="A715" s="25">
        <v>713</v>
      </c>
      <c r="B715" s="37" t="e">
        <f t="shared" ref="B715:D715" si="1439">VLOOKUP($A715,[2]Educación!$A$1:$O$276,B$1,0)</f>
        <v>#N/A</v>
      </c>
      <c r="C715" s="38" t="e">
        <f t="shared" si="1439"/>
        <v>#N/A</v>
      </c>
      <c r="D715" s="39" t="e">
        <f t="shared" si="1439"/>
        <v>#N/A</v>
      </c>
      <c r="E715" s="16" t="e">
        <f t="shared" si="1"/>
        <v>#N/A</v>
      </c>
      <c r="F715" s="16" t="e">
        <f t="shared" ref="F715:K715" si="1440">VLOOKUP($A715,[2]Educación!$A$1:$O$276,F$1,0)</f>
        <v>#N/A</v>
      </c>
      <c r="G715" s="39" t="e">
        <f t="shared" si="1440"/>
        <v>#N/A</v>
      </c>
      <c r="H715" s="16" t="e">
        <f t="shared" si="1440"/>
        <v>#N/A</v>
      </c>
      <c r="I715" s="16" t="e">
        <f t="shared" si="1440"/>
        <v>#N/A</v>
      </c>
      <c r="J715" s="40" t="e">
        <f t="shared" si="1440"/>
        <v>#N/A</v>
      </c>
      <c r="K715" s="16" t="e">
        <f t="shared" si="1440"/>
        <v>#N/A</v>
      </c>
      <c r="L715" s="40" t="e">
        <f t="shared" si="1213"/>
        <v>#N/A</v>
      </c>
      <c r="M715" s="16" t="e">
        <f t="shared" si="1214"/>
        <v>#N/A</v>
      </c>
      <c r="N715" s="16" t="e">
        <f t="shared" si="1215"/>
        <v>#N/A</v>
      </c>
      <c r="O715" s="16" t="s">
        <v>66</v>
      </c>
      <c r="P715" s="16" t="str">
        <f t="shared" si="6"/>
        <v/>
      </c>
      <c r="Q715" s="41" t="e">
        <f t="shared" si="1216"/>
        <v>#N/A</v>
      </c>
      <c r="R715" s="44"/>
      <c r="S715" s="44"/>
      <c r="T715" s="43"/>
      <c r="U715" s="43" t="str">
        <f t="shared" si="8"/>
        <v>No</v>
      </c>
      <c r="V715" s="25"/>
      <c r="W715" s="25"/>
      <c r="X715" s="25"/>
      <c r="Y715" s="25"/>
      <c r="Z715" s="25"/>
    </row>
    <row r="716" spans="1:26" ht="15.75" customHeight="1" x14ac:dyDescent="0.25">
      <c r="A716" s="25">
        <v>714</v>
      </c>
      <c r="B716" s="37" t="e">
        <f t="shared" ref="B716:D716" si="1441">VLOOKUP($A716,[2]Educación!$A$1:$O$276,B$1,0)</f>
        <v>#N/A</v>
      </c>
      <c r="C716" s="38" t="e">
        <f t="shared" si="1441"/>
        <v>#N/A</v>
      </c>
      <c r="D716" s="39" t="e">
        <f t="shared" si="1441"/>
        <v>#N/A</v>
      </c>
      <c r="E716" s="16" t="e">
        <f t="shared" si="1"/>
        <v>#N/A</v>
      </c>
      <c r="F716" s="16" t="e">
        <f t="shared" ref="F716:K716" si="1442">VLOOKUP($A716,[2]Educación!$A$1:$O$276,F$1,0)</f>
        <v>#N/A</v>
      </c>
      <c r="G716" s="39" t="e">
        <f t="shared" si="1442"/>
        <v>#N/A</v>
      </c>
      <c r="H716" s="16" t="e">
        <f t="shared" si="1442"/>
        <v>#N/A</v>
      </c>
      <c r="I716" s="16" t="e">
        <f t="shared" si="1442"/>
        <v>#N/A</v>
      </c>
      <c r="J716" s="40" t="e">
        <f t="shared" si="1442"/>
        <v>#N/A</v>
      </c>
      <c r="K716" s="16" t="e">
        <f t="shared" si="1442"/>
        <v>#N/A</v>
      </c>
      <c r="L716" s="40" t="e">
        <f t="shared" si="1213"/>
        <v>#N/A</v>
      </c>
      <c r="M716" s="16" t="e">
        <f t="shared" si="1214"/>
        <v>#N/A</v>
      </c>
      <c r="N716" s="16" t="e">
        <f t="shared" si="1215"/>
        <v>#N/A</v>
      </c>
      <c r="O716" s="16" t="s">
        <v>66</v>
      </c>
      <c r="P716" s="16" t="str">
        <f t="shared" si="6"/>
        <v/>
      </c>
      <c r="Q716" s="41" t="e">
        <f t="shared" si="1216"/>
        <v>#N/A</v>
      </c>
      <c r="R716" s="44"/>
      <c r="S716" s="44"/>
      <c r="T716" s="43"/>
      <c r="U716" s="43" t="str">
        <f t="shared" si="8"/>
        <v>No</v>
      </c>
      <c r="V716" s="25"/>
      <c r="W716" s="25"/>
      <c r="X716" s="25"/>
      <c r="Y716" s="25"/>
      <c r="Z716" s="25"/>
    </row>
    <row r="717" spans="1:26" ht="15.75" customHeight="1" x14ac:dyDescent="0.25">
      <c r="A717" s="25">
        <v>715</v>
      </c>
      <c r="B717" s="37" t="e">
        <f t="shared" ref="B717:D717" si="1443">VLOOKUP($A717,[2]Educación!$A$1:$O$276,B$1,0)</f>
        <v>#N/A</v>
      </c>
      <c r="C717" s="38" t="e">
        <f t="shared" si="1443"/>
        <v>#N/A</v>
      </c>
      <c r="D717" s="39" t="e">
        <f t="shared" si="1443"/>
        <v>#N/A</v>
      </c>
      <c r="E717" s="16" t="e">
        <f t="shared" si="1"/>
        <v>#N/A</v>
      </c>
      <c r="F717" s="16" t="e">
        <f t="shared" ref="F717:K717" si="1444">VLOOKUP($A717,[2]Educación!$A$1:$O$276,F$1,0)</f>
        <v>#N/A</v>
      </c>
      <c r="G717" s="39" t="e">
        <f t="shared" si="1444"/>
        <v>#N/A</v>
      </c>
      <c r="H717" s="16" t="e">
        <f t="shared" si="1444"/>
        <v>#N/A</v>
      </c>
      <c r="I717" s="16" t="e">
        <f t="shared" si="1444"/>
        <v>#N/A</v>
      </c>
      <c r="J717" s="40" t="e">
        <f t="shared" si="1444"/>
        <v>#N/A</v>
      </c>
      <c r="K717" s="16" t="e">
        <f t="shared" si="1444"/>
        <v>#N/A</v>
      </c>
      <c r="L717" s="40" t="e">
        <f t="shared" si="1213"/>
        <v>#N/A</v>
      </c>
      <c r="M717" s="16" t="e">
        <f t="shared" si="1214"/>
        <v>#N/A</v>
      </c>
      <c r="N717" s="16" t="e">
        <f t="shared" si="1215"/>
        <v>#N/A</v>
      </c>
      <c r="O717" s="16" t="s">
        <v>66</v>
      </c>
      <c r="P717" s="16" t="str">
        <f t="shared" si="6"/>
        <v/>
      </c>
      <c r="Q717" s="41" t="e">
        <f t="shared" si="1216"/>
        <v>#N/A</v>
      </c>
      <c r="R717" s="44"/>
      <c r="S717" s="44"/>
      <c r="T717" s="43"/>
      <c r="U717" s="43" t="str">
        <f t="shared" si="8"/>
        <v>No</v>
      </c>
      <c r="V717" s="25"/>
      <c r="W717" s="25"/>
      <c r="X717" s="25"/>
      <c r="Y717" s="25"/>
      <c r="Z717" s="25"/>
    </row>
    <row r="718" spans="1:26" ht="15.75" customHeight="1" x14ac:dyDescent="0.25">
      <c r="A718" s="25">
        <v>716</v>
      </c>
      <c r="B718" s="37" t="e">
        <f t="shared" ref="B718:D718" si="1445">VLOOKUP($A718,[2]Educación!$A$1:$O$276,B$1,0)</f>
        <v>#N/A</v>
      </c>
      <c r="C718" s="38" t="e">
        <f t="shared" si="1445"/>
        <v>#N/A</v>
      </c>
      <c r="D718" s="39" t="e">
        <f t="shared" si="1445"/>
        <v>#N/A</v>
      </c>
      <c r="E718" s="16" t="e">
        <f t="shared" si="1"/>
        <v>#N/A</v>
      </c>
      <c r="F718" s="16" t="e">
        <f t="shared" ref="F718:K718" si="1446">VLOOKUP($A718,[2]Educación!$A$1:$O$276,F$1,0)</f>
        <v>#N/A</v>
      </c>
      <c r="G718" s="39" t="e">
        <f t="shared" si="1446"/>
        <v>#N/A</v>
      </c>
      <c r="H718" s="16" t="e">
        <f t="shared" si="1446"/>
        <v>#N/A</v>
      </c>
      <c r="I718" s="16" t="e">
        <f t="shared" si="1446"/>
        <v>#N/A</v>
      </c>
      <c r="J718" s="40" t="e">
        <f t="shared" si="1446"/>
        <v>#N/A</v>
      </c>
      <c r="K718" s="16" t="e">
        <f t="shared" si="1446"/>
        <v>#N/A</v>
      </c>
      <c r="L718" s="40" t="e">
        <f t="shared" si="1213"/>
        <v>#N/A</v>
      </c>
      <c r="M718" s="16" t="e">
        <f t="shared" si="1214"/>
        <v>#N/A</v>
      </c>
      <c r="N718" s="16" t="e">
        <f t="shared" si="1215"/>
        <v>#N/A</v>
      </c>
      <c r="O718" s="16" t="s">
        <v>66</v>
      </c>
      <c r="P718" s="16" t="str">
        <f t="shared" si="6"/>
        <v/>
      </c>
      <c r="Q718" s="41" t="e">
        <f t="shared" si="1216"/>
        <v>#N/A</v>
      </c>
      <c r="R718" s="44"/>
      <c r="S718" s="44"/>
      <c r="T718" s="43"/>
      <c r="U718" s="43" t="str">
        <f t="shared" si="8"/>
        <v>No</v>
      </c>
      <c r="V718" s="25"/>
      <c r="W718" s="25"/>
      <c r="X718" s="25"/>
      <c r="Y718" s="25"/>
      <c r="Z718" s="25"/>
    </row>
    <row r="719" spans="1:26" ht="15.75" customHeight="1" x14ac:dyDescent="0.25">
      <c r="A719" s="25">
        <v>717</v>
      </c>
      <c r="B719" s="37" t="e">
        <f t="shared" ref="B719:D719" si="1447">VLOOKUP($A719,[2]Educación!$A$1:$O$276,B$1,0)</f>
        <v>#N/A</v>
      </c>
      <c r="C719" s="38" t="e">
        <f t="shared" si="1447"/>
        <v>#N/A</v>
      </c>
      <c r="D719" s="39" t="e">
        <f t="shared" si="1447"/>
        <v>#N/A</v>
      </c>
      <c r="E719" s="16" t="e">
        <f t="shared" si="1"/>
        <v>#N/A</v>
      </c>
      <c r="F719" s="16" t="e">
        <f t="shared" ref="F719:K719" si="1448">VLOOKUP($A719,[2]Educación!$A$1:$O$276,F$1,0)</f>
        <v>#N/A</v>
      </c>
      <c r="G719" s="39" t="e">
        <f t="shared" si="1448"/>
        <v>#N/A</v>
      </c>
      <c r="H719" s="16" t="e">
        <f t="shared" si="1448"/>
        <v>#N/A</v>
      </c>
      <c r="I719" s="16" t="e">
        <f t="shared" si="1448"/>
        <v>#N/A</v>
      </c>
      <c r="J719" s="40" t="e">
        <f t="shared" si="1448"/>
        <v>#N/A</v>
      </c>
      <c r="K719" s="16" t="e">
        <f t="shared" si="1448"/>
        <v>#N/A</v>
      </c>
      <c r="L719" s="40" t="e">
        <f t="shared" si="1213"/>
        <v>#N/A</v>
      </c>
      <c r="M719" s="16" t="e">
        <f t="shared" si="1214"/>
        <v>#N/A</v>
      </c>
      <c r="N719" s="16" t="e">
        <f t="shared" si="1215"/>
        <v>#N/A</v>
      </c>
      <c r="O719" s="16" t="s">
        <v>66</v>
      </c>
      <c r="P719" s="16" t="str">
        <f t="shared" si="6"/>
        <v/>
      </c>
      <c r="Q719" s="41" t="e">
        <f t="shared" si="1216"/>
        <v>#N/A</v>
      </c>
      <c r="R719" s="44"/>
      <c r="S719" s="44"/>
      <c r="T719" s="43"/>
      <c r="U719" s="43" t="str">
        <f t="shared" si="8"/>
        <v>No</v>
      </c>
      <c r="V719" s="25"/>
      <c r="W719" s="25"/>
      <c r="X719" s="25"/>
      <c r="Y719" s="25"/>
      <c r="Z719" s="25"/>
    </row>
    <row r="720" spans="1:26" ht="15.75" customHeight="1" x14ac:dyDescent="0.25">
      <c r="A720" s="25">
        <v>718</v>
      </c>
      <c r="B720" s="37" t="e">
        <f t="shared" ref="B720:D720" si="1449">VLOOKUP($A720,[2]Educación!$A$1:$O$276,B$1,0)</f>
        <v>#N/A</v>
      </c>
      <c r="C720" s="38" t="e">
        <f t="shared" si="1449"/>
        <v>#N/A</v>
      </c>
      <c r="D720" s="39" t="e">
        <f t="shared" si="1449"/>
        <v>#N/A</v>
      </c>
      <c r="E720" s="16" t="e">
        <f t="shared" si="1"/>
        <v>#N/A</v>
      </c>
      <c r="F720" s="16" t="e">
        <f t="shared" ref="F720:K720" si="1450">VLOOKUP($A720,[2]Educación!$A$1:$O$276,F$1,0)</f>
        <v>#N/A</v>
      </c>
      <c r="G720" s="39" t="e">
        <f t="shared" si="1450"/>
        <v>#N/A</v>
      </c>
      <c r="H720" s="16" t="e">
        <f t="shared" si="1450"/>
        <v>#N/A</v>
      </c>
      <c r="I720" s="16" t="e">
        <f t="shared" si="1450"/>
        <v>#N/A</v>
      </c>
      <c r="J720" s="40" t="e">
        <f t="shared" si="1450"/>
        <v>#N/A</v>
      </c>
      <c r="K720" s="16" t="e">
        <f t="shared" si="1450"/>
        <v>#N/A</v>
      </c>
      <c r="L720" s="40" t="e">
        <f t="shared" si="1213"/>
        <v>#N/A</v>
      </c>
      <c r="M720" s="16" t="e">
        <f t="shared" si="1214"/>
        <v>#N/A</v>
      </c>
      <c r="N720" s="16" t="e">
        <f t="shared" si="1215"/>
        <v>#N/A</v>
      </c>
      <c r="O720" s="16" t="s">
        <v>66</v>
      </c>
      <c r="P720" s="16" t="str">
        <f t="shared" si="6"/>
        <v/>
      </c>
      <c r="Q720" s="41" t="e">
        <f t="shared" si="1216"/>
        <v>#N/A</v>
      </c>
      <c r="R720" s="44"/>
      <c r="S720" s="44"/>
      <c r="T720" s="43"/>
      <c r="U720" s="43" t="str">
        <f t="shared" si="8"/>
        <v>No</v>
      </c>
      <c r="V720" s="25"/>
      <c r="W720" s="25"/>
      <c r="X720" s="25"/>
      <c r="Y720" s="25"/>
      <c r="Z720" s="25"/>
    </row>
    <row r="721" spans="1:26" ht="15.75" customHeight="1" x14ac:dyDescent="0.25">
      <c r="A721" s="25">
        <v>719</v>
      </c>
      <c r="B721" s="37" t="e">
        <f t="shared" ref="B721:D721" si="1451">VLOOKUP($A721,[2]Educación!$A$1:$O$276,B$1,0)</f>
        <v>#N/A</v>
      </c>
      <c r="C721" s="38" t="e">
        <f t="shared" si="1451"/>
        <v>#N/A</v>
      </c>
      <c r="D721" s="39" t="e">
        <f t="shared" si="1451"/>
        <v>#N/A</v>
      </c>
      <c r="E721" s="16" t="e">
        <f t="shared" si="1"/>
        <v>#N/A</v>
      </c>
      <c r="F721" s="16" t="e">
        <f t="shared" ref="F721:K721" si="1452">VLOOKUP($A721,[2]Educación!$A$1:$O$276,F$1,0)</f>
        <v>#N/A</v>
      </c>
      <c r="G721" s="39" t="e">
        <f t="shared" si="1452"/>
        <v>#N/A</v>
      </c>
      <c r="H721" s="16" t="e">
        <f t="shared" si="1452"/>
        <v>#N/A</v>
      </c>
      <c r="I721" s="16" t="e">
        <f t="shared" si="1452"/>
        <v>#N/A</v>
      </c>
      <c r="J721" s="40" t="e">
        <f t="shared" si="1452"/>
        <v>#N/A</v>
      </c>
      <c r="K721" s="16" t="e">
        <f t="shared" si="1452"/>
        <v>#N/A</v>
      </c>
      <c r="L721" s="40" t="e">
        <f t="shared" si="1213"/>
        <v>#N/A</v>
      </c>
      <c r="M721" s="16" t="e">
        <f t="shared" si="1214"/>
        <v>#N/A</v>
      </c>
      <c r="N721" s="16" t="e">
        <f t="shared" si="1215"/>
        <v>#N/A</v>
      </c>
      <c r="O721" s="16" t="s">
        <v>66</v>
      </c>
      <c r="P721" s="16" t="str">
        <f t="shared" si="6"/>
        <v/>
      </c>
      <c r="Q721" s="41" t="e">
        <f t="shared" si="1216"/>
        <v>#N/A</v>
      </c>
      <c r="R721" s="44"/>
      <c r="S721" s="44"/>
      <c r="T721" s="43"/>
      <c r="U721" s="43" t="str">
        <f t="shared" si="8"/>
        <v>No</v>
      </c>
      <c r="V721" s="25"/>
      <c r="W721" s="25"/>
      <c r="X721" s="25"/>
      <c r="Y721" s="25"/>
      <c r="Z721" s="25"/>
    </row>
    <row r="722" spans="1:26" ht="15.75" customHeight="1" x14ac:dyDescent="0.25">
      <c r="A722" s="25">
        <v>720</v>
      </c>
      <c r="B722" s="37" t="e">
        <f t="shared" ref="B722:D722" si="1453">VLOOKUP($A722,[2]Educación!$A$1:$O$276,B$1,0)</f>
        <v>#N/A</v>
      </c>
      <c r="C722" s="38" t="e">
        <f t="shared" si="1453"/>
        <v>#N/A</v>
      </c>
      <c r="D722" s="39" t="e">
        <f t="shared" si="1453"/>
        <v>#N/A</v>
      </c>
      <c r="E722" s="16" t="e">
        <f t="shared" si="1"/>
        <v>#N/A</v>
      </c>
      <c r="F722" s="16" t="e">
        <f t="shared" ref="F722:K722" si="1454">VLOOKUP($A722,[2]Educación!$A$1:$O$276,F$1,0)</f>
        <v>#N/A</v>
      </c>
      <c r="G722" s="39" t="e">
        <f t="shared" si="1454"/>
        <v>#N/A</v>
      </c>
      <c r="H722" s="16" t="e">
        <f t="shared" si="1454"/>
        <v>#N/A</v>
      </c>
      <c r="I722" s="16" t="e">
        <f t="shared" si="1454"/>
        <v>#N/A</v>
      </c>
      <c r="J722" s="40" t="e">
        <f t="shared" si="1454"/>
        <v>#N/A</v>
      </c>
      <c r="K722" s="16" t="e">
        <f t="shared" si="1454"/>
        <v>#N/A</v>
      </c>
      <c r="L722" s="40" t="e">
        <f t="shared" si="1213"/>
        <v>#N/A</v>
      </c>
      <c r="M722" s="16" t="e">
        <f t="shared" si="1214"/>
        <v>#N/A</v>
      </c>
      <c r="N722" s="16" t="e">
        <f t="shared" si="1215"/>
        <v>#N/A</v>
      </c>
      <c r="O722" s="16" t="s">
        <v>66</v>
      </c>
      <c r="P722" s="16" t="str">
        <f t="shared" si="6"/>
        <v/>
      </c>
      <c r="Q722" s="41" t="e">
        <f t="shared" si="1216"/>
        <v>#N/A</v>
      </c>
      <c r="R722" s="44"/>
      <c r="S722" s="44"/>
      <c r="T722" s="43"/>
      <c r="U722" s="43" t="str">
        <f t="shared" si="8"/>
        <v>No</v>
      </c>
      <c r="V722" s="25"/>
      <c r="W722" s="25"/>
      <c r="X722" s="25"/>
      <c r="Y722" s="25"/>
      <c r="Z722" s="25"/>
    </row>
    <row r="723" spans="1:26" ht="15.75" customHeight="1" x14ac:dyDescent="0.25">
      <c r="A723" s="25">
        <v>721</v>
      </c>
      <c r="B723" s="37" t="e">
        <f t="shared" ref="B723:D723" si="1455">VLOOKUP($A723,[2]Educación!$A$1:$O$276,B$1,0)</f>
        <v>#N/A</v>
      </c>
      <c r="C723" s="38" t="e">
        <f t="shared" si="1455"/>
        <v>#N/A</v>
      </c>
      <c r="D723" s="39" t="e">
        <f t="shared" si="1455"/>
        <v>#N/A</v>
      </c>
      <c r="E723" s="16" t="e">
        <f t="shared" si="1"/>
        <v>#N/A</v>
      </c>
      <c r="F723" s="16" t="e">
        <f t="shared" ref="F723:K723" si="1456">VLOOKUP($A723,[2]Educación!$A$1:$O$276,F$1,0)</f>
        <v>#N/A</v>
      </c>
      <c r="G723" s="39" t="e">
        <f t="shared" si="1456"/>
        <v>#N/A</v>
      </c>
      <c r="H723" s="16" t="e">
        <f t="shared" si="1456"/>
        <v>#N/A</v>
      </c>
      <c r="I723" s="16" t="e">
        <f t="shared" si="1456"/>
        <v>#N/A</v>
      </c>
      <c r="J723" s="40" t="e">
        <f t="shared" si="1456"/>
        <v>#N/A</v>
      </c>
      <c r="K723" s="16" t="e">
        <f t="shared" si="1456"/>
        <v>#N/A</v>
      </c>
      <c r="L723" s="40" t="e">
        <f t="shared" si="1213"/>
        <v>#N/A</v>
      </c>
      <c r="M723" s="16" t="e">
        <f t="shared" si="1214"/>
        <v>#N/A</v>
      </c>
      <c r="N723" s="16" t="e">
        <f t="shared" si="1215"/>
        <v>#N/A</v>
      </c>
      <c r="O723" s="16" t="s">
        <v>66</v>
      </c>
      <c r="P723" s="16" t="str">
        <f t="shared" si="6"/>
        <v/>
      </c>
      <c r="Q723" s="41" t="e">
        <f t="shared" si="1216"/>
        <v>#N/A</v>
      </c>
      <c r="R723" s="44"/>
      <c r="S723" s="44"/>
      <c r="T723" s="43"/>
      <c r="U723" s="43" t="str">
        <f t="shared" si="8"/>
        <v>No</v>
      </c>
      <c r="V723" s="25"/>
      <c r="W723" s="25"/>
      <c r="X723" s="25"/>
      <c r="Y723" s="25"/>
      <c r="Z723" s="25"/>
    </row>
    <row r="724" spans="1:26" ht="15.75" customHeight="1" x14ac:dyDescent="0.25">
      <c r="A724" s="25">
        <v>722</v>
      </c>
      <c r="B724" s="37" t="e">
        <f t="shared" ref="B724:D724" si="1457">VLOOKUP($A724,[2]Educación!$A$1:$O$276,B$1,0)</f>
        <v>#N/A</v>
      </c>
      <c r="C724" s="38" t="e">
        <f t="shared" si="1457"/>
        <v>#N/A</v>
      </c>
      <c r="D724" s="39" t="e">
        <f t="shared" si="1457"/>
        <v>#N/A</v>
      </c>
      <c r="E724" s="16" t="e">
        <f t="shared" si="1"/>
        <v>#N/A</v>
      </c>
      <c r="F724" s="16" t="e">
        <f t="shared" ref="F724:K724" si="1458">VLOOKUP($A724,[2]Educación!$A$1:$O$276,F$1,0)</f>
        <v>#N/A</v>
      </c>
      <c r="G724" s="39" t="e">
        <f t="shared" si="1458"/>
        <v>#N/A</v>
      </c>
      <c r="H724" s="16" t="e">
        <f t="shared" si="1458"/>
        <v>#N/A</v>
      </c>
      <c r="I724" s="16" t="e">
        <f t="shared" si="1458"/>
        <v>#N/A</v>
      </c>
      <c r="J724" s="40" t="e">
        <f t="shared" si="1458"/>
        <v>#N/A</v>
      </c>
      <c r="K724" s="16" t="e">
        <f t="shared" si="1458"/>
        <v>#N/A</v>
      </c>
      <c r="L724" s="40" t="e">
        <f t="shared" si="1213"/>
        <v>#N/A</v>
      </c>
      <c r="M724" s="16" t="e">
        <f t="shared" si="1214"/>
        <v>#N/A</v>
      </c>
      <c r="N724" s="16" t="e">
        <f t="shared" si="1215"/>
        <v>#N/A</v>
      </c>
      <c r="O724" s="16" t="s">
        <v>66</v>
      </c>
      <c r="P724" s="16" t="str">
        <f t="shared" si="6"/>
        <v/>
      </c>
      <c r="Q724" s="41" t="e">
        <f t="shared" si="1216"/>
        <v>#N/A</v>
      </c>
      <c r="R724" s="44"/>
      <c r="S724" s="44"/>
      <c r="T724" s="43"/>
      <c r="U724" s="43" t="str">
        <f t="shared" si="8"/>
        <v>No</v>
      </c>
      <c r="V724" s="25"/>
      <c r="W724" s="25"/>
      <c r="X724" s="25"/>
      <c r="Y724" s="25"/>
      <c r="Z724" s="25"/>
    </row>
    <row r="725" spans="1:26" ht="15.75" customHeight="1" x14ac:dyDescent="0.25">
      <c r="A725" s="25">
        <v>723</v>
      </c>
      <c r="B725" s="37" t="e">
        <f t="shared" ref="B725:D725" si="1459">VLOOKUP($A725,[2]Educación!$A$1:$O$276,B$1,0)</f>
        <v>#N/A</v>
      </c>
      <c r="C725" s="38" t="e">
        <f t="shared" si="1459"/>
        <v>#N/A</v>
      </c>
      <c r="D725" s="39" t="e">
        <f t="shared" si="1459"/>
        <v>#N/A</v>
      </c>
      <c r="E725" s="16" t="e">
        <f t="shared" si="1"/>
        <v>#N/A</v>
      </c>
      <c r="F725" s="16" t="e">
        <f t="shared" ref="F725:K725" si="1460">VLOOKUP($A725,[2]Educación!$A$1:$O$276,F$1,0)</f>
        <v>#N/A</v>
      </c>
      <c r="G725" s="39" t="e">
        <f t="shared" si="1460"/>
        <v>#N/A</v>
      </c>
      <c r="H725" s="16" t="e">
        <f t="shared" si="1460"/>
        <v>#N/A</v>
      </c>
      <c r="I725" s="16" t="e">
        <f t="shared" si="1460"/>
        <v>#N/A</v>
      </c>
      <c r="J725" s="40" t="e">
        <f t="shared" si="1460"/>
        <v>#N/A</v>
      </c>
      <c r="K725" s="16" t="e">
        <f t="shared" si="1460"/>
        <v>#N/A</v>
      </c>
      <c r="L725" s="40" t="e">
        <f t="shared" si="1213"/>
        <v>#N/A</v>
      </c>
      <c r="M725" s="16" t="e">
        <f t="shared" si="1214"/>
        <v>#N/A</v>
      </c>
      <c r="N725" s="16" t="e">
        <f t="shared" si="1215"/>
        <v>#N/A</v>
      </c>
      <c r="O725" s="16" t="s">
        <v>66</v>
      </c>
      <c r="P725" s="16" t="str">
        <f t="shared" si="6"/>
        <v/>
      </c>
      <c r="Q725" s="41" t="e">
        <f t="shared" si="1216"/>
        <v>#N/A</v>
      </c>
      <c r="R725" s="44"/>
      <c r="S725" s="44"/>
      <c r="T725" s="43"/>
      <c r="U725" s="43" t="str">
        <f t="shared" si="8"/>
        <v>No</v>
      </c>
      <c r="V725" s="25"/>
      <c r="W725" s="25"/>
      <c r="X725" s="25"/>
      <c r="Y725" s="25"/>
      <c r="Z725" s="25"/>
    </row>
    <row r="726" spans="1:26" ht="15.75" customHeight="1" x14ac:dyDescent="0.25">
      <c r="A726" s="25">
        <v>724</v>
      </c>
      <c r="B726" s="37" t="e">
        <f t="shared" ref="B726:D726" si="1461">VLOOKUP($A726,[2]Educación!$A$1:$O$276,B$1,0)</f>
        <v>#N/A</v>
      </c>
      <c r="C726" s="38" t="e">
        <f t="shared" si="1461"/>
        <v>#N/A</v>
      </c>
      <c r="D726" s="39" t="e">
        <f t="shared" si="1461"/>
        <v>#N/A</v>
      </c>
      <c r="E726" s="16" t="e">
        <f t="shared" si="1"/>
        <v>#N/A</v>
      </c>
      <c r="F726" s="16" t="e">
        <f t="shared" ref="F726:K726" si="1462">VLOOKUP($A726,[2]Educación!$A$1:$O$276,F$1,0)</f>
        <v>#N/A</v>
      </c>
      <c r="G726" s="39" t="e">
        <f t="shared" si="1462"/>
        <v>#N/A</v>
      </c>
      <c r="H726" s="16" t="e">
        <f t="shared" si="1462"/>
        <v>#N/A</v>
      </c>
      <c r="I726" s="16" t="e">
        <f t="shared" si="1462"/>
        <v>#N/A</v>
      </c>
      <c r="J726" s="40" t="e">
        <f t="shared" si="1462"/>
        <v>#N/A</v>
      </c>
      <c r="K726" s="16" t="e">
        <f t="shared" si="1462"/>
        <v>#N/A</v>
      </c>
      <c r="L726" s="40" t="e">
        <f t="shared" si="1213"/>
        <v>#N/A</v>
      </c>
      <c r="M726" s="16" t="e">
        <f t="shared" si="1214"/>
        <v>#N/A</v>
      </c>
      <c r="N726" s="16" t="e">
        <f t="shared" si="1215"/>
        <v>#N/A</v>
      </c>
      <c r="O726" s="16" t="s">
        <v>66</v>
      </c>
      <c r="P726" s="16" t="str">
        <f t="shared" si="6"/>
        <v/>
      </c>
      <c r="Q726" s="41" t="e">
        <f t="shared" si="1216"/>
        <v>#N/A</v>
      </c>
      <c r="R726" s="44"/>
      <c r="S726" s="44"/>
      <c r="T726" s="43"/>
      <c r="U726" s="43" t="str">
        <f t="shared" si="8"/>
        <v>No</v>
      </c>
      <c r="V726" s="25"/>
      <c r="W726" s="25"/>
      <c r="X726" s="25"/>
      <c r="Y726" s="25"/>
      <c r="Z726" s="25"/>
    </row>
    <row r="727" spans="1:26" ht="15.75" customHeight="1" x14ac:dyDescent="0.25">
      <c r="A727" s="25">
        <v>725</v>
      </c>
      <c r="B727" s="37" t="e">
        <f t="shared" ref="B727:D727" si="1463">VLOOKUP($A727,[2]Educación!$A$1:$O$276,B$1,0)</f>
        <v>#N/A</v>
      </c>
      <c r="C727" s="38" t="e">
        <f t="shared" si="1463"/>
        <v>#N/A</v>
      </c>
      <c r="D727" s="39" t="e">
        <f t="shared" si="1463"/>
        <v>#N/A</v>
      </c>
      <c r="E727" s="16" t="e">
        <f t="shared" si="1"/>
        <v>#N/A</v>
      </c>
      <c r="F727" s="16" t="e">
        <f t="shared" ref="F727:K727" si="1464">VLOOKUP($A727,[2]Educación!$A$1:$O$276,F$1,0)</f>
        <v>#N/A</v>
      </c>
      <c r="G727" s="39" t="e">
        <f t="shared" si="1464"/>
        <v>#N/A</v>
      </c>
      <c r="H727" s="16" t="e">
        <f t="shared" si="1464"/>
        <v>#N/A</v>
      </c>
      <c r="I727" s="16" t="e">
        <f t="shared" si="1464"/>
        <v>#N/A</v>
      </c>
      <c r="J727" s="40" t="e">
        <f t="shared" si="1464"/>
        <v>#N/A</v>
      </c>
      <c r="K727" s="16" t="e">
        <f t="shared" si="1464"/>
        <v>#N/A</v>
      </c>
      <c r="L727" s="40" t="e">
        <f t="shared" si="1213"/>
        <v>#N/A</v>
      </c>
      <c r="M727" s="16" t="e">
        <f t="shared" si="1214"/>
        <v>#N/A</v>
      </c>
      <c r="N727" s="16" t="e">
        <f t="shared" si="1215"/>
        <v>#N/A</v>
      </c>
      <c r="O727" s="16" t="s">
        <v>66</v>
      </c>
      <c r="P727" s="16" t="str">
        <f t="shared" si="6"/>
        <v/>
      </c>
      <c r="Q727" s="41" t="e">
        <f t="shared" si="1216"/>
        <v>#N/A</v>
      </c>
      <c r="R727" s="44"/>
      <c r="S727" s="44"/>
      <c r="T727" s="43"/>
      <c r="U727" s="43" t="str">
        <f t="shared" si="8"/>
        <v>No</v>
      </c>
      <c r="V727" s="25"/>
      <c r="W727" s="25"/>
      <c r="X727" s="25"/>
      <c r="Y727" s="25"/>
      <c r="Z727" s="25"/>
    </row>
    <row r="728" spans="1:26" ht="15.75" customHeight="1" x14ac:dyDescent="0.25">
      <c r="A728" s="25">
        <v>726</v>
      </c>
      <c r="B728" s="37" t="e">
        <f t="shared" ref="B728:D728" si="1465">VLOOKUP($A728,[2]Educación!$A$1:$O$276,B$1,0)</f>
        <v>#N/A</v>
      </c>
      <c r="C728" s="38" t="e">
        <f t="shared" si="1465"/>
        <v>#N/A</v>
      </c>
      <c r="D728" s="39" t="e">
        <f t="shared" si="1465"/>
        <v>#N/A</v>
      </c>
      <c r="E728" s="16" t="e">
        <f t="shared" si="1"/>
        <v>#N/A</v>
      </c>
      <c r="F728" s="16" t="e">
        <f t="shared" ref="F728:K728" si="1466">VLOOKUP($A728,[2]Educación!$A$1:$O$276,F$1,0)</f>
        <v>#N/A</v>
      </c>
      <c r="G728" s="39" t="e">
        <f t="shared" si="1466"/>
        <v>#N/A</v>
      </c>
      <c r="H728" s="16" t="e">
        <f t="shared" si="1466"/>
        <v>#N/A</v>
      </c>
      <c r="I728" s="16" t="e">
        <f t="shared" si="1466"/>
        <v>#N/A</v>
      </c>
      <c r="J728" s="40" t="e">
        <f t="shared" si="1466"/>
        <v>#N/A</v>
      </c>
      <c r="K728" s="16" t="e">
        <f t="shared" si="1466"/>
        <v>#N/A</v>
      </c>
      <c r="L728" s="40" t="e">
        <f t="shared" si="1213"/>
        <v>#N/A</v>
      </c>
      <c r="M728" s="16" t="e">
        <f t="shared" si="1214"/>
        <v>#N/A</v>
      </c>
      <c r="N728" s="16" t="e">
        <f t="shared" si="1215"/>
        <v>#N/A</v>
      </c>
      <c r="O728" s="16" t="s">
        <v>66</v>
      </c>
      <c r="P728" s="16" t="str">
        <f t="shared" si="6"/>
        <v/>
      </c>
      <c r="Q728" s="41" t="e">
        <f t="shared" si="1216"/>
        <v>#N/A</v>
      </c>
      <c r="R728" s="44"/>
      <c r="S728" s="44"/>
      <c r="T728" s="43"/>
      <c r="U728" s="43" t="str">
        <f t="shared" si="8"/>
        <v>No</v>
      </c>
      <c r="V728" s="25"/>
      <c r="W728" s="25"/>
      <c r="X728" s="25"/>
      <c r="Y728" s="25"/>
      <c r="Z728" s="25"/>
    </row>
    <row r="729" spans="1:26" ht="15.75" customHeight="1" x14ac:dyDescent="0.25">
      <c r="A729" s="25">
        <v>727</v>
      </c>
      <c r="B729" s="37" t="e">
        <f t="shared" ref="B729:D729" si="1467">VLOOKUP($A729,[2]Educación!$A$1:$O$276,B$1,0)</f>
        <v>#N/A</v>
      </c>
      <c r="C729" s="38" t="e">
        <f t="shared" si="1467"/>
        <v>#N/A</v>
      </c>
      <c r="D729" s="39" t="e">
        <f t="shared" si="1467"/>
        <v>#N/A</v>
      </c>
      <c r="E729" s="16" t="e">
        <f t="shared" si="1"/>
        <v>#N/A</v>
      </c>
      <c r="F729" s="16" t="e">
        <f t="shared" ref="F729:K729" si="1468">VLOOKUP($A729,[2]Educación!$A$1:$O$276,F$1,0)</f>
        <v>#N/A</v>
      </c>
      <c r="G729" s="39" t="e">
        <f t="shared" si="1468"/>
        <v>#N/A</v>
      </c>
      <c r="H729" s="16" t="e">
        <f t="shared" si="1468"/>
        <v>#N/A</v>
      </c>
      <c r="I729" s="16" t="e">
        <f t="shared" si="1468"/>
        <v>#N/A</v>
      </c>
      <c r="J729" s="40" t="e">
        <f t="shared" si="1468"/>
        <v>#N/A</v>
      </c>
      <c r="K729" s="16" t="e">
        <f t="shared" si="1468"/>
        <v>#N/A</v>
      </c>
      <c r="L729" s="40" t="e">
        <f t="shared" si="1213"/>
        <v>#N/A</v>
      </c>
      <c r="M729" s="16" t="e">
        <f t="shared" si="1214"/>
        <v>#N/A</v>
      </c>
      <c r="N729" s="16" t="e">
        <f t="shared" si="1215"/>
        <v>#N/A</v>
      </c>
      <c r="O729" s="16" t="s">
        <v>66</v>
      </c>
      <c r="P729" s="16" t="str">
        <f t="shared" si="6"/>
        <v/>
      </c>
      <c r="Q729" s="41" t="e">
        <f t="shared" si="1216"/>
        <v>#N/A</v>
      </c>
      <c r="R729" s="44"/>
      <c r="S729" s="44"/>
      <c r="T729" s="43"/>
      <c r="U729" s="43" t="str">
        <f t="shared" si="8"/>
        <v>No</v>
      </c>
      <c r="V729" s="25"/>
      <c r="W729" s="25"/>
      <c r="X729" s="25"/>
      <c r="Y729" s="25"/>
      <c r="Z729" s="25"/>
    </row>
    <row r="730" spans="1:26" ht="15.75" customHeight="1" x14ac:dyDescent="0.25">
      <c r="A730" s="25">
        <v>728</v>
      </c>
      <c r="B730" s="37" t="e">
        <f t="shared" ref="B730:D730" si="1469">VLOOKUP($A730,[2]Educación!$A$1:$O$276,B$1,0)</f>
        <v>#N/A</v>
      </c>
      <c r="C730" s="38" t="e">
        <f t="shared" si="1469"/>
        <v>#N/A</v>
      </c>
      <c r="D730" s="39" t="e">
        <f t="shared" si="1469"/>
        <v>#N/A</v>
      </c>
      <c r="E730" s="16" t="e">
        <f t="shared" si="1"/>
        <v>#N/A</v>
      </c>
      <c r="F730" s="16" t="e">
        <f t="shared" ref="F730:K730" si="1470">VLOOKUP($A730,[2]Educación!$A$1:$O$276,F$1,0)</f>
        <v>#N/A</v>
      </c>
      <c r="G730" s="39" t="e">
        <f t="shared" si="1470"/>
        <v>#N/A</v>
      </c>
      <c r="H730" s="16" t="e">
        <f t="shared" si="1470"/>
        <v>#N/A</v>
      </c>
      <c r="I730" s="16" t="e">
        <f t="shared" si="1470"/>
        <v>#N/A</v>
      </c>
      <c r="J730" s="40" t="e">
        <f t="shared" si="1470"/>
        <v>#N/A</v>
      </c>
      <c r="K730" s="16" t="e">
        <f t="shared" si="1470"/>
        <v>#N/A</v>
      </c>
      <c r="L730" s="40" t="e">
        <f t="shared" si="1213"/>
        <v>#N/A</v>
      </c>
      <c r="M730" s="16" t="e">
        <f t="shared" si="1214"/>
        <v>#N/A</v>
      </c>
      <c r="N730" s="16" t="e">
        <f t="shared" si="1215"/>
        <v>#N/A</v>
      </c>
      <c r="O730" s="16" t="s">
        <v>66</v>
      </c>
      <c r="P730" s="16" t="str">
        <f t="shared" si="6"/>
        <v/>
      </c>
      <c r="Q730" s="41" t="e">
        <f t="shared" si="1216"/>
        <v>#N/A</v>
      </c>
      <c r="R730" s="44"/>
      <c r="S730" s="44"/>
      <c r="T730" s="43"/>
      <c r="U730" s="43" t="str">
        <f t="shared" si="8"/>
        <v>No</v>
      </c>
      <c r="V730" s="25"/>
      <c r="W730" s="25"/>
      <c r="X730" s="25"/>
      <c r="Y730" s="25"/>
      <c r="Z730" s="25"/>
    </row>
    <row r="731" spans="1:26" ht="15.75" customHeight="1" x14ac:dyDescent="0.25">
      <c r="A731" s="25">
        <v>729</v>
      </c>
      <c r="B731" s="37" t="e">
        <f t="shared" ref="B731:D731" si="1471">VLOOKUP($A731,[2]Educación!$A$1:$O$276,B$1,0)</f>
        <v>#N/A</v>
      </c>
      <c r="C731" s="38" t="e">
        <f t="shared" si="1471"/>
        <v>#N/A</v>
      </c>
      <c r="D731" s="39" t="e">
        <f t="shared" si="1471"/>
        <v>#N/A</v>
      </c>
      <c r="E731" s="16" t="e">
        <f t="shared" si="1"/>
        <v>#N/A</v>
      </c>
      <c r="F731" s="16" t="e">
        <f t="shared" ref="F731:K731" si="1472">VLOOKUP($A731,[2]Educación!$A$1:$O$276,F$1,0)</f>
        <v>#N/A</v>
      </c>
      <c r="G731" s="39" t="e">
        <f t="shared" si="1472"/>
        <v>#N/A</v>
      </c>
      <c r="H731" s="16" t="e">
        <f t="shared" si="1472"/>
        <v>#N/A</v>
      </c>
      <c r="I731" s="16" t="e">
        <f t="shared" si="1472"/>
        <v>#N/A</v>
      </c>
      <c r="J731" s="40" t="e">
        <f t="shared" si="1472"/>
        <v>#N/A</v>
      </c>
      <c r="K731" s="16" t="e">
        <f t="shared" si="1472"/>
        <v>#N/A</v>
      </c>
      <c r="L731" s="40" t="e">
        <f t="shared" si="1213"/>
        <v>#N/A</v>
      </c>
      <c r="M731" s="16" t="e">
        <f t="shared" si="1214"/>
        <v>#N/A</v>
      </c>
      <c r="N731" s="16" t="e">
        <f t="shared" si="1215"/>
        <v>#N/A</v>
      </c>
      <c r="O731" s="16" t="s">
        <v>66</v>
      </c>
      <c r="P731" s="16" t="str">
        <f t="shared" si="6"/>
        <v/>
      </c>
      <c r="Q731" s="41" t="e">
        <f t="shared" si="1216"/>
        <v>#N/A</v>
      </c>
      <c r="R731" s="44"/>
      <c r="S731" s="44"/>
      <c r="T731" s="43"/>
      <c r="U731" s="43" t="str">
        <f t="shared" si="8"/>
        <v>No</v>
      </c>
      <c r="V731" s="25"/>
      <c r="W731" s="25"/>
      <c r="X731" s="25"/>
      <c r="Y731" s="25"/>
      <c r="Z731" s="25"/>
    </row>
    <row r="732" spans="1:26" ht="15.75" customHeight="1" x14ac:dyDescent="0.25">
      <c r="A732" s="25">
        <v>730</v>
      </c>
      <c r="B732" s="37" t="e">
        <f t="shared" ref="B732:D732" si="1473">VLOOKUP($A732,[2]Educación!$A$1:$O$276,B$1,0)</f>
        <v>#N/A</v>
      </c>
      <c r="C732" s="38" t="e">
        <f t="shared" si="1473"/>
        <v>#N/A</v>
      </c>
      <c r="D732" s="39" t="e">
        <f t="shared" si="1473"/>
        <v>#N/A</v>
      </c>
      <c r="E732" s="16" t="e">
        <f t="shared" si="1"/>
        <v>#N/A</v>
      </c>
      <c r="F732" s="16" t="e">
        <f t="shared" ref="F732:K732" si="1474">VLOOKUP($A732,[2]Educación!$A$1:$O$276,F$1,0)</f>
        <v>#N/A</v>
      </c>
      <c r="G732" s="39" t="e">
        <f t="shared" si="1474"/>
        <v>#N/A</v>
      </c>
      <c r="H732" s="16" t="e">
        <f t="shared" si="1474"/>
        <v>#N/A</v>
      </c>
      <c r="I732" s="16" t="e">
        <f t="shared" si="1474"/>
        <v>#N/A</v>
      </c>
      <c r="J732" s="40" t="e">
        <f t="shared" si="1474"/>
        <v>#N/A</v>
      </c>
      <c r="K732" s="16" t="e">
        <f t="shared" si="1474"/>
        <v>#N/A</v>
      </c>
      <c r="L732" s="40" t="e">
        <f t="shared" si="1213"/>
        <v>#N/A</v>
      </c>
      <c r="M732" s="16" t="e">
        <f t="shared" si="1214"/>
        <v>#N/A</v>
      </c>
      <c r="N732" s="16" t="e">
        <f t="shared" si="1215"/>
        <v>#N/A</v>
      </c>
      <c r="O732" s="16" t="s">
        <v>66</v>
      </c>
      <c r="P732" s="16" t="str">
        <f t="shared" si="6"/>
        <v/>
      </c>
      <c r="Q732" s="41" t="e">
        <f t="shared" si="1216"/>
        <v>#N/A</v>
      </c>
      <c r="R732" s="44"/>
      <c r="S732" s="44"/>
      <c r="T732" s="43"/>
      <c r="U732" s="43" t="str">
        <f t="shared" si="8"/>
        <v>No</v>
      </c>
      <c r="V732" s="25"/>
      <c r="W732" s="25"/>
      <c r="X732" s="25"/>
      <c r="Y732" s="25"/>
      <c r="Z732" s="25"/>
    </row>
    <row r="733" spans="1:26" ht="15.75" customHeight="1" x14ac:dyDescent="0.25">
      <c r="A733" s="25">
        <v>731</v>
      </c>
      <c r="B733" s="37" t="e">
        <f t="shared" ref="B733:D733" si="1475">VLOOKUP($A733,[2]Educación!$A$1:$O$276,B$1,0)</f>
        <v>#N/A</v>
      </c>
      <c r="C733" s="38" t="e">
        <f t="shared" si="1475"/>
        <v>#N/A</v>
      </c>
      <c r="D733" s="39" t="e">
        <f t="shared" si="1475"/>
        <v>#N/A</v>
      </c>
      <c r="E733" s="16" t="e">
        <f t="shared" si="1"/>
        <v>#N/A</v>
      </c>
      <c r="F733" s="16" t="e">
        <f t="shared" ref="F733:K733" si="1476">VLOOKUP($A733,[2]Educación!$A$1:$O$276,F$1,0)</f>
        <v>#N/A</v>
      </c>
      <c r="G733" s="39" t="e">
        <f t="shared" si="1476"/>
        <v>#N/A</v>
      </c>
      <c r="H733" s="16" t="e">
        <f t="shared" si="1476"/>
        <v>#N/A</v>
      </c>
      <c r="I733" s="16" t="e">
        <f t="shared" si="1476"/>
        <v>#N/A</v>
      </c>
      <c r="J733" s="40" t="e">
        <f t="shared" si="1476"/>
        <v>#N/A</v>
      </c>
      <c r="K733" s="16" t="e">
        <f t="shared" si="1476"/>
        <v>#N/A</v>
      </c>
      <c r="L733" s="40" t="e">
        <f t="shared" si="1213"/>
        <v>#N/A</v>
      </c>
      <c r="M733" s="16" t="e">
        <f t="shared" si="1214"/>
        <v>#N/A</v>
      </c>
      <c r="N733" s="16" t="e">
        <f t="shared" si="1215"/>
        <v>#N/A</v>
      </c>
      <c r="O733" s="16" t="s">
        <v>66</v>
      </c>
      <c r="P733" s="16" t="str">
        <f t="shared" si="6"/>
        <v/>
      </c>
      <c r="Q733" s="41" t="e">
        <f t="shared" si="1216"/>
        <v>#N/A</v>
      </c>
      <c r="R733" s="44"/>
      <c r="S733" s="44"/>
      <c r="T733" s="43"/>
      <c r="U733" s="43" t="str">
        <f t="shared" si="8"/>
        <v>No</v>
      </c>
      <c r="V733" s="25"/>
      <c r="W733" s="25"/>
      <c r="X733" s="25"/>
      <c r="Y733" s="25"/>
      <c r="Z733" s="25"/>
    </row>
    <row r="734" spans="1:26" ht="15.75" customHeight="1" x14ac:dyDescent="0.25">
      <c r="A734" s="25">
        <v>732</v>
      </c>
      <c r="B734" s="37" t="e">
        <f t="shared" ref="B734:D734" si="1477">VLOOKUP($A734,[2]Educación!$A$1:$O$276,B$1,0)</f>
        <v>#N/A</v>
      </c>
      <c r="C734" s="38" t="e">
        <f t="shared" si="1477"/>
        <v>#N/A</v>
      </c>
      <c r="D734" s="39" t="e">
        <f t="shared" si="1477"/>
        <v>#N/A</v>
      </c>
      <c r="E734" s="16" t="e">
        <f t="shared" si="1"/>
        <v>#N/A</v>
      </c>
      <c r="F734" s="16" t="e">
        <f t="shared" ref="F734:K734" si="1478">VLOOKUP($A734,[2]Educación!$A$1:$O$276,F$1,0)</f>
        <v>#N/A</v>
      </c>
      <c r="G734" s="39" t="e">
        <f t="shared" si="1478"/>
        <v>#N/A</v>
      </c>
      <c r="H734" s="16" t="e">
        <f t="shared" si="1478"/>
        <v>#N/A</v>
      </c>
      <c r="I734" s="16" t="e">
        <f t="shared" si="1478"/>
        <v>#N/A</v>
      </c>
      <c r="J734" s="40" t="e">
        <f t="shared" si="1478"/>
        <v>#N/A</v>
      </c>
      <c r="K734" s="16" t="e">
        <f t="shared" si="1478"/>
        <v>#N/A</v>
      </c>
      <c r="L734" s="40" t="e">
        <f t="shared" si="1213"/>
        <v>#N/A</v>
      </c>
      <c r="M734" s="16" t="e">
        <f t="shared" si="1214"/>
        <v>#N/A</v>
      </c>
      <c r="N734" s="16" t="e">
        <f t="shared" si="1215"/>
        <v>#N/A</v>
      </c>
      <c r="O734" s="16" t="s">
        <v>66</v>
      </c>
      <c r="P734" s="16" t="str">
        <f t="shared" si="6"/>
        <v/>
      </c>
      <c r="Q734" s="41" t="e">
        <f t="shared" si="1216"/>
        <v>#N/A</v>
      </c>
      <c r="R734" s="44"/>
      <c r="S734" s="44"/>
      <c r="T734" s="43"/>
      <c r="U734" s="43" t="str">
        <f t="shared" si="8"/>
        <v>No</v>
      </c>
      <c r="V734" s="25"/>
      <c r="W734" s="25"/>
      <c r="X734" s="25"/>
      <c r="Y734" s="25"/>
      <c r="Z734" s="25"/>
    </row>
    <row r="735" spans="1:26" ht="15.75" customHeight="1" x14ac:dyDescent="0.25">
      <c r="A735" s="25">
        <v>733</v>
      </c>
      <c r="B735" s="37" t="e">
        <f t="shared" ref="B735:D735" si="1479">VLOOKUP($A735,[2]Educación!$A$1:$O$276,B$1,0)</f>
        <v>#N/A</v>
      </c>
      <c r="C735" s="38" t="e">
        <f t="shared" si="1479"/>
        <v>#N/A</v>
      </c>
      <c r="D735" s="39" t="e">
        <f t="shared" si="1479"/>
        <v>#N/A</v>
      </c>
      <c r="E735" s="16" t="e">
        <f t="shared" si="1"/>
        <v>#N/A</v>
      </c>
      <c r="F735" s="16" t="e">
        <f t="shared" ref="F735:K735" si="1480">VLOOKUP($A735,[2]Educación!$A$1:$O$276,F$1,0)</f>
        <v>#N/A</v>
      </c>
      <c r="G735" s="39" t="e">
        <f t="shared" si="1480"/>
        <v>#N/A</v>
      </c>
      <c r="H735" s="16" t="e">
        <f t="shared" si="1480"/>
        <v>#N/A</v>
      </c>
      <c r="I735" s="16" t="e">
        <f t="shared" si="1480"/>
        <v>#N/A</v>
      </c>
      <c r="J735" s="40" t="e">
        <f t="shared" si="1480"/>
        <v>#N/A</v>
      </c>
      <c r="K735" s="16" t="e">
        <f t="shared" si="1480"/>
        <v>#N/A</v>
      </c>
      <c r="L735" s="40" t="e">
        <f t="shared" si="1213"/>
        <v>#N/A</v>
      </c>
      <c r="M735" s="16" t="e">
        <f t="shared" si="1214"/>
        <v>#N/A</v>
      </c>
      <c r="N735" s="16" t="e">
        <f t="shared" si="1215"/>
        <v>#N/A</v>
      </c>
      <c r="O735" s="16" t="s">
        <v>66</v>
      </c>
      <c r="P735" s="16" t="str">
        <f t="shared" si="6"/>
        <v/>
      </c>
      <c r="Q735" s="41" t="e">
        <f t="shared" si="1216"/>
        <v>#N/A</v>
      </c>
      <c r="R735" s="44"/>
      <c r="S735" s="44"/>
      <c r="T735" s="43"/>
      <c r="U735" s="43" t="str">
        <f t="shared" si="8"/>
        <v>No</v>
      </c>
      <c r="V735" s="25"/>
      <c r="W735" s="25"/>
      <c r="X735" s="25"/>
      <c r="Y735" s="25"/>
      <c r="Z735" s="25"/>
    </row>
    <row r="736" spans="1:26" ht="15.75" customHeight="1" x14ac:dyDescent="0.25">
      <c r="A736" s="25">
        <v>734</v>
      </c>
      <c r="B736" s="37" t="e">
        <f t="shared" ref="B736:D736" si="1481">VLOOKUP($A736,[2]Educación!$A$1:$O$276,B$1,0)</f>
        <v>#N/A</v>
      </c>
      <c r="C736" s="38" t="e">
        <f t="shared" si="1481"/>
        <v>#N/A</v>
      </c>
      <c r="D736" s="39" t="e">
        <f t="shared" si="1481"/>
        <v>#N/A</v>
      </c>
      <c r="E736" s="16" t="e">
        <f t="shared" si="1"/>
        <v>#N/A</v>
      </c>
      <c r="F736" s="16" t="e">
        <f t="shared" ref="F736:K736" si="1482">VLOOKUP($A736,[2]Educación!$A$1:$O$276,F$1,0)</f>
        <v>#N/A</v>
      </c>
      <c r="G736" s="39" t="e">
        <f t="shared" si="1482"/>
        <v>#N/A</v>
      </c>
      <c r="H736" s="16" t="e">
        <f t="shared" si="1482"/>
        <v>#N/A</v>
      </c>
      <c r="I736" s="16" t="e">
        <f t="shared" si="1482"/>
        <v>#N/A</v>
      </c>
      <c r="J736" s="40" t="e">
        <f t="shared" si="1482"/>
        <v>#N/A</v>
      </c>
      <c r="K736" s="16" t="e">
        <f t="shared" si="1482"/>
        <v>#N/A</v>
      </c>
      <c r="L736" s="40" t="e">
        <f t="shared" si="1213"/>
        <v>#N/A</v>
      </c>
      <c r="M736" s="16" t="e">
        <f t="shared" si="1214"/>
        <v>#N/A</v>
      </c>
      <c r="N736" s="16" t="e">
        <f t="shared" si="1215"/>
        <v>#N/A</v>
      </c>
      <c r="O736" s="16" t="s">
        <v>66</v>
      </c>
      <c r="P736" s="16" t="str">
        <f t="shared" si="6"/>
        <v/>
      </c>
      <c r="Q736" s="41" t="e">
        <f t="shared" si="1216"/>
        <v>#N/A</v>
      </c>
      <c r="R736" s="44"/>
      <c r="S736" s="44"/>
      <c r="T736" s="43"/>
      <c r="U736" s="43" t="str">
        <f t="shared" si="8"/>
        <v>No</v>
      </c>
      <c r="V736" s="25"/>
      <c r="W736" s="25"/>
      <c r="X736" s="25"/>
      <c r="Y736" s="25"/>
      <c r="Z736" s="25"/>
    </row>
    <row r="737" spans="1:26" ht="15.75" customHeight="1" x14ac:dyDescent="0.25">
      <c r="A737" s="25">
        <v>735</v>
      </c>
      <c r="B737" s="37" t="e">
        <f t="shared" ref="B737:D737" si="1483">VLOOKUP($A737,[2]Educación!$A$1:$O$276,B$1,0)</f>
        <v>#N/A</v>
      </c>
      <c r="C737" s="38" t="e">
        <f t="shared" si="1483"/>
        <v>#N/A</v>
      </c>
      <c r="D737" s="39" t="e">
        <f t="shared" si="1483"/>
        <v>#N/A</v>
      </c>
      <c r="E737" s="16" t="e">
        <f t="shared" si="1"/>
        <v>#N/A</v>
      </c>
      <c r="F737" s="16" t="e">
        <f t="shared" ref="F737:K737" si="1484">VLOOKUP($A737,[2]Educación!$A$1:$O$276,F$1,0)</f>
        <v>#N/A</v>
      </c>
      <c r="G737" s="39" t="e">
        <f t="shared" si="1484"/>
        <v>#N/A</v>
      </c>
      <c r="H737" s="16" t="e">
        <f t="shared" si="1484"/>
        <v>#N/A</v>
      </c>
      <c r="I737" s="16" t="e">
        <f t="shared" si="1484"/>
        <v>#N/A</v>
      </c>
      <c r="J737" s="40" t="e">
        <f t="shared" si="1484"/>
        <v>#N/A</v>
      </c>
      <c r="K737" s="16" t="e">
        <f t="shared" si="1484"/>
        <v>#N/A</v>
      </c>
      <c r="L737" s="40" t="e">
        <f t="shared" si="1213"/>
        <v>#N/A</v>
      </c>
      <c r="M737" s="16" t="e">
        <f t="shared" si="1214"/>
        <v>#N/A</v>
      </c>
      <c r="N737" s="16" t="e">
        <f t="shared" si="1215"/>
        <v>#N/A</v>
      </c>
      <c r="O737" s="16" t="s">
        <v>66</v>
      </c>
      <c r="P737" s="16" t="str">
        <f t="shared" si="6"/>
        <v/>
      </c>
      <c r="Q737" s="41" t="e">
        <f t="shared" si="1216"/>
        <v>#N/A</v>
      </c>
      <c r="R737" s="44"/>
      <c r="S737" s="44"/>
      <c r="T737" s="43"/>
      <c r="U737" s="43" t="str">
        <f t="shared" si="8"/>
        <v>No</v>
      </c>
      <c r="V737" s="25"/>
      <c r="W737" s="25"/>
      <c r="X737" s="25"/>
      <c r="Y737" s="25"/>
      <c r="Z737" s="25"/>
    </row>
    <row r="738" spans="1:26" ht="15.75" customHeight="1" x14ac:dyDescent="0.25">
      <c r="A738" s="25">
        <v>736</v>
      </c>
      <c r="B738" s="37" t="e">
        <f t="shared" ref="B738:D738" si="1485">VLOOKUP($A738,[2]Educación!$A$1:$O$276,B$1,0)</f>
        <v>#N/A</v>
      </c>
      <c r="C738" s="38" t="e">
        <f t="shared" si="1485"/>
        <v>#N/A</v>
      </c>
      <c r="D738" s="39" t="e">
        <f t="shared" si="1485"/>
        <v>#N/A</v>
      </c>
      <c r="E738" s="16" t="e">
        <f t="shared" si="1"/>
        <v>#N/A</v>
      </c>
      <c r="F738" s="16" t="e">
        <f t="shared" ref="F738:K738" si="1486">VLOOKUP($A738,[2]Educación!$A$1:$O$276,F$1,0)</f>
        <v>#N/A</v>
      </c>
      <c r="G738" s="39" t="e">
        <f t="shared" si="1486"/>
        <v>#N/A</v>
      </c>
      <c r="H738" s="16" t="e">
        <f t="shared" si="1486"/>
        <v>#N/A</v>
      </c>
      <c r="I738" s="16" t="e">
        <f t="shared" si="1486"/>
        <v>#N/A</v>
      </c>
      <c r="J738" s="40" t="e">
        <f t="shared" si="1486"/>
        <v>#N/A</v>
      </c>
      <c r="K738" s="16" t="e">
        <f t="shared" si="1486"/>
        <v>#N/A</v>
      </c>
      <c r="L738" s="40" t="e">
        <f t="shared" si="1213"/>
        <v>#N/A</v>
      </c>
      <c r="M738" s="16" t="e">
        <f t="shared" si="1214"/>
        <v>#N/A</v>
      </c>
      <c r="N738" s="16" t="e">
        <f t="shared" si="1215"/>
        <v>#N/A</v>
      </c>
      <c r="O738" s="16" t="s">
        <v>66</v>
      </c>
      <c r="P738" s="16" t="str">
        <f t="shared" si="6"/>
        <v/>
      </c>
      <c r="Q738" s="41" t="e">
        <f t="shared" si="1216"/>
        <v>#N/A</v>
      </c>
      <c r="R738" s="44"/>
      <c r="S738" s="44"/>
      <c r="T738" s="43"/>
      <c r="U738" s="43" t="str">
        <f t="shared" si="8"/>
        <v>No</v>
      </c>
      <c r="V738" s="25"/>
      <c r="W738" s="25"/>
      <c r="X738" s="25"/>
      <c r="Y738" s="25"/>
      <c r="Z738" s="25"/>
    </row>
    <row r="739" spans="1:26" ht="15.75" customHeight="1" x14ac:dyDescent="0.25">
      <c r="A739" s="25">
        <v>737</v>
      </c>
      <c r="B739" s="37" t="e">
        <f t="shared" ref="B739:D739" si="1487">VLOOKUP($A739,[2]Educación!$A$1:$O$276,B$1,0)</f>
        <v>#N/A</v>
      </c>
      <c r="C739" s="38" t="e">
        <f t="shared" si="1487"/>
        <v>#N/A</v>
      </c>
      <c r="D739" s="39" t="e">
        <f t="shared" si="1487"/>
        <v>#N/A</v>
      </c>
      <c r="E739" s="16" t="e">
        <f t="shared" si="1"/>
        <v>#N/A</v>
      </c>
      <c r="F739" s="16" t="e">
        <f t="shared" ref="F739:K739" si="1488">VLOOKUP($A739,[2]Educación!$A$1:$O$276,F$1,0)</f>
        <v>#N/A</v>
      </c>
      <c r="G739" s="39" t="e">
        <f t="shared" si="1488"/>
        <v>#N/A</v>
      </c>
      <c r="H739" s="16" t="e">
        <f t="shared" si="1488"/>
        <v>#N/A</v>
      </c>
      <c r="I739" s="16" t="e">
        <f t="shared" si="1488"/>
        <v>#N/A</v>
      </c>
      <c r="J739" s="40" t="e">
        <f t="shared" si="1488"/>
        <v>#N/A</v>
      </c>
      <c r="K739" s="16" t="e">
        <f t="shared" si="1488"/>
        <v>#N/A</v>
      </c>
      <c r="L739" s="40" t="e">
        <f t="shared" si="1213"/>
        <v>#N/A</v>
      </c>
      <c r="M739" s="16" t="e">
        <f t="shared" si="1214"/>
        <v>#N/A</v>
      </c>
      <c r="N739" s="16" t="e">
        <f t="shared" si="1215"/>
        <v>#N/A</v>
      </c>
      <c r="O739" s="16" t="s">
        <v>66</v>
      </c>
      <c r="P739" s="16" t="str">
        <f t="shared" si="6"/>
        <v/>
      </c>
      <c r="Q739" s="41" t="e">
        <f t="shared" si="1216"/>
        <v>#N/A</v>
      </c>
      <c r="R739" s="44"/>
      <c r="S739" s="44"/>
      <c r="T739" s="43"/>
      <c r="U739" s="43" t="str">
        <f t="shared" si="8"/>
        <v>No</v>
      </c>
      <c r="V739" s="25"/>
      <c r="W739" s="25"/>
      <c r="X739" s="25"/>
      <c r="Y739" s="25"/>
      <c r="Z739" s="25"/>
    </row>
    <row r="740" spans="1:26" ht="15.75" customHeight="1" x14ac:dyDescent="0.25">
      <c r="A740" s="25">
        <v>738</v>
      </c>
      <c r="B740" s="37" t="e">
        <f t="shared" ref="B740:D740" si="1489">VLOOKUP($A740,[2]Educación!$A$1:$O$276,B$1,0)</f>
        <v>#N/A</v>
      </c>
      <c r="C740" s="38" t="e">
        <f t="shared" si="1489"/>
        <v>#N/A</v>
      </c>
      <c r="D740" s="39" t="e">
        <f t="shared" si="1489"/>
        <v>#N/A</v>
      </c>
      <c r="E740" s="16" t="e">
        <f t="shared" si="1"/>
        <v>#N/A</v>
      </c>
      <c r="F740" s="16" t="e">
        <f t="shared" ref="F740:K740" si="1490">VLOOKUP($A740,[2]Educación!$A$1:$O$276,F$1,0)</f>
        <v>#N/A</v>
      </c>
      <c r="G740" s="39" t="e">
        <f t="shared" si="1490"/>
        <v>#N/A</v>
      </c>
      <c r="H740" s="16" t="e">
        <f t="shared" si="1490"/>
        <v>#N/A</v>
      </c>
      <c r="I740" s="16" t="e">
        <f t="shared" si="1490"/>
        <v>#N/A</v>
      </c>
      <c r="J740" s="40" t="e">
        <f t="shared" si="1490"/>
        <v>#N/A</v>
      </c>
      <c r="K740" s="16" t="e">
        <f t="shared" si="1490"/>
        <v>#N/A</v>
      </c>
      <c r="L740" s="40" t="e">
        <f t="shared" si="1213"/>
        <v>#N/A</v>
      </c>
      <c r="M740" s="16" t="e">
        <f t="shared" si="1214"/>
        <v>#N/A</v>
      </c>
      <c r="N740" s="16" t="e">
        <f t="shared" si="1215"/>
        <v>#N/A</v>
      </c>
      <c r="O740" s="16" t="s">
        <v>66</v>
      </c>
      <c r="P740" s="16" t="str">
        <f t="shared" si="6"/>
        <v/>
      </c>
      <c r="Q740" s="41" t="e">
        <f t="shared" si="1216"/>
        <v>#N/A</v>
      </c>
      <c r="R740" s="44"/>
      <c r="S740" s="44"/>
      <c r="T740" s="43"/>
      <c r="U740" s="43" t="str">
        <f t="shared" si="8"/>
        <v>No</v>
      </c>
      <c r="V740" s="25"/>
      <c r="W740" s="25"/>
      <c r="X740" s="25"/>
      <c r="Y740" s="25"/>
      <c r="Z740" s="25"/>
    </row>
    <row r="741" spans="1:26" ht="15.75" customHeight="1" x14ac:dyDescent="0.25">
      <c r="A741" s="25">
        <v>739</v>
      </c>
      <c r="B741" s="37" t="e">
        <f t="shared" ref="B741:D741" si="1491">VLOOKUP($A741,[2]Educación!$A$1:$O$276,B$1,0)</f>
        <v>#N/A</v>
      </c>
      <c r="C741" s="38" t="e">
        <f t="shared" si="1491"/>
        <v>#N/A</v>
      </c>
      <c r="D741" s="39" t="e">
        <f t="shared" si="1491"/>
        <v>#N/A</v>
      </c>
      <c r="E741" s="16" t="e">
        <f t="shared" si="1"/>
        <v>#N/A</v>
      </c>
      <c r="F741" s="16" t="e">
        <f t="shared" ref="F741:K741" si="1492">VLOOKUP($A741,[2]Educación!$A$1:$O$276,F$1,0)</f>
        <v>#N/A</v>
      </c>
      <c r="G741" s="39" t="e">
        <f t="shared" si="1492"/>
        <v>#N/A</v>
      </c>
      <c r="H741" s="16" t="e">
        <f t="shared" si="1492"/>
        <v>#N/A</v>
      </c>
      <c r="I741" s="16" t="e">
        <f t="shared" si="1492"/>
        <v>#N/A</v>
      </c>
      <c r="J741" s="40" t="e">
        <f t="shared" si="1492"/>
        <v>#N/A</v>
      </c>
      <c r="K741" s="16" t="e">
        <f t="shared" si="1492"/>
        <v>#N/A</v>
      </c>
      <c r="L741" s="40" t="e">
        <f t="shared" si="1213"/>
        <v>#N/A</v>
      </c>
      <c r="M741" s="16" t="e">
        <f t="shared" si="1214"/>
        <v>#N/A</v>
      </c>
      <c r="N741" s="16" t="e">
        <f t="shared" si="1215"/>
        <v>#N/A</v>
      </c>
      <c r="O741" s="16" t="s">
        <v>66</v>
      </c>
      <c r="P741" s="16" t="str">
        <f t="shared" si="6"/>
        <v/>
      </c>
      <c r="Q741" s="41" t="e">
        <f t="shared" si="1216"/>
        <v>#N/A</v>
      </c>
      <c r="R741" s="44"/>
      <c r="S741" s="44"/>
      <c r="T741" s="43"/>
      <c r="U741" s="43" t="str">
        <f t="shared" si="8"/>
        <v>No</v>
      </c>
      <c r="V741" s="25"/>
      <c r="W741" s="25"/>
      <c r="X741" s="25"/>
      <c r="Y741" s="25"/>
      <c r="Z741" s="25"/>
    </row>
    <row r="742" spans="1:26" ht="15.75" customHeight="1" x14ac:dyDescent="0.25">
      <c r="A742" s="25">
        <v>740</v>
      </c>
      <c r="B742" s="37" t="e">
        <f t="shared" ref="B742:D742" si="1493">VLOOKUP($A742,[2]Educación!$A$1:$O$276,B$1,0)</f>
        <v>#N/A</v>
      </c>
      <c r="C742" s="38" t="e">
        <f t="shared" si="1493"/>
        <v>#N/A</v>
      </c>
      <c r="D742" s="39" t="e">
        <f t="shared" si="1493"/>
        <v>#N/A</v>
      </c>
      <c r="E742" s="16" t="e">
        <f t="shared" si="1"/>
        <v>#N/A</v>
      </c>
      <c r="F742" s="16" t="e">
        <f t="shared" ref="F742:K742" si="1494">VLOOKUP($A742,[2]Educación!$A$1:$O$276,F$1,0)</f>
        <v>#N/A</v>
      </c>
      <c r="G742" s="39" t="e">
        <f t="shared" si="1494"/>
        <v>#N/A</v>
      </c>
      <c r="H742" s="16" t="e">
        <f t="shared" si="1494"/>
        <v>#N/A</v>
      </c>
      <c r="I742" s="16" t="e">
        <f t="shared" si="1494"/>
        <v>#N/A</v>
      </c>
      <c r="J742" s="40" t="e">
        <f t="shared" si="1494"/>
        <v>#N/A</v>
      </c>
      <c r="K742" s="16" t="e">
        <f t="shared" si="1494"/>
        <v>#N/A</v>
      </c>
      <c r="L742" s="40" t="e">
        <f t="shared" si="1213"/>
        <v>#N/A</v>
      </c>
      <c r="M742" s="16" t="e">
        <f t="shared" si="1214"/>
        <v>#N/A</v>
      </c>
      <c r="N742" s="16" t="e">
        <f t="shared" si="1215"/>
        <v>#N/A</v>
      </c>
      <c r="O742" s="16" t="s">
        <v>66</v>
      </c>
      <c r="P742" s="16" t="str">
        <f t="shared" si="6"/>
        <v/>
      </c>
      <c r="Q742" s="41" t="e">
        <f t="shared" si="1216"/>
        <v>#N/A</v>
      </c>
      <c r="R742" s="44"/>
      <c r="S742" s="44"/>
      <c r="T742" s="43"/>
      <c r="U742" s="43" t="str">
        <f t="shared" si="8"/>
        <v>No</v>
      </c>
      <c r="V742" s="25"/>
      <c r="W742" s="25"/>
      <c r="X742" s="25"/>
      <c r="Y742" s="25"/>
      <c r="Z742" s="25"/>
    </row>
    <row r="743" spans="1:26" ht="15.75" customHeight="1" x14ac:dyDescent="0.25">
      <c r="A743" s="25">
        <v>741</v>
      </c>
      <c r="B743" s="37" t="e">
        <f t="shared" ref="B743:D743" si="1495">VLOOKUP($A743,[2]Educación!$A$1:$O$276,B$1,0)</f>
        <v>#N/A</v>
      </c>
      <c r="C743" s="38" t="e">
        <f t="shared" si="1495"/>
        <v>#N/A</v>
      </c>
      <c r="D743" s="39" t="e">
        <f t="shared" si="1495"/>
        <v>#N/A</v>
      </c>
      <c r="E743" s="16" t="e">
        <f t="shared" si="1"/>
        <v>#N/A</v>
      </c>
      <c r="F743" s="16" t="e">
        <f t="shared" ref="F743:K743" si="1496">VLOOKUP($A743,[2]Educación!$A$1:$O$276,F$1,0)</f>
        <v>#N/A</v>
      </c>
      <c r="G743" s="39" t="e">
        <f t="shared" si="1496"/>
        <v>#N/A</v>
      </c>
      <c r="H743" s="16" t="e">
        <f t="shared" si="1496"/>
        <v>#N/A</v>
      </c>
      <c r="I743" s="16" t="e">
        <f t="shared" si="1496"/>
        <v>#N/A</v>
      </c>
      <c r="J743" s="40" t="e">
        <f t="shared" si="1496"/>
        <v>#N/A</v>
      </c>
      <c r="K743" s="16" t="e">
        <f t="shared" si="1496"/>
        <v>#N/A</v>
      </c>
      <c r="L743" s="40" t="e">
        <f t="shared" si="1213"/>
        <v>#N/A</v>
      </c>
      <c r="M743" s="16" t="e">
        <f t="shared" si="1214"/>
        <v>#N/A</v>
      </c>
      <c r="N743" s="16" t="e">
        <f t="shared" si="1215"/>
        <v>#N/A</v>
      </c>
      <c r="O743" s="16" t="s">
        <v>66</v>
      </c>
      <c r="P743" s="16" t="str">
        <f t="shared" si="6"/>
        <v/>
      </c>
      <c r="Q743" s="41" t="e">
        <f t="shared" si="1216"/>
        <v>#N/A</v>
      </c>
      <c r="R743" s="44"/>
      <c r="S743" s="44"/>
      <c r="T743" s="43"/>
      <c r="U743" s="43" t="str">
        <f t="shared" si="8"/>
        <v>No</v>
      </c>
      <c r="V743" s="25"/>
      <c r="W743" s="25"/>
      <c r="X743" s="25"/>
      <c r="Y743" s="25"/>
      <c r="Z743" s="25"/>
    </row>
    <row r="744" spans="1:26" ht="15.75" customHeight="1" x14ac:dyDescent="0.25">
      <c r="A744" s="25">
        <v>742</v>
      </c>
      <c r="B744" s="37" t="e">
        <f t="shared" ref="B744:D744" si="1497">VLOOKUP($A744,[2]Educación!$A$1:$O$276,B$1,0)</f>
        <v>#N/A</v>
      </c>
      <c r="C744" s="38" t="e">
        <f t="shared" si="1497"/>
        <v>#N/A</v>
      </c>
      <c r="D744" s="39" t="e">
        <f t="shared" si="1497"/>
        <v>#N/A</v>
      </c>
      <c r="E744" s="16" t="e">
        <f t="shared" si="1"/>
        <v>#N/A</v>
      </c>
      <c r="F744" s="16" t="e">
        <f t="shared" ref="F744:K744" si="1498">VLOOKUP($A744,[2]Educación!$A$1:$O$276,F$1,0)</f>
        <v>#N/A</v>
      </c>
      <c r="G744" s="39" t="e">
        <f t="shared" si="1498"/>
        <v>#N/A</v>
      </c>
      <c r="H744" s="16" t="e">
        <f t="shared" si="1498"/>
        <v>#N/A</v>
      </c>
      <c r="I744" s="16" t="e">
        <f t="shared" si="1498"/>
        <v>#N/A</v>
      </c>
      <c r="J744" s="40" t="e">
        <f t="shared" si="1498"/>
        <v>#N/A</v>
      </c>
      <c r="K744" s="16" t="e">
        <f t="shared" si="1498"/>
        <v>#N/A</v>
      </c>
      <c r="L744" s="40" t="e">
        <f t="shared" si="1213"/>
        <v>#N/A</v>
      </c>
      <c r="M744" s="16" t="e">
        <f t="shared" si="1214"/>
        <v>#N/A</v>
      </c>
      <c r="N744" s="16" t="e">
        <f t="shared" si="1215"/>
        <v>#N/A</v>
      </c>
      <c r="O744" s="16" t="s">
        <v>66</v>
      </c>
      <c r="P744" s="16" t="str">
        <f t="shared" si="6"/>
        <v/>
      </c>
      <c r="Q744" s="41" t="e">
        <f t="shared" si="1216"/>
        <v>#N/A</v>
      </c>
      <c r="R744" s="44"/>
      <c r="S744" s="44"/>
      <c r="T744" s="43"/>
      <c r="U744" s="43" t="str">
        <f t="shared" si="8"/>
        <v>No</v>
      </c>
      <c r="V744" s="25"/>
      <c r="W744" s="25"/>
      <c r="X744" s="25"/>
      <c r="Y744" s="25"/>
      <c r="Z744" s="25"/>
    </row>
    <row r="745" spans="1:26" ht="15.75" customHeight="1" x14ac:dyDescent="0.25">
      <c r="A745" s="25">
        <v>743</v>
      </c>
      <c r="B745" s="37" t="e">
        <f t="shared" ref="B745:D745" si="1499">VLOOKUP($A745,[2]Educación!$A$1:$O$276,B$1,0)</f>
        <v>#N/A</v>
      </c>
      <c r="C745" s="38" t="e">
        <f t="shared" si="1499"/>
        <v>#N/A</v>
      </c>
      <c r="D745" s="39" t="e">
        <f t="shared" si="1499"/>
        <v>#N/A</v>
      </c>
      <c r="E745" s="16" t="e">
        <f t="shared" si="1"/>
        <v>#N/A</v>
      </c>
      <c r="F745" s="16" t="e">
        <f t="shared" ref="F745:K745" si="1500">VLOOKUP($A745,[2]Educación!$A$1:$O$276,F$1,0)</f>
        <v>#N/A</v>
      </c>
      <c r="G745" s="39" t="e">
        <f t="shared" si="1500"/>
        <v>#N/A</v>
      </c>
      <c r="H745" s="16" t="e">
        <f t="shared" si="1500"/>
        <v>#N/A</v>
      </c>
      <c r="I745" s="16" t="e">
        <f t="shared" si="1500"/>
        <v>#N/A</v>
      </c>
      <c r="J745" s="40" t="e">
        <f t="shared" si="1500"/>
        <v>#N/A</v>
      </c>
      <c r="K745" s="16" t="e">
        <f t="shared" si="1500"/>
        <v>#N/A</v>
      </c>
      <c r="L745" s="40" t="e">
        <f t="shared" si="1213"/>
        <v>#N/A</v>
      </c>
      <c r="M745" s="16" t="e">
        <f t="shared" si="1214"/>
        <v>#N/A</v>
      </c>
      <c r="N745" s="16" t="e">
        <f t="shared" si="1215"/>
        <v>#N/A</v>
      </c>
      <c r="O745" s="16" t="s">
        <v>66</v>
      </c>
      <c r="P745" s="16" t="str">
        <f t="shared" si="6"/>
        <v/>
      </c>
      <c r="Q745" s="41" t="e">
        <f t="shared" si="1216"/>
        <v>#N/A</v>
      </c>
      <c r="R745" s="44"/>
      <c r="S745" s="44"/>
      <c r="T745" s="43"/>
      <c r="U745" s="43" t="str">
        <f t="shared" si="8"/>
        <v>No</v>
      </c>
      <c r="V745" s="25"/>
      <c r="W745" s="25"/>
      <c r="X745" s="25"/>
      <c r="Y745" s="25"/>
      <c r="Z745" s="25"/>
    </row>
    <row r="746" spans="1:26" ht="15.75" customHeight="1" x14ac:dyDescent="0.25">
      <c r="A746" s="25">
        <v>744</v>
      </c>
      <c r="B746" s="37" t="e">
        <f t="shared" ref="B746:D746" si="1501">VLOOKUP($A746,[2]Educación!$A$1:$O$276,B$1,0)</f>
        <v>#N/A</v>
      </c>
      <c r="C746" s="38" t="e">
        <f t="shared" si="1501"/>
        <v>#N/A</v>
      </c>
      <c r="D746" s="39" t="e">
        <f t="shared" si="1501"/>
        <v>#N/A</v>
      </c>
      <c r="E746" s="16" t="e">
        <f t="shared" si="1"/>
        <v>#N/A</v>
      </c>
      <c r="F746" s="16" t="e">
        <f t="shared" ref="F746:K746" si="1502">VLOOKUP($A746,[2]Educación!$A$1:$O$276,F$1,0)</f>
        <v>#N/A</v>
      </c>
      <c r="G746" s="39" t="e">
        <f t="shared" si="1502"/>
        <v>#N/A</v>
      </c>
      <c r="H746" s="16" t="e">
        <f t="shared" si="1502"/>
        <v>#N/A</v>
      </c>
      <c r="I746" s="16" t="e">
        <f t="shared" si="1502"/>
        <v>#N/A</v>
      </c>
      <c r="J746" s="40" t="e">
        <f t="shared" si="1502"/>
        <v>#N/A</v>
      </c>
      <c r="K746" s="16" t="e">
        <f t="shared" si="1502"/>
        <v>#N/A</v>
      </c>
      <c r="L746" s="40" t="e">
        <f t="shared" si="1213"/>
        <v>#N/A</v>
      </c>
      <c r="M746" s="16" t="e">
        <f t="shared" si="1214"/>
        <v>#N/A</v>
      </c>
      <c r="N746" s="16" t="e">
        <f t="shared" si="1215"/>
        <v>#N/A</v>
      </c>
      <c r="O746" s="16" t="s">
        <v>66</v>
      </c>
      <c r="P746" s="16" t="str">
        <f t="shared" si="6"/>
        <v/>
      </c>
      <c r="Q746" s="41" t="e">
        <f t="shared" si="1216"/>
        <v>#N/A</v>
      </c>
      <c r="R746" s="44"/>
      <c r="S746" s="44"/>
      <c r="T746" s="43"/>
      <c r="U746" s="43" t="str">
        <f t="shared" si="8"/>
        <v>No</v>
      </c>
      <c r="V746" s="25"/>
      <c r="W746" s="25"/>
      <c r="X746" s="25"/>
      <c r="Y746" s="25"/>
      <c r="Z746" s="25"/>
    </row>
    <row r="747" spans="1:26" ht="15.75" customHeight="1" x14ac:dyDescent="0.25">
      <c r="A747" s="25">
        <v>745</v>
      </c>
      <c r="B747" s="37" t="e">
        <f t="shared" ref="B747:D747" si="1503">VLOOKUP($A747,[2]Educación!$A$1:$O$276,B$1,0)</f>
        <v>#N/A</v>
      </c>
      <c r="C747" s="38" t="e">
        <f t="shared" si="1503"/>
        <v>#N/A</v>
      </c>
      <c r="D747" s="39" t="e">
        <f t="shared" si="1503"/>
        <v>#N/A</v>
      </c>
      <c r="E747" s="16" t="e">
        <f t="shared" si="1"/>
        <v>#N/A</v>
      </c>
      <c r="F747" s="16" t="e">
        <f t="shared" ref="F747:K747" si="1504">VLOOKUP($A747,[2]Educación!$A$1:$O$276,F$1,0)</f>
        <v>#N/A</v>
      </c>
      <c r="G747" s="39" t="e">
        <f t="shared" si="1504"/>
        <v>#N/A</v>
      </c>
      <c r="H747" s="16" t="e">
        <f t="shared" si="1504"/>
        <v>#N/A</v>
      </c>
      <c r="I747" s="16" t="e">
        <f t="shared" si="1504"/>
        <v>#N/A</v>
      </c>
      <c r="J747" s="40" t="e">
        <f t="shared" si="1504"/>
        <v>#N/A</v>
      </c>
      <c r="K747" s="16" t="e">
        <f t="shared" si="1504"/>
        <v>#N/A</v>
      </c>
      <c r="L747" s="40" t="e">
        <f t="shared" si="1213"/>
        <v>#N/A</v>
      </c>
      <c r="M747" s="16" t="e">
        <f t="shared" si="1214"/>
        <v>#N/A</v>
      </c>
      <c r="N747" s="16" t="e">
        <f t="shared" si="1215"/>
        <v>#N/A</v>
      </c>
      <c r="O747" s="16" t="s">
        <v>66</v>
      </c>
      <c r="P747" s="16" t="str">
        <f t="shared" si="6"/>
        <v/>
      </c>
      <c r="Q747" s="41" t="e">
        <f t="shared" si="1216"/>
        <v>#N/A</v>
      </c>
      <c r="R747" s="44"/>
      <c r="S747" s="44"/>
      <c r="T747" s="43"/>
      <c r="U747" s="43" t="str">
        <f t="shared" si="8"/>
        <v>No</v>
      </c>
      <c r="V747" s="25"/>
      <c r="W747" s="25"/>
      <c r="X747" s="25"/>
      <c r="Y747" s="25"/>
      <c r="Z747" s="25"/>
    </row>
    <row r="748" spans="1:26" ht="15.75" customHeight="1" x14ac:dyDescent="0.25">
      <c r="A748" s="25">
        <v>746</v>
      </c>
      <c r="B748" s="37" t="e">
        <f t="shared" ref="B748:D748" si="1505">VLOOKUP($A748,[2]Educación!$A$1:$O$276,B$1,0)</f>
        <v>#N/A</v>
      </c>
      <c r="C748" s="38" t="e">
        <f t="shared" si="1505"/>
        <v>#N/A</v>
      </c>
      <c r="D748" s="39" t="e">
        <f t="shared" si="1505"/>
        <v>#N/A</v>
      </c>
      <c r="E748" s="16" t="e">
        <f t="shared" si="1"/>
        <v>#N/A</v>
      </c>
      <c r="F748" s="16" t="e">
        <f t="shared" ref="F748:K748" si="1506">VLOOKUP($A748,[2]Educación!$A$1:$O$276,F$1,0)</f>
        <v>#N/A</v>
      </c>
      <c r="G748" s="39" t="e">
        <f t="shared" si="1506"/>
        <v>#N/A</v>
      </c>
      <c r="H748" s="16" t="e">
        <f t="shared" si="1506"/>
        <v>#N/A</v>
      </c>
      <c r="I748" s="16" t="e">
        <f t="shared" si="1506"/>
        <v>#N/A</v>
      </c>
      <c r="J748" s="40" t="e">
        <f t="shared" si="1506"/>
        <v>#N/A</v>
      </c>
      <c r="K748" s="16" t="e">
        <f t="shared" si="1506"/>
        <v>#N/A</v>
      </c>
      <c r="L748" s="40" t="e">
        <f t="shared" si="1213"/>
        <v>#N/A</v>
      </c>
      <c r="M748" s="16" t="e">
        <f t="shared" si="1214"/>
        <v>#N/A</v>
      </c>
      <c r="N748" s="16" t="e">
        <f t="shared" si="1215"/>
        <v>#N/A</v>
      </c>
      <c r="O748" s="16" t="s">
        <v>66</v>
      </c>
      <c r="P748" s="16" t="str">
        <f t="shared" si="6"/>
        <v/>
      </c>
      <c r="Q748" s="41" t="e">
        <f t="shared" si="1216"/>
        <v>#N/A</v>
      </c>
      <c r="R748" s="44"/>
      <c r="S748" s="44"/>
      <c r="T748" s="43"/>
      <c r="U748" s="43" t="str">
        <f t="shared" si="8"/>
        <v>No</v>
      </c>
      <c r="V748" s="25"/>
      <c r="W748" s="25"/>
      <c r="X748" s="25"/>
      <c r="Y748" s="25"/>
      <c r="Z748" s="25"/>
    </row>
    <row r="749" spans="1:26" ht="15.75" customHeight="1" x14ac:dyDescent="0.25">
      <c r="A749" s="25">
        <v>747</v>
      </c>
      <c r="B749" s="37" t="e">
        <f t="shared" ref="B749:D749" si="1507">VLOOKUP($A749,[2]Educación!$A$1:$O$276,B$1,0)</f>
        <v>#N/A</v>
      </c>
      <c r="C749" s="38" t="e">
        <f t="shared" si="1507"/>
        <v>#N/A</v>
      </c>
      <c r="D749" s="39" t="e">
        <f t="shared" si="1507"/>
        <v>#N/A</v>
      </c>
      <c r="E749" s="16" t="e">
        <f t="shared" si="1"/>
        <v>#N/A</v>
      </c>
      <c r="F749" s="16" t="e">
        <f t="shared" ref="F749:K749" si="1508">VLOOKUP($A749,[2]Educación!$A$1:$O$276,F$1,0)</f>
        <v>#N/A</v>
      </c>
      <c r="G749" s="39" t="e">
        <f t="shared" si="1508"/>
        <v>#N/A</v>
      </c>
      <c r="H749" s="16" t="e">
        <f t="shared" si="1508"/>
        <v>#N/A</v>
      </c>
      <c r="I749" s="16" t="e">
        <f t="shared" si="1508"/>
        <v>#N/A</v>
      </c>
      <c r="J749" s="40" t="e">
        <f t="shared" si="1508"/>
        <v>#N/A</v>
      </c>
      <c r="K749" s="16" t="e">
        <f t="shared" si="1508"/>
        <v>#N/A</v>
      </c>
      <c r="L749" s="40" t="e">
        <f t="shared" si="1213"/>
        <v>#N/A</v>
      </c>
      <c r="M749" s="16" t="e">
        <f t="shared" si="1214"/>
        <v>#N/A</v>
      </c>
      <c r="N749" s="16" t="e">
        <f t="shared" si="1215"/>
        <v>#N/A</v>
      </c>
      <c r="O749" s="16" t="s">
        <v>66</v>
      </c>
      <c r="P749" s="16" t="str">
        <f t="shared" si="6"/>
        <v/>
      </c>
      <c r="Q749" s="41" t="e">
        <f t="shared" si="1216"/>
        <v>#N/A</v>
      </c>
      <c r="R749" s="44"/>
      <c r="S749" s="44"/>
      <c r="T749" s="43"/>
      <c r="U749" s="43" t="str">
        <f t="shared" si="8"/>
        <v>No</v>
      </c>
      <c r="V749" s="25"/>
      <c r="W749" s="25"/>
      <c r="X749" s="25"/>
      <c r="Y749" s="25"/>
      <c r="Z749" s="25"/>
    </row>
    <row r="750" spans="1:26" ht="15.75" customHeight="1" x14ac:dyDescent="0.25">
      <c r="A750" s="25">
        <v>748</v>
      </c>
      <c r="B750" s="37" t="e">
        <f t="shared" ref="B750:D750" si="1509">VLOOKUP($A750,[2]Educación!$A$1:$O$276,B$1,0)</f>
        <v>#N/A</v>
      </c>
      <c r="C750" s="38" t="e">
        <f t="shared" si="1509"/>
        <v>#N/A</v>
      </c>
      <c r="D750" s="39" t="e">
        <f t="shared" si="1509"/>
        <v>#N/A</v>
      </c>
      <c r="E750" s="16" t="e">
        <f t="shared" si="1"/>
        <v>#N/A</v>
      </c>
      <c r="F750" s="16" t="e">
        <f t="shared" ref="F750:K750" si="1510">VLOOKUP($A750,[2]Educación!$A$1:$O$276,F$1,0)</f>
        <v>#N/A</v>
      </c>
      <c r="G750" s="39" t="e">
        <f t="shared" si="1510"/>
        <v>#N/A</v>
      </c>
      <c r="H750" s="16" t="e">
        <f t="shared" si="1510"/>
        <v>#N/A</v>
      </c>
      <c r="I750" s="16" t="e">
        <f t="shared" si="1510"/>
        <v>#N/A</v>
      </c>
      <c r="J750" s="40" t="e">
        <f t="shared" si="1510"/>
        <v>#N/A</v>
      </c>
      <c r="K750" s="16" t="e">
        <f t="shared" si="1510"/>
        <v>#N/A</v>
      </c>
      <c r="L750" s="40" t="e">
        <f t="shared" si="1213"/>
        <v>#N/A</v>
      </c>
      <c r="M750" s="16" t="e">
        <f t="shared" si="1214"/>
        <v>#N/A</v>
      </c>
      <c r="N750" s="16" t="e">
        <f t="shared" si="1215"/>
        <v>#N/A</v>
      </c>
      <c r="O750" s="16" t="s">
        <v>66</v>
      </c>
      <c r="P750" s="16" t="str">
        <f t="shared" si="6"/>
        <v/>
      </c>
      <c r="Q750" s="41" t="e">
        <f t="shared" si="1216"/>
        <v>#N/A</v>
      </c>
      <c r="R750" s="44"/>
      <c r="S750" s="44"/>
      <c r="T750" s="43"/>
      <c r="U750" s="43" t="str">
        <f t="shared" si="8"/>
        <v>No</v>
      </c>
      <c r="V750" s="25"/>
      <c r="W750" s="25"/>
      <c r="X750" s="25"/>
      <c r="Y750" s="25"/>
      <c r="Z750" s="25"/>
    </row>
    <row r="751" spans="1:26" ht="15.75" customHeight="1" x14ac:dyDescent="0.25">
      <c r="A751" s="25">
        <v>749</v>
      </c>
      <c r="B751" s="37" t="e">
        <f t="shared" ref="B751:D751" si="1511">VLOOKUP($A751,[2]Educación!$A$1:$O$276,B$1,0)</f>
        <v>#N/A</v>
      </c>
      <c r="C751" s="38" t="e">
        <f t="shared" si="1511"/>
        <v>#N/A</v>
      </c>
      <c r="D751" s="39" t="e">
        <f t="shared" si="1511"/>
        <v>#N/A</v>
      </c>
      <c r="E751" s="16" t="e">
        <f t="shared" si="1"/>
        <v>#N/A</v>
      </c>
      <c r="F751" s="16" t="e">
        <f t="shared" ref="F751:K751" si="1512">VLOOKUP($A751,[2]Educación!$A$1:$O$276,F$1,0)</f>
        <v>#N/A</v>
      </c>
      <c r="G751" s="39" t="e">
        <f t="shared" si="1512"/>
        <v>#N/A</v>
      </c>
      <c r="H751" s="16" t="e">
        <f t="shared" si="1512"/>
        <v>#N/A</v>
      </c>
      <c r="I751" s="16" t="e">
        <f t="shared" si="1512"/>
        <v>#N/A</v>
      </c>
      <c r="J751" s="40" t="e">
        <f t="shared" si="1512"/>
        <v>#N/A</v>
      </c>
      <c r="K751" s="16" t="e">
        <f t="shared" si="1512"/>
        <v>#N/A</v>
      </c>
      <c r="L751" s="40" t="e">
        <f t="shared" si="1213"/>
        <v>#N/A</v>
      </c>
      <c r="M751" s="16" t="e">
        <f t="shared" si="1214"/>
        <v>#N/A</v>
      </c>
      <c r="N751" s="16" t="e">
        <f t="shared" si="1215"/>
        <v>#N/A</v>
      </c>
      <c r="O751" s="16" t="s">
        <v>66</v>
      </c>
      <c r="P751" s="16" t="str">
        <f t="shared" si="6"/>
        <v/>
      </c>
      <c r="Q751" s="41" t="e">
        <f t="shared" si="1216"/>
        <v>#N/A</v>
      </c>
      <c r="R751" s="44"/>
      <c r="S751" s="44"/>
      <c r="T751" s="43"/>
      <c r="U751" s="43" t="str">
        <f t="shared" si="8"/>
        <v>No</v>
      </c>
      <c r="V751" s="25"/>
      <c r="W751" s="25"/>
      <c r="X751" s="25"/>
      <c r="Y751" s="25"/>
      <c r="Z751" s="25"/>
    </row>
    <row r="752" spans="1:26" ht="15.75" customHeight="1" x14ac:dyDescent="0.25">
      <c r="A752" s="25">
        <v>750</v>
      </c>
      <c r="B752" s="37" t="e">
        <f t="shared" ref="B752:D752" si="1513">VLOOKUP($A752,[2]Educación!$A$1:$O$276,B$1,0)</f>
        <v>#N/A</v>
      </c>
      <c r="C752" s="38" t="e">
        <f t="shared" si="1513"/>
        <v>#N/A</v>
      </c>
      <c r="D752" s="39" t="e">
        <f t="shared" si="1513"/>
        <v>#N/A</v>
      </c>
      <c r="E752" s="16" t="e">
        <f t="shared" si="1"/>
        <v>#N/A</v>
      </c>
      <c r="F752" s="16" t="e">
        <f t="shared" ref="F752:K752" si="1514">VLOOKUP($A752,[2]Educación!$A$1:$O$276,F$1,0)</f>
        <v>#N/A</v>
      </c>
      <c r="G752" s="39" t="e">
        <f t="shared" si="1514"/>
        <v>#N/A</v>
      </c>
      <c r="H752" s="16" t="e">
        <f t="shared" si="1514"/>
        <v>#N/A</v>
      </c>
      <c r="I752" s="16" t="e">
        <f t="shared" si="1514"/>
        <v>#N/A</v>
      </c>
      <c r="J752" s="40" t="e">
        <f t="shared" si="1514"/>
        <v>#N/A</v>
      </c>
      <c r="K752" s="16" t="e">
        <f t="shared" si="1514"/>
        <v>#N/A</v>
      </c>
      <c r="L752" s="40" t="e">
        <f t="shared" si="1213"/>
        <v>#N/A</v>
      </c>
      <c r="M752" s="16" t="e">
        <f t="shared" si="1214"/>
        <v>#N/A</v>
      </c>
      <c r="N752" s="16" t="e">
        <f t="shared" si="1215"/>
        <v>#N/A</v>
      </c>
      <c r="O752" s="16" t="s">
        <v>66</v>
      </c>
      <c r="P752" s="16" t="str">
        <f t="shared" si="6"/>
        <v/>
      </c>
      <c r="Q752" s="41" t="e">
        <f t="shared" si="1216"/>
        <v>#N/A</v>
      </c>
      <c r="R752" s="44"/>
      <c r="S752" s="44"/>
      <c r="T752" s="43"/>
      <c r="U752" s="43" t="str">
        <f t="shared" si="8"/>
        <v>No</v>
      </c>
      <c r="V752" s="25"/>
      <c r="W752" s="25"/>
      <c r="X752" s="25"/>
      <c r="Y752" s="25"/>
      <c r="Z752" s="25"/>
    </row>
    <row r="753" spans="1:26" ht="15.75" customHeight="1" x14ac:dyDescent="0.25">
      <c r="A753" s="25">
        <v>751</v>
      </c>
      <c r="B753" s="37" t="e">
        <f t="shared" ref="B753:D753" si="1515">VLOOKUP($A753,[2]Educación!$A$1:$O$276,B$1,0)</f>
        <v>#N/A</v>
      </c>
      <c r="C753" s="38" t="e">
        <f t="shared" si="1515"/>
        <v>#N/A</v>
      </c>
      <c r="D753" s="39" t="e">
        <f t="shared" si="1515"/>
        <v>#N/A</v>
      </c>
      <c r="E753" s="16" t="e">
        <f t="shared" si="1"/>
        <v>#N/A</v>
      </c>
      <c r="F753" s="16" t="e">
        <f t="shared" ref="F753:K753" si="1516">VLOOKUP($A753,[2]Educación!$A$1:$O$276,F$1,0)</f>
        <v>#N/A</v>
      </c>
      <c r="G753" s="39" t="e">
        <f t="shared" si="1516"/>
        <v>#N/A</v>
      </c>
      <c r="H753" s="16" t="e">
        <f t="shared" si="1516"/>
        <v>#N/A</v>
      </c>
      <c r="I753" s="16" t="e">
        <f t="shared" si="1516"/>
        <v>#N/A</v>
      </c>
      <c r="J753" s="40" t="e">
        <f t="shared" si="1516"/>
        <v>#N/A</v>
      </c>
      <c r="K753" s="16" t="e">
        <f t="shared" si="1516"/>
        <v>#N/A</v>
      </c>
      <c r="L753" s="40" t="e">
        <f t="shared" si="1213"/>
        <v>#N/A</v>
      </c>
      <c r="M753" s="16" t="e">
        <f t="shared" si="1214"/>
        <v>#N/A</v>
      </c>
      <c r="N753" s="16" t="e">
        <f t="shared" si="1215"/>
        <v>#N/A</v>
      </c>
      <c r="O753" s="16" t="s">
        <v>66</v>
      </c>
      <c r="P753" s="16" t="str">
        <f t="shared" si="6"/>
        <v/>
      </c>
      <c r="Q753" s="41" t="e">
        <f t="shared" si="1216"/>
        <v>#N/A</v>
      </c>
      <c r="R753" s="44"/>
      <c r="S753" s="44"/>
      <c r="T753" s="43"/>
      <c r="U753" s="43" t="str">
        <f t="shared" si="8"/>
        <v>No</v>
      </c>
      <c r="V753" s="25"/>
      <c r="W753" s="25"/>
      <c r="X753" s="25"/>
      <c r="Y753" s="25"/>
      <c r="Z753" s="25"/>
    </row>
    <row r="754" spans="1:26" ht="15.75" customHeight="1" x14ac:dyDescent="0.25">
      <c r="A754" s="25">
        <v>752</v>
      </c>
      <c r="B754" s="37" t="e">
        <f t="shared" ref="B754:D754" si="1517">VLOOKUP($A754,[2]Educación!$A$1:$O$276,B$1,0)</f>
        <v>#N/A</v>
      </c>
      <c r="C754" s="38" t="e">
        <f t="shared" si="1517"/>
        <v>#N/A</v>
      </c>
      <c r="D754" s="39" t="e">
        <f t="shared" si="1517"/>
        <v>#N/A</v>
      </c>
      <c r="E754" s="16" t="e">
        <f t="shared" si="1"/>
        <v>#N/A</v>
      </c>
      <c r="F754" s="16" t="e">
        <f t="shared" ref="F754:K754" si="1518">VLOOKUP($A754,[2]Educación!$A$1:$O$276,F$1,0)</f>
        <v>#N/A</v>
      </c>
      <c r="G754" s="39" t="e">
        <f t="shared" si="1518"/>
        <v>#N/A</v>
      </c>
      <c r="H754" s="16" t="e">
        <f t="shared" si="1518"/>
        <v>#N/A</v>
      </c>
      <c r="I754" s="16" t="e">
        <f t="shared" si="1518"/>
        <v>#N/A</v>
      </c>
      <c r="J754" s="40" t="e">
        <f t="shared" si="1518"/>
        <v>#N/A</v>
      </c>
      <c r="K754" s="16" t="e">
        <f t="shared" si="1518"/>
        <v>#N/A</v>
      </c>
      <c r="L754" s="40" t="e">
        <f t="shared" si="1213"/>
        <v>#N/A</v>
      </c>
      <c r="M754" s="16" t="e">
        <f t="shared" si="1214"/>
        <v>#N/A</v>
      </c>
      <c r="N754" s="16" t="e">
        <f t="shared" si="1215"/>
        <v>#N/A</v>
      </c>
      <c r="O754" s="16" t="s">
        <v>66</v>
      </c>
      <c r="P754" s="16" t="str">
        <f t="shared" si="6"/>
        <v/>
      </c>
      <c r="Q754" s="41" t="e">
        <f t="shared" si="1216"/>
        <v>#N/A</v>
      </c>
      <c r="R754" s="44"/>
      <c r="S754" s="44"/>
      <c r="T754" s="43"/>
      <c r="U754" s="43" t="str">
        <f t="shared" si="8"/>
        <v>No</v>
      </c>
      <c r="V754" s="25"/>
      <c r="W754" s="25"/>
      <c r="X754" s="25"/>
      <c r="Y754" s="25"/>
      <c r="Z754" s="25"/>
    </row>
    <row r="755" spans="1:26" ht="15.75" customHeight="1" x14ac:dyDescent="0.25">
      <c r="A755" s="25">
        <v>753</v>
      </c>
      <c r="B755" s="37" t="e">
        <f t="shared" ref="B755:D755" si="1519">VLOOKUP($A755,[2]Educación!$A$1:$O$276,B$1,0)</f>
        <v>#N/A</v>
      </c>
      <c r="C755" s="38" t="e">
        <f t="shared" si="1519"/>
        <v>#N/A</v>
      </c>
      <c r="D755" s="39" t="e">
        <f t="shared" si="1519"/>
        <v>#N/A</v>
      </c>
      <c r="E755" s="16" t="e">
        <f t="shared" si="1"/>
        <v>#N/A</v>
      </c>
      <c r="F755" s="16" t="e">
        <f t="shared" ref="F755:K755" si="1520">VLOOKUP($A755,[2]Educación!$A$1:$O$276,F$1,0)</f>
        <v>#N/A</v>
      </c>
      <c r="G755" s="39" t="e">
        <f t="shared" si="1520"/>
        <v>#N/A</v>
      </c>
      <c r="H755" s="16" t="e">
        <f t="shared" si="1520"/>
        <v>#N/A</v>
      </c>
      <c r="I755" s="16" t="e">
        <f t="shared" si="1520"/>
        <v>#N/A</v>
      </c>
      <c r="J755" s="40" t="e">
        <f t="shared" si="1520"/>
        <v>#N/A</v>
      </c>
      <c r="K755" s="16" t="e">
        <f t="shared" si="1520"/>
        <v>#N/A</v>
      </c>
      <c r="L755" s="40" t="e">
        <f t="shared" si="1213"/>
        <v>#N/A</v>
      </c>
      <c r="M755" s="16" t="e">
        <f t="shared" si="1214"/>
        <v>#N/A</v>
      </c>
      <c r="N755" s="16" t="e">
        <f t="shared" si="1215"/>
        <v>#N/A</v>
      </c>
      <c r="O755" s="16" t="s">
        <v>66</v>
      </c>
      <c r="P755" s="16" t="str">
        <f t="shared" si="6"/>
        <v/>
      </c>
      <c r="Q755" s="41" t="e">
        <f t="shared" si="1216"/>
        <v>#N/A</v>
      </c>
      <c r="R755" s="44"/>
      <c r="S755" s="44"/>
      <c r="T755" s="43"/>
      <c r="U755" s="43" t="str">
        <f t="shared" si="8"/>
        <v>No</v>
      </c>
      <c r="V755" s="25"/>
      <c r="W755" s="25"/>
      <c r="X755" s="25"/>
      <c r="Y755" s="25"/>
      <c r="Z755" s="25"/>
    </row>
    <row r="756" spans="1:26" ht="15.75" customHeight="1" x14ac:dyDescent="0.25">
      <c r="A756" s="25">
        <v>754</v>
      </c>
      <c r="B756" s="37" t="e">
        <f t="shared" ref="B756:D756" si="1521">VLOOKUP($A756,[2]Educación!$A$1:$O$276,B$1,0)</f>
        <v>#N/A</v>
      </c>
      <c r="C756" s="38" t="e">
        <f t="shared" si="1521"/>
        <v>#N/A</v>
      </c>
      <c r="D756" s="39" t="e">
        <f t="shared" si="1521"/>
        <v>#N/A</v>
      </c>
      <c r="E756" s="16" t="e">
        <f t="shared" si="1"/>
        <v>#N/A</v>
      </c>
      <c r="F756" s="16" t="e">
        <f t="shared" ref="F756:K756" si="1522">VLOOKUP($A756,[2]Educación!$A$1:$O$276,F$1,0)</f>
        <v>#N/A</v>
      </c>
      <c r="G756" s="39" t="e">
        <f t="shared" si="1522"/>
        <v>#N/A</v>
      </c>
      <c r="H756" s="16" t="e">
        <f t="shared" si="1522"/>
        <v>#N/A</v>
      </c>
      <c r="I756" s="16" t="e">
        <f t="shared" si="1522"/>
        <v>#N/A</v>
      </c>
      <c r="J756" s="40" t="e">
        <f t="shared" si="1522"/>
        <v>#N/A</v>
      </c>
      <c r="K756" s="16" t="e">
        <f t="shared" si="1522"/>
        <v>#N/A</v>
      </c>
      <c r="L756" s="40" t="e">
        <f t="shared" si="1213"/>
        <v>#N/A</v>
      </c>
      <c r="M756" s="16" t="e">
        <f t="shared" si="1214"/>
        <v>#N/A</v>
      </c>
      <c r="N756" s="16" t="e">
        <f t="shared" si="1215"/>
        <v>#N/A</v>
      </c>
      <c r="O756" s="16" t="s">
        <v>66</v>
      </c>
      <c r="P756" s="16" t="str">
        <f t="shared" si="6"/>
        <v/>
      </c>
      <c r="Q756" s="41" t="e">
        <f t="shared" si="1216"/>
        <v>#N/A</v>
      </c>
      <c r="R756" s="44"/>
      <c r="S756" s="44"/>
      <c r="T756" s="43"/>
      <c r="U756" s="43" t="str">
        <f t="shared" si="8"/>
        <v>No</v>
      </c>
      <c r="V756" s="25"/>
      <c r="W756" s="25"/>
      <c r="X756" s="25"/>
      <c r="Y756" s="25"/>
      <c r="Z756" s="25"/>
    </row>
    <row r="757" spans="1:26" ht="15.75" customHeight="1" x14ac:dyDescent="0.25">
      <c r="A757" s="25">
        <v>755</v>
      </c>
      <c r="B757" s="37" t="e">
        <f t="shared" ref="B757:D757" si="1523">VLOOKUP($A757,[2]Educación!$A$1:$O$276,B$1,0)</f>
        <v>#N/A</v>
      </c>
      <c r="C757" s="38" t="e">
        <f t="shared" si="1523"/>
        <v>#N/A</v>
      </c>
      <c r="D757" s="39" t="e">
        <f t="shared" si="1523"/>
        <v>#N/A</v>
      </c>
      <c r="E757" s="16" t="e">
        <f t="shared" si="1"/>
        <v>#N/A</v>
      </c>
      <c r="F757" s="16" t="e">
        <f t="shared" ref="F757:K757" si="1524">VLOOKUP($A757,[2]Educación!$A$1:$O$276,F$1,0)</f>
        <v>#N/A</v>
      </c>
      <c r="G757" s="39" t="e">
        <f t="shared" si="1524"/>
        <v>#N/A</v>
      </c>
      <c r="H757" s="16" t="e">
        <f t="shared" si="1524"/>
        <v>#N/A</v>
      </c>
      <c r="I757" s="16" t="e">
        <f t="shared" si="1524"/>
        <v>#N/A</v>
      </c>
      <c r="J757" s="40" t="e">
        <f t="shared" si="1524"/>
        <v>#N/A</v>
      </c>
      <c r="K757" s="16" t="e">
        <f t="shared" si="1524"/>
        <v>#N/A</v>
      </c>
      <c r="L757" s="40" t="e">
        <f t="shared" si="1213"/>
        <v>#N/A</v>
      </c>
      <c r="M757" s="16" t="e">
        <f t="shared" si="1214"/>
        <v>#N/A</v>
      </c>
      <c r="N757" s="16" t="e">
        <f t="shared" si="1215"/>
        <v>#N/A</v>
      </c>
      <c r="O757" s="16" t="s">
        <v>66</v>
      </c>
      <c r="P757" s="16" t="str">
        <f t="shared" si="6"/>
        <v/>
      </c>
      <c r="Q757" s="41" t="e">
        <f t="shared" si="1216"/>
        <v>#N/A</v>
      </c>
      <c r="R757" s="44"/>
      <c r="S757" s="44"/>
      <c r="T757" s="43"/>
      <c r="U757" s="43" t="str">
        <f t="shared" si="8"/>
        <v>No</v>
      </c>
      <c r="V757" s="25"/>
      <c r="W757" s="25"/>
      <c r="X757" s="25"/>
      <c r="Y757" s="25"/>
      <c r="Z757" s="25"/>
    </row>
    <row r="758" spans="1:26" ht="15.75" customHeight="1" x14ac:dyDescent="0.25">
      <c r="A758" s="25">
        <v>756</v>
      </c>
      <c r="B758" s="37" t="e">
        <f t="shared" ref="B758:D758" si="1525">VLOOKUP($A758,[2]Educación!$A$1:$O$276,B$1,0)</f>
        <v>#N/A</v>
      </c>
      <c r="C758" s="38" t="e">
        <f t="shared" si="1525"/>
        <v>#N/A</v>
      </c>
      <c r="D758" s="39" t="e">
        <f t="shared" si="1525"/>
        <v>#N/A</v>
      </c>
      <c r="E758" s="16" t="e">
        <f t="shared" si="1"/>
        <v>#N/A</v>
      </c>
      <c r="F758" s="16" t="e">
        <f t="shared" ref="F758:K758" si="1526">VLOOKUP($A758,[2]Educación!$A$1:$O$276,F$1,0)</f>
        <v>#N/A</v>
      </c>
      <c r="G758" s="39" t="e">
        <f t="shared" si="1526"/>
        <v>#N/A</v>
      </c>
      <c r="H758" s="16" t="e">
        <f t="shared" si="1526"/>
        <v>#N/A</v>
      </c>
      <c r="I758" s="16" t="e">
        <f t="shared" si="1526"/>
        <v>#N/A</v>
      </c>
      <c r="J758" s="40" t="e">
        <f t="shared" si="1526"/>
        <v>#N/A</v>
      </c>
      <c r="K758" s="16" t="e">
        <f t="shared" si="1526"/>
        <v>#N/A</v>
      </c>
      <c r="L758" s="40" t="e">
        <f t="shared" si="1213"/>
        <v>#N/A</v>
      </c>
      <c r="M758" s="16" t="e">
        <f t="shared" si="1214"/>
        <v>#N/A</v>
      </c>
      <c r="N758" s="16" t="e">
        <f t="shared" si="1215"/>
        <v>#N/A</v>
      </c>
      <c r="O758" s="16" t="s">
        <v>66</v>
      </c>
      <c r="P758" s="16" t="str">
        <f t="shared" si="6"/>
        <v/>
      </c>
      <c r="Q758" s="41" t="e">
        <f t="shared" si="1216"/>
        <v>#N/A</v>
      </c>
      <c r="R758" s="44"/>
      <c r="S758" s="44"/>
      <c r="T758" s="43"/>
      <c r="U758" s="43" t="str">
        <f t="shared" si="8"/>
        <v>No</v>
      </c>
      <c r="V758" s="25"/>
      <c r="W758" s="25"/>
      <c r="X758" s="25"/>
      <c r="Y758" s="25"/>
      <c r="Z758" s="25"/>
    </row>
    <row r="759" spans="1:26" ht="15.75" customHeight="1" x14ac:dyDescent="0.25">
      <c r="A759" s="25">
        <v>757</v>
      </c>
      <c r="B759" s="37" t="e">
        <f t="shared" ref="B759:D759" si="1527">VLOOKUP($A759,[2]Educación!$A$1:$O$276,B$1,0)</f>
        <v>#N/A</v>
      </c>
      <c r="C759" s="38" t="e">
        <f t="shared" si="1527"/>
        <v>#N/A</v>
      </c>
      <c r="D759" s="39" t="e">
        <f t="shared" si="1527"/>
        <v>#N/A</v>
      </c>
      <c r="E759" s="16" t="e">
        <f t="shared" si="1"/>
        <v>#N/A</v>
      </c>
      <c r="F759" s="16" t="e">
        <f t="shared" ref="F759:K759" si="1528">VLOOKUP($A759,[2]Educación!$A$1:$O$276,F$1,0)</f>
        <v>#N/A</v>
      </c>
      <c r="G759" s="39" t="e">
        <f t="shared" si="1528"/>
        <v>#N/A</v>
      </c>
      <c r="H759" s="16" t="e">
        <f t="shared" si="1528"/>
        <v>#N/A</v>
      </c>
      <c r="I759" s="16" t="e">
        <f t="shared" si="1528"/>
        <v>#N/A</v>
      </c>
      <c r="J759" s="40" t="e">
        <f t="shared" si="1528"/>
        <v>#N/A</v>
      </c>
      <c r="K759" s="16" t="e">
        <f t="shared" si="1528"/>
        <v>#N/A</v>
      </c>
      <c r="L759" s="40" t="e">
        <f t="shared" si="1213"/>
        <v>#N/A</v>
      </c>
      <c r="M759" s="16" t="e">
        <f t="shared" si="1214"/>
        <v>#N/A</v>
      </c>
      <c r="N759" s="16" t="e">
        <f t="shared" si="1215"/>
        <v>#N/A</v>
      </c>
      <c r="O759" s="16" t="s">
        <v>66</v>
      </c>
      <c r="P759" s="16" t="str">
        <f t="shared" si="6"/>
        <v/>
      </c>
      <c r="Q759" s="41" t="e">
        <f t="shared" si="1216"/>
        <v>#N/A</v>
      </c>
      <c r="R759" s="44"/>
      <c r="S759" s="44"/>
      <c r="T759" s="43"/>
      <c r="U759" s="43" t="str">
        <f t="shared" si="8"/>
        <v>No</v>
      </c>
      <c r="V759" s="25"/>
      <c r="W759" s="25"/>
      <c r="X759" s="25"/>
      <c r="Y759" s="25"/>
      <c r="Z759" s="25"/>
    </row>
    <row r="760" spans="1:26" ht="15.75" customHeight="1" x14ac:dyDescent="0.25">
      <c r="A760" s="25">
        <v>758</v>
      </c>
      <c r="B760" s="37" t="e">
        <f t="shared" ref="B760:D760" si="1529">VLOOKUP($A760,[2]Educación!$A$1:$O$276,B$1,0)</f>
        <v>#N/A</v>
      </c>
      <c r="C760" s="38" t="e">
        <f t="shared" si="1529"/>
        <v>#N/A</v>
      </c>
      <c r="D760" s="39" t="e">
        <f t="shared" si="1529"/>
        <v>#N/A</v>
      </c>
      <c r="E760" s="16" t="e">
        <f t="shared" si="1"/>
        <v>#N/A</v>
      </c>
      <c r="F760" s="16" t="e">
        <f t="shared" ref="F760:K760" si="1530">VLOOKUP($A760,[2]Educación!$A$1:$O$276,F$1,0)</f>
        <v>#N/A</v>
      </c>
      <c r="G760" s="39" t="e">
        <f t="shared" si="1530"/>
        <v>#N/A</v>
      </c>
      <c r="H760" s="16" t="e">
        <f t="shared" si="1530"/>
        <v>#N/A</v>
      </c>
      <c r="I760" s="16" t="e">
        <f t="shared" si="1530"/>
        <v>#N/A</v>
      </c>
      <c r="J760" s="40" t="e">
        <f t="shared" si="1530"/>
        <v>#N/A</v>
      </c>
      <c r="K760" s="16" t="e">
        <f t="shared" si="1530"/>
        <v>#N/A</v>
      </c>
      <c r="L760" s="40" t="e">
        <f t="shared" si="1213"/>
        <v>#N/A</v>
      </c>
      <c r="M760" s="16" t="e">
        <f t="shared" si="1214"/>
        <v>#N/A</v>
      </c>
      <c r="N760" s="16" t="e">
        <f t="shared" si="1215"/>
        <v>#N/A</v>
      </c>
      <c r="O760" s="16" t="s">
        <v>66</v>
      </c>
      <c r="P760" s="16" t="str">
        <f t="shared" si="6"/>
        <v/>
      </c>
      <c r="Q760" s="41" t="e">
        <f t="shared" si="1216"/>
        <v>#N/A</v>
      </c>
      <c r="R760" s="44"/>
      <c r="S760" s="44"/>
      <c r="T760" s="43"/>
      <c r="U760" s="43" t="str">
        <f t="shared" si="8"/>
        <v>No</v>
      </c>
      <c r="V760" s="25"/>
      <c r="W760" s="25"/>
      <c r="X760" s="25"/>
      <c r="Y760" s="25"/>
      <c r="Z760" s="25"/>
    </row>
    <row r="761" spans="1:26" ht="15.75" customHeight="1" x14ac:dyDescent="0.25">
      <c r="A761" s="25">
        <v>759</v>
      </c>
      <c r="B761" s="37" t="e">
        <f t="shared" ref="B761:D761" si="1531">VLOOKUP($A761,[2]Educación!$A$1:$O$276,B$1,0)</f>
        <v>#N/A</v>
      </c>
      <c r="C761" s="38" t="e">
        <f t="shared" si="1531"/>
        <v>#N/A</v>
      </c>
      <c r="D761" s="39" t="e">
        <f t="shared" si="1531"/>
        <v>#N/A</v>
      </c>
      <c r="E761" s="16" t="e">
        <f t="shared" si="1"/>
        <v>#N/A</v>
      </c>
      <c r="F761" s="16" t="e">
        <f t="shared" ref="F761:K761" si="1532">VLOOKUP($A761,[2]Educación!$A$1:$O$276,F$1,0)</f>
        <v>#N/A</v>
      </c>
      <c r="G761" s="39" t="e">
        <f t="shared" si="1532"/>
        <v>#N/A</v>
      </c>
      <c r="H761" s="16" t="e">
        <f t="shared" si="1532"/>
        <v>#N/A</v>
      </c>
      <c r="I761" s="16" t="e">
        <f t="shared" si="1532"/>
        <v>#N/A</v>
      </c>
      <c r="J761" s="40" t="e">
        <f t="shared" si="1532"/>
        <v>#N/A</v>
      </c>
      <c r="K761" s="16" t="e">
        <f t="shared" si="1532"/>
        <v>#N/A</v>
      </c>
      <c r="L761" s="40" t="e">
        <f t="shared" si="1213"/>
        <v>#N/A</v>
      </c>
      <c r="M761" s="16" t="e">
        <f t="shared" si="1214"/>
        <v>#N/A</v>
      </c>
      <c r="N761" s="16" t="e">
        <f t="shared" si="1215"/>
        <v>#N/A</v>
      </c>
      <c r="O761" s="16" t="s">
        <v>66</v>
      </c>
      <c r="P761" s="16" t="str">
        <f t="shared" si="6"/>
        <v/>
      </c>
      <c r="Q761" s="41" t="e">
        <f t="shared" si="1216"/>
        <v>#N/A</v>
      </c>
      <c r="R761" s="44"/>
      <c r="S761" s="44"/>
      <c r="T761" s="43"/>
      <c r="U761" s="43" t="str">
        <f t="shared" si="8"/>
        <v>No</v>
      </c>
      <c r="V761" s="25"/>
      <c r="W761" s="25"/>
      <c r="X761" s="25"/>
      <c r="Y761" s="25"/>
      <c r="Z761" s="25"/>
    </row>
    <row r="762" spans="1:26" ht="15.75" customHeight="1" x14ac:dyDescent="0.25">
      <c r="A762" s="25">
        <v>760</v>
      </c>
      <c r="B762" s="37" t="e">
        <f t="shared" ref="B762:D762" si="1533">VLOOKUP($A762,[2]Educación!$A$1:$O$276,B$1,0)</f>
        <v>#N/A</v>
      </c>
      <c r="C762" s="38" t="e">
        <f t="shared" si="1533"/>
        <v>#N/A</v>
      </c>
      <c r="D762" s="39" t="e">
        <f t="shared" si="1533"/>
        <v>#N/A</v>
      </c>
      <c r="E762" s="16" t="e">
        <f t="shared" si="1"/>
        <v>#N/A</v>
      </c>
      <c r="F762" s="16" t="e">
        <f t="shared" ref="F762:K762" si="1534">VLOOKUP($A762,[2]Educación!$A$1:$O$276,F$1,0)</f>
        <v>#N/A</v>
      </c>
      <c r="G762" s="39" t="e">
        <f t="shared" si="1534"/>
        <v>#N/A</v>
      </c>
      <c r="H762" s="16" t="e">
        <f t="shared" si="1534"/>
        <v>#N/A</v>
      </c>
      <c r="I762" s="16" t="e">
        <f t="shared" si="1534"/>
        <v>#N/A</v>
      </c>
      <c r="J762" s="40" t="e">
        <f t="shared" si="1534"/>
        <v>#N/A</v>
      </c>
      <c r="K762" s="16" t="e">
        <f t="shared" si="1534"/>
        <v>#N/A</v>
      </c>
      <c r="L762" s="40" t="e">
        <f t="shared" si="1213"/>
        <v>#N/A</v>
      </c>
      <c r="M762" s="16" t="e">
        <f t="shared" si="1214"/>
        <v>#N/A</v>
      </c>
      <c r="N762" s="16" t="e">
        <f t="shared" si="1215"/>
        <v>#N/A</v>
      </c>
      <c r="O762" s="16" t="s">
        <v>66</v>
      </c>
      <c r="P762" s="16" t="str">
        <f t="shared" si="6"/>
        <v/>
      </c>
      <c r="Q762" s="41" t="e">
        <f t="shared" si="1216"/>
        <v>#N/A</v>
      </c>
      <c r="R762" s="44"/>
      <c r="S762" s="44"/>
      <c r="T762" s="43"/>
      <c r="U762" s="43" t="str">
        <f t="shared" si="8"/>
        <v>No</v>
      </c>
      <c r="V762" s="25"/>
      <c r="W762" s="25"/>
      <c r="X762" s="25"/>
      <c r="Y762" s="25"/>
      <c r="Z762" s="25"/>
    </row>
    <row r="763" spans="1:26" ht="15.75" customHeight="1" x14ac:dyDescent="0.25">
      <c r="A763" s="25">
        <v>761</v>
      </c>
      <c r="B763" s="37" t="e">
        <f t="shared" ref="B763:D763" si="1535">VLOOKUP($A763,[2]Educación!$A$1:$O$276,B$1,0)</f>
        <v>#N/A</v>
      </c>
      <c r="C763" s="38" t="e">
        <f t="shared" si="1535"/>
        <v>#N/A</v>
      </c>
      <c r="D763" s="39" t="e">
        <f t="shared" si="1535"/>
        <v>#N/A</v>
      </c>
      <c r="E763" s="16" t="e">
        <f t="shared" si="1"/>
        <v>#N/A</v>
      </c>
      <c r="F763" s="16" t="e">
        <f t="shared" ref="F763:K763" si="1536">VLOOKUP($A763,[2]Educación!$A$1:$O$276,F$1,0)</f>
        <v>#N/A</v>
      </c>
      <c r="G763" s="39" t="e">
        <f t="shared" si="1536"/>
        <v>#N/A</v>
      </c>
      <c r="H763" s="16" t="e">
        <f t="shared" si="1536"/>
        <v>#N/A</v>
      </c>
      <c r="I763" s="16" t="e">
        <f t="shared" si="1536"/>
        <v>#N/A</v>
      </c>
      <c r="J763" s="40" t="e">
        <f t="shared" si="1536"/>
        <v>#N/A</v>
      </c>
      <c r="K763" s="16" t="e">
        <f t="shared" si="1536"/>
        <v>#N/A</v>
      </c>
      <c r="L763" s="40" t="e">
        <f t="shared" si="1213"/>
        <v>#N/A</v>
      </c>
      <c r="M763" s="16" t="e">
        <f t="shared" si="1214"/>
        <v>#N/A</v>
      </c>
      <c r="N763" s="16" t="e">
        <f t="shared" si="1215"/>
        <v>#N/A</v>
      </c>
      <c r="O763" s="16" t="s">
        <v>66</v>
      </c>
      <c r="P763" s="16" t="str">
        <f t="shared" si="6"/>
        <v/>
      </c>
      <c r="Q763" s="41" t="e">
        <f t="shared" si="1216"/>
        <v>#N/A</v>
      </c>
      <c r="R763" s="44"/>
      <c r="S763" s="44"/>
      <c r="T763" s="43"/>
      <c r="U763" s="43" t="str">
        <f t="shared" si="8"/>
        <v>No</v>
      </c>
      <c r="V763" s="25"/>
      <c r="W763" s="25"/>
      <c r="X763" s="25"/>
      <c r="Y763" s="25"/>
      <c r="Z763" s="25"/>
    </row>
    <row r="764" spans="1:26" ht="15.75" customHeight="1" x14ac:dyDescent="0.25">
      <c r="A764" s="25">
        <v>762</v>
      </c>
      <c r="B764" s="37" t="e">
        <f t="shared" ref="B764:D764" si="1537">VLOOKUP($A764,[2]Educación!$A$1:$O$276,B$1,0)</f>
        <v>#N/A</v>
      </c>
      <c r="C764" s="38" t="e">
        <f t="shared" si="1537"/>
        <v>#N/A</v>
      </c>
      <c r="D764" s="39" t="e">
        <f t="shared" si="1537"/>
        <v>#N/A</v>
      </c>
      <c r="E764" s="16" t="e">
        <f t="shared" si="1"/>
        <v>#N/A</v>
      </c>
      <c r="F764" s="16" t="e">
        <f t="shared" ref="F764:K764" si="1538">VLOOKUP($A764,[2]Educación!$A$1:$O$276,F$1,0)</f>
        <v>#N/A</v>
      </c>
      <c r="G764" s="39" t="e">
        <f t="shared" si="1538"/>
        <v>#N/A</v>
      </c>
      <c r="H764" s="16" t="e">
        <f t="shared" si="1538"/>
        <v>#N/A</v>
      </c>
      <c r="I764" s="16" t="e">
        <f t="shared" si="1538"/>
        <v>#N/A</v>
      </c>
      <c r="J764" s="40" t="e">
        <f t="shared" si="1538"/>
        <v>#N/A</v>
      </c>
      <c r="K764" s="16" t="e">
        <f t="shared" si="1538"/>
        <v>#N/A</v>
      </c>
      <c r="L764" s="40" t="e">
        <f t="shared" si="1213"/>
        <v>#N/A</v>
      </c>
      <c r="M764" s="16" t="e">
        <f t="shared" si="1214"/>
        <v>#N/A</v>
      </c>
      <c r="N764" s="16" t="e">
        <f t="shared" si="1215"/>
        <v>#N/A</v>
      </c>
      <c r="O764" s="16" t="s">
        <v>66</v>
      </c>
      <c r="P764" s="16" t="str">
        <f t="shared" si="6"/>
        <v/>
      </c>
      <c r="Q764" s="41" t="e">
        <f t="shared" si="1216"/>
        <v>#N/A</v>
      </c>
      <c r="R764" s="44"/>
      <c r="S764" s="44"/>
      <c r="T764" s="43"/>
      <c r="U764" s="43" t="str">
        <f t="shared" si="8"/>
        <v>No</v>
      </c>
      <c r="V764" s="25"/>
      <c r="W764" s="25"/>
      <c r="X764" s="25"/>
      <c r="Y764" s="25"/>
      <c r="Z764" s="25"/>
    </row>
    <row r="765" spans="1:26" ht="15.75" customHeight="1" x14ac:dyDescent="0.25">
      <c r="A765" s="25">
        <v>763</v>
      </c>
      <c r="B765" s="37" t="e">
        <f t="shared" ref="B765:D765" si="1539">VLOOKUP($A765,[2]Educación!$A$1:$O$276,B$1,0)</f>
        <v>#N/A</v>
      </c>
      <c r="C765" s="38" t="e">
        <f t="shared" si="1539"/>
        <v>#N/A</v>
      </c>
      <c r="D765" s="39" t="e">
        <f t="shared" si="1539"/>
        <v>#N/A</v>
      </c>
      <c r="E765" s="16" t="e">
        <f t="shared" si="1"/>
        <v>#N/A</v>
      </c>
      <c r="F765" s="16" t="e">
        <f t="shared" ref="F765:K765" si="1540">VLOOKUP($A765,[2]Educación!$A$1:$O$276,F$1,0)</f>
        <v>#N/A</v>
      </c>
      <c r="G765" s="39" t="e">
        <f t="shared" si="1540"/>
        <v>#N/A</v>
      </c>
      <c r="H765" s="16" t="e">
        <f t="shared" si="1540"/>
        <v>#N/A</v>
      </c>
      <c r="I765" s="16" t="e">
        <f t="shared" si="1540"/>
        <v>#N/A</v>
      </c>
      <c r="J765" s="40" t="e">
        <f t="shared" si="1540"/>
        <v>#N/A</v>
      </c>
      <c r="K765" s="16" t="e">
        <f t="shared" si="1540"/>
        <v>#N/A</v>
      </c>
      <c r="L765" s="40" t="e">
        <f t="shared" si="1213"/>
        <v>#N/A</v>
      </c>
      <c r="M765" s="16" t="e">
        <f t="shared" si="1214"/>
        <v>#N/A</v>
      </c>
      <c r="N765" s="16" t="e">
        <f t="shared" si="1215"/>
        <v>#N/A</v>
      </c>
      <c r="O765" s="16" t="s">
        <v>66</v>
      </c>
      <c r="P765" s="16" t="str">
        <f t="shared" si="6"/>
        <v/>
      </c>
      <c r="Q765" s="41" t="e">
        <f t="shared" si="1216"/>
        <v>#N/A</v>
      </c>
      <c r="R765" s="44"/>
      <c r="S765" s="44"/>
      <c r="T765" s="43"/>
      <c r="U765" s="43" t="str">
        <f t="shared" si="8"/>
        <v>No</v>
      </c>
      <c r="V765" s="25"/>
      <c r="W765" s="25"/>
      <c r="X765" s="25"/>
      <c r="Y765" s="25"/>
      <c r="Z765" s="25"/>
    </row>
    <row r="766" spans="1:26" ht="15.75" customHeight="1" x14ac:dyDescent="0.25">
      <c r="A766" s="25">
        <v>764</v>
      </c>
      <c r="B766" s="37" t="e">
        <f t="shared" ref="B766:D766" si="1541">VLOOKUP($A766,[2]Educación!$A$1:$O$276,B$1,0)</f>
        <v>#N/A</v>
      </c>
      <c r="C766" s="38" t="e">
        <f t="shared" si="1541"/>
        <v>#N/A</v>
      </c>
      <c r="D766" s="39" t="e">
        <f t="shared" si="1541"/>
        <v>#N/A</v>
      </c>
      <c r="E766" s="16" t="e">
        <f t="shared" si="1"/>
        <v>#N/A</v>
      </c>
      <c r="F766" s="16" t="e">
        <f t="shared" ref="F766:K766" si="1542">VLOOKUP($A766,[2]Educación!$A$1:$O$276,F$1,0)</f>
        <v>#N/A</v>
      </c>
      <c r="G766" s="39" t="e">
        <f t="shared" si="1542"/>
        <v>#N/A</v>
      </c>
      <c r="H766" s="16" t="e">
        <f t="shared" si="1542"/>
        <v>#N/A</v>
      </c>
      <c r="I766" s="16" t="e">
        <f t="shared" si="1542"/>
        <v>#N/A</v>
      </c>
      <c r="J766" s="40" t="e">
        <f t="shared" si="1542"/>
        <v>#N/A</v>
      </c>
      <c r="K766" s="16" t="e">
        <f t="shared" si="1542"/>
        <v>#N/A</v>
      </c>
      <c r="L766" s="40" t="e">
        <f t="shared" si="1213"/>
        <v>#N/A</v>
      </c>
      <c r="M766" s="16" t="e">
        <f t="shared" si="1214"/>
        <v>#N/A</v>
      </c>
      <c r="N766" s="16" t="e">
        <f t="shared" si="1215"/>
        <v>#N/A</v>
      </c>
      <c r="O766" s="16" t="s">
        <v>66</v>
      </c>
      <c r="P766" s="16" t="str">
        <f t="shared" si="6"/>
        <v/>
      </c>
      <c r="Q766" s="41" t="e">
        <f t="shared" si="1216"/>
        <v>#N/A</v>
      </c>
      <c r="R766" s="44"/>
      <c r="S766" s="44"/>
      <c r="T766" s="43"/>
      <c r="U766" s="43" t="str">
        <f t="shared" si="8"/>
        <v>No</v>
      </c>
      <c r="V766" s="25"/>
      <c r="W766" s="25"/>
      <c r="X766" s="25"/>
      <c r="Y766" s="25"/>
      <c r="Z766" s="25"/>
    </row>
    <row r="767" spans="1:26" ht="15.75" customHeight="1" x14ac:dyDescent="0.25">
      <c r="A767" s="25">
        <v>765</v>
      </c>
      <c r="B767" s="37" t="e">
        <f t="shared" ref="B767:D767" si="1543">VLOOKUP($A767,[2]Educación!$A$1:$O$276,B$1,0)</f>
        <v>#N/A</v>
      </c>
      <c r="C767" s="38" t="e">
        <f t="shared" si="1543"/>
        <v>#N/A</v>
      </c>
      <c r="D767" s="39" t="e">
        <f t="shared" si="1543"/>
        <v>#N/A</v>
      </c>
      <c r="E767" s="16" t="e">
        <f t="shared" si="1"/>
        <v>#N/A</v>
      </c>
      <c r="F767" s="16" t="e">
        <f t="shared" ref="F767:K767" si="1544">VLOOKUP($A767,[2]Educación!$A$1:$O$276,F$1,0)</f>
        <v>#N/A</v>
      </c>
      <c r="G767" s="39" t="e">
        <f t="shared" si="1544"/>
        <v>#N/A</v>
      </c>
      <c r="H767" s="16" t="e">
        <f t="shared" si="1544"/>
        <v>#N/A</v>
      </c>
      <c r="I767" s="16" t="e">
        <f t="shared" si="1544"/>
        <v>#N/A</v>
      </c>
      <c r="J767" s="40" t="e">
        <f t="shared" si="1544"/>
        <v>#N/A</v>
      </c>
      <c r="K767" s="16" t="e">
        <f t="shared" si="1544"/>
        <v>#N/A</v>
      </c>
      <c r="L767" s="40" t="e">
        <f t="shared" si="1213"/>
        <v>#N/A</v>
      </c>
      <c r="M767" s="16" t="e">
        <f t="shared" si="1214"/>
        <v>#N/A</v>
      </c>
      <c r="N767" s="16" t="e">
        <f t="shared" si="1215"/>
        <v>#N/A</v>
      </c>
      <c r="O767" s="16" t="s">
        <v>66</v>
      </c>
      <c r="P767" s="16" t="str">
        <f t="shared" si="6"/>
        <v/>
      </c>
      <c r="Q767" s="41" t="e">
        <f t="shared" si="1216"/>
        <v>#N/A</v>
      </c>
      <c r="R767" s="44"/>
      <c r="S767" s="44"/>
      <c r="T767" s="43"/>
      <c r="U767" s="43" t="str">
        <f t="shared" si="8"/>
        <v>No</v>
      </c>
      <c r="V767" s="25"/>
      <c r="W767" s="25"/>
      <c r="X767" s="25"/>
      <c r="Y767" s="25"/>
      <c r="Z767" s="25"/>
    </row>
    <row r="768" spans="1:26" ht="15.75" customHeight="1" x14ac:dyDescent="0.25">
      <c r="A768" s="25">
        <v>766</v>
      </c>
      <c r="B768" s="37" t="e">
        <f t="shared" ref="B768:D768" si="1545">VLOOKUP($A768,[2]Educación!$A$1:$O$276,B$1,0)</f>
        <v>#N/A</v>
      </c>
      <c r="C768" s="38" t="e">
        <f t="shared" si="1545"/>
        <v>#N/A</v>
      </c>
      <c r="D768" s="39" t="e">
        <f t="shared" si="1545"/>
        <v>#N/A</v>
      </c>
      <c r="E768" s="16" t="e">
        <f t="shared" si="1"/>
        <v>#N/A</v>
      </c>
      <c r="F768" s="16" t="e">
        <f t="shared" ref="F768:K768" si="1546">VLOOKUP($A768,[2]Educación!$A$1:$O$276,F$1,0)</f>
        <v>#N/A</v>
      </c>
      <c r="G768" s="39" t="e">
        <f t="shared" si="1546"/>
        <v>#N/A</v>
      </c>
      <c r="H768" s="16" t="e">
        <f t="shared" si="1546"/>
        <v>#N/A</v>
      </c>
      <c r="I768" s="16" t="e">
        <f t="shared" si="1546"/>
        <v>#N/A</v>
      </c>
      <c r="J768" s="40" t="e">
        <f t="shared" si="1546"/>
        <v>#N/A</v>
      </c>
      <c r="K768" s="16" t="e">
        <f t="shared" si="1546"/>
        <v>#N/A</v>
      </c>
      <c r="L768" s="40" t="e">
        <f t="shared" si="1213"/>
        <v>#N/A</v>
      </c>
      <c r="M768" s="16" t="e">
        <f t="shared" si="1214"/>
        <v>#N/A</v>
      </c>
      <c r="N768" s="16" t="e">
        <f t="shared" si="1215"/>
        <v>#N/A</v>
      </c>
      <c r="O768" s="16" t="s">
        <v>66</v>
      </c>
      <c r="P768" s="16" t="str">
        <f t="shared" si="6"/>
        <v/>
      </c>
      <c r="Q768" s="41" t="e">
        <f t="shared" si="1216"/>
        <v>#N/A</v>
      </c>
      <c r="R768" s="44"/>
      <c r="S768" s="44"/>
      <c r="T768" s="43"/>
      <c r="U768" s="43" t="str">
        <f t="shared" si="8"/>
        <v>No</v>
      </c>
      <c r="V768" s="25"/>
      <c r="W768" s="25"/>
      <c r="X768" s="25"/>
      <c r="Y768" s="25"/>
      <c r="Z768" s="25"/>
    </row>
    <row r="769" spans="1:26" ht="15.75" customHeight="1" x14ac:dyDescent="0.25">
      <c r="A769" s="25">
        <v>767</v>
      </c>
      <c r="B769" s="37" t="e">
        <f t="shared" ref="B769:D769" si="1547">VLOOKUP($A769,[2]Educación!$A$1:$O$276,B$1,0)</f>
        <v>#N/A</v>
      </c>
      <c r="C769" s="38" t="e">
        <f t="shared" si="1547"/>
        <v>#N/A</v>
      </c>
      <c r="D769" s="39" t="e">
        <f t="shared" si="1547"/>
        <v>#N/A</v>
      </c>
      <c r="E769" s="16" t="e">
        <f t="shared" si="1"/>
        <v>#N/A</v>
      </c>
      <c r="F769" s="16" t="e">
        <f t="shared" ref="F769:K769" si="1548">VLOOKUP($A769,[2]Educación!$A$1:$O$276,F$1,0)</f>
        <v>#N/A</v>
      </c>
      <c r="G769" s="39" t="e">
        <f t="shared" si="1548"/>
        <v>#N/A</v>
      </c>
      <c r="H769" s="16" t="e">
        <f t="shared" si="1548"/>
        <v>#N/A</v>
      </c>
      <c r="I769" s="16" t="e">
        <f t="shared" si="1548"/>
        <v>#N/A</v>
      </c>
      <c r="J769" s="40" t="e">
        <f t="shared" si="1548"/>
        <v>#N/A</v>
      </c>
      <c r="K769" s="16" t="e">
        <f t="shared" si="1548"/>
        <v>#N/A</v>
      </c>
      <c r="L769" s="40" t="e">
        <f t="shared" si="1213"/>
        <v>#N/A</v>
      </c>
      <c r="M769" s="16" t="e">
        <f t="shared" si="1214"/>
        <v>#N/A</v>
      </c>
      <c r="N769" s="16" t="e">
        <f t="shared" si="1215"/>
        <v>#N/A</v>
      </c>
      <c r="O769" s="16" t="s">
        <v>66</v>
      </c>
      <c r="P769" s="16" t="str">
        <f t="shared" si="6"/>
        <v/>
      </c>
      <c r="Q769" s="41" t="e">
        <f t="shared" si="1216"/>
        <v>#N/A</v>
      </c>
      <c r="R769" s="44"/>
      <c r="S769" s="44"/>
      <c r="T769" s="43"/>
      <c r="U769" s="43" t="str">
        <f t="shared" si="8"/>
        <v>No</v>
      </c>
      <c r="V769" s="25"/>
      <c r="W769" s="25"/>
      <c r="X769" s="25"/>
      <c r="Y769" s="25"/>
      <c r="Z769" s="25"/>
    </row>
    <row r="770" spans="1:26" ht="15.75" customHeight="1" x14ac:dyDescent="0.25">
      <c r="A770" s="25">
        <v>768</v>
      </c>
      <c r="B770" s="37" t="e">
        <f t="shared" ref="B770:D770" si="1549">VLOOKUP($A770,[2]Educación!$A$1:$O$276,B$1,0)</f>
        <v>#N/A</v>
      </c>
      <c r="C770" s="38" t="e">
        <f t="shared" si="1549"/>
        <v>#N/A</v>
      </c>
      <c r="D770" s="39" t="e">
        <f t="shared" si="1549"/>
        <v>#N/A</v>
      </c>
      <c r="E770" s="16" t="e">
        <f t="shared" si="1"/>
        <v>#N/A</v>
      </c>
      <c r="F770" s="16" t="e">
        <f t="shared" ref="F770:K770" si="1550">VLOOKUP($A770,[2]Educación!$A$1:$O$276,F$1,0)</f>
        <v>#N/A</v>
      </c>
      <c r="G770" s="39" t="e">
        <f t="shared" si="1550"/>
        <v>#N/A</v>
      </c>
      <c r="H770" s="16" t="e">
        <f t="shared" si="1550"/>
        <v>#N/A</v>
      </c>
      <c r="I770" s="16" t="e">
        <f t="shared" si="1550"/>
        <v>#N/A</v>
      </c>
      <c r="J770" s="40" t="e">
        <f t="shared" si="1550"/>
        <v>#N/A</v>
      </c>
      <c r="K770" s="16" t="e">
        <f t="shared" si="1550"/>
        <v>#N/A</v>
      </c>
      <c r="L770" s="40" t="e">
        <f t="shared" si="1213"/>
        <v>#N/A</v>
      </c>
      <c r="M770" s="16" t="e">
        <f t="shared" si="1214"/>
        <v>#N/A</v>
      </c>
      <c r="N770" s="16" t="e">
        <f t="shared" si="1215"/>
        <v>#N/A</v>
      </c>
      <c r="O770" s="16" t="s">
        <v>66</v>
      </c>
      <c r="P770" s="16" t="str">
        <f t="shared" si="6"/>
        <v/>
      </c>
      <c r="Q770" s="41" t="e">
        <f t="shared" si="1216"/>
        <v>#N/A</v>
      </c>
      <c r="R770" s="44"/>
      <c r="S770" s="44"/>
      <c r="T770" s="43"/>
      <c r="U770" s="43" t="str">
        <f t="shared" si="8"/>
        <v>No</v>
      </c>
      <c r="V770" s="25"/>
      <c r="W770" s="25"/>
      <c r="X770" s="25"/>
      <c r="Y770" s="25"/>
      <c r="Z770" s="25"/>
    </row>
    <row r="771" spans="1:26" ht="15.75" customHeight="1" x14ac:dyDescent="0.25">
      <c r="A771" s="25">
        <v>769</v>
      </c>
      <c r="B771" s="37" t="e">
        <f t="shared" ref="B771:D771" si="1551">VLOOKUP($A771,[2]Educación!$A$1:$O$276,B$1,0)</f>
        <v>#N/A</v>
      </c>
      <c r="C771" s="38" t="e">
        <f t="shared" si="1551"/>
        <v>#N/A</v>
      </c>
      <c r="D771" s="39" t="e">
        <f t="shared" si="1551"/>
        <v>#N/A</v>
      </c>
      <c r="E771" s="16" t="e">
        <f t="shared" si="1"/>
        <v>#N/A</v>
      </c>
      <c r="F771" s="16" t="e">
        <f t="shared" ref="F771:K771" si="1552">VLOOKUP($A771,[2]Educación!$A$1:$O$276,F$1,0)</f>
        <v>#N/A</v>
      </c>
      <c r="G771" s="39" t="e">
        <f t="shared" si="1552"/>
        <v>#N/A</v>
      </c>
      <c r="H771" s="16" t="e">
        <f t="shared" si="1552"/>
        <v>#N/A</v>
      </c>
      <c r="I771" s="16" t="e">
        <f t="shared" si="1552"/>
        <v>#N/A</v>
      </c>
      <c r="J771" s="40" t="e">
        <f t="shared" si="1552"/>
        <v>#N/A</v>
      </c>
      <c r="K771" s="16" t="e">
        <f t="shared" si="1552"/>
        <v>#N/A</v>
      </c>
      <c r="L771" s="40" t="e">
        <f t="shared" si="1213"/>
        <v>#N/A</v>
      </c>
      <c r="M771" s="16" t="e">
        <f t="shared" si="1214"/>
        <v>#N/A</v>
      </c>
      <c r="N771" s="16" t="e">
        <f t="shared" si="1215"/>
        <v>#N/A</v>
      </c>
      <c r="O771" s="16" t="s">
        <v>66</v>
      </c>
      <c r="P771" s="16" t="str">
        <f t="shared" si="6"/>
        <v/>
      </c>
      <c r="Q771" s="41" t="e">
        <f t="shared" si="1216"/>
        <v>#N/A</v>
      </c>
      <c r="R771" s="44"/>
      <c r="S771" s="44"/>
      <c r="T771" s="43"/>
      <c r="U771" s="43" t="str">
        <f t="shared" si="8"/>
        <v>No</v>
      </c>
      <c r="V771" s="25"/>
      <c r="W771" s="25"/>
      <c r="X771" s="25"/>
      <c r="Y771" s="25"/>
      <c r="Z771" s="25"/>
    </row>
    <row r="772" spans="1:26" ht="15.75" customHeight="1" x14ac:dyDescent="0.25">
      <c r="A772" s="25">
        <v>770</v>
      </c>
      <c r="B772" s="37" t="e">
        <f t="shared" ref="B772:D772" si="1553">VLOOKUP($A772,[2]Educación!$A$1:$O$276,B$1,0)</f>
        <v>#N/A</v>
      </c>
      <c r="C772" s="38" t="e">
        <f t="shared" si="1553"/>
        <v>#N/A</v>
      </c>
      <c r="D772" s="39" t="e">
        <f t="shared" si="1553"/>
        <v>#N/A</v>
      </c>
      <c r="E772" s="16" t="e">
        <f t="shared" si="1"/>
        <v>#N/A</v>
      </c>
      <c r="F772" s="16" t="e">
        <f t="shared" ref="F772:K772" si="1554">VLOOKUP($A772,[2]Educación!$A$1:$O$276,F$1,0)</f>
        <v>#N/A</v>
      </c>
      <c r="G772" s="39" t="e">
        <f t="shared" si="1554"/>
        <v>#N/A</v>
      </c>
      <c r="H772" s="16" t="e">
        <f t="shared" si="1554"/>
        <v>#N/A</v>
      </c>
      <c r="I772" s="16" t="e">
        <f t="shared" si="1554"/>
        <v>#N/A</v>
      </c>
      <c r="J772" s="40" t="e">
        <f t="shared" si="1554"/>
        <v>#N/A</v>
      </c>
      <c r="K772" s="16" t="e">
        <f t="shared" si="1554"/>
        <v>#N/A</v>
      </c>
      <c r="L772" s="40" t="e">
        <f t="shared" si="1213"/>
        <v>#N/A</v>
      </c>
      <c r="M772" s="16" t="e">
        <f t="shared" si="1214"/>
        <v>#N/A</v>
      </c>
      <c r="N772" s="16" t="e">
        <f t="shared" si="1215"/>
        <v>#N/A</v>
      </c>
      <c r="O772" s="16" t="s">
        <v>66</v>
      </c>
      <c r="P772" s="16" t="str">
        <f t="shared" si="6"/>
        <v/>
      </c>
      <c r="Q772" s="41" t="e">
        <f t="shared" si="1216"/>
        <v>#N/A</v>
      </c>
      <c r="R772" s="44"/>
      <c r="S772" s="44"/>
      <c r="T772" s="43"/>
      <c r="U772" s="43" t="str">
        <f t="shared" si="8"/>
        <v>No</v>
      </c>
      <c r="V772" s="25"/>
      <c r="W772" s="25"/>
      <c r="X772" s="25"/>
      <c r="Y772" s="25"/>
      <c r="Z772" s="25"/>
    </row>
    <row r="773" spans="1:26" ht="15.75" customHeight="1" x14ac:dyDescent="0.25">
      <c r="A773" s="25">
        <v>771</v>
      </c>
      <c r="B773" s="37" t="e">
        <f t="shared" ref="B773:D773" si="1555">VLOOKUP($A773,[2]Educación!$A$1:$O$276,B$1,0)</f>
        <v>#N/A</v>
      </c>
      <c r="C773" s="38" t="e">
        <f t="shared" si="1555"/>
        <v>#N/A</v>
      </c>
      <c r="D773" s="39" t="e">
        <f t="shared" si="1555"/>
        <v>#N/A</v>
      </c>
      <c r="E773" s="16" t="e">
        <f t="shared" si="1"/>
        <v>#N/A</v>
      </c>
      <c r="F773" s="16" t="e">
        <f t="shared" ref="F773:K773" si="1556">VLOOKUP($A773,[2]Educación!$A$1:$O$276,F$1,0)</f>
        <v>#N/A</v>
      </c>
      <c r="G773" s="39" t="e">
        <f t="shared" si="1556"/>
        <v>#N/A</v>
      </c>
      <c r="H773" s="16" t="e">
        <f t="shared" si="1556"/>
        <v>#N/A</v>
      </c>
      <c r="I773" s="16" t="e">
        <f t="shared" si="1556"/>
        <v>#N/A</v>
      </c>
      <c r="J773" s="40" t="e">
        <f t="shared" si="1556"/>
        <v>#N/A</v>
      </c>
      <c r="K773" s="16" t="e">
        <f t="shared" si="1556"/>
        <v>#N/A</v>
      </c>
      <c r="L773" s="40" t="e">
        <f t="shared" si="1213"/>
        <v>#N/A</v>
      </c>
      <c r="M773" s="16" t="e">
        <f t="shared" si="1214"/>
        <v>#N/A</v>
      </c>
      <c r="N773" s="16" t="e">
        <f t="shared" si="1215"/>
        <v>#N/A</v>
      </c>
      <c r="O773" s="16" t="s">
        <v>66</v>
      </c>
      <c r="P773" s="16" t="str">
        <f t="shared" si="6"/>
        <v/>
      </c>
      <c r="Q773" s="41" t="e">
        <f t="shared" si="1216"/>
        <v>#N/A</v>
      </c>
      <c r="R773" s="44"/>
      <c r="S773" s="44"/>
      <c r="T773" s="43"/>
      <c r="U773" s="43" t="str">
        <f t="shared" si="8"/>
        <v>No</v>
      </c>
      <c r="V773" s="25"/>
      <c r="W773" s="25"/>
      <c r="X773" s="25"/>
      <c r="Y773" s="25"/>
      <c r="Z773" s="25"/>
    </row>
    <row r="774" spans="1:26" ht="15.75" customHeight="1" x14ac:dyDescent="0.25">
      <c r="A774" s="25">
        <v>772</v>
      </c>
      <c r="B774" s="37" t="e">
        <f t="shared" ref="B774:D774" si="1557">VLOOKUP($A774,[2]Educación!$A$1:$O$276,B$1,0)</f>
        <v>#N/A</v>
      </c>
      <c r="C774" s="38" t="e">
        <f t="shared" si="1557"/>
        <v>#N/A</v>
      </c>
      <c r="D774" s="39" t="e">
        <f t="shared" si="1557"/>
        <v>#N/A</v>
      </c>
      <c r="E774" s="16" t="e">
        <f t="shared" si="1"/>
        <v>#N/A</v>
      </c>
      <c r="F774" s="16" t="e">
        <f t="shared" ref="F774:K774" si="1558">VLOOKUP($A774,[2]Educación!$A$1:$O$276,F$1,0)</f>
        <v>#N/A</v>
      </c>
      <c r="G774" s="39" t="e">
        <f t="shared" si="1558"/>
        <v>#N/A</v>
      </c>
      <c r="H774" s="16" t="e">
        <f t="shared" si="1558"/>
        <v>#N/A</v>
      </c>
      <c r="I774" s="16" t="e">
        <f t="shared" si="1558"/>
        <v>#N/A</v>
      </c>
      <c r="J774" s="40" t="e">
        <f t="shared" si="1558"/>
        <v>#N/A</v>
      </c>
      <c r="K774" s="16" t="e">
        <f t="shared" si="1558"/>
        <v>#N/A</v>
      </c>
      <c r="L774" s="40" t="e">
        <f t="shared" si="1213"/>
        <v>#N/A</v>
      </c>
      <c r="M774" s="16" t="e">
        <f t="shared" si="1214"/>
        <v>#N/A</v>
      </c>
      <c r="N774" s="16" t="e">
        <f t="shared" si="1215"/>
        <v>#N/A</v>
      </c>
      <c r="O774" s="16" t="s">
        <v>66</v>
      </c>
      <c r="P774" s="16" t="str">
        <f t="shared" si="6"/>
        <v/>
      </c>
      <c r="Q774" s="41" t="e">
        <f t="shared" si="1216"/>
        <v>#N/A</v>
      </c>
      <c r="R774" s="44"/>
      <c r="S774" s="44"/>
      <c r="T774" s="43"/>
      <c r="U774" s="43" t="str">
        <f t="shared" si="8"/>
        <v>No</v>
      </c>
      <c r="V774" s="25"/>
      <c r="W774" s="25"/>
      <c r="X774" s="25"/>
      <c r="Y774" s="25"/>
      <c r="Z774" s="25"/>
    </row>
    <row r="775" spans="1:26" ht="15.75" customHeight="1" x14ac:dyDescent="0.25">
      <c r="A775" s="25">
        <v>773</v>
      </c>
      <c r="B775" s="37" t="e">
        <f t="shared" ref="B775:D775" si="1559">VLOOKUP($A775,[2]Educación!$A$1:$O$276,B$1,0)</f>
        <v>#N/A</v>
      </c>
      <c r="C775" s="38" t="e">
        <f t="shared" si="1559"/>
        <v>#N/A</v>
      </c>
      <c r="D775" s="39" t="e">
        <f t="shared" si="1559"/>
        <v>#N/A</v>
      </c>
      <c r="E775" s="16" t="e">
        <f t="shared" si="1"/>
        <v>#N/A</v>
      </c>
      <c r="F775" s="16" t="e">
        <f t="shared" ref="F775:K775" si="1560">VLOOKUP($A775,[2]Educación!$A$1:$O$276,F$1,0)</f>
        <v>#N/A</v>
      </c>
      <c r="G775" s="39" t="e">
        <f t="shared" si="1560"/>
        <v>#N/A</v>
      </c>
      <c r="H775" s="16" t="e">
        <f t="shared" si="1560"/>
        <v>#N/A</v>
      </c>
      <c r="I775" s="16" t="e">
        <f t="shared" si="1560"/>
        <v>#N/A</v>
      </c>
      <c r="J775" s="40" t="e">
        <f t="shared" si="1560"/>
        <v>#N/A</v>
      </c>
      <c r="K775" s="16" t="e">
        <f t="shared" si="1560"/>
        <v>#N/A</v>
      </c>
      <c r="L775" s="40" t="e">
        <f t="shared" si="1213"/>
        <v>#N/A</v>
      </c>
      <c r="M775" s="16" t="e">
        <f t="shared" si="1214"/>
        <v>#N/A</v>
      </c>
      <c r="N775" s="16" t="e">
        <f t="shared" si="1215"/>
        <v>#N/A</v>
      </c>
      <c r="O775" s="16" t="s">
        <v>66</v>
      </c>
      <c r="P775" s="16" t="str">
        <f t="shared" si="6"/>
        <v/>
      </c>
      <c r="Q775" s="41" t="e">
        <f t="shared" si="1216"/>
        <v>#N/A</v>
      </c>
      <c r="R775" s="44"/>
      <c r="S775" s="44"/>
      <c r="T775" s="43"/>
      <c r="U775" s="43" t="str">
        <f t="shared" si="8"/>
        <v>No</v>
      </c>
      <c r="V775" s="25"/>
      <c r="W775" s="25"/>
      <c r="X775" s="25"/>
      <c r="Y775" s="25"/>
      <c r="Z775" s="25"/>
    </row>
    <row r="776" spans="1:26" ht="15.75" customHeight="1" x14ac:dyDescent="0.25">
      <c r="A776" s="25">
        <v>774</v>
      </c>
      <c r="B776" s="37" t="e">
        <f t="shared" ref="B776:D776" si="1561">VLOOKUP($A776,[2]Educación!$A$1:$O$276,B$1,0)</f>
        <v>#N/A</v>
      </c>
      <c r="C776" s="38" t="e">
        <f t="shared" si="1561"/>
        <v>#N/A</v>
      </c>
      <c r="D776" s="39" t="e">
        <f t="shared" si="1561"/>
        <v>#N/A</v>
      </c>
      <c r="E776" s="16" t="e">
        <f t="shared" si="1"/>
        <v>#N/A</v>
      </c>
      <c r="F776" s="16" t="e">
        <f t="shared" ref="F776:K776" si="1562">VLOOKUP($A776,[2]Educación!$A$1:$O$276,F$1,0)</f>
        <v>#N/A</v>
      </c>
      <c r="G776" s="39" t="e">
        <f t="shared" si="1562"/>
        <v>#N/A</v>
      </c>
      <c r="H776" s="16" t="e">
        <f t="shared" si="1562"/>
        <v>#N/A</v>
      </c>
      <c r="I776" s="16" t="e">
        <f t="shared" si="1562"/>
        <v>#N/A</v>
      </c>
      <c r="J776" s="40" t="e">
        <f t="shared" si="1562"/>
        <v>#N/A</v>
      </c>
      <c r="K776" s="16" t="e">
        <f t="shared" si="1562"/>
        <v>#N/A</v>
      </c>
      <c r="L776" s="40" t="e">
        <f t="shared" si="1213"/>
        <v>#N/A</v>
      </c>
      <c r="M776" s="16" t="e">
        <f t="shared" si="1214"/>
        <v>#N/A</v>
      </c>
      <c r="N776" s="16" t="e">
        <f t="shared" si="1215"/>
        <v>#N/A</v>
      </c>
      <c r="O776" s="16" t="s">
        <v>66</v>
      </c>
      <c r="P776" s="16" t="str">
        <f t="shared" si="6"/>
        <v/>
      </c>
      <c r="Q776" s="41" t="e">
        <f t="shared" si="1216"/>
        <v>#N/A</v>
      </c>
      <c r="R776" s="44"/>
      <c r="S776" s="44"/>
      <c r="T776" s="43"/>
      <c r="U776" s="43" t="str">
        <f t="shared" si="8"/>
        <v>No</v>
      </c>
      <c r="V776" s="25"/>
      <c r="W776" s="25"/>
      <c r="X776" s="25"/>
      <c r="Y776" s="25"/>
      <c r="Z776" s="25"/>
    </row>
    <row r="777" spans="1:26" ht="15.75" customHeight="1" x14ac:dyDescent="0.25">
      <c r="A777" s="25">
        <v>775</v>
      </c>
      <c r="B777" s="37" t="e">
        <f t="shared" ref="B777:D777" si="1563">VLOOKUP($A777,[2]Educación!$A$1:$O$276,B$1,0)</f>
        <v>#N/A</v>
      </c>
      <c r="C777" s="38" t="e">
        <f t="shared" si="1563"/>
        <v>#N/A</v>
      </c>
      <c r="D777" s="39" t="e">
        <f t="shared" si="1563"/>
        <v>#N/A</v>
      </c>
      <c r="E777" s="16" t="e">
        <f t="shared" si="1"/>
        <v>#N/A</v>
      </c>
      <c r="F777" s="16" t="e">
        <f t="shared" ref="F777:K777" si="1564">VLOOKUP($A777,[2]Educación!$A$1:$O$276,F$1,0)</f>
        <v>#N/A</v>
      </c>
      <c r="G777" s="39" t="e">
        <f t="shared" si="1564"/>
        <v>#N/A</v>
      </c>
      <c r="H777" s="16" t="e">
        <f t="shared" si="1564"/>
        <v>#N/A</v>
      </c>
      <c r="I777" s="16" t="e">
        <f t="shared" si="1564"/>
        <v>#N/A</v>
      </c>
      <c r="J777" s="40" t="e">
        <f t="shared" si="1564"/>
        <v>#N/A</v>
      </c>
      <c r="K777" s="16" t="e">
        <f t="shared" si="1564"/>
        <v>#N/A</v>
      </c>
      <c r="L777" s="40" t="e">
        <f t="shared" si="1213"/>
        <v>#N/A</v>
      </c>
      <c r="M777" s="16" t="e">
        <f t="shared" si="1214"/>
        <v>#N/A</v>
      </c>
      <c r="N777" s="16" t="e">
        <f t="shared" si="1215"/>
        <v>#N/A</v>
      </c>
      <c r="O777" s="16" t="s">
        <v>66</v>
      </c>
      <c r="P777" s="16" t="str">
        <f t="shared" si="6"/>
        <v/>
      </c>
      <c r="Q777" s="41" t="e">
        <f t="shared" si="1216"/>
        <v>#N/A</v>
      </c>
      <c r="R777" s="44"/>
      <c r="S777" s="44"/>
      <c r="T777" s="43"/>
      <c r="U777" s="43" t="str">
        <f t="shared" si="8"/>
        <v>No</v>
      </c>
      <c r="V777" s="25"/>
      <c r="W777" s="25"/>
      <c r="X777" s="25"/>
      <c r="Y777" s="25"/>
      <c r="Z777" s="25"/>
    </row>
    <row r="778" spans="1:26" ht="15.75" customHeight="1" x14ac:dyDescent="0.25">
      <c r="A778" s="25">
        <v>776</v>
      </c>
      <c r="B778" s="37" t="e">
        <f t="shared" ref="B778:D778" si="1565">VLOOKUP($A778,[2]Educación!$A$1:$O$276,B$1,0)</f>
        <v>#N/A</v>
      </c>
      <c r="C778" s="38" t="e">
        <f t="shared" si="1565"/>
        <v>#N/A</v>
      </c>
      <c r="D778" s="39" t="e">
        <f t="shared" si="1565"/>
        <v>#N/A</v>
      </c>
      <c r="E778" s="16" t="e">
        <f t="shared" si="1"/>
        <v>#N/A</v>
      </c>
      <c r="F778" s="16" t="e">
        <f t="shared" ref="F778:K778" si="1566">VLOOKUP($A778,[2]Educación!$A$1:$O$276,F$1,0)</f>
        <v>#N/A</v>
      </c>
      <c r="G778" s="39" t="e">
        <f t="shared" si="1566"/>
        <v>#N/A</v>
      </c>
      <c r="H778" s="16" t="e">
        <f t="shared" si="1566"/>
        <v>#N/A</v>
      </c>
      <c r="I778" s="16" t="e">
        <f t="shared" si="1566"/>
        <v>#N/A</v>
      </c>
      <c r="J778" s="40" t="e">
        <f t="shared" si="1566"/>
        <v>#N/A</v>
      </c>
      <c r="K778" s="16" t="e">
        <f t="shared" si="1566"/>
        <v>#N/A</v>
      </c>
      <c r="L778" s="40" t="e">
        <f t="shared" si="1213"/>
        <v>#N/A</v>
      </c>
      <c r="M778" s="16" t="e">
        <f t="shared" si="1214"/>
        <v>#N/A</v>
      </c>
      <c r="N778" s="16" t="e">
        <f t="shared" si="1215"/>
        <v>#N/A</v>
      </c>
      <c r="O778" s="16" t="s">
        <v>66</v>
      </c>
      <c r="P778" s="16" t="str">
        <f t="shared" si="6"/>
        <v/>
      </c>
      <c r="Q778" s="41" t="e">
        <f t="shared" si="1216"/>
        <v>#N/A</v>
      </c>
      <c r="R778" s="44"/>
      <c r="S778" s="44"/>
      <c r="T778" s="43"/>
      <c r="U778" s="43" t="str">
        <f t="shared" si="8"/>
        <v>No</v>
      </c>
      <c r="V778" s="25"/>
      <c r="W778" s="25"/>
      <c r="X778" s="25"/>
      <c r="Y778" s="25"/>
      <c r="Z778" s="25"/>
    </row>
    <row r="779" spans="1:26" ht="15.75" customHeight="1" x14ac:dyDescent="0.25">
      <c r="A779" s="25">
        <v>777</v>
      </c>
      <c r="B779" s="37" t="e">
        <f t="shared" ref="B779:D779" si="1567">VLOOKUP($A779,[2]Educación!$A$1:$O$276,B$1,0)</f>
        <v>#N/A</v>
      </c>
      <c r="C779" s="38" t="e">
        <f t="shared" si="1567"/>
        <v>#N/A</v>
      </c>
      <c r="D779" s="39" t="e">
        <f t="shared" si="1567"/>
        <v>#N/A</v>
      </c>
      <c r="E779" s="16" t="e">
        <f t="shared" si="1"/>
        <v>#N/A</v>
      </c>
      <c r="F779" s="16" t="e">
        <f t="shared" ref="F779:K779" si="1568">VLOOKUP($A779,[2]Educación!$A$1:$O$276,F$1,0)</f>
        <v>#N/A</v>
      </c>
      <c r="G779" s="39" t="e">
        <f t="shared" si="1568"/>
        <v>#N/A</v>
      </c>
      <c r="H779" s="16" t="e">
        <f t="shared" si="1568"/>
        <v>#N/A</v>
      </c>
      <c r="I779" s="16" t="e">
        <f t="shared" si="1568"/>
        <v>#N/A</v>
      </c>
      <c r="J779" s="40" t="e">
        <f t="shared" si="1568"/>
        <v>#N/A</v>
      </c>
      <c r="K779" s="16" t="e">
        <f t="shared" si="1568"/>
        <v>#N/A</v>
      </c>
      <c r="L779" s="40" t="e">
        <f t="shared" si="1213"/>
        <v>#N/A</v>
      </c>
      <c r="M779" s="16" t="e">
        <f t="shared" si="1214"/>
        <v>#N/A</v>
      </c>
      <c r="N779" s="16" t="e">
        <f t="shared" si="1215"/>
        <v>#N/A</v>
      </c>
      <c r="O779" s="16" t="s">
        <v>66</v>
      </c>
      <c r="P779" s="16" t="str">
        <f t="shared" si="6"/>
        <v/>
      </c>
      <c r="Q779" s="41" t="e">
        <f t="shared" si="1216"/>
        <v>#N/A</v>
      </c>
      <c r="R779" s="44"/>
      <c r="S779" s="44"/>
      <c r="T779" s="43"/>
      <c r="U779" s="43" t="str">
        <f t="shared" si="8"/>
        <v>No</v>
      </c>
      <c r="V779" s="25"/>
      <c r="W779" s="25"/>
      <c r="X779" s="25"/>
      <c r="Y779" s="25"/>
      <c r="Z779" s="25"/>
    </row>
    <row r="780" spans="1:26" ht="15.75" customHeight="1" x14ac:dyDescent="0.25">
      <c r="A780" s="25">
        <v>778</v>
      </c>
      <c r="B780" s="37" t="e">
        <f t="shared" ref="B780:D780" si="1569">VLOOKUP($A780,[2]Educación!$A$1:$O$276,B$1,0)</f>
        <v>#N/A</v>
      </c>
      <c r="C780" s="38" t="e">
        <f t="shared" si="1569"/>
        <v>#N/A</v>
      </c>
      <c r="D780" s="39" t="e">
        <f t="shared" si="1569"/>
        <v>#N/A</v>
      </c>
      <c r="E780" s="16" t="e">
        <f t="shared" si="1"/>
        <v>#N/A</v>
      </c>
      <c r="F780" s="16" t="e">
        <f t="shared" ref="F780:K780" si="1570">VLOOKUP($A780,[2]Educación!$A$1:$O$276,F$1,0)</f>
        <v>#N/A</v>
      </c>
      <c r="G780" s="39" t="e">
        <f t="shared" si="1570"/>
        <v>#N/A</v>
      </c>
      <c r="H780" s="16" t="e">
        <f t="shared" si="1570"/>
        <v>#N/A</v>
      </c>
      <c r="I780" s="16" t="e">
        <f t="shared" si="1570"/>
        <v>#N/A</v>
      </c>
      <c r="J780" s="40" t="e">
        <f t="shared" si="1570"/>
        <v>#N/A</v>
      </c>
      <c r="K780" s="16" t="e">
        <f t="shared" si="1570"/>
        <v>#N/A</v>
      </c>
      <c r="L780" s="40" t="e">
        <f t="shared" si="1213"/>
        <v>#N/A</v>
      </c>
      <c r="M780" s="16" t="e">
        <f t="shared" si="1214"/>
        <v>#N/A</v>
      </c>
      <c r="N780" s="16" t="e">
        <f t="shared" si="1215"/>
        <v>#N/A</v>
      </c>
      <c r="O780" s="16" t="s">
        <v>66</v>
      </c>
      <c r="P780" s="16" t="str">
        <f t="shared" si="6"/>
        <v/>
      </c>
      <c r="Q780" s="41" t="e">
        <f t="shared" si="1216"/>
        <v>#N/A</v>
      </c>
      <c r="R780" s="44"/>
      <c r="S780" s="44"/>
      <c r="T780" s="43"/>
      <c r="U780" s="43" t="str">
        <f t="shared" si="8"/>
        <v>No</v>
      </c>
      <c r="V780" s="25"/>
      <c r="W780" s="25"/>
      <c r="X780" s="25"/>
      <c r="Y780" s="25"/>
      <c r="Z780" s="25"/>
    </row>
    <row r="781" spans="1:26" ht="15.75" customHeight="1" x14ac:dyDescent="0.25">
      <c r="A781" s="25">
        <v>779</v>
      </c>
      <c r="B781" s="37" t="e">
        <f t="shared" ref="B781:D781" si="1571">VLOOKUP($A781,[2]Educación!$A$1:$O$276,B$1,0)</f>
        <v>#N/A</v>
      </c>
      <c r="C781" s="38" t="e">
        <f t="shared" si="1571"/>
        <v>#N/A</v>
      </c>
      <c r="D781" s="39" t="e">
        <f t="shared" si="1571"/>
        <v>#N/A</v>
      </c>
      <c r="E781" s="16" t="e">
        <f t="shared" si="1"/>
        <v>#N/A</v>
      </c>
      <c r="F781" s="16" t="e">
        <f t="shared" ref="F781:K781" si="1572">VLOOKUP($A781,[2]Educación!$A$1:$O$276,F$1,0)</f>
        <v>#N/A</v>
      </c>
      <c r="G781" s="39" t="e">
        <f t="shared" si="1572"/>
        <v>#N/A</v>
      </c>
      <c r="H781" s="16" t="e">
        <f t="shared" si="1572"/>
        <v>#N/A</v>
      </c>
      <c r="I781" s="16" t="e">
        <f t="shared" si="1572"/>
        <v>#N/A</v>
      </c>
      <c r="J781" s="40" t="e">
        <f t="shared" si="1572"/>
        <v>#N/A</v>
      </c>
      <c r="K781" s="16" t="e">
        <f t="shared" si="1572"/>
        <v>#N/A</v>
      </c>
      <c r="L781" s="40" t="e">
        <f t="shared" si="1213"/>
        <v>#N/A</v>
      </c>
      <c r="M781" s="16" t="e">
        <f t="shared" si="1214"/>
        <v>#N/A</v>
      </c>
      <c r="N781" s="16" t="e">
        <f t="shared" si="1215"/>
        <v>#N/A</v>
      </c>
      <c r="O781" s="16" t="s">
        <v>66</v>
      </c>
      <c r="P781" s="16" t="str">
        <f t="shared" si="6"/>
        <v/>
      </c>
      <c r="Q781" s="41" t="e">
        <f t="shared" si="1216"/>
        <v>#N/A</v>
      </c>
      <c r="R781" s="44"/>
      <c r="S781" s="44"/>
      <c r="T781" s="43"/>
      <c r="U781" s="43" t="str">
        <f t="shared" si="8"/>
        <v>No</v>
      </c>
      <c r="V781" s="25"/>
      <c r="W781" s="25"/>
      <c r="X781" s="25"/>
      <c r="Y781" s="25"/>
      <c r="Z781" s="25"/>
    </row>
    <row r="782" spans="1:26" ht="15.75" customHeight="1" x14ac:dyDescent="0.25">
      <c r="A782" s="25">
        <v>780</v>
      </c>
      <c r="B782" s="37" t="e">
        <f t="shared" ref="B782:D782" si="1573">VLOOKUP($A782,[2]Educación!$A$1:$O$276,B$1,0)</f>
        <v>#N/A</v>
      </c>
      <c r="C782" s="38" t="e">
        <f t="shared" si="1573"/>
        <v>#N/A</v>
      </c>
      <c r="D782" s="39" t="e">
        <f t="shared" si="1573"/>
        <v>#N/A</v>
      </c>
      <c r="E782" s="16" t="e">
        <f t="shared" si="1"/>
        <v>#N/A</v>
      </c>
      <c r="F782" s="16" t="e">
        <f t="shared" ref="F782:K782" si="1574">VLOOKUP($A782,[2]Educación!$A$1:$O$276,F$1,0)</f>
        <v>#N/A</v>
      </c>
      <c r="G782" s="39" t="e">
        <f t="shared" si="1574"/>
        <v>#N/A</v>
      </c>
      <c r="H782" s="16" t="e">
        <f t="shared" si="1574"/>
        <v>#N/A</v>
      </c>
      <c r="I782" s="16" t="e">
        <f t="shared" si="1574"/>
        <v>#N/A</v>
      </c>
      <c r="J782" s="40" t="e">
        <f t="shared" si="1574"/>
        <v>#N/A</v>
      </c>
      <c r="K782" s="16" t="e">
        <f t="shared" si="1574"/>
        <v>#N/A</v>
      </c>
      <c r="L782" s="40" t="e">
        <f t="shared" si="1213"/>
        <v>#N/A</v>
      </c>
      <c r="M782" s="16" t="e">
        <f t="shared" si="1214"/>
        <v>#N/A</v>
      </c>
      <c r="N782" s="16" t="e">
        <f t="shared" si="1215"/>
        <v>#N/A</v>
      </c>
      <c r="O782" s="16" t="s">
        <v>66</v>
      </c>
      <c r="P782" s="16" t="str">
        <f t="shared" si="6"/>
        <v/>
      </c>
      <c r="Q782" s="41" t="e">
        <f t="shared" si="1216"/>
        <v>#N/A</v>
      </c>
      <c r="R782" s="44"/>
      <c r="S782" s="44"/>
      <c r="T782" s="43"/>
      <c r="U782" s="43" t="str">
        <f t="shared" si="8"/>
        <v>No</v>
      </c>
      <c r="V782" s="25"/>
      <c r="W782" s="25"/>
      <c r="X782" s="25"/>
      <c r="Y782" s="25"/>
      <c r="Z782" s="25"/>
    </row>
    <row r="783" spans="1:26" ht="15.75" customHeight="1" x14ac:dyDescent="0.25">
      <c r="A783" s="25">
        <v>781</v>
      </c>
      <c r="B783" s="37" t="e">
        <f t="shared" ref="B783:D783" si="1575">VLOOKUP($A783,[2]Educación!$A$1:$O$276,B$1,0)</f>
        <v>#N/A</v>
      </c>
      <c r="C783" s="38" t="e">
        <f t="shared" si="1575"/>
        <v>#N/A</v>
      </c>
      <c r="D783" s="39" t="e">
        <f t="shared" si="1575"/>
        <v>#N/A</v>
      </c>
      <c r="E783" s="16" t="e">
        <f t="shared" si="1"/>
        <v>#N/A</v>
      </c>
      <c r="F783" s="16" t="e">
        <f t="shared" ref="F783:K783" si="1576">VLOOKUP($A783,[2]Educación!$A$1:$O$276,F$1,0)</f>
        <v>#N/A</v>
      </c>
      <c r="G783" s="39" t="e">
        <f t="shared" si="1576"/>
        <v>#N/A</v>
      </c>
      <c r="H783" s="16" t="e">
        <f t="shared" si="1576"/>
        <v>#N/A</v>
      </c>
      <c r="I783" s="16" t="e">
        <f t="shared" si="1576"/>
        <v>#N/A</v>
      </c>
      <c r="J783" s="40" t="e">
        <f t="shared" si="1576"/>
        <v>#N/A</v>
      </c>
      <c r="K783" s="16" t="e">
        <f t="shared" si="1576"/>
        <v>#N/A</v>
      </c>
      <c r="L783" s="40" t="e">
        <f t="shared" si="1213"/>
        <v>#N/A</v>
      </c>
      <c r="M783" s="16" t="e">
        <f t="shared" si="1214"/>
        <v>#N/A</v>
      </c>
      <c r="N783" s="16" t="e">
        <f t="shared" si="1215"/>
        <v>#N/A</v>
      </c>
      <c r="O783" s="16" t="s">
        <v>66</v>
      </c>
      <c r="P783" s="16" t="str">
        <f t="shared" si="6"/>
        <v/>
      </c>
      <c r="Q783" s="41" t="e">
        <f t="shared" si="1216"/>
        <v>#N/A</v>
      </c>
      <c r="R783" s="44"/>
      <c r="S783" s="44"/>
      <c r="T783" s="43"/>
      <c r="U783" s="43" t="str">
        <f t="shared" si="8"/>
        <v>No</v>
      </c>
      <c r="V783" s="25"/>
      <c r="W783" s="25"/>
      <c r="X783" s="25"/>
      <c r="Y783" s="25"/>
      <c r="Z783" s="25"/>
    </row>
    <row r="784" spans="1:26" ht="15.75" customHeight="1" x14ac:dyDescent="0.25">
      <c r="A784" s="25">
        <v>782</v>
      </c>
      <c r="B784" s="37" t="e">
        <f t="shared" ref="B784:D784" si="1577">VLOOKUP($A784,[2]Educación!$A$1:$O$276,B$1,0)</f>
        <v>#N/A</v>
      </c>
      <c r="C784" s="38" t="e">
        <f t="shared" si="1577"/>
        <v>#N/A</v>
      </c>
      <c r="D784" s="39" t="e">
        <f t="shared" si="1577"/>
        <v>#N/A</v>
      </c>
      <c r="E784" s="16" t="e">
        <f t="shared" si="1"/>
        <v>#N/A</v>
      </c>
      <c r="F784" s="16" t="e">
        <f t="shared" ref="F784:K784" si="1578">VLOOKUP($A784,[2]Educación!$A$1:$O$276,F$1,0)</f>
        <v>#N/A</v>
      </c>
      <c r="G784" s="39" t="e">
        <f t="shared" si="1578"/>
        <v>#N/A</v>
      </c>
      <c r="H784" s="16" t="e">
        <f t="shared" si="1578"/>
        <v>#N/A</v>
      </c>
      <c r="I784" s="16" t="e">
        <f t="shared" si="1578"/>
        <v>#N/A</v>
      </c>
      <c r="J784" s="40" t="e">
        <f t="shared" si="1578"/>
        <v>#N/A</v>
      </c>
      <c r="K784" s="16" t="e">
        <f t="shared" si="1578"/>
        <v>#N/A</v>
      </c>
      <c r="L784" s="40" t="e">
        <f t="shared" si="1213"/>
        <v>#N/A</v>
      </c>
      <c r="M784" s="16" t="e">
        <f t="shared" si="1214"/>
        <v>#N/A</v>
      </c>
      <c r="N784" s="16" t="e">
        <f t="shared" si="1215"/>
        <v>#N/A</v>
      </c>
      <c r="O784" s="16" t="s">
        <v>66</v>
      </c>
      <c r="P784" s="16" t="str">
        <f t="shared" si="6"/>
        <v/>
      </c>
      <c r="Q784" s="41" t="e">
        <f t="shared" si="1216"/>
        <v>#N/A</v>
      </c>
      <c r="R784" s="44"/>
      <c r="S784" s="44"/>
      <c r="T784" s="43"/>
      <c r="U784" s="43" t="str">
        <f t="shared" si="8"/>
        <v>No</v>
      </c>
      <c r="V784" s="25"/>
      <c r="W784" s="25"/>
      <c r="X784" s="25"/>
      <c r="Y784" s="25"/>
      <c r="Z784" s="25"/>
    </row>
    <row r="785" spans="1:26" ht="15.75" customHeight="1" x14ac:dyDescent="0.25">
      <c r="A785" s="25">
        <v>783</v>
      </c>
      <c r="B785" s="37" t="e">
        <f t="shared" ref="B785:D785" si="1579">VLOOKUP($A785,[2]Educación!$A$1:$O$276,B$1,0)</f>
        <v>#N/A</v>
      </c>
      <c r="C785" s="38" t="e">
        <f t="shared" si="1579"/>
        <v>#N/A</v>
      </c>
      <c r="D785" s="39" t="e">
        <f t="shared" si="1579"/>
        <v>#N/A</v>
      </c>
      <c r="E785" s="16" t="e">
        <f t="shared" si="1"/>
        <v>#N/A</v>
      </c>
      <c r="F785" s="16" t="e">
        <f t="shared" ref="F785:K785" si="1580">VLOOKUP($A785,[2]Educación!$A$1:$O$276,F$1,0)</f>
        <v>#N/A</v>
      </c>
      <c r="G785" s="39" t="e">
        <f t="shared" si="1580"/>
        <v>#N/A</v>
      </c>
      <c r="H785" s="16" t="e">
        <f t="shared" si="1580"/>
        <v>#N/A</v>
      </c>
      <c r="I785" s="16" t="e">
        <f t="shared" si="1580"/>
        <v>#N/A</v>
      </c>
      <c r="J785" s="40" t="e">
        <f t="shared" si="1580"/>
        <v>#N/A</v>
      </c>
      <c r="K785" s="16" t="e">
        <f t="shared" si="1580"/>
        <v>#N/A</v>
      </c>
      <c r="L785" s="40" t="e">
        <f t="shared" si="1213"/>
        <v>#N/A</v>
      </c>
      <c r="M785" s="16" t="e">
        <f t="shared" si="1214"/>
        <v>#N/A</v>
      </c>
      <c r="N785" s="16" t="e">
        <f t="shared" si="1215"/>
        <v>#N/A</v>
      </c>
      <c r="O785" s="16" t="s">
        <v>66</v>
      </c>
      <c r="P785" s="16" t="str">
        <f t="shared" si="6"/>
        <v/>
      </c>
      <c r="Q785" s="41" t="e">
        <f t="shared" si="1216"/>
        <v>#N/A</v>
      </c>
      <c r="R785" s="44"/>
      <c r="S785" s="44"/>
      <c r="T785" s="43"/>
      <c r="U785" s="43" t="str">
        <f t="shared" si="8"/>
        <v>No</v>
      </c>
      <c r="V785" s="25"/>
      <c r="W785" s="25"/>
      <c r="X785" s="25"/>
      <c r="Y785" s="25"/>
      <c r="Z785" s="25"/>
    </row>
    <row r="786" spans="1:26" ht="15.75" customHeight="1" x14ac:dyDescent="0.25">
      <c r="A786" s="25">
        <v>784</v>
      </c>
      <c r="B786" s="37" t="e">
        <f t="shared" ref="B786:D786" si="1581">VLOOKUP($A786,[2]Educación!$A$1:$O$276,B$1,0)</f>
        <v>#N/A</v>
      </c>
      <c r="C786" s="38" t="e">
        <f t="shared" si="1581"/>
        <v>#N/A</v>
      </c>
      <c r="D786" s="39" t="e">
        <f t="shared" si="1581"/>
        <v>#N/A</v>
      </c>
      <c r="E786" s="16" t="e">
        <f t="shared" si="1"/>
        <v>#N/A</v>
      </c>
      <c r="F786" s="16" t="e">
        <f t="shared" ref="F786:K786" si="1582">VLOOKUP($A786,[2]Educación!$A$1:$O$276,F$1,0)</f>
        <v>#N/A</v>
      </c>
      <c r="G786" s="39" t="e">
        <f t="shared" si="1582"/>
        <v>#N/A</v>
      </c>
      <c r="H786" s="16" t="e">
        <f t="shared" si="1582"/>
        <v>#N/A</v>
      </c>
      <c r="I786" s="16" t="e">
        <f t="shared" si="1582"/>
        <v>#N/A</v>
      </c>
      <c r="J786" s="40" t="e">
        <f t="shared" si="1582"/>
        <v>#N/A</v>
      </c>
      <c r="K786" s="16" t="e">
        <f t="shared" si="1582"/>
        <v>#N/A</v>
      </c>
      <c r="L786" s="40" t="e">
        <f t="shared" si="1213"/>
        <v>#N/A</v>
      </c>
      <c r="M786" s="16" t="e">
        <f t="shared" si="1214"/>
        <v>#N/A</v>
      </c>
      <c r="N786" s="16" t="e">
        <f t="shared" si="1215"/>
        <v>#N/A</v>
      </c>
      <c r="O786" s="16" t="s">
        <v>66</v>
      </c>
      <c r="P786" s="16" t="str">
        <f t="shared" si="6"/>
        <v/>
      </c>
      <c r="Q786" s="41" t="e">
        <f t="shared" si="1216"/>
        <v>#N/A</v>
      </c>
      <c r="R786" s="44"/>
      <c r="S786" s="44"/>
      <c r="T786" s="43"/>
      <c r="U786" s="43" t="str">
        <f t="shared" si="8"/>
        <v>No</v>
      </c>
      <c r="V786" s="25"/>
      <c r="W786" s="25"/>
      <c r="X786" s="25"/>
      <c r="Y786" s="25"/>
      <c r="Z786" s="25"/>
    </row>
    <row r="787" spans="1:26" ht="15.75" customHeight="1" x14ac:dyDescent="0.25">
      <c r="A787" s="25">
        <v>785</v>
      </c>
      <c r="B787" s="37" t="e">
        <f t="shared" ref="B787:D787" si="1583">VLOOKUP($A787,[2]Educación!$A$1:$O$276,B$1,0)</f>
        <v>#N/A</v>
      </c>
      <c r="C787" s="38" t="e">
        <f t="shared" si="1583"/>
        <v>#N/A</v>
      </c>
      <c r="D787" s="39" t="e">
        <f t="shared" si="1583"/>
        <v>#N/A</v>
      </c>
      <c r="E787" s="16" t="e">
        <f t="shared" si="1"/>
        <v>#N/A</v>
      </c>
      <c r="F787" s="16" t="e">
        <f t="shared" ref="F787:K787" si="1584">VLOOKUP($A787,[2]Educación!$A$1:$O$276,F$1,0)</f>
        <v>#N/A</v>
      </c>
      <c r="G787" s="39" t="e">
        <f t="shared" si="1584"/>
        <v>#N/A</v>
      </c>
      <c r="H787" s="16" t="e">
        <f t="shared" si="1584"/>
        <v>#N/A</v>
      </c>
      <c r="I787" s="16" t="e">
        <f t="shared" si="1584"/>
        <v>#N/A</v>
      </c>
      <c r="J787" s="40" t="e">
        <f t="shared" si="1584"/>
        <v>#N/A</v>
      </c>
      <c r="K787" s="16" t="e">
        <f t="shared" si="1584"/>
        <v>#N/A</v>
      </c>
      <c r="L787" s="40" t="e">
        <f t="shared" si="1213"/>
        <v>#N/A</v>
      </c>
      <c r="M787" s="16" t="e">
        <f t="shared" si="1214"/>
        <v>#N/A</v>
      </c>
      <c r="N787" s="16" t="e">
        <f t="shared" si="1215"/>
        <v>#N/A</v>
      </c>
      <c r="O787" s="16" t="s">
        <v>66</v>
      </c>
      <c r="P787" s="16" t="str">
        <f t="shared" si="6"/>
        <v/>
      </c>
      <c r="Q787" s="41" t="e">
        <f t="shared" si="1216"/>
        <v>#N/A</v>
      </c>
      <c r="R787" s="44"/>
      <c r="S787" s="44"/>
      <c r="T787" s="43"/>
      <c r="U787" s="43" t="str">
        <f t="shared" si="8"/>
        <v>No</v>
      </c>
      <c r="V787" s="25"/>
      <c r="W787" s="25"/>
      <c r="X787" s="25"/>
      <c r="Y787" s="25"/>
      <c r="Z787" s="25"/>
    </row>
    <row r="788" spans="1:26" ht="15.75" customHeight="1" x14ac:dyDescent="0.25">
      <c r="A788" s="25">
        <v>786</v>
      </c>
      <c r="B788" s="37" t="e">
        <f t="shared" ref="B788:D788" si="1585">VLOOKUP($A788,[2]Educación!$A$1:$O$276,B$1,0)</f>
        <v>#N/A</v>
      </c>
      <c r="C788" s="38" t="e">
        <f t="shared" si="1585"/>
        <v>#N/A</v>
      </c>
      <c r="D788" s="39" t="e">
        <f t="shared" si="1585"/>
        <v>#N/A</v>
      </c>
      <c r="E788" s="16" t="e">
        <f t="shared" si="1"/>
        <v>#N/A</v>
      </c>
      <c r="F788" s="16" t="e">
        <f t="shared" ref="F788:K788" si="1586">VLOOKUP($A788,[2]Educación!$A$1:$O$276,F$1,0)</f>
        <v>#N/A</v>
      </c>
      <c r="G788" s="39" t="e">
        <f t="shared" si="1586"/>
        <v>#N/A</v>
      </c>
      <c r="H788" s="16" t="e">
        <f t="shared" si="1586"/>
        <v>#N/A</v>
      </c>
      <c r="I788" s="16" t="e">
        <f t="shared" si="1586"/>
        <v>#N/A</v>
      </c>
      <c r="J788" s="40" t="e">
        <f t="shared" si="1586"/>
        <v>#N/A</v>
      </c>
      <c r="K788" s="16" t="e">
        <f t="shared" si="1586"/>
        <v>#N/A</v>
      </c>
      <c r="L788" s="40" t="e">
        <f t="shared" si="1213"/>
        <v>#N/A</v>
      </c>
      <c r="M788" s="16" t="e">
        <f t="shared" si="1214"/>
        <v>#N/A</v>
      </c>
      <c r="N788" s="16" t="e">
        <f t="shared" si="1215"/>
        <v>#N/A</v>
      </c>
      <c r="O788" s="16" t="s">
        <v>66</v>
      </c>
      <c r="P788" s="16" t="str">
        <f t="shared" si="6"/>
        <v/>
      </c>
      <c r="Q788" s="41" t="e">
        <f t="shared" si="1216"/>
        <v>#N/A</v>
      </c>
      <c r="R788" s="44"/>
      <c r="S788" s="44"/>
      <c r="T788" s="43"/>
      <c r="U788" s="43" t="str">
        <f t="shared" si="8"/>
        <v>No</v>
      </c>
      <c r="V788" s="25"/>
      <c r="W788" s="25"/>
      <c r="X788" s="25"/>
      <c r="Y788" s="25"/>
      <c r="Z788" s="25"/>
    </row>
    <row r="789" spans="1:26" ht="15.75" customHeight="1" x14ac:dyDescent="0.25">
      <c r="A789" s="25">
        <v>787</v>
      </c>
      <c r="B789" s="37" t="e">
        <f t="shared" ref="B789:D789" si="1587">VLOOKUP($A789,[2]Educación!$A$1:$O$276,B$1,0)</f>
        <v>#N/A</v>
      </c>
      <c r="C789" s="38" t="e">
        <f t="shared" si="1587"/>
        <v>#N/A</v>
      </c>
      <c r="D789" s="39" t="e">
        <f t="shared" si="1587"/>
        <v>#N/A</v>
      </c>
      <c r="E789" s="16" t="e">
        <f t="shared" si="1"/>
        <v>#N/A</v>
      </c>
      <c r="F789" s="16" t="e">
        <f t="shared" ref="F789:K789" si="1588">VLOOKUP($A789,[2]Educación!$A$1:$O$276,F$1,0)</f>
        <v>#N/A</v>
      </c>
      <c r="G789" s="39" t="e">
        <f t="shared" si="1588"/>
        <v>#N/A</v>
      </c>
      <c r="H789" s="16" t="e">
        <f t="shared" si="1588"/>
        <v>#N/A</v>
      </c>
      <c r="I789" s="16" t="e">
        <f t="shared" si="1588"/>
        <v>#N/A</v>
      </c>
      <c r="J789" s="40" t="e">
        <f t="shared" si="1588"/>
        <v>#N/A</v>
      </c>
      <c r="K789" s="16" t="e">
        <f t="shared" si="1588"/>
        <v>#N/A</v>
      </c>
      <c r="L789" s="40" t="e">
        <f t="shared" si="1213"/>
        <v>#N/A</v>
      </c>
      <c r="M789" s="16" t="e">
        <f t="shared" si="1214"/>
        <v>#N/A</v>
      </c>
      <c r="N789" s="16" t="e">
        <f t="shared" si="1215"/>
        <v>#N/A</v>
      </c>
      <c r="O789" s="16" t="s">
        <v>66</v>
      </c>
      <c r="P789" s="16" t="str">
        <f t="shared" si="6"/>
        <v/>
      </c>
      <c r="Q789" s="41" t="e">
        <f t="shared" si="1216"/>
        <v>#N/A</v>
      </c>
      <c r="R789" s="44"/>
      <c r="S789" s="44"/>
      <c r="T789" s="43"/>
      <c r="U789" s="43" t="str">
        <f t="shared" si="8"/>
        <v>No</v>
      </c>
      <c r="V789" s="25"/>
      <c r="W789" s="25"/>
      <c r="X789" s="25"/>
      <c r="Y789" s="25"/>
      <c r="Z789" s="25"/>
    </row>
    <row r="790" spans="1:26" ht="15.75" customHeight="1" x14ac:dyDescent="0.25">
      <c r="A790" s="25">
        <v>788</v>
      </c>
      <c r="B790" s="37" t="e">
        <f t="shared" ref="B790:D790" si="1589">VLOOKUP($A790,[2]Educación!$A$1:$O$276,B$1,0)</f>
        <v>#N/A</v>
      </c>
      <c r="C790" s="38" t="e">
        <f t="shared" si="1589"/>
        <v>#N/A</v>
      </c>
      <c r="D790" s="39" t="e">
        <f t="shared" si="1589"/>
        <v>#N/A</v>
      </c>
      <c r="E790" s="16" t="e">
        <f t="shared" si="1"/>
        <v>#N/A</v>
      </c>
      <c r="F790" s="16" t="e">
        <f t="shared" ref="F790:K790" si="1590">VLOOKUP($A790,[2]Educación!$A$1:$O$276,F$1,0)</f>
        <v>#N/A</v>
      </c>
      <c r="G790" s="39" t="e">
        <f t="shared" si="1590"/>
        <v>#N/A</v>
      </c>
      <c r="H790" s="16" t="e">
        <f t="shared" si="1590"/>
        <v>#N/A</v>
      </c>
      <c r="I790" s="16" t="e">
        <f t="shared" si="1590"/>
        <v>#N/A</v>
      </c>
      <c r="J790" s="40" t="e">
        <f t="shared" si="1590"/>
        <v>#N/A</v>
      </c>
      <c r="K790" s="16" t="e">
        <f t="shared" si="1590"/>
        <v>#N/A</v>
      </c>
      <c r="L790" s="40" t="e">
        <f t="shared" si="1213"/>
        <v>#N/A</v>
      </c>
      <c r="M790" s="16" t="e">
        <f t="shared" si="1214"/>
        <v>#N/A</v>
      </c>
      <c r="N790" s="16" t="e">
        <f t="shared" si="1215"/>
        <v>#N/A</v>
      </c>
      <c r="O790" s="16" t="s">
        <v>66</v>
      </c>
      <c r="P790" s="16" t="str">
        <f t="shared" si="6"/>
        <v/>
      </c>
      <c r="Q790" s="41" t="e">
        <f t="shared" si="1216"/>
        <v>#N/A</v>
      </c>
      <c r="R790" s="44"/>
      <c r="S790" s="44"/>
      <c r="T790" s="43"/>
      <c r="U790" s="43" t="str">
        <f t="shared" si="8"/>
        <v>No</v>
      </c>
      <c r="V790" s="25"/>
      <c r="W790" s="25"/>
      <c r="X790" s="25"/>
      <c r="Y790" s="25"/>
      <c r="Z790" s="25"/>
    </row>
    <row r="791" spans="1:26" ht="15.75" customHeight="1" x14ac:dyDescent="0.25">
      <c r="A791" s="25">
        <v>789</v>
      </c>
      <c r="B791" s="37" t="e">
        <f t="shared" ref="B791:D791" si="1591">VLOOKUP($A791,[2]Educación!$A$1:$O$276,B$1,0)</f>
        <v>#N/A</v>
      </c>
      <c r="C791" s="38" t="e">
        <f t="shared" si="1591"/>
        <v>#N/A</v>
      </c>
      <c r="D791" s="39" t="e">
        <f t="shared" si="1591"/>
        <v>#N/A</v>
      </c>
      <c r="E791" s="16" t="e">
        <f t="shared" si="1"/>
        <v>#N/A</v>
      </c>
      <c r="F791" s="16" t="e">
        <f t="shared" ref="F791:K791" si="1592">VLOOKUP($A791,[2]Educación!$A$1:$O$276,F$1,0)</f>
        <v>#N/A</v>
      </c>
      <c r="G791" s="39" t="e">
        <f t="shared" si="1592"/>
        <v>#N/A</v>
      </c>
      <c r="H791" s="16" t="e">
        <f t="shared" si="1592"/>
        <v>#N/A</v>
      </c>
      <c r="I791" s="16" t="e">
        <f t="shared" si="1592"/>
        <v>#N/A</v>
      </c>
      <c r="J791" s="40" t="e">
        <f t="shared" si="1592"/>
        <v>#N/A</v>
      </c>
      <c r="K791" s="16" t="e">
        <f t="shared" si="1592"/>
        <v>#N/A</v>
      </c>
      <c r="L791" s="40" t="e">
        <f t="shared" si="1213"/>
        <v>#N/A</v>
      </c>
      <c r="M791" s="16" t="e">
        <f t="shared" si="1214"/>
        <v>#N/A</v>
      </c>
      <c r="N791" s="16" t="e">
        <f t="shared" si="1215"/>
        <v>#N/A</v>
      </c>
      <c r="O791" s="16" t="s">
        <v>66</v>
      </c>
      <c r="P791" s="16" t="str">
        <f t="shared" si="6"/>
        <v/>
      </c>
      <c r="Q791" s="41" t="e">
        <f t="shared" si="1216"/>
        <v>#N/A</v>
      </c>
      <c r="R791" s="44"/>
      <c r="S791" s="44"/>
      <c r="T791" s="43"/>
      <c r="U791" s="43" t="str">
        <f t="shared" si="8"/>
        <v>No</v>
      </c>
      <c r="V791" s="25"/>
      <c r="W791" s="25"/>
      <c r="X791" s="25"/>
      <c r="Y791" s="25"/>
      <c r="Z791" s="25"/>
    </row>
    <row r="792" spans="1:26" ht="15.75" customHeight="1" x14ac:dyDescent="0.25">
      <c r="A792" s="25">
        <v>790</v>
      </c>
      <c r="B792" s="37" t="e">
        <f t="shared" ref="B792:D792" si="1593">VLOOKUP($A792,[2]Educación!$A$1:$O$276,B$1,0)</f>
        <v>#N/A</v>
      </c>
      <c r="C792" s="38" t="e">
        <f t="shared" si="1593"/>
        <v>#N/A</v>
      </c>
      <c r="D792" s="39" t="e">
        <f t="shared" si="1593"/>
        <v>#N/A</v>
      </c>
      <c r="E792" s="16" t="e">
        <f t="shared" si="1"/>
        <v>#N/A</v>
      </c>
      <c r="F792" s="16" t="e">
        <f t="shared" ref="F792:K792" si="1594">VLOOKUP($A792,[2]Educación!$A$1:$O$276,F$1,0)</f>
        <v>#N/A</v>
      </c>
      <c r="G792" s="39" t="e">
        <f t="shared" si="1594"/>
        <v>#N/A</v>
      </c>
      <c r="H792" s="16" t="e">
        <f t="shared" si="1594"/>
        <v>#N/A</v>
      </c>
      <c r="I792" s="16" t="e">
        <f t="shared" si="1594"/>
        <v>#N/A</v>
      </c>
      <c r="J792" s="40" t="e">
        <f t="shared" si="1594"/>
        <v>#N/A</v>
      </c>
      <c r="K792" s="16" t="e">
        <f t="shared" si="1594"/>
        <v>#N/A</v>
      </c>
      <c r="L792" s="40" t="e">
        <f t="shared" si="1213"/>
        <v>#N/A</v>
      </c>
      <c r="M792" s="16" t="e">
        <f t="shared" si="1214"/>
        <v>#N/A</v>
      </c>
      <c r="N792" s="16" t="e">
        <f t="shared" si="1215"/>
        <v>#N/A</v>
      </c>
      <c r="O792" s="16" t="s">
        <v>66</v>
      </c>
      <c r="P792" s="16" t="str">
        <f t="shared" si="6"/>
        <v/>
      </c>
      <c r="Q792" s="41" t="e">
        <f t="shared" si="1216"/>
        <v>#N/A</v>
      </c>
      <c r="R792" s="44"/>
      <c r="S792" s="44"/>
      <c r="T792" s="43"/>
      <c r="U792" s="43" t="str">
        <f t="shared" si="8"/>
        <v>No</v>
      </c>
      <c r="V792" s="25"/>
      <c r="W792" s="25"/>
      <c r="X792" s="25"/>
      <c r="Y792" s="25"/>
      <c r="Z792" s="25"/>
    </row>
    <row r="793" spans="1:26" ht="15.75" customHeight="1" x14ac:dyDescent="0.25">
      <c r="A793" s="25">
        <v>791</v>
      </c>
      <c r="B793" s="37" t="e">
        <f t="shared" ref="B793:D793" si="1595">VLOOKUP($A793,[2]Educación!$A$1:$O$276,B$1,0)</f>
        <v>#N/A</v>
      </c>
      <c r="C793" s="38" t="e">
        <f t="shared" si="1595"/>
        <v>#N/A</v>
      </c>
      <c r="D793" s="39" t="e">
        <f t="shared" si="1595"/>
        <v>#N/A</v>
      </c>
      <c r="E793" s="16" t="e">
        <f t="shared" si="1"/>
        <v>#N/A</v>
      </c>
      <c r="F793" s="16" t="e">
        <f t="shared" ref="F793:K793" si="1596">VLOOKUP($A793,[2]Educación!$A$1:$O$276,F$1,0)</f>
        <v>#N/A</v>
      </c>
      <c r="G793" s="39" t="e">
        <f t="shared" si="1596"/>
        <v>#N/A</v>
      </c>
      <c r="H793" s="16" t="e">
        <f t="shared" si="1596"/>
        <v>#N/A</v>
      </c>
      <c r="I793" s="16" t="e">
        <f t="shared" si="1596"/>
        <v>#N/A</v>
      </c>
      <c r="J793" s="40" t="e">
        <f t="shared" si="1596"/>
        <v>#N/A</v>
      </c>
      <c r="K793" s="16" t="e">
        <f t="shared" si="1596"/>
        <v>#N/A</v>
      </c>
      <c r="L793" s="40" t="e">
        <f t="shared" si="1213"/>
        <v>#N/A</v>
      </c>
      <c r="M793" s="16" t="e">
        <f t="shared" si="1214"/>
        <v>#N/A</v>
      </c>
      <c r="N793" s="16" t="e">
        <f t="shared" si="1215"/>
        <v>#N/A</v>
      </c>
      <c r="O793" s="16" t="s">
        <v>66</v>
      </c>
      <c r="P793" s="16" t="str">
        <f t="shared" si="6"/>
        <v/>
      </c>
      <c r="Q793" s="41" t="e">
        <f t="shared" si="1216"/>
        <v>#N/A</v>
      </c>
      <c r="R793" s="44"/>
      <c r="S793" s="44"/>
      <c r="T793" s="43"/>
      <c r="U793" s="43" t="str">
        <f t="shared" si="8"/>
        <v>No</v>
      </c>
      <c r="V793" s="25"/>
      <c r="W793" s="25"/>
      <c r="X793" s="25"/>
      <c r="Y793" s="25"/>
      <c r="Z793" s="25"/>
    </row>
    <row r="794" spans="1:26" ht="15.75" customHeight="1" x14ac:dyDescent="0.25">
      <c r="A794" s="25">
        <v>792</v>
      </c>
      <c r="B794" s="37" t="e">
        <f t="shared" ref="B794:D794" si="1597">VLOOKUP($A794,[2]Educación!$A$1:$O$276,B$1,0)</f>
        <v>#N/A</v>
      </c>
      <c r="C794" s="38" t="e">
        <f t="shared" si="1597"/>
        <v>#N/A</v>
      </c>
      <c r="D794" s="39" t="e">
        <f t="shared" si="1597"/>
        <v>#N/A</v>
      </c>
      <c r="E794" s="16" t="e">
        <f t="shared" si="1"/>
        <v>#N/A</v>
      </c>
      <c r="F794" s="16" t="e">
        <f t="shared" ref="F794:K794" si="1598">VLOOKUP($A794,[2]Educación!$A$1:$O$276,F$1,0)</f>
        <v>#N/A</v>
      </c>
      <c r="G794" s="39" t="e">
        <f t="shared" si="1598"/>
        <v>#N/A</v>
      </c>
      <c r="H794" s="16" t="e">
        <f t="shared" si="1598"/>
        <v>#N/A</v>
      </c>
      <c r="I794" s="16" t="e">
        <f t="shared" si="1598"/>
        <v>#N/A</v>
      </c>
      <c r="J794" s="40" t="e">
        <f t="shared" si="1598"/>
        <v>#N/A</v>
      </c>
      <c r="K794" s="16" t="e">
        <f t="shared" si="1598"/>
        <v>#N/A</v>
      </c>
      <c r="L794" s="40" t="e">
        <f t="shared" si="1213"/>
        <v>#N/A</v>
      </c>
      <c r="M794" s="16" t="e">
        <f t="shared" si="1214"/>
        <v>#N/A</v>
      </c>
      <c r="N794" s="16" t="e">
        <f t="shared" si="1215"/>
        <v>#N/A</v>
      </c>
      <c r="O794" s="16" t="s">
        <v>66</v>
      </c>
      <c r="P794" s="16" t="str">
        <f t="shared" si="6"/>
        <v/>
      </c>
      <c r="Q794" s="41" t="e">
        <f t="shared" si="1216"/>
        <v>#N/A</v>
      </c>
      <c r="R794" s="44"/>
      <c r="S794" s="44"/>
      <c r="T794" s="43"/>
      <c r="U794" s="43" t="str">
        <f t="shared" si="8"/>
        <v>No</v>
      </c>
      <c r="V794" s="25"/>
      <c r="W794" s="25"/>
      <c r="X794" s="25"/>
      <c r="Y794" s="25"/>
      <c r="Z794" s="25"/>
    </row>
    <row r="795" spans="1:26" ht="15.75" customHeight="1" x14ac:dyDescent="0.25">
      <c r="A795" s="25">
        <v>793</v>
      </c>
      <c r="B795" s="37" t="e">
        <f t="shared" ref="B795:D795" si="1599">VLOOKUP($A795,[2]Educación!$A$1:$O$276,B$1,0)</f>
        <v>#N/A</v>
      </c>
      <c r="C795" s="38" t="e">
        <f t="shared" si="1599"/>
        <v>#N/A</v>
      </c>
      <c r="D795" s="39" t="e">
        <f t="shared" si="1599"/>
        <v>#N/A</v>
      </c>
      <c r="E795" s="16" t="e">
        <f t="shared" si="1"/>
        <v>#N/A</v>
      </c>
      <c r="F795" s="16" t="e">
        <f t="shared" ref="F795:K795" si="1600">VLOOKUP($A795,[2]Educación!$A$1:$O$276,F$1,0)</f>
        <v>#N/A</v>
      </c>
      <c r="G795" s="39" t="e">
        <f t="shared" si="1600"/>
        <v>#N/A</v>
      </c>
      <c r="H795" s="16" t="e">
        <f t="shared" si="1600"/>
        <v>#N/A</v>
      </c>
      <c r="I795" s="16" t="e">
        <f t="shared" si="1600"/>
        <v>#N/A</v>
      </c>
      <c r="J795" s="40" t="e">
        <f t="shared" si="1600"/>
        <v>#N/A</v>
      </c>
      <c r="K795" s="16" t="e">
        <f t="shared" si="1600"/>
        <v>#N/A</v>
      </c>
      <c r="L795" s="40" t="e">
        <f t="shared" si="1213"/>
        <v>#N/A</v>
      </c>
      <c r="M795" s="16" t="e">
        <f t="shared" si="1214"/>
        <v>#N/A</v>
      </c>
      <c r="N795" s="16" t="e">
        <f t="shared" si="1215"/>
        <v>#N/A</v>
      </c>
      <c r="O795" s="16" t="s">
        <v>66</v>
      </c>
      <c r="P795" s="16" t="str">
        <f t="shared" si="6"/>
        <v/>
      </c>
      <c r="Q795" s="41" t="e">
        <f t="shared" si="1216"/>
        <v>#N/A</v>
      </c>
      <c r="R795" s="44"/>
      <c r="S795" s="44"/>
      <c r="T795" s="43"/>
      <c r="U795" s="43" t="str">
        <f t="shared" si="8"/>
        <v>No</v>
      </c>
      <c r="V795" s="25"/>
      <c r="W795" s="25"/>
      <c r="X795" s="25"/>
      <c r="Y795" s="25"/>
      <c r="Z795" s="25"/>
    </row>
    <row r="796" spans="1:26" ht="15.75" customHeight="1" x14ac:dyDescent="0.25">
      <c r="A796" s="25">
        <v>794</v>
      </c>
      <c r="B796" s="37" t="e">
        <f t="shared" ref="B796:D796" si="1601">VLOOKUP($A796,[2]Educación!$A$1:$O$276,B$1,0)</f>
        <v>#N/A</v>
      </c>
      <c r="C796" s="38" t="e">
        <f t="shared" si="1601"/>
        <v>#N/A</v>
      </c>
      <c r="D796" s="39" t="e">
        <f t="shared" si="1601"/>
        <v>#N/A</v>
      </c>
      <c r="E796" s="16" t="e">
        <f t="shared" si="1"/>
        <v>#N/A</v>
      </c>
      <c r="F796" s="16" t="e">
        <f t="shared" ref="F796:K796" si="1602">VLOOKUP($A796,[2]Educación!$A$1:$O$276,F$1,0)</f>
        <v>#N/A</v>
      </c>
      <c r="G796" s="39" t="e">
        <f t="shared" si="1602"/>
        <v>#N/A</v>
      </c>
      <c r="H796" s="16" t="e">
        <f t="shared" si="1602"/>
        <v>#N/A</v>
      </c>
      <c r="I796" s="16" t="e">
        <f t="shared" si="1602"/>
        <v>#N/A</v>
      </c>
      <c r="J796" s="40" t="e">
        <f t="shared" si="1602"/>
        <v>#N/A</v>
      </c>
      <c r="K796" s="16" t="e">
        <f t="shared" si="1602"/>
        <v>#N/A</v>
      </c>
      <c r="L796" s="40" t="e">
        <f t="shared" si="1213"/>
        <v>#N/A</v>
      </c>
      <c r="M796" s="16" t="e">
        <f t="shared" si="1214"/>
        <v>#N/A</v>
      </c>
      <c r="N796" s="16" t="e">
        <f t="shared" si="1215"/>
        <v>#N/A</v>
      </c>
      <c r="O796" s="16" t="s">
        <v>66</v>
      </c>
      <c r="P796" s="16" t="str">
        <f t="shared" si="6"/>
        <v/>
      </c>
      <c r="Q796" s="41" t="e">
        <f t="shared" si="1216"/>
        <v>#N/A</v>
      </c>
      <c r="R796" s="44"/>
      <c r="S796" s="44"/>
      <c r="T796" s="43"/>
      <c r="U796" s="43" t="str">
        <f t="shared" si="8"/>
        <v>No</v>
      </c>
      <c r="V796" s="25"/>
      <c r="W796" s="25"/>
      <c r="X796" s="25"/>
      <c r="Y796" s="25"/>
      <c r="Z796" s="25"/>
    </row>
    <row r="797" spans="1:26" ht="15.75" customHeight="1" x14ac:dyDescent="0.25">
      <c r="A797" s="25">
        <v>795</v>
      </c>
      <c r="B797" s="37" t="e">
        <f t="shared" ref="B797:D797" si="1603">VLOOKUP($A797,[2]Educación!$A$1:$O$276,B$1,0)</f>
        <v>#N/A</v>
      </c>
      <c r="C797" s="38" t="e">
        <f t="shared" si="1603"/>
        <v>#N/A</v>
      </c>
      <c r="D797" s="39" t="e">
        <f t="shared" si="1603"/>
        <v>#N/A</v>
      </c>
      <c r="E797" s="16" t="e">
        <f t="shared" si="1"/>
        <v>#N/A</v>
      </c>
      <c r="F797" s="16" t="e">
        <f t="shared" ref="F797:K797" si="1604">VLOOKUP($A797,[2]Educación!$A$1:$O$276,F$1,0)</f>
        <v>#N/A</v>
      </c>
      <c r="G797" s="39" t="e">
        <f t="shared" si="1604"/>
        <v>#N/A</v>
      </c>
      <c r="H797" s="16" t="e">
        <f t="shared" si="1604"/>
        <v>#N/A</v>
      </c>
      <c r="I797" s="16" t="e">
        <f t="shared" si="1604"/>
        <v>#N/A</v>
      </c>
      <c r="J797" s="40" t="e">
        <f t="shared" si="1604"/>
        <v>#N/A</v>
      </c>
      <c r="K797" s="16" t="e">
        <f t="shared" si="1604"/>
        <v>#N/A</v>
      </c>
      <c r="L797" s="40" t="e">
        <f t="shared" si="1213"/>
        <v>#N/A</v>
      </c>
      <c r="M797" s="16" t="e">
        <f t="shared" si="1214"/>
        <v>#N/A</v>
      </c>
      <c r="N797" s="16" t="e">
        <f t="shared" si="1215"/>
        <v>#N/A</v>
      </c>
      <c r="O797" s="16" t="s">
        <v>66</v>
      </c>
      <c r="P797" s="16" t="str">
        <f t="shared" si="6"/>
        <v/>
      </c>
      <c r="Q797" s="41" t="e">
        <f t="shared" si="1216"/>
        <v>#N/A</v>
      </c>
      <c r="R797" s="44"/>
      <c r="S797" s="44"/>
      <c r="T797" s="43"/>
      <c r="U797" s="43" t="str">
        <f t="shared" si="8"/>
        <v>No</v>
      </c>
      <c r="V797" s="25"/>
      <c r="W797" s="25"/>
      <c r="X797" s="25"/>
      <c r="Y797" s="25"/>
      <c r="Z797" s="25"/>
    </row>
    <row r="798" spans="1:26" ht="15.75" customHeight="1" x14ac:dyDescent="0.25">
      <c r="A798" s="25">
        <v>796</v>
      </c>
      <c r="B798" s="37" t="e">
        <f t="shared" ref="B798:D798" si="1605">VLOOKUP($A798,[2]Educación!$A$1:$O$276,B$1,0)</f>
        <v>#N/A</v>
      </c>
      <c r="C798" s="38" t="e">
        <f t="shared" si="1605"/>
        <v>#N/A</v>
      </c>
      <c r="D798" s="39" t="e">
        <f t="shared" si="1605"/>
        <v>#N/A</v>
      </c>
      <c r="E798" s="16" t="e">
        <f t="shared" si="1"/>
        <v>#N/A</v>
      </c>
      <c r="F798" s="16" t="e">
        <f t="shared" ref="F798:K798" si="1606">VLOOKUP($A798,[2]Educación!$A$1:$O$276,F$1,0)</f>
        <v>#N/A</v>
      </c>
      <c r="G798" s="39" t="e">
        <f t="shared" si="1606"/>
        <v>#N/A</v>
      </c>
      <c r="H798" s="16" t="e">
        <f t="shared" si="1606"/>
        <v>#N/A</v>
      </c>
      <c r="I798" s="16" t="e">
        <f t="shared" si="1606"/>
        <v>#N/A</v>
      </c>
      <c r="J798" s="40" t="e">
        <f t="shared" si="1606"/>
        <v>#N/A</v>
      </c>
      <c r="K798" s="16" t="e">
        <f t="shared" si="1606"/>
        <v>#N/A</v>
      </c>
      <c r="L798" s="40" t="e">
        <f t="shared" si="1213"/>
        <v>#N/A</v>
      </c>
      <c r="M798" s="16" t="e">
        <f t="shared" si="1214"/>
        <v>#N/A</v>
      </c>
      <c r="N798" s="16" t="e">
        <f t="shared" si="1215"/>
        <v>#N/A</v>
      </c>
      <c r="O798" s="16" t="s">
        <v>66</v>
      </c>
      <c r="P798" s="16" t="str">
        <f t="shared" si="6"/>
        <v/>
      </c>
      <c r="Q798" s="41" t="e">
        <f t="shared" si="1216"/>
        <v>#N/A</v>
      </c>
      <c r="R798" s="44"/>
      <c r="S798" s="44"/>
      <c r="T798" s="43"/>
      <c r="U798" s="43" t="str">
        <f t="shared" si="8"/>
        <v>No</v>
      </c>
      <c r="V798" s="25"/>
      <c r="W798" s="25"/>
      <c r="X798" s="25"/>
      <c r="Y798" s="25"/>
      <c r="Z798" s="25"/>
    </row>
    <row r="799" spans="1:26" ht="15.75" customHeight="1" x14ac:dyDescent="0.25">
      <c r="A799" s="25">
        <v>797</v>
      </c>
      <c r="B799" s="37" t="e">
        <f t="shared" ref="B799:D799" si="1607">VLOOKUP($A799,[2]Educación!$A$1:$O$276,B$1,0)</f>
        <v>#N/A</v>
      </c>
      <c r="C799" s="38" t="e">
        <f t="shared" si="1607"/>
        <v>#N/A</v>
      </c>
      <c r="D799" s="39" t="e">
        <f t="shared" si="1607"/>
        <v>#N/A</v>
      </c>
      <c r="E799" s="16" t="e">
        <f t="shared" si="1"/>
        <v>#N/A</v>
      </c>
      <c r="F799" s="16" t="e">
        <f t="shared" ref="F799:K799" si="1608">VLOOKUP($A799,[2]Educación!$A$1:$O$276,F$1,0)</f>
        <v>#N/A</v>
      </c>
      <c r="G799" s="39" t="e">
        <f t="shared" si="1608"/>
        <v>#N/A</v>
      </c>
      <c r="H799" s="16" t="e">
        <f t="shared" si="1608"/>
        <v>#N/A</v>
      </c>
      <c r="I799" s="16" t="e">
        <f t="shared" si="1608"/>
        <v>#N/A</v>
      </c>
      <c r="J799" s="40" t="e">
        <f t="shared" si="1608"/>
        <v>#N/A</v>
      </c>
      <c r="K799" s="16" t="e">
        <f t="shared" si="1608"/>
        <v>#N/A</v>
      </c>
      <c r="L799" s="40" t="e">
        <f t="shared" si="1213"/>
        <v>#N/A</v>
      </c>
      <c r="M799" s="16" t="e">
        <f t="shared" si="1214"/>
        <v>#N/A</v>
      </c>
      <c r="N799" s="16" t="e">
        <f t="shared" si="1215"/>
        <v>#N/A</v>
      </c>
      <c r="O799" s="16" t="s">
        <v>66</v>
      </c>
      <c r="P799" s="16" t="str">
        <f t="shared" si="6"/>
        <v/>
      </c>
      <c r="Q799" s="41" t="e">
        <f t="shared" si="1216"/>
        <v>#N/A</v>
      </c>
      <c r="R799" s="44"/>
      <c r="S799" s="44"/>
      <c r="T799" s="43"/>
      <c r="U799" s="43" t="str">
        <f t="shared" si="8"/>
        <v>No</v>
      </c>
      <c r="V799" s="25"/>
      <c r="W799" s="25"/>
      <c r="X799" s="25"/>
      <c r="Y799" s="25"/>
      <c r="Z799" s="25"/>
    </row>
    <row r="800" spans="1:26" ht="15.75" customHeight="1" x14ac:dyDescent="0.25">
      <c r="A800" s="25">
        <v>798</v>
      </c>
      <c r="B800" s="37" t="e">
        <f t="shared" ref="B800:D800" si="1609">VLOOKUP($A800,[2]Educación!$A$1:$O$276,B$1,0)</f>
        <v>#N/A</v>
      </c>
      <c r="C800" s="38" t="e">
        <f t="shared" si="1609"/>
        <v>#N/A</v>
      </c>
      <c r="D800" s="39" t="e">
        <f t="shared" si="1609"/>
        <v>#N/A</v>
      </c>
      <c r="E800" s="16" t="e">
        <f t="shared" si="1"/>
        <v>#N/A</v>
      </c>
      <c r="F800" s="16" t="e">
        <f t="shared" ref="F800:K800" si="1610">VLOOKUP($A800,[2]Educación!$A$1:$O$276,F$1,0)</f>
        <v>#N/A</v>
      </c>
      <c r="G800" s="39" t="e">
        <f t="shared" si="1610"/>
        <v>#N/A</v>
      </c>
      <c r="H800" s="16" t="e">
        <f t="shared" si="1610"/>
        <v>#N/A</v>
      </c>
      <c r="I800" s="16" t="e">
        <f t="shared" si="1610"/>
        <v>#N/A</v>
      </c>
      <c r="J800" s="40" t="e">
        <f t="shared" si="1610"/>
        <v>#N/A</v>
      </c>
      <c r="K800" s="16" t="e">
        <f t="shared" si="1610"/>
        <v>#N/A</v>
      </c>
      <c r="L800" s="40" t="e">
        <f t="shared" si="1213"/>
        <v>#N/A</v>
      </c>
      <c r="M800" s="16" t="e">
        <f t="shared" si="1214"/>
        <v>#N/A</v>
      </c>
      <c r="N800" s="16" t="e">
        <f t="shared" si="1215"/>
        <v>#N/A</v>
      </c>
      <c r="O800" s="16" t="s">
        <v>66</v>
      </c>
      <c r="P800" s="16" t="str">
        <f t="shared" si="6"/>
        <v/>
      </c>
      <c r="Q800" s="41" t="e">
        <f t="shared" si="1216"/>
        <v>#N/A</v>
      </c>
      <c r="R800" s="44"/>
      <c r="S800" s="44"/>
      <c r="T800" s="43"/>
      <c r="U800" s="43" t="str">
        <f t="shared" si="8"/>
        <v>No</v>
      </c>
      <c r="V800" s="25"/>
      <c r="W800" s="25"/>
      <c r="X800" s="25"/>
      <c r="Y800" s="25"/>
      <c r="Z800" s="25"/>
    </row>
    <row r="801" spans="1:26" ht="15.75" customHeight="1" x14ac:dyDescent="0.25">
      <c r="A801" s="25">
        <v>799</v>
      </c>
      <c r="B801" s="37" t="e">
        <f t="shared" ref="B801:D801" si="1611">VLOOKUP($A801,[2]Educación!$A$1:$O$276,B$1,0)</f>
        <v>#N/A</v>
      </c>
      <c r="C801" s="38" t="e">
        <f t="shared" si="1611"/>
        <v>#N/A</v>
      </c>
      <c r="D801" s="39" t="e">
        <f t="shared" si="1611"/>
        <v>#N/A</v>
      </c>
      <c r="E801" s="16" t="e">
        <f t="shared" si="1"/>
        <v>#N/A</v>
      </c>
      <c r="F801" s="16" t="e">
        <f t="shared" ref="F801:K801" si="1612">VLOOKUP($A801,[2]Educación!$A$1:$O$276,F$1,0)</f>
        <v>#N/A</v>
      </c>
      <c r="G801" s="39" t="e">
        <f t="shared" si="1612"/>
        <v>#N/A</v>
      </c>
      <c r="H801" s="16" t="e">
        <f t="shared" si="1612"/>
        <v>#N/A</v>
      </c>
      <c r="I801" s="16" t="e">
        <f t="shared" si="1612"/>
        <v>#N/A</v>
      </c>
      <c r="J801" s="40" t="e">
        <f t="shared" si="1612"/>
        <v>#N/A</v>
      </c>
      <c r="K801" s="16" t="e">
        <f t="shared" si="1612"/>
        <v>#N/A</v>
      </c>
      <c r="L801" s="40" t="e">
        <f t="shared" si="1213"/>
        <v>#N/A</v>
      </c>
      <c r="M801" s="16" t="e">
        <f t="shared" si="1214"/>
        <v>#N/A</v>
      </c>
      <c r="N801" s="16" t="e">
        <f t="shared" si="1215"/>
        <v>#N/A</v>
      </c>
      <c r="O801" s="16" t="s">
        <v>66</v>
      </c>
      <c r="P801" s="16" t="str">
        <f t="shared" si="6"/>
        <v/>
      </c>
      <c r="Q801" s="41" t="e">
        <f t="shared" si="1216"/>
        <v>#N/A</v>
      </c>
      <c r="R801" s="44"/>
      <c r="S801" s="44"/>
      <c r="T801" s="43"/>
      <c r="U801" s="43" t="str">
        <f t="shared" si="8"/>
        <v>No</v>
      </c>
      <c r="V801" s="25"/>
      <c r="W801" s="25"/>
      <c r="X801" s="25"/>
      <c r="Y801" s="25"/>
      <c r="Z801" s="25"/>
    </row>
    <row r="802" spans="1:26" ht="15.75" customHeight="1" x14ac:dyDescent="0.25">
      <c r="A802" s="25">
        <v>800</v>
      </c>
      <c r="B802" s="37" t="e">
        <f t="shared" ref="B802:D802" si="1613">VLOOKUP($A802,[2]Educación!$A$1:$O$276,B$1,0)</f>
        <v>#N/A</v>
      </c>
      <c r="C802" s="38" t="e">
        <f t="shared" si="1613"/>
        <v>#N/A</v>
      </c>
      <c r="D802" s="39" t="e">
        <f t="shared" si="1613"/>
        <v>#N/A</v>
      </c>
      <c r="E802" s="16" t="e">
        <f t="shared" si="1"/>
        <v>#N/A</v>
      </c>
      <c r="F802" s="16" t="e">
        <f t="shared" ref="F802:K802" si="1614">VLOOKUP($A802,[2]Educación!$A$1:$O$276,F$1,0)</f>
        <v>#N/A</v>
      </c>
      <c r="G802" s="39" t="e">
        <f t="shared" si="1614"/>
        <v>#N/A</v>
      </c>
      <c r="H802" s="16" t="e">
        <f t="shared" si="1614"/>
        <v>#N/A</v>
      </c>
      <c r="I802" s="16" t="e">
        <f t="shared" si="1614"/>
        <v>#N/A</v>
      </c>
      <c r="J802" s="40" t="e">
        <f t="shared" si="1614"/>
        <v>#N/A</v>
      </c>
      <c r="K802" s="16" t="e">
        <f t="shared" si="1614"/>
        <v>#N/A</v>
      </c>
      <c r="L802" s="40" t="e">
        <f t="shared" si="1213"/>
        <v>#N/A</v>
      </c>
      <c r="M802" s="16" t="e">
        <f t="shared" si="1214"/>
        <v>#N/A</v>
      </c>
      <c r="N802" s="16" t="e">
        <f t="shared" si="1215"/>
        <v>#N/A</v>
      </c>
      <c r="O802" s="16" t="s">
        <v>66</v>
      </c>
      <c r="P802" s="16" t="str">
        <f t="shared" si="6"/>
        <v/>
      </c>
      <c r="Q802" s="41" t="e">
        <f t="shared" si="1216"/>
        <v>#N/A</v>
      </c>
      <c r="R802" s="44"/>
      <c r="S802" s="44"/>
      <c r="T802" s="43"/>
      <c r="U802" s="43" t="str">
        <f t="shared" si="8"/>
        <v>No</v>
      </c>
      <c r="V802" s="25"/>
      <c r="W802" s="25"/>
      <c r="X802" s="25"/>
      <c r="Y802" s="25"/>
      <c r="Z802" s="25"/>
    </row>
    <row r="803" spans="1:26" ht="15.75" customHeight="1" x14ac:dyDescent="0.25">
      <c r="A803" s="25">
        <v>801</v>
      </c>
      <c r="B803" s="37" t="e">
        <f t="shared" ref="B803:D803" si="1615">VLOOKUP($A803,[2]Educación!$A$1:$O$276,B$1,0)</f>
        <v>#N/A</v>
      </c>
      <c r="C803" s="38" t="e">
        <f t="shared" si="1615"/>
        <v>#N/A</v>
      </c>
      <c r="D803" s="39" t="e">
        <f t="shared" si="1615"/>
        <v>#N/A</v>
      </c>
      <c r="E803" s="16" t="e">
        <f t="shared" si="1"/>
        <v>#N/A</v>
      </c>
      <c r="F803" s="16" t="e">
        <f t="shared" ref="F803:K803" si="1616">VLOOKUP($A803,[2]Educación!$A$1:$O$276,F$1,0)</f>
        <v>#N/A</v>
      </c>
      <c r="G803" s="39" t="e">
        <f t="shared" si="1616"/>
        <v>#N/A</v>
      </c>
      <c r="H803" s="16" t="e">
        <f t="shared" si="1616"/>
        <v>#N/A</v>
      </c>
      <c r="I803" s="16" t="e">
        <f t="shared" si="1616"/>
        <v>#N/A</v>
      </c>
      <c r="J803" s="40" t="e">
        <f t="shared" si="1616"/>
        <v>#N/A</v>
      </c>
      <c r="K803" s="16" t="e">
        <f t="shared" si="1616"/>
        <v>#N/A</v>
      </c>
      <c r="L803" s="40" t="e">
        <f t="shared" si="1213"/>
        <v>#N/A</v>
      </c>
      <c r="M803" s="16" t="e">
        <f t="shared" si="1214"/>
        <v>#N/A</v>
      </c>
      <c r="N803" s="16" t="e">
        <f t="shared" si="1215"/>
        <v>#N/A</v>
      </c>
      <c r="O803" s="16" t="s">
        <v>66</v>
      </c>
      <c r="P803" s="16" t="str">
        <f t="shared" si="6"/>
        <v/>
      </c>
      <c r="Q803" s="41" t="e">
        <f t="shared" si="1216"/>
        <v>#N/A</v>
      </c>
      <c r="R803" s="44"/>
      <c r="S803" s="44"/>
      <c r="T803" s="43"/>
      <c r="U803" s="43" t="str">
        <f t="shared" si="8"/>
        <v>No</v>
      </c>
      <c r="V803" s="25"/>
      <c r="W803" s="25"/>
      <c r="X803" s="25"/>
      <c r="Y803" s="25"/>
      <c r="Z803" s="25"/>
    </row>
    <row r="804" spans="1:26" ht="15.75" customHeight="1" x14ac:dyDescent="0.25">
      <c r="A804" s="25">
        <v>802</v>
      </c>
      <c r="B804" s="37" t="e">
        <f t="shared" ref="B804:D804" si="1617">VLOOKUP($A804,[2]Educación!$A$1:$O$276,B$1,0)</f>
        <v>#N/A</v>
      </c>
      <c r="C804" s="38" t="e">
        <f t="shared" si="1617"/>
        <v>#N/A</v>
      </c>
      <c r="D804" s="39" t="e">
        <f t="shared" si="1617"/>
        <v>#N/A</v>
      </c>
      <c r="E804" s="16" t="e">
        <f t="shared" si="1"/>
        <v>#N/A</v>
      </c>
      <c r="F804" s="16" t="e">
        <f t="shared" ref="F804:K804" si="1618">VLOOKUP($A804,[2]Educación!$A$1:$O$276,F$1,0)</f>
        <v>#N/A</v>
      </c>
      <c r="G804" s="39" t="e">
        <f t="shared" si="1618"/>
        <v>#N/A</v>
      </c>
      <c r="H804" s="16" t="e">
        <f t="shared" si="1618"/>
        <v>#N/A</v>
      </c>
      <c r="I804" s="16" t="e">
        <f t="shared" si="1618"/>
        <v>#N/A</v>
      </c>
      <c r="J804" s="40" t="e">
        <f t="shared" si="1618"/>
        <v>#N/A</v>
      </c>
      <c r="K804" s="16" t="e">
        <f t="shared" si="1618"/>
        <v>#N/A</v>
      </c>
      <c r="L804" s="40" t="e">
        <f t="shared" si="1213"/>
        <v>#N/A</v>
      </c>
      <c r="M804" s="16" t="e">
        <f t="shared" si="1214"/>
        <v>#N/A</v>
      </c>
      <c r="N804" s="16" t="e">
        <f t="shared" si="1215"/>
        <v>#N/A</v>
      </c>
      <c r="O804" s="16" t="s">
        <v>66</v>
      </c>
      <c r="P804" s="16" t="str">
        <f t="shared" si="6"/>
        <v/>
      </c>
      <c r="Q804" s="41" t="e">
        <f t="shared" si="1216"/>
        <v>#N/A</v>
      </c>
      <c r="R804" s="44"/>
      <c r="S804" s="44"/>
      <c r="T804" s="43"/>
      <c r="U804" s="43" t="str">
        <f t="shared" si="8"/>
        <v>No</v>
      </c>
      <c r="V804" s="25"/>
      <c r="W804" s="25"/>
      <c r="X804" s="25"/>
      <c r="Y804" s="25"/>
      <c r="Z804" s="25"/>
    </row>
    <row r="805" spans="1:26" ht="15.75" customHeight="1" x14ac:dyDescent="0.25">
      <c r="A805" s="25">
        <v>803</v>
      </c>
      <c r="B805" s="37" t="e">
        <f t="shared" ref="B805:D805" si="1619">VLOOKUP($A805,[2]Educación!$A$1:$O$276,B$1,0)</f>
        <v>#N/A</v>
      </c>
      <c r="C805" s="38" t="e">
        <f t="shared" si="1619"/>
        <v>#N/A</v>
      </c>
      <c r="D805" s="39" t="e">
        <f t="shared" si="1619"/>
        <v>#N/A</v>
      </c>
      <c r="E805" s="16" t="e">
        <f t="shared" si="1"/>
        <v>#N/A</v>
      </c>
      <c r="F805" s="16" t="e">
        <f t="shared" ref="F805:K805" si="1620">VLOOKUP($A805,[2]Educación!$A$1:$O$276,F$1,0)</f>
        <v>#N/A</v>
      </c>
      <c r="G805" s="39" t="e">
        <f t="shared" si="1620"/>
        <v>#N/A</v>
      </c>
      <c r="H805" s="16" t="e">
        <f t="shared" si="1620"/>
        <v>#N/A</v>
      </c>
      <c r="I805" s="16" t="e">
        <f t="shared" si="1620"/>
        <v>#N/A</v>
      </c>
      <c r="J805" s="40" t="e">
        <f t="shared" si="1620"/>
        <v>#N/A</v>
      </c>
      <c r="K805" s="16" t="e">
        <f t="shared" si="1620"/>
        <v>#N/A</v>
      </c>
      <c r="L805" s="40" t="e">
        <f t="shared" si="1213"/>
        <v>#N/A</v>
      </c>
      <c r="M805" s="16" t="e">
        <f t="shared" si="1214"/>
        <v>#N/A</v>
      </c>
      <c r="N805" s="16" t="e">
        <f t="shared" si="1215"/>
        <v>#N/A</v>
      </c>
      <c r="O805" s="16" t="s">
        <v>66</v>
      </c>
      <c r="P805" s="16" t="str">
        <f t="shared" si="6"/>
        <v/>
      </c>
      <c r="Q805" s="41" t="e">
        <f t="shared" si="1216"/>
        <v>#N/A</v>
      </c>
      <c r="R805" s="44"/>
      <c r="S805" s="44"/>
      <c r="T805" s="43"/>
      <c r="U805" s="43" t="str">
        <f t="shared" si="8"/>
        <v>No</v>
      </c>
      <c r="V805" s="25"/>
      <c r="W805" s="25"/>
      <c r="X805" s="25"/>
      <c r="Y805" s="25"/>
      <c r="Z805" s="25"/>
    </row>
    <row r="806" spans="1:26" ht="15.75" customHeight="1" x14ac:dyDescent="0.25">
      <c r="A806" s="25">
        <v>804</v>
      </c>
      <c r="B806" s="37" t="e">
        <f t="shared" ref="B806:D806" si="1621">VLOOKUP($A806,[2]Educación!$A$1:$O$276,B$1,0)</f>
        <v>#N/A</v>
      </c>
      <c r="C806" s="38" t="e">
        <f t="shared" si="1621"/>
        <v>#N/A</v>
      </c>
      <c r="D806" s="39" t="e">
        <f t="shared" si="1621"/>
        <v>#N/A</v>
      </c>
      <c r="E806" s="16" t="e">
        <f t="shared" si="1"/>
        <v>#N/A</v>
      </c>
      <c r="F806" s="16" t="e">
        <f t="shared" ref="F806:K806" si="1622">VLOOKUP($A806,[2]Educación!$A$1:$O$276,F$1,0)</f>
        <v>#N/A</v>
      </c>
      <c r="G806" s="39" t="e">
        <f t="shared" si="1622"/>
        <v>#N/A</v>
      </c>
      <c r="H806" s="16" t="e">
        <f t="shared" si="1622"/>
        <v>#N/A</v>
      </c>
      <c r="I806" s="16" t="e">
        <f t="shared" si="1622"/>
        <v>#N/A</v>
      </c>
      <c r="J806" s="40" t="e">
        <f t="shared" si="1622"/>
        <v>#N/A</v>
      </c>
      <c r="K806" s="16" t="e">
        <f t="shared" si="1622"/>
        <v>#N/A</v>
      </c>
      <c r="L806" s="40" t="e">
        <f t="shared" si="1213"/>
        <v>#N/A</v>
      </c>
      <c r="M806" s="16" t="e">
        <f t="shared" si="1214"/>
        <v>#N/A</v>
      </c>
      <c r="N806" s="16" t="e">
        <f t="shared" si="1215"/>
        <v>#N/A</v>
      </c>
      <c r="O806" s="16" t="s">
        <v>66</v>
      </c>
      <c r="P806" s="16" t="str">
        <f t="shared" si="6"/>
        <v/>
      </c>
      <c r="Q806" s="41" t="e">
        <f t="shared" si="1216"/>
        <v>#N/A</v>
      </c>
      <c r="R806" s="44"/>
      <c r="S806" s="44"/>
      <c r="T806" s="43"/>
      <c r="U806" s="43" t="str">
        <f t="shared" si="8"/>
        <v>No</v>
      </c>
      <c r="V806" s="25"/>
      <c r="W806" s="25"/>
      <c r="X806" s="25"/>
      <c r="Y806" s="25"/>
      <c r="Z806" s="25"/>
    </row>
    <row r="807" spans="1:26" ht="15.75" customHeight="1" x14ac:dyDescent="0.25">
      <c r="A807" s="25">
        <v>805</v>
      </c>
      <c r="B807" s="37" t="e">
        <f t="shared" ref="B807:D807" si="1623">VLOOKUP($A807,[2]Educación!$A$1:$O$276,B$1,0)</f>
        <v>#N/A</v>
      </c>
      <c r="C807" s="38" t="e">
        <f t="shared" si="1623"/>
        <v>#N/A</v>
      </c>
      <c r="D807" s="39" t="e">
        <f t="shared" si="1623"/>
        <v>#N/A</v>
      </c>
      <c r="E807" s="16" t="e">
        <f t="shared" si="1"/>
        <v>#N/A</v>
      </c>
      <c r="F807" s="16" t="e">
        <f t="shared" ref="F807:K807" si="1624">VLOOKUP($A807,[2]Educación!$A$1:$O$276,F$1,0)</f>
        <v>#N/A</v>
      </c>
      <c r="G807" s="39" t="e">
        <f t="shared" si="1624"/>
        <v>#N/A</v>
      </c>
      <c r="H807" s="16" t="e">
        <f t="shared" si="1624"/>
        <v>#N/A</v>
      </c>
      <c r="I807" s="16" t="e">
        <f t="shared" si="1624"/>
        <v>#N/A</v>
      </c>
      <c r="J807" s="40" t="e">
        <f t="shared" si="1624"/>
        <v>#N/A</v>
      </c>
      <c r="K807" s="16" t="e">
        <f t="shared" si="1624"/>
        <v>#N/A</v>
      </c>
      <c r="L807" s="40" t="e">
        <f t="shared" si="1213"/>
        <v>#N/A</v>
      </c>
      <c r="M807" s="16" t="e">
        <f t="shared" si="1214"/>
        <v>#N/A</v>
      </c>
      <c r="N807" s="16" t="e">
        <f t="shared" si="1215"/>
        <v>#N/A</v>
      </c>
      <c r="O807" s="16" t="s">
        <v>66</v>
      </c>
      <c r="P807" s="16" t="str">
        <f t="shared" si="6"/>
        <v/>
      </c>
      <c r="Q807" s="41" t="e">
        <f t="shared" si="1216"/>
        <v>#N/A</v>
      </c>
      <c r="R807" s="44"/>
      <c r="S807" s="44"/>
      <c r="T807" s="43"/>
      <c r="U807" s="43" t="str">
        <f t="shared" si="8"/>
        <v>No</v>
      </c>
      <c r="V807" s="25"/>
      <c r="W807" s="25"/>
      <c r="X807" s="25"/>
      <c r="Y807" s="25"/>
      <c r="Z807" s="25"/>
    </row>
    <row r="808" spans="1:26" ht="15.75" customHeight="1" x14ac:dyDescent="0.25">
      <c r="A808" s="25">
        <v>806</v>
      </c>
      <c r="B808" s="37" t="e">
        <f t="shared" ref="B808:D808" si="1625">VLOOKUP($A808,[2]Educación!$A$1:$O$276,B$1,0)</f>
        <v>#N/A</v>
      </c>
      <c r="C808" s="38" t="e">
        <f t="shared" si="1625"/>
        <v>#N/A</v>
      </c>
      <c r="D808" s="39" t="e">
        <f t="shared" si="1625"/>
        <v>#N/A</v>
      </c>
      <c r="E808" s="16" t="e">
        <f t="shared" si="1"/>
        <v>#N/A</v>
      </c>
      <c r="F808" s="16" t="e">
        <f t="shared" ref="F808:K808" si="1626">VLOOKUP($A808,[2]Educación!$A$1:$O$276,F$1,0)</f>
        <v>#N/A</v>
      </c>
      <c r="G808" s="39" t="e">
        <f t="shared" si="1626"/>
        <v>#N/A</v>
      </c>
      <c r="H808" s="16" t="e">
        <f t="shared" si="1626"/>
        <v>#N/A</v>
      </c>
      <c r="I808" s="16" t="e">
        <f t="shared" si="1626"/>
        <v>#N/A</v>
      </c>
      <c r="J808" s="40" t="e">
        <f t="shared" si="1626"/>
        <v>#N/A</v>
      </c>
      <c r="K808" s="16" t="e">
        <f t="shared" si="1626"/>
        <v>#N/A</v>
      </c>
      <c r="L808" s="40" t="e">
        <f t="shared" si="1213"/>
        <v>#N/A</v>
      </c>
      <c r="M808" s="16" t="e">
        <f t="shared" si="1214"/>
        <v>#N/A</v>
      </c>
      <c r="N808" s="16" t="e">
        <f t="shared" si="1215"/>
        <v>#N/A</v>
      </c>
      <c r="O808" s="16" t="s">
        <v>66</v>
      </c>
      <c r="P808" s="16" t="str">
        <f t="shared" si="6"/>
        <v/>
      </c>
      <c r="Q808" s="41" t="e">
        <f t="shared" si="1216"/>
        <v>#N/A</v>
      </c>
      <c r="R808" s="44"/>
      <c r="S808" s="44"/>
      <c r="T808" s="43"/>
      <c r="U808" s="43" t="str">
        <f t="shared" si="8"/>
        <v>No</v>
      </c>
      <c r="V808" s="25"/>
      <c r="W808" s="25"/>
      <c r="X808" s="25"/>
      <c r="Y808" s="25"/>
      <c r="Z808" s="25"/>
    </row>
    <row r="809" spans="1:26" ht="15.75" customHeight="1" x14ac:dyDescent="0.25">
      <c r="A809" s="25">
        <v>807</v>
      </c>
      <c r="B809" s="37" t="e">
        <f t="shared" ref="B809:D809" si="1627">VLOOKUP($A809,[2]Educación!$A$1:$O$276,B$1,0)</f>
        <v>#N/A</v>
      </c>
      <c r="C809" s="38" t="e">
        <f t="shared" si="1627"/>
        <v>#N/A</v>
      </c>
      <c r="D809" s="39" t="e">
        <f t="shared" si="1627"/>
        <v>#N/A</v>
      </c>
      <c r="E809" s="16" t="e">
        <f t="shared" si="1"/>
        <v>#N/A</v>
      </c>
      <c r="F809" s="16" t="e">
        <f t="shared" ref="F809:K809" si="1628">VLOOKUP($A809,[2]Educación!$A$1:$O$276,F$1,0)</f>
        <v>#N/A</v>
      </c>
      <c r="G809" s="39" t="e">
        <f t="shared" si="1628"/>
        <v>#N/A</v>
      </c>
      <c r="H809" s="16" t="e">
        <f t="shared" si="1628"/>
        <v>#N/A</v>
      </c>
      <c r="I809" s="16" t="e">
        <f t="shared" si="1628"/>
        <v>#N/A</v>
      </c>
      <c r="J809" s="40" t="e">
        <f t="shared" si="1628"/>
        <v>#N/A</v>
      </c>
      <c r="K809" s="16" t="e">
        <f t="shared" si="1628"/>
        <v>#N/A</v>
      </c>
      <c r="L809" s="40" t="e">
        <f t="shared" si="1213"/>
        <v>#N/A</v>
      </c>
      <c r="M809" s="16" t="e">
        <f t="shared" si="1214"/>
        <v>#N/A</v>
      </c>
      <c r="N809" s="16" t="e">
        <f t="shared" si="1215"/>
        <v>#N/A</v>
      </c>
      <c r="O809" s="16" t="s">
        <v>66</v>
      </c>
      <c r="P809" s="16" t="str">
        <f t="shared" si="6"/>
        <v/>
      </c>
      <c r="Q809" s="41" t="e">
        <f t="shared" si="1216"/>
        <v>#N/A</v>
      </c>
      <c r="R809" s="44"/>
      <c r="S809" s="44"/>
      <c r="T809" s="43"/>
      <c r="U809" s="43" t="str">
        <f t="shared" si="8"/>
        <v>No</v>
      </c>
      <c r="V809" s="25"/>
      <c r="W809" s="25"/>
      <c r="X809" s="25"/>
      <c r="Y809" s="25"/>
      <c r="Z809" s="25"/>
    </row>
    <row r="810" spans="1:26" ht="15.75" customHeight="1" x14ac:dyDescent="0.25">
      <c r="A810" s="25">
        <v>808</v>
      </c>
      <c r="B810" s="37" t="e">
        <f t="shared" ref="B810:D810" si="1629">VLOOKUP($A810,[2]Educación!$A$1:$O$276,B$1,0)</f>
        <v>#N/A</v>
      </c>
      <c r="C810" s="38" t="e">
        <f t="shared" si="1629"/>
        <v>#N/A</v>
      </c>
      <c r="D810" s="39" t="e">
        <f t="shared" si="1629"/>
        <v>#N/A</v>
      </c>
      <c r="E810" s="16" t="e">
        <f t="shared" si="1"/>
        <v>#N/A</v>
      </c>
      <c r="F810" s="16" t="e">
        <f t="shared" ref="F810:K810" si="1630">VLOOKUP($A810,[2]Educación!$A$1:$O$276,F$1,0)</f>
        <v>#N/A</v>
      </c>
      <c r="G810" s="39" t="e">
        <f t="shared" si="1630"/>
        <v>#N/A</v>
      </c>
      <c r="H810" s="16" t="e">
        <f t="shared" si="1630"/>
        <v>#N/A</v>
      </c>
      <c r="I810" s="16" t="e">
        <f t="shared" si="1630"/>
        <v>#N/A</v>
      </c>
      <c r="J810" s="40" t="e">
        <f t="shared" si="1630"/>
        <v>#N/A</v>
      </c>
      <c r="K810" s="16" t="e">
        <f t="shared" si="1630"/>
        <v>#N/A</v>
      </c>
      <c r="L810" s="40" t="e">
        <f t="shared" si="1213"/>
        <v>#N/A</v>
      </c>
      <c r="M810" s="16" t="e">
        <f t="shared" si="1214"/>
        <v>#N/A</v>
      </c>
      <c r="N810" s="16" t="e">
        <f t="shared" si="1215"/>
        <v>#N/A</v>
      </c>
      <c r="O810" s="16" t="s">
        <v>66</v>
      </c>
      <c r="P810" s="16" t="str">
        <f t="shared" si="6"/>
        <v/>
      </c>
      <c r="Q810" s="41" t="e">
        <f t="shared" si="1216"/>
        <v>#N/A</v>
      </c>
      <c r="R810" s="44"/>
      <c r="S810" s="44"/>
      <c r="T810" s="43"/>
      <c r="U810" s="43" t="str">
        <f t="shared" si="8"/>
        <v>No</v>
      </c>
      <c r="V810" s="25"/>
      <c r="W810" s="25"/>
      <c r="X810" s="25"/>
      <c r="Y810" s="25"/>
      <c r="Z810" s="25"/>
    </row>
    <row r="811" spans="1:26" ht="15.75" customHeight="1" x14ac:dyDescent="0.25">
      <c r="A811" s="25">
        <v>809</v>
      </c>
      <c r="B811" s="37" t="e">
        <f t="shared" ref="B811:D811" si="1631">VLOOKUP($A811,[2]Educación!$A$1:$O$276,B$1,0)</f>
        <v>#N/A</v>
      </c>
      <c r="C811" s="38" t="e">
        <f t="shared" si="1631"/>
        <v>#N/A</v>
      </c>
      <c r="D811" s="39" t="e">
        <f t="shared" si="1631"/>
        <v>#N/A</v>
      </c>
      <c r="E811" s="16" t="e">
        <f t="shared" si="1"/>
        <v>#N/A</v>
      </c>
      <c r="F811" s="16" t="e">
        <f t="shared" ref="F811:K811" si="1632">VLOOKUP($A811,[2]Educación!$A$1:$O$276,F$1,0)</f>
        <v>#N/A</v>
      </c>
      <c r="G811" s="39" t="e">
        <f t="shared" si="1632"/>
        <v>#N/A</v>
      </c>
      <c r="H811" s="16" t="e">
        <f t="shared" si="1632"/>
        <v>#N/A</v>
      </c>
      <c r="I811" s="16" t="e">
        <f t="shared" si="1632"/>
        <v>#N/A</v>
      </c>
      <c r="J811" s="40" t="e">
        <f t="shared" si="1632"/>
        <v>#N/A</v>
      </c>
      <c r="K811" s="16" t="e">
        <f t="shared" si="1632"/>
        <v>#N/A</v>
      </c>
      <c r="L811" s="40" t="e">
        <f t="shared" si="1213"/>
        <v>#N/A</v>
      </c>
      <c r="M811" s="16" t="e">
        <f t="shared" si="1214"/>
        <v>#N/A</v>
      </c>
      <c r="N811" s="16" t="e">
        <f t="shared" si="1215"/>
        <v>#N/A</v>
      </c>
      <c r="O811" s="16" t="s">
        <v>66</v>
      </c>
      <c r="P811" s="16" t="str">
        <f t="shared" si="6"/>
        <v/>
      </c>
      <c r="Q811" s="41" t="e">
        <f t="shared" si="1216"/>
        <v>#N/A</v>
      </c>
      <c r="R811" s="44"/>
      <c r="S811" s="44"/>
      <c r="T811" s="43"/>
      <c r="U811" s="43" t="str">
        <f t="shared" si="8"/>
        <v>No</v>
      </c>
      <c r="V811" s="25"/>
      <c r="W811" s="25"/>
      <c r="X811" s="25"/>
      <c r="Y811" s="25"/>
      <c r="Z811" s="25"/>
    </row>
    <row r="812" spans="1:26" ht="15.75" customHeight="1" x14ac:dyDescent="0.25">
      <c r="A812" s="25">
        <v>810</v>
      </c>
      <c r="B812" s="37" t="e">
        <f t="shared" ref="B812:D812" si="1633">VLOOKUP($A812,[2]Educación!$A$1:$O$276,B$1,0)</f>
        <v>#N/A</v>
      </c>
      <c r="C812" s="38" t="e">
        <f t="shared" si="1633"/>
        <v>#N/A</v>
      </c>
      <c r="D812" s="39" t="e">
        <f t="shared" si="1633"/>
        <v>#N/A</v>
      </c>
      <c r="E812" s="16" t="e">
        <f t="shared" si="1"/>
        <v>#N/A</v>
      </c>
      <c r="F812" s="16" t="e">
        <f t="shared" ref="F812:K812" si="1634">VLOOKUP($A812,[2]Educación!$A$1:$O$276,F$1,0)</f>
        <v>#N/A</v>
      </c>
      <c r="G812" s="39" t="e">
        <f t="shared" si="1634"/>
        <v>#N/A</v>
      </c>
      <c r="H812" s="16" t="e">
        <f t="shared" si="1634"/>
        <v>#N/A</v>
      </c>
      <c r="I812" s="16" t="e">
        <f t="shared" si="1634"/>
        <v>#N/A</v>
      </c>
      <c r="J812" s="40" t="e">
        <f t="shared" si="1634"/>
        <v>#N/A</v>
      </c>
      <c r="K812" s="16" t="e">
        <f t="shared" si="1634"/>
        <v>#N/A</v>
      </c>
      <c r="L812" s="40" t="e">
        <f t="shared" si="1213"/>
        <v>#N/A</v>
      </c>
      <c r="M812" s="16" t="e">
        <f t="shared" si="1214"/>
        <v>#N/A</v>
      </c>
      <c r="N812" s="16" t="e">
        <f t="shared" si="1215"/>
        <v>#N/A</v>
      </c>
      <c r="O812" s="16" t="s">
        <v>66</v>
      </c>
      <c r="P812" s="16" t="str">
        <f t="shared" si="6"/>
        <v/>
      </c>
      <c r="Q812" s="41" t="e">
        <f t="shared" si="1216"/>
        <v>#N/A</v>
      </c>
      <c r="R812" s="44"/>
      <c r="S812" s="44"/>
      <c r="T812" s="43"/>
      <c r="U812" s="43" t="str">
        <f t="shared" si="8"/>
        <v>No</v>
      </c>
      <c r="V812" s="25"/>
      <c r="W812" s="25"/>
      <c r="X812" s="25"/>
      <c r="Y812" s="25"/>
      <c r="Z812" s="25"/>
    </row>
    <row r="813" spans="1:26" ht="15.75" customHeight="1" x14ac:dyDescent="0.25">
      <c r="A813" s="25">
        <v>811</v>
      </c>
      <c r="B813" s="37" t="e">
        <f t="shared" ref="B813:D813" si="1635">VLOOKUP($A813,[2]Educación!$A$1:$O$276,B$1,0)</f>
        <v>#N/A</v>
      </c>
      <c r="C813" s="38" t="e">
        <f t="shared" si="1635"/>
        <v>#N/A</v>
      </c>
      <c r="D813" s="39" t="e">
        <f t="shared" si="1635"/>
        <v>#N/A</v>
      </c>
      <c r="E813" s="16" t="e">
        <f t="shared" si="1"/>
        <v>#N/A</v>
      </c>
      <c r="F813" s="16" t="e">
        <f t="shared" ref="F813:K813" si="1636">VLOOKUP($A813,[2]Educación!$A$1:$O$276,F$1,0)</f>
        <v>#N/A</v>
      </c>
      <c r="G813" s="39" t="e">
        <f t="shared" si="1636"/>
        <v>#N/A</v>
      </c>
      <c r="H813" s="16" t="e">
        <f t="shared" si="1636"/>
        <v>#N/A</v>
      </c>
      <c r="I813" s="16" t="e">
        <f t="shared" si="1636"/>
        <v>#N/A</v>
      </c>
      <c r="J813" s="40" t="e">
        <f t="shared" si="1636"/>
        <v>#N/A</v>
      </c>
      <c r="K813" s="16" t="e">
        <f t="shared" si="1636"/>
        <v>#N/A</v>
      </c>
      <c r="L813" s="40" t="e">
        <f t="shared" si="1213"/>
        <v>#N/A</v>
      </c>
      <c r="M813" s="16" t="e">
        <f t="shared" si="1214"/>
        <v>#N/A</v>
      </c>
      <c r="N813" s="16" t="e">
        <f t="shared" si="1215"/>
        <v>#N/A</v>
      </c>
      <c r="O813" s="16" t="s">
        <v>66</v>
      </c>
      <c r="P813" s="16" t="str">
        <f t="shared" si="6"/>
        <v/>
      </c>
      <c r="Q813" s="41" t="e">
        <f t="shared" si="1216"/>
        <v>#N/A</v>
      </c>
      <c r="R813" s="44"/>
      <c r="S813" s="44"/>
      <c r="T813" s="43"/>
      <c r="U813" s="43" t="str">
        <f t="shared" si="8"/>
        <v>No</v>
      </c>
      <c r="V813" s="25"/>
      <c r="W813" s="25"/>
      <c r="X813" s="25"/>
      <c r="Y813" s="25"/>
      <c r="Z813" s="25"/>
    </row>
    <row r="814" spans="1:26" ht="15.75" customHeight="1" x14ac:dyDescent="0.25">
      <c r="A814" s="25">
        <v>812</v>
      </c>
      <c r="B814" s="37" t="e">
        <f t="shared" ref="B814:D814" si="1637">VLOOKUP($A814,[2]Educación!$A$1:$O$276,B$1,0)</f>
        <v>#N/A</v>
      </c>
      <c r="C814" s="38" t="e">
        <f t="shared" si="1637"/>
        <v>#N/A</v>
      </c>
      <c r="D814" s="39" t="e">
        <f t="shared" si="1637"/>
        <v>#N/A</v>
      </c>
      <c r="E814" s="16" t="e">
        <f t="shared" si="1"/>
        <v>#N/A</v>
      </c>
      <c r="F814" s="16" t="e">
        <f t="shared" ref="F814:K814" si="1638">VLOOKUP($A814,[2]Educación!$A$1:$O$276,F$1,0)</f>
        <v>#N/A</v>
      </c>
      <c r="G814" s="39" t="e">
        <f t="shared" si="1638"/>
        <v>#N/A</v>
      </c>
      <c r="H814" s="16" t="e">
        <f t="shared" si="1638"/>
        <v>#N/A</v>
      </c>
      <c r="I814" s="16" t="e">
        <f t="shared" si="1638"/>
        <v>#N/A</v>
      </c>
      <c r="J814" s="40" t="e">
        <f t="shared" si="1638"/>
        <v>#N/A</v>
      </c>
      <c r="K814" s="16" t="e">
        <f t="shared" si="1638"/>
        <v>#N/A</v>
      </c>
      <c r="L814" s="40" t="e">
        <f t="shared" si="1213"/>
        <v>#N/A</v>
      </c>
      <c r="M814" s="16" t="e">
        <f t="shared" si="1214"/>
        <v>#N/A</v>
      </c>
      <c r="N814" s="16" t="e">
        <f t="shared" si="1215"/>
        <v>#N/A</v>
      </c>
      <c r="O814" s="16" t="s">
        <v>66</v>
      </c>
      <c r="P814" s="16" t="str">
        <f t="shared" si="6"/>
        <v/>
      </c>
      <c r="Q814" s="41" t="e">
        <f t="shared" si="1216"/>
        <v>#N/A</v>
      </c>
      <c r="R814" s="44"/>
      <c r="S814" s="44"/>
      <c r="T814" s="43"/>
      <c r="U814" s="43" t="str">
        <f t="shared" si="8"/>
        <v>No</v>
      </c>
      <c r="V814" s="25"/>
      <c r="W814" s="25"/>
      <c r="X814" s="25"/>
      <c r="Y814" s="25"/>
      <c r="Z814" s="25"/>
    </row>
    <row r="815" spans="1:26" ht="15.75" customHeight="1" x14ac:dyDescent="0.25">
      <c r="A815" s="25">
        <v>813</v>
      </c>
      <c r="B815" s="37" t="e">
        <f t="shared" ref="B815:D815" si="1639">VLOOKUP($A815,[2]Educación!$A$1:$O$276,B$1,0)</f>
        <v>#N/A</v>
      </c>
      <c r="C815" s="38" t="e">
        <f t="shared" si="1639"/>
        <v>#N/A</v>
      </c>
      <c r="D815" s="39" t="e">
        <f t="shared" si="1639"/>
        <v>#N/A</v>
      </c>
      <c r="E815" s="16" t="e">
        <f t="shared" si="1"/>
        <v>#N/A</v>
      </c>
      <c r="F815" s="16" t="e">
        <f t="shared" ref="F815:K815" si="1640">VLOOKUP($A815,[2]Educación!$A$1:$O$276,F$1,0)</f>
        <v>#N/A</v>
      </c>
      <c r="G815" s="39" t="e">
        <f t="shared" si="1640"/>
        <v>#N/A</v>
      </c>
      <c r="H815" s="16" t="e">
        <f t="shared" si="1640"/>
        <v>#N/A</v>
      </c>
      <c r="I815" s="16" t="e">
        <f t="shared" si="1640"/>
        <v>#N/A</v>
      </c>
      <c r="J815" s="40" t="e">
        <f t="shared" si="1640"/>
        <v>#N/A</v>
      </c>
      <c r="K815" s="16" t="e">
        <f t="shared" si="1640"/>
        <v>#N/A</v>
      </c>
      <c r="L815" s="40" t="e">
        <f t="shared" si="1213"/>
        <v>#N/A</v>
      </c>
      <c r="M815" s="16" t="e">
        <f t="shared" si="1214"/>
        <v>#N/A</v>
      </c>
      <c r="N815" s="16" t="e">
        <f t="shared" si="1215"/>
        <v>#N/A</v>
      </c>
      <c r="O815" s="16" t="s">
        <v>66</v>
      </c>
      <c r="P815" s="16" t="str">
        <f t="shared" si="6"/>
        <v/>
      </c>
      <c r="Q815" s="41" t="e">
        <f t="shared" si="1216"/>
        <v>#N/A</v>
      </c>
      <c r="R815" s="44"/>
      <c r="S815" s="44"/>
      <c r="T815" s="43"/>
      <c r="U815" s="43" t="str">
        <f t="shared" si="8"/>
        <v>No</v>
      </c>
      <c r="V815" s="25"/>
      <c r="W815" s="25"/>
      <c r="X815" s="25"/>
      <c r="Y815" s="25"/>
      <c r="Z815" s="25"/>
    </row>
    <row r="816" spans="1:26" ht="15.75" customHeight="1" x14ac:dyDescent="0.25">
      <c r="A816" s="25">
        <v>814</v>
      </c>
      <c r="B816" s="37" t="e">
        <f t="shared" ref="B816:D816" si="1641">VLOOKUP($A816,[2]Educación!$A$1:$O$276,B$1,0)</f>
        <v>#N/A</v>
      </c>
      <c r="C816" s="38" t="e">
        <f t="shared" si="1641"/>
        <v>#N/A</v>
      </c>
      <c r="D816" s="39" t="e">
        <f t="shared" si="1641"/>
        <v>#N/A</v>
      </c>
      <c r="E816" s="16" t="e">
        <f t="shared" si="1"/>
        <v>#N/A</v>
      </c>
      <c r="F816" s="16" t="e">
        <f t="shared" ref="F816:K816" si="1642">VLOOKUP($A816,[2]Educación!$A$1:$O$276,F$1,0)</f>
        <v>#N/A</v>
      </c>
      <c r="G816" s="39" t="e">
        <f t="shared" si="1642"/>
        <v>#N/A</v>
      </c>
      <c r="H816" s="16" t="e">
        <f t="shared" si="1642"/>
        <v>#N/A</v>
      </c>
      <c r="I816" s="16" t="e">
        <f t="shared" si="1642"/>
        <v>#N/A</v>
      </c>
      <c r="J816" s="40" t="e">
        <f t="shared" si="1642"/>
        <v>#N/A</v>
      </c>
      <c r="K816" s="16" t="e">
        <f t="shared" si="1642"/>
        <v>#N/A</v>
      </c>
      <c r="L816" s="40" t="e">
        <f t="shared" si="1213"/>
        <v>#N/A</v>
      </c>
      <c r="M816" s="16" t="e">
        <f t="shared" si="1214"/>
        <v>#N/A</v>
      </c>
      <c r="N816" s="16" t="e">
        <f t="shared" si="1215"/>
        <v>#N/A</v>
      </c>
      <c r="O816" s="16" t="s">
        <v>66</v>
      </c>
      <c r="P816" s="16" t="str">
        <f t="shared" si="6"/>
        <v/>
      </c>
      <c r="Q816" s="41" t="e">
        <f t="shared" si="1216"/>
        <v>#N/A</v>
      </c>
      <c r="R816" s="44"/>
      <c r="S816" s="44"/>
      <c r="T816" s="43"/>
      <c r="U816" s="43" t="str">
        <f t="shared" si="8"/>
        <v>No</v>
      </c>
      <c r="V816" s="25"/>
      <c r="W816" s="25"/>
      <c r="X816" s="25"/>
      <c r="Y816" s="25"/>
      <c r="Z816" s="25"/>
    </row>
    <row r="817" spans="1:26" ht="15.75" customHeight="1" x14ac:dyDescent="0.25">
      <c r="A817" s="25">
        <v>815</v>
      </c>
      <c r="B817" s="37" t="e">
        <f t="shared" ref="B817:D817" si="1643">VLOOKUP($A817,[2]Educación!$A$1:$O$276,B$1,0)</f>
        <v>#N/A</v>
      </c>
      <c r="C817" s="38" t="e">
        <f t="shared" si="1643"/>
        <v>#N/A</v>
      </c>
      <c r="D817" s="39" t="e">
        <f t="shared" si="1643"/>
        <v>#N/A</v>
      </c>
      <c r="E817" s="16" t="e">
        <f t="shared" si="1"/>
        <v>#N/A</v>
      </c>
      <c r="F817" s="16" t="e">
        <f t="shared" ref="F817:K817" si="1644">VLOOKUP($A817,[2]Educación!$A$1:$O$276,F$1,0)</f>
        <v>#N/A</v>
      </c>
      <c r="G817" s="39" t="e">
        <f t="shared" si="1644"/>
        <v>#N/A</v>
      </c>
      <c r="H817" s="16" t="e">
        <f t="shared" si="1644"/>
        <v>#N/A</v>
      </c>
      <c r="I817" s="16" t="e">
        <f t="shared" si="1644"/>
        <v>#N/A</v>
      </c>
      <c r="J817" s="40" t="e">
        <f t="shared" si="1644"/>
        <v>#N/A</v>
      </c>
      <c r="K817" s="16" t="e">
        <f t="shared" si="1644"/>
        <v>#N/A</v>
      </c>
      <c r="L817" s="40" t="e">
        <f t="shared" si="1213"/>
        <v>#N/A</v>
      </c>
      <c r="M817" s="16" t="e">
        <f t="shared" si="1214"/>
        <v>#N/A</v>
      </c>
      <c r="N817" s="16" t="e">
        <f t="shared" si="1215"/>
        <v>#N/A</v>
      </c>
      <c r="O817" s="16" t="s">
        <v>66</v>
      </c>
      <c r="P817" s="16" t="str">
        <f t="shared" si="6"/>
        <v/>
      </c>
      <c r="Q817" s="41" t="e">
        <f t="shared" si="1216"/>
        <v>#N/A</v>
      </c>
      <c r="R817" s="44"/>
      <c r="S817" s="44"/>
      <c r="T817" s="43"/>
      <c r="U817" s="43" t="str">
        <f t="shared" si="8"/>
        <v>No</v>
      </c>
      <c r="V817" s="25"/>
      <c r="W817" s="25"/>
      <c r="X817" s="25"/>
      <c r="Y817" s="25"/>
      <c r="Z817" s="25"/>
    </row>
    <row r="818" spans="1:26" ht="15.75" customHeight="1" x14ac:dyDescent="0.25">
      <c r="A818" s="25">
        <v>816</v>
      </c>
      <c r="B818" s="37" t="e">
        <f t="shared" ref="B818:D818" si="1645">VLOOKUP($A818,[2]Educación!$A$1:$O$276,B$1,0)</f>
        <v>#N/A</v>
      </c>
      <c r="C818" s="38" t="e">
        <f t="shared" si="1645"/>
        <v>#N/A</v>
      </c>
      <c r="D818" s="39" t="e">
        <f t="shared" si="1645"/>
        <v>#N/A</v>
      </c>
      <c r="E818" s="16" t="e">
        <f t="shared" si="1"/>
        <v>#N/A</v>
      </c>
      <c r="F818" s="16" t="e">
        <f t="shared" ref="F818:K818" si="1646">VLOOKUP($A818,[2]Educación!$A$1:$O$276,F$1,0)</f>
        <v>#N/A</v>
      </c>
      <c r="G818" s="39" t="e">
        <f t="shared" si="1646"/>
        <v>#N/A</v>
      </c>
      <c r="H818" s="16" t="e">
        <f t="shared" si="1646"/>
        <v>#N/A</v>
      </c>
      <c r="I818" s="16" t="e">
        <f t="shared" si="1646"/>
        <v>#N/A</v>
      </c>
      <c r="J818" s="40" t="e">
        <f t="shared" si="1646"/>
        <v>#N/A</v>
      </c>
      <c r="K818" s="16" t="e">
        <f t="shared" si="1646"/>
        <v>#N/A</v>
      </c>
      <c r="L818" s="40" t="e">
        <f t="shared" si="1213"/>
        <v>#N/A</v>
      </c>
      <c r="M818" s="16" t="e">
        <f t="shared" si="1214"/>
        <v>#N/A</v>
      </c>
      <c r="N818" s="16" t="e">
        <f t="shared" si="1215"/>
        <v>#N/A</v>
      </c>
      <c r="O818" s="16" t="s">
        <v>66</v>
      </c>
      <c r="P818" s="16" t="str">
        <f t="shared" si="6"/>
        <v/>
      </c>
      <c r="Q818" s="41" t="e">
        <f t="shared" si="1216"/>
        <v>#N/A</v>
      </c>
      <c r="R818" s="44"/>
      <c r="S818" s="44"/>
      <c r="T818" s="43"/>
      <c r="U818" s="43" t="str">
        <f t="shared" si="8"/>
        <v>No</v>
      </c>
      <c r="V818" s="25"/>
      <c r="W818" s="25"/>
      <c r="X818" s="25"/>
      <c r="Y818" s="25"/>
      <c r="Z818" s="25"/>
    </row>
    <row r="819" spans="1:26" ht="15.75" customHeight="1" x14ac:dyDescent="0.25">
      <c r="A819" s="25">
        <v>817</v>
      </c>
      <c r="B819" s="37" t="e">
        <f t="shared" ref="B819:D819" si="1647">VLOOKUP($A819,[2]Educación!$A$1:$O$276,B$1,0)</f>
        <v>#N/A</v>
      </c>
      <c r="C819" s="38" t="e">
        <f t="shared" si="1647"/>
        <v>#N/A</v>
      </c>
      <c r="D819" s="39" t="e">
        <f t="shared" si="1647"/>
        <v>#N/A</v>
      </c>
      <c r="E819" s="16" t="e">
        <f t="shared" si="1"/>
        <v>#N/A</v>
      </c>
      <c r="F819" s="16" t="e">
        <f t="shared" ref="F819:K819" si="1648">VLOOKUP($A819,[2]Educación!$A$1:$O$276,F$1,0)</f>
        <v>#N/A</v>
      </c>
      <c r="G819" s="39" t="e">
        <f t="shared" si="1648"/>
        <v>#N/A</v>
      </c>
      <c r="H819" s="16" t="e">
        <f t="shared" si="1648"/>
        <v>#N/A</v>
      </c>
      <c r="I819" s="16" t="e">
        <f t="shared" si="1648"/>
        <v>#N/A</v>
      </c>
      <c r="J819" s="40" t="e">
        <f t="shared" si="1648"/>
        <v>#N/A</v>
      </c>
      <c r="K819" s="16" t="e">
        <f t="shared" si="1648"/>
        <v>#N/A</v>
      </c>
      <c r="L819" s="40" t="e">
        <f t="shared" si="1213"/>
        <v>#N/A</v>
      </c>
      <c r="M819" s="16" t="e">
        <f t="shared" si="1214"/>
        <v>#N/A</v>
      </c>
      <c r="N819" s="16" t="e">
        <f t="shared" si="1215"/>
        <v>#N/A</v>
      </c>
      <c r="O819" s="16" t="s">
        <v>66</v>
      </c>
      <c r="P819" s="16" t="str">
        <f t="shared" si="6"/>
        <v/>
      </c>
      <c r="Q819" s="41" t="e">
        <f t="shared" si="1216"/>
        <v>#N/A</v>
      </c>
      <c r="R819" s="44"/>
      <c r="S819" s="44"/>
      <c r="T819" s="43"/>
      <c r="U819" s="43" t="str">
        <f t="shared" si="8"/>
        <v>No</v>
      </c>
      <c r="V819" s="25"/>
      <c r="W819" s="25"/>
      <c r="X819" s="25"/>
      <c r="Y819" s="25"/>
      <c r="Z819" s="25"/>
    </row>
    <row r="820" spans="1:26" ht="15.75" customHeight="1" x14ac:dyDescent="0.25">
      <c r="A820" s="25">
        <v>818</v>
      </c>
      <c r="B820" s="37" t="e">
        <f t="shared" ref="B820:D820" si="1649">VLOOKUP($A820,[2]Educación!$A$1:$O$276,B$1,0)</f>
        <v>#N/A</v>
      </c>
      <c r="C820" s="38" t="e">
        <f t="shared" si="1649"/>
        <v>#N/A</v>
      </c>
      <c r="D820" s="39" t="e">
        <f t="shared" si="1649"/>
        <v>#N/A</v>
      </c>
      <c r="E820" s="16" t="e">
        <f t="shared" si="1"/>
        <v>#N/A</v>
      </c>
      <c r="F820" s="16" t="e">
        <f t="shared" ref="F820:K820" si="1650">VLOOKUP($A820,[2]Educación!$A$1:$O$276,F$1,0)</f>
        <v>#N/A</v>
      </c>
      <c r="G820" s="39" t="e">
        <f t="shared" si="1650"/>
        <v>#N/A</v>
      </c>
      <c r="H820" s="16" t="e">
        <f t="shared" si="1650"/>
        <v>#N/A</v>
      </c>
      <c r="I820" s="16" t="e">
        <f t="shared" si="1650"/>
        <v>#N/A</v>
      </c>
      <c r="J820" s="40" t="e">
        <f t="shared" si="1650"/>
        <v>#N/A</v>
      </c>
      <c r="K820" s="16" t="e">
        <f t="shared" si="1650"/>
        <v>#N/A</v>
      </c>
      <c r="L820" s="40" t="e">
        <f t="shared" si="1213"/>
        <v>#N/A</v>
      </c>
      <c r="M820" s="16" t="e">
        <f t="shared" si="1214"/>
        <v>#N/A</v>
      </c>
      <c r="N820" s="16" t="e">
        <f t="shared" si="1215"/>
        <v>#N/A</v>
      </c>
      <c r="O820" s="16" t="s">
        <v>66</v>
      </c>
      <c r="P820" s="16" t="str">
        <f t="shared" si="6"/>
        <v/>
      </c>
      <c r="Q820" s="41" t="e">
        <f t="shared" si="1216"/>
        <v>#N/A</v>
      </c>
      <c r="R820" s="44"/>
      <c r="S820" s="44"/>
      <c r="T820" s="43"/>
      <c r="U820" s="43" t="str">
        <f t="shared" si="8"/>
        <v>No</v>
      </c>
      <c r="V820" s="25"/>
      <c r="W820" s="25"/>
      <c r="X820" s="25"/>
      <c r="Y820" s="25"/>
      <c r="Z820" s="25"/>
    </row>
    <row r="821" spans="1:26" ht="15.75" customHeight="1" x14ac:dyDescent="0.25">
      <c r="A821" s="25">
        <v>819</v>
      </c>
      <c r="B821" s="37" t="e">
        <f t="shared" ref="B821:D821" si="1651">VLOOKUP($A821,[2]Educación!$A$1:$O$276,B$1,0)</f>
        <v>#N/A</v>
      </c>
      <c r="C821" s="38" t="e">
        <f t="shared" si="1651"/>
        <v>#N/A</v>
      </c>
      <c r="D821" s="39" t="e">
        <f t="shared" si="1651"/>
        <v>#N/A</v>
      </c>
      <c r="E821" s="16" t="e">
        <f t="shared" si="1"/>
        <v>#N/A</v>
      </c>
      <c r="F821" s="16" t="e">
        <f t="shared" ref="F821:K821" si="1652">VLOOKUP($A821,[2]Educación!$A$1:$O$276,F$1,0)</f>
        <v>#N/A</v>
      </c>
      <c r="G821" s="39" t="e">
        <f t="shared" si="1652"/>
        <v>#N/A</v>
      </c>
      <c r="H821" s="16" t="e">
        <f t="shared" si="1652"/>
        <v>#N/A</v>
      </c>
      <c r="I821" s="16" t="e">
        <f t="shared" si="1652"/>
        <v>#N/A</v>
      </c>
      <c r="J821" s="40" t="e">
        <f t="shared" si="1652"/>
        <v>#N/A</v>
      </c>
      <c r="K821" s="16" t="e">
        <f t="shared" si="1652"/>
        <v>#N/A</v>
      </c>
      <c r="L821" s="40" t="e">
        <f t="shared" si="1213"/>
        <v>#N/A</v>
      </c>
      <c r="M821" s="16" t="e">
        <f t="shared" si="1214"/>
        <v>#N/A</v>
      </c>
      <c r="N821" s="16" t="e">
        <f t="shared" si="1215"/>
        <v>#N/A</v>
      </c>
      <c r="O821" s="16" t="s">
        <v>66</v>
      </c>
      <c r="P821" s="16" t="str">
        <f t="shared" si="6"/>
        <v/>
      </c>
      <c r="Q821" s="41" t="e">
        <f t="shared" si="1216"/>
        <v>#N/A</v>
      </c>
      <c r="R821" s="44"/>
      <c r="S821" s="44"/>
      <c r="T821" s="43"/>
      <c r="U821" s="43" t="str">
        <f t="shared" si="8"/>
        <v>No</v>
      </c>
      <c r="V821" s="25"/>
      <c r="W821" s="25"/>
      <c r="X821" s="25"/>
      <c r="Y821" s="25"/>
      <c r="Z821" s="25"/>
    </row>
    <row r="822" spans="1:26" ht="15.75" customHeight="1" x14ac:dyDescent="0.25">
      <c r="A822" s="25">
        <v>820</v>
      </c>
      <c r="B822" s="37" t="e">
        <f t="shared" ref="B822:D822" si="1653">VLOOKUP($A822,[2]Educación!$A$1:$O$276,B$1,0)</f>
        <v>#N/A</v>
      </c>
      <c r="C822" s="38" t="e">
        <f t="shared" si="1653"/>
        <v>#N/A</v>
      </c>
      <c r="D822" s="39" t="e">
        <f t="shared" si="1653"/>
        <v>#N/A</v>
      </c>
      <c r="E822" s="16" t="e">
        <f t="shared" si="1"/>
        <v>#N/A</v>
      </c>
      <c r="F822" s="16" t="e">
        <f t="shared" ref="F822:K822" si="1654">VLOOKUP($A822,[2]Educación!$A$1:$O$276,F$1,0)</f>
        <v>#N/A</v>
      </c>
      <c r="G822" s="39" t="e">
        <f t="shared" si="1654"/>
        <v>#N/A</v>
      </c>
      <c r="H822" s="16" t="e">
        <f t="shared" si="1654"/>
        <v>#N/A</v>
      </c>
      <c r="I822" s="16" t="e">
        <f t="shared" si="1654"/>
        <v>#N/A</v>
      </c>
      <c r="J822" s="40" t="e">
        <f t="shared" si="1654"/>
        <v>#N/A</v>
      </c>
      <c r="K822" s="16" t="e">
        <f t="shared" si="1654"/>
        <v>#N/A</v>
      </c>
      <c r="L822" s="40" t="e">
        <f t="shared" si="1213"/>
        <v>#N/A</v>
      </c>
      <c r="M822" s="16" t="e">
        <f t="shared" si="1214"/>
        <v>#N/A</v>
      </c>
      <c r="N822" s="16" t="e">
        <f t="shared" si="1215"/>
        <v>#N/A</v>
      </c>
      <c r="O822" s="16" t="s">
        <v>66</v>
      </c>
      <c r="P822" s="16" t="str">
        <f t="shared" si="6"/>
        <v/>
      </c>
      <c r="Q822" s="41" t="e">
        <f t="shared" si="1216"/>
        <v>#N/A</v>
      </c>
      <c r="R822" s="44"/>
      <c r="S822" s="44"/>
      <c r="T822" s="43"/>
      <c r="U822" s="43" t="str">
        <f t="shared" si="8"/>
        <v>No</v>
      </c>
      <c r="V822" s="25"/>
      <c r="W822" s="25"/>
      <c r="X822" s="25"/>
      <c r="Y822" s="25"/>
      <c r="Z822" s="25"/>
    </row>
    <row r="823" spans="1:26" ht="15.75" customHeight="1" x14ac:dyDescent="0.25">
      <c r="A823" s="25">
        <v>821</v>
      </c>
      <c r="B823" s="37" t="e">
        <f t="shared" ref="B823:D823" si="1655">VLOOKUP($A823,[2]Educación!$A$1:$O$276,B$1,0)</f>
        <v>#N/A</v>
      </c>
      <c r="C823" s="38" t="e">
        <f t="shared" si="1655"/>
        <v>#N/A</v>
      </c>
      <c r="D823" s="39" t="e">
        <f t="shared" si="1655"/>
        <v>#N/A</v>
      </c>
      <c r="E823" s="16" t="e">
        <f t="shared" si="1"/>
        <v>#N/A</v>
      </c>
      <c r="F823" s="16" t="e">
        <f t="shared" ref="F823:K823" si="1656">VLOOKUP($A823,[2]Educación!$A$1:$O$276,F$1,0)</f>
        <v>#N/A</v>
      </c>
      <c r="G823" s="39" t="e">
        <f t="shared" si="1656"/>
        <v>#N/A</v>
      </c>
      <c r="H823" s="16" t="e">
        <f t="shared" si="1656"/>
        <v>#N/A</v>
      </c>
      <c r="I823" s="16" t="e">
        <f t="shared" si="1656"/>
        <v>#N/A</v>
      </c>
      <c r="J823" s="40" t="e">
        <f t="shared" si="1656"/>
        <v>#N/A</v>
      </c>
      <c r="K823" s="16" t="e">
        <f t="shared" si="1656"/>
        <v>#N/A</v>
      </c>
      <c r="L823" s="40" t="e">
        <f t="shared" si="1213"/>
        <v>#N/A</v>
      </c>
      <c r="M823" s="16" t="e">
        <f t="shared" si="1214"/>
        <v>#N/A</v>
      </c>
      <c r="N823" s="16" t="e">
        <f t="shared" si="1215"/>
        <v>#N/A</v>
      </c>
      <c r="O823" s="16" t="s">
        <v>66</v>
      </c>
      <c r="P823" s="16" t="str">
        <f t="shared" si="6"/>
        <v/>
      </c>
      <c r="Q823" s="41" t="e">
        <f t="shared" si="1216"/>
        <v>#N/A</v>
      </c>
      <c r="R823" s="44"/>
      <c r="S823" s="44"/>
      <c r="T823" s="43"/>
      <c r="U823" s="43" t="str">
        <f t="shared" si="8"/>
        <v>No</v>
      </c>
      <c r="V823" s="25"/>
      <c r="W823" s="25"/>
      <c r="X823" s="25"/>
      <c r="Y823" s="25"/>
      <c r="Z823" s="25"/>
    </row>
    <row r="824" spans="1:26" ht="15.75" customHeight="1" x14ac:dyDescent="0.25">
      <c r="A824" s="25">
        <v>822</v>
      </c>
      <c r="B824" s="37" t="e">
        <f t="shared" ref="B824:D824" si="1657">VLOOKUP($A824,[2]Educación!$A$1:$O$276,B$1,0)</f>
        <v>#N/A</v>
      </c>
      <c r="C824" s="38" t="e">
        <f t="shared" si="1657"/>
        <v>#N/A</v>
      </c>
      <c r="D824" s="39" t="e">
        <f t="shared" si="1657"/>
        <v>#N/A</v>
      </c>
      <c r="E824" s="16" t="e">
        <f t="shared" si="1"/>
        <v>#N/A</v>
      </c>
      <c r="F824" s="16" t="e">
        <f t="shared" ref="F824:K824" si="1658">VLOOKUP($A824,[2]Educación!$A$1:$O$276,F$1,0)</f>
        <v>#N/A</v>
      </c>
      <c r="G824" s="39" t="e">
        <f t="shared" si="1658"/>
        <v>#N/A</v>
      </c>
      <c r="H824" s="16" t="e">
        <f t="shared" si="1658"/>
        <v>#N/A</v>
      </c>
      <c r="I824" s="16" t="e">
        <f t="shared" si="1658"/>
        <v>#N/A</v>
      </c>
      <c r="J824" s="40" t="e">
        <f t="shared" si="1658"/>
        <v>#N/A</v>
      </c>
      <c r="K824" s="16" t="e">
        <f t="shared" si="1658"/>
        <v>#N/A</v>
      </c>
      <c r="L824" s="40" t="e">
        <f t="shared" si="1213"/>
        <v>#N/A</v>
      </c>
      <c r="M824" s="16" t="e">
        <f t="shared" si="1214"/>
        <v>#N/A</v>
      </c>
      <c r="N824" s="16" t="e">
        <f t="shared" si="1215"/>
        <v>#N/A</v>
      </c>
      <c r="O824" s="16" t="s">
        <v>66</v>
      </c>
      <c r="P824" s="16" t="str">
        <f t="shared" si="6"/>
        <v/>
      </c>
      <c r="Q824" s="41" t="e">
        <f t="shared" si="1216"/>
        <v>#N/A</v>
      </c>
      <c r="R824" s="44"/>
      <c r="S824" s="44"/>
      <c r="T824" s="43"/>
      <c r="U824" s="43" t="str">
        <f t="shared" si="8"/>
        <v>No</v>
      </c>
      <c r="V824" s="25"/>
      <c r="W824" s="25"/>
      <c r="X824" s="25"/>
      <c r="Y824" s="25"/>
      <c r="Z824" s="25"/>
    </row>
    <row r="825" spans="1:26" ht="15.75" customHeight="1" x14ac:dyDescent="0.25">
      <c r="A825" s="25">
        <v>823</v>
      </c>
      <c r="B825" s="37" t="e">
        <f t="shared" ref="B825:D825" si="1659">VLOOKUP($A825,[2]Educación!$A$1:$O$276,B$1,0)</f>
        <v>#N/A</v>
      </c>
      <c r="C825" s="38" t="e">
        <f t="shared" si="1659"/>
        <v>#N/A</v>
      </c>
      <c r="D825" s="39" t="e">
        <f t="shared" si="1659"/>
        <v>#N/A</v>
      </c>
      <c r="E825" s="16" t="e">
        <f t="shared" si="1"/>
        <v>#N/A</v>
      </c>
      <c r="F825" s="16" t="e">
        <f t="shared" ref="F825:K825" si="1660">VLOOKUP($A825,[2]Educación!$A$1:$O$276,F$1,0)</f>
        <v>#N/A</v>
      </c>
      <c r="G825" s="39" t="e">
        <f t="shared" si="1660"/>
        <v>#N/A</v>
      </c>
      <c r="H825" s="16" t="e">
        <f t="shared" si="1660"/>
        <v>#N/A</v>
      </c>
      <c r="I825" s="16" t="e">
        <f t="shared" si="1660"/>
        <v>#N/A</v>
      </c>
      <c r="J825" s="40" t="e">
        <f t="shared" si="1660"/>
        <v>#N/A</v>
      </c>
      <c r="K825" s="16" t="e">
        <f t="shared" si="1660"/>
        <v>#N/A</v>
      </c>
      <c r="L825" s="40" t="e">
        <f t="shared" si="1213"/>
        <v>#N/A</v>
      </c>
      <c r="M825" s="16" t="e">
        <f t="shared" si="1214"/>
        <v>#N/A</v>
      </c>
      <c r="N825" s="16" t="e">
        <f t="shared" si="1215"/>
        <v>#N/A</v>
      </c>
      <c r="O825" s="16" t="s">
        <v>66</v>
      </c>
      <c r="P825" s="16" t="str">
        <f t="shared" si="6"/>
        <v/>
      </c>
      <c r="Q825" s="41" t="e">
        <f t="shared" si="1216"/>
        <v>#N/A</v>
      </c>
      <c r="R825" s="44"/>
      <c r="S825" s="44"/>
      <c r="T825" s="43"/>
      <c r="U825" s="43" t="str">
        <f t="shared" si="8"/>
        <v>No</v>
      </c>
      <c r="V825" s="25"/>
      <c r="W825" s="25"/>
      <c r="X825" s="25"/>
      <c r="Y825" s="25"/>
      <c r="Z825" s="25"/>
    </row>
    <row r="826" spans="1:26" ht="15.75" customHeight="1" x14ac:dyDescent="0.25">
      <c r="A826" s="25">
        <v>824</v>
      </c>
      <c r="B826" s="37" t="e">
        <f t="shared" ref="B826:D826" si="1661">VLOOKUP($A826,[2]Educación!$A$1:$O$276,B$1,0)</f>
        <v>#N/A</v>
      </c>
      <c r="C826" s="38" t="e">
        <f t="shared" si="1661"/>
        <v>#N/A</v>
      </c>
      <c r="D826" s="39" t="e">
        <f t="shared" si="1661"/>
        <v>#N/A</v>
      </c>
      <c r="E826" s="16" t="e">
        <f t="shared" si="1"/>
        <v>#N/A</v>
      </c>
      <c r="F826" s="16" t="e">
        <f t="shared" ref="F826:K826" si="1662">VLOOKUP($A826,[2]Educación!$A$1:$O$276,F$1,0)</f>
        <v>#N/A</v>
      </c>
      <c r="G826" s="39" t="e">
        <f t="shared" si="1662"/>
        <v>#N/A</v>
      </c>
      <c r="H826" s="16" t="e">
        <f t="shared" si="1662"/>
        <v>#N/A</v>
      </c>
      <c r="I826" s="16" t="e">
        <f t="shared" si="1662"/>
        <v>#N/A</v>
      </c>
      <c r="J826" s="40" t="e">
        <f t="shared" si="1662"/>
        <v>#N/A</v>
      </c>
      <c r="K826" s="16" t="e">
        <f t="shared" si="1662"/>
        <v>#N/A</v>
      </c>
      <c r="L826" s="40" t="e">
        <f t="shared" si="1213"/>
        <v>#N/A</v>
      </c>
      <c r="M826" s="16" t="e">
        <f t="shared" si="1214"/>
        <v>#N/A</v>
      </c>
      <c r="N826" s="16" t="e">
        <f t="shared" si="1215"/>
        <v>#N/A</v>
      </c>
      <c r="O826" s="16" t="s">
        <v>66</v>
      </c>
      <c r="P826" s="16" t="str">
        <f t="shared" si="6"/>
        <v/>
      </c>
      <c r="Q826" s="41" t="e">
        <f t="shared" si="1216"/>
        <v>#N/A</v>
      </c>
      <c r="R826" s="44"/>
      <c r="S826" s="44"/>
      <c r="T826" s="43"/>
      <c r="U826" s="43" t="str">
        <f t="shared" si="8"/>
        <v>No</v>
      </c>
      <c r="V826" s="25"/>
      <c r="W826" s="25"/>
      <c r="X826" s="25"/>
      <c r="Y826" s="25"/>
      <c r="Z826" s="25"/>
    </row>
    <row r="827" spans="1:26" ht="15.75" customHeight="1" x14ac:dyDescent="0.25">
      <c r="A827" s="25">
        <v>825</v>
      </c>
      <c r="B827" s="37" t="e">
        <f t="shared" ref="B827:D827" si="1663">VLOOKUP($A827,[2]Educación!$A$1:$O$276,B$1,0)</f>
        <v>#N/A</v>
      </c>
      <c r="C827" s="38" t="e">
        <f t="shared" si="1663"/>
        <v>#N/A</v>
      </c>
      <c r="D827" s="39" t="e">
        <f t="shared" si="1663"/>
        <v>#N/A</v>
      </c>
      <c r="E827" s="16" t="e">
        <f t="shared" si="1"/>
        <v>#N/A</v>
      </c>
      <c r="F827" s="16" t="e">
        <f t="shared" ref="F827:K827" si="1664">VLOOKUP($A827,[2]Educación!$A$1:$O$276,F$1,0)</f>
        <v>#N/A</v>
      </c>
      <c r="G827" s="39" t="e">
        <f t="shared" si="1664"/>
        <v>#N/A</v>
      </c>
      <c r="H827" s="16" t="e">
        <f t="shared" si="1664"/>
        <v>#N/A</v>
      </c>
      <c r="I827" s="16" t="e">
        <f t="shared" si="1664"/>
        <v>#N/A</v>
      </c>
      <c r="J827" s="40" t="e">
        <f t="shared" si="1664"/>
        <v>#N/A</v>
      </c>
      <c r="K827" s="16" t="e">
        <f t="shared" si="1664"/>
        <v>#N/A</v>
      </c>
      <c r="L827" s="40" t="e">
        <f t="shared" si="1213"/>
        <v>#N/A</v>
      </c>
      <c r="M827" s="16" t="e">
        <f t="shared" si="1214"/>
        <v>#N/A</v>
      </c>
      <c r="N827" s="16" t="e">
        <f t="shared" si="1215"/>
        <v>#N/A</v>
      </c>
      <c r="O827" s="16" t="s">
        <v>66</v>
      </c>
      <c r="P827" s="16" t="str">
        <f t="shared" si="6"/>
        <v/>
      </c>
      <c r="Q827" s="41" t="e">
        <f t="shared" si="1216"/>
        <v>#N/A</v>
      </c>
      <c r="R827" s="44"/>
      <c r="S827" s="44"/>
      <c r="T827" s="43"/>
      <c r="U827" s="43" t="str">
        <f t="shared" si="8"/>
        <v>No</v>
      </c>
      <c r="V827" s="25"/>
      <c r="W827" s="25"/>
      <c r="X827" s="25"/>
      <c r="Y827" s="25"/>
      <c r="Z827" s="25"/>
    </row>
    <row r="828" spans="1:26" ht="15.75" customHeight="1" x14ac:dyDescent="0.25">
      <c r="A828" s="25">
        <v>826</v>
      </c>
      <c r="B828" s="37" t="e">
        <f t="shared" ref="B828:D828" si="1665">VLOOKUP($A828,[2]Educación!$A$1:$O$276,B$1,0)</f>
        <v>#N/A</v>
      </c>
      <c r="C828" s="38" t="e">
        <f t="shared" si="1665"/>
        <v>#N/A</v>
      </c>
      <c r="D828" s="39" t="e">
        <f t="shared" si="1665"/>
        <v>#N/A</v>
      </c>
      <c r="E828" s="16" t="e">
        <f t="shared" si="1"/>
        <v>#N/A</v>
      </c>
      <c r="F828" s="16" t="e">
        <f t="shared" ref="F828:K828" si="1666">VLOOKUP($A828,[2]Educación!$A$1:$O$276,F$1,0)</f>
        <v>#N/A</v>
      </c>
      <c r="G828" s="39" t="e">
        <f t="shared" si="1666"/>
        <v>#N/A</v>
      </c>
      <c r="H828" s="16" t="e">
        <f t="shared" si="1666"/>
        <v>#N/A</v>
      </c>
      <c r="I828" s="16" t="e">
        <f t="shared" si="1666"/>
        <v>#N/A</v>
      </c>
      <c r="J828" s="40" t="e">
        <f t="shared" si="1666"/>
        <v>#N/A</v>
      </c>
      <c r="K828" s="16" t="e">
        <f t="shared" si="1666"/>
        <v>#N/A</v>
      </c>
      <c r="L828" s="40" t="e">
        <f t="shared" si="1213"/>
        <v>#N/A</v>
      </c>
      <c r="M828" s="16" t="e">
        <f t="shared" si="1214"/>
        <v>#N/A</v>
      </c>
      <c r="N828" s="16" t="e">
        <f t="shared" si="1215"/>
        <v>#N/A</v>
      </c>
      <c r="O828" s="16" t="s">
        <v>66</v>
      </c>
      <c r="P828" s="16" t="str">
        <f t="shared" si="6"/>
        <v/>
      </c>
      <c r="Q828" s="41" t="e">
        <f t="shared" si="1216"/>
        <v>#N/A</v>
      </c>
      <c r="R828" s="44"/>
      <c r="S828" s="44"/>
      <c r="T828" s="43"/>
      <c r="U828" s="43" t="str">
        <f t="shared" si="8"/>
        <v>No</v>
      </c>
      <c r="V828" s="25"/>
      <c r="W828" s="25"/>
      <c r="X828" s="25"/>
      <c r="Y828" s="25"/>
      <c r="Z828" s="25"/>
    </row>
    <row r="829" spans="1:26" ht="15.75" customHeight="1" x14ac:dyDescent="0.25">
      <c r="A829" s="25">
        <v>827</v>
      </c>
      <c r="B829" s="37" t="e">
        <f t="shared" ref="B829:D829" si="1667">VLOOKUP($A829,[2]Educación!$A$1:$O$276,B$1,0)</f>
        <v>#N/A</v>
      </c>
      <c r="C829" s="38" t="e">
        <f t="shared" si="1667"/>
        <v>#N/A</v>
      </c>
      <c r="D829" s="39" t="e">
        <f t="shared" si="1667"/>
        <v>#N/A</v>
      </c>
      <c r="E829" s="16" t="e">
        <f t="shared" si="1"/>
        <v>#N/A</v>
      </c>
      <c r="F829" s="16" t="e">
        <f t="shared" ref="F829:K829" si="1668">VLOOKUP($A829,[2]Educación!$A$1:$O$276,F$1,0)</f>
        <v>#N/A</v>
      </c>
      <c r="G829" s="39" t="e">
        <f t="shared" si="1668"/>
        <v>#N/A</v>
      </c>
      <c r="H829" s="16" t="e">
        <f t="shared" si="1668"/>
        <v>#N/A</v>
      </c>
      <c r="I829" s="16" t="e">
        <f t="shared" si="1668"/>
        <v>#N/A</v>
      </c>
      <c r="J829" s="40" t="e">
        <f t="shared" si="1668"/>
        <v>#N/A</v>
      </c>
      <c r="K829" s="16" t="e">
        <f t="shared" si="1668"/>
        <v>#N/A</v>
      </c>
      <c r="L829" s="40" t="e">
        <f t="shared" si="1213"/>
        <v>#N/A</v>
      </c>
      <c r="M829" s="16" t="e">
        <f t="shared" si="1214"/>
        <v>#N/A</v>
      </c>
      <c r="N829" s="16" t="e">
        <f t="shared" si="1215"/>
        <v>#N/A</v>
      </c>
      <c r="O829" s="16" t="s">
        <v>66</v>
      </c>
      <c r="P829" s="16" t="str">
        <f t="shared" si="6"/>
        <v/>
      </c>
      <c r="Q829" s="41" t="e">
        <f t="shared" si="1216"/>
        <v>#N/A</v>
      </c>
      <c r="R829" s="44"/>
      <c r="S829" s="44"/>
      <c r="T829" s="43"/>
      <c r="U829" s="43" t="str">
        <f t="shared" si="8"/>
        <v>No</v>
      </c>
      <c r="V829" s="25"/>
      <c r="W829" s="25"/>
      <c r="X829" s="25"/>
      <c r="Y829" s="25"/>
      <c r="Z829" s="25"/>
    </row>
    <row r="830" spans="1:26" ht="15.75" customHeight="1" x14ac:dyDescent="0.25">
      <c r="A830" s="25">
        <v>828</v>
      </c>
      <c r="B830" s="37" t="e">
        <f t="shared" ref="B830:D830" si="1669">VLOOKUP($A830,[2]Educación!$A$1:$O$276,B$1,0)</f>
        <v>#N/A</v>
      </c>
      <c r="C830" s="38" t="e">
        <f t="shared" si="1669"/>
        <v>#N/A</v>
      </c>
      <c r="D830" s="39" t="e">
        <f t="shared" si="1669"/>
        <v>#N/A</v>
      </c>
      <c r="E830" s="16" t="e">
        <f t="shared" si="1"/>
        <v>#N/A</v>
      </c>
      <c r="F830" s="16" t="e">
        <f t="shared" ref="F830:K830" si="1670">VLOOKUP($A830,[2]Educación!$A$1:$O$276,F$1,0)</f>
        <v>#N/A</v>
      </c>
      <c r="G830" s="39" t="e">
        <f t="shared" si="1670"/>
        <v>#N/A</v>
      </c>
      <c r="H830" s="16" t="e">
        <f t="shared" si="1670"/>
        <v>#N/A</v>
      </c>
      <c r="I830" s="16" t="e">
        <f t="shared" si="1670"/>
        <v>#N/A</v>
      </c>
      <c r="J830" s="40" t="e">
        <f t="shared" si="1670"/>
        <v>#N/A</v>
      </c>
      <c r="K830" s="16" t="e">
        <f t="shared" si="1670"/>
        <v>#N/A</v>
      </c>
      <c r="L830" s="40" t="e">
        <f t="shared" si="1213"/>
        <v>#N/A</v>
      </c>
      <c r="M830" s="16" t="e">
        <f t="shared" si="1214"/>
        <v>#N/A</v>
      </c>
      <c r="N830" s="16" t="e">
        <f t="shared" si="1215"/>
        <v>#N/A</v>
      </c>
      <c r="O830" s="16" t="s">
        <v>66</v>
      </c>
      <c r="P830" s="16" t="str">
        <f t="shared" si="6"/>
        <v/>
      </c>
      <c r="Q830" s="41" t="e">
        <f t="shared" si="1216"/>
        <v>#N/A</v>
      </c>
      <c r="R830" s="44"/>
      <c r="S830" s="44"/>
      <c r="T830" s="43"/>
      <c r="U830" s="43" t="str">
        <f t="shared" si="8"/>
        <v>No</v>
      </c>
      <c r="V830" s="25"/>
      <c r="W830" s="25"/>
      <c r="X830" s="25"/>
      <c r="Y830" s="25"/>
      <c r="Z830" s="25"/>
    </row>
    <row r="831" spans="1:26" ht="15.75" customHeight="1" x14ac:dyDescent="0.25">
      <c r="A831" s="25">
        <v>829</v>
      </c>
      <c r="B831" s="37" t="e">
        <f t="shared" ref="B831:D831" si="1671">VLOOKUP($A831,[2]Educación!$A$1:$O$276,B$1,0)</f>
        <v>#N/A</v>
      </c>
      <c r="C831" s="38" t="e">
        <f t="shared" si="1671"/>
        <v>#N/A</v>
      </c>
      <c r="D831" s="39" t="e">
        <f t="shared" si="1671"/>
        <v>#N/A</v>
      </c>
      <c r="E831" s="16" t="e">
        <f t="shared" si="1"/>
        <v>#N/A</v>
      </c>
      <c r="F831" s="16" t="e">
        <f t="shared" ref="F831:K831" si="1672">VLOOKUP($A831,[2]Educación!$A$1:$O$276,F$1,0)</f>
        <v>#N/A</v>
      </c>
      <c r="G831" s="39" t="e">
        <f t="shared" si="1672"/>
        <v>#N/A</v>
      </c>
      <c r="H831" s="16" t="e">
        <f t="shared" si="1672"/>
        <v>#N/A</v>
      </c>
      <c r="I831" s="16" t="e">
        <f t="shared" si="1672"/>
        <v>#N/A</v>
      </c>
      <c r="J831" s="40" t="e">
        <f t="shared" si="1672"/>
        <v>#N/A</v>
      </c>
      <c r="K831" s="16" t="e">
        <f t="shared" si="1672"/>
        <v>#N/A</v>
      </c>
      <c r="L831" s="40" t="e">
        <f t="shared" si="1213"/>
        <v>#N/A</v>
      </c>
      <c r="M831" s="16" t="e">
        <f t="shared" si="1214"/>
        <v>#N/A</v>
      </c>
      <c r="N831" s="16" t="e">
        <f t="shared" si="1215"/>
        <v>#N/A</v>
      </c>
      <c r="O831" s="16" t="s">
        <v>66</v>
      </c>
      <c r="P831" s="16" t="str">
        <f t="shared" si="6"/>
        <v/>
      </c>
      <c r="Q831" s="41" t="e">
        <f t="shared" si="1216"/>
        <v>#N/A</v>
      </c>
      <c r="R831" s="44"/>
      <c r="S831" s="44"/>
      <c r="T831" s="43"/>
      <c r="U831" s="43" t="str">
        <f t="shared" si="8"/>
        <v>No</v>
      </c>
      <c r="V831" s="25"/>
      <c r="W831" s="25"/>
      <c r="X831" s="25"/>
      <c r="Y831" s="25"/>
      <c r="Z831" s="25"/>
    </row>
    <row r="832" spans="1:26" ht="15.75" customHeight="1" x14ac:dyDescent="0.25">
      <c r="A832" s="25">
        <v>830</v>
      </c>
      <c r="B832" s="37" t="e">
        <f t="shared" ref="B832:D832" si="1673">VLOOKUP($A832,[2]Educación!$A$1:$O$276,B$1,0)</f>
        <v>#N/A</v>
      </c>
      <c r="C832" s="38" t="e">
        <f t="shared" si="1673"/>
        <v>#N/A</v>
      </c>
      <c r="D832" s="39" t="e">
        <f t="shared" si="1673"/>
        <v>#N/A</v>
      </c>
      <c r="E832" s="16" t="e">
        <f t="shared" si="1"/>
        <v>#N/A</v>
      </c>
      <c r="F832" s="16" t="e">
        <f t="shared" ref="F832:K832" si="1674">VLOOKUP($A832,[2]Educación!$A$1:$O$276,F$1,0)</f>
        <v>#N/A</v>
      </c>
      <c r="G832" s="39" t="e">
        <f t="shared" si="1674"/>
        <v>#N/A</v>
      </c>
      <c r="H832" s="16" t="e">
        <f t="shared" si="1674"/>
        <v>#N/A</v>
      </c>
      <c r="I832" s="16" t="e">
        <f t="shared" si="1674"/>
        <v>#N/A</v>
      </c>
      <c r="J832" s="40" t="e">
        <f t="shared" si="1674"/>
        <v>#N/A</v>
      </c>
      <c r="K832" s="16" t="e">
        <f t="shared" si="1674"/>
        <v>#N/A</v>
      </c>
      <c r="L832" s="40" t="e">
        <f t="shared" si="1213"/>
        <v>#N/A</v>
      </c>
      <c r="M832" s="16" t="e">
        <f t="shared" si="1214"/>
        <v>#N/A</v>
      </c>
      <c r="N832" s="16" t="e">
        <f t="shared" si="1215"/>
        <v>#N/A</v>
      </c>
      <c r="O832" s="16" t="s">
        <v>66</v>
      </c>
      <c r="P832" s="16" t="str">
        <f t="shared" si="6"/>
        <v/>
      </c>
      <c r="Q832" s="41" t="e">
        <f t="shared" si="1216"/>
        <v>#N/A</v>
      </c>
      <c r="R832" s="44"/>
      <c r="S832" s="44"/>
      <c r="T832" s="43"/>
      <c r="U832" s="43" t="str">
        <f t="shared" si="8"/>
        <v>No</v>
      </c>
      <c r="V832" s="25"/>
      <c r="W832" s="25"/>
      <c r="X832" s="25"/>
      <c r="Y832" s="25"/>
      <c r="Z832" s="25"/>
    </row>
    <row r="833" spans="1:26" ht="15.75" customHeight="1" x14ac:dyDescent="0.25">
      <c r="A833" s="25">
        <v>831</v>
      </c>
      <c r="B833" s="37" t="e">
        <f t="shared" ref="B833:D833" si="1675">VLOOKUP($A833,[2]Educación!$A$1:$O$276,B$1,0)</f>
        <v>#N/A</v>
      </c>
      <c r="C833" s="38" t="e">
        <f t="shared" si="1675"/>
        <v>#N/A</v>
      </c>
      <c r="D833" s="39" t="e">
        <f t="shared" si="1675"/>
        <v>#N/A</v>
      </c>
      <c r="E833" s="16" t="e">
        <f t="shared" si="1"/>
        <v>#N/A</v>
      </c>
      <c r="F833" s="16" t="e">
        <f t="shared" ref="F833:K833" si="1676">VLOOKUP($A833,[2]Educación!$A$1:$O$276,F$1,0)</f>
        <v>#N/A</v>
      </c>
      <c r="G833" s="39" t="e">
        <f t="shared" si="1676"/>
        <v>#N/A</v>
      </c>
      <c r="H833" s="16" t="e">
        <f t="shared" si="1676"/>
        <v>#N/A</v>
      </c>
      <c r="I833" s="16" t="e">
        <f t="shared" si="1676"/>
        <v>#N/A</v>
      </c>
      <c r="J833" s="40" t="e">
        <f t="shared" si="1676"/>
        <v>#N/A</v>
      </c>
      <c r="K833" s="16" t="e">
        <f t="shared" si="1676"/>
        <v>#N/A</v>
      </c>
      <c r="L833" s="40" t="e">
        <f t="shared" si="1213"/>
        <v>#N/A</v>
      </c>
      <c r="M833" s="16" t="e">
        <f t="shared" si="1214"/>
        <v>#N/A</v>
      </c>
      <c r="N833" s="16" t="e">
        <f t="shared" si="1215"/>
        <v>#N/A</v>
      </c>
      <c r="O833" s="16" t="s">
        <v>66</v>
      </c>
      <c r="P833" s="16" t="str">
        <f t="shared" si="6"/>
        <v/>
      </c>
      <c r="Q833" s="41" t="e">
        <f t="shared" si="1216"/>
        <v>#N/A</v>
      </c>
      <c r="R833" s="44"/>
      <c r="S833" s="44"/>
      <c r="T833" s="43"/>
      <c r="U833" s="43" t="str">
        <f t="shared" si="8"/>
        <v>No</v>
      </c>
      <c r="V833" s="25"/>
      <c r="W833" s="25"/>
      <c r="X833" s="25"/>
      <c r="Y833" s="25"/>
      <c r="Z833" s="25"/>
    </row>
    <row r="834" spans="1:26" ht="15.75" customHeight="1" x14ac:dyDescent="0.25">
      <c r="A834" s="25">
        <v>832</v>
      </c>
      <c r="B834" s="37" t="e">
        <f t="shared" ref="B834:D834" si="1677">VLOOKUP($A834,[2]Educación!$A$1:$O$276,B$1,0)</f>
        <v>#N/A</v>
      </c>
      <c r="C834" s="38" t="e">
        <f t="shared" si="1677"/>
        <v>#N/A</v>
      </c>
      <c r="D834" s="39" t="e">
        <f t="shared" si="1677"/>
        <v>#N/A</v>
      </c>
      <c r="E834" s="16" t="e">
        <f t="shared" si="1"/>
        <v>#N/A</v>
      </c>
      <c r="F834" s="16" t="e">
        <f t="shared" ref="F834:K834" si="1678">VLOOKUP($A834,[2]Educación!$A$1:$O$276,F$1,0)</f>
        <v>#N/A</v>
      </c>
      <c r="G834" s="39" t="e">
        <f t="shared" si="1678"/>
        <v>#N/A</v>
      </c>
      <c r="H834" s="16" t="e">
        <f t="shared" si="1678"/>
        <v>#N/A</v>
      </c>
      <c r="I834" s="16" t="e">
        <f t="shared" si="1678"/>
        <v>#N/A</v>
      </c>
      <c r="J834" s="40" t="e">
        <f t="shared" si="1678"/>
        <v>#N/A</v>
      </c>
      <c r="K834" s="16" t="e">
        <f t="shared" si="1678"/>
        <v>#N/A</v>
      </c>
      <c r="L834" s="40" t="e">
        <f t="shared" si="1213"/>
        <v>#N/A</v>
      </c>
      <c r="M834" s="16" t="e">
        <f t="shared" si="1214"/>
        <v>#N/A</v>
      </c>
      <c r="N834" s="16" t="e">
        <f t="shared" si="1215"/>
        <v>#N/A</v>
      </c>
      <c r="O834" s="16" t="s">
        <v>66</v>
      </c>
      <c r="P834" s="16" t="str">
        <f t="shared" si="6"/>
        <v/>
      </c>
      <c r="Q834" s="41" t="e">
        <f t="shared" si="1216"/>
        <v>#N/A</v>
      </c>
      <c r="R834" s="44"/>
      <c r="S834" s="44"/>
      <c r="T834" s="43"/>
      <c r="U834" s="43" t="str">
        <f t="shared" si="8"/>
        <v>No</v>
      </c>
      <c r="V834" s="25"/>
      <c r="W834" s="25"/>
      <c r="X834" s="25"/>
      <c r="Y834" s="25"/>
      <c r="Z834" s="25"/>
    </row>
    <row r="835" spans="1:26" ht="15.75" customHeight="1" x14ac:dyDescent="0.25">
      <c r="A835" s="25">
        <v>833</v>
      </c>
      <c r="B835" s="37" t="e">
        <f t="shared" ref="B835:D835" si="1679">VLOOKUP($A835,[2]Educación!$A$1:$O$276,B$1,0)</f>
        <v>#N/A</v>
      </c>
      <c r="C835" s="38" t="e">
        <f t="shared" si="1679"/>
        <v>#N/A</v>
      </c>
      <c r="D835" s="39" t="e">
        <f t="shared" si="1679"/>
        <v>#N/A</v>
      </c>
      <c r="E835" s="16" t="e">
        <f t="shared" si="1"/>
        <v>#N/A</v>
      </c>
      <c r="F835" s="16" t="e">
        <f t="shared" ref="F835:K835" si="1680">VLOOKUP($A835,[2]Educación!$A$1:$O$276,F$1,0)</f>
        <v>#N/A</v>
      </c>
      <c r="G835" s="39" t="e">
        <f t="shared" si="1680"/>
        <v>#N/A</v>
      </c>
      <c r="H835" s="16" t="e">
        <f t="shared" si="1680"/>
        <v>#N/A</v>
      </c>
      <c r="I835" s="16" t="e">
        <f t="shared" si="1680"/>
        <v>#N/A</v>
      </c>
      <c r="J835" s="40" t="e">
        <f t="shared" si="1680"/>
        <v>#N/A</v>
      </c>
      <c r="K835" s="16" t="e">
        <f t="shared" si="1680"/>
        <v>#N/A</v>
      </c>
      <c r="L835" s="40" t="e">
        <f t="shared" si="1213"/>
        <v>#N/A</v>
      </c>
      <c r="M835" s="16" t="e">
        <f t="shared" si="1214"/>
        <v>#N/A</v>
      </c>
      <c r="N835" s="16" t="e">
        <f t="shared" si="1215"/>
        <v>#N/A</v>
      </c>
      <c r="O835" s="16" t="s">
        <v>66</v>
      </c>
      <c r="P835" s="16" t="str">
        <f t="shared" si="6"/>
        <v/>
      </c>
      <c r="Q835" s="41" t="e">
        <f t="shared" si="1216"/>
        <v>#N/A</v>
      </c>
      <c r="R835" s="44"/>
      <c r="S835" s="44"/>
      <c r="T835" s="43"/>
      <c r="U835" s="43" t="str">
        <f t="shared" si="8"/>
        <v>No</v>
      </c>
      <c r="V835" s="25"/>
      <c r="W835" s="25"/>
      <c r="X835" s="25"/>
      <c r="Y835" s="25"/>
      <c r="Z835" s="25"/>
    </row>
    <row r="836" spans="1:26" ht="15.75" customHeight="1" x14ac:dyDescent="0.25">
      <c r="A836" s="25">
        <v>834</v>
      </c>
      <c r="B836" s="37" t="e">
        <f t="shared" ref="B836:D836" si="1681">VLOOKUP($A836,[2]Educación!$A$1:$O$276,B$1,0)</f>
        <v>#N/A</v>
      </c>
      <c r="C836" s="38" t="e">
        <f t="shared" si="1681"/>
        <v>#N/A</v>
      </c>
      <c r="D836" s="39" t="e">
        <f t="shared" si="1681"/>
        <v>#N/A</v>
      </c>
      <c r="E836" s="16" t="e">
        <f t="shared" si="1"/>
        <v>#N/A</v>
      </c>
      <c r="F836" s="16" t="e">
        <f t="shared" ref="F836:K836" si="1682">VLOOKUP($A836,[2]Educación!$A$1:$O$276,F$1,0)</f>
        <v>#N/A</v>
      </c>
      <c r="G836" s="39" t="e">
        <f t="shared" si="1682"/>
        <v>#N/A</v>
      </c>
      <c r="H836" s="16" t="e">
        <f t="shared" si="1682"/>
        <v>#N/A</v>
      </c>
      <c r="I836" s="16" t="e">
        <f t="shared" si="1682"/>
        <v>#N/A</v>
      </c>
      <c r="J836" s="40" t="e">
        <f t="shared" si="1682"/>
        <v>#N/A</v>
      </c>
      <c r="K836" s="16" t="e">
        <f t="shared" si="1682"/>
        <v>#N/A</v>
      </c>
      <c r="L836" s="40" t="e">
        <f t="shared" si="1213"/>
        <v>#N/A</v>
      </c>
      <c r="M836" s="16" t="e">
        <f t="shared" si="1214"/>
        <v>#N/A</v>
      </c>
      <c r="N836" s="16" t="e">
        <f t="shared" si="1215"/>
        <v>#N/A</v>
      </c>
      <c r="O836" s="16" t="s">
        <v>66</v>
      </c>
      <c r="P836" s="16" t="str">
        <f t="shared" si="6"/>
        <v/>
      </c>
      <c r="Q836" s="41" t="e">
        <f t="shared" si="1216"/>
        <v>#N/A</v>
      </c>
      <c r="R836" s="44"/>
      <c r="S836" s="44"/>
      <c r="T836" s="43"/>
      <c r="U836" s="43" t="str">
        <f t="shared" si="8"/>
        <v>No</v>
      </c>
      <c r="V836" s="25"/>
      <c r="W836" s="25"/>
      <c r="X836" s="25"/>
      <c r="Y836" s="25"/>
      <c r="Z836" s="25"/>
    </row>
    <row r="837" spans="1:26" ht="15.75" customHeight="1" x14ac:dyDescent="0.25">
      <c r="A837" s="25">
        <v>835</v>
      </c>
      <c r="B837" s="37" t="e">
        <f t="shared" ref="B837:D837" si="1683">VLOOKUP($A837,[2]Educación!$A$1:$O$276,B$1,0)</f>
        <v>#N/A</v>
      </c>
      <c r="C837" s="38" t="e">
        <f t="shared" si="1683"/>
        <v>#N/A</v>
      </c>
      <c r="D837" s="39" t="e">
        <f t="shared" si="1683"/>
        <v>#N/A</v>
      </c>
      <c r="E837" s="16" t="e">
        <f t="shared" si="1"/>
        <v>#N/A</v>
      </c>
      <c r="F837" s="16" t="e">
        <f t="shared" ref="F837:K837" si="1684">VLOOKUP($A837,[2]Educación!$A$1:$O$276,F$1,0)</f>
        <v>#N/A</v>
      </c>
      <c r="G837" s="39" t="e">
        <f t="shared" si="1684"/>
        <v>#N/A</v>
      </c>
      <c r="H837" s="16" t="e">
        <f t="shared" si="1684"/>
        <v>#N/A</v>
      </c>
      <c r="I837" s="16" t="e">
        <f t="shared" si="1684"/>
        <v>#N/A</v>
      </c>
      <c r="J837" s="40" t="e">
        <f t="shared" si="1684"/>
        <v>#N/A</v>
      </c>
      <c r="K837" s="16" t="e">
        <f t="shared" si="1684"/>
        <v>#N/A</v>
      </c>
      <c r="L837" s="40" t="e">
        <f t="shared" si="1213"/>
        <v>#N/A</v>
      </c>
      <c r="M837" s="16" t="e">
        <f t="shared" si="1214"/>
        <v>#N/A</v>
      </c>
      <c r="N837" s="16" t="e">
        <f t="shared" si="1215"/>
        <v>#N/A</v>
      </c>
      <c r="O837" s="16" t="s">
        <v>66</v>
      </c>
      <c r="P837" s="16" t="str">
        <f t="shared" si="6"/>
        <v/>
      </c>
      <c r="Q837" s="41" t="e">
        <f t="shared" si="1216"/>
        <v>#N/A</v>
      </c>
      <c r="R837" s="44"/>
      <c r="S837" s="44"/>
      <c r="T837" s="43"/>
      <c r="U837" s="43" t="str">
        <f t="shared" si="8"/>
        <v>No</v>
      </c>
      <c r="V837" s="25"/>
      <c r="W837" s="25"/>
      <c r="X837" s="25"/>
      <c r="Y837" s="25"/>
      <c r="Z837" s="25"/>
    </row>
    <row r="838" spans="1:26" ht="15.75" customHeight="1" x14ac:dyDescent="0.25">
      <c r="A838" s="25">
        <v>836</v>
      </c>
      <c r="B838" s="37" t="e">
        <f t="shared" ref="B838:D838" si="1685">VLOOKUP($A838,[2]Educación!$A$1:$O$276,B$1,0)</f>
        <v>#N/A</v>
      </c>
      <c r="C838" s="38" t="e">
        <f t="shared" si="1685"/>
        <v>#N/A</v>
      </c>
      <c r="D838" s="39" t="e">
        <f t="shared" si="1685"/>
        <v>#N/A</v>
      </c>
      <c r="E838" s="16" t="e">
        <f t="shared" si="1"/>
        <v>#N/A</v>
      </c>
      <c r="F838" s="16" t="e">
        <f t="shared" ref="F838:K838" si="1686">VLOOKUP($A838,[2]Educación!$A$1:$O$276,F$1,0)</f>
        <v>#N/A</v>
      </c>
      <c r="G838" s="39" t="e">
        <f t="shared" si="1686"/>
        <v>#N/A</v>
      </c>
      <c r="H838" s="16" t="e">
        <f t="shared" si="1686"/>
        <v>#N/A</v>
      </c>
      <c r="I838" s="16" t="e">
        <f t="shared" si="1686"/>
        <v>#N/A</v>
      </c>
      <c r="J838" s="40" t="e">
        <f t="shared" si="1686"/>
        <v>#N/A</v>
      </c>
      <c r="K838" s="16" t="e">
        <f t="shared" si="1686"/>
        <v>#N/A</v>
      </c>
      <c r="L838" s="40" t="e">
        <f t="shared" si="1213"/>
        <v>#N/A</v>
      </c>
      <c r="M838" s="16" t="e">
        <f t="shared" si="1214"/>
        <v>#N/A</v>
      </c>
      <c r="N838" s="16" t="e">
        <f t="shared" si="1215"/>
        <v>#N/A</v>
      </c>
      <c r="O838" s="16" t="s">
        <v>66</v>
      </c>
      <c r="P838" s="16" t="str">
        <f t="shared" si="6"/>
        <v/>
      </c>
      <c r="Q838" s="41" t="e">
        <f t="shared" si="1216"/>
        <v>#N/A</v>
      </c>
      <c r="R838" s="44"/>
      <c r="S838" s="44"/>
      <c r="T838" s="43"/>
      <c r="U838" s="43" t="str">
        <f t="shared" si="8"/>
        <v>No</v>
      </c>
      <c r="V838" s="25"/>
      <c r="W838" s="25"/>
      <c r="X838" s="25"/>
      <c r="Y838" s="25"/>
      <c r="Z838" s="25"/>
    </row>
    <row r="839" spans="1:26" ht="15.75" customHeight="1" x14ac:dyDescent="0.25">
      <c r="A839" s="25">
        <v>837</v>
      </c>
      <c r="B839" s="37" t="e">
        <f t="shared" ref="B839:D839" si="1687">VLOOKUP($A839,[2]Educación!$A$1:$O$276,B$1,0)</f>
        <v>#N/A</v>
      </c>
      <c r="C839" s="38" t="e">
        <f t="shared" si="1687"/>
        <v>#N/A</v>
      </c>
      <c r="D839" s="39" t="e">
        <f t="shared" si="1687"/>
        <v>#N/A</v>
      </c>
      <c r="E839" s="16" t="e">
        <f t="shared" si="1"/>
        <v>#N/A</v>
      </c>
      <c r="F839" s="16" t="e">
        <f t="shared" ref="F839:K839" si="1688">VLOOKUP($A839,[2]Educación!$A$1:$O$276,F$1,0)</f>
        <v>#N/A</v>
      </c>
      <c r="G839" s="39" t="e">
        <f t="shared" si="1688"/>
        <v>#N/A</v>
      </c>
      <c r="H839" s="16" t="e">
        <f t="shared" si="1688"/>
        <v>#N/A</v>
      </c>
      <c r="I839" s="16" t="e">
        <f t="shared" si="1688"/>
        <v>#N/A</v>
      </c>
      <c r="J839" s="40" t="e">
        <f t="shared" si="1688"/>
        <v>#N/A</v>
      </c>
      <c r="K839" s="16" t="e">
        <f t="shared" si="1688"/>
        <v>#N/A</v>
      </c>
      <c r="L839" s="40" t="e">
        <f t="shared" si="1213"/>
        <v>#N/A</v>
      </c>
      <c r="M839" s="16" t="e">
        <f t="shared" si="1214"/>
        <v>#N/A</v>
      </c>
      <c r="N839" s="16" t="e">
        <f t="shared" si="1215"/>
        <v>#N/A</v>
      </c>
      <c r="O839" s="16" t="s">
        <v>66</v>
      </c>
      <c r="P839" s="16" t="str">
        <f t="shared" si="6"/>
        <v/>
      </c>
      <c r="Q839" s="41" t="e">
        <f t="shared" si="1216"/>
        <v>#N/A</v>
      </c>
      <c r="R839" s="44"/>
      <c r="S839" s="44"/>
      <c r="T839" s="43"/>
      <c r="U839" s="43" t="str">
        <f t="shared" si="8"/>
        <v>No</v>
      </c>
      <c r="V839" s="25"/>
      <c r="W839" s="25"/>
      <c r="X839" s="25"/>
      <c r="Y839" s="25"/>
      <c r="Z839" s="25"/>
    </row>
    <row r="840" spans="1:26" ht="15.75" customHeight="1" x14ac:dyDescent="0.25">
      <c r="A840" s="25">
        <v>838</v>
      </c>
      <c r="B840" s="37" t="e">
        <f t="shared" ref="B840:D840" si="1689">VLOOKUP($A840,[2]Educación!$A$1:$O$276,B$1,0)</f>
        <v>#N/A</v>
      </c>
      <c r="C840" s="38" t="e">
        <f t="shared" si="1689"/>
        <v>#N/A</v>
      </c>
      <c r="D840" s="39" t="e">
        <f t="shared" si="1689"/>
        <v>#N/A</v>
      </c>
      <c r="E840" s="16" t="e">
        <f t="shared" si="1"/>
        <v>#N/A</v>
      </c>
      <c r="F840" s="16" t="e">
        <f t="shared" ref="F840:K840" si="1690">VLOOKUP($A840,[2]Educación!$A$1:$O$276,F$1,0)</f>
        <v>#N/A</v>
      </c>
      <c r="G840" s="39" t="e">
        <f t="shared" si="1690"/>
        <v>#N/A</v>
      </c>
      <c r="H840" s="16" t="e">
        <f t="shared" si="1690"/>
        <v>#N/A</v>
      </c>
      <c r="I840" s="16" t="e">
        <f t="shared" si="1690"/>
        <v>#N/A</v>
      </c>
      <c r="J840" s="40" t="e">
        <f t="shared" si="1690"/>
        <v>#N/A</v>
      </c>
      <c r="K840" s="16" t="e">
        <f t="shared" si="1690"/>
        <v>#N/A</v>
      </c>
      <c r="L840" s="40" t="e">
        <f t="shared" si="1213"/>
        <v>#N/A</v>
      </c>
      <c r="M840" s="16" t="e">
        <f t="shared" si="1214"/>
        <v>#N/A</v>
      </c>
      <c r="N840" s="16" t="e">
        <f t="shared" si="1215"/>
        <v>#N/A</v>
      </c>
      <c r="O840" s="16" t="s">
        <v>66</v>
      </c>
      <c r="P840" s="16" t="str">
        <f t="shared" si="6"/>
        <v/>
      </c>
      <c r="Q840" s="41" t="e">
        <f t="shared" si="1216"/>
        <v>#N/A</v>
      </c>
      <c r="R840" s="44"/>
      <c r="S840" s="44"/>
      <c r="T840" s="43"/>
      <c r="U840" s="43" t="str">
        <f t="shared" si="8"/>
        <v>No</v>
      </c>
      <c r="V840" s="25"/>
      <c r="W840" s="25"/>
      <c r="X840" s="25"/>
      <c r="Y840" s="25"/>
      <c r="Z840" s="25"/>
    </row>
    <row r="841" spans="1:26" ht="15.75" customHeight="1" x14ac:dyDescent="0.25">
      <c r="A841" s="25">
        <v>839</v>
      </c>
      <c r="B841" s="37" t="e">
        <f t="shared" ref="B841:D841" si="1691">VLOOKUP($A841,[2]Educación!$A$1:$O$276,B$1,0)</f>
        <v>#N/A</v>
      </c>
      <c r="C841" s="38" t="e">
        <f t="shared" si="1691"/>
        <v>#N/A</v>
      </c>
      <c r="D841" s="39" t="e">
        <f t="shared" si="1691"/>
        <v>#N/A</v>
      </c>
      <c r="E841" s="16" t="e">
        <f t="shared" si="1"/>
        <v>#N/A</v>
      </c>
      <c r="F841" s="16" t="e">
        <f t="shared" ref="F841:K841" si="1692">VLOOKUP($A841,[2]Educación!$A$1:$O$276,F$1,0)</f>
        <v>#N/A</v>
      </c>
      <c r="G841" s="39" t="e">
        <f t="shared" si="1692"/>
        <v>#N/A</v>
      </c>
      <c r="H841" s="16" t="e">
        <f t="shared" si="1692"/>
        <v>#N/A</v>
      </c>
      <c r="I841" s="16" t="e">
        <f t="shared" si="1692"/>
        <v>#N/A</v>
      </c>
      <c r="J841" s="40" t="e">
        <f t="shared" si="1692"/>
        <v>#N/A</v>
      </c>
      <c r="K841" s="16" t="e">
        <f t="shared" si="1692"/>
        <v>#N/A</v>
      </c>
      <c r="L841" s="40" t="e">
        <f t="shared" si="1213"/>
        <v>#N/A</v>
      </c>
      <c r="M841" s="16" t="e">
        <f t="shared" si="1214"/>
        <v>#N/A</v>
      </c>
      <c r="N841" s="16" t="e">
        <f t="shared" si="1215"/>
        <v>#N/A</v>
      </c>
      <c r="O841" s="16" t="s">
        <v>66</v>
      </c>
      <c r="P841" s="16" t="str">
        <f t="shared" si="6"/>
        <v/>
      </c>
      <c r="Q841" s="41" t="e">
        <f t="shared" si="1216"/>
        <v>#N/A</v>
      </c>
      <c r="R841" s="44"/>
      <c r="S841" s="44"/>
      <c r="T841" s="43"/>
      <c r="U841" s="43" t="str">
        <f t="shared" si="8"/>
        <v>No</v>
      </c>
      <c r="V841" s="25"/>
      <c r="W841" s="25"/>
      <c r="X841" s="25"/>
      <c r="Y841" s="25"/>
      <c r="Z841" s="25"/>
    </row>
    <row r="842" spans="1:26" ht="15.75" customHeight="1" x14ac:dyDescent="0.25">
      <c r="A842" s="25">
        <v>840</v>
      </c>
      <c r="B842" s="37" t="e">
        <f t="shared" ref="B842:D842" si="1693">VLOOKUP($A842,[2]Educación!$A$1:$O$276,B$1,0)</f>
        <v>#N/A</v>
      </c>
      <c r="C842" s="38" t="e">
        <f t="shared" si="1693"/>
        <v>#N/A</v>
      </c>
      <c r="D842" s="39" t="e">
        <f t="shared" si="1693"/>
        <v>#N/A</v>
      </c>
      <c r="E842" s="16" t="e">
        <f t="shared" si="1"/>
        <v>#N/A</v>
      </c>
      <c r="F842" s="16" t="e">
        <f t="shared" ref="F842:K842" si="1694">VLOOKUP($A842,[2]Educación!$A$1:$O$276,F$1,0)</f>
        <v>#N/A</v>
      </c>
      <c r="G842" s="39" t="e">
        <f t="shared" si="1694"/>
        <v>#N/A</v>
      </c>
      <c r="H842" s="16" t="e">
        <f t="shared" si="1694"/>
        <v>#N/A</v>
      </c>
      <c r="I842" s="16" t="e">
        <f t="shared" si="1694"/>
        <v>#N/A</v>
      </c>
      <c r="J842" s="40" t="e">
        <f t="shared" si="1694"/>
        <v>#N/A</v>
      </c>
      <c r="K842" s="16" t="e">
        <f t="shared" si="1694"/>
        <v>#N/A</v>
      </c>
      <c r="L842" s="40" t="e">
        <f t="shared" si="1213"/>
        <v>#N/A</v>
      </c>
      <c r="M842" s="16" t="e">
        <f t="shared" si="1214"/>
        <v>#N/A</v>
      </c>
      <c r="N842" s="16" t="e">
        <f t="shared" si="1215"/>
        <v>#N/A</v>
      </c>
      <c r="O842" s="16" t="s">
        <v>66</v>
      </c>
      <c r="P842" s="16" t="str">
        <f t="shared" si="6"/>
        <v/>
      </c>
      <c r="Q842" s="41" t="e">
        <f t="shared" si="1216"/>
        <v>#N/A</v>
      </c>
      <c r="R842" s="44"/>
      <c r="S842" s="44"/>
      <c r="T842" s="43"/>
      <c r="U842" s="43" t="str">
        <f t="shared" si="8"/>
        <v>No</v>
      </c>
      <c r="V842" s="25"/>
      <c r="W842" s="25"/>
      <c r="X842" s="25"/>
      <c r="Y842" s="25"/>
      <c r="Z842" s="25"/>
    </row>
    <row r="843" spans="1:26" ht="15.75" customHeight="1" x14ac:dyDescent="0.25">
      <c r="A843" s="25">
        <v>841</v>
      </c>
      <c r="B843" s="37" t="e">
        <f t="shared" ref="B843:D843" si="1695">VLOOKUP($A843,[2]Educación!$A$1:$O$276,B$1,0)</f>
        <v>#N/A</v>
      </c>
      <c r="C843" s="38" t="e">
        <f t="shared" si="1695"/>
        <v>#N/A</v>
      </c>
      <c r="D843" s="39" t="e">
        <f t="shared" si="1695"/>
        <v>#N/A</v>
      </c>
      <c r="E843" s="16" t="e">
        <f t="shared" si="1"/>
        <v>#N/A</v>
      </c>
      <c r="F843" s="16" t="e">
        <f t="shared" ref="F843:K843" si="1696">VLOOKUP($A843,[2]Educación!$A$1:$O$276,F$1,0)</f>
        <v>#N/A</v>
      </c>
      <c r="G843" s="39" t="e">
        <f t="shared" si="1696"/>
        <v>#N/A</v>
      </c>
      <c r="H843" s="16" t="e">
        <f t="shared" si="1696"/>
        <v>#N/A</v>
      </c>
      <c r="I843" s="16" t="e">
        <f t="shared" si="1696"/>
        <v>#N/A</v>
      </c>
      <c r="J843" s="40" t="e">
        <f t="shared" si="1696"/>
        <v>#N/A</v>
      </c>
      <c r="K843" s="16" t="e">
        <f t="shared" si="1696"/>
        <v>#N/A</v>
      </c>
      <c r="L843" s="40" t="e">
        <f t="shared" si="1213"/>
        <v>#N/A</v>
      </c>
      <c r="M843" s="16" t="e">
        <f t="shared" si="1214"/>
        <v>#N/A</v>
      </c>
      <c r="N843" s="16" t="e">
        <f t="shared" si="1215"/>
        <v>#N/A</v>
      </c>
      <c r="O843" s="16" t="s">
        <v>66</v>
      </c>
      <c r="P843" s="16" t="str">
        <f t="shared" si="6"/>
        <v/>
      </c>
      <c r="Q843" s="41" t="e">
        <f t="shared" si="1216"/>
        <v>#N/A</v>
      </c>
      <c r="R843" s="44"/>
      <c r="S843" s="44"/>
      <c r="T843" s="43"/>
      <c r="U843" s="43" t="str">
        <f t="shared" si="8"/>
        <v>No</v>
      </c>
      <c r="V843" s="25"/>
      <c r="W843" s="25"/>
      <c r="X843" s="25"/>
      <c r="Y843" s="25"/>
      <c r="Z843" s="25"/>
    </row>
    <row r="844" spans="1:26" ht="15.75" customHeight="1" x14ac:dyDescent="0.25">
      <c r="A844" s="25">
        <v>842</v>
      </c>
      <c r="B844" s="37" t="e">
        <f t="shared" ref="B844:D844" si="1697">VLOOKUP($A844,[2]Educación!$A$1:$O$276,B$1,0)</f>
        <v>#N/A</v>
      </c>
      <c r="C844" s="38" t="e">
        <f t="shared" si="1697"/>
        <v>#N/A</v>
      </c>
      <c r="D844" s="39" t="e">
        <f t="shared" si="1697"/>
        <v>#N/A</v>
      </c>
      <c r="E844" s="16" t="e">
        <f t="shared" si="1"/>
        <v>#N/A</v>
      </c>
      <c r="F844" s="16" t="e">
        <f t="shared" ref="F844:K844" si="1698">VLOOKUP($A844,[2]Educación!$A$1:$O$276,F$1,0)</f>
        <v>#N/A</v>
      </c>
      <c r="G844" s="39" t="e">
        <f t="shared" si="1698"/>
        <v>#N/A</v>
      </c>
      <c r="H844" s="16" t="e">
        <f t="shared" si="1698"/>
        <v>#N/A</v>
      </c>
      <c r="I844" s="16" t="e">
        <f t="shared" si="1698"/>
        <v>#N/A</v>
      </c>
      <c r="J844" s="40" t="e">
        <f t="shared" si="1698"/>
        <v>#N/A</v>
      </c>
      <c r="K844" s="16" t="e">
        <f t="shared" si="1698"/>
        <v>#N/A</v>
      </c>
      <c r="L844" s="40" t="e">
        <f t="shared" si="1213"/>
        <v>#N/A</v>
      </c>
      <c r="M844" s="16" t="e">
        <f t="shared" si="1214"/>
        <v>#N/A</v>
      </c>
      <c r="N844" s="16" t="e">
        <f t="shared" si="1215"/>
        <v>#N/A</v>
      </c>
      <c r="O844" s="16" t="s">
        <v>66</v>
      </c>
      <c r="P844" s="16" t="str">
        <f t="shared" si="6"/>
        <v/>
      </c>
      <c r="Q844" s="41" t="e">
        <f t="shared" si="1216"/>
        <v>#N/A</v>
      </c>
      <c r="R844" s="44"/>
      <c r="S844" s="44"/>
      <c r="T844" s="43"/>
      <c r="U844" s="43" t="str">
        <f t="shared" si="8"/>
        <v>No</v>
      </c>
      <c r="V844" s="25"/>
      <c r="W844" s="25"/>
      <c r="X844" s="25"/>
      <c r="Y844" s="25"/>
      <c r="Z844" s="25"/>
    </row>
    <row r="845" spans="1:26" ht="15.75" customHeight="1" x14ac:dyDescent="0.25">
      <c r="A845" s="25">
        <v>843</v>
      </c>
      <c r="B845" s="37" t="e">
        <f t="shared" ref="B845:D845" si="1699">VLOOKUP($A845,[2]Educación!$A$1:$O$276,B$1,0)</f>
        <v>#N/A</v>
      </c>
      <c r="C845" s="38" t="e">
        <f t="shared" si="1699"/>
        <v>#N/A</v>
      </c>
      <c r="D845" s="39" t="e">
        <f t="shared" si="1699"/>
        <v>#N/A</v>
      </c>
      <c r="E845" s="16" t="e">
        <f t="shared" si="1"/>
        <v>#N/A</v>
      </c>
      <c r="F845" s="16" t="e">
        <f t="shared" ref="F845:K845" si="1700">VLOOKUP($A845,[2]Educación!$A$1:$O$276,F$1,0)</f>
        <v>#N/A</v>
      </c>
      <c r="G845" s="39" t="e">
        <f t="shared" si="1700"/>
        <v>#N/A</v>
      </c>
      <c r="H845" s="16" t="e">
        <f t="shared" si="1700"/>
        <v>#N/A</v>
      </c>
      <c r="I845" s="16" t="e">
        <f t="shared" si="1700"/>
        <v>#N/A</v>
      </c>
      <c r="J845" s="40" t="e">
        <f t="shared" si="1700"/>
        <v>#N/A</v>
      </c>
      <c r="K845" s="16" t="e">
        <f t="shared" si="1700"/>
        <v>#N/A</v>
      </c>
      <c r="L845" s="40" t="e">
        <f t="shared" si="1213"/>
        <v>#N/A</v>
      </c>
      <c r="M845" s="16" t="e">
        <f t="shared" si="1214"/>
        <v>#N/A</v>
      </c>
      <c r="N845" s="16" t="e">
        <f t="shared" si="1215"/>
        <v>#N/A</v>
      </c>
      <c r="O845" s="16" t="s">
        <v>66</v>
      </c>
      <c r="P845" s="16" t="str">
        <f t="shared" si="6"/>
        <v/>
      </c>
      <c r="Q845" s="41" t="e">
        <f t="shared" si="1216"/>
        <v>#N/A</v>
      </c>
      <c r="R845" s="44"/>
      <c r="S845" s="44"/>
      <c r="T845" s="43"/>
      <c r="U845" s="43" t="str">
        <f t="shared" si="8"/>
        <v>No</v>
      </c>
      <c r="V845" s="25"/>
      <c r="W845" s="25"/>
      <c r="X845" s="25"/>
      <c r="Y845" s="25"/>
      <c r="Z845" s="25"/>
    </row>
    <row r="846" spans="1:26" ht="15.75" customHeight="1" x14ac:dyDescent="0.25">
      <c r="A846" s="25">
        <v>844</v>
      </c>
      <c r="B846" s="37" t="e">
        <f t="shared" ref="B846:D846" si="1701">VLOOKUP($A846,[2]Educación!$A$1:$O$276,B$1,0)</f>
        <v>#N/A</v>
      </c>
      <c r="C846" s="38" t="e">
        <f t="shared" si="1701"/>
        <v>#N/A</v>
      </c>
      <c r="D846" s="39" t="e">
        <f t="shared" si="1701"/>
        <v>#N/A</v>
      </c>
      <c r="E846" s="16" t="e">
        <f t="shared" si="1"/>
        <v>#N/A</v>
      </c>
      <c r="F846" s="16" t="e">
        <f t="shared" ref="F846:K846" si="1702">VLOOKUP($A846,[2]Educación!$A$1:$O$276,F$1,0)</f>
        <v>#N/A</v>
      </c>
      <c r="G846" s="39" t="e">
        <f t="shared" si="1702"/>
        <v>#N/A</v>
      </c>
      <c r="H846" s="16" t="e">
        <f t="shared" si="1702"/>
        <v>#N/A</v>
      </c>
      <c r="I846" s="16" t="e">
        <f t="shared" si="1702"/>
        <v>#N/A</v>
      </c>
      <c r="J846" s="40" t="e">
        <f t="shared" si="1702"/>
        <v>#N/A</v>
      </c>
      <c r="K846" s="16" t="e">
        <f t="shared" si="1702"/>
        <v>#N/A</v>
      </c>
      <c r="L846" s="40" t="e">
        <f t="shared" si="1213"/>
        <v>#N/A</v>
      </c>
      <c r="M846" s="16" t="e">
        <f t="shared" si="1214"/>
        <v>#N/A</v>
      </c>
      <c r="N846" s="16" t="e">
        <f t="shared" si="1215"/>
        <v>#N/A</v>
      </c>
      <c r="O846" s="16" t="s">
        <v>66</v>
      </c>
      <c r="P846" s="16" t="str">
        <f t="shared" si="6"/>
        <v/>
      </c>
      <c r="Q846" s="41" t="e">
        <f t="shared" si="1216"/>
        <v>#N/A</v>
      </c>
      <c r="R846" s="44"/>
      <c r="S846" s="44"/>
      <c r="T846" s="43"/>
      <c r="U846" s="43" t="str">
        <f t="shared" si="8"/>
        <v>No</v>
      </c>
      <c r="V846" s="25"/>
      <c r="W846" s="25"/>
      <c r="X846" s="25"/>
      <c r="Y846" s="25"/>
      <c r="Z846" s="25"/>
    </row>
    <row r="847" spans="1:26" ht="15.75" customHeight="1" x14ac:dyDescent="0.25">
      <c r="A847" s="25">
        <v>845</v>
      </c>
      <c r="B847" s="37" t="e">
        <f t="shared" ref="B847:D847" si="1703">VLOOKUP($A847,[2]Educación!$A$1:$O$276,B$1,0)</f>
        <v>#N/A</v>
      </c>
      <c r="C847" s="38" t="e">
        <f t="shared" si="1703"/>
        <v>#N/A</v>
      </c>
      <c r="D847" s="39" t="e">
        <f t="shared" si="1703"/>
        <v>#N/A</v>
      </c>
      <c r="E847" s="16" t="e">
        <f t="shared" si="1"/>
        <v>#N/A</v>
      </c>
      <c r="F847" s="16" t="e">
        <f t="shared" ref="F847:K847" si="1704">VLOOKUP($A847,[2]Educación!$A$1:$O$276,F$1,0)</f>
        <v>#N/A</v>
      </c>
      <c r="G847" s="39" t="e">
        <f t="shared" si="1704"/>
        <v>#N/A</v>
      </c>
      <c r="H847" s="16" t="e">
        <f t="shared" si="1704"/>
        <v>#N/A</v>
      </c>
      <c r="I847" s="16" t="e">
        <f t="shared" si="1704"/>
        <v>#N/A</v>
      </c>
      <c r="J847" s="40" t="e">
        <f t="shared" si="1704"/>
        <v>#N/A</v>
      </c>
      <c r="K847" s="16" t="e">
        <f t="shared" si="1704"/>
        <v>#N/A</v>
      </c>
      <c r="L847" s="40" t="e">
        <f t="shared" si="1213"/>
        <v>#N/A</v>
      </c>
      <c r="M847" s="16" t="e">
        <f t="shared" si="1214"/>
        <v>#N/A</v>
      </c>
      <c r="N847" s="16" t="e">
        <f t="shared" si="1215"/>
        <v>#N/A</v>
      </c>
      <c r="O847" s="16" t="s">
        <v>66</v>
      </c>
      <c r="P847" s="16" t="str">
        <f t="shared" si="6"/>
        <v/>
      </c>
      <c r="Q847" s="41" t="e">
        <f t="shared" si="1216"/>
        <v>#N/A</v>
      </c>
      <c r="R847" s="44"/>
      <c r="S847" s="44"/>
      <c r="T847" s="43"/>
      <c r="U847" s="43" t="str">
        <f t="shared" si="8"/>
        <v>No</v>
      </c>
      <c r="V847" s="25"/>
      <c r="W847" s="25"/>
      <c r="X847" s="25"/>
      <c r="Y847" s="25"/>
      <c r="Z847" s="25"/>
    </row>
    <row r="848" spans="1:26" ht="15.75" customHeight="1" x14ac:dyDescent="0.25">
      <c r="A848" s="25">
        <v>846</v>
      </c>
      <c r="B848" s="37" t="e">
        <f t="shared" ref="B848:D848" si="1705">VLOOKUP($A848,[2]Educación!$A$1:$O$276,B$1,0)</f>
        <v>#N/A</v>
      </c>
      <c r="C848" s="38" t="e">
        <f t="shared" si="1705"/>
        <v>#N/A</v>
      </c>
      <c r="D848" s="39" t="e">
        <f t="shared" si="1705"/>
        <v>#N/A</v>
      </c>
      <c r="E848" s="16" t="e">
        <f t="shared" si="1"/>
        <v>#N/A</v>
      </c>
      <c r="F848" s="16" t="e">
        <f t="shared" ref="F848:K848" si="1706">VLOOKUP($A848,[2]Educación!$A$1:$O$276,F$1,0)</f>
        <v>#N/A</v>
      </c>
      <c r="G848" s="39" t="e">
        <f t="shared" si="1706"/>
        <v>#N/A</v>
      </c>
      <c r="H848" s="16" t="e">
        <f t="shared" si="1706"/>
        <v>#N/A</v>
      </c>
      <c r="I848" s="16" t="e">
        <f t="shared" si="1706"/>
        <v>#N/A</v>
      </c>
      <c r="J848" s="40" t="e">
        <f t="shared" si="1706"/>
        <v>#N/A</v>
      </c>
      <c r="K848" s="16" t="e">
        <f t="shared" si="1706"/>
        <v>#N/A</v>
      </c>
      <c r="L848" s="40" t="e">
        <f t="shared" si="1213"/>
        <v>#N/A</v>
      </c>
      <c r="M848" s="16" t="e">
        <f t="shared" si="1214"/>
        <v>#N/A</v>
      </c>
      <c r="N848" s="16" t="e">
        <f t="shared" si="1215"/>
        <v>#N/A</v>
      </c>
      <c r="O848" s="16" t="s">
        <v>66</v>
      </c>
      <c r="P848" s="16" t="str">
        <f t="shared" si="6"/>
        <v/>
      </c>
      <c r="Q848" s="41" t="e">
        <f t="shared" si="1216"/>
        <v>#N/A</v>
      </c>
      <c r="R848" s="44"/>
      <c r="S848" s="44"/>
      <c r="T848" s="43"/>
      <c r="U848" s="43" t="str">
        <f t="shared" si="8"/>
        <v>No</v>
      </c>
      <c r="V848" s="25"/>
      <c r="W848" s="25"/>
      <c r="X848" s="25"/>
      <c r="Y848" s="25"/>
      <c r="Z848" s="25"/>
    </row>
    <row r="849" spans="1:26" ht="15.75" customHeight="1" x14ac:dyDescent="0.25">
      <c r="A849" s="25">
        <v>847</v>
      </c>
      <c r="B849" s="37" t="e">
        <f t="shared" ref="B849:D849" si="1707">VLOOKUP($A849,[2]Educación!$A$1:$O$276,B$1,0)</f>
        <v>#N/A</v>
      </c>
      <c r="C849" s="38" t="e">
        <f t="shared" si="1707"/>
        <v>#N/A</v>
      </c>
      <c r="D849" s="39" t="e">
        <f t="shared" si="1707"/>
        <v>#N/A</v>
      </c>
      <c r="E849" s="16" t="e">
        <f t="shared" si="1"/>
        <v>#N/A</v>
      </c>
      <c r="F849" s="16" t="e">
        <f t="shared" ref="F849:K849" si="1708">VLOOKUP($A849,[2]Educación!$A$1:$O$276,F$1,0)</f>
        <v>#N/A</v>
      </c>
      <c r="G849" s="39" t="e">
        <f t="shared" si="1708"/>
        <v>#N/A</v>
      </c>
      <c r="H849" s="16" t="e">
        <f t="shared" si="1708"/>
        <v>#N/A</v>
      </c>
      <c r="I849" s="16" t="e">
        <f t="shared" si="1708"/>
        <v>#N/A</v>
      </c>
      <c r="J849" s="40" t="e">
        <f t="shared" si="1708"/>
        <v>#N/A</v>
      </c>
      <c r="K849" s="16" t="e">
        <f t="shared" si="1708"/>
        <v>#N/A</v>
      </c>
      <c r="L849" s="40" t="e">
        <f t="shared" si="1213"/>
        <v>#N/A</v>
      </c>
      <c r="M849" s="16" t="e">
        <f t="shared" si="1214"/>
        <v>#N/A</v>
      </c>
      <c r="N849" s="16" t="e">
        <f t="shared" si="1215"/>
        <v>#N/A</v>
      </c>
      <c r="O849" s="16" t="s">
        <v>66</v>
      </c>
      <c r="P849" s="16" t="str">
        <f t="shared" si="6"/>
        <v/>
      </c>
      <c r="Q849" s="41" t="e">
        <f t="shared" si="1216"/>
        <v>#N/A</v>
      </c>
      <c r="R849" s="44"/>
      <c r="S849" s="44"/>
      <c r="T849" s="43"/>
      <c r="U849" s="43" t="str">
        <f t="shared" si="8"/>
        <v>No</v>
      </c>
      <c r="V849" s="25"/>
      <c r="W849" s="25"/>
      <c r="X849" s="25"/>
      <c r="Y849" s="25"/>
      <c r="Z849" s="25"/>
    </row>
    <row r="850" spans="1:26" ht="15.75" customHeight="1" x14ac:dyDescent="0.25">
      <c r="A850" s="25">
        <v>848</v>
      </c>
      <c r="B850" s="37" t="e">
        <f t="shared" ref="B850:D850" si="1709">VLOOKUP($A850,[2]Educación!$A$1:$O$276,B$1,0)</f>
        <v>#N/A</v>
      </c>
      <c r="C850" s="38" t="e">
        <f t="shared" si="1709"/>
        <v>#N/A</v>
      </c>
      <c r="D850" s="39" t="e">
        <f t="shared" si="1709"/>
        <v>#N/A</v>
      </c>
      <c r="E850" s="16" t="e">
        <f t="shared" si="1"/>
        <v>#N/A</v>
      </c>
      <c r="F850" s="16" t="e">
        <f t="shared" ref="F850:K850" si="1710">VLOOKUP($A850,[2]Educación!$A$1:$O$276,F$1,0)</f>
        <v>#N/A</v>
      </c>
      <c r="G850" s="39" t="e">
        <f t="shared" si="1710"/>
        <v>#N/A</v>
      </c>
      <c r="H850" s="16" t="e">
        <f t="shared" si="1710"/>
        <v>#N/A</v>
      </c>
      <c r="I850" s="16" t="e">
        <f t="shared" si="1710"/>
        <v>#N/A</v>
      </c>
      <c r="J850" s="40" t="e">
        <f t="shared" si="1710"/>
        <v>#N/A</v>
      </c>
      <c r="K850" s="16" t="e">
        <f t="shared" si="1710"/>
        <v>#N/A</v>
      </c>
      <c r="L850" s="40" t="e">
        <f t="shared" si="1213"/>
        <v>#N/A</v>
      </c>
      <c r="M850" s="16" t="e">
        <f t="shared" si="1214"/>
        <v>#N/A</v>
      </c>
      <c r="N850" s="16" t="e">
        <f t="shared" si="1215"/>
        <v>#N/A</v>
      </c>
      <c r="O850" s="16" t="s">
        <v>66</v>
      </c>
      <c r="P850" s="16" t="str">
        <f t="shared" si="6"/>
        <v/>
      </c>
      <c r="Q850" s="41" t="e">
        <f t="shared" si="1216"/>
        <v>#N/A</v>
      </c>
      <c r="R850" s="44"/>
      <c r="S850" s="44"/>
      <c r="T850" s="43"/>
      <c r="U850" s="43" t="str">
        <f t="shared" si="8"/>
        <v>No</v>
      </c>
      <c r="V850" s="25"/>
      <c r="W850" s="25"/>
      <c r="X850" s="25"/>
      <c r="Y850" s="25"/>
      <c r="Z850" s="25"/>
    </row>
    <row r="851" spans="1:26" ht="15.75" customHeight="1" x14ac:dyDescent="0.25">
      <c r="A851" s="25">
        <v>849</v>
      </c>
      <c r="B851" s="37" t="e">
        <f t="shared" ref="B851:D851" si="1711">VLOOKUP($A851,[2]Educación!$A$1:$O$276,B$1,0)</f>
        <v>#N/A</v>
      </c>
      <c r="C851" s="38" t="e">
        <f t="shared" si="1711"/>
        <v>#N/A</v>
      </c>
      <c r="D851" s="39" t="e">
        <f t="shared" si="1711"/>
        <v>#N/A</v>
      </c>
      <c r="E851" s="16" t="e">
        <f t="shared" si="1"/>
        <v>#N/A</v>
      </c>
      <c r="F851" s="16" t="e">
        <f t="shared" ref="F851:K851" si="1712">VLOOKUP($A851,[2]Educación!$A$1:$O$276,F$1,0)</f>
        <v>#N/A</v>
      </c>
      <c r="G851" s="39" t="e">
        <f t="shared" si="1712"/>
        <v>#N/A</v>
      </c>
      <c r="H851" s="16" t="e">
        <f t="shared" si="1712"/>
        <v>#N/A</v>
      </c>
      <c r="I851" s="16" t="e">
        <f t="shared" si="1712"/>
        <v>#N/A</v>
      </c>
      <c r="J851" s="40" t="e">
        <f t="shared" si="1712"/>
        <v>#N/A</v>
      </c>
      <c r="K851" s="16" t="e">
        <f t="shared" si="1712"/>
        <v>#N/A</v>
      </c>
      <c r="L851" s="40" t="e">
        <f t="shared" si="1213"/>
        <v>#N/A</v>
      </c>
      <c r="M851" s="16" t="e">
        <f t="shared" si="1214"/>
        <v>#N/A</v>
      </c>
      <c r="N851" s="16" t="e">
        <f t="shared" si="1215"/>
        <v>#N/A</v>
      </c>
      <c r="O851" s="16" t="s">
        <v>66</v>
      </c>
      <c r="P851" s="16" t="str">
        <f t="shared" si="6"/>
        <v/>
      </c>
      <c r="Q851" s="41" t="e">
        <f t="shared" si="1216"/>
        <v>#N/A</v>
      </c>
      <c r="R851" s="44"/>
      <c r="S851" s="44"/>
      <c r="T851" s="43"/>
      <c r="U851" s="43" t="str">
        <f t="shared" si="8"/>
        <v>No</v>
      </c>
      <c r="V851" s="25"/>
      <c r="W851" s="25"/>
      <c r="X851" s="25"/>
      <c r="Y851" s="25"/>
      <c r="Z851" s="25"/>
    </row>
    <row r="852" spans="1:26" ht="15.75" customHeight="1" x14ac:dyDescent="0.25">
      <c r="A852" s="25">
        <v>850</v>
      </c>
      <c r="B852" s="37" t="e">
        <f t="shared" ref="B852:D852" si="1713">VLOOKUP($A852,[2]Educación!$A$1:$O$276,B$1,0)</f>
        <v>#N/A</v>
      </c>
      <c r="C852" s="38" t="e">
        <f t="shared" si="1713"/>
        <v>#N/A</v>
      </c>
      <c r="D852" s="39" t="e">
        <f t="shared" si="1713"/>
        <v>#N/A</v>
      </c>
      <c r="E852" s="16" t="e">
        <f t="shared" si="1"/>
        <v>#N/A</v>
      </c>
      <c r="F852" s="16" t="e">
        <f t="shared" ref="F852:K852" si="1714">VLOOKUP($A852,[2]Educación!$A$1:$O$276,F$1,0)</f>
        <v>#N/A</v>
      </c>
      <c r="G852" s="39" t="e">
        <f t="shared" si="1714"/>
        <v>#N/A</v>
      </c>
      <c r="H852" s="16" t="e">
        <f t="shared" si="1714"/>
        <v>#N/A</v>
      </c>
      <c r="I852" s="16" t="e">
        <f t="shared" si="1714"/>
        <v>#N/A</v>
      </c>
      <c r="J852" s="40" t="e">
        <f t="shared" si="1714"/>
        <v>#N/A</v>
      </c>
      <c r="K852" s="16" t="e">
        <f t="shared" si="1714"/>
        <v>#N/A</v>
      </c>
      <c r="L852" s="40" t="e">
        <f t="shared" si="1213"/>
        <v>#N/A</v>
      </c>
      <c r="M852" s="16" t="e">
        <f t="shared" si="1214"/>
        <v>#N/A</v>
      </c>
      <c r="N852" s="16" t="e">
        <f t="shared" si="1215"/>
        <v>#N/A</v>
      </c>
      <c r="O852" s="16" t="s">
        <v>66</v>
      </c>
      <c r="P852" s="16" t="str">
        <f t="shared" si="6"/>
        <v/>
      </c>
      <c r="Q852" s="41" t="e">
        <f t="shared" si="1216"/>
        <v>#N/A</v>
      </c>
      <c r="R852" s="44"/>
      <c r="S852" s="44"/>
      <c r="T852" s="43"/>
      <c r="U852" s="43" t="str">
        <f t="shared" si="8"/>
        <v>No</v>
      </c>
      <c r="V852" s="25"/>
      <c r="W852" s="25"/>
      <c r="X852" s="25"/>
      <c r="Y852" s="25"/>
      <c r="Z852" s="25"/>
    </row>
    <row r="853" spans="1:26" ht="15.75" customHeight="1" x14ac:dyDescent="0.25">
      <c r="A853" s="25">
        <v>851</v>
      </c>
      <c r="B853" s="37" t="e">
        <f t="shared" ref="B853:D853" si="1715">VLOOKUP($A853,[2]Educación!$A$1:$O$276,B$1,0)</f>
        <v>#N/A</v>
      </c>
      <c r="C853" s="38" t="e">
        <f t="shared" si="1715"/>
        <v>#N/A</v>
      </c>
      <c r="D853" s="39" t="e">
        <f t="shared" si="1715"/>
        <v>#N/A</v>
      </c>
      <c r="E853" s="16" t="e">
        <f t="shared" si="1"/>
        <v>#N/A</v>
      </c>
      <c r="F853" s="16" t="e">
        <f t="shared" ref="F853:K853" si="1716">VLOOKUP($A853,[2]Educación!$A$1:$O$276,F$1,0)</f>
        <v>#N/A</v>
      </c>
      <c r="G853" s="39" t="e">
        <f t="shared" si="1716"/>
        <v>#N/A</v>
      </c>
      <c r="H853" s="16" t="e">
        <f t="shared" si="1716"/>
        <v>#N/A</v>
      </c>
      <c r="I853" s="16" t="e">
        <f t="shared" si="1716"/>
        <v>#N/A</v>
      </c>
      <c r="J853" s="40" t="e">
        <f t="shared" si="1716"/>
        <v>#N/A</v>
      </c>
      <c r="K853" s="16" t="e">
        <f t="shared" si="1716"/>
        <v>#N/A</v>
      </c>
      <c r="L853" s="40" t="e">
        <f t="shared" si="1213"/>
        <v>#N/A</v>
      </c>
      <c r="M853" s="16" t="e">
        <f t="shared" si="1214"/>
        <v>#N/A</v>
      </c>
      <c r="N853" s="16" t="e">
        <f t="shared" si="1215"/>
        <v>#N/A</v>
      </c>
      <c r="O853" s="16" t="s">
        <v>66</v>
      </c>
      <c r="P853" s="16" t="str">
        <f t="shared" si="6"/>
        <v/>
      </c>
      <c r="Q853" s="41" t="e">
        <f t="shared" si="1216"/>
        <v>#N/A</v>
      </c>
      <c r="R853" s="44"/>
      <c r="S853" s="44"/>
      <c r="T853" s="43"/>
      <c r="U853" s="43" t="str">
        <f t="shared" si="8"/>
        <v>No</v>
      </c>
      <c r="V853" s="25"/>
      <c r="W853" s="25"/>
      <c r="X853" s="25"/>
      <c r="Y853" s="25"/>
      <c r="Z853" s="25"/>
    </row>
    <row r="854" spans="1:26" ht="15.75" customHeight="1" x14ac:dyDescent="0.25">
      <c r="A854" s="25">
        <v>852</v>
      </c>
      <c r="B854" s="37" t="e">
        <f t="shared" ref="B854:D854" si="1717">VLOOKUP($A854,[2]Educación!$A$1:$O$276,B$1,0)</f>
        <v>#N/A</v>
      </c>
      <c r="C854" s="38" t="e">
        <f t="shared" si="1717"/>
        <v>#N/A</v>
      </c>
      <c r="D854" s="39" t="e">
        <f t="shared" si="1717"/>
        <v>#N/A</v>
      </c>
      <c r="E854" s="16" t="e">
        <f t="shared" si="1"/>
        <v>#N/A</v>
      </c>
      <c r="F854" s="16" t="e">
        <f t="shared" ref="F854:K854" si="1718">VLOOKUP($A854,[2]Educación!$A$1:$O$276,F$1,0)</f>
        <v>#N/A</v>
      </c>
      <c r="G854" s="39" t="e">
        <f t="shared" si="1718"/>
        <v>#N/A</v>
      </c>
      <c r="H854" s="16" t="e">
        <f t="shared" si="1718"/>
        <v>#N/A</v>
      </c>
      <c r="I854" s="16" t="e">
        <f t="shared" si="1718"/>
        <v>#N/A</v>
      </c>
      <c r="J854" s="40" t="e">
        <f t="shared" si="1718"/>
        <v>#N/A</v>
      </c>
      <c r="K854" s="16" t="e">
        <f t="shared" si="1718"/>
        <v>#N/A</v>
      </c>
      <c r="L854" s="40" t="e">
        <f t="shared" si="1213"/>
        <v>#N/A</v>
      </c>
      <c r="M854" s="16" t="e">
        <f t="shared" si="1214"/>
        <v>#N/A</v>
      </c>
      <c r="N854" s="16" t="e">
        <f t="shared" si="1215"/>
        <v>#N/A</v>
      </c>
      <c r="O854" s="16" t="s">
        <v>66</v>
      </c>
      <c r="P854" s="16" t="str">
        <f t="shared" si="6"/>
        <v/>
      </c>
      <c r="Q854" s="41" t="e">
        <f t="shared" si="1216"/>
        <v>#N/A</v>
      </c>
      <c r="R854" s="44"/>
      <c r="S854" s="44"/>
      <c r="T854" s="43"/>
      <c r="U854" s="43" t="str">
        <f t="shared" si="8"/>
        <v>No</v>
      </c>
      <c r="V854" s="25"/>
      <c r="W854" s="25"/>
      <c r="X854" s="25"/>
      <c r="Y854" s="25"/>
      <c r="Z854" s="25"/>
    </row>
    <row r="855" spans="1:26" ht="15.75" customHeight="1" x14ac:dyDescent="0.25">
      <c r="A855" s="25">
        <v>853</v>
      </c>
      <c r="B855" s="37" t="e">
        <f t="shared" ref="B855:D855" si="1719">VLOOKUP($A855,[2]Educación!$A$1:$O$276,B$1,0)</f>
        <v>#N/A</v>
      </c>
      <c r="C855" s="38" t="e">
        <f t="shared" si="1719"/>
        <v>#N/A</v>
      </c>
      <c r="D855" s="39" t="e">
        <f t="shared" si="1719"/>
        <v>#N/A</v>
      </c>
      <c r="E855" s="16" t="e">
        <f t="shared" si="1"/>
        <v>#N/A</v>
      </c>
      <c r="F855" s="16" t="e">
        <f t="shared" ref="F855:K855" si="1720">VLOOKUP($A855,[2]Educación!$A$1:$O$276,F$1,0)</f>
        <v>#N/A</v>
      </c>
      <c r="G855" s="39" t="e">
        <f t="shared" si="1720"/>
        <v>#N/A</v>
      </c>
      <c r="H855" s="16" t="e">
        <f t="shared" si="1720"/>
        <v>#N/A</v>
      </c>
      <c r="I855" s="16" t="e">
        <f t="shared" si="1720"/>
        <v>#N/A</v>
      </c>
      <c r="J855" s="40" t="e">
        <f t="shared" si="1720"/>
        <v>#N/A</v>
      </c>
      <c r="K855" s="16" t="e">
        <f t="shared" si="1720"/>
        <v>#N/A</v>
      </c>
      <c r="L855" s="40" t="e">
        <f t="shared" si="1213"/>
        <v>#N/A</v>
      </c>
      <c r="M855" s="16" t="e">
        <f t="shared" si="1214"/>
        <v>#N/A</v>
      </c>
      <c r="N855" s="16" t="e">
        <f t="shared" si="1215"/>
        <v>#N/A</v>
      </c>
      <c r="O855" s="16" t="s">
        <v>66</v>
      </c>
      <c r="P855" s="16" t="str">
        <f t="shared" si="6"/>
        <v/>
      </c>
      <c r="Q855" s="41" t="e">
        <f t="shared" si="1216"/>
        <v>#N/A</v>
      </c>
      <c r="R855" s="44"/>
      <c r="S855" s="44"/>
      <c r="T855" s="43"/>
      <c r="U855" s="43" t="str">
        <f t="shared" si="8"/>
        <v>No</v>
      </c>
      <c r="V855" s="25"/>
      <c r="W855" s="25"/>
      <c r="X855" s="25"/>
      <c r="Y855" s="25"/>
      <c r="Z855" s="25"/>
    </row>
    <row r="856" spans="1:26" ht="15.75" customHeight="1" x14ac:dyDescent="0.25">
      <c r="A856" s="25">
        <v>854</v>
      </c>
      <c r="B856" s="37" t="e">
        <f t="shared" ref="B856:D856" si="1721">VLOOKUP($A856,[2]Educación!$A$1:$O$276,B$1,0)</f>
        <v>#N/A</v>
      </c>
      <c r="C856" s="38" t="e">
        <f t="shared" si="1721"/>
        <v>#N/A</v>
      </c>
      <c r="D856" s="39" t="e">
        <f t="shared" si="1721"/>
        <v>#N/A</v>
      </c>
      <c r="E856" s="16" t="e">
        <f t="shared" si="1"/>
        <v>#N/A</v>
      </c>
      <c r="F856" s="16" t="e">
        <f t="shared" ref="F856:K856" si="1722">VLOOKUP($A856,[2]Educación!$A$1:$O$276,F$1,0)</f>
        <v>#N/A</v>
      </c>
      <c r="G856" s="39" t="e">
        <f t="shared" si="1722"/>
        <v>#N/A</v>
      </c>
      <c r="H856" s="16" t="e">
        <f t="shared" si="1722"/>
        <v>#N/A</v>
      </c>
      <c r="I856" s="16" t="e">
        <f t="shared" si="1722"/>
        <v>#N/A</v>
      </c>
      <c r="J856" s="40" t="e">
        <f t="shared" si="1722"/>
        <v>#N/A</v>
      </c>
      <c r="K856" s="16" t="e">
        <f t="shared" si="1722"/>
        <v>#N/A</v>
      </c>
      <c r="L856" s="40" t="e">
        <f t="shared" si="1213"/>
        <v>#N/A</v>
      </c>
      <c r="M856" s="16" t="e">
        <f t="shared" si="1214"/>
        <v>#N/A</v>
      </c>
      <c r="N856" s="16" t="e">
        <f t="shared" si="1215"/>
        <v>#N/A</v>
      </c>
      <c r="O856" s="16" t="s">
        <v>66</v>
      </c>
      <c r="P856" s="16" t="str">
        <f t="shared" si="6"/>
        <v/>
      </c>
      <c r="Q856" s="41" t="e">
        <f t="shared" si="1216"/>
        <v>#N/A</v>
      </c>
      <c r="R856" s="44"/>
      <c r="S856" s="44"/>
      <c r="T856" s="43"/>
      <c r="U856" s="43" t="str">
        <f t="shared" si="8"/>
        <v>No</v>
      </c>
      <c r="V856" s="25"/>
      <c r="W856" s="25"/>
      <c r="X856" s="25"/>
      <c r="Y856" s="25"/>
      <c r="Z856" s="25"/>
    </row>
    <row r="857" spans="1:26" ht="15.75" customHeight="1" x14ac:dyDescent="0.25">
      <c r="A857" s="25">
        <v>855</v>
      </c>
      <c r="B857" s="37" t="e">
        <f t="shared" ref="B857:D857" si="1723">VLOOKUP($A857,[2]Educación!$A$1:$O$276,B$1,0)</f>
        <v>#N/A</v>
      </c>
      <c r="C857" s="38" t="e">
        <f t="shared" si="1723"/>
        <v>#N/A</v>
      </c>
      <c r="D857" s="39" t="e">
        <f t="shared" si="1723"/>
        <v>#N/A</v>
      </c>
      <c r="E857" s="16" t="e">
        <f t="shared" si="1"/>
        <v>#N/A</v>
      </c>
      <c r="F857" s="16" t="e">
        <f t="shared" ref="F857:K857" si="1724">VLOOKUP($A857,[2]Educación!$A$1:$O$276,F$1,0)</f>
        <v>#N/A</v>
      </c>
      <c r="G857" s="39" t="e">
        <f t="shared" si="1724"/>
        <v>#N/A</v>
      </c>
      <c r="H857" s="16" t="e">
        <f t="shared" si="1724"/>
        <v>#N/A</v>
      </c>
      <c r="I857" s="16" t="e">
        <f t="shared" si="1724"/>
        <v>#N/A</v>
      </c>
      <c r="J857" s="40" t="e">
        <f t="shared" si="1724"/>
        <v>#N/A</v>
      </c>
      <c r="K857" s="16" t="e">
        <f t="shared" si="1724"/>
        <v>#N/A</v>
      </c>
      <c r="L857" s="40" t="e">
        <f t="shared" si="1213"/>
        <v>#N/A</v>
      </c>
      <c r="M857" s="16" t="e">
        <f t="shared" si="1214"/>
        <v>#N/A</v>
      </c>
      <c r="N857" s="16" t="e">
        <f t="shared" si="1215"/>
        <v>#N/A</v>
      </c>
      <c r="O857" s="16" t="s">
        <v>66</v>
      </c>
      <c r="P857" s="16" t="str">
        <f t="shared" si="6"/>
        <v/>
      </c>
      <c r="Q857" s="41" t="e">
        <f t="shared" si="1216"/>
        <v>#N/A</v>
      </c>
      <c r="R857" s="44"/>
      <c r="S857" s="44"/>
      <c r="T857" s="43"/>
      <c r="U857" s="43" t="str">
        <f t="shared" si="8"/>
        <v>No</v>
      </c>
      <c r="V857" s="25"/>
      <c r="W857" s="25"/>
      <c r="X857" s="25"/>
      <c r="Y857" s="25"/>
      <c r="Z857" s="25"/>
    </row>
    <row r="858" spans="1:26" ht="15.75" customHeight="1" x14ac:dyDescent="0.25">
      <c r="A858" s="25">
        <v>856</v>
      </c>
      <c r="B858" s="37" t="e">
        <f t="shared" ref="B858:D858" si="1725">VLOOKUP($A858,[2]Educación!$A$1:$O$276,B$1,0)</f>
        <v>#N/A</v>
      </c>
      <c r="C858" s="38" t="e">
        <f t="shared" si="1725"/>
        <v>#N/A</v>
      </c>
      <c r="D858" s="39" t="e">
        <f t="shared" si="1725"/>
        <v>#N/A</v>
      </c>
      <c r="E858" s="16" t="e">
        <f t="shared" si="1"/>
        <v>#N/A</v>
      </c>
      <c r="F858" s="16" t="e">
        <f t="shared" ref="F858:K858" si="1726">VLOOKUP($A858,[2]Educación!$A$1:$O$276,F$1,0)</f>
        <v>#N/A</v>
      </c>
      <c r="G858" s="39" t="e">
        <f t="shared" si="1726"/>
        <v>#N/A</v>
      </c>
      <c r="H858" s="16" t="e">
        <f t="shared" si="1726"/>
        <v>#N/A</v>
      </c>
      <c r="I858" s="16" t="e">
        <f t="shared" si="1726"/>
        <v>#N/A</v>
      </c>
      <c r="J858" s="40" t="e">
        <f t="shared" si="1726"/>
        <v>#N/A</v>
      </c>
      <c r="K858" s="16" t="e">
        <f t="shared" si="1726"/>
        <v>#N/A</v>
      </c>
      <c r="L858" s="40" t="e">
        <f t="shared" si="1213"/>
        <v>#N/A</v>
      </c>
      <c r="M858" s="16" t="e">
        <f t="shared" si="1214"/>
        <v>#N/A</v>
      </c>
      <c r="N858" s="16" t="e">
        <f t="shared" si="1215"/>
        <v>#N/A</v>
      </c>
      <c r="O858" s="16" t="s">
        <v>66</v>
      </c>
      <c r="P858" s="16" t="str">
        <f t="shared" si="6"/>
        <v/>
      </c>
      <c r="Q858" s="41" t="e">
        <f t="shared" si="1216"/>
        <v>#N/A</v>
      </c>
      <c r="R858" s="44"/>
      <c r="S858" s="44"/>
      <c r="T858" s="43"/>
      <c r="U858" s="43" t="str">
        <f t="shared" si="8"/>
        <v>No</v>
      </c>
      <c r="V858" s="25"/>
      <c r="W858" s="25"/>
      <c r="X858" s="25"/>
      <c r="Y858" s="25"/>
      <c r="Z858" s="25"/>
    </row>
    <row r="859" spans="1:26" ht="15.75" customHeight="1" x14ac:dyDescent="0.25">
      <c r="A859" s="25">
        <v>857</v>
      </c>
      <c r="B859" s="37" t="e">
        <f t="shared" ref="B859:D859" si="1727">VLOOKUP($A859,[2]Educación!$A$1:$O$276,B$1,0)</f>
        <v>#N/A</v>
      </c>
      <c r="C859" s="38" t="e">
        <f t="shared" si="1727"/>
        <v>#N/A</v>
      </c>
      <c r="D859" s="39" t="e">
        <f t="shared" si="1727"/>
        <v>#N/A</v>
      </c>
      <c r="E859" s="16" t="e">
        <f t="shared" si="1"/>
        <v>#N/A</v>
      </c>
      <c r="F859" s="16" t="e">
        <f t="shared" ref="F859:K859" si="1728">VLOOKUP($A859,[2]Educación!$A$1:$O$276,F$1,0)</f>
        <v>#N/A</v>
      </c>
      <c r="G859" s="39" t="e">
        <f t="shared" si="1728"/>
        <v>#N/A</v>
      </c>
      <c r="H859" s="16" t="e">
        <f t="shared" si="1728"/>
        <v>#N/A</v>
      </c>
      <c r="I859" s="16" t="e">
        <f t="shared" si="1728"/>
        <v>#N/A</v>
      </c>
      <c r="J859" s="40" t="e">
        <f t="shared" si="1728"/>
        <v>#N/A</v>
      </c>
      <c r="K859" s="16" t="e">
        <f t="shared" si="1728"/>
        <v>#N/A</v>
      </c>
      <c r="L859" s="40" t="e">
        <f t="shared" si="1213"/>
        <v>#N/A</v>
      </c>
      <c r="M859" s="16" t="e">
        <f t="shared" si="1214"/>
        <v>#N/A</v>
      </c>
      <c r="N859" s="16" t="e">
        <f t="shared" si="1215"/>
        <v>#N/A</v>
      </c>
      <c r="O859" s="16" t="s">
        <v>66</v>
      </c>
      <c r="P859" s="16" t="str">
        <f t="shared" si="6"/>
        <v/>
      </c>
      <c r="Q859" s="41" t="e">
        <f t="shared" si="1216"/>
        <v>#N/A</v>
      </c>
      <c r="R859" s="44"/>
      <c r="S859" s="44"/>
      <c r="T859" s="43"/>
      <c r="U859" s="43" t="str">
        <f t="shared" si="8"/>
        <v>No</v>
      </c>
      <c r="V859" s="25"/>
      <c r="W859" s="25"/>
      <c r="X859" s="25"/>
      <c r="Y859" s="25"/>
      <c r="Z859" s="25"/>
    </row>
    <row r="860" spans="1:26" ht="15.75" customHeight="1" x14ac:dyDescent="0.25">
      <c r="A860" s="25">
        <v>858</v>
      </c>
      <c r="B860" s="37" t="e">
        <f t="shared" ref="B860:D860" si="1729">VLOOKUP($A860,[2]Educación!$A$1:$O$276,B$1,0)</f>
        <v>#N/A</v>
      </c>
      <c r="C860" s="38" t="e">
        <f t="shared" si="1729"/>
        <v>#N/A</v>
      </c>
      <c r="D860" s="39" t="e">
        <f t="shared" si="1729"/>
        <v>#N/A</v>
      </c>
      <c r="E860" s="16" t="e">
        <f t="shared" si="1"/>
        <v>#N/A</v>
      </c>
      <c r="F860" s="16" t="e">
        <f t="shared" ref="F860:K860" si="1730">VLOOKUP($A860,[2]Educación!$A$1:$O$276,F$1,0)</f>
        <v>#N/A</v>
      </c>
      <c r="G860" s="39" t="e">
        <f t="shared" si="1730"/>
        <v>#N/A</v>
      </c>
      <c r="H860" s="16" t="e">
        <f t="shared" si="1730"/>
        <v>#N/A</v>
      </c>
      <c r="I860" s="16" t="e">
        <f t="shared" si="1730"/>
        <v>#N/A</v>
      </c>
      <c r="J860" s="40" t="e">
        <f t="shared" si="1730"/>
        <v>#N/A</v>
      </c>
      <c r="K860" s="16" t="e">
        <f t="shared" si="1730"/>
        <v>#N/A</v>
      </c>
      <c r="L860" s="40" t="e">
        <f t="shared" si="1213"/>
        <v>#N/A</v>
      </c>
      <c r="M860" s="16" t="e">
        <f t="shared" si="1214"/>
        <v>#N/A</v>
      </c>
      <c r="N860" s="16" t="e">
        <f t="shared" si="1215"/>
        <v>#N/A</v>
      </c>
      <c r="O860" s="16" t="s">
        <v>66</v>
      </c>
      <c r="P860" s="16" t="str">
        <f t="shared" si="6"/>
        <v/>
      </c>
      <c r="Q860" s="41" t="e">
        <f t="shared" si="1216"/>
        <v>#N/A</v>
      </c>
      <c r="R860" s="44"/>
      <c r="S860" s="44"/>
      <c r="T860" s="43"/>
      <c r="U860" s="43" t="str">
        <f t="shared" si="8"/>
        <v>No</v>
      </c>
      <c r="V860" s="25"/>
      <c r="W860" s="25"/>
      <c r="X860" s="25"/>
      <c r="Y860" s="25"/>
      <c r="Z860" s="25"/>
    </row>
    <row r="861" spans="1:26" ht="15.75" customHeight="1" x14ac:dyDescent="0.25">
      <c r="A861" s="25">
        <v>859</v>
      </c>
      <c r="B861" s="37" t="e">
        <f t="shared" ref="B861:D861" si="1731">VLOOKUP($A861,[2]Educación!$A$1:$O$276,B$1,0)</f>
        <v>#N/A</v>
      </c>
      <c r="C861" s="38" t="e">
        <f t="shared" si="1731"/>
        <v>#N/A</v>
      </c>
      <c r="D861" s="39" t="e">
        <f t="shared" si="1731"/>
        <v>#N/A</v>
      </c>
      <c r="E861" s="16" t="e">
        <f t="shared" si="1"/>
        <v>#N/A</v>
      </c>
      <c r="F861" s="16" t="e">
        <f t="shared" ref="F861:K861" si="1732">VLOOKUP($A861,[2]Educación!$A$1:$O$276,F$1,0)</f>
        <v>#N/A</v>
      </c>
      <c r="G861" s="39" t="e">
        <f t="shared" si="1732"/>
        <v>#N/A</v>
      </c>
      <c r="H861" s="16" t="e">
        <f t="shared" si="1732"/>
        <v>#N/A</v>
      </c>
      <c r="I861" s="16" t="e">
        <f t="shared" si="1732"/>
        <v>#N/A</v>
      </c>
      <c r="J861" s="40" t="e">
        <f t="shared" si="1732"/>
        <v>#N/A</v>
      </c>
      <c r="K861" s="16" t="e">
        <f t="shared" si="1732"/>
        <v>#N/A</v>
      </c>
      <c r="L861" s="40" t="e">
        <f t="shared" si="1213"/>
        <v>#N/A</v>
      </c>
      <c r="M861" s="16" t="e">
        <f t="shared" si="1214"/>
        <v>#N/A</v>
      </c>
      <c r="N861" s="16" t="e">
        <f t="shared" si="1215"/>
        <v>#N/A</v>
      </c>
      <c r="O861" s="16" t="s">
        <v>66</v>
      </c>
      <c r="P861" s="16" t="str">
        <f t="shared" si="6"/>
        <v/>
      </c>
      <c r="Q861" s="41" t="e">
        <f t="shared" si="1216"/>
        <v>#N/A</v>
      </c>
      <c r="R861" s="44"/>
      <c r="S861" s="44"/>
      <c r="T861" s="43"/>
      <c r="U861" s="43" t="str">
        <f t="shared" si="8"/>
        <v>No</v>
      </c>
      <c r="V861" s="25"/>
      <c r="W861" s="25"/>
      <c r="X861" s="25"/>
      <c r="Y861" s="25"/>
      <c r="Z861" s="25"/>
    </row>
    <row r="862" spans="1:26" ht="15.75" customHeight="1" x14ac:dyDescent="0.25">
      <c r="A862" s="25">
        <v>860</v>
      </c>
      <c r="B862" s="37" t="e">
        <f t="shared" ref="B862:D862" si="1733">VLOOKUP($A862,[2]Educación!$A$1:$O$276,B$1,0)</f>
        <v>#N/A</v>
      </c>
      <c r="C862" s="38" t="e">
        <f t="shared" si="1733"/>
        <v>#N/A</v>
      </c>
      <c r="D862" s="39" t="e">
        <f t="shared" si="1733"/>
        <v>#N/A</v>
      </c>
      <c r="E862" s="16" t="e">
        <f t="shared" si="1"/>
        <v>#N/A</v>
      </c>
      <c r="F862" s="16" t="e">
        <f t="shared" ref="F862:K862" si="1734">VLOOKUP($A862,[2]Educación!$A$1:$O$276,F$1,0)</f>
        <v>#N/A</v>
      </c>
      <c r="G862" s="39" t="e">
        <f t="shared" si="1734"/>
        <v>#N/A</v>
      </c>
      <c r="H862" s="16" t="e">
        <f t="shared" si="1734"/>
        <v>#N/A</v>
      </c>
      <c r="I862" s="16" t="e">
        <f t="shared" si="1734"/>
        <v>#N/A</v>
      </c>
      <c r="J862" s="40" t="e">
        <f t="shared" si="1734"/>
        <v>#N/A</v>
      </c>
      <c r="K862" s="16" t="e">
        <f t="shared" si="1734"/>
        <v>#N/A</v>
      </c>
      <c r="L862" s="40" t="e">
        <f t="shared" si="1213"/>
        <v>#N/A</v>
      </c>
      <c r="M862" s="16" t="e">
        <f t="shared" si="1214"/>
        <v>#N/A</v>
      </c>
      <c r="N862" s="16" t="e">
        <f t="shared" si="1215"/>
        <v>#N/A</v>
      </c>
      <c r="O862" s="16" t="s">
        <v>66</v>
      </c>
      <c r="P862" s="16" t="str">
        <f t="shared" si="6"/>
        <v/>
      </c>
      <c r="Q862" s="41" t="e">
        <f t="shared" si="1216"/>
        <v>#N/A</v>
      </c>
      <c r="R862" s="44"/>
      <c r="S862" s="44"/>
      <c r="T862" s="43"/>
      <c r="U862" s="43" t="str">
        <f t="shared" si="8"/>
        <v>No</v>
      </c>
      <c r="V862" s="25"/>
      <c r="W862" s="25"/>
      <c r="X862" s="25"/>
      <c r="Y862" s="25"/>
      <c r="Z862" s="25"/>
    </row>
    <row r="863" spans="1:26" ht="15.75" customHeight="1" x14ac:dyDescent="0.25">
      <c r="A863" s="25">
        <v>861</v>
      </c>
      <c r="B863" s="37" t="e">
        <f t="shared" ref="B863:D863" si="1735">VLOOKUP($A863,[2]Educación!$A$1:$O$276,B$1,0)</f>
        <v>#N/A</v>
      </c>
      <c r="C863" s="38" t="e">
        <f t="shared" si="1735"/>
        <v>#N/A</v>
      </c>
      <c r="D863" s="39" t="e">
        <f t="shared" si="1735"/>
        <v>#N/A</v>
      </c>
      <c r="E863" s="16" t="e">
        <f t="shared" si="1"/>
        <v>#N/A</v>
      </c>
      <c r="F863" s="16" t="e">
        <f t="shared" ref="F863:K863" si="1736">VLOOKUP($A863,[2]Educación!$A$1:$O$276,F$1,0)</f>
        <v>#N/A</v>
      </c>
      <c r="G863" s="39" t="e">
        <f t="shared" si="1736"/>
        <v>#N/A</v>
      </c>
      <c r="H863" s="16" t="e">
        <f t="shared" si="1736"/>
        <v>#N/A</v>
      </c>
      <c r="I863" s="16" t="e">
        <f t="shared" si="1736"/>
        <v>#N/A</v>
      </c>
      <c r="J863" s="40" t="e">
        <f t="shared" si="1736"/>
        <v>#N/A</v>
      </c>
      <c r="K863" s="16" t="e">
        <f t="shared" si="1736"/>
        <v>#N/A</v>
      </c>
      <c r="L863" s="40" t="e">
        <f t="shared" si="1213"/>
        <v>#N/A</v>
      </c>
      <c r="M863" s="16" t="e">
        <f t="shared" si="1214"/>
        <v>#N/A</v>
      </c>
      <c r="N863" s="16" t="e">
        <f t="shared" si="1215"/>
        <v>#N/A</v>
      </c>
      <c r="O863" s="16" t="s">
        <v>66</v>
      </c>
      <c r="P863" s="16" t="str">
        <f t="shared" si="6"/>
        <v/>
      </c>
      <c r="Q863" s="41" t="e">
        <f t="shared" si="1216"/>
        <v>#N/A</v>
      </c>
      <c r="R863" s="44"/>
      <c r="S863" s="44"/>
      <c r="T863" s="43"/>
      <c r="U863" s="43" t="str">
        <f t="shared" si="8"/>
        <v>No</v>
      </c>
      <c r="V863" s="25"/>
      <c r="W863" s="25"/>
      <c r="X863" s="25"/>
      <c r="Y863" s="25"/>
      <c r="Z863" s="25"/>
    </row>
    <row r="864" spans="1:26" ht="15.75" customHeight="1" x14ac:dyDescent="0.25">
      <c r="A864" s="25">
        <v>862</v>
      </c>
      <c r="B864" s="37" t="e">
        <f t="shared" ref="B864:D864" si="1737">VLOOKUP($A864,[2]Educación!$A$1:$O$276,B$1,0)</f>
        <v>#N/A</v>
      </c>
      <c r="C864" s="38" t="e">
        <f t="shared" si="1737"/>
        <v>#N/A</v>
      </c>
      <c r="D864" s="39" t="e">
        <f t="shared" si="1737"/>
        <v>#N/A</v>
      </c>
      <c r="E864" s="16" t="e">
        <f t="shared" si="1"/>
        <v>#N/A</v>
      </c>
      <c r="F864" s="16" t="e">
        <f t="shared" ref="F864:K864" si="1738">VLOOKUP($A864,[2]Educación!$A$1:$O$276,F$1,0)</f>
        <v>#N/A</v>
      </c>
      <c r="G864" s="39" t="e">
        <f t="shared" si="1738"/>
        <v>#N/A</v>
      </c>
      <c r="H864" s="16" t="e">
        <f t="shared" si="1738"/>
        <v>#N/A</v>
      </c>
      <c r="I864" s="16" t="e">
        <f t="shared" si="1738"/>
        <v>#N/A</v>
      </c>
      <c r="J864" s="40" t="e">
        <f t="shared" si="1738"/>
        <v>#N/A</v>
      </c>
      <c r="K864" s="16" t="e">
        <f t="shared" si="1738"/>
        <v>#N/A</v>
      </c>
      <c r="L864" s="40" t="e">
        <f t="shared" si="1213"/>
        <v>#N/A</v>
      </c>
      <c r="M864" s="16" t="e">
        <f t="shared" si="1214"/>
        <v>#N/A</v>
      </c>
      <c r="N864" s="16" t="e">
        <f t="shared" si="1215"/>
        <v>#N/A</v>
      </c>
      <c r="O864" s="16" t="s">
        <v>66</v>
      </c>
      <c r="P864" s="16" t="str">
        <f t="shared" si="6"/>
        <v/>
      </c>
      <c r="Q864" s="41" t="e">
        <f t="shared" si="1216"/>
        <v>#N/A</v>
      </c>
      <c r="R864" s="44"/>
      <c r="S864" s="44"/>
      <c r="T864" s="43"/>
      <c r="U864" s="43" t="str">
        <f t="shared" si="8"/>
        <v>No</v>
      </c>
      <c r="V864" s="25"/>
      <c r="W864" s="25"/>
      <c r="X864" s="25"/>
      <c r="Y864" s="25"/>
      <c r="Z864" s="25"/>
    </row>
    <row r="865" spans="1:26" ht="15.75" customHeight="1" x14ac:dyDescent="0.25">
      <c r="A865" s="25">
        <v>863</v>
      </c>
      <c r="B865" s="37" t="e">
        <f t="shared" ref="B865:D865" si="1739">VLOOKUP($A865,[2]Educación!$A$1:$O$276,B$1,0)</f>
        <v>#N/A</v>
      </c>
      <c r="C865" s="38" t="e">
        <f t="shared" si="1739"/>
        <v>#N/A</v>
      </c>
      <c r="D865" s="39" t="e">
        <f t="shared" si="1739"/>
        <v>#N/A</v>
      </c>
      <c r="E865" s="16" t="e">
        <f t="shared" si="1"/>
        <v>#N/A</v>
      </c>
      <c r="F865" s="16" t="e">
        <f t="shared" ref="F865:K865" si="1740">VLOOKUP($A865,[2]Educación!$A$1:$O$276,F$1,0)</f>
        <v>#N/A</v>
      </c>
      <c r="G865" s="39" t="e">
        <f t="shared" si="1740"/>
        <v>#N/A</v>
      </c>
      <c r="H865" s="16" t="e">
        <f t="shared" si="1740"/>
        <v>#N/A</v>
      </c>
      <c r="I865" s="16" t="e">
        <f t="shared" si="1740"/>
        <v>#N/A</v>
      </c>
      <c r="J865" s="40" t="e">
        <f t="shared" si="1740"/>
        <v>#N/A</v>
      </c>
      <c r="K865" s="16" t="e">
        <f t="shared" si="1740"/>
        <v>#N/A</v>
      </c>
      <c r="L865" s="40" t="e">
        <f t="shared" si="1213"/>
        <v>#N/A</v>
      </c>
      <c r="M865" s="16" t="e">
        <f t="shared" si="1214"/>
        <v>#N/A</v>
      </c>
      <c r="N865" s="16" t="e">
        <f t="shared" si="1215"/>
        <v>#N/A</v>
      </c>
      <c r="O865" s="16" t="s">
        <v>66</v>
      </c>
      <c r="P865" s="16" t="str">
        <f t="shared" si="6"/>
        <v/>
      </c>
      <c r="Q865" s="41" t="e">
        <f t="shared" si="1216"/>
        <v>#N/A</v>
      </c>
      <c r="R865" s="44"/>
      <c r="S865" s="44"/>
      <c r="T865" s="43"/>
      <c r="U865" s="43" t="str">
        <f t="shared" si="8"/>
        <v>No</v>
      </c>
      <c r="V865" s="25"/>
      <c r="W865" s="25"/>
      <c r="X865" s="25"/>
      <c r="Y865" s="25"/>
      <c r="Z865" s="25"/>
    </row>
    <row r="866" spans="1:26" ht="15.75" customHeight="1" x14ac:dyDescent="0.25">
      <c r="A866" s="25">
        <v>864</v>
      </c>
      <c r="B866" s="37" t="e">
        <f t="shared" ref="B866:D866" si="1741">VLOOKUP($A866,[2]Educación!$A$1:$O$276,B$1,0)</f>
        <v>#N/A</v>
      </c>
      <c r="C866" s="38" t="e">
        <f t="shared" si="1741"/>
        <v>#N/A</v>
      </c>
      <c r="D866" s="39" t="e">
        <f t="shared" si="1741"/>
        <v>#N/A</v>
      </c>
      <c r="E866" s="16" t="e">
        <f t="shared" si="1"/>
        <v>#N/A</v>
      </c>
      <c r="F866" s="16" t="e">
        <f t="shared" ref="F866:K866" si="1742">VLOOKUP($A866,[2]Educación!$A$1:$O$276,F$1,0)</f>
        <v>#N/A</v>
      </c>
      <c r="G866" s="39" t="e">
        <f t="shared" si="1742"/>
        <v>#N/A</v>
      </c>
      <c r="H866" s="16" t="e">
        <f t="shared" si="1742"/>
        <v>#N/A</v>
      </c>
      <c r="I866" s="16" t="e">
        <f t="shared" si="1742"/>
        <v>#N/A</v>
      </c>
      <c r="J866" s="40" t="e">
        <f t="shared" si="1742"/>
        <v>#N/A</v>
      </c>
      <c r="K866" s="16" t="e">
        <f t="shared" si="1742"/>
        <v>#N/A</v>
      </c>
      <c r="L866" s="40" t="e">
        <f t="shared" si="1213"/>
        <v>#N/A</v>
      </c>
      <c r="M866" s="16" t="e">
        <f t="shared" si="1214"/>
        <v>#N/A</v>
      </c>
      <c r="N866" s="16" t="e">
        <f t="shared" si="1215"/>
        <v>#N/A</v>
      </c>
      <c r="O866" s="16" t="s">
        <v>66</v>
      </c>
      <c r="P866" s="16" t="str">
        <f t="shared" si="6"/>
        <v/>
      </c>
      <c r="Q866" s="41" t="e">
        <f t="shared" si="1216"/>
        <v>#N/A</v>
      </c>
      <c r="R866" s="44"/>
      <c r="S866" s="44"/>
      <c r="T866" s="43"/>
      <c r="U866" s="43" t="str">
        <f t="shared" si="8"/>
        <v>No</v>
      </c>
      <c r="V866" s="25"/>
      <c r="W866" s="25"/>
      <c r="X866" s="25"/>
      <c r="Y866" s="25"/>
      <c r="Z866" s="25"/>
    </row>
    <row r="867" spans="1:26" ht="15.75" customHeight="1" x14ac:dyDescent="0.25">
      <c r="A867" s="25">
        <v>865</v>
      </c>
      <c r="B867" s="37" t="e">
        <f t="shared" ref="B867:D867" si="1743">VLOOKUP($A867,[2]Educación!$A$1:$O$276,B$1,0)</f>
        <v>#N/A</v>
      </c>
      <c r="C867" s="38" t="e">
        <f t="shared" si="1743"/>
        <v>#N/A</v>
      </c>
      <c r="D867" s="39" t="e">
        <f t="shared" si="1743"/>
        <v>#N/A</v>
      </c>
      <c r="E867" s="16" t="e">
        <f t="shared" si="1"/>
        <v>#N/A</v>
      </c>
      <c r="F867" s="16" t="e">
        <f t="shared" ref="F867:K867" si="1744">VLOOKUP($A867,[2]Educación!$A$1:$O$276,F$1,0)</f>
        <v>#N/A</v>
      </c>
      <c r="G867" s="39" t="e">
        <f t="shared" si="1744"/>
        <v>#N/A</v>
      </c>
      <c r="H867" s="16" t="e">
        <f t="shared" si="1744"/>
        <v>#N/A</v>
      </c>
      <c r="I867" s="16" t="e">
        <f t="shared" si="1744"/>
        <v>#N/A</v>
      </c>
      <c r="J867" s="40" t="e">
        <f t="shared" si="1744"/>
        <v>#N/A</v>
      </c>
      <c r="K867" s="16" t="e">
        <f t="shared" si="1744"/>
        <v>#N/A</v>
      </c>
      <c r="L867" s="40" t="e">
        <f t="shared" si="1213"/>
        <v>#N/A</v>
      </c>
      <c r="M867" s="16" t="e">
        <f t="shared" si="1214"/>
        <v>#N/A</v>
      </c>
      <c r="N867" s="16" t="e">
        <f t="shared" si="1215"/>
        <v>#N/A</v>
      </c>
      <c r="O867" s="16" t="s">
        <v>66</v>
      </c>
      <c r="P867" s="16" t="str">
        <f t="shared" si="6"/>
        <v/>
      </c>
      <c r="Q867" s="41" t="e">
        <f t="shared" si="1216"/>
        <v>#N/A</v>
      </c>
      <c r="R867" s="44"/>
      <c r="S867" s="44"/>
      <c r="T867" s="43"/>
      <c r="U867" s="43" t="str">
        <f t="shared" si="8"/>
        <v>No</v>
      </c>
      <c r="V867" s="25"/>
      <c r="W867" s="25"/>
      <c r="X867" s="25"/>
      <c r="Y867" s="25"/>
      <c r="Z867" s="25"/>
    </row>
    <row r="868" spans="1:26" ht="15.75" customHeight="1" x14ac:dyDescent="0.25">
      <c r="A868" s="25">
        <v>866</v>
      </c>
      <c r="B868" s="37" t="e">
        <f t="shared" ref="B868:D868" si="1745">VLOOKUP($A868,[2]Educación!$A$1:$O$276,B$1,0)</f>
        <v>#N/A</v>
      </c>
      <c r="C868" s="38" t="e">
        <f t="shared" si="1745"/>
        <v>#N/A</v>
      </c>
      <c r="D868" s="39" t="e">
        <f t="shared" si="1745"/>
        <v>#N/A</v>
      </c>
      <c r="E868" s="16" t="e">
        <f t="shared" si="1"/>
        <v>#N/A</v>
      </c>
      <c r="F868" s="16" t="e">
        <f t="shared" ref="F868:K868" si="1746">VLOOKUP($A868,[2]Educación!$A$1:$O$276,F$1,0)</f>
        <v>#N/A</v>
      </c>
      <c r="G868" s="39" t="e">
        <f t="shared" si="1746"/>
        <v>#N/A</v>
      </c>
      <c r="H868" s="16" t="e">
        <f t="shared" si="1746"/>
        <v>#N/A</v>
      </c>
      <c r="I868" s="16" t="e">
        <f t="shared" si="1746"/>
        <v>#N/A</v>
      </c>
      <c r="J868" s="40" t="e">
        <f t="shared" si="1746"/>
        <v>#N/A</v>
      </c>
      <c r="K868" s="16" t="e">
        <f t="shared" si="1746"/>
        <v>#N/A</v>
      </c>
      <c r="L868" s="40" t="e">
        <f t="shared" si="1213"/>
        <v>#N/A</v>
      </c>
      <c r="M868" s="16" t="e">
        <f t="shared" si="1214"/>
        <v>#N/A</v>
      </c>
      <c r="N868" s="16" t="e">
        <f t="shared" si="1215"/>
        <v>#N/A</v>
      </c>
      <c r="O868" s="16" t="s">
        <v>66</v>
      </c>
      <c r="P868" s="16" t="str">
        <f t="shared" si="6"/>
        <v/>
      </c>
      <c r="Q868" s="41" t="e">
        <f t="shared" si="1216"/>
        <v>#N/A</v>
      </c>
      <c r="R868" s="44"/>
      <c r="S868" s="44"/>
      <c r="T868" s="43"/>
      <c r="U868" s="43" t="str">
        <f t="shared" si="8"/>
        <v>No</v>
      </c>
      <c r="V868" s="25"/>
      <c r="W868" s="25"/>
      <c r="X868" s="25"/>
      <c r="Y868" s="25"/>
      <c r="Z868" s="25"/>
    </row>
    <row r="869" spans="1:26" ht="15.75" customHeight="1" x14ac:dyDescent="0.25">
      <c r="A869" s="25">
        <v>867</v>
      </c>
      <c r="B869" s="37" t="e">
        <f t="shared" ref="B869:D869" si="1747">VLOOKUP($A869,[2]Educación!$A$1:$O$276,B$1,0)</f>
        <v>#N/A</v>
      </c>
      <c r="C869" s="38" t="e">
        <f t="shared" si="1747"/>
        <v>#N/A</v>
      </c>
      <c r="D869" s="39" t="e">
        <f t="shared" si="1747"/>
        <v>#N/A</v>
      </c>
      <c r="E869" s="16" t="e">
        <f t="shared" si="1"/>
        <v>#N/A</v>
      </c>
      <c r="F869" s="16" t="e">
        <f t="shared" ref="F869:K869" si="1748">VLOOKUP($A869,[2]Educación!$A$1:$O$276,F$1,0)</f>
        <v>#N/A</v>
      </c>
      <c r="G869" s="39" t="e">
        <f t="shared" si="1748"/>
        <v>#N/A</v>
      </c>
      <c r="H869" s="16" t="e">
        <f t="shared" si="1748"/>
        <v>#N/A</v>
      </c>
      <c r="I869" s="16" t="e">
        <f t="shared" si="1748"/>
        <v>#N/A</v>
      </c>
      <c r="J869" s="40" t="e">
        <f t="shared" si="1748"/>
        <v>#N/A</v>
      </c>
      <c r="K869" s="16" t="e">
        <f t="shared" si="1748"/>
        <v>#N/A</v>
      </c>
      <c r="L869" s="40" t="e">
        <f t="shared" si="1213"/>
        <v>#N/A</v>
      </c>
      <c r="M869" s="16" t="e">
        <f t="shared" si="1214"/>
        <v>#N/A</v>
      </c>
      <c r="N869" s="16" t="e">
        <f t="shared" si="1215"/>
        <v>#N/A</v>
      </c>
      <c r="O869" s="16" t="s">
        <v>66</v>
      </c>
      <c r="P869" s="16" t="str">
        <f t="shared" si="6"/>
        <v/>
      </c>
      <c r="Q869" s="41" t="e">
        <f t="shared" si="1216"/>
        <v>#N/A</v>
      </c>
      <c r="R869" s="44"/>
      <c r="S869" s="44"/>
      <c r="T869" s="43"/>
      <c r="U869" s="43" t="str">
        <f t="shared" si="8"/>
        <v>No</v>
      </c>
      <c r="V869" s="25"/>
      <c r="W869" s="25"/>
      <c r="X869" s="25"/>
      <c r="Y869" s="25"/>
      <c r="Z869" s="25"/>
    </row>
    <row r="870" spans="1:26" ht="15.75" customHeight="1" x14ac:dyDescent="0.25">
      <c r="A870" s="25">
        <v>868</v>
      </c>
      <c r="B870" s="37" t="e">
        <f t="shared" ref="B870:D870" si="1749">VLOOKUP($A870,[2]Educación!$A$1:$O$276,B$1,0)</f>
        <v>#N/A</v>
      </c>
      <c r="C870" s="38" t="e">
        <f t="shared" si="1749"/>
        <v>#N/A</v>
      </c>
      <c r="D870" s="39" t="e">
        <f t="shared" si="1749"/>
        <v>#N/A</v>
      </c>
      <c r="E870" s="16" t="e">
        <f t="shared" si="1"/>
        <v>#N/A</v>
      </c>
      <c r="F870" s="16" t="e">
        <f t="shared" ref="F870:K870" si="1750">VLOOKUP($A870,[2]Educación!$A$1:$O$276,F$1,0)</f>
        <v>#N/A</v>
      </c>
      <c r="G870" s="39" t="e">
        <f t="shared" si="1750"/>
        <v>#N/A</v>
      </c>
      <c r="H870" s="16" t="e">
        <f t="shared" si="1750"/>
        <v>#N/A</v>
      </c>
      <c r="I870" s="16" t="e">
        <f t="shared" si="1750"/>
        <v>#N/A</v>
      </c>
      <c r="J870" s="40" t="e">
        <f t="shared" si="1750"/>
        <v>#N/A</v>
      </c>
      <c r="K870" s="16" t="e">
        <f t="shared" si="1750"/>
        <v>#N/A</v>
      </c>
      <c r="L870" s="40" t="e">
        <f t="shared" si="1213"/>
        <v>#N/A</v>
      </c>
      <c r="M870" s="16" t="e">
        <f t="shared" si="1214"/>
        <v>#N/A</v>
      </c>
      <c r="N870" s="16" t="e">
        <f t="shared" si="1215"/>
        <v>#N/A</v>
      </c>
      <c r="O870" s="16" t="s">
        <v>66</v>
      </c>
      <c r="P870" s="16" t="str">
        <f t="shared" si="6"/>
        <v/>
      </c>
      <c r="Q870" s="41" t="e">
        <f t="shared" si="1216"/>
        <v>#N/A</v>
      </c>
      <c r="R870" s="44"/>
      <c r="S870" s="44"/>
      <c r="T870" s="43"/>
      <c r="U870" s="43" t="str">
        <f t="shared" si="8"/>
        <v>No</v>
      </c>
      <c r="V870" s="25"/>
      <c r="W870" s="25"/>
      <c r="X870" s="25"/>
      <c r="Y870" s="25"/>
      <c r="Z870" s="25"/>
    </row>
    <row r="871" spans="1:26" ht="15.75" customHeight="1" x14ac:dyDescent="0.25">
      <c r="A871" s="25">
        <v>869</v>
      </c>
      <c r="B871" s="37" t="e">
        <f t="shared" ref="B871:D871" si="1751">VLOOKUP($A871,[2]Educación!$A$1:$O$276,B$1,0)</f>
        <v>#N/A</v>
      </c>
      <c r="C871" s="38" t="e">
        <f t="shared" si="1751"/>
        <v>#N/A</v>
      </c>
      <c r="D871" s="39" t="e">
        <f t="shared" si="1751"/>
        <v>#N/A</v>
      </c>
      <c r="E871" s="16" t="e">
        <f t="shared" si="1"/>
        <v>#N/A</v>
      </c>
      <c r="F871" s="16" t="e">
        <f t="shared" ref="F871:K871" si="1752">VLOOKUP($A871,[2]Educación!$A$1:$O$276,F$1,0)</f>
        <v>#N/A</v>
      </c>
      <c r="G871" s="39" t="e">
        <f t="shared" si="1752"/>
        <v>#N/A</v>
      </c>
      <c r="H871" s="16" t="e">
        <f t="shared" si="1752"/>
        <v>#N/A</v>
      </c>
      <c r="I871" s="16" t="e">
        <f t="shared" si="1752"/>
        <v>#N/A</v>
      </c>
      <c r="J871" s="40" t="e">
        <f t="shared" si="1752"/>
        <v>#N/A</v>
      </c>
      <c r="K871" s="16" t="e">
        <f t="shared" si="1752"/>
        <v>#N/A</v>
      </c>
      <c r="L871" s="40" t="e">
        <f t="shared" si="1213"/>
        <v>#N/A</v>
      </c>
      <c r="M871" s="16" t="e">
        <f t="shared" si="1214"/>
        <v>#N/A</v>
      </c>
      <c r="N871" s="16" t="e">
        <f t="shared" si="1215"/>
        <v>#N/A</v>
      </c>
      <c r="O871" s="16" t="s">
        <v>66</v>
      </c>
      <c r="P871" s="16" t="str">
        <f t="shared" si="6"/>
        <v/>
      </c>
      <c r="Q871" s="41" t="e">
        <f t="shared" si="1216"/>
        <v>#N/A</v>
      </c>
      <c r="R871" s="44"/>
      <c r="S871" s="44"/>
      <c r="T871" s="43"/>
      <c r="U871" s="43" t="str">
        <f t="shared" si="8"/>
        <v>No</v>
      </c>
      <c r="V871" s="25"/>
      <c r="W871" s="25"/>
      <c r="X871" s="25"/>
      <c r="Y871" s="25"/>
      <c r="Z871" s="25"/>
    </row>
    <row r="872" spans="1:26" ht="15.75" customHeight="1" x14ac:dyDescent="0.25">
      <c r="A872" s="25">
        <v>870</v>
      </c>
      <c r="B872" s="37" t="e">
        <f t="shared" ref="B872:D872" si="1753">VLOOKUP($A872,[2]Educación!$A$1:$O$276,B$1,0)</f>
        <v>#N/A</v>
      </c>
      <c r="C872" s="38" t="e">
        <f t="shared" si="1753"/>
        <v>#N/A</v>
      </c>
      <c r="D872" s="39" t="e">
        <f t="shared" si="1753"/>
        <v>#N/A</v>
      </c>
      <c r="E872" s="16" t="e">
        <f t="shared" si="1"/>
        <v>#N/A</v>
      </c>
      <c r="F872" s="16" t="e">
        <f t="shared" ref="F872:K872" si="1754">VLOOKUP($A872,[2]Educación!$A$1:$O$276,F$1,0)</f>
        <v>#N/A</v>
      </c>
      <c r="G872" s="39" t="e">
        <f t="shared" si="1754"/>
        <v>#N/A</v>
      </c>
      <c r="H872" s="16" t="e">
        <f t="shared" si="1754"/>
        <v>#N/A</v>
      </c>
      <c r="I872" s="16" t="e">
        <f t="shared" si="1754"/>
        <v>#N/A</v>
      </c>
      <c r="J872" s="40" t="e">
        <f t="shared" si="1754"/>
        <v>#N/A</v>
      </c>
      <c r="K872" s="16" t="e">
        <f t="shared" si="1754"/>
        <v>#N/A</v>
      </c>
      <c r="L872" s="40" t="e">
        <f t="shared" si="1213"/>
        <v>#N/A</v>
      </c>
      <c r="M872" s="16" t="e">
        <f t="shared" si="1214"/>
        <v>#N/A</v>
      </c>
      <c r="N872" s="16" t="e">
        <f t="shared" si="1215"/>
        <v>#N/A</v>
      </c>
      <c r="O872" s="16" t="s">
        <v>66</v>
      </c>
      <c r="P872" s="16" t="str">
        <f t="shared" si="6"/>
        <v/>
      </c>
      <c r="Q872" s="41" t="e">
        <f t="shared" si="1216"/>
        <v>#N/A</v>
      </c>
      <c r="R872" s="44"/>
      <c r="S872" s="44"/>
      <c r="T872" s="43"/>
      <c r="U872" s="43" t="str">
        <f t="shared" si="8"/>
        <v>No</v>
      </c>
      <c r="V872" s="25"/>
      <c r="W872" s="25"/>
      <c r="X872" s="25"/>
      <c r="Y872" s="25"/>
      <c r="Z872" s="25"/>
    </row>
    <row r="873" spans="1:26" ht="15.75" customHeight="1" x14ac:dyDescent="0.25">
      <c r="A873" s="25">
        <v>871</v>
      </c>
      <c r="B873" s="37" t="e">
        <f t="shared" ref="B873:D873" si="1755">VLOOKUP($A873,[2]Educación!$A$1:$O$276,B$1,0)</f>
        <v>#N/A</v>
      </c>
      <c r="C873" s="38" t="e">
        <f t="shared" si="1755"/>
        <v>#N/A</v>
      </c>
      <c r="D873" s="39" t="e">
        <f t="shared" si="1755"/>
        <v>#N/A</v>
      </c>
      <c r="E873" s="16" t="e">
        <f t="shared" si="1"/>
        <v>#N/A</v>
      </c>
      <c r="F873" s="16" t="e">
        <f t="shared" ref="F873:K873" si="1756">VLOOKUP($A873,[2]Educación!$A$1:$O$276,F$1,0)</f>
        <v>#N/A</v>
      </c>
      <c r="G873" s="39" t="e">
        <f t="shared" si="1756"/>
        <v>#N/A</v>
      </c>
      <c r="H873" s="16" t="e">
        <f t="shared" si="1756"/>
        <v>#N/A</v>
      </c>
      <c r="I873" s="16" t="e">
        <f t="shared" si="1756"/>
        <v>#N/A</v>
      </c>
      <c r="J873" s="40" t="e">
        <f t="shared" si="1756"/>
        <v>#N/A</v>
      </c>
      <c r="K873" s="16" t="e">
        <f t="shared" si="1756"/>
        <v>#N/A</v>
      </c>
      <c r="L873" s="40" t="e">
        <f t="shared" si="1213"/>
        <v>#N/A</v>
      </c>
      <c r="M873" s="16" t="e">
        <f t="shared" si="1214"/>
        <v>#N/A</v>
      </c>
      <c r="N873" s="16" t="e">
        <f t="shared" si="1215"/>
        <v>#N/A</v>
      </c>
      <c r="O873" s="16" t="s">
        <v>66</v>
      </c>
      <c r="P873" s="16" t="str">
        <f t="shared" si="6"/>
        <v/>
      </c>
      <c r="Q873" s="41" t="e">
        <f t="shared" si="1216"/>
        <v>#N/A</v>
      </c>
      <c r="R873" s="44"/>
      <c r="S873" s="44"/>
      <c r="T873" s="43"/>
      <c r="U873" s="43" t="str">
        <f t="shared" si="8"/>
        <v>No</v>
      </c>
      <c r="V873" s="25"/>
      <c r="W873" s="25"/>
      <c r="X873" s="25"/>
      <c r="Y873" s="25"/>
      <c r="Z873" s="25"/>
    </row>
    <row r="874" spans="1:26" ht="15.75" customHeight="1" x14ac:dyDescent="0.25">
      <c r="A874" s="25">
        <v>872</v>
      </c>
      <c r="B874" s="37" t="e">
        <f t="shared" ref="B874:D874" si="1757">VLOOKUP($A874,[2]Educación!$A$1:$O$276,B$1,0)</f>
        <v>#N/A</v>
      </c>
      <c r="C874" s="38" t="e">
        <f t="shared" si="1757"/>
        <v>#N/A</v>
      </c>
      <c r="D874" s="39" t="e">
        <f t="shared" si="1757"/>
        <v>#N/A</v>
      </c>
      <c r="E874" s="16" t="e">
        <f t="shared" si="1"/>
        <v>#N/A</v>
      </c>
      <c r="F874" s="16" t="e">
        <f t="shared" ref="F874:K874" si="1758">VLOOKUP($A874,[2]Educación!$A$1:$O$276,F$1,0)</f>
        <v>#N/A</v>
      </c>
      <c r="G874" s="39" t="e">
        <f t="shared" si="1758"/>
        <v>#N/A</v>
      </c>
      <c r="H874" s="16" t="e">
        <f t="shared" si="1758"/>
        <v>#N/A</v>
      </c>
      <c r="I874" s="16" t="e">
        <f t="shared" si="1758"/>
        <v>#N/A</v>
      </c>
      <c r="J874" s="40" t="e">
        <f t="shared" si="1758"/>
        <v>#N/A</v>
      </c>
      <c r="K874" s="16" t="e">
        <f t="shared" si="1758"/>
        <v>#N/A</v>
      </c>
      <c r="L874" s="40" t="e">
        <f t="shared" si="1213"/>
        <v>#N/A</v>
      </c>
      <c r="M874" s="16" t="e">
        <f t="shared" si="1214"/>
        <v>#N/A</v>
      </c>
      <c r="N874" s="16" t="e">
        <f t="shared" si="1215"/>
        <v>#N/A</v>
      </c>
      <c r="O874" s="16" t="s">
        <v>66</v>
      </c>
      <c r="P874" s="16" t="str">
        <f t="shared" si="6"/>
        <v/>
      </c>
      <c r="Q874" s="41" t="e">
        <f t="shared" si="1216"/>
        <v>#N/A</v>
      </c>
      <c r="R874" s="44"/>
      <c r="S874" s="44"/>
      <c r="T874" s="43"/>
      <c r="U874" s="43" t="str">
        <f t="shared" si="8"/>
        <v>No</v>
      </c>
      <c r="V874" s="25"/>
      <c r="W874" s="25"/>
      <c r="X874" s="25"/>
      <c r="Y874" s="25"/>
      <c r="Z874" s="25"/>
    </row>
    <row r="875" spans="1:26" ht="15.75" customHeight="1" x14ac:dyDescent="0.25">
      <c r="A875" s="25">
        <v>873</v>
      </c>
      <c r="B875" s="37" t="e">
        <f t="shared" ref="B875:D875" si="1759">VLOOKUP($A875,[2]Educación!$A$1:$O$276,B$1,0)</f>
        <v>#N/A</v>
      </c>
      <c r="C875" s="38" t="e">
        <f t="shared" si="1759"/>
        <v>#N/A</v>
      </c>
      <c r="D875" s="39" t="e">
        <f t="shared" si="1759"/>
        <v>#N/A</v>
      </c>
      <c r="E875" s="16" t="e">
        <f t="shared" si="1"/>
        <v>#N/A</v>
      </c>
      <c r="F875" s="16" t="e">
        <f t="shared" ref="F875:K875" si="1760">VLOOKUP($A875,[2]Educación!$A$1:$O$276,F$1,0)</f>
        <v>#N/A</v>
      </c>
      <c r="G875" s="39" t="e">
        <f t="shared" si="1760"/>
        <v>#N/A</v>
      </c>
      <c r="H875" s="16" t="e">
        <f t="shared" si="1760"/>
        <v>#N/A</v>
      </c>
      <c r="I875" s="16" t="e">
        <f t="shared" si="1760"/>
        <v>#N/A</v>
      </c>
      <c r="J875" s="40" t="e">
        <f t="shared" si="1760"/>
        <v>#N/A</v>
      </c>
      <c r="K875" s="16" t="e">
        <f t="shared" si="1760"/>
        <v>#N/A</v>
      </c>
      <c r="L875" s="40" t="e">
        <f t="shared" si="1213"/>
        <v>#N/A</v>
      </c>
      <c r="M875" s="16" t="e">
        <f t="shared" si="1214"/>
        <v>#N/A</v>
      </c>
      <c r="N875" s="16" t="e">
        <f t="shared" si="1215"/>
        <v>#N/A</v>
      </c>
      <c r="O875" s="16" t="s">
        <v>66</v>
      </c>
      <c r="P875" s="16" t="str">
        <f t="shared" si="6"/>
        <v/>
      </c>
      <c r="Q875" s="41" t="e">
        <f t="shared" si="1216"/>
        <v>#N/A</v>
      </c>
      <c r="R875" s="44"/>
      <c r="S875" s="44"/>
      <c r="T875" s="43"/>
      <c r="U875" s="43" t="str">
        <f t="shared" si="8"/>
        <v>No</v>
      </c>
      <c r="V875" s="25"/>
      <c r="W875" s="25"/>
      <c r="X875" s="25"/>
      <c r="Y875" s="25"/>
      <c r="Z875" s="25"/>
    </row>
    <row r="876" spans="1:26" ht="15.75" customHeight="1" x14ac:dyDescent="0.25">
      <c r="A876" s="25">
        <v>874</v>
      </c>
      <c r="B876" s="37" t="e">
        <f t="shared" ref="B876:D876" si="1761">VLOOKUP($A876,[2]Educación!$A$1:$O$276,B$1,0)</f>
        <v>#N/A</v>
      </c>
      <c r="C876" s="38" t="e">
        <f t="shared" si="1761"/>
        <v>#N/A</v>
      </c>
      <c r="D876" s="39" t="e">
        <f t="shared" si="1761"/>
        <v>#N/A</v>
      </c>
      <c r="E876" s="16" t="e">
        <f t="shared" si="1"/>
        <v>#N/A</v>
      </c>
      <c r="F876" s="16" t="e">
        <f t="shared" ref="F876:K876" si="1762">VLOOKUP($A876,[2]Educación!$A$1:$O$276,F$1,0)</f>
        <v>#N/A</v>
      </c>
      <c r="G876" s="39" t="e">
        <f t="shared" si="1762"/>
        <v>#N/A</v>
      </c>
      <c r="H876" s="16" t="e">
        <f t="shared" si="1762"/>
        <v>#N/A</v>
      </c>
      <c r="I876" s="16" t="e">
        <f t="shared" si="1762"/>
        <v>#N/A</v>
      </c>
      <c r="J876" s="40" t="e">
        <f t="shared" si="1762"/>
        <v>#N/A</v>
      </c>
      <c r="K876" s="16" t="e">
        <f t="shared" si="1762"/>
        <v>#N/A</v>
      </c>
      <c r="L876" s="40" t="e">
        <f t="shared" si="1213"/>
        <v>#N/A</v>
      </c>
      <c r="M876" s="16" t="e">
        <f t="shared" si="1214"/>
        <v>#N/A</v>
      </c>
      <c r="N876" s="16" t="e">
        <f t="shared" si="1215"/>
        <v>#N/A</v>
      </c>
      <c r="O876" s="16" t="s">
        <v>66</v>
      </c>
      <c r="P876" s="16" t="str">
        <f t="shared" si="6"/>
        <v/>
      </c>
      <c r="Q876" s="41" t="e">
        <f t="shared" si="1216"/>
        <v>#N/A</v>
      </c>
      <c r="R876" s="44"/>
      <c r="S876" s="44"/>
      <c r="T876" s="43"/>
      <c r="U876" s="43" t="str">
        <f t="shared" si="8"/>
        <v>No</v>
      </c>
      <c r="V876" s="25"/>
      <c r="W876" s="25"/>
      <c r="X876" s="25"/>
      <c r="Y876" s="25"/>
      <c r="Z876" s="25"/>
    </row>
    <row r="877" spans="1:26" ht="15.75" customHeight="1" x14ac:dyDescent="0.25">
      <c r="A877" s="25">
        <v>875</v>
      </c>
      <c r="B877" s="37" t="e">
        <f t="shared" ref="B877:D877" si="1763">VLOOKUP($A877,[2]Educación!$A$1:$O$276,B$1,0)</f>
        <v>#N/A</v>
      </c>
      <c r="C877" s="38" t="e">
        <f t="shared" si="1763"/>
        <v>#N/A</v>
      </c>
      <c r="D877" s="39" t="e">
        <f t="shared" si="1763"/>
        <v>#N/A</v>
      </c>
      <c r="E877" s="16" t="e">
        <f t="shared" si="1"/>
        <v>#N/A</v>
      </c>
      <c r="F877" s="16" t="e">
        <f t="shared" ref="F877:K877" si="1764">VLOOKUP($A877,[2]Educación!$A$1:$O$276,F$1,0)</f>
        <v>#N/A</v>
      </c>
      <c r="G877" s="39" t="e">
        <f t="shared" si="1764"/>
        <v>#N/A</v>
      </c>
      <c r="H877" s="16" t="e">
        <f t="shared" si="1764"/>
        <v>#N/A</v>
      </c>
      <c r="I877" s="16" t="e">
        <f t="shared" si="1764"/>
        <v>#N/A</v>
      </c>
      <c r="J877" s="40" t="e">
        <f t="shared" si="1764"/>
        <v>#N/A</v>
      </c>
      <c r="K877" s="16" t="e">
        <f t="shared" si="1764"/>
        <v>#N/A</v>
      </c>
      <c r="L877" s="40" t="e">
        <f t="shared" si="1213"/>
        <v>#N/A</v>
      </c>
      <c r="M877" s="16" t="e">
        <f t="shared" si="1214"/>
        <v>#N/A</v>
      </c>
      <c r="N877" s="16" t="e">
        <f t="shared" si="1215"/>
        <v>#N/A</v>
      </c>
      <c r="O877" s="16" t="s">
        <v>66</v>
      </c>
      <c r="P877" s="16" t="str">
        <f t="shared" si="6"/>
        <v/>
      </c>
      <c r="Q877" s="41" t="e">
        <f t="shared" si="1216"/>
        <v>#N/A</v>
      </c>
      <c r="R877" s="44"/>
      <c r="S877" s="44"/>
      <c r="T877" s="43"/>
      <c r="U877" s="43" t="str">
        <f t="shared" si="8"/>
        <v>No</v>
      </c>
      <c r="V877" s="25"/>
      <c r="W877" s="25"/>
      <c r="X877" s="25"/>
      <c r="Y877" s="25"/>
      <c r="Z877" s="25"/>
    </row>
    <row r="878" spans="1:26" ht="15.75" customHeight="1" x14ac:dyDescent="0.25">
      <c r="A878" s="25">
        <v>876</v>
      </c>
      <c r="B878" s="37" t="e">
        <f t="shared" ref="B878:D878" si="1765">VLOOKUP($A878,[2]Educación!$A$1:$O$276,B$1,0)</f>
        <v>#N/A</v>
      </c>
      <c r="C878" s="38" t="e">
        <f t="shared" si="1765"/>
        <v>#N/A</v>
      </c>
      <c r="D878" s="39" t="e">
        <f t="shared" si="1765"/>
        <v>#N/A</v>
      </c>
      <c r="E878" s="16" t="e">
        <f t="shared" si="1"/>
        <v>#N/A</v>
      </c>
      <c r="F878" s="16" t="e">
        <f t="shared" ref="F878:K878" si="1766">VLOOKUP($A878,[2]Educación!$A$1:$O$276,F$1,0)</f>
        <v>#N/A</v>
      </c>
      <c r="G878" s="39" t="e">
        <f t="shared" si="1766"/>
        <v>#N/A</v>
      </c>
      <c r="H878" s="16" t="e">
        <f t="shared" si="1766"/>
        <v>#N/A</v>
      </c>
      <c r="I878" s="16" t="e">
        <f t="shared" si="1766"/>
        <v>#N/A</v>
      </c>
      <c r="J878" s="40" t="e">
        <f t="shared" si="1766"/>
        <v>#N/A</v>
      </c>
      <c r="K878" s="16" t="e">
        <f t="shared" si="1766"/>
        <v>#N/A</v>
      </c>
      <c r="L878" s="40" t="e">
        <f t="shared" si="1213"/>
        <v>#N/A</v>
      </c>
      <c r="M878" s="16" t="e">
        <f t="shared" si="1214"/>
        <v>#N/A</v>
      </c>
      <c r="N878" s="16" t="e">
        <f t="shared" si="1215"/>
        <v>#N/A</v>
      </c>
      <c r="O878" s="16" t="s">
        <v>66</v>
      </c>
      <c r="P878" s="16" t="str">
        <f t="shared" si="6"/>
        <v/>
      </c>
      <c r="Q878" s="41" t="e">
        <f t="shared" si="1216"/>
        <v>#N/A</v>
      </c>
      <c r="R878" s="44"/>
      <c r="S878" s="44"/>
      <c r="T878" s="43"/>
      <c r="U878" s="43" t="str">
        <f t="shared" si="8"/>
        <v>No</v>
      </c>
      <c r="V878" s="25"/>
      <c r="W878" s="25"/>
      <c r="X878" s="25"/>
      <c r="Y878" s="25"/>
      <c r="Z878" s="25"/>
    </row>
    <row r="879" spans="1:26" ht="15.75" customHeight="1" x14ac:dyDescent="0.25">
      <c r="A879" s="25">
        <v>877</v>
      </c>
      <c r="B879" s="37" t="e">
        <f t="shared" ref="B879:D879" si="1767">VLOOKUP($A879,[2]Educación!$A$1:$O$276,B$1,0)</f>
        <v>#N/A</v>
      </c>
      <c r="C879" s="38" t="e">
        <f t="shared" si="1767"/>
        <v>#N/A</v>
      </c>
      <c r="D879" s="39" t="e">
        <f t="shared" si="1767"/>
        <v>#N/A</v>
      </c>
      <c r="E879" s="16" t="e">
        <f t="shared" si="1"/>
        <v>#N/A</v>
      </c>
      <c r="F879" s="16" t="e">
        <f t="shared" ref="F879:K879" si="1768">VLOOKUP($A879,[2]Educación!$A$1:$O$276,F$1,0)</f>
        <v>#N/A</v>
      </c>
      <c r="G879" s="39" t="e">
        <f t="shared" si="1768"/>
        <v>#N/A</v>
      </c>
      <c r="H879" s="16" t="e">
        <f t="shared" si="1768"/>
        <v>#N/A</v>
      </c>
      <c r="I879" s="16" t="e">
        <f t="shared" si="1768"/>
        <v>#N/A</v>
      </c>
      <c r="J879" s="40" t="e">
        <f t="shared" si="1768"/>
        <v>#N/A</v>
      </c>
      <c r="K879" s="16" t="e">
        <f t="shared" si="1768"/>
        <v>#N/A</v>
      </c>
      <c r="L879" s="40" t="e">
        <f t="shared" si="1213"/>
        <v>#N/A</v>
      </c>
      <c r="M879" s="16" t="e">
        <f t="shared" si="1214"/>
        <v>#N/A</v>
      </c>
      <c r="N879" s="16" t="e">
        <f t="shared" si="1215"/>
        <v>#N/A</v>
      </c>
      <c r="O879" s="16" t="s">
        <v>66</v>
      </c>
      <c r="P879" s="16" t="str">
        <f t="shared" si="6"/>
        <v/>
      </c>
      <c r="Q879" s="41" t="e">
        <f t="shared" si="1216"/>
        <v>#N/A</v>
      </c>
      <c r="R879" s="44"/>
      <c r="S879" s="44"/>
      <c r="T879" s="43"/>
      <c r="U879" s="43" t="str">
        <f t="shared" si="8"/>
        <v>No</v>
      </c>
      <c r="V879" s="25"/>
      <c r="W879" s="25"/>
      <c r="X879" s="25"/>
      <c r="Y879" s="25"/>
      <c r="Z879" s="25"/>
    </row>
    <row r="880" spans="1:26" ht="15.75" customHeight="1" x14ac:dyDescent="0.25">
      <c r="A880" s="25">
        <v>878</v>
      </c>
      <c r="B880" s="37" t="e">
        <f t="shared" ref="B880:D880" si="1769">VLOOKUP($A880,[2]Educación!$A$1:$O$276,B$1,0)</f>
        <v>#N/A</v>
      </c>
      <c r="C880" s="38" t="e">
        <f t="shared" si="1769"/>
        <v>#N/A</v>
      </c>
      <c r="D880" s="39" t="e">
        <f t="shared" si="1769"/>
        <v>#N/A</v>
      </c>
      <c r="E880" s="16" t="e">
        <f t="shared" si="1"/>
        <v>#N/A</v>
      </c>
      <c r="F880" s="16" t="e">
        <f t="shared" ref="F880:K880" si="1770">VLOOKUP($A880,[2]Educación!$A$1:$O$276,F$1,0)</f>
        <v>#N/A</v>
      </c>
      <c r="G880" s="39" t="e">
        <f t="shared" si="1770"/>
        <v>#N/A</v>
      </c>
      <c r="H880" s="16" t="e">
        <f t="shared" si="1770"/>
        <v>#N/A</v>
      </c>
      <c r="I880" s="16" t="e">
        <f t="shared" si="1770"/>
        <v>#N/A</v>
      </c>
      <c r="J880" s="40" t="e">
        <f t="shared" si="1770"/>
        <v>#N/A</v>
      </c>
      <c r="K880" s="16" t="e">
        <f t="shared" si="1770"/>
        <v>#N/A</v>
      </c>
      <c r="L880" s="40" t="e">
        <f t="shared" si="1213"/>
        <v>#N/A</v>
      </c>
      <c r="M880" s="16" t="e">
        <f t="shared" si="1214"/>
        <v>#N/A</v>
      </c>
      <c r="N880" s="16" t="e">
        <f t="shared" si="1215"/>
        <v>#N/A</v>
      </c>
      <c r="O880" s="16" t="s">
        <v>66</v>
      </c>
      <c r="P880" s="16" t="str">
        <f t="shared" si="6"/>
        <v/>
      </c>
      <c r="Q880" s="41" t="e">
        <f t="shared" si="1216"/>
        <v>#N/A</v>
      </c>
      <c r="R880" s="44"/>
      <c r="S880" s="44"/>
      <c r="T880" s="43"/>
      <c r="U880" s="43" t="str">
        <f t="shared" si="8"/>
        <v>No</v>
      </c>
      <c r="V880" s="25"/>
      <c r="W880" s="25"/>
      <c r="X880" s="25"/>
      <c r="Y880" s="25"/>
      <c r="Z880" s="25"/>
    </row>
    <row r="881" spans="1:26" ht="15.75" customHeight="1" x14ac:dyDescent="0.25">
      <c r="A881" s="25">
        <v>879</v>
      </c>
      <c r="B881" s="37" t="e">
        <f t="shared" ref="B881:D881" si="1771">VLOOKUP($A881,[2]Educación!$A$1:$O$276,B$1,0)</f>
        <v>#N/A</v>
      </c>
      <c r="C881" s="38" t="e">
        <f t="shared" si="1771"/>
        <v>#N/A</v>
      </c>
      <c r="D881" s="39" t="e">
        <f t="shared" si="1771"/>
        <v>#N/A</v>
      </c>
      <c r="E881" s="16" t="e">
        <f t="shared" si="1"/>
        <v>#N/A</v>
      </c>
      <c r="F881" s="16" t="e">
        <f t="shared" ref="F881:K881" si="1772">VLOOKUP($A881,[2]Educación!$A$1:$O$276,F$1,0)</f>
        <v>#N/A</v>
      </c>
      <c r="G881" s="39" t="e">
        <f t="shared" si="1772"/>
        <v>#N/A</v>
      </c>
      <c r="H881" s="16" t="e">
        <f t="shared" si="1772"/>
        <v>#N/A</v>
      </c>
      <c r="I881" s="16" t="e">
        <f t="shared" si="1772"/>
        <v>#N/A</v>
      </c>
      <c r="J881" s="40" t="e">
        <f t="shared" si="1772"/>
        <v>#N/A</v>
      </c>
      <c r="K881" s="16" t="e">
        <f t="shared" si="1772"/>
        <v>#N/A</v>
      </c>
      <c r="L881" s="40" t="e">
        <f t="shared" si="1213"/>
        <v>#N/A</v>
      </c>
      <c r="M881" s="16" t="e">
        <f t="shared" si="1214"/>
        <v>#N/A</v>
      </c>
      <c r="N881" s="16" t="e">
        <f t="shared" si="1215"/>
        <v>#N/A</v>
      </c>
      <c r="O881" s="16" t="s">
        <v>66</v>
      </c>
      <c r="P881" s="16" t="str">
        <f t="shared" si="6"/>
        <v/>
      </c>
      <c r="Q881" s="41" t="e">
        <f t="shared" si="1216"/>
        <v>#N/A</v>
      </c>
      <c r="R881" s="44"/>
      <c r="S881" s="44"/>
      <c r="T881" s="43"/>
      <c r="U881" s="43" t="str">
        <f t="shared" si="8"/>
        <v>No</v>
      </c>
      <c r="V881" s="25"/>
      <c r="W881" s="25"/>
      <c r="X881" s="25"/>
      <c r="Y881" s="25"/>
      <c r="Z881" s="25"/>
    </row>
    <row r="882" spans="1:26" ht="15.75" customHeight="1" x14ac:dyDescent="0.25">
      <c r="A882" s="25">
        <v>880</v>
      </c>
      <c r="B882" s="37" t="e">
        <f t="shared" ref="B882:D882" si="1773">VLOOKUP($A882,[2]Educación!$A$1:$O$276,B$1,0)</f>
        <v>#N/A</v>
      </c>
      <c r="C882" s="38" t="e">
        <f t="shared" si="1773"/>
        <v>#N/A</v>
      </c>
      <c r="D882" s="39" t="e">
        <f t="shared" si="1773"/>
        <v>#N/A</v>
      </c>
      <c r="E882" s="16" t="e">
        <f t="shared" si="1"/>
        <v>#N/A</v>
      </c>
      <c r="F882" s="16" t="e">
        <f t="shared" ref="F882:K882" si="1774">VLOOKUP($A882,[2]Educación!$A$1:$O$276,F$1,0)</f>
        <v>#N/A</v>
      </c>
      <c r="G882" s="39" t="e">
        <f t="shared" si="1774"/>
        <v>#N/A</v>
      </c>
      <c r="H882" s="16" t="e">
        <f t="shared" si="1774"/>
        <v>#N/A</v>
      </c>
      <c r="I882" s="16" t="e">
        <f t="shared" si="1774"/>
        <v>#N/A</v>
      </c>
      <c r="J882" s="40" t="e">
        <f t="shared" si="1774"/>
        <v>#N/A</v>
      </c>
      <c r="K882" s="16" t="e">
        <f t="shared" si="1774"/>
        <v>#N/A</v>
      </c>
      <c r="L882" s="40" t="e">
        <f t="shared" si="1213"/>
        <v>#N/A</v>
      </c>
      <c r="M882" s="16" t="e">
        <f t="shared" si="1214"/>
        <v>#N/A</v>
      </c>
      <c r="N882" s="16" t="e">
        <f t="shared" si="1215"/>
        <v>#N/A</v>
      </c>
      <c r="O882" s="16" t="s">
        <v>66</v>
      </c>
      <c r="P882" s="16" t="str">
        <f t="shared" si="6"/>
        <v/>
      </c>
      <c r="Q882" s="41" t="e">
        <f t="shared" si="1216"/>
        <v>#N/A</v>
      </c>
      <c r="R882" s="44"/>
      <c r="S882" s="44"/>
      <c r="T882" s="43"/>
      <c r="U882" s="43" t="str">
        <f t="shared" si="8"/>
        <v>No</v>
      </c>
      <c r="V882" s="25"/>
      <c r="W882" s="25"/>
      <c r="X882" s="25"/>
      <c r="Y882" s="25"/>
      <c r="Z882" s="25"/>
    </row>
    <row r="883" spans="1:26" ht="15.75" customHeight="1" x14ac:dyDescent="0.25">
      <c r="A883" s="25">
        <v>881</v>
      </c>
      <c r="B883" s="37" t="e">
        <f t="shared" ref="B883:D883" si="1775">VLOOKUP($A883,[2]Educación!$A$1:$O$276,B$1,0)</f>
        <v>#N/A</v>
      </c>
      <c r="C883" s="38" t="e">
        <f t="shared" si="1775"/>
        <v>#N/A</v>
      </c>
      <c r="D883" s="39" t="e">
        <f t="shared" si="1775"/>
        <v>#N/A</v>
      </c>
      <c r="E883" s="16" t="e">
        <f t="shared" si="1"/>
        <v>#N/A</v>
      </c>
      <c r="F883" s="16" t="e">
        <f t="shared" ref="F883:K883" si="1776">VLOOKUP($A883,[2]Educación!$A$1:$O$276,F$1,0)</f>
        <v>#N/A</v>
      </c>
      <c r="G883" s="39" t="e">
        <f t="shared" si="1776"/>
        <v>#N/A</v>
      </c>
      <c r="H883" s="16" t="e">
        <f t="shared" si="1776"/>
        <v>#N/A</v>
      </c>
      <c r="I883" s="16" t="e">
        <f t="shared" si="1776"/>
        <v>#N/A</v>
      </c>
      <c r="J883" s="40" t="e">
        <f t="shared" si="1776"/>
        <v>#N/A</v>
      </c>
      <c r="K883" s="16" t="e">
        <f t="shared" si="1776"/>
        <v>#N/A</v>
      </c>
      <c r="L883" s="40" t="e">
        <f t="shared" si="1213"/>
        <v>#N/A</v>
      </c>
      <c r="M883" s="16" t="e">
        <f t="shared" si="1214"/>
        <v>#N/A</v>
      </c>
      <c r="N883" s="16" t="e">
        <f t="shared" si="1215"/>
        <v>#N/A</v>
      </c>
      <c r="O883" s="16" t="s">
        <v>66</v>
      </c>
      <c r="P883" s="16" t="str">
        <f t="shared" si="6"/>
        <v/>
      </c>
      <c r="Q883" s="41" t="e">
        <f t="shared" si="1216"/>
        <v>#N/A</v>
      </c>
      <c r="R883" s="44"/>
      <c r="S883" s="44"/>
      <c r="T883" s="43"/>
      <c r="U883" s="43" t="str">
        <f t="shared" si="8"/>
        <v>No</v>
      </c>
      <c r="V883" s="25"/>
      <c r="W883" s="25"/>
      <c r="X883" s="25"/>
      <c r="Y883" s="25"/>
      <c r="Z883" s="25"/>
    </row>
    <row r="884" spans="1:26" ht="15.75" customHeight="1" x14ac:dyDescent="0.25">
      <c r="A884" s="25">
        <v>882</v>
      </c>
      <c r="B884" s="37" t="e">
        <f t="shared" ref="B884:D884" si="1777">VLOOKUP($A884,[2]Educación!$A$1:$O$276,B$1,0)</f>
        <v>#N/A</v>
      </c>
      <c r="C884" s="38" t="e">
        <f t="shared" si="1777"/>
        <v>#N/A</v>
      </c>
      <c r="D884" s="39" t="e">
        <f t="shared" si="1777"/>
        <v>#N/A</v>
      </c>
      <c r="E884" s="16" t="e">
        <f t="shared" si="1"/>
        <v>#N/A</v>
      </c>
      <c r="F884" s="16" t="e">
        <f t="shared" ref="F884:K884" si="1778">VLOOKUP($A884,[2]Educación!$A$1:$O$276,F$1,0)</f>
        <v>#N/A</v>
      </c>
      <c r="G884" s="39" t="e">
        <f t="shared" si="1778"/>
        <v>#N/A</v>
      </c>
      <c r="H884" s="16" t="e">
        <f t="shared" si="1778"/>
        <v>#N/A</v>
      </c>
      <c r="I884" s="16" t="e">
        <f t="shared" si="1778"/>
        <v>#N/A</v>
      </c>
      <c r="J884" s="40" t="e">
        <f t="shared" si="1778"/>
        <v>#N/A</v>
      </c>
      <c r="K884" s="16" t="e">
        <f t="shared" si="1778"/>
        <v>#N/A</v>
      </c>
      <c r="L884" s="40" t="e">
        <f t="shared" si="1213"/>
        <v>#N/A</v>
      </c>
      <c r="M884" s="16" t="e">
        <f t="shared" si="1214"/>
        <v>#N/A</v>
      </c>
      <c r="N884" s="16" t="e">
        <f t="shared" si="1215"/>
        <v>#N/A</v>
      </c>
      <c r="O884" s="16" t="s">
        <v>66</v>
      </c>
      <c r="P884" s="16" t="str">
        <f t="shared" si="6"/>
        <v/>
      </c>
      <c r="Q884" s="41" t="e">
        <f t="shared" si="1216"/>
        <v>#N/A</v>
      </c>
      <c r="R884" s="44"/>
      <c r="S884" s="44"/>
      <c r="T884" s="43"/>
      <c r="U884" s="43" t="str">
        <f t="shared" si="8"/>
        <v>No</v>
      </c>
      <c r="V884" s="25"/>
      <c r="W884" s="25"/>
      <c r="X884" s="25"/>
      <c r="Y884" s="25"/>
      <c r="Z884" s="25"/>
    </row>
    <row r="885" spans="1:26" ht="15.75" customHeight="1" x14ac:dyDescent="0.25">
      <c r="A885" s="25">
        <v>883</v>
      </c>
      <c r="B885" s="37" t="e">
        <f t="shared" ref="B885:D885" si="1779">VLOOKUP($A885,[2]Educación!$A$1:$O$276,B$1,0)</f>
        <v>#N/A</v>
      </c>
      <c r="C885" s="38" t="e">
        <f t="shared" si="1779"/>
        <v>#N/A</v>
      </c>
      <c r="D885" s="39" t="e">
        <f t="shared" si="1779"/>
        <v>#N/A</v>
      </c>
      <c r="E885" s="16" t="e">
        <f t="shared" si="1"/>
        <v>#N/A</v>
      </c>
      <c r="F885" s="16" t="e">
        <f t="shared" ref="F885:K885" si="1780">VLOOKUP($A885,[2]Educación!$A$1:$O$276,F$1,0)</f>
        <v>#N/A</v>
      </c>
      <c r="G885" s="39" t="e">
        <f t="shared" si="1780"/>
        <v>#N/A</v>
      </c>
      <c r="H885" s="16" t="e">
        <f t="shared" si="1780"/>
        <v>#N/A</v>
      </c>
      <c r="I885" s="16" t="e">
        <f t="shared" si="1780"/>
        <v>#N/A</v>
      </c>
      <c r="J885" s="40" t="e">
        <f t="shared" si="1780"/>
        <v>#N/A</v>
      </c>
      <c r="K885" s="16" t="e">
        <f t="shared" si="1780"/>
        <v>#N/A</v>
      </c>
      <c r="L885" s="40" t="e">
        <f t="shared" si="1213"/>
        <v>#N/A</v>
      </c>
      <c r="M885" s="16" t="e">
        <f t="shared" si="1214"/>
        <v>#N/A</v>
      </c>
      <c r="N885" s="16" t="e">
        <f t="shared" si="1215"/>
        <v>#N/A</v>
      </c>
      <c r="O885" s="16" t="s">
        <v>66</v>
      </c>
      <c r="P885" s="16" t="str">
        <f t="shared" si="6"/>
        <v/>
      </c>
      <c r="Q885" s="41" t="e">
        <f t="shared" si="1216"/>
        <v>#N/A</v>
      </c>
      <c r="R885" s="44"/>
      <c r="S885" s="44"/>
      <c r="T885" s="43"/>
      <c r="U885" s="43" t="str">
        <f t="shared" si="8"/>
        <v>No</v>
      </c>
      <c r="V885" s="25"/>
      <c r="W885" s="25"/>
      <c r="X885" s="25"/>
      <c r="Y885" s="25"/>
      <c r="Z885" s="25"/>
    </row>
    <row r="886" spans="1:26" ht="15.75" customHeight="1" x14ac:dyDescent="0.25">
      <c r="A886" s="25">
        <v>884</v>
      </c>
      <c r="B886" s="37" t="e">
        <f t="shared" ref="B886:D886" si="1781">VLOOKUP($A886,[2]Educación!$A$1:$O$276,B$1,0)</f>
        <v>#N/A</v>
      </c>
      <c r="C886" s="38" t="e">
        <f t="shared" si="1781"/>
        <v>#N/A</v>
      </c>
      <c r="D886" s="39" t="e">
        <f t="shared" si="1781"/>
        <v>#N/A</v>
      </c>
      <c r="E886" s="16" t="e">
        <f t="shared" si="1"/>
        <v>#N/A</v>
      </c>
      <c r="F886" s="16" t="e">
        <f t="shared" ref="F886:K886" si="1782">VLOOKUP($A886,[2]Educación!$A$1:$O$276,F$1,0)</f>
        <v>#N/A</v>
      </c>
      <c r="G886" s="39" t="e">
        <f t="shared" si="1782"/>
        <v>#N/A</v>
      </c>
      <c r="H886" s="16" t="e">
        <f t="shared" si="1782"/>
        <v>#N/A</v>
      </c>
      <c r="I886" s="16" t="e">
        <f t="shared" si="1782"/>
        <v>#N/A</v>
      </c>
      <c r="J886" s="40" t="e">
        <f t="shared" si="1782"/>
        <v>#N/A</v>
      </c>
      <c r="K886" s="16" t="e">
        <f t="shared" si="1782"/>
        <v>#N/A</v>
      </c>
      <c r="L886" s="40" t="e">
        <f t="shared" si="1213"/>
        <v>#N/A</v>
      </c>
      <c r="M886" s="16" t="e">
        <f t="shared" si="1214"/>
        <v>#N/A</v>
      </c>
      <c r="N886" s="16" t="e">
        <f t="shared" si="1215"/>
        <v>#N/A</v>
      </c>
      <c r="O886" s="16" t="s">
        <v>66</v>
      </c>
      <c r="P886" s="16" t="str">
        <f t="shared" si="6"/>
        <v/>
      </c>
      <c r="Q886" s="41" t="e">
        <f t="shared" si="1216"/>
        <v>#N/A</v>
      </c>
      <c r="R886" s="44"/>
      <c r="S886" s="44"/>
      <c r="T886" s="43"/>
      <c r="U886" s="43" t="str">
        <f t="shared" si="8"/>
        <v>No</v>
      </c>
      <c r="V886" s="25"/>
      <c r="W886" s="25"/>
      <c r="X886" s="25"/>
      <c r="Y886" s="25"/>
      <c r="Z886" s="25"/>
    </row>
    <row r="887" spans="1:26" ht="15.75" customHeight="1" x14ac:dyDescent="0.25">
      <c r="A887" s="25">
        <v>885</v>
      </c>
      <c r="B887" s="37" t="e">
        <f t="shared" ref="B887:D887" si="1783">VLOOKUP($A887,[2]Educación!$A$1:$O$276,B$1,0)</f>
        <v>#N/A</v>
      </c>
      <c r="C887" s="38" t="e">
        <f t="shared" si="1783"/>
        <v>#N/A</v>
      </c>
      <c r="D887" s="39" t="e">
        <f t="shared" si="1783"/>
        <v>#N/A</v>
      </c>
      <c r="E887" s="16" t="e">
        <f t="shared" si="1"/>
        <v>#N/A</v>
      </c>
      <c r="F887" s="16" t="e">
        <f t="shared" ref="F887:K887" si="1784">VLOOKUP($A887,[2]Educación!$A$1:$O$276,F$1,0)</f>
        <v>#N/A</v>
      </c>
      <c r="G887" s="39" t="e">
        <f t="shared" si="1784"/>
        <v>#N/A</v>
      </c>
      <c r="H887" s="16" t="e">
        <f t="shared" si="1784"/>
        <v>#N/A</v>
      </c>
      <c r="I887" s="16" t="e">
        <f t="shared" si="1784"/>
        <v>#N/A</v>
      </c>
      <c r="J887" s="40" t="e">
        <f t="shared" si="1784"/>
        <v>#N/A</v>
      </c>
      <c r="K887" s="16" t="e">
        <f t="shared" si="1784"/>
        <v>#N/A</v>
      </c>
      <c r="L887" s="40" t="e">
        <f t="shared" si="1213"/>
        <v>#N/A</v>
      </c>
      <c r="M887" s="16" t="e">
        <f t="shared" si="1214"/>
        <v>#N/A</v>
      </c>
      <c r="N887" s="16" t="e">
        <f t="shared" si="1215"/>
        <v>#N/A</v>
      </c>
      <c r="O887" s="16" t="s">
        <v>66</v>
      </c>
      <c r="P887" s="16" t="str">
        <f t="shared" si="6"/>
        <v/>
      </c>
      <c r="Q887" s="41" t="e">
        <f t="shared" si="1216"/>
        <v>#N/A</v>
      </c>
      <c r="R887" s="44"/>
      <c r="S887" s="44"/>
      <c r="T887" s="43"/>
      <c r="U887" s="43" t="str">
        <f t="shared" si="8"/>
        <v>No</v>
      </c>
      <c r="V887" s="25"/>
      <c r="W887" s="25"/>
      <c r="X887" s="25"/>
      <c r="Y887" s="25"/>
      <c r="Z887" s="25"/>
    </row>
    <row r="888" spans="1:26" ht="15.75" customHeight="1" x14ac:dyDescent="0.25">
      <c r="A888" s="25">
        <v>886</v>
      </c>
      <c r="B888" s="37" t="e">
        <f t="shared" ref="B888:D888" si="1785">VLOOKUP($A888,[2]Educación!$A$1:$O$276,B$1,0)</f>
        <v>#N/A</v>
      </c>
      <c r="C888" s="38" t="e">
        <f t="shared" si="1785"/>
        <v>#N/A</v>
      </c>
      <c r="D888" s="39" t="e">
        <f t="shared" si="1785"/>
        <v>#N/A</v>
      </c>
      <c r="E888" s="16" t="e">
        <f t="shared" si="1"/>
        <v>#N/A</v>
      </c>
      <c r="F888" s="16" t="e">
        <f t="shared" ref="F888:K888" si="1786">VLOOKUP($A888,[2]Educación!$A$1:$O$276,F$1,0)</f>
        <v>#N/A</v>
      </c>
      <c r="G888" s="39" t="e">
        <f t="shared" si="1786"/>
        <v>#N/A</v>
      </c>
      <c r="H888" s="16" t="e">
        <f t="shared" si="1786"/>
        <v>#N/A</v>
      </c>
      <c r="I888" s="16" t="e">
        <f t="shared" si="1786"/>
        <v>#N/A</v>
      </c>
      <c r="J888" s="40" t="e">
        <f t="shared" si="1786"/>
        <v>#N/A</v>
      </c>
      <c r="K888" s="16" t="e">
        <f t="shared" si="1786"/>
        <v>#N/A</v>
      </c>
      <c r="L888" s="40" t="e">
        <f t="shared" si="1213"/>
        <v>#N/A</v>
      </c>
      <c r="M888" s="16" t="e">
        <f t="shared" si="1214"/>
        <v>#N/A</v>
      </c>
      <c r="N888" s="16" t="e">
        <f t="shared" si="1215"/>
        <v>#N/A</v>
      </c>
      <c r="O888" s="16" t="s">
        <v>66</v>
      </c>
      <c r="P888" s="16" t="str">
        <f t="shared" si="6"/>
        <v/>
      </c>
      <c r="Q888" s="41" t="e">
        <f t="shared" si="1216"/>
        <v>#N/A</v>
      </c>
      <c r="R888" s="44"/>
      <c r="S888" s="44"/>
      <c r="T888" s="43"/>
      <c r="U888" s="43" t="str">
        <f t="shared" si="8"/>
        <v>No</v>
      </c>
      <c r="V888" s="25"/>
      <c r="W888" s="25"/>
      <c r="X888" s="25"/>
      <c r="Y888" s="25"/>
      <c r="Z888" s="25"/>
    </row>
    <row r="889" spans="1:26" ht="15.75" customHeight="1" x14ac:dyDescent="0.25">
      <c r="A889" s="25">
        <v>887</v>
      </c>
      <c r="B889" s="37" t="e">
        <f t="shared" ref="B889:D889" si="1787">VLOOKUP($A889,[2]Educación!$A$1:$O$276,B$1,0)</f>
        <v>#N/A</v>
      </c>
      <c r="C889" s="38" t="e">
        <f t="shared" si="1787"/>
        <v>#N/A</v>
      </c>
      <c r="D889" s="39" t="e">
        <f t="shared" si="1787"/>
        <v>#N/A</v>
      </c>
      <c r="E889" s="16" t="e">
        <f t="shared" si="1"/>
        <v>#N/A</v>
      </c>
      <c r="F889" s="16" t="e">
        <f t="shared" ref="F889:K889" si="1788">VLOOKUP($A889,[2]Educación!$A$1:$O$276,F$1,0)</f>
        <v>#N/A</v>
      </c>
      <c r="G889" s="39" t="e">
        <f t="shared" si="1788"/>
        <v>#N/A</v>
      </c>
      <c r="H889" s="16" t="e">
        <f t="shared" si="1788"/>
        <v>#N/A</v>
      </c>
      <c r="I889" s="16" t="e">
        <f t="shared" si="1788"/>
        <v>#N/A</v>
      </c>
      <c r="J889" s="40" t="e">
        <f t="shared" si="1788"/>
        <v>#N/A</v>
      </c>
      <c r="K889" s="16" t="e">
        <f t="shared" si="1788"/>
        <v>#N/A</v>
      </c>
      <c r="L889" s="40" t="e">
        <f t="shared" si="1213"/>
        <v>#N/A</v>
      </c>
      <c r="M889" s="16" t="e">
        <f t="shared" si="1214"/>
        <v>#N/A</v>
      </c>
      <c r="N889" s="16" t="e">
        <f t="shared" si="1215"/>
        <v>#N/A</v>
      </c>
      <c r="O889" s="16" t="s">
        <v>66</v>
      </c>
      <c r="P889" s="16" t="str">
        <f t="shared" si="6"/>
        <v/>
      </c>
      <c r="Q889" s="41" t="e">
        <f t="shared" si="1216"/>
        <v>#N/A</v>
      </c>
      <c r="R889" s="44"/>
      <c r="S889" s="44"/>
      <c r="T889" s="43"/>
      <c r="U889" s="43" t="str">
        <f t="shared" si="8"/>
        <v>No</v>
      </c>
      <c r="V889" s="25"/>
      <c r="W889" s="25"/>
      <c r="X889" s="25"/>
      <c r="Y889" s="25"/>
      <c r="Z889" s="25"/>
    </row>
    <row r="890" spans="1:26" ht="15.75" customHeight="1" x14ac:dyDescent="0.25">
      <c r="A890" s="25">
        <v>888</v>
      </c>
      <c r="B890" s="37" t="e">
        <f t="shared" ref="B890:D890" si="1789">VLOOKUP($A890,[2]Educación!$A$1:$O$276,B$1,0)</f>
        <v>#N/A</v>
      </c>
      <c r="C890" s="38" t="e">
        <f t="shared" si="1789"/>
        <v>#N/A</v>
      </c>
      <c r="D890" s="39" t="e">
        <f t="shared" si="1789"/>
        <v>#N/A</v>
      </c>
      <c r="E890" s="16" t="e">
        <f t="shared" si="1"/>
        <v>#N/A</v>
      </c>
      <c r="F890" s="16" t="e">
        <f t="shared" ref="F890:K890" si="1790">VLOOKUP($A890,[2]Educación!$A$1:$O$276,F$1,0)</f>
        <v>#N/A</v>
      </c>
      <c r="G890" s="39" t="e">
        <f t="shared" si="1790"/>
        <v>#N/A</v>
      </c>
      <c r="H890" s="16" t="e">
        <f t="shared" si="1790"/>
        <v>#N/A</v>
      </c>
      <c r="I890" s="16" t="e">
        <f t="shared" si="1790"/>
        <v>#N/A</v>
      </c>
      <c r="J890" s="40" t="e">
        <f t="shared" si="1790"/>
        <v>#N/A</v>
      </c>
      <c r="K890" s="16" t="e">
        <f t="shared" si="1790"/>
        <v>#N/A</v>
      </c>
      <c r="L890" s="40" t="e">
        <f t="shared" si="1213"/>
        <v>#N/A</v>
      </c>
      <c r="M890" s="16" t="e">
        <f t="shared" si="1214"/>
        <v>#N/A</v>
      </c>
      <c r="N890" s="16" t="e">
        <f t="shared" si="1215"/>
        <v>#N/A</v>
      </c>
      <c r="O890" s="16" t="s">
        <v>66</v>
      </c>
      <c r="P890" s="16" t="str">
        <f t="shared" si="6"/>
        <v/>
      </c>
      <c r="Q890" s="41" t="e">
        <f t="shared" si="1216"/>
        <v>#N/A</v>
      </c>
      <c r="R890" s="44"/>
      <c r="S890" s="44"/>
      <c r="T890" s="43"/>
      <c r="U890" s="43" t="str">
        <f t="shared" si="8"/>
        <v>No</v>
      </c>
      <c r="V890" s="25"/>
      <c r="W890" s="25"/>
      <c r="X890" s="25"/>
      <c r="Y890" s="25"/>
      <c r="Z890" s="25"/>
    </row>
    <row r="891" spans="1:26" ht="15.75" customHeight="1" x14ac:dyDescent="0.25">
      <c r="A891" s="25">
        <v>889</v>
      </c>
      <c r="B891" s="37" t="e">
        <f t="shared" ref="B891:D891" si="1791">VLOOKUP($A891,[2]Educación!$A$1:$O$276,B$1,0)</f>
        <v>#N/A</v>
      </c>
      <c r="C891" s="38" t="e">
        <f t="shared" si="1791"/>
        <v>#N/A</v>
      </c>
      <c r="D891" s="39" t="e">
        <f t="shared" si="1791"/>
        <v>#N/A</v>
      </c>
      <c r="E891" s="16" t="e">
        <f t="shared" si="1"/>
        <v>#N/A</v>
      </c>
      <c r="F891" s="16" t="e">
        <f t="shared" ref="F891:K891" si="1792">VLOOKUP($A891,[2]Educación!$A$1:$O$276,F$1,0)</f>
        <v>#N/A</v>
      </c>
      <c r="G891" s="39" t="e">
        <f t="shared" si="1792"/>
        <v>#N/A</v>
      </c>
      <c r="H891" s="16" t="e">
        <f t="shared" si="1792"/>
        <v>#N/A</v>
      </c>
      <c r="I891" s="16" t="e">
        <f t="shared" si="1792"/>
        <v>#N/A</v>
      </c>
      <c r="J891" s="40" t="e">
        <f t="shared" si="1792"/>
        <v>#N/A</v>
      </c>
      <c r="K891" s="16" t="e">
        <f t="shared" si="1792"/>
        <v>#N/A</v>
      </c>
      <c r="L891" s="40" t="e">
        <f t="shared" si="1213"/>
        <v>#N/A</v>
      </c>
      <c r="M891" s="16" t="e">
        <f t="shared" si="1214"/>
        <v>#N/A</v>
      </c>
      <c r="N891" s="16" t="e">
        <f t="shared" si="1215"/>
        <v>#N/A</v>
      </c>
      <c r="O891" s="16" t="s">
        <v>66</v>
      </c>
      <c r="P891" s="16" t="str">
        <f t="shared" si="6"/>
        <v/>
      </c>
      <c r="Q891" s="41" t="e">
        <f t="shared" si="1216"/>
        <v>#N/A</v>
      </c>
      <c r="R891" s="44"/>
      <c r="S891" s="44"/>
      <c r="T891" s="43"/>
      <c r="U891" s="43" t="str">
        <f t="shared" si="8"/>
        <v>No</v>
      </c>
      <c r="V891" s="25"/>
      <c r="W891" s="25"/>
      <c r="X891" s="25"/>
      <c r="Y891" s="25"/>
      <c r="Z891" s="25"/>
    </row>
    <row r="892" spans="1:26" ht="15.75" customHeight="1" x14ac:dyDescent="0.25">
      <c r="A892" s="25">
        <v>890</v>
      </c>
      <c r="B892" s="37" t="e">
        <f t="shared" ref="B892:D892" si="1793">VLOOKUP($A892,[2]Educación!$A$1:$O$276,B$1,0)</f>
        <v>#N/A</v>
      </c>
      <c r="C892" s="38" t="e">
        <f t="shared" si="1793"/>
        <v>#N/A</v>
      </c>
      <c r="D892" s="39" t="e">
        <f t="shared" si="1793"/>
        <v>#N/A</v>
      </c>
      <c r="E892" s="16" t="e">
        <f t="shared" si="1"/>
        <v>#N/A</v>
      </c>
      <c r="F892" s="16" t="e">
        <f t="shared" ref="F892:K892" si="1794">VLOOKUP($A892,[2]Educación!$A$1:$O$276,F$1,0)</f>
        <v>#N/A</v>
      </c>
      <c r="G892" s="39" t="e">
        <f t="shared" si="1794"/>
        <v>#N/A</v>
      </c>
      <c r="H892" s="16" t="e">
        <f t="shared" si="1794"/>
        <v>#N/A</v>
      </c>
      <c r="I892" s="16" t="e">
        <f t="shared" si="1794"/>
        <v>#N/A</v>
      </c>
      <c r="J892" s="40" t="e">
        <f t="shared" si="1794"/>
        <v>#N/A</v>
      </c>
      <c r="K892" s="16" t="e">
        <f t="shared" si="1794"/>
        <v>#N/A</v>
      </c>
      <c r="L892" s="40" t="e">
        <f t="shared" si="1213"/>
        <v>#N/A</v>
      </c>
      <c r="M892" s="16" t="e">
        <f t="shared" si="1214"/>
        <v>#N/A</v>
      </c>
      <c r="N892" s="16" t="e">
        <f t="shared" si="1215"/>
        <v>#N/A</v>
      </c>
      <c r="O892" s="16" t="s">
        <v>66</v>
      </c>
      <c r="P892" s="16" t="str">
        <f t="shared" si="6"/>
        <v/>
      </c>
      <c r="Q892" s="41" t="e">
        <f t="shared" si="1216"/>
        <v>#N/A</v>
      </c>
      <c r="R892" s="44"/>
      <c r="S892" s="44"/>
      <c r="T892" s="43"/>
      <c r="U892" s="43" t="str">
        <f t="shared" si="8"/>
        <v>No</v>
      </c>
      <c r="V892" s="25"/>
      <c r="W892" s="25"/>
      <c r="X892" s="25"/>
      <c r="Y892" s="25"/>
      <c r="Z892" s="25"/>
    </row>
    <row r="893" spans="1:26" ht="15.75" customHeight="1" x14ac:dyDescent="0.25">
      <c r="A893" s="25">
        <v>891</v>
      </c>
      <c r="B893" s="37" t="e">
        <f t="shared" ref="B893:D893" si="1795">VLOOKUP($A893,[2]Educación!$A$1:$O$276,B$1,0)</f>
        <v>#N/A</v>
      </c>
      <c r="C893" s="38" t="e">
        <f t="shared" si="1795"/>
        <v>#N/A</v>
      </c>
      <c r="D893" s="39" t="e">
        <f t="shared" si="1795"/>
        <v>#N/A</v>
      </c>
      <c r="E893" s="16" t="e">
        <f t="shared" si="1"/>
        <v>#N/A</v>
      </c>
      <c r="F893" s="16" t="e">
        <f t="shared" ref="F893:K893" si="1796">VLOOKUP($A893,[2]Educación!$A$1:$O$276,F$1,0)</f>
        <v>#N/A</v>
      </c>
      <c r="G893" s="39" t="e">
        <f t="shared" si="1796"/>
        <v>#N/A</v>
      </c>
      <c r="H893" s="16" t="e">
        <f t="shared" si="1796"/>
        <v>#N/A</v>
      </c>
      <c r="I893" s="16" t="e">
        <f t="shared" si="1796"/>
        <v>#N/A</v>
      </c>
      <c r="J893" s="40" t="e">
        <f t="shared" si="1796"/>
        <v>#N/A</v>
      </c>
      <c r="K893" s="16" t="e">
        <f t="shared" si="1796"/>
        <v>#N/A</v>
      </c>
      <c r="L893" s="40" t="e">
        <f t="shared" si="1213"/>
        <v>#N/A</v>
      </c>
      <c r="M893" s="16" t="e">
        <f t="shared" si="1214"/>
        <v>#N/A</v>
      </c>
      <c r="N893" s="16" t="e">
        <f t="shared" si="1215"/>
        <v>#N/A</v>
      </c>
      <c r="O893" s="16" t="s">
        <v>66</v>
      </c>
      <c r="P893" s="16" t="str">
        <f t="shared" si="6"/>
        <v/>
      </c>
      <c r="Q893" s="41" t="e">
        <f t="shared" si="1216"/>
        <v>#N/A</v>
      </c>
      <c r="R893" s="44"/>
      <c r="S893" s="44"/>
      <c r="T893" s="43"/>
      <c r="U893" s="43" t="str">
        <f t="shared" si="8"/>
        <v>No</v>
      </c>
      <c r="V893" s="25"/>
      <c r="W893" s="25"/>
      <c r="X893" s="25"/>
      <c r="Y893" s="25"/>
      <c r="Z893" s="25"/>
    </row>
    <row r="894" spans="1:26" ht="15.75" customHeight="1" x14ac:dyDescent="0.25">
      <c r="A894" s="25">
        <v>892</v>
      </c>
      <c r="B894" s="37" t="e">
        <f t="shared" ref="B894:D894" si="1797">VLOOKUP($A894,[2]Educación!$A$1:$O$276,B$1,0)</f>
        <v>#N/A</v>
      </c>
      <c r="C894" s="38" t="e">
        <f t="shared" si="1797"/>
        <v>#N/A</v>
      </c>
      <c r="D894" s="39" t="e">
        <f t="shared" si="1797"/>
        <v>#N/A</v>
      </c>
      <c r="E894" s="16" t="e">
        <f t="shared" si="1"/>
        <v>#N/A</v>
      </c>
      <c r="F894" s="16" t="e">
        <f t="shared" ref="F894:K894" si="1798">VLOOKUP($A894,[2]Educación!$A$1:$O$276,F$1,0)</f>
        <v>#N/A</v>
      </c>
      <c r="G894" s="39" t="e">
        <f t="shared" si="1798"/>
        <v>#N/A</v>
      </c>
      <c r="H894" s="16" t="e">
        <f t="shared" si="1798"/>
        <v>#N/A</v>
      </c>
      <c r="I894" s="16" t="e">
        <f t="shared" si="1798"/>
        <v>#N/A</v>
      </c>
      <c r="J894" s="40" t="e">
        <f t="shared" si="1798"/>
        <v>#N/A</v>
      </c>
      <c r="K894" s="16" t="e">
        <f t="shared" si="1798"/>
        <v>#N/A</v>
      </c>
      <c r="L894" s="40" t="e">
        <f t="shared" si="1213"/>
        <v>#N/A</v>
      </c>
      <c r="M894" s="16" t="e">
        <f t="shared" si="1214"/>
        <v>#N/A</v>
      </c>
      <c r="N894" s="16" t="e">
        <f t="shared" si="1215"/>
        <v>#N/A</v>
      </c>
      <c r="O894" s="16" t="s">
        <v>66</v>
      </c>
      <c r="P894" s="16" t="str">
        <f t="shared" si="6"/>
        <v/>
      </c>
      <c r="Q894" s="41" t="e">
        <f t="shared" si="1216"/>
        <v>#N/A</v>
      </c>
      <c r="R894" s="44"/>
      <c r="S894" s="44"/>
      <c r="T894" s="43"/>
      <c r="U894" s="43" t="str">
        <f t="shared" si="8"/>
        <v>No</v>
      </c>
      <c r="V894" s="25"/>
      <c r="W894" s="25"/>
      <c r="X894" s="25"/>
      <c r="Y894" s="25"/>
      <c r="Z894" s="25"/>
    </row>
    <row r="895" spans="1:26" ht="15.75" customHeight="1" x14ac:dyDescent="0.25">
      <c r="A895" s="25">
        <v>893</v>
      </c>
      <c r="B895" s="37" t="e">
        <f t="shared" ref="B895:D895" si="1799">VLOOKUP($A895,[2]Educación!$A$1:$O$276,B$1,0)</f>
        <v>#N/A</v>
      </c>
      <c r="C895" s="38" t="e">
        <f t="shared" si="1799"/>
        <v>#N/A</v>
      </c>
      <c r="D895" s="39" t="e">
        <f t="shared" si="1799"/>
        <v>#N/A</v>
      </c>
      <c r="E895" s="16" t="e">
        <f t="shared" si="1"/>
        <v>#N/A</v>
      </c>
      <c r="F895" s="16" t="e">
        <f t="shared" ref="F895:K895" si="1800">VLOOKUP($A895,[2]Educación!$A$1:$O$276,F$1,0)</f>
        <v>#N/A</v>
      </c>
      <c r="G895" s="39" t="e">
        <f t="shared" si="1800"/>
        <v>#N/A</v>
      </c>
      <c r="H895" s="16" t="e">
        <f t="shared" si="1800"/>
        <v>#N/A</v>
      </c>
      <c r="I895" s="16" t="e">
        <f t="shared" si="1800"/>
        <v>#N/A</v>
      </c>
      <c r="J895" s="40" t="e">
        <f t="shared" si="1800"/>
        <v>#N/A</v>
      </c>
      <c r="K895" s="16" t="e">
        <f t="shared" si="1800"/>
        <v>#N/A</v>
      </c>
      <c r="L895" s="40" t="e">
        <f t="shared" si="1213"/>
        <v>#N/A</v>
      </c>
      <c r="M895" s="16" t="e">
        <f t="shared" si="1214"/>
        <v>#N/A</v>
      </c>
      <c r="N895" s="16" t="e">
        <f t="shared" si="1215"/>
        <v>#N/A</v>
      </c>
      <c r="O895" s="16" t="s">
        <v>66</v>
      </c>
      <c r="P895" s="16" t="str">
        <f t="shared" si="6"/>
        <v/>
      </c>
      <c r="Q895" s="41" t="e">
        <f t="shared" si="1216"/>
        <v>#N/A</v>
      </c>
      <c r="R895" s="44"/>
      <c r="S895" s="44"/>
      <c r="T895" s="43"/>
      <c r="U895" s="43" t="str">
        <f t="shared" si="8"/>
        <v>No</v>
      </c>
      <c r="V895" s="25"/>
      <c r="W895" s="25"/>
      <c r="X895" s="25"/>
      <c r="Y895" s="25"/>
      <c r="Z895" s="25"/>
    </row>
    <row r="896" spans="1:26" ht="15.75" customHeight="1" x14ac:dyDescent="0.25">
      <c r="A896" s="25">
        <v>894</v>
      </c>
      <c r="B896" s="37" t="e">
        <f t="shared" ref="B896:D896" si="1801">VLOOKUP($A896,[2]Educación!$A$1:$O$276,B$1,0)</f>
        <v>#N/A</v>
      </c>
      <c r="C896" s="38" t="e">
        <f t="shared" si="1801"/>
        <v>#N/A</v>
      </c>
      <c r="D896" s="39" t="e">
        <f t="shared" si="1801"/>
        <v>#N/A</v>
      </c>
      <c r="E896" s="16" t="e">
        <f t="shared" si="1"/>
        <v>#N/A</v>
      </c>
      <c r="F896" s="16" t="e">
        <f t="shared" ref="F896:K896" si="1802">VLOOKUP($A896,[2]Educación!$A$1:$O$276,F$1,0)</f>
        <v>#N/A</v>
      </c>
      <c r="G896" s="39" t="e">
        <f t="shared" si="1802"/>
        <v>#N/A</v>
      </c>
      <c r="H896" s="16" t="e">
        <f t="shared" si="1802"/>
        <v>#N/A</v>
      </c>
      <c r="I896" s="16" t="e">
        <f t="shared" si="1802"/>
        <v>#N/A</v>
      </c>
      <c r="J896" s="40" t="e">
        <f t="shared" si="1802"/>
        <v>#N/A</v>
      </c>
      <c r="K896" s="16" t="e">
        <f t="shared" si="1802"/>
        <v>#N/A</v>
      </c>
      <c r="L896" s="40" t="e">
        <f t="shared" si="1213"/>
        <v>#N/A</v>
      </c>
      <c r="M896" s="16" t="e">
        <f t="shared" si="1214"/>
        <v>#N/A</v>
      </c>
      <c r="N896" s="16" t="e">
        <f t="shared" si="1215"/>
        <v>#N/A</v>
      </c>
      <c r="O896" s="16" t="s">
        <v>66</v>
      </c>
      <c r="P896" s="16" t="str">
        <f t="shared" si="6"/>
        <v/>
      </c>
      <c r="Q896" s="41" t="e">
        <f t="shared" si="1216"/>
        <v>#N/A</v>
      </c>
      <c r="R896" s="44"/>
      <c r="S896" s="44"/>
      <c r="T896" s="43"/>
      <c r="U896" s="43" t="str">
        <f t="shared" si="8"/>
        <v>No</v>
      </c>
      <c r="V896" s="25"/>
      <c r="W896" s="25"/>
      <c r="X896" s="25"/>
      <c r="Y896" s="25"/>
      <c r="Z896" s="25"/>
    </row>
    <row r="897" spans="1:26" ht="15.75" customHeight="1" x14ac:dyDescent="0.25">
      <c r="A897" s="25">
        <v>895</v>
      </c>
      <c r="B897" s="37" t="e">
        <f t="shared" ref="B897:D897" si="1803">VLOOKUP($A897,[2]Educación!$A$1:$O$276,B$1,0)</f>
        <v>#N/A</v>
      </c>
      <c r="C897" s="38" t="e">
        <f t="shared" si="1803"/>
        <v>#N/A</v>
      </c>
      <c r="D897" s="39" t="e">
        <f t="shared" si="1803"/>
        <v>#N/A</v>
      </c>
      <c r="E897" s="16" t="e">
        <f t="shared" si="1"/>
        <v>#N/A</v>
      </c>
      <c r="F897" s="16" t="e">
        <f t="shared" ref="F897:K897" si="1804">VLOOKUP($A897,[2]Educación!$A$1:$O$276,F$1,0)</f>
        <v>#N/A</v>
      </c>
      <c r="G897" s="39" t="e">
        <f t="shared" si="1804"/>
        <v>#N/A</v>
      </c>
      <c r="H897" s="16" t="e">
        <f t="shared" si="1804"/>
        <v>#N/A</v>
      </c>
      <c r="I897" s="16" t="e">
        <f t="shared" si="1804"/>
        <v>#N/A</v>
      </c>
      <c r="J897" s="40" t="e">
        <f t="shared" si="1804"/>
        <v>#N/A</v>
      </c>
      <c r="K897" s="16" t="e">
        <f t="shared" si="1804"/>
        <v>#N/A</v>
      </c>
      <c r="L897" s="40" t="e">
        <f t="shared" si="1213"/>
        <v>#N/A</v>
      </c>
      <c r="M897" s="16" t="e">
        <f t="shared" si="1214"/>
        <v>#N/A</v>
      </c>
      <c r="N897" s="16" t="e">
        <f t="shared" si="1215"/>
        <v>#N/A</v>
      </c>
      <c r="O897" s="16" t="s">
        <v>66</v>
      </c>
      <c r="P897" s="16" t="str">
        <f t="shared" si="6"/>
        <v/>
      </c>
      <c r="Q897" s="41" t="e">
        <f t="shared" si="1216"/>
        <v>#N/A</v>
      </c>
      <c r="R897" s="44"/>
      <c r="S897" s="44"/>
      <c r="T897" s="43"/>
      <c r="U897" s="43" t="str">
        <f t="shared" si="8"/>
        <v>No</v>
      </c>
      <c r="V897" s="25"/>
      <c r="W897" s="25"/>
      <c r="X897" s="25"/>
      <c r="Y897" s="25"/>
      <c r="Z897" s="25"/>
    </row>
    <row r="898" spans="1:26" ht="15.75" customHeight="1" x14ac:dyDescent="0.25">
      <c r="A898" s="25">
        <v>896</v>
      </c>
      <c r="B898" s="37" t="e">
        <f t="shared" ref="B898:D898" si="1805">VLOOKUP($A898,[2]Educación!$A$1:$O$276,B$1,0)</f>
        <v>#N/A</v>
      </c>
      <c r="C898" s="38" t="e">
        <f t="shared" si="1805"/>
        <v>#N/A</v>
      </c>
      <c r="D898" s="39" t="e">
        <f t="shared" si="1805"/>
        <v>#N/A</v>
      </c>
      <c r="E898" s="16" t="e">
        <f t="shared" si="1"/>
        <v>#N/A</v>
      </c>
      <c r="F898" s="16" t="e">
        <f t="shared" ref="F898:K898" si="1806">VLOOKUP($A898,[2]Educación!$A$1:$O$276,F$1,0)</f>
        <v>#N/A</v>
      </c>
      <c r="G898" s="39" t="e">
        <f t="shared" si="1806"/>
        <v>#N/A</v>
      </c>
      <c r="H898" s="16" t="e">
        <f t="shared" si="1806"/>
        <v>#N/A</v>
      </c>
      <c r="I898" s="16" t="e">
        <f t="shared" si="1806"/>
        <v>#N/A</v>
      </c>
      <c r="J898" s="40" t="e">
        <f t="shared" si="1806"/>
        <v>#N/A</v>
      </c>
      <c r="K898" s="16" t="e">
        <f t="shared" si="1806"/>
        <v>#N/A</v>
      </c>
      <c r="L898" s="40" t="e">
        <f t="shared" si="1213"/>
        <v>#N/A</v>
      </c>
      <c r="M898" s="16" t="e">
        <f t="shared" si="1214"/>
        <v>#N/A</v>
      </c>
      <c r="N898" s="16" t="e">
        <f t="shared" si="1215"/>
        <v>#N/A</v>
      </c>
      <c r="O898" s="16" t="s">
        <v>66</v>
      </c>
      <c r="P898" s="16" t="str">
        <f t="shared" si="6"/>
        <v/>
      </c>
      <c r="Q898" s="41" t="e">
        <f t="shared" si="1216"/>
        <v>#N/A</v>
      </c>
      <c r="R898" s="44"/>
      <c r="S898" s="44"/>
      <c r="T898" s="43"/>
      <c r="U898" s="43" t="str">
        <f t="shared" si="8"/>
        <v>No</v>
      </c>
      <c r="V898" s="25"/>
      <c r="W898" s="25"/>
      <c r="X898" s="25"/>
      <c r="Y898" s="25"/>
      <c r="Z898" s="25"/>
    </row>
    <row r="899" spans="1:26" ht="15.75" customHeight="1" x14ac:dyDescent="0.25">
      <c r="A899" s="25">
        <v>897</v>
      </c>
      <c r="B899" s="37" t="e">
        <f t="shared" ref="B899:D899" si="1807">VLOOKUP($A899,[2]Educación!$A$1:$O$276,B$1,0)</f>
        <v>#N/A</v>
      </c>
      <c r="C899" s="38" t="e">
        <f t="shared" si="1807"/>
        <v>#N/A</v>
      </c>
      <c r="D899" s="39" t="e">
        <f t="shared" si="1807"/>
        <v>#N/A</v>
      </c>
      <c r="E899" s="16" t="e">
        <f t="shared" si="1"/>
        <v>#N/A</v>
      </c>
      <c r="F899" s="16" t="e">
        <f t="shared" ref="F899:K899" si="1808">VLOOKUP($A899,[2]Educación!$A$1:$O$276,F$1,0)</f>
        <v>#N/A</v>
      </c>
      <c r="G899" s="39" t="e">
        <f t="shared" si="1808"/>
        <v>#N/A</v>
      </c>
      <c r="H899" s="16" t="e">
        <f t="shared" si="1808"/>
        <v>#N/A</v>
      </c>
      <c r="I899" s="16" t="e">
        <f t="shared" si="1808"/>
        <v>#N/A</v>
      </c>
      <c r="J899" s="40" t="e">
        <f t="shared" si="1808"/>
        <v>#N/A</v>
      </c>
      <c r="K899" s="16" t="e">
        <f t="shared" si="1808"/>
        <v>#N/A</v>
      </c>
      <c r="L899" s="40" t="e">
        <f t="shared" si="1213"/>
        <v>#N/A</v>
      </c>
      <c r="M899" s="16" t="e">
        <f t="shared" si="1214"/>
        <v>#N/A</v>
      </c>
      <c r="N899" s="16" t="e">
        <f t="shared" si="1215"/>
        <v>#N/A</v>
      </c>
      <c r="O899" s="16" t="s">
        <v>66</v>
      </c>
      <c r="P899" s="16" t="str">
        <f t="shared" si="6"/>
        <v/>
      </c>
      <c r="Q899" s="41" t="e">
        <f t="shared" si="1216"/>
        <v>#N/A</v>
      </c>
      <c r="R899" s="44"/>
      <c r="S899" s="44"/>
      <c r="T899" s="43"/>
      <c r="U899" s="43" t="str">
        <f t="shared" si="8"/>
        <v>No</v>
      </c>
      <c r="V899" s="25"/>
      <c r="W899" s="25"/>
      <c r="X899" s="25"/>
      <c r="Y899" s="25"/>
      <c r="Z899" s="25"/>
    </row>
    <row r="900" spans="1:26" ht="15.75" customHeight="1" x14ac:dyDescent="0.25">
      <c r="A900" s="25">
        <v>898</v>
      </c>
      <c r="B900" s="37" t="e">
        <f t="shared" ref="B900:D900" si="1809">VLOOKUP($A900,[2]Educación!$A$1:$O$276,B$1,0)</f>
        <v>#N/A</v>
      </c>
      <c r="C900" s="38" t="e">
        <f t="shared" si="1809"/>
        <v>#N/A</v>
      </c>
      <c r="D900" s="39" t="e">
        <f t="shared" si="1809"/>
        <v>#N/A</v>
      </c>
      <c r="E900" s="16" t="e">
        <f t="shared" si="1"/>
        <v>#N/A</v>
      </c>
      <c r="F900" s="16" t="e">
        <f t="shared" ref="F900:K900" si="1810">VLOOKUP($A900,[2]Educación!$A$1:$O$276,F$1,0)</f>
        <v>#N/A</v>
      </c>
      <c r="G900" s="39" t="e">
        <f t="shared" si="1810"/>
        <v>#N/A</v>
      </c>
      <c r="H900" s="16" t="e">
        <f t="shared" si="1810"/>
        <v>#N/A</v>
      </c>
      <c r="I900" s="16" t="e">
        <f t="shared" si="1810"/>
        <v>#N/A</v>
      </c>
      <c r="J900" s="40" t="e">
        <f t="shared" si="1810"/>
        <v>#N/A</v>
      </c>
      <c r="K900" s="16" t="e">
        <f t="shared" si="1810"/>
        <v>#N/A</v>
      </c>
      <c r="L900" s="40" t="e">
        <f t="shared" si="1213"/>
        <v>#N/A</v>
      </c>
      <c r="M900" s="16" t="e">
        <f t="shared" si="1214"/>
        <v>#N/A</v>
      </c>
      <c r="N900" s="16" t="e">
        <f t="shared" si="1215"/>
        <v>#N/A</v>
      </c>
      <c r="O900" s="16" t="s">
        <v>66</v>
      </c>
      <c r="P900" s="16" t="str">
        <f t="shared" si="6"/>
        <v/>
      </c>
      <c r="Q900" s="41" t="e">
        <f t="shared" si="1216"/>
        <v>#N/A</v>
      </c>
      <c r="R900" s="44"/>
      <c r="S900" s="44"/>
      <c r="T900" s="43"/>
      <c r="U900" s="43" t="str">
        <f t="shared" si="8"/>
        <v>No</v>
      </c>
      <c r="V900" s="25"/>
      <c r="W900" s="25"/>
      <c r="X900" s="25"/>
      <c r="Y900" s="25"/>
      <c r="Z900" s="25"/>
    </row>
    <row r="901" spans="1:26" ht="15.75" customHeight="1" x14ac:dyDescent="0.25">
      <c r="A901" s="25">
        <v>899</v>
      </c>
      <c r="B901" s="37" t="e">
        <f t="shared" ref="B901:D901" si="1811">VLOOKUP($A901,[2]Educación!$A$1:$O$276,B$1,0)</f>
        <v>#N/A</v>
      </c>
      <c r="C901" s="38" t="e">
        <f t="shared" si="1811"/>
        <v>#N/A</v>
      </c>
      <c r="D901" s="39" t="e">
        <f t="shared" si="1811"/>
        <v>#N/A</v>
      </c>
      <c r="E901" s="16" t="e">
        <f t="shared" si="1"/>
        <v>#N/A</v>
      </c>
      <c r="F901" s="16" t="e">
        <f t="shared" ref="F901:K901" si="1812">VLOOKUP($A901,[2]Educación!$A$1:$O$276,F$1,0)</f>
        <v>#N/A</v>
      </c>
      <c r="G901" s="39" t="e">
        <f t="shared" si="1812"/>
        <v>#N/A</v>
      </c>
      <c r="H901" s="16" t="e">
        <f t="shared" si="1812"/>
        <v>#N/A</v>
      </c>
      <c r="I901" s="16" t="e">
        <f t="shared" si="1812"/>
        <v>#N/A</v>
      </c>
      <c r="J901" s="40" t="e">
        <f t="shared" si="1812"/>
        <v>#N/A</v>
      </c>
      <c r="K901" s="16" t="e">
        <f t="shared" si="1812"/>
        <v>#N/A</v>
      </c>
      <c r="L901" s="40" t="e">
        <f t="shared" si="1213"/>
        <v>#N/A</v>
      </c>
      <c r="M901" s="16" t="e">
        <f t="shared" si="1214"/>
        <v>#N/A</v>
      </c>
      <c r="N901" s="16" t="e">
        <f t="shared" si="1215"/>
        <v>#N/A</v>
      </c>
      <c r="O901" s="16" t="s">
        <v>66</v>
      </c>
      <c r="P901" s="16" t="str">
        <f t="shared" si="6"/>
        <v/>
      </c>
      <c r="Q901" s="41" t="e">
        <f t="shared" si="1216"/>
        <v>#N/A</v>
      </c>
      <c r="R901" s="44"/>
      <c r="S901" s="44"/>
      <c r="T901" s="43"/>
      <c r="U901" s="43" t="str">
        <f t="shared" si="8"/>
        <v>No</v>
      </c>
      <c r="V901" s="25"/>
      <c r="W901" s="25"/>
      <c r="X901" s="25"/>
      <c r="Y901" s="25"/>
      <c r="Z901" s="25"/>
    </row>
    <row r="902" spans="1:26" ht="15.75" customHeight="1" x14ac:dyDescent="0.25">
      <c r="A902" s="25">
        <v>900</v>
      </c>
      <c r="B902" s="37" t="e">
        <f t="shared" ref="B902:D902" si="1813">VLOOKUP($A902,[2]Educación!$A$1:$O$276,B$1,0)</f>
        <v>#N/A</v>
      </c>
      <c r="C902" s="38" t="e">
        <f t="shared" si="1813"/>
        <v>#N/A</v>
      </c>
      <c r="D902" s="39" t="e">
        <f t="shared" si="1813"/>
        <v>#N/A</v>
      </c>
      <c r="E902" s="16" t="e">
        <f t="shared" si="1"/>
        <v>#N/A</v>
      </c>
      <c r="F902" s="16" t="e">
        <f t="shared" ref="F902:K902" si="1814">VLOOKUP($A902,[2]Educación!$A$1:$O$276,F$1,0)</f>
        <v>#N/A</v>
      </c>
      <c r="G902" s="39" t="e">
        <f t="shared" si="1814"/>
        <v>#N/A</v>
      </c>
      <c r="H902" s="16" t="e">
        <f t="shared" si="1814"/>
        <v>#N/A</v>
      </c>
      <c r="I902" s="16" t="e">
        <f t="shared" si="1814"/>
        <v>#N/A</v>
      </c>
      <c r="J902" s="40" t="e">
        <f t="shared" si="1814"/>
        <v>#N/A</v>
      </c>
      <c r="K902" s="16" t="e">
        <f t="shared" si="1814"/>
        <v>#N/A</v>
      </c>
      <c r="L902" s="40" t="e">
        <f t="shared" si="1213"/>
        <v>#N/A</v>
      </c>
      <c r="M902" s="16" t="e">
        <f t="shared" si="1214"/>
        <v>#N/A</v>
      </c>
      <c r="N902" s="16" t="e">
        <f t="shared" si="1215"/>
        <v>#N/A</v>
      </c>
      <c r="O902" s="16" t="s">
        <v>66</v>
      </c>
      <c r="P902" s="16" t="str">
        <f t="shared" si="6"/>
        <v/>
      </c>
      <c r="Q902" s="41" t="e">
        <f t="shared" si="1216"/>
        <v>#N/A</v>
      </c>
      <c r="R902" s="44"/>
      <c r="S902" s="44"/>
      <c r="T902" s="43"/>
      <c r="U902" s="43" t="str">
        <f t="shared" si="8"/>
        <v>No</v>
      </c>
      <c r="V902" s="25"/>
      <c r="W902" s="25"/>
      <c r="X902" s="25"/>
      <c r="Y902" s="25"/>
      <c r="Z902" s="25"/>
    </row>
    <row r="903" spans="1:26" ht="15.75" customHeight="1" x14ac:dyDescent="0.25">
      <c r="A903" s="25">
        <v>901</v>
      </c>
      <c r="B903" s="37" t="e">
        <f t="shared" ref="B903:D903" si="1815">VLOOKUP($A903,'[3]Gestión Pública'!$A$1:$O$251,B$1,0)</f>
        <v>#N/A</v>
      </c>
      <c r="C903" s="38" t="e">
        <f t="shared" si="1815"/>
        <v>#N/A</v>
      </c>
      <c r="D903" s="39" t="e">
        <f t="shared" si="1815"/>
        <v>#N/A</v>
      </c>
      <c r="E903" s="16" t="e">
        <f t="shared" si="1"/>
        <v>#N/A</v>
      </c>
      <c r="F903" s="16" t="e">
        <f t="shared" ref="F903:K903" si="1816">VLOOKUP($A903,'[3]Gestión Pública'!$A$1:$O$251,F$1,0)</f>
        <v>#N/A</v>
      </c>
      <c r="G903" s="39" t="e">
        <f t="shared" si="1816"/>
        <v>#N/A</v>
      </c>
      <c r="H903" s="16" t="e">
        <f t="shared" si="1816"/>
        <v>#N/A</v>
      </c>
      <c r="I903" s="16" t="e">
        <f t="shared" si="1816"/>
        <v>#N/A</v>
      </c>
      <c r="J903" s="40" t="e">
        <f t="shared" si="1816"/>
        <v>#N/A</v>
      </c>
      <c r="K903" s="16" t="e">
        <f t="shared" si="1816"/>
        <v>#N/A</v>
      </c>
      <c r="L903" s="40" t="e">
        <f t="shared" ref="L903:L1202" si="1817">VLOOKUP($A903,'[3]Gestión Pública'!$A$1:$O$251,13,0)</f>
        <v>#N/A</v>
      </c>
      <c r="M903" s="16" t="e">
        <f t="shared" ref="M903:M1202" si="1818">VLOOKUP($A903,'[3]Gestión Pública'!$A$1:$O$251,14,0)</f>
        <v>#N/A</v>
      </c>
      <c r="N903" s="16" t="e">
        <f t="shared" ref="N903:N1202" si="1819">VLOOKUP($A903,'[3]Gestión Pública'!$A$1:$O$251,15,0)</f>
        <v>#N/A</v>
      </c>
      <c r="O903" s="16" t="s">
        <v>67</v>
      </c>
      <c r="P903" s="16" t="str">
        <f t="shared" si="6"/>
        <v/>
      </c>
      <c r="Q903" s="41" t="e">
        <f t="shared" ref="Q903:Q1202" si="1820">VLOOKUP($A903,'[3]Gestión Pública'!$A$1:$O$242,12,0)</f>
        <v>#N/A</v>
      </c>
      <c r="R903" s="44"/>
      <c r="S903" s="44"/>
      <c r="T903" s="43"/>
      <c r="U903" s="43" t="str">
        <f t="shared" si="8"/>
        <v>No</v>
      </c>
      <c r="V903" s="25"/>
      <c r="W903" s="25"/>
      <c r="X903" s="25"/>
      <c r="Y903" s="25"/>
      <c r="Z903" s="25"/>
    </row>
    <row r="904" spans="1:26" ht="15.75" customHeight="1" x14ac:dyDescent="0.25">
      <c r="A904" s="25">
        <v>902</v>
      </c>
      <c r="B904" s="37" t="e">
        <f t="shared" ref="B904:D904" si="1821">VLOOKUP($A904,'[3]Gestión Pública'!$A$1:$O$251,B$1,0)</f>
        <v>#N/A</v>
      </c>
      <c r="C904" s="38" t="e">
        <f t="shared" si="1821"/>
        <v>#N/A</v>
      </c>
      <c r="D904" s="39" t="e">
        <f t="shared" si="1821"/>
        <v>#N/A</v>
      </c>
      <c r="E904" s="16" t="e">
        <f t="shared" si="1"/>
        <v>#N/A</v>
      </c>
      <c r="F904" s="16" t="e">
        <f t="shared" ref="F904:K904" si="1822">VLOOKUP($A904,'[3]Gestión Pública'!$A$1:$O$251,F$1,0)</f>
        <v>#N/A</v>
      </c>
      <c r="G904" s="39" t="e">
        <f t="shared" si="1822"/>
        <v>#N/A</v>
      </c>
      <c r="H904" s="16" t="e">
        <f t="shared" si="1822"/>
        <v>#N/A</v>
      </c>
      <c r="I904" s="16" t="e">
        <f t="shared" si="1822"/>
        <v>#N/A</v>
      </c>
      <c r="J904" s="40" t="e">
        <f t="shared" si="1822"/>
        <v>#N/A</v>
      </c>
      <c r="K904" s="16" t="e">
        <f t="shared" si="1822"/>
        <v>#N/A</v>
      </c>
      <c r="L904" s="40" t="e">
        <f t="shared" si="1817"/>
        <v>#N/A</v>
      </c>
      <c r="M904" s="16" t="e">
        <f t="shared" si="1818"/>
        <v>#N/A</v>
      </c>
      <c r="N904" s="16" t="e">
        <f t="shared" si="1819"/>
        <v>#N/A</v>
      </c>
      <c r="O904" s="16" t="s">
        <v>67</v>
      </c>
      <c r="P904" s="16" t="str">
        <f t="shared" si="6"/>
        <v/>
      </c>
      <c r="Q904" s="41" t="e">
        <f t="shared" si="1820"/>
        <v>#N/A</v>
      </c>
      <c r="R904" s="44"/>
      <c r="S904" s="44"/>
      <c r="T904" s="43"/>
      <c r="U904" s="43" t="str">
        <f t="shared" si="8"/>
        <v>No</v>
      </c>
      <c r="V904" s="25"/>
      <c r="W904" s="25"/>
      <c r="X904" s="25"/>
      <c r="Y904" s="25"/>
      <c r="Z904" s="25"/>
    </row>
    <row r="905" spans="1:26" ht="15.75" customHeight="1" x14ac:dyDescent="0.25">
      <c r="A905" s="25">
        <v>903</v>
      </c>
      <c r="B905" s="37" t="e">
        <f t="shared" ref="B905:D905" si="1823">VLOOKUP($A905,'[3]Gestión Pública'!$A$1:$O$251,B$1,0)</f>
        <v>#N/A</v>
      </c>
      <c r="C905" s="38" t="e">
        <f t="shared" si="1823"/>
        <v>#N/A</v>
      </c>
      <c r="D905" s="39" t="e">
        <f t="shared" si="1823"/>
        <v>#N/A</v>
      </c>
      <c r="E905" s="16" t="e">
        <f t="shared" si="1"/>
        <v>#N/A</v>
      </c>
      <c r="F905" s="16" t="e">
        <f t="shared" ref="F905:K905" si="1824">VLOOKUP($A905,'[3]Gestión Pública'!$A$1:$O$251,F$1,0)</f>
        <v>#N/A</v>
      </c>
      <c r="G905" s="39" t="e">
        <f t="shared" si="1824"/>
        <v>#N/A</v>
      </c>
      <c r="H905" s="16" t="e">
        <f t="shared" si="1824"/>
        <v>#N/A</v>
      </c>
      <c r="I905" s="16" t="e">
        <f t="shared" si="1824"/>
        <v>#N/A</v>
      </c>
      <c r="J905" s="40" t="e">
        <f t="shared" si="1824"/>
        <v>#N/A</v>
      </c>
      <c r="K905" s="16" t="e">
        <f t="shared" si="1824"/>
        <v>#N/A</v>
      </c>
      <c r="L905" s="40" t="e">
        <f t="shared" si="1817"/>
        <v>#N/A</v>
      </c>
      <c r="M905" s="16" t="e">
        <f t="shared" si="1818"/>
        <v>#N/A</v>
      </c>
      <c r="N905" s="16" t="e">
        <f t="shared" si="1819"/>
        <v>#N/A</v>
      </c>
      <c r="O905" s="16" t="s">
        <v>67</v>
      </c>
      <c r="P905" s="16" t="str">
        <f t="shared" si="6"/>
        <v/>
      </c>
      <c r="Q905" s="41" t="e">
        <f t="shared" si="1820"/>
        <v>#N/A</v>
      </c>
      <c r="R905" s="44"/>
      <c r="S905" s="44"/>
      <c r="T905" s="43"/>
      <c r="U905" s="43" t="str">
        <f t="shared" si="8"/>
        <v>No</v>
      </c>
      <c r="V905" s="25"/>
      <c r="W905" s="25"/>
      <c r="X905" s="25"/>
      <c r="Y905" s="25"/>
      <c r="Z905" s="25"/>
    </row>
    <row r="906" spans="1:26" ht="15.75" customHeight="1" x14ac:dyDescent="0.25">
      <c r="A906" s="25">
        <v>904</v>
      </c>
      <c r="B906" s="37" t="e">
        <f t="shared" ref="B906:D906" si="1825">VLOOKUP($A906,'[3]Gestión Pública'!$A$1:$O$251,B$1,0)</f>
        <v>#N/A</v>
      </c>
      <c r="C906" s="38" t="e">
        <f t="shared" si="1825"/>
        <v>#N/A</v>
      </c>
      <c r="D906" s="39" t="e">
        <f t="shared" si="1825"/>
        <v>#N/A</v>
      </c>
      <c r="E906" s="16" t="e">
        <f t="shared" si="1"/>
        <v>#N/A</v>
      </c>
      <c r="F906" s="16" t="e">
        <f t="shared" ref="F906:K906" si="1826">VLOOKUP($A906,'[3]Gestión Pública'!$A$1:$O$251,F$1,0)</f>
        <v>#N/A</v>
      </c>
      <c r="G906" s="39" t="e">
        <f t="shared" si="1826"/>
        <v>#N/A</v>
      </c>
      <c r="H906" s="16" t="e">
        <f t="shared" si="1826"/>
        <v>#N/A</v>
      </c>
      <c r="I906" s="16" t="e">
        <f t="shared" si="1826"/>
        <v>#N/A</v>
      </c>
      <c r="J906" s="40" t="e">
        <f t="shared" si="1826"/>
        <v>#N/A</v>
      </c>
      <c r="K906" s="16" t="e">
        <f t="shared" si="1826"/>
        <v>#N/A</v>
      </c>
      <c r="L906" s="40" t="e">
        <f t="shared" si="1817"/>
        <v>#N/A</v>
      </c>
      <c r="M906" s="16" t="e">
        <f t="shared" si="1818"/>
        <v>#N/A</v>
      </c>
      <c r="N906" s="16" t="e">
        <f t="shared" si="1819"/>
        <v>#N/A</v>
      </c>
      <c r="O906" s="16" t="s">
        <v>67</v>
      </c>
      <c r="P906" s="16" t="str">
        <f t="shared" si="6"/>
        <v/>
      </c>
      <c r="Q906" s="41" t="e">
        <f t="shared" si="1820"/>
        <v>#N/A</v>
      </c>
      <c r="R906" s="44"/>
      <c r="S906" s="44"/>
      <c r="T906" s="43"/>
      <c r="U906" s="43" t="str">
        <f t="shared" si="8"/>
        <v>No</v>
      </c>
      <c r="V906" s="25"/>
      <c r="W906" s="25"/>
      <c r="X906" s="25"/>
      <c r="Y906" s="25"/>
      <c r="Z906" s="25"/>
    </row>
    <row r="907" spans="1:26" ht="15.75" customHeight="1" x14ac:dyDescent="0.25">
      <c r="A907" s="25">
        <v>905</v>
      </c>
      <c r="B907" s="37" t="e">
        <f t="shared" ref="B907:D907" si="1827">VLOOKUP($A907,'[3]Gestión Pública'!$A$1:$O$251,B$1,0)</f>
        <v>#N/A</v>
      </c>
      <c r="C907" s="38" t="e">
        <f t="shared" si="1827"/>
        <v>#N/A</v>
      </c>
      <c r="D907" s="39" t="e">
        <f t="shared" si="1827"/>
        <v>#N/A</v>
      </c>
      <c r="E907" s="16" t="e">
        <f t="shared" si="1"/>
        <v>#N/A</v>
      </c>
      <c r="F907" s="16" t="e">
        <f t="shared" ref="F907:K907" si="1828">VLOOKUP($A907,'[3]Gestión Pública'!$A$1:$O$251,F$1,0)</f>
        <v>#N/A</v>
      </c>
      <c r="G907" s="39" t="e">
        <f t="shared" si="1828"/>
        <v>#N/A</v>
      </c>
      <c r="H907" s="16" t="e">
        <f t="shared" si="1828"/>
        <v>#N/A</v>
      </c>
      <c r="I907" s="16" t="e">
        <f t="shared" si="1828"/>
        <v>#N/A</v>
      </c>
      <c r="J907" s="40" t="e">
        <f t="shared" si="1828"/>
        <v>#N/A</v>
      </c>
      <c r="K907" s="16" t="e">
        <f t="shared" si="1828"/>
        <v>#N/A</v>
      </c>
      <c r="L907" s="40" t="e">
        <f t="shared" si="1817"/>
        <v>#N/A</v>
      </c>
      <c r="M907" s="16" t="e">
        <f t="shared" si="1818"/>
        <v>#N/A</v>
      </c>
      <c r="N907" s="16" t="e">
        <f t="shared" si="1819"/>
        <v>#N/A</v>
      </c>
      <c r="O907" s="16" t="s">
        <v>67</v>
      </c>
      <c r="P907" s="16" t="str">
        <f t="shared" si="6"/>
        <v/>
      </c>
      <c r="Q907" s="41" t="e">
        <f t="shared" si="1820"/>
        <v>#N/A</v>
      </c>
      <c r="R907" s="44"/>
      <c r="S907" s="44"/>
      <c r="T907" s="43"/>
      <c r="U907" s="43" t="str">
        <f t="shared" si="8"/>
        <v>No</v>
      </c>
      <c r="V907" s="25"/>
      <c r="W907" s="25"/>
      <c r="X907" s="25"/>
      <c r="Y907" s="25"/>
      <c r="Z907" s="25"/>
    </row>
    <row r="908" spans="1:26" ht="15.75" customHeight="1" x14ac:dyDescent="0.25">
      <c r="A908" s="25">
        <v>906</v>
      </c>
      <c r="B908" s="37" t="e">
        <f t="shared" ref="B908:D908" si="1829">VLOOKUP($A908,'[3]Gestión Pública'!$A$1:$O$251,B$1,0)</f>
        <v>#N/A</v>
      </c>
      <c r="C908" s="38" t="e">
        <f t="shared" si="1829"/>
        <v>#N/A</v>
      </c>
      <c r="D908" s="39" t="e">
        <f t="shared" si="1829"/>
        <v>#N/A</v>
      </c>
      <c r="E908" s="16" t="e">
        <f t="shared" si="1"/>
        <v>#N/A</v>
      </c>
      <c r="F908" s="16" t="e">
        <f t="shared" ref="F908:K908" si="1830">VLOOKUP($A908,'[3]Gestión Pública'!$A$1:$O$251,F$1,0)</f>
        <v>#N/A</v>
      </c>
      <c r="G908" s="39" t="e">
        <f t="shared" si="1830"/>
        <v>#N/A</v>
      </c>
      <c r="H908" s="16" t="e">
        <f t="shared" si="1830"/>
        <v>#N/A</v>
      </c>
      <c r="I908" s="16" t="e">
        <f t="shared" si="1830"/>
        <v>#N/A</v>
      </c>
      <c r="J908" s="40" t="e">
        <f t="shared" si="1830"/>
        <v>#N/A</v>
      </c>
      <c r="K908" s="16" t="e">
        <f t="shared" si="1830"/>
        <v>#N/A</v>
      </c>
      <c r="L908" s="40" t="e">
        <f t="shared" si="1817"/>
        <v>#N/A</v>
      </c>
      <c r="M908" s="16" t="e">
        <f t="shared" si="1818"/>
        <v>#N/A</v>
      </c>
      <c r="N908" s="16" t="e">
        <f t="shared" si="1819"/>
        <v>#N/A</v>
      </c>
      <c r="O908" s="16" t="s">
        <v>67</v>
      </c>
      <c r="P908" s="16" t="str">
        <f t="shared" si="6"/>
        <v/>
      </c>
      <c r="Q908" s="41" t="e">
        <f t="shared" si="1820"/>
        <v>#N/A</v>
      </c>
      <c r="R908" s="44"/>
      <c r="S908" s="44"/>
      <c r="T908" s="43"/>
      <c r="U908" s="43" t="str">
        <f t="shared" si="8"/>
        <v>No</v>
      </c>
      <c r="V908" s="25"/>
      <c r="W908" s="25"/>
      <c r="X908" s="25"/>
      <c r="Y908" s="25"/>
      <c r="Z908" s="25"/>
    </row>
    <row r="909" spans="1:26" ht="15.75" customHeight="1" x14ac:dyDescent="0.25">
      <c r="A909" s="25">
        <v>907</v>
      </c>
      <c r="B909" s="37" t="e">
        <f t="shared" ref="B909:D909" si="1831">VLOOKUP($A909,'[3]Gestión Pública'!$A$1:$O$251,B$1,0)</f>
        <v>#N/A</v>
      </c>
      <c r="C909" s="38" t="e">
        <f t="shared" si="1831"/>
        <v>#N/A</v>
      </c>
      <c r="D909" s="39" t="e">
        <f t="shared" si="1831"/>
        <v>#N/A</v>
      </c>
      <c r="E909" s="16" t="e">
        <f t="shared" si="1"/>
        <v>#N/A</v>
      </c>
      <c r="F909" s="16" t="e">
        <f t="shared" ref="F909:K909" si="1832">VLOOKUP($A909,'[3]Gestión Pública'!$A$1:$O$251,F$1,0)</f>
        <v>#N/A</v>
      </c>
      <c r="G909" s="39" t="e">
        <f t="shared" si="1832"/>
        <v>#N/A</v>
      </c>
      <c r="H909" s="16" t="e">
        <f t="shared" si="1832"/>
        <v>#N/A</v>
      </c>
      <c r="I909" s="16" t="e">
        <f t="shared" si="1832"/>
        <v>#N/A</v>
      </c>
      <c r="J909" s="40" t="e">
        <f t="shared" si="1832"/>
        <v>#N/A</v>
      </c>
      <c r="K909" s="16" t="e">
        <f t="shared" si="1832"/>
        <v>#N/A</v>
      </c>
      <c r="L909" s="40" t="e">
        <f t="shared" si="1817"/>
        <v>#N/A</v>
      </c>
      <c r="M909" s="16" t="e">
        <f t="shared" si="1818"/>
        <v>#N/A</v>
      </c>
      <c r="N909" s="16" t="e">
        <f t="shared" si="1819"/>
        <v>#N/A</v>
      </c>
      <c r="O909" s="16" t="s">
        <v>67</v>
      </c>
      <c r="P909" s="16" t="str">
        <f t="shared" si="6"/>
        <v/>
      </c>
      <c r="Q909" s="41" t="e">
        <f t="shared" si="1820"/>
        <v>#N/A</v>
      </c>
      <c r="R909" s="44"/>
      <c r="S909" s="44"/>
      <c r="T909" s="43"/>
      <c r="U909" s="43" t="str">
        <f t="shared" si="8"/>
        <v>No</v>
      </c>
      <c r="V909" s="25"/>
      <c r="W909" s="25"/>
      <c r="X909" s="25"/>
      <c r="Y909" s="25"/>
      <c r="Z909" s="25"/>
    </row>
    <row r="910" spans="1:26" ht="15.75" customHeight="1" x14ac:dyDescent="0.25">
      <c r="A910" s="25">
        <v>908</v>
      </c>
      <c r="B910" s="37" t="e">
        <f t="shared" ref="B910:D910" si="1833">VLOOKUP($A910,'[3]Gestión Pública'!$A$1:$O$251,B$1,0)</f>
        <v>#N/A</v>
      </c>
      <c r="C910" s="38" t="e">
        <f t="shared" si="1833"/>
        <v>#N/A</v>
      </c>
      <c r="D910" s="39" t="e">
        <f t="shared" si="1833"/>
        <v>#N/A</v>
      </c>
      <c r="E910" s="16" t="e">
        <f t="shared" si="1"/>
        <v>#N/A</v>
      </c>
      <c r="F910" s="16" t="e">
        <f t="shared" ref="F910:K910" si="1834">VLOOKUP($A910,'[3]Gestión Pública'!$A$1:$O$251,F$1,0)</f>
        <v>#N/A</v>
      </c>
      <c r="G910" s="39" t="e">
        <f t="shared" si="1834"/>
        <v>#N/A</v>
      </c>
      <c r="H910" s="16" t="e">
        <f t="shared" si="1834"/>
        <v>#N/A</v>
      </c>
      <c r="I910" s="16" t="e">
        <f t="shared" si="1834"/>
        <v>#N/A</v>
      </c>
      <c r="J910" s="40" t="e">
        <f t="shared" si="1834"/>
        <v>#N/A</v>
      </c>
      <c r="K910" s="16" t="e">
        <f t="shared" si="1834"/>
        <v>#N/A</v>
      </c>
      <c r="L910" s="40" t="e">
        <f t="shared" si="1817"/>
        <v>#N/A</v>
      </c>
      <c r="M910" s="16" t="e">
        <f t="shared" si="1818"/>
        <v>#N/A</v>
      </c>
      <c r="N910" s="16" t="e">
        <f t="shared" si="1819"/>
        <v>#N/A</v>
      </c>
      <c r="O910" s="16" t="s">
        <v>67</v>
      </c>
      <c r="P910" s="16" t="str">
        <f t="shared" si="6"/>
        <v/>
      </c>
      <c r="Q910" s="41" t="e">
        <f t="shared" si="1820"/>
        <v>#N/A</v>
      </c>
      <c r="R910" s="44"/>
      <c r="S910" s="44"/>
      <c r="T910" s="43"/>
      <c r="U910" s="43" t="str">
        <f t="shared" si="8"/>
        <v>No</v>
      </c>
      <c r="V910" s="25"/>
      <c r="W910" s="25"/>
      <c r="X910" s="25"/>
      <c r="Y910" s="25"/>
      <c r="Z910" s="25"/>
    </row>
    <row r="911" spans="1:26" ht="15.75" customHeight="1" x14ac:dyDescent="0.25">
      <c r="A911" s="25">
        <v>909</v>
      </c>
      <c r="B911" s="37" t="e">
        <f t="shared" ref="B911:D911" si="1835">VLOOKUP($A911,'[3]Gestión Pública'!$A$1:$O$251,B$1,0)</f>
        <v>#N/A</v>
      </c>
      <c r="C911" s="38" t="e">
        <f t="shared" si="1835"/>
        <v>#N/A</v>
      </c>
      <c r="D911" s="39" t="e">
        <f t="shared" si="1835"/>
        <v>#N/A</v>
      </c>
      <c r="E911" s="16" t="e">
        <f t="shared" si="1"/>
        <v>#N/A</v>
      </c>
      <c r="F911" s="16" t="e">
        <f t="shared" ref="F911:K911" si="1836">VLOOKUP($A911,'[3]Gestión Pública'!$A$1:$O$251,F$1,0)</f>
        <v>#N/A</v>
      </c>
      <c r="G911" s="39" t="e">
        <f t="shared" si="1836"/>
        <v>#N/A</v>
      </c>
      <c r="H911" s="16" t="e">
        <f t="shared" si="1836"/>
        <v>#N/A</v>
      </c>
      <c r="I911" s="16" t="e">
        <f t="shared" si="1836"/>
        <v>#N/A</v>
      </c>
      <c r="J911" s="40" t="e">
        <f t="shared" si="1836"/>
        <v>#N/A</v>
      </c>
      <c r="K911" s="16" t="e">
        <f t="shared" si="1836"/>
        <v>#N/A</v>
      </c>
      <c r="L911" s="40" t="e">
        <f t="shared" si="1817"/>
        <v>#N/A</v>
      </c>
      <c r="M911" s="16" t="e">
        <f t="shared" si="1818"/>
        <v>#N/A</v>
      </c>
      <c r="N911" s="16" t="e">
        <f t="shared" si="1819"/>
        <v>#N/A</v>
      </c>
      <c r="O911" s="16" t="s">
        <v>67</v>
      </c>
      <c r="P911" s="16" t="str">
        <f t="shared" si="6"/>
        <v/>
      </c>
      <c r="Q911" s="41" t="e">
        <f t="shared" si="1820"/>
        <v>#N/A</v>
      </c>
      <c r="R911" s="44"/>
      <c r="S911" s="44"/>
      <c r="T911" s="43"/>
      <c r="U911" s="43" t="str">
        <f t="shared" si="8"/>
        <v>No</v>
      </c>
      <c r="V911" s="25"/>
      <c r="W911" s="25"/>
      <c r="X911" s="25"/>
      <c r="Y911" s="25"/>
      <c r="Z911" s="25"/>
    </row>
    <row r="912" spans="1:26" ht="15.75" customHeight="1" x14ac:dyDescent="0.25">
      <c r="A912" s="25">
        <v>910</v>
      </c>
      <c r="B912" s="37" t="e">
        <f t="shared" ref="B912:D912" si="1837">VLOOKUP($A912,'[3]Gestión Pública'!$A$1:$O$251,B$1,0)</f>
        <v>#N/A</v>
      </c>
      <c r="C912" s="38" t="e">
        <f t="shared" si="1837"/>
        <v>#N/A</v>
      </c>
      <c r="D912" s="39" t="e">
        <f t="shared" si="1837"/>
        <v>#N/A</v>
      </c>
      <c r="E912" s="16" t="e">
        <f t="shared" si="1"/>
        <v>#N/A</v>
      </c>
      <c r="F912" s="16" t="e">
        <f t="shared" ref="F912:K912" si="1838">VLOOKUP($A912,'[3]Gestión Pública'!$A$1:$O$251,F$1,0)</f>
        <v>#N/A</v>
      </c>
      <c r="G912" s="39" t="e">
        <f t="shared" si="1838"/>
        <v>#N/A</v>
      </c>
      <c r="H912" s="16" t="e">
        <f t="shared" si="1838"/>
        <v>#N/A</v>
      </c>
      <c r="I912" s="16" t="e">
        <f t="shared" si="1838"/>
        <v>#N/A</v>
      </c>
      <c r="J912" s="40" t="e">
        <f t="shared" si="1838"/>
        <v>#N/A</v>
      </c>
      <c r="K912" s="16" t="e">
        <f t="shared" si="1838"/>
        <v>#N/A</v>
      </c>
      <c r="L912" s="40" t="e">
        <f t="shared" si="1817"/>
        <v>#N/A</v>
      </c>
      <c r="M912" s="16" t="e">
        <f t="shared" si="1818"/>
        <v>#N/A</v>
      </c>
      <c r="N912" s="16" t="e">
        <f t="shared" si="1819"/>
        <v>#N/A</v>
      </c>
      <c r="O912" s="16" t="s">
        <v>67</v>
      </c>
      <c r="P912" s="16" t="str">
        <f t="shared" si="6"/>
        <v/>
      </c>
      <c r="Q912" s="41" t="e">
        <f t="shared" si="1820"/>
        <v>#N/A</v>
      </c>
      <c r="R912" s="44"/>
      <c r="S912" s="44"/>
      <c r="T912" s="43"/>
      <c r="U912" s="43" t="str">
        <f t="shared" si="8"/>
        <v>No</v>
      </c>
      <c r="V912" s="25"/>
      <c r="W912" s="25"/>
      <c r="X912" s="25"/>
      <c r="Y912" s="25"/>
      <c r="Z912" s="25"/>
    </row>
    <row r="913" spans="1:26" ht="15.75" customHeight="1" x14ac:dyDescent="0.25">
      <c r="A913" s="25">
        <v>911</v>
      </c>
      <c r="B913" s="37" t="e">
        <f t="shared" ref="B913:D913" si="1839">VLOOKUP($A913,'[3]Gestión Pública'!$A$1:$O$251,B$1,0)</f>
        <v>#N/A</v>
      </c>
      <c r="C913" s="38" t="e">
        <f t="shared" si="1839"/>
        <v>#N/A</v>
      </c>
      <c r="D913" s="39" t="e">
        <f t="shared" si="1839"/>
        <v>#N/A</v>
      </c>
      <c r="E913" s="16" t="e">
        <f t="shared" si="1"/>
        <v>#N/A</v>
      </c>
      <c r="F913" s="16" t="e">
        <f t="shared" ref="F913:K913" si="1840">VLOOKUP($A913,'[3]Gestión Pública'!$A$1:$O$251,F$1,0)</f>
        <v>#N/A</v>
      </c>
      <c r="G913" s="39" t="e">
        <f t="shared" si="1840"/>
        <v>#N/A</v>
      </c>
      <c r="H913" s="16" t="e">
        <f t="shared" si="1840"/>
        <v>#N/A</v>
      </c>
      <c r="I913" s="16" t="e">
        <f t="shared" si="1840"/>
        <v>#N/A</v>
      </c>
      <c r="J913" s="40" t="e">
        <f t="shared" si="1840"/>
        <v>#N/A</v>
      </c>
      <c r="K913" s="16" t="e">
        <f t="shared" si="1840"/>
        <v>#N/A</v>
      </c>
      <c r="L913" s="40" t="e">
        <f t="shared" si="1817"/>
        <v>#N/A</v>
      </c>
      <c r="M913" s="16" t="e">
        <f t="shared" si="1818"/>
        <v>#N/A</v>
      </c>
      <c r="N913" s="16" t="e">
        <f t="shared" si="1819"/>
        <v>#N/A</v>
      </c>
      <c r="O913" s="16" t="s">
        <v>67</v>
      </c>
      <c r="P913" s="16" t="str">
        <f t="shared" si="6"/>
        <v/>
      </c>
      <c r="Q913" s="41" t="e">
        <f t="shared" si="1820"/>
        <v>#N/A</v>
      </c>
      <c r="R913" s="44"/>
      <c r="S913" s="44"/>
      <c r="T913" s="43"/>
      <c r="U913" s="43" t="str">
        <f t="shared" si="8"/>
        <v>No</v>
      </c>
      <c r="V913" s="25"/>
      <c r="W913" s="25"/>
      <c r="X913" s="25"/>
      <c r="Y913" s="25"/>
      <c r="Z913" s="25"/>
    </row>
    <row r="914" spans="1:26" ht="15.75" customHeight="1" x14ac:dyDescent="0.25">
      <c r="A914" s="25">
        <v>912</v>
      </c>
      <c r="B914" s="37" t="e">
        <f t="shared" ref="B914:D914" si="1841">VLOOKUP($A914,'[3]Gestión Pública'!$A$1:$O$251,B$1,0)</f>
        <v>#N/A</v>
      </c>
      <c r="C914" s="38" t="e">
        <f t="shared" si="1841"/>
        <v>#N/A</v>
      </c>
      <c r="D914" s="39" t="e">
        <f t="shared" si="1841"/>
        <v>#N/A</v>
      </c>
      <c r="E914" s="16" t="e">
        <f t="shared" si="1"/>
        <v>#N/A</v>
      </c>
      <c r="F914" s="16" t="e">
        <f t="shared" ref="F914:K914" si="1842">VLOOKUP($A914,'[3]Gestión Pública'!$A$1:$O$251,F$1,0)</f>
        <v>#N/A</v>
      </c>
      <c r="G914" s="39" t="e">
        <f t="shared" si="1842"/>
        <v>#N/A</v>
      </c>
      <c r="H914" s="16" t="e">
        <f t="shared" si="1842"/>
        <v>#N/A</v>
      </c>
      <c r="I914" s="16" t="e">
        <f t="shared" si="1842"/>
        <v>#N/A</v>
      </c>
      <c r="J914" s="40" t="e">
        <f t="shared" si="1842"/>
        <v>#N/A</v>
      </c>
      <c r="K914" s="16" t="e">
        <f t="shared" si="1842"/>
        <v>#N/A</v>
      </c>
      <c r="L914" s="40" t="e">
        <f t="shared" si="1817"/>
        <v>#N/A</v>
      </c>
      <c r="M914" s="16" t="e">
        <f t="shared" si="1818"/>
        <v>#N/A</v>
      </c>
      <c r="N914" s="16" t="e">
        <f t="shared" si="1819"/>
        <v>#N/A</v>
      </c>
      <c r="O914" s="16" t="s">
        <v>67</v>
      </c>
      <c r="P914" s="16" t="str">
        <f t="shared" si="6"/>
        <v/>
      </c>
      <c r="Q914" s="41" t="e">
        <f t="shared" si="1820"/>
        <v>#N/A</v>
      </c>
      <c r="R914" s="44"/>
      <c r="S914" s="44"/>
      <c r="T914" s="43"/>
      <c r="U914" s="43" t="str">
        <f t="shared" si="8"/>
        <v>No</v>
      </c>
      <c r="V914" s="25"/>
      <c r="W914" s="25"/>
      <c r="X914" s="25"/>
      <c r="Y914" s="25"/>
      <c r="Z914" s="25"/>
    </row>
    <row r="915" spans="1:26" ht="15.75" customHeight="1" x14ac:dyDescent="0.25">
      <c r="A915" s="25">
        <v>913</v>
      </c>
      <c r="B915" s="37" t="e">
        <f t="shared" ref="B915:D915" si="1843">VLOOKUP($A915,'[3]Gestión Pública'!$A$1:$O$251,B$1,0)</f>
        <v>#N/A</v>
      </c>
      <c r="C915" s="38" t="e">
        <f t="shared" si="1843"/>
        <v>#N/A</v>
      </c>
      <c r="D915" s="39" t="e">
        <f t="shared" si="1843"/>
        <v>#N/A</v>
      </c>
      <c r="E915" s="16" t="e">
        <f t="shared" si="1"/>
        <v>#N/A</v>
      </c>
      <c r="F915" s="16" t="e">
        <f t="shared" ref="F915:K915" si="1844">VLOOKUP($A915,'[3]Gestión Pública'!$A$1:$O$251,F$1,0)</f>
        <v>#N/A</v>
      </c>
      <c r="G915" s="39" t="e">
        <f t="shared" si="1844"/>
        <v>#N/A</v>
      </c>
      <c r="H915" s="16" t="e">
        <f t="shared" si="1844"/>
        <v>#N/A</v>
      </c>
      <c r="I915" s="16" t="e">
        <f t="shared" si="1844"/>
        <v>#N/A</v>
      </c>
      <c r="J915" s="40" t="e">
        <f t="shared" si="1844"/>
        <v>#N/A</v>
      </c>
      <c r="K915" s="16" t="e">
        <f t="shared" si="1844"/>
        <v>#N/A</v>
      </c>
      <c r="L915" s="40" t="e">
        <f t="shared" si="1817"/>
        <v>#N/A</v>
      </c>
      <c r="M915" s="16" t="e">
        <f t="shared" si="1818"/>
        <v>#N/A</v>
      </c>
      <c r="N915" s="16" t="e">
        <f t="shared" si="1819"/>
        <v>#N/A</v>
      </c>
      <c r="O915" s="16" t="s">
        <v>67</v>
      </c>
      <c r="P915" s="16" t="str">
        <f t="shared" si="6"/>
        <v/>
      </c>
      <c r="Q915" s="41" t="e">
        <f t="shared" si="1820"/>
        <v>#N/A</v>
      </c>
      <c r="R915" s="44"/>
      <c r="S915" s="44"/>
      <c r="T915" s="43"/>
      <c r="U915" s="43" t="str">
        <f t="shared" si="8"/>
        <v>No</v>
      </c>
      <c r="V915" s="25"/>
      <c r="W915" s="25"/>
      <c r="X915" s="25"/>
      <c r="Y915" s="25"/>
      <c r="Z915" s="25"/>
    </row>
    <row r="916" spans="1:26" ht="15.75" customHeight="1" x14ac:dyDescent="0.25">
      <c r="A916" s="25">
        <v>914</v>
      </c>
      <c r="B916" s="37" t="e">
        <f t="shared" ref="B916:D916" si="1845">VLOOKUP($A916,'[3]Gestión Pública'!$A$1:$O$251,B$1,0)</f>
        <v>#N/A</v>
      </c>
      <c r="C916" s="38" t="e">
        <f t="shared" si="1845"/>
        <v>#N/A</v>
      </c>
      <c r="D916" s="39" t="e">
        <f t="shared" si="1845"/>
        <v>#N/A</v>
      </c>
      <c r="E916" s="16" t="e">
        <f t="shared" si="1"/>
        <v>#N/A</v>
      </c>
      <c r="F916" s="16" t="e">
        <f t="shared" ref="F916:K916" si="1846">VLOOKUP($A916,'[3]Gestión Pública'!$A$1:$O$251,F$1,0)</f>
        <v>#N/A</v>
      </c>
      <c r="G916" s="39" t="e">
        <f t="shared" si="1846"/>
        <v>#N/A</v>
      </c>
      <c r="H916" s="16" t="e">
        <f t="shared" si="1846"/>
        <v>#N/A</v>
      </c>
      <c r="I916" s="16" t="e">
        <f t="shared" si="1846"/>
        <v>#N/A</v>
      </c>
      <c r="J916" s="40" t="e">
        <f t="shared" si="1846"/>
        <v>#N/A</v>
      </c>
      <c r="K916" s="16" t="e">
        <f t="shared" si="1846"/>
        <v>#N/A</v>
      </c>
      <c r="L916" s="40" t="e">
        <f t="shared" si="1817"/>
        <v>#N/A</v>
      </c>
      <c r="M916" s="16" t="e">
        <f t="shared" si="1818"/>
        <v>#N/A</v>
      </c>
      <c r="N916" s="16" t="e">
        <f t="shared" si="1819"/>
        <v>#N/A</v>
      </c>
      <c r="O916" s="16" t="s">
        <v>67</v>
      </c>
      <c r="P916" s="16" t="str">
        <f t="shared" si="6"/>
        <v/>
      </c>
      <c r="Q916" s="41" t="e">
        <f t="shared" si="1820"/>
        <v>#N/A</v>
      </c>
      <c r="R916" s="44"/>
      <c r="S916" s="44"/>
      <c r="T916" s="43"/>
      <c r="U916" s="43" t="str">
        <f t="shared" si="8"/>
        <v>No</v>
      </c>
      <c r="V916" s="25"/>
      <c r="W916" s="25"/>
      <c r="X916" s="25"/>
      <c r="Y916" s="25"/>
      <c r="Z916" s="25"/>
    </row>
    <row r="917" spans="1:26" ht="15.75" customHeight="1" x14ac:dyDescent="0.25">
      <c r="A917" s="25">
        <v>915</v>
      </c>
      <c r="B917" s="37" t="e">
        <f t="shared" ref="B917:D917" si="1847">VLOOKUP($A917,'[3]Gestión Pública'!$A$1:$O$251,B$1,0)</f>
        <v>#N/A</v>
      </c>
      <c r="C917" s="38" t="e">
        <f t="shared" si="1847"/>
        <v>#N/A</v>
      </c>
      <c r="D917" s="39" t="e">
        <f t="shared" si="1847"/>
        <v>#N/A</v>
      </c>
      <c r="E917" s="16" t="e">
        <f t="shared" si="1"/>
        <v>#N/A</v>
      </c>
      <c r="F917" s="16" t="e">
        <f t="shared" ref="F917:K917" si="1848">VLOOKUP($A917,'[3]Gestión Pública'!$A$1:$O$251,F$1,0)</f>
        <v>#N/A</v>
      </c>
      <c r="G917" s="39" t="e">
        <f t="shared" si="1848"/>
        <v>#N/A</v>
      </c>
      <c r="H917" s="16" t="e">
        <f t="shared" si="1848"/>
        <v>#N/A</v>
      </c>
      <c r="I917" s="16" t="e">
        <f t="shared" si="1848"/>
        <v>#N/A</v>
      </c>
      <c r="J917" s="40" t="e">
        <f t="shared" si="1848"/>
        <v>#N/A</v>
      </c>
      <c r="K917" s="16" t="e">
        <f t="shared" si="1848"/>
        <v>#N/A</v>
      </c>
      <c r="L917" s="40" t="e">
        <f t="shared" si="1817"/>
        <v>#N/A</v>
      </c>
      <c r="M917" s="16" t="e">
        <f t="shared" si="1818"/>
        <v>#N/A</v>
      </c>
      <c r="N917" s="16" t="e">
        <f t="shared" si="1819"/>
        <v>#N/A</v>
      </c>
      <c r="O917" s="16" t="s">
        <v>67</v>
      </c>
      <c r="P917" s="16" t="str">
        <f t="shared" si="6"/>
        <v/>
      </c>
      <c r="Q917" s="41" t="e">
        <f t="shared" si="1820"/>
        <v>#N/A</v>
      </c>
      <c r="R917" s="44"/>
      <c r="S917" s="44"/>
      <c r="T917" s="43"/>
      <c r="U917" s="43" t="str">
        <f t="shared" si="8"/>
        <v>No</v>
      </c>
      <c r="V917" s="25"/>
      <c r="W917" s="25"/>
      <c r="X917" s="25"/>
      <c r="Y917" s="25"/>
      <c r="Z917" s="25"/>
    </row>
    <row r="918" spans="1:26" ht="15.75" customHeight="1" x14ac:dyDescent="0.25">
      <c r="A918" s="25">
        <v>916</v>
      </c>
      <c r="B918" s="37" t="e">
        <f t="shared" ref="B918:D918" si="1849">VLOOKUP($A918,'[3]Gestión Pública'!$A$1:$O$251,B$1,0)</f>
        <v>#N/A</v>
      </c>
      <c r="C918" s="38" t="e">
        <f t="shared" si="1849"/>
        <v>#N/A</v>
      </c>
      <c r="D918" s="39" t="e">
        <f t="shared" si="1849"/>
        <v>#N/A</v>
      </c>
      <c r="E918" s="16" t="e">
        <f t="shared" si="1"/>
        <v>#N/A</v>
      </c>
      <c r="F918" s="16" t="e">
        <f t="shared" ref="F918:K918" si="1850">VLOOKUP($A918,'[3]Gestión Pública'!$A$1:$O$251,F$1,0)</f>
        <v>#N/A</v>
      </c>
      <c r="G918" s="39" t="e">
        <f t="shared" si="1850"/>
        <v>#N/A</v>
      </c>
      <c r="H918" s="16" t="e">
        <f t="shared" si="1850"/>
        <v>#N/A</v>
      </c>
      <c r="I918" s="16" t="e">
        <f t="shared" si="1850"/>
        <v>#N/A</v>
      </c>
      <c r="J918" s="40" t="e">
        <f t="shared" si="1850"/>
        <v>#N/A</v>
      </c>
      <c r="K918" s="16" t="e">
        <f t="shared" si="1850"/>
        <v>#N/A</v>
      </c>
      <c r="L918" s="40" t="e">
        <f t="shared" si="1817"/>
        <v>#N/A</v>
      </c>
      <c r="M918" s="16" t="e">
        <f t="shared" si="1818"/>
        <v>#N/A</v>
      </c>
      <c r="N918" s="16" t="e">
        <f t="shared" si="1819"/>
        <v>#N/A</v>
      </c>
      <c r="O918" s="16" t="s">
        <v>67</v>
      </c>
      <c r="P918" s="16" t="str">
        <f t="shared" si="6"/>
        <v/>
      </c>
      <c r="Q918" s="41" t="e">
        <f t="shared" si="1820"/>
        <v>#N/A</v>
      </c>
      <c r="R918" s="44"/>
      <c r="S918" s="44"/>
      <c r="T918" s="43"/>
      <c r="U918" s="43" t="str">
        <f t="shared" si="8"/>
        <v>No</v>
      </c>
      <c r="V918" s="25"/>
      <c r="W918" s="25"/>
      <c r="X918" s="25"/>
      <c r="Y918" s="25"/>
      <c r="Z918" s="25"/>
    </row>
    <row r="919" spans="1:26" ht="15.75" customHeight="1" x14ac:dyDescent="0.25">
      <c r="A919" s="25">
        <v>917</v>
      </c>
      <c r="B919" s="37" t="e">
        <f t="shared" ref="B919:D919" si="1851">VLOOKUP($A919,'[3]Gestión Pública'!$A$1:$O$251,B$1,0)</f>
        <v>#N/A</v>
      </c>
      <c r="C919" s="38" t="e">
        <f t="shared" si="1851"/>
        <v>#N/A</v>
      </c>
      <c r="D919" s="39" t="e">
        <f t="shared" si="1851"/>
        <v>#N/A</v>
      </c>
      <c r="E919" s="16" t="e">
        <f t="shared" si="1"/>
        <v>#N/A</v>
      </c>
      <c r="F919" s="16" t="e">
        <f t="shared" ref="F919:K919" si="1852">VLOOKUP($A919,'[3]Gestión Pública'!$A$1:$O$251,F$1,0)</f>
        <v>#N/A</v>
      </c>
      <c r="G919" s="39" t="e">
        <f t="shared" si="1852"/>
        <v>#N/A</v>
      </c>
      <c r="H919" s="16" t="e">
        <f t="shared" si="1852"/>
        <v>#N/A</v>
      </c>
      <c r="I919" s="16" t="e">
        <f t="shared" si="1852"/>
        <v>#N/A</v>
      </c>
      <c r="J919" s="40" t="e">
        <f t="shared" si="1852"/>
        <v>#N/A</v>
      </c>
      <c r="K919" s="16" t="e">
        <f t="shared" si="1852"/>
        <v>#N/A</v>
      </c>
      <c r="L919" s="40" t="e">
        <f t="shared" si="1817"/>
        <v>#N/A</v>
      </c>
      <c r="M919" s="16" t="e">
        <f t="shared" si="1818"/>
        <v>#N/A</v>
      </c>
      <c r="N919" s="16" t="e">
        <f t="shared" si="1819"/>
        <v>#N/A</v>
      </c>
      <c r="O919" s="16" t="s">
        <v>67</v>
      </c>
      <c r="P919" s="16" t="str">
        <f t="shared" si="6"/>
        <v/>
      </c>
      <c r="Q919" s="41" t="e">
        <f t="shared" si="1820"/>
        <v>#N/A</v>
      </c>
      <c r="R919" s="44"/>
      <c r="S919" s="44"/>
      <c r="T919" s="43"/>
      <c r="U919" s="43" t="str">
        <f t="shared" si="8"/>
        <v>No</v>
      </c>
      <c r="V919" s="25"/>
      <c r="W919" s="25"/>
      <c r="X919" s="25"/>
      <c r="Y919" s="25"/>
      <c r="Z919" s="25"/>
    </row>
    <row r="920" spans="1:26" ht="15.75" customHeight="1" x14ac:dyDescent="0.25">
      <c r="A920" s="25">
        <v>918</v>
      </c>
      <c r="B920" s="37" t="e">
        <f t="shared" ref="B920:D920" si="1853">VLOOKUP($A920,'[3]Gestión Pública'!$A$1:$O$251,B$1,0)</f>
        <v>#N/A</v>
      </c>
      <c r="C920" s="38" t="e">
        <f t="shared" si="1853"/>
        <v>#N/A</v>
      </c>
      <c r="D920" s="39" t="e">
        <f t="shared" si="1853"/>
        <v>#N/A</v>
      </c>
      <c r="E920" s="16" t="e">
        <f t="shared" si="1"/>
        <v>#N/A</v>
      </c>
      <c r="F920" s="16" t="e">
        <f t="shared" ref="F920:K920" si="1854">VLOOKUP($A920,'[3]Gestión Pública'!$A$1:$O$251,F$1,0)</f>
        <v>#N/A</v>
      </c>
      <c r="G920" s="39" t="e">
        <f t="shared" si="1854"/>
        <v>#N/A</v>
      </c>
      <c r="H920" s="16" t="e">
        <f t="shared" si="1854"/>
        <v>#N/A</v>
      </c>
      <c r="I920" s="16" t="e">
        <f t="shared" si="1854"/>
        <v>#N/A</v>
      </c>
      <c r="J920" s="40" t="e">
        <f t="shared" si="1854"/>
        <v>#N/A</v>
      </c>
      <c r="K920" s="16" t="e">
        <f t="shared" si="1854"/>
        <v>#N/A</v>
      </c>
      <c r="L920" s="40" t="e">
        <f t="shared" si="1817"/>
        <v>#N/A</v>
      </c>
      <c r="M920" s="16" t="e">
        <f t="shared" si="1818"/>
        <v>#N/A</v>
      </c>
      <c r="N920" s="16" t="e">
        <f t="shared" si="1819"/>
        <v>#N/A</v>
      </c>
      <c r="O920" s="16" t="s">
        <v>67</v>
      </c>
      <c r="P920" s="16" t="str">
        <f t="shared" si="6"/>
        <v/>
      </c>
      <c r="Q920" s="41" t="e">
        <f t="shared" si="1820"/>
        <v>#N/A</v>
      </c>
      <c r="R920" s="44"/>
      <c r="S920" s="44"/>
      <c r="T920" s="43"/>
      <c r="U920" s="43" t="str">
        <f t="shared" si="8"/>
        <v>No</v>
      </c>
      <c r="V920" s="25"/>
      <c r="W920" s="25"/>
      <c r="X920" s="25"/>
      <c r="Y920" s="25"/>
      <c r="Z920" s="25"/>
    </row>
    <row r="921" spans="1:26" ht="15.75" customHeight="1" x14ac:dyDescent="0.25">
      <c r="A921" s="25">
        <v>919</v>
      </c>
      <c r="B921" s="37" t="e">
        <f t="shared" ref="B921:D921" si="1855">VLOOKUP($A921,'[3]Gestión Pública'!$A$1:$O$251,B$1,0)</f>
        <v>#N/A</v>
      </c>
      <c r="C921" s="38" t="e">
        <f t="shared" si="1855"/>
        <v>#N/A</v>
      </c>
      <c r="D921" s="39" t="e">
        <f t="shared" si="1855"/>
        <v>#N/A</v>
      </c>
      <c r="E921" s="16" t="e">
        <f t="shared" si="1"/>
        <v>#N/A</v>
      </c>
      <c r="F921" s="16" t="e">
        <f t="shared" ref="F921:K921" si="1856">VLOOKUP($A921,'[3]Gestión Pública'!$A$1:$O$251,F$1,0)</f>
        <v>#N/A</v>
      </c>
      <c r="G921" s="39" t="e">
        <f t="shared" si="1856"/>
        <v>#N/A</v>
      </c>
      <c r="H921" s="16" t="e">
        <f t="shared" si="1856"/>
        <v>#N/A</v>
      </c>
      <c r="I921" s="16" t="e">
        <f t="shared" si="1856"/>
        <v>#N/A</v>
      </c>
      <c r="J921" s="40" t="e">
        <f t="shared" si="1856"/>
        <v>#N/A</v>
      </c>
      <c r="K921" s="16" t="e">
        <f t="shared" si="1856"/>
        <v>#N/A</v>
      </c>
      <c r="L921" s="40" t="e">
        <f t="shared" si="1817"/>
        <v>#N/A</v>
      </c>
      <c r="M921" s="16" t="e">
        <f t="shared" si="1818"/>
        <v>#N/A</v>
      </c>
      <c r="N921" s="16" t="e">
        <f t="shared" si="1819"/>
        <v>#N/A</v>
      </c>
      <c r="O921" s="16" t="s">
        <v>67</v>
      </c>
      <c r="P921" s="16" t="str">
        <f t="shared" si="6"/>
        <v/>
      </c>
      <c r="Q921" s="41" t="e">
        <f t="shared" si="1820"/>
        <v>#N/A</v>
      </c>
      <c r="R921" s="44"/>
      <c r="S921" s="44"/>
      <c r="T921" s="43"/>
      <c r="U921" s="43" t="str">
        <f t="shared" si="8"/>
        <v>No</v>
      </c>
      <c r="V921" s="25"/>
      <c r="W921" s="25"/>
      <c r="X921" s="25"/>
      <c r="Y921" s="25"/>
      <c r="Z921" s="25"/>
    </row>
    <row r="922" spans="1:26" ht="15.75" customHeight="1" x14ac:dyDescent="0.25">
      <c r="A922" s="25">
        <v>920</v>
      </c>
      <c r="B922" s="37" t="e">
        <f t="shared" ref="B922:D922" si="1857">VLOOKUP($A922,'[3]Gestión Pública'!$A$1:$O$251,B$1,0)</f>
        <v>#N/A</v>
      </c>
      <c r="C922" s="38" t="e">
        <f t="shared" si="1857"/>
        <v>#N/A</v>
      </c>
      <c r="D922" s="39" t="e">
        <f t="shared" si="1857"/>
        <v>#N/A</v>
      </c>
      <c r="E922" s="16" t="e">
        <f t="shared" si="1"/>
        <v>#N/A</v>
      </c>
      <c r="F922" s="16" t="e">
        <f t="shared" ref="F922:K922" si="1858">VLOOKUP($A922,'[3]Gestión Pública'!$A$1:$O$251,F$1,0)</f>
        <v>#N/A</v>
      </c>
      <c r="G922" s="39" t="e">
        <f t="shared" si="1858"/>
        <v>#N/A</v>
      </c>
      <c r="H922" s="16" t="e">
        <f t="shared" si="1858"/>
        <v>#N/A</v>
      </c>
      <c r="I922" s="16" t="e">
        <f t="shared" si="1858"/>
        <v>#N/A</v>
      </c>
      <c r="J922" s="40" t="e">
        <f t="shared" si="1858"/>
        <v>#N/A</v>
      </c>
      <c r="K922" s="16" t="e">
        <f t="shared" si="1858"/>
        <v>#N/A</v>
      </c>
      <c r="L922" s="40" t="e">
        <f t="shared" si="1817"/>
        <v>#N/A</v>
      </c>
      <c r="M922" s="16" t="e">
        <f t="shared" si="1818"/>
        <v>#N/A</v>
      </c>
      <c r="N922" s="16" t="e">
        <f t="shared" si="1819"/>
        <v>#N/A</v>
      </c>
      <c r="O922" s="16" t="s">
        <v>67</v>
      </c>
      <c r="P922" s="16" t="str">
        <f t="shared" si="6"/>
        <v/>
      </c>
      <c r="Q922" s="41" t="e">
        <f t="shared" si="1820"/>
        <v>#N/A</v>
      </c>
      <c r="R922" s="44"/>
      <c r="S922" s="44"/>
      <c r="T922" s="43"/>
      <c r="U922" s="43" t="str">
        <f t="shared" si="8"/>
        <v>No</v>
      </c>
      <c r="V922" s="25"/>
      <c r="W922" s="25"/>
      <c r="X922" s="25"/>
      <c r="Y922" s="25"/>
      <c r="Z922" s="25"/>
    </row>
    <row r="923" spans="1:26" ht="15.75" customHeight="1" x14ac:dyDescent="0.25">
      <c r="A923" s="25">
        <v>921</v>
      </c>
      <c r="B923" s="37" t="e">
        <f t="shared" ref="B923:D923" si="1859">VLOOKUP($A923,'[3]Gestión Pública'!$A$1:$O$251,B$1,0)</f>
        <v>#N/A</v>
      </c>
      <c r="C923" s="38" t="e">
        <f t="shared" si="1859"/>
        <v>#N/A</v>
      </c>
      <c r="D923" s="39" t="e">
        <f t="shared" si="1859"/>
        <v>#N/A</v>
      </c>
      <c r="E923" s="16" t="e">
        <f t="shared" si="1"/>
        <v>#N/A</v>
      </c>
      <c r="F923" s="16" t="e">
        <f t="shared" ref="F923:K923" si="1860">VLOOKUP($A923,'[3]Gestión Pública'!$A$1:$O$251,F$1,0)</f>
        <v>#N/A</v>
      </c>
      <c r="G923" s="39" t="e">
        <f t="shared" si="1860"/>
        <v>#N/A</v>
      </c>
      <c r="H923" s="16" t="e">
        <f t="shared" si="1860"/>
        <v>#N/A</v>
      </c>
      <c r="I923" s="16" t="e">
        <f t="shared" si="1860"/>
        <v>#N/A</v>
      </c>
      <c r="J923" s="40" t="e">
        <f t="shared" si="1860"/>
        <v>#N/A</v>
      </c>
      <c r="K923" s="16" t="e">
        <f t="shared" si="1860"/>
        <v>#N/A</v>
      </c>
      <c r="L923" s="40" t="e">
        <f t="shared" si="1817"/>
        <v>#N/A</v>
      </c>
      <c r="M923" s="16" t="e">
        <f t="shared" si="1818"/>
        <v>#N/A</v>
      </c>
      <c r="N923" s="16" t="e">
        <f t="shared" si="1819"/>
        <v>#N/A</v>
      </c>
      <c r="O923" s="16" t="s">
        <v>67</v>
      </c>
      <c r="P923" s="16" t="str">
        <f t="shared" si="6"/>
        <v/>
      </c>
      <c r="Q923" s="41" t="e">
        <f t="shared" si="1820"/>
        <v>#N/A</v>
      </c>
      <c r="R923" s="44"/>
      <c r="S923" s="44"/>
      <c r="T923" s="43"/>
      <c r="U923" s="43" t="str">
        <f t="shared" si="8"/>
        <v>No</v>
      </c>
      <c r="V923" s="25"/>
      <c r="W923" s="25"/>
      <c r="X923" s="25"/>
      <c r="Y923" s="25"/>
      <c r="Z923" s="25"/>
    </row>
    <row r="924" spans="1:26" ht="15.75" customHeight="1" x14ac:dyDescent="0.25">
      <c r="A924" s="25">
        <v>922</v>
      </c>
      <c r="B924" s="37" t="e">
        <f t="shared" ref="B924:D924" si="1861">VLOOKUP($A924,'[3]Gestión Pública'!$A$1:$O$251,B$1,0)</f>
        <v>#N/A</v>
      </c>
      <c r="C924" s="38" t="e">
        <f t="shared" si="1861"/>
        <v>#N/A</v>
      </c>
      <c r="D924" s="39" t="e">
        <f t="shared" si="1861"/>
        <v>#N/A</v>
      </c>
      <c r="E924" s="16" t="e">
        <f t="shared" si="1"/>
        <v>#N/A</v>
      </c>
      <c r="F924" s="16" t="e">
        <f t="shared" ref="F924:K924" si="1862">VLOOKUP($A924,'[3]Gestión Pública'!$A$1:$O$251,F$1,0)</f>
        <v>#N/A</v>
      </c>
      <c r="G924" s="39" t="e">
        <f t="shared" si="1862"/>
        <v>#N/A</v>
      </c>
      <c r="H924" s="16" t="e">
        <f t="shared" si="1862"/>
        <v>#N/A</v>
      </c>
      <c r="I924" s="16" t="e">
        <f t="shared" si="1862"/>
        <v>#N/A</v>
      </c>
      <c r="J924" s="40" t="e">
        <f t="shared" si="1862"/>
        <v>#N/A</v>
      </c>
      <c r="K924" s="16" t="e">
        <f t="shared" si="1862"/>
        <v>#N/A</v>
      </c>
      <c r="L924" s="40" t="e">
        <f t="shared" si="1817"/>
        <v>#N/A</v>
      </c>
      <c r="M924" s="16" t="e">
        <f t="shared" si="1818"/>
        <v>#N/A</v>
      </c>
      <c r="N924" s="16" t="e">
        <f t="shared" si="1819"/>
        <v>#N/A</v>
      </c>
      <c r="O924" s="16" t="s">
        <v>67</v>
      </c>
      <c r="P924" s="16" t="str">
        <f t="shared" si="6"/>
        <v/>
      </c>
      <c r="Q924" s="41" t="e">
        <f t="shared" si="1820"/>
        <v>#N/A</v>
      </c>
      <c r="R924" s="44"/>
      <c r="S924" s="44"/>
      <c r="T924" s="43"/>
      <c r="U924" s="43" t="str">
        <f t="shared" si="8"/>
        <v>No</v>
      </c>
      <c r="V924" s="25"/>
      <c r="W924" s="25"/>
      <c r="X924" s="25"/>
      <c r="Y924" s="25"/>
      <c r="Z924" s="25"/>
    </row>
    <row r="925" spans="1:26" ht="15.75" customHeight="1" x14ac:dyDescent="0.25">
      <c r="A925" s="25">
        <v>923</v>
      </c>
      <c r="B925" s="37" t="e">
        <f t="shared" ref="B925:D925" si="1863">VLOOKUP($A925,'[3]Gestión Pública'!$A$1:$O$251,B$1,0)</f>
        <v>#N/A</v>
      </c>
      <c r="C925" s="38" t="e">
        <f t="shared" si="1863"/>
        <v>#N/A</v>
      </c>
      <c r="D925" s="39" t="e">
        <f t="shared" si="1863"/>
        <v>#N/A</v>
      </c>
      <c r="E925" s="16" t="e">
        <f t="shared" si="1"/>
        <v>#N/A</v>
      </c>
      <c r="F925" s="16" t="e">
        <f t="shared" ref="F925:K925" si="1864">VLOOKUP($A925,'[3]Gestión Pública'!$A$1:$O$251,F$1,0)</f>
        <v>#N/A</v>
      </c>
      <c r="G925" s="39" t="e">
        <f t="shared" si="1864"/>
        <v>#N/A</v>
      </c>
      <c r="H925" s="16" t="e">
        <f t="shared" si="1864"/>
        <v>#N/A</v>
      </c>
      <c r="I925" s="16" t="e">
        <f t="shared" si="1864"/>
        <v>#N/A</v>
      </c>
      <c r="J925" s="40" t="e">
        <f t="shared" si="1864"/>
        <v>#N/A</v>
      </c>
      <c r="K925" s="16" t="e">
        <f t="shared" si="1864"/>
        <v>#N/A</v>
      </c>
      <c r="L925" s="40" t="e">
        <f t="shared" si="1817"/>
        <v>#N/A</v>
      </c>
      <c r="M925" s="16" t="e">
        <f t="shared" si="1818"/>
        <v>#N/A</v>
      </c>
      <c r="N925" s="16" t="e">
        <f t="shared" si="1819"/>
        <v>#N/A</v>
      </c>
      <c r="O925" s="16" t="s">
        <v>67</v>
      </c>
      <c r="P925" s="16" t="str">
        <f t="shared" si="6"/>
        <v/>
      </c>
      <c r="Q925" s="41" t="e">
        <f t="shared" si="1820"/>
        <v>#N/A</v>
      </c>
      <c r="R925" s="44"/>
      <c r="S925" s="44"/>
      <c r="T925" s="43"/>
      <c r="U925" s="43" t="str">
        <f t="shared" si="8"/>
        <v>No</v>
      </c>
      <c r="V925" s="25"/>
      <c r="W925" s="25"/>
      <c r="X925" s="25"/>
      <c r="Y925" s="25"/>
      <c r="Z925" s="25"/>
    </row>
    <row r="926" spans="1:26" ht="15.75" customHeight="1" x14ac:dyDescent="0.25">
      <c r="A926" s="25">
        <v>924</v>
      </c>
      <c r="B926" s="37" t="e">
        <f t="shared" ref="B926:D926" si="1865">VLOOKUP($A926,'[3]Gestión Pública'!$A$1:$O$251,B$1,0)</f>
        <v>#N/A</v>
      </c>
      <c r="C926" s="38" t="e">
        <f t="shared" si="1865"/>
        <v>#N/A</v>
      </c>
      <c r="D926" s="39" t="e">
        <f t="shared" si="1865"/>
        <v>#N/A</v>
      </c>
      <c r="E926" s="16" t="e">
        <f t="shared" si="1"/>
        <v>#N/A</v>
      </c>
      <c r="F926" s="16" t="e">
        <f t="shared" ref="F926:K926" si="1866">VLOOKUP($A926,'[3]Gestión Pública'!$A$1:$O$251,F$1,0)</f>
        <v>#N/A</v>
      </c>
      <c r="G926" s="39" t="e">
        <f t="shared" si="1866"/>
        <v>#N/A</v>
      </c>
      <c r="H926" s="16" t="e">
        <f t="shared" si="1866"/>
        <v>#N/A</v>
      </c>
      <c r="I926" s="16" t="e">
        <f t="shared" si="1866"/>
        <v>#N/A</v>
      </c>
      <c r="J926" s="40" t="e">
        <f t="shared" si="1866"/>
        <v>#N/A</v>
      </c>
      <c r="K926" s="16" t="e">
        <f t="shared" si="1866"/>
        <v>#N/A</v>
      </c>
      <c r="L926" s="40" t="e">
        <f t="shared" si="1817"/>
        <v>#N/A</v>
      </c>
      <c r="M926" s="16" t="e">
        <f t="shared" si="1818"/>
        <v>#N/A</v>
      </c>
      <c r="N926" s="16" t="e">
        <f t="shared" si="1819"/>
        <v>#N/A</v>
      </c>
      <c r="O926" s="16" t="s">
        <v>67</v>
      </c>
      <c r="P926" s="16" t="str">
        <f t="shared" si="6"/>
        <v/>
      </c>
      <c r="Q926" s="41" t="e">
        <f t="shared" si="1820"/>
        <v>#N/A</v>
      </c>
      <c r="R926" s="44"/>
      <c r="S926" s="44"/>
      <c r="T926" s="43"/>
      <c r="U926" s="43" t="str">
        <f t="shared" si="8"/>
        <v>No</v>
      </c>
      <c r="V926" s="25"/>
      <c r="W926" s="25"/>
      <c r="X926" s="25"/>
      <c r="Y926" s="25"/>
      <c r="Z926" s="25"/>
    </row>
    <row r="927" spans="1:26" ht="15.75" customHeight="1" x14ac:dyDescent="0.25">
      <c r="A927" s="25">
        <v>925</v>
      </c>
      <c r="B927" s="37" t="e">
        <f t="shared" ref="B927:D927" si="1867">VLOOKUP($A927,'[3]Gestión Pública'!$A$1:$O$251,B$1,0)</f>
        <v>#N/A</v>
      </c>
      <c r="C927" s="38" t="e">
        <f t="shared" si="1867"/>
        <v>#N/A</v>
      </c>
      <c r="D927" s="39" t="e">
        <f t="shared" si="1867"/>
        <v>#N/A</v>
      </c>
      <c r="E927" s="16" t="e">
        <f t="shared" si="1"/>
        <v>#N/A</v>
      </c>
      <c r="F927" s="16" t="e">
        <f t="shared" ref="F927:K927" si="1868">VLOOKUP($A927,'[3]Gestión Pública'!$A$1:$O$251,F$1,0)</f>
        <v>#N/A</v>
      </c>
      <c r="G927" s="39" t="e">
        <f t="shared" si="1868"/>
        <v>#N/A</v>
      </c>
      <c r="H927" s="16" t="e">
        <f t="shared" si="1868"/>
        <v>#N/A</v>
      </c>
      <c r="I927" s="16" t="e">
        <f t="shared" si="1868"/>
        <v>#N/A</v>
      </c>
      <c r="J927" s="40" t="e">
        <f t="shared" si="1868"/>
        <v>#N/A</v>
      </c>
      <c r="K927" s="16" t="e">
        <f t="shared" si="1868"/>
        <v>#N/A</v>
      </c>
      <c r="L927" s="40" t="e">
        <f t="shared" si="1817"/>
        <v>#N/A</v>
      </c>
      <c r="M927" s="16" t="e">
        <f t="shared" si="1818"/>
        <v>#N/A</v>
      </c>
      <c r="N927" s="16" t="e">
        <f t="shared" si="1819"/>
        <v>#N/A</v>
      </c>
      <c r="O927" s="16" t="s">
        <v>67</v>
      </c>
      <c r="P927" s="16" t="str">
        <f t="shared" si="6"/>
        <v/>
      </c>
      <c r="Q927" s="41" t="e">
        <f t="shared" si="1820"/>
        <v>#N/A</v>
      </c>
      <c r="R927" s="44"/>
      <c r="S927" s="44"/>
      <c r="T927" s="43"/>
      <c r="U927" s="43" t="str">
        <f t="shared" si="8"/>
        <v>No</v>
      </c>
      <c r="V927" s="25"/>
      <c r="W927" s="25"/>
      <c r="X927" s="25"/>
      <c r="Y927" s="25"/>
      <c r="Z927" s="25"/>
    </row>
    <row r="928" spans="1:26" ht="15.75" customHeight="1" x14ac:dyDescent="0.25">
      <c r="A928" s="25">
        <v>926</v>
      </c>
      <c r="B928" s="37" t="e">
        <f t="shared" ref="B928:D928" si="1869">VLOOKUP($A928,'[3]Gestión Pública'!$A$1:$O$251,B$1,0)</f>
        <v>#N/A</v>
      </c>
      <c r="C928" s="38" t="e">
        <f t="shared" si="1869"/>
        <v>#N/A</v>
      </c>
      <c r="D928" s="39" t="e">
        <f t="shared" si="1869"/>
        <v>#N/A</v>
      </c>
      <c r="E928" s="16" t="e">
        <f t="shared" si="1"/>
        <v>#N/A</v>
      </c>
      <c r="F928" s="16" t="e">
        <f t="shared" ref="F928:K928" si="1870">VLOOKUP($A928,'[3]Gestión Pública'!$A$1:$O$251,F$1,0)</f>
        <v>#N/A</v>
      </c>
      <c r="G928" s="39" t="e">
        <f t="shared" si="1870"/>
        <v>#N/A</v>
      </c>
      <c r="H928" s="16" t="e">
        <f t="shared" si="1870"/>
        <v>#N/A</v>
      </c>
      <c r="I928" s="16" t="e">
        <f t="shared" si="1870"/>
        <v>#N/A</v>
      </c>
      <c r="J928" s="40" t="e">
        <f t="shared" si="1870"/>
        <v>#N/A</v>
      </c>
      <c r="K928" s="16" t="e">
        <f t="shared" si="1870"/>
        <v>#N/A</v>
      </c>
      <c r="L928" s="40" t="e">
        <f t="shared" si="1817"/>
        <v>#N/A</v>
      </c>
      <c r="M928" s="16" t="e">
        <f t="shared" si="1818"/>
        <v>#N/A</v>
      </c>
      <c r="N928" s="16" t="e">
        <f t="shared" si="1819"/>
        <v>#N/A</v>
      </c>
      <c r="O928" s="16" t="s">
        <v>67</v>
      </c>
      <c r="P928" s="16" t="str">
        <f t="shared" si="6"/>
        <v/>
      </c>
      <c r="Q928" s="41" t="e">
        <f t="shared" si="1820"/>
        <v>#N/A</v>
      </c>
      <c r="R928" s="44"/>
      <c r="S928" s="44"/>
      <c r="T928" s="43"/>
      <c r="U928" s="43" t="str">
        <f t="shared" si="8"/>
        <v>No</v>
      </c>
      <c r="V928" s="25"/>
      <c r="W928" s="25"/>
      <c r="X928" s="25"/>
      <c r="Y928" s="25"/>
      <c r="Z928" s="25"/>
    </row>
    <row r="929" spans="1:26" ht="15.75" customHeight="1" x14ac:dyDescent="0.25">
      <c r="A929" s="25">
        <v>927</v>
      </c>
      <c r="B929" s="37" t="e">
        <f t="shared" ref="B929:D929" si="1871">VLOOKUP($A929,'[3]Gestión Pública'!$A$1:$O$251,B$1,0)</f>
        <v>#N/A</v>
      </c>
      <c r="C929" s="38" t="e">
        <f t="shared" si="1871"/>
        <v>#N/A</v>
      </c>
      <c r="D929" s="39" t="e">
        <f t="shared" si="1871"/>
        <v>#N/A</v>
      </c>
      <c r="E929" s="16" t="e">
        <f t="shared" si="1"/>
        <v>#N/A</v>
      </c>
      <c r="F929" s="16" t="e">
        <f t="shared" ref="F929:K929" si="1872">VLOOKUP($A929,'[3]Gestión Pública'!$A$1:$O$251,F$1,0)</f>
        <v>#N/A</v>
      </c>
      <c r="G929" s="39" t="e">
        <f t="shared" si="1872"/>
        <v>#N/A</v>
      </c>
      <c r="H929" s="16" t="e">
        <f t="shared" si="1872"/>
        <v>#N/A</v>
      </c>
      <c r="I929" s="16" t="e">
        <f t="shared" si="1872"/>
        <v>#N/A</v>
      </c>
      <c r="J929" s="40" t="e">
        <f t="shared" si="1872"/>
        <v>#N/A</v>
      </c>
      <c r="K929" s="16" t="e">
        <f t="shared" si="1872"/>
        <v>#N/A</v>
      </c>
      <c r="L929" s="40" t="e">
        <f t="shared" si="1817"/>
        <v>#N/A</v>
      </c>
      <c r="M929" s="16" t="e">
        <f t="shared" si="1818"/>
        <v>#N/A</v>
      </c>
      <c r="N929" s="16" t="e">
        <f t="shared" si="1819"/>
        <v>#N/A</v>
      </c>
      <c r="O929" s="16" t="s">
        <v>67</v>
      </c>
      <c r="P929" s="16" t="str">
        <f t="shared" si="6"/>
        <v/>
      </c>
      <c r="Q929" s="41" t="e">
        <f t="shared" si="1820"/>
        <v>#N/A</v>
      </c>
      <c r="R929" s="44"/>
      <c r="S929" s="44"/>
      <c r="T929" s="43"/>
      <c r="U929" s="43" t="str">
        <f t="shared" si="8"/>
        <v>No</v>
      </c>
      <c r="V929" s="25"/>
      <c r="W929" s="25"/>
      <c r="X929" s="25"/>
      <c r="Y929" s="25"/>
      <c r="Z929" s="25"/>
    </row>
    <row r="930" spans="1:26" ht="15.75" customHeight="1" x14ac:dyDescent="0.25">
      <c r="A930" s="25">
        <v>928</v>
      </c>
      <c r="B930" s="37" t="e">
        <f t="shared" ref="B930:D930" si="1873">VLOOKUP($A930,'[3]Gestión Pública'!$A$1:$O$251,B$1,0)</f>
        <v>#N/A</v>
      </c>
      <c r="C930" s="38" t="e">
        <f t="shared" si="1873"/>
        <v>#N/A</v>
      </c>
      <c r="D930" s="39" t="e">
        <f t="shared" si="1873"/>
        <v>#N/A</v>
      </c>
      <c r="E930" s="16" t="e">
        <f t="shared" si="1"/>
        <v>#N/A</v>
      </c>
      <c r="F930" s="16" t="e">
        <f t="shared" ref="F930:K930" si="1874">VLOOKUP($A930,'[3]Gestión Pública'!$A$1:$O$251,F$1,0)</f>
        <v>#N/A</v>
      </c>
      <c r="G930" s="39" t="e">
        <f t="shared" si="1874"/>
        <v>#N/A</v>
      </c>
      <c r="H930" s="16" t="e">
        <f t="shared" si="1874"/>
        <v>#N/A</v>
      </c>
      <c r="I930" s="16" t="e">
        <f t="shared" si="1874"/>
        <v>#N/A</v>
      </c>
      <c r="J930" s="40" t="e">
        <f t="shared" si="1874"/>
        <v>#N/A</v>
      </c>
      <c r="K930" s="16" t="e">
        <f t="shared" si="1874"/>
        <v>#N/A</v>
      </c>
      <c r="L930" s="40" t="e">
        <f t="shared" si="1817"/>
        <v>#N/A</v>
      </c>
      <c r="M930" s="45" t="e">
        <f t="shared" si="1818"/>
        <v>#N/A</v>
      </c>
      <c r="N930" s="16" t="e">
        <f t="shared" si="1819"/>
        <v>#N/A</v>
      </c>
      <c r="O930" s="16" t="s">
        <v>67</v>
      </c>
      <c r="P930" s="16" t="str">
        <f t="shared" si="6"/>
        <v/>
      </c>
      <c r="Q930" s="41" t="e">
        <f t="shared" si="1820"/>
        <v>#N/A</v>
      </c>
      <c r="R930" s="44"/>
      <c r="S930" s="44"/>
      <c r="T930" s="43"/>
      <c r="U930" s="43" t="str">
        <f t="shared" si="8"/>
        <v>No</v>
      </c>
      <c r="V930" s="25"/>
      <c r="W930" s="25"/>
      <c r="X930" s="25"/>
      <c r="Y930" s="25"/>
      <c r="Z930" s="25"/>
    </row>
    <row r="931" spans="1:26" ht="15.75" customHeight="1" x14ac:dyDescent="0.25">
      <c r="A931" s="25">
        <v>929</v>
      </c>
      <c r="B931" s="37" t="e">
        <f t="shared" ref="B931:D931" si="1875">VLOOKUP($A931,'[3]Gestión Pública'!$A$1:$O$251,B$1,0)</f>
        <v>#N/A</v>
      </c>
      <c r="C931" s="38" t="e">
        <f t="shared" si="1875"/>
        <v>#N/A</v>
      </c>
      <c r="D931" s="39" t="e">
        <f t="shared" si="1875"/>
        <v>#N/A</v>
      </c>
      <c r="E931" s="16" t="e">
        <f t="shared" si="1"/>
        <v>#N/A</v>
      </c>
      <c r="F931" s="16" t="e">
        <f t="shared" ref="F931:K931" si="1876">VLOOKUP($A931,'[3]Gestión Pública'!$A$1:$O$251,F$1,0)</f>
        <v>#N/A</v>
      </c>
      <c r="G931" s="39" t="e">
        <f t="shared" si="1876"/>
        <v>#N/A</v>
      </c>
      <c r="H931" s="16" t="e">
        <f t="shared" si="1876"/>
        <v>#N/A</v>
      </c>
      <c r="I931" s="16" t="e">
        <f t="shared" si="1876"/>
        <v>#N/A</v>
      </c>
      <c r="J931" s="40" t="e">
        <f t="shared" si="1876"/>
        <v>#N/A</v>
      </c>
      <c r="K931" s="16" t="e">
        <f t="shared" si="1876"/>
        <v>#N/A</v>
      </c>
      <c r="L931" s="40" t="e">
        <f t="shared" si="1817"/>
        <v>#N/A</v>
      </c>
      <c r="M931" s="45" t="e">
        <f t="shared" si="1818"/>
        <v>#N/A</v>
      </c>
      <c r="N931" s="16" t="e">
        <f t="shared" si="1819"/>
        <v>#N/A</v>
      </c>
      <c r="O931" s="16" t="s">
        <v>67</v>
      </c>
      <c r="P931" s="16" t="str">
        <f t="shared" si="6"/>
        <v/>
      </c>
      <c r="Q931" s="41" t="e">
        <f t="shared" si="1820"/>
        <v>#N/A</v>
      </c>
      <c r="R931" s="44"/>
      <c r="S931" s="44"/>
      <c r="T931" s="43"/>
      <c r="U931" s="43" t="str">
        <f t="shared" si="8"/>
        <v>No</v>
      </c>
      <c r="V931" s="25"/>
      <c r="W931" s="25"/>
      <c r="X931" s="25"/>
      <c r="Y931" s="25"/>
      <c r="Z931" s="25"/>
    </row>
    <row r="932" spans="1:26" ht="15.75" customHeight="1" x14ac:dyDescent="0.25">
      <c r="A932" s="25">
        <v>930</v>
      </c>
      <c r="B932" s="37" t="e">
        <f t="shared" ref="B932:D932" si="1877">VLOOKUP($A932,'[3]Gestión Pública'!$A$1:$O$251,B$1,0)</f>
        <v>#N/A</v>
      </c>
      <c r="C932" s="38" t="e">
        <f t="shared" si="1877"/>
        <v>#N/A</v>
      </c>
      <c r="D932" s="39" t="e">
        <f t="shared" si="1877"/>
        <v>#N/A</v>
      </c>
      <c r="E932" s="16" t="e">
        <f t="shared" si="1"/>
        <v>#N/A</v>
      </c>
      <c r="F932" s="16" t="e">
        <f t="shared" ref="F932:K932" si="1878">VLOOKUP($A932,'[3]Gestión Pública'!$A$1:$O$251,F$1,0)</f>
        <v>#N/A</v>
      </c>
      <c r="G932" s="39" t="e">
        <f t="shared" si="1878"/>
        <v>#N/A</v>
      </c>
      <c r="H932" s="16" t="e">
        <f t="shared" si="1878"/>
        <v>#N/A</v>
      </c>
      <c r="I932" s="16" t="e">
        <f t="shared" si="1878"/>
        <v>#N/A</v>
      </c>
      <c r="J932" s="40" t="e">
        <f t="shared" si="1878"/>
        <v>#N/A</v>
      </c>
      <c r="K932" s="16" t="e">
        <f t="shared" si="1878"/>
        <v>#N/A</v>
      </c>
      <c r="L932" s="40" t="e">
        <f t="shared" si="1817"/>
        <v>#N/A</v>
      </c>
      <c r="M932" s="45" t="e">
        <f t="shared" si="1818"/>
        <v>#N/A</v>
      </c>
      <c r="N932" s="16" t="e">
        <f t="shared" si="1819"/>
        <v>#N/A</v>
      </c>
      <c r="O932" s="16" t="s">
        <v>67</v>
      </c>
      <c r="P932" s="16" t="str">
        <f t="shared" si="6"/>
        <v/>
      </c>
      <c r="Q932" s="41" t="e">
        <f t="shared" si="1820"/>
        <v>#N/A</v>
      </c>
      <c r="R932" s="44"/>
      <c r="S932" s="44"/>
      <c r="T932" s="43"/>
      <c r="U932" s="43" t="str">
        <f t="shared" si="8"/>
        <v>No</v>
      </c>
      <c r="V932" s="25"/>
      <c r="W932" s="25"/>
      <c r="X932" s="25"/>
      <c r="Y932" s="25"/>
      <c r="Z932" s="25"/>
    </row>
    <row r="933" spans="1:26" ht="15.75" customHeight="1" x14ac:dyDescent="0.25">
      <c r="A933" s="25">
        <v>931</v>
      </c>
      <c r="B933" s="37" t="e">
        <f t="shared" ref="B933:D933" si="1879">VLOOKUP($A933,'[3]Gestión Pública'!$A$1:$O$251,B$1,0)</f>
        <v>#N/A</v>
      </c>
      <c r="C933" s="38" t="e">
        <f t="shared" si="1879"/>
        <v>#N/A</v>
      </c>
      <c r="D933" s="39" t="e">
        <f t="shared" si="1879"/>
        <v>#N/A</v>
      </c>
      <c r="E933" s="16" t="e">
        <f t="shared" si="1"/>
        <v>#N/A</v>
      </c>
      <c r="F933" s="16" t="e">
        <f t="shared" ref="F933:K933" si="1880">VLOOKUP($A933,'[3]Gestión Pública'!$A$1:$O$251,F$1,0)</f>
        <v>#N/A</v>
      </c>
      <c r="G933" s="39" t="e">
        <f t="shared" si="1880"/>
        <v>#N/A</v>
      </c>
      <c r="H933" s="16" t="e">
        <f t="shared" si="1880"/>
        <v>#N/A</v>
      </c>
      <c r="I933" s="16" t="e">
        <f t="shared" si="1880"/>
        <v>#N/A</v>
      </c>
      <c r="J933" s="40" t="e">
        <f t="shared" si="1880"/>
        <v>#N/A</v>
      </c>
      <c r="K933" s="16" t="e">
        <f t="shared" si="1880"/>
        <v>#N/A</v>
      </c>
      <c r="L933" s="40" t="e">
        <f t="shared" si="1817"/>
        <v>#N/A</v>
      </c>
      <c r="M933" s="45" t="e">
        <f t="shared" si="1818"/>
        <v>#N/A</v>
      </c>
      <c r="N933" s="16" t="e">
        <f t="shared" si="1819"/>
        <v>#N/A</v>
      </c>
      <c r="O933" s="16" t="s">
        <v>67</v>
      </c>
      <c r="P933" s="16" t="str">
        <f t="shared" si="6"/>
        <v/>
      </c>
      <c r="Q933" s="41" t="e">
        <f t="shared" si="1820"/>
        <v>#N/A</v>
      </c>
      <c r="R933" s="44"/>
      <c r="S933" s="44"/>
      <c r="T933" s="43"/>
      <c r="U933" s="43" t="str">
        <f t="shared" si="8"/>
        <v>No</v>
      </c>
      <c r="V933" s="25"/>
      <c r="W933" s="25"/>
      <c r="X933" s="25"/>
      <c r="Y933" s="25"/>
      <c r="Z933" s="25"/>
    </row>
    <row r="934" spans="1:26" ht="15.75" customHeight="1" x14ac:dyDescent="0.25">
      <c r="A934" s="25">
        <v>932</v>
      </c>
      <c r="B934" s="37" t="e">
        <f t="shared" ref="B934:D934" si="1881">VLOOKUP($A934,'[3]Gestión Pública'!$A$1:$O$251,B$1,0)</f>
        <v>#N/A</v>
      </c>
      <c r="C934" s="38" t="e">
        <f t="shared" si="1881"/>
        <v>#N/A</v>
      </c>
      <c r="D934" s="39" t="e">
        <f t="shared" si="1881"/>
        <v>#N/A</v>
      </c>
      <c r="E934" s="16" t="e">
        <f t="shared" si="1"/>
        <v>#N/A</v>
      </c>
      <c r="F934" s="16" t="e">
        <f t="shared" ref="F934:K934" si="1882">VLOOKUP($A934,'[3]Gestión Pública'!$A$1:$O$251,F$1,0)</f>
        <v>#N/A</v>
      </c>
      <c r="G934" s="39" t="e">
        <f t="shared" si="1882"/>
        <v>#N/A</v>
      </c>
      <c r="H934" s="16" t="e">
        <f t="shared" si="1882"/>
        <v>#N/A</v>
      </c>
      <c r="I934" s="16" t="e">
        <f t="shared" si="1882"/>
        <v>#N/A</v>
      </c>
      <c r="J934" s="40" t="e">
        <f t="shared" si="1882"/>
        <v>#N/A</v>
      </c>
      <c r="K934" s="16" t="e">
        <f t="shared" si="1882"/>
        <v>#N/A</v>
      </c>
      <c r="L934" s="40" t="e">
        <f t="shared" si="1817"/>
        <v>#N/A</v>
      </c>
      <c r="M934" s="45" t="e">
        <f t="shared" si="1818"/>
        <v>#N/A</v>
      </c>
      <c r="N934" s="16" t="e">
        <f t="shared" si="1819"/>
        <v>#N/A</v>
      </c>
      <c r="O934" s="16" t="s">
        <v>67</v>
      </c>
      <c r="P934" s="16" t="str">
        <f t="shared" si="6"/>
        <v/>
      </c>
      <c r="Q934" s="41" t="e">
        <f t="shared" si="1820"/>
        <v>#N/A</v>
      </c>
      <c r="R934" s="44"/>
      <c r="S934" s="44"/>
      <c r="T934" s="43"/>
      <c r="U934" s="43" t="str">
        <f t="shared" si="8"/>
        <v>No</v>
      </c>
      <c r="V934" s="25"/>
      <c r="W934" s="25"/>
      <c r="X934" s="25"/>
      <c r="Y934" s="25"/>
      <c r="Z934" s="25"/>
    </row>
    <row r="935" spans="1:26" ht="15.75" customHeight="1" x14ac:dyDescent="0.25">
      <c r="A935" s="25">
        <v>933</v>
      </c>
      <c r="B935" s="37" t="e">
        <f t="shared" ref="B935:D935" si="1883">VLOOKUP($A935,'[3]Gestión Pública'!$A$1:$O$251,B$1,0)</f>
        <v>#N/A</v>
      </c>
      <c r="C935" s="38" t="e">
        <f t="shared" si="1883"/>
        <v>#N/A</v>
      </c>
      <c r="D935" s="39" t="e">
        <f t="shared" si="1883"/>
        <v>#N/A</v>
      </c>
      <c r="E935" s="16" t="e">
        <f t="shared" si="1"/>
        <v>#N/A</v>
      </c>
      <c r="F935" s="16" t="e">
        <f t="shared" ref="F935:K935" si="1884">VLOOKUP($A935,'[3]Gestión Pública'!$A$1:$O$251,F$1,0)</f>
        <v>#N/A</v>
      </c>
      <c r="G935" s="39" t="e">
        <f t="shared" si="1884"/>
        <v>#N/A</v>
      </c>
      <c r="H935" s="16" t="e">
        <f t="shared" si="1884"/>
        <v>#N/A</v>
      </c>
      <c r="I935" s="16" t="e">
        <f t="shared" si="1884"/>
        <v>#N/A</v>
      </c>
      <c r="J935" s="40" t="e">
        <f t="shared" si="1884"/>
        <v>#N/A</v>
      </c>
      <c r="K935" s="16" t="e">
        <f t="shared" si="1884"/>
        <v>#N/A</v>
      </c>
      <c r="L935" s="40" t="e">
        <f t="shared" si="1817"/>
        <v>#N/A</v>
      </c>
      <c r="M935" s="16" t="e">
        <f t="shared" si="1818"/>
        <v>#N/A</v>
      </c>
      <c r="N935" s="16" t="e">
        <f t="shared" si="1819"/>
        <v>#N/A</v>
      </c>
      <c r="O935" s="16" t="s">
        <v>67</v>
      </c>
      <c r="P935" s="16" t="str">
        <f t="shared" si="6"/>
        <v/>
      </c>
      <c r="Q935" s="41" t="e">
        <f t="shared" si="1820"/>
        <v>#N/A</v>
      </c>
      <c r="R935" s="44"/>
      <c r="S935" s="44"/>
      <c r="T935" s="43"/>
      <c r="U935" s="43" t="str">
        <f t="shared" si="8"/>
        <v>No</v>
      </c>
      <c r="V935" s="25"/>
      <c r="W935" s="25"/>
      <c r="X935" s="25"/>
      <c r="Y935" s="25"/>
      <c r="Z935" s="25"/>
    </row>
    <row r="936" spans="1:26" ht="15.75" customHeight="1" x14ac:dyDescent="0.25">
      <c r="A936" s="25">
        <v>934</v>
      </c>
      <c r="B936" s="37" t="e">
        <f t="shared" ref="B936:D936" si="1885">VLOOKUP($A936,'[3]Gestión Pública'!$A$1:$O$251,B$1,0)</f>
        <v>#N/A</v>
      </c>
      <c r="C936" s="38" t="e">
        <f t="shared" si="1885"/>
        <v>#N/A</v>
      </c>
      <c r="D936" s="39" t="e">
        <f t="shared" si="1885"/>
        <v>#N/A</v>
      </c>
      <c r="E936" s="16" t="e">
        <f t="shared" si="1"/>
        <v>#N/A</v>
      </c>
      <c r="F936" s="16" t="e">
        <f t="shared" ref="F936:K936" si="1886">VLOOKUP($A936,'[3]Gestión Pública'!$A$1:$O$251,F$1,0)</f>
        <v>#N/A</v>
      </c>
      <c r="G936" s="39" t="e">
        <f t="shared" si="1886"/>
        <v>#N/A</v>
      </c>
      <c r="H936" s="16" t="e">
        <f t="shared" si="1886"/>
        <v>#N/A</v>
      </c>
      <c r="I936" s="16" t="e">
        <f t="shared" si="1886"/>
        <v>#N/A</v>
      </c>
      <c r="J936" s="40" t="e">
        <f t="shared" si="1886"/>
        <v>#N/A</v>
      </c>
      <c r="K936" s="16" t="e">
        <f t="shared" si="1886"/>
        <v>#N/A</v>
      </c>
      <c r="L936" s="40" t="e">
        <f t="shared" si="1817"/>
        <v>#N/A</v>
      </c>
      <c r="M936" s="16" t="e">
        <f t="shared" si="1818"/>
        <v>#N/A</v>
      </c>
      <c r="N936" s="16" t="e">
        <f t="shared" si="1819"/>
        <v>#N/A</v>
      </c>
      <c r="O936" s="16" t="s">
        <v>67</v>
      </c>
      <c r="P936" s="16" t="str">
        <f t="shared" si="6"/>
        <v/>
      </c>
      <c r="Q936" s="41" t="e">
        <f t="shared" si="1820"/>
        <v>#N/A</v>
      </c>
      <c r="R936" s="44"/>
      <c r="S936" s="44"/>
      <c r="T936" s="43"/>
      <c r="U936" s="43" t="str">
        <f t="shared" si="8"/>
        <v>No</v>
      </c>
      <c r="V936" s="25"/>
      <c r="W936" s="25"/>
      <c r="X936" s="25"/>
      <c r="Y936" s="25"/>
      <c r="Z936" s="25"/>
    </row>
    <row r="937" spans="1:26" ht="15.75" customHeight="1" x14ac:dyDescent="0.25">
      <c r="A937" s="25">
        <v>935</v>
      </c>
      <c r="B937" s="37" t="e">
        <f t="shared" ref="B937:D937" si="1887">VLOOKUP($A937,'[3]Gestión Pública'!$A$1:$O$251,B$1,0)</f>
        <v>#N/A</v>
      </c>
      <c r="C937" s="38" t="e">
        <f t="shared" si="1887"/>
        <v>#N/A</v>
      </c>
      <c r="D937" s="39" t="e">
        <f t="shared" si="1887"/>
        <v>#N/A</v>
      </c>
      <c r="E937" s="16" t="e">
        <f t="shared" si="1"/>
        <v>#N/A</v>
      </c>
      <c r="F937" s="16" t="e">
        <f t="shared" ref="F937:K937" si="1888">VLOOKUP($A937,'[3]Gestión Pública'!$A$1:$O$251,F$1,0)</f>
        <v>#N/A</v>
      </c>
      <c r="G937" s="39" t="e">
        <f t="shared" si="1888"/>
        <v>#N/A</v>
      </c>
      <c r="H937" s="16" t="e">
        <f t="shared" si="1888"/>
        <v>#N/A</v>
      </c>
      <c r="I937" s="16" t="e">
        <f t="shared" si="1888"/>
        <v>#N/A</v>
      </c>
      <c r="J937" s="40" t="e">
        <f t="shared" si="1888"/>
        <v>#N/A</v>
      </c>
      <c r="K937" s="16" t="e">
        <f t="shared" si="1888"/>
        <v>#N/A</v>
      </c>
      <c r="L937" s="40" t="e">
        <f t="shared" si="1817"/>
        <v>#N/A</v>
      </c>
      <c r="M937" s="16" t="e">
        <f t="shared" si="1818"/>
        <v>#N/A</v>
      </c>
      <c r="N937" s="16" t="e">
        <f t="shared" si="1819"/>
        <v>#N/A</v>
      </c>
      <c r="O937" s="16" t="s">
        <v>67</v>
      </c>
      <c r="P937" s="16" t="str">
        <f t="shared" si="6"/>
        <v/>
      </c>
      <c r="Q937" s="41" t="e">
        <f t="shared" si="1820"/>
        <v>#N/A</v>
      </c>
      <c r="R937" s="44"/>
      <c r="S937" s="44"/>
      <c r="T937" s="43"/>
      <c r="U937" s="43" t="str">
        <f t="shared" si="8"/>
        <v>No</v>
      </c>
      <c r="V937" s="25"/>
      <c r="W937" s="25"/>
      <c r="X937" s="25"/>
      <c r="Y937" s="25"/>
      <c r="Z937" s="25"/>
    </row>
    <row r="938" spans="1:26" ht="15.75" customHeight="1" x14ac:dyDescent="0.25">
      <c r="A938" s="25">
        <v>936</v>
      </c>
      <c r="B938" s="37" t="e">
        <f t="shared" ref="B938:D938" si="1889">VLOOKUP($A938,'[3]Gestión Pública'!$A$1:$O$251,B$1,0)</f>
        <v>#N/A</v>
      </c>
      <c r="C938" s="38" t="e">
        <f t="shared" si="1889"/>
        <v>#N/A</v>
      </c>
      <c r="D938" s="39" t="e">
        <f t="shared" si="1889"/>
        <v>#N/A</v>
      </c>
      <c r="E938" s="16" t="e">
        <f t="shared" si="1"/>
        <v>#N/A</v>
      </c>
      <c r="F938" s="16" t="e">
        <f t="shared" ref="F938:K938" si="1890">VLOOKUP($A938,'[3]Gestión Pública'!$A$1:$O$251,F$1,0)</f>
        <v>#N/A</v>
      </c>
      <c r="G938" s="39" t="e">
        <f t="shared" si="1890"/>
        <v>#N/A</v>
      </c>
      <c r="H938" s="16" t="e">
        <f t="shared" si="1890"/>
        <v>#N/A</v>
      </c>
      <c r="I938" s="16" t="e">
        <f t="shared" si="1890"/>
        <v>#N/A</v>
      </c>
      <c r="J938" s="40" t="e">
        <f t="shared" si="1890"/>
        <v>#N/A</v>
      </c>
      <c r="K938" s="16" t="e">
        <f t="shared" si="1890"/>
        <v>#N/A</v>
      </c>
      <c r="L938" s="40" t="e">
        <f t="shared" si="1817"/>
        <v>#N/A</v>
      </c>
      <c r="M938" s="16" t="e">
        <f t="shared" si="1818"/>
        <v>#N/A</v>
      </c>
      <c r="N938" s="16" t="e">
        <f t="shared" si="1819"/>
        <v>#N/A</v>
      </c>
      <c r="O938" s="16" t="s">
        <v>67</v>
      </c>
      <c r="P938" s="16" t="str">
        <f t="shared" si="6"/>
        <v/>
      </c>
      <c r="Q938" s="41" t="e">
        <f t="shared" si="1820"/>
        <v>#N/A</v>
      </c>
      <c r="R938" s="44"/>
      <c r="S938" s="44"/>
      <c r="T938" s="43"/>
      <c r="U938" s="43" t="str">
        <f t="shared" si="8"/>
        <v>No</v>
      </c>
      <c r="V938" s="25"/>
      <c r="W938" s="25"/>
      <c r="X938" s="25"/>
      <c r="Y938" s="25"/>
      <c r="Z938" s="25"/>
    </row>
    <row r="939" spans="1:26" ht="15.75" customHeight="1" x14ac:dyDescent="0.25">
      <c r="A939" s="25">
        <v>937</v>
      </c>
      <c r="B939" s="37" t="e">
        <f t="shared" ref="B939:D939" si="1891">VLOOKUP($A939,'[3]Gestión Pública'!$A$1:$O$251,B$1,0)</f>
        <v>#N/A</v>
      </c>
      <c r="C939" s="38" t="e">
        <f t="shared" si="1891"/>
        <v>#N/A</v>
      </c>
      <c r="D939" s="39" t="e">
        <f t="shared" si="1891"/>
        <v>#N/A</v>
      </c>
      <c r="E939" s="16" t="e">
        <f t="shared" si="1"/>
        <v>#N/A</v>
      </c>
      <c r="F939" s="16" t="e">
        <f t="shared" ref="F939:K939" si="1892">VLOOKUP($A939,'[3]Gestión Pública'!$A$1:$O$251,F$1,0)</f>
        <v>#N/A</v>
      </c>
      <c r="G939" s="39" t="e">
        <f t="shared" si="1892"/>
        <v>#N/A</v>
      </c>
      <c r="H939" s="16" t="e">
        <f t="shared" si="1892"/>
        <v>#N/A</v>
      </c>
      <c r="I939" s="16" t="e">
        <f t="shared" si="1892"/>
        <v>#N/A</v>
      </c>
      <c r="J939" s="40" t="e">
        <f t="shared" si="1892"/>
        <v>#N/A</v>
      </c>
      <c r="K939" s="16" t="e">
        <f t="shared" si="1892"/>
        <v>#N/A</v>
      </c>
      <c r="L939" s="40" t="e">
        <f t="shared" si="1817"/>
        <v>#N/A</v>
      </c>
      <c r="M939" s="16" t="e">
        <f t="shared" si="1818"/>
        <v>#N/A</v>
      </c>
      <c r="N939" s="16" t="e">
        <f t="shared" si="1819"/>
        <v>#N/A</v>
      </c>
      <c r="O939" s="16" t="s">
        <v>67</v>
      </c>
      <c r="P939" s="16" t="str">
        <f t="shared" si="6"/>
        <v/>
      </c>
      <c r="Q939" s="41" t="e">
        <f t="shared" si="1820"/>
        <v>#N/A</v>
      </c>
      <c r="R939" s="44"/>
      <c r="S939" s="44"/>
      <c r="T939" s="43"/>
      <c r="U939" s="43" t="str">
        <f t="shared" si="8"/>
        <v>No</v>
      </c>
      <c r="V939" s="25"/>
      <c r="W939" s="25"/>
      <c r="X939" s="25"/>
      <c r="Y939" s="25"/>
      <c r="Z939" s="25"/>
    </row>
    <row r="940" spans="1:26" ht="15.75" customHeight="1" x14ac:dyDescent="0.25">
      <c r="A940" s="25">
        <v>938</v>
      </c>
      <c r="B940" s="37" t="e">
        <f t="shared" ref="B940:D940" si="1893">VLOOKUP($A940,'[3]Gestión Pública'!$A$1:$O$251,B$1,0)</f>
        <v>#N/A</v>
      </c>
      <c r="C940" s="38" t="e">
        <f t="shared" si="1893"/>
        <v>#N/A</v>
      </c>
      <c r="D940" s="39" t="e">
        <f t="shared" si="1893"/>
        <v>#N/A</v>
      </c>
      <c r="E940" s="16" t="e">
        <f t="shared" si="1"/>
        <v>#N/A</v>
      </c>
      <c r="F940" s="16" t="e">
        <f t="shared" ref="F940:K940" si="1894">VLOOKUP($A940,'[3]Gestión Pública'!$A$1:$O$251,F$1,0)</f>
        <v>#N/A</v>
      </c>
      <c r="G940" s="39" t="e">
        <f t="shared" si="1894"/>
        <v>#N/A</v>
      </c>
      <c r="H940" s="16" t="e">
        <f t="shared" si="1894"/>
        <v>#N/A</v>
      </c>
      <c r="I940" s="16" t="e">
        <f t="shared" si="1894"/>
        <v>#N/A</v>
      </c>
      <c r="J940" s="40" t="e">
        <f t="shared" si="1894"/>
        <v>#N/A</v>
      </c>
      <c r="K940" s="16" t="e">
        <f t="shared" si="1894"/>
        <v>#N/A</v>
      </c>
      <c r="L940" s="40" t="e">
        <f t="shared" si="1817"/>
        <v>#N/A</v>
      </c>
      <c r="M940" s="16" t="e">
        <f t="shared" si="1818"/>
        <v>#N/A</v>
      </c>
      <c r="N940" s="16" t="e">
        <f t="shared" si="1819"/>
        <v>#N/A</v>
      </c>
      <c r="O940" s="16" t="s">
        <v>67</v>
      </c>
      <c r="P940" s="16" t="str">
        <f t="shared" si="6"/>
        <v/>
      </c>
      <c r="Q940" s="41" t="e">
        <f t="shared" si="1820"/>
        <v>#N/A</v>
      </c>
      <c r="R940" s="44"/>
      <c r="S940" s="44"/>
      <c r="T940" s="43"/>
      <c r="U940" s="43" t="str">
        <f t="shared" si="8"/>
        <v>No</v>
      </c>
      <c r="V940" s="25"/>
      <c r="W940" s="25"/>
      <c r="X940" s="25"/>
      <c r="Y940" s="25"/>
      <c r="Z940" s="25"/>
    </row>
    <row r="941" spans="1:26" ht="15.75" customHeight="1" x14ac:dyDescent="0.25">
      <c r="A941" s="25">
        <v>939</v>
      </c>
      <c r="B941" s="37" t="e">
        <f t="shared" ref="B941:D941" si="1895">VLOOKUP($A941,'[3]Gestión Pública'!$A$1:$O$251,B$1,0)</f>
        <v>#N/A</v>
      </c>
      <c r="C941" s="38" t="e">
        <f t="shared" si="1895"/>
        <v>#N/A</v>
      </c>
      <c r="D941" s="39" t="e">
        <f t="shared" si="1895"/>
        <v>#N/A</v>
      </c>
      <c r="E941" s="16" t="e">
        <f t="shared" si="1"/>
        <v>#N/A</v>
      </c>
      <c r="F941" s="16" t="e">
        <f t="shared" ref="F941:K941" si="1896">VLOOKUP($A941,'[3]Gestión Pública'!$A$1:$O$251,F$1,0)</f>
        <v>#N/A</v>
      </c>
      <c r="G941" s="39" t="e">
        <f t="shared" si="1896"/>
        <v>#N/A</v>
      </c>
      <c r="H941" s="16" t="e">
        <f t="shared" si="1896"/>
        <v>#N/A</v>
      </c>
      <c r="I941" s="16" t="e">
        <f t="shared" si="1896"/>
        <v>#N/A</v>
      </c>
      <c r="J941" s="40" t="e">
        <f t="shared" si="1896"/>
        <v>#N/A</v>
      </c>
      <c r="K941" s="16" t="e">
        <f t="shared" si="1896"/>
        <v>#N/A</v>
      </c>
      <c r="L941" s="40" t="e">
        <f t="shared" si="1817"/>
        <v>#N/A</v>
      </c>
      <c r="M941" s="16" t="e">
        <f t="shared" si="1818"/>
        <v>#N/A</v>
      </c>
      <c r="N941" s="16" t="e">
        <f t="shared" si="1819"/>
        <v>#N/A</v>
      </c>
      <c r="O941" s="16" t="s">
        <v>67</v>
      </c>
      <c r="P941" s="16" t="str">
        <f t="shared" si="6"/>
        <v/>
      </c>
      <c r="Q941" s="41" t="e">
        <f t="shared" si="1820"/>
        <v>#N/A</v>
      </c>
      <c r="R941" s="44"/>
      <c r="S941" s="44"/>
      <c r="T941" s="43"/>
      <c r="U941" s="43" t="str">
        <f t="shared" si="8"/>
        <v>No</v>
      </c>
      <c r="V941" s="25"/>
      <c r="W941" s="25"/>
      <c r="X941" s="25"/>
      <c r="Y941" s="25"/>
      <c r="Z941" s="25"/>
    </row>
    <row r="942" spans="1:26" ht="15.75" customHeight="1" x14ac:dyDescent="0.25">
      <c r="A942" s="25">
        <v>940</v>
      </c>
      <c r="B942" s="37" t="e">
        <f t="shared" ref="B942:D942" si="1897">VLOOKUP($A942,'[3]Gestión Pública'!$A$1:$O$251,B$1,0)</f>
        <v>#N/A</v>
      </c>
      <c r="C942" s="38" t="e">
        <f t="shared" si="1897"/>
        <v>#N/A</v>
      </c>
      <c r="D942" s="39" t="e">
        <f t="shared" si="1897"/>
        <v>#N/A</v>
      </c>
      <c r="E942" s="16" t="e">
        <f t="shared" si="1"/>
        <v>#N/A</v>
      </c>
      <c r="F942" s="16" t="e">
        <f t="shared" ref="F942:K942" si="1898">VLOOKUP($A942,'[3]Gestión Pública'!$A$1:$O$251,F$1,0)</f>
        <v>#N/A</v>
      </c>
      <c r="G942" s="39" t="e">
        <f t="shared" si="1898"/>
        <v>#N/A</v>
      </c>
      <c r="H942" s="16" t="e">
        <f t="shared" si="1898"/>
        <v>#N/A</v>
      </c>
      <c r="I942" s="16" t="e">
        <f t="shared" si="1898"/>
        <v>#N/A</v>
      </c>
      <c r="J942" s="40" t="e">
        <f t="shared" si="1898"/>
        <v>#N/A</v>
      </c>
      <c r="K942" s="16" t="e">
        <f t="shared" si="1898"/>
        <v>#N/A</v>
      </c>
      <c r="L942" s="40" t="e">
        <f t="shared" si="1817"/>
        <v>#N/A</v>
      </c>
      <c r="M942" s="16" t="e">
        <f t="shared" si="1818"/>
        <v>#N/A</v>
      </c>
      <c r="N942" s="16" t="e">
        <f t="shared" si="1819"/>
        <v>#N/A</v>
      </c>
      <c r="O942" s="16" t="s">
        <v>67</v>
      </c>
      <c r="P942" s="16" t="str">
        <f t="shared" si="6"/>
        <v/>
      </c>
      <c r="Q942" s="41" t="e">
        <f t="shared" si="1820"/>
        <v>#N/A</v>
      </c>
      <c r="R942" s="44"/>
      <c r="S942" s="44"/>
      <c r="T942" s="43"/>
      <c r="U942" s="43" t="str">
        <f t="shared" si="8"/>
        <v>No</v>
      </c>
      <c r="V942" s="25"/>
      <c r="W942" s="25"/>
      <c r="X942" s="25"/>
      <c r="Y942" s="25"/>
      <c r="Z942" s="25"/>
    </row>
    <row r="943" spans="1:26" ht="15.75" customHeight="1" x14ac:dyDescent="0.25">
      <c r="A943" s="25">
        <v>941</v>
      </c>
      <c r="B943" s="37" t="e">
        <f t="shared" ref="B943:D943" si="1899">VLOOKUP($A943,'[3]Gestión Pública'!$A$1:$O$251,B$1,0)</f>
        <v>#N/A</v>
      </c>
      <c r="C943" s="38" t="e">
        <f t="shared" si="1899"/>
        <v>#N/A</v>
      </c>
      <c r="D943" s="39" t="e">
        <f t="shared" si="1899"/>
        <v>#N/A</v>
      </c>
      <c r="E943" s="16" t="e">
        <f t="shared" si="1"/>
        <v>#N/A</v>
      </c>
      <c r="F943" s="16" t="e">
        <f t="shared" ref="F943:K943" si="1900">VLOOKUP($A943,'[3]Gestión Pública'!$A$1:$O$251,F$1,0)</f>
        <v>#N/A</v>
      </c>
      <c r="G943" s="39" t="e">
        <f t="shared" si="1900"/>
        <v>#N/A</v>
      </c>
      <c r="H943" s="16" t="e">
        <f t="shared" si="1900"/>
        <v>#N/A</v>
      </c>
      <c r="I943" s="16" t="e">
        <f t="shared" si="1900"/>
        <v>#N/A</v>
      </c>
      <c r="J943" s="40" t="e">
        <f t="shared" si="1900"/>
        <v>#N/A</v>
      </c>
      <c r="K943" s="16" t="e">
        <f t="shared" si="1900"/>
        <v>#N/A</v>
      </c>
      <c r="L943" s="40" t="e">
        <f t="shared" si="1817"/>
        <v>#N/A</v>
      </c>
      <c r="M943" s="16" t="e">
        <f t="shared" si="1818"/>
        <v>#N/A</v>
      </c>
      <c r="N943" s="16" t="e">
        <f t="shared" si="1819"/>
        <v>#N/A</v>
      </c>
      <c r="O943" s="16" t="s">
        <v>67</v>
      </c>
      <c r="P943" s="16" t="str">
        <f t="shared" si="6"/>
        <v/>
      </c>
      <c r="Q943" s="41" t="e">
        <f t="shared" si="1820"/>
        <v>#N/A</v>
      </c>
      <c r="R943" s="44"/>
      <c r="S943" s="44"/>
      <c r="T943" s="43"/>
      <c r="U943" s="43" t="str">
        <f t="shared" si="8"/>
        <v>No</v>
      </c>
      <c r="V943" s="25"/>
      <c r="W943" s="25"/>
      <c r="X943" s="25"/>
      <c r="Y943" s="25"/>
      <c r="Z943" s="25"/>
    </row>
    <row r="944" spans="1:26" ht="15.75" customHeight="1" x14ac:dyDescent="0.25">
      <c r="A944" s="25">
        <v>942</v>
      </c>
      <c r="B944" s="37" t="e">
        <f t="shared" ref="B944:D944" si="1901">VLOOKUP($A944,'[3]Gestión Pública'!$A$1:$O$251,B$1,0)</f>
        <v>#N/A</v>
      </c>
      <c r="C944" s="38" t="e">
        <f t="shared" si="1901"/>
        <v>#N/A</v>
      </c>
      <c r="D944" s="39" t="e">
        <f t="shared" si="1901"/>
        <v>#N/A</v>
      </c>
      <c r="E944" s="16" t="e">
        <f t="shared" si="1"/>
        <v>#N/A</v>
      </c>
      <c r="F944" s="16" t="e">
        <f t="shared" ref="F944:K944" si="1902">VLOOKUP($A944,'[3]Gestión Pública'!$A$1:$O$251,F$1,0)</f>
        <v>#N/A</v>
      </c>
      <c r="G944" s="39" t="e">
        <f t="shared" si="1902"/>
        <v>#N/A</v>
      </c>
      <c r="H944" s="16" t="e">
        <f t="shared" si="1902"/>
        <v>#N/A</v>
      </c>
      <c r="I944" s="16" t="e">
        <f t="shared" si="1902"/>
        <v>#N/A</v>
      </c>
      <c r="J944" s="40" t="e">
        <f t="shared" si="1902"/>
        <v>#N/A</v>
      </c>
      <c r="K944" s="16" t="e">
        <f t="shared" si="1902"/>
        <v>#N/A</v>
      </c>
      <c r="L944" s="40" t="e">
        <f t="shared" si="1817"/>
        <v>#N/A</v>
      </c>
      <c r="M944" s="16" t="e">
        <f t="shared" si="1818"/>
        <v>#N/A</v>
      </c>
      <c r="N944" s="16" t="e">
        <f t="shared" si="1819"/>
        <v>#N/A</v>
      </c>
      <c r="O944" s="16" t="s">
        <v>67</v>
      </c>
      <c r="P944" s="16" t="str">
        <f t="shared" si="6"/>
        <v/>
      </c>
      <c r="Q944" s="41" t="e">
        <f t="shared" si="1820"/>
        <v>#N/A</v>
      </c>
      <c r="R944" s="44"/>
      <c r="S944" s="44"/>
      <c r="T944" s="43"/>
      <c r="U944" s="43" t="str">
        <f t="shared" si="8"/>
        <v>No</v>
      </c>
      <c r="V944" s="25"/>
      <c r="W944" s="25"/>
      <c r="X944" s="25"/>
      <c r="Y944" s="25"/>
      <c r="Z944" s="25"/>
    </row>
    <row r="945" spans="1:26" ht="15.75" customHeight="1" x14ac:dyDescent="0.25">
      <c r="A945" s="25">
        <v>943</v>
      </c>
      <c r="B945" s="37" t="e">
        <f t="shared" ref="B945:D945" si="1903">VLOOKUP($A945,'[3]Gestión Pública'!$A$1:$O$251,B$1,0)</f>
        <v>#N/A</v>
      </c>
      <c r="C945" s="38" t="e">
        <f t="shared" si="1903"/>
        <v>#N/A</v>
      </c>
      <c r="D945" s="39" t="e">
        <f t="shared" si="1903"/>
        <v>#N/A</v>
      </c>
      <c r="E945" s="16" t="e">
        <f t="shared" si="1"/>
        <v>#N/A</v>
      </c>
      <c r="F945" s="16" t="e">
        <f t="shared" ref="F945:K945" si="1904">VLOOKUP($A945,'[3]Gestión Pública'!$A$1:$O$251,F$1,0)</f>
        <v>#N/A</v>
      </c>
      <c r="G945" s="39" t="e">
        <f t="shared" si="1904"/>
        <v>#N/A</v>
      </c>
      <c r="H945" s="16" t="e">
        <f t="shared" si="1904"/>
        <v>#N/A</v>
      </c>
      <c r="I945" s="16" t="e">
        <f t="shared" si="1904"/>
        <v>#N/A</v>
      </c>
      <c r="J945" s="40" t="e">
        <f t="shared" si="1904"/>
        <v>#N/A</v>
      </c>
      <c r="K945" s="16" t="e">
        <f t="shared" si="1904"/>
        <v>#N/A</v>
      </c>
      <c r="L945" s="40" t="e">
        <f t="shared" si="1817"/>
        <v>#N/A</v>
      </c>
      <c r="M945" s="16" t="e">
        <f t="shared" si="1818"/>
        <v>#N/A</v>
      </c>
      <c r="N945" s="16" t="e">
        <f t="shared" si="1819"/>
        <v>#N/A</v>
      </c>
      <c r="O945" s="16" t="s">
        <v>67</v>
      </c>
      <c r="P945" s="16" t="str">
        <f t="shared" si="6"/>
        <v/>
      </c>
      <c r="Q945" s="41" t="e">
        <f t="shared" si="1820"/>
        <v>#N/A</v>
      </c>
      <c r="R945" s="44"/>
      <c r="S945" s="44"/>
      <c r="T945" s="43"/>
      <c r="U945" s="43" t="str">
        <f t="shared" si="8"/>
        <v>No</v>
      </c>
      <c r="V945" s="25"/>
      <c r="W945" s="25"/>
      <c r="X945" s="25"/>
      <c r="Y945" s="25"/>
      <c r="Z945" s="25"/>
    </row>
    <row r="946" spans="1:26" ht="15.75" customHeight="1" x14ac:dyDescent="0.25">
      <c r="A946" s="25">
        <v>944</v>
      </c>
      <c r="B946" s="37" t="e">
        <f t="shared" ref="B946:D946" si="1905">VLOOKUP($A946,'[3]Gestión Pública'!$A$1:$O$251,B$1,0)</f>
        <v>#N/A</v>
      </c>
      <c r="C946" s="38" t="e">
        <f t="shared" si="1905"/>
        <v>#N/A</v>
      </c>
      <c r="D946" s="39" t="e">
        <f t="shared" si="1905"/>
        <v>#N/A</v>
      </c>
      <c r="E946" s="16" t="e">
        <f t="shared" si="1"/>
        <v>#N/A</v>
      </c>
      <c r="F946" s="16" t="e">
        <f t="shared" ref="F946:K946" si="1906">VLOOKUP($A946,'[3]Gestión Pública'!$A$1:$O$251,F$1,0)</f>
        <v>#N/A</v>
      </c>
      <c r="G946" s="39" t="e">
        <f t="shared" si="1906"/>
        <v>#N/A</v>
      </c>
      <c r="H946" s="16" t="e">
        <f t="shared" si="1906"/>
        <v>#N/A</v>
      </c>
      <c r="I946" s="16" t="e">
        <f t="shared" si="1906"/>
        <v>#N/A</v>
      </c>
      <c r="J946" s="40" t="e">
        <f t="shared" si="1906"/>
        <v>#N/A</v>
      </c>
      <c r="K946" s="16" t="e">
        <f t="shared" si="1906"/>
        <v>#N/A</v>
      </c>
      <c r="L946" s="40" t="e">
        <f t="shared" si="1817"/>
        <v>#N/A</v>
      </c>
      <c r="M946" s="16" t="e">
        <f t="shared" si="1818"/>
        <v>#N/A</v>
      </c>
      <c r="N946" s="16" t="e">
        <f t="shared" si="1819"/>
        <v>#N/A</v>
      </c>
      <c r="O946" s="16" t="s">
        <v>67</v>
      </c>
      <c r="P946" s="16" t="str">
        <f t="shared" si="6"/>
        <v/>
      </c>
      <c r="Q946" s="41" t="e">
        <f t="shared" si="1820"/>
        <v>#N/A</v>
      </c>
      <c r="R946" s="44"/>
      <c r="S946" s="44"/>
      <c r="T946" s="43"/>
      <c r="U946" s="43" t="str">
        <f t="shared" si="8"/>
        <v>No</v>
      </c>
      <c r="V946" s="25"/>
      <c r="W946" s="25"/>
      <c r="X946" s="25"/>
      <c r="Y946" s="25"/>
      <c r="Z946" s="25"/>
    </row>
    <row r="947" spans="1:26" ht="15.75" customHeight="1" x14ac:dyDescent="0.25">
      <c r="A947" s="25">
        <v>945</v>
      </c>
      <c r="B947" s="37" t="e">
        <f t="shared" ref="B947:D947" si="1907">VLOOKUP($A947,'[3]Gestión Pública'!$A$1:$O$251,B$1,0)</f>
        <v>#N/A</v>
      </c>
      <c r="C947" s="38" t="e">
        <f t="shared" si="1907"/>
        <v>#N/A</v>
      </c>
      <c r="D947" s="39" t="e">
        <f t="shared" si="1907"/>
        <v>#N/A</v>
      </c>
      <c r="E947" s="16" t="e">
        <f t="shared" si="1"/>
        <v>#N/A</v>
      </c>
      <c r="F947" s="16" t="e">
        <f t="shared" ref="F947:K947" si="1908">VLOOKUP($A947,'[3]Gestión Pública'!$A$1:$O$251,F$1,0)</f>
        <v>#N/A</v>
      </c>
      <c r="G947" s="39" t="e">
        <f t="shared" si="1908"/>
        <v>#N/A</v>
      </c>
      <c r="H947" s="16" t="e">
        <f t="shared" si="1908"/>
        <v>#N/A</v>
      </c>
      <c r="I947" s="16" t="e">
        <f t="shared" si="1908"/>
        <v>#N/A</v>
      </c>
      <c r="J947" s="40" t="e">
        <f t="shared" si="1908"/>
        <v>#N/A</v>
      </c>
      <c r="K947" s="16" t="e">
        <f t="shared" si="1908"/>
        <v>#N/A</v>
      </c>
      <c r="L947" s="40" t="e">
        <f t="shared" si="1817"/>
        <v>#N/A</v>
      </c>
      <c r="M947" s="16" t="e">
        <f t="shared" si="1818"/>
        <v>#N/A</v>
      </c>
      <c r="N947" s="16" t="e">
        <f t="shared" si="1819"/>
        <v>#N/A</v>
      </c>
      <c r="O947" s="16" t="s">
        <v>67</v>
      </c>
      <c r="P947" s="16" t="str">
        <f t="shared" si="6"/>
        <v/>
      </c>
      <c r="Q947" s="41" t="e">
        <f t="shared" si="1820"/>
        <v>#N/A</v>
      </c>
      <c r="R947" s="44"/>
      <c r="S947" s="44"/>
      <c r="T947" s="43"/>
      <c r="U947" s="43" t="str">
        <f t="shared" si="8"/>
        <v>No</v>
      </c>
      <c r="V947" s="25"/>
      <c r="W947" s="25"/>
      <c r="X947" s="25"/>
      <c r="Y947" s="25"/>
      <c r="Z947" s="25"/>
    </row>
    <row r="948" spans="1:26" ht="15.75" customHeight="1" x14ac:dyDescent="0.25">
      <c r="A948" s="25">
        <v>946</v>
      </c>
      <c r="B948" s="37" t="e">
        <f t="shared" ref="B948:D948" si="1909">VLOOKUP($A948,'[3]Gestión Pública'!$A$1:$O$251,B$1,0)</f>
        <v>#N/A</v>
      </c>
      <c r="C948" s="38" t="e">
        <f t="shared" si="1909"/>
        <v>#N/A</v>
      </c>
      <c r="D948" s="39" t="e">
        <f t="shared" si="1909"/>
        <v>#N/A</v>
      </c>
      <c r="E948" s="16" t="e">
        <f t="shared" si="1"/>
        <v>#N/A</v>
      </c>
      <c r="F948" s="16" t="e">
        <f t="shared" ref="F948:K948" si="1910">VLOOKUP($A948,'[3]Gestión Pública'!$A$1:$O$251,F$1,0)</f>
        <v>#N/A</v>
      </c>
      <c r="G948" s="39" t="e">
        <f t="shared" si="1910"/>
        <v>#N/A</v>
      </c>
      <c r="H948" s="16" t="e">
        <f t="shared" si="1910"/>
        <v>#N/A</v>
      </c>
      <c r="I948" s="16" t="e">
        <f t="shared" si="1910"/>
        <v>#N/A</v>
      </c>
      <c r="J948" s="40" t="e">
        <f t="shared" si="1910"/>
        <v>#N/A</v>
      </c>
      <c r="K948" s="16" t="e">
        <f t="shared" si="1910"/>
        <v>#N/A</v>
      </c>
      <c r="L948" s="40" t="e">
        <f t="shared" si="1817"/>
        <v>#N/A</v>
      </c>
      <c r="M948" s="16" t="e">
        <f t="shared" si="1818"/>
        <v>#N/A</v>
      </c>
      <c r="N948" s="16" t="e">
        <f t="shared" si="1819"/>
        <v>#N/A</v>
      </c>
      <c r="O948" s="16" t="s">
        <v>67</v>
      </c>
      <c r="P948" s="16" t="str">
        <f t="shared" si="6"/>
        <v/>
      </c>
      <c r="Q948" s="41" t="e">
        <f t="shared" si="1820"/>
        <v>#N/A</v>
      </c>
      <c r="R948" s="44"/>
      <c r="S948" s="44"/>
      <c r="T948" s="43"/>
      <c r="U948" s="43" t="str">
        <f t="shared" si="8"/>
        <v>No</v>
      </c>
      <c r="V948" s="25"/>
      <c r="W948" s="25"/>
      <c r="X948" s="25"/>
      <c r="Y948" s="25"/>
      <c r="Z948" s="25"/>
    </row>
    <row r="949" spans="1:26" ht="15.75" customHeight="1" x14ac:dyDescent="0.25">
      <c r="A949" s="25">
        <v>947</v>
      </c>
      <c r="B949" s="37" t="e">
        <f t="shared" ref="B949:D949" si="1911">VLOOKUP($A949,'[3]Gestión Pública'!$A$1:$O$251,B$1,0)</f>
        <v>#N/A</v>
      </c>
      <c r="C949" s="38" t="e">
        <f t="shared" si="1911"/>
        <v>#N/A</v>
      </c>
      <c r="D949" s="39" t="e">
        <f t="shared" si="1911"/>
        <v>#N/A</v>
      </c>
      <c r="E949" s="16" t="e">
        <f t="shared" si="1"/>
        <v>#N/A</v>
      </c>
      <c r="F949" s="16" t="e">
        <f t="shared" ref="F949:K949" si="1912">VLOOKUP($A949,'[3]Gestión Pública'!$A$1:$O$251,F$1,0)</f>
        <v>#N/A</v>
      </c>
      <c r="G949" s="39" t="e">
        <f t="shared" si="1912"/>
        <v>#N/A</v>
      </c>
      <c r="H949" s="16" t="e">
        <f t="shared" si="1912"/>
        <v>#N/A</v>
      </c>
      <c r="I949" s="16" t="e">
        <f t="shared" si="1912"/>
        <v>#N/A</v>
      </c>
      <c r="J949" s="40" t="e">
        <f t="shared" si="1912"/>
        <v>#N/A</v>
      </c>
      <c r="K949" s="16" t="e">
        <f t="shared" si="1912"/>
        <v>#N/A</v>
      </c>
      <c r="L949" s="40" t="e">
        <f t="shared" si="1817"/>
        <v>#N/A</v>
      </c>
      <c r="M949" s="16" t="e">
        <f t="shared" si="1818"/>
        <v>#N/A</v>
      </c>
      <c r="N949" s="16" t="e">
        <f t="shared" si="1819"/>
        <v>#N/A</v>
      </c>
      <c r="O949" s="16" t="s">
        <v>67</v>
      </c>
      <c r="P949" s="16" t="str">
        <f t="shared" si="6"/>
        <v/>
      </c>
      <c r="Q949" s="41" t="e">
        <f t="shared" si="1820"/>
        <v>#N/A</v>
      </c>
      <c r="R949" s="44"/>
      <c r="S949" s="44"/>
      <c r="T949" s="43"/>
      <c r="U949" s="43" t="str">
        <f t="shared" si="8"/>
        <v>No</v>
      </c>
      <c r="V949" s="25"/>
      <c r="W949" s="25"/>
      <c r="X949" s="25"/>
      <c r="Y949" s="25"/>
      <c r="Z949" s="25"/>
    </row>
    <row r="950" spans="1:26" ht="15.75" customHeight="1" x14ac:dyDescent="0.25">
      <c r="A950" s="25">
        <v>948</v>
      </c>
      <c r="B950" s="37" t="e">
        <f t="shared" ref="B950:D950" si="1913">VLOOKUP($A950,'[3]Gestión Pública'!$A$1:$O$251,B$1,0)</f>
        <v>#N/A</v>
      </c>
      <c r="C950" s="38" t="e">
        <f t="shared" si="1913"/>
        <v>#N/A</v>
      </c>
      <c r="D950" s="39" t="e">
        <f t="shared" si="1913"/>
        <v>#N/A</v>
      </c>
      <c r="E950" s="16" t="e">
        <f t="shared" si="1"/>
        <v>#N/A</v>
      </c>
      <c r="F950" s="16" t="e">
        <f t="shared" ref="F950:K950" si="1914">VLOOKUP($A950,'[3]Gestión Pública'!$A$1:$O$251,F$1,0)</f>
        <v>#N/A</v>
      </c>
      <c r="G950" s="39" t="e">
        <f t="shared" si="1914"/>
        <v>#N/A</v>
      </c>
      <c r="H950" s="16" t="e">
        <f t="shared" si="1914"/>
        <v>#N/A</v>
      </c>
      <c r="I950" s="16" t="e">
        <f t="shared" si="1914"/>
        <v>#N/A</v>
      </c>
      <c r="J950" s="40" t="e">
        <f t="shared" si="1914"/>
        <v>#N/A</v>
      </c>
      <c r="K950" s="16" t="e">
        <f t="shared" si="1914"/>
        <v>#N/A</v>
      </c>
      <c r="L950" s="40" t="e">
        <f t="shared" si="1817"/>
        <v>#N/A</v>
      </c>
      <c r="M950" s="16" t="e">
        <f t="shared" si="1818"/>
        <v>#N/A</v>
      </c>
      <c r="N950" s="16" t="e">
        <f t="shared" si="1819"/>
        <v>#N/A</v>
      </c>
      <c r="O950" s="16" t="s">
        <v>67</v>
      </c>
      <c r="P950" s="16" t="str">
        <f t="shared" si="6"/>
        <v/>
      </c>
      <c r="Q950" s="41" t="e">
        <f t="shared" si="1820"/>
        <v>#N/A</v>
      </c>
      <c r="R950" s="44"/>
      <c r="S950" s="44"/>
      <c r="T950" s="43"/>
      <c r="U950" s="43" t="str">
        <f t="shared" si="8"/>
        <v>No</v>
      </c>
      <c r="V950" s="25"/>
      <c r="W950" s="25"/>
      <c r="X950" s="25"/>
      <c r="Y950" s="25"/>
      <c r="Z950" s="25"/>
    </row>
    <row r="951" spans="1:26" ht="15.75" customHeight="1" x14ac:dyDescent="0.25">
      <c r="A951" s="25">
        <v>949</v>
      </c>
      <c r="B951" s="37" t="e">
        <f t="shared" ref="B951:D951" si="1915">VLOOKUP($A951,'[3]Gestión Pública'!$A$1:$O$251,B$1,0)</f>
        <v>#N/A</v>
      </c>
      <c r="C951" s="38" t="e">
        <f t="shared" si="1915"/>
        <v>#N/A</v>
      </c>
      <c r="D951" s="39" t="e">
        <f t="shared" si="1915"/>
        <v>#N/A</v>
      </c>
      <c r="E951" s="16" t="e">
        <f t="shared" si="1"/>
        <v>#N/A</v>
      </c>
      <c r="F951" s="16" t="e">
        <f t="shared" ref="F951:K951" si="1916">VLOOKUP($A951,'[3]Gestión Pública'!$A$1:$O$251,F$1,0)</f>
        <v>#N/A</v>
      </c>
      <c r="G951" s="39" t="e">
        <f t="shared" si="1916"/>
        <v>#N/A</v>
      </c>
      <c r="H951" s="16" t="e">
        <f t="shared" si="1916"/>
        <v>#N/A</v>
      </c>
      <c r="I951" s="16" t="e">
        <f t="shared" si="1916"/>
        <v>#N/A</v>
      </c>
      <c r="J951" s="40" t="e">
        <f t="shared" si="1916"/>
        <v>#N/A</v>
      </c>
      <c r="K951" s="16" t="e">
        <f t="shared" si="1916"/>
        <v>#N/A</v>
      </c>
      <c r="L951" s="40" t="e">
        <f t="shared" si="1817"/>
        <v>#N/A</v>
      </c>
      <c r="M951" s="16" t="e">
        <f t="shared" si="1818"/>
        <v>#N/A</v>
      </c>
      <c r="N951" s="16" t="e">
        <f t="shared" si="1819"/>
        <v>#N/A</v>
      </c>
      <c r="O951" s="16" t="s">
        <v>67</v>
      </c>
      <c r="P951" s="16" t="str">
        <f t="shared" si="6"/>
        <v/>
      </c>
      <c r="Q951" s="41" t="e">
        <f t="shared" si="1820"/>
        <v>#N/A</v>
      </c>
      <c r="R951" s="44"/>
      <c r="S951" s="44"/>
      <c r="T951" s="43"/>
      <c r="U951" s="43" t="str">
        <f t="shared" si="8"/>
        <v>No</v>
      </c>
      <c r="V951" s="25"/>
      <c r="W951" s="25"/>
      <c r="X951" s="25"/>
      <c r="Y951" s="25"/>
      <c r="Z951" s="25"/>
    </row>
    <row r="952" spans="1:26" ht="15.75" customHeight="1" x14ac:dyDescent="0.25">
      <c r="A952" s="25">
        <v>950</v>
      </c>
      <c r="B952" s="37" t="e">
        <f t="shared" ref="B952:D952" si="1917">VLOOKUP($A952,'[3]Gestión Pública'!$A$1:$O$251,B$1,0)</f>
        <v>#N/A</v>
      </c>
      <c r="C952" s="38" t="e">
        <f t="shared" si="1917"/>
        <v>#N/A</v>
      </c>
      <c r="D952" s="39" t="e">
        <f t="shared" si="1917"/>
        <v>#N/A</v>
      </c>
      <c r="E952" s="16" t="e">
        <f t="shared" si="1"/>
        <v>#N/A</v>
      </c>
      <c r="F952" s="16" t="e">
        <f t="shared" ref="F952:K952" si="1918">VLOOKUP($A952,'[3]Gestión Pública'!$A$1:$O$251,F$1,0)</f>
        <v>#N/A</v>
      </c>
      <c r="G952" s="39" t="e">
        <f t="shared" si="1918"/>
        <v>#N/A</v>
      </c>
      <c r="H952" s="16" t="e">
        <f t="shared" si="1918"/>
        <v>#N/A</v>
      </c>
      <c r="I952" s="16" t="e">
        <f t="shared" si="1918"/>
        <v>#N/A</v>
      </c>
      <c r="J952" s="40" t="e">
        <f t="shared" si="1918"/>
        <v>#N/A</v>
      </c>
      <c r="K952" s="16" t="e">
        <f t="shared" si="1918"/>
        <v>#N/A</v>
      </c>
      <c r="L952" s="40" t="e">
        <f t="shared" si="1817"/>
        <v>#N/A</v>
      </c>
      <c r="M952" s="16" t="e">
        <f t="shared" si="1818"/>
        <v>#N/A</v>
      </c>
      <c r="N952" s="16" t="e">
        <f t="shared" si="1819"/>
        <v>#N/A</v>
      </c>
      <c r="O952" s="16" t="s">
        <v>67</v>
      </c>
      <c r="P952" s="16" t="str">
        <f t="shared" si="6"/>
        <v/>
      </c>
      <c r="Q952" s="41" t="e">
        <f t="shared" si="1820"/>
        <v>#N/A</v>
      </c>
      <c r="R952" s="44"/>
      <c r="S952" s="44"/>
      <c r="T952" s="43"/>
      <c r="U952" s="43" t="str">
        <f t="shared" si="8"/>
        <v>No</v>
      </c>
      <c r="V952" s="25"/>
      <c r="W952" s="25"/>
      <c r="X952" s="25"/>
      <c r="Y952" s="25"/>
      <c r="Z952" s="25"/>
    </row>
    <row r="953" spans="1:26" ht="15.75" customHeight="1" x14ac:dyDescent="0.25">
      <c r="A953" s="25">
        <v>951</v>
      </c>
      <c r="B953" s="37" t="e">
        <f t="shared" ref="B953:D953" si="1919">VLOOKUP($A953,'[3]Gestión Pública'!$A$1:$O$251,B$1,0)</f>
        <v>#N/A</v>
      </c>
      <c r="C953" s="38" t="e">
        <f t="shared" si="1919"/>
        <v>#N/A</v>
      </c>
      <c r="D953" s="39" t="e">
        <f t="shared" si="1919"/>
        <v>#N/A</v>
      </c>
      <c r="E953" s="16" t="e">
        <f t="shared" si="1"/>
        <v>#N/A</v>
      </c>
      <c r="F953" s="16" t="e">
        <f t="shared" ref="F953:K953" si="1920">VLOOKUP($A953,'[3]Gestión Pública'!$A$1:$O$251,F$1,0)</f>
        <v>#N/A</v>
      </c>
      <c r="G953" s="39" t="e">
        <f t="shared" si="1920"/>
        <v>#N/A</v>
      </c>
      <c r="H953" s="16" t="e">
        <f t="shared" si="1920"/>
        <v>#N/A</v>
      </c>
      <c r="I953" s="16" t="e">
        <f t="shared" si="1920"/>
        <v>#N/A</v>
      </c>
      <c r="J953" s="40" t="e">
        <f t="shared" si="1920"/>
        <v>#N/A</v>
      </c>
      <c r="K953" s="16" t="e">
        <f t="shared" si="1920"/>
        <v>#N/A</v>
      </c>
      <c r="L953" s="40" t="e">
        <f t="shared" si="1817"/>
        <v>#N/A</v>
      </c>
      <c r="M953" s="16" t="e">
        <f t="shared" si="1818"/>
        <v>#N/A</v>
      </c>
      <c r="N953" s="16" t="e">
        <f t="shared" si="1819"/>
        <v>#N/A</v>
      </c>
      <c r="O953" s="16" t="s">
        <v>67</v>
      </c>
      <c r="P953" s="16" t="str">
        <f t="shared" si="6"/>
        <v/>
      </c>
      <c r="Q953" s="41" t="e">
        <f t="shared" si="1820"/>
        <v>#N/A</v>
      </c>
      <c r="R953" s="44"/>
      <c r="S953" s="44"/>
      <c r="T953" s="43"/>
      <c r="U953" s="43" t="str">
        <f t="shared" si="8"/>
        <v>No</v>
      </c>
      <c r="V953" s="25"/>
      <c r="W953" s="25"/>
      <c r="X953" s="25"/>
      <c r="Y953" s="25"/>
      <c r="Z953" s="25"/>
    </row>
    <row r="954" spans="1:26" ht="15.75" customHeight="1" x14ac:dyDescent="0.25">
      <c r="A954" s="25">
        <v>952</v>
      </c>
      <c r="B954" s="37" t="e">
        <f t="shared" ref="B954:D954" si="1921">VLOOKUP($A954,'[3]Gestión Pública'!$A$1:$O$251,B$1,0)</f>
        <v>#N/A</v>
      </c>
      <c r="C954" s="38" t="e">
        <f t="shared" si="1921"/>
        <v>#N/A</v>
      </c>
      <c r="D954" s="39" t="e">
        <f t="shared" si="1921"/>
        <v>#N/A</v>
      </c>
      <c r="E954" s="16" t="e">
        <f t="shared" si="1"/>
        <v>#N/A</v>
      </c>
      <c r="F954" s="16" t="e">
        <f t="shared" ref="F954:K954" si="1922">VLOOKUP($A954,'[3]Gestión Pública'!$A$1:$O$251,F$1,0)</f>
        <v>#N/A</v>
      </c>
      <c r="G954" s="39" t="e">
        <f t="shared" si="1922"/>
        <v>#N/A</v>
      </c>
      <c r="H954" s="16" t="e">
        <f t="shared" si="1922"/>
        <v>#N/A</v>
      </c>
      <c r="I954" s="16" t="e">
        <f t="shared" si="1922"/>
        <v>#N/A</v>
      </c>
      <c r="J954" s="40" t="e">
        <f t="shared" si="1922"/>
        <v>#N/A</v>
      </c>
      <c r="K954" s="16" t="e">
        <f t="shared" si="1922"/>
        <v>#N/A</v>
      </c>
      <c r="L954" s="40" t="e">
        <f t="shared" si="1817"/>
        <v>#N/A</v>
      </c>
      <c r="M954" s="16" t="e">
        <f t="shared" si="1818"/>
        <v>#N/A</v>
      </c>
      <c r="N954" s="16" t="e">
        <f t="shared" si="1819"/>
        <v>#N/A</v>
      </c>
      <c r="O954" s="16" t="s">
        <v>67</v>
      </c>
      <c r="P954" s="16" t="str">
        <f t="shared" si="6"/>
        <v/>
      </c>
      <c r="Q954" s="41" t="e">
        <f t="shared" si="1820"/>
        <v>#N/A</v>
      </c>
      <c r="R954" s="44"/>
      <c r="S954" s="44"/>
      <c r="T954" s="43"/>
      <c r="U954" s="43" t="str">
        <f t="shared" si="8"/>
        <v>No</v>
      </c>
      <c r="V954" s="25"/>
      <c r="W954" s="25"/>
      <c r="X954" s="25"/>
      <c r="Y954" s="25"/>
      <c r="Z954" s="25"/>
    </row>
    <row r="955" spans="1:26" ht="15.75" customHeight="1" x14ac:dyDescent="0.25">
      <c r="A955" s="25">
        <v>953</v>
      </c>
      <c r="B955" s="37" t="e">
        <f t="shared" ref="B955:D955" si="1923">VLOOKUP($A955,'[3]Gestión Pública'!$A$1:$O$251,B$1,0)</f>
        <v>#N/A</v>
      </c>
      <c r="C955" s="38" t="e">
        <f t="shared" si="1923"/>
        <v>#N/A</v>
      </c>
      <c r="D955" s="39" t="e">
        <f t="shared" si="1923"/>
        <v>#N/A</v>
      </c>
      <c r="E955" s="16" t="e">
        <f t="shared" si="1"/>
        <v>#N/A</v>
      </c>
      <c r="F955" s="16" t="e">
        <f t="shared" ref="F955:K955" si="1924">VLOOKUP($A955,'[3]Gestión Pública'!$A$1:$O$251,F$1,0)</f>
        <v>#N/A</v>
      </c>
      <c r="G955" s="39" t="e">
        <f t="shared" si="1924"/>
        <v>#N/A</v>
      </c>
      <c r="H955" s="16" t="e">
        <f t="shared" si="1924"/>
        <v>#N/A</v>
      </c>
      <c r="I955" s="16" t="e">
        <f t="shared" si="1924"/>
        <v>#N/A</v>
      </c>
      <c r="J955" s="40" t="e">
        <f t="shared" si="1924"/>
        <v>#N/A</v>
      </c>
      <c r="K955" s="16" t="e">
        <f t="shared" si="1924"/>
        <v>#N/A</v>
      </c>
      <c r="L955" s="40" t="e">
        <f t="shared" si="1817"/>
        <v>#N/A</v>
      </c>
      <c r="M955" s="16" t="e">
        <f t="shared" si="1818"/>
        <v>#N/A</v>
      </c>
      <c r="N955" s="16" t="e">
        <f t="shared" si="1819"/>
        <v>#N/A</v>
      </c>
      <c r="O955" s="16" t="s">
        <v>67</v>
      </c>
      <c r="P955" s="16" t="str">
        <f t="shared" si="6"/>
        <v/>
      </c>
      <c r="Q955" s="41" t="e">
        <f t="shared" si="1820"/>
        <v>#N/A</v>
      </c>
      <c r="R955" s="44"/>
      <c r="S955" s="44"/>
      <c r="T955" s="43"/>
      <c r="U955" s="43" t="str">
        <f t="shared" si="8"/>
        <v>No</v>
      </c>
      <c r="V955" s="25"/>
      <c r="W955" s="25"/>
      <c r="X955" s="25"/>
      <c r="Y955" s="25"/>
      <c r="Z955" s="25"/>
    </row>
    <row r="956" spans="1:26" ht="15.75" customHeight="1" x14ac:dyDescent="0.25">
      <c r="A956" s="25">
        <v>954</v>
      </c>
      <c r="B956" s="37" t="e">
        <f t="shared" ref="B956:D956" si="1925">VLOOKUP($A956,'[3]Gestión Pública'!$A$1:$O$251,B$1,0)</f>
        <v>#N/A</v>
      </c>
      <c r="C956" s="38" t="e">
        <f t="shared" si="1925"/>
        <v>#N/A</v>
      </c>
      <c r="D956" s="39" t="e">
        <f t="shared" si="1925"/>
        <v>#N/A</v>
      </c>
      <c r="E956" s="16" t="e">
        <f t="shared" si="1"/>
        <v>#N/A</v>
      </c>
      <c r="F956" s="16" t="e">
        <f t="shared" ref="F956:K956" si="1926">VLOOKUP($A956,'[3]Gestión Pública'!$A$1:$O$251,F$1,0)</f>
        <v>#N/A</v>
      </c>
      <c r="G956" s="39" t="e">
        <f t="shared" si="1926"/>
        <v>#N/A</v>
      </c>
      <c r="H956" s="16" t="e">
        <f t="shared" si="1926"/>
        <v>#N/A</v>
      </c>
      <c r="I956" s="16" t="e">
        <f t="shared" si="1926"/>
        <v>#N/A</v>
      </c>
      <c r="J956" s="40" t="e">
        <f t="shared" si="1926"/>
        <v>#N/A</v>
      </c>
      <c r="K956" s="16" t="e">
        <f t="shared" si="1926"/>
        <v>#N/A</v>
      </c>
      <c r="L956" s="40" t="e">
        <f t="shared" si="1817"/>
        <v>#N/A</v>
      </c>
      <c r="M956" s="16" t="e">
        <f t="shared" si="1818"/>
        <v>#N/A</v>
      </c>
      <c r="N956" s="16" t="e">
        <f t="shared" si="1819"/>
        <v>#N/A</v>
      </c>
      <c r="O956" s="16" t="s">
        <v>67</v>
      </c>
      <c r="P956" s="16" t="str">
        <f t="shared" si="6"/>
        <v/>
      </c>
      <c r="Q956" s="41" t="e">
        <f t="shared" si="1820"/>
        <v>#N/A</v>
      </c>
      <c r="R956" s="44"/>
      <c r="S956" s="44"/>
      <c r="T956" s="43"/>
      <c r="U956" s="43" t="str">
        <f t="shared" si="8"/>
        <v>No</v>
      </c>
      <c r="V956" s="25"/>
      <c r="W956" s="25"/>
      <c r="X956" s="25"/>
      <c r="Y956" s="25"/>
      <c r="Z956" s="25"/>
    </row>
    <row r="957" spans="1:26" ht="15.75" customHeight="1" x14ac:dyDescent="0.25">
      <c r="A957" s="25">
        <v>955</v>
      </c>
      <c r="B957" s="37" t="e">
        <f t="shared" ref="B957:D957" si="1927">VLOOKUP($A957,'[3]Gestión Pública'!$A$1:$O$251,B$1,0)</f>
        <v>#N/A</v>
      </c>
      <c r="C957" s="38" t="e">
        <f t="shared" si="1927"/>
        <v>#N/A</v>
      </c>
      <c r="D957" s="39" t="e">
        <f t="shared" si="1927"/>
        <v>#N/A</v>
      </c>
      <c r="E957" s="16" t="e">
        <f t="shared" si="1"/>
        <v>#N/A</v>
      </c>
      <c r="F957" s="16" t="e">
        <f t="shared" ref="F957:K957" si="1928">VLOOKUP($A957,'[3]Gestión Pública'!$A$1:$O$251,F$1,0)</f>
        <v>#N/A</v>
      </c>
      <c r="G957" s="39" t="e">
        <f t="shared" si="1928"/>
        <v>#N/A</v>
      </c>
      <c r="H957" s="16" t="e">
        <f t="shared" si="1928"/>
        <v>#N/A</v>
      </c>
      <c r="I957" s="16" t="e">
        <f t="shared" si="1928"/>
        <v>#N/A</v>
      </c>
      <c r="J957" s="40" t="e">
        <f t="shared" si="1928"/>
        <v>#N/A</v>
      </c>
      <c r="K957" s="16" t="e">
        <f t="shared" si="1928"/>
        <v>#N/A</v>
      </c>
      <c r="L957" s="40" t="e">
        <f t="shared" si="1817"/>
        <v>#N/A</v>
      </c>
      <c r="M957" s="16" t="e">
        <f t="shared" si="1818"/>
        <v>#N/A</v>
      </c>
      <c r="N957" s="16" t="e">
        <f t="shared" si="1819"/>
        <v>#N/A</v>
      </c>
      <c r="O957" s="16" t="s">
        <v>67</v>
      </c>
      <c r="P957" s="16" t="str">
        <f t="shared" si="6"/>
        <v/>
      </c>
      <c r="Q957" s="41" t="e">
        <f t="shared" si="1820"/>
        <v>#N/A</v>
      </c>
      <c r="R957" s="44"/>
      <c r="S957" s="44"/>
      <c r="T957" s="43"/>
      <c r="U957" s="43" t="str">
        <f t="shared" si="8"/>
        <v>No</v>
      </c>
      <c r="V957" s="25"/>
      <c r="W957" s="25"/>
      <c r="X957" s="25"/>
      <c r="Y957" s="25"/>
      <c r="Z957" s="25"/>
    </row>
    <row r="958" spans="1:26" ht="15.75" customHeight="1" x14ac:dyDescent="0.25">
      <c r="A958" s="25">
        <v>956</v>
      </c>
      <c r="B958" s="37" t="e">
        <f t="shared" ref="B958:D958" si="1929">VLOOKUP($A958,'[3]Gestión Pública'!$A$1:$O$251,B$1,0)</f>
        <v>#N/A</v>
      </c>
      <c r="C958" s="38" t="e">
        <f t="shared" si="1929"/>
        <v>#N/A</v>
      </c>
      <c r="D958" s="39" t="e">
        <f t="shared" si="1929"/>
        <v>#N/A</v>
      </c>
      <c r="E958" s="16" t="e">
        <f t="shared" si="1"/>
        <v>#N/A</v>
      </c>
      <c r="F958" s="16" t="e">
        <f t="shared" ref="F958:K958" si="1930">VLOOKUP($A958,'[3]Gestión Pública'!$A$1:$O$251,F$1,0)</f>
        <v>#N/A</v>
      </c>
      <c r="G958" s="39" t="e">
        <f t="shared" si="1930"/>
        <v>#N/A</v>
      </c>
      <c r="H958" s="16" t="e">
        <f t="shared" si="1930"/>
        <v>#N/A</v>
      </c>
      <c r="I958" s="16" t="e">
        <f t="shared" si="1930"/>
        <v>#N/A</v>
      </c>
      <c r="J958" s="40" t="e">
        <f t="shared" si="1930"/>
        <v>#N/A</v>
      </c>
      <c r="K958" s="16" t="e">
        <f t="shared" si="1930"/>
        <v>#N/A</v>
      </c>
      <c r="L958" s="40" t="e">
        <f t="shared" si="1817"/>
        <v>#N/A</v>
      </c>
      <c r="M958" s="16" t="e">
        <f t="shared" si="1818"/>
        <v>#N/A</v>
      </c>
      <c r="N958" s="16" t="e">
        <f t="shared" si="1819"/>
        <v>#N/A</v>
      </c>
      <c r="O958" s="16" t="s">
        <v>67</v>
      </c>
      <c r="P958" s="16" t="str">
        <f t="shared" si="6"/>
        <v/>
      </c>
      <c r="Q958" s="41" t="e">
        <f t="shared" si="1820"/>
        <v>#N/A</v>
      </c>
      <c r="R958" s="44"/>
      <c r="S958" s="44"/>
      <c r="T958" s="43"/>
      <c r="U958" s="43" t="str">
        <f t="shared" si="8"/>
        <v>No</v>
      </c>
      <c r="V958" s="25"/>
      <c r="W958" s="25"/>
      <c r="X958" s="25"/>
      <c r="Y958" s="25"/>
      <c r="Z958" s="25"/>
    </row>
    <row r="959" spans="1:26" ht="15.75" customHeight="1" x14ac:dyDescent="0.25">
      <c r="A959" s="25">
        <v>957</v>
      </c>
      <c r="B959" s="37" t="e">
        <f t="shared" ref="B959:D959" si="1931">VLOOKUP($A959,'[3]Gestión Pública'!$A$1:$O$251,B$1,0)</f>
        <v>#N/A</v>
      </c>
      <c r="C959" s="38" t="e">
        <f t="shared" si="1931"/>
        <v>#N/A</v>
      </c>
      <c r="D959" s="39" t="e">
        <f t="shared" si="1931"/>
        <v>#N/A</v>
      </c>
      <c r="E959" s="16" t="e">
        <f t="shared" si="1"/>
        <v>#N/A</v>
      </c>
      <c r="F959" s="16" t="e">
        <f t="shared" ref="F959:K959" si="1932">VLOOKUP($A959,'[3]Gestión Pública'!$A$1:$O$251,F$1,0)</f>
        <v>#N/A</v>
      </c>
      <c r="G959" s="39" t="e">
        <f t="shared" si="1932"/>
        <v>#N/A</v>
      </c>
      <c r="H959" s="16" t="e">
        <f t="shared" si="1932"/>
        <v>#N/A</v>
      </c>
      <c r="I959" s="16" t="e">
        <f t="shared" si="1932"/>
        <v>#N/A</v>
      </c>
      <c r="J959" s="40" t="e">
        <f t="shared" si="1932"/>
        <v>#N/A</v>
      </c>
      <c r="K959" s="16" t="e">
        <f t="shared" si="1932"/>
        <v>#N/A</v>
      </c>
      <c r="L959" s="40" t="e">
        <f t="shared" si="1817"/>
        <v>#N/A</v>
      </c>
      <c r="M959" s="16" t="e">
        <f t="shared" si="1818"/>
        <v>#N/A</v>
      </c>
      <c r="N959" s="16" t="e">
        <f t="shared" si="1819"/>
        <v>#N/A</v>
      </c>
      <c r="O959" s="16" t="s">
        <v>67</v>
      </c>
      <c r="P959" s="16" t="str">
        <f t="shared" si="6"/>
        <v/>
      </c>
      <c r="Q959" s="41" t="e">
        <f t="shared" si="1820"/>
        <v>#N/A</v>
      </c>
      <c r="R959" s="44"/>
      <c r="S959" s="44"/>
      <c r="T959" s="43"/>
      <c r="U959" s="43" t="str">
        <f t="shared" si="8"/>
        <v>No</v>
      </c>
      <c r="V959" s="25"/>
      <c r="W959" s="25"/>
      <c r="X959" s="25"/>
      <c r="Y959" s="25"/>
      <c r="Z959" s="25"/>
    </row>
    <row r="960" spans="1:26" ht="15.75" customHeight="1" x14ac:dyDescent="0.25">
      <c r="A960" s="25">
        <v>958</v>
      </c>
      <c r="B960" s="37" t="e">
        <f t="shared" ref="B960:D960" si="1933">VLOOKUP($A960,'[3]Gestión Pública'!$A$1:$O$251,B$1,0)</f>
        <v>#N/A</v>
      </c>
      <c r="C960" s="38" t="e">
        <f t="shared" si="1933"/>
        <v>#N/A</v>
      </c>
      <c r="D960" s="39" t="e">
        <f t="shared" si="1933"/>
        <v>#N/A</v>
      </c>
      <c r="E960" s="16" t="e">
        <f t="shared" si="1"/>
        <v>#N/A</v>
      </c>
      <c r="F960" s="16" t="e">
        <f t="shared" ref="F960:K960" si="1934">VLOOKUP($A960,'[3]Gestión Pública'!$A$1:$O$251,F$1,0)</f>
        <v>#N/A</v>
      </c>
      <c r="G960" s="39" t="e">
        <f t="shared" si="1934"/>
        <v>#N/A</v>
      </c>
      <c r="H960" s="16" t="e">
        <f t="shared" si="1934"/>
        <v>#N/A</v>
      </c>
      <c r="I960" s="16" t="e">
        <f t="shared" si="1934"/>
        <v>#N/A</v>
      </c>
      <c r="J960" s="40" t="e">
        <f t="shared" si="1934"/>
        <v>#N/A</v>
      </c>
      <c r="K960" s="16" t="e">
        <f t="shared" si="1934"/>
        <v>#N/A</v>
      </c>
      <c r="L960" s="40" t="e">
        <f t="shared" si="1817"/>
        <v>#N/A</v>
      </c>
      <c r="M960" s="16" t="e">
        <f t="shared" si="1818"/>
        <v>#N/A</v>
      </c>
      <c r="N960" s="16" t="e">
        <f t="shared" si="1819"/>
        <v>#N/A</v>
      </c>
      <c r="O960" s="16" t="s">
        <v>67</v>
      </c>
      <c r="P960" s="16" t="str">
        <f t="shared" si="6"/>
        <v/>
      </c>
      <c r="Q960" s="41" t="e">
        <f t="shared" si="1820"/>
        <v>#N/A</v>
      </c>
      <c r="R960" s="44"/>
      <c r="S960" s="44"/>
      <c r="T960" s="43"/>
      <c r="U960" s="43" t="str">
        <f t="shared" si="8"/>
        <v>No</v>
      </c>
      <c r="V960" s="25"/>
      <c r="W960" s="25"/>
      <c r="X960" s="25"/>
      <c r="Y960" s="25"/>
      <c r="Z960" s="25"/>
    </row>
    <row r="961" spans="1:26" ht="15.75" customHeight="1" x14ac:dyDescent="0.25">
      <c r="A961" s="25">
        <v>959</v>
      </c>
      <c r="B961" s="37" t="e">
        <f t="shared" ref="B961:D961" si="1935">VLOOKUP($A961,'[3]Gestión Pública'!$A$1:$O$251,B$1,0)</f>
        <v>#N/A</v>
      </c>
      <c r="C961" s="38" t="e">
        <f t="shared" si="1935"/>
        <v>#N/A</v>
      </c>
      <c r="D961" s="39" t="e">
        <f t="shared" si="1935"/>
        <v>#N/A</v>
      </c>
      <c r="E961" s="16" t="e">
        <f t="shared" si="1"/>
        <v>#N/A</v>
      </c>
      <c r="F961" s="16" t="e">
        <f t="shared" ref="F961:K961" si="1936">VLOOKUP($A961,'[3]Gestión Pública'!$A$1:$O$251,F$1,0)</f>
        <v>#N/A</v>
      </c>
      <c r="G961" s="39" t="e">
        <f t="shared" si="1936"/>
        <v>#N/A</v>
      </c>
      <c r="H961" s="16" t="e">
        <f t="shared" si="1936"/>
        <v>#N/A</v>
      </c>
      <c r="I961" s="16" t="e">
        <f t="shared" si="1936"/>
        <v>#N/A</v>
      </c>
      <c r="J961" s="40" t="e">
        <f t="shared" si="1936"/>
        <v>#N/A</v>
      </c>
      <c r="K961" s="16" t="e">
        <f t="shared" si="1936"/>
        <v>#N/A</v>
      </c>
      <c r="L961" s="40" t="e">
        <f t="shared" si="1817"/>
        <v>#N/A</v>
      </c>
      <c r="M961" s="16" t="e">
        <f t="shared" si="1818"/>
        <v>#N/A</v>
      </c>
      <c r="N961" s="16" t="e">
        <f t="shared" si="1819"/>
        <v>#N/A</v>
      </c>
      <c r="O961" s="16" t="s">
        <v>67</v>
      </c>
      <c r="P961" s="16" t="str">
        <f t="shared" si="6"/>
        <v/>
      </c>
      <c r="Q961" s="41" t="e">
        <f t="shared" si="1820"/>
        <v>#N/A</v>
      </c>
      <c r="R961" s="44"/>
      <c r="S961" s="44"/>
      <c r="T961" s="43"/>
      <c r="U961" s="43" t="str">
        <f t="shared" si="8"/>
        <v>No</v>
      </c>
      <c r="V961" s="25"/>
      <c r="W961" s="25"/>
      <c r="X961" s="25"/>
      <c r="Y961" s="25"/>
      <c r="Z961" s="25"/>
    </row>
    <row r="962" spans="1:26" ht="15.75" customHeight="1" x14ac:dyDescent="0.25">
      <c r="A962" s="25">
        <v>960</v>
      </c>
      <c r="B962" s="37" t="e">
        <f t="shared" ref="B962:D962" si="1937">VLOOKUP($A962,'[3]Gestión Pública'!$A$1:$O$251,B$1,0)</f>
        <v>#N/A</v>
      </c>
      <c r="C962" s="38" t="e">
        <f t="shared" si="1937"/>
        <v>#N/A</v>
      </c>
      <c r="D962" s="39" t="e">
        <f t="shared" si="1937"/>
        <v>#N/A</v>
      </c>
      <c r="E962" s="16" t="e">
        <f t="shared" si="1"/>
        <v>#N/A</v>
      </c>
      <c r="F962" s="16" t="e">
        <f t="shared" ref="F962:K962" si="1938">VLOOKUP($A962,'[3]Gestión Pública'!$A$1:$O$251,F$1,0)</f>
        <v>#N/A</v>
      </c>
      <c r="G962" s="39" t="e">
        <f t="shared" si="1938"/>
        <v>#N/A</v>
      </c>
      <c r="H962" s="16" t="e">
        <f t="shared" si="1938"/>
        <v>#N/A</v>
      </c>
      <c r="I962" s="16" t="e">
        <f t="shared" si="1938"/>
        <v>#N/A</v>
      </c>
      <c r="J962" s="40" t="e">
        <f t="shared" si="1938"/>
        <v>#N/A</v>
      </c>
      <c r="K962" s="16" t="e">
        <f t="shared" si="1938"/>
        <v>#N/A</v>
      </c>
      <c r="L962" s="40" t="e">
        <f t="shared" si="1817"/>
        <v>#N/A</v>
      </c>
      <c r="M962" s="16" t="e">
        <f t="shared" si="1818"/>
        <v>#N/A</v>
      </c>
      <c r="N962" s="16" t="e">
        <f t="shared" si="1819"/>
        <v>#N/A</v>
      </c>
      <c r="O962" s="16" t="s">
        <v>67</v>
      </c>
      <c r="P962" s="16" t="str">
        <f t="shared" si="6"/>
        <v/>
      </c>
      <c r="Q962" s="41" t="e">
        <f t="shared" si="1820"/>
        <v>#N/A</v>
      </c>
      <c r="R962" s="44"/>
      <c r="S962" s="44"/>
      <c r="T962" s="43"/>
      <c r="U962" s="43" t="str">
        <f t="shared" si="8"/>
        <v>No</v>
      </c>
      <c r="V962" s="25"/>
      <c r="W962" s="25"/>
      <c r="X962" s="25"/>
      <c r="Y962" s="25"/>
      <c r="Z962" s="25"/>
    </row>
    <row r="963" spans="1:26" ht="15.75" customHeight="1" x14ac:dyDescent="0.25">
      <c r="A963" s="25">
        <v>961</v>
      </c>
      <c r="B963" s="37" t="e">
        <f t="shared" ref="B963:D963" si="1939">VLOOKUP($A963,'[3]Gestión Pública'!$A$1:$O$251,B$1,0)</f>
        <v>#N/A</v>
      </c>
      <c r="C963" s="38" t="e">
        <f t="shared" si="1939"/>
        <v>#N/A</v>
      </c>
      <c r="D963" s="39" t="e">
        <f t="shared" si="1939"/>
        <v>#N/A</v>
      </c>
      <c r="E963" s="16" t="e">
        <f t="shared" si="1"/>
        <v>#N/A</v>
      </c>
      <c r="F963" s="16" t="e">
        <f t="shared" ref="F963:K963" si="1940">VLOOKUP($A963,'[3]Gestión Pública'!$A$1:$O$251,F$1,0)</f>
        <v>#N/A</v>
      </c>
      <c r="G963" s="39" t="e">
        <f t="shared" si="1940"/>
        <v>#N/A</v>
      </c>
      <c r="H963" s="16" t="e">
        <f t="shared" si="1940"/>
        <v>#N/A</v>
      </c>
      <c r="I963" s="16" t="e">
        <f t="shared" si="1940"/>
        <v>#N/A</v>
      </c>
      <c r="J963" s="40" t="e">
        <f t="shared" si="1940"/>
        <v>#N/A</v>
      </c>
      <c r="K963" s="16" t="e">
        <f t="shared" si="1940"/>
        <v>#N/A</v>
      </c>
      <c r="L963" s="40" t="e">
        <f t="shared" si="1817"/>
        <v>#N/A</v>
      </c>
      <c r="M963" s="16" t="e">
        <f t="shared" si="1818"/>
        <v>#N/A</v>
      </c>
      <c r="N963" s="16" t="e">
        <f t="shared" si="1819"/>
        <v>#N/A</v>
      </c>
      <c r="O963" s="16" t="s">
        <v>67</v>
      </c>
      <c r="P963" s="16" t="str">
        <f t="shared" si="6"/>
        <v/>
      </c>
      <c r="Q963" s="41" t="e">
        <f t="shared" si="1820"/>
        <v>#N/A</v>
      </c>
      <c r="R963" s="44"/>
      <c r="S963" s="44"/>
      <c r="T963" s="43"/>
      <c r="U963" s="43" t="str">
        <f t="shared" si="8"/>
        <v>No</v>
      </c>
      <c r="V963" s="25"/>
      <c r="W963" s="25"/>
      <c r="X963" s="25"/>
      <c r="Y963" s="25"/>
      <c r="Z963" s="25"/>
    </row>
    <row r="964" spans="1:26" ht="15.75" customHeight="1" x14ac:dyDescent="0.25">
      <c r="A964" s="25">
        <v>962</v>
      </c>
      <c r="B964" s="37" t="e">
        <f t="shared" ref="B964:D964" si="1941">VLOOKUP($A964,'[3]Gestión Pública'!$A$1:$O$251,B$1,0)</f>
        <v>#N/A</v>
      </c>
      <c r="C964" s="38" t="e">
        <f t="shared" si="1941"/>
        <v>#N/A</v>
      </c>
      <c r="D964" s="39" t="e">
        <f t="shared" si="1941"/>
        <v>#N/A</v>
      </c>
      <c r="E964" s="16" t="e">
        <f t="shared" si="1"/>
        <v>#N/A</v>
      </c>
      <c r="F964" s="16" t="e">
        <f t="shared" ref="F964:K964" si="1942">VLOOKUP($A964,'[3]Gestión Pública'!$A$1:$O$251,F$1,0)</f>
        <v>#N/A</v>
      </c>
      <c r="G964" s="39" t="e">
        <f t="shared" si="1942"/>
        <v>#N/A</v>
      </c>
      <c r="H964" s="16" t="e">
        <f t="shared" si="1942"/>
        <v>#N/A</v>
      </c>
      <c r="I964" s="16" t="e">
        <f t="shared" si="1942"/>
        <v>#N/A</v>
      </c>
      <c r="J964" s="40" t="e">
        <f t="shared" si="1942"/>
        <v>#N/A</v>
      </c>
      <c r="K964" s="16" t="e">
        <f t="shared" si="1942"/>
        <v>#N/A</v>
      </c>
      <c r="L964" s="40" t="e">
        <f t="shared" si="1817"/>
        <v>#N/A</v>
      </c>
      <c r="M964" s="16" t="e">
        <f t="shared" si="1818"/>
        <v>#N/A</v>
      </c>
      <c r="N964" s="16" t="e">
        <f t="shared" si="1819"/>
        <v>#N/A</v>
      </c>
      <c r="O964" s="16" t="s">
        <v>67</v>
      </c>
      <c r="P964" s="16" t="str">
        <f t="shared" si="6"/>
        <v/>
      </c>
      <c r="Q964" s="41" t="e">
        <f t="shared" si="1820"/>
        <v>#N/A</v>
      </c>
      <c r="R964" s="44"/>
      <c r="S964" s="44"/>
      <c r="T964" s="43"/>
      <c r="U964" s="43" t="str">
        <f t="shared" si="8"/>
        <v>No</v>
      </c>
      <c r="V964" s="25"/>
      <c r="W964" s="25"/>
      <c r="X964" s="25"/>
      <c r="Y964" s="25"/>
      <c r="Z964" s="25"/>
    </row>
    <row r="965" spans="1:26" ht="15.75" customHeight="1" x14ac:dyDescent="0.25">
      <c r="A965" s="25">
        <v>963</v>
      </c>
      <c r="B965" s="37" t="e">
        <f t="shared" ref="B965:D965" si="1943">VLOOKUP($A965,'[3]Gestión Pública'!$A$1:$O$251,B$1,0)</f>
        <v>#N/A</v>
      </c>
      <c r="C965" s="38" t="e">
        <f t="shared" si="1943"/>
        <v>#N/A</v>
      </c>
      <c r="D965" s="39" t="e">
        <f t="shared" si="1943"/>
        <v>#N/A</v>
      </c>
      <c r="E965" s="16" t="e">
        <f t="shared" si="1"/>
        <v>#N/A</v>
      </c>
      <c r="F965" s="16" t="e">
        <f t="shared" ref="F965:K965" si="1944">VLOOKUP($A965,'[3]Gestión Pública'!$A$1:$O$251,F$1,0)</f>
        <v>#N/A</v>
      </c>
      <c r="G965" s="39" t="e">
        <f t="shared" si="1944"/>
        <v>#N/A</v>
      </c>
      <c r="H965" s="16" t="e">
        <f t="shared" si="1944"/>
        <v>#N/A</v>
      </c>
      <c r="I965" s="16" t="e">
        <f t="shared" si="1944"/>
        <v>#N/A</v>
      </c>
      <c r="J965" s="40" t="e">
        <f t="shared" si="1944"/>
        <v>#N/A</v>
      </c>
      <c r="K965" s="16" t="e">
        <f t="shared" si="1944"/>
        <v>#N/A</v>
      </c>
      <c r="L965" s="40" t="e">
        <f t="shared" si="1817"/>
        <v>#N/A</v>
      </c>
      <c r="M965" s="16" t="e">
        <f t="shared" si="1818"/>
        <v>#N/A</v>
      </c>
      <c r="N965" s="16" t="e">
        <f t="shared" si="1819"/>
        <v>#N/A</v>
      </c>
      <c r="O965" s="16" t="s">
        <v>67</v>
      </c>
      <c r="P965" s="16" t="str">
        <f t="shared" si="6"/>
        <v/>
      </c>
      <c r="Q965" s="41" t="e">
        <f t="shared" si="1820"/>
        <v>#N/A</v>
      </c>
      <c r="R965" s="44"/>
      <c r="S965" s="44"/>
      <c r="T965" s="43"/>
      <c r="U965" s="43" t="str">
        <f t="shared" si="8"/>
        <v>No</v>
      </c>
      <c r="V965" s="25"/>
      <c r="W965" s="25"/>
      <c r="X965" s="25"/>
      <c r="Y965" s="25"/>
      <c r="Z965" s="25"/>
    </row>
    <row r="966" spans="1:26" ht="15.75" customHeight="1" x14ac:dyDescent="0.25">
      <c r="A966" s="25">
        <v>964</v>
      </c>
      <c r="B966" s="37" t="e">
        <f t="shared" ref="B966:D966" si="1945">VLOOKUP($A966,'[3]Gestión Pública'!$A$1:$O$251,B$1,0)</f>
        <v>#N/A</v>
      </c>
      <c r="C966" s="38" t="e">
        <f t="shared" si="1945"/>
        <v>#N/A</v>
      </c>
      <c r="D966" s="39" t="e">
        <f t="shared" si="1945"/>
        <v>#N/A</v>
      </c>
      <c r="E966" s="16" t="e">
        <f t="shared" si="1"/>
        <v>#N/A</v>
      </c>
      <c r="F966" s="16" t="e">
        <f t="shared" ref="F966:K966" si="1946">VLOOKUP($A966,'[3]Gestión Pública'!$A$1:$O$251,F$1,0)</f>
        <v>#N/A</v>
      </c>
      <c r="G966" s="39" t="e">
        <f t="shared" si="1946"/>
        <v>#N/A</v>
      </c>
      <c r="H966" s="16" t="e">
        <f t="shared" si="1946"/>
        <v>#N/A</v>
      </c>
      <c r="I966" s="16" t="e">
        <f t="shared" si="1946"/>
        <v>#N/A</v>
      </c>
      <c r="J966" s="40" t="e">
        <f t="shared" si="1946"/>
        <v>#N/A</v>
      </c>
      <c r="K966" s="16" t="e">
        <f t="shared" si="1946"/>
        <v>#N/A</v>
      </c>
      <c r="L966" s="40" t="e">
        <f t="shared" si="1817"/>
        <v>#N/A</v>
      </c>
      <c r="M966" s="16" t="e">
        <f t="shared" si="1818"/>
        <v>#N/A</v>
      </c>
      <c r="N966" s="16" t="e">
        <f t="shared" si="1819"/>
        <v>#N/A</v>
      </c>
      <c r="O966" s="16" t="s">
        <v>67</v>
      </c>
      <c r="P966" s="16" t="str">
        <f t="shared" si="6"/>
        <v/>
      </c>
      <c r="Q966" s="41" t="e">
        <f t="shared" si="1820"/>
        <v>#N/A</v>
      </c>
      <c r="R966" s="44"/>
      <c r="S966" s="44"/>
      <c r="T966" s="43"/>
      <c r="U966" s="43" t="str">
        <f t="shared" si="8"/>
        <v>No</v>
      </c>
      <c r="V966" s="25"/>
      <c r="W966" s="25"/>
      <c r="X966" s="25"/>
      <c r="Y966" s="25"/>
      <c r="Z966" s="25"/>
    </row>
    <row r="967" spans="1:26" ht="15.75" customHeight="1" x14ac:dyDescent="0.25">
      <c r="A967" s="25">
        <v>965</v>
      </c>
      <c r="B967" s="37" t="e">
        <f t="shared" ref="B967:D967" si="1947">VLOOKUP($A967,'[3]Gestión Pública'!$A$1:$O$251,B$1,0)</f>
        <v>#N/A</v>
      </c>
      <c r="C967" s="38" t="e">
        <f t="shared" si="1947"/>
        <v>#N/A</v>
      </c>
      <c r="D967" s="39" t="e">
        <f t="shared" si="1947"/>
        <v>#N/A</v>
      </c>
      <c r="E967" s="16" t="e">
        <f t="shared" si="1"/>
        <v>#N/A</v>
      </c>
      <c r="F967" s="16" t="e">
        <f t="shared" ref="F967:K967" si="1948">VLOOKUP($A967,'[3]Gestión Pública'!$A$1:$O$251,F$1,0)</f>
        <v>#N/A</v>
      </c>
      <c r="G967" s="39" t="e">
        <f t="shared" si="1948"/>
        <v>#N/A</v>
      </c>
      <c r="H967" s="16" t="e">
        <f t="shared" si="1948"/>
        <v>#N/A</v>
      </c>
      <c r="I967" s="16" t="e">
        <f t="shared" si="1948"/>
        <v>#N/A</v>
      </c>
      <c r="J967" s="40" t="e">
        <f t="shared" si="1948"/>
        <v>#N/A</v>
      </c>
      <c r="K967" s="16" t="e">
        <f t="shared" si="1948"/>
        <v>#N/A</v>
      </c>
      <c r="L967" s="40" t="e">
        <f t="shared" si="1817"/>
        <v>#N/A</v>
      </c>
      <c r="M967" s="16" t="e">
        <f t="shared" si="1818"/>
        <v>#N/A</v>
      </c>
      <c r="N967" s="16" t="e">
        <f t="shared" si="1819"/>
        <v>#N/A</v>
      </c>
      <c r="O967" s="16" t="s">
        <v>67</v>
      </c>
      <c r="P967" s="16" t="str">
        <f t="shared" si="6"/>
        <v/>
      </c>
      <c r="Q967" s="41" t="e">
        <f t="shared" si="1820"/>
        <v>#N/A</v>
      </c>
      <c r="R967" s="44"/>
      <c r="S967" s="44"/>
      <c r="T967" s="43"/>
      <c r="U967" s="43" t="str">
        <f t="shared" si="8"/>
        <v>No</v>
      </c>
      <c r="V967" s="25"/>
      <c r="W967" s="25"/>
      <c r="X967" s="25"/>
      <c r="Y967" s="25"/>
      <c r="Z967" s="25"/>
    </row>
    <row r="968" spans="1:26" ht="15.75" customHeight="1" x14ac:dyDescent="0.25">
      <c r="A968" s="25">
        <v>966</v>
      </c>
      <c r="B968" s="37" t="e">
        <f t="shared" ref="B968:D968" si="1949">VLOOKUP($A968,'[3]Gestión Pública'!$A$1:$O$251,B$1,0)</f>
        <v>#N/A</v>
      </c>
      <c r="C968" s="38" t="e">
        <f t="shared" si="1949"/>
        <v>#N/A</v>
      </c>
      <c r="D968" s="39" t="e">
        <f t="shared" si="1949"/>
        <v>#N/A</v>
      </c>
      <c r="E968" s="16" t="e">
        <f t="shared" si="1"/>
        <v>#N/A</v>
      </c>
      <c r="F968" s="16" t="e">
        <f t="shared" ref="F968:K968" si="1950">VLOOKUP($A968,'[3]Gestión Pública'!$A$1:$O$251,F$1,0)</f>
        <v>#N/A</v>
      </c>
      <c r="G968" s="39" t="e">
        <f t="shared" si="1950"/>
        <v>#N/A</v>
      </c>
      <c r="H968" s="16" t="e">
        <f t="shared" si="1950"/>
        <v>#N/A</v>
      </c>
      <c r="I968" s="16" t="e">
        <f t="shared" si="1950"/>
        <v>#N/A</v>
      </c>
      <c r="J968" s="40" t="e">
        <f t="shared" si="1950"/>
        <v>#N/A</v>
      </c>
      <c r="K968" s="16" t="e">
        <f t="shared" si="1950"/>
        <v>#N/A</v>
      </c>
      <c r="L968" s="40" t="e">
        <f t="shared" si="1817"/>
        <v>#N/A</v>
      </c>
      <c r="M968" s="16" t="e">
        <f t="shared" si="1818"/>
        <v>#N/A</v>
      </c>
      <c r="N968" s="16" t="e">
        <f t="shared" si="1819"/>
        <v>#N/A</v>
      </c>
      <c r="O968" s="16" t="s">
        <v>67</v>
      </c>
      <c r="P968" s="16" t="str">
        <f t="shared" si="6"/>
        <v/>
      </c>
      <c r="Q968" s="41" t="e">
        <f t="shared" si="1820"/>
        <v>#N/A</v>
      </c>
      <c r="R968" s="44"/>
      <c r="S968" s="44"/>
      <c r="T968" s="43"/>
      <c r="U968" s="43" t="str">
        <f t="shared" si="8"/>
        <v>No</v>
      </c>
      <c r="V968" s="25"/>
      <c r="W968" s="25"/>
      <c r="X968" s="25"/>
      <c r="Y968" s="25"/>
      <c r="Z968" s="25"/>
    </row>
    <row r="969" spans="1:26" ht="15.75" customHeight="1" x14ac:dyDescent="0.25">
      <c r="A969" s="25">
        <v>967</v>
      </c>
      <c r="B969" s="37" t="e">
        <f t="shared" ref="B969:D969" si="1951">VLOOKUP($A969,'[3]Gestión Pública'!$A$1:$O$251,B$1,0)</f>
        <v>#N/A</v>
      </c>
      <c r="C969" s="38" t="e">
        <f t="shared" si="1951"/>
        <v>#N/A</v>
      </c>
      <c r="D969" s="39" t="e">
        <f t="shared" si="1951"/>
        <v>#N/A</v>
      </c>
      <c r="E969" s="16" t="e">
        <f t="shared" si="1"/>
        <v>#N/A</v>
      </c>
      <c r="F969" s="16" t="e">
        <f t="shared" ref="F969:K969" si="1952">VLOOKUP($A969,'[3]Gestión Pública'!$A$1:$O$251,F$1,0)</f>
        <v>#N/A</v>
      </c>
      <c r="G969" s="39" t="e">
        <f t="shared" si="1952"/>
        <v>#N/A</v>
      </c>
      <c r="H969" s="16" t="e">
        <f t="shared" si="1952"/>
        <v>#N/A</v>
      </c>
      <c r="I969" s="16" t="e">
        <f t="shared" si="1952"/>
        <v>#N/A</v>
      </c>
      <c r="J969" s="40" t="e">
        <f t="shared" si="1952"/>
        <v>#N/A</v>
      </c>
      <c r="K969" s="16" t="e">
        <f t="shared" si="1952"/>
        <v>#N/A</v>
      </c>
      <c r="L969" s="40" t="e">
        <f t="shared" si="1817"/>
        <v>#N/A</v>
      </c>
      <c r="M969" s="16" t="e">
        <f t="shared" si="1818"/>
        <v>#N/A</v>
      </c>
      <c r="N969" s="16" t="e">
        <f t="shared" si="1819"/>
        <v>#N/A</v>
      </c>
      <c r="O969" s="16" t="s">
        <v>67</v>
      </c>
      <c r="P969" s="16" t="str">
        <f t="shared" si="6"/>
        <v/>
      </c>
      <c r="Q969" s="41" t="e">
        <f t="shared" si="1820"/>
        <v>#N/A</v>
      </c>
      <c r="R969" s="44"/>
      <c r="S969" s="44"/>
      <c r="T969" s="43"/>
      <c r="U969" s="43" t="str">
        <f t="shared" si="8"/>
        <v>No</v>
      </c>
      <c r="V969" s="25"/>
      <c r="W969" s="25"/>
      <c r="X969" s="25"/>
      <c r="Y969" s="25"/>
      <c r="Z969" s="25"/>
    </row>
    <row r="970" spans="1:26" ht="15.75" customHeight="1" x14ac:dyDescent="0.25">
      <c r="A970" s="25">
        <v>968</v>
      </c>
      <c r="B970" s="37" t="e">
        <f t="shared" ref="B970:D970" si="1953">VLOOKUP($A970,'[3]Gestión Pública'!$A$1:$O$251,B$1,0)</f>
        <v>#N/A</v>
      </c>
      <c r="C970" s="38" t="e">
        <f t="shared" si="1953"/>
        <v>#N/A</v>
      </c>
      <c r="D970" s="39" t="e">
        <f t="shared" si="1953"/>
        <v>#N/A</v>
      </c>
      <c r="E970" s="16" t="e">
        <f t="shared" si="1"/>
        <v>#N/A</v>
      </c>
      <c r="F970" s="16" t="e">
        <f t="shared" ref="F970:K970" si="1954">VLOOKUP($A970,'[3]Gestión Pública'!$A$1:$O$251,F$1,0)</f>
        <v>#N/A</v>
      </c>
      <c r="G970" s="39" t="e">
        <f t="shared" si="1954"/>
        <v>#N/A</v>
      </c>
      <c r="H970" s="16" t="e">
        <f t="shared" si="1954"/>
        <v>#N/A</v>
      </c>
      <c r="I970" s="16" t="e">
        <f t="shared" si="1954"/>
        <v>#N/A</v>
      </c>
      <c r="J970" s="40" t="e">
        <f t="shared" si="1954"/>
        <v>#N/A</v>
      </c>
      <c r="K970" s="16" t="e">
        <f t="shared" si="1954"/>
        <v>#N/A</v>
      </c>
      <c r="L970" s="40" t="e">
        <f t="shared" si="1817"/>
        <v>#N/A</v>
      </c>
      <c r="M970" s="16" t="e">
        <f t="shared" si="1818"/>
        <v>#N/A</v>
      </c>
      <c r="N970" s="16" t="e">
        <f t="shared" si="1819"/>
        <v>#N/A</v>
      </c>
      <c r="O970" s="16" t="s">
        <v>67</v>
      </c>
      <c r="P970" s="16" t="str">
        <f t="shared" si="6"/>
        <v/>
      </c>
      <c r="Q970" s="41" t="e">
        <f t="shared" si="1820"/>
        <v>#N/A</v>
      </c>
      <c r="R970" s="44"/>
      <c r="S970" s="44"/>
      <c r="T970" s="43"/>
      <c r="U970" s="43" t="str">
        <f t="shared" si="8"/>
        <v>No</v>
      </c>
      <c r="V970" s="25"/>
      <c r="W970" s="25"/>
      <c r="X970" s="25"/>
      <c r="Y970" s="25"/>
      <c r="Z970" s="25"/>
    </row>
    <row r="971" spans="1:26" ht="15.75" customHeight="1" x14ac:dyDescent="0.25">
      <c r="A971" s="25">
        <v>969</v>
      </c>
      <c r="B971" s="37" t="e">
        <f t="shared" ref="B971:D971" si="1955">VLOOKUP($A971,'[3]Gestión Pública'!$A$1:$O$251,B$1,0)</f>
        <v>#N/A</v>
      </c>
      <c r="C971" s="38" t="e">
        <f t="shared" si="1955"/>
        <v>#N/A</v>
      </c>
      <c r="D971" s="39" t="e">
        <f t="shared" si="1955"/>
        <v>#N/A</v>
      </c>
      <c r="E971" s="16" t="e">
        <f t="shared" si="1"/>
        <v>#N/A</v>
      </c>
      <c r="F971" s="16" t="e">
        <f t="shared" ref="F971:K971" si="1956">VLOOKUP($A971,'[3]Gestión Pública'!$A$1:$O$251,F$1,0)</f>
        <v>#N/A</v>
      </c>
      <c r="G971" s="39" t="e">
        <f t="shared" si="1956"/>
        <v>#N/A</v>
      </c>
      <c r="H971" s="16" t="e">
        <f t="shared" si="1956"/>
        <v>#N/A</v>
      </c>
      <c r="I971" s="16" t="e">
        <f t="shared" si="1956"/>
        <v>#N/A</v>
      </c>
      <c r="J971" s="40" t="e">
        <f t="shared" si="1956"/>
        <v>#N/A</v>
      </c>
      <c r="K971" s="16" t="e">
        <f t="shared" si="1956"/>
        <v>#N/A</v>
      </c>
      <c r="L971" s="40" t="e">
        <f t="shared" si="1817"/>
        <v>#N/A</v>
      </c>
      <c r="M971" s="16" t="e">
        <f t="shared" si="1818"/>
        <v>#N/A</v>
      </c>
      <c r="N971" s="16" t="e">
        <f t="shared" si="1819"/>
        <v>#N/A</v>
      </c>
      <c r="O971" s="16" t="s">
        <v>67</v>
      </c>
      <c r="P971" s="16" t="str">
        <f t="shared" si="6"/>
        <v/>
      </c>
      <c r="Q971" s="41" t="e">
        <f t="shared" si="1820"/>
        <v>#N/A</v>
      </c>
      <c r="R971" s="44"/>
      <c r="S971" s="44"/>
      <c r="T971" s="43"/>
      <c r="U971" s="43" t="str">
        <f t="shared" si="8"/>
        <v>No</v>
      </c>
      <c r="V971" s="25"/>
      <c r="W971" s="25"/>
      <c r="X971" s="25"/>
      <c r="Y971" s="25"/>
      <c r="Z971" s="25"/>
    </row>
    <row r="972" spans="1:26" ht="15.75" customHeight="1" x14ac:dyDescent="0.25">
      <c r="A972" s="25">
        <v>970</v>
      </c>
      <c r="B972" s="37" t="e">
        <f t="shared" ref="B972:D972" si="1957">VLOOKUP($A972,'[3]Gestión Pública'!$A$1:$O$251,B$1,0)</f>
        <v>#N/A</v>
      </c>
      <c r="C972" s="38" t="e">
        <f t="shared" si="1957"/>
        <v>#N/A</v>
      </c>
      <c r="D972" s="39" t="e">
        <f t="shared" si="1957"/>
        <v>#N/A</v>
      </c>
      <c r="E972" s="16" t="e">
        <f t="shared" si="1"/>
        <v>#N/A</v>
      </c>
      <c r="F972" s="16" t="e">
        <f t="shared" ref="F972:K972" si="1958">VLOOKUP($A972,'[3]Gestión Pública'!$A$1:$O$251,F$1,0)</f>
        <v>#N/A</v>
      </c>
      <c r="G972" s="39" t="e">
        <f t="shared" si="1958"/>
        <v>#N/A</v>
      </c>
      <c r="H972" s="16" t="e">
        <f t="shared" si="1958"/>
        <v>#N/A</v>
      </c>
      <c r="I972" s="16" t="e">
        <f t="shared" si="1958"/>
        <v>#N/A</v>
      </c>
      <c r="J972" s="40" t="e">
        <f t="shared" si="1958"/>
        <v>#N/A</v>
      </c>
      <c r="K972" s="16" t="e">
        <f t="shared" si="1958"/>
        <v>#N/A</v>
      </c>
      <c r="L972" s="40" t="e">
        <f t="shared" si="1817"/>
        <v>#N/A</v>
      </c>
      <c r="M972" s="16" t="e">
        <f t="shared" si="1818"/>
        <v>#N/A</v>
      </c>
      <c r="N972" s="16" t="e">
        <f t="shared" si="1819"/>
        <v>#N/A</v>
      </c>
      <c r="O972" s="16" t="s">
        <v>67</v>
      </c>
      <c r="P972" s="16" t="str">
        <f t="shared" si="6"/>
        <v/>
      </c>
      <c r="Q972" s="41" t="e">
        <f t="shared" si="1820"/>
        <v>#N/A</v>
      </c>
      <c r="R972" s="44"/>
      <c r="S972" s="44"/>
      <c r="T972" s="43"/>
      <c r="U972" s="43" t="str">
        <f t="shared" si="8"/>
        <v>No</v>
      </c>
      <c r="V972" s="25"/>
      <c r="W972" s="25"/>
      <c r="X972" s="25"/>
      <c r="Y972" s="25"/>
      <c r="Z972" s="25"/>
    </row>
    <row r="973" spans="1:26" ht="15.75" customHeight="1" x14ac:dyDescent="0.25">
      <c r="A973" s="25">
        <v>971</v>
      </c>
      <c r="B973" s="37" t="e">
        <f t="shared" ref="B973:D973" si="1959">VLOOKUP($A973,'[3]Gestión Pública'!$A$1:$O$251,B$1,0)</f>
        <v>#N/A</v>
      </c>
      <c r="C973" s="38" t="e">
        <f t="shared" si="1959"/>
        <v>#N/A</v>
      </c>
      <c r="D973" s="39" t="e">
        <f t="shared" si="1959"/>
        <v>#N/A</v>
      </c>
      <c r="E973" s="16" t="e">
        <f t="shared" si="1"/>
        <v>#N/A</v>
      </c>
      <c r="F973" s="16" t="e">
        <f t="shared" ref="F973:K973" si="1960">VLOOKUP($A973,'[3]Gestión Pública'!$A$1:$O$251,F$1,0)</f>
        <v>#N/A</v>
      </c>
      <c r="G973" s="39" t="e">
        <f t="shared" si="1960"/>
        <v>#N/A</v>
      </c>
      <c r="H973" s="16" t="e">
        <f t="shared" si="1960"/>
        <v>#N/A</v>
      </c>
      <c r="I973" s="16" t="e">
        <f t="shared" si="1960"/>
        <v>#N/A</v>
      </c>
      <c r="J973" s="40" t="e">
        <f t="shared" si="1960"/>
        <v>#N/A</v>
      </c>
      <c r="K973" s="16" t="e">
        <f t="shared" si="1960"/>
        <v>#N/A</v>
      </c>
      <c r="L973" s="40" t="e">
        <f t="shared" si="1817"/>
        <v>#N/A</v>
      </c>
      <c r="M973" s="16" t="e">
        <f t="shared" si="1818"/>
        <v>#N/A</v>
      </c>
      <c r="N973" s="16" t="e">
        <f t="shared" si="1819"/>
        <v>#N/A</v>
      </c>
      <c r="O973" s="16" t="s">
        <v>67</v>
      </c>
      <c r="P973" s="16" t="str">
        <f t="shared" si="6"/>
        <v/>
      </c>
      <c r="Q973" s="41" t="e">
        <f t="shared" si="1820"/>
        <v>#N/A</v>
      </c>
      <c r="R973" s="44"/>
      <c r="S973" s="44"/>
      <c r="T973" s="43"/>
      <c r="U973" s="43" t="str">
        <f t="shared" si="8"/>
        <v>No</v>
      </c>
      <c r="V973" s="25"/>
      <c r="W973" s="25"/>
      <c r="X973" s="25"/>
      <c r="Y973" s="25"/>
      <c r="Z973" s="25"/>
    </row>
    <row r="974" spans="1:26" ht="15.75" customHeight="1" x14ac:dyDescent="0.25">
      <c r="A974" s="25">
        <v>972</v>
      </c>
      <c r="B974" s="37" t="e">
        <f t="shared" ref="B974:D974" si="1961">VLOOKUP($A974,'[3]Gestión Pública'!$A$1:$O$251,B$1,0)</f>
        <v>#N/A</v>
      </c>
      <c r="C974" s="38" t="e">
        <f t="shared" si="1961"/>
        <v>#N/A</v>
      </c>
      <c r="D974" s="39" t="e">
        <f t="shared" si="1961"/>
        <v>#N/A</v>
      </c>
      <c r="E974" s="16" t="e">
        <f t="shared" si="1"/>
        <v>#N/A</v>
      </c>
      <c r="F974" s="16" t="e">
        <f t="shared" ref="F974:K974" si="1962">VLOOKUP($A974,'[3]Gestión Pública'!$A$1:$O$251,F$1,0)</f>
        <v>#N/A</v>
      </c>
      <c r="G974" s="39" t="e">
        <f t="shared" si="1962"/>
        <v>#N/A</v>
      </c>
      <c r="H974" s="16" t="e">
        <f t="shared" si="1962"/>
        <v>#N/A</v>
      </c>
      <c r="I974" s="16" t="e">
        <f t="shared" si="1962"/>
        <v>#N/A</v>
      </c>
      <c r="J974" s="40" t="e">
        <f t="shared" si="1962"/>
        <v>#N/A</v>
      </c>
      <c r="K974" s="16" t="e">
        <f t="shared" si="1962"/>
        <v>#N/A</v>
      </c>
      <c r="L974" s="40" t="e">
        <f t="shared" si="1817"/>
        <v>#N/A</v>
      </c>
      <c r="M974" s="16" t="e">
        <f t="shared" si="1818"/>
        <v>#N/A</v>
      </c>
      <c r="N974" s="16" t="e">
        <f t="shared" si="1819"/>
        <v>#N/A</v>
      </c>
      <c r="O974" s="16" t="s">
        <v>67</v>
      </c>
      <c r="P974" s="16" t="str">
        <f t="shared" si="6"/>
        <v/>
      </c>
      <c r="Q974" s="41" t="e">
        <f t="shared" si="1820"/>
        <v>#N/A</v>
      </c>
      <c r="R974" s="44"/>
      <c r="S974" s="44"/>
      <c r="T974" s="43"/>
      <c r="U974" s="43" t="str">
        <f t="shared" si="8"/>
        <v>No</v>
      </c>
      <c r="V974" s="25"/>
      <c r="W974" s="25"/>
      <c r="X974" s="25"/>
      <c r="Y974" s="25"/>
      <c r="Z974" s="25"/>
    </row>
    <row r="975" spans="1:26" ht="15.75" customHeight="1" x14ac:dyDescent="0.25">
      <c r="A975" s="25">
        <v>973</v>
      </c>
      <c r="B975" s="37" t="e">
        <f t="shared" ref="B975:D975" si="1963">VLOOKUP($A975,'[3]Gestión Pública'!$A$1:$O$251,B$1,0)</f>
        <v>#N/A</v>
      </c>
      <c r="C975" s="38" t="e">
        <f t="shared" si="1963"/>
        <v>#N/A</v>
      </c>
      <c r="D975" s="39" t="e">
        <f t="shared" si="1963"/>
        <v>#N/A</v>
      </c>
      <c r="E975" s="16" t="e">
        <f t="shared" si="1"/>
        <v>#N/A</v>
      </c>
      <c r="F975" s="16" t="e">
        <f t="shared" ref="F975:K975" si="1964">VLOOKUP($A975,'[3]Gestión Pública'!$A$1:$O$251,F$1,0)</f>
        <v>#N/A</v>
      </c>
      <c r="G975" s="39" t="e">
        <f t="shared" si="1964"/>
        <v>#N/A</v>
      </c>
      <c r="H975" s="16" t="e">
        <f t="shared" si="1964"/>
        <v>#N/A</v>
      </c>
      <c r="I975" s="16" t="e">
        <f t="shared" si="1964"/>
        <v>#N/A</v>
      </c>
      <c r="J975" s="40" t="e">
        <f t="shared" si="1964"/>
        <v>#N/A</v>
      </c>
      <c r="K975" s="16" t="e">
        <f t="shared" si="1964"/>
        <v>#N/A</v>
      </c>
      <c r="L975" s="40" t="e">
        <f t="shared" si="1817"/>
        <v>#N/A</v>
      </c>
      <c r="M975" s="16" t="e">
        <f t="shared" si="1818"/>
        <v>#N/A</v>
      </c>
      <c r="N975" s="16" t="e">
        <f t="shared" si="1819"/>
        <v>#N/A</v>
      </c>
      <c r="O975" s="16" t="s">
        <v>67</v>
      </c>
      <c r="P975" s="16" t="str">
        <f t="shared" si="6"/>
        <v/>
      </c>
      <c r="Q975" s="41" t="e">
        <f t="shared" si="1820"/>
        <v>#N/A</v>
      </c>
      <c r="R975" s="44"/>
      <c r="S975" s="44"/>
      <c r="T975" s="43"/>
      <c r="U975" s="43" t="str">
        <f t="shared" si="8"/>
        <v>No</v>
      </c>
      <c r="V975" s="25"/>
      <c r="W975" s="25"/>
      <c r="X975" s="25"/>
      <c r="Y975" s="25"/>
      <c r="Z975" s="25"/>
    </row>
    <row r="976" spans="1:26" ht="15.75" customHeight="1" x14ac:dyDescent="0.25">
      <c r="A976" s="25">
        <v>974</v>
      </c>
      <c r="B976" s="37" t="e">
        <f t="shared" ref="B976:D976" si="1965">VLOOKUP($A976,'[3]Gestión Pública'!$A$1:$O$251,B$1,0)</f>
        <v>#N/A</v>
      </c>
      <c r="C976" s="38" t="e">
        <f t="shared" si="1965"/>
        <v>#N/A</v>
      </c>
      <c r="D976" s="39" t="e">
        <f t="shared" si="1965"/>
        <v>#N/A</v>
      </c>
      <c r="E976" s="16" t="e">
        <f t="shared" si="1"/>
        <v>#N/A</v>
      </c>
      <c r="F976" s="16" t="e">
        <f t="shared" ref="F976:K976" si="1966">VLOOKUP($A976,'[3]Gestión Pública'!$A$1:$O$251,F$1,0)</f>
        <v>#N/A</v>
      </c>
      <c r="G976" s="39" t="e">
        <f t="shared" si="1966"/>
        <v>#N/A</v>
      </c>
      <c r="H976" s="16" t="e">
        <f t="shared" si="1966"/>
        <v>#N/A</v>
      </c>
      <c r="I976" s="16" t="e">
        <f t="shared" si="1966"/>
        <v>#N/A</v>
      </c>
      <c r="J976" s="40" t="e">
        <f t="shared" si="1966"/>
        <v>#N/A</v>
      </c>
      <c r="K976" s="16" t="e">
        <f t="shared" si="1966"/>
        <v>#N/A</v>
      </c>
      <c r="L976" s="40" t="e">
        <f t="shared" si="1817"/>
        <v>#N/A</v>
      </c>
      <c r="M976" s="16" t="e">
        <f t="shared" si="1818"/>
        <v>#N/A</v>
      </c>
      <c r="N976" s="16" t="e">
        <f t="shared" si="1819"/>
        <v>#N/A</v>
      </c>
      <c r="O976" s="16" t="s">
        <v>67</v>
      </c>
      <c r="P976" s="16" t="str">
        <f t="shared" si="6"/>
        <v/>
      </c>
      <c r="Q976" s="41" t="e">
        <f t="shared" si="1820"/>
        <v>#N/A</v>
      </c>
      <c r="R976" s="44"/>
      <c r="S976" s="44"/>
      <c r="T976" s="43"/>
      <c r="U976" s="43" t="str">
        <f t="shared" si="8"/>
        <v>No</v>
      </c>
      <c r="V976" s="25"/>
      <c r="W976" s="25"/>
      <c r="X976" s="25"/>
      <c r="Y976" s="25"/>
      <c r="Z976" s="25"/>
    </row>
    <row r="977" spans="1:26" ht="15.75" customHeight="1" x14ac:dyDescent="0.25">
      <c r="A977" s="25">
        <v>975</v>
      </c>
      <c r="B977" s="37" t="e">
        <f t="shared" ref="B977:D977" si="1967">VLOOKUP($A977,'[3]Gestión Pública'!$A$1:$O$251,B$1,0)</f>
        <v>#N/A</v>
      </c>
      <c r="C977" s="38" t="e">
        <f t="shared" si="1967"/>
        <v>#N/A</v>
      </c>
      <c r="D977" s="39" t="e">
        <f t="shared" si="1967"/>
        <v>#N/A</v>
      </c>
      <c r="E977" s="16" t="e">
        <f t="shared" si="1"/>
        <v>#N/A</v>
      </c>
      <c r="F977" s="16" t="e">
        <f t="shared" ref="F977:K977" si="1968">VLOOKUP($A977,'[3]Gestión Pública'!$A$1:$O$251,F$1,0)</f>
        <v>#N/A</v>
      </c>
      <c r="G977" s="39" t="e">
        <f t="shared" si="1968"/>
        <v>#N/A</v>
      </c>
      <c r="H977" s="16" t="e">
        <f t="shared" si="1968"/>
        <v>#N/A</v>
      </c>
      <c r="I977" s="16" t="e">
        <f t="shared" si="1968"/>
        <v>#N/A</v>
      </c>
      <c r="J977" s="40" t="e">
        <f t="shared" si="1968"/>
        <v>#N/A</v>
      </c>
      <c r="K977" s="16" t="e">
        <f t="shared" si="1968"/>
        <v>#N/A</v>
      </c>
      <c r="L977" s="40" t="e">
        <f t="shared" si="1817"/>
        <v>#N/A</v>
      </c>
      <c r="M977" s="16" t="e">
        <f t="shared" si="1818"/>
        <v>#N/A</v>
      </c>
      <c r="N977" s="16" t="e">
        <f t="shared" si="1819"/>
        <v>#N/A</v>
      </c>
      <c r="O977" s="16" t="s">
        <v>67</v>
      </c>
      <c r="P977" s="16" t="str">
        <f t="shared" si="6"/>
        <v/>
      </c>
      <c r="Q977" s="41" t="e">
        <f t="shared" si="1820"/>
        <v>#N/A</v>
      </c>
      <c r="R977" s="44"/>
      <c r="S977" s="44"/>
      <c r="T977" s="43"/>
      <c r="U977" s="43" t="str">
        <f t="shared" si="8"/>
        <v>No</v>
      </c>
      <c r="V977" s="25"/>
      <c r="W977" s="25"/>
      <c r="X977" s="25"/>
      <c r="Y977" s="25"/>
      <c r="Z977" s="25"/>
    </row>
    <row r="978" spans="1:26" ht="15.75" customHeight="1" x14ac:dyDescent="0.25">
      <c r="A978" s="25">
        <v>976</v>
      </c>
      <c r="B978" s="37" t="e">
        <f t="shared" ref="B978:D978" si="1969">VLOOKUP($A978,'[3]Gestión Pública'!$A$1:$O$251,B$1,0)</f>
        <v>#N/A</v>
      </c>
      <c r="C978" s="38" t="e">
        <f t="shared" si="1969"/>
        <v>#N/A</v>
      </c>
      <c r="D978" s="39" t="e">
        <f t="shared" si="1969"/>
        <v>#N/A</v>
      </c>
      <c r="E978" s="16" t="e">
        <f t="shared" si="1"/>
        <v>#N/A</v>
      </c>
      <c r="F978" s="16" t="e">
        <f t="shared" ref="F978:K978" si="1970">VLOOKUP($A978,'[3]Gestión Pública'!$A$1:$O$251,F$1,0)</f>
        <v>#N/A</v>
      </c>
      <c r="G978" s="39" t="e">
        <f t="shared" si="1970"/>
        <v>#N/A</v>
      </c>
      <c r="H978" s="16" t="e">
        <f t="shared" si="1970"/>
        <v>#N/A</v>
      </c>
      <c r="I978" s="16" t="e">
        <f t="shared" si="1970"/>
        <v>#N/A</v>
      </c>
      <c r="J978" s="40" t="e">
        <f t="shared" si="1970"/>
        <v>#N/A</v>
      </c>
      <c r="K978" s="16" t="e">
        <f t="shared" si="1970"/>
        <v>#N/A</v>
      </c>
      <c r="L978" s="40" t="e">
        <f t="shared" si="1817"/>
        <v>#N/A</v>
      </c>
      <c r="M978" s="16" t="e">
        <f t="shared" si="1818"/>
        <v>#N/A</v>
      </c>
      <c r="N978" s="16" t="e">
        <f t="shared" si="1819"/>
        <v>#N/A</v>
      </c>
      <c r="O978" s="16" t="s">
        <v>67</v>
      </c>
      <c r="P978" s="16" t="str">
        <f t="shared" si="6"/>
        <v/>
      </c>
      <c r="Q978" s="41" t="e">
        <f t="shared" si="1820"/>
        <v>#N/A</v>
      </c>
      <c r="R978" s="44"/>
      <c r="S978" s="44"/>
      <c r="T978" s="43"/>
      <c r="U978" s="43" t="str">
        <f t="shared" si="8"/>
        <v>No</v>
      </c>
      <c r="V978" s="25"/>
      <c r="W978" s="25"/>
      <c r="X978" s="25"/>
      <c r="Y978" s="25"/>
      <c r="Z978" s="25"/>
    </row>
    <row r="979" spans="1:26" ht="15.75" customHeight="1" x14ac:dyDescent="0.25">
      <c r="A979" s="25">
        <v>977</v>
      </c>
      <c r="B979" s="37" t="e">
        <f t="shared" ref="B979:D979" si="1971">VLOOKUP($A979,'[3]Gestión Pública'!$A$1:$O$251,B$1,0)</f>
        <v>#N/A</v>
      </c>
      <c r="C979" s="38" t="e">
        <f t="shared" si="1971"/>
        <v>#N/A</v>
      </c>
      <c r="D979" s="39" t="e">
        <f t="shared" si="1971"/>
        <v>#N/A</v>
      </c>
      <c r="E979" s="16" t="e">
        <f t="shared" si="1"/>
        <v>#N/A</v>
      </c>
      <c r="F979" s="16" t="e">
        <f t="shared" ref="F979:K979" si="1972">VLOOKUP($A979,'[3]Gestión Pública'!$A$1:$O$251,F$1,0)</f>
        <v>#N/A</v>
      </c>
      <c r="G979" s="39" t="e">
        <f t="shared" si="1972"/>
        <v>#N/A</v>
      </c>
      <c r="H979" s="16" t="e">
        <f t="shared" si="1972"/>
        <v>#N/A</v>
      </c>
      <c r="I979" s="16" t="e">
        <f t="shared" si="1972"/>
        <v>#N/A</v>
      </c>
      <c r="J979" s="40" t="e">
        <f t="shared" si="1972"/>
        <v>#N/A</v>
      </c>
      <c r="K979" s="16" t="e">
        <f t="shared" si="1972"/>
        <v>#N/A</v>
      </c>
      <c r="L979" s="40" t="e">
        <f t="shared" si="1817"/>
        <v>#N/A</v>
      </c>
      <c r="M979" s="16" t="e">
        <f t="shared" si="1818"/>
        <v>#N/A</v>
      </c>
      <c r="N979" s="16" t="e">
        <f t="shared" si="1819"/>
        <v>#N/A</v>
      </c>
      <c r="O979" s="16" t="s">
        <v>67</v>
      </c>
      <c r="P979" s="16" t="str">
        <f t="shared" si="6"/>
        <v/>
      </c>
      <c r="Q979" s="41" t="e">
        <f t="shared" si="1820"/>
        <v>#N/A</v>
      </c>
      <c r="R979" s="44"/>
      <c r="S979" s="44"/>
      <c r="T979" s="43"/>
      <c r="U979" s="43" t="str">
        <f t="shared" si="8"/>
        <v>No</v>
      </c>
      <c r="V979" s="25"/>
      <c r="W979" s="25"/>
      <c r="X979" s="25"/>
      <c r="Y979" s="25"/>
      <c r="Z979" s="25"/>
    </row>
    <row r="980" spans="1:26" ht="15.75" customHeight="1" x14ac:dyDescent="0.25">
      <c r="A980" s="25">
        <v>978</v>
      </c>
      <c r="B980" s="37" t="e">
        <f t="shared" ref="B980:D980" si="1973">VLOOKUP($A980,'[3]Gestión Pública'!$A$1:$O$251,B$1,0)</f>
        <v>#N/A</v>
      </c>
      <c r="C980" s="38" t="e">
        <f t="shared" si="1973"/>
        <v>#N/A</v>
      </c>
      <c r="D980" s="39" t="e">
        <f t="shared" si="1973"/>
        <v>#N/A</v>
      </c>
      <c r="E980" s="16" t="e">
        <f t="shared" si="1"/>
        <v>#N/A</v>
      </c>
      <c r="F980" s="16" t="e">
        <f t="shared" ref="F980:K980" si="1974">VLOOKUP($A980,'[3]Gestión Pública'!$A$1:$O$251,F$1,0)</f>
        <v>#N/A</v>
      </c>
      <c r="G980" s="39" t="e">
        <f t="shared" si="1974"/>
        <v>#N/A</v>
      </c>
      <c r="H980" s="16" t="e">
        <f t="shared" si="1974"/>
        <v>#N/A</v>
      </c>
      <c r="I980" s="16" t="e">
        <f t="shared" si="1974"/>
        <v>#N/A</v>
      </c>
      <c r="J980" s="40" t="e">
        <f t="shared" si="1974"/>
        <v>#N/A</v>
      </c>
      <c r="K980" s="16" t="e">
        <f t="shared" si="1974"/>
        <v>#N/A</v>
      </c>
      <c r="L980" s="40" t="e">
        <f t="shared" si="1817"/>
        <v>#N/A</v>
      </c>
      <c r="M980" s="16" t="e">
        <f t="shared" si="1818"/>
        <v>#N/A</v>
      </c>
      <c r="N980" s="16" t="e">
        <f t="shared" si="1819"/>
        <v>#N/A</v>
      </c>
      <c r="O980" s="16" t="s">
        <v>67</v>
      </c>
      <c r="P980" s="16" t="str">
        <f t="shared" si="6"/>
        <v/>
      </c>
      <c r="Q980" s="41" t="e">
        <f t="shared" si="1820"/>
        <v>#N/A</v>
      </c>
      <c r="R980" s="44"/>
      <c r="S980" s="44"/>
      <c r="T980" s="43"/>
      <c r="U980" s="43" t="str">
        <f t="shared" si="8"/>
        <v>No</v>
      </c>
      <c r="V980" s="25"/>
      <c r="W980" s="25"/>
      <c r="X980" s="25"/>
      <c r="Y980" s="25"/>
      <c r="Z980" s="25"/>
    </row>
    <row r="981" spans="1:26" ht="15.75" customHeight="1" x14ac:dyDescent="0.25">
      <c r="A981" s="25">
        <v>979</v>
      </c>
      <c r="B981" s="37" t="e">
        <f t="shared" ref="B981:D981" si="1975">VLOOKUP($A981,'[3]Gestión Pública'!$A$1:$O$251,B$1,0)</f>
        <v>#N/A</v>
      </c>
      <c r="C981" s="38" t="e">
        <f t="shared" si="1975"/>
        <v>#N/A</v>
      </c>
      <c r="D981" s="39" t="e">
        <f t="shared" si="1975"/>
        <v>#N/A</v>
      </c>
      <c r="E981" s="16" t="e">
        <f t="shared" si="1"/>
        <v>#N/A</v>
      </c>
      <c r="F981" s="16" t="e">
        <f t="shared" ref="F981:K981" si="1976">VLOOKUP($A981,'[3]Gestión Pública'!$A$1:$O$251,F$1,0)</f>
        <v>#N/A</v>
      </c>
      <c r="G981" s="39" t="e">
        <f t="shared" si="1976"/>
        <v>#N/A</v>
      </c>
      <c r="H981" s="16" t="e">
        <f t="shared" si="1976"/>
        <v>#N/A</v>
      </c>
      <c r="I981" s="16" t="e">
        <f t="shared" si="1976"/>
        <v>#N/A</v>
      </c>
      <c r="J981" s="40" t="e">
        <f t="shared" si="1976"/>
        <v>#N/A</v>
      </c>
      <c r="K981" s="16" t="e">
        <f t="shared" si="1976"/>
        <v>#N/A</v>
      </c>
      <c r="L981" s="40" t="e">
        <f t="shared" si="1817"/>
        <v>#N/A</v>
      </c>
      <c r="M981" s="16" t="e">
        <f t="shared" si="1818"/>
        <v>#N/A</v>
      </c>
      <c r="N981" s="16" t="e">
        <f t="shared" si="1819"/>
        <v>#N/A</v>
      </c>
      <c r="O981" s="16" t="s">
        <v>67</v>
      </c>
      <c r="P981" s="16" t="str">
        <f t="shared" si="6"/>
        <v/>
      </c>
      <c r="Q981" s="41" t="e">
        <f t="shared" si="1820"/>
        <v>#N/A</v>
      </c>
      <c r="R981" s="44"/>
      <c r="S981" s="44"/>
      <c r="T981" s="43"/>
      <c r="U981" s="43" t="str">
        <f t="shared" si="8"/>
        <v>No</v>
      </c>
      <c r="V981" s="25"/>
      <c r="W981" s="25"/>
      <c r="X981" s="25"/>
      <c r="Y981" s="25"/>
      <c r="Z981" s="25"/>
    </row>
    <row r="982" spans="1:26" ht="15.75" customHeight="1" x14ac:dyDescent="0.25">
      <c r="A982" s="25">
        <v>980</v>
      </c>
      <c r="B982" s="37" t="e">
        <f t="shared" ref="B982:D982" si="1977">VLOOKUP($A982,'[3]Gestión Pública'!$A$1:$O$251,B$1,0)</f>
        <v>#N/A</v>
      </c>
      <c r="C982" s="38" t="e">
        <f t="shared" si="1977"/>
        <v>#N/A</v>
      </c>
      <c r="D982" s="39" t="e">
        <f t="shared" si="1977"/>
        <v>#N/A</v>
      </c>
      <c r="E982" s="16" t="e">
        <f t="shared" si="1"/>
        <v>#N/A</v>
      </c>
      <c r="F982" s="16" t="e">
        <f t="shared" ref="F982:K982" si="1978">VLOOKUP($A982,'[3]Gestión Pública'!$A$1:$O$251,F$1,0)</f>
        <v>#N/A</v>
      </c>
      <c r="G982" s="39" t="e">
        <f t="shared" si="1978"/>
        <v>#N/A</v>
      </c>
      <c r="H982" s="16" t="e">
        <f t="shared" si="1978"/>
        <v>#N/A</v>
      </c>
      <c r="I982" s="16" t="e">
        <f t="shared" si="1978"/>
        <v>#N/A</v>
      </c>
      <c r="J982" s="40" t="e">
        <f t="shared" si="1978"/>
        <v>#N/A</v>
      </c>
      <c r="K982" s="16" t="e">
        <f t="shared" si="1978"/>
        <v>#N/A</v>
      </c>
      <c r="L982" s="40" t="e">
        <f t="shared" si="1817"/>
        <v>#N/A</v>
      </c>
      <c r="M982" s="16" t="e">
        <f t="shared" si="1818"/>
        <v>#N/A</v>
      </c>
      <c r="N982" s="16" t="e">
        <f t="shared" si="1819"/>
        <v>#N/A</v>
      </c>
      <c r="O982" s="16" t="s">
        <v>67</v>
      </c>
      <c r="P982" s="16" t="str">
        <f t="shared" si="6"/>
        <v/>
      </c>
      <c r="Q982" s="41" t="e">
        <f t="shared" si="1820"/>
        <v>#N/A</v>
      </c>
      <c r="R982" s="44"/>
      <c r="S982" s="44"/>
      <c r="T982" s="43"/>
      <c r="U982" s="43" t="str">
        <f t="shared" si="8"/>
        <v>No</v>
      </c>
      <c r="V982" s="25"/>
      <c r="W982" s="25"/>
      <c r="X982" s="25"/>
      <c r="Y982" s="25"/>
      <c r="Z982" s="25"/>
    </row>
    <row r="983" spans="1:26" ht="15.75" customHeight="1" x14ac:dyDescent="0.25">
      <c r="A983" s="25">
        <v>981</v>
      </c>
      <c r="B983" s="37" t="e">
        <f t="shared" ref="B983:D983" si="1979">VLOOKUP($A983,'[3]Gestión Pública'!$A$1:$O$251,B$1,0)</f>
        <v>#N/A</v>
      </c>
      <c r="C983" s="38" t="e">
        <f t="shared" si="1979"/>
        <v>#N/A</v>
      </c>
      <c r="D983" s="39" t="e">
        <f t="shared" si="1979"/>
        <v>#N/A</v>
      </c>
      <c r="E983" s="16" t="e">
        <f t="shared" si="1"/>
        <v>#N/A</v>
      </c>
      <c r="F983" s="16" t="e">
        <f t="shared" ref="F983:K983" si="1980">VLOOKUP($A983,'[3]Gestión Pública'!$A$1:$O$251,F$1,0)</f>
        <v>#N/A</v>
      </c>
      <c r="G983" s="39" t="e">
        <f t="shared" si="1980"/>
        <v>#N/A</v>
      </c>
      <c r="H983" s="16" t="e">
        <f t="shared" si="1980"/>
        <v>#N/A</v>
      </c>
      <c r="I983" s="16" t="e">
        <f t="shared" si="1980"/>
        <v>#N/A</v>
      </c>
      <c r="J983" s="40" t="e">
        <f t="shared" si="1980"/>
        <v>#N/A</v>
      </c>
      <c r="K983" s="16" t="e">
        <f t="shared" si="1980"/>
        <v>#N/A</v>
      </c>
      <c r="L983" s="40" t="e">
        <f t="shared" si="1817"/>
        <v>#N/A</v>
      </c>
      <c r="M983" s="16" t="e">
        <f t="shared" si="1818"/>
        <v>#N/A</v>
      </c>
      <c r="N983" s="16" t="e">
        <f t="shared" si="1819"/>
        <v>#N/A</v>
      </c>
      <c r="O983" s="16" t="s">
        <v>67</v>
      </c>
      <c r="P983" s="16" t="str">
        <f t="shared" si="6"/>
        <v/>
      </c>
      <c r="Q983" s="41" t="e">
        <f t="shared" si="1820"/>
        <v>#N/A</v>
      </c>
      <c r="R983" s="44"/>
      <c r="S983" s="44"/>
      <c r="T983" s="43"/>
      <c r="U983" s="43" t="str">
        <f t="shared" si="8"/>
        <v>No</v>
      </c>
      <c r="V983" s="25"/>
      <c r="W983" s="25"/>
      <c r="X983" s="25"/>
      <c r="Y983" s="25"/>
      <c r="Z983" s="25"/>
    </row>
    <row r="984" spans="1:26" ht="15.75" customHeight="1" x14ac:dyDescent="0.25">
      <c r="A984" s="25">
        <v>982</v>
      </c>
      <c r="B984" s="37" t="e">
        <f t="shared" ref="B984:D984" si="1981">VLOOKUP($A984,'[3]Gestión Pública'!$A$1:$O$251,B$1,0)</f>
        <v>#N/A</v>
      </c>
      <c r="C984" s="38" t="e">
        <f t="shared" si="1981"/>
        <v>#N/A</v>
      </c>
      <c r="D984" s="39" t="e">
        <f t="shared" si="1981"/>
        <v>#N/A</v>
      </c>
      <c r="E984" s="16" t="e">
        <f t="shared" si="1"/>
        <v>#N/A</v>
      </c>
      <c r="F984" s="16" t="e">
        <f t="shared" ref="F984:K984" si="1982">VLOOKUP($A984,'[3]Gestión Pública'!$A$1:$O$251,F$1,0)</f>
        <v>#N/A</v>
      </c>
      <c r="G984" s="39" t="e">
        <f t="shared" si="1982"/>
        <v>#N/A</v>
      </c>
      <c r="H984" s="16" t="e">
        <f t="shared" si="1982"/>
        <v>#N/A</v>
      </c>
      <c r="I984" s="16" t="e">
        <f t="shared" si="1982"/>
        <v>#N/A</v>
      </c>
      <c r="J984" s="40" t="e">
        <f t="shared" si="1982"/>
        <v>#N/A</v>
      </c>
      <c r="K984" s="16" t="e">
        <f t="shared" si="1982"/>
        <v>#N/A</v>
      </c>
      <c r="L984" s="40" t="e">
        <f t="shared" si="1817"/>
        <v>#N/A</v>
      </c>
      <c r="M984" s="16" t="e">
        <f t="shared" si="1818"/>
        <v>#N/A</v>
      </c>
      <c r="N984" s="16" t="e">
        <f t="shared" si="1819"/>
        <v>#N/A</v>
      </c>
      <c r="O984" s="16" t="s">
        <v>67</v>
      </c>
      <c r="P984" s="16" t="str">
        <f t="shared" si="6"/>
        <v/>
      </c>
      <c r="Q984" s="41" t="e">
        <f t="shared" si="1820"/>
        <v>#N/A</v>
      </c>
      <c r="R984" s="44"/>
      <c r="S984" s="44"/>
      <c r="T984" s="43"/>
      <c r="U984" s="43" t="str">
        <f t="shared" si="8"/>
        <v>No</v>
      </c>
      <c r="V984" s="25"/>
      <c r="W984" s="25"/>
      <c r="X984" s="25"/>
      <c r="Y984" s="25"/>
      <c r="Z984" s="25"/>
    </row>
    <row r="985" spans="1:26" ht="15.75" customHeight="1" x14ac:dyDescent="0.25">
      <c r="A985" s="25">
        <v>983</v>
      </c>
      <c r="B985" s="37" t="e">
        <f t="shared" ref="B985:D985" si="1983">VLOOKUP($A985,'[3]Gestión Pública'!$A$1:$O$251,B$1,0)</f>
        <v>#N/A</v>
      </c>
      <c r="C985" s="38" t="e">
        <f t="shared" si="1983"/>
        <v>#N/A</v>
      </c>
      <c r="D985" s="39" t="e">
        <f t="shared" si="1983"/>
        <v>#N/A</v>
      </c>
      <c r="E985" s="16" t="e">
        <f t="shared" si="1"/>
        <v>#N/A</v>
      </c>
      <c r="F985" s="16" t="e">
        <f t="shared" ref="F985:K985" si="1984">VLOOKUP($A985,'[3]Gestión Pública'!$A$1:$O$251,F$1,0)</f>
        <v>#N/A</v>
      </c>
      <c r="G985" s="39" t="e">
        <f t="shared" si="1984"/>
        <v>#N/A</v>
      </c>
      <c r="H985" s="16" t="e">
        <f t="shared" si="1984"/>
        <v>#N/A</v>
      </c>
      <c r="I985" s="16" t="e">
        <f t="shared" si="1984"/>
        <v>#N/A</v>
      </c>
      <c r="J985" s="40" t="e">
        <f t="shared" si="1984"/>
        <v>#N/A</v>
      </c>
      <c r="K985" s="16" t="e">
        <f t="shared" si="1984"/>
        <v>#N/A</v>
      </c>
      <c r="L985" s="40" t="e">
        <f t="shared" si="1817"/>
        <v>#N/A</v>
      </c>
      <c r="M985" s="16" t="e">
        <f t="shared" si="1818"/>
        <v>#N/A</v>
      </c>
      <c r="N985" s="16" t="e">
        <f t="shared" si="1819"/>
        <v>#N/A</v>
      </c>
      <c r="O985" s="16" t="s">
        <v>67</v>
      </c>
      <c r="P985" s="16" t="str">
        <f t="shared" si="6"/>
        <v/>
      </c>
      <c r="Q985" s="41" t="e">
        <f t="shared" si="1820"/>
        <v>#N/A</v>
      </c>
      <c r="R985" s="44"/>
      <c r="S985" s="44"/>
      <c r="T985" s="43"/>
      <c r="U985" s="43" t="str">
        <f t="shared" si="8"/>
        <v>No</v>
      </c>
      <c r="V985" s="25"/>
      <c r="W985" s="25"/>
      <c r="X985" s="25"/>
      <c r="Y985" s="25"/>
      <c r="Z985" s="25"/>
    </row>
    <row r="986" spans="1:26" ht="15.75" customHeight="1" x14ac:dyDescent="0.25">
      <c r="A986" s="25">
        <v>984</v>
      </c>
      <c r="B986" s="37" t="e">
        <f t="shared" ref="B986:D986" si="1985">VLOOKUP($A986,'[3]Gestión Pública'!$A$1:$O$251,B$1,0)</f>
        <v>#N/A</v>
      </c>
      <c r="C986" s="38" t="e">
        <f t="shared" si="1985"/>
        <v>#N/A</v>
      </c>
      <c r="D986" s="39" t="e">
        <f t="shared" si="1985"/>
        <v>#N/A</v>
      </c>
      <c r="E986" s="16" t="e">
        <f t="shared" si="1"/>
        <v>#N/A</v>
      </c>
      <c r="F986" s="16" t="e">
        <f t="shared" ref="F986:K986" si="1986">VLOOKUP($A986,'[3]Gestión Pública'!$A$1:$O$251,F$1,0)</f>
        <v>#N/A</v>
      </c>
      <c r="G986" s="39" t="e">
        <f t="shared" si="1986"/>
        <v>#N/A</v>
      </c>
      <c r="H986" s="16" t="e">
        <f t="shared" si="1986"/>
        <v>#N/A</v>
      </c>
      <c r="I986" s="16" t="e">
        <f t="shared" si="1986"/>
        <v>#N/A</v>
      </c>
      <c r="J986" s="40" t="e">
        <f t="shared" si="1986"/>
        <v>#N/A</v>
      </c>
      <c r="K986" s="16" t="e">
        <f t="shared" si="1986"/>
        <v>#N/A</v>
      </c>
      <c r="L986" s="40" t="e">
        <f t="shared" si="1817"/>
        <v>#N/A</v>
      </c>
      <c r="M986" s="16" t="e">
        <f t="shared" si="1818"/>
        <v>#N/A</v>
      </c>
      <c r="N986" s="16" t="e">
        <f t="shared" si="1819"/>
        <v>#N/A</v>
      </c>
      <c r="O986" s="16" t="s">
        <v>67</v>
      </c>
      <c r="P986" s="16" t="str">
        <f t="shared" si="6"/>
        <v/>
      </c>
      <c r="Q986" s="41" t="e">
        <f t="shared" si="1820"/>
        <v>#N/A</v>
      </c>
      <c r="R986" s="44"/>
      <c r="S986" s="44"/>
      <c r="T986" s="43"/>
      <c r="U986" s="43" t="str">
        <f t="shared" si="8"/>
        <v>No</v>
      </c>
      <c r="V986" s="25"/>
      <c r="W986" s="25"/>
      <c r="X986" s="25"/>
      <c r="Y986" s="25"/>
      <c r="Z986" s="25"/>
    </row>
    <row r="987" spans="1:26" ht="15.75" customHeight="1" x14ac:dyDescent="0.25">
      <c r="A987" s="25">
        <v>985</v>
      </c>
      <c r="B987" s="37" t="e">
        <f t="shared" ref="B987:D987" si="1987">VLOOKUP($A987,'[3]Gestión Pública'!$A$1:$O$251,B$1,0)</f>
        <v>#N/A</v>
      </c>
      <c r="C987" s="38" t="e">
        <f t="shared" si="1987"/>
        <v>#N/A</v>
      </c>
      <c r="D987" s="39" t="e">
        <f t="shared" si="1987"/>
        <v>#N/A</v>
      </c>
      <c r="E987" s="16" t="e">
        <f t="shared" si="1"/>
        <v>#N/A</v>
      </c>
      <c r="F987" s="16" t="e">
        <f t="shared" ref="F987:K987" si="1988">VLOOKUP($A987,'[3]Gestión Pública'!$A$1:$O$251,F$1,0)</f>
        <v>#N/A</v>
      </c>
      <c r="G987" s="39" t="e">
        <f t="shared" si="1988"/>
        <v>#N/A</v>
      </c>
      <c r="H987" s="16" t="e">
        <f t="shared" si="1988"/>
        <v>#N/A</v>
      </c>
      <c r="I987" s="16" t="e">
        <f t="shared" si="1988"/>
        <v>#N/A</v>
      </c>
      <c r="J987" s="40" t="e">
        <f t="shared" si="1988"/>
        <v>#N/A</v>
      </c>
      <c r="K987" s="16" t="e">
        <f t="shared" si="1988"/>
        <v>#N/A</v>
      </c>
      <c r="L987" s="40" t="e">
        <f t="shared" si="1817"/>
        <v>#N/A</v>
      </c>
      <c r="M987" s="16" t="e">
        <f t="shared" si="1818"/>
        <v>#N/A</v>
      </c>
      <c r="N987" s="16" t="e">
        <f t="shared" si="1819"/>
        <v>#N/A</v>
      </c>
      <c r="O987" s="16" t="s">
        <v>67</v>
      </c>
      <c r="P987" s="16" t="str">
        <f t="shared" si="6"/>
        <v/>
      </c>
      <c r="Q987" s="41" t="e">
        <f t="shared" si="1820"/>
        <v>#N/A</v>
      </c>
      <c r="R987" s="44"/>
      <c r="S987" s="44"/>
      <c r="T987" s="43"/>
      <c r="U987" s="43" t="str">
        <f t="shared" si="8"/>
        <v>No</v>
      </c>
      <c r="V987" s="25"/>
      <c r="W987" s="25"/>
      <c r="X987" s="25"/>
      <c r="Y987" s="25"/>
      <c r="Z987" s="25"/>
    </row>
    <row r="988" spans="1:26" ht="15.75" customHeight="1" x14ac:dyDescent="0.25">
      <c r="A988" s="25">
        <v>986</v>
      </c>
      <c r="B988" s="37" t="e">
        <f t="shared" ref="B988:D988" si="1989">VLOOKUP($A988,'[3]Gestión Pública'!$A$1:$O$251,B$1,0)</f>
        <v>#N/A</v>
      </c>
      <c r="C988" s="38" t="e">
        <f t="shared" si="1989"/>
        <v>#N/A</v>
      </c>
      <c r="D988" s="39" t="e">
        <f t="shared" si="1989"/>
        <v>#N/A</v>
      </c>
      <c r="E988" s="16" t="e">
        <f t="shared" si="1"/>
        <v>#N/A</v>
      </c>
      <c r="F988" s="16" t="e">
        <f t="shared" ref="F988:K988" si="1990">VLOOKUP($A988,'[3]Gestión Pública'!$A$1:$O$251,F$1,0)</f>
        <v>#N/A</v>
      </c>
      <c r="G988" s="39" t="e">
        <f t="shared" si="1990"/>
        <v>#N/A</v>
      </c>
      <c r="H988" s="16" t="e">
        <f t="shared" si="1990"/>
        <v>#N/A</v>
      </c>
      <c r="I988" s="16" t="e">
        <f t="shared" si="1990"/>
        <v>#N/A</v>
      </c>
      <c r="J988" s="40" t="e">
        <f t="shared" si="1990"/>
        <v>#N/A</v>
      </c>
      <c r="K988" s="16" t="e">
        <f t="shared" si="1990"/>
        <v>#N/A</v>
      </c>
      <c r="L988" s="40" t="e">
        <f t="shared" si="1817"/>
        <v>#N/A</v>
      </c>
      <c r="M988" s="16" t="e">
        <f t="shared" si="1818"/>
        <v>#N/A</v>
      </c>
      <c r="N988" s="16" t="e">
        <f t="shared" si="1819"/>
        <v>#N/A</v>
      </c>
      <c r="O988" s="16" t="s">
        <v>67</v>
      </c>
      <c r="P988" s="16" t="str">
        <f t="shared" si="6"/>
        <v/>
      </c>
      <c r="Q988" s="41" t="e">
        <f t="shared" si="1820"/>
        <v>#N/A</v>
      </c>
      <c r="R988" s="44"/>
      <c r="S988" s="44"/>
      <c r="T988" s="43"/>
      <c r="U988" s="43" t="str">
        <f t="shared" si="8"/>
        <v>No</v>
      </c>
      <c r="V988" s="25"/>
      <c r="W988" s="25"/>
      <c r="X988" s="25"/>
      <c r="Y988" s="25"/>
      <c r="Z988" s="25"/>
    </row>
    <row r="989" spans="1:26" ht="15.75" customHeight="1" x14ac:dyDescent="0.25">
      <c r="A989" s="25">
        <v>987</v>
      </c>
      <c r="B989" s="37" t="e">
        <f t="shared" ref="B989:D989" si="1991">VLOOKUP($A989,'[3]Gestión Pública'!$A$1:$O$251,B$1,0)</f>
        <v>#N/A</v>
      </c>
      <c r="C989" s="38" t="e">
        <f t="shared" si="1991"/>
        <v>#N/A</v>
      </c>
      <c r="D989" s="39" t="e">
        <f t="shared" si="1991"/>
        <v>#N/A</v>
      </c>
      <c r="E989" s="16" t="e">
        <f t="shared" si="1"/>
        <v>#N/A</v>
      </c>
      <c r="F989" s="16" t="e">
        <f t="shared" ref="F989:K989" si="1992">VLOOKUP($A989,'[3]Gestión Pública'!$A$1:$O$251,F$1,0)</f>
        <v>#N/A</v>
      </c>
      <c r="G989" s="39" t="e">
        <f t="shared" si="1992"/>
        <v>#N/A</v>
      </c>
      <c r="H989" s="16" t="e">
        <f t="shared" si="1992"/>
        <v>#N/A</v>
      </c>
      <c r="I989" s="16" t="e">
        <f t="shared" si="1992"/>
        <v>#N/A</v>
      </c>
      <c r="J989" s="40" t="e">
        <f t="shared" si="1992"/>
        <v>#N/A</v>
      </c>
      <c r="K989" s="16" t="e">
        <f t="shared" si="1992"/>
        <v>#N/A</v>
      </c>
      <c r="L989" s="40" t="e">
        <f t="shared" si="1817"/>
        <v>#N/A</v>
      </c>
      <c r="M989" s="16" t="e">
        <f t="shared" si="1818"/>
        <v>#N/A</v>
      </c>
      <c r="N989" s="16" t="e">
        <f t="shared" si="1819"/>
        <v>#N/A</v>
      </c>
      <c r="O989" s="16" t="s">
        <v>67</v>
      </c>
      <c r="P989" s="16" t="str">
        <f t="shared" si="6"/>
        <v/>
      </c>
      <c r="Q989" s="41" t="e">
        <f t="shared" si="1820"/>
        <v>#N/A</v>
      </c>
      <c r="R989" s="44"/>
      <c r="S989" s="44"/>
      <c r="T989" s="43"/>
      <c r="U989" s="43" t="str">
        <f t="shared" si="8"/>
        <v>No</v>
      </c>
      <c r="V989" s="25"/>
      <c r="W989" s="25"/>
      <c r="X989" s="25"/>
      <c r="Y989" s="25"/>
      <c r="Z989" s="25"/>
    </row>
    <row r="990" spans="1:26" ht="15.75" customHeight="1" x14ac:dyDescent="0.25">
      <c r="A990" s="25">
        <v>988</v>
      </c>
      <c r="B990" s="37" t="e">
        <f t="shared" ref="B990:D990" si="1993">VLOOKUP($A990,'[3]Gestión Pública'!$A$1:$O$251,B$1,0)</f>
        <v>#N/A</v>
      </c>
      <c r="C990" s="38" t="e">
        <f t="shared" si="1993"/>
        <v>#N/A</v>
      </c>
      <c r="D990" s="39" t="e">
        <f t="shared" si="1993"/>
        <v>#N/A</v>
      </c>
      <c r="E990" s="16" t="e">
        <f t="shared" si="1"/>
        <v>#N/A</v>
      </c>
      <c r="F990" s="16" t="e">
        <f t="shared" ref="F990:K990" si="1994">VLOOKUP($A990,'[3]Gestión Pública'!$A$1:$O$251,F$1,0)</f>
        <v>#N/A</v>
      </c>
      <c r="G990" s="39" t="e">
        <f t="shared" si="1994"/>
        <v>#N/A</v>
      </c>
      <c r="H990" s="16" t="e">
        <f t="shared" si="1994"/>
        <v>#N/A</v>
      </c>
      <c r="I990" s="16" t="e">
        <f t="shared" si="1994"/>
        <v>#N/A</v>
      </c>
      <c r="J990" s="40" t="e">
        <f t="shared" si="1994"/>
        <v>#N/A</v>
      </c>
      <c r="K990" s="16" t="e">
        <f t="shared" si="1994"/>
        <v>#N/A</v>
      </c>
      <c r="L990" s="40" t="e">
        <f t="shared" si="1817"/>
        <v>#N/A</v>
      </c>
      <c r="M990" s="16" t="e">
        <f t="shared" si="1818"/>
        <v>#N/A</v>
      </c>
      <c r="N990" s="16" t="e">
        <f t="shared" si="1819"/>
        <v>#N/A</v>
      </c>
      <c r="O990" s="16" t="s">
        <v>67</v>
      </c>
      <c r="P990" s="16" t="str">
        <f t="shared" si="6"/>
        <v/>
      </c>
      <c r="Q990" s="41" t="e">
        <f t="shared" si="1820"/>
        <v>#N/A</v>
      </c>
      <c r="R990" s="44"/>
      <c r="S990" s="44"/>
      <c r="T990" s="43"/>
      <c r="U990" s="43" t="str">
        <f t="shared" si="8"/>
        <v>No</v>
      </c>
      <c r="V990" s="25"/>
      <c r="W990" s="25"/>
      <c r="X990" s="25"/>
      <c r="Y990" s="25"/>
      <c r="Z990" s="25"/>
    </row>
    <row r="991" spans="1:26" ht="15.75" customHeight="1" x14ac:dyDescent="0.25">
      <c r="A991" s="25">
        <v>989</v>
      </c>
      <c r="B991" s="37" t="e">
        <f t="shared" ref="B991:D991" si="1995">VLOOKUP($A991,'[3]Gestión Pública'!$A$1:$O$251,B$1,0)</f>
        <v>#N/A</v>
      </c>
      <c r="C991" s="38" t="e">
        <f t="shared" si="1995"/>
        <v>#N/A</v>
      </c>
      <c r="D991" s="39" t="e">
        <f t="shared" si="1995"/>
        <v>#N/A</v>
      </c>
      <c r="E991" s="16" t="e">
        <f t="shared" si="1"/>
        <v>#N/A</v>
      </c>
      <c r="F991" s="16" t="e">
        <f t="shared" ref="F991:K991" si="1996">VLOOKUP($A991,'[3]Gestión Pública'!$A$1:$O$251,F$1,0)</f>
        <v>#N/A</v>
      </c>
      <c r="G991" s="39" t="e">
        <f t="shared" si="1996"/>
        <v>#N/A</v>
      </c>
      <c r="H991" s="16" t="e">
        <f t="shared" si="1996"/>
        <v>#N/A</v>
      </c>
      <c r="I991" s="16" t="e">
        <f t="shared" si="1996"/>
        <v>#N/A</v>
      </c>
      <c r="J991" s="40" t="e">
        <f t="shared" si="1996"/>
        <v>#N/A</v>
      </c>
      <c r="K991" s="16" t="e">
        <f t="shared" si="1996"/>
        <v>#N/A</v>
      </c>
      <c r="L991" s="40" t="e">
        <f t="shared" si="1817"/>
        <v>#N/A</v>
      </c>
      <c r="M991" s="16" t="e">
        <f t="shared" si="1818"/>
        <v>#N/A</v>
      </c>
      <c r="N991" s="16" t="e">
        <f t="shared" si="1819"/>
        <v>#N/A</v>
      </c>
      <c r="O991" s="16" t="s">
        <v>67</v>
      </c>
      <c r="P991" s="16" t="str">
        <f t="shared" si="6"/>
        <v/>
      </c>
      <c r="Q991" s="41" t="e">
        <f t="shared" si="1820"/>
        <v>#N/A</v>
      </c>
      <c r="R991" s="44"/>
      <c r="S991" s="44"/>
      <c r="T991" s="43"/>
      <c r="U991" s="43" t="str">
        <f t="shared" si="8"/>
        <v>No</v>
      </c>
      <c r="V991" s="25"/>
      <c r="W991" s="25"/>
      <c r="X991" s="25"/>
      <c r="Y991" s="25"/>
      <c r="Z991" s="25"/>
    </row>
    <row r="992" spans="1:26" ht="15.75" customHeight="1" x14ac:dyDescent="0.25">
      <c r="A992" s="25">
        <v>990</v>
      </c>
      <c r="B992" s="37" t="e">
        <f t="shared" ref="B992:D992" si="1997">VLOOKUP($A992,'[3]Gestión Pública'!$A$1:$O$251,B$1,0)</f>
        <v>#N/A</v>
      </c>
      <c r="C992" s="38" t="e">
        <f t="shared" si="1997"/>
        <v>#N/A</v>
      </c>
      <c r="D992" s="39" t="e">
        <f t="shared" si="1997"/>
        <v>#N/A</v>
      </c>
      <c r="E992" s="16" t="e">
        <f t="shared" si="1"/>
        <v>#N/A</v>
      </c>
      <c r="F992" s="16" t="e">
        <f t="shared" ref="F992:K992" si="1998">VLOOKUP($A992,'[3]Gestión Pública'!$A$1:$O$251,F$1,0)</f>
        <v>#N/A</v>
      </c>
      <c r="G992" s="39" t="e">
        <f t="shared" si="1998"/>
        <v>#N/A</v>
      </c>
      <c r="H992" s="16" t="e">
        <f t="shared" si="1998"/>
        <v>#N/A</v>
      </c>
      <c r="I992" s="16" t="e">
        <f t="shared" si="1998"/>
        <v>#N/A</v>
      </c>
      <c r="J992" s="40" t="e">
        <f t="shared" si="1998"/>
        <v>#N/A</v>
      </c>
      <c r="K992" s="16" t="e">
        <f t="shared" si="1998"/>
        <v>#N/A</v>
      </c>
      <c r="L992" s="40" t="e">
        <f t="shared" si="1817"/>
        <v>#N/A</v>
      </c>
      <c r="M992" s="16" t="e">
        <f t="shared" si="1818"/>
        <v>#N/A</v>
      </c>
      <c r="N992" s="16" t="e">
        <f t="shared" si="1819"/>
        <v>#N/A</v>
      </c>
      <c r="O992" s="16" t="s">
        <v>67</v>
      </c>
      <c r="P992" s="16" t="str">
        <f t="shared" si="6"/>
        <v/>
      </c>
      <c r="Q992" s="41" t="e">
        <f t="shared" si="1820"/>
        <v>#N/A</v>
      </c>
      <c r="R992" s="44"/>
      <c r="S992" s="44"/>
      <c r="T992" s="43"/>
      <c r="U992" s="43" t="str">
        <f t="shared" si="8"/>
        <v>No</v>
      </c>
      <c r="V992" s="25"/>
      <c r="W992" s="25"/>
      <c r="X992" s="25"/>
      <c r="Y992" s="25"/>
      <c r="Z992" s="25"/>
    </row>
    <row r="993" spans="1:26" ht="15.75" customHeight="1" x14ac:dyDescent="0.25">
      <c r="A993" s="25">
        <v>991</v>
      </c>
      <c r="B993" s="37" t="e">
        <f t="shared" ref="B993:D993" si="1999">VLOOKUP($A993,'[3]Gestión Pública'!$A$1:$O$251,B$1,0)</f>
        <v>#N/A</v>
      </c>
      <c r="C993" s="38" t="e">
        <f t="shared" si="1999"/>
        <v>#N/A</v>
      </c>
      <c r="D993" s="39" t="e">
        <f t="shared" si="1999"/>
        <v>#N/A</v>
      </c>
      <c r="E993" s="16" t="e">
        <f t="shared" si="1"/>
        <v>#N/A</v>
      </c>
      <c r="F993" s="16" t="e">
        <f t="shared" ref="F993:K993" si="2000">VLOOKUP($A993,'[3]Gestión Pública'!$A$1:$O$251,F$1,0)</f>
        <v>#N/A</v>
      </c>
      <c r="G993" s="39" t="e">
        <f t="shared" si="2000"/>
        <v>#N/A</v>
      </c>
      <c r="H993" s="16" t="e">
        <f t="shared" si="2000"/>
        <v>#N/A</v>
      </c>
      <c r="I993" s="16" t="e">
        <f t="shared" si="2000"/>
        <v>#N/A</v>
      </c>
      <c r="J993" s="40" t="e">
        <f t="shared" si="2000"/>
        <v>#N/A</v>
      </c>
      <c r="K993" s="16" t="e">
        <f t="shared" si="2000"/>
        <v>#N/A</v>
      </c>
      <c r="L993" s="40" t="e">
        <f t="shared" si="1817"/>
        <v>#N/A</v>
      </c>
      <c r="M993" s="16" t="e">
        <f t="shared" si="1818"/>
        <v>#N/A</v>
      </c>
      <c r="N993" s="16" t="e">
        <f t="shared" si="1819"/>
        <v>#N/A</v>
      </c>
      <c r="O993" s="16" t="s">
        <v>67</v>
      </c>
      <c r="P993" s="16" t="str">
        <f t="shared" si="6"/>
        <v/>
      </c>
      <c r="Q993" s="41" t="e">
        <f t="shared" si="1820"/>
        <v>#N/A</v>
      </c>
      <c r="R993" s="44"/>
      <c r="S993" s="44"/>
      <c r="T993" s="43"/>
      <c r="U993" s="43" t="str">
        <f t="shared" si="8"/>
        <v>No</v>
      </c>
      <c r="V993" s="25"/>
      <c r="W993" s="25"/>
      <c r="X993" s="25"/>
      <c r="Y993" s="25"/>
      <c r="Z993" s="25"/>
    </row>
    <row r="994" spans="1:26" ht="15.75" customHeight="1" x14ac:dyDescent="0.25">
      <c r="A994" s="25">
        <v>992</v>
      </c>
      <c r="B994" s="37" t="e">
        <f t="shared" ref="B994:D994" si="2001">VLOOKUP($A994,'[3]Gestión Pública'!$A$1:$O$251,B$1,0)</f>
        <v>#N/A</v>
      </c>
      <c r="C994" s="38" t="e">
        <f t="shared" si="2001"/>
        <v>#N/A</v>
      </c>
      <c r="D994" s="39" t="e">
        <f t="shared" si="2001"/>
        <v>#N/A</v>
      </c>
      <c r="E994" s="16" t="e">
        <f t="shared" si="1"/>
        <v>#N/A</v>
      </c>
      <c r="F994" s="16" t="e">
        <f t="shared" ref="F994:K994" si="2002">VLOOKUP($A994,'[3]Gestión Pública'!$A$1:$O$251,F$1,0)</f>
        <v>#N/A</v>
      </c>
      <c r="G994" s="39" t="e">
        <f t="shared" si="2002"/>
        <v>#N/A</v>
      </c>
      <c r="H994" s="16" t="e">
        <f t="shared" si="2002"/>
        <v>#N/A</v>
      </c>
      <c r="I994" s="16" t="e">
        <f t="shared" si="2002"/>
        <v>#N/A</v>
      </c>
      <c r="J994" s="40" t="e">
        <f t="shared" si="2002"/>
        <v>#N/A</v>
      </c>
      <c r="K994" s="16" t="e">
        <f t="shared" si="2002"/>
        <v>#N/A</v>
      </c>
      <c r="L994" s="40" t="e">
        <f t="shared" si="1817"/>
        <v>#N/A</v>
      </c>
      <c r="M994" s="16" t="e">
        <f t="shared" si="1818"/>
        <v>#N/A</v>
      </c>
      <c r="N994" s="16" t="e">
        <f t="shared" si="1819"/>
        <v>#N/A</v>
      </c>
      <c r="O994" s="16" t="s">
        <v>67</v>
      </c>
      <c r="P994" s="16" t="str">
        <f t="shared" si="6"/>
        <v/>
      </c>
      <c r="Q994" s="41" t="e">
        <f t="shared" si="1820"/>
        <v>#N/A</v>
      </c>
      <c r="R994" s="44"/>
      <c r="S994" s="44"/>
      <c r="T994" s="43"/>
      <c r="U994" s="43" t="str">
        <f t="shared" si="8"/>
        <v>No</v>
      </c>
      <c r="V994" s="25"/>
      <c r="W994" s="25"/>
      <c r="X994" s="25"/>
      <c r="Y994" s="25"/>
      <c r="Z994" s="25"/>
    </row>
    <row r="995" spans="1:26" ht="15.75" customHeight="1" x14ac:dyDescent="0.25">
      <c r="A995" s="25">
        <v>993</v>
      </c>
      <c r="B995" s="37" t="e">
        <f t="shared" ref="B995:D995" si="2003">VLOOKUP($A995,'[3]Gestión Pública'!$A$1:$O$251,B$1,0)</f>
        <v>#N/A</v>
      </c>
      <c r="C995" s="38" t="e">
        <f t="shared" si="2003"/>
        <v>#N/A</v>
      </c>
      <c r="D995" s="39" t="e">
        <f t="shared" si="2003"/>
        <v>#N/A</v>
      </c>
      <c r="E995" s="16" t="e">
        <f t="shared" si="1"/>
        <v>#N/A</v>
      </c>
      <c r="F995" s="16" t="e">
        <f t="shared" ref="F995:K995" si="2004">VLOOKUP($A995,'[3]Gestión Pública'!$A$1:$O$251,F$1,0)</f>
        <v>#N/A</v>
      </c>
      <c r="G995" s="39" t="e">
        <f t="shared" si="2004"/>
        <v>#N/A</v>
      </c>
      <c r="H995" s="16" t="e">
        <f t="shared" si="2004"/>
        <v>#N/A</v>
      </c>
      <c r="I995" s="16" t="e">
        <f t="shared" si="2004"/>
        <v>#N/A</v>
      </c>
      <c r="J995" s="40" t="e">
        <f t="shared" si="2004"/>
        <v>#N/A</v>
      </c>
      <c r="K995" s="16" t="e">
        <f t="shared" si="2004"/>
        <v>#N/A</v>
      </c>
      <c r="L995" s="40" t="e">
        <f t="shared" si="1817"/>
        <v>#N/A</v>
      </c>
      <c r="M995" s="16" t="e">
        <f t="shared" si="1818"/>
        <v>#N/A</v>
      </c>
      <c r="N995" s="16" t="e">
        <f t="shared" si="1819"/>
        <v>#N/A</v>
      </c>
      <c r="O995" s="16" t="s">
        <v>67</v>
      </c>
      <c r="P995" s="16" t="str">
        <f t="shared" si="6"/>
        <v/>
      </c>
      <c r="Q995" s="41" t="e">
        <f t="shared" si="1820"/>
        <v>#N/A</v>
      </c>
      <c r="R995" s="44"/>
      <c r="S995" s="44"/>
      <c r="T995" s="43"/>
      <c r="U995" s="43" t="str">
        <f t="shared" si="8"/>
        <v>No</v>
      </c>
      <c r="V995" s="25"/>
      <c r="W995" s="25"/>
      <c r="X995" s="25"/>
      <c r="Y995" s="25"/>
      <c r="Z995" s="25"/>
    </row>
    <row r="996" spans="1:26" ht="15.75" customHeight="1" x14ac:dyDescent="0.25">
      <c r="A996" s="25">
        <v>994</v>
      </c>
      <c r="B996" s="37" t="e">
        <f t="shared" ref="B996:D996" si="2005">VLOOKUP($A996,'[3]Gestión Pública'!$A$1:$O$251,B$1,0)</f>
        <v>#N/A</v>
      </c>
      <c r="C996" s="38" t="e">
        <f t="shared" si="2005"/>
        <v>#N/A</v>
      </c>
      <c r="D996" s="39" t="e">
        <f t="shared" si="2005"/>
        <v>#N/A</v>
      </c>
      <c r="E996" s="16" t="e">
        <f t="shared" si="1"/>
        <v>#N/A</v>
      </c>
      <c r="F996" s="16" t="e">
        <f t="shared" ref="F996:K996" si="2006">VLOOKUP($A996,'[3]Gestión Pública'!$A$1:$O$251,F$1,0)</f>
        <v>#N/A</v>
      </c>
      <c r="G996" s="39" t="e">
        <f t="shared" si="2006"/>
        <v>#N/A</v>
      </c>
      <c r="H996" s="16" t="e">
        <f t="shared" si="2006"/>
        <v>#N/A</v>
      </c>
      <c r="I996" s="16" t="e">
        <f t="shared" si="2006"/>
        <v>#N/A</v>
      </c>
      <c r="J996" s="40" t="e">
        <f t="shared" si="2006"/>
        <v>#N/A</v>
      </c>
      <c r="K996" s="16" t="e">
        <f t="shared" si="2006"/>
        <v>#N/A</v>
      </c>
      <c r="L996" s="40" t="e">
        <f t="shared" si="1817"/>
        <v>#N/A</v>
      </c>
      <c r="M996" s="16" t="e">
        <f t="shared" si="1818"/>
        <v>#N/A</v>
      </c>
      <c r="N996" s="16" t="e">
        <f t="shared" si="1819"/>
        <v>#N/A</v>
      </c>
      <c r="O996" s="16" t="s">
        <v>67</v>
      </c>
      <c r="P996" s="16" t="str">
        <f t="shared" si="6"/>
        <v/>
      </c>
      <c r="Q996" s="41" t="e">
        <f t="shared" si="1820"/>
        <v>#N/A</v>
      </c>
      <c r="R996" s="44"/>
      <c r="S996" s="44"/>
      <c r="T996" s="43"/>
      <c r="U996" s="43" t="str">
        <f t="shared" si="8"/>
        <v>No</v>
      </c>
      <c r="V996" s="25"/>
      <c r="W996" s="25"/>
      <c r="X996" s="25"/>
      <c r="Y996" s="25"/>
      <c r="Z996" s="25"/>
    </row>
    <row r="997" spans="1:26" ht="15.75" customHeight="1" x14ac:dyDescent="0.25">
      <c r="A997" s="25">
        <v>995</v>
      </c>
      <c r="B997" s="37" t="e">
        <f t="shared" ref="B997:D997" si="2007">VLOOKUP($A997,'[3]Gestión Pública'!$A$1:$O$251,B$1,0)</f>
        <v>#N/A</v>
      </c>
      <c r="C997" s="38" t="e">
        <f t="shared" si="2007"/>
        <v>#N/A</v>
      </c>
      <c r="D997" s="39" t="e">
        <f t="shared" si="2007"/>
        <v>#N/A</v>
      </c>
      <c r="E997" s="16" t="e">
        <f t="shared" si="1"/>
        <v>#N/A</v>
      </c>
      <c r="F997" s="16" t="e">
        <f t="shared" ref="F997:K997" si="2008">VLOOKUP($A997,'[3]Gestión Pública'!$A$1:$O$251,F$1,0)</f>
        <v>#N/A</v>
      </c>
      <c r="G997" s="39" t="e">
        <f t="shared" si="2008"/>
        <v>#N/A</v>
      </c>
      <c r="H997" s="16" t="e">
        <f t="shared" si="2008"/>
        <v>#N/A</v>
      </c>
      <c r="I997" s="16" t="e">
        <f t="shared" si="2008"/>
        <v>#N/A</v>
      </c>
      <c r="J997" s="40" t="e">
        <f t="shared" si="2008"/>
        <v>#N/A</v>
      </c>
      <c r="K997" s="16" t="e">
        <f t="shared" si="2008"/>
        <v>#N/A</v>
      </c>
      <c r="L997" s="40" t="e">
        <f t="shared" si="1817"/>
        <v>#N/A</v>
      </c>
      <c r="M997" s="16" t="e">
        <f t="shared" si="1818"/>
        <v>#N/A</v>
      </c>
      <c r="N997" s="16" t="e">
        <f t="shared" si="1819"/>
        <v>#N/A</v>
      </c>
      <c r="O997" s="16" t="s">
        <v>67</v>
      </c>
      <c r="P997" s="16" t="str">
        <f t="shared" si="6"/>
        <v/>
      </c>
      <c r="Q997" s="41" t="e">
        <f t="shared" si="1820"/>
        <v>#N/A</v>
      </c>
      <c r="R997" s="44"/>
      <c r="S997" s="44"/>
      <c r="T997" s="43"/>
      <c r="U997" s="43" t="str">
        <f t="shared" si="8"/>
        <v>No</v>
      </c>
      <c r="V997" s="25"/>
      <c r="W997" s="25"/>
      <c r="X997" s="25"/>
      <c r="Y997" s="25"/>
      <c r="Z997" s="25"/>
    </row>
    <row r="998" spans="1:26" ht="15.75" customHeight="1" x14ac:dyDescent="0.25">
      <c r="A998" s="25">
        <v>996</v>
      </c>
      <c r="B998" s="37" t="e">
        <f t="shared" ref="B998:D998" si="2009">VLOOKUP($A998,'[3]Gestión Pública'!$A$1:$O$251,B$1,0)</f>
        <v>#N/A</v>
      </c>
      <c r="C998" s="38" t="e">
        <f t="shared" si="2009"/>
        <v>#N/A</v>
      </c>
      <c r="D998" s="39" t="e">
        <f t="shared" si="2009"/>
        <v>#N/A</v>
      </c>
      <c r="E998" s="16" t="e">
        <f t="shared" si="1"/>
        <v>#N/A</v>
      </c>
      <c r="F998" s="16" t="e">
        <f t="shared" ref="F998:K998" si="2010">VLOOKUP($A998,'[3]Gestión Pública'!$A$1:$O$251,F$1,0)</f>
        <v>#N/A</v>
      </c>
      <c r="G998" s="39" t="e">
        <f t="shared" si="2010"/>
        <v>#N/A</v>
      </c>
      <c r="H998" s="16" t="e">
        <f t="shared" si="2010"/>
        <v>#N/A</v>
      </c>
      <c r="I998" s="16" t="e">
        <f t="shared" si="2010"/>
        <v>#N/A</v>
      </c>
      <c r="J998" s="40" t="e">
        <f t="shared" si="2010"/>
        <v>#N/A</v>
      </c>
      <c r="K998" s="16" t="e">
        <f t="shared" si="2010"/>
        <v>#N/A</v>
      </c>
      <c r="L998" s="40" t="e">
        <f t="shared" si="1817"/>
        <v>#N/A</v>
      </c>
      <c r="M998" s="16" t="e">
        <f t="shared" si="1818"/>
        <v>#N/A</v>
      </c>
      <c r="N998" s="16" t="e">
        <f t="shared" si="1819"/>
        <v>#N/A</v>
      </c>
      <c r="O998" s="16" t="s">
        <v>67</v>
      </c>
      <c r="P998" s="16" t="str">
        <f t="shared" si="6"/>
        <v/>
      </c>
      <c r="Q998" s="41" t="e">
        <f t="shared" si="1820"/>
        <v>#N/A</v>
      </c>
      <c r="R998" s="44"/>
      <c r="S998" s="44"/>
      <c r="T998" s="43"/>
      <c r="U998" s="43" t="str">
        <f t="shared" si="8"/>
        <v>No</v>
      </c>
      <c r="V998" s="25"/>
      <c r="W998" s="25"/>
      <c r="X998" s="25"/>
      <c r="Y998" s="25"/>
      <c r="Z998" s="25"/>
    </row>
    <row r="999" spans="1:26" ht="15.75" customHeight="1" x14ac:dyDescent="0.25">
      <c r="A999" s="25">
        <v>997</v>
      </c>
      <c r="B999" s="37" t="e">
        <f t="shared" ref="B999:D999" si="2011">VLOOKUP($A999,'[3]Gestión Pública'!$A$1:$O$251,B$1,0)</f>
        <v>#N/A</v>
      </c>
      <c r="C999" s="38" t="e">
        <f t="shared" si="2011"/>
        <v>#N/A</v>
      </c>
      <c r="D999" s="39" t="e">
        <f t="shared" si="2011"/>
        <v>#N/A</v>
      </c>
      <c r="E999" s="16" t="e">
        <f t="shared" si="1"/>
        <v>#N/A</v>
      </c>
      <c r="F999" s="16" t="e">
        <f t="shared" ref="F999:K999" si="2012">VLOOKUP($A999,'[3]Gestión Pública'!$A$1:$O$251,F$1,0)</f>
        <v>#N/A</v>
      </c>
      <c r="G999" s="39" t="e">
        <f t="shared" si="2012"/>
        <v>#N/A</v>
      </c>
      <c r="H999" s="16" t="e">
        <f t="shared" si="2012"/>
        <v>#N/A</v>
      </c>
      <c r="I999" s="16" t="e">
        <f t="shared" si="2012"/>
        <v>#N/A</v>
      </c>
      <c r="J999" s="40" t="e">
        <f t="shared" si="2012"/>
        <v>#N/A</v>
      </c>
      <c r="K999" s="16" t="e">
        <f t="shared" si="2012"/>
        <v>#N/A</v>
      </c>
      <c r="L999" s="40" t="e">
        <f t="shared" si="1817"/>
        <v>#N/A</v>
      </c>
      <c r="M999" s="16" t="e">
        <f t="shared" si="1818"/>
        <v>#N/A</v>
      </c>
      <c r="N999" s="16" t="e">
        <f t="shared" si="1819"/>
        <v>#N/A</v>
      </c>
      <c r="O999" s="16" t="s">
        <v>67</v>
      </c>
      <c r="P999" s="16" t="str">
        <f t="shared" si="6"/>
        <v/>
      </c>
      <c r="Q999" s="41" t="e">
        <f t="shared" si="1820"/>
        <v>#N/A</v>
      </c>
      <c r="R999" s="44"/>
      <c r="S999" s="44"/>
      <c r="T999" s="43"/>
      <c r="U999" s="43" t="str">
        <f t="shared" si="8"/>
        <v>No</v>
      </c>
      <c r="V999" s="25"/>
      <c r="W999" s="25"/>
      <c r="X999" s="25"/>
      <c r="Y999" s="25"/>
      <c r="Z999" s="25"/>
    </row>
    <row r="1000" spans="1:26" ht="15.75" customHeight="1" x14ac:dyDescent="0.25">
      <c r="A1000" s="25">
        <v>998</v>
      </c>
      <c r="B1000" s="37" t="e">
        <f t="shared" ref="B1000:D1000" si="2013">VLOOKUP($A1000,'[3]Gestión Pública'!$A$1:$O$251,B$1,0)</f>
        <v>#N/A</v>
      </c>
      <c r="C1000" s="38" t="e">
        <f t="shared" si="2013"/>
        <v>#N/A</v>
      </c>
      <c r="D1000" s="39" t="e">
        <f t="shared" si="2013"/>
        <v>#N/A</v>
      </c>
      <c r="E1000" s="16" t="e">
        <f t="shared" si="1"/>
        <v>#N/A</v>
      </c>
      <c r="F1000" s="16" t="e">
        <f t="shared" ref="F1000:K1000" si="2014">VLOOKUP($A1000,'[3]Gestión Pública'!$A$1:$O$251,F$1,0)</f>
        <v>#N/A</v>
      </c>
      <c r="G1000" s="39" t="e">
        <f t="shared" si="2014"/>
        <v>#N/A</v>
      </c>
      <c r="H1000" s="16" t="e">
        <f t="shared" si="2014"/>
        <v>#N/A</v>
      </c>
      <c r="I1000" s="16" t="e">
        <f t="shared" si="2014"/>
        <v>#N/A</v>
      </c>
      <c r="J1000" s="40" t="e">
        <f t="shared" si="2014"/>
        <v>#N/A</v>
      </c>
      <c r="K1000" s="16" t="e">
        <f t="shared" si="2014"/>
        <v>#N/A</v>
      </c>
      <c r="L1000" s="40" t="e">
        <f t="shared" si="1817"/>
        <v>#N/A</v>
      </c>
      <c r="M1000" s="16" t="e">
        <f t="shared" si="1818"/>
        <v>#N/A</v>
      </c>
      <c r="N1000" s="16" t="e">
        <f t="shared" si="1819"/>
        <v>#N/A</v>
      </c>
      <c r="O1000" s="16" t="s">
        <v>67</v>
      </c>
      <c r="P1000" s="16" t="str">
        <f t="shared" si="6"/>
        <v/>
      </c>
      <c r="Q1000" s="41" t="e">
        <f t="shared" si="1820"/>
        <v>#N/A</v>
      </c>
      <c r="R1000" s="44"/>
      <c r="S1000" s="44"/>
      <c r="T1000" s="43"/>
      <c r="U1000" s="43" t="str">
        <f t="shared" si="8"/>
        <v>No</v>
      </c>
      <c r="V1000" s="25"/>
      <c r="W1000" s="25"/>
      <c r="X1000" s="25"/>
      <c r="Y1000" s="25"/>
      <c r="Z1000" s="25"/>
    </row>
    <row r="1001" spans="1:26" ht="15.75" customHeight="1" x14ac:dyDescent="0.25">
      <c r="A1001" s="25">
        <v>999</v>
      </c>
      <c r="B1001" s="37" t="e">
        <f t="shared" ref="B1001:D1001" si="2015">VLOOKUP($A1001,'[3]Gestión Pública'!$A$1:$O$251,B$1,0)</f>
        <v>#N/A</v>
      </c>
      <c r="C1001" s="38" t="e">
        <f t="shared" si="2015"/>
        <v>#N/A</v>
      </c>
      <c r="D1001" s="39" t="e">
        <f t="shared" si="2015"/>
        <v>#N/A</v>
      </c>
      <c r="E1001" s="16" t="e">
        <f t="shared" si="1"/>
        <v>#N/A</v>
      </c>
      <c r="F1001" s="16" t="e">
        <f t="shared" ref="F1001:K1001" si="2016">VLOOKUP($A1001,'[3]Gestión Pública'!$A$1:$O$251,F$1,0)</f>
        <v>#N/A</v>
      </c>
      <c r="G1001" s="39" t="e">
        <f t="shared" si="2016"/>
        <v>#N/A</v>
      </c>
      <c r="H1001" s="16" t="e">
        <f t="shared" si="2016"/>
        <v>#N/A</v>
      </c>
      <c r="I1001" s="16" t="e">
        <f t="shared" si="2016"/>
        <v>#N/A</v>
      </c>
      <c r="J1001" s="40" t="e">
        <f t="shared" si="2016"/>
        <v>#N/A</v>
      </c>
      <c r="K1001" s="16" t="e">
        <f t="shared" si="2016"/>
        <v>#N/A</v>
      </c>
      <c r="L1001" s="40" t="e">
        <f t="shared" si="1817"/>
        <v>#N/A</v>
      </c>
      <c r="M1001" s="16" t="e">
        <f t="shared" si="1818"/>
        <v>#N/A</v>
      </c>
      <c r="N1001" s="16" t="e">
        <f t="shared" si="1819"/>
        <v>#N/A</v>
      </c>
      <c r="O1001" s="16" t="s">
        <v>67</v>
      </c>
      <c r="P1001" s="16" t="str">
        <f t="shared" si="6"/>
        <v/>
      </c>
      <c r="Q1001" s="41" t="e">
        <f t="shared" si="1820"/>
        <v>#N/A</v>
      </c>
      <c r="R1001" s="44"/>
      <c r="S1001" s="44"/>
      <c r="T1001" s="43"/>
      <c r="U1001" s="43" t="str">
        <f t="shared" si="8"/>
        <v>No</v>
      </c>
      <c r="V1001" s="25"/>
      <c r="W1001" s="25"/>
      <c r="X1001" s="25"/>
      <c r="Y1001" s="25"/>
      <c r="Z1001" s="25"/>
    </row>
    <row r="1002" spans="1:26" ht="15.75" customHeight="1" x14ac:dyDescent="0.25">
      <c r="A1002" s="25">
        <v>1000</v>
      </c>
      <c r="B1002" s="37" t="e">
        <f t="shared" ref="B1002:D1002" si="2017">VLOOKUP($A1002,'[3]Gestión Pública'!$A$1:$O$251,B$1,0)</f>
        <v>#N/A</v>
      </c>
      <c r="C1002" s="38" t="e">
        <f t="shared" si="2017"/>
        <v>#N/A</v>
      </c>
      <c r="D1002" s="39" t="e">
        <f t="shared" si="2017"/>
        <v>#N/A</v>
      </c>
      <c r="E1002" s="16" t="e">
        <f t="shared" si="1"/>
        <v>#N/A</v>
      </c>
      <c r="F1002" s="16" t="e">
        <f t="shared" ref="F1002:K1002" si="2018">VLOOKUP($A1002,'[3]Gestión Pública'!$A$1:$O$251,F$1,0)</f>
        <v>#N/A</v>
      </c>
      <c r="G1002" s="39" t="e">
        <f t="shared" si="2018"/>
        <v>#N/A</v>
      </c>
      <c r="H1002" s="16" t="e">
        <f t="shared" si="2018"/>
        <v>#N/A</v>
      </c>
      <c r="I1002" s="16" t="e">
        <f t="shared" si="2018"/>
        <v>#N/A</v>
      </c>
      <c r="J1002" s="40" t="e">
        <f t="shared" si="2018"/>
        <v>#N/A</v>
      </c>
      <c r="K1002" s="16" t="e">
        <f t="shared" si="2018"/>
        <v>#N/A</v>
      </c>
      <c r="L1002" s="40" t="e">
        <f t="shared" si="1817"/>
        <v>#N/A</v>
      </c>
      <c r="M1002" s="16" t="e">
        <f t="shared" si="1818"/>
        <v>#N/A</v>
      </c>
      <c r="N1002" s="16" t="e">
        <f t="shared" si="1819"/>
        <v>#N/A</v>
      </c>
      <c r="O1002" s="16" t="s">
        <v>67</v>
      </c>
      <c r="P1002" s="16" t="str">
        <f t="shared" si="6"/>
        <v/>
      </c>
      <c r="Q1002" s="41" t="e">
        <f t="shared" si="1820"/>
        <v>#N/A</v>
      </c>
      <c r="R1002" s="44"/>
      <c r="S1002" s="44"/>
      <c r="T1002" s="43"/>
      <c r="U1002" s="43" t="str">
        <f t="shared" si="8"/>
        <v>No</v>
      </c>
      <c r="V1002" s="25"/>
      <c r="W1002" s="25"/>
      <c r="X1002" s="25"/>
      <c r="Y1002" s="25"/>
      <c r="Z1002" s="25"/>
    </row>
    <row r="1003" spans="1:26" ht="15.75" customHeight="1" x14ac:dyDescent="0.25">
      <c r="A1003" s="25">
        <v>1001</v>
      </c>
      <c r="B1003" s="37" t="e">
        <f t="shared" ref="B1003:D1003" si="2019">VLOOKUP($A1003,'[3]Gestión Pública'!$A$1:$O$251,B$1,0)</f>
        <v>#N/A</v>
      </c>
      <c r="C1003" s="38" t="e">
        <f t="shared" si="2019"/>
        <v>#N/A</v>
      </c>
      <c r="D1003" s="39" t="e">
        <f t="shared" si="2019"/>
        <v>#N/A</v>
      </c>
      <c r="E1003" s="16" t="e">
        <f t="shared" si="1"/>
        <v>#N/A</v>
      </c>
      <c r="F1003" s="16" t="e">
        <f t="shared" ref="F1003:K1003" si="2020">VLOOKUP($A1003,'[3]Gestión Pública'!$A$1:$O$251,F$1,0)</f>
        <v>#N/A</v>
      </c>
      <c r="G1003" s="39" t="e">
        <f t="shared" si="2020"/>
        <v>#N/A</v>
      </c>
      <c r="H1003" s="16" t="e">
        <f t="shared" si="2020"/>
        <v>#N/A</v>
      </c>
      <c r="I1003" s="16" t="e">
        <f t="shared" si="2020"/>
        <v>#N/A</v>
      </c>
      <c r="J1003" s="40" t="e">
        <f t="shared" si="2020"/>
        <v>#N/A</v>
      </c>
      <c r="K1003" s="16" t="e">
        <f t="shared" si="2020"/>
        <v>#N/A</v>
      </c>
      <c r="L1003" s="40" t="e">
        <f t="shared" si="1817"/>
        <v>#N/A</v>
      </c>
      <c r="M1003" s="16" t="e">
        <f t="shared" si="1818"/>
        <v>#N/A</v>
      </c>
      <c r="N1003" s="16" t="e">
        <f t="shared" si="1819"/>
        <v>#N/A</v>
      </c>
      <c r="O1003" s="16" t="s">
        <v>67</v>
      </c>
      <c r="P1003" s="16" t="str">
        <f t="shared" si="6"/>
        <v/>
      </c>
      <c r="Q1003" s="41" t="e">
        <f t="shared" si="1820"/>
        <v>#N/A</v>
      </c>
      <c r="R1003" s="44"/>
      <c r="S1003" s="44"/>
      <c r="T1003" s="43"/>
      <c r="U1003" s="43" t="str">
        <f t="shared" si="8"/>
        <v>No</v>
      </c>
      <c r="V1003" s="25"/>
      <c r="W1003" s="25"/>
      <c r="X1003" s="25"/>
      <c r="Y1003" s="25"/>
      <c r="Z1003" s="25"/>
    </row>
    <row r="1004" spans="1:26" ht="15.75" customHeight="1" x14ac:dyDescent="0.25">
      <c r="A1004" s="25">
        <v>1002</v>
      </c>
      <c r="B1004" s="37" t="e">
        <f t="shared" ref="B1004:D1004" si="2021">VLOOKUP($A1004,'[3]Gestión Pública'!$A$1:$O$251,B$1,0)</f>
        <v>#N/A</v>
      </c>
      <c r="C1004" s="38" t="e">
        <f t="shared" si="2021"/>
        <v>#N/A</v>
      </c>
      <c r="D1004" s="39" t="e">
        <f t="shared" si="2021"/>
        <v>#N/A</v>
      </c>
      <c r="E1004" s="16" t="e">
        <f t="shared" si="1"/>
        <v>#N/A</v>
      </c>
      <c r="F1004" s="16" t="e">
        <f t="shared" ref="F1004:K1004" si="2022">VLOOKUP($A1004,'[3]Gestión Pública'!$A$1:$O$251,F$1,0)</f>
        <v>#N/A</v>
      </c>
      <c r="G1004" s="39" t="e">
        <f t="shared" si="2022"/>
        <v>#N/A</v>
      </c>
      <c r="H1004" s="16" t="e">
        <f t="shared" si="2022"/>
        <v>#N/A</v>
      </c>
      <c r="I1004" s="16" t="e">
        <f t="shared" si="2022"/>
        <v>#N/A</v>
      </c>
      <c r="J1004" s="40" t="e">
        <f t="shared" si="2022"/>
        <v>#N/A</v>
      </c>
      <c r="K1004" s="16" t="e">
        <f t="shared" si="2022"/>
        <v>#N/A</v>
      </c>
      <c r="L1004" s="40" t="e">
        <f t="shared" si="1817"/>
        <v>#N/A</v>
      </c>
      <c r="M1004" s="16" t="e">
        <f t="shared" si="1818"/>
        <v>#N/A</v>
      </c>
      <c r="N1004" s="16" t="e">
        <f t="shared" si="1819"/>
        <v>#N/A</v>
      </c>
      <c r="O1004" s="16" t="s">
        <v>67</v>
      </c>
      <c r="P1004" s="16" t="str">
        <f t="shared" si="6"/>
        <v/>
      </c>
      <c r="Q1004" s="41" t="e">
        <f t="shared" si="1820"/>
        <v>#N/A</v>
      </c>
      <c r="R1004" s="44"/>
      <c r="S1004" s="44"/>
      <c r="T1004" s="43"/>
      <c r="U1004" s="43" t="str">
        <f t="shared" si="8"/>
        <v>No</v>
      </c>
      <c r="V1004" s="25"/>
      <c r="W1004" s="25"/>
      <c r="X1004" s="25"/>
      <c r="Y1004" s="25"/>
      <c r="Z1004" s="25"/>
    </row>
    <row r="1005" spans="1:26" ht="15.75" customHeight="1" x14ac:dyDescent="0.25">
      <c r="A1005" s="25">
        <v>1003</v>
      </c>
      <c r="B1005" s="37" t="e">
        <f t="shared" ref="B1005:D1005" si="2023">VLOOKUP($A1005,'[3]Gestión Pública'!$A$1:$O$251,B$1,0)</f>
        <v>#N/A</v>
      </c>
      <c r="C1005" s="38" t="e">
        <f t="shared" si="2023"/>
        <v>#N/A</v>
      </c>
      <c r="D1005" s="39" t="e">
        <f t="shared" si="2023"/>
        <v>#N/A</v>
      </c>
      <c r="E1005" s="16" t="e">
        <f t="shared" si="1"/>
        <v>#N/A</v>
      </c>
      <c r="F1005" s="16" t="e">
        <f t="shared" ref="F1005:K1005" si="2024">VLOOKUP($A1005,'[3]Gestión Pública'!$A$1:$O$251,F$1,0)</f>
        <v>#N/A</v>
      </c>
      <c r="G1005" s="39" t="e">
        <f t="shared" si="2024"/>
        <v>#N/A</v>
      </c>
      <c r="H1005" s="16" t="e">
        <f t="shared" si="2024"/>
        <v>#N/A</v>
      </c>
      <c r="I1005" s="16" t="e">
        <f t="shared" si="2024"/>
        <v>#N/A</v>
      </c>
      <c r="J1005" s="40" t="e">
        <f t="shared" si="2024"/>
        <v>#N/A</v>
      </c>
      <c r="K1005" s="16" t="e">
        <f t="shared" si="2024"/>
        <v>#N/A</v>
      </c>
      <c r="L1005" s="40" t="e">
        <f t="shared" si="1817"/>
        <v>#N/A</v>
      </c>
      <c r="M1005" s="16" t="e">
        <f t="shared" si="1818"/>
        <v>#N/A</v>
      </c>
      <c r="N1005" s="16" t="e">
        <f t="shared" si="1819"/>
        <v>#N/A</v>
      </c>
      <c r="O1005" s="16" t="s">
        <v>67</v>
      </c>
      <c r="P1005" s="16" t="str">
        <f t="shared" si="6"/>
        <v/>
      </c>
      <c r="Q1005" s="41" t="e">
        <f t="shared" si="1820"/>
        <v>#N/A</v>
      </c>
      <c r="R1005" s="44"/>
      <c r="S1005" s="44"/>
      <c r="T1005" s="43"/>
      <c r="U1005" s="43" t="str">
        <f t="shared" si="8"/>
        <v>No</v>
      </c>
      <c r="V1005" s="25"/>
      <c r="W1005" s="25"/>
      <c r="X1005" s="25"/>
      <c r="Y1005" s="25"/>
      <c r="Z1005" s="25"/>
    </row>
    <row r="1006" spans="1:26" ht="15.75" customHeight="1" x14ac:dyDescent="0.25">
      <c r="A1006" s="25">
        <v>1004</v>
      </c>
      <c r="B1006" s="37" t="e">
        <f t="shared" ref="B1006:D1006" si="2025">VLOOKUP($A1006,'[3]Gestión Pública'!$A$1:$O$251,B$1,0)</f>
        <v>#N/A</v>
      </c>
      <c r="C1006" s="38" t="e">
        <f t="shared" si="2025"/>
        <v>#N/A</v>
      </c>
      <c r="D1006" s="39" t="e">
        <f t="shared" si="2025"/>
        <v>#N/A</v>
      </c>
      <c r="E1006" s="16" t="e">
        <f t="shared" si="1"/>
        <v>#N/A</v>
      </c>
      <c r="F1006" s="16" t="e">
        <f t="shared" ref="F1006:K1006" si="2026">VLOOKUP($A1006,'[3]Gestión Pública'!$A$1:$O$251,F$1,0)</f>
        <v>#N/A</v>
      </c>
      <c r="G1006" s="39" t="e">
        <f t="shared" si="2026"/>
        <v>#N/A</v>
      </c>
      <c r="H1006" s="16" t="e">
        <f t="shared" si="2026"/>
        <v>#N/A</v>
      </c>
      <c r="I1006" s="16" t="e">
        <f t="shared" si="2026"/>
        <v>#N/A</v>
      </c>
      <c r="J1006" s="40" t="e">
        <f t="shared" si="2026"/>
        <v>#N/A</v>
      </c>
      <c r="K1006" s="16" t="e">
        <f t="shared" si="2026"/>
        <v>#N/A</v>
      </c>
      <c r="L1006" s="40" t="e">
        <f t="shared" si="1817"/>
        <v>#N/A</v>
      </c>
      <c r="M1006" s="16" t="e">
        <f t="shared" si="1818"/>
        <v>#N/A</v>
      </c>
      <c r="N1006" s="16" t="e">
        <f t="shared" si="1819"/>
        <v>#N/A</v>
      </c>
      <c r="O1006" s="16" t="s">
        <v>67</v>
      </c>
      <c r="P1006" s="16" t="str">
        <f t="shared" si="6"/>
        <v/>
      </c>
      <c r="Q1006" s="41" t="e">
        <f t="shared" si="1820"/>
        <v>#N/A</v>
      </c>
      <c r="R1006" s="44"/>
      <c r="S1006" s="44"/>
      <c r="T1006" s="43"/>
      <c r="U1006" s="43" t="str">
        <f t="shared" si="8"/>
        <v>No</v>
      </c>
      <c r="V1006" s="25"/>
      <c r="W1006" s="25"/>
      <c r="X1006" s="25"/>
      <c r="Y1006" s="25"/>
      <c r="Z1006" s="25"/>
    </row>
    <row r="1007" spans="1:26" ht="15.75" customHeight="1" x14ac:dyDescent="0.25">
      <c r="A1007" s="25">
        <v>1005</v>
      </c>
      <c r="B1007" s="37" t="e">
        <f t="shared" ref="B1007:D1007" si="2027">VLOOKUP($A1007,'[3]Gestión Pública'!$A$1:$O$251,B$1,0)</f>
        <v>#N/A</v>
      </c>
      <c r="C1007" s="38" t="e">
        <f t="shared" si="2027"/>
        <v>#N/A</v>
      </c>
      <c r="D1007" s="39" t="e">
        <f t="shared" si="2027"/>
        <v>#N/A</v>
      </c>
      <c r="E1007" s="16" t="e">
        <f t="shared" si="1"/>
        <v>#N/A</v>
      </c>
      <c r="F1007" s="16" t="e">
        <f t="shared" ref="F1007:K1007" si="2028">VLOOKUP($A1007,'[3]Gestión Pública'!$A$1:$O$251,F$1,0)</f>
        <v>#N/A</v>
      </c>
      <c r="G1007" s="39" t="e">
        <f t="shared" si="2028"/>
        <v>#N/A</v>
      </c>
      <c r="H1007" s="16" t="e">
        <f t="shared" si="2028"/>
        <v>#N/A</v>
      </c>
      <c r="I1007" s="16" t="e">
        <f t="shared" si="2028"/>
        <v>#N/A</v>
      </c>
      <c r="J1007" s="40" t="e">
        <f t="shared" si="2028"/>
        <v>#N/A</v>
      </c>
      <c r="K1007" s="16" t="e">
        <f t="shared" si="2028"/>
        <v>#N/A</v>
      </c>
      <c r="L1007" s="40" t="e">
        <f t="shared" si="1817"/>
        <v>#N/A</v>
      </c>
      <c r="M1007" s="16" t="e">
        <f t="shared" si="1818"/>
        <v>#N/A</v>
      </c>
      <c r="N1007" s="16" t="e">
        <f t="shared" si="1819"/>
        <v>#N/A</v>
      </c>
      <c r="O1007" s="16" t="s">
        <v>67</v>
      </c>
      <c r="P1007" s="16" t="str">
        <f t="shared" si="6"/>
        <v/>
      </c>
      <c r="Q1007" s="41" t="e">
        <f t="shared" si="1820"/>
        <v>#N/A</v>
      </c>
      <c r="R1007" s="44"/>
      <c r="S1007" s="44"/>
      <c r="T1007" s="43"/>
      <c r="U1007" s="43" t="str">
        <f t="shared" si="8"/>
        <v>No</v>
      </c>
      <c r="V1007" s="25"/>
      <c r="W1007" s="25"/>
      <c r="X1007" s="25"/>
      <c r="Y1007" s="25"/>
      <c r="Z1007" s="25"/>
    </row>
    <row r="1008" spans="1:26" ht="15.75" customHeight="1" x14ac:dyDescent="0.25">
      <c r="A1008" s="25">
        <v>1006</v>
      </c>
      <c r="B1008" s="37" t="e">
        <f t="shared" ref="B1008:D1008" si="2029">VLOOKUP($A1008,'[3]Gestión Pública'!$A$1:$O$251,B$1,0)</f>
        <v>#N/A</v>
      </c>
      <c r="C1008" s="38" t="e">
        <f t="shared" si="2029"/>
        <v>#N/A</v>
      </c>
      <c r="D1008" s="39" t="e">
        <f t="shared" si="2029"/>
        <v>#N/A</v>
      </c>
      <c r="E1008" s="16" t="e">
        <f t="shared" si="1"/>
        <v>#N/A</v>
      </c>
      <c r="F1008" s="16" t="e">
        <f t="shared" ref="F1008:K1008" si="2030">VLOOKUP($A1008,'[3]Gestión Pública'!$A$1:$O$251,F$1,0)</f>
        <v>#N/A</v>
      </c>
      <c r="G1008" s="39" t="e">
        <f t="shared" si="2030"/>
        <v>#N/A</v>
      </c>
      <c r="H1008" s="16" t="e">
        <f t="shared" si="2030"/>
        <v>#N/A</v>
      </c>
      <c r="I1008" s="16" t="e">
        <f t="shared" si="2030"/>
        <v>#N/A</v>
      </c>
      <c r="J1008" s="40" t="e">
        <f t="shared" si="2030"/>
        <v>#N/A</v>
      </c>
      <c r="K1008" s="16" t="e">
        <f t="shared" si="2030"/>
        <v>#N/A</v>
      </c>
      <c r="L1008" s="40" t="e">
        <f t="shared" si="1817"/>
        <v>#N/A</v>
      </c>
      <c r="M1008" s="16" t="e">
        <f t="shared" si="1818"/>
        <v>#N/A</v>
      </c>
      <c r="N1008" s="16" t="e">
        <f t="shared" si="1819"/>
        <v>#N/A</v>
      </c>
      <c r="O1008" s="16" t="s">
        <v>67</v>
      </c>
      <c r="P1008" s="16" t="str">
        <f t="shared" si="6"/>
        <v/>
      </c>
      <c r="Q1008" s="41" t="e">
        <f t="shared" si="1820"/>
        <v>#N/A</v>
      </c>
      <c r="R1008" s="44"/>
      <c r="S1008" s="44"/>
      <c r="T1008" s="43"/>
      <c r="U1008" s="43" t="str">
        <f t="shared" si="8"/>
        <v>No</v>
      </c>
      <c r="V1008" s="25"/>
      <c r="W1008" s="25"/>
      <c r="X1008" s="25"/>
      <c r="Y1008" s="25"/>
      <c r="Z1008" s="25"/>
    </row>
    <row r="1009" spans="1:26" ht="15.75" customHeight="1" x14ac:dyDescent="0.25">
      <c r="A1009" s="25">
        <v>1007</v>
      </c>
      <c r="B1009" s="37" t="e">
        <f t="shared" ref="B1009:D1009" si="2031">VLOOKUP($A1009,'[3]Gestión Pública'!$A$1:$O$251,B$1,0)</f>
        <v>#N/A</v>
      </c>
      <c r="C1009" s="38" t="e">
        <f t="shared" si="2031"/>
        <v>#N/A</v>
      </c>
      <c r="D1009" s="39" t="e">
        <f t="shared" si="2031"/>
        <v>#N/A</v>
      </c>
      <c r="E1009" s="16" t="e">
        <f t="shared" si="1"/>
        <v>#N/A</v>
      </c>
      <c r="F1009" s="16" t="e">
        <f t="shared" ref="F1009:K1009" si="2032">VLOOKUP($A1009,'[3]Gestión Pública'!$A$1:$O$251,F$1,0)</f>
        <v>#N/A</v>
      </c>
      <c r="G1009" s="39" t="e">
        <f t="shared" si="2032"/>
        <v>#N/A</v>
      </c>
      <c r="H1009" s="16" t="e">
        <f t="shared" si="2032"/>
        <v>#N/A</v>
      </c>
      <c r="I1009" s="16" t="e">
        <f t="shared" si="2032"/>
        <v>#N/A</v>
      </c>
      <c r="J1009" s="40" t="e">
        <f t="shared" si="2032"/>
        <v>#N/A</v>
      </c>
      <c r="K1009" s="16" t="e">
        <f t="shared" si="2032"/>
        <v>#N/A</v>
      </c>
      <c r="L1009" s="40" t="e">
        <f t="shared" si="1817"/>
        <v>#N/A</v>
      </c>
      <c r="M1009" s="16" t="e">
        <f t="shared" si="1818"/>
        <v>#N/A</v>
      </c>
      <c r="N1009" s="16" t="e">
        <f t="shared" si="1819"/>
        <v>#N/A</v>
      </c>
      <c r="O1009" s="16" t="s">
        <v>67</v>
      </c>
      <c r="P1009" s="16" t="str">
        <f t="shared" si="6"/>
        <v/>
      </c>
      <c r="Q1009" s="41" t="e">
        <f t="shared" si="1820"/>
        <v>#N/A</v>
      </c>
      <c r="R1009" s="44"/>
      <c r="S1009" s="44"/>
      <c r="T1009" s="43"/>
      <c r="U1009" s="43" t="str">
        <f t="shared" si="8"/>
        <v>No</v>
      </c>
      <c r="V1009" s="25"/>
      <c r="W1009" s="25"/>
      <c r="X1009" s="25"/>
      <c r="Y1009" s="25"/>
      <c r="Z1009" s="25"/>
    </row>
    <row r="1010" spans="1:26" ht="15.75" customHeight="1" x14ac:dyDescent="0.25">
      <c r="A1010" s="25">
        <v>1008</v>
      </c>
      <c r="B1010" s="37" t="e">
        <f t="shared" ref="B1010:D1010" si="2033">VLOOKUP($A1010,'[3]Gestión Pública'!$A$1:$O$251,B$1,0)</f>
        <v>#N/A</v>
      </c>
      <c r="C1010" s="38" t="e">
        <f t="shared" si="2033"/>
        <v>#N/A</v>
      </c>
      <c r="D1010" s="39" t="e">
        <f t="shared" si="2033"/>
        <v>#N/A</v>
      </c>
      <c r="E1010" s="16" t="e">
        <f t="shared" si="1"/>
        <v>#N/A</v>
      </c>
      <c r="F1010" s="16" t="e">
        <f t="shared" ref="F1010:K1010" si="2034">VLOOKUP($A1010,'[3]Gestión Pública'!$A$1:$O$251,F$1,0)</f>
        <v>#N/A</v>
      </c>
      <c r="G1010" s="39" t="e">
        <f t="shared" si="2034"/>
        <v>#N/A</v>
      </c>
      <c r="H1010" s="16" t="e">
        <f t="shared" si="2034"/>
        <v>#N/A</v>
      </c>
      <c r="I1010" s="16" t="e">
        <f t="shared" si="2034"/>
        <v>#N/A</v>
      </c>
      <c r="J1010" s="40" t="e">
        <f t="shared" si="2034"/>
        <v>#N/A</v>
      </c>
      <c r="K1010" s="16" t="e">
        <f t="shared" si="2034"/>
        <v>#N/A</v>
      </c>
      <c r="L1010" s="40" t="e">
        <f t="shared" si="1817"/>
        <v>#N/A</v>
      </c>
      <c r="M1010" s="16" t="e">
        <f t="shared" si="1818"/>
        <v>#N/A</v>
      </c>
      <c r="N1010" s="16" t="e">
        <f t="shared" si="1819"/>
        <v>#N/A</v>
      </c>
      <c r="O1010" s="16" t="s">
        <v>67</v>
      </c>
      <c r="P1010" s="16" t="str">
        <f t="shared" si="6"/>
        <v/>
      </c>
      <c r="Q1010" s="41" t="e">
        <f t="shared" si="1820"/>
        <v>#N/A</v>
      </c>
      <c r="R1010" s="44"/>
      <c r="S1010" s="44"/>
      <c r="T1010" s="43"/>
      <c r="U1010" s="43" t="str">
        <f t="shared" si="8"/>
        <v>No</v>
      </c>
      <c r="V1010" s="25"/>
      <c r="W1010" s="25"/>
      <c r="X1010" s="25"/>
      <c r="Y1010" s="25"/>
      <c r="Z1010" s="25"/>
    </row>
    <row r="1011" spans="1:26" ht="15.75" customHeight="1" x14ac:dyDescent="0.25">
      <c r="A1011" s="25">
        <v>1009</v>
      </c>
      <c r="B1011" s="37" t="e">
        <f t="shared" ref="B1011:D1011" si="2035">VLOOKUP($A1011,'[3]Gestión Pública'!$A$1:$O$251,B$1,0)</f>
        <v>#N/A</v>
      </c>
      <c r="C1011" s="38" t="e">
        <f t="shared" si="2035"/>
        <v>#N/A</v>
      </c>
      <c r="D1011" s="39" t="e">
        <f t="shared" si="2035"/>
        <v>#N/A</v>
      </c>
      <c r="E1011" s="16" t="e">
        <f t="shared" si="1"/>
        <v>#N/A</v>
      </c>
      <c r="F1011" s="16" t="e">
        <f t="shared" ref="F1011:K1011" si="2036">VLOOKUP($A1011,'[3]Gestión Pública'!$A$1:$O$251,F$1,0)</f>
        <v>#N/A</v>
      </c>
      <c r="G1011" s="39" t="e">
        <f t="shared" si="2036"/>
        <v>#N/A</v>
      </c>
      <c r="H1011" s="16" t="e">
        <f t="shared" si="2036"/>
        <v>#N/A</v>
      </c>
      <c r="I1011" s="16" t="e">
        <f t="shared" si="2036"/>
        <v>#N/A</v>
      </c>
      <c r="J1011" s="40" t="e">
        <f t="shared" si="2036"/>
        <v>#N/A</v>
      </c>
      <c r="K1011" s="16" t="e">
        <f t="shared" si="2036"/>
        <v>#N/A</v>
      </c>
      <c r="L1011" s="40" t="e">
        <f t="shared" si="1817"/>
        <v>#N/A</v>
      </c>
      <c r="M1011" s="16" t="e">
        <f t="shared" si="1818"/>
        <v>#N/A</v>
      </c>
      <c r="N1011" s="16" t="e">
        <f t="shared" si="1819"/>
        <v>#N/A</v>
      </c>
      <c r="O1011" s="16" t="s">
        <v>67</v>
      </c>
      <c r="P1011" s="16" t="str">
        <f t="shared" si="6"/>
        <v/>
      </c>
      <c r="Q1011" s="41" t="e">
        <f t="shared" si="1820"/>
        <v>#N/A</v>
      </c>
      <c r="R1011" s="44"/>
      <c r="S1011" s="44"/>
      <c r="T1011" s="43"/>
      <c r="U1011" s="43" t="str">
        <f t="shared" si="8"/>
        <v>No</v>
      </c>
      <c r="V1011" s="25"/>
      <c r="W1011" s="25"/>
      <c r="X1011" s="25"/>
      <c r="Y1011" s="25"/>
      <c r="Z1011" s="25"/>
    </row>
    <row r="1012" spans="1:26" ht="15.75" customHeight="1" x14ac:dyDescent="0.25">
      <c r="A1012" s="25">
        <v>1010</v>
      </c>
      <c r="B1012" s="37" t="e">
        <f t="shared" ref="B1012:D1012" si="2037">VLOOKUP($A1012,'[3]Gestión Pública'!$A$1:$O$251,B$1,0)</f>
        <v>#N/A</v>
      </c>
      <c r="C1012" s="38" t="e">
        <f t="shared" si="2037"/>
        <v>#N/A</v>
      </c>
      <c r="D1012" s="39" t="e">
        <f t="shared" si="2037"/>
        <v>#N/A</v>
      </c>
      <c r="E1012" s="16" t="e">
        <f t="shared" si="1"/>
        <v>#N/A</v>
      </c>
      <c r="F1012" s="16" t="e">
        <f t="shared" ref="F1012:K1012" si="2038">VLOOKUP($A1012,'[3]Gestión Pública'!$A$1:$O$251,F$1,0)</f>
        <v>#N/A</v>
      </c>
      <c r="G1012" s="39" t="e">
        <f t="shared" si="2038"/>
        <v>#N/A</v>
      </c>
      <c r="H1012" s="16" t="e">
        <f t="shared" si="2038"/>
        <v>#N/A</v>
      </c>
      <c r="I1012" s="16" t="e">
        <f t="shared" si="2038"/>
        <v>#N/A</v>
      </c>
      <c r="J1012" s="40" t="e">
        <f t="shared" si="2038"/>
        <v>#N/A</v>
      </c>
      <c r="K1012" s="16" t="e">
        <f t="shared" si="2038"/>
        <v>#N/A</v>
      </c>
      <c r="L1012" s="40" t="e">
        <f t="shared" si="1817"/>
        <v>#N/A</v>
      </c>
      <c r="M1012" s="16" t="e">
        <f t="shared" si="1818"/>
        <v>#N/A</v>
      </c>
      <c r="N1012" s="16" t="e">
        <f t="shared" si="1819"/>
        <v>#N/A</v>
      </c>
      <c r="O1012" s="16" t="s">
        <v>67</v>
      </c>
      <c r="P1012" s="16" t="str">
        <f t="shared" si="6"/>
        <v/>
      </c>
      <c r="Q1012" s="41" t="e">
        <f t="shared" si="1820"/>
        <v>#N/A</v>
      </c>
      <c r="R1012" s="44"/>
      <c r="S1012" s="44"/>
      <c r="T1012" s="43"/>
      <c r="U1012" s="43" t="str">
        <f t="shared" si="8"/>
        <v>No</v>
      </c>
      <c r="V1012" s="25"/>
      <c r="W1012" s="25"/>
      <c r="X1012" s="25"/>
      <c r="Y1012" s="25"/>
      <c r="Z1012" s="25"/>
    </row>
    <row r="1013" spans="1:26" ht="15.75" customHeight="1" x14ac:dyDescent="0.25">
      <c r="A1013" s="25">
        <v>1011</v>
      </c>
      <c r="B1013" s="37" t="e">
        <f t="shared" ref="B1013:D1013" si="2039">VLOOKUP($A1013,'[3]Gestión Pública'!$A$1:$O$251,B$1,0)</f>
        <v>#N/A</v>
      </c>
      <c r="C1013" s="38" t="e">
        <f t="shared" si="2039"/>
        <v>#N/A</v>
      </c>
      <c r="D1013" s="39" t="e">
        <f t="shared" si="2039"/>
        <v>#N/A</v>
      </c>
      <c r="E1013" s="16" t="e">
        <f t="shared" si="1"/>
        <v>#N/A</v>
      </c>
      <c r="F1013" s="16" t="e">
        <f t="shared" ref="F1013:K1013" si="2040">VLOOKUP($A1013,'[3]Gestión Pública'!$A$1:$O$251,F$1,0)</f>
        <v>#N/A</v>
      </c>
      <c r="G1013" s="39" t="e">
        <f t="shared" si="2040"/>
        <v>#N/A</v>
      </c>
      <c r="H1013" s="16" t="e">
        <f t="shared" si="2040"/>
        <v>#N/A</v>
      </c>
      <c r="I1013" s="16" t="e">
        <f t="shared" si="2040"/>
        <v>#N/A</v>
      </c>
      <c r="J1013" s="40" t="e">
        <f t="shared" si="2040"/>
        <v>#N/A</v>
      </c>
      <c r="K1013" s="16" t="e">
        <f t="shared" si="2040"/>
        <v>#N/A</v>
      </c>
      <c r="L1013" s="40" t="e">
        <f t="shared" si="1817"/>
        <v>#N/A</v>
      </c>
      <c r="M1013" s="16" t="e">
        <f t="shared" si="1818"/>
        <v>#N/A</v>
      </c>
      <c r="N1013" s="16" t="e">
        <f t="shared" si="1819"/>
        <v>#N/A</v>
      </c>
      <c r="O1013" s="16" t="s">
        <v>67</v>
      </c>
      <c r="P1013" s="16" t="str">
        <f t="shared" si="6"/>
        <v/>
      </c>
      <c r="Q1013" s="41" t="e">
        <f t="shared" si="1820"/>
        <v>#N/A</v>
      </c>
      <c r="R1013" s="44"/>
      <c r="S1013" s="44"/>
      <c r="T1013" s="43"/>
      <c r="U1013" s="43" t="str">
        <f t="shared" si="8"/>
        <v>No</v>
      </c>
      <c r="V1013" s="25"/>
      <c r="W1013" s="25"/>
      <c r="X1013" s="25"/>
      <c r="Y1013" s="25"/>
      <c r="Z1013" s="25"/>
    </row>
    <row r="1014" spans="1:26" ht="15.75" customHeight="1" x14ac:dyDescent="0.25">
      <c r="A1014" s="25">
        <v>1012</v>
      </c>
      <c r="B1014" s="37" t="e">
        <f t="shared" ref="B1014:D1014" si="2041">VLOOKUP($A1014,'[3]Gestión Pública'!$A$1:$O$251,B$1,0)</f>
        <v>#N/A</v>
      </c>
      <c r="C1014" s="38" t="e">
        <f t="shared" si="2041"/>
        <v>#N/A</v>
      </c>
      <c r="D1014" s="39" t="e">
        <f t="shared" si="2041"/>
        <v>#N/A</v>
      </c>
      <c r="E1014" s="16" t="e">
        <f t="shared" si="1"/>
        <v>#N/A</v>
      </c>
      <c r="F1014" s="16" t="e">
        <f t="shared" ref="F1014:K1014" si="2042">VLOOKUP($A1014,'[3]Gestión Pública'!$A$1:$O$251,F$1,0)</f>
        <v>#N/A</v>
      </c>
      <c r="G1014" s="39" t="e">
        <f t="shared" si="2042"/>
        <v>#N/A</v>
      </c>
      <c r="H1014" s="16" t="e">
        <f t="shared" si="2042"/>
        <v>#N/A</v>
      </c>
      <c r="I1014" s="16" t="e">
        <f t="shared" si="2042"/>
        <v>#N/A</v>
      </c>
      <c r="J1014" s="40" t="e">
        <f t="shared" si="2042"/>
        <v>#N/A</v>
      </c>
      <c r="K1014" s="16" t="e">
        <f t="shared" si="2042"/>
        <v>#N/A</v>
      </c>
      <c r="L1014" s="40" t="e">
        <f t="shared" si="1817"/>
        <v>#N/A</v>
      </c>
      <c r="M1014" s="16" t="e">
        <f t="shared" si="1818"/>
        <v>#N/A</v>
      </c>
      <c r="N1014" s="16" t="e">
        <f t="shared" si="1819"/>
        <v>#N/A</v>
      </c>
      <c r="O1014" s="16" t="s">
        <v>67</v>
      </c>
      <c r="P1014" s="16" t="str">
        <f t="shared" si="6"/>
        <v/>
      </c>
      <c r="Q1014" s="41" t="e">
        <f t="shared" si="1820"/>
        <v>#N/A</v>
      </c>
      <c r="R1014" s="44"/>
      <c r="S1014" s="44"/>
      <c r="T1014" s="43"/>
      <c r="U1014" s="43" t="str">
        <f t="shared" si="8"/>
        <v>No</v>
      </c>
      <c r="V1014" s="25"/>
      <c r="W1014" s="25"/>
      <c r="X1014" s="25"/>
      <c r="Y1014" s="25"/>
      <c r="Z1014" s="25"/>
    </row>
    <row r="1015" spans="1:26" ht="15.75" customHeight="1" x14ac:dyDescent="0.25">
      <c r="A1015" s="25">
        <v>1013</v>
      </c>
      <c r="B1015" s="37" t="e">
        <f t="shared" ref="B1015:D1015" si="2043">VLOOKUP($A1015,'[3]Gestión Pública'!$A$1:$O$251,B$1,0)</f>
        <v>#N/A</v>
      </c>
      <c r="C1015" s="38" t="e">
        <f t="shared" si="2043"/>
        <v>#N/A</v>
      </c>
      <c r="D1015" s="39" t="e">
        <f t="shared" si="2043"/>
        <v>#N/A</v>
      </c>
      <c r="E1015" s="16" t="e">
        <f t="shared" si="1"/>
        <v>#N/A</v>
      </c>
      <c r="F1015" s="16" t="e">
        <f t="shared" ref="F1015:K1015" si="2044">VLOOKUP($A1015,'[3]Gestión Pública'!$A$1:$O$251,F$1,0)</f>
        <v>#N/A</v>
      </c>
      <c r="G1015" s="39" t="e">
        <f t="shared" si="2044"/>
        <v>#N/A</v>
      </c>
      <c r="H1015" s="16" t="e">
        <f t="shared" si="2044"/>
        <v>#N/A</v>
      </c>
      <c r="I1015" s="16" t="e">
        <f t="shared" si="2044"/>
        <v>#N/A</v>
      </c>
      <c r="J1015" s="40" t="e">
        <f t="shared" si="2044"/>
        <v>#N/A</v>
      </c>
      <c r="K1015" s="16" t="e">
        <f t="shared" si="2044"/>
        <v>#N/A</v>
      </c>
      <c r="L1015" s="40" t="e">
        <f t="shared" si="1817"/>
        <v>#N/A</v>
      </c>
      <c r="M1015" s="16" t="e">
        <f t="shared" si="1818"/>
        <v>#N/A</v>
      </c>
      <c r="N1015" s="16" t="e">
        <f t="shared" si="1819"/>
        <v>#N/A</v>
      </c>
      <c r="O1015" s="16" t="s">
        <v>67</v>
      </c>
      <c r="P1015" s="16" t="str">
        <f t="shared" si="6"/>
        <v/>
      </c>
      <c r="Q1015" s="41" t="e">
        <f t="shared" si="1820"/>
        <v>#N/A</v>
      </c>
      <c r="R1015" s="44"/>
      <c r="S1015" s="44"/>
      <c r="T1015" s="43"/>
      <c r="U1015" s="43" t="str">
        <f t="shared" si="8"/>
        <v>No</v>
      </c>
      <c r="V1015" s="25"/>
      <c r="W1015" s="25"/>
      <c r="X1015" s="25"/>
      <c r="Y1015" s="25"/>
      <c r="Z1015" s="25"/>
    </row>
    <row r="1016" spans="1:26" ht="15.75" customHeight="1" x14ac:dyDescent="0.25">
      <c r="A1016" s="25">
        <v>1014</v>
      </c>
      <c r="B1016" s="37" t="e">
        <f t="shared" ref="B1016:D1016" si="2045">VLOOKUP($A1016,'[3]Gestión Pública'!$A$1:$O$251,B$1,0)</f>
        <v>#N/A</v>
      </c>
      <c r="C1016" s="38" t="e">
        <f t="shared" si="2045"/>
        <v>#N/A</v>
      </c>
      <c r="D1016" s="39" t="e">
        <f t="shared" si="2045"/>
        <v>#N/A</v>
      </c>
      <c r="E1016" s="16" t="e">
        <f t="shared" si="1"/>
        <v>#N/A</v>
      </c>
      <c r="F1016" s="16" t="e">
        <f t="shared" ref="F1016:K1016" si="2046">VLOOKUP($A1016,'[3]Gestión Pública'!$A$1:$O$251,F$1,0)</f>
        <v>#N/A</v>
      </c>
      <c r="G1016" s="39" t="e">
        <f t="shared" si="2046"/>
        <v>#N/A</v>
      </c>
      <c r="H1016" s="16" t="e">
        <f t="shared" si="2046"/>
        <v>#N/A</v>
      </c>
      <c r="I1016" s="16" t="e">
        <f t="shared" si="2046"/>
        <v>#N/A</v>
      </c>
      <c r="J1016" s="40" t="e">
        <f t="shared" si="2046"/>
        <v>#N/A</v>
      </c>
      <c r="K1016" s="16" t="e">
        <f t="shared" si="2046"/>
        <v>#N/A</v>
      </c>
      <c r="L1016" s="40" t="e">
        <f t="shared" si="1817"/>
        <v>#N/A</v>
      </c>
      <c r="M1016" s="16" t="e">
        <f t="shared" si="1818"/>
        <v>#N/A</v>
      </c>
      <c r="N1016" s="16" t="e">
        <f t="shared" si="1819"/>
        <v>#N/A</v>
      </c>
      <c r="O1016" s="16" t="s">
        <v>67</v>
      </c>
      <c r="P1016" s="16" t="str">
        <f t="shared" si="6"/>
        <v/>
      </c>
      <c r="Q1016" s="41" t="e">
        <f t="shared" si="1820"/>
        <v>#N/A</v>
      </c>
      <c r="R1016" s="44"/>
      <c r="S1016" s="44"/>
      <c r="T1016" s="43"/>
      <c r="U1016" s="43" t="str">
        <f t="shared" si="8"/>
        <v>No</v>
      </c>
      <c r="V1016" s="25"/>
      <c r="W1016" s="25"/>
      <c r="X1016" s="25"/>
      <c r="Y1016" s="25"/>
      <c r="Z1016" s="25"/>
    </row>
    <row r="1017" spans="1:26" ht="15.75" customHeight="1" x14ac:dyDescent="0.25">
      <c r="A1017" s="25">
        <v>1015</v>
      </c>
      <c r="B1017" s="37" t="e">
        <f t="shared" ref="B1017:D1017" si="2047">VLOOKUP($A1017,'[3]Gestión Pública'!$A$1:$O$251,B$1,0)</f>
        <v>#N/A</v>
      </c>
      <c r="C1017" s="38" t="e">
        <f t="shared" si="2047"/>
        <v>#N/A</v>
      </c>
      <c r="D1017" s="39" t="e">
        <f t="shared" si="2047"/>
        <v>#N/A</v>
      </c>
      <c r="E1017" s="16" t="e">
        <f t="shared" si="1"/>
        <v>#N/A</v>
      </c>
      <c r="F1017" s="16" t="e">
        <f t="shared" ref="F1017:K1017" si="2048">VLOOKUP($A1017,'[3]Gestión Pública'!$A$1:$O$251,F$1,0)</f>
        <v>#N/A</v>
      </c>
      <c r="G1017" s="39" t="e">
        <f t="shared" si="2048"/>
        <v>#N/A</v>
      </c>
      <c r="H1017" s="16" t="e">
        <f t="shared" si="2048"/>
        <v>#N/A</v>
      </c>
      <c r="I1017" s="16" t="e">
        <f t="shared" si="2048"/>
        <v>#N/A</v>
      </c>
      <c r="J1017" s="40" t="e">
        <f t="shared" si="2048"/>
        <v>#N/A</v>
      </c>
      <c r="K1017" s="16" t="e">
        <f t="shared" si="2048"/>
        <v>#N/A</v>
      </c>
      <c r="L1017" s="40" t="e">
        <f t="shared" si="1817"/>
        <v>#N/A</v>
      </c>
      <c r="M1017" s="16" t="e">
        <f t="shared" si="1818"/>
        <v>#N/A</v>
      </c>
      <c r="N1017" s="16" t="e">
        <f t="shared" si="1819"/>
        <v>#N/A</v>
      </c>
      <c r="O1017" s="16" t="s">
        <v>67</v>
      </c>
      <c r="P1017" s="16" t="str">
        <f t="shared" si="6"/>
        <v/>
      </c>
      <c r="Q1017" s="41" t="e">
        <f t="shared" si="1820"/>
        <v>#N/A</v>
      </c>
      <c r="R1017" s="44"/>
      <c r="S1017" s="44"/>
      <c r="T1017" s="43"/>
      <c r="U1017" s="43" t="str">
        <f t="shared" si="8"/>
        <v>No</v>
      </c>
      <c r="V1017" s="25"/>
      <c r="W1017" s="25"/>
      <c r="X1017" s="25"/>
      <c r="Y1017" s="25"/>
      <c r="Z1017" s="25"/>
    </row>
    <row r="1018" spans="1:26" ht="15.75" customHeight="1" x14ac:dyDescent="0.25">
      <c r="A1018" s="25">
        <v>1016</v>
      </c>
      <c r="B1018" s="37" t="e">
        <f t="shared" ref="B1018:D1018" si="2049">VLOOKUP($A1018,'[3]Gestión Pública'!$A$1:$O$251,B$1,0)</f>
        <v>#N/A</v>
      </c>
      <c r="C1018" s="38" t="e">
        <f t="shared" si="2049"/>
        <v>#N/A</v>
      </c>
      <c r="D1018" s="39" t="e">
        <f t="shared" si="2049"/>
        <v>#N/A</v>
      </c>
      <c r="E1018" s="16" t="e">
        <f t="shared" si="1"/>
        <v>#N/A</v>
      </c>
      <c r="F1018" s="16" t="e">
        <f t="shared" ref="F1018:K1018" si="2050">VLOOKUP($A1018,'[3]Gestión Pública'!$A$1:$O$251,F$1,0)</f>
        <v>#N/A</v>
      </c>
      <c r="G1018" s="39" t="e">
        <f t="shared" si="2050"/>
        <v>#N/A</v>
      </c>
      <c r="H1018" s="16" t="e">
        <f t="shared" si="2050"/>
        <v>#N/A</v>
      </c>
      <c r="I1018" s="16" t="e">
        <f t="shared" si="2050"/>
        <v>#N/A</v>
      </c>
      <c r="J1018" s="40" t="e">
        <f t="shared" si="2050"/>
        <v>#N/A</v>
      </c>
      <c r="K1018" s="16" t="e">
        <f t="shared" si="2050"/>
        <v>#N/A</v>
      </c>
      <c r="L1018" s="40" t="e">
        <f t="shared" si="1817"/>
        <v>#N/A</v>
      </c>
      <c r="M1018" s="16" t="e">
        <f t="shared" si="1818"/>
        <v>#N/A</v>
      </c>
      <c r="N1018" s="16" t="e">
        <f t="shared" si="1819"/>
        <v>#N/A</v>
      </c>
      <c r="O1018" s="16" t="s">
        <v>67</v>
      </c>
      <c r="P1018" s="16" t="str">
        <f t="shared" si="6"/>
        <v/>
      </c>
      <c r="Q1018" s="41" t="e">
        <f t="shared" si="1820"/>
        <v>#N/A</v>
      </c>
      <c r="R1018" s="44"/>
      <c r="S1018" s="44"/>
      <c r="T1018" s="43"/>
      <c r="U1018" s="43" t="str">
        <f t="shared" si="8"/>
        <v>No</v>
      </c>
      <c r="V1018" s="25"/>
      <c r="W1018" s="25"/>
      <c r="X1018" s="25"/>
      <c r="Y1018" s="25"/>
      <c r="Z1018" s="25"/>
    </row>
    <row r="1019" spans="1:26" ht="15.75" customHeight="1" x14ac:dyDescent="0.25">
      <c r="A1019" s="25">
        <v>1017</v>
      </c>
      <c r="B1019" s="37" t="e">
        <f t="shared" ref="B1019:D1019" si="2051">VLOOKUP($A1019,'[3]Gestión Pública'!$A$1:$O$251,B$1,0)</f>
        <v>#N/A</v>
      </c>
      <c r="C1019" s="38" t="e">
        <f t="shared" si="2051"/>
        <v>#N/A</v>
      </c>
      <c r="D1019" s="39" t="e">
        <f t="shared" si="2051"/>
        <v>#N/A</v>
      </c>
      <c r="E1019" s="16" t="e">
        <f t="shared" si="1"/>
        <v>#N/A</v>
      </c>
      <c r="F1019" s="16" t="e">
        <f t="shared" ref="F1019:K1019" si="2052">VLOOKUP($A1019,'[3]Gestión Pública'!$A$1:$O$251,F$1,0)</f>
        <v>#N/A</v>
      </c>
      <c r="G1019" s="39" t="e">
        <f t="shared" si="2052"/>
        <v>#N/A</v>
      </c>
      <c r="H1019" s="16" t="e">
        <f t="shared" si="2052"/>
        <v>#N/A</v>
      </c>
      <c r="I1019" s="16" t="e">
        <f t="shared" si="2052"/>
        <v>#N/A</v>
      </c>
      <c r="J1019" s="40" t="e">
        <f t="shared" si="2052"/>
        <v>#N/A</v>
      </c>
      <c r="K1019" s="16" t="e">
        <f t="shared" si="2052"/>
        <v>#N/A</v>
      </c>
      <c r="L1019" s="40" t="e">
        <f t="shared" si="1817"/>
        <v>#N/A</v>
      </c>
      <c r="M1019" s="16" t="e">
        <f t="shared" si="1818"/>
        <v>#N/A</v>
      </c>
      <c r="N1019" s="16" t="e">
        <f t="shared" si="1819"/>
        <v>#N/A</v>
      </c>
      <c r="O1019" s="16" t="s">
        <v>67</v>
      </c>
      <c r="P1019" s="16" t="str">
        <f t="shared" si="6"/>
        <v/>
      </c>
      <c r="Q1019" s="41" t="e">
        <f t="shared" si="1820"/>
        <v>#N/A</v>
      </c>
      <c r="R1019" s="44"/>
      <c r="S1019" s="44"/>
      <c r="T1019" s="43"/>
      <c r="U1019" s="43" t="str">
        <f t="shared" si="8"/>
        <v>No</v>
      </c>
      <c r="V1019" s="25"/>
      <c r="W1019" s="25"/>
      <c r="X1019" s="25"/>
      <c r="Y1019" s="25"/>
      <c r="Z1019" s="25"/>
    </row>
    <row r="1020" spans="1:26" ht="15.75" customHeight="1" x14ac:dyDescent="0.25">
      <c r="A1020" s="25">
        <v>1018</v>
      </c>
      <c r="B1020" s="37" t="e">
        <f t="shared" ref="B1020:D1020" si="2053">VLOOKUP($A1020,'[3]Gestión Pública'!$A$1:$O$251,B$1,0)</f>
        <v>#N/A</v>
      </c>
      <c r="C1020" s="38" t="e">
        <f t="shared" si="2053"/>
        <v>#N/A</v>
      </c>
      <c r="D1020" s="39" t="e">
        <f t="shared" si="2053"/>
        <v>#N/A</v>
      </c>
      <c r="E1020" s="16" t="e">
        <f t="shared" si="1"/>
        <v>#N/A</v>
      </c>
      <c r="F1020" s="16" t="e">
        <f t="shared" ref="F1020:K1020" si="2054">VLOOKUP($A1020,'[3]Gestión Pública'!$A$1:$O$251,F$1,0)</f>
        <v>#N/A</v>
      </c>
      <c r="G1020" s="39" t="e">
        <f t="shared" si="2054"/>
        <v>#N/A</v>
      </c>
      <c r="H1020" s="16" t="e">
        <f t="shared" si="2054"/>
        <v>#N/A</v>
      </c>
      <c r="I1020" s="16" t="e">
        <f t="shared" si="2054"/>
        <v>#N/A</v>
      </c>
      <c r="J1020" s="40" t="e">
        <f t="shared" si="2054"/>
        <v>#N/A</v>
      </c>
      <c r="K1020" s="16" t="e">
        <f t="shared" si="2054"/>
        <v>#N/A</v>
      </c>
      <c r="L1020" s="40" t="e">
        <f t="shared" si="1817"/>
        <v>#N/A</v>
      </c>
      <c r="M1020" s="16" t="e">
        <f t="shared" si="1818"/>
        <v>#N/A</v>
      </c>
      <c r="N1020" s="16" t="e">
        <f t="shared" si="1819"/>
        <v>#N/A</v>
      </c>
      <c r="O1020" s="16" t="s">
        <v>67</v>
      </c>
      <c r="P1020" s="16" t="str">
        <f t="shared" si="6"/>
        <v/>
      </c>
      <c r="Q1020" s="41" t="e">
        <f t="shared" si="1820"/>
        <v>#N/A</v>
      </c>
      <c r="R1020" s="44"/>
      <c r="S1020" s="44"/>
      <c r="T1020" s="43"/>
      <c r="U1020" s="43" t="str">
        <f t="shared" si="8"/>
        <v>No</v>
      </c>
      <c r="V1020" s="25"/>
      <c r="W1020" s="25"/>
      <c r="X1020" s="25"/>
      <c r="Y1020" s="25"/>
      <c r="Z1020" s="25"/>
    </row>
    <row r="1021" spans="1:26" ht="15.75" customHeight="1" x14ac:dyDescent="0.25">
      <c r="A1021" s="25">
        <v>1019</v>
      </c>
      <c r="B1021" s="37" t="e">
        <f t="shared" ref="B1021:D1021" si="2055">VLOOKUP($A1021,'[3]Gestión Pública'!$A$1:$O$251,B$1,0)</f>
        <v>#N/A</v>
      </c>
      <c r="C1021" s="38" t="e">
        <f t="shared" si="2055"/>
        <v>#N/A</v>
      </c>
      <c r="D1021" s="39" t="e">
        <f t="shared" si="2055"/>
        <v>#N/A</v>
      </c>
      <c r="E1021" s="16" t="e">
        <f t="shared" si="1"/>
        <v>#N/A</v>
      </c>
      <c r="F1021" s="16" t="e">
        <f t="shared" ref="F1021:K1021" si="2056">VLOOKUP($A1021,'[3]Gestión Pública'!$A$1:$O$251,F$1,0)</f>
        <v>#N/A</v>
      </c>
      <c r="G1021" s="39" t="e">
        <f t="shared" si="2056"/>
        <v>#N/A</v>
      </c>
      <c r="H1021" s="16" t="e">
        <f t="shared" si="2056"/>
        <v>#N/A</v>
      </c>
      <c r="I1021" s="16" t="e">
        <f t="shared" si="2056"/>
        <v>#N/A</v>
      </c>
      <c r="J1021" s="40" t="e">
        <f t="shared" si="2056"/>
        <v>#N/A</v>
      </c>
      <c r="K1021" s="16" t="e">
        <f t="shared" si="2056"/>
        <v>#N/A</v>
      </c>
      <c r="L1021" s="40" t="e">
        <f t="shared" si="1817"/>
        <v>#N/A</v>
      </c>
      <c r="M1021" s="16" t="e">
        <f t="shared" si="1818"/>
        <v>#N/A</v>
      </c>
      <c r="N1021" s="16" t="e">
        <f t="shared" si="1819"/>
        <v>#N/A</v>
      </c>
      <c r="O1021" s="16" t="s">
        <v>67</v>
      </c>
      <c r="P1021" s="16" t="str">
        <f t="shared" si="6"/>
        <v/>
      </c>
      <c r="Q1021" s="41" t="e">
        <f t="shared" si="1820"/>
        <v>#N/A</v>
      </c>
      <c r="R1021" s="44"/>
      <c r="S1021" s="44"/>
      <c r="T1021" s="43"/>
      <c r="U1021" s="43" t="str">
        <f t="shared" si="8"/>
        <v>No</v>
      </c>
      <c r="V1021" s="25"/>
      <c r="W1021" s="25"/>
      <c r="X1021" s="25"/>
      <c r="Y1021" s="25"/>
      <c r="Z1021" s="25"/>
    </row>
    <row r="1022" spans="1:26" ht="15.75" customHeight="1" x14ac:dyDescent="0.25">
      <c r="A1022" s="25">
        <v>1020</v>
      </c>
      <c r="B1022" s="37" t="e">
        <f t="shared" ref="B1022:D1022" si="2057">VLOOKUP($A1022,'[3]Gestión Pública'!$A$1:$O$251,B$1,0)</f>
        <v>#N/A</v>
      </c>
      <c r="C1022" s="38" t="e">
        <f t="shared" si="2057"/>
        <v>#N/A</v>
      </c>
      <c r="D1022" s="39" t="e">
        <f t="shared" si="2057"/>
        <v>#N/A</v>
      </c>
      <c r="E1022" s="16" t="e">
        <f t="shared" si="1"/>
        <v>#N/A</v>
      </c>
      <c r="F1022" s="16" t="e">
        <f t="shared" ref="F1022:K1022" si="2058">VLOOKUP($A1022,'[3]Gestión Pública'!$A$1:$O$251,F$1,0)</f>
        <v>#N/A</v>
      </c>
      <c r="G1022" s="39" t="e">
        <f t="shared" si="2058"/>
        <v>#N/A</v>
      </c>
      <c r="H1022" s="16" t="e">
        <f t="shared" si="2058"/>
        <v>#N/A</v>
      </c>
      <c r="I1022" s="16" t="e">
        <f t="shared" si="2058"/>
        <v>#N/A</v>
      </c>
      <c r="J1022" s="40" t="e">
        <f t="shared" si="2058"/>
        <v>#N/A</v>
      </c>
      <c r="K1022" s="16" t="e">
        <f t="shared" si="2058"/>
        <v>#N/A</v>
      </c>
      <c r="L1022" s="40" t="e">
        <f t="shared" si="1817"/>
        <v>#N/A</v>
      </c>
      <c r="M1022" s="16" t="e">
        <f t="shared" si="1818"/>
        <v>#N/A</v>
      </c>
      <c r="N1022" s="16" t="e">
        <f t="shared" si="1819"/>
        <v>#N/A</v>
      </c>
      <c r="O1022" s="16" t="s">
        <v>67</v>
      </c>
      <c r="P1022" s="16" t="str">
        <f t="shared" si="6"/>
        <v/>
      </c>
      <c r="Q1022" s="41" t="e">
        <f t="shared" si="1820"/>
        <v>#N/A</v>
      </c>
      <c r="R1022" s="44"/>
      <c r="S1022" s="44"/>
      <c r="T1022" s="43"/>
      <c r="U1022" s="43" t="str">
        <f t="shared" si="8"/>
        <v>No</v>
      </c>
      <c r="V1022" s="25"/>
      <c r="W1022" s="25"/>
      <c r="X1022" s="25"/>
      <c r="Y1022" s="25"/>
      <c r="Z1022" s="25"/>
    </row>
    <row r="1023" spans="1:26" ht="15.75" customHeight="1" x14ac:dyDescent="0.25">
      <c r="A1023" s="25">
        <v>1021</v>
      </c>
      <c r="B1023" s="37" t="e">
        <f t="shared" ref="B1023:D1023" si="2059">VLOOKUP($A1023,'[3]Gestión Pública'!$A$1:$O$251,B$1,0)</f>
        <v>#N/A</v>
      </c>
      <c r="C1023" s="38" t="e">
        <f t="shared" si="2059"/>
        <v>#N/A</v>
      </c>
      <c r="D1023" s="39" t="e">
        <f t="shared" si="2059"/>
        <v>#N/A</v>
      </c>
      <c r="E1023" s="16" t="e">
        <f t="shared" si="1"/>
        <v>#N/A</v>
      </c>
      <c r="F1023" s="16" t="e">
        <f t="shared" ref="F1023:K1023" si="2060">VLOOKUP($A1023,'[3]Gestión Pública'!$A$1:$O$251,F$1,0)</f>
        <v>#N/A</v>
      </c>
      <c r="G1023" s="39" t="e">
        <f t="shared" si="2060"/>
        <v>#N/A</v>
      </c>
      <c r="H1023" s="16" t="e">
        <f t="shared" si="2060"/>
        <v>#N/A</v>
      </c>
      <c r="I1023" s="16" t="e">
        <f t="shared" si="2060"/>
        <v>#N/A</v>
      </c>
      <c r="J1023" s="40" t="e">
        <f t="shared" si="2060"/>
        <v>#N/A</v>
      </c>
      <c r="K1023" s="16" t="e">
        <f t="shared" si="2060"/>
        <v>#N/A</v>
      </c>
      <c r="L1023" s="40" t="e">
        <f t="shared" si="1817"/>
        <v>#N/A</v>
      </c>
      <c r="M1023" s="16" t="e">
        <f t="shared" si="1818"/>
        <v>#N/A</v>
      </c>
      <c r="N1023" s="16" t="e">
        <f t="shared" si="1819"/>
        <v>#N/A</v>
      </c>
      <c r="O1023" s="16" t="s">
        <v>67</v>
      </c>
      <c r="P1023" s="16" t="str">
        <f t="shared" si="6"/>
        <v/>
      </c>
      <c r="Q1023" s="41" t="e">
        <f t="shared" si="1820"/>
        <v>#N/A</v>
      </c>
      <c r="R1023" s="44"/>
      <c r="S1023" s="44"/>
      <c r="T1023" s="43"/>
      <c r="U1023" s="43" t="str">
        <f t="shared" si="8"/>
        <v>No</v>
      </c>
      <c r="V1023" s="25"/>
      <c r="W1023" s="25"/>
      <c r="X1023" s="25"/>
      <c r="Y1023" s="25"/>
      <c r="Z1023" s="25"/>
    </row>
    <row r="1024" spans="1:26" ht="15.75" customHeight="1" x14ac:dyDescent="0.25">
      <c r="A1024" s="25">
        <v>1022</v>
      </c>
      <c r="B1024" s="37" t="e">
        <f t="shared" ref="B1024:D1024" si="2061">VLOOKUP($A1024,'[3]Gestión Pública'!$A$1:$O$251,B$1,0)</f>
        <v>#N/A</v>
      </c>
      <c r="C1024" s="38" t="e">
        <f t="shared" si="2061"/>
        <v>#N/A</v>
      </c>
      <c r="D1024" s="39" t="e">
        <f t="shared" si="2061"/>
        <v>#N/A</v>
      </c>
      <c r="E1024" s="16" t="e">
        <f t="shared" si="1"/>
        <v>#N/A</v>
      </c>
      <c r="F1024" s="16" t="e">
        <f t="shared" ref="F1024:K1024" si="2062">VLOOKUP($A1024,'[3]Gestión Pública'!$A$1:$O$251,F$1,0)</f>
        <v>#N/A</v>
      </c>
      <c r="G1024" s="39" t="e">
        <f t="shared" si="2062"/>
        <v>#N/A</v>
      </c>
      <c r="H1024" s="16" t="e">
        <f t="shared" si="2062"/>
        <v>#N/A</v>
      </c>
      <c r="I1024" s="16" t="e">
        <f t="shared" si="2062"/>
        <v>#N/A</v>
      </c>
      <c r="J1024" s="40" t="e">
        <f t="shared" si="2062"/>
        <v>#N/A</v>
      </c>
      <c r="K1024" s="16" t="e">
        <f t="shared" si="2062"/>
        <v>#N/A</v>
      </c>
      <c r="L1024" s="40" t="e">
        <f t="shared" si="1817"/>
        <v>#N/A</v>
      </c>
      <c r="M1024" s="16" t="e">
        <f t="shared" si="1818"/>
        <v>#N/A</v>
      </c>
      <c r="N1024" s="16" t="e">
        <f t="shared" si="1819"/>
        <v>#N/A</v>
      </c>
      <c r="O1024" s="16" t="s">
        <v>67</v>
      </c>
      <c r="P1024" s="16" t="str">
        <f t="shared" si="6"/>
        <v/>
      </c>
      <c r="Q1024" s="41" t="e">
        <f t="shared" si="1820"/>
        <v>#N/A</v>
      </c>
      <c r="R1024" s="44"/>
      <c r="S1024" s="44"/>
      <c r="T1024" s="43"/>
      <c r="U1024" s="43" t="str">
        <f t="shared" si="8"/>
        <v>No</v>
      </c>
      <c r="V1024" s="25"/>
      <c r="W1024" s="25"/>
      <c r="X1024" s="25"/>
      <c r="Y1024" s="25"/>
      <c r="Z1024" s="25"/>
    </row>
    <row r="1025" spans="1:26" ht="15.75" customHeight="1" x14ac:dyDescent="0.25">
      <c r="A1025" s="25">
        <v>1023</v>
      </c>
      <c r="B1025" s="37" t="e">
        <f t="shared" ref="B1025:D1025" si="2063">VLOOKUP($A1025,'[3]Gestión Pública'!$A$1:$O$251,B$1,0)</f>
        <v>#N/A</v>
      </c>
      <c r="C1025" s="38" t="e">
        <f t="shared" si="2063"/>
        <v>#N/A</v>
      </c>
      <c r="D1025" s="39" t="e">
        <f t="shared" si="2063"/>
        <v>#N/A</v>
      </c>
      <c r="E1025" s="16" t="e">
        <f t="shared" si="1"/>
        <v>#N/A</v>
      </c>
      <c r="F1025" s="16" t="e">
        <f t="shared" ref="F1025:K1025" si="2064">VLOOKUP($A1025,'[3]Gestión Pública'!$A$1:$O$251,F$1,0)</f>
        <v>#N/A</v>
      </c>
      <c r="G1025" s="39" t="e">
        <f t="shared" si="2064"/>
        <v>#N/A</v>
      </c>
      <c r="H1025" s="16" t="e">
        <f t="shared" si="2064"/>
        <v>#N/A</v>
      </c>
      <c r="I1025" s="16" t="e">
        <f t="shared" si="2064"/>
        <v>#N/A</v>
      </c>
      <c r="J1025" s="40" t="e">
        <f t="shared" si="2064"/>
        <v>#N/A</v>
      </c>
      <c r="K1025" s="16" t="e">
        <f t="shared" si="2064"/>
        <v>#N/A</v>
      </c>
      <c r="L1025" s="40" t="e">
        <f t="shared" si="1817"/>
        <v>#N/A</v>
      </c>
      <c r="M1025" s="16" t="e">
        <f t="shared" si="1818"/>
        <v>#N/A</v>
      </c>
      <c r="N1025" s="16" t="e">
        <f t="shared" si="1819"/>
        <v>#N/A</v>
      </c>
      <c r="O1025" s="16" t="s">
        <v>67</v>
      </c>
      <c r="P1025" s="16" t="str">
        <f t="shared" si="6"/>
        <v/>
      </c>
      <c r="Q1025" s="41" t="e">
        <f t="shared" si="1820"/>
        <v>#N/A</v>
      </c>
      <c r="R1025" s="44"/>
      <c r="S1025" s="44"/>
      <c r="T1025" s="43"/>
      <c r="U1025" s="43" t="str">
        <f t="shared" si="8"/>
        <v>No</v>
      </c>
      <c r="V1025" s="25"/>
      <c r="W1025" s="25"/>
      <c r="X1025" s="25"/>
      <c r="Y1025" s="25"/>
      <c r="Z1025" s="25"/>
    </row>
    <row r="1026" spans="1:26" ht="15.75" customHeight="1" x14ac:dyDescent="0.25">
      <c r="A1026" s="25">
        <v>1024</v>
      </c>
      <c r="B1026" s="37" t="e">
        <f t="shared" ref="B1026:D1026" si="2065">VLOOKUP($A1026,'[3]Gestión Pública'!$A$1:$O$251,B$1,0)</f>
        <v>#N/A</v>
      </c>
      <c r="C1026" s="38" t="e">
        <f t="shared" si="2065"/>
        <v>#N/A</v>
      </c>
      <c r="D1026" s="39" t="e">
        <f t="shared" si="2065"/>
        <v>#N/A</v>
      </c>
      <c r="E1026" s="16" t="e">
        <f t="shared" si="1"/>
        <v>#N/A</v>
      </c>
      <c r="F1026" s="16" t="e">
        <f t="shared" ref="F1026:K1026" si="2066">VLOOKUP($A1026,'[3]Gestión Pública'!$A$1:$O$251,F$1,0)</f>
        <v>#N/A</v>
      </c>
      <c r="G1026" s="39" t="e">
        <f t="shared" si="2066"/>
        <v>#N/A</v>
      </c>
      <c r="H1026" s="16" t="e">
        <f t="shared" si="2066"/>
        <v>#N/A</v>
      </c>
      <c r="I1026" s="16" t="e">
        <f t="shared" si="2066"/>
        <v>#N/A</v>
      </c>
      <c r="J1026" s="40" t="e">
        <f t="shared" si="2066"/>
        <v>#N/A</v>
      </c>
      <c r="K1026" s="16" t="e">
        <f t="shared" si="2066"/>
        <v>#N/A</v>
      </c>
      <c r="L1026" s="40" t="e">
        <f t="shared" si="1817"/>
        <v>#N/A</v>
      </c>
      <c r="M1026" s="16" t="e">
        <f t="shared" si="1818"/>
        <v>#N/A</v>
      </c>
      <c r="N1026" s="16" t="e">
        <f t="shared" si="1819"/>
        <v>#N/A</v>
      </c>
      <c r="O1026" s="16" t="s">
        <v>67</v>
      </c>
      <c r="P1026" s="16" t="str">
        <f t="shared" si="6"/>
        <v/>
      </c>
      <c r="Q1026" s="41" t="e">
        <f t="shared" si="1820"/>
        <v>#N/A</v>
      </c>
      <c r="R1026" s="44"/>
      <c r="S1026" s="44"/>
      <c r="T1026" s="43"/>
      <c r="U1026" s="43" t="str">
        <f t="shared" si="8"/>
        <v>No</v>
      </c>
      <c r="V1026" s="25"/>
      <c r="W1026" s="25"/>
      <c r="X1026" s="25"/>
      <c r="Y1026" s="25"/>
      <c r="Z1026" s="25"/>
    </row>
    <row r="1027" spans="1:26" ht="15.75" customHeight="1" x14ac:dyDescent="0.25">
      <c r="A1027" s="25">
        <v>1025</v>
      </c>
      <c r="B1027" s="37" t="e">
        <f t="shared" ref="B1027:D1027" si="2067">VLOOKUP($A1027,'[3]Gestión Pública'!$A$1:$O$251,B$1,0)</f>
        <v>#N/A</v>
      </c>
      <c r="C1027" s="38" t="e">
        <f t="shared" si="2067"/>
        <v>#N/A</v>
      </c>
      <c r="D1027" s="39" t="e">
        <f t="shared" si="2067"/>
        <v>#N/A</v>
      </c>
      <c r="E1027" s="16" t="e">
        <f t="shared" si="1"/>
        <v>#N/A</v>
      </c>
      <c r="F1027" s="16" t="e">
        <f t="shared" ref="F1027:K1027" si="2068">VLOOKUP($A1027,'[3]Gestión Pública'!$A$1:$O$251,F$1,0)</f>
        <v>#N/A</v>
      </c>
      <c r="G1027" s="39" t="e">
        <f t="shared" si="2068"/>
        <v>#N/A</v>
      </c>
      <c r="H1027" s="16" t="e">
        <f t="shared" si="2068"/>
        <v>#N/A</v>
      </c>
      <c r="I1027" s="16" t="e">
        <f t="shared" si="2068"/>
        <v>#N/A</v>
      </c>
      <c r="J1027" s="40" t="e">
        <f t="shared" si="2068"/>
        <v>#N/A</v>
      </c>
      <c r="K1027" s="16" t="e">
        <f t="shared" si="2068"/>
        <v>#N/A</v>
      </c>
      <c r="L1027" s="40" t="e">
        <f t="shared" si="1817"/>
        <v>#N/A</v>
      </c>
      <c r="M1027" s="16" t="e">
        <f t="shared" si="1818"/>
        <v>#N/A</v>
      </c>
      <c r="N1027" s="16" t="e">
        <f t="shared" si="1819"/>
        <v>#N/A</v>
      </c>
      <c r="O1027" s="16" t="s">
        <v>67</v>
      </c>
      <c r="P1027" s="16" t="str">
        <f t="shared" si="6"/>
        <v/>
      </c>
      <c r="Q1027" s="41" t="e">
        <f t="shared" si="1820"/>
        <v>#N/A</v>
      </c>
      <c r="R1027" s="44"/>
      <c r="S1027" s="44"/>
      <c r="T1027" s="43"/>
      <c r="U1027" s="43" t="str">
        <f t="shared" si="8"/>
        <v>No</v>
      </c>
      <c r="V1027" s="25"/>
      <c r="W1027" s="25"/>
      <c r="X1027" s="25"/>
      <c r="Y1027" s="25"/>
      <c r="Z1027" s="25"/>
    </row>
    <row r="1028" spans="1:26" ht="15.75" customHeight="1" x14ac:dyDescent="0.25">
      <c r="A1028" s="25">
        <v>1026</v>
      </c>
      <c r="B1028" s="37" t="e">
        <f t="shared" ref="B1028:D1028" si="2069">VLOOKUP($A1028,'[3]Gestión Pública'!$A$1:$O$251,B$1,0)</f>
        <v>#N/A</v>
      </c>
      <c r="C1028" s="38" t="e">
        <f t="shared" si="2069"/>
        <v>#N/A</v>
      </c>
      <c r="D1028" s="39" t="e">
        <f t="shared" si="2069"/>
        <v>#N/A</v>
      </c>
      <c r="E1028" s="16" t="e">
        <f t="shared" si="1"/>
        <v>#N/A</v>
      </c>
      <c r="F1028" s="16" t="e">
        <f t="shared" ref="F1028:K1028" si="2070">VLOOKUP($A1028,'[3]Gestión Pública'!$A$1:$O$251,F$1,0)</f>
        <v>#N/A</v>
      </c>
      <c r="G1028" s="39" t="e">
        <f t="shared" si="2070"/>
        <v>#N/A</v>
      </c>
      <c r="H1028" s="16" t="e">
        <f t="shared" si="2070"/>
        <v>#N/A</v>
      </c>
      <c r="I1028" s="16" t="e">
        <f t="shared" si="2070"/>
        <v>#N/A</v>
      </c>
      <c r="J1028" s="40" t="e">
        <f t="shared" si="2070"/>
        <v>#N/A</v>
      </c>
      <c r="K1028" s="16" t="e">
        <f t="shared" si="2070"/>
        <v>#N/A</v>
      </c>
      <c r="L1028" s="40" t="e">
        <f t="shared" si="1817"/>
        <v>#N/A</v>
      </c>
      <c r="M1028" s="16" t="e">
        <f t="shared" si="1818"/>
        <v>#N/A</v>
      </c>
      <c r="N1028" s="16" t="e">
        <f t="shared" si="1819"/>
        <v>#N/A</v>
      </c>
      <c r="O1028" s="16" t="s">
        <v>67</v>
      </c>
      <c r="P1028" s="16" t="str">
        <f t="shared" si="6"/>
        <v/>
      </c>
      <c r="Q1028" s="41" t="e">
        <f t="shared" si="1820"/>
        <v>#N/A</v>
      </c>
      <c r="R1028" s="44"/>
      <c r="S1028" s="44"/>
      <c r="T1028" s="43"/>
      <c r="U1028" s="43" t="str">
        <f t="shared" si="8"/>
        <v>No</v>
      </c>
      <c r="V1028" s="25"/>
      <c r="W1028" s="25"/>
      <c r="X1028" s="25"/>
      <c r="Y1028" s="25"/>
      <c r="Z1028" s="25"/>
    </row>
    <row r="1029" spans="1:26" ht="15.75" customHeight="1" x14ac:dyDescent="0.25">
      <c r="A1029" s="25">
        <v>1027</v>
      </c>
      <c r="B1029" s="37" t="e">
        <f t="shared" ref="B1029:D1029" si="2071">VLOOKUP($A1029,'[3]Gestión Pública'!$A$1:$O$251,B$1,0)</f>
        <v>#N/A</v>
      </c>
      <c r="C1029" s="38" t="e">
        <f t="shared" si="2071"/>
        <v>#N/A</v>
      </c>
      <c r="D1029" s="39" t="e">
        <f t="shared" si="2071"/>
        <v>#N/A</v>
      </c>
      <c r="E1029" s="16" t="e">
        <f t="shared" si="1"/>
        <v>#N/A</v>
      </c>
      <c r="F1029" s="16" t="e">
        <f t="shared" ref="F1029:K1029" si="2072">VLOOKUP($A1029,'[3]Gestión Pública'!$A$1:$O$251,F$1,0)</f>
        <v>#N/A</v>
      </c>
      <c r="G1029" s="39" t="e">
        <f t="shared" si="2072"/>
        <v>#N/A</v>
      </c>
      <c r="H1029" s="16" t="e">
        <f t="shared" si="2072"/>
        <v>#N/A</v>
      </c>
      <c r="I1029" s="16" t="e">
        <f t="shared" si="2072"/>
        <v>#N/A</v>
      </c>
      <c r="J1029" s="40" t="e">
        <f t="shared" si="2072"/>
        <v>#N/A</v>
      </c>
      <c r="K1029" s="16" t="e">
        <f t="shared" si="2072"/>
        <v>#N/A</v>
      </c>
      <c r="L1029" s="40" t="e">
        <f t="shared" si="1817"/>
        <v>#N/A</v>
      </c>
      <c r="M1029" s="16" t="e">
        <f t="shared" si="1818"/>
        <v>#N/A</v>
      </c>
      <c r="N1029" s="16" t="e">
        <f t="shared" si="1819"/>
        <v>#N/A</v>
      </c>
      <c r="O1029" s="16" t="s">
        <v>67</v>
      </c>
      <c r="P1029" s="16" t="str">
        <f t="shared" si="6"/>
        <v/>
      </c>
      <c r="Q1029" s="41" t="e">
        <f t="shared" si="1820"/>
        <v>#N/A</v>
      </c>
      <c r="R1029" s="44"/>
      <c r="S1029" s="44"/>
      <c r="T1029" s="43"/>
      <c r="U1029" s="43" t="str">
        <f t="shared" si="8"/>
        <v>No</v>
      </c>
      <c r="V1029" s="25"/>
      <c r="W1029" s="25"/>
      <c r="X1029" s="25"/>
      <c r="Y1029" s="25"/>
      <c r="Z1029" s="25"/>
    </row>
    <row r="1030" spans="1:26" ht="15.75" customHeight="1" x14ac:dyDescent="0.25">
      <c r="A1030" s="25">
        <v>1028</v>
      </c>
      <c r="B1030" s="37" t="e">
        <f t="shared" ref="B1030:D1030" si="2073">VLOOKUP($A1030,'[3]Gestión Pública'!$A$1:$O$251,B$1,0)</f>
        <v>#N/A</v>
      </c>
      <c r="C1030" s="38" t="e">
        <f t="shared" si="2073"/>
        <v>#N/A</v>
      </c>
      <c r="D1030" s="39" t="e">
        <f t="shared" si="2073"/>
        <v>#N/A</v>
      </c>
      <c r="E1030" s="16" t="e">
        <f t="shared" si="1"/>
        <v>#N/A</v>
      </c>
      <c r="F1030" s="16" t="e">
        <f t="shared" ref="F1030:K1030" si="2074">VLOOKUP($A1030,'[3]Gestión Pública'!$A$1:$O$251,F$1,0)</f>
        <v>#N/A</v>
      </c>
      <c r="G1030" s="39" t="e">
        <f t="shared" si="2074"/>
        <v>#N/A</v>
      </c>
      <c r="H1030" s="16" t="e">
        <f t="shared" si="2074"/>
        <v>#N/A</v>
      </c>
      <c r="I1030" s="16" t="e">
        <f t="shared" si="2074"/>
        <v>#N/A</v>
      </c>
      <c r="J1030" s="40" t="e">
        <f t="shared" si="2074"/>
        <v>#N/A</v>
      </c>
      <c r="K1030" s="16" t="e">
        <f t="shared" si="2074"/>
        <v>#N/A</v>
      </c>
      <c r="L1030" s="40" t="e">
        <f t="shared" si="1817"/>
        <v>#N/A</v>
      </c>
      <c r="M1030" s="16" t="e">
        <f t="shared" si="1818"/>
        <v>#N/A</v>
      </c>
      <c r="N1030" s="16" t="e">
        <f t="shared" si="1819"/>
        <v>#N/A</v>
      </c>
      <c r="O1030" s="16" t="s">
        <v>67</v>
      </c>
      <c r="P1030" s="16" t="str">
        <f t="shared" si="6"/>
        <v/>
      </c>
      <c r="Q1030" s="41" t="e">
        <f t="shared" si="1820"/>
        <v>#N/A</v>
      </c>
      <c r="R1030" s="44"/>
      <c r="S1030" s="44"/>
      <c r="T1030" s="43"/>
      <c r="U1030" s="43" t="str">
        <f t="shared" si="8"/>
        <v>No</v>
      </c>
      <c r="V1030" s="25"/>
      <c r="W1030" s="25"/>
      <c r="X1030" s="25"/>
      <c r="Y1030" s="25"/>
      <c r="Z1030" s="25"/>
    </row>
    <row r="1031" spans="1:26" ht="15.75" customHeight="1" x14ac:dyDescent="0.25">
      <c r="A1031" s="25">
        <v>1029</v>
      </c>
      <c r="B1031" s="37" t="e">
        <f t="shared" ref="B1031:D1031" si="2075">VLOOKUP($A1031,'[3]Gestión Pública'!$A$1:$O$251,B$1,0)</f>
        <v>#N/A</v>
      </c>
      <c r="C1031" s="38" t="e">
        <f t="shared" si="2075"/>
        <v>#N/A</v>
      </c>
      <c r="D1031" s="39" t="e">
        <f t="shared" si="2075"/>
        <v>#N/A</v>
      </c>
      <c r="E1031" s="16" t="e">
        <f t="shared" si="1"/>
        <v>#N/A</v>
      </c>
      <c r="F1031" s="16" t="e">
        <f t="shared" ref="F1031:K1031" si="2076">VLOOKUP($A1031,'[3]Gestión Pública'!$A$1:$O$251,F$1,0)</f>
        <v>#N/A</v>
      </c>
      <c r="G1031" s="39" t="e">
        <f t="shared" si="2076"/>
        <v>#N/A</v>
      </c>
      <c r="H1031" s="16" t="e">
        <f t="shared" si="2076"/>
        <v>#N/A</v>
      </c>
      <c r="I1031" s="16" t="e">
        <f t="shared" si="2076"/>
        <v>#N/A</v>
      </c>
      <c r="J1031" s="40" t="e">
        <f t="shared" si="2076"/>
        <v>#N/A</v>
      </c>
      <c r="K1031" s="16" t="e">
        <f t="shared" si="2076"/>
        <v>#N/A</v>
      </c>
      <c r="L1031" s="40" t="e">
        <f t="shared" si="1817"/>
        <v>#N/A</v>
      </c>
      <c r="M1031" s="16" t="e">
        <f t="shared" si="1818"/>
        <v>#N/A</v>
      </c>
      <c r="N1031" s="16" t="e">
        <f t="shared" si="1819"/>
        <v>#N/A</v>
      </c>
      <c r="O1031" s="16" t="s">
        <v>67</v>
      </c>
      <c r="P1031" s="16" t="str">
        <f t="shared" si="6"/>
        <v/>
      </c>
      <c r="Q1031" s="41" t="e">
        <f t="shared" si="1820"/>
        <v>#N/A</v>
      </c>
      <c r="R1031" s="44"/>
      <c r="S1031" s="44"/>
      <c r="T1031" s="43"/>
      <c r="U1031" s="43" t="str">
        <f t="shared" si="8"/>
        <v>No</v>
      </c>
      <c r="V1031" s="25"/>
      <c r="W1031" s="25"/>
      <c r="X1031" s="25"/>
      <c r="Y1031" s="25"/>
      <c r="Z1031" s="25"/>
    </row>
    <row r="1032" spans="1:26" ht="15.75" customHeight="1" x14ac:dyDescent="0.25">
      <c r="A1032" s="25">
        <v>1030</v>
      </c>
      <c r="B1032" s="37" t="e">
        <f t="shared" ref="B1032:D1032" si="2077">VLOOKUP($A1032,'[3]Gestión Pública'!$A$1:$O$251,B$1,0)</f>
        <v>#N/A</v>
      </c>
      <c r="C1032" s="38" t="e">
        <f t="shared" si="2077"/>
        <v>#N/A</v>
      </c>
      <c r="D1032" s="39" t="e">
        <f t="shared" si="2077"/>
        <v>#N/A</v>
      </c>
      <c r="E1032" s="16" t="e">
        <f t="shared" si="1"/>
        <v>#N/A</v>
      </c>
      <c r="F1032" s="16" t="e">
        <f t="shared" ref="F1032:K1032" si="2078">VLOOKUP($A1032,'[3]Gestión Pública'!$A$1:$O$251,F$1,0)</f>
        <v>#N/A</v>
      </c>
      <c r="G1032" s="39" t="e">
        <f t="shared" si="2078"/>
        <v>#N/A</v>
      </c>
      <c r="H1032" s="16" t="e">
        <f t="shared" si="2078"/>
        <v>#N/A</v>
      </c>
      <c r="I1032" s="16" t="e">
        <f t="shared" si="2078"/>
        <v>#N/A</v>
      </c>
      <c r="J1032" s="40" t="e">
        <f t="shared" si="2078"/>
        <v>#N/A</v>
      </c>
      <c r="K1032" s="16" t="e">
        <f t="shared" si="2078"/>
        <v>#N/A</v>
      </c>
      <c r="L1032" s="40" t="e">
        <f t="shared" si="1817"/>
        <v>#N/A</v>
      </c>
      <c r="M1032" s="16" t="e">
        <f t="shared" si="1818"/>
        <v>#N/A</v>
      </c>
      <c r="N1032" s="16" t="e">
        <f t="shared" si="1819"/>
        <v>#N/A</v>
      </c>
      <c r="O1032" s="16" t="s">
        <v>67</v>
      </c>
      <c r="P1032" s="16" t="str">
        <f t="shared" si="6"/>
        <v/>
      </c>
      <c r="Q1032" s="41" t="e">
        <f t="shared" si="1820"/>
        <v>#N/A</v>
      </c>
      <c r="R1032" s="44"/>
      <c r="S1032" s="44"/>
      <c r="T1032" s="43"/>
      <c r="U1032" s="43" t="str">
        <f t="shared" si="8"/>
        <v>No</v>
      </c>
      <c r="V1032" s="25"/>
      <c r="W1032" s="25"/>
      <c r="X1032" s="25"/>
      <c r="Y1032" s="25"/>
      <c r="Z1032" s="25"/>
    </row>
    <row r="1033" spans="1:26" ht="15.75" customHeight="1" x14ac:dyDescent="0.25">
      <c r="A1033" s="25">
        <v>1031</v>
      </c>
      <c r="B1033" s="37" t="e">
        <f t="shared" ref="B1033:D1033" si="2079">VLOOKUP($A1033,'[3]Gestión Pública'!$A$1:$O$251,B$1,0)</f>
        <v>#N/A</v>
      </c>
      <c r="C1033" s="38" t="e">
        <f t="shared" si="2079"/>
        <v>#N/A</v>
      </c>
      <c r="D1033" s="39" t="e">
        <f t="shared" si="2079"/>
        <v>#N/A</v>
      </c>
      <c r="E1033" s="16" t="e">
        <f t="shared" si="1"/>
        <v>#N/A</v>
      </c>
      <c r="F1033" s="16" t="e">
        <f t="shared" ref="F1033:K1033" si="2080">VLOOKUP($A1033,'[3]Gestión Pública'!$A$1:$O$251,F$1,0)</f>
        <v>#N/A</v>
      </c>
      <c r="G1033" s="39" t="e">
        <f t="shared" si="2080"/>
        <v>#N/A</v>
      </c>
      <c r="H1033" s="16" t="e">
        <f t="shared" si="2080"/>
        <v>#N/A</v>
      </c>
      <c r="I1033" s="16" t="e">
        <f t="shared" si="2080"/>
        <v>#N/A</v>
      </c>
      <c r="J1033" s="40" t="e">
        <f t="shared" si="2080"/>
        <v>#N/A</v>
      </c>
      <c r="K1033" s="16" t="e">
        <f t="shared" si="2080"/>
        <v>#N/A</v>
      </c>
      <c r="L1033" s="40" t="e">
        <f t="shared" si="1817"/>
        <v>#N/A</v>
      </c>
      <c r="M1033" s="16" t="e">
        <f t="shared" si="1818"/>
        <v>#N/A</v>
      </c>
      <c r="N1033" s="16" t="e">
        <f t="shared" si="1819"/>
        <v>#N/A</v>
      </c>
      <c r="O1033" s="16" t="s">
        <v>67</v>
      </c>
      <c r="P1033" s="16" t="str">
        <f t="shared" si="6"/>
        <v/>
      </c>
      <c r="Q1033" s="41" t="e">
        <f t="shared" si="1820"/>
        <v>#N/A</v>
      </c>
      <c r="R1033" s="44"/>
      <c r="S1033" s="44"/>
      <c r="T1033" s="43"/>
      <c r="U1033" s="43" t="str">
        <f t="shared" si="8"/>
        <v>No</v>
      </c>
      <c r="V1033" s="25"/>
      <c r="W1033" s="25"/>
      <c r="X1033" s="25"/>
      <c r="Y1033" s="25"/>
      <c r="Z1033" s="25"/>
    </row>
    <row r="1034" spans="1:26" ht="15.75" customHeight="1" x14ac:dyDescent="0.25">
      <c r="A1034" s="25">
        <v>1032</v>
      </c>
      <c r="B1034" s="37" t="e">
        <f t="shared" ref="B1034:D1034" si="2081">VLOOKUP($A1034,'[3]Gestión Pública'!$A$1:$O$251,B$1,0)</f>
        <v>#N/A</v>
      </c>
      <c r="C1034" s="38" t="e">
        <f t="shared" si="2081"/>
        <v>#N/A</v>
      </c>
      <c r="D1034" s="39" t="e">
        <f t="shared" si="2081"/>
        <v>#N/A</v>
      </c>
      <c r="E1034" s="16" t="e">
        <f t="shared" si="1"/>
        <v>#N/A</v>
      </c>
      <c r="F1034" s="16" t="e">
        <f t="shared" ref="F1034:K1034" si="2082">VLOOKUP($A1034,'[3]Gestión Pública'!$A$1:$O$251,F$1,0)</f>
        <v>#N/A</v>
      </c>
      <c r="G1034" s="39" t="e">
        <f t="shared" si="2082"/>
        <v>#N/A</v>
      </c>
      <c r="H1034" s="16" t="e">
        <f t="shared" si="2082"/>
        <v>#N/A</v>
      </c>
      <c r="I1034" s="16" t="e">
        <f t="shared" si="2082"/>
        <v>#N/A</v>
      </c>
      <c r="J1034" s="40" t="e">
        <f t="shared" si="2082"/>
        <v>#N/A</v>
      </c>
      <c r="K1034" s="16" t="e">
        <f t="shared" si="2082"/>
        <v>#N/A</v>
      </c>
      <c r="L1034" s="40" t="e">
        <f t="shared" si="1817"/>
        <v>#N/A</v>
      </c>
      <c r="M1034" s="16" t="e">
        <f t="shared" si="1818"/>
        <v>#N/A</v>
      </c>
      <c r="N1034" s="16" t="e">
        <f t="shared" si="1819"/>
        <v>#N/A</v>
      </c>
      <c r="O1034" s="16" t="s">
        <v>67</v>
      </c>
      <c r="P1034" s="16" t="str">
        <f t="shared" si="6"/>
        <v/>
      </c>
      <c r="Q1034" s="41" t="e">
        <f t="shared" si="1820"/>
        <v>#N/A</v>
      </c>
      <c r="R1034" s="44"/>
      <c r="S1034" s="44"/>
      <c r="T1034" s="43"/>
      <c r="U1034" s="43" t="str">
        <f t="shared" si="8"/>
        <v>No</v>
      </c>
      <c r="V1034" s="25"/>
      <c r="W1034" s="25"/>
      <c r="X1034" s="25"/>
      <c r="Y1034" s="25"/>
      <c r="Z1034" s="25"/>
    </row>
    <row r="1035" spans="1:26" ht="15.75" customHeight="1" x14ac:dyDescent="0.25">
      <c r="A1035" s="25">
        <v>1033</v>
      </c>
      <c r="B1035" s="37" t="e">
        <f t="shared" ref="B1035:D1035" si="2083">VLOOKUP($A1035,'[3]Gestión Pública'!$A$1:$O$251,B$1,0)</f>
        <v>#N/A</v>
      </c>
      <c r="C1035" s="38" t="e">
        <f t="shared" si="2083"/>
        <v>#N/A</v>
      </c>
      <c r="D1035" s="39" t="e">
        <f t="shared" si="2083"/>
        <v>#N/A</v>
      </c>
      <c r="E1035" s="16" t="e">
        <f t="shared" si="1"/>
        <v>#N/A</v>
      </c>
      <c r="F1035" s="16" t="e">
        <f t="shared" ref="F1035:K1035" si="2084">VLOOKUP($A1035,'[3]Gestión Pública'!$A$1:$O$251,F$1,0)</f>
        <v>#N/A</v>
      </c>
      <c r="G1035" s="39" t="e">
        <f t="shared" si="2084"/>
        <v>#N/A</v>
      </c>
      <c r="H1035" s="16" t="e">
        <f t="shared" si="2084"/>
        <v>#N/A</v>
      </c>
      <c r="I1035" s="16" t="e">
        <f t="shared" si="2084"/>
        <v>#N/A</v>
      </c>
      <c r="J1035" s="40" t="e">
        <f t="shared" si="2084"/>
        <v>#N/A</v>
      </c>
      <c r="K1035" s="16" t="e">
        <f t="shared" si="2084"/>
        <v>#N/A</v>
      </c>
      <c r="L1035" s="40" t="e">
        <f t="shared" si="1817"/>
        <v>#N/A</v>
      </c>
      <c r="M1035" s="16" t="e">
        <f t="shared" si="1818"/>
        <v>#N/A</v>
      </c>
      <c r="N1035" s="16" t="e">
        <f t="shared" si="1819"/>
        <v>#N/A</v>
      </c>
      <c r="O1035" s="16" t="s">
        <v>67</v>
      </c>
      <c r="P1035" s="16" t="str">
        <f t="shared" si="6"/>
        <v/>
      </c>
      <c r="Q1035" s="41" t="e">
        <f t="shared" si="1820"/>
        <v>#N/A</v>
      </c>
      <c r="R1035" s="44"/>
      <c r="S1035" s="44"/>
      <c r="T1035" s="43"/>
      <c r="U1035" s="43" t="str">
        <f t="shared" si="8"/>
        <v>No</v>
      </c>
      <c r="V1035" s="25"/>
      <c r="W1035" s="25"/>
      <c r="X1035" s="25"/>
      <c r="Y1035" s="25"/>
      <c r="Z1035" s="25"/>
    </row>
    <row r="1036" spans="1:26" ht="15.75" customHeight="1" x14ac:dyDescent="0.25">
      <c r="A1036" s="25">
        <v>1034</v>
      </c>
      <c r="B1036" s="37" t="e">
        <f t="shared" ref="B1036:D1036" si="2085">VLOOKUP($A1036,'[3]Gestión Pública'!$A$1:$O$251,B$1,0)</f>
        <v>#N/A</v>
      </c>
      <c r="C1036" s="38" t="e">
        <f t="shared" si="2085"/>
        <v>#N/A</v>
      </c>
      <c r="D1036" s="39" t="e">
        <f t="shared" si="2085"/>
        <v>#N/A</v>
      </c>
      <c r="E1036" s="16" t="e">
        <f t="shared" si="1"/>
        <v>#N/A</v>
      </c>
      <c r="F1036" s="16" t="e">
        <f t="shared" ref="F1036:K1036" si="2086">VLOOKUP($A1036,'[3]Gestión Pública'!$A$1:$O$251,F$1,0)</f>
        <v>#N/A</v>
      </c>
      <c r="G1036" s="39" t="e">
        <f t="shared" si="2086"/>
        <v>#N/A</v>
      </c>
      <c r="H1036" s="16" t="e">
        <f t="shared" si="2086"/>
        <v>#N/A</v>
      </c>
      <c r="I1036" s="16" t="e">
        <f t="shared" si="2086"/>
        <v>#N/A</v>
      </c>
      <c r="J1036" s="40" t="e">
        <f t="shared" si="2086"/>
        <v>#N/A</v>
      </c>
      <c r="K1036" s="16" t="e">
        <f t="shared" si="2086"/>
        <v>#N/A</v>
      </c>
      <c r="L1036" s="40" t="e">
        <f t="shared" si="1817"/>
        <v>#N/A</v>
      </c>
      <c r="M1036" s="16" t="e">
        <f t="shared" si="1818"/>
        <v>#N/A</v>
      </c>
      <c r="N1036" s="16" t="e">
        <f t="shared" si="1819"/>
        <v>#N/A</v>
      </c>
      <c r="O1036" s="16" t="s">
        <v>67</v>
      </c>
      <c r="P1036" s="16" t="str">
        <f t="shared" si="6"/>
        <v/>
      </c>
      <c r="Q1036" s="41" t="e">
        <f t="shared" si="1820"/>
        <v>#N/A</v>
      </c>
      <c r="R1036" s="44"/>
      <c r="S1036" s="44"/>
      <c r="T1036" s="43"/>
      <c r="U1036" s="43" t="str">
        <f t="shared" si="8"/>
        <v>No</v>
      </c>
      <c r="V1036" s="25"/>
      <c r="W1036" s="25"/>
      <c r="X1036" s="25"/>
      <c r="Y1036" s="25"/>
      <c r="Z1036" s="25"/>
    </row>
    <row r="1037" spans="1:26" ht="15.75" customHeight="1" x14ac:dyDescent="0.25">
      <c r="A1037" s="25">
        <v>1035</v>
      </c>
      <c r="B1037" s="37" t="e">
        <f t="shared" ref="B1037:D1037" si="2087">VLOOKUP($A1037,'[3]Gestión Pública'!$A$1:$O$251,B$1,0)</f>
        <v>#N/A</v>
      </c>
      <c r="C1037" s="38" t="e">
        <f t="shared" si="2087"/>
        <v>#N/A</v>
      </c>
      <c r="D1037" s="39" t="e">
        <f t="shared" si="2087"/>
        <v>#N/A</v>
      </c>
      <c r="E1037" s="16" t="e">
        <f t="shared" si="1"/>
        <v>#N/A</v>
      </c>
      <c r="F1037" s="16" t="e">
        <f t="shared" ref="F1037:K1037" si="2088">VLOOKUP($A1037,'[3]Gestión Pública'!$A$1:$O$251,F$1,0)</f>
        <v>#N/A</v>
      </c>
      <c r="G1037" s="39" t="e">
        <f t="shared" si="2088"/>
        <v>#N/A</v>
      </c>
      <c r="H1037" s="16" t="e">
        <f t="shared" si="2088"/>
        <v>#N/A</v>
      </c>
      <c r="I1037" s="16" t="e">
        <f t="shared" si="2088"/>
        <v>#N/A</v>
      </c>
      <c r="J1037" s="40" t="e">
        <f t="shared" si="2088"/>
        <v>#N/A</v>
      </c>
      <c r="K1037" s="16" t="e">
        <f t="shared" si="2088"/>
        <v>#N/A</v>
      </c>
      <c r="L1037" s="40" t="e">
        <f t="shared" si="1817"/>
        <v>#N/A</v>
      </c>
      <c r="M1037" s="16" t="e">
        <f t="shared" si="1818"/>
        <v>#N/A</v>
      </c>
      <c r="N1037" s="16" t="e">
        <f t="shared" si="1819"/>
        <v>#N/A</v>
      </c>
      <c r="O1037" s="16" t="s">
        <v>67</v>
      </c>
      <c r="P1037" s="16" t="str">
        <f t="shared" si="6"/>
        <v/>
      </c>
      <c r="Q1037" s="41" t="e">
        <f t="shared" si="1820"/>
        <v>#N/A</v>
      </c>
      <c r="R1037" s="44"/>
      <c r="S1037" s="44"/>
      <c r="T1037" s="43"/>
      <c r="U1037" s="43" t="str">
        <f t="shared" si="8"/>
        <v>No</v>
      </c>
      <c r="V1037" s="25"/>
      <c r="W1037" s="25"/>
      <c r="X1037" s="25"/>
      <c r="Y1037" s="25"/>
      <c r="Z1037" s="25"/>
    </row>
    <row r="1038" spans="1:26" ht="15.75" customHeight="1" x14ac:dyDescent="0.25">
      <c r="A1038" s="25">
        <v>1036</v>
      </c>
      <c r="B1038" s="37" t="e">
        <f t="shared" ref="B1038:D1038" si="2089">VLOOKUP($A1038,'[3]Gestión Pública'!$A$1:$O$251,B$1,0)</f>
        <v>#N/A</v>
      </c>
      <c r="C1038" s="38" t="e">
        <f t="shared" si="2089"/>
        <v>#N/A</v>
      </c>
      <c r="D1038" s="39" t="e">
        <f t="shared" si="2089"/>
        <v>#N/A</v>
      </c>
      <c r="E1038" s="16" t="e">
        <f t="shared" si="1"/>
        <v>#N/A</v>
      </c>
      <c r="F1038" s="16" t="e">
        <f t="shared" ref="F1038:K1038" si="2090">VLOOKUP($A1038,'[3]Gestión Pública'!$A$1:$O$251,F$1,0)</f>
        <v>#N/A</v>
      </c>
      <c r="G1038" s="39" t="e">
        <f t="shared" si="2090"/>
        <v>#N/A</v>
      </c>
      <c r="H1038" s="16" t="e">
        <f t="shared" si="2090"/>
        <v>#N/A</v>
      </c>
      <c r="I1038" s="16" t="e">
        <f t="shared" si="2090"/>
        <v>#N/A</v>
      </c>
      <c r="J1038" s="40" t="e">
        <f t="shared" si="2090"/>
        <v>#N/A</v>
      </c>
      <c r="K1038" s="16" t="e">
        <f t="shared" si="2090"/>
        <v>#N/A</v>
      </c>
      <c r="L1038" s="40" t="e">
        <f t="shared" si="1817"/>
        <v>#N/A</v>
      </c>
      <c r="M1038" s="16" t="e">
        <f t="shared" si="1818"/>
        <v>#N/A</v>
      </c>
      <c r="N1038" s="16" t="e">
        <f t="shared" si="1819"/>
        <v>#N/A</v>
      </c>
      <c r="O1038" s="16" t="s">
        <v>67</v>
      </c>
      <c r="P1038" s="16" t="str">
        <f t="shared" si="6"/>
        <v/>
      </c>
      <c r="Q1038" s="41" t="e">
        <f t="shared" si="1820"/>
        <v>#N/A</v>
      </c>
      <c r="R1038" s="44"/>
      <c r="S1038" s="44"/>
      <c r="T1038" s="43"/>
      <c r="U1038" s="43" t="str">
        <f t="shared" si="8"/>
        <v>No</v>
      </c>
      <c r="V1038" s="25"/>
      <c r="W1038" s="25"/>
      <c r="X1038" s="25"/>
      <c r="Y1038" s="25"/>
      <c r="Z1038" s="25"/>
    </row>
    <row r="1039" spans="1:26" ht="15.75" customHeight="1" x14ac:dyDescent="0.25">
      <c r="A1039" s="25">
        <v>1037</v>
      </c>
      <c r="B1039" s="37" t="e">
        <f t="shared" ref="B1039:D1039" si="2091">VLOOKUP($A1039,'[3]Gestión Pública'!$A$1:$O$251,B$1,0)</f>
        <v>#N/A</v>
      </c>
      <c r="C1039" s="38" t="e">
        <f t="shared" si="2091"/>
        <v>#N/A</v>
      </c>
      <c r="D1039" s="39" t="e">
        <f t="shared" si="2091"/>
        <v>#N/A</v>
      </c>
      <c r="E1039" s="16" t="e">
        <f t="shared" si="1"/>
        <v>#N/A</v>
      </c>
      <c r="F1039" s="16" t="e">
        <f t="shared" ref="F1039:K1039" si="2092">VLOOKUP($A1039,'[3]Gestión Pública'!$A$1:$O$251,F$1,0)</f>
        <v>#N/A</v>
      </c>
      <c r="G1039" s="39" t="e">
        <f t="shared" si="2092"/>
        <v>#N/A</v>
      </c>
      <c r="H1039" s="16" t="e">
        <f t="shared" si="2092"/>
        <v>#N/A</v>
      </c>
      <c r="I1039" s="16" t="e">
        <f t="shared" si="2092"/>
        <v>#N/A</v>
      </c>
      <c r="J1039" s="40" t="e">
        <f t="shared" si="2092"/>
        <v>#N/A</v>
      </c>
      <c r="K1039" s="16" t="e">
        <f t="shared" si="2092"/>
        <v>#N/A</v>
      </c>
      <c r="L1039" s="40" t="e">
        <f t="shared" si="1817"/>
        <v>#N/A</v>
      </c>
      <c r="M1039" s="16" t="e">
        <f t="shared" si="1818"/>
        <v>#N/A</v>
      </c>
      <c r="N1039" s="16" t="e">
        <f t="shared" si="1819"/>
        <v>#N/A</v>
      </c>
      <c r="O1039" s="16" t="s">
        <v>67</v>
      </c>
      <c r="P1039" s="16" t="str">
        <f t="shared" si="6"/>
        <v/>
      </c>
      <c r="Q1039" s="41" t="e">
        <f t="shared" si="1820"/>
        <v>#N/A</v>
      </c>
      <c r="R1039" s="44"/>
      <c r="S1039" s="44"/>
      <c r="T1039" s="43"/>
      <c r="U1039" s="43" t="str">
        <f t="shared" si="8"/>
        <v>No</v>
      </c>
      <c r="V1039" s="25"/>
      <c r="W1039" s="25"/>
      <c r="X1039" s="25"/>
      <c r="Y1039" s="25"/>
      <c r="Z1039" s="25"/>
    </row>
    <row r="1040" spans="1:26" ht="15.75" customHeight="1" x14ac:dyDescent="0.25">
      <c r="A1040" s="25">
        <v>1038</v>
      </c>
      <c r="B1040" s="37" t="e">
        <f t="shared" ref="B1040:D1040" si="2093">VLOOKUP($A1040,'[3]Gestión Pública'!$A$1:$O$251,B$1,0)</f>
        <v>#N/A</v>
      </c>
      <c r="C1040" s="38" t="e">
        <f t="shared" si="2093"/>
        <v>#N/A</v>
      </c>
      <c r="D1040" s="39" t="e">
        <f t="shared" si="2093"/>
        <v>#N/A</v>
      </c>
      <c r="E1040" s="16" t="e">
        <f t="shared" si="1"/>
        <v>#N/A</v>
      </c>
      <c r="F1040" s="16" t="e">
        <f t="shared" ref="F1040:K1040" si="2094">VLOOKUP($A1040,'[3]Gestión Pública'!$A$1:$O$251,F$1,0)</f>
        <v>#N/A</v>
      </c>
      <c r="G1040" s="39" t="e">
        <f t="shared" si="2094"/>
        <v>#N/A</v>
      </c>
      <c r="H1040" s="16" t="e">
        <f t="shared" si="2094"/>
        <v>#N/A</v>
      </c>
      <c r="I1040" s="16" t="e">
        <f t="shared" si="2094"/>
        <v>#N/A</v>
      </c>
      <c r="J1040" s="40" t="e">
        <f t="shared" si="2094"/>
        <v>#N/A</v>
      </c>
      <c r="K1040" s="16" t="e">
        <f t="shared" si="2094"/>
        <v>#N/A</v>
      </c>
      <c r="L1040" s="40" t="e">
        <f t="shared" si="1817"/>
        <v>#N/A</v>
      </c>
      <c r="M1040" s="16" t="e">
        <f t="shared" si="1818"/>
        <v>#N/A</v>
      </c>
      <c r="N1040" s="16" t="e">
        <f t="shared" si="1819"/>
        <v>#N/A</v>
      </c>
      <c r="O1040" s="16" t="s">
        <v>67</v>
      </c>
      <c r="P1040" s="16" t="str">
        <f t="shared" si="6"/>
        <v/>
      </c>
      <c r="Q1040" s="41" t="e">
        <f t="shared" si="1820"/>
        <v>#N/A</v>
      </c>
      <c r="R1040" s="44"/>
      <c r="S1040" s="44"/>
      <c r="T1040" s="43"/>
      <c r="U1040" s="43" t="str">
        <f t="shared" si="8"/>
        <v>No</v>
      </c>
      <c r="V1040" s="25"/>
      <c r="W1040" s="25"/>
      <c r="X1040" s="25"/>
      <c r="Y1040" s="25"/>
      <c r="Z1040" s="25"/>
    </row>
    <row r="1041" spans="1:26" ht="15.75" customHeight="1" x14ac:dyDescent="0.25">
      <c r="A1041" s="25">
        <v>1039</v>
      </c>
      <c r="B1041" s="37" t="e">
        <f t="shared" ref="B1041:D1041" si="2095">VLOOKUP($A1041,'[3]Gestión Pública'!$A$1:$O$251,B$1,0)</f>
        <v>#N/A</v>
      </c>
      <c r="C1041" s="38" t="e">
        <f t="shared" si="2095"/>
        <v>#N/A</v>
      </c>
      <c r="D1041" s="39" t="e">
        <f t="shared" si="2095"/>
        <v>#N/A</v>
      </c>
      <c r="E1041" s="16" t="e">
        <f t="shared" si="1"/>
        <v>#N/A</v>
      </c>
      <c r="F1041" s="16" t="e">
        <f t="shared" ref="F1041:K1041" si="2096">VLOOKUP($A1041,'[3]Gestión Pública'!$A$1:$O$251,F$1,0)</f>
        <v>#N/A</v>
      </c>
      <c r="G1041" s="39" t="e">
        <f t="shared" si="2096"/>
        <v>#N/A</v>
      </c>
      <c r="H1041" s="16" t="e">
        <f t="shared" si="2096"/>
        <v>#N/A</v>
      </c>
      <c r="I1041" s="16" t="e">
        <f t="shared" si="2096"/>
        <v>#N/A</v>
      </c>
      <c r="J1041" s="40" t="e">
        <f t="shared" si="2096"/>
        <v>#N/A</v>
      </c>
      <c r="K1041" s="16" t="e">
        <f t="shared" si="2096"/>
        <v>#N/A</v>
      </c>
      <c r="L1041" s="40" t="e">
        <f t="shared" si="1817"/>
        <v>#N/A</v>
      </c>
      <c r="M1041" s="16" t="e">
        <f t="shared" si="1818"/>
        <v>#N/A</v>
      </c>
      <c r="N1041" s="16" t="e">
        <f t="shared" si="1819"/>
        <v>#N/A</v>
      </c>
      <c r="O1041" s="16" t="s">
        <v>67</v>
      </c>
      <c r="P1041" s="16" t="str">
        <f t="shared" si="6"/>
        <v/>
      </c>
      <c r="Q1041" s="41" t="e">
        <f t="shared" si="1820"/>
        <v>#N/A</v>
      </c>
      <c r="R1041" s="44"/>
      <c r="S1041" s="44"/>
      <c r="T1041" s="43"/>
      <c r="U1041" s="43" t="str">
        <f t="shared" si="8"/>
        <v>No</v>
      </c>
      <c r="V1041" s="25"/>
      <c r="W1041" s="25"/>
      <c r="X1041" s="25"/>
      <c r="Y1041" s="25"/>
      <c r="Z1041" s="25"/>
    </row>
    <row r="1042" spans="1:26" ht="15.75" customHeight="1" x14ac:dyDescent="0.25">
      <c r="A1042" s="25">
        <v>1040</v>
      </c>
      <c r="B1042" s="37" t="e">
        <f t="shared" ref="B1042:D1042" si="2097">VLOOKUP($A1042,'[3]Gestión Pública'!$A$1:$O$251,B$1,0)</f>
        <v>#N/A</v>
      </c>
      <c r="C1042" s="38" t="e">
        <f t="shared" si="2097"/>
        <v>#N/A</v>
      </c>
      <c r="D1042" s="39" t="e">
        <f t="shared" si="2097"/>
        <v>#N/A</v>
      </c>
      <c r="E1042" s="16" t="e">
        <f t="shared" si="1"/>
        <v>#N/A</v>
      </c>
      <c r="F1042" s="16" t="e">
        <f t="shared" ref="F1042:K1042" si="2098">VLOOKUP($A1042,'[3]Gestión Pública'!$A$1:$O$251,F$1,0)</f>
        <v>#N/A</v>
      </c>
      <c r="G1042" s="39" t="e">
        <f t="shared" si="2098"/>
        <v>#N/A</v>
      </c>
      <c r="H1042" s="16" t="e">
        <f t="shared" si="2098"/>
        <v>#N/A</v>
      </c>
      <c r="I1042" s="16" t="e">
        <f t="shared" si="2098"/>
        <v>#N/A</v>
      </c>
      <c r="J1042" s="40" t="e">
        <f t="shared" si="2098"/>
        <v>#N/A</v>
      </c>
      <c r="K1042" s="16" t="e">
        <f t="shared" si="2098"/>
        <v>#N/A</v>
      </c>
      <c r="L1042" s="40" t="e">
        <f t="shared" si="1817"/>
        <v>#N/A</v>
      </c>
      <c r="M1042" s="16" t="e">
        <f t="shared" si="1818"/>
        <v>#N/A</v>
      </c>
      <c r="N1042" s="16" t="e">
        <f t="shared" si="1819"/>
        <v>#N/A</v>
      </c>
      <c r="O1042" s="16" t="s">
        <v>67</v>
      </c>
      <c r="P1042" s="16" t="str">
        <f t="shared" si="6"/>
        <v/>
      </c>
      <c r="Q1042" s="41" t="e">
        <f t="shared" si="1820"/>
        <v>#N/A</v>
      </c>
      <c r="R1042" s="44"/>
      <c r="S1042" s="44"/>
      <c r="T1042" s="43"/>
      <c r="U1042" s="43" t="str">
        <f t="shared" si="8"/>
        <v>No</v>
      </c>
      <c r="V1042" s="25"/>
      <c r="W1042" s="25"/>
      <c r="X1042" s="25"/>
      <c r="Y1042" s="25"/>
      <c r="Z1042" s="25"/>
    </row>
    <row r="1043" spans="1:26" ht="15.75" customHeight="1" x14ac:dyDescent="0.25">
      <c r="A1043" s="25">
        <v>1041</v>
      </c>
      <c r="B1043" s="37" t="e">
        <f t="shared" ref="B1043:D1043" si="2099">VLOOKUP($A1043,'[3]Gestión Pública'!$A$1:$O$251,B$1,0)</f>
        <v>#N/A</v>
      </c>
      <c r="C1043" s="38" t="e">
        <f t="shared" si="2099"/>
        <v>#N/A</v>
      </c>
      <c r="D1043" s="39" t="e">
        <f t="shared" si="2099"/>
        <v>#N/A</v>
      </c>
      <c r="E1043" s="16" t="e">
        <f t="shared" si="1"/>
        <v>#N/A</v>
      </c>
      <c r="F1043" s="16" t="e">
        <f t="shared" ref="F1043:K1043" si="2100">VLOOKUP($A1043,'[3]Gestión Pública'!$A$1:$O$251,F$1,0)</f>
        <v>#N/A</v>
      </c>
      <c r="G1043" s="39" t="e">
        <f t="shared" si="2100"/>
        <v>#N/A</v>
      </c>
      <c r="H1043" s="16" t="e">
        <f t="shared" si="2100"/>
        <v>#N/A</v>
      </c>
      <c r="I1043" s="16" t="e">
        <f t="shared" si="2100"/>
        <v>#N/A</v>
      </c>
      <c r="J1043" s="40" t="e">
        <f t="shared" si="2100"/>
        <v>#N/A</v>
      </c>
      <c r="K1043" s="16" t="e">
        <f t="shared" si="2100"/>
        <v>#N/A</v>
      </c>
      <c r="L1043" s="40" t="e">
        <f t="shared" si="1817"/>
        <v>#N/A</v>
      </c>
      <c r="M1043" s="16" t="e">
        <f t="shared" si="1818"/>
        <v>#N/A</v>
      </c>
      <c r="N1043" s="16" t="e">
        <f t="shared" si="1819"/>
        <v>#N/A</v>
      </c>
      <c r="O1043" s="16" t="s">
        <v>67</v>
      </c>
      <c r="P1043" s="16" t="str">
        <f t="shared" si="6"/>
        <v/>
      </c>
      <c r="Q1043" s="41" t="e">
        <f t="shared" si="1820"/>
        <v>#N/A</v>
      </c>
      <c r="R1043" s="44"/>
      <c r="S1043" s="44"/>
      <c r="T1043" s="43"/>
      <c r="U1043" s="43" t="str">
        <f t="shared" si="8"/>
        <v>No</v>
      </c>
      <c r="V1043" s="25"/>
      <c r="W1043" s="25"/>
      <c r="X1043" s="25"/>
      <c r="Y1043" s="25"/>
      <c r="Z1043" s="25"/>
    </row>
    <row r="1044" spans="1:26" ht="15.75" customHeight="1" x14ac:dyDescent="0.25">
      <c r="A1044" s="25">
        <v>1042</v>
      </c>
      <c r="B1044" s="37" t="e">
        <f t="shared" ref="B1044:D1044" si="2101">VLOOKUP($A1044,'[3]Gestión Pública'!$A$1:$O$251,B$1,0)</f>
        <v>#N/A</v>
      </c>
      <c r="C1044" s="38" t="e">
        <f t="shared" si="2101"/>
        <v>#N/A</v>
      </c>
      <c r="D1044" s="39" t="e">
        <f t="shared" si="2101"/>
        <v>#N/A</v>
      </c>
      <c r="E1044" s="16" t="e">
        <f t="shared" si="1"/>
        <v>#N/A</v>
      </c>
      <c r="F1044" s="16" t="e">
        <f t="shared" ref="F1044:K1044" si="2102">VLOOKUP($A1044,'[3]Gestión Pública'!$A$1:$O$251,F$1,0)</f>
        <v>#N/A</v>
      </c>
      <c r="G1044" s="39" t="e">
        <f t="shared" si="2102"/>
        <v>#N/A</v>
      </c>
      <c r="H1044" s="16" t="e">
        <f t="shared" si="2102"/>
        <v>#N/A</v>
      </c>
      <c r="I1044" s="16" t="e">
        <f t="shared" si="2102"/>
        <v>#N/A</v>
      </c>
      <c r="J1044" s="40" t="e">
        <f t="shared" si="2102"/>
        <v>#N/A</v>
      </c>
      <c r="K1044" s="16" t="e">
        <f t="shared" si="2102"/>
        <v>#N/A</v>
      </c>
      <c r="L1044" s="40" t="e">
        <f t="shared" si="1817"/>
        <v>#N/A</v>
      </c>
      <c r="M1044" s="16" t="e">
        <f t="shared" si="1818"/>
        <v>#N/A</v>
      </c>
      <c r="N1044" s="16" t="e">
        <f t="shared" si="1819"/>
        <v>#N/A</v>
      </c>
      <c r="O1044" s="16" t="s">
        <v>67</v>
      </c>
      <c r="P1044" s="16" t="str">
        <f t="shared" si="6"/>
        <v/>
      </c>
      <c r="Q1044" s="41" t="e">
        <f t="shared" si="1820"/>
        <v>#N/A</v>
      </c>
      <c r="R1044" s="44"/>
      <c r="S1044" s="44"/>
      <c r="T1044" s="43"/>
      <c r="U1044" s="43" t="str">
        <f t="shared" si="8"/>
        <v>No</v>
      </c>
      <c r="V1044" s="25"/>
      <c r="W1044" s="25"/>
      <c r="X1044" s="25"/>
      <c r="Y1044" s="25"/>
      <c r="Z1044" s="25"/>
    </row>
    <row r="1045" spans="1:26" ht="15.75" customHeight="1" x14ac:dyDescent="0.25">
      <c r="A1045" s="25">
        <v>1043</v>
      </c>
      <c r="B1045" s="37" t="e">
        <f t="shared" ref="B1045:D1045" si="2103">VLOOKUP($A1045,'[3]Gestión Pública'!$A$1:$O$251,B$1,0)</f>
        <v>#N/A</v>
      </c>
      <c r="C1045" s="38" t="e">
        <f t="shared" si="2103"/>
        <v>#N/A</v>
      </c>
      <c r="D1045" s="39" t="e">
        <f t="shared" si="2103"/>
        <v>#N/A</v>
      </c>
      <c r="E1045" s="16" t="e">
        <f t="shared" si="1"/>
        <v>#N/A</v>
      </c>
      <c r="F1045" s="16" t="e">
        <f t="shared" ref="F1045:K1045" si="2104">VLOOKUP($A1045,'[3]Gestión Pública'!$A$1:$O$251,F$1,0)</f>
        <v>#N/A</v>
      </c>
      <c r="G1045" s="39" t="e">
        <f t="shared" si="2104"/>
        <v>#N/A</v>
      </c>
      <c r="H1045" s="16" t="e">
        <f t="shared" si="2104"/>
        <v>#N/A</v>
      </c>
      <c r="I1045" s="16" t="e">
        <f t="shared" si="2104"/>
        <v>#N/A</v>
      </c>
      <c r="J1045" s="40" t="e">
        <f t="shared" si="2104"/>
        <v>#N/A</v>
      </c>
      <c r="K1045" s="16" t="e">
        <f t="shared" si="2104"/>
        <v>#N/A</v>
      </c>
      <c r="L1045" s="40" t="e">
        <f t="shared" si="1817"/>
        <v>#N/A</v>
      </c>
      <c r="M1045" s="16" t="e">
        <f t="shared" si="1818"/>
        <v>#N/A</v>
      </c>
      <c r="N1045" s="16" t="e">
        <f t="shared" si="1819"/>
        <v>#N/A</v>
      </c>
      <c r="O1045" s="16" t="s">
        <v>67</v>
      </c>
      <c r="P1045" s="16" t="str">
        <f t="shared" si="6"/>
        <v/>
      </c>
      <c r="Q1045" s="41" t="e">
        <f t="shared" si="1820"/>
        <v>#N/A</v>
      </c>
      <c r="R1045" s="44"/>
      <c r="S1045" s="44"/>
      <c r="T1045" s="43"/>
      <c r="U1045" s="43" t="str">
        <f t="shared" si="8"/>
        <v>No</v>
      </c>
      <c r="V1045" s="25"/>
      <c r="W1045" s="25"/>
      <c r="X1045" s="25"/>
      <c r="Y1045" s="25"/>
      <c r="Z1045" s="25"/>
    </row>
    <row r="1046" spans="1:26" ht="15.75" customHeight="1" x14ac:dyDescent="0.25">
      <c r="A1046" s="25">
        <v>1044</v>
      </c>
      <c r="B1046" s="37" t="e">
        <f t="shared" ref="B1046:D1046" si="2105">VLOOKUP($A1046,'[3]Gestión Pública'!$A$1:$O$251,B$1,0)</f>
        <v>#N/A</v>
      </c>
      <c r="C1046" s="38" t="e">
        <f t="shared" si="2105"/>
        <v>#N/A</v>
      </c>
      <c r="D1046" s="39" t="e">
        <f t="shared" si="2105"/>
        <v>#N/A</v>
      </c>
      <c r="E1046" s="16" t="e">
        <f t="shared" si="1"/>
        <v>#N/A</v>
      </c>
      <c r="F1046" s="16" t="e">
        <f t="shared" ref="F1046:K1046" si="2106">VLOOKUP($A1046,'[3]Gestión Pública'!$A$1:$O$251,F$1,0)</f>
        <v>#N/A</v>
      </c>
      <c r="G1046" s="39" t="e">
        <f t="shared" si="2106"/>
        <v>#N/A</v>
      </c>
      <c r="H1046" s="16" t="e">
        <f t="shared" si="2106"/>
        <v>#N/A</v>
      </c>
      <c r="I1046" s="16" t="e">
        <f t="shared" si="2106"/>
        <v>#N/A</v>
      </c>
      <c r="J1046" s="40" t="e">
        <f t="shared" si="2106"/>
        <v>#N/A</v>
      </c>
      <c r="K1046" s="16" t="e">
        <f t="shared" si="2106"/>
        <v>#N/A</v>
      </c>
      <c r="L1046" s="40" t="e">
        <f t="shared" si="1817"/>
        <v>#N/A</v>
      </c>
      <c r="M1046" s="16" t="e">
        <f t="shared" si="1818"/>
        <v>#N/A</v>
      </c>
      <c r="N1046" s="16" t="e">
        <f t="shared" si="1819"/>
        <v>#N/A</v>
      </c>
      <c r="O1046" s="16" t="s">
        <v>67</v>
      </c>
      <c r="P1046" s="16" t="str">
        <f t="shared" si="6"/>
        <v/>
      </c>
      <c r="Q1046" s="41" t="e">
        <f t="shared" si="1820"/>
        <v>#N/A</v>
      </c>
      <c r="R1046" s="44"/>
      <c r="S1046" s="44"/>
      <c r="T1046" s="43"/>
      <c r="U1046" s="43" t="str">
        <f t="shared" si="8"/>
        <v>No</v>
      </c>
      <c r="V1046" s="25"/>
      <c r="W1046" s="25"/>
      <c r="X1046" s="25"/>
      <c r="Y1046" s="25"/>
      <c r="Z1046" s="25"/>
    </row>
    <row r="1047" spans="1:26" ht="15.75" customHeight="1" x14ac:dyDescent="0.25">
      <c r="A1047" s="25">
        <v>1045</v>
      </c>
      <c r="B1047" s="37" t="e">
        <f t="shared" ref="B1047:D1047" si="2107">VLOOKUP($A1047,'[3]Gestión Pública'!$A$1:$O$251,B$1,0)</f>
        <v>#N/A</v>
      </c>
      <c r="C1047" s="38" t="e">
        <f t="shared" si="2107"/>
        <v>#N/A</v>
      </c>
      <c r="D1047" s="39" t="e">
        <f t="shared" si="2107"/>
        <v>#N/A</v>
      </c>
      <c r="E1047" s="16" t="e">
        <f t="shared" si="1"/>
        <v>#N/A</v>
      </c>
      <c r="F1047" s="16" t="e">
        <f t="shared" ref="F1047:K1047" si="2108">VLOOKUP($A1047,'[3]Gestión Pública'!$A$1:$O$251,F$1,0)</f>
        <v>#N/A</v>
      </c>
      <c r="G1047" s="39" t="e">
        <f t="shared" si="2108"/>
        <v>#N/A</v>
      </c>
      <c r="H1047" s="16" t="e">
        <f t="shared" si="2108"/>
        <v>#N/A</v>
      </c>
      <c r="I1047" s="16" t="e">
        <f t="shared" si="2108"/>
        <v>#N/A</v>
      </c>
      <c r="J1047" s="40" t="e">
        <f t="shared" si="2108"/>
        <v>#N/A</v>
      </c>
      <c r="K1047" s="16" t="e">
        <f t="shared" si="2108"/>
        <v>#N/A</v>
      </c>
      <c r="L1047" s="40" t="e">
        <f t="shared" si="1817"/>
        <v>#N/A</v>
      </c>
      <c r="M1047" s="16" t="e">
        <f t="shared" si="1818"/>
        <v>#N/A</v>
      </c>
      <c r="N1047" s="16" t="e">
        <f t="shared" si="1819"/>
        <v>#N/A</v>
      </c>
      <c r="O1047" s="16" t="s">
        <v>67</v>
      </c>
      <c r="P1047" s="16" t="str">
        <f t="shared" si="6"/>
        <v/>
      </c>
      <c r="Q1047" s="41" t="e">
        <f t="shared" si="1820"/>
        <v>#N/A</v>
      </c>
      <c r="R1047" s="44"/>
      <c r="S1047" s="44"/>
      <c r="T1047" s="43"/>
      <c r="U1047" s="43" t="str">
        <f t="shared" si="8"/>
        <v>No</v>
      </c>
      <c r="V1047" s="25"/>
      <c r="W1047" s="25"/>
      <c r="X1047" s="25"/>
      <c r="Y1047" s="25"/>
      <c r="Z1047" s="25"/>
    </row>
    <row r="1048" spans="1:26" ht="15.75" customHeight="1" x14ac:dyDescent="0.25">
      <c r="A1048" s="25">
        <v>1046</v>
      </c>
      <c r="B1048" s="37" t="e">
        <f t="shared" ref="B1048:D1048" si="2109">VLOOKUP($A1048,'[3]Gestión Pública'!$A$1:$O$251,B$1,0)</f>
        <v>#N/A</v>
      </c>
      <c r="C1048" s="38" t="e">
        <f t="shared" si="2109"/>
        <v>#N/A</v>
      </c>
      <c r="D1048" s="39" t="e">
        <f t="shared" si="2109"/>
        <v>#N/A</v>
      </c>
      <c r="E1048" s="16" t="e">
        <f t="shared" si="1"/>
        <v>#N/A</v>
      </c>
      <c r="F1048" s="16" t="e">
        <f t="shared" ref="F1048:K1048" si="2110">VLOOKUP($A1048,'[3]Gestión Pública'!$A$1:$O$251,F$1,0)</f>
        <v>#N/A</v>
      </c>
      <c r="G1048" s="39" t="e">
        <f t="shared" si="2110"/>
        <v>#N/A</v>
      </c>
      <c r="H1048" s="16" t="e">
        <f t="shared" si="2110"/>
        <v>#N/A</v>
      </c>
      <c r="I1048" s="16" t="e">
        <f t="shared" si="2110"/>
        <v>#N/A</v>
      </c>
      <c r="J1048" s="40" t="e">
        <f t="shared" si="2110"/>
        <v>#N/A</v>
      </c>
      <c r="K1048" s="16" t="e">
        <f t="shared" si="2110"/>
        <v>#N/A</v>
      </c>
      <c r="L1048" s="40" t="e">
        <f t="shared" si="1817"/>
        <v>#N/A</v>
      </c>
      <c r="M1048" s="16" t="e">
        <f t="shared" si="1818"/>
        <v>#N/A</v>
      </c>
      <c r="N1048" s="16" t="e">
        <f t="shared" si="1819"/>
        <v>#N/A</v>
      </c>
      <c r="O1048" s="16" t="s">
        <v>67</v>
      </c>
      <c r="P1048" s="16" t="str">
        <f t="shared" si="6"/>
        <v/>
      </c>
      <c r="Q1048" s="41" t="e">
        <f t="shared" si="1820"/>
        <v>#N/A</v>
      </c>
      <c r="R1048" s="44"/>
      <c r="S1048" s="44"/>
      <c r="T1048" s="43"/>
      <c r="U1048" s="43" t="str">
        <f t="shared" si="8"/>
        <v>No</v>
      </c>
      <c r="V1048" s="25"/>
      <c r="W1048" s="25"/>
      <c r="X1048" s="25"/>
      <c r="Y1048" s="25"/>
      <c r="Z1048" s="25"/>
    </row>
    <row r="1049" spans="1:26" ht="15.75" customHeight="1" x14ac:dyDescent="0.25">
      <c r="A1049" s="25">
        <v>1047</v>
      </c>
      <c r="B1049" s="37" t="e">
        <f t="shared" ref="B1049:D1049" si="2111">VLOOKUP($A1049,'[3]Gestión Pública'!$A$1:$O$251,B$1,0)</f>
        <v>#N/A</v>
      </c>
      <c r="C1049" s="38" t="e">
        <f t="shared" si="2111"/>
        <v>#N/A</v>
      </c>
      <c r="D1049" s="39" t="e">
        <f t="shared" si="2111"/>
        <v>#N/A</v>
      </c>
      <c r="E1049" s="16" t="e">
        <f t="shared" si="1"/>
        <v>#N/A</v>
      </c>
      <c r="F1049" s="16" t="e">
        <f t="shared" ref="F1049:K1049" si="2112">VLOOKUP($A1049,'[3]Gestión Pública'!$A$1:$O$251,F$1,0)</f>
        <v>#N/A</v>
      </c>
      <c r="G1049" s="39" t="e">
        <f t="shared" si="2112"/>
        <v>#N/A</v>
      </c>
      <c r="H1049" s="16" t="e">
        <f t="shared" si="2112"/>
        <v>#N/A</v>
      </c>
      <c r="I1049" s="16" t="e">
        <f t="shared" si="2112"/>
        <v>#N/A</v>
      </c>
      <c r="J1049" s="40" t="e">
        <f t="shared" si="2112"/>
        <v>#N/A</v>
      </c>
      <c r="K1049" s="16" t="e">
        <f t="shared" si="2112"/>
        <v>#N/A</v>
      </c>
      <c r="L1049" s="40" t="e">
        <f t="shared" si="1817"/>
        <v>#N/A</v>
      </c>
      <c r="M1049" s="16" t="e">
        <f t="shared" si="1818"/>
        <v>#N/A</v>
      </c>
      <c r="N1049" s="16" t="e">
        <f t="shared" si="1819"/>
        <v>#N/A</v>
      </c>
      <c r="O1049" s="16" t="s">
        <v>67</v>
      </c>
      <c r="P1049" s="16" t="str">
        <f t="shared" si="6"/>
        <v/>
      </c>
      <c r="Q1049" s="41" t="e">
        <f t="shared" si="1820"/>
        <v>#N/A</v>
      </c>
      <c r="R1049" s="44"/>
      <c r="S1049" s="44"/>
      <c r="T1049" s="43"/>
      <c r="U1049" s="43" t="str">
        <f t="shared" si="8"/>
        <v>No</v>
      </c>
      <c r="V1049" s="25"/>
      <c r="W1049" s="25"/>
      <c r="X1049" s="25"/>
      <c r="Y1049" s="25"/>
      <c r="Z1049" s="25"/>
    </row>
    <row r="1050" spans="1:26" ht="15.75" customHeight="1" x14ac:dyDescent="0.25">
      <c r="A1050" s="25">
        <v>1048</v>
      </c>
      <c r="B1050" s="37" t="e">
        <f t="shared" ref="B1050:D1050" si="2113">VLOOKUP($A1050,'[3]Gestión Pública'!$A$1:$O$251,B$1,0)</f>
        <v>#N/A</v>
      </c>
      <c r="C1050" s="38" t="e">
        <f t="shared" si="2113"/>
        <v>#N/A</v>
      </c>
      <c r="D1050" s="39" t="e">
        <f t="shared" si="2113"/>
        <v>#N/A</v>
      </c>
      <c r="E1050" s="16" t="e">
        <f t="shared" si="1"/>
        <v>#N/A</v>
      </c>
      <c r="F1050" s="16" t="e">
        <f t="shared" ref="F1050:K1050" si="2114">VLOOKUP($A1050,'[3]Gestión Pública'!$A$1:$O$251,F$1,0)</f>
        <v>#N/A</v>
      </c>
      <c r="G1050" s="39" t="e">
        <f t="shared" si="2114"/>
        <v>#N/A</v>
      </c>
      <c r="H1050" s="16" t="e">
        <f t="shared" si="2114"/>
        <v>#N/A</v>
      </c>
      <c r="I1050" s="16" t="e">
        <f t="shared" si="2114"/>
        <v>#N/A</v>
      </c>
      <c r="J1050" s="40" t="e">
        <f t="shared" si="2114"/>
        <v>#N/A</v>
      </c>
      <c r="K1050" s="16" t="e">
        <f t="shared" si="2114"/>
        <v>#N/A</v>
      </c>
      <c r="L1050" s="40" t="e">
        <f t="shared" si="1817"/>
        <v>#N/A</v>
      </c>
      <c r="M1050" s="16" t="e">
        <f t="shared" si="1818"/>
        <v>#N/A</v>
      </c>
      <c r="N1050" s="16" t="e">
        <f t="shared" si="1819"/>
        <v>#N/A</v>
      </c>
      <c r="O1050" s="16" t="s">
        <v>67</v>
      </c>
      <c r="P1050" s="16" t="str">
        <f t="shared" si="6"/>
        <v/>
      </c>
      <c r="Q1050" s="41" t="e">
        <f t="shared" si="1820"/>
        <v>#N/A</v>
      </c>
      <c r="R1050" s="44"/>
      <c r="S1050" s="44"/>
      <c r="T1050" s="43"/>
      <c r="U1050" s="43" t="str">
        <f t="shared" si="8"/>
        <v>No</v>
      </c>
      <c r="V1050" s="25"/>
      <c r="W1050" s="25"/>
      <c r="X1050" s="25"/>
      <c r="Y1050" s="25"/>
      <c r="Z1050" s="25"/>
    </row>
    <row r="1051" spans="1:26" ht="15.75" customHeight="1" x14ac:dyDescent="0.25">
      <c r="A1051" s="25">
        <v>1049</v>
      </c>
      <c r="B1051" s="37" t="e">
        <f t="shared" ref="B1051:D1051" si="2115">VLOOKUP($A1051,'[3]Gestión Pública'!$A$1:$O$251,B$1,0)</f>
        <v>#N/A</v>
      </c>
      <c r="C1051" s="38" t="e">
        <f t="shared" si="2115"/>
        <v>#N/A</v>
      </c>
      <c r="D1051" s="39" t="e">
        <f t="shared" si="2115"/>
        <v>#N/A</v>
      </c>
      <c r="E1051" s="16" t="e">
        <f t="shared" si="1"/>
        <v>#N/A</v>
      </c>
      <c r="F1051" s="16" t="e">
        <f t="shared" ref="F1051:K1051" si="2116">VLOOKUP($A1051,'[3]Gestión Pública'!$A$1:$O$251,F$1,0)</f>
        <v>#N/A</v>
      </c>
      <c r="G1051" s="39" t="e">
        <f t="shared" si="2116"/>
        <v>#N/A</v>
      </c>
      <c r="H1051" s="16" t="e">
        <f t="shared" si="2116"/>
        <v>#N/A</v>
      </c>
      <c r="I1051" s="16" t="e">
        <f t="shared" si="2116"/>
        <v>#N/A</v>
      </c>
      <c r="J1051" s="40" t="e">
        <f t="shared" si="2116"/>
        <v>#N/A</v>
      </c>
      <c r="K1051" s="16" t="e">
        <f t="shared" si="2116"/>
        <v>#N/A</v>
      </c>
      <c r="L1051" s="40" t="e">
        <f t="shared" si="1817"/>
        <v>#N/A</v>
      </c>
      <c r="M1051" s="16" t="e">
        <f t="shared" si="1818"/>
        <v>#N/A</v>
      </c>
      <c r="N1051" s="16" t="e">
        <f t="shared" si="1819"/>
        <v>#N/A</v>
      </c>
      <c r="O1051" s="16" t="s">
        <v>67</v>
      </c>
      <c r="P1051" s="16" t="str">
        <f t="shared" si="6"/>
        <v/>
      </c>
      <c r="Q1051" s="41" t="e">
        <f t="shared" si="1820"/>
        <v>#N/A</v>
      </c>
      <c r="R1051" s="44"/>
      <c r="S1051" s="44"/>
      <c r="T1051" s="43"/>
      <c r="U1051" s="43" t="str">
        <f t="shared" si="8"/>
        <v>No</v>
      </c>
      <c r="V1051" s="25"/>
      <c r="W1051" s="25"/>
      <c r="X1051" s="25"/>
      <c r="Y1051" s="25"/>
      <c r="Z1051" s="25"/>
    </row>
    <row r="1052" spans="1:26" ht="15.75" customHeight="1" x14ac:dyDescent="0.25">
      <c r="A1052" s="25">
        <v>1050</v>
      </c>
      <c r="B1052" s="37" t="e">
        <f t="shared" ref="B1052:D1052" si="2117">VLOOKUP($A1052,'[3]Gestión Pública'!$A$1:$O$251,B$1,0)</f>
        <v>#N/A</v>
      </c>
      <c r="C1052" s="38" t="e">
        <f t="shared" si="2117"/>
        <v>#N/A</v>
      </c>
      <c r="D1052" s="39" t="e">
        <f t="shared" si="2117"/>
        <v>#N/A</v>
      </c>
      <c r="E1052" s="16" t="e">
        <f t="shared" si="1"/>
        <v>#N/A</v>
      </c>
      <c r="F1052" s="16" t="e">
        <f t="shared" ref="F1052:K1052" si="2118">VLOOKUP($A1052,'[3]Gestión Pública'!$A$1:$O$251,F$1,0)</f>
        <v>#N/A</v>
      </c>
      <c r="G1052" s="39" t="e">
        <f t="shared" si="2118"/>
        <v>#N/A</v>
      </c>
      <c r="H1052" s="16" t="e">
        <f t="shared" si="2118"/>
        <v>#N/A</v>
      </c>
      <c r="I1052" s="16" t="e">
        <f t="shared" si="2118"/>
        <v>#N/A</v>
      </c>
      <c r="J1052" s="40" t="e">
        <f t="shared" si="2118"/>
        <v>#N/A</v>
      </c>
      <c r="K1052" s="16" t="e">
        <f t="shared" si="2118"/>
        <v>#N/A</v>
      </c>
      <c r="L1052" s="40" t="e">
        <f t="shared" si="1817"/>
        <v>#N/A</v>
      </c>
      <c r="M1052" s="16" t="e">
        <f t="shared" si="1818"/>
        <v>#N/A</v>
      </c>
      <c r="N1052" s="16" t="e">
        <f t="shared" si="1819"/>
        <v>#N/A</v>
      </c>
      <c r="O1052" s="16" t="s">
        <v>67</v>
      </c>
      <c r="P1052" s="16" t="str">
        <f t="shared" si="6"/>
        <v/>
      </c>
      <c r="Q1052" s="41" t="e">
        <f t="shared" si="1820"/>
        <v>#N/A</v>
      </c>
      <c r="R1052" s="44"/>
      <c r="S1052" s="44"/>
      <c r="T1052" s="43"/>
      <c r="U1052" s="43" t="str">
        <f t="shared" si="8"/>
        <v>No</v>
      </c>
      <c r="V1052" s="25"/>
      <c r="W1052" s="25"/>
      <c r="X1052" s="25"/>
      <c r="Y1052" s="25"/>
      <c r="Z1052" s="25"/>
    </row>
    <row r="1053" spans="1:26" ht="15.75" customHeight="1" x14ac:dyDescent="0.25">
      <c r="A1053" s="25">
        <v>1051</v>
      </c>
      <c r="B1053" s="37" t="e">
        <f t="shared" ref="B1053:D1053" si="2119">VLOOKUP($A1053,'[3]Gestión Pública'!$A$1:$O$251,B$1,0)</f>
        <v>#N/A</v>
      </c>
      <c r="C1053" s="38" t="e">
        <f t="shared" si="2119"/>
        <v>#N/A</v>
      </c>
      <c r="D1053" s="39" t="e">
        <f t="shared" si="2119"/>
        <v>#N/A</v>
      </c>
      <c r="E1053" s="16" t="e">
        <f t="shared" si="1"/>
        <v>#N/A</v>
      </c>
      <c r="F1053" s="16" t="e">
        <f t="shared" ref="F1053:K1053" si="2120">VLOOKUP($A1053,'[3]Gestión Pública'!$A$1:$O$251,F$1,0)</f>
        <v>#N/A</v>
      </c>
      <c r="G1053" s="39" t="e">
        <f t="shared" si="2120"/>
        <v>#N/A</v>
      </c>
      <c r="H1053" s="16" t="e">
        <f t="shared" si="2120"/>
        <v>#N/A</v>
      </c>
      <c r="I1053" s="16" t="e">
        <f t="shared" si="2120"/>
        <v>#N/A</v>
      </c>
      <c r="J1053" s="40" t="e">
        <f t="shared" si="2120"/>
        <v>#N/A</v>
      </c>
      <c r="K1053" s="16" t="e">
        <f t="shared" si="2120"/>
        <v>#N/A</v>
      </c>
      <c r="L1053" s="40" t="e">
        <f t="shared" si="1817"/>
        <v>#N/A</v>
      </c>
      <c r="M1053" s="16" t="e">
        <f t="shared" si="1818"/>
        <v>#N/A</v>
      </c>
      <c r="N1053" s="16" t="e">
        <f t="shared" si="1819"/>
        <v>#N/A</v>
      </c>
      <c r="O1053" s="16" t="s">
        <v>67</v>
      </c>
      <c r="P1053" s="16" t="str">
        <f t="shared" si="6"/>
        <v/>
      </c>
      <c r="Q1053" s="41" t="e">
        <f t="shared" si="1820"/>
        <v>#N/A</v>
      </c>
      <c r="R1053" s="44"/>
      <c r="S1053" s="44"/>
      <c r="T1053" s="43"/>
      <c r="U1053" s="43" t="str">
        <f t="shared" si="8"/>
        <v>No</v>
      </c>
      <c r="V1053" s="25"/>
      <c r="W1053" s="25"/>
      <c r="X1053" s="25"/>
      <c r="Y1053" s="25"/>
      <c r="Z1053" s="25"/>
    </row>
    <row r="1054" spans="1:26" ht="15.75" customHeight="1" x14ac:dyDescent="0.25">
      <c r="A1054" s="25">
        <v>1052</v>
      </c>
      <c r="B1054" s="37" t="e">
        <f t="shared" ref="B1054:D1054" si="2121">VLOOKUP($A1054,'[3]Gestión Pública'!$A$1:$O$251,B$1,0)</f>
        <v>#N/A</v>
      </c>
      <c r="C1054" s="38" t="e">
        <f t="shared" si="2121"/>
        <v>#N/A</v>
      </c>
      <c r="D1054" s="39" t="e">
        <f t="shared" si="2121"/>
        <v>#N/A</v>
      </c>
      <c r="E1054" s="16" t="e">
        <f t="shared" si="1"/>
        <v>#N/A</v>
      </c>
      <c r="F1054" s="16" t="e">
        <f t="shared" ref="F1054:K1054" si="2122">VLOOKUP($A1054,'[3]Gestión Pública'!$A$1:$O$251,F$1,0)</f>
        <v>#N/A</v>
      </c>
      <c r="G1054" s="39" t="e">
        <f t="shared" si="2122"/>
        <v>#N/A</v>
      </c>
      <c r="H1054" s="16" t="e">
        <f t="shared" si="2122"/>
        <v>#N/A</v>
      </c>
      <c r="I1054" s="16" t="e">
        <f t="shared" si="2122"/>
        <v>#N/A</v>
      </c>
      <c r="J1054" s="40" t="e">
        <f t="shared" si="2122"/>
        <v>#N/A</v>
      </c>
      <c r="K1054" s="16" t="e">
        <f t="shared" si="2122"/>
        <v>#N/A</v>
      </c>
      <c r="L1054" s="40" t="e">
        <f t="shared" si="1817"/>
        <v>#N/A</v>
      </c>
      <c r="M1054" s="16" t="e">
        <f t="shared" si="1818"/>
        <v>#N/A</v>
      </c>
      <c r="N1054" s="16" t="e">
        <f t="shared" si="1819"/>
        <v>#N/A</v>
      </c>
      <c r="O1054" s="16" t="s">
        <v>67</v>
      </c>
      <c r="P1054" s="16" t="str">
        <f t="shared" si="6"/>
        <v/>
      </c>
      <c r="Q1054" s="41" t="e">
        <f t="shared" si="1820"/>
        <v>#N/A</v>
      </c>
      <c r="R1054" s="44"/>
      <c r="S1054" s="44"/>
      <c r="T1054" s="43"/>
      <c r="U1054" s="43" t="str">
        <f t="shared" si="8"/>
        <v>No</v>
      </c>
      <c r="V1054" s="25"/>
      <c r="W1054" s="25"/>
      <c r="X1054" s="25"/>
      <c r="Y1054" s="25"/>
      <c r="Z1054" s="25"/>
    </row>
    <row r="1055" spans="1:26" ht="15.75" customHeight="1" x14ac:dyDescent="0.25">
      <c r="A1055" s="25">
        <v>1053</v>
      </c>
      <c r="B1055" s="37" t="e">
        <f t="shared" ref="B1055:D1055" si="2123">VLOOKUP($A1055,'[3]Gestión Pública'!$A$1:$O$251,B$1,0)</f>
        <v>#N/A</v>
      </c>
      <c r="C1055" s="38" t="e">
        <f t="shared" si="2123"/>
        <v>#N/A</v>
      </c>
      <c r="D1055" s="39" t="e">
        <f t="shared" si="2123"/>
        <v>#N/A</v>
      </c>
      <c r="E1055" s="16" t="e">
        <f t="shared" si="1"/>
        <v>#N/A</v>
      </c>
      <c r="F1055" s="16" t="e">
        <f t="shared" ref="F1055:K1055" si="2124">VLOOKUP($A1055,'[3]Gestión Pública'!$A$1:$O$251,F$1,0)</f>
        <v>#N/A</v>
      </c>
      <c r="G1055" s="39" t="e">
        <f t="shared" si="2124"/>
        <v>#N/A</v>
      </c>
      <c r="H1055" s="16" t="e">
        <f t="shared" si="2124"/>
        <v>#N/A</v>
      </c>
      <c r="I1055" s="16" t="e">
        <f t="shared" si="2124"/>
        <v>#N/A</v>
      </c>
      <c r="J1055" s="40" t="e">
        <f t="shared" si="2124"/>
        <v>#N/A</v>
      </c>
      <c r="K1055" s="16" t="e">
        <f t="shared" si="2124"/>
        <v>#N/A</v>
      </c>
      <c r="L1055" s="40" t="e">
        <f t="shared" si="1817"/>
        <v>#N/A</v>
      </c>
      <c r="M1055" s="16" t="e">
        <f t="shared" si="1818"/>
        <v>#N/A</v>
      </c>
      <c r="N1055" s="16" t="e">
        <f t="shared" si="1819"/>
        <v>#N/A</v>
      </c>
      <c r="O1055" s="16" t="s">
        <v>67</v>
      </c>
      <c r="P1055" s="16" t="str">
        <f t="shared" si="6"/>
        <v/>
      </c>
      <c r="Q1055" s="41" t="e">
        <f t="shared" si="1820"/>
        <v>#N/A</v>
      </c>
      <c r="R1055" s="44"/>
      <c r="S1055" s="44"/>
      <c r="T1055" s="43"/>
      <c r="U1055" s="43" t="str">
        <f t="shared" si="8"/>
        <v>No</v>
      </c>
      <c r="V1055" s="25"/>
      <c r="W1055" s="25"/>
      <c r="X1055" s="25"/>
      <c r="Y1055" s="25"/>
      <c r="Z1055" s="25"/>
    </row>
    <row r="1056" spans="1:26" ht="15.75" customHeight="1" x14ac:dyDescent="0.25">
      <c r="A1056" s="25">
        <v>1054</v>
      </c>
      <c r="B1056" s="37" t="e">
        <f t="shared" ref="B1056:D1056" si="2125">VLOOKUP($A1056,'[3]Gestión Pública'!$A$1:$O$251,B$1,0)</f>
        <v>#N/A</v>
      </c>
      <c r="C1056" s="38" t="e">
        <f t="shared" si="2125"/>
        <v>#N/A</v>
      </c>
      <c r="D1056" s="39" t="e">
        <f t="shared" si="2125"/>
        <v>#N/A</v>
      </c>
      <c r="E1056" s="16" t="e">
        <f t="shared" si="1"/>
        <v>#N/A</v>
      </c>
      <c r="F1056" s="16" t="e">
        <f t="shared" ref="F1056:K1056" si="2126">VLOOKUP($A1056,'[3]Gestión Pública'!$A$1:$O$251,F$1,0)</f>
        <v>#N/A</v>
      </c>
      <c r="G1056" s="39" t="e">
        <f t="shared" si="2126"/>
        <v>#N/A</v>
      </c>
      <c r="H1056" s="16" t="e">
        <f t="shared" si="2126"/>
        <v>#N/A</v>
      </c>
      <c r="I1056" s="16" t="e">
        <f t="shared" si="2126"/>
        <v>#N/A</v>
      </c>
      <c r="J1056" s="40" t="e">
        <f t="shared" si="2126"/>
        <v>#N/A</v>
      </c>
      <c r="K1056" s="16" t="e">
        <f t="shared" si="2126"/>
        <v>#N/A</v>
      </c>
      <c r="L1056" s="40" t="e">
        <f t="shared" si="1817"/>
        <v>#N/A</v>
      </c>
      <c r="M1056" s="16" t="e">
        <f t="shared" si="1818"/>
        <v>#N/A</v>
      </c>
      <c r="N1056" s="16" t="e">
        <f t="shared" si="1819"/>
        <v>#N/A</v>
      </c>
      <c r="O1056" s="16" t="s">
        <v>67</v>
      </c>
      <c r="P1056" s="16" t="str">
        <f t="shared" si="6"/>
        <v/>
      </c>
      <c r="Q1056" s="41" t="e">
        <f t="shared" si="1820"/>
        <v>#N/A</v>
      </c>
      <c r="R1056" s="44"/>
      <c r="S1056" s="44"/>
      <c r="T1056" s="43"/>
      <c r="U1056" s="43" t="str">
        <f t="shared" si="8"/>
        <v>No</v>
      </c>
      <c r="V1056" s="25"/>
      <c r="W1056" s="25"/>
      <c r="X1056" s="25"/>
      <c r="Y1056" s="25"/>
      <c r="Z1056" s="25"/>
    </row>
    <row r="1057" spans="1:26" ht="15.75" customHeight="1" x14ac:dyDescent="0.25">
      <c r="A1057" s="25">
        <v>1055</v>
      </c>
      <c r="B1057" s="37" t="e">
        <f t="shared" ref="B1057:D1057" si="2127">VLOOKUP($A1057,'[3]Gestión Pública'!$A$1:$O$251,B$1,0)</f>
        <v>#N/A</v>
      </c>
      <c r="C1057" s="38" t="e">
        <f t="shared" si="2127"/>
        <v>#N/A</v>
      </c>
      <c r="D1057" s="39" t="e">
        <f t="shared" si="2127"/>
        <v>#N/A</v>
      </c>
      <c r="E1057" s="16" t="e">
        <f t="shared" si="1"/>
        <v>#N/A</v>
      </c>
      <c r="F1057" s="16" t="e">
        <f t="shared" ref="F1057:K1057" si="2128">VLOOKUP($A1057,'[3]Gestión Pública'!$A$1:$O$251,F$1,0)</f>
        <v>#N/A</v>
      </c>
      <c r="G1057" s="39" t="e">
        <f t="shared" si="2128"/>
        <v>#N/A</v>
      </c>
      <c r="H1057" s="16" t="e">
        <f t="shared" si="2128"/>
        <v>#N/A</v>
      </c>
      <c r="I1057" s="16" t="e">
        <f t="shared" si="2128"/>
        <v>#N/A</v>
      </c>
      <c r="J1057" s="40" t="e">
        <f t="shared" si="2128"/>
        <v>#N/A</v>
      </c>
      <c r="K1057" s="16" t="e">
        <f t="shared" si="2128"/>
        <v>#N/A</v>
      </c>
      <c r="L1057" s="40" t="e">
        <f t="shared" si="1817"/>
        <v>#N/A</v>
      </c>
      <c r="M1057" s="16" t="e">
        <f t="shared" si="1818"/>
        <v>#N/A</v>
      </c>
      <c r="N1057" s="16" t="e">
        <f t="shared" si="1819"/>
        <v>#N/A</v>
      </c>
      <c r="O1057" s="16" t="s">
        <v>67</v>
      </c>
      <c r="P1057" s="16" t="str">
        <f t="shared" si="6"/>
        <v/>
      </c>
      <c r="Q1057" s="41" t="e">
        <f t="shared" si="1820"/>
        <v>#N/A</v>
      </c>
      <c r="R1057" s="44"/>
      <c r="S1057" s="44"/>
      <c r="T1057" s="43"/>
      <c r="U1057" s="43" t="str">
        <f t="shared" si="8"/>
        <v>No</v>
      </c>
      <c r="V1057" s="25"/>
      <c r="W1057" s="25"/>
      <c r="X1057" s="25"/>
      <c r="Y1057" s="25"/>
      <c r="Z1057" s="25"/>
    </row>
    <row r="1058" spans="1:26" ht="15.75" customHeight="1" x14ac:dyDescent="0.25">
      <c r="A1058" s="25">
        <v>1056</v>
      </c>
      <c r="B1058" s="37" t="e">
        <f t="shared" ref="B1058:D1058" si="2129">VLOOKUP($A1058,'[3]Gestión Pública'!$A$1:$O$251,B$1,0)</f>
        <v>#N/A</v>
      </c>
      <c r="C1058" s="38" t="e">
        <f t="shared" si="2129"/>
        <v>#N/A</v>
      </c>
      <c r="D1058" s="39" t="e">
        <f t="shared" si="2129"/>
        <v>#N/A</v>
      </c>
      <c r="E1058" s="16" t="e">
        <f t="shared" si="1"/>
        <v>#N/A</v>
      </c>
      <c r="F1058" s="16" t="e">
        <f t="shared" ref="F1058:K1058" si="2130">VLOOKUP($A1058,'[3]Gestión Pública'!$A$1:$O$251,F$1,0)</f>
        <v>#N/A</v>
      </c>
      <c r="G1058" s="39" t="e">
        <f t="shared" si="2130"/>
        <v>#N/A</v>
      </c>
      <c r="H1058" s="16" t="e">
        <f t="shared" si="2130"/>
        <v>#N/A</v>
      </c>
      <c r="I1058" s="16" t="e">
        <f t="shared" si="2130"/>
        <v>#N/A</v>
      </c>
      <c r="J1058" s="40" t="e">
        <f t="shared" si="2130"/>
        <v>#N/A</v>
      </c>
      <c r="K1058" s="16" t="e">
        <f t="shared" si="2130"/>
        <v>#N/A</v>
      </c>
      <c r="L1058" s="40" t="e">
        <f t="shared" si="1817"/>
        <v>#N/A</v>
      </c>
      <c r="M1058" s="16" t="e">
        <f t="shared" si="1818"/>
        <v>#N/A</v>
      </c>
      <c r="N1058" s="16" t="e">
        <f t="shared" si="1819"/>
        <v>#N/A</v>
      </c>
      <c r="O1058" s="16" t="s">
        <v>67</v>
      </c>
      <c r="P1058" s="16" t="str">
        <f t="shared" si="6"/>
        <v/>
      </c>
      <c r="Q1058" s="41" t="e">
        <f t="shared" si="1820"/>
        <v>#N/A</v>
      </c>
      <c r="R1058" s="44"/>
      <c r="S1058" s="44"/>
      <c r="T1058" s="43"/>
      <c r="U1058" s="43" t="str">
        <f t="shared" si="8"/>
        <v>No</v>
      </c>
      <c r="V1058" s="25"/>
      <c r="W1058" s="25"/>
      <c r="X1058" s="25"/>
      <c r="Y1058" s="25"/>
      <c r="Z1058" s="25"/>
    </row>
    <row r="1059" spans="1:26" ht="15.75" customHeight="1" x14ac:dyDescent="0.25">
      <c r="A1059" s="25">
        <v>1057</v>
      </c>
      <c r="B1059" s="37" t="e">
        <f t="shared" ref="B1059:D1059" si="2131">VLOOKUP($A1059,'[3]Gestión Pública'!$A$1:$O$251,B$1,0)</f>
        <v>#N/A</v>
      </c>
      <c r="C1059" s="38" t="e">
        <f t="shared" si="2131"/>
        <v>#N/A</v>
      </c>
      <c r="D1059" s="39" t="e">
        <f t="shared" si="2131"/>
        <v>#N/A</v>
      </c>
      <c r="E1059" s="16" t="e">
        <f t="shared" si="1"/>
        <v>#N/A</v>
      </c>
      <c r="F1059" s="16" t="e">
        <f t="shared" ref="F1059:K1059" si="2132">VLOOKUP($A1059,'[3]Gestión Pública'!$A$1:$O$251,F$1,0)</f>
        <v>#N/A</v>
      </c>
      <c r="G1059" s="39" t="e">
        <f t="shared" si="2132"/>
        <v>#N/A</v>
      </c>
      <c r="H1059" s="16" t="e">
        <f t="shared" si="2132"/>
        <v>#N/A</v>
      </c>
      <c r="I1059" s="16" t="e">
        <f t="shared" si="2132"/>
        <v>#N/A</v>
      </c>
      <c r="J1059" s="40" t="e">
        <f t="shared" si="2132"/>
        <v>#N/A</v>
      </c>
      <c r="K1059" s="16" t="e">
        <f t="shared" si="2132"/>
        <v>#N/A</v>
      </c>
      <c r="L1059" s="40" t="e">
        <f t="shared" si="1817"/>
        <v>#N/A</v>
      </c>
      <c r="M1059" s="16" t="e">
        <f t="shared" si="1818"/>
        <v>#N/A</v>
      </c>
      <c r="N1059" s="16" t="e">
        <f t="shared" si="1819"/>
        <v>#N/A</v>
      </c>
      <c r="O1059" s="16" t="s">
        <v>67</v>
      </c>
      <c r="P1059" s="16" t="str">
        <f t="shared" si="6"/>
        <v/>
      </c>
      <c r="Q1059" s="41" t="e">
        <f t="shared" si="1820"/>
        <v>#N/A</v>
      </c>
      <c r="R1059" s="44"/>
      <c r="S1059" s="44"/>
      <c r="T1059" s="43"/>
      <c r="U1059" s="43" t="str">
        <f t="shared" si="8"/>
        <v>No</v>
      </c>
      <c r="V1059" s="25"/>
      <c r="W1059" s="25"/>
      <c r="X1059" s="25"/>
      <c r="Y1059" s="25"/>
      <c r="Z1059" s="25"/>
    </row>
    <row r="1060" spans="1:26" ht="15.75" customHeight="1" x14ac:dyDescent="0.25">
      <c r="A1060" s="25">
        <v>1058</v>
      </c>
      <c r="B1060" s="37" t="e">
        <f t="shared" ref="B1060:D1060" si="2133">VLOOKUP($A1060,'[3]Gestión Pública'!$A$1:$O$251,B$1,0)</f>
        <v>#N/A</v>
      </c>
      <c r="C1060" s="38" t="e">
        <f t="shared" si="2133"/>
        <v>#N/A</v>
      </c>
      <c r="D1060" s="39" t="e">
        <f t="shared" si="2133"/>
        <v>#N/A</v>
      </c>
      <c r="E1060" s="16" t="e">
        <f t="shared" si="1"/>
        <v>#N/A</v>
      </c>
      <c r="F1060" s="16" t="e">
        <f t="shared" ref="F1060:K1060" si="2134">VLOOKUP($A1060,'[3]Gestión Pública'!$A$1:$O$251,F$1,0)</f>
        <v>#N/A</v>
      </c>
      <c r="G1060" s="39" t="e">
        <f t="shared" si="2134"/>
        <v>#N/A</v>
      </c>
      <c r="H1060" s="16" t="e">
        <f t="shared" si="2134"/>
        <v>#N/A</v>
      </c>
      <c r="I1060" s="16" t="e">
        <f t="shared" si="2134"/>
        <v>#N/A</v>
      </c>
      <c r="J1060" s="40" t="e">
        <f t="shared" si="2134"/>
        <v>#N/A</v>
      </c>
      <c r="K1060" s="16" t="e">
        <f t="shared" si="2134"/>
        <v>#N/A</v>
      </c>
      <c r="L1060" s="40" t="e">
        <f t="shared" si="1817"/>
        <v>#N/A</v>
      </c>
      <c r="M1060" s="16" t="e">
        <f t="shared" si="1818"/>
        <v>#N/A</v>
      </c>
      <c r="N1060" s="16" t="e">
        <f t="shared" si="1819"/>
        <v>#N/A</v>
      </c>
      <c r="O1060" s="16" t="s">
        <v>67</v>
      </c>
      <c r="P1060" s="16" t="str">
        <f t="shared" si="6"/>
        <v/>
      </c>
      <c r="Q1060" s="41" t="e">
        <f t="shared" si="1820"/>
        <v>#N/A</v>
      </c>
      <c r="R1060" s="44"/>
      <c r="S1060" s="44"/>
      <c r="T1060" s="43"/>
      <c r="U1060" s="43" t="str">
        <f t="shared" si="8"/>
        <v>No</v>
      </c>
      <c r="V1060" s="25"/>
      <c r="W1060" s="25"/>
      <c r="X1060" s="25"/>
      <c r="Y1060" s="25"/>
      <c r="Z1060" s="25"/>
    </row>
    <row r="1061" spans="1:26" ht="15.75" customHeight="1" x14ac:dyDescent="0.25">
      <c r="A1061" s="25">
        <v>1059</v>
      </c>
      <c r="B1061" s="37" t="e">
        <f t="shared" ref="B1061:D1061" si="2135">VLOOKUP($A1061,'[3]Gestión Pública'!$A$1:$O$251,B$1,0)</f>
        <v>#N/A</v>
      </c>
      <c r="C1061" s="38" t="e">
        <f t="shared" si="2135"/>
        <v>#N/A</v>
      </c>
      <c r="D1061" s="39" t="e">
        <f t="shared" si="2135"/>
        <v>#N/A</v>
      </c>
      <c r="E1061" s="16" t="e">
        <f t="shared" si="1"/>
        <v>#N/A</v>
      </c>
      <c r="F1061" s="16" t="e">
        <f t="shared" ref="F1061:K1061" si="2136">VLOOKUP($A1061,'[3]Gestión Pública'!$A$1:$O$251,F$1,0)</f>
        <v>#N/A</v>
      </c>
      <c r="G1061" s="39" t="e">
        <f t="shared" si="2136"/>
        <v>#N/A</v>
      </c>
      <c r="H1061" s="16" t="e">
        <f t="shared" si="2136"/>
        <v>#N/A</v>
      </c>
      <c r="I1061" s="16" t="e">
        <f t="shared" si="2136"/>
        <v>#N/A</v>
      </c>
      <c r="J1061" s="40" t="e">
        <f t="shared" si="2136"/>
        <v>#N/A</v>
      </c>
      <c r="K1061" s="16" t="e">
        <f t="shared" si="2136"/>
        <v>#N/A</v>
      </c>
      <c r="L1061" s="40" t="e">
        <f t="shared" si="1817"/>
        <v>#N/A</v>
      </c>
      <c r="M1061" s="16" t="e">
        <f t="shared" si="1818"/>
        <v>#N/A</v>
      </c>
      <c r="N1061" s="16" t="e">
        <f t="shared" si="1819"/>
        <v>#N/A</v>
      </c>
      <c r="O1061" s="16" t="s">
        <v>67</v>
      </c>
      <c r="P1061" s="16" t="str">
        <f t="shared" si="6"/>
        <v/>
      </c>
      <c r="Q1061" s="41" t="e">
        <f t="shared" si="1820"/>
        <v>#N/A</v>
      </c>
      <c r="R1061" s="44"/>
      <c r="S1061" s="44"/>
      <c r="T1061" s="43"/>
      <c r="U1061" s="43" t="str">
        <f t="shared" si="8"/>
        <v>No</v>
      </c>
      <c r="V1061" s="25"/>
      <c r="W1061" s="25"/>
      <c r="X1061" s="25"/>
      <c r="Y1061" s="25"/>
      <c r="Z1061" s="25"/>
    </row>
    <row r="1062" spans="1:26" ht="15.75" customHeight="1" x14ac:dyDescent="0.25">
      <c r="A1062" s="25">
        <v>1060</v>
      </c>
      <c r="B1062" s="37" t="e">
        <f t="shared" ref="B1062:D1062" si="2137">VLOOKUP($A1062,'[3]Gestión Pública'!$A$1:$O$251,B$1,0)</f>
        <v>#N/A</v>
      </c>
      <c r="C1062" s="38" t="e">
        <f t="shared" si="2137"/>
        <v>#N/A</v>
      </c>
      <c r="D1062" s="39" t="e">
        <f t="shared" si="2137"/>
        <v>#N/A</v>
      </c>
      <c r="E1062" s="16" t="e">
        <f t="shared" si="1"/>
        <v>#N/A</v>
      </c>
      <c r="F1062" s="16" t="e">
        <f t="shared" ref="F1062:K1062" si="2138">VLOOKUP($A1062,'[3]Gestión Pública'!$A$1:$O$251,F$1,0)</f>
        <v>#N/A</v>
      </c>
      <c r="G1062" s="39" t="e">
        <f t="shared" si="2138"/>
        <v>#N/A</v>
      </c>
      <c r="H1062" s="16" t="e">
        <f t="shared" si="2138"/>
        <v>#N/A</v>
      </c>
      <c r="I1062" s="16" t="e">
        <f t="shared" si="2138"/>
        <v>#N/A</v>
      </c>
      <c r="J1062" s="40" t="e">
        <f t="shared" si="2138"/>
        <v>#N/A</v>
      </c>
      <c r="K1062" s="16" t="e">
        <f t="shared" si="2138"/>
        <v>#N/A</v>
      </c>
      <c r="L1062" s="40" t="e">
        <f t="shared" si="1817"/>
        <v>#N/A</v>
      </c>
      <c r="M1062" s="16" t="e">
        <f t="shared" si="1818"/>
        <v>#N/A</v>
      </c>
      <c r="N1062" s="16" t="e">
        <f t="shared" si="1819"/>
        <v>#N/A</v>
      </c>
      <c r="O1062" s="16" t="s">
        <v>67</v>
      </c>
      <c r="P1062" s="16" t="str">
        <f t="shared" si="6"/>
        <v/>
      </c>
      <c r="Q1062" s="41" t="e">
        <f t="shared" si="1820"/>
        <v>#N/A</v>
      </c>
      <c r="R1062" s="44"/>
      <c r="S1062" s="44"/>
      <c r="T1062" s="43"/>
      <c r="U1062" s="43" t="str">
        <f t="shared" si="8"/>
        <v>No</v>
      </c>
      <c r="V1062" s="25"/>
      <c r="W1062" s="25"/>
      <c r="X1062" s="25"/>
      <c r="Y1062" s="25"/>
      <c r="Z1062" s="25"/>
    </row>
    <row r="1063" spans="1:26" ht="15.75" customHeight="1" x14ac:dyDescent="0.25">
      <c r="A1063" s="25">
        <v>1061</v>
      </c>
      <c r="B1063" s="37" t="e">
        <f t="shared" ref="B1063:D1063" si="2139">VLOOKUP($A1063,'[3]Gestión Pública'!$A$1:$O$251,B$1,0)</f>
        <v>#N/A</v>
      </c>
      <c r="C1063" s="38" t="e">
        <f t="shared" si="2139"/>
        <v>#N/A</v>
      </c>
      <c r="D1063" s="39" t="e">
        <f t="shared" si="2139"/>
        <v>#N/A</v>
      </c>
      <c r="E1063" s="16" t="e">
        <f t="shared" si="1"/>
        <v>#N/A</v>
      </c>
      <c r="F1063" s="16" t="e">
        <f t="shared" ref="F1063:K1063" si="2140">VLOOKUP($A1063,'[3]Gestión Pública'!$A$1:$O$251,F$1,0)</f>
        <v>#N/A</v>
      </c>
      <c r="G1063" s="39" t="e">
        <f t="shared" si="2140"/>
        <v>#N/A</v>
      </c>
      <c r="H1063" s="16" t="e">
        <f t="shared" si="2140"/>
        <v>#N/A</v>
      </c>
      <c r="I1063" s="16" t="e">
        <f t="shared" si="2140"/>
        <v>#N/A</v>
      </c>
      <c r="J1063" s="40" t="e">
        <f t="shared" si="2140"/>
        <v>#N/A</v>
      </c>
      <c r="K1063" s="16" t="e">
        <f t="shared" si="2140"/>
        <v>#N/A</v>
      </c>
      <c r="L1063" s="40" t="e">
        <f t="shared" si="1817"/>
        <v>#N/A</v>
      </c>
      <c r="M1063" s="16" t="e">
        <f t="shared" si="1818"/>
        <v>#N/A</v>
      </c>
      <c r="N1063" s="16" t="e">
        <f t="shared" si="1819"/>
        <v>#N/A</v>
      </c>
      <c r="O1063" s="16" t="s">
        <v>67</v>
      </c>
      <c r="P1063" s="16" t="str">
        <f t="shared" si="6"/>
        <v/>
      </c>
      <c r="Q1063" s="41" t="e">
        <f t="shared" si="1820"/>
        <v>#N/A</v>
      </c>
      <c r="R1063" s="44"/>
      <c r="S1063" s="44"/>
      <c r="T1063" s="43"/>
      <c r="U1063" s="43" t="str">
        <f t="shared" si="8"/>
        <v>No</v>
      </c>
      <c r="V1063" s="25"/>
      <c r="W1063" s="25"/>
      <c r="X1063" s="25"/>
      <c r="Y1063" s="25"/>
      <c r="Z1063" s="25"/>
    </row>
    <row r="1064" spans="1:26" ht="15.75" customHeight="1" x14ac:dyDescent="0.25">
      <c r="A1064" s="25">
        <v>1062</v>
      </c>
      <c r="B1064" s="37" t="e">
        <f t="shared" ref="B1064:D1064" si="2141">VLOOKUP($A1064,'[3]Gestión Pública'!$A$1:$O$251,B$1,0)</f>
        <v>#N/A</v>
      </c>
      <c r="C1064" s="38" t="e">
        <f t="shared" si="2141"/>
        <v>#N/A</v>
      </c>
      <c r="D1064" s="39" t="e">
        <f t="shared" si="2141"/>
        <v>#N/A</v>
      </c>
      <c r="E1064" s="16" t="e">
        <f t="shared" si="1"/>
        <v>#N/A</v>
      </c>
      <c r="F1064" s="16" t="e">
        <f t="shared" ref="F1064:K1064" si="2142">VLOOKUP($A1064,'[3]Gestión Pública'!$A$1:$O$251,F$1,0)</f>
        <v>#N/A</v>
      </c>
      <c r="G1064" s="39" t="e">
        <f t="shared" si="2142"/>
        <v>#N/A</v>
      </c>
      <c r="H1064" s="16" t="e">
        <f t="shared" si="2142"/>
        <v>#N/A</v>
      </c>
      <c r="I1064" s="16" t="e">
        <f t="shared" si="2142"/>
        <v>#N/A</v>
      </c>
      <c r="J1064" s="40" t="e">
        <f t="shared" si="2142"/>
        <v>#N/A</v>
      </c>
      <c r="K1064" s="16" t="e">
        <f t="shared" si="2142"/>
        <v>#N/A</v>
      </c>
      <c r="L1064" s="40" t="e">
        <f t="shared" si="1817"/>
        <v>#N/A</v>
      </c>
      <c r="M1064" s="16" t="e">
        <f t="shared" si="1818"/>
        <v>#N/A</v>
      </c>
      <c r="N1064" s="16" t="e">
        <f t="shared" si="1819"/>
        <v>#N/A</v>
      </c>
      <c r="O1064" s="16" t="s">
        <v>67</v>
      </c>
      <c r="P1064" s="16" t="str">
        <f t="shared" si="6"/>
        <v/>
      </c>
      <c r="Q1064" s="41" t="e">
        <f t="shared" si="1820"/>
        <v>#N/A</v>
      </c>
      <c r="R1064" s="44"/>
      <c r="S1064" s="44"/>
      <c r="T1064" s="43"/>
      <c r="U1064" s="43" t="str">
        <f t="shared" si="8"/>
        <v>No</v>
      </c>
      <c r="V1064" s="25"/>
      <c r="W1064" s="25"/>
      <c r="X1064" s="25"/>
      <c r="Y1064" s="25"/>
      <c r="Z1064" s="25"/>
    </row>
    <row r="1065" spans="1:26" ht="15.75" customHeight="1" x14ac:dyDescent="0.25">
      <c r="A1065" s="25">
        <v>1063</v>
      </c>
      <c r="B1065" s="37" t="e">
        <f t="shared" ref="B1065:D1065" si="2143">VLOOKUP($A1065,'[3]Gestión Pública'!$A$1:$O$251,B$1,0)</f>
        <v>#N/A</v>
      </c>
      <c r="C1065" s="38" t="e">
        <f t="shared" si="2143"/>
        <v>#N/A</v>
      </c>
      <c r="D1065" s="39" t="e">
        <f t="shared" si="2143"/>
        <v>#N/A</v>
      </c>
      <c r="E1065" s="16" t="e">
        <f t="shared" si="1"/>
        <v>#N/A</v>
      </c>
      <c r="F1065" s="16" t="e">
        <f t="shared" ref="F1065:K1065" si="2144">VLOOKUP($A1065,'[3]Gestión Pública'!$A$1:$O$251,F$1,0)</f>
        <v>#N/A</v>
      </c>
      <c r="G1065" s="39" t="e">
        <f t="shared" si="2144"/>
        <v>#N/A</v>
      </c>
      <c r="H1065" s="16" t="e">
        <f t="shared" si="2144"/>
        <v>#N/A</v>
      </c>
      <c r="I1065" s="16" t="e">
        <f t="shared" si="2144"/>
        <v>#N/A</v>
      </c>
      <c r="J1065" s="40" t="e">
        <f t="shared" si="2144"/>
        <v>#N/A</v>
      </c>
      <c r="K1065" s="16" t="e">
        <f t="shared" si="2144"/>
        <v>#N/A</v>
      </c>
      <c r="L1065" s="40" t="e">
        <f t="shared" si="1817"/>
        <v>#N/A</v>
      </c>
      <c r="M1065" s="16" t="e">
        <f t="shared" si="1818"/>
        <v>#N/A</v>
      </c>
      <c r="N1065" s="16" t="e">
        <f t="shared" si="1819"/>
        <v>#N/A</v>
      </c>
      <c r="O1065" s="16" t="s">
        <v>67</v>
      </c>
      <c r="P1065" s="16" t="str">
        <f t="shared" si="6"/>
        <v/>
      </c>
      <c r="Q1065" s="41" t="e">
        <f t="shared" si="1820"/>
        <v>#N/A</v>
      </c>
      <c r="R1065" s="44"/>
      <c r="S1065" s="44"/>
      <c r="T1065" s="43"/>
      <c r="U1065" s="43" t="str">
        <f t="shared" si="8"/>
        <v>No</v>
      </c>
      <c r="V1065" s="25"/>
      <c r="W1065" s="25"/>
      <c r="X1065" s="25"/>
      <c r="Y1065" s="25"/>
      <c r="Z1065" s="25"/>
    </row>
    <row r="1066" spans="1:26" ht="15.75" customHeight="1" x14ac:dyDescent="0.25">
      <c r="A1066" s="25">
        <v>1064</v>
      </c>
      <c r="B1066" s="37" t="e">
        <f t="shared" ref="B1066:D1066" si="2145">VLOOKUP($A1066,'[3]Gestión Pública'!$A$1:$O$251,B$1,0)</f>
        <v>#N/A</v>
      </c>
      <c r="C1066" s="38" t="e">
        <f t="shared" si="2145"/>
        <v>#N/A</v>
      </c>
      <c r="D1066" s="39" t="e">
        <f t="shared" si="2145"/>
        <v>#N/A</v>
      </c>
      <c r="E1066" s="16" t="e">
        <f t="shared" si="1"/>
        <v>#N/A</v>
      </c>
      <c r="F1066" s="16" t="e">
        <f t="shared" ref="F1066:K1066" si="2146">VLOOKUP($A1066,'[3]Gestión Pública'!$A$1:$O$251,F$1,0)</f>
        <v>#N/A</v>
      </c>
      <c r="G1066" s="39" t="e">
        <f t="shared" si="2146"/>
        <v>#N/A</v>
      </c>
      <c r="H1066" s="16" t="e">
        <f t="shared" si="2146"/>
        <v>#N/A</v>
      </c>
      <c r="I1066" s="16" t="e">
        <f t="shared" si="2146"/>
        <v>#N/A</v>
      </c>
      <c r="J1066" s="40" t="e">
        <f t="shared" si="2146"/>
        <v>#N/A</v>
      </c>
      <c r="K1066" s="16" t="e">
        <f t="shared" si="2146"/>
        <v>#N/A</v>
      </c>
      <c r="L1066" s="40" t="e">
        <f t="shared" si="1817"/>
        <v>#N/A</v>
      </c>
      <c r="M1066" s="16" t="e">
        <f t="shared" si="1818"/>
        <v>#N/A</v>
      </c>
      <c r="N1066" s="16" t="e">
        <f t="shared" si="1819"/>
        <v>#N/A</v>
      </c>
      <c r="O1066" s="16" t="s">
        <v>67</v>
      </c>
      <c r="P1066" s="16" t="str">
        <f t="shared" si="6"/>
        <v/>
      </c>
      <c r="Q1066" s="41" t="e">
        <f t="shared" si="1820"/>
        <v>#N/A</v>
      </c>
      <c r="R1066" s="44"/>
      <c r="S1066" s="44"/>
      <c r="T1066" s="43"/>
      <c r="U1066" s="43" t="str">
        <f t="shared" si="8"/>
        <v>No</v>
      </c>
      <c r="V1066" s="25"/>
      <c r="W1066" s="25"/>
      <c r="X1066" s="25"/>
      <c r="Y1066" s="25"/>
      <c r="Z1066" s="25"/>
    </row>
    <row r="1067" spans="1:26" ht="15.75" customHeight="1" x14ac:dyDescent="0.25">
      <c r="A1067" s="25">
        <v>1065</v>
      </c>
      <c r="B1067" s="37" t="e">
        <f t="shared" ref="B1067:D1067" si="2147">VLOOKUP($A1067,'[3]Gestión Pública'!$A$1:$O$251,B$1,0)</f>
        <v>#N/A</v>
      </c>
      <c r="C1067" s="38" t="e">
        <f t="shared" si="2147"/>
        <v>#N/A</v>
      </c>
      <c r="D1067" s="39" t="e">
        <f t="shared" si="2147"/>
        <v>#N/A</v>
      </c>
      <c r="E1067" s="16" t="e">
        <f t="shared" si="1"/>
        <v>#N/A</v>
      </c>
      <c r="F1067" s="16" t="e">
        <f t="shared" ref="F1067:K1067" si="2148">VLOOKUP($A1067,'[3]Gestión Pública'!$A$1:$O$251,F$1,0)</f>
        <v>#N/A</v>
      </c>
      <c r="G1067" s="39" t="e">
        <f t="shared" si="2148"/>
        <v>#N/A</v>
      </c>
      <c r="H1067" s="16" t="e">
        <f t="shared" si="2148"/>
        <v>#N/A</v>
      </c>
      <c r="I1067" s="16" t="e">
        <f t="shared" si="2148"/>
        <v>#N/A</v>
      </c>
      <c r="J1067" s="40" t="e">
        <f t="shared" si="2148"/>
        <v>#N/A</v>
      </c>
      <c r="K1067" s="16" t="e">
        <f t="shared" si="2148"/>
        <v>#N/A</v>
      </c>
      <c r="L1067" s="40" t="e">
        <f t="shared" si="1817"/>
        <v>#N/A</v>
      </c>
      <c r="M1067" s="16" t="e">
        <f t="shared" si="1818"/>
        <v>#N/A</v>
      </c>
      <c r="N1067" s="16" t="e">
        <f t="shared" si="1819"/>
        <v>#N/A</v>
      </c>
      <c r="O1067" s="16" t="s">
        <v>67</v>
      </c>
      <c r="P1067" s="16" t="str">
        <f t="shared" si="6"/>
        <v/>
      </c>
      <c r="Q1067" s="41" t="e">
        <f t="shared" si="1820"/>
        <v>#N/A</v>
      </c>
      <c r="R1067" s="44"/>
      <c r="S1067" s="44"/>
      <c r="T1067" s="43"/>
      <c r="U1067" s="43" t="str">
        <f t="shared" si="8"/>
        <v>No</v>
      </c>
      <c r="V1067" s="25"/>
      <c r="W1067" s="25"/>
      <c r="X1067" s="25"/>
      <c r="Y1067" s="25"/>
      <c r="Z1067" s="25"/>
    </row>
    <row r="1068" spans="1:26" ht="15.75" customHeight="1" x14ac:dyDescent="0.25">
      <c r="A1068" s="25">
        <v>1066</v>
      </c>
      <c r="B1068" s="37" t="e">
        <f t="shared" ref="B1068:D1068" si="2149">VLOOKUP($A1068,'[3]Gestión Pública'!$A$1:$O$251,B$1,0)</f>
        <v>#N/A</v>
      </c>
      <c r="C1068" s="38" t="e">
        <f t="shared" si="2149"/>
        <v>#N/A</v>
      </c>
      <c r="D1068" s="39" t="e">
        <f t="shared" si="2149"/>
        <v>#N/A</v>
      </c>
      <c r="E1068" s="16" t="e">
        <f t="shared" si="1"/>
        <v>#N/A</v>
      </c>
      <c r="F1068" s="16" t="e">
        <f t="shared" ref="F1068:K1068" si="2150">VLOOKUP($A1068,'[3]Gestión Pública'!$A$1:$O$251,F$1,0)</f>
        <v>#N/A</v>
      </c>
      <c r="G1068" s="39" t="e">
        <f t="shared" si="2150"/>
        <v>#N/A</v>
      </c>
      <c r="H1068" s="16" t="e">
        <f t="shared" si="2150"/>
        <v>#N/A</v>
      </c>
      <c r="I1068" s="16" t="e">
        <f t="shared" si="2150"/>
        <v>#N/A</v>
      </c>
      <c r="J1068" s="40" t="e">
        <f t="shared" si="2150"/>
        <v>#N/A</v>
      </c>
      <c r="K1068" s="16" t="e">
        <f t="shared" si="2150"/>
        <v>#N/A</v>
      </c>
      <c r="L1068" s="40" t="e">
        <f t="shared" si="1817"/>
        <v>#N/A</v>
      </c>
      <c r="M1068" s="16" t="e">
        <f t="shared" si="1818"/>
        <v>#N/A</v>
      </c>
      <c r="N1068" s="16" t="e">
        <f t="shared" si="1819"/>
        <v>#N/A</v>
      </c>
      <c r="O1068" s="16" t="s">
        <v>67</v>
      </c>
      <c r="P1068" s="16" t="str">
        <f t="shared" si="6"/>
        <v/>
      </c>
      <c r="Q1068" s="41" t="e">
        <f t="shared" si="1820"/>
        <v>#N/A</v>
      </c>
      <c r="R1068" s="44"/>
      <c r="S1068" s="44"/>
      <c r="T1068" s="43"/>
      <c r="U1068" s="43" t="str">
        <f t="shared" si="8"/>
        <v>No</v>
      </c>
      <c r="V1068" s="25"/>
      <c r="W1068" s="25"/>
      <c r="X1068" s="25"/>
      <c r="Y1068" s="25"/>
      <c r="Z1068" s="25"/>
    </row>
    <row r="1069" spans="1:26" ht="15.75" customHeight="1" x14ac:dyDescent="0.25">
      <c r="A1069" s="25">
        <v>1067</v>
      </c>
      <c r="B1069" s="37" t="e">
        <f t="shared" ref="B1069:D1069" si="2151">VLOOKUP($A1069,'[3]Gestión Pública'!$A$1:$O$251,B$1,0)</f>
        <v>#N/A</v>
      </c>
      <c r="C1069" s="38" t="e">
        <f t="shared" si="2151"/>
        <v>#N/A</v>
      </c>
      <c r="D1069" s="39" t="e">
        <f t="shared" si="2151"/>
        <v>#N/A</v>
      </c>
      <c r="E1069" s="16" t="e">
        <f t="shared" si="1"/>
        <v>#N/A</v>
      </c>
      <c r="F1069" s="16" t="e">
        <f t="shared" ref="F1069:K1069" si="2152">VLOOKUP($A1069,'[3]Gestión Pública'!$A$1:$O$251,F$1,0)</f>
        <v>#N/A</v>
      </c>
      <c r="G1069" s="39" t="e">
        <f t="shared" si="2152"/>
        <v>#N/A</v>
      </c>
      <c r="H1069" s="16" t="e">
        <f t="shared" si="2152"/>
        <v>#N/A</v>
      </c>
      <c r="I1069" s="16" t="e">
        <f t="shared" si="2152"/>
        <v>#N/A</v>
      </c>
      <c r="J1069" s="40" t="e">
        <f t="shared" si="2152"/>
        <v>#N/A</v>
      </c>
      <c r="K1069" s="16" t="e">
        <f t="shared" si="2152"/>
        <v>#N/A</v>
      </c>
      <c r="L1069" s="40" t="e">
        <f t="shared" si="1817"/>
        <v>#N/A</v>
      </c>
      <c r="M1069" s="16" t="e">
        <f t="shared" si="1818"/>
        <v>#N/A</v>
      </c>
      <c r="N1069" s="16" t="e">
        <f t="shared" si="1819"/>
        <v>#N/A</v>
      </c>
      <c r="O1069" s="16" t="s">
        <v>67</v>
      </c>
      <c r="P1069" s="16" t="str">
        <f t="shared" si="6"/>
        <v/>
      </c>
      <c r="Q1069" s="41" t="e">
        <f t="shared" si="1820"/>
        <v>#N/A</v>
      </c>
      <c r="R1069" s="44"/>
      <c r="S1069" s="44"/>
      <c r="T1069" s="43"/>
      <c r="U1069" s="43" t="str">
        <f t="shared" si="8"/>
        <v>No</v>
      </c>
      <c r="V1069" s="25"/>
      <c r="W1069" s="25"/>
      <c r="X1069" s="25"/>
      <c r="Y1069" s="25"/>
      <c r="Z1069" s="25"/>
    </row>
    <row r="1070" spans="1:26" ht="15.75" customHeight="1" x14ac:dyDescent="0.25">
      <c r="A1070" s="25">
        <v>1068</v>
      </c>
      <c r="B1070" s="37" t="e">
        <f t="shared" ref="B1070:D1070" si="2153">VLOOKUP($A1070,'[3]Gestión Pública'!$A$1:$O$251,B$1,0)</f>
        <v>#N/A</v>
      </c>
      <c r="C1070" s="38" t="e">
        <f t="shared" si="2153"/>
        <v>#N/A</v>
      </c>
      <c r="D1070" s="39" t="e">
        <f t="shared" si="2153"/>
        <v>#N/A</v>
      </c>
      <c r="E1070" s="16" t="e">
        <f t="shared" si="1"/>
        <v>#N/A</v>
      </c>
      <c r="F1070" s="16" t="e">
        <f t="shared" ref="F1070:K1070" si="2154">VLOOKUP($A1070,'[3]Gestión Pública'!$A$1:$O$251,F$1,0)</f>
        <v>#N/A</v>
      </c>
      <c r="G1070" s="39" t="e">
        <f t="shared" si="2154"/>
        <v>#N/A</v>
      </c>
      <c r="H1070" s="16" t="e">
        <f t="shared" si="2154"/>
        <v>#N/A</v>
      </c>
      <c r="I1070" s="16" t="e">
        <f t="shared" si="2154"/>
        <v>#N/A</v>
      </c>
      <c r="J1070" s="40" t="e">
        <f t="shared" si="2154"/>
        <v>#N/A</v>
      </c>
      <c r="K1070" s="16" t="e">
        <f t="shared" si="2154"/>
        <v>#N/A</v>
      </c>
      <c r="L1070" s="40" t="e">
        <f t="shared" si="1817"/>
        <v>#N/A</v>
      </c>
      <c r="M1070" s="16" t="e">
        <f t="shared" si="1818"/>
        <v>#N/A</v>
      </c>
      <c r="N1070" s="16" t="e">
        <f t="shared" si="1819"/>
        <v>#N/A</v>
      </c>
      <c r="O1070" s="16" t="s">
        <v>67</v>
      </c>
      <c r="P1070" s="16" t="str">
        <f t="shared" si="6"/>
        <v/>
      </c>
      <c r="Q1070" s="41" t="e">
        <f t="shared" si="1820"/>
        <v>#N/A</v>
      </c>
      <c r="R1070" s="44"/>
      <c r="S1070" s="44"/>
      <c r="T1070" s="43"/>
      <c r="U1070" s="43" t="str">
        <f t="shared" si="8"/>
        <v>No</v>
      </c>
      <c r="V1070" s="25"/>
      <c r="W1070" s="25"/>
      <c r="X1070" s="25"/>
      <c r="Y1070" s="25"/>
      <c r="Z1070" s="25"/>
    </row>
    <row r="1071" spans="1:26" ht="15.75" customHeight="1" x14ac:dyDescent="0.25">
      <c r="A1071" s="25">
        <v>1069</v>
      </c>
      <c r="B1071" s="37" t="e">
        <f t="shared" ref="B1071:D1071" si="2155">VLOOKUP($A1071,'[3]Gestión Pública'!$A$1:$O$251,B$1,0)</f>
        <v>#N/A</v>
      </c>
      <c r="C1071" s="38" t="e">
        <f t="shared" si="2155"/>
        <v>#N/A</v>
      </c>
      <c r="D1071" s="39" t="e">
        <f t="shared" si="2155"/>
        <v>#N/A</v>
      </c>
      <c r="E1071" s="16" t="e">
        <f t="shared" si="1"/>
        <v>#N/A</v>
      </c>
      <c r="F1071" s="16" t="e">
        <f t="shared" ref="F1071:K1071" si="2156">VLOOKUP($A1071,'[3]Gestión Pública'!$A$1:$O$251,F$1,0)</f>
        <v>#N/A</v>
      </c>
      <c r="G1071" s="39" t="e">
        <f t="shared" si="2156"/>
        <v>#N/A</v>
      </c>
      <c r="H1071" s="16" t="e">
        <f t="shared" si="2156"/>
        <v>#N/A</v>
      </c>
      <c r="I1071" s="16" t="e">
        <f t="shared" si="2156"/>
        <v>#N/A</v>
      </c>
      <c r="J1071" s="40" t="e">
        <f t="shared" si="2156"/>
        <v>#N/A</v>
      </c>
      <c r="K1071" s="16" t="e">
        <f t="shared" si="2156"/>
        <v>#N/A</v>
      </c>
      <c r="L1071" s="40" t="e">
        <f t="shared" si="1817"/>
        <v>#N/A</v>
      </c>
      <c r="M1071" s="16" t="e">
        <f t="shared" si="1818"/>
        <v>#N/A</v>
      </c>
      <c r="N1071" s="16" t="e">
        <f t="shared" si="1819"/>
        <v>#N/A</v>
      </c>
      <c r="O1071" s="16" t="s">
        <v>67</v>
      </c>
      <c r="P1071" s="16" t="str">
        <f t="shared" si="6"/>
        <v/>
      </c>
      <c r="Q1071" s="41" t="e">
        <f t="shared" si="1820"/>
        <v>#N/A</v>
      </c>
      <c r="R1071" s="44"/>
      <c r="S1071" s="44"/>
      <c r="T1071" s="43"/>
      <c r="U1071" s="43" t="str">
        <f t="shared" si="8"/>
        <v>No</v>
      </c>
      <c r="V1071" s="25"/>
      <c r="W1071" s="25"/>
      <c r="X1071" s="25"/>
      <c r="Y1071" s="25"/>
      <c r="Z1071" s="25"/>
    </row>
    <row r="1072" spans="1:26" ht="15.75" customHeight="1" x14ac:dyDescent="0.25">
      <c r="A1072" s="25">
        <v>1070</v>
      </c>
      <c r="B1072" s="37" t="e">
        <f t="shared" ref="B1072:D1072" si="2157">VLOOKUP($A1072,'[3]Gestión Pública'!$A$1:$O$251,B$1,0)</f>
        <v>#N/A</v>
      </c>
      <c r="C1072" s="38" t="e">
        <f t="shared" si="2157"/>
        <v>#N/A</v>
      </c>
      <c r="D1072" s="39" t="e">
        <f t="shared" si="2157"/>
        <v>#N/A</v>
      </c>
      <c r="E1072" s="16" t="e">
        <f t="shared" si="1"/>
        <v>#N/A</v>
      </c>
      <c r="F1072" s="16" t="e">
        <f t="shared" ref="F1072:K1072" si="2158">VLOOKUP($A1072,'[3]Gestión Pública'!$A$1:$O$251,F$1,0)</f>
        <v>#N/A</v>
      </c>
      <c r="G1072" s="39" t="e">
        <f t="shared" si="2158"/>
        <v>#N/A</v>
      </c>
      <c r="H1072" s="16" t="e">
        <f t="shared" si="2158"/>
        <v>#N/A</v>
      </c>
      <c r="I1072" s="16" t="e">
        <f t="shared" si="2158"/>
        <v>#N/A</v>
      </c>
      <c r="J1072" s="40" t="e">
        <f t="shared" si="2158"/>
        <v>#N/A</v>
      </c>
      <c r="K1072" s="16" t="e">
        <f t="shared" si="2158"/>
        <v>#N/A</v>
      </c>
      <c r="L1072" s="40" t="e">
        <f t="shared" si="1817"/>
        <v>#N/A</v>
      </c>
      <c r="M1072" s="16" t="e">
        <f t="shared" si="1818"/>
        <v>#N/A</v>
      </c>
      <c r="N1072" s="16" t="e">
        <f t="shared" si="1819"/>
        <v>#N/A</v>
      </c>
      <c r="O1072" s="16" t="s">
        <v>67</v>
      </c>
      <c r="P1072" s="16" t="str">
        <f t="shared" si="6"/>
        <v/>
      </c>
      <c r="Q1072" s="41" t="e">
        <f t="shared" si="1820"/>
        <v>#N/A</v>
      </c>
      <c r="R1072" s="44"/>
      <c r="S1072" s="44"/>
      <c r="T1072" s="43"/>
      <c r="U1072" s="43" t="str">
        <f t="shared" si="8"/>
        <v>No</v>
      </c>
      <c r="V1072" s="25"/>
      <c r="W1072" s="25"/>
      <c r="X1072" s="25"/>
      <c r="Y1072" s="25"/>
      <c r="Z1072" s="25"/>
    </row>
    <row r="1073" spans="1:26" ht="15.75" customHeight="1" x14ac:dyDescent="0.25">
      <c r="A1073" s="25">
        <v>1071</v>
      </c>
      <c r="B1073" s="37" t="e">
        <f t="shared" ref="B1073:D1073" si="2159">VLOOKUP($A1073,'[3]Gestión Pública'!$A$1:$O$251,B$1,0)</f>
        <v>#N/A</v>
      </c>
      <c r="C1073" s="38" t="e">
        <f t="shared" si="2159"/>
        <v>#N/A</v>
      </c>
      <c r="D1073" s="39" t="e">
        <f t="shared" si="2159"/>
        <v>#N/A</v>
      </c>
      <c r="E1073" s="16" t="e">
        <f t="shared" si="1"/>
        <v>#N/A</v>
      </c>
      <c r="F1073" s="16" t="e">
        <f t="shared" ref="F1073:K1073" si="2160">VLOOKUP($A1073,'[3]Gestión Pública'!$A$1:$O$251,F$1,0)</f>
        <v>#N/A</v>
      </c>
      <c r="G1073" s="39" t="e">
        <f t="shared" si="2160"/>
        <v>#N/A</v>
      </c>
      <c r="H1073" s="16" t="e">
        <f t="shared" si="2160"/>
        <v>#N/A</v>
      </c>
      <c r="I1073" s="16" t="e">
        <f t="shared" si="2160"/>
        <v>#N/A</v>
      </c>
      <c r="J1073" s="40" t="e">
        <f t="shared" si="2160"/>
        <v>#N/A</v>
      </c>
      <c r="K1073" s="16" t="e">
        <f t="shared" si="2160"/>
        <v>#N/A</v>
      </c>
      <c r="L1073" s="40" t="e">
        <f t="shared" si="1817"/>
        <v>#N/A</v>
      </c>
      <c r="M1073" s="16" t="e">
        <f t="shared" si="1818"/>
        <v>#N/A</v>
      </c>
      <c r="N1073" s="16" t="e">
        <f t="shared" si="1819"/>
        <v>#N/A</v>
      </c>
      <c r="O1073" s="16" t="s">
        <v>67</v>
      </c>
      <c r="P1073" s="16" t="str">
        <f t="shared" si="6"/>
        <v/>
      </c>
      <c r="Q1073" s="41" t="e">
        <f t="shared" si="1820"/>
        <v>#N/A</v>
      </c>
      <c r="R1073" s="44"/>
      <c r="S1073" s="44"/>
      <c r="T1073" s="43"/>
      <c r="U1073" s="43" t="str">
        <f t="shared" si="8"/>
        <v>No</v>
      </c>
      <c r="V1073" s="25"/>
      <c r="W1073" s="25"/>
      <c r="X1073" s="25"/>
      <c r="Y1073" s="25"/>
      <c r="Z1073" s="25"/>
    </row>
    <row r="1074" spans="1:26" ht="15.75" customHeight="1" x14ac:dyDescent="0.25">
      <c r="A1074" s="25">
        <v>1072</v>
      </c>
      <c r="B1074" s="37" t="e">
        <f t="shared" ref="B1074:D1074" si="2161">VLOOKUP($A1074,'[3]Gestión Pública'!$A$1:$O$251,B$1,0)</f>
        <v>#N/A</v>
      </c>
      <c r="C1074" s="38" t="e">
        <f t="shared" si="2161"/>
        <v>#N/A</v>
      </c>
      <c r="D1074" s="39" t="e">
        <f t="shared" si="2161"/>
        <v>#N/A</v>
      </c>
      <c r="E1074" s="16" t="e">
        <f t="shared" si="1"/>
        <v>#N/A</v>
      </c>
      <c r="F1074" s="16" t="e">
        <f t="shared" ref="F1074:K1074" si="2162">VLOOKUP($A1074,'[3]Gestión Pública'!$A$1:$O$251,F$1,0)</f>
        <v>#N/A</v>
      </c>
      <c r="G1074" s="39" t="e">
        <f t="shared" si="2162"/>
        <v>#N/A</v>
      </c>
      <c r="H1074" s="16" t="e">
        <f t="shared" si="2162"/>
        <v>#N/A</v>
      </c>
      <c r="I1074" s="16" t="e">
        <f t="shared" si="2162"/>
        <v>#N/A</v>
      </c>
      <c r="J1074" s="40" t="e">
        <f t="shared" si="2162"/>
        <v>#N/A</v>
      </c>
      <c r="K1074" s="16" t="e">
        <f t="shared" si="2162"/>
        <v>#N/A</v>
      </c>
      <c r="L1074" s="40" t="e">
        <f t="shared" si="1817"/>
        <v>#N/A</v>
      </c>
      <c r="M1074" s="16" t="e">
        <f t="shared" si="1818"/>
        <v>#N/A</v>
      </c>
      <c r="N1074" s="16" t="e">
        <f t="shared" si="1819"/>
        <v>#N/A</v>
      </c>
      <c r="O1074" s="16" t="s">
        <v>67</v>
      </c>
      <c r="P1074" s="16" t="str">
        <f t="shared" si="6"/>
        <v/>
      </c>
      <c r="Q1074" s="41" t="e">
        <f t="shared" si="1820"/>
        <v>#N/A</v>
      </c>
      <c r="R1074" s="44"/>
      <c r="S1074" s="44"/>
      <c r="T1074" s="43"/>
      <c r="U1074" s="43" t="str">
        <f t="shared" si="8"/>
        <v>No</v>
      </c>
      <c r="V1074" s="25"/>
      <c r="W1074" s="25"/>
      <c r="X1074" s="25"/>
      <c r="Y1074" s="25"/>
      <c r="Z1074" s="25"/>
    </row>
    <row r="1075" spans="1:26" ht="15.75" customHeight="1" x14ac:dyDescent="0.25">
      <c r="A1075" s="25">
        <v>1073</v>
      </c>
      <c r="B1075" s="37" t="e">
        <f t="shared" ref="B1075:D1075" si="2163">VLOOKUP($A1075,'[3]Gestión Pública'!$A$1:$O$251,B$1,0)</f>
        <v>#N/A</v>
      </c>
      <c r="C1075" s="38" t="e">
        <f t="shared" si="2163"/>
        <v>#N/A</v>
      </c>
      <c r="D1075" s="39" t="e">
        <f t="shared" si="2163"/>
        <v>#N/A</v>
      </c>
      <c r="E1075" s="16" t="e">
        <f t="shared" si="1"/>
        <v>#N/A</v>
      </c>
      <c r="F1075" s="16" t="e">
        <f t="shared" ref="F1075:K1075" si="2164">VLOOKUP($A1075,'[3]Gestión Pública'!$A$1:$O$251,F$1,0)</f>
        <v>#N/A</v>
      </c>
      <c r="G1075" s="39" t="e">
        <f t="shared" si="2164"/>
        <v>#N/A</v>
      </c>
      <c r="H1075" s="16" t="e">
        <f t="shared" si="2164"/>
        <v>#N/A</v>
      </c>
      <c r="I1075" s="16" t="e">
        <f t="shared" si="2164"/>
        <v>#N/A</v>
      </c>
      <c r="J1075" s="40" t="e">
        <f t="shared" si="2164"/>
        <v>#N/A</v>
      </c>
      <c r="K1075" s="16" t="e">
        <f t="shared" si="2164"/>
        <v>#N/A</v>
      </c>
      <c r="L1075" s="40" t="e">
        <f t="shared" si="1817"/>
        <v>#N/A</v>
      </c>
      <c r="M1075" s="16" t="e">
        <f t="shared" si="1818"/>
        <v>#N/A</v>
      </c>
      <c r="N1075" s="16" t="e">
        <f t="shared" si="1819"/>
        <v>#N/A</v>
      </c>
      <c r="O1075" s="16" t="s">
        <v>67</v>
      </c>
      <c r="P1075" s="16" t="str">
        <f t="shared" si="6"/>
        <v/>
      </c>
      <c r="Q1075" s="41" t="e">
        <f t="shared" si="1820"/>
        <v>#N/A</v>
      </c>
      <c r="R1075" s="44"/>
      <c r="S1075" s="44"/>
      <c r="T1075" s="43"/>
      <c r="U1075" s="43" t="str">
        <f t="shared" si="8"/>
        <v>No</v>
      </c>
      <c r="V1075" s="25"/>
      <c r="W1075" s="25"/>
      <c r="X1075" s="25"/>
      <c r="Y1075" s="25"/>
      <c r="Z1075" s="25"/>
    </row>
    <row r="1076" spans="1:26" ht="15.75" customHeight="1" x14ac:dyDescent="0.25">
      <c r="A1076" s="25">
        <v>1074</v>
      </c>
      <c r="B1076" s="37" t="e">
        <f t="shared" ref="B1076:D1076" si="2165">VLOOKUP($A1076,'[3]Gestión Pública'!$A$1:$O$251,B$1,0)</f>
        <v>#N/A</v>
      </c>
      <c r="C1076" s="38" t="e">
        <f t="shared" si="2165"/>
        <v>#N/A</v>
      </c>
      <c r="D1076" s="39" t="e">
        <f t="shared" si="2165"/>
        <v>#N/A</v>
      </c>
      <c r="E1076" s="16" t="e">
        <f t="shared" si="1"/>
        <v>#N/A</v>
      </c>
      <c r="F1076" s="16" t="e">
        <f t="shared" ref="F1076:K1076" si="2166">VLOOKUP($A1076,'[3]Gestión Pública'!$A$1:$O$251,F$1,0)</f>
        <v>#N/A</v>
      </c>
      <c r="G1076" s="39" t="e">
        <f t="shared" si="2166"/>
        <v>#N/A</v>
      </c>
      <c r="H1076" s="16" t="e">
        <f t="shared" si="2166"/>
        <v>#N/A</v>
      </c>
      <c r="I1076" s="16" t="e">
        <f t="shared" si="2166"/>
        <v>#N/A</v>
      </c>
      <c r="J1076" s="40" t="e">
        <f t="shared" si="2166"/>
        <v>#N/A</v>
      </c>
      <c r="K1076" s="16" t="e">
        <f t="shared" si="2166"/>
        <v>#N/A</v>
      </c>
      <c r="L1076" s="40" t="e">
        <f t="shared" si="1817"/>
        <v>#N/A</v>
      </c>
      <c r="M1076" s="16" t="e">
        <f t="shared" si="1818"/>
        <v>#N/A</v>
      </c>
      <c r="N1076" s="16" t="e">
        <f t="shared" si="1819"/>
        <v>#N/A</v>
      </c>
      <c r="O1076" s="16" t="s">
        <v>67</v>
      </c>
      <c r="P1076" s="16" t="str">
        <f t="shared" si="6"/>
        <v/>
      </c>
      <c r="Q1076" s="41" t="e">
        <f t="shared" si="1820"/>
        <v>#N/A</v>
      </c>
      <c r="R1076" s="44"/>
      <c r="S1076" s="44"/>
      <c r="T1076" s="43"/>
      <c r="U1076" s="43" t="str">
        <f t="shared" si="8"/>
        <v>No</v>
      </c>
      <c r="V1076" s="25"/>
      <c r="W1076" s="25"/>
      <c r="X1076" s="25"/>
      <c r="Y1076" s="25"/>
      <c r="Z1076" s="25"/>
    </row>
    <row r="1077" spans="1:26" ht="15.75" customHeight="1" x14ac:dyDescent="0.25">
      <c r="A1077" s="25">
        <v>1075</v>
      </c>
      <c r="B1077" s="37" t="e">
        <f t="shared" ref="B1077:D1077" si="2167">VLOOKUP($A1077,'[3]Gestión Pública'!$A$1:$O$251,B$1,0)</f>
        <v>#N/A</v>
      </c>
      <c r="C1077" s="38" t="e">
        <f t="shared" si="2167"/>
        <v>#N/A</v>
      </c>
      <c r="D1077" s="39" t="e">
        <f t="shared" si="2167"/>
        <v>#N/A</v>
      </c>
      <c r="E1077" s="16" t="e">
        <f t="shared" si="1"/>
        <v>#N/A</v>
      </c>
      <c r="F1077" s="16" t="e">
        <f t="shared" ref="F1077:K1077" si="2168">VLOOKUP($A1077,'[3]Gestión Pública'!$A$1:$O$251,F$1,0)</f>
        <v>#N/A</v>
      </c>
      <c r="G1077" s="39" t="e">
        <f t="shared" si="2168"/>
        <v>#N/A</v>
      </c>
      <c r="H1077" s="16" t="e">
        <f t="shared" si="2168"/>
        <v>#N/A</v>
      </c>
      <c r="I1077" s="16" t="e">
        <f t="shared" si="2168"/>
        <v>#N/A</v>
      </c>
      <c r="J1077" s="40" t="e">
        <f t="shared" si="2168"/>
        <v>#N/A</v>
      </c>
      <c r="K1077" s="16" t="e">
        <f t="shared" si="2168"/>
        <v>#N/A</v>
      </c>
      <c r="L1077" s="40" t="e">
        <f t="shared" si="1817"/>
        <v>#N/A</v>
      </c>
      <c r="M1077" s="16" t="e">
        <f t="shared" si="1818"/>
        <v>#N/A</v>
      </c>
      <c r="N1077" s="16" t="e">
        <f t="shared" si="1819"/>
        <v>#N/A</v>
      </c>
      <c r="O1077" s="16" t="s">
        <v>67</v>
      </c>
      <c r="P1077" s="16" t="str">
        <f t="shared" si="6"/>
        <v/>
      </c>
      <c r="Q1077" s="41" t="e">
        <f t="shared" si="1820"/>
        <v>#N/A</v>
      </c>
      <c r="R1077" s="44"/>
      <c r="S1077" s="44"/>
      <c r="T1077" s="43"/>
      <c r="U1077" s="43" t="str">
        <f t="shared" si="8"/>
        <v>No</v>
      </c>
      <c r="V1077" s="25"/>
      <c r="W1077" s="25"/>
      <c r="X1077" s="25"/>
      <c r="Y1077" s="25"/>
      <c r="Z1077" s="25"/>
    </row>
    <row r="1078" spans="1:26" ht="15.75" customHeight="1" x14ac:dyDescent="0.25">
      <c r="A1078" s="25">
        <v>1076</v>
      </c>
      <c r="B1078" s="37" t="e">
        <f t="shared" ref="B1078:D1078" si="2169">VLOOKUP($A1078,'[3]Gestión Pública'!$A$1:$O$251,B$1,0)</f>
        <v>#N/A</v>
      </c>
      <c r="C1078" s="38" t="e">
        <f t="shared" si="2169"/>
        <v>#N/A</v>
      </c>
      <c r="D1078" s="39" t="e">
        <f t="shared" si="2169"/>
        <v>#N/A</v>
      </c>
      <c r="E1078" s="16" t="e">
        <f t="shared" si="1"/>
        <v>#N/A</v>
      </c>
      <c r="F1078" s="16" t="e">
        <f t="shared" ref="F1078:K1078" si="2170">VLOOKUP($A1078,'[3]Gestión Pública'!$A$1:$O$251,F$1,0)</f>
        <v>#N/A</v>
      </c>
      <c r="G1078" s="39" t="e">
        <f t="shared" si="2170"/>
        <v>#N/A</v>
      </c>
      <c r="H1078" s="16" t="e">
        <f t="shared" si="2170"/>
        <v>#N/A</v>
      </c>
      <c r="I1078" s="16" t="e">
        <f t="shared" si="2170"/>
        <v>#N/A</v>
      </c>
      <c r="J1078" s="40" t="e">
        <f t="shared" si="2170"/>
        <v>#N/A</v>
      </c>
      <c r="K1078" s="16" t="e">
        <f t="shared" si="2170"/>
        <v>#N/A</v>
      </c>
      <c r="L1078" s="40" t="e">
        <f t="shared" si="1817"/>
        <v>#N/A</v>
      </c>
      <c r="M1078" s="16" t="e">
        <f t="shared" si="1818"/>
        <v>#N/A</v>
      </c>
      <c r="N1078" s="16" t="e">
        <f t="shared" si="1819"/>
        <v>#N/A</v>
      </c>
      <c r="O1078" s="16" t="s">
        <v>67</v>
      </c>
      <c r="P1078" s="16" t="str">
        <f t="shared" si="6"/>
        <v/>
      </c>
      <c r="Q1078" s="41" t="e">
        <f t="shared" si="1820"/>
        <v>#N/A</v>
      </c>
      <c r="R1078" s="44"/>
      <c r="S1078" s="44"/>
      <c r="T1078" s="43"/>
      <c r="U1078" s="43" t="str">
        <f t="shared" si="8"/>
        <v>No</v>
      </c>
      <c r="V1078" s="25"/>
      <c r="W1078" s="25"/>
      <c r="X1078" s="25"/>
      <c r="Y1078" s="25"/>
      <c r="Z1078" s="25"/>
    </row>
    <row r="1079" spans="1:26" ht="15.75" customHeight="1" x14ac:dyDescent="0.25">
      <c r="A1079" s="25">
        <v>1077</v>
      </c>
      <c r="B1079" s="37" t="e">
        <f t="shared" ref="B1079:D1079" si="2171">VLOOKUP($A1079,'[3]Gestión Pública'!$A$1:$O$251,B$1,0)</f>
        <v>#N/A</v>
      </c>
      <c r="C1079" s="38" t="e">
        <f t="shared" si="2171"/>
        <v>#N/A</v>
      </c>
      <c r="D1079" s="39" t="e">
        <f t="shared" si="2171"/>
        <v>#N/A</v>
      </c>
      <c r="E1079" s="16" t="e">
        <f t="shared" si="1"/>
        <v>#N/A</v>
      </c>
      <c r="F1079" s="16" t="e">
        <f t="shared" ref="F1079:K1079" si="2172">VLOOKUP($A1079,'[3]Gestión Pública'!$A$1:$O$251,F$1,0)</f>
        <v>#N/A</v>
      </c>
      <c r="G1079" s="39" t="e">
        <f t="shared" si="2172"/>
        <v>#N/A</v>
      </c>
      <c r="H1079" s="16" t="e">
        <f t="shared" si="2172"/>
        <v>#N/A</v>
      </c>
      <c r="I1079" s="16" t="e">
        <f t="shared" si="2172"/>
        <v>#N/A</v>
      </c>
      <c r="J1079" s="40" t="e">
        <f t="shared" si="2172"/>
        <v>#N/A</v>
      </c>
      <c r="K1079" s="16" t="e">
        <f t="shared" si="2172"/>
        <v>#N/A</v>
      </c>
      <c r="L1079" s="40" t="e">
        <f t="shared" si="1817"/>
        <v>#N/A</v>
      </c>
      <c r="M1079" s="16" t="e">
        <f t="shared" si="1818"/>
        <v>#N/A</v>
      </c>
      <c r="N1079" s="16" t="e">
        <f t="shared" si="1819"/>
        <v>#N/A</v>
      </c>
      <c r="O1079" s="16" t="s">
        <v>67</v>
      </c>
      <c r="P1079" s="16" t="str">
        <f t="shared" si="6"/>
        <v/>
      </c>
      <c r="Q1079" s="41" t="e">
        <f t="shared" si="1820"/>
        <v>#N/A</v>
      </c>
      <c r="R1079" s="44"/>
      <c r="S1079" s="44"/>
      <c r="T1079" s="43"/>
      <c r="U1079" s="43" t="str">
        <f t="shared" si="8"/>
        <v>No</v>
      </c>
      <c r="V1079" s="25"/>
      <c r="W1079" s="25"/>
      <c r="X1079" s="25"/>
      <c r="Y1079" s="25"/>
      <c r="Z1079" s="25"/>
    </row>
    <row r="1080" spans="1:26" ht="15.75" customHeight="1" x14ac:dyDescent="0.25">
      <c r="A1080" s="25">
        <v>1078</v>
      </c>
      <c r="B1080" s="37" t="e">
        <f t="shared" ref="B1080:D1080" si="2173">VLOOKUP($A1080,'[3]Gestión Pública'!$A$1:$O$251,B$1,0)</f>
        <v>#N/A</v>
      </c>
      <c r="C1080" s="38" t="e">
        <f t="shared" si="2173"/>
        <v>#N/A</v>
      </c>
      <c r="D1080" s="39" t="e">
        <f t="shared" si="2173"/>
        <v>#N/A</v>
      </c>
      <c r="E1080" s="16" t="e">
        <f t="shared" si="1"/>
        <v>#N/A</v>
      </c>
      <c r="F1080" s="16" t="e">
        <f t="shared" ref="F1080:K1080" si="2174">VLOOKUP($A1080,'[3]Gestión Pública'!$A$1:$O$251,F$1,0)</f>
        <v>#N/A</v>
      </c>
      <c r="G1080" s="39" t="e">
        <f t="shared" si="2174"/>
        <v>#N/A</v>
      </c>
      <c r="H1080" s="16" t="e">
        <f t="shared" si="2174"/>
        <v>#N/A</v>
      </c>
      <c r="I1080" s="16" t="e">
        <f t="shared" si="2174"/>
        <v>#N/A</v>
      </c>
      <c r="J1080" s="40" t="e">
        <f t="shared" si="2174"/>
        <v>#N/A</v>
      </c>
      <c r="K1080" s="16" t="e">
        <f t="shared" si="2174"/>
        <v>#N/A</v>
      </c>
      <c r="L1080" s="40" t="e">
        <f t="shared" si="1817"/>
        <v>#N/A</v>
      </c>
      <c r="M1080" s="16" t="e">
        <f t="shared" si="1818"/>
        <v>#N/A</v>
      </c>
      <c r="N1080" s="16" t="e">
        <f t="shared" si="1819"/>
        <v>#N/A</v>
      </c>
      <c r="O1080" s="16" t="s">
        <v>67</v>
      </c>
      <c r="P1080" s="16" t="str">
        <f t="shared" si="6"/>
        <v/>
      </c>
      <c r="Q1080" s="41" t="e">
        <f t="shared" si="1820"/>
        <v>#N/A</v>
      </c>
      <c r="R1080" s="44"/>
      <c r="S1080" s="44"/>
      <c r="T1080" s="43"/>
      <c r="U1080" s="43" t="str">
        <f t="shared" si="8"/>
        <v>No</v>
      </c>
      <c r="V1080" s="25"/>
      <c r="W1080" s="25"/>
      <c r="X1080" s="25"/>
      <c r="Y1080" s="25"/>
      <c r="Z1080" s="25"/>
    </row>
    <row r="1081" spans="1:26" ht="15.75" customHeight="1" x14ac:dyDescent="0.25">
      <c r="A1081" s="25">
        <v>1079</v>
      </c>
      <c r="B1081" s="37" t="e">
        <f t="shared" ref="B1081:D1081" si="2175">VLOOKUP($A1081,'[3]Gestión Pública'!$A$1:$O$251,B$1,0)</f>
        <v>#N/A</v>
      </c>
      <c r="C1081" s="38" t="e">
        <f t="shared" si="2175"/>
        <v>#N/A</v>
      </c>
      <c r="D1081" s="39" t="e">
        <f t="shared" si="2175"/>
        <v>#N/A</v>
      </c>
      <c r="E1081" s="16" t="e">
        <f t="shared" si="1"/>
        <v>#N/A</v>
      </c>
      <c r="F1081" s="16" t="e">
        <f t="shared" ref="F1081:K1081" si="2176">VLOOKUP($A1081,'[3]Gestión Pública'!$A$1:$O$251,F$1,0)</f>
        <v>#N/A</v>
      </c>
      <c r="G1081" s="39" t="e">
        <f t="shared" si="2176"/>
        <v>#N/A</v>
      </c>
      <c r="H1081" s="16" t="e">
        <f t="shared" si="2176"/>
        <v>#N/A</v>
      </c>
      <c r="I1081" s="16" t="e">
        <f t="shared" si="2176"/>
        <v>#N/A</v>
      </c>
      <c r="J1081" s="40" t="e">
        <f t="shared" si="2176"/>
        <v>#N/A</v>
      </c>
      <c r="K1081" s="16" t="e">
        <f t="shared" si="2176"/>
        <v>#N/A</v>
      </c>
      <c r="L1081" s="40" t="e">
        <f t="shared" si="1817"/>
        <v>#N/A</v>
      </c>
      <c r="M1081" s="16" t="e">
        <f t="shared" si="1818"/>
        <v>#N/A</v>
      </c>
      <c r="N1081" s="16" t="e">
        <f t="shared" si="1819"/>
        <v>#N/A</v>
      </c>
      <c r="O1081" s="16" t="s">
        <v>67</v>
      </c>
      <c r="P1081" s="16" t="str">
        <f t="shared" si="6"/>
        <v/>
      </c>
      <c r="Q1081" s="41" t="e">
        <f t="shared" si="1820"/>
        <v>#N/A</v>
      </c>
      <c r="R1081" s="44"/>
      <c r="S1081" s="44"/>
      <c r="T1081" s="43"/>
      <c r="U1081" s="43" t="str">
        <f t="shared" si="8"/>
        <v>No</v>
      </c>
      <c r="V1081" s="25"/>
      <c r="W1081" s="25"/>
      <c r="X1081" s="25"/>
      <c r="Y1081" s="25"/>
      <c r="Z1081" s="25"/>
    </row>
    <row r="1082" spans="1:26" ht="15.75" customHeight="1" x14ac:dyDescent="0.25">
      <c r="A1082" s="25">
        <v>1080</v>
      </c>
      <c r="B1082" s="37" t="e">
        <f t="shared" ref="B1082:D1082" si="2177">VLOOKUP($A1082,'[3]Gestión Pública'!$A$1:$O$251,B$1,0)</f>
        <v>#N/A</v>
      </c>
      <c r="C1082" s="38" t="e">
        <f t="shared" si="2177"/>
        <v>#N/A</v>
      </c>
      <c r="D1082" s="39" t="e">
        <f t="shared" si="2177"/>
        <v>#N/A</v>
      </c>
      <c r="E1082" s="16" t="e">
        <f t="shared" si="1"/>
        <v>#N/A</v>
      </c>
      <c r="F1082" s="16" t="e">
        <f t="shared" ref="F1082:K1082" si="2178">VLOOKUP($A1082,'[3]Gestión Pública'!$A$1:$O$251,F$1,0)</f>
        <v>#N/A</v>
      </c>
      <c r="G1082" s="39" t="e">
        <f t="shared" si="2178"/>
        <v>#N/A</v>
      </c>
      <c r="H1082" s="16" t="e">
        <f t="shared" si="2178"/>
        <v>#N/A</v>
      </c>
      <c r="I1082" s="16" t="e">
        <f t="shared" si="2178"/>
        <v>#N/A</v>
      </c>
      <c r="J1082" s="40" t="e">
        <f t="shared" si="2178"/>
        <v>#N/A</v>
      </c>
      <c r="K1082" s="16" t="e">
        <f t="shared" si="2178"/>
        <v>#N/A</v>
      </c>
      <c r="L1082" s="40" t="e">
        <f t="shared" si="1817"/>
        <v>#N/A</v>
      </c>
      <c r="M1082" s="16" t="e">
        <f t="shared" si="1818"/>
        <v>#N/A</v>
      </c>
      <c r="N1082" s="16" t="e">
        <f t="shared" si="1819"/>
        <v>#N/A</v>
      </c>
      <c r="O1082" s="16" t="s">
        <v>67</v>
      </c>
      <c r="P1082" s="16" t="str">
        <f t="shared" si="6"/>
        <v/>
      </c>
      <c r="Q1082" s="41" t="e">
        <f t="shared" si="1820"/>
        <v>#N/A</v>
      </c>
      <c r="R1082" s="44"/>
      <c r="S1082" s="44"/>
      <c r="T1082" s="43"/>
      <c r="U1082" s="43" t="str">
        <f t="shared" si="8"/>
        <v>No</v>
      </c>
      <c r="V1082" s="25"/>
      <c r="W1082" s="25"/>
      <c r="X1082" s="25"/>
      <c r="Y1082" s="25"/>
      <c r="Z1082" s="25"/>
    </row>
    <row r="1083" spans="1:26" ht="15.75" customHeight="1" x14ac:dyDescent="0.25">
      <c r="A1083" s="25">
        <v>1081</v>
      </c>
      <c r="B1083" s="37" t="e">
        <f t="shared" ref="B1083:D1083" si="2179">VLOOKUP($A1083,'[3]Gestión Pública'!$A$1:$O$251,B$1,0)</f>
        <v>#N/A</v>
      </c>
      <c r="C1083" s="38" t="e">
        <f t="shared" si="2179"/>
        <v>#N/A</v>
      </c>
      <c r="D1083" s="39" t="e">
        <f t="shared" si="2179"/>
        <v>#N/A</v>
      </c>
      <c r="E1083" s="16" t="e">
        <f t="shared" si="1"/>
        <v>#N/A</v>
      </c>
      <c r="F1083" s="16" t="e">
        <f t="shared" ref="F1083:K1083" si="2180">VLOOKUP($A1083,'[3]Gestión Pública'!$A$1:$O$251,F$1,0)</f>
        <v>#N/A</v>
      </c>
      <c r="G1083" s="39" t="e">
        <f t="shared" si="2180"/>
        <v>#N/A</v>
      </c>
      <c r="H1083" s="16" t="e">
        <f t="shared" si="2180"/>
        <v>#N/A</v>
      </c>
      <c r="I1083" s="16" t="e">
        <f t="shared" si="2180"/>
        <v>#N/A</v>
      </c>
      <c r="J1083" s="40" t="e">
        <f t="shared" si="2180"/>
        <v>#N/A</v>
      </c>
      <c r="K1083" s="16" t="e">
        <f t="shared" si="2180"/>
        <v>#N/A</v>
      </c>
      <c r="L1083" s="40" t="e">
        <f t="shared" si="1817"/>
        <v>#N/A</v>
      </c>
      <c r="M1083" s="16" t="e">
        <f t="shared" si="1818"/>
        <v>#N/A</v>
      </c>
      <c r="N1083" s="16" t="e">
        <f t="shared" si="1819"/>
        <v>#N/A</v>
      </c>
      <c r="O1083" s="16" t="s">
        <v>67</v>
      </c>
      <c r="P1083" s="16" t="str">
        <f t="shared" si="6"/>
        <v/>
      </c>
      <c r="Q1083" s="41" t="e">
        <f t="shared" si="1820"/>
        <v>#N/A</v>
      </c>
      <c r="R1083" s="44"/>
      <c r="S1083" s="44"/>
      <c r="T1083" s="43"/>
      <c r="U1083" s="43" t="str">
        <f t="shared" si="8"/>
        <v>No</v>
      </c>
      <c r="V1083" s="25"/>
      <c r="W1083" s="25"/>
      <c r="X1083" s="25"/>
      <c r="Y1083" s="25"/>
      <c r="Z1083" s="25"/>
    </row>
    <row r="1084" spans="1:26" ht="15.75" customHeight="1" x14ac:dyDescent="0.25">
      <c r="A1084" s="25">
        <v>1082</v>
      </c>
      <c r="B1084" s="37" t="e">
        <f t="shared" ref="B1084:D1084" si="2181">VLOOKUP($A1084,'[3]Gestión Pública'!$A$1:$O$251,B$1,0)</f>
        <v>#N/A</v>
      </c>
      <c r="C1084" s="38" t="e">
        <f t="shared" si="2181"/>
        <v>#N/A</v>
      </c>
      <c r="D1084" s="39" t="e">
        <f t="shared" si="2181"/>
        <v>#N/A</v>
      </c>
      <c r="E1084" s="16" t="e">
        <f t="shared" si="1"/>
        <v>#N/A</v>
      </c>
      <c r="F1084" s="16" t="e">
        <f t="shared" ref="F1084:K1084" si="2182">VLOOKUP($A1084,'[3]Gestión Pública'!$A$1:$O$251,F$1,0)</f>
        <v>#N/A</v>
      </c>
      <c r="G1084" s="39" t="e">
        <f t="shared" si="2182"/>
        <v>#N/A</v>
      </c>
      <c r="H1084" s="16" t="e">
        <f t="shared" si="2182"/>
        <v>#N/A</v>
      </c>
      <c r="I1084" s="16" t="e">
        <f t="shared" si="2182"/>
        <v>#N/A</v>
      </c>
      <c r="J1084" s="40" t="e">
        <f t="shared" si="2182"/>
        <v>#N/A</v>
      </c>
      <c r="K1084" s="16" t="e">
        <f t="shared" si="2182"/>
        <v>#N/A</v>
      </c>
      <c r="L1084" s="40" t="e">
        <f t="shared" si="1817"/>
        <v>#N/A</v>
      </c>
      <c r="M1084" s="16" t="e">
        <f t="shared" si="1818"/>
        <v>#N/A</v>
      </c>
      <c r="N1084" s="16" t="e">
        <f t="shared" si="1819"/>
        <v>#N/A</v>
      </c>
      <c r="O1084" s="16" t="s">
        <v>67</v>
      </c>
      <c r="P1084" s="16" t="str">
        <f t="shared" si="6"/>
        <v/>
      </c>
      <c r="Q1084" s="41" t="e">
        <f t="shared" si="1820"/>
        <v>#N/A</v>
      </c>
      <c r="R1084" s="44"/>
      <c r="S1084" s="44"/>
      <c r="T1084" s="43"/>
      <c r="U1084" s="43" t="str">
        <f t="shared" si="8"/>
        <v>No</v>
      </c>
      <c r="V1084" s="25"/>
      <c r="W1084" s="25"/>
      <c r="X1084" s="25"/>
      <c r="Y1084" s="25"/>
      <c r="Z1084" s="25"/>
    </row>
    <row r="1085" spans="1:26" ht="15.75" customHeight="1" x14ac:dyDescent="0.25">
      <c r="A1085" s="25">
        <v>1083</v>
      </c>
      <c r="B1085" s="37" t="e">
        <f t="shared" ref="B1085:D1085" si="2183">VLOOKUP($A1085,'[3]Gestión Pública'!$A$1:$O$251,B$1,0)</f>
        <v>#N/A</v>
      </c>
      <c r="C1085" s="38" t="e">
        <f t="shared" si="2183"/>
        <v>#N/A</v>
      </c>
      <c r="D1085" s="39" t="e">
        <f t="shared" si="2183"/>
        <v>#N/A</v>
      </c>
      <c r="E1085" s="16" t="e">
        <f t="shared" si="1"/>
        <v>#N/A</v>
      </c>
      <c r="F1085" s="16" t="e">
        <f t="shared" ref="F1085:K1085" si="2184">VLOOKUP($A1085,'[3]Gestión Pública'!$A$1:$O$251,F$1,0)</f>
        <v>#N/A</v>
      </c>
      <c r="G1085" s="39" t="e">
        <f t="shared" si="2184"/>
        <v>#N/A</v>
      </c>
      <c r="H1085" s="16" t="e">
        <f t="shared" si="2184"/>
        <v>#N/A</v>
      </c>
      <c r="I1085" s="16" t="e">
        <f t="shared" si="2184"/>
        <v>#N/A</v>
      </c>
      <c r="J1085" s="40" t="e">
        <f t="shared" si="2184"/>
        <v>#N/A</v>
      </c>
      <c r="K1085" s="16" t="e">
        <f t="shared" si="2184"/>
        <v>#N/A</v>
      </c>
      <c r="L1085" s="40" t="e">
        <f t="shared" si="1817"/>
        <v>#N/A</v>
      </c>
      <c r="M1085" s="16" t="e">
        <f t="shared" si="1818"/>
        <v>#N/A</v>
      </c>
      <c r="N1085" s="16" t="e">
        <f t="shared" si="1819"/>
        <v>#N/A</v>
      </c>
      <c r="O1085" s="16" t="s">
        <v>67</v>
      </c>
      <c r="P1085" s="16" t="str">
        <f t="shared" si="6"/>
        <v/>
      </c>
      <c r="Q1085" s="41" t="e">
        <f t="shared" si="1820"/>
        <v>#N/A</v>
      </c>
      <c r="R1085" s="44"/>
      <c r="S1085" s="44"/>
      <c r="T1085" s="43"/>
      <c r="U1085" s="43" t="str">
        <f t="shared" si="8"/>
        <v>No</v>
      </c>
      <c r="V1085" s="25"/>
      <c r="W1085" s="25"/>
      <c r="X1085" s="25"/>
      <c r="Y1085" s="25"/>
      <c r="Z1085" s="25"/>
    </row>
    <row r="1086" spans="1:26" ht="15.75" customHeight="1" x14ac:dyDescent="0.25">
      <c r="A1086" s="25">
        <v>1084</v>
      </c>
      <c r="B1086" s="37" t="e">
        <f t="shared" ref="B1086:D1086" si="2185">VLOOKUP($A1086,'[3]Gestión Pública'!$A$1:$O$251,B$1,0)</f>
        <v>#N/A</v>
      </c>
      <c r="C1086" s="38" t="e">
        <f t="shared" si="2185"/>
        <v>#N/A</v>
      </c>
      <c r="D1086" s="39" t="e">
        <f t="shared" si="2185"/>
        <v>#N/A</v>
      </c>
      <c r="E1086" s="16" t="e">
        <f t="shared" si="1"/>
        <v>#N/A</v>
      </c>
      <c r="F1086" s="16" t="e">
        <f t="shared" ref="F1086:K1086" si="2186">VLOOKUP($A1086,'[3]Gestión Pública'!$A$1:$O$251,F$1,0)</f>
        <v>#N/A</v>
      </c>
      <c r="G1086" s="39" t="e">
        <f t="shared" si="2186"/>
        <v>#N/A</v>
      </c>
      <c r="H1086" s="16" t="e">
        <f t="shared" si="2186"/>
        <v>#N/A</v>
      </c>
      <c r="I1086" s="16" t="e">
        <f t="shared" si="2186"/>
        <v>#N/A</v>
      </c>
      <c r="J1086" s="40" t="e">
        <f t="shared" si="2186"/>
        <v>#N/A</v>
      </c>
      <c r="K1086" s="16" t="e">
        <f t="shared" si="2186"/>
        <v>#N/A</v>
      </c>
      <c r="L1086" s="40" t="e">
        <f t="shared" si="1817"/>
        <v>#N/A</v>
      </c>
      <c r="M1086" s="16" t="e">
        <f t="shared" si="1818"/>
        <v>#N/A</v>
      </c>
      <c r="N1086" s="16" t="e">
        <f t="shared" si="1819"/>
        <v>#N/A</v>
      </c>
      <c r="O1086" s="16" t="s">
        <v>67</v>
      </c>
      <c r="P1086" s="16" t="str">
        <f t="shared" si="6"/>
        <v/>
      </c>
      <c r="Q1086" s="41" t="e">
        <f t="shared" si="1820"/>
        <v>#N/A</v>
      </c>
      <c r="R1086" s="44"/>
      <c r="S1086" s="44"/>
      <c r="T1086" s="43"/>
      <c r="U1086" s="43" t="str">
        <f t="shared" si="8"/>
        <v>No</v>
      </c>
      <c r="V1086" s="25"/>
      <c r="W1086" s="25"/>
      <c r="X1086" s="25"/>
      <c r="Y1086" s="25"/>
      <c r="Z1086" s="25"/>
    </row>
    <row r="1087" spans="1:26" ht="15.75" customHeight="1" x14ac:dyDescent="0.25">
      <c r="A1087" s="25">
        <v>1085</v>
      </c>
      <c r="B1087" s="37" t="e">
        <f t="shared" ref="B1087:D1087" si="2187">VLOOKUP($A1087,'[3]Gestión Pública'!$A$1:$O$251,B$1,0)</f>
        <v>#N/A</v>
      </c>
      <c r="C1087" s="38" t="e">
        <f t="shared" si="2187"/>
        <v>#N/A</v>
      </c>
      <c r="D1087" s="39" t="e">
        <f t="shared" si="2187"/>
        <v>#N/A</v>
      </c>
      <c r="E1087" s="16" t="e">
        <f t="shared" si="1"/>
        <v>#N/A</v>
      </c>
      <c r="F1087" s="16" t="e">
        <f t="shared" ref="F1087:K1087" si="2188">VLOOKUP($A1087,'[3]Gestión Pública'!$A$1:$O$251,F$1,0)</f>
        <v>#N/A</v>
      </c>
      <c r="G1087" s="39" t="e">
        <f t="shared" si="2188"/>
        <v>#N/A</v>
      </c>
      <c r="H1087" s="16" t="e">
        <f t="shared" si="2188"/>
        <v>#N/A</v>
      </c>
      <c r="I1087" s="16" t="e">
        <f t="shared" si="2188"/>
        <v>#N/A</v>
      </c>
      <c r="J1087" s="40" t="e">
        <f t="shared" si="2188"/>
        <v>#N/A</v>
      </c>
      <c r="K1087" s="16" t="e">
        <f t="shared" si="2188"/>
        <v>#N/A</v>
      </c>
      <c r="L1087" s="40" t="e">
        <f t="shared" si="1817"/>
        <v>#N/A</v>
      </c>
      <c r="M1087" s="16" t="e">
        <f t="shared" si="1818"/>
        <v>#N/A</v>
      </c>
      <c r="N1087" s="16" t="e">
        <f t="shared" si="1819"/>
        <v>#N/A</v>
      </c>
      <c r="O1087" s="16" t="s">
        <v>67</v>
      </c>
      <c r="P1087" s="16" t="str">
        <f t="shared" si="6"/>
        <v/>
      </c>
      <c r="Q1087" s="41" t="e">
        <f t="shared" si="1820"/>
        <v>#N/A</v>
      </c>
      <c r="R1087" s="44"/>
      <c r="S1087" s="44"/>
      <c r="T1087" s="43"/>
      <c r="U1087" s="43" t="str">
        <f t="shared" si="8"/>
        <v>No</v>
      </c>
      <c r="V1087" s="25"/>
      <c r="W1087" s="25"/>
      <c r="X1087" s="25"/>
      <c r="Y1087" s="25"/>
      <c r="Z1087" s="25"/>
    </row>
    <row r="1088" spans="1:26" ht="15.75" customHeight="1" x14ac:dyDescent="0.25">
      <c r="A1088" s="25">
        <v>1086</v>
      </c>
      <c r="B1088" s="37" t="e">
        <f t="shared" ref="B1088:D1088" si="2189">VLOOKUP($A1088,'[3]Gestión Pública'!$A$1:$O$251,B$1,0)</f>
        <v>#N/A</v>
      </c>
      <c r="C1088" s="38" t="e">
        <f t="shared" si="2189"/>
        <v>#N/A</v>
      </c>
      <c r="D1088" s="39" t="e">
        <f t="shared" si="2189"/>
        <v>#N/A</v>
      </c>
      <c r="E1088" s="16" t="e">
        <f t="shared" si="1"/>
        <v>#N/A</v>
      </c>
      <c r="F1088" s="16" t="e">
        <f t="shared" ref="F1088:K1088" si="2190">VLOOKUP($A1088,'[3]Gestión Pública'!$A$1:$O$251,F$1,0)</f>
        <v>#N/A</v>
      </c>
      <c r="G1088" s="39" t="e">
        <f t="shared" si="2190"/>
        <v>#N/A</v>
      </c>
      <c r="H1088" s="16" t="e">
        <f t="shared" si="2190"/>
        <v>#N/A</v>
      </c>
      <c r="I1088" s="16" t="e">
        <f t="shared" si="2190"/>
        <v>#N/A</v>
      </c>
      <c r="J1088" s="40" t="e">
        <f t="shared" si="2190"/>
        <v>#N/A</v>
      </c>
      <c r="K1088" s="16" t="e">
        <f t="shared" si="2190"/>
        <v>#N/A</v>
      </c>
      <c r="L1088" s="40" t="e">
        <f t="shared" si="1817"/>
        <v>#N/A</v>
      </c>
      <c r="M1088" s="16" t="e">
        <f t="shared" si="1818"/>
        <v>#N/A</v>
      </c>
      <c r="N1088" s="16" t="e">
        <f t="shared" si="1819"/>
        <v>#N/A</v>
      </c>
      <c r="O1088" s="16" t="s">
        <v>67</v>
      </c>
      <c r="P1088" s="16" t="str">
        <f t="shared" si="6"/>
        <v/>
      </c>
      <c r="Q1088" s="41" t="e">
        <f t="shared" si="1820"/>
        <v>#N/A</v>
      </c>
      <c r="R1088" s="44"/>
      <c r="S1088" s="44"/>
      <c r="T1088" s="43"/>
      <c r="U1088" s="43" t="str">
        <f t="shared" si="8"/>
        <v>No</v>
      </c>
      <c r="V1088" s="25"/>
      <c r="W1088" s="25"/>
      <c r="X1088" s="25"/>
      <c r="Y1088" s="25"/>
      <c r="Z1088" s="25"/>
    </row>
    <row r="1089" spans="1:26" ht="15.75" customHeight="1" x14ac:dyDescent="0.25">
      <c r="A1089" s="25">
        <v>1087</v>
      </c>
      <c r="B1089" s="37" t="e">
        <f t="shared" ref="B1089:D1089" si="2191">VLOOKUP($A1089,'[3]Gestión Pública'!$A$1:$O$251,B$1,0)</f>
        <v>#N/A</v>
      </c>
      <c r="C1089" s="38" t="e">
        <f t="shared" si="2191"/>
        <v>#N/A</v>
      </c>
      <c r="D1089" s="39" t="e">
        <f t="shared" si="2191"/>
        <v>#N/A</v>
      </c>
      <c r="E1089" s="16" t="e">
        <f t="shared" si="1"/>
        <v>#N/A</v>
      </c>
      <c r="F1089" s="16" t="e">
        <f t="shared" ref="F1089:K1089" si="2192">VLOOKUP($A1089,'[3]Gestión Pública'!$A$1:$O$251,F$1,0)</f>
        <v>#N/A</v>
      </c>
      <c r="G1089" s="39" t="e">
        <f t="shared" si="2192"/>
        <v>#N/A</v>
      </c>
      <c r="H1089" s="16" t="e">
        <f t="shared" si="2192"/>
        <v>#N/A</v>
      </c>
      <c r="I1089" s="16" t="e">
        <f t="shared" si="2192"/>
        <v>#N/A</v>
      </c>
      <c r="J1089" s="40" t="e">
        <f t="shared" si="2192"/>
        <v>#N/A</v>
      </c>
      <c r="K1089" s="16" t="e">
        <f t="shared" si="2192"/>
        <v>#N/A</v>
      </c>
      <c r="L1089" s="40" t="e">
        <f t="shared" si="1817"/>
        <v>#N/A</v>
      </c>
      <c r="M1089" s="16" t="e">
        <f t="shared" si="1818"/>
        <v>#N/A</v>
      </c>
      <c r="N1089" s="16" t="e">
        <f t="shared" si="1819"/>
        <v>#N/A</v>
      </c>
      <c r="O1089" s="16" t="s">
        <v>67</v>
      </c>
      <c r="P1089" s="16" t="str">
        <f t="shared" si="6"/>
        <v/>
      </c>
      <c r="Q1089" s="41" t="e">
        <f t="shared" si="1820"/>
        <v>#N/A</v>
      </c>
      <c r="R1089" s="44"/>
      <c r="S1089" s="44"/>
      <c r="T1089" s="43"/>
      <c r="U1089" s="43" t="str">
        <f t="shared" si="8"/>
        <v>No</v>
      </c>
      <c r="V1089" s="25"/>
      <c r="W1089" s="25"/>
      <c r="X1089" s="25"/>
      <c r="Y1089" s="25"/>
      <c r="Z1089" s="25"/>
    </row>
    <row r="1090" spans="1:26" ht="15.75" customHeight="1" x14ac:dyDescent="0.25">
      <c r="A1090" s="25">
        <v>1088</v>
      </c>
      <c r="B1090" s="37" t="e">
        <f t="shared" ref="B1090:D1090" si="2193">VLOOKUP($A1090,'[3]Gestión Pública'!$A$1:$O$251,B$1,0)</f>
        <v>#N/A</v>
      </c>
      <c r="C1090" s="38" t="e">
        <f t="shared" si="2193"/>
        <v>#N/A</v>
      </c>
      <c r="D1090" s="39" t="e">
        <f t="shared" si="2193"/>
        <v>#N/A</v>
      </c>
      <c r="E1090" s="16" t="e">
        <f t="shared" si="1"/>
        <v>#N/A</v>
      </c>
      <c r="F1090" s="16" t="e">
        <f t="shared" ref="F1090:K1090" si="2194">VLOOKUP($A1090,'[3]Gestión Pública'!$A$1:$O$251,F$1,0)</f>
        <v>#N/A</v>
      </c>
      <c r="G1090" s="39" t="e">
        <f t="shared" si="2194"/>
        <v>#N/A</v>
      </c>
      <c r="H1090" s="16" t="e">
        <f t="shared" si="2194"/>
        <v>#N/A</v>
      </c>
      <c r="I1090" s="16" t="e">
        <f t="shared" si="2194"/>
        <v>#N/A</v>
      </c>
      <c r="J1090" s="40" t="e">
        <f t="shared" si="2194"/>
        <v>#N/A</v>
      </c>
      <c r="K1090" s="16" t="e">
        <f t="shared" si="2194"/>
        <v>#N/A</v>
      </c>
      <c r="L1090" s="40" t="e">
        <f t="shared" si="1817"/>
        <v>#N/A</v>
      </c>
      <c r="M1090" s="16" t="e">
        <f t="shared" si="1818"/>
        <v>#N/A</v>
      </c>
      <c r="N1090" s="16" t="e">
        <f t="shared" si="1819"/>
        <v>#N/A</v>
      </c>
      <c r="O1090" s="16" t="s">
        <v>67</v>
      </c>
      <c r="P1090" s="16" t="str">
        <f t="shared" si="6"/>
        <v/>
      </c>
      <c r="Q1090" s="41" t="e">
        <f t="shared" si="1820"/>
        <v>#N/A</v>
      </c>
      <c r="R1090" s="44"/>
      <c r="S1090" s="44"/>
      <c r="T1090" s="43"/>
      <c r="U1090" s="43" t="str">
        <f t="shared" si="8"/>
        <v>No</v>
      </c>
      <c r="V1090" s="25"/>
      <c r="W1090" s="25"/>
      <c r="X1090" s="25"/>
      <c r="Y1090" s="25"/>
      <c r="Z1090" s="25"/>
    </row>
    <row r="1091" spans="1:26" ht="15.75" customHeight="1" x14ac:dyDescent="0.25">
      <c r="A1091" s="25">
        <v>1089</v>
      </c>
      <c r="B1091" s="37" t="e">
        <f t="shared" ref="B1091:D1091" si="2195">VLOOKUP($A1091,'[3]Gestión Pública'!$A$1:$O$251,B$1,0)</f>
        <v>#N/A</v>
      </c>
      <c r="C1091" s="38" t="e">
        <f t="shared" si="2195"/>
        <v>#N/A</v>
      </c>
      <c r="D1091" s="39" t="e">
        <f t="shared" si="2195"/>
        <v>#N/A</v>
      </c>
      <c r="E1091" s="16" t="e">
        <f t="shared" si="1"/>
        <v>#N/A</v>
      </c>
      <c r="F1091" s="16" t="e">
        <f t="shared" ref="F1091:K1091" si="2196">VLOOKUP($A1091,'[3]Gestión Pública'!$A$1:$O$251,F$1,0)</f>
        <v>#N/A</v>
      </c>
      <c r="G1091" s="39" t="e">
        <f t="shared" si="2196"/>
        <v>#N/A</v>
      </c>
      <c r="H1091" s="16" t="e">
        <f t="shared" si="2196"/>
        <v>#N/A</v>
      </c>
      <c r="I1091" s="16" t="e">
        <f t="shared" si="2196"/>
        <v>#N/A</v>
      </c>
      <c r="J1091" s="40" t="e">
        <f t="shared" si="2196"/>
        <v>#N/A</v>
      </c>
      <c r="K1091" s="16" t="e">
        <f t="shared" si="2196"/>
        <v>#N/A</v>
      </c>
      <c r="L1091" s="40" t="e">
        <f t="shared" si="1817"/>
        <v>#N/A</v>
      </c>
      <c r="M1091" s="16" t="e">
        <f t="shared" si="1818"/>
        <v>#N/A</v>
      </c>
      <c r="N1091" s="16" t="e">
        <f t="shared" si="1819"/>
        <v>#N/A</v>
      </c>
      <c r="O1091" s="16" t="s">
        <v>67</v>
      </c>
      <c r="P1091" s="16" t="str">
        <f t="shared" si="6"/>
        <v/>
      </c>
      <c r="Q1091" s="41" t="e">
        <f t="shared" si="1820"/>
        <v>#N/A</v>
      </c>
      <c r="R1091" s="44"/>
      <c r="S1091" s="44"/>
      <c r="T1091" s="43"/>
      <c r="U1091" s="43" t="str">
        <f t="shared" si="8"/>
        <v>No</v>
      </c>
      <c r="V1091" s="25"/>
      <c r="W1091" s="25"/>
      <c r="X1091" s="25"/>
      <c r="Y1091" s="25"/>
      <c r="Z1091" s="25"/>
    </row>
    <row r="1092" spans="1:26" ht="15.75" customHeight="1" x14ac:dyDescent="0.25">
      <c r="A1092" s="25">
        <v>1090</v>
      </c>
      <c r="B1092" s="37" t="e">
        <f t="shared" ref="B1092:D1092" si="2197">VLOOKUP($A1092,'[3]Gestión Pública'!$A$1:$O$251,B$1,0)</f>
        <v>#N/A</v>
      </c>
      <c r="C1092" s="38" t="e">
        <f t="shared" si="2197"/>
        <v>#N/A</v>
      </c>
      <c r="D1092" s="39" t="e">
        <f t="shared" si="2197"/>
        <v>#N/A</v>
      </c>
      <c r="E1092" s="16" t="e">
        <f t="shared" si="1"/>
        <v>#N/A</v>
      </c>
      <c r="F1092" s="16" t="e">
        <f t="shared" ref="F1092:K1092" si="2198">VLOOKUP($A1092,'[3]Gestión Pública'!$A$1:$O$251,F$1,0)</f>
        <v>#N/A</v>
      </c>
      <c r="G1092" s="39" t="e">
        <f t="shared" si="2198"/>
        <v>#N/A</v>
      </c>
      <c r="H1092" s="16" t="e">
        <f t="shared" si="2198"/>
        <v>#N/A</v>
      </c>
      <c r="I1092" s="16" t="e">
        <f t="shared" si="2198"/>
        <v>#N/A</v>
      </c>
      <c r="J1092" s="40" t="e">
        <f t="shared" si="2198"/>
        <v>#N/A</v>
      </c>
      <c r="K1092" s="16" t="e">
        <f t="shared" si="2198"/>
        <v>#N/A</v>
      </c>
      <c r="L1092" s="40" t="e">
        <f t="shared" si="1817"/>
        <v>#N/A</v>
      </c>
      <c r="M1092" s="16" t="e">
        <f t="shared" si="1818"/>
        <v>#N/A</v>
      </c>
      <c r="N1092" s="16" t="e">
        <f t="shared" si="1819"/>
        <v>#N/A</v>
      </c>
      <c r="O1092" s="16" t="s">
        <v>67</v>
      </c>
      <c r="P1092" s="16" t="str">
        <f t="shared" si="6"/>
        <v/>
      </c>
      <c r="Q1092" s="41" t="e">
        <f t="shared" si="1820"/>
        <v>#N/A</v>
      </c>
      <c r="R1092" s="44"/>
      <c r="S1092" s="44"/>
      <c r="T1092" s="43"/>
      <c r="U1092" s="43" t="str">
        <f t="shared" si="8"/>
        <v>No</v>
      </c>
      <c r="V1092" s="25"/>
      <c r="W1092" s="25"/>
      <c r="X1092" s="25"/>
      <c r="Y1092" s="25"/>
      <c r="Z1092" s="25"/>
    </row>
    <row r="1093" spans="1:26" ht="15.75" customHeight="1" x14ac:dyDescent="0.25">
      <c r="A1093" s="25">
        <v>1091</v>
      </c>
      <c r="B1093" s="37" t="e">
        <f t="shared" ref="B1093:D1093" si="2199">VLOOKUP($A1093,'[3]Gestión Pública'!$A$1:$O$251,B$1,0)</f>
        <v>#N/A</v>
      </c>
      <c r="C1093" s="38" t="e">
        <f t="shared" si="2199"/>
        <v>#N/A</v>
      </c>
      <c r="D1093" s="39" t="e">
        <f t="shared" si="2199"/>
        <v>#N/A</v>
      </c>
      <c r="E1093" s="16" t="e">
        <f t="shared" si="1"/>
        <v>#N/A</v>
      </c>
      <c r="F1093" s="16" t="e">
        <f t="shared" ref="F1093:K1093" si="2200">VLOOKUP($A1093,'[3]Gestión Pública'!$A$1:$O$251,F$1,0)</f>
        <v>#N/A</v>
      </c>
      <c r="G1093" s="39" t="e">
        <f t="shared" si="2200"/>
        <v>#N/A</v>
      </c>
      <c r="H1093" s="16" t="e">
        <f t="shared" si="2200"/>
        <v>#N/A</v>
      </c>
      <c r="I1093" s="16" t="e">
        <f t="shared" si="2200"/>
        <v>#N/A</v>
      </c>
      <c r="J1093" s="40" t="e">
        <f t="shared" si="2200"/>
        <v>#N/A</v>
      </c>
      <c r="K1093" s="16" t="e">
        <f t="shared" si="2200"/>
        <v>#N/A</v>
      </c>
      <c r="L1093" s="40" t="e">
        <f t="shared" si="1817"/>
        <v>#N/A</v>
      </c>
      <c r="M1093" s="16" t="e">
        <f t="shared" si="1818"/>
        <v>#N/A</v>
      </c>
      <c r="N1093" s="16" t="e">
        <f t="shared" si="1819"/>
        <v>#N/A</v>
      </c>
      <c r="O1093" s="16" t="s">
        <v>67</v>
      </c>
      <c r="P1093" s="16" t="str">
        <f t="shared" si="6"/>
        <v/>
      </c>
      <c r="Q1093" s="41" t="e">
        <f t="shared" si="1820"/>
        <v>#N/A</v>
      </c>
      <c r="R1093" s="44"/>
      <c r="S1093" s="44"/>
      <c r="T1093" s="43"/>
      <c r="U1093" s="43" t="str">
        <f t="shared" si="8"/>
        <v>No</v>
      </c>
      <c r="V1093" s="25"/>
      <c r="W1093" s="25"/>
      <c r="X1093" s="25"/>
      <c r="Y1093" s="25"/>
      <c r="Z1093" s="25"/>
    </row>
    <row r="1094" spans="1:26" ht="15.75" customHeight="1" x14ac:dyDescent="0.25">
      <c r="A1094" s="25">
        <v>1092</v>
      </c>
      <c r="B1094" s="37" t="e">
        <f t="shared" ref="B1094:D1094" si="2201">VLOOKUP($A1094,'[3]Gestión Pública'!$A$1:$O$251,B$1,0)</f>
        <v>#N/A</v>
      </c>
      <c r="C1094" s="38" t="e">
        <f t="shared" si="2201"/>
        <v>#N/A</v>
      </c>
      <c r="D1094" s="39" t="e">
        <f t="shared" si="2201"/>
        <v>#N/A</v>
      </c>
      <c r="E1094" s="16" t="e">
        <f t="shared" si="1"/>
        <v>#N/A</v>
      </c>
      <c r="F1094" s="16" t="e">
        <f t="shared" ref="F1094:K1094" si="2202">VLOOKUP($A1094,'[3]Gestión Pública'!$A$1:$O$251,F$1,0)</f>
        <v>#N/A</v>
      </c>
      <c r="G1094" s="39" t="e">
        <f t="shared" si="2202"/>
        <v>#N/A</v>
      </c>
      <c r="H1094" s="16" t="e">
        <f t="shared" si="2202"/>
        <v>#N/A</v>
      </c>
      <c r="I1094" s="16" t="e">
        <f t="shared" si="2202"/>
        <v>#N/A</v>
      </c>
      <c r="J1094" s="40" t="e">
        <f t="shared" si="2202"/>
        <v>#N/A</v>
      </c>
      <c r="K1094" s="16" t="e">
        <f t="shared" si="2202"/>
        <v>#N/A</v>
      </c>
      <c r="L1094" s="40" t="e">
        <f t="shared" si="1817"/>
        <v>#N/A</v>
      </c>
      <c r="M1094" s="16" t="e">
        <f t="shared" si="1818"/>
        <v>#N/A</v>
      </c>
      <c r="N1094" s="16" t="e">
        <f t="shared" si="1819"/>
        <v>#N/A</v>
      </c>
      <c r="O1094" s="16" t="s">
        <v>67</v>
      </c>
      <c r="P1094" s="16" t="str">
        <f t="shared" si="6"/>
        <v/>
      </c>
      <c r="Q1094" s="41" t="e">
        <f t="shared" si="1820"/>
        <v>#N/A</v>
      </c>
      <c r="R1094" s="44"/>
      <c r="S1094" s="44"/>
      <c r="T1094" s="43"/>
      <c r="U1094" s="43" t="str">
        <f t="shared" si="8"/>
        <v>No</v>
      </c>
      <c r="V1094" s="25"/>
      <c r="W1094" s="25"/>
      <c r="X1094" s="25"/>
      <c r="Y1094" s="25"/>
      <c r="Z1094" s="25"/>
    </row>
    <row r="1095" spans="1:26" ht="15.75" customHeight="1" x14ac:dyDescent="0.25">
      <c r="A1095" s="25">
        <v>1093</v>
      </c>
      <c r="B1095" s="37" t="e">
        <f t="shared" ref="B1095:D1095" si="2203">VLOOKUP($A1095,'[3]Gestión Pública'!$A$1:$O$251,B$1,0)</f>
        <v>#N/A</v>
      </c>
      <c r="C1095" s="38" t="e">
        <f t="shared" si="2203"/>
        <v>#N/A</v>
      </c>
      <c r="D1095" s="39" t="e">
        <f t="shared" si="2203"/>
        <v>#N/A</v>
      </c>
      <c r="E1095" s="16" t="e">
        <f t="shared" si="1"/>
        <v>#N/A</v>
      </c>
      <c r="F1095" s="16" t="e">
        <f t="shared" ref="F1095:K1095" si="2204">VLOOKUP($A1095,'[3]Gestión Pública'!$A$1:$O$251,F$1,0)</f>
        <v>#N/A</v>
      </c>
      <c r="G1095" s="39" t="e">
        <f t="shared" si="2204"/>
        <v>#N/A</v>
      </c>
      <c r="H1095" s="16" t="e">
        <f t="shared" si="2204"/>
        <v>#N/A</v>
      </c>
      <c r="I1095" s="16" t="e">
        <f t="shared" si="2204"/>
        <v>#N/A</v>
      </c>
      <c r="J1095" s="40" t="e">
        <f t="shared" si="2204"/>
        <v>#N/A</v>
      </c>
      <c r="K1095" s="16" t="e">
        <f t="shared" si="2204"/>
        <v>#N/A</v>
      </c>
      <c r="L1095" s="40" t="e">
        <f t="shared" si="1817"/>
        <v>#N/A</v>
      </c>
      <c r="M1095" s="16" t="e">
        <f t="shared" si="1818"/>
        <v>#N/A</v>
      </c>
      <c r="N1095" s="16" t="e">
        <f t="shared" si="1819"/>
        <v>#N/A</v>
      </c>
      <c r="O1095" s="16" t="s">
        <v>67</v>
      </c>
      <c r="P1095" s="16" t="str">
        <f t="shared" si="6"/>
        <v/>
      </c>
      <c r="Q1095" s="41" t="e">
        <f t="shared" si="1820"/>
        <v>#N/A</v>
      </c>
      <c r="R1095" s="44"/>
      <c r="S1095" s="44"/>
      <c r="T1095" s="43"/>
      <c r="U1095" s="43" t="str">
        <f t="shared" si="8"/>
        <v>No</v>
      </c>
      <c r="V1095" s="25"/>
      <c r="W1095" s="25"/>
      <c r="X1095" s="25"/>
      <c r="Y1095" s="25"/>
      <c r="Z1095" s="25"/>
    </row>
    <row r="1096" spans="1:26" ht="15.75" customHeight="1" x14ac:dyDescent="0.25">
      <c r="A1096" s="25">
        <v>1094</v>
      </c>
      <c r="B1096" s="37" t="e">
        <f t="shared" ref="B1096:D1096" si="2205">VLOOKUP($A1096,'[3]Gestión Pública'!$A$1:$O$251,B$1,0)</f>
        <v>#N/A</v>
      </c>
      <c r="C1096" s="38" t="e">
        <f t="shared" si="2205"/>
        <v>#N/A</v>
      </c>
      <c r="D1096" s="39" t="e">
        <f t="shared" si="2205"/>
        <v>#N/A</v>
      </c>
      <c r="E1096" s="16" t="e">
        <f t="shared" si="1"/>
        <v>#N/A</v>
      </c>
      <c r="F1096" s="16" t="e">
        <f t="shared" ref="F1096:K1096" si="2206">VLOOKUP($A1096,'[3]Gestión Pública'!$A$1:$O$251,F$1,0)</f>
        <v>#N/A</v>
      </c>
      <c r="G1096" s="39" t="e">
        <f t="shared" si="2206"/>
        <v>#N/A</v>
      </c>
      <c r="H1096" s="16" t="e">
        <f t="shared" si="2206"/>
        <v>#N/A</v>
      </c>
      <c r="I1096" s="16" t="e">
        <f t="shared" si="2206"/>
        <v>#N/A</v>
      </c>
      <c r="J1096" s="40" t="e">
        <f t="shared" si="2206"/>
        <v>#N/A</v>
      </c>
      <c r="K1096" s="16" t="e">
        <f t="shared" si="2206"/>
        <v>#N/A</v>
      </c>
      <c r="L1096" s="40" t="e">
        <f t="shared" si="1817"/>
        <v>#N/A</v>
      </c>
      <c r="M1096" s="16" t="e">
        <f t="shared" si="1818"/>
        <v>#N/A</v>
      </c>
      <c r="N1096" s="16" t="e">
        <f t="shared" si="1819"/>
        <v>#N/A</v>
      </c>
      <c r="O1096" s="16" t="s">
        <v>67</v>
      </c>
      <c r="P1096" s="16" t="str">
        <f t="shared" si="6"/>
        <v/>
      </c>
      <c r="Q1096" s="41" t="e">
        <f t="shared" si="1820"/>
        <v>#N/A</v>
      </c>
      <c r="R1096" s="44"/>
      <c r="S1096" s="44"/>
      <c r="T1096" s="43"/>
      <c r="U1096" s="43" t="str">
        <f t="shared" si="8"/>
        <v>No</v>
      </c>
      <c r="V1096" s="25"/>
      <c r="W1096" s="25"/>
      <c r="X1096" s="25"/>
      <c r="Y1096" s="25"/>
      <c r="Z1096" s="25"/>
    </row>
    <row r="1097" spans="1:26" ht="15.75" customHeight="1" x14ac:dyDescent="0.25">
      <c r="A1097" s="25">
        <v>1095</v>
      </c>
      <c r="B1097" s="37" t="e">
        <f t="shared" ref="B1097:D1097" si="2207">VLOOKUP($A1097,'[3]Gestión Pública'!$A$1:$O$251,B$1,0)</f>
        <v>#N/A</v>
      </c>
      <c r="C1097" s="38" t="e">
        <f t="shared" si="2207"/>
        <v>#N/A</v>
      </c>
      <c r="D1097" s="39" t="e">
        <f t="shared" si="2207"/>
        <v>#N/A</v>
      </c>
      <c r="E1097" s="16" t="e">
        <f t="shared" si="1"/>
        <v>#N/A</v>
      </c>
      <c r="F1097" s="16" t="e">
        <f t="shared" ref="F1097:K1097" si="2208">VLOOKUP($A1097,'[3]Gestión Pública'!$A$1:$O$251,F$1,0)</f>
        <v>#N/A</v>
      </c>
      <c r="G1097" s="39" t="e">
        <f t="shared" si="2208"/>
        <v>#N/A</v>
      </c>
      <c r="H1097" s="16" t="e">
        <f t="shared" si="2208"/>
        <v>#N/A</v>
      </c>
      <c r="I1097" s="16" t="e">
        <f t="shared" si="2208"/>
        <v>#N/A</v>
      </c>
      <c r="J1097" s="40" t="e">
        <f t="shared" si="2208"/>
        <v>#N/A</v>
      </c>
      <c r="K1097" s="16" t="e">
        <f t="shared" si="2208"/>
        <v>#N/A</v>
      </c>
      <c r="L1097" s="40" t="e">
        <f t="shared" si="1817"/>
        <v>#N/A</v>
      </c>
      <c r="M1097" s="16" t="e">
        <f t="shared" si="1818"/>
        <v>#N/A</v>
      </c>
      <c r="N1097" s="16" t="e">
        <f t="shared" si="1819"/>
        <v>#N/A</v>
      </c>
      <c r="O1097" s="16" t="s">
        <v>67</v>
      </c>
      <c r="P1097" s="16" t="str">
        <f t="shared" si="6"/>
        <v/>
      </c>
      <c r="Q1097" s="41" t="e">
        <f t="shared" si="1820"/>
        <v>#N/A</v>
      </c>
      <c r="R1097" s="44"/>
      <c r="S1097" s="44"/>
      <c r="T1097" s="43"/>
      <c r="U1097" s="43" t="str">
        <f t="shared" si="8"/>
        <v>No</v>
      </c>
      <c r="V1097" s="25"/>
      <c r="W1097" s="25"/>
      <c r="X1097" s="25"/>
      <c r="Y1097" s="25"/>
      <c r="Z1097" s="25"/>
    </row>
    <row r="1098" spans="1:26" ht="15.75" customHeight="1" x14ac:dyDescent="0.25">
      <c r="A1098" s="25">
        <v>1096</v>
      </c>
      <c r="B1098" s="37" t="e">
        <f t="shared" ref="B1098:D1098" si="2209">VLOOKUP($A1098,'[3]Gestión Pública'!$A$1:$O$251,B$1,0)</f>
        <v>#N/A</v>
      </c>
      <c r="C1098" s="38" t="e">
        <f t="shared" si="2209"/>
        <v>#N/A</v>
      </c>
      <c r="D1098" s="39" t="e">
        <f t="shared" si="2209"/>
        <v>#N/A</v>
      </c>
      <c r="E1098" s="16" t="e">
        <f t="shared" si="1"/>
        <v>#N/A</v>
      </c>
      <c r="F1098" s="16" t="e">
        <f t="shared" ref="F1098:K1098" si="2210">VLOOKUP($A1098,'[3]Gestión Pública'!$A$1:$O$251,F$1,0)</f>
        <v>#N/A</v>
      </c>
      <c r="G1098" s="39" t="e">
        <f t="shared" si="2210"/>
        <v>#N/A</v>
      </c>
      <c r="H1098" s="16" t="e">
        <f t="shared" si="2210"/>
        <v>#N/A</v>
      </c>
      <c r="I1098" s="16" t="e">
        <f t="shared" si="2210"/>
        <v>#N/A</v>
      </c>
      <c r="J1098" s="40" t="e">
        <f t="shared" si="2210"/>
        <v>#N/A</v>
      </c>
      <c r="K1098" s="16" t="e">
        <f t="shared" si="2210"/>
        <v>#N/A</v>
      </c>
      <c r="L1098" s="40" t="e">
        <f t="shared" si="1817"/>
        <v>#N/A</v>
      </c>
      <c r="M1098" s="16" t="e">
        <f t="shared" si="1818"/>
        <v>#N/A</v>
      </c>
      <c r="N1098" s="16" t="e">
        <f t="shared" si="1819"/>
        <v>#N/A</v>
      </c>
      <c r="O1098" s="16" t="s">
        <v>67</v>
      </c>
      <c r="P1098" s="16" t="str">
        <f t="shared" si="6"/>
        <v/>
      </c>
      <c r="Q1098" s="41" t="e">
        <f t="shared" si="1820"/>
        <v>#N/A</v>
      </c>
      <c r="R1098" s="44"/>
      <c r="S1098" s="44"/>
      <c r="T1098" s="43"/>
      <c r="U1098" s="43" t="str">
        <f t="shared" si="8"/>
        <v>No</v>
      </c>
      <c r="V1098" s="25"/>
      <c r="W1098" s="25"/>
      <c r="X1098" s="25"/>
      <c r="Y1098" s="25"/>
      <c r="Z1098" s="25"/>
    </row>
    <row r="1099" spans="1:26" ht="15.75" customHeight="1" x14ac:dyDescent="0.25">
      <c r="A1099" s="25">
        <v>1097</v>
      </c>
      <c r="B1099" s="37" t="e">
        <f t="shared" ref="B1099:D1099" si="2211">VLOOKUP($A1099,'[3]Gestión Pública'!$A$1:$O$251,B$1,0)</f>
        <v>#N/A</v>
      </c>
      <c r="C1099" s="38" t="e">
        <f t="shared" si="2211"/>
        <v>#N/A</v>
      </c>
      <c r="D1099" s="39" t="e">
        <f t="shared" si="2211"/>
        <v>#N/A</v>
      </c>
      <c r="E1099" s="16" t="e">
        <f t="shared" si="1"/>
        <v>#N/A</v>
      </c>
      <c r="F1099" s="16" t="e">
        <f t="shared" ref="F1099:K1099" si="2212">VLOOKUP($A1099,'[3]Gestión Pública'!$A$1:$O$251,F$1,0)</f>
        <v>#N/A</v>
      </c>
      <c r="G1099" s="39" t="e">
        <f t="shared" si="2212"/>
        <v>#N/A</v>
      </c>
      <c r="H1099" s="16" t="e">
        <f t="shared" si="2212"/>
        <v>#N/A</v>
      </c>
      <c r="I1099" s="16" t="e">
        <f t="shared" si="2212"/>
        <v>#N/A</v>
      </c>
      <c r="J1099" s="40" t="e">
        <f t="shared" si="2212"/>
        <v>#N/A</v>
      </c>
      <c r="K1099" s="16" t="e">
        <f t="shared" si="2212"/>
        <v>#N/A</v>
      </c>
      <c r="L1099" s="40" t="e">
        <f t="shared" si="1817"/>
        <v>#N/A</v>
      </c>
      <c r="M1099" s="16" t="e">
        <f t="shared" si="1818"/>
        <v>#N/A</v>
      </c>
      <c r="N1099" s="16" t="e">
        <f t="shared" si="1819"/>
        <v>#N/A</v>
      </c>
      <c r="O1099" s="16" t="s">
        <v>67</v>
      </c>
      <c r="P1099" s="16" t="str">
        <f t="shared" si="6"/>
        <v/>
      </c>
      <c r="Q1099" s="41" t="e">
        <f t="shared" si="1820"/>
        <v>#N/A</v>
      </c>
      <c r="R1099" s="44"/>
      <c r="S1099" s="44"/>
      <c r="T1099" s="43"/>
      <c r="U1099" s="43" t="str">
        <f t="shared" si="8"/>
        <v>No</v>
      </c>
      <c r="V1099" s="25"/>
      <c r="W1099" s="25"/>
      <c r="X1099" s="25"/>
      <c r="Y1099" s="25"/>
      <c r="Z1099" s="25"/>
    </row>
    <row r="1100" spans="1:26" ht="15.75" customHeight="1" x14ac:dyDescent="0.25">
      <c r="A1100" s="25">
        <v>1098</v>
      </c>
      <c r="B1100" s="37" t="e">
        <f t="shared" ref="B1100:D1100" si="2213">VLOOKUP($A1100,'[3]Gestión Pública'!$A$1:$O$251,B$1,0)</f>
        <v>#N/A</v>
      </c>
      <c r="C1100" s="38" t="e">
        <f t="shared" si="2213"/>
        <v>#N/A</v>
      </c>
      <c r="D1100" s="39" t="e">
        <f t="shared" si="2213"/>
        <v>#N/A</v>
      </c>
      <c r="E1100" s="16" t="e">
        <f t="shared" si="1"/>
        <v>#N/A</v>
      </c>
      <c r="F1100" s="16" t="e">
        <f t="shared" ref="F1100:K1100" si="2214">VLOOKUP($A1100,'[3]Gestión Pública'!$A$1:$O$251,F$1,0)</f>
        <v>#N/A</v>
      </c>
      <c r="G1100" s="39" t="e">
        <f t="shared" si="2214"/>
        <v>#N/A</v>
      </c>
      <c r="H1100" s="16" t="e">
        <f t="shared" si="2214"/>
        <v>#N/A</v>
      </c>
      <c r="I1100" s="16" t="e">
        <f t="shared" si="2214"/>
        <v>#N/A</v>
      </c>
      <c r="J1100" s="40" t="e">
        <f t="shared" si="2214"/>
        <v>#N/A</v>
      </c>
      <c r="K1100" s="16" t="e">
        <f t="shared" si="2214"/>
        <v>#N/A</v>
      </c>
      <c r="L1100" s="40" t="e">
        <f t="shared" si="1817"/>
        <v>#N/A</v>
      </c>
      <c r="M1100" s="16" t="e">
        <f t="shared" si="1818"/>
        <v>#N/A</v>
      </c>
      <c r="N1100" s="16" t="e">
        <f t="shared" si="1819"/>
        <v>#N/A</v>
      </c>
      <c r="O1100" s="16" t="s">
        <v>67</v>
      </c>
      <c r="P1100" s="16" t="str">
        <f t="shared" si="6"/>
        <v/>
      </c>
      <c r="Q1100" s="41" t="e">
        <f t="shared" si="1820"/>
        <v>#N/A</v>
      </c>
      <c r="R1100" s="44"/>
      <c r="S1100" s="44"/>
      <c r="T1100" s="43"/>
      <c r="U1100" s="43" t="str">
        <f t="shared" si="8"/>
        <v>No</v>
      </c>
      <c r="V1100" s="25"/>
      <c r="W1100" s="25"/>
      <c r="X1100" s="25"/>
      <c r="Y1100" s="25"/>
      <c r="Z1100" s="25"/>
    </row>
    <row r="1101" spans="1:26" ht="15.75" customHeight="1" x14ac:dyDescent="0.25">
      <c r="A1101" s="25">
        <v>1099</v>
      </c>
      <c r="B1101" s="37" t="e">
        <f t="shared" ref="B1101:D1101" si="2215">VLOOKUP($A1101,'[3]Gestión Pública'!$A$1:$O$251,B$1,0)</f>
        <v>#N/A</v>
      </c>
      <c r="C1101" s="38" t="e">
        <f t="shared" si="2215"/>
        <v>#N/A</v>
      </c>
      <c r="D1101" s="39" t="e">
        <f t="shared" si="2215"/>
        <v>#N/A</v>
      </c>
      <c r="E1101" s="16" t="e">
        <f t="shared" si="1"/>
        <v>#N/A</v>
      </c>
      <c r="F1101" s="16" t="e">
        <f t="shared" ref="F1101:K1101" si="2216">VLOOKUP($A1101,'[3]Gestión Pública'!$A$1:$O$251,F$1,0)</f>
        <v>#N/A</v>
      </c>
      <c r="G1101" s="39" t="e">
        <f t="shared" si="2216"/>
        <v>#N/A</v>
      </c>
      <c r="H1101" s="16" t="e">
        <f t="shared" si="2216"/>
        <v>#N/A</v>
      </c>
      <c r="I1101" s="16" t="e">
        <f t="shared" si="2216"/>
        <v>#N/A</v>
      </c>
      <c r="J1101" s="40" t="e">
        <f t="shared" si="2216"/>
        <v>#N/A</v>
      </c>
      <c r="K1101" s="16" t="e">
        <f t="shared" si="2216"/>
        <v>#N/A</v>
      </c>
      <c r="L1101" s="40" t="e">
        <f t="shared" si="1817"/>
        <v>#N/A</v>
      </c>
      <c r="M1101" s="16" t="e">
        <f t="shared" si="1818"/>
        <v>#N/A</v>
      </c>
      <c r="N1101" s="16" t="e">
        <f t="shared" si="1819"/>
        <v>#N/A</v>
      </c>
      <c r="O1101" s="16" t="s">
        <v>67</v>
      </c>
      <c r="P1101" s="16" t="str">
        <f t="shared" si="6"/>
        <v/>
      </c>
      <c r="Q1101" s="41" t="e">
        <f t="shared" si="1820"/>
        <v>#N/A</v>
      </c>
      <c r="R1101" s="44"/>
      <c r="S1101" s="44"/>
      <c r="T1101" s="43"/>
      <c r="U1101" s="43" t="str">
        <f t="shared" si="8"/>
        <v>No</v>
      </c>
      <c r="V1101" s="25"/>
      <c r="W1101" s="25"/>
      <c r="X1101" s="25"/>
      <c r="Y1101" s="25"/>
      <c r="Z1101" s="25"/>
    </row>
    <row r="1102" spans="1:26" ht="15.75" customHeight="1" x14ac:dyDescent="0.25">
      <c r="A1102" s="25">
        <v>1100</v>
      </c>
      <c r="B1102" s="37" t="e">
        <f t="shared" ref="B1102:D1102" si="2217">VLOOKUP($A1102,'[3]Gestión Pública'!$A$1:$O$251,B$1,0)</f>
        <v>#N/A</v>
      </c>
      <c r="C1102" s="38" t="e">
        <f t="shared" si="2217"/>
        <v>#N/A</v>
      </c>
      <c r="D1102" s="39" t="e">
        <f t="shared" si="2217"/>
        <v>#N/A</v>
      </c>
      <c r="E1102" s="16" t="e">
        <f t="shared" si="1"/>
        <v>#N/A</v>
      </c>
      <c r="F1102" s="16" t="e">
        <f t="shared" ref="F1102:K1102" si="2218">VLOOKUP($A1102,'[3]Gestión Pública'!$A$1:$O$251,F$1,0)</f>
        <v>#N/A</v>
      </c>
      <c r="G1102" s="39" t="e">
        <f t="shared" si="2218"/>
        <v>#N/A</v>
      </c>
      <c r="H1102" s="16" t="e">
        <f t="shared" si="2218"/>
        <v>#N/A</v>
      </c>
      <c r="I1102" s="16" t="e">
        <f t="shared" si="2218"/>
        <v>#N/A</v>
      </c>
      <c r="J1102" s="40" t="e">
        <f t="shared" si="2218"/>
        <v>#N/A</v>
      </c>
      <c r="K1102" s="16" t="e">
        <f t="shared" si="2218"/>
        <v>#N/A</v>
      </c>
      <c r="L1102" s="40" t="e">
        <f t="shared" si="1817"/>
        <v>#N/A</v>
      </c>
      <c r="M1102" s="16" t="e">
        <f t="shared" si="1818"/>
        <v>#N/A</v>
      </c>
      <c r="N1102" s="16" t="e">
        <f t="shared" si="1819"/>
        <v>#N/A</v>
      </c>
      <c r="O1102" s="16" t="s">
        <v>67</v>
      </c>
      <c r="P1102" s="16" t="str">
        <f t="shared" si="6"/>
        <v/>
      </c>
      <c r="Q1102" s="41" t="e">
        <f t="shared" si="1820"/>
        <v>#N/A</v>
      </c>
      <c r="R1102" s="44"/>
      <c r="S1102" s="44"/>
      <c r="T1102" s="43"/>
      <c r="U1102" s="43" t="str">
        <f t="shared" si="8"/>
        <v>No</v>
      </c>
      <c r="V1102" s="25"/>
      <c r="W1102" s="25"/>
      <c r="X1102" s="25"/>
      <c r="Y1102" s="25"/>
      <c r="Z1102" s="25"/>
    </row>
    <row r="1103" spans="1:26" ht="15.75" customHeight="1" x14ac:dyDescent="0.25">
      <c r="A1103" s="25">
        <v>1101</v>
      </c>
      <c r="B1103" s="37" t="e">
        <f t="shared" ref="B1103:D1103" si="2219">VLOOKUP($A1103,'[3]Gestión Pública'!$A$1:$O$251,B$1,0)</f>
        <v>#N/A</v>
      </c>
      <c r="C1103" s="38" t="e">
        <f t="shared" si="2219"/>
        <v>#N/A</v>
      </c>
      <c r="D1103" s="39" t="e">
        <f t="shared" si="2219"/>
        <v>#N/A</v>
      </c>
      <c r="E1103" s="16" t="e">
        <f t="shared" si="1"/>
        <v>#N/A</v>
      </c>
      <c r="F1103" s="16" t="e">
        <f t="shared" ref="F1103:K1103" si="2220">VLOOKUP($A1103,'[3]Gestión Pública'!$A$1:$O$251,F$1,0)</f>
        <v>#N/A</v>
      </c>
      <c r="G1103" s="39" t="e">
        <f t="shared" si="2220"/>
        <v>#N/A</v>
      </c>
      <c r="H1103" s="16" t="e">
        <f t="shared" si="2220"/>
        <v>#N/A</v>
      </c>
      <c r="I1103" s="16" t="e">
        <f t="shared" si="2220"/>
        <v>#N/A</v>
      </c>
      <c r="J1103" s="40" t="e">
        <f t="shared" si="2220"/>
        <v>#N/A</v>
      </c>
      <c r="K1103" s="16" t="e">
        <f t="shared" si="2220"/>
        <v>#N/A</v>
      </c>
      <c r="L1103" s="40" t="e">
        <f t="shared" si="1817"/>
        <v>#N/A</v>
      </c>
      <c r="M1103" s="16" t="e">
        <f t="shared" si="1818"/>
        <v>#N/A</v>
      </c>
      <c r="N1103" s="16" t="e">
        <f t="shared" si="1819"/>
        <v>#N/A</v>
      </c>
      <c r="O1103" s="16" t="s">
        <v>67</v>
      </c>
      <c r="P1103" s="16" t="str">
        <f t="shared" si="6"/>
        <v/>
      </c>
      <c r="Q1103" s="41" t="e">
        <f t="shared" si="1820"/>
        <v>#N/A</v>
      </c>
      <c r="R1103" s="44"/>
      <c r="S1103" s="44"/>
      <c r="T1103" s="43"/>
      <c r="U1103" s="43" t="str">
        <f t="shared" si="8"/>
        <v>No</v>
      </c>
      <c r="V1103" s="25"/>
      <c r="W1103" s="25"/>
      <c r="X1103" s="25"/>
      <c r="Y1103" s="25"/>
      <c r="Z1103" s="25"/>
    </row>
    <row r="1104" spans="1:26" ht="15.75" customHeight="1" x14ac:dyDescent="0.25">
      <c r="A1104" s="25">
        <v>1102</v>
      </c>
      <c r="B1104" s="37" t="e">
        <f t="shared" ref="B1104:D1104" si="2221">VLOOKUP($A1104,'[3]Gestión Pública'!$A$1:$O$251,B$1,0)</f>
        <v>#N/A</v>
      </c>
      <c r="C1104" s="38" t="e">
        <f t="shared" si="2221"/>
        <v>#N/A</v>
      </c>
      <c r="D1104" s="39" t="e">
        <f t="shared" si="2221"/>
        <v>#N/A</v>
      </c>
      <c r="E1104" s="16" t="e">
        <f t="shared" si="1"/>
        <v>#N/A</v>
      </c>
      <c r="F1104" s="16" t="e">
        <f t="shared" ref="F1104:K1104" si="2222">VLOOKUP($A1104,'[3]Gestión Pública'!$A$1:$O$251,F$1,0)</f>
        <v>#N/A</v>
      </c>
      <c r="G1104" s="39" t="e">
        <f t="shared" si="2222"/>
        <v>#N/A</v>
      </c>
      <c r="H1104" s="16" t="e">
        <f t="shared" si="2222"/>
        <v>#N/A</v>
      </c>
      <c r="I1104" s="16" t="e">
        <f t="shared" si="2222"/>
        <v>#N/A</v>
      </c>
      <c r="J1104" s="40" t="e">
        <f t="shared" si="2222"/>
        <v>#N/A</v>
      </c>
      <c r="K1104" s="16" t="e">
        <f t="shared" si="2222"/>
        <v>#N/A</v>
      </c>
      <c r="L1104" s="40" t="e">
        <f t="shared" si="1817"/>
        <v>#N/A</v>
      </c>
      <c r="M1104" s="16" t="e">
        <f t="shared" si="1818"/>
        <v>#N/A</v>
      </c>
      <c r="N1104" s="16" t="e">
        <f t="shared" si="1819"/>
        <v>#N/A</v>
      </c>
      <c r="O1104" s="16" t="s">
        <v>67</v>
      </c>
      <c r="P1104" s="16" t="str">
        <f t="shared" si="6"/>
        <v/>
      </c>
      <c r="Q1104" s="41" t="e">
        <f t="shared" si="1820"/>
        <v>#N/A</v>
      </c>
      <c r="R1104" s="44"/>
      <c r="S1104" s="44"/>
      <c r="T1104" s="43"/>
      <c r="U1104" s="43" t="str">
        <f t="shared" si="8"/>
        <v>No</v>
      </c>
      <c r="V1104" s="25"/>
      <c r="W1104" s="25"/>
      <c r="X1104" s="25"/>
      <c r="Y1104" s="25"/>
      <c r="Z1104" s="25"/>
    </row>
    <row r="1105" spans="1:26" ht="15.75" customHeight="1" x14ac:dyDescent="0.25">
      <c r="A1105" s="25">
        <v>1103</v>
      </c>
      <c r="B1105" s="37" t="e">
        <f t="shared" ref="B1105:D1105" si="2223">VLOOKUP($A1105,'[3]Gestión Pública'!$A$1:$O$251,B$1,0)</f>
        <v>#N/A</v>
      </c>
      <c r="C1105" s="38" t="e">
        <f t="shared" si="2223"/>
        <v>#N/A</v>
      </c>
      <c r="D1105" s="39" t="e">
        <f t="shared" si="2223"/>
        <v>#N/A</v>
      </c>
      <c r="E1105" s="16" t="e">
        <f t="shared" si="1"/>
        <v>#N/A</v>
      </c>
      <c r="F1105" s="16" t="e">
        <f t="shared" ref="F1105:K1105" si="2224">VLOOKUP($A1105,'[3]Gestión Pública'!$A$1:$O$251,F$1,0)</f>
        <v>#N/A</v>
      </c>
      <c r="G1105" s="39" t="e">
        <f t="shared" si="2224"/>
        <v>#N/A</v>
      </c>
      <c r="H1105" s="16" t="e">
        <f t="shared" si="2224"/>
        <v>#N/A</v>
      </c>
      <c r="I1105" s="16" t="e">
        <f t="shared" si="2224"/>
        <v>#N/A</v>
      </c>
      <c r="J1105" s="40" t="e">
        <f t="shared" si="2224"/>
        <v>#N/A</v>
      </c>
      <c r="K1105" s="16" t="e">
        <f t="shared" si="2224"/>
        <v>#N/A</v>
      </c>
      <c r="L1105" s="40" t="e">
        <f t="shared" si="1817"/>
        <v>#N/A</v>
      </c>
      <c r="M1105" s="16" t="e">
        <f t="shared" si="1818"/>
        <v>#N/A</v>
      </c>
      <c r="N1105" s="16" t="e">
        <f t="shared" si="1819"/>
        <v>#N/A</v>
      </c>
      <c r="O1105" s="16" t="s">
        <v>67</v>
      </c>
      <c r="P1105" s="16" t="str">
        <f t="shared" si="6"/>
        <v/>
      </c>
      <c r="Q1105" s="41" t="e">
        <f t="shared" si="1820"/>
        <v>#N/A</v>
      </c>
      <c r="R1105" s="44"/>
      <c r="S1105" s="44"/>
      <c r="T1105" s="43"/>
      <c r="U1105" s="43" t="str">
        <f t="shared" si="8"/>
        <v>No</v>
      </c>
      <c r="V1105" s="25"/>
      <c r="W1105" s="25"/>
      <c r="X1105" s="25"/>
      <c r="Y1105" s="25"/>
      <c r="Z1105" s="25"/>
    </row>
    <row r="1106" spans="1:26" ht="15.75" customHeight="1" x14ac:dyDescent="0.25">
      <c r="A1106" s="25">
        <v>1104</v>
      </c>
      <c r="B1106" s="37" t="e">
        <f t="shared" ref="B1106:D1106" si="2225">VLOOKUP($A1106,'[3]Gestión Pública'!$A$1:$O$251,B$1,0)</f>
        <v>#N/A</v>
      </c>
      <c r="C1106" s="38" t="e">
        <f t="shared" si="2225"/>
        <v>#N/A</v>
      </c>
      <c r="D1106" s="39" t="e">
        <f t="shared" si="2225"/>
        <v>#N/A</v>
      </c>
      <c r="E1106" s="16" t="e">
        <f t="shared" si="1"/>
        <v>#N/A</v>
      </c>
      <c r="F1106" s="16" t="e">
        <f t="shared" ref="F1106:K1106" si="2226">VLOOKUP($A1106,'[3]Gestión Pública'!$A$1:$O$251,F$1,0)</f>
        <v>#N/A</v>
      </c>
      <c r="G1106" s="39" t="e">
        <f t="shared" si="2226"/>
        <v>#N/A</v>
      </c>
      <c r="H1106" s="16" t="e">
        <f t="shared" si="2226"/>
        <v>#N/A</v>
      </c>
      <c r="I1106" s="16" t="e">
        <f t="shared" si="2226"/>
        <v>#N/A</v>
      </c>
      <c r="J1106" s="40" t="e">
        <f t="shared" si="2226"/>
        <v>#N/A</v>
      </c>
      <c r="K1106" s="16" t="e">
        <f t="shared" si="2226"/>
        <v>#N/A</v>
      </c>
      <c r="L1106" s="40" t="e">
        <f t="shared" si="1817"/>
        <v>#N/A</v>
      </c>
      <c r="M1106" s="16" t="e">
        <f t="shared" si="1818"/>
        <v>#N/A</v>
      </c>
      <c r="N1106" s="16" t="e">
        <f t="shared" si="1819"/>
        <v>#N/A</v>
      </c>
      <c r="O1106" s="16" t="s">
        <v>67</v>
      </c>
      <c r="P1106" s="16" t="str">
        <f t="shared" si="6"/>
        <v/>
      </c>
      <c r="Q1106" s="41" t="e">
        <f t="shared" si="1820"/>
        <v>#N/A</v>
      </c>
      <c r="R1106" s="44"/>
      <c r="S1106" s="44"/>
      <c r="T1106" s="43"/>
      <c r="U1106" s="43" t="str">
        <f t="shared" si="8"/>
        <v>No</v>
      </c>
      <c r="V1106" s="25"/>
      <c r="W1106" s="25"/>
      <c r="X1106" s="25"/>
      <c r="Y1106" s="25"/>
      <c r="Z1106" s="25"/>
    </row>
    <row r="1107" spans="1:26" ht="15.75" customHeight="1" x14ac:dyDescent="0.25">
      <c r="A1107" s="25">
        <v>1105</v>
      </c>
      <c r="B1107" s="37" t="e">
        <f t="shared" ref="B1107:D1107" si="2227">VLOOKUP($A1107,'[3]Gestión Pública'!$A$1:$O$251,B$1,0)</f>
        <v>#N/A</v>
      </c>
      <c r="C1107" s="38" t="e">
        <f t="shared" si="2227"/>
        <v>#N/A</v>
      </c>
      <c r="D1107" s="39" t="e">
        <f t="shared" si="2227"/>
        <v>#N/A</v>
      </c>
      <c r="E1107" s="16" t="e">
        <f t="shared" si="1"/>
        <v>#N/A</v>
      </c>
      <c r="F1107" s="16" t="e">
        <f t="shared" ref="F1107:K1107" si="2228">VLOOKUP($A1107,'[3]Gestión Pública'!$A$1:$O$251,F$1,0)</f>
        <v>#N/A</v>
      </c>
      <c r="G1107" s="39" t="e">
        <f t="shared" si="2228"/>
        <v>#N/A</v>
      </c>
      <c r="H1107" s="16" t="e">
        <f t="shared" si="2228"/>
        <v>#N/A</v>
      </c>
      <c r="I1107" s="16" t="e">
        <f t="shared" si="2228"/>
        <v>#N/A</v>
      </c>
      <c r="J1107" s="40" t="e">
        <f t="shared" si="2228"/>
        <v>#N/A</v>
      </c>
      <c r="K1107" s="16" t="e">
        <f t="shared" si="2228"/>
        <v>#N/A</v>
      </c>
      <c r="L1107" s="40" t="e">
        <f t="shared" si="1817"/>
        <v>#N/A</v>
      </c>
      <c r="M1107" s="16" t="e">
        <f t="shared" si="1818"/>
        <v>#N/A</v>
      </c>
      <c r="N1107" s="16" t="e">
        <f t="shared" si="1819"/>
        <v>#N/A</v>
      </c>
      <c r="O1107" s="16" t="s">
        <v>67</v>
      </c>
      <c r="P1107" s="16" t="str">
        <f t="shared" si="6"/>
        <v/>
      </c>
      <c r="Q1107" s="41" t="e">
        <f t="shared" si="1820"/>
        <v>#N/A</v>
      </c>
      <c r="R1107" s="44"/>
      <c r="S1107" s="44"/>
      <c r="T1107" s="43"/>
      <c r="U1107" s="43" t="str">
        <f t="shared" si="8"/>
        <v>No</v>
      </c>
      <c r="V1107" s="25"/>
      <c r="W1107" s="25"/>
      <c r="X1107" s="25"/>
      <c r="Y1107" s="25"/>
      <c r="Z1107" s="25"/>
    </row>
    <row r="1108" spans="1:26" ht="15.75" customHeight="1" x14ac:dyDescent="0.25">
      <c r="A1108" s="25">
        <v>1106</v>
      </c>
      <c r="B1108" s="37" t="e">
        <f t="shared" ref="B1108:D1108" si="2229">VLOOKUP($A1108,'[3]Gestión Pública'!$A$1:$O$251,B$1,0)</f>
        <v>#N/A</v>
      </c>
      <c r="C1108" s="38" t="e">
        <f t="shared" si="2229"/>
        <v>#N/A</v>
      </c>
      <c r="D1108" s="39" t="e">
        <f t="shared" si="2229"/>
        <v>#N/A</v>
      </c>
      <c r="E1108" s="16" t="e">
        <f t="shared" si="1"/>
        <v>#N/A</v>
      </c>
      <c r="F1108" s="16" t="e">
        <f t="shared" ref="F1108:K1108" si="2230">VLOOKUP($A1108,'[3]Gestión Pública'!$A$1:$O$251,F$1,0)</f>
        <v>#N/A</v>
      </c>
      <c r="G1108" s="39" t="e">
        <f t="shared" si="2230"/>
        <v>#N/A</v>
      </c>
      <c r="H1108" s="16" t="e">
        <f t="shared" si="2230"/>
        <v>#N/A</v>
      </c>
      <c r="I1108" s="16" t="e">
        <f t="shared" si="2230"/>
        <v>#N/A</v>
      </c>
      <c r="J1108" s="40" t="e">
        <f t="shared" si="2230"/>
        <v>#N/A</v>
      </c>
      <c r="K1108" s="16" t="e">
        <f t="shared" si="2230"/>
        <v>#N/A</v>
      </c>
      <c r="L1108" s="40" t="e">
        <f t="shared" si="1817"/>
        <v>#N/A</v>
      </c>
      <c r="M1108" s="16" t="e">
        <f t="shared" si="1818"/>
        <v>#N/A</v>
      </c>
      <c r="N1108" s="16" t="e">
        <f t="shared" si="1819"/>
        <v>#N/A</v>
      </c>
      <c r="O1108" s="16" t="s">
        <v>67</v>
      </c>
      <c r="P1108" s="16" t="str">
        <f t="shared" si="6"/>
        <v/>
      </c>
      <c r="Q1108" s="41" t="e">
        <f t="shared" si="1820"/>
        <v>#N/A</v>
      </c>
      <c r="R1108" s="44"/>
      <c r="S1108" s="44"/>
      <c r="T1108" s="43"/>
      <c r="U1108" s="43" t="str">
        <f t="shared" si="8"/>
        <v>No</v>
      </c>
      <c r="V1108" s="25"/>
      <c r="W1108" s="25"/>
      <c r="X1108" s="25"/>
      <c r="Y1108" s="25"/>
      <c r="Z1108" s="25"/>
    </row>
    <row r="1109" spans="1:26" ht="15.75" customHeight="1" x14ac:dyDescent="0.25">
      <c r="A1109" s="25">
        <v>1107</v>
      </c>
      <c r="B1109" s="37" t="e">
        <f t="shared" ref="B1109:D1109" si="2231">VLOOKUP($A1109,'[3]Gestión Pública'!$A$1:$O$251,B$1,0)</f>
        <v>#N/A</v>
      </c>
      <c r="C1109" s="38" t="e">
        <f t="shared" si="2231"/>
        <v>#N/A</v>
      </c>
      <c r="D1109" s="39" t="e">
        <f t="shared" si="2231"/>
        <v>#N/A</v>
      </c>
      <c r="E1109" s="16" t="e">
        <f t="shared" si="1"/>
        <v>#N/A</v>
      </c>
      <c r="F1109" s="16" t="e">
        <f t="shared" ref="F1109:K1109" si="2232">VLOOKUP($A1109,'[3]Gestión Pública'!$A$1:$O$251,F$1,0)</f>
        <v>#N/A</v>
      </c>
      <c r="G1109" s="39" t="e">
        <f t="shared" si="2232"/>
        <v>#N/A</v>
      </c>
      <c r="H1109" s="16" t="e">
        <f t="shared" si="2232"/>
        <v>#N/A</v>
      </c>
      <c r="I1109" s="16" t="e">
        <f t="shared" si="2232"/>
        <v>#N/A</v>
      </c>
      <c r="J1109" s="40" t="e">
        <f t="shared" si="2232"/>
        <v>#N/A</v>
      </c>
      <c r="K1109" s="16" t="e">
        <f t="shared" si="2232"/>
        <v>#N/A</v>
      </c>
      <c r="L1109" s="40" t="e">
        <f t="shared" si="1817"/>
        <v>#N/A</v>
      </c>
      <c r="M1109" s="16" t="e">
        <f t="shared" si="1818"/>
        <v>#N/A</v>
      </c>
      <c r="N1109" s="16" t="e">
        <f t="shared" si="1819"/>
        <v>#N/A</v>
      </c>
      <c r="O1109" s="16" t="s">
        <v>67</v>
      </c>
      <c r="P1109" s="16" t="str">
        <f t="shared" si="6"/>
        <v/>
      </c>
      <c r="Q1109" s="41" t="e">
        <f t="shared" si="1820"/>
        <v>#N/A</v>
      </c>
      <c r="R1109" s="44"/>
      <c r="S1109" s="44"/>
      <c r="T1109" s="43"/>
      <c r="U1109" s="43" t="str">
        <f t="shared" si="8"/>
        <v>No</v>
      </c>
      <c r="V1109" s="25"/>
      <c r="W1109" s="25"/>
      <c r="X1109" s="25"/>
      <c r="Y1109" s="25"/>
      <c r="Z1109" s="25"/>
    </row>
    <row r="1110" spans="1:26" ht="15.75" customHeight="1" x14ac:dyDescent="0.25">
      <c r="A1110" s="25">
        <v>1108</v>
      </c>
      <c r="B1110" s="37" t="e">
        <f t="shared" ref="B1110:D1110" si="2233">VLOOKUP($A1110,'[3]Gestión Pública'!$A$1:$O$251,B$1,0)</f>
        <v>#N/A</v>
      </c>
      <c r="C1110" s="38" t="e">
        <f t="shared" si="2233"/>
        <v>#N/A</v>
      </c>
      <c r="D1110" s="39" t="e">
        <f t="shared" si="2233"/>
        <v>#N/A</v>
      </c>
      <c r="E1110" s="16" t="e">
        <f t="shared" si="1"/>
        <v>#N/A</v>
      </c>
      <c r="F1110" s="16" t="e">
        <f t="shared" ref="F1110:K1110" si="2234">VLOOKUP($A1110,'[3]Gestión Pública'!$A$1:$O$251,F$1,0)</f>
        <v>#N/A</v>
      </c>
      <c r="G1110" s="39" t="e">
        <f t="shared" si="2234"/>
        <v>#N/A</v>
      </c>
      <c r="H1110" s="16" t="e">
        <f t="shared" si="2234"/>
        <v>#N/A</v>
      </c>
      <c r="I1110" s="16" t="e">
        <f t="shared" si="2234"/>
        <v>#N/A</v>
      </c>
      <c r="J1110" s="40" t="e">
        <f t="shared" si="2234"/>
        <v>#N/A</v>
      </c>
      <c r="K1110" s="16" t="e">
        <f t="shared" si="2234"/>
        <v>#N/A</v>
      </c>
      <c r="L1110" s="40" t="e">
        <f t="shared" si="1817"/>
        <v>#N/A</v>
      </c>
      <c r="M1110" s="16" t="e">
        <f t="shared" si="1818"/>
        <v>#N/A</v>
      </c>
      <c r="N1110" s="16" t="e">
        <f t="shared" si="1819"/>
        <v>#N/A</v>
      </c>
      <c r="O1110" s="16" t="s">
        <v>67</v>
      </c>
      <c r="P1110" s="16" t="str">
        <f t="shared" si="6"/>
        <v/>
      </c>
      <c r="Q1110" s="41" t="e">
        <f t="shared" si="1820"/>
        <v>#N/A</v>
      </c>
      <c r="R1110" s="44"/>
      <c r="S1110" s="44"/>
      <c r="T1110" s="43"/>
      <c r="U1110" s="43" t="str">
        <f t="shared" si="8"/>
        <v>No</v>
      </c>
      <c r="V1110" s="25"/>
      <c r="W1110" s="25"/>
      <c r="X1110" s="25"/>
      <c r="Y1110" s="25"/>
      <c r="Z1110" s="25"/>
    </row>
    <row r="1111" spans="1:26" ht="15.75" customHeight="1" x14ac:dyDescent="0.25">
      <c r="A1111" s="25">
        <v>1109</v>
      </c>
      <c r="B1111" s="37" t="e">
        <f t="shared" ref="B1111:D1111" si="2235">VLOOKUP($A1111,'[3]Gestión Pública'!$A$1:$O$251,B$1,0)</f>
        <v>#N/A</v>
      </c>
      <c r="C1111" s="38" t="e">
        <f t="shared" si="2235"/>
        <v>#N/A</v>
      </c>
      <c r="D1111" s="39" t="e">
        <f t="shared" si="2235"/>
        <v>#N/A</v>
      </c>
      <c r="E1111" s="16" t="e">
        <f t="shared" si="1"/>
        <v>#N/A</v>
      </c>
      <c r="F1111" s="16" t="e">
        <f t="shared" ref="F1111:K1111" si="2236">VLOOKUP($A1111,'[3]Gestión Pública'!$A$1:$O$251,F$1,0)</f>
        <v>#N/A</v>
      </c>
      <c r="G1111" s="39" t="e">
        <f t="shared" si="2236"/>
        <v>#N/A</v>
      </c>
      <c r="H1111" s="16" t="e">
        <f t="shared" si="2236"/>
        <v>#N/A</v>
      </c>
      <c r="I1111" s="16" t="e">
        <f t="shared" si="2236"/>
        <v>#N/A</v>
      </c>
      <c r="J1111" s="40" t="e">
        <f t="shared" si="2236"/>
        <v>#N/A</v>
      </c>
      <c r="K1111" s="16" t="e">
        <f t="shared" si="2236"/>
        <v>#N/A</v>
      </c>
      <c r="L1111" s="40" t="e">
        <f t="shared" si="1817"/>
        <v>#N/A</v>
      </c>
      <c r="M1111" s="16" t="e">
        <f t="shared" si="1818"/>
        <v>#N/A</v>
      </c>
      <c r="N1111" s="16" t="e">
        <f t="shared" si="1819"/>
        <v>#N/A</v>
      </c>
      <c r="O1111" s="16" t="s">
        <v>67</v>
      </c>
      <c r="P1111" s="16" t="str">
        <f t="shared" si="6"/>
        <v/>
      </c>
      <c r="Q1111" s="41" t="e">
        <f t="shared" si="1820"/>
        <v>#N/A</v>
      </c>
      <c r="R1111" s="44"/>
      <c r="S1111" s="44"/>
      <c r="T1111" s="43"/>
      <c r="U1111" s="43" t="str">
        <f t="shared" si="8"/>
        <v>No</v>
      </c>
      <c r="V1111" s="25"/>
      <c r="W1111" s="25"/>
      <c r="X1111" s="25"/>
      <c r="Y1111" s="25"/>
      <c r="Z1111" s="25"/>
    </row>
    <row r="1112" spans="1:26" ht="15.75" customHeight="1" x14ac:dyDescent="0.25">
      <c r="A1112" s="25">
        <v>1110</v>
      </c>
      <c r="B1112" s="37" t="e">
        <f t="shared" ref="B1112:D1112" si="2237">VLOOKUP($A1112,'[3]Gestión Pública'!$A$1:$O$251,B$1,0)</f>
        <v>#N/A</v>
      </c>
      <c r="C1112" s="38" t="e">
        <f t="shared" si="2237"/>
        <v>#N/A</v>
      </c>
      <c r="D1112" s="39" t="e">
        <f t="shared" si="2237"/>
        <v>#N/A</v>
      </c>
      <c r="E1112" s="16" t="e">
        <f t="shared" si="1"/>
        <v>#N/A</v>
      </c>
      <c r="F1112" s="16" t="e">
        <f t="shared" ref="F1112:K1112" si="2238">VLOOKUP($A1112,'[3]Gestión Pública'!$A$1:$O$251,F$1,0)</f>
        <v>#N/A</v>
      </c>
      <c r="G1112" s="39" t="e">
        <f t="shared" si="2238"/>
        <v>#N/A</v>
      </c>
      <c r="H1112" s="16" t="e">
        <f t="shared" si="2238"/>
        <v>#N/A</v>
      </c>
      <c r="I1112" s="16" t="e">
        <f t="shared" si="2238"/>
        <v>#N/A</v>
      </c>
      <c r="J1112" s="40" t="e">
        <f t="shared" si="2238"/>
        <v>#N/A</v>
      </c>
      <c r="K1112" s="16" t="e">
        <f t="shared" si="2238"/>
        <v>#N/A</v>
      </c>
      <c r="L1112" s="40" t="e">
        <f t="shared" si="1817"/>
        <v>#N/A</v>
      </c>
      <c r="M1112" s="16" t="e">
        <f t="shared" si="1818"/>
        <v>#N/A</v>
      </c>
      <c r="N1112" s="16" t="e">
        <f t="shared" si="1819"/>
        <v>#N/A</v>
      </c>
      <c r="O1112" s="16" t="s">
        <v>67</v>
      </c>
      <c r="P1112" s="16" t="str">
        <f t="shared" si="6"/>
        <v/>
      </c>
      <c r="Q1112" s="41" t="e">
        <f t="shared" si="1820"/>
        <v>#N/A</v>
      </c>
      <c r="R1112" s="44"/>
      <c r="S1112" s="44"/>
      <c r="T1112" s="43"/>
      <c r="U1112" s="43" t="str">
        <f t="shared" si="8"/>
        <v>No</v>
      </c>
      <c r="V1112" s="25"/>
      <c r="W1112" s="25"/>
      <c r="X1112" s="25"/>
      <c r="Y1112" s="25"/>
      <c r="Z1112" s="25"/>
    </row>
    <row r="1113" spans="1:26" ht="15.75" customHeight="1" x14ac:dyDescent="0.25">
      <c r="A1113" s="25">
        <v>1111</v>
      </c>
      <c r="B1113" s="37" t="e">
        <f t="shared" ref="B1113:D1113" si="2239">VLOOKUP($A1113,'[3]Gestión Pública'!$A$1:$O$251,B$1,0)</f>
        <v>#N/A</v>
      </c>
      <c r="C1113" s="38" t="e">
        <f t="shared" si="2239"/>
        <v>#N/A</v>
      </c>
      <c r="D1113" s="39" t="e">
        <f t="shared" si="2239"/>
        <v>#N/A</v>
      </c>
      <c r="E1113" s="16" t="e">
        <f t="shared" si="1"/>
        <v>#N/A</v>
      </c>
      <c r="F1113" s="16" t="e">
        <f t="shared" ref="F1113:K1113" si="2240">VLOOKUP($A1113,'[3]Gestión Pública'!$A$1:$O$251,F$1,0)</f>
        <v>#N/A</v>
      </c>
      <c r="G1113" s="39" t="e">
        <f t="shared" si="2240"/>
        <v>#N/A</v>
      </c>
      <c r="H1113" s="16" t="e">
        <f t="shared" si="2240"/>
        <v>#N/A</v>
      </c>
      <c r="I1113" s="16" t="e">
        <f t="shared" si="2240"/>
        <v>#N/A</v>
      </c>
      <c r="J1113" s="40" t="e">
        <f t="shared" si="2240"/>
        <v>#N/A</v>
      </c>
      <c r="K1113" s="16" t="e">
        <f t="shared" si="2240"/>
        <v>#N/A</v>
      </c>
      <c r="L1113" s="40" t="e">
        <f t="shared" si="1817"/>
        <v>#N/A</v>
      </c>
      <c r="M1113" s="16" t="e">
        <f t="shared" si="1818"/>
        <v>#N/A</v>
      </c>
      <c r="N1113" s="16" t="e">
        <f t="shared" si="1819"/>
        <v>#N/A</v>
      </c>
      <c r="O1113" s="16" t="s">
        <v>67</v>
      </c>
      <c r="P1113" s="16" t="str">
        <f t="shared" si="6"/>
        <v/>
      </c>
      <c r="Q1113" s="41" t="e">
        <f t="shared" si="1820"/>
        <v>#N/A</v>
      </c>
      <c r="R1113" s="44"/>
      <c r="S1113" s="44"/>
      <c r="T1113" s="43"/>
      <c r="U1113" s="43" t="str">
        <f t="shared" si="8"/>
        <v>No</v>
      </c>
      <c r="V1113" s="25"/>
      <c r="W1113" s="25"/>
      <c r="X1113" s="25"/>
      <c r="Y1113" s="25"/>
      <c r="Z1113" s="25"/>
    </row>
    <row r="1114" spans="1:26" ht="15.75" customHeight="1" x14ac:dyDescent="0.25">
      <c r="A1114" s="25">
        <v>1112</v>
      </c>
      <c r="B1114" s="37" t="e">
        <f t="shared" ref="B1114:D1114" si="2241">VLOOKUP($A1114,'[3]Gestión Pública'!$A$1:$O$251,B$1,0)</f>
        <v>#N/A</v>
      </c>
      <c r="C1114" s="38" t="e">
        <f t="shared" si="2241"/>
        <v>#N/A</v>
      </c>
      <c r="D1114" s="39" t="e">
        <f t="shared" si="2241"/>
        <v>#N/A</v>
      </c>
      <c r="E1114" s="16" t="e">
        <f t="shared" si="1"/>
        <v>#N/A</v>
      </c>
      <c r="F1114" s="16" t="e">
        <f t="shared" ref="F1114:K1114" si="2242">VLOOKUP($A1114,'[3]Gestión Pública'!$A$1:$O$251,F$1,0)</f>
        <v>#N/A</v>
      </c>
      <c r="G1114" s="39" t="e">
        <f t="shared" si="2242"/>
        <v>#N/A</v>
      </c>
      <c r="H1114" s="16" t="e">
        <f t="shared" si="2242"/>
        <v>#N/A</v>
      </c>
      <c r="I1114" s="16" t="e">
        <f t="shared" si="2242"/>
        <v>#N/A</v>
      </c>
      <c r="J1114" s="40" t="e">
        <f t="shared" si="2242"/>
        <v>#N/A</v>
      </c>
      <c r="K1114" s="16" t="e">
        <f t="shared" si="2242"/>
        <v>#N/A</v>
      </c>
      <c r="L1114" s="40" t="e">
        <f t="shared" si="1817"/>
        <v>#N/A</v>
      </c>
      <c r="M1114" s="16" t="e">
        <f t="shared" si="1818"/>
        <v>#N/A</v>
      </c>
      <c r="N1114" s="16" t="e">
        <f t="shared" si="1819"/>
        <v>#N/A</v>
      </c>
      <c r="O1114" s="16" t="s">
        <v>67</v>
      </c>
      <c r="P1114" s="16" t="str">
        <f t="shared" si="6"/>
        <v/>
      </c>
      <c r="Q1114" s="41" t="e">
        <f t="shared" si="1820"/>
        <v>#N/A</v>
      </c>
      <c r="R1114" s="44"/>
      <c r="S1114" s="44"/>
      <c r="T1114" s="43"/>
      <c r="U1114" s="43" t="str">
        <f t="shared" si="8"/>
        <v>No</v>
      </c>
      <c r="V1114" s="25"/>
      <c r="W1114" s="25"/>
      <c r="X1114" s="25"/>
      <c r="Y1114" s="25"/>
      <c r="Z1114" s="25"/>
    </row>
    <row r="1115" spans="1:26" ht="15.75" customHeight="1" x14ac:dyDescent="0.25">
      <c r="A1115" s="25">
        <v>1113</v>
      </c>
      <c r="B1115" s="37" t="e">
        <f t="shared" ref="B1115:D1115" si="2243">VLOOKUP($A1115,'[3]Gestión Pública'!$A$1:$O$251,B$1,0)</f>
        <v>#N/A</v>
      </c>
      <c r="C1115" s="38" t="e">
        <f t="shared" si="2243"/>
        <v>#N/A</v>
      </c>
      <c r="D1115" s="39" t="e">
        <f t="shared" si="2243"/>
        <v>#N/A</v>
      </c>
      <c r="E1115" s="16" t="e">
        <f t="shared" si="1"/>
        <v>#N/A</v>
      </c>
      <c r="F1115" s="16" t="e">
        <f t="shared" ref="F1115:K1115" si="2244">VLOOKUP($A1115,'[3]Gestión Pública'!$A$1:$O$251,F$1,0)</f>
        <v>#N/A</v>
      </c>
      <c r="G1115" s="39" t="e">
        <f t="shared" si="2244"/>
        <v>#N/A</v>
      </c>
      <c r="H1115" s="16" t="e">
        <f t="shared" si="2244"/>
        <v>#N/A</v>
      </c>
      <c r="I1115" s="16" t="e">
        <f t="shared" si="2244"/>
        <v>#N/A</v>
      </c>
      <c r="J1115" s="40" t="e">
        <f t="shared" si="2244"/>
        <v>#N/A</v>
      </c>
      <c r="K1115" s="16" t="e">
        <f t="shared" si="2244"/>
        <v>#N/A</v>
      </c>
      <c r="L1115" s="40" t="e">
        <f t="shared" si="1817"/>
        <v>#N/A</v>
      </c>
      <c r="M1115" s="16" t="e">
        <f t="shared" si="1818"/>
        <v>#N/A</v>
      </c>
      <c r="N1115" s="16" t="e">
        <f t="shared" si="1819"/>
        <v>#N/A</v>
      </c>
      <c r="O1115" s="16" t="s">
        <v>67</v>
      </c>
      <c r="P1115" s="16" t="str">
        <f t="shared" si="6"/>
        <v/>
      </c>
      <c r="Q1115" s="41" t="e">
        <f t="shared" si="1820"/>
        <v>#N/A</v>
      </c>
      <c r="R1115" s="44"/>
      <c r="S1115" s="44"/>
      <c r="T1115" s="43"/>
      <c r="U1115" s="43" t="str">
        <f t="shared" si="8"/>
        <v>No</v>
      </c>
      <c r="V1115" s="25"/>
      <c r="W1115" s="25"/>
      <c r="X1115" s="25"/>
      <c r="Y1115" s="25"/>
      <c r="Z1115" s="25"/>
    </row>
    <row r="1116" spans="1:26" ht="15.75" customHeight="1" x14ac:dyDescent="0.25">
      <c r="A1116" s="25">
        <v>1114</v>
      </c>
      <c r="B1116" s="37" t="e">
        <f t="shared" ref="B1116:D1116" si="2245">VLOOKUP($A1116,'[3]Gestión Pública'!$A$1:$O$251,B$1,0)</f>
        <v>#N/A</v>
      </c>
      <c r="C1116" s="38" t="e">
        <f t="shared" si="2245"/>
        <v>#N/A</v>
      </c>
      <c r="D1116" s="39" t="e">
        <f t="shared" si="2245"/>
        <v>#N/A</v>
      </c>
      <c r="E1116" s="16" t="e">
        <f t="shared" si="1"/>
        <v>#N/A</v>
      </c>
      <c r="F1116" s="16" t="e">
        <f t="shared" ref="F1116:K1116" si="2246">VLOOKUP($A1116,'[3]Gestión Pública'!$A$1:$O$251,F$1,0)</f>
        <v>#N/A</v>
      </c>
      <c r="G1116" s="39" t="e">
        <f t="shared" si="2246"/>
        <v>#N/A</v>
      </c>
      <c r="H1116" s="16" t="e">
        <f t="shared" si="2246"/>
        <v>#N/A</v>
      </c>
      <c r="I1116" s="16" t="e">
        <f t="shared" si="2246"/>
        <v>#N/A</v>
      </c>
      <c r="J1116" s="40" t="e">
        <f t="shared" si="2246"/>
        <v>#N/A</v>
      </c>
      <c r="K1116" s="16" t="e">
        <f t="shared" si="2246"/>
        <v>#N/A</v>
      </c>
      <c r="L1116" s="40" t="e">
        <f t="shared" si="1817"/>
        <v>#N/A</v>
      </c>
      <c r="M1116" s="16" t="e">
        <f t="shared" si="1818"/>
        <v>#N/A</v>
      </c>
      <c r="N1116" s="16" t="e">
        <f t="shared" si="1819"/>
        <v>#N/A</v>
      </c>
      <c r="O1116" s="16" t="s">
        <v>67</v>
      </c>
      <c r="P1116" s="16" t="str">
        <f t="shared" si="6"/>
        <v/>
      </c>
      <c r="Q1116" s="41" t="e">
        <f t="shared" si="1820"/>
        <v>#N/A</v>
      </c>
      <c r="R1116" s="44"/>
      <c r="S1116" s="44"/>
      <c r="T1116" s="43"/>
      <c r="U1116" s="43" t="str">
        <f t="shared" si="8"/>
        <v>No</v>
      </c>
      <c r="V1116" s="25"/>
      <c r="W1116" s="25"/>
      <c r="X1116" s="25"/>
      <c r="Y1116" s="25"/>
      <c r="Z1116" s="25"/>
    </row>
    <row r="1117" spans="1:26" ht="15.75" customHeight="1" x14ac:dyDescent="0.25">
      <c r="A1117" s="25">
        <v>1115</v>
      </c>
      <c r="B1117" s="37" t="e">
        <f t="shared" ref="B1117:D1117" si="2247">VLOOKUP($A1117,'[3]Gestión Pública'!$A$1:$O$251,B$1,0)</f>
        <v>#N/A</v>
      </c>
      <c r="C1117" s="38" t="e">
        <f t="shared" si="2247"/>
        <v>#N/A</v>
      </c>
      <c r="D1117" s="39" t="e">
        <f t="shared" si="2247"/>
        <v>#N/A</v>
      </c>
      <c r="E1117" s="16" t="e">
        <f t="shared" si="1"/>
        <v>#N/A</v>
      </c>
      <c r="F1117" s="16" t="e">
        <f t="shared" ref="F1117:K1117" si="2248">VLOOKUP($A1117,'[3]Gestión Pública'!$A$1:$O$251,F$1,0)</f>
        <v>#N/A</v>
      </c>
      <c r="G1117" s="39" t="e">
        <f t="shared" si="2248"/>
        <v>#N/A</v>
      </c>
      <c r="H1117" s="16" t="e">
        <f t="shared" si="2248"/>
        <v>#N/A</v>
      </c>
      <c r="I1117" s="16" t="e">
        <f t="shared" si="2248"/>
        <v>#N/A</v>
      </c>
      <c r="J1117" s="40" t="e">
        <f t="shared" si="2248"/>
        <v>#N/A</v>
      </c>
      <c r="K1117" s="16" t="e">
        <f t="shared" si="2248"/>
        <v>#N/A</v>
      </c>
      <c r="L1117" s="40" t="e">
        <f t="shared" si="1817"/>
        <v>#N/A</v>
      </c>
      <c r="M1117" s="16" t="e">
        <f t="shared" si="1818"/>
        <v>#N/A</v>
      </c>
      <c r="N1117" s="16" t="e">
        <f t="shared" si="1819"/>
        <v>#N/A</v>
      </c>
      <c r="O1117" s="16" t="s">
        <v>67</v>
      </c>
      <c r="P1117" s="16" t="str">
        <f t="shared" si="6"/>
        <v/>
      </c>
      <c r="Q1117" s="41" t="e">
        <f t="shared" si="1820"/>
        <v>#N/A</v>
      </c>
      <c r="R1117" s="44"/>
      <c r="S1117" s="44"/>
      <c r="T1117" s="43"/>
      <c r="U1117" s="43" t="str">
        <f t="shared" si="8"/>
        <v>No</v>
      </c>
      <c r="V1117" s="25"/>
      <c r="W1117" s="25"/>
      <c r="X1117" s="25"/>
      <c r="Y1117" s="25"/>
      <c r="Z1117" s="25"/>
    </row>
    <row r="1118" spans="1:26" ht="15.75" customHeight="1" x14ac:dyDescent="0.25">
      <c r="A1118" s="25">
        <v>1116</v>
      </c>
      <c r="B1118" s="37" t="e">
        <f t="shared" ref="B1118:D1118" si="2249">VLOOKUP($A1118,'[3]Gestión Pública'!$A$1:$O$251,B$1,0)</f>
        <v>#N/A</v>
      </c>
      <c r="C1118" s="38" t="e">
        <f t="shared" si="2249"/>
        <v>#N/A</v>
      </c>
      <c r="D1118" s="39" t="e">
        <f t="shared" si="2249"/>
        <v>#N/A</v>
      </c>
      <c r="E1118" s="16" t="e">
        <f t="shared" si="1"/>
        <v>#N/A</v>
      </c>
      <c r="F1118" s="16" t="e">
        <f t="shared" ref="F1118:K1118" si="2250">VLOOKUP($A1118,'[3]Gestión Pública'!$A$1:$O$251,F$1,0)</f>
        <v>#N/A</v>
      </c>
      <c r="G1118" s="39" t="e">
        <f t="shared" si="2250"/>
        <v>#N/A</v>
      </c>
      <c r="H1118" s="16" t="e">
        <f t="shared" si="2250"/>
        <v>#N/A</v>
      </c>
      <c r="I1118" s="16" t="e">
        <f t="shared" si="2250"/>
        <v>#N/A</v>
      </c>
      <c r="J1118" s="40" t="e">
        <f t="shared" si="2250"/>
        <v>#N/A</v>
      </c>
      <c r="K1118" s="16" t="e">
        <f t="shared" si="2250"/>
        <v>#N/A</v>
      </c>
      <c r="L1118" s="40" t="e">
        <f t="shared" si="1817"/>
        <v>#N/A</v>
      </c>
      <c r="M1118" s="16" t="e">
        <f t="shared" si="1818"/>
        <v>#N/A</v>
      </c>
      <c r="N1118" s="16" t="e">
        <f t="shared" si="1819"/>
        <v>#N/A</v>
      </c>
      <c r="O1118" s="16" t="s">
        <v>67</v>
      </c>
      <c r="P1118" s="16" t="str">
        <f t="shared" si="6"/>
        <v/>
      </c>
      <c r="Q1118" s="41" t="e">
        <f t="shared" si="1820"/>
        <v>#N/A</v>
      </c>
      <c r="R1118" s="44"/>
      <c r="S1118" s="44"/>
      <c r="T1118" s="43"/>
      <c r="U1118" s="43" t="str">
        <f t="shared" si="8"/>
        <v>No</v>
      </c>
      <c r="V1118" s="25"/>
      <c r="W1118" s="25"/>
      <c r="X1118" s="25"/>
      <c r="Y1118" s="25"/>
      <c r="Z1118" s="25"/>
    </row>
    <row r="1119" spans="1:26" ht="15.75" customHeight="1" x14ac:dyDescent="0.25">
      <c r="A1119" s="25">
        <v>1117</v>
      </c>
      <c r="B1119" s="37" t="e">
        <f t="shared" ref="B1119:D1119" si="2251">VLOOKUP($A1119,'[3]Gestión Pública'!$A$1:$O$251,B$1,0)</f>
        <v>#N/A</v>
      </c>
      <c r="C1119" s="38" t="e">
        <f t="shared" si="2251"/>
        <v>#N/A</v>
      </c>
      <c r="D1119" s="39" t="e">
        <f t="shared" si="2251"/>
        <v>#N/A</v>
      </c>
      <c r="E1119" s="16" t="e">
        <f t="shared" si="1"/>
        <v>#N/A</v>
      </c>
      <c r="F1119" s="16" t="e">
        <f t="shared" ref="F1119:K1119" si="2252">VLOOKUP($A1119,'[3]Gestión Pública'!$A$1:$O$251,F$1,0)</f>
        <v>#N/A</v>
      </c>
      <c r="G1119" s="39" t="e">
        <f t="shared" si="2252"/>
        <v>#N/A</v>
      </c>
      <c r="H1119" s="16" t="e">
        <f t="shared" si="2252"/>
        <v>#N/A</v>
      </c>
      <c r="I1119" s="16" t="e">
        <f t="shared" si="2252"/>
        <v>#N/A</v>
      </c>
      <c r="J1119" s="40" t="e">
        <f t="shared" si="2252"/>
        <v>#N/A</v>
      </c>
      <c r="K1119" s="16" t="e">
        <f t="shared" si="2252"/>
        <v>#N/A</v>
      </c>
      <c r="L1119" s="40" t="e">
        <f t="shared" si="1817"/>
        <v>#N/A</v>
      </c>
      <c r="M1119" s="16" t="e">
        <f t="shared" si="1818"/>
        <v>#N/A</v>
      </c>
      <c r="N1119" s="16" t="e">
        <f t="shared" si="1819"/>
        <v>#N/A</v>
      </c>
      <c r="O1119" s="16" t="s">
        <v>67</v>
      </c>
      <c r="P1119" s="16" t="str">
        <f t="shared" si="6"/>
        <v/>
      </c>
      <c r="Q1119" s="41" t="e">
        <f t="shared" si="1820"/>
        <v>#N/A</v>
      </c>
      <c r="R1119" s="44"/>
      <c r="S1119" s="44"/>
      <c r="T1119" s="43"/>
      <c r="U1119" s="43" t="str">
        <f t="shared" si="8"/>
        <v>No</v>
      </c>
      <c r="V1119" s="25"/>
      <c r="W1119" s="25"/>
      <c r="X1119" s="25"/>
      <c r="Y1119" s="25"/>
      <c r="Z1119" s="25"/>
    </row>
    <row r="1120" spans="1:26" ht="15.75" customHeight="1" x14ac:dyDescent="0.25">
      <c r="A1120" s="25">
        <v>1118</v>
      </c>
      <c r="B1120" s="37" t="e">
        <f t="shared" ref="B1120:D1120" si="2253">VLOOKUP($A1120,'[3]Gestión Pública'!$A$1:$O$251,B$1,0)</f>
        <v>#N/A</v>
      </c>
      <c r="C1120" s="38" t="e">
        <f t="shared" si="2253"/>
        <v>#N/A</v>
      </c>
      <c r="D1120" s="39" t="e">
        <f t="shared" si="2253"/>
        <v>#N/A</v>
      </c>
      <c r="E1120" s="16" t="e">
        <f t="shared" si="1"/>
        <v>#N/A</v>
      </c>
      <c r="F1120" s="16" t="e">
        <f t="shared" ref="F1120:K1120" si="2254">VLOOKUP($A1120,'[3]Gestión Pública'!$A$1:$O$251,F$1,0)</f>
        <v>#N/A</v>
      </c>
      <c r="G1120" s="39" t="e">
        <f t="shared" si="2254"/>
        <v>#N/A</v>
      </c>
      <c r="H1120" s="16" t="e">
        <f t="shared" si="2254"/>
        <v>#N/A</v>
      </c>
      <c r="I1120" s="16" t="e">
        <f t="shared" si="2254"/>
        <v>#N/A</v>
      </c>
      <c r="J1120" s="40" t="e">
        <f t="shared" si="2254"/>
        <v>#N/A</v>
      </c>
      <c r="K1120" s="16" t="e">
        <f t="shared" si="2254"/>
        <v>#N/A</v>
      </c>
      <c r="L1120" s="40" t="e">
        <f t="shared" si="1817"/>
        <v>#N/A</v>
      </c>
      <c r="M1120" s="16" t="e">
        <f t="shared" si="1818"/>
        <v>#N/A</v>
      </c>
      <c r="N1120" s="16" t="e">
        <f t="shared" si="1819"/>
        <v>#N/A</v>
      </c>
      <c r="O1120" s="16" t="s">
        <v>67</v>
      </c>
      <c r="P1120" s="16" t="str">
        <f t="shared" si="6"/>
        <v/>
      </c>
      <c r="Q1120" s="41" t="e">
        <f t="shared" si="1820"/>
        <v>#N/A</v>
      </c>
      <c r="R1120" s="44"/>
      <c r="S1120" s="44"/>
      <c r="T1120" s="43"/>
      <c r="U1120" s="43" t="str">
        <f t="shared" si="8"/>
        <v>No</v>
      </c>
      <c r="V1120" s="25"/>
      <c r="W1120" s="25"/>
      <c r="X1120" s="25"/>
      <c r="Y1120" s="25"/>
      <c r="Z1120" s="25"/>
    </row>
    <row r="1121" spans="1:26" ht="15.75" customHeight="1" x14ac:dyDescent="0.25">
      <c r="A1121" s="25">
        <v>1119</v>
      </c>
      <c r="B1121" s="37" t="e">
        <f t="shared" ref="B1121:D1121" si="2255">VLOOKUP($A1121,'[3]Gestión Pública'!$A$1:$O$251,B$1,0)</f>
        <v>#N/A</v>
      </c>
      <c r="C1121" s="38" t="e">
        <f t="shared" si="2255"/>
        <v>#N/A</v>
      </c>
      <c r="D1121" s="39" t="e">
        <f t="shared" si="2255"/>
        <v>#N/A</v>
      </c>
      <c r="E1121" s="16" t="e">
        <f t="shared" si="1"/>
        <v>#N/A</v>
      </c>
      <c r="F1121" s="16" t="e">
        <f t="shared" ref="F1121:K1121" si="2256">VLOOKUP($A1121,'[3]Gestión Pública'!$A$1:$O$251,F$1,0)</f>
        <v>#N/A</v>
      </c>
      <c r="G1121" s="39" t="e">
        <f t="shared" si="2256"/>
        <v>#N/A</v>
      </c>
      <c r="H1121" s="16" t="e">
        <f t="shared" si="2256"/>
        <v>#N/A</v>
      </c>
      <c r="I1121" s="16" t="e">
        <f t="shared" si="2256"/>
        <v>#N/A</v>
      </c>
      <c r="J1121" s="40" t="e">
        <f t="shared" si="2256"/>
        <v>#N/A</v>
      </c>
      <c r="K1121" s="16" t="e">
        <f t="shared" si="2256"/>
        <v>#N/A</v>
      </c>
      <c r="L1121" s="40" t="e">
        <f t="shared" si="1817"/>
        <v>#N/A</v>
      </c>
      <c r="M1121" s="16" t="e">
        <f t="shared" si="1818"/>
        <v>#N/A</v>
      </c>
      <c r="N1121" s="16" t="e">
        <f t="shared" si="1819"/>
        <v>#N/A</v>
      </c>
      <c r="O1121" s="16" t="s">
        <v>67</v>
      </c>
      <c r="P1121" s="16" t="str">
        <f t="shared" si="6"/>
        <v/>
      </c>
      <c r="Q1121" s="41" t="e">
        <f t="shared" si="1820"/>
        <v>#N/A</v>
      </c>
      <c r="R1121" s="44"/>
      <c r="S1121" s="44"/>
      <c r="T1121" s="43"/>
      <c r="U1121" s="43" t="str">
        <f t="shared" si="8"/>
        <v>No</v>
      </c>
      <c r="V1121" s="25"/>
      <c r="W1121" s="25"/>
      <c r="X1121" s="25"/>
      <c r="Y1121" s="25"/>
      <c r="Z1121" s="25"/>
    </row>
    <row r="1122" spans="1:26" ht="15.75" customHeight="1" x14ac:dyDescent="0.25">
      <c r="A1122" s="25">
        <v>1120</v>
      </c>
      <c r="B1122" s="37" t="e">
        <f t="shared" ref="B1122:D1122" si="2257">VLOOKUP($A1122,'[3]Gestión Pública'!$A$1:$O$251,B$1,0)</f>
        <v>#N/A</v>
      </c>
      <c r="C1122" s="38" t="e">
        <f t="shared" si="2257"/>
        <v>#N/A</v>
      </c>
      <c r="D1122" s="39" t="e">
        <f t="shared" si="2257"/>
        <v>#N/A</v>
      </c>
      <c r="E1122" s="16" t="e">
        <f t="shared" si="1"/>
        <v>#N/A</v>
      </c>
      <c r="F1122" s="16" t="e">
        <f t="shared" ref="F1122:K1122" si="2258">VLOOKUP($A1122,'[3]Gestión Pública'!$A$1:$O$251,F$1,0)</f>
        <v>#N/A</v>
      </c>
      <c r="G1122" s="39" t="e">
        <f t="shared" si="2258"/>
        <v>#N/A</v>
      </c>
      <c r="H1122" s="16" t="e">
        <f t="shared" si="2258"/>
        <v>#N/A</v>
      </c>
      <c r="I1122" s="16" t="e">
        <f t="shared" si="2258"/>
        <v>#N/A</v>
      </c>
      <c r="J1122" s="40" t="e">
        <f t="shared" si="2258"/>
        <v>#N/A</v>
      </c>
      <c r="K1122" s="16" t="e">
        <f t="shared" si="2258"/>
        <v>#N/A</v>
      </c>
      <c r="L1122" s="40" t="e">
        <f t="shared" si="1817"/>
        <v>#N/A</v>
      </c>
      <c r="M1122" s="16" t="e">
        <f t="shared" si="1818"/>
        <v>#N/A</v>
      </c>
      <c r="N1122" s="16" t="e">
        <f t="shared" si="1819"/>
        <v>#N/A</v>
      </c>
      <c r="O1122" s="16" t="s">
        <v>67</v>
      </c>
      <c r="P1122" s="16" t="str">
        <f t="shared" si="6"/>
        <v/>
      </c>
      <c r="Q1122" s="41" t="e">
        <f t="shared" si="1820"/>
        <v>#N/A</v>
      </c>
      <c r="R1122" s="44"/>
      <c r="S1122" s="44"/>
      <c r="T1122" s="43"/>
      <c r="U1122" s="43" t="str">
        <f t="shared" si="8"/>
        <v>No</v>
      </c>
      <c r="V1122" s="25"/>
      <c r="W1122" s="25"/>
      <c r="X1122" s="25"/>
      <c r="Y1122" s="25"/>
      <c r="Z1122" s="25"/>
    </row>
    <row r="1123" spans="1:26" ht="15.75" customHeight="1" x14ac:dyDescent="0.25">
      <c r="A1123" s="25">
        <v>1121</v>
      </c>
      <c r="B1123" s="37" t="e">
        <f t="shared" ref="B1123:D1123" si="2259">VLOOKUP($A1123,'[3]Gestión Pública'!$A$1:$O$251,B$1,0)</f>
        <v>#N/A</v>
      </c>
      <c r="C1123" s="38" t="e">
        <f t="shared" si="2259"/>
        <v>#N/A</v>
      </c>
      <c r="D1123" s="39" t="e">
        <f t="shared" si="2259"/>
        <v>#N/A</v>
      </c>
      <c r="E1123" s="16" t="e">
        <f t="shared" si="1"/>
        <v>#N/A</v>
      </c>
      <c r="F1123" s="16" t="e">
        <f t="shared" ref="F1123:K1123" si="2260">VLOOKUP($A1123,'[3]Gestión Pública'!$A$1:$O$251,F$1,0)</f>
        <v>#N/A</v>
      </c>
      <c r="G1123" s="39" t="e">
        <f t="shared" si="2260"/>
        <v>#N/A</v>
      </c>
      <c r="H1123" s="16" t="e">
        <f t="shared" si="2260"/>
        <v>#N/A</v>
      </c>
      <c r="I1123" s="16" t="e">
        <f t="shared" si="2260"/>
        <v>#N/A</v>
      </c>
      <c r="J1123" s="40" t="e">
        <f t="shared" si="2260"/>
        <v>#N/A</v>
      </c>
      <c r="K1123" s="16" t="e">
        <f t="shared" si="2260"/>
        <v>#N/A</v>
      </c>
      <c r="L1123" s="40" t="e">
        <f t="shared" si="1817"/>
        <v>#N/A</v>
      </c>
      <c r="M1123" s="16" t="e">
        <f t="shared" si="1818"/>
        <v>#N/A</v>
      </c>
      <c r="N1123" s="16" t="e">
        <f t="shared" si="1819"/>
        <v>#N/A</v>
      </c>
      <c r="O1123" s="16" t="s">
        <v>67</v>
      </c>
      <c r="P1123" s="16" t="str">
        <f t="shared" si="6"/>
        <v/>
      </c>
      <c r="Q1123" s="41" t="e">
        <f t="shared" si="1820"/>
        <v>#N/A</v>
      </c>
      <c r="R1123" s="44"/>
      <c r="S1123" s="44"/>
      <c r="T1123" s="43"/>
      <c r="U1123" s="43" t="str">
        <f t="shared" si="8"/>
        <v>No</v>
      </c>
      <c r="V1123" s="25"/>
      <c r="W1123" s="25"/>
      <c r="X1123" s="25"/>
      <c r="Y1123" s="25"/>
      <c r="Z1123" s="25"/>
    </row>
    <row r="1124" spans="1:26" ht="15.75" customHeight="1" x14ac:dyDescent="0.25">
      <c r="A1124" s="25">
        <v>1122</v>
      </c>
      <c r="B1124" s="37" t="e">
        <f t="shared" ref="B1124:D1124" si="2261">VLOOKUP($A1124,'[3]Gestión Pública'!$A$1:$O$251,B$1,0)</f>
        <v>#N/A</v>
      </c>
      <c r="C1124" s="38" t="e">
        <f t="shared" si="2261"/>
        <v>#N/A</v>
      </c>
      <c r="D1124" s="39" t="e">
        <f t="shared" si="2261"/>
        <v>#N/A</v>
      </c>
      <c r="E1124" s="16" t="e">
        <f t="shared" si="1"/>
        <v>#N/A</v>
      </c>
      <c r="F1124" s="16" t="e">
        <f t="shared" ref="F1124:K1124" si="2262">VLOOKUP($A1124,'[3]Gestión Pública'!$A$1:$O$251,F$1,0)</f>
        <v>#N/A</v>
      </c>
      <c r="G1124" s="39" t="e">
        <f t="shared" si="2262"/>
        <v>#N/A</v>
      </c>
      <c r="H1124" s="16" t="e">
        <f t="shared" si="2262"/>
        <v>#N/A</v>
      </c>
      <c r="I1124" s="16" t="e">
        <f t="shared" si="2262"/>
        <v>#N/A</v>
      </c>
      <c r="J1124" s="40" t="e">
        <f t="shared" si="2262"/>
        <v>#N/A</v>
      </c>
      <c r="K1124" s="16" t="e">
        <f t="shared" si="2262"/>
        <v>#N/A</v>
      </c>
      <c r="L1124" s="40" t="e">
        <f t="shared" si="1817"/>
        <v>#N/A</v>
      </c>
      <c r="M1124" s="16" t="e">
        <f t="shared" si="1818"/>
        <v>#N/A</v>
      </c>
      <c r="N1124" s="16" t="e">
        <f t="shared" si="1819"/>
        <v>#N/A</v>
      </c>
      <c r="O1124" s="16" t="s">
        <v>67</v>
      </c>
      <c r="P1124" s="16" t="str">
        <f t="shared" si="6"/>
        <v/>
      </c>
      <c r="Q1124" s="41" t="e">
        <f t="shared" si="1820"/>
        <v>#N/A</v>
      </c>
      <c r="R1124" s="44"/>
      <c r="S1124" s="44"/>
      <c r="T1124" s="43"/>
      <c r="U1124" s="43" t="str">
        <f t="shared" si="8"/>
        <v>No</v>
      </c>
      <c r="V1124" s="25"/>
      <c r="W1124" s="25"/>
      <c r="X1124" s="25"/>
      <c r="Y1124" s="25"/>
      <c r="Z1124" s="25"/>
    </row>
    <row r="1125" spans="1:26" ht="15.75" customHeight="1" x14ac:dyDescent="0.25">
      <c r="A1125" s="25">
        <v>1123</v>
      </c>
      <c r="B1125" s="37" t="e">
        <f t="shared" ref="B1125:D1125" si="2263">VLOOKUP($A1125,'[3]Gestión Pública'!$A$1:$O$251,B$1,0)</f>
        <v>#N/A</v>
      </c>
      <c r="C1125" s="38" t="e">
        <f t="shared" si="2263"/>
        <v>#N/A</v>
      </c>
      <c r="D1125" s="39" t="e">
        <f t="shared" si="2263"/>
        <v>#N/A</v>
      </c>
      <c r="E1125" s="16" t="e">
        <f t="shared" si="1"/>
        <v>#N/A</v>
      </c>
      <c r="F1125" s="16" t="e">
        <f t="shared" ref="F1125:K1125" si="2264">VLOOKUP($A1125,'[3]Gestión Pública'!$A$1:$O$251,F$1,0)</f>
        <v>#N/A</v>
      </c>
      <c r="G1125" s="39" t="e">
        <f t="shared" si="2264"/>
        <v>#N/A</v>
      </c>
      <c r="H1125" s="16" t="e">
        <f t="shared" si="2264"/>
        <v>#N/A</v>
      </c>
      <c r="I1125" s="16" t="e">
        <f t="shared" si="2264"/>
        <v>#N/A</v>
      </c>
      <c r="J1125" s="40" t="e">
        <f t="shared" si="2264"/>
        <v>#N/A</v>
      </c>
      <c r="K1125" s="16" t="e">
        <f t="shared" si="2264"/>
        <v>#N/A</v>
      </c>
      <c r="L1125" s="40" t="e">
        <f t="shared" si="1817"/>
        <v>#N/A</v>
      </c>
      <c r="M1125" s="16" t="e">
        <f t="shared" si="1818"/>
        <v>#N/A</v>
      </c>
      <c r="N1125" s="16" t="e">
        <f t="shared" si="1819"/>
        <v>#N/A</v>
      </c>
      <c r="O1125" s="16" t="s">
        <v>67</v>
      </c>
      <c r="P1125" s="16" t="str">
        <f t="shared" si="6"/>
        <v/>
      </c>
      <c r="Q1125" s="41" t="e">
        <f t="shared" si="1820"/>
        <v>#N/A</v>
      </c>
      <c r="R1125" s="44"/>
      <c r="S1125" s="44"/>
      <c r="T1125" s="43"/>
      <c r="U1125" s="43" t="str">
        <f t="shared" si="8"/>
        <v>No</v>
      </c>
      <c r="V1125" s="25"/>
      <c r="W1125" s="25"/>
      <c r="X1125" s="25"/>
      <c r="Y1125" s="25"/>
      <c r="Z1125" s="25"/>
    </row>
    <row r="1126" spans="1:26" ht="15.75" customHeight="1" x14ac:dyDescent="0.25">
      <c r="A1126" s="25">
        <v>1124</v>
      </c>
      <c r="B1126" s="37" t="e">
        <f t="shared" ref="B1126:D1126" si="2265">VLOOKUP($A1126,'[3]Gestión Pública'!$A$1:$O$251,B$1,0)</f>
        <v>#N/A</v>
      </c>
      <c r="C1126" s="38" t="e">
        <f t="shared" si="2265"/>
        <v>#N/A</v>
      </c>
      <c r="D1126" s="39" t="e">
        <f t="shared" si="2265"/>
        <v>#N/A</v>
      </c>
      <c r="E1126" s="16" t="e">
        <f t="shared" si="1"/>
        <v>#N/A</v>
      </c>
      <c r="F1126" s="16" t="e">
        <f t="shared" ref="F1126:K1126" si="2266">VLOOKUP($A1126,'[3]Gestión Pública'!$A$1:$O$251,F$1,0)</f>
        <v>#N/A</v>
      </c>
      <c r="G1126" s="39" t="e">
        <f t="shared" si="2266"/>
        <v>#N/A</v>
      </c>
      <c r="H1126" s="16" t="e">
        <f t="shared" si="2266"/>
        <v>#N/A</v>
      </c>
      <c r="I1126" s="16" t="e">
        <f t="shared" si="2266"/>
        <v>#N/A</v>
      </c>
      <c r="J1126" s="40" t="e">
        <f t="shared" si="2266"/>
        <v>#N/A</v>
      </c>
      <c r="K1126" s="16" t="e">
        <f t="shared" si="2266"/>
        <v>#N/A</v>
      </c>
      <c r="L1126" s="40" t="e">
        <f t="shared" si="1817"/>
        <v>#N/A</v>
      </c>
      <c r="M1126" s="16" t="e">
        <f t="shared" si="1818"/>
        <v>#N/A</v>
      </c>
      <c r="N1126" s="16" t="e">
        <f t="shared" si="1819"/>
        <v>#N/A</v>
      </c>
      <c r="O1126" s="16" t="s">
        <v>67</v>
      </c>
      <c r="P1126" s="16" t="str">
        <f t="shared" si="6"/>
        <v/>
      </c>
      <c r="Q1126" s="41" t="e">
        <f t="shared" si="1820"/>
        <v>#N/A</v>
      </c>
      <c r="R1126" s="44"/>
      <c r="S1126" s="44"/>
      <c r="T1126" s="43"/>
      <c r="U1126" s="43" t="str">
        <f t="shared" si="8"/>
        <v>No</v>
      </c>
      <c r="V1126" s="25"/>
      <c r="W1126" s="25"/>
      <c r="X1126" s="25"/>
      <c r="Y1126" s="25"/>
      <c r="Z1126" s="25"/>
    </row>
    <row r="1127" spans="1:26" ht="15.75" customHeight="1" x14ac:dyDescent="0.25">
      <c r="A1127" s="25">
        <v>1125</v>
      </c>
      <c r="B1127" s="37" t="e">
        <f t="shared" ref="B1127:D1127" si="2267">VLOOKUP($A1127,'[3]Gestión Pública'!$A$1:$O$251,B$1,0)</f>
        <v>#N/A</v>
      </c>
      <c r="C1127" s="38" t="e">
        <f t="shared" si="2267"/>
        <v>#N/A</v>
      </c>
      <c r="D1127" s="39" t="e">
        <f t="shared" si="2267"/>
        <v>#N/A</v>
      </c>
      <c r="E1127" s="16" t="e">
        <f t="shared" si="1"/>
        <v>#N/A</v>
      </c>
      <c r="F1127" s="16" t="e">
        <f t="shared" ref="F1127:K1127" si="2268">VLOOKUP($A1127,'[3]Gestión Pública'!$A$1:$O$251,F$1,0)</f>
        <v>#N/A</v>
      </c>
      <c r="G1127" s="39" t="e">
        <f t="shared" si="2268"/>
        <v>#N/A</v>
      </c>
      <c r="H1127" s="16" t="e">
        <f t="shared" si="2268"/>
        <v>#N/A</v>
      </c>
      <c r="I1127" s="16" t="e">
        <f t="shared" si="2268"/>
        <v>#N/A</v>
      </c>
      <c r="J1127" s="40" t="e">
        <f t="shared" si="2268"/>
        <v>#N/A</v>
      </c>
      <c r="K1127" s="16" t="e">
        <f t="shared" si="2268"/>
        <v>#N/A</v>
      </c>
      <c r="L1127" s="40" t="e">
        <f t="shared" si="1817"/>
        <v>#N/A</v>
      </c>
      <c r="M1127" s="16" t="e">
        <f t="shared" si="1818"/>
        <v>#N/A</v>
      </c>
      <c r="N1127" s="16" t="e">
        <f t="shared" si="1819"/>
        <v>#N/A</v>
      </c>
      <c r="O1127" s="16" t="s">
        <v>67</v>
      </c>
      <c r="P1127" s="16" t="str">
        <f t="shared" si="6"/>
        <v/>
      </c>
      <c r="Q1127" s="41" t="e">
        <f t="shared" si="1820"/>
        <v>#N/A</v>
      </c>
      <c r="R1127" s="44"/>
      <c r="S1127" s="44"/>
      <c r="T1127" s="43"/>
      <c r="U1127" s="43" t="str">
        <f t="shared" si="8"/>
        <v>No</v>
      </c>
      <c r="V1127" s="25"/>
      <c r="W1127" s="25"/>
      <c r="X1127" s="25"/>
      <c r="Y1127" s="25"/>
      <c r="Z1127" s="25"/>
    </row>
    <row r="1128" spans="1:26" ht="15.75" customHeight="1" x14ac:dyDescent="0.25">
      <c r="A1128" s="25">
        <v>1126</v>
      </c>
      <c r="B1128" s="37" t="e">
        <f t="shared" ref="B1128:D1128" si="2269">VLOOKUP($A1128,'[3]Gestión Pública'!$A$1:$O$251,B$1,0)</f>
        <v>#N/A</v>
      </c>
      <c r="C1128" s="38" t="e">
        <f t="shared" si="2269"/>
        <v>#N/A</v>
      </c>
      <c r="D1128" s="39" t="e">
        <f t="shared" si="2269"/>
        <v>#N/A</v>
      </c>
      <c r="E1128" s="16" t="e">
        <f t="shared" si="1"/>
        <v>#N/A</v>
      </c>
      <c r="F1128" s="16" t="e">
        <f t="shared" ref="F1128:K1128" si="2270">VLOOKUP($A1128,'[3]Gestión Pública'!$A$1:$O$251,F$1,0)</f>
        <v>#N/A</v>
      </c>
      <c r="G1128" s="39" t="e">
        <f t="shared" si="2270"/>
        <v>#N/A</v>
      </c>
      <c r="H1128" s="16" t="e">
        <f t="shared" si="2270"/>
        <v>#N/A</v>
      </c>
      <c r="I1128" s="16" t="e">
        <f t="shared" si="2270"/>
        <v>#N/A</v>
      </c>
      <c r="J1128" s="40" t="e">
        <f t="shared" si="2270"/>
        <v>#N/A</v>
      </c>
      <c r="K1128" s="16" t="e">
        <f t="shared" si="2270"/>
        <v>#N/A</v>
      </c>
      <c r="L1128" s="40" t="e">
        <f t="shared" si="1817"/>
        <v>#N/A</v>
      </c>
      <c r="M1128" s="16" t="e">
        <f t="shared" si="1818"/>
        <v>#N/A</v>
      </c>
      <c r="N1128" s="16" t="e">
        <f t="shared" si="1819"/>
        <v>#N/A</v>
      </c>
      <c r="O1128" s="16" t="s">
        <v>67</v>
      </c>
      <c r="P1128" s="16" t="str">
        <f t="shared" si="6"/>
        <v/>
      </c>
      <c r="Q1128" s="41" t="e">
        <f t="shared" si="1820"/>
        <v>#N/A</v>
      </c>
      <c r="R1128" s="44"/>
      <c r="S1128" s="44"/>
      <c r="T1128" s="43"/>
      <c r="U1128" s="43" t="str">
        <f t="shared" si="8"/>
        <v>No</v>
      </c>
      <c r="V1128" s="25"/>
      <c r="W1128" s="25"/>
      <c r="X1128" s="25"/>
      <c r="Y1128" s="25"/>
      <c r="Z1128" s="25"/>
    </row>
    <row r="1129" spans="1:26" ht="15.75" customHeight="1" x14ac:dyDescent="0.25">
      <c r="A1129" s="25">
        <v>1127</v>
      </c>
      <c r="B1129" s="37" t="e">
        <f t="shared" ref="B1129:D1129" si="2271">VLOOKUP($A1129,'[3]Gestión Pública'!$A$1:$O$251,B$1,0)</f>
        <v>#N/A</v>
      </c>
      <c r="C1129" s="38" t="e">
        <f t="shared" si="2271"/>
        <v>#N/A</v>
      </c>
      <c r="D1129" s="39" t="e">
        <f t="shared" si="2271"/>
        <v>#N/A</v>
      </c>
      <c r="E1129" s="16" t="e">
        <f t="shared" si="1"/>
        <v>#N/A</v>
      </c>
      <c r="F1129" s="16" t="e">
        <f t="shared" ref="F1129:K1129" si="2272">VLOOKUP($A1129,'[3]Gestión Pública'!$A$1:$O$251,F$1,0)</f>
        <v>#N/A</v>
      </c>
      <c r="G1129" s="39" t="e">
        <f t="shared" si="2272"/>
        <v>#N/A</v>
      </c>
      <c r="H1129" s="16" t="e">
        <f t="shared" si="2272"/>
        <v>#N/A</v>
      </c>
      <c r="I1129" s="16" t="e">
        <f t="shared" si="2272"/>
        <v>#N/A</v>
      </c>
      <c r="J1129" s="40" t="e">
        <f t="shared" si="2272"/>
        <v>#N/A</v>
      </c>
      <c r="K1129" s="16" t="e">
        <f t="shared" si="2272"/>
        <v>#N/A</v>
      </c>
      <c r="L1129" s="40" t="e">
        <f t="shared" si="1817"/>
        <v>#N/A</v>
      </c>
      <c r="M1129" s="16" t="e">
        <f t="shared" si="1818"/>
        <v>#N/A</v>
      </c>
      <c r="N1129" s="16" t="e">
        <f t="shared" si="1819"/>
        <v>#N/A</v>
      </c>
      <c r="O1129" s="16" t="s">
        <v>67</v>
      </c>
      <c r="P1129" s="16" t="str">
        <f t="shared" si="6"/>
        <v/>
      </c>
      <c r="Q1129" s="41" t="e">
        <f t="shared" si="1820"/>
        <v>#N/A</v>
      </c>
      <c r="R1129" s="44"/>
      <c r="S1129" s="44"/>
      <c r="T1129" s="43"/>
      <c r="U1129" s="43" t="str">
        <f t="shared" si="8"/>
        <v>No</v>
      </c>
      <c r="V1129" s="25"/>
      <c r="W1129" s="25"/>
      <c r="X1129" s="25"/>
      <c r="Y1129" s="25"/>
      <c r="Z1129" s="25"/>
    </row>
    <row r="1130" spans="1:26" ht="15.75" customHeight="1" x14ac:dyDescent="0.25">
      <c r="A1130" s="25">
        <v>1128</v>
      </c>
      <c r="B1130" s="37" t="e">
        <f t="shared" ref="B1130:D1130" si="2273">VLOOKUP($A1130,'[3]Gestión Pública'!$A$1:$O$251,B$1,0)</f>
        <v>#N/A</v>
      </c>
      <c r="C1130" s="38" t="e">
        <f t="shared" si="2273"/>
        <v>#N/A</v>
      </c>
      <c r="D1130" s="39" t="e">
        <f t="shared" si="2273"/>
        <v>#N/A</v>
      </c>
      <c r="E1130" s="16" t="e">
        <f t="shared" si="1"/>
        <v>#N/A</v>
      </c>
      <c r="F1130" s="16" t="e">
        <f t="shared" ref="F1130:K1130" si="2274">VLOOKUP($A1130,'[3]Gestión Pública'!$A$1:$O$251,F$1,0)</f>
        <v>#N/A</v>
      </c>
      <c r="G1130" s="39" t="e">
        <f t="shared" si="2274"/>
        <v>#N/A</v>
      </c>
      <c r="H1130" s="16" t="e">
        <f t="shared" si="2274"/>
        <v>#N/A</v>
      </c>
      <c r="I1130" s="16" t="e">
        <f t="shared" si="2274"/>
        <v>#N/A</v>
      </c>
      <c r="J1130" s="40" t="e">
        <f t="shared" si="2274"/>
        <v>#N/A</v>
      </c>
      <c r="K1130" s="16" t="e">
        <f t="shared" si="2274"/>
        <v>#N/A</v>
      </c>
      <c r="L1130" s="40" t="e">
        <f t="shared" si="1817"/>
        <v>#N/A</v>
      </c>
      <c r="M1130" s="16" t="e">
        <f t="shared" si="1818"/>
        <v>#N/A</v>
      </c>
      <c r="N1130" s="16" t="e">
        <f t="shared" si="1819"/>
        <v>#N/A</v>
      </c>
      <c r="O1130" s="16" t="s">
        <v>67</v>
      </c>
      <c r="P1130" s="16" t="str">
        <f t="shared" si="6"/>
        <v/>
      </c>
      <c r="Q1130" s="41" t="e">
        <f t="shared" si="1820"/>
        <v>#N/A</v>
      </c>
      <c r="R1130" s="44"/>
      <c r="S1130" s="44"/>
      <c r="T1130" s="43"/>
      <c r="U1130" s="43" t="str">
        <f t="shared" si="8"/>
        <v>No</v>
      </c>
      <c r="V1130" s="25"/>
      <c r="W1130" s="25"/>
      <c r="X1130" s="25"/>
      <c r="Y1130" s="25"/>
      <c r="Z1130" s="25"/>
    </row>
    <row r="1131" spans="1:26" ht="15.75" customHeight="1" x14ac:dyDescent="0.25">
      <c r="A1131" s="25">
        <v>1129</v>
      </c>
      <c r="B1131" s="37" t="e">
        <f t="shared" ref="B1131:D1131" si="2275">VLOOKUP($A1131,'[3]Gestión Pública'!$A$1:$O$251,B$1,0)</f>
        <v>#N/A</v>
      </c>
      <c r="C1131" s="38" t="e">
        <f t="shared" si="2275"/>
        <v>#N/A</v>
      </c>
      <c r="D1131" s="39" t="e">
        <f t="shared" si="2275"/>
        <v>#N/A</v>
      </c>
      <c r="E1131" s="16" t="e">
        <f t="shared" si="1"/>
        <v>#N/A</v>
      </c>
      <c r="F1131" s="16" t="e">
        <f t="shared" ref="F1131:K1131" si="2276">VLOOKUP($A1131,'[3]Gestión Pública'!$A$1:$O$251,F$1,0)</f>
        <v>#N/A</v>
      </c>
      <c r="G1131" s="39" t="e">
        <f t="shared" si="2276"/>
        <v>#N/A</v>
      </c>
      <c r="H1131" s="16" t="e">
        <f t="shared" si="2276"/>
        <v>#N/A</v>
      </c>
      <c r="I1131" s="16" t="e">
        <f t="shared" si="2276"/>
        <v>#N/A</v>
      </c>
      <c r="J1131" s="40" t="e">
        <f t="shared" si="2276"/>
        <v>#N/A</v>
      </c>
      <c r="K1131" s="16" t="e">
        <f t="shared" si="2276"/>
        <v>#N/A</v>
      </c>
      <c r="L1131" s="40" t="e">
        <f t="shared" si="1817"/>
        <v>#N/A</v>
      </c>
      <c r="M1131" s="16" t="e">
        <f t="shared" si="1818"/>
        <v>#N/A</v>
      </c>
      <c r="N1131" s="16" t="e">
        <f t="shared" si="1819"/>
        <v>#N/A</v>
      </c>
      <c r="O1131" s="16" t="s">
        <v>67</v>
      </c>
      <c r="P1131" s="16" t="str">
        <f t="shared" si="6"/>
        <v/>
      </c>
      <c r="Q1131" s="41" t="e">
        <f t="shared" si="1820"/>
        <v>#N/A</v>
      </c>
      <c r="R1131" s="44"/>
      <c r="S1131" s="44"/>
      <c r="T1131" s="43"/>
      <c r="U1131" s="43" t="str">
        <f t="shared" si="8"/>
        <v>No</v>
      </c>
      <c r="V1131" s="25"/>
      <c r="W1131" s="25"/>
      <c r="X1131" s="25"/>
      <c r="Y1131" s="25"/>
      <c r="Z1131" s="25"/>
    </row>
    <row r="1132" spans="1:26" ht="15.75" customHeight="1" x14ac:dyDescent="0.25">
      <c r="A1132" s="25">
        <v>1130</v>
      </c>
      <c r="B1132" s="37" t="e">
        <f t="shared" ref="B1132:D1132" si="2277">VLOOKUP($A1132,'[3]Gestión Pública'!$A$1:$O$251,B$1,0)</f>
        <v>#N/A</v>
      </c>
      <c r="C1132" s="38" t="e">
        <f t="shared" si="2277"/>
        <v>#N/A</v>
      </c>
      <c r="D1132" s="39" t="e">
        <f t="shared" si="2277"/>
        <v>#N/A</v>
      </c>
      <c r="E1132" s="16" t="e">
        <f t="shared" si="1"/>
        <v>#N/A</v>
      </c>
      <c r="F1132" s="16" t="e">
        <f t="shared" ref="F1132:K1132" si="2278">VLOOKUP($A1132,'[3]Gestión Pública'!$A$1:$O$251,F$1,0)</f>
        <v>#N/A</v>
      </c>
      <c r="G1132" s="39" t="e">
        <f t="shared" si="2278"/>
        <v>#N/A</v>
      </c>
      <c r="H1132" s="16" t="e">
        <f t="shared" si="2278"/>
        <v>#N/A</v>
      </c>
      <c r="I1132" s="16" t="e">
        <f t="shared" si="2278"/>
        <v>#N/A</v>
      </c>
      <c r="J1132" s="40" t="e">
        <f t="shared" si="2278"/>
        <v>#N/A</v>
      </c>
      <c r="K1132" s="16" t="e">
        <f t="shared" si="2278"/>
        <v>#N/A</v>
      </c>
      <c r="L1132" s="40" t="e">
        <f t="shared" si="1817"/>
        <v>#N/A</v>
      </c>
      <c r="M1132" s="16" t="e">
        <f t="shared" si="1818"/>
        <v>#N/A</v>
      </c>
      <c r="N1132" s="16" t="e">
        <f t="shared" si="1819"/>
        <v>#N/A</v>
      </c>
      <c r="O1132" s="16" t="s">
        <v>67</v>
      </c>
      <c r="P1132" s="16" t="str">
        <f t="shared" si="6"/>
        <v/>
      </c>
      <c r="Q1132" s="41" t="e">
        <f t="shared" si="1820"/>
        <v>#N/A</v>
      </c>
      <c r="R1132" s="44"/>
      <c r="S1132" s="44"/>
      <c r="T1132" s="43"/>
      <c r="U1132" s="43" t="str">
        <f t="shared" si="8"/>
        <v>No</v>
      </c>
      <c r="V1132" s="25"/>
      <c r="W1132" s="25"/>
      <c r="X1132" s="25"/>
      <c r="Y1132" s="25"/>
      <c r="Z1132" s="25"/>
    </row>
    <row r="1133" spans="1:26" ht="15.75" customHeight="1" x14ac:dyDescent="0.25">
      <c r="A1133" s="25">
        <v>1131</v>
      </c>
      <c r="B1133" s="37" t="e">
        <f t="shared" ref="B1133:D1133" si="2279">VLOOKUP($A1133,'[3]Gestión Pública'!$A$1:$O$251,B$1,0)</f>
        <v>#N/A</v>
      </c>
      <c r="C1133" s="38" t="e">
        <f t="shared" si="2279"/>
        <v>#N/A</v>
      </c>
      <c r="D1133" s="39" t="e">
        <f t="shared" si="2279"/>
        <v>#N/A</v>
      </c>
      <c r="E1133" s="16" t="e">
        <f t="shared" si="1"/>
        <v>#N/A</v>
      </c>
      <c r="F1133" s="16" t="e">
        <f t="shared" ref="F1133:K1133" si="2280">VLOOKUP($A1133,'[3]Gestión Pública'!$A$1:$O$251,F$1,0)</f>
        <v>#N/A</v>
      </c>
      <c r="G1133" s="39" t="e">
        <f t="shared" si="2280"/>
        <v>#N/A</v>
      </c>
      <c r="H1133" s="16" t="e">
        <f t="shared" si="2280"/>
        <v>#N/A</v>
      </c>
      <c r="I1133" s="16" t="e">
        <f t="shared" si="2280"/>
        <v>#N/A</v>
      </c>
      <c r="J1133" s="40" t="e">
        <f t="shared" si="2280"/>
        <v>#N/A</v>
      </c>
      <c r="K1133" s="16" t="e">
        <f t="shared" si="2280"/>
        <v>#N/A</v>
      </c>
      <c r="L1133" s="40" t="e">
        <f t="shared" si="1817"/>
        <v>#N/A</v>
      </c>
      <c r="M1133" s="16" t="e">
        <f t="shared" si="1818"/>
        <v>#N/A</v>
      </c>
      <c r="N1133" s="16" t="e">
        <f t="shared" si="1819"/>
        <v>#N/A</v>
      </c>
      <c r="O1133" s="16" t="s">
        <v>67</v>
      </c>
      <c r="P1133" s="16" t="str">
        <f t="shared" si="6"/>
        <v/>
      </c>
      <c r="Q1133" s="41" t="e">
        <f t="shared" si="1820"/>
        <v>#N/A</v>
      </c>
      <c r="R1133" s="44"/>
      <c r="S1133" s="44"/>
      <c r="T1133" s="43"/>
      <c r="U1133" s="43" t="str">
        <f t="shared" si="8"/>
        <v>No</v>
      </c>
      <c r="V1133" s="25"/>
      <c r="W1133" s="25"/>
      <c r="X1133" s="25"/>
      <c r="Y1133" s="25"/>
      <c r="Z1133" s="25"/>
    </row>
    <row r="1134" spans="1:26" ht="15.75" customHeight="1" x14ac:dyDescent="0.25">
      <c r="A1134" s="25">
        <v>1132</v>
      </c>
      <c r="B1134" s="37" t="e">
        <f t="shared" ref="B1134:D1134" si="2281">VLOOKUP($A1134,'[3]Gestión Pública'!$A$1:$O$251,B$1,0)</f>
        <v>#N/A</v>
      </c>
      <c r="C1134" s="38" t="e">
        <f t="shared" si="2281"/>
        <v>#N/A</v>
      </c>
      <c r="D1134" s="39" t="e">
        <f t="shared" si="2281"/>
        <v>#N/A</v>
      </c>
      <c r="E1134" s="16" t="e">
        <f t="shared" si="1"/>
        <v>#N/A</v>
      </c>
      <c r="F1134" s="16" t="e">
        <f t="shared" ref="F1134:K1134" si="2282">VLOOKUP($A1134,'[3]Gestión Pública'!$A$1:$O$251,F$1,0)</f>
        <v>#N/A</v>
      </c>
      <c r="G1134" s="39" t="e">
        <f t="shared" si="2282"/>
        <v>#N/A</v>
      </c>
      <c r="H1134" s="16" t="e">
        <f t="shared" si="2282"/>
        <v>#N/A</v>
      </c>
      <c r="I1134" s="16" t="e">
        <f t="shared" si="2282"/>
        <v>#N/A</v>
      </c>
      <c r="J1134" s="40" t="e">
        <f t="shared" si="2282"/>
        <v>#N/A</v>
      </c>
      <c r="K1134" s="16" t="e">
        <f t="shared" si="2282"/>
        <v>#N/A</v>
      </c>
      <c r="L1134" s="40" t="e">
        <f t="shared" si="1817"/>
        <v>#N/A</v>
      </c>
      <c r="M1134" s="16" t="e">
        <f t="shared" si="1818"/>
        <v>#N/A</v>
      </c>
      <c r="N1134" s="16" t="e">
        <f t="shared" si="1819"/>
        <v>#N/A</v>
      </c>
      <c r="O1134" s="16" t="s">
        <v>67</v>
      </c>
      <c r="P1134" s="16" t="str">
        <f t="shared" si="6"/>
        <v/>
      </c>
      <c r="Q1134" s="41" t="e">
        <f t="shared" si="1820"/>
        <v>#N/A</v>
      </c>
      <c r="R1134" s="44"/>
      <c r="S1134" s="44"/>
      <c r="T1134" s="43"/>
      <c r="U1134" s="43" t="str">
        <f t="shared" si="8"/>
        <v>No</v>
      </c>
      <c r="V1134" s="25"/>
      <c r="W1134" s="25"/>
      <c r="X1134" s="25"/>
      <c r="Y1134" s="25"/>
      <c r="Z1134" s="25"/>
    </row>
    <row r="1135" spans="1:26" ht="15.75" customHeight="1" x14ac:dyDescent="0.25">
      <c r="A1135" s="25">
        <v>1133</v>
      </c>
      <c r="B1135" s="37" t="e">
        <f t="shared" ref="B1135:D1135" si="2283">VLOOKUP($A1135,'[3]Gestión Pública'!$A$1:$O$251,B$1,0)</f>
        <v>#N/A</v>
      </c>
      <c r="C1135" s="38" t="e">
        <f t="shared" si="2283"/>
        <v>#N/A</v>
      </c>
      <c r="D1135" s="39" t="e">
        <f t="shared" si="2283"/>
        <v>#N/A</v>
      </c>
      <c r="E1135" s="16" t="e">
        <f t="shared" si="1"/>
        <v>#N/A</v>
      </c>
      <c r="F1135" s="16" t="e">
        <f t="shared" ref="F1135:K1135" si="2284">VLOOKUP($A1135,'[3]Gestión Pública'!$A$1:$O$251,F$1,0)</f>
        <v>#N/A</v>
      </c>
      <c r="G1135" s="39" t="e">
        <f t="shared" si="2284"/>
        <v>#N/A</v>
      </c>
      <c r="H1135" s="16" t="e">
        <f t="shared" si="2284"/>
        <v>#N/A</v>
      </c>
      <c r="I1135" s="16" t="e">
        <f t="shared" si="2284"/>
        <v>#N/A</v>
      </c>
      <c r="J1135" s="40" t="e">
        <f t="shared" si="2284"/>
        <v>#N/A</v>
      </c>
      <c r="K1135" s="16" t="e">
        <f t="shared" si="2284"/>
        <v>#N/A</v>
      </c>
      <c r="L1135" s="40" t="e">
        <f t="shared" si="1817"/>
        <v>#N/A</v>
      </c>
      <c r="M1135" s="16" t="e">
        <f t="shared" si="1818"/>
        <v>#N/A</v>
      </c>
      <c r="N1135" s="16" t="e">
        <f t="shared" si="1819"/>
        <v>#N/A</v>
      </c>
      <c r="O1135" s="16" t="s">
        <v>67</v>
      </c>
      <c r="P1135" s="16" t="str">
        <f t="shared" si="6"/>
        <v/>
      </c>
      <c r="Q1135" s="41" t="e">
        <f t="shared" si="1820"/>
        <v>#N/A</v>
      </c>
      <c r="R1135" s="44"/>
      <c r="S1135" s="44"/>
      <c r="T1135" s="43"/>
      <c r="U1135" s="43" t="str">
        <f t="shared" si="8"/>
        <v>No</v>
      </c>
      <c r="V1135" s="25"/>
      <c r="W1135" s="25"/>
      <c r="X1135" s="25"/>
      <c r="Y1135" s="25"/>
      <c r="Z1135" s="25"/>
    </row>
    <row r="1136" spans="1:26" ht="15.75" customHeight="1" x14ac:dyDescent="0.25">
      <c r="A1136" s="25">
        <v>1134</v>
      </c>
      <c r="B1136" s="37" t="e">
        <f t="shared" ref="B1136:D1136" si="2285">VLOOKUP($A1136,'[3]Gestión Pública'!$A$1:$O$251,B$1,0)</f>
        <v>#N/A</v>
      </c>
      <c r="C1136" s="38" t="e">
        <f t="shared" si="2285"/>
        <v>#N/A</v>
      </c>
      <c r="D1136" s="39" t="e">
        <f t="shared" si="2285"/>
        <v>#N/A</v>
      </c>
      <c r="E1136" s="16" t="e">
        <f t="shared" si="1"/>
        <v>#N/A</v>
      </c>
      <c r="F1136" s="16" t="e">
        <f t="shared" ref="F1136:K1136" si="2286">VLOOKUP($A1136,'[3]Gestión Pública'!$A$1:$O$251,F$1,0)</f>
        <v>#N/A</v>
      </c>
      <c r="G1136" s="39" t="e">
        <f t="shared" si="2286"/>
        <v>#N/A</v>
      </c>
      <c r="H1136" s="16" t="e">
        <f t="shared" si="2286"/>
        <v>#N/A</v>
      </c>
      <c r="I1136" s="16" t="e">
        <f t="shared" si="2286"/>
        <v>#N/A</v>
      </c>
      <c r="J1136" s="40" t="e">
        <f t="shared" si="2286"/>
        <v>#N/A</v>
      </c>
      <c r="K1136" s="16" t="e">
        <f t="shared" si="2286"/>
        <v>#N/A</v>
      </c>
      <c r="L1136" s="40" t="e">
        <f t="shared" si="1817"/>
        <v>#N/A</v>
      </c>
      <c r="M1136" s="16" t="e">
        <f t="shared" si="1818"/>
        <v>#N/A</v>
      </c>
      <c r="N1136" s="16" t="e">
        <f t="shared" si="1819"/>
        <v>#N/A</v>
      </c>
      <c r="O1136" s="16" t="s">
        <v>67</v>
      </c>
      <c r="P1136" s="16" t="str">
        <f t="shared" si="6"/>
        <v/>
      </c>
      <c r="Q1136" s="41" t="e">
        <f t="shared" si="1820"/>
        <v>#N/A</v>
      </c>
      <c r="R1136" s="44"/>
      <c r="S1136" s="44"/>
      <c r="T1136" s="43"/>
      <c r="U1136" s="43" t="str">
        <f t="shared" si="8"/>
        <v>No</v>
      </c>
      <c r="V1136" s="25"/>
      <c r="W1136" s="25"/>
      <c r="X1136" s="25"/>
      <c r="Y1136" s="25"/>
      <c r="Z1136" s="25"/>
    </row>
    <row r="1137" spans="1:26" ht="15.75" customHeight="1" x14ac:dyDescent="0.25">
      <c r="A1137" s="25">
        <v>1135</v>
      </c>
      <c r="B1137" s="37" t="e">
        <f t="shared" ref="B1137:D1137" si="2287">VLOOKUP($A1137,'[3]Gestión Pública'!$A$1:$O$251,B$1,0)</f>
        <v>#N/A</v>
      </c>
      <c r="C1137" s="38" t="e">
        <f t="shared" si="2287"/>
        <v>#N/A</v>
      </c>
      <c r="D1137" s="39" t="e">
        <f t="shared" si="2287"/>
        <v>#N/A</v>
      </c>
      <c r="E1137" s="16" t="e">
        <f t="shared" si="1"/>
        <v>#N/A</v>
      </c>
      <c r="F1137" s="16" t="e">
        <f t="shared" ref="F1137:K1137" si="2288">VLOOKUP($A1137,'[3]Gestión Pública'!$A$1:$O$251,F$1,0)</f>
        <v>#N/A</v>
      </c>
      <c r="G1137" s="39" t="e">
        <f t="shared" si="2288"/>
        <v>#N/A</v>
      </c>
      <c r="H1137" s="16" t="e">
        <f t="shared" si="2288"/>
        <v>#N/A</v>
      </c>
      <c r="I1137" s="16" t="e">
        <f t="shared" si="2288"/>
        <v>#N/A</v>
      </c>
      <c r="J1137" s="40" t="e">
        <f t="shared" si="2288"/>
        <v>#N/A</v>
      </c>
      <c r="K1137" s="16" t="e">
        <f t="shared" si="2288"/>
        <v>#N/A</v>
      </c>
      <c r="L1137" s="40" t="e">
        <f t="shared" si="1817"/>
        <v>#N/A</v>
      </c>
      <c r="M1137" s="16" t="e">
        <f t="shared" si="1818"/>
        <v>#N/A</v>
      </c>
      <c r="N1137" s="16" t="e">
        <f t="shared" si="1819"/>
        <v>#N/A</v>
      </c>
      <c r="O1137" s="16" t="s">
        <v>67</v>
      </c>
      <c r="P1137" s="16" t="str">
        <f t="shared" si="6"/>
        <v/>
      </c>
      <c r="Q1137" s="41" t="e">
        <f t="shared" si="1820"/>
        <v>#N/A</v>
      </c>
      <c r="R1137" s="44"/>
      <c r="S1137" s="44"/>
      <c r="T1137" s="43"/>
      <c r="U1137" s="43" t="str">
        <f t="shared" si="8"/>
        <v>No</v>
      </c>
      <c r="V1137" s="25"/>
      <c r="W1137" s="25"/>
      <c r="X1137" s="25"/>
      <c r="Y1137" s="25"/>
      <c r="Z1137" s="25"/>
    </row>
    <row r="1138" spans="1:26" ht="15.75" customHeight="1" x14ac:dyDescent="0.25">
      <c r="A1138" s="25">
        <v>1136</v>
      </c>
      <c r="B1138" s="37" t="e">
        <f t="shared" ref="B1138:D1138" si="2289">VLOOKUP($A1138,'[3]Gestión Pública'!$A$1:$O$251,B$1,0)</f>
        <v>#N/A</v>
      </c>
      <c r="C1138" s="38" t="e">
        <f t="shared" si="2289"/>
        <v>#N/A</v>
      </c>
      <c r="D1138" s="39" t="e">
        <f t="shared" si="2289"/>
        <v>#N/A</v>
      </c>
      <c r="E1138" s="16" t="e">
        <f t="shared" si="1"/>
        <v>#N/A</v>
      </c>
      <c r="F1138" s="16" t="e">
        <f t="shared" ref="F1138:K1138" si="2290">VLOOKUP($A1138,'[3]Gestión Pública'!$A$1:$O$251,F$1,0)</f>
        <v>#N/A</v>
      </c>
      <c r="G1138" s="39" t="e">
        <f t="shared" si="2290"/>
        <v>#N/A</v>
      </c>
      <c r="H1138" s="16" t="e">
        <f t="shared" si="2290"/>
        <v>#N/A</v>
      </c>
      <c r="I1138" s="16" t="e">
        <f t="shared" si="2290"/>
        <v>#N/A</v>
      </c>
      <c r="J1138" s="40" t="e">
        <f t="shared" si="2290"/>
        <v>#N/A</v>
      </c>
      <c r="K1138" s="16" t="e">
        <f t="shared" si="2290"/>
        <v>#N/A</v>
      </c>
      <c r="L1138" s="40" t="e">
        <f t="shared" si="1817"/>
        <v>#N/A</v>
      </c>
      <c r="M1138" s="16" t="e">
        <f t="shared" si="1818"/>
        <v>#N/A</v>
      </c>
      <c r="N1138" s="16" t="e">
        <f t="shared" si="1819"/>
        <v>#N/A</v>
      </c>
      <c r="O1138" s="16" t="s">
        <v>67</v>
      </c>
      <c r="P1138" s="16" t="str">
        <f t="shared" si="6"/>
        <v/>
      </c>
      <c r="Q1138" s="41" t="e">
        <f t="shared" si="1820"/>
        <v>#N/A</v>
      </c>
      <c r="R1138" s="44"/>
      <c r="S1138" s="44"/>
      <c r="T1138" s="43"/>
      <c r="U1138" s="43" t="str">
        <f t="shared" si="8"/>
        <v>No</v>
      </c>
      <c r="V1138" s="25"/>
      <c r="W1138" s="25"/>
      <c r="X1138" s="25"/>
      <c r="Y1138" s="25"/>
      <c r="Z1138" s="25"/>
    </row>
    <row r="1139" spans="1:26" ht="15.75" customHeight="1" x14ac:dyDescent="0.25">
      <c r="A1139" s="25">
        <v>1137</v>
      </c>
      <c r="B1139" s="37" t="e">
        <f t="shared" ref="B1139:D1139" si="2291">VLOOKUP($A1139,'[3]Gestión Pública'!$A$1:$O$251,B$1,0)</f>
        <v>#N/A</v>
      </c>
      <c r="C1139" s="38" t="e">
        <f t="shared" si="2291"/>
        <v>#N/A</v>
      </c>
      <c r="D1139" s="39" t="e">
        <f t="shared" si="2291"/>
        <v>#N/A</v>
      </c>
      <c r="E1139" s="16" t="e">
        <f t="shared" si="1"/>
        <v>#N/A</v>
      </c>
      <c r="F1139" s="16" t="e">
        <f t="shared" ref="F1139:K1139" si="2292">VLOOKUP($A1139,'[3]Gestión Pública'!$A$1:$O$251,F$1,0)</f>
        <v>#N/A</v>
      </c>
      <c r="G1139" s="39" t="e">
        <f t="shared" si="2292"/>
        <v>#N/A</v>
      </c>
      <c r="H1139" s="16" t="e">
        <f t="shared" si="2292"/>
        <v>#N/A</v>
      </c>
      <c r="I1139" s="16" t="e">
        <f t="shared" si="2292"/>
        <v>#N/A</v>
      </c>
      <c r="J1139" s="40" t="e">
        <f t="shared" si="2292"/>
        <v>#N/A</v>
      </c>
      <c r="K1139" s="16" t="e">
        <f t="shared" si="2292"/>
        <v>#N/A</v>
      </c>
      <c r="L1139" s="40" t="e">
        <f t="shared" si="1817"/>
        <v>#N/A</v>
      </c>
      <c r="M1139" s="16" t="e">
        <f t="shared" si="1818"/>
        <v>#N/A</v>
      </c>
      <c r="N1139" s="16" t="e">
        <f t="shared" si="1819"/>
        <v>#N/A</v>
      </c>
      <c r="O1139" s="16" t="s">
        <v>67</v>
      </c>
      <c r="P1139" s="16" t="str">
        <f t="shared" si="6"/>
        <v/>
      </c>
      <c r="Q1139" s="41" t="e">
        <f t="shared" si="1820"/>
        <v>#N/A</v>
      </c>
      <c r="R1139" s="44"/>
      <c r="S1139" s="44"/>
      <c r="T1139" s="43"/>
      <c r="U1139" s="43" t="str">
        <f t="shared" si="8"/>
        <v>No</v>
      </c>
      <c r="V1139" s="25"/>
      <c r="W1139" s="25"/>
      <c r="X1139" s="25"/>
      <c r="Y1139" s="25"/>
      <c r="Z1139" s="25"/>
    </row>
    <row r="1140" spans="1:26" ht="15.75" customHeight="1" x14ac:dyDescent="0.25">
      <c r="A1140" s="25">
        <v>1138</v>
      </c>
      <c r="B1140" s="37" t="e">
        <f t="shared" ref="B1140:D1140" si="2293">VLOOKUP($A1140,'[3]Gestión Pública'!$A$1:$O$251,B$1,0)</f>
        <v>#N/A</v>
      </c>
      <c r="C1140" s="38" t="e">
        <f t="shared" si="2293"/>
        <v>#N/A</v>
      </c>
      <c r="D1140" s="39" t="e">
        <f t="shared" si="2293"/>
        <v>#N/A</v>
      </c>
      <c r="E1140" s="16" t="e">
        <f t="shared" si="1"/>
        <v>#N/A</v>
      </c>
      <c r="F1140" s="16" t="e">
        <f t="shared" ref="F1140:K1140" si="2294">VLOOKUP($A1140,'[3]Gestión Pública'!$A$1:$O$251,F$1,0)</f>
        <v>#N/A</v>
      </c>
      <c r="G1140" s="39" t="e">
        <f t="shared" si="2294"/>
        <v>#N/A</v>
      </c>
      <c r="H1140" s="16" t="e">
        <f t="shared" si="2294"/>
        <v>#N/A</v>
      </c>
      <c r="I1140" s="16" t="e">
        <f t="shared" si="2294"/>
        <v>#N/A</v>
      </c>
      <c r="J1140" s="40" t="e">
        <f t="shared" si="2294"/>
        <v>#N/A</v>
      </c>
      <c r="K1140" s="16" t="e">
        <f t="shared" si="2294"/>
        <v>#N/A</v>
      </c>
      <c r="L1140" s="40" t="e">
        <f t="shared" si="1817"/>
        <v>#N/A</v>
      </c>
      <c r="M1140" s="16" t="e">
        <f t="shared" si="1818"/>
        <v>#N/A</v>
      </c>
      <c r="N1140" s="16" t="e">
        <f t="shared" si="1819"/>
        <v>#N/A</v>
      </c>
      <c r="O1140" s="16" t="s">
        <v>67</v>
      </c>
      <c r="P1140" s="16" t="str">
        <f t="shared" si="6"/>
        <v/>
      </c>
      <c r="Q1140" s="41" t="e">
        <f t="shared" si="1820"/>
        <v>#N/A</v>
      </c>
      <c r="R1140" s="44"/>
      <c r="S1140" s="44"/>
      <c r="T1140" s="43"/>
      <c r="U1140" s="43" t="str">
        <f t="shared" si="8"/>
        <v>No</v>
      </c>
      <c r="V1140" s="25"/>
      <c r="W1140" s="25"/>
      <c r="X1140" s="25"/>
      <c r="Y1140" s="25"/>
      <c r="Z1140" s="25"/>
    </row>
    <row r="1141" spans="1:26" ht="15.75" customHeight="1" x14ac:dyDescent="0.25">
      <c r="A1141" s="25">
        <v>1139</v>
      </c>
      <c r="B1141" s="37" t="e">
        <f t="shared" ref="B1141:D1141" si="2295">VLOOKUP($A1141,'[3]Gestión Pública'!$A$1:$O$251,B$1,0)</f>
        <v>#N/A</v>
      </c>
      <c r="C1141" s="38" t="e">
        <f t="shared" si="2295"/>
        <v>#N/A</v>
      </c>
      <c r="D1141" s="39" t="e">
        <f t="shared" si="2295"/>
        <v>#N/A</v>
      </c>
      <c r="E1141" s="16" t="e">
        <f t="shared" si="1"/>
        <v>#N/A</v>
      </c>
      <c r="F1141" s="16" t="e">
        <f t="shared" ref="F1141:K1141" si="2296">VLOOKUP($A1141,'[3]Gestión Pública'!$A$1:$O$251,F$1,0)</f>
        <v>#N/A</v>
      </c>
      <c r="G1141" s="39" t="e">
        <f t="shared" si="2296"/>
        <v>#N/A</v>
      </c>
      <c r="H1141" s="16" t="e">
        <f t="shared" si="2296"/>
        <v>#N/A</v>
      </c>
      <c r="I1141" s="16" t="e">
        <f t="shared" si="2296"/>
        <v>#N/A</v>
      </c>
      <c r="J1141" s="40" t="e">
        <f t="shared" si="2296"/>
        <v>#N/A</v>
      </c>
      <c r="K1141" s="16" t="e">
        <f t="shared" si="2296"/>
        <v>#N/A</v>
      </c>
      <c r="L1141" s="40" t="e">
        <f t="shared" si="1817"/>
        <v>#N/A</v>
      </c>
      <c r="M1141" s="16" t="e">
        <f t="shared" si="1818"/>
        <v>#N/A</v>
      </c>
      <c r="N1141" s="16" t="e">
        <f t="shared" si="1819"/>
        <v>#N/A</v>
      </c>
      <c r="O1141" s="16" t="s">
        <v>67</v>
      </c>
      <c r="P1141" s="16" t="str">
        <f t="shared" si="6"/>
        <v/>
      </c>
      <c r="Q1141" s="41" t="e">
        <f t="shared" si="1820"/>
        <v>#N/A</v>
      </c>
      <c r="R1141" s="44"/>
      <c r="S1141" s="44"/>
      <c r="T1141" s="43"/>
      <c r="U1141" s="43" t="str">
        <f t="shared" si="8"/>
        <v>No</v>
      </c>
      <c r="V1141" s="25"/>
      <c r="W1141" s="25"/>
      <c r="X1141" s="25"/>
      <c r="Y1141" s="25"/>
      <c r="Z1141" s="25"/>
    </row>
    <row r="1142" spans="1:26" ht="15.75" customHeight="1" x14ac:dyDescent="0.25">
      <c r="A1142" s="25">
        <v>1140</v>
      </c>
      <c r="B1142" s="37" t="e">
        <f t="shared" ref="B1142:D1142" si="2297">VLOOKUP($A1142,'[3]Gestión Pública'!$A$1:$O$251,B$1,0)</f>
        <v>#N/A</v>
      </c>
      <c r="C1142" s="38" t="e">
        <f t="shared" si="2297"/>
        <v>#N/A</v>
      </c>
      <c r="D1142" s="39" t="e">
        <f t="shared" si="2297"/>
        <v>#N/A</v>
      </c>
      <c r="E1142" s="16" t="e">
        <f t="shared" si="1"/>
        <v>#N/A</v>
      </c>
      <c r="F1142" s="16" t="e">
        <f t="shared" ref="F1142:K1142" si="2298">VLOOKUP($A1142,'[3]Gestión Pública'!$A$1:$O$251,F$1,0)</f>
        <v>#N/A</v>
      </c>
      <c r="G1142" s="39" t="e">
        <f t="shared" si="2298"/>
        <v>#N/A</v>
      </c>
      <c r="H1142" s="16" t="e">
        <f t="shared" si="2298"/>
        <v>#N/A</v>
      </c>
      <c r="I1142" s="16" t="e">
        <f t="shared" si="2298"/>
        <v>#N/A</v>
      </c>
      <c r="J1142" s="40" t="e">
        <f t="shared" si="2298"/>
        <v>#N/A</v>
      </c>
      <c r="K1142" s="16" t="e">
        <f t="shared" si="2298"/>
        <v>#N/A</v>
      </c>
      <c r="L1142" s="40" t="e">
        <f t="shared" si="1817"/>
        <v>#N/A</v>
      </c>
      <c r="M1142" s="16" t="e">
        <f t="shared" si="1818"/>
        <v>#N/A</v>
      </c>
      <c r="N1142" s="16" t="e">
        <f t="shared" si="1819"/>
        <v>#N/A</v>
      </c>
      <c r="O1142" s="16" t="s">
        <v>67</v>
      </c>
      <c r="P1142" s="16" t="str">
        <f t="shared" si="6"/>
        <v/>
      </c>
      <c r="Q1142" s="41" t="e">
        <f t="shared" si="1820"/>
        <v>#N/A</v>
      </c>
      <c r="R1142" s="44"/>
      <c r="S1142" s="44"/>
      <c r="T1142" s="43"/>
      <c r="U1142" s="43" t="str">
        <f t="shared" si="8"/>
        <v>No</v>
      </c>
      <c r="V1142" s="25"/>
      <c r="W1142" s="25"/>
      <c r="X1142" s="25"/>
      <c r="Y1142" s="25"/>
      <c r="Z1142" s="25"/>
    </row>
    <row r="1143" spans="1:26" ht="15.75" customHeight="1" x14ac:dyDescent="0.25">
      <c r="A1143" s="25">
        <v>1141</v>
      </c>
      <c r="B1143" s="37" t="e">
        <f t="shared" ref="B1143:D1143" si="2299">VLOOKUP($A1143,'[3]Gestión Pública'!$A$1:$O$251,B$1,0)</f>
        <v>#N/A</v>
      </c>
      <c r="C1143" s="38" t="e">
        <f t="shared" si="2299"/>
        <v>#N/A</v>
      </c>
      <c r="D1143" s="39" t="e">
        <f t="shared" si="2299"/>
        <v>#N/A</v>
      </c>
      <c r="E1143" s="16" t="e">
        <f t="shared" si="1"/>
        <v>#N/A</v>
      </c>
      <c r="F1143" s="16" t="e">
        <f t="shared" ref="F1143:K1143" si="2300">VLOOKUP($A1143,'[3]Gestión Pública'!$A$1:$O$251,F$1,0)</f>
        <v>#N/A</v>
      </c>
      <c r="G1143" s="39" t="e">
        <f t="shared" si="2300"/>
        <v>#N/A</v>
      </c>
      <c r="H1143" s="16" t="e">
        <f t="shared" si="2300"/>
        <v>#N/A</v>
      </c>
      <c r="I1143" s="16" t="e">
        <f t="shared" si="2300"/>
        <v>#N/A</v>
      </c>
      <c r="J1143" s="40" t="e">
        <f t="shared" si="2300"/>
        <v>#N/A</v>
      </c>
      <c r="K1143" s="16" t="e">
        <f t="shared" si="2300"/>
        <v>#N/A</v>
      </c>
      <c r="L1143" s="40" t="e">
        <f t="shared" si="1817"/>
        <v>#N/A</v>
      </c>
      <c r="M1143" s="16" t="e">
        <f t="shared" si="1818"/>
        <v>#N/A</v>
      </c>
      <c r="N1143" s="16" t="e">
        <f t="shared" si="1819"/>
        <v>#N/A</v>
      </c>
      <c r="O1143" s="16" t="s">
        <v>67</v>
      </c>
      <c r="P1143" s="16" t="str">
        <f t="shared" si="6"/>
        <v/>
      </c>
      <c r="Q1143" s="41" t="e">
        <f t="shared" si="1820"/>
        <v>#N/A</v>
      </c>
      <c r="R1143" s="44"/>
      <c r="S1143" s="44"/>
      <c r="T1143" s="43"/>
      <c r="U1143" s="43" t="str">
        <f t="shared" si="8"/>
        <v>No</v>
      </c>
      <c r="V1143" s="25"/>
      <c r="W1143" s="25"/>
      <c r="X1143" s="25"/>
      <c r="Y1143" s="25"/>
      <c r="Z1143" s="25"/>
    </row>
    <row r="1144" spans="1:26" ht="15.75" customHeight="1" x14ac:dyDescent="0.25">
      <c r="A1144" s="25">
        <v>1142</v>
      </c>
      <c r="B1144" s="37" t="e">
        <f t="shared" ref="B1144:D1144" si="2301">VLOOKUP($A1144,'[3]Gestión Pública'!$A$1:$O$251,B$1,0)</f>
        <v>#N/A</v>
      </c>
      <c r="C1144" s="38" t="e">
        <f t="shared" si="2301"/>
        <v>#N/A</v>
      </c>
      <c r="D1144" s="39" t="e">
        <f t="shared" si="2301"/>
        <v>#N/A</v>
      </c>
      <c r="E1144" s="16" t="e">
        <f t="shared" si="1"/>
        <v>#N/A</v>
      </c>
      <c r="F1144" s="16" t="e">
        <f t="shared" ref="F1144:K1144" si="2302">VLOOKUP($A1144,'[3]Gestión Pública'!$A$1:$O$251,F$1,0)</f>
        <v>#N/A</v>
      </c>
      <c r="G1144" s="39" t="e">
        <f t="shared" si="2302"/>
        <v>#N/A</v>
      </c>
      <c r="H1144" s="16" t="e">
        <f t="shared" si="2302"/>
        <v>#N/A</v>
      </c>
      <c r="I1144" s="16" t="e">
        <f t="shared" si="2302"/>
        <v>#N/A</v>
      </c>
      <c r="J1144" s="40" t="e">
        <f t="shared" si="2302"/>
        <v>#N/A</v>
      </c>
      <c r="K1144" s="16" t="e">
        <f t="shared" si="2302"/>
        <v>#N/A</v>
      </c>
      <c r="L1144" s="40" t="e">
        <f t="shared" si="1817"/>
        <v>#N/A</v>
      </c>
      <c r="M1144" s="16" t="e">
        <f t="shared" si="1818"/>
        <v>#N/A</v>
      </c>
      <c r="N1144" s="16" t="e">
        <f t="shared" si="1819"/>
        <v>#N/A</v>
      </c>
      <c r="O1144" s="16" t="s">
        <v>67</v>
      </c>
      <c r="P1144" s="16" t="str">
        <f t="shared" si="6"/>
        <v/>
      </c>
      <c r="Q1144" s="41" t="e">
        <f t="shared" si="1820"/>
        <v>#N/A</v>
      </c>
      <c r="R1144" s="44"/>
      <c r="S1144" s="44"/>
      <c r="T1144" s="43"/>
      <c r="U1144" s="43" t="str">
        <f t="shared" si="8"/>
        <v>No</v>
      </c>
      <c r="V1144" s="25"/>
      <c r="W1144" s="25"/>
      <c r="X1144" s="25"/>
      <c r="Y1144" s="25"/>
      <c r="Z1144" s="25"/>
    </row>
    <row r="1145" spans="1:26" ht="15.75" customHeight="1" x14ac:dyDescent="0.25">
      <c r="A1145" s="25">
        <v>1143</v>
      </c>
      <c r="B1145" s="37" t="e">
        <f t="shared" ref="B1145:D1145" si="2303">VLOOKUP($A1145,'[3]Gestión Pública'!$A$1:$O$251,B$1,0)</f>
        <v>#N/A</v>
      </c>
      <c r="C1145" s="38" t="e">
        <f t="shared" si="2303"/>
        <v>#N/A</v>
      </c>
      <c r="D1145" s="39" t="e">
        <f t="shared" si="2303"/>
        <v>#N/A</v>
      </c>
      <c r="E1145" s="16" t="e">
        <f t="shared" si="1"/>
        <v>#N/A</v>
      </c>
      <c r="F1145" s="16" t="e">
        <f t="shared" ref="F1145:K1145" si="2304">VLOOKUP($A1145,'[3]Gestión Pública'!$A$1:$O$251,F$1,0)</f>
        <v>#N/A</v>
      </c>
      <c r="G1145" s="39" t="e">
        <f t="shared" si="2304"/>
        <v>#N/A</v>
      </c>
      <c r="H1145" s="16" t="e">
        <f t="shared" si="2304"/>
        <v>#N/A</v>
      </c>
      <c r="I1145" s="16" t="e">
        <f t="shared" si="2304"/>
        <v>#N/A</v>
      </c>
      <c r="J1145" s="40" t="e">
        <f t="shared" si="2304"/>
        <v>#N/A</v>
      </c>
      <c r="K1145" s="16" t="e">
        <f t="shared" si="2304"/>
        <v>#N/A</v>
      </c>
      <c r="L1145" s="40" t="e">
        <f t="shared" si="1817"/>
        <v>#N/A</v>
      </c>
      <c r="M1145" s="16" t="e">
        <f t="shared" si="1818"/>
        <v>#N/A</v>
      </c>
      <c r="N1145" s="16" t="e">
        <f t="shared" si="1819"/>
        <v>#N/A</v>
      </c>
      <c r="O1145" s="16" t="s">
        <v>67</v>
      </c>
      <c r="P1145" s="16" t="str">
        <f t="shared" si="6"/>
        <v/>
      </c>
      <c r="Q1145" s="41" t="e">
        <f t="shared" si="1820"/>
        <v>#N/A</v>
      </c>
      <c r="R1145" s="44"/>
      <c r="S1145" s="44"/>
      <c r="T1145" s="43"/>
      <c r="U1145" s="43" t="str">
        <f t="shared" si="8"/>
        <v>No</v>
      </c>
      <c r="V1145" s="25"/>
      <c r="W1145" s="25"/>
      <c r="X1145" s="25"/>
      <c r="Y1145" s="25"/>
      <c r="Z1145" s="25"/>
    </row>
    <row r="1146" spans="1:26" ht="15.75" customHeight="1" x14ac:dyDescent="0.25">
      <c r="A1146" s="25">
        <v>1144</v>
      </c>
      <c r="B1146" s="37" t="e">
        <f t="shared" ref="B1146:D1146" si="2305">VLOOKUP($A1146,'[3]Gestión Pública'!$A$1:$O$251,B$1,0)</f>
        <v>#N/A</v>
      </c>
      <c r="C1146" s="38" t="e">
        <f t="shared" si="2305"/>
        <v>#N/A</v>
      </c>
      <c r="D1146" s="39" t="e">
        <f t="shared" si="2305"/>
        <v>#N/A</v>
      </c>
      <c r="E1146" s="16" t="e">
        <f t="shared" si="1"/>
        <v>#N/A</v>
      </c>
      <c r="F1146" s="16" t="e">
        <f t="shared" ref="F1146:K1146" si="2306">VLOOKUP($A1146,'[3]Gestión Pública'!$A$1:$O$251,F$1,0)</f>
        <v>#N/A</v>
      </c>
      <c r="G1146" s="39" t="e">
        <f t="shared" si="2306"/>
        <v>#N/A</v>
      </c>
      <c r="H1146" s="16" t="e">
        <f t="shared" si="2306"/>
        <v>#N/A</v>
      </c>
      <c r="I1146" s="16" t="e">
        <f t="shared" si="2306"/>
        <v>#N/A</v>
      </c>
      <c r="J1146" s="40" t="e">
        <f t="shared" si="2306"/>
        <v>#N/A</v>
      </c>
      <c r="K1146" s="16" t="e">
        <f t="shared" si="2306"/>
        <v>#N/A</v>
      </c>
      <c r="L1146" s="40" t="e">
        <f t="shared" si="1817"/>
        <v>#N/A</v>
      </c>
      <c r="M1146" s="16" t="e">
        <f t="shared" si="1818"/>
        <v>#N/A</v>
      </c>
      <c r="N1146" s="16" t="e">
        <f t="shared" si="1819"/>
        <v>#N/A</v>
      </c>
      <c r="O1146" s="16" t="s">
        <v>67</v>
      </c>
      <c r="P1146" s="16" t="str">
        <f t="shared" si="6"/>
        <v/>
      </c>
      <c r="Q1146" s="41" t="e">
        <f t="shared" si="1820"/>
        <v>#N/A</v>
      </c>
      <c r="R1146" s="44"/>
      <c r="S1146" s="44"/>
      <c r="T1146" s="43"/>
      <c r="U1146" s="43" t="str">
        <f t="shared" si="8"/>
        <v>No</v>
      </c>
      <c r="V1146" s="25"/>
      <c r="W1146" s="25"/>
      <c r="X1146" s="25"/>
      <c r="Y1146" s="25"/>
      <c r="Z1146" s="25"/>
    </row>
    <row r="1147" spans="1:26" ht="15.75" customHeight="1" x14ac:dyDescent="0.25">
      <c r="A1147" s="25">
        <v>1145</v>
      </c>
      <c r="B1147" s="37" t="e">
        <f t="shared" ref="B1147:D1147" si="2307">VLOOKUP($A1147,'[3]Gestión Pública'!$A$1:$O$251,B$1,0)</f>
        <v>#N/A</v>
      </c>
      <c r="C1147" s="38" t="e">
        <f t="shared" si="2307"/>
        <v>#N/A</v>
      </c>
      <c r="D1147" s="39" t="e">
        <f t="shared" si="2307"/>
        <v>#N/A</v>
      </c>
      <c r="E1147" s="16" t="e">
        <f t="shared" si="1"/>
        <v>#N/A</v>
      </c>
      <c r="F1147" s="16" t="e">
        <f t="shared" ref="F1147:K1147" si="2308">VLOOKUP($A1147,'[3]Gestión Pública'!$A$1:$O$251,F$1,0)</f>
        <v>#N/A</v>
      </c>
      <c r="G1147" s="39" t="e">
        <f t="shared" si="2308"/>
        <v>#N/A</v>
      </c>
      <c r="H1147" s="16" t="e">
        <f t="shared" si="2308"/>
        <v>#N/A</v>
      </c>
      <c r="I1147" s="16" t="e">
        <f t="shared" si="2308"/>
        <v>#N/A</v>
      </c>
      <c r="J1147" s="40" t="e">
        <f t="shared" si="2308"/>
        <v>#N/A</v>
      </c>
      <c r="K1147" s="16" t="e">
        <f t="shared" si="2308"/>
        <v>#N/A</v>
      </c>
      <c r="L1147" s="40" t="e">
        <f t="shared" si="1817"/>
        <v>#N/A</v>
      </c>
      <c r="M1147" s="16" t="e">
        <f t="shared" si="1818"/>
        <v>#N/A</v>
      </c>
      <c r="N1147" s="16" t="e">
        <f t="shared" si="1819"/>
        <v>#N/A</v>
      </c>
      <c r="O1147" s="16" t="s">
        <v>67</v>
      </c>
      <c r="P1147" s="16" t="str">
        <f t="shared" si="6"/>
        <v/>
      </c>
      <c r="Q1147" s="41" t="e">
        <f t="shared" si="1820"/>
        <v>#N/A</v>
      </c>
      <c r="R1147" s="44"/>
      <c r="S1147" s="44"/>
      <c r="T1147" s="43"/>
      <c r="U1147" s="43" t="str">
        <f t="shared" si="8"/>
        <v>No</v>
      </c>
      <c r="V1147" s="25"/>
      <c r="W1147" s="25"/>
      <c r="X1147" s="25"/>
      <c r="Y1147" s="25"/>
      <c r="Z1147" s="25"/>
    </row>
    <row r="1148" spans="1:26" ht="15.75" customHeight="1" x14ac:dyDescent="0.25">
      <c r="A1148" s="25">
        <v>1146</v>
      </c>
      <c r="B1148" s="37" t="e">
        <f t="shared" ref="B1148:D1148" si="2309">VLOOKUP($A1148,'[3]Gestión Pública'!$A$1:$O$251,B$1,0)</f>
        <v>#N/A</v>
      </c>
      <c r="C1148" s="38" t="e">
        <f t="shared" si="2309"/>
        <v>#N/A</v>
      </c>
      <c r="D1148" s="39" t="e">
        <f t="shared" si="2309"/>
        <v>#N/A</v>
      </c>
      <c r="E1148" s="16" t="e">
        <f t="shared" si="1"/>
        <v>#N/A</v>
      </c>
      <c r="F1148" s="16" t="e">
        <f t="shared" ref="F1148:K1148" si="2310">VLOOKUP($A1148,'[3]Gestión Pública'!$A$1:$O$251,F$1,0)</f>
        <v>#N/A</v>
      </c>
      <c r="G1148" s="39" t="e">
        <f t="shared" si="2310"/>
        <v>#N/A</v>
      </c>
      <c r="H1148" s="16" t="e">
        <f t="shared" si="2310"/>
        <v>#N/A</v>
      </c>
      <c r="I1148" s="16" t="e">
        <f t="shared" si="2310"/>
        <v>#N/A</v>
      </c>
      <c r="J1148" s="40" t="e">
        <f t="shared" si="2310"/>
        <v>#N/A</v>
      </c>
      <c r="K1148" s="16" t="e">
        <f t="shared" si="2310"/>
        <v>#N/A</v>
      </c>
      <c r="L1148" s="40" t="e">
        <f t="shared" si="1817"/>
        <v>#N/A</v>
      </c>
      <c r="M1148" s="16" t="e">
        <f t="shared" si="1818"/>
        <v>#N/A</v>
      </c>
      <c r="N1148" s="16" t="e">
        <f t="shared" si="1819"/>
        <v>#N/A</v>
      </c>
      <c r="O1148" s="16" t="s">
        <v>67</v>
      </c>
      <c r="P1148" s="16" t="str">
        <f t="shared" si="6"/>
        <v/>
      </c>
      <c r="Q1148" s="41" t="e">
        <f t="shared" si="1820"/>
        <v>#N/A</v>
      </c>
      <c r="R1148" s="44"/>
      <c r="S1148" s="44"/>
      <c r="T1148" s="43"/>
      <c r="U1148" s="43" t="str">
        <f t="shared" si="8"/>
        <v>No</v>
      </c>
      <c r="V1148" s="25"/>
      <c r="W1148" s="25"/>
      <c r="X1148" s="25"/>
      <c r="Y1148" s="25"/>
      <c r="Z1148" s="25"/>
    </row>
    <row r="1149" spans="1:26" ht="15.75" customHeight="1" x14ac:dyDescent="0.25">
      <c r="A1149" s="25">
        <v>1147</v>
      </c>
      <c r="B1149" s="37" t="e">
        <f t="shared" ref="B1149:D1149" si="2311">VLOOKUP($A1149,'[3]Gestión Pública'!$A$1:$O$251,B$1,0)</f>
        <v>#N/A</v>
      </c>
      <c r="C1149" s="38" t="e">
        <f t="shared" si="2311"/>
        <v>#N/A</v>
      </c>
      <c r="D1149" s="39" t="e">
        <f t="shared" si="2311"/>
        <v>#N/A</v>
      </c>
      <c r="E1149" s="16" t="e">
        <f t="shared" si="1"/>
        <v>#N/A</v>
      </c>
      <c r="F1149" s="16" t="e">
        <f t="shared" ref="F1149:K1149" si="2312">VLOOKUP($A1149,'[3]Gestión Pública'!$A$1:$O$251,F$1,0)</f>
        <v>#N/A</v>
      </c>
      <c r="G1149" s="39" t="e">
        <f t="shared" si="2312"/>
        <v>#N/A</v>
      </c>
      <c r="H1149" s="16" t="e">
        <f t="shared" si="2312"/>
        <v>#N/A</v>
      </c>
      <c r="I1149" s="16" t="e">
        <f t="shared" si="2312"/>
        <v>#N/A</v>
      </c>
      <c r="J1149" s="40" t="e">
        <f t="shared" si="2312"/>
        <v>#N/A</v>
      </c>
      <c r="K1149" s="16" t="e">
        <f t="shared" si="2312"/>
        <v>#N/A</v>
      </c>
      <c r="L1149" s="40" t="e">
        <f t="shared" si="1817"/>
        <v>#N/A</v>
      </c>
      <c r="M1149" s="16" t="e">
        <f t="shared" si="1818"/>
        <v>#N/A</v>
      </c>
      <c r="N1149" s="16" t="e">
        <f t="shared" si="1819"/>
        <v>#N/A</v>
      </c>
      <c r="O1149" s="16" t="s">
        <v>67</v>
      </c>
      <c r="P1149" s="16" t="str">
        <f t="shared" si="6"/>
        <v/>
      </c>
      <c r="Q1149" s="41" t="e">
        <f t="shared" si="1820"/>
        <v>#N/A</v>
      </c>
      <c r="R1149" s="44"/>
      <c r="S1149" s="44"/>
      <c r="T1149" s="43"/>
      <c r="U1149" s="43" t="str">
        <f t="shared" si="8"/>
        <v>No</v>
      </c>
      <c r="V1149" s="25"/>
      <c r="W1149" s="25"/>
      <c r="X1149" s="25"/>
      <c r="Y1149" s="25"/>
      <c r="Z1149" s="25"/>
    </row>
    <row r="1150" spans="1:26" ht="15.75" customHeight="1" x14ac:dyDescent="0.25">
      <c r="A1150" s="25">
        <v>1148</v>
      </c>
      <c r="B1150" s="37" t="e">
        <f t="shared" ref="B1150:D1150" si="2313">VLOOKUP($A1150,'[3]Gestión Pública'!$A$1:$O$251,B$1,0)</f>
        <v>#N/A</v>
      </c>
      <c r="C1150" s="38" t="e">
        <f t="shared" si="2313"/>
        <v>#N/A</v>
      </c>
      <c r="D1150" s="39" t="e">
        <f t="shared" si="2313"/>
        <v>#N/A</v>
      </c>
      <c r="E1150" s="16" t="e">
        <f t="shared" si="1"/>
        <v>#N/A</v>
      </c>
      <c r="F1150" s="16" t="e">
        <f t="shared" ref="F1150:K1150" si="2314">VLOOKUP($A1150,'[3]Gestión Pública'!$A$1:$O$251,F$1,0)</f>
        <v>#N/A</v>
      </c>
      <c r="G1150" s="39" t="e">
        <f t="shared" si="2314"/>
        <v>#N/A</v>
      </c>
      <c r="H1150" s="16" t="e">
        <f t="shared" si="2314"/>
        <v>#N/A</v>
      </c>
      <c r="I1150" s="16" t="e">
        <f t="shared" si="2314"/>
        <v>#N/A</v>
      </c>
      <c r="J1150" s="40" t="e">
        <f t="shared" si="2314"/>
        <v>#N/A</v>
      </c>
      <c r="K1150" s="16" t="e">
        <f t="shared" si="2314"/>
        <v>#N/A</v>
      </c>
      <c r="L1150" s="40" t="e">
        <f t="shared" si="1817"/>
        <v>#N/A</v>
      </c>
      <c r="M1150" s="16" t="e">
        <f t="shared" si="1818"/>
        <v>#N/A</v>
      </c>
      <c r="N1150" s="16" t="e">
        <f t="shared" si="1819"/>
        <v>#N/A</v>
      </c>
      <c r="O1150" s="16" t="s">
        <v>67</v>
      </c>
      <c r="P1150" s="16" t="str">
        <f t="shared" si="6"/>
        <v/>
      </c>
      <c r="Q1150" s="41" t="e">
        <f t="shared" si="1820"/>
        <v>#N/A</v>
      </c>
      <c r="R1150" s="44"/>
      <c r="S1150" s="44"/>
      <c r="T1150" s="43"/>
      <c r="U1150" s="43" t="str">
        <f t="shared" si="8"/>
        <v>No</v>
      </c>
      <c r="V1150" s="25"/>
      <c r="W1150" s="25"/>
      <c r="X1150" s="25"/>
      <c r="Y1150" s="25"/>
      <c r="Z1150" s="25"/>
    </row>
    <row r="1151" spans="1:26" ht="15.75" customHeight="1" x14ac:dyDescent="0.25">
      <c r="A1151" s="25">
        <v>1149</v>
      </c>
      <c r="B1151" s="37" t="e">
        <f t="shared" ref="B1151:D1151" si="2315">VLOOKUP($A1151,'[3]Gestión Pública'!$A$1:$O$251,B$1,0)</f>
        <v>#N/A</v>
      </c>
      <c r="C1151" s="38" t="e">
        <f t="shared" si="2315"/>
        <v>#N/A</v>
      </c>
      <c r="D1151" s="39" t="e">
        <f t="shared" si="2315"/>
        <v>#N/A</v>
      </c>
      <c r="E1151" s="16" t="e">
        <f t="shared" si="1"/>
        <v>#N/A</v>
      </c>
      <c r="F1151" s="16" t="e">
        <f t="shared" ref="F1151:K1151" si="2316">VLOOKUP($A1151,'[3]Gestión Pública'!$A$1:$O$251,F$1,0)</f>
        <v>#N/A</v>
      </c>
      <c r="G1151" s="39" t="e">
        <f t="shared" si="2316"/>
        <v>#N/A</v>
      </c>
      <c r="H1151" s="16" t="e">
        <f t="shared" si="2316"/>
        <v>#N/A</v>
      </c>
      <c r="I1151" s="16" t="e">
        <f t="shared" si="2316"/>
        <v>#N/A</v>
      </c>
      <c r="J1151" s="40" t="e">
        <f t="shared" si="2316"/>
        <v>#N/A</v>
      </c>
      <c r="K1151" s="16" t="e">
        <f t="shared" si="2316"/>
        <v>#N/A</v>
      </c>
      <c r="L1151" s="40" t="e">
        <f t="shared" si="1817"/>
        <v>#N/A</v>
      </c>
      <c r="M1151" s="16" t="e">
        <f t="shared" si="1818"/>
        <v>#N/A</v>
      </c>
      <c r="N1151" s="16" t="e">
        <f t="shared" si="1819"/>
        <v>#N/A</v>
      </c>
      <c r="O1151" s="16" t="s">
        <v>67</v>
      </c>
      <c r="P1151" s="16" t="str">
        <f t="shared" si="6"/>
        <v/>
      </c>
      <c r="Q1151" s="41" t="e">
        <f t="shared" si="1820"/>
        <v>#N/A</v>
      </c>
      <c r="R1151" s="44"/>
      <c r="S1151" s="44"/>
      <c r="T1151" s="43"/>
      <c r="U1151" s="43" t="str">
        <f t="shared" si="8"/>
        <v>No</v>
      </c>
      <c r="V1151" s="25"/>
      <c r="W1151" s="25"/>
      <c r="X1151" s="25"/>
      <c r="Y1151" s="25"/>
      <c r="Z1151" s="25"/>
    </row>
    <row r="1152" spans="1:26" ht="15.75" customHeight="1" x14ac:dyDescent="0.25">
      <c r="A1152" s="25">
        <v>1150</v>
      </c>
      <c r="B1152" s="37" t="e">
        <f t="shared" ref="B1152:D1152" si="2317">VLOOKUP($A1152,'[3]Gestión Pública'!$A$1:$O$251,B$1,0)</f>
        <v>#N/A</v>
      </c>
      <c r="C1152" s="38" t="e">
        <f t="shared" si="2317"/>
        <v>#N/A</v>
      </c>
      <c r="D1152" s="39" t="e">
        <f t="shared" si="2317"/>
        <v>#N/A</v>
      </c>
      <c r="E1152" s="16" t="e">
        <f t="shared" si="1"/>
        <v>#N/A</v>
      </c>
      <c r="F1152" s="16" t="e">
        <f t="shared" ref="F1152:K1152" si="2318">VLOOKUP($A1152,'[3]Gestión Pública'!$A$1:$O$251,F$1,0)</f>
        <v>#N/A</v>
      </c>
      <c r="G1152" s="39" t="e">
        <f t="shared" si="2318"/>
        <v>#N/A</v>
      </c>
      <c r="H1152" s="16" t="e">
        <f t="shared" si="2318"/>
        <v>#N/A</v>
      </c>
      <c r="I1152" s="16" t="e">
        <f t="shared" si="2318"/>
        <v>#N/A</v>
      </c>
      <c r="J1152" s="40" t="e">
        <f t="shared" si="2318"/>
        <v>#N/A</v>
      </c>
      <c r="K1152" s="16" t="e">
        <f t="shared" si="2318"/>
        <v>#N/A</v>
      </c>
      <c r="L1152" s="40" t="e">
        <f t="shared" si="1817"/>
        <v>#N/A</v>
      </c>
      <c r="M1152" s="16" t="e">
        <f t="shared" si="1818"/>
        <v>#N/A</v>
      </c>
      <c r="N1152" s="16" t="e">
        <f t="shared" si="1819"/>
        <v>#N/A</v>
      </c>
      <c r="O1152" s="16" t="s">
        <v>67</v>
      </c>
      <c r="P1152" s="16" t="str">
        <f t="shared" si="6"/>
        <v/>
      </c>
      <c r="Q1152" s="41" t="e">
        <f t="shared" si="1820"/>
        <v>#N/A</v>
      </c>
      <c r="R1152" s="44"/>
      <c r="S1152" s="44"/>
      <c r="T1152" s="43"/>
      <c r="U1152" s="43" t="str">
        <f t="shared" si="8"/>
        <v>No</v>
      </c>
      <c r="V1152" s="25"/>
      <c r="W1152" s="25"/>
      <c r="X1152" s="25"/>
      <c r="Y1152" s="25"/>
      <c r="Z1152" s="25"/>
    </row>
    <row r="1153" spans="1:26" ht="15.75" customHeight="1" x14ac:dyDescent="0.25">
      <c r="A1153" s="25">
        <v>1151</v>
      </c>
      <c r="B1153" s="37" t="e">
        <f t="shared" ref="B1153:D1153" si="2319">VLOOKUP($A1153,'[3]Gestión Pública'!$A$1:$O$251,B$1,0)</f>
        <v>#N/A</v>
      </c>
      <c r="C1153" s="38" t="e">
        <f t="shared" si="2319"/>
        <v>#N/A</v>
      </c>
      <c r="D1153" s="39" t="e">
        <f t="shared" si="2319"/>
        <v>#N/A</v>
      </c>
      <c r="E1153" s="16" t="e">
        <f t="shared" si="1"/>
        <v>#N/A</v>
      </c>
      <c r="F1153" s="16" t="e">
        <f t="shared" ref="F1153:K1153" si="2320">VLOOKUP($A1153,'[3]Gestión Pública'!$A$1:$O$251,F$1,0)</f>
        <v>#N/A</v>
      </c>
      <c r="G1153" s="39" t="e">
        <f t="shared" si="2320"/>
        <v>#N/A</v>
      </c>
      <c r="H1153" s="16" t="e">
        <f t="shared" si="2320"/>
        <v>#N/A</v>
      </c>
      <c r="I1153" s="16" t="e">
        <f t="shared" si="2320"/>
        <v>#N/A</v>
      </c>
      <c r="J1153" s="40" t="e">
        <f t="shared" si="2320"/>
        <v>#N/A</v>
      </c>
      <c r="K1153" s="16" t="e">
        <f t="shared" si="2320"/>
        <v>#N/A</v>
      </c>
      <c r="L1153" s="40" t="e">
        <f t="shared" si="1817"/>
        <v>#N/A</v>
      </c>
      <c r="M1153" s="16" t="e">
        <f t="shared" si="1818"/>
        <v>#N/A</v>
      </c>
      <c r="N1153" s="16" t="e">
        <f t="shared" si="1819"/>
        <v>#N/A</v>
      </c>
      <c r="O1153" s="16" t="s">
        <v>67</v>
      </c>
      <c r="P1153" s="16" t="str">
        <f t="shared" si="6"/>
        <v/>
      </c>
      <c r="Q1153" s="41" t="e">
        <f t="shared" si="1820"/>
        <v>#N/A</v>
      </c>
      <c r="R1153" s="44"/>
      <c r="S1153" s="44"/>
      <c r="T1153" s="43"/>
      <c r="U1153" s="43" t="str">
        <f t="shared" si="8"/>
        <v>No</v>
      </c>
      <c r="V1153" s="25"/>
      <c r="W1153" s="25"/>
      <c r="X1153" s="25"/>
      <c r="Y1153" s="25"/>
      <c r="Z1153" s="25"/>
    </row>
    <row r="1154" spans="1:26" ht="15.75" customHeight="1" x14ac:dyDescent="0.25">
      <c r="A1154" s="25">
        <v>1152</v>
      </c>
      <c r="B1154" s="37" t="e">
        <f t="shared" ref="B1154:D1154" si="2321">VLOOKUP($A1154,'[3]Gestión Pública'!$A$1:$O$251,B$1,0)</f>
        <v>#N/A</v>
      </c>
      <c r="C1154" s="38" t="e">
        <f t="shared" si="2321"/>
        <v>#N/A</v>
      </c>
      <c r="D1154" s="39" t="e">
        <f t="shared" si="2321"/>
        <v>#N/A</v>
      </c>
      <c r="E1154" s="16" t="e">
        <f t="shared" si="1"/>
        <v>#N/A</v>
      </c>
      <c r="F1154" s="16" t="e">
        <f t="shared" ref="F1154:K1154" si="2322">VLOOKUP($A1154,'[3]Gestión Pública'!$A$1:$O$251,F$1,0)</f>
        <v>#N/A</v>
      </c>
      <c r="G1154" s="39" t="e">
        <f t="shared" si="2322"/>
        <v>#N/A</v>
      </c>
      <c r="H1154" s="16" t="e">
        <f t="shared" si="2322"/>
        <v>#N/A</v>
      </c>
      <c r="I1154" s="16" t="e">
        <f t="shared" si="2322"/>
        <v>#N/A</v>
      </c>
      <c r="J1154" s="40" t="e">
        <f t="shared" si="2322"/>
        <v>#N/A</v>
      </c>
      <c r="K1154" s="16" t="e">
        <f t="shared" si="2322"/>
        <v>#N/A</v>
      </c>
      <c r="L1154" s="40" t="e">
        <f t="shared" si="1817"/>
        <v>#N/A</v>
      </c>
      <c r="M1154" s="16" t="e">
        <f t="shared" si="1818"/>
        <v>#N/A</v>
      </c>
      <c r="N1154" s="16" t="e">
        <f t="shared" si="1819"/>
        <v>#N/A</v>
      </c>
      <c r="O1154" s="16" t="s">
        <v>67</v>
      </c>
      <c r="P1154" s="16" t="str">
        <f t="shared" si="6"/>
        <v/>
      </c>
      <c r="Q1154" s="41" t="e">
        <f t="shared" si="1820"/>
        <v>#N/A</v>
      </c>
      <c r="R1154" s="44"/>
      <c r="S1154" s="44"/>
      <c r="T1154" s="43"/>
      <c r="U1154" s="43" t="str">
        <f t="shared" si="8"/>
        <v>No</v>
      </c>
      <c r="V1154" s="25"/>
      <c r="W1154" s="25"/>
      <c r="X1154" s="25"/>
      <c r="Y1154" s="25"/>
      <c r="Z1154" s="25"/>
    </row>
    <row r="1155" spans="1:26" ht="15.75" customHeight="1" x14ac:dyDescent="0.25">
      <c r="A1155" s="25">
        <v>1153</v>
      </c>
      <c r="B1155" s="37" t="e">
        <f t="shared" ref="B1155:D1155" si="2323">VLOOKUP($A1155,'[3]Gestión Pública'!$A$1:$O$251,B$1,0)</f>
        <v>#N/A</v>
      </c>
      <c r="C1155" s="38" t="e">
        <f t="shared" si="2323"/>
        <v>#N/A</v>
      </c>
      <c r="D1155" s="39" t="e">
        <f t="shared" si="2323"/>
        <v>#N/A</v>
      </c>
      <c r="E1155" s="16" t="e">
        <f t="shared" si="1"/>
        <v>#N/A</v>
      </c>
      <c r="F1155" s="16" t="e">
        <f t="shared" ref="F1155:K1155" si="2324">VLOOKUP($A1155,'[3]Gestión Pública'!$A$1:$O$251,F$1,0)</f>
        <v>#N/A</v>
      </c>
      <c r="G1155" s="39" t="e">
        <f t="shared" si="2324"/>
        <v>#N/A</v>
      </c>
      <c r="H1155" s="16" t="e">
        <f t="shared" si="2324"/>
        <v>#N/A</v>
      </c>
      <c r="I1155" s="16" t="e">
        <f t="shared" si="2324"/>
        <v>#N/A</v>
      </c>
      <c r="J1155" s="40" t="e">
        <f t="shared" si="2324"/>
        <v>#N/A</v>
      </c>
      <c r="K1155" s="16" t="e">
        <f t="shared" si="2324"/>
        <v>#N/A</v>
      </c>
      <c r="L1155" s="40" t="e">
        <f t="shared" si="1817"/>
        <v>#N/A</v>
      </c>
      <c r="M1155" s="16" t="e">
        <f t="shared" si="1818"/>
        <v>#N/A</v>
      </c>
      <c r="N1155" s="16" t="e">
        <f t="shared" si="1819"/>
        <v>#N/A</v>
      </c>
      <c r="O1155" s="16" t="s">
        <v>67</v>
      </c>
      <c r="P1155" s="16" t="str">
        <f t="shared" si="6"/>
        <v/>
      </c>
      <c r="Q1155" s="41" t="e">
        <f t="shared" si="1820"/>
        <v>#N/A</v>
      </c>
      <c r="R1155" s="44"/>
      <c r="S1155" s="44"/>
      <c r="T1155" s="43"/>
      <c r="U1155" s="43" t="str">
        <f t="shared" si="8"/>
        <v>No</v>
      </c>
      <c r="V1155" s="25"/>
      <c r="W1155" s="25"/>
      <c r="X1155" s="25"/>
      <c r="Y1155" s="25"/>
      <c r="Z1155" s="25"/>
    </row>
    <row r="1156" spans="1:26" ht="15.75" customHeight="1" x14ac:dyDescent="0.25">
      <c r="A1156" s="25">
        <v>1154</v>
      </c>
      <c r="B1156" s="37" t="e">
        <f t="shared" ref="B1156:D1156" si="2325">VLOOKUP($A1156,'[3]Gestión Pública'!$A$1:$O$251,B$1,0)</f>
        <v>#N/A</v>
      </c>
      <c r="C1156" s="38" t="e">
        <f t="shared" si="2325"/>
        <v>#N/A</v>
      </c>
      <c r="D1156" s="39" t="e">
        <f t="shared" si="2325"/>
        <v>#N/A</v>
      </c>
      <c r="E1156" s="16" t="e">
        <f t="shared" si="1"/>
        <v>#N/A</v>
      </c>
      <c r="F1156" s="16" t="e">
        <f t="shared" ref="F1156:K1156" si="2326">VLOOKUP($A1156,'[3]Gestión Pública'!$A$1:$O$251,F$1,0)</f>
        <v>#N/A</v>
      </c>
      <c r="G1156" s="39" t="e">
        <f t="shared" si="2326"/>
        <v>#N/A</v>
      </c>
      <c r="H1156" s="16" t="e">
        <f t="shared" si="2326"/>
        <v>#N/A</v>
      </c>
      <c r="I1156" s="16" t="e">
        <f t="shared" si="2326"/>
        <v>#N/A</v>
      </c>
      <c r="J1156" s="40" t="e">
        <f t="shared" si="2326"/>
        <v>#N/A</v>
      </c>
      <c r="K1156" s="16" t="e">
        <f t="shared" si="2326"/>
        <v>#N/A</v>
      </c>
      <c r="L1156" s="40" t="e">
        <f t="shared" si="1817"/>
        <v>#N/A</v>
      </c>
      <c r="M1156" s="16" t="e">
        <f t="shared" si="1818"/>
        <v>#N/A</v>
      </c>
      <c r="N1156" s="16" t="e">
        <f t="shared" si="1819"/>
        <v>#N/A</v>
      </c>
      <c r="O1156" s="16" t="s">
        <v>67</v>
      </c>
      <c r="P1156" s="16" t="str">
        <f t="shared" si="6"/>
        <v/>
      </c>
      <c r="Q1156" s="41" t="e">
        <f t="shared" si="1820"/>
        <v>#N/A</v>
      </c>
      <c r="R1156" s="44"/>
      <c r="S1156" s="44"/>
      <c r="T1156" s="43"/>
      <c r="U1156" s="43" t="str">
        <f t="shared" si="8"/>
        <v>No</v>
      </c>
      <c r="V1156" s="25"/>
      <c r="W1156" s="25"/>
      <c r="X1156" s="25"/>
      <c r="Y1156" s="25"/>
      <c r="Z1156" s="25"/>
    </row>
    <row r="1157" spans="1:26" ht="15.75" customHeight="1" x14ac:dyDescent="0.25">
      <c r="A1157" s="25">
        <v>1155</v>
      </c>
      <c r="B1157" s="37" t="e">
        <f t="shared" ref="B1157:D1157" si="2327">VLOOKUP($A1157,'[3]Gestión Pública'!$A$1:$O$251,B$1,0)</f>
        <v>#N/A</v>
      </c>
      <c r="C1157" s="38" t="e">
        <f t="shared" si="2327"/>
        <v>#N/A</v>
      </c>
      <c r="D1157" s="39" t="e">
        <f t="shared" si="2327"/>
        <v>#N/A</v>
      </c>
      <c r="E1157" s="16" t="e">
        <f t="shared" si="1"/>
        <v>#N/A</v>
      </c>
      <c r="F1157" s="16" t="e">
        <f t="shared" ref="F1157:K1157" si="2328">VLOOKUP($A1157,'[3]Gestión Pública'!$A$1:$O$251,F$1,0)</f>
        <v>#N/A</v>
      </c>
      <c r="G1157" s="39" t="e">
        <f t="shared" si="2328"/>
        <v>#N/A</v>
      </c>
      <c r="H1157" s="16" t="e">
        <f t="shared" si="2328"/>
        <v>#N/A</v>
      </c>
      <c r="I1157" s="16" t="e">
        <f t="shared" si="2328"/>
        <v>#N/A</v>
      </c>
      <c r="J1157" s="40" t="e">
        <f t="shared" si="2328"/>
        <v>#N/A</v>
      </c>
      <c r="K1157" s="16" t="e">
        <f t="shared" si="2328"/>
        <v>#N/A</v>
      </c>
      <c r="L1157" s="40" t="e">
        <f t="shared" si="1817"/>
        <v>#N/A</v>
      </c>
      <c r="M1157" s="16" t="e">
        <f t="shared" si="1818"/>
        <v>#N/A</v>
      </c>
      <c r="N1157" s="16" t="e">
        <f t="shared" si="1819"/>
        <v>#N/A</v>
      </c>
      <c r="O1157" s="16" t="s">
        <v>67</v>
      </c>
      <c r="P1157" s="16" t="str">
        <f t="shared" si="6"/>
        <v/>
      </c>
      <c r="Q1157" s="41" t="e">
        <f t="shared" si="1820"/>
        <v>#N/A</v>
      </c>
      <c r="R1157" s="44"/>
      <c r="S1157" s="44"/>
      <c r="T1157" s="43"/>
      <c r="U1157" s="43" t="str">
        <f t="shared" si="8"/>
        <v>No</v>
      </c>
      <c r="V1157" s="25"/>
      <c r="W1157" s="25"/>
      <c r="X1157" s="25"/>
      <c r="Y1157" s="25"/>
      <c r="Z1157" s="25"/>
    </row>
    <row r="1158" spans="1:26" ht="15.75" customHeight="1" x14ac:dyDescent="0.25">
      <c r="A1158" s="25">
        <v>1156</v>
      </c>
      <c r="B1158" s="37" t="e">
        <f t="shared" ref="B1158:D1158" si="2329">VLOOKUP($A1158,'[3]Gestión Pública'!$A$1:$O$251,B$1,0)</f>
        <v>#N/A</v>
      </c>
      <c r="C1158" s="38" t="e">
        <f t="shared" si="2329"/>
        <v>#N/A</v>
      </c>
      <c r="D1158" s="39" t="e">
        <f t="shared" si="2329"/>
        <v>#N/A</v>
      </c>
      <c r="E1158" s="16" t="e">
        <f t="shared" si="1"/>
        <v>#N/A</v>
      </c>
      <c r="F1158" s="16" t="e">
        <f t="shared" ref="F1158:K1158" si="2330">VLOOKUP($A1158,'[3]Gestión Pública'!$A$1:$O$251,F$1,0)</f>
        <v>#N/A</v>
      </c>
      <c r="G1158" s="39" t="e">
        <f t="shared" si="2330"/>
        <v>#N/A</v>
      </c>
      <c r="H1158" s="16" t="e">
        <f t="shared" si="2330"/>
        <v>#N/A</v>
      </c>
      <c r="I1158" s="16" t="e">
        <f t="shared" si="2330"/>
        <v>#N/A</v>
      </c>
      <c r="J1158" s="40" t="e">
        <f t="shared" si="2330"/>
        <v>#N/A</v>
      </c>
      <c r="K1158" s="16" t="e">
        <f t="shared" si="2330"/>
        <v>#N/A</v>
      </c>
      <c r="L1158" s="40" t="e">
        <f t="shared" si="1817"/>
        <v>#N/A</v>
      </c>
      <c r="M1158" s="16" t="e">
        <f t="shared" si="1818"/>
        <v>#N/A</v>
      </c>
      <c r="N1158" s="16" t="e">
        <f t="shared" si="1819"/>
        <v>#N/A</v>
      </c>
      <c r="O1158" s="16" t="s">
        <v>67</v>
      </c>
      <c r="P1158" s="16" t="str">
        <f t="shared" si="6"/>
        <v/>
      </c>
      <c r="Q1158" s="41" t="e">
        <f t="shared" si="1820"/>
        <v>#N/A</v>
      </c>
      <c r="R1158" s="44"/>
      <c r="S1158" s="44"/>
      <c r="T1158" s="43"/>
      <c r="U1158" s="43" t="str">
        <f t="shared" si="8"/>
        <v>No</v>
      </c>
      <c r="V1158" s="25"/>
      <c r="W1158" s="25"/>
      <c r="X1158" s="25"/>
      <c r="Y1158" s="25"/>
      <c r="Z1158" s="25"/>
    </row>
    <row r="1159" spans="1:26" ht="15.75" customHeight="1" x14ac:dyDescent="0.25">
      <c r="A1159" s="25">
        <v>1157</v>
      </c>
      <c r="B1159" s="37" t="e">
        <f t="shared" ref="B1159:D1159" si="2331">VLOOKUP($A1159,'[3]Gestión Pública'!$A$1:$O$251,B$1,0)</f>
        <v>#N/A</v>
      </c>
      <c r="C1159" s="38" t="e">
        <f t="shared" si="2331"/>
        <v>#N/A</v>
      </c>
      <c r="D1159" s="39" t="e">
        <f t="shared" si="2331"/>
        <v>#N/A</v>
      </c>
      <c r="E1159" s="16" t="e">
        <f t="shared" si="1"/>
        <v>#N/A</v>
      </c>
      <c r="F1159" s="16" t="e">
        <f t="shared" ref="F1159:K1159" si="2332">VLOOKUP($A1159,'[3]Gestión Pública'!$A$1:$O$251,F$1,0)</f>
        <v>#N/A</v>
      </c>
      <c r="G1159" s="39" t="e">
        <f t="shared" si="2332"/>
        <v>#N/A</v>
      </c>
      <c r="H1159" s="16" t="e">
        <f t="shared" si="2332"/>
        <v>#N/A</v>
      </c>
      <c r="I1159" s="16" t="e">
        <f t="shared" si="2332"/>
        <v>#N/A</v>
      </c>
      <c r="J1159" s="40" t="e">
        <f t="shared" si="2332"/>
        <v>#N/A</v>
      </c>
      <c r="K1159" s="16" t="e">
        <f t="shared" si="2332"/>
        <v>#N/A</v>
      </c>
      <c r="L1159" s="40" t="e">
        <f t="shared" si="1817"/>
        <v>#N/A</v>
      </c>
      <c r="M1159" s="16" t="e">
        <f t="shared" si="1818"/>
        <v>#N/A</v>
      </c>
      <c r="N1159" s="16" t="e">
        <f t="shared" si="1819"/>
        <v>#N/A</v>
      </c>
      <c r="O1159" s="16" t="s">
        <v>67</v>
      </c>
      <c r="P1159" s="16" t="str">
        <f t="shared" si="6"/>
        <v/>
      </c>
      <c r="Q1159" s="41" t="e">
        <f t="shared" si="1820"/>
        <v>#N/A</v>
      </c>
      <c r="R1159" s="44"/>
      <c r="S1159" s="44"/>
      <c r="T1159" s="43"/>
      <c r="U1159" s="43" t="str">
        <f t="shared" si="8"/>
        <v>No</v>
      </c>
      <c r="V1159" s="25"/>
      <c r="W1159" s="25"/>
      <c r="X1159" s="25"/>
      <c r="Y1159" s="25"/>
      <c r="Z1159" s="25"/>
    </row>
    <row r="1160" spans="1:26" ht="15.75" customHeight="1" x14ac:dyDescent="0.25">
      <c r="A1160" s="25">
        <v>1158</v>
      </c>
      <c r="B1160" s="37" t="e">
        <f t="shared" ref="B1160:D1160" si="2333">VLOOKUP($A1160,'[3]Gestión Pública'!$A$1:$O$251,B$1,0)</f>
        <v>#N/A</v>
      </c>
      <c r="C1160" s="38" t="e">
        <f t="shared" si="2333"/>
        <v>#N/A</v>
      </c>
      <c r="D1160" s="39" t="e">
        <f t="shared" si="2333"/>
        <v>#N/A</v>
      </c>
      <c r="E1160" s="16" t="e">
        <f t="shared" si="1"/>
        <v>#N/A</v>
      </c>
      <c r="F1160" s="16" t="e">
        <f t="shared" ref="F1160:K1160" si="2334">VLOOKUP($A1160,'[3]Gestión Pública'!$A$1:$O$251,F$1,0)</f>
        <v>#N/A</v>
      </c>
      <c r="G1160" s="39" t="e">
        <f t="shared" si="2334"/>
        <v>#N/A</v>
      </c>
      <c r="H1160" s="16" t="e">
        <f t="shared" si="2334"/>
        <v>#N/A</v>
      </c>
      <c r="I1160" s="16" t="e">
        <f t="shared" si="2334"/>
        <v>#N/A</v>
      </c>
      <c r="J1160" s="40" t="e">
        <f t="shared" si="2334"/>
        <v>#N/A</v>
      </c>
      <c r="K1160" s="16" t="e">
        <f t="shared" si="2334"/>
        <v>#N/A</v>
      </c>
      <c r="L1160" s="40" t="e">
        <f t="shared" si="1817"/>
        <v>#N/A</v>
      </c>
      <c r="M1160" s="16" t="e">
        <f t="shared" si="1818"/>
        <v>#N/A</v>
      </c>
      <c r="N1160" s="16" t="e">
        <f t="shared" si="1819"/>
        <v>#N/A</v>
      </c>
      <c r="O1160" s="16" t="s">
        <v>67</v>
      </c>
      <c r="P1160" s="16" t="str">
        <f t="shared" si="6"/>
        <v/>
      </c>
      <c r="Q1160" s="41" t="e">
        <f t="shared" si="1820"/>
        <v>#N/A</v>
      </c>
      <c r="R1160" s="44"/>
      <c r="S1160" s="44"/>
      <c r="T1160" s="43"/>
      <c r="U1160" s="43" t="str">
        <f t="shared" si="8"/>
        <v>No</v>
      </c>
      <c r="V1160" s="25"/>
      <c r="W1160" s="25"/>
      <c r="X1160" s="25"/>
      <c r="Y1160" s="25"/>
      <c r="Z1160" s="25"/>
    </row>
    <row r="1161" spans="1:26" ht="15.75" customHeight="1" x14ac:dyDescent="0.25">
      <c r="A1161" s="25">
        <v>1159</v>
      </c>
      <c r="B1161" s="37" t="e">
        <f t="shared" ref="B1161:D1161" si="2335">VLOOKUP($A1161,'[3]Gestión Pública'!$A$1:$O$251,B$1,0)</f>
        <v>#N/A</v>
      </c>
      <c r="C1161" s="38" t="e">
        <f t="shared" si="2335"/>
        <v>#N/A</v>
      </c>
      <c r="D1161" s="39" t="e">
        <f t="shared" si="2335"/>
        <v>#N/A</v>
      </c>
      <c r="E1161" s="16" t="e">
        <f t="shared" si="1"/>
        <v>#N/A</v>
      </c>
      <c r="F1161" s="16" t="e">
        <f t="shared" ref="F1161:K1161" si="2336">VLOOKUP($A1161,'[3]Gestión Pública'!$A$1:$O$251,F$1,0)</f>
        <v>#N/A</v>
      </c>
      <c r="G1161" s="39" t="e">
        <f t="shared" si="2336"/>
        <v>#N/A</v>
      </c>
      <c r="H1161" s="16" t="e">
        <f t="shared" si="2336"/>
        <v>#N/A</v>
      </c>
      <c r="I1161" s="16" t="e">
        <f t="shared" si="2336"/>
        <v>#N/A</v>
      </c>
      <c r="J1161" s="40" t="e">
        <f t="shared" si="2336"/>
        <v>#N/A</v>
      </c>
      <c r="K1161" s="16" t="e">
        <f t="shared" si="2336"/>
        <v>#N/A</v>
      </c>
      <c r="L1161" s="40" t="e">
        <f t="shared" si="1817"/>
        <v>#N/A</v>
      </c>
      <c r="M1161" s="16" t="e">
        <f t="shared" si="1818"/>
        <v>#N/A</v>
      </c>
      <c r="N1161" s="16" t="e">
        <f t="shared" si="1819"/>
        <v>#N/A</v>
      </c>
      <c r="O1161" s="16" t="s">
        <v>67</v>
      </c>
      <c r="P1161" s="16" t="str">
        <f t="shared" si="6"/>
        <v/>
      </c>
      <c r="Q1161" s="41" t="e">
        <f t="shared" si="1820"/>
        <v>#N/A</v>
      </c>
      <c r="R1161" s="44"/>
      <c r="S1161" s="44"/>
      <c r="T1161" s="43"/>
      <c r="U1161" s="43" t="str">
        <f t="shared" si="8"/>
        <v>No</v>
      </c>
      <c r="V1161" s="25"/>
      <c r="W1161" s="25"/>
      <c r="X1161" s="25"/>
      <c r="Y1161" s="25"/>
      <c r="Z1161" s="25"/>
    </row>
    <row r="1162" spans="1:26" ht="15.75" customHeight="1" x14ac:dyDescent="0.25">
      <c r="A1162" s="25">
        <v>1160</v>
      </c>
      <c r="B1162" s="37" t="e">
        <f t="shared" ref="B1162:D1162" si="2337">VLOOKUP($A1162,'[3]Gestión Pública'!$A$1:$O$251,B$1,0)</f>
        <v>#N/A</v>
      </c>
      <c r="C1162" s="38" t="e">
        <f t="shared" si="2337"/>
        <v>#N/A</v>
      </c>
      <c r="D1162" s="39" t="e">
        <f t="shared" si="2337"/>
        <v>#N/A</v>
      </c>
      <c r="E1162" s="16" t="e">
        <f t="shared" si="1"/>
        <v>#N/A</v>
      </c>
      <c r="F1162" s="16" t="e">
        <f t="shared" ref="F1162:K1162" si="2338">VLOOKUP($A1162,'[3]Gestión Pública'!$A$1:$O$251,F$1,0)</f>
        <v>#N/A</v>
      </c>
      <c r="G1162" s="39" t="e">
        <f t="shared" si="2338"/>
        <v>#N/A</v>
      </c>
      <c r="H1162" s="16" t="e">
        <f t="shared" si="2338"/>
        <v>#N/A</v>
      </c>
      <c r="I1162" s="16" t="e">
        <f t="shared" si="2338"/>
        <v>#N/A</v>
      </c>
      <c r="J1162" s="40" t="e">
        <f t="shared" si="2338"/>
        <v>#N/A</v>
      </c>
      <c r="K1162" s="16" t="e">
        <f t="shared" si="2338"/>
        <v>#N/A</v>
      </c>
      <c r="L1162" s="40" t="e">
        <f t="shared" si="1817"/>
        <v>#N/A</v>
      </c>
      <c r="M1162" s="16" t="e">
        <f t="shared" si="1818"/>
        <v>#N/A</v>
      </c>
      <c r="N1162" s="16" t="e">
        <f t="shared" si="1819"/>
        <v>#N/A</v>
      </c>
      <c r="O1162" s="16" t="s">
        <v>67</v>
      </c>
      <c r="P1162" s="16" t="str">
        <f t="shared" si="6"/>
        <v/>
      </c>
      <c r="Q1162" s="41" t="e">
        <f t="shared" si="1820"/>
        <v>#N/A</v>
      </c>
      <c r="R1162" s="44"/>
      <c r="S1162" s="44"/>
      <c r="T1162" s="43"/>
      <c r="U1162" s="43" t="str">
        <f t="shared" si="8"/>
        <v>No</v>
      </c>
      <c r="V1162" s="25"/>
      <c r="W1162" s="25"/>
      <c r="X1162" s="25"/>
      <c r="Y1162" s="25"/>
      <c r="Z1162" s="25"/>
    </row>
    <row r="1163" spans="1:26" ht="15.75" customHeight="1" x14ac:dyDescent="0.25">
      <c r="A1163" s="25">
        <v>1161</v>
      </c>
      <c r="B1163" s="37" t="e">
        <f t="shared" ref="B1163:D1163" si="2339">VLOOKUP($A1163,'[3]Gestión Pública'!$A$1:$O$251,B$1,0)</f>
        <v>#N/A</v>
      </c>
      <c r="C1163" s="38" t="e">
        <f t="shared" si="2339"/>
        <v>#N/A</v>
      </c>
      <c r="D1163" s="39" t="e">
        <f t="shared" si="2339"/>
        <v>#N/A</v>
      </c>
      <c r="E1163" s="16" t="e">
        <f t="shared" si="1"/>
        <v>#N/A</v>
      </c>
      <c r="F1163" s="16" t="e">
        <f t="shared" ref="F1163:K1163" si="2340">VLOOKUP($A1163,'[3]Gestión Pública'!$A$1:$O$251,F$1,0)</f>
        <v>#N/A</v>
      </c>
      <c r="G1163" s="39" t="e">
        <f t="shared" si="2340"/>
        <v>#N/A</v>
      </c>
      <c r="H1163" s="16" t="e">
        <f t="shared" si="2340"/>
        <v>#N/A</v>
      </c>
      <c r="I1163" s="16" t="e">
        <f t="shared" si="2340"/>
        <v>#N/A</v>
      </c>
      <c r="J1163" s="40" t="e">
        <f t="shared" si="2340"/>
        <v>#N/A</v>
      </c>
      <c r="K1163" s="16" t="e">
        <f t="shared" si="2340"/>
        <v>#N/A</v>
      </c>
      <c r="L1163" s="40" t="e">
        <f t="shared" si="1817"/>
        <v>#N/A</v>
      </c>
      <c r="M1163" s="16" t="e">
        <f t="shared" si="1818"/>
        <v>#N/A</v>
      </c>
      <c r="N1163" s="16" t="e">
        <f t="shared" si="1819"/>
        <v>#N/A</v>
      </c>
      <c r="O1163" s="16" t="s">
        <v>67</v>
      </c>
      <c r="P1163" s="16" t="str">
        <f t="shared" si="6"/>
        <v/>
      </c>
      <c r="Q1163" s="41" t="e">
        <f t="shared" si="1820"/>
        <v>#N/A</v>
      </c>
      <c r="R1163" s="44"/>
      <c r="S1163" s="44"/>
      <c r="T1163" s="43"/>
      <c r="U1163" s="43" t="str">
        <f t="shared" si="8"/>
        <v>No</v>
      </c>
      <c r="V1163" s="25"/>
      <c r="W1163" s="25"/>
      <c r="X1163" s="25"/>
      <c r="Y1163" s="25"/>
      <c r="Z1163" s="25"/>
    </row>
    <row r="1164" spans="1:26" ht="15.75" customHeight="1" x14ac:dyDescent="0.25">
      <c r="A1164" s="25">
        <v>1162</v>
      </c>
      <c r="B1164" s="37" t="e">
        <f t="shared" ref="B1164:D1164" si="2341">VLOOKUP($A1164,'[3]Gestión Pública'!$A$1:$O$251,B$1,0)</f>
        <v>#N/A</v>
      </c>
      <c r="C1164" s="38" t="e">
        <f t="shared" si="2341"/>
        <v>#N/A</v>
      </c>
      <c r="D1164" s="39" t="e">
        <f t="shared" si="2341"/>
        <v>#N/A</v>
      </c>
      <c r="E1164" s="16" t="e">
        <f t="shared" si="1"/>
        <v>#N/A</v>
      </c>
      <c r="F1164" s="16" t="e">
        <f t="shared" ref="F1164:K1164" si="2342">VLOOKUP($A1164,'[3]Gestión Pública'!$A$1:$O$251,F$1,0)</f>
        <v>#N/A</v>
      </c>
      <c r="G1164" s="39" t="e">
        <f t="shared" si="2342"/>
        <v>#N/A</v>
      </c>
      <c r="H1164" s="16" t="e">
        <f t="shared" si="2342"/>
        <v>#N/A</v>
      </c>
      <c r="I1164" s="16" t="e">
        <f t="shared" si="2342"/>
        <v>#N/A</v>
      </c>
      <c r="J1164" s="40" t="e">
        <f t="shared" si="2342"/>
        <v>#N/A</v>
      </c>
      <c r="K1164" s="16" t="e">
        <f t="shared" si="2342"/>
        <v>#N/A</v>
      </c>
      <c r="L1164" s="40" t="e">
        <f t="shared" si="1817"/>
        <v>#N/A</v>
      </c>
      <c r="M1164" s="16" t="e">
        <f t="shared" si="1818"/>
        <v>#N/A</v>
      </c>
      <c r="N1164" s="16" t="e">
        <f t="shared" si="1819"/>
        <v>#N/A</v>
      </c>
      <c r="O1164" s="16" t="s">
        <v>67</v>
      </c>
      <c r="P1164" s="16" t="str">
        <f t="shared" si="6"/>
        <v/>
      </c>
      <c r="Q1164" s="41" t="e">
        <f t="shared" si="1820"/>
        <v>#N/A</v>
      </c>
      <c r="R1164" s="44"/>
      <c r="S1164" s="44"/>
      <c r="T1164" s="43"/>
      <c r="U1164" s="43" t="str">
        <f t="shared" si="8"/>
        <v>No</v>
      </c>
      <c r="V1164" s="25"/>
      <c r="W1164" s="25"/>
      <c r="X1164" s="25"/>
      <c r="Y1164" s="25"/>
      <c r="Z1164" s="25"/>
    </row>
    <row r="1165" spans="1:26" ht="15.75" customHeight="1" x14ac:dyDescent="0.25">
      <c r="A1165" s="25">
        <v>1163</v>
      </c>
      <c r="B1165" s="37" t="e">
        <f t="shared" ref="B1165:D1165" si="2343">VLOOKUP($A1165,'[3]Gestión Pública'!$A$1:$O$251,B$1,0)</f>
        <v>#N/A</v>
      </c>
      <c r="C1165" s="38" t="e">
        <f t="shared" si="2343"/>
        <v>#N/A</v>
      </c>
      <c r="D1165" s="39" t="e">
        <f t="shared" si="2343"/>
        <v>#N/A</v>
      </c>
      <c r="E1165" s="16" t="e">
        <f t="shared" si="1"/>
        <v>#N/A</v>
      </c>
      <c r="F1165" s="16" t="e">
        <f t="shared" ref="F1165:K1165" si="2344">VLOOKUP($A1165,'[3]Gestión Pública'!$A$1:$O$251,F$1,0)</f>
        <v>#N/A</v>
      </c>
      <c r="G1165" s="39" t="e">
        <f t="shared" si="2344"/>
        <v>#N/A</v>
      </c>
      <c r="H1165" s="16" t="e">
        <f t="shared" si="2344"/>
        <v>#N/A</v>
      </c>
      <c r="I1165" s="16" t="e">
        <f t="shared" si="2344"/>
        <v>#N/A</v>
      </c>
      <c r="J1165" s="40" t="e">
        <f t="shared" si="2344"/>
        <v>#N/A</v>
      </c>
      <c r="K1165" s="16" t="e">
        <f t="shared" si="2344"/>
        <v>#N/A</v>
      </c>
      <c r="L1165" s="40" t="e">
        <f t="shared" si="1817"/>
        <v>#N/A</v>
      </c>
      <c r="M1165" s="16" t="e">
        <f t="shared" si="1818"/>
        <v>#N/A</v>
      </c>
      <c r="N1165" s="16" t="e">
        <f t="shared" si="1819"/>
        <v>#N/A</v>
      </c>
      <c r="O1165" s="16" t="s">
        <v>67</v>
      </c>
      <c r="P1165" s="16" t="str">
        <f t="shared" si="6"/>
        <v/>
      </c>
      <c r="Q1165" s="41" t="e">
        <f t="shared" si="1820"/>
        <v>#N/A</v>
      </c>
      <c r="R1165" s="44"/>
      <c r="S1165" s="44"/>
      <c r="T1165" s="43"/>
      <c r="U1165" s="43" t="str">
        <f t="shared" si="8"/>
        <v>No</v>
      </c>
      <c r="V1165" s="25"/>
      <c r="W1165" s="25"/>
      <c r="X1165" s="25"/>
      <c r="Y1165" s="25"/>
      <c r="Z1165" s="25"/>
    </row>
    <row r="1166" spans="1:26" ht="15.75" customHeight="1" x14ac:dyDescent="0.25">
      <c r="A1166" s="25">
        <v>1164</v>
      </c>
      <c r="B1166" s="37" t="e">
        <f t="shared" ref="B1166:D1166" si="2345">VLOOKUP($A1166,'[3]Gestión Pública'!$A$1:$O$251,B$1,0)</f>
        <v>#N/A</v>
      </c>
      <c r="C1166" s="38" t="e">
        <f t="shared" si="2345"/>
        <v>#N/A</v>
      </c>
      <c r="D1166" s="39" t="e">
        <f t="shared" si="2345"/>
        <v>#N/A</v>
      </c>
      <c r="E1166" s="16" t="e">
        <f t="shared" si="1"/>
        <v>#N/A</v>
      </c>
      <c r="F1166" s="16" t="e">
        <f t="shared" ref="F1166:K1166" si="2346">VLOOKUP($A1166,'[3]Gestión Pública'!$A$1:$O$251,F$1,0)</f>
        <v>#N/A</v>
      </c>
      <c r="G1166" s="39" t="e">
        <f t="shared" si="2346"/>
        <v>#N/A</v>
      </c>
      <c r="H1166" s="16" t="e">
        <f t="shared" si="2346"/>
        <v>#N/A</v>
      </c>
      <c r="I1166" s="16" t="e">
        <f t="shared" si="2346"/>
        <v>#N/A</v>
      </c>
      <c r="J1166" s="40" t="e">
        <f t="shared" si="2346"/>
        <v>#N/A</v>
      </c>
      <c r="K1166" s="16" t="e">
        <f t="shared" si="2346"/>
        <v>#N/A</v>
      </c>
      <c r="L1166" s="40" t="e">
        <f t="shared" si="1817"/>
        <v>#N/A</v>
      </c>
      <c r="M1166" s="16" t="e">
        <f t="shared" si="1818"/>
        <v>#N/A</v>
      </c>
      <c r="N1166" s="16" t="e">
        <f t="shared" si="1819"/>
        <v>#N/A</v>
      </c>
      <c r="O1166" s="16" t="s">
        <v>67</v>
      </c>
      <c r="P1166" s="16" t="str">
        <f t="shared" si="6"/>
        <v/>
      </c>
      <c r="Q1166" s="41" t="e">
        <f t="shared" si="1820"/>
        <v>#N/A</v>
      </c>
      <c r="R1166" s="44"/>
      <c r="S1166" s="44"/>
      <c r="T1166" s="43"/>
      <c r="U1166" s="43" t="str">
        <f t="shared" si="8"/>
        <v>No</v>
      </c>
      <c r="V1166" s="25"/>
      <c r="W1166" s="25"/>
      <c r="X1166" s="25"/>
      <c r="Y1166" s="25"/>
      <c r="Z1166" s="25"/>
    </row>
    <row r="1167" spans="1:26" ht="15.75" customHeight="1" x14ac:dyDescent="0.25">
      <c r="A1167" s="25">
        <v>1165</v>
      </c>
      <c r="B1167" s="37" t="e">
        <f t="shared" ref="B1167:D1167" si="2347">VLOOKUP($A1167,'[3]Gestión Pública'!$A$1:$O$251,B$1,0)</f>
        <v>#N/A</v>
      </c>
      <c r="C1167" s="38" t="e">
        <f t="shared" si="2347"/>
        <v>#N/A</v>
      </c>
      <c r="D1167" s="39" t="e">
        <f t="shared" si="2347"/>
        <v>#N/A</v>
      </c>
      <c r="E1167" s="16" t="e">
        <f t="shared" si="1"/>
        <v>#N/A</v>
      </c>
      <c r="F1167" s="16" t="e">
        <f t="shared" ref="F1167:K1167" si="2348">VLOOKUP($A1167,'[3]Gestión Pública'!$A$1:$O$251,F$1,0)</f>
        <v>#N/A</v>
      </c>
      <c r="G1167" s="39" t="e">
        <f t="shared" si="2348"/>
        <v>#N/A</v>
      </c>
      <c r="H1167" s="16" t="e">
        <f t="shared" si="2348"/>
        <v>#N/A</v>
      </c>
      <c r="I1167" s="16" t="e">
        <f t="shared" si="2348"/>
        <v>#N/A</v>
      </c>
      <c r="J1167" s="40" t="e">
        <f t="shared" si="2348"/>
        <v>#N/A</v>
      </c>
      <c r="K1167" s="16" t="e">
        <f t="shared" si="2348"/>
        <v>#N/A</v>
      </c>
      <c r="L1167" s="40" t="e">
        <f t="shared" si="1817"/>
        <v>#N/A</v>
      </c>
      <c r="M1167" s="16" t="e">
        <f t="shared" si="1818"/>
        <v>#N/A</v>
      </c>
      <c r="N1167" s="16" t="e">
        <f t="shared" si="1819"/>
        <v>#N/A</v>
      </c>
      <c r="O1167" s="16" t="s">
        <v>67</v>
      </c>
      <c r="P1167" s="16" t="str">
        <f t="shared" si="6"/>
        <v/>
      </c>
      <c r="Q1167" s="41" t="e">
        <f t="shared" si="1820"/>
        <v>#N/A</v>
      </c>
      <c r="R1167" s="44"/>
      <c r="S1167" s="44"/>
      <c r="T1167" s="43"/>
      <c r="U1167" s="43" t="str">
        <f t="shared" si="8"/>
        <v>No</v>
      </c>
      <c r="V1167" s="25"/>
      <c r="W1167" s="25"/>
      <c r="X1167" s="25"/>
      <c r="Y1167" s="25"/>
      <c r="Z1167" s="25"/>
    </row>
    <row r="1168" spans="1:26" ht="15.75" customHeight="1" x14ac:dyDescent="0.25">
      <c r="A1168" s="25">
        <v>1166</v>
      </c>
      <c r="B1168" s="37" t="e">
        <f t="shared" ref="B1168:D1168" si="2349">VLOOKUP($A1168,'[3]Gestión Pública'!$A$1:$O$251,B$1,0)</f>
        <v>#N/A</v>
      </c>
      <c r="C1168" s="38" t="e">
        <f t="shared" si="2349"/>
        <v>#N/A</v>
      </c>
      <c r="D1168" s="39" t="e">
        <f t="shared" si="2349"/>
        <v>#N/A</v>
      </c>
      <c r="E1168" s="16" t="e">
        <f t="shared" si="1"/>
        <v>#N/A</v>
      </c>
      <c r="F1168" s="16" t="e">
        <f t="shared" ref="F1168:K1168" si="2350">VLOOKUP($A1168,'[3]Gestión Pública'!$A$1:$O$251,F$1,0)</f>
        <v>#N/A</v>
      </c>
      <c r="G1168" s="39" t="e">
        <f t="shared" si="2350"/>
        <v>#N/A</v>
      </c>
      <c r="H1168" s="16" t="e">
        <f t="shared" si="2350"/>
        <v>#N/A</v>
      </c>
      <c r="I1168" s="16" t="e">
        <f t="shared" si="2350"/>
        <v>#N/A</v>
      </c>
      <c r="J1168" s="40" t="e">
        <f t="shared" si="2350"/>
        <v>#N/A</v>
      </c>
      <c r="K1168" s="16" t="e">
        <f t="shared" si="2350"/>
        <v>#N/A</v>
      </c>
      <c r="L1168" s="40" t="e">
        <f t="shared" si="1817"/>
        <v>#N/A</v>
      </c>
      <c r="M1168" s="16" t="e">
        <f t="shared" si="1818"/>
        <v>#N/A</v>
      </c>
      <c r="N1168" s="16" t="e">
        <f t="shared" si="1819"/>
        <v>#N/A</v>
      </c>
      <c r="O1168" s="16" t="s">
        <v>67</v>
      </c>
      <c r="P1168" s="16" t="str">
        <f t="shared" si="6"/>
        <v/>
      </c>
      <c r="Q1168" s="41" t="e">
        <f t="shared" si="1820"/>
        <v>#N/A</v>
      </c>
      <c r="R1168" s="44"/>
      <c r="S1168" s="44"/>
      <c r="T1168" s="43"/>
      <c r="U1168" s="43" t="str">
        <f t="shared" si="8"/>
        <v>No</v>
      </c>
      <c r="V1168" s="25"/>
      <c r="W1168" s="25"/>
      <c r="X1168" s="25"/>
      <c r="Y1168" s="25"/>
      <c r="Z1168" s="25"/>
    </row>
    <row r="1169" spans="1:26" ht="15.75" customHeight="1" x14ac:dyDescent="0.25">
      <c r="A1169" s="25">
        <v>1167</v>
      </c>
      <c r="B1169" s="37" t="e">
        <f t="shared" ref="B1169:D1169" si="2351">VLOOKUP($A1169,'[3]Gestión Pública'!$A$1:$O$251,B$1,0)</f>
        <v>#N/A</v>
      </c>
      <c r="C1169" s="38" t="e">
        <f t="shared" si="2351"/>
        <v>#N/A</v>
      </c>
      <c r="D1169" s="39" t="e">
        <f t="shared" si="2351"/>
        <v>#N/A</v>
      </c>
      <c r="E1169" s="16" t="e">
        <f t="shared" si="1"/>
        <v>#N/A</v>
      </c>
      <c r="F1169" s="16" t="e">
        <f t="shared" ref="F1169:K1169" si="2352">VLOOKUP($A1169,'[3]Gestión Pública'!$A$1:$O$251,F$1,0)</f>
        <v>#N/A</v>
      </c>
      <c r="G1169" s="39" t="e">
        <f t="shared" si="2352"/>
        <v>#N/A</v>
      </c>
      <c r="H1169" s="16" t="e">
        <f t="shared" si="2352"/>
        <v>#N/A</v>
      </c>
      <c r="I1169" s="16" t="e">
        <f t="shared" si="2352"/>
        <v>#N/A</v>
      </c>
      <c r="J1169" s="40" t="e">
        <f t="shared" si="2352"/>
        <v>#N/A</v>
      </c>
      <c r="K1169" s="16" t="e">
        <f t="shared" si="2352"/>
        <v>#N/A</v>
      </c>
      <c r="L1169" s="40" t="e">
        <f t="shared" si="1817"/>
        <v>#N/A</v>
      </c>
      <c r="M1169" s="16" t="e">
        <f t="shared" si="1818"/>
        <v>#N/A</v>
      </c>
      <c r="N1169" s="16" t="e">
        <f t="shared" si="1819"/>
        <v>#N/A</v>
      </c>
      <c r="O1169" s="16" t="s">
        <v>67</v>
      </c>
      <c r="P1169" s="16" t="str">
        <f t="shared" si="6"/>
        <v/>
      </c>
      <c r="Q1169" s="41" t="e">
        <f t="shared" si="1820"/>
        <v>#N/A</v>
      </c>
      <c r="R1169" s="44"/>
      <c r="S1169" s="44"/>
      <c r="T1169" s="43"/>
      <c r="U1169" s="43" t="str">
        <f t="shared" si="8"/>
        <v>No</v>
      </c>
      <c r="V1169" s="25"/>
      <c r="W1169" s="25"/>
      <c r="X1169" s="25"/>
      <c r="Y1169" s="25"/>
      <c r="Z1169" s="25"/>
    </row>
    <row r="1170" spans="1:26" ht="15.75" customHeight="1" x14ac:dyDescent="0.25">
      <c r="A1170" s="25">
        <v>1168</v>
      </c>
      <c r="B1170" s="37" t="e">
        <f t="shared" ref="B1170:D1170" si="2353">VLOOKUP($A1170,'[3]Gestión Pública'!$A$1:$O$251,B$1,0)</f>
        <v>#N/A</v>
      </c>
      <c r="C1170" s="38" t="e">
        <f t="shared" si="2353"/>
        <v>#N/A</v>
      </c>
      <c r="D1170" s="39" t="e">
        <f t="shared" si="2353"/>
        <v>#N/A</v>
      </c>
      <c r="E1170" s="16" t="e">
        <f t="shared" si="1"/>
        <v>#N/A</v>
      </c>
      <c r="F1170" s="16" t="e">
        <f t="shared" ref="F1170:K1170" si="2354">VLOOKUP($A1170,'[3]Gestión Pública'!$A$1:$O$251,F$1,0)</f>
        <v>#N/A</v>
      </c>
      <c r="G1170" s="39" t="e">
        <f t="shared" si="2354"/>
        <v>#N/A</v>
      </c>
      <c r="H1170" s="16" t="e">
        <f t="shared" si="2354"/>
        <v>#N/A</v>
      </c>
      <c r="I1170" s="16" t="e">
        <f t="shared" si="2354"/>
        <v>#N/A</v>
      </c>
      <c r="J1170" s="40" t="e">
        <f t="shared" si="2354"/>
        <v>#N/A</v>
      </c>
      <c r="K1170" s="16" t="e">
        <f t="shared" si="2354"/>
        <v>#N/A</v>
      </c>
      <c r="L1170" s="40" t="e">
        <f t="shared" si="1817"/>
        <v>#N/A</v>
      </c>
      <c r="M1170" s="16" t="e">
        <f t="shared" si="1818"/>
        <v>#N/A</v>
      </c>
      <c r="N1170" s="16" t="e">
        <f t="shared" si="1819"/>
        <v>#N/A</v>
      </c>
      <c r="O1170" s="16" t="s">
        <v>67</v>
      </c>
      <c r="P1170" s="16" t="str">
        <f t="shared" si="6"/>
        <v/>
      </c>
      <c r="Q1170" s="41" t="e">
        <f t="shared" si="1820"/>
        <v>#N/A</v>
      </c>
      <c r="R1170" s="44"/>
      <c r="S1170" s="44"/>
      <c r="T1170" s="43"/>
      <c r="U1170" s="43" t="str">
        <f t="shared" si="8"/>
        <v>No</v>
      </c>
      <c r="V1170" s="25"/>
      <c r="W1170" s="25"/>
      <c r="X1170" s="25"/>
      <c r="Y1170" s="25"/>
      <c r="Z1170" s="25"/>
    </row>
    <row r="1171" spans="1:26" ht="15.75" customHeight="1" x14ac:dyDescent="0.25">
      <c r="A1171" s="25">
        <v>1169</v>
      </c>
      <c r="B1171" s="37" t="e">
        <f t="shared" ref="B1171:D1171" si="2355">VLOOKUP($A1171,'[3]Gestión Pública'!$A$1:$O$251,B$1,0)</f>
        <v>#N/A</v>
      </c>
      <c r="C1171" s="38" t="e">
        <f t="shared" si="2355"/>
        <v>#N/A</v>
      </c>
      <c r="D1171" s="39" t="e">
        <f t="shared" si="2355"/>
        <v>#N/A</v>
      </c>
      <c r="E1171" s="16" t="e">
        <f t="shared" si="1"/>
        <v>#N/A</v>
      </c>
      <c r="F1171" s="16" t="e">
        <f t="shared" ref="F1171:K1171" si="2356">VLOOKUP($A1171,'[3]Gestión Pública'!$A$1:$O$251,F$1,0)</f>
        <v>#N/A</v>
      </c>
      <c r="G1171" s="39" t="e">
        <f t="shared" si="2356"/>
        <v>#N/A</v>
      </c>
      <c r="H1171" s="16" t="e">
        <f t="shared" si="2356"/>
        <v>#N/A</v>
      </c>
      <c r="I1171" s="16" t="e">
        <f t="shared" si="2356"/>
        <v>#N/A</v>
      </c>
      <c r="J1171" s="40" t="e">
        <f t="shared" si="2356"/>
        <v>#N/A</v>
      </c>
      <c r="K1171" s="16" t="e">
        <f t="shared" si="2356"/>
        <v>#N/A</v>
      </c>
      <c r="L1171" s="40" t="e">
        <f t="shared" si="1817"/>
        <v>#N/A</v>
      </c>
      <c r="M1171" s="16" t="e">
        <f t="shared" si="1818"/>
        <v>#N/A</v>
      </c>
      <c r="N1171" s="16" t="e">
        <f t="shared" si="1819"/>
        <v>#N/A</v>
      </c>
      <c r="O1171" s="16" t="s">
        <v>67</v>
      </c>
      <c r="P1171" s="16" t="str">
        <f t="shared" si="6"/>
        <v/>
      </c>
      <c r="Q1171" s="41" t="e">
        <f t="shared" si="1820"/>
        <v>#N/A</v>
      </c>
      <c r="R1171" s="44"/>
      <c r="S1171" s="44"/>
      <c r="T1171" s="43"/>
      <c r="U1171" s="43" t="str">
        <f t="shared" si="8"/>
        <v>No</v>
      </c>
      <c r="V1171" s="25"/>
      <c r="W1171" s="25"/>
      <c r="X1171" s="25"/>
      <c r="Y1171" s="25"/>
      <c r="Z1171" s="25"/>
    </row>
    <row r="1172" spans="1:26" ht="15.75" customHeight="1" x14ac:dyDescent="0.25">
      <c r="A1172" s="25">
        <v>1170</v>
      </c>
      <c r="B1172" s="37" t="e">
        <f t="shared" ref="B1172:D1172" si="2357">VLOOKUP($A1172,'[3]Gestión Pública'!$A$1:$O$251,B$1,0)</f>
        <v>#N/A</v>
      </c>
      <c r="C1172" s="38" t="e">
        <f t="shared" si="2357"/>
        <v>#N/A</v>
      </c>
      <c r="D1172" s="39" t="e">
        <f t="shared" si="2357"/>
        <v>#N/A</v>
      </c>
      <c r="E1172" s="16" t="e">
        <f t="shared" si="1"/>
        <v>#N/A</v>
      </c>
      <c r="F1172" s="16" t="e">
        <f t="shared" ref="F1172:K1172" si="2358">VLOOKUP($A1172,'[3]Gestión Pública'!$A$1:$O$251,F$1,0)</f>
        <v>#N/A</v>
      </c>
      <c r="G1172" s="39" t="e">
        <f t="shared" si="2358"/>
        <v>#N/A</v>
      </c>
      <c r="H1172" s="16" t="e">
        <f t="shared" si="2358"/>
        <v>#N/A</v>
      </c>
      <c r="I1172" s="16" t="e">
        <f t="shared" si="2358"/>
        <v>#N/A</v>
      </c>
      <c r="J1172" s="40" t="e">
        <f t="shared" si="2358"/>
        <v>#N/A</v>
      </c>
      <c r="K1172" s="16" t="e">
        <f t="shared" si="2358"/>
        <v>#N/A</v>
      </c>
      <c r="L1172" s="40" t="e">
        <f t="shared" si="1817"/>
        <v>#N/A</v>
      </c>
      <c r="M1172" s="16" t="e">
        <f t="shared" si="1818"/>
        <v>#N/A</v>
      </c>
      <c r="N1172" s="16" t="e">
        <f t="shared" si="1819"/>
        <v>#N/A</v>
      </c>
      <c r="O1172" s="16" t="s">
        <v>67</v>
      </c>
      <c r="P1172" s="16" t="str">
        <f t="shared" si="6"/>
        <v/>
      </c>
      <c r="Q1172" s="41" t="e">
        <f t="shared" si="1820"/>
        <v>#N/A</v>
      </c>
      <c r="R1172" s="44"/>
      <c r="S1172" s="44"/>
      <c r="T1172" s="43"/>
      <c r="U1172" s="43" t="str">
        <f t="shared" si="8"/>
        <v>No</v>
      </c>
      <c r="V1172" s="25"/>
      <c r="W1172" s="25"/>
      <c r="X1172" s="25"/>
      <c r="Y1172" s="25"/>
      <c r="Z1172" s="25"/>
    </row>
    <row r="1173" spans="1:26" ht="15.75" customHeight="1" x14ac:dyDescent="0.25">
      <c r="A1173" s="25">
        <v>1171</v>
      </c>
      <c r="B1173" s="37" t="e">
        <f t="shared" ref="B1173:D1173" si="2359">VLOOKUP($A1173,'[3]Gestión Pública'!$A$1:$O$251,B$1,0)</f>
        <v>#N/A</v>
      </c>
      <c r="C1173" s="38" t="e">
        <f t="shared" si="2359"/>
        <v>#N/A</v>
      </c>
      <c r="D1173" s="39" t="e">
        <f t="shared" si="2359"/>
        <v>#N/A</v>
      </c>
      <c r="E1173" s="16" t="e">
        <f t="shared" si="1"/>
        <v>#N/A</v>
      </c>
      <c r="F1173" s="16" t="e">
        <f t="shared" ref="F1173:K1173" si="2360">VLOOKUP($A1173,'[3]Gestión Pública'!$A$1:$O$251,F$1,0)</f>
        <v>#N/A</v>
      </c>
      <c r="G1173" s="39" t="e">
        <f t="shared" si="2360"/>
        <v>#N/A</v>
      </c>
      <c r="H1173" s="16" t="e">
        <f t="shared" si="2360"/>
        <v>#N/A</v>
      </c>
      <c r="I1173" s="16" t="e">
        <f t="shared" si="2360"/>
        <v>#N/A</v>
      </c>
      <c r="J1173" s="40" t="e">
        <f t="shared" si="2360"/>
        <v>#N/A</v>
      </c>
      <c r="K1173" s="16" t="e">
        <f t="shared" si="2360"/>
        <v>#N/A</v>
      </c>
      <c r="L1173" s="40" t="e">
        <f t="shared" si="1817"/>
        <v>#N/A</v>
      </c>
      <c r="M1173" s="16" t="e">
        <f t="shared" si="1818"/>
        <v>#N/A</v>
      </c>
      <c r="N1173" s="16" t="e">
        <f t="shared" si="1819"/>
        <v>#N/A</v>
      </c>
      <c r="O1173" s="16" t="s">
        <v>67</v>
      </c>
      <c r="P1173" s="16" t="str">
        <f t="shared" si="6"/>
        <v/>
      </c>
      <c r="Q1173" s="41" t="e">
        <f t="shared" si="1820"/>
        <v>#N/A</v>
      </c>
      <c r="R1173" s="44"/>
      <c r="S1173" s="44"/>
      <c r="T1173" s="43"/>
      <c r="U1173" s="43" t="str">
        <f t="shared" si="8"/>
        <v>No</v>
      </c>
      <c r="V1173" s="25"/>
      <c r="W1173" s="25"/>
      <c r="X1173" s="25"/>
      <c r="Y1173" s="25"/>
      <c r="Z1173" s="25"/>
    </row>
    <row r="1174" spans="1:26" ht="15.75" customHeight="1" x14ac:dyDescent="0.25">
      <c r="A1174" s="25">
        <v>1172</v>
      </c>
      <c r="B1174" s="37" t="e">
        <f t="shared" ref="B1174:D1174" si="2361">VLOOKUP($A1174,'[3]Gestión Pública'!$A$1:$O$251,B$1,0)</f>
        <v>#N/A</v>
      </c>
      <c r="C1174" s="38" t="e">
        <f t="shared" si="2361"/>
        <v>#N/A</v>
      </c>
      <c r="D1174" s="39" t="e">
        <f t="shared" si="2361"/>
        <v>#N/A</v>
      </c>
      <c r="E1174" s="16" t="e">
        <f t="shared" si="1"/>
        <v>#N/A</v>
      </c>
      <c r="F1174" s="16" t="e">
        <f t="shared" ref="F1174:K1174" si="2362">VLOOKUP($A1174,'[3]Gestión Pública'!$A$1:$O$251,F$1,0)</f>
        <v>#N/A</v>
      </c>
      <c r="G1174" s="39" t="e">
        <f t="shared" si="2362"/>
        <v>#N/A</v>
      </c>
      <c r="H1174" s="16" t="e">
        <f t="shared" si="2362"/>
        <v>#N/A</v>
      </c>
      <c r="I1174" s="16" t="e">
        <f t="shared" si="2362"/>
        <v>#N/A</v>
      </c>
      <c r="J1174" s="40" t="e">
        <f t="shared" si="2362"/>
        <v>#N/A</v>
      </c>
      <c r="K1174" s="16" t="e">
        <f t="shared" si="2362"/>
        <v>#N/A</v>
      </c>
      <c r="L1174" s="40" t="e">
        <f t="shared" si="1817"/>
        <v>#N/A</v>
      </c>
      <c r="M1174" s="16" t="e">
        <f t="shared" si="1818"/>
        <v>#N/A</v>
      </c>
      <c r="N1174" s="16" t="e">
        <f t="shared" si="1819"/>
        <v>#N/A</v>
      </c>
      <c r="O1174" s="16" t="s">
        <v>67</v>
      </c>
      <c r="P1174" s="16" t="str">
        <f t="shared" si="6"/>
        <v/>
      </c>
      <c r="Q1174" s="41" t="e">
        <f t="shared" si="1820"/>
        <v>#N/A</v>
      </c>
      <c r="R1174" s="44"/>
      <c r="S1174" s="44"/>
      <c r="T1174" s="43"/>
      <c r="U1174" s="43" t="str">
        <f t="shared" si="8"/>
        <v>No</v>
      </c>
      <c r="V1174" s="25"/>
      <c r="W1174" s="25"/>
      <c r="X1174" s="25"/>
      <c r="Y1174" s="25"/>
      <c r="Z1174" s="25"/>
    </row>
    <row r="1175" spans="1:26" ht="15.75" customHeight="1" x14ac:dyDescent="0.25">
      <c r="A1175" s="25">
        <v>1173</v>
      </c>
      <c r="B1175" s="37" t="e">
        <f t="shared" ref="B1175:D1175" si="2363">VLOOKUP($A1175,'[3]Gestión Pública'!$A$1:$O$251,B$1,0)</f>
        <v>#N/A</v>
      </c>
      <c r="C1175" s="38" t="e">
        <f t="shared" si="2363"/>
        <v>#N/A</v>
      </c>
      <c r="D1175" s="39" t="e">
        <f t="shared" si="2363"/>
        <v>#N/A</v>
      </c>
      <c r="E1175" s="16" t="e">
        <f t="shared" si="1"/>
        <v>#N/A</v>
      </c>
      <c r="F1175" s="16" t="e">
        <f t="shared" ref="F1175:K1175" si="2364">VLOOKUP($A1175,'[3]Gestión Pública'!$A$1:$O$251,F$1,0)</f>
        <v>#N/A</v>
      </c>
      <c r="G1175" s="39" t="e">
        <f t="shared" si="2364"/>
        <v>#N/A</v>
      </c>
      <c r="H1175" s="16" t="e">
        <f t="shared" si="2364"/>
        <v>#N/A</v>
      </c>
      <c r="I1175" s="16" t="e">
        <f t="shared" si="2364"/>
        <v>#N/A</v>
      </c>
      <c r="J1175" s="40" t="e">
        <f t="shared" si="2364"/>
        <v>#N/A</v>
      </c>
      <c r="K1175" s="16" t="e">
        <f t="shared" si="2364"/>
        <v>#N/A</v>
      </c>
      <c r="L1175" s="40" t="e">
        <f t="shared" si="1817"/>
        <v>#N/A</v>
      </c>
      <c r="M1175" s="16" t="e">
        <f t="shared" si="1818"/>
        <v>#N/A</v>
      </c>
      <c r="N1175" s="16" t="e">
        <f t="shared" si="1819"/>
        <v>#N/A</v>
      </c>
      <c r="O1175" s="16" t="s">
        <v>67</v>
      </c>
      <c r="P1175" s="16" t="str">
        <f t="shared" si="6"/>
        <v/>
      </c>
      <c r="Q1175" s="41" t="e">
        <f t="shared" si="1820"/>
        <v>#N/A</v>
      </c>
      <c r="R1175" s="44"/>
      <c r="S1175" s="44"/>
      <c r="T1175" s="43"/>
      <c r="U1175" s="43" t="str">
        <f t="shared" si="8"/>
        <v>No</v>
      </c>
      <c r="V1175" s="25"/>
      <c r="W1175" s="25"/>
      <c r="X1175" s="25"/>
      <c r="Y1175" s="25"/>
      <c r="Z1175" s="25"/>
    </row>
    <row r="1176" spans="1:26" ht="15.75" customHeight="1" x14ac:dyDescent="0.25">
      <c r="A1176" s="25">
        <v>1174</v>
      </c>
      <c r="B1176" s="37" t="e">
        <f t="shared" ref="B1176:D1176" si="2365">VLOOKUP($A1176,'[3]Gestión Pública'!$A$1:$O$251,B$1,0)</f>
        <v>#N/A</v>
      </c>
      <c r="C1176" s="38" t="e">
        <f t="shared" si="2365"/>
        <v>#N/A</v>
      </c>
      <c r="D1176" s="39" t="e">
        <f t="shared" si="2365"/>
        <v>#N/A</v>
      </c>
      <c r="E1176" s="16" t="e">
        <f t="shared" si="1"/>
        <v>#N/A</v>
      </c>
      <c r="F1176" s="16" t="e">
        <f t="shared" ref="F1176:K1176" si="2366">VLOOKUP($A1176,'[3]Gestión Pública'!$A$1:$O$251,F$1,0)</f>
        <v>#N/A</v>
      </c>
      <c r="G1176" s="39" t="e">
        <f t="shared" si="2366"/>
        <v>#N/A</v>
      </c>
      <c r="H1176" s="16" t="e">
        <f t="shared" si="2366"/>
        <v>#N/A</v>
      </c>
      <c r="I1176" s="16" t="e">
        <f t="shared" si="2366"/>
        <v>#N/A</v>
      </c>
      <c r="J1176" s="40" t="e">
        <f t="shared" si="2366"/>
        <v>#N/A</v>
      </c>
      <c r="K1176" s="16" t="e">
        <f t="shared" si="2366"/>
        <v>#N/A</v>
      </c>
      <c r="L1176" s="40" t="e">
        <f t="shared" si="1817"/>
        <v>#N/A</v>
      </c>
      <c r="M1176" s="16" t="e">
        <f t="shared" si="1818"/>
        <v>#N/A</v>
      </c>
      <c r="N1176" s="16" t="e">
        <f t="shared" si="1819"/>
        <v>#N/A</v>
      </c>
      <c r="O1176" s="16" t="s">
        <v>67</v>
      </c>
      <c r="P1176" s="16" t="str">
        <f t="shared" si="6"/>
        <v/>
      </c>
      <c r="Q1176" s="41" t="e">
        <f t="shared" si="1820"/>
        <v>#N/A</v>
      </c>
      <c r="R1176" s="44"/>
      <c r="S1176" s="44"/>
      <c r="T1176" s="43"/>
      <c r="U1176" s="43" t="str">
        <f t="shared" si="8"/>
        <v>No</v>
      </c>
      <c r="V1176" s="25"/>
      <c r="W1176" s="25"/>
      <c r="X1176" s="25"/>
      <c r="Y1176" s="25"/>
      <c r="Z1176" s="25"/>
    </row>
    <row r="1177" spans="1:26" ht="15.75" customHeight="1" x14ac:dyDescent="0.25">
      <c r="A1177" s="25">
        <v>1175</v>
      </c>
      <c r="B1177" s="37" t="e">
        <f t="shared" ref="B1177:D1177" si="2367">VLOOKUP($A1177,'[3]Gestión Pública'!$A$1:$O$251,B$1,0)</f>
        <v>#N/A</v>
      </c>
      <c r="C1177" s="38" t="e">
        <f t="shared" si="2367"/>
        <v>#N/A</v>
      </c>
      <c r="D1177" s="39" t="e">
        <f t="shared" si="2367"/>
        <v>#N/A</v>
      </c>
      <c r="E1177" s="16" t="e">
        <f t="shared" si="1"/>
        <v>#N/A</v>
      </c>
      <c r="F1177" s="16" t="e">
        <f t="shared" ref="F1177:K1177" si="2368">VLOOKUP($A1177,'[3]Gestión Pública'!$A$1:$O$251,F$1,0)</f>
        <v>#N/A</v>
      </c>
      <c r="G1177" s="39" t="e">
        <f t="shared" si="2368"/>
        <v>#N/A</v>
      </c>
      <c r="H1177" s="16" t="e">
        <f t="shared" si="2368"/>
        <v>#N/A</v>
      </c>
      <c r="I1177" s="16" t="e">
        <f t="shared" si="2368"/>
        <v>#N/A</v>
      </c>
      <c r="J1177" s="40" t="e">
        <f t="shared" si="2368"/>
        <v>#N/A</v>
      </c>
      <c r="K1177" s="16" t="e">
        <f t="shared" si="2368"/>
        <v>#N/A</v>
      </c>
      <c r="L1177" s="40" t="e">
        <f t="shared" si="1817"/>
        <v>#N/A</v>
      </c>
      <c r="M1177" s="16" t="e">
        <f t="shared" si="1818"/>
        <v>#N/A</v>
      </c>
      <c r="N1177" s="16" t="e">
        <f t="shared" si="1819"/>
        <v>#N/A</v>
      </c>
      <c r="O1177" s="16" t="s">
        <v>67</v>
      </c>
      <c r="P1177" s="16" t="str">
        <f t="shared" si="6"/>
        <v/>
      </c>
      <c r="Q1177" s="41" t="e">
        <f t="shared" si="1820"/>
        <v>#N/A</v>
      </c>
      <c r="R1177" s="44"/>
      <c r="S1177" s="44"/>
      <c r="T1177" s="43"/>
      <c r="U1177" s="43" t="str">
        <f t="shared" si="8"/>
        <v>No</v>
      </c>
      <c r="V1177" s="25"/>
      <c r="W1177" s="25"/>
      <c r="X1177" s="25"/>
      <c r="Y1177" s="25"/>
      <c r="Z1177" s="25"/>
    </row>
    <row r="1178" spans="1:26" ht="15.75" customHeight="1" x14ac:dyDescent="0.25">
      <c r="A1178" s="25">
        <v>1176</v>
      </c>
      <c r="B1178" s="37" t="e">
        <f t="shared" ref="B1178:D1178" si="2369">VLOOKUP($A1178,'[3]Gestión Pública'!$A$1:$O$251,B$1,0)</f>
        <v>#N/A</v>
      </c>
      <c r="C1178" s="38" t="e">
        <f t="shared" si="2369"/>
        <v>#N/A</v>
      </c>
      <c r="D1178" s="39" t="e">
        <f t="shared" si="2369"/>
        <v>#N/A</v>
      </c>
      <c r="E1178" s="16" t="e">
        <f t="shared" si="1"/>
        <v>#N/A</v>
      </c>
      <c r="F1178" s="16" t="e">
        <f t="shared" ref="F1178:K1178" si="2370">VLOOKUP($A1178,'[3]Gestión Pública'!$A$1:$O$251,F$1,0)</f>
        <v>#N/A</v>
      </c>
      <c r="G1178" s="39" t="e">
        <f t="shared" si="2370"/>
        <v>#N/A</v>
      </c>
      <c r="H1178" s="16" t="e">
        <f t="shared" si="2370"/>
        <v>#N/A</v>
      </c>
      <c r="I1178" s="16" t="e">
        <f t="shared" si="2370"/>
        <v>#N/A</v>
      </c>
      <c r="J1178" s="40" t="e">
        <f t="shared" si="2370"/>
        <v>#N/A</v>
      </c>
      <c r="K1178" s="16" t="e">
        <f t="shared" si="2370"/>
        <v>#N/A</v>
      </c>
      <c r="L1178" s="40" t="e">
        <f t="shared" si="1817"/>
        <v>#N/A</v>
      </c>
      <c r="M1178" s="16" t="e">
        <f t="shared" si="1818"/>
        <v>#N/A</v>
      </c>
      <c r="N1178" s="16" t="e">
        <f t="shared" si="1819"/>
        <v>#N/A</v>
      </c>
      <c r="O1178" s="16" t="s">
        <v>67</v>
      </c>
      <c r="P1178" s="16" t="str">
        <f t="shared" si="6"/>
        <v/>
      </c>
      <c r="Q1178" s="41" t="e">
        <f t="shared" si="1820"/>
        <v>#N/A</v>
      </c>
      <c r="R1178" s="44"/>
      <c r="S1178" s="44"/>
      <c r="T1178" s="43"/>
      <c r="U1178" s="43" t="str">
        <f t="shared" si="8"/>
        <v>No</v>
      </c>
      <c r="V1178" s="25"/>
      <c r="W1178" s="25"/>
      <c r="X1178" s="25"/>
      <c r="Y1178" s="25"/>
      <c r="Z1178" s="25"/>
    </row>
    <row r="1179" spans="1:26" ht="15.75" customHeight="1" x14ac:dyDescent="0.25">
      <c r="A1179" s="25">
        <v>1177</v>
      </c>
      <c r="B1179" s="37" t="e">
        <f t="shared" ref="B1179:D1179" si="2371">VLOOKUP($A1179,'[3]Gestión Pública'!$A$1:$O$251,B$1,0)</f>
        <v>#N/A</v>
      </c>
      <c r="C1179" s="38" t="e">
        <f t="shared" si="2371"/>
        <v>#N/A</v>
      </c>
      <c r="D1179" s="39" t="e">
        <f t="shared" si="2371"/>
        <v>#N/A</v>
      </c>
      <c r="E1179" s="16" t="e">
        <f t="shared" si="1"/>
        <v>#N/A</v>
      </c>
      <c r="F1179" s="16" t="e">
        <f t="shared" ref="F1179:K1179" si="2372">VLOOKUP($A1179,'[3]Gestión Pública'!$A$1:$O$251,F$1,0)</f>
        <v>#N/A</v>
      </c>
      <c r="G1179" s="39" t="e">
        <f t="shared" si="2372"/>
        <v>#N/A</v>
      </c>
      <c r="H1179" s="16" t="e">
        <f t="shared" si="2372"/>
        <v>#N/A</v>
      </c>
      <c r="I1179" s="16" t="e">
        <f t="shared" si="2372"/>
        <v>#N/A</v>
      </c>
      <c r="J1179" s="40" t="e">
        <f t="shared" si="2372"/>
        <v>#N/A</v>
      </c>
      <c r="K1179" s="16" t="e">
        <f t="shared" si="2372"/>
        <v>#N/A</v>
      </c>
      <c r="L1179" s="40" t="e">
        <f t="shared" si="1817"/>
        <v>#N/A</v>
      </c>
      <c r="M1179" s="16" t="e">
        <f t="shared" si="1818"/>
        <v>#N/A</v>
      </c>
      <c r="N1179" s="16" t="e">
        <f t="shared" si="1819"/>
        <v>#N/A</v>
      </c>
      <c r="O1179" s="16" t="s">
        <v>67</v>
      </c>
      <c r="P1179" s="16" t="str">
        <f t="shared" si="6"/>
        <v/>
      </c>
      <c r="Q1179" s="41" t="e">
        <f t="shared" si="1820"/>
        <v>#N/A</v>
      </c>
      <c r="R1179" s="44"/>
      <c r="S1179" s="44"/>
      <c r="T1179" s="43"/>
      <c r="U1179" s="43" t="str">
        <f t="shared" si="8"/>
        <v>No</v>
      </c>
      <c r="V1179" s="25"/>
      <c r="W1179" s="25"/>
      <c r="X1179" s="25"/>
      <c r="Y1179" s="25"/>
      <c r="Z1179" s="25"/>
    </row>
    <row r="1180" spans="1:26" ht="15.75" customHeight="1" x14ac:dyDescent="0.25">
      <c r="A1180" s="25">
        <v>1178</v>
      </c>
      <c r="B1180" s="37" t="e">
        <f t="shared" ref="B1180:D1180" si="2373">VLOOKUP($A1180,'[3]Gestión Pública'!$A$1:$O$251,B$1,0)</f>
        <v>#N/A</v>
      </c>
      <c r="C1180" s="38" t="e">
        <f t="shared" si="2373"/>
        <v>#N/A</v>
      </c>
      <c r="D1180" s="39" t="e">
        <f t="shared" si="2373"/>
        <v>#N/A</v>
      </c>
      <c r="E1180" s="16" t="e">
        <f t="shared" si="1"/>
        <v>#N/A</v>
      </c>
      <c r="F1180" s="16" t="e">
        <f t="shared" ref="F1180:K1180" si="2374">VLOOKUP($A1180,'[3]Gestión Pública'!$A$1:$O$251,F$1,0)</f>
        <v>#N/A</v>
      </c>
      <c r="G1180" s="39" t="e">
        <f t="shared" si="2374"/>
        <v>#N/A</v>
      </c>
      <c r="H1180" s="16" t="e">
        <f t="shared" si="2374"/>
        <v>#N/A</v>
      </c>
      <c r="I1180" s="16" t="e">
        <f t="shared" si="2374"/>
        <v>#N/A</v>
      </c>
      <c r="J1180" s="40" t="e">
        <f t="shared" si="2374"/>
        <v>#N/A</v>
      </c>
      <c r="K1180" s="16" t="e">
        <f t="shared" si="2374"/>
        <v>#N/A</v>
      </c>
      <c r="L1180" s="40" t="e">
        <f t="shared" si="1817"/>
        <v>#N/A</v>
      </c>
      <c r="M1180" s="16" t="e">
        <f t="shared" si="1818"/>
        <v>#N/A</v>
      </c>
      <c r="N1180" s="16" t="e">
        <f t="shared" si="1819"/>
        <v>#N/A</v>
      </c>
      <c r="O1180" s="16" t="s">
        <v>67</v>
      </c>
      <c r="P1180" s="16" t="str">
        <f t="shared" si="6"/>
        <v/>
      </c>
      <c r="Q1180" s="41" t="e">
        <f t="shared" si="1820"/>
        <v>#N/A</v>
      </c>
      <c r="R1180" s="44"/>
      <c r="S1180" s="44"/>
      <c r="T1180" s="43"/>
      <c r="U1180" s="43" t="str">
        <f t="shared" si="8"/>
        <v>No</v>
      </c>
      <c r="V1180" s="25"/>
      <c r="W1180" s="25"/>
      <c r="X1180" s="25"/>
      <c r="Y1180" s="25"/>
      <c r="Z1180" s="25"/>
    </row>
    <row r="1181" spans="1:26" ht="15.75" customHeight="1" x14ac:dyDescent="0.25">
      <c r="A1181" s="25">
        <v>1179</v>
      </c>
      <c r="B1181" s="37" t="e">
        <f t="shared" ref="B1181:D1181" si="2375">VLOOKUP($A1181,'[3]Gestión Pública'!$A$1:$O$251,B$1,0)</f>
        <v>#N/A</v>
      </c>
      <c r="C1181" s="38" t="e">
        <f t="shared" si="2375"/>
        <v>#N/A</v>
      </c>
      <c r="D1181" s="39" t="e">
        <f t="shared" si="2375"/>
        <v>#N/A</v>
      </c>
      <c r="E1181" s="16" t="e">
        <f t="shared" si="1"/>
        <v>#N/A</v>
      </c>
      <c r="F1181" s="16" t="e">
        <f t="shared" ref="F1181:K1181" si="2376">VLOOKUP($A1181,'[3]Gestión Pública'!$A$1:$O$251,F$1,0)</f>
        <v>#N/A</v>
      </c>
      <c r="G1181" s="39" t="e">
        <f t="shared" si="2376"/>
        <v>#N/A</v>
      </c>
      <c r="H1181" s="16" t="e">
        <f t="shared" si="2376"/>
        <v>#N/A</v>
      </c>
      <c r="I1181" s="16" t="e">
        <f t="shared" si="2376"/>
        <v>#N/A</v>
      </c>
      <c r="J1181" s="40" t="e">
        <f t="shared" si="2376"/>
        <v>#N/A</v>
      </c>
      <c r="K1181" s="16" t="e">
        <f t="shared" si="2376"/>
        <v>#N/A</v>
      </c>
      <c r="L1181" s="40" t="e">
        <f t="shared" si="1817"/>
        <v>#N/A</v>
      </c>
      <c r="M1181" s="16" t="e">
        <f t="shared" si="1818"/>
        <v>#N/A</v>
      </c>
      <c r="N1181" s="16" t="e">
        <f t="shared" si="1819"/>
        <v>#N/A</v>
      </c>
      <c r="O1181" s="16" t="s">
        <v>67</v>
      </c>
      <c r="P1181" s="16" t="str">
        <f t="shared" si="6"/>
        <v/>
      </c>
      <c r="Q1181" s="41" t="e">
        <f t="shared" si="1820"/>
        <v>#N/A</v>
      </c>
      <c r="R1181" s="44"/>
      <c r="S1181" s="44"/>
      <c r="T1181" s="43"/>
      <c r="U1181" s="43" t="str">
        <f t="shared" si="8"/>
        <v>No</v>
      </c>
      <c r="V1181" s="25"/>
      <c r="W1181" s="25"/>
      <c r="X1181" s="25"/>
      <c r="Y1181" s="25"/>
      <c r="Z1181" s="25"/>
    </row>
    <row r="1182" spans="1:26" ht="15.75" customHeight="1" x14ac:dyDescent="0.25">
      <c r="A1182" s="25">
        <v>1180</v>
      </c>
      <c r="B1182" s="37" t="e">
        <f t="shared" ref="B1182:D1182" si="2377">VLOOKUP($A1182,'[3]Gestión Pública'!$A$1:$O$251,B$1,0)</f>
        <v>#N/A</v>
      </c>
      <c r="C1182" s="38" t="e">
        <f t="shared" si="2377"/>
        <v>#N/A</v>
      </c>
      <c r="D1182" s="39" t="e">
        <f t="shared" si="2377"/>
        <v>#N/A</v>
      </c>
      <c r="E1182" s="16" t="e">
        <f t="shared" si="1"/>
        <v>#N/A</v>
      </c>
      <c r="F1182" s="16" t="e">
        <f t="shared" ref="F1182:K1182" si="2378">VLOOKUP($A1182,'[3]Gestión Pública'!$A$1:$O$251,F$1,0)</f>
        <v>#N/A</v>
      </c>
      <c r="G1182" s="39" t="e">
        <f t="shared" si="2378"/>
        <v>#N/A</v>
      </c>
      <c r="H1182" s="16" t="e">
        <f t="shared" si="2378"/>
        <v>#N/A</v>
      </c>
      <c r="I1182" s="16" t="e">
        <f t="shared" si="2378"/>
        <v>#N/A</v>
      </c>
      <c r="J1182" s="40" t="e">
        <f t="shared" si="2378"/>
        <v>#N/A</v>
      </c>
      <c r="K1182" s="16" t="e">
        <f t="shared" si="2378"/>
        <v>#N/A</v>
      </c>
      <c r="L1182" s="40" t="e">
        <f t="shared" si="1817"/>
        <v>#N/A</v>
      </c>
      <c r="M1182" s="16" t="e">
        <f t="shared" si="1818"/>
        <v>#N/A</v>
      </c>
      <c r="N1182" s="16" t="e">
        <f t="shared" si="1819"/>
        <v>#N/A</v>
      </c>
      <c r="O1182" s="16" t="s">
        <v>67</v>
      </c>
      <c r="P1182" s="16" t="str">
        <f t="shared" si="6"/>
        <v/>
      </c>
      <c r="Q1182" s="41" t="e">
        <f t="shared" si="1820"/>
        <v>#N/A</v>
      </c>
      <c r="R1182" s="44"/>
      <c r="S1182" s="44"/>
      <c r="T1182" s="43"/>
      <c r="U1182" s="43" t="str">
        <f t="shared" si="8"/>
        <v>No</v>
      </c>
      <c r="V1182" s="25"/>
      <c r="W1182" s="25"/>
      <c r="X1182" s="25"/>
      <c r="Y1182" s="25"/>
      <c r="Z1182" s="25"/>
    </row>
    <row r="1183" spans="1:26" ht="15.75" customHeight="1" x14ac:dyDescent="0.25">
      <c r="A1183" s="25">
        <v>1181</v>
      </c>
      <c r="B1183" s="37" t="e">
        <f t="shared" ref="B1183:D1183" si="2379">VLOOKUP($A1183,'[3]Gestión Pública'!$A$1:$O$251,B$1,0)</f>
        <v>#N/A</v>
      </c>
      <c r="C1183" s="38" t="e">
        <f t="shared" si="2379"/>
        <v>#N/A</v>
      </c>
      <c r="D1183" s="39" t="e">
        <f t="shared" si="2379"/>
        <v>#N/A</v>
      </c>
      <c r="E1183" s="16" t="e">
        <f t="shared" si="1"/>
        <v>#N/A</v>
      </c>
      <c r="F1183" s="16" t="e">
        <f t="shared" ref="F1183:K1183" si="2380">VLOOKUP($A1183,'[3]Gestión Pública'!$A$1:$O$251,F$1,0)</f>
        <v>#N/A</v>
      </c>
      <c r="G1183" s="39" t="e">
        <f t="shared" si="2380"/>
        <v>#N/A</v>
      </c>
      <c r="H1183" s="16" t="e">
        <f t="shared" si="2380"/>
        <v>#N/A</v>
      </c>
      <c r="I1183" s="16" t="e">
        <f t="shared" si="2380"/>
        <v>#N/A</v>
      </c>
      <c r="J1183" s="40" t="e">
        <f t="shared" si="2380"/>
        <v>#N/A</v>
      </c>
      <c r="K1183" s="16" t="e">
        <f t="shared" si="2380"/>
        <v>#N/A</v>
      </c>
      <c r="L1183" s="40" t="e">
        <f t="shared" si="1817"/>
        <v>#N/A</v>
      </c>
      <c r="M1183" s="16" t="e">
        <f t="shared" si="1818"/>
        <v>#N/A</v>
      </c>
      <c r="N1183" s="16" t="e">
        <f t="shared" si="1819"/>
        <v>#N/A</v>
      </c>
      <c r="O1183" s="16" t="s">
        <v>67</v>
      </c>
      <c r="P1183" s="16" t="str">
        <f t="shared" si="6"/>
        <v/>
      </c>
      <c r="Q1183" s="41" t="e">
        <f t="shared" si="1820"/>
        <v>#N/A</v>
      </c>
      <c r="R1183" s="44"/>
      <c r="S1183" s="44"/>
      <c r="T1183" s="43"/>
      <c r="U1183" s="43" t="str">
        <f t="shared" si="8"/>
        <v>No</v>
      </c>
      <c r="V1183" s="25"/>
      <c r="W1183" s="25"/>
      <c r="X1183" s="25"/>
      <c r="Y1183" s="25"/>
      <c r="Z1183" s="25"/>
    </row>
    <row r="1184" spans="1:26" ht="15.75" customHeight="1" x14ac:dyDescent="0.25">
      <c r="A1184" s="25">
        <v>1182</v>
      </c>
      <c r="B1184" s="37" t="e">
        <f t="shared" ref="B1184:D1184" si="2381">VLOOKUP($A1184,'[3]Gestión Pública'!$A$1:$O$251,B$1,0)</f>
        <v>#N/A</v>
      </c>
      <c r="C1184" s="38" t="e">
        <f t="shared" si="2381"/>
        <v>#N/A</v>
      </c>
      <c r="D1184" s="39" t="e">
        <f t="shared" si="2381"/>
        <v>#N/A</v>
      </c>
      <c r="E1184" s="16" t="e">
        <f t="shared" si="1"/>
        <v>#N/A</v>
      </c>
      <c r="F1184" s="16" t="e">
        <f t="shared" ref="F1184:K1184" si="2382">VLOOKUP($A1184,'[3]Gestión Pública'!$A$1:$O$251,F$1,0)</f>
        <v>#N/A</v>
      </c>
      <c r="G1184" s="39" t="e">
        <f t="shared" si="2382"/>
        <v>#N/A</v>
      </c>
      <c r="H1184" s="16" t="e">
        <f t="shared" si="2382"/>
        <v>#N/A</v>
      </c>
      <c r="I1184" s="16" t="e">
        <f t="shared" si="2382"/>
        <v>#N/A</v>
      </c>
      <c r="J1184" s="40" t="e">
        <f t="shared" si="2382"/>
        <v>#N/A</v>
      </c>
      <c r="K1184" s="16" t="e">
        <f t="shared" si="2382"/>
        <v>#N/A</v>
      </c>
      <c r="L1184" s="40" t="e">
        <f t="shared" si="1817"/>
        <v>#N/A</v>
      </c>
      <c r="M1184" s="16" t="e">
        <f t="shared" si="1818"/>
        <v>#N/A</v>
      </c>
      <c r="N1184" s="16" t="e">
        <f t="shared" si="1819"/>
        <v>#N/A</v>
      </c>
      <c r="O1184" s="16" t="s">
        <v>67</v>
      </c>
      <c r="P1184" s="16" t="str">
        <f t="shared" si="6"/>
        <v/>
      </c>
      <c r="Q1184" s="41" t="e">
        <f t="shared" si="1820"/>
        <v>#N/A</v>
      </c>
      <c r="R1184" s="44"/>
      <c r="S1184" s="44"/>
      <c r="T1184" s="43"/>
      <c r="U1184" s="43" t="str">
        <f t="shared" si="8"/>
        <v>No</v>
      </c>
      <c r="V1184" s="25"/>
      <c r="W1184" s="25"/>
      <c r="X1184" s="25"/>
      <c r="Y1184" s="25"/>
      <c r="Z1184" s="25"/>
    </row>
    <row r="1185" spans="1:26" ht="15.75" customHeight="1" x14ac:dyDescent="0.25">
      <c r="A1185" s="25">
        <v>1183</v>
      </c>
      <c r="B1185" s="37" t="e">
        <f t="shared" ref="B1185:D1185" si="2383">VLOOKUP($A1185,'[3]Gestión Pública'!$A$1:$O$251,B$1,0)</f>
        <v>#N/A</v>
      </c>
      <c r="C1185" s="38" t="e">
        <f t="shared" si="2383"/>
        <v>#N/A</v>
      </c>
      <c r="D1185" s="39" t="e">
        <f t="shared" si="2383"/>
        <v>#N/A</v>
      </c>
      <c r="E1185" s="16" t="e">
        <f t="shared" si="1"/>
        <v>#N/A</v>
      </c>
      <c r="F1185" s="16" t="e">
        <f t="shared" ref="F1185:K1185" si="2384">VLOOKUP($A1185,'[3]Gestión Pública'!$A$1:$O$251,F$1,0)</f>
        <v>#N/A</v>
      </c>
      <c r="G1185" s="39" t="e">
        <f t="shared" si="2384"/>
        <v>#N/A</v>
      </c>
      <c r="H1185" s="16" t="e">
        <f t="shared" si="2384"/>
        <v>#N/A</v>
      </c>
      <c r="I1185" s="16" t="e">
        <f t="shared" si="2384"/>
        <v>#N/A</v>
      </c>
      <c r="J1185" s="40" t="e">
        <f t="shared" si="2384"/>
        <v>#N/A</v>
      </c>
      <c r="K1185" s="16" t="e">
        <f t="shared" si="2384"/>
        <v>#N/A</v>
      </c>
      <c r="L1185" s="40" t="e">
        <f t="shared" si="1817"/>
        <v>#N/A</v>
      </c>
      <c r="M1185" s="16" t="e">
        <f t="shared" si="1818"/>
        <v>#N/A</v>
      </c>
      <c r="N1185" s="16" t="e">
        <f t="shared" si="1819"/>
        <v>#N/A</v>
      </c>
      <c r="O1185" s="16" t="s">
        <v>67</v>
      </c>
      <c r="P1185" s="16" t="str">
        <f t="shared" si="6"/>
        <v/>
      </c>
      <c r="Q1185" s="41" t="e">
        <f t="shared" si="1820"/>
        <v>#N/A</v>
      </c>
      <c r="R1185" s="44"/>
      <c r="S1185" s="44"/>
      <c r="T1185" s="43"/>
      <c r="U1185" s="43" t="str">
        <f t="shared" si="8"/>
        <v>No</v>
      </c>
      <c r="V1185" s="25"/>
      <c r="W1185" s="25"/>
      <c r="X1185" s="25"/>
      <c r="Y1185" s="25"/>
      <c r="Z1185" s="25"/>
    </row>
    <row r="1186" spans="1:26" ht="15.75" customHeight="1" x14ac:dyDescent="0.25">
      <c r="A1186" s="25">
        <v>1184</v>
      </c>
      <c r="B1186" s="37" t="e">
        <f t="shared" ref="B1186:D1186" si="2385">VLOOKUP($A1186,'[3]Gestión Pública'!$A$1:$O$251,B$1,0)</f>
        <v>#N/A</v>
      </c>
      <c r="C1186" s="38" t="e">
        <f t="shared" si="2385"/>
        <v>#N/A</v>
      </c>
      <c r="D1186" s="39" t="e">
        <f t="shared" si="2385"/>
        <v>#N/A</v>
      </c>
      <c r="E1186" s="16" t="e">
        <f t="shared" si="1"/>
        <v>#N/A</v>
      </c>
      <c r="F1186" s="16" t="e">
        <f t="shared" ref="F1186:K1186" si="2386">VLOOKUP($A1186,'[3]Gestión Pública'!$A$1:$O$251,F$1,0)</f>
        <v>#N/A</v>
      </c>
      <c r="G1186" s="39" t="e">
        <f t="shared" si="2386"/>
        <v>#N/A</v>
      </c>
      <c r="H1186" s="16" t="e">
        <f t="shared" si="2386"/>
        <v>#N/A</v>
      </c>
      <c r="I1186" s="16" t="e">
        <f t="shared" si="2386"/>
        <v>#N/A</v>
      </c>
      <c r="J1186" s="40" t="e">
        <f t="shared" si="2386"/>
        <v>#N/A</v>
      </c>
      <c r="K1186" s="16" t="e">
        <f t="shared" si="2386"/>
        <v>#N/A</v>
      </c>
      <c r="L1186" s="40" t="e">
        <f t="shared" si="1817"/>
        <v>#N/A</v>
      </c>
      <c r="M1186" s="16" t="e">
        <f t="shared" si="1818"/>
        <v>#N/A</v>
      </c>
      <c r="N1186" s="16" t="e">
        <f t="shared" si="1819"/>
        <v>#N/A</v>
      </c>
      <c r="O1186" s="16" t="s">
        <v>67</v>
      </c>
      <c r="P1186" s="16" t="str">
        <f t="shared" si="6"/>
        <v/>
      </c>
      <c r="Q1186" s="41" t="e">
        <f t="shared" si="1820"/>
        <v>#N/A</v>
      </c>
      <c r="R1186" s="44"/>
      <c r="S1186" s="44"/>
      <c r="T1186" s="43"/>
      <c r="U1186" s="43" t="str">
        <f t="shared" si="8"/>
        <v>No</v>
      </c>
      <c r="V1186" s="25"/>
      <c r="W1186" s="25"/>
      <c r="X1186" s="25"/>
      <c r="Y1186" s="25"/>
      <c r="Z1186" s="25"/>
    </row>
    <row r="1187" spans="1:26" ht="15.75" customHeight="1" x14ac:dyDescent="0.25">
      <c r="A1187" s="25">
        <v>1185</v>
      </c>
      <c r="B1187" s="37" t="e">
        <f t="shared" ref="B1187:D1187" si="2387">VLOOKUP($A1187,'[3]Gestión Pública'!$A$1:$O$251,B$1,0)</f>
        <v>#N/A</v>
      </c>
      <c r="C1187" s="38" t="e">
        <f t="shared" si="2387"/>
        <v>#N/A</v>
      </c>
      <c r="D1187" s="39" t="e">
        <f t="shared" si="2387"/>
        <v>#N/A</v>
      </c>
      <c r="E1187" s="16" t="e">
        <f t="shared" si="1"/>
        <v>#N/A</v>
      </c>
      <c r="F1187" s="16" t="e">
        <f t="shared" ref="F1187:K1187" si="2388">VLOOKUP($A1187,'[3]Gestión Pública'!$A$1:$O$251,F$1,0)</f>
        <v>#N/A</v>
      </c>
      <c r="G1187" s="39" t="e">
        <f t="shared" si="2388"/>
        <v>#N/A</v>
      </c>
      <c r="H1187" s="16" t="e">
        <f t="shared" si="2388"/>
        <v>#N/A</v>
      </c>
      <c r="I1187" s="16" t="e">
        <f t="shared" si="2388"/>
        <v>#N/A</v>
      </c>
      <c r="J1187" s="40" t="e">
        <f t="shared" si="2388"/>
        <v>#N/A</v>
      </c>
      <c r="K1187" s="16" t="e">
        <f t="shared" si="2388"/>
        <v>#N/A</v>
      </c>
      <c r="L1187" s="40" t="e">
        <f t="shared" si="1817"/>
        <v>#N/A</v>
      </c>
      <c r="M1187" s="16" t="e">
        <f t="shared" si="1818"/>
        <v>#N/A</v>
      </c>
      <c r="N1187" s="16" t="e">
        <f t="shared" si="1819"/>
        <v>#N/A</v>
      </c>
      <c r="O1187" s="16" t="s">
        <v>67</v>
      </c>
      <c r="P1187" s="16" t="str">
        <f t="shared" si="6"/>
        <v/>
      </c>
      <c r="Q1187" s="41" t="e">
        <f t="shared" si="1820"/>
        <v>#N/A</v>
      </c>
      <c r="R1187" s="44"/>
      <c r="S1187" s="44"/>
      <c r="T1187" s="43"/>
      <c r="U1187" s="43" t="str">
        <f t="shared" si="8"/>
        <v>No</v>
      </c>
      <c r="V1187" s="25"/>
      <c r="W1187" s="25"/>
      <c r="X1187" s="25"/>
      <c r="Y1187" s="25"/>
      <c r="Z1187" s="25"/>
    </row>
    <row r="1188" spans="1:26" ht="15.75" customHeight="1" x14ac:dyDescent="0.25">
      <c r="A1188" s="25">
        <v>1186</v>
      </c>
      <c r="B1188" s="37" t="e">
        <f t="shared" ref="B1188:D1188" si="2389">VLOOKUP($A1188,'[3]Gestión Pública'!$A$1:$O$251,B$1,0)</f>
        <v>#N/A</v>
      </c>
      <c r="C1188" s="38" t="e">
        <f t="shared" si="2389"/>
        <v>#N/A</v>
      </c>
      <c r="D1188" s="39" t="e">
        <f t="shared" si="2389"/>
        <v>#N/A</v>
      </c>
      <c r="E1188" s="16" t="e">
        <f t="shared" si="1"/>
        <v>#N/A</v>
      </c>
      <c r="F1188" s="16" t="e">
        <f t="shared" ref="F1188:K1188" si="2390">VLOOKUP($A1188,'[3]Gestión Pública'!$A$1:$O$251,F$1,0)</f>
        <v>#N/A</v>
      </c>
      <c r="G1188" s="39" t="e">
        <f t="shared" si="2390"/>
        <v>#N/A</v>
      </c>
      <c r="H1188" s="16" t="e">
        <f t="shared" si="2390"/>
        <v>#N/A</v>
      </c>
      <c r="I1188" s="16" t="e">
        <f t="shared" si="2390"/>
        <v>#N/A</v>
      </c>
      <c r="J1188" s="40" t="e">
        <f t="shared" si="2390"/>
        <v>#N/A</v>
      </c>
      <c r="K1188" s="16" t="e">
        <f t="shared" si="2390"/>
        <v>#N/A</v>
      </c>
      <c r="L1188" s="40" t="e">
        <f t="shared" si="1817"/>
        <v>#N/A</v>
      </c>
      <c r="M1188" s="16" t="e">
        <f t="shared" si="1818"/>
        <v>#N/A</v>
      </c>
      <c r="N1188" s="16" t="e">
        <f t="shared" si="1819"/>
        <v>#N/A</v>
      </c>
      <c r="O1188" s="16" t="s">
        <v>67</v>
      </c>
      <c r="P1188" s="16" t="str">
        <f t="shared" si="6"/>
        <v/>
      </c>
      <c r="Q1188" s="41" t="e">
        <f t="shared" si="1820"/>
        <v>#N/A</v>
      </c>
      <c r="R1188" s="44"/>
      <c r="S1188" s="44"/>
      <c r="T1188" s="43"/>
      <c r="U1188" s="43" t="str">
        <f t="shared" si="8"/>
        <v>No</v>
      </c>
      <c r="V1188" s="25"/>
      <c r="W1188" s="25"/>
      <c r="X1188" s="25"/>
      <c r="Y1188" s="25"/>
      <c r="Z1188" s="25"/>
    </row>
    <row r="1189" spans="1:26" ht="15.75" customHeight="1" x14ac:dyDescent="0.25">
      <c r="A1189" s="25">
        <v>1187</v>
      </c>
      <c r="B1189" s="37" t="e">
        <f t="shared" ref="B1189:D1189" si="2391">VLOOKUP($A1189,'[3]Gestión Pública'!$A$1:$O$251,B$1,0)</f>
        <v>#N/A</v>
      </c>
      <c r="C1189" s="38" t="e">
        <f t="shared" si="2391"/>
        <v>#N/A</v>
      </c>
      <c r="D1189" s="39" t="e">
        <f t="shared" si="2391"/>
        <v>#N/A</v>
      </c>
      <c r="E1189" s="16" t="e">
        <f t="shared" si="1"/>
        <v>#N/A</v>
      </c>
      <c r="F1189" s="16" t="e">
        <f t="shared" ref="F1189:K1189" si="2392">VLOOKUP($A1189,'[3]Gestión Pública'!$A$1:$O$251,F$1,0)</f>
        <v>#N/A</v>
      </c>
      <c r="G1189" s="39" t="e">
        <f t="shared" si="2392"/>
        <v>#N/A</v>
      </c>
      <c r="H1189" s="16" t="e">
        <f t="shared" si="2392"/>
        <v>#N/A</v>
      </c>
      <c r="I1189" s="16" t="e">
        <f t="shared" si="2392"/>
        <v>#N/A</v>
      </c>
      <c r="J1189" s="40" t="e">
        <f t="shared" si="2392"/>
        <v>#N/A</v>
      </c>
      <c r="K1189" s="16" t="e">
        <f t="shared" si="2392"/>
        <v>#N/A</v>
      </c>
      <c r="L1189" s="40" t="e">
        <f t="shared" si="1817"/>
        <v>#N/A</v>
      </c>
      <c r="M1189" s="16" t="e">
        <f t="shared" si="1818"/>
        <v>#N/A</v>
      </c>
      <c r="N1189" s="16" t="e">
        <f t="shared" si="1819"/>
        <v>#N/A</v>
      </c>
      <c r="O1189" s="16" t="s">
        <v>67</v>
      </c>
      <c r="P1189" s="16" t="str">
        <f t="shared" si="6"/>
        <v/>
      </c>
      <c r="Q1189" s="41" t="e">
        <f t="shared" si="1820"/>
        <v>#N/A</v>
      </c>
      <c r="R1189" s="44"/>
      <c r="S1189" s="44"/>
      <c r="T1189" s="43"/>
      <c r="U1189" s="43" t="str">
        <f t="shared" si="8"/>
        <v>No</v>
      </c>
      <c r="V1189" s="25"/>
      <c r="W1189" s="25"/>
      <c r="X1189" s="25"/>
      <c r="Y1189" s="25"/>
      <c r="Z1189" s="25"/>
    </row>
    <row r="1190" spans="1:26" ht="15.75" customHeight="1" x14ac:dyDescent="0.25">
      <c r="A1190" s="25">
        <v>1188</v>
      </c>
      <c r="B1190" s="37" t="e">
        <f t="shared" ref="B1190:D1190" si="2393">VLOOKUP($A1190,'[3]Gestión Pública'!$A$1:$O$251,B$1,0)</f>
        <v>#N/A</v>
      </c>
      <c r="C1190" s="38" t="e">
        <f t="shared" si="2393"/>
        <v>#N/A</v>
      </c>
      <c r="D1190" s="39" t="e">
        <f t="shared" si="2393"/>
        <v>#N/A</v>
      </c>
      <c r="E1190" s="16" t="e">
        <f t="shared" si="1"/>
        <v>#N/A</v>
      </c>
      <c r="F1190" s="16" t="e">
        <f t="shared" ref="F1190:K1190" si="2394">VLOOKUP($A1190,'[3]Gestión Pública'!$A$1:$O$251,F$1,0)</f>
        <v>#N/A</v>
      </c>
      <c r="G1190" s="39" t="e">
        <f t="shared" si="2394"/>
        <v>#N/A</v>
      </c>
      <c r="H1190" s="16" t="e">
        <f t="shared" si="2394"/>
        <v>#N/A</v>
      </c>
      <c r="I1190" s="16" t="e">
        <f t="shared" si="2394"/>
        <v>#N/A</v>
      </c>
      <c r="J1190" s="40" t="e">
        <f t="shared" si="2394"/>
        <v>#N/A</v>
      </c>
      <c r="K1190" s="16" t="e">
        <f t="shared" si="2394"/>
        <v>#N/A</v>
      </c>
      <c r="L1190" s="40" t="e">
        <f t="shared" si="1817"/>
        <v>#N/A</v>
      </c>
      <c r="M1190" s="16" t="e">
        <f t="shared" si="1818"/>
        <v>#N/A</v>
      </c>
      <c r="N1190" s="16" t="e">
        <f t="shared" si="1819"/>
        <v>#N/A</v>
      </c>
      <c r="O1190" s="16" t="s">
        <v>67</v>
      </c>
      <c r="P1190" s="16" t="str">
        <f t="shared" si="6"/>
        <v/>
      </c>
      <c r="Q1190" s="41" t="e">
        <f t="shared" si="1820"/>
        <v>#N/A</v>
      </c>
      <c r="R1190" s="44"/>
      <c r="S1190" s="44"/>
      <c r="T1190" s="43"/>
      <c r="U1190" s="43" t="str">
        <f t="shared" si="8"/>
        <v>No</v>
      </c>
      <c r="V1190" s="25"/>
      <c r="W1190" s="25"/>
      <c r="X1190" s="25"/>
      <c r="Y1190" s="25"/>
      <c r="Z1190" s="25"/>
    </row>
    <row r="1191" spans="1:26" ht="15.75" customHeight="1" x14ac:dyDescent="0.25">
      <c r="A1191" s="25">
        <v>1189</v>
      </c>
      <c r="B1191" s="37" t="e">
        <f t="shared" ref="B1191:D1191" si="2395">VLOOKUP($A1191,'[3]Gestión Pública'!$A$1:$O$251,B$1,0)</f>
        <v>#N/A</v>
      </c>
      <c r="C1191" s="38" t="e">
        <f t="shared" si="2395"/>
        <v>#N/A</v>
      </c>
      <c r="D1191" s="39" t="e">
        <f t="shared" si="2395"/>
        <v>#N/A</v>
      </c>
      <c r="E1191" s="16" t="e">
        <f t="shared" si="1"/>
        <v>#N/A</v>
      </c>
      <c r="F1191" s="16" t="e">
        <f t="shared" ref="F1191:K1191" si="2396">VLOOKUP($A1191,'[3]Gestión Pública'!$A$1:$O$251,F$1,0)</f>
        <v>#N/A</v>
      </c>
      <c r="G1191" s="39" t="e">
        <f t="shared" si="2396"/>
        <v>#N/A</v>
      </c>
      <c r="H1191" s="16" t="e">
        <f t="shared" si="2396"/>
        <v>#N/A</v>
      </c>
      <c r="I1191" s="16" t="e">
        <f t="shared" si="2396"/>
        <v>#N/A</v>
      </c>
      <c r="J1191" s="40" t="e">
        <f t="shared" si="2396"/>
        <v>#N/A</v>
      </c>
      <c r="K1191" s="16" t="e">
        <f t="shared" si="2396"/>
        <v>#N/A</v>
      </c>
      <c r="L1191" s="40" t="e">
        <f t="shared" si="1817"/>
        <v>#N/A</v>
      </c>
      <c r="M1191" s="16" t="e">
        <f t="shared" si="1818"/>
        <v>#N/A</v>
      </c>
      <c r="N1191" s="16" t="e">
        <f t="shared" si="1819"/>
        <v>#N/A</v>
      </c>
      <c r="O1191" s="16" t="s">
        <v>67</v>
      </c>
      <c r="P1191" s="16" t="str">
        <f t="shared" si="6"/>
        <v/>
      </c>
      <c r="Q1191" s="41" t="e">
        <f t="shared" si="1820"/>
        <v>#N/A</v>
      </c>
      <c r="R1191" s="44"/>
      <c r="S1191" s="44"/>
      <c r="T1191" s="43"/>
      <c r="U1191" s="43" t="str">
        <f t="shared" si="8"/>
        <v>No</v>
      </c>
      <c r="V1191" s="25"/>
      <c r="W1191" s="25"/>
      <c r="X1191" s="25"/>
      <c r="Y1191" s="25"/>
      <c r="Z1191" s="25"/>
    </row>
    <row r="1192" spans="1:26" ht="15.75" customHeight="1" x14ac:dyDescent="0.25">
      <c r="A1192" s="25">
        <v>1190</v>
      </c>
      <c r="B1192" s="37" t="e">
        <f t="shared" ref="B1192:D1192" si="2397">VLOOKUP($A1192,'[3]Gestión Pública'!$A$1:$O$251,B$1,0)</f>
        <v>#N/A</v>
      </c>
      <c r="C1192" s="38" t="e">
        <f t="shared" si="2397"/>
        <v>#N/A</v>
      </c>
      <c r="D1192" s="39" t="e">
        <f t="shared" si="2397"/>
        <v>#N/A</v>
      </c>
      <c r="E1192" s="16" t="e">
        <f t="shared" si="1"/>
        <v>#N/A</v>
      </c>
      <c r="F1192" s="16" t="e">
        <f t="shared" ref="F1192:K1192" si="2398">VLOOKUP($A1192,'[3]Gestión Pública'!$A$1:$O$251,F$1,0)</f>
        <v>#N/A</v>
      </c>
      <c r="G1192" s="39" t="e">
        <f t="shared" si="2398"/>
        <v>#N/A</v>
      </c>
      <c r="H1192" s="16" t="e">
        <f t="shared" si="2398"/>
        <v>#N/A</v>
      </c>
      <c r="I1192" s="16" t="e">
        <f t="shared" si="2398"/>
        <v>#N/A</v>
      </c>
      <c r="J1192" s="40" t="e">
        <f t="shared" si="2398"/>
        <v>#N/A</v>
      </c>
      <c r="K1192" s="16" t="e">
        <f t="shared" si="2398"/>
        <v>#N/A</v>
      </c>
      <c r="L1192" s="40" t="e">
        <f t="shared" si="1817"/>
        <v>#N/A</v>
      </c>
      <c r="M1192" s="16" t="e">
        <f t="shared" si="1818"/>
        <v>#N/A</v>
      </c>
      <c r="N1192" s="16" t="e">
        <f t="shared" si="1819"/>
        <v>#N/A</v>
      </c>
      <c r="O1192" s="16" t="s">
        <v>67</v>
      </c>
      <c r="P1192" s="16" t="str">
        <f t="shared" si="6"/>
        <v/>
      </c>
      <c r="Q1192" s="41" t="e">
        <f t="shared" si="1820"/>
        <v>#N/A</v>
      </c>
      <c r="R1192" s="44"/>
      <c r="S1192" s="44"/>
      <c r="T1192" s="43"/>
      <c r="U1192" s="43" t="str">
        <f t="shared" si="8"/>
        <v>No</v>
      </c>
      <c r="V1192" s="25"/>
      <c r="W1192" s="25"/>
      <c r="X1192" s="25"/>
      <c r="Y1192" s="25"/>
      <c r="Z1192" s="25"/>
    </row>
    <row r="1193" spans="1:26" ht="15.75" customHeight="1" x14ac:dyDescent="0.25">
      <c r="A1193" s="25">
        <v>1191</v>
      </c>
      <c r="B1193" s="37" t="e">
        <f t="shared" ref="B1193:D1193" si="2399">VLOOKUP($A1193,'[3]Gestión Pública'!$A$1:$O$251,B$1,0)</f>
        <v>#N/A</v>
      </c>
      <c r="C1193" s="38" t="e">
        <f t="shared" si="2399"/>
        <v>#N/A</v>
      </c>
      <c r="D1193" s="39" t="e">
        <f t="shared" si="2399"/>
        <v>#N/A</v>
      </c>
      <c r="E1193" s="16" t="e">
        <f t="shared" si="1"/>
        <v>#N/A</v>
      </c>
      <c r="F1193" s="16" t="e">
        <f t="shared" ref="F1193:K1193" si="2400">VLOOKUP($A1193,'[3]Gestión Pública'!$A$1:$O$251,F$1,0)</f>
        <v>#N/A</v>
      </c>
      <c r="G1193" s="39" t="e">
        <f t="shared" si="2400"/>
        <v>#N/A</v>
      </c>
      <c r="H1193" s="16" t="e">
        <f t="shared" si="2400"/>
        <v>#N/A</v>
      </c>
      <c r="I1193" s="16" t="e">
        <f t="shared" si="2400"/>
        <v>#N/A</v>
      </c>
      <c r="J1193" s="40" t="e">
        <f t="shared" si="2400"/>
        <v>#N/A</v>
      </c>
      <c r="K1193" s="16" t="e">
        <f t="shared" si="2400"/>
        <v>#N/A</v>
      </c>
      <c r="L1193" s="40" t="e">
        <f t="shared" si="1817"/>
        <v>#N/A</v>
      </c>
      <c r="M1193" s="16" t="e">
        <f t="shared" si="1818"/>
        <v>#N/A</v>
      </c>
      <c r="N1193" s="16" t="e">
        <f t="shared" si="1819"/>
        <v>#N/A</v>
      </c>
      <c r="O1193" s="16" t="s">
        <v>67</v>
      </c>
      <c r="P1193" s="16" t="str">
        <f t="shared" si="6"/>
        <v/>
      </c>
      <c r="Q1193" s="41" t="e">
        <f t="shared" si="1820"/>
        <v>#N/A</v>
      </c>
      <c r="R1193" s="44"/>
      <c r="S1193" s="44"/>
      <c r="T1193" s="43"/>
      <c r="U1193" s="43" t="str">
        <f t="shared" si="8"/>
        <v>No</v>
      </c>
      <c r="V1193" s="25"/>
      <c r="W1193" s="25"/>
      <c r="X1193" s="25"/>
      <c r="Y1193" s="25"/>
      <c r="Z1193" s="25"/>
    </row>
    <row r="1194" spans="1:26" ht="15.75" customHeight="1" x14ac:dyDescent="0.25">
      <c r="A1194" s="25">
        <v>1192</v>
      </c>
      <c r="B1194" s="37" t="e">
        <f t="shared" ref="B1194:D1194" si="2401">VLOOKUP($A1194,'[3]Gestión Pública'!$A$1:$O$251,B$1,0)</f>
        <v>#N/A</v>
      </c>
      <c r="C1194" s="38" t="e">
        <f t="shared" si="2401"/>
        <v>#N/A</v>
      </c>
      <c r="D1194" s="39" t="e">
        <f t="shared" si="2401"/>
        <v>#N/A</v>
      </c>
      <c r="E1194" s="16" t="e">
        <f t="shared" si="1"/>
        <v>#N/A</v>
      </c>
      <c r="F1194" s="16" t="e">
        <f t="shared" ref="F1194:K1194" si="2402">VLOOKUP($A1194,'[3]Gestión Pública'!$A$1:$O$251,F$1,0)</f>
        <v>#N/A</v>
      </c>
      <c r="G1194" s="39" t="e">
        <f t="shared" si="2402"/>
        <v>#N/A</v>
      </c>
      <c r="H1194" s="16" t="e">
        <f t="shared" si="2402"/>
        <v>#N/A</v>
      </c>
      <c r="I1194" s="16" t="e">
        <f t="shared" si="2402"/>
        <v>#N/A</v>
      </c>
      <c r="J1194" s="40" t="e">
        <f t="shared" si="2402"/>
        <v>#N/A</v>
      </c>
      <c r="K1194" s="16" t="e">
        <f t="shared" si="2402"/>
        <v>#N/A</v>
      </c>
      <c r="L1194" s="40" t="e">
        <f t="shared" si="1817"/>
        <v>#N/A</v>
      </c>
      <c r="M1194" s="16" t="e">
        <f t="shared" si="1818"/>
        <v>#N/A</v>
      </c>
      <c r="N1194" s="16" t="e">
        <f t="shared" si="1819"/>
        <v>#N/A</v>
      </c>
      <c r="O1194" s="16" t="s">
        <v>67</v>
      </c>
      <c r="P1194" s="16" t="str">
        <f t="shared" si="6"/>
        <v/>
      </c>
      <c r="Q1194" s="41" t="e">
        <f t="shared" si="1820"/>
        <v>#N/A</v>
      </c>
      <c r="R1194" s="44"/>
      <c r="S1194" s="44"/>
      <c r="T1194" s="43"/>
      <c r="U1194" s="43" t="str">
        <f t="shared" si="8"/>
        <v>No</v>
      </c>
      <c r="V1194" s="25"/>
      <c r="W1194" s="25"/>
      <c r="X1194" s="25"/>
      <c r="Y1194" s="25"/>
      <c r="Z1194" s="25"/>
    </row>
    <row r="1195" spans="1:26" ht="15.75" customHeight="1" x14ac:dyDescent="0.25">
      <c r="A1195" s="25">
        <v>1193</v>
      </c>
      <c r="B1195" s="37" t="e">
        <f t="shared" ref="B1195:D1195" si="2403">VLOOKUP($A1195,'[3]Gestión Pública'!$A$1:$O$251,B$1,0)</f>
        <v>#N/A</v>
      </c>
      <c r="C1195" s="38" t="e">
        <f t="shared" si="2403"/>
        <v>#N/A</v>
      </c>
      <c r="D1195" s="39" t="e">
        <f t="shared" si="2403"/>
        <v>#N/A</v>
      </c>
      <c r="E1195" s="16" t="e">
        <f t="shared" si="1"/>
        <v>#N/A</v>
      </c>
      <c r="F1195" s="16" t="e">
        <f t="shared" ref="F1195:K1195" si="2404">VLOOKUP($A1195,'[3]Gestión Pública'!$A$1:$O$251,F$1,0)</f>
        <v>#N/A</v>
      </c>
      <c r="G1195" s="39" t="e">
        <f t="shared" si="2404"/>
        <v>#N/A</v>
      </c>
      <c r="H1195" s="16" t="e">
        <f t="shared" si="2404"/>
        <v>#N/A</v>
      </c>
      <c r="I1195" s="16" t="e">
        <f t="shared" si="2404"/>
        <v>#N/A</v>
      </c>
      <c r="J1195" s="40" t="e">
        <f t="shared" si="2404"/>
        <v>#N/A</v>
      </c>
      <c r="K1195" s="16" t="e">
        <f t="shared" si="2404"/>
        <v>#N/A</v>
      </c>
      <c r="L1195" s="40" t="e">
        <f t="shared" si="1817"/>
        <v>#N/A</v>
      </c>
      <c r="M1195" s="16" t="e">
        <f t="shared" si="1818"/>
        <v>#N/A</v>
      </c>
      <c r="N1195" s="16" t="e">
        <f t="shared" si="1819"/>
        <v>#N/A</v>
      </c>
      <c r="O1195" s="16" t="s">
        <v>67</v>
      </c>
      <c r="P1195" s="16" t="str">
        <f t="shared" si="6"/>
        <v/>
      </c>
      <c r="Q1195" s="41" t="e">
        <f t="shared" si="1820"/>
        <v>#N/A</v>
      </c>
      <c r="R1195" s="44"/>
      <c r="S1195" s="44"/>
      <c r="T1195" s="43"/>
      <c r="U1195" s="43" t="str">
        <f t="shared" si="8"/>
        <v>No</v>
      </c>
      <c r="V1195" s="25"/>
      <c r="W1195" s="25"/>
      <c r="X1195" s="25"/>
      <c r="Y1195" s="25"/>
      <c r="Z1195" s="25"/>
    </row>
    <row r="1196" spans="1:26" ht="15.75" customHeight="1" x14ac:dyDescent="0.25">
      <c r="A1196" s="25">
        <v>1194</v>
      </c>
      <c r="B1196" s="37" t="e">
        <f t="shared" ref="B1196:D1196" si="2405">VLOOKUP($A1196,'[3]Gestión Pública'!$A$1:$O$251,B$1,0)</f>
        <v>#N/A</v>
      </c>
      <c r="C1196" s="38" t="e">
        <f t="shared" si="2405"/>
        <v>#N/A</v>
      </c>
      <c r="D1196" s="39" t="e">
        <f t="shared" si="2405"/>
        <v>#N/A</v>
      </c>
      <c r="E1196" s="16" t="e">
        <f t="shared" si="1"/>
        <v>#N/A</v>
      </c>
      <c r="F1196" s="16" t="e">
        <f t="shared" ref="F1196:K1196" si="2406">VLOOKUP($A1196,'[3]Gestión Pública'!$A$1:$O$251,F$1,0)</f>
        <v>#N/A</v>
      </c>
      <c r="G1196" s="39" t="e">
        <f t="shared" si="2406"/>
        <v>#N/A</v>
      </c>
      <c r="H1196" s="16" t="e">
        <f t="shared" si="2406"/>
        <v>#N/A</v>
      </c>
      <c r="I1196" s="16" t="e">
        <f t="shared" si="2406"/>
        <v>#N/A</v>
      </c>
      <c r="J1196" s="40" t="e">
        <f t="shared" si="2406"/>
        <v>#N/A</v>
      </c>
      <c r="K1196" s="16" t="e">
        <f t="shared" si="2406"/>
        <v>#N/A</v>
      </c>
      <c r="L1196" s="40" t="e">
        <f t="shared" si="1817"/>
        <v>#N/A</v>
      </c>
      <c r="M1196" s="16" t="e">
        <f t="shared" si="1818"/>
        <v>#N/A</v>
      </c>
      <c r="N1196" s="16" t="e">
        <f t="shared" si="1819"/>
        <v>#N/A</v>
      </c>
      <c r="O1196" s="16" t="s">
        <v>67</v>
      </c>
      <c r="P1196" s="16" t="str">
        <f t="shared" si="6"/>
        <v/>
      </c>
      <c r="Q1196" s="41" t="e">
        <f t="shared" si="1820"/>
        <v>#N/A</v>
      </c>
      <c r="R1196" s="44"/>
      <c r="S1196" s="44"/>
      <c r="T1196" s="43"/>
      <c r="U1196" s="43" t="str">
        <f t="shared" si="8"/>
        <v>No</v>
      </c>
      <c r="V1196" s="25"/>
      <c r="W1196" s="25"/>
      <c r="X1196" s="25"/>
      <c r="Y1196" s="25"/>
      <c r="Z1196" s="25"/>
    </row>
    <row r="1197" spans="1:26" ht="15.75" customHeight="1" x14ac:dyDescent="0.25">
      <c r="A1197" s="25">
        <v>1195</v>
      </c>
      <c r="B1197" s="37" t="e">
        <f t="shared" ref="B1197:D1197" si="2407">VLOOKUP($A1197,'[3]Gestión Pública'!$A$1:$O$251,B$1,0)</f>
        <v>#N/A</v>
      </c>
      <c r="C1197" s="38" t="e">
        <f t="shared" si="2407"/>
        <v>#N/A</v>
      </c>
      <c r="D1197" s="39" t="e">
        <f t="shared" si="2407"/>
        <v>#N/A</v>
      </c>
      <c r="E1197" s="16" t="e">
        <f t="shared" si="1"/>
        <v>#N/A</v>
      </c>
      <c r="F1197" s="16" t="e">
        <f t="shared" ref="F1197:K1197" si="2408">VLOOKUP($A1197,'[3]Gestión Pública'!$A$1:$O$251,F$1,0)</f>
        <v>#N/A</v>
      </c>
      <c r="G1197" s="39" t="e">
        <f t="shared" si="2408"/>
        <v>#N/A</v>
      </c>
      <c r="H1197" s="16" t="e">
        <f t="shared" si="2408"/>
        <v>#N/A</v>
      </c>
      <c r="I1197" s="16" t="e">
        <f t="shared" si="2408"/>
        <v>#N/A</v>
      </c>
      <c r="J1197" s="40" t="e">
        <f t="shared" si="2408"/>
        <v>#N/A</v>
      </c>
      <c r="K1197" s="16" t="e">
        <f t="shared" si="2408"/>
        <v>#N/A</v>
      </c>
      <c r="L1197" s="40" t="e">
        <f t="shared" si="1817"/>
        <v>#N/A</v>
      </c>
      <c r="M1197" s="16" t="e">
        <f t="shared" si="1818"/>
        <v>#N/A</v>
      </c>
      <c r="N1197" s="16" t="e">
        <f t="shared" si="1819"/>
        <v>#N/A</v>
      </c>
      <c r="O1197" s="16" t="s">
        <v>67</v>
      </c>
      <c r="P1197" s="16" t="str">
        <f t="shared" si="6"/>
        <v/>
      </c>
      <c r="Q1197" s="41" t="e">
        <f t="shared" si="1820"/>
        <v>#N/A</v>
      </c>
      <c r="R1197" s="44"/>
      <c r="S1197" s="44"/>
      <c r="T1197" s="43"/>
      <c r="U1197" s="43" t="str">
        <f t="shared" si="8"/>
        <v>No</v>
      </c>
      <c r="V1197" s="25"/>
      <c r="W1197" s="25"/>
      <c r="X1197" s="25"/>
      <c r="Y1197" s="25"/>
      <c r="Z1197" s="25"/>
    </row>
    <row r="1198" spans="1:26" ht="15.75" customHeight="1" x14ac:dyDescent="0.25">
      <c r="A1198" s="25">
        <v>1196</v>
      </c>
      <c r="B1198" s="37" t="e">
        <f t="shared" ref="B1198:D1198" si="2409">VLOOKUP($A1198,'[3]Gestión Pública'!$A$1:$O$251,B$1,0)</f>
        <v>#N/A</v>
      </c>
      <c r="C1198" s="38" t="e">
        <f t="shared" si="2409"/>
        <v>#N/A</v>
      </c>
      <c r="D1198" s="39" t="e">
        <f t="shared" si="2409"/>
        <v>#N/A</v>
      </c>
      <c r="E1198" s="16" t="e">
        <f t="shared" si="1"/>
        <v>#N/A</v>
      </c>
      <c r="F1198" s="16" t="e">
        <f t="shared" ref="F1198:K1198" si="2410">VLOOKUP($A1198,'[3]Gestión Pública'!$A$1:$O$251,F$1,0)</f>
        <v>#N/A</v>
      </c>
      <c r="G1198" s="39" t="e">
        <f t="shared" si="2410"/>
        <v>#N/A</v>
      </c>
      <c r="H1198" s="16" t="e">
        <f t="shared" si="2410"/>
        <v>#N/A</v>
      </c>
      <c r="I1198" s="16" t="e">
        <f t="shared" si="2410"/>
        <v>#N/A</v>
      </c>
      <c r="J1198" s="40" t="e">
        <f t="shared" si="2410"/>
        <v>#N/A</v>
      </c>
      <c r="K1198" s="16" t="e">
        <f t="shared" si="2410"/>
        <v>#N/A</v>
      </c>
      <c r="L1198" s="40" t="e">
        <f t="shared" si="1817"/>
        <v>#N/A</v>
      </c>
      <c r="M1198" s="16" t="e">
        <f t="shared" si="1818"/>
        <v>#N/A</v>
      </c>
      <c r="N1198" s="16" t="e">
        <f t="shared" si="1819"/>
        <v>#N/A</v>
      </c>
      <c r="O1198" s="16" t="s">
        <v>67</v>
      </c>
      <c r="P1198" s="16" t="str">
        <f t="shared" si="6"/>
        <v/>
      </c>
      <c r="Q1198" s="41" t="e">
        <f t="shared" si="1820"/>
        <v>#N/A</v>
      </c>
      <c r="R1198" s="44"/>
      <c r="S1198" s="44"/>
      <c r="T1198" s="43"/>
      <c r="U1198" s="43" t="str">
        <f t="shared" si="8"/>
        <v>No</v>
      </c>
      <c r="V1198" s="25"/>
      <c r="W1198" s="25"/>
      <c r="X1198" s="25"/>
      <c r="Y1198" s="25"/>
      <c r="Z1198" s="25"/>
    </row>
    <row r="1199" spans="1:26" ht="15.75" customHeight="1" x14ac:dyDescent="0.25">
      <c r="A1199" s="25">
        <v>1197</v>
      </c>
      <c r="B1199" s="37" t="e">
        <f t="shared" ref="B1199:D1199" si="2411">VLOOKUP($A1199,'[3]Gestión Pública'!$A$1:$O$251,B$1,0)</f>
        <v>#N/A</v>
      </c>
      <c r="C1199" s="38" t="e">
        <f t="shared" si="2411"/>
        <v>#N/A</v>
      </c>
      <c r="D1199" s="39" t="e">
        <f t="shared" si="2411"/>
        <v>#N/A</v>
      </c>
      <c r="E1199" s="16" t="e">
        <f t="shared" si="1"/>
        <v>#N/A</v>
      </c>
      <c r="F1199" s="16" t="e">
        <f t="shared" ref="F1199:K1199" si="2412">VLOOKUP($A1199,'[3]Gestión Pública'!$A$1:$O$251,F$1,0)</f>
        <v>#N/A</v>
      </c>
      <c r="G1199" s="39" t="e">
        <f t="shared" si="2412"/>
        <v>#N/A</v>
      </c>
      <c r="H1199" s="16" t="e">
        <f t="shared" si="2412"/>
        <v>#N/A</v>
      </c>
      <c r="I1199" s="16" t="e">
        <f t="shared" si="2412"/>
        <v>#N/A</v>
      </c>
      <c r="J1199" s="40" t="e">
        <f t="shared" si="2412"/>
        <v>#N/A</v>
      </c>
      <c r="K1199" s="16" t="e">
        <f t="shared" si="2412"/>
        <v>#N/A</v>
      </c>
      <c r="L1199" s="40" t="e">
        <f t="shared" si="1817"/>
        <v>#N/A</v>
      </c>
      <c r="M1199" s="16" t="e">
        <f t="shared" si="1818"/>
        <v>#N/A</v>
      </c>
      <c r="N1199" s="16" t="e">
        <f t="shared" si="1819"/>
        <v>#N/A</v>
      </c>
      <c r="O1199" s="16" t="s">
        <v>67</v>
      </c>
      <c r="P1199" s="16" t="str">
        <f t="shared" si="6"/>
        <v/>
      </c>
      <c r="Q1199" s="41" t="e">
        <f t="shared" si="1820"/>
        <v>#N/A</v>
      </c>
      <c r="R1199" s="44"/>
      <c r="S1199" s="44"/>
      <c r="T1199" s="43"/>
      <c r="U1199" s="43" t="str">
        <f t="shared" si="8"/>
        <v>No</v>
      </c>
      <c r="V1199" s="25"/>
      <c r="W1199" s="25"/>
      <c r="X1199" s="25"/>
      <c r="Y1199" s="25"/>
      <c r="Z1199" s="25"/>
    </row>
    <row r="1200" spans="1:26" ht="15.75" customHeight="1" x14ac:dyDescent="0.25">
      <c r="A1200" s="25">
        <v>1198</v>
      </c>
      <c r="B1200" s="37" t="e">
        <f t="shared" ref="B1200:D1200" si="2413">VLOOKUP($A1200,'[3]Gestión Pública'!$A$1:$O$251,B$1,0)</f>
        <v>#N/A</v>
      </c>
      <c r="C1200" s="38" t="e">
        <f t="shared" si="2413"/>
        <v>#N/A</v>
      </c>
      <c r="D1200" s="39" t="e">
        <f t="shared" si="2413"/>
        <v>#N/A</v>
      </c>
      <c r="E1200" s="16" t="e">
        <f t="shared" si="1"/>
        <v>#N/A</v>
      </c>
      <c r="F1200" s="16" t="e">
        <f t="shared" ref="F1200:K1200" si="2414">VLOOKUP($A1200,'[3]Gestión Pública'!$A$1:$O$251,F$1,0)</f>
        <v>#N/A</v>
      </c>
      <c r="G1200" s="39" t="e">
        <f t="shared" si="2414"/>
        <v>#N/A</v>
      </c>
      <c r="H1200" s="16" t="e">
        <f t="shared" si="2414"/>
        <v>#N/A</v>
      </c>
      <c r="I1200" s="16" t="e">
        <f t="shared" si="2414"/>
        <v>#N/A</v>
      </c>
      <c r="J1200" s="40" t="e">
        <f t="shared" si="2414"/>
        <v>#N/A</v>
      </c>
      <c r="K1200" s="16" t="e">
        <f t="shared" si="2414"/>
        <v>#N/A</v>
      </c>
      <c r="L1200" s="40" t="e">
        <f t="shared" si="1817"/>
        <v>#N/A</v>
      </c>
      <c r="M1200" s="16" t="e">
        <f t="shared" si="1818"/>
        <v>#N/A</v>
      </c>
      <c r="N1200" s="16" t="e">
        <f t="shared" si="1819"/>
        <v>#N/A</v>
      </c>
      <c r="O1200" s="16" t="s">
        <v>67</v>
      </c>
      <c r="P1200" s="16" t="str">
        <f t="shared" si="6"/>
        <v/>
      </c>
      <c r="Q1200" s="41" t="e">
        <f t="shared" si="1820"/>
        <v>#N/A</v>
      </c>
      <c r="R1200" s="44"/>
      <c r="S1200" s="44"/>
      <c r="T1200" s="43"/>
      <c r="U1200" s="43" t="str">
        <f t="shared" si="8"/>
        <v>No</v>
      </c>
      <c r="V1200" s="25"/>
      <c r="W1200" s="25"/>
      <c r="X1200" s="25"/>
      <c r="Y1200" s="25"/>
      <c r="Z1200" s="25"/>
    </row>
    <row r="1201" spans="1:26" ht="15.75" customHeight="1" x14ac:dyDescent="0.25">
      <c r="A1201" s="25">
        <v>1199</v>
      </c>
      <c r="B1201" s="37" t="e">
        <f t="shared" ref="B1201:D1201" si="2415">VLOOKUP($A1201,'[3]Gestión Pública'!$A$1:$O$251,B$1,0)</f>
        <v>#N/A</v>
      </c>
      <c r="C1201" s="38" t="e">
        <f t="shared" si="2415"/>
        <v>#N/A</v>
      </c>
      <c r="D1201" s="39" t="e">
        <f t="shared" si="2415"/>
        <v>#N/A</v>
      </c>
      <c r="E1201" s="16" t="e">
        <f t="shared" si="1"/>
        <v>#N/A</v>
      </c>
      <c r="F1201" s="16" t="e">
        <f t="shared" ref="F1201:K1201" si="2416">VLOOKUP($A1201,'[3]Gestión Pública'!$A$1:$O$251,F$1,0)</f>
        <v>#N/A</v>
      </c>
      <c r="G1201" s="39" t="e">
        <f t="shared" si="2416"/>
        <v>#N/A</v>
      </c>
      <c r="H1201" s="16" t="e">
        <f t="shared" si="2416"/>
        <v>#N/A</v>
      </c>
      <c r="I1201" s="16" t="e">
        <f t="shared" si="2416"/>
        <v>#N/A</v>
      </c>
      <c r="J1201" s="40" t="e">
        <f t="shared" si="2416"/>
        <v>#N/A</v>
      </c>
      <c r="K1201" s="16" t="e">
        <f t="shared" si="2416"/>
        <v>#N/A</v>
      </c>
      <c r="L1201" s="40" t="e">
        <f t="shared" si="1817"/>
        <v>#N/A</v>
      </c>
      <c r="M1201" s="16" t="e">
        <f t="shared" si="1818"/>
        <v>#N/A</v>
      </c>
      <c r="N1201" s="16" t="e">
        <f t="shared" si="1819"/>
        <v>#N/A</v>
      </c>
      <c r="O1201" s="16" t="s">
        <v>67</v>
      </c>
      <c r="P1201" s="16" t="str">
        <f t="shared" si="6"/>
        <v/>
      </c>
      <c r="Q1201" s="41" t="e">
        <f t="shared" si="1820"/>
        <v>#N/A</v>
      </c>
      <c r="R1201" s="44"/>
      <c r="S1201" s="44"/>
      <c r="T1201" s="43"/>
      <c r="U1201" s="43" t="str">
        <f t="shared" si="8"/>
        <v>No</v>
      </c>
      <c r="V1201" s="25"/>
      <c r="W1201" s="25"/>
      <c r="X1201" s="25"/>
      <c r="Y1201" s="25"/>
      <c r="Z1201" s="25"/>
    </row>
    <row r="1202" spans="1:26" ht="15.75" customHeight="1" x14ac:dyDescent="0.25">
      <c r="A1202" s="25">
        <v>1200</v>
      </c>
      <c r="B1202" s="37" t="e">
        <f t="shared" ref="B1202:D1202" si="2417">VLOOKUP($A1202,'[3]Gestión Pública'!$A$1:$O$251,B$1,0)</f>
        <v>#N/A</v>
      </c>
      <c r="C1202" s="38" t="e">
        <f t="shared" si="2417"/>
        <v>#N/A</v>
      </c>
      <c r="D1202" s="39" t="e">
        <f t="shared" si="2417"/>
        <v>#N/A</v>
      </c>
      <c r="E1202" s="16" t="e">
        <f t="shared" si="1"/>
        <v>#N/A</v>
      </c>
      <c r="F1202" s="16" t="e">
        <f t="shared" ref="F1202:K1202" si="2418">VLOOKUP($A1202,'[3]Gestión Pública'!$A$1:$O$251,F$1,0)</f>
        <v>#N/A</v>
      </c>
      <c r="G1202" s="39" t="e">
        <f t="shared" si="2418"/>
        <v>#N/A</v>
      </c>
      <c r="H1202" s="16" t="e">
        <f t="shared" si="2418"/>
        <v>#N/A</v>
      </c>
      <c r="I1202" s="16" t="e">
        <f t="shared" si="2418"/>
        <v>#N/A</v>
      </c>
      <c r="J1202" s="40" t="e">
        <f t="shared" si="2418"/>
        <v>#N/A</v>
      </c>
      <c r="K1202" s="16" t="e">
        <f t="shared" si="2418"/>
        <v>#N/A</v>
      </c>
      <c r="L1202" s="40" t="e">
        <f t="shared" si="1817"/>
        <v>#N/A</v>
      </c>
      <c r="M1202" s="16" t="e">
        <f t="shared" si="1818"/>
        <v>#N/A</v>
      </c>
      <c r="N1202" s="16" t="e">
        <f t="shared" si="1819"/>
        <v>#N/A</v>
      </c>
      <c r="O1202" s="16" t="s">
        <v>67</v>
      </c>
      <c r="P1202" s="16" t="str">
        <f t="shared" si="6"/>
        <v/>
      </c>
      <c r="Q1202" s="41" t="e">
        <f t="shared" si="1820"/>
        <v>#N/A</v>
      </c>
      <c r="R1202" s="44"/>
      <c r="S1202" s="44"/>
      <c r="T1202" s="43"/>
      <c r="U1202" s="43" t="str">
        <f t="shared" si="8"/>
        <v>No</v>
      </c>
      <c r="V1202" s="25"/>
      <c r="W1202" s="25"/>
      <c r="X1202" s="25"/>
      <c r="Y1202" s="25"/>
      <c r="Z1202" s="25"/>
    </row>
    <row r="1203" spans="1:26" ht="15.75" customHeight="1" x14ac:dyDescent="0.25">
      <c r="A1203" s="25">
        <v>1201</v>
      </c>
      <c r="B1203" s="37" t="e">
        <f t="shared" ref="B1203:D1203" si="2419">VLOOKUP($A1203,[4]Cultura!$A$1:$O$276,B$1,0)</f>
        <v>#N/A</v>
      </c>
      <c r="C1203" s="38" t="e">
        <f t="shared" si="2419"/>
        <v>#N/A</v>
      </c>
      <c r="D1203" s="39" t="e">
        <f t="shared" si="2419"/>
        <v>#N/A</v>
      </c>
      <c r="E1203" s="16" t="e">
        <f t="shared" si="1"/>
        <v>#N/A</v>
      </c>
      <c r="F1203" s="16" t="e">
        <f t="shared" ref="F1203:K1203" si="2420">VLOOKUP($A1203,[4]Cultura!$A$1:$O$276,F$1,0)</f>
        <v>#N/A</v>
      </c>
      <c r="G1203" s="39" t="e">
        <f t="shared" si="2420"/>
        <v>#N/A</v>
      </c>
      <c r="H1203" s="16" t="e">
        <f t="shared" si="2420"/>
        <v>#N/A</v>
      </c>
      <c r="I1203" s="16" t="e">
        <f t="shared" si="2420"/>
        <v>#N/A</v>
      </c>
      <c r="J1203" s="40" t="e">
        <f t="shared" si="2420"/>
        <v>#N/A</v>
      </c>
      <c r="K1203" s="16" t="e">
        <f t="shared" si="2420"/>
        <v>#N/A</v>
      </c>
      <c r="L1203" s="40" t="e">
        <f t="shared" ref="L1203:L1502" si="2421">VLOOKUP($A1203,[4]Cultura!$A$1:$O$276,13,0)</f>
        <v>#N/A</v>
      </c>
      <c r="M1203" s="16" t="e">
        <f t="shared" ref="M1203:M1502" si="2422">VLOOKUP($A1203,[4]Cultura!$A$1:$O$276,14,0)</f>
        <v>#N/A</v>
      </c>
      <c r="N1203" s="16" t="e">
        <f t="shared" ref="N1203:N1502" si="2423">VLOOKUP($A1203,[4]Cultura!$A$1:$O$276,15,0)</f>
        <v>#N/A</v>
      </c>
      <c r="O1203" s="16" t="s">
        <v>68</v>
      </c>
      <c r="P1203" s="16" t="str">
        <f t="shared" si="6"/>
        <v/>
      </c>
      <c r="Q1203" s="41" t="e">
        <f t="shared" ref="Q1203:Q1502" si="2424">VLOOKUP($A1203,[4]Cultura!$A$1:$O$269,12,0)</f>
        <v>#N/A</v>
      </c>
      <c r="R1203" s="44" t="s">
        <v>78</v>
      </c>
      <c r="S1203" s="42">
        <v>44378</v>
      </c>
      <c r="T1203" s="43"/>
      <c r="U1203" s="43" t="str">
        <f t="shared" si="8"/>
        <v>No</v>
      </c>
      <c r="V1203" s="25"/>
      <c r="W1203" s="25"/>
      <c r="X1203" s="25"/>
      <c r="Y1203" s="25"/>
      <c r="Z1203" s="25"/>
    </row>
    <row r="1204" spans="1:26" ht="15.75" customHeight="1" x14ac:dyDescent="0.25">
      <c r="A1204" s="25">
        <v>1202</v>
      </c>
      <c r="B1204" s="37" t="e">
        <f t="shared" ref="B1204:D1204" si="2425">VLOOKUP($A1204,[4]Cultura!$A$1:$O$276,B$1,0)</f>
        <v>#N/A</v>
      </c>
      <c r="C1204" s="38" t="e">
        <f t="shared" si="2425"/>
        <v>#N/A</v>
      </c>
      <c r="D1204" s="39" t="e">
        <f t="shared" si="2425"/>
        <v>#N/A</v>
      </c>
      <c r="E1204" s="16" t="e">
        <f t="shared" si="1"/>
        <v>#N/A</v>
      </c>
      <c r="F1204" s="16" t="e">
        <f t="shared" ref="F1204:K1204" si="2426">VLOOKUP($A1204,[4]Cultura!$A$1:$O$276,F$1,0)</f>
        <v>#N/A</v>
      </c>
      <c r="G1204" s="39" t="e">
        <f t="shared" si="2426"/>
        <v>#N/A</v>
      </c>
      <c r="H1204" s="16" t="e">
        <f t="shared" si="2426"/>
        <v>#N/A</v>
      </c>
      <c r="I1204" s="16" t="e">
        <f t="shared" si="2426"/>
        <v>#N/A</v>
      </c>
      <c r="J1204" s="40" t="e">
        <f t="shared" si="2426"/>
        <v>#N/A</v>
      </c>
      <c r="K1204" s="16" t="e">
        <f t="shared" si="2426"/>
        <v>#N/A</v>
      </c>
      <c r="L1204" s="40" t="e">
        <f t="shared" si="2421"/>
        <v>#N/A</v>
      </c>
      <c r="M1204" s="16" t="e">
        <f t="shared" si="2422"/>
        <v>#N/A</v>
      </c>
      <c r="N1204" s="16" t="e">
        <f t="shared" si="2423"/>
        <v>#N/A</v>
      </c>
      <c r="O1204" s="16" t="s">
        <v>68</v>
      </c>
      <c r="P1204" s="16" t="str">
        <f t="shared" si="6"/>
        <v/>
      </c>
      <c r="Q1204" s="41" t="e">
        <f t="shared" si="2424"/>
        <v>#N/A</v>
      </c>
      <c r="R1204" s="44"/>
      <c r="S1204" s="44"/>
      <c r="T1204" s="43"/>
      <c r="U1204" s="43" t="str">
        <f t="shared" si="8"/>
        <v>No</v>
      </c>
      <c r="V1204" s="25"/>
      <c r="W1204" s="25"/>
      <c r="X1204" s="25"/>
      <c r="Y1204" s="25"/>
      <c r="Z1204" s="25"/>
    </row>
    <row r="1205" spans="1:26" ht="15.75" customHeight="1" x14ac:dyDescent="0.25">
      <c r="A1205" s="25">
        <v>1203</v>
      </c>
      <c r="B1205" s="37" t="e">
        <f t="shared" ref="B1205:D1205" si="2427">VLOOKUP($A1205,[4]Cultura!$A$1:$O$276,B$1,0)</f>
        <v>#N/A</v>
      </c>
      <c r="C1205" s="38" t="e">
        <f t="shared" si="2427"/>
        <v>#N/A</v>
      </c>
      <c r="D1205" s="39" t="e">
        <f t="shared" si="2427"/>
        <v>#N/A</v>
      </c>
      <c r="E1205" s="16" t="e">
        <f t="shared" si="1"/>
        <v>#N/A</v>
      </c>
      <c r="F1205" s="16" t="e">
        <f t="shared" ref="F1205:K1205" si="2428">VLOOKUP($A1205,[4]Cultura!$A$1:$O$276,F$1,0)</f>
        <v>#N/A</v>
      </c>
      <c r="G1205" s="39" t="e">
        <f t="shared" si="2428"/>
        <v>#N/A</v>
      </c>
      <c r="H1205" s="16" t="e">
        <f t="shared" si="2428"/>
        <v>#N/A</v>
      </c>
      <c r="I1205" s="16" t="e">
        <f t="shared" si="2428"/>
        <v>#N/A</v>
      </c>
      <c r="J1205" s="40" t="e">
        <f t="shared" si="2428"/>
        <v>#N/A</v>
      </c>
      <c r="K1205" s="16" t="e">
        <f t="shared" si="2428"/>
        <v>#N/A</v>
      </c>
      <c r="L1205" s="40" t="e">
        <f t="shared" si="2421"/>
        <v>#N/A</v>
      </c>
      <c r="M1205" s="16" t="e">
        <f t="shared" si="2422"/>
        <v>#N/A</v>
      </c>
      <c r="N1205" s="16" t="e">
        <f t="shared" si="2423"/>
        <v>#N/A</v>
      </c>
      <c r="O1205" s="16" t="s">
        <v>68</v>
      </c>
      <c r="P1205" s="16" t="str">
        <f t="shared" si="6"/>
        <v/>
      </c>
      <c r="Q1205" s="41" t="e">
        <f t="shared" si="2424"/>
        <v>#N/A</v>
      </c>
      <c r="R1205" s="44"/>
      <c r="S1205" s="44"/>
      <c r="T1205" s="43"/>
      <c r="U1205" s="43" t="str">
        <f t="shared" si="8"/>
        <v>No</v>
      </c>
      <c r="V1205" s="25"/>
      <c r="W1205" s="25"/>
      <c r="X1205" s="25"/>
      <c r="Y1205" s="25"/>
      <c r="Z1205" s="25"/>
    </row>
    <row r="1206" spans="1:26" ht="15.75" customHeight="1" x14ac:dyDescent="0.25">
      <c r="A1206" s="25">
        <v>1204</v>
      </c>
      <c r="B1206" s="37" t="e">
        <f t="shared" ref="B1206:D1206" si="2429">VLOOKUP($A1206,[4]Cultura!$A$1:$O$276,B$1,0)</f>
        <v>#N/A</v>
      </c>
      <c r="C1206" s="38" t="e">
        <f t="shared" si="2429"/>
        <v>#N/A</v>
      </c>
      <c r="D1206" s="39" t="e">
        <f t="shared" si="2429"/>
        <v>#N/A</v>
      </c>
      <c r="E1206" s="16" t="e">
        <f t="shared" si="1"/>
        <v>#N/A</v>
      </c>
      <c r="F1206" s="16" t="e">
        <f t="shared" ref="F1206:K1206" si="2430">VLOOKUP($A1206,[4]Cultura!$A$1:$O$276,F$1,0)</f>
        <v>#N/A</v>
      </c>
      <c r="G1206" s="39" t="e">
        <f t="shared" si="2430"/>
        <v>#N/A</v>
      </c>
      <c r="H1206" s="16" t="e">
        <f t="shared" si="2430"/>
        <v>#N/A</v>
      </c>
      <c r="I1206" s="16" t="e">
        <f t="shared" si="2430"/>
        <v>#N/A</v>
      </c>
      <c r="J1206" s="40" t="e">
        <f t="shared" si="2430"/>
        <v>#N/A</v>
      </c>
      <c r="K1206" s="16" t="e">
        <f t="shared" si="2430"/>
        <v>#N/A</v>
      </c>
      <c r="L1206" s="40" t="e">
        <f t="shared" si="2421"/>
        <v>#N/A</v>
      </c>
      <c r="M1206" s="16" t="e">
        <f t="shared" si="2422"/>
        <v>#N/A</v>
      </c>
      <c r="N1206" s="16" t="e">
        <f t="shared" si="2423"/>
        <v>#N/A</v>
      </c>
      <c r="O1206" s="16" t="s">
        <v>68</v>
      </c>
      <c r="P1206" s="16" t="str">
        <f t="shared" si="6"/>
        <v/>
      </c>
      <c r="Q1206" s="41" t="e">
        <f t="shared" si="2424"/>
        <v>#N/A</v>
      </c>
      <c r="R1206" s="44"/>
      <c r="S1206" s="44"/>
      <c r="T1206" s="43"/>
      <c r="U1206" s="43" t="str">
        <f t="shared" si="8"/>
        <v>No</v>
      </c>
      <c r="V1206" s="25"/>
      <c r="W1206" s="25"/>
      <c r="X1206" s="25"/>
      <c r="Y1206" s="25"/>
      <c r="Z1206" s="25"/>
    </row>
    <row r="1207" spans="1:26" ht="15.75" customHeight="1" x14ac:dyDescent="0.25">
      <c r="A1207" s="25">
        <v>1205</v>
      </c>
      <c r="B1207" s="37" t="e">
        <f t="shared" ref="B1207:D1207" si="2431">VLOOKUP($A1207,[4]Cultura!$A$1:$O$276,B$1,0)</f>
        <v>#N/A</v>
      </c>
      <c r="C1207" s="38" t="e">
        <f t="shared" si="2431"/>
        <v>#N/A</v>
      </c>
      <c r="D1207" s="39" t="e">
        <f t="shared" si="2431"/>
        <v>#N/A</v>
      </c>
      <c r="E1207" s="16" t="e">
        <f t="shared" si="1"/>
        <v>#N/A</v>
      </c>
      <c r="F1207" s="16" t="e">
        <f t="shared" ref="F1207:K1207" si="2432">VLOOKUP($A1207,[4]Cultura!$A$1:$O$276,F$1,0)</f>
        <v>#N/A</v>
      </c>
      <c r="G1207" s="39" t="e">
        <f t="shared" si="2432"/>
        <v>#N/A</v>
      </c>
      <c r="H1207" s="16" t="e">
        <f t="shared" si="2432"/>
        <v>#N/A</v>
      </c>
      <c r="I1207" s="16" t="e">
        <f t="shared" si="2432"/>
        <v>#N/A</v>
      </c>
      <c r="J1207" s="40" t="e">
        <f t="shared" si="2432"/>
        <v>#N/A</v>
      </c>
      <c r="K1207" s="16" t="e">
        <f t="shared" si="2432"/>
        <v>#N/A</v>
      </c>
      <c r="L1207" s="40" t="e">
        <f t="shared" si="2421"/>
        <v>#N/A</v>
      </c>
      <c r="M1207" s="16" t="e">
        <f t="shared" si="2422"/>
        <v>#N/A</v>
      </c>
      <c r="N1207" s="16" t="e">
        <f t="shared" si="2423"/>
        <v>#N/A</v>
      </c>
      <c r="O1207" s="16" t="s">
        <v>68</v>
      </c>
      <c r="P1207" s="16" t="str">
        <f t="shared" si="6"/>
        <v/>
      </c>
      <c r="Q1207" s="41" t="e">
        <f t="shared" si="2424"/>
        <v>#N/A</v>
      </c>
      <c r="R1207" s="44"/>
      <c r="S1207" s="44"/>
      <c r="T1207" s="43"/>
      <c r="U1207" s="43" t="str">
        <f t="shared" si="8"/>
        <v>No</v>
      </c>
      <c r="V1207" s="25"/>
      <c r="W1207" s="25"/>
      <c r="X1207" s="25"/>
      <c r="Y1207" s="25"/>
      <c r="Z1207" s="25"/>
    </row>
    <row r="1208" spans="1:26" ht="15.75" customHeight="1" x14ac:dyDescent="0.25">
      <c r="A1208" s="25">
        <v>1206</v>
      </c>
      <c r="B1208" s="37" t="e">
        <f t="shared" ref="B1208:D1208" si="2433">VLOOKUP($A1208,[4]Cultura!$A$1:$O$276,B$1,0)</f>
        <v>#N/A</v>
      </c>
      <c r="C1208" s="38" t="e">
        <f t="shared" si="2433"/>
        <v>#N/A</v>
      </c>
      <c r="D1208" s="39" t="e">
        <f t="shared" si="2433"/>
        <v>#N/A</v>
      </c>
      <c r="E1208" s="16" t="e">
        <f t="shared" si="1"/>
        <v>#N/A</v>
      </c>
      <c r="F1208" s="16" t="e">
        <f t="shared" ref="F1208:K1208" si="2434">VLOOKUP($A1208,[4]Cultura!$A$1:$O$276,F$1,0)</f>
        <v>#N/A</v>
      </c>
      <c r="G1208" s="39" t="e">
        <f t="shared" si="2434"/>
        <v>#N/A</v>
      </c>
      <c r="H1208" s="16" t="e">
        <f t="shared" si="2434"/>
        <v>#N/A</v>
      </c>
      <c r="I1208" s="16" t="e">
        <f t="shared" si="2434"/>
        <v>#N/A</v>
      </c>
      <c r="J1208" s="40" t="e">
        <f t="shared" si="2434"/>
        <v>#N/A</v>
      </c>
      <c r="K1208" s="16" t="e">
        <f t="shared" si="2434"/>
        <v>#N/A</v>
      </c>
      <c r="L1208" s="40" t="e">
        <f t="shared" si="2421"/>
        <v>#N/A</v>
      </c>
      <c r="M1208" s="16" t="e">
        <f t="shared" si="2422"/>
        <v>#N/A</v>
      </c>
      <c r="N1208" s="16" t="e">
        <f t="shared" si="2423"/>
        <v>#N/A</v>
      </c>
      <c r="O1208" s="16" t="s">
        <v>68</v>
      </c>
      <c r="P1208" s="16" t="str">
        <f t="shared" si="6"/>
        <v/>
      </c>
      <c r="Q1208" s="41" t="e">
        <f t="shared" si="2424"/>
        <v>#N/A</v>
      </c>
      <c r="R1208" s="44"/>
      <c r="S1208" s="44"/>
      <c r="T1208" s="43"/>
      <c r="U1208" s="43" t="str">
        <f t="shared" si="8"/>
        <v>No</v>
      </c>
      <c r="V1208" s="25"/>
      <c r="W1208" s="25"/>
      <c r="X1208" s="25"/>
      <c r="Y1208" s="25"/>
      <c r="Z1208" s="25"/>
    </row>
    <row r="1209" spans="1:26" ht="15.75" customHeight="1" x14ac:dyDescent="0.25">
      <c r="A1209" s="25">
        <v>1207</v>
      </c>
      <c r="B1209" s="37" t="e">
        <f t="shared" ref="B1209:D1209" si="2435">VLOOKUP($A1209,[4]Cultura!$A$1:$O$276,B$1,0)</f>
        <v>#N/A</v>
      </c>
      <c r="C1209" s="38" t="e">
        <f t="shared" si="2435"/>
        <v>#N/A</v>
      </c>
      <c r="D1209" s="39" t="e">
        <f t="shared" si="2435"/>
        <v>#N/A</v>
      </c>
      <c r="E1209" s="16" t="e">
        <f t="shared" si="1"/>
        <v>#N/A</v>
      </c>
      <c r="F1209" s="16" t="e">
        <f t="shared" ref="F1209:K1209" si="2436">VLOOKUP($A1209,[4]Cultura!$A$1:$O$276,F$1,0)</f>
        <v>#N/A</v>
      </c>
      <c r="G1209" s="39" t="e">
        <f t="shared" si="2436"/>
        <v>#N/A</v>
      </c>
      <c r="H1209" s="16" t="e">
        <f t="shared" si="2436"/>
        <v>#N/A</v>
      </c>
      <c r="I1209" s="16" t="e">
        <f t="shared" si="2436"/>
        <v>#N/A</v>
      </c>
      <c r="J1209" s="40" t="e">
        <f t="shared" si="2436"/>
        <v>#N/A</v>
      </c>
      <c r="K1209" s="16" t="e">
        <f t="shared" si="2436"/>
        <v>#N/A</v>
      </c>
      <c r="L1209" s="40" t="e">
        <f t="shared" si="2421"/>
        <v>#N/A</v>
      </c>
      <c r="M1209" s="16" t="e">
        <f t="shared" si="2422"/>
        <v>#N/A</v>
      </c>
      <c r="N1209" s="16" t="e">
        <f t="shared" si="2423"/>
        <v>#N/A</v>
      </c>
      <c r="O1209" s="16" t="s">
        <v>68</v>
      </c>
      <c r="P1209" s="16" t="str">
        <f t="shared" si="6"/>
        <v/>
      </c>
      <c r="Q1209" s="41" t="e">
        <f t="shared" si="2424"/>
        <v>#N/A</v>
      </c>
      <c r="R1209" s="44"/>
      <c r="S1209" s="44"/>
      <c r="T1209" s="43"/>
      <c r="U1209" s="43" t="str">
        <f t="shared" si="8"/>
        <v>No</v>
      </c>
      <c r="V1209" s="25"/>
      <c r="W1209" s="25"/>
      <c r="X1209" s="25"/>
      <c r="Y1209" s="25"/>
      <c r="Z1209" s="25"/>
    </row>
    <row r="1210" spans="1:26" ht="15.75" customHeight="1" x14ac:dyDescent="0.25">
      <c r="A1210" s="25">
        <v>1208</v>
      </c>
      <c r="B1210" s="37" t="e">
        <f t="shared" ref="B1210:D1210" si="2437">VLOOKUP($A1210,[4]Cultura!$A$1:$O$276,B$1,0)</f>
        <v>#N/A</v>
      </c>
      <c r="C1210" s="38" t="e">
        <f t="shared" si="2437"/>
        <v>#N/A</v>
      </c>
      <c r="D1210" s="39" t="e">
        <f t="shared" si="2437"/>
        <v>#N/A</v>
      </c>
      <c r="E1210" s="16" t="e">
        <f t="shared" si="1"/>
        <v>#N/A</v>
      </c>
      <c r="F1210" s="16" t="e">
        <f t="shared" ref="F1210:K1210" si="2438">VLOOKUP($A1210,[4]Cultura!$A$1:$O$276,F$1,0)</f>
        <v>#N/A</v>
      </c>
      <c r="G1210" s="39" t="e">
        <f t="shared" si="2438"/>
        <v>#N/A</v>
      </c>
      <c r="H1210" s="16" t="e">
        <f t="shared" si="2438"/>
        <v>#N/A</v>
      </c>
      <c r="I1210" s="16" t="e">
        <f t="shared" si="2438"/>
        <v>#N/A</v>
      </c>
      <c r="J1210" s="40" t="e">
        <f t="shared" si="2438"/>
        <v>#N/A</v>
      </c>
      <c r="K1210" s="16" t="e">
        <f t="shared" si="2438"/>
        <v>#N/A</v>
      </c>
      <c r="L1210" s="40" t="e">
        <f t="shared" si="2421"/>
        <v>#N/A</v>
      </c>
      <c r="M1210" s="16" t="e">
        <f t="shared" si="2422"/>
        <v>#N/A</v>
      </c>
      <c r="N1210" s="16" t="e">
        <f t="shared" si="2423"/>
        <v>#N/A</v>
      </c>
      <c r="O1210" s="16" t="s">
        <v>68</v>
      </c>
      <c r="P1210" s="16" t="str">
        <f t="shared" si="6"/>
        <v/>
      </c>
      <c r="Q1210" s="41" t="e">
        <f t="shared" si="2424"/>
        <v>#N/A</v>
      </c>
      <c r="R1210" s="44"/>
      <c r="S1210" s="44"/>
      <c r="T1210" s="43"/>
      <c r="U1210" s="43" t="str">
        <f t="shared" si="8"/>
        <v>No</v>
      </c>
      <c r="V1210" s="25"/>
      <c r="W1210" s="25"/>
      <c r="X1210" s="25"/>
      <c r="Y1210" s="25"/>
      <c r="Z1210" s="25"/>
    </row>
    <row r="1211" spans="1:26" ht="15.75" customHeight="1" x14ac:dyDescent="0.25">
      <c r="A1211" s="25">
        <v>1209</v>
      </c>
      <c r="B1211" s="37" t="e">
        <f t="shared" ref="B1211:D1211" si="2439">VLOOKUP($A1211,[4]Cultura!$A$1:$O$276,B$1,0)</f>
        <v>#N/A</v>
      </c>
      <c r="C1211" s="38" t="e">
        <f t="shared" si="2439"/>
        <v>#N/A</v>
      </c>
      <c r="D1211" s="39" t="e">
        <f t="shared" si="2439"/>
        <v>#N/A</v>
      </c>
      <c r="E1211" s="16" t="e">
        <f t="shared" si="1"/>
        <v>#N/A</v>
      </c>
      <c r="F1211" s="16" t="e">
        <f t="shared" ref="F1211:K1211" si="2440">VLOOKUP($A1211,[4]Cultura!$A$1:$O$276,F$1,0)</f>
        <v>#N/A</v>
      </c>
      <c r="G1211" s="39" t="e">
        <f t="shared" si="2440"/>
        <v>#N/A</v>
      </c>
      <c r="H1211" s="16" t="e">
        <f t="shared" si="2440"/>
        <v>#N/A</v>
      </c>
      <c r="I1211" s="16" t="e">
        <f t="shared" si="2440"/>
        <v>#N/A</v>
      </c>
      <c r="J1211" s="40" t="e">
        <f t="shared" si="2440"/>
        <v>#N/A</v>
      </c>
      <c r="K1211" s="16" t="e">
        <f t="shared" si="2440"/>
        <v>#N/A</v>
      </c>
      <c r="L1211" s="40" t="e">
        <f t="shared" si="2421"/>
        <v>#N/A</v>
      </c>
      <c r="M1211" s="16" t="e">
        <f t="shared" si="2422"/>
        <v>#N/A</v>
      </c>
      <c r="N1211" s="16" t="e">
        <f t="shared" si="2423"/>
        <v>#N/A</v>
      </c>
      <c r="O1211" s="16" t="s">
        <v>68</v>
      </c>
      <c r="P1211" s="16" t="str">
        <f t="shared" si="6"/>
        <v/>
      </c>
      <c r="Q1211" s="41" t="e">
        <f t="shared" si="2424"/>
        <v>#N/A</v>
      </c>
      <c r="R1211" s="44"/>
      <c r="S1211" s="44"/>
      <c r="T1211" s="43"/>
      <c r="U1211" s="43" t="str">
        <f t="shared" si="8"/>
        <v>No</v>
      </c>
      <c r="V1211" s="25"/>
      <c r="W1211" s="25"/>
      <c r="X1211" s="25"/>
      <c r="Y1211" s="25"/>
      <c r="Z1211" s="25"/>
    </row>
    <row r="1212" spans="1:26" ht="15.75" customHeight="1" x14ac:dyDescent="0.25">
      <c r="A1212" s="25">
        <v>1210</v>
      </c>
      <c r="B1212" s="37" t="e">
        <f t="shared" ref="B1212:D1212" si="2441">VLOOKUP($A1212,[4]Cultura!$A$1:$O$276,B$1,0)</f>
        <v>#N/A</v>
      </c>
      <c r="C1212" s="38" t="e">
        <f t="shared" si="2441"/>
        <v>#N/A</v>
      </c>
      <c r="D1212" s="39" t="e">
        <f t="shared" si="2441"/>
        <v>#N/A</v>
      </c>
      <c r="E1212" s="16" t="e">
        <f t="shared" si="1"/>
        <v>#N/A</v>
      </c>
      <c r="F1212" s="16" t="e">
        <f t="shared" ref="F1212:K1212" si="2442">VLOOKUP($A1212,[4]Cultura!$A$1:$O$276,F$1,0)</f>
        <v>#N/A</v>
      </c>
      <c r="G1212" s="39" t="e">
        <f t="shared" si="2442"/>
        <v>#N/A</v>
      </c>
      <c r="H1212" s="16" t="e">
        <f t="shared" si="2442"/>
        <v>#N/A</v>
      </c>
      <c r="I1212" s="16" t="e">
        <f t="shared" si="2442"/>
        <v>#N/A</v>
      </c>
      <c r="J1212" s="40" t="e">
        <f t="shared" si="2442"/>
        <v>#N/A</v>
      </c>
      <c r="K1212" s="16" t="e">
        <f t="shared" si="2442"/>
        <v>#N/A</v>
      </c>
      <c r="L1212" s="40" t="e">
        <f t="shared" si="2421"/>
        <v>#N/A</v>
      </c>
      <c r="M1212" s="16" t="e">
        <f t="shared" si="2422"/>
        <v>#N/A</v>
      </c>
      <c r="N1212" s="16" t="e">
        <f t="shared" si="2423"/>
        <v>#N/A</v>
      </c>
      <c r="O1212" s="16" t="s">
        <v>68</v>
      </c>
      <c r="P1212" s="16" t="str">
        <f t="shared" si="6"/>
        <v/>
      </c>
      <c r="Q1212" s="41" t="e">
        <f t="shared" si="2424"/>
        <v>#N/A</v>
      </c>
      <c r="R1212" s="44"/>
      <c r="S1212" s="44"/>
      <c r="T1212" s="43"/>
      <c r="U1212" s="43" t="str">
        <f t="shared" si="8"/>
        <v>No</v>
      </c>
      <c r="V1212" s="25"/>
      <c r="W1212" s="25"/>
      <c r="X1212" s="25"/>
      <c r="Y1212" s="25"/>
      <c r="Z1212" s="25"/>
    </row>
    <row r="1213" spans="1:26" ht="15.75" customHeight="1" x14ac:dyDescent="0.25">
      <c r="A1213" s="25">
        <v>1211</v>
      </c>
      <c r="B1213" s="37" t="e">
        <f t="shared" ref="B1213:D1213" si="2443">VLOOKUP($A1213,[4]Cultura!$A$1:$O$276,B$1,0)</f>
        <v>#N/A</v>
      </c>
      <c r="C1213" s="38" t="e">
        <f t="shared" si="2443"/>
        <v>#N/A</v>
      </c>
      <c r="D1213" s="39" t="e">
        <f t="shared" si="2443"/>
        <v>#N/A</v>
      </c>
      <c r="E1213" s="16" t="e">
        <f t="shared" si="1"/>
        <v>#N/A</v>
      </c>
      <c r="F1213" s="16" t="e">
        <f t="shared" ref="F1213:K1213" si="2444">VLOOKUP($A1213,[4]Cultura!$A$1:$O$276,F$1,0)</f>
        <v>#N/A</v>
      </c>
      <c r="G1213" s="39" t="e">
        <f t="shared" si="2444"/>
        <v>#N/A</v>
      </c>
      <c r="H1213" s="16" t="e">
        <f t="shared" si="2444"/>
        <v>#N/A</v>
      </c>
      <c r="I1213" s="16" t="e">
        <f t="shared" si="2444"/>
        <v>#N/A</v>
      </c>
      <c r="J1213" s="40" t="e">
        <f t="shared" si="2444"/>
        <v>#N/A</v>
      </c>
      <c r="K1213" s="16" t="e">
        <f t="shared" si="2444"/>
        <v>#N/A</v>
      </c>
      <c r="L1213" s="40" t="e">
        <f t="shared" si="2421"/>
        <v>#N/A</v>
      </c>
      <c r="M1213" s="16" t="e">
        <f t="shared" si="2422"/>
        <v>#N/A</v>
      </c>
      <c r="N1213" s="16" t="e">
        <f t="shared" si="2423"/>
        <v>#N/A</v>
      </c>
      <c r="O1213" s="16" t="s">
        <v>68</v>
      </c>
      <c r="P1213" s="16" t="str">
        <f t="shared" si="6"/>
        <v/>
      </c>
      <c r="Q1213" s="41" t="e">
        <f t="shared" si="2424"/>
        <v>#N/A</v>
      </c>
      <c r="R1213" s="44"/>
      <c r="S1213" s="44"/>
      <c r="T1213" s="43"/>
      <c r="U1213" s="43" t="str">
        <f t="shared" si="8"/>
        <v>No</v>
      </c>
      <c r="V1213" s="25"/>
      <c r="W1213" s="25"/>
      <c r="X1213" s="25"/>
      <c r="Y1213" s="25"/>
      <c r="Z1213" s="25"/>
    </row>
    <row r="1214" spans="1:26" ht="15.75" customHeight="1" x14ac:dyDescent="0.25">
      <c r="A1214" s="25">
        <v>1212</v>
      </c>
      <c r="B1214" s="37" t="e">
        <f t="shared" ref="B1214:D1214" si="2445">VLOOKUP($A1214,[4]Cultura!$A$1:$O$276,B$1,0)</f>
        <v>#N/A</v>
      </c>
      <c r="C1214" s="38" t="e">
        <f t="shared" si="2445"/>
        <v>#N/A</v>
      </c>
      <c r="D1214" s="39" t="e">
        <f t="shared" si="2445"/>
        <v>#N/A</v>
      </c>
      <c r="E1214" s="16" t="e">
        <f t="shared" si="1"/>
        <v>#N/A</v>
      </c>
      <c r="F1214" s="16" t="e">
        <f t="shared" ref="F1214:K1214" si="2446">VLOOKUP($A1214,[4]Cultura!$A$1:$O$276,F$1,0)</f>
        <v>#N/A</v>
      </c>
      <c r="G1214" s="39" t="e">
        <f t="shared" si="2446"/>
        <v>#N/A</v>
      </c>
      <c r="H1214" s="16" t="e">
        <f t="shared" si="2446"/>
        <v>#N/A</v>
      </c>
      <c r="I1214" s="16" t="e">
        <f t="shared" si="2446"/>
        <v>#N/A</v>
      </c>
      <c r="J1214" s="40" t="e">
        <f t="shared" si="2446"/>
        <v>#N/A</v>
      </c>
      <c r="K1214" s="16" t="e">
        <f t="shared" si="2446"/>
        <v>#N/A</v>
      </c>
      <c r="L1214" s="40" t="e">
        <f t="shared" si="2421"/>
        <v>#N/A</v>
      </c>
      <c r="M1214" s="16" t="e">
        <f t="shared" si="2422"/>
        <v>#N/A</v>
      </c>
      <c r="N1214" s="16" t="e">
        <f t="shared" si="2423"/>
        <v>#N/A</v>
      </c>
      <c r="O1214" s="16" t="s">
        <v>68</v>
      </c>
      <c r="P1214" s="16" t="str">
        <f t="shared" si="6"/>
        <v/>
      </c>
      <c r="Q1214" s="41" t="e">
        <f t="shared" si="2424"/>
        <v>#N/A</v>
      </c>
      <c r="R1214" s="44"/>
      <c r="S1214" s="44"/>
      <c r="T1214" s="43"/>
      <c r="U1214" s="43" t="str">
        <f t="shared" si="8"/>
        <v>No</v>
      </c>
      <c r="V1214" s="25"/>
      <c r="W1214" s="25"/>
      <c r="X1214" s="25"/>
      <c r="Y1214" s="25"/>
      <c r="Z1214" s="25"/>
    </row>
    <row r="1215" spans="1:26" ht="15.75" customHeight="1" x14ac:dyDescent="0.25">
      <c r="A1215" s="25">
        <v>1213</v>
      </c>
      <c r="B1215" s="37" t="e">
        <f t="shared" ref="B1215:D1215" si="2447">VLOOKUP($A1215,[4]Cultura!$A$1:$O$276,B$1,0)</f>
        <v>#N/A</v>
      </c>
      <c r="C1215" s="38" t="e">
        <f t="shared" si="2447"/>
        <v>#N/A</v>
      </c>
      <c r="D1215" s="39" t="e">
        <f t="shared" si="2447"/>
        <v>#N/A</v>
      </c>
      <c r="E1215" s="16" t="e">
        <f t="shared" si="1"/>
        <v>#N/A</v>
      </c>
      <c r="F1215" s="16" t="e">
        <f t="shared" ref="F1215:K1215" si="2448">VLOOKUP($A1215,[4]Cultura!$A$1:$O$276,F$1,0)</f>
        <v>#N/A</v>
      </c>
      <c r="G1215" s="39" t="e">
        <f t="shared" si="2448"/>
        <v>#N/A</v>
      </c>
      <c r="H1215" s="16" t="e">
        <f t="shared" si="2448"/>
        <v>#N/A</v>
      </c>
      <c r="I1215" s="16" t="e">
        <f t="shared" si="2448"/>
        <v>#N/A</v>
      </c>
      <c r="J1215" s="40" t="e">
        <f t="shared" si="2448"/>
        <v>#N/A</v>
      </c>
      <c r="K1215" s="16" t="e">
        <f t="shared" si="2448"/>
        <v>#N/A</v>
      </c>
      <c r="L1215" s="40" t="e">
        <f t="shared" si="2421"/>
        <v>#N/A</v>
      </c>
      <c r="M1215" s="16" t="e">
        <f t="shared" si="2422"/>
        <v>#N/A</v>
      </c>
      <c r="N1215" s="16" t="e">
        <f t="shared" si="2423"/>
        <v>#N/A</v>
      </c>
      <c r="O1215" s="16" t="s">
        <v>68</v>
      </c>
      <c r="P1215" s="16" t="str">
        <f t="shared" si="6"/>
        <v/>
      </c>
      <c r="Q1215" s="41" t="e">
        <f t="shared" si="2424"/>
        <v>#N/A</v>
      </c>
      <c r="R1215" s="44"/>
      <c r="S1215" s="44"/>
      <c r="T1215" s="43"/>
      <c r="U1215" s="43" t="str">
        <f t="shared" si="8"/>
        <v>No</v>
      </c>
      <c r="V1215" s="25"/>
      <c r="W1215" s="25"/>
      <c r="X1215" s="25"/>
      <c r="Y1215" s="25"/>
      <c r="Z1215" s="25"/>
    </row>
    <row r="1216" spans="1:26" ht="15.75" customHeight="1" x14ac:dyDescent="0.25">
      <c r="A1216" s="25">
        <v>1214</v>
      </c>
      <c r="B1216" s="37" t="e">
        <f t="shared" ref="B1216:D1216" si="2449">VLOOKUP($A1216,[4]Cultura!$A$1:$O$276,B$1,0)</f>
        <v>#N/A</v>
      </c>
      <c r="C1216" s="38" t="e">
        <f t="shared" si="2449"/>
        <v>#N/A</v>
      </c>
      <c r="D1216" s="39" t="e">
        <f t="shared" si="2449"/>
        <v>#N/A</v>
      </c>
      <c r="E1216" s="16" t="e">
        <f t="shared" si="1"/>
        <v>#N/A</v>
      </c>
      <c r="F1216" s="16" t="e">
        <f t="shared" ref="F1216:K1216" si="2450">VLOOKUP($A1216,[4]Cultura!$A$1:$O$276,F$1,0)</f>
        <v>#N/A</v>
      </c>
      <c r="G1216" s="39" t="e">
        <f t="shared" si="2450"/>
        <v>#N/A</v>
      </c>
      <c r="H1216" s="16" t="e">
        <f t="shared" si="2450"/>
        <v>#N/A</v>
      </c>
      <c r="I1216" s="16" t="e">
        <f t="shared" si="2450"/>
        <v>#N/A</v>
      </c>
      <c r="J1216" s="40" t="e">
        <f t="shared" si="2450"/>
        <v>#N/A</v>
      </c>
      <c r="K1216" s="16" t="e">
        <f t="shared" si="2450"/>
        <v>#N/A</v>
      </c>
      <c r="L1216" s="40" t="e">
        <f t="shared" si="2421"/>
        <v>#N/A</v>
      </c>
      <c r="M1216" s="16" t="e">
        <f t="shared" si="2422"/>
        <v>#N/A</v>
      </c>
      <c r="N1216" s="16" t="e">
        <f t="shared" si="2423"/>
        <v>#N/A</v>
      </c>
      <c r="O1216" s="16" t="s">
        <v>68</v>
      </c>
      <c r="P1216" s="16" t="str">
        <f t="shared" si="6"/>
        <v/>
      </c>
      <c r="Q1216" s="41" t="e">
        <f t="shared" si="2424"/>
        <v>#N/A</v>
      </c>
      <c r="R1216" s="44"/>
      <c r="S1216" s="44"/>
      <c r="T1216" s="43"/>
      <c r="U1216" s="43" t="str">
        <f t="shared" si="8"/>
        <v>No</v>
      </c>
      <c r="V1216" s="25"/>
      <c r="W1216" s="25"/>
      <c r="X1216" s="25"/>
      <c r="Y1216" s="25"/>
      <c r="Z1216" s="25"/>
    </row>
    <row r="1217" spans="1:26" ht="15.75" customHeight="1" x14ac:dyDescent="0.25">
      <c r="A1217" s="25">
        <v>1215</v>
      </c>
      <c r="B1217" s="37" t="e">
        <f t="shared" ref="B1217:D1217" si="2451">VLOOKUP($A1217,[4]Cultura!$A$1:$O$276,B$1,0)</f>
        <v>#N/A</v>
      </c>
      <c r="C1217" s="38" t="e">
        <f t="shared" si="2451"/>
        <v>#N/A</v>
      </c>
      <c r="D1217" s="39" t="e">
        <f t="shared" si="2451"/>
        <v>#N/A</v>
      </c>
      <c r="E1217" s="16" t="e">
        <f t="shared" si="1"/>
        <v>#N/A</v>
      </c>
      <c r="F1217" s="16" t="e">
        <f t="shared" ref="F1217:K1217" si="2452">VLOOKUP($A1217,[4]Cultura!$A$1:$O$276,F$1,0)</f>
        <v>#N/A</v>
      </c>
      <c r="G1217" s="39" t="e">
        <f t="shared" si="2452"/>
        <v>#N/A</v>
      </c>
      <c r="H1217" s="16" t="e">
        <f t="shared" si="2452"/>
        <v>#N/A</v>
      </c>
      <c r="I1217" s="16" t="e">
        <f t="shared" si="2452"/>
        <v>#N/A</v>
      </c>
      <c r="J1217" s="40" t="e">
        <f t="shared" si="2452"/>
        <v>#N/A</v>
      </c>
      <c r="K1217" s="16" t="e">
        <f t="shared" si="2452"/>
        <v>#N/A</v>
      </c>
      <c r="L1217" s="40" t="e">
        <f t="shared" si="2421"/>
        <v>#N/A</v>
      </c>
      <c r="M1217" s="16" t="e">
        <f t="shared" si="2422"/>
        <v>#N/A</v>
      </c>
      <c r="N1217" s="16" t="e">
        <f t="shared" si="2423"/>
        <v>#N/A</v>
      </c>
      <c r="O1217" s="16" t="s">
        <v>68</v>
      </c>
      <c r="P1217" s="16" t="str">
        <f t="shared" si="6"/>
        <v/>
      </c>
      <c r="Q1217" s="41" t="e">
        <f t="shared" si="2424"/>
        <v>#N/A</v>
      </c>
      <c r="R1217" s="44"/>
      <c r="S1217" s="44"/>
      <c r="T1217" s="43"/>
      <c r="U1217" s="43" t="str">
        <f t="shared" si="8"/>
        <v>No</v>
      </c>
      <c r="V1217" s="25"/>
      <c r="W1217" s="25"/>
      <c r="X1217" s="25"/>
      <c r="Y1217" s="25"/>
      <c r="Z1217" s="25"/>
    </row>
    <row r="1218" spans="1:26" ht="15.75" customHeight="1" x14ac:dyDescent="0.25">
      <c r="A1218" s="25">
        <v>1216</v>
      </c>
      <c r="B1218" s="37" t="e">
        <f t="shared" ref="B1218:D1218" si="2453">VLOOKUP($A1218,[4]Cultura!$A$1:$O$276,B$1,0)</f>
        <v>#N/A</v>
      </c>
      <c r="C1218" s="38" t="e">
        <f t="shared" si="2453"/>
        <v>#N/A</v>
      </c>
      <c r="D1218" s="39" t="e">
        <f t="shared" si="2453"/>
        <v>#N/A</v>
      </c>
      <c r="E1218" s="16" t="e">
        <f t="shared" si="1"/>
        <v>#N/A</v>
      </c>
      <c r="F1218" s="16" t="e">
        <f t="shared" ref="F1218:K1218" si="2454">VLOOKUP($A1218,[4]Cultura!$A$1:$O$276,F$1,0)</f>
        <v>#N/A</v>
      </c>
      <c r="G1218" s="39" t="e">
        <f t="shared" si="2454"/>
        <v>#N/A</v>
      </c>
      <c r="H1218" s="16" t="e">
        <f t="shared" si="2454"/>
        <v>#N/A</v>
      </c>
      <c r="I1218" s="16" t="e">
        <f t="shared" si="2454"/>
        <v>#N/A</v>
      </c>
      <c r="J1218" s="40" t="e">
        <f t="shared" si="2454"/>
        <v>#N/A</v>
      </c>
      <c r="K1218" s="16" t="e">
        <f t="shared" si="2454"/>
        <v>#N/A</v>
      </c>
      <c r="L1218" s="40" t="e">
        <f t="shared" si="2421"/>
        <v>#N/A</v>
      </c>
      <c r="M1218" s="16" t="e">
        <f t="shared" si="2422"/>
        <v>#N/A</v>
      </c>
      <c r="N1218" s="16" t="e">
        <f t="shared" si="2423"/>
        <v>#N/A</v>
      </c>
      <c r="O1218" s="16" t="s">
        <v>68</v>
      </c>
      <c r="P1218" s="16" t="str">
        <f t="shared" si="6"/>
        <v/>
      </c>
      <c r="Q1218" s="41" t="e">
        <f t="shared" si="2424"/>
        <v>#N/A</v>
      </c>
      <c r="R1218" s="44"/>
      <c r="S1218" s="44"/>
      <c r="T1218" s="43"/>
      <c r="U1218" s="43" t="str">
        <f t="shared" si="8"/>
        <v>No</v>
      </c>
      <c r="V1218" s="25"/>
      <c r="W1218" s="25"/>
      <c r="X1218" s="25"/>
      <c r="Y1218" s="25"/>
      <c r="Z1218" s="25"/>
    </row>
    <row r="1219" spans="1:26" ht="15.75" customHeight="1" x14ac:dyDescent="0.25">
      <c r="A1219" s="25">
        <v>1217</v>
      </c>
      <c r="B1219" s="37" t="e">
        <f t="shared" ref="B1219:D1219" si="2455">VLOOKUP($A1219,[4]Cultura!$A$1:$O$276,B$1,0)</f>
        <v>#N/A</v>
      </c>
      <c r="C1219" s="38" t="e">
        <f t="shared" si="2455"/>
        <v>#N/A</v>
      </c>
      <c r="D1219" s="39" t="e">
        <f t="shared" si="2455"/>
        <v>#N/A</v>
      </c>
      <c r="E1219" s="16" t="e">
        <f t="shared" si="1"/>
        <v>#N/A</v>
      </c>
      <c r="F1219" s="16" t="e">
        <f t="shared" ref="F1219:K1219" si="2456">VLOOKUP($A1219,[4]Cultura!$A$1:$O$276,F$1,0)</f>
        <v>#N/A</v>
      </c>
      <c r="G1219" s="39" t="e">
        <f t="shared" si="2456"/>
        <v>#N/A</v>
      </c>
      <c r="H1219" s="16" t="e">
        <f t="shared" si="2456"/>
        <v>#N/A</v>
      </c>
      <c r="I1219" s="16" t="e">
        <f t="shared" si="2456"/>
        <v>#N/A</v>
      </c>
      <c r="J1219" s="40" t="e">
        <f t="shared" si="2456"/>
        <v>#N/A</v>
      </c>
      <c r="K1219" s="16" t="e">
        <f t="shared" si="2456"/>
        <v>#N/A</v>
      </c>
      <c r="L1219" s="40" t="e">
        <f t="shared" si="2421"/>
        <v>#N/A</v>
      </c>
      <c r="M1219" s="16" t="e">
        <f t="shared" si="2422"/>
        <v>#N/A</v>
      </c>
      <c r="N1219" s="16" t="e">
        <f t="shared" si="2423"/>
        <v>#N/A</v>
      </c>
      <c r="O1219" s="16" t="s">
        <v>68</v>
      </c>
      <c r="P1219" s="16" t="str">
        <f t="shared" si="6"/>
        <v/>
      </c>
      <c r="Q1219" s="41" t="e">
        <f t="shared" si="2424"/>
        <v>#N/A</v>
      </c>
      <c r="R1219" s="44"/>
      <c r="S1219" s="44"/>
      <c r="T1219" s="43"/>
      <c r="U1219" s="43" t="str">
        <f t="shared" si="8"/>
        <v>No</v>
      </c>
      <c r="V1219" s="25"/>
      <c r="W1219" s="25"/>
      <c r="X1219" s="25"/>
      <c r="Y1219" s="25"/>
      <c r="Z1219" s="25"/>
    </row>
    <row r="1220" spans="1:26" ht="15.75" customHeight="1" x14ac:dyDescent="0.25">
      <c r="A1220" s="25">
        <v>1218</v>
      </c>
      <c r="B1220" s="37" t="e">
        <f t="shared" ref="B1220:D1220" si="2457">VLOOKUP($A1220,[4]Cultura!$A$1:$O$276,B$1,0)</f>
        <v>#N/A</v>
      </c>
      <c r="C1220" s="38" t="e">
        <f t="shared" si="2457"/>
        <v>#N/A</v>
      </c>
      <c r="D1220" s="39" t="e">
        <f t="shared" si="2457"/>
        <v>#N/A</v>
      </c>
      <c r="E1220" s="16" t="e">
        <f t="shared" si="1"/>
        <v>#N/A</v>
      </c>
      <c r="F1220" s="16" t="e">
        <f t="shared" ref="F1220:K1220" si="2458">VLOOKUP($A1220,[4]Cultura!$A$1:$O$276,F$1,0)</f>
        <v>#N/A</v>
      </c>
      <c r="G1220" s="39" t="e">
        <f t="shared" si="2458"/>
        <v>#N/A</v>
      </c>
      <c r="H1220" s="16" t="e">
        <f t="shared" si="2458"/>
        <v>#N/A</v>
      </c>
      <c r="I1220" s="16" t="e">
        <f t="shared" si="2458"/>
        <v>#N/A</v>
      </c>
      <c r="J1220" s="40" t="e">
        <f t="shared" si="2458"/>
        <v>#N/A</v>
      </c>
      <c r="K1220" s="16" t="e">
        <f t="shared" si="2458"/>
        <v>#N/A</v>
      </c>
      <c r="L1220" s="40" t="e">
        <f t="shared" si="2421"/>
        <v>#N/A</v>
      </c>
      <c r="M1220" s="16" t="e">
        <f t="shared" si="2422"/>
        <v>#N/A</v>
      </c>
      <c r="N1220" s="16" t="e">
        <f t="shared" si="2423"/>
        <v>#N/A</v>
      </c>
      <c r="O1220" s="16" t="s">
        <v>68</v>
      </c>
      <c r="P1220" s="16" t="str">
        <f t="shared" si="6"/>
        <v/>
      </c>
      <c r="Q1220" s="41" t="e">
        <f t="shared" si="2424"/>
        <v>#N/A</v>
      </c>
      <c r="R1220" s="44"/>
      <c r="S1220" s="44"/>
      <c r="T1220" s="43"/>
      <c r="U1220" s="43" t="str">
        <f t="shared" si="8"/>
        <v>No</v>
      </c>
      <c r="V1220" s="25"/>
      <c r="W1220" s="25"/>
      <c r="X1220" s="25"/>
      <c r="Y1220" s="25"/>
      <c r="Z1220" s="25"/>
    </row>
    <row r="1221" spans="1:26" ht="15.75" customHeight="1" x14ac:dyDescent="0.25">
      <c r="A1221" s="25">
        <v>1219</v>
      </c>
      <c r="B1221" s="37" t="e">
        <f t="shared" ref="B1221:D1221" si="2459">VLOOKUP($A1221,[4]Cultura!$A$1:$O$276,B$1,0)</f>
        <v>#N/A</v>
      </c>
      <c r="C1221" s="38" t="e">
        <f t="shared" si="2459"/>
        <v>#N/A</v>
      </c>
      <c r="D1221" s="39" t="e">
        <f t="shared" si="2459"/>
        <v>#N/A</v>
      </c>
      <c r="E1221" s="16" t="e">
        <f t="shared" si="1"/>
        <v>#N/A</v>
      </c>
      <c r="F1221" s="16" t="e">
        <f t="shared" ref="F1221:K1221" si="2460">VLOOKUP($A1221,[4]Cultura!$A$1:$O$276,F$1,0)</f>
        <v>#N/A</v>
      </c>
      <c r="G1221" s="39" t="e">
        <f t="shared" si="2460"/>
        <v>#N/A</v>
      </c>
      <c r="H1221" s="16" t="e">
        <f t="shared" si="2460"/>
        <v>#N/A</v>
      </c>
      <c r="I1221" s="16" t="e">
        <f t="shared" si="2460"/>
        <v>#N/A</v>
      </c>
      <c r="J1221" s="40" t="e">
        <f t="shared" si="2460"/>
        <v>#N/A</v>
      </c>
      <c r="K1221" s="16" t="e">
        <f t="shared" si="2460"/>
        <v>#N/A</v>
      </c>
      <c r="L1221" s="40" t="e">
        <f t="shared" si="2421"/>
        <v>#N/A</v>
      </c>
      <c r="M1221" s="16" t="e">
        <f t="shared" si="2422"/>
        <v>#N/A</v>
      </c>
      <c r="N1221" s="16" t="e">
        <f t="shared" si="2423"/>
        <v>#N/A</v>
      </c>
      <c r="O1221" s="16" t="s">
        <v>68</v>
      </c>
      <c r="P1221" s="16" t="str">
        <f t="shared" si="6"/>
        <v/>
      </c>
      <c r="Q1221" s="41" t="e">
        <f t="shared" si="2424"/>
        <v>#N/A</v>
      </c>
      <c r="R1221" s="44"/>
      <c r="S1221" s="44"/>
      <c r="T1221" s="43"/>
      <c r="U1221" s="43" t="str">
        <f t="shared" si="8"/>
        <v>No</v>
      </c>
      <c r="V1221" s="25"/>
      <c r="W1221" s="25"/>
      <c r="X1221" s="25"/>
      <c r="Y1221" s="25"/>
      <c r="Z1221" s="25"/>
    </row>
    <row r="1222" spans="1:26" ht="15.75" customHeight="1" x14ac:dyDescent="0.25">
      <c r="A1222" s="25">
        <v>1220</v>
      </c>
      <c r="B1222" s="37" t="e">
        <f t="shared" ref="B1222:D1222" si="2461">VLOOKUP($A1222,[4]Cultura!$A$1:$O$276,B$1,0)</f>
        <v>#N/A</v>
      </c>
      <c r="C1222" s="38" t="e">
        <f t="shared" si="2461"/>
        <v>#N/A</v>
      </c>
      <c r="D1222" s="39" t="e">
        <f t="shared" si="2461"/>
        <v>#N/A</v>
      </c>
      <c r="E1222" s="16" t="e">
        <f t="shared" si="1"/>
        <v>#N/A</v>
      </c>
      <c r="F1222" s="16" t="e">
        <f t="shared" ref="F1222:K1222" si="2462">VLOOKUP($A1222,[4]Cultura!$A$1:$O$276,F$1,0)</f>
        <v>#N/A</v>
      </c>
      <c r="G1222" s="39" t="e">
        <f t="shared" si="2462"/>
        <v>#N/A</v>
      </c>
      <c r="H1222" s="16" t="e">
        <f t="shared" si="2462"/>
        <v>#N/A</v>
      </c>
      <c r="I1222" s="16" t="e">
        <f t="shared" si="2462"/>
        <v>#N/A</v>
      </c>
      <c r="J1222" s="40" t="e">
        <f t="shared" si="2462"/>
        <v>#N/A</v>
      </c>
      <c r="K1222" s="16" t="e">
        <f t="shared" si="2462"/>
        <v>#N/A</v>
      </c>
      <c r="L1222" s="40" t="e">
        <f t="shared" si="2421"/>
        <v>#N/A</v>
      </c>
      <c r="M1222" s="16" t="e">
        <f t="shared" si="2422"/>
        <v>#N/A</v>
      </c>
      <c r="N1222" s="16" t="e">
        <f t="shared" si="2423"/>
        <v>#N/A</v>
      </c>
      <c r="O1222" s="16" t="s">
        <v>68</v>
      </c>
      <c r="P1222" s="16" t="str">
        <f t="shared" si="6"/>
        <v/>
      </c>
      <c r="Q1222" s="41" t="e">
        <f t="shared" si="2424"/>
        <v>#N/A</v>
      </c>
      <c r="R1222" s="44"/>
      <c r="S1222" s="44"/>
      <c r="T1222" s="43"/>
      <c r="U1222" s="43" t="str">
        <f t="shared" si="8"/>
        <v>No</v>
      </c>
      <c r="V1222" s="25"/>
      <c r="W1222" s="25"/>
      <c r="X1222" s="25"/>
      <c r="Y1222" s="25"/>
      <c r="Z1222" s="25"/>
    </row>
    <row r="1223" spans="1:26" ht="15.75" customHeight="1" x14ac:dyDescent="0.25">
      <c r="A1223" s="25">
        <v>1221</v>
      </c>
      <c r="B1223" s="37" t="e">
        <f t="shared" ref="B1223:D1223" si="2463">VLOOKUP($A1223,[4]Cultura!$A$1:$O$276,B$1,0)</f>
        <v>#N/A</v>
      </c>
      <c r="C1223" s="38" t="e">
        <f t="shared" si="2463"/>
        <v>#N/A</v>
      </c>
      <c r="D1223" s="39" t="e">
        <f t="shared" si="2463"/>
        <v>#N/A</v>
      </c>
      <c r="E1223" s="16" t="e">
        <f t="shared" si="1"/>
        <v>#N/A</v>
      </c>
      <c r="F1223" s="16" t="e">
        <f t="shared" ref="F1223:K1223" si="2464">VLOOKUP($A1223,[4]Cultura!$A$1:$O$276,F$1,0)</f>
        <v>#N/A</v>
      </c>
      <c r="G1223" s="39" t="e">
        <f t="shared" si="2464"/>
        <v>#N/A</v>
      </c>
      <c r="H1223" s="16" t="e">
        <f t="shared" si="2464"/>
        <v>#N/A</v>
      </c>
      <c r="I1223" s="16" t="e">
        <f t="shared" si="2464"/>
        <v>#N/A</v>
      </c>
      <c r="J1223" s="40" t="e">
        <f t="shared" si="2464"/>
        <v>#N/A</v>
      </c>
      <c r="K1223" s="16" t="e">
        <f t="shared" si="2464"/>
        <v>#N/A</v>
      </c>
      <c r="L1223" s="40" t="e">
        <f t="shared" si="2421"/>
        <v>#N/A</v>
      </c>
      <c r="M1223" s="16" t="e">
        <f t="shared" si="2422"/>
        <v>#N/A</v>
      </c>
      <c r="N1223" s="16" t="e">
        <f t="shared" si="2423"/>
        <v>#N/A</v>
      </c>
      <c r="O1223" s="16" t="s">
        <v>68</v>
      </c>
      <c r="P1223" s="16" t="str">
        <f t="shared" si="6"/>
        <v/>
      </c>
      <c r="Q1223" s="41" t="e">
        <f t="shared" si="2424"/>
        <v>#N/A</v>
      </c>
      <c r="R1223" s="44"/>
      <c r="S1223" s="44"/>
      <c r="T1223" s="43"/>
      <c r="U1223" s="43" t="str">
        <f t="shared" si="8"/>
        <v>No</v>
      </c>
      <c r="V1223" s="25"/>
      <c r="W1223" s="25"/>
      <c r="X1223" s="25"/>
      <c r="Y1223" s="25"/>
      <c r="Z1223" s="25"/>
    </row>
    <row r="1224" spans="1:26" ht="15.75" customHeight="1" x14ac:dyDescent="0.25">
      <c r="A1224" s="25">
        <v>1222</v>
      </c>
      <c r="B1224" s="37" t="e">
        <f t="shared" ref="B1224:D1224" si="2465">VLOOKUP($A1224,[4]Cultura!$A$1:$O$276,B$1,0)</f>
        <v>#N/A</v>
      </c>
      <c r="C1224" s="38" t="e">
        <f t="shared" si="2465"/>
        <v>#N/A</v>
      </c>
      <c r="D1224" s="39" t="e">
        <f t="shared" si="2465"/>
        <v>#N/A</v>
      </c>
      <c r="E1224" s="16" t="e">
        <f t="shared" si="1"/>
        <v>#N/A</v>
      </c>
      <c r="F1224" s="16" t="e">
        <f t="shared" ref="F1224:K1224" si="2466">VLOOKUP($A1224,[4]Cultura!$A$1:$O$276,F$1,0)</f>
        <v>#N/A</v>
      </c>
      <c r="G1224" s="39" t="e">
        <f t="shared" si="2466"/>
        <v>#N/A</v>
      </c>
      <c r="H1224" s="16" t="e">
        <f t="shared" si="2466"/>
        <v>#N/A</v>
      </c>
      <c r="I1224" s="16" t="e">
        <f t="shared" si="2466"/>
        <v>#N/A</v>
      </c>
      <c r="J1224" s="40" t="e">
        <f t="shared" si="2466"/>
        <v>#N/A</v>
      </c>
      <c r="K1224" s="16" t="e">
        <f t="shared" si="2466"/>
        <v>#N/A</v>
      </c>
      <c r="L1224" s="40" t="e">
        <f t="shared" si="2421"/>
        <v>#N/A</v>
      </c>
      <c r="M1224" s="16" t="e">
        <f t="shared" si="2422"/>
        <v>#N/A</v>
      </c>
      <c r="N1224" s="16" t="e">
        <f t="shared" si="2423"/>
        <v>#N/A</v>
      </c>
      <c r="O1224" s="16" t="s">
        <v>68</v>
      </c>
      <c r="P1224" s="16" t="str">
        <f t="shared" si="6"/>
        <v/>
      </c>
      <c r="Q1224" s="41" t="e">
        <f t="shared" si="2424"/>
        <v>#N/A</v>
      </c>
      <c r="R1224" s="44"/>
      <c r="S1224" s="44"/>
      <c r="T1224" s="43"/>
      <c r="U1224" s="43" t="str">
        <f t="shared" si="8"/>
        <v>No</v>
      </c>
      <c r="V1224" s="25"/>
      <c r="W1224" s="25"/>
      <c r="X1224" s="25"/>
      <c r="Y1224" s="25"/>
      <c r="Z1224" s="25"/>
    </row>
    <row r="1225" spans="1:26" ht="15.75" customHeight="1" x14ac:dyDescent="0.25">
      <c r="A1225" s="25">
        <v>1223</v>
      </c>
      <c r="B1225" s="37" t="e">
        <f t="shared" ref="B1225:D1225" si="2467">VLOOKUP($A1225,[4]Cultura!$A$1:$O$276,B$1,0)</f>
        <v>#N/A</v>
      </c>
      <c r="C1225" s="38" t="e">
        <f t="shared" si="2467"/>
        <v>#N/A</v>
      </c>
      <c r="D1225" s="39" t="e">
        <f t="shared" si="2467"/>
        <v>#N/A</v>
      </c>
      <c r="E1225" s="16" t="e">
        <f t="shared" si="1"/>
        <v>#N/A</v>
      </c>
      <c r="F1225" s="16" t="e">
        <f t="shared" ref="F1225:K1225" si="2468">VLOOKUP($A1225,[4]Cultura!$A$1:$O$276,F$1,0)</f>
        <v>#N/A</v>
      </c>
      <c r="G1225" s="39" t="e">
        <f t="shared" si="2468"/>
        <v>#N/A</v>
      </c>
      <c r="H1225" s="16" t="e">
        <f t="shared" si="2468"/>
        <v>#N/A</v>
      </c>
      <c r="I1225" s="16" t="e">
        <f t="shared" si="2468"/>
        <v>#N/A</v>
      </c>
      <c r="J1225" s="40" t="e">
        <f t="shared" si="2468"/>
        <v>#N/A</v>
      </c>
      <c r="K1225" s="16" t="e">
        <f t="shared" si="2468"/>
        <v>#N/A</v>
      </c>
      <c r="L1225" s="40" t="e">
        <f t="shared" si="2421"/>
        <v>#N/A</v>
      </c>
      <c r="M1225" s="16" t="e">
        <f t="shared" si="2422"/>
        <v>#N/A</v>
      </c>
      <c r="N1225" s="16" t="e">
        <f t="shared" si="2423"/>
        <v>#N/A</v>
      </c>
      <c r="O1225" s="16" t="s">
        <v>68</v>
      </c>
      <c r="P1225" s="16" t="str">
        <f t="shared" si="6"/>
        <v/>
      </c>
      <c r="Q1225" s="41" t="e">
        <f t="shared" si="2424"/>
        <v>#N/A</v>
      </c>
      <c r="R1225" s="44"/>
      <c r="S1225" s="44"/>
      <c r="T1225" s="43"/>
      <c r="U1225" s="43" t="str">
        <f t="shared" si="8"/>
        <v>No</v>
      </c>
      <c r="V1225" s="25"/>
      <c r="W1225" s="25"/>
      <c r="X1225" s="25"/>
      <c r="Y1225" s="25"/>
      <c r="Z1225" s="25"/>
    </row>
    <row r="1226" spans="1:26" ht="15.75" customHeight="1" x14ac:dyDescent="0.25">
      <c r="A1226" s="25">
        <v>1224</v>
      </c>
      <c r="B1226" s="37" t="e">
        <f t="shared" ref="B1226:D1226" si="2469">VLOOKUP($A1226,[4]Cultura!$A$1:$O$276,B$1,0)</f>
        <v>#N/A</v>
      </c>
      <c r="C1226" s="38" t="e">
        <f t="shared" si="2469"/>
        <v>#N/A</v>
      </c>
      <c r="D1226" s="39" t="e">
        <f t="shared" si="2469"/>
        <v>#N/A</v>
      </c>
      <c r="E1226" s="16" t="e">
        <f t="shared" si="1"/>
        <v>#N/A</v>
      </c>
      <c r="F1226" s="16" t="e">
        <f t="shared" ref="F1226:K1226" si="2470">VLOOKUP($A1226,[4]Cultura!$A$1:$O$276,F$1,0)</f>
        <v>#N/A</v>
      </c>
      <c r="G1226" s="39" t="e">
        <f t="shared" si="2470"/>
        <v>#N/A</v>
      </c>
      <c r="H1226" s="16" t="e">
        <f t="shared" si="2470"/>
        <v>#N/A</v>
      </c>
      <c r="I1226" s="16" t="e">
        <f t="shared" si="2470"/>
        <v>#N/A</v>
      </c>
      <c r="J1226" s="40" t="e">
        <f t="shared" si="2470"/>
        <v>#N/A</v>
      </c>
      <c r="K1226" s="16" t="e">
        <f t="shared" si="2470"/>
        <v>#N/A</v>
      </c>
      <c r="L1226" s="40" t="e">
        <f t="shared" si="2421"/>
        <v>#N/A</v>
      </c>
      <c r="M1226" s="16" t="e">
        <f t="shared" si="2422"/>
        <v>#N/A</v>
      </c>
      <c r="N1226" s="16" t="e">
        <f t="shared" si="2423"/>
        <v>#N/A</v>
      </c>
      <c r="O1226" s="16" t="s">
        <v>68</v>
      </c>
      <c r="P1226" s="16" t="str">
        <f t="shared" si="6"/>
        <v/>
      </c>
      <c r="Q1226" s="41" t="e">
        <f t="shared" si="2424"/>
        <v>#N/A</v>
      </c>
      <c r="R1226" s="44"/>
      <c r="S1226" s="44"/>
      <c r="T1226" s="43"/>
      <c r="U1226" s="43" t="str">
        <f t="shared" si="8"/>
        <v>No</v>
      </c>
      <c r="V1226" s="25"/>
      <c r="W1226" s="25"/>
      <c r="X1226" s="25"/>
      <c r="Y1226" s="25"/>
      <c r="Z1226" s="25"/>
    </row>
    <row r="1227" spans="1:26" ht="15.75" customHeight="1" x14ac:dyDescent="0.25">
      <c r="A1227" s="25">
        <v>1225</v>
      </c>
      <c r="B1227" s="37" t="e">
        <f t="shared" ref="B1227:D1227" si="2471">VLOOKUP($A1227,[4]Cultura!$A$1:$O$276,B$1,0)</f>
        <v>#N/A</v>
      </c>
      <c r="C1227" s="38" t="e">
        <f t="shared" si="2471"/>
        <v>#N/A</v>
      </c>
      <c r="D1227" s="39" t="e">
        <f t="shared" si="2471"/>
        <v>#N/A</v>
      </c>
      <c r="E1227" s="16" t="e">
        <f t="shared" si="1"/>
        <v>#N/A</v>
      </c>
      <c r="F1227" s="16" t="e">
        <f t="shared" ref="F1227:K1227" si="2472">VLOOKUP($A1227,[4]Cultura!$A$1:$O$276,F$1,0)</f>
        <v>#N/A</v>
      </c>
      <c r="G1227" s="39" t="e">
        <f t="shared" si="2472"/>
        <v>#N/A</v>
      </c>
      <c r="H1227" s="16" t="e">
        <f t="shared" si="2472"/>
        <v>#N/A</v>
      </c>
      <c r="I1227" s="16" t="e">
        <f t="shared" si="2472"/>
        <v>#N/A</v>
      </c>
      <c r="J1227" s="40" t="e">
        <f t="shared" si="2472"/>
        <v>#N/A</v>
      </c>
      <c r="K1227" s="16" t="e">
        <f t="shared" si="2472"/>
        <v>#N/A</v>
      </c>
      <c r="L1227" s="40" t="e">
        <f t="shared" si="2421"/>
        <v>#N/A</v>
      </c>
      <c r="M1227" s="16" t="e">
        <f t="shared" si="2422"/>
        <v>#N/A</v>
      </c>
      <c r="N1227" s="16" t="e">
        <f t="shared" si="2423"/>
        <v>#N/A</v>
      </c>
      <c r="O1227" s="16" t="s">
        <v>68</v>
      </c>
      <c r="P1227" s="16" t="str">
        <f t="shared" si="6"/>
        <v/>
      </c>
      <c r="Q1227" s="41" t="e">
        <f t="shared" si="2424"/>
        <v>#N/A</v>
      </c>
      <c r="R1227" s="44"/>
      <c r="S1227" s="44"/>
      <c r="T1227" s="43"/>
      <c r="U1227" s="43" t="str">
        <f t="shared" si="8"/>
        <v>No</v>
      </c>
      <c r="V1227" s="25"/>
      <c r="W1227" s="25"/>
      <c r="X1227" s="25"/>
      <c r="Y1227" s="25"/>
      <c r="Z1227" s="25"/>
    </row>
    <row r="1228" spans="1:26" ht="15.75" customHeight="1" x14ac:dyDescent="0.25">
      <c r="A1228" s="25">
        <v>1226</v>
      </c>
      <c r="B1228" s="37" t="e">
        <f t="shared" ref="B1228:D1228" si="2473">VLOOKUP($A1228,[4]Cultura!$A$1:$O$276,B$1,0)</f>
        <v>#N/A</v>
      </c>
      <c r="C1228" s="38" t="e">
        <f t="shared" si="2473"/>
        <v>#N/A</v>
      </c>
      <c r="D1228" s="39" t="e">
        <f t="shared" si="2473"/>
        <v>#N/A</v>
      </c>
      <c r="E1228" s="16" t="e">
        <f t="shared" si="1"/>
        <v>#N/A</v>
      </c>
      <c r="F1228" s="16" t="e">
        <f t="shared" ref="F1228:K1228" si="2474">VLOOKUP($A1228,[4]Cultura!$A$1:$O$276,F$1,0)</f>
        <v>#N/A</v>
      </c>
      <c r="G1228" s="39" t="e">
        <f t="shared" si="2474"/>
        <v>#N/A</v>
      </c>
      <c r="H1228" s="16" t="e">
        <f t="shared" si="2474"/>
        <v>#N/A</v>
      </c>
      <c r="I1228" s="16" t="e">
        <f t="shared" si="2474"/>
        <v>#N/A</v>
      </c>
      <c r="J1228" s="40" t="e">
        <f t="shared" si="2474"/>
        <v>#N/A</v>
      </c>
      <c r="K1228" s="16" t="e">
        <f t="shared" si="2474"/>
        <v>#N/A</v>
      </c>
      <c r="L1228" s="40" t="e">
        <f t="shared" si="2421"/>
        <v>#N/A</v>
      </c>
      <c r="M1228" s="16" t="e">
        <f t="shared" si="2422"/>
        <v>#N/A</v>
      </c>
      <c r="N1228" s="16" t="e">
        <f t="shared" si="2423"/>
        <v>#N/A</v>
      </c>
      <c r="O1228" s="16" t="s">
        <v>68</v>
      </c>
      <c r="P1228" s="16" t="str">
        <f t="shared" si="6"/>
        <v/>
      </c>
      <c r="Q1228" s="41" t="e">
        <f t="shared" si="2424"/>
        <v>#N/A</v>
      </c>
      <c r="R1228" s="44"/>
      <c r="S1228" s="44"/>
      <c r="T1228" s="43"/>
      <c r="U1228" s="43" t="str">
        <f t="shared" si="8"/>
        <v>No</v>
      </c>
      <c r="V1228" s="25"/>
      <c r="W1228" s="25"/>
      <c r="X1228" s="25"/>
      <c r="Y1228" s="25"/>
      <c r="Z1228" s="25"/>
    </row>
    <row r="1229" spans="1:26" ht="15.75" customHeight="1" x14ac:dyDescent="0.25">
      <c r="A1229" s="25">
        <v>1227</v>
      </c>
      <c r="B1229" s="37" t="e">
        <f t="shared" ref="B1229:D1229" si="2475">VLOOKUP($A1229,[4]Cultura!$A$1:$O$276,B$1,0)</f>
        <v>#N/A</v>
      </c>
      <c r="C1229" s="38" t="e">
        <f t="shared" si="2475"/>
        <v>#N/A</v>
      </c>
      <c r="D1229" s="39" t="e">
        <f t="shared" si="2475"/>
        <v>#N/A</v>
      </c>
      <c r="E1229" s="16" t="e">
        <f t="shared" si="1"/>
        <v>#N/A</v>
      </c>
      <c r="F1229" s="16" t="e">
        <f t="shared" ref="F1229:K1229" si="2476">VLOOKUP($A1229,[4]Cultura!$A$1:$O$276,F$1,0)</f>
        <v>#N/A</v>
      </c>
      <c r="G1229" s="39" t="e">
        <f t="shared" si="2476"/>
        <v>#N/A</v>
      </c>
      <c r="H1229" s="16" t="e">
        <f t="shared" si="2476"/>
        <v>#N/A</v>
      </c>
      <c r="I1229" s="16" t="e">
        <f t="shared" si="2476"/>
        <v>#N/A</v>
      </c>
      <c r="J1229" s="40" t="e">
        <f t="shared" si="2476"/>
        <v>#N/A</v>
      </c>
      <c r="K1229" s="16" t="e">
        <f t="shared" si="2476"/>
        <v>#N/A</v>
      </c>
      <c r="L1229" s="40" t="e">
        <f t="shared" si="2421"/>
        <v>#N/A</v>
      </c>
      <c r="M1229" s="16" t="e">
        <f t="shared" si="2422"/>
        <v>#N/A</v>
      </c>
      <c r="N1229" s="16" t="e">
        <f t="shared" si="2423"/>
        <v>#N/A</v>
      </c>
      <c r="O1229" s="16" t="s">
        <v>68</v>
      </c>
      <c r="P1229" s="16" t="str">
        <f t="shared" si="6"/>
        <v/>
      </c>
      <c r="Q1229" s="41" t="e">
        <f t="shared" si="2424"/>
        <v>#N/A</v>
      </c>
      <c r="R1229" s="44"/>
      <c r="S1229" s="44"/>
      <c r="T1229" s="43"/>
      <c r="U1229" s="43" t="str">
        <f t="shared" si="8"/>
        <v>No</v>
      </c>
      <c r="V1229" s="25"/>
      <c r="W1229" s="25"/>
      <c r="X1229" s="25"/>
      <c r="Y1229" s="25"/>
      <c r="Z1229" s="25"/>
    </row>
    <row r="1230" spans="1:26" ht="15.75" customHeight="1" x14ac:dyDescent="0.25">
      <c r="A1230" s="25">
        <v>1228</v>
      </c>
      <c r="B1230" s="37" t="e">
        <f t="shared" ref="B1230:D1230" si="2477">VLOOKUP($A1230,[4]Cultura!$A$1:$O$276,B$1,0)</f>
        <v>#N/A</v>
      </c>
      <c r="C1230" s="38" t="e">
        <f t="shared" si="2477"/>
        <v>#N/A</v>
      </c>
      <c r="D1230" s="39" t="e">
        <f t="shared" si="2477"/>
        <v>#N/A</v>
      </c>
      <c r="E1230" s="16" t="e">
        <f t="shared" si="1"/>
        <v>#N/A</v>
      </c>
      <c r="F1230" s="16" t="e">
        <f t="shared" ref="F1230:K1230" si="2478">VLOOKUP($A1230,[4]Cultura!$A$1:$O$276,F$1,0)</f>
        <v>#N/A</v>
      </c>
      <c r="G1230" s="39" t="e">
        <f t="shared" si="2478"/>
        <v>#N/A</v>
      </c>
      <c r="H1230" s="16" t="e">
        <f t="shared" si="2478"/>
        <v>#N/A</v>
      </c>
      <c r="I1230" s="16" t="e">
        <f t="shared" si="2478"/>
        <v>#N/A</v>
      </c>
      <c r="J1230" s="40" t="e">
        <f t="shared" si="2478"/>
        <v>#N/A</v>
      </c>
      <c r="K1230" s="16" t="e">
        <f t="shared" si="2478"/>
        <v>#N/A</v>
      </c>
      <c r="L1230" s="40" t="e">
        <f t="shared" si="2421"/>
        <v>#N/A</v>
      </c>
      <c r="M1230" s="16" t="e">
        <f t="shared" si="2422"/>
        <v>#N/A</v>
      </c>
      <c r="N1230" s="16" t="e">
        <f t="shared" si="2423"/>
        <v>#N/A</v>
      </c>
      <c r="O1230" s="16" t="s">
        <v>68</v>
      </c>
      <c r="P1230" s="16" t="str">
        <f t="shared" si="6"/>
        <v/>
      </c>
      <c r="Q1230" s="41" t="e">
        <f t="shared" si="2424"/>
        <v>#N/A</v>
      </c>
      <c r="R1230" s="44"/>
      <c r="S1230" s="44"/>
      <c r="T1230" s="43"/>
      <c r="U1230" s="43" t="str">
        <f t="shared" si="8"/>
        <v>No</v>
      </c>
      <c r="V1230" s="25"/>
      <c r="W1230" s="25"/>
      <c r="X1230" s="25"/>
      <c r="Y1230" s="25"/>
      <c r="Z1230" s="25"/>
    </row>
    <row r="1231" spans="1:26" ht="15.75" customHeight="1" x14ac:dyDescent="0.25">
      <c r="A1231" s="25">
        <v>1229</v>
      </c>
      <c r="B1231" s="37" t="e">
        <f t="shared" ref="B1231:D1231" si="2479">VLOOKUP($A1231,[4]Cultura!$A$1:$O$276,B$1,0)</f>
        <v>#N/A</v>
      </c>
      <c r="C1231" s="38" t="e">
        <f t="shared" si="2479"/>
        <v>#N/A</v>
      </c>
      <c r="D1231" s="39" t="e">
        <f t="shared" si="2479"/>
        <v>#N/A</v>
      </c>
      <c r="E1231" s="16" t="e">
        <f t="shared" si="1"/>
        <v>#N/A</v>
      </c>
      <c r="F1231" s="16" t="e">
        <f t="shared" ref="F1231:K1231" si="2480">VLOOKUP($A1231,[4]Cultura!$A$1:$O$276,F$1,0)</f>
        <v>#N/A</v>
      </c>
      <c r="G1231" s="39" t="e">
        <f t="shared" si="2480"/>
        <v>#N/A</v>
      </c>
      <c r="H1231" s="16" t="e">
        <f t="shared" si="2480"/>
        <v>#N/A</v>
      </c>
      <c r="I1231" s="16" t="e">
        <f t="shared" si="2480"/>
        <v>#N/A</v>
      </c>
      <c r="J1231" s="40" t="e">
        <f t="shared" si="2480"/>
        <v>#N/A</v>
      </c>
      <c r="K1231" s="16" t="e">
        <f t="shared" si="2480"/>
        <v>#N/A</v>
      </c>
      <c r="L1231" s="40" t="e">
        <f t="shared" si="2421"/>
        <v>#N/A</v>
      </c>
      <c r="M1231" s="16" t="e">
        <f t="shared" si="2422"/>
        <v>#N/A</v>
      </c>
      <c r="N1231" s="16" t="e">
        <f t="shared" si="2423"/>
        <v>#N/A</v>
      </c>
      <c r="O1231" s="16" t="s">
        <v>68</v>
      </c>
      <c r="P1231" s="16" t="str">
        <f t="shared" si="6"/>
        <v/>
      </c>
      <c r="Q1231" s="41" t="e">
        <f t="shared" si="2424"/>
        <v>#N/A</v>
      </c>
      <c r="R1231" s="44"/>
      <c r="S1231" s="44"/>
      <c r="T1231" s="43"/>
      <c r="U1231" s="43" t="str">
        <f t="shared" si="8"/>
        <v>No</v>
      </c>
      <c r="V1231" s="25"/>
      <c r="W1231" s="25"/>
      <c r="X1231" s="25"/>
      <c r="Y1231" s="25"/>
      <c r="Z1231" s="25"/>
    </row>
    <row r="1232" spans="1:26" ht="15.75" customHeight="1" x14ac:dyDescent="0.25">
      <c r="A1232" s="25">
        <v>1230</v>
      </c>
      <c r="B1232" s="37" t="e">
        <f t="shared" ref="B1232:D1232" si="2481">VLOOKUP($A1232,[4]Cultura!$A$1:$O$276,B$1,0)</f>
        <v>#N/A</v>
      </c>
      <c r="C1232" s="38" t="e">
        <f t="shared" si="2481"/>
        <v>#N/A</v>
      </c>
      <c r="D1232" s="39" t="e">
        <f t="shared" si="2481"/>
        <v>#N/A</v>
      </c>
      <c r="E1232" s="16" t="e">
        <f t="shared" si="1"/>
        <v>#N/A</v>
      </c>
      <c r="F1232" s="16" t="e">
        <f t="shared" ref="F1232:K1232" si="2482">VLOOKUP($A1232,[4]Cultura!$A$1:$O$276,F$1,0)</f>
        <v>#N/A</v>
      </c>
      <c r="G1232" s="39" t="e">
        <f t="shared" si="2482"/>
        <v>#N/A</v>
      </c>
      <c r="H1232" s="16" t="e">
        <f t="shared" si="2482"/>
        <v>#N/A</v>
      </c>
      <c r="I1232" s="16" t="e">
        <f t="shared" si="2482"/>
        <v>#N/A</v>
      </c>
      <c r="J1232" s="40" t="e">
        <f t="shared" si="2482"/>
        <v>#N/A</v>
      </c>
      <c r="K1232" s="16" t="e">
        <f t="shared" si="2482"/>
        <v>#N/A</v>
      </c>
      <c r="L1232" s="40" t="e">
        <f t="shared" si="2421"/>
        <v>#N/A</v>
      </c>
      <c r="M1232" s="16" t="e">
        <f t="shared" si="2422"/>
        <v>#N/A</v>
      </c>
      <c r="N1232" s="16" t="e">
        <f t="shared" si="2423"/>
        <v>#N/A</v>
      </c>
      <c r="O1232" s="16" t="s">
        <v>68</v>
      </c>
      <c r="P1232" s="16" t="str">
        <f t="shared" si="6"/>
        <v/>
      </c>
      <c r="Q1232" s="41" t="e">
        <f t="shared" si="2424"/>
        <v>#N/A</v>
      </c>
      <c r="R1232" s="44"/>
      <c r="S1232" s="44"/>
      <c r="T1232" s="43"/>
      <c r="U1232" s="43" t="str">
        <f t="shared" si="8"/>
        <v>No</v>
      </c>
      <c r="V1232" s="25"/>
      <c r="W1232" s="25"/>
      <c r="X1232" s="25"/>
      <c r="Y1232" s="25"/>
      <c r="Z1232" s="25"/>
    </row>
    <row r="1233" spans="1:26" ht="15.75" customHeight="1" x14ac:dyDescent="0.25">
      <c r="A1233" s="25">
        <v>1231</v>
      </c>
      <c r="B1233" s="37" t="e">
        <f t="shared" ref="B1233:D1233" si="2483">VLOOKUP($A1233,[4]Cultura!$A$1:$O$276,B$1,0)</f>
        <v>#N/A</v>
      </c>
      <c r="C1233" s="38" t="e">
        <f t="shared" si="2483"/>
        <v>#N/A</v>
      </c>
      <c r="D1233" s="39" t="e">
        <f t="shared" si="2483"/>
        <v>#N/A</v>
      </c>
      <c r="E1233" s="16" t="e">
        <f t="shared" si="1"/>
        <v>#N/A</v>
      </c>
      <c r="F1233" s="16" t="e">
        <f t="shared" ref="F1233:K1233" si="2484">VLOOKUP($A1233,[4]Cultura!$A$1:$O$276,F$1,0)</f>
        <v>#N/A</v>
      </c>
      <c r="G1233" s="39" t="e">
        <f t="shared" si="2484"/>
        <v>#N/A</v>
      </c>
      <c r="H1233" s="16" t="e">
        <f t="shared" si="2484"/>
        <v>#N/A</v>
      </c>
      <c r="I1233" s="16" t="e">
        <f t="shared" si="2484"/>
        <v>#N/A</v>
      </c>
      <c r="J1233" s="40" t="e">
        <f t="shared" si="2484"/>
        <v>#N/A</v>
      </c>
      <c r="K1233" s="16" t="e">
        <f t="shared" si="2484"/>
        <v>#N/A</v>
      </c>
      <c r="L1233" s="40" t="e">
        <f t="shared" si="2421"/>
        <v>#N/A</v>
      </c>
      <c r="M1233" s="16" t="e">
        <f t="shared" si="2422"/>
        <v>#N/A</v>
      </c>
      <c r="N1233" s="16" t="e">
        <f t="shared" si="2423"/>
        <v>#N/A</v>
      </c>
      <c r="O1233" s="16" t="s">
        <v>68</v>
      </c>
      <c r="P1233" s="16" t="str">
        <f t="shared" si="6"/>
        <v/>
      </c>
      <c r="Q1233" s="41" t="e">
        <f t="shared" si="2424"/>
        <v>#N/A</v>
      </c>
      <c r="R1233" s="44"/>
      <c r="S1233" s="44"/>
      <c r="T1233" s="43"/>
      <c r="U1233" s="43" t="str">
        <f t="shared" si="8"/>
        <v>No</v>
      </c>
      <c r="V1233" s="25"/>
      <c r="W1233" s="25"/>
      <c r="X1233" s="25"/>
      <c r="Y1233" s="25"/>
      <c r="Z1233" s="25"/>
    </row>
    <row r="1234" spans="1:26" ht="15.75" customHeight="1" x14ac:dyDescent="0.25">
      <c r="A1234" s="25">
        <v>1232</v>
      </c>
      <c r="B1234" s="37" t="e">
        <f t="shared" ref="B1234:D1234" si="2485">VLOOKUP($A1234,[4]Cultura!$A$1:$O$276,B$1,0)</f>
        <v>#N/A</v>
      </c>
      <c r="C1234" s="38" t="e">
        <f t="shared" si="2485"/>
        <v>#N/A</v>
      </c>
      <c r="D1234" s="39" t="e">
        <f t="shared" si="2485"/>
        <v>#N/A</v>
      </c>
      <c r="E1234" s="16" t="e">
        <f t="shared" si="1"/>
        <v>#N/A</v>
      </c>
      <c r="F1234" s="16" t="e">
        <f t="shared" ref="F1234:K1234" si="2486">VLOOKUP($A1234,[4]Cultura!$A$1:$O$276,F$1,0)</f>
        <v>#N/A</v>
      </c>
      <c r="G1234" s="39" t="e">
        <f t="shared" si="2486"/>
        <v>#N/A</v>
      </c>
      <c r="H1234" s="16" t="e">
        <f t="shared" si="2486"/>
        <v>#N/A</v>
      </c>
      <c r="I1234" s="16" t="e">
        <f t="shared" si="2486"/>
        <v>#N/A</v>
      </c>
      <c r="J1234" s="40" t="e">
        <f t="shared" si="2486"/>
        <v>#N/A</v>
      </c>
      <c r="K1234" s="16" t="e">
        <f t="shared" si="2486"/>
        <v>#N/A</v>
      </c>
      <c r="L1234" s="40" t="e">
        <f t="shared" si="2421"/>
        <v>#N/A</v>
      </c>
      <c r="M1234" s="16" t="e">
        <f t="shared" si="2422"/>
        <v>#N/A</v>
      </c>
      <c r="N1234" s="16" t="e">
        <f t="shared" si="2423"/>
        <v>#N/A</v>
      </c>
      <c r="O1234" s="16" t="s">
        <v>68</v>
      </c>
      <c r="P1234" s="16" t="str">
        <f t="shared" si="6"/>
        <v/>
      </c>
      <c r="Q1234" s="41" t="e">
        <f t="shared" si="2424"/>
        <v>#N/A</v>
      </c>
      <c r="R1234" s="44"/>
      <c r="S1234" s="44"/>
      <c r="T1234" s="43"/>
      <c r="U1234" s="43" t="str">
        <f t="shared" si="8"/>
        <v>No</v>
      </c>
      <c r="V1234" s="25"/>
      <c r="W1234" s="25"/>
      <c r="X1234" s="25"/>
      <c r="Y1234" s="25"/>
      <c r="Z1234" s="25"/>
    </row>
    <row r="1235" spans="1:26" ht="15.75" customHeight="1" x14ac:dyDescent="0.25">
      <c r="A1235" s="25">
        <v>1233</v>
      </c>
      <c r="B1235" s="37" t="e">
        <f t="shared" ref="B1235:D1235" si="2487">VLOOKUP($A1235,[4]Cultura!$A$1:$O$276,B$1,0)</f>
        <v>#N/A</v>
      </c>
      <c r="C1235" s="38" t="e">
        <f t="shared" si="2487"/>
        <v>#N/A</v>
      </c>
      <c r="D1235" s="39" t="e">
        <f t="shared" si="2487"/>
        <v>#N/A</v>
      </c>
      <c r="E1235" s="16" t="e">
        <f t="shared" si="1"/>
        <v>#N/A</v>
      </c>
      <c r="F1235" s="16" t="e">
        <f t="shared" ref="F1235:K1235" si="2488">VLOOKUP($A1235,[4]Cultura!$A$1:$O$276,F$1,0)</f>
        <v>#N/A</v>
      </c>
      <c r="G1235" s="39" t="e">
        <f t="shared" si="2488"/>
        <v>#N/A</v>
      </c>
      <c r="H1235" s="16" t="e">
        <f t="shared" si="2488"/>
        <v>#N/A</v>
      </c>
      <c r="I1235" s="16" t="e">
        <f t="shared" si="2488"/>
        <v>#N/A</v>
      </c>
      <c r="J1235" s="40" t="e">
        <f t="shared" si="2488"/>
        <v>#N/A</v>
      </c>
      <c r="K1235" s="16" t="e">
        <f t="shared" si="2488"/>
        <v>#N/A</v>
      </c>
      <c r="L1235" s="40" t="e">
        <f t="shared" si="2421"/>
        <v>#N/A</v>
      </c>
      <c r="M1235" s="16" t="e">
        <f t="shared" si="2422"/>
        <v>#N/A</v>
      </c>
      <c r="N1235" s="16" t="e">
        <f t="shared" si="2423"/>
        <v>#N/A</v>
      </c>
      <c r="O1235" s="16" t="s">
        <v>68</v>
      </c>
      <c r="P1235" s="16" t="str">
        <f t="shared" si="6"/>
        <v/>
      </c>
      <c r="Q1235" s="41" t="e">
        <f t="shared" si="2424"/>
        <v>#N/A</v>
      </c>
      <c r="R1235" s="44"/>
      <c r="S1235" s="44"/>
      <c r="T1235" s="43"/>
      <c r="U1235" s="43" t="str">
        <f t="shared" si="8"/>
        <v>No</v>
      </c>
      <c r="V1235" s="25"/>
      <c r="W1235" s="25"/>
      <c r="X1235" s="25"/>
      <c r="Y1235" s="25"/>
      <c r="Z1235" s="25"/>
    </row>
    <row r="1236" spans="1:26" ht="15.75" customHeight="1" x14ac:dyDescent="0.25">
      <c r="A1236" s="25">
        <v>1234</v>
      </c>
      <c r="B1236" s="37" t="e">
        <f t="shared" ref="B1236:D1236" si="2489">VLOOKUP($A1236,[4]Cultura!$A$1:$O$276,B$1,0)</f>
        <v>#N/A</v>
      </c>
      <c r="C1236" s="38" t="e">
        <f t="shared" si="2489"/>
        <v>#N/A</v>
      </c>
      <c r="D1236" s="39" t="e">
        <f t="shared" si="2489"/>
        <v>#N/A</v>
      </c>
      <c r="E1236" s="16" t="e">
        <f t="shared" si="1"/>
        <v>#N/A</v>
      </c>
      <c r="F1236" s="16" t="e">
        <f t="shared" ref="F1236:K1236" si="2490">VLOOKUP($A1236,[4]Cultura!$A$1:$O$276,F$1,0)</f>
        <v>#N/A</v>
      </c>
      <c r="G1236" s="39" t="e">
        <f t="shared" si="2490"/>
        <v>#N/A</v>
      </c>
      <c r="H1236" s="16" t="e">
        <f t="shared" si="2490"/>
        <v>#N/A</v>
      </c>
      <c r="I1236" s="16" t="e">
        <f t="shared" si="2490"/>
        <v>#N/A</v>
      </c>
      <c r="J1236" s="40" t="e">
        <f t="shared" si="2490"/>
        <v>#N/A</v>
      </c>
      <c r="K1236" s="16" t="e">
        <f t="shared" si="2490"/>
        <v>#N/A</v>
      </c>
      <c r="L1236" s="40" t="e">
        <f t="shared" si="2421"/>
        <v>#N/A</v>
      </c>
      <c r="M1236" s="16" t="e">
        <f t="shared" si="2422"/>
        <v>#N/A</v>
      </c>
      <c r="N1236" s="16" t="e">
        <f t="shared" si="2423"/>
        <v>#N/A</v>
      </c>
      <c r="O1236" s="16" t="s">
        <v>68</v>
      </c>
      <c r="P1236" s="16" t="str">
        <f t="shared" si="6"/>
        <v/>
      </c>
      <c r="Q1236" s="41" t="e">
        <f t="shared" si="2424"/>
        <v>#N/A</v>
      </c>
      <c r="R1236" s="44"/>
      <c r="S1236" s="44"/>
      <c r="T1236" s="43"/>
      <c r="U1236" s="43" t="str">
        <f t="shared" si="8"/>
        <v>No</v>
      </c>
      <c r="V1236" s="25"/>
      <c r="W1236" s="25"/>
      <c r="X1236" s="25"/>
      <c r="Y1236" s="25"/>
      <c r="Z1236" s="25"/>
    </row>
    <row r="1237" spans="1:26" ht="15.75" customHeight="1" x14ac:dyDescent="0.25">
      <c r="A1237" s="25">
        <v>1235</v>
      </c>
      <c r="B1237" s="37" t="e">
        <f t="shared" ref="B1237:D1237" si="2491">VLOOKUP($A1237,[4]Cultura!$A$1:$O$276,B$1,0)</f>
        <v>#N/A</v>
      </c>
      <c r="C1237" s="38" t="e">
        <f t="shared" si="2491"/>
        <v>#N/A</v>
      </c>
      <c r="D1237" s="39" t="e">
        <f t="shared" si="2491"/>
        <v>#N/A</v>
      </c>
      <c r="E1237" s="16" t="e">
        <f t="shared" si="1"/>
        <v>#N/A</v>
      </c>
      <c r="F1237" s="16" t="e">
        <f t="shared" ref="F1237:K1237" si="2492">VLOOKUP($A1237,[4]Cultura!$A$1:$O$276,F$1,0)</f>
        <v>#N/A</v>
      </c>
      <c r="G1237" s="39" t="e">
        <f t="shared" si="2492"/>
        <v>#N/A</v>
      </c>
      <c r="H1237" s="16" t="e">
        <f t="shared" si="2492"/>
        <v>#N/A</v>
      </c>
      <c r="I1237" s="16" t="e">
        <f t="shared" si="2492"/>
        <v>#N/A</v>
      </c>
      <c r="J1237" s="40" t="e">
        <f t="shared" si="2492"/>
        <v>#N/A</v>
      </c>
      <c r="K1237" s="16" t="e">
        <f t="shared" si="2492"/>
        <v>#N/A</v>
      </c>
      <c r="L1237" s="40" t="e">
        <f t="shared" si="2421"/>
        <v>#N/A</v>
      </c>
      <c r="M1237" s="16" t="e">
        <f t="shared" si="2422"/>
        <v>#N/A</v>
      </c>
      <c r="N1237" s="16" t="e">
        <f t="shared" si="2423"/>
        <v>#N/A</v>
      </c>
      <c r="O1237" s="16" t="s">
        <v>68</v>
      </c>
      <c r="P1237" s="16" t="str">
        <f t="shared" si="6"/>
        <v/>
      </c>
      <c r="Q1237" s="41" t="e">
        <f t="shared" si="2424"/>
        <v>#N/A</v>
      </c>
      <c r="R1237" s="44"/>
      <c r="S1237" s="44"/>
      <c r="T1237" s="43"/>
      <c r="U1237" s="43" t="str">
        <f t="shared" si="8"/>
        <v>No</v>
      </c>
      <c r="V1237" s="25"/>
      <c r="W1237" s="25"/>
      <c r="X1237" s="25"/>
      <c r="Y1237" s="25"/>
      <c r="Z1237" s="25"/>
    </row>
    <row r="1238" spans="1:26" ht="15.75" customHeight="1" x14ac:dyDescent="0.25">
      <c r="A1238" s="25">
        <v>1236</v>
      </c>
      <c r="B1238" s="37" t="e">
        <f t="shared" ref="B1238:D1238" si="2493">VLOOKUP($A1238,[4]Cultura!$A$1:$O$276,B$1,0)</f>
        <v>#N/A</v>
      </c>
      <c r="C1238" s="38" t="e">
        <f t="shared" si="2493"/>
        <v>#N/A</v>
      </c>
      <c r="D1238" s="39" t="e">
        <f t="shared" si="2493"/>
        <v>#N/A</v>
      </c>
      <c r="E1238" s="16" t="e">
        <f t="shared" si="1"/>
        <v>#N/A</v>
      </c>
      <c r="F1238" s="16" t="e">
        <f t="shared" ref="F1238:K1238" si="2494">VLOOKUP($A1238,[4]Cultura!$A$1:$O$276,F$1,0)</f>
        <v>#N/A</v>
      </c>
      <c r="G1238" s="39" t="e">
        <f t="shared" si="2494"/>
        <v>#N/A</v>
      </c>
      <c r="H1238" s="16" t="e">
        <f t="shared" si="2494"/>
        <v>#N/A</v>
      </c>
      <c r="I1238" s="16" t="e">
        <f t="shared" si="2494"/>
        <v>#N/A</v>
      </c>
      <c r="J1238" s="40" t="e">
        <f t="shared" si="2494"/>
        <v>#N/A</v>
      </c>
      <c r="K1238" s="16" t="e">
        <f t="shared" si="2494"/>
        <v>#N/A</v>
      </c>
      <c r="L1238" s="40" t="e">
        <f t="shared" si="2421"/>
        <v>#N/A</v>
      </c>
      <c r="M1238" s="16" t="e">
        <f t="shared" si="2422"/>
        <v>#N/A</v>
      </c>
      <c r="N1238" s="16" t="e">
        <f t="shared" si="2423"/>
        <v>#N/A</v>
      </c>
      <c r="O1238" s="16" t="s">
        <v>68</v>
      </c>
      <c r="P1238" s="16" t="str">
        <f t="shared" si="6"/>
        <v/>
      </c>
      <c r="Q1238" s="41" t="e">
        <f t="shared" si="2424"/>
        <v>#N/A</v>
      </c>
      <c r="R1238" s="44"/>
      <c r="S1238" s="44"/>
      <c r="T1238" s="43"/>
      <c r="U1238" s="43" t="str">
        <f t="shared" si="8"/>
        <v>No</v>
      </c>
      <c r="V1238" s="25"/>
      <c r="W1238" s="25"/>
      <c r="X1238" s="25"/>
      <c r="Y1238" s="25"/>
      <c r="Z1238" s="25"/>
    </row>
    <row r="1239" spans="1:26" ht="15.75" customHeight="1" x14ac:dyDescent="0.25">
      <c r="A1239" s="25">
        <v>1237</v>
      </c>
      <c r="B1239" s="37" t="e">
        <f t="shared" ref="B1239:D1239" si="2495">VLOOKUP($A1239,[4]Cultura!$A$1:$O$276,B$1,0)</f>
        <v>#N/A</v>
      </c>
      <c r="C1239" s="38" t="e">
        <f t="shared" si="2495"/>
        <v>#N/A</v>
      </c>
      <c r="D1239" s="39" t="e">
        <f t="shared" si="2495"/>
        <v>#N/A</v>
      </c>
      <c r="E1239" s="16" t="e">
        <f t="shared" si="1"/>
        <v>#N/A</v>
      </c>
      <c r="F1239" s="16" t="e">
        <f t="shared" ref="F1239:K1239" si="2496">VLOOKUP($A1239,[4]Cultura!$A$1:$O$276,F$1,0)</f>
        <v>#N/A</v>
      </c>
      <c r="G1239" s="39" t="e">
        <f t="shared" si="2496"/>
        <v>#N/A</v>
      </c>
      <c r="H1239" s="16" t="e">
        <f t="shared" si="2496"/>
        <v>#N/A</v>
      </c>
      <c r="I1239" s="16" t="e">
        <f t="shared" si="2496"/>
        <v>#N/A</v>
      </c>
      <c r="J1239" s="40" t="e">
        <f t="shared" si="2496"/>
        <v>#N/A</v>
      </c>
      <c r="K1239" s="16" t="e">
        <f t="shared" si="2496"/>
        <v>#N/A</v>
      </c>
      <c r="L1239" s="40" t="e">
        <f t="shared" si="2421"/>
        <v>#N/A</v>
      </c>
      <c r="M1239" s="16" t="e">
        <f t="shared" si="2422"/>
        <v>#N/A</v>
      </c>
      <c r="N1239" s="16" t="e">
        <f t="shared" si="2423"/>
        <v>#N/A</v>
      </c>
      <c r="O1239" s="16" t="s">
        <v>68</v>
      </c>
      <c r="P1239" s="16" t="str">
        <f t="shared" si="6"/>
        <v/>
      </c>
      <c r="Q1239" s="41" t="e">
        <f t="shared" si="2424"/>
        <v>#N/A</v>
      </c>
      <c r="R1239" s="44"/>
      <c r="S1239" s="44"/>
      <c r="T1239" s="43"/>
      <c r="U1239" s="43" t="str">
        <f t="shared" si="8"/>
        <v>No</v>
      </c>
      <c r="V1239" s="25"/>
      <c r="W1239" s="25"/>
      <c r="X1239" s="25"/>
      <c r="Y1239" s="25"/>
      <c r="Z1239" s="25"/>
    </row>
    <row r="1240" spans="1:26" ht="15.75" customHeight="1" x14ac:dyDescent="0.25">
      <c r="A1240" s="25">
        <v>1238</v>
      </c>
      <c r="B1240" s="37" t="e">
        <f t="shared" ref="B1240:D1240" si="2497">VLOOKUP($A1240,[4]Cultura!$A$1:$O$276,B$1,0)</f>
        <v>#N/A</v>
      </c>
      <c r="C1240" s="38" t="e">
        <f t="shared" si="2497"/>
        <v>#N/A</v>
      </c>
      <c r="D1240" s="39" t="e">
        <f t="shared" si="2497"/>
        <v>#N/A</v>
      </c>
      <c r="E1240" s="16" t="e">
        <f t="shared" si="1"/>
        <v>#N/A</v>
      </c>
      <c r="F1240" s="16" t="e">
        <f t="shared" ref="F1240:K1240" si="2498">VLOOKUP($A1240,[4]Cultura!$A$1:$O$276,F$1,0)</f>
        <v>#N/A</v>
      </c>
      <c r="G1240" s="39" t="e">
        <f t="shared" si="2498"/>
        <v>#N/A</v>
      </c>
      <c r="H1240" s="16" t="e">
        <f t="shared" si="2498"/>
        <v>#N/A</v>
      </c>
      <c r="I1240" s="16" t="e">
        <f t="shared" si="2498"/>
        <v>#N/A</v>
      </c>
      <c r="J1240" s="40" t="e">
        <f t="shared" si="2498"/>
        <v>#N/A</v>
      </c>
      <c r="K1240" s="16" t="e">
        <f t="shared" si="2498"/>
        <v>#N/A</v>
      </c>
      <c r="L1240" s="40" t="e">
        <f t="shared" si="2421"/>
        <v>#N/A</v>
      </c>
      <c r="M1240" s="16" t="e">
        <f t="shared" si="2422"/>
        <v>#N/A</v>
      </c>
      <c r="N1240" s="16" t="e">
        <f t="shared" si="2423"/>
        <v>#N/A</v>
      </c>
      <c r="O1240" s="16" t="s">
        <v>68</v>
      </c>
      <c r="P1240" s="16" t="str">
        <f t="shared" si="6"/>
        <v/>
      </c>
      <c r="Q1240" s="41" t="e">
        <f t="shared" si="2424"/>
        <v>#N/A</v>
      </c>
      <c r="R1240" s="44"/>
      <c r="S1240" s="44"/>
      <c r="T1240" s="43"/>
      <c r="U1240" s="43" t="str">
        <f t="shared" si="8"/>
        <v>No</v>
      </c>
      <c r="V1240" s="25"/>
      <c r="W1240" s="25"/>
      <c r="X1240" s="25"/>
      <c r="Y1240" s="25"/>
      <c r="Z1240" s="25"/>
    </row>
    <row r="1241" spans="1:26" ht="15.75" customHeight="1" x14ac:dyDescent="0.25">
      <c r="A1241" s="25">
        <v>1239</v>
      </c>
      <c r="B1241" s="37" t="e">
        <f t="shared" ref="B1241:D1241" si="2499">VLOOKUP($A1241,[4]Cultura!$A$1:$O$276,B$1,0)</f>
        <v>#N/A</v>
      </c>
      <c r="C1241" s="38" t="e">
        <f t="shared" si="2499"/>
        <v>#N/A</v>
      </c>
      <c r="D1241" s="39" t="e">
        <f t="shared" si="2499"/>
        <v>#N/A</v>
      </c>
      <c r="E1241" s="16" t="e">
        <f t="shared" si="1"/>
        <v>#N/A</v>
      </c>
      <c r="F1241" s="16" t="e">
        <f t="shared" ref="F1241:K1241" si="2500">VLOOKUP($A1241,[4]Cultura!$A$1:$O$276,F$1,0)</f>
        <v>#N/A</v>
      </c>
      <c r="G1241" s="39" t="e">
        <f t="shared" si="2500"/>
        <v>#N/A</v>
      </c>
      <c r="H1241" s="16" t="e">
        <f t="shared" si="2500"/>
        <v>#N/A</v>
      </c>
      <c r="I1241" s="16" t="e">
        <f t="shared" si="2500"/>
        <v>#N/A</v>
      </c>
      <c r="J1241" s="40" t="e">
        <f t="shared" si="2500"/>
        <v>#N/A</v>
      </c>
      <c r="K1241" s="16" t="e">
        <f t="shared" si="2500"/>
        <v>#N/A</v>
      </c>
      <c r="L1241" s="40" t="e">
        <f t="shared" si="2421"/>
        <v>#N/A</v>
      </c>
      <c r="M1241" s="16" t="e">
        <f t="shared" si="2422"/>
        <v>#N/A</v>
      </c>
      <c r="N1241" s="16" t="e">
        <f t="shared" si="2423"/>
        <v>#N/A</v>
      </c>
      <c r="O1241" s="16" t="s">
        <v>68</v>
      </c>
      <c r="P1241" s="16" t="str">
        <f t="shared" si="6"/>
        <v/>
      </c>
      <c r="Q1241" s="41" t="e">
        <f t="shared" si="2424"/>
        <v>#N/A</v>
      </c>
      <c r="R1241" s="44"/>
      <c r="S1241" s="44"/>
      <c r="T1241" s="43"/>
      <c r="U1241" s="43" t="str">
        <f t="shared" si="8"/>
        <v>No</v>
      </c>
      <c r="V1241" s="25"/>
      <c r="W1241" s="25"/>
      <c r="X1241" s="25"/>
      <c r="Y1241" s="25"/>
      <c r="Z1241" s="25"/>
    </row>
    <row r="1242" spans="1:26" ht="15.75" customHeight="1" x14ac:dyDescent="0.25">
      <c r="A1242" s="25">
        <v>1240</v>
      </c>
      <c r="B1242" s="37" t="e">
        <f t="shared" ref="B1242:D1242" si="2501">VLOOKUP($A1242,[4]Cultura!$A$1:$O$276,B$1,0)</f>
        <v>#N/A</v>
      </c>
      <c r="C1242" s="38" t="e">
        <f t="shared" si="2501"/>
        <v>#N/A</v>
      </c>
      <c r="D1242" s="39" t="e">
        <f t="shared" si="2501"/>
        <v>#N/A</v>
      </c>
      <c r="E1242" s="16" t="e">
        <f t="shared" si="1"/>
        <v>#N/A</v>
      </c>
      <c r="F1242" s="16" t="e">
        <f t="shared" ref="F1242:K1242" si="2502">VLOOKUP($A1242,[4]Cultura!$A$1:$O$276,F$1,0)</f>
        <v>#N/A</v>
      </c>
      <c r="G1242" s="39" t="e">
        <f t="shared" si="2502"/>
        <v>#N/A</v>
      </c>
      <c r="H1242" s="16" t="e">
        <f t="shared" si="2502"/>
        <v>#N/A</v>
      </c>
      <c r="I1242" s="16" t="e">
        <f t="shared" si="2502"/>
        <v>#N/A</v>
      </c>
      <c r="J1242" s="40" t="e">
        <f t="shared" si="2502"/>
        <v>#N/A</v>
      </c>
      <c r="K1242" s="16" t="e">
        <f t="shared" si="2502"/>
        <v>#N/A</v>
      </c>
      <c r="L1242" s="40" t="e">
        <f t="shared" si="2421"/>
        <v>#N/A</v>
      </c>
      <c r="M1242" s="16" t="e">
        <f t="shared" si="2422"/>
        <v>#N/A</v>
      </c>
      <c r="N1242" s="16" t="e">
        <f t="shared" si="2423"/>
        <v>#N/A</v>
      </c>
      <c r="O1242" s="16" t="s">
        <v>68</v>
      </c>
      <c r="P1242" s="16" t="str">
        <f t="shared" si="6"/>
        <v/>
      </c>
      <c r="Q1242" s="41" t="e">
        <f t="shared" si="2424"/>
        <v>#N/A</v>
      </c>
      <c r="R1242" s="44"/>
      <c r="S1242" s="44"/>
      <c r="T1242" s="43"/>
      <c r="U1242" s="43" t="str">
        <f t="shared" si="8"/>
        <v>No</v>
      </c>
      <c r="V1242" s="25"/>
      <c r="W1242" s="25"/>
      <c r="X1242" s="25"/>
      <c r="Y1242" s="25"/>
      <c r="Z1242" s="25"/>
    </row>
    <row r="1243" spans="1:26" ht="15.75" customHeight="1" x14ac:dyDescent="0.25">
      <c r="A1243" s="25">
        <v>1241</v>
      </c>
      <c r="B1243" s="37" t="e">
        <f t="shared" ref="B1243:D1243" si="2503">VLOOKUP($A1243,[4]Cultura!$A$1:$O$276,B$1,0)</f>
        <v>#N/A</v>
      </c>
      <c r="C1243" s="38" t="e">
        <f t="shared" si="2503"/>
        <v>#N/A</v>
      </c>
      <c r="D1243" s="39" t="e">
        <f t="shared" si="2503"/>
        <v>#N/A</v>
      </c>
      <c r="E1243" s="16" t="e">
        <f t="shared" si="1"/>
        <v>#N/A</v>
      </c>
      <c r="F1243" s="16" t="e">
        <f t="shared" ref="F1243:K1243" si="2504">VLOOKUP($A1243,[4]Cultura!$A$1:$O$276,F$1,0)</f>
        <v>#N/A</v>
      </c>
      <c r="G1243" s="39" t="e">
        <f t="shared" si="2504"/>
        <v>#N/A</v>
      </c>
      <c r="H1243" s="16" t="e">
        <f t="shared" si="2504"/>
        <v>#N/A</v>
      </c>
      <c r="I1243" s="16" t="e">
        <f t="shared" si="2504"/>
        <v>#N/A</v>
      </c>
      <c r="J1243" s="40" t="e">
        <f t="shared" si="2504"/>
        <v>#N/A</v>
      </c>
      <c r="K1243" s="16" t="e">
        <f t="shared" si="2504"/>
        <v>#N/A</v>
      </c>
      <c r="L1243" s="40" t="e">
        <f t="shared" si="2421"/>
        <v>#N/A</v>
      </c>
      <c r="M1243" s="16" t="e">
        <f t="shared" si="2422"/>
        <v>#N/A</v>
      </c>
      <c r="N1243" s="16" t="e">
        <f t="shared" si="2423"/>
        <v>#N/A</v>
      </c>
      <c r="O1243" s="16" t="s">
        <v>68</v>
      </c>
      <c r="P1243" s="16" t="str">
        <f t="shared" si="6"/>
        <v/>
      </c>
      <c r="Q1243" s="41" t="e">
        <f t="shared" si="2424"/>
        <v>#N/A</v>
      </c>
      <c r="R1243" s="44"/>
      <c r="S1243" s="44"/>
      <c r="T1243" s="43"/>
      <c r="U1243" s="43" t="str">
        <f t="shared" si="8"/>
        <v>No</v>
      </c>
      <c r="V1243" s="25"/>
      <c r="W1243" s="25"/>
      <c r="X1243" s="25"/>
      <c r="Y1243" s="25"/>
      <c r="Z1243" s="25"/>
    </row>
    <row r="1244" spans="1:26" ht="15.75" customHeight="1" x14ac:dyDescent="0.25">
      <c r="A1244" s="25">
        <v>1242</v>
      </c>
      <c r="B1244" s="37" t="e">
        <f t="shared" ref="B1244:D1244" si="2505">VLOOKUP($A1244,[4]Cultura!$A$1:$O$276,B$1,0)</f>
        <v>#N/A</v>
      </c>
      <c r="C1244" s="38" t="e">
        <f t="shared" si="2505"/>
        <v>#N/A</v>
      </c>
      <c r="D1244" s="39" t="e">
        <f t="shared" si="2505"/>
        <v>#N/A</v>
      </c>
      <c r="E1244" s="16" t="e">
        <f t="shared" si="1"/>
        <v>#N/A</v>
      </c>
      <c r="F1244" s="16" t="e">
        <f t="shared" ref="F1244:K1244" si="2506">VLOOKUP($A1244,[4]Cultura!$A$1:$O$276,F$1,0)</f>
        <v>#N/A</v>
      </c>
      <c r="G1244" s="39" t="e">
        <f t="shared" si="2506"/>
        <v>#N/A</v>
      </c>
      <c r="H1244" s="16" t="e">
        <f t="shared" si="2506"/>
        <v>#N/A</v>
      </c>
      <c r="I1244" s="16" t="e">
        <f t="shared" si="2506"/>
        <v>#N/A</v>
      </c>
      <c r="J1244" s="40" t="e">
        <f t="shared" si="2506"/>
        <v>#N/A</v>
      </c>
      <c r="K1244" s="16" t="e">
        <f t="shared" si="2506"/>
        <v>#N/A</v>
      </c>
      <c r="L1244" s="40" t="e">
        <f t="shared" si="2421"/>
        <v>#N/A</v>
      </c>
      <c r="M1244" s="16" t="e">
        <f t="shared" si="2422"/>
        <v>#N/A</v>
      </c>
      <c r="N1244" s="16" t="e">
        <f t="shared" si="2423"/>
        <v>#N/A</v>
      </c>
      <c r="O1244" s="16" t="s">
        <v>68</v>
      </c>
      <c r="P1244" s="16" t="str">
        <f t="shared" si="6"/>
        <v/>
      </c>
      <c r="Q1244" s="41" t="e">
        <f t="shared" si="2424"/>
        <v>#N/A</v>
      </c>
      <c r="R1244" s="44"/>
      <c r="S1244" s="44"/>
      <c r="T1244" s="43"/>
      <c r="U1244" s="43" t="str">
        <f t="shared" si="8"/>
        <v>No</v>
      </c>
      <c r="V1244" s="25"/>
      <c r="W1244" s="25"/>
      <c r="X1244" s="25"/>
      <c r="Y1244" s="25"/>
      <c r="Z1244" s="25"/>
    </row>
    <row r="1245" spans="1:26" ht="15.75" customHeight="1" x14ac:dyDescent="0.25">
      <c r="A1245" s="25">
        <v>1243</v>
      </c>
      <c r="B1245" s="37" t="e">
        <f t="shared" ref="B1245:D1245" si="2507">VLOOKUP($A1245,[4]Cultura!$A$1:$O$276,B$1,0)</f>
        <v>#N/A</v>
      </c>
      <c r="C1245" s="38" t="e">
        <f t="shared" si="2507"/>
        <v>#N/A</v>
      </c>
      <c r="D1245" s="39" t="e">
        <f t="shared" si="2507"/>
        <v>#N/A</v>
      </c>
      <c r="E1245" s="16" t="e">
        <f t="shared" si="1"/>
        <v>#N/A</v>
      </c>
      <c r="F1245" s="16" t="e">
        <f t="shared" ref="F1245:K1245" si="2508">VLOOKUP($A1245,[4]Cultura!$A$1:$O$276,F$1,0)</f>
        <v>#N/A</v>
      </c>
      <c r="G1245" s="39" t="e">
        <f t="shared" si="2508"/>
        <v>#N/A</v>
      </c>
      <c r="H1245" s="16" t="e">
        <f t="shared" si="2508"/>
        <v>#N/A</v>
      </c>
      <c r="I1245" s="16" t="e">
        <f t="shared" si="2508"/>
        <v>#N/A</v>
      </c>
      <c r="J1245" s="40" t="e">
        <f t="shared" si="2508"/>
        <v>#N/A</v>
      </c>
      <c r="K1245" s="16" t="e">
        <f t="shared" si="2508"/>
        <v>#N/A</v>
      </c>
      <c r="L1245" s="40" t="e">
        <f t="shared" si="2421"/>
        <v>#N/A</v>
      </c>
      <c r="M1245" s="16" t="e">
        <f t="shared" si="2422"/>
        <v>#N/A</v>
      </c>
      <c r="N1245" s="16" t="e">
        <f t="shared" si="2423"/>
        <v>#N/A</v>
      </c>
      <c r="O1245" s="16" t="s">
        <v>68</v>
      </c>
      <c r="P1245" s="16" t="str">
        <f t="shared" si="6"/>
        <v/>
      </c>
      <c r="Q1245" s="41" t="e">
        <f t="shared" si="2424"/>
        <v>#N/A</v>
      </c>
      <c r="R1245" s="44"/>
      <c r="S1245" s="44"/>
      <c r="T1245" s="43"/>
      <c r="U1245" s="43" t="str">
        <f t="shared" si="8"/>
        <v>No</v>
      </c>
      <c r="V1245" s="25"/>
      <c r="W1245" s="25"/>
      <c r="X1245" s="25"/>
      <c r="Y1245" s="25"/>
      <c r="Z1245" s="25"/>
    </row>
    <row r="1246" spans="1:26" ht="15.75" customHeight="1" x14ac:dyDescent="0.25">
      <c r="A1246" s="25">
        <v>1244</v>
      </c>
      <c r="B1246" s="37" t="e">
        <f t="shared" ref="B1246:D1246" si="2509">VLOOKUP($A1246,[4]Cultura!$A$1:$O$276,B$1,0)</f>
        <v>#N/A</v>
      </c>
      <c r="C1246" s="38" t="e">
        <f t="shared" si="2509"/>
        <v>#N/A</v>
      </c>
      <c r="D1246" s="39" t="e">
        <f t="shared" si="2509"/>
        <v>#N/A</v>
      </c>
      <c r="E1246" s="16" t="e">
        <f t="shared" si="1"/>
        <v>#N/A</v>
      </c>
      <c r="F1246" s="16" t="e">
        <f t="shared" ref="F1246:K1246" si="2510">VLOOKUP($A1246,[4]Cultura!$A$1:$O$276,F$1,0)</f>
        <v>#N/A</v>
      </c>
      <c r="G1246" s="39" t="e">
        <f t="shared" si="2510"/>
        <v>#N/A</v>
      </c>
      <c r="H1246" s="16" t="e">
        <f t="shared" si="2510"/>
        <v>#N/A</v>
      </c>
      <c r="I1246" s="16" t="e">
        <f t="shared" si="2510"/>
        <v>#N/A</v>
      </c>
      <c r="J1246" s="40" t="e">
        <f t="shared" si="2510"/>
        <v>#N/A</v>
      </c>
      <c r="K1246" s="16" t="e">
        <f t="shared" si="2510"/>
        <v>#N/A</v>
      </c>
      <c r="L1246" s="40" t="e">
        <f t="shared" si="2421"/>
        <v>#N/A</v>
      </c>
      <c r="M1246" s="16" t="e">
        <f t="shared" si="2422"/>
        <v>#N/A</v>
      </c>
      <c r="N1246" s="16" t="e">
        <f t="shared" si="2423"/>
        <v>#N/A</v>
      </c>
      <c r="O1246" s="16" t="s">
        <v>68</v>
      </c>
      <c r="P1246" s="16" t="str">
        <f t="shared" si="6"/>
        <v/>
      </c>
      <c r="Q1246" s="41" t="e">
        <f t="shared" si="2424"/>
        <v>#N/A</v>
      </c>
      <c r="R1246" s="44"/>
      <c r="S1246" s="44"/>
      <c r="T1246" s="43"/>
      <c r="U1246" s="43" t="str">
        <f t="shared" si="8"/>
        <v>No</v>
      </c>
      <c r="V1246" s="25"/>
      <c r="W1246" s="25"/>
      <c r="X1246" s="25"/>
      <c r="Y1246" s="25"/>
      <c r="Z1246" s="25"/>
    </row>
    <row r="1247" spans="1:26" ht="15.75" customHeight="1" x14ac:dyDescent="0.25">
      <c r="A1247" s="25">
        <v>1245</v>
      </c>
      <c r="B1247" s="37" t="e">
        <f t="shared" ref="B1247:D1247" si="2511">VLOOKUP($A1247,[4]Cultura!$A$1:$O$276,B$1,0)</f>
        <v>#N/A</v>
      </c>
      <c r="C1247" s="38" t="e">
        <f t="shared" si="2511"/>
        <v>#N/A</v>
      </c>
      <c r="D1247" s="39" t="e">
        <f t="shared" si="2511"/>
        <v>#N/A</v>
      </c>
      <c r="E1247" s="16" t="e">
        <f t="shared" si="1"/>
        <v>#N/A</v>
      </c>
      <c r="F1247" s="16" t="e">
        <f t="shared" ref="F1247:K1247" si="2512">VLOOKUP($A1247,[4]Cultura!$A$1:$O$276,F$1,0)</f>
        <v>#N/A</v>
      </c>
      <c r="G1247" s="39" t="e">
        <f t="shared" si="2512"/>
        <v>#N/A</v>
      </c>
      <c r="H1247" s="16" t="e">
        <f t="shared" si="2512"/>
        <v>#N/A</v>
      </c>
      <c r="I1247" s="16" t="e">
        <f t="shared" si="2512"/>
        <v>#N/A</v>
      </c>
      <c r="J1247" s="40" t="e">
        <f t="shared" si="2512"/>
        <v>#N/A</v>
      </c>
      <c r="K1247" s="16" t="e">
        <f t="shared" si="2512"/>
        <v>#N/A</v>
      </c>
      <c r="L1247" s="40" t="e">
        <f t="shared" si="2421"/>
        <v>#N/A</v>
      </c>
      <c r="M1247" s="16" t="e">
        <f t="shared" si="2422"/>
        <v>#N/A</v>
      </c>
      <c r="N1247" s="16" t="e">
        <f t="shared" si="2423"/>
        <v>#N/A</v>
      </c>
      <c r="O1247" s="16" t="s">
        <v>68</v>
      </c>
      <c r="P1247" s="16" t="str">
        <f t="shared" si="6"/>
        <v/>
      </c>
      <c r="Q1247" s="41" t="e">
        <f t="shared" si="2424"/>
        <v>#N/A</v>
      </c>
      <c r="R1247" s="44"/>
      <c r="S1247" s="44"/>
      <c r="T1247" s="43"/>
      <c r="U1247" s="43" t="str">
        <f t="shared" si="8"/>
        <v>No</v>
      </c>
      <c r="V1247" s="25"/>
      <c r="W1247" s="25"/>
      <c r="X1247" s="25"/>
      <c r="Y1247" s="25"/>
      <c r="Z1247" s="25"/>
    </row>
    <row r="1248" spans="1:26" ht="15.75" customHeight="1" x14ac:dyDescent="0.25">
      <c r="A1248" s="25">
        <v>1246</v>
      </c>
      <c r="B1248" s="37" t="e">
        <f t="shared" ref="B1248:D1248" si="2513">VLOOKUP($A1248,[4]Cultura!$A$1:$O$276,B$1,0)</f>
        <v>#N/A</v>
      </c>
      <c r="C1248" s="38" t="e">
        <f t="shared" si="2513"/>
        <v>#N/A</v>
      </c>
      <c r="D1248" s="39" t="e">
        <f t="shared" si="2513"/>
        <v>#N/A</v>
      </c>
      <c r="E1248" s="16" t="e">
        <f t="shared" si="1"/>
        <v>#N/A</v>
      </c>
      <c r="F1248" s="16" t="e">
        <f t="shared" ref="F1248:K1248" si="2514">VLOOKUP($A1248,[4]Cultura!$A$1:$O$276,F$1,0)</f>
        <v>#N/A</v>
      </c>
      <c r="G1248" s="39" t="e">
        <f t="shared" si="2514"/>
        <v>#N/A</v>
      </c>
      <c r="H1248" s="16" t="e">
        <f t="shared" si="2514"/>
        <v>#N/A</v>
      </c>
      <c r="I1248" s="16" t="e">
        <f t="shared" si="2514"/>
        <v>#N/A</v>
      </c>
      <c r="J1248" s="40" t="e">
        <f t="shared" si="2514"/>
        <v>#N/A</v>
      </c>
      <c r="K1248" s="16" t="e">
        <f t="shared" si="2514"/>
        <v>#N/A</v>
      </c>
      <c r="L1248" s="40" t="e">
        <f t="shared" si="2421"/>
        <v>#N/A</v>
      </c>
      <c r="M1248" s="16" t="e">
        <f t="shared" si="2422"/>
        <v>#N/A</v>
      </c>
      <c r="N1248" s="16" t="e">
        <f t="shared" si="2423"/>
        <v>#N/A</v>
      </c>
      <c r="O1248" s="16" t="s">
        <v>68</v>
      </c>
      <c r="P1248" s="16" t="str">
        <f t="shared" si="6"/>
        <v/>
      </c>
      <c r="Q1248" s="41" t="e">
        <f t="shared" si="2424"/>
        <v>#N/A</v>
      </c>
      <c r="R1248" s="44"/>
      <c r="S1248" s="44"/>
      <c r="T1248" s="43"/>
      <c r="U1248" s="43" t="str">
        <f t="shared" si="8"/>
        <v>No</v>
      </c>
      <c r="V1248" s="25"/>
      <c r="W1248" s="25"/>
      <c r="X1248" s="25"/>
      <c r="Y1248" s="25"/>
      <c r="Z1248" s="25"/>
    </row>
    <row r="1249" spans="1:26" ht="15.75" customHeight="1" x14ac:dyDescent="0.25">
      <c r="A1249" s="25">
        <v>1247</v>
      </c>
      <c r="B1249" s="37" t="e">
        <f t="shared" ref="B1249:D1249" si="2515">VLOOKUP($A1249,[4]Cultura!$A$1:$O$276,B$1,0)</f>
        <v>#N/A</v>
      </c>
      <c r="C1249" s="38" t="e">
        <f t="shared" si="2515"/>
        <v>#N/A</v>
      </c>
      <c r="D1249" s="39" t="e">
        <f t="shared" si="2515"/>
        <v>#N/A</v>
      </c>
      <c r="E1249" s="16" t="e">
        <f t="shared" si="1"/>
        <v>#N/A</v>
      </c>
      <c r="F1249" s="16" t="e">
        <f t="shared" ref="F1249:K1249" si="2516">VLOOKUP($A1249,[4]Cultura!$A$1:$O$276,F$1,0)</f>
        <v>#N/A</v>
      </c>
      <c r="G1249" s="39" t="e">
        <f t="shared" si="2516"/>
        <v>#N/A</v>
      </c>
      <c r="H1249" s="16" t="e">
        <f t="shared" si="2516"/>
        <v>#N/A</v>
      </c>
      <c r="I1249" s="16" t="e">
        <f t="shared" si="2516"/>
        <v>#N/A</v>
      </c>
      <c r="J1249" s="40" t="e">
        <f t="shared" si="2516"/>
        <v>#N/A</v>
      </c>
      <c r="K1249" s="16" t="e">
        <f t="shared" si="2516"/>
        <v>#N/A</v>
      </c>
      <c r="L1249" s="40" t="e">
        <f t="shared" si="2421"/>
        <v>#N/A</v>
      </c>
      <c r="M1249" s="16" t="e">
        <f t="shared" si="2422"/>
        <v>#N/A</v>
      </c>
      <c r="N1249" s="16" t="e">
        <f t="shared" si="2423"/>
        <v>#N/A</v>
      </c>
      <c r="O1249" s="16" t="s">
        <v>68</v>
      </c>
      <c r="P1249" s="16" t="str">
        <f t="shared" si="6"/>
        <v/>
      </c>
      <c r="Q1249" s="41" t="e">
        <f t="shared" si="2424"/>
        <v>#N/A</v>
      </c>
      <c r="R1249" s="44"/>
      <c r="S1249" s="44"/>
      <c r="T1249" s="43"/>
      <c r="U1249" s="43" t="str">
        <f t="shared" si="8"/>
        <v>No</v>
      </c>
      <c r="V1249" s="25"/>
      <c r="W1249" s="25"/>
      <c r="X1249" s="25"/>
      <c r="Y1249" s="25"/>
      <c r="Z1249" s="25"/>
    </row>
    <row r="1250" spans="1:26" ht="15.75" customHeight="1" x14ac:dyDescent="0.25">
      <c r="A1250" s="25">
        <v>1248</v>
      </c>
      <c r="B1250" s="37" t="e">
        <f t="shared" ref="B1250:D1250" si="2517">VLOOKUP($A1250,[4]Cultura!$A$1:$O$276,B$1,0)</f>
        <v>#N/A</v>
      </c>
      <c r="C1250" s="38" t="e">
        <f t="shared" si="2517"/>
        <v>#N/A</v>
      </c>
      <c r="D1250" s="39" t="e">
        <f t="shared" si="2517"/>
        <v>#N/A</v>
      </c>
      <c r="E1250" s="16" t="e">
        <f t="shared" si="1"/>
        <v>#N/A</v>
      </c>
      <c r="F1250" s="16" t="e">
        <f t="shared" ref="F1250:K1250" si="2518">VLOOKUP($A1250,[4]Cultura!$A$1:$O$276,F$1,0)</f>
        <v>#N/A</v>
      </c>
      <c r="G1250" s="39" t="e">
        <f t="shared" si="2518"/>
        <v>#N/A</v>
      </c>
      <c r="H1250" s="16" t="e">
        <f t="shared" si="2518"/>
        <v>#N/A</v>
      </c>
      <c r="I1250" s="16" t="e">
        <f t="shared" si="2518"/>
        <v>#N/A</v>
      </c>
      <c r="J1250" s="40" t="e">
        <f t="shared" si="2518"/>
        <v>#N/A</v>
      </c>
      <c r="K1250" s="16" t="e">
        <f t="shared" si="2518"/>
        <v>#N/A</v>
      </c>
      <c r="L1250" s="40" t="e">
        <f t="shared" si="2421"/>
        <v>#N/A</v>
      </c>
      <c r="M1250" s="16" t="e">
        <f t="shared" si="2422"/>
        <v>#N/A</v>
      </c>
      <c r="N1250" s="16" t="e">
        <f t="shared" si="2423"/>
        <v>#N/A</v>
      </c>
      <c r="O1250" s="16" t="s">
        <v>68</v>
      </c>
      <c r="P1250" s="16" t="str">
        <f t="shared" si="6"/>
        <v/>
      </c>
      <c r="Q1250" s="41" t="e">
        <f t="shared" si="2424"/>
        <v>#N/A</v>
      </c>
      <c r="R1250" s="44"/>
      <c r="S1250" s="44"/>
      <c r="T1250" s="43"/>
      <c r="U1250" s="43" t="str">
        <f t="shared" si="8"/>
        <v>No</v>
      </c>
      <c r="V1250" s="25"/>
      <c r="W1250" s="25"/>
      <c r="X1250" s="25"/>
      <c r="Y1250" s="25"/>
      <c r="Z1250" s="25"/>
    </row>
    <row r="1251" spans="1:26" ht="15.75" customHeight="1" x14ac:dyDescent="0.25">
      <c r="A1251" s="25">
        <v>1249</v>
      </c>
      <c r="B1251" s="37" t="e">
        <f t="shared" ref="B1251:D1251" si="2519">VLOOKUP($A1251,[4]Cultura!$A$1:$O$276,B$1,0)</f>
        <v>#N/A</v>
      </c>
      <c r="C1251" s="38" t="e">
        <f t="shared" si="2519"/>
        <v>#N/A</v>
      </c>
      <c r="D1251" s="39" t="e">
        <f t="shared" si="2519"/>
        <v>#N/A</v>
      </c>
      <c r="E1251" s="16" t="e">
        <f t="shared" si="1"/>
        <v>#N/A</v>
      </c>
      <c r="F1251" s="16" t="e">
        <f t="shared" ref="F1251:K1251" si="2520">VLOOKUP($A1251,[4]Cultura!$A$1:$O$276,F$1,0)</f>
        <v>#N/A</v>
      </c>
      <c r="G1251" s="39" t="e">
        <f t="shared" si="2520"/>
        <v>#N/A</v>
      </c>
      <c r="H1251" s="16" t="e">
        <f t="shared" si="2520"/>
        <v>#N/A</v>
      </c>
      <c r="I1251" s="16" t="e">
        <f t="shared" si="2520"/>
        <v>#N/A</v>
      </c>
      <c r="J1251" s="40" t="e">
        <f t="shared" si="2520"/>
        <v>#N/A</v>
      </c>
      <c r="K1251" s="16" t="e">
        <f t="shared" si="2520"/>
        <v>#N/A</v>
      </c>
      <c r="L1251" s="40" t="e">
        <f t="shared" si="2421"/>
        <v>#N/A</v>
      </c>
      <c r="M1251" s="16" t="e">
        <f t="shared" si="2422"/>
        <v>#N/A</v>
      </c>
      <c r="N1251" s="16" t="e">
        <f t="shared" si="2423"/>
        <v>#N/A</v>
      </c>
      <c r="O1251" s="16" t="s">
        <v>68</v>
      </c>
      <c r="P1251" s="16" t="str">
        <f t="shared" si="6"/>
        <v/>
      </c>
      <c r="Q1251" s="41" t="e">
        <f t="shared" si="2424"/>
        <v>#N/A</v>
      </c>
      <c r="R1251" s="44"/>
      <c r="S1251" s="44"/>
      <c r="T1251" s="43"/>
      <c r="U1251" s="43" t="str">
        <f t="shared" si="8"/>
        <v>No</v>
      </c>
      <c r="V1251" s="25"/>
      <c r="W1251" s="25"/>
      <c r="X1251" s="25"/>
      <c r="Y1251" s="25"/>
      <c r="Z1251" s="25"/>
    </row>
    <row r="1252" spans="1:26" ht="15.75" customHeight="1" x14ac:dyDescent="0.25">
      <c r="A1252" s="25">
        <v>1250</v>
      </c>
      <c r="B1252" s="37" t="e">
        <f t="shared" ref="B1252:D1252" si="2521">VLOOKUP($A1252,[4]Cultura!$A$1:$O$276,B$1,0)</f>
        <v>#N/A</v>
      </c>
      <c r="C1252" s="38" t="e">
        <f t="shared" si="2521"/>
        <v>#N/A</v>
      </c>
      <c r="D1252" s="39" t="e">
        <f t="shared" si="2521"/>
        <v>#N/A</v>
      </c>
      <c r="E1252" s="16" t="e">
        <f t="shared" si="1"/>
        <v>#N/A</v>
      </c>
      <c r="F1252" s="16" t="e">
        <f t="shared" ref="F1252:K1252" si="2522">VLOOKUP($A1252,[4]Cultura!$A$1:$O$276,F$1,0)</f>
        <v>#N/A</v>
      </c>
      <c r="G1252" s="39" t="e">
        <f t="shared" si="2522"/>
        <v>#N/A</v>
      </c>
      <c r="H1252" s="16" t="e">
        <f t="shared" si="2522"/>
        <v>#N/A</v>
      </c>
      <c r="I1252" s="16" t="e">
        <f t="shared" si="2522"/>
        <v>#N/A</v>
      </c>
      <c r="J1252" s="40" t="e">
        <f t="shared" si="2522"/>
        <v>#N/A</v>
      </c>
      <c r="K1252" s="16" t="e">
        <f t="shared" si="2522"/>
        <v>#N/A</v>
      </c>
      <c r="L1252" s="40" t="e">
        <f t="shared" si="2421"/>
        <v>#N/A</v>
      </c>
      <c r="M1252" s="16" t="e">
        <f t="shared" si="2422"/>
        <v>#N/A</v>
      </c>
      <c r="N1252" s="16" t="e">
        <f t="shared" si="2423"/>
        <v>#N/A</v>
      </c>
      <c r="O1252" s="16" t="s">
        <v>68</v>
      </c>
      <c r="P1252" s="16" t="str">
        <f t="shared" si="6"/>
        <v/>
      </c>
      <c r="Q1252" s="41" t="e">
        <f t="shared" si="2424"/>
        <v>#N/A</v>
      </c>
      <c r="R1252" s="44"/>
      <c r="S1252" s="44"/>
      <c r="T1252" s="43"/>
      <c r="U1252" s="43" t="str">
        <f t="shared" si="8"/>
        <v>No</v>
      </c>
      <c r="V1252" s="25"/>
      <c r="W1252" s="25"/>
      <c r="X1252" s="25"/>
      <c r="Y1252" s="25"/>
      <c r="Z1252" s="25"/>
    </row>
    <row r="1253" spans="1:26" ht="15.75" customHeight="1" x14ac:dyDescent="0.25">
      <c r="A1253" s="25">
        <v>1251</v>
      </c>
      <c r="B1253" s="37" t="e">
        <f t="shared" ref="B1253:D1253" si="2523">VLOOKUP($A1253,[4]Cultura!$A$1:$O$276,B$1,0)</f>
        <v>#N/A</v>
      </c>
      <c r="C1253" s="38" t="e">
        <f t="shared" si="2523"/>
        <v>#N/A</v>
      </c>
      <c r="D1253" s="39" t="e">
        <f t="shared" si="2523"/>
        <v>#N/A</v>
      </c>
      <c r="E1253" s="16" t="e">
        <f t="shared" si="1"/>
        <v>#N/A</v>
      </c>
      <c r="F1253" s="16" t="e">
        <f t="shared" ref="F1253:K1253" si="2524">VLOOKUP($A1253,[4]Cultura!$A$1:$O$276,F$1,0)</f>
        <v>#N/A</v>
      </c>
      <c r="G1253" s="39" t="e">
        <f t="shared" si="2524"/>
        <v>#N/A</v>
      </c>
      <c r="H1253" s="16" t="e">
        <f t="shared" si="2524"/>
        <v>#N/A</v>
      </c>
      <c r="I1253" s="16" t="e">
        <f t="shared" si="2524"/>
        <v>#N/A</v>
      </c>
      <c r="J1253" s="40" t="e">
        <f t="shared" si="2524"/>
        <v>#N/A</v>
      </c>
      <c r="K1253" s="16" t="e">
        <f t="shared" si="2524"/>
        <v>#N/A</v>
      </c>
      <c r="L1253" s="40" t="e">
        <f t="shared" si="2421"/>
        <v>#N/A</v>
      </c>
      <c r="M1253" s="16" t="e">
        <f t="shared" si="2422"/>
        <v>#N/A</v>
      </c>
      <c r="N1253" s="16" t="e">
        <f t="shared" si="2423"/>
        <v>#N/A</v>
      </c>
      <c r="O1253" s="16" t="s">
        <v>68</v>
      </c>
      <c r="P1253" s="16" t="str">
        <f t="shared" si="6"/>
        <v/>
      </c>
      <c r="Q1253" s="41" t="e">
        <f t="shared" si="2424"/>
        <v>#N/A</v>
      </c>
      <c r="R1253" s="44"/>
      <c r="S1253" s="44"/>
      <c r="T1253" s="43"/>
      <c r="U1253" s="43" t="str">
        <f t="shared" si="8"/>
        <v>No</v>
      </c>
      <c r="V1253" s="25"/>
      <c r="W1253" s="25"/>
      <c r="X1253" s="25"/>
      <c r="Y1253" s="25"/>
      <c r="Z1253" s="25"/>
    </row>
    <row r="1254" spans="1:26" ht="15.75" customHeight="1" x14ac:dyDescent="0.25">
      <c r="A1254" s="25">
        <v>1252</v>
      </c>
      <c r="B1254" s="37" t="e">
        <f t="shared" ref="B1254:D1254" si="2525">VLOOKUP($A1254,[4]Cultura!$A$1:$O$276,B$1,0)</f>
        <v>#N/A</v>
      </c>
      <c r="C1254" s="38" t="e">
        <f t="shared" si="2525"/>
        <v>#N/A</v>
      </c>
      <c r="D1254" s="39" t="e">
        <f t="shared" si="2525"/>
        <v>#N/A</v>
      </c>
      <c r="E1254" s="16" t="e">
        <f t="shared" si="1"/>
        <v>#N/A</v>
      </c>
      <c r="F1254" s="16" t="e">
        <f t="shared" ref="F1254:K1254" si="2526">VLOOKUP($A1254,[4]Cultura!$A$1:$O$276,F$1,0)</f>
        <v>#N/A</v>
      </c>
      <c r="G1254" s="39" t="e">
        <f t="shared" si="2526"/>
        <v>#N/A</v>
      </c>
      <c r="H1254" s="16" t="e">
        <f t="shared" si="2526"/>
        <v>#N/A</v>
      </c>
      <c r="I1254" s="16" t="e">
        <f t="shared" si="2526"/>
        <v>#N/A</v>
      </c>
      <c r="J1254" s="40" t="e">
        <f t="shared" si="2526"/>
        <v>#N/A</v>
      </c>
      <c r="K1254" s="16" t="e">
        <f t="shared" si="2526"/>
        <v>#N/A</v>
      </c>
      <c r="L1254" s="40" t="e">
        <f t="shared" si="2421"/>
        <v>#N/A</v>
      </c>
      <c r="M1254" s="16" t="e">
        <f t="shared" si="2422"/>
        <v>#N/A</v>
      </c>
      <c r="N1254" s="16" t="e">
        <f t="shared" si="2423"/>
        <v>#N/A</v>
      </c>
      <c r="O1254" s="16" t="s">
        <v>68</v>
      </c>
      <c r="P1254" s="16" t="str">
        <f t="shared" si="6"/>
        <v/>
      </c>
      <c r="Q1254" s="41" t="e">
        <f t="shared" si="2424"/>
        <v>#N/A</v>
      </c>
      <c r="R1254" s="44"/>
      <c r="S1254" s="44"/>
      <c r="T1254" s="43"/>
      <c r="U1254" s="43" t="str">
        <f t="shared" si="8"/>
        <v>No</v>
      </c>
      <c r="V1254" s="25"/>
      <c r="W1254" s="25"/>
      <c r="X1254" s="25"/>
      <c r="Y1254" s="25"/>
      <c r="Z1254" s="25"/>
    </row>
    <row r="1255" spans="1:26" ht="15.75" customHeight="1" x14ac:dyDescent="0.25">
      <c r="A1255" s="25">
        <v>1253</v>
      </c>
      <c r="B1255" s="37" t="e">
        <f t="shared" ref="B1255:D1255" si="2527">VLOOKUP($A1255,[4]Cultura!$A$1:$O$276,B$1,0)</f>
        <v>#N/A</v>
      </c>
      <c r="C1255" s="38" t="e">
        <f t="shared" si="2527"/>
        <v>#N/A</v>
      </c>
      <c r="D1255" s="39" t="e">
        <f t="shared" si="2527"/>
        <v>#N/A</v>
      </c>
      <c r="E1255" s="16" t="e">
        <f t="shared" si="1"/>
        <v>#N/A</v>
      </c>
      <c r="F1255" s="16" t="e">
        <f t="shared" ref="F1255:K1255" si="2528">VLOOKUP($A1255,[4]Cultura!$A$1:$O$276,F$1,0)</f>
        <v>#N/A</v>
      </c>
      <c r="G1255" s="39" t="e">
        <f t="shared" si="2528"/>
        <v>#N/A</v>
      </c>
      <c r="H1255" s="16" t="e">
        <f t="shared" si="2528"/>
        <v>#N/A</v>
      </c>
      <c r="I1255" s="16" t="e">
        <f t="shared" si="2528"/>
        <v>#N/A</v>
      </c>
      <c r="J1255" s="40" t="e">
        <f t="shared" si="2528"/>
        <v>#N/A</v>
      </c>
      <c r="K1255" s="16" t="e">
        <f t="shared" si="2528"/>
        <v>#N/A</v>
      </c>
      <c r="L1255" s="40" t="e">
        <f t="shared" si="2421"/>
        <v>#N/A</v>
      </c>
      <c r="M1255" s="16" t="e">
        <f t="shared" si="2422"/>
        <v>#N/A</v>
      </c>
      <c r="N1255" s="16" t="e">
        <f t="shared" si="2423"/>
        <v>#N/A</v>
      </c>
      <c r="O1255" s="16" t="s">
        <v>68</v>
      </c>
      <c r="P1255" s="16" t="str">
        <f t="shared" si="6"/>
        <v/>
      </c>
      <c r="Q1255" s="41" t="e">
        <f t="shared" si="2424"/>
        <v>#N/A</v>
      </c>
      <c r="R1255" s="44"/>
      <c r="S1255" s="44"/>
      <c r="T1255" s="43"/>
      <c r="U1255" s="43" t="str">
        <f t="shared" si="8"/>
        <v>No</v>
      </c>
      <c r="V1255" s="25"/>
      <c r="W1255" s="25"/>
      <c r="X1255" s="25"/>
      <c r="Y1255" s="25"/>
      <c r="Z1255" s="25"/>
    </row>
    <row r="1256" spans="1:26" ht="15.75" customHeight="1" x14ac:dyDescent="0.25">
      <c r="A1256" s="25">
        <v>1254</v>
      </c>
      <c r="B1256" s="37" t="e">
        <f t="shared" ref="B1256:D1256" si="2529">VLOOKUP($A1256,[4]Cultura!$A$1:$O$276,B$1,0)</f>
        <v>#N/A</v>
      </c>
      <c r="C1256" s="38" t="e">
        <f t="shared" si="2529"/>
        <v>#N/A</v>
      </c>
      <c r="D1256" s="39" t="e">
        <f t="shared" si="2529"/>
        <v>#N/A</v>
      </c>
      <c r="E1256" s="16" t="e">
        <f t="shared" si="1"/>
        <v>#N/A</v>
      </c>
      <c r="F1256" s="16" t="e">
        <f t="shared" ref="F1256:K1256" si="2530">VLOOKUP($A1256,[4]Cultura!$A$1:$O$276,F$1,0)</f>
        <v>#N/A</v>
      </c>
      <c r="G1256" s="39" t="e">
        <f t="shared" si="2530"/>
        <v>#N/A</v>
      </c>
      <c r="H1256" s="16" t="e">
        <f t="shared" si="2530"/>
        <v>#N/A</v>
      </c>
      <c r="I1256" s="16" t="e">
        <f t="shared" si="2530"/>
        <v>#N/A</v>
      </c>
      <c r="J1256" s="40" t="e">
        <f t="shared" si="2530"/>
        <v>#N/A</v>
      </c>
      <c r="K1256" s="16" t="e">
        <f t="shared" si="2530"/>
        <v>#N/A</v>
      </c>
      <c r="L1256" s="40" t="e">
        <f t="shared" si="2421"/>
        <v>#N/A</v>
      </c>
      <c r="M1256" s="16" t="e">
        <f t="shared" si="2422"/>
        <v>#N/A</v>
      </c>
      <c r="N1256" s="16" t="e">
        <f t="shared" si="2423"/>
        <v>#N/A</v>
      </c>
      <c r="O1256" s="16" t="s">
        <v>68</v>
      </c>
      <c r="P1256" s="16" t="str">
        <f t="shared" si="6"/>
        <v/>
      </c>
      <c r="Q1256" s="41" t="e">
        <f t="shared" si="2424"/>
        <v>#N/A</v>
      </c>
      <c r="R1256" s="44"/>
      <c r="S1256" s="44"/>
      <c r="T1256" s="43"/>
      <c r="U1256" s="43" t="str">
        <f t="shared" si="8"/>
        <v>No</v>
      </c>
      <c r="V1256" s="25"/>
      <c r="W1256" s="25"/>
      <c r="X1256" s="25"/>
      <c r="Y1256" s="25"/>
      <c r="Z1256" s="25"/>
    </row>
    <row r="1257" spans="1:26" ht="15.75" customHeight="1" x14ac:dyDescent="0.25">
      <c r="A1257" s="25">
        <v>1255</v>
      </c>
      <c r="B1257" s="37" t="e">
        <f t="shared" ref="B1257:D1257" si="2531">VLOOKUP($A1257,[4]Cultura!$A$1:$O$276,B$1,0)</f>
        <v>#N/A</v>
      </c>
      <c r="C1257" s="38" t="e">
        <f t="shared" si="2531"/>
        <v>#N/A</v>
      </c>
      <c r="D1257" s="39" t="e">
        <f t="shared" si="2531"/>
        <v>#N/A</v>
      </c>
      <c r="E1257" s="16" t="e">
        <f t="shared" si="1"/>
        <v>#N/A</v>
      </c>
      <c r="F1257" s="16" t="e">
        <f t="shared" ref="F1257:K1257" si="2532">VLOOKUP($A1257,[4]Cultura!$A$1:$O$276,F$1,0)</f>
        <v>#N/A</v>
      </c>
      <c r="G1257" s="39" t="e">
        <f t="shared" si="2532"/>
        <v>#N/A</v>
      </c>
      <c r="H1257" s="16" t="e">
        <f t="shared" si="2532"/>
        <v>#N/A</v>
      </c>
      <c r="I1257" s="16" t="e">
        <f t="shared" si="2532"/>
        <v>#N/A</v>
      </c>
      <c r="J1257" s="40" t="e">
        <f t="shared" si="2532"/>
        <v>#N/A</v>
      </c>
      <c r="K1257" s="16" t="e">
        <f t="shared" si="2532"/>
        <v>#N/A</v>
      </c>
      <c r="L1257" s="40" t="e">
        <f t="shared" si="2421"/>
        <v>#N/A</v>
      </c>
      <c r="M1257" s="16" t="e">
        <f t="shared" si="2422"/>
        <v>#N/A</v>
      </c>
      <c r="N1257" s="16" t="e">
        <f t="shared" si="2423"/>
        <v>#N/A</v>
      </c>
      <c r="O1257" s="16" t="s">
        <v>68</v>
      </c>
      <c r="P1257" s="16" t="str">
        <f t="shared" si="6"/>
        <v/>
      </c>
      <c r="Q1257" s="41" t="e">
        <f t="shared" si="2424"/>
        <v>#N/A</v>
      </c>
      <c r="R1257" s="44"/>
      <c r="S1257" s="44"/>
      <c r="T1257" s="43"/>
      <c r="U1257" s="43" t="str">
        <f t="shared" si="8"/>
        <v>No</v>
      </c>
      <c r="V1257" s="25"/>
      <c r="W1257" s="25"/>
      <c r="X1257" s="25"/>
      <c r="Y1257" s="25"/>
      <c r="Z1257" s="25"/>
    </row>
    <row r="1258" spans="1:26" ht="15.75" customHeight="1" x14ac:dyDescent="0.25">
      <c r="A1258" s="25">
        <v>1256</v>
      </c>
      <c r="B1258" s="37" t="e">
        <f t="shared" ref="B1258:D1258" si="2533">VLOOKUP($A1258,[4]Cultura!$A$1:$O$276,B$1,0)</f>
        <v>#N/A</v>
      </c>
      <c r="C1258" s="38" t="e">
        <f t="shared" si="2533"/>
        <v>#N/A</v>
      </c>
      <c r="D1258" s="39" t="e">
        <f t="shared" si="2533"/>
        <v>#N/A</v>
      </c>
      <c r="E1258" s="16" t="e">
        <f t="shared" si="1"/>
        <v>#N/A</v>
      </c>
      <c r="F1258" s="16" t="e">
        <f t="shared" ref="F1258:K1258" si="2534">VLOOKUP($A1258,[4]Cultura!$A$1:$O$276,F$1,0)</f>
        <v>#N/A</v>
      </c>
      <c r="G1258" s="39" t="e">
        <f t="shared" si="2534"/>
        <v>#N/A</v>
      </c>
      <c r="H1258" s="16" t="e">
        <f t="shared" si="2534"/>
        <v>#N/A</v>
      </c>
      <c r="I1258" s="16" t="e">
        <f t="shared" si="2534"/>
        <v>#N/A</v>
      </c>
      <c r="J1258" s="40" t="e">
        <f t="shared" si="2534"/>
        <v>#N/A</v>
      </c>
      <c r="K1258" s="16" t="e">
        <f t="shared" si="2534"/>
        <v>#N/A</v>
      </c>
      <c r="L1258" s="40" t="e">
        <f t="shared" si="2421"/>
        <v>#N/A</v>
      </c>
      <c r="M1258" s="16" t="e">
        <f t="shared" si="2422"/>
        <v>#N/A</v>
      </c>
      <c r="N1258" s="16" t="e">
        <f t="shared" si="2423"/>
        <v>#N/A</v>
      </c>
      <c r="O1258" s="16" t="s">
        <v>68</v>
      </c>
      <c r="P1258" s="16" t="str">
        <f t="shared" si="6"/>
        <v/>
      </c>
      <c r="Q1258" s="41" t="e">
        <f t="shared" si="2424"/>
        <v>#N/A</v>
      </c>
      <c r="R1258" s="44"/>
      <c r="S1258" s="44"/>
      <c r="T1258" s="43"/>
      <c r="U1258" s="43" t="str">
        <f t="shared" si="8"/>
        <v>No</v>
      </c>
      <c r="V1258" s="25"/>
      <c r="W1258" s="25"/>
      <c r="X1258" s="25"/>
      <c r="Y1258" s="25"/>
      <c r="Z1258" s="25"/>
    </row>
    <row r="1259" spans="1:26" ht="15.75" customHeight="1" x14ac:dyDescent="0.25">
      <c r="A1259" s="25">
        <v>1257</v>
      </c>
      <c r="B1259" s="37" t="e">
        <f t="shared" ref="B1259:D1259" si="2535">VLOOKUP($A1259,[4]Cultura!$A$1:$O$276,B$1,0)</f>
        <v>#N/A</v>
      </c>
      <c r="C1259" s="38" t="e">
        <f t="shared" si="2535"/>
        <v>#N/A</v>
      </c>
      <c r="D1259" s="39" t="e">
        <f t="shared" si="2535"/>
        <v>#N/A</v>
      </c>
      <c r="E1259" s="16" t="e">
        <f t="shared" si="1"/>
        <v>#N/A</v>
      </c>
      <c r="F1259" s="16" t="e">
        <f t="shared" ref="F1259:K1259" si="2536">VLOOKUP($A1259,[4]Cultura!$A$1:$O$276,F$1,0)</f>
        <v>#N/A</v>
      </c>
      <c r="G1259" s="39" t="e">
        <f t="shared" si="2536"/>
        <v>#N/A</v>
      </c>
      <c r="H1259" s="16" t="e">
        <f t="shared" si="2536"/>
        <v>#N/A</v>
      </c>
      <c r="I1259" s="16" t="e">
        <f t="shared" si="2536"/>
        <v>#N/A</v>
      </c>
      <c r="J1259" s="40" t="e">
        <f t="shared" si="2536"/>
        <v>#N/A</v>
      </c>
      <c r="K1259" s="16" t="e">
        <f t="shared" si="2536"/>
        <v>#N/A</v>
      </c>
      <c r="L1259" s="40" t="e">
        <f t="shared" si="2421"/>
        <v>#N/A</v>
      </c>
      <c r="M1259" s="16" t="e">
        <f t="shared" si="2422"/>
        <v>#N/A</v>
      </c>
      <c r="N1259" s="16" t="e">
        <f t="shared" si="2423"/>
        <v>#N/A</v>
      </c>
      <c r="O1259" s="16" t="s">
        <v>68</v>
      </c>
      <c r="P1259" s="16" t="str">
        <f t="shared" si="6"/>
        <v/>
      </c>
      <c r="Q1259" s="41" t="e">
        <f t="shared" si="2424"/>
        <v>#N/A</v>
      </c>
      <c r="R1259" s="44"/>
      <c r="S1259" s="44"/>
      <c r="T1259" s="43"/>
      <c r="U1259" s="43" t="str">
        <f t="shared" si="8"/>
        <v>No</v>
      </c>
      <c r="V1259" s="25"/>
      <c r="W1259" s="25"/>
      <c r="X1259" s="25"/>
      <c r="Y1259" s="25"/>
      <c r="Z1259" s="25"/>
    </row>
    <row r="1260" spans="1:26" ht="15.75" customHeight="1" x14ac:dyDescent="0.25">
      <c r="A1260" s="25">
        <v>1258</v>
      </c>
      <c r="B1260" s="37" t="e">
        <f t="shared" ref="B1260:D1260" si="2537">VLOOKUP($A1260,[4]Cultura!$A$1:$O$276,B$1,0)</f>
        <v>#N/A</v>
      </c>
      <c r="C1260" s="38" t="e">
        <f t="shared" si="2537"/>
        <v>#N/A</v>
      </c>
      <c r="D1260" s="39" t="e">
        <f t="shared" si="2537"/>
        <v>#N/A</v>
      </c>
      <c r="E1260" s="16" t="e">
        <f t="shared" si="1"/>
        <v>#N/A</v>
      </c>
      <c r="F1260" s="16" t="e">
        <f t="shared" ref="F1260:K1260" si="2538">VLOOKUP($A1260,[4]Cultura!$A$1:$O$276,F$1,0)</f>
        <v>#N/A</v>
      </c>
      <c r="G1260" s="39" t="e">
        <f t="shared" si="2538"/>
        <v>#N/A</v>
      </c>
      <c r="H1260" s="16" t="e">
        <f t="shared" si="2538"/>
        <v>#N/A</v>
      </c>
      <c r="I1260" s="16" t="e">
        <f t="shared" si="2538"/>
        <v>#N/A</v>
      </c>
      <c r="J1260" s="40" t="e">
        <f t="shared" si="2538"/>
        <v>#N/A</v>
      </c>
      <c r="K1260" s="16" t="e">
        <f t="shared" si="2538"/>
        <v>#N/A</v>
      </c>
      <c r="L1260" s="40" t="e">
        <f t="shared" si="2421"/>
        <v>#N/A</v>
      </c>
      <c r="M1260" s="16" t="e">
        <f t="shared" si="2422"/>
        <v>#N/A</v>
      </c>
      <c r="N1260" s="16" t="e">
        <f t="shared" si="2423"/>
        <v>#N/A</v>
      </c>
      <c r="O1260" s="16" t="s">
        <v>68</v>
      </c>
      <c r="P1260" s="16" t="str">
        <f t="shared" si="6"/>
        <v/>
      </c>
      <c r="Q1260" s="41" t="e">
        <f t="shared" si="2424"/>
        <v>#N/A</v>
      </c>
      <c r="R1260" s="44"/>
      <c r="S1260" s="44"/>
      <c r="T1260" s="43"/>
      <c r="U1260" s="43" t="str">
        <f t="shared" si="8"/>
        <v>No</v>
      </c>
      <c r="V1260" s="25"/>
      <c r="W1260" s="25"/>
      <c r="X1260" s="25"/>
      <c r="Y1260" s="25"/>
      <c r="Z1260" s="25"/>
    </row>
    <row r="1261" spans="1:26" ht="15.75" customHeight="1" x14ac:dyDescent="0.25">
      <c r="A1261" s="25">
        <v>1259</v>
      </c>
      <c r="B1261" s="37" t="e">
        <f t="shared" ref="B1261:D1261" si="2539">VLOOKUP($A1261,[4]Cultura!$A$1:$O$276,B$1,0)</f>
        <v>#N/A</v>
      </c>
      <c r="C1261" s="38" t="e">
        <f t="shared" si="2539"/>
        <v>#N/A</v>
      </c>
      <c r="D1261" s="39" t="e">
        <f t="shared" si="2539"/>
        <v>#N/A</v>
      </c>
      <c r="E1261" s="16" t="e">
        <f t="shared" si="1"/>
        <v>#N/A</v>
      </c>
      <c r="F1261" s="16" t="e">
        <f t="shared" ref="F1261:K1261" si="2540">VLOOKUP($A1261,[4]Cultura!$A$1:$O$276,F$1,0)</f>
        <v>#N/A</v>
      </c>
      <c r="G1261" s="39" t="e">
        <f t="shared" si="2540"/>
        <v>#N/A</v>
      </c>
      <c r="H1261" s="16" t="e">
        <f t="shared" si="2540"/>
        <v>#N/A</v>
      </c>
      <c r="I1261" s="16" t="e">
        <f t="shared" si="2540"/>
        <v>#N/A</v>
      </c>
      <c r="J1261" s="40" t="e">
        <f t="shared" si="2540"/>
        <v>#N/A</v>
      </c>
      <c r="K1261" s="16" t="e">
        <f t="shared" si="2540"/>
        <v>#N/A</v>
      </c>
      <c r="L1261" s="40" t="e">
        <f t="shared" si="2421"/>
        <v>#N/A</v>
      </c>
      <c r="M1261" s="16" t="e">
        <f t="shared" si="2422"/>
        <v>#N/A</v>
      </c>
      <c r="N1261" s="16" t="e">
        <f t="shared" si="2423"/>
        <v>#N/A</v>
      </c>
      <c r="O1261" s="16" t="s">
        <v>68</v>
      </c>
      <c r="P1261" s="16" t="str">
        <f t="shared" si="6"/>
        <v/>
      </c>
      <c r="Q1261" s="41" t="e">
        <f t="shared" si="2424"/>
        <v>#N/A</v>
      </c>
      <c r="R1261" s="44"/>
      <c r="S1261" s="44"/>
      <c r="T1261" s="43"/>
      <c r="U1261" s="43" t="str">
        <f t="shared" si="8"/>
        <v>No</v>
      </c>
      <c r="V1261" s="25"/>
      <c r="W1261" s="25"/>
      <c r="X1261" s="25"/>
      <c r="Y1261" s="25"/>
      <c r="Z1261" s="25"/>
    </row>
    <row r="1262" spans="1:26" ht="15.75" customHeight="1" x14ac:dyDescent="0.25">
      <c r="A1262" s="25">
        <v>1260</v>
      </c>
      <c r="B1262" s="37" t="e">
        <f t="shared" ref="B1262:D1262" si="2541">VLOOKUP($A1262,[4]Cultura!$A$1:$O$276,B$1,0)</f>
        <v>#N/A</v>
      </c>
      <c r="C1262" s="38" t="e">
        <f t="shared" si="2541"/>
        <v>#N/A</v>
      </c>
      <c r="D1262" s="39" t="e">
        <f t="shared" si="2541"/>
        <v>#N/A</v>
      </c>
      <c r="E1262" s="16" t="e">
        <f t="shared" si="1"/>
        <v>#N/A</v>
      </c>
      <c r="F1262" s="16" t="e">
        <f t="shared" ref="F1262:K1262" si="2542">VLOOKUP($A1262,[4]Cultura!$A$1:$O$276,F$1,0)</f>
        <v>#N/A</v>
      </c>
      <c r="G1262" s="39" t="e">
        <f t="shared" si="2542"/>
        <v>#N/A</v>
      </c>
      <c r="H1262" s="16" t="e">
        <f t="shared" si="2542"/>
        <v>#N/A</v>
      </c>
      <c r="I1262" s="16" t="e">
        <f t="shared" si="2542"/>
        <v>#N/A</v>
      </c>
      <c r="J1262" s="40" t="e">
        <f t="shared" si="2542"/>
        <v>#N/A</v>
      </c>
      <c r="K1262" s="16" t="e">
        <f t="shared" si="2542"/>
        <v>#N/A</v>
      </c>
      <c r="L1262" s="40" t="e">
        <f t="shared" si="2421"/>
        <v>#N/A</v>
      </c>
      <c r="M1262" s="16" t="e">
        <f t="shared" si="2422"/>
        <v>#N/A</v>
      </c>
      <c r="N1262" s="16" t="e">
        <f t="shared" si="2423"/>
        <v>#N/A</v>
      </c>
      <c r="O1262" s="16" t="s">
        <v>68</v>
      </c>
      <c r="P1262" s="16" t="str">
        <f t="shared" si="6"/>
        <v/>
      </c>
      <c r="Q1262" s="41" t="e">
        <f t="shared" si="2424"/>
        <v>#N/A</v>
      </c>
      <c r="R1262" s="44"/>
      <c r="S1262" s="44"/>
      <c r="T1262" s="43"/>
      <c r="U1262" s="43" t="str">
        <f t="shared" si="8"/>
        <v>No</v>
      </c>
      <c r="V1262" s="25"/>
      <c r="W1262" s="25"/>
      <c r="X1262" s="25"/>
      <c r="Y1262" s="25"/>
      <c r="Z1262" s="25"/>
    </row>
    <row r="1263" spans="1:26" ht="15.75" customHeight="1" x14ac:dyDescent="0.25">
      <c r="A1263" s="25">
        <v>1261</v>
      </c>
      <c r="B1263" s="37" t="e">
        <f t="shared" ref="B1263:D1263" si="2543">VLOOKUP($A1263,[4]Cultura!$A$1:$O$276,B$1,0)</f>
        <v>#N/A</v>
      </c>
      <c r="C1263" s="38" t="e">
        <f t="shared" si="2543"/>
        <v>#N/A</v>
      </c>
      <c r="D1263" s="39" t="e">
        <f t="shared" si="2543"/>
        <v>#N/A</v>
      </c>
      <c r="E1263" s="16" t="e">
        <f t="shared" si="1"/>
        <v>#N/A</v>
      </c>
      <c r="F1263" s="16" t="e">
        <f t="shared" ref="F1263:K1263" si="2544">VLOOKUP($A1263,[4]Cultura!$A$1:$O$276,F$1,0)</f>
        <v>#N/A</v>
      </c>
      <c r="G1263" s="39" t="e">
        <f t="shared" si="2544"/>
        <v>#N/A</v>
      </c>
      <c r="H1263" s="16" t="e">
        <f t="shared" si="2544"/>
        <v>#N/A</v>
      </c>
      <c r="I1263" s="16" t="e">
        <f t="shared" si="2544"/>
        <v>#N/A</v>
      </c>
      <c r="J1263" s="40" t="e">
        <f t="shared" si="2544"/>
        <v>#N/A</v>
      </c>
      <c r="K1263" s="16" t="e">
        <f t="shared" si="2544"/>
        <v>#N/A</v>
      </c>
      <c r="L1263" s="40" t="e">
        <f t="shared" si="2421"/>
        <v>#N/A</v>
      </c>
      <c r="M1263" s="16" t="e">
        <f t="shared" si="2422"/>
        <v>#N/A</v>
      </c>
      <c r="N1263" s="16" t="e">
        <f t="shared" si="2423"/>
        <v>#N/A</v>
      </c>
      <c r="O1263" s="16" t="s">
        <v>68</v>
      </c>
      <c r="P1263" s="16" t="str">
        <f t="shared" si="6"/>
        <v/>
      </c>
      <c r="Q1263" s="41" t="e">
        <f t="shared" si="2424"/>
        <v>#N/A</v>
      </c>
      <c r="R1263" s="44"/>
      <c r="S1263" s="44"/>
      <c r="T1263" s="43"/>
      <c r="U1263" s="43" t="str">
        <f t="shared" si="8"/>
        <v>No</v>
      </c>
      <c r="V1263" s="25"/>
      <c r="W1263" s="25"/>
      <c r="X1263" s="25"/>
      <c r="Y1263" s="25"/>
      <c r="Z1263" s="25"/>
    </row>
    <row r="1264" spans="1:26" ht="15.75" customHeight="1" x14ac:dyDescent="0.25">
      <c r="A1264" s="25">
        <v>1262</v>
      </c>
      <c r="B1264" s="37" t="e">
        <f t="shared" ref="B1264:D1264" si="2545">VLOOKUP($A1264,[4]Cultura!$A$1:$O$276,B$1,0)</f>
        <v>#N/A</v>
      </c>
      <c r="C1264" s="38" t="e">
        <f t="shared" si="2545"/>
        <v>#N/A</v>
      </c>
      <c r="D1264" s="39" t="e">
        <f t="shared" si="2545"/>
        <v>#N/A</v>
      </c>
      <c r="E1264" s="16" t="e">
        <f t="shared" si="1"/>
        <v>#N/A</v>
      </c>
      <c r="F1264" s="16" t="e">
        <f t="shared" ref="F1264:K1264" si="2546">VLOOKUP($A1264,[4]Cultura!$A$1:$O$276,F$1,0)</f>
        <v>#N/A</v>
      </c>
      <c r="G1264" s="39" t="e">
        <f t="shared" si="2546"/>
        <v>#N/A</v>
      </c>
      <c r="H1264" s="16" t="e">
        <f t="shared" si="2546"/>
        <v>#N/A</v>
      </c>
      <c r="I1264" s="16" t="e">
        <f t="shared" si="2546"/>
        <v>#N/A</v>
      </c>
      <c r="J1264" s="40" t="e">
        <f t="shared" si="2546"/>
        <v>#N/A</v>
      </c>
      <c r="K1264" s="16" t="e">
        <f t="shared" si="2546"/>
        <v>#N/A</v>
      </c>
      <c r="L1264" s="40" t="e">
        <f t="shared" si="2421"/>
        <v>#N/A</v>
      </c>
      <c r="M1264" s="16" t="e">
        <f t="shared" si="2422"/>
        <v>#N/A</v>
      </c>
      <c r="N1264" s="16" t="e">
        <f t="shared" si="2423"/>
        <v>#N/A</v>
      </c>
      <c r="O1264" s="16" t="s">
        <v>68</v>
      </c>
      <c r="P1264" s="16" t="str">
        <f t="shared" si="6"/>
        <v/>
      </c>
      <c r="Q1264" s="41" t="e">
        <f t="shared" si="2424"/>
        <v>#N/A</v>
      </c>
      <c r="R1264" s="44"/>
      <c r="S1264" s="44"/>
      <c r="T1264" s="43"/>
      <c r="U1264" s="43" t="str">
        <f t="shared" si="8"/>
        <v>No</v>
      </c>
      <c r="V1264" s="25"/>
      <c r="W1264" s="25"/>
      <c r="X1264" s="25"/>
      <c r="Y1264" s="25"/>
      <c r="Z1264" s="25"/>
    </row>
    <row r="1265" spans="1:26" ht="15.75" customHeight="1" x14ac:dyDescent="0.25">
      <c r="A1265" s="25">
        <v>1263</v>
      </c>
      <c r="B1265" s="37" t="e">
        <f t="shared" ref="B1265:D1265" si="2547">VLOOKUP($A1265,[4]Cultura!$A$1:$O$276,B$1,0)</f>
        <v>#N/A</v>
      </c>
      <c r="C1265" s="38" t="e">
        <f t="shared" si="2547"/>
        <v>#N/A</v>
      </c>
      <c r="D1265" s="39" t="e">
        <f t="shared" si="2547"/>
        <v>#N/A</v>
      </c>
      <c r="E1265" s="16" t="e">
        <f t="shared" si="1"/>
        <v>#N/A</v>
      </c>
      <c r="F1265" s="16" t="e">
        <f t="shared" ref="F1265:K1265" si="2548">VLOOKUP($A1265,[4]Cultura!$A$1:$O$276,F$1,0)</f>
        <v>#N/A</v>
      </c>
      <c r="G1265" s="39" t="e">
        <f t="shared" si="2548"/>
        <v>#N/A</v>
      </c>
      <c r="H1265" s="16" t="e">
        <f t="shared" si="2548"/>
        <v>#N/A</v>
      </c>
      <c r="I1265" s="16" t="e">
        <f t="shared" si="2548"/>
        <v>#N/A</v>
      </c>
      <c r="J1265" s="40" t="e">
        <f t="shared" si="2548"/>
        <v>#N/A</v>
      </c>
      <c r="K1265" s="16" t="e">
        <f t="shared" si="2548"/>
        <v>#N/A</v>
      </c>
      <c r="L1265" s="40" t="e">
        <f t="shared" si="2421"/>
        <v>#N/A</v>
      </c>
      <c r="M1265" s="16" t="e">
        <f t="shared" si="2422"/>
        <v>#N/A</v>
      </c>
      <c r="N1265" s="16" t="e">
        <f t="shared" si="2423"/>
        <v>#N/A</v>
      </c>
      <c r="O1265" s="16" t="s">
        <v>68</v>
      </c>
      <c r="P1265" s="16" t="str">
        <f t="shared" si="6"/>
        <v/>
      </c>
      <c r="Q1265" s="41" t="e">
        <f t="shared" si="2424"/>
        <v>#N/A</v>
      </c>
      <c r="R1265" s="44"/>
      <c r="S1265" s="44"/>
      <c r="T1265" s="43"/>
      <c r="U1265" s="43" t="str">
        <f t="shared" si="8"/>
        <v>No</v>
      </c>
      <c r="V1265" s="25"/>
      <c r="W1265" s="25"/>
      <c r="X1265" s="25"/>
      <c r="Y1265" s="25"/>
      <c r="Z1265" s="25"/>
    </row>
    <row r="1266" spans="1:26" ht="15.75" customHeight="1" x14ac:dyDescent="0.25">
      <c r="A1266" s="25">
        <v>1264</v>
      </c>
      <c r="B1266" s="37" t="e">
        <f t="shared" ref="B1266:D1266" si="2549">VLOOKUP($A1266,[4]Cultura!$A$1:$O$276,B$1,0)</f>
        <v>#N/A</v>
      </c>
      <c r="C1266" s="38" t="e">
        <f t="shared" si="2549"/>
        <v>#N/A</v>
      </c>
      <c r="D1266" s="39" t="e">
        <f t="shared" si="2549"/>
        <v>#N/A</v>
      </c>
      <c r="E1266" s="16" t="e">
        <f t="shared" si="1"/>
        <v>#N/A</v>
      </c>
      <c r="F1266" s="16" t="e">
        <f t="shared" ref="F1266:K1266" si="2550">VLOOKUP($A1266,[4]Cultura!$A$1:$O$276,F$1,0)</f>
        <v>#N/A</v>
      </c>
      <c r="G1266" s="39" t="e">
        <f t="shared" si="2550"/>
        <v>#N/A</v>
      </c>
      <c r="H1266" s="16" t="e">
        <f t="shared" si="2550"/>
        <v>#N/A</v>
      </c>
      <c r="I1266" s="16" t="e">
        <f t="shared" si="2550"/>
        <v>#N/A</v>
      </c>
      <c r="J1266" s="40" t="e">
        <f t="shared" si="2550"/>
        <v>#N/A</v>
      </c>
      <c r="K1266" s="16" t="e">
        <f t="shared" si="2550"/>
        <v>#N/A</v>
      </c>
      <c r="L1266" s="40" t="e">
        <f t="shared" si="2421"/>
        <v>#N/A</v>
      </c>
      <c r="M1266" s="16" t="e">
        <f t="shared" si="2422"/>
        <v>#N/A</v>
      </c>
      <c r="N1266" s="16" t="e">
        <f t="shared" si="2423"/>
        <v>#N/A</v>
      </c>
      <c r="O1266" s="16" t="s">
        <v>68</v>
      </c>
      <c r="P1266" s="16" t="str">
        <f t="shared" si="6"/>
        <v/>
      </c>
      <c r="Q1266" s="41" t="e">
        <f t="shared" si="2424"/>
        <v>#N/A</v>
      </c>
      <c r="R1266" s="44"/>
      <c r="S1266" s="44"/>
      <c r="T1266" s="43"/>
      <c r="U1266" s="43" t="str">
        <f t="shared" si="8"/>
        <v>No</v>
      </c>
      <c r="V1266" s="25"/>
      <c r="W1266" s="25"/>
      <c r="X1266" s="25"/>
      <c r="Y1266" s="25"/>
      <c r="Z1266" s="25"/>
    </row>
    <row r="1267" spans="1:26" ht="15.75" customHeight="1" x14ac:dyDescent="0.25">
      <c r="A1267" s="25">
        <v>1265</v>
      </c>
      <c r="B1267" s="37" t="e">
        <f t="shared" ref="B1267:D1267" si="2551">VLOOKUP($A1267,[4]Cultura!$A$1:$O$276,B$1,0)</f>
        <v>#N/A</v>
      </c>
      <c r="C1267" s="38" t="e">
        <f t="shared" si="2551"/>
        <v>#N/A</v>
      </c>
      <c r="D1267" s="39" t="e">
        <f t="shared" si="2551"/>
        <v>#N/A</v>
      </c>
      <c r="E1267" s="16" t="e">
        <f t="shared" si="1"/>
        <v>#N/A</v>
      </c>
      <c r="F1267" s="16" t="e">
        <f t="shared" ref="F1267:K1267" si="2552">VLOOKUP($A1267,[4]Cultura!$A$1:$O$276,F$1,0)</f>
        <v>#N/A</v>
      </c>
      <c r="G1267" s="39" t="e">
        <f t="shared" si="2552"/>
        <v>#N/A</v>
      </c>
      <c r="H1267" s="16" t="e">
        <f t="shared" si="2552"/>
        <v>#N/A</v>
      </c>
      <c r="I1267" s="16" t="e">
        <f t="shared" si="2552"/>
        <v>#N/A</v>
      </c>
      <c r="J1267" s="40" t="e">
        <f t="shared" si="2552"/>
        <v>#N/A</v>
      </c>
      <c r="K1267" s="16" t="e">
        <f t="shared" si="2552"/>
        <v>#N/A</v>
      </c>
      <c r="L1267" s="40" t="e">
        <f t="shared" si="2421"/>
        <v>#N/A</v>
      </c>
      <c r="M1267" s="16" t="e">
        <f t="shared" si="2422"/>
        <v>#N/A</v>
      </c>
      <c r="N1267" s="16" t="e">
        <f t="shared" si="2423"/>
        <v>#N/A</v>
      </c>
      <c r="O1267" s="16" t="s">
        <v>68</v>
      </c>
      <c r="P1267" s="16" t="str">
        <f t="shared" si="6"/>
        <v/>
      </c>
      <c r="Q1267" s="41" t="e">
        <f t="shared" si="2424"/>
        <v>#N/A</v>
      </c>
      <c r="R1267" s="44"/>
      <c r="S1267" s="44"/>
      <c r="T1267" s="43"/>
      <c r="U1267" s="43" t="str">
        <f t="shared" si="8"/>
        <v>No</v>
      </c>
      <c r="V1267" s="25"/>
      <c r="W1267" s="25"/>
      <c r="X1267" s="25"/>
      <c r="Y1267" s="25"/>
      <c r="Z1267" s="25"/>
    </row>
    <row r="1268" spans="1:26" ht="15.75" customHeight="1" x14ac:dyDescent="0.25">
      <c r="A1268" s="25">
        <v>1266</v>
      </c>
      <c r="B1268" s="37" t="e">
        <f t="shared" ref="B1268:D1268" si="2553">VLOOKUP($A1268,[4]Cultura!$A$1:$O$276,B$1,0)</f>
        <v>#N/A</v>
      </c>
      <c r="C1268" s="38" t="e">
        <f t="shared" si="2553"/>
        <v>#N/A</v>
      </c>
      <c r="D1268" s="39" t="e">
        <f t="shared" si="2553"/>
        <v>#N/A</v>
      </c>
      <c r="E1268" s="16" t="e">
        <f t="shared" si="1"/>
        <v>#N/A</v>
      </c>
      <c r="F1268" s="16" t="e">
        <f t="shared" ref="F1268:K1268" si="2554">VLOOKUP($A1268,[4]Cultura!$A$1:$O$276,F$1,0)</f>
        <v>#N/A</v>
      </c>
      <c r="G1268" s="39" t="e">
        <f t="shared" si="2554"/>
        <v>#N/A</v>
      </c>
      <c r="H1268" s="16" t="e">
        <f t="shared" si="2554"/>
        <v>#N/A</v>
      </c>
      <c r="I1268" s="16" t="e">
        <f t="shared" si="2554"/>
        <v>#N/A</v>
      </c>
      <c r="J1268" s="40" t="e">
        <f t="shared" si="2554"/>
        <v>#N/A</v>
      </c>
      <c r="K1268" s="16" t="e">
        <f t="shared" si="2554"/>
        <v>#N/A</v>
      </c>
      <c r="L1268" s="40" t="e">
        <f t="shared" si="2421"/>
        <v>#N/A</v>
      </c>
      <c r="M1268" s="16" t="e">
        <f t="shared" si="2422"/>
        <v>#N/A</v>
      </c>
      <c r="N1268" s="16" t="e">
        <f t="shared" si="2423"/>
        <v>#N/A</v>
      </c>
      <c r="O1268" s="16" t="s">
        <v>68</v>
      </c>
      <c r="P1268" s="16" t="str">
        <f t="shared" si="6"/>
        <v/>
      </c>
      <c r="Q1268" s="41" t="e">
        <f t="shared" si="2424"/>
        <v>#N/A</v>
      </c>
      <c r="R1268" s="44"/>
      <c r="S1268" s="44"/>
      <c r="T1268" s="43"/>
      <c r="U1268" s="43" t="str">
        <f t="shared" si="8"/>
        <v>No</v>
      </c>
      <c r="V1268" s="25"/>
      <c r="W1268" s="25"/>
      <c r="X1268" s="25"/>
      <c r="Y1268" s="25"/>
      <c r="Z1268" s="25"/>
    </row>
    <row r="1269" spans="1:26" ht="15.75" customHeight="1" x14ac:dyDescent="0.25">
      <c r="A1269" s="25">
        <v>1267</v>
      </c>
      <c r="B1269" s="37" t="e">
        <f t="shared" ref="B1269:D1269" si="2555">VLOOKUP($A1269,[4]Cultura!$A$1:$O$276,B$1,0)</f>
        <v>#N/A</v>
      </c>
      <c r="C1269" s="38" t="e">
        <f t="shared" si="2555"/>
        <v>#N/A</v>
      </c>
      <c r="D1269" s="39" t="e">
        <f t="shared" si="2555"/>
        <v>#N/A</v>
      </c>
      <c r="E1269" s="16" t="e">
        <f t="shared" si="1"/>
        <v>#N/A</v>
      </c>
      <c r="F1269" s="16" t="e">
        <f t="shared" ref="F1269:K1269" si="2556">VLOOKUP($A1269,[4]Cultura!$A$1:$O$276,F$1,0)</f>
        <v>#N/A</v>
      </c>
      <c r="G1269" s="39" t="e">
        <f t="shared" si="2556"/>
        <v>#N/A</v>
      </c>
      <c r="H1269" s="16" t="e">
        <f t="shared" si="2556"/>
        <v>#N/A</v>
      </c>
      <c r="I1269" s="16" t="e">
        <f t="shared" si="2556"/>
        <v>#N/A</v>
      </c>
      <c r="J1269" s="40" t="e">
        <f t="shared" si="2556"/>
        <v>#N/A</v>
      </c>
      <c r="K1269" s="16" t="e">
        <f t="shared" si="2556"/>
        <v>#N/A</v>
      </c>
      <c r="L1269" s="40" t="e">
        <f t="shared" si="2421"/>
        <v>#N/A</v>
      </c>
      <c r="M1269" s="16" t="e">
        <f t="shared" si="2422"/>
        <v>#N/A</v>
      </c>
      <c r="N1269" s="16" t="e">
        <f t="shared" si="2423"/>
        <v>#N/A</v>
      </c>
      <c r="O1269" s="16" t="s">
        <v>68</v>
      </c>
      <c r="P1269" s="16" t="str">
        <f t="shared" si="6"/>
        <v/>
      </c>
      <c r="Q1269" s="41" t="e">
        <f t="shared" si="2424"/>
        <v>#N/A</v>
      </c>
      <c r="R1269" s="44"/>
      <c r="S1269" s="44"/>
      <c r="T1269" s="43"/>
      <c r="U1269" s="43" t="str">
        <f t="shared" si="8"/>
        <v>No</v>
      </c>
      <c r="V1269" s="25"/>
      <c r="W1269" s="25"/>
      <c r="X1269" s="25"/>
      <c r="Y1269" s="25"/>
      <c r="Z1269" s="25"/>
    </row>
    <row r="1270" spans="1:26" ht="15.75" customHeight="1" x14ac:dyDescent="0.25">
      <c r="A1270" s="25">
        <v>1268</v>
      </c>
      <c r="B1270" s="37" t="e">
        <f t="shared" ref="B1270:D1270" si="2557">VLOOKUP($A1270,[4]Cultura!$A$1:$O$276,B$1,0)</f>
        <v>#N/A</v>
      </c>
      <c r="C1270" s="38" t="e">
        <f t="shared" si="2557"/>
        <v>#N/A</v>
      </c>
      <c r="D1270" s="39" t="e">
        <f t="shared" si="2557"/>
        <v>#N/A</v>
      </c>
      <c r="E1270" s="16" t="e">
        <f t="shared" si="1"/>
        <v>#N/A</v>
      </c>
      <c r="F1270" s="16" t="e">
        <f t="shared" ref="F1270:K1270" si="2558">VLOOKUP($A1270,[4]Cultura!$A$1:$O$276,F$1,0)</f>
        <v>#N/A</v>
      </c>
      <c r="G1270" s="39" t="e">
        <f t="shared" si="2558"/>
        <v>#N/A</v>
      </c>
      <c r="H1270" s="16" t="e">
        <f t="shared" si="2558"/>
        <v>#N/A</v>
      </c>
      <c r="I1270" s="16" t="e">
        <f t="shared" si="2558"/>
        <v>#N/A</v>
      </c>
      <c r="J1270" s="40" t="e">
        <f t="shared" si="2558"/>
        <v>#N/A</v>
      </c>
      <c r="K1270" s="16" t="e">
        <f t="shared" si="2558"/>
        <v>#N/A</v>
      </c>
      <c r="L1270" s="40" t="e">
        <f t="shared" si="2421"/>
        <v>#N/A</v>
      </c>
      <c r="M1270" s="16" t="e">
        <f t="shared" si="2422"/>
        <v>#N/A</v>
      </c>
      <c r="N1270" s="16" t="e">
        <f t="shared" si="2423"/>
        <v>#N/A</v>
      </c>
      <c r="O1270" s="16" t="s">
        <v>68</v>
      </c>
      <c r="P1270" s="16" t="str">
        <f t="shared" si="6"/>
        <v/>
      </c>
      <c r="Q1270" s="41" t="e">
        <f t="shared" si="2424"/>
        <v>#N/A</v>
      </c>
      <c r="R1270" s="44"/>
      <c r="S1270" s="44"/>
      <c r="T1270" s="43"/>
      <c r="U1270" s="43" t="str">
        <f t="shared" si="8"/>
        <v>No</v>
      </c>
      <c r="V1270" s="25"/>
      <c r="W1270" s="25"/>
      <c r="X1270" s="25"/>
      <c r="Y1270" s="25"/>
      <c r="Z1270" s="25"/>
    </row>
    <row r="1271" spans="1:26" ht="15.75" customHeight="1" x14ac:dyDescent="0.25">
      <c r="A1271" s="25">
        <v>1269</v>
      </c>
      <c r="B1271" s="37" t="e">
        <f t="shared" ref="B1271:D1271" si="2559">VLOOKUP($A1271,[4]Cultura!$A$1:$O$276,B$1,0)</f>
        <v>#N/A</v>
      </c>
      <c r="C1271" s="38" t="e">
        <f t="shared" si="2559"/>
        <v>#N/A</v>
      </c>
      <c r="D1271" s="39" t="e">
        <f t="shared" si="2559"/>
        <v>#N/A</v>
      </c>
      <c r="E1271" s="16" t="e">
        <f t="shared" si="1"/>
        <v>#N/A</v>
      </c>
      <c r="F1271" s="16" t="e">
        <f t="shared" ref="F1271:K1271" si="2560">VLOOKUP($A1271,[4]Cultura!$A$1:$O$276,F$1,0)</f>
        <v>#N/A</v>
      </c>
      <c r="G1271" s="39" t="e">
        <f t="shared" si="2560"/>
        <v>#N/A</v>
      </c>
      <c r="H1271" s="16" t="e">
        <f t="shared" si="2560"/>
        <v>#N/A</v>
      </c>
      <c r="I1271" s="16" t="e">
        <f t="shared" si="2560"/>
        <v>#N/A</v>
      </c>
      <c r="J1271" s="40" t="e">
        <f t="shared" si="2560"/>
        <v>#N/A</v>
      </c>
      <c r="K1271" s="16" t="e">
        <f t="shared" si="2560"/>
        <v>#N/A</v>
      </c>
      <c r="L1271" s="40" t="e">
        <f t="shared" si="2421"/>
        <v>#N/A</v>
      </c>
      <c r="M1271" s="16" t="e">
        <f t="shared" si="2422"/>
        <v>#N/A</v>
      </c>
      <c r="N1271" s="16" t="e">
        <f t="shared" si="2423"/>
        <v>#N/A</v>
      </c>
      <c r="O1271" s="16" t="s">
        <v>68</v>
      </c>
      <c r="P1271" s="16" t="str">
        <f t="shared" si="6"/>
        <v/>
      </c>
      <c r="Q1271" s="41" t="e">
        <f t="shared" si="2424"/>
        <v>#N/A</v>
      </c>
      <c r="R1271" s="44"/>
      <c r="S1271" s="44"/>
      <c r="T1271" s="43"/>
      <c r="U1271" s="43" t="str">
        <f t="shared" si="8"/>
        <v>No</v>
      </c>
      <c r="V1271" s="25"/>
      <c r="W1271" s="25"/>
      <c r="X1271" s="25"/>
      <c r="Y1271" s="25"/>
      <c r="Z1271" s="25"/>
    </row>
    <row r="1272" spans="1:26" ht="15.75" customHeight="1" x14ac:dyDescent="0.25">
      <c r="A1272" s="25">
        <v>1270</v>
      </c>
      <c r="B1272" s="37" t="e">
        <f t="shared" ref="B1272:D1272" si="2561">VLOOKUP($A1272,[4]Cultura!$A$1:$O$276,B$1,0)</f>
        <v>#N/A</v>
      </c>
      <c r="C1272" s="38" t="e">
        <f t="shared" si="2561"/>
        <v>#N/A</v>
      </c>
      <c r="D1272" s="39" t="e">
        <f t="shared" si="2561"/>
        <v>#N/A</v>
      </c>
      <c r="E1272" s="16" t="e">
        <f t="shared" si="1"/>
        <v>#N/A</v>
      </c>
      <c r="F1272" s="16" t="e">
        <f t="shared" ref="F1272:K1272" si="2562">VLOOKUP($A1272,[4]Cultura!$A$1:$O$276,F$1,0)</f>
        <v>#N/A</v>
      </c>
      <c r="G1272" s="39" t="e">
        <f t="shared" si="2562"/>
        <v>#N/A</v>
      </c>
      <c r="H1272" s="16" t="e">
        <f t="shared" si="2562"/>
        <v>#N/A</v>
      </c>
      <c r="I1272" s="16" t="e">
        <f t="shared" si="2562"/>
        <v>#N/A</v>
      </c>
      <c r="J1272" s="40" t="e">
        <f t="shared" si="2562"/>
        <v>#N/A</v>
      </c>
      <c r="K1272" s="16" t="e">
        <f t="shared" si="2562"/>
        <v>#N/A</v>
      </c>
      <c r="L1272" s="40" t="e">
        <f t="shared" si="2421"/>
        <v>#N/A</v>
      </c>
      <c r="M1272" s="16" t="e">
        <f t="shared" si="2422"/>
        <v>#N/A</v>
      </c>
      <c r="N1272" s="16" t="e">
        <f t="shared" si="2423"/>
        <v>#N/A</v>
      </c>
      <c r="O1272" s="16" t="s">
        <v>68</v>
      </c>
      <c r="P1272" s="16" t="str">
        <f t="shared" si="6"/>
        <v/>
      </c>
      <c r="Q1272" s="41" t="e">
        <f t="shared" si="2424"/>
        <v>#N/A</v>
      </c>
      <c r="R1272" s="44"/>
      <c r="S1272" s="44"/>
      <c r="T1272" s="43"/>
      <c r="U1272" s="43" t="str">
        <f t="shared" si="8"/>
        <v>No</v>
      </c>
      <c r="V1272" s="25"/>
      <c r="W1272" s="25"/>
      <c r="X1272" s="25"/>
      <c r="Y1272" s="25"/>
      <c r="Z1272" s="25"/>
    </row>
    <row r="1273" spans="1:26" ht="15.75" customHeight="1" x14ac:dyDescent="0.25">
      <c r="A1273" s="25">
        <v>1271</v>
      </c>
      <c r="B1273" s="37" t="e">
        <f t="shared" ref="B1273:D1273" si="2563">VLOOKUP($A1273,[4]Cultura!$A$1:$O$276,B$1,0)</f>
        <v>#N/A</v>
      </c>
      <c r="C1273" s="38" t="e">
        <f t="shared" si="2563"/>
        <v>#N/A</v>
      </c>
      <c r="D1273" s="39" t="e">
        <f t="shared" si="2563"/>
        <v>#N/A</v>
      </c>
      <c r="E1273" s="16" t="e">
        <f t="shared" si="1"/>
        <v>#N/A</v>
      </c>
      <c r="F1273" s="16" t="e">
        <f t="shared" ref="F1273:K1273" si="2564">VLOOKUP($A1273,[4]Cultura!$A$1:$O$276,F$1,0)</f>
        <v>#N/A</v>
      </c>
      <c r="G1273" s="39" t="e">
        <f t="shared" si="2564"/>
        <v>#N/A</v>
      </c>
      <c r="H1273" s="16" t="e">
        <f t="shared" si="2564"/>
        <v>#N/A</v>
      </c>
      <c r="I1273" s="16" t="e">
        <f t="shared" si="2564"/>
        <v>#N/A</v>
      </c>
      <c r="J1273" s="40" t="e">
        <f t="shared" si="2564"/>
        <v>#N/A</v>
      </c>
      <c r="K1273" s="16" t="e">
        <f t="shared" si="2564"/>
        <v>#N/A</v>
      </c>
      <c r="L1273" s="40" t="e">
        <f t="shared" si="2421"/>
        <v>#N/A</v>
      </c>
      <c r="M1273" s="16" t="e">
        <f t="shared" si="2422"/>
        <v>#N/A</v>
      </c>
      <c r="N1273" s="16" t="e">
        <f t="shared" si="2423"/>
        <v>#N/A</v>
      </c>
      <c r="O1273" s="16" t="s">
        <v>68</v>
      </c>
      <c r="P1273" s="16" t="str">
        <f t="shared" si="6"/>
        <v/>
      </c>
      <c r="Q1273" s="41" t="e">
        <f t="shared" si="2424"/>
        <v>#N/A</v>
      </c>
      <c r="R1273" s="44"/>
      <c r="S1273" s="44"/>
      <c r="T1273" s="43"/>
      <c r="U1273" s="43" t="str">
        <f t="shared" si="8"/>
        <v>No</v>
      </c>
      <c r="V1273" s="25"/>
      <c r="W1273" s="25"/>
      <c r="X1273" s="25"/>
      <c r="Y1273" s="25"/>
      <c r="Z1273" s="25"/>
    </row>
    <row r="1274" spans="1:26" ht="15.75" customHeight="1" x14ac:dyDescent="0.25">
      <c r="A1274" s="25">
        <v>1272</v>
      </c>
      <c r="B1274" s="37" t="e">
        <f t="shared" ref="B1274:D1274" si="2565">VLOOKUP($A1274,[4]Cultura!$A$1:$O$276,B$1,0)</f>
        <v>#N/A</v>
      </c>
      <c r="C1274" s="38" t="e">
        <f t="shared" si="2565"/>
        <v>#N/A</v>
      </c>
      <c r="D1274" s="39" t="e">
        <f t="shared" si="2565"/>
        <v>#N/A</v>
      </c>
      <c r="E1274" s="16" t="e">
        <f t="shared" si="1"/>
        <v>#N/A</v>
      </c>
      <c r="F1274" s="16" t="e">
        <f t="shared" ref="F1274:K1274" si="2566">VLOOKUP($A1274,[4]Cultura!$A$1:$O$276,F$1,0)</f>
        <v>#N/A</v>
      </c>
      <c r="G1274" s="39" t="e">
        <f t="shared" si="2566"/>
        <v>#N/A</v>
      </c>
      <c r="H1274" s="16" t="e">
        <f t="shared" si="2566"/>
        <v>#N/A</v>
      </c>
      <c r="I1274" s="16" t="e">
        <f t="shared" si="2566"/>
        <v>#N/A</v>
      </c>
      <c r="J1274" s="40" t="e">
        <f t="shared" si="2566"/>
        <v>#N/A</v>
      </c>
      <c r="K1274" s="16" t="e">
        <f t="shared" si="2566"/>
        <v>#N/A</v>
      </c>
      <c r="L1274" s="40" t="e">
        <f t="shared" si="2421"/>
        <v>#N/A</v>
      </c>
      <c r="M1274" s="16" t="e">
        <f t="shared" si="2422"/>
        <v>#N/A</v>
      </c>
      <c r="N1274" s="16" t="e">
        <f t="shared" si="2423"/>
        <v>#N/A</v>
      </c>
      <c r="O1274" s="16" t="s">
        <v>68</v>
      </c>
      <c r="P1274" s="16" t="str">
        <f t="shared" si="6"/>
        <v/>
      </c>
      <c r="Q1274" s="41" t="e">
        <f t="shared" si="2424"/>
        <v>#N/A</v>
      </c>
      <c r="R1274" s="44"/>
      <c r="S1274" s="44"/>
      <c r="T1274" s="43"/>
      <c r="U1274" s="43" t="str">
        <f t="shared" si="8"/>
        <v>No</v>
      </c>
      <c r="V1274" s="25"/>
      <c r="W1274" s="25"/>
      <c r="X1274" s="25"/>
      <c r="Y1274" s="25"/>
      <c r="Z1274" s="25"/>
    </row>
    <row r="1275" spans="1:26" ht="15.75" customHeight="1" x14ac:dyDescent="0.25">
      <c r="A1275" s="25">
        <v>1273</v>
      </c>
      <c r="B1275" s="37" t="e">
        <f t="shared" ref="B1275:D1275" si="2567">VLOOKUP($A1275,[4]Cultura!$A$1:$O$276,B$1,0)</f>
        <v>#N/A</v>
      </c>
      <c r="C1275" s="38" t="e">
        <f t="shared" si="2567"/>
        <v>#N/A</v>
      </c>
      <c r="D1275" s="39" t="e">
        <f t="shared" si="2567"/>
        <v>#N/A</v>
      </c>
      <c r="E1275" s="16" t="e">
        <f t="shared" si="1"/>
        <v>#N/A</v>
      </c>
      <c r="F1275" s="16" t="e">
        <f t="shared" ref="F1275:K1275" si="2568">VLOOKUP($A1275,[4]Cultura!$A$1:$O$276,F$1,0)</f>
        <v>#N/A</v>
      </c>
      <c r="G1275" s="39" t="e">
        <f t="shared" si="2568"/>
        <v>#N/A</v>
      </c>
      <c r="H1275" s="16" t="e">
        <f t="shared" si="2568"/>
        <v>#N/A</v>
      </c>
      <c r="I1275" s="16" t="e">
        <f t="shared" si="2568"/>
        <v>#N/A</v>
      </c>
      <c r="J1275" s="40" t="e">
        <f t="shared" si="2568"/>
        <v>#N/A</v>
      </c>
      <c r="K1275" s="16" t="e">
        <f t="shared" si="2568"/>
        <v>#N/A</v>
      </c>
      <c r="L1275" s="40" t="e">
        <f t="shared" si="2421"/>
        <v>#N/A</v>
      </c>
      <c r="M1275" s="16" t="e">
        <f t="shared" si="2422"/>
        <v>#N/A</v>
      </c>
      <c r="N1275" s="16" t="e">
        <f t="shared" si="2423"/>
        <v>#N/A</v>
      </c>
      <c r="O1275" s="16" t="s">
        <v>68</v>
      </c>
      <c r="P1275" s="16" t="str">
        <f t="shared" si="6"/>
        <v/>
      </c>
      <c r="Q1275" s="41" t="e">
        <f t="shared" si="2424"/>
        <v>#N/A</v>
      </c>
      <c r="R1275" s="44"/>
      <c r="S1275" s="44"/>
      <c r="T1275" s="43"/>
      <c r="U1275" s="43" t="str">
        <f t="shared" si="8"/>
        <v>No</v>
      </c>
      <c r="V1275" s="25"/>
      <c r="W1275" s="25"/>
      <c r="X1275" s="25"/>
      <c r="Y1275" s="25"/>
      <c r="Z1275" s="25"/>
    </row>
    <row r="1276" spans="1:26" ht="15.75" customHeight="1" x14ac:dyDescent="0.25">
      <c r="A1276" s="25">
        <v>1274</v>
      </c>
      <c r="B1276" s="37" t="e">
        <f t="shared" ref="B1276:D1276" si="2569">VLOOKUP($A1276,[4]Cultura!$A$1:$O$276,B$1,0)</f>
        <v>#N/A</v>
      </c>
      <c r="C1276" s="38" t="e">
        <f t="shared" si="2569"/>
        <v>#N/A</v>
      </c>
      <c r="D1276" s="39" t="e">
        <f t="shared" si="2569"/>
        <v>#N/A</v>
      </c>
      <c r="E1276" s="16" t="e">
        <f t="shared" si="1"/>
        <v>#N/A</v>
      </c>
      <c r="F1276" s="16" t="e">
        <f t="shared" ref="F1276:K1276" si="2570">VLOOKUP($A1276,[4]Cultura!$A$1:$O$276,F$1,0)</f>
        <v>#N/A</v>
      </c>
      <c r="G1276" s="39" t="e">
        <f t="shared" si="2570"/>
        <v>#N/A</v>
      </c>
      <c r="H1276" s="16" t="e">
        <f t="shared" si="2570"/>
        <v>#N/A</v>
      </c>
      <c r="I1276" s="16" t="e">
        <f t="shared" si="2570"/>
        <v>#N/A</v>
      </c>
      <c r="J1276" s="40" t="e">
        <f t="shared" si="2570"/>
        <v>#N/A</v>
      </c>
      <c r="K1276" s="16" t="e">
        <f t="shared" si="2570"/>
        <v>#N/A</v>
      </c>
      <c r="L1276" s="40" t="e">
        <f t="shared" si="2421"/>
        <v>#N/A</v>
      </c>
      <c r="M1276" s="16" t="e">
        <f t="shared" si="2422"/>
        <v>#N/A</v>
      </c>
      <c r="N1276" s="16" t="e">
        <f t="shared" si="2423"/>
        <v>#N/A</v>
      </c>
      <c r="O1276" s="16" t="s">
        <v>68</v>
      </c>
      <c r="P1276" s="16" t="str">
        <f t="shared" si="6"/>
        <v/>
      </c>
      <c r="Q1276" s="41" t="e">
        <f t="shared" si="2424"/>
        <v>#N/A</v>
      </c>
      <c r="R1276" s="44"/>
      <c r="S1276" s="44"/>
      <c r="T1276" s="43"/>
      <c r="U1276" s="43" t="str">
        <f t="shared" si="8"/>
        <v>No</v>
      </c>
      <c r="V1276" s="25"/>
      <c r="W1276" s="25"/>
      <c r="X1276" s="25"/>
      <c r="Y1276" s="25"/>
      <c r="Z1276" s="25"/>
    </row>
    <row r="1277" spans="1:26" ht="15.75" customHeight="1" x14ac:dyDescent="0.25">
      <c r="A1277" s="25">
        <v>1275</v>
      </c>
      <c r="B1277" s="37" t="e">
        <f t="shared" ref="B1277:D1277" si="2571">VLOOKUP($A1277,[4]Cultura!$A$1:$O$276,B$1,0)</f>
        <v>#N/A</v>
      </c>
      <c r="C1277" s="38" t="e">
        <f t="shared" si="2571"/>
        <v>#N/A</v>
      </c>
      <c r="D1277" s="39" t="e">
        <f t="shared" si="2571"/>
        <v>#N/A</v>
      </c>
      <c r="E1277" s="16" t="e">
        <f t="shared" si="1"/>
        <v>#N/A</v>
      </c>
      <c r="F1277" s="16" t="e">
        <f t="shared" ref="F1277:K1277" si="2572">VLOOKUP($A1277,[4]Cultura!$A$1:$O$276,F$1,0)</f>
        <v>#N/A</v>
      </c>
      <c r="G1277" s="39" t="e">
        <f t="shared" si="2572"/>
        <v>#N/A</v>
      </c>
      <c r="H1277" s="16" t="e">
        <f t="shared" si="2572"/>
        <v>#N/A</v>
      </c>
      <c r="I1277" s="16" t="e">
        <f t="shared" si="2572"/>
        <v>#N/A</v>
      </c>
      <c r="J1277" s="40" t="e">
        <f t="shared" si="2572"/>
        <v>#N/A</v>
      </c>
      <c r="K1277" s="16" t="e">
        <f t="shared" si="2572"/>
        <v>#N/A</v>
      </c>
      <c r="L1277" s="40" t="e">
        <f t="shared" si="2421"/>
        <v>#N/A</v>
      </c>
      <c r="M1277" s="16" t="e">
        <f t="shared" si="2422"/>
        <v>#N/A</v>
      </c>
      <c r="N1277" s="16" t="e">
        <f t="shared" si="2423"/>
        <v>#N/A</v>
      </c>
      <c r="O1277" s="16" t="s">
        <v>68</v>
      </c>
      <c r="P1277" s="16" t="str">
        <f t="shared" si="6"/>
        <v/>
      </c>
      <c r="Q1277" s="41" t="e">
        <f t="shared" si="2424"/>
        <v>#N/A</v>
      </c>
      <c r="R1277" s="44"/>
      <c r="S1277" s="44"/>
      <c r="T1277" s="43"/>
      <c r="U1277" s="43" t="str">
        <f t="shared" si="8"/>
        <v>No</v>
      </c>
      <c r="V1277" s="25"/>
      <c r="W1277" s="25"/>
      <c r="X1277" s="25"/>
      <c r="Y1277" s="25"/>
      <c r="Z1277" s="25"/>
    </row>
    <row r="1278" spans="1:26" ht="15.75" customHeight="1" x14ac:dyDescent="0.25">
      <c r="A1278" s="25">
        <v>1276</v>
      </c>
      <c r="B1278" s="37" t="e">
        <f t="shared" ref="B1278:D1278" si="2573">VLOOKUP($A1278,[4]Cultura!$A$1:$O$276,B$1,0)</f>
        <v>#N/A</v>
      </c>
      <c r="C1278" s="38" t="e">
        <f t="shared" si="2573"/>
        <v>#N/A</v>
      </c>
      <c r="D1278" s="39" t="e">
        <f t="shared" si="2573"/>
        <v>#N/A</v>
      </c>
      <c r="E1278" s="16" t="e">
        <f t="shared" si="1"/>
        <v>#N/A</v>
      </c>
      <c r="F1278" s="16" t="e">
        <f t="shared" ref="F1278:K1278" si="2574">VLOOKUP($A1278,[4]Cultura!$A$1:$O$276,F$1,0)</f>
        <v>#N/A</v>
      </c>
      <c r="G1278" s="39" t="e">
        <f t="shared" si="2574"/>
        <v>#N/A</v>
      </c>
      <c r="H1278" s="16" t="e">
        <f t="shared" si="2574"/>
        <v>#N/A</v>
      </c>
      <c r="I1278" s="16" t="e">
        <f t="shared" si="2574"/>
        <v>#N/A</v>
      </c>
      <c r="J1278" s="40" t="e">
        <f t="shared" si="2574"/>
        <v>#N/A</v>
      </c>
      <c r="K1278" s="16" t="e">
        <f t="shared" si="2574"/>
        <v>#N/A</v>
      </c>
      <c r="L1278" s="40" t="e">
        <f t="shared" si="2421"/>
        <v>#N/A</v>
      </c>
      <c r="M1278" s="16" t="e">
        <f t="shared" si="2422"/>
        <v>#N/A</v>
      </c>
      <c r="N1278" s="16" t="e">
        <f t="shared" si="2423"/>
        <v>#N/A</v>
      </c>
      <c r="O1278" s="16" t="s">
        <v>68</v>
      </c>
      <c r="P1278" s="16" t="str">
        <f t="shared" si="6"/>
        <v/>
      </c>
      <c r="Q1278" s="41" t="e">
        <f t="shared" si="2424"/>
        <v>#N/A</v>
      </c>
      <c r="R1278" s="44"/>
      <c r="S1278" s="44"/>
      <c r="T1278" s="43"/>
      <c r="U1278" s="43" t="str">
        <f t="shared" si="8"/>
        <v>No</v>
      </c>
      <c r="V1278" s="25"/>
      <c r="W1278" s="25"/>
      <c r="X1278" s="25"/>
      <c r="Y1278" s="25"/>
      <c r="Z1278" s="25"/>
    </row>
    <row r="1279" spans="1:26" ht="15.75" customHeight="1" x14ac:dyDescent="0.25">
      <c r="A1279" s="25">
        <v>1277</v>
      </c>
      <c r="B1279" s="37" t="e">
        <f t="shared" ref="B1279:D1279" si="2575">VLOOKUP($A1279,[4]Cultura!$A$1:$O$276,B$1,0)</f>
        <v>#N/A</v>
      </c>
      <c r="C1279" s="38" t="e">
        <f t="shared" si="2575"/>
        <v>#N/A</v>
      </c>
      <c r="D1279" s="39" t="e">
        <f t="shared" si="2575"/>
        <v>#N/A</v>
      </c>
      <c r="E1279" s="16" t="e">
        <f t="shared" si="1"/>
        <v>#N/A</v>
      </c>
      <c r="F1279" s="16" t="e">
        <f t="shared" ref="F1279:K1279" si="2576">VLOOKUP($A1279,[4]Cultura!$A$1:$O$276,F$1,0)</f>
        <v>#N/A</v>
      </c>
      <c r="G1279" s="39" t="e">
        <f t="shared" si="2576"/>
        <v>#N/A</v>
      </c>
      <c r="H1279" s="16" t="e">
        <f t="shared" si="2576"/>
        <v>#N/A</v>
      </c>
      <c r="I1279" s="16" t="e">
        <f t="shared" si="2576"/>
        <v>#N/A</v>
      </c>
      <c r="J1279" s="40" t="e">
        <f t="shared" si="2576"/>
        <v>#N/A</v>
      </c>
      <c r="K1279" s="16" t="e">
        <f t="shared" si="2576"/>
        <v>#N/A</v>
      </c>
      <c r="L1279" s="40" t="e">
        <f t="shared" si="2421"/>
        <v>#N/A</v>
      </c>
      <c r="M1279" s="16" t="e">
        <f t="shared" si="2422"/>
        <v>#N/A</v>
      </c>
      <c r="N1279" s="16" t="e">
        <f t="shared" si="2423"/>
        <v>#N/A</v>
      </c>
      <c r="O1279" s="16" t="s">
        <v>68</v>
      </c>
      <c r="P1279" s="16" t="str">
        <f t="shared" si="6"/>
        <v/>
      </c>
      <c r="Q1279" s="41" t="e">
        <f t="shared" si="2424"/>
        <v>#N/A</v>
      </c>
      <c r="R1279" s="44"/>
      <c r="S1279" s="44"/>
      <c r="T1279" s="43"/>
      <c r="U1279" s="43" t="str">
        <f t="shared" si="8"/>
        <v>No</v>
      </c>
      <c r="V1279" s="25"/>
      <c r="W1279" s="25"/>
      <c r="X1279" s="25"/>
      <c r="Y1279" s="25"/>
      <c r="Z1279" s="25"/>
    </row>
    <row r="1280" spans="1:26" ht="15.75" customHeight="1" x14ac:dyDescent="0.25">
      <c r="A1280" s="25">
        <v>1278</v>
      </c>
      <c r="B1280" s="37" t="e">
        <f t="shared" ref="B1280:D1280" si="2577">VLOOKUP($A1280,[4]Cultura!$A$1:$O$276,B$1,0)</f>
        <v>#N/A</v>
      </c>
      <c r="C1280" s="38" t="e">
        <f t="shared" si="2577"/>
        <v>#N/A</v>
      </c>
      <c r="D1280" s="39" t="e">
        <f t="shared" si="2577"/>
        <v>#N/A</v>
      </c>
      <c r="E1280" s="16" t="e">
        <f t="shared" si="1"/>
        <v>#N/A</v>
      </c>
      <c r="F1280" s="16" t="e">
        <f t="shared" ref="F1280:K1280" si="2578">VLOOKUP($A1280,[4]Cultura!$A$1:$O$276,F$1,0)</f>
        <v>#N/A</v>
      </c>
      <c r="G1280" s="39" t="e">
        <f t="shared" si="2578"/>
        <v>#N/A</v>
      </c>
      <c r="H1280" s="16" t="e">
        <f t="shared" si="2578"/>
        <v>#N/A</v>
      </c>
      <c r="I1280" s="16" t="e">
        <f t="shared" si="2578"/>
        <v>#N/A</v>
      </c>
      <c r="J1280" s="40" t="e">
        <f t="shared" si="2578"/>
        <v>#N/A</v>
      </c>
      <c r="K1280" s="16" t="e">
        <f t="shared" si="2578"/>
        <v>#N/A</v>
      </c>
      <c r="L1280" s="40" t="e">
        <f t="shared" si="2421"/>
        <v>#N/A</v>
      </c>
      <c r="M1280" s="16" t="e">
        <f t="shared" si="2422"/>
        <v>#N/A</v>
      </c>
      <c r="N1280" s="16" t="e">
        <f t="shared" si="2423"/>
        <v>#N/A</v>
      </c>
      <c r="O1280" s="16" t="s">
        <v>68</v>
      </c>
      <c r="P1280" s="16" t="str">
        <f t="shared" si="6"/>
        <v/>
      </c>
      <c r="Q1280" s="41" t="e">
        <f t="shared" si="2424"/>
        <v>#N/A</v>
      </c>
      <c r="R1280" s="44"/>
      <c r="S1280" s="44"/>
      <c r="T1280" s="43"/>
      <c r="U1280" s="43" t="str">
        <f t="shared" si="8"/>
        <v>No</v>
      </c>
      <c r="V1280" s="25"/>
      <c r="W1280" s="25"/>
      <c r="X1280" s="25"/>
      <c r="Y1280" s="25"/>
      <c r="Z1280" s="25"/>
    </row>
    <row r="1281" spans="1:26" ht="15.75" customHeight="1" x14ac:dyDescent="0.25">
      <c r="A1281" s="25">
        <v>1279</v>
      </c>
      <c r="B1281" s="37" t="e">
        <f t="shared" ref="B1281:D1281" si="2579">VLOOKUP($A1281,[4]Cultura!$A$1:$O$276,B$1,0)</f>
        <v>#N/A</v>
      </c>
      <c r="C1281" s="38" t="e">
        <f t="shared" si="2579"/>
        <v>#N/A</v>
      </c>
      <c r="D1281" s="39" t="e">
        <f t="shared" si="2579"/>
        <v>#N/A</v>
      </c>
      <c r="E1281" s="16" t="e">
        <f t="shared" si="1"/>
        <v>#N/A</v>
      </c>
      <c r="F1281" s="16" t="e">
        <f t="shared" ref="F1281:K1281" si="2580">VLOOKUP($A1281,[4]Cultura!$A$1:$O$276,F$1,0)</f>
        <v>#N/A</v>
      </c>
      <c r="G1281" s="39" t="e">
        <f t="shared" si="2580"/>
        <v>#N/A</v>
      </c>
      <c r="H1281" s="16" t="e">
        <f t="shared" si="2580"/>
        <v>#N/A</v>
      </c>
      <c r="I1281" s="16" t="e">
        <f t="shared" si="2580"/>
        <v>#N/A</v>
      </c>
      <c r="J1281" s="40" t="e">
        <f t="shared" si="2580"/>
        <v>#N/A</v>
      </c>
      <c r="K1281" s="16" t="e">
        <f t="shared" si="2580"/>
        <v>#N/A</v>
      </c>
      <c r="L1281" s="40" t="e">
        <f t="shared" si="2421"/>
        <v>#N/A</v>
      </c>
      <c r="M1281" s="16" t="e">
        <f t="shared" si="2422"/>
        <v>#N/A</v>
      </c>
      <c r="N1281" s="16" t="e">
        <f t="shared" si="2423"/>
        <v>#N/A</v>
      </c>
      <c r="O1281" s="16" t="s">
        <v>68</v>
      </c>
      <c r="P1281" s="16" t="str">
        <f t="shared" si="6"/>
        <v/>
      </c>
      <c r="Q1281" s="41" t="e">
        <f t="shared" si="2424"/>
        <v>#N/A</v>
      </c>
      <c r="R1281" s="44"/>
      <c r="S1281" s="44"/>
      <c r="T1281" s="43"/>
      <c r="U1281" s="43" t="str">
        <f t="shared" si="8"/>
        <v>No</v>
      </c>
      <c r="V1281" s="25"/>
      <c r="W1281" s="25"/>
      <c r="X1281" s="25"/>
      <c r="Y1281" s="25"/>
      <c r="Z1281" s="25"/>
    </row>
    <row r="1282" spans="1:26" ht="15.75" customHeight="1" x14ac:dyDescent="0.25">
      <c r="A1282" s="25">
        <v>1280</v>
      </c>
      <c r="B1282" s="37" t="e">
        <f t="shared" ref="B1282:D1282" si="2581">VLOOKUP($A1282,[4]Cultura!$A$1:$O$276,B$1,0)</f>
        <v>#N/A</v>
      </c>
      <c r="C1282" s="38" t="e">
        <f t="shared" si="2581"/>
        <v>#N/A</v>
      </c>
      <c r="D1282" s="39" t="e">
        <f t="shared" si="2581"/>
        <v>#N/A</v>
      </c>
      <c r="E1282" s="16" t="e">
        <f t="shared" si="1"/>
        <v>#N/A</v>
      </c>
      <c r="F1282" s="16" t="e">
        <f t="shared" ref="F1282:K1282" si="2582">VLOOKUP($A1282,[4]Cultura!$A$1:$O$276,F$1,0)</f>
        <v>#N/A</v>
      </c>
      <c r="G1282" s="39" t="e">
        <f t="shared" si="2582"/>
        <v>#N/A</v>
      </c>
      <c r="H1282" s="16" t="e">
        <f t="shared" si="2582"/>
        <v>#N/A</v>
      </c>
      <c r="I1282" s="16" t="e">
        <f t="shared" si="2582"/>
        <v>#N/A</v>
      </c>
      <c r="J1282" s="40" t="e">
        <f t="shared" si="2582"/>
        <v>#N/A</v>
      </c>
      <c r="K1282" s="16" t="e">
        <f t="shared" si="2582"/>
        <v>#N/A</v>
      </c>
      <c r="L1282" s="40" t="e">
        <f t="shared" si="2421"/>
        <v>#N/A</v>
      </c>
      <c r="M1282" s="16" t="e">
        <f t="shared" si="2422"/>
        <v>#N/A</v>
      </c>
      <c r="N1282" s="16" t="e">
        <f t="shared" si="2423"/>
        <v>#N/A</v>
      </c>
      <c r="O1282" s="16" t="s">
        <v>68</v>
      </c>
      <c r="P1282" s="16" t="str">
        <f t="shared" si="6"/>
        <v/>
      </c>
      <c r="Q1282" s="41" t="e">
        <f t="shared" si="2424"/>
        <v>#N/A</v>
      </c>
      <c r="R1282" s="44"/>
      <c r="S1282" s="44"/>
      <c r="T1282" s="43"/>
      <c r="U1282" s="43" t="str">
        <f t="shared" si="8"/>
        <v>No</v>
      </c>
      <c r="V1282" s="25"/>
      <c r="W1282" s="25"/>
      <c r="X1282" s="25"/>
      <c r="Y1282" s="25"/>
      <c r="Z1282" s="25"/>
    </row>
    <row r="1283" spans="1:26" ht="15.75" customHeight="1" x14ac:dyDescent="0.25">
      <c r="A1283" s="25">
        <v>1281</v>
      </c>
      <c r="B1283" s="37" t="e">
        <f t="shared" ref="B1283:D1283" si="2583">VLOOKUP($A1283,[4]Cultura!$A$1:$O$276,B$1,0)</f>
        <v>#N/A</v>
      </c>
      <c r="C1283" s="38" t="e">
        <f t="shared" si="2583"/>
        <v>#N/A</v>
      </c>
      <c r="D1283" s="39" t="e">
        <f t="shared" si="2583"/>
        <v>#N/A</v>
      </c>
      <c r="E1283" s="16" t="e">
        <f t="shared" si="1"/>
        <v>#N/A</v>
      </c>
      <c r="F1283" s="16" t="e">
        <f t="shared" ref="F1283:K1283" si="2584">VLOOKUP($A1283,[4]Cultura!$A$1:$O$276,F$1,0)</f>
        <v>#N/A</v>
      </c>
      <c r="G1283" s="39" t="e">
        <f t="shared" si="2584"/>
        <v>#N/A</v>
      </c>
      <c r="H1283" s="16" t="e">
        <f t="shared" si="2584"/>
        <v>#N/A</v>
      </c>
      <c r="I1283" s="16" t="e">
        <f t="shared" si="2584"/>
        <v>#N/A</v>
      </c>
      <c r="J1283" s="40" t="e">
        <f t="shared" si="2584"/>
        <v>#N/A</v>
      </c>
      <c r="K1283" s="16" t="e">
        <f t="shared" si="2584"/>
        <v>#N/A</v>
      </c>
      <c r="L1283" s="40" t="e">
        <f t="shared" si="2421"/>
        <v>#N/A</v>
      </c>
      <c r="M1283" s="16" t="e">
        <f t="shared" si="2422"/>
        <v>#N/A</v>
      </c>
      <c r="N1283" s="16" t="e">
        <f t="shared" si="2423"/>
        <v>#N/A</v>
      </c>
      <c r="O1283" s="16" t="s">
        <v>68</v>
      </c>
      <c r="P1283" s="16" t="str">
        <f t="shared" si="6"/>
        <v/>
      </c>
      <c r="Q1283" s="41" t="e">
        <f t="shared" si="2424"/>
        <v>#N/A</v>
      </c>
      <c r="R1283" s="44"/>
      <c r="S1283" s="44"/>
      <c r="T1283" s="43"/>
      <c r="U1283" s="43" t="str">
        <f t="shared" si="8"/>
        <v>No</v>
      </c>
      <c r="V1283" s="25"/>
      <c r="W1283" s="25"/>
      <c r="X1283" s="25"/>
      <c r="Y1283" s="25"/>
      <c r="Z1283" s="25"/>
    </row>
    <row r="1284" spans="1:26" ht="15.75" customHeight="1" x14ac:dyDescent="0.25">
      <c r="A1284" s="25">
        <v>1282</v>
      </c>
      <c r="B1284" s="37" t="e">
        <f t="shared" ref="B1284:D1284" si="2585">VLOOKUP($A1284,[4]Cultura!$A$1:$O$276,B$1,0)</f>
        <v>#N/A</v>
      </c>
      <c r="C1284" s="38" t="e">
        <f t="shared" si="2585"/>
        <v>#N/A</v>
      </c>
      <c r="D1284" s="39" t="e">
        <f t="shared" si="2585"/>
        <v>#N/A</v>
      </c>
      <c r="E1284" s="16" t="e">
        <f t="shared" si="1"/>
        <v>#N/A</v>
      </c>
      <c r="F1284" s="16" t="e">
        <f t="shared" ref="F1284:K1284" si="2586">VLOOKUP($A1284,[4]Cultura!$A$1:$O$276,F$1,0)</f>
        <v>#N/A</v>
      </c>
      <c r="G1284" s="39" t="e">
        <f t="shared" si="2586"/>
        <v>#N/A</v>
      </c>
      <c r="H1284" s="16" t="e">
        <f t="shared" si="2586"/>
        <v>#N/A</v>
      </c>
      <c r="I1284" s="16" t="e">
        <f t="shared" si="2586"/>
        <v>#N/A</v>
      </c>
      <c r="J1284" s="40" t="e">
        <f t="shared" si="2586"/>
        <v>#N/A</v>
      </c>
      <c r="K1284" s="16" t="e">
        <f t="shared" si="2586"/>
        <v>#N/A</v>
      </c>
      <c r="L1284" s="40" t="e">
        <f t="shared" si="2421"/>
        <v>#N/A</v>
      </c>
      <c r="M1284" s="16" t="e">
        <f t="shared" si="2422"/>
        <v>#N/A</v>
      </c>
      <c r="N1284" s="16" t="e">
        <f t="shared" si="2423"/>
        <v>#N/A</v>
      </c>
      <c r="O1284" s="16" t="s">
        <v>68</v>
      </c>
      <c r="P1284" s="16" t="str">
        <f t="shared" si="6"/>
        <v/>
      </c>
      <c r="Q1284" s="41" t="e">
        <f t="shared" si="2424"/>
        <v>#N/A</v>
      </c>
      <c r="R1284" s="44"/>
      <c r="S1284" s="44"/>
      <c r="T1284" s="43"/>
      <c r="U1284" s="43" t="str">
        <f t="shared" si="8"/>
        <v>No</v>
      </c>
      <c r="V1284" s="25"/>
      <c r="W1284" s="25"/>
      <c r="X1284" s="25"/>
      <c r="Y1284" s="25"/>
      <c r="Z1284" s="25"/>
    </row>
    <row r="1285" spans="1:26" ht="15.75" customHeight="1" x14ac:dyDescent="0.25">
      <c r="A1285" s="25">
        <v>1283</v>
      </c>
      <c r="B1285" s="37" t="e">
        <f t="shared" ref="B1285:D1285" si="2587">VLOOKUP($A1285,[4]Cultura!$A$1:$O$276,B$1,0)</f>
        <v>#N/A</v>
      </c>
      <c r="C1285" s="38" t="e">
        <f t="shared" si="2587"/>
        <v>#N/A</v>
      </c>
      <c r="D1285" s="39" t="e">
        <f t="shared" si="2587"/>
        <v>#N/A</v>
      </c>
      <c r="E1285" s="16" t="e">
        <f t="shared" si="1"/>
        <v>#N/A</v>
      </c>
      <c r="F1285" s="16" t="e">
        <f t="shared" ref="F1285:K1285" si="2588">VLOOKUP($A1285,[4]Cultura!$A$1:$O$276,F$1,0)</f>
        <v>#N/A</v>
      </c>
      <c r="G1285" s="39" t="e">
        <f t="shared" si="2588"/>
        <v>#N/A</v>
      </c>
      <c r="H1285" s="16" t="e">
        <f t="shared" si="2588"/>
        <v>#N/A</v>
      </c>
      <c r="I1285" s="16" t="e">
        <f t="shared" si="2588"/>
        <v>#N/A</v>
      </c>
      <c r="J1285" s="40" t="e">
        <f t="shared" si="2588"/>
        <v>#N/A</v>
      </c>
      <c r="K1285" s="16" t="e">
        <f t="shared" si="2588"/>
        <v>#N/A</v>
      </c>
      <c r="L1285" s="40" t="e">
        <f t="shared" si="2421"/>
        <v>#N/A</v>
      </c>
      <c r="M1285" s="16" t="e">
        <f t="shared" si="2422"/>
        <v>#N/A</v>
      </c>
      <c r="N1285" s="16" t="e">
        <f t="shared" si="2423"/>
        <v>#N/A</v>
      </c>
      <c r="O1285" s="16" t="s">
        <v>68</v>
      </c>
      <c r="P1285" s="16" t="str">
        <f t="shared" si="6"/>
        <v/>
      </c>
      <c r="Q1285" s="41" t="e">
        <f t="shared" si="2424"/>
        <v>#N/A</v>
      </c>
      <c r="R1285" s="44"/>
      <c r="S1285" s="44"/>
      <c r="T1285" s="43"/>
      <c r="U1285" s="43" t="str">
        <f t="shared" si="8"/>
        <v>No</v>
      </c>
      <c r="V1285" s="25"/>
      <c r="W1285" s="25"/>
      <c r="X1285" s="25"/>
      <c r="Y1285" s="25"/>
      <c r="Z1285" s="25"/>
    </row>
    <row r="1286" spans="1:26" ht="15.75" customHeight="1" x14ac:dyDescent="0.25">
      <c r="A1286" s="25">
        <v>1284</v>
      </c>
      <c r="B1286" s="37" t="e">
        <f t="shared" ref="B1286:D1286" si="2589">VLOOKUP($A1286,[4]Cultura!$A$1:$O$276,B$1,0)</f>
        <v>#N/A</v>
      </c>
      <c r="C1286" s="38" t="e">
        <f t="shared" si="2589"/>
        <v>#N/A</v>
      </c>
      <c r="D1286" s="39" t="e">
        <f t="shared" si="2589"/>
        <v>#N/A</v>
      </c>
      <c r="E1286" s="16" t="e">
        <f t="shared" si="1"/>
        <v>#N/A</v>
      </c>
      <c r="F1286" s="16" t="e">
        <f t="shared" ref="F1286:K1286" si="2590">VLOOKUP($A1286,[4]Cultura!$A$1:$O$276,F$1,0)</f>
        <v>#N/A</v>
      </c>
      <c r="G1286" s="39" t="e">
        <f t="shared" si="2590"/>
        <v>#N/A</v>
      </c>
      <c r="H1286" s="16" t="e">
        <f t="shared" si="2590"/>
        <v>#N/A</v>
      </c>
      <c r="I1286" s="16" t="e">
        <f t="shared" si="2590"/>
        <v>#N/A</v>
      </c>
      <c r="J1286" s="40" t="e">
        <f t="shared" si="2590"/>
        <v>#N/A</v>
      </c>
      <c r="K1286" s="16" t="e">
        <f t="shared" si="2590"/>
        <v>#N/A</v>
      </c>
      <c r="L1286" s="40" t="e">
        <f t="shared" si="2421"/>
        <v>#N/A</v>
      </c>
      <c r="M1286" s="16" t="e">
        <f t="shared" si="2422"/>
        <v>#N/A</v>
      </c>
      <c r="N1286" s="16" t="e">
        <f t="shared" si="2423"/>
        <v>#N/A</v>
      </c>
      <c r="O1286" s="16" t="s">
        <v>68</v>
      </c>
      <c r="P1286" s="16" t="str">
        <f t="shared" si="6"/>
        <v/>
      </c>
      <c r="Q1286" s="41" t="e">
        <f t="shared" si="2424"/>
        <v>#N/A</v>
      </c>
      <c r="R1286" s="44"/>
      <c r="S1286" s="44"/>
      <c r="T1286" s="43"/>
      <c r="U1286" s="43" t="str">
        <f t="shared" si="8"/>
        <v>No</v>
      </c>
      <c r="V1286" s="25"/>
      <c r="W1286" s="25"/>
      <c r="X1286" s="25"/>
      <c r="Y1286" s="25"/>
      <c r="Z1286" s="25"/>
    </row>
    <row r="1287" spans="1:26" ht="15.75" customHeight="1" x14ac:dyDescent="0.25">
      <c r="A1287" s="25">
        <v>1285</v>
      </c>
      <c r="B1287" s="37" t="e">
        <f t="shared" ref="B1287:D1287" si="2591">VLOOKUP($A1287,[4]Cultura!$A$1:$O$276,B$1,0)</f>
        <v>#N/A</v>
      </c>
      <c r="C1287" s="38" t="e">
        <f t="shared" si="2591"/>
        <v>#N/A</v>
      </c>
      <c r="D1287" s="39" t="e">
        <f t="shared" si="2591"/>
        <v>#N/A</v>
      </c>
      <c r="E1287" s="16" t="e">
        <f t="shared" si="1"/>
        <v>#N/A</v>
      </c>
      <c r="F1287" s="16" t="e">
        <f t="shared" ref="F1287:K1287" si="2592">VLOOKUP($A1287,[4]Cultura!$A$1:$O$276,F$1,0)</f>
        <v>#N/A</v>
      </c>
      <c r="G1287" s="39" t="e">
        <f t="shared" si="2592"/>
        <v>#N/A</v>
      </c>
      <c r="H1287" s="16" t="e">
        <f t="shared" si="2592"/>
        <v>#N/A</v>
      </c>
      <c r="I1287" s="16" t="e">
        <f t="shared" si="2592"/>
        <v>#N/A</v>
      </c>
      <c r="J1287" s="40" t="e">
        <f t="shared" si="2592"/>
        <v>#N/A</v>
      </c>
      <c r="K1287" s="16" t="e">
        <f t="shared" si="2592"/>
        <v>#N/A</v>
      </c>
      <c r="L1287" s="40" t="e">
        <f t="shared" si="2421"/>
        <v>#N/A</v>
      </c>
      <c r="M1287" s="16" t="e">
        <f t="shared" si="2422"/>
        <v>#N/A</v>
      </c>
      <c r="N1287" s="16" t="e">
        <f t="shared" si="2423"/>
        <v>#N/A</v>
      </c>
      <c r="O1287" s="16" t="s">
        <v>68</v>
      </c>
      <c r="P1287" s="16" t="str">
        <f t="shared" si="6"/>
        <v/>
      </c>
      <c r="Q1287" s="41" t="e">
        <f t="shared" si="2424"/>
        <v>#N/A</v>
      </c>
      <c r="R1287" s="44"/>
      <c r="S1287" s="44"/>
      <c r="T1287" s="43"/>
      <c r="U1287" s="43" t="str">
        <f t="shared" si="8"/>
        <v>No</v>
      </c>
      <c r="V1287" s="25"/>
      <c r="W1287" s="25"/>
      <c r="X1287" s="25"/>
      <c r="Y1287" s="25"/>
      <c r="Z1287" s="25"/>
    </row>
    <row r="1288" spans="1:26" ht="15.75" customHeight="1" x14ac:dyDescent="0.25">
      <c r="A1288" s="25">
        <v>1286</v>
      </c>
      <c r="B1288" s="37" t="e">
        <f t="shared" ref="B1288:D1288" si="2593">VLOOKUP($A1288,[4]Cultura!$A$1:$O$276,B$1,0)</f>
        <v>#N/A</v>
      </c>
      <c r="C1288" s="38" t="e">
        <f t="shared" si="2593"/>
        <v>#N/A</v>
      </c>
      <c r="D1288" s="39" t="e">
        <f t="shared" si="2593"/>
        <v>#N/A</v>
      </c>
      <c r="E1288" s="16" t="e">
        <f t="shared" si="1"/>
        <v>#N/A</v>
      </c>
      <c r="F1288" s="16" t="e">
        <f t="shared" ref="F1288:K1288" si="2594">VLOOKUP($A1288,[4]Cultura!$A$1:$O$276,F$1,0)</f>
        <v>#N/A</v>
      </c>
      <c r="G1288" s="39" t="e">
        <f t="shared" si="2594"/>
        <v>#N/A</v>
      </c>
      <c r="H1288" s="16" t="e">
        <f t="shared" si="2594"/>
        <v>#N/A</v>
      </c>
      <c r="I1288" s="16" t="e">
        <f t="shared" si="2594"/>
        <v>#N/A</v>
      </c>
      <c r="J1288" s="40" t="e">
        <f t="shared" si="2594"/>
        <v>#N/A</v>
      </c>
      <c r="K1288" s="16" t="e">
        <f t="shared" si="2594"/>
        <v>#N/A</v>
      </c>
      <c r="L1288" s="40" t="e">
        <f t="shared" si="2421"/>
        <v>#N/A</v>
      </c>
      <c r="M1288" s="16" t="e">
        <f t="shared" si="2422"/>
        <v>#N/A</v>
      </c>
      <c r="N1288" s="16" t="e">
        <f t="shared" si="2423"/>
        <v>#N/A</v>
      </c>
      <c r="O1288" s="16" t="s">
        <v>68</v>
      </c>
      <c r="P1288" s="16" t="str">
        <f t="shared" si="6"/>
        <v/>
      </c>
      <c r="Q1288" s="41" t="e">
        <f t="shared" si="2424"/>
        <v>#N/A</v>
      </c>
      <c r="R1288" s="44"/>
      <c r="S1288" s="44"/>
      <c r="T1288" s="43"/>
      <c r="U1288" s="43" t="str">
        <f t="shared" si="8"/>
        <v>No</v>
      </c>
      <c r="V1288" s="25"/>
      <c r="W1288" s="25"/>
      <c r="X1288" s="25"/>
      <c r="Y1288" s="25"/>
      <c r="Z1288" s="25"/>
    </row>
    <row r="1289" spans="1:26" ht="15.75" customHeight="1" x14ac:dyDescent="0.25">
      <c r="A1289" s="25">
        <v>1287</v>
      </c>
      <c r="B1289" s="37" t="e">
        <f t="shared" ref="B1289:D1289" si="2595">VLOOKUP($A1289,[4]Cultura!$A$1:$O$276,B$1,0)</f>
        <v>#N/A</v>
      </c>
      <c r="C1289" s="38" t="e">
        <f t="shared" si="2595"/>
        <v>#N/A</v>
      </c>
      <c r="D1289" s="39" t="e">
        <f t="shared" si="2595"/>
        <v>#N/A</v>
      </c>
      <c r="E1289" s="16" t="e">
        <f t="shared" si="1"/>
        <v>#N/A</v>
      </c>
      <c r="F1289" s="16" t="e">
        <f t="shared" ref="F1289:K1289" si="2596">VLOOKUP($A1289,[4]Cultura!$A$1:$O$276,F$1,0)</f>
        <v>#N/A</v>
      </c>
      <c r="G1289" s="39" t="e">
        <f t="shared" si="2596"/>
        <v>#N/A</v>
      </c>
      <c r="H1289" s="16" t="e">
        <f t="shared" si="2596"/>
        <v>#N/A</v>
      </c>
      <c r="I1289" s="16" t="e">
        <f t="shared" si="2596"/>
        <v>#N/A</v>
      </c>
      <c r="J1289" s="40" t="e">
        <f t="shared" si="2596"/>
        <v>#N/A</v>
      </c>
      <c r="K1289" s="16" t="e">
        <f t="shared" si="2596"/>
        <v>#N/A</v>
      </c>
      <c r="L1289" s="40" t="e">
        <f t="shared" si="2421"/>
        <v>#N/A</v>
      </c>
      <c r="M1289" s="16" t="e">
        <f t="shared" si="2422"/>
        <v>#N/A</v>
      </c>
      <c r="N1289" s="16" t="e">
        <f t="shared" si="2423"/>
        <v>#N/A</v>
      </c>
      <c r="O1289" s="16" t="s">
        <v>68</v>
      </c>
      <c r="P1289" s="16" t="str">
        <f t="shared" si="6"/>
        <v/>
      </c>
      <c r="Q1289" s="41" t="e">
        <f t="shared" si="2424"/>
        <v>#N/A</v>
      </c>
      <c r="R1289" s="44"/>
      <c r="S1289" s="44"/>
      <c r="T1289" s="43"/>
      <c r="U1289" s="43" t="str">
        <f t="shared" si="8"/>
        <v>No</v>
      </c>
      <c r="V1289" s="25"/>
      <c r="W1289" s="25"/>
      <c r="X1289" s="25"/>
      <c r="Y1289" s="25"/>
      <c r="Z1289" s="25"/>
    </row>
    <row r="1290" spans="1:26" ht="15.75" customHeight="1" x14ac:dyDescent="0.25">
      <c r="A1290" s="25">
        <v>1288</v>
      </c>
      <c r="B1290" s="37" t="e">
        <f t="shared" ref="B1290:D1290" si="2597">VLOOKUP($A1290,[4]Cultura!$A$1:$O$276,B$1,0)</f>
        <v>#N/A</v>
      </c>
      <c r="C1290" s="38" t="e">
        <f t="shared" si="2597"/>
        <v>#N/A</v>
      </c>
      <c r="D1290" s="39" t="e">
        <f t="shared" si="2597"/>
        <v>#N/A</v>
      </c>
      <c r="E1290" s="16" t="e">
        <f t="shared" si="1"/>
        <v>#N/A</v>
      </c>
      <c r="F1290" s="16" t="e">
        <f t="shared" ref="F1290:K1290" si="2598">VLOOKUP($A1290,[4]Cultura!$A$1:$O$276,F$1,0)</f>
        <v>#N/A</v>
      </c>
      <c r="G1290" s="39" t="e">
        <f t="shared" si="2598"/>
        <v>#N/A</v>
      </c>
      <c r="H1290" s="16" t="e">
        <f t="shared" si="2598"/>
        <v>#N/A</v>
      </c>
      <c r="I1290" s="16" t="e">
        <f t="shared" si="2598"/>
        <v>#N/A</v>
      </c>
      <c r="J1290" s="40" t="e">
        <f t="shared" si="2598"/>
        <v>#N/A</v>
      </c>
      <c r="K1290" s="16" t="e">
        <f t="shared" si="2598"/>
        <v>#N/A</v>
      </c>
      <c r="L1290" s="40" t="e">
        <f t="shared" si="2421"/>
        <v>#N/A</v>
      </c>
      <c r="M1290" s="16" t="e">
        <f t="shared" si="2422"/>
        <v>#N/A</v>
      </c>
      <c r="N1290" s="16" t="e">
        <f t="shared" si="2423"/>
        <v>#N/A</v>
      </c>
      <c r="O1290" s="16" t="s">
        <v>68</v>
      </c>
      <c r="P1290" s="16" t="str">
        <f t="shared" si="6"/>
        <v/>
      </c>
      <c r="Q1290" s="41" t="e">
        <f t="shared" si="2424"/>
        <v>#N/A</v>
      </c>
      <c r="R1290" s="44"/>
      <c r="S1290" s="44"/>
      <c r="T1290" s="43"/>
      <c r="U1290" s="43" t="str">
        <f t="shared" si="8"/>
        <v>No</v>
      </c>
      <c r="V1290" s="25"/>
      <c r="W1290" s="25"/>
      <c r="X1290" s="25"/>
      <c r="Y1290" s="25"/>
      <c r="Z1290" s="25"/>
    </row>
    <row r="1291" spans="1:26" ht="15.75" customHeight="1" x14ac:dyDescent="0.25">
      <c r="A1291" s="25">
        <v>1289</v>
      </c>
      <c r="B1291" s="37" t="e">
        <f t="shared" ref="B1291:D1291" si="2599">VLOOKUP($A1291,[4]Cultura!$A$1:$O$276,B$1,0)</f>
        <v>#N/A</v>
      </c>
      <c r="C1291" s="38" t="e">
        <f t="shared" si="2599"/>
        <v>#N/A</v>
      </c>
      <c r="D1291" s="39" t="e">
        <f t="shared" si="2599"/>
        <v>#N/A</v>
      </c>
      <c r="E1291" s="16" t="e">
        <f t="shared" si="1"/>
        <v>#N/A</v>
      </c>
      <c r="F1291" s="16" t="e">
        <f t="shared" ref="F1291:K1291" si="2600">VLOOKUP($A1291,[4]Cultura!$A$1:$O$276,F$1,0)</f>
        <v>#N/A</v>
      </c>
      <c r="G1291" s="39" t="e">
        <f t="shared" si="2600"/>
        <v>#N/A</v>
      </c>
      <c r="H1291" s="16" t="e">
        <f t="shared" si="2600"/>
        <v>#N/A</v>
      </c>
      <c r="I1291" s="16" t="e">
        <f t="shared" si="2600"/>
        <v>#N/A</v>
      </c>
      <c r="J1291" s="40" t="e">
        <f t="shared" si="2600"/>
        <v>#N/A</v>
      </c>
      <c r="K1291" s="16" t="e">
        <f t="shared" si="2600"/>
        <v>#N/A</v>
      </c>
      <c r="L1291" s="40" t="e">
        <f t="shared" si="2421"/>
        <v>#N/A</v>
      </c>
      <c r="M1291" s="16" t="e">
        <f t="shared" si="2422"/>
        <v>#N/A</v>
      </c>
      <c r="N1291" s="16" t="e">
        <f t="shared" si="2423"/>
        <v>#N/A</v>
      </c>
      <c r="O1291" s="16" t="s">
        <v>68</v>
      </c>
      <c r="P1291" s="16" t="str">
        <f t="shared" si="6"/>
        <v/>
      </c>
      <c r="Q1291" s="41" t="e">
        <f t="shared" si="2424"/>
        <v>#N/A</v>
      </c>
      <c r="R1291" s="44"/>
      <c r="S1291" s="44"/>
      <c r="T1291" s="43"/>
      <c r="U1291" s="43" t="str">
        <f t="shared" si="8"/>
        <v>No</v>
      </c>
      <c r="V1291" s="25"/>
      <c r="W1291" s="25"/>
      <c r="X1291" s="25"/>
      <c r="Y1291" s="25"/>
      <c r="Z1291" s="25"/>
    </row>
    <row r="1292" spans="1:26" ht="15.75" customHeight="1" x14ac:dyDescent="0.25">
      <c r="A1292" s="25">
        <v>1290</v>
      </c>
      <c r="B1292" s="37" t="e">
        <f t="shared" ref="B1292:D1292" si="2601">VLOOKUP($A1292,[4]Cultura!$A$1:$O$276,B$1,0)</f>
        <v>#N/A</v>
      </c>
      <c r="C1292" s="38" t="e">
        <f t="shared" si="2601"/>
        <v>#N/A</v>
      </c>
      <c r="D1292" s="39" t="e">
        <f t="shared" si="2601"/>
        <v>#N/A</v>
      </c>
      <c r="E1292" s="16" t="e">
        <f t="shared" si="1"/>
        <v>#N/A</v>
      </c>
      <c r="F1292" s="16" t="e">
        <f t="shared" ref="F1292:K1292" si="2602">VLOOKUP($A1292,[4]Cultura!$A$1:$O$276,F$1,0)</f>
        <v>#N/A</v>
      </c>
      <c r="G1292" s="39" t="e">
        <f t="shared" si="2602"/>
        <v>#N/A</v>
      </c>
      <c r="H1292" s="16" t="e">
        <f t="shared" si="2602"/>
        <v>#N/A</v>
      </c>
      <c r="I1292" s="16" t="e">
        <f t="shared" si="2602"/>
        <v>#N/A</v>
      </c>
      <c r="J1292" s="40" t="e">
        <f t="shared" si="2602"/>
        <v>#N/A</v>
      </c>
      <c r="K1292" s="16" t="e">
        <f t="shared" si="2602"/>
        <v>#N/A</v>
      </c>
      <c r="L1292" s="40" t="e">
        <f t="shared" si="2421"/>
        <v>#N/A</v>
      </c>
      <c r="M1292" s="16" t="e">
        <f t="shared" si="2422"/>
        <v>#N/A</v>
      </c>
      <c r="N1292" s="16" t="e">
        <f t="shared" si="2423"/>
        <v>#N/A</v>
      </c>
      <c r="O1292" s="16" t="s">
        <v>68</v>
      </c>
      <c r="P1292" s="16" t="str">
        <f t="shared" si="6"/>
        <v/>
      </c>
      <c r="Q1292" s="41" t="e">
        <f t="shared" si="2424"/>
        <v>#N/A</v>
      </c>
      <c r="R1292" s="44"/>
      <c r="S1292" s="44"/>
      <c r="T1292" s="43"/>
      <c r="U1292" s="43" t="str">
        <f t="shared" si="8"/>
        <v>No</v>
      </c>
      <c r="V1292" s="25"/>
      <c r="W1292" s="25"/>
      <c r="X1292" s="25"/>
      <c r="Y1292" s="25"/>
      <c r="Z1292" s="25"/>
    </row>
    <row r="1293" spans="1:26" ht="15.75" customHeight="1" x14ac:dyDescent="0.25">
      <c r="A1293" s="25">
        <v>1291</v>
      </c>
      <c r="B1293" s="37" t="e">
        <f t="shared" ref="B1293:D1293" si="2603">VLOOKUP($A1293,[4]Cultura!$A$1:$O$276,B$1,0)</f>
        <v>#N/A</v>
      </c>
      <c r="C1293" s="38" t="e">
        <f t="shared" si="2603"/>
        <v>#N/A</v>
      </c>
      <c r="D1293" s="39" t="e">
        <f t="shared" si="2603"/>
        <v>#N/A</v>
      </c>
      <c r="E1293" s="16" t="e">
        <f t="shared" si="1"/>
        <v>#N/A</v>
      </c>
      <c r="F1293" s="16" t="e">
        <f t="shared" ref="F1293:K1293" si="2604">VLOOKUP($A1293,[4]Cultura!$A$1:$O$276,F$1,0)</f>
        <v>#N/A</v>
      </c>
      <c r="G1293" s="39" t="e">
        <f t="shared" si="2604"/>
        <v>#N/A</v>
      </c>
      <c r="H1293" s="16" t="e">
        <f t="shared" si="2604"/>
        <v>#N/A</v>
      </c>
      <c r="I1293" s="16" t="e">
        <f t="shared" si="2604"/>
        <v>#N/A</v>
      </c>
      <c r="J1293" s="40" t="e">
        <f t="shared" si="2604"/>
        <v>#N/A</v>
      </c>
      <c r="K1293" s="16" t="e">
        <f t="shared" si="2604"/>
        <v>#N/A</v>
      </c>
      <c r="L1293" s="40" t="e">
        <f t="shared" si="2421"/>
        <v>#N/A</v>
      </c>
      <c r="M1293" s="16" t="e">
        <f t="shared" si="2422"/>
        <v>#N/A</v>
      </c>
      <c r="N1293" s="16" t="e">
        <f t="shared" si="2423"/>
        <v>#N/A</v>
      </c>
      <c r="O1293" s="16" t="s">
        <v>68</v>
      </c>
      <c r="P1293" s="16" t="str">
        <f t="shared" si="6"/>
        <v/>
      </c>
      <c r="Q1293" s="41" t="e">
        <f t="shared" si="2424"/>
        <v>#N/A</v>
      </c>
      <c r="R1293" s="44"/>
      <c r="S1293" s="44"/>
      <c r="T1293" s="43"/>
      <c r="U1293" s="43" t="str">
        <f t="shared" si="8"/>
        <v>No</v>
      </c>
      <c r="V1293" s="25"/>
      <c r="W1293" s="25"/>
      <c r="X1293" s="25"/>
      <c r="Y1293" s="25"/>
      <c r="Z1293" s="25"/>
    </row>
    <row r="1294" spans="1:26" ht="15.75" customHeight="1" x14ac:dyDescent="0.25">
      <c r="A1294" s="25">
        <v>1292</v>
      </c>
      <c r="B1294" s="37" t="e">
        <f t="shared" ref="B1294:D1294" si="2605">VLOOKUP($A1294,[4]Cultura!$A$1:$O$276,B$1,0)</f>
        <v>#N/A</v>
      </c>
      <c r="C1294" s="38" t="e">
        <f t="shared" si="2605"/>
        <v>#N/A</v>
      </c>
      <c r="D1294" s="39" t="e">
        <f t="shared" si="2605"/>
        <v>#N/A</v>
      </c>
      <c r="E1294" s="16" t="e">
        <f t="shared" si="1"/>
        <v>#N/A</v>
      </c>
      <c r="F1294" s="16" t="e">
        <f t="shared" ref="F1294:K1294" si="2606">VLOOKUP($A1294,[4]Cultura!$A$1:$O$276,F$1,0)</f>
        <v>#N/A</v>
      </c>
      <c r="G1294" s="39" t="e">
        <f t="shared" si="2606"/>
        <v>#N/A</v>
      </c>
      <c r="H1294" s="16" t="e">
        <f t="shared" si="2606"/>
        <v>#N/A</v>
      </c>
      <c r="I1294" s="16" t="e">
        <f t="shared" si="2606"/>
        <v>#N/A</v>
      </c>
      <c r="J1294" s="40" t="e">
        <f t="shared" si="2606"/>
        <v>#N/A</v>
      </c>
      <c r="K1294" s="16" t="e">
        <f t="shared" si="2606"/>
        <v>#N/A</v>
      </c>
      <c r="L1294" s="40" t="e">
        <f t="shared" si="2421"/>
        <v>#N/A</v>
      </c>
      <c r="M1294" s="16" t="e">
        <f t="shared" si="2422"/>
        <v>#N/A</v>
      </c>
      <c r="N1294" s="16" t="e">
        <f t="shared" si="2423"/>
        <v>#N/A</v>
      </c>
      <c r="O1294" s="16" t="s">
        <v>68</v>
      </c>
      <c r="P1294" s="16" t="str">
        <f t="shared" si="6"/>
        <v/>
      </c>
      <c r="Q1294" s="41" t="e">
        <f t="shared" si="2424"/>
        <v>#N/A</v>
      </c>
      <c r="R1294" s="44"/>
      <c r="S1294" s="44"/>
      <c r="T1294" s="43"/>
      <c r="U1294" s="43" t="str">
        <f t="shared" si="8"/>
        <v>No</v>
      </c>
      <c r="V1294" s="25"/>
      <c r="W1294" s="25"/>
      <c r="X1294" s="25"/>
      <c r="Y1294" s="25"/>
      <c r="Z1294" s="25"/>
    </row>
    <row r="1295" spans="1:26" ht="15.75" customHeight="1" x14ac:dyDescent="0.25">
      <c r="A1295" s="25">
        <v>1293</v>
      </c>
      <c r="B1295" s="37" t="e">
        <f t="shared" ref="B1295:D1295" si="2607">VLOOKUP($A1295,[4]Cultura!$A$1:$O$276,B$1,0)</f>
        <v>#N/A</v>
      </c>
      <c r="C1295" s="38" t="e">
        <f t="shared" si="2607"/>
        <v>#N/A</v>
      </c>
      <c r="D1295" s="39" t="e">
        <f t="shared" si="2607"/>
        <v>#N/A</v>
      </c>
      <c r="E1295" s="16" t="e">
        <f t="shared" si="1"/>
        <v>#N/A</v>
      </c>
      <c r="F1295" s="16" t="e">
        <f t="shared" ref="F1295:K1295" si="2608">VLOOKUP($A1295,[4]Cultura!$A$1:$O$276,F$1,0)</f>
        <v>#N/A</v>
      </c>
      <c r="G1295" s="39" t="e">
        <f t="shared" si="2608"/>
        <v>#N/A</v>
      </c>
      <c r="H1295" s="16" t="e">
        <f t="shared" si="2608"/>
        <v>#N/A</v>
      </c>
      <c r="I1295" s="16" t="e">
        <f t="shared" si="2608"/>
        <v>#N/A</v>
      </c>
      <c r="J1295" s="40" t="e">
        <f t="shared" si="2608"/>
        <v>#N/A</v>
      </c>
      <c r="K1295" s="16" t="e">
        <f t="shared" si="2608"/>
        <v>#N/A</v>
      </c>
      <c r="L1295" s="40" t="e">
        <f t="shared" si="2421"/>
        <v>#N/A</v>
      </c>
      <c r="M1295" s="16" t="e">
        <f t="shared" si="2422"/>
        <v>#N/A</v>
      </c>
      <c r="N1295" s="16" t="e">
        <f t="shared" si="2423"/>
        <v>#N/A</v>
      </c>
      <c r="O1295" s="16" t="s">
        <v>68</v>
      </c>
      <c r="P1295" s="16" t="str">
        <f t="shared" si="6"/>
        <v/>
      </c>
      <c r="Q1295" s="41" t="e">
        <f t="shared" si="2424"/>
        <v>#N/A</v>
      </c>
      <c r="R1295" s="44"/>
      <c r="S1295" s="44"/>
      <c r="T1295" s="43"/>
      <c r="U1295" s="43" t="str">
        <f t="shared" si="8"/>
        <v>No</v>
      </c>
      <c r="V1295" s="25"/>
      <c r="W1295" s="25"/>
      <c r="X1295" s="25"/>
      <c r="Y1295" s="25"/>
      <c r="Z1295" s="25"/>
    </row>
    <row r="1296" spans="1:26" ht="15.75" customHeight="1" x14ac:dyDescent="0.25">
      <c r="A1296" s="25">
        <v>1294</v>
      </c>
      <c r="B1296" s="37" t="e">
        <f t="shared" ref="B1296:D1296" si="2609">VLOOKUP($A1296,[4]Cultura!$A$1:$O$276,B$1,0)</f>
        <v>#N/A</v>
      </c>
      <c r="C1296" s="38" t="e">
        <f t="shared" si="2609"/>
        <v>#N/A</v>
      </c>
      <c r="D1296" s="39" t="e">
        <f t="shared" si="2609"/>
        <v>#N/A</v>
      </c>
      <c r="E1296" s="16" t="e">
        <f t="shared" si="1"/>
        <v>#N/A</v>
      </c>
      <c r="F1296" s="16" t="e">
        <f t="shared" ref="F1296:K1296" si="2610">VLOOKUP($A1296,[4]Cultura!$A$1:$O$276,F$1,0)</f>
        <v>#N/A</v>
      </c>
      <c r="G1296" s="39" t="e">
        <f t="shared" si="2610"/>
        <v>#N/A</v>
      </c>
      <c r="H1296" s="16" t="e">
        <f t="shared" si="2610"/>
        <v>#N/A</v>
      </c>
      <c r="I1296" s="16" t="e">
        <f t="shared" si="2610"/>
        <v>#N/A</v>
      </c>
      <c r="J1296" s="40" t="e">
        <f t="shared" si="2610"/>
        <v>#N/A</v>
      </c>
      <c r="K1296" s="16" t="e">
        <f t="shared" si="2610"/>
        <v>#N/A</v>
      </c>
      <c r="L1296" s="40" t="e">
        <f t="shared" si="2421"/>
        <v>#N/A</v>
      </c>
      <c r="M1296" s="16" t="e">
        <f t="shared" si="2422"/>
        <v>#N/A</v>
      </c>
      <c r="N1296" s="16" t="e">
        <f t="shared" si="2423"/>
        <v>#N/A</v>
      </c>
      <c r="O1296" s="16" t="s">
        <v>68</v>
      </c>
      <c r="P1296" s="16" t="str">
        <f t="shared" si="6"/>
        <v/>
      </c>
      <c r="Q1296" s="41" t="e">
        <f t="shared" si="2424"/>
        <v>#N/A</v>
      </c>
      <c r="R1296" s="44"/>
      <c r="S1296" s="44"/>
      <c r="T1296" s="43"/>
      <c r="U1296" s="43" t="str">
        <f t="shared" si="8"/>
        <v>No</v>
      </c>
      <c r="V1296" s="25"/>
      <c r="W1296" s="25"/>
      <c r="X1296" s="25"/>
      <c r="Y1296" s="25"/>
      <c r="Z1296" s="25"/>
    </row>
    <row r="1297" spans="1:26" ht="15.75" customHeight="1" x14ac:dyDescent="0.25">
      <c r="A1297" s="25">
        <v>1295</v>
      </c>
      <c r="B1297" s="37" t="e">
        <f t="shared" ref="B1297:D1297" si="2611">VLOOKUP($A1297,[4]Cultura!$A$1:$O$276,B$1,0)</f>
        <v>#N/A</v>
      </c>
      <c r="C1297" s="38" t="e">
        <f t="shared" si="2611"/>
        <v>#N/A</v>
      </c>
      <c r="D1297" s="39" t="e">
        <f t="shared" si="2611"/>
        <v>#N/A</v>
      </c>
      <c r="E1297" s="16" t="e">
        <f t="shared" si="1"/>
        <v>#N/A</v>
      </c>
      <c r="F1297" s="16" t="e">
        <f t="shared" ref="F1297:K1297" si="2612">VLOOKUP($A1297,[4]Cultura!$A$1:$O$276,F$1,0)</f>
        <v>#N/A</v>
      </c>
      <c r="G1297" s="39" t="e">
        <f t="shared" si="2612"/>
        <v>#N/A</v>
      </c>
      <c r="H1297" s="16" t="e">
        <f t="shared" si="2612"/>
        <v>#N/A</v>
      </c>
      <c r="I1297" s="16" t="e">
        <f t="shared" si="2612"/>
        <v>#N/A</v>
      </c>
      <c r="J1297" s="40" t="e">
        <f t="shared" si="2612"/>
        <v>#N/A</v>
      </c>
      <c r="K1297" s="16" t="e">
        <f t="shared" si="2612"/>
        <v>#N/A</v>
      </c>
      <c r="L1297" s="40" t="e">
        <f t="shared" si="2421"/>
        <v>#N/A</v>
      </c>
      <c r="M1297" s="16" t="e">
        <f t="shared" si="2422"/>
        <v>#N/A</v>
      </c>
      <c r="N1297" s="16" t="e">
        <f t="shared" si="2423"/>
        <v>#N/A</v>
      </c>
      <c r="O1297" s="16" t="s">
        <v>68</v>
      </c>
      <c r="P1297" s="16" t="str">
        <f t="shared" si="6"/>
        <v/>
      </c>
      <c r="Q1297" s="41" t="e">
        <f t="shared" si="2424"/>
        <v>#N/A</v>
      </c>
      <c r="R1297" s="44"/>
      <c r="S1297" s="44"/>
      <c r="T1297" s="43"/>
      <c r="U1297" s="43" t="str">
        <f t="shared" si="8"/>
        <v>No</v>
      </c>
      <c r="V1297" s="25"/>
      <c r="W1297" s="25"/>
      <c r="X1297" s="25"/>
      <c r="Y1297" s="25"/>
      <c r="Z1297" s="25"/>
    </row>
    <row r="1298" spans="1:26" ht="15.75" customHeight="1" x14ac:dyDescent="0.25">
      <c r="A1298" s="25">
        <v>1296</v>
      </c>
      <c r="B1298" s="37" t="e">
        <f t="shared" ref="B1298:D1298" si="2613">VLOOKUP($A1298,[4]Cultura!$A$1:$O$276,B$1,0)</f>
        <v>#N/A</v>
      </c>
      <c r="C1298" s="38" t="e">
        <f t="shared" si="2613"/>
        <v>#N/A</v>
      </c>
      <c r="D1298" s="39" t="e">
        <f t="shared" si="2613"/>
        <v>#N/A</v>
      </c>
      <c r="E1298" s="16" t="e">
        <f t="shared" si="1"/>
        <v>#N/A</v>
      </c>
      <c r="F1298" s="16" t="e">
        <f t="shared" ref="F1298:K1298" si="2614">VLOOKUP($A1298,[4]Cultura!$A$1:$O$276,F$1,0)</f>
        <v>#N/A</v>
      </c>
      <c r="G1298" s="39" t="e">
        <f t="shared" si="2614"/>
        <v>#N/A</v>
      </c>
      <c r="H1298" s="16" t="e">
        <f t="shared" si="2614"/>
        <v>#N/A</v>
      </c>
      <c r="I1298" s="16" t="e">
        <f t="shared" si="2614"/>
        <v>#N/A</v>
      </c>
      <c r="J1298" s="40" t="e">
        <f t="shared" si="2614"/>
        <v>#N/A</v>
      </c>
      <c r="K1298" s="16" t="e">
        <f t="shared" si="2614"/>
        <v>#N/A</v>
      </c>
      <c r="L1298" s="40" t="e">
        <f t="shared" si="2421"/>
        <v>#N/A</v>
      </c>
      <c r="M1298" s="16" t="e">
        <f t="shared" si="2422"/>
        <v>#N/A</v>
      </c>
      <c r="N1298" s="16" t="e">
        <f t="shared" si="2423"/>
        <v>#N/A</v>
      </c>
      <c r="O1298" s="16" t="s">
        <v>68</v>
      </c>
      <c r="P1298" s="16" t="str">
        <f t="shared" si="6"/>
        <v/>
      </c>
      <c r="Q1298" s="41" t="e">
        <f t="shared" si="2424"/>
        <v>#N/A</v>
      </c>
      <c r="R1298" s="44"/>
      <c r="S1298" s="44"/>
      <c r="T1298" s="43"/>
      <c r="U1298" s="43" t="str">
        <f t="shared" si="8"/>
        <v>No</v>
      </c>
      <c r="V1298" s="25"/>
      <c r="W1298" s="25"/>
      <c r="X1298" s="25"/>
      <c r="Y1298" s="25"/>
      <c r="Z1298" s="25"/>
    </row>
    <row r="1299" spans="1:26" ht="15.75" customHeight="1" x14ac:dyDescent="0.25">
      <c r="A1299" s="25">
        <v>1297</v>
      </c>
      <c r="B1299" s="37" t="e">
        <f t="shared" ref="B1299:D1299" si="2615">VLOOKUP($A1299,[4]Cultura!$A$1:$O$276,B$1,0)</f>
        <v>#N/A</v>
      </c>
      <c r="C1299" s="38" t="e">
        <f t="shared" si="2615"/>
        <v>#N/A</v>
      </c>
      <c r="D1299" s="39" t="e">
        <f t="shared" si="2615"/>
        <v>#N/A</v>
      </c>
      <c r="E1299" s="16" t="e">
        <f t="shared" si="1"/>
        <v>#N/A</v>
      </c>
      <c r="F1299" s="16" t="e">
        <f t="shared" ref="F1299:K1299" si="2616">VLOOKUP($A1299,[4]Cultura!$A$1:$O$276,F$1,0)</f>
        <v>#N/A</v>
      </c>
      <c r="G1299" s="39" t="e">
        <f t="shared" si="2616"/>
        <v>#N/A</v>
      </c>
      <c r="H1299" s="16" t="e">
        <f t="shared" si="2616"/>
        <v>#N/A</v>
      </c>
      <c r="I1299" s="16" t="e">
        <f t="shared" si="2616"/>
        <v>#N/A</v>
      </c>
      <c r="J1299" s="40" t="e">
        <f t="shared" si="2616"/>
        <v>#N/A</v>
      </c>
      <c r="K1299" s="16" t="e">
        <f t="shared" si="2616"/>
        <v>#N/A</v>
      </c>
      <c r="L1299" s="40" t="e">
        <f t="shared" si="2421"/>
        <v>#N/A</v>
      </c>
      <c r="M1299" s="16" t="e">
        <f t="shared" si="2422"/>
        <v>#N/A</v>
      </c>
      <c r="N1299" s="16" t="e">
        <f t="shared" si="2423"/>
        <v>#N/A</v>
      </c>
      <c r="O1299" s="16" t="s">
        <v>68</v>
      </c>
      <c r="P1299" s="16" t="str">
        <f t="shared" si="6"/>
        <v/>
      </c>
      <c r="Q1299" s="41" t="e">
        <f t="shared" si="2424"/>
        <v>#N/A</v>
      </c>
      <c r="R1299" s="44"/>
      <c r="S1299" s="44"/>
      <c r="T1299" s="43"/>
      <c r="U1299" s="43" t="str">
        <f t="shared" si="8"/>
        <v>No</v>
      </c>
      <c r="V1299" s="25"/>
      <c r="W1299" s="25"/>
      <c r="X1299" s="25"/>
      <c r="Y1299" s="25"/>
      <c r="Z1299" s="25"/>
    </row>
    <row r="1300" spans="1:26" ht="15.75" customHeight="1" x14ac:dyDescent="0.25">
      <c r="A1300" s="25">
        <v>1298</v>
      </c>
      <c r="B1300" s="37" t="e">
        <f t="shared" ref="B1300:D1300" si="2617">VLOOKUP($A1300,[4]Cultura!$A$1:$O$276,B$1,0)</f>
        <v>#N/A</v>
      </c>
      <c r="C1300" s="38" t="e">
        <f t="shared" si="2617"/>
        <v>#N/A</v>
      </c>
      <c r="D1300" s="39" t="e">
        <f t="shared" si="2617"/>
        <v>#N/A</v>
      </c>
      <c r="E1300" s="16" t="e">
        <f t="shared" si="1"/>
        <v>#N/A</v>
      </c>
      <c r="F1300" s="16" t="e">
        <f t="shared" ref="F1300:K1300" si="2618">VLOOKUP($A1300,[4]Cultura!$A$1:$O$276,F$1,0)</f>
        <v>#N/A</v>
      </c>
      <c r="G1300" s="39" t="e">
        <f t="shared" si="2618"/>
        <v>#N/A</v>
      </c>
      <c r="H1300" s="16" t="e">
        <f t="shared" si="2618"/>
        <v>#N/A</v>
      </c>
      <c r="I1300" s="16" t="e">
        <f t="shared" si="2618"/>
        <v>#N/A</v>
      </c>
      <c r="J1300" s="40" t="e">
        <f t="shared" si="2618"/>
        <v>#N/A</v>
      </c>
      <c r="K1300" s="16" t="e">
        <f t="shared" si="2618"/>
        <v>#N/A</v>
      </c>
      <c r="L1300" s="40" t="e">
        <f t="shared" si="2421"/>
        <v>#N/A</v>
      </c>
      <c r="M1300" s="16" t="e">
        <f t="shared" si="2422"/>
        <v>#N/A</v>
      </c>
      <c r="N1300" s="16" t="e">
        <f t="shared" si="2423"/>
        <v>#N/A</v>
      </c>
      <c r="O1300" s="16" t="s">
        <v>68</v>
      </c>
      <c r="P1300" s="16" t="str">
        <f t="shared" si="6"/>
        <v/>
      </c>
      <c r="Q1300" s="41" t="e">
        <f t="shared" si="2424"/>
        <v>#N/A</v>
      </c>
      <c r="R1300" s="44"/>
      <c r="S1300" s="44"/>
      <c r="T1300" s="43"/>
      <c r="U1300" s="43" t="str">
        <f t="shared" si="8"/>
        <v>No</v>
      </c>
      <c r="V1300" s="25"/>
      <c r="W1300" s="25"/>
      <c r="X1300" s="25"/>
      <c r="Y1300" s="25"/>
      <c r="Z1300" s="25"/>
    </row>
    <row r="1301" spans="1:26" ht="15.75" customHeight="1" x14ac:dyDescent="0.25">
      <c r="A1301" s="25">
        <v>1299</v>
      </c>
      <c r="B1301" s="37" t="e">
        <f t="shared" ref="B1301:D1301" si="2619">VLOOKUP($A1301,[4]Cultura!$A$1:$O$276,B$1,0)</f>
        <v>#N/A</v>
      </c>
      <c r="C1301" s="38" t="e">
        <f t="shared" si="2619"/>
        <v>#N/A</v>
      </c>
      <c r="D1301" s="39" t="e">
        <f t="shared" si="2619"/>
        <v>#N/A</v>
      </c>
      <c r="E1301" s="16" t="e">
        <f t="shared" si="1"/>
        <v>#N/A</v>
      </c>
      <c r="F1301" s="16" t="e">
        <f t="shared" ref="F1301:K1301" si="2620">VLOOKUP($A1301,[4]Cultura!$A$1:$O$276,F$1,0)</f>
        <v>#N/A</v>
      </c>
      <c r="G1301" s="39" t="e">
        <f t="shared" si="2620"/>
        <v>#N/A</v>
      </c>
      <c r="H1301" s="16" t="e">
        <f t="shared" si="2620"/>
        <v>#N/A</v>
      </c>
      <c r="I1301" s="16" t="e">
        <f t="shared" si="2620"/>
        <v>#N/A</v>
      </c>
      <c r="J1301" s="40" t="e">
        <f t="shared" si="2620"/>
        <v>#N/A</v>
      </c>
      <c r="K1301" s="16" t="e">
        <f t="shared" si="2620"/>
        <v>#N/A</v>
      </c>
      <c r="L1301" s="40" t="e">
        <f t="shared" si="2421"/>
        <v>#N/A</v>
      </c>
      <c r="M1301" s="16" t="e">
        <f t="shared" si="2422"/>
        <v>#N/A</v>
      </c>
      <c r="N1301" s="16" t="e">
        <f t="shared" si="2423"/>
        <v>#N/A</v>
      </c>
      <c r="O1301" s="16" t="s">
        <v>68</v>
      </c>
      <c r="P1301" s="16" t="str">
        <f t="shared" si="6"/>
        <v/>
      </c>
      <c r="Q1301" s="41" t="e">
        <f t="shared" si="2424"/>
        <v>#N/A</v>
      </c>
      <c r="R1301" s="44"/>
      <c r="S1301" s="44"/>
      <c r="T1301" s="43"/>
      <c r="U1301" s="43" t="str">
        <f t="shared" si="8"/>
        <v>No</v>
      </c>
      <c r="V1301" s="25"/>
      <c r="W1301" s="25"/>
      <c r="X1301" s="25"/>
      <c r="Y1301" s="25"/>
      <c r="Z1301" s="25"/>
    </row>
    <row r="1302" spans="1:26" ht="15.75" customHeight="1" x14ac:dyDescent="0.25">
      <c r="A1302" s="25">
        <v>1300</v>
      </c>
      <c r="B1302" s="37" t="e">
        <f t="shared" ref="B1302:D1302" si="2621">VLOOKUP($A1302,[4]Cultura!$A$1:$O$276,B$1,0)</f>
        <v>#N/A</v>
      </c>
      <c r="C1302" s="38" t="e">
        <f t="shared" si="2621"/>
        <v>#N/A</v>
      </c>
      <c r="D1302" s="39" t="e">
        <f t="shared" si="2621"/>
        <v>#N/A</v>
      </c>
      <c r="E1302" s="16" t="e">
        <f t="shared" si="1"/>
        <v>#N/A</v>
      </c>
      <c r="F1302" s="16" t="e">
        <f t="shared" ref="F1302:K1302" si="2622">VLOOKUP($A1302,[4]Cultura!$A$1:$O$276,F$1,0)</f>
        <v>#N/A</v>
      </c>
      <c r="G1302" s="39" t="e">
        <f t="shared" si="2622"/>
        <v>#N/A</v>
      </c>
      <c r="H1302" s="16" t="e">
        <f t="shared" si="2622"/>
        <v>#N/A</v>
      </c>
      <c r="I1302" s="16" t="e">
        <f t="shared" si="2622"/>
        <v>#N/A</v>
      </c>
      <c r="J1302" s="40" t="e">
        <f t="shared" si="2622"/>
        <v>#N/A</v>
      </c>
      <c r="K1302" s="16" t="e">
        <f t="shared" si="2622"/>
        <v>#N/A</v>
      </c>
      <c r="L1302" s="40" t="e">
        <f t="shared" si="2421"/>
        <v>#N/A</v>
      </c>
      <c r="M1302" s="16" t="e">
        <f t="shared" si="2422"/>
        <v>#N/A</v>
      </c>
      <c r="N1302" s="16" t="e">
        <f t="shared" si="2423"/>
        <v>#N/A</v>
      </c>
      <c r="O1302" s="16" t="s">
        <v>68</v>
      </c>
      <c r="P1302" s="16" t="str">
        <f t="shared" si="6"/>
        <v/>
      </c>
      <c r="Q1302" s="41" t="e">
        <f t="shared" si="2424"/>
        <v>#N/A</v>
      </c>
      <c r="R1302" s="44"/>
      <c r="S1302" s="44"/>
      <c r="T1302" s="43"/>
      <c r="U1302" s="43" t="str">
        <f t="shared" si="8"/>
        <v>No</v>
      </c>
      <c r="V1302" s="25"/>
      <c r="W1302" s="25"/>
      <c r="X1302" s="25"/>
      <c r="Y1302" s="25"/>
      <c r="Z1302" s="25"/>
    </row>
    <row r="1303" spans="1:26" ht="15.75" customHeight="1" x14ac:dyDescent="0.25">
      <c r="A1303" s="25">
        <v>1301</v>
      </c>
      <c r="B1303" s="37" t="e">
        <f t="shared" ref="B1303:D1303" si="2623">VLOOKUP($A1303,[4]Cultura!$A$1:$O$276,B$1,0)</f>
        <v>#N/A</v>
      </c>
      <c r="C1303" s="38" t="e">
        <f t="shared" si="2623"/>
        <v>#N/A</v>
      </c>
      <c r="D1303" s="39" t="e">
        <f t="shared" si="2623"/>
        <v>#N/A</v>
      </c>
      <c r="E1303" s="16" t="e">
        <f t="shared" si="1"/>
        <v>#N/A</v>
      </c>
      <c r="F1303" s="16" t="e">
        <f t="shared" ref="F1303:K1303" si="2624">VLOOKUP($A1303,[4]Cultura!$A$1:$O$276,F$1,0)</f>
        <v>#N/A</v>
      </c>
      <c r="G1303" s="39" t="e">
        <f t="shared" si="2624"/>
        <v>#N/A</v>
      </c>
      <c r="H1303" s="16" t="e">
        <f t="shared" si="2624"/>
        <v>#N/A</v>
      </c>
      <c r="I1303" s="16" t="e">
        <f t="shared" si="2624"/>
        <v>#N/A</v>
      </c>
      <c r="J1303" s="40" t="e">
        <f t="shared" si="2624"/>
        <v>#N/A</v>
      </c>
      <c r="K1303" s="16" t="e">
        <f t="shared" si="2624"/>
        <v>#N/A</v>
      </c>
      <c r="L1303" s="40" t="e">
        <f t="shared" si="2421"/>
        <v>#N/A</v>
      </c>
      <c r="M1303" s="16" t="e">
        <f t="shared" si="2422"/>
        <v>#N/A</v>
      </c>
      <c r="N1303" s="16" t="e">
        <f t="shared" si="2423"/>
        <v>#N/A</v>
      </c>
      <c r="O1303" s="16" t="s">
        <v>68</v>
      </c>
      <c r="P1303" s="16" t="str">
        <f t="shared" si="6"/>
        <v/>
      </c>
      <c r="Q1303" s="41" t="e">
        <f t="shared" si="2424"/>
        <v>#N/A</v>
      </c>
      <c r="R1303" s="44"/>
      <c r="S1303" s="44"/>
      <c r="T1303" s="43"/>
      <c r="U1303" s="43" t="str">
        <f t="shared" si="8"/>
        <v>No</v>
      </c>
      <c r="V1303" s="25"/>
      <c r="W1303" s="25"/>
      <c r="X1303" s="25"/>
      <c r="Y1303" s="25"/>
      <c r="Z1303" s="25"/>
    </row>
    <row r="1304" spans="1:26" ht="15.75" customHeight="1" x14ac:dyDescent="0.25">
      <c r="A1304" s="25">
        <v>1302</v>
      </c>
      <c r="B1304" s="37" t="e">
        <f t="shared" ref="B1304:D1304" si="2625">VLOOKUP($A1304,[4]Cultura!$A$1:$O$276,B$1,0)</f>
        <v>#N/A</v>
      </c>
      <c r="C1304" s="38" t="e">
        <f t="shared" si="2625"/>
        <v>#N/A</v>
      </c>
      <c r="D1304" s="39" t="e">
        <f t="shared" si="2625"/>
        <v>#N/A</v>
      </c>
      <c r="E1304" s="16" t="e">
        <f t="shared" si="1"/>
        <v>#N/A</v>
      </c>
      <c r="F1304" s="16" t="e">
        <f t="shared" ref="F1304:K1304" si="2626">VLOOKUP($A1304,[4]Cultura!$A$1:$O$276,F$1,0)</f>
        <v>#N/A</v>
      </c>
      <c r="G1304" s="39" t="e">
        <f t="shared" si="2626"/>
        <v>#N/A</v>
      </c>
      <c r="H1304" s="16" t="e">
        <f t="shared" si="2626"/>
        <v>#N/A</v>
      </c>
      <c r="I1304" s="16" t="e">
        <f t="shared" si="2626"/>
        <v>#N/A</v>
      </c>
      <c r="J1304" s="40" t="e">
        <f t="shared" si="2626"/>
        <v>#N/A</v>
      </c>
      <c r="K1304" s="16" t="e">
        <f t="shared" si="2626"/>
        <v>#N/A</v>
      </c>
      <c r="L1304" s="40" t="e">
        <f t="shared" si="2421"/>
        <v>#N/A</v>
      </c>
      <c r="M1304" s="16" t="e">
        <f t="shared" si="2422"/>
        <v>#N/A</v>
      </c>
      <c r="N1304" s="16" t="e">
        <f t="shared" si="2423"/>
        <v>#N/A</v>
      </c>
      <c r="O1304" s="16" t="s">
        <v>68</v>
      </c>
      <c r="P1304" s="16" t="str">
        <f t="shared" si="6"/>
        <v/>
      </c>
      <c r="Q1304" s="41" t="e">
        <f t="shared" si="2424"/>
        <v>#N/A</v>
      </c>
      <c r="R1304" s="44"/>
      <c r="S1304" s="44"/>
      <c r="T1304" s="43"/>
      <c r="U1304" s="43" t="str">
        <f t="shared" si="8"/>
        <v>No</v>
      </c>
      <c r="V1304" s="25"/>
      <c r="W1304" s="25"/>
      <c r="X1304" s="25"/>
      <c r="Y1304" s="25"/>
      <c r="Z1304" s="25"/>
    </row>
    <row r="1305" spans="1:26" ht="15.75" customHeight="1" x14ac:dyDescent="0.25">
      <c r="A1305" s="25">
        <v>1303</v>
      </c>
      <c r="B1305" s="37" t="e">
        <f t="shared" ref="B1305:D1305" si="2627">VLOOKUP($A1305,[4]Cultura!$A$1:$O$276,B$1,0)</f>
        <v>#N/A</v>
      </c>
      <c r="C1305" s="38" t="e">
        <f t="shared" si="2627"/>
        <v>#N/A</v>
      </c>
      <c r="D1305" s="39" t="e">
        <f t="shared" si="2627"/>
        <v>#N/A</v>
      </c>
      <c r="E1305" s="16" t="e">
        <f t="shared" si="1"/>
        <v>#N/A</v>
      </c>
      <c r="F1305" s="16" t="e">
        <f t="shared" ref="F1305:K1305" si="2628">VLOOKUP($A1305,[4]Cultura!$A$1:$O$276,F$1,0)</f>
        <v>#N/A</v>
      </c>
      <c r="G1305" s="39" t="e">
        <f t="shared" si="2628"/>
        <v>#N/A</v>
      </c>
      <c r="H1305" s="16" t="e">
        <f t="shared" si="2628"/>
        <v>#N/A</v>
      </c>
      <c r="I1305" s="16" t="e">
        <f t="shared" si="2628"/>
        <v>#N/A</v>
      </c>
      <c r="J1305" s="40" t="e">
        <f t="shared" si="2628"/>
        <v>#N/A</v>
      </c>
      <c r="K1305" s="16" t="e">
        <f t="shared" si="2628"/>
        <v>#N/A</v>
      </c>
      <c r="L1305" s="40" t="e">
        <f t="shared" si="2421"/>
        <v>#N/A</v>
      </c>
      <c r="M1305" s="16" t="e">
        <f t="shared" si="2422"/>
        <v>#N/A</v>
      </c>
      <c r="N1305" s="16" t="e">
        <f t="shared" si="2423"/>
        <v>#N/A</v>
      </c>
      <c r="O1305" s="16" t="s">
        <v>68</v>
      </c>
      <c r="P1305" s="16" t="str">
        <f t="shared" si="6"/>
        <v/>
      </c>
      <c r="Q1305" s="41" t="e">
        <f t="shared" si="2424"/>
        <v>#N/A</v>
      </c>
      <c r="R1305" s="44"/>
      <c r="S1305" s="44"/>
      <c r="T1305" s="43"/>
      <c r="U1305" s="43" t="str">
        <f t="shared" si="8"/>
        <v>No</v>
      </c>
      <c r="V1305" s="25"/>
      <c r="W1305" s="25"/>
      <c r="X1305" s="25"/>
      <c r="Y1305" s="25"/>
      <c r="Z1305" s="25"/>
    </row>
    <row r="1306" spans="1:26" ht="15.75" customHeight="1" x14ac:dyDescent="0.25">
      <c r="A1306" s="25">
        <v>1304</v>
      </c>
      <c r="B1306" s="37" t="e">
        <f t="shared" ref="B1306:D1306" si="2629">VLOOKUP($A1306,[4]Cultura!$A$1:$O$276,B$1,0)</f>
        <v>#N/A</v>
      </c>
      <c r="C1306" s="38" t="e">
        <f t="shared" si="2629"/>
        <v>#N/A</v>
      </c>
      <c r="D1306" s="39" t="e">
        <f t="shared" si="2629"/>
        <v>#N/A</v>
      </c>
      <c r="E1306" s="16" t="e">
        <f t="shared" si="1"/>
        <v>#N/A</v>
      </c>
      <c r="F1306" s="16" t="e">
        <f t="shared" ref="F1306:K1306" si="2630">VLOOKUP($A1306,[4]Cultura!$A$1:$O$276,F$1,0)</f>
        <v>#N/A</v>
      </c>
      <c r="G1306" s="39" t="e">
        <f t="shared" si="2630"/>
        <v>#N/A</v>
      </c>
      <c r="H1306" s="16" t="e">
        <f t="shared" si="2630"/>
        <v>#N/A</v>
      </c>
      <c r="I1306" s="16" t="e">
        <f t="shared" si="2630"/>
        <v>#N/A</v>
      </c>
      <c r="J1306" s="40" t="e">
        <f t="shared" si="2630"/>
        <v>#N/A</v>
      </c>
      <c r="K1306" s="16" t="e">
        <f t="shared" si="2630"/>
        <v>#N/A</v>
      </c>
      <c r="L1306" s="40" t="e">
        <f t="shared" si="2421"/>
        <v>#N/A</v>
      </c>
      <c r="M1306" s="16" t="e">
        <f t="shared" si="2422"/>
        <v>#N/A</v>
      </c>
      <c r="N1306" s="16" t="e">
        <f t="shared" si="2423"/>
        <v>#N/A</v>
      </c>
      <c r="O1306" s="16" t="s">
        <v>68</v>
      </c>
      <c r="P1306" s="16" t="str">
        <f t="shared" si="6"/>
        <v/>
      </c>
      <c r="Q1306" s="41" t="e">
        <f t="shared" si="2424"/>
        <v>#N/A</v>
      </c>
      <c r="R1306" s="44"/>
      <c r="S1306" s="44"/>
      <c r="T1306" s="43"/>
      <c r="U1306" s="43" t="str">
        <f t="shared" si="8"/>
        <v>No</v>
      </c>
      <c r="V1306" s="25"/>
      <c r="W1306" s="25"/>
      <c r="X1306" s="25"/>
      <c r="Y1306" s="25"/>
      <c r="Z1306" s="25"/>
    </row>
    <row r="1307" spans="1:26" ht="15.75" customHeight="1" x14ac:dyDescent="0.25">
      <c r="A1307" s="25">
        <v>1305</v>
      </c>
      <c r="B1307" s="37" t="e">
        <f t="shared" ref="B1307:D1307" si="2631">VLOOKUP($A1307,[4]Cultura!$A$1:$O$276,B$1,0)</f>
        <v>#N/A</v>
      </c>
      <c r="C1307" s="38" t="e">
        <f t="shared" si="2631"/>
        <v>#N/A</v>
      </c>
      <c r="D1307" s="39" t="e">
        <f t="shared" si="2631"/>
        <v>#N/A</v>
      </c>
      <c r="E1307" s="16" t="e">
        <f t="shared" si="1"/>
        <v>#N/A</v>
      </c>
      <c r="F1307" s="16" t="e">
        <f t="shared" ref="F1307:K1307" si="2632">VLOOKUP($A1307,[4]Cultura!$A$1:$O$276,F$1,0)</f>
        <v>#N/A</v>
      </c>
      <c r="G1307" s="39" t="e">
        <f t="shared" si="2632"/>
        <v>#N/A</v>
      </c>
      <c r="H1307" s="16" t="e">
        <f t="shared" si="2632"/>
        <v>#N/A</v>
      </c>
      <c r="I1307" s="16" t="e">
        <f t="shared" si="2632"/>
        <v>#N/A</v>
      </c>
      <c r="J1307" s="40" t="e">
        <f t="shared" si="2632"/>
        <v>#N/A</v>
      </c>
      <c r="K1307" s="16" t="e">
        <f t="shared" si="2632"/>
        <v>#N/A</v>
      </c>
      <c r="L1307" s="40" t="e">
        <f t="shared" si="2421"/>
        <v>#N/A</v>
      </c>
      <c r="M1307" s="16" t="e">
        <f t="shared" si="2422"/>
        <v>#N/A</v>
      </c>
      <c r="N1307" s="16" t="e">
        <f t="shared" si="2423"/>
        <v>#N/A</v>
      </c>
      <c r="O1307" s="16" t="s">
        <v>68</v>
      </c>
      <c r="P1307" s="16" t="str">
        <f t="shared" si="6"/>
        <v/>
      </c>
      <c r="Q1307" s="41" t="e">
        <f t="shared" si="2424"/>
        <v>#N/A</v>
      </c>
      <c r="R1307" s="44"/>
      <c r="S1307" s="44"/>
      <c r="T1307" s="43"/>
      <c r="U1307" s="43" t="str">
        <f t="shared" si="8"/>
        <v>No</v>
      </c>
      <c r="V1307" s="25"/>
      <c r="W1307" s="25"/>
      <c r="X1307" s="25"/>
      <c r="Y1307" s="25"/>
      <c r="Z1307" s="25"/>
    </row>
    <row r="1308" spans="1:26" ht="15.75" customHeight="1" x14ac:dyDescent="0.25">
      <c r="A1308" s="25">
        <v>1306</v>
      </c>
      <c r="B1308" s="37" t="e">
        <f t="shared" ref="B1308:D1308" si="2633">VLOOKUP($A1308,[4]Cultura!$A$1:$O$276,B$1,0)</f>
        <v>#N/A</v>
      </c>
      <c r="C1308" s="38" t="e">
        <f t="shared" si="2633"/>
        <v>#N/A</v>
      </c>
      <c r="D1308" s="39" t="e">
        <f t="shared" si="2633"/>
        <v>#N/A</v>
      </c>
      <c r="E1308" s="16" t="e">
        <f t="shared" si="1"/>
        <v>#N/A</v>
      </c>
      <c r="F1308" s="16" t="e">
        <f t="shared" ref="F1308:K1308" si="2634">VLOOKUP($A1308,[4]Cultura!$A$1:$O$276,F$1,0)</f>
        <v>#N/A</v>
      </c>
      <c r="G1308" s="39" t="e">
        <f t="shared" si="2634"/>
        <v>#N/A</v>
      </c>
      <c r="H1308" s="16" t="e">
        <f t="shared" si="2634"/>
        <v>#N/A</v>
      </c>
      <c r="I1308" s="16" t="e">
        <f t="shared" si="2634"/>
        <v>#N/A</v>
      </c>
      <c r="J1308" s="40" t="e">
        <f t="shared" si="2634"/>
        <v>#N/A</v>
      </c>
      <c r="K1308" s="16" t="e">
        <f t="shared" si="2634"/>
        <v>#N/A</v>
      </c>
      <c r="L1308" s="40" t="e">
        <f t="shared" si="2421"/>
        <v>#N/A</v>
      </c>
      <c r="M1308" s="16" t="e">
        <f t="shared" si="2422"/>
        <v>#N/A</v>
      </c>
      <c r="N1308" s="16" t="e">
        <f t="shared" si="2423"/>
        <v>#N/A</v>
      </c>
      <c r="O1308" s="16" t="s">
        <v>68</v>
      </c>
      <c r="P1308" s="16" t="str">
        <f t="shared" si="6"/>
        <v/>
      </c>
      <c r="Q1308" s="41" t="e">
        <f t="shared" si="2424"/>
        <v>#N/A</v>
      </c>
      <c r="R1308" s="44"/>
      <c r="S1308" s="44"/>
      <c r="T1308" s="43"/>
      <c r="U1308" s="43" t="str">
        <f t="shared" si="8"/>
        <v>No</v>
      </c>
      <c r="V1308" s="25"/>
      <c r="W1308" s="25"/>
      <c r="X1308" s="25"/>
      <c r="Y1308" s="25"/>
      <c r="Z1308" s="25"/>
    </row>
    <row r="1309" spans="1:26" ht="15.75" customHeight="1" x14ac:dyDescent="0.25">
      <c r="A1309" s="25">
        <v>1307</v>
      </c>
      <c r="B1309" s="37" t="e">
        <f t="shared" ref="B1309:D1309" si="2635">VLOOKUP($A1309,[4]Cultura!$A$1:$O$276,B$1,0)</f>
        <v>#N/A</v>
      </c>
      <c r="C1309" s="38" t="e">
        <f t="shared" si="2635"/>
        <v>#N/A</v>
      </c>
      <c r="D1309" s="39" t="e">
        <f t="shared" si="2635"/>
        <v>#N/A</v>
      </c>
      <c r="E1309" s="16" t="e">
        <f t="shared" si="1"/>
        <v>#N/A</v>
      </c>
      <c r="F1309" s="16" t="e">
        <f t="shared" ref="F1309:K1309" si="2636">VLOOKUP($A1309,[4]Cultura!$A$1:$O$276,F$1,0)</f>
        <v>#N/A</v>
      </c>
      <c r="G1309" s="39" t="e">
        <f t="shared" si="2636"/>
        <v>#N/A</v>
      </c>
      <c r="H1309" s="16" t="e">
        <f t="shared" si="2636"/>
        <v>#N/A</v>
      </c>
      <c r="I1309" s="16" t="e">
        <f t="shared" si="2636"/>
        <v>#N/A</v>
      </c>
      <c r="J1309" s="40" t="e">
        <f t="shared" si="2636"/>
        <v>#N/A</v>
      </c>
      <c r="K1309" s="16" t="e">
        <f t="shared" si="2636"/>
        <v>#N/A</v>
      </c>
      <c r="L1309" s="40" t="e">
        <f t="shared" si="2421"/>
        <v>#N/A</v>
      </c>
      <c r="M1309" s="16" t="e">
        <f t="shared" si="2422"/>
        <v>#N/A</v>
      </c>
      <c r="N1309" s="16" t="e">
        <f t="shared" si="2423"/>
        <v>#N/A</v>
      </c>
      <c r="O1309" s="16" t="s">
        <v>68</v>
      </c>
      <c r="P1309" s="16" t="str">
        <f t="shared" si="6"/>
        <v/>
      </c>
      <c r="Q1309" s="41" t="e">
        <f t="shared" si="2424"/>
        <v>#N/A</v>
      </c>
      <c r="R1309" s="44"/>
      <c r="S1309" s="44"/>
      <c r="T1309" s="43"/>
      <c r="U1309" s="43" t="str">
        <f t="shared" si="8"/>
        <v>No</v>
      </c>
      <c r="V1309" s="25"/>
      <c r="W1309" s="25"/>
      <c r="X1309" s="25"/>
      <c r="Y1309" s="25"/>
      <c r="Z1309" s="25"/>
    </row>
    <row r="1310" spans="1:26" ht="15.75" customHeight="1" x14ac:dyDescent="0.25">
      <c r="A1310" s="25">
        <v>1308</v>
      </c>
      <c r="B1310" s="37" t="e">
        <f t="shared" ref="B1310:D1310" si="2637">VLOOKUP($A1310,[4]Cultura!$A$1:$O$276,B$1,0)</f>
        <v>#N/A</v>
      </c>
      <c r="C1310" s="38" t="e">
        <f t="shared" si="2637"/>
        <v>#N/A</v>
      </c>
      <c r="D1310" s="39" t="e">
        <f t="shared" si="2637"/>
        <v>#N/A</v>
      </c>
      <c r="E1310" s="16" t="e">
        <f t="shared" si="1"/>
        <v>#N/A</v>
      </c>
      <c r="F1310" s="16" t="e">
        <f t="shared" ref="F1310:K1310" si="2638">VLOOKUP($A1310,[4]Cultura!$A$1:$O$276,F$1,0)</f>
        <v>#N/A</v>
      </c>
      <c r="G1310" s="39" t="e">
        <f t="shared" si="2638"/>
        <v>#N/A</v>
      </c>
      <c r="H1310" s="16" t="e">
        <f t="shared" si="2638"/>
        <v>#N/A</v>
      </c>
      <c r="I1310" s="16" t="e">
        <f t="shared" si="2638"/>
        <v>#N/A</v>
      </c>
      <c r="J1310" s="40" t="e">
        <f t="shared" si="2638"/>
        <v>#N/A</v>
      </c>
      <c r="K1310" s="16" t="e">
        <f t="shared" si="2638"/>
        <v>#N/A</v>
      </c>
      <c r="L1310" s="40" t="e">
        <f t="shared" si="2421"/>
        <v>#N/A</v>
      </c>
      <c r="M1310" s="16" t="e">
        <f t="shared" si="2422"/>
        <v>#N/A</v>
      </c>
      <c r="N1310" s="16" t="e">
        <f t="shared" si="2423"/>
        <v>#N/A</v>
      </c>
      <c r="O1310" s="16" t="s">
        <v>68</v>
      </c>
      <c r="P1310" s="16" t="str">
        <f t="shared" si="6"/>
        <v/>
      </c>
      <c r="Q1310" s="41" t="e">
        <f t="shared" si="2424"/>
        <v>#N/A</v>
      </c>
      <c r="R1310" s="44"/>
      <c r="S1310" s="44"/>
      <c r="T1310" s="43"/>
      <c r="U1310" s="43" t="str">
        <f t="shared" si="8"/>
        <v>No</v>
      </c>
      <c r="V1310" s="25"/>
      <c r="W1310" s="25"/>
      <c r="X1310" s="25"/>
      <c r="Y1310" s="25"/>
      <c r="Z1310" s="25"/>
    </row>
    <row r="1311" spans="1:26" ht="15.75" customHeight="1" x14ac:dyDescent="0.25">
      <c r="A1311" s="25">
        <v>1309</v>
      </c>
      <c r="B1311" s="37" t="e">
        <f t="shared" ref="B1311:D1311" si="2639">VLOOKUP($A1311,[4]Cultura!$A$1:$O$276,B$1,0)</f>
        <v>#N/A</v>
      </c>
      <c r="C1311" s="38" t="e">
        <f t="shared" si="2639"/>
        <v>#N/A</v>
      </c>
      <c r="D1311" s="39" t="e">
        <f t="shared" si="2639"/>
        <v>#N/A</v>
      </c>
      <c r="E1311" s="16" t="e">
        <f t="shared" si="1"/>
        <v>#N/A</v>
      </c>
      <c r="F1311" s="16" t="e">
        <f t="shared" ref="F1311:K1311" si="2640">VLOOKUP($A1311,[4]Cultura!$A$1:$O$276,F$1,0)</f>
        <v>#N/A</v>
      </c>
      <c r="G1311" s="39" t="e">
        <f t="shared" si="2640"/>
        <v>#N/A</v>
      </c>
      <c r="H1311" s="16" t="e">
        <f t="shared" si="2640"/>
        <v>#N/A</v>
      </c>
      <c r="I1311" s="16" t="e">
        <f t="shared" si="2640"/>
        <v>#N/A</v>
      </c>
      <c r="J1311" s="40" t="e">
        <f t="shared" si="2640"/>
        <v>#N/A</v>
      </c>
      <c r="K1311" s="16" t="e">
        <f t="shared" si="2640"/>
        <v>#N/A</v>
      </c>
      <c r="L1311" s="40" t="e">
        <f t="shared" si="2421"/>
        <v>#N/A</v>
      </c>
      <c r="M1311" s="16" t="e">
        <f t="shared" si="2422"/>
        <v>#N/A</v>
      </c>
      <c r="N1311" s="16" t="e">
        <f t="shared" si="2423"/>
        <v>#N/A</v>
      </c>
      <c r="O1311" s="16" t="s">
        <v>68</v>
      </c>
      <c r="P1311" s="16" t="str">
        <f t="shared" si="6"/>
        <v/>
      </c>
      <c r="Q1311" s="41" t="e">
        <f t="shared" si="2424"/>
        <v>#N/A</v>
      </c>
      <c r="R1311" s="44"/>
      <c r="S1311" s="44"/>
      <c r="T1311" s="43"/>
      <c r="U1311" s="43" t="str">
        <f t="shared" si="8"/>
        <v>No</v>
      </c>
      <c r="V1311" s="25"/>
      <c r="W1311" s="25"/>
      <c r="X1311" s="25"/>
      <c r="Y1311" s="25"/>
      <c r="Z1311" s="25"/>
    </row>
    <row r="1312" spans="1:26" ht="15.75" customHeight="1" x14ac:dyDescent="0.25">
      <c r="A1312" s="25">
        <v>1310</v>
      </c>
      <c r="B1312" s="37" t="e">
        <f t="shared" ref="B1312:D1312" si="2641">VLOOKUP($A1312,[4]Cultura!$A$1:$O$276,B$1,0)</f>
        <v>#N/A</v>
      </c>
      <c r="C1312" s="38" t="e">
        <f t="shared" si="2641"/>
        <v>#N/A</v>
      </c>
      <c r="D1312" s="39" t="e">
        <f t="shared" si="2641"/>
        <v>#N/A</v>
      </c>
      <c r="E1312" s="16" t="e">
        <f t="shared" si="1"/>
        <v>#N/A</v>
      </c>
      <c r="F1312" s="16" t="e">
        <f t="shared" ref="F1312:K1312" si="2642">VLOOKUP($A1312,[4]Cultura!$A$1:$O$276,F$1,0)</f>
        <v>#N/A</v>
      </c>
      <c r="G1312" s="39" t="e">
        <f t="shared" si="2642"/>
        <v>#N/A</v>
      </c>
      <c r="H1312" s="16" t="e">
        <f t="shared" si="2642"/>
        <v>#N/A</v>
      </c>
      <c r="I1312" s="16" t="e">
        <f t="shared" si="2642"/>
        <v>#N/A</v>
      </c>
      <c r="J1312" s="40" t="e">
        <f t="shared" si="2642"/>
        <v>#N/A</v>
      </c>
      <c r="K1312" s="16" t="e">
        <f t="shared" si="2642"/>
        <v>#N/A</v>
      </c>
      <c r="L1312" s="40" t="e">
        <f t="shared" si="2421"/>
        <v>#N/A</v>
      </c>
      <c r="M1312" s="16" t="e">
        <f t="shared" si="2422"/>
        <v>#N/A</v>
      </c>
      <c r="N1312" s="16" t="e">
        <f t="shared" si="2423"/>
        <v>#N/A</v>
      </c>
      <c r="O1312" s="16" t="s">
        <v>68</v>
      </c>
      <c r="P1312" s="16" t="str">
        <f t="shared" si="6"/>
        <v/>
      </c>
      <c r="Q1312" s="41" t="e">
        <f t="shared" si="2424"/>
        <v>#N/A</v>
      </c>
      <c r="R1312" s="44"/>
      <c r="S1312" s="44"/>
      <c r="T1312" s="43"/>
      <c r="U1312" s="43" t="str">
        <f t="shared" si="8"/>
        <v>No</v>
      </c>
      <c r="V1312" s="25"/>
      <c r="W1312" s="25"/>
      <c r="X1312" s="25"/>
      <c r="Y1312" s="25"/>
      <c r="Z1312" s="25"/>
    </row>
    <row r="1313" spans="1:26" ht="15.75" customHeight="1" x14ac:dyDescent="0.25">
      <c r="A1313" s="25">
        <v>1311</v>
      </c>
      <c r="B1313" s="37" t="e">
        <f t="shared" ref="B1313:D1313" si="2643">VLOOKUP($A1313,[4]Cultura!$A$1:$O$276,B$1,0)</f>
        <v>#N/A</v>
      </c>
      <c r="C1313" s="38" t="e">
        <f t="shared" si="2643"/>
        <v>#N/A</v>
      </c>
      <c r="D1313" s="39" t="e">
        <f t="shared" si="2643"/>
        <v>#N/A</v>
      </c>
      <c r="E1313" s="16" t="e">
        <f t="shared" si="1"/>
        <v>#N/A</v>
      </c>
      <c r="F1313" s="16" t="e">
        <f t="shared" ref="F1313:K1313" si="2644">VLOOKUP($A1313,[4]Cultura!$A$1:$O$276,F$1,0)</f>
        <v>#N/A</v>
      </c>
      <c r="G1313" s="39" t="e">
        <f t="shared" si="2644"/>
        <v>#N/A</v>
      </c>
      <c r="H1313" s="16" t="e">
        <f t="shared" si="2644"/>
        <v>#N/A</v>
      </c>
      <c r="I1313" s="16" t="e">
        <f t="shared" si="2644"/>
        <v>#N/A</v>
      </c>
      <c r="J1313" s="40" t="e">
        <f t="shared" si="2644"/>
        <v>#N/A</v>
      </c>
      <c r="K1313" s="16" t="e">
        <f t="shared" si="2644"/>
        <v>#N/A</v>
      </c>
      <c r="L1313" s="40" t="e">
        <f t="shared" si="2421"/>
        <v>#N/A</v>
      </c>
      <c r="M1313" s="16" t="e">
        <f t="shared" si="2422"/>
        <v>#N/A</v>
      </c>
      <c r="N1313" s="16" t="e">
        <f t="shared" si="2423"/>
        <v>#N/A</v>
      </c>
      <c r="O1313" s="16" t="s">
        <v>68</v>
      </c>
      <c r="P1313" s="16" t="str">
        <f t="shared" si="6"/>
        <v/>
      </c>
      <c r="Q1313" s="41" t="e">
        <f t="shared" si="2424"/>
        <v>#N/A</v>
      </c>
      <c r="R1313" s="44"/>
      <c r="S1313" s="44"/>
      <c r="T1313" s="43"/>
      <c r="U1313" s="43" t="str">
        <f t="shared" si="8"/>
        <v>No</v>
      </c>
      <c r="V1313" s="25"/>
      <c r="W1313" s="25"/>
      <c r="X1313" s="25"/>
      <c r="Y1313" s="25"/>
      <c r="Z1313" s="25"/>
    </row>
    <row r="1314" spans="1:26" ht="15.75" customHeight="1" x14ac:dyDescent="0.25">
      <c r="A1314" s="25">
        <v>1312</v>
      </c>
      <c r="B1314" s="37" t="e">
        <f t="shared" ref="B1314:D1314" si="2645">VLOOKUP($A1314,[4]Cultura!$A$1:$O$276,B$1,0)</f>
        <v>#N/A</v>
      </c>
      <c r="C1314" s="38" t="e">
        <f t="shared" si="2645"/>
        <v>#N/A</v>
      </c>
      <c r="D1314" s="39" t="e">
        <f t="shared" si="2645"/>
        <v>#N/A</v>
      </c>
      <c r="E1314" s="16" t="e">
        <f t="shared" si="1"/>
        <v>#N/A</v>
      </c>
      <c r="F1314" s="16" t="e">
        <f t="shared" ref="F1314:K1314" si="2646">VLOOKUP($A1314,[4]Cultura!$A$1:$O$276,F$1,0)</f>
        <v>#N/A</v>
      </c>
      <c r="G1314" s="39" t="e">
        <f t="shared" si="2646"/>
        <v>#N/A</v>
      </c>
      <c r="H1314" s="16" t="e">
        <f t="shared" si="2646"/>
        <v>#N/A</v>
      </c>
      <c r="I1314" s="16" t="e">
        <f t="shared" si="2646"/>
        <v>#N/A</v>
      </c>
      <c r="J1314" s="40" t="e">
        <f t="shared" si="2646"/>
        <v>#N/A</v>
      </c>
      <c r="K1314" s="16" t="e">
        <f t="shared" si="2646"/>
        <v>#N/A</v>
      </c>
      <c r="L1314" s="40" t="e">
        <f t="shared" si="2421"/>
        <v>#N/A</v>
      </c>
      <c r="M1314" s="16" t="e">
        <f t="shared" si="2422"/>
        <v>#N/A</v>
      </c>
      <c r="N1314" s="16" t="e">
        <f t="shared" si="2423"/>
        <v>#N/A</v>
      </c>
      <c r="O1314" s="16" t="s">
        <v>68</v>
      </c>
      <c r="P1314" s="16" t="str">
        <f t="shared" si="6"/>
        <v/>
      </c>
      <c r="Q1314" s="41" t="e">
        <f t="shared" si="2424"/>
        <v>#N/A</v>
      </c>
      <c r="R1314" s="44"/>
      <c r="S1314" s="44"/>
      <c r="T1314" s="43"/>
      <c r="U1314" s="43" t="str">
        <f t="shared" si="8"/>
        <v>No</v>
      </c>
      <c r="V1314" s="25"/>
      <c r="W1314" s="25"/>
      <c r="X1314" s="25"/>
      <c r="Y1314" s="25"/>
      <c r="Z1314" s="25"/>
    </row>
    <row r="1315" spans="1:26" ht="15.75" customHeight="1" x14ac:dyDescent="0.25">
      <c r="A1315" s="25">
        <v>1313</v>
      </c>
      <c r="B1315" s="37" t="e">
        <f t="shared" ref="B1315:D1315" si="2647">VLOOKUP($A1315,[4]Cultura!$A$1:$O$276,B$1,0)</f>
        <v>#N/A</v>
      </c>
      <c r="C1315" s="38" t="e">
        <f t="shared" si="2647"/>
        <v>#N/A</v>
      </c>
      <c r="D1315" s="39" t="e">
        <f t="shared" si="2647"/>
        <v>#N/A</v>
      </c>
      <c r="E1315" s="16" t="e">
        <f t="shared" si="1"/>
        <v>#N/A</v>
      </c>
      <c r="F1315" s="16" t="e">
        <f t="shared" ref="F1315:K1315" si="2648">VLOOKUP($A1315,[4]Cultura!$A$1:$O$276,F$1,0)</f>
        <v>#N/A</v>
      </c>
      <c r="G1315" s="39" t="e">
        <f t="shared" si="2648"/>
        <v>#N/A</v>
      </c>
      <c r="H1315" s="16" t="e">
        <f t="shared" si="2648"/>
        <v>#N/A</v>
      </c>
      <c r="I1315" s="16" t="e">
        <f t="shared" si="2648"/>
        <v>#N/A</v>
      </c>
      <c r="J1315" s="40" t="e">
        <f t="shared" si="2648"/>
        <v>#N/A</v>
      </c>
      <c r="K1315" s="16" t="e">
        <f t="shared" si="2648"/>
        <v>#N/A</v>
      </c>
      <c r="L1315" s="40" t="e">
        <f t="shared" si="2421"/>
        <v>#N/A</v>
      </c>
      <c r="M1315" s="16" t="e">
        <f t="shared" si="2422"/>
        <v>#N/A</v>
      </c>
      <c r="N1315" s="16" t="e">
        <f t="shared" si="2423"/>
        <v>#N/A</v>
      </c>
      <c r="O1315" s="16" t="s">
        <v>68</v>
      </c>
      <c r="P1315" s="16" t="str">
        <f t="shared" si="6"/>
        <v/>
      </c>
      <c r="Q1315" s="41" t="e">
        <f t="shared" si="2424"/>
        <v>#N/A</v>
      </c>
      <c r="R1315" s="44"/>
      <c r="S1315" s="44"/>
      <c r="T1315" s="43"/>
      <c r="U1315" s="43" t="str">
        <f t="shared" si="8"/>
        <v>No</v>
      </c>
      <c r="V1315" s="25"/>
      <c r="W1315" s="25"/>
      <c r="X1315" s="25"/>
      <c r="Y1315" s="25"/>
      <c r="Z1315" s="25"/>
    </row>
    <row r="1316" spans="1:26" ht="15.75" customHeight="1" x14ac:dyDescent="0.25">
      <c r="A1316" s="25">
        <v>1314</v>
      </c>
      <c r="B1316" s="37" t="e">
        <f t="shared" ref="B1316:D1316" si="2649">VLOOKUP($A1316,[4]Cultura!$A$1:$O$276,B$1,0)</f>
        <v>#N/A</v>
      </c>
      <c r="C1316" s="38" t="e">
        <f t="shared" si="2649"/>
        <v>#N/A</v>
      </c>
      <c r="D1316" s="39" t="e">
        <f t="shared" si="2649"/>
        <v>#N/A</v>
      </c>
      <c r="E1316" s="16" t="e">
        <f t="shared" si="1"/>
        <v>#N/A</v>
      </c>
      <c r="F1316" s="16" t="e">
        <f t="shared" ref="F1316:K1316" si="2650">VLOOKUP($A1316,[4]Cultura!$A$1:$O$276,F$1,0)</f>
        <v>#N/A</v>
      </c>
      <c r="G1316" s="39" t="e">
        <f t="shared" si="2650"/>
        <v>#N/A</v>
      </c>
      <c r="H1316" s="16" t="e">
        <f t="shared" si="2650"/>
        <v>#N/A</v>
      </c>
      <c r="I1316" s="16" t="e">
        <f t="shared" si="2650"/>
        <v>#N/A</v>
      </c>
      <c r="J1316" s="40" t="e">
        <f t="shared" si="2650"/>
        <v>#N/A</v>
      </c>
      <c r="K1316" s="16" t="e">
        <f t="shared" si="2650"/>
        <v>#N/A</v>
      </c>
      <c r="L1316" s="40" t="e">
        <f t="shared" si="2421"/>
        <v>#N/A</v>
      </c>
      <c r="M1316" s="16" t="e">
        <f t="shared" si="2422"/>
        <v>#N/A</v>
      </c>
      <c r="N1316" s="16" t="e">
        <f t="shared" si="2423"/>
        <v>#N/A</v>
      </c>
      <c r="O1316" s="16" t="s">
        <v>68</v>
      </c>
      <c r="P1316" s="16" t="str">
        <f t="shared" si="6"/>
        <v/>
      </c>
      <c r="Q1316" s="41" t="e">
        <f t="shared" si="2424"/>
        <v>#N/A</v>
      </c>
      <c r="R1316" s="44"/>
      <c r="S1316" s="44"/>
      <c r="T1316" s="43"/>
      <c r="U1316" s="43" t="str">
        <f t="shared" si="8"/>
        <v>No</v>
      </c>
      <c r="V1316" s="25"/>
      <c r="W1316" s="25"/>
      <c r="X1316" s="25"/>
      <c r="Y1316" s="25"/>
      <c r="Z1316" s="25"/>
    </row>
    <row r="1317" spans="1:26" ht="15.75" customHeight="1" x14ac:dyDescent="0.25">
      <c r="A1317" s="25">
        <v>1315</v>
      </c>
      <c r="B1317" s="37" t="e">
        <f t="shared" ref="B1317:D1317" si="2651">VLOOKUP($A1317,[4]Cultura!$A$1:$O$276,B$1,0)</f>
        <v>#N/A</v>
      </c>
      <c r="C1317" s="38" t="e">
        <f t="shared" si="2651"/>
        <v>#N/A</v>
      </c>
      <c r="D1317" s="39" t="e">
        <f t="shared" si="2651"/>
        <v>#N/A</v>
      </c>
      <c r="E1317" s="16" t="e">
        <f t="shared" si="1"/>
        <v>#N/A</v>
      </c>
      <c r="F1317" s="16" t="e">
        <f t="shared" ref="F1317:K1317" si="2652">VLOOKUP($A1317,[4]Cultura!$A$1:$O$276,F$1,0)</f>
        <v>#N/A</v>
      </c>
      <c r="G1317" s="39" t="e">
        <f t="shared" si="2652"/>
        <v>#N/A</v>
      </c>
      <c r="H1317" s="16" t="e">
        <f t="shared" si="2652"/>
        <v>#N/A</v>
      </c>
      <c r="I1317" s="16" t="e">
        <f t="shared" si="2652"/>
        <v>#N/A</v>
      </c>
      <c r="J1317" s="40" t="e">
        <f t="shared" si="2652"/>
        <v>#N/A</v>
      </c>
      <c r="K1317" s="16" t="e">
        <f t="shared" si="2652"/>
        <v>#N/A</v>
      </c>
      <c r="L1317" s="40" t="e">
        <f t="shared" si="2421"/>
        <v>#N/A</v>
      </c>
      <c r="M1317" s="16" t="e">
        <f t="shared" si="2422"/>
        <v>#N/A</v>
      </c>
      <c r="N1317" s="16" t="e">
        <f t="shared" si="2423"/>
        <v>#N/A</v>
      </c>
      <c r="O1317" s="16" t="s">
        <v>68</v>
      </c>
      <c r="P1317" s="16" t="str">
        <f t="shared" si="6"/>
        <v/>
      </c>
      <c r="Q1317" s="41" t="e">
        <f t="shared" si="2424"/>
        <v>#N/A</v>
      </c>
      <c r="R1317" s="44"/>
      <c r="S1317" s="44"/>
      <c r="T1317" s="43"/>
      <c r="U1317" s="43" t="str">
        <f t="shared" si="8"/>
        <v>No</v>
      </c>
      <c r="V1317" s="25"/>
      <c r="W1317" s="25"/>
      <c r="X1317" s="25"/>
      <c r="Y1317" s="25"/>
      <c r="Z1317" s="25"/>
    </row>
    <row r="1318" spans="1:26" ht="15.75" customHeight="1" x14ac:dyDescent="0.25">
      <c r="A1318" s="25">
        <v>1316</v>
      </c>
      <c r="B1318" s="37" t="e">
        <f t="shared" ref="B1318:D1318" si="2653">VLOOKUP($A1318,[4]Cultura!$A$1:$O$276,B$1,0)</f>
        <v>#N/A</v>
      </c>
      <c r="C1318" s="38" t="e">
        <f t="shared" si="2653"/>
        <v>#N/A</v>
      </c>
      <c r="D1318" s="39" t="e">
        <f t="shared" si="2653"/>
        <v>#N/A</v>
      </c>
      <c r="E1318" s="16" t="e">
        <f t="shared" si="1"/>
        <v>#N/A</v>
      </c>
      <c r="F1318" s="16" t="e">
        <f t="shared" ref="F1318:K1318" si="2654">VLOOKUP($A1318,[4]Cultura!$A$1:$O$276,F$1,0)</f>
        <v>#N/A</v>
      </c>
      <c r="G1318" s="39" t="e">
        <f t="shared" si="2654"/>
        <v>#N/A</v>
      </c>
      <c r="H1318" s="16" t="e">
        <f t="shared" si="2654"/>
        <v>#N/A</v>
      </c>
      <c r="I1318" s="16" t="e">
        <f t="shared" si="2654"/>
        <v>#N/A</v>
      </c>
      <c r="J1318" s="40" t="e">
        <f t="shared" si="2654"/>
        <v>#N/A</v>
      </c>
      <c r="K1318" s="16" t="e">
        <f t="shared" si="2654"/>
        <v>#N/A</v>
      </c>
      <c r="L1318" s="40" t="e">
        <f t="shared" si="2421"/>
        <v>#N/A</v>
      </c>
      <c r="M1318" s="16" t="e">
        <f t="shared" si="2422"/>
        <v>#N/A</v>
      </c>
      <c r="N1318" s="16" t="e">
        <f t="shared" si="2423"/>
        <v>#N/A</v>
      </c>
      <c r="O1318" s="16" t="s">
        <v>68</v>
      </c>
      <c r="P1318" s="16" t="str">
        <f t="shared" si="6"/>
        <v/>
      </c>
      <c r="Q1318" s="41" t="e">
        <f t="shared" si="2424"/>
        <v>#N/A</v>
      </c>
      <c r="R1318" s="44"/>
      <c r="S1318" s="44"/>
      <c r="T1318" s="43"/>
      <c r="U1318" s="43" t="str">
        <f t="shared" si="8"/>
        <v>No</v>
      </c>
      <c r="V1318" s="25"/>
      <c r="W1318" s="25"/>
      <c r="X1318" s="25"/>
      <c r="Y1318" s="25"/>
      <c r="Z1318" s="25"/>
    </row>
    <row r="1319" spans="1:26" ht="15.75" customHeight="1" x14ac:dyDescent="0.25">
      <c r="A1319" s="25">
        <v>1317</v>
      </c>
      <c r="B1319" s="37" t="e">
        <f t="shared" ref="B1319:D1319" si="2655">VLOOKUP($A1319,[4]Cultura!$A$1:$O$276,B$1,0)</f>
        <v>#N/A</v>
      </c>
      <c r="C1319" s="38" t="e">
        <f t="shared" si="2655"/>
        <v>#N/A</v>
      </c>
      <c r="D1319" s="39" t="e">
        <f t="shared" si="2655"/>
        <v>#N/A</v>
      </c>
      <c r="E1319" s="16" t="e">
        <f t="shared" si="1"/>
        <v>#N/A</v>
      </c>
      <c r="F1319" s="16" t="e">
        <f t="shared" ref="F1319:K1319" si="2656">VLOOKUP($A1319,[4]Cultura!$A$1:$O$276,F$1,0)</f>
        <v>#N/A</v>
      </c>
      <c r="G1319" s="39" t="e">
        <f t="shared" si="2656"/>
        <v>#N/A</v>
      </c>
      <c r="H1319" s="16" t="e">
        <f t="shared" si="2656"/>
        <v>#N/A</v>
      </c>
      <c r="I1319" s="16" t="e">
        <f t="shared" si="2656"/>
        <v>#N/A</v>
      </c>
      <c r="J1319" s="40" t="e">
        <f t="shared" si="2656"/>
        <v>#N/A</v>
      </c>
      <c r="K1319" s="16" t="e">
        <f t="shared" si="2656"/>
        <v>#N/A</v>
      </c>
      <c r="L1319" s="40" t="e">
        <f t="shared" si="2421"/>
        <v>#N/A</v>
      </c>
      <c r="M1319" s="16" t="e">
        <f t="shared" si="2422"/>
        <v>#N/A</v>
      </c>
      <c r="N1319" s="16" t="e">
        <f t="shared" si="2423"/>
        <v>#N/A</v>
      </c>
      <c r="O1319" s="16" t="s">
        <v>68</v>
      </c>
      <c r="P1319" s="16" t="str">
        <f t="shared" si="6"/>
        <v/>
      </c>
      <c r="Q1319" s="41" t="e">
        <f t="shared" si="2424"/>
        <v>#N/A</v>
      </c>
      <c r="R1319" s="44"/>
      <c r="S1319" s="44"/>
      <c r="T1319" s="43"/>
      <c r="U1319" s="43" t="str">
        <f t="shared" si="8"/>
        <v>No</v>
      </c>
      <c r="V1319" s="25"/>
      <c r="W1319" s="25"/>
      <c r="X1319" s="25"/>
      <c r="Y1319" s="25"/>
      <c r="Z1319" s="25"/>
    </row>
    <row r="1320" spans="1:26" ht="15.75" customHeight="1" x14ac:dyDescent="0.25">
      <c r="A1320" s="25">
        <v>1318</v>
      </c>
      <c r="B1320" s="37" t="e">
        <f t="shared" ref="B1320:D1320" si="2657">VLOOKUP($A1320,[4]Cultura!$A$1:$O$276,B$1,0)</f>
        <v>#N/A</v>
      </c>
      <c r="C1320" s="38" t="e">
        <f t="shared" si="2657"/>
        <v>#N/A</v>
      </c>
      <c r="D1320" s="39" t="e">
        <f t="shared" si="2657"/>
        <v>#N/A</v>
      </c>
      <c r="E1320" s="16" t="e">
        <f t="shared" si="1"/>
        <v>#N/A</v>
      </c>
      <c r="F1320" s="16" t="e">
        <f t="shared" ref="F1320:K1320" si="2658">VLOOKUP($A1320,[4]Cultura!$A$1:$O$276,F$1,0)</f>
        <v>#N/A</v>
      </c>
      <c r="G1320" s="39" t="e">
        <f t="shared" si="2658"/>
        <v>#N/A</v>
      </c>
      <c r="H1320" s="16" t="e">
        <f t="shared" si="2658"/>
        <v>#N/A</v>
      </c>
      <c r="I1320" s="16" t="e">
        <f t="shared" si="2658"/>
        <v>#N/A</v>
      </c>
      <c r="J1320" s="40" t="e">
        <f t="shared" si="2658"/>
        <v>#N/A</v>
      </c>
      <c r="K1320" s="16" t="e">
        <f t="shared" si="2658"/>
        <v>#N/A</v>
      </c>
      <c r="L1320" s="40" t="e">
        <f t="shared" si="2421"/>
        <v>#N/A</v>
      </c>
      <c r="M1320" s="16" t="e">
        <f t="shared" si="2422"/>
        <v>#N/A</v>
      </c>
      <c r="N1320" s="16" t="e">
        <f t="shared" si="2423"/>
        <v>#N/A</v>
      </c>
      <c r="O1320" s="16" t="s">
        <v>68</v>
      </c>
      <c r="P1320" s="16" t="str">
        <f t="shared" si="6"/>
        <v/>
      </c>
      <c r="Q1320" s="41" t="e">
        <f t="shared" si="2424"/>
        <v>#N/A</v>
      </c>
      <c r="R1320" s="44"/>
      <c r="S1320" s="44"/>
      <c r="T1320" s="43"/>
      <c r="U1320" s="43" t="str">
        <f t="shared" si="8"/>
        <v>No</v>
      </c>
      <c r="V1320" s="25"/>
      <c r="W1320" s="25"/>
      <c r="X1320" s="25"/>
      <c r="Y1320" s="25"/>
      <c r="Z1320" s="25"/>
    </row>
    <row r="1321" spans="1:26" ht="15.75" customHeight="1" x14ac:dyDescent="0.25">
      <c r="A1321" s="25">
        <v>1319</v>
      </c>
      <c r="B1321" s="37" t="e">
        <f t="shared" ref="B1321:D1321" si="2659">VLOOKUP($A1321,[4]Cultura!$A$1:$O$276,B$1,0)</f>
        <v>#N/A</v>
      </c>
      <c r="C1321" s="38" t="e">
        <f t="shared" si="2659"/>
        <v>#N/A</v>
      </c>
      <c r="D1321" s="39" t="e">
        <f t="shared" si="2659"/>
        <v>#N/A</v>
      </c>
      <c r="E1321" s="16" t="e">
        <f t="shared" si="1"/>
        <v>#N/A</v>
      </c>
      <c r="F1321" s="16" t="e">
        <f t="shared" ref="F1321:K1321" si="2660">VLOOKUP($A1321,[4]Cultura!$A$1:$O$276,F$1,0)</f>
        <v>#N/A</v>
      </c>
      <c r="G1321" s="39" t="e">
        <f t="shared" si="2660"/>
        <v>#N/A</v>
      </c>
      <c r="H1321" s="16" t="e">
        <f t="shared" si="2660"/>
        <v>#N/A</v>
      </c>
      <c r="I1321" s="16" t="e">
        <f t="shared" si="2660"/>
        <v>#N/A</v>
      </c>
      <c r="J1321" s="40" t="e">
        <f t="shared" si="2660"/>
        <v>#N/A</v>
      </c>
      <c r="K1321" s="16" t="e">
        <f t="shared" si="2660"/>
        <v>#N/A</v>
      </c>
      <c r="L1321" s="40" t="e">
        <f t="shared" si="2421"/>
        <v>#N/A</v>
      </c>
      <c r="M1321" s="16" t="e">
        <f t="shared" si="2422"/>
        <v>#N/A</v>
      </c>
      <c r="N1321" s="16" t="e">
        <f t="shared" si="2423"/>
        <v>#N/A</v>
      </c>
      <c r="O1321" s="16" t="s">
        <v>68</v>
      </c>
      <c r="P1321" s="16" t="str">
        <f t="shared" si="6"/>
        <v/>
      </c>
      <c r="Q1321" s="41" t="e">
        <f t="shared" si="2424"/>
        <v>#N/A</v>
      </c>
      <c r="R1321" s="44"/>
      <c r="S1321" s="44"/>
      <c r="T1321" s="43"/>
      <c r="U1321" s="43" t="str">
        <f t="shared" si="8"/>
        <v>No</v>
      </c>
      <c r="V1321" s="25"/>
      <c r="W1321" s="25"/>
      <c r="X1321" s="25"/>
      <c r="Y1321" s="25"/>
      <c r="Z1321" s="25"/>
    </row>
    <row r="1322" spans="1:26" ht="15.75" customHeight="1" x14ac:dyDescent="0.25">
      <c r="A1322" s="25">
        <v>1320</v>
      </c>
      <c r="B1322" s="37" t="e">
        <f t="shared" ref="B1322:D1322" si="2661">VLOOKUP($A1322,[4]Cultura!$A$1:$O$276,B$1,0)</f>
        <v>#N/A</v>
      </c>
      <c r="C1322" s="38" t="e">
        <f t="shared" si="2661"/>
        <v>#N/A</v>
      </c>
      <c r="D1322" s="39" t="e">
        <f t="shared" si="2661"/>
        <v>#N/A</v>
      </c>
      <c r="E1322" s="16" t="e">
        <f t="shared" si="1"/>
        <v>#N/A</v>
      </c>
      <c r="F1322" s="16" t="e">
        <f t="shared" ref="F1322:K1322" si="2662">VLOOKUP($A1322,[4]Cultura!$A$1:$O$276,F$1,0)</f>
        <v>#N/A</v>
      </c>
      <c r="G1322" s="39" t="e">
        <f t="shared" si="2662"/>
        <v>#N/A</v>
      </c>
      <c r="H1322" s="16" t="e">
        <f t="shared" si="2662"/>
        <v>#N/A</v>
      </c>
      <c r="I1322" s="16" t="e">
        <f t="shared" si="2662"/>
        <v>#N/A</v>
      </c>
      <c r="J1322" s="40" t="e">
        <f t="shared" si="2662"/>
        <v>#N/A</v>
      </c>
      <c r="K1322" s="16" t="e">
        <f t="shared" si="2662"/>
        <v>#N/A</v>
      </c>
      <c r="L1322" s="40" t="e">
        <f t="shared" si="2421"/>
        <v>#N/A</v>
      </c>
      <c r="M1322" s="16" t="e">
        <f t="shared" si="2422"/>
        <v>#N/A</v>
      </c>
      <c r="N1322" s="16" t="e">
        <f t="shared" si="2423"/>
        <v>#N/A</v>
      </c>
      <c r="O1322" s="16" t="s">
        <v>68</v>
      </c>
      <c r="P1322" s="16" t="str">
        <f t="shared" si="6"/>
        <v/>
      </c>
      <c r="Q1322" s="41" t="e">
        <f t="shared" si="2424"/>
        <v>#N/A</v>
      </c>
      <c r="R1322" s="44"/>
      <c r="S1322" s="44"/>
      <c r="T1322" s="43"/>
      <c r="U1322" s="43" t="str">
        <f t="shared" si="8"/>
        <v>No</v>
      </c>
      <c r="V1322" s="25"/>
      <c r="W1322" s="25"/>
      <c r="X1322" s="25"/>
      <c r="Y1322" s="25"/>
      <c r="Z1322" s="25"/>
    </row>
    <row r="1323" spans="1:26" ht="15.75" customHeight="1" x14ac:dyDescent="0.25">
      <c r="A1323" s="25">
        <v>1321</v>
      </c>
      <c r="B1323" s="37" t="e">
        <f t="shared" ref="B1323:D1323" si="2663">VLOOKUP($A1323,[4]Cultura!$A$1:$O$276,B$1,0)</f>
        <v>#N/A</v>
      </c>
      <c r="C1323" s="38" t="e">
        <f t="shared" si="2663"/>
        <v>#N/A</v>
      </c>
      <c r="D1323" s="39" t="e">
        <f t="shared" si="2663"/>
        <v>#N/A</v>
      </c>
      <c r="E1323" s="16" t="e">
        <f t="shared" si="1"/>
        <v>#N/A</v>
      </c>
      <c r="F1323" s="16" t="e">
        <f t="shared" ref="F1323:K1323" si="2664">VLOOKUP($A1323,[4]Cultura!$A$1:$O$276,F$1,0)</f>
        <v>#N/A</v>
      </c>
      <c r="G1323" s="39" t="e">
        <f t="shared" si="2664"/>
        <v>#N/A</v>
      </c>
      <c r="H1323" s="16" t="e">
        <f t="shared" si="2664"/>
        <v>#N/A</v>
      </c>
      <c r="I1323" s="16" t="e">
        <f t="shared" si="2664"/>
        <v>#N/A</v>
      </c>
      <c r="J1323" s="40" t="e">
        <f t="shared" si="2664"/>
        <v>#N/A</v>
      </c>
      <c r="K1323" s="16" t="e">
        <f t="shared" si="2664"/>
        <v>#N/A</v>
      </c>
      <c r="L1323" s="40" t="e">
        <f t="shared" si="2421"/>
        <v>#N/A</v>
      </c>
      <c r="M1323" s="16" t="e">
        <f t="shared" si="2422"/>
        <v>#N/A</v>
      </c>
      <c r="N1323" s="16" t="e">
        <f t="shared" si="2423"/>
        <v>#N/A</v>
      </c>
      <c r="O1323" s="16" t="s">
        <v>68</v>
      </c>
      <c r="P1323" s="16" t="str">
        <f t="shared" si="6"/>
        <v/>
      </c>
      <c r="Q1323" s="41" t="e">
        <f t="shared" si="2424"/>
        <v>#N/A</v>
      </c>
      <c r="R1323" s="44"/>
      <c r="S1323" s="44"/>
      <c r="T1323" s="43"/>
      <c r="U1323" s="43" t="str">
        <f t="shared" si="8"/>
        <v>No</v>
      </c>
      <c r="V1323" s="25"/>
      <c r="W1323" s="25"/>
      <c r="X1323" s="25"/>
      <c r="Y1323" s="25"/>
      <c r="Z1323" s="25"/>
    </row>
    <row r="1324" spans="1:26" ht="15.75" customHeight="1" x14ac:dyDescent="0.25">
      <c r="A1324" s="25">
        <v>1322</v>
      </c>
      <c r="B1324" s="37" t="e">
        <f t="shared" ref="B1324:D1324" si="2665">VLOOKUP($A1324,[4]Cultura!$A$1:$O$276,B$1,0)</f>
        <v>#N/A</v>
      </c>
      <c r="C1324" s="38" t="e">
        <f t="shared" si="2665"/>
        <v>#N/A</v>
      </c>
      <c r="D1324" s="39" t="e">
        <f t="shared" si="2665"/>
        <v>#N/A</v>
      </c>
      <c r="E1324" s="16" t="e">
        <f t="shared" si="1"/>
        <v>#N/A</v>
      </c>
      <c r="F1324" s="16" t="e">
        <f t="shared" ref="F1324:K1324" si="2666">VLOOKUP($A1324,[4]Cultura!$A$1:$O$276,F$1,0)</f>
        <v>#N/A</v>
      </c>
      <c r="G1324" s="39" t="e">
        <f t="shared" si="2666"/>
        <v>#N/A</v>
      </c>
      <c r="H1324" s="16" t="e">
        <f t="shared" si="2666"/>
        <v>#N/A</v>
      </c>
      <c r="I1324" s="16" t="e">
        <f t="shared" si="2666"/>
        <v>#N/A</v>
      </c>
      <c r="J1324" s="40" t="e">
        <f t="shared" si="2666"/>
        <v>#N/A</v>
      </c>
      <c r="K1324" s="16" t="e">
        <f t="shared" si="2666"/>
        <v>#N/A</v>
      </c>
      <c r="L1324" s="40" t="e">
        <f t="shared" si="2421"/>
        <v>#N/A</v>
      </c>
      <c r="M1324" s="16" t="e">
        <f t="shared" si="2422"/>
        <v>#N/A</v>
      </c>
      <c r="N1324" s="16" t="e">
        <f t="shared" si="2423"/>
        <v>#N/A</v>
      </c>
      <c r="O1324" s="16" t="s">
        <v>68</v>
      </c>
      <c r="P1324" s="16" t="str">
        <f t="shared" si="6"/>
        <v/>
      </c>
      <c r="Q1324" s="41" t="e">
        <f t="shared" si="2424"/>
        <v>#N/A</v>
      </c>
      <c r="R1324" s="44"/>
      <c r="S1324" s="44"/>
      <c r="T1324" s="43"/>
      <c r="U1324" s="43" t="str">
        <f t="shared" si="8"/>
        <v>No</v>
      </c>
      <c r="V1324" s="25"/>
      <c r="W1324" s="25"/>
      <c r="X1324" s="25"/>
      <c r="Y1324" s="25"/>
      <c r="Z1324" s="25"/>
    </row>
    <row r="1325" spans="1:26" ht="15.75" customHeight="1" x14ac:dyDescent="0.25">
      <c r="A1325" s="25">
        <v>1323</v>
      </c>
      <c r="B1325" s="37" t="e">
        <f t="shared" ref="B1325:D1325" si="2667">VLOOKUP($A1325,[4]Cultura!$A$1:$O$276,B$1,0)</f>
        <v>#N/A</v>
      </c>
      <c r="C1325" s="38" t="e">
        <f t="shared" si="2667"/>
        <v>#N/A</v>
      </c>
      <c r="D1325" s="39" t="e">
        <f t="shared" si="2667"/>
        <v>#N/A</v>
      </c>
      <c r="E1325" s="16" t="e">
        <f t="shared" si="1"/>
        <v>#N/A</v>
      </c>
      <c r="F1325" s="16" t="e">
        <f t="shared" ref="F1325:K1325" si="2668">VLOOKUP($A1325,[4]Cultura!$A$1:$O$276,F$1,0)</f>
        <v>#N/A</v>
      </c>
      <c r="G1325" s="39" t="e">
        <f t="shared" si="2668"/>
        <v>#N/A</v>
      </c>
      <c r="H1325" s="16" t="e">
        <f t="shared" si="2668"/>
        <v>#N/A</v>
      </c>
      <c r="I1325" s="16" t="e">
        <f t="shared" si="2668"/>
        <v>#N/A</v>
      </c>
      <c r="J1325" s="40" t="e">
        <f t="shared" si="2668"/>
        <v>#N/A</v>
      </c>
      <c r="K1325" s="16" t="e">
        <f t="shared" si="2668"/>
        <v>#N/A</v>
      </c>
      <c r="L1325" s="40" t="e">
        <f t="shared" si="2421"/>
        <v>#N/A</v>
      </c>
      <c r="M1325" s="16" t="e">
        <f t="shared" si="2422"/>
        <v>#N/A</v>
      </c>
      <c r="N1325" s="16" t="e">
        <f t="shared" si="2423"/>
        <v>#N/A</v>
      </c>
      <c r="O1325" s="16" t="s">
        <v>68</v>
      </c>
      <c r="P1325" s="16" t="str">
        <f t="shared" si="6"/>
        <v/>
      </c>
      <c r="Q1325" s="41" t="e">
        <f t="shared" si="2424"/>
        <v>#N/A</v>
      </c>
      <c r="R1325" s="44"/>
      <c r="S1325" s="44"/>
      <c r="T1325" s="43"/>
      <c r="U1325" s="43" t="str">
        <f t="shared" si="8"/>
        <v>No</v>
      </c>
      <c r="V1325" s="25"/>
      <c r="W1325" s="25"/>
      <c r="X1325" s="25"/>
      <c r="Y1325" s="25"/>
      <c r="Z1325" s="25"/>
    </row>
    <row r="1326" spans="1:26" ht="15.75" customHeight="1" x14ac:dyDescent="0.25">
      <c r="A1326" s="25">
        <v>1324</v>
      </c>
      <c r="B1326" s="37" t="e">
        <f t="shared" ref="B1326:D1326" si="2669">VLOOKUP($A1326,[4]Cultura!$A$1:$O$276,B$1,0)</f>
        <v>#N/A</v>
      </c>
      <c r="C1326" s="38" t="e">
        <f t="shared" si="2669"/>
        <v>#N/A</v>
      </c>
      <c r="D1326" s="39" t="e">
        <f t="shared" si="2669"/>
        <v>#N/A</v>
      </c>
      <c r="E1326" s="16" t="e">
        <f t="shared" si="1"/>
        <v>#N/A</v>
      </c>
      <c r="F1326" s="16" t="e">
        <f t="shared" ref="F1326:K1326" si="2670">VLOOKUP($A1326,[4]Cultura!$A$1:$O$276,F$1,0)</f>
        <v>#N/A</v>
      </c>
      <c r="G1326" s="39" t="e">
        <f t="shared" si="2670"/>
        <v>#N/A</v>
      </c>
      <c r="H1326" s="16" t="e">
        <f t="shared" si="2670"/>
        <v>#N/A</v>
      </c>
      <c r="I1326" s="16" t="e">
        <f t="shared" si="2670"/>
        <v>#N/A</v>
      </c>
      <c r="J1326" s="40" t="e">
        <f t="shared" si="2670"/>
        <v>#N/A</v>
      </c>
      <c r="K1326" s="16" t="e">
        <f t="shared" si="2670"/>
        <v>#N/A</v>
      </c>
      <c r="L1326" s="40" t="e">
        <f t="shared" si="2421"/>
        <v>#N/A</v>
      </c>
      <c r="M1326" s="16" t="e">
        <f t="shared" si="2422"/>
        <v>#N/A</v>
      </c>
      <c r="N1326" s="16" t="e">
        <f t="shared" si="2423"/>
        <v>#N/A</v>
      </c>
      <c r="O1326" s="16" t="s">
        <v>68</v>
      </c>
      <c r="P1326" s="16" t="str">
        <f t="shared" si="6"/>
        <v/>
      </c>
      <c r="Q1326" s="41" t="e">
        <f t="shared" si="2424"/>
        <v>#N/A</v>
      </c>
      <c r="R1326" s="44"/>
      <c r="S1326" s="44"/>
      <c r="T1326" s="43"/>
      <c r="U1326" s="43" t="str">
        <f t="shared" si="8"/>
        <v>No</v>
      </c>
      <c r="V1326" s="25"/>
      <c r="W1326" s="25"/>
      <c r="X1326" s="25"/>
      <c r="Y1326" s="25"/>
      <c r="Z1326" s="25"/>
    </row>
    <row r="1327" spans="1:26" ht="15.75" customHeight="1" x14ac:dyDescent="0.25">
      <c r="A1327" s="25">
        <v>1325</v>
      </c>
      <c r="B1327" s="37" t="e">
        <f t="shared" ref="B1327:D1327" si="2671">VLOOKUP($A1327,[4]Cultura!$A$1:$O$276,B$1,0)</f>
        <v>#N/A</v>
      </c>
      <c r="C1327" s="38" t="e">
        <f t="shared" si="2671"/>
        <v>#N/A</v>
      </c>
      <c r="D1327" s="39" t="e">
        <f t="shared" si="2671"/>
        <v>#N/A</v>
      </c>
      <c r="E1327" s="16" t="e">
        <f t="shared" si="1"/>
        <v>#N/A</v>
      </c>
      <c r="F1327" s="16" t="e">
        <f t="shared" ref="F1327:K1327" si="2672">VLOOKUP($A1327,[4]Cultura!$A$1:$O$276,F$1,0)</f>
        <v>#N/A</v>
      </c>
      <c r="G1327" s="39" t="e">
        <f t="shared" si="2672"/>
        <v>#N/A</v>
      </c>
      <c r="H1327" s="16" t="e">
        <f t="shared" si="2672"/>
        <v>#N/A</v>
      </c>
      <c r="I1327" s="16" t="e">
        <f t="shared" si="2672"/>
        <v>#N/A</v>
      </c>
      <c r="J1327" s="40" t="e">
        <f t="shared" si="2672"/>
        <v>#N/A</v>
      </c>
      <c r="K1327" s="16" t="e">
        <f t="shared" si="2672"/>
        <v>#N/A</v>
      </c>
      <c r="L1327" s="40" t="e">
        <f t="shared" si="2421"/>
        <v>#N/A</v>
      </c>
      <c r="M1327" s="16" t="e">
        <f t="shared" si="2422"/>
        <v>#N/A</v>
      </c>
      <c r="N1327" s="16" t="e">
        <f t="shared" si="2423"/>
        <v>#N/A</v>
      </c>
      <c r="O1327" s="16" t="s">
        <v>68</v>
      </c>
      <c r="P1327" s="16" t="str">
        <f t="shared" si="6"/>
        <v/>
      </c>
      <c r="Q1327" s="41" t="e">
        <f t="shared" si="2424"/>
        <v>#N/A</v>
      </c>
      <c r="R1327" s="44"/>
      <c r="S1327" s="44"/>
      <c r="T1327" s="43"/>
      <c r="U1327" s="43" t="str">
        <f t="shared" si="8"/>
        <v>No</v>
      </c>
      <c r="V1327" s="25"/>
      <c r="W1327" s="25"/>
      <c r="X1327" s="25"/>
      <c r="Y1327" s="25"/>
      <c r="Z1327" s="25"/>
    </row>
    <row r="1328" spans="1:26" ht="15.75" customHeight="1" x14ac:dyDescent="0.25">
      <c r="A1328" s="25">
        <v>1326</v>
      </c>
      <c r="B1328" s="37" t="e">
        <f t="shared" ref="B1328:D1328" si="2673">VLOOKUP($A1328,[4]Cultura!$A$1:$O$276,B$1,0)</f>
        <v>#N/A</v>
      </c>
      <c r="C1328" s="38" t="e">
        <f t="shared" si="2673"/>
        <v>#N/A</v>
      </c>
      <c r="D1328" s="39" t="e">
        <f t="shared" si="2673"/>
        <v>#N/A</v>
      </c>
      <c r="E1328" s="16" t="e">
        <f t="shared" si="1"/>
        <v>#N/A</v>
      </c>
      <c r="F1328" s="16" t="e">
        <f t="shared" ref="F1328:K1328" si="2674">VLOOKUP($A1328,[4]Cultura!$A$1:$O$276,F$1,0)</f>
        <v>#N/A</v>
      </c>
      <c r="G1328" s="39" t="e">
        <f t="shared" si="2674"/>
        <v>#N/A</v>
      </c>
      <c r="H1328" s="16" t="e">
        <f t="shared" si="2674"/>
        <v>#N/A</v>
      </c>
      <c r="I1328" s="16" t="e">
        <f t="shared" si="2674"/>
        <v>#N/A</v>
      </c>
      <c r="J1328" s="40" t="e">
        <f t="shared" si="2674"/>
        <v>#N/A</v>
      </c>
      <c r="K1328" s="16" t="e">
        <f t="shared" si="2674"/>
        <v>#N/A</v>
      </c>
      <c r="L1328" s="40" t="e">
        <f t="shared" si="2421"/>
        <v>#N/A</v>
      </c>
      <c r="M1328" s="16" t="e">
        <f t="shared" si="2422"/>
        <v>#N/A</v>
      </c>
      <c r="N1328" s="16" t="e">
        <f t="shared" si="2423"/>
        <v>#N/A</v>
      </c>
      <c r="O1328" s="16" t="s">
        <v>68</v>
      </c>
      <c r="P1328" s="16" t="str">
        <f t="shared" si="6"/>
        <v/>
      </c>
      <c r="Q1328" s="41" t="e">
        <f t="shared" si="2424"/>
        <v>#N/A</v>
      </c>
      <c r="R1328" s="44"/>
      <c r="S1328" s="44"/>
      <c r="T1328" s="43"/>
      <c r="U1328" s="43" t="str">
        <f t="shared" si="8"/>
        <v>No</v>
      </c>
      <c r="V1328" s="25"/>
      <c r="W1328" s="25"/>
      <c r="X1328" s="25"/>
      <c r="Y1328" s="25"/>
      <c r="Z1328" s="25"/>
    </row>
    <row r="1329" spans="1:26" ht="15.75" customHeight="1" x14ac:dyDescent="0.25">
      <c r="A1329" s="25">
        <v>1327</v>
      </c>
      <c r="B1329" s="37" t="e">
        <f t="shared" ref="B1329:D1329" si="2675">VLOOKUP($A1329,[4]Cultura!$A$1:$O$276,B$1,0)</f>
        <v>#N/A</v>
      </c>
      <c r="C1329" s="38" t="e">
        <f t="shared" si="2675"/>
        <v>#N/A</v>
      </c>
      <c r="D1329" s="39" t="e">
        <f t="shared" si="2675"/>
        <v>#N/A</v>
      </c>
      <c r="E1329" s="16" t="e">
        <f t="shared" si="1"/>
        <v>#N/A</v>
      </c>
      <c r="F1329" s="16" t="e">
        <f t="shared" ref="F1329:K1329" si="2676">VLOOKUP($A1329,[4]Cultura!$A$1:$O$276,F$1,0)</f>
        <v>#N/A</v>
      </c>
      <c r="G1329" s="39" t="e">
        <f t="shared" si="2676"/>
        <v>#N/A</v>
      </c>
      <c r="H1329" s="16" t="e">
        <f t="shared" si="2676"/>
        <v>#N/A</v>
      </c>
      <c r="I1329" s="16" t="e">
        <f t="shared" si="2676"/>
        <v>#N/A</v>
      </c>
      <c r="J1329" s="40" t="e">
        <f t="shared" si="2676"/>
        <v>#N/A</v>
      </c>
      <c r="K1329" s="16" t="e">
        <f t="shared" si="2676"/>
        <v>#N/A</v>
      </c>
      <c r="L1329" s="40" t="e">
        <f t="shared" si="2421"/>
        <v>#N/A</v>
      </c>
      <c r="M1329" s="16" t="e">
        <f t="shared" si="2422"/>
        <v>#N/A</v>
      </c>
      <c r="N1329" s="16" t="e">
        <f t="shared" si="2423"/>
        <v>#N/A</v>
      </c>
      <c r="O1329" s="16" t="s">
        <v>68</v>
      </c>
      <c r="P1329" s="16" t="str">
        <f t="shared" si="6"/>
        <v/>
      </c>
      <c r="Q1329" s="41" t="e">
        <f t="shared" si="2424"/>
        <v>#N/A</v>
      </c>
      <c r="R1329" s="44"/>
      <c r="S1329" s="44"/>
      <c r="T1329" s="43"/>
      <c r="U1329" s="43" t="str">
        <f t="shared" si="8"/>
        <v>No</v>
      </c>
      <c r="V1329" s="25"/>
      <c r="W1329" s="25"/>
      <c r="X1329" s="25"/>
      <c r="Y1329" s="25"/>
      <c r="Z1329" s="25"/>
    </row>
    <row r="1330" spans="1:26" ht="15.75" customHeight="1" x14ac:dyDescent="0.25">
      <c r="A1330" s="25">
        <v>1328</v>
      </c>
      <c r="B1330" s="37" t="e">
        <f t="shared" ref="B1330:D1330" si="2677">VLOOKUP($A1330,[4]Cultura!$A$1:$O$276,B$1,0)</f>
        <v>#N/A</v>
      </c>
      <c r="C1330" s="38" t="e">
        <f t="shared" si="2677"/>
        <v>#N/A</v>
      </c>
      <c r="D1330" s="39" t="e">
        <f t="shared" si="2677"/>
        <v>#N/A</v>
      </c>
      <c r="E1330" s="16" t="e">
        <f t="shared" si="1"/>
        <v>#N/A</v>
      </c>
      <c r="F1330" s="16" t="e">
        <f t="shared" ref="F1330:K1330" si="2678">VLOOKUP($A1330,[4]Cultura!$A$1:$O$276,F$1,0)</f>
        <v>#N/A</v>
      </c>
      <c r="G1330" s="39" t="e">
        <f t="shared" si="2678"/>
        <v>#N/A</v>
      </c>
      <c r="H1330" s="16" t="e">
        <f t="shared" si="2678"/>
        <v>#N/A</v>
      </c>
      <c r="I1330" s="16" t="e">
        <f t="shared" si="2678"/>
        <v>#N/A</v>
      </c>
      <c r="J1330" s="40" t="e">
        <f t="shared" si="2678"/>
        <v>#N/A</v>
      </c>
      <c r="K1330" s="16" t="e">
        <f t="shared" si="2678"/>
        <v>#N/A</v>
      </c>
      <c r="L1330" s="40" t="e">
        <f t="shared" si="2421"/>
        <v>#N/A</v>
      </c>
      <c r="M1330" s="16" t="e">
        <f t="shared" si="2422"/>
        <v>#N/A</v>
      </c>
      <c r="N1330" s="16" t="e">
        <f t="shared" si="2423"/>
        <v>#N/A</v>
      </c>
      <c r="O1330" s="16" t="s">
        <v>68</v>
      </c>
      <c r="P1330" s="16" t="str">
        <f t="shared" si="6"/>
        <v/>
      </c>
      <c r="Q1330" s="41" t="e">
        <f t="shared" si="2424"/>
        <v>#N/A</v>
      </c>
      <c r="R1330" s="44"/>
      <c r="S1330" s="44"/>
      <c r="T1330" s="43"/>
      <c r="U1330" s="43" t="str">
        <f t="shared" si="8"/>
        <v>No</v>
      </c>
      <c r="V1330" s="25"/>
      <c r="W1330" s="25"/>
      <c r="X1330" s="25"/>
      <c r="Y1330" s="25"/>
      <c r="Z1330" s="25"/>
    </row>
    <row r="1331" spans="1:26" ht="15.75" customHeight="1" x14ac:dyDescent="0.25">
      <c r="A1331" s="25">
        <v>1329</v>
      </c>
      <c r="B1331" s="37" t="e">
        <f t="shared" ref="B1331:D1331" si="2679">VLOOKUP($A1331,[4]Cultura!$A$1:$O$276,B$1,0)</f>
        <v>#N/A</v>
      </c>
      <c r="C1331" s="38" t="e">
        <f t="shared" si="2679"/>
        <v>#N/A</v>
      </c>
      <c r="D1331" s="39" t="e">
        <f t="shared" si="2679"/>
        <v>#N/A</v>
      </c>
      <c r="E1331" s="16" t="e">
        <f t="shared" si="1"/>
        <v>#N/A</v>
      </c>
      <c r="F1331" s="16" t="e">
        <f t="shared" ref="F1331:K1331" si="2680">VLOOKUP($A1331,[4]Cultura!$A$1:$O$276,F$1,0)</f>
        <v>#N/A</v>
      </c>
      <c r="G1331" s="39" t="e">
        <f t="shared" si="2680"/>
        <v>#N/A</v>
      </c>
      <c r="H1331" s="16" t="e">
        <f t="shared" si="2680"/>
        <v>#N/A</v>
      </c>
      <c r="I1331" s="16" t="e">
        <f t="shared" si="2680"/>
        <v>#N/A</v>
      </c>
      <c r="J1331" s="40" t="e">
        <f t="shared" si="2680"/>
        <v>#N/A</v>
      </c>
      <c r="K1331" s="16" t="e">
        <f t="shared" si="2680"/>
        <v>#N/A</v>
      </c>
      <c r="L1331" s="40" t="e">
        <f t="shared" si="2421"/>
        <v>#N/A</v>
      </c>
      <c r="M1331" s="16" t="e">
        <f t="shared" si="2422"/>
        <v>#N/A</v>
      </c>
      <c r="N1331" s="16" t="e">
        <f t="shared" si="2423"/>
        <v>#N/A</v>
      </c>
      <c r="O1331" s="16" t="s">
        <v>68</v>
      </c>
      <c r="P1331" s="16" t="str">
        <f t="shared" si="6"/>
        <v/>
      </c>
      <c r="Q1331" s="41" t="e">
        <f t="shared" si="2424"/>
        <v>#N/A</v>
      </c>
      <c r="R1331" s="44"/>
      <c r="S1331" s="44"/>
      <c r="T1331" s="43"/>
      <c r="U1331" s="43" t="str">
        <f t="shared" si="8"/>
        <v>No</v>
      </c>
      <c r="V1331" s="25"/>
      <c r="W1331" s="25"/>
      <c r="X1331" s="25"/>
      <c r="Y1331" s="25"/>
      <c r="Z1331" s="25"/>
    </row>
    <row r="1332" spans="1:26" ht="15.75" customHeight="1" x14ac:dyDescent="0.25">
      <c r="A1332" s="25">
        <v>1330</v>
      </c>
      <c r="B1332" s="37" t="e">
        <f t="shared" ref="B1332:D1332" si="2681">VLOOKUP($A1332,[4]Cultura!$A$1:$O$276,B$1,0)</f>
        <v>#N/A</v>
      </c>
      <c r="C1332" s="38" t="e">
        <f t="shared" si="2681"/>
        <v>#N/A</v>
      </c>
      <c r="D1332" s="39" t="e">
        <f t="shared" si="2681"/>
        <v>#N/A</v>
      </c>
      <c r="E1332" s="16" t="e">
        <f t="shared" si="1"/>
        <v>#N/A</v>
      </c>
      <c r="F1332" s="16" t="e">
        <f t="shared" ref="F1332:K1332" si="2682">VLOOKUP($A1332,[4]Cultura!$A$1:$O$276,F$1,0)</f>
        <v>#N/A</v>
      </c>
      <c r="G1332" s="39" t="e">
        <f t="shared" si="2682"/>
        <v>#N/A</v>
      </c>
      <c r="H1332" s="16" t="e">
        <f t="shared" si="2682"/>
        <v>#N/A</v>
      </c>
      <c r="I1332" s="16" t="e">
        <f t="shared" si="2682"/>
        <v>#N/A</v>
      </c>
      <c r="J1332" s="40" t="e">
        <f t="shared" si="2682"/>
        <v>#N/A</v>
      </c>
      <c r="K1332" s="16" t="e">
        <f t="shared" si="2682"/>
        <v>#N/A</v>
      </c>
      <c r="L1332" s="40" t="e">
        <f t="shared" si="2421"/>
        <v>#N/A</v>
      </c>
      <c r="M1332" s="16" t="e">
        <f t="shared" si="2422"/>
        <v>#N/A</v>
      </c>
      <c r="N1332" s="16" t="e">
        <f t="shared" si="2423"/>
        <v>#N/A</v>
      </c>
      <c r="O1332" s="16" t="s">
        <v>68</v>
      </c>
      <c r="P1332" s="16" t="str">
        <f t="shared" si="6"/>
        <v/>
      </c>
      <c r="Q1332" s="41" t="e">
        <f t="shared" si="2424"/>
        <v>#N/A</v>
      </c>
      <c r="R1332" s="44"/>
      <c r="S1332" s="44"/>
      <c r="T1332" s="43"/>
      <c r="U1332" s="43" t="str">
        <f t="shared" si="8"/>
        <v>No</v>
      </c>
      <c r="V1332" s="25"/>
      <c r="W1332" s="25"/>
      <c r="X1332" s="25"/>
      <c r="Y1332" s="25"/>
      <c r="Z1332" s="25"/>
    </row>
    <row r="1333" spans="1:26" ht="15.75" customHeight="1" x14ac:dyDescent="0.25">
      <c r="A1333" s="25">
        <v>1331</v>
      </c>
      <c r="B1333" s="37" t="e">
        <f t="shared" ref="B1333:D1333" si="2683">VLOOKUP($A1333,[4]Cultura!$A$1:$O$276,B$1,0)</f>
        <v>#N/A</v>
      </c>
      <c r="C1333" s="38" t="e">
        <f t="shared" si="2683"/>
        <v>#N/A</v>
      </c>
      <c r="D1333" s="39" t="e">
        <f t="shared" si="2683"/>
        <v>#N/A</v>
      </c>
      <c r="E1333" s="16" t="e">
        <f t="shared" si="1"/>
        <v>#N/A</v>
      </c>
      <c r="F1333" s="16" t="e">
        <f t="shared" ref="F1333:K1333" si="2684">VLOOKUP($A1333,[4]Cultura!$A$1:$O$276,F$1,0)</f>
        <v>#N/A</v>
      </c>
      <c r="G1333" s="39" t="e">
        <f t="shared" si="2684"/>
        <v>#N/A</v>
      </c>
      <c r="H1333" s="16" t="e">
        <f t="shared" si="2684"/>
        <v>#N/A</v>
      </c>
      <c r="I1333" s="16" t="e">
        <f t="shared" si="2684"/>
        <v>#N/A</v>
      </c>
      <c r="J1333" s="40" t="e">
        <f t="shared" si="2684"/>
        <v>#N/A</v>
      </c>
      <c r="K1333" s="16" t="e">
        <f t="shared" si="2684"/>
        <v>#N/A</v>
      </c>
      <c r="L1333" s="40" t="e">
        <f t="shared" si="2421"/>
        <v>#N/A</v>
      </c>
      <c r="M1333" s="16" t="e">
        <f t="shared" si="2422"/>
        <v>#N/A</v>
      </c>
      <c r="N1333" s="16" t="e">
        <f t="shared" si="2423"/>
        <v>#N/A</v>
      </c>
      <c r="O1333" s="16" t="s">
        <v>68</v>
      </c>
      <c r="P1333" s="16" t="str">
        <f t="shared" si="6"/>
        <v/>
      </c>
      <c r="Q1333" s="41" t="e">
        <f t="shared" si="2424"/>
        <v>#N/A</v>
      </c>
      <c r="R1333" s="44"/>
      <c r="S1333" s="44"/>
      <c r="T1333" s="43"/>
      <c r="U1333" s="43" t="str">
        <f t="shared" si="8"/>
        <v>No</v>
      </c>
      <c r="V1333" s="25"/>
      <c r="W1333" s="25"/>
      <c r="X1333" s="25"/>
      <c r="Y1333" s="25"/>
      <c r="Z1333" s="25"/>
    </row>
    <row r="1334" spans="1:26" ht="15.75" customHeight="1" x14ac:dyDescent="0.25">
      <c r="A1334" s="25">
        <v>1332</v>
      </c>
      <c r="B1334" s="37" t="e">
        <f t="shared" ref="B1334:D1334" si="2685">VLOOKUP($A1334,[4]Cultura!$A$1:$O$276,B$1,0)</f>
        <v>#N/A</v>
      </c>
      <c r="C1334" s="38" t="e">
        <f t="shared" si="2685"/>
        <v>#N/A</v>
      </c>
      <c r="D1334" s="39" t="e">
        <f t="shared" si="2685"/>
        <v>#N/A</v>
      </c>
      <c r="E1334" s="16" t="e">
        <f t="shared" si="1"/>
        <v>#N/A</v>
      </c>
      <c r="F1334" s="16" t="e">
        <f t="shared" ref="F1334:K1334" si="2686">VLOOKUP($A1334,[4]Cultura!$A$1:$O$276,F$1,0)</f>
        <v>#N/A</v>
      </c>
      <c r="G1334" s="39" t="e">
        <f t="shared" si="2686"/>
        <v>#N/A</v>
      </c>
      <c r="H1334" s="16" t="e">
        <f t="shared" si="2686"/>
        <v>#N/A</v>
      </c>
      <c r="I1334" s="16" t="e">
        <f t="shared" si="2686"/>
        <v>#N/A</v>
      </c>
      <c r="J1334" s="40" t="e">
        <f t="shared" si="2686"/>
        <v>#N/A</v>
      </c>
      <c r="K1334" s="16" t="e">
        <f t="shared" si="2686"/>
        <v>#N/A</v>
      </c>
      <c r="L1334" s="40" t="e">
        <f t="shared" si="2421"/>
        <v>#N/A</v>
      </c>
      <c r="M1334" s="16" t="e">
        <f t="shared" si="2422"/>
        <v>#N/A</v>
      </c>
      <c r="N1334" s="16" t="e">
        <f t="shared" si="2423"/>
        <v>#N/A</v>
      </c>
      <c r="O1334" s="16" t="s">
        <v>68</v>
      </c>
      <c r="P1334" s="16" t="str">
        <f t="shared" si="6"/>
        <v/>
      </c>
      <c r="Q1334" s="41" t="e">
        <f t="shared" si="2424"/>
        <v>#N/A</v>
      </c>
      <c r="R1334" s="44"/>
      <c r="S1334" s="44"/>
      <c r="T1334" s="43"/>
      <c r="U1334" s="43" t="str">
        <f t="shared" si="8"/>
        <v>No</v>
      </c>
      <c r="V1334" s="25"/>
      <c r="W1334" s="25"/>
      <c r="X1334" s="25"/>
      <c r="Y1334" s="25"/>
      <c r="Z1334" s="25"/>
    </row>
    <row r="1335" spans="1:26" ht="15.75" customHeight="1" x14ac:dyDescent="0.25">
      <c r="A1335" s="25">
        <v>1333</v>
      </c>
      <c r="B1335" s="37" t="e">
        <f t="shared" ref="B1335:D1335" si="2687">VLOOKUP($A1335,[4]Cultura!$A$1:$O$276,B$1,0)</f>
        <v>#N/A</v>
      </c>
      <c r="C1335" s="38" t="e">
        <f t="shared" si="2687"/>
        <v>#N/A</v>
      </c>
      <c r="D1335" s="39" t="e">
        <f t="shared" si="2687"/>
        <v>#N/A</v>
      </c>
      <c r="E1335" s="16" t="e">
        <f t="shared" si="1"/>
        <v>#N/A</v>
      </c>
      <c r="F1335" s="16" t="e">
        <f t="shared" ref="F1335:K1335" si="2688">VLOOKUP($A1335,[4]Cultura!$A$1:$O$276,F$1,0)</f>
        <v>#N/A</v>
      </c>
      <c r="G1335" s="39" t="e">
        <f t="shared" si="2688"/>
        <v>#N/A</v>
      </c>
      <c r="H1335" s="16" t="e">
        <f t="shared" si="2688"/>
        <v>#N/A</v>
      </c>
      <c r="I1335" s="16" t="e">
        <f t="shared" si="2688"/>
        <v>#N/A</v>
      </c>
      <c r="J1335" s="40" t="e">
        <f t="shared" si="2688"/>
        <v>#N/A</v>
      </c>
      <c r="K1335" s="16" t="e">
        <f t="shared" si="2688"/>
        <v>#N/A</v>
      </c>
      <c r="L1335" s="40" t="e">
        <f t="shared" si="2421"/>
        <v>#N/A</v>
      </c>
      <c r="M1335" s="16" t="e">
        <f t="shared" si="2422"/>
        <v>#N/A</v>
      </c>
      <c r="N1335" s="16" t="e">
        <f t="shared" si="2423"/>
        <v>#N/A</v>
      </c>
      <c r="O1335" s="16" t="s">
        <v>68</v>
      </c>
      <c r="P1335" s="16" t="str">
        <f t="shared" si="6"/>
        <v/>
      </c>
      <c r="Q1335" s="41" t="e">
        <f t="shared" si="2424"/>
        <v>#N/A</v>
      </c>
      <c r="R1335" s="44"/>
      <c r="S1335" s="44"/>
      <c r="T1335" s="43"/>
      <c r="U1335" s="43" t="str">
        <f t="shared" si="8"/>
        <v>No</v>
      </c>
      <c r="V1335" s="25"/>
      <c r="W1335" s="25"/>
      <c r="X1335" s="25"/>
      <c r="Y1335" s="25"/>
      <c r="Z1335" s="25"/>
    </row>
    <row r="1336" spans="1:26" ht="15.75" customHeight="1" x14ac:dyDescent="0.25">
      <c r="A1336" s="25">
        <v>1334</v>
      </c>
      <c r="B1336" s="37" t="e">
        <f t="shared" ref="B1336:D1336" si="2689">VLOOKUP($A1336,[4]Cultura!$A$1:$O$276,B$1,0)</f>
        <v>#N/A</v>
      </c>
      <c r="C1336" s="38" t="e">
        <f t="shared" si="2689"/>
        <v>#N/A</v>
      </c>
      <c r="D1336" s="39" t="e">
        <f t="shared" si="2689"/>
        <v>#N/A</v>
      </c>
      <c r="E1336" s="16" t="e">
        <f t="shared" si="1"/>
        <v>#N/A</v>
      </c>
      <c r="F1336" s="16" t="e">
        <f t="shared" ref="F1336:K1336" si="2690">VLOOKUP($A1336,[4]Cultura!$A$1:$O$276,F$1,0)</f>
        <v>#N/A</v>
      </c>
      <c r="G1336" s="39" t="e">
        <f t="shared" si="2690"/>
        <v>#N/A</v>
      </c>
      <c r="H1336" s="16" t="e">
        <f t="shared" si="2690"/>
        <v>#N/A</v>
      </c>
      <c r="I1336" s="16" t="e">
        <f t="shared" si="2690"/>
        <v>#N/A</v>
      </c>
      <c r="J1336" s="40" t="e">
        <f t="shared" si="2690"/>
        <v>#N/A</v>
      </c>
      <c r="K1336" s="16" t="e">
        <f t="shared" si="2690"/>
        <v>#N/A</v>
      </c>
      <c r="L1336" s="40" t="e">
        <f t="shared" si="2421"/>
        <v>#N/A</v>
      </c>
      <c r="M1336" s="16" t="e">
        <f t="shared" si="2422"/>
        <v>#N/A</v>
      </c>
      <c r="N1336" s="16" t="e">
        <f t="shared" si="2423"/>
        <v>#N/A</v>
      </c>
      <c r="O1336" s="16" t="s">
        <v>68</v>
      </c>
      <c r="P1336" s="16" t="str">
        <f t="shared" si="6"/>
        <v/>
      </c>
      <c r="Q1336" s="41" t="e">
        <f t="shared" si="2424"/>
        <v>#N/A</v>
      </c>
      <c r="R1336" s="44"/>
      <c r="S1336" s="44"/>
      <c r="T1336" s="43"/>
      <c r="U1336" s="43" t="str">
        <f t="shared" si="8"/>
        <v>No</v>
      </c>
      <c r="V1336" s="25"/>
      <c r="W1336" s="25"/>
      <c r="X1336" s="25"/>
      <c r="Y1336" s="25"/>
      <c r="Z1336" s="25"/>
    </row>
    <row r="1337" spans="1:26" ht="15.75" customHeight="1" x14ac:dyDescent="0.25">
      <c r="A1337" s="25">
        <v>1335</v>
      </c>
      <c r="B1337" s="37" t="e">
        <f t="shared" ref="B1337:D1337" si="2691">VLOOKUP($A1337,[4]Cultura!$A$1:$O$276,B$1,0)</f>
        <v>#N/A</v>
      </c>
      <c r="C1337" s="38" t="e">
        <f t="shared" si="2691"/>
        <v>#N/A</v>
      </c>
      <c r="D1337" s="39" t="e">
        <f t="shared" si="2691"/>
        <v>#N/A</v>
      </c>
      <c r="E1337" s="16" t="e">
        <f t="shared" si="1"/>
        <v>#N/A</v>
      </c>
      <c r="F1337" s="16" t="e">
        <f t="shared" ref="F1337:K1337" si="2692">VLOOKUP($A1337,[4]Cultura!$A$1:$O$276,F$1,0)</f>
        <v>#N/A</v>
      </c>
      <c r="G1337" s="39" t="e">
        <f t="shared" si="2692"/>
        <v>#N/A</v>
      </c>
      <c r="H1337" s="16" t="e">
        <f t="shared" si="2692"/>
        <v>#N/A</v>
      </c>
      <c r="I1337" s="16" t="e">
        <f t="shared" si="2692"/>
        <v>#N/A</v>
      </c>
      <c r="J1337" s="40" t="e">
        <f t="shared" si="2692"/>
        <v>#N/A</v>
      </c>
      <c r="K1337" s="16" t="e">
        <f t="shared" si="2692"/>
        <v>#N/A</v>
      </c>
      <c r="L1337" s="40" t="e">
        <f t="shared" si="2421"/>
        <v>#N/A</v>
      </c>
      <c r="M1337" s="16" t="e">
        <f t="shared" si="2422"/>
        <v>#N/A</v>
      </c>
      <c r="N1337" s="16" t="e">
        <f t="shared" si="2423"/>
        <v>#N/A</v>
      </c>
      <c r="O1337" s="16" t="s">
        <v>68</v>
      </c>
      <c r="P1337" s="16" t="str">
        <f t="shared" si="6"/>
        <v/>
      </c>
      <c r="Q1337" s="41" t="e">
        <f t="shared" si="2424"/>
        <v>#N/A</v>
      </c>
      <c r="R1337" s="44"/>
      <c r="S1337" s="44"/>
      <c r="T1337" s="43"/>
      <c r="U1337" s="43" t="str">
        <f t="shared" si="8"/>
        <v>No</v>
      </c>
      <c r="V1337" s="25"/>
      <c r="W1337" s="25"/>
      <c r="X1337" s="25"/>
      <c r="Y1337" s="25"/>
      <c r="Z1337" s="25"/>
    </row>
    <row r="1338" spans="1:26" ht="15.75" customHeight="1" x14ac:dyDescent="0.25">
      <c r="A1338" s="25">
        <v>1336</v>
      </c>
      <c r="B1338" s="37" t="e">
        <f t="shared" ref="B1338:D1338" si="2693">VLOOKUP($A1338,[4]Cultura!$A$1:$O$276,B$1,0)</f>
        <v>#N/A</v>
      </c>
      <c r="C1338" s="38" t="e">
        <f t="shared" si="2693"/>
        <v>#N/A</v>
      </c>
      <c r="D1338" s="39" t="e">
        <f t="shared" si="2693"/>
        <v>#N/A</v>
      </c>
      <c r="E1338" s="16" t="e">
        <f t="shared" si="1"/>
        <v>#N/A</v>
      </c>
      <c r="F1338" s="16" t="e">
        <f t="shared" ref="F1338:K1338" si="2694">VLOOKUP($A1338,[4]Cultura!$A$1:$O$276,F$1,0)</f>
        <v>#N/A</v>
      </c>
      <c r="G1338" s="39" t="e">
        <f t="shared" si="2694"/>
        <v>#N/A</v>
      </c>
      <c r="H1338" s="16" t="e">
        <f t="shared" si="2694"/>
        <v>#N/A</v>
      </c>
      <c r="I1338" s="16" t="e">
        <f t="shared" si="2694"/>
        <v>#N/A</v>
      </c>
      <c r="J1338" s="40" t="e">
        <f t="shared" si="2694"/>
        <v>#N/A</v>
      </c>
      <c r="K1338" s="16" t="e">
        <f t="shared" si="2694"/>
        <v>#N/A</v>
      </c>
      <c r="L1338" s="40" t="e">
        <f t="shared" si="2421"/>
        <v>#N/A</v>
      </c>
      <c r="M1338" s="16" t="e">
        <f t="shared" si="2422"/>
        <v>#N/A</v>
      </c>
      <c r="N1338" s="16" t="e">
        <f t="shared" si="2423"/>
        <v>#N/A</v>
      </c>
      <c r="O1338" s="16" t="s">
        <v>68</v>
      </c>
      <c r="P1338" s="16" t="str">
        <f t="shared" si="6"/>
        <v/>
      </c>
      <c r="Q1338" s="41" t="e">
        <f t="shared" si="2424"/>
        <v>#N/A</v>
      </c>
      <c r="R1338" s="44"/>
      <c r="S1338" s="44"/>
      <c r="T1338" s="43"/>
      <c r="U1338" s="43" t="str">
        <f t="shared" si="8"/>
        <v>No</v>
      </c>
      <c r="V1338" s="25"/>
      <c r="W1338" s="25"/>
      <c r="X1338" s="25"/>
      <c r="Y1338" s="25"/>
      <c r="Z1338" s="25"/>
    </row>
    <row r="1339" spans="1:26" ht="15.75" customHeight="1" x14ac:dyDescent="0.25">
      <c r="A1339" s="25">
        <v>1337</v>
      </c>
      <c r="B1339" s="37" t="e">
        <f t="shared" ref="B1339:D1339" si="2695">VLOOKUP($A1339,[4]Cultura!$A$1:$O$276,B$1,0)</f>
        <v>#N/A</v>
      </c>
      <c r="C1339" s="38" t="e">
        <f t="shared" si="2695"/>
        <v>#N/A</v>
      </c>
      <c r="D1339" s="39" t="e">
        <f t="shared" si="2695"/>
        <v>#N/A</v>
      </c>
      <c r="E1339" s="16" t="e">
        <f t="shared" si="1"/>
        <v>#N/A</v>
      </c>
      <c r="F1339" s="16" t="e">
        <f t="shared" ref="F1339:K1339" si="2696">VLOOKUP($A1339,[4]Cultura!$A$1:$O$276,F$1,0)</f>
        <v>#N/A</v>
      </c>
      <c r="G1339" s="39" t="e">
        <f t="shared" si="2696"/>
        <v>#N/A</v>
      </c>
      <c r="H1339" s="16" t="e">
        <f t="shared" si="2696"/>
        <v>#N/A</v>
      </c>
      <c r="I1339" s="16" t="e">
        <f t="shared" si="2696"/>
        <v>#N/A</v>
      </c>
      <c r="J1339" s="40" t="e">
        <f t="shared" si="2696"/>
        <v>#N/A</v>
      </c>
      <c r="K1339" s="16" t="e">
        <f t="shared" si="2696"/>
        <v>#N/A</v>
      </c>
      <c r="L1339" s="40" t="e">
        <f t="shared" si="2421"/>
        <v>#N/A</v>
      </c>
      <c r="M1339" s="16" t="e">
        <f t="shared" si="2422"/>
        <v>#N/A</v>
      </c>
      <c r="N1339" s="16" t="e">
        <f t="shared" si="2423"/>
        <v>#N/A</v>
      </c>
      <c r="O1339" s="16" t="s">
        <v>68</v>
      </c>
      <c r="P1339" s="16" t="str">
        <f t="shared" si="6"/>
        <v/>
      </c>
      <c r="Q1339" s="41" t="e">
        <f t="shared" si="2424"/>
        <v>#N/A</v>
      </c>
      <c r="R1339" s="44"/>
      <c r="S1339" s="44"/>
      <c r="T1339" s="43"/>
      <c r="U1339" s="43" t="str">
        <f t="shared" si="8"/>
        <v>No</v>
      </c>
      <c r="V1339" s="25"/>
      <c r="W1339" s="25"/>
      <c r="X1339" s="25"/>
      <c r="Y1339" s="25"/>
      <c r="Z1339" s="25"/>
    </row>
    <row r="1340" spans="1:26" ht="15.75" customHeight="1" x14ac:dyDescent="0.25">
      <c r="A1340" s="25">
        <v>1338</v>
      </c>
      <c r="B1340" s="37" t="e">
        <f t="shared" ref="B1340:D1340" si="2697">VLOOKUP($A1340,[4]Cultura!$A$1:$O$276,B$1,0)</f>
        <v>#N/A</v>
      </c>
      <c r="C1340" s="38" t="e">
        <f t="shared" si="2697"/>
        <v>#N/A</v>
      </c>
      <c r="D1340" s="39" t="e">
        <f t="shared" si="2697"/>
        <v>#N/A</v>
      </c>
      <c r="E1340" s="16" t="e">
        <f t="shared" si="1"/>
        <v>#N/A</v>
      </c>
      <c r="F1340" s="16" t="e">
        <f t="shared" ref="F1340:K1340" si="2698">VLOOKUP($A1340,[4]Cultura!$A$1:$O$276,F$1,0)</f>
        <v>#N/A</v>
      </c>
      <c r="G1340" s="39" t="e">
        <f t="shared" si="2698"/>
        <v>#N/A</v>
      </c>
      <c r="H1340" s="16" t="e">
        <f t="shared" si="2698"/>
        <v>#N/A</v>
      </c>
      <c r="I1340" s="16" t="e">
        <f t="shared" si="2698"/>
        <v>#N/A</v>
      </c>
      <c r="J1340" s="40" t="e">
        <f t="shared" si="2698"/>
        <v>#N/A</v>
      </c>
      <c r="K1340" s="16" t="e">
        <f t="shared" si="2698"/>
        <v>#N/A</v>
      </c>
      <c r="L1340" s="40" t="e">
        <f t="shared" si="2421"/>
        <v>#N/A</v>
      </c>
      <c r="M1340" s="16" t="e">
        <f t="shared" si="2422"/>
        <v>#N/A</v>
      </c>
      <c r="N1340" s="16" t="e">
        <f t="shared" si="2423"/>
        <v>#N/A</v>
      </c>
      <c r="O1340" s="16" t="s">
        <v>68</v>
      </c>
      <c r="P1340" s="16" t="str">
        <f t="shared" si="6"/>
        <v/>
      </c>
      <c r="Q1340" s="41" t="e">
        <f t="shared" si="2424"/>
        <v>#N/A</v>
      </c>
      <c r="R1340" s="44"/>
      <c r="S1340" s="44"/>
      <c r="T1340" s="43"/>
      <c r="U1340" s="43" t="str">
        <f t="shared" si="8"/>
        <v>No</v>
      </c>
      <c r="V1340" s="25"/>
      <c r="W1340" s="25"/>
      <c r="X1340" s="25"/>
      <c r="Y1340" s="25"/>
      <c r="Z1340" s="25"/>
    </row>
    <row r="1341" spans="1:26" ht="15.75" customHeight="1" x14ac:dyDescent="0.25">
      <c r="A1341" s="25">
        <v>1339</v>
      </c>
      <c r="B1341" s="37" t="e">
        <f t="shared" ref="B1341:D1341" si="2699">VLOOKUP($A1341,[4]Cultura!$A$1:$O$276,B$1,0)</f>
        <v>#N/A</v>
      </c>
      <c r="C1341" s="38" t="e">
        <f t="shared" si="2699"/>
        <v>#N/A</v>
      </c>
      <c r="D1341" s="39" t="e">
        <f t="shared" si="2699"/>
        <v>#N/A</v>
      </c>
      <c r="E1341" s="16" t="e">
        <f t="shared" si="1"/>
        <v>#N/A</v>
      </c>
      <c r="F1341" s="16" t="e">
        <f t="shared" ref="F1341:K1341" si="2700">VLOOKUP($A1341,[4]Cultura!$A$1:$O$276,F$1,0)</f>
        <v>#N/A</v>
      </c>
      <c r="G1341" s="39" t="e">
        <f t="shared" si="2700"/>
        <v>#N/A</v>
      </c>
      <c r="H1341" s="16" t="e">
        <f t="shared" si="2700"/>
        <v>#N/A</v>
      </c>
      <c r="I1341" s="16" t="e">
        <f t="shared" si="2700"/>
        <v>#N/A</v>
      </c>
      <c r="J1341" s="40" t="e">
        <f t="shared" si="2700"/>
        <v>#N/A</v>
      </c>
      <c r="K1341" s="16" t="e">
        <f t="shared" si="2700"/>
        <v>#N/A</v>
      </c>
      <c r="L1341" s="40" t="e">
        <f t="shared" si="2421"/>
        <v>#N/A</v>
      </c>
      <c r="M1341" s="16" t="e">
        <f t="shared" si="2422"/>
        <v>#N/A</v>
      </c>
      <c r="N1341" s="16" t="e">
        <f t="shared" si="2423"/>
        <v>#N/A</v>
      </c>
      <c r="O1341" s="16" t="s">
        <v>68</v>
      </c>
      <c r="P1341" s="16" t="str">
        <f t="shared" si="6"/>
        <v/>
      </c>
      <c r="Q1341" s="41" t="e">
        <f t="shared" si="2424"/>
        <v>#N/A</v>
      </c>
      <c r="R1341" s="44"/>
      <c r="S1341" s="44"/>
      <c r="T1341" s="43"/>
      <c r="U1341" s="43" t="str">
        <f t="shared" si="8"/>
        <v>No</v>
      </c>
      <c r="V1341" s="25"/>
      <c r="W1341" s="25"/>
      <c r="X1341" s="25"/>
      <c r="Y1341" s="25"/>
      <c r="Z1341" s="25"/>
    </row>
    <row r="1342" spans="1:26" ht="15.75" customHeight="1" x14ac:dyDescent="0.25">
      <c r="A1342" s="25">
        <v>1340</v>
      </c>
      <c r="B1342" s="37" t="e">
        <f t="shared" ref="B1342:D1342" si="2701">VLOOKUP($A1342,[4]Cultura!$A$1:$O$276,B$1,0)</f>
        <v>#N/A</v>
      </c>
      <c r="C1342" s="38" t="e">
        <f t="shared" si="2701"/>
        <v>#N/A</v>
      </c>
      <c r="D1342" s="39" t="e">
        <f t="shared" si="2701"/>
        <v>#N/A</v>
      </c>
      <c r="E1342" s="16" t="e">
        <f t="shared" si="1"/>
        <v>#N/A</v>
      </c>
      <c r="F1342" s="16" t="e">
        <f t="shared" ref="F1342:K1342" si="2702">VLOOKUP($A1342,[4]Cultura!$A$1:$O$276,F$1,0)</f>
        <v>#N/A</v>
      </c>
      <c r="G1342" s="39" t="e">
        <f t="shared" si="2702"/>
        <v>#N/A</v>
      </c>
      <c r="H1342" s="16" t="e">
        <f t="shared" si="2702"/>
        <v>#N/A</v>
      </c>
      <c r="I1342" s="16" t="e">
        <f t="shared" si="2702"/>
        <v>#N/A</v>
      </c>
      <c r="J1342" s="40" t="e">
        <f t="shared" si="2702"/>
        <v>#N/A</v>
      </c>
      <c r="K1342" s="16" t="e">
        <f t="shared" si="2702"/>
        <v>#N/A</v>
      </c>
      <c r="L1342" s="40" t="e">
        <f t="shared" si="2421"/>
        <v>#N/A</v>
      </c>
      <c r="M1342" s="16" t="e">
        <f t="shared" si="2422"/>
        <v>#N/A</v>
      </c>
      <c r="N1342" s="16" t="e">
        <f t="shared" si="2423"/>
        <v>#N/A</v>
      </c>
      <c r="O1342" s="16" t="s">
        <v>68</v>
      </c>
      <c r="P1342" s="16" t="str">
        <f t="shared" si="6"/>
        <v/>
      </c>
      <c r="Q1342" s="41" t="e">
        <f t="shared" si="2424"/>
        <v>#N/A</v>
      </c>
      <c r="R1342" s="44"/>
      <c r="S1342" s="44"/>
      <c r="T1342" s="43"/>
      <c r="U1342" s="43" t="str">
        <f t="shared" si="8"/>
        <v>No</v>
      </c>
      <c r="V1342" s="25"/>
      <c r="W1342" s="25"/>
      <c r="X1342" s="25"/>
      <c r="Y1342" s="25"/>
      <c r="Z1342" s="25"/>
    </row>
    <row r="1343" spans="1:26" ht="15.75" customHeight="1" x14ac:dyDescent="0.25">
      <c r="A1343" s="25">
        <v>1341</v>
      </c>
      <c r="B1343" s="37" t="e">
        <f t="shared" ref="B1343:D1343" si="2703">VLOOKUP($A1343,[4]Cultura!$A$1:$O$276,B$1,0)</f>
        <v>#N/A</v>
      </c>
      <c r="C1343" s="38" t="e">
        <f t="shared" si="2703"/>
        <v>#N/A</v>
      </c>
      <c r="D1343" s="39" t="e">
        <f t="shared" si="2703"/>
        <v>#N/A</v>
      </c>
      <c r="E1343" s="16" t="e">
        <f t="shared" si="1"/>
        <v>#N/A</v>
      </c>
      <c r="F1343" s="16" t="e">
        <f t="shared" ref="F1343:K1343" si="2704">VLOOKUP($A1343,[4]Cultura!$A$1:$O$276,F$1,0)</f>
        <v>#N/A</v>
      </c>
      <c r="G1343" s="39" t="e">
        <f t="shared" si="2704"/>
        <v>#N/A</v>
      </c>
      <c r="H1343" s="16" t="e">
        <f t="shared" si="2704"/>
        <v>#N/A</v>
      </c>
      <c r="I1343" s="16" t="e">
        <f t="shared" si="2704"/>
        <v>#N/A</v>
      </c>
      <c r="J1343" s="40" t="e">
        <f t="shared" si="2704"/>
        <v>#N/A</v>
      </c>
      <c r="K1343" s="16" t="e">
        <f t="shared" si="2704"/>
        <v>#N/A</v>
      </c>
      <c r="L1343" s="40" t="e">
        <f t="shared" si="2421"/>
        <v>#N/A</v>
      </c>
      <c r="M1343" s="16" t="e">
        <f t="shared" si="2422"/>
        <v>#N/A</v>
      </c>
      <c r="N1343" s="16" t="e">
        <f t="shared" si="2423"/>
        <v>#N/A</v>
      </c>
      <c r="O1343" s="16" t="s">
        <v>68</v>
      </c>
      <c r="P1343" s="16" t="str">
        <f t="shared" si="6"/>
        <v/>
      </c>
      <c r="Q1343" s="41" t="e">
        <f t="shared" si="2424"/>
        <v>#N/A</v>
      </c>
      <c r="R1343" s="44"/>
      <c r="S1343" s="44"/>
      <c r="T1343" s="43"/>
      <c r="U1343" s="43" t="str">
        <f t="shared" si="8"/>
        <v>No</v>
      </c>
      <c r="V1343" s="25"/>
      <c r="W1343" s="25"/>
      <c r="X1343" s="25"/>
      <c r="Y1343" s="25"/>
      <c r="Z1343" s="25"/>
    </row>
    <row r="1344" spans="1:26" ht="15.75" customHeight="1" x14ac:dyDescent="0.25">
      <c r="A1344" s="25">
        <v>1342</v>
      </c>
      <c r="B1344" s="37" t="e">
        <f t="shared" ref="B1344:D1344" si="2705">VLOOKUP($A1344,[4]Cultura!$A$1:$O$276,B$1,0)</f>
        <v>#N/A</v>
      </c>
      <c r="C1344" s="38" t="e">
        <f t="shared" si="2705"/>
        <v>#N/A</v>
      </c>
      <c r="D1344" s="39" t="e">
        <f t="shared" si="2705"/>
        <v>#N/A</v>
      </c>
      <c r="E1344" s="16" t="e">
        <f t="shared" si="1"/>
        <v>#N/A</v>
      </c>
      <c r="F1344" s="16" t="e">
        <f t="shared" ref="F1344:K1344" si="2706">VLOOKUP($A1344,[4]Cultura!$A$1:$O$276,F$1,0)</f>
        <v>#N/A</v>
      </c>
      <c r="G1344" s="39" t="e">
        <f t="shared" si="2706"/>
        <v>#N/A</v>
      </c>
      <c r="H1344" s="16" t="e">
        <f t="shared" si="2706"/>
        <v>#N/A</v>
      </c>
      <c r="I1344" s="16" t="e">
        <f t="shared" si="2706"/>
        <v>#N/A</v>
      </c>
      <c r="J1344" s="40" t="e">
        <f t="shared" si="2706"/>
        <v>#N/A</v>
      </c>
      <c r="K1344" s="16" t="e">
        <f t="shared" si="2706"/>
        <v>#N/A</v>
      </c>
      <c r="L1344" s="40" t="e">
        <f t="shared" si="2421"/>
        <v>#N/A</v>
      </c>
      <c r="M1344" s="16" t="e">
        <f t="shared" si="2422"/>
        <v>#N/A</v>
      </c>
      <c r="N1344" s="16" t="e">
        <f t="shared" si="2423"/>
        <v>#N/A</v>
      </c>
      <c r="O1344" s="16" t="s">
        <v>68</v>
      </c>
      <c r="P1344" s="16" t="str">
        <f t="shared" si="6"/>
        <v/>
      </c>
      <c r="Q1344" s="41" t="e">
        <f t="shared" si="2424"/>
        <v>#N/A</v>
      </c>
      <c r="R1344" s="44"/>
      <c r="S1344" s="44"/>
      <c r="T1344" s="43"/>
      <c r="U1344" s="43" t="str">
        <f t="shared" si="8"/>
        <v>No</v>
      </c>
      <c r="V1344" s="25"/>
      <c r="W1344" s="25"/>
      <c r="X1344" s="25"/>
      <c r="Y1344" s="25"/>
      <c r="Z1344" s="25"/>
    </row>
    <row r="1345" spans="1:26" ht="15.75" customHeight="1" x14ac:dyDescent="0.25">
      <c r="A1345" s="25">
        <v>1343</v>
      </c>
      <c r="B1345" s="37" t="e">
        <f t="shared" ref="B1345:D1345" si="2707">VLOOKUP($A1345,[4]Cultura!$A$1:$O$276,B$1,0)</f>
        <v>#N/A</v>
      </c>
      <c r="C1345" s="38" t="e">
        <f t="shared" si="2707"/>
        <v>#N/A</v>
      </c>
      <c r="D1345" s="39" t="e">
        <f t="shared" si="2707"/>
        <v>#N/A</v>
      </c>
      <c r="E1345" s="16" t="e">
        <f t="shared" si="1"/>
        <v>#N/A</v>
      </c>
      <c r="F1345" s="16" t="e">
        <f t="shared" ref="F1345:K1345" si="2708">VLOOKUP($A1345,[4]Cultura!$A$1:$O$276,F$1,0)</f>
        <v>#N/A</v>
      </c>
      <c r="G1345" s="39" t="e">
        <f t="shared" si="2708"/>
        <v>#N/A</v>
      </c>
      <c r="H1345" s="16" t="e">
        <f t="shared" si="2708"/>
        <v>#N/A</v>
      </c>
      <c r="I1345" s="16" t="e">
        <f t="shared" si="2708"/>
        <v>#N/A</v>
      </c>
      <c r="J1345" s="40" t="e">
        <f t="shared" si="2708"/>
        <v>#N/A</v>
      </c>
      <c r="K1345" s="16" t="e">
        <f t="shared" si="2708"/>
        <v>#N/A</v>
      </c>
      <c r="L1345" s="40" t="e">
        <f t="shared" si="2421"/>
        <v>#N/A</v>
      </c>
      <c r="M1345" s="16" t="e">
        <f t="shared" si="2422"/>
        <v>#N/A</v>
      </c>
      <c r="N1345" s="16" t="e">
        <f t="shared" si="2423"/>
        <v>#N/A</v>
      </c>
      <c r="O1345" s="16" t="s">
        <v>68</v>
      </c>
      <c r="P1345" s="16" t="str">
        <f t="shared" si="6"/>
        <v/>
      </c>
      <c r="Q1345" s="41" t="e">
        <f t="shared" si="2424"/>
        <v>#N/A</v>
      </c>
      <c r="R1345" s="44"/>
      <c r="S1345" s="44"/>
      <c r="T1345" s="43"/>
      <c r="U1345" s="43" t="str">
        <f t="shared" si="8"/>
        <v>No</v>
      </c>
      <c r="V1345" s="25"/>
      <c r="W1345" s="25"/>
      <c r="X1345" s="25"/>
      <c r="Y1345" s="25"/>
      <c r="Z1345" s="25"/>
    </row>
    <row r="1346" spans="1:26" ht="15.75" customHeight="1" x14ac:dyDescent="0.25">
      <c r="A1346" s="25">
        <v>1344</v>
      </c>
      <c r="B1346" s="37" t="e">
        <f t="shared" ref="B1346:D1346" si="2709">VLOOKUP($A1346,[4]Cultura!$A$1:$O$276,B$1,0)</f>
        <v>#N/A</v>
      </c>
      <c r="C1346" s="38" t="e">
        <f t="shared" si="2709"/>
        <v>#N/A</v>
      </c>
      <c r="D1346" s="39" t="e">
        <f t="shared" si="2709"/>
        <v>#N/A</v>
      </c>
      <c r="E1346" s="16" t="e">
        <f t="shared" si="1"/>
        <v>#N/A</v>
      </c>
      <c r="F1346" s="16" t="e">
        <f t="shared" ref="F1346:K1346" si="2710">VLOOKUP($A1346,[4]Cultura!$A$1:$O$276,F$1,0)</f>
        <v>#N/A</v>
      </c>
      <c r="G1346" s="39" t="e">
        <f t="shared" si="2710"/>
        <v>#N/A</v>
      </c>
      <c r="H1346" s="16" t="e">
        <f t="shared" si="2710"/>
        <v>#N/A</v>
      </c>
      <c r="I1346" s="16" t="e">
        <f t="shared" si="2710"/>
        <v>#N/A</v>
      </c>
      <c r="J1346" s="40" t="e">
        <f t="shared" si="2710"/>
        <v>#N/A</v>
      </c>
      <c r="K1346" s="16" t="e">
        <f t="shared" si="2710"/>
        <v>#N/A</v>
      </c>
      <c r="L1346" s="40" t="e">
        <f t="shared" si="2421"/>
        <v>#N/A</v>
      </c>
      <c r="M1346" s="16" t="e">
        <f t="shared" si="2422"/>
        <v>#N/A</v>
      </c>
      <c r="N1346" s="16" t="e">
        <f t="shared" si="2423"/>
        <v>#N/A</v>
      </c>
      <c r="O1346" s="16" t="s">
        <v>68</v>
      </c>
      <c r="P1346" s="16" t="str">
        <f t="shared" si="6"/>
        <v/>
      </c>
      <c r="Q1346" s="41" t="e">
        <f t="shared" si="2424"/>
        <v>#N/A</v>
      </c>
      <c r="R1346" s="44"/>
      <c r="S1346" s="44"/>
      <c r="T1346" s="43"/>
      <c r="U1346" s="43" t="str">
        <f t="shared" si="8"/>
        <v>No</v>
      </c>
      <c r="V1346" s="25"/>
      <c r="W1346" s="25"/>
      <c r="X1346" s="25"/>
      <c r="Y1346" s="25"/>
      <c r="Z1346" s="25"/>
    </row>
    <row r="1347" spans="1:26" ht="15.75" customHeight="1" x14ac:dyDescent="0.25">
      <c r="A1347" s="25">
        <v>1345</v>
      </c>
      <c r="B1347" s="37" t="e">
        <f t="shared" ref="B1347:D1347" si="2711">VLOOKUP($A1347,[4]Cultura!$A$1:$O$276,B$1,0)</f>
        <v>#N/A</v>
      </c>
      <c r="C1347" s="38" t="e">
        <f t="shared" si="2711"/>
        <v>#N/A</v>
      </c>
      <c r="D1347" s="39" t="e">
        <f t="shared" si="2711"/>
        <v>#N/A</v>
      </c>
      <c r="E1347" s="16" t="e">
        <f t="shared" si="1"/>
        <v>#N/A</v>
      </c>
      <c r="F1347" s="16" t="e">
        <f t="shared" ref="F1347:K1347" si="2712">VLOOKUP($A1347,[4]Cultura!$A$1:$O$276,F$1,0)</f>
        <v>#N/A</v>
      </c>
      <c r="G1347" s="39" t="e">
        <f t="shared" si="2712"/>
        <v>#N/A</v>
      </c>
      <c r="H1347" s="16" t="e">
        <f t="shared" si="2712"/>
        <v>#N/A</v>
      </c>
      <c r="I1347" s="16" t="e">
        <f t="shared" si="2712"/>
        <v>#N/A</v>
      </c>
      <c r="J1347" s="40" t="e">
        <f t="shared" si="2712"/>
        <v>#N/A</v>
      </c>
      <c r="K1347" s="16" t="e">
        <f t="shared" si="2712"/>
        <v>#N/A</v>
      </c>
      <c r="L1347" s="40" t="e">
        <f t="shared" si="2421"/>
        <v>#N/A</v>
      </c>
      <c r="M1347" s="16" t="e">
        <f t="shared" si="2422"/>
        <v>#N/A</v>
      </c>
      <c r="N1347" s="16" t="e">
        <f t="shared" si="2423"/>
        <v>#N/A</v>
      </c>
      <c r="O1347" s="16" t="s">
        <v>68</v>
      </c>
      <c r="P1347" s="16" t="str">
        <f t="shared" si="6"/>
        <v/>
      </c>
      <c r="Q1347" s="41" t="e">
        <f t="shared" si="2424"/>
        <v>#N/A</v>
      </c>
      <c r="R1347" s="44"/>
      <c r="S1347" s="44"/>
      <c r="T1347" s="43"/>
      <c r="U1347" s="43" t="str">
        <f t="shared" si="8"/>
        <v>No</v>
      </c>
      <c r="V1347" s="25"/>
      <c r="W1347" s="25"/>
      <c r="X1347" s="25"/>
      <c r="Y1347" s="25"/>
      <c r="Z1347" s="25"/>
    </row>
    <row r="1348" spans="1:26" ht="15.75" customHeight="1" x14ac:dyDescent="0.25">
      <c r="A1348" s="25">
        <v>1346</v>
      </c>
      <c r="B1348" s="37" t="e">
        <f t="shared" ref="B1348:D1348" si="2713">VLOOKUP($A1348,[4]Cultura!$A$1:$O$276,B$1,0)</f>
        <v>#N/A</v>
      </c>
      <c r="C1348" s="38" t="e">
        <f t="shared" si="2713"/>
        <v>#N/A</v>
      </c>
      <c r="D1348" s="39" t="e">
        <f t="shared" si="2713"/>
        <v>#N/A</v>
      </c>
      <c r="E1348" s="16" t="e">
        <f t="shared" si="1"/>
        <v>#N/A</v>
      </c>
      <c r="F1348" s="16" t="e">
        <f t="shared" ref="F1348:K1348" si="2714">VLOOKUP($A1348,[4]Cultura!$A$1:$O$276,F$1,0)</f>
        <v>#N/A</v>
      </c>
      <c r="G1348" s="39" t="e">
        <f t="shared" si="2714"/>
        <v>#N/A</v>
      </c>
      <c r="H1348" s="16" t="e">
        <f t="shared" si="2714"/>
        <v>#N/A</v>
      </c>
      <c r="I1348" s="16" t="e">
        <f t="shared" si="2714"/>
        <v>#N/A</v>
      </c>
      <c r="J1348" s="40" t="e">
        <f t="shared" si="2714"/>
        <v>#N/A</v>
      </c>
      <c r="K1348" s="16" t="e">
        <f t="shared" si="2714"/>
        <v>#N/A</v>
      </c>
      <c r="L1348" s="40" t="e">
        <f t="shared" si="2421"/>
        <v>#N/A</v>
      </c>
      <c r="M1348" s="16" t="e">
        <f t="shared" si="2422"/>
        <v>#N/A</v>
      </c>
      <c r="N1348" s="16" t="e">
        <f t="shared" si="2423"/>
        <v>#N/A</v>
      </c>
      <c r="O1348" s="16" t="s">
        <v>68</v>
      </c>
      <c r="P1348" s="16" t="str">
        <f t="shared" si="6"/>
        <v/>
      </c>
      <c r="Q1348" s="41" t="e">
        <f t="shared" si="2424"/>
        <v>#N/A</v>
      </c>
      <c r="R1348" s="44"/>
      <c r="S1348" s="44"/>
      <c r="T1348" s="43"/>
      <c r="U1348" s="43" t="str">
        <f t="shared" si="8"/>
        <v>No</v>
      </c>
      <c r="V1348" s="25"/>
      <c r="W1348" s="25"/>
      <c r="X1348" s="25"/>
      <c r="Y1348" s="25"/>
      <c r="Z1348" s="25"/>
    </row>
    <row r="1349" spans="1:26" ht="15.75" customHeight="1" x14ac:dyDescent="0.25">
      <c r="A1349" s="25">
        <v>1347</v>
      </c>
      <c r="B1349" s="37" t="e">
        <f t="shared" ref="B1349:D1349" si="2715">VLOOKUP($A1349,[4]Cultura!$A$1:$O$276,B$1,0)</f>
        <v>#N/A</v>
      </c>
      <c r="C1349" s="38" t="e">
        <f t="shared" si="2715"/>
        <v>#N/A</v>
      </c>
      <c r="D1349" s="39" t="e">
        <f t="shared" si="2715"/>
        <v>#N/A</v>
      </c>
      <c r="E1349" s="16" t="e">
        <f t="shared" si="1"/>
        <v>#N/A</v>
      </c>
      <c r="F1349" s="16" t="e">
        <f t="shared" ref="F1349:K1349" si="2716">VLOOKUP($A1349,[4]Cultura!$A$1:$O$276,F$1,0)</f>
        <v>#N/A</v>
      </c>
      <c r="G1349" s="39" t="e">
        <f t="shared" si="2716"/>
        <v>#N/A</v>
      </c>
      <c r="H1349" s="16" t="e">
        <f t="shared" si="2716"/>
        <v>#N/A</v>
      </c>
      <c r="I1349" s="16" t="e">
        <f t="shared" si="2716"/>
        <v>#N/A</v>
      </c>
      <c r="J1349" s="40" t="e">
        <f t="shared" si="2716"/>
        <v>#N/A</v>
      </c>
      <c r="K1349" s="16" t="e">
        <f t="shared" si="2716"/>
        <v>#N/A</v>
      </c>
      <c r="L1349" s="40" t="e">
        <f t="shared" si="2421"/>
        <v>#N/A</v>
      </c>
      <c r="M1349" s="16" t="e">
        <f t="shared" si="2422"/>
        <v>#N/A</v>
      </c>
      <c r="N1349" s="16" t="e">
        <f t="shared" si="2423"/>
        <v>#N/A</v>
      </c>
      <c r="O1349" s="16" t="s">
        <v>68</v>
      </c>
      <c r="P1349" s="16" t="str">
        <f t="shared" si="6"/>
        <v/>
      </c>
      <c r="Q1349" s="41" t="e">
        <f t="shared" si="2424"/>
        <v>#N/A</v>
      </c>
      <c r="R1349" s="44"/>
      <c r="S1349" s="44"/>
      <c r="T1349" s="43"/>
      <c r="U1349" s="43" t="str">
        <f t="shared" si="8"/>
        <v>No</v>
      </c>
      <c r="V1349" s="25"/>
      <c r="W1349" s="25"/>
      <c r="X1349" s="25"/>
      <c r="Y1349" s="25"/>
      <c r="Z1349" s="25"/>
    </row>
    <row r="1350" spans="1:26" ht="15.75" customHeight="1" x14ac:dyDescent="0.25">
      <c r="A1350" s="25">
        <v>1348</v>
      </c>
      <c r="B1350" s="37" t="e">
        <f t="shared" ref="B1350:D1350" si="2717">VLOOKUP($A1350,[4]Cultura!$A$1:$O$276,B$1,0)</f>
        <v>#N/A</v>
      </c>
      <c r="C1350" s="38" t="e">
        <f t="shared" si="2717"/>
        <v>#N/A</v>
      </c>
      <c r="D1350" s="39" t="e">
        <f t="shared" si="2717"/>
        <v>#N/A</v>
      </c>
      <c r="E1350" s="16" t="e">
        <f t="shared" si="1"/>
        <v>#N/A</v>
      </c>
      <c r="F1350" s="16" t="e">
        <f t="shared" ref="F1350:K1350" si="2718">VLOOKUP($A1350,[4]Cultura!$A$1:$O$276,F$1,0)</f>
        <v>#N/A</v>
      </c>
      <c r="G1350" s="39" t="e">
        <f t="shared" si="2718"/>
        <v>#N/A</v>
      </c>
      <c r="H1350" s="16" t="e">
        <f t="shared" si="2718"/>
        <v>#N/A</v>
      </c>
      <c r="I1350" s="16" t="e">
        <f t="shared" si="2718"/>
        <v>#N/A</v>
      </c>
      <c r="J1350" s="40" t="e">
        <f t="shared" si="2718"/>
        <v>#N/A</v>
      </c>
      <c r="K1350" s="16" t="e">
        <f t="shared" si="2718"/>
        <v>#N/A</v>
      </c>
      <c r="L1350" s="40" t="e">
        <f t="shared" si="2421"/>
        <v>#N/A</v>
      </c>
      <c r="M1350" s="16" t="e">
        <f t="shared" si="2422"/>
        <v>#N/A</v>
      </c>
      <c r="N1350" s="16" t="e">
        <f t="shared" si="2423"/>
        <v>#N/A</v>
      </c>
      <c r="O1350" s="16" t="s">
        <v>68</v>
      </c>
      <c r="P1350" s="16" t="str">
        <f t="shared" si="6"/>
        <v/>
      </c>
      <c r="Q1350" s="41" t="e">
        <f t="shared" si="2424"/>
        <v>#N/A</v>
      </c>
      <c r="R1350" s="44"/>
      <c r="S1350" s="44"/>
      <c r="T1350" s="43"/>
      <c r="U1350" s="43" t="str">
        <f t="shared" si="8"/>
        <v>No</v>
      </c>
      <c r="V1350" s="25"/>
      <c r="W1350" s="25"/>
      <c r="X1350" s="25"/>
      <c r="Y1350" s="25"/>
      <c r="Z1350" s="25"/>
    </row>
    <row r="1351" spans="1:26" ht="15.75" customHeight="1" x14ac:dyDescent="0.25">
      <c r="A1351" s="25">
        <v>1349</v>
      </c>
      <c r="B1351" s="37" t="e">
        <f t="shared" ref="B1351:D1351" si="2719">VLOOKUP($A1351,[4]Cultura!$A$1:$O$276,B$1,0)</f>
        <v>#N/A</v>
      </c>
      <c r="C1351" s="38" t="e">
        <f t="shared" si="2719"/>
        <v>#N/A</v>
      </c>
      <c r="D1351" s="39" t="e">
        <f t="shared" si="2719"/>
        <v>#N/A</v>
      </c>
      <c r="E1351" s="16" t="e">
        <f t="shared" si="1"/>
        <v>#N/A</v>
      </c>
      <c r="F1351" s="16" t="e">
        <f t="shared" ref="F1351:K1351" si="2720">VLOOKUP($A1351,[4]Cultura!$A$1:$O$276,F$1,0)</f>
        <v>#N/A</v>
      </c>
      <c r="G1351" s="39" t="e">
        <f t="shared" si="2720"/>
        <v>#N/A</v>
      </c>
      <c r="H1351" s="16" t="e">
        <f t="shared" si="2720"/>
        <v>#N/A</v>
      </c>
      <c r="I1351" s="16" t="e">
        <f t="shared" si="2720"/>
        <v>#N/A</v>
      </c>
      <c r="J1351" s="40" t="e">
        <f t="shared" si="2720"/>
        <v>#N/A</v>
      </c>
      <c r="K1351" s="16" t="e">
        <f t="shared" si="2720"/>
        <v>#N/A</v>
      </c>
      <c r="L1351" s="40" t="e">
        <f t="shared" si="2421"/>
        <v>#N/A</v>
      </c>
      <c r="M1351" s="16" t="e">
        <f t="shared" si="2422"/>
        <v>#N/A</v>
      </c>
      <c r="N1351" s="16" t="e">
        <f t="shared" si="2423"/>
        <v>#N/A</v>
      </c>
      <c r="O1351" s="16" t="s">
        <v>68</v>
      </c>
      <c r="P1351" s="16" t="str">
        <f t="shared" si="6"/>
        <v/>
      </c>
      <c r="Q1351" s="41" t="e">
        <f t="shared" si="2424"/>
        <v>#N/A</v>
      </c>
      <c r="R1351" s="44"/>
      <c r="S1351" s="44"/>
      <c r="T1351" s="43"/>
      <c r="U1351" s="43" t="str">
        <f t="shared" si="8"/>
        <v>No</v>
      </c>
      <c r="V1351" s="25"/>
      <c r="W1351" s="25"/>
      <c r="X1351" s="25"/>
      <c r="Y1351" s="25"/>
      <c r="Z1351" s="25"/>
    </row>
    <row r="1352" spans="1:26" ht="15.75" customHeight="1" x14ac:dyDescent="0.25">
      <c r="A1352" s="25">
        <v>1350</v>
      </c>
      <c r="B1352" s="37" t="e">
        <f t="shared" ref="B1352:D1352" si="2721">VLOOKUP($A1352,[4]Cultura!$A$1:$O$276,B$1,0)</f>
        <v>#N/A</v>
      </c>
      <c r="C1352" s="38" t="e">
        <f t="shared" si="2721"/>
        <v>#N/A</v>
      </c>
      <c r="D1352" s="39" t="e">
        <f t="shared" si="2721"/>
        <v>#N/A</v>
      </c>
      <c r="E1352" s="16" t="e">
        <f t="shared" si="1"/>
        <v>#N/A</v>
      </c>
      <c r="F1352" s="16" t="e">
        <f t="shared" ref="F1352:K1352" si="2722">VLOOKUP($A1352,[4]Cultura!$A$1:$O$276,F$1,0)</f>
        <v>#N/A</v>
      </c>
      <c r="G1352" s="39" t="e">
        <f t="shared" si="2722"/>
        <v>#N/A</v>
      </c>
      <c r="H1352" s="16" t="e">
        <f t="shared" si="2722"/>
        <v>#N/A</v>
      </c>
      <c r="I1352" s="16" t="e">
        <f t="shared" si="2722"/>
        <v>#N/A</v>
      </c>
      <c r="J1352" s="40" t="e">
        <f t="shared" si="2722"/>
        <v>#N/A</v>
      </c>
      <c r="K1352" s="16" t="e">
        <f t="shared" si="2722"/>
        <v>#N/A</v>
      </c>
      <c r="L1352" s="40" t="e">
        <f t="shared" si="2421"/>
        <v>#N/A</v>
      </c>
      <c r="M1352" s="16" t="e">
        <f t="shared" si="2422"/>
        <v>#N/A</v>
      </c>
      <c r="N1352" s="16" t="e">
        <f t="shared" si="2423"/>
        <v>#N/A</v>
      </c>
      <c r="O1352" s="16" t="s">
        <v>68</v>
      </c>
      <c r="P1352" s="16" t="str">
        <f t="shared" si="6"/>
        <v/>
      </c>
      <c r="Q1352" s="41" t="e">
        <f t="shared" si="2424"/>
        <v>#N/A</v>
      </c>
      <c r="R1352" s="44"/>
      <c r="S1352" s="44"/>
      <c r="T1352" s="43"/>
      <c r="U1352" s="43" t="str">
        <f t="shared" si="8"/>
        <v>No</v>
      </c>
      <c r="V1352" s="25"/>
      <c r="W1352" s="25"/>
      <c r="X1352" s="25"/>
      <c r="Y1352" s="25"/>
      <c r="Z1352" s="25"/>
    </row>
    <row r="1353" spans="1:26" ht="15.75" customHeight="1" x14ac:dyDescent="0.25">
      <c r="A1353" s="25">
        <v>1351</v>
      </c>
      <c r="B1353" s="37" t="e">
        <f t="shared" ref="B1353:D1353" si="2723">VLOOKUP($A1353,[4]Cultura!$A$1:$O$276,B$1,0)</f>
        <v>#N/A</v>
      </c>
      <c r="C1353" s="38" t="e">
        <f t="shared" si="2723"/>
        <v>#N/A</v>
      </c>
      <c r="D1353" s="39" t="e">
        <f t="shared" si="2723"/>
        <v>#N/A</v>
      </c>
      <c r="E1353" s="16" t="e">
        <f t="shared" si="1"/>
        <v>#N/A</v>
      </c>
      <c r="F1353" s="16" t="e">
        <f t="shared" ref="F1353:K1353" si="2724">VLOOKUP($A1353,[4]Cultura!$A$1:$O$276,F$1,0)</f>
        <v>#N/A</v>
      </c>
      <c r="G1353" s="39" t="e">
        <f t="shared" si="2724"/>
        <v>#N/A</v>
      </c>
      <c r="H1353" s="16" t="e">
        <f t="shared" si="2724"/>
        <v>#N/A</v>
      </c>
      <c r="I1353" s="16" t="e">
        <f t="shared" si="2724"/>
        <v>#N/A</v>
      </c>
      <c r="J1353" s="40" t="e">
        <f t="shared" si="2724"/>
        <v>#N/A</v>
      </c>
      <c r="K1353" s="16" t="e">
        <f t="shared" si="2724"/>
        <v>#N/A</v>
      </c>
      <c r="L1353" s="40" t="e">
        <f t="shared" si="2421"/>
        <v>#N/A</v>
      </c>
      <c r="M1353" s="16" t="e">
        <f t="shared" si="2422"/>
        <v>#N/A</v>
      </c>
      <c r="N1353" s="16" t="e">
        <f t="shared" si="2423"/>
        <v>#N/A</v>
      </c>
      <c r="O1353" s="16" t="s">
        <v>68</v>
      </c>
      <c r="P1353" s="16" t="str">
        <f t="shared" si="6"/>
        <v/>
      </c>
      <c r="Q1353" s="41" t="e">
        <f t="shared" si="2424"/>
        <v>#N/A</v>
      </c>
      <c r="R1353" s="44"/>
      <c r="S1353" s="44"/>
      <c r="T1353" s="43"/>
      <c r="U1353" s="43" t="str">
        <f t="shared" si="8"/>
        <v>No</v>
      </c>
      <c r="V1353" s="25"/>
      <c r="W1353" s="25"/>
      <c r="X1353" s="25"/>
      <c r="Y1353" s="25"/>
      <c r="Z1353" s="25"/>
    </row>
    <row r="1354" spans="1:26" ht="15.75" customHeight="1" x14ac:dyDescent="0.25">
      <c r="A1354" s="25">
        <v>1352</v>
      </c>
      <c r="B1354" s="37" t="e">
        <f t="shared" ref="B1354:D1354" si="2725">VLOOKUP($A1354,[4]Cultura!$A$1:$O$276,B$1,0)</f>
        <v>#N/A</v>
      </c>
      <c r="C1354" s="38" t="e">
        <f t="shared" si="2725"/>
        <v>#N/A</v>
      </c>
      <c r="D1354" s="39" t="e">
        <f t="shared" si="2725"/>
        <v>#N/A</v>
      </c>
      <c r="E1354" s="16" t="e">
        <f t="shared" si="1"/>
        <v>#N/A</v>
      </c>
      <c r="F1354" s="16" t="e">
        <f t="shared" ref="F1354:K1354" si="2726">VLOOKUP($A1354,[4]Cultura!$A$1:$O$276,F$1,0)</f>
        <v>#N/A</v>
      </c>
      <c r="G1354" s="39" t="e">
        <f t="shared" si="2726"/>
        <v>#N/A</v>
      </c>
      <c r="H1354" s="16" t="e">
        <f t="shared" si="2726"/>
        <v>#N/A</v>
      </c>
      <c r="I1354" s="16" t="e">
        <f t="shared" si="2726"/>
        <v>#N/A</v>
      </c>
      <c r="J1354" s="40" t="e">
        <f t="shared" si="2726"/>
        <v>#N/A</v>
      </c>
      <c r="K1354" s="16" t="e">
        <f t="shared" si="2726"/>
        <v>#N/A</v>
      </c>
      <c r="L1354" s="40" t="e">
        <f t="shared" si="2421"/>
        <v>#N/A</v>
      </c>
      <c r="M1354" s="16" t="e">
        <f t="shared" si="2422"/>
        <v>#N/A</v>
      </c>
      <c r="N1354" s="16" t="e">
        <f t="shared" si="2423"/>
        <v>#N/A</v>
      </c>
      <c r="O1354" s="16" t="s">
        <v>68</v>
      </c>
      <c r="P1354" s="16" t="str">
        <f t="shared" si="6"/>
        <v/>
      </c>
      <c r="Q1354" s="41" t="e">
        <f t="shared" si="2424"/>
        <v>#N/A</v>
      </c>
      <c r="R1354" s="44"/>
      <c r="S1354" s="44"/>
      <c r="T1354" s="43"/>
      <c r="U1354" s="43" t="str">
        <f t="shared" si="8"/>
        <v>No</v>
      </c>
      <c r="V1354" s="25"/>
      <c r="W1354" s="25"/>
      <c r="X1354" s="25"/>
      <c r="Y1354" s="25"/>
      <c r="Z1354" s="25"/>
    </row>
    <row r="1355" spans="1:26" ht="15.75" customHeight="1" x14ac:dyDescent="0.25">
      <c r="A1355" s="25">
        <v>1353</v>
      </c>
      <c r="B1355" s="37" t="e">
        <f t="shared" ref="B1355:D1355" si="2727">VLOOKUP($A1355,[4]Cultura!$A$1:$O$276,B$1,0)</f>
        <v>#N/A</v>
      </c>
      <c r="C1355" s="38" t="e">
        <f t="shared" si="2727"/>
        <v>#N/A</v>
      </c>
      <c r="D1355" s="39" t="e">
        <f t="shared" si="2727"/>
        <v>#N/A</v>
      </c>
      <c r="E1355" s="16" t="e">
        <f t="shared" si="1"/>
        <v>#N/A</v>
      </c>
      <c r="F1355" s="16" t="e">
        <f t="shared" ref="F1355:K1355" si="2728">VLOOKUP($A1355,[4]Cultura!$A$1:$O$276,F$1,0)</f>
        <v>#N/A</v>
      </c>
      <c r="G1355" s="39" t="e">
        <f t="shared" si="2728"/>
        <v>#N/A</v>
      </c>
      <c r="H1355" s="16" t="e">
        <f t="shared" si="2728"/>
        <v>#N/A</v>
      </c>
      <c r="I1355" s="16" t="e">
        <f t="shared" si="2728"/>
        <v>#N/A</v>
      </c>
      <c r="J1355" s="40" t="e">
        <f t="shared" si="2728"/>
        <v>#N/A</v>
      </c>
      <c r="K1355" s="16" t="e">
        <f t="shared" si="2728"/>
        <v>#N/A</v>
      </c>
      <c r="L1355" s="40" t="e">
        <f t="shared" si="2421"/>
        <v>#N/A</v>
      </c>
      <c r="M1355" s="16" t="e">
        <f t="shared" si="2422"/>
        <v>#N/A</v>
      </c>
      <c r="N1355" s="16" t="e">
        <f t="shared" si="2423"/>
        <v>#N/A</v>
      </c>
      <c r="O1355" s="16" t="s">
        <v>68</v>
      </c>
      <c r="P1355" s="16" t="str">
        <f t="shared" si="6"/>
        <v/>
      </c>
      <c r="Q1355" s="41" t="e">
        <f t="shared" si="2424"/>
        <v>#N/A</v>
      </c>
      <c r="R1355" s="44"/>
      <c r="S1355" s="44"/>
      <c r="T1355" s="43"/>
      <c r="U1355" s="43" t="str">
        <f t="shared" si="8"/>
        <v>No</v>
      </c>
      <c r="V1355" s="25"/>
      <c r="W1355" s="25"/>
      <c r="X1355" s="25"/>
      <c r="Y1355" s="25"/>
      <c r="Z1355" s="25"/>
    </row>
    <row r="1356" spans="1:26" ht="15.75" customHeight="1" x14ac:dyDescent="0.25">
      <c r="A1356" s="25">
        <v>1354</v>
      </c>
      <c r="B1356" s="37" t="e">
        <f t="shared" ref="B1356:D1356" si="2729">VLOOKUP($A1356,[4]Cultura!$A$1:$O$276,B$1,0)</f>
        <v>#N/A</v>
      </c>
      <c r="C1356" s="38" t="e">
        <f t="shared" si="2729"/>
        <v>#N/A</v>
      </c>
      <c r="D1356" s="39" t="e">
        <f t="shared" si="2729"/>
        <v>#N/A</v>
      </c>
      <c r="E1356" s="16" t="e">
        <f t="shared" si="1"/>
        <v>#N/A</v>
      </c>
      <c r="F1356" s="16" t="e">
        <f t="shared" ref="F1356:K1356" si="2730">VLOOKUP($A1356,[4]Cultura!$A$1:$O$276,F$1,0)</f>
        <v>#N/A</v>
      </c>
      <c r="G1356" s="39" t="e">
        <f t="shared" si="2730"/>
        <v>#N/A</v>
      </c>
      <c r="H1356" s="16" t="e">
        <f t="shared" si="2730"/>
        <v>#N/A</v>
      </c>
      <c r="I1356" s="16" t="e">
        <f t="shared" si="2730"/>
        <v>#N/A</v>
      </c>
      <c r="J1356" s="40" t="e">
        <f t="shared" si="2730"/>
        <v>#N/A</v>
      </c>
      <c r="K1356" s="16" t="e">
        <f t="shared" si="2730"/>
        <v>#N/A</v>
      </c>
      <c r="L1356" s="40" t="e">
        <f t="shared" si="2421"/>
        <v>#N/A</v>
      </c>
      <c r="M1356" s="16" t="e">
        <f t="shared" si="2422"/>
        <v>#N/A</v>
      </c>
      <c r="N1356" s="16" t="e">
        <f t="shared" si="2423"/>
        <v>#N/A</v>
      </c>
      <c r="O1356" s="16" t="s">
        <v>68</v>
      </c>
      <c r="P1356" s="16" t="str">
        <f t="shared" si="6"/>
        <v/>
      </c>
      <c r="Q1356" s="41" t="e">
        <f t="shared" si="2424"/>
        <v>#N/A</v>
      </c>
      <c r="R1356" s="44"/>
      <c r="S1356" s="44"/>
      <c r="T1356" s="43"/>
      <c r="U1356" s="43" t="str">
        <f t="shared" si="8"/>
        <v>No</v>
      </c>
      <c r="V1356" s="25"/>
      <c r="W1356" s="25"/>
      <c r="X1356" s="25"/>
      <c r="Y1356" s="25"/>
      <c r="Z1356" s="25"/>
    </row>
    <row r="1357" spans="1:26" ht="15.75" customHeight="1" x14ac:dyDescent="0.25">
      <c r="A1357" s="25">
        <v>1355</v>
      </c>
      <c r="B1357" s="37" t="e">
        <f t="shared" ref="B1357:D1357" si="2731">VLOOKUP($A1357,[4]Cultura!$A$1:$O$276,B$1,0)</f>
        <v>#N/A</v>
      </c>
      <c r="C1357" s="38" t="e">
        <f t="shared" si="2731"/>
        <v>#N/A</v>
      </c>
      <c r="D1357" s="39" t="e">
        <f t="shared" si="2731"/>
        <v>#N/A</v>
      </c>
      <c r="E1357" s="16" t="e">
        <f t="shared" si="1"/>
        <v>#N/A</v>
      </c>
      <c r="F1357" s="16" t="e">
        <f t="shared" ref="F1357:K1357" si="2732">VLOOKUP($A1357,[4]Cultura!$A$1:$O$276,F$1,0)</f>
        <v>#N/A</v>
      </c>
      <c r="G1357" s="39" t="e">
        <f t="shared" si="2732"/>
        <v>#N/A</v>
      </c>
      <c r="H1357" s="16" t="e">
        <f t="shared" si="2732"/>
        <v>#N/A</v>
      </c>
      <c r="I1357" s="16" t="e">
        <f t="shared" si="2732"/>
        <v>#N/A</v>
      </c>
      <c r="J1357" s="40" t="e">
        <f t="shared" si="2732"/>
        <v>#N/A</v>
      </c>
      <c r="K1357" s="16" t="e">
        <f t="shared" si="2732"/>
        <v>#N/A</v>
      </c>
      <c r="L1357" s="40" t="e">
        <f t="shared" si="2421"/>
        <v>#N/A</v>
      </c>
      <c r="M1357" s="16" t="e">
        <f t="shared" si="2422"/>
        <v>#N/A</v>
      </c>
      <c r="N1357" s="16" t="e">
        <f t="shared" si="2423"/>
        <v>#N/A</v>
      </c>
      <c r="O1357" s="16" t="s">
        <v>68</v>
      </c>
      <c r="P1357" s="16" t="str">
        <f t="shared" si="6"/>
        <v/>
      </c>
      <c r="Q1357" s="41" t="e">
        <f t="shared" si="2424"/>
        <v>#N/A</v>
      </c>
      <c r="R1357" s="44"/>
      <c r="S1357" s="44"/>
      <c r="T1357" s="43"/>
      <c r="U1357" s="43" t="str">
        <f t="shared" si="8"/>
        <v>No</v>
      </c>
      <c r="V1357" s="25"/>
      <c r="W1357" s="25"/>
      <c r="X1357" s="25"/>
      <c r="Y1357" s="25"/>
      <c r="Z1357" s="25"/>
    </row>
    <row r="1358" spans="1:26" ht="15.75" customHeight="1" x14ac:dyDescent="0.25">
      <c r="A1358" s="25">
        <v>1356</v>
      </c>
      <c r="B1358" s="37" t="e">
        <f t="shared" ref="B1358:D1358" si="2733">VLOOKUP($A1358,[4]Cultura!$A$1:$O$276,B$1,0)</f>
        <v>#N/A</v>
      </c>
      <c r="C1358" s="38" t="e">
        <f t="shared" si="2733"/>
        <v>#N/A</v>
      </c>
      <c r="D1358" s="39" t="e">
        <f t="shared" si="2733"/>
        <v>#N/A</v>
      </c>
      <c r="E1358" s="16" t="e">
        <f t="shared" si="1"/>
        <v>#N/A</v>
      </c>
      <c r="F1358" s="16" t="e">
        <f t="shared" ref="F1358:K1358" si="2734">VLOOKUP($A1358,[4]Cultura!$A$1:$O$276,F$1,0)</f>
        <v>#N/A</v>
      </c>
      <c r="G1358" s="39" t="e">
        <f t="shared" si="2734"/>
        <v>#N/A</v>
      </c>
      <c r="H1358" s="16" t="e">
        <f t="shared" si="2734"/>
        <v>#N/A</v>
      </c>
      <c r="I1358" s="16" t="e">
        <f t="shared" si="2734"/>
        <v>#N/A</v>
      </c>
      <c r="J1358" s="40" t="e">
        <f t="shared" si="2734"/>
        <v>#N/A</v>
      </c>
      <c r="K1358" s="16" t="e">
        <f t="shared" si="2734"/>
        <v>#N/A</v>
      </c>
      <c r="L1358" s="40" t="e">
        <f t="shared" si="2421"/>
        <v>#N/A</v>
      </c>
      <c r="M1358" s="16" t="e">
        <f t="shared" si="2422"/>
        <v>#N/A</v>
      </c>
      <c r="N1358" s="16" t="e">
        <f t="shared" si="2423"/>
        <v>#N/A</v>
      </c>
      <c r="O1358" s="16" t="s">
        <v>68</v>
      </c>
      <c r="P1358" s="16" t="str">
        <f t="shared" si="6"/>
        <v/>
      </c>
      <c r="Q1358" s="41" t="e">
        <f t="shared" si="2424"/>
        <v>#N/A</v>
      </c>
      <c r="R1358" s="44"/>
      <c r="S1358" s="44"/>
      <c r="T1358" s="43"/>
      <c r="U1358" s="43" t="str">
        <f t="shared" si="8"/>
        <v>No</v>
      </c>
      <c r="V1358" s="25"/>
      <c r="W1358" s="25"/>
      <c r="X1358" s="25"/>
      <c r="Y1358" s="25"/>
      <c r="Z1358" s="25"/>
    </row>
    <row r="1359" spans="1:26" ht="15.75" customHeight="1" x14ac:dyDescent="0.25">
      <c r="A1359" s="25">
        <v>1357</v>
      </c>
      <c r="B1359" s="37" t="e">
        <f t="shared" ref="B1359:D1359" si="2735">VLOOKUP($A1359,[4]Cultura!$A$1:$O$276,B$1,0)</f>
        <v>#N/A</v>
      </c>
      <c r="C1359" s="38" t="e">
        <f t="shared" si="2735"/>
        <v>#N/A</v>
      </c>
      <c r="D1359" s="39" t="e">
        <f t="shared" si="2735"/>
        <v>#N/A</v>
      </c>
      <c r="E1359" s="16" t="e">
        <f t="shared" si="1"/>
        <v>#N/A</v>
      </c>
      <c r="F1359" s="16" t="e">
        <f t="shared" ref="F1359:K1359" si="2736">VLOOKUP($A1359,[4]Cultura!$A$1:$O$276,F$1,0)</f>
        <v>#N/A</v>
      </c>
      <c r="G1359" s="39" t="e">
        <f t="shared" si="2736"/>
        <v>#N/A</v>
      </c>
      <c r="H1359" s="16" t="e">
        <f t="shared" si="2736"/>
        <v>#N/A</v>
      </c>
      <c r="I1359" s="16" t="e">
        <f t="shared" si="2736"/>
        <v>#N/A</v>
      </c>
      <c r="J1359" s="40" t="e">
        <f t="shared" si="2736"/>
        <v>#N/A</v>
      </c>
      <c r="K1359" s="16" t="e">
        <f t="shared" si="2736"/>
        <v>#N/A</v>
      </c>
      <c r="L1359" s="40" t="e">
        <f t="shared" si="2421"/>
        <v>#N/A</v>
      </c>
      <c r="M1359" s="16" t="e">
        <f t="shared" si="2422"/>
        <v>#N/A</v>
      </c>
      <c r="N1359" s="16" t="e">
        <f t="shared" si="2423"/>
        <v>#N/A</v>
      </c>
      <c r="O1359" s="16" t="s">
        <v>68</v>
      </c>
      <c r="P1359" s="16" t="str">
        <f t="shared" si="6"/>
        <v/>
      </c>
      <c r="Q1359" s="41" t="e">
        <f t="shared" si="2424"/>
        <v>#N/A</v>
      </c>
      <c r="R1359" s="44"/>
      <c r="S1359" s="44"/>
      <c r="T1359" s="43"/>
      <c r="U1359" s="43" t="str">
        <f t="shared" si="8"/>
        <v>No</v>
      </c>
      <c r="V1359" s="25"/>
      <c r="W1359" s="25"/>
      <c r="X1359" s="25"/>
      <c r="Y1359" s="25"/>
      <c r="Z1359" s="25"/>
    </row>
    <row r="1360" spans="1:26" ht="15.75" customHeight="1" x14ac:dyDescent="0.25">
      <c r="A1360" s="25">
        <v>1358</v>
      </c>
      <c r="B1360" s="37" t="e">
        <f t="shared" ref="B1360:D1360" si="2737">VLOOKUP($A1360,[4]Cultura!$A$1:$O$276,B$1,0)</f>
        <v>#N/A</v>
      </c>
      <c r="C1360" s="38" t="e">
        <f t="shared" si="2737"/>
        <v>#N/A</v>
      </c>
      <c r="D1360" s="39" t="e">
        <f t="shared" si="2737"/>
        <v>#N/A</v>
      </c>
      <c r="E1360" s="16" t="e">
        <f t="shared" si="1"/>
        <v>#N/A</v>
      </c>
      <c r="F1360" s="16" t="e">
        <f t="shared" ref="F1360:K1360" si="2738">VLOOKUP($A1360,[4]Cultura!$A$1:$O$276,F$1,0)</f>
        <v>#N/A</v>
      </c>
      <c r="G1360" s="39" t="e">
        <f t="shared" si="2738"/>
        <v>#N/A</v>
      </c>
      <c r="H1360" s="16" t="e">
        <f t="shared" si="2738"/>
        <v>#N/A</v>
      </c>
      <c r="I1360" s="16" t="e">
        <f t="shared" si="2738"/>
        <v>#N/A</v>
      </c>
      <c r="J1360" s="40" t="e">
        <f t="shared" si="2738"/>
        <v>#N/A</v>
      </c>
      <c r="K1360" s="16" t="e">
        <f t="shared" si="2738"/>
        <v>#N/A</v>
      </c>
      <c r="L1360" s="40" t="e">
        <f t="shared" si="2421"/>
        <v>#N/A</v>
      </c>
      <c r="M1360" s="16" t="e">
        <f t="shared" si="2422"/>
        <v>#N/A</v>
      </c>
      <c r="N1360" s="16" t="e">
        <f t="shared" si="2423"/>
        <v>#N/A</v>
      </c>
      <c r="O1360" s="16" t="s">
        <v>68</v>
      </c>
      <c r="P1360" s="16" t="str">
        <f t="shared" si="6"/>
        <v/>
      </c>
      <c r="Q1360" s="41" t="e">
        <f t="shared" si="2424"/>
        <v>#N/A</v>
      </c>
      <c r="R1360" s="44"/>
      <c r="S1360" s="44"/>
      <c r="T1360" s="43"/>
      <c r="U1360" s="43" t="str">
        <f t="shared" si="8"/>
        <v>No</v>
      </c>
      <c r="V1360" s="25"/>
      <c r="W1360" s="25"/>
      <c r="X1360" s="25"/>
      <c r="Y1360" s="25"/>
      <c r="Z1360" s="25"/>
    </row>
    <row r="1361" spans="1:26" ht="15.75" customHeight="1" x14ac:dyDescent="0.25">
      <c r="A1361" s="25">
        <v>1359</v>
      </c>
      <c r="B1361" s="37" t="e">
        <f t="shared" ref="B1361:D1361" si="2739">VLOOKUP($A1361,[4]Cultura!$A$1:$O$276,B$1,0)</f>
        <v>#N/A</v>
      </c>
      <c r="C1361" s="38" t="e">
        <f t="shared" si="2739"/>
        <v>#N/A</v>
      </c>
      <c r="D1361" s="39" t="e">
        <f t="shared" si="2739"/>
        <v>#N/A</v>
      </c>
      <c r="E1361" s="16" t="e">
        <f t="shared" si="1"/>
        <v>#N/A</v>
      </c>
      <c r="F1361" s="16" t="e">
        <f t="shared" ref="F1361:K1361" si="2740">VLOOKUP($A1361,[4]Cultura!$A$1:$O$276,F$1,0)</f>
        <v>#N/A</v>
      </c>
      <c r="G1361" s="39" t="e">
        <f t="shared" si="2740"/>
        <v>#N/A</v>
      </c>
      <c r="H1361" s="16" t="e">
        <f t="shared" si="2740"/>
        <v>#N/A</v>
      </c>
      <c r="I1361" s="16" t="e">
        <f t="shared" si="2740"/>
        <v>#N/A</v>
      </c>
      <c r="J1361" s="40" t="e">
        <f t="shared" si="2740"/>
        <v>#N/A</v>
      </c>
      <c r="K1361" s="16" t="e">
        <f t="shared" si="2740"/>
        <v>#N/A</v>
      </c>
      <c r="L1361" s="40" t="e">
        <f t="shared" si="2421"/>
        <v>#N/A</v>
      </c>
      <c r="M1361" s="16" t="e">
        <f t="shared" si="2422"/>
        <v>#N/A</v>
      </c>
      <c r="N1361" s="16" t="e">
        <f t="shared" si="2423"/>
        <v>#N/A</v>
      </c>
      <c r="O1361" s="16" t="s">
        <v>68</v>
      </c>
      <c r="P1361" s="16" t="str">
        <f t="shared" si="6"/>
        <v/>
      </c>
      <c r="Q1361" s="41" t="e">
        <f t="shared" si="2424"/>
        <v>#N/A</v>
      </c>
      <c r="R1361" s="44"/>
      <c r="S1361" s="44"/>
      <c r="T1361" s="43"/>
      <c r="U1361" s="43" t="str">
        <f t="shared" si="8"/>
        <v>No</v>
      </c>
      <c r="V1361" s="25"/>
      <c r="W1361" s="25"/>
      <c r="X1361" s="25"/>
      <c r="Y1361" s="25"/>
      <c r="Z1361" s="25"/>
    </row>
    <row r="1362" spans="1:26" ht="15.75" customHeight="1" x14ac:dyDescent="0.25">
      <c r="A1362" s="25">
        <v>1360</v>
      </c>
      <c r="B1362" s="37" t="e">
        <f t="shared" ref="B1362:D1362" si="2741">VLOOKUP($A1362,[4]Cultura!$A$1:$O$276,B$1,0)</f>
        <v>#N/A</v>
      </c>
      <c r="C1362" s="38" t="e">
        <f t="shared" si="2741"/>
        <v>#N/A</v>
      </c>
      <c r="D1362" s="39" t="e">
        <f t="shared" si="2741"/>
        <v>#N/A</v>
      </c>
      <c r="E1362" s="16" t="e">
        <f t="shared" si="1"/>
        <v>#N/A</v>
      </c>
      <c r="F1362" s="16" t="e">
        <f t="shared" ref="F1362:K1362" si="2742">VLOOKUP($A1362,[4]Cultura!$A$1:$O$276,F$1,0)</f>
        <v>#N/A</v>
      </c>
      <c r="G1362" s="39" t="e">
        <f t="shared" si="2742"/>
        <v>#N/A</v>
      </c>
      <c r="H1362" s="16" t="e">
        <f t="shared" si="2742"/>
        <v>#N/A</v>
      </c>
      <c r="I1362" s="16" t="e">
        <f t="shared" si="2742"/>
        <v>#N/A</v>
      </c>
      <c r="J1362" s="40" t="e">
        <f t="shared" si="2742"/>
        <v>#N/A</v>
      </c>
      <c r="K1362" s="16" t="e">
        <f t="shared" si="2742"/>
        <v>#N/A</v>
      </c>
      <c r="L1362" s="40" t="e">
        <f t="shared" si="2421"/>
        <v>#N/A</v>
      </c>
      <c r="M1362" s="16" t="e">
        <f t="shared" si="2422"/>
        <v>#N/A</v>
      </c>
      <c r="N1362" s="16" t="e">
        <f t="shared" si="2423"/>
        <v>#N/A</v>
      </c>
      <c r="O1362" s="16" t="s">
        <v>68</v>
      </c>
      <c r="P1362" s="16" t="str">
        <f t="shared" si="6"/>
        <v/>
      </c>
      <c r="Q1362" s="41" t="e">
        <f t="shared" si="2424"/>
        <v>#N/A</v>
      </c>
      <c r="R1362" s="44"/>
      <c r="S1362" s="44"/>
      <c r="T1362" s="43"/>
      <c r="U1362" s="43" t="str">
        <f t="shared" si="8"/>
        <v>No</v>
      </c>
      <c r="V1362" s="25"/>
      <c r="W1362" s="25"/>
      <c r="X1362" s="25"/>
      <c r="Y1362" s="25"/>
      <c r="Z1362" s="25"/>
    </row>
    <row r="1363" spans="1:26" ht="15.75" customHeight="1" x14ac:dyDescent="0.25">
      <c r="A1363" s="25">
        <v>1361</v>
      </c>
      <c r="B1363" s="37" t="e">
        <f t="shared" ref="B1363:D1363" si="2743">VLOOKUP($A1363,[4]Cultura!$A$1:$O$276,B$1,0)</f>
        <v>#N/A</v>
      </c>
      <c r="C1363" s="38" t="e">
        <f t="shared" si="2743"/>
        <v>#N/A</v>
      </c>
      <c r="D1363" s="39" t="e">
        <f t="shared" si="2743"/>
        <v>#N/A</v>
      </c>
      <c r="E1363" s="16" t="e">
        <f t="shared" si="1"/>
        <v>#N/A</v>
      </c>
      <c r="F1363" s="16" t="e">
        <f t="shared" ref="F1363:K1363" si="2744">VLOOKUP($A1363,[4]Cultura!$A$1:$O$276,F$1,0)</f>
        <v>#N/A</v>
      </c>
      <c r="G1363" s="39" t="e">
        <f t="shared" si="2744"/>
        <v>#N/A</v>
      </c>
      <c r="H1363" s="16" t="e">
        <f t="shared" si="2744"/>
        <v>#N/A</v>
      </c>
      <c r="I1363" s="16" t="e">
        <f t="shared" si="2744"/>
        <v>#N/A</v>
      </c>
      <c r="J1363" s="40" t="e">
        <f t="shared" si="2744"/>
        <v>#N/A</v>
      </c>
      <c r="K1363" s="16" t="e">
        <f t="shared" si="2744"/>
        <v>#N/A</v>
      </c>
      <c r="L1363" s="40" t="e">
        <f t="shared" si="2421"/>
        <v>#N/A</v>
      </c>
      <c r="M1363" s="16" t="e">
        <f t="shared" si="2422"/>
        <v>#N/A</v>
      </c>
      <c r="N1363" s="16" t="e">
        <f t="shared" si="2423"/>
        <v>#N/A</v>
      </c>
      <c r="O1363" s="16" t="s">
        <v>68</v>
      </c>
      <c r="P1363" s="16" t="str">
        <f t="shared" si="6"/>
        <v/>
      </c>
      <c r="Q1363" s="41" t="e">
        <f t="shared" si="2424"/>
        <v>#N/A</v>
      </c>
      <c r="R1363" s="44"/>
      <c r="S1363" s="44"/>
      <c r="T1363" s="43"/>
      <c r="U1363" s="43" t="str">
        <f t="shared" si="8"/>
        <v>No</v>
      </c>
      <c r="V1363" s="25"/>
      <c r="W1363" s="25"/>
      <c r="X1363" s="25"/>
      <c r="Y1363" s="25"/>
      <c r="Z1363" s="25"/>
    </row>
    <row r="1364" spans="1:26" ht="15.75" customHeight="1" x14ac:dyDescent="0.25">
      <c r="A1364" s="25">
        <v>1362</v>
      </c>
      <c r="B1364" s="37" t="e">
        <f t="shared" ref="B1364:D1364" si="2745">VLOOKUP($A1364,[4]Cultura!$A$1:$O$276,B$1,0)</f>
        <v>#N/A</v>
      </c>
      <c r="C1364" s="38" t="e">
        <f t="shared" si="2745"/>
        <v>#N/A</v>
      </c>
      <c r="D1364" s="39" t="e">
        <f t="shared" si="2745"/>
        <v>#N/A</v>
      </c>
      <c r="E1364" s="16" t="e">
        <f t="shared" si="1"/>
        <v>#N/A</v>
      </c>
      <c r="F1364" s="16" t="e">
        <f t="shared" ref="F1364:K1364" si="2746">VLOOKUP($A1364,[4]Cultura!$A$1:$O$276,F$1,0)</f>
        <v>#N/A</v>
      </c>
      <c r="G1364" s="39" t="e">
        <f t="shared" si="2746"/>
        <v>#N/A</v>
      </c>
      <c r="H1364" s="16" t="e">
        <f t="shared" si="2746"/>
        <v>#N/A</v>
      </c>
      <c r="I1364" s="16" t="e">
        <f t="shared" si="2746"/>
        <v>#N/A</v>
      </c>
      <c r="J1364" s="40" t="e">
        <f t="shared" si="2746"/>
        <v>#N/A</v>
      </c>
      <c r="K1364" s="16" t="e">
        <f t="shared" si="2746"/>
        <v>#N/A</v>
      </c>
      <c r="L1364" s="40" t="e">
        <f t="shared" si="2421"/>
        <v>#N/A</v>
      </c>
      <c r="M1364" s="16" t="e">
        <f t="shared" si="2422"/>
        <v>#N/A</v>
      </c>
      <c r="N1364" s="16" t="e">
        <f t="shared" si="2423"/>
        <v>#N/A</v>
      </c>
      <c r="O1364" s="16" t="s">
        <v>68</v>
      </c>
      <c r="P1364" s="16" t="str">
        <f t="shared" si="6"/>
        <v/>
      </c>
      <c r="Q1364" s="41" t="e">
        <f t="shared" si="2424"/>
        <v>#N/A</v>
      </c>
      <c r="R1364" s="44"/>
      <c r="S1364" s="44"/>
      <c r="T1364" s="43"/>
      <c r="U1364" s="43" t="str">
        <f t="shared" si="8"/>
        <v>No</v>
      </c>
      <c r="V1364" s="25"/>
      <c r="W1364" s="25"/>
      <c r="X1364" s="25"/>
      <c r="Y1364" s="25"/>
      <c r="Z1364" s="25"/>
    </row>
    <row r="1365" spans="1:26" ht="15.75" customHeight="1" x14ac:dyDescent="0.25">
      <c r="A1365" s="25">
        <v>1363</v>
      </c>
      <c r="B1365" s="37" t="e">
        <f t="shared" ref="B1365:D1365" si="2747">VLOOKUP($A1365,[4]Cultura!$A$1:$O$276,B$1,0)</f>
        <v>#N/A</v>
      </c>
      <c r="C1365" s="38" t="e">
        <f t="shared" si="2747"/>
        <v>#N/A</v>
      </c>
      <c r="D1365" s="39" t="e">
        <f t="shared" si="2747"/>
        <v>#N/A</v>
      </c>
      <c r="E1365" s="16" t="e">
        <f t="shared" si="1"/>
        <v>#N/A</v>
      </c>
      <c r="F1365" s="16" t="e">
        <f t="shared" ref="F1365:K1365" si="2748">VLOOKUP($A1365,[4]Cultura!$A$1:$O$276,F$1,0)</f>
        <v>#N/A</v>
      </c>
      <c r="G1365" s="39" t="e">
        <f t="shared" si="2748"/>
        <v>#N/A</v>
      </c>
      <c r="H1365" s="16" t="e">
        <f t="shared" si="2748"/>
        <v>#N/A</v>
      </c>
      <c r="I1365" s="16" t="e">
        <f t="shared" si="2748"/>
        <v>#N/A</v>
      </c>
      <c r="J1365" s="40" t="e">
        <f t="shared" si="2748"/>
        <v>#N/A</v>
      </c>
      <c r="K1365" s="16" t="e">
        <f t="shared" si="2748"/>
        <v>#N/A</v>
      </c>
      <c r="L1365" s="40" t="e">
        <f t="shared" si="2421"/>
        <v>#N/A</v>
      </c>
      <c r="M1365" s="16" t="e">
        <f t="shared" si="2422"/>
        <v>#N/A</v>
      </c>
      <c r="N1365" s="16" t="e">
        <f t="shared" si="2423"/>
        <v>#N/A</v>
      </c>
      <c r="O1365" s="16" t="s">
        <v>68</v>
      </c>
      <c r="P1365" s="16" t="str">
        <f t="shared" si="6"/>
        <v/>
      </c>
      <c r="Q1365" s="41" t="e">
        <f t="shared" si="2424"/>
        <v>#N/A</v>
      </c>
      <c r="R1365" s="44"/>
      <c r="S1365" s="44"/>
      <c r="T1365" s="43"/>
      <c r="U1365" s="43" t="str">
        <f t="shared" si="8"/>
        <v>No</v>
      </c>
      <c r="V1365" s="25"/>
      <c r="W1365" s="25"/>
      <c r="X1365" s="25"/>
      <c r="Y1365" s="25"/>
      <c r="Z1365" s="25"/>
    </row>
    <row r="1366" spans="1:26" ht="15.75" customHeight="1" x14ac:dyDescent="0.25">
      <c r="A1366" s="25">
        <v>1364</v>
      </c>
      <c r="B1366" s="37" t="e">
        <f t="shared" ref="B1366:D1366" si="2749">VLOOKUP($A1366,[4]Cultura!$A$1:$O$276,B$1,0)</f>
        <v>#N/A</v>
      </c>
      <c r="C1366" s="38" t="e">
        <f t="shared" si="2749"/>
        <v>#N/A</v>
      </c>
      <c r="D1366" s="39" t="e">
        <f t="shared" si="2749"/>
        <v>#N/A</v>
      </c>
      <c r="E1366" s="16" t="e">
        <f t="shared" si="1"/>
        <v>#N/A</v>
      </c>
      <c r="F1366" s="16" t="e">
        <f t="shared" ref="F1366:K1366" si="2750">VLOOKUP($A1366,[4]Cultura!$A$1:$O$276,F$1,0)</f>
        <v>#N/A</v>
      </c>
      <c r="G1366" s="39" t="e">
        <f t="shared" si="2750"/>
        <v>#N/A</v>
      </c>
      <c r="H1366" s="16" t="e">
        <f t="shared" si="2750"/>
        <v>#N/A</v>
      </c>
      <c r="I1366" s="16" t="e">
        <f t="shared" si="2750"/>
        <v>#N/A</v>
      </c>
      <c r="J1366" s="40" t="e">
        <f t="shared" si="2750"/>
        <v>#N/A</v>
      </c>
      <c r="K1366" s="16" t="e">
        <f t="shared" si="2750"/>
        <v>#N/A</v>
      </c>
      <c r="L1366" s="40" t="e">
        <f t="shared" si="2421"/>
        <v>#N/A</v>
      </c>
      <c r="M1366" s="16" t="e">
        <f t="shared" si="2422"/>
        <v>#N/A</v>
      </c>
      <c r="N1366" s="16" t="e">
        <f t="shared" si="2423"/>
        <v>#N/A</v>
      </c>
      <c r="O1366" s="16" t="s">
        <v>68</v>
      </c>
      <c r="P1366" s="16" t="str">
        <f t="shared" si="6"/>
        <v/>
      </c>
      <c r="Q1366" s="41" t="e">
        <f t="shared" si="2424"/>
        <v>#N/A</v>
      </c>
      <c r="R1366" s="44"/>
      <c r="S1366" s="44"/>
      <c r="T1366" s="43"/>
      <c r="U1366" s="43" t="str">
        <f t="shared" si="8"/>
        <v>No</v>
      </c>
      <c r="V1366" s="25"/>
      <c r="W1366" s="25"/>
      <c r="X1366" s="25"/>
      <c r="Y1366" s="25"/>
      <c r="Z1366" s="25"/>
    </row>
    <row r="1367" spans="1:26" ht="15.75" customHeight="1" x14ac:dyDescent="0.25">
      <c r="A1367" s="25">
        <v>1365</v>
      </c>
      <c r="B1367" s="37" t="e">
        <f t="shared" ref="B1367:D1367" si="2751">VLOOKUP($A1367,[4]Cultura!$A$1:$O$276,B$1,0)</f>
        <v>#N/A</v>
      </c>
      <c r="C1367" s="38" t="e">
        <f t="shared" si="2751"/>
        <v>#N/A</v>
      </c>
      <c r="D1367" s="39" t="e">
        <f t="shared" si="2751"/>
        <v>#N/A</v>
      </c>
      <c r="E1367" s="16" t="e">
        <f t="shared" si="1"/>
        <v>#N/A</v>
      </c>
      <c r="F1367" s="16" t="e">
        <f t="shared" ref="F1367:K1367" si="2752">VLOOKUP($A1367,[4]Cultura!$A$1:$O$276,F$1,0)</f>
        <v>#N/A</v>
      </c>
      <c r="G1367" s="39" t="e">
        <f t="shared" si="2752"/>
        <v>#N/A</v>
      </c>
      <c r="H1367" s="16" t="e">
        <f t="shared" si="2752"/>
        <v>#N/A</v>
      </c>
      <c r="I1367" s="16" t="e">
        <f t="shared" si="2752"/>
        <v>#N/A</v>
      </c>
      <c r="J1367" s="40" t="e">
        <f t="shared" si="2752"/>
        <v>#N/A</v>
      </c>
      <c r="K1367" s="16" t="e">
        <f t="shared" si="2752"/>
        <v>#N/A</v>
      </c>
      <c r="L1367" s="40" t="e">
        <f t="shared" si="2421"/>
        <v>#N/A</v>
      </c>
      <c r="M1367" s="16" t="e">
        <f t="shared" si="2422"/>
        <v>#N/A</v>
      </c>
      <c r="N1367" s="16" t="e">
        <f t="shared" si="2423"/>
        <v>#N/A</v>
      </c>
      <c r="O1367" s="16" t="s">
        <v>68</v>
      </c>
      <c r="P1367" s="16" t="str">
        <f t="shared" si="6"/>
        <v/>
      </c>
      <c r="Q1367" s="41" t="e">
        <f t="shared" si="2424"/>
        <v>#N/A</v>
      </c>
      <c r="R1367" s="44"/>
      <c r="S1367" s="44"/>
      <c r="T1367" s="43"/>
      <c r="U1367" s="43" t="str">
        <f t="shared" si="8"/>
        <v>No</v>
      </c>
      <c r="V1367" s="25"/>
      <c r="W1367" s="25"/>
      <c r="X1367" s="25"/>
      <c r="Y1367" s="25"/>
      <c r="Z1367" s="25"/>
    </row>
    <row r="1368" spans="1:26" ht="15.75" customHeight="1" x14ac:dyDescent="0.25">
      <c r="A1368" s="25">
        <v>1366</v>
      </c>
      <c r="B1368" s="37" t="e">
        <f t="shared" ref="B1368:D1368" si="2753">VLOOKUP($A1368,[4]Cultura!$A$1:$O$276,B$1,0)</f>
        <v>#N/A</v>
      </c>
      <c r="C1368" s="38" t="e">
        <f t="shared" si="2753"/>
        <v>#N/A</v>
      </c>
      <c r="D1368" s="39" t="e">
        <f t="shared" si="2753"/>
        <v>#N/A</v>
      </c>
      <c r="E1368" s="16" t="e">
        <f t="shared" si="1"/>
        <v>#N/A</v>
      </c>
      <c r="F1368" s="16" t="e">
        <f t="shared" ref="F1368:K1368" si="2754">VLOOKUP($A1368,[4]Cultura!$A$1:$O$276,F$1,0)</f>
        <v>#N/A</v>
      </c>
      <c r="G1368" s="39" t="e">
        <f t="shared" si="2754"/>
        <v>#N/A</v>
      </c>
      <c r="H1368" s="16" t="e">
        <f t="shared" si="2754"/>
        <v>#N/A</v>
      </c>
      <c r="I1368" s="16" t="e">
        <f t="shared" si="2754"/>
        <v>#N/A</v>
      </c>
      <c r="J1368" s="40" t="e">
        <f t="shared" si="2754"/>
        <v>#N/A</v>
      </c>
      <c r="K1368" s="16" t="e">
        <f t="shared" si="2754"/>
        <v>#N/A</v>
      </c>
      <c r="L1368" s="40" t="e">
        <f t="shared" si="2421"/>
        <v>#N/A</v>
      </c>
      <c r="M1368" s="16" t="e">
        <f t="shared" si="2422"/>
        <v>#N/A</v>
      </c>
      <c r="N1368" s="16" t="e">
        <f t="shared" si="2423"/>
        <v>#N/A</v>
      </c>
      <c r="O1368" s="16" t="s">
        <v>68</v>
      </c>
      <c r="P1368" s="16" t="str">
        <f t="shared" si="6"/>
        <v/>
      </c>
      <c r="Q1368" s="41" t="e">
        <f t="shared" si="2424"/>
        <v>#N/A</v>
      </c>
      <c r="R1368" s="44"/>
      <c r="S1368" s="44"/>
      <c r="T1368" s="43"/>
      <c r="U1368" s="43" t="str">
        <f t="shared" si="8"/>
        <v>No</v>
      </c>
      <c r="V1368" s="25"/>
      <c r="W1368" s="25"/>
      <c r="X1368" s="25"/>
      <c r="Y1368" s="25"/>
      <c r="Z1368" s="25"/>
    </row>
    <row r="1369" spans="1:26" ht="15.75" customHeight="1" x14ac:dyDescent="0.25">
      <c r="A1369" s="25">
        <v>1367</v>
      </c>
      <c r="B1369" s="37" t="e">
        <f t="shared" ref="B1369:D1369" si="2755">VLOOKUP($A1369,[4]Cultura!$A$1:$O$276,B$1,0)</f>
        <v>#N/A</v>
      </c>
      <c r="C1369" s="38" t="e">
        <f t="shared" si="2755"/>
        <v>#N/A</v>
      </c>
      <c r="D1369" s="39" t="e">
        <f t="shared" si="2755"/>
        <v>#N/A</v>
      </c>
      <c r="E1369" s="16" t="e">
        <f t="shared" si="1"/>
        <v>#N/A</v>
      </c>
      <c r="F1369" s="16" t="e">
        <f t="shared" ref="F1369:K1369" si="2756">VLOOKUP($A1369,[4]Cultura!$A$1:$O$276,F$1,0)</f>
        <v>#N/A</v>
      </c>
      <c r="G1369" s="39" t="e">
        <f t="shared" si="2756"/>
        <v>#N/A</v>
      </c>
      <c r="H1369" s="16" t="e">
        <f t="shared" si="2756"/>
        <v>#N/A</v>
      </c>
      <c r="I1369" s="16" t="e">
        <f t="shared" si="2756"/>
        <v>#N/A</v>
      </c>
      <c r="J1369" s="40" t="e">
        <f t="shared" si="2756"/>
        <v>#N/A</v>
      </c>
      <c r="K1369" s="16" t="e">
        <f t="shared" si="2756"/>
        <v>#N/A</v>
      </c>
      <c r="L1369" s="40" t="e">
        <f t="shared" si="2421"/>
        <v>#N/A</v>
      </c>
      <c r="M1369" s="16" t="e">
        <f t="shared" si="2422"/>
        <v>#N/A</v>
      </c>
      <c r="N1369" s="16" t="e">
        <f t="shared" si="2423"/>
        <v>#N/A</v>
      </c>
      <c r="O1369" s="16" t="s">
        <v>68</v>
      </c>
      <c r="P1369" s="16" t="str">
        <f t="shared" si="6"/>
        <v/>
      </c>
      <c r="Q1369" s="41" t="e">
        <f t="shared" si="2424"/>
        <v>#N/A</v>
      </c>
      <c r="R1369" s="44"/>
      <c r="S1369" s="44"/>
      <c r="T1369" s="43"/>
      <c r="U1369" s="43" t="str">
        <f t="shared" si="8"/>
        <v>No</v>
      </c>
      <c r="V1369" s="25"/>
      <c r="W1369" s="25"/>
      <c r="X1369" s="25"/>
      <c r="Y1369" s="25"/>
      <c r="Z1369" s="25"/>
    </row>
    <row r="1370" spans="1:26" ht="15.75" customHeight="1" x14ac:dyDescent="0.25">
      <c r="A1370" s="25">
        <v>1368</v>
      </c>
      <c r="B1370" s="37" t="e">
        <f t="shared" ref="B1370:D1370" si="2757">VLOOKUP($A1370,[4]Cultura!$A$1:$O$276,B$1,0)</f>
        <v>#N/A</v>
      </c>
      <c r="C1370" s="38" t="e">
        <f t="shared" si="2757"/>
        <v>#N/A</v>
      </c>
      <c r="D1370" s="39" t="e">
        <f t="shared" si="2757"/>
        <v>#N/A</v>
      </c>
      <c r="E1370" s="16" t="e">
        <f t="shared" si="1"/>
        <v>#N/A</v>
      </c>
      <c r="F1370" s="16" t="e">
        <f t="shared" ref="F1370:K1370" si="2758">VLOOKUP($A1370,[4]Cultura!$A$1:$O$276,F$1,0)</f>
        <v>#N/A</v>
      </c>
      <c r="G1370" s="39" t="e">
        <f t="shared" si="2758"/>
        <v>#N/A</v>
      </c>
      <c r="H1370" s="16" t="e">
        <f t="shared" si="2758"/>
        <v>#N/A</v>
      </c>
      <c r="I1370" s="16" t="e">
        <f t="shared" si="2758"/>
        <v>#N/A</v>
      </c>
      <c r="J1370" s="40" t="e">
        <f t="shared" si="2758"/>
        <v>#N/A</v>
      </c>
      <c r="K1370" s="16" t="e">
        <f t="shared" si="2758"/>
        <v>#N/A</v>
      </c>
      <c r="L1370" s="40" t="e">
        <f t="shared" si="2421"/>
        <v>#N/A</v>
      </c>
      <c r="M1370" s="16" t="e">
        <f t="shared" si="2422"/>
        <v>#N/A</v>
      </c>
      <c r="N1370" s="16" t="e">
        <f t="shared" si="2423"/>
        <v>#N/A</v>
      </c>
      <c r="O1370" s="16" t="s">
        <v>68</v>
      </c>
      <c r="P1370" s="16" t="str">
        <f t="shared" si="6"/>
        <v/>
      </c>
      <c r="Q1370" s="41" t="e">
        <f t="shared" si="2424"/>
        <v>#N/A</v>
      </c>
      <c r="R1370" s="44"/>
      <c r="S1370" s="44"/>
      <c r="T1370" s="43"/>
      <c r="U1370" s="43" t="str">
        <f t="shared" si="8"/>
        <v>No</v>
      </c>
      <c r="V1370" s="25"/>
      <c r="W1370" s="25"/>
      <c r="X1370" s="25"/>
      <c r="Y1370" s="25"/>
      <c r="Z1370" s="25"/>
    </row>
    <row r="1371" spans="1:26" ht="15.75" customHeight="1" x14ac:dyDescent="0.25">
      <c r="A1371" s="25">
        <v>1369</v>
      </c>
      <c r="B1371" s="37" t="e">
        <f t="shared" ref="B1371:D1371" si="2759">VLOOKUP($A1371,[4]Cultura!$A$1:$O$276,B$1,0)</f>
        <v>#N/A</v>
      </c>
      <c r="C1371" s="38" t="e">
        <f t="shared" si="2759"/>
        <v>#N/A</v>
      </c>
      <c r="D1371" s="39" t="e">
        <f t="shared" si="2759"/>
        <v>#N/A</v>
      </c>
      <c r="E1371" s="16" t="e">
        <f t="shared" si="1"/>
        <v>#N/A</v>
      </c>
      <c r="F1371" s="16" t="e">
        <f t="shared" ref="F1371:K1371" si="2760">VLOOKUP($A1371,[4]Cultura!$A$1:$O$276,F$1,0)</f>
        <v>#N/A</v>
      </c>
      <c r="G1371" s="39" t="e">
        <f t="shared" si="2760"/>
        <v>#N/A</v>
      </c>
      <c r="H1371" s="16" t="e">
        <f t="shared" si="2760"/>
        <v>#N/A</v>
      </c>
      <c r="I1371" s="16" t="e">
        <f t="shared" si="2760"/>
        <v>#N/A</v>
      </c>
      <c r="J1371" s="40" t="e">
        <f t="shared" si="2760"/>
        <v>#N/A</v>
      </c>
      <c r="K1371" s="16" t="e">
        <f t="shared" si="2760"/>
        <v>#N/A</v>
      </c>
      <c r="L1371" s="40" t="e">
        <f t="shared" si="2421"/>
        <v>#N/A</v>
      </c>
      <c r="M1371" s="16" t="e">
        <f t="shared" si="2422"/>
        <v>#N/A</v>
      </c>
      <c r="N1371" s="16" t="e">
        <f t="shared" si="2423"/>
        <v>#N/A</v>
      </c>
      <c r="O1371" s="16" t="s">
        <v>68</v>
      </c>
      <c r="P1371" s="16" t="str">
        <f t="shared" si="6"/>
        <v/>
      </c>
      <c r="Q1371" s="41" t="e">
        <f t="shared" si="2424"/>
        <v>#N/A</v>
      </c>
      <c r="R1371" s="44"/>
      <c r="S1371" s="44"/>
      <c r="T1371" s="43"/>
      <c r="U1371" s="43" t="str">
        <f t="shared" si="8"/>
        <v>No</v>
      </c>
      <c r="V1371" s="25"/>
      <c r="W1371" s="25"/>
      <c r="X1371" s="25"/>
      <c r="Y1371" s="25"/>
      <c r="Z1371" s="25"/>
    </row>
    <row r="1372" spans="1:26" ht="15.75" customHeight="1" x14ac:dyDescent="0.25">
      <c r="A1372" s="25">
        <v>1370</v>
      </c>
      <c r="B1372" s="37" t="e">
        <f t="shared" ref="B1372:D1372" si="2761">VLOOKUP($A1372,[4]Cultura!$A$1:$O$276,B$1,0)</f>
        <v>#N/A</v>
      </c>
      <c r="C1372" s="38" t="e">
        <f t="shared" si="2761"/>
        <v>#N/A</v>
      </c>
      <c r="D1372" s="39" t="e">
        <f t="shared" si="2761"/>
        <v>#N/A</v>
      </c>
      <c r="E1372" s="16" t="e">
        <f t="shared" si="1"/>
        <v>#N/A</v>
      </c>
      <c r="F1372" s="16" t="e">
        <f t="shared" ref="F1372:K1372" si="2762">VLOOKUP($A1372,[4]Cultura!$A$1:$O$276,F$1,0)</f>
        <v>#N/A</v>
      </c>
      <c r="G1372" s="39" t="e">
        <f t="shared" si="2762"/>
        <v>#N/A</v>
      </c>
      <c r="H1372" s="16" t="e">
        <f t="shared" si="2762"/>
        <v>#N/A</v>
      </c>
      <c r="I1372" s="16" t="e">
        <f t="shared" si="2762"/>
        <v>#N/A</v>
      </c>
      <c r="J1372" s="40" t="e">
        <f t="shared" si="2762"/>
        <v>#N/A</v>
      </c>
      <c r="K1372" s="16" t="e">
        <f t="shared" si="2762"/>
        <v>#N/A</v>
      </c>
      <c r="L1372" s="40" t="e">
        <f t="shared" si="2421"/>
        <v>#N/A</v>
      </c>
      <c r="M1372" s="16" t="e">
        <f t="shared" si="2422"/>
        <v>#N/A</v>
      </c>
      <c r="N1372" s="16" t="e">
        <f t="shared" si="2423"/>
        <v>#N/A</v>
      </c>
      <c r="O1372" s="16" t="s">
        <v>68</v>
      </c>
      <c r="P1372" s="16" t="str">
        <f t="shared" si="6"/>
        <v/>
      </c>
      <c r="Q1372" s="41" t="e">
        <f t="shared" si="2424"/>
        <v>#N/A</v>
      </c>
      <c r="R1372" s="44"/>
      <c r="S1372" s="44"/>
      <c r="T1372" s="43"/>
      <c r="U1372" s="43" t="str">
        <f t="shared" si="8"/>
        <v>No</v>
      </c>
      <c r="V1372" s="25"/>
      <c r="W1372" s="25"/>
      <c r="X1372" s="25"/>
      <c r="Y1372" s="25"/>
      <c r="Z1372" s="25"/>
    </row>
    <row r="1373" spans="1:26" ht="15.75" customHeight="1" x14ac:dyDescent="0.25">
      <c r="A1373" s="25">
        <v>1371</v>
      </c>
      <c r="B1373" s="37" t="e">
        <f t="shared" ref="B1373:D1373" si="2763">VLOOKUP($A1373,[4]Cultura!$A$1:$O$276,B$1,0)</f>
        <v>#N/A</v>
      </c>
      <c r="C1373" s="38" t="e">
        <f t="shared" si="2763"/>
        <v>#N/A</v>
      </c>
      <c r="D1373" s="39" t="e">
        <f t="shared" si="2763"/>
        <v>#N/A</v>
      </c>
      <c r="E1373" s="16" t="e">
        <f t="shared" si="1"/>
        <v>#N/A</v>
      </c>
      <c r="F1373" s="16" t="e">
        <f t="shared" ref="F1373:K1373" si="2764">VLOOKUP($A1373,[4]Cultura!$A$1:$O$276,F$1,0)</f>
        <v>#N/A</v>
      </c>
      <c r="G1373" s="39" t="e">
        <f t="shared" si="2764"/>
        <v>#N/A</v>
      </c>
      <c r="H1373" s="16" t="e">
        <f t="shared" si="2764"/>
        <v>#N/A</v>
      </c>
      <c r="I1373" s="16" t="e">
        <f t="shared" si="2764"/>
        <v>#N/A</v>
      </c>
      <c r="J1373" s="40" t="e">
        <f t="shared" si="2764"/>
        <v>#N/A</v>
      </c>
      <c r="K1373" s="16" t="e">
        <f t="shared" si="2764"/>
        <v>#N/A</v>
      </c>
      <c r="L1373" s="40" t="e">
        <f t="shared" si="2421"/>
        <v>#N/A</v>
      </c>
      <c r="M1373" s="16" t="e">
        <f t="shared" si="2422"/>
        <v>#N/A</v>
      </c>
      <c r="N1373" s="16" t="e">
        <f t="shared" si="2423"/>
        <v>#N/A</v>
      </c>
      <c r="O1373" s="16" t="s">
        <v>68</v>
      </c>
      <c r="P1373" s="16" t="str">
        <f t="shared" si="6"/>
        <v/>
      </c>
      <c r="Q1373" s="41" t="e">
        <f t="shared" si="2424"/>
        <v>#N/A</v>
      </c>
      <c r="R1373" s="44"/>
      <c r="S1373" s="44"/>
      <c r="T1373" s="43"/>
      <c r="U1373" s="43" t="str">
        <f t="shared" si="8"/>
        <v>No</v>
      </c>
      <c r="V1373" s="25"/>
      <c r="W1373" s="25"/>
      <c r="X1373" s="25"/>
      <c r="Y1373" s="25"/>
      <c r="Z1373" s="25"/>
    </row>
    <row r="1374" spans="1:26" ht="15.75" customHeight="1" x14ac:dyDescent="0.25">
      <c r="A1374" s="25">
        <v>1372</v>
      </c>
      <c r="B1374" s="37" t="e">
        <f t="shared" ref="B1374:D1374" si="2765">VLOOKUP($A1374,[4]Cultura!$A$1:$O$276,B$1,0)</f>
        <v>#N/A</v>
      </c>
      <c r="C1374" s="38" t="e">
        <f t="shared" si="2765"/>
        <v>#N/A</v>
      </c>
      <c r="D1374" s="39" t="e">
        <f t="shared" si="2765"/>
        <v>#N/A</v>
      </c>
      <c r="E1374" s="16" t="e">
        <f t="shared" si="1"/>
        <v>#N/A</v>
      </c>
      <c r="F1374" s="16" t="e">
        <f t="shared" ref="F1374:K1374" si="2766">VLOOKUP($A1374,[4]Cultura!$A$1:$O$276,F$1,0)</f>
        <v>#N/A</v>
      </c>
      <c r="G1374" s="39" t="e">
        <f t="shared" si="2766"/>
        <v>#N/A</v>
      </c>
      <c r="H1374" s="16" t="e">
        <f t="shared" si="2766"/>
        <v>#N/A</v>
      </c>
      <c r="I1374" s="16" t="e">
        <f t="shared" si="2766"/>
        <v>#N/A</v>
      </c>
      <c r="J1374" s="40" t="e">
        <f t="shared" si="2766"/>
        <v>#N/A</v>
      </c>
      <c r="K1374" s="16" t="e">
        <f t="shared" si="2766"/>
        <v>#N/A</v>
      </c>
      <c r="L1374" s="40" t="e">
        <f t="shared" si="2421"/>
        <v>#N/A</v>
      </c>
      <c r="M1374" s="16" t="e">
        <f t="shared" si="2422"/>
        <v>#N/A</v>
      </c>
      <c r="N1374" s="16" t="e">
        <f t="shared" si="2423"/>
        <v>#N/A</v>
      </c>
      <c r="O1374" s="16" t="s">
        <v>68</v>
      </c>
      <c r="P1374" s="16" t="str">
        <f t="shared" si="6"/>
        <v/>
      </c>
      <c r="Q1374" s="41" t="e">
        <f t="shared" si="2424"/>
        <v>#N/A</v>
      </c>
      <c r="R1374" s="44"/>
      <c r="S1374" s="44"/>
      <c r="T1374" s="43"/>
      <c r="U1374" s="43" t="str">
        <f t="shared" si="8"/>
        <v>No</v>
      </c>
      <c r="V1374" s="25"/>
      <c r="W1374" s="25"/>
      <c r="X1374" s="25"/>
      <c r="Y1374" s="25"/>
      <c r="Z1374" s="25"/>
    </row>
    <row r="1375" spans="1:26" ht="15.75" customHeight="1" x14ac:dyDescent="0.25">
      <c r="A1375" s="25">
        <v>1373</v>
      </c>
      <c r="B1375" s="37" t="e">
        <f t="shared" ref="B1375:D1375" si="2767">VLOOKUP($A1375,[4]Cultura!$A$1:$O$276,B$1,0)</f>
        <v>#N/A</v>
      </c>
      <c r="C1375" s="38" t="e">
        <f t="shared" si="2767"/>
        <v>#N/A</v>
      </c>
      <c r="D1375" s="39" t="e">
        <f t="shared" si="2767"/>
        <v>#N/A</v>
      </c>
      <c r="E1375" s="16" t="e">
        <f t="shared" si="1"/>
        <v>#N/A</v>
      </c>
      <c r="F1375" s="16" t="e">
        <f t="shared" ref="F1375:K1375" si="2768">VLOOKUP($A1375,[4]Cultura!$A$1:$O$276,F$1,0)</f>
        <v>#N/A</v>
      </c>
      <c r="G1375" s="39" t="e">
        <f t="shared" si="2768"/>
        <v>#N/A</v>
      </c>
      <c r="H1375" s="16" t="e">
        <f t="shared" si="2768"/>
        <v>#N/A</v>
      </c>
      <c r="I1375" s="16" t="e">
        <f t="shared" si="2768"/>
        <v>#N/A</v>
      </c>
      <c r="J1375" s="40" t="e">
        <f t="shared" si="2768"/>
        <v>#N/A</v>
      </c>
      <c r="K1375" s="16" t="e">
        <f t="shared" si="2768"/>
        <v>#N/A</v>
      </c>
      <c r="L1375" s="40" t="e">
        <f t="shared" si="2421"/>
        <v>#N/A</v>
      </c>
      <c r="M1375" s="16" t="e">
        <f t="shared" si="2422"/>
        <v>#N/A</v>
      </c>
      <c r="N1375" s="16" t="e">
        <f t="shared" si="2423"/>
        <v>#N/A</v>
      </c>
      <c r="O1375" s="16" t="s">
        <v>68</v>
      </c>
      <c r="P1375" s="16" t="str">
        <f t="shared" si="6"/>
        <v/>
      </c>
      <c r="Q1375" s="41" t="e">
        <f t="shared" si="2424"/>
        <v>#N/A</v>
      </c>
      <c r="R1375" s="44"/>
      <c r="S1375" s="44"/>
      <c r="T1375" s="43"/>
      <c r="U1375" s="43" t="str">
        <f t="shared" si="8"/>
        <v>No</v>
      </c>
      <c r="V1375" s="25"/>
      <c r="W1375" s="25"/>
      <c r="X1375" s="25"/>
      <c r="Y1375" s="25"/>
      <c r="Z1375" s="25"/>
    </row>
    <row r="1376" spans="1:26" ht="15.75" customHeight="1" x14ac:dyDescent="0.25">
      <c r="A1376" s="25">
        <v>1374</v>
      </c>
      <c r="B1376" s="37" t="e">
        <f t="shared" ref="B1376:D1376" si="2769">VLOOKUP($A1376,[4]Cultura!$A$1:$O$276,B$1,0)</f>
        <v>#N/A</v>
      </c>
      <c r="C1376" s="38" t="e">
        <f t="shared" si="2769"/>
        <v>#N/A</v>
      </c>
      <c r="D1376" s="39" t="e">
        <f t="shared" si="2769"/>
        <v>#N/A</v>
      </c>
      <c r="E1376" s="16" t="e">
        <f t="shared" si="1"/>
        <v>#N/A</v>
      </c>
      <c r="F1376" s="16" t="e">
        <f t="shared" ref="F1376:K1376" si="2770">VLOOKUP($A1376,[4]Cultura!$A$1:$O$276,F$1,0)</f>
        <v>#N/A</v>
      </c>
      <c r="G1376" s="39" t="e">
        <f t="shared" si="2770"/>
        <v>#N/A</v>
      </c>
      <c r="H1376" s="16" t="e">
        <f t="shared" si="2770"/>
        <v>#N/A</v>
      </c>
      <c r="I1376" s="16" t="e">
        <f t="shared" si="2770"/>
        <v>#N/A</v>
      </c>
      <c r="J1376" s="40" t="e">
        <f t="shared" si="2770"/>
        <v>#N/A</v>
      </c>
      <c r="K1376" s="16" t="e">
        <f t="shared" si="2770"/>
        <v>#N/A</v>
      </c>
      <c r="L1376" s="40" t="e">
        <f t="shared" si="2421"/>
        <v>#N/A</v>
      </c>
      <c r="M1376" s="16" t="e">
        <f t="shared" si="2422"/>
        <v>#N/A</v>
      </c>
      <c r="N1376" s="16" t="e">
        <f t="shared" si="2423"/>
        <v>#N/A</v>
      </c>
      <c r="O1376" s="16" t="s">
        <v>68</v>
      </c>
      <c r="P1376" s="16" t="str">
        <f t="shared" si="6"/>
        <v/>
      </c>
      <c r="Q1376" s="41" t="e">
        <f t="shared" si="2424"/>
        <v>#N/A</v>
      </c>
      <c r="R1376" s="44"/>
      <c r="S1376" s="44"/>
      <c r="T1376" s="43"/>
      <c r="U1376" s="43" t="str">
        <f t="shared" si="8"/>
        <v>No</v>
      </c>
      <c r="V1376" s="25"/>
      <c r="W1376" s="25"/>
      <c r="X1376" s="25"/>
      <c r="Y1376" s="25"/>
      <c r="Z1376" s="25"/>
    </row>
    <row r="1377" spans="1:26" ht="15.75" customHeight="1" x14ac:dyDescent="0.25">
      <c r="A1377" s="25">
        <v>1375</v>
      </c>
      <c r="B1377" s="37" t="e">
        <f t="shared" ref="B1377:D1377" si="2771">VLOOKUP($A1377,[4]Cultura!$A$1:$O$276,B$1,0)</f>
        <v>#N/A</v>
      </c>
      <c r="C1377" s="38" t="e">
        <f t="shared" si="2771"/>
        <v>#N/A</v>
      </c>
      <c r="D1377" s="39" t="e">
        <f t="shared" si="2771"/>
        <v>#N/A</v>
      </c>
      <c r="E1377" s="16" t="e">
        <f t="shared" si="1"/>
        <v>#N/A</v>
      </c>
      <c r="F1377" s="16" t="e">
        <f t="shared" ref="F1377:K1377" si="2772">VLOOKUP($A1377,[4]Cultura!$A$1:$O$276,F$1,0)</f>
        <v>#N/A</v>
      </c>
      <c r="G1377" s="39" t="e">
        <f t="shared" si="2772"/>
        <v>#N/A</v>
      </c>
      <c r="H1377" s="16" t="e">
        <f t="shared" si="2772"/>
        <v>#N/A</v>
      </c>
      <c r="I1377" s="16" t="e">
        <f t="shared" si="2772"/>
        <v>#N/A</v>
      </c>
      <c r="J1377" s="40" t="e">
        <f t="shared" si="2772"/>
        <v>#N/A</v>
      </c>
      <c r="K1377" s="16" t="e">
        <f t="shared" si="2772"/>
        <v>#N/A</v>
      </c>
      <c r="L1377" s="40" t="e">
        <f t="shared" si="2421"/>
        <v>#N/A</v>
      </c>
      <c r="M1377" s="16" t="e">
        <f t="shared" si="2422"/>
        <v>#N/A</v>
      </c>
      <c r="N1377" s="16" t="e">
        <f t="shared" si="2423"/>
        <v>#N/A</v>
      </c>
      <c r="O1377" s="16" t="s">
        <v>68</v>
      </c>
      <c r="P1377" s="16" t="str">
        <f t="shared" si="6"/>
        <v/>
      </c>
      <c r="Q1377" s="41" t="e">
        <f t="shared" si="2424"/>
        <v>#N/A</v>
      </c>
      <c r="R1377" s="44"/>
      <c r="S1377" s="44"/>
      <c r="T1377" s="43"/>
      <c r="U1377" s="43" t="str">
        <f t="shared" si="8"/>
        <v>No</v>
      </c>
      <c r="V1377" s="25"/>
      <c r="W1377" s="25"/>
      <c r="X1377" s="25"/>
      <c r="Y1377" s="25"/>
      <c r="Z1377" s="25"/>
    </row>
    <row r="1378" spans="1:26" ht="15.75" customHeight="1" x14ac:dyDescent="0.25">
      <c r="A1378" s="25">
        <v>1376</v>
      </c>
      <c r="B1378" s="37" t="e">
        <f t="shared" ref="B1378:D1378" si="2773">VLOOKUP($A1378,[4]Cultura!$A$1:$O$276,B$1,0)</f>
        <v>#N/A</v>
      </c>
      <c r="C1378" s="38" t="e">
        <f t="shared" si="2773"/>
        <v>#N/A</v>
      </c>
      <c r="D1378" s="39" t="e">
        <f t="shared" si="2773"/>
        <v>#N/A</v>
      </c>
      <c r="E1378" s="16" t="e">
        <f t="shared" si="1"/>
        <v>#N/A</v>
      </c>
      <c r="F1378" s="16" t="e">
        <f t="shared" ref="F1378:K1378" si="2774">VLOOKUP($A1378,[4]Cultura!$A$1:$O$276,F$1,0)</f>
        <v>#N/A</v>
      </c>
      <c r="G1378" s="39" t="e">
        <f t="shared" si="2774"/>
        <v>#N/A</v>
      </c>
      <c r="H1378" s="16" t="e">
        <f t="shared" si="2774"/>
        <v>#N/A</v>
      </c>
      <c r="I1378" s="16" t="e">
        <f t="shared" si="2774"/>
        <v>#N/A</v>
      </c>
      <c r="J1378" s="40" t="e">
        <f t="shared" si="2774"/>
        <v>#N/A</v>
      </c>
      <c r="K1378" s="16" t="e">
        <f t="shared" si="2774"/>
        <v>#N/A</v>
      </c>
      <c r="L1378" s="40" t="e">
        <f t="shared" si="2421"/>
        <v>#N/A</v>
      </c>
      <c r="M1378" s="16" t="e">
        <f t="shared" si="2422"/>
        <v>#N/A</v>
      </c>
      <c r="N1378" s="16" t="e">
        <f t="shared" si="2423"/>
        <v>#N/A</v>
      </c>
      <c r="O1378" s="16" t="s">
        <v>68</v>
      </c>
      <c r="P1378" s="16" t="str">
        <f t="shared" si="6"/>
        <v/>
      </c>
      <c r="Q1378" s="41" t="e">
        <f t="shared" si="2424"/>
        <v>#N/A</v>
      </c>
      <c r="R1378" s="44"/>
      <c r="S1378" s="44"/>
      <c r="T1378" s="43"/>
      <c r="U1378" s="43" t="str">
        <f t="shared" si="8"/>
        <v>No</v>
      </c>
      <c r="V1378" s="25"/>
      <c r="W1378" s="25"/>
      <c r="X1378" s="25"/>
      <c r="Y1378" s="25"/>
      <c r="Z1378" s="25"/>
    </row>
    <row r="1379" spans="1:26" ht="15.75" customHeight="1" x14ac:dyDescent="0.25">
      <c r="A1379" s="25">
        <v>1377</v>
      </c>
      <c r="B1379" s="37" t="e">
        <f t="shared" ref="B1379:D1379" si="2775">VLOOKUP($A1379,[4]Cultura!$A$1:$O$276,B$1,0)</f>
        <v>#N/A</v>
      </c>
      <c r="C1379" s="38" t="e">
        <f t="shared" si="2775"/>
        <v>#N/A</v>
      </c>
      <c r="D1379" s="39" t="e">
        <f t="shared" si="2775"/>
        <v>#N/A</v>
      </c>
      <c r="E1379" s="16" t="e">
        <f t="shared" si="1"/>
        <v>#N/A</v>
      </c>
      <c r="F1379" s="16" t="e">
        <f t="shared" ref="F1379:K1379" si="2776">VLOOKUP($A1379,[4]Cultura!$A$1:$O$276,F$1,0)</f>
        <v>#N/A</v>
      </c>
      <c r="G1379" s="39" t="e">
        <f t="shared" si="2776"/>
        <v>#N/A</v>
      </c>
      <c r="H1379" s="16" t="e">
        <f t="shared" si="2776"/>
        <v>#N/A</v>
      </c>
      <c r="I1379" s="16" t="e">
        <f t="shared" si="2776"/>
        <v>#N/A</v>
      </c>
      <c r="J1379" s="40" t="e">
        <f t="shared" si="2776"/>
        <v>#N/A</v>
      </c>
      <c r="K1379" s="16" t="e">
        <f t="shared" si="2776"/>
        <v>#N/A</v>
      </c>
      <c r="L1379" s="40" t="e">
        <f t="shared" si="2421"/>
        <v>#N/A</v>
      </c>
      <c r="M1379" s="16" t="e">
        <f t="shared" si="2422"/>
        <v>#N/A</v>
      </c>
      <c r="N1379" s="16" t="e">
        <f t="shared" si="2423"/>
        <v>#N/A</v>
      </c>
      <c r="O1379" s="16" t="s">
        <v>68</v>
      </c>
      <c r="P1379" s="16" t="str">
        <f t="shared" si="6"/>
        <v/>
      </c>
      <c r="Q1379" s="41" t="e">
        <f t="shared" si="2424"/>
        <v>#N/A</v>
      </c>
      <c r="R1379" s="44"/>
      <c r="S1379" s="44"/>
      <c r="T1379" s="43"/>
      <c r="U1379" s="43" t="str">
        <f t="shared" si="8"/>
        <v>No</v>
      </c>
      <c r="V1379" s="25"/>
      <c r="W1379" s="25"/>
      <c r="X1379" s="25"/>
      <c r="Y1379" s="25"/>
      <c r="Z1379" s="25"/>
    </row>
    <row r="1380" spans="1:26" ht="15.75" customHeight="1" x14ac:dyDescent="0.25">
      <c r="A1380" s="25">
        <v>1378</v>
      </c>
      <c r="B1380" s="37" t="e">
        <f t="shared" ref="B1380:D1380" si="2777">VLOOKUP($A1380,[4]Cultura!$A$1:$O$276,B$1,0)</f>
        <v>#N/A</v>
      </c>
      <c r="C1380" s="38" t="e">
        <f t="shared" si="2777"/>
        <v>#N/A</v>
      </c>
      <c r="D1380" s="39" t="e">
        <f t="shared" si="2777"/>
        <v>#N/A</v>
      </c>
      <c r="E1380" s="16" t="e">
        <f t="shared" si="1"/>
        <v>#N/A</v>
      </c>
      <c r="F1380" s="16" t="e">
        <f t="shared" ref="F1380:K1380" si="2778">VLOOKUP($A1380,[4]Cultura!$A$1:$O$276,F$1,0)</f>
        <v>#N/A</v>
      </c>
      <c r="G1380" s="39" t="e">
        <f t="shared" si="2778"/>
        <v>#N/A</v>
      </c>
      <c r="H1380" s="16" t="e">
        <f t="shared" si="2778"/>
        <v>#N/A</v>
      </c>
      <c r="I1380" s="16" t="e">
        <f t="shared" si="2778"/>
        <v>#N/A</v>
      </c>
      <c r="J1380" s="40" t="e">
        <f t="shared" si="2778"/>
        <v>#N/A</v>
      </c>
      <c r="K1380" s="16" t="e">
        <f t="shared" si="2778"/>
        <v>#N/A</v>
      </c>
      <c r="L1380" s="40" t="e">
        <f t="shared" si="2421"/>
        <v>#N/A</v>
      </c>
      <c r="M1380" s="16" t="e">
        <f t="shared" si="2422"/>
        <v>#N/A</v>
      </c>
      <c r="N1380" s="16" t="e">
        <f t="shared" si="2423"/>
        <v>#N/A</v>
      </c>
      <c r="O1380" s="16" t="s">
        <v>68</v>
      </c>
      <c r="P1380" s="16" t="str">
        <f t="shared" si="6"/>
        <v/>
      </c>
      <c r="Q1380" s="41" t="e">
        <f t="shared" si="2424"/>
        <v>#N/A</v>
      </c>
      <c r="R1380" s="44"/>
      <c r="S1380" s="44"/>
      <c r="T1380" s="43"/>
      <c r="U1380" s="43" t="str">
        <f t="shared" si="8"/>
        <v>No</v>
      </c>
      <c r="V1380" s="25"/>
      <c r="W1380" s="25"/>
      <c r="X1380" s="25"/>
      <c r="Y1380" s="25"/>
      <c r="Z1380" s="25"/>
    </row>
    <row r="1381" spans="1:26" ht="15.75" customHeight="1" x14ac:dyDescent="0.25">
      <c r="A1381" s="25">
        <v>1379</v>
      </c>
      <c r="B1381" s="37" t="e">
        <f t="shared" ref="B1381:D1381" si="2779">VLOOKUP($A1381,[4]Cultura!$A$1:$O$276,B$1,0)</f>
        <v>#N/A</v>
      </c>
      <c r="C1381" s="38" t="e">
        <f t="shared" si="2779"/>
        <v>#N/A</v>
      </c>
      <c r="D1381" s="39" t="e">
        <f t="shared" si="2779"/>
        <v>#N/A</v>
      </c>
      <c r="E1381" s="16" t="e">
        <f t="shared" si="1"/>
        <v>#N/A</v>
      </c>
      <c r="F1381" s="16" t="e">
        <f t="shared" ref="F1381:K1381" si="2780">VLOOKUP($A1381,[4]Cultura!$A$1:$O$276,F$1,0)</f>
        <v>#N/A</v>
      </c>
      <c r="G1381" s="39" t="e">
        <f t="shared" si="2780"/>
        <v>#N/A</v>
      </c>
      <c r="H1381" s="16" t="e">
        <f t="shared" si="2780"/>
        <v>#N/A</v>
      </c>
      <c r="I1381" s="16" t="e">
        <f t="shared" si="2780"/>
        <v>#N/A</v>
      </c>
      <c r="J1381" s="40" t="e">
        <f t="shared" si="2780"/>
        <v>#N/A</v>
      </c>
      <c r="K1381" s="16" t="e">
        <f t="shared" si="2780"/>
        <v>#N/A</v>
      </c>
      <c r="L1381" s="40" t="e">
        <f t="shared" si="2421"/>
        <v>#N/A</v>
      </c>
      <c r="M1381" s="16" t="e">
        <f t="shared" si="2422"/>
        <v>#N/A</v>
      </c>
      <c r="N1381" s="16" t="e">
        <f t="shared" si="2423"/>
        <v>#N/A</v>
      </c>
      <c r="O1381" s="16" t="s">
        <v>68</v>
      </c>
      <c r="P1381" s="16" t="str">
        <f t="shared" si="6"/>
        <v/>
      </c>
      <c r="Q1381" s="41" t="e">
        <f t="shared" si="2424"/>
        <v>#N/A</v>
      </c>
      <c r="R1381" s="44"/>
      <c r="S1381" s="44"/>
      <c r="T1381" s="43"/>
      <c r="U1381" s="43" t="str">
        <f t="shared" si="8"/>
        <v>No</v>
      </c>
      <c r="V1381" s="25"/>
      <c r="W1381" s="25"/>
      <c r="X1381" s="25"/>
      <c r="Y1381" s="25"/>
      <c r="Z1381" s="25"/>
    </row>
    <row r="1382" spans="1:26" ht="15.75" customHeight="1" x14ac:dyDescent="0.25">
      <c r="A1382" s="25">
        <v>1380</v>
      </c>
      <c r="B1382" s="37" t="e">
        <f t="shared" ref="B1382:D1382" si="2781">VLOOKUP($A1382,[4]Cultura!$A$1:$O$276,B$1,0)</f>
        <v>#N/A</v>
      </c>
      <c r="C1382" s="38" t="e">
        <f t="shared" si="2781"/>
        <v>#N/A</v>
      </c>
      <c r="D1382" s="39" t="e">
        <f t="shared" si="2781"/>
        <v>#N/A</v>
      </c>
      <c r="E1382" s="16" t="e">
        <f t="shared" si="1"/>
        <v>#N/A</v>
      </c>
      <c r="F1382" s="16" t="e">
        <f t="shared" ref="F1382:K1382" si="2782">VLOOKUP($A1382,[4]Cultura!$A$1:$O$276,F$1,0)</f>
        <v>#N/A</v>
      </c>
      <c r="G1382" s="39" t="e">
        <f t="shared" si="2782"/>
        <v>#N/A</v>
      </c>
      <c r="H1382" s="16" t="e">
        <f t="shared" si="2782"/>
        <v>#N/A</v>
      </c>
      <c r="I1382" s="16" t="e">
        <f t="shared" si="2782"/>
        <v>#N/A</v>
      </c>
      <c r="J1382" s="40" t="e">
        <f t="shared" si="2782"/>
        <v>#N/A</v>
      </c>
      <c r="K1382" s="16" t="e">
        <f t="shared" si="2782"/>
        <v>#N/A</v>
      </c>
      <c r="L1382" s="40" t="e">
        <f t="shared" si="2421"/>
        <v>#N/A</v>
      </c>
      <c r="M1382" s="16" t="e">
        <f t="shared" si="2422"/>
        <v>#N/A</v>
      </c>
      <c r="N1382" s="16" t="e">
        <f t="shared" si="2423"/>
        <v>#N/A</v>
      </c>
      <c r="O1382" s="16" t="s">
        <v>68</v>
      </c>
      <c r="P1382" s="16" t="str">
        <f t="shared" si="6"/>
        <v/>
      </c>
      <c r="Q1382" s="41" t="e">
        <f t="shared" si="2424"/>
        <v>#N/A</v>
      </c>
      <c r="R1382" s="44"/>
      <c r="S1382" s="44"/>
      <c r="T1382" s="43"/>
      <c r="U1382" s="43" t="str">
        <f t="shared" si="8"/>
        <v>No</v>
      </c>
      <c r="V1382" s="25"/>
      <c r="W1382" s="25"/>
      <c r="X1382" s="25"/>
      <c r="Y1382" s="25"/>
      <c r="Z1382" s="25"/>
    </row>
    <row r="1383" spans="1:26" ht="15.75" customHeight="1" x14ac:dyDescent="0.25">
      <c r="A1383" s="25">
        <v>1381</v>
      </c>
      <c r="B1383" s="37" t="e">
        <f t="shared" ref="B1383:D1383" si="2783">VLOOKUP($A1383,[4]Cultura!$A$1:$O$276,B$1,0)</f>
        <v>#N/A</v>
      </c>
      <c r="C1383" s="38" t="e">
        <f t="shared" si="2783"/>
        <v>#N/A</v>
      </c>
      <c r="D1383" s="39" t="e">
        <f t="shared" si="2783"/>
        <v>#N/A</v>
      </c>
      <c r="E1383" s="16" t="e">
        <f t="shared" si="1"/>
        <v>#N/A</v>
      </c>
      <c r="F1383" s="16" t="e">
        <f t="shared" ref="F1383:K1383" si="2784">VLOOKUP($A1383,[4]Cultura!$A$1:$O$276,F$1,0)</f>
        <v>#N/A</v>
      </c>
      <c r="G1383" s="39" t="e">
        <f t="shared" si="2784"/>
        <v>#N/A</v>
      </c>
      <c r="H1383" s="16" t="e">
        <f t="shared" si="2784"/>
        <v>#N/A</v>
      </c>
      <c r="I1383" s="16" t="e">
        <f t="shared" si="2784"/>
        <v>#N/A</v>
      </c>
      <c r="J1383" s="40" t="e">
        <f t="shared" si="2784"/>
        <v>#N/A</v>
      </c>
      <c r="K1383" s="16" t="e">
        <f t="shared" si="2784"/>
        <v>#N/A</v>
      </c>
      <c r="L1383" s="40" t="e">
        <f t="shared" si="2421"/>
        <v>#N/A</v>
      </c>
      <c r="M1383" s="16" t="e">
        <f t="shared" si="2422"/>
        <v>#N/A</v>
      </c>
      <c r="N1383" s="16" t="e">
        <f t="shared" si="2423"/>
        <v>#N/A</v>
      </c>
      <c r="O1383" s="16" t="s">
        <v>68</v>
      </c>
      <c r="P1383" s="16" t="str">
        <f t="shared" si="6"/>
        <v/>
      </c>
      <c r="Q1383" s="41" t="e">
        <f t="shared" si="2424"/>
        <v>#N/A</v>
      </c>
      <c r="R1383" s="44"/>
      <c r="S1383" s="44"/>
      <c r="T1383" s="43"/>
      <c r="U1383" s="43" t="str">
        <f t="shared" si="8"/>
        <v>No</v>
      </c>
      <c r="V1383" s="25"/>
      <c r="W1383" s="25"/>
      <c r="X1383" s="25"/>
      <c r="Y1383" s="25"/>
      <c r="Z1383" s="25"/>
    </row>
    <row r="1384" spans="1:26" ht="15.75" customHeight="1" x14ac:dyDescent="0.25">
      <c r="A1384" s="25">
        <v>1382</v>
      </c>
      <c r="B1384" s="37" t="e">
        <f t="shared" ref="B1384:D1384" si="2785">VLOOKUP($A1384,[4]Cultura!$A$1:$O$276,B$1,0)</f>
        <v>#N/A</v>
      </c>
      <c r="C1384" s="38" t="e">
        <f t="shared" si="2785"/>
        <v>#N/A</v>
      </c>
      <c r="D1384" s="39" t="e">
        <f t="shared" si="2785"/>
        <v>#N/A</v>
      </c>
      <c r="E1384" s="16" t="e">
        <f t="shared" si="1"/>
        <v>#N/A</v>
      </c>
      <c r="F1384" s="16" t="e">
        <f t="shared" ref="F1384:K1384" si="2786">VLOOKUP($A1384,[4]Cultura!$A$1:$O$276,F$1,0)</f>
        <v>#N/A</v>
      </c>
      <c r="G1384" s="39" t="e">
        <f t="shared" si="2786"/>
        <v>#N/A</v>
      </c>
      <c r="H1384" s="16" t="e">
        <f t="shared" si="2786"/>
        <v>#N/A</v>
      </c>
      <c r="I1384" s="16" t="e">
        <f t="shared" si="2786"/>
        <v>#N/A</v>
      </c>
      <c r="J1384" s="40" t="e">
        <f t="shared" si="2786"/>
        <v>#N/A</v>
      </c>
      <c r="K1384" s="16" t="e">
        <f t="shared" si="2786"/>
        <v>#N/A</v>
      </c>
      <c r="L1384" s="40" t="e">
        <f t="shared" si="2421"/>
        <v>#N/A</v>
      </c>
      <c r="M1384" s="16" t="e">
        <f t="shared" si="2422"/>
        <v>#N/A</v>
      </c>
      <c r="N1384" s="16" t="e">
        <f t="shared" si="2423"/>
        <v>#N/A</v>
      </c>
      <c r="O1384" s="16" t="s">
        <v>68</v>
      </c>
      <c r="P1384" s="16" t="str">
        <f t="shared" si="6"/>
        <v/>
      </c>
      <c r="Q1384" s="41" t="e">
        <f t="shared" si="2424"/>
        <v>#N/A</v>
      </c>
      <c r="R1384" s="44"/>
      <c r="S1384" s="44"/>
      <c r="T1384" s="43"/>
      <c r="U1384" s="43" t="str">
        <f t="shared" si="8"/>
        <v>No</v>
      </c>
      <c r="V1384" s="25"/>
      <c r="W1384" s="25"/>
      <c r="X1384" s="25"/>
      <c r="Y1384" s="25"/>
      <c r="Z1384" s="25"/>
    </row>
    <row r="1385" spans="1:26" ht="15.75" customHeight="1" x14ac:dyDescent="0.25">
      <c r="A1385" s="25">
        <v>1383</v>
      </c>
      <c r="B1385" s="37" t="e">
        <f t="shared" ref="B1385:D1385" si="2787">VLOOKUP($A1385,[4]Cultura!$A$1:$O$276,B$1,0)</f>
        <v>#N/A</v>
      </c>
      <c r="C1385" s="38" t="e">
        <f t="shared" si="2787"/>
        <v>#N/A</v>
      </c>
      <c r="D1385" s="39" t="e">
        <f t="shared" si="2787"/>
        <v>#N/A</v>
      </c>
      <c r="E1385" s="16" t="e">
        <f t="shared" si="1"/>
        <v>#N/A</v>
      </c>
      <c r="F1385" s="16" t="e">
        <f t="shared" ref="F1385:K1385" si="2788">VLOOKUP($A1385,[4]Cultura!$A$1:$O$276,F$1,0)</f>
        <v>#N/A</v>
      </c>
      <c r="G1385" s="39" t="e">
        <f t="shared" si="2788"/>
        <v>#N/A</v>
      </c>
      <c r="H1385" s="16" t="e">
        <f t="shared" si="2788"/>
        <v>#N/A</v>
      </c>
      <c r="I1385" s="16" t="e">
        <f t="shared" si="2788"/>
        <v>#N/A</v>
      </c>
      <c r="J1385" s="40" t="e">
        <f t="shared" si="2788"/>
        <v>#N/A</v>
      </c>
      <c r="K1385" s="16" t="e">
        <f t="shared" si="2788"/>
        <v>#N/A</v>
      </c>
      <c r="L1385" s="40" t="e">
        <f t="shared" si="2421"/>
        <v>#N/A</v>
      </c>
      <c r="M1385" s="16" t="e">
        <f t="shared" si="2422"/>
        <v>#N/A</v>
      </c>
      <c r="N1385" s="16" t="e">
        <f t="shared" si="2423"/>
        <v>#N/A</v>
      </c>
      <c r="O1385" s="16" t="s">
        <v>68</v>
      </c>
      <c r="P1385" s="16" t="str">
        <f t="shared" si="6"/>
        <v/>
      </c>
      <c r="Q1385" s="41" t="e">
        <f t="shared" si="2424"/>
        <v>#N/A</v>
      </c>
      <c r="R1385" s="44"/>
      <c r="S1385" s="44"/>
      <c r="T1385" s="43"/>
      <c r="U1385" s="43" t="str">
        <f t="shared" si="8"/>
        <v>No</v>
      </c>
      <c r="V1385" s="25"/>
      <c r="W1385" s="25"/>
      <c r="X1385" s="25"/>
      <c r="Y1385" s="25"/>
      <c r="Z1385" s="25"/>
    </row>
    <row r="1386" spans="1:26" ht="15.75" customHeight="1" x14ac:dyDescent="0.25">
      <c r="A1386" s="25">
        <v>1384</v>
      </c>
      <c r="B1386" s="37" t="e">
        <f t="shared" ref="B1386:D1386" si="2789">VLOOKUP($A1386,[4]Cultura!$A$1:$O$276,B$1,0)</f>
        <v>#N/A</v>
      </c>
      <c r="C1386" s="38" t="e">
        <f t="shared" si="2789"/>
        <v>#N/A</v>
      </c>
      <c r="D1386" s="39" t="e">
        <f t="shared" si="2789"/>
        <v>#N/A</v>
      </c>
      <c r="E1386" s="16" t="e">
        <f t="shared" si="1"/>
        <v>#N/A</v>
      </c>
      <c r="F1386" s="16" t="e">
        <f t="shared" ref="F1386:K1386" si="2790">VLOOKUP($A1386,[4]Cultura!$A$1:$O$276,F$1,0)</f>
        <v>#N/A</v>
      </c>
      <c r="G1386" s="39" t="e">
        <f t="shared" si="2790"/>
        <v>#N/A</v>
      </c>
      <c r="H1386" s="16" t="e">
        <f t="shared" si="2790"/>
        <v>#N/A</v>
      </c>
      <c r="I1386" s="16" t="e">
        <f t="shared" si="2790"/>
        <v>#N/A</v>
      </c>
      <c r="J1386" s="40" t="e">
        <f t="shared" si="2790"/>
        <v>#N/A</v>
      </c>
      <c r="K1386" s="16" t="e">
        <f t="shared" si="2790"/>
        <v>#N/A</v>
      </c>
      <c r="L1386" s="40" t="e">
        <f t="shared" si="2421"/>
        <v>#N/A</v>
      </c>
      <c r="M1386" s="16" t="e">
        <f t="shared" si="2422"/>
        <v>#N/A</v>
      </c>
      <c r="N1386" s="16" t="e">
        <f t="shared" si="2423"/>
        <v>#N/A</v>
      </c>
      <c r="O1386" s="16" t="s">
        <v>68</v>
      </c>
      <c r="P1386" s="16" t="str">
        <f t="shared" si="6"/>
        <v/>
      </c>
      <c r="Q1386" s="41" t="e">
        <f t="shared" si="2424"/>
        <v>#N/A</v>
      </c>
      <c r="R1386" s="44"/>
      <c r="S1386" s="44"/>
      <c r="T1386" s="43"/>
      <c r="U1386" s="43" t="str">
        <f t="shared" si="8"/>
        <v>No</v>
      </c>
      <c r="V1386" s="25"/>
      <c r="W1386" s="25"/>
      <c r="X1386" s="25"/>
      <c r="Y1386" s="25"/>
      <c r="Z1386" s="25"/>
    </row>
    <row r="1387" spans="1:26" ht="15.75" customHeight="1" x14ac:dyDescent="0.25">
      <c r="A1387" s="25">
        <v>1385</v>
      </c>
      <c r="B1387" s="37" t="e">
        <f t="shared" ref="B1387:D1387" si="2791">VLOOKUP($A1387,[4]Cultura!$A$1:$O$276,B$1,0)</f>
        <v>#N/A</v>
      </c>
      <c r="C1387" s="38" t="e">
        <f t="shared" si="2791"/>
        <v>#N/A</v>
      </c>
      <c r="D1387" s="39" t="e">
        <f t="shared" si="2791"/>
        <v>#N/A</v>
      </c>
      <c r="E1387" s="16" t="e">
        <f t="shared" si="1"/>
        <v>#N/A</v>
      </c>
      <c r="F1387" s="16" t="e">
        <f t="shared" ref="F1387:K1387" si="2792">VLOOKUP($A1387,[4]Cultura!$A$1:$O$276,F$1,0)</f>
        <v>#N/A</v>
      </c>
      <c r="G1387" s="39" t="e">
        <f t="shared" si="2792"/>
        <v>#N/A</v>
      </c>
      <c r="H1387" s="16" t="e">
        <f t="shared" si="2792"/>
        <v>#N/A</v>
      </c>
      <c r="I1387" s="16" t="e">
        <f t="shared" si="2792"/>
        <v>#N/A</v>
      </c>
      <c r="J1387" s="40" t="e">
        <f t="shared" si="2792"/>
        <v>#N/A</v>
      </c>
      <c r="K1387" s="16" t="e">
        <f t="shared" si="2792"/>
        <v>#N/A</v>
      </c>
      <c r="L1387" s="40" t="e">
        <f t="shared" si="2421"/>
        <v>#N/A</v>
      </c>
      <c r="M1387" s="16" t="e">
        <f t="shared" si="2422"/>
        <v>#N/A</v>
      </c>
      <c r="N1387" s="16" t="e">
        <f t="shared" si="2423"/>
        <v>#N/A</v>
      </c>
      <c r="O1387" s="16" t="s">
        <v>68</v>
      </c>
      <c r="P1387" s="16" t="str">
        <f t="shared" si="6"/>
        <v/>
      </c>
      <c r="Q1387" s="41" t="e">
        <f t="shared" si="2424"/>
        <v>#N/A</v>
      </c>
      <c r="R1387" s="44"/>
      <c r="S1387" s="44"/>
      <c r="T1387" s="43"/>
      <c r="U1387" s="43" t="str">
        <f t="shared" si="8"/>
        <v>No</v>
      </c>
      <c r="V1387" s="25"/>
      <c r="W1387" s="25"/>
      <c r="X1387" s="25"/>
      <c r="Y1387" s="25"/>
      <c r="Z1387" s="25"/>
    </row>
    <row r="1388" spans="1:26" ht="15.75" customHeight="1" x14ac:dyDescent="0.25">
      <c r="A1388" s="25">
        <v>1386</v>
      </c>
      <c r="B1388" s="37" t="e">
        <f t="shared" ref="B1388:D1388" si="2793">VLOOKUP($A1388,[4]Cultura!$A$1:$O$276,B$1,0)</f>
        <v>#N/A</v>
      </c>
      <c r="C1388" s="38" t="e">
        <f t="shared" si="2793"/>
        <v>#N/A</v>
      </c>
      <c r="D1388" s="39" t="e">
        <f t="shared" si="2793"/>
        <v>#N/A</v>
      </c>
      <c r="E1388" s="16" t="e">
        <f t="shared" si="1"/>
        <v>#N/A</v>
      </c>
      <c r="F1388" s="16" t="e">
        <f t="shared" ref="F1388:K1388" si="2794">VLOOKUP($A1388,[4]Cultura!$A$1:$O$276,F$1,0)</f>
        <v>#N/A</v>
      </c>
      <c r="G1388" s="39" t="e">
        <f t="shared" si="2794"/>
        <v>#N/A</v>
      </c>
      <c r="H1388" s="16" t="e">
        <f t="shared" si="2794"/>
        <v>#N/A</v>
      </c>
      <c r="I1388" s="16" t="e">
        <f t="shared" si="2794"/>
        <v>#N/A</v>
      </c>
      <c r="J1388" s="40" t="e">
        <f t="shared" si="2794"/>
        <v>#N/A</v>
      </c>
      <c r="K1388" s="16" t="e">
        <f t="shared" si="2794"/>
        <v>#N/A</v>
      </c>
      <c r="L1388" s="40" t="e">
        <f t="shared" si="2421"/>
        <v>#N/A</v>
      </c>
      <c r="M1388" s="16" t="e">
        <f t="shared" si="2422"/>
        <v>#N/A</v>
      </c>
      <c r="N1388" s="16" t="e">
        <f t="shared" si="2423"/>
        <v>#N/A</v>
      </c>
      <c r="O1388" s="16" t="s">
        <v>68</v>
      </c>
      <c r="P1388" s="16" t="str">
        <f t="shared" si="6"/>
        <v/>
      </c>
      <c r="Q1388" s="41" t="e">
        <f t="shared" si="2424"/>
        <v>#N/A</v>
      </c>
      <c r="R1388" s="44"/>
      <c r="S1388" s="44"/>
      <c r="T1388" s="43"/>
      <c r="U1388" s="43" t="str">
        <f t="shared" si="8"/>
        <v>No</v>
      </c>
      <c r="V1388" s="25"/>
      <c r="W1388" s="25"/>
      <c r="X1388" s="25"/>
      <c r="Y1388" s="25"/>
      <c r="Z1388" s="25"/>
    </row>
    <row r="1389" spans="1:26" ht="15.75" customHeight="1" x14ac:dyDescent="0.25">
      <c r="A1389" s="25">
        <v>1387</v>
      </c>
      <c r="B1389" s="37" t="e">
        <f t="shared" ref="B1389:D1389" si="2795">VLOOKUP($A1389,[4]Cultura!$A$1:$O$276,B$1,0)</f>
        <v>#N/A</v>
      </c>
      <c r="C1389" s="38" t="e">
        <f t="shared" si="2795"/>
        <v>#N/A</v>
      </c>
      <c r="D1389" s="39" t="e">
        <f t="shared" si="2795"/>
        <v>#N/A</v>
      </c>
      <c r="E1389" s="16" t="e">
        <f t="shared" si="1"/>
        <v>#N/A</v>
      </c>
      <c r="F1389" s="16" t="e">
        <f t="shared" ref="F1389:K1389" si="2796">VLOOKUP($A1389,[4]Cultura!$A$1:$O$276,F$1,0)</f>
        <v>#N/A</v>
      </c>
      <c r="G1389" s="39" t="e">
        <f t="shared" si="2796"/>
        <v>#N/A</v>
      </c>
      <c r="H1389" s="16" t="e">
        <f t="shared" si="2796"/>
        <v>#N/A</v>
      </c>
      <c r="I1389" s="16" t="e">
        <f t="shared" si="2796"/>
        <v>#N/A</v>
      </c>
      <c r="J1389" s="40" t="e">
        <f t="shared" si="2796"/>
        <v>#N/A</v>
      </c>
      <c r="K1389" s="16" t="e">
        <f t="shared" si="2796"/>
        <v>#N/A</v>
      </c>
      <c r="L1389" s="40" t="e">
        <f t="shared" si="2421"/>
        <v>#N/A</v>
      </c>
      <c r="M1389" s="16" t="e">
        <f t="shared" si="2422"/>
        <v>#N/A</v>
      </c>
      <c r="N1389" s="16" t="e">
        <f t="shared" si="2423"/>
        <v>#N/A</v>
      </c>
      <c r="O1389" s="16" t="s">
        <v>68</v>
      </c>
      <c r="P1389" s="16" t="str">
        <f t="shared" si="6"/>
        <v/>
      </c>
      <c r="Q1389" s="41" t="e">
        <f t="shared" si="2424"/>
        <v>#N/A</v>
      </c>
      <c r="R1389" s="44"/>
      <c r="S1389" s="44"/>
      <c r="T1389" s="43"/>
      <c r="U1389" s="43" t="str">
        <f t="shared" si="8"/>
        <v>No</v>
      </c>
      <c r="V1389" s="25"/>
      <c r="W1389" s="25"/>
      <c r="X1389" s="25"/>
      <c r="Y1389" s="25"/>
      <c r="Z1389" s="25"/>
    </row>
    <row r="1390" spans="1:26" ht="15.75" customHeight="1" x14ac:dyDescent="0.25">
      <c r="A1390" s="25">
        <v>1388</v>
      </c>
      <c r="B1390" s="37" t="e">
        <f t="shared" ref="B1390:D1390" si="2797">VLOOKUP($A1390,[4]Cultura!$A$1:$O$276,B$1,0)</f>
        <v>#N/A</v>
      </c>
      <c r="C1390" s="38" t="e">
        <f t="shared" si="2797"/>
        <v>#N/A</v>
      </c>
      <c r="D1390" s="39" t="e">
        <f t="shared" si="2797"/>
        <v>#N/A</v>
      </c>
      <c r="E1390" s="16" t="e">
        <f t="shared" si="1"/>
        <v>#N/A</v>
      </c>
      <c r="F1390" s="16" t="e">
        <f t="shared" ref="F1390:K1390" si="2798">VLOOKUP($A1390,[4]Cultura!$A$1:$O$276,F$1,0)</f>
        <v>#N/A</v>
      </c>
      <c r="G1390" s="39" t="e">
        <f t="shared" si="2798"/>
        <v>#N/A</v>
      </c>
      <c r="H1390" s="16" t="e">
        <f t="shared" si="2798"/>
        <v>#N/A</v>
      </c>
      <c r="I1390" s="16" t="e">
        <f t="shared" si="2798"/>
        <v>#N/A</v>
      </c>
      <c r="J1390" s="40" t="e">
        <f t="shared" si="2798"/>
        <v>#N/A</v>
      </c>
      <c r="K1390" s="16" t="e">
        <f t="shared" si="2798"/>
        <v>#N/A</v>
      </c>
      <c r="L1390" s="40" t="e">
        <f t="shared" si="2421"/>
        <v>#N/A</v>
      </c>
      <c r="M1390" s="16" t="e">
        <f t="shared" si="2422"/>
        <v>#N/A</v>
      </c>
      <c r="N1390" s="16" t="e">
        <f t="shared" si="2423"/>
        <v>#N/A</v>
      </c>
      <c r="O1390" s="16" t="s">
        <v>68</v>
      </c>
      <c r="P1390" s="16" t="str">
        <f t="shared" si="6"/>
        <v/>
      </c>
      <c r="Q1390" s="41" t="e">
        <f t="shared" si="2424"/>
        <v>#N/A</v>
      </c>
      <c r="R1390" s="44"/>
      <c r="S1390" s="44"/>
      <c r="T1390" s="43"/>
      <c r="U1390" s="43" t="str">
        <f t="shared" si="8"/>
        <v>No</v>
      </c>
      <c r="V1390" s="25"/>
      <c r="W1390" s="25"/>
      <c r="X1390" s="25"/>
      <c r="Y1390" s="25"/>
      <c r="Z1390" s="25"/>
    </row>
    <row r="1391" spans="1:26" ht="15.75" customHeight="1" x14ac:dyDescent="0.25">
      <c r="A1391" s="25">
        <v>1389</v>
      </c>
      <c r="B1391" s="37" t="e">
        <f t="shared" ref="B1391:D1391" si="2799">VLOOKUP($A1391,[4]Cultura!$A$1:$O$276,B$1,0)</f>
        <v>#N/A</v>
      </c>
      <c r="C1391" s="38" t="e">
        <f t="shared" si="2799"/>
        <v>#N/A</v>
      </c>
      <c r="D1391" s="39" t="e">
        <f t="shared" si="2799"/>
        <v>#N/A</v>
      </c>
      <c r="E1391" s="16" t="e">
        <f t="shared" si="1"/>
        <v>#N/A</v>
      </c>
      <c r="F1391" s="16" t="e">
        <f t="shared" ref="F1391:K1391" si="2800">VLOOKUP($A1391,[4]Cultura!$A$1:$O$276,F$1,0)</f>
        <v>#N/A</v>
      </c>
      <c r="G1391" s="39" t="e">
        <f t="shared" si="2800"/>
        <v>#N/A</v>
      </c>
      <c r="H1391" s="16" t="e">
        <f t="shared" si="2800"/>
        <v>#N/A</v>
      </c>
      <c r="I1391" s="16" t="e">
        <f t="shared" si="2800"/>
        <v>#N/A</v>
      </c>
      <c r="J1391" s="40" t="e">
        <f t="shared" si="2800"/>
        <v>#N/A</v>
      </c>
      <c r="K1391" s="16" t="e">
        <f t="shared" si="2800"/>
        <v>#N/A</v>
      </c>
      <c r="L1391" s="40" t="e">
        <f t="shared" si="2421"/>
        <v>#N/A</v>
      </c>
      <c r="M1391" s="16" t="e">
        <f t="shared" si="2422"/>
        <v>#N/A</v>
      </c>
      <c r="N1391" s="16" t="e">
        <f t="shared" si="2423"/>
        <v>#N/A</v>
      </c>
      <c r="O1391" s="16" t="s">
        <v>68</v>
      </c>
      <c r="P1391" s="16" t="str">
        <f t="shared" si="6"/>
        <v/>
      </c>
      <c r="Q1391" s="41" t="e">
        <f t="shared" si="2424"/>
        <v>#N/A</v>
      </c>
      <c r="R1391" s="44"/>
      <c r="S1391" s="44"/>
      <c r="T1391" s="43"/>
      <c r="U1391" s="43" t="str">
        <f t="shared" si="8"/>
        <v>No</v>
      </c>
      <c r="V1391" s="25"/>
      <c r="W1391" s="25"/>
      <c r="X1391" s="25"/>
      <c r="Y1391" s="25"/>
      <c r="Z1391" s="25"/>
    </row>
    <row r="1392" spans="1:26" ht="15.75" customHeight="1" x14ac:dyDescent="0.25">
      <c r="A1392" s="25">
        <v>1390</v>
      </c>
      <c r="B1392" s="37" t="e">
        <f t="shared" ref="B1392:D1392" si="2801">VLOOKUP($A1392,[4]Cultura!$A$1:$O$276,B$1,0)</f>
        <v>#N/A</v>
      </c>
      <c r="C1392" s="38" t="e">
        <f t="shared" si="2801"/>
        <v>#N/A</v>
      </c>
      <c r="D1392" s="39" t="e">
        <f t="shared" si="2801"/>
        <v>#N/A</v>
      </c>
      <c r="E1392" s="16" t="e">
        <f t="shared" si="1"/>
        <v>#N/A</v>
      </c>
      <c r="F1392" s="16" t="e">
        <f t="shared" ref="F1392:K1392" si="2802">VLOOKUP($A1392,[4]Cultura!$A$1:$O$276,F$1,0)</f>
        <v>#N/A</v>
      </c>
      <c r="G1392" s="39" t="e">
        <f t="shared" si="2802"/>
        <v>#N/A</v>
      </c>
      <c r="H1392" s="16" t="e">
        <f t="shared" si="2802"/>
        <v>#N/A</v>
      </c>
      <c r="I1392" s="16" t="e">
        <f t="shared" si="2802"/>
        <v>#N/A</v>
      </c>
      <c r="J1392" s="40" t="e">
        <f t="shared" si="2802"/>
        <v>#N/A</v>
      </c>
      <c r="K1392" s="16" t="e">
        <f t="shared" si="2802"/>
        <v>#N/A</v>
      </c>
      <c r="L1392" s="40" t="e">
        <f t="shared" si="2421"/>
        <v>#N/A</v>
      </c>
      <c r="M1392" s="16" t="e">
        <f t="shared" si="2422"/>
        <v>#N/A</v>
      </c>
      <c r="N1392" s="16" t="e">
        <f t="shared" si="2423"/>
        <v>#N/A</v>
      </c>
      <c r="O1392" s="16" t="s">
        <v>68</v>
      </c>
      <c r="P1392" s="16" t="str">
        <f t="shared" si="6"/>
        <v/>
      </c>
      <c r="Q1392" s="41" t="e">
        <f t="shared" si="2424"/>
        <v>#N/A</v>
      </c>
      <c r="R1392" s="44"/>
      <c r="S1392" s="44"/>
      <c r="T1392" s="43"/>
      <c r="U1392" s="43" t="str">
        <f t="shared" si="8"/>
        <v>No</v>
      </c>
      <c r="V1392" s="25"/>
      <c r="W1392" s="25"/>
      <c r="X1392" s="25"/>
      <c r="Y1392" s="25"/>
      <c r="Z1392" s="25"/>
    </row>
    <row r="1393" spans="1:26" ht="15.75" customHeight="1" x14ac:dyDescent="0.25">
      <c r="A1393" s="25">
        <v>1391</v>
      </c>
      <c r="B1393" s="37" t="e">
        <f t="shared" ref="B1393:D1393" si="2803">VLOOKUP($A1393,[4]Cultura!$A$1:$O$276,B$1,0)</f>
        <v>#N/A</v>
      </c>
      <c r="C1393" s="38" t="e">
        <f t="shared" si="2803"/>
        <v>#N/A</v>
      </c>
      <c r="D1393" s="39" t="e">
        <f t="shared" si="2803"/>
        <v>#N/A</v>
      </c>
      <c r="E1393" s="16" t="e">
        <f t="shared" si="1"/>
        <v>#N/A</v>
      </c>
      <c r="F1393" s="16" t="e">
        <f t="shared" ref="F1393:K1393" si="2804">VLOOKUP($A1393,[4]Cultura!$A$1:$O$276,F$1,0)</f>
        <v>#N/A</v>
      </c>
      <c r="G1393" s="39" t="e">
        <f t="shared" si="2804"/>
        <v>#N/A</v>
      </c>
      <c r="H1393" s="16" t="e">
        <f t="shared" si="2804"/>
        <v>#N/A</v>
      </c>
      <c r="I1393" s="16" t="e">
        <f t="shared" si="2804"/>
        <v>#N/A</v>
      </c>
      <c r="J1393" s="40" t="e">
        <f t="shared" si="2804"/>
        <v>#N/A</v>
      </c>
      <c r="K1393" s="16" t="e">
        <f t="shared" si="2804"/>
        <v>#N/A</v>
      </c>
      <c r="L1393" s="40" t="e">
        <f t="shared" si="2421"/>
        <v>#N/A</v>
      </c>
      <c r="M1393" s="16" t="e">
        <f t="shared" si="2422"/>
        <v>#N/A</v>
      </c>
      <c r="N1393" s="16" t="e">
        <f t="shared" si="2423"/>
        <v>#N/A</v>
      </c>
      <c r="O1393" s="16" t="s">
        <v>68</v>
      </c>
      <c r="P1393" s="16" t="str">
        <f t="shared" si="6"/>
        <v/>
      </c>
      <c r="Q1393" s="41" t="e">
        <f t="shared" si="2424"/>
        <v>#N/A</v>
      </c>
      <c r="R1393" s="44"/>
      <c r="S1393" s="44"/>
      <c r="T1393" s="43"/>
      <c r="U1393" s="43" t="str">
        <f t="shared" si="8"/>
        <v>No</v>
      </c>
      <c r="V1393" s="25"/>
      <c r="W1393" s="25"/>
      <c r="X1393" s="25"/>
      <c r="Y1393" s="25"/>
      <c r="Z1393" s="25"/>
    </row>
    <row r="1394" spans="1:26" ht="15.75" customHeight="1" x14ac:dyDescent="0.25">
      <c r="A1394" s="25">
        <v>1392</v>
      </c>
      <c r="B1394" s="37" t="e">
        <f t="shared" ref="B1394:D1394" si="2805">VLOOKUP($A1394,[4]Cultura!$A$1:$O$276,B$1,0)</f>
        <v>#N/A</v>
      </c>
      <c r="C1394" s="38" t="e">
        <f t="shared" si="2805"/>
        <v>#N/A</v>
      </c>
      <c r="D1394" s="39" t="e">
        <f t="shared" si="2805"/>
        <v>#N/A</v>
      </c>
      <c r="E1394" s="16" t="e">
        <f t="shared" si="1"/>
        <v>#N/A</v>
      </c>
      <c r="F1394" s="16" t="e">
        <f t="shared" ref="F1394:K1394" si="2806">VLOOKUP($A1394,[4]Cultura!$A$1:$O$276,F$1,0)</f>
        <v>#N/A</v>
      </c>
      <c r="G1394" s="39" t="e">
        <f t="shared" si="2806"/>
        <v>#N/A</v>
      </c>
      <c r="H1394" s="16" t="e">
        <f t="shared" si="2806"/>
        <v>#N/A</v>
      </c>
      <c r="I1394" s="16" t="e">
        <f t="shared" si="2806"/>
        <v>#N/A</v>
      </c>
      <c r="J1394" s="40" t="e">
        <f t="shared" si="2806"/>
        <v>#N/A</v>
      </c>
      <c r="K1394" s="16" t="e">
        <f t="shared" si="2806"/>
        <v>#N/A</v>
      </c>
      <c r="L1394" s="40" t="e">
        <f t="shared" si="2421"/>
        <v>#N/A</v>
      </c>
      <c r="M1394" s="16" t="e">
        <f t="shared" si="2422"/>
        <v>#N/A</v>
      </c>
      <c r="N1394" s="16" t="e">
        <f t="shared" si="2423"/>
        <v>#N/A</v>
      </c>
      <c r="O1394" s="16" t="s">
        <v>68</v>
      </c>
      <c r="P1394" s="16" t="str">
        <f t="shared" si="6"/>
        <v/>
      </c>
      <c r="Q1394" s="41" t="e">
        <f t="shared" si="2424"/>
        <v>#N/A</v>
      </c>
      <c r="R1394" s="44"/>
      <c r="S1394" s="44"/>
      <c r="T1394" s="43"/>
      <c r="U1394" s="43" t="str">
        <f t="shared" si="8"/>
        <v>No</v>
      </c>
      <c r="V1394" s="25"/>
      <c r="W1394" s="25"/>
      <c r="X1394" s="25"/>
      <c r="Y1394" s="25"/>
      <c r="Z1394" s="25"/>
    </row>
    <row r="1395" spans="1:26" ht="15.75" customHeight="1" x14ac:dyDescent="0.25">
      <c r="A1395" s="25">
        <v>1393</v>
      </c>
      <c r="B1395" s="37" t="e">
        <f t="shared" ref="B1395:D1395" si="2807">VLOOKUP($A1395,[4]Cultura!$A$1:$O$276,B$1,0)</f>
        <v>#N/A</v>
      </c>
      <c r="C1395" s="38" t="e">
        <f t="shared" si="2807"/>
        <v>#N/A</v>
      </c>
      <c r="D1395" s="39" t="e">
        <f t="shared" si="2807"/>
        <v>#N/A</v>
      </c>
      <c r="E1395" s="16" t="e">
        <f t="shared" si="1"/>
        <v>#N/A</v>
      </c>
      <c r="F1395" s="16" t="e">
        <f t="shared" ref="F1395:K1395" si="2808">VLOOKUP($A1395,[4]Cultura!$A$1:$O$276,F$1,0)</f>
        <v>#N/A</v>
      </c>
      <c r="G1395" s="39" t="e">
        <f t="shared" si="2808"/>
        <v>#N/A</v>
      </c>
      <c r="H1395" s="16" t="e">
        <f t="shared" si="2808"/>
        <v>#N/A</v>
      </c>
      <c r="I1395" s="16" t="e">
        <f t="shared" si="2808"/>
        <v>#N/A</v>
      </c>
      <c r="J1395" s="40" t="e">
        <f t="shared" si="2808"/>
        <v>#N/A</v>
      </c>
      <c r="K1395" s="16" t="e">
        <f t="shared" si="2808"/>
        <v>#N/A</v>
      </c>
      <c r="L1395" s="40" t="e">
        <f t="shared" si="2421"/>
        <v>#N/A</v>
      </c>
      <c r="M1395" s="16" t="e">
        <f t="shared" si="2422"/>
        <v>#N/A</v>
      </c>
      <c r="N1395" s="16" t="e">
        <f t="shared" si="2423"/>
        <v>#N/A</v>
      </c>
      <c r="O1395" s="16" t="s">
        <v>68</v>
      </c>
      <c r="P1395" s="16" t="str">
        <f t="shared" si="6"/>
        <v/>
      </c>
      <c r="Q1395" s="41" t="e">
        <f t="shared" si="2424"/>
        <v>#N/A</v>
      </c>
      <c r="R1395" s="44"/>
      <c r="S1395" s="44"/>
      <c r="T1395" s="43"/>
      <c r="U1395" s="43" t="str">
        <f t="shared" si="8"/>
        <v>No</v>
      </c>
      <c r="V1395" s="25"/>
      <c r="W1395" s="25"/>
      <c r="X1395" s="25"/>
      <c r="Y1395" s="25"/>
      <c r="Z1395" s="25"/>
    </row>
    <row r="1396" spans="1:26" ht="15.75" customHeight="1" x14ac:dyDescent="0.25">
      <c r="A1396" s="25">
        <v>1394</v>
      </c>
      <c r="B1396" s="37" t="e">
        <f t="shared" ref="B1396:D1396" si="2809">VLOOKUP($A1396,[4]Cultura!$A$1:$O$276,B$1,0)</f>
        <v>#N/A</v>
      </c>
      <c r="C1396" s="38" t="e">
        <f t="shared" si="2809"/>
        <v>#N/A</v>
      </c>
      <c r="D1396" s="39" t="e">
        <f t="shared" si="2809"/>
        <v>#N/A</v>
      </c>
      <c r="E1396" s="16" t="e">
        <f t="shared" si="1"/>
        <v>#N/A</v>
      </c>
      <c r="F1396" s="16" t="e">
        <f t="shared" ref="F1396:K1396" si="2810">VLOOKUP($A1396,[4]Cultura!$A$1:$O$276,F$1,0)</f>
        <v>#N/A</v>
      </c>
      <c r="G1396" s="39" t="e">
        <f t="shared" si="2810"/>
        <v>#N/A</v>
      </c>
      <c r="H1396" s="16" t="e">
        <f t="shared" si="2810"/>
        <v>#N/A</v>
      </c>
      <c r="I1396" s="16" t="e">
        <f t="shared" si="2810"/>
        <v>#N/A</v>
      </c>
      <c r="J1396" s="40" t="e">
        <f t="shared" si="2810"/>
        <v>#N/A</v>
      </c>
      <c r="K1396" s="16" t="e">
        <f t="shared" si="2810"/>
        <v>#N/A</v>
      </c>
      <c r="L1396" s="40" t="e">
        <f t="shared" si="2421"/>
        <v>#N/A</v>
      </c>
      <c r="M1396" s="16" t="e">
        <f t="shared" si="2422"/>
        <v>#N/A</v>
      </c>
      <c r="N1396" s="16" t="e">
        <f t="shared" si="2423"/>
        <v>#N/A</v>
      </c>
      <c r="O1396" s="16" t="s">
        <v>68</v>
      </c>
      <c r="P1396" s="16" t="str">
        <f t="shared" si="6"/>
        <v/>
      </c>
      <c r="Q1396" s="41" t="e">
        <f t="shared" si="2424"/>
        <v>#N/A</v>
      </c>
      <c r="R1396" s="44"/>
      <c r="S1396" s="44"/>
      <c r="T1396" s="43"/>
      <c r="U1396" s="43" t="str">
        <f t="shared" si="8"/>
        <v>No</v>
      </c>
      <c r="V1396" s="25"/>
      <c r="W1396" s="25"/>
      <c r="X1396" s="25"/>
      <c r="Y1396" s="25"/>
      <c r="Z1396" s="25"/>
    </row>
    <row r="1397" spans="1:26" ht="15.75" customHeight="1" x14ac:dyDescent="0.25">
      <c r="A1397" s="25">
        <v>1395</v>
      </c>
      <c r="B1397" s="37" t="e">
        <f t="shared" ref="B1397:D1397" si="2811">VLOOKUP($A1397,[4]Cultura!$A$1:$O$276,B$1,0)</f>
        <v>#N/A</v>
      </c>
      <c r="C1397" s="38" t="e">
        <f t="shared" si="2811"/>
        <v>#N/A</v>
      </c>
      <c r="D1397" s="39" t="e">
        <f t="shared" si="2811"/>
        <v>#N/A</v>
      </c>
      <c r="E1397" s="16" t="e">
        <f t="shared" si="1"/>
        <v>#N/A</v>
      </c>
      <c r="F1397" s="16" t="e">
        <f t="shared" ref="F1397:K1397" si="2812">VLOOKUP($A1397,[4]Cultura!$A$1:$O$276,F$1,0)</f>
        <v>#N/A</v>
      </c>
      <c r="G1397" s="39" t="e">
        <f t="shared" si="2812"/>
        <v>#N/A</v>
      </c>
      <c r="H1397" s="16" t="e">
        <f t="shared" si="2812"/>
        <v>#N/A</v>
      </c>
      <c r="I1397" s="16" t="e">
        <f t="shared" si="2812"/>
        <v>#N/A</v>
      </c>
      <c r="J1397" s="40" t="e">
        <f t="shared" si="2812"/>
        <v>#N/A</v>
      </c>
      <c r="K1397" s="16" t="e">
        <f t="shared" si="2812"/>
        <v>#N/A</v>
      </c>
      <c r="L1397" s="40" t="e">
        <f t="shared" si="2421"/>
        <v>#N/A</v>
      </c>
      <c r="M1397" s="16" t="e">
        <f t="shared" si="2422"/>
        <v>#N/A</v>
      </c>
      <c r="N1397" s="16" t="e">
        <f t="shared" si="2423"/>
        <v>#N/A</v>
      </c>
      <c r="O1397" s="16" t="s">
        <v>68</v>
      </c>
      <c r="P1397" s="16" t="str">
        <f t="shared" si="6"/>
        <v/>
      </c>
      <c r="Q1397" s="41" t="e">
        <f t="shared" si="2424"/>
        <v>#N/A</v>
      </c>
      <c r="R1397" s="44"/>
      <c r="S1397" s="44"/>
      <c r="T1397" s="43"/>
      <c r="U1397" s="43" t="str">
        <f t="shared" si="8"/>
        <v>No</v>
      </c>
      <c r="V1397" s="25"/>
      <c r="W1397" s="25"/>
      <c r="X1397" s="25"/>
      <c r="Y1397" s="25"/>
      <c r="Z1397" s="25"/>
    </row>
    <row r="1398" spans="1:26" ht="15.75" customHeight="1" x14ac:dyDescent="0.25">
      <c r="A1398" s="25">
        <v>1396</v>
      </c>
      <c r="B1398" s="37" t="e">
        <f t="shared" ref="B1398:D1398" si="2813">VLOOKUP($A1398,[4]Cultura!$A$1:$O$276,B$1,0)</f>
        <v>#N/A</v>
      </c>
      <c r="C1398" s="38" t="e">
        <f t="shared" si="2813"/>
        <v>#N/A</v>
      </c>
      <c r="D1398" s="39" t="e">
        <f t="shared" si="2813"/>
        <v>#N/A</v>
      </c>
      <c r="E1398" s="16" t="e">
        <f t="shared" si="1"/>
        <v>#N/A</v>
      </c>
      <c r="F1398" s="16" t="e">
        <f t="shared" ref="F1398:K1398" si="2814">VLOOKUP($A1398,[4]Cultura!$A$1:$O$276,F$1,0)</f>
        <v>#N/A</v>
      </c>
      <c r="G1398" s="39" t="e">
        <f t="shared" si="2814"/>
        <v>#N/A</v>
      </c>
      <c r="H1398" s="16" t="e">
        <f t="shared" si="2814"/>
        <v>#N/A</v>
      </c>
      <c r="I1398" s="16" t="e">
        <f t="shared" si="2814"/>
        <v>#N/A</v>
      </c>
      <c r="J1398" s="40" t="e">
        <f t="shared" si="2814"/>
        <v>#N/A</v>
      </c>
      <c r="K1398" s="16" t="e">
        <f t="shared" si="2814"/>
        <v>#N/A</v>
      </c>
      <c r="L1398" s="40" t="e">
        <f t="shared" si="2421"/>
        <v>#N/A</v>
      </c>
      <c r="M1398" s="16" t="e">
        <f t="shared" si="2422"/>
        <v>#N/A</v>
      </c>
      <c r="N1398" s="16" t="e">
        <f t="shared" si="2423"/>
        <v>#N/A</v>
      </c>
      <c r="O1398" s="16" t="s">
        <v>68</v>
      </c>
      <c r="P1398" s="16" t="str">
        <f t="shared" si="6"/>
        <v/>
      </c>
      <c r="Q1398" s="41" t="e">
        <f t="shared" si="2424"/>
        <v>#N/A</v>
      </c>
      <c r="R1398" s="44"/>
      <c r="S1398" s="44"/>
      <c r="T1398" s="43"/>
      <c r="U1398" s="43" t="str">
        <f t="shared" si="8"/>
        <v>No</v>
      </c>
      <c r="V1398" s="25"/>
      <c r="W1398" s="25"/>
      <c r="X1398" s="25"/>
      <c r="Y1398" s="25"/>
      <c r="Z1398" s="25"/>
    </row>
    <row r="1399" spans="1:26" ht="15.75" customHeight="1" x14ac:dyDescent="0.25">
      <c r="A1399" s="25">
        <v>1397</v>
      </c>
      <c r="B1399" s="37" t="e">
        <f t="shared" ref="B1399:D1399" si="2815">VLOOKUP($A1399,[4]Cultura!$A$1:$O$276,B$1,0)</f>
        <v>#N/A</v>
      </c>
      <c r="C1399" s="38" t="e">
        <f t="shared" si="2815"/>
        <v>#N/A</v>
      </c>
      <c r="D1399" s="39" t="e">
        <f t="shared" si="2815"/>
        <v>#N/A</v>
      </c>
      <c r="E1399" s="16" t="e">
        <f t="shared" si="1"/>
        <v>#N/A</v>
      </c>
      <c r="F1399" s="16" t="e">
        <f t="shared" ref="F1399:K1399" si="2816">VLOOKUP($A1399,[4]Cultura!$A$1:$O$276,F$1,0)</f>
        <v>#N/A</v>
      </c>
      <c r="G1399" s="39" t="e">
        <f t="shared" si="2816"/>
        <v>#N/A</v>
      </c>
      <c r="H1399" s="16" t="e">
        <f t="shared" si="2816"/>
        <v>#N/A</v>
      </c>
      <c r="I1399" s="16" t="e">
        <f t="shared" si="2816"/>
        <v>#N/A</v>
      </c>
      <c r="J1399" s="40" t="e">
        <f t="shared" si="2816"/>
        <v>#N/A</v>
      </c>
      <c r="K1399" s="16" t="e">
        <f t="shared" si="2816"/>
        <v>#N/A</v>
      </c>
      <c r="L1399" s="40" t="e">
        <f t="shared" si="2421"/>
        <v>#N/A</v>
      </c>
      <c r="M1399" s="16" t="e">
        <f t="shared" si="2422"/>
        <v>#N/A</v>
      </c>
      <c r="N1399" s="16" t="e">
        <f t="shared" si="2423"/>
        <v>#N/A</v>
      </c>
      <c r="O1399" s="16" t="s">
        <v>68</v>
      </c>
      <c r="P1399" s="16" t="str">
        <f t="shared" si="6"/>
        <v/>
      </c>
      <c r="Q1399" s="41" t="e">
        <f t="shared" si="2424"/>
        <v>#N/A</v>
      </c>
      <c r="R1399" s="44"/>
      <c r="S1399" s="44"/>
      <c r="T1399" s="43"/>
      <c r="U1399" s="43" t="str">
        <f t="shared" si="8"/>
        <v>No</v>
      </c>
      <c r="V1399" s="25"/>
      <c r="W1399" s="25"/>
      <c r="X1399" s="25"/>
      <c r="Y1399" s="25"/>
      <c r="Z1399" s="25"/>
    </row>
    <row r="1400" spans="1:26" ht="15.75" customHeight="1" x14ac:dyDescent="0.25">
      <c r="A1400" s="25">
        <v>1398</v>
      </c>
      <c r="B1400" s="37" t="e">
        <f t="shared" ref="B1400:D1400" si="2817">VLOOKUP($A1400,[4]Cultura!$A$1:$O$276,B$1,0)</f>
        <v>#N/A</v>
      </c>
      <c r="C1400" s="38" t="e">
        <f t="shared" si="2817"/>
        <v>#N/A</v>
      </c>
      <c r="D1400" s="39" t="e">
        <f t="shared" si="2817"/>
        <v>#N/A</v>
      </c>
      <c r="E1400" s="16" t="e">
        <f t="shared" si="1"/>
        <v>#N/A</v>
      </c>
      <c r="F1400" s="16" t="e">
        <f t="shared" ref="F1400:K1400" si="2818">VLOOKUP($A1400,[4]Cultura!$A$1:$O$276,F$1,0)</f>
        <v>#N/A</v>
      </c>
      <c r="G1400" s="39" t="e">
        <f t="shared" si="2818"/>
        <v>#N/A</v>
      </c>
      <c r="H1400" s="16" t="e">
        <f t="shared" si="2818"/>
        <v>#N/A</v>
      </c>
      <c r="I1400" s="16" t="e">
        <f t="shared" si="2818"/>
        <v>#N/A</v>
      </c>
      <c r="J1400" s="40" t="e">
        <f t="shared" si="2818"/>
        <v>#N/A</v>
      </c>
      <c r="K1400" s="16" t="e">
        <f t="shared" si="2818"/>
        <v>#N/A</v>
      </c>
      <c r="L1400" s="40" t="e">
        <f t="shared" si="2421"/>
        <v>#N/A</v>
      </c>
      <c r="M1400" s="16" t="e">
        <f t="shared" si="2422"/>
        <v>#N/A</v>
      </c>
      <c r="N1400" s="16" t="e">
        <f t="shared" si="2423"/>
        <v>#N/A</v>
      </c>
      <c r="O1400" s="16" t="s">
        <v>68</v>
      </c>
      <c r="P1400" s="16" t="str">
        <f t="shared" si="6"/>
        <v/>
      </c>
      <c r="Q1400" s="41" t="e">
        <f t="shared" si="2424"/>
        <v>#N/A</v>
      </c>
      <c r="R1400" s="44"/>
      <c r="S1400" s="44"/>
      <c r="T1400" s="43"/>
      <c r="U1400" s="43" t="str">
        <f t="shared" si="8"/>
        <v>No</v>
      </c>
      <c r="V1400" s="25"/>
      <c r="W1400" s="25"/>
      <c r="X1400" s="25"/>
      <c r="Y1400" s="25"/>
      <c r="Z1400" s="25"/>
    </row>
    <row r="1401" spans="1:26" ht="15.75" customHeight="1" x14ac:dyDescent="0.25">
      <c r="A1401" s="25">
        <v>1399</v>
      </c>
      <c r="B1401" s="37" t="e">
        <f t="shared" ref="B1401:D1401" si="2819">VLOOKUP($A1401,[4]Cultura!$A$1:$O$276,B$1,0)</f>
        <v>#N/A</v>
      </c>
      <c r="C1401" s="38" t="e">
        <f t="shared" si="2819"/>
        <v>#N/A</v>
      </c>
      <c r="D1401" s="39" t="e">
        <f t="shared" si="2819"/>
        <v>#N/A</v>
      </c>
      <c r="E1401" s="16" t="e">
        <f t="shared" si="1"/>
        <v>#N/A</v>
      </c>
      <c r="F1401" s="16" t="e">
        <f t="shared" ref="F1401:K1401" si="2820">VLOOKUP($A1401,[4]Cultura!$A$1:$O$276,F$1,0)</f>
        <v>#N/A</v>
      </c>
      <c r="G1401" s="39" t="e">
        <f t="shared" si="2820"/>
        <v>#N/A</v>
      </c>
      <c r="H1401" s="16" t="e">
        <f t="shared" si="2820"/>
        <v>#N/A</v>
      </c>
      <c r="I1401" s="16" t="e">
        <f t="shared" si="2820"/>
        <v>#N/A</v>
      </c>
      <c r="J1401" s="40" t="e">
        <f t="shared" si="2820"/>
        <v>#N/A</v>
      </c>
      <c r="K1401" s="16" t="e">
        <f t="shared" si="2820"/>
        <v>#N/A</v>
      </c>
      <c r="L1401" s="40" t="e">
        <f t="shared" si="2421"/>
        <v>#N/A</v>
      </c>
      <c r="M1401" s="16" t="e">
        <f t="shared" si="2422"/>
        <v>#N/A</v>
      </c>
      <c r="N1401" s="16" t="e">
        <f t="shared" si="2423"/>
        <v>#N/A</v>
      </c>
      <c r="O1401" s="16" t="s">
        <v>68</v>
      </c>
      <c r="P1401" s="16" t="str">
        <f t="shared" si="6"/>
        <v/>
      </c>
      <c r="Q1401" s="41" t="e">
        <f t="shared" si="2424"/>
        <v>#N/A</v>
      </c>
      <c r="R1401" s="44"/>
      <c r="S1401" s="44"/>
      <c r="T1401" s="43"/>
      <c r="U1401" s="43" t="str">
        <f t="shared" si="8"/>
        <v>No</v>
      </c>
      <c r="V1401" s="25"/>
      <c r="W1401" s="25"/>
      <c r="X1401" s="25"/>
      <c r="Y1401" s="25"/>
      <c r="Z1401" s="25"/>
    </row>
    <row r="1402" spans="1:26" ht="15.75" customHeight="1" x14ac:dyDescent="0.25">
      <c r="A1402" s="25">
        <v>1400</v>
      </c>
      <c r="B1402" s="37" t="e">
        <f t="shared" ref="B1402:D1402" si="2821">VLOOKUP($A1402,[4]Cultura!$A$1:$O$276,B$1,0)</f>
        <v>#N/A</v>
      </c>
      <c r="C1402" s="38" t="e">
        <f t="shared" si="2821"/>
        <v>#N/A</v>
      </c>
      <c r="D1402" s="39" t="e">
        <f t="shared" si="2821"/>
        <v>#N/A</v>
      </c>
      <c r="E1402" s="16" t="e">
        <f t="shared" si="1"/>
        <v>#N/A</v>
      </c>
      <c r="F1402" s="16" t="e">
        <f t="shared" ref="F1402:K1402" si="2822">VLOOKUP($A1402,[4]Cultura!$A$1:$O$276,F$1,0)</f>
        <v>#N/A</v>
      </c>
      <c r="G1402" s="39" t="e">
        <f t="shared" si="2822"/>
        <v>#N/A</v>
      </c>
      <c r="H1402" s="16" t="e">
        <f t="shared" si="2822"/>
        <v>#N/A</v>
      </c>
      <c r="I1402" s="16" t="e">
        <f t="shared" si="2822"/>
        <v>#N/A</v>
      </c>
      <c r="J1402" s="40" t="e">
        <f t="shared" si="2822"/>
        <v>#N/A</v>
      </c>
      <c r="K1402" s="16" t="e">
        <f t="shared" si="2822"/>
        <v>#N/A</v>
      </c>
      <c r="L1402" s="40" t="e">
        <f t="shared" si="2421"/>
        <v>#N/A</v>
      </c>
      <c r="M1402" s="16" t="e">
        <f t="shared" si="2422"/>
        <v>#N/A</v>
      </c>
      <c r="N1402" s="16" t="e">
        <f t="shared" si="2423"/>
        <v>#N/A</v>
      </c>
      <c r="O1402" s="16" t="s">
        <v>68</v>
      </c>
      <c r="P1402" s="16" t="str">
        <f t="shared" si="6"/>
        <v/>
      </c>
      <c r="Q1402" s="41" t="e">
        <f t="shared" si="2424"/>
        <v>#N/A</v>
      </c>
      <c r="R1402" s="44"/>
      <c r="S1402" s="44"/>
      <c r="T1402" s="43"/>
      <c r="U1402" s="43" t="str">
        <f t="shared" si="8"/>
        <v>No</v>
      </c>
      <c r="V1402" s="25"/>
      <c r="W1402" s="25"/>
      <c r="X1402" s="25"/>
      <c r="Y1402" s="25"/>
      <c r="Z1402" s="25"/>
    </row>
    <row r="1403" spans="1:26" ht="15.75" customHeight="1" x14ac:dyDescent="0.25">
      <c r="A1403" s="25">
        <v>1401</v>
      </c>
      <c r="B1403" s="37" t="e">
        <f t="shared" ref="B1403:D1403" si="2823">VLOOKUP($A1403,[4]Cultura!$A$1:$O$276,B$1,0)</f>
        <v>#N/A</v>
      </c>
      <c r="C1403" s="38" t="e">
        <f t="shared" si="2823"/>
        <v>#N/A</v>
      </c>
      <c r="D1403" s="39" t="e">
        <f t="shared" si="2823"/>
        <v>#N/A</v>
      </c>
      <c r="E1403" s="16" t="e">
        <f t="shared" si="1"/>
        <v>#N/A</v>
      </c>
      <c r="F1403" s="16" t="e">
        <f t="shared" ref="F1403:K1403" si="2824">VLOOKUP($A1403,[4]Cultura!$A$1:$O$276,F$1,0)</f>
        <v>#N/A</v>
      </c>
      <c r="G1403" s="39" t="e">
        <f t="shared" si="2824"/>
        <v>#N/A</v>
      </c>
      <c r="H1403" s="16" t="e">
        <f t="shared" si="2824"/>
        <v>#N/A</v>
      </c>
      <c r="I1403" s="16" t="e">
        <f t="shared" si="2824"/>
        <v>#N/A</v>
      </c>
      <c r="J1403" s="40" t="e">
        <f t="shared" si="2824"/>
        <v>#N/A</v>
      </c>
      <c r="K1403" s="16" t="e">
        <f t="shared" si="2824"/>
        <v>#N/A</v>
      </c>
      <c r="L1403" s="40" t="e">
        <f t="shared" si="2421"/>
        <v>#N/A</v>
      </c>
      <c r="M1403" s="16" t="e">
        <f t="shared" si="2422"/>
        <v>#N/A</v>
      </c>
      <c r="N1403" s="16" t="e">
        <f t="shared" si="2423"/>
        <v>#N/A</v>
      </c>
      <c r="O1403" s="16" t="s">
        <v>68</v>
      </c>
      <c r="P1403" s="16" t="str">
        <f t="shared" si="6"/>
        <v/>
      </c>
      <c r="Q1403" s="41" t="e">
        <f t="shared" si="2424"/>
        <v>#N/A</v>
      </c>
      <c r="R1403" s="44"/>
      <c r="S1403" s="44"/>
      <c r="T1403" s="43"/>
      <c r="U1403" s="43" t="str">
        <f t="shared" si="8"/>
        <v>No</v>
      </c>
      <c r="V1403" s="25"/>
      <c r="W1403" s="25"/>
      <c r="X1403" s="25"/>
      <c r="Y1403" s="25"/>
      <c r="Z1403" s="25"/>
    </row>
    <row r="1404" spans="1:26" ht="15.75" customHeight="1" x14ac:dyDescent="0.25">
      <c r="A1404" s="25">
        <v>1402</v>
      </c>
      <c r="B1404" s="37" t="e">
        <f t="shared" ref="B1404:D1404" si="2825">VLOOKUP($A1404,[4]Cultura!$A$1:$O$276,B$1,0)</f>
        <v>#N/A</v>
      </c>
      <c r="C1404" s="38" t="e">
        <f t="shared" si="2825"/>
        <v>#N/A</v>
      </c>
      <c r="D1404" s="39" t="e">
        <f t="shared" si="2825"/>
        <v>#N/A</v>
      </c>
      <c r="E1404" s="16" t="e">
        <f t="shared" si="1"/>
        <v>#N/A</v>
      </c>
      <c r="F1404" s="16" t="e">
        <f t="shared" ref="F1404:K1404" si="2826">VLOOKUP($A1404,[4]Cultura!$A$1:$O$276,F$1,0)</f>
        <v>#N/A</v>
      </c>
      <c r="G1404" s="39" t="e">
        <f t="shared" si="2826"/>
        <v>#N/A</v>
      </c>
      <c r="H1404" s="16" t="e">
        <f t="shared" si="2826"/>
        <v>#N/A</v>
      </c>
      <c r="I1404" s="16" t="e">
        <f t="shared" si="2826"/>
        <v>#N/A</v>
      </c>
      <c r="J1404" s="40" t="e">
        <f t="shared" si="2826"/>
        <v>#N/A</v>
      </c>
      <c r="K1404" s="16" t="e">
        <f t="shared" si="2826"/>
        <v>#N/A</v>
      </c>
      <c r="L1404" s="40" t="e">
        <f t="shared" si="2421"/>
        <v>#N/A</v>
      </c>
      <c r="M1404" s="16" t="e">
        <f t="shared" si="2422"/>
        <v>#N/A</v>
      </c>
      <c r="N1404" s="16" t="e">
        <f t="shared" si="2423"/>
        <v>#N/A</v>
      </c>
      <c r="O1404" s="16" t="s">
        <v>68</v>
      </c>
      <c r="P1404" s="16" t="str">
        <f t="shared" si="6"/>
        <v/>
      </c>
      <c r="Q1404" s="41" t="e">
        <f t="shared" si="2424"/>
        <v>#N/A</v>
      </c>
      <c r="R1404" s="44"/>
      <c r="S1404" s="44"/>
      <c r="T1404" s="43"/>
      <c r="U1404" s="43" t="str">
        <f t="shared" si="8"/>
        <v>No</v>
      </c>
      <c r="V1404" s="25"/>
      <c r="W1404" s="25"/>
      <c r="X1404" s="25"/>
      <c r="Y1404" s="25"/>
      <c r="Z1404" s="25"/>
    </row>
    <row r="1405" spans="1:26" ht="15.75" customHeight="1" x14ac:dyDescent="0.25">
      <c r="A1405" s="25">
        <v>1403</v>
      </c>
      <c r="B1405" s="37" t="e">
        <f t="shared" ref="B1405:D1405" si="2827">VLOOKUP($A1405,[4]Cultura!$A$1:$O$276,B$1,0)</f>
        <v>#N/A</v>
      </c>
      <c r="C1405" s="38" t="e">
        <f t="shared" si="2827"/>
        <v>#N/A</v>
      </c>
      <c r="D1405" s="39" t="e">
        <f t="shared" si="2827"/>
        <v>#N/A</v>
      </c>
      <c r="E1405" s="16" t="e">
        <f t="shared" si="1"/>
        <v>#N/A</v>
      </c>
      <c r="F1405" s="16" t="e">
        <f t="shared" ref="F1405:K1405" si="2828">VLOOKUP($A1405,[4]Cultura!$A$1:$O$276,F$1,0)</f>
        <v>#N/A</v>
      </c>
      <c r="G1405" s="39" t="e">
        <f t="shared" si="2828"/>
        <v>#N/A</v>
      </c>
      <c r="H1405" s="16" t="e">
        <f t="shared" si="2828"/>
        <v>#N/A</v>
      </c>
      <c r="I1405" s="16" t="e">
        <f t="shared" si="2828"/>
        <v>#N/A</v>
      </c>
      <c r="J1405" s="40" t="e">
        <f t="shared" si="2828"/>
        <v>#N/A</v>
      </c>
      <c r="K1405" s="16" t="e">
        <f t="shared" si="2828"/>
        <v>#N/A</v>
      </c>
      <c r="L1405" s="40" t="e">
        <f t="shared" si="2421"/>
        <v>#N/A</v>
      </c>
      <c r="M1405" s="16" t="e">
        <f t="shared" si="2422"/>
        <v>#N/A</v>
      </c>
      <c r="N1405" s="16" t="e">
        <f t="shared" si="2423"/>
        <v>#N/A</v>
      </c>
      <c r="O1405" s="16" t="s">
        <v>68</v>
      </c>
      <c r="P1405" s="16" t="str">
        <f t="shared" si="6"/>
        <v/>
      </c>
      <c r="Q1405" s="41" t="e">
        <f t="shared" si="2424"/>
        <v>#N/A</v>
      </c>
      <c r="R1405" s="44"/>
      <c r="S1405" s="44"/>
      <c r="T1405" s="43"/>
      <c r="U1405" s="43" t="str">
        <f t="shared" si="8"/>
        <v>No</v>
      </c>
      <c r="V1405" s="25"/>
      <c r="W1405" s="25"/>
      <c r="X1405" s="25"/>
      <c r="Y1405" s="25"/>
      <c r="Z1405" s="25"/>
    </row>
    <row r="1406" spans="1:26" ht="15.75" customHeight="1" x14ac:dyDescent="0.25">
      <c r="A1406" s="25">
        <v>1404</v>
      </c>
      <c r="B1406" s="37" t="e">
        <f t="shared" ref="B1406:D1406" si="2829">VLOOKUP($A1406,[4]Cultura!$A$1:$O$276,B$1,0)</f>
        <v>#N/A</v>
      </c>
      <c r="C1406" s="38" t="e">
        <f t="shared" si="2829"/>
        <v>#N/A</v>
      </c>
      <c r="D1406" s="39" t="e">
        <f t="shared" si="2829"/>
        <v>#N/A</v>
      </c>
      <c r="E1406" s="16" t="e">
        <f t="shared" si="1"/>
        <v>#N/A</v>
      </c>
      <c r="F1406" s="16" t="e">
        <f t="shared" ref="F1406:K1406" si="2830">VLOOKUP($A1406,[4]Cultura!$A$1:$O$276,F$1,0)</f>
        <v>#N/A</v>
      </c>
      <c r="G1406" s="39" t="e">
        <f t="shared" si="2830"/>
        <v>#N/A</v>
      </c>
      <c r="H1406" s="16" t="e">
        <f t="shared" si="2830"/>
        <v>#N/A</v>
      </c>
      <c r="I1406" s="16" t="e">
        <f t="shared" si="2830"/>
        <v>#N/A</v>
      </c>
      <c r="J1406" s="40" t="e">
        <f t="shared" si="2830"/>
        <v>#N/A</v>
      </c>
      <c r="K1406" s="16" t="e">
        <f t="shared" si="2830"/>
        <v>#N/A</v>
      </c>
      <c r="L1406" s="40" t="e">
        <f t="shared" si="2421"/>
        <v>#N/A</v>
      </c>
      <c r="M1406" s="16" t="e">
        <f t="shared" si="2422"/>
        <v>#N/A</v>
      </c>
      <c r="N1406" s="16" t="e">
        <f t="shared" si="2423"/>
        <v>#N/A</v>
      </c>
      <c r="O1406" s="16" t="s">
        <v>68</v>
      </c>
      <c r="P1406" s="16" t="str">
        <f t="shared" si="6"/>
        <v/>
      </c>
      <c r="Q1406" s="41" t="e">
        <f t="shared" si="2424"/>
        <v>#N/A</v>
      </c>
      <c r="R1406" s="44"/>
      <c r="S1406" s="44"/>
      <c r="T1406" s="43"/>
      <c r="U1406" s="43" t="str">
        <f t="shared" si="8"/>
        <v>No</v>
      </c>
      <c r="V1406" s="25"/>
      <c r="W1406" s="25"/>
      <c r="X1406" s="25"/>
      <c r="Y1406" s="25"/>
      <c r="Z1406" s="25"/>
    </row>
    <row r="1407" spans="1:26" ht="15.75" customHeight="1" x14ac:dyDescent="0.25">
      <c r="A1407" s="25">
        <v>1405</v>
      </c>
      <c r="B1407" s="37" t="e">
        <f t="shared" ref="B1407:D1407" si="2831">VLOOKUP($A1407,[4]Cultura!$A$1:$O$276,B$1,0)</f>
        <v>#N/A</v>
      </c>
      <c r="C1407" s="38" t="e">
        <f t="shared" si="2831"/>
        <v>#N/A</v>
      </c>
      <c r="D1407" s="39" t="e">
        <f t="shared" si="2831"/>
        <v>#N/A</v>
      </c>
      <c r="E1407" s="16" t="e">
        <f t="shared" si="1"/>
        <v>#N/A</v>
      </c>
      <c r="F1407" s="16" t="e">
        <f t="shared" ref="F1407:K1407" si="2832">VLOOKUP($A1407,[4]Cultura!$A$1:$O$276,F$1,0)</f>
        <v>#N/A</v>
      </c>
      <c r="G1407" s="39" t="e">
        <f t="shared" si="2832"/>
        <v>#N/A</v>
      </c>
      <c r="H1407" s="16" t="e">
        <f t="shared" si="2832"/>
        <v>#N/A</v>
      </c>
      <c r="I1407" s="16" t="e">
        <f t="shared" si="2832"/>
        <v>#N/A</v>
      </c>
      <c r="J1407" s="40" t="e">
        <f t="shared" si="2832"/>
        <v>#N/A</v>
      </c>
      <c r="K1407" s="16" t="e">
        <f t="shared" si="2832"/>
        <v>#N/A</v>
      </c>
      <c r="L1407" s="40" t="e">
        <f t="shared" si="2421"/>
        <v>#N/A</v>
      </c>
      <c r="M1407" s="16" t="e">
        <f t="shared" si="2422"/>
        <v>#N/A</v>
      </c>
      <c r="N1407" s="16" t="e">
        <f t="shared" si="2423"/>
        <v>#N/A</v>
      </c>
      <c r="O1407" s="16" t="s">
        <v>68</v>
      </c>
      <c r="P1407" s="16" t="str">
        <f t="shared" si="6"/>
        <v/>
      </c>
      <c r="Q1407" s="41" t="e">
        <f t="shared" si="2424"/>
        <v>#N/A</v>
      </c>
      <c r="R1407" s="44"/>
      <c r="S1407" s="44"/>
      <c r="T1407" s="43"/>
      <c r="U1407" s="43" t="str">
        <f t="shared" si="8"/>
        <v>No</v>
      </c>
      <c r="V1407" s="25"/>
      <c r="W1407" s="25"/>
      <c r="X1407" s="25"/>
      <c r="Y1407" s="25"/>
      <c r="Z1407" s="25"/>
    </row>
    <row r="1408" spans="1:26" ht="15.75" customHeight="1" x14ac:dyDescent="0.25">
      <c r="A1408" s="25">
        <v>1406</v>
      </c>
      <c r="B1408" s="37" t="e">
        <f t="shared" ref="B1408:D1408" si="2833">VLOOKUP($A1408,[4]Cultura!$A$1:$O$276,B$1,0)</f>
        <v>#N/A</v>
      </c>
      <c r="C1408" s="38" t="e">
        <f t="shared" si="2833"/>
        <v>#N/A</v>
      </c>
      <c r="D1408" s="39" t="e">
        <f t="shared" si="2833"/>
        <v>#N/A</v>
      </c>
      <c r="E1408" s="16" t="e">
        <f t="shared" si="1"/>
        <v>#N/A</v>
      </c>
      <c r="F1408" s="16" t="e">
        <f t="shared" ref="F1408:K1408" si="2834">VLOOKUP($A1408,[4]Cultura!$A$1:$O$276,F$1,0)</f>
        <v>#N/A</v>
      </c>
      <c r="G1408" s="39" t="e">
        <f t="shared" si="2834"/>
        <v>#N/A</v>
      </c>
      <c r="H1408" s="16" t="e">
        <f t="shared" si="2834"/>
        <v>#N/A</v>
      </c>
      <c r="I1408" s="16" t="e">
        <f t="shared" si="2834"/>
        <v>#N/A</v>
      </c>
      <c r="J1408" s="40" t="e">
        <f t="shared" si="2834"/>
        <v>#N/A</v>
      </c>
      <c r="K1408" s="16" t="e">
        <f t="shared" si="2834"/>
        <v>#N/A</v>
      </c>
      <c r="L1408" s="40" t="e">
        <f t="shared" si="2421"/>
        <v>#N/A</v>
      </c>
      <c r="M1408" s="16" t="e">
        <f t="shared" si="2422"/>
        <v>#N/A</v>
      </c>
      <c r="N1408" s="16" t="e">
        <f t="shared" si="2423"/>
        <v>#N/A</v>
      </c>
      <c r="O1408" s="16" t="s">
        <v>68</v>
      </c>
      <c r="P1408" s="16" t="str">
        <f t="shared" si="6"/>
        <v/>
      </c>
      <c r="Q1408" s="41" t="e">
        <f t="shared" si="2424"/>
        <v>#N/A</v>
      </c>
      <c r="R1408" s="44"/>
      <c r="S1408" s="44"/>
      <c r="T1408" s="43"/>
      <c r="U1408" s="43" t="str">
        <f t="shared" si="8"/>
        <v>No</v>
      </c>
      <c r="V1408" s="25"/>
      <c r="W1408" s="25"/>
      <c r="X1408" s="25"/>
      <c r="Y1408" s="25"/>
      <c r="Z1408" s="25"/>
    </row>
    <row r="1409" spans="1:26" ht="15.75" customHeight="1" x14ac:dyDescent="0.25">
      <c r="A1409" s="25">
        <v>1407</v>
      </c>
      <c r="B1409" s="37" t="e">
        <f t="shared" ref="B1409:D1409" si="2835">VLOOKUP($A1409,[4]Cultura!$A$1:$O$276,B$1,0)</f>
        <v>#N/A</v>
      </c>
      <c r="C1409" s="38" t="e">
        <f t="shared" si="2835"/>
        <v>#N/A</v>
      </c>
      <c r="D1409" s="39" t="e">
        <f t="shared" si="2835"/>
        <v>#N/A</v>
      </c>
      <c r="E1409" s="16" t="e">
        <f t="shared" si="1"/>
        <v>#N/A</v>
      </c>
      <c r="F1409" s="16" t="e">
        <f t="shared" ref="F1409:K1409" si="2836">VLOOKUP($A1409,[4]Cultura!$A$1:$O$276,F$1,0)</f>
        <v>#N/A</v>
      </c>
      <c r="G1409" s="39" t="e">
        <f t="shared" si="2836"/>
        <v>#N/A</v>
      </c>
      <c r="H1409" s="16" t="e">
        <f t="shared" si="2836"/>
        <v>#N/A</v>
      </c>
      <c r="I1409" s="16" t="e">
        <f t="shared" si="2836"/>
        <v>#N/A</v>
      </c>
      <c r="J1409" s="40" t="e">
        <f t="shared" si="2836"/>
        <v>#N/A</v>
      </c>
      <c r="K1409" s="16" t="e">
        <f t="shared" si="2836"/>
        <v>#N/A</v>
      </c>
      <c r="L1409" s="40" t="e">
        <f t="shared" si="2421"/>
        <v>#N/A</v>
      </c>
      <c r="M1409" s="16" t="e">
        <f t="shared" si="2422"/>
        <v>#N/A</v>
      </c>
      <c r="N1409" s="16" t="e">
        <f t="shared" si="2423"/>
        <v>#N/A</v>
      </c>
      <c r="O1409" s="16" t="s">
        <v>68</v>
      </c>
      <c r="P1409" s="16" t="str">
        <f t="shared" si="6"/>
        <v/>
      </c>
      <c r="Q1409" s="41" t="e">
        <f t="shared" si="2424"/>
        <v>#N/A</v>
      </c>
      <c r="R1409" s="44"/>
      <c r="S1409" s="44"/>
      <c r="T1409" s="43"/>
      <c r="U1409" s="43" t="str">
        <f t="shared" si="8"/>
        <v>No</v>
      </c>
      <c r="V1409" s="25"/>
      <c r="W1409" s="25"/>
      <c r="X1409" s="25"/>
      <c r="Y1409" s="25"/>
      <c r="Z1409" s="25"/>
    </row>
    <row r="1410" spans="1:26" ht="15.75" customHeight="1" x14ac:dyDescent="0.25">
      <c r="A1410" s="25">
        <v>1408</v>
      </c>
      <c r="B1410" s="37" t="e">
        <f t="shared" ref="B1410:D1410" si="2837">VLOOKUP($A1410,[4]Cultura!$A$1:$O$276,B$1,0)</f>
        <v>#N/A</v>
      </c>
      <c r="C1410" s="38" t="e">
        <f t="shared" si="2837"/>
        <v>#N/A</v>
      </c>
      <c r="D1410" s="39" t="e">
        <f t="shared" si="2837"/>
        <v>#N/A</v>
      </c>
      <c r="E1410" s="16" t="e">
        <f t="shared" si="1"/>
        <v>#N/A</v>
      </c>
      <c r="F1410" s="16" t="e">
        <f t="shared" ref="F1410:K1410" si="2838">VLOOKUP($A1410,[4]Cultura!$A$1:$O$276,F$1,0)</f>
        <v>#N/A</v>
      </c>
      <c r="G1410" s="39" t="e">
        <f t="shared" si="2838"/>
        <v>#N/A</v>
      </c>
      <c r="H1410" s="16" t="e">
        <f t="shared" si="2838"/>
        <v>#N/A</v>
      </c>
      <c r="I1410" s="16" t="e">
        <f t="shared" si="2838"/>
        <v>#N/A</v>
      </c>
      <c r="J1410" s="40" t="e">
        <f t="shared" si="2838"/>
        <v>#N/A</v>
      </c>
      <c r="K1410" s="16" t="e">
        <f t="shared" si="2838"/>
        <v>#N/A</v>
      </c>
      <c r="L1410" s="40" t="e">
        <f t="shared" si="2421"/>
        <v>#N/A</v>
      </c>
      <c r="M1410" s="16" t="e">
        <f t="shared" si="2422"/>
        <v>#N/A</v>
      </c>
      <c r="N1410" s="16" t="e">
        <f t="shared" si="2423"/>
        <v>#N/A</v>
      </c>
      <c r="O1410" s="16" t="s">
        <v>68</v>
      </c>
      <c r="P1410" s="16" t="str">
        <f t="shared" si="6"/>
        <v/>
      </c>
      <c r="Q1410" s="41" t="e">
        <f t="shared" si="2424"/>
        <v>#N/A</v>
      </c>
      <c r="R1410" s="44"/>
      <c r="S1410" s="44"/>
      <c r="T1410" s="43"/>
      <c r="U1410" s="43" t="str">
        <f t="shared" si="8"/>
        <v>No</v>
      </c>
      <c r="V1410" s="25"/>
      <c r="W1410" s="25"/>
      <c r="X1410" s="25"/>
      <c r="Y1410" s="25"/>
      <c r="Z1410" s="25"/>
    </row>
    <row r="1411" spans="1:26" ht="15.75" customHeight="1" x14ac:dyDescent="0.25">
      <c r="A1411" s="25">
        <v>1409</v>
      </c>
      <c r="B1411" s="37" t="e">
        <f t="shared" ref="B1411:D1411" si="2839">VLOOKUP($A1411,[4]Cultura!$A$1:$O$276,B$1,0)</f>
        <v>#N/A</v>
      </c>
      <c r="C1411" s="38" t="e">
        <f t="shared" si="2839"/>
        <v>#N/A</v>
      </c>
      <c r="D1411" s="39" t="e">
        <f t="shared" si="2839"/>
        <v>#N/A</v>
      </c>
      <c r="E1411" s="16" t="e">
        <f t="shared" si="1"/>
        <v>#N/A</v>
      </c>
      <c r="F1411" s="16" t="e">
        <f t="shared" ref="F1411:K1411" si="2840">VLOOKUP($A1411,[4]Cultura!$A$1:$O$276,F$1,0)</f>
        <v>#N/A</v>
      </c>
      <c r="G1411" s="39" t="e">
        <f t="shared" si="2840"/>
        <v>#N/A</v>
      </c>
      <c r="H1411" s="16" t="e">
        <f t="shared" si="2840"/>
        <v>#N/A</v>
      </c>
      <c r="I1411" s="16" t="e">
        <f t="shared" si="2840"/>
        <v>#N/A</v>
      </c>
      <c r="J1411" s="40" t="e">
        <f t="shared" si="2840"/>
        <v>#N/A</v>
      </c>
      <c r="K1411" s="16" t="e">
        <f t="shared" si="2840"/>
        <v>#N/A</v>
      </c>
      <c r="L1411" s="40" t="e">
        <f t="shared" si="2421"/>
        <v>#N/A</v>
      </c>
      <c r="M1411" s="16" t="e">
        <f t="shared" si="2422"/>
        <v>#N/A</v>
      </c>
      <c r="N1411" s="16" t="e">
        <f t="shared" si="2423"/>
        <v>#N/A</v>
      </c>
      <c r="O1411" s="16" t="s">
        <v>68</v>
      </c>
      <c r="P1411" s="16" t="str">
        <f t="shared" si="6"/>
        <v/>
      </c>
      <c r="Q1411" s="41" t="e">
        <f t="shared" si="2424"/>
        <v>#N/A</v>
      </c>
      <c r="R1411" s="44"/>
      <c r="S1411" s="44"/>
      <c r="T1411" s="43"/>
      <c r="U1411" s="43" t="str">
        <f t="shared" si="8"/>
        <v>No</v>
      </c>
      <c r="V1411" s="25"/>
      <c r="W1411" s="25"/>
      <c r="X1411" s="25"/>
      <c r="Y1411" s="25"/>
      <c r="Z1411" s="25"/>
    </row>
    <row r="1412" spans="1:26" ht="15.75" customHeight="1" x14ac:dyDescent="0.25">
      <c r="A1412" s="25">
        <v>1410</v>
      </c>
      <c r="B1412" s="37" t="e">
        <f t="shared" ref="B1412:D1412" si="2841">VLOOKUP($A1412,[4]Cultura!$A$1:$O$276,B$1,0)</f>
        <v>#N/A</v>
      </c>
      <c r="C1412" s="38" t="e">
        <f t="shared" si="2841"/>
        <v>#N/A</v>
      </c>
      <c r="D1412" s="39" t="e">
        <f t="shared" si="2841"/>
        <v>#N/A</v>
      </c>
      <c r="E1412" s="16" t="e">
        <f t="shared" si="1"/>
        <v>#N/A</v>
      </c>
      <c r="F1412" s="16" t="e">
        <f t="shared" ref="F1412:K1412" si="2842">VLOOKUP($A1412,[4]Cultura!$A$1:$O$276,F$1,0)</f>
        <v>#N/A</v>
      </c>
      <c r="G1412" s="39" t="e">
        <f t="shared" si="2842"/>
        <v>#N/A</v>
      </c>
      <c r="H1412" s="16" t="e">
        <f t="shared" si="2842"/>
        <v>#N/A</v>
      </c>
      <c r="I1412" s="16" t="e">
        <f t="shared" si="2842"/>
        <v>#N/A</v>
      </c>
      <c r="J1412" s="40" t="e">
        <f t="shared" si="2842"/>
        <v>#N/A</v>
      </c>
      <c r="K1412" s="16" t="e">
        <f t="shared" si="2842"/>
        <v>#N/A</v>
      </c>
      <c r="L1412" s="40" t="e">
        <f t="shared" si="2421"/>
        <v>#N/A</v>
      </c>
      <c r="M1412" s="16" t="e">
        <f t="shared" si="2422"/>
        <v>#N/A</v>
      </c>
      <c r="N1412" s="16" t="e">
        <f t="shared" si="2423"/>
        <v>#N/A</v>
      </c>
      <c r="O1412" s="16" t="s">
        <v>68</v>
      </c>
      <c r="P1412" s="16" t="str">
        <f t="shared" si="6"/>
        <v/>
      </c>
      <c r="Q1412" s="41" t="e">
        <f t="shared" si="2424"/>
        <v>#N/A</v>
      </c>
      <c r="R1412" s="44"/>
      <c r="S1412" s="44"/>
      <c r="T1412" s="43"/>
      <c r="U1412" s="43" t="str">
        <f t="shared" si="8"/>
        <v>No</v>
      </c>
      <c r="V1412" s="25"/>
      <c r="W1412" s="25"/>
      <c r="X1412" s="25"/>
      <c r="Y1412" s="25"/>
      <c r="Z1412" s="25"/>
    </row>
    <row r="1413" spans="1:26" ht="15.75" customHeight="1" x14ac:dyDescent="0.25">
      <c r="A1413" s="25">
        <v>1411</v>
      </c>
      <c r="B1413" s="37" t="e">
        <f t="shared" ref="B1413:D1413" si="2843">VLOOKUP($A1413,[4]Cultura!$A$1:$O$276,B$1,0)</f>
        <v>#N/A</v>
      </c>
      <c r="C1413" s="38" t="e">
        <f t="shared" si="2843"/>
        <v>#N/A</v>
      </c>
      <c r="D1413" s="39" t="e">
        <f t="shared" si="2843"/>
        <v>#N/A</v>
      </c>
      <c r="E1413" s="16" t="e">
        <f t="shared" si="1"/>
        <v>#N/A</v>
      </c>
      <c r="F1413" s="16" t="e">
        <f t="shared" ref="F1413:K1413" si="2844">VLOOKUP($A1413,[4]Cultura!$A$1:$O$276,F$1,0)</f>
        <v>#N/A</v>
      </c>
      <c r="G1413" s="39" t="e">
        <f t="shared" si="2844"/>
        <v>#N/A</v>
      </c>
      <c r="H1413" s="16" t="e">
        <f t="shared" si="2844"/>
        <v>#N/A</v>
      </c>
      <c r="I1413" s="16" t="e">
        <f t="shared" si="2844"/>
        <v>#N/A</v>
      </c>
      <c r="J1413" s="40" t="e">
        <f t="shared" si="2844"/>
        <v>#N/A</v>
      </c>
      <c r="K1413" s="16" t="e">
        <f t="shared" si="2844"/>
        <v>#N/A</v>
      </c>
      <c r="L1413" s="40" t="e">
        <f t="shared" si="2421"/>
        <v>#N/A</v>
      </c>
      <c r="M1413" s="16" t="e">
        <f t="shared" si="2422"/>
        <v>#N/A</v>
      </c>
      <c r="N1413" s="16" t="e">
        <f t="shared" si="2423"/>
        <v>#N/A</v>
      </c>
      <c r="O1413" s="16" t="s">
        <v>68</v>
      </c>
      <c r="P1413" s="16" t="str">
        <f t="shared" si="6"/>
        <v/>
      </c>
      <c r="Q1413" s="41" t="e">
        <f t="shared" si="2424"/>
        <v>#N/A</v>
      </c>
      <c r="R1413" s="44"/>
      <c r="S1413" s="44"/>
      <c r="T1413" s="43"/>
      <c r="U1413" s="43" t="str">
        <f t="shared" si="8"/>
        <v>No</v>
      </c>
      <c r="V1413" s="25"/>
      <c r="W1413" s="25"/>
      <c r="X1413" s="25"/>
      <c r="Y1413" s="25"/>
      <c r="Z1413" s="25"/>
    </row>
    <row r="1414" spans="1:26" ht="15.75" customHeight="1" x14ac:dyDescent="0.25">
      <c r="A1414" s="25">
        <v>1412</v>
      </c>
      <c r="B1414" s="37" t="e">
        <f t="shared" ref="B1414:D1414" si="2845">VLOOKUP($A1414,[4]Cultura!$A$1:$O$276,B$1,0)</f>
        <v>#N/A</v>
      </c>
      <c r="C1414" s="38" t="e">
        <f t="shared" si="2845"/>
        <v>#N/A</v>
      </c>
      <c r="D1414" s="39" t="e">
        <f t="shared" si="2845"/>
        <v>#N/A</v>
      </c>
      <c r="E1414" s="16" t="e">
        <f t="shared" si="1"/>
        <v>#N/A</v>
      </c>
      <c r="F1414" s="16" t="e">
        <f t="shared" ref="F1414:K1414" si="2846">VLOOKUP($A1414,[4]Cultura!$A$1:$O$276,F$1,0)</f>
        <v>#N/A</v>
      </c>
      <c r="G1414" s="39" t="e">
        <f t="shared" si="2846"/>
        <v>#N/A</v>
      </c>
      <c r="H1414" s="16" t="e">
        <f t="shared" si="2846"/>
        <v>#N/A</v>
      </c>
      <c r="I1414" s="16" t="e">
        <f t="shared" si="2846"/>
        <v>#N/A</v>
      </c>
      <c r="J1414" s="40" t="e">
        <f t="shared" si="2846"/>
        <v>#N/A</v>
      </c>
      <c r="K1414" s="16" t="e">
        <f t="shared" si="2846"/>
        <v>#N/A</v>
      </c>
      <c r="L1414" s="40" t="e">
        <f t="shared" si="2421"/>
        <v>#N/A</v>
      </c>
      <c r="M1414" s="16" t="e">
        <f t="shared" si="2422"/>
        <v>#N/A</v>
      </c>
      <c r="N1414" s="16" t="e">
        <f t="shared" si="2423"/>
        <v>#N/A</v>
      </c>
      <c r="O1414" s="16" t="s">
        <v>68</v>
      </c>
      <c r="P1414" s="16" t="str">
        <f t="shared" si="6"/>
        <v/>
      </c>
      <c r="Q1414" s="41" t="e">
        <f t="shared" si="2424"/>
        <v>#N/A</v>
      </c>
      <c r="R1414" s="44"/>
      <c r="S1414" s="44"/>
      <c r="T1414" s="43"/>
      <c r="U1414" s="43" t="str">
        <f t="shared" si="8"/>
        <v>No</v>
      </c>
      <c r="V1414" s="25"/>
      <c r="W1414" s="25"/>
      <c r="X1414" s="25"/>
      <c r="Y1414" s="25"/>
      <c r="Z1414" s="25"/>
    </row>
    <row r="1415" spans="1:26" ht="15.75" customHeight="1" x14ac:dyDescent="0.25">
      <c r="A1415" s="25">
        <v>1413</v>
      </c>
      <c r="B1415" s="37" t="e">
        <f t="shared" ref="B1415:D1415" si="2847">VLOOKUP($A1415,[4]Cultura!$A$1:$O$276,B$1,0)</f>
        <v>#N/A</v>
      </c>
      <c r="C1415" s="38" t="e">
        <f t="shared" si="2847"/>
        <v>#N/A</v>
      </c>
      <c r="D1415" s="39" t="e">
        <f t="shared" si="2847"/>
        <v>#N/A</v>
      </c>
      <c r="E1415" s="16" t="e">
        <f t="shared" si="1"/>
        <v>#N/A</v>
      </c>
      <c r="F1415" s="16" t="e">
        <f t="shared" ref="F1415:K1415" si="2848">VLOOKUP($A1415,[4]Cultura!$A$1:$O$276,F$1,0)</f>
        <v>#N/A</v>
      </c>
      <c r="G1415" s="39" t="e">
        <f t="shared" si="2848"/>
        <v>#N/A</v>
      </c>
      <c r="H1415" s="16" t="e">
        <f t="shared" si="2848"/>
        <v>#N/A</v>
      </c>
      <c r="I1415" s="16" t="e">
        <f t="shared" si="2848"/>
        <v>#N/A</v>
      </c>
      <c r="J1415" s="40" t="e">
        <f t="shared" si="2848"/>
        <v>#N/A</v>
      </c>
      <c r="K1415" s="16" t="e">
        <f t="shared" si="2848"/>
        <v>#N/A</v>
      </c>
      <c r="L1415" s="40" t="e">
        <f t="shared" si="2421"/>
        <v>#N/A</v>
      </c>
      <c r="M1415" s="16" t="e">
        <f t="shared" si="2422"/>
        <v>#N/A</v>
      </c>
      <c r="N1415" s="16" t="e">
        <f t="shared" si="2423"/>
        <v>#N/A</v>
      </c>
      <c r="O1415" s="16" t="s">
        <v>68</v>
      </c>
      <c r="P1415" s="16" t="str">
        <f t="shared" si="6"/>
        <v/>
      </c>
      <c r="Q1415" s="41" t="e">
        <f t="shared" si="2424"/>
        <v>#N/A</v>
      </c>
      <c r="R1415" s="44"/>
      <c r="S1415" s="44"/>
      <c r="T1415" s="43"/>
      <c r="U1415" s="43" t="str">
        <f t="shared" si="8"/>
        <v>No</v>
      </c>
      <c r="V1415" s="25"/>
      <c r="W1415" s="25"/>
      <c r="X1415" s="25"/>
      <c r="Y1415" s="25"/>
      <c r="Z1415" s="25"/>
    </row>
    <row r="1416" spans="1:26" ht="15.75" customHeight="1" x14ac:dyDescent="0.25">
      <c r="A1416" s="25">
        <v>1414</v>
      </c>
      <c r="B1416" s="37" t="e">
        <f t="shared" ref="B1416:D1416" si="2849">VLOOKUP($A1416,[4]Cultura!$A$1:$O$276,B$1,0)</f>
        <v>#N/A</v>
      </c>
      <c r="C1416" s="38" t="e">
        <f t="shared" si="2849"/>
        <v>#N/A</v>
      </c>
      <c r="D1416" s="39" t="e">
        <f t="shared" si="2849"/>
        <v>#N/A</v>
      </c>
      <c r="E1416" s="16" t="e">
        <f t="shared" si="1"/>
        <v>#N/A</v>
      </c>
      <c r="F1416" s="16" t="e">
        <f t="shared" ref="F1416:K1416" si="2850">VLOOKUP($A1416,[4]Cultura!$A$1:$O$276,F$1,0)</f>
        <v>#N/A</v>
      </c>
      <c r="G1416" s="39" t="e">
        <f t="shared" si="2850"/>
        <v>#N/A</v>
      </c>
      <c r="H1416" s="16" t="e">
        <f t="shared" si="2850"/>
        <v>#N/A</v>
      </c>
      <c r="I1416" s="16" t="e">
        <f t="shared" si="2850"/>
        <v>#N/A</v>
      </c>
      <c r="J1416" s="40" t="e">
        <f t="shared" si="2850"/>
        <v>#N/A</v>
      </c>
      <c r="K1416" s="16" t="e">
        <f t="shared" si="2850"/>
        <v>#N/A</v>
      </c>
      <c r="L1416" s="40" t="e">
        <f t="shared" si="2421"/>
        <v>#N/A</v>
      </c>
      <c r="M1416" s="16" t="e">
        <f t="shared" si="2422"/>
        <v>#N/A</v>
      </c>
      <c r="N1416" s="16" t="e">
        <f t="shared" si="2423"/>
        <v>#N/A</v>
      </c>
      <c r="O1416" s="16" t="s">
        <v>68</v>
      </c>
      <c r="P1416" s="16" t="str">
        <f t="shared" si="6"/>
        <v/>
      </c>
      <c r="Q1416" s="41" t="e">
        <f t="shared" si="2424"/>
        <v>#N/A</v>
      </c>
      <c r="R1416" s="44"/>
      <c r="S1416" s="44"/>
      <c r="T1416" s="43"/>
      <c r="U1416" s="43" t="str">
        <f t="shared" si="8"/>
        <v>No</v>
      </c>
      <c r="V1416" s="25"/>
      <c r="W1416" s="25"/>
      <c r="X1416" s="25"/>
      <c r="Y1416" s="25"/>
      <c r="Z1416" s="25"/>
    </row>
    <row r="1417" spans="1:26" ht="15.75" customHeight="1" x14ac:dyDescent="0.25">
      <c r="A1417" s="25">
        <v>1415</v>
      </c>
      <c r="B1417" s="37" t="e">
        <f t="shared" ref="B1417:D1417" si="2851">VLOOKUP($A1417,[4]Cultura!$A$1:$O$276,B$1,0)</f>
        <v>#N/A</v>
      </c>
      <c r="C1417" s="38" t="e">
        <f t="shared" si="2851"/>
        <v>#N/A</v>
      </c>
      <c r="D1417" s="39" t="e">
        <f t="shared" si="2851"/>
        <v>#N/A</v>
      </c>
      <c r="E1417" s="16" t="e">
        <f t="shared" si="1"/>
        <v>#N/A</v>
      </c>
      <c r="F1417" s="16" t="e">
        <f t="shared" ref="F1417:K1417" si="2852">VLOOKUP($A1417,[4]Cultura!$A$1:$O$276,F$1,0)</f>
        <v>#N/A</v>
      </c>
      <c r="G1417" s="39" t="e">
        <f t="shared" si="2852"/>
        <v>#N/A</v>
      </c>
      <c r="H1417" s="16" t="e">
        <f t="shared" si="2852"/>
        <v>#N/A</v>
      </c>
      <c r="I1417" s="16" t="e">
        <f t="shared" si="2852"/>
        <v>#N/A</v>
      </c>
      <c r="J1417" s="40" t="e">
        <f t="shared" si="2852"/>
        <v>#N/A</v>
      </c>
      <c r="K1417" s="16" t="e">
        <f t="shared" si="2852"/>
        <v>#N/A</v>
      </c>
      <c r="L1417" s="40" t="e">
        <f t="shared" si="2421"/>
        <v>#N/A</v>
      </c>
      <c r="M1417" s="16" t="e">
        <f t="shared" si="2422"/>
        <v>#N/A</v>
      </c>
      <c r="N1417" s="16" t="e">
        <f t="shared" si="2423"/>
        <v>#N/A</v>
      </c>
      <c r="O1417" s="16" t="s">
        <v>68</v>
      </c>
      <c r="P1417" s="16" t="str">
        <f t="shared" si="6"/>
        <v/>
      </c>
      <c r="Q1417" s="41" t="e">
        <f t="shared" si="2424"/>
        <v>#N/A</v>
      </c>
      <c r="R1417" s="44"/>
      <c r="S1417" s="44"/>
      <c r="T1417" s="43"/>
      <c r="U1417" s="43" t="str">
        <f t="shared" si="8"/>
        <v>No</v>
      </c>
      <c r="V1417" s="25"/>
      <c r="W1417" s="25"/>
      <c r="X1417" s="25"/>
      <c r="Y1417" s="25"/>
      <c r="Z1417" s="25"/>
    </row>
    <row r="1418" spans="1:26" ht="15.75" customHeight="1" x14ac:dyDescent="0.25">
      <c r="A1418" s="25">
        <v>1416</v>
      </c>
      <c r="B1418" s="37" t="e">
        <f t="shared" ref="B1418:D1418" si="2853">VLOOKUP($A1418,[4]Cultura!$A$1:$O$276,B$1,0)</f>
        <v>#N/A</v>
      </c>
      <c r="C1418" s="38" t="e">
        <f t="shared" si="2853"/>
        <v>#N/A</v>
      </c>
      <c r="D1418" s="39" t="e">
        <f t="shared" si="2853"/>
        <v>#N/A</v>
      </c>
      <c r="E1418" s="16" t="e">
        <f t="shared" si="1"/>
        <v>#N/A</v>
      </c>
      <c r="F1418" s="16" t="e">
        <f t="shared" ref="F1418:K1418" si="2854">VLOOKUP($A1418,[4]Cultura!$A$1:$O$276,F$1,0)</f>
        <v>#N/A</v>
      </c>
      <c r="G1418" s="39" t="e">
        <f t="shared" si="2854"/>
        <v>#N/A</v>
      </c>
      <c r="H1418" s="16" t="e">
        <f t="shared" si="2854"/>
        <v>#N/A</v>
      </c>
      <c r="I1418" s="16" t="e">
        <f t="shared" si="2854"/>
        <v>#N/A</v>
      </c>
      <c r="J1418" s="40" t="e">
        <f t="shared" si="2854"/>
        <v>#N/A</v>
      </c>
      <c r="K1418" s="16" t="e">
        <f t="shared" si="2854"/>
        <v>#N/A</v>
      </c>
      <c r="L1418" s="40" t="e">
        <f t="shared" si="2421"/>
        <v>#N/A</v>
      </c>
      <c r="M1418" s="16" t="e">
        <f t="shared" si="2422"/>
        <v>#N/A</v>
      </c>
      <c r="N1418" s="16" t="e">
        <f t="shared" si="2423"/>
        <v>#N/A</v>
      </c>
      <c r="O1418" s="16" t="s">
        <v>68</v>
      </c>
      <c r="P1418" s="16" t="str">
        <f t="shared" si="6"/>
        <v/>
      </c>
      <c r="Q1418" s="41" t="e">
        <f t="shared" si="2424"/>
        <v>#N/A</v>
      </c>
      <c r="R1418" s="44"/>
      <c r="S1418" s="44"/>
      <c r="T1418" s="43"/>
      <c r="U1418" s="43" t="str">
        <f t="shared" si="8"/>
        <v>No</v>
      </c>
      <c r="V1418" s="25"/>
      <c r="W1418" s="25"/>
      <c r="X1418" s="25"/>
      <c r="Y1418" s="25"/>
      <c r="Z1418" s="25"/>
    </row>
    <row r="1419" spans="1:26" ht="15.75" customHeight="1" x14ac:dyDescent="0.25">
      <c r="A1419" s="25">
        <v>1417</v>
      </c>
      <c r="B1419" s="37" t="e">
        <f t="shared" ref="B1419:D1419" si="2855">VLOOKUP($A1419,[4]Cultura!$A$1:$O$276,B$1,0)</f>
        <v>#N/A</v>
      </c>
      <c r="C1419" s="38" t="e">
        <f t="shared" si="2855"/>
        <v>#N/A</v>
      </c>
      <c r="D1419" s="39" t="e">
        <f t="shared" si="2855"/>
        <v>#N/A</v>
      </c>
      <c r="E1419" s="16" t="e">
        <f t="shared" si="1"/>
        <v>#N/A</v>
      </c>
      <c r="F1419" s="16" t="e">
        <f t="shared" ref="F1419:K1419" si="2856">VLOOKUP($A1419,[4]Cultura!$A$1:$O$276,F$1,0)</f>
        <v>#N/A</v>
      </c>
      <c r="G1419" s="39" t="e">
        <f t="shared" si="2856"/>
        <v>#N/A</v>
      </c>
      <c r="H1419" s="16" t="e">
        <f t="shared" si="2856"/>
        <v>#N/A</v>
      </c>
      <c r="I1419" s="16" t="e">
        <f t="shared" si="2856"/>
        <v>#N/A</v>
      </c>
      <c r="J1419" s="40" t="e">
        <f t="shared" si="2856"/>
        <v>#N/A</v>
      </c>
      <c r="K1419" s="16" t="e">
        <f t="shared" si="2856"/>
        <v>#N/A</v>
      </c>
      <c r="L1419" s="40" t="e">
        <f t="shared" si="2421"/>
        <v>#N/A</v>
      </c>
      <c r="M1419" s="16" t="e">
        <f t="shared" si="2422"/>
        <v>#N/A</v>
      </c>
      <c r="N1419" s="16" t="e">
        <f t="shared" si="2423"/>
        <v>#N/A</v>
      </c>
      <c r="O1419" s="16" t="s">
        <v>68</v>
      </c>
      <c r="P1419" s="16" t="str">
        <f t="shared" si="6"/>
        <v/>
      </c>
      <c r="Q1419" s="41" t="e">
        <f t="shared" si="2424"/>
        <v>#N/A</v>
      </c>
      <c r="R1419" s="44"/>
      <c r="S1419" s="44"/>
      <c r="T1419" s="43"/>
      <c r="U1419" s="43" t="str">
        <f t="shared" si="8"/>
        <v>No</v>
      </c>
      <c r="V1419" s="25"/>
      <c r="W1419" s="25"/>
      <c r="X1419" s="25"/>
      <c r="Y1419" s="25"/>
      <c r="Z1419" s="25"/>
    </row>
    <row r="1420" spans="1:26" ht="15.75" customHeight="1" x14ac:dyDescent="0.25">
      <c r="A1420" s="25">
        <v>1418</v>
      </c>
      <c r="B1420" s="37" t="e">
        <f t="shared" ref="B1420:D1420" si="2857">VLOOKUP($A1420,[4]Cultura!$A$1:$O$276,B$1,0)</f>
        <v>#N/A</v>
      </c>
      <c r="C1420" s="38" t="e">
        <f t="shared" si="2857"/>
        <v>#N/A</v>
      </c>
      <c r="D1420" s="39" t="e">
        <f t="shared" si="2857"/>
        <v>#N/A</v>
      </c>
      <c r="E1420" s="16" t="e">
        <f t="shared" si="1"/>
        <v>#N/A</v>
      </c>
      <c r="F1420" s="16" t="e">
        <f t="shared" ref="F1420:K1420" si="2858">VLOOKUP($A1420,[4]Cultura!$A$1:$O$276,F$1,0)</f>
        <v>#N/A</v>
      </c>
      <c r="G1420" s="39" t="e">
        <f t="shared" si="2858"/>
        <v>#N/A</v>
      </c>
      <c r="H1420" s="16" t="e">
        <f t="shared" si="2858"/>
        <v>#N/A</v>
      </c>
      <c r="I1420" s="16" t="e">
        <f t="shared" si="2858"/>
        <v>#N/A</v>
      </c>
      <c r="J1420" s="40" t="e">
        <f t="shared" si="2858"/>
        <v>#N/A</v>
      </c>
      <c r="K1420" s="16" t="e">
        <f t="shared" si="2858"/>
        <v>#N/A</v>
      </c>
      <c r="L1420" s="40" t="e">
        <f t="shared" si="2421"/>
        <v>#N/A</v>
      </c>
      <c r="M1420" s="16" t="e">
        <f t="shared" si="2422"/>
        <v>#N/A</v>
      </c>
      <c r="N1420" s="16" t="e">
        <f t="shared" si="2423"/>
        <v>#N/A</v>
      </c>
      <c r="O1420" s="16" t="s">
        <v>68</v>
      </c>
      <c r="P1420" s="16" t="str">
        <f t="shared" si="6"/>
        <v/>
      </c>
      <c r="Q1420" s="41" t="e">
        <f t="shared" si="2424"/>
        <v>#N/A</v>
      </c>
      <c r="R1420" s="44"/>
      <c r="S1420" s="44"/>
      <c r="T1420" s="43"/>
      <c r="U1420" s="43" t="str">
        <f t="shared" si="8"/>
        <v>No</v>
      </c>
      <c r="V1420" s="25"/>
      <c r="W1420" s="25"/>
      <c r="X1420" s="25"/>
      <c r="Y1420" s="25"/>
      <c r="Z1420" s="25"/>
    </row>
    <row r="1421" spans="1:26" ht="15.75" customHeight="1" x14ac:dyDescent="0.25">
      <c r="A1421" s="25">
        <v>1419</v>
      </c>
      <c r="B1421" s="37" t="e">
        <f t="shared" ref="B1421:D1421" si="2859">VLOOKUP($A1421,[4]Cultura!$A$1:$O$276,B$1,0)</f>
        <v>#N/A</v>
      </c>
      <c r="C1421" s="38" t="e">
        <f t="shared" si="2859"/>
        <v>#N/A</v>
      </c>
      <c r="D1421" s="39" t="e">
        <f t="shared" si="2859"/>
        <v>#N/A</v>
      </c>
      <c r="E1421" s="16" t="e">
        <f t="shared" si="1"/>
        <v>#N/A</v>
      </c>
      <c r="F1421" s="16" t="e">
        <f t="shared" ref="F1421:K1421" si="2860">VLOOKUP($A1421,[4]Cultura!$A$1:$O$276,F$1,0)</f>
        <v>#N/A</v>
      </c>
      <c r="G1421" s="39" t="e">
        <f t="shared" si="2860"/>
        <v>#N/A</v>
      </c>
      <c r="H1421" s="16" t="e">
        <f t="shared" si="2860"/>
        <v>#N/A</v>
      </c>
      <c r="I1421" s="16" t="e">
        <f t="shared" si="2860"/>
        <v>#N/A</v>
      </c>
      <c r="J1421" s="40" t="e">
        <f t="shared" si="2860"/>
        <v>#N/A</v>
      </c>
      <c r="K1421" s="16" t="e">
        <f t="shared" si="2860"/>
        <v>#N/A</v>
      </c>
      <c r="L1421" s="40" t="e">
        <f t="shared" si="2421"/>
        <v>#N/A</v>
      </c>
      <c r="M1421" s="16" t="e">
        <f t="shared" si="2422"/>
        <v>#N/A</v>
      </c>
      <c r="N1421" s="16" t="e">
        <f t="shared" si="2423"/>
        <v>#N/A</v>
      </c>
      <c r="O1421" s="16" t="s">
        <v>68</v>
      </c>
      <c r="P1421" s="16" t="str">
        <f t="shared" si="6"/>
        <v/>
      </c>
      <c r="Q1421" s="41" t="e">
        <f t="shared" si="2424"/>
        <v>#N/A</v>
      </c>
      <c r="R1421" s="44"/>
      <c r="S1421" s="44"/>
      <c r="T1421" s="43"/>
      <c r="U1421" s="43" t="str">
        <f t="shared" si="8"/>
        <v>No</v>
      </c>
      <c r="V1421" s="25"/>
      <c r="W1421" s="25"/>
      <c r="X1421" s="25"/>
      <c r="Y1421" s="25"/>
      <c r="Z1421" s="25"/>
    </row>
    <row r="1422" spans="1:26" ht="15.75" customHeight="1" x14ac:dyDescent="0.25">
      <c r="A1422" s="25">
        <v>1420</v>
      </c>
      <c r="B1422" s="37" t="e">
        <f t="shared" ref="B1422:D1422" si="2861">VLOOKUP($A1422,[4]Cultura!$A$1:$O$276,B$1,0)</f>
        <v>#N/A</v>
      </c>
      <c r="C1422" s="38" t="e">
        <f t="shared" si="2861"/>
        <v>#N/A</v>
      </c>
      <c r="D1422" s="39" t="e">
        <f t="shared" si="2861"/>
        <v>#N/A</v>
      </c>
      <c r="E1422" s="16" t="e">
        <f t="shared" si="1"/>
        <v>#N/A</v>
      </c>
      <c r="F1422" s="16" t="e">
        <f t="shared" ref="F1422:K1422" si="2862">VLOOKUP($A1422,[4]Cultura!$A$1:$O$276,F$1,0)</f>
        <v>#N/A</v>
      </c>
      <c r="G1422" s="39" t="e">
        <f t="shared" si="2862"/>
        <v>#N/A</v>
      </c>
      <c r="H1422" s="16" t="e">
        <f t="shared" si="2862"/>
        <v>#N/A</v>
      </c>
      <c r="I1422" s="16" t="e">
        <f t="shared" si="2862"/>
        <v>#N/A</v>
      </c>
      <c r="J1422" s="40" t="e">
        <f t="shared" si="2862"/>
        <v>#N/A</v>
      </c>
      <c r="K1422" s="16" t="e">
        <f t="shared" si="2862"/>
        <v>#N/A</v>
      </c>
      <c r="L1422" s="40" t="e">
        <f t="shared" si="2421"/>
        <v>#N/A</v>
      </c>
      <c r="M1422" s="16" t="e">
        <f t="shared" si="2422"/>
        <v>#N/A</v>
      </c>
      <c r="N1422" s="16" t="e">
        <f t="shared" si="2423"/>
        <v>#N/A</v>
      </c>
      <c r="O1422" s="16" t="s">
        <v>68</v>
      </c>
      <c r="P1422" s="16" t="str">
        <f t="shared" si="6"/>
        <v/>
      </c>
      <c r="Q1422" s="41" t="e">
        <f t="shared" si="2424"/>
        <v>#N/A</v>
      </c>
      <c r="R1422" s="44"/>
      <c r="S1422" s="44"/>
      <c r="T1422" s="43"/>
      <c r="U1422" s="43" t="str">
        <f t="shared" si="8"/>
        <v>No</v>
      </c>
      <c r="V1422" s="25"/>
      <c r="W1422" s="25"/>
      <c r="X1422" s="25"/>
      <c r="Y1422" s="25"/>
      <c r="Z1422" s="25"/>
    </row>
    <row r="1423" spans="1:26" ht="15.75" customHeight="1" x14ac:dyDescent="0.25">
      <c r="A1423" s="25">
        <v>1421</v>
      </c>
      <c r="B1423" s="37" t="e">
        <f t="shared" ref="B1423:D1423" si="2863">VLOOKUP($A1423,[4]Cultura!$A$1:$O$276,B$1,0)</f>
        <v>#N/A</v>
      </c>
      <c r="C1423" s="38" t="e">
        <f t="shared" si="2863"/>
        <v>#N/A</v>
      </c>
      <c r="D1423" s="39" t="e">
        <f t="shared" si="2863"/>
        <v>#N/A</v>
      </c>
      <c r="E1423" s="16" t="e">
        <f t="shared" si="1"/>
        <v>#N/A</v>
      </c>
      <c r="F1423" s="16" t="e">
        <f t="shared" ref="F1423:K1423" si="2864">VLOOKUP($A1423,[4]Cultura!$A$1:$O$276,F$1,0)</f>
        <v>#N/A</v>
      </c>
      <c r="G1423" s="39" t="e">
        <f t="shared" si="2864"/>
        <v>#N/A</v>
      </c>
      <c r="H1423" s="16" t="e">
        <f t="shared" si="2864"/>
        <v>#N/A</v>
      </c>
      <c r="I1423" s="16" t="e">
        <f t="shared" si="2864"/>
        <v>#N/A</v>
      </c>
      <c r="J1423" s="40" t="e">
        <f t="shared" si="2864"/>
        <v>#N/A</v>
      </c>
      <c r="K1423" s="16" t="e">
        <f t="shared" si="2864"/>
        <v>#N/A</v>
      </c>
      <c r="L1423" s="40" t="e">
        <f t="shared" si="2421"/>
        <v>#N/A</v>
      </c>
      <c r="M1423" s="16" t="e">
        <f t="shared" si="2422"/>
        <v>#N/A</v>
      </c>
      <c r="N1423" s="16" t="e">
        <f t="shared" si="2423"/>
        <v>#N/A</v>
      </c>
      <c r="O1423" s="16" t="s">
        <v>68</v>
      </c>
      <c r="P1423" s="16" t="str">
        <f t="shared" si="6"/>
        <v/>
      </c>
      <c r="Q1423" s="41" t="e">
        <f t="shared" si="2424"/>
        <v>#N/A</v>
      </c>
      <c r="R1423" s="44"/>
      <c r="S1423" s="44"/>
      <c r="T1423" s="43"/>
      <c r="U1423" s="43" t="str">
        <f t="shared" si="8"/>
        <v>No</v>
      </c>
      <c r="V1423" s="25"/>
      <c r="W1423" s="25"/>
      <c r="X1423" s="25"/>
      <c r="Y1423" s="25"/>
      <c r="Z1423" s="25"/>
    </row>
    <row r="1424" spans="1:26" ht="15.75" customHeight="1" x14ac:dyDescent="0.25">
      <c r="A1424" s="25">
        <v>1422</v>
      </c>
      <c r="B1424" s="37" t="e">
        <f t="shared" ref="B1424:D1424" si="2865">VLOOKUP($A1424,[4]Cultura!$A$1:$O$276,B$1,0)</f>
        <v>#N/A</v>
      </c>
      <c r="C1424" s="38" t="e">
        <f t="shared" si="2865"/>
        <v>#N/A</v>
      </c>
      <c r="D1424" s="39" t="e">
        <f t="shared" si="2865"/>
        <v>#N/A</v>
      </c>
      <c r="E1424" s="16" t="e">
        <f t="shared" si="1"/>
        <v>#N/A</v>
      </c>
      <c r="F1424" s="16" t="e">
        <f t="shared" ref="F1424:K1424" si="2866">VLOOKUP($A1424,[4]Cultura!$A$1:$O$276,F$1,0)</f>
        <v>#N/A</v>
      </c>
      <c r="G1424" s="39" t="e">
        <f t="shared" si="2866"/>
        <v>#N/A</v>
      </c>
      <c r="H1424" s="16" t="e">
        <f t="shared" si="2866"/>
        <v>#N/A</v>
      </c>
      <c r="I1424" s="16" t="e">
        <f t="shared" si="2866"/>
        <v>#N/A</v>
      </c>
      <c r="J1424" s="40" t="e">
        <f t="shared" si="2866"/>
        <v>#N/A</v>
      </c>
      <c r="K1424" s="16" t="e">
        <f t="shared" si="2866"/>
        <v>#N/A</v>
      </c>
      <c r="L1424" s="40" t="e">
        <f t="shared" si="2421"/>
        <v>#N/A</v>
      </c>
      <c r="M1424" s="16" t="e">
        <f t="shared" si="2422"/>
        <v>#N/A</v>
      </c>
      <c r="N1424" s="16" t="e">
        <f t="shared" si="2423"/>
        <v>#N/A</v>
      </c>
      <c r="O1424" s="16" t="s">
        <v>68</v>
      </c>
      <c r="P1424" s="16" t="str">
        <f t="shared" si="6"/>
        <v/>
      </c>
      <c r="Q1424" s="41" t="e">
        <f t="shared" si="2424"/>
        <v>#N/A</v>
      </c>
      <c r="R1424" s="44"/>
      <c r="S1424" s="44"/>
      <c r="T1424" s="43"/>
      <c r="U1424" s="43" t="str">
        <f t="shared" si="8"/>
        <v>No</v>
      </c>
      <c r="V1424" s="25"/>
      <c r="W1424" s="25"/>
      <c r="X1424" s="25"/>
      <c r="Y1424" s="25"/>
      <c r="Z1424" s="25"/>
    </row>
    <row r="1425" spans="1:26" ht="15.75" customHeight="1" x14ac:dyDescent="0.25">
      <c r="A1425" s="25">
        <v>1423</v>
      </c>
      <c r="B1425" s="37" t="e">
        <f t="shared" ref="B1425:D1425" si="2867">VLOOKUP($A1425,[4]Cultura!$A$1:$O$276,B$1,0)</f>
        <v>#N/A</v>
      </c>
      <c r="C1425" s="38" t="e">
        <f t="shared" si="2867"/>
        <v>#N/A</v>
      </c>
      <c r="D1425" s="39" t="e">
        <f t="shared" si="2867"/>
        <v>#N/A</v>
      </c>
      <c r="E1425" s="16" t="e">
        <f t="shared" si="1"/>
        <v>#N/A</v>
      </c>
      <c r="F1425" s="16" t="e">
        <f t="shared" ref="F1425:K1425" si="2868">VLOOKUP($A1425,[4]Cultura!$A$1:$O$276,F$1,0)</f>
        <v>#N/A</v>
      </c>
      <c r="G1425" s="39" t="e">
        <f t="shared" si="2868"/>
        <v>#N/A</v>
      </c>
      <c r="H1425" s="16" t="e">
        <f t="shared" si="2868"/>
        <v>#N/A</v>
      </c>
      <c r="I1425" s="16" t="e">
        <f t="shared" si="2868"/>
        <v>#N/A</v>
      </c>
      <c r="J1425" s="40" t="e">
        <f t="shared" si="2868"/>
        <v>#N/A</v>
      </c>
      <c r="K1425" s="16" t="e">
        <f t="shared" si="2868"/>
        <v>#N/A</v>
      </c>
      <c r="L1425" s="40" t="e">
        <f t="shared" si="2421"/>
        <v>#N/A</v>
      </c>
      <c r="M1425" s="16" t="e">
        <f t="shared" si="2422"/>
        <v>#N/A</v>
      </c>
      <c r="N1425" s="16" t="e">
        <f t="shared" si="2423"/>
        <v>#N/A</v>
      </c>
      <c r="O1425" s="16" t="s">
        <v>68</v>
      </c>
      <c r="P1425" s="16" t="str">
        <f t="shared" si="6"/>
        <v/>
      </c>
      <c r="Q1425" s="41" t="e">
        <f t="shared" si="2424"/>
        <v>#N/A</v>
      </c>
      <c r="R1425" s="44"/>
      <c r="S1425" s="44"/>
      <c r="T1425" s="43"/>
      <c r="U1425" s="43" t="str">
        <f t="shared" si="8"/>
        <v>No</v>
      </c>
      <c r="V1425" s="25"/>
      <c r="W1425" s="25"/>
      <c r="X1425" s="25"/>
      <c r="Y1425" s="25"/>
      <c r="Z1425" s="25"/>
    </row>
    <row r="1426" spans="1:26" ht="15.75" customHeight="1" x14ac:dyDescent="0.25">
      <c r="A1426" s="25">
        <v>1424</v>
      </c>
      <c r="B1426" s="37" t="e">
        <f t="shared" ref="B1426:D1426" si="2869">VLOOKUP($A1426,[4]Cultura!$A$1:$O$276,B$1,0)</f>
        <v>#N/A</v>
      </c>
      <c r="C1426" s="38" t="e">
        <f t="shared" si="2869"/>
        <v>#N/A</v>
      </c>
      <c r="D1426" s="39" t="e">
        <f t="shared" si="2869"/>
        <v>#N/A</v>
      </c>
      <c r="E1426" s="16" t="e">
        <f t="shared" si="1"/>
        <v>#N/A</v>
      </c>
      <c r="F1426" s="16" t="e">
        <f t="shared" ref="F1426:K1426" si="2870">VLOOKUP($A1426,[4]Cultura!$A$1:$O$276,F$1,0)</f>
        <v>#N/A</v>
      </c>
      <c r="G1426" s="39" t="e">
        <f t="shared" si="2870"/>
        <v>#N/A</v>
      </c>
      <c r="H1426" s="16" t="e">
        <f t="shared" si="2870"/>
        <v>#N/A</v>
      </c>
      <c r="I1426" s="16" t="e">
        <f t="shared" si="2870"/>
        <v>#N/A</v>
      </c>
      <c r="J1426" s="40" t="e">
        <f t="shared" si="2870"/>
        <v>#N/A</v>
      </c>
      <c r="K1426" s="16" t="e">
        <f t="shared" si="2870"/>
        <v>#N/A</v>
      </c>
      <c r="L1426" s="40" t="e">
        <f t="shared" si="2421"/>
        <v>#N/A</v>
      </c>
      <c r="M1426" s="16" t="e">
        <f t="shared" si="2422"/>
        <v>#N/A</v>
      </c>
      <c r="N1426" s="16" t="e">
        <f t="shared" si="2423"/>
        <v>#N/A</v>
      </c>
      <c r="O1426" s="16" t="s">
        <v>68</v>
      </c>
      <c r="P1426" s="16" t="str">
        <f t="shared" si="6"/>
        <v/>
      </c>
      <c r="Q1426" s="41" t="e">
        <f t="shared" si="2424"/>
        <v>#N/A</v>
      </c>
      <c r="R1426" s="44"/>
      <c r="S1426" s="44"/>
      <c r="T1426" s="43"/>
      <c r="U1426" s="43" t="str">
        <f t="shared" si="8"/>
        <v>No</v>
      </c>
      <c r="V1426" s="25"/>
      <c r="W1426" s="25"/>
      <c r="X1426" s="25"/>
      <c r="Y1426" s="25"/>
      <c r="Z1426" s="25"/>
    </row>
    <row r="1427" spans="1:26" ht="15.75" customHeight="1" x14ac:dyDescent="0.25">
      <c r="A1427" s="25">
        <v>1425</v>
      </c>
      <c r="B1427" s="37" t="e">
        <f t="shared" ref="B1427:D1427" si="2871">VLOOKUP($A1427,[4]Cultura!$A$1:$O$276,B$1,0)</f>
        <v>#N/A</v>
      </c>
      <c r="C1427" s="38" t="e">
        <f t="shared" si="2871"/>
        <v>#N/A</v>
      </c>
      <c r="D1427" s="39" t="e">
        <f t="shared" si="2871"/>
        <v>#N/A</v>
      </c>
      <c r="E1427" s="16" t="e">
        <f t="shared" si="1"/>
        <v>#N/A</v>
      </c>
      <c r="F1427" s="16" t="e">
        <f t="shared" ref="F1427:K1427" si="2872">VLOOKUP($A1427,[4]Cultura!$A$1:$O$276,F$1,0)</f>
        <v>#N/A</v>
      </c>
      <c r="G1427" s="39" t="e">
        <f t="shared" si="2872"/>
        <v>#N/A</v>
      </c>
      <c r="H1427" s="16" t="e">
        <f t="shared" si="2872"/>
        <v>#N/A</v>
      </c>
      <c r="I1427" s="16" t="e">
        <f t="shared" si="2872"/>
        <v>#N/A</v>
      </c>
      <c r="J1427" s="40" t="e">
        <f t="shared" si="2872"/>
        <v>#N/A</v>
      </c>
      <c r="K1427" s="16" t="e">
        <f t="shared" si="2872"/>
        <v>#N/A</v>
      </c>
      <c r="L1427" s="40" t="e">
        <f t="shared" si="2421"/>
        <v>#N/A</v>
      </c>
      <c r="M1427" s="16" t="e">
        <f t="shared" si="2422"/>
        <v>#N/A</v>
      </c>
      <c r="N1427" s="16" t="e">
        <f t="shared" si="2423"/>
        <v>#N/A</v>
      </c>
      <c r="O1427" s="16" t="s">
        <v>68</v>
      </c>
      <c r="P1427" s="16" t="str">
        <f t="shared" si="6"/>
        <v/>
      </c>
      <c r="Q1427" s="41" t="e">
        <f t="shared" si="2424"/>
        <v>#N/A</v>
      </c>
      <c r="R1427" s="44"/>
      <c r="S1427" s="44"/>
      <c r="T1427" s="43"/>
      <c r="U1427" s="43" t="str">
        <f t="shared" si="8"/>
        <v>No</v>
      </c>
      <c r="V1427" s="25"/>
      <c r="W1427" s="25"/>
      <c r="X1427" s="25"/>
      <c r="Y1427" s="25"/>
      <c r="Z1427" s="25"/>
    </row>
    <row r="1428" spans="1:26" ht="15.75" customHeight="1" x14ac:dyDescent="0.25">
      <c r="A1428" s="25">
        <v>1426</v>
      </c>
      <c r="B1428" s="37" t="e">
        <f t="shared" ref="B1428:D1428" si="2873">VLOOKUP($A1428,[4]Cultura!$A$1:$O$276,B$1,0)</f>
        <v>#N/A</v>
      </c>
      <c r="C1428" s="38" t="e">
        <f t="shared" si="2873"/>
        <v>#N/A</v>
      </c>
      <c r="D1428" s="39" t="e">
        <f t="shared" si="2873"/>
        <v>#N/A</v>
      </c>
      <c r="E1428" s="16" t="e">
        <f t="shared" si="1"/>
        <v>#N/A</v>
      </c>
      <c r="F1428" s="16" t="e">
        <f t="shared" ref="F1428:K1428" si="2874">VLOOKUP($A1428,[4]Cultura!$A$1:$O$276,F$1,0)</f>
        <v>#N/A</v>
      </c>
      <c r="G1428" s="39" t="e">
        <f t="shared" si="2874"/>
        <v>#N/A</v>
      </c>
      <c r="H1428" s="16" t="e">
        <f t="shared" si="2874"/>
        <v>#N/A</v>
      </c>
      <c r="I1428" s="16" t="e">
        <f t="shared" si="2874"/>
        <v>#N/A</v>
      </c>
      <c r="J1428" s="40" t="e">
        <f t="shared" si="2874"/>
        <v>#N/A</v>
      </c>
      <c r="K1428" s="16" t="e">
        <f t="shared" si="2874"/>
        <v>#N/A</v>
      </c>
      <c r="L1428" s="40" t="e">
        <f t="shared" si="2421"/>
        <v>#N/A</v>
      </c>
      <c r="M1428" s="16" t="e">
        <f t="shared" si="2422"/>
        <v>#N/A</v>
      </c>
      <c r="N1428" s="16" t="e">
        <f t="shared" si="2423"/>
        <v>#N/A</v>
      </c>
      <c r="O1428" s="16" t="s">
        <v>68</v>
      </c>
      <c r="P1428" s="16" t="str">
        <f t="shared" si="6"/>
        <v/>
      </c>
      <c r="Q1428" s="41" t="e">
        <f t="shared" si="2424"/>
        <v>#N/A</v>
      </c>
      <c r="R1428" s="44"/>
      <c r="S1428" s="44"/>
      <c r="T1428" s="43"/>
      <c r="U1428" s="43" t="str">
        <f t="shared" si="8"/>
        <v>No</v>
      </c>
      <c r="V1428" s="25"/>
      <c r="W1428" s="25"/>
      <c r="X1428" s="25"/>
      <c r="Y1428" s="25"/>
      <c r="Z1428" s="25"/>
    </row>
    <row r="1429" spans="1:26" ht="15.75" customHeight="1" x14ac:dyDescent="0.25">
      <c r="A1429" s="25">
        <v>1427</v>
      </c>
      <c r="B1429" s="37" t="e">
        <f t="shared" ref="B1429:D1429" si="2875">VLOOKUP($A1429,[4]Cultura!$A$1:$O$276,B$1,0)</f>
        <v>#N/A</v>
      </c>
      <c r="C1429" s="38" t="e">
        <f t="shared" si="2875"/>
        <v>#N/A</v>
      </c>
      <c r="D1429" s="39" t="e">
        <f t="shared" si="2875"/>
        <v>#N/A</v>
      </c>
      <c r="E1429" s="16" t="e">
        <f t="shared" si="1"/>
        <v>#N/A</v>
      </c>
      <c r="F1429" s="16" t="e">
        <f t="shared" ref="F1429:K1429" si="2876">VLOOKUP($A1429,[4]Cultura!$A$1:$O$276,F$1,0)</f>
        <v>#N/A</v>
      </c>
      <c r="G1429" s="39" t="e">
        <f t="shared" si="2876"/>
        <v>#N/A</v>
      </c>
      <c r="H1429" s="16" t="e">
        <f t="shared" si="2876"/>
        <v>#N/A</v>
      </c>
      <c r="I1429" s="16" t="e">
        <f t="shared" si="2876"/>
        <v>#N/A</v>
      </c>
      <c r="J1429" s="40" t="e">
        <f t="shared" si="2876"/>
        <v>#N/A</v>
      </c>
      <c r="K1429" s="16" t="e">
        <f t="shared" si="2876"/>
        <v>#N/A</v>
      </c>
      <c r="L1429" s="40" t="e">
        <f t="shared" si="2421"/>
        <v>#N/A</v>
      </c>
      <c r="M1429" s="16" t="e">
        <f t="shared" si="2422"/>
        <v>#N/A</v>
      </c>
      <c r="N1429" s="16" t="e">
        <f t="shared" si="2423"/>
        <v>#N/A</v>
      </c>
      <c r="O1429" s="16" t="s">
        <v>68</v>
      </c>
      <c r="P1429" s="16" t="str">
        <f t="shared" si="6"/>
        <v/>
      </c>
      <c r="Q1429" s="41" t="e">
        <f t="shared" si="2424"/>
        <v>#N/A</v>
      </c>
      <c r="R1429" s="44"/>
      <c r="S1429" s="44"/>
      <c r="T1429" s="43"/>
      <c r="U1429" s="43" t="str">
        <f t="shared" si="8"/>
        <v>No</v>
      </c>
      <c r="V1429" s="25"/>
      <c r="W1429" s="25"/>
      <c r="X1429" s="25"/>
      <c r="Y1429" s="25"/>
      <c r="Z1429" s="25"/>
    </row>
    <row r="1430" spans="1:26" ht="15.75" customHeight="1" x14ac:dyDescent="0.25">
      <c r="A1430" s="25">
        <v>1428</v>
      </c>
      <c r="B1430" s="37" t="e">
        <f t="shared" ref="B1430:D1430" si="2877">VLOOKUP($A1430,[4]Cultura!$A$1:$O$276,B$1,0)</f>
        <v>#N/A</v>
      </c>
      <c r="C1430" s="38" t="e">
        <f t="shared" si="2877"/>
        <v>#N/A</v>
      </c>
      <c r="D1430" s="39" t="e">
        <f t="shared" si="2877"/>
        <v>#N/A</v>
      </c>
      <c r="E1430" s="16" t="e">
        <f t="shared" si="1"/>
        <v>#N/A</v>
      </c>
      <c r="F1430" s="16" t="e">
        <f t="shared" ref="F1430:K1430" si="2878">VLOOKUP($A1430,[4]Cultura!$A$1:$O$276,F$1,0)</f>
        <v>#N/A</v>
      </c>
      <c r="G1430" s="39" t="e">
        <f t="shared" si="2878"/>
        <v>#N/A</v>
      </c>
      <c r="H1430" s="16" t="e">
        <f t="shared" si="2878"/>
        <v>#N/A</v>
      </c>
      <c r="I1430" s="16" t="e">
        <f t="shared" si="2878"/>
        <v>#N/A</v>
      </c>
      <c r="J1430" s="40" t="e">
        <f t="shared" si="2878"/>
        <v>#N/A</v>
      </c>
      <c r="K1430" s="16" t="e">
        <f t="shared" si="2878"/>
        <v>#N/A</v>
      </c>
      <c r="L1430" s="40" t="e">
        <f t="shared" si="2421"/>
        <v>#N/A</v>
      </c>
      <c r="M1430" s="16" t="e">
        <f t="shared" si="2422"/>
        <v>#N/A</v>
      </c>
      <c r="N1430" s="16" t="e">
        <f t="shared" si="2423"/>
        <v>#N/A</v>
      </c>
      <c r="O1430" s="16" t="s">
        <v>68</v>
      </c>
      <c r="P1430" s="16" t="str">
        <f t="shared" si="6"/>
        <v/>
      </c>
      <c r="Q1430" s="41" t="e">
        <f t="shared" si="2424"/>
        <v>#N/A</v>
      </c>
      <c r="R1430" s="44"/>
      <c r="S1430" s="44"/>
      <c r="T1430" s="43"/>
      <c r="U1430" s="43" t="str">
        <f t="shared" si="8"/>
        <v>No</v>
      </c>
      <c r="V1430" s="25"/>
      <c r="W1430" s="25"/>
      <c r="X1430" s="25"/>
      <c r="Y1430" s="25"/>
      <c r="Z1430" s="25"/>
    </row>
    <row r="1431" spans="1:26" ht="15.75" customHeight="1" x14ac:dyDescent="0.25">
      <c r="A1431" s="25">
        <v>1429</v>
      </c>
      <c r="B1431" s="37" t="e">
        <f t="shared" ref="B1431:D1431" si="2879">VLOOKUP($A1431,[4]Cultura!$A$1:$O$276,B$1,0)</f>
        <v>#N/A</v>
      </c>
      <c r="C1431" s="38" t="e">
        <f t="shared" si="2879"/>
        <v>#N/A</v>
      </c>
      <c r="D1431" s="39" t="e">
        <f t="shared" si="2879"/>
        <v>#N/A</v>
      </c>
      <c r="E1431" s="16" t="e">
        <f t="shared" si="1"/>
        <v>#N/A</v>
      </c>
      <c r="F1431" s="16" t="e">
        <f t="shared" ref="F1431:K1431" si="2880">VLOOKUP($A1431,[4]Cultura!$A$1:$O$276,F$1,0)</f>
        <v>#N/A</v>
      </c>
      <c r="G1431" s="39" t="e">
        <f t="shared" si="2880"/>
        <v>#N/A</v>
      </c>
      <c r="H1431" s="16" t="e">
        <f t="shared" si="2880"/>
        <v>#N/A</v>
      </c>
      <c r="I1431" s="16" t="e">
        <f t="shared" si="2880"/>
        <v>#N/A</v>
      </c>
      <c r="J1431" s="40" t="e">
        <f t="shared" si="2880"/>
        <v>#N/A</v>
      </c>
      <c r="K1431" s="16" t="e">
        <f t="shared" si="2880"/>
        <v>#N/A</v>
      </c>
      <c r="L1431" s="40" t="e">
        <f t="shared" si="2421"/>
        <v>#N/A</v>
      </c>
      <c r="M1431" s="16" t="e">
        <f t="shared" si="2422"/>
        <v>#N/A</v>
      </c>
      <c r="N1431" s="16" t="e">
        <f t="shared" si="2423"/>
        <v>#N/A</v>
      </c>
      <c r="O1431" s="16" t="s">
        <v>68</v>
      </c>
      <c r="P1431" s="16" t="str">
        <f t="shared" si="6"/>
        <v/>
      </c>
      <c r="Q1431" s="41" t="e">
        <f t="shared" si="2424"/>
        <v>#N/A</v>
      </c>
      <c r="R1431" s="44"/>
      <c r="S1431" s="44"/>
      <c r="T1431" s="43"/>
      <c r="U1431" s="43" t="str">
        <f t="shared" si="8"/>
        <v>No</v>
      </c>
      <c r="V1431" s="25"/>
      <c r="W1431" s="25"/>
      <c r="X1431" s="25"/>
      <c r="Y1431" s="25"/>
      <c r="Z1431" s="25"/>
    </row>
    <row r="1432" spans="1:26" ht="15.75" customHeight="1" x14ac:dyDescent="0.25">
      <c r="A1432" s="25">
        <v>1430</v>
      </c>
      <c r="B1432" s="37" t="e">
        <f t="shared" ref="B1432:D1432" si="2881">VLOOKUP($A1432,[4]Cultura!$A$1:$O$276,B$1,0)</f>
        <v>#N/A</v>
      </c>
      <c r="C1432" s="38" t="e">
        <f t="shared" si="2881"/>
        <v>#N/A</v>
      </c>
      <c r="D1432" s="39" t="e">
        <f t="shared" si="2881"/>
        <v>#N/A</v>
      </c>
      <c r="E1432" s="16" t="e">
        <f t="shared" si="1"/>
        <v>#N/A</v>
      </c>
      <c r="F1432" s="16" t="e">
        <f t="shared" ref="F1432:K1432" si="2882">VLOOKUP($A1432,[4]Cultura!$A$1:$O$276,F$1,0)</f>
        <v>#N/A</v>
      </c>
      <c r="G1432" s="39" t="e">
        <f t="shared" si="2882"/>
        <v>#N/A</v>
      </c>
      <c r="H1432" s="16" t="e">
        <f t="shared" si="2882"/>
        <v>#N/A</v>
      </c>
      <c r="I1432" s="16" t="e">
        <f t="shared" si="2882"/>
        <v>#N/A</v>
      </c>
      <c r="J1432" s="40" t="e">
        <f t="shared" si="2882"/>
        <v>#N/A</v>
      </c>
      <c r="K1432" s="16" t="e">
        <f t="shared" si="2882"/>
        <v>#N/A</v>
      </c>
      <c r="L1432" s="40" t="e">
        <f t="shared" si="2421"/>
        <v>#N/A</v>
      </c>
      <c r="M1432" s="16" t="e">
        <f t="shared" si="2422"/>
        <v>#N/A</v>
      </c>
      <c r="N1432" s="16" t="e">
        <f t="shared" si="2423"/>
        <v>#N/A</v>
      </c>
      <c r="O1432" s="16" t="s">
        <v>68</v>
      </c>
      <c r="P1432" s="16" t="str">
        <f t="shared" si="6"/>
        <v/>
      </c>
      <c r="Q1432" s="41" t="e">
        <f t="shared" si="2424"/>
        <v>#N/A</v>
      </c>
      <c r="R1432" s="44"/>
      <c r="S1432" s="44"/>
      <c r="T1432" s="43"/>
      <c r="U1432" s="43" t="str">
        <f t="shared" si="8"/>
        <v>No</v>
      </c>
      <c r="V1432" s="25"/>
      <c r="W1432" s="25"/>
      <c r="X1432" s="25"/>
      <c r="Y1432" s="25"/>
      <c r="Z1432" s="25"/>
    </row>
    <row r="1433" spans="1:26" ht="15.75" customHeight="1" x14ac:dyDescent="0.25">
      <c r="A1433" s="25">
        <v>1431</v>
      </c>
      <c r="B1433" s="37" t="e">
        <f t="shared" ref="B1433:D1433" si="2883">VLOOKUP($A1433,[4]Cultura!$A$1:$O$276,B$1,0)</f>
        <v>#N/A</v>
      </c>
      <c r="C1433" s="38" t="e">
        <f t="shared" si="2883"/>
        <v>#N/A</v>
      </c>
      <c r="D1433" s="39" t="e">
        <f t="shared" si="2883"/>
        <v>#N/A</v>
      </c>
      <c r="E1433" s="16" t="e">
        <f t="shared" si="1"/>
        <v>#N/A</v>
      </c>
      <c r="F1433" s="16" t="e">
        <f t="shared" ref="F1433:K1433" si="2884">VLOOKUP($A1433,[4]Cultura!$A$1:$O$276,F$1,0)</f>
        <v>#N/A</v>
      </c>
      <c r="G1433" s="39" t="e">
        <f t="shared" si="2884"/>
        <v>#N/A</v>
      </c>
      <c r="H1433" s="16" t="e">
        <f t="shared" si="2884"/>
        <v>#N/A</v>
      </c>
      <c r="I1433" s="16" t="e">
        <f t="shared" si="2884"/>
        <v>#N/A</v>
      </c>
      <c r="J1433" s="40" t="e">
        <f t="shared" si="2884"/>
        <v>#N/A</v>
      </c>
      <c r="K1433" s="16" t="e">
        <f t="shared" si="2884"/>
        <v>#N/A</v>
      </c>
      <c r="L1433" s="40" t="e">
        <f t="shared" si="2421"/>
        <v>#N/A</v>
      </c>
      <c r="M1433" s="16" t="e">
        <f t="shared" si="2422"/>
        <v>#N/A</v>
      </c>
      <c r="N1433" s="16" t="e">
        <f t="shared" si="2423"/>
        <v>#N/A</v>
      </c>
      <c r="O1433" s="16" t="s">
        <v>68</v>
      </c>
      <c r="P1433" s="16" t="str">
        <f t="shared" si="6"/>
        <v/>
      </c>
      <c r="Q1433" s="41" t="e">
        <f t="shared" si="2424"/>
        <v>#N/A</v>
      </c>
      <c r="R1433" s="44"/>
      <c r="S1433" s="44"/>
      <c r="T1433" s="43"/>
      <c r="U1433" s="43" t="str">
        <f t="shared" si="8"/>
        <v>No</v>
      </c>
      <c r="V1433" s="25"/>
      <c r="W1433" s="25"/>
      <c r="X1433" s="25"/>
      <c r="Y1433" s="25"/>
      <c r="Z1433" s="25"/>
    </row>
    <row r="1434" spans="1:26" ht="15.75" customHeight="1" x14ac:dyDescent="0.25">
      <c r="A1434" s="25">
        <v>1432</v>
      </c>
      <c r="B1434" s="37" t="e">
        <f t="shared" ref="B1434:D1434" si="2885">VLOOKUP($A1434,[4]Cultura!$A$1:$O$276,B$1,0)</f>
        <v>#N/A</v>
      </c>
      <c r="C1434" s="38" t="e">
        <f t="shared" si="2885"/>
        <v>#N/A</v>
      </c>
      <c r="D1434" s="39" t="e">
        <f t="shared" si="2885"/>
        <v>#N/A</v>
      </c>
      <c r="E1434" s="16" t="e">
        <f t="shared" si="1"/>
        <v>#N/A</v>
      </c>
      <c r="F1434" s="16" t="e">
        <f t="shared" ref="F1434:K1434" si="2886">VLOOKUP($A1434,[4]Cultura!$A$1:$O$276,F$1,0)</f>
        <v>#N/A</v>
      </c>
      <c r="G1434" s="39" t="e">
        <f t="shared" si="2886"/>
        <v>#N/A</v>
      </c>
      <c r="H1434" s="16" t="e">
        <f t="shared" si="2886"/>
        <v>#N/A</v>
      </c>
      <c r="I1434" s="16" t="e">
        <f t="shared" si="2886"/>
        <v>#N/A</v>
      </c>
      <c r="J1434" s="40" t="e">
        <f t="shared" si="2886"/>
        <v>#N/A</v>
      </c>
      <c r="K1434" s="16" t="e">
        <f t="shared" si="2886"/>
        <v>#N/A</v>
      </c>
      <c r="L1434" s="40" t="e">
        <f t="shared" si="2421"/>
        <v>#N/A</v>
      </c>
      <c r="M1434" s="16" t="e">
        <f t="shared" si="2422"/>
        <v>#N/A</v>
      </c>
      <c r="N1434" s="16" t="e">
        <f t="shared" si="2423"/>
        <v>#N/A</v>
      </c>
      <c r="O1434" s="16" t="s">
        <v>68</v>
      </c>
      <c r="P1434" s="16" t="str">
        <f t="shared" si="6"/>
        <v/>
      </c>
      <c r="Q1434" s="41" t="e">
        <f t="shared" si="2424"/>
        <v>#N/A</v>
      </c>
      <c r="R1434" s="44"/>
      <c r="S1434" s="44"/>
      <c r="T1434" s="43"/>
      <c r="U1434" s="43" t="str">
        <f t="shared" si="8"/>
        <v>No</v>
      </c>
      <c r="V1434" s="25"/>
      <c r="W1434" s="25"/>
      <c r="X1434" s="25"/>
      <c r="Y1434" s="25"/>
      <c r="Z1434" s="25"/>
    </row>
    <row r="1435" spans="1:26" ht="15.75" customHeight="1" x14ac:dyDescent="0.25">
      <c r="A1435" s="25">
        <v>1433</v>
      </c>
      <c r="B1435" s="37" t="e">
        <f t="shared" ref="B1435:D1435" si="2887">VLOOKUP($A1435,[4]Cultura!$A$1:$O$276,B$1,0)</f>
        <v>#N/A</v>
      </c>
      <c r="C1435" s="38" t="e">
        <f t="shared" si="2887"/>
        <v>#N/A</v>
      </c>
      <c r="D1435" s="39" t="e">
        <f t="shared" si="2887"/>
        <v>#N/A</v>
      </c>
      <c r="E1435" s="16" t="e">
        <f t="shared" si="1"/>
        <v>#N/A</v>
      </c>
      <c r="F1435" s="16" t="e">
        <f t="shared" ref="F1435:K1435" si="2888">VLOOKUP($A1435,[4]Cultura!$A$1:$O$276,F$1,0)</f>
        <v>#N/A</v>
      </c>
      <c r="G1435" s="39" t="e">
        <f t="shared" si="2888"/>
        <v>#N/A</v>
      </c>
      <c r="H1435" s="16" t="e">
        <f t="shared" si="2888"/>
        <v>#N/A</v>
      </c>
      <c r="I1435" s="16" t="e">
        <f t="shared" si="2888"/>
        <v>#N/A</v>
      </c>
      <c r="J1435" s="40" t="e">
        <f t="shared" si="2888"/>
        <v>#N/A</v>
      </c>
      <c r="K1435" s="16" t="e">
        <f t="shared" si="2888"/>
        <v>#N/A</v>
      </c>
      <c r="L1435" s="40" t="e">
        <f t="shared" si="2421"/>
        <v>#N/A</v>
      </c>
      <c r="M1435" s="16" t="e">
        <f t="shared" si="2422"/>
        <v>#N/A</v>
      </c>
      <c r="N1435" s="16" t="e">
        <f t="shared" si="2423"/>
        <v>#N/A</v>
      </c>
      <c r="O1435" s="16" t="s">
        <v>68</v>
      </c>
      <c r="P1435" s="16" t="str">
        <f t="shared" si="6"/>
        <v/>
      </c>
      <c r="Q1435" s="41" t="e">
        <f t="shared" si="2424"/>
        <v>#N/A</v>
      </c>
      <c r="R1435" s="44"/>
      <c r="S1435" s="44"/>
      <c r="T1435" s="43"/>
      <c r="U1435" s="43" t="str">
        <f t="shared" si="8"/>
        <v>No</v>
      </c>
      <c r="V1435" s="25"/>
      <c r="W1435" s="25"/>
      <c r="X1435" s="25"/>
      <c r="Y1435" s="25"/>
      <c r="Z1435" s="25"/>
    </row>
    <row r="1436" spans="1:26" ht="15.75" customHeight="1" x14ac:dyDescent="0.25">
      <c r="A1436" s="25">
        <v>1434</v>
      </c>
      <c r="B1436" s="37" t="e">
        <f t="shared" ref="B1436:D1436" si="2889">VLOOKUP($A1436,[4]Cultura!$A$1:$O$276,B$1,0)</f>
        <v>#N/A</v>
      </c>
      <c r="C1436" s="38" t="e">
        <f t="shared" si="2889"/>
        <v>#N/A</v>
      </c>
      <c r="D1436" s="39" t="e">
        <f t="shared" si="2889"/>
        <v>#N/A</v>
      </c>
      <c r="E1436" s="16" t="e">
        <f t="shared" si="1"/>
        <v>#N/A</v>
      </c>
      <c r="F1436" s="16" t="e">
        <f t="shared" ref="F1436:K1436" si="2890">VLOOKUP($A1436,[4]Cultura!$A$1:$O$276,F$1,0)</f>
        <v>#N/A</v>
      </c>
      <c r="G1436" s="39" t="e">
        <f t="shared" si="2890"/>
        <v>#N/A</v>
      </c>
      <c r="H1436" s="16" t="e">
        <f t="shared" si="2890"/>
        <v>#N/A</v>
      </c>
      <c r="I1436" s="16" t="e">
        <f t="shared" si="2890"/>
        <v>#N/A</v>
      </c>
      <c r="J1436" s="40" t="e">
        <f t="shared" si="2890"/>
        <v>#N/A</v>
      </c>
      <c r="K1436" s="16" t="e">
        <f t="shared" si="2890"/>
        <v>#N/A</v>
      </c>
      <c r="L1436" s="40" t="e">
        <f t="shared" si="2421"/>
        <v>#N/A</v>
      </c>
      <c r="M1436" s="16" t="e">
        <f t="shared" si="2422"/>
        <v>#N/A</v>
      </c>
      <c r="N1436" s="16" t="e">
        <f t="shared" si="2423"/>
        <v>#N/A</v>
      </c>
      <c r="O1436" s="16" t="s">
        <v>68</v>
      </c>
      <c r="P1436" s="16" t="str">
        <f t="shared" si="6"/>
        <v/>
      </c>
      <c r="Q1436" s="41" t="e">
        <f t="shared" si="2424"/>
        <v>#N/A</v>
      </c>
      <c r="R1436" s="44"/>
      <c r="S1436" s="44"/>
      <c r="T1436" s="43"/>
      <c r="U1436" s="43" t="str">
        <f t="shared" si="8"/>
        <v>No</v>
      </c>
      <c r="V1436" s="25"/>
      <c r="W1436" s="25"/>
      <c r="X1436" s="25"/>
      <c r="Y1436" s="25"/>
      <c r="Z1436" s="25"/>
    </row>
    <row r="1437" spans="1:26" ht="15.75" customHeight="1" x14ac:dyDescent="0.25">
      <c r="A1437" s="25">
        <v>1435</v>
      </c>
      <c r="B1437" s="37" t="e">
        <f t="shared" ref="B1437:D1437" si="2891">VLOOKUP($A1437,[4]Cultura!$A$1:$O$276,B$1,0)</f>
        <v>#N/A</v>
      </c>
      <c r="C1437" s="38" t="e">
        <f t="shared" si="2891"/>
        <v>#N/A</v>
      </c>
      <c r="D1437" s="39" t="e">
        <f t="shared" si="2891"/>
        <v>#N/A</v>
      </c>
      <c r="E1437" s="16" t="e">
        <f t="shared" si="1"/>
        <v>#N/A</v>
      </c>
      <c r="F1437" s="16" t="e">
        <f t="shared" ref="F1437:K1437" si="2892">VLOOKUP($A1437,[4]Cultura!$A$1:$O$276,F$1,0)</f>
        <v>#N/A</v>
      </c>
      <c r="G1437" s="39" t="e">
        <f t="shared" si="2892"/>
        <v>#N/A</v>
      </c>
      <c r="H1437" s="16" t="e">
        <f t="shared" si="2892"/>
        <v>#N/A</v>
      </c>
      <c r="I1437" s="16" t="e">
        <f t="shared" si="2892"/>
        <v>#N/A</v>
      </c>
      <c r="J1437" s="40" t="e">
        <f t="shared" si="2892"/>
        <v>#N/A</v>
      </c>
      <c r="K1437" s="16" t="e">
        <f t="shared" si="2892"/>
        <v>#N/A</v>
      </c>
      <c r="L1437" s="40" t="e">
        <f t="shared" si="2421"/>
        <v>#N/A</v>
      </c>
      <c r="M1437" s="16" t="e">
        <f t="shared" si="2422"/>
        <v>#N/A</v>
      </c>
      <c r="N1437" s="16" t="e">
        <f t="shared" si="2423"/>
        <v>#N/A</v>
      </c>
      <c r="O1437" s="16" t="s">
        <v>68</v>
      </c>
      <c r="P1437" s="16" t="str">
        <f t="shared" si="6"/>
        <v/>
      </c>
      <c r="Q1437" s="41" t="e">
        <f t="shared" si="2424"/>
        <v>#N/A</v>
      </c>
      <c r="R1437" s="44"/>
      <c r="S1437" s="44"/>
      <c r="T1437" s="43"/>
      <c r="U1437" s="43" t="str">
        <f t="shared" si="8"/>
        <v>No</v>
      </c>
      <c r="V1437" s="25"/>
      <c r="W1437" s="25"/>
      <c r="X1437" s="25"/>
      <c r="Y1437" s="25"/>
      <c r="Z1437" s="25"/>
    </row>
    <row r="1438" spans="1:26" ht="15.75" customHeight="1" x14ac:dyDescent="0.25">
      <c r="A1438" s="25">
        <v>1436</v>
      </c>
      <c r="B1438" s="37" t="e">
        <f t="shared" ref="B1438:D1438" si="2893">VLOOKUP($A1438,[4]Cultura!$A$1:$O$276,B$1,0)</f>
        <v>#N/A</v>
      </c>
      <c r="C1438" s="38" t="e">
        <f t="shared" si="2893"/>
        <v>#N/A</v>
      </c>
      <c r="D1438" s="39" t="e">
        <f t="shared" si="2893"/>
        <v>#N/A</v>
      </c>
      <c r="E1438" s="16" t="e">
        <f t="shared" si="1"/>
        <v>#N/A</v>
      </c>
      <c r="F1438" s="16" t="e">
        <f t="shared" ref="F1438:K1438" si="2894">VLOOKUP($A1438,[4]Cultura!$A$1:$O$276,F$1,0)</f>
        <v>#N/A</v>
      </c>
      <c r="G1438" s="39" t="e">
        <f t="shared" si="2894"/>
        <v>#N/A</v>
      </c>
      <c r="H1438" s="16" t="e">
        <f t="shared" si="2894"/>
        <v>#N/A</v>
      </c>
      <c r="I1438" s="16" t="e">
        <f t="shared" si="2894"/>
        <v>#N/A</v>
      </c>
      <c r="J1438" s="40" t="e">
        <f t="shared" si="2894"/>
        <v>#N/A</v>
      </c>
      <c r="K1438" s="16" t="e">
        <f t="shared" si="2894"/>
        <v>#N/A</v>
      </c>
      <c r="L1438" s="40" t="e">
        <f t="shared" si="2421"/>
        <v>#N/A</v>
      </c>
      <c r="M1438" s="16" t="e">
        <f t="shared" si="2422"/>
        <v>#N/A</v>
      </c>
      <c r="N1438" s="16" t="e">
        <f t="shared" si="2423"/>
        <v>#N/A</v>
      </c>
      <c r="O1438" s="16" t="s">
        <v>68</v>
      </c>
      <c r="P1438" s="16" t="str">
        <f t="shared" si="6"/>
        <v/>
      </c>
      <c r="Q1438" s="41" t="e">
        <f t="shared" si="2424"/>
        <v>#N/A</v>
      </c>
      <c r="R1438" s="44"/>
      <c r="S1438" s="44"/>
      <c r="T1438" s="43"/>
      <c r="U1438" s="43" t="str">
        <f t="shared" si="8"/>
        <v>No</v>
      </c>
      <c r="V1438" s="25"/>
      <c r="W1438" s="25"/>
      <c r="X1438" s="25"/>
      <c r="Y1438" s="25"/>
      <c r="Z1438" s="25"/>
    </row>
    <row r="1439" spans="1:26" ht="15.75" customHeight="1" x14ac:dyDescent="0.25">
      <c r="A1439" s="25">
        <v>1437</v>
      </c>
      <c r="B1439" s="37" t="e">
        <f t="shared" ref="B1439:D1439" si="2895">VLOOKUP($A1439,[4]Cultura!$A$1:$O$276,B$1,0)</f>
        <v>#N/A</v>
      </c>
      <c r="C1439" s="38" t="e">
        <f t="shared" si="2895"/>
        <v>#N/A</v>
      </c>
      <c r="D1439" s="39" t="e">
        <f t="shared" si="2895"/>
        <v>#N/A</v>
      </c>
      <c r="E1439" s="16" t="e">
        <f t="shared" si="1"/>
        <v>#N/A</v>
      </c>
      <c r="F1439" s="16" t="e">
        <f t="shared" ref="F1439:K1439" si="2896">VLOOKUP($A1439,[4]Cultura!$A$1:$O$276,F$1,0)</f>
        <v>#N/A</v>
      </c>
      <c r="G1439" s="39" t="e">
        <f t="shared" si="2896"/>
        <v>#N/A</v>
      </c>
      <c r="H1439" s="16" t="e">
        <f t="shared" si="2896"/>
        <v>#N/A</v>
      </c>
      <c r="I1439" s="16" t="e">
        <f t="shared" si="2896"/>
        <v>#N/A</v>
      </c>
      <c r="J1439" s="40" t="e">
        <f t="shared" si="2896"/>
        <v>#N/A</v>
      </c>
      <c r="K1439" s="16" t="e">
        <f t="shared" si="2896"/>
        <v>#N/A</v>
      </c>
      <c r="L1439" s="40" t="e">
        <f t="shared" si="2421"/>
        <v>#N/A</v>
      </c>
      <c r="M1439" s="16" t="e">
        <f t="shared" si="2422"/>
        <v>#N/A</v>
      </c>
      <c r="N1439" s="16" t="e">
        <f t="shared" si="2423"/>
        <v>#N/A</v>
      </c>
      <c r="O1439" s="16" t="s">
        <v>68</v>
      </c>
      <c r="P1439" s="16" t="str">
        <f t="shared" si="6"/>
        <v/>
      </c>
      <c r="Q1439" s="41" t="e">
        <f t="shared" si="2424"/>
        <v>#N/A</v>
      </c>
      <c r="R1439" s="44"/>
      <c r="S1439" s="44"/>
      <c r="T1439" s="43"/>
      <c r="U1439" s="43" t="str">
        <f t="shared" si="8"/>
        <v>No</v>
      </c>
      <c r="V1439" s="25"/>
      <c r="W1439" s="25"/>
      <c r="X1439" s="25"/>
      <c r="Y1439" s="25"/>
      <c r="Z1439" s="25"/>
    </row>
    <row r="1440" spans="1:26" ht="15.75" customHeight="1" x14ac:dyDescent="0.25">
      <c r="A1440" s="25">
        <v>1438</v>
      </c>
      <c r="B1440" s="37" t="e">
        <f t="shared" ref="B1440:D1440" si="2897">VLOOKUP($A1440,[4]Cultura!$A$1:$O$276,B$1,0)</f>
        <v>#N/A</v>
      </c>
      <c r="C1440" s="38" t="e">
        <f t="shared" si="2897"/>
        <v>#N/A</v>
      </c>
      <c r="D1440" s="39" t="e">
        <f t="shared" si="2897"/>
        <v>#N/A</v>
      </c>
      <c r="E1440" s="16" t="e">
        <f t="shared" si="1"/>
        <v>#N/A</v>
      </c>
      <c r="F1440" s="16" t="e">
        <f t="shared" ref="F1440:K1440" si="2898">VLOOKUP($A1440,[4]Cultura!$A$1:$O$276,F$1,0)</f>
        <v>#N/A</v>
      </c>
      <c r="G1440" s="39" t="e">
        <f t="shared" si="2898"/>
        <v>#N/A</v>
      </c>
      <c r="H1440" s="16" t="e">
        <f t="shared" si="2898"/>
        <v>#N/A</v>
      </c>
      <c r="I1440" s="16" t="e">
        <f t="shared" si="2898"/>
        <v>#N/A</v>
      </c>
      <c r="J1440" s="40" t="e">
        <f t="shared" si="2898"/>
        <v>#N/A</v>
      </c>
      <c r="K1440" s="16" t="e">
        <f t="shared" si="2898"/>
        <v>#N/A</v>
      </c>
      <c r="L1440" s="40" t="e">
        <f t="shared" si="2421"/>
        <v>#N/A</v>
      </c>
      <c r="M1440" s="16" t="e">
        <f t="shared" si="2422"/>
        <v>#N/A</v>
      </c>
      <c r="N1440" s="16" t="e">
        <f t="shared" si="2423"/>
        <v>#N/A</v>
      </c>
      <c r="O1440" s="16" t="s">
        <v>68</v>
      </c>
      <c r="P1440" s="16" t="str">
        <f t="shared" si="6"/>
        <v/>
      </c>
      <c r="Q1440" s="41" t="e">
        <f t="shared" si="2424"/>
        <v>#N/A</v>
      </c>
      <c r="R1440" s="44"/>
      <c r="S1440" s="44"/>
      <c r="T1440" s="43"/>
      <c r="U1440" s="43" t="str">
        <f t="shared" si="8"/>
        <v>No</v>
      </c>
      <c r="V1440" s="25"/>
      <c r="W1440" s="25"/>
      <c r="X1440" s="25"/>
      <c r="Y1440" s="25"/>
      <c r="Z1440" s="25"/>
    </row>
    <row r="1441" spans="1:26" ht="15.75" customHeight="1" x14ac:dyDescent="0.25">
      <c r="A1441" s="25">
        <v>1439</v>
      </c>
      <c r="B1441" s="37" t="e">
        <f t="shared" ref="B1441:D1441" si="2899">VLOOKUP($A1441,[4]Cultura!$A$1:$O$276,B$1,0)</f>
        <v>#N/A</v>
      </c>
      <c r="C1441" s="38" t="e">
        <f t="shared" si="2899"/>
        <v>#N/A</v>
      </c>
      <c r="D1441" s="39" t="e">
        <f t="shared" si="2899"/>
        <v>#N/A</v>
      </c>
      <c r="E1441" s="16" t="e">
        <f t="shared" si="1"/>
        <v>#N/A</v>
      </c>
      <c r="F1441" s="16" t="e">
        <f t="shared" ref="F1441:K1441" si="2900">VLOOKUP($A1441,[4]Cultura!$A$1:$O$276,F$1,0)</f>
        <v>#N/A</v>
      </c>
      <c r="G1441" s="39" t="e">
        <f t="shared" si="2900"/>
        <v>#N/A</v>
      </c>
      <c r="H1441" s="16" t="e">
        <f t="shared" si="2900"/>
        <v>#N/A</v>
      </c>
      <c r="I1441" s="16" t="e">
        <f t="shared" si="2900"/>
        <v>#N/A</v>
      </c>
      <c r="J1441" s="40" t="e">
        <f t="shared" si="2900"/>
        <v>#N/A</v>
      </c>
      <c r="K1441" s="16" t="e">
        <f t="shared" si="2900"/>
        <v>#N/A</v>
      </c>
      <c r="L1441" s="40" t="e">
        <f t="shared" si="2421"/>
        <v>#N/A</v>
      </c>
      <c r="M1441" s="16" t="e">
        <f t="shared" si="2422"/>
        <v>#N/A</v>
      </c>
      <c r="N1441" s="16" t="e">
        <f t="shared" si="2423"/>
        <v>#N/A</v>
      </c>
      <c r="O1441" s="16" t="s">
        <v>68</v>
      </c>
      <c r="P1441" s="16" t="str">
        <f t="shared" si="6"/>
        <v/>
      </c>
      <c r="Q1441" s="41" t="e">
        <f t="shared" si="2424"/>
        <v>#N/A</v>
      </c>
      <c r="R1441" s="44"/>
      <c r="S1441" s="44"/>
      <c r="T1441" s="43"/>
      <c r="U1441" s="43" t="str">
        <f t="shared" si="8"/>
        <v>No</v>
      </c>
      <c r="V1441" s="25"/>
      <c r="W1441" s="25"/>
      <c r="X1441" s="25"/>
      <c r="Y1441" s="25"/>
      <c r="Z1441" s="25"/>
    </row>
    <row r="1442" spans="1:26" ht="15.75" customHeight="1" x14ac:dyDescent="0.25">
      <c r="A1442" s="25">
        <v>1440</v>
      </c>
      <c r="B1442" s="37" t="e">
        <f t="shared" ref="B1442:D1442" si="2901">VLOOKUP($A1442,[4]Cultura!$A$1:$O$276,B$1,0)</f>
        <v>#N/A</v>
      </c>
      <c r="C1442" s="38" t="e">
        <f t="shared" si="2901"/>
        <v>#N/A</v>
      </c>
      <c r="D1442" s="39" t="e">
        <f t="shared" si="2901"/>
        <v>#N/A</v>
      </c>
      <c r="E1442" s="16" t="e">
        <f t="shared" si="1"/>
        <v>#N/A</v>
      </c>
      <c r="F1442" s="16" t="e">
        <f t="shared" ref="F1442:K1442" si="2902">VLOOKUP($A1442,[4]Cultura!$A$1:$O$276,F$1,0)</f>
        <v>#N/A</v>
      </c>
      <c r="G1442" s="39" t="e">
        <f t="shared" si="2902"/>
        <v>#N/A</v>
      </c>
      <c r="H1442" s="16" t="e">
        <f t="shared" si="2902"/>
        <v>#N/A</v>
      </c>
      <c r="I1442" s="16" t="e">
        <f t="shared" si="2902"/>
        <v>#N/A</v>
      </c>
      <c r="J1442" s="40" t="e">
        <f t="shared" si="2902"/>
        <v>#N/A</v>
      </c>
      <c r="K1442" s="16" t="e">
        <f t="shared" si="2902"/>
        <v>#N/A</v>
      </c>
      <c r="L1442" s="40" t="e">
        <f t="shared" si="2421"/>
        <v>#N/A</v>
      </c>
      <c r="M1442" s="16" t="e">
        <f t="shared" si="2422"/>
        <v>#N/A</v>
      </c>
      <c r="N1442" s="16" t="e">
        <f t="shared" si="2423"/>
        <v>#N/A</v>
      </c>
      <c r="O1442" s="16" t="s">
        <v>68</v>
      </c>
      <c r="P1442" s="16" t="str">
        <f t="shared" si="6"/>
        <v/>
      </c>
      <c r="Q1442" s="41" t="e">
        <f t="shared" si="2424"/>
        <v>#N/A</v>
      </c>
      <c r="R1442" s="44"/>
      <c r="S1442" s="44"/>
      <c r="T1442" s="43"/>
      <c r="U1442" s="43" t="str">
        <f t="shared" si="8"/>
        <v>No</v>
      </c>
      <c r="V1442" s="25"/>
      <c r="W1442" s="25"/>
      <c r="X1442" s="25"/>
      <c r="Y1442" s="25"/>
      <c r="Z1442" s="25"/>
    </row>
    <row r="1443" spans="1:26" ht="15.75" customHeight="1" x14ac:dyDescent="0.25">
      <c r="A1443" s="25">
        <v>1441</v>
      </c>
      <c r="B1443" s="37" t="e">
        <f t="shared" ref="B1443:D1443" si="2903">VLOOKUP($A1443,[4]Cultura!$A$1:$O$276,B$1,0)</f>
        <v>#N/A</v>
      </c>
      <c r="C1443" s="38" t="e">
        <f t="shared" si="2903"/>
        <v>#N/A</v>
      </c>
      <c r="D1443" s="39" t="e">
        <f t="shared" si="2903"/>
        <v>#N/A</v>
      </c>
      <c r="E1443" s="16" t="e">
        <f t="shared" si="1"/>
        <v>#N/A</v>
      </c>
      <c r="F1443" s="16" t="e">
        <f t="shared" ref="F1443:K1443" si="2904">VLOOKUP($A1443,[4]Cultura!$A$1:$O$276,F$1,0)</f>
        <v>#N/A</v>
      </c>
      <c r="G1443" s="39" t="e">
        <f t="shared" si="2904"/>
        <v>#N/A</v>
      </c>
      <c r="H1443" s="16" t="e">
        <f t="shared" si="2904"/>
        <v>#N/A</v>
      </c>
      <c r="I1443" s="16" t="e">
        <f t="shared" si="2904"/>
        <v>#N/A</v>
      </c>
      <c r="J1443" s="40" t="e">
        <f t="shared" si="2904"/>
        <v>#N/A</v>
      </c>
      <c r="K1443" s="16" t="e">
        <f t="shared" si="2904"/>
        <v>#N/A</v>
      </c>
      <c r="L1443" s="40" t="e">
        <f t="shared" si="2421"/>
        <v>#N/A</v>
      </c>
      <c r="M1443" s="16" t="e">
        <f t="shared" si="2422"/>
        <v>#N/A</v>
      </c>
      <c r="N1443" s="16" t="e">
        <f t="shared" si="2423"/>
        <v>#N/A</v>
      </c>
      <c r="O1443" s="16" t="s">
        <v>68</v>
      </c>
      <c r="P1443" s="16" t="str">
        <f t="shared" si="6"/>
        <v/>
      </c>
      <c r="Q1443" s="41" t="e">
        <f t="shared" si="2424"/>
        <v>#N/A</v>
      </c>
      <c r="R1443" s="44"/>
      <c r="S1443" s="44"/>
      <c r="T1443" s="43"/>
      <c r="U1443" s="43" t="str">
        <f t="shared" si="8"/>
        <v>No</v>
      </c>
      <c r="V1443" s="25"/>
      <c r="W1443" s="25"/>
      <c r="X1443" s="25"/>
      <c r="Y1443" s="25"/>
      <c r="Z1443" s="25"/>
    </row>
    <row r="1444" spans="1:26" ht="15.75" customHeight="1" x14ac:dyDescent="0.25">
      <c r="A1444" s="25">
        <v>1442</v>
      </c>
      <c r="B1444" s="37" t="e">
        <f t="shared" ref="B1444:D1444" si="2905">VLOOKUP($A1444,[4]Cultura!$A$1:$O$276,B$1,0)</f>
        <v>#N/A</v>
      </c>
      <c r="C1444" s="38" t="e">
        <f t="shared" si="2905"/>
        <v>#N/A</v>
      </c>
      <c r="D1444" s="39" t="e">
        <f t="shared" si="2905"/>
        <v>#N/A</v>
      </c>
      <c r="E1444" s="16" t="e">
        <f t="shared" si="1"/>
        <v>#N/A</v>
      </c>
      <c r="F1444" s="16" t="e">
        <f t="shared" ref="F1444:K1444" si="2906">VLOOKUP($A1444,[4]Cultura!$A$1:$O$276,F$1,0)</f>
        <v>#N/A</v>
      </c>
      <c r="G1444" s="39" t="e">
        <f t="shared" si="2906"/>
        <v>#N/A</v>
      </c>
      <c r="H1444" s="16" t="e">
        <f t="shared" si="2906"/>
        <v>#N/A</v>
      </c>
      <c r="I1444" s="16" t="e">
        <f t="shared" si="2906"/>
        <v>#N/A</v>
      </c>
      <c r="J1444" s="40" t="e">
        <f t="shared" si="2906"/>
        <v>#N/A</v>
      </c>
      <c r="K1444" s="16" t="e">
        <f t="shared" si="2906"/>
        <v>#N/A</v>
      </c>
      <c r="L1444" s="40" t="e">
        <f t="shared" si="2421"/>
        <v>#N/A</v>
      </c>
      <c r="M1444" s="16" t="e">
        <f t="shared" si="2422"/>
        <v>#N/A</v>
      </c>
      <c r="N1444" s="16" t="e">
        <f t="shared" si="2423"/>
        <v>#N/A</v>
      </c>
      <c r="O1444" s="16" t="s">
        <v>68</v>
      </c>
      <c r="P1444" s="16" t="str">
        <f t="shared" si="6"/>
        <v/>
      </c>
      <c r="Q1444" s="41" t="e">
        <f t="shared" si="2424"/>
        <v>#N/A</v>
      </c>
      <c r="R1444" s="44"/>
      <c r="S1444" s="44"/>
      <c r="T1444" s="43"/>
      <c r="U1444" s="43" t="str">
        <f t="shared" si="8"/>
        <v>No</v>
      </c>
      <c r="V1444" s="25"/>
      <c r="W1444" s="25"/>
      <c r="X1444" s="25"/>
      <c r="Y1444" s="25"/>
      <c r="Z1444" s="25"/>
    </row>
    <row r="1445" spans="1:26" ht="15.75" customHeight="1" x14ac:dyDescent="0.25">
      <c r="A1445" s="25">
        <v>1443</v>
      </c>
      <c r="B1445" s="37" t="e">
        <f t="shared" ref="B1445:D1445" si="2907">VLOOKUP($A1445,[4]Cultura!$A$1:$O$276,B$1,0)</f>
        <v>#N/A</v>
      </c>
      <c r="C1445" s="38" t="e">
        <f t="shared" si="2907"/>
        <v>#N/A</v>
      </c>
      <c r="D1445" s="39" t="e">
        <f t="shared" si="2907"/>
        <v>#N/A</v>
      </c>
      <c r="E1445" s="16" t="e">
        <f t="shared" si="1"/>
        <v>#N/A</v>
      </c>
      <c r="F1445" s="16" t="e">
        <f t="shared" ref="F1445:K1445" si="2908">VLOOKUP($A1445,[4]Cultura!$A$1:$O$276,F$1,0)</f>
        <v>#N/A</v>
      </c>
      <c r="G1445" s="39" t="e">
        <f t="shared" si="2908"/>
        <v>#N/A</v>
      </c>
      <c r="H1445" s="16" t="e">
        <f t="shared" si="2908"/>
        <v>#N/A</v>
      </c>
      <c r="I1445" s="16" t="e">
        <f t="shared" si="2908"/>
        <v>#N/A</v>
      </c>
      <c r="J1445" s="40" t="e">
        <f t="shared" si="2908"/>
        <v>#N/A</v>
      </c>
      <c r="K1445" s="16" t="e">
        <f t="shared" si="2908"/>
        <v>#N/A</v>
      </c>
      <c r="L1445" s="40" t="e">
        <f t="shared" si="2421"/>
        <v>#N/A</v>
      </c>
      <c r="M1445" s="16" t="e">
        <f t="shared" si="2422"/>
        <v>#N/A</v>
      </c>
      <c r="N1445" s="16" t="e">
        <f t="shared" si="2423"/>
        <v>#N/A</v>
      </c>
      <c r="O1445" s="16" t="s">
        <v>68</v>
      </c>
      <c r="P1445" s="16" t="str">
        <f t="shared" si="6"/>
        <v/>
      </c>
      <c r="Q1445" s="41" t="e">
        <f t="shared" si="2424"/>
        <v>#N/A</v>
      </c>
      <c r="R1445" s="44"/>
      <c r="S1445" s="44"/>
      <c r="T1445" s="43"/>
      <c r="U1445" s="43" t="str">
        <f t="shared" si="8"/>
        <v>No</v>
      </c>
      <c r="V1445" s="25"/>
      <c r="W1445" s="25"/>
      <c r="X1445" s="25"/>
      <c r="Y1445" s="25"/>
      <c r="Z1445" s="25"/>
    </row>
    <row r="1446" spans="1:26" ht="15.75" customHeight="1" x14ac:dyDescent="0.25">
      <c r="A1446" s="25">
        <v>1444</v>
      </c>
      <c r="B1446" s="37" t="e">
        <f t="shared" ref="B1446:D1446" si="2909">VLOOKUP($A1446,[4]Cultura!$A$1:$O$276,B$1,0)</f>
        <v>#N/A</v>
      </c>
      <c r="C1446" s="38" t="e">
        <f t="shared" si="2909"/>
        <v>#N/A</v>
      </c>
      <c r="D1446" s="39" t="e">
        <f t="shared" si="2909"/>
        <v>#N/A</v>
      </c>
      <c r="E1446" s="16" t="e">
        <f t="shared" si="1"/>
        <v>#N/A</v>
      </c>
      <c r="F1446" s="16" t="e">
        <f t="shared" ref="F1446:K1446" si="2910">VLOOKUP($A1446,[4]Cultura!$A$1:$O$276,F$1,0)</f>
        <v>#N/A</v>
      </c>
      <c r="G1446" s="39" t="e">
        <f t="shared" si="2910"/>
        <v>#N/A</v>
      </c>
      <c r="H1446" s="16" t="e">
        <f t="shared" si="2910"/>
        <v>#N/A</v>
      </c>
      <c r="I1446" s="16" t="e">
        <f t="shared" si="2910"/>
        <v>#N/A</v>
      </c>
      <c r="J1446" s="40" t="e">
        <f t="shared" si="2910"/>
        <v>#N/A</v>
      </c>
      <c r="K1446" s="16" t="e">
        <f t="shared" si="2910"/>
        <v>#N/A</v>
      </c>
      <c r="L1446" s="40" t="e">
        <f t="shared" si="2421"/>
        <v>#N/A</v>
      </c>
      <c r="M1446" s="16" t="e">
        <f t="shared" si="2422"/>
        <v>#N/A</v>
      </c>
      <c r="N1446" s="16" t="e">
        <f t="shared" si="2423"/>
        <v>#N/A</v>
      </c>
      <c r="O1446" s="16" t="s">
        <v>68</v>
      </c>
      <c r="P1446" s="16" t="str">
        <f t="shared" si="6"/>
        <v/>
      </c>
      <c r="Q1446" s="41" t="e">
        <f t="shared" si="2424"/>
        <v>#N/A</v>
      </c>
      <c r="R1446" s="44"/>
      <c r="S1446" s="44"/>
      <c r="T1446" s="43"/>
      <c r="U1446" s="43" t="str">
        <f t="shared" si="8"/>
        <v>No</v>
      </c>
      <c r="V1446" s="25"/>
      <c r="W1446" s="25"/>
      <c r="X1446" s="25"/>
      <c r="Y1446" s="25"/>
      <c r="Z1446" s="25"/>
    </row>
    <row r="1447" spans="1:26" ht="15.75" customHeight="1" x14ac:dyDescent="0.25">
      <c r="A1447" s="25">
        <v>1445</v>
      </c>
      <c r="B1447" s="37" t="e">
        <f t="shared" ref="B1447:D1447" si="2911">VLOOKUP($A1447,[4]Cultura!$A$1:$O$276,B$1,0)</f>
        <v>#N/A</v>
      </c>
      <c r="C1447" s="38" t="e">
        <f t="shared" si="2911"/>
        <v>#N/A</v>
      </c>
      <c r="D1447" s="39" t="e">
        <f t="shared" si="2911"/>
        <v>#N/A</v>
      </c>
      <c r="E1447" s="16" t="e">
        <f t="shared" si="1"/>
        <v>#N/A</v>
      </c>
      <c r="F1447" s="16" t="e">
        <f t="shared" ref="F1447:K1447" si="2912">VLOOKUP($A1447,[4]Cultura!$A$1:$O$276,F$1,0)</f>
        <v>#N/A</v>
      </c>
      <c r="G1447" s="39" t="e">
        <f t="shared" si="2912"/>
        <v>#N/A</v>
      </c>
      <c r="H1447" s="16" t="e">
        <f t="shared" si="2912"/>
        <v>#N/A</v>
      </c>
      <c r="I1447" s="16" t="e">
        <f t="shared" si="2912"/>
        <v>#N/A</v>
      </c>
      <c r="J1447" s="40" t="e">
        <f t="shared" si="2912"/>
        <v>#N/A</v>
      </c>
      <c r="K1447" s="16" t="e">
        <f t="shared" si="2912"/>
        <v>#N/A</v>
      </c>
      <c r="L1447" s="40" t="e">
        <f t="shared" si="2421"/>
        <v>#N/A</v>
      </c>
      <c r="M1447" s="16" t="e">
        <f t="shared" si="2422"/>
        <v>#N/A</v>
      </c>
      <c r="N1447" s="16" t="e">
        <f t="shared" si="2423"/>
        <v>#N/A</v>
      </c>
      <c r="O1447" s="16" t="s">
        <v>68</v>
      </c>
      <c r="P1447" s="16" t="str">
        <f t="shared" si="6"/>
        <v/>
      </c>
      <c r="Q1447" s="41" t="e">
        <f t="shared" si="2424"/>
        <v>#N/A</v>
      </c>
      <c r="R1447" s="44"/>
      <c r="S1447" s="44"/>
      <c r="T1447" s="43"/>
      <c r="U1447" s="43" t="str">
        <f t="shared" si="8"/>
        <v>No</v>
      </c>
      <c r="V1447" s="25"/>
      <c r="W1447" s="25"/>
      <c r="X1447" s="25"/>
      <c r="Y1447" s="25"/>
      <c r="Z1447" s="25"/>
    </row>
    <row r="1448" spans="1:26" ht="15.75" customHeight="1" x14ac:dyDescent="0.25">
      <c r="A1448" s="25">
        <v>1446</v>
      </c>
      <c r="B1448" s="37" t="e">
        <f t="shared" ref="B1448:D1448" si="2913">VLOOKUP($A1448,[4]Cultura!$A$1:$O$276,B$1,0)</f>
        <v>#N/A</v>
      </c>
      <c r="C1448" s="38" t="e">
        <f t="shared" si="2913"/>
        <v>#N/A</v>
      </c>
      <c r="D1448" s="39" t="e">
        <f t="shared" si="2913"/>
        <v>#N/A</v>
      </c>
      <c r="E1448" s="16" t="e">
        <f t="shared" si="1"/>
        <v>#N/A</v>
      </c>
      <c r="F1448" s="16" t="e">
        <f t="shared" ref="F1448:K1448" si="2914">VLOOKUP($A1448,[4]Cultura!$A$1:$O$276,F$1,0)</f>
        <v>#N/A</v>
      </c>
      <c r="G1448" s="39" t="e">
        <f t="shared" si="2914"/>
        <v>#N/A</v>
      </c>
      <c r="H1448" s="16" t="e">
        <f t="shared" si="2914"/>
        <v>#N/A</v>
      </c>
      <c r="I1448" s="16" t="e">
        <f t="shared" si="2914"/>
        <v>#N/A</v>
      </c>
      <c r="J1448" s="40" t="e">
        <f t="shared" si="2914"/>
        <v>#N/A</v>
      </c>
      <c r="K1448" s="16" t="e">
        <f t="shared" si="2914"/>
        <v>#N/A</v>
      </c>
      <c r="L1448" s="40" t="e">
        <f t="shared" si="2421"/>
        <v>#N/A</v>
      </c>
      <c r="M1448" s="16" t="e">
        <f t="shared" si="2422"/>
        <v>#N/A</v>
      </c>
      <c r="N1448" s="16" t="e">
        <f t="shared" si="2423"/>
        <v>#N/A</v>
      </c>
      <c r="O1448" s="16" t="s">
        <v>68</v>
      </c>
      <c r="P1448" s="16" t="str">
        <f t="shared" si="6"/>
        <v/>
      </c>
      <c r="Q1448" s="41" t="e">
        <f t="shared" si="2424"/>
        <v>#N/A</v>
      </c>
      <c r="R1448" s="44"/>
      <c r="S1448" s="44"/>
      <c r="T1448" s="43"/>
      <c r="U1448" s="43" t="str">
        <f t="shared" si="8"/>
        <v>No</v>
      </c>
      <c r="V1448" s="25"/>
      <c r="W1448" s="25"/>
      <c r="X1448" s="25"/>
      <c r="Y1448" s="25"/>
      <c r="Z1448" s="25"/>
    </row>
    <row r="1449" spans="1:26" ht="15.75" customHeight="1" x14ac:dyDescent="0.25">
      <c r="A1449" s="25">
        <v>1447</v>
      </c>
      <c r="B1449" s="37" t="e">
        <f t="shared" ref="B1449:D1449" si="2915">VLOOKUP($A1449,[4]Cultura!$A$1:$O$276,B$1,0)</f>
        <v>#N/A</v>
      </c>
      <c r="C1449" s="38" t="e">
        <f t="shared" si="2915"/>
        <v>#N/A</v>
      </c>
      <c r="D1449" s="39" t="e">
        <f t="shared" si="2915"/>
        <v>#N/A</v>
      </c>
      <c r="E1449" s="16" t="e">
        <f t="shared" si="1"/>
        <v>#N/A</v>
      </c>
      <c r="F1449" s="16" t="e">
        <f t="shared" ref="F1449:K1449" si="2916">VLOOKUP($A1449,[4]Cultura!$A$1:$O$276,F$1,0)</f>
        <v>#N/A</v>
      </c>
      <c r="G1449" s="39" t="e">
        <f t="shared" si="2916"/>
        <v>#N/A</v>
      </c>
      <c r="H1449" s="16" t="e">
        <f t="shared" si="2916"/>
        <v>#N/A</v>
      </c>
      <c r="I1449" s="16" t="e">
        <f t="shared" si="2916"/>
        <v>#N/A</v>
      </c>
      <c r="J1449" s="40" t="e">
        <f t="shared" si="2916"/>
        <v>#N/A</v>
      </c>
      <c r="K1449" s="16" t="e">
        <f t="shared" si="2916"/>
        <v>#N/A</v>
      </c>
      <c r="L1449" s="40" t="e">
        <f t="shared" si="2421"/>
        <v>#N/A</v>
      </c>
      <c r="M1449" s="16" t="e">
        <f t="shared" si="2422"/>
        <v>#N/A</v>
      </c>
      <c r="N1449" s="16" t="e">
        <f t="shared" si="2423"/>
        <v>#N/A</v>
      </c>
      <c r="O1449" s="16" t="s">
        <v>68</v>
      </c>
      <c r="P1449" s="16" t="str">
        <f t="shared" si="6"/>
        <v/>
      </c>
      <c r="Q1449" s="41" t="e">
        <f t="shared" si="2424"/>
        <v>#N/A</v>
      </c>
      <c r="R1449" s="44"/>
      <c r="S1449" s="44"/>
      <c r="T1449" s="43"/>
      <c r="U1449" s="43" t="str">
        <f t="shared" si="8"/>
        <v>No</v>
      </c>
      <c r="V1449" s="25"/>
      <c r="W1449" s="25"/>
      <c r="X1449" s="25"/>
      <c r="Y1449" s="25"/>
      <c r="Z1449" s="25"/>
    </row>
    <row r="1450" spans="1:26" ht="15.75" customHeight="1" x14ac:dyDescent="0.25">
      <c r="A1450" s="25">
        <v>1448</v>
      </c>
      <c r="B1450" s="37" t="e">
        <f t="shared" ref="B1450:D1450" si="2917">VLOOKUP($A1450,[4]Cultura!$A$1:$O$276,B$1,0)</f>
        <v>#N/A</v>
      </c>
      <c r="C1450" s="38" t="e">
        <f t="shared" si="2917"/>
        <v>#N/A</v>
      </c>
      <c r="D1450" s="39" t="e">
        <f t="shared" si="2917"/>
        <v>#N/A</v>
      </c>
      <c r="E1450" s="16" t="e">
        <f t="shared" si="1"/>
        <v>#N/A</v>
      </c>
      <c r="F1450" s="16" t="e">
        <f t="shared" ref="F1450:K1450" si="2918">VLOOKUP($A1450,[4]Cultura!$A$1:$O$276,F$1,0)</f>
        <v>#N/A</v>
      </c>
      <c r="G1450" s="39" t="e">
        <f t="shared" si="2918"/>
        <v>#N/A</v>
      </c>
      <c r="H1450" s="16" t="e">
        <f t="shared" si="2918"/>
        <v>#N/A</v>
      </c>
      <c r="I1450" s="16" t="e">
        <f t="shared" si="2918"/>
        <v>#N/A</v>
      </c>
      <c r="J1450" s="40" t="e">
        <f t="shared" si="2918"/>
        <v>#N/A</v>
      </c>
      <c r="K1450" s="16" t="e">
        <f t="shared" si="2918"/>
        <v>#N/A</v>
      </c>
      <c r="L1450" s="40" t="e">
        <f t="shared" si="2421"/>
        <v>#N/A</v>
      </c>
      <c r="M1450" s="16" t="e">
        <f t="shared" si="2422"/>
        <v>#N/A</v>
      </c>
      <c r="N1450" s="16" t="e">
        <f t="shared" si="2423"/>
        <v>#N/A</v>
      </c>
      <c r="O1450" s="16" t="s">
        <v>68</v>
      </c>
      <c r="P1450" s="16" t="str">
        <f t="shared" si="6"/>
        <v/>
      </c>
      <c r="Q1450" s="41" t="e">
        <f t="shared" si="2424"/>
        <v>#N/A</v>
      </c>
      <c r="R1450" s="44"/>
      <c r="S1450" s="44"/>
      <c r="T1450" s="43"/>
      <c r="U1450" s="43" t="str">
        <f t="shared" si="8"/>
        <v>No</v>
      </c>
      <c r="V1450" s="25"/>
      <c r="W1450" s="25"/>
      <c r="X1450" s="25"/>
      <c r="Y1450" s="25"/>
      <c r="Z1450" s="25"/>
    </row>
    <row r="1451" spans="1:26" ht="15.75" customHeight="1" x14ac:dyDescent="0.25">
      <c r="A1451" s="25">
        <v>1449</v>
      </c>
      <c r="B1451" s="37" t="e">
        <f t="shared" ref="B1451:D1451" si="2919">VLOOKUP($A1451,[4]Cultura!$A$1:$O$276,B$1,0)</f>
        <v>#N/A</v>
      </c>
      <c r="C1451" s="38" t="e">
        <f t="shared" si="2919"/>
        <v>#N/A</v>
      </c>
      <c r="D1451" s="39" t="e">
        <f t="shared" si="2919"/>
        <v>#N/A</v>
      </c>
      <c r="E1451" s="16" t="e">
        <f t="shared" si="1"/>
        <v>#N/A</v>
      </c>
      <c r="F1451" s="16" t="e">
        <f t="shared" ref="F1451:K1451" si="2920">VLOOKUP($A1451,[4]Cultura!$A$1:$O$276,F$1,0)</f>
        <v>#N/A</v>
      </c>
      <c r="G1451" s="39" t="e">
        <f t="shared" si="2920"/>
        <v>#N/A</v>
      </c>
      <c r="H1451" s="16" t="e">
        <f t="shared" si="2920"/>
        <v>#N/A</v>
      </c>
      <c r="I1451" s="16" t="e">
        <f t="shared" si="2920"/>
        <v>#N/A</v>
      </c>
      <c r="J1451" s="40" t="e">
        <f t="shared" si="2920"/>
        <v>#N/A</v>
      </c>
      <c r="K1451" s="16" t="e">
        <f t="shared" si="2920"/>
        <v>#N/A</v>
      </c>
      <c r="L1451" s="40" t="e">
        <f t="shared" si="2421"/>
        <v>#N/A</v>
      </c>
      <c r="M1451" s="16" t="e">
        <f t="shared" si="2422"/>
        <v>#N/A</v>
      </c>
      <c r="N1451" s="16" t="e">
        <f t="shared" si="2423"/>
        <v>#N/A</v>
      </c>
      <c r="O1451" s="16" t="s">
        <v>68</v>
      </c>
      <c r="P1451" s="16" t="str">
        <f t="shared" si="6"/>
        <v/>
      </c>
      <c r="Q1451" s="41" t="e">
        <f t="shared" si="2424"/>
        <v>#N/A</v>
      </c>
      <c r="R1451" s="44"/>
      <c r="S1451" s="44"/>
      <c r="T1451" s="43"/>
      <c r="U1451" s="43" t="str">
        <f t="shared" si="8"/>
        <v>No</v>
      </c>
      <c r="V1451" s="25"/>
      <c r="W1451" s="25"/>
      <c r="X1451" s="25"/>
      <c r="Y1451" s="25"/>
      <c r="Z1451" s="25"/>
    </row>
    <row r="1452" spans="1:26" ht="15.75" customHeight="1" x14ac:dyDescent="0.25">
      <c r="A1452" s="25">
        <v>1450</v>
      </c>
      <c r="B1452" s="37" t="e">
        <f t="shared" ref="B1452:D1452" si="2921">VLOOKUP($A1452,[4]Cultura!$A$1:$O$276,B$1,0)</f>
        <v>#N/A</v>
      </c>
      <c r="C1452" s="38" t="e">
        <f t="shared" si="2921"/>
        <v>#N/A</v>
      </c>
      <c r="D1452" s="39" t="e">
        <f t="shared" si="2921"/>
        <v>#N/A</v>
      </c>
      <c r="E1452" s="16" t="e">
        <f t="shared" si="1"/>
        <v>#N/A</v>
      </c>
      <c r="F1452" s="16" t="e">
        <f t="shared" ref="F1452:K1452" si="2922">VLOOKUP($A1452,[4]Cultura!$A$1:$O$276,F$1,0)</f>
        <v>#N/A</v>
      </c>
      <c r="G1452" s="39" t="e">
        <f t="shared" si="2922"/>
        <v>#N/A</v>
      </c>
      <c r="H1452" s="16" t="e">
        <f t="shared" si="2922"/>
        <v>#N/A</v>
      </c>
      <c r="I1452" s="16" t="e">
        <f t="shared" si="2922"/>
        <v>#N/A</v>
      </c>
      <c r="J1452" s="40" t="e">
        <f t="shared" si="2922"/>
        <v>#N/A</v>
      </c>
      <c r="K1452" s="16" t="e">
        <f t="shared" si="2922"/>
        <v>#N/A</v>
      </c>
      <c r="L1452" s="40" t="e">
        <f t="shared" si="2421"/>
        <v>#N/A</v>
      </c>
      <c r="M1452" s="16" t="e">
        <f t="shared" si="2422"/>
        <v>#N/A</v>
      </c>
      <c r="N1452" s="16" t="e">
        <f t="shared" si="2423"/>
        <v>#N/A</v>
      </c>
      <c r="O1452" s="16" t="s">
        <v>68</v>
      </c>
      <c r="P1452" s="16" t="str">
        <f t="shared" si="6"/>
        <v/>
      </c>
      <c r="Q1452" s="41" t="e">
        <f t="shared" si="2424"/>
        <v>#N/A</v>
      </c>
      <c r="R1452" s="44"/>
      <c r="S1452" s="44"/>
      <c r="T1452" s="43"/>
      <c r="U1452" s="43" t="str">
        <f t="shared" si="8"/>
        <v>No</v>
      </c>
      <c r="V1452" s="25"/>
      <c r="W1452" s="25"/>
      <c r="X1452" s="25"/>
      <c r="Y1452" s="25"/>
      <c r="Z1452" s="25"/>
    </row>
    <row r="1453" spans="1:26" ht="15.75" customHeight="1" x14ac:dyDescent="0.25">
      <c r="A1453" s="25">
        <v>1451</v>
      </c>
      <c r="B1453" s="37" t="e">
        <f t="shared" ref="B1453:D1453" si="2923">VLOOKUP($A1453,[4]Cultura!$A$1:$O$276,B$1,0)</f>
        <v>#N/A</v>
      </c>
      <c r="C1453" s="38" t="e">
        <f t="shared" si="2923"/>
        <v>#N/A</v>
      </c>
      <c r="D1453" s="39" t="e">
        <f t="shared" si="2923"/>
        <v>#N/A</v>
      </c>
      <c r="E1453" s="16" t="e">
        <f t="shared" si="1"/>
        <v>#N/A</v>
      </c>
      <c r="F1453" s="16" t="e">
        <f t="shared" ref="F1453:K1453" si="2924">VLOOKUP($A1453,[4]Cultura!$A$1:$O$276,F$1,0)</f>
        <v>#N/A</v>
      </c>
      <c r="G1453" s="39" t="e">
        <f t="shared" si="2924"/>
        <v>#N/A</v>
      </c>
      <c r="H1453" s="16" t="e">
        <f t="shared" si="2924"/>
        <v>#N/A</v>
      </c>
      <c r="I1453" s="16" t="e">
        <f t="shared" si="2924"/>
        <v>#N/A</v>
      </c>
      <c r="J1453" s="40" t="e">
        <f t="shared" si="2924"/>
        <v>#N/A</v>
      </c>
      <c r="K1453" s="16" t="e">
        <f t="shared" si="2924"/>
        <v>#N/A</v>
      </c>
      <c r="L1453" s="40" t="e">
        <f t="shared" si="2421"/>
        <v>#N/A</v>
      </c>
      <c r="M1453" s="16" t="e">
        <f t="shared" si="2422"/>
        <v>#N/A</v>
      </c>
      <c r="N1453" s="16" t="e">
        <f t="shared" si="2423"/>
        <v>#N/A</v>
      </c>
      <c r="O1453" s="16" t="s">
        <v>68</v>
      </c>
      <c r="P1453" s="16" t="str">
        <f t="shared" si="6"/>
        <v/>
      </c>
      <c r="Q1453" s="41" t="e">
        <f t="shared" si="2424"/>
        <v>#N/A</v>
      </c>
      <c r="R1453" s="44"/>
      <c r="S1453" s="44"/>
      <c r="T1453" s="43"/>
      <c r="U1453" s="43" t="str">
        <f t="shared" si="8"/>
        <v>No</v>
      </c>
      <c r="V1453" s="25"/>
      <c r="W1453" s="25"/>
      <c r="X1453" s="25"/>
      <c r="Y1453" s="25"/>
      <c r="Z1453" s="25"/>
    </row>
    <row r="1454" spans="1:26" ht="15.75" customHeight="1" x14ac:dyDescent="0.25">
      <c r="A1454" s="25">
        <v>1452</v>
      </c>
      <c r="B1454" s="37" t="e">
        <f t="shared" ref="B1454:D1454" si="2925">VLOOKUP($A1454,[4]Cultura!$A$1:$O$276,B$1,0)</f>
        <v>#N/A</v>
      </c>
      <c r="C1454" s="38" t="e">
        <f t="shared" si="2925"/>
        <v>#N/A</v>
      </c>
      <c r="D1454" s="39" t="e">
        <f t="shared" si="2925"/>
        <v>#N/A</v>
      </c>
      <c r="E1454" s="16" t="e">
        <f t="shared" si="1"/>
        <v>#N/A</v>
      </c>
      <c r="F1454" s="16" t="e">
        <f t="shared" ref="F1454:K1454" si="2926">VLOOKUP($A1454,[4]Cultura!$A$1:$O$276,F$1,0)</f>
        <v>#N/A</v>
      </c>
      <c r="G1454" s="39" t="e">
        <f t="shared" si="2926"/>
        <v>#N/A</v>
      </c>
      <c r="H1454" s="16" t="e">
        <f t="shared" si="2926"/>
        <v>#N/A</v>
      </c>
      <c r="I1454" s="16" t="e">
        <f t="shared" si="2926"/>
        <v>#N/A</v>
      </c>
      <c r="J1454" s="40" t="e">
        <f t="shared" si="2926"/>
        <v>#N/A</v>
      </c>
      <c r="K1454" s="16" t="e">
        <f t="shared" si="2926"/>
        <v>#N/A</v>
      </c>
      <c r="L1454" s="40" t="e">
        <f t="shared" si="2421"/>
        <v>#N/A</v>
      </c>
      <c r="M1454" s="16" t="e">
        <f t="shared" si="2422"/>
        <v>#N/A</v>
      </c>
      <c r="N1454" s="16" t="e">
        <f t="shared" si="2423"/>
        <v>#N/A</v>
      </c>
      <c r="O1454" s="16" t="s">
        <v>68</v>
      </c>
      <c r="P1454" s="16" t="str">
        <f t="shared" si="6"/>
        <v/>
      </c>
      <c r="Q1454" s="41" t="e">
        <f t="shared" si="2424"/>
        <v>#N/A</v>
      </c>
      <c r="R1454" s="44"/>
      <c r="S1454" s="44"/>
      <c r="T1454" s="43"/>
      <c r="U1454" s="43" t="str">
        <f t="shared" si="8"/>
        <v>No</v>
      </c>
      <c r="V1454" s="25"/>
      <c r="W1454" s="25"/>
      <c r="X1454" s="25"/>
      <c r="Y1454" s="25"/>
      <c r="Z1454" s="25"/>
    </row>
    <row r="1455" spans="1:26" ht="15.75" customHeight="1" x14ac:dyDescent="0.25">
      <c r="A1455" s="25">
        <v>1453</v>
      </c>
      <c r="B1455" s="37" t="e">
        <f t="shared" ref="B1455:D1455" si="2927">VLOOKUP($A1455,[4]Cultura!$A$1:$O$276,B$1,0)</f>
        <v>#N/A</v>
      </c>
      <c r="C1455" s="38" t="e">
        <f t="shared" si="2927"/>
        <v>#N/A</v>
      </c>
      <c r="D1455" s="39" t="e">
        <f t="shared" si="2927"/>
        <v>#N/A</v>
      </c>
      <c r="E1455" s="16" t="e">
        <f t="shared" si="1"/>
        <v>#N/A</v>
      </c>
      <c r="F1455" s="16" t="e">
        <f t="shared" ref="F1455:K1455" si="2928">VLOOKUP($A1455,[4]Cultura!$A$1:$O$276,F$1,0)</f>
        <v>#N/A</v>
      </c>
      <c r="G1455" s="39" t="e">
        <f t="shared" si="2928"/>
        <v>#N/A</v>
      </c>
      <c r="H1455" s="16" t="e">
        <f t="shared" si="2928"/>
        <v>#N/A</v>
      </c>
      <c r="I1455" s="16" t="e">
        <f t="shared" si="2928"/>
        <v>#N/A</v>
      </c>
      <c r="J1455" s="40" t="e">
        <f t="shared" si="2928"/>
        <v>#N/A</v>
      </c>
      <c r="K1455" s="16" t="e">
        <f t="shared" si="2928"/>
        <v>#N/A</v>
      </c>
      <c r="L1455" s="40" t="e">
        <f t="shared" si="2421"/>
        <v>#N/A</v>
      </c>
      <c r="M1455" s="16" t="e">
        <f t="shared" si="2422"/>
        <v>#N/A</v>
      </c>
      <c r="N1455" s="16" t="e">
        <f t="shared" si="2423"/>
        <v>#N/A</v>
      </c>
      <c r="O1455" s="16" t="s">
        <v>68</v>
      </c>
      <c r="P1455" s="16" t="str">
        <f t="shared" si="6"/>
        <v/>
      </c>
      <c r="Q1455" s="41" t="e">
        <f t="shared" si="2424"/>
        <v>#N/A</v>
      </c>
      <c r="R1455" s="44"/>
      <c r="S1455" s="44"/>
      <c r="T1455" s="43"/>
      <c r="U1455" s="43" t="str">
        <f t="shared" si="8"/>
        <v>No</v>
      </c>
      <c r="V1455" s="25"/>
      <c r="W1455" s="25"/>
      <c r="X1455" s="25"/>
      <c r="Y1455" s="25"/>
      <c r="Z1455" s="25"/>
    </row>
    <row r="1456" spans="1:26" ht="15.75" customHeight="1" x14ac:dyDescent="0.25">
      <c r="A1456" s="25">
        <v>1454</v>
      </c>
      <c r="B1456" s="37" t="e">
        <f t="shared" ref="B1456:D1456" si="2929">VLOOKUP($A1456,[4]Cultura!$A$1:$O$276,B$1,0)</f>
        <v>#N/A</v>
      </c>
      <c r="C1456" s="38" t="e">
        <f t="shared" si="2929"/>
        <v>#N/A</v>
      </c>
      <c r="D1456" s="39" t="e">
        <f t="shared" si="2929"/>
        <v>#N/A</v>
      </c>
      <c r="E1456" s="16" t="e">
        <f t="shared" si="1"/>
        <v>#N/A</v>
      </c>
      <c r="F1456" s="16" t="e">
        <f t="shared" ref="F1456:K1456" si="2930">VLOOKUP($A1456,[4]Cultura!$A$1:$O$276,F$1,0)</f>
        <v>#N/A</v>
      </c>
      <c r="G1456" s="39" t="e">
        <f t="shared" si="2930"/>
        <v>#N/A</v>
      </c>
      <c r="H1456" s="16" t="e">
        <f t="shared" si="2930"/>
        <v>#N/A</v>
      </c>
      <c r="I1456" s="16" t="e">
        <f t="shared" si="2930"/>
        <v>#N/A</v>
      </c>
      <c r="J1456" s="40" t="e">
        <f t="shared" si="2930"/>
        <v>#N/A</v>
      </c>
      <c r="K1456" s="16" t="e">
        <f t="shared" si="2930"/>
        <v>#N/A</v>
      </c>
      <c r="L1456" s="40" t="e">
        <f t="shared" si="2421"/>
        <v>#N/A</v>
      </c>
      <c r="M1456" s="16" t="e">
        <f t="shared" si="2422"/>
        <v>#N/A</v>
      </c>
      <c r="N1456" s="16" t="e">
        <f t="shared" si="2423"/>
        <v>#N/A</v>
      </c>
      <c r="O1456" s="16" t="s">
        <v>68</v>
      </c>
      <c r="P1456" s="16" t="str">
        <f t="shared" si="6"/>
        <v/>
      </c>
      <c r="Q1456" s="41" t="e">
        <f t="shared" si="2424"/>
        <v>#N/A</v>
      </c>
      <c r="R1456" s="44"/>
      <c r="S1456" s="44"/>
      <c r="T1456" s="43"/>
      <c r="U1456" s="43" t="str">
        <f t="shared" si="8"/>
        <v>No</v>
      </c>
      <c r="V1456" s="25"/>
      <c r="W1456" s="25"/>
      <c r="X1456" s="25"/>
      <c r="Y1456" s="25"/>
      <c r="Z1456" s="25"/>
    </row>
    <row r="1457" spans="1:26" ht="15.75" customHeight="1" x14ac:dyDescent="0.25">
      <c r="A1457" s="25">
        <v>1455</v>
      </c>
      <c r="B1457" s="37" t="e">
        <f t="shared" ref="B1457:D1457" si="2931">VLOOKUP($A1457,[4]Cultura!$A$1:$O$276,B$1,0)</f>
        <v>#N/A</v>
      </c>
      <c r="C1457" s="38" t="e">
        <f t="shared" si="2931"/>
        <v>#N/A</v>
      </c>
      <c r="D1457" s="39" t="e">
        <f t="shared" si="2931"/>
        <v>#N/A</v>
      </c>
      <c r="E1457" s="16" t="e">
        <f t="shared" si="1"/>
        <v>#N/A</v>
      </c>
      <c r="F1457" s="16" t="e">
        <f t="shared" ref="F1457:K1457" si="2932">VLOOKUP($A1457,[4]Cultura!$A$1:$O$276,F$1,0)</f>
        <v>#N/A</v>
      </c>
      <c r="G1457" s="39" t="e">
        <f t="shared" si="2932"/>
        <v>#N/A</v>
      </c>
      <c r="H1457" s="16" t="e">
        <f t="shared" si="2932"/>
        <v>#N/A</v>
      </c>
      <c r="I1457" s="16" t="e">
        <f t="shared" si="2932"/>
        <v>#N/A</v>
      </c>
      <c r="J1457" s="40" t="e">
        <f t="shared" si="2932"/>
        <v>#N/A</v>
      </c>
      <c r="K1457" s="16" t="e">
        <f t="shared" si="2932"/>
        <v>#N/A</v>
      </c>
      <c r="L1457" s="40" t="e">
        <f t="shared" si="2421"/>
        <v>#N/A</v>
      </c>
      <c r="M1457" s="16" t="e">
        <f t="shared" si="2422"/>
        <v>#N/A</v>
      </c>
      <c r="N1457" s="16" t="e">
        <f t="shared" si="2423"/>
        <v>#N/A</v>
      </c>
      <c r="O1457" s="16" t="s">
        <v>68</v>
      </c>
      <c r="P1457" s="16" t="str">
        <f t="shared" si="6"/>
        <v/>
      </c>
      <c r="Q1457" s="41" t="e">
        <f t="shared" si="2424"/>
        <v>#N/A</v>
      </c>
      <c r="R1457" s="44"/>
      <c r="S1457" s="44"/>
      <c r="T1457" s="43"/>
      <c r="U1457" s="43" t="str">
        <f t="shared" si="8"/>
        <v>No</v>
      </c>
      <c r="V1457" s="25"/>
      <c r="W1457" s="25"/>
      <c r="X1457" s="25"/>
      <c r="Y1457" s="25"/>
      <c r="Z1457" s="25"/>
    </row>
    <row r="1458" spans="1:26" ht="15.75" customHeight="1" x14ac:dyDescent="0.25">
      <c r="A1458" s="25">
        <v>1456</v>
      </c>
      <c r="B1458" s="37" t="e">
        <f t="shared" ref="B1458:D1458" si="2933">VLOOKUP($A1458,[4]Cultura!$A$1:$O$276,B$1,0)</f>
        <v>#N/A</v>
      </c>
      <c r="C1458" s="38" t="e">
        <f t="shared" si="2933"/>
        <v>#N/A</v>
      </c>
      <c r="D1458" s="39" t="e">
        <f t="shared" si="2933"/>
        <v>#N/A</v>
      </c>
      <c r="E1458" s="16" t="e">
        <f t="shared" si="1"/>
        <v>#N/A</v>
      </c>
      <c r="F1458" s="16" t="e">
        <f t="shared" ref="F1458:K1458" si="2934">VLOOKUP($A1458,[4]Cultura!$A$1:$O$276,F$1,0)</f>
        <v>#N/A</v>
      </c>
      <c r="G1458" s="39" t="e">
        <f t="shared" si="2934"/>
        <v>#N/A</v>
      </c>
      <c r="H1458" s="16" t="e">
        <f t="shared" si="2934"/>
        <v>#N/A</v>
      </c>
      <c r="I1458" s="16" t="e">
        <f t="shared" si="2934"/>
        <v>#N/A</v>
      </c>
      <c r="J1458" s="40" t="e">
        <f t="shared" si="2934"/>
        <v>#N/A</v>
      </c>
      <c r="K1458" s="16" t="e">
        <f t="shared" si="2934"/>
        <v>#N/A</v>
      </c>
      <c r="L1458" s="40" t="e">
        <f t="shared" si="2421"/>
        <v>#N/A</v>
      </c>
      <c r="M1458" s="16" t="e">
        <f t="shared" si="2422"/>
        <v>#N/A</v>
      </c>
      <c r="N1458" s="16" t="e">
        <f t="shared" si="2423"/>
        <v>#N/A</v>
      </c>
      <c r="O1458" s="16" t="s">
        <v>68</v>
      </c>
      <c r="P1458" s="16" t="str">
        <f t="shared" si="6"/>
        <v/>
      </c>
      <c r="Q1458" s="41" t="e">
        <f t="shared" si="2424"/>
        <v>#N/A</v>
      </c>
      <c r="R1458" s="44"/>
      <c r="S1458" s="44"/>
      <c r="T1458" s="43"/>
      <c r="U1458" s="43" t="str">
        <f t="shared" si="8"/>
        <v>No</v>
      </c>
      <c r="V1458" s="25"/>
      <c r="W1458" s="25"/>
      <c r="X1458" s="25"/>
      <c r="Y1458" s="25"/>
      <c r="Z1458" s="25"/>
    </row>
    <row r="1459" spans="1:26" ht="15.75" customHeight="1" x14ac:dyDescent="0.25">
      <c r="A1459" s="25">
        <v>1457</v>
      </c>
      <c r="B1459" s="37" t="e">
        <f t="shared" ref="B1459:D1459" si="2935">VLOOKUP($A1459,[4]Cultura!$A$1:$O$276,B$1,0)</f>
        <v>#N/A</v>
      </c>
      <c r="C1459" s="38" t="e">
        <f t="shared" si="2935"/>
        <v>#N/A</v>
      </c>
      <c r="D1459" s="39" t="e">
        <f t="shared" si="2935"/>
        <v>#N/A</v>
      </c>
      <c r="E1459" s="16" t="e">
        <f t="shared" si="1"/>
        <v>#N/A</v>
      </c>
      <c r="F1459" s="16" t="e">
        <f t="shared" ref="F1459:K1459" si="2936">VLOOKUP($A1459,[4]Cultura!$A$1:$O$276,F$1,0)</f>
        <v>#N/A</v>
      </c>
      <c r="G1459" s="39" t="e">
        <f t="shared" si="2936"/>
        <v>#N/A</v>
      </c>
      <c r="H1459" s="16" t="e">
        <f t="shared" si="2936"/>
        <v>#N/A</v>
      </c>
      <c r="I1459" s="16" t="e">
        <f t="shared" si="2936"/>
        <v>#N/A</v>
      </c>
      <c r="J1459" s="40" t="e">
        <f t="shared" si="2936"/>
        <v>#N/A</v>
      </c>
      <c r="K1459" s="16" t="e">
        <f t="shared" si="2936"/>
        <v>#N/A</v>
      </c>
      <c r="L1459" s="40" t="e">
        <f t="shared" si="2421"/>
        <v>#N/A</v>
      </c>
      <c r="M1459" s="16" t="e">
        <f t="shared" si="2422"/>
        <v>#N/A</v>
      </c>
      <c r="N1459" s="16" t="e">
        <f t="shared" si="2423"/>
        <v>#N/A</v>
      </c>
      <c r="O1459" s="16" t="s">
        <v>68</v>
      </c>
      <c r="P1459" s="16" t="str">
        <f t="shared" si="6"/>
        <v/>
      </c>
      <c r="Q1459" s="41" t="e">
        <f t="shared" si="2424"/>
        <v>#N/A</v>
      </c>
      <c r="R1459" s="44"/>
      <c r="S1459" s="44"/>
      <c r="T1459" s="43"/>
      <c r="U1459" s="43" t="str">
        <f t="shared" si="8"/>
        <v>No</v>
      </c>
      <c r="V1459" s="25"/>
      <c r="W1459" s="25"/>
      <c r="X1459" s="25"/>
      <c r="Y1459" s="25"/>
      <c r="Z1459" s="25"/>
    </row>
    <row r="1460" spans="1:26" ht="15.75" customHeight="1" x14ac:dyDescent="0.25">
      <c r="A1460" s="25">
        <v>1458</v>
      </c>
      <c r="B1460" s="37" t="e">
        <f t="shared" ref="B1460:D1460" si="2937">VLOOKUP($A1460,[4]Cultura!$A$1:$O$276,B$1,0)</f>
        <v>#N/A</v>
      </c>
      <c r="C1460" s="38" t="e">
        <f t="shared" si="2937"/>
        <v>#N/A</v>
      </c>
      <c r="D1460" s="39" t="e">
        <f t="shared" si="2937"/>
        <v>#N/A</v>
      </c>
      <c r="E1460" s="16" t="e">
        <f t="shared" si="1"/>
        <v>#N/A</v>
      </c>
      <c r="F1460" s="16" t="e">
        <f t="shared" ref="F1460:K1460" si="2938">VLOOKUP($A1460,[4]Cultura!$A$1:$O$276,F$1,0)</f>
        <v>#N/A</v>
      </c>
      <c r="G1460" s="39" t="e">
        <f t="shared" si="2938"/>
        <v>#N/A</v>
      </c>
      <c r="H1460" s="16" t="e">
        <f t="shared" si="2938"/>
        <v>#N/A</v>
      </c>
      <c r="I1460" s="16" t="e">
        <f t="shared" si="2938"/>
        <v>#N/A</v>
      </c>
      <c r="J1460" s="40" t="e">
        <f t="shared" si="2938"/>
        <v>#N/A</v>
      </c>
      <c r="K1460" s="16" t="e">
        <f t="shared" si="2938"/>
        <v>#N/A</v>
      </c>
      <c r="L1460" s="40" t="e">
        <f t="shared" si="2421"/>
        <v>#N/A</v>
      </c>
      <c r="M1460" s="16" t="e">
        <f t="shared" si="2422"/>
        <v>#N/A</v>
      </c>
      <c r="N1460" s="16" t="e">
        <f t="shared" si="2423"/>
        <v>#N/A</v>
      </c>
      <c r="O1460" s="16" t="s">
        <v>68</v>
      </c>
      <c r="P1460" s="16" t="str">
        <f t="shared" si="6"/>
        <v/>
      </c>
      <c r="Q1460" s="41" t="e">
        <f t="shared" si="2424"/>
        <v>#N/A</v>
      </c>
      <c r="R1460" s="44"/>
      <c r="S1460" s="44"/>
      <c r="T1460" s="43"/>
      <c r="U1460" s="43" t="str">
        <f t="shared" si="8"/>
        <v>No</v>
      </c>
      <c r="V1460" s="25"/>
      <c r="W1460" s="25"/>
      <c r="X1460" s="25"/>
      <c r="Y1460" s="25"/>
      <c r="Z1460" s="25"/>
    </row>
    <row r="1461" spans="1:26" ht="15.75" customHeight="1" x14ac:dyDescent="0.25">
      <c r="A1461" s="25">
        <v>1459</v>
      </c>
      <c r="B1461" s="37" t="e">
        <f t="shared" ref="B1461:D1461" si="2939">VLOOKUP($A1461,[4]Cultura!$A$1:$O$276,B$1,0)</f>
        <v>#N/A</v>
      </c>
      <c r="C1461" s="38" t="e">
        <f t="shared" si="2939"/>
        <v>#N/A</v>
      </c>
      <c r="D1461" s="39" t="e">
        <f t="shared" si="2939"/>
        <v>#N/A</v>
      </c>
      <c r="E1461" s="16" t="e">
        <f t="shared" si="1"/>
        <v>#N/A</v>
      </c>
      <c r="F1461" s="16" t="e">
        <f t="shared" ref="F1461:K1461" si="2940">VLOOKUP($A1461,[4]Cultura!$A$1:$O$276,F$1,0)</f>
        <v>#N/A</v>
      </c>
      <c r="G1461" s="39" t="e">
        <f t="shared" si="2940"/>
        <v>#N/A</v>
      </c>
      <c r="H1461" s="16" t="e">
        <f t="shared" si="2940"/>
        <v>#N/A</v>
      </c>
      <c r="I1461" s="16" t="e">
        <f t="shared" si="2940"/>
        <v>#N/A</v>
      </c>
      <c r="J1461" s="40" t="e">
        <f t="shared" si="2940"/>
        <v>#N/A</v>
      </c>
      <c r="K1461" s="16" t="e">
        <f t="shared" si="2940"/>
        <v>#N/A</v>
      </c>
      <c r="L1461" s="40" t="e">
        <f t="shared" si="2421"/>
        <v>#N/A</v>
      </c>
      <c r="M1461" s="16" t="e">
        <f t="shared" si="2422"/>
        <v>#N/A</v>
      </c>
      <c r="N1461" s="16" t="e">
        <f t="shared" si="2423"/>
        <v>#N/A</v>
      </c>
      <c r="O1461" s="16" t="s">
        <v>68</v>
      </c>
      <c r="P1461" s="16" t="str">
        <f t="shared" si="6"/>
        <v/>
      </c>
      <c r="Q1461" s="41" t="e">
        <f t="shared" si="2424"/>
        <v>#N/A</v>
      </c>
      <c r="R1461" s="44"/>
      <c r="S1461" s="44"/>
      <c r="T1461" s="43"/>
      <c r="U1461" s="43" t="str">
        <f t="shared" si="8"/>
        <v>No</v>
      </c>
      <c r="V1461" s="25"/>
      <c r="W1461" s="25"/>
      <c r="X1461" s="25"/>
      <c r="Y1461" s="25"/>
      <c r="Z1461" s="25"/>
    </row>
    <row r="1462" spans="1:26" ht="15.75" customHeight="1" x14ac:dyDescent="0.25">
      <c r="A1462" s="25">
        <v>1460</v>
      </c>
      <c r="B1462" s="37" t="e">
        <f t="shared" ref="B1462:D1462" si="2941">VLOOKUP($A1462,[4]Cultura!$A$1:$O$276,B$1,0)</f>
        <v>#N/A</v>
      </c>
      <c r="C1462" s="38" t="e">
        <f t="shared" si="2941"/>
        <v>#N/A</v>
      </c>
      <c r="D1462" s="39" t="e">
        <f t="shared" si="2941"/>
        <v>#N/A</v>
      </c>
      <c r="E1462" s="16" t="e">
        <f t="shared" si="1"/>
        <v>#N/A</v>
      </c>
      <c r="F1462" s="16" t="e">
        <f t="shared" ref="F1462:K1462" si="2942">VLOOKUP($A1462,[4]Cultura!$A$1:$O$276,F$1,0)</f>
        <v>#N/A</v>
      </c>
      <c r="G1462" s="39" t="e">
        <f t="shared" si="2942"/>
        <v>#N/A</v>
      </c>
      <c r="H1462" s="16" t="e">
        <f t="shared" si="2942"/>
        <v>#N/A</v>
      </c>
      <c r="I1462" s="16" t="e">
        <f t="shared" si="2942"/>
        <v>#N/A</v>
      </c>
      <c r="J1462" s="40" t="e">
        <f t="shared" si="2942"/>
        <v>#N/A</v>
      </c>
      <c r="K1462" s="16" t="e">
        <f t="shared" si="2942"/>
        <v>#N/A</v>
      </c>
      <c r="L1462" s="40" t="e">
        <f t="shared" si="2421"/>
        <v>#N/A</v>
      </c>
      <c r="M1462" s="16" t="e">
        <f t="shared" si="2422"/>
        <v>#N/A</v>
      </c>
      <c r="N1462" s="16" t="e">
        <f t="shared" si="2423"/>
        <v>#N/A</v>
      </c>
      <c r="O1462" s="16" t="s">
        <v>68</v>
      </c>
      <c r="P1462" s="16" t="str">
        <f t="shared" si="6"/>
        <v/>
      </c>
      <c r="Q1462" s="41" t="e">
        <f t="shared" si="2424"/>
        <v>#N/A</v>
      </c>
      <c r="R1462" s="44"/>
      <c r="S1462" s="44"/>
      <c r="T1462" s="43"/>
      <c r="U1462" s="43" t="str">
        <f t="shared" si="8"/>
        <v>No</v>
      </c>
      <c r="V1462" s="25"/>
      <c r="W1462" s="25"/>
      <c r="X1462" s="25"/>
      <c r="Y1462" s="25"/>
      <c r="Z1462" s="25"/>
    </row>
    <row r="1463" spans="1:26" ht="15.75" customHeight="1" x14ac:dyDescent="0.25">
      <c r="A1463" s="25">
        <v>1461</v>
      </c>
      <c r="B1463" s="37" t="e">
        <f t="shared" ref="B1463:D1463" si="2943">VLOOKUP($A1463,[4]Cultura!$A$1:$O$276,B$1,0)</f>
        <v>#N/A</v>
      </c>
      <c r="C1463" s="38" t="e">
        <f t="shared" si="2943"/>
        <v>#N/A</v>
      </c>
      <c r="D1463" s="39" t="e">
        <f t="shared" si="2943"/>
        <v>#N/A</v>
      </c>
      <c r="E1463" s="16" t="e">
        <f t="shared" si="1"/>
        <v>#N/A</v>
      </c>
      <c r="F1463" s="16" t="e">
        <f t="shared" ref="F1463:K1463" si="2944">VLOOKUP($A1463,[4]Cultura!$A$1:$O$276,F$1,0)</f>
        <v>#N/A</v>
      </c>
      <c r="G1463" s="39" t="e">
        <f t="shared" si="2944"/>
        <v>#N/A</v>
      </c>
      <c r="H1463" s="16" t="e">
        <f t="shared" si="2944"/>
        <v>#N/A</v>
      </c>
      <c r="I1463" s="16" t="e">
        <f t="shared" si="2944"/>
        <v>#N/A</v>
      </c>
      <c r="J1463" s="40" t="e">
        <f t="shared" si="2944"/>
        <v>#N/A</v>
      </c>
      <c r="K1463" s="16" t="e">
        <f t="shared" si="2944"/>
        <v>#N/A</v>
      </c>
      <c r="L1463" s="40" t="e">
        <f t="shared" si="2421"/>
        <v>#N/A</v>
      </c>
      <c r="M1463" s="16" t="e">
        <f t="shared" si="2422"/>
        <v>#N/A</v>
      </c>
      <c r="N1463" s="16" t="e">
        <f t="shared" si="2423"/>
        <v>#N/A</v>
      </c>
      <c r="O1463" s="16" t="s">
        <v>68</v>
      </c>
      <c r="P1463" s="16" t="str">
        <f t="shared" si="6"/>
        <v/>
      </c>
      <c r="Q1463" s="41" t="e">
        <f t="shared" si="2424"/>
        <v>#N/A</v>
      </c>
      <c r="R1463" s="44"/>
      <c r="S1463" s="44"/>
      <c r="T1463" s="43"/>
      <c r="U1463" s="43" t="str">
        <f t="shared" si="8"/>
        <v>No</v>
      </c>
      <c r="V1463" s="25"/>
      <c r="W1463" s="25"/>
      <c r="X1463" s="25"/>
      <c r="Y1463" s="25"/>
      <c r="Z1463" s="25"/>
    </row>
    <row r="1464" spans="1:26" ht="15.75" customHeight="1" x14ac:dyDescent="0.25">
      <c r="A1464" s="25">
        <v>1462</v>
      </c>
      <c r="B1464" s="37" t="e">
        <f t="shared" ref="B1464:D1464" si="2945">VLOOKUP($A1464,[4]Cultura!$A$1:$O$276,B$1,0)</f>
        <v>#N/A</v>
      </c>
      <c r="C1464" s="38" t="e">
        <f t="shared" si="2945"/>
        <v>#N/A</v>
      </c>
      <c r="D1464" s="39" t="e">
        <f t="shared" si="2945"/>
        <v>#N/A</v>
      </c>
      <c r="E1464" s="16" t="e">
        <f t="shared" si="1"/>
        <v>#N/A</v>
      </c>
      <c r="F1464" s="16" t="e">
        <f t="shared" ref="F1464:K1464" si="2946">VLOOKUP($A1464,[4]Cultura!$A$1:$O$276,F$1,0)</f>
        <v>#N/A</v>
      </c>
      <c r="G1464" s="39" t="e">
        <f t="shared" si="2946"/>
        <v>#N/A</v>
      </c>
      <c r="H1464" s="16" t="e">
        <f t="shared" si="2946"/>
        <v>#N/A</v>
      </c>
      <c r="I1464" s="16" t="e">
        <f t="shared" si="2946"/>
        <v>#N/A</v>
      </c>
      <c r="J1464" s="40" t="e">
        <f t="shared" si="2946"/>
        <v>#N/A</v>
      </c>
      <c r="K1464" s="16" t="e">
        <f t="shared" si="2946"/>
        <v>#N/A</v>
      </c>
      <c r="L1464" s="40" t="e">
        <f t="shared" si="2421"/>
        <v>#N/A</v>
      </c>
      <c r="M1464" s="16" t="e">
        <f t="shared" si="2422"/>
        <v>#N/A</v>
      </c>
      <c r="N1464" s="16" t="e">
        <f t="shared" si="2423"/>
        <v>#N/A</v>
      </c>
      <c r="O1464" s="16" t="s">
        <v>68</v>
      </c>
      <c r="P1464" s="16" t="str">
        <f t="shared" si="6"/>
        <v/>
      </c>
      <c r="Q1464" s="41" t="e">
        <f t="shared" si="2424"/>
        <v>#N/A</v>
      </c>
      <c r="R1464" s="44"/>
      <c r="S1464" s="44"/>
      <c r="T1464" s="43"/>
      <c r="U1464" s="43" t="str">
        <f t="shared" si="8"/>
        <v>No</v>
      </c>
      <c r="V1464" s="25"/>
      <c r="W1464" s="25"/>
      <c r="X1464" s="25"/>
      <c r="Y1464" s="25"/>
      <c r="Z1464" s="25"/>
    </row>
    <row r="1465" spans="1:26" ht="15.75" customHeight="1" x14ac:dyDescent="0.25">
      <c r="A1465" s="25">
        <v>1463</v>
      </c>
      <c r="B1465" s="37" t="e">
        <f t="shared" ref="B1465:D1465" si="2947">VLOOKUP($A1465,[4]Cultura!$A$1:$O$276,B$1,0)</f>
        <v>#N/A</v>
      </c>
      <c r="C1465" s="38" t="e">
        <f t="shared" si="2947"/>
        <v>#N/A</v>
      </c>
      <c r="D1465" s="39" t="e">
        <f t="shared" si="2947"/>
        <v>#N/A</v>
      </c>
      <c r="E1465" s="16" t="e">
        <f t="shared" si="1"/>
        <v>#N/A</v>
      </c>
      <c r="F1465" s="16" t="e">
        <f t="shared" ref="F1465:K1465" si="2948">VLOOKUP($A1465,[4]Cultura!$A$1:$O$276,F$1,0)</f>
        <v>#N/A</v>
      </c>
      <c r="G1465" s="39" t="e">
        <f t="shared" si="2948"/>
        <v>#N/A</v>
      </c>
      <c r="H1465" s="16" t="e">
        <f t="shared" si="2948"/>
        <v>#N/A</v>
      </c>
      <c r="I1465" s="16" t="e">
        <f t="shared" si="2948"/>
        <v>#N/A</v>
      </c>
      <c r="J1465" s="40" t="e">
        <f t="shared" si="2948"/>
        <v>#N/A</v>
      </c>
      <c r="K1465" s="16" t="e">
        <f t="shared" si="2948"/>
        <v>#N/A</v>
      </c>
      <c r="L1465" s="40" t="e">
        <f t="shared" si="2421"/>
        <v>#N/A</v>
      </c>
      <c r="M1465" s="16" t="e">
        <f t="shared" si="2422"/>
        <v>#N/A</v>
      </c>
      <c r="N1465" s="16" t="e">
        <f t="shared" si="2423"/>
        <v>#N/A</v>
      </c>
      <c r="O1465" s="16" t="s">
        <v>68</v>
      </c>
      <c r="P1465" s="16" t="str">
        <f t="shared" si="6"/>
        <v/>
      </c>
      <c r="Q1465" s="41" t="e">
        <f t="shared" si="2424"/>
        <v>#N/A</v>
      </c>
      <c r="R1465" s="44"/>
      <c r="S1465" s="44"/>
      <c r="T1465" s="43"/>
      <c r="U1465" s="43" t="str">
        <f t="shared" si="8"/>
        <v>No</v>
      </c>
      <c r="V1465" s="25"/>
      <c r="W1465" s="25"/>
      <c r="X1465" s="25"/>
      <c r="Y1465" s="25"/>
      <c r="Z1465" s="25"/>
    </row>
    <row r="1466" spans="1:26" ht="15.75" customHeight="1" x14ac:dyDescent="0.25">
      <c r="A1466" s="25">
        <v>1464</v>
      </c>
      <c r="B1466" s="37" t="e">
        <f t="shared" ref="B1466:D1466" si="2949">VLOOKUP($A1466,[4]Cultura!$A$1:$O$276,B$1,0)</f>
        <v>#N/A</v>
      </c>
      <c r="C1466" s="38" t="e">
        <f t="shared" si="2949"/>
        <v>#N/A</v>
      </c>
      <c r="D1466" s="39" t="e">
        <f t="shared" si="2949"/>
        <v>#N/A</v>
      </c>
      <c r="E1466" s="16" t="e">
        <f t="shared" si="1"/>
        <v>#N/A</v>
      </c>
      <c r="F1466" s="16" t="e">
        <f t="shared" ref="F1466:K1466" si="2950">VLOOKUP($A1466,[4]Cultura!$A$1:$O$276,F$1,0)</f>
        <v>#N/A</v>
      </c>
      <c r="G1466" s="39" t="e">
        <f t="shared" si="2950"/>
        <v>#N/A</v>
      </c>
      <c r="H1466" s="16" t="e">
        <f t="shared" si="2950"/>
        <v>#N/A</v>
      </c>
      <c r="I1466" s="16" t="e">
        <f t="shared" si="2950"/>
        <v>#N/A</v>
      </c>
      <c r="J1466" s="40" t="e">
        <f t="shared" si="2950"/>
        <v>#N/A</v>
      </c>
      <c r="K1466" s="16" t="e">
        <f t="shared" si="2950"/>
        <v>#N/A</v>
      </c>
      <c r="L1466" s="40" t="e">
        <f t="shared" si="2421"/>
        <v>#N/A</v>
      </c>
      <c r="M1466" s="16" t="e">
        <f t="shared" si="2422"/>
        <v>#N/A</v>
      </c>
      <c r="N1466" s="16" t="e">
        <f t="shared" si="2423"/>
        <v>#N/A</v>
      </c>
      <c r="O1466" s="16" t="s">
        <v>68</v>
      </c>
      <c r="P1466" s="16" t="str">
        <f t="shared" si="6"/>
        <v/>
      </c>
      <c r="Q1466" s="41" t="e">
        <f t="shared" si="2424"/>
        <v>#N/A</v>
      </c>
      <c r="R1466" s="44"/>
      <c r="S1466" s="44"/>
      <c r="T1466" s="43"/>
      <c r="U1466" s="43" t="str">
        <f t="shared" si="8"/>
        <v>No</v>
      </c>
      <c r="V1466" s="25"/>
      <c r="W1466" s="25"/>
      <c r="X1466" s="25"/>
      <c r="Y1466" s="25"/>
      <c r="Z1466" s="25"/>
    </row>
    <row r="1467" spans="1:26" ht="15.75" customHeight="1" x14ac:dyDescent="0.25">
      <c r="A1467" s="25">
        <v>1465</v>
      </c>
      <c r="B1467" s="37" t="e">
        <f t="shared" ref="B1467:D1467" si="2951">VLOOKUP($A1467,[4]Cultura!$A$1:$O$276,B$1,0)</f>
        <v>#N/A</v>
      </c>
      <c r="C1467" s="38" t="e">
        <f t="shared" si="2951"/>
        <v>#N/A</v>
      </c>
      <c r="D1467" s="39" t="e">
        <f t="shared" si="2951"/>
        <v>#N/A</v>
      </c>
      <c r="E1467" s="16" t="e">
        <f t="shared" si="1"/>
        <v>#N/A</v>
      </c>
      <c r="F1467" s="16" t="e">
        <f t="shared" ref="F1467:K1467" si="2952">VLOOKUP($A1467,[4]Cultura!$A$1:$O$276,F$1,0)</f>
        <v>#N/A</v>
      </c>
      <c r="G1467" s="39" t="e">
        <f t="shared" si="2952"/>
        <v>#N/A</v>
      </c>
      <c r="H1467" s="16" t="e">
        <f t="shared" si="2952"/>
        <v>#N/A</v>
      </c>
      <c r="I1467" s="16" t="e">
        <f t="shared" si="2952"/>
        <v>#N/A</v>
      </c>
      <c r="J1467" s="40" t="e">
        <f t="shared" si="2952"/>
        <v>#N/A</v>
      </c>
      <c r="K1467" s="16" t="e">
        <f t="shared" si="2952"/>
        <v>#N/A</v>
      </c>
      <c r="L1467" s="40" t="e">
        <f t="shared" si="2421"/>
        <v>#N/A</v>
      </c>
      <c r="M1467" s="16" t="e">
        <f t="shared" si="2422"/>
        <v>#N/A</v>
      </c>
      <c r="N1467" s="16" t="e">
        <f t="shared" si="2423"/>
        <v>#N/A</v>
      </c>
      <c r="O1467" s="16" t="s">
        <v>68</v>
      </c>
      <c r="P1467" s="16" t="str">
        <f t="shared" si="6"/>
        <v/>
      </c>
      <c r="Q1467" s="41" t="e">
        <f t="shared" si="2424"/>
        <v>#N/A</v>
      </c>
      <c r="R1467" s="44"/>
      <c r="S1467" s="44"/>
      <c r="T1467" s="43"/>
      <c r="U1467" s="43" t="str">
        <f t="shared" si="8"/>
        <v>No</v>
      </c>
      <c r="V1467" s="25"/>
      <c r="W1467" s="25"/>
      <c r="X1467" s="25"/>
      <c r="Y1467" s="25"/>
      <c r="Z1467" s="25"/>
    </row>
    <row r="1468" spans="1:26" ht="15.75" customHeight="1" x14ac:dyDescent="0.25">
      <c r="A1468" s="25">
        <v>1466</v>
      </c>
      <c r="B1468" s="37" t="e">
        <f t="shared" ref="B1468:D1468" si="2953">VLOOKUP($A1468,[4]Cultura!$A$1:$O$276,B$1,0)</f>
        <v>#N/A</v>
      </c>
      <c r="C1468" s="38" t="e">
        <f t="shared" si="2953"/>
        <v>#N/A</v>
      </c>
      <c r="D1468" s="39" t="e">
        <f t="shared" si="2953"/>
        <v>#N/A</v>
      </c>
      <c r="E1468" s="16" t="e">
        <f t="shared" si="1"/>
        <v>#N/A</v>
      </c>
      <c r="F1468" s="16" t="e">
        <f t="shared" ref="F1468:K1468" si="2954">VLOOKUP($A1468,[4]Cultura!$A$1:$O$276,F$1,0)</f>
        <v>#N/A</v>
      </c>
      <c r="G1468" s="39" t="e">
        <f t="shared" si="2954"/>
        <v>#N/A</v>
      </c>
      <c r="H1468" s="16" t="e">
        <f t="shared" si="2954"/>
        <v>#N/A</v>
      </c>
      <c r="I1468" s="16" t="e">
        <f t="shared" si="2954"/>
        <v>#N/A</v>
      </c>
      <c r="J1468" s="40" t="e">
        <f t="shared" si="2954"/>
        <v>#N/A</v>
      </c>
      <c r="K1468" s="16" t="e">
        <f t="shared" si="2954"/>
        <v>#N/A</v>
      </c>
      <c r="L1468" s="40" t="e">
        <f t="shared" si="2421"/>
        <v>#N/A</v>
      </c>
      <c r="M1468" s="16" t="e">
        <f t="shared" si="2422"/>
        <v>#N/A</v>
      </c>
      <c r="N1468" s="16" t="e">
        <f t="shared" si="2423"/>
        <v>#N/A</v>
      </c>
      <c r="O1468" s="16" t="s">
        <v>68</v>
      </c>
      <c r="P1468" s="16" t="str">
        <f t="shared" si="6"/>
        <v/>
      </c>
      <c r="Q1468" s="41" t="e">
        <f t="shared" si="2424"/>
        <v>#N/A</v>
      </c>
      <c r="R1468" s="44"/>
      <c r="S1468" s="44"/>
      <c r="T1468" s="43"/>
      <c r="U1468" s="43" t="str">
        <f t="shared" si="8"/>
        <v>No</v>
      </c>
      <c r="V1468" s="25"/>
      <c r="W1468" s="25"/>
      <c r="X1468" s="25"/>
      <c r="Y1468" s="25"/>
      <c r="Z1468" s="25"/>
    </row>
    <row r="1469" spans="1:26" ht="15.75" customHeight="1" x14ac:dyDescent="0.25">
      <c r="A1469" s="25">
        <v>1467</v>
      </c>
      <c r="B1469" s="37" t="e">
        <f t="shared" ref="B1469:D1469" si="2955">VLOOKUP($A1469,[4]Cultura!$A$1:$O$276,B$1,0)</f>
        <v>#N/A</v>
      </c>
      <c r="C1469" s="38" t="e">
        <f t="shared" si="2955"/>
        <v>#N/A</v>
      </c>
      <c r="D1469" s="39" t="e">
        <f t="shared" si="2955"/>
        <v>#N/A</v>
      </c>
      <c r="E1469" s="16" t="e">
        <f t="shared" si="1"/>
        <v>#N/A</v>
      </c>
      <c r="F1469" s="16" t="e">
        <f t="shared" ref="F1469:K1469" si="2956">VLOOKUP($A1469,[4]Cultura!$A$1:$O$276,F$1,0)</f>
        <v>#N/A</v>
      </c>
      <c r="G1469" s="39" t="e">
        <f t="shared" si="2956"/>
        <v>#N/A</v>
      </c>
      <c r="H1469" s="16" t="e">
        <f t="shared" si="2956"/>
        <v>#N/A</v>
      </c>
      <c r="I1469" s="16" t="e">
        <f t="shared" si="2956"/>
        <v>#N/A</v>
      </c>
      <c r="J1469" s="40" t="e">
        <f t="shared" si="2956"/>
        <v>#N/A</v>
      </c>
      <c r="K1469" s="16" t="e">
        <f t="shared" si="2956"/>
        <v>#N/A</v>
      </c>
      <c r="L1469" s="40" t="e">
        <f t="shared" si="2421"/>
        <v>#N/A</v>
      </c>
      <c r="M1469" s="16" t="e">
        <f t="shared" si="2422"/>
        <v>#N/A</v>
      </c>
      <c r="N1469" s="16" t="e">
        <f t="shared" si="2423"/>
        <v>#N/A</v>
      </c>
      <c r="O1469" s="16" t="s">
        <v>68</v>
      </c>
      <c r="P1469" s="16" t="str">
        <f t="shared" si="6"/>
        <v/>
      </c>
      <c r="Q1469" s="41" t="e">
        <f t="shared" si="2424"/>
        <v>#N/A</v>
      </c>
      <c r="R1469" s="44"/>
      <c r="S1469" s="44"/>
      <c r="T1469" s="43"/>
      <c r="U1469" s="43" t="str">
        <f t="shared" si="8"/>
        <v>No</v>
      </c>
      <c r="V1469" s="25"/>
      <c r="W1469" s="25"/>
      <c r="X1469" s="25"/>
      <c r="Y1469" s="25"/>
      <c r="Z1469" s="25"/>
    </row>
    <row r="1470" spans="1:26" ht="15.75" customHeight="1" x14ac:dyDescent="0.25">
      <c r="A1470" s="25">
        <v>1468</v>
      </c>
      <c r="B1470" s="37" t="e">
        <f t="shared" ref="B1470:D1470" si="2957">VLOOKUP($A1470,[4]Cultura!$A$1:$O$276,B$1,0)</f>
        <v>#N/A</v>
      </c>
      <c r="C1470" s="38" t="e">
        <f t="shared" si="2957"/>
        <v>#N/A</v>
      </c>
      <c r="D1470" s="39" t="e">
        <f t="shared" si="2957"/>
        <v>#N/A</v>
      </c>
      <c r="E1470" s="16" t="e">
        <f t="shared" si="1"/>
        <v>#N/A</v>
      </c>
      <c r="F1470" s="16" t="e">
        <f t="shared" ref="F1470:K1470" si="2958">VLOOKUP($A1470,[4]Cultura!$A$1:$O$276,F$1,0)</f>
        <v>#N/A</v>
      </c>
      <c r="G1470" s="39" t="e">
        <f t="shared" si="2958"/>
        <v>#N/A</v>
      </c>
      <c r="H1470" s="16" t="e">
        <f t="shared" si="2958"/>
        <v>#N/A</v>
      </c>
      <c r="I1470" s="16" t="e">
        <f t="shared" si="2958"/>
        <v>#N/A</v>
      </c>
      <c r="J1470" s="40" t="e">
        <f t="shared" si="2958"/>
        <v>#N/A</v>
      </c>
      <c r="K1470" s="16" t="e">
        <f t="shared" si="2958"/>
        <v>#N/A</v>
      </c>
      <c r="L1470" s="40" t="e">
        <f t="shared" si="2421"/>
        <v>#N/A</v>
      </c>
      <c r="M1470" s="16" t="e">
        <f t="shared" si="2422"/>
        <v>#N/A</v>
      </c>
      <c r="N1470" s="16" t="e">
        <f t="shared" si="2423"/>
        <v>#N/A</v>
      </c>
      <c r="O1470" s="16" t="s">
        <v>68</v>
      </c>
      <c r="P1470" s="16" t="str">
        <f t="shared" si="6"/>
        <v/>
      </c>
      <c r="Q1470" s="41" t="e">
        <f t="shared" si="2424"/>
        <v>#N/A</v>
      </c>
      <c r="R1470" s="44"/>
      <c r="S1470" s="44"/>
      <c r="T1470" s="43"/>
      <c r="U1470" s="43" t="str">
        <f t="shared" si="8"/>
        <v>No</v>
      </c>
      <c r="V1470" s="25"/>
      <c r="W1470" s="25"/>
      <c r="X1470" s="25"/>
      <c r="Y1470" s="25"/>
      <c r="Z1470" s="25"/>
    </row>
    <row r="1471" spans="1:26" ht="15.75" customHeight="1" x14ac:dyDescent="0.25">
      <c r="A1471" s="25">
        <v>1469</v>
      </c>
      <c r="B1471" s="37" t="e">
        <f t="shared" ref="B1471:D1471" si="2959">VLOOKUP($A1471,[4]Cultura!$A$1:$O$276,B$1,0)</f>
        <v>#N/A</v>
      </c>
      <c r="C1471" s="38" t="e">
        <f t="shared" si="2959"/>
        <v>#N/A</v>
      </c>
      <c r="D1471" s="39" t="e">
        <f t="shared" si="2959"/>
        <v>#N/A</v>
      </c>
      <c r="E1471" s="16" t="e">
        <f t="shared" si="1"/>
        <v>#N/A</v>
      </c>
      <c r="F1471" s="16" t="e">
        <f t="shared" ref="F1471:K1471" si="2960">VLOOKUP($A1471,[4]Cultura!$A$1:$O$276,F$1,0)</f>
        <v>#N/A</v>
      </c>
      <c r="G1471" s="39" t="e">
        <f t="shared" si="2960"/>
        <v>#N/A</v>
      </c>
      <c r="H1471" s="16" t="e">
        <f t="shared" si="2960"/>
        <v>#N/A</v>
      </c>
      <c r="I1471" s="16" t="e">
        <f t="shared" si="2960"/>
        <v>#N/A</v>
      </c>
      <c r="J1471" s="40" t="e">
        <f t="shared" si="2960"/>
        <v>#N/A</v>
      </c>
      <c r="K1471" s="16" t="e">
        <f t="shared" si="2960"/>
        <v>#N/A</v>
      </c>
      <c r="L1471" s="40" t="e">
        <f t="shared" si="2421"/>
        <v>#N/A</v>
      </c>
      <c r="M1471" s="16" t="e">
        <f t="shared" si="2422"/>
        <v>#N/A</v>
      </c>
      <c r="N1471" s="16" t="e">
        <f t="shared" si="2423"/>
        <v>#N/A</v>
      </c>
      <c r="O1471" s="16" t="s">
        <v>68</v>
      </c>
      <c r="P1471" s="16" t="str">
        <f t="shared" si="6"/>
        <v/>
      </c>
      <c r="Q1471" s="41" t="e">
        <f t="shared" si="2424"/>
        <v>#N/A</v>
      </c>
      <c r="R1471" s="44"/>
      <c r="S1471" s="44"/>
      <c r="T1471" s="43"/>
      <c r="U1471" s="43" t="str">
        <f t="shared" si="8"/>
        <v>No</v>
      </c>
      <c r="V1471" s="25"/>
      <c r="W1471" s="25"/>
      <c r="X1471" s="25"/>
      <c r="Y1471" s="25"/>
      <c r="Z1471" s="25"/>
    </row>
    <row r="1472" spans="1:26" ht="15.75" customHeight="1" x14ac:dyDescent="0.25">
      <c r="A1472" s="25">
        <v>1470</v>
      </c>
      <c r="B1472" s="37" t="e">
        <f t="shared" ref="B1472:D1472" si="2961">VLOOKUP($A1472,[4]Cultura!$A$1:$O$276,B$1,0)</f>
        <v>#N/A</v>
      </c>
      <c r="C1472" s="38" t="e">
        <f t="shared" si="2961"/>
        <v>#N/A</v>
      </c>
      <c r="D1472" s="39" t="e">
        <f t="shared" si="2961"/>
        <v>#N/A</v>
      </c>
      <c r="E1472" s="16" t="e">
        <f t="shared" si="1"/>
        <v>#N/A</v>
      </c>
      <c r="F1472" s="16" t="e">
        <f t="shared" ref="F1472:K1472" si="2962">VLOOKUP($A1472,[4]Cultura!$A$1:$O$276,F$1,0)</f>
        <v>#N/A</v>
      </c>
      <c r="G1472" s="39" t="e">
        <f t="shared" si="2962"/>
        <v>#N/A</v>
      </c>
      <c r="H1472" s="16" t="e">
        <f t="shared" si="2962"/>
        <v>#N/A</v>
      </c>
      <c r="I1472" s="16" t="e">
        <f t="shared" si="2962"/>
        <v>#N/A</v>
      </c>
      <c r="J1472" s="40" t="e">
        <f t="shared" si="2962"/>
        <v>#N/A</v>
      </c>
      <c r="K1472" s="16" t="e">
        <f t="shared" si="2962"/>
        <v>#N/A</v>
      </c>
      <c r="L1472" s="40" t="e">
        <f t="shared" si="2421"/>
        <v>#N/A</v>
      </c>
      <c r="M1472" s="16" t="e">
        <f t="shared" si="2422"/>
        <v>#N/A</v>
      </c>
      <c r="N1472" s="16" t="e">
        <f t="shared" si="2423"/>
        <v>#N/A</v>
      </c>
      <c r="O1472" s="16" t="s">
        <v>68</v>
      </c>
      <c r="P1472" s="16" t="str">
        <f t="shared" si="6"/>
        <v/>
      </c>
      <c r="Q1472" s="41" t="e">
        <f t="shared" si="2424"/>
        <v>#N/A</v>
      </c>
      <c r="R1472" s="44"/>
      <c r="S1472" s="44"/>
      <c r="T1472" s="43"/>
      <c r="U1472" s="43" t="str">
        <f t="shared" si="8"/>
        <v>No</v>
      </c>
      <c r="V1472" s="25"/>
      <c r="W1472" s="25"/>
      <c r="X1472" s="25"/>
      <c r="Y1472" s="25"/>
      <c r="Z1472" s="25"/>
    </row>
    <row r="1473" spans="1:26" ht="15.75" customHeight="1" x14ac:dyDescent="0.25">
      <c r="A1473" s="25">
        <v>1471</v>
      </c>
      <c r="B1473" s="37" t="e">
        <f t="shared" ref="B1473:D1473" si="2963">VLOOKUP($A1473,[4]Cultura!$A$1:$O$276,B$1,0)</f>
        <v>#N/A</v>
      </c>
      <c r="C1473" s="38" t="e">
        <f t="shared" si="2963"/>
        <v>#N/A</v>
      </c>
      <c r="D1473" s="39" t="e">
        <f t="shared" si="2963"/>
        <v>#N/A</v>
      </c>
      <c r="E1473" s="16" t="e">
        <f t="shared" si="1"/>
        <v>#N/A</v>
      </c>
      <c r="F1473" s="16" t="e">
        <f t="shared" ref="F1473:K1473" si="2964">VLOOKUP($A1473,[4]Cultura!$A$1:$O$276,F$1,0)</f>
        <v>#N/A</v>
      </c>
      <c r="G1473" s="39" t="e">
        <f t="shared" si="2964"/>
        <v>#N/A</v>
      </c>
      <c r="H1473" s="16" t="e">
        <f t="shared" si="2964"/>
        <v>#N/A</v>
      </c>
      <c r="I1473" s="16" t="e">
        <f t="shared" si="2964"/>
        <v>#N/A</v>
      </c>
      <c r="J1473" s="40" t="e">
        <f t="shared" si="2964"/>
        <v>#N/A</v>
      </c>
      <c r="K1473" s="16" t="e">
        <f t="shared" si="2964"/>
        <v>#N/A</v>
      </c>
      <c r="L1473" s="40" t="e">
        <f t="shared" si="2421"/>
        <v>#N/A</v>
      </c>
      <c r="M1473" s="16" t="e">
        <f t="shared" si="2422"/>
        <v>#N/A</v>
      </c>
      <c r="N1473" s="16" t="e">
        <f t="shared" si="2423"/>
        <v>#N/A</v>
      </c>
      <c r="O1473" s="16" t="s">
        <v>68</v>
      </c>
      <c r="P1473" s="16" t="str">
        <f t="shared" si="6"/>
        <v/>
      </c>
      <c r="Q1473" s="41" t="e">
        <f t="shared" si="2424"/>
        <v>#N/A</v>
      </c>
      <c r="R1473" s="44"/>
      <c r="S1473" s="44"/>
      <c r="T1473" s="43"/>
      <c r="U1473" s="43" t="str">
        <f t="shared" si="8"/>
        <v>No</v>
      </c>
      <c r="V1473" s="25"/>
      <c r="W1473" s="25"/>
      <c r="X1473" s="25"/>
      <c r="Y1473" s="25"/>
      <c r="Z1473" s="25"/>
    </row>
    <row r="1474" spans="1:26" ht="15.75" customHeight="1" x14ac:dyDescent="0.25">
      <c r="A1474" s="25">
        <v>1472</v>
      </c>
      <c r="B1474" s="37" t="e">
        <f t="shared" ref="B1474:D1474" si="2965">VLOOKUP($A1474,[4]Cultura!$A$1:$O$276,B$1,0)</f>
        <v>#N/A</v>
      </c>
      <c r="C1474" s="38" t="e">
        <f t="shared" si="2965"/>
        <v>#N/A</v>
      </c>
      <c r="D1474" s="39" t="e">
        <f t="shared" si="2965"/>
        <v>#N/A</v>
      </c>
      <c r="E1474" s="16" t="e">
        <f t="shared" si="1"/>
        <v>#N/A</v>
      </c>
      <c r="F1474" s="16" t="e">
        <f t="shared" ref="F1474:K1474" si="2966">VLOOKUP($A1474,[4]Cultura!$A$1:$O$276,F$1,0)</f>
        <v>#N/A</v>
      </c>
      <c r="G1474" s="39" t="e">
        <f t="shared" si="2966"/>
        <v>#N/A</v>
      </c>
      <c r="H1474" s="16" t="e">
        <f t="shared" si="2966"/>
        <v>#N/A</v>
      </c>
      <c r="I1474" s="16" t="e">
        <f t="shared" si="2966"/>
        <v>#N/A</v>
      </c>
      <c r="J1474" s="40" t="e">
        <f t="shared" si="2966"/>
        <v>#N/A</v>
      </c>
      <c r="K1474" s="16" t="e">
        <f t="shared" si="2966"/>
        <v>#N/A</v>
      </c>
      <c r="L1474" s="40" t="e">
        <f t="shared" si="2421"/>
        <v>#N/A</v>
      </c>
      <c r="M1474" s="16" t="e">
        <f t="shared" si="2422"/>
        <v>#N/A</v>
      </c>
      <c r="N1474" s="16" t="e">
        <f t="shared" si="2423"/>
        <v>#N/A</v>
      </c>
      <c r="O1474" s="16" t="s">
        <v>68</v>
      </c>
      <c r="P1474" s="16" t="str">
        <f t="shared" si="6"/>
        <v/>
      </c>
      <c r="Q1474" s="41" t="e">
        <f t="shared" si="2424"/>
        <v>#N/A</v>
      </c>
      <c r="R1474" s="44"/>
      <c r="S1474" s="44"/>
      <c r="T1474" s="43"/>
      <c r="U1474" s="43" t="str">
        <f t="shared" si="8"/>
        <v>No</v>
      </c>
      <c r="V1474" s="25"/>
      <c r="W1474" s="25"/>
      <c r="X1474" s="25"/>
      <c r="Y1474" s="25"/>
      <c r="Z1474" s="25"/>
    </row>
    <row r="1475" spans="1:26" ht="15.75" customHeight="1" x14ac:dyDescent="0.25">
      <c r="A1475" s="25">
        <v>1473</v>
      </c>
      <c r="B1475" s="37" t="e">
        <f t="shared" ref="B1475:D1475" si="2967">VLOOKUP($A1475,[4]Cultura!$A$1:$O$276,B$1,0)</f>
        <v>#N/A</v>
      </c>
      <c r="C1475" s="38" t="e">
        <f t="shared" si="2967"/>
        <v>#N/A</v>
      </c>
      <c r="D1475" s="39" t="e">
        <f t="shared" si="2967"/>
        <v>#N/A</v>
      </c>
      <c r="E1475" s="16" t="e">
        <f t="shared" si="1"/>
        <v>#N/A</v>
      </c>
      <c r="F1475" s="16" t="e">
        <f t="shared" ref="F1475:K1475" si="2968">VLOOKUP($A1475,[4]Cultura!$A$1:$O$276,F$1,0)</f>
        <v>#N/A</v>
      </c>
      <c r="G1475" s="39" t="e">
        <f t="shared" si="2968"/>
        <v>#N/A</v>
      </c>
      <c r="H1475" s="16" t="e">
        <f t="shared" si="2968"/>
        <v>#N/A</v>
      </c>
      <c r="I1475" s="16" t="e">
        <f t="shared" si="2968"/>
        <v>#N/A</v>
      </c>
      <c r="J1475" s="40" t="e">
        <f t="shared" si="2968"/>
        <v>#N/A</v>
      </c>
      <c r="K1475" s="16" t="e">
        <f t="shared" si="2968"/>
        <v>#N/A</v>
      </c>
      <c r="L1475" s="40" t="e">
        <f t="shared" si="2421"/>
        <v>#N/A</v>
      </c>
      <c r="M1475" s="16" t="e">
        <f t="shared" si="2422"/>
        <v>#N/A</v>
      </c>
      <c r="N1475" s="16" t="e">
        <f t="shared" si="2423"/>
        <v>#N/A</v>
      </c>
      <c r="O1475" s="16" t="s">
        <v>68</v>
      </c>
      <c r="P1475" s="16" t="str">
        <f t="shared" si="6"/>
        <v/>
      </c>
      <c r="Q1475" s="41" t="e">
        <f t="shared" si="2424"/>
        <v>#N/A</v>
      </c>
      <c r="R1475" s="44"/>
      <c r="S1475" s="44"/>
      <c r="T1475" s="43"/>
      <c r="U1475" s="43" t="str">
        <f t="shared" si="8"/>
        <v>No</v>
      </c>
      <c r="V1475" s="25"/>
      <c r="W1475" s="25"/>
      <c r="X1475" s="25"/>
      <c r="Y1475" s="25"/>
      <c r="Z1475" s="25"/>
    </row>
    <row r="1476" spans="1:26" ht="15.75" customHeight="1" x14ac:dyDescent="0.25">
      <c r="A1476" s="25">
        <v>1474</v>
      </c>
      <c r="B1476" s="37" t="e">
        <f t="shared" ref="B1476:D1476" si="2969">VLOOKUP($A1476,[4]Cultura!$A$1:$O$276,B$1,0)</f>
        <v>#N/A</v>
      </c>
      <c r="C1476" s="38" t="e">
        <f t="shared" si="2969"/>
        <v>#N/A</v>
      </c>
      <c r="D1476" s="39" t="e">
        <f t="shared" si="2969"/>
        <v>#N/A</v>
      </c>
      <c r="E1476" s="16" t="e">
        <f t="shared" si="1"/>
        <v>#N/A</v>
      </c>
      <c r="F1476" s="16" t="e">
        <f t="shared" ref="F1476:K1476" si="2970">VLOOKUP($A1476,[4]Cultura!$A$1:$O$276,F$1,0)</f>
        <v>#N/A</v>
      </c>
      <c r="G1476" s="39" t="e">
        <f t="shared" si="2970"/>
        <v>#N/A</v>
      </c>
      <c r="H1476" s="16" t="e">
        <f t="shared" si="2970"/>
        <v>#N/A</v>
      </c>
      <c r="I1476" s="16" t="e">
        <f t="shared" si="2970"/>
        <v>#N/A</v>
      </c>
      <c r="J1476" s="40" t="e">
        <f t="shared" si="2970"/>
        <v>#N/A</v>
      </c>
      <c r="K1476" s="16" t="e">
        <f t="shared" si="2970"/>
        <v>#N/A</v>
      </c>
      <c r="L1476" s="40" t="e">
        <f t="shared" si="2421"/>
        <v>#N/A</v>
      </c>
      <c r="M1476" s="16" t="e">
        <f t="shared" si="2422"/>
        <v>#N/A</v>
      </c>
      <c r="N1476" s="16" t="e">
        <f t="shared" si="2423"/>
        <v>#N/A</v>
      </c>
      <c r="O1476" s="16" t="s">
        <v>68</v>
      </c>
      <c r="P1476" s="16" t="str">
        <f t="shared" si="6"/>
        <v/>
      </c>
      <c r="Q1476" s="41" t="e">
        <f t="shared" si="2424"/>
        <v>#N/A</v>
      </c>
      <c r="R1476" s="44"/>
      <c r="S1476" s="44"/>
      <c r="T1476" s="43"/>
      <c r="U1476" s="43" t="str">
        <f t="shared" si="8"/>
        <v>No</v>
      </c>
      <c r="V1476" s="25"/>
      <c r="W1476" s="25"/>
      <c r="X1476" s="25"/>
      <c r="Y1476" s="25"/>
      <c r="Z1476" s="25"/>
    </row>
    <row r="1477" spans="1:26" ht="15.75" customHeight="1" x14ac:dyDescent="0.25">
      <c r="A1477" s="25">
        <v>1475</v>
      </c>
      <c r="B1477" s="37" t="e">
        <f t="shared" ref="B1477:D1477" si="2971">VLOOKUP($A1477,[4]Cultura!$A$1:$O$276,B$1,0)</f>
        <v>#N/A</v>
      </c>
      <c r="C1477" s="38" t="e">
        <f t="shared" si="2971"/>
        <v>#N/A</v>
      </c>
      <c r="D1477" s="39" t="e">
        <f t="shared" si="2971"/>
        <v>#N/A</v>
      </c>
      <c r="E1477" s="16" t="e">
        <f t="shared" si="1"/>
        <v>#N/A</v>
      </c>
      <c r="F1477" s="16" t="e">
        <f t="shared" ref="F1477:K1477" si="2972">VLOOKUP($A1477,[4]Cultura!$A$1:$O$276,F$1,0)</f>
        <v>#N/A</v>
      </c>
      <c r="G1477" s="39" t="e">
        <f t="shared" si="2972"/>
        <v>#N/A</v>
      </c>
      <c r="H1477" s="16" t="e">
        <f t="shared" si="2972"/>
        <v>#N/A</v>
      </c>
      <c r="I1477" s="16" t="e">
        <f t="shared" si="2972"/>
        <v>#N/A</v>
      </c>
      <c r="J1477" s="40" t="e">
        <f t="shared" si="2972"/>
        <v>#N/A</v>
      </c>
      <c r="K1477" s="16" t="e">
        <f t="shared" si="2972"/>
        <v>#N/A</v>
      </c>
      <c r="L1477" s="40" t="e">
        <f t="shared" si="2421"/>
        <v>#N/A</v>
      </c>
      <c r="M1477" s="16" t="e">
        <f t="shared" si="2422"/>
        <v>#N/A</v>
      </c>
      <c r="N1477" s="16" t="e">
        <f t="shared" si="2423"/>
        <v>#N/A</v>
      </c>
      <c r="O1477" s="16" t="s">
        <v>68</v>
      </c>
      <c r="P1477" s="16" t="str">
        <f t="shared" si="6"/>
        <v/>
      </c>
      <c r="Q1477" s="41" t="e">
        <f t="shared" si="2424"/>
        <v>#N/A</v>
      </c>
      <c r="R1477" s="44"/>
      <c r="S1477" s="44"/>
      <c r="T1477" s="43"/>
      <c r="U1477" s="43" t="str">
        <f t="shared" si="8"/>
        <v>No</v>
      </c>
      <c r="V1477" s="25"/>
      <c r="W1477" s="25"/>
      <c r="X1477" s="25"/>
      <c r="Y1477" s="25"/>
      <c r="Z1477" s="25"/>
    </row>
    <row r="1478" spans="1:26" ht="15.75" customHeight="1" x14ac:dyDescent="0.25">
      <c r="A1478" s="25">
        <v>1476</v>
      </c>
      <c r="B1478" s="37" t="e">
        <f t="shared" ref="B1478:D1478" si="2973">VLOOKUP($A1478,[4]Cultura!$A$1:$O$276,B$1,0)</f>
        <v>#N/A</v>
      </c>
      <c r="C1478" s="38" t="e">
        <f t="shared" si="2973"/>
        <v>#N/A</v>
      </c>
      <c r="D1478" s="39" t="e">
        <f t="shared" si="2973"/>
        <v>#N/A</v>
      </c>
      <c r="E1478" s="16" t="e">
        <f t="shared" si="1"/>
        <v>#N/A</v>
      </c>
      <c r="F1478" s="16" t="e">
        <f t="shared" ref="F1478:K1478" si="2974">VLOOKUP($A1478,[4]Cultura!$A$1:$O$276,F$1,0)</f>
        <v>#N/A</v>
      </c>
      <c r="G1478" s="39" t="e">
        <f t="shared" si="2974"/>
        <v>#N/A</v>
      </c>
      <c r="H1478" s="16" t="e">
        <f t="shared" si="2974"/>
        <v>#N/A</v>
      </c>
      <c r="I1478" s="16" t="e">
        <f t="shared" si="2974"/>
        <v>#N/A</v>
      </c>
      <c r="J1478" s="40" t="e">
        <f t="shared" si="2974"/>
        <v>#N/A</v>
      </c>
      <c r="K1478" s="16" t="e">
        <f t="shared" si="2974"/>
        <v>#N/A</v>
      </c>
      <c r="L1478" s="40" t="e">
        <f t="shared" si="2421"/>
        <v>#N/A</v>
      </c>
      <c r="M1478" s="16" t="e">
        <f t="shared" si="2422"/>
        <v>#N/A</v>
      </c>
      <c r="N1478" s="16" t="e">
        <f t="shared" si="2423"/>
        <v>#N/A</v>
      </c>
      <c r="O1478" s="16" t="s">
        <v>68</v>
      </c>
      <c r="P1478" s="16" t="str">
        <f t="shared" si="6"/>
        <v/>
      </c>
      <c r="Q1478" s="41" t="e">
        <f t="shared" si="2424"/>
        <v>#N/A</v>
      </c>
      <c r="R1478" s="44"/>
      <c r="S1478" s="44"/>
      <c r="T1478" s="43"/>
      <c r="U1478" s="43" t="str">
        <f t="shared" si="8"/>
        <v>No</v>
      </c>
      <c r="V1478" s="25"/>
      <c r="W1478" s="25"/>
      <c r="X1478" s="25"/>
      <c r="Y1478" s="25"/>
      <c r="Z1478" s="25"/>
    </row>
    <row r="1479" spans="1:26" ht="15.75" customHeight="1" x14ac:dyDescent="0.25">
      <c r="A1479" s="25">
        <v>1477</v>
      </c>
      <c r="B1479" s="37" t="e">
        <f t="shared" ref="B1479:D1479" si="2975">VLOOKUP($A1479,[4]Cultura!$A$1:$O$276,B$1,0)</f>
        <v>#N/A</v>
      </c>
      <c r="C1479" s="38" t="e">
        <f t="shared" si="2975"/>
        <v>#N/A</v>
      </c>
      <c r="D1479" s="39" t="e">
        <f t="shared" si="2975"/>
        <v>#N/A</v>
      </c>
      <c r="E1479" s="16" t="e">
        <f t="shared" si="1"/>
        <v>#N/A</v>
      </c>
      <c r="F1479" s="16" t="e">
        <f t="shared" ref="F1479:K1479" si="2976">VLOOKUP($A1479,[4]Cultura!$A$1:$O$276,F$1,0)</f>
        <v>#N/A</v>
      </c>
      <c r="G1479" s="39" t="e">
        <f t="shared" si="2976"/>
        <v>#N/A</v>
      </c>
      <c r="H1479" s="16" t="e">
        <f t="shared" si="2976"/>
        <v>#N/A</v>
      </c>
      <c r="I1479" s="16" t="e">
        <f t="shared" si="2976"/>
        <v>#N/A</v>
      </c>
      <c r="J1479" s="40" t="e">
        <f t="shared" si="2976"/>
        <v>#N/A</v>
      </c>
      <c r="K1479" s="16" t="e">
        <f t="shared" si="2976"/>
        <v>#N/A</v>
      </c>
      <c r="L1479" s="40" t="e">
        <f t="shared" si="2421"/>
        <v>#N/A</v>
      </c>
      <c r="M1479" s="16" t="e">
        <f t="shared" si="2422"/>
        <v>#N/A</v>
      </c>
      <c r="N1479" s="16" t="e">
        <f t="shared" si="2423"/>
        <v>#N/A</v>
      </c>
      <c r="O1479" s="16" t="s">
        <v>68</v>
      </c>
      <c r="P1479" s="16" t="str">
        <f t="shared" si="6"/>
        <v/>
      </c>
      <c r="Q1479" s="41" t="e">
        <f t="shared" si="2424"/>
        <v>#N/A</v>
      </c>
      <c r="R1479" s="44"/>
      <c r="S1479" s="44"/>
      <c r="T1479" s="43"/>
      <c r="U1479" s="43" t="str">
        <f t="shared" si="8"/>
        <v>No</v>
      </c>
      <c r="V1479" s="25"/>
      <c r="W1479" s="25"/>
      <c r="X1479" s="25"/>
      <c r="Y1479" s="25"/>
      <c r="Z1479" s="25"/>
    </row>
    <row r="1480" spans="1:26" ht="15.75" customHeight="1" x14ac:dyDescent="0.25">
      <c r="A1480" s="25">
        <v>1478</v>
      </c>
      <c r="B1480" s="37" t="e">
        <f t="shared" ref="B1480:D1480" si="2977">VLOOKUP($A1480,[4]Cultura!$A$1:$O$276,B$1,0)</f>
        <v>#N/A</v>
      </c>
      <c r="C1480" s="38" t="e">
        <f t="shared" si="2977"/>
        <v>#N/A</v>
      </c>
      <c r="D1480" s="39" t="e">
        <f t="shared" si="2977"/>
        <v>#N/A</v>
      </c>
      <c r="E1480" s="16" t="e">
        <f t="shared" si="1"/>
        <v>#N/A</v>
      </c>
      <c r="F1480" s="16" t="e">
        <f t="shared" ref="F1480:K1480" si="2978">VLOOKUP($A1480,[4]Cultura!$A$1:$O$276,F$1,0)</f>
        <v>#N/A</v>
      </c>
      <c r="G1480" s="39" t="e">
        <f t="shared" si="2978"/>
        <v>#N/A</v>
      </c>
      <c r="H1480" s="16" t="e">
        <f t="shared" si="2978"/>
        <v>#N/A</v>
      </c>
      <c r="I1480" s="16" t="e">
        <f t="shared" si="2978"/>
        <v>#N/A</v>
      </c>
      <c r="J1480" s="40" t="e">
        <f t="shared" si="2978"/>
        <v>#N/A</v>
      </c>
      <c r="K1480" s="16" t="e">
        <f t="shared" si="2978"/>
        <v>#N/A</v>
      </c>
      <c r="L1480" s="40" t="e">
        <f t="shared" si="2421"/>
        <v>#N/A</v>
      </c>
      <c r="M1480" s="16" t="e">
        <f t="shared" si="2422"/>
        <v>#N/A</v>
      </c>
      <c r="N1480" s="16" t="e">
        <f t="shared" si="2423"/>
        <v>#N/A</v>
      </c>
      <c r="O1480" s="16" t="s">
        <v>68</v>
      </c>
      <c r="P1480" s="16" t="str">
        <f t="shared" si="6"/>
        <v/>
      </c>
      <c r="Q1480" s="41" t="e">
        <f t="shared" si="2424"/>
        <v>#N/A</v>
      </c>
      <c r="R1480" s="44"/>
      <c r="S1480" s="44"/>
      <c r="T1480" s="43"/>
      <c r="U1480" s="43" t="str">
        <f t="shared" si="8"/>
        <v>No</v>
      </c>
      <c r="V1480" s="25"/>
      <c r="W1480" s="25"/>
      <c r="X1480" s="25"/>
      <c r="Y1480" s="25"/>
      <c r="Z1480" s="25"/>
    </row>
    <row r="1481" spans="1:26" ht="15.75" customHeight="1" x14ac:dyDescent="0.25">
      <c r="A1481" s="25">
        <v>1479</v>
      </c>
      <c r="B1481" s="37" t="e">
        <f t="shared" ref="B1481:D1481" si="2979">VLOOKUP($A1481,[4]Cultura!$A$1:$O$276,B$1,0)</f>
        <v>#N/A</v>
      </c>
      <c r="C1481" s="38" t="e">
        <f t="shared" si="2979"/>
        <v>#N/A</v>
      </c>
      <c r="D1481" s="39" t="e">
        <f t="shared" si="2979"/>
        <v>#N/A</v>
      </c>
      <c r="E1481" s="16" t="e">
        <f t="shared" si="1"/>
        <v>#N/A</v>
      </c>
      <c r="F1481" s="16" t="e">
        <f t="shared" ref="F1481:K1481" si="2980">VLOOKUP($A1481,[4]Cultura!$A$1:$O$276,F$1,0)</f>
        <v>#N/A</v>
      </c>
      <c r="G1481" s="39" t="e">
        <f t="shared" si="2980"/>
        <v>#N/A</v>
      </c>
      <c r="H1481" s="16" t="e">
        <f t="shared" si="2980"/>
        <v>#N/A</v>
      </c>
      <c r="I1481" s="16" t="e">
        <f t="shared" si="2980"/>
        <v>#N/A</v>
      </c>
      <c r="J1481" s="40" t="e">
        <f t="shared" si="2980"/>
        <v>#N/A</v>
      </c>
      <c r="K1481" s="16" t="e">
        <f t="shared" si="2980"/>
        <v>#N/A</v>
      </c>
      <c r="L1481" s="40" t="e">
        <f t="shared" si="2421"/>
        <v>#N/A</v>
      </c>
      <c r="M1481" s="16" t="e">
        <f t="shared" si="2422"/>
        <v>#N/A</v>
      </c>
      <c r="N1481" s="16" t="e">
        <f t="shared" si="2423"/>
        <v>#N/A</v>
      </c>
      <c r="O1481" s="16" t="s">
        <v>68</v>
      </c>
      <c r="P1481" s="16" t="str">
        <f t="shared" si="6"/>
        <v/>
      </c>
      <c r="Q1481" s="41" t="e">
        <f t="shared" si="2424"/>
        <v>#N/A</v>
      </c>
      <c r="R1481" s="44"/>
      <c r="S1481" s="44"/>
      <c r="T1481" s="43"/>
      <c r="U1481" s="43" t="str">
        <f t="shared" si="8"/>
        <v>No</v>
      </c>
      <c r="V1481" s="25"/>
      <c r="W1481" s="25"/>
      <c r="X1481" s="25"/>
      <c r="Y1481" s="25"/>
      <c r="Z1481" s="25"/>
    </row>
    <row r="1482" spans="1:26" ht="15.75" customHeight="1" x14ac:dyDescent="0.25">
      <c r="A1482" s="25">
        <v>1480</v>
      </c>
      <c r="B1482" s="37" t="e">
        <f t="shared" ref="B1482:D1482" si="2981">VLOOKUP($A1482,[4]Cultura!$A$1:$O$276,B$1,0)</f>
        <v>#N/A</v>
      </c>
      <c r="C1482" s="38" t="e">
        <f t="shared" si="2981"/>
        <v>#N/A</v>
      </c>
      <c r="D1482" s="39" t="e">
        <f t="shared" si="2981"/>
        <v>#N/A</v>
      </c>
      <c r="E1482" s="16" t="e">
        <f t="shared" si="1"/>
        <v>#N/A</v>
      </c>
      <c r="F1482" s="16" t="e">
        <f t="shared" ref="F1482:K1482" si="2982">VLOOKUP($A1482,[4]Cultura!$A$1:$O$276,F$1,0)</f>
        <v>#N/A</v>
      </c>
      <c r="G1482" s="39" t="e">
        <f t="shared" si="2982"/>
        <v>#N/A</v>
      </c>
      <c r="H1482" s="16" t="e">
        <f t="shared" si="2982"/>
        <v>#N/A</v>
      </c>
      <c r="I1482" s="16" t="e">
        <f t="shared" si="2982"/>
        <v>#N/A</v>
      </c>
      <c r="J1482" s="40" t="e">
        <f t="shared" si="2982"/>
        <v>#N/A</v>
      </c>
      <c r="K1482" s="16" t="e">
        <f t="shared" si="2982"/>
        <v>#N/A</v>
      </c>
      <c r="L1482" s="40" t="e">
        <f t="shared" si="2421"/>
        <v>#N/A</v>
      </c>
      <c r="M1482" s="16" t="e">
        <f t="shared" si="2422"/>
        <v>#N/A</v>
      </c>
      <c r="N1482" s="16" t="e">
        <f t="shared" si="2423"/>
        <v>#N/A</v>
      </c>
      <c r="O1482" s="16" t="s">
        <v>68</v>
      </c>
      <c r="P1482" s="16" t="str">
        <f t="shared" si="6"/>
        <v/>
      </c>
      <c r="Q1482" s="41" t="e">
        <f t="shared" si="2424"/>
        <v>#N/A</v>
      </c>
      <c r="R1482" s="44"/>
      <c r="S1482" s="44"/>
      <c r="T1482" s="43"/>
      <c r="U1482" s="43" t="str">
        <f t="shared" si="8"/>
        <v>No</v>
      </c>
      <c r="V1482" s="25"/>
      <c r="W1482" s="25"/>
      <c r="X1482" s="25"/>
      <c r="Y1482" s="25"/>
      <c r="Z1482" s="25"/>
    </row>
    <row r="1483" spans="1:26" ht="15.75" customHeight="1" x14ac:dyDescent="0.25">
      <c r="A1483" s="25">
        <v>1481</v>
      </c>
      <c r="B1483" s="37" t="e">
        <f t="shared" ref="B1483:D1483" si="2983">VLOOKUP($A1483,[4]Cultura!$A$1:$O$276,B$1,0)</f>
        <v>#N/A</v>
      </c>
      <c r="C1483" s="38" t="e">
        <f t="shared" si="2983"/>
        <v>#N/A</v>
      </c>
      <c r="D1483" s="39" t="e">
        <f t="shared" si="2983"/>
        <v>#N/A</v>
      </c>
      <c r="E1483" s="16" t="e">
        <f t="shared" si="1"/>
        <v>#N/A</v>
      </c>
      <c r="F1483" s="16" t="e">
        <f t="shared" ref="F1483:K1483" si="2984">VLOOKUP($A1483,[4]Cultura!$A$1:$O$276,F$1,0)</f>
        <v>#N/A</v>
      </c>
      <c r="G1483" s="39" t="e">
        <f t="shared" si="2984"/>
        <v>#N/A</v>
      </c>
      <c r="H1483" s="16" t="e">
        <f t="shared" si="2984"/>
        <v>#N/A</v>
      </c>
      <c r="I1483" s="16" t="e">
        <f t="shared" si="2984"/>
        <v>#N/A</v>
      </c>
      <c r="J1483" s="40" t="e">
        <f t="shared" si="2984"/>
        <v>#N/A</v>
      </c>
      <c r="K1483" s="16" t="e">
        <f t="shared" si="2984"/>
        <v>#N/A</v>
      </c>
      <c r="L1483" s="40" t="e">
        <f t="shared" si="2421"/>
        <v>#N/A</v>
      </c>
      <c r="M1483" s="16" t="e">
        <f t="shared" si="2422"/>
        <v>#N/A</v>
      </c>
      <c r="N1483" s="16" t="e">
        <f t="shared" si="2423"/>
        <v>#N/A</v>
      </c>
      <c r="O1483" s="16" t="s">
        <v>68</v>
      </c>
      <c r="P1483" s="16" t="str">
        <f t="shared" si="6"/>
        <v/>
      </c>
      <c r="Q1483" s="41" t="e">
        <f t="shared" si="2424"/>
        <v>#N/A</v>
      </c>
      <c r="R1483" s="44"/>
      <c r="S1483" s="44"/>
      <c r="T1483" s="43"/>
      <c r="U1483" s="43" t="str">
        <f t="shared" si="8"/>
        <v>No</v>
      </c>
      <c r="V1483" s="25"/>
      <c r="W1483" s="25"/>
      <c r="X1483" s="25"/>
      <c r="Y1483" s="25"/>
      <c r="Z1483" s="25"/>
    </row>
    <row r="1484" spans="1:26" ht="15.75" customHeight="1" x14ac:dyDescent="0.25">
      <c r="A1484" s="25">
        <v>1482</v>
      </c>
      <c r="B1484" s="37" t="e">
        <f t="shared" ref="B1484:D1484" si="2985">VLOOKUP($A1484,[4]Cultura!$A$1:$O$276,B$1,0)</f>
        <v>#N/A</v>
      </c>
      <c r="C1484" s="38" t="e">
        <f t="shared" si="2985"/>
        <v>#N/A</v>
      </c>
      <c r="D1484" s="39" t="e">
        <f t="shared" si="2985"/>
        <v>#N/A</v>
      </c>
      <c r="E1484" s="16" t="e">
        <f t="shared" si="1"/>
        <v>#N/A</v>
      </c>
      <c r="F1484" s="16" t="e">
        <f t="shared" ref="F1484:K1484" si="2986">VLOOKUP($A1484,[4]Cultura!$A$1:$O$276,F$1,0)</f>
        <v>#N/A</v>
      </c>
      <c r="G1484" s="39" t="e">
        <f t="shared" si="2986"/>
        <v>#N/A</v>
      </c>
      <c r="H1484" s="16" t="e">
        <f t="shared" si="2986"/>
        <v>#N/A</v>
      </c>
      <c r="I1484" s="16" t="e">
        <f t="shared" si="2986"/>
        <v>#N/A</v>
      </c>
      <c r="J1484" s="40" t="e">
        <f t="shared" si="2986"/>
        <v>#N/A</v>
      </c>
      <c r="K1484" s="16" t="e">
        <f t="shared" si="2986"/>
        <v>#N/A</v>
      </c>
      <c r="L1484" s="40" t="e">
        <f t="shared" si="2421"/>
        <v>#N/A</v>
      </c>
      <c r="M1484" s="16" t="e">
        <f t="shared" si="2422"/>
        <v>#N/A</v>
      </c>
      <c r="N1484" s="16" t="e">
        <f t="shared" si="2423"/>
        <v>#N/A</v>
      </c>
      <c r="O1484" s="16" t="s">
        <v>68</v>
      </c>
      <c r="P1484" s="16" t="str">
        <f t="shared" si="6"/>
        <v/>
      </c>
      <c r="Q1484" s="41" t="e">
        <f t="shared" si="2424"/>
        <v>#N/A</v>
      </c>
      <c r="R1484" s="44"/>
      <c r="S1484" s="44"/>
      <c r="T1484" s="43"/>
      <c r="U1484" s="43" t="str">
        <f t="shared" si="8"/>
        <v>No</v>
      </c>
      <c r="V1484" s="25"/>
      <c r="W1484" s="25"/>
      <c r="X1484" s="25"/>
      <c r="Y1484" s="25"/>
      <c r="Z1484" s="25"/>
    </row>
    <row r="1485" spans="1:26" ht="15.75" customHeight="1" x14ac:dyDescent="0.25">
      <c r="A1485" s="25">
        <v>1483</v>
      </c>
      <c r="B1485" s="37" t="e">
        <f t="shared" ref="B1485:D1485" si="2987">VLOOKUP($A1485,[4]Cultura!$A$1:$O$276,B$1,0)</f>
        <v>#N/A</v>
      </c>
      <c r="C1485" s="38" t="e">
        <f t="shared" si="2987"/>
        <v>#N/A</v>
      </c>
      <c r="D1485" s="39" t="e">
        <f t="shared" si="2987"/>
        <v>#N/A</v>
      </c>
      <c r="E1485" s="16" t="e">
        <f t="shared" si="1"/>
        <v>#N/A</v>
      </c>
      <c r="F1485" s="16" t="e">
        <f t="shared" ref="F1485:K1485" si="2988">VLOOKUP($A1485,[4]Cultura!$A$1:$O$276,F$1,0)</f>
        <v>#N/A</v>
      </c>
      <c r="G1485" s="39" t="e">
        <f t="shared" si="2988"/>
        <v>#N/A</v>
      </c>
      <c r="H1485" s="16" t="e">
        <f t="shared" si="2988"/>
        <v>#N/A</v>
      </c>
      <c r="I1485" s="16" t="e">
        <f t="shared" si="2988"/>
        <v>#N/A</v>
      </c>
      <c r="J1485" s="40" t="e">
        <f t="shared" si="2988"/>
        <v>#N/A</v>
      </c>
      <c r="K1485" s="16" t="e">
        <f t="shared" si="2988"/>
        <v>#N/A</v>
      </c>
      <c r="L1485" s="40" t="e">
        <f t="shared" si="2421"/>
        <v>#N/A</v>
      </c>
      <c r="M1485" s="16" t="e">
        <f t="shared" si="2422"/>
        <v>#N/A</v>
      </c>
      <c r="N1485" s="16" t="e">
        <f t="shared" si="2423"/>
        <v>#N/A</v>
      </c>
      <c r="O1485" s="16" t="s">
        <v>68</v>
      </c>
      <c r="P1485" s="16" t="str">
        <f t="shared" si="6"/>
        <v/>
      </c>
      <c r="Q1485" s="41" t="e">
        <f t="shared" si="2424"/>
        <v>#N/A</v>
      </c>
      <c r="R1485" s="44"/>
      <c r="S1485" s="44"/>
      <c r="T1485" s="43"/>
      <c r="U1485" s="43" t="str">
        <f t="shared" si="8"/>
        <v>No</v>
      </c>
      <c r="V1485" s="25"/>
      <c r="W1485" s="25"/>
      <c r="X1485" s="25"/>
      <c r="Y1485" s="25"/>
      <c r="Z1485" s="25"/>
    </row>
    <row r="1486" spans="1:26" ht="15.75" customHeight="1" x14ac:dyDescent="0.25">
      <c r="A1486" s="25">
        <v>1484</v>
      </c>
      <c r="B1486" s="37" t="e">
        <f t="shared" ref="B1486:D1486" si="2989">VLOOKUP($A1486,[4]Cultura!$A$1:$O$276,B$1,0)</f>
        <v>#N/A</v>
      </c>
      <c r="C1486" s="38" t="e">
        <f t="shared" si="2989"/>
        <v>#N/A</v>
      </c>
      <c r="D1486" s="39" t="e">
        <f t="shared" si="2989"/>
        <v>#N/A</v>
      </c>
      <c r="E1486" s="16" t="e">
        <f t="shared" si="1"/>
        <v>#N/A</v>
      </c>
      <c r="F1486" s="16" t="e">
        <f t="shared" ref="F1486:K1486" si="2990">VLOOKUP($A1486,[4]Cultura!$A$1:$O$276,F$1,0)</f>
        <v>#N/A</v>
      </c>
      <c r="G1486" s="39" t="e">
        <f t="shared" si="2990"/>
        <v>#N/A</v>
      </c>
      <c r="H1486" s="16" t="e">
        <f t="shared" si="2990"/>
        <v>#N/A</v>
      </c>
      <c r="I1486" s="16" t="e">
        <f t="shared" si="2990"/>
        <v>#N/A</v>
      </c>
      <c r="J1486" s="40" t="e">
        <f t="shared" si="2990"/>
        <v>#N/A</v>
      </c>
      <c r="K1486" s="16" t="e">
        <f t="shared" si="2990"/>
        <v>#N/A</v>
      </c>
      <c r="L1486" s="40" t="e">
        <f t="shared" si="2421"/>
        <v>#N/A</v>
      </c>
      <c r="M1486" s="16" t="e">
        <f t="shared" si="2422"/>
        <v>#N/A</v>
      </c>
      <c r="N1486" s="16" t="e">
        <f t="shared" si="2423"/>
        <v>#N/A</v>
      </c>
      <c r="O1486" s="16" t="s">
        <v>68</v>
      </c>
      <c r="P1486" s="16" t="str">
        <f t="shared" si="6"/>
        <v/>
      </c>
      <c r="Q1486" s="41" t="e">
        <f t="shared" si="2424"/>
        <v>#N/A</v>
      </c>
      <c r="R1486" s="44"/>
      <c r="S1486" s="44"/>
      <c r="T1486" s="43"/>
      <c r="U1486" s="43" t="str">
        <f t="shared" si="8"/>
        <v>No</v>
      </c>
      <c r="V1486" s="25"/>
      <c r="W1486" s="25"/>
      <c r="X1486" s="25"/>
      <c r="Y1486" s="25"/>
      <c r="Z1486" s="25"/>
    </row>
    <row r="1487" spans="1:26" ht="15.75" customHeight="1" x14ac:dyDescent="0.25">
      <c r="A1487" s="25">
        <v>1485</v>
      </c>
      <c r="B1487" s="37" t="e">
        <f t="shared" ref="B1487:D1487" si="2991">VLOOKUP($A1487,[4]Cultura!$A$1:$O$276,B$1,0)</f>
        <v>#N/A</v>
      </c>
      <c r="C1487" s="38" t="e">
        <f t="shared" si="2991"/>
        <v>#N/A</v>
      </c>
      <c r="D1487" s="39" t="e">
        <f t="shared" si="2991"/>
        <v>#N/A</v>
      </c>
      <c r="E1487" s="16" t="e">
        <f t="shared" si="1"/>
        <v>#N/A</v>
      </c>
      <c r="F1487" s="16" t="e">
        <f t="shared" ref="F1487:K1487" si="2992">VLOOKUP($A1487,[4]Cultura!$A$1:$O$276,F$1,0)</f>
        <v>#N/A</v>
      </c>
      <c r="G1487" s="39" t="e">
        <f t="shared" si="2992"/>
        <v>#N/A</v>
      </c>
      <c r="H1487" s="16" t="e">
        <f t="shared" si="2992"/>
        <v>#N/A</v>
      </c>
      <c r="I1487" s="16" t="e">
        <f t="shared" si="2992"/>
        <v>#N/A</v>
      </c>
      <c r="J1487" s="40" t="e">
        <f t="shared" si="2992"/>
        <v>#N/A</v>
      </c>
      <c r="K1487" s="16" t="e">
        <f t="shared" si="2992"/>
        <v>#N/A</v>
      </c>
      <c r="L1487" s="40" t="e">
        <f t="shared" si="2421"/>
        <v>#N/A</v>
      </c>
      <c r="M1487" s="16" t="e">
        <f t="shared" si="2422"/>
        <v>#N/A</v>
      </c>
      <c r="N1487" s="16" t="e">
        <f t="shared" si="2423"/>
        <v>#N/A</v>
      </c>
      <c r="O1487" s="16" t="s">
        <v>68</v>
      </c>
      <c r="P1487" s="16" t="str">
        <f t="shared" si="6"/>
        <v/>
      </c>
      <c r="Q1487" s="41" t="e">
        <f t="shared" si="2424"/>
        <v>#N/A</v>
      </c>
      <c r="R1487" s="44"/>
      <c r="S1487" s="44"/>
      <c r="T1487" s="43"/>
      <c r="U1487" s="43" t="str">
        <f t="shared" si="8"/>
        <v>No</v>
      </c>
      <c r="V1487" s="25"/>
      <c r="W1487" s="25"/>
      <c r="X1487" s="25"/>
      <c r="Y1487" s="25"/>
      <c r="Z1487" s="25"/>
    </row>
    <row r="1488" spans="1:26" ht="15.75" customHeight="1" x14ac:dyDescent="0.25">
      <c r="A1488" s="25">
        <v>1486</v>
      </c>
      <c r="B1488" s="37" t="e">
        <f t="shared" ref="B1488:D1488" si="2993">VLOOKUP($A1488,[4]Cultura!$A$1:$O$276,B$1,0)</f>
        <v>#N/A</v>
      </c>
      <c r="C1488" s="38" t="e">
        <f t="shared" si="2993"/>
        <v>#N/A</v>
      </c>
      <c r="D1488" s="39" t="e">
        <f t="shared" si="2993"/>
        <v>#N/A</v>
      </c>
      <c r="E1488" s="16" t="e">
        <f t="shared" si="1"/>
        <v>#N/A</v>
      </c>
      <c r="F1488" s="16" t="e">
        <f t="shared" ref="F1488:K1488" si="2994">VLOOKUP($A1488,[4]Cultura!$A$1:$O$276,F$1,0)</f>
        <v>#N/A</v>
      </c>
      <c r="G1488" s="39" t="e">
        <f t="shared" si="2994"/>
        <v>#N/A</v>
      </c>
      <c r="H1488" s="16" t="e">
        <f t="shared" si="2994"/>
        <v>#N/A</v>
      </c>
      <c r="I1488" s="16" t="e">
        <f t="shared" si="2994"/>
        <v>#N/A</v>
      </c>
      <c r="J1488" s="40" t="e">
        <f t="shared" si="2994"/>
        <v>#N/A</v>
      </c>
      <c r="K1488" s="16" t="e">
        <f t="shared" si="2994"/>
        <v>#N/A</v>
      </c>
      <c r="L1488" s="40" t="e">
        <f t="shared" si="2421"/>
        <v>#N/A</v>
      </c>
      <c r="M1488" s="16" t="e">
        <f t="shared" si="2422"/>
        <v>#N/A</v>
      </c>
      <c r="N1488" s="16" t="e">
        <f t="shared" si="2423"/>
        <v>#N/A</v>
      </c>
      <c r="O1488" s="16" t="s">
        <v>68</v>
      </c>
      <c r="P1488" s="16" t="str">
        <f t="shared" si="6"/>
        <v/>
      </c>
      <c r="Q1488" s="41" t="e">
        <f t="shared" si="2424"/>
        <v>#N/A</v>
      </c>
      <c r="R1488" s="44"/>
      <c r="S1488" s="44"/>
      <c r="T1488" s="43"/>
      <c r="U1488" s="43" t="str">
        <f t="shared" si="8"/>
        <v>No</v>
      </c>
      <c r="V1488" s="25"/>
      <c r="W1488" s="25"/>
      <c r="X1488" s="25"/>
      <c r="Y1488" s="25"/>
      <c r="Z1488" s="25"/>
    </row>
    <row r="1489" spans="1:26" ht="15.75" customHeight="1" x14ac:dyDescent="0.25">
      <c r="A1489" s="25">
        <v>1487</v>
      </c>
      <c r="B1489" s="37" t="e">
        <f t="shared" ref="B1489:D1489" si="2995">VLOOKUP($A1489,[4]Cultura!$A$1:$O$276,B$1,0)</f>
        <v>#N/A</v>
      </c>
      <c r="C1489" s="38" t="e">
        <f t="shared" si="2995"/>
        <v>#N/A</v>
      </c>
      <c r="D1489" s="39" t="e">
        <f t="shared" si="2995"/>
        <v>#N/A</v>
      </c>
      <c r="E1489" s="16" t="e">
        <f t="shared" si="1"/>
        <v>#N/A</v>
      </c>
      <c r="F1489" s="16" t="e">
        <f t="shared" ref="F1489:K1489" si="2996">VLOOKUP($A1489,[4]Cultura!$A$1:$O$276,F$1,0)</f>
        <v>#N/A</v>
      </c>
      <c r="G1489" s="39" t="e">
        <f t="shared" si="2996"/>
        <v>#N/A</v>
      </c>
      <c r="H1489" s="16" t="e">
        <f t="shared" si="2996"/>
        <v>#N/A</v>
      </c>
      <c r="I1489" s="16" t="e">
        <f t="shared" si="2996"/>
        <v>#N/A</v>
      </c>
      <c r="J1489" s="40" t="e">
        <f t="shared" si="2996"/>
        <v>#N/A</v>
      </c>
      <c r="K1489" s="16" t="e">
        <f t="shared" si="2996"/>
        <v>#N/A</v>
      </c>
      <c r="L1489" s="40" t="e">
        <f t="shared" si="2421"/>
        <v>#N/A</v>
      </c>
      <c r="M1489" s="16" t="e">
        <f t="shared" si="2422"/>
        <v>#N/A</v>
      </c>
      <c r="N1489" s="16" t="e">
        <f t="shared" si="2423"/>
        <v>#N/A</v>
      </c>
      <c r="O1489" s="16" t="s">
        <v>68</v>
      </c>
      <c r="P1489" s="16" t="str">
        <f t="shared" si="6"/>
        <v/>
      </c>
      <c r="Q1489" s="41" t="e">
        <f t="shared" si="2424"/>
        <v>#N/A</v>
      </c>
      <c r="R1489" s="44"/>
      <c r="S1489" s="44"/>
      <c r="T1489" s="43"/>
      <c r="U1489" s="43" t="str">
        <f t="shared" si="8"/>
        <v>No</v>
      </c>
      <c r="V1489" s="25"/>
      <c r="W1489" s="25"/>
      <c r="X1489" s="25"/>
      <c r="Y1489" s="25"/>
      <c r="Z1489" s="25"/>
    </row>
    <row r="1490" spans="1:26" ht="15.75" customHeight="1" x14ac:dyDescent="0.25">
      <c r="A1490" s="25">
        <v>1488</v>
      </c>
      <c r="B1490" s="37" t="e">
        <f t="shared" ref="B1490:D1490" si="2997">VLOOKUP($A1490,[4]Cultura!$A$1:$O$276,B$1,0)</f>
        <v>#N/A</v>
      </c>
      <c r="C1490" s="38" t="e">
        <f t="shared" si="2997"/>
        <v>#N/A</v>
      </c>
      <c r="D1490" s="39" t="e">
        <f t="shared" si="2997"/>
        <v>#N/A</v>
      </c>
      <c r="E1490" s="16" t="e">
        <f t="shared" si="1"/>
        <v>#N/A</v>
      </c>
      <c r="F1490" s="16" t="e">
        <f t="shared" ref="F1490:K1490" si="2998">VLOOKUP($A1490,[4]Cultura!$A$1:$O$276,F$1,0)</f>
        <v>#N/A</v>
      </c>
      <c r="G1490" s="39" t="e">
        <f t="shared" si="2998"/>
        <v>#N/A</v>
      </c>
      <c r="H1490" s="16" t="e">
        <f t="shared" si="2998"/>
        <v>#N/A</v>
      </c>
      <c r="I1490" s="16" t="e">
        <f t="shared" si="2998"/>
        <v>#N/A</v>
      </c>
      <c r="J1490" s="40" t="e">
        <f t="shared" si="2998"/>
        <v>#N/A</v>
      </c>
      <c r="K1490" s="16" t="e">
        <f t="shared" si="2998"/>
        <v>#N/A</v>
      </c>
      <c r="L1490" s="40" t="e">
        <f t="shared" si="2421"/>
        <v>#N/A</v>
      </c>
      <c r="M1490" s="16" t="e">
        <f t="shared" si="2422"/>
        <v>#N/A</v>
      </c>
      <c r="N1490" s="16" t="e">
        <f t="shared" si="2423"/>
        <v>#N/A</v>
      </c>
      <c r="O1490" s="16" t="s">
        <v>68</v>
      </c>
      <c r="P1490" s="16" t="str">
        <f t="shared" si="6"/>
        <v/>
      </c>
      <c r="Q1490" s="41" t="e">
        <f t="shared" si="2424"/>
        <v>#N/A</v>
      </c>
      <c r="R1490" s="44"/>
      <c r="S1490" s="44"/>
      <c r="T1490" s="43"/>
      <c r="U1490" s="43" t="str">
        <f t="shared" si="8"/>
        <v>No</v>
      </c>
      <c r="V1490" s="25"/>
      <c r="W1490" s="25"/>
      <c r="X1490" s="25"/>
      <c r="Y1490" s="25"/>
      <c r="Z1490" s="25"/>
    </row>
    <row r="1491" spans="1:26" ht="15.75" customHeight="1" x14ac:dyDescent="0.25">
      <c r="A1491" s="25">
        <v>1489</v>
      </c>
      <c r="B1491" s="37" t="e">
        <f t="shared" ref="B1491:D1491" si="2999">VLOOKUP($A1491,[4]Cultura!$A$1:$O$276,B$1,0)</f>
        <v>#N/A</v>
      </c>
      <c r="C1491" s="38" t="e">
        <f t="shared" si="2999"/>
        <v>#N/A</v>
      </c>
      <c r="D1491" s="39" t="e">
        <f t="shared" si="2999"/>
        <v>#N/A</v>
      </c>
      <c r="E1491" s="16" t="e">
        <f t="shared" si="1"/>
        <v>#N/A</v>
      </c>
      <c r="F1491" s="16" t="e">
        <f t="shared" ref="F1491:K1491" si="3000">VLOOKUP($A1491,[4]Cultura!$A$1:$O$276,F$1,0)</f>
        <v>#N/A</v>
      </c>
      <c r="G1491" s="39" t="e">
        <f t="shared" si="3000"/>
        <v>#N/A</v>
      </c>
      <c r="H1491" s="16" t="e">
        <f t="shared" si="3000"/>
        <v>#N/A</v>
      </c>
      <c r="I1491" s="16" t="e">
        <f t="shared" si="3000"/>
        <v>#N/A</v>
      </c>
      <c r="J1491" s="40" t="e">
        <f t="shared" si="3000"/>
        <v>#N/A</v>
      </c>
      <c r="K1491" s="16" t="e">
        <f t="shared" si="3000"/>
        <v>#N/A</v>
      </c>
      <c r="L1491" s="40" t="e">
        <f t="shared" si="2421"/>
        <v>#N/A</v>
      </c>
      <c r="M1491" s="16" t="e">
        <f t="shared" si="2422"/>
        <v>#N/A</v>
      </c>
      <c r="N1491" s="16" t="e">
        <f t="shared" si="2423"/>
        <v>#N/A</v>
      </c>
      <c r="O1491" s="16" t="s">
        <v>68</v>
      </c>
      <c r="P1491" s="16" t="str">
        <f t="shared" si="6"/>
        <v/>
      </c>
      <c r="Q1491" s="41" t="e">
        <f t="shared" si="2424"/>
        <v>#N/A</v>
      </c>
      <c r="R1491" s="44"/>
      <c r="S1491" s="44"/>
      <c r="T1491" s="43"/>
      <c r="U1491" s="43" t="str">
        <f t="shared" si="8"/>
        <v>No</v>
      </c>
      <c r="V1491" s="25"/>
      <c r="W1491" s="25"/>
      <c r="X1491" s="25"/>
      <c r="Y1491" s="25"/>
      <c r="Z1491" s="25"/>
    </row>
    <row r="1492" spans="1:26" ht="15.75" customHeight="1" x14ac:dyDescent="0.25">
      <c r="A1492" s="25">
        <v>1490</v>
      </c>
      <c r="B1492" s="37" t="e">
        <f t="shared" ref="B1492:D1492" si="3001">VLOOKUP($A1492,[4]Cultura!$A$1:$O$276,B$1,0)</f>
        <v>#N/A</v>
      </c>
      <c r="C1492" s="38" t="e">
        <f t="shared" si="3001"/>
        <v>#N/A</v>
      </c>
      <c r="D1492" s="39" t="e">
        <f t="shared" si="3001"/>
        <v>#N/A</v>
      </c>
      <c r="E1492" s="16" t="e">
        <f t="shared" si="1"/>
        <v>#N/A</v>
      </c>
      <c r="F1492" s="16" t="e">
        <f t="shared" ref="F1492:K1492" si="3002">VLOOKUP($A1492,[4]Cultura!$A$1:$O$276,F$1,0)</f>
        <v>#N/A</v>
      </c>
      <c r="G1492" s="39" t="e">
        <f t="shared" si="3002"/>
        <v>#N/A</v>
      </c>
      <c r="H1492" s="16" t="e">
        <f t="shared" si="3002"/>
        <v>#N/A</v>
      </c>
      <c r="I1492" s="16" t="e">
        <f t="shared" si="3002"/>
        <v>#N/A</v>
      </c>
      <c r="J1492" s="40" t="e">
        <f t="shared" si="3002"/>
        <v>#N/A</v>
      </c>
      <c r="K1492" s="16" t="e">
        <f t="shared" si="3002"/>
        <v>#N/A</v>
      </c>
      <c r="L1492" s="40" t="e">
        <f t="shared" si="2421"/>
        <v>#N/A</v>
      </c>
      <c r="M1492" s="16" t="e">
        <f t="shared" si="2422"/>
        <v>#N/A</v>
      </c>
      <c r="N1492" s="16" t="e">
        <f t="shared" si="2423"/>
        <v>#N/A</v>
      </c>
      <c r="O1492" s="16" t="s">
        <v>68</v>
      </c>
      <c r="P1492" s="16" t="str">
        <f t="shared" si="6"/>
        <v/>
      </c>
      <c r="Q1492" s="41" t="e">
        <f t="shared" si="2424"/>
        <v>#N/A</v>
      </c>
      <c r="R1492" s="44"/>
      <c r="S1492" s="44"/>
      <c r="T1492" s="43"/>
      <c r="U1492" s="43" t="str">
        <f t="shared" si="8"/>
        <v>No</v>
      </c>
      <c r="V1492" s="25"/>
      <c r="W1492" s="25"/>
      <c r="X1492" s="25"/>
      <c r="Y1492" s="25"/>
      <c r="Z1492" s="25"/>
    </row>
    <row r="1493" spans="1:26" ht="15.75" customHeight="1" x14ac:dyDescent="0.25">
      <c r="A1493" s="25">
        <v>1491</v>
      </c>
      <c r="B1493" s="37" t="e">
        <f t="shared" ref="B1493:D1493" si="3003">VLOOKUP($A1493,[4]Cultura!$A$1:$O$276,B$1,0)</f>
        <v>#N/A</v>
      </c>
      <c r="C1493" s="38" t="e">
        <f t="shared" si="3003"/>
        <v>#N/A</v>
      </c>
      <c r="D1493" s="39" t="e">
        <f t="shared" si="3003"/>
        <v>#N/A</v>
      </c>
      <c r="E1493" s="16" t="e">
        <f t="shared" si="1"/>
        <v>#N/A</v>
      </c>
      <c r="F1493" s="16" t="e">
        <f t="shared" ref="F1493:K1493" si="3004">VLOOKUP($A1493,[4]Cultura!$A$1:$O$276,F$1,0)</f>
        <v>#N/A</v>
      </c>
      <c r="G1493" s="39" t="e">
        <f t="shared" si="3004"/>
        <v>#N/A</v>
      </c>
      <c r="H1493" s="16" t="e">
        <f t="shared" si="3004"/>
        <v>#N/A</v>
      </c>
      <c r="I1493" s="16" t="e">
        <f t="shared" si="3004"/>
        <v>#N/A</v>
      </c>
      <c r="J1493" s="40" t="e">
        <f t="shared" si="3004"/>
        <v>#N/A</v>
      </c>
      <c r="K1493" s="16" t="e">
        <f t="shared" si="3004"/>
        <v>#N/A</v>
      </c>
      <c r="L1493" s="40" t="e">
        <f t="shared" si="2421"/>
        <v>#N/A</v>
      </c>
      <c r="M1493" s="16" t="e">
        <f t="shared" si="2422"/>
        <v>#N/A</v>
      </c>
      <c r="N1493" s="16" t="e">
        <f t="shared" si="2423"/>
        <v>#N/A</v>
      </c>
      <c r="O1493" s="16" t="s">
        <v>68</v>
      </c>
      <c r="P1493" s="16" t="str">
        <f t="shared" si="6"/>
        <v/>
      </c>
      <c r="Q1493" s="41" t="e">
        <f t="shared" si="2424"/>
        <v>#N/A</v>
      </c>
      <c r="R1493" s="44"/>
      <c r="S1493" s="44"/>
      <c r="T1493" s="43"/>
      <c r="U1493" s="43" t="str">
        <f t="shared" si="8"/>
        <v>No</v>
      </c>
      <c r="V1493" s="25"/>
      <c r="W1493" s="25"/>
      <c r="X1493" s="25"/>
      <c r="Y1493" s="25"/>
      <c r="Z1493" s="25"/>
    </row>
    <row r="1494" spans="1:26" ht="15.75" customHeight="1" x14ac:dyDescent="0.25">
      <c r="A1494" s="25">
        <v>1492</v>
      </c>
      <c r="B1494" s="37" t="e">
        <f t="shared" ref="B1494:D1494" si="3005">VLOOKUP($A1494,[4]Cultura!$A$1:$O$276,B$1,0)</f>
        <v>#N/A</v>
      </c>
      <c r="C1494" s="38" t="e">
        <f t="shared" si="3005"/>
        <v>#N/A</v>
      </c>
      <c r="D1494" s="39" t="e">
        <f t="shared" si="3005"/>
        <v>#N/A</v>
      </c>
      <c r="E1494" s="16" t="e">
        <f t="shared" si="1"/>
        <v>#N/A</v>
      </c>
      <c r="F1494" s="16" t="e">
        <f t="shared" ref="F1494:K1494" si="3006">VLOOKUP($A1494,[4]Cultura!$A$1:$O$276,F$1,0)</f>
        <v>#N/A</v>
      </c>
      <c r="G1494" s="39" t="e">
        <f t="shared" si="3006"/>
        <v>#N/A</v>
      </c>
      <c r="H1494" s="16" t="e">
        <f t="shared" si="3006"/>
        <v>#N/A</v>
      </c>
      <c r="I1494" s="16" t="e">
        <f t="shared" si="3006"/>
        <v>#N/A</v>
      </c>
      <c r="J1494" s="40" t="e">
        <f t="shared" si="3006"/>
        <v>#N/A</v>
      </c>
      <c r="K1494" s="16" t="e">
        <f t="shared" si="3006"/>
        <v>#N/A</v>
      </c>
      <c r="L1494" s="40" t="e">
        <f t="shared" si="2421"/>
        <v>#N/A</v>
      </c>
      <c r="M1494" s="16" t="e">
        <f t="shared" si="2422"/>
        <v>#N/A</v>
      </c>
      <c r="N1494" s="16" t="e">
        <f t="shared" si="2423"/>
        <v>#N/A</v>
      </c>
      <c r="O1494" s="16" t="s">
        <v>68</v>
      </c>
      <c r="P1494" s="16" t="str">
        <f t="shared" si="6"/>
        <v/>
      </c>
      <c r="Q1494" s="41" t="e">
        <f t="shared" si="2424"/>
        <v>#N/A</v>
      </c>
      <c r="R1494" s="44"/>
      <c r="S1494" s="44"/>
      <c r="T1494" s="43"/>
      <c r="U1494" s="43" t="str">
        <f t="shared" si="8"/>
        <v>No</v>
      </c>
      <c r="V1494" s="25"/>
      <c r="W1494" s="25"/>
      <c r="X1494" s="25"/>
      <c r="Y1494" s="25"/>
      <c r="Z1494" s="25"/>
    </row>
    <row r="1495" spans="1:26" ht="15.75" customHeight="1" x14ac:dyDescent="0.25">
      <c r="A1495" s="25">
        <v>1493</v>
      </c>
      <c r="B1495" s="37" t="e">
        <f t="shared" ref="B1495:D1495" si="3007">VLOOKUP($A1495,[4]Cultura!$A$1:$O$276,B$1,0)</f>
        <v>#N/A</v>
      </c>
      <c r="C1495" s="38" t="e">
        <f t="shared" si="3007"/>
        <v>#N/A</v>
      </c>
      <c r="D1495" s="39" t="e">
        <f t="shared" si="3007"/>
        <v>#N/A</v>
      </c>
      <c r="E1495" s="16" t="e">
        <f t="shared" si="1"/>
        <v>#N/A</v>
      </c>
      <c r="F1495" s="16" t="e">
        <f t="shared" ref="F1495:K1495" si="3008">VLOOKUP($A1495,[4]Cultura!$A$1:$O$276,F$1,0)</f>
        <v>#N/A</v>
      </c>
      <c r="G1495" s="39" t="e">
        <f t="shared" si="3008"/>
        <v>#N/A</v>
      </c>
      <c r="H1495" s="16" t="e">
        <f t="shared" si="3008"/>
        <v>#N/A</v>
      </c>
      <c r="I1495" s="16" t="e">
        <f t="shared" si="3008"/>
        <v>#N/A</v>
      </c>
      <c r="J1495" s="40" t="e">
        <f t="shared" si="3008"/>
        <v>#N/A</v>
      </c>
      <c r="K1495" s="16" t="e">
        <f t="shared" si="3008"/>
        <v>#N/A</v>
      </c>
      <c r="L1495" s="40" t="e">
        <f t="shared" si="2421"/>
        <v>#N/A</v>
      </c>
      <c r="M1495" s="16" t="e">
        <f t="shared" si="2422"/>
        <v>#N/A</v>
      </c>
      <c r="N1495" s="16" t="e">
        <f t="shared" si="2423"/>
        <v>#N/A</v>
      </c>
      <c r="O1495" s="16" t="s">
        <v>68</v>
      </c>
      <c r="P1495" s="16" t="str">
        <f t="shared" si="6"/>
        <v/>
      </c>
      <c r="Q1495" s="41" t="e">
        <f t="shared" si="2424"/>
        <v>#N/A</v>
      </c>
      <c r="R1495" s="44"/>
      <c r="S1495" s="44"/>
      <c r="T1495" s="43"/>
      <c r="U1495" s="43" t="str">
        <f t="shared" si="8"/>
        <v>No</v>
      </c>
      <c r="V1495" s="25"/>
      <c r="W1495" s="25"/>
      <c r="X1495" s="25"/>
      <c r="Y1495" s="25"/>
      <c r="Z1495" s="25"/>
    </row>
    <row r="1496" spans="1:26" ht="15.75" customHeight="1" x14ac:dyDescent="0.25">
      <c r="A1496" s="25">
        <v>1494</v>
      </c>
      <c r="B1496" s="37" t="e">
        <f t="shared" ref="B1496:D1496" si="3009">VLOOKUP($A1496,[4]Cultura!$A$1:$O$276,B$1,0)</f>
        <v>#N/A</v>
      </c>
      <c r="C1496" s="38" t="e">
        <f t="shared" si="3009"/>
        <v>#N/A</v>
      </c>
      <c r="D1496" s="39" t="e">
        <f t="shared" si="3009"/>
        <v>#N/A</v>
      </c>
      <c r="E1496" s="16" t="e">
        <f t="shared" si="1"/>
        <v>#N/A</v>
      </c>
      <c r="F1496" s="16" t="e">
        <f t="shared" ref="F1496:K1496" si="3010">VLOOKUP($A1496,[4]Cultura!$A$1:$O$276,F$1,0)</f>
        <v>#N/A</v>
      </c>
      <c r="G1496" s="39" t="e">
        <f t="shared" si="3010"/>
        <v>#N/A</v>
      </c>
      <c r="H1496" s="16" t="e">
        <f t="shared" si="3010"/>
        <v>#N/A</v>
      </c>
      <c r="I1496" s="16" t="e">
        <f t="shared" si="3010"/>
        <v>#N/A</v>
      </c>
      <c r="J1496" s="40" t="e">
        <f t="shared" si="3010"/>
        <v>#N/A</v>
      </c>
      <c r="K1496" s="16" t="e">
        <f t="shared" si="3010"/>
        <v>#N/A</v>
      </c>
      <c r="L1496" s="40" t="e">
        <f t="shared" si="2421"/>
        <v>#N/A</v>
      </c>
      <c r="M1496" s="16" t="e">
        <f t="shared" si="2422"/>
        <v>#N/A</v>
      </c>
      <c r="N1496" s="16" t="e">
        <f t="shared" si="2423"/>
        <v>#N/A</v>
      </c>
      <c r="O1496" s="16" t="s">
        <v>68</v>
      </c>
      <c r="P1496" s="16" t="str">
        <f t="shared" si="6"/>
        <v/>
      </c>
      <c r="Q1496" s="41" t="e">
        <f t="shared" si="2424"/>
        <v>#N/A</v>
      </c>
      <c r="R1496" s="44"/>
      <c r="S1496" s="44"/>
      <c r="T1496" s="43"/>
      <c r="U1496" s="43" t="str">
        <f t="shared" si="8"/>
        <v>No</v>
      </c>
      <c r="V1496" s="25"/>
      <c r="W1496" s="25"/>
      <c r="X1496" s="25"/>
      <c r="Y1496" s="25"/>
      <c r="Z1496" s="25"/>
    </row>
    <row r="1497" spans="1:26" ht="15.75" customHeight="1" x14ac:dyDescent="0.25">
      <c r="A1497" s="25">
        <v>1495</v>
      </c>
      <c r="B1497" s="37" t="e">
        <f t="shared" ref="B1497:D1497" si="3011">VLOOKUP($A1497,[4]Cultura!$A$1:$O$276,B$1,0)</f>
        <v>#N/A</v>
      </c>
      <c r="C1497" s="38" t="e">
        <f t="shared" si="3011"/>
        <v>#N/A</v>
      </c>
      <c r="D1497" s="39" t="e">
        <f t="shared" si="3011"/>
        <v>#N/A</v>
      </c>
      <c r="E1497" s="16" t="e">
        <f t="shared" si="1"/>
        <v>#N/A</v>
      </c>
      <c r="F1497" s="16" t="e">
        <f t="shared" ref="F1497:K1497" si="3012">VLOOKUP($A1497,[4]Cultura!$A$1:$O$276,F$1,0)</f>
        <v>#N/A</v>
      </c>
      <c r="G1497" s="39" t="e">
        <f t="shared" si="3012"/>
        <v>#N/A</v>
      </c>
      <c r="H1497" s="16" t="e">
        <f t="shared" si="3012"/>
        <v>#N/A</v>
      </c>
      <c r="I1497" s="16" t="e">
        <f t="shared" si="3012"/>
        <v>#N/A</v>
      </c>
      <c r="J1497" s="40" t="e">
        <f t="shared" si="3012"/>
        <v>#N/A</v>
      </c>
      <c r="K1497" s="16" t="e">
        <f t="shared" si="3012"/>
        <v>#N/A</v>
      </c>
      <c r="L1497" s="40" t="e">
        <f t="shared" si="2421"/>
        <v>#N/A</v>
      </c>
      <c r="M1497" s="16" t="e">
        <f t="shared" si="2422"/>
        <v>#N/A</v>
      </c>
      <c r="N1497" s="16" t="e">
        <f t="shared" si="2423"/>
        <v>#N/A</v>
      </c>
      <c r="O1497" s="16" t="s">
        <v>68</v>
      </c>
      <c r="P1497" s="16" t="str">
        <f t="shared" si="6"/>
        <v/>
      </c>
      <c r="Q1497" s="41" t="e">
        <f t="shared" si="2424"/>
        <v>#N/A</v>
      </c>
      <c r="R1497" s="44"/>
      <c r="S1497" s="44"/>
      <c r="T1497" s="43"/>
      <c r="U1497" s="43" t="str">
        <f t="shared" si="8"/>
        <v>No</v>
      </c>
      <c r="V1497" s="25"/>
      <c r="W1497" s="25"/>
      <c r="X1497" s="25"/>
      <c r="Y1497" s="25"/>
      <c r="Z1497" s="25"/>
    </row>
    <row r="1498" spans="1:26" ht="15.75" customHeight="1" x14ac:dyDescent="0.25">
      <c r="A1498" s="25">
        <v>1496</v>
      </c>
      <c r="B1498" s="37" t="e">
        <f t="shared" ref="B1498:D1498" si="3013">VLOOKUP($A1498,[4]Cultura!$A$1:$O$276,B$1,0)</f>
        <v>#N/A</v>
      </c>
      <c r="C1498" s="38" t="e">
        <f t="shared" si="3013"/>
        <v>#N/A</v>
      </c>
      <c r="D1498" s="39" t="e">
        <f t="shared" si="3013"/>
        <v>#N/A</v>
      </c>
      <c r="E1498" s="16" t="e">
        <f t="shared" si="1"/>
        <v>#N/A</v>
      </c>
      <c r="F1498" s="16" t="e">
        <f t="shared" ref="F1498:K1498" si="3014">VLOOKUP($A1498,[4]Cultura!$A$1:$O$276,F$1,0)</f>
        <v>#N/A</v>
      </c>
      <c r="G1498" s="39" t="e">
        <f t="shared" si="3014"/>
        <v>#N/A</v>
      </c>
      <c r="H1498" s="16" t="e">
        <f t="shared" si="3014"/>
        <v>#N/A</v>
      </c>
      <c r="I1498" s="16" t="e">
        <f t="shared" si="3014"/>
        <v>#N/A</v>
      </c>
      <c r="J1498" s="40" t="e">
        <f t="shared" si="3014"/>
        <v>#N/A</v>
      </c>
      <c r="K1498" s="16" t="e">
        <f t="shared" si="3014"/>
        <v>#N/A</v>
      </c>
      <c r="L1498" s="40" t="e">
        <f t="shared" si="2421"/>
        <v>#N/A</v>
      </c>
      <c r="M1498" s="16" t="e">
        <f t="shared" si="2422"/>
        <v>#N/A</v>
      </c>
      <c r="N1498" s="16" t="e">
        <f t="shared" si="2423"/>
        <v>#N/A</v>
      </c>
      <c r="O1498" s="16" t="s">
        <v>68</v>
      </c>
      <c r="P1498" s="16" t="str">
        <f t="shared" si="6"/>
        <v/>
      </c>
      <c r="Q1498" s="41" t="e">
        <f t="shared" si="2424"/>
        <v>#N/A</v>
      </c>
      <c r="R1498" s="44"/>
      <c r="S1498" s="44"/>
      <c r="T1498" s="43"/>
      <c r="U1498" s="43" t="str">
        <f t="shared" si="8"/>
        <v>No</v>
      </c>
      <c r="V1498" s="25"/>
      <c r="W1498" s="25"/>
      <c r="X1498" s="25"/>
      <c r="Y1498" s="25"/>
      <c r="Z1498" s="25"/>
    </row>
    <row r="1499" spans="1:26" ht="15.75" customHeight="1" x14ac:dyDescent="0.25">
      <c r="A1499" s="25">
        <v>1497</v>
      </c>
      <c r="B1499" s="37" t="e">
        <f t="shared" ref="B1499:D1499" si="3015">VLOOKUP($A1499,[4]Cultura!$A$1:$O$276,B$1,0)</f>
        <v>#N/A</v>
      </c>
      <c r="C1499" s="38" t="e">
        <f t="shared" si="3015"/>
        <v>#N/A</v>
      </c>
      <c r="D1499" s="39" t="e">
        <f t="shared" si="3015"/>
        <v>#N/A</v>
      </c>
      <c r="E1499" s="16" t="e">
        <f t="shared" si="1"/>
        <v>#N/A</v>
      </c>
      <c r="F1499" s="16" t="e">
        <f t="shared" ref="F1499:K1499" si="3016">VLOOKUP($A1499,[4]Cultura!$A$1:$O$276,F$1,0)</f>
        <v>#N/A</v>
      </c>
      <c r="G1499" s="39" t="e">
        <f t="shared" si="3016"/>
        <v>#N/A</v>
      </c>
      <c r="H1499" s="16" t="e">
        <f t="shared" si="3016"/>
        <v>#N/A</v>
      </c>
      <c r="I1499" s="16" t="e">
        <f t="shared" si="3016"/>
        <v>#N/A</v>
      </c>
      <c r="J1499" s="40" t="e">
        <f t="shared" si="3016"/>
        <v>#N/A</v>
      </c>
      <c r="K1499" s="16" t="e">
        <f t="shared" si="3016"/>
        <v>#N/A</v>
      </c>
      <c r="L1499" s="40" t="e">
        <f t="shared" si="2421"/>
        <v>#N/A</v>
      </c>
      <c r="M1499" s="16" t="e">
        <f t="shared" si="2422"/>
        <v>#N/A</v>
      </c>
      <c r="N1499" s="16" t="e">
        <f t="shared" si="2423"/>
        <v>#N/A</v>
      </c>
      <c r="O1499" s="16" t="s">
        <v>68</v>
      </c>
      <c r="P1499" s="16" t="str">
        <f t="shared" si="6"/>
        <v/>
      </c>
      <c r="Q1499" s="41" t="e">
        <f t="shared" si="2424"/>
        <v>#N/A</v>
      </c>
      <c r="R1499" s="44"/>
      <c r="S1499" s="44"/>
      <c r="T1499" s="43"/>
      <c r="U1499" s="43" t="str">
        <f t="shared" si="8"/>
        <v>No</v>
      </c>
      <c r="V1499" s="25"/>
      <c r="W1499" s="25"/>
      <c r="X1499" s="25"/>
      <c r="Y1499" s="25"/>
      <c r="Z1499" s="25"/>
    </row>
    <row r="1500" spans="1:26" ht="15.75" customHeight="1" x14ac:dyDescent="0.25">
      <c r="A1500" s="25">
        <v>1498</v>
      </c>
      <c r="B1500" s="37" t="e">
        <f t="shared" ref="B1500:D1500" si="3017">VLOOKUP($A1500,[4]Cultura!$A$1:$O$276,B$1,0)</f>
        <v>#N/A</v>
      </c>
      <c r="C1500" s="38" t="e">
        <f t="shared" si="3017"/>
        <v>#N/A</v>
      </c>
      <c r="D1500" s="39" t="e">
        <f t="shared" si="3017"/>
        <v>#N/A</v>
      </c>
      <c r="E1500" s="16" t="e">
        <f t="shared" si="1"/>
        <v>#N/A</v>
      </c>
      <c r="F1500" s="16" t="e">
        <f t="shared" ref="F1500:K1500" si="3018">VLOOKUP($A1500,[4]Cultura!$A$1:$O$276,F$1,0)</f>
        <v>#N/A</v>
      </c>
      <c r="G1500" s="39" t="e">
        <f t="shared" si="3018"/>
        <v>#N/A</v>
      </c>
      <c r="H1500" s="16" t="e">
        <f t="shared" si="3018"/>
        <v>#N/A</v>
      </c>
      <c r="I1500" s="16" t="e">
        <f t="shared" si="3018"/>
        <v>#N/A</v>
      </c>
      <c r="J1500" s="40" t="e">
        <f t="shared" si="3018"/>
        <v>#N/A</v>
      </c>
      <c r="K1500" s="16" t="e">
        <f t="shared" si="3018"/>
        <v>#N/A</v>
      </c>
      <c r="L1500" s="40" t="e">
        <f t="shared" si="2421"/>
        <v>#N/A</v>
      </c>
      <c r="M1500" s="16" t="e">
        <f t="shared" si="2422"/>
        <v>#N/A</v>
      </c>
      <c r="N1500" s="16" t="e">
        <f t="shared" si="2423"/>
        <v>#N/A</v>
      </c>
      <c r="O1500" s="16" t="s">
        <v>68</v>
      </c>
      <c r="P1500" s="16" t="str">
        <f t="shared" si="6"/>
        <v/>
      </c>
      <c r="Q1500" s="41" t="e">
        <f t="shared" si="2424"/>
        <v>#N/A</v>
      </c>
      <c r="R1500" s="44"/>
      <c r="S1500" s="44"/>
      <c r="T1500" s="43"/>
      <c r="U1500" s="43" t="str">
        <f t="shared" si="8"/>
        <v>No</v>
      </c>
      <c r="V1500" s="25"/>
      <c r="W1500" s="25"/>
      <c r="X1500" s="25"/>
      <c r="Y1500" s="25"/>
      <c r="Z1500" s="25"/>
    </row>
    <row r="1501" spans="1:26" ht="15.75" customHeight="1" x14ac:dyDescent="0.25">
      <c r="A1501" s="25">
        <v>1499</v>
      </c>
      <c r="B1501" s="37" t="e">
        <f t="shared" ref="B1501:D1501" si="3019">VLOOKUP($A1501,[4]Cultura!$A$1:$O$276,B$1,0)</f>
        <v>#N/A</v>
      </c>
      <c r="C1501" s="38" t="e">
        <f t="shared" si="3019"/>
        <v>#N/A</v>
      </c>
      <c r="D1501" s="39" t="e">
        <f t="shared" si="3019"/>
        <v>#N/A</v>
      </c>
      <c r="E1501" s="16" t="e">
        <f t="shared" si="1"/>
        <v>#N/A</v>
      </c>
      <c r="F1501" s="16" t="e">
        <f t="shared" ref="F1501:K1501" si="3020">VLOOKUP($A1501,[4]Cultura!$A$1:$O$276,F$1,0)</f>
        <v>#N/A</v>
      </c>
      <c r="G1501" s="39" t="e">
        <f t="shared" si="3020"/>
        <v>#N/A</v>
      </c>
      <c r="H1501" s="16" t="e">
        <f t="shared" si="3020"/>
        <v>#N/A</v>
      </c>
      <c r="I1501" s="16" t="e">
        <f t="shared" si="3020"/>
        <v>#N/A</v>
      </c>
      <c r="J1501" s="40" t="e">
        <f t="shared" si="3020"/>
        <v>#N/A</v>
      </c>
      <c r="K1501" s="16" t="e">
        <f t="shared" si="3020"/>
        <v>#N/A</v>
      </c>
      <c r="L1501" s="40" t="e">
        <f t="shared" si="2421"/>
        <v>#N/A</v>
      </c>
      <c r="M1501" s="16" t="e">
        <f t="shared" si="2422"/>
        <v>#N/A</v>
      </c>
      <c r="N1501" s="16" t="e">
        <f t="shared" si="2423"/>
        <v>#N/A</v>
      </c>
      <c r="O1501" s="16" t="s">
        <v>68</v>
      </c>
      <c r="P1501" s="16" t="str">
        <f t="shared" si="6"/>
        <v/>
      </c>
      <c r="Q1501" s="41" t="e">
        <f t="shared" si="2424"/>
        <v>#N/A</v>
      </c>
      <c r="R1501" s="44"/>
      <c r="S1501" s="44"/>
      <c r="T1501" s="43"/>
      <c r="U1501" s="43" t="str">
        <f t="shared" si="8"/>
        <v>No</v>
      </c>
      <c r="V1501" s="25"/>
      <c r="W1501" s="25"/>
      <c r="X1501" s="25"/>
      <c r="Y1501" s="25"/>
      <c r="Z1501" s="25"/>
    </row>
    <row r="1502" spans="1:26" ht="15.75" customHeight="1" x14ac:dyDescent="0.25">
      <c r="A1502" s="25">
        <v>1500</v>
      </c>
      <c r="B1502" s="37" t="e">
        <f t="shared" ref="B1502:D1502" si="3021">VLOOKUP($A1502,[4]Cultura!$A$1:$O$276,B$1,0)</f>
        <v>#N/A</v>
      </c>
      <c r="C1502" s="38" t="e">
        <f t="shared" si="3021"/>
        <v>#N/A</v>
      </c>
      <c r="D1502" s="39" t="e">
        <f t="shared" si="3021"/>
        <v>#N/A</v>
      </c>
      <c r="E1502" s="16" t="e">
        <f t="shared" si="1"/>
        <v>#N/A</v>
      </c>
      <c r="F1502" s="16" t="e">
        <f t="shared" ref="F1502:K1502" si="3022">VLOOKUP($A1502,[4]Cultura!$A$1:$O$276,F$1,0)</f>
        <v>#N/A</v>
      </c>
      <c r="G1502" s="39" t="e">
        <f t="shared" si="3022"/>
        <v>#N/A</v>
      </c>
      <c r="H1502" s="16" t="e">
        <f t="shared" si="3022"/>
        <v>#N/A</v>
      </c>
      <c r="I1502" s="16" t="e">
        <f t="shared" si="3022"/>
        <v>#N/A</v>
      </c>
      <c r="J1502" s="40" t="e">
        <f t="shared" si="3022"/>
        <v>#N/A</v>
      </c>
      <c r="K1502" s="16" t="e">
        <f t="shared" si="3022"/>
        <v>#N/A</v>
      </c>
      <c r="L1502" s="40" t="e">
        <f t="shared" si="2421"/>
        <v>#N/A</v>
      </c>
      <c r="M1502" s="16" t="e">
        <f t="shared" si="2422"/>
        <v>#N/A</v>
      </c>
      <c r="N1502" s="16" t="e">
        <f t="shared" si="2423"/>
        <v>#N/A</v>
      </c>
      <c r="O1502" s="16" t="s">
        <v>68</v>
      </c>
      <c r="P1502" s="16" t="str">
        <f t="shared" si="6"/>
        <v/>
      </c>
      <c r="Q1502" s="41" t="e">
        <f t="shared" si="2424"/>
        <v>#N/A</v>
      </c>
      <c r="R1502" s="44"/>
      <c r="S1502" s="44"/>
      <c r="T1502" s="43"/>
      <c r="U1502" s="43" t="str">
        <f t="shared" si="8"/>
        <v>No</v>
      </c>
      <c r="V1502" s="25"/>
      <c r="W1502" s="25"/>
      <c r="X1502" s="25"/>
      <c r="Y1502" s="25"/>
      <c r="Z1502" s="25"/>
    </row>
    <row r="1503" spans="1:26" ht="15.75" customHeight="1" x14ac:dyDescent="0.25">
      <c r="A1503" s="25">
        <v>1501</v>
      </c>
      <c r="B1503" s="37" t="e">
        <f t="shared" ref="B1503:D1503" si="3023">VLOOKUP($A1503,'[5]Integración Social'!$A$1:$O$233,B$1,0)</f>
        <v>#N/A</v>
      </c>
      <c r="C1503" s="38" t="e">
        <f t="shared" si="3023"/>
        <v>#N/A</v>
      </c>
      <c r="D1503" s="39" t="e">
        <f t="shared" si="3023"/>
        <v>#N/A</v>
      </c>
      <c r="E1503" s="16" t="e">
        <f t="shared" si="1"/>
        <v>#N/A</v>
      </c>
      <c r="F1503" s="16" t="e">
        <f t="shared" ref="F1503:K1503" si="3024">VLOOKUP($A1503,'[5]Integración Social'!$A$1:$O$233,F$1,0)</f>
        <v>#N/A</v>
      </c>
      <c r="G1503" s="39" t="e">
        <f t="shared" si="3024"/>
        <v>#N/A</v>
      </c>
      <c r="H1503" s="16" t="e">
        <f t="shared" si="3024"/>
        <v>#N/A</v>
      </c>
      <c r="I1503" s="16" t="e">
        <f t="shared" si="3024"/>
        <v>#N/A</v>
      </c>
      <c r="J1503" s="40" t="e">
        <f t="shared" si="3024"/>
        <v>#N/A</v>
      </c>
      <c r="K1503" s="16" t="e">
        <f t="shared" si="3024"/>
        <v>#N/A</v>
      </c>
      <c r="L1503" s="40" t="e">
        <f t="shared" ref="L1503:L1802" si="3025">VLOOKUP($A1503,'[5]Integración Social'!$A$1:$O$233,13,0)</f>
        <v>#N/A</v>
      </c>
      <c r="M1503" s="16" t="e">
        <f t="shared" ref="M1503:M1802" si="3026">VLOOKUP($A1503,'[5]Integración Social'!$A$1:$O$233,14,0)</f>
        <v>#N/A</v>
      </c>
      <c r="N1503" s="16" t="e">
        <f t="shared" ref="N1503:N1802" si="3027">VLOOKUP($A1503,'[5]Integración Social'!$A$1:$O$233,15,0)</f>
        <v>#N/A</v>
      </c>
      <c r="O1503" s="16" t="s">
        <v>69</v>
      </c>
      <c r="P1503" s="16" t="str">
        <f t="shared" si="6"/>
        <v/>
      </c>
      <c r="Q1503" s="41" t="e">
        <f t="shared" ref="Q1503:Q1802" si="3028">VLOOKUP($A1503,'[5]Integración Social'!$A$1:$O$233,12,0)</f>
        <v>#N/A</v>
      </c>
      <c r="R1503" s="44"/>
      <c r="S1503" s="44"/>
      <c r="T1503" s="43"/>
      <c r="U1503" s="43" t="str">
        <f t="shared" si="8"/>
        <v>No</v>
      </c>
      <c r="V1503" s="25"/>
      <c r="W1503" s="25"/>
      <c r="X1503" s="25"/>
      <c r="Y1503" s="25"/>
      <c r="Z1503" s="25"/>
    </row>
    <row r="1504" spans="1:26" ht="15.75" customHeight="1" x14ac:dyDescent="0.25">
      <c r="A1504" s="25">
        <v>1502</v>
      </c>
      <c r="B1504" s="37" t="e">
        <f t="shared" ref="B1504:D1504" si="3029">VLOOKUP($A1504,'[5]Integración Social'!$A$1:$O$233,B$1,0)</f>
        <v>#N/A</v>
      </c>
      <c r="C1504" s="38" t="e">
        <f t="shared" si="3029"/>
        <v>#N/A</v>
      </c>
      <c r="D1504" s="39" t="e">
        <f t="shared" si="3029"/>
        <v>#N/A</v>
      </c>
      <c r="E1504" s="16" t="e">
        <f t="shared" si="1"/>
        <v>#N/A</v>
      </c>
      <c r="F1504" s="16" t="e">
        <f t="shared" ref="F1504:K1504" si="3030">VLOOKUP($A1504,'[5]Integración Social'!$A$1:$O$233,F$1,0)</f>
        <v>#N/A</v>
      </c>
      <c r="G1504" s="39" t="e">
        <f t="shared" si="3030"/>
        <v>#N/A</v>
      </c>
      <c r="H1504" s="16" t="e">
        <f t="shared" si="3030"/>
        <v>#N/A</v>
      </c>
      <c r="I1504" s="16" t="e">
        <f t="shared" si="3030"/>
        <v>#N/A</v>
      </c>
      <c r="J1504" s="40" t="e">
        <f t="shared" si="3030"/>
        <v>#N/A</v>
      </c>
      <c r="K1504" s="16" t="e">
        <f t="shared" si="3030"/>
        <v>#N/A</v>
      </c>
      <c r="L1504" s="40" t="e">
        <f t="shared" si="3025"/>
        <v>#N/A</v>
      </c>
      <c r="M1504" s="16" t="e">
        <f t="shared" si="3026"/>
        <v>#N/A</v>
      </c>
      <c r="N1504" s="16" t="e">
        <f t="shared" si="3027"/>
        <v>#N/A</v>
      </c>
      <c r="O1504" s="16" t="s">
        <v>69</v>
      </c>
      <c r="P1504" s="16" t="str">
        <f t="shared" si="6"/>
        <v/>
      </c>
      <c r="Q1504" s="41" t="e">
        <f t="shared" si="3028"/>
        <v>#N/A</v>
      </c>
      <c r="R1504" s="44"/>
      <c r="S1504" s="44"/>
      <c r="T1504" s="43"/>
      <c r="U1504" s="43" t="str">
        <f t="shared" si="8"/>
        <v>No</v>
      </c>
      <c r="V1504" s="25"/>
      <c r="W1504" s="25"/>
      <c r="X1504" s="25"/>
      <c r="Y1504" s="25"/>
      <c r="Z1504" s="25"/>
    </row>
    <row r="1505" spans="1:26" ht="15.75" customHeight="1" x14ac:dyDescent="0.25">
      <c r="A1505" s="25">
        <v>1503</v>
      </c>
      <c r="B1505" s="37" t="e">
        <f t="shared" ref="B1505:D1505" si="3031">VLOOKUP($A1505,'[5]Integración Social'!$A$1:$O$233,B$1,0)</f>
        <v>#N/A</v>
      </c>
      <c r="C1505" s="38" t="e">
        <f t="shared" si="3031"/>
        <v>#N/A</v>
      </c>
      <c r="D1505" s="39" t="e">
        <f t="shared" si="3031"/>
        <v>#N/A</v>
      </c>
      <c r="E1505" s="16" t="e">
        <f t="shared" si="1"/>
        <v>#N/A</v>
      </c>
      <c r="F1505" s="16" t="e">
        <f t="shared" ref="F1505:K1505" si="3032">VLOOKUP($A1505,'[5]Integración Social'!$A$1:$O$233,F$1,0)</f>
        <v>#N/A</v>
      </c>
      <c r="G1505" s="39" t="e">
        <f t="shared" si="3032"/>
        <v>#N/A</v>
      </c>
      <c r="H1505" s="16" t="e">
        <f t="shared" si="3032"/>
        <v>#N/A</v>
      </c>
      <c r="I1505" s="16" t="e">
        <f t="shared" si="3032"/>
        <v>#N/A</v>
      </c>
      <c r="J1505" s="40" t="e">
        <f t="shared" si="3032"/>
        <v>#N/A</v>
      </c>
      <c r="K1505" s="16" t="e">
        <f t="shared" si="3032"/>
        <v>#N/A</v>
      </c>
      <c r="L1505" s="40" t="e">
        <f t="shared" si="3025"/>
        <v>#N/A</v>
      </c>
      <c r="M1505" s="16" t="e">
        <f t="shared" si="3026"/>
        <v>#N/A</v>
      </c>
      <c r="N1505" s="16" t="e">
        <f t="shared" si="3027"/>
        <v>#N/A</v>
      </c>
      <c r="O1505" s="16" t="s">
        <v>69</v>
      </c>
      <c r="P1505" s="16" t="str">
        <f t="shared" si="6"/>
        <v/>
      </c>
      <c r="Q1505" s="41" t="e">
        <f t="shared" si="3028"/>
        <v>#N/A</v>
      </c>
      <c r="R1505" s="44"/>
      <c r="S1505" s="44"/>
      <c r="T1505" s="43"/>
      <c r="U1505" s="43" t="str">
        <f t="shared" si="8"/>
        <v>No</v>
      </c>
      <c r="V1505" s="25"/>
      <c r="W1505" s="25"/>
      <c r="X1505" s="25"/>
      <c r="Y1505" s="25"/>
      <c r="Z1505" s="25"/>
    </row>
    <row r="1506" spans="1:26" ht="15.75" customHeight="1" x14ac:dyDescent="0.25">
      <c r="A1506" s="25">
        <v>1504</v>
      </c>
      <c r="B1506" s="37" t="e">
        <f t="shared" ref="B1506:D1506" si="3033">VLOOKUP($A1506,'[5]Integración Social'!$A$1:$O$233,B$1,0)</f>
        <v>#N/A</v>
      </c>
      <c r="C1506" s="38" t="e">
        <f t="shared" si="3033"/>
        <v>#N/A</v>
      </c>
      <c r="D1506" s="39" t="e">
        <f t="shared" si="3033"/>
        <v>#N/A</v>
      </c>
      <c r="E1506" s="16" t="e">
        <f t="shared" si="1"/>
        <v>#N/A</v>
      </c>
      <c r="F1506" s="16" t="e">
        <f t="shared" ref="F1506:K1506" si="3034">VLOOKUP($A1506,'[5]Integración Social'!$A$1:$O$233,F$1,0)</f>
        <v>#N/A</v>
      </c>
      <c r="G1506" s="39" t="e">
        <f t="shared" si="3034"/>
        <v>#N/A</v>
      </c>
      <c r="H1506" s="16" t="e">
        <f t="shared" si="3034"/>
        <v>#N/A</v>
      </c>
      <c r="I1506" s="16" t="e">
        <f t="shared" si="3034"/>
        <v>#N/A</v>
      </c>
      <c r="J1506" s="40" t="e">
        <f t="shared" si="3034"/>
        <v>#N/A</v>
      </c>
      <c r="K1506" s="16" t="e">
        <f t="shared" si="3034"/>
        <v>#N/A</v>
      </c>
      <c r="L1506" s="40" t="e">
        <f t="shared" si="3025"/>
        <v>#N/A</v>
      </c>
      <c r="M1506" s="16" t="e">
        <f t="shared" si="3026"/>
        <v>#N/A</v>
      </c>
      <c r="N1506" s="16" t="e">
        <f t="shared" si="3027"/>
        <v>#N/A</v>
      </c>
      <c r="O1506" s="16" t="s">
        <v>69</v>
      </c>
      <c r="P1506" s="16" t="str">
        <f t="shared" si="6"/>
        <v/>
      </c>
      <c r="Q1506" s="41" t="e">
        <f t="shared" si="3028"/>
        <v>#N/A</v>
      </c>
      <c r="R1506" s="44"/>
      <c r="S1506" s="44"/>
      <c r="T1506" s="43"/>
      <c r="U1506" s="43" t="str">
        <f t="shared" si="8"/>
        <v>No</v>
      </c>
      <c r="V1506" s="25"/>
      <c r="W1506" s="25"/>
      <c r="X1506" s="25"/>
      <c r="Y1506" s="25"/>
      <c r="Z1506" s="25"/>
    </row>
    <row r="1507" spans="1:26" ht="15.75" customHeight="1" x14ac:dyDescent="0.25">
      <c r="A1507" s="25">
        <v>1505</v>
      </c>
      <c r="B1507" s="37" t="e">
        <f t="shared" ref="B1507:D1507" si="3035">VLOOKUP($A1507,'[5]Integración Social'!$A$1:$O$233,B$1,0)</f>
        <v>#N/A</v>
      </c>
      <c r="C1507" s="38" t="e">
        <f t="shared" si="3035"/>
        <v>#N/A</v>
      </c>
      <c r="D1507" s="39" t="e">
        <f t="shared" si="3035"/>
        <v>#N/A</v>
      </c>
      <c r="E1507" s="16" t="e">
        <f t="shared" si="1"/>
        <v>#N/A</v>
      </c>
      <c r="F1507" s="16" t="e">
        <f t="shared" ref="F1507:K1507" si="3036">VLOOKUP($A1507,'[5]Integración Social'!$A$1:$O$233,F$1,0)</f>
        <v>#N/A</v>
      </c>
      <c r="G1507" s="39" t="e">
        <f t="shared" si="3036"/>
        <v>#N/A</v>
      </c>
      <c r="H1507" s="16" t="e">
        <f t="shared" si="3036"/>
        <v>#N/A</v>
      </c>
      <c r="I1507" s="16" t="e">
        <f t="shared" si="3036"/>
        <v>#N/A</v>
      </c>
      <c r="J1507" s="40" t="e">
        <f t="shared" si="3036"/>
        <v>#N/A</v>
      </c>
      <c r="K1507" s="16" t="e">
        <f t="shared" si="3036"/>
        <v>#N/A</v>
      </c>
      <c r="L1507" s="40" t="e">
        <f t="shared" si="3025"/>
        <v>#N/A</v>
      </c>
      <c r="M1507" s="16" t="e">
        <f t="shared" si="3026"/>
        <v>#N/A</v>
      </c>
      <c r="N1507" s="16" t="e">
        <f t="shared" si="3027"/>
        <v>#N/A</v>
      </c>
      <c r="O1507" s="16" t="s">
        <v>69</v>
      </c>
      <c r="P1507" s="16" t="str">
        <f t="shared" si="6"/>
        <v/>
      </c>
      <c r="Q1507" s="41" t="e">
        <f t="shared" si="3028"/>
        <v>#N/A</v>
      </c>
      <c r="R1507" s="44"/>
      <c r="S1507" s="44"/>
      <c r="T1507" s="43"/>
      <c r="U1507" s="43" t="str">
        <f t="shared" si="8"/>
        <v>No</v>
      </c>
      <c r="V1507" s="25"/>
      <c r="W1507" s="25"/>
      <c r="X1507" s="25"/>
      <c r="Y1507" s="25"/>
      <c r="Z1507" s="25"/>
    </row>
    <row r="1508" spans="1:26" ht="15.75" customHeight="1" x14ac:dyDescent="0.25">
      <c r="A1508" s="25">
        <v>1506</v>
      </c>
      <c r="B1508" s="37" t="e">
        <f t="shared" ref="B1508:D1508" si="3037">VLOOKUP($A1508,'[5]Integración Social'!$A$1:$O$233,B$1,0)</f>
        <v>#N/A</v>
      </c>
      <c r="C1508" s="38" t="e">
        <f t="shared" si="3037"/>
        <v>#N/A</v>
      </c>
      <c r="D1508" s="39" t="e">
        <f t="shared" si="3037"/>
        <v>#N/A</v>
      </c>
      <c r="E1508" s="16" t="e">
        <f t="shared" si="1"/>
        <v>#N/A</v>
      </c>
      <c r="F1508" s="16" t="e">
        <f t="shared" ref="F1508:K1508" si="3038">VLOOKUP($A1508,'[5]Integración Social'!$A$1:$O$233,F$1,0)</f>
        <v>#N/A</v>
      </c>
      <c r="G1508" s="39" t="e">
        <f t="shared" si="3038"/>
        <v>#N/A</v>
      </c>
      <c r="H1508" s="16" t="e">
        <f t="shared" si="3038"/>
        <v>#N/A</v>
      </c>
      <c r="I1508" s="16" t="e">
        <f t="shared" si="3038"/>
        <v>#N/A</v>
      </c>
      <c r="J1508" s="40" t="e">
        <f t="shared" si="3038"/>
        <v>#N/A</v>
      </c>
      <c r="K1508" s="16" t="e">
        <f t="shared" si="3038"/>
        <v>#N/A</v>
      </c>
      <c r="L1508" s="40" t="e">
        <f t="shared" si="3025"/>
        <v>#N/A</v>
      </c>
      <c r="M1508" s="16" t="e">
        <f t="shared" si="3026"/>
        <v>#N/A</v>
      </c>
      <c r="N1508" s="16" t="e">
        <f t="shared" si="3027"/>
        <v>#N/A</v>
      </c>
      <c r="O1508" s="16" t="s">
        <v>69</v>
      </c>
      <c r="P1508" s="16" t="str">
        <f t="shared" si="6"/>
        <v/>
      </c>
      <c r="Q1508" s="41" t="e">
        <f t="shared" si="3028"/>
        <v>#N/A</v>
      </c>
      <c r="R1508" s="44"/>
      <c r="S1508" s="44"/>
      <c r="T1508" s="43"/>
      <c r="U1508" s="43" t="str">
        <f t="shared" si="8"/>
        <v>No</v>
      </c>
      <c r="V1508" s="25"/>
      <c r="W1508" s="25"/>
      <c r="X1508" s="25"/>
      <c r="Y1508" s="25"/>
      <c r="Z1508" s="25"/>
    </row>
    <row r="1509" spans="1:26" ht="15.75" customHeight="1" x14ac:dyDescent="0.25">
      <c r="A1509" s="25">
        <v>1507</v>
      </c>
      <c r="B1509" s="37" t="e">
        <f t="shared" ref="B1509:D1509" si="3039">VLOOKUP($A1509,'[5]Integración Social'!$A$1:$O$233,B$1,0)</f>
        <v>#N/A</v>
      </c>
      <c r="C1509" s="38" t="e">
        <f t="shared" si="3039"/>
        <v>#N/A</v>
      </c>
      <c r="D1509" s="39" t="e">
        <f t="shared" si="3039"/>
        <v>#N/A</v>
      </c>
      <c r="E1509" s="16" t="e">
        <f t="shared" si="1"/>
        <v>#N/A</v>
      </c>
      <c r="F1509" s="16" t="e">
        <f t="shared" ref="F1509:K1509" si="3040">VLOOKUP($A1509,'[5]Integración Social'!$A$1:$O$233,F$1,0)</f>
        <v>#N/A</v>
      </c>
      <c r="G1509" s="39" t="e">
        <f t="shared" si="3040"/>
        <v>#N/A</v>
      </c>
      <c r="H1509" s="16" t="e">
        <f t="shared" si="3040"/>
        <v>#N/A</v>
      </c>
      <c r="I1509" s="16" t="e">
        <f t="shared" si="3040"/>
        <v>#N/A</v>
      </c>
      <c r="J1509" s="40" t="e">
        <f t="shared" si="3040"/>
        <v>#N/A</v>
      </c>
      <c r="K1509" s="16" t="e">
        <f t="shared" si="3040"/>
        <v>#N/A</v>
      </c>
      <c r="L1509" s="40" t="e">
        <f t="shared" si="3025"/>
        <v>#N/A</v>
      </c>
      <c r="M1509" s="16" t="e">
        <f t="shared" si="3026"/>
        <v>#N/A</v>
      </c>
      <c r="N1509" s="16" t="e">
        <f t="shared" si="3027"/>
        <v>#N/A</v>
      </c>
      <c r="O1509" s="16" t="s">
        <v>69</v>
      </c>
      <c r="P1509" s="16" t="str">
        <f t="shared" si="6"/>
        <v/>
      </c>
      <c r="Q1509" s="41" t="e">
        <f t="shared" si="3028"/>
        <v>#N/A</v>
      </c>
      <c r="R1509" s="44"/>
      <c r="S1509" s="44"/>
      <c r="T1509" s="43"/>
      <c r="U1509" s="43" t="str">
        <f t="shared" si="8"/>
        <v>No</v>
      </c>
      <c r="V1509" s="25"/>
      <c r="W1509" s="25"/>
      <c r="X1509" s="25"/>
      <c r="Y1509" s="25"/>
      <c r="Z1509" s="25"/>
    </row>
    <row r="1510" spans="1:26" ht="15.75" customHeight="1" x14ac:dyDescent="0.25">
      <c r="A1510" s="25">
        <v>1508</v>
      </c>
      <c r="B1510" s="37" t="e">
        <f t="shared" ref="B1510:D1510" si="3041">VLOOKUP($A1510,'[5]Integración Social'!$A$1:$O$233,B$1,0)</f>
        <v>#N/A</v>
      </c>
      <c r="C1510" s="38" t="e">
        <f t="shared" si="3041"/>
        <v>#N/A</v>
      </c>
      <c r="D1510" s="39" t="e">
        <f t="shared" si="3041"/>
        <v>#N/A</v>
      </c>
      <c r="E1510" s="16" t="e">
        <f t="shared" si="1"/>
        <v>#N/A</v>
      </c>
      <c r="F1510" s="16" t="e">
        <f t="shared" ref="F1510:K1510" si="3042">VLOOKUP($A1510,'[5]Integración Social'!$A$1:$O$233,F$1,0)</f>
        <v>#N/A</v>
      </c>
      <c r="G1510" s="39" t="e">
        <f t="shared" si="3042"/>
        <v>#N/A</v>
      </c>
      <c r="H1510" s="16" t="e">
        <f t="shared" si="3042"/>
        <v>#N/A</v>
      </c>
      <c r="I1510" s="16" t="e">
        <f t="shared" si="3042"/>
        <v>#N/A</v>
      </c>
      <c r="J1510" s="40" t="e">
        <f t="shared" si="3042"/>
        <v>#N/A</v>
      </c>
      <c r="K1510" s="16" t="e">
        <f t="shared" si="3042"/>
        <v>#N/A</v>
      </c>
      <c r="L1510" s="40" t="e">
        <f t="shared" si="3025"/>
        <v>#N/A</v>
      </c>
      <c r="M1510" s="16" t="e">
        <f t="shared" si="3026"/>
        <v>#N/A</v>
      </c>
      <c r="N1510" s="16" t="e">
        <f t="shared" si="3027"/>
        <v>#N/A</v>
      </c>
      <c r="O1510" s="16" t="s">
        <v>69</v>
      </c>
      <c r="P1510" s="16" t="str">
        <f t="shared" si="6"/>
        <v/>
      </c>
      <c r="Q1510" s="41" t="e">
        <f t="shared" si="3028"/>
        <v>#N/A</v>
      </c>
      <c r="R1510" s="44"/>
      <c r="S1510" s="44"/>
      <c r="T1510" s="43"/>
      <c r="U1510" s="43" t="str">
        <f t="shared" si="8"/>
        <v>No</v>
      </c>
      <c r="V1510" s="25"/>
      <c r="W1510" s="25"/>
      <c r="X1510" s="25"/>
      <c r="Y1510" s="25"/>
      <c r="Z1510" s="25"/>
    </row>
    <row r="1511" spans="1:26" ht="15.75" customHeight="1" x14ac:dyDescent="0.25">
      <c r="A1511" s="25">
        <v>1509</v>
      </c>
      <c r="B1511" s="37" t="e">
        <f t="shared" ref="B1511:D1511" si="3043">VLOOKUP($A1511,'[5]Integración Social'!$A$1:$O$233,B$1,0)</f>
        <v>#N/A</v>
      </c>
      <c r="C1511" s="38" t="e">
        <f t="shared" si="3043"/>
        <v>#N/A</v>
      </c>
      <c r="D1511" s="39" t="e">
        <f t="shared" si="3043"/>
        <v>#N/A</v>
      </c>
      <c r="E1511" s="16" t="e">
        <f t="shared" si="1"/>
        <v>#N/A</v>
      </c>
      <c r="F1511" s="16" t="e">
        <f t="shared" ref="F1511:K1511" si="3044">VLOOKUP($A1511,'[5]Integración Social'!$A$1:$O$233,F$1,0)</f>
        <v>#N/A</v>
      </c>
      <c r="G1511" s="39" t="e">
        <f t="shared" si="3044"/>
        <v>#N/A</v>
      </c>
      <c r="H1511" s="16" t="e">
        <f t="shared" si="3044"/>
        <v>#N/A</v>
      </c>
      <c r="I1511" s="16" t="e">
        <f t="shared" si="3044"/>
        <v>#N/A</v>
      </c>
      <c r="J1511" s="40" t="e">
        <f t="shared" si="3044"/>
        <v>#N/A</v>
      </c>
      <c r="K1511" s="16" t="e">
        <f t="shared" si="3044"/>
        <v>#N/A</v>
      </c>
      <c r="L1511" s="40" t="e">
        <f t="shared" si="3025"/>
        <v>#N/A</v>
      </c>
      <c r="M1511" s="16" t="e">
        <f t="shared" si="3026"/>
        <v>#N/A</v>
      </c>
      <c r="N1511" s="16" t="e">
        <f t="shared" si="3027"/>
        <v>#N/A</v>
      </c>
      <c r="O1511" s="16" t="s">
        <v>69</v>
      </c>
      <c r="P1511" s="16" t="str">
        <f t="shared" si="6"/>
        <v/>
      </c>
      <c r="Q1511" s="41" t="e">
        <f t="shared" si="3028"/>
        <v>#N/A</v>
      </c>
      <c r="R1511" s="44"/>
      <c r="S1511" s="44"/>
      <c r="T1511" s="43"/>
      <c r="U1511" s="43" t="str">
        <f t="shared" si="8"/>
        <v>No</v>
      </c>
      <c r="V1511" s="25"/>
      <c r="W1511" s="25"/>
      <c r="X1511" s="25"/>
      <c r="Y1511" s="25"/>
      <c r="Z1511" s="25"/>
    </row>
    <row r="1512" spans="1:26" ht="15.75" customHeight="1" x14ac:dyDescent="0.25">
      <c r="A1512" s="25">
        <v>1510</v>
      </c>
      <c r="B1512" s="37" t="e">
        <f t="shared" ref="B1512:D1512" si="3045">VLOOKUP($A1512,'[5]Integración Social'!$A$1:$O$233,B$1,0)</f>
        <v>#N/A</v>
      </c>
      <c r="C1512" s="38" t="e">
        <f t="shared" si="3045"/>
        <v>#N/A</v>
      </c>
      <c r="D1512" s="39" t="e">
        <f t="shared" si="3045"/>
        <v>#N/A</v>
      </c>
      <c r="E1512" s="16" t="e">
        <f t="shared" si="1"/>
        <v>#N/A</v>
      </c>
      <c r="F1512" s="16" t="e">
        <f t="shared" ref="F1512:K1512" si="3046">VLOOKUP($A1512,'[5]Integración Social'!$A$1:$O$233,F$1,0)</f>
        <v>#N/A</v>
      </c>
      <c r="G1512" s="39" t="e">
        <f t="shared" si="3046"/>
        <v>#N/A</v>
      </c>
      <c r="H1512" s="16" t="e">
        <f t="shared" si="3046"/>
        <v>#N/A</v>
      </c>
      <c r="I1512" s="16" t="e">
        <f t="shared" si="3046"/>
        <v>#N/A</v>
      </c>
      <c r="J1512" s="40" t="e">
        <f t="shared" si="3046"/>
        <v>#N/A</v>
      </c>
      <c r="K1512" s="16" t="e">
        <f t="shared" si="3046"/>
        <v>#N/A</v>
      </c>
      <c r="L1512" s="40" t="e">
        <f t="shared" si="3025"/>
        <v>#N/A</v>
      </c>
      <c r="M1512" s="16" t="e">
        <f t="shared" si="3026"/>
        <v>#N/A</v>
      </c>
      <c r="N1512" s="16" t="e">
        <f t="shared" si="3027"/>
        <v>#N/A</v>
      </c>
      <c r="O1512" s="16" t="s">
        <v>69</v>
      </c>
      <c r="P1512" s="16" t="str">
        <f t="shared" si="6"/>
        <v/>
      </c>
      <c r="Q1512" s="41" t="e">
        <f t="shared" si="3028"/>
        <v>#N/A</v>
      </c>
      <c r="R1512" s="44"/>
      <c r="S1512" s="44"/>
      <c r="T1512" s="43"/>
      <c r="U1512" s="43" t="str">
        <f t="shared" si="8"/>
        <v>No</v>
      </c>
      <c r="V1512" s="25"/>
      <c r="W1512" s="25"/>
      <c r="X1512" s="25"/>
      <c r="Y1512" s="25"/>
      <c r="Z1512" s="25"/>
    </row>
    <row r="1513" spans="1:26" ht="15.75" customHeight="1" x14ac:dyDescent="0.25">
      <c r="A1513" s="25">
        <v>1511</v>
      </c>
      <c r="B1513" s="37" t="e">
        <f t="shared" ref="B1513:D1513" si="3047">VLOOKUP($A1513,'[5]Integración Social'!$A$1:$O$233,B$1,0)</f>
        <v>#N/A</v>
      </c>
      <c r="C1513" s="38" t="e">
        <f t="shared" si="3047"/>
        <v>#N/A</v>
      </c>
      <c r="D1513" s="39" t="e">
        <f t="shared" si="3047"/>
        <v>#N/A</v>
      </c>
      <c r="E1513" s="16" t="e">
        <f t="shared" si="1"/>
        <v>#N/A</v>
      </c>
      <c r="F1513" s="16" t="e">
        <f t="shared" ref="F1513:K1513" si="3048">VLOOKUP($A1513,'[5]Integración Social'!$A$1:$O$233,F$1,0)</f>
        <v>#N/A</v>
      </c>
      <c r="G1513" s="39" t="e">
        <f t="shared" si="3048"/>
        <v>#N/A</v>
      </c>
      <c r="H1513" s="16" t="e">
        <f t="shared" si="3048"/>
        <v>#N/A</v>
      </c>
      <c r="I1513" s="16" t="e">
        <f t="shared" si="3048"/>
        <v>#N/A</v>
      </c>
      <c r="J1513" s="40" t="e">
        <f t="shared" si="3048"/>
        <v>#N/A</v>
      </c>
      <c r="K1513" s="16" t="e">
        <f t="shared" si="3048"/>
        <v>#N/A</v>
      </c>
      <c r="L1513" s="40" t="e">
        <f t="shared" si="3025"/>
        <v>#N/A</v>
      </c>
      <c r="M1513" s="16" t="e">
        <f t="shared" si="3026"/>
        <v>#N/A</v>
      </c>
      <c r="N1513" s="16" t="e">
        <f t="shared" si="3027"/>
        <v>#N/A</v>
      </c>
      <c r="O1513" s="16" t="s">
        <v>69</v>
      </c>
      <c r="P1513" s="16" t="str">
        <f t="shared" si="6"/>
        <v/>
      </c>
      <c r="Q1513" s="41" t="e">
        <f t="shared" si="3028"/>
        <v>#N/A</v>
      </c>
      <c r="R1513" s="44"/>
      <c r="S1513" s="44"/>
      <c r="T1513" s="43"/>
      <c r="U1513" s="43" t="str">
        <f t="shared" si="8"/>
        <v>No</v>
      </c>
      <c r="V1513" s="25"/>
      <c r="W1513" s="25"/>
      <c r="X1513" s="25"/>
      <c r="Y1513" s="25"/>
      <c r="Z1513" s="25"/>
    </row>
    <row r="1514" spans="1:26" ht="15.75" customHeight="1" x14ac:dyDescent="0.25">
      <c r="A1514" s="25">
        <v>1512</v>
      </c>
      <c r="B1514" s="37" t="e">
        <f t="shared" ref="B1514:D1514" si="3049">VLOOKUP($A1514,'[5]Integración Social'!$A$1:$O$233,B$1,0)</f>
        <v>#N/A</v>
      </c>
      <c r="C1514" s="38" t="e">
        <f t="shared" si="3049"/>
        <v>#N/A</v>
      </c>
      <c r="D1514" s="39" t="e">
        <f t="shared" si="3049"/>
        <v>#N/A</v>
      </c>
      <c r="E1514" s="16" t="e">
        <f t="shared" si="1"/>
        <v>#N/A</v>
      </c>
      <c r="F1514" s="16" t="e">
        <f t="shared" ref="F1514:K1514" si="3050">VLOOKUP($A1514,'[5]Integración Social'!$A$1:$O$233,F$1,0)</f>
        <v>#N/A</v>
      </c>
      <c r="G1514" s="39" t="e">
        <f t="shared" si="3050"/>
        <v>#N/A</v>
      </c>
      <c r="H1514" s="16" t="e">
        <f t="shared" si="3050"/>
        <v>#N/A</v>
      </c>
      <c r="I1514" s="16" t="e">
        <f t="shared" si="3050"/>
        <v>#N/A</v>
      </c>
      <c r="J1514" s="40" t="e">
        <f t="shared" si="3050"/>
        <v>#N/A</v>
      </c>
      <c r="K1514" s="16" t="e">
        <f t="shared" si="3050"/>
        <v>#N/A</v>
      </c>
      <c r="L1514" s="40" t="e">
        <f t="shared" si="3025"/>
        <v>#N/A</v>
      </c>
      <c r="M1514" s="16" t="e">
        <f t="shared" si="3026"/>
        <v>#N/A</v>
      </c>
      <c r="N1514" s="16" t="e">
        <f t="shared" si="3027"/>
        <v>#N/A</v>
      </c>
      <c r="O1514" s="16" t="s">
        <v>69</v>
      </c>
      <c r="P1514" s="16" t="str">
        <f t="shared" si="6"/>
        <v/>
      </c>
      <c r="Q1514" s="41" t="e">
        <f t="shared" si="3028"/>
        <v>#N/A</v>
      </c>
      <c r="R1514" s="44"/>
      <c r="S1514" s="44"/>
      <c r="T1514" s="43"/>
      <c r="U1514" s="43" t="str">
        <f t="shared" si="8"/>
        <v>No</v>
      </c>
      <c r="V1514" s="25"/>
      <c r="W1514" s="25"/>
      <c r="X1514" s="25"/>
      <c r="Y1514" s="25"/>
      <c r="Z1514" s="25"/>
    </row>
    <row r="1515" spans="1:26" ht="15.75" customHeight="1" x14ac:dyDescent="0.25">
      <c r="A1515" s="25">
        <v>1513</v>
      </c>
      <c r="B1515" s="37" t="e">
        <f t="shared" ref="B1515:D1515" si="3051">VLOOKUP($A1515,'[5]Integración Social'!$A$1:$O$233,B$1,0)</f>
        <v>#N/A</v>
      </c>
      <c r="C1515" s="38" t="e">
        <f t="shared" si="3051"/>
        <v>#N/A</v>
      </c>
      <c r="D1515" s="39" t="e">
        <f t="shared" si="3051"/>
        <v>#N/A</v>
      </c>
      <c r="E1515" s="16" t="e">
        <f t="shared" si="1"/>
        <v>#N/A</v>
      </c>
      <c r="F1515" s="16" t="e">
        <f t="shared" ref="F1515:K1515" si="3052">VLOOKUP($A1515,'[5]Integración Social'!$A$1:$O$233,F$1,0)</f>
        <v>#N/A</v>
      </c>
      <c r="G1515" s="39" t="e">
        <f t="shared" si="3052"/>
        <v>#N/A</v>
      </c>
      <c r="H1515" s="16" t="e">
        <f t="shared" si="3052"/>
        <v>#N/A</v>
      </c>
      <c r="I1515" s="16" t="e">
        <f t="shared" si="3052"/>
        <v>#N/A</v>
      </c>
      <c r="J1515" s="40" t="e">
        <f t="shared" si="3052"/>
        <v>#N/A</v>
      </c>
      <c r="K1515" s="16" t="e">
        <f t="shared" si="3052"/>
        <v>#N/A</v>
      </c>
      <c r="L1515" s="40" t="e">
        <f t="shared" si="3025"/>
        <v>#N/A</v>
      </c>
      <c r="M1515" s="16" t="e">
        <f t="shared" si="3026"/>
        <v>#N/A</v>
      </c>
      <c r="N1515" s="16" t="e">
        <f t="shared" si="3027"/>
        <v>#N/A</v>
      </c>
      <c r="O1515" s="16" t="s">
        <v>69</v>
      </c>
      <c r="P1515" s="16" t="str">
        <f t="shared" si="6"/>
        <v/>
      </c>
      <c r="Q1515" s="41" t="e">
        <f t="shared" si="3028"/>
        <v>#N/A</v>
      </c>
      <c r="R1515" s="44"/>
      <c r="S1515" s="44"/>
      <c r="T1515" s="43"/>
      <c r="U1515" s="43" t="str">
        <f t="shared" si="8"/>
        <v>No</v>
      </c>
      <c r="V1515" s="25"/>
      <c r="W1515" s="25"/>
      <c r="X1515" s="25"/>
      <c r="Y1515" s="25"/>
      <c r="Z1515" s="25"/>
    </row>
    <row r="1516" spans="1:26" ht="15.75" customHeight="1" x14ac:dyDescent="0.25">
      <c r="A1516" s="25">
        <v>1514</v>
      </c>
      <c r="B1516" s="37" t="e">
        <f t="shared" ref="B1516:D1516" si="3053">VLOOKUP($A1516,'[5]Integración Social'!$A$1:$O$233,B$1,0)</f>
        <v>#N/A</v>
      </c>
      <c r="C1516" s="38" t="e">
        <f t="shared" si="3053"/>
        <v>#N/A</v>
      </c>
      <c r="D1516" s="39" t="e">
        <f t="shared" si="3053"/>
        <v>#N/A</v>
      </c>
      <c r="E1516" s="16" t="e">
        <f t="shared" si="1"/>
        <v>#N/A</v>
      </c>
      <c r="F1516" s="16" t="e">
        <f t="shared" ref="F1516:K1516" si="3054">VLOOKUP($A1516,'[5]Integración Social'!$A$1:$O$233,F$1,0)</f>
        <v>#N/A</v>
      </c>
      <c r="G1516" s="39" t="e">
        <f t="shared" si="3054"/>
        <v>#N/A</v>
      </c>
      <c r="H1516" s="16" t="e">
        <f t="shared" si="3054"/>
        <v>#N/A</v>
      </c>
      <c r="I1516" s="16" t="e">
        <f t="shared" si="3054"/>
        <v>#N/A</v>
      </c>
      <c r="J1516" s="40" t="e">
        <f t="shared" si="3054"/>
        <v>#N/A</v>
      </c>
      <c r="K1516" s="16" t="e">
        <f t="shared" si="3054"/>
        <v>#N/A</v>
      </c>
      <c r="L1516" s="40" t="e">
        <f t="shared" si="3025"/>
        <v>#N/A</v>
      </c>
      <c r="M1516" s="16" t="e">
        <f t="shared" si="3026"/>
        <v>#N/A</v>
      </c>
      <c r="N1516" s="16" t="e">
        <f t="shared" si="3027"/>
        <v>#N/A</v>
      </c>
      <c r="O1516" s="16" t="s">
        <v>69</v>
      </c>
      <c r="P1516" s="16" t="str">
        <f t="shared" si="6"/>
        <v/>
      </c>
      <c r="Q1516" s="41" t="e">
        <f t="shared" si="3028"/>
        <v>#N/A</v>
      </c>
      <c r="R1516" s="44"/>
      <c r="S1516" s="44"/>
      <c r="T1516" s="43"/>
      <c r="U1516" s="43" t="str">
        <f t="shared" si="8"/>
        <v>No</v>
      </c>
      <c r="V1516" s="25"/>
      <c r="W1516" s="25"/>
      <c r="X1516" s="25"/>
      <c r="Y1516" s="25"/>
      <c r="Z1516" s="25"/>
    </row>
    <row r="1517" spans="1:26" ht="15.75" customHeight="1" x14ac:dyDescent="0.25">
      <c r="A1517" s="25">
        <v>1515</v>
      </c>
      <c r="B1517" s="37" t="e">
        <f t="shared" ref="B1517:D1517" si="3055">VLOOKUP($A1517,'[5]Integración Social'!$A$1:$O$233,B$1,0)</f>
        <v>#N/A</v>
      </c>
      <c r="C1517" s="38" t="e">
        <f t="shared" si="3055"/>
        <v>#N/A</v>
      </c>
      <c r="D1517" s="39" t="e">
        <f t="shared" si="3055"/>
        <v>#N/A</v>
      </c>
      <c r="E1517" s="16" t="e">
        <f t="shared" si="1"/>
        <v>#N/A</v>
      </c>
      <c r="F1517" s="16" t="e">
        <f t="shared" ref="F1517:K1517" si="3056">VLOOKUP($A1517,'[5]Integración Social'!$A$1:$O$233,F$1,0)</f>
        <v>#N/A</v>
      </c>
      <c r="G1517" s="39" t="e">
        <f t="shared" si="3056"/>
        <v>#N/A</v>
      </c>
      <c r="H1517" s="16" t="e">
        <f t="shared" si="3056"/>
        <v>#N/A</v>
      </c>
      <c r="I1517" s="16" t="e">
        <f t="shared" si="3056"/>
        <v>#N/A</v>
      </c>
      <c r="J1517" s="40" t="e">
        <f t="shared" si="3056"/>
        <v>#N/A</v>
      </c>
      <c r="K1517" s="16" t="e">
        <f t="shared" si="3056"/>
        <v>#N/A</v>
      </c>
      <c r="L1517" s="40" t="e">
        <f t="shared" si="3025"/>
        <v>#N/A</v>
      </c>
      <c r="M1517" s="16" t="e">
        <f t="shared" si="3026"/>
        <v>#N/A</v>
      </c>
      <c r="N1517" s="16" t="e">
        <f t="shared" si="3027"/>
        <v>#N/A</v>
      </c>
      <c r="O1517" s="16" t="s">
        <v>69</v>
      </c>
      <c r="P1517" s="16" t="str">
        <f t="shared" si="6"/>
        <v/>
      </c>
      <c r="Q1517" s="41" t="e">
        <f t="shared" si="3028"/>
        <v>#N/A</v>
      </c>
      <c r="R1517" s="44"/>
      <c r="S1517" s="44"/>
      <c r="T1517" s="43"/>
      <c r="U1517" s="43" t="str">
        <f t="shared" si="8"/>
        <v>No</v>
      </c>
      <c r="V1517" s="25"/>
      <c r="W1517" s="25"/>
      <c r="X1517" s="25"/>
      <c r="Y1517" s="25"/>
      <c r="Z1517" s="25"/>
    </row>
    <row r="1518" spans="1:26" ht="15.75" customHeight="1" x14ac:dyDescent="0.25">
      <c r="A1518" s="25">
        <v>1516</v>
      </c>
      <c r="B1518" s="37" t="e">
        <f t="shared" ref="B1518:D1518" si="3057">VLOOKUP($A1518,'[5]Integración Social'!$A$1:$O$233,B$1,0)</f>
        <v>#N/A</v>
      </c>
      <c r="C1518" s="38" t="e">
        <f t="shared" si="3057"/>
        <v>#N/A</v>
      </c>
      <c r="D1518" s="39" t="e">
        <f t="shared" si="3057"/>
        <v>#N/A</v>
      </c>
      <c r="E1518" s="16" t="e">
        <f t="shared" si="1"/>
        <v>#N/A</v>
      </c>
      <c r="F1518" s="16" t="e">
        <f t="shared" ref="F1518:K1518" si="3058">VLOOKUP($A1518,'[5]Integración Social'!$A$1:$O$233,F$1,0)</f>
        <v>#N/A</v>
      </c>
      <c r="G1518" s="39" t="e">
        <f t="shared" si="3058"/>
        <v>#N/A</v>
      </c>
      <c r="H1518" s="16" t="e">
        <f t="shared" si="3058"/>
        <v>#N/A</v>
      </c>
      <c r="I1518" s="16" t="e">
        <f t="shared" si="3058"/>
        <v>#N/A</v>
      </c>
      <c r="J1518" s="40" t="e">
        <f t="shared" si="3058"/>
        <v>#N/A</v>
      </c>
      <c r="K1518" s="16" t="e">
        <f t="shared" si="3058"/>
        <v>#N/A</v>
      </c>
      <c r="L1518" s="40" t="e">
        <f t="shared" si="3025"/>
        <v>#N/A</v>
      </c>
      <c r="M1518" s="16" t="e">
        <f t="shared" si="3026"/>
        <v>#N/A</v>
      </c>
      <c r="N1518" s="16" t="e">
        <f t="shared" si="3027"/>
        <v>#N/A</v>
      </c>
      <c r="O1518" s="16" t="s">
        <v>69</v>
      </c>
      <c r="P1518" s="16" t="str">
        <f t="shared" si="6"/>
        <v/>
      </c>
      <c r="Q1518" s="41" t="e">
        <f t="shared" si="3028"/>
        <v>#N/A</v>
      </c>
      <c r="R1518" s="44"/>
      <c r="S1518" s="44"/>
      <c r="T1518" s="43"/>
      <c r="U1518" s="43" t="str">
        <f t="shared" si="8"/>
        <v>No</v>
      </c>
      <c r="V1518" s="25"/>
      <c r="W1518" s="25"/>
      <c r="X1518" s="25"/>
      <c r="Y1518" s="25"/>
      <c r="Z1518" s="25"/>
    </row>
    <row r="1519" spans="1:26" ht="15.75" customHeight="1" x14ac:dyDescent="0.25">
      <c r="A1519" s="25">
        <v>1517</v>
      </c>
      <c r="B1519" s="37" t="e">
        <f t="shared" ref="B1519:D1519" si="3059">VLOOKUP($A1519,'[5]Integración Social'!$A$1:$O$233,B$1,0)</f>
        <v>#N/A</v>
      </c>
      <c r="C1519" s="38" t="e">
        <f t="shared" si="3059"/>
        <v>#N/A</v>
      </c>
      <c r="D1519" s="39" t="e">
        <f t="shared" si="3059"/>
        <v>#N/A</v>
      </c>
      <c r="E1519" s="16" t="e">
        <f t="shared" si="1"/>
        <v>#N/A</v>
      </c>
      <c r="F1519" s="16" t="e">
        <f t="shared" ref="F1519:K1519" si="3060">VLOOKUP($A1519,'[5]Integración Social'!$A$1:$O$233,F$1,0)</f>
        <v>#N/A</v>
      </c>
      <c r="G1519" s="39" t="e">
        <f t="shared" si="3060"/>
        <v>#N/A</v>
      </c>
      <c r="H1519" s="16" t="e">
        <f t="shared" si="3060"/>
        <v>#N/A</v>
      </c>
      <c r="I1519" s="16" t="e">
        <f t="shared" si="3060"/>
        <v>#N/A</v>
      </c>
      <c r="J1519" s="40" t="e">
        <f t="shared" si="3060"/>
        <v>#N/A</v>
      </c>
      <c r="K1519" s="16" t="e">
        <f t="shared" si="3060"/>
        <v>#N/A</v>
      </c>
      <c r="L1519" s="40" t="e">
        <f t="shared" si="3025"/>
        <v>#N/A</v>
      </c>
      <c r="M1519" s="16" t="e">
        <f t="shared" si="3026"/>
        <v>#N/A</v>
      </c>
      <c r="N1519" s="16" t="e">
        <f t="shared" si="3027"/>
        <v>#N/A</v>
      </c>
      <c r="O1519" s="16" t="s">
        <v>69</v>
      </c>
      <c r="P1519" s="16" t="str">
        <f t="shared" si="6"/>
        <v/>
      </c>
      <c r="Q1519" s="41" t="e">
        <f t="shared" si="3028"/>
        <v>#N/A</v>
      </c>
      <c r="R1519" s="44"/>
      <c r="S1519" s="44"/>
      <c r="T1519" s="43"/>
      <c r="U1519" s="43" t="str">
        <f t="shared" si="8"/>
        <v>No</v>
      </c>
      <c r="V1519" s="25"/>
      <c r="W1519" s="25"/>
      <c r="X1519" s="25"/>
      <c r="Y1519" s="25"/>
      <c r="Z1519" s="25"/>
    </row>
    <row r="1520" spans="1:26" ht="15.75" customHeight="1" x14ac:dyDescent="0.25">
      <c r="A1520" s="25">
        <v>1518</v>
      </c>
      <c r="B1520" s="37" t="e">
        <f t="shared" ref="B1520:D1520" si="3061">VLOOKUP($A1520,'[5]Integración Social'!$A$1:$O$233,B$1,0)</f>
        <v>#N/A</v>
      </c>
      <c r="C1520" s="38" t="e">
        <f t="shared" si="3061"/>
        <v>#N/A</v>
      </c>
      <c r="D1520" s="39" t="e">
        <f t="shared" si="3061"/>
        <v>#N/A</v>
      </c>
      <c r="E1520" s="16" t="e">
        <f t="shared" si="1"/>
        <v>#N/A</v>
      </c>
      <c r="F1520" s="16" t="e">
        <f t="shared" ref="F1520:K1520" si="3062">VLOOKUP($A1520,'[5]Integración Social'!$A$1:$O$233,F$1,0)</f>
        <v>#N/A</v>
      </c>
      <c r="G1520" s="39" t="e">
        <f t="shared" si="3062"/>
        <v>#N/A</v>
      </c>
      <c r="H1520" s="16" t="e">
        <f t="shared" si="3062"/>
        <v>#N/A</v>
      </c>
      <c r="I1520" s="16" t="e">
        <f t="shared" si="3062"/>
        <v>#N/A</v>
      </c>
      <c r="J1520" s="40" t="e">
        <f t="shared" si="3062"/>
        <v>#N/A</v>
      </c>
      <c r="K1520" s="16" t="e">
        <f t="shared" si="3062"/>
        <v>#N/A</v>
      </c>
      <c r="L1520" s="40" t="e">
        <f t="shared" si="3025"/>
        <v>#N/A</v>
      </c>
      <c r="M1520" s="16" t="e">
        <f t="shared" si="3026"/>
        <v>#N/A</v>
      </c>
      <c r="N1520" s="16" t="e">
        <f t="shared" si="3027"/>
        <v>#N/A</v>
      </c>
      <c r="O1520" s="16" t="s">
        <v>69</v>
      </c>
      <c r="P1520" s="16" t="str">
        <f t="shared" si="6"/>
        <v/>
      </c>
      <c r="Q1520" s="41" t="e">
        <f t="shared" si="3028"/>
        <v>#N/A</v>
      </c>
      <c r="R1520" s="44"/>
      <c r="S1520" s="44"/>
      <c r="T1520" s="43"/>
      <c r="U1520" s="43" t="str">
        <f t="shared" si="8"/>
        <v>No</v>
      </c>
      <c r="V1520" s="25"/>
      <c r="W1520" s="25"/>
      <c r="X1520" s="25"/>
      <c r="Y1520" s="25"/>
      <c r="Z1520" s="25"/>
    </row>
    <row r="1521" spans="1:26" ht="15.75" customHeight="1" x14ac:dyDescent="0.25">
      <c r="A1521" s="25">
        <v>1519</v>
      </c>
      <c r="B1521" s="37" t="e">
        <f t="shared" ref="B1521:D1521" si="3063">VLOOKUP($A1521,'[5]Integración Social'!$A$1:$O$233,B$1,0)</f>
        <v>#N/A</v>
      </c>
      <c r="C1521" s="38" t="e">
        <f t="shared" si="3063"/>
        <v>#N/A</v>
      </c>
      <c r="D1521" s="39" t="e">
        <f t="shared" si="3063"/>
        <v>#N/A</v>
      </c>
      <c r="E1521" s="16" t="e">
        <f t="shared" si="1"/>
        <v>#N/A</v>
      </c>
      <c r="F1521" s="16" t="e">
        <f t="shared" ref="F1521:K1521" si="3064">VLOOKUP($A1521,'[5]Integración Social'!$A$1:$O$233,F$1,0)</f>
        <v>#N/A</v>
      </c>
      <c r="G1521" s="39" t="e">
        <f t="shared" si="3064"/>
        <v>#N/A</v>
      </c>
      <c r="H1521" s="16" t="e">
        <f t="shared" si="3064"/>
        <v>#N/A</v>
      </c>
      <c r="I1521" s="16" t="e">
        <f t="shared" si="3064"/>
        <v>#N/A</v>
      </c>
      <c r="J1521" s="40" t="e">
        <f t="shared" si="3064"/>
        <v>#N/A</v>
      </c>
      <c r="K1521" s="16" t="e">
        <f t="shared" si="3064"/>
        <v>#N/A</v>
      </c>
      <c r="L1521" s="40" t="e">
        <f t="shared" si="3025"/>
        <v>#N/A</v>
      </c>
      <c r="M1521" s="16" t="e">
        <f t="shared" si="3026"/>
        <v>#N/A</v>
      </c>
      <c r="N1521" s="16" t="e">
        <f t="shared" si="3027"/>
        <v>#N/A</v>
      </c>
      <c r="O1521" s="16" t="s">
        <v>69</v>
      </c>
      <c r="P1521" s="16" t="str">
        <f t="shared" si="6"/>
        <v/>
      </c>
      <c r="Q1521" s="41" t="e">
        <f t="shared" si="3028"/>
        <v>#N/A</v>
      </c>
      <c r="R1521" s="44"/>
      <c r="S1521" s="44"/>
      <c r="T1521" s="43"/>
      <c r="U1521" s="43" t="str">
        <f t="shared" si="8"/>
        <v>No</v>
      </c>
      <c r="V1521" s="25"/>
      <c r="W1521" s="25"/>
      <c r="X1521" s="25"/>
      <c r="Y1521" s="25"/>
      <c r="Z1521" s="25"/>
    </row>
    <row r="1522" spans="1:26" ht="15.75" customHeight="1" x14ac:dyDescent="0.25">
      <c r="A1522" s="25">
        <v>1520</v>
      </c>
      <c r="B1522" s="37" t="e">
        <f t="shared" ref="B1522:D1522" si="3065">VLOOKUP($A1522,'[5]Integración Social'!$A$1:$O$233,B$1,0)</f>
        <v>#N/A</v>
      </c>
      <c r="C1522" s="38" t="e">
        <f t="shared" si="3065"/>
        <v>#N/A</v>
      </c>
      <c r="D1522" s="39" t="e">
        <f t="shared" si="3065"/>
        <v>#N/A</v>
      </c>
      <c r="E1522" s="16" t="e">
        <f t="shared" si="1"/>
        <v>#N/A</v>
      </c>
      <c r="F1522" s="16" t="e">
        <f t="shared" ref="F1522:K1522" si="3066">VLOOKUP($A1522,'[5]Integración Social'!$A$1:$O$233,F$1,0)</f>
        <v>#N/A</v>
      </c>
      <c r="G1522" s="39" t="e">
        <f t="shared" si="3066"/>
        <v>#N/A</v>
      </c>
      <c r="H1522" s="16" t="e">
        <f t="shared" si="3066"/>
        <v>#N/A</v>
      </c>
      <c r="I1522" s="16" t="e">
        <f t="shared" si="3066"/>
        <v>#N/A</v>
      </c>
      <c r="J1522" s="40" t="e">
        <f t="shared" si="3066"/>
        <v>#N/A</v>
      </c>
      <c r="K1522" s="16" t="e">
        <f t="shared" si="3066"/>
        <v>#N/A</v>
      </c>
      <c r="L1522" s="40" t="e">
        <f t="shared" si="3025"/>
        <v>#N/A</v>
      </c>
      <c r="M1522" s="16" t="e">
        <f t="shared" si="3026"/>
        <v>#N/A</v>
      </c>
      <c r="N1522" s="16" t="e">
        <f t="shared" si="3027"/>
        <v>#N/A</v>
      </c>
      <c r="O1522" s="16" t="s">
        <v>69</v>
      </c>
      <c r="P1522" s="16" t="str">
        <f t="shared" si="6"/>
        <v/>
      </c>
      <c r="Q1522" s="41" t="e">
        <f t="shared" si="3028"/>
        <v>#N/A</v>
      </c>
      <c r="R1522" s="44"/>
      <c r="S1522" s="44"/>
      <c r="T1522" s="43"/>
      <c r="U1522" s="43" t="str">
        <f t="shared" si="8"/>
        <v>No</v>
      </c>
      <c r="V1522" s="25"/>
      <c r="W1522" s="25"/>
      <c r="X1522" s="25"/>
      <c r="Y1522" s="25"/>
      <c r="Z1522" s="25"/>
    </row>
    <row r="1523" spans="1:26" ht="15.75" customHeight="1" x14ac:dyDescent="0.25">
      <c r="A1523" s="25">
        <v>1521</v>
      </c>
      <c r="B1523" s="37" t="e">
        <f t="shared" ref="B1523:D1523" si="3067">VLOOKUP($A1523,'[5]Integración Social'!$A$1:$O$233,B$1,0)</f>
        <v>#N/A</v>
      </c>
      <c r="C1523" s="38" t="e">
        <f t="shared" si="3067"/>
        <v>#N/A</v>
      </c>
      <c r="D1523" s="39" t="e">
        <f t="shared" si="3067"/>
        <v>#N/A</v>
      </c>
      <c r="E1523" s="16" t="e">
        <f t="shared" si="1"/>
        <v>#N/A</v>
      </c>
      <c r="F1523" s="16" t="e">
        <f t="shared" ref="F1523:K1523" si="3068">VLOOKUP($A1523,'[5]Integración Social'!$A$1:$O$233,F$1,0)</f>
        <v>#N/A</v>
      </c>
      <c r="G1523" s="39" t="e">
        <f t="shared" si="3068"/>
        <v>#N/A</v>
      </c>
      <c r="H1523" s="16" t="e">
        <f t="shared" si="3068"/>
        <v>#N/A</v>
      </c>
      <c r="I1523" s="16" t="e">
        <f t="shared" si="3068"/>
        <v>#N/A</v>
      </c>
      <c r="J1523" s="40" t="e">
        <f t="shared" si="3068"/>
        <v>#N/A</v>
      </c>
      <c r="K1523" s="16" t="e">
        <f t="shared" si="3068"/>
        <v>#N/A</v>
      </c>
      <c r="L1523" s="40" t="e">
        <f t="shared" si="3025"/>
        <v>#N/A</v>
      </c>
      <c r="M1523" s="16" t="e">
        <f t="shared" si="3026"/>
        <v>#N/A</v>
      </c>
      <c r="N1523" s="16" t="e">
        <f t="shared" si="3027"/>
        <v>#N/A</v>
      </c>
      <c r="O1523" s="16" t="s">
        <v>69</v>
      </c>
      <c r="P1523" s="16" t="str">
        <f t="shared" si="6"/>
        <v/>
      </c>
      <c r="Q1523" s="41" t="e">
        <f t="shared" si="3028"/>
        <v>#N/A</v>
      </c>
      <c r="R1523" s="44"/>
      <c r="S1523" s="44"/>
      <c r="T1523" s="43"/>
      <c r="U1523" s="43" t="str">
        <f t="shared" si="8"/>
        <v>No</v>
      </c>
      <c r="V1523" s="25"/>
      <c r="W1523" s="25"/>
      <c r="X1523" s="25"/>
      <c r="Y1523" s="25"/>
      <c r="Z1523" s="25"/>
    </row>
    <row r="1524" spans="1:26" ht="15.75" customHeight="1" x14ac:dyDescent="0.25">
      <c r="A1524" s="25">
        <v>1522</v>
      </c>
      <c r="B1524" s="37" t="e">
        <f t="shared" ref="B1524:D1524" si="3069">VLOOKUP($A1524,'[5]Integración Social'!$A$1:$O$233,B$1,0)</f>
        <v>#N/A</v>
      </c>
      <c r="C1524" s="38" t="e">
        <f t="shared" si="3069"/>
        <v>#N/A</v>
      </c>
      <c r="D1524" s="39" t="e">
        <f t="shared" si="3069"/>
        <v>#N/A</v>
      </c>
      <c r="E1524" s="16" t="e">
        <f t="shared" si="1"/>
        <v>#N/A</v>
      </c>
      <c r="F1524" s="16" t="e">
        <f t="shared" ref="F1524:K1524" si="3070">VLOOKUP($A1524,'[5]Integración Social'!$A$1:$O$233,F$1,0)</f>
        <v>#N/A</v>
      </c>
      <c r="G1524" s="39" t="e">
        <f t="shared" si="3070"/>
        <v>#N/A</v>
      </c>
      <c r="H1524" s="16" t="e">
        <f t="shared" si="3070"/>
        <v>#N/A</v>
      </c>
      <c r="I1524" s="16" t="e">
        <f t="shared" si="3070"/>
        <v>#N/A</v>
      </c>
      <c r="J1524" s="40" t="e">
        <f t="shared" si="3070"/>
        <v>#N/A</v>
      </c>
      <c r="K1524" s="16" t="e">
        <f t="shared" si="3070"/>
        <v>#N/A</v>
      </c>
      <c r="L1524" s="40" t="e">
        <f t="shared" si="3025"/>
        <v>#N/A</v>
      </c>
      <c r="M1524" s="16" t="e">
        <f t="shared" si="3026"/>
        <v>#N/A</v>
      </c>
      <c r="N1524" s="16" t="e">
        <f t="shared" si="3027"/>
        <v>#N/A</v>
      </c>
      <c r="O1524" s="16" t="s">
        <v>69</v>
      </c>
      <c r="P1524" s="16" t="str">
        <f t="shared" si="6"/>
        <v/>
      </c>
      <c r="Q1524" s="41" t="e">
        <f t="shared" si="3028"/>
        <v>#N/A</v>
      </c>
      <c r="R1524" s="44"/>
      <c r="S1524" s="44"/>
      <c r="T1524" s="43"/>
      <c r="U1524" s="43" t="str">
        <f t="shared" si="8"/>
        <v>No</v>
      </c>
      <c r="V1524" s="25"/>
      <c r="W1524" s="25"/>
      <c r="X1524" s="25"/>
      <c r="Y1524" s="25"/>
      <c r="Z1524" s="25"/>
    </row>
    <row r="1525" spans="1:26" ht="15.75" customHeight="1" x14ac:dyDescent="0.25">
      <c r="A1525" s="25">
        <v>1523</v>
      </c>
      <c r="B1525" s="37" t="e">
        <f t="shared" ref="B1525:D1525" si="3071">VLOOKUP($A1525,'[5]Integración Social'!$A$1:$O$233,B$1,0)</f>
        <v>#N/A</v>
      </c>
      <c r="C1525" s="38" t="e">
        <f t="shared" si="3071"/>
        <v>#N/A</v>
      </c>
      <c r="D1525" s="39" t="e">
        <f t="shared" si="3071"/>
        <v>#N/A</v>
      </c>
      <c r="E1525" s="16" t="e">
        <f t="shared" si="1"/>
        <v>#N/A</v>
      </c>
      <c r="F1525" s="16" t="e">
        <f t="shared" ref="F1525:K1525" si="3072">VLOOKUP($A1525,'[5]Integración Social'!$A$1:$O$233,F$1,0)</f>
        <v>#N/A</v>
      </c>
      <c r="G1525" s="39" t="e">
        <f t="shared" si="3072"/>
        <v>#N/A</v>
      </c>
      <c r="H1525" s="16" t="e">
        <f t="shared" si="3072"/>
        <v>#N/A</v>
      </c>
      <c r="I1525" s="16" t="e">
        <f t="shared" si="3072"/>
        <v>#N/A</v>
      </c>
      <c r="J1525" s="40" t="e">
        <f t="shared" si="3072"/>
        <v>#N/A</v>
      </c>
      <c r="K1525" s="16" t="e">
        <f t="shared" si="3072"/>
        <v>#N/A</v>
      </c>
      <c r="L1525" s="40" t="e">
        <f t="shared" si="3025"/>
        <v>#N/A</v>
      </c>
      <c r="M1525" s="16" t="e">
        <f t="shared" si="3026"/>
        <v>#N/A</v>
      </c>
      <c r="N1525" s="16" t="e">
        <f t="shared" si="3027"/>
        <v>#N/A</v>
      </c>
      <c r="O1525" s="16" t="s">
        <v>69</v>
      </c>
      <c r="P1525" s="16" t="str">
        <f t="shared" si="6"/>
        <v/>
      </c>
      <c r="Q1525" s="41" t="e">
        <f t="shared" si="3028"/>
        <v>#N/A</v>
      </c>
      <c r="R1525" s="44"/>
      <c r="S1525" s="44"/>
      <c r="T1525" s="43"/>
      <c r="U1525" s="43" t="str">
        <f t="shared" si="8"/>
        <v>No</v>
      </c>
      <c r="V1525" s="25"/>
      <c r="W1525" s="25"/>
      <c r="X1525" s="25"/>
      <c r="Y1525" s="25"/>
      <c r="Z1525" s="25"/>
    </row>
    <row r="1526" spans="1:26" ht="15.75" customHeight="1" x14ac:dyDescent="0.25">
      <c r="A1526" s="25">
        <v>1524</v>
      </c>
      <c r="B1526" s="37" t="e">
        <f t="shared" ref="B1526:D1526" si="3073">VLOOKUP($A1526,'[5]Integración Social'!$A$1:$O$233,B$1,0)</f>
        <v>#N/A</v>
      </c>
      <c r="C1526" s="38" t="e">
        <f t="shared" si="3073"/>
        <v>#N/A</v>
      </c>
      <c r="D1526" s="39" t="e">
        <f t="shared" si="3073"/>
        <v>#N/A</v>
      </c>
      <c r="E1526" s="16" t="e">
        <f t="shared" si="1"/>
        <v>#N/A</v>
      </c>
      <c r="F1526" s="16" t="e">
        <f t="shared" ref="F1526:K1526" si="3074">VLOOKUP($A1526,'[5]Integración Social'!$A$1:$O$233,F$1,0)</f>
        <v>#N/A</v>
      </c>
      <c r="G1526" s="39" t="e">
        <f t="shared" si="3074"/>
        <v>#N/A</v>
      </c>
      <c r="H1526" s="16" t="e">
        <f t="shared" si="3074"/>
        <v>#N/A</v>
      </c>
      <c r="I1526" s="16" t="e">
        <f t="shared" si="3074"/>
        <v>#N/A</v>
      </c>
      <c r="J1526" s="40" t="e">
        <f t="shared" si="3074"/>
        <v>#N/A</v>
      </c>
      <c r="K1526" s="16" t="e">
        <f t="shared" si="3074"/>
        <v>#N/A</v>
      </c>
      <c r="L1526" s="40" t="e">
        <f t="shared" si="3025"/>
        <v>#N/A</v>
      </c>
      <c r="M1526" s="16" t="e">
        <f t="shared" si="3026"/>
        <v>#N/A</v>
      </c>
      <c r="N1526" s="16" t="e">
        <f t="shared" si="3027"/>
        <v>#N/A</v>
      </c>
      <c r="O1526" s="16" t="s">
        <v>69</v>
      </c>
      <c r="P1526" s="16" t="str">
        <f t="shared" si="6"/>
        <v/>
      </c>
      <c r="Q1526" s="41" t="e">
        <f t="shared" si="3028"/>
        <v>#N/A</v>
      </c>
      <c r="R1526" s="44"/>
      <c r="S1526" s="44"/>
      <c r="T1526" s="43"/>
      <c r="U1526" s="43" t="str">
        <f t="shared" si="8"/>
        <v>No</v>
      </c>
      <c r="V1526" s="25"/>
      <c r="W1526" s="25"/>
      <c r="X1526" s="25"/>
      <c r="Y1526" s="25"/>
      <c r="Z1526" s="25"/>
    </row>
    <row r="1527" spans="1:26" ht="15.75" customHeight="1" x14ac:dyDescent="0.25">
      <c r="A1527" s="25">
        <v>1525</v>
      </c>
      <c r="B1527" s="37" t="e">
        <f t="shared" ref="B1527:D1527" si="3075">VLOOKUP($A1527,'[5]Integración Social'!$A$1:$O$233,B$1,0)</f>
        <v>#N/A</v>
      </c>
      <c r="C1527" s="38" t="e">
        <f t="shared" si="3075"/>
        <v>#N/A</v>
      </c>
      <c r="D1527" s="39" t="e">
        <f t="shared" si="3075"/>
        <v>#N/A</v>
      </c>
      <c r="E1527" s="16" t="e">
        <f t="shared" si="1"/>
        <v>#N/A</v>
      </c>
      <c r="F1527" s="16" t="e">
        <f t="shared" ref="F1527:K1527" si="3076">VLOOKUP($A1527,'[5]Integración Social'!$A$1:$O$233,F$1,0)</f>
        <v>#N/A</v>
      </c>
      <c r="G1527" s="39" t="e">
        <f t="shared" si="3076"/>
        <v>#N/A</v>
      </c>
      <c r="H1527" s="16" t="e">
        <f t="shared" si="3076"/>
        <v>#N/A</v>
      </c>
      <c r="I1527" s="16" t="e">
        <f t="shared" si="3076"/>
        <v>#N/A</v>
      </c>
      <c r="J1527" s="40" t="e">
        <f t="shared" si="3076"/>
        <v>#N/A</v>
      </c>
      <c r="K1527" s="16" t="e">
        <f t="shared" si="3076"/>
        <v>#N/A</v>
      </c>
      <c r="L1527" s="40" t="e">
        <f t="shared" si="3025"/>
        <v>#N/A</v>
      </c>
      <c r="M1527" s="16" t="e">
        <f t="shared" si="3026"/>
        <v>#N/A</v>
      </c>
      <c r="N1527" s="16" t="e">
        <f t="shared" si="3027"/>
        <v>#N/A</v>
      </c>
      <c r="O1527" s="16" t="s">
        <v>69</v>
      </c>
      <c r="P1527" s="16" t="str">
        <f t="shared" si="6"/>
        <v/>
      </c>
      <c r="Q1527" s="41" t="e">
        <f t="shared" si="3028"/>
        <v>#N/A</v>
      </c>
      <c r="R1527" s="44"/>
      <c r="S1527" s="44"/>
      <c r="T1527" s="43"/>
      <c r="U1527" s="43" t="str">
        <f t="shared" si="8"/>
        <v>No</v>
      </c>
      <c r="V1527" s="25"/>
      <c r="W1527" s="25"/>
      <c r="X1527" s="25"/>
      <c r="Y1527" s="25"/>
      <c r="Z1527" s="25"/>
    </row>
    <row r="1528" spans="1:26" ht="15.75" customHeight="1" x14ac:dyDescent="0.25">
      <c r="A1528" s="25">
        <v>1526</v>
      </c>
      <c r="B1528" s="37" t="e">
        <f t="shared" ref="B1528:D1528" si="3077">VLOOKUP($A1528,'[5]Integración Social'!$A$1:$O$233,B$1,0)</f>
        <v>#N/A</v>
      </c>
      <c r="C1528" s="38" t="e">
        <f t="shared" si="3077"/>
        <v>#N/A</v>
      </c>
      <c r="D1528" s="39" t="e">
        <f t="shared" si="3077"/>
        <v>#N/A</v>
      </c>
      <c r="E1528" s="16" t="e">
        <f t="shared" si="1"/>
        <v>#N/A</v>
      </c>
      <c r="F1528" s="16" t="e">
        <f t="shared" ref="F1528:K1528" si="3078">VLOOKUP($A1528,'[5]Integración Social'!$A$1:$O$233,F$1,0)</f>
        <v>#N/A</v>
      </c>
      <c r="G1528" s="39" t="e">
        <f t="shared" si="3078"/>
        <v>#N/A</v>
      </c>
      <c r="H1528" s="16" t="e">
        <f t="shared" si="3078"/>
        <v>#N/A</v>
      </c>
      <c r="I1528" s="16" t="e">
        <f t="shared" si="3078"/>
        <v>#N/A</v>
      </c>
      <c r="J1528" s="40" t="e">
        <f t="shared" si="3078"/>
        <v>#N/A</v>
      </c>
      <c r="K1528" s="16" t="e">
        <f t="shared" si="3078"/>
        <v>#N/A</v>
      </c>
      <c r="L1528" s="40" t="e">
        <f t="shared" si="3025"/>
        <v>#N/A</v>
      </c>
      <c r="M1528" s="16" t="e">
        <f t="shared" si="3026"/>
        <v>#N/A</v>
      </c>
      <c r="N1528" s="16" t="e">
        <f t="shared" si="3027"/>
        <v>#N/A</v>
      </c>
      <c r="O1528" s="16" t="s">
        <v>69</v>
      </c>
      <c r="P1528" s="16" t="str">
        <f t="shared" si="6"/>
        <v/>
      </c>
      <c r="Q1528" s="41" t="e">
        <f t="shared" si="3028"/>
        <v>#N/A</v>
      </c>
      <c r="R1528" s="44"/>
      <c r="S1528" s="44"/>
      <c r="T1528" s="43"/>
      <c r="U1528" s="43" t="str">
        <f t="shared" si="8"/>
        <v>No</v>
      </c>
      <c r="V1528" s="25"/>
      <c r="W1528" s="25"/>
      <c r="X1528" s="25"/>
      <c r="Y1528" s="25"/>
      <c r="Z1528" s="25"/>
    </row>
    <row r="1529" spans="1:26" ht="15.75" customHeight="1" x14ac:dyDescent="0.25">
      <c r="A1529" s="25">
        <v>1527</v>
      </c>
      <c r="B1529" s="37" t="e">
        <f t="shared" ref="B1529:D1529" si="3079">VLOOKUP($A1529,'[5]Integración Social'!$A$1:$O$233,B$1,0)</f>
        <v>#N/A</v>
      </c>
      <c r="C1529" s="38" t="e">
        <f t="shared" si="3079"/>
        <v>#N/A</v>
      </c>
      <c r="D1529" s="39" t="e">
        <f t="shared" si="3079"/>
        <v>#N/A</v>
      </c>
      <c r="E1529" s="16" t="e">
        <f t="shared" si="1"/>
        <v>#N/A</v>
      </c>
      <c r="F1529" s="16" t="e">
        <f t="shared" ref="F1529:K1529" si="3080">VLOOKUP($A1529,'[5]Integración Social'!$A$1:$O$233,F$1,0)</f>
        <v>#N/A</v>
      </c>
      <c r="G1529" s="39" t="e">
        <f t="shared" si="3080"/>
        <v>#N/A</v>
      </c>
      <c r="H1529" s="16" t="e">
        <f t="shared" si="3080"/>
        <v>#N/A</v>
      </c>
      <c r="I1529" s="16" t="e">
        <f t="shared" si="3080"/>
        <v>#N/A</v>
      </c>
      <c r="J1529" s="40" t="e">
        <f t="shared" si="3080"/>
        <v>#N/A</v>
      </c>
      <c r="K1529" s="16" t="e">
        <f t="shared" si="3080"/>
        <v>#N/A</v>
      </c>
      <c r="L1529" s="40" t="e">
        <f t="shared" si="3025"/>
        <v>#N/A</v>
      </c>
      <c r="M1529" s="16" t="e">
        <f t="shared" si="3026"/>
        <v>#N/A</v>
      </c>
      <c r="N1529" s="16" t="e">
        <f t="shared" si="3027"/>
        <v>#N/A</v>
      </c>
      <c r="O1529" s="16" t="s">
        <v>69</v>
      </c>
      <c r="P1529" s="16" t="str">
        <f t="shared" si="6"/>
        <v/>
      </c>
      <c r="Q1529" s="41" t="e">
        <f t="shared" si="3028"/>
        <v>#N/A</v>
      </c>
      <c r="R1529" s="44"/>
      <c r="S1529" s="44"/>
      <c r="T1529" s="43"/>
      <c r="U1529" s="43" t="str">
        <f t="shared" si="8"/>
        <v>No</v>
      </c>
      <c r="V1529" s="25"/>
      <c r="W1529" s="25"/>
      <c r="X1529" s="25"/>
      <c r="Y1529" s="25"/>
      <c r="Z1529" s="25"/>
    </row>
    <row r="1530" spans="1:26" ht="15.75" customHeight="1" x14ac:dyDescent="0.25">
      <c r="A1530" s="25">
        <v>1528</v>
      </c>
      <c r="B1530" s="37" t="e">
        <f t="shared" ref="B1530:D1530" si="3081">VLOOKUP($A1530,'[5]Integración Social'!$A$1:$O$233,B$1,0)</f>
        <v>#N/A</v>
      </c>
      <c r="C1530" s="38" t="e">
        <f t="shared" si="3081"/>
        <v>#N/A</v>
      </c>
      <c r="D1530" s="39" t="e">
        <f t="shared" si="3081"/>
        <v>#N/A</v>
      </c>
      <c r="E1530" s="16" t="e">
        <f t="shared" si="1"/>
        <v>#N/A</v>
      </c>
      <c r="F1530" s="16" t="e">
        <f t="shared" ref="F1530:K1530" si="3082">VLOOKUP($A1530,'[5]Integración Social'!$A$1:$O$233,F$1,0)</f>
        <v>#N/A</v>
      </c>
      <c r="G1530" s="39" t="e">
        <f t="shared" si="3082"/>
        <v>#N/A</v>
      </c>
      <c r="H1530" s="16" t="e">
        <f t="shared" si="3082"/>
        <v>#N/A</v>
      </c>
      <c r="I1530" s="16" t="e">
        <f t="shared" si="3082"/>
        <v>#N/A</v>
      </c>
      <c r="J1530" s="40" t="e">
        <f t="shared" si="3082"/>
        <v>#N/A</v>
      </c>
      <c r="K1530" s="16" t="e">
        <f t="shared" si="3082"/>
        <v>#N/A</v>
      </c>
      <c r="L1530" s="40" t="e">
        <f t="shared" si="3025"/>
        <v>#N/A</v>
      </c>
      <c r="M1530" s="16" t="e">
        <f t="shared" si="3026"/>
        <v>#N/A</v>
      </c>
      <c r="N1530" s="16" t="e">
        <f t="shared" si="3027"/>
        <v>#N/A</v>
      </c>
      <c r="O1530" s="16" t="s">
        <v>69</v>
      </c>
      <c r="P1530" s="16" t="str">
        <f t="shared" si="6"/>
        <v/>
      </c>
      <c r="Q1530" s="41" t="e">
        <f t="shared" si="3028"/>
        <v>#N/A</v>
      </c>
      <c r="R1530" s="44"/>
      <c r="S1530" s="44"/>
      <c r="T1530" s="43"/>
      <c r="U1530" s="43" t="str">
        <f t="shared" si="8"/>
        <v>No</v>
      </c>
      <c r="V1530" s="25"/>
      <c r="W1530" s="25"/>
      <c r="X1530" s="25"/>
      <c r="Y1530" s="25"/>
      <c r="Z1530" s="25"/>
    </row>
    <row r="1531" spans="1:26" ht="15.75" customHeight="1" x14ac:dyDescent="0.25">
      <c r="A1531" s="25">
        <v>1529</v>
      </c>
      <c r="B1531" s="37" t="e">
        <f t="shared" ref="B1531:D1531" si="3083">VLOOKUP($A1531,'[5]Integración Social'!$A$1:$O$233,B$1,0)</f>
        <v>#N/A</v>
      </c>
      <c r="C1531" s="38" t="e">
        <f t="shared" si="3083"/>
        <v>#N/A</v>
      </c>
      <c r="D1531" s="39" t="e">
        <f t="shared" si="3083"/>
        <v>#N/A</v>
      </c>
      <c r="E1531" s="16" t="e">
        <f t="shared" si="1"/>
        <v>#N/A</v>
      </c>
      <c r="F1531" s="16" t="e">
        <f t="shared" ref="F1531:K1531" si="3084">VLOOKUP($A1531,'[5]Integración Social'!$A$1:$O$233,F$1,0)</f>
        <v>#N/A</v>
      </c>
      <c r="G1531" s="39" t="e">
        <f t="shared" si="3084"/>
        <v>#N/A</v>
      </c>
      <c r="H1531" s="16" t="e">
        <f t="shared" si="3084"/>
        <v>#N/A</v>
      </c>
      <c r="I1531" s="16" t="e">
        <f t="shared" si="3084"/>
        <v>#N/A</v>
      </c>
      <c r="J1531" s="40" t="e">
        <f t="shared" si="3084"/>
        <v>#N/A</v>
      </c>
      <c r="K1531" s="16" t="e">
        <f t="shared" si="3084"/>
        <v>#N/A</v>
      </c>
      <c r="L1531" s="40" t="e">
        <f t="shared" si="3025"/>
        <v>#N/A</v>
      </c>
      <c r="M1531" s="16" t="e">
        <f t="shared" si="3026"/>
        <v>#N/A</v>
      </c>
      <c r="N1531" s="16" t="e">
        <f t="shared" si="3027"/>
        <v>#N/A</v>
      </c>
      <c r="O1531" s="16" t="s">
        <v>69</v>
      </c>
      <c r="P1531" s="16" t="str">
        <f t="shared" si="6"/>
        <v/>
      </c>
      <c r="Q1531" s="41" t="e">
        <f t="shared" si="3028"/>
        <v>#N/A</v>
      </c>
      <c r="R1531" s="44"/>
      <c r="S1531" s="44"/>
      <c r="T1531" s="43"/>
      <c r="U1531" s="43" t="str">
        <f t="shared" si="8"/>
        <v>No</v>
      </c>
      <c r="V1531" s="25"/>
      <c r="W1531" s="25"/>
      <c r="X1531" s="25"/>
      <c r="Y1531" s="25"/>
      <c r="Z1531" s="25"/>
    </row>
    <row r="1532" spans="1:26" ht="15.75" customHeight="1" x14ac:dyDescent="0.25">
      <c r="A1532" s="25">
        <v>1530</v>
      </c>
      <c r="B1532" s="37" t="e">
        <f t="shared" ref="B1532:D1532" si="3085">VLOOKUP($A1532,'[5]Integración Social'!$A$1:$O$233,B$1,0)</f>
        <v>#N/A</v>
      </c>
      <c r="C1532" s="38" t="e">
        <f t="shared" si="3085"/>
        <v>#N/A</v>
      </c>
      <c r="D1532" s="39" t="e">
        <f t="shared" si="3085"/>
        <v>#N/A</v>
      </c>
      <c r="E1532" s="16" t="e">
        <f t="shared" si="1"/>
        <v>#N/A</v>
      </c>
      <c r="F1532" s="16" t="e">
        <f t="shared" ref="F1532:K1532" si="3086">VLOOKUP($A1532,'[5]Integración Social'!$A$1:$O$233,F$1,0)</f>
        <v>#N/A</v>
      </c>
      <c r="G1532" s="39" t="e">
        <f t="shared" si="3086"/>
        <v>#N/A</v>
      </c>
      <c r="H1532" s="16" t="e">
        <f t="shared" si="3086"/>
        <v>#N/A</v>
      </c>
      <c r="I1532" s="16" t="e">
        <f t="shared" si="3086"/>
        <v>#N/A</v>
      </c>
      <c r="J1532" s="40" t="e">
        <f t="shared" si="3086"/>
        <v>#N/A</v>
      </c>
      <c r="K1532" s="16" t="e">
        <f t="shared" si="3086"/>
        <v>#N/A</v>
      </c>
      <c r="L1532" s="40" t="e">
        <f t="shared" si="3025"/>
        <v>#N/A</v>
      </c>
      <c r="M1532" s="16" t="e">
        <f t="shared" si="3026"/>
        <v>#N/A</v>
      </c>
      <c r="N1532" s="16" t="e">
        <f t="shared" si="3027"/>
        <v>#N/A</v>
      </c>
      <c r="O1532" s="16" t="s">
        <v>69</v>
      </c>
      <c r="P1532" s="16" t="str">
        <f t="shared" si="6"/>
        <v/>
      </c>
      <c r="Q1532" s="41" t="e">
        <f t="shared" si="3028"/>
        <v>#N/A</v>
      </c>
      <c r="R1532" s="44"/>
      <c r="S1532" s="44"/>
      <c r="T1532" s="43"/>
      <c r="U1532" s="43" t="str">
        <f t="shared" si="8"/>
        <v>No</v>
      </c>
      <c r="V1532" s="25"/>
      <c r="W1532" s="25"/>
      <c r="X1532" s="25"/>
      <c r="Y1532" s="25"/>
      <c r="Z1532" s="25"/>
    </row>
    <row r="1533" spans="1:26" ht="15.75" customHeight="1" x14ac:dyDescent="0.25">
      <c r="A1533" s="25">
        <v>1531</v>
      </c>
      <c r="B1533" s="37" t="e">
        <f t="shared" ref="B1533:D1533" si="3087">VLOOKUP($A1533,'[5]Integración Social'!$A$1:$O$233,B$1,0)</f>
        <v>#N/A</v>
      </c>
      <c r="C1533" s="38" t="e">
        <f t="shared" si="3087"/>
        <v>#N/A</v>
      </c>
      <c r="D1533" s="39" t="e">
        <f t="shared" si="3087"/>
        <v>#N/A</v>
      </c>
      <c r="E1533" s="16" t="e">
        <f t="shared" si="1"/>
        <v>#N/A</v>
      </c>
      <c r="F1533" s="16" t="e">
        <f t="shared" ref="F1533:K1533" si="3088">VLOOKUP($A1533,'[5]Integración Social'!$A$1:$O$233,F$1,0)</f>
        <v>#N/A</v>
      </c>
      <c r="G1533" s="39" t="e">
        <f t="shared" si="3088"/>
        <v>#N/A</v>
      </c>
      <c r="H1533" s="16" t="e">
        <f t="shared" si="3088"/>
        <v>#N/A</v>
      </c>
      <c r="I1533" s="16" t="e">
        <f t="shared" si="3088"/>
        <v>#N/A</v>
      </c>
      <c r="J1533" s="40" t="e">
        <f t="shared" si="3088"/>
        <v>#N/A</v>
      </c>
      <c r="K1533" s="16" t="e">
        <f t="shared" si="3088"/>
        <v>#N/A</v>
      </c>
      <c r="L1533" s="40" t="e">
        <f t="shared" si="3025"/>
        <v>#N/A</v>
      </c>
      <c r="M1533" s="16" t="e">
        <f t="shared" si="3026"/>
        <v>#N/A</v>
      </c>
      <c r="N1533" s="16" t="e">
        <f t="shared" si="3027"/>
        <v>#N/A</v>
      </c>
      <c r="O1533" s="16" t="s">
        <v>69</v>
      </c>
      <c r="P1533" s="16" t="str">
        <f t="shared" si="6"/>
        <v/>
      </c>
      <c r="Q1533" s="41" t="e">
        <f t="shared" si="3028"/>
        <v>#N/A</v>
      </c>
      <c r="R1533" s="44"/>
      <c r="S1533" s="44"/>
      <c r="T1533" s="43"/>
      <c r="U1533" s="43" t="str">
        <f t="shared" si="8"/>
        <v>No</v>
      </c>
      <c r="V1533" s="25"/>
      <c r="W1533" s="25"/>
      <c r="X1533" s="25"/>
      <c r="Y1533" s="25"/>
      <c r="Z1533" s="25"/>
    </row>
    <row r="1534" spans="1:26" ht="15.75" customHeight="1" x14ac:dyDescent="0.25">
      <c r="A1534" s="25">
        <v>1532</v>
      </c>
      <c r="B1534" s="37" t="e">
        <f t="shared" ref="B1534:D1534" si="3089">VLOOKUP($A1534,'[5]Integración Social'!$A$1:$O$233,B$1,0)</f>
        <v>#N/A</v>
      </c>
      <c r="C1534" s="38" t="e">
        <f t="shared" si="3089"/>
        <v>#N/A</v>
      </c>
      <c r="D1534" s="39" t="e">
        <f t="shared" si="3089"/>
        <v>#N/A</v>
      </c>
      <c r="E1534" s="16" t="e">
        <f t="shared" si="1"/>
        <v>#N/A</v>
      </c>
      <c r="F1534" s="16" t="e">
        <f t="shared" ref="F1534:K1534" si="3090">VLOOKUP($A1534,'[5]Integración Social'!$A$1:$O$233,F$1,0)</f>
        <v>#N/A</v>
      </c>
      <c r="G1534" s="39" t="e">
        <f t="shared" si="3090"/>
        <v>#N/A</v>
      </c>
      <c r="H1534" s="16" t="e">
        <f t="shared" si="3090"/>
        <v>#N/A</v>
      </c>
      <c r="I1534" s="16" t="e">
        <f t="shared" si="3090"/>
        <v>#N/A</v>
      </c>
      <c r="J1534" s="40" t="e">
        <f t="shared" si="3090"/>
        <v>#N/A</v>
      </c>
      <c r="K1534" s="16" t="e">
        <f t="shared" si="3090"/>
        <v>#N/A</v>
      </c>
      <c r="L1534" s="40" t="e">
        <f t="shared" si="3025"/>
        <v>#N/A</v>
      </c>
      <c r="M1534" s="16" t="e">
        <f t="shared" si="3026"/>
        <v>#N/A</v>
      </c>
      <c r="N1534" s="16" t="e">
        <f t="shared" si="3027"/>
        <v>#N/A</v>
      </c>
      <c r="O1534" s="16" t="s">
        <v>69</v>
      </c>
      <c r="P1534" s="16" t="str">
        <f t="shared" si="6"/>
        <v/>
      </c>
      <c r="Q1534" s="41" t="e">
        <f t="shared" si="3028"/>
        <v>#N/A</v>
      </c>
      <c r="R1534" s="44"/>
      <c r="S1534" s="44"/>
      <c r="T1534" s="43"/>
      <c r="U1534" s="43" t="str">
        <f t="shared" si="8"/>
        <v>No</v>
      </c>
      <c r="V1534" s="25"/>
      <c r="W1534" s="25"/>
      <c r="X1534" s="25"/>
      <c r="Y1534" s="25"/>
      <c r="Z1534" s="25"/>
    </row>
    <row r="1535" spans="1:26" ht="15.75" customHeight="1" x14ac:dyDescent="0.25">
      <c r="A1535" s="25">
        <v>1533</v>
      </c>
      <c r="B1535" s="37" t="e">
        <f t="shared" ref="B1535:D1535" si="3091">VLOOKUP($A1535,'[5]Integración Social'!$A$1:$O$233,B$1,0)</f>
        <v>#N/A</v>
      </c>
      <c r="C1535" s="38" t="e">
        <f t="shared" si="3091"/>
        <v>#N/A</v>
      </c>
      <c r="D1535" s="39" t="e">
        <f t="shared" si="3091"/>
        <v>#N/A</v>
      </c>
      <c r="E1535" s="16" t="e">
        <f t="shared" si="1"/>
        <v>#N/A</v>
      </c>
      <c r="F1535" s="16" t="e">
        <f t="shared" ref="F1535:K1535" si="3092">VLOOKUP($A1535,'[5]Integración Social'!$A$1:$O$233,F$1,0)</f>
        <v>#N/A</v>
      </c>
      <c r="G1535" s="39" t="e">
        <f t="shared" si="3092"/>
        <v>#N/A</v>
      </c>
      <c r="H1535" s="16" t="e">
        <f t="shared" si="3092"/>
        <v>#N/A</v>
      </c>
      <c r="I1535" s="16" t="e">
        <f t="shared" si="3092"/>
        <v>#N/A</v>
      </c>
      <c r="J1535" s="40" t="e">
        <f t="shared" si="3092"/>
        <v>#N/A</v>
      </c>
      <c r="K1535" s="16" t="e">
        <f t="shared" si="3092"/>
        <v>#N/A</v>
      </c>
      <c r="L1535" s="40" t="e">
        <f t="shared" si="3025"/>
        <v>#N/A</v>
      </c>
      <c r="M1535" s="16" t="e">
        <f t="shared" si="3026"/>
        <v>#N/A</v>
      </c>
      <c r="N1535" s="16" t="e">
        <f t="shared" si="3027"/>
        <v>#N/A</v>
      </c>
      <c r="O1535" s="16" t="s">
        <v>69</v>
      </c>
      <c r="P1535" s="16" t="str">
        <f t="shared" si="6"/>
        <v/>
      </c>
      <c r="Q1535" s="41" t="e">
        <f t="shared" si="3028"/>
        <v>#N/A</v>
      </c>
      <c r="R1535" s="44"/>
      <c r="S1535" s="44"/>
      <c r="T1535" s="43"/>
      <c r="U1535" s="43" t="str">
        <f t="shared" si="8"/>
        <v>No</v>
      </c>
      <c r="V1535" s="25"/>
      <c r="W1535" s="25"/>
      <c r="X1535" s="25"/>
      <c r="Y1535" s="25"/>
      <c r="Z1535" s="25"/>
    </row>
    <row r="1536" spans="1:26" ht="15.75" customHeight="1" x14ac:dyDescent="0.25">
      <c r="A1536" s="25">
        <v>1534</v>
      </c>
      <c r="B1536" s="37" t="e">
        <f t="shared" ref="B1536:D1536" si="3093">VLOOKUP($A1536,'[5]Integración Social'!$A$1:$O$233,B$1,0)</f>
        <v>#N/A</v>
      </c>
      <c r="C1536" s="38" t="e">
        <f t="shared" si="3093"/>
        <v>#N/A</v>
      </c>
      <c r="D1536" s="39" t="e">
        <f t="shared" si="3093"/>
        <v>#N/A</v>
      </c>
      <c r="E1536" s="16" t="e">
        <f t="shared" si="1"/>
        <v>#N/A</v>
      </c>
      <c r="F1536" s="16" t="e">
        <f t="shared" ref="F1536:K1536" si="3094">VLOOKUP($A1536,'[5]Integración Social'!$A$1:$O$233,F$1,0)</f>
        <v>#N/A</v>
      </c>
      <c r="G1536" s="39" t="e">
        <f t="shared" si="3094"/>
        <v>#N/A</v>
      </c>
      <c r="H1536" s="16" t="e">
        <f t="shared" si="3094"/>
        <v>#N/A</v>
      </c>
      <c r="I1536" s="16" t="e">
        <f t="shared" si="3094"/>
        <v>#N/A</v>
      </c>
      <c r="J1536" s="40" t="e">
        <f t="shared" si="3094"/>
        <v>#N/A</v>
      </c>
      <c r="K1536" s="16" t="e">
        <f t="shared" si="3094"/>
        <v>#N/A</v>
      </c>
      <c r="L1536" s="40" t="e">
        <f t="shared" si="3025"/>
        <v>#N/A</v>
      </c>
      <c r="M1536" s="16" t="e">
        <f t="shared" si="3026"/>
        <v>#N/A</v>
      </c>
      <c r="N1536" s="16" t="e">
        <f t="shared" si="3027"/>
        <v>#N/A</v>
      </c>
      <c r="O1536" s="16" t="s">
        <v>69</v>
      </c>
      <c r="P1536" s="16" t="str">
        <f t="shared" si="6"/>
        <v/>
      </c>
      <c r="Q1536" s="41" t="e">
        <f t="shared" si="3028"/>
        <v>#N/A</v>
      </c>
      <c r="R1536" s="44"/>
      <c r="S1536" s="44"/>
      <c r="T1536" s="43"/>
      <c r="U1536" s="43" t="str">
        <f t="shared" si="8"/>
        <v>No</v>
      </c>
      <c r="V1536" s="25"/>
      <c r="W1536" s="25"/>
      <c r="X1536" s="25"/>
      <c r="Y1536" s="25"/>
      <c r="Z1536" s="25"/>
    </row>
    <row r="1537" spans="1:26" ht="15.75" customHeight="1" x14ac:dyDescent="0.25">
      <c r="A1537" s="25">
        <v>1535</v>
      </c>
      <c r="B1537" s="37" t="e">
        <f t="shared" ref="B1537:D1537" si="3095">VLOOKUP($A1537,'[5]Integración Social'!$A$1:$O$233,B$1,0)</f>
        <v>#N/A</v>
      </c>
      <c r="C1537" s="38" t="e">
        <f t="shared" si="3095"/>
        <v>#N/A</v>
      </c>
      <c r="D1537" s="39" t="e">
        <f t="shared" si="3095"/>
        <v>#N/A</v>
      </c>
      <c r="E1537" s="16" t="e">
        <f t="shared" si="1"/>
        <v>#N/A</v>
      </c>
      <c r="F1537" s="16" t="e">
        <f t="shared" ref="F1537:K1537" si="3096">VLOOKUP($A1537,'[5]Integración Social'!$A$1:$O$233,F$1,0)</f>
        <v>#N/A</v>
      </c>
      <c r="G1537" s="39" t="e">
        <f t="shared" si="3096"/>
        <v>#N/A</v>
      </c>
      <c r="H1537" s="16" t="e">
        <f t="shared" si="3096"/>
        <v>#N/A</v>
      </c>
      <c r="I1537" s="16" t="e">
        <f t="shared" si="3096"/>
        <v>#N/A</v>
      </c>
      <c r="J1537" s="40" t="e">
        <f t="shared" si="3096"/>
        <v>#N/A</v>
      </c>
      <c r="K1537" s="16" t="e">
        <f t="shared" si="3096"/>
        <v>#N/A</v>
      </c>
      <c r="L1537" s="40" t="e">
        <f t="shared" si="3025"/>
        <v>#N/A</v>
      </c>
      <c r="M1537" s="16" t="e">
        <f t="shared" si="3026"/>
        <v>#N/A</v>
      </c>
      <c r="N1537" s="16" t="e">
        <f t="shared" si="3027"/>
        <v>#N/A</v>
      </c>
      <c r="O1537" s="16" t="s">
        <v>69</v>
      </c>
      <c r="P1537" s="16" t="str">
        <f t="shared" si="6"/>
        <v/>
      </c>
      <c r="Q1537" s="41" t="e">
        <f t="shared" si="3028"/>
        <v>#N/A</v>
      </c>
      <c r="R1537" s="44"/>
      <c r="S1537" s="44"/>
      <c r="T1537" s="43"/>
      <c r="U1537" s="43" t="str">
        <f t="shared" si="8"/>
        <v>No</v>
      </c>
      <c r="V1537" s="25"/>
      <c r="W1537" s="25"/>
      <c r="X1537" s="25"/>
      <c r="Y1537" s="25"/>
      <c r="Z1537" s="25"/>
    </row>
    <row r="1538" spans="1:26" ht="15.75" customHeight="1" x14ac:dyDescent="0.25">
      <c r="A1538" s="25">
        <v>1536</v>
      </c>
      <c r="B1538" s="37" t="e">
        <f t="shared" ref="B1538:D1538" si="3097">VLOOKUP($A1538,'[5]Integración Social'!$A$1:$O$233,B$1,0)</f>
        <v>#N/A</v>
      </c>
      <c r="C1538" s="38" t="e">
        <f t="shared" si="3097"/>
        <v>#N/A</v>
      </c>
      <c r="D1538" s="39" t="e">
        <f t="shared" si="3097"/>
        <v>#N/A</v>
      </c>
      <c r="E1538" s="16" t="e">
        <f t="shared" si="1"/>
        <v>#N/A</v>
      </c>
      <c r="F1538" s="16" t="e">
        <f t="shared" ref="F1538:K1538" si="3098">VLOOKUP($A1538,'[5]Integración Social'!$A$1:$O$233,F$1,0)</f>
        <v>#N/A</v>
      </c>
      <c r="G1538" s="39" t="e">
        <f t="shared" si="3098"/>
        <v>#N/A</v>
      </c>
      <c r="H1538" s="16" t="e">
        <f t="shared" si="3098"/>
        <v>#N/A</v>
      </c>
      <c r="I1538" s="16" t="e">
        <f t="shared" si="3098"/>
        <v>#N/A</v>
      </c>
      <c r="J1538" s="40" t="e">
        <f t="shared" si="3098"/>
        <v>#N/A</v>
      </c>
      <c r="K1538" s="16" t="e">
        <f t="shared" si="3098"/>
        <v>#N/A</v>
      </c>
      <c r="L1538" s="40" t="e">
        <f t="shared" si="3025"/>
        <v>#N/A</v>
      </c>
      <c r="M1538" s="16" t="e">
        <f t="shared" si="3026"/>
        <v>#N/A</v>
      </c>
      <c r="N1538" s="16" t="e">
        <f t="shared" si="3027"/>
        <v>#N/A</v>
      </c>
      <c r="O1538" s="16" t="s">
        <v>69</v>
      </c>
      <c r="P1538" s="16" t="str">
        <f t="shared" si="6"/>
        <v/>
      </c>
      <c r="Q1538" s="41" t="e">
        <f t="shared" si="3028"/>
        <v>#N/A</v>
      </c>
      <c r="R1538" s="44"/>
      <c r="S1538" s="44"/>
      <c r="T1538" s="43"/>
      <c r="U1538" s="43" t="str">
        <f t="shared" si="8"/>
        <v>No</v>
      </c>
      <c r="V1538" s="25"/>
      <c r="W1538" s="25"/>
      <c r="X1538" s="25"/>
      <c r="Y1538" s="25"/>
      <c r="Z1538" s="25"/>
    </row>
    <row r="1539" spans="1:26" ht="15.75" customHeight="1" x14ac:dyDescent="0.25">
      <c r="A1539" s="25">
        <v>1537</v>
      </c>
      <c r="B1539" s="37" t="e">
        <f t="shared" ref="B1539:D1539" si="3099">VLOOKUP($A1539,'[5]Integración Social'!$A$1:$O$233,B$1,0)</f>
        <v>#N/A</v>
      </c>
      <c r="C1539" s="38" t="e">
        <f t="shared" si="3099"/>
        <v>#N/A</v>
      </c>
      <c r="D1539" s="39" t="e">
        <f t="shared" si="3099"/>
        <v>#N/A</v>
      </c>
      <c r="E1539" s="16" t="e">
        <f t="shared" si="1"/>
        <v>#N/A</v>
      </c>
      <c r="F1539" s="16" t="e">
        <f t="shared" ref="F1539:K1539" si="3100">VLOOKUP($A1539,'[5]Integración Social'!$A$1:$O$233,F$1,0)</f>
        <v>#N/A</v>
      </c>
      <c r="G1539" s="39" t="e">
        <f t="shared" si="3100"/>
        <v>#N/A</v>
      </c>
      <c r="H1539" s="16" t="e">
        <f t="shared" si="3100"/>
        <v>#N/A</v>
      </c>
      <c r="I1539" s="16" t="e">
        <f t="shared" si="3100"/>
        <v>#N/A</v>
      </c>
      <c r="J1539" s="40" t="e">
        <f t="shared" si="3100"/>
        <v>#N/A</v>
      </c>
      <c r="K1539" s="16" t="e">
        <f t="shared" si="3100"/>
        <v>#N/A</v>
      </c>
      <c r="L1539" s="40" t="e">
        <f t="shared" si="3025"/>
        <v>#N/A</v>
      </c>
      <c r="M1539" s="16" t="e">
        <f t="shared" si="3026"/>
        <v>#N/A</v>
      </c>
      <c r="N1539" s="16" t="e">
        <f t="shared" si="3027"/>
        <v>#N/A</v>
      </c>
      <c r="O1539" s="16" t="s">
        <v>69</v>
      </c>
      <c r="P1539" s="16" t="str">
        <f t="shared" si="6"/>
        <v/>
      </c>
      <c r="Q1539" s="41" t="e">
        <f t="shared" si="3028"/>
        <v>#N/A</v>
      </c>
      <c r="R1539" s="44"/>
      <c r="S1539" s="44"/>
      <c r="T1539" s="43"/>
      <c r="U1539" s="43" t="str">
        <f t="shared" si="8"/>
        <v>No</v>
      </c>
      <c r="V1539" s="25"/>
      <c r="W1539" s="25"/>
      <c r="X1539" s="25"/>
      <c r="Y1539" s="25"/>
      <c r="Z1539" s="25"/>
    </row>
    <row r="1540" spans="1:26" ht="15.75" customHeight="1" x14ac:dyDescent="0.25">
      <c r="A1540" s="25">
        <v>1538</v>
      </c>
      <c r="B1540" s="37" t="e">
        <f t="shared" ref="B1540:D1540" si="3101">VLOOKUP($A1540,'[5]Integración Social'!$A$1:$O$233,B$1,0)</f>
        <v>#N/A</v>
      </c>
      <c r="C1540" s="38" t="e">
        <f t="shared" si="3101"/>
        <v>#N/A</v>
      </c>
      <c r="D1540" s="39" t="e">
        <f t="shared" si="3101"/>
        <v>#N/A</v>
      </c>
      <c r="E1540" s="16" t="e">
        <f t="shared" si="1"/>
        <v>#N/A</v>
      </c>
      <c r="F1540" s="16" t="e">
        <f t="shared" ref="F1540:K1540" si="3102">VLOOKUP($A1540,'[5]Integración Social'!$A$1:$O$233,F$1,0)</f>
        <v>#N/A</v>
      </c>
      <c r="G1540" s="39" t="e">
        <f t="shared" si="3102"/>
        <v>#N/A</v>
      </c>
      <c r="H1540" s="16" t="e">
        <f t="shared" si="3102"/>
        <v>#N/A</v>
      </c>
      <c r="I1540" s="16" t="e">
        <f t="shared" si="3102"/>
        <v>#N/A</v>
      </c>
      <c r="J1540" s="40" t="e">
        <f t="shared" si="3102"/>
        <v>#N/A</v>
      </c>
      <c r="K1540" s="16" t="e">
        <f t="shared" si="3102"/>
        <v>#N/A</v>
      </c>
      <c r="L1540" s="40" t="e">
        <f t="shared" si="3025"/>
        <v>#N/A</v>
      </c>
      <c r="M1540" s="16" t="e">
        <f t="shared" si="3026"/>
        <v>#N/A</v>
      </c>
      <c r="N1540" s="16" t="e">
        <f t="shared" si="3027"/>
        <v>#N/A</v>
      </c>
      <c r="O1540" s="16" t="s">
        <v>69</v>
      </c>
      <c r="P1540" s="16" t="str">
        <f t="shared" si="6"/>
        <v/>
      </c>
      <c r="Q1540" s="41" t="e">
        <f t="shared" si="3028"/>
        <v>#N/A</v>
      </c>
      <c r="R1540" s="44"/>
      <c r="S1540" s="44"/>
      <c r="T1540" s="43"/>
      <c r="U1540" s="43" t="str">
        <f t="shared" si="8"/>
        <v>No</v>
      </c>
      <c r="V1540" s="25"/>
      <c r="W1540" s="25"/>
      <c r="X1540" s="25"/>
      <c r="Y1540" s="25"/>
      <c r="Z1540" s="25"/>
    </row>
    <row r="1541" spans="1:26" ht="15.75" customHeight="1" x14ac:dyDescent="0.25">
      <c r="A1541" s="25">
        <v>1539</v>
      </c>
      <c r="B1541" s="37" t="e">
        <f t="shared" ref="B1541:D1541" si="3103">VLOOKUP($A1541,'[5]Integración Social'!$A$1:$O$233,B$1,0)</f>
        <v>#N/A</v>
      </c>
      <c r="C1541" s="38" t="e">
        <f t="shared" si="3103"/>
        <v>#N/A</v>
      </c>
      <c r="D1541" s="39" t="e">
        <f t="shared" si="3103"/>
        <v>#N/A</v>
      </c>
      <c r="E1541" s="16" t="e">
        <f t="shared" si="1"/>
        <v>#N/A</v>
      </c>
      <c r="F1541" s="16" t="e">
        <f t="shared" ref="F1541:K1541" si="3104">VLOOKUP($A1541,'[5]Integración Social'!$A$1:$O$233,F$1,0)</f>
        <v>#N/A</v>
      </c>
      <c r="G1541" s="39" t="e">
        <f t="shared" si="3104"/>
        <v>#N/A</v>
      </c>
      <c r="H1541" s="16" t="e">
        <f t="shared" si="3104"/>
        <v>#N/A</v>
      </c>
      <c r="I1541" s="16" t="e">
        <f t="shared" si="3104"/>
        <v>#N/A</v>
      </c>
      <c r="J1541" s="40" t="e">
        <f t="shared" si="3104"/>
        <v>#N/A</v>
      </c>
      <c r="K1541" s="16" t="e">
        <f t="shared" si="3104"/>
        <v>#N/A</v>
      </c>
      <c r="L1541" s="40" t="e">
        <f t="shared" si="3025"/>
        <v>#N/A</v>
      </c>
      <c r="M1541" s="16" t="e">
        <f t="shared" si="3026"/>
        <v>#N/A</v>
      </c>
      <c r="N1541" s="16" t="e">
        <f t="shared" si="3027"/>
        <v>#N/A</v>
      </c>
      <c r="O1541" s="16" t="s">
        <v>69</v>
      </c>
      <c r="P1541" s="16" t="str">
        <f t="shared" si="6"/>
        <v/>
      </c>
      <c r="Q1541" s="41" t="e">
        <f t="shared" si="3028"/>
        <v>#N/A</v>
      </c>
      <c r="R1541" s="44"/>
      <c r="S1541" s="44"/>
      <c r="T1541" s="43"/>
      <c r="U1541" s="43" t="str">
        <f t="shared" si="8"/>
        <v>No</v>
      </c>
      <c r="V1541" s="25"/>
      <c r="W1541" s="25"/>
      <c r="X1541" s="25"/>
      <c r="Y1541" s="25"/>
      <c r="Z1541" s="25"/>
    </row>
    <row r="1542" spans="1:26" ht="15.75" customHeight="1" x14ac:dyDescent="0.25">
      <c r="A1542" s="25">
        <v>1540</v>
      </c>
      <c r="B1542" s="37" t="e">
        <f t="shared" ref="B1542:D1542" si="3105">VLOOKUP($A1542,'[5]Integración Social'!$A$1:$O$233,B$1,0)</f>
        <v>#N/A</v>
      </c>
      <c r="C1542" s="38" t="e">
        <f t="shared" si="3105"/>
        <v>#N/A</v>
      </c>
      <c r="D1542" s="39" t="e">
        <f t="shared" si="3105"/>
        <v>#N/A</v>
      </c>
      <c r="E1542" s="16" t="e">
        <f t="shared" si="1"/>
        <v>#N/A</v>
      </c>
      <c r="F1542" s="16" t="e">
        <f t="shared" ref="F1542:K1542" si="3106">VLOOKUP($A1542,'[5]Integración Social'!$A$1:$O$233,F$1,0)</f>
        <v>#N/A</v>
      </c>
      <c r="G1542" s="39" t="e">
        <f t="shared" si="3106"/>
        <v>#N/A</v>
      </c>
      <c r="H1542" s="16" t="e">
        <f t="shared" si="3106"/>
        <v>#N/A</v>
      </c>
      <c r="I1542" s="16" t="e">
        <f t="shared" si="3106"/>
        <v>#N/A</v>
      </c>
      <c r="J1542" s="40" t="e">
        <f t="shared" si="3106"/>
        <v>#N/A</v>
      </c>
      <c r="K1542" s="16" t="e">
        <f t="shared" si="3106"/>
        <v>#N/A</v>
      </c>
      <c r="L1542" s="40" t="e">
        <f t="shared" si="3025"/>
        <v>#N/A</v>
      </c>
      <c r="M1542" s="16" t="e">
        <f t="shared" si="3026"/>
        <v>#N/A</v>
      </c>
      <c r="N1542" s="16" t="e">
        <f t="shared" si="3027"/>
        <v>#N/A</v>
      </c>
      <c r="O1542" s="16" t="s">
        <v>69</v>
      </c>
      <c r="P1542" s="16" t="str">
        <f t="shared" si="6"/>
        <v/>
      </c>
      <c r="Q1542" s="41" t="e">
        <f t="shared" si="3028"/>
        <v>#N/A</v>
      </c>
      <c r="R1542" s="44"/>
      <c r="S1542" s="44"/>
      <c r="T1542" s="43"/>
      <c r="U1542" s="43" t="str">
        <f t="shared" si="8"/>
        <v>No</v>
      </c>
      <c r="V1542" s="25"/>
      <c r="W1542" s="25"/>
      <c r="X1542" s="25"/>
      <c r="Y1542" s="25"/>
      <c r="Z1542" s="25"/>
    </row>
    <row r="1543" spans="1:26" ht="15.75" customHeight="1" x14ac:dyDescent="0.25">
      <c r="A1543" s="25">
        <v>1541</v>
      </c>
      <c r="B1543" s="37" t="e">
        <f t="shared" ref="B1543:D1543" si="3107">VLOOKUP($A1543,'[5]Integración Social'!$A$1:$O$233,B$1,0)</f>
        <v>#N/A</v>
      </c>
      <c r="C1543" s="38" t="e">
        <f t="shared" si="3107"/>
        <v>#N/A</v>
      </c>
      <c r="D1543" s="39" t="e">
        <f t="shared" si="3107"/>
        <v>#N/A</v>
      </c>
      <c r="E1543" s="16" t="e">
        <f t="shared" si="1"/>
        <v>#N/A</v>
      </c>
      <c r="F1543" s="16" t="e">
        <f t="shared" ref="F1543:K1543" si="3108">VLOOKUP($A1543,'[5]Integración Social'!$A$1:$O$233,F$1,0)</f>
        <v>#N/A</v>
      </c>
      <c r="G1543" s="39" t="e">
        <f t="shared" si="3108"/>
        <v>#N/A</v>
      </c>
      <c r="H1543" s="16" t="e">
        <f t="shared" si="3108"/>
        <v>#N/A</v>
      </c>
      <c r="I1543" s="16" t="e">
        <f t="shared" si="3108"/>
        <v>#N/A</v>
      </c>
      <c r="J1543" s="40" t="e">
        <f t="shared" si="3108"/>
        <v>#N/A</v>
      </c>
      <c r="K1543" s="16" t="e">
        <f t="shared" si="3108"/>
        <v>#N/A</v>
      </c>
      <c r="L1543" s="40" t="e">
        <f t="shared" si="3025"/>
        <v>#N/A</v>
      </c>
      <c r="M1543" s="16" t="e">
        <f t="shared" si="3026"/>
        <v>#N/A</v>
      </c>
      <c r="N1543" s="16" t="e">
        <f t="shared" si="3027"/>
        <v>#N/A</v>
      </c>
      <c r="O1543" s="16" t="s">
        <v>69</v>
      </c>
      <c r="P1543" s="16" t="str">
        <f t="shared" si="6"/>
        <v/>
      </c>
      <c r="Q1543" s="41" t="e">
        <f t="shared" si="3028"/>
        <v>#N/A</v>
      </c>
      <c r="R1543" s="44"/>
      <c r="S1543" s="44"/>
      <c r="T1543" s="43"/>
      <c r="U1543" s="43" t="str">
        <f t="shared" si="8"/>
        <v>No</v>
      </c>
      <c r="V1543" s="25"/>
      <c r="W1543" s="25"/>
      <c r="X1543" s="25"/>
      <c r="Y1543" s="25"/>
      <c r="Z1543" s="25"/>
    </row>
    <row r="1544" spans="1:26" ht="15.75" customHeight="1" x14ac:dyDescent="0.25">
      <c r="A1544" s="25">
        <v>1542</v>
      </c>
      <c r="B1544" s="37" t="e">
        <f t="shared" ref="B1544:D1544" si="3109">VLOOKUP($A1544,'[5]Integración Social'!$A$1:$O$233,B$1,0)</f>
        <v>#N/A</v>
      </c>
      <c r="C1544" s="38" t="e">
        <f t="shared" si="3109"/>
        <v>#N/A</v>
      </c>
      <c r="D1544" s="39" t="e">
        <f t="shared" si="3109"/>
        <v>#N/A</v>
      </c>
      <c r="E1544" s="16" t="e">
        <f t="shared" si="1"/>
        <v>#N/A</v>
      </c>
      <c r="F1544" s="16" t="e">
        <f t="shared" ref="F1544:K1544" si="3110">VLOOKUP($A1544,'[5]Integración Social'!$A$1:$O$233,F$1,0)</f>
        <v>#N/A</v>
      </c>
      <c r="G1544" s="39" t="e">
        <f t="shared" si="3110"/>
        <v>#N/A</v>
      </c>
      <c r="H1544" s="16" t="e">
        <f t="shared" si="3110"/>
        <v>#N/A</v>
      </c>
      <c r="I1544" s="16" t="e">
        <f t="shared" si="3110"/>
        <v>#N/A</v>
      </c>
      <c r="J1544" s="40" t="e">
        <f t="shared" si="3110"/>
        <v>#N/A</v>
      </c>
      <c r="K1544" s="16" t="e">
        <f t="shared" si="3110"/>
        <v>#N/A</v>
      </c>
      <c r="L1544" s="40" t="e">
        <f t="shared" si="3025"/>
        <v>#N/A</v>
      </c>
      <c r="M1544" s="16" t="e">
        <f t="shared" si="3026"/>
        <v>#N/A</v>
      </c>
      <c r="N1544" s="16" t="e">
        <f t="shared" si="3027"/>
        <v>#N/A</v>
      </c>
      <c r="O1544" s="16" t="s">
        <v>69</v>
      </c>
      <c r="P1544" s="16" t="str">
        <f t="shared" si="6"/>
        <v/>
      </c>
      <c r="Q1544" s="41" t="e">
        <f t="shared" si="3028"/>
        <v>#N/A</v>
      </c>
      <c r="R1544" s="44"/>
      <c r="S1544" s="44"/>
      <c r="T1544" s="43"/>
      <c r="U1544" s="43" t="str">
        <f t="shared" si="8"/>
        <v>No</v>
      </c>
      <c r="V1544" s="25"/>
      <c r="W1544" s="25"/>
      <c r="X1544" s="25"/>
      <c r="Y1544" s="25"/>
      <c r="Z1544" s="25"/>
    </row>
    <row r="1545" spans="1:26" ht="15.75" customHeight="1" x14ac:dyDescent="0.25">
      <c r="A1545" s="25">
        <v>1543</v>
      </c>
      <c r="B1545" s="37" t="e">
        <f t="shared" ref="B1545:D1545" si="3111">VLOOKUP($A1545,'[5]Integración Social'!$A$1:$O$233,B$1,0)</f>
        <v>#N/A</v>
      </c>
      <c r="C1545" s="38" t="e">
        <f t="shared" si="3111"/>
        <v>#N/A</v>
      </c>
      <c r="D1545" s="39" t="e">
        <f t="shared" si="3111"/>
        <v>#N/A</v>
      </c>
      <c r="E1545" s="16" t="e">
        <f t="shared" si="1"/>
        <v>#N/A</v>
      </c>
      <c r="F1545" s="16" t="e">
        <f t="shared" ref="F1545:K1545" si="3112">VLOOKUP($A1545,'[5]Integración Social'!$A$1:$O$233,F$1,0)</f>
        <v>#N/A</v>
      </c>
      <c r="G1545" s="39" t="e">
        <f t="shared" si="3112"/>
        <v>#N/A</v>
      </c>
      <c r="H1545" s="16" t="e">
        <f t="shared" si="3112"/>
        <v>#N/A</v>
      </c>
      <c r="I1545" s="16" t="e">
        <f t="shared" si="3112"/>
        <v>#N/A</v>
      </c>
      <c r="J1545" s="40" t="e">
        <f t="shared" si="3112"/>
        <v>#N/A</v>
      </c>
      <c r="K1545" s="16" t="e">
        <f t="shared" si="3112"/>
        <v>#N/A</v>
      </c>
      <c r="L1545" s="40" t="e">
        <f t="shared" si="3025"/>
        <v>#N/A</v>
      </c>
      <c r="M1545" s="16" t="e">
        <f t="shared" si="3026"/>
        <v>#N/A</v>
      </c>
      <c r="N1545" s="16" t="e">
        <f t="shared" si="3027"/>
        <v>#N/A</v>
      </c>
      <c r="O1545" s="16" t="s">
        <v>69</v>
      </c>
      <c r="P1545" s="16" t="str">
        <f t="shared" si="6"/>
        <v/>
      </c>
      <c r="Q1545" s="41" t="e">
        <f t="shared" si="3028"/>
        <v>#N/A</v>
      </c>
      <c r="R1545" s="44"/>
      <c r="S1545" s="44"/>
      <c r="T1545" s="43"/>
      <c r="U1545" s="43" t="str">
        <f t="shared" si="8"/>
        <v>No</v>
      </c>
      <c r="V1545" s="25"/>
      <c r="W1545" s="25"/>
      <c r="X1545" s="25"/>
      <c r="Y1545" s="25"/>
      <c r="Z1545" s="25"/>
    </row>
    <row r="1546" spans="1:26" ht="15.75" customHeight="1" x14ac:dyDescent="0.25">
      <c r="A1546" s="25">
        <v>1544</v>
      </c>
      <c r="B1546" s="37" t="e">
        <f t="shared" ref="B1546:D1546" si="3113">VLOOKUP($A1546,'[5]Integración Social'!$A$1:$O$233,B$1,0)</f>
        <v>#N/A</v>
      </c>
      <c r="C1546" s="38" t="e">
        <f t="shared" si="3113"/>
        <v>#N/A</v>
      </c>
      <c r="D1546" s="39" t="e">
        <f t="shared" si="3113"/>
        <v>#N/A</v>
      </c>
      <c r="E1546" s="16" t="e">
        <f t="shared" si="1"/>
        <v>#N/A</v>
      </c>
      <c r="F1546" s="16" t="e">
        <f t="shared" ref="F1546:K1546" si="3114">VLOOKUP($A1546,'[5]Integración Social'!$A$1:$O$233,F$1,0)</f>
        <v>#N/A</v>
      </c>
      <c r="G1546" s="39" t="e">
        <f t="shared" si="3114"/>
        <v>#N/A</v>
      </c>
      <c r="H1546" s="16" t="e">
        <f t="shared" si="3114"/>
        <v>#N/A</v>
      </c>
      <c r="I1546" s="16" t="e">
        <f t="shared" si="3114"/>
        <v>#N/A</v>
      </c>
      <c r="J1546" s="40" t="e">
        <f t="shared" si="3114"/>
        <v>#N/A</v>
      </c>
      <c r="K1546" s="16" t="e">
        <f t="shared" si="3114"/>
        <v>#N/A</v>
      </c>
      <c r="L1546" s="40" t="e">
        <f t="shared" si="3025"/>
        <v>#N/A</v>
      </c>
      <c r="M1546" s="16" t="e">
        <f t="shared" si="3026"/>
        <v>#N/A</v>
      </c>
      <c r="N1546" s="16" t="e">
        <f t="shared" si="3027"/>
        <v>#N/A</v>
      </c>
      <c r="O1546" s="16" t="s">
        <v>69</v>
      </c>
      <c r="P1546" s="16" t="str">
        <f t="shared" si="6"/>
        <v/>
      </c>
      <c r="Q1546" s="41" t="e">
        <f t="shared" si="3028"/>
        <v>#N/A</v>
      </c>
      <c r="R1546" s="44"/>
      <c r="S1546" s="44"/>
      <c r="T1546" s="43"/>
      <c r="U1546" s="43" t="str">
        <f t="shared" si="8"/>
        <v>No</v>
      </c>
      <c r="V1546" s="25"/>
      <c r="W1546" s="25"/>
      <c r="X1546" s="25"/>
      <c r="Y1546" s="25"/>
      <c r="Z1546" s="25"/>
    </row>
    <row r="1547" spans="1:26" ht="15.75" customHeight="1" x14ac:dyDescent="0.25">
      <c r="A1547" s="25">
        <v>1545</v>
      </c>
      <c r="B1547" s="37" t="e">
        <f t="shared" ref="B1547:D1547" si="3115">VLOOKUP($A1547,'[5]Integración Social'!$A$1:$O$233,B$1,0)</f>
        <v>#N/A</v>
      </c>
      <c r="C1547" s="38" t="e">
        <f t="shared" si="3115"/>
        <v>#N/A</v>
      </c>
      <c r="D1547" s="39" t="e">
        <f t="shared" si="3115"/>
        <v>#N/A</v>
      </c>
      <c r="E1547" s="16" t="e">
        <f t="shared" si="1"/>
        <v>#N/A</v>
      </c>
      <c r="F1547" s="16" t="e">
        <f t="shared" ref="F1547:K1547" si="3116">VLOOKUP($A1547,'[5]Integración Social'!$A$1:$O$233,F$1,0)</f>
        <v>#N/A</v>
      </c>
      <c r="G1547" s="39" t="e">
        <f t="shared" si="3116"/>
        <v>#N/A</v>
      </c>
      <c r="H1547" s="16" t="e">
        <f t="shared" si="3116"/>
        <v>#N/A</v>
      </c>
      <c r="I1547" s="16" t="e">
        <f t="shared" si="3116"/>
        <v>#N/A</v>
      </c>
      <c r="J1547" s="40" t="e">
        <f t="shared" si="3116"/>
        <v>#N/A</v>
      </c>
      <c r="K1547" s="16" t="e">
        <f t="shared" si="3116"/>
        <v>#N/A</v>
      </c>
      <c r="L1547" s="40" t="e">
        <f t="shared" si="3025"/>
        <v>#N/A</v>
      </c>
      <c r="M1547" s="16" t="e">
        <f t="shared" si="3026"/>
        <v>#N/A</v>
      </c>
      <c r="N1547" s="16" t="e">
        <f t="shared" si="3027"/>
        <v>#N/A</v>
      </c>
      <c r="O1547" s="16" t="s">
        <v>69</v>
      </c>
      <c r="P1547" s="16" t="str">
        <f t="shared" si="6"/>
        <v/>
      </c>
      <c r="Q1547" s="41" t="e">
        <f t="shared" si="3028"/>
        <v>#N/A</v>
      </c>
      <c r="R1547" s="44"/>
      <c r="S1547" s="44"/>
      <c r="T1547" s="43"/>
      <c r="U1547" s="43" t="str">
        <f t="shared" si="8"/>
        <v>No</v>
      </c>
      <c r="V1547" s="25"/>
      <c r="W1547" s="25"/>
      <c r="X1547" s="25"/>
      <c r="Y1547" s="25"/>
      <c r="Z1547" s="25"/>
    </row>
    <row r="1548" spans="1:26" ht="15.75" customHeight="1" x14ac:dyDescent="0.25">
      <c r="A1548" s="25">
        <v>1546</v>
      </c>
      <c r="B1548" s="37" t="e">
        <f t="shared" ref="B1548:D1548" si="3117">VLOOKUP($A1548,'[5]Integración Social'!$A$1:$O$233,B$1,0)</f>
        <v>#N/A</v>
      </c>
      <c r="C1548" s="38" t="e">
        <f t="shared" si="3117"/>
        <v>#N/A</v>
      </c>
      <c r="D1548" s="39" t="e">
        <f t="shared" si="3117"/>
        <v>#N/A</v>
      </c>
      <c r="E1548" s="16" t="e">
        <f t="shared" si="1"/>
        <v>#N/A</v>
      </c>
      <c r="F1548" s="16" t="e">
        <f t="shared" ref="F1548:K1548" si="3118">VLOOKUP($A1548,'[5]Integración Social'!$A$1:$O$233,F$1,0)</f>
        <v>#N/A</v>
      </c>
      <c r="G1548" s="39" t="e">
        <f t="shared" si="3118"/>
        <v>#N/A</v>
      </c>
      <c r="H1548" s="16" t="e">
        <f t="shared" si="3118"/>
        <v>#N/A</v>
      </c>
      <c r="I1548" s="16" t="e">
        <f t="shared" si="3118"/>
        <v>#N/A</v>
      </c>
      <c r="J1548" s="40" t="e">
        <f t="shared" si="3118"/>
        <v>#N/A</v>
      </c>
      <c r="K1548" s="16" t="e">
        <f t="shared" si="3118"/>
        <v>#N/A</v>
      </c>
      <c r="L1548" s="40" t="e">
        <f t="shared" si="3025"/>
        <v>#N/A</v>
      </c>
      <c r="M1548" s="16" t="e">
        <f t="shared" si="3026"/>
        <v>#N/A</v>
      </c>
      <c r="N1548" s="16" t="e">
        <f t="shared" si="3027"/>
        <v>#N/A</v>
      </c>
      <c r="O1548" s="16" t="s">
        <v>69</v>
      </c>
      <c r="P1548" s="16" t="str">
        <f t="shared" si="6"/>
        <v/>
      </c>
      <c r="Q1548" s="41" t="e">
        <f t="shared" si="3028"/>
        <v>#N/A</v>
      </c>
      <c r="R1548" s="44"/>
      <c r="S1548" s="44"/>
      <c r="T1548" s="43"/>
      <c r="U1548" s="43" t="str">
        <f t="shared" si="8"/>
        <v>No</v>
      </c>
      <c r="V1548" s="25"/>
      <c r="W1548" s="25"/>
      <c r="X1548" s="25"/>
      <c r="Y1548" s="25"/>
      <c r="Z1548" s="25"/>
    </row>
    <row r="1549" spans="1:26" ht="15.75" customHeight="1" x14ac:dyDescent="0.25">
      <c r="A1549" s="25">
        <v>1547</v>
      </c>
      <c r="B1549" s="37" t="e">
        <f t="shared" ref="B1549:D1549" si="3119">VLOOKUP($A1549,'[5]Integración Social'!$A$1:$O$233,B$1,0)</f>
        <v>#N/A</v>
      </c>
      <c r="C1549" s="38" t="e">
        <f t="shared" si="3119"/>
        <v>#N/A</v>
      </c>
      <c r="D1549" s="39" t="e">
        <f t="shared" si="3119"/>
        <v>#N/A</v>
      </c>
      <c r="E1549" s="16" t="e">
        <f t="shared" si="1"/>
        <v>#N/A</v>
      </c>
      <c r="F1549" s="16" t="e">
        <f t="shared" ref="F1549:K1549" si="3120">VLOOKUP($A1549,'[5]Integración Social'!$A$1:$O$233,F$1,0)</f>
        <v>#N/A</v>
      </c>
      <c r="G1549" s="39" t="e">
        <f t="shared" si="3120"/>
        <v>#N/A</v>
      </c>
      <c r="H1549" s="16" t="e">
        <f t="shared" si="3120"/>
        <v>#N/A</v>
      </c>
      <c r="I1549" s="16" t="e">
        <f t="shared" si="3120"/>
        <v>#N/A</v>
      </c>
      <c r="J1549" s="40" t="e">
        <f t="shared" si="3120"/>
        <v>#N/A</v>
      </c>
      <c r="K1549" s="16" t="e">
        <f t="shared" si="3120"/>
        <v>#N/A</v>
      </c>
      <c r="L1549" s="40" t="e">
        <f t="shared" si="3025"/>
        <v>#N/A</v>
      </c>
      <c r="M1549" s="16" t="e">
        <f t="shared" si="3026"/>
        <v>#N/A</v>
      </c>
      <c r="N1549" s="16" t="e">
        <f t="shared" si="3027"/>
        <v>#N/A</v>
      </c>
      <c r="O1549" s="16" t="s">
        <v>69</v>
      </c>
      <c r="P1549" s="16" t="str">
        <f t="shared" si="6"/>
        <v/>
      </c>
      <c r="Q1549" s="41" t="e">
        <f t="shared" si="3028"/>
        <v>#N/A</v>
      </c>
      <c r="R1549" s="44"/>
      <c r="S1549" s="44"/>
      <c r="T1549" s="43"/>
      <c r="U1549" s="43" t="str">
        <f t="shared" si="8"/>
        <v>No</v>
      </c>
      <c r="V1549" s="25"/>
      <c r="W1549" s="25"/>
      <c r="X1549" s="25"/>
      <c r="Y1549" s="25"/>
      <c r="Z1549" s="25"/>
    </row>
    <row r="1550" spans="1:26" ht="15.75" customHeight="1" x14ac:dyDescent="0.25">
      <c r="A1550" s="25">
        <v>1548</v>
      </c>
      <c r="B1550" s="37" t="e">
        <f t="shared" ref="B1550:D1550" si="3121">VLOOKUP($A1550,'[5]Integración Social'!$A$1:$O$233,B$1,0)</f>
        <v>#N/A</v>
      </c>
      <c r="C1550" s="38" t="e">
        <f t="shared" si="3121"/>
        <v>#N/A</v>
      </c>
      <c r="D1550" s="39" t="e">
        <f t="shared" si="3121"/>
        <v>#N/A</v>
      </c>
      <c r="E1550" s="16" t="e">
        <f t="shared" si="1"/>
        <v>#N/A</v>
      </c>
      <c r="F1550" s="16" t="e">
        <f t="shared" ref="F1550:K1550" si="3122">VLOOKUP($A1550,'[5]Integración Social'!$A$1:$O$233,F$1,0)</f>
        <v>#N/A</v>
      </c>
      <c r="G1550" s="39" t="e">
        <f t="shared" si="3122"/>
        <v>#N/A</v>
      </c>
      <c r="H1550" s="16" t="e">
        <f t="shared" si="3122"/>
        <v>#N/A</v>
      </c>
      <c r="I1550" s="16" t="e">
        <f t="shared" si="3122"/>
        <v>#N/A</v>
      </c>
      <c r="J1550" s="40" t="e">
        <f t="shared" si="3122"/>
        <v>#N/A</v>
      </c>
      <c r="K1550" s="16" t="e">
        <f t="shared" si="3122"/>
        <v>#N/A</v>
      </c>
      <c r="L1550" s="40" t="e">
        <f t="shared" si="3025"/>
        <v>#N/A</v>
      </c>
      <c r="M1550" s="16" t="e">
        <f t="shared" si="3026"/>
        <v>#N/A</v>
      </c>
      <c r="N1550" s="16" t="e">
        <f t="shared" si="3027"/>
        <v>#N/A</v>
      </c>
      <c r="O1550" s="16" t="s">
        <v>69</v>
      </c>
      <c r="P1550" s="16" t="str">
        <f t="shared" si="6"/>
        <v/>
      </c>
      <c r="Q1550" s="41" t="e">
        <f t="shared" si="3028"/>
        <v>#N/A</v>
      </c>
      <c r="R1550" s="44"/>
      <c r="S1550" s="44"/>
      <c r="T1550" s="43"/>
      <c r="U1550" s="43" t="str">
        <f t="shared" si="8"/>
        <v>No</v>
      </c>
      <c r="V1550" s="25"/>
      <c r="W1550" s="25"/>
      <c r="X1550" s="25"/>
      <c r="Y1550" s="25"/>
      <c r="Z1550" s="25"/>
    </row>
    <row r="1551" spans="1:26" ht="15.75" customHeight="1" x14ac:dyDescent="0.25">
      <c r="A1551" s="25">
        <v>1549</v>
      </c>
      <c r="B1551" s="37" t="e">
        <f t="shared" ref="B1551:D1551" si="3123">VLOOKUP($A1551,'[5]Integración Social'!$A$1:$O$233,B$1,0)</f>
        <v>#N/A</v>
      </c>
      <c r="C1551" s="38" t="e">
        <f t="shared" si="3123"/>
        <v>#N/A</v>
      </c>
      <c r="D1551" s="39" t="e">
        <f t="shared" si="3123"/>
        <v>#N/A</v>
      </c>
      <c r="E1551" s="16" t="e">
        <f t="shared" si="1"/>
        <v>#N/A</v>
      </c>
      <c r="F1551" s="16" t="e">
        <f t="shared" ref="F1551:K1551" si="3124">VLOOKUP($A1551,'[5]Integración Social'!$A$1:$O$233,F$1,0)</f>
        <v>#N/A</v>
      </c>
      <c r="G1551" s="39" t="e">
        <f t="shared" si="3124"/>
        <v>#N/A</v>
      </c>
      <c r="H1551" s="16" t="e">
        <f t="shared" si="3124"/>
        <v>#N/A</v>
      </c>
      <c r="I1551" s="16" t="e">
        <f t="shared" si="3124"/>
        <v>#N/A</v>
      </c>
      <c r="J1551" s="40" t="e">
        <f t="shared" si="3124"/>
        <v>#N/A</v>
      </c>
      <c r="K1551" s="16" t="e">
        <f t="shared" si="3124"/>
        <v>#N/A</v>
      </c>
      <c r="L1551" s="40" t="e">
        <f t="shared" si="3025"/>
        <v>#N/A</v>
      </c>
      <c r="M1551" s="16" t="e">
        <f t="shared" si="3026"/>
        <v>#N/A</v>
      </c>
      <c r="N1551" s="16" t="e">
        <f t="shared" si="3027"/>
        <v>#N/A</v>
      </c>
      <c r="O1551" s="16" t="s">
        <v>69</v>
      </c>
      <c r="P1551" s="16" t="str">
        <f t="shared" si="6"/>
        <v/>
      </c>
      <c r="Q1551" s="41" t="e">
        <f t="shared" si="3028"/>
        <v>#N/A</v>
      </c>
      <c r="R1551" s="44"/>
      <c r="S1551" s="44"/>
      <c r="T1551" s="43"/>
      <c r="U1551" s="43" t="str">
        <f t="shared" si="8"/>
        <v>No</v>
      </c>
      <c r="V1551" s="25"/>
      <c r="W1551" s="25"/>
      <c r="X1551" s="25"/>
      <c r="Y1551" s="25"/>
      <c r="Z1551" s="25"/>
    </row>
    <row r="1552" spans="1:26" ht="15.75" customHeight="1" x14ac:dyDescent="0.25">
      <c r="A1552" s="25">
        <v>1550</v>
      </c>
      <c r="B1552" s="37" t="e">
        <f t="shared" ref="B1552:D1552" si="3125">VLOOKUP($A1552,'[5]Integración Social'!$A$1:$O$233,B$1,0)</f>
        <v>#N/A</v>
      </c>
      <c r="C1552" s="38" t="e">
        <f t="shared" si="3125"/>
        <v>#N/A</v>
      </c>
      <c r="D1552" s="39" t="e">
        <f t="shared" si="3125"/>
        <v>#N/A</v>
      </c>
      <c r="E1552" s="16" t="e">
        <f t="shared" si="1"/>
        <v>#N/A</v>
      </c>
      <c r="F1552" s="16" t="e">
        <f t="shared" ref="F1552:K1552" si="3126">VLOOKUP($A1552,'[5]Integración Social'!$A$1:$O$233,F$1,0)</f>
        <v>#N/A</v>
      </c>
      <c r="G1552" s="39" t="e">
        <f t="shared" si="3126"/>
        <v>#N/A</v>
      </c>
      <c r="H1552" s="16" t="e">
        <f t="shared" si="3126"/>
        <v>#N/A</v>
      </c>
      <c r="I1552" s="16" t="e">
        <f t="shared" si="3126"/>
        <v>#N/A</v>
      </c>
      <c r="J1552" s="40" t="e">
        <f t="shared" si="3126"/>
        <v>#N/A</v>
      </c>
      <c r="K1552" s="16" t="e">
        <f t="shared" si="3126"/>
        <v>#N/A</v>
      </c>
      <c r="L1552" s="40" t="e">
        <f t="shared" si="3025"/>
        <v>#N/A</v>
      </c>
      <c r="M1552" s="16" t="e">
        <f t="shared" si="3026"/>
        <v>#N/A</v>
      </c>
      <c r="N1552" s="16" t="e">
        <f t="shared" si="3027"/>
        <v>#N/A</v>
      </c>
      <c r="O1552" s="16" t="s">
        <v>69</v>
      </c>
      <c r="P1552" s="16" t="str">
        <f t="shared" si="6"/>
        <v/>
      </c>
      <c r="Q1552" s="41" t="e">
        <f t="shared" si="3028"/>
        <v>#N/A</v>
      </c>
      <c r="R1552" s="44"/>
      <c r="S1552" s="44"/>
      <c r="T1552" s="43"/>
      <c r="U1552" s="43" t="str">
        <f t="shared" si="8"/>
        <v>No</v>
      </c>
      <c r="V1552" s="25"/>
      <c r="W1552" s="25"/>
      <c r="X1552" s="25"/>
      <c r="Y1552" s="25"/>
      <c r="Z1552" s="25"/>
    </row>
    <row r="1553" spans="1:26" ht="15.75" customHeight="1" x14ac:dyDescent="0.25">
      <c r="A1553" s="25">
        <v>1551</v>
      </c>
      <c r="B1553" s="37" t="e">
        <f t="shared" ref="B1553:D1553" si="3127">VLOOKUP($A1553,'[5]Integración Social'!$A$1:$O$233,B$1,0)</f>
        <v>#N/A</v>
      </c>
      <c r="C1553" s="38" t="e">
        <f t="shared" si="3127"/>
        <v>#N/A</v>
      </c>
      <c r="D1553" s="39" t="e">
        <f t="shared" si="3127"/>
        <v>#N/A</v>
      </c>
      <c r="E1553" s="16" t="e">
        <f t="shared" si="1"/>
        <v>#N/A</v>
      </c>
      <c r="F1553" s="16" t="e">
        <f t="shared" ref="F1553:K1553" si="3128">VLOOKUP($A1553,'[5]Integración Social'!$A$1:$O$233,F$1,0)</f>
        <v>#N/A</v>
      </c>
      <c r="G1553" s="39" t="e">
        <f t="shared" si="3128"/>
        <v>#N/A</v>
      </c>
      <c r="H1553" s="16" t="e">
        <f t="shared" si="3128"/>
        <v>#N/A</v>
      </c>
      <c r="I1553" s="16" t="e">
        <f t="shared" si="3128"/>
        <v>#N/A</v>
      </c>
      <c r="J1553" s="40" t="e">
        <f t="shared" si="3128"/>
        <v>#N/A</v>
      </c>
      <c r="K1553" s="16" t="e">
        <f t="shared" si="3128"/>
        <v>#N/A</v>
      </c>
      <c r="L1553" s="40" t="e">
        <f t="shared" si="3025"/>
        <v>#N/A</v>
      </c>
      <c r="M1553" s="16" t="e">
        <f t="shared" si="3026"/>
        <v>#N/A</v>
      </c>
      <c r="N1553" s="16" t="e">
        <f t="shared" si="3027"/>
        <v>#N/A</v>
      </c>
      <c r="O1553" s="16" t="s">
        <v>69</v>
      </c>
      <c r="P1553" s="16" t="str">
        <f t="shared" si="6"/>
        <v/>
      </c>
      <c r="Q1553" s="41" t="e">
        <f t="shared" si="3028"/>
        <v>#N/A</v>
      </c>
      <c r="R1553" s="44"/>
      <c r="S1553" s="44"/>
      <c r="T1553" s="43"/>
      <c r="U1553" s="43" t="str">
        <f t="shared" si="8"/>
        <v>No</v>
      </c>
      <c r="V1553" s="25"/>
      <c r="W1553" s="25"/>
      <c r="X1553" s="25"/>
      <c r="Y1553" s="25"/>
      <c r="Z1553" s="25"/>
    </row>
    <row r="1554" spans="1:26" ht="15.75" customHeight="1" x14ac:dyDescent="0.25">
      <c r="A1554" s="25">
        <v>1552</v>
      </c>
      <c r="B1554" s="37" t="e">
        <f t="shared" ref="B1554:D1554" si="3129">VLOOKUP($A1554,'[5]Integración Social'!$A$1:$O$233,B$1,0)</f>
        <v>#N/A</v>
      </c>
      <c r="C1554" s="38" t="e">
        <f t="shared" si="3129"/>
        <v>#N/A</v>
      </c>
      <c r="D1554" s="39" t="e">
        <f t="shared" si="3129"/>
        <v>#N/A</v>
      </c>
      <c r="E1554" s="16" t="e">
        <f t="shared" si="1"/>
        <v>#N/A</v>
      </c>
      <c r="F1554" s="16" t="e">
        <f t="shared" ref="F1554:K1554" si="3130">VLOOKUP($A1554,'[5]Integración Social'!$A$1:$O$233,F$1,0)</f>
        <v>#N/A</v>
      </c>
      <c r="G1554" s="39" t="e">
        <f t="shared" si="3130"/>
        <v>#N/A</v>
      </c>
      <c r="H1554" s="16" t="e">
        <f t="shared" si="3130"/>
        <v>#N/A</v>
      </c>
      <c r="I1554" s="16" t="e">
        <f t="shared" si="3130"/>
        <v>#N/A</v>
      </c>
      <c r="J1554" s="40" t="e">
        <f t="shared" si="3130"/>
        <v>#N/A</v>
      </c>
      <c r="K1554" s="16" t="e">
        <f t="shared" si="3130"/>
        <v>#N/A</v>
      </c>
      <c r="L1554" s="40" t="e">
        <f t="shared" si="3025"/>
        <v>#N/A</v>
      </c>
      <c r="M1554" s="16" t="e">
        <f t="shared" si="3026"/>
        <v>#N/A</v>
      </c>
      <c r="N1554" s="16" t="e">
        <f t="shared" si="3027"/>
        <v>#N/A</v>
      </c>
      <c r="O1554" s="16" t="s">
        <v>69</v>
      </c>
      <c r="P1554" s="16" t="str">
        <f t="shared" si="6"/>
        <v/>
      </c>
      <c r="Q1554" s="41" t="e">
        <f t="shared" si="3028"/>
        <v>#N/A</v>
      </c>
      <c r="R1554" s="44"/>
      <c r="S1554" s="44"/>
      <c r="T1554" s="43"/>
      <c r="U1554" s="43" t="str">
        <f t="shared" si="8"/>
        <v>No</v>
      </c>
      <c r="V1554" s="25"/>
      <c r="W1554" s="25"/>
      <c r="X1554" s="25"/>
      <c r="Y1554" s="25"/>
      <c r="Z1554" s="25"/>
    </row>
    <row r="1555" spans="1:26" ht="15.75" customHeight="1" x14ac:dyDescent="0.25">
      <c r="A1555" s="25">
        <v>1553</v>
      </c>
      <c r="B1555" s="37" t="e">
        <f t="shared" ref="B1555:D1555" si="3131">VLOOKUP($A1555,'[5]Integración Social'!$A$1:$O$233,B$1,0)</f>
        <v>#N/A</v>
      </c>
      <c r="C1555" s="38" t="e">
        <f t="shared" si="3131"/>
        <v>#N/A</v>
      </c>
      <c r="D1555" s="39" t="e">
        <f t="shared" si="3131"/>
        <v>#N/A</v>
      </c>
      <c r="E1555" s="16" t="e">
        <f t="shared" si="1"/>
        <v>#N/A</v>
      </c>
      <c r="F1555" s="16" t="e">
        <f t="shared" ref="F1555:K1555" si="3132">VLOOKUP($A1555,'[5]Integración Social'!$A$1:$O$233,F$1,0)</f>
        <v>#N/A</v>
      </c>
      <c r="G1555" s="39" t="e">
        <f t="shared" si="3132"/>
        <v>#N/A</v>
      </c>
      <c r="H1555" s="16" t="e">
        <f t="shared" si="3132"/>
        <v>#N/A</v>
      </c>
      <c r="I1555" s="16" t="e">
        <f t="shared" si="3132"/>
        <v>#N/A</v>
      </c>
      <c r="J1555" s="40" t="e">
        <f t="shared" si="3132"/>
        <v>#N/A</v>
      </c>
      <c r="K1555" s="16" t="e">
        <f t="shared" si="3132"/>
        <v>#N/A</v>
      </c>
      <c r="L1555" s="40" t="e">
        <f t="shared" si="3025"/>
        <v>#N/A</v>
      </c>
      <c r="M1555" s="16" t="e">
        <f t="shared" si="3026"/>
        <v>#N/A</v>
      </c>
      <c r="N1555" s="16" t="e">
        <f t="shared" si="3027"/>
        <v>#N/A</v>
      </c>
      <c r="O1555" s="16" t="s">
        <v>69</v>
      </c>
      <c r="P1555" s="16" t="str">
        <f t="shared" si="6"/>
        <v/>
      </c>
      <c r="Q1555" s="41" t="e">
        <f t="shared" si="3028"/>
        <v>#N/A</v>
      </c>
      <c r="R1555" s="44"/>
      <c r="S1555" s="44"/>
      <c r="T1555" s="43"/>
      <c r="U1555" s="43" t="str">
        <f t="shared" si="8"/>
        <v>No</v>
      </c>
      <c r="V1555" s="25"/>
      <c r="W1555" s="25"/>
      <c r="X1555" s="25"/>
      <c r="Y1555" s="25"/>
      <c r="Z1555" s="25"/>
    </row>
    <row r="1556" spans="1:26" ht="15.75" customHeight="1" x14ac:dyDescent="0.25">
      <c r="A1556" s="25">
        <v>1554</v>
      </c>
      <c r="B1556" s="37" t="e">
        <f t="shared" ref="B1556:D1556" si="3133">VLOOKUP($A1556,'[5]Integración Social'!$A$1:$O$233,B$1,0)</f>
        <v>#N/A</v>
      </c>
      <c r="C1556" s="38" t="e">
        <f t="shared" si="3133"/>
        <v>#N/A</v>
      </c>
      <c r="D1556" s="39" t="e">
        <f t="shared" si="3133"/>
        <v>#N/A</v>
      </c>
      <c r="E1556" s="16" t="e">
        <f t="shared" si="1"/>
        <v>#N/A</v>
      </c>
      <c r="F1556" s="16" t="e">
        <f t="shared" ref="F1556:K1556" si="3134">VLOOKUP($A1556,'[5]Integración Social'!$A$1:$O$233,F$1,0)</f>
        <v>#N/A</v>
      </c>
      <c r="G1556" s="39" t="e">
        <f t="shared" si="3134"/>
        <v>#N/A</v>
      </c>
      <c r="H1556" s="16" t="e">
        <f t="shared" si="3134"/>
        <v>#N/A</v>
      </c>
      <c r="I1556" s="16" t="e">
        <f t="shared" si="3134"/>
        <v>#N/A</v>
      </c>
      <c r="J1556" s="40" t="e">
        <f t="shared" si="3134"/>
        <v>#N/A</v>
      </c>
      <c r="K1556" s="16" t="e">
        <f t="shared" si="3134"/>
        <v>#N/A</v>
      </c>
      <c r="L1556" s="40" t="e">
        <f t="shared" si="3025"/>
        <v>#N/A</v>
      </c>
      <c r="M1556" s="16" t="e">
        <f t="shared" si="3026"/>
        <v>#N/A</v>
      </c>
      <c r="N1556" s="16" t="e">
        <f t="shared" si="3027"/>
        <v>#N/A</v>
      </c>
      <c r="O1556" s="16" t="s">
        <v>69</v>
      </c>
      <c r="P1556" s="16" t="str">
        <f t="shared" si="6"/>
        <v/>
      </c>
      <c r="Q1556" s="41" t="e">
        <f t="shared" si="3028"/>
        <v>#N/A</v>
      </c>
      <c r="R1556" s="44"/>
      <c r="S1556" s="44"/>
      <c r="T1556" s="43"/>
      <c r="U1556" s="43" t="str">
        <f t="shared" si="8"/>
        <v>No</v>
      </c>
      <c r="V1556" s="25"/>
      <c r="W1556" s="25"/>
      <c r="X1556" s="25"/>
      <c r="Y1556" s="25"/>
      <c r="Z1556" s="25"/>
    </row>
    <row r="1557" spans="1:26" ht="15.75" customHeight="1" x14ac:dyDescent="0.25">
      <c r="A1557" s="25">
        <v>1555</v>
      </c>
      <c r="B1557" s="37" t="e">
        <f t="shared" ref="B1557:D1557" si="3135">VLOOKUP($A1557,'[5]Integración Social'!$A$1:$O$233,B$1,0)</f>
        <v>#N/A</v>
      </c>
      <c r="C1557" s="38" t="e">
        <f t="shared" si="3135"/>
        <v>#N/A</v>
      </c>
      <c r="D1557" s="39" t="e">
        <f t="shared" si="3135"/>
        <v>#N/A</v>
      </c>
      <c r="E1557" s="16" t="e">
        <f t="shared" si="1"/>
        <v>#N/A</v>
      </c>
      <c r="F1557" s="16" t="e">
        <f t="shared" ref="F1557:K1557" si="3136">VLOOKUP($A1557,'[5]Integración Social'!$A$1:$O$233,F$1,0)</f>
        <v>#N/A</v>
      </c>
      <c r="G1557" s="39" t="e">
        <f t="shared" si="3136"/>
        <v>#N/A</v>
      </c>
      <c r="H1557" s="16" t="e">
        <f t="shared" si="3136"/>
        <v>#N/A</v>
      </c>
      <c r="I1557" s="16" t="e">
        <f t="shared" si="3136"/>
        <v>#N/A</v>
      </c>
      <c r="J1557" s="40" t="e">
        <f t="shared" si="3136"/>
        <v>#N/A</v>
      </c>
      <c r="K1557" s="16" t="e">
        <f t="shared" si="3136"/>
        <v>#N/A</v>
      </c>
      <c r="L1557" s="40" t="e">
        <f t="shared" si="3025"/>
        <v>#N/A</v>
      </c>
      <c r="M1557" s="16" t="e">
        <f t="shared" si="3026"/>
        <v>#N/A</v>
      </c>
      <c r="N1557" s="16" t="e">
        <f t="shared" si="3027"/>
        <v>#N/A</v>
      </c>
      <c r="O1557" s="16" t="s">
        <v>69</v>
      </c>
      <c r="P1557" s="16" t="str">
        <f t="shared" si="6"/>
        <v/>
      </c>
      <c r="Q1557" s="41" t="e">
        <f t="shared" si="3028"/>
        <v>#N/A</v>
      </c>
      <c r="R1557" s="44"/>
      <c r="S1557" s="44"/>
      <c r="T1557" s="43"/>
      <c r="U1557" s="43" t="str">
        <f t="shared" si="8"/>
        <v>No</v>
      </c>
      <c r="V1557" s="25"/>
      <c r="W1557" s="25"/>
      <c r="X1557" s="25"/>
      <c r="Y1557" s="25"/>
      <c r="Z1557" s="25"/>
    </row>
    <row r="1558" spans="1:26" ht="15.75" customHeight="1" x14ac:dyDescent="0.25">
      <c r="A1558" s="25">
        <v>1556</v>
      </c>
      <c r="B1558" s="37" t="e">
        <f t="shared" ref="B1558:D1558" si="3137">VLOOKUP($A1558,'[5]Integración Social'!$A$1:$O$233,B$1,0)</f>
        <v>#N/A</v>
      </c>
      <c r="C1558" s="38" t="e">
        <f t="shared" si="3137"/>
        <v>#N/A</v>
      </c>
      <c r="D1558" s="39" t="e">
        <f t="shared" si="3137"/>
        <v>#N/A</v>
      </c>
      <c r="E1558" s="16" t="e">
        <f t="shared" si="1"/>
        <v>#N/A</v>
      </c>
      <c r="F1558" s="16" t="e">
        <f t="shared" ref="F1558:K1558" si="3138">VLOOKUP($A1558,'[5]Integración Social'!$A$1:$O$233,F$1,0)</f>
        <v>#N/A</v>
      </c>
      <c r="G1558" s="39" t="e">
        <f t="shared" si="3138"/>
        <v>#N/A</v>
      </c>
      <c r="H1558" s="16" t="e">
        <f t="shared" si="3138"/>
        <v>#N/A</v>
      </c>
      <c r="I1558" s="16" t="e">
        <f t="shared" si="3138"/>
        <v>#N/A</v>
      </c>
      <c r="J1558" s="40" t="e">
        <f t="shared" si="3138"/>
        <v>#N/A</v>
      </c>
      <c r="K1558" s="16" t="e">
        <f t="shared" si="3138"/>
        <v>#N/A</v>
      </c>
      <c r="L1558" s="40" t="e">
        <f t="shared" si="3025"/>
        <v>#N/A</v>
      </c>
      <c r="M1558" s="16" t="e">
        <f t="shared" si="3026"/>
        <v>#N/A</v>
      </c>
      <c r="N1558" s="16" t="e">
        <f t="shared" si="3027"/>
        <v>#N/A</v>
      </c>
      <c r="O1558" s="16" t="s">
        <v>69</v>
      </c>
      <c r="P1558" s="16" t="str">
        <f t="shared" si="6"/>
        <v/>
      </c>
      <c r="Q1558" s="41" t="e">
        <f t="shared" si="3028"/>
        <v>#N/A</v>
      </c>
      <c r="R1558" s="44"/>
      <c r="S1558" s="44"/>
      <c r="T1558" s="43"/>
      <c r="U1558" s="43" t="str">
        <f t="shared" si="8"/>
        <v>No</v>
      </c>
      <c r="V1558" s="25"/>
      <c r="W1558" s="25"/>
      <c r="X1558" s="25"/>
      <c r="Y1558" s="25"/>
      <c r="Z1558" s="25"/>
    </row>
    <row r="1559" spans="1:26" ht="15.75" customHeight="1" x14ac:dyDescent="0.25">
      <c r="A1559" s="25">
        <v>1557</v>
      </c>
      <c r="B1559" s="37" t="e">
        <f t="shared" ref="B1559:D1559" si="3139">VLOOKUP($A1559,'[5]Integración Social'!$A$1:$O$233,B$1,0)</f>
        <v>#N/A</v>
      </c>
      <c r="C1559" s="38" t="e">
        <f t="shared" si="3139"/>
        <v>#N/A</v>
      </c>
      <c r="D1559" s="39" t="e">
        <f t="shared" si="3139"/>
        <v>#N/A</v>
      </c>
      <c r="E1559" s="16" t="e">
        <f t="shared" si="1"/>
        <v>#N/A</v>
      </c>
      <c r="F1559" s="16" t="e">
        <f t="shared" ref="F1559:K1559" si="3140">VLOOKUP($A1559,'[5]Integración Social'!$A$1:$O$233,F$1,0)</f>
        <v>#N/A</v>
      </c>
      <c r="G1559" s="39" t="e">
        <f t="shared" si="3140"/>
        <v>#N/A</v>
      </c>
      <c r="H1559" s="16" t="e">
        <f t="shared" si="3140"/>
        <v>#N/A</v>
      </c>
      <c r="I1559" s="16" t="e">
        <f t="shared" si="3140"/>
        <v>#N/A</v>
      </c>
      <c r="J1559" s="40" t="e">
        <f t="shared" si="3140"/>
        <v>#N/A</v>
      </c>
      <c r="K1559" s="16" t="e">
        <f t="shared" si="3140"/>
        <v>#N/A</v>
      </c>
      <c r="L1559" s="40" t="e">
        <f t="shared" si="3025"/>
        <v>#N/A</v>
      </c>
      <c r="M1559" s="16" t="e">
        <f t="shared" si="3026"/>
        <v>#N/A</v>
      </c>
      <c r="N1559" s="16" t="e">
        <f t="shared" si="3027"/>
        <v>#N/A</v>
      </c>
      <c r="O1559" s="16" t="s">
        <v>69</v>
      </c>
      <c r="P1559" s="16" t="str">
        <f t="shared" si="6"/>
        <v/>
      </c>
      <c r="Q1559" s="41" t="e">
        <f t="shared" si="3028"/>
        <v>#N/A</v>
      </c>
      <c r="R1559" s="44"/>
      <c r="S1559" s="44"/>
      <c r="T1559" s="43"/>
      <c r="U1559" s="43" t="str">
        <f t="shared" si="8"/>
        <v>No</v>
      </c>
      <c r="V1559" s="25"/>
      <c r="W1559" s="25"/>
      <c r="X1559" s="25"/>
      <c r="Y1559" s="25"/>
      <c r="Z1559" s="25"/>
    </row>
    <row r="1560" spans="1:26" ht="15.75" customHeight="1" x14ac:dyDescent="0.25">
      <c r="A1560" s="25">
        <v>1558</v>
      </c>
      <c r="B1560" s="37" t="e">
        <f t="shared" ref="B1560:D1560" si="3141">VLOOKUP($A1560,'[5]Integración Social'!$A$1:$O$233,B$1,0)</f>
        <v>#N/A</v>
      </c>
      <c r="C1560" s="38" t="e">
        <f t="shared" si="3141"/>
        <v>#N/A</v>
      </c>
      <c r="D1560" s="39" t="e">
        <f t="shared" si="3141"/>
        <v>#N/A</v>
      </c>
      <c r="E1560" s="16" t="e">
        <f t="shared" si="1"/>
        <v>#N/A</v>
      </c>
      <c r="F1560" s="16" t="e">
        <f t="shared" ref="F1560:K1560" si="3142">VLOOKUP($A1560,'[5]Integración Social'!$A$1:$O$233,F$1,0)</f>
        <v>#N/A</v>
      </c>
      <c r="G1560" s="39" t="e">
        <f t="shared" si="3142"/>
        <v>#N/A</v>
      </c>
      <c r="H1560" s="16" t="e">
        <f t="shared" si="3142"/>
        <v>#N/A</v>
      </c>
      <c r="I1560" s="16" t="e">
        <f t="shared" si="3142"/>
        <v>#N/A</v>
      </c>
      <c r="J1560" s="40" t="e">
        <f t="shared" si="3142"/>
        <v>#N/A</v>
      </c>
      <c r="K1560" s="16" t="e">
        <f t="shared" si="3142"/>
        <v>#N/A</v>
      </c>
      <c r="L1560" s="40" t="e">
        <f t="shared" si="3025"/>
        <v>#N/A</v>
      </c>
      <c r="M1560" s="16" t="e">
        <f t="shared" si="3026"/>
        <v>#N/A</v>
      </c>
      <c r="N1560" s="16" t="e">
        <f t="shared" si="3027"/>
        <v>#N/A</v>
      </c>
      <c r="O1560" s="16" t="s">
        <v>69</v>
      </c>
      <c r="P1560" s="16" t="str">
        <f t="shared" si="6"/>
        <v/>
      </c>
      <c r="Q1560" s="41" t="e">
        <f t="shared" si="3028"/>
        <v>#N/A</v>
      </c>
      <c r="R1560" s="44"/>
      <c r="S1560" s="44"/>
      <c r="T1560" s="43"/>
      <c r="U1560" s="43" t="str">
        <f t="shared" si="8"/>
        <v>No</v>
      </c>
      <c r="V1560" s="25"/>
      <c r="W1560" s="25"/>
      <c r="X1560" s="25"/>
      <c r="Y1560" s="25"/>
      <c r="Z1560" s="25"/>
    </row>
    <row r="1561" spans="1:26" ht="15.75" customHeight="1" x14ac:dyDescent="0.25">
      <c r="A1561" s="25">
        <v>1559</v>
      </c>
      <c r="B1561" s="37" t="e">
        <f t="shared" ref="B1561:D1561" si="3143">VLOOKUP($A1561,'[5]Integración Social'!$A$1:$O$233,B$1,0)</f>
        <v>#N/A</v>
      </c>
      <c r="C1561" s="38" t="e">
        <f t="shared" si="3143"/>
        <v>#N/A</v>
      </c>
      <c r="D1561" s="39" t="e">
        <f t="shared" si="3143"/>
        <v>#N/A</v>
      </c>
      <c r="E1561" s="16" t="e">
        <f t="shared" si="1"/>
        <v>#N/A</v>
      </c>
      <c r="F1561" s="16" t="e">
        <f t="shared" ref="F1561:K1561" si="3144">VLOOKUP($A1561,'[5]Integración Social'!$A$1:$O$233,F$1,0)</f>
        <v>#N/A</v>
      </c>
      <c r="G1561" s="39" t="e">
        <f t="shared" si="3144"/>
        <v>#N/A</v>
      </c>
      <c r="H1561" s="16" t="e">
        <f t="shared" si="3144"/>
        <v>#N/A</v>
      </c>
      <c r="I1561" s="16" t="e">
        <f t="shared" si="3144"/>
        <v>#N/A</v>
      </c>
      <c r="J1561" s="40" t="e">
        <f t="shared" si="3144"/>
        <v>#N/A</v>
      </c>
      <c r="K1561" s="16" t="e">
        <f t="shared" si="3144"/>
        <v>#N/A</v>
      </c>
      <c r="L1561" s="40" t="e">
        <f t="shared" si="3025"/>
        <v>#N/A</v>
      </c>
      <c r="M1561" s="16" t="e">
        <f t="shared" si="3026"/>
        <v>#N/A</v>
      </c>
      <c r="N1561" s="16" t="e">
        <f t="shared" si="3027"/>
        <v>#N/A</v>
      </c>
      <c r="O1561" s="16" t="s">
        <v>69</v>
      </c>
      <c r="P1561" s="16" t="str">
        <f t="shared" si="6"/>
        <v/>
      </c>
      <c r="Q1561" s="41" t="e">
        <f t="shared" si="3028"/>
        <v>#N/A</v>
      </c>
      <c r="R1561" s="44"/>
      <c r="S1561" s="44"/>
      <c r="T1561" s="43"/>
      <c r="U1561" s="43" t="str">
        <f t="shared" si="8"/>
        <v>No</v>
      </c>
      <c r="V1561" s="25"/>
      <c r="W1561" s="25"/>
      <c r="X1561" s="25"/>
      <c r="Y1561" s="25"/>
      <c r="Z1561" s="25"/>
    </row>
    <row r="1562" spans="1:26" ht="15.75" customHeight="1" x14ac:dyDescent="0.25">
      <c r="A1562" s="25">
        <v>1560</v>
      </c>
      <c r="B1562" s="37" t="e">
        <f t="shared" ref="B1562:D1562" si="3145">VLOOKUP($A1562,'[5]Integración Social'!$A$1:$O$233,B$1,0)</f>
        <v>#N/A</v>
      </c>
      <c r="C1562" s="38" t="e">
        <f t="shared" si="3145"/>
        <v>#N/A</v>
      </c>
      <c r="D1562" s="39" t="e">
        <f t="shared" si="3145"/>
        <v>#N/A</v>
      </c>
      <c r="E1562" s="16" t="e">
        <f t="shared" si="1"/>
        <v>#N/A</v>
      </c>
      <c r="F1562" s="16" t="e">
        <f t="shared" ref="F1562:K1562" si="3146">VLOOKUP($A1562,'[5]Integración Social'!$A$1:$O$233,F$1,0)</f>
        <v>#N/A</v>
      </c>
      <c r="G1562" s="39" t="e">
        <f t="shared" si="3146"/>
        <v>#N/A</v>
      </c>
      <c r="H1562" s="16" t="e">
        <f t="shared" si="3146"/>
        <v>#N/A</v>
      </c>
      <c r="I1562" s="16" t="e">
        <f t="shared" si="3146"/>
        <v>#N/A</v>
      </c>
      <c r="J1562" s="40" t="e">
        <f t="shared" si="3146"/>
        <v>#N/A</v>
      </c>
      <c r="K1562" s="16" t="e">
        <f t="shared" si="3146"/>
        <v>#N/A</v>
      </c>
      <c r="L1562" s="40" t="e">
        <f t="shared" si="3025"/>
        <v>#N/A</v>
      </c>
      <c r="M1562" s="16" t="e">
        <f t="shared" si="3026"/>
        <v>#N/A</v>
      </c>
      <c r="N1562" s="16" t="e">
        <f t="shared" si="3027"/>
        <v>#N/A</v>
      </c>
      <c r="O1562" s="16" t="s">
        <v>69</v>
      </c>
      <c r="P1562" s="16" t="str">
        <f t="shared" si="6"/>
        <v/>
      </c>
      <c r="Q1562" s="41" t="e">
        <f t="shared" si="3028"/>
        <v>#N/A</v>
      </c>
      <c r="R1562" s="44"/>
      <c r="S1562" s="44"/>
      <c r="T1562" s="43"/>
      <c r="U1562" s="43" t="str">
        <f t="shared" si="8"/>
        <v>No</v>
      </c>
      <c r="V1562" s="25"/>
      <c r="W1562" s="25"/>
      <c r="X1562" s="25"/>
      <c r="Y1562" s="25"/>
      <c r="Z1562" s="25"/>
    </row>
    <row r="1563" spans="1:26" ht="15.75" customHeight="1" x14ac:dyDescent="0.25">
      <c r="A1563" s="25">
        <v>1561</v>
      </c>
      <c r="B1563" s="37" t="e">
        <f t="shared" ref="B1563:D1563" si="3147">VLOOKUP($A1563,'[5]Integración Social'!$A$1:$O$233,B$1,0)</f>
        <v>#N/A</v>
      </c>
      <c r="C1563" s="38" t="e">
        <f t="shared" si="3147"/>
        <v>#N/A</v>
      </c>
      <c r="D1563" s="39" t="e">
        <f t="shared" si="3147"/>
        <v>#N/A</v>
      </c>
      <c r="E1563" s="16" t="e">
        <f t="shared" si="1"/>
        <v>#N/A</v>
      </c>
      <c r="F1563" s="16" t="e">
        <f t="shared" ref="F1563:K1563" si="3148">VLOOKUP($A1563,'[5]Integración Social'!$A$1:$O$233,F$1,0)</f>
        <v>#N/A</v>
      </c>
      <c r="G1563" s="39" t="e">
        <f t="shared" si="3148"/>
        <v>#N/A</v>
      </c>
      <c r="H1563" s="16" t="e">
        <f t="shared" si="3148"/>
        <v>#N/A</v>
      </c>
      <c r="I1563" s="16" t="e">
        <f t="shared" si="3148"/>
        <v>#N/A</v>
      </c>
      <c r="J1563" s="40" t="e">
        <f t="shared" si="3148"/>
        <v>#N/A</v>
      </c>
      <c r="K1563" s="16" t="e">
        <f t="shared" si="3148"/>
        <v>#N/A</v>
      </c>
      <c r="L1563" s="40" t="e">
        <f t="shared" si="3025"/>
        <v>#N/A</v>
      </c>
      <c r="M1563" s="16" t="e">
        <f t="shared" si="3026"/>
        <v>#N/A</v>
      </c>
      <c r="N1563" s="16" t="e">
        <f t="shared" si="3027"/>
        <v>#N/A</v>
      </c>
      <c r="O1563" s="16" t="s">
        <v>69</v>
      </c>
      <c r="P1563" s="16" t="str">
        <f t="shared" si="6"/>
        <v/>
      </c>
      <c r="Q1563" s="41" t="e">
        <f t="shared" si="3028"/>
        <v>#N/A</v>
      </c>
      <c r="R1563" s="44"/>
      <c r="S1563" s="44"/>
      <c r="T1563" s="43"/>
      <c r="U1563" s="43" t="str">
        <f t="shared" si="8"/>
        <v>No</v>
      </c>
      <c r="V1563" s="25"/>
      <c r="W1563" s="25"/>
      <c r="X1563" s="25"/>
      <c r="Y1563" s="25"/>
      <c r="Z1563" s="25"/>
    </row>
    <row r="1564" spans="1:26" ht="15.75" customHeight="1" x14ac:dyDescent="0.25">
      <c r="A1564" s="25">
        <v>1562</v>
      </c>
      <c r="B1564" s="37" t="e">
        <f t="shared" ref="B1564:D1564" si="3149">VLOOKUP($A1564,'[5]Integración Social'!$A$1:$O$233,B$1,0)</f>
        <v>#N/A</v>
      </c>
      <c r="C1564" s="38" t="e">
        <f t="shared" si="3149"/>
        <v>#N/A</v>
      </c>
      <c r="D1564" s="39" t="e">
        <f t="shared" si="3149"/>
        <v>#N/A</v>
      </c>
      <c r="E1564" s="16" t="e">
        <f t="shared" si="1"/>
        <v>#N/A</v>
      </c>
      <c r="F1564" s="16" t="e">
        <f t="shared" ref="F1564:K1564" si="3150">VLOOKUP($A1564,'[5]Integración Social'!$A$1:$O$233,F$1,0)</f>
        <v>#N/A</v>
      </c>
      <c r="G1564" s="39" t="e">
        <f t="shared" si="3150"/>
        <v>#N/A</v>
      </c>
      <c r="H1564" s="16" t="e">
        <f t="shared" si="3150"/>
        <v>#N/A</v>
      </c>
      <c r="I1564" s="16" t="e">
        <f t="shared" si="3150"/>
        <v>#N/A</v>
      </c>
      <c r="J1564" s="40" t="e">
        <f t="shared" si="3150"/>
        <v>#N/A</v>
      </c>
      <c r="K1564" s="16" t="e">
        <f t="shared" si="3150"/>
        <v>#N/A</v>
      </c>
      <c r="L1564" s="40" t="e">
        <f t="shared" si="3025"/>
        <v>#N/A</v>
      </c>
      <c r="M1564" s="16" t="e">
        <f t="shared" si="3026"/>
        <v>#N/A</v>
      </c>
      <c r="N1564" s="16" t="e">
        <f t="shared" si="3027"/>
        <v>#N/A</v>
      </c>
      <c r="O1564" s="16" t="s">
        <v>69</v>
      </c>
      <c r="P1564" s="16" t="str">
        <f t="shared" si="6"/>
        <v/>
      </c>
      <c r="Q1564" s="41" t="e">
        <f t="shared" si="3028"/>
        <v>#N/A</v>
      </c>
      <c r="R1564" s="44"/>
      <c r="S1564" s="44"/>
      <c r="T1564" s="43"/>
      <c r="U1564" s="43" t="str">
        <f t="shared" si="8"/>
        <v>No</v>
      </c>
      <c r="V1564" s="25"/>
      <c r="W1564" s="25"/>
      <c r="X1564" s="25"/>
      <c r="Y1564" s="25"/>
      <c r="Z1564" s="25"/>
    </row>
    <row r="1565" spans="1:26" ht="15.75" customHeight="1" x14ac:dyDescent="0.25">
      <c r="A1565" s="25">
        <v>1563</v>
      </c>
      <c r="B1565" s="37" t="e">
        <f t="shared" ref="B1565:D1565" si="3151">VLOOKUP($A1565,'[5]Integración Social'!$A$1:$O$233,B$1,0)</f>
        <v>#N/A</v>
      </c>
      <c r="C1565" s="38" t="e">
        <f t="shared" si="3151"/>
        <v>#N/A</v>
      </c>
      <c r="D1565" s="39" t="e">
        <f t="shared" si="3151"/>
        <v>#N/A</v>
      </c>
      <c r="E1565" s="16" t="e">
        <f t="shared" si="1"/>
        <v>#N/A</v>
      </c>
      <c r="F1565" s="16" t="e">
        <f t="shared" ref="F1565:K1565" si="3152">VLOOKUP($A1565,'[5]Integración Social'!$A$1:$O$233,F$1,0)</f>
        <v>#N/A</v>
      </c>
      <c r="G1565" s="39" t="e">
        <f t="shared" si="3152"/>
        <v>#N/A</v>
      </c>
      <c r="H1565" s="16" t="e">
        <f t="shared" si="3152"/>
        <v>#N/A</v>
      </c>
      <c r="I1565" s="16" t="e">
        <f t="shared" si="3152"/>
        <v>#N/A</v>
      </c>
      <c r="J1565" s="40" t="e">
        <f t="shared" si="3152"/>
        <v>#N/A</v>
      </c>
      <c r="K1565" s="16" t="e">
        <f t="shared" si="3152"/>
        <v>#N/A</v>
      </c>
      <c r="L1565" s="40" t="e">
        <f t="shared" si="3025"/>
        <v>#N/A</v>
      </c>
      <c r="M1565" s="16" t="e">
        <f t="shared" si="3026"/>
        <v>#N/A</v>
      </c>
      <c r="N1565" s="16" t="e">
        <f t="shared" si="3027"/>
        <v>#N/A</v>
      </c>
      <c r="O1565" s="16" t="s">
        <v>69</v>
      </c>
      <c r="P1565" s="16" t="str">
        <f t="shared" si="6"/>
        <v/>
      </c>
      <c r="Q1565" s="41" t="e">
        <f t="shared" si="3028"/>
        <v>#N/A</v>
      </c>
      <c r="R1565" s="44"/>
      <c r="S1565" s="44"/>
      <c r="T1565" s="43"/>
      <c r="U1565" s="43" t="str">
        <f t="shared" si="8"/>
        <v>No</v>
      </c>
      <c r="V1565" s="25"/>
      <c r="W1565" s="25"/>
      <c r="X1565" s="25"/>
      <c r="Y1565" s="25"/>
      <c r="Z1565" s="25"/>
    </row>
    <row r="1566" spans="1:26" ht="15.75" customHeight="1" x14ac:dyDescent="0.25">
      <c r="A1566" s="25">
        <v>1564</v>
      </c>
      <c r="B1566" s="37" t="e">
        <f t="shared" ref="B1566:D1566" si="3153">VLOOKUP($A1566,'[5]Integración Social'!$A$1:$O$233,B$1,0)</f>
        <v>#N/A</v>
      </c>
      <c r="C1566" s="38" t="e">
        <f t="shared" si="3153"/>
        <v>#N/A</v>
      </c>
      <c r="D1566" s="39" t="e">
        <f t="shared" si="3153"/>
        <v>#N/A</v>
      </c>
      <c r="E1566" s="16" t="e">
        <f t="shared" si="1"/>
        <v>#N/A</v>
      </c>
      <c r="F1566" s="16" t="e">
        <f t="shared" ref="F1566:K1566" si="3154">VLOOKUP($A1566,'[5]Integración Social'!$A$1:$O$233,F$1,0)</f>
        <v>#N/A</v>
      </c>
      <c r="G1566" s="39" t="e">
        <f t="shared" si="3154"/>
        <v>#N/A</v>
      </c>
      <c r="H1566" s="16" t="e">
        <f t="shared" si="3154"/>
        <v>#N/A</v>
      </c>
      <c r="I1566" s="16" t="e">
        <f t="shared" si="3154"/>
        <v>#N/A</v>
      </c>
      <c r="J1566" s="40" t="e">
        <f t="shared" si="3154"/>
        <v>#N/A</v>
      </c>
      <c r="K1566" s="16" t="e">
        <f t="shared" si="3154"/>
        <v>#N/A</v>
      </c>
      <c r="L1566" s="40" t="e">
        <f t="shared" si="3025"/>
        <v>#N/A</v>
      </c>
      <c r="M1566" s="16" t="e">
        <f t="shared" si="3026"/>
        <v>#N/A</v>
      </c>
      <c r="N1566" s="16" t="e">
        <f t="shared" si="3027"/>
        <v>#N/A</v>
      </c>
      <c r="O1566" s="16" t="s">
        <v>69</v>
      </c>
      <c r="P1566" s="16" t="str">
        <f t="shared" si="6"/>
        <v/>
      </c>
      <c r="Q1566" s="41" t="e">
        <f t="shared" si="3028"/>
        <v>#N/A</v>
      </c>
      <c r="R1566" s="44"/>
      <c r="S1566" s="44"/>
      <c r="T1566" s="43"/>
      <c r="U1566" s="43" t="str">
        <f t="shared" si="8"/>
        <v>No</v>
      </c>
      <c r="V1566" s="25"/>
      <c r="W1566" s="25"/>
      <c r="X1566" s="25"/>
      <c r="Y1566" s="25"/>
      <c r="Z1566" s="25"/>
    </row>
    <row r="1567" spans="1:26" ht="15.75" customHeight="1" x14ac:dyDescent="0.25">
      <c r="A1567" s="25">
        <v>1565</v>
      </c>
      <c r="B1567" s="37" t="e">
        <f t="shared" ref="B1567:D1567" si="3155">VLOOKUP($A1567,'[5]Integración Social'!$A$1:$O$233,B$1,0)</f>
        <v>#N/A</v>
      </c>
      <c r="C1567" s="38" t="e">
        <f t="shared" si="3155"/>
        <v>#N/A</v>
      </c>
      <c r="D1567" s="39" t="e">
        <f t="shared" si="3155"/>
        <v>#N/A</v>
      </c>
      <c r="E1567" s="16" t="e">
        <f t="shared" si="1"/>
        <v>#N/A</v>
      </c>
      <c r="F1567" s="16" t="e">
        <f t="shared" ref="F1567:K1567" si="3156">VLOOKUP($A1567,'[5]Integración Social'!$A$1:$O$233,F$1,0)</f>
        <v>#N/A</v>
      </c>
      <c r="G1567" s="39" t="e">
        <f t="shared" si="3156"/>
        <v>#N/A</v>
      </c>
      <c r="H1567" s="16" t="e">
        <f t="shared" si="3156"/>
        <v>#N/A</v>
      </c>
      <c r="I1567" s="16" t="e">
        <f t="shared" si="3156"/>
        <v>#N/A</v>
      </c>
      <c r="J1567" s="40" t="e">
        <f t="shared" si="3156"/>
        <v>#N/A</v>
      </c>
      <c r="K1567" s="16" t="e">
        <f t="shared" si="3156"/>
        <v>#N/A</v>
      </c>
      <c r="L1567" s="40" t="e">
        <f t="shared" si="3025"/>
        <v>#N/A</v>
      </c>
      <c r="M1567" s="16" t="e">
        <f t="shared" si="3026"/>
        <v>#N/A</v>
      </c>
      <c r="N1567" s="16" t="e">
        <f t="shared" si="3027"/>
        <v>#N/A</v>
      </c>
      <c r="O1567" s="16" t="s">
        <v>69</v>
      </c>
      <c r="P1567" s="16" t="str">
        <f t="shared" si="6"/>
        <v/>
      </c>
      <c r="Q1567" s="41" t="e">
        <f t="shared" si="3028"/>
        <v>#N/A</v>
      </c>
      <c r="R1567" s="44"/>
      <c r="S1567" s="44"/>
      <c r="T1567" s="43"/>
      <c r="U1567" s="43" t="str">
        <f t="shared" si="8"/>
        <v>No</v>
      </c>
      <c r="V1567" s="25"/>
      <c r="W1567" s="25"/>
      <c r="X1567" s="25"/>
      <c r="Y1567" s="25"/>
      <c r="Z1567" s="25"/>
    </row>
    <row r="1568" spans="1:26" ht="15.75" customHeight="1" x14ac:dyDescent="0.25">
      <c r="A1568" s="25">
        <v>1566</v>
      </c>
      <c r="B1568" s="37" t="e">
        <f t="shared" ref="B1568:D1568" si="3157">VLOOKUP($A1568,'[5]Integración Social'!$A$1:$O$233,B$1,0)</f>
        <v>#N/A</v>
      </c>
      <c r="C1568" s="38" t="e">
        <f t="shared" si="3157"/>
        <v>#N/A</v>
      </c>
      <c r="D1568" s="39" t="e">
        <f t="shared" si="3157"/>
        <v>#N/A</v>
      </c>
      <c r="E1568" s="16" t="e">
        <f t="shared" si="1"/>
        <v>#N/A</v>
      </c>
      <c r="F1568" s="16" t="e">
        <f t="shared" ref="F1568:K1568" si="3158">VLOOKUP($A1568,'[5]Integración Social'!$A$1:$O$233,F$1,0)</f>
        <v>#N/A</v>
      </c>
      <c r="G1568" s="39" t="e">
        <f t="shared" si="3158"/>
        <v>#N/A</v>
      </c>
      <c r="H1568" s="16" t="e">
        <f t="shared" si="3158"/>
        <v>#N/A</v>
      </c>
      <c r="I1568" s="16" t="e">
        <f t="shared" si="3158"/>
        <v>#N/A</v>
      </c>
      <c r="J1568" s="40" t="e">
        <f t="shared" si="3158"/>
        <v>#N/A</v>
      </c>
      <c r="K1568" s="16" t="e">
        <f t="shared" si="3158"/>
        <v>#N/A</v>
      </c>
      <c r="L1568" s="40" t="e">
        <f t="shared" si="3025"/>
        <v>#N/A</v>
      </c>
      <c r="M1568" s="16" t="e">
        <f t="shared" si="3026"/>
        <v>#N/A</v>
      </c>
      <c r="N1568" s="16" t="e">
        <f t="shared" si="3027"/>
        <v>#N/A</v>
      </c>
      <c r="O1568" s="16" t="s">
        <v>69</v>
      </c>
      <c r="P1568" s="16" t="str">
        <f t="shared" si="6"/>
        <v/>
      </c>
      <c r="Q1568" s="41" t="e">
        <f t="shared" si="3028"/>
        <v>#N/A</v>
      </c>
      <c r="R1568" s="44"/>
      <c r="S1568" s="44"/>
      <c r="T1568" s="43"/>
      <c r="U1568" s="43" t="str">
        <f t="shared" si="8"/>
        <v>No</v>
      </c>
      <c r="V1568" s="25"/>
      <c r="W1568" s="25"/>
      <c r="X1568" s="25"/>
      <c r="Y1568" s="25"/>
      <c r="Z1568" s="25"/>
    </row>
    <row r="1569" spans="1:26" ht="15.75" customHeight="1" x14ac:dyDescent="0.25">
      <c r="A1569" s="25">
        <v>1567</v>
      </c>
      <c r="B1569" s="37" t="e">
        <f t="shared" ref="B1569:D1569" si="3159">VLOOKUP($A1569,'[5]Integración Social'!$A$1:$O$233,B$1,0)</f>
        <v>#N/A</v>
      </c>
      <c r="C1569" s="38" t="e">
        <f t="shared" si="3159"/>
        <v>#N/A</v>
      </c>
      <c r="D1569" s="39" t="e">
        <f t="shared" si="3159"/>
        <v>#N/A</v>
      </c>
      <c r="E1569" s="16" t="e">
        <f t="shared" si="1"/>
        <v>#N/A</v>
      </c>
      <c r="F1569" s="16" t="e">
        <f t="shared" ref="F1569:K1569" si="3160">VLOOKUP($A1569,'[5]Integración Social'!$A$1:$O$233,F$1,0)</f>
        <v>#N/A</v>
      </c>
      <c r="G1569" s="39" t="e">
        <f t="shared" si="3160"/>
        <v>#N/A</v>
      </c>
      <c r="H1569" s="16" t="e">
        <f t="shared" si="3160"/>
        <v>#N/A</v>
      </c>
      <c r="I1569" s="16" t="e">
        <f t="shared" si="3160"/>
        <v>#N/A</v>
      </c>
      <c r="J1569" s="40" t="e">
        <f t="shared" si="3160"/>
        <v>#N/A</v>
      </c>
      <c r="K1569" s="16" t="e">
        <f t="shared" si="3160"/>
        <v>#N/A</v>
      </c>
      <c r="L1569" s="40" t="e">
        <f t="shared" si="3025"/>
        <v>#N/A</v>
      </c>
      <c r="M1569" s="16" t="e">
        <f t="shared" si="3026"/>
        <v>#N/A</v>
      </c>
      <c r="N1569" s="16" t="e">
        <f t="shared" si="3027"/>
        <v>#N/A</v>
      </c>
      <c r="O1569" s="16" t="s">
        <v>69</v>
      </c>
      <c r="P1569" s="16" t="str">
        <f t="shared" si="6"/>
        <v/>
      </c>
      <c r="Q1569" s="41" t="e">
        <f t="shared" si="3028"/>
        <v>#N/A</v>
      </c>
      <c r="R1569" s="44"/>
      <c r="S1569" s="44"/>
      <c r="T1569" s="43"/>
      <c r="U1569" s="43" t="str">
        <f t="shared" si="8"/>
        <v>No</v>
      </c>
      <c r="V1569" s="25"/>
      <c r="W1569" s="25"/>
      <c r="X1569" s="25"/>
      <c r="Y1569" s="25"/>
      <c r="Z1569" s="25"/>
    </row>
    <row r="1570" spans="1:26" ht="15.75" customHeight="1" x14ac:dyDescent="0.25">
      <c r="A1570" s="25">
        <v>1568</v>
      </c>
      <c r="B1570" s="37" t="e">
        <f t="shared" ref="B1570:D1570" si="3161">VLOOKUP($A1570,'[5]Integración Social'!$A$1:$O$233,B$1,0)</f>
        <v>#N/A</v>
      </c>
      <c r="C1570" s="38" t="e">
        <f t="shared" si="3161"/>
        <v>#N/A</v>
      </c>
      <c r="D1570" s="39" t="e">
        <f t="shared" si="3161"/>
        <v>#N/A</v>
      </c>
      <c r="E1570" s="16" t="e">
        <f t="shared" si="1"/>
        <v>#N/A</v>
      </c>
      <c r="F1570" s="16" t="e">
        <f t="shared" ref="F1570:K1570" si="3162">VLOOKUP($A1570,'[5]Integración Social'!$A$1:$O$233,F$1,0)</f>
        <v>#N/A</v>
      </c>
      <c r="G1570" s="39" t="e">
        <f t="shared" si="3162"/>
        <v>#N/A</v>
      </c>
      <c r="H1570" s="16" t="e">
        <f t="shared" si="3162"/>
        <v>#N/A</v>
      </c>
      <c r="I1570" s="16" t="e">
        <f t="shared" si="3162"/>
        <v>#N/A</v>
      </c>
      <c r="J1570" s="40" t="e">
        <f t="shared" si="3162"/>
        <v>#N/A</v>
      </c>
      <c r="K1570" s="16" t="e">
        <f t="shared" si="3162"/>
        <v>#N/A</v>
      </c>
      <c r="L1570" s="40" t="e">
        <f t="shared" si="3025"/>
        <v>#N/A</v>
      </c>
      <c r="M1570" s="16" t="e">
        <f t="shared" si="3026"/>
        <v>#N/A</v>
      </c>
      <c r="N1570" s="16" t="e">
        <f t="shared" si="3027"/>
        <v>#N/A</v>
      </c>
      <c r="O1570" s="16" t="s">
        <v>69</v>
      </c>
      <c r="P1570" s="16" t="str">
        <f t="shared" si="6"/>
        <v/>
      </c>
      <c r="Q1570" s="41" t="e">
        <f t="shared" si="3028"/>
        <v>#N/A</v>
      </c>
      <c r="R1570" s="44"/>
      <c r="S1570" s="44"/>
      <c r="T1570" s="43"/>
      <c r="U1570" s="43" t="str">
        <f t="shared" si="8"/>
        <v>No</v>
      </c>
      <c r="V1570" s="25"/>
      <c r="W1570" s="25"/>
      <c r="X1570" s="25"/>
      <c r="Y1570" s="25"/>
      <c r="Z1570" s="25"/>
    </row>
    <row r="1571" spans="1:26" ht="15.75" customHeight="1" x14ac:dyDescent="0.25">
      <c r="A1571" s="25">
        <v>1569</v>
      </c>
      <c r="B1571" s="37" t="e">
        <f t="shared" ref="B1571:D1571" si="3163">VLOOKUP($A1571,'[5]Integración Social'!$A$1:$O$233,B$1,0)</f>
        <v>#N/A</v>
      </c>
      <c r="C1571" s="38" t="e">
        <f t="shared" si="3163"/>
        <v>#N/A</v>
      </c>
      <c r="D1571" s="39" t="e">
        <f t="shared" si="3163"/>
        <v>#N/A</v>
      </c>
      <c r="E1571" s="16" t="e">
        <f t="shared" si="1"/>
        <v>#N/A</v>
      </c>
      <c r="F1571" s="16" t="e">
        <f t="shared" ref="F1571:K1571" si="3164">VLOOKUP($A1571,'[5]Integración Social'!$A$1:$O$233,F$1,0)</f>
        <v>#N/A</v>
      </c>
      <c r="G1571" s="39" t="e">
        <f t="shared" si="3164"/>
        <v>#N/A</v>
      </c>
      <c r="H1571" s="16" t="e">
        <f t="shared" si="3164"/>
        <v>#N/A</v>
      </c>
      <c r="I1571" s="16" t="e">
        <f t="shared" si="3164"/>
        <v>#N/A</v>
      </c>
      <c r="J1571" s="40" t="e">
        <f t="shared" si="3164"/>
        <v>#N/A</v>
      </c>
      <c r="K1571" s="16" t="e">
        <f t="shared" si="3164"/>
        <v>#N/A</v>
      </c>
      <c r="L1571" s="40" t="e">
        <f t="shared" si="3025"/>
        <v>#N/A</v>
      </c>
      <c r="M1571" s="16" t="e">
        <f t="shared" si="3026"/>
        <v>#N/A</v>
      </c>
      <c r="N1571" s="16" t="e">
        <f t="shared" si="3027"/>
        <v>#N/A</v>
      </c>
      <c r="O1571" s="16" t="s">
        <v>69</v>
      </c>
      <c r="P1571" s="16" t="str">
        <f t="shared" si="6"/>
        <v/>
      </c>
      <c r="Q1571" s="41" t="e">
        <f t="shared" si="3028"/>
        <v>#N/A</v>
      </c>
      <c r="R1571" s="44"/>
      <c r="S1571" s="44"/>
      <c r="T1571" s="43"/>
      <c r="U1571" s="43" t="str">
        <f t="shared" si="8"/>
        <v>No</v>
      </c>
      <c r="V1571" s="25"/>
      <c r="W1571" s="25"/>
      <c r="X1571" s="25"/>
      <c r="Y1571" s="25"/>
      <c r="Z1571" s="25"/>
    </row>
    <row r="1572" spans="1:26" ht="15.75" customHeight="1" x14ac:dyDescent="0.25">
      <c r="A1572" s="25">
        <v>1570</v>
      </c>
      <c r="B1572" s="37" t="e">
        <f t="shared" ref="B1572:D1572" si="3165">VLOOKUP($A1572,'[5]Integración Social'!$A$1:$O$233,B$1,0)</f>
        <v>#N/A</v>
      </c>
      <c r="C1572" s="38" t="e">
        <f t="shared" si="3165"/>
        <v>#N/A</v>
      </c>
      <c r="D1572" s="39" t="e">
        <f t="shared" si="3165"/>
        <v>#N/A</v>
      </c>
      <c r="E1572" s="16" t="e">
        <f t="shared" si="1"/>
        <v>#N/A</v>
      </c>
      <c r="F1572" s="16" t="e">
        <f t="shared" ref="F1572:K1572" si="3166">VLOOKUP($A1572,'[5]Integración Social'!$A$1:$O$233,F$1,0)</f>
        <v>#N/A</v>
      </c>
      <c r="G1572" s="39" t="e">
        <f t="shared" si="3166"/>
        <v>#N/A</v>
      </c>
      <c r="H1572" s="16" t="e">
        <f t="shared" si="3166"/>
        <v>#N/A</v>
      </c>
      <c r="I1572" s="16" t="e">
        <f t="shared" si="3166"/>
        <v>#N/A</v>
      </c>
      <c r="J1572" s="40" t="e">
        <f t="shared" si="3166"/>
        <v>#N/A</v>
      </c>
      <c r="K1572" s="16" t="e">
        <f t="shared" si="3166"/>
        <v>#N/A</v>
      </c>
      <c r="L1572" s="40" t="e">
        <f t="shared" si="3025"/>
        <v>#N/A</v>
      </c>
      <c r="M1572" s="16" t="e">
        <f t="shared" si="3026"/>
        <v>#N/A</v>
      </c>
      <c r="N1572" s="16" t="e">
        <f t="shared" si="3027"/>
        <v>#N/A</v>
      </c>
      <c r="O1572" s="16" t="s">
        <v>69</v>
      </c>
      <c r="P1572" s="16" t="str">
        <f t="shared" si="6"/>
        <v/>
      </c>
      <c r="Q1572" s="41" t="e">
        <f t="shared" si="3028"/>
        <v>#N/A</v>
      </c>
      <c r="R1572" s="44"/>
      <c r="S1572" s="44"/>
      <c r="T1572" s="43"/>
      <c r="U1572" s="43" t="str">
        <f t="shared" si="8"/>
        <v>No</v>
      </c>
      <c r="V1572" s="25"/>
      <c r="W1572" s="25"/>
      <c r="X1572" s="25"/>
      <c r="Y1572" s="25"/>
      <c r="Z1572" s="25"/>
    </row>
    <row r="1573" spans="1:26" ht="15.75" customHeight="1" x14ac:dyDescent="0.25">
      <c r="A1573" s="25">
        <v>1571</v>
      </c>
      <c r="B1573" s="37" t="e">
        <f t="shared" ref="B1573:D1573" si="3167">VLOOKUP($A1573,'[5]Integración Social'!$A$1:$O$233,B$1,0)</f>
        <v>#N/A</v>
      </c>
      <c r="C1573" s="38" t="e">
        <f t="shared" si="3167"/>
        <v>#N/A</v>
      </c>
      <c r="D1573" s="39" t="e">
        <f t="shared" si="3167"/>
        <v>#N/A</v>
      </c>
      <c r="E1573" s="16" t="e">
        <f t="shared" si="1"/>
        <v>#N/A</v>
      </c>
      <c r="F1573" s="16" t="e">
        <f t="shared" ref="F1573:K1573" si="3168">VLOOKUP($A1573,'[5]Integración Social'!$A$1:$O$233,F$1,0)</f>
        <v>#N/A</v>
      </c>
      <c r="G1573" s="39" t="e">
        <f t="shared" si="3168"/>
        <v>#N/A</v>
      </c>
      <c r="H1573" s="16" t="e">
        <f t="shared" si="3168"/>
        <v>#N/A</v>
      </c>
      <c r="I1573" s="16" t="e">
        <f t="shared" si="3168"/>
        <v>#N/A</v>
      </c>
      <c r="J1573" s="40" t="e">
        <f t="shared" si="3168"/>
        <v>#N/A</v>
      </c>
      <c r="K1573" s="16" t="e">
        <f t="shared" si="3168"/>
        <v>#N/A</v>
      </c>
      <c r="L1573" s="40" t="e">
        <f t="shared" si="3025"/>
        <v>#N/A</v>
      </c>
      <c r="M1573" s="16" t="e">
        <f t="shared" si="3026"/>
        <v>#N/A</v>
      </c>
      <c r="N1573" s="16" t="e">
        <f t="shared" si="3027"/>
        <v>#N/A</v>
      </c>
      <c r="O1573" s="16" t="s">
        <v>69</v>
      </c>
      <c r="P1573" s="16" t="str">
        <f t="shared" si="6"/>
        <v/>
      </c>
      <c r="Q1573" s="41" t="e">
        <f t="shared" si="3028"/>
        <v>#N/A</v>
      </c>
      <c r="R1573" s="44"/>
      <c r="S1573" s="44"/>
      <c r="T1573" s="43"/>
      <c r="U1573" s="43" t="str">
        <f t="shared" si="8"/>
        <v>No</v>
      </c>
      <c r="V1573" s="25"/>
      <c r="W1573" s="25"/>
      <c r="X1573" s="25"/>
      <c r="Y1573" s="25"/>
      <c r="Z1573" s="25"/>
    </row>
    <row r="1574" spans="1:26" ht="15.75" customHeight="1" x14ac:dyDescent="0.25">
      <c r="A1574" s="25">
        <v>1572</v>
      </c>
      <c r="B1574" s="37" t="e">
        <f t="shared" ref="B1574:D1574" si="3169">VLOOKUP($A1574,'[5]Integración Social'!$A$1:$O$233,B$1,0)</f>
        <v>#N/A</v>
      </c>
      <c r="C1574" s="38" t="e">
        <f t="shared" si="3169"/>
        <v>#N/A</v>
      </c>
      <c r="D1574" s="39" t="e">
        <f t="shared" si="3169"/>
        <v>#N/A</v>
      </c>
      <c r="E1574" s="16" t="e">
        <f t="shared" si="1"/>
        <v>#N/A</v>
      </c>
      <c r="F1574" s="16" t="e">
        <f t="shared" ref="F1574:K1574" si="3170">VLOOKUP($A1574,'[5]Integración Social'!$A$1:$O$233,F$1,0)</f>
        <v>#N/A</v>
      </c>
      <c r="G1574" s="39" t="e">
        <f t="shared" si="3170"/>
        <v>#N/A</v>
      </c>
      <c r="H1574" s="16" t="e">
        <f t="shared" si="3170"/>
        <v>#N/A</v>
      </c>
      <c r="I1574" s="16" t="e">
        <f t="shared" si="3170"/>
        <v>#N/A</v>
      </c>
      <c r="J1574" s="40" t="e">
        <f t="shared" si="3170"/>
        <v>#N/A</v>
      </c>
      <c r="K1574" s="16" t="e">
        <f t="shared" si="3170"/>
        <v>#N/A</v>
      </c>
      <c r="L1574" s="40" t="e">
        <f t="shared" si="3025"/>
        <v>#N/A</v>
      </c>
      <c r="M1574" s="16" t="e">
        <f t="shared" si="3026"/>
        <v>#N/A</v>
      </c>
      <c r="N1574" s="16" t="e">
        <f t="shared" si="3027"/>
        <v>#N/A</v>
      </c>
      <c r="O1574" s="16" t="s">
        <v>69</v>
      </c>
      <c r="P1574" s="16" t="str">
        <f t="shared" si="6"/>
        <v/>
      </c>
      <c r="Q1574" s="41" t="e">
        <f t="shared" si="3028"/>
        <v>#N/A</v>
      </c>
      <c r="R1574" s="44"/>
      <c r="S1574" s="44"/>
      <c r="T1574" s="43"/>
      <c r="U1574" s="43" t="str">
        <f t="shared" si="8"/>
        <v>No</v>
      </c>
      <c r="V1574" s="25"/>
      <c r="W1574" s="25"/>
      <c r="X1574" s="25"/>
      <c r="Y1574" s="25"/>
      <c r="Z1574" s="25"/>
    </row>
    <row r="1575" spans="1:26" ht="15.75" customHeight="1" x14ac:dyDescent="0.25">
      <c r="A1575" s="25">
        <v>1573</v>
      </c>
      <c r="B1575" s="37" t="e">
        <f t="shared" ref="B1575:D1575" si="3171">VLOOKUP($A1575,'[5]Integración Social'!$A$1:$O$233,B$1,0)</f>
        <v>#N/A</v>
      </c>
      <c r="C1575" s="38" t="e">
        <f t="shared" si="3171"/>
        <v>#N/A</v>
      </c>
      <c r="D1575" s="39" t="e">
        <f t="shared" si="3171"/>
        <v>#N/A</v>
      </c>
      <c r="E1575" s="16" t="e">
        <f t="shared" si="1"/>
        <v>#N/A</v>
      </c>
      <c r="F1575" s="16" t="e">
        <f t="shared" ref="F1575:K1575" si="3172">VLOOKUP($A1575,'[5]Integración Social'!$A$1:$O$233,F$1,0)</f>
        <v>#N/A</v>
      </c>
      <c r="G1575" s="39" t="e">
        <f t="shared" si="3172"/>
        <v>#N/A</v>
      </c>
      <c r="H1575" s="16" t="e">
        <f t="shared" si="3172"/>
        <v>#N/A</v>
      </c>
      <c r="I1575" s="16" t="e">
        <f t="shared" si="3172"/>
        <v>#N/A</v>
      </c>
      <c r="J1575" s="40" t="e">
        <f t="shared" si="3172"/>
        <v>#N/A</v>
      </c>
      <c r="K1575" s="16" t="e">
        <f t="shared" si="3172"/>
        <v>#N/A</v>
      </c>
      <c r="L1575" s="40" t="e">
        <f t="shared" si="3025"/>
        <v>#N/A</v>
      </c>
      <c r="M1575" s="16" t="e">
        <f t="shared" si="3026"/>
        <v>#N/A</v>
      </c>
      <c r="N1575" s="16" t="e">
        <f t="shared" si="3027"/>
        <v>#N/A</v>
      </c>
      <c r="O1575" s="16" t="s">
        <v>69</v>
      </c>
      <c r="P1575" s="16" t="str">
        <f t="shared" si="6"/>
        <v/>
      </c>
      <c r="Q1575" s="41" t="e">
        <f t="shared" si="3028"/>
        <v>#N/A</v>
      </c>
      <c r="R1575" s="44"/>
      <c r="S1575" s="44"/>
      <c r="T1575" s="43"/>
      <c r="U1575" s="43" t="str">
        <f t="shared" si="8"/>
        <v>No</v>
      </c>
      <c r="V1575" s="25"/>
      <c r="W1575" s="25"/>
      <c r="X1575" s="25"/>
      <c r="Y1575" s="25"/>
      <c r="Z1575" s="25"/>
    </row>
    <row r="1576" spans="1:26" ht="15.75" customHeight="1" x14ac:dyDescent="0.25">
      <c r="A1576" s="25">
        <v>1574</v>
      </c>
      <c r="B1576" s="37" t="e">
        <f t="shared" ref="B1576:D1576" si="3173">VLOOKUP($A1576,'[5]Integración Social'!$A$1:$O$233,B$1,0)</f>
        <v>#N/A</v>
      </c>
      <c r="C1576" s="38" t="e">
        <f t="shared" si="3173"/>
        <v>#N/A</v>
      </c>
      <c r="D1576" s="39" t="e">
        <f t="shared" si="3173"/>
        <v>#N/A</v>
      </c>
      <c r="E1576" s="16" t="e">
        <f t="shared" si="1"/>
        <v>#N/A</v>
      </c>
      <c r="F1576" s="16" t="e">
        <f t="shared" ref="F1576:K1576" si="3174">VLOOKUP($A1576,'[5]Integración Social'!$A$1:$O$233,F$1,0)</f>
        <v>#N/A</v>
      </c>
      <c r="G1576" s="39" t="e">
        <f t="shared" si="3174"/>
        <v>#N/A</v>
      </c>
      <c r="H1576" s="16" t="e">
        <f t="shared" si="3174"/>
        <v>#N/A</v>
      </c>
      <c r="I1576" s="16" t="e">
        <f t="shared" si="3174"/>
        <v>#N/A</v>
      </c>
      <c r="J1576" s="40" t="e">
        <f t="shared" si="3174"/>
        <v>#N/A</v>
      </c>
      <c r="K1576" s="16" t="e">
        <f t="shared" si="3174"/>
        <v>#N/A</v>
      </c>
      <c r="L1576" s="40" t="e">
        <f t="shared" si="3025"/>
        <v>#N/A</v>
      </c>
      <c r="M1576" s="16" t="e">
        <f t="shared" si="3026"/>
        <v>#N/A</v>
      </c>
      <c r="N1576" s="16" t="e">
        <f t="shared" si="3027"/>
        <v>#N/A</v>
      </c>
      <c r="O1576" s="16" t="s">
        <v>69</v>
      </c>
      <c r="P1576" s="16" t="str">
        <f t="shared" si="6"/>
        <v/>
      </c>
      <c r="Q1576" s="41" t="e">
        <f t="shared" si="3028"/>
        <v>#N/A</v>
      </c>
      <c r="R1576" s="44"/>
      <c r="S1576" s="44"/>
      <c r="T1576" s="43"/>
      <c r="U1576" s="43" t="str">
        <f t="shared" si="8"/>
        <v>No</v>
      </c>
      <c r="V1576" s="25"/>
      <c r="W1576" s="25"/>
      <c r="X1576" s="25"/>
      <c r="Y1576" s="25"/>
      <c r="Z1576" s="25"/>
    </row>
    <row r="1577" spans="1:26" ht="15.75" customHeight="1" x14ac:dyDescent="0.25">
      <c r="A1577" s="25">
        <v>1575</v>
      </c>
      <c r="B1577" s="37" t="e">
        <f t="shared" ref="B1577:D1577" si="3175">VLOOKUP($A1577,'[5]Integración Social'!$A$1:$O$233,B$1,0)</f>
        <v>#N/A</v>
      </c>
      <c r="C1577" s="38" t="e">
        <f t="shared" si="3175"/>
        <v>#N/A</v>
      </c>
      <c r="D1577" s="39" t="e">
        <f t="shared" si="3175"/>
        <v>#N/A</v>
      </c>
      <c r="E1577" s="16" t="e">
        <f t="shared" si="1"/>
        <v>#N/A</v>
      </c>
      <c r="F1577" s="16" t="e">
        <f t="shared" ref="F1577:K1577" si="3176">VLOOKUP($A1577,'[5]Integración Social'!$A$1:$O$233,F$1,0)</f>
        <v>#N/A</v>
      </c>
      <c r="G1577" s="39" t="e">
        <f t="shared" si="3176"/>
        <v>#N/A</v>
      </c>
      <c r="H1577" s="16" t="e">
        <f t="shared" si="3176"/>
        <v>#N/A</v>
      </c>
      <c r="I1577" s="16" t="e">
        <f t="shared" si="3176"/>
        <v>#N/A</v>
      </c>
      <c r="J1577" s="40" t="e">
        <f t="shared" si="3176"/>
        <v>#N/A</v>
      </c>
      <c r="K1577" s="16" t="e">
        <f t="shared" si="3176"/>
        <v>#N/A</v>
      </c>
      <c r="L1577" s="40" t="e">
        <f t="shared" si="3025"/>
        <v>#N/A</v>
      </c>
      <c r="M1577" s="16" t="e">
        <f t="shared" si="3026"/>
        <v>#N/A</v>
      </c>
      <c r="N1577" s="16" t="e">
        <f t="shared" si="3027"/>
        <v>#N/A</v>
      </c>
      <c r="O1577" s="16" t="s">
        <v>69</v>
      </c>
      <c r="P1577" s="16" t="str">
        <f t="shared" si="6"/>
        <v/>
      </c>
      <c r="Q1577" s="41" t="e">
        <f t="shared" si="3028"/>
        <v>#N/A</v>
      </c>
      <c r="R1577" s="44"/>
      <c r="S1577" s="44"/>
      <c r="T1577" s="43"/>
      <c r="U1577" s="43" t="str">
        <f t="shared" si="8"/>
        <v>No</v>
      </c>
      <c r="V1577" s="25"/>
      <c r="W1577" s="25"/>
      <c r="X1577" s="25"/>
      <c r="Y1577" s="25"/>
      <c r="Z1577" s="25"/>
    </row>
    <row r="1578" spans="1:26" ht="15.75" customHeight="1" x14ac:dyDescent="0.25">
      <c r="A1578" s="25">
        <v>1576</v>
      </c>
      <c r="B1578" s="37" t="e">
        <f t="shared" ref="B1578:D1578" si="3177">VLOOKUP($A1578,'[5]Integración Social'!$A$1:$O$233,B$1,0)</f>
        <v>#N/A</v>
      </c>
      <c r="C1578" s="38" t="e">
        <f t="shared" si="3177"/>
        <v>#N/A</v>
      </c>
      <c r="D1578" s="39" t="e">
        <f t="shared" si="3177"/>
        <v>#N/A</v>
      </c>
      <c r="E1578" s="16" t="e">
        <f t="shared" si="1"/>
        <v>#N/A</v>
      </c>
      <c r="F1578" s="16" t="e">
        <f t="shared" ref="F1578:K1578" si="3178">VLOOKUP($A1578,'[5]Integración Social'!$A$1:$O$233,F$1,0)</f>
        <v>#N/A</v>
      </c>
      <c r="G1578" s="39" t="e">
        <f t="shared" si="3178"/>
        <v>#N/A</v>
      </c>
      <c r="H1578" s="16" t="e">
        <f t="shared" si="3178"/>
        <v>#N/A</v>
      </c>
      <c r="I1578" s="16" t="e">
        <f t="shared" si="3178"/>
        <v>#N/A</v>
      </c>
      <c r="J1578" s="40" t="e">
        <f t="shared" si="3178"/>
        <v>#N/A</v>
      </c>
      <c r="K1578" s="16" t="e">
        <f t="shared" si="3178"/>
        <v>#N/A</v>
      </c>
      <c r="L1578" s="40" t="e">
        <f t="shared" si="3025"/>
        <v>#N/A</v>
      </c>
      <c r="M1578" s="16" t="e">
        <f t="shared" si="3026"/>
        <v>#N/A</v>
      </c>
      <c r="N1578" s="16" t="e">
        <f t="shared" si="3027"/>
        <v>#N/A</v>
      </c>
      <c r="O1578" s="16" t="s">
        <v>69</v>
      </c>
      <c r="P1578" s="16" t="str">
        <f t="shared" si="6"/>
        <v/>
      </c>
      <c r="Q1578" s="41" t="e">
        <f t="shared" si="3028"/>
        <v>#N/A</v>
      </c>
      <c r="R1578" s="44"/>
      <c r="S1578" s="44"/>
      <c r="T1578" s="43"/>
      <c r="U1578" s="43" t="str">
        <f t="shared" si="8"/>
        <v>No</v>
      </c>
      <c r="V1578" s="25"/>
      <c r="W1578" s="25"/>
      <c r="X1578" s="25"/>
      <c r="Y1578" s="25"/>
      <c r="Z1578" s="25"/>
    </row>
    <row r="1579" spans="1:26" ht="15.75" customHeight="1" x14ac:dyDescent="0.25">
      <c r="A1579" s="25">
        <v>1577</v>
      </c>
      <c r="B1579" s="37" t="e">
        <f t="shared" ref="B1579:D1579" si="3179">VLOOKUP($A1579,'[5]Integración Social'!$A$1:$O$233,B$1,0)</f>
        <v>#N/A</v>
      </c>
      <c r="C1579" s="38" t="e">
        <f t="shared" si="3179"/>
        <v>#N/A</v>
      </c>
      <c r="D1579" s="39" t="e">
        <f t="shared" si="3179"/>
        <v>#N/A</v>
      </c>
      <c r="E1579" s="16" t="e">
        <f t="shared" si="1"/>
        <v>#N/A</v>
      </c>
      <c r="F1579" s="16" t="e">
        <f t="shared" ref="F1579:K1579" si="3180">VLOOKUP($A1579,'[5]Integración Social'!$A$1:$O$233,F$1,0)</f>
        <v>#N/A</v>
      </c>
      <c r="G1579" s="39" t="e">
        <f t="shared" si="3180"/>
        <v>#N/A</v>
      </c>
      <c r="H1579" s="16" t="e">
        <f t="shared" si="3180"/>
        <v>#N/A</v>
      </c>
      <c r="I1579" s="16" t="e">
        <f t="shared" si="3180"/>
        <v>#N/A</v>
      </c>
      <c r="J1579" s="40" t="e">
        <f t="shared" si="3180"/>
        <v>#N/A</v>
      </c>
      <c r="K1579" s="16" t="e">
        <f t="shared" si="3180"/>
        <v>#N/A</v>
      </c>
      <c r="L1579" s="40" t="e">
        <f t="shared" si="3025"/>
        <v>#N/A</v>
      </c>
      <c r="M1579" s="16" t="e">
        <f t="shared" si="3026"/>
        <v>#N/A</v>
      </c>
      <c r="N1579" s="16" t="e">
        <f t="shared" si="3027"/>
        <v>#N/A</v>
      </c>
      <c r="O1579" s="16" t="s">
        <v>69</v>
      </c>
      <c r="P1579" s="16" t="str">
        <f t="shared" si="6"/>
        <v/>
      </c>
      <c r="Q1579" s="41" t="e">
        <f t="shared" si="3028"/>
        <v>#N/A</v>
      </c>
      <c r="R1579" s="44"/>
      <c r="S1579" s="44"/>
      <c r="T1579" s="43"/>
      <c r="U1579" s="43" t="str">
        <f t="shared" si="8"/>
        <v>No</v>
      </c>
      <c r="V1579" s="25"/>
      <c r="W1579" s="25"/>
      <c r="X1579" s="25"/>
      <c r="Y1579" s="25"/>
      <c r="Z1579" s="25"/>
    </row>
    <row r="1580" spans="1:26" ht="15.75" customHeight="1" x14ac:dyDescent="0.25">
      <c r="A1580" s="25">
        <v>1578</v>
      </c>
      <c r="B1580" s="37" t="e">
        <f t="shared" ref="B1580:D1580" si="3181">VLOOKUP($A1580,'[5]Integración Social'!$A$1:$O$233,B$1,0)</f>
        <v>#N/A</v>
      </c>
      <c r="C1580" s="38" t="e">
        <f t="shared" si="3181"/>
        <v>#N/A</v>
      </c>
      <c r="D1580" s="39" t="e">
        <f t="shared" si="3181"/>
        <v>#N/A</v>
      </c>
      <c r="E1580" s="16" t="e">
        <f t="shared" si="1"/>
        <v>#N/A</v>
      </c>
      <c r="F1580" s="16" t="e">
        <f t="shared" ref="F1580:K1580" si="3182">VLOOKUP($A1580,'[5]Integración Social'!$A$1:$O$233,F$1,0)</f>
        <v>#N/A</v>
      </c>
      <c r="G1580" s="39" t="e">
        <f t="shared" si="3182"/>
        <v>#N/A</v>
      </c>
      <c r="H1580" s="16" t="e">
        <f t="shared" si="3182"/>
        <v>#N/A</v>
      </c>
      <c r="I1580" s="16" t="e">
        <f t="shared" si="3182"/>
        <v>#N/A</v>
      </c>
      <c r="J1580" s="40" t="e">
        <f t="shared" si="3182"/>
        <v>#N/A</v>
      </c>
      <c r="K1580" s="16" t="e">
        <f t="shared" si="3182"/>
        <v>#N/A</v>
      </c>
      <c r="L1580" s="40" t="e">
        <f t="shared" si="3025"/>
        <v>#N/A</v>
      </c>
      <c r="M1580" s="16" t="e">
        <f t="shared" si="3026"/>
        <v>#N/A</v>
      </c>
      <c r="N1580" s="16" t="e">
        <f t="shared" si="3027"/>
        <v>#N/A</v>
      </c>
      <c r="O1580" s="16" t="s">
        <v>69</v>
      </c>
      <c r="P1580" s="16" t="str">
        <f t="shared" si="6"/>
        <v/>
      </c>
      <c r="Q1580" s="41" t="e">
        <f t="shared" si="3028"/>
        <v>#N/A</v>
      </c>
      <c r="R1580" s="44"/>
      <c r="S1580" s="44"/>
      <c r="T1580" s="43"/>
      <c r="U1580" s="43" t="str">
        <f t="shared" si="8"/>
        <v>No</v>
      </c>
      <c r="V1580" s="25"/>
      <c r="W1580" s="25"/>
      <c r="X1580" s="25"/>
      <c r="Y1580" s="25"/>
      <c r="Z1580" s="25"/>
    </row>
    <row r="1581" spans="1:26" ht="15.75" customHeight="1" x14ac:dyDescent="0.25">
      <c r="A1581" s="25">
        <v>1579</v>
      </c>
      <c r="B1581" s="37" t="e">
        <f t="shared" ref="B1581:D1581" si="3183">VLOOKUP($A1581,'[5]Integración Social'!$A$1:$O$233,B$1,0)</f>
        <v>#N/A</v>
      </c>
      <c r="C1581" s="38" t="e">
        <f t="shared" si="3183"/>
        <v>#N/A</v>
      </c>
      <c r="D1581" s="39" t="e">
        <f t="shared" si="3183"/>
        <v>#N/A</v>
      </c>
      <c r="E1581" s="16" t="e">
        <f t="shared" si="1"/>
        <v>#N/A</v>
      </c>
      <c r="F1581" s="16" t="e">
        <f t="shared" ref="F1581:K1581" si="3184">VLOOKUP($A1581,'[5]Integración Social'!$A$1:$O$233,F$1,0)</f>
        <v>#N/A</v>
      </c>
      <c r="G1581" s="39" t="e">
        <f t="shared" si="3184"/>
        <v>#N/A</v>
      </c>
      <c r="H1581" s="16" t="e">
        <f t="shared" si="3184"/>
        <v>#N/A</v>
      </c>
      <c r="I1581" s="16" t="e">
        <f t="shared" si="3184"/>
        <v>#N/A</v>
      </c>
      <c r="J1581" s="40" t="e">
        <f t="shared" si="3184"/>
        <v>#N/A</v>
      </c>
      <c r="K1581" s="16" t="e">
        <f t="shared" si="3184"/>
        <v>#N/A</v>
      </c>
      <c r="L1581" s="40" t="e">
        <f t="shared" si="3025"/>
        <v>#N/A</v>
      </c>
      <c r="M1581" s="16" t="e">
        <f t="shared" si="3026"/>
        <v>#N/A</v>
      </c>
      <c r="N1581" s="16" t="e">
        <f t="shared" si="3027"/>
        <v>#N/A</v>
      </c>
      <c r="O1581" s="16" t="s">
        <v>69</v>
      </c>
      <c r="P1581" s="16" t="str">
        <f t="shared" si="6"/>
        <v/>
      </c>
      <c r="Q1581" s="41" t="e">
        <f t="shared" si="3028"/>
        <v>#N/A</v>
      </c>
      <c r="R1581" s="44"/>
      <c r="S1581" s="44"/>
      <c r="T1581" s="43"/>
      <c r="U1581" s="43" t="str">
        <f t="shared" si="8"/>
        <v>No</v>
      </c>
      <c r="V1581" s="25"/>
      <c r="W1581" s="25"/>
      <c r="X1581" s="25"/>
      <c r="Y1581" s="25"/>
      <c r="Z1581" s="25"/>
    </row>
    <row r="1582" spans="1:26" ht="15.75" customHeight="1" x14ac:dyDescent="0.25">
      <c r="A1582" s="25">
        <v>1580</v>
      </c>
      <c r="B1582" s="37" t="e">
        <f t="shared" ref="B1582:D1582" si="3185">VLOOKUP($A1582,'[5]Integración Social'!$A$1:$O$233,B$1,0)</f>
        <v>#N/A</v>
      </c>
      <c r="C1582" s="38" t="e">
        <f t="shared" si="3185"/>
        <v>#N/A</v>
      </c>
      <c r="D1582" s="39" t="e">
        <f t="shared" si="3185"/>
        <v>#N/A</v>
      </c>
      <c r="E1582" s="16" t="e">
        <f t="shared" si="1"/>
        <v>#N/A</v>
      </c>
      <c r="F1582" s="16" t="e">
        <f t="shared" ref="F1582:K1582" si="3186">VLOOKUP($A1582,'[5]Integración Social'!$A$1:$O$233,F$1,0)</f>
        <v>#N/A</v>
      </c>
      <c r="G1582" s="39" t="e">
        <f t="shared" si="3186"/>
        <v>#N/A</v>
      </c>
      <c r="H1582" s="16" t="e">
        <f t="shared" si="3186"/>
        <v>#N/A</v>
      </c>
      <c r="I1582" s="16" t="e">
        <f t="shared" si="3186"/>
        <v>#N/A</v>
      </c>
      <c r="J1582" s="40" t="e">
        <f t="shared" si="3186"/>
        <v>#N/A</v>
      </c>
      <c r="K1582" s="16" t="e">
        <f t="shared" si="3186"/>
        <v>#N/A</v>
      </c>
      <c r="L1582" s="40" t="e">
        <f t="shared" si="3025"/>
        <v>#N/A</v>
      </c>
      <c r="M1582" s="16" t="e">
        <f t="shared" si="3026"/>
        <v>#N/A</v>
      </c>
      <c r="N1582" s="16" t="e">
        <f t="shared" si="3027"/>
        <v>#N/A</v>
      </c>
      <c r="O1582" s="16" t="s">
        <v>69</v>
      </c>
      <c r="P1582" s="16" t="str">
        <f t="shared" si="6"/>
        <v/>
      </c>
      <c r="Q1582" s="41" t="e">
        <f t="shared" si="3028"/>
        <v>#N/A</v>
      </c>
      <c r="R1582" s="44"/>
      <c r="S1582" s="44"/>
      <c r="T1582" s="43"/>
      <c r="U1582" s="43" t="str">
        <f t="shared" si="8"/>
        <v>No</v>
      </c>
      <c r="V1582" s="25"/>
      <c r="W1582" s="25"/>
      <c r="X1582" s="25"/>
      <c r="Y1582" s="25"/>
      <c r="Z1582" s="25"/>
    </row>
    <row r="1583" spans="1:26" ht="15.75" customHeight="1" x14ac:dyDescent="0.25">
      <c r="A1583" s="25">
        <v>1581</v>
      </c>
      <c r="B1583" s="37" t="e">
        <f t="shared" ref="B1583:D1583" si="3187">VLOOKUP($A1583,'[5]Integración Social'!$A$1:$O$233,B$1,0)</f>
        <v>#N/A</v>
      </c>
      <c r="C1583" s="38" t="e">
        <f t="shared" si="3187"/>
        <v>#N/A</v>
      </c>
      <c r="D1583" s="39" t="e">
        <f t="shared" si="3187"/>
        <v>#N/A</v>
      </c>
      <c r="E1583" s="16" t="e">
        <f t="shared" si="1"/>
        <v>#N/A</v>
      </c>
      <c r="F1583" s="16" t="e">
        <f t="shared" ref="F1583:K1583" si="3188">VLOOKUP($A1583,'[5]Integración Social'!$A$1:$O$233,F$1,0)</f>
        <v>#N/A</v>
      </c>
      <c r="G1583" s="39" t="e">
        <f t="shared" si="3188"/>
        <v>#N/A</v>
      </c>
      <c r="H1583" s="16" t="e">
        <f t="shared" si="3188"/>
        <v>#N/A</v>
      </c>
      <c r="I1583" s="16" t="e">
        <f t="shared" si="3188"/>
        <v>#N/A</v>
      </c>
      <c r="J1583" s="40" t="e">
        <f t="shared" si="3188"/>
        <v>#N/A</v>
      </c>
      <c r="K1583" s="16" t="e">
        <f t="shared" si="3188"/>
        <v>#N/A</v>
      </c>
      <c r="L1583" s="40" t="e">
        <f t="shared" si="3025"/>
        <v>#N/A</v>
      </c>
      <c r="M1583" s="16" t="e">
        <f t="shared" si="3026"/>
        <v>#N/A</v>
      </c>
      <c r="N1583" s="16" t="e">
        <f t="shared" si="3027"/>
        <v>#N/A</v>
      </c>
      <c r="O1583" s="16" t="s">
        <v>69</v>
      </c>
      <c r="P1583" s="16" t="str">
        <f t="shared" si="6"/>
        <v/>
      </c>
      <c r="Q1583" s="41" t="e">
        <f t="shared" si="3028"/>
        <v>#N/A</v>
      </c>
      <c r="R1583" s="44"/>
      <c r="S1583" s="44"/>
      <c r="T1583" s="43"/>
      <c r="U1583" s="43" t="str">
        <f t="shared" si="8"/>
        <v>No</v>
      </c>
      <c r="V1583" s="25"/>
      <c r="W1583" s="25"/>
      <c r="X1583" s="25"/>
      <c r="Y1583" s="25"/>
      <c r="Z1583" s="25"/>
    </row>
    <row r="1584" spans="1:26" ht="15.75" customHeight="1" x14ac:dyDescent="0.25">
      <c r="A1584" s="25">
        <v>1582</v>
      </c>
      <c r="B1584" s="37" t="e">
        <f t="shared" ref="B1584:D1584" si="3189">VLOOKUP($A1584,'[5]Integración Social'!$A$1:$O$233,B$1,0)</f>
        <v>#N/A</v>
      </c>
      <c r="C1584" s="38" t="e">
        <f t="shared" si="3189"/>
        <v>#N/A</v>
      </c>
      <c r="D1584" s="39" t="e">
        <f t="shared" si="3189"/>
        <v>#N/A</v>
      </c>
      <c r="E1584" s="16" t="e">
        <f t="shared" si="1"/>
        <v>#N/A</v>
      </c>
      <c r="F1584" s="16" t="e">
        <f t="shared" ref="F1584:K1584" si="3190">VLOOKUP($A1584,'[5]Integración Social'!$A$1:$O$233,F$1,0)</f>
        <v>#N/A</v>
      </c>
      <c r="G1584" s="39" t="e">
        <f t="shared" si="3190"/>
        <v>#N/A</v>
      </c>
      <c r="H1584" s="16" t="e">
        <f t="shared" si="3190"/>
        <v>#N/A</v>
      </c>
      <c r="I1584" s="16" t="e">
        <f t="shared" si="3190"/>
        <v>#N/A</v>
      </c>
      <c r="J1584" s="40" t="e">
        <f t="shared" si="3190"/>
        <v>#N/A</v>
      </c>
      <c r="K1584" s="16" t="e">
        <f t="shared" si="3190"/>
        <v>#N/A</v>
      </c>
      <c r="L1584" s="40" t="e">
        <f t="shared" si="3025"/>
        <v>#N/A</v>
      </c>
      <c r="M1584" s="16" t="e">
        <f t="shared" si="3026"/>
        <v>#N/A</v>
      </c>
      <c r="N1584" s="16" t="e">
        <f t="shared" si="3027"/>
        <v>#N/A</v>
      </c>
      <c r="O1584" s="16" t="s">
        <v>69</v>
      </c>
      <c r="P1584" s="16" t="str">
        <f t="shared" si="6"/>
        <v/>
      </c>
      <c r="Q1584" s="41" t="e">
        <f t="shared" si="3028"/>
        <v>#N/A</v>
      </c>
      <c r="R1584" s="44"/>
      <c r="S1584" s="44"/>
      <c r="T1584" s="43"/>
      <c r="U1584" s="43" t="str">
        <f t="shared" si="8"/>
        <v>No</v>
      </c>
      <c r="V1584" s="25"/>
      <c r="W1584" s="25"/>
      <c r="X1584" s="25"/>
      <c r="Y1584" s="25"/>
      <c r="Z1584" s="25"/>
    </row>
    <row r="1585" spans="1:26" ht="15.75" customHeight="1" x14ac:dyDescent="0.25">
      <c r="A1585" s="25">
        <v>1583</v>
      </c>
      <c r="B1585" s="37" t="e">
        <f t="shared" ref="B1585:D1585" si="3191">VLOOKUP($A1585,'[5]Integración Social'!$A$1:$O$233,B$1,0)</f>
        <v>#N/A</v>
      </c>
      <c r="C1585" s="38" t="e">
        <f t="shared" si="3191"/>
        <v>#N/A</v>
      </c>
      <c r="D1585" s="39" t="e">
        <f t="shared" si="3191"/>
        <v>#N/A</v>
      </c>
      <c r="E1585" s="16" t="e">
        <f t="shared" si="1"/>
        <v>#N/A</v>
      </c>
      <c r="F1585" s="16" t="e">
        <f t="shared" ref="F1585:K1585" si="3192">VLOOKUP($A1585,'[5]Integración Social'!$A$1:$O$233,F$1,0)</f>
        <v>#N/A</v>
      </c>
      <c r="G1585" s="39" t="e">
        <f t="shared" si="3192"/>
        <v>#N/A</v>
      </c>
      <c r="H1585" s="16" t="e">
        <f t="shared" si="3192"/>
        <v>#N/A</v>
      </c>
      <c r="I1585" s="16" t="e">
        <f t="shared" si="3192"/>
        <v>#N/A</v>
      </c>
      <c r="J1585" s="40" t="e">
        <f t="shared" si="3192"/>
        <v>#N/A</v>
      </c>
      <c r="K1585" s="16" t="e">
        <f t="shared" si="3192"/>
        <v>#N/A</v>
      </c>
      <c r="L1585" s="40" t="e">
        <f t="shared" si="3025"/>
        <v>#N/A</v>
      </c>
      <c r="M1585" s="16" t="e">
        <f t="shared" si="3026"/>
        <v>#N/A</v>
      </c>
      <c r="N1585" s="16" t="e">
        <f t="shared" si="3027"/>
        <v>#N/A</v>
      </c>
      <c r="O1585" s="16" t="s">
        <v>69</v>
      </c>
      <c r="P1585" s="16" t="str">
        <f t="shared" si="6"/>
        <v/>
      </c>
      <c r="Q1585" s="41" t="e">
        <f t="shared" si="3028"/>
        <v>#N/A</v>
      </c>
      <c r="R1585" s="44"/>
      <c r="S1585" s="44"/>
      <c r="T1585" s="43"/>
      <c r="U1585" s="43" t="str">
        <f t="shared" si="8"/>
        <v>No</v>
      </c>
      <c r="V1585" s="25"/>
      <c r="W1585" s="25"/>
      <c r="X1585" s="25"/>
      <c r="Y1585" s="25"/>
      <c r="Z1585" s="25"/>
    </row>
    <row r="1586" spans="1:26" ht="15.75" customHeight="1" x14ac:dyDescent="0.25">
      <c r="A1586" s="25">
        <v>1584</v>
      </c>
      <c r="B1586" s="37" t="e">
        <f t="shared" ref="B1586:D1586" si="3193">VLOOKUP($A1586,'[5]Integración Social'!$A$1:$O$233,B$1,0)</f>
        <v>#N/A</v>
      </c>
      <c r="C1586" s="38" t="e">
        <f t="shared" si="3193"/>
        <v>#N/A</v>
      </c>
      <c r="D1586" s="39" t="e">
        <f t="shared" si="3193"/>
        <v>#N/A</v>
      </c>
      <c r="E1586" s="16" t="e">
        <f t="shared" si="1"/>
        <v>#N/A</v>
      </c>
      <c r="F1586" s="16" t="e">
        <f t="shared" ref="F1586:K1586" si="3194">VLOOKUP($A1586,'[5]Integración Social'!$A$1:$O$233,F$1,0)</f>
        <v>#N/A</v>
      </c>
      <c r="G1586" s="39" t="e">
        <f t="shared" si="3194"/>
        <v>#N/A</v>
      </c>
      <c r="H1586" s="16" t="e">
        <f t="shared" si="3194"/>
        <v>#N/A</v>
      </c>
      <c r="I1586" s="16" t="e">
        <f t="shared" si="3194"/>
        <v>#N/A</v>
      </c>
      <c r="J1586" s="40" t="e">
        <f t="shared" si="3194"/>
        <v>#N/A</v>
      </c>
      <c r="K1586" s="16" t="e">
        <f t="shared" si="3194"/>
        <v>#N/A</v>
      </c>
      <c r="L1586" s="40" t="e">
        <f t="shared" si="3025"/>
        <v>#N/A</v>
      </c>
      <c r="M1586" s="16" t="e">
        <f t="shared" si="3026"/>
        <v>#N/A</v>
      </c>
      <c r="N1586" s="16" t="e">
        <f t="shared" si="3027"/>
        <v>#N/A</v>
      </c>
      <c r="O1586" s="16" t="s">
        <v>69</v>
      </c>
      <c r="P1586" s="16" t="str">
        <f t="shared" si="6"/>
        <v/>
      </c>
      <c r="Q1586" s="41" t="e">
        <f t="shared" si="3028"/>
        <v>#N/A</v>
      </c>
      <c r="R1586" s="44"/>
      <c r="S1586" s="44"/>
      <c r="T1586" s="43"/>
      <c r="U1586" s="43" t="str">
        <f t="shared" si="8"/>
        <v>No</v>
      </c>
      <c r="V1586" s="25"/>
      <c r="W1586" s="25"/>
      <c r="X1586" s="25"/>
      <c r="Y1586" s="25"/>
      <c r="Z1586" s="25"/>
    </row>
    <row r="1587" spans="1:26" ht="15.75" customHeight="1" x14ac:dyDescent="0.25">
      <c r="A1587" s="25">
        <v>1585</v>
      </c>
      <c r="B1587" s="37" t="e">
        <f t="shared" ref="B1587:D1587" si="3195">VLOOKUP($A1587,'[5]Integración Social'!$A$1:$O$233,B$1,0)</f>
        <v>#N/A</v>
      </c>
      <c r="C1587" s="38" t="e">
        <f t="shared" si="3195"/>
        <v>#N/A</v>
      </c>
      <c r="D1587" s="39" t="e">
        <f t="shared" si="3195"/>
        <v>#N/A</v>
      </c>
      <c r="E1587" s="16" t="e">
        <f t="shared" si="1"/>
        <v>#N/A</v>
      </c>
      <c r="F1587" s="16" t="e">
        <f t="shared" ref="F1587:K1587" si="3196">VLOOKUP($A1587,'[5]Integración Social'!$A$1:$O$233,F$1,0)</f>
        <v>#N/A</v>
      </c>
      <c r="G1587" s="39" t="e">
        <f t="shared" si="3196"/>
        <v>#N/A</v>
      </c>
      <c r="H1587" s="16" t="e">
        <f t="shared" si="3196"/>
        <v>#N/A</v>
      </c>
      <c r="I1587" s="16" t="e">
        <f t="shared" si="3196"/>
        <v>#N/A</v>
      </c>
      <c r="J1587" s="40" t="e">
        <f t="shared" si="3196"/>
        <v>#N/A</v>
      </c>
      <c r="K1587" s="16" t="e">
        <f t="shared" si="3196"/>
        <v>#N/A</v>
      </c>
      <c r="L1587" s="40" t="e">
        <f t="shared" si="3025"/>
        <v>#N/A</v>
      </c>
      <c r="M1587" s="16" t="e">
        <f t="shared" si="3026"/>
        <v>#N/A</v>
      </c>
      <c r="N1587" s="16" t="e">
        <f t="shared" si="3027"/>
        <v>#N/A</v>
      </c>
      <c r="O1587" s="16" t="s">
        <v>69</v>
      </c>
      <c r="P1587" s="16" t="str">
        <f t="shared" si="6"/>
        <v/>
      </c>
      <c r="Q1587" s="41" t="e">
        <f t="shared" si="3028"/>
        <v>#N/A</v>
      </c>
      <c r="R1587" s="44"/>
      <c r="S1587" s="44"/>
      <c r="T1587" s="43"/>
      <c r="U1587" s="43" t="str">
        <f t="shared" si="8"/>
        <v>No</v>
      </c>
      <c r="V1587" s="25"/>
      <c r="W1587" s="25"/>
      <c r="X1587" s="25"/>
      <c r="Y1587" s="25"/>
      <c r="Z1587" s="25"/>
    </row>
    <row r="1588" spans="1:26" ht="15.75" customHeight="1" x14ac:dyDescent="0.25">
      <c r="A1588" s="25">
        <v>1586</v>
      </c>
      <c r="B1588" s="37" t="e">
        <f t="shared" ref="B1588:D1588" si="3197">VLOOKUP($A1588,'[5]Integración Social'!$A$1:$O$233,B$1,0)</f>
        <v>#N/A</v>
      </c>
      <c r="C1588" s="38" t="e">
        <f t="shared" si="3197"/>
        <v>#N/A</v>
      </c>
      <c r="D1588" s="39" t="e">
        <f t="shared" si="3197"/>
        <v>#N/A</v>
      </c>
      <c r="E1588" s="16" t="e">
        <f t="shared" si="1"/>
        <v>#N/A</v>
      </c>
      <c r="F1588" s="16" t="e">
        <f t="shared" ref="F1588:K1588" si="3198">VLOOKUP($A1588,'[5]Integración Social'!$A$1:$O$233,F$1,0)</f>
        <v>#N/A</v>
      </c>
      <c r="G1588" s="39" t="e">
        <f t="shared" si="3198"/>
        <v>#N/A</v>
      </c>
      <c r="H1588" s="16" t="e">
        <f t="shared" si="3198"/>
        <v>#N/A</v>
      </c>
      <c r="I1588" s="16" t="e">
        <f t="shared" si="3198"/>
        <v>#N/A</v>
      </c>
      <c r="J1588" s="40" t="e">
        <f t="shared" si="3198"/>
        <v>#N/A</v>
      </c>
      <c r="K1588" s="16" t="e">
        <f t="shared" si="3198"/>
        <v>#N/A</v>
      </c>
      <c r="L1588" s="40" t="e">
        <f t="shared" si="3025"/>
        <v>#N/A</v>
      </c>
      <c r="M1588" s="16" t="e">
        <f t="shared" si="3026"/>
        <v>#N/A</v>
      </c>
      <c r="N1588" s="16" t="e">
        <f t="shared" si="3027"/>
        <v>#N/A</v>
      </c>
      <c r="O1588" s="16" t="s">
        <v>69</v>
      </c>
      <c r="P1588" s="16" t="str">
        <f t="shared" si="6"/>
        <v/>
      </c>
      <c r="Q1588" s="41" t="e">
        <f t="shared" si="3028"/>
        <v>#N/A</v>
      </c>
      <c r="R1588" s="44"/>
      <c r="S1588" s="44"/>
      <c r="T1588" s="43"/>
      <c r="U1588" s="43" t="str">
        <f t="shared" si="8"/>
        <v>No</v>
      </c>
      <c r="V1588" s="25"/>
      <c r="W1588" s="25"/>
      <c r="X1588" s="25"/>
      <c r="Y1588" s="25"/>
      <c r="Z1588" s="25"/>
    </row>
    <row r="1589" spans="1:26" ht="15.75" customHeight="1" x14ac:dyDescent="0.25">
      <c r="A1589" s="25">
        <v>1587</v>
      </c>
      <c r="B1589" s="37" t="e">
        <f t="shared" ref="B1589:D1589" si="3199">VLOOKUP($A1589,'[5]Integración Social'!$A$1:$O$233,B$1,0)</f>
        <v>#N/A</v>
      </c>
      <c r="C1589" s="38" t="e">
        <f t="shared" si="3199"/>
        <v>#N/A</v>
      </c>
      <c r="D1589" s="39" t="e">
        <f t="shared" si="3199"/>
        <v>#N/A</v>
      </c>
      <c r="E1589" s="16" t="e">
        <f t="shared" si="1"/>
        <v>#N/A</v>
      </c>
      <c r="F1589" s="16" t="e">
        <f t="shared" ref="F1589:K1589" si="3200">VLOOKUP($A1589,'[5]Integración Social'!$A$1:$O$233,F$1,0)</f>
        <v>#N/A</v>
      </c>
      <c r="G1589" s="39" t="e">
        <f t="shared" si="3200"/>
        <v>#N/A</v>
      </c>
      <c r="H1589" s="16" t="e">
        <f t="shared" si="3200"/>
        <v>#N/A</v>
      </c>
      <c r="I1589" s="16" t="e">
        <f t="shared" si="3200"/>
        <v>#N/A</v>
      </c>
      <c r="J1589" s="40" t="e">
        <f t="shared" si="3200"/>
        <v>#N/A</v>
      </c>
      <c r="K1589" s="16" t="e">
        <f t="shared" si="3200"/>
        <v>#N/A</v>
      </c>
      <c r="L1589" s="40" t="e">
        <f t="shared" si="3025"/>
        <v>#N/A</v>
      </c>
      <c r="M1589" s="16" t="e">
        <f t="shared" si="3026"/>
        <v>#N/A</v>
      </c>
      <c r="N1589" s="16" t="e">
        <f t="shared" si="3027"/>
        <v>#N/A</v>
      </c>
      <c r="O1589" s="16" t="s">
        <v>69</v>
      </c>
      <c r="P1589" s="16" t="str">
        <f t="shared" si="6"/>
        <v/>
      </c>
      <c r="Q1589" s="41" t="e">
        <f t="shared" si="3028"/>
        <v>#N/A</v>
      </c>
      <c r="R1589" s="44"/>
      <c r="S1589" s="44"/>
      <c r="T1589" s="43"/>
      <c r="U1589" s="43" t="str">
        <f t="shared" si="8"/>
        <v>No</v>
      </c>
      <c r="V1589" s="25"/>
      <c r="W1589" s="25"/>
      <c r="X1589" s="25"/>
      <c r="Y1589" s="25"/>
      <c r="Z1589" s="25"/>
    </row>
    <row r="1590" spans="1:26" ht="15.75" customHeight="1" x14ac:dyDescent="0.25">
      <c r="A1590" s="25">
        <v>1588</v>
      </c>
      <c r="B1590" s="37" t="e">
        <f t="shared" ref="B1590:D1590" si="3201">VLOOKUP($A1590,'[5]Integración Social'!$A$1:$O$233,B$1,0)</f>
        <v>#N/A</v>
      </c>
      <c r="C1590" s="38" t="e">
        <f t="shared" si="3201"/>
        <v>#N/A</v>
      </c>
      <c r="D1590" s="39" t="e">
        <f t="shared" si="3201"/>
        <v>#N/A</v>
      </c>
      <c r="E1590" s="16" t="e">
        <f t="shared" si="1"/>
        <v>#N/A</v>
      </c>
      <c r="F1590" s="16" t="e">
        <f t="shared" ref="F1590:K1590" si="3202">VLOOKUP($A1590,'[5]Integración Social'!$A$1:$O$233,F$1,0)</f>
        <v>#N/A</v>
      </c>
      <c r="G1590" s="39" t="e">
        <f t="shared" si="3202"/>
        <v>#N/A</v>
      </c>
      <c r="H1590" s="16" t="e">
        <f t="shared" si="3202"/>
        <v>#N/A</v>
      </c>
      <c r="I1590" s="16" t="e">
        <f t="shared" si="3202"/>
        <v>#N/A</v>
      </c>
      <c r="J1590" s="40" t="e">
        <f t="shared" si="3202"/>
        <v>#N/A</v>
      </c>
      <c r="K1590" s="16" t="e">
        <f t="shared" si="3202"/>
        <v>#N/A</v>
      </c>
      <c r="L1590" s="40" t="e">
        <f t="shared" si="3025"/>
        <v>#N/A</v>
      </c>
      <c r="M1590" s="16" t="e">
        <f t="shared" si="3026"/>
        <v>#N/A</v>
      </c>
      <c r="N1590" s="16" t="e">
        <f t="shared" si="3027"/>
        <v>#N/A</v>
      </c>
      <c r="O1590" s="16" t="s">
        <v>69</v>
      </c>
      <c r="P1590" s="16" t="str">
        <f t="shared" si="6"/>
        <v/>
      </c>
      <c r="Q1590" s="41" t="e">
        <f t="shared" si="3028"/>
        <v>#N/A</v>
      </c>
      <c r="R1590" s="44"/>
      <c r="S1590" s="44"/>
      <c r="T1590" s="43"/>
      <c r="U1590" s="43" t="str">
        <f t="shared" si="8"/>
        <v>No</v>
      </c>
      <c r="V1590" s="25"/>
      <c r="W1590" s="25"/>
      <c r="X1590" s="25"/>
      <c r="Y1590" s="25"/>
      <c r="Z1590" s="25"/>
    </row>
    <row r="1591" spans="1:26" ht="15.75" customHeight="1" x14ac:dyDescent="0.25">
      <c r="A1591" s="25">
        <v>1589</v>
      </c>
      <c r="B1591" s="37" t="e">
        <f t="shared" ref="B1591:D1591" si="3203">VLOOKUP($A1591,'[5]Integración Social'!$A$1:$O$233,B$1,0)</f>
        <v>#N/A</v>
      </c>
      <c r="C1591" s="38" t="e">
        <f t="shared" si="3203"/>
        <v>#N/A</v>
      </c>
      <c r="D1591" s="39" t="e">
        <f t="shared" si="3203"/>
        <v>#N/A</v>
      </c>
      <c r="E1591" s="16" t="e">
        <f t="shared" si="1"/>
        <v>#N/A</v>
      </c>
      <c r="F1591" s="16" t="e">
        <f t="shared" ref="F1591:K1591" si="3204">VLOOKUP($A1591,'[5]Integración Social'!$A$1:$O$233,F$1,0)</f>
        <v>#N/A</v>
      </c>
      <c r="G1591" s="39" t="e">
        <f t="shared" si="3204"/>
        <v>#N/A</v>
      </c>
      <c r="H1591" s="16" t="e">
        <f t="shared" si="3204"/>
        <v>#N/A</v>
      </c>
      <c r="I1591" s="16" t="e">
        <f t="shared" si="3204"/>
        <v>#N/A</v>
      </c>
      <c r="J1591" s="40" t="e">
        <f t="shared" si="3204"/>
        <v>#N/A</v>
      </c>
      <c r="K1591" s="16" t="e">
        <f t="shared" si="3204"/>
        <v>#N/A</v>
      </c>
      <c r="L1591" s="40" t="e">
        <f t="shared" si="3025"/>
        <v>#N/A</v>
      </c>
      <c r="M1591" s="16" t="e">
        <f t="shared" si="3026"/>
        <v>#N/A</v>
      </c>
      <c r="N1591" s="16" t="e">
        <f t="shared" si="3027"/>
        <v>#N/A</v>
      </c>
      <c r="O1591" s="16" t="s">
        <v>69</v>
      </c>
      <c r="P1591" s="16" t="str">
        <f t="shared" si="6"/>
        <v/>
      </c>
      <c r="Q1591" s="41" t="e">
        <f t="shared" si="3028"/>
        <v>#N/A</v>
      </c>
      <c r="R1591" s="44"/>
      <c r="S1591" s="44"/>
      <c r="T1591" s="43"/>
      <c r="U1591" s="43" t="str">
        <f t="shared" si="8"/>
        <v>No</v>
      </c>
      <c r="V1591" s="25"/>
      <c r="W1591" s="25"/>
      <c r="X1591" s="25"/>
      <c r="Y1591" s="25"/>
      <c r="Z1591" s="25"/>
    </row>
    <row r="1592" spans="1:26" ht="15.75" customHeight="1" x14ac:dyDescent="0.25">
      <c r="A1592" s="25">
        <v>1590</v>
      </c>
      <c r="B1592" s="37" t="e">
        <f t="shared" ref="B1592:D1592" si="3205">VLOOKUP($A1592,'[5]Integración Social'!$A$1:$O$233,B$1,0)</f>
        <v>#N/A</v>
      </c>
      <c r="C1592" s="38" t="e">
        <f t="shared" si="3205"/>
        <v>#N/A</v>
      </c>
      <c r="D1592" s="39" t="e">
        <f t="shared" si="3205"/>
        <v>#N/A</v>
      </c>
      <c r="E1592" s="16" t="e">
        <f t="shared" si="1"/>
        <v>#N/A</v>
      </c>
      <c r="F1592" s="16" t="e">
        <f t="shared" ref="F1592:K1592" si="3206">VLOOKUP($A1592,'[5]Integración Social'!$A$1:$O$233,F$1,0)</f>
        <v>#N/A</v>
      </c>
      <c r="G1592" s="39" t="e">
        <f t="shared" si="3206"/>
        <v>#N/A</v>
      </c>
      <c r="H1592" s="16" t="e">
        <f t="shared" si="3206"/>
        <v>#N/A</v>
      </c>
      <c r="I1592" s="16" t="e">
        <f t="shared" si="3206"/>
        <v>#N/A</v>
      </c>
      <c r="J1592" s="40" t="e">
        <f t="shared" si="3206"/>
        <v>#N/A</v>
      </c>
      <c r="K1592" s="16" t="e">
        <f t="shared" si="3206"/>
        <v>#N/A</v>
      </c>
      <c r="L1592" s="40" t="e">
        <f t="shared" si="3025"/>
        <v>#N/A</v>
      </c>
      <c r="M1592" s="16" t="e">
        <f t="shared" si="3026"/>
        <v>#N/A</v>
      </c>
      <c r="N1592" s="16" t="e">
        <f t="shared" si="3027"/>
        <v>#N/A</v>
      </c>
      <c r="O1592" s="16" t="s">
        <v>69</v>
      </c>
      <c r="P1592" s="16" t="str">
        <f t="shared" si="6"/>
        <v/>
      </c>
      <c r="Q1592" s="41" t="e">
        <f t="shared" si="3028"/>
        <v>#N/A</v>
      </c>
      <c r="R1592" s="44"/>
      <c r="S1592" s="44"/>
      <c r="T1592" s="43"/>
      <c r="U1592" s="43" t="str">
        <f t="shared" si="8"/>
        <v>No</v>
      </c>
      <c r="V1592" s="25"/>
      <c r="W1592" s="25"/>
      <c r="X1592" s="25"/>
      <c r="Y1592" s="25"/>
      <c r="Z1592" s="25"/>
    </row>
    <row r="1593" spans="1:26" ht="15.75" customHeight="1" x14ac:dyDescent="0.25">
      <c r="A1593" s="25">
        <v>1591</v>
      </c>
      <c r="B1593" s="37" t="e">
        <f t="shared" ref="B1593:D1593" si="3207">VLOOKUP($A1593,'[5]Integración Social'!$A$1:$O$233,B$1,0)</f>
        <v>#N/A</v>
      </c>
      <c r="C1593" s="38" t="e">
        <f t="shared" si="3207"/>
        <v>#N/A</v>
      </c>
      <c r="D1593" s="39" t="e">
        <f t="shared" si="3207"/>
        <v>#N/A</v>
      </c>
      <c r="E1593" s="16" t="e">
        <f t="shared" si="1"/>
        <v>#N/A</v>
      </c>
      <c r="F1593" s="16" t="e">
        <f t="shared" ref="F1593:K1593" si="3208">VLOOKUP($A1593,'[5]Integración Social'!$A$1:$O$233,F$1,0)</f>
        <v>#N/A</v>
      </c>
      <c r="G1593" s="39" t="e">
        <f t="shared" si="3208"/>
        <v>#N/A</v>
      </c>
      <c r="H1593" s="16" t="e">
        <f t="shared" si="3208"/>
        <v>#N/A</v>
      </c>
      <c r="I1593" s="16" t="e">
        <f t="shared" si="3208"/>
        <v>#N/A</v>
      </c>
      <c r="J1593" s="40" t="e">
        <f t="shared" si="3208"/>
        <v>#N/A</v>
      </c>
      <c r="K1593" s="16" t="e">
        <f t="shared" si="3208"/>
        <v>#N/A</v>
      </c>
      <c r="L1593" s="40" t="e">
        <f t="shared" si="3025"/>
        <v>#N/A</v>
      </c>
      <c r="M1593" s="16" t="e">
        <f t="shared" si="3026"/>
        <v>#N/A</v>
      </c>
      <c r="N1593" s="16" t="e">
        <f t="shared" si="3027"/>
        <v>#N/A</v>
      </c>
      <c r="O1593" s="16" t="s">
        <v>69</v>
      </c>
      <c r="P1593" s="16" t="str">
        <f t="shared" si="6"/>
        <v/>
      </c>
      <c r="Q1593" s="41" t="e">
        <f t="shared" si="3028"/>
        <v>#N/A</v>
      </c>
      <c r="R1593" s="44"/>
      <c r="S1593" s="44"/>
      <c r="T1593" s="43"/>
      <c r="U1593" s="43" t="str">
        <f t="shared" si="8"/>
        <v>No</v>
      </c>
      <c r="V1593" s="25"/>
      <c r="W1593" s="25"/>
      <c r="X1593" s="25"/>
      <c r="Y1593" s="25"/>
      <c r="Z1593" s="25"/>
    </row>
    <row r="1594" spans="1:26" ht="15.75" customHeight="1" x14ac:dyDescent="0.25">
      <c r="A1594" s="25">
        <v>1592</v>
      </c>
      <c r="B1594" s="37" t="e">
        <f t="shared" ref="B1594:D1594" si="3209">VLOOKUP($A1594,'[5]Integración Social'!$A$1:$O$233,B$1,0)</f>
        <v>#N/A</v>
      </c>
      <c r="C1594" s="38" t="e">
        <f t="shared" si="3209"/>
        <v>#N/A</v>
      </c>
      <c r="D1594" s="39" t="e">
        <f t="shared" si="3209"/>
        <v>#N/A</v>
      </c>
      <c r="E1594" s="16" t="e">
        <f t="shared" si="1"/>
        <v>#N/A</v>
      </c>
      <c r="F1594" s="16" t="e">
        <f t="shared" ref="F1594:K1594" si="3210">VLOOKUP($A1594,'[5]Integración Social'!$A$1:$O$233,F$1,0)</f>
        <v>#N/A</v>
      </c>
      <c r="G1594" s="39" t="e">
        <f t="shared" si="3210"/>
        <v>#N/A</v>
      </c>
      <c r="H1594" s="16" t="e">
        <f t="shared" si="3210"/>
        <v>#N/A</v>
      </c>
      <c r="I1594" s="16" t="e">
        <f t="shared" si="3210"/>
        <v>#N/A</v>
      </c>
      <c r="J1594" s="40" t="e">
        <f t="shared" si="3210"/>
        <v>#N/A</v>
      </c>
      <c r="K1594" s="16" t="e">
        <f t="shared" si="3210"/>
        <v>#N/A</v>
      </c>
      <c r="L1594" s="40" t="e">
        <f t="shared" si="3025"/>
        <v>#N/A</v>
      </c>
      <c r="M1594" s="16" t="e">
        <f t="shared" si="3026"/>
        <v>#N/A</v>
      </c>
      <c r="N1594" s="16" t="e">
        <f t="shared" si="3027"/>
        <v>#N/A</v>
      </c>
      <c r="O1594" s="16" t="s">
        <v>69</v>
      </c>
      <c r="P1594" s="16" t="str">
        <f t="shared" si="6"/>
        <v/>
      </c>
      <c r="Q1594" s="41" t="e">
        <f t="shared" si="3028"/>
        <v>#N/A</v>
      </c>
      <c r="R1594" s="44"/>
      <c r="S1594" s="44"/>
      <c r="T1594" s="43"/>
      <c r="U1594" s="43" t="str">
        <f t="shared" si="8"/>
        <v>No</v>
      </c>
      <c r="V1594" s="25"/>
      <c r="W1594" s="25"/>
      <c r="X1594" s="25"/>
      <c r="Y1594" s="25"/>
      <c r="Z1594" s="25"/>
    </row>
    <row r="1595" spans="1:26" ht="15.75" customHeight="1" x14ac:dyDescent="0.25">
      <c r="A1595" s="25">
        <v>1593</v>
      </c>
      <c r="B1595" s="37" t="e">
        <f t="shared" ref="B1595:D1595" si="3211">VLOOKUP($A1595,'[5]Integración Social'!$A$1:$O$233,B$1,0)</f>
        <v>#N/A</v>
      </c>
      <c r="C1595" s="38" t="e">
        <f t="shared" si="3211"/>
        <v>#N/A</v>
      </c>
      <c r="D1595" s="39" t="e">
        <f t="shared" si="3211"/>
        <v>#N/A</v>
      </c>
      <c r="E1595" s="16" t="e">
        <f t="shared" si="1"/>
        <v>#N/A</v>
      </c>
      <c r="F1595" s="16" t="e">
        <f t="shared" ref="F1595:K1595" si="3212">VLOOKUP($A1595,'[5]Integración Social'!$A$1:$O$233,F$1,0)</f>
        <v>#N/A</v>
      </c>
      <c r="G1595" s="39" t="e">
        <f t="shared" si="3212"/>
        <v>#N/A</v>
      </c>
      <c r="H1595" s="16" t="e">
        <f t="shared" si="3212"/>
        <v>#N/A</v>
      </c>
      <c r="I1595" s="16" t="e">
        <f t="shared" si="3212"/>
        <v>#N/A</v>
      </c>
      <c r="J1595" s="40" t="e">
        <f t="shared" si="3212"/>
        <v>#N/A</v>
      </c>
      <c r="K1595" s="16" t="e">
        <f t="shared" si="3212"/>
        <v>#N/A</v>
      </c>
      <c r="L1595" s="40" t="e">
        <f t="shared" si="3025"/>
        <v>#N/A</v>
      </c>
      <c r="M1595" s="16" t="e">
        <f t="shared" si="3026"/>
        <v>#N/A</v>
      </c>
      <c r="N1595" s="16" t="e">
        <f t="shared" si="3027"/>
        <v>#N/A</v>
      </c>
      <c r="O1595" s="16" t="s">
        <v>69</v>
      </c>
      <c r="P1595" s="16" t="str">
        <f t="shared" si="6"/>
        <v/>
      </c>
      <c r="Q1595" s="41" t="e">
        <f t="shared" si="3028"/>
        <v>#N/A</v>
      </c>
      <c r="R1595" s="44"/>
      <c r="S1595" s="44"/>
      <c r="T1595" s="43"/>
      <c r="U1595" s="43" t="str">
        <f t="shared" si="8"/>
        <v>No</v>
      </c>
      <c r="V1595" s="25"/>
      <c r="W1595" s="25"/>
      <c r="X1595" s="25"/>
      <c r="Y1595" s="25"/>
      <c r="Z1595" s="25"/>
    </row>
    <row r="1596" spans="1:26" ht="15.75" customHeight="1" x14ac:dyDescent="0.25">
      <c r="A1596" s="25">
        <v>1594</v>
      </c>
      <c r="B1596" s="37" t="e">
        <f t="shared" ref="B1596:D1596" si="3213">VLOOKUP($A1596,'[5]Integración Social'!$A$1:$O$233,B$1,0)</f>
        <v>#N/A</v>
      </c>
      <c r="C1596" s="38" t="e">
        <f t="shared" si="3213"/>
        <v>#N/A</v>
      </c>
      <c r="D1596" s="39" t="e">
        <f t="shared" si="3213"/>
        <v>#N/A</v>
      </c>
      <c r="E1596" s="16" t="e">
        <f t="shared" si="1"/>
        <v>#N/A</v>
      </c>
      <c r="F1596" s="16" t="e">
        <f t="shared" ref="F1596:K1596" si="3214">VLOOKUP($A1596,'[5]Integración Social'!$A$1:$O$233,F$1,0)</f>
        <v>#N/A</v>
      </c>
      <c r="G1596" s="39" t="e">
        <f t="shared" si="3214"/>
        <v>#N/A</v>
      </c>
      <c r="H1596" s="16" t="e">
        <f t="shared" si="3214"/>
        <v>#N/A</v>
      </c>
      <c r="I1596" s="16" t="e">
        <f t="shared" si="3214"/>
        <v>#N/A</v>
      </c>
      <c r="J1596" s="40" t="e">
        <f t="shared" si="3214"/>
        <v>#N/A</v>
      </c>
      <c r="K1596" s="16" t="e">
        <f t="shared" si="3214"/>
        <v>#N/A</v>
      </c>
      <c r="L1596" s="40" t="e">
        <f t="shared" si="3025"/>
        <v>#N/A</v>
      </c>
      <c r="M1596" s="16" t="e">
        <f t="shared" si="3026"/>
        <v>#N/A</v>
      </c>
      <c r="N1596" s="16" t="e">
        <f t="shared" si="3027"/>
        <v>#N/A</v>
      </c>
      <c r="O1596" s="16" t="s">
        <v>69</v>
      </c>
      <c r="P1596" s="16" t="str">
        <f t="shared" si="6"/>
        <v/>
      </c>
      <c r="Q1596" s="41" t="e">
        <f t="shared" si="3028"/>
        <v>#N/A</v>
      </c>
      <c r="R1596" s="44"/>
      <c r="S1596" s="44"/>
      <c r="T1596" s="43"/>
      <c r="U1596" s="43" t="str">
        <f t="shared" si="8"/>
        <v>No</v>
      </c>
      <c r="V1596" s="25"/>
      <c r="W1596" s="25"/>
      <c r="X1596" s="25"/>
      <c r="Y1596" s="25"/>
      <c r="Z1596" s="25"/>
    </row>
    <row r="1597" spans="1:26" ht="15.75" customHeight="1" x14ac:dyDescent="0.25">
      <c r="A1597" s="25">
        <v>1595</v>
      </c>
      <c r="B1597" s="37" t="e">
        <f t="shared" ref="B1597:D1597" si="3215">VLOOKUP($A1597,'[5]Integración Social'!$A$1:$O$233,B$1,0)</f>
        <v>#N/A</v>
      </c>
      <c r="C1597" s="38" t="e">
        <f t="shared" si="3215"/>
        <v>#N/A</v>
      </c>
      <c r="D1597" s="39" t="e">
        <f t="shared" si="3215"/>
        <v>#N/A</v>
      </c>
      <c r="E1597" s="16" t="e">
        <f t="shared" si="1"/>
        <v>#N/A</v>
      </c>
      <c r="F1597" s="16" t="e">
        <f t="shared" ref="F1597:K1597" si="3216">VLOOKUP($A1597,'[5]Integración Social'!$A$1:$O$233,F$1,0)</f>
        <v>#N/A</v>
      </c>
      <c r="G1597" s="39" t="e">
        <f t="shared" si="3216"/>
        <v>#N/A</v>
      </c>
      <c r="H1597" s="16" t="e">
        <f t="shared" si="3216"/>
        <v>#N/A</v>
      </c>
      <c r="I1597" s="16" t="e">
        <f t="shared" si="3216"/>
        <v>#N/A</v>
      </c>
      <c r="J1597" s="40" t="e">
        <f t="shared" si="3216"/>
        <v>#N/A</v>
      </c>
      <c r="K1597" s="16" t="e">
        <f t="shared" si="3216"/>
        <v>#N/A</v>
      </c>
      <c r="L1597" s="40" t="e">
        <f t="shared" si="3025"/>
        <v>#N/A</v>
      </c>
      <c r="M1597" s="16" t="e">
        <f t="shared" si="3026"/>
        <v>#N/A</v>
      </c>
      <c r="N1597" s="16" t="e">
        <f t="shared" si="3027"/>
        <v>#N/A</v>
      </c>
      <c r="O1597" s="16" t="s">
        <v>69</v>
      </c>
      <c r="P1597" s="16" t="str">
        <f t="shared" si="6"/>
        <v/>
      </c>
      <c r="Q1597" s="41" t="e">
        <f t="shared" si="3028"/>
        <v>#N/A</v>
      </c>
      <c r="R1597" s="44"/>
      <c r="S1597" s="44"/>
      <c r="T1597" s="43"/>
      <c r="U1597" s="43" t="str">
        <f t="shared" si="8"/>
        <v>No</v>
      </c>
      <c r="V1597" s="25"/>
      <c r="W1597" s="25"/>
      <c r="X1597" s="25"/>
      <c r="Y1597" s="25"/>
      <c r="Z1597" s="25"/>
    </row>
    <row r="1598" spans="1:26" ht="15.75" customHeight="1" x14ac:dyDescent="0.25">
      <c r="A1598" s="25">
        <v>1596</v>
      </c>
      <c r="B1598" s="37" t="e">
        <f t="shared" ref="B1598:D1598" si="3217">VLOOKUP($A1598,'[5]Integración Social'!$A$1:$O$233,B$1,0)</f>
        <v>#N/A</v>
      </c>
      <c r="C1598" s="38" t="e">
        <f t="shared" si="3217"/>
        <v>#N/A</v>
      </c>
      <c r="D1598" s="39" t="e">
        <f t="shared" si="3217"/>
        <v>#N/A</v>
      </c>
      <c r="E1598" s="16" t="e">
        <f t="shared" si="1"/>
        <v>#N/A</v>
      </c>
      <c r="F1598" s="16" t="e">
        <f t="shared" ref="F1598:K1598" si="3218">VLOOKUP($A1598,'[5]Integración Social'!$A$1:$O$233,F$1,0)</f>
        <v>#N/A</v>
      </c>
      <c r="G1598" s="39" t="e">
        <f t="shared" si="3218"/>
        <v>#N/A</v>
      </c>
      <c r="H1598" s="16" t="e">
        <f t="shared" si="3218"/>
        <v>#N/A</v>
      </c>
      <c r="I1598" s="16" t="e">
        <f t="shared" si="3218"/>
        <v>#N/A</v>
      </c>
      <c r="J1598" s="40" t="e">
        <f t="shared" si="3218"/>
        <v>#N/A</v>
      </c>
      <c r="K1598" s="16" t="e">
        <f t="shared" si="3218"/>
        <v>#N/A</v>
      </c>
      <c r="L1598" s="40" t="e">
        <f t="shared" si="3025"/>
        <v>#N/A</v>
      </c>
      <c r="M1598" s="16" t="e">
        <f t="shared" si="3026"/>
        <v>#N/A</v>
      </c>
      <c r="N1598" s="16" t="e">
        <f t="shared" si="3027"/>
        <v>#N/A</v>
      </c>
      <c r="O1598" s="16" t="s">
        <v>69</v>
      </c>
      <c r="P1598" s="16" t="str">
        <f t="shared" si="6"/>
        <v/>
      </c>
      <c r="Q1598" s="41" t="e">
        <f t="shared" si="3028"/>
        <v>#N/A</v>
      </c>
      <c r="R1598" s="44"/>
      <c r="S1598" s="44"/>
      <c r="T1598" s="43"/>
      <c r="U1598" s="43" t="str">
        <f t="shared" si="8"/>
        <v>No</v>
      </c>
      <c r="V1598" s="25"/>
      <c r="W1598" s="25"/>
      <c r="X1598" s="25"/>
      <c r="Y1598" s="25"/>
      <c r="Z1598" s="25"/>
    </row>
    <row r="1599" spans="1:26" ht="15.75" customHeight="1" x14ac:dyDescent="0.25">
      <c r="A1599" s="25">
        <v>1597</v>
      </c>
      <c r="B1599" s="37" t="e">
        <f t="shared" ref="B1599:D1599" si="3219">VLOOKUP($A1599,'[5]Integración Social'!$A$1:$O$233,B$1,0)</f>
        <v>#N/A</v>
      </c>
      <c r="C1599" s="38" t="e">
        <f t="shared" si="3219"/>
        <v>#N/A</v>
      </c>
      <c r="D1599" s="39" t="e">
        <f t="shared" si="3219"/>
        <v>#N/A</v>
      </c>
      <c r="E1599" s="16" t="e">
        <f t="shared" si="1"/>
        <v>#N/A</v>
      </c>
      <c r="F1599" s="16" t="e">
        <f t="shared" ref="F1599:K1599" si="3220">VLOOKUP($A1599,'[5]Integración Social'!$A$1:$O$233,F$1,0)</f>
        <v>#N/A</v>
      </c>
      <c r="G1599" s="39" t="e">
        <f t="shared" si="3220"/>
        <v>#N/A</v>
      </c>
      <c r="H1599" s="16" t="e">
        <f t="shared" si="3220"/>
        <v>#N/A</v>
      </c>
      <c r="I1599" s="16" t="e">
        <f t="shared" si="3220"/>
        <v>#N/A</v>
      </c>
      <c r="J1599" s="40" t="e">
        <f t="shared" si="3220"/>
        <v>#N/A</v>
      </c>
      <c r="K1599" s="16" t="e">
        <f t="shared" si="3220"/>
        <v>#N/A</v>
      </c>
      <c r="L1599" s="40" t="e">
        <f t="shared" si="3025"/>
        <v>#N/A</v>
      </c>
      <c r="M1599" s="16" t="e">
        <f t="shared" si="3026"/>
        <v>#N/A</v>
      </c>
      <c r="N1599" s="16" t="e">
        <f t="shared" si="3027"/>
        <v>#N/A</v>
      </c>
      <c r="O1599" s="16" t="s">
        <v>69</v>
      </c>
      <c r="P1599" s="16" t="str">
        <f t="shared" si="6"/>
        <v/>
      </c>
      <c r="Q1599" s="41" t="e">
        <f t="shared" si="3028"/>
        <v>#N/A</v>
      </c>
      <c r="R1599" s="44"/>
      <c r="S1599" s="44"/>
      <c r="T1599" s="43"/>
      <c r="U1599" s="43" t="str">
        <f t="shared" si="8"/>
        <v>No</v>
      </c>
      <c r="V1599" s="25"/>
      <c r="W1599" s="25"/>
      <c r="X1599" s="25"/>
      <c r="Y1599" s="25"/>
      <c r="Z1599" s="25"/>
    </row>
    <row r="1600" spans="1:26" ht="15.75" customHeight="1" x14ac:dyDescent="0.25">
      <c r="A1600" s="25">
        <v>1598</v>
      </c>
      <c r="B1600" s="37" t="e">
        <f t="shared" ref="B1600:D1600" si="3221">VLOOKUP($A1600,'[5]Integración Social'!$A$1:$O$233,B$1,0)</f>
        <v>#N/A</v>
      </c>
      <c r="C1600" s="38" t="e">
        <f t="shared" si="3221"/>
        <v>#N/A</v>
      </c>
      <c r="D1600" s="39" t="e">
        <f t="shared" si="3221"/>
        <v>#N/A</v>
      </c>
      <c r="E1600" s="16" t="e">
        <f t="shared" si="1"/>
        <v>#N/A</v>
      </c>
      <c r="F1600" s="16" t="e">
        <f t="shared" ref="F1600:K1600" si="3222">VLOOKUP($A1600,'[5]Integración Social'!$A$1:$O$233,F$1,0)</f>
        <v>#N/A</v>
      </c>
      <c r="G1600" s="39" t="e">
        <f t="shared" si="3222"/>
        <v>#N/A</v>
      </c>
      <c r="H1600" s="16" t="e">
        <f t="shared" si="3222"/>
        <v>#N/A</v>
      </c>
      <c r="I1600" s="16" t="e">
        <f t="shared" si="3222"/>
        <v>#N/A</v>
      </c>
      <c r="J1600" s="40" t="e">
        <f t="shared" si="3222"/>
        <v>#N/A</v>
      </c>
      <c r="K1600" s="16" t="e">
        <f t="shared" si="3222"/>
        <v>#N/A</v>
      </c>
      <c r="L1600" s="40" t="e">
        <f t="shared" si="3025"/>
        <v>#N/A</v>
      </c>
      <c r="M1600" s="16" t="e">
        <f t="shared" si="3026"/>
        <v>#N/A</v>
      </c>
      <c r="N1600" s="16" t="e">
        <f t="shared" si="3027"/>
        <v>#N/A</v>
      </c>
      <c r="O1600" s="16" t="s">
        <v>69</v>
      </c>
      <c r="P1600" s="16" t="str">
        <f t="shared" si="6"/>
        <v/>
      </c>
      <c r="Q1600" s="41" t="e">
        <f t="shared" si="3028"/>
        <v>#N/A</v>
      </c>
      <c r="R1600" s="44"/>
      <c r="S1600" s="44"/>
      <c r="T1600" s="43"/>
      <c r="U1600" s="43" t="str">
        <f t="shared" si="8"/>
        <v>No</v>
      </c>
      <c r="V1600" s="25"/>
      <c r="W1600" s="25"/>
      <c r="X1600" s="25"/>
      <c r="Y1600" s="25"/>
      <c r="Z1600" s="25"/>
    </row>
    <row r="1601" spans="1:26" ht="15.75" customHeight="1" x14ac:dyDescent="0.25">
      <c r="A1601" s="25">
        <v>1599</v>
      </c>
      <c r="B1601" s="37" t="e">
        <f t="shared" ref="B1601:D1601" si="3223">VLOOKUP($A1601,'[5]Integración Social'!$A$1:$O$233,B$1,0)</f>
        <v>#N/A</v>
      </c>
      <c r="C1601" s="38" t="e">
        <f t="shared" si="3223"/>
        <v>#N/A</v>
      </c>
      <c r="D1601" s="39" t="e">
        <f t="shared" si="3223"/>
        <v>#N/A</v>
      </c>
      <c r="E1601" s="16" t="e">
        <f t="shared" si="1"/>
        <v>#N/A</v>
      </c>
      <c r="F1601" s="16" t="e">
        <f t="shared" ref="F1601:K1601" si="3224">VLOOKUP($A1601,'[5]Integración Social'!$A$1:$O$233,F$1,0)</f>
        <v>#N/A</v>
      </c>
      <c r="G1601" s="39" t="e">
        <f t="shared" si="3224"/>
        <v>#N/A</v>
      </c>
      <c r="H1601" s="16" t="e">
        <f t="shared" si="3224"/>
        <v>#N/A</v>
      </c>
      <c r="I1601" s="16" t="e">
        <f t="shared" si="3224"/>
        <v>#N/A</v>
      </c>
      <c r="J1601" s="40" t="e">
        <f t="shared" si="3224"/>
        <v>#N/A</v>
      </c>
      <c r="K1601" s="16" t="e">
        <f t="shared" si="3224"/>
        <v>#N/A</v>
      </c>
      <c r="L1601" s="40" t="e">
        <f t="shared" si="3025"/>
        <v>#N/A</v>
      </c>
      <c r="M1601" s="16" t="e">
        <f t="shared" si="3026"/>
        <v>#N/A</v>
      </c>
      <c r="N1601" s="16" t="e">
        <f t="shared" si="3027"/>
        <v>#N/A</v>
      </c>
      <c r="O1601" s="16" t="s">
        <v>69</v>
      </c>
      <c r="P1601" s="16" t="str">
        <f t="shared" si="6"/>
        <v/>
      </c>
      <c r="Q1601" s="41" t="e">
        <f t="shared" si="3028"/>
        <v>#N/A</v>
      </c>
      <c r="R1601" s="44"/>
      <c r="S1601" s="44"/>
      <c r="T1601" s="43"/>
      <c r="U1601" s="43" t="str">
        <f t="shared" si="8"/>
        <v>No</v>
      </c>
      <c r="V1601" s="25"/>
      <c r="W1601" s="25"/>
      <c r="X1601" s="25"/>
      <c r="Y1601" s="25"/>
      <c r="Z1601" s="25"/>
    </row>
    <row r="1602" spans="1:26" ht="15.75" customHeight="1" x14ac:dyDescent="0.25">
      <c r="A1602" s="25">
        <v>1600</v>
      </c>
      <c r="B1602" s="37" t="e">
        <f t="shared" ref="B1602:D1602" si="3225">VLOOKUP($A1602,'[5]Integración Social'!$A$1:$O$233,B$1,0)</f>
        <v>#N/A</v>
      </c>
      <c r="C1602" s="38" t="e">
        <f t="shared" si="3225"/>
        <v>#N/A</v>
      </c>
      <c r="D1602" s="39" t="e">
        <f t="shared" si="3225"/>
        <v>#N/A</v>
      </c>
      <c r="E1602" s="16" t="e">
        <f t="shared" si="1"/>
        <v>#N/A</v>
      </c>
      <c r="F1602" s="16" t="e">
        <f t="shared" ref="F1602:K1602" si="3226">VLOOKUP($A1602,'[5]Integración Social'!$A$1:$O$233,F$1,0)</f>
        <v>#N/A</v>
      </c>
      <c r="G1602" s="39" t="e">
        <f t="shared" si="3226"/>
        <v>#N/A</v>
      </c>
      <c r="H1602" s="16" t="e">
        <f t="shared" si="3226"/>
        <v>#N/A</v>
      </c>
      <c r="I1602" s="16" t="e">
        <f t="shared" si="3226"/>
        <v>#N/A</v>
      </c>
      <c r="J1602" s="40" t="e">
        <f t="shared" si="3226"/>
        <v>#N/A</v>
      </c>
      <c r="K1602" s="16" t="e">
        <f t="shared" si="3226"/>
        <v>#N/A</v>
      </c>
      <c r="L1602" s="40" t="e">
        <f t="shared" si="3025"/>
        <v>#N/A</v>
      </c>
      <c r="M1602" s="16" t="e">
        <f t="shared" si="3026"/>
        <v>#N/A</v>
      </c>
      <c r="N1602" s="16" t="e">
        <f t="shared" si="3027"/>
        <v>#N/A</v>
      </c>
      <c r="O1602" s="16" t="s">
        <v>69</v>
      </c>
      <c r="P1602" s="16" t="str">
        <f t="shared" si="6"/>
        <v/>
      </c>
      <c r="Q1602" s="41" t="e">
        <f t="shared" si="3028"/>
        <v>#N/A</v>
      </c>
      <c r="R1602" s="44"/>
      <c r="S1602" s="44"/>
      <c r="T1602" s="43"/>
      <c r="U1602" s="43" t="str">
        <f t="shared" si="8"/>
        <v>No</v>
      </c>
      <c r="V1602" s="25"/>
      <c r="W1602" s="25"/>
      <c r="X1602" s="25"/>
      <c r="Y1602" s="25"/>
      <c r="Z1602" s="25"/>
    </row>
    <row r="1603" spans="1:26" ht="15.75" customHeight="1" x14ac:dyDescent="0.25">
      <c r="A1603" s="25">
        <v>1601</v>
      </c>
      <c r="B1603" s="37" t="e">
        <f t="shared" ref="B1603:D1603" si="3227">VLOOKUP($A1603,'[5]Integración Social'!$A$1:$O$233,B$1,0)</f>
        <v>#N/A</v>
      </c>
      <c r="C1603" s="38" t="e">
        <f t="shared" si="3227"/>
        <v>#N/A</v>
      </c>
      <c r="D1603" s="39" t="e">
        <f t="shared" si="3227"/>
        <v>#N/A</v>
      </c>
      <c r="E1603" s="16" t="e">
        <f t="shared" si="1"/>
        <v>#N/A</v>
      </c>
      <c r="F1603" s="16" t="e">
        <f t="shared" ref="F1603:K1603" si="3228">VLOOKUP($A1603,'[5]Integración Social'!$A$1:$O$233,F$1,0)</f>
        <v>#N/A</v>
      </c>
      <c r="G1603" s="39" t="e">
        <f t="shared" si="3228"/>
        <v>#N/A</v>
      </c>
      <c r="H1603" s="16" t="e">
        <f t="shared" si="3228"/>
        <v>#N/A</v>
      </c>
      <c r="I1603" s="16" t="e">
        <f t="shared" si="3228"/>
        <v>#N/A</v>
      </c>
      <c r="J1603" s="40" t="e">
        <f t="shared" si="3228"/>
        <v>#N/A</v>
      </c>
      <c r="K1603" s="16" t="e">
        <f t="shared" si="3228"/>
        <v>#N/A</v>
      </c>
      <c r="L1603" s="40" t="e">
        <f t="shared" si="3025"/>
        <v>#N/A</v>
      </c>
      <c r="M1603" s="16" t="e">
        <f t="shared" si="3026"/>
        <v>#N/A</v>
      </c>
      <c r="N1603" s="16" t="e">
        <f t="shared" si="3027"/>
        <v>#N/A</v>
      </c>
      <c r="O1603" s="16" t="s">
        <v>69</v>
      </c>
      <c r="P1603" s="16" t="str">
        <f t="shared" si="6"/>
        <v/>
      </c>
      <c r="Q1603" s="41" t="e">
        <f t="shared" si="3028"/>
        <v>#N/A</v>
      </c>
      <c r="R1603" s="44"/>
      <c r="S1603" s="44"/>
      <c r="T1603" s="43"/>
      <c r="U1603" s="43" t="str">
        <f t="shared" si="8"/>
        <v>No</v>
      </c>
      <c r="V1603" s="25"/>
      <c r="W1603" s="25"/>
      <c r="X1603" s="25"/>
      <c r="Y1603" s="25"/>
      <c r="Z1603" s="25"/>
    </row>
    <row r="1604" spans="1:26" ht="15.75" customHeight="1" x14ac:dyDescent="0.25">
      <c r="A1604" s="25">
        <v>1602</v>
      </c>
      <c r="B1604" s="37" t="e">
        <f t="shared" ref="B1604:D1604" si="3229">VLOOKUP($A1604,'[5]Integración Social'!$A$1:$O$233,B$1,0)</f>
        <v>#N/A</v>
      </c>
      <c r="C1604" s="38" t="e">
        <f t="shared" si="3229"/>
        <v>#N/A</v>
      </c>
      <c r="D1604" s="39" t="e">
        <f t="shared" si="3229"/>
        <v>#N/A</v>
      </c>
      <c r="E1604" s="16" t="e">
        <f t="shared" si="1"/>
        <v>#N/A</v>
      </c>
      <c r="F1604" s="16" t="e">
        <f t="shared" ref="F1604:K1604" si="3230">VLOOKUP($A1604,'[5]Integración Social'!$A$1:$O$233,F$1,0)</f>
        <v>#N/A</v>
      </c>
      <c r="G1604" s="39" t="e">
        <f t="shared" si="3230"/>
        <v>#N/A</v>
      </c>
      <c r="H1604" s="16" t="e">
        <f t="shared" si="3230"/>
        <v>#N/A</v>
      </c>
      <c r="I1604" s="16" t="e">
        <f t="shared" si="3230"/>
        <v>#N/A</v>
      </c>
      <c r="J1604" s="40" t="e">
        <f t="shared" si="3230"/>
        <v>#N/A</v>
      </c>
      <c r="K1604" s="16" t="e">
        <f t="shared" si="3230"/>
        <v>#N/A</v>
      </c>
      <c r="L1604" s="40" t="e">
        <f t="shared" si="3025"/>
        <v>#N/A</v>
      </c>
      <c r="M1604" s="16" t="e">
        <f t="shared" si="3026"/>
        <v>#N/A</v>
      </c>
      <c r="N1604" s="16" t="e">
        <f t="shared" si="3027"/>
        <v>#N/A</v>
      </c>
      <c r="O1604" s="16" t="s">
        <v>69</v>
      </c>
      <c r="P1604" s="16" t="str">
        <f t="shared" si="6"/>
        <v/>
      </c>
      <c r="Q1604" s="41" t="e">
        <f t="shared" si="3028"/>
        <v>#N/A</v>
      </c>
      <c r="R1604" s="44"/>
      <c r="S1604" s="44"/>
      <c r="T1604" s="43"/>
      <c r="U1604" s="43" t="str">
        <f t="shared" si="8"/>
        <v>No</v>
      </c>
      <c r="V1604" s="25"/>
      <c r="W1604" s="25"/>
      <c r="X1604" s="25"/>
      <c r="Y1604" s="25"/>
      <c r="Z1604" s="25"/>
    </row>
    <row r="1605" spans="1:26" ht="15.75" customHeight="1" x14ac:dyDescent="0.25">
      <c r="A1605" s="25">
        <v>1603</v>
      </c>
      <c r="B1605" s="37" t="e">
        <f t="shared" ref="B1605:D1605" si="3231">VLOOKUP($A1605,'[5]Integración Social'!$A$1:$O$233,B$1,0)</f>
        <v>#N/A</v>
      </c>
      <c r="C1605" s="38" t="e">
        <f t="shared" si="3231"/>
        <v>#N/A</v>
      </c>
      <c r="D1605" s="39" t="e">
        <f t="shared" si="3231"/>
        <v>#N/A</v>
      </c>
      <c r="E1605" s="16" t="e">
        <f t="shared" si="1"/>
        <v>#N/A</v>
      </c>
      <c r="F1605" s="16" t="e">
        <f t="shared" ref="F1605:K1605" si="3232">VLOOKUP($A1605,'[5]Integración Social'!$A$1:$O$233,F$1,0)</f>
        <v>#N/A</v>
      </c>
      <c r="G1605" s="39" t="e">
        <f t="shared" si="3232"/>
        <v>#N/A</v>
      </c>
      <c r="H1605" s="16" t="e">
        <f t="shared" si="3232"/>
        <v>#N/A</v>
      </c>
      <c r="I1605" s="16" t="e">
        <f t="shared" si="3232"/>
        <v>#N/A</v>
      </c>
      <c r="J1605" s="40" t="e">
        <f t="shared" si="3232"/>
        <v>#N/A</v>
      </c>
      <c r="K1605" s="16" t="e">
        <f t="shared" si="3232"/>
        <v>#N/A</v>
      </c>
      <c r="L1605" s="40" t="e">
        <f t="shared" si="3025"/>
        <v>#N/A</v>
      </c>
      <c r="M1605" s="16" t="e">
        <f t="shared" si="3026"/>
        <v>#N/A</v>
      </c>
      <c r="N1605" s="16" t="e">
        <f t="shared" si="3027"/>
        <v>#N/A</v>
      </c>
      <c r="O1605" s="16" t="s">
        <v>69</v>
      </c>
      <c r="P1605" s="16" t="str">
        <f t="shared" si="6"/>
        <v/>
      </c>
      <c r="Q1605" s="41" t="e">
        <f t="shared" si="3028"/>
        <v>#N/A</v>
      </c>
      <c r="R1605" s="44"/>
      <c r="S1605" s="44"/>
      <c r="T1605" s="43"/>
      <c r="U1605" s="43" t="str">
        <f t="shared" si="8"/>
        <v>No</v>
      </c>
      <c r="V1605" s="25"/>
      <c r="W1605" s="25"/>
      <c r="X1605" s="25"/>
      <c r="Y1605" s="25"/>
      <c r="Z1605" s="25"/>
    </row>
    <row r="1606" spans="1:26" ht="15.75" customHeight="1" x14ac:dyDescent="0.25">
      <c r="A1606" s="25">
        <v>1604</v>
      </c>
      <c r="B1606" s="37" t="e">
        <f t="shared" ref="B1606:D1606" si="3233">VLOOKUP($A1606,'[5]Integración Social'!$A$1:$O$233,B$1,0)</f>
        <v>#N/A</v>
      </c>
      <c r="C1606" s="38" t="e">
        <f t="shared" si="3233"/>
        <v>#N/A</v>
      </c>
      <c r="D1606" s="39" t="e">
        <f t="shared" si="3233"/>
        <v>#N/A</v>
      </c>
      <c r="E1606" s="16" t="e">
        <f t="shared" si="1"/>
        <v>#N/A</v>
      </c>
      <c r="F1606" s="16" t="e">
        <f t="shared" ref="F1606:K1606" si="3234">VLOOKUP($A1606,'[5]Integración Social'!$A$1:$O$233,F$1,0)</f>
        <v>#N/A</v>
      </c>
      <c r="G1606" s="39" t="e">
        <f t="shared" si="3234"/>
        <v>#N/A</v>
      </c>
      <c r="H1606" s="16" t="e">
        <f t="shared" si="3234"/>
        <v>#N/A</v>
      </c>
      <c r="I1606" s="16" t="e">
        <f t="shared" si="3234"/>
        <v>#N/A</v>
      </c>
      <c r="J1606" s="40" t="e">
        <f t="shared" si="3234"/>
        <v>#N/A</v>
      </c>
      <c r="K1606" s="16" t="e">
        <f t="shared" si="3234"/>
        <v>#N/A</v>
      </c>
      <c r="L1606" s="40" t="e">
        <f t="shared" si="3025"/>
        <v>#N/A</v>
      </c>
      <c r="M1606" s="16" t="e">
        <f t="shared" si="3026"/>
        <v>#N/A</v>
      </c>
      <c r="N1606" s="16" t="e">
        <f t="shared" si="3027"/>
        <v>#N/A</v>
      </c>
      <c r="O1606" s="16" t="s">
        <v>69</v>
      </c>
      <c r="P1606" s="16" t="str">
        <f t="shared" si="6"/>
        <v/>
      </c>
      <c r="Q1606" s="41" t="e">
        <f t="shared" si="3028"/>
        <v>#N/A</v>
      </c>
      <c r="R1606" s="44"/>
      <c r="S1606" s="44"/>
      <c r="T1606" s="43"/>
      <c r="U1606" s="43" t="str">
        <f t="shared" si="8"/>
        <v>No</v>
      </c>
      <c r="V1606" s="25"/>
      <c r="W1606" s="25"/>
      <c r="X1606" s="25"/>
      <c r="Y1606" s="25"/>
      <c r="Z1606" s="25"/>
    </row>
    <row r="1607" spans="1:26" ht="15.75" customHeight="1" x14ac:dyDescent="0.25">
      <c r="A1607" s="25">
        <v>1605</v>
      </c>
      <c r="B1607" s="37" t="e">
        <f t="shared" ref="B1607:D1607" si="3235">VLOOKUP($A1607,'[5]Integración Social'!$A$1:$O$233,B$1,0)</f>
        <v>#N/A</v>
      </c>
      <c r="C1607" s="38" t="e">
        <f t="shared" si="3235"/>
        <v>#N/A</v>
      </c>
      <c r="D1607" s="39" t="e">
        <f t="shared" si="3235"/>
        <v>#N/A</v>
      </c>
      <c r="E1607" s="16" t="e">
        <f t="shared" si="1"/>
        <v>#N/A</v>
      </c>
      <c r="F1607" s="16" t="e">
        <f t="shared" ref="F1607:K1607" si="3236">VLOOKUP($A1607,'[5]Integración Social'!$A$1:$O$233,F$1,0)</f>
        <v>#N/A</v>
      </c>
      <c r="G1607" s="39" t="e">
        <f t="shared" si="3236"/>
        <v>#N/A</v>
      </c>
      <c r="H1607" s="16" t="e">
        <f t="shared" si="3236"/>
        <v>#N/A</v>
      </c>
      <c r="I1607" s="16" t="e">
        <f t="shared" si="3236"/>
        <v>#N/A</v>
      </c>
      <c r="J1607" s="40" t="e">
        <f t="shared" si="3236"/>
        <v>#N/A</v>
      </c>
      <c r="K1607" s="16" t="e">
        <f t="shared" si="3236"/>
        <v>#N/A</v>
      </c>
      <c r="L1607" s="40" t="e">
        <f t="shared" si="3025"/>
        <v>#N/A</v>
      </c>
      <c r="M1607" s="16" t="e">
        <f t="shared" si="3026"/>
        <v>#N/A</v>
      </c>
      <c r="N1607" s="16" t="e">
        <f t="shared" si="3027"/>
        <v>#N/A</v>
      </c>
      <c r="O1607" s="16" t="s">
        <v>69</v>
      </c>
      <c r="P1607" s="16" t="str">
        <f t="shared" si="6"/>
        <v/>
      </c>
      <c r="Q1607" s="41" t="e">
        <f t="shared" si="3028"/>
        <v>#N/A</v>
      </c>
      <c r="R1607" s="44"/>
      <c r="S1607" s="44"/>
      <c r="T1607" s="43"/>
      <c r="U1607" s="43" t="str">
        <f t="shared" si="8"/>
        <v>No</v>
      </c>
      <c r="V1607" s="25"/>
      <c r="W1607" s="25"/>
      <c r="X1607" s="25"/>
      <c r="Y1607" s="25"/>
      <c r="Z1607" s="25"/>
    </row>
    <row r="1608" spans="1:26" ht="15.75" customHeight="1" x14ac:dyDescent="0.25">
      <c r="A1608" s="25">
        <v>1606</v>
      </c>
      <c r="B1608" s="37" t="e">
        <f t="shared" ref="B1608:D1608" si="3237">VLOOKUP($A1608,'[5]Integración Social'!$A$1:$O$233,B$1,0)</f>
        <v>#N/A</v>
      </c>
      <c r="C1608" s="38" t="e">
        <f t="shared" si="3237"/>
        <v>#N/A</v>
      </c>
      <c r="D1608" s="39" t="e">
        <f t="shared" si="3237"/>
        <v>#N/A</v>
      </c>
      <c r="E1608" s="16" t="e">
        <f t="shared" si="1"/>
        <v>#N/A</v>
      </c>
      <c r="F1608" s="16" t="e">
        <f t="shared" ref="F1608:K1608" si="3238">VLOOKUP($A1608,'[5]Integración Social'!$A$1:$O$233,F$1,0)</f>
        <v>#N/A</v>
      </c>
      <c r="G1608" s="39" t="e">
        <f t="shared" si="3238"/>
        <v>#N/A</v>
      </c>
      <c r="H1608" s="16" t="e">
        <f t="shared" si="3238"/>
        <v>#N/A</v>
      </c>
      <c r="I1608" s="16" t="e">
        <f t="shared" si="3238"/>
        <v>#N/A</v>
      </c>
      <c r="J1608" s="40" t="e">
        <f t="shared" si="3238"/>
        <v>#N/A</v>
      </c>
      <c r="K1608" s="16" t="e">
        <f t="shared" si="3238"/>
        <v>#N/A</v>
      </c>
      <c r="L1608" s="40" t="e">
        <f t="shared" si="3025"/>
        <v>#N/A</v>
      </c>
      <c r="M1608" s="16" t="e">
        <f t="shared" si="3026"/>
        <v>#N/A</v>
      </c>
      <c r="N1608" s="16" t="e">
        <f t="shared" si="3027"/>
        <v>#N/A</v>
      </c>
      <c r="O1608" s="16" t="s">
        <v>69</v>
      </c>
      <c r="P1608" s="16" t="str">
        <f t="shared" si="6"/>
        <v/>
      </c>
      <c r="Q1608" s="41" t="e">
        <f t="shared" si="3028"/>
        <v>#N/A</v>
      </c>
      <c r="R1608" s="44"/>
      <c r="S1608" s="44"/>
      <c r="T1608" s="43"/>
      <c r="U1608" s="43" t="str">
        <f t="shared" si="8"/>
        <v>No</v>
      </c>
      <c r="V1608" s="25"/>
      <c r="W1608" s="25"/>
      <c r="X1608" s="25"/>
      <c r="Y1608" s="25"/>
      <c r="Z1608" s="25"/>
    </row>
    <row r="1609" spans="1:26" ht="15.75" customHeight="1" x14ac:dyDescent="0.25">
      <c r="A1609" s="25">
        <v>1607</v>
      </c>
      <c r="B1609" s="37" t="e">
        <f t="shared" ref="B1609:D1609" si="3239">VLOOKUP($A1609,'[5]Integración Social'!$A$1:$O$233,B$1,0)</f>
        <v>#N/A</v>
      </c>
      <c r="C1609" s="38" t="e">
        <f t="shared" si="3239"/>
        <v>#N/A</v>
      </c>
      <c r="D1609" s="39" t="e">
        <f t="shared" si="3239"/>
        <v>#N/A</v>
      </c>
      <c r="E1609" s="16" t="e">
        <f t="shared" si="1"/>
        <v>#N/A</v>
      </c>
      <c r="F1609" s="16" t="e">
        <f t="shared" ref="F1609:K1609" si="3240">VLOOKUP($A1609,'[5]Integración Social'!$A$1:$O$233,F$1,0)</f>
        <v>#N/A</v>
      </c>
      <c r="G1609" s="39" t="e">
        <f t="shared" si="3240"/>
        <v>#N/A</v>
      </c>
      <c r="H1609" s="16" t="e">
        <f t="shared" si="3240"/>
        <v>#N/A</v>
      </c>
      <c r="I1609" s="16" t="e">
        <f t="shared" si="3240"/>
        <v>#N/A</v>
      </c>
      <c r="J1609" s="40" t="e">
        <f t="shared" si="3240"/>
        <v>#N/A</v>
      </c>
      <c r="K1609" s="16" t="e">
        <f t="shared" si="3240"/>
        <v>#N/A</v>
      </c>
      <c r="L1609" s="40" t="e">
        <f t="shared" si="3025"/>
        <v>#N/A</v>
      </c>
      <c r="M1609" s="16" t="e">
        <f t="shared" si="3026"/>
        <v>#N/A</v>
      </c>
      <c r="N1609" s="16" t="e">
        <f t="shared" si="3027"/>
        <v>#N/A</v>
      </c>
      <c r="O1609" s="16" t="s">
        <v>69</v>
      </c>
      <c r="P1609" s="16" t="str">
        <f t="shared" si="6"/>
        <v/>
      </c>
      <c r="Q1609" s="41" t="e">
        <f t="shared" si="3028"/>
        <v>#N/A</v>
      </c>
      <c r="R1609" s="44"/>
      <c r="S1609" s="44"/>
      <c r="T1609" s="43"/>
      <c r="U1609" s="43" t="str">
        <f t="shared" si="8"/>
        <v>No</v>
      </c>
      <c r="V1609" s="25"/>
      <c r="W1609" s="25"/>
      <c r="X1609" s="25"/>
      <c r="Y1609" s="25"/>
      <c r="Z1609" s="25"/>
    </row>
    <row r="1610" spans="1:26" ht="15.75" customHeight="1" x14ac:dyDescent="0.25">
      <c r="A1610" s="25">
        <v>1608</v>
      </c>
      <c r="B1610" s="37" t="e">
        <f t="shared" ref="B1610:D1610" si="3241">VLOOKUP($A1610,'[5]Integración Social'!$A$1:$O$233,B$1,0)</f>
        <v>#N/A</v>
      </c>
      <c r="C1610" s="38" t="e">
        <f t="shared" si="3241"/>
        <v>#N/A</v>
      </c>
      <c r="D1610" s="39" t="e">
        <f t="shared" si="3241"/>
        <v>#N/A</v>
      </c>
      <c r="E1610" s="16" t="e">
        <f t="shared" si="1"/>
        <v>#N/A</v>
      </c>
      <c r="F1610" s="16" t="e">
        <f t="shared" ref="F1610:K1610" si="3242">VLOOKUP($A1610,'[5]Integración Social'!$A$1:$O$233,F$1,0)</f>
        <v>#N/A</v>
      </c>
      <c r="G1610" s="39" t="e">
        <f t="shared" si="3242"/>
        <v>#N/A</v>
      </c>
      <c r="H1610" s="16" t="e">
        <f t="shared" si="3242"/>
        <v>#N/A</v>
      </c>
      <c r="I1610" s="16" t="e">
        <f t="shared" si="3242"/>
        <v>#N/A</v>
      </c>
      <c r="J1610" s="40" t="e">
        <f t="shared" si="3242"/>
        <v>#N/A</v>
      </c>
      <c r="K1610" s="16" t="e">
        <f t="shared" si="3242"/>
        <v>#N/A</v>
      </c>
      <c r="L1610" s="40" t="e">
        <f t="shared" si="3025"/>
        <v>#N/A</v>
      </c>
      <c r="M1610" s="16" t="e">
        <f t="shared" si="3026"/>
        <v>#N/A</v>
      </c>
      <c r="N1610" s="16" t="e">
        <f t="shared" si="3027"/>
        <v>#N/A</v>
      </c>
      <c r="O1610" s="16" t="s">
        <v>69</v>
      </c>
      <c r="P1610" s="16" t="str">
        <f t="shared" si="6"/>
        <v/>
      </c>
      <c r="Q1610" s="41" t="e">
        <f t="shared" si="3028"/>
        <v>#N/A</v>
      </c>
      <c r="R1610" s="44"/>
      <c r="S1610" s="44"/>
      <c r="T1610" s="43"/>
      <c r="U1610" s="43" t="str">
        <f t="shared" si="8"/>
        <v>No</v>
      </c>
      <c r="V1610" s="25"/>
      <c r="W1610" s="25"/>
      <c r="X1610" s="25"/>
      <c r="Y1610" s="25"/>
      <c r="Z1610" s="25"/>
    </row>
    <row r="1611" spans="1:26" ht="15.75" customHeight="1" x14ac:dyDescent="0.25">
      <c r="A1611" s="25">
        <v>1609</v>
      </c>
      <c r="B1611" s="37" t="e">
        <f t="shared" ref="B1611:D1611" si="3243">VLOOKUP($A1611,'[5]Integración Social'!$A$1:$O$233,B$1,0)</f>
        <v>#N/A</v>
      </c>
      <c r="C1611" s="38" t="e">
        <f t="shared" si="3243"/>
        <v>#N/A</v>
      </c>
      <c r="D1611" s="39" t="e">
        <f t="shared" si="3243"/>
        <v>#N/A</v>
      </c>
      <c r="E1611" s="16" t="e">
        <f t="shared" si="1"/>
        <v>#N/A</v>
      </c>
      <c r="F1611" s="16" t="e">
        <f t="shared" ref="F1611:K1611" si="3244">VLOOKUP($A1611,'[5]Integración Social'!$A$1:$O$233,F$1,0)</f>
        <v>#N/A</v>
      </c>
      <c r="G1611" s="39" t="e">
        <f t="shared" si="3244"/>
        <v>#N/A</v>
      </c>
      <c r="H1611" s="16" t="e">
        <f t="shared" si="3244"/>
        <v>#N/A</v>
      </c>
      <c r="I1611" s="16" t="e">
        <f t="shared" si="3244"/>
        <v>#N/A</v>
      </c>
      <c r="J1611" s="40" t="e">
        <f t="shared" si="3244"/>
        <v>#N/A</v>
      </c>
      <c r="K1611" s="16" t="e">
        <f t="shared" si="3244"/>
        <v>#N/A</v>
      </c>
      <c r="L1611" s="40" t="e">
        <f t="shared" si="3025"/>
        <v>#N/A</v>
      </c>
      <c r="M1611" s="16" t="e">
        <f t="shared" si="3026"/>
        <v>#N/A</v>
      </c>
      <c r="N1611" s="16" t="e">
        <f t="shared" si="3027"/>
        <v>#N/A</v>
      </c>
      <c r="O1611" s="16" t="s">
        <v>69</v>
      </c>
      <c r="P1611" s="16" t="str">
        <f t="shared" si="6"/>
        <v/>
      </c>
      <c r="Q1611" s="41" t="e">
        <f t="shared" si="3028"/>
        <v>#N/A</v>
      </c>
      <c r="R1611" s="44"/>
      <c r="S1611" s="44"/>
      <c r="T1611" s="43"/>
      <c r="U1611" s="43" t="str">
        <f t="shared" si="8"/>
        <v>No</v>
      </c>
      <c r="V1611" s="25"/>
      <c r="W1611" s="25"/>
      <c r="X1611" s="25"/>
      <c r="Y1611" s="25"/>
      <c r="Z1611" s="25"/>
    </row>
    <row r="1612" spans="1:26" ht="15.75" customHeight="1" x14ac:dyDescent="0.25">
      <c r="A1612" s="25">
        <v>1610</v>
      </c>
      <c r="B1612" s="37" t="e">
        <f t="shared" ref="B1612:D1612" si="3245">VLOOKUP($A1612,'[5]Integración Social'!$A$1:$O$233,B$1,0)</f>
        <v>#N/A</v>
      </c>
      <c r="C1612" s="38" t="e">
        <f t="shared" si="3245"/>
        <v>#N/A</v>
      </c>
      <c r="D1612" s="39" t="e">
        <f t="shared" si="3245"/>
        <v>#N/A</v>
      </c>
      <c r="E1612" s="16" t="e">
        <f t="shared" si="1"/>
        <v>#N/A</v>
      </c>
      <c r="F1612" s="16" t="e">
        <f t="shared" ref="F1612:K1612" si="3246">VLOOKUP($A1612,'[5]Integración Social'!$A$1:$O$233,F$1,0)</f>
        <v>#N/A</v>
      </c>
      <c r="G1612" s="39" t="e">
        <f t="shared" si="3246"/>
        <v>#N/A</v>
      </c>
      <c r="H1612" s="16" t="e">
        <f t="shared" si="3246"/>
        <v>#N/A</v>
      </c>
      <c r="I1612" s="16" t="e">
        <f t="shared" si="3246"/>
        <v>#N/A</v>
      </c>
      <c r="J1612" s="40" t="e">
        <f t="shared" si="3246"/>
        <v>#N/A</v>
      </c>
      <c r="K1612" s="16" t="e">
        <f t="shared" si="3246"/>
        <v>#N/A</v>
      </c>
      <c r="L1612" s="40" t="e">
        <f t="shared" si="3025"/>
        <v>#N/A</v>
      </c>
      <c r="M1612" s="16" t="e">
        <f t="shared" si="3026"/>
        <v>#N/A</v>
      </c>
      <c r="N1612" s="16" t="e">
        <f t="shared" si="3027"/>
        <v>#N/A</v>
      </c>
      <c r="O1612" s="16" t="s">
        <v>69</v>
      </c>
      <c r="P1612" s="16" t="str">
        <f t="shared" si="6"/>
        <v/>
      </c>
      <c r="Q1612" s="41" t="e">
        <f t="shared" si="3028"/>
        <v>#N/A</v>
      </c>
      <c r="R1612" s="44"/>
      <c r="S1612" s="44"/>
      <c r="T1612" s="43"/>
      <c r="U1612" s="43" t="str">
        <f t="shared" si="8"/>
        <v>No</v>
      </c>
      <c r="V1612" s="25"/>
      <c r="W1612" s="25"/>
      <c r="X1612" s="25"/>
      <c r="Y1612" s="25"/>
      <c r="Z1612" s="25"/>
    </row>
    <row r="1613" spans="1:26" ht="15.75" customHeight="1" x14ac:dyDescent="0.25">
      <c r="A1613" s="25">
        <v>1611</v>
      </c>
      <c r="B1613" s="37" t="e">
        <f t="shared" ref="B1613:D1613" si="3247">VLOOKUP($A1613,'[5]Integración Social'!$A$1:$O$233,B$1,0)</f>
        <v>#N/A</v>
      </c>
      <c r="C1613" s="38" t="e">
        <f t="shared" si="3247"/>
        <v>#N/A</v>
      </c>
      <c r="D1613" s="39" t="e">
        <f t="shared" si="3247"/>
        <v>#N/A</v>
      </c>
      <c r="E1613" s="16" t="e">
        <f t="shared" si="1"/>
        <v>#N/A</v>
      </c>
      <c r="F1613" s="16" t="e">
        <f t="shared" ref="F1613:K1613" si="3248">VLOOKUP($A1613,'[5]Integración Social'!$A$1:$O$233,F$1,0)</f>
        <v>#N/A</v>
      </c>
      <c r="G1613" s="39" t="e">
        <f t="shared" si="3248"/>
        <v>#N/A</v>
      </c>
      <c r="H1613" s="16" t="e">
        <f t="shared" si="3248"/>
        <v>#N/A</v>
      </c>
      <c r="I1613" s="16" t="e">
        <f t="shared" si="3248"/>
        <v>#N/A</v>
      </c>
      <c r="J1613" s="40" t="e">
        <f t="shared" si="3248"/>
        <v>#N/A</v>
      </c>
      <c r="K1613" s="16" t="e">
        <f t="shared" si="3248"/>
        <v>#N/A</v>
      </c>
      <c r="L1613" s="40" t="e">
        <f t="shared" si="3025"/>
        <v>#N/A</v>
      </c>
      <c r="M1613" s="16" t="e">
        <f t="shared" si="3026"/>
        <v>#N/A</v>
      </c>
      <c r="N1613" s="16" t="e">
        <f t="shared" si="3027"/>
        <v>#N/A</v>
      </c>
      <c r="O1613" s="16" t="s">
        <v>69</v>
      </c>
      <c r="P1613" s="16" t="str">
        <f t="shared" si="6"/>
        <v/>
      </c>
      <c r="Q1613" s="41" t="e">
        <f t="shared" si="3028"/>
        <v>#N/A</v>
      </c>
      <c r="R1613" s="44"/>
      <c r="S1613" s="44"/>
      <c r="T1613" s="43"/>
      <c r="U1613" s="43" t="str">
        <f t="shared" si="8"/>
        <v>No</v>
      </c>
      <c r="V1613" s="25"/>
      <c r="W1613" s="25"/>
      <c r="X1613" s="25"/>
      <c r="Y1613" s="25"/>
      <c r="Z1613" s="25"/>
    </row>
    <row r="1614" spans="1:26" ht="15.75" customHeight="1" x14ac:dyDescent="0.25">
      <c r="A1614" s="25">
        <v>1612</v>
      </c>
      <c r="B1614" s="37" t="e">
        <f t="shared" ref="B1614:D1614" si="3249">VLOOKUP($A1614,'[5]Integración Social'!$A$1:$O$233,B$1,0)</f>
        <v>#N/A</v>
      </c>
      <c r="C1614" s="38" t="e">
        <f t="shared" si="3249"/>
        <v>#N/A</v>
      </c>
      <c r="D1614" s="39" t="e">
        <f t="shared" si="3249"/>
        <v>#N/A</v>
      </c>
      <c r="E1614" s="16" t="e">
        <f t="shared" si="1"/>
        <v>#N/A</v>
      </c>
      <c r="F1614" s="16" t="e">
        <f t="shared" ref="F1614:K1614" si="3250">VLOOKUP($A1614,'[5]Integración Social'!$A$1:$O$233,F$1,0)</f>
        <v>#N/A</v>
      </c>
      <c r="G1614" s="39" t="e">
        <f t="shared" si="3250"/>
        <v>#N/A</v>
      </c>
      <c r="H1614" s="16" t="e">
        <f t="shared" si="3250"/>
        <v>#N/A</v>
      </c>
      <c r="I1614" s="16" t="e">
        <f t="shared" si="3250"/>
        <v>#N/A</v>
      </c>
      <c r="J1614" s="40" t="e">
        <f t="shared" si="3250"/>
        <v>#N/A</v>
      </c>
      <c r="K1614" s="16" t="e">
        <f t="shared" si="3250"/>
        <v>#N/A</v>
      </c>
      <c r="L1614" s="40" t="e">
        <f t="shared" si="3025"/>
        <v>#N/A</v>
      </c>
      <c r="M1614" s="16" t="e">
        <f t="shared" si="3026"/>
        <v>#N/A</v>
      </c>
      <c r="N1614" s="16" t="e">
        <f t="shared" si="3027"/>
        <v>#N/A</v>
      </c>
      <c r="O1614" s="16" t="s">
        <v>69</v>
      </c>
      <c r="P1614" s="16" t="str">
        <f t="shared" si="6"/>
        <v/>
      </c>
      <c r="Q1614" s="41" t="e">
        <f t="shared" si="3028"/>
        <v>#N/A</v>
      </c>
      <c r="R1614" s="44"/>
      <c r="S1614" s="44"/>
      <c r="T1614" s="43"/>
      <c r="U1614" s="43" t="str">
        <f t="shared" si="8"/>
        <v>No</v>
      </c>
      <c r="V1614" s="25"/>
      <c r="W1614" s="25"/>
      <c r="X1614" s="25"/>
      <c r="Y1614" s="25"/>
      <c r="Z1614" s="25"/>
    </row>
    <row r="1615" spans="1:26" ht="15.75" customHeight="1" x14ac:dyDescent="0.25">
      <c r="A1615" s="25">
        <v>1613</v>
      </c>
      <c r="B1615" s="37" t="e">
        <f t="shared" ref="B1615:D1615" si="3251">VLOOKUP($A1615,'[5]Integración Social'!$A$1:$O$233,B$1,0)</f>
        <v>#N/A</v>
      </c>
      <c r="C1615" s="38" t="e">
        <f t="shared" si="3251"/>
        <v>#N/A</v>
      </c>
      <c r="D1615" s="39" t="e">
        <f t="shared" si="3251"/>
        <v>#N/A</v>
      </c>
      <c r="E1615" s="16" t="e">
        <f t="shared" si="1"/>
        <v>#N/A</v>
      </c>
      <c r="F1615" s="16" t="e">
        <f t="shared" ref="F1615:K1615" si="3252">VLOOKUP($A1615,'[5]Integración Social'!$A$1:$O$233,F$1,0)</f>
        <v>#N/A</v>
      </c>
      <c r="G1615" s="39" t="e">
        <f t="shared" si="3252"/>
        <v>#N/A</v>
      </c>
      <c r="H1615" s="16" t="e">
        <f t="shared" si="3252"/>
        <v>#N/A</v>
      </c>
      <c r="I1615" s="16" t="e">
        <f t="shared" si="3252"/>
        <v>#N/A</v>
      </c>
      <c r="J1615" s="40" t="e">
        <f t="shared" si="3252"/>
        <v>#N/A</v>
      </c>
      <c r="K1615" s="16" t="e">
        <f t="shared" si="3252"/>
        <v>#N/A</v>
      </c>
      <c r="L1615" s="40" t="e">
        <f t="shared" si="3025"/>
        <v>#N/A</v>
      </c>
      <c r="M1615" s="16" t="e">
        <f t="shared" si="3026"/>
        <v>#N/A</v>
      </c>
      <c r="N1615" s="16" t="e">
        <f t="shared" si="3027"/>
        <v>#N/A</v>
      </c>
      <c r="O1615" s="16" t="s">
        <v>69</v>
      </c>
      <c r="P1615" s="16" t="str">
        <f t="shared" si="6"/>
        <v/>
      </c>
      <c r="Q1615" s="41" t="e">
        <f t="shared" si="3028"/>
        <v>#N/A</v>
      </c>
      <c r="R1615" s="44"/>
      <c r="S1615" s="44"/>
      <c r="T1615" s="43"/>
      <c r="U1615" s="43" t="str">
        <f t="shared" si="8"/>
        <v>No</v>
      </c>
      <c r="V1615" s="25"/>
      <c r="W1615" s="25"/>
      <c r="X1615" s="25"/>
      <c r="Y1615" s="25"/>
      <c r="Z1615" s="25"/>
    </row>
    <row r="1616" spans="1:26" ht="15.75" customHeight="1" x14ac:dyDescent="0.25">
      <c r="A1616" s="25">
        <v>1614</v>
      </c>
      <c r="B1616" s="37" t="e">
        <f t="shared" ref="B1616:D1616" si="3253">VLOOKUP($A1616,'[5]Integración Social'!$A$1:$O$233,B$1,0)</f>
        <v>#N/A</v>
      </c>
      <c r="C1616" s="38" t="e">
        <f t="shared" si="3253"/>
        <v>#N/A</v>
      </c>
      <c r="D1616" s="39" t="e">
        <f t="shared" si="3253"/>
        <v>#N/A</v>
      </c>
      <c r="E1616" s="16" t="e">
        <f t="shared" si="1"/>
        <v>#N/A</v>
      </c>
      <c r="F1616" s="16" t="e">
        <f t="shared" ref="F1616:K1616" si="3254">VLOOKUP($A1616,'[5]Integración Social'!$A$1:$O$233,F$1,0)</f>
        <v>#N/A</v>
      </c>
      <c r="G1616" s="39" t="e">
        <f t="shared" si="3254"/>
        <v>#N/A</v>
      </c>
      <c r="H1616" s="16" t="e">
        <f t="shared" si="3254"/>
        <v>#N/A</v>
      </c>
      <c r="I1616" s="16" t="e">
        <f t="shared" si="3254"/>
        <v>#N/A</v>
      </c>
      <c r="J1616" s="40" t="e">
        <f t="shared" si="3254"/>
        <v>#N/A</v>
      </c>
      <c r="K1616" s="16" t="e">
        <f t="shared" si="3254"/>
        <v>#N/A</v>
      </c>
      <c r="L1616" s="40" t="e">
        <f t="shared" si="3025"/>
        <v>#N/A</v>
      </c>
      <c r="M1616" s="16" t="e">
        <f t="shared" si="3026"/>
        <v>#N/A</v>
      </c>
      <c r="N1616" s="16" t="e">
        <f t="shared" si="3027"/>
        <v>#N/A</v>
      </c>
      <c r="O1616" s="16" t="s">
        <v>69</v>
      </c>
      <c r="P1616" s="16" t="str">
        <f t="shared" si="6"/>
        <v/>
      </c>
      <c r="Q1616" s="41" t="e">
        <f t="shared" si="3028"/>
        <v>#N/A</v>
      </c>
      <c r="R1616" s="44"/>
      <c r="S1616" s="44"/>
      <c r="T1616" s="43"/>
      <c r="U1616" s="43" t="str">
        <f t="shared" si="8"/>
        <v>No</v>
      </c>
      <c r="V1616" s="25"/>
      <c r="W1616" s="25"/>
      <c r="X1616" s="25"/>
      <c r="Y1616" s="25"/>
      <c r="Z1616" s="25"/>
    </row>
    <row r="1617" spans="1:26" ht="15.75" customHeight="1" x14ac:dyDescent="0.25">
      <c r="A1617" s="25">
        <v>1615</v>
      </c>
      <c r="B1617" s="37" t="e">
        <f t="shared" ref="B1617:D1617" si="3255">VLOOKUP($A1617,'[5]Integración Social'!$A$1:$O$233,B$1,0)</f>
        <v>#N/A</v>
      </c>
      <c r="C1617" s="38" t="e">
        <f t="shared" si="3255"/>
        <v>#N/A</v>
      </c>
      <c r="D1617" s="39" t="e">
        <f t="shared" si="3255"/>
        <v>#N/A</v>
      </c>
      <c r="E1617" s="16" t="e">
        <f t="shared" si="1"/>
        <v>#N/A</v>
      </c>
      <c r="F1617" s="16" t="e">
        <f t="shared" ref="F1617:K1617" si="3256">VLOOKUP($A1617,'[5]Integración Social'!$A$1:$O$233,F$1,0)</f>
        <v>#N/A</v>
      </c>
      <c r="G1617" s="39" t="e">
        <f t="shared" si="3256"/>
        <v>#N/A</v>
      </c>
      <c r="H1617" s="16" t="e">
        <f t="shared" si="3256"/>
        <v>#N/A</v>
      </c>
      <c r="I1617" s="16" t="e">
        <f t="shared" si="3256"/>
        <v>#N/A</v>
      </c>
      <c r="J1617" s="40" t="e">
        <f t="shared" si="3256"/>
        <v>#N/A</v>
      </c>
      <c r="K1617" s="16" t="e">
        <f t="shared" si="3256"/>
        <v>#N/A</v>
      </c>
      <c r="L1617" s="40" t="e">
        <f t="shared" si="3025"/>
        <v>#N/A</v>
      </c>
      <c r="M1617" s="16" t="e">
        <f t="shared" si="3026"/>
        <v>#N/A</v>
      </c>
      <c r="N1617" s="16" t="e">
        <f t="shared" si="3027"/>
        <v>#N/A</v>
      </c>
      <c r="O1617" s="16" t="s">
        <v>69</v>
      </c>
      <c r="P1617" s="16" t="str">
        <f t="shared" si="6"/>
        <v/>
      </c>
      <c r="Q1617" s="41" t="e">
        <f t="shared" si="3028"/>
        <v>#N/A</v>
      </c>
      <c r="R1617" s="44"/>
      <c r="S1617" s="44"/>
      <c r="T1617" s="43"/>
      <c r="U1617" s="43" t="str">
        <f t="shared" si="8"/>
        <v>No</v>
      </c>
      <c r="V1617" s="25"/>
      <c r="W1617" s="25"/>
      <c r="X1617" s="25"/>
      <c r="Y1617" s="25"/>
      <c r="Z1617" s="25"/>
    </row>
    <row r="1618" spans="1:26" ht="15.75" customHeight="1" x14ac:dyDescent="0.25">
      <c r="A1618" s="25">
        <v>1616</v>
      </c>
      <c r="B1618" s="37" t="e">
        <f t="shared" ref="B1618:D1618" si="3257">VLOOKUP($A1618,'[5]Integración Social'!$A$1:$O$233,B$1,0)</f>
        <v>#N/A</v>
      </c>
      <c r="C1618" s="38" t="e">
        <f t="shared" si="3257"/>
        <v>#N/A</v>
      </c>
      <c r="D1618" s="39" t="e">
        <f t="shared" si="3257"/>
        <v>#N/A</v>
      </c>
      <c r="E1618" s="16" t="e">
        <f t="shared" si="1"/>
        <v>#N/A</v>
      </c>
      <c r="F1618" s="16" t="e">
        <f t="shared" ref="F1618:K1618" si="3258">VLOOKUP($A1618,'[5]Integración Social'!$A$1:$O$233,F$1,0)</f>
        <v>#N/A</v>
      </c>
      <c r="G1618" s="39" t="e">
        <f t="shared" si="3258"/>
        <v>#N/A</v>
      </c>
      <c r="H1618" s="16" t="e">
        <f t="shared" si="3258"/>
        <v>#N/A</v>
      </c>
      <c r="I1618" s="16" t="e">
        <f t="shared" si="3258"/>
        <v>#N/A</v>
      </c>
      <c r="J1618" s="40" t="e">
        <f t="shared" si="3258"/>
        <v>#N/A</v>
      </c>
      <c r="K1618" s="16" t="e">
        <f t="shared" si="3258"/>
        <v>#N/A</v>
      </c>
      <c r="L1618" s="40" t="e">
        <f t="shared" si="3025"/>
        <v>#N/A</v>
      </c>
      <c r="M1618" s="16" t="e">
        <f t="shared" si="3026"/>
        <v>#N/A</v>
      </c>
      <c r="N1618" s="16" t="e">
        <f t="shared" si="3027"/>
        <v>#N/A</v>
      </c>
      <c r="O1618" s="16" t="s">
        <v>69</v>
      </c>
      <c r="P1618" s="16" t="str">
        <f t="shared" si="6"/>
        <v/>
      </c>
      <c r="Q1618" s="41" t="e">
        <f t="shared" si="3028"/>
        <v>#N/A</v>
      </c>
      <c r="R1618" s="44"/>
      <c r="S1618" s="44"/>
      <c r="T1618" s="43"/>
      <c r="U1618" s="43" t="str">
        <f t="shared" si="8"/>
        <v>No</v>
      </c>
      <c r="V1618" s="25"/>
      <c r="W1618" s="25"/>
      <c r="X1618" s="25"/>
      <c r="Y1618" s="25"/>
      <c r="Z1618" s="25"/>
    </row>
    <row r="1619" spans="1:26" ht="15.75" customHeight="1" x14ac:dyDescent="0.25">
      <c r="A1619" s="25">
        <v>1617</v>
      </c>
      <c r="B1619" s="37" t="e">
        <f t="shared" ref="B1619:D1619" si="3259">VLOOKUP($A1619,'[5]Integración Social'!$A$1:$O$233,B$1,0)</f>
        <v>#N/A</v>
      </c>
      <c r="C1619" s="38" t="e">
        <f t="shared" si="3259"/>
        <v>#N/A</v>
      </c>
      <c r="D1619" s="39" t="e">
        <f t="shared" si="3259"/>
        <v>#N/A</v>
      </c>
      <c r="E1619" s="16" t="e">
        <f t="shared" si="1"/>
        <v>#N/A</v>
      </c>
      <c r="F1619" s="16" t="e">
        <f t="shared" ref="F1619:K1619" si="3260">VLOOKUP($A1619,'[5]Integración Social'!$A$1:$O$233,F$1,0)</f>
        <v>#N/A</v>
      </c>
      <c r="G1619" s="39" t="e">
        <f t="shared" si="3260"/>
        <v>#N/A</v>
      </c>
      <c r="H1619" s="16" t="e">
        <f t="shared" si="3260"/>
        <v>#N/A</v>
      </c>
      <c r="I1619" s="16" t="e">
        <f t="shared" si="3260"/>
        <v>#N/A</v>
      </c>
      <c r="J1619" s="40" t="e">
        <f t="shared" si="3260"/>
        <v>#N/A</v>
      </c>
      <c r="K1619" s="16" t="e">
        <f t="shared" si="3260"/>
        <v>#N/A</v>
      </c>
      <c r="L1619" s="40" t="e">
        <f t="shared" si="3025"/>
        <v>#N/A</v>
      </c>
      <c r="M1619" s="16" t="e">
        <f t="shared" si="3026"/>
        <v>#N/A</v>
      </c>
      <c r="N1619" s="16" t="e">
        <f t="shared" si="3027"/>
        <v>#N/A</v>
      </c>
      <c r="O1619" s="16" t="s">
        <v>69</v>
      </c>
      <c r="P1619" s="16" t="str">
        <f t="shared" si="6"/>
        <v/>
      </c>
      <c r="Q1619" s="41" t="e">
        <f t="shared" si="3028"/>
        <v>#N/A</v>
      </c>
      <c r="R1619" s="44"/>
      <c r="S1619" s="44"/>
      <c r="T1619" s="43"/>
      <c r="U1619" s="43" t="str">
        <f t="shared" si="8"/>
        <v>No</v>
      </c>
      <c r="V1619" s="25"/>
      <c r="W1619" s="25"/>
      <c r="X1619" s="25"/>
      <c r="Y1619" s="25"/>
      <c r="Z1619" s="25"/>
    </row>
    <row r="1620" spans="1:26" ht="15.75" customHeight="1" x14ac:dyDescent="0.25">
      <c r="A1620" s="25">
        <v>1618</v>
      </c>
      <c r="B1620" s="37" t="e">
        <f t="shared" ref="B1620:D1620" si="3261">VLOOKUP($A1620,'[5]Integración Social'!$A$1:$O$233,B$1,0)</f>
        <v>#N/A</v>
      </c>
      <c r="C1620" s="38" t="e">
        <f t="shared" si="3261"/>
        <v>#N/A</v>
      </c>
      <c r="D1620" s="39" t="e">
        <f t="shared" si="3261"/>
        <v>#N/A</v>
      </c>
      <c r="E1620" s="16" t="e">
        <f t="shared" si="1"/>
        <v>#N/A</v>
      </c>
      <c r="F1620" s="16" t="e">
        <f t="shared" ref="F1620:K1620" si="3262">VLOOKUP($A1620,'[5]Integración Social'!$A$1:$O$233,F$1,0)</f>
        <v>#N/A</v>
      </c>
      <c r="G1620" s="39" t="e">
        <f t="shared" si="3262"/>
        <v>#N/A</v>
      </c>
      <c r="H1620" s="16" t="e">
        <f t="shared" si="3262"/>
        <v>#N/A</v>
      </c>
      <c r="I1620" s="16" t="e">
        <f t="shared" si="3262"/>
        <v>#N/A</v>
      </c>
      <c r="J1620" s="40" t="e">
        <f t="shared" si="3262"/>
        <v>#N/A</v>
      </c>
      <c r="K1620" s="16" t="e">
        <f t="shared" si="3262"/>
        <v>#N/A</v>
      </c>
      <c r="L1620" s="40" t="e">
        <f t="shared" si="3025"/>
        <v>#N/A</v>
      </c>
      <c r="M1620" s="16" t="e">
        <f t="shared" si="3026"/>
        <v>#N/A</v>
      </c>
      <c r="N1620" s="16" t="e">
        <f t="shared" si="3027"/>
        <v>#N/A</v>
      </c>
      <c r="O1620" s="16" t="s">
        <v>69</v>
      </c>
      <c r="P1620" s="16" t="str">
        <f t="shared" si="6"/>
        <v/>
      </c>
      <c r="Q1620" s="41" t="e">
        <f t="shared" si="3028"/>
        <v>#N/A</v>
      </c>
      <c r="R1620" s="44"/>
      <c r="S1620" s="44"/>
      <c r="T1620" s="43"/>
      <c r="U1620" s="43" t="str">
        <f t="shared" si="8"/>
        <v>No</v>
      </c>
      <c r="V1620" s="25"/>
      <c r="W1620" s="25"/>
      <c r="X1620" s="25"/>
      <c r="Y1620" s="25"/>
      <c r="Z1620" s="25"/>
    </row>
    <row r="1621" spans="1:26" ht="15.75" customHeight="1" x14ac:dyDescent="0.25">
      <c r="A1621" s="25">
        <v>1619</v>
      </c>
      <c r="B1621" s="37" t="e">
        <f t="shared" ref="B1621:D1621" si="3263">VLOOKUP($A1621,'[5]Integración Social'!$A$1:$O$233,B$1,0)</f>
        <v>#N/A</v>
      </c>
      <c r="C1621" s="38" t="e">
        <f t="shared" si="3263"/>
        <v>#N/A</v>
      </c>
      <c r="D1621" s="39" t="e">
        <f t="shared" si="3263"/>
        <v>#N/A</v>
      </c>
      <c r="E1621" s="16" t="e">
        <f t="shared" si="1"/>
        <v>#N/A</v>
      </c>
      <c r="F1621" s="16" t="e">
        <f t="shared" ref="F1621:K1621" si="3264">VLOOKUP($A1621,'[5]Integración Social'!$A$1:$O$233,F$1,0)</f>
        <v>#N/A</v>
      </c>
      <c r="G1621" s="39" t="e">
        <f t="shared" si="3264"/>
        <v>#N/A</v>
      </c>
      <c r="H1621" s="16" t="e">
        <f t="shared" si="3264"/>
        <v>#N/A</v>
      </c>
      <c r="I1621" s="16" t="e">
        <f t="shared" si="3264"/>
        <v>#N/A</v>
      </c>
      <c r="J1621" s="40" t="e">
        <f t="shared" si="3264"/>
        <v>#N/A</v>
      </c>
      <c r="K1621" s="16" t="e">
        <f t="shared" si="3264"/>
        <v>#N/A</v>
      </c>
      <c r="L1621" s="40" t="e">
        <f t="shared" si="3025"/>
        <v>#N/A</v>
      </c>
      <c r="M1621" s="16" t="e">
        <f t="shared" si="3026"/>
        <v>#N/A</v>
      </c>
      <c r="N1621" s="16" t="e">
        <f t="shared" si="3027"/>
        <v>#N/A</v>
      </c>
      <c r="O1621" s="16" t="s">
        <v>69</v>
      </c>
      <c r="P1621" s="16" t="str">
        <f t="shared" si="6"/>
        <v/>
      </c>
      <c r="Q1621" s="41" t="e">
        <f t="shared" si="3028"/>
        <v>#N/A</v>
      </c>
      <c r="R1621" s="44"/>
      <c r="S1621" s="44"/>
      <c r="T1621" s="43"/>
      <c r="U1621" s="43" t="str">
        <f t="shared" si="8"/>
        <v>No</v>
      </c>
      <c r="V1621" s="25"/>
      <c r="W1621" s="25"/>
      <c r="X1621" s="25"/>
      <c r="Y1621" s="25"/>
      <c r="Z1621" s="25"/>
    </row>
    <row r="1622" spans="1:26" ht="15.75" customHeight="1" x14ac:dyDescent="0.25">
      <c r="A1622" s="25">
        <v>1620</v>
      </c>
      <c r="B1622" s="37" t="e">
        <f t="shared" ref="B1622:D1622" si="3265">VLOOKUP($A1622,'[5]Integración Social'!$A$1:$O$233,B$1,0)</f>
        <v>#N/A</v>
      </c>
      <c r="C1622" s="38" t="e">
        <f t="shared" si="3265"/>
        <v>#N/A</v>
      </c>
      <c r="D1622" s="39" t="e">
        <f t="shared" si="3265"/>
        <v>#N/A</v>
      </c>
      <c r="E1622" s="16" t="e">
        <f t="shared" si="1"/>
        <v>#N/A</v>
      </c>
      <c r="F1622" s="16" t="e">
        <f t="shared" ref="F1622:K1622" si="3266">VLOOKUP($A1622,'[5]Integración Social'!$A$1:$O$233,F$1,0)</f>
        <v>#N/A</v>
      </c>
      <c r="G1622" s="39" t="e">
        <f t="shared" si="3266"/>
        <v>#N/A</v>
      </c>
      <c r="H1622" s="16" t="e">
        <f t="shared" si="3266"/>
        <v>#N/A</v>
      </c>
      <c r="I1622" s="16" t="e">
        <f t="shared" si="3266"/>
        <v>#N/A</v>
      </c>
      <c r="J1622" s="40" t="e">
        <f t="shared" si="3266"/>
        <v>#N/A</v>
      </c>
      <c r="K1622" s="16" t="e">
        <f t="shared" si="3266"/>
        <v>#N/A</v>
      </c>
      <c r="L1622" s="40" t="e">
        <f t="shared" si="3025"/>
        <v>#N/A</v>
      </c>
      <c r="M1622" s="16" t="e">
        <f t="shared" si="3026"/>
        <v>#N/A</v>
      </c>
      <c r="N1622" s="16" t="e">
        <f t="shared" si="3027"/>
        <v>#N/A</v>
      </c>
      <c r="O1622" s="16" t="s">
        <v>69</v>
      </c>
      <c r="P1622" s="16" t="str">
        <f t="shared" si="6"/>
        <v/>
      </c>
      <c r="Q1622" s="41" t="e">
        <f t="shared" si="3028"/>
        <v>#N/A</v>
      </c>
      <c r="R1622" s="44"/>
      <c r="S1622" s="44"/>
      <c r="T1622" s="43"/>
      <c r="U1622" s="43" t="str">
        <f t="shared" si="8"/>
        <v>No</v>
      </c>
      <c r="V1622" s="25"/>
      <c r="W1622" s="25"/>
      <c r="X1622" s="25"/>
      <c r="Y1622" s="25"/>
      <c r="Z1622" s="25"/>
    </row>
    <row r="1623" spans="1:26" ht="15.75" customHeight="1" x14ac:dyDescent="0.25">
      <c r="A1623" s="25">
        <v>1621</v>
      </c>
      <c r="B1623" s="37" t="e">
        <f t="shared" ref="B1623:D1623" si="3267">VLOOKUP($A1623,'[5]Integración Social'!$A$1:$O$233,B$1,0)</f>
        <v>#N/A</v>
      </c>
      <c r="C1623" s="38" t="e">
        <f t="shared" si="3267"/>
        <v>#N/A</v>
      </c>
      <c r="D1623" s="39" t="e">
        <f t="shared" si="3267"/>
        <v>#N/A</v>
      </c>
      <c r="E1623" s="16" t="e">
        <f t="shared" si="1"/>
        <v>#N/A</v>
      </c>
      <c r="F1623" s="16" t="e">
        <f t="shared" ref="F1623:K1623" si="3268">VLOOKUP($A1623,'[5]Integración Social'!$A$1:$O$233,F$1,0)</f>
        <v>#N/A</v>
      </c>
      <c r="G1623" s="39" t="e">
        <f t="shared" si="3268"/>
        <v>#N/A</v>
      </c>
      <c r="H1623" s="16" t="e">
        <f t="shared" si="3268"/>
        <v>#N/A</v>
      </c>
      <c r="I1623" s="16" t="e">
        <f t="shared" si="3268"/>
        <v>#N/A</v>
      </c>
      <c r="J1623" s="40" t="e">
        <f t="shared" si="3268"/>
        <v>#N/A</v>
      </c>
      <c r="K1623" s="16" t="e">
        <f t="shared" si="3268"/>
        <v>#N/A</v>
      </c>
      <c r="L1623" s="40" t="e">
        <f t="shared" si="3025"/>
        <v>#N/A</v>
      </c>
      <c r="M1623" s="16" t="e">
        <f t="shared" si="3026"/>
        <v>#N/A</v>
      </c>
      <c r="N1623" s="16" t="e">
        <f t="shared" si="3027"/>
        <v>#N/A</v>
      </c>
      <c r="O1623" s="16" t="s">
        <v>69</v>
      </c>
      <c r="P1623" s="16" t="str">
        <f t="shared" si="6"/>
        <v/>
      </c>
      <c r="Q1623" s="41" t="e">
        <f t="shared" si="3028"/>
        <v>#N/A</v>
      </c>
      <c r="R1623" s="44"/>
      <c r="S1623" s="44"/>
      <c r="T1623" s="43"/>
      <c r="U1623" s="43" t="str">
        <f t="shared" si="8"/>
        <v>No</v>
      </c>
      <c r="V1623" s="25"/>
      <c r="W1623" s="25"/>
      <c r="X1623" s="25"/>
      <c r="Y1623" s="25"/>
      <c r="Z1623" s="25"/>
    </row>
    <row r="1624" spans="1:26" ht="15.75" customHeight="1" x14ac:dyDescent="0.25">
      <c r="A1624" s="25">
        <v>1622</v>
      </c>
      <c r="B1624" s="37" t="e">
        <f t="shared" ref="B1624:D1624" si="3269">VLOOKUP($A1624,'[5]Integración Social'!$A$1:$O$233,B$1,0)</f>
        <v>#N/A</v>
      </c>
      <c r="C1624" s="38" t="e">
        <f t="shared" si="3269"/>
        <v>#N/A</v>
      </c>
      <c r="D1624" s="39" t="e">
        <f t="shared" si="3269"/>
        <v>#N/A</v>
      </c>
      <c r="E1624" s="16" t="e">
        <f t="shared" si="1"/>
        <v>#N/A</v>
      </c>
      <c r="F1624" s="16" t="e">
        <f t="shared" ref="F1624:K1624" si="3270">VLOOKUP($A1624,'[5]Integración Social'!$A$1:$O$233,F$1,0)</f>
        <v>#N/A</v>
      </c>
      <c r="G1624" s="39" t="e">
        <f t="shared" si="3270"/>
        <v>#N/A</v>
      </c>
      <c r="H1624" s="16" t="e">
        <f t="shared" si="3270"/>
        <v>#N/A</v>
      </c>
      <c r="I1624" s="16" t="e">
        <f t="shared" si="3270"/>
        <v>#N/A</v>
      </c>
      <c r="J1624" s="40" t="e">
        <f t="shared" si="3270"/>
        <v>#N/A</v>
      </c>
      <c r="K1624" s="16" t="e">
        <f t="shared" si="3270"/>
        <v>#N/A</v>
      </c>
      <c r="L1624" s="40" t="e">
        <f t="shared" si="3025"/>
        <v>#N/A</v>
      </c>
      <c r="M1624" s="16" t="e">
        <f t="shared" si="3026"/>
        <v>#N/A</v>
      </c>
      <c r="N1624" s="16" t="e">
        <f t="shared" si="3027"/>
        <v>#N/A</v>
      </c>
      <c r="O1624" s="16" t="s">
        <v>69</v>
      </c>
      <c r="P1624" s="16" t="str">
        <f t="shared" si="6"/>
        <v/>
      </c>
      <c r="Q1624" s="41" t="e">
        <f t="shared" si="3028"/>
        <v>#N/A</v>
      </c>
      <c r="R1624" s="44"/>
      <c r="S1624" s="44"/>
      <c r="T1624" s="43"/>
      <c r="U1624" s="43" t="str">
        <f t="shared" si="8"/>
        <v>No</v>
      </c>
      <c r="V1624" s="25"/>
      <c r="W1624" s="25"/>
      <c r="X1624" s="25"/>
      <c r="Y1624" s="25"/>
      <c r="Z1624" s="25"/>
    </row>
    <row r="1625" spans="1:26" ht="15.75" customHeight="1" x14ac:dyDescent="0.25">
      <c r="A1625" s="25">
        <v>1623</v>
      </c>
      <c r="B1625" s="37" t="e">
        <f t="shared" ref="B1625:D1625" si="3271">VLOOKUP($A1625,'[5]Integración Social'!$A$1:$O$233,B$1,0)</f>
        <v>#N/A</v>
      </c>
      <c r="C1625" s="38" t="e">
        <f t="shared" si="3271"/>
        <v>#N/A</v>
      </c>
      <c r="D1625" s="39" t="e">
        <f t="shared" si="3271"/>
        <v>#N/A</v>
      </c>
      <c r="E1625" s="16" t="e">
        <f t="shared" si="1"/>
        <v>#N/A</v>
      </c>
      <c r="F1625" s="16" t="e">
        <f t="shared" ref="F1625:K1625" si="3272">VLOOKUP($A1625,'[5]Integración Social'!$A$1:$O$233,F$1,0)</f>
        <v>#N/A</v>
      </c>
      <c r="G1625" s="39" t="e">
        <f t="shared" si="3272"/>
        <v>#N/A</v>
      </c>
      <c r="H1625" s="16" t="e">
        <f t="shared" si="3272"/>
        <v>#N/A</v>
      </c>
      <c r="I1625" s="16" t="e">
        <f t="shared" si="3272"/>
        <v>#N/A</v>
      </c>
      <c r="J1625" s="40" t="e">
        <f t="shared" si="3272"/>
        <v>#N/A</v>
      </c>
      <c r="K1625" s="16" t="e">
        <f t="shared" si="3272"/>
        <v>#N/A</v>
      </c>
      <c r="L1625" s="40" t="e">
        <f t="shared" si="3025"/>
        <v>#N/A</v>
      </c>
      <c r="M1625" s="16" t="e">
        <f t="shared" si="3026"/>
        <v>#N/A</v>
      </c>
      <c r="N1625" s="16" t="e">
        <f t="shared" si="3027"/>
        <v>#N/A</v>
      </c>
      <c r="O1625" s="16" t="s">
        <v>69</v>
      </c>
      <c r="P1625" s="16" t="str">
        <f t="shared" si="6"/>
        <v/>
      </c>
      <c r="Q1625" s="41" t="e">
        <f t="shared" si="3028"/>
        <v>#N/A</v>
      </c>
      <c r="R1625" s="44"/>
      <c r="S1625" s="44"/>
      <c r="T1625" s="43"/>
      <c r="U1625" s="43" t="str">
        <f t="shared" si="8"/>
        <v>No</v>
      </c>
      <c r="V1625" s="25"/>
      <c r="W1625" s="25"/>
      <c r="X1625" s="25"/>
      <c r="Y1625" s="25"/>
      <c r="Z1625" s="25"/>
    </row>
    <row r="1626" spans="1:26" ht="15.75" customHeight="1" x14ac:dyDescent="0.25">
      <c r="A1626" s="25">
        <v>1624</v>
      </c>
      <c r="B1626" s="37" t="e">
        <f t="shared" ref="B1626:D1626" si="3273">VLOOKUP($A1626,'[5]Integración Social'!$A$1:$O$233,B$1,0)</f>
        <v>#N/A</v>
      </c>
      <c r="C1626" s="38" t="e">
        <f t="shared" si="3273"/>
        <v>#N/A</v>
      </c>
      <c r="D1626" s="39" t="e">
        <f t="shared" si="3273"/>
        <v>#N/A</v>
      </c>
      <c r="E1626" s="16" t="e">
        <f t="shared" si="1"/>
        <v>#N/A</v>
      </c>
      <c r="F1626" s="16" t="e">
        <f t="shared" ref="F1626:K1626" si="3274">VLOOKUP($A1626,'[5]Integración Social'!$A$1:$O$233,F$1,0)</f>
        <v>#N/A</v>
      </c>
      <c r="G1626" s="39" t="e">
        <f t="shared" si="3274"/>
        <v>#N/A</v>
      </c>
      <c r="H1626" s="16" t="e">
        <f t="shared" si="3274"/>
        <v>#N/A</v>
      </c>
      <c r="I1626" s="16" t="e">
        <f t="shared" si="3274"/>
        <v>#N/A</v>
      </c>
      <c r="J1626" s="40" t="e">
        <f t="shared" si="3274"/>
        <v>#N/A</v>
      </c>
      <c r="K1626" s="16" t="e">
        <f t="shared" si="3274"/>
        <v>#N/A</v>
      </c>
      <c r="L1626" s="40" t="e">
        <f t="shared" si="3025"/>
        <v>#N/A</v>
      </c>
      <c r="M1626" s="16" t="e">
        <f t="shared" si="3026"/>
        <v>#N/A</v>
      </c>
      <c r="N1626" s="16" t="e">
        <f t="shared" si="3027"/>
        <v>#N/A</v>
      </c>
      <c r="O1626" s="16" t="s">
        <v>69</v>
      </c>
      <c r="P1626" s="16" t="str">
        <f t="shared" si="6"/>
        <v/>
      </c>
      <c r="Q1626" s="41" t="e">
        <f t="shared" si="3028"/>
        <v>#N/A</v>
      </c>
      <c r="R1626" s="44"/>
      <c r="S1626" s="44"/>
      <c r="T1626" s="43"/>
      <c r="U1626" s="43" t="str">
        <f t="shared" si="8"/>
        <v>No</v>
      </c>
      <c r="V1626" s="25"/>
      <c r="W1626" s="25"/>
      <c r="X1626" s="25"/>
      <c r="Y1626" s="25"/>
      <c r="Z1626" s="25"/>
    </row>
    <row r="1627" spans="1:26" ht="15.75" customHeight="1" x14ac:dyDescent="0.25">
      <c r="A1627" s="25">
        <v>1625</v>
      </c>
      <c r="B1627" s="37" t="e">
        <f t="shared" ref="B1627:D1627" si="3275">VLOOKUP($A1627,'[5]Integración Social'!$A$1:$O$233,B$1,0)</f>
        <v>#N/A</v>
      </c>
      <c r="C1627" s="38" t="e">
        <f t="shared" si="3275"/>
        <v>#N/A</v>
      </c>
      <c r="D1627" s="39" t="e">
        <f t="shared" si="3275"/>
        <v>#N/A</v>
      </c>
      <c r="E1627" s="16" t="e">
        <f t="shared" si="1"/>
        <v>#N/A</v>
      </c>
      <c r="F1627" s="16" t="e">
        <f t="shared" ref="F1627:K1627" si="3276">VLOOKUP($A1627,'[5]Integración Social'!$A$1:$O$233,F$1,0)</f>
        <v>#N/A</v>
      </c>
      <c r="G1627" s="39" t="e">
        <f t="shared" si="3276"/>
        <v>#N/A</v>
      </c>
      <c r="H1627" s="16" t="e">
        <f t="shared" si="3276"/>
        <v>#N/A</v>
      </c>
      <c r="I1627" s="16" t="e">
        <f t="shared" si="3276"/>
        <v>#N/A</v>
      </c>
      <c r="J1627" s="40" t="e">
        <f t="shared" si="3276"/>
        <v>#N/A</v>
      </c>
      <c r="K1627" s="16" t="e">
        <f t="shared" si="3276"/>
        <v>#N/A</v>
      </c>
      <c r="L1627" s="40" t="e">
        <f t="shared" si="3025"/>
        <v>#N/A</v>
      </c>
      <c r="M1627" s="16" t="e">
        <f t="shared" si="3026"/>
        <v>#N/A</v>
      </c>
      <c r="N1627" s="16" t="e">
        <f t="shared" si="3027"/>
        <v>#N/A</v>
      </c>
      <c r="O1627" s="16" t="s">
        <v>69</v>
      </c>
      <c r="P1627" s="16" t="str">
        <f t="shared" si="6"/>
        <v/>
      </c>
      <c r="Q1627" s="41" t="e">
        <f t="shared" si="3028"/>
        <v>#N/A</v>
      </c>
      <c r="R1627" s="44"/>
      <c r="S1627" s="44"/>
      <c r="T1627" s="43"/>
      <c r="U1627" s="43" t="str">
        <f t="shared" si="8"/>
        <v>No</v>
      </c>
      <c r="V1627" s="25"/>
      <c r="W1627" s="25"/>
      <c r="X1627" s="25"/>
      <c r="Y1627" s="25"/>
      <c r="Z1627" s="25"/>
    </row>
    <row r="1628" spans="1:26" ht="15.75" customHeight="1" x14ac:dyDescent="0.25">
      <c r="A1628" s="25">
        <v>1626</v>
      </c>
      <c r="B1628" s="37" t="e">
        <f t="shared" ref="B1628:D1628" si="3277">VLOOKUP($A1628,'[5]Integración Social'!$A$1:$O$233,B$1,0)</f>
        <v>#N/A</v>
      </c>
      <c r="C1628" s="38" t="e">
        <f t="shared" si="3277"/>
        <v>#N/A</v>
      </c>
      <c r="D1628" s="39" t="e">
        <f t="shared" si="3277"/>
        <v>#N/A</v>
      </c>
      <c r="E1628" s="16" t="e">
        <f t="shared" si="1"/>
        <v>#N/A</v>
      </c>
      <c r="F1628" s="16" t="e">
        <f t="shared" ref="F1628:K1628" si="3278">VLOOKUP($A1628,'[5]Integración Social'!$A$1:$O$233,F$1,0)</f>
        <v>#N/A</v>
      </c>
      <c r="G1628" s="39" t="e">
        <f t="shared" si="3278"/>
        <v>#N/A</v>
      </c>
      <c r="H1628" s="16" t="e">
        <f t="shared" si="3278"/>
        <v>#N/A</v>
      </c>
      <c r="I1628" s="16" t="e">
        <f t="shared" si="3278"/>
        <v>#N/A</v>
      </c>
      <c r="J1628" s="40" t="e">
        <f t="shared" si="3278"/>
        <v>#N/A</v>
      </c>
      <c r="K1628" s="16" t="e">
        <f t="shared" si="3278"/>
        <v>#N/A</v>
      </c>
      <c r="L1628" s="40" t="e">
        <f t="shared" si="3025"/>
        <v>#N/A</v>
      </c>
      <c r="M1628" s="16" t="e">
        <f t="shared" si="3026"/>
        <v>#N/A</v>
      </c>
      <c r="N1628" s="16" t="e">
        <f t="shared" si="3027"/>
        <v>#N/A</v>
      </c>
      <c r="O1628" s="16" t="s">
        <v>69</v>
      </c>
      <c r="P1628" s="16" t="str">
        <f t="shared" si="6"/>
        <v/>
      </c>
      <c r="Q1628" s="41" t="e">
        <f t="shared" si="3028"/>
        <v>#N/A</v>
      </c>
      <c r="R1628" s="44"/>
      <c r="S1628" s="44"/>
      <c r="T1628" s="43"/>
      <c r="U1628" s="43" t="str">
        <f t="shared" si="8"/>
        <v>No</v>
      </c>
      <c r="V1628" s="25"/>
      <c r="W1628" s="25"/>
      <c r="X1628" s="25"/>
      <c r="Y1628" s="25"/>
      <c r="Z1628" s="25"/>
    </row>
    <row r="1629" spans="1:26" ht="15.75" customHeight="1" x14ac:dyDescent="0.25">
      <c r="A1629" s="25">
        <v>1627</v>
      </c>
      <c r="B1629" s="37" t="e">
        <f t="shared" ref="B1629:D1629" si="3279">VLOOKUP($A1629,'[5]Integración Social'!$A$1:$O$233,B$1,0)</f>
        <v>#N/A</v>
      </c>
      <c r="C1629" s="38" t="e">
        <f t="shared" si="3279"/>
        <v>#N/A</v>
      </c>
      <c r="D1629" s="39" t="e">
        <f t="shared" si="3279"/>
        <v>#N/A</v>
      </c>
      <c r="E1629" s="16" t="e">
        <f t="shared" si="1"/>
        <v>#N/A</v>
      </c>
      <c r="F1629" s="16" t="e">
        <f t="shared" ref="F1629:K1629" si="3280">VLOOKUP($A1629,'[5]Integración Social'!$A$1:$O$233,F$1,0)</f>
        <v>#N/A</v>
      </c>
      <c r="G1629" s="39" t="e">
        <f t="shared" si="3280"/>
        <v>#N/A</v>
      </c>
      <c r="H1629" s="16" t="e">
        <f t="shared" si="3280"/>
        <v>#N/A</v>
      </c>
      <c r="I1629" s="16" t="e">
        <f t="shared" si="3280"/>
        <v>#N/A</v>
      </c>
      <c r="J1629" s="40" t="e">
        <f t="shared" si="3280"/>
        <v>#N/A</v>
      </c>
      <c r="K1629" s="16" t="e">
        <f t="shared" si="3280"/>
        <v>#N/A</v>
      </c>
      <c r="L1629" s="40" t="e">
        <f t="shared" si="3025"/>
        <v>#N/A</v>
      </c>
      <c r="M1629" s="16" t="e">
        <f t="shared" si="3026"/>
        <v>#N/A</v>
      </c>
      <c r="N1629" s="16" t="e">
        <f t="shared" si="3027"/>
        <v>#N/A</v>
      </c>
      <c r="O1629" s="16" t="s">
        <v>69</v>
      </c>
      <c r="P1629" s="16" t="str">
        <f t="shared" si="6"/>
        <v/>
      </c>
      <c r="Q1629" s="41" t="e">
        <f t="shared" si="3028"/>
        <v>#N/A</v>
      </c>
      <c r="R1629" s="44"/>
      <c r="S1629" s="44"/>
      <c r="T1629" s="43"/>
      <c r="U1629" s="43" t="str">
        <f t="shared" si="8"/>
        <v>No</v>
      </c>
      <c r="V1629" s="25"/>
      <c r="W1629" s="25"/>
      <c r="X1629" s="25"/>
      <c r="Y1629" s="25"/>
      <c r="Z1629" s="25"/>
    </row>
    <row r="1630" spans="1:26" ht="15.75" customHeight="1" x14ac:dyDescent="0.25">
      <c r="A1630" s="25">
        <v>1628</v>
      </c>
      <c r="B1630" s="37" t="e">
        <f t="shared" ref="B1630:D1630" si="3281">VLOOKUP($A1630,'[5]Integración Social'!$A$1:$O$233,B$1,0)</f>
        <v>#N/A</v>
      </c>
      <c r="C1630" s="38" t="e">
        <f t="shared" si="3281"/>
        <v>#N/A</v>
      </c>
      <c r="D1630" s="39" t="e">
        <f t="shared" si="3281"/>
        <v>#N/A</v>
      </c>
      <c r="E1630" s="16" t="e">
        <f t="shared" si="1"/>
        <v>#N/A</v>
      </c>
      <c r="F1630" s="16" t="e">
        <f t="shared" ref="F1630:K1630" si="3282">VLOOKUP($A1630,'[5]Integración Social'!$A$1:$O$233,F$1,0)</f>
        <v>#N/A</v>
      </c>
      <c r="G1630" s="39" t="e">
        <f t="shared" si="3282"/>
        <v>#N/A</v>
      </c>
      <c r="H1630" s="16" t="e">
        <f t="shared" si="3282"/>
        <v>#N/A</v>
      </c>
      <c r="I1630" s="16" t="e">
        <f t="shared" si="3282"/>
        <v>#N/A</v>
      </c>
      <c r="J1630" s="40" t="e">
        <f t="shared" si="3282"/>
        <v>#N/A</v>
      </c>
      <c r="K1630" s="16" t="e">
        <f t="shared" si="3282"/>
        <v>#N/A</v>
      </c>
      <c r="L1630" s="40" t="e">
        <f t="shared" si="3025"/>
        <v>#N/A</v>
      </c>
      <c r="M1630" s="16" t="e">
        <f t="shared" si="3026"/>
        <v>#N/A</v>
      </c>
      <c r="N1630" s="16" t="e">
        <f t="shared" si="3027"/>
        <v>#N/A</v>
      </c>
      <c r="O1630" s="16" t="s">
        <v>69</v>
      </c>
      <c r="P1630" s="16" t="str">
        <f t="shared" si="6"/>
        <v/>
      </c>
      <c r="Q1630" s="41" t="e">
        <f t="shared" si="3028"/>
        <v>#N/A</v>
      </c>
      <c r="R1630" s="44"/>
      <c r="S1630" s="44"/>
      <c r="T1630" s="43"/>
      <c r="U1630" s="43" t="str">
        <f t="shared" si="8"/>
        <v>No</v>
      </c>
      <c r="V1630" s="25"/>
      <c r="W1630" s="25"/>
      <c r="X1630" s="25"/>
      <c r="Y1630" s="25"/>
      <c r="Z1630" s="25"/>
    </row>
    <row r="1631" spans="1:26" ht="15.75" customHeight="1" x14ac:dyDescent="0.25">
      <c r="A1631" s="25">
        <v>1629</v>
      </c>
      <c r="B1631" s="37" t="e">
        <f t="shared" ref="B1631:D1631" si="3283">VLOOKUP($A1631,'[5]Integración Social'!$A$1:$O$233,B$1,0)</f>
        <v>#N/A</v>
      </c>
      <c r="C1631" s="38" t="e">
        <f t="shared" si="3283"/>
        <v>#N/A</v>
      </c>
      <c r="D1631" s="39" t="e">
        <f t="shared" si="3283"/>
        <v>#N/A</v>
      </c>
      <c r="E1631" s="16" t="e">
        <f t="shared" si="1"/>
        <v>#N/A</v>
      </c>
      <c r="F1631" s="16" t="e">
        <f t="shared" ref="F1631:K1631" si="3284">VLOOKUP($A1631,'[5]Integración Social'!$A$1:$O$233,F$1,0)</f>
        <v>#N/A</v>
      </c>
      <c r="G1631" s="39" t="e">
        <f t="shared" si="3284"/>
        <v>#N/A</v>
      </c>
      <c r="H1631" s="16" t="e">
        <f t="shared" si="3284"/>
        <v>#N/A</v>
      </c>
      <c r="I1631" s="16" t="e">
        <f t="shared" si="3284"/>
        <v>#N/A</v>
      </c>
      <c r="J1631" s="40" t="e">
        <f t="shared" si="3284"/>
        <v>#N/A</v>
      </c>
      <c r="K1631" s="16" t="e">
        <f t="shared" si="3284"/>
        <v>#N/A</v>
      </c>
      <c r="L1631" s="40" t="e">
        <f t="shared" si="3025"/>
        <v>#N/A</v>
      </c>
      <c r="M1631" s="16" t="e">
        <f t="shared" si="3026"/>
        <v>#N/A</v>
      </c>
      <c r="N1631" s="16" t="e">
        <f t="shared" si="3027"/>
        <v>#N/A</v>
      </c>
      <c r="O1631" s="16" t="s">
        <v>69</v>
      </c>
      <c r="P1631" s="16" t="str">
        <f t="shared" si="6"/>
        <v/>
      </c>
      <c r="Q1631" s="41" t="e">
        <f t="shared" si="3028"/>
        <v>#N/A</v>
      </c>
      <c r="R1631" s="44"/>
      <c r="S1631" s="44"/>
      <c r="T1631" s="43"/>
      <c r="U1631" s="43" t="str">
        <f t="shared" si="8"/>
        <v>No</v>
      </c>
      <c r="V1631" s="25"/>
      <c r="W1631" s="25"/>
      <c r="X1631" s="25"/>
      <c r="Y1631" s="25"/>
      <c r="Z1631" s="25"/>
    </row>
    <row r="1632" spans="1:26" ht="15.75" customHeight="1" x14ac:dyDescent="0.25">
      <c r="A1632" s="25">
        <v>1630</v>
      </c>
      <c r="B1632" s="37" t="e">
        <f t="shared" ref="B1632:D1632" si="3285">VLOOKUP($A1632,'[5]Integración Social'!$A$1:$O$233,B$1,0)</f>
        <v>#N/A</v>
      </c>
      <c r="C1632" s="38" t="e">
        <f t="shared" si="3285"/>
        <v>#N/A</v>
      </c>
      <c r="D1632" s="39" t="e">
        <f t="shared" si="3285"/>
        <v>#N/A</v>
      </c>
      <c r="E1632" s="16" t="e">
        <f t="shared" si="1"/>
        <v>#N/A</v>
      </c>
      <c r="F1632" s="16" t="e">
        <f t="shared" ref="F1632:K1632" si="3286">VLOOKUP($A1632,'[5]Integración Social'!$A$1:$O$233,F$1,0)</f>
        <v>#N/A</v>
      </c>
      <c r="G1632" s="39" t="e">
        <f t="shared" si="3286"/>
        <v>#N/A</v>
      </c>
      <c r="H1632" s="16" t="e">
        <f t="shared" si="3286"/>
        <v>#N/A</v>
      </c>
      <c r="I1632" s="16" t="e">
        <f t="shared" si="3286"/>
        <v>#N/A</v>
      </c>
      <c r="J1632" s="40" t="e">
        <f t="shared" si="3286"/>
        <v>#N/A</v>
      </c>
      <c r="K1632" s="16" t="e">
        <f t="shared" si="3286"/>
        <v>#N/A</v>
      </c>
      <c r="L1632" s="40" t="e">
        <f t="shared" si="3025"/>
        <v>#N/A</v>
      </c>
      <c r="M1632" s="16" t="e">
        <f t="shared" si="3026"/>
        <v>#N/A</v>
      </c>
      <c r="N1632" s="16" t="e">
        <f t="shared" si="3027"/>
        <v>#N/A</v>
      </c>
      <c r="O1632" s="16" t="s">
        <v>69</v>
      </c>
      <c r="P1632" s="16" t="str">
        <f t="shared" si="6"/>
        <v/>
      </c>
      <c r="Q1632" s="41" t="e">
        <f t="shared" si="3028"/>
        <v>#N/A</v>
      </c>
      <c r="R1632" s="44"/>
      <c r="S1632" s="44"/>
      <c r="T1632" s="43"/>
      <c r="U1632" s="43" t="str">
        <f t="shared" si="8"/>
        <v>No</v>
      </c>
      <c r="V1632" s="25"/>
      <c r="W1632" s="25"/>
      <c r="X1632" s="25"/>
      <c r="Y1632" s="25"/>
      <c r="Z1632" s="25"/>
    </row>
    <row r="1633" spans="1:26" ht="15.75" customHeight="1" x14ac:dyDescent="0.25">
      <c r="A1633" s="25">
        <v>1631</v>
      </c>
      <c r="B1633" s="37" t="e">
        <f t="shared" ref="B1633:D1633" si="3287">VLOOKUP($A1633,'[5]Integración Social'!$A$1:$O$233,B$1,0)</f>
        <v>#N/A</v>
      </c>
      <c r="C1633" s="38" t="e">
        <f t="shared" si="3287"/>
        <v>#N/A</v>
      </c>
      <c r="D1633" s="39" t="e">
        <f t="shared" si="3287"/>
        <v>#N/A</v>
      </c>
      <c r="E1633" s="16" t="e">
        <f t="shared" si="1"/>
        <v>#N/A</v>
      </c>
      <c r="F1633" s="16" t="e">
        <f t="shared" ref="F1633:K1633" si="3288">VLOOKUP($A1633,'[5]Integración Social'!$A$1:$O$233,F$1,0)</f>
        <v>#N/A</v>
      </c>
      <c r="G1633" s="39" t="e">
        <f t="shared" si="3288"/>
        <v>#N/A</v>
      </c>
      <c r="H1633" s="16" t="e">
        <f t="shared" si="3288"/>
        <v>#N/A</v>
      </c>
      <c r="I1633" s="16" t="e">
        <f t="shared" si="3288"/>
        <v>#N/A</v>
      </c>
      <c r="J1633" s="40" t="e">
        <f t="shared" si="3288"/>
        <v>#N/A</v>
      </c>
      <c r="K1633" s="16" t="e">
        <f t="shared" si="3288"/>
        <v>#N/A</v>
      </c>
      <c r="L1633" s="40" t="e">
        <f t="shared" si="3025"/>
        <v>#N/A</v>
      </c>
      <c r="M1633" s="16" t="e">
        <f t="shared" si="3026"/>
        <v>#N/A</v>
      </c>
      <c r="N1633" s="16" t="e">
        <f t="shared" si="3027"/>
        <v>#N/A</v>
      </c>
      <c r="O1633" s="16" t="s">
        <v>69</v>
      </c>
      <c r="P1633" s="16" t="str">
        <f t="shared" si="6"/>
        <v/>
      </c>
      <c r="Q1633" s="41" t="e">
        <f t="shared" si="3028"/>
        <v>#N/A</v>
      </c>
      <c r="R1633" s="44"/>
      <c r="S1633" s="44"/>
      <c r="T1633" s="43"/>
      <c r="U1633" s="43" t="str">
        <f t="shared" si="8"/>
        <v>No</v>
      </c>
      <c r="V1633" s="25"/>
      <c r="W1633" s="25"/>
      <c r="X1633" s="25"/>
      <c r="Y1633" s="25"/>
      <c r="Z1633" s="25"/>
    </row>
    <row r="1634" spans="1:26" ht="15.75" customHeight="1" x14ac:dyDescent="0.25">
      <c r="A1634" s="25">
        <v>1632</v>
      </c>
      <c r="B1634" s="37" t="e">
        <f t="shared" ref="B1634:D1634" si="3289">VLOOKUP($A1634,'[5]Integración Social'!$A$1:$O$233,B$1,0)</f>
        <v>#N/A</v>
      </c>
      <c r="C1634" s="38" t="e">
        <f t="shared" si="3289"/>
        <v>#N/A</v>
      </c>
      <c r="D1634" s="39" t="e">
        <f t="shared" si="3289"/>
        <v>#N/A</v>
      </c>
      <c r="E1634" s="16" t="e">
        <f t="shared" si="1"/>
        <v>#N/A</v>
      </c>
      <c r="F1634" s="16" t="e">
        <f t="shared" ref="F1634:K1634" si="3290">VLOOKUP($A1634,'[5]Integración Social'!$A$1:$O$233,F$1,0)</f>
        <v>#N/A</v>
      </c>
      <c r="G1634" s="39" t="e">
        <f t="shared" si="3290"/>
        <v>#N/A</v>
      </c>
      <c r="H1634" s="16" t="e">
        <f t="shared" si="3290"/>
        <v>#N/A</v>
      </c>
      <c r="I1634" s="16" t="e">
        <f t="shared" si="3290"/>
        <v>#N/A</v>
      </c>
      <c r="J1634" s="40" t="e">
        <f t="shared" si="3290"/>
        <v>#N/A</v>
      </c>
      <c r="K1634" s="16" t="e">
        <f t="shared" si="3290"/>
        <v>#N/A</v>
      </c>
      <c r="L1634" s="40" t="e">
        <f t="shared" si="3025"/>
        <v>#N/A</v>
      </c>
      <c r="M1634" s="16" t="e">
        <f t="shared" si="3026"/>
        <v>#N/A</v>
      </c>
      <c r="N1634" s="16" t="e">
        <f t="shared" si="3027"/>
        <v>#N/A</v>
      </c>
      <c r="O1634" s="16" t="s">
        <v>69</v>
      </c>
      <c r="P1634" s="16" t="str">
        <f t="shared" si="6"/>
        <v/>
      </c>
      <c r="Q1634" s="41" t="e">
        <f t="shared" si="3028"/>
        <v>#N/A</v>
      </c>
      <c r="R1634" s="44"/>
      <c r="S1634" s="44"/>
      <c r="T1634" s="43"/>
      <c r="U1634" s="43" t="str">
        <f t="shared" si="8"/>
        <v>No</v>
      </c>
      <c r="V1634" s="25"/>
      <c r="W1634" s="25"/>
      <c r="X1634" s="25"/>
      <c r="Y1634" s="25"/>
      <c r="Z1634" s="25"/>
    </row>
    <row r="1635" spans="1:26" ht="15.75" customHeight="1" x14ac:dyDescent="0.25">
      <c r="A1635" s="25">
        <v>1633</v>
      </c>
      <c r="B1635" s="37" t="e">
        <f t="shared" ref="B1635:D1635" si="3291">VLOOKUP($A1635,'[5]Integración Social'!$A$1:$O$233,B$1,0)</f>
        <v>#N/A</v>
      </c>
      <c r="C1635" s="38" t="e">
        <f t="shared" si="3291"/>
        <v>#N/A</v>
      </c>
      <c r="D1635" s="39" t="e">
        <f t="shared" si="3291"/>
        <v>#N/A</v>
      </c>
      <c r="E1635" s="16" t="e">
        <f t="shared" si="1"/>
        <v>#N/A</v>
      </c>
      <c r="F1635" s="16" t="e">
        <f t="shared" ref="F1635:K1635" si="3292">VLOOKUP($A1635,'[5]Integración Social'!$A$1:$O$233,F$1,0)</f>
        <v>#N/A</v>
      </c>
      <c r="G1635" s="39" t="e">
        <f t="shared" si="3292"/>
        <v>#N/A</v>
      </c>
      <c r="H1635" s="16" t="e">
        <f t="shared" si="3292"/>
        <v>#N/A</v>
      </c>
      <c r="I1635" s="16" t="e">
        <f t="shared" si="3292"/>
        <v>#N/A</v>
      </c>
      <c r="J1635" s="40" t="e">
        <f t="shared" si="3292"/>
        <v>#N/A</v>
      </c>
      <c r="K1635" s="16" t="e">
        <f t="shared" si="3292"/>
        <v>#N/A</v>
      </c>
      <c r="L1635" s="40" t="e">
        <f t="shared" si="3025"/>
        <v>#N/A</v>
      </c>
      <c r="M1635" s="16" t="e">
        <f t="shared" si="3026"/>
        <v>#N/A</v>
      </c>
      <c r="N1635" s="16" t="e">
        <f t="shared" si="3027"/>
        <v>#N/A</v>
      </c>
      <c r="O1635" s="16" t="s">
        <v>69</v>
      </c>
      <c r="P1635" s="16" t="str">
        <f t="shared" si="6"/>
        <v/>
      </c>
      <c r="Q1635" s="41" t="e">
        <f t="shared" si="3028"/>
        <v>#N/A</v>
      </c>
      <c r="R1635" s="44"/>
      <c r="S1635" s="44"/>
      <c r="T1635" s="43"/>
      <c r="U1635" s="43" t="str">
        <f t="shared" si="8"/>
        <v>No</v>
      </c>
      <c r="V1635" s="25"/>
      <c r="W1635" s="25"/>
      <c r="X1635" s="25"/>
      <c r="Y1635" s="25"/>
      <c r="Z1635" s="25"/>
    </row>
    <row r="1636" spans="1:26" ht="15.75" customHeight="1" x14ac:dyDescent="0.25">
      <c r="A1636" s="25">
        <v>1634</v>
      </c>
      <c r="B1636" s="37" t="e">
        <f t="shared" ref="B1636:D1636" si="3293">VLOOKUP($A1636,'[5]Integración Social'!$A$1:$O$233,B$1,0)</f>
        <v>#N/A</v>
      </c>
      <c r="C1636" s="38" t="e">
        <f t="shared" si="3293"/>
        <v>#N/A</v>
      </c>
      <c r="D1636" s="39" t="e">
        <f t="shared" si="3293"/>
        <v>#N/A</v>
      </c>
      <c r="E1636" s="16" t="e">
        <f t="shared" si="1"/>
        <v>#N/A</v>
      </c>
      <c r="F1636" s="16" t="e">
        <f t="shared" ref="F1636:K1636" si="3294">VLOOKUP($A1636,'[5]Integración Social'!$A$1:$O$233,F$1,0)</f>
        <v>#N/A</v>
      </c>
      <c r="G1636" s="39" t="e">
        <f t="shared" si="3294"/>
        <v>#N/A</v>
      </c>
      <c r="H1636" s="16" t="e">
        <f t="shared" si="3294"/>
        <v>#N/A</v>
      </c>
      <c r="I1636" s="16" t="e">
        <f t="shared" si="3294"/>
        <v>#N/A</v>
      </c>
      <c r="J1636" s="40" t="e">
        <f t="shared" si="3294"/>
        <v>#N/A</v>
      </c>
      <c r="K1636" s="16" t="e">
        <f t="shared" si="3294"/>
        <v>#N/A</v>
      </c>
      <c r="L1636" s="40" t="e">
        <f t="shared" si="3025"/>
        <v>#N/A</v>
      </c>
      <c r="M1636" s="16" t="e">
        <f t="shared" si="3026"/>
        <v>#N/A</v>
      </c>
      <c r="N1636" s="16" t="e">
        <f t="shared" si="3027"/>
        <v>#N/A</v>
      </c>
      <c r="O1636" s="16" t="s">
        <v>69</v>
      </c>
      <c r="P1636" s="16" t="str">
        <f t="shared" si="6"/>
        <v/>
      </c>
      <c r="Q1636" s="41" t="e">
        <f t="shared" si="3028"/>
        <v>#N/A</v>
      </c>
      <c r="R1636" s="44"/>
      <c r="S1636" s="44"/>
      <c r="T1636" s="43"/>
      <c r="U1636" s="43" t="str">
        <f t="shared" si="8"/>
        <v>No</v>
      </c>
      <c r="V1636" s="25"/>
      <c r="W1636" s="25"/>
      <c r="X1636" s="25"/>
      <c r="Y1636" s="25"/>
      <c r="Z1636" s="25"/>
    </row>
    <row r="1637" spans="1:26" ht="15.75" customHeight="1" x14ac:dyDescent="0.25">
      <c r="A1637" s="25">
        <v>1635</v>
      </c>
      <c r="B1637" s="37" t="e">
        <f t="shared" ref="B1637:D1637" si="3295">VLOOKUP($A1637,'[5]Integración Social'!$A$1:$O$233,B$1,0)</f>
        <v>#N/A</v>
      </c>
      <c r="C1637" s="38" t="e">
        <f t="shared" si="3295"/>
        <v>#N/A</v>
      </c>
      <c r="D1637" s="39" t="e">
        <f t="shared" si="3295"/>
        <v>#N/A</v>
      </c>
      <c r="E1637" s="16" t="e">
        <f t="shared" si="1"/>
        <v>#N/A</v>
      </c>
      <c r="F1637" s="16" t="e">
        <f t="shared" ref="F1637:K1637" si="3296">VLOOKUP($A1637,'[5]Integración Social'!$A$1:$O$233,F$1,0)</f>
        <v>#N/A</v>
      </c>
      <c r="G1637" s="39" t="e">
        <f t="shared" si="3296"/>
        <v>#N/A</v>
      </c>
      <c r="H1637" s="16" t="e">
        <f t="shared" si="3296"/>
        <v>#N/A</v>
      </c>
      <c r="I1637" s="16" t="e">
        <f t="shared" si="3296"/>
        <v>#N/A</v>
      </c>
      <c r="J1637" s="40" t="e">
        <f t="shared" si="3296"/>
        <v>#N/A</v>
      </c>
      <c r="K1637" s="16" t="e">
        <f t="shared" si="3296"/>
        <v>#N/A</v>
      </c>
      <c r="L1637" s="40" t="e">
        <f t="shared" si="3025"/>
        <v>#N/A</v>
      </c>
      <c r="M1637" s="16" t="e">
        <f t="shared" si="3026"/>
        <v>#N/A</v>
      </c>
      <c r="N1637" s="16" t="e">
        <f t="shared" si="3027"/>
        <v>#N/A</v>
      </c>
      <c r="O1637" s="16" t="s">
        <v>69</v>
      </c>
      <c r="P1637" s="16" t="str">
        <f t="shared" si="6"/>
        <v/>
      </c>
      <c r="Q1637" s="41" t="e">
        <f t="shared" si="3028"/>
        <v>#N/A</v>
      </c>
      <c r="R1637" s="44"/>
      <c r="S1637" s="44"/>
      <c r="T1637" s="43"/>
      <c r="U1637" s="43" t="str">
        <f t="shared" si="8"/>
        <v>No</v>
      </c>
      <c r="V1637" s="25"/>
      <c r="W1637" s="25"/>
      <c r="X1637" s="25"/>
      <c r="Y1637" s="25"/>
      <c r="Z1637" s="25"/>
    </row>
    <row r="1638" spans="1:26" ht="15.75" customHeight="1" x14ac:dyDescent="0.25">
      <c r="A1638" s="25">
        <v>1636</v>
      </c>
      <c r="B1638" s="37" t="e">
        <f t="shared" ref="B1638:D1638" si="3297">VLOOKUP($A1638,'[5]Integración Social'!$A$1:$O$233,B$1,0)</f>
        <v>#N/A</v>
      </c>
      <c r="C1638" s="38" t="e">
        <f t="shared" si="3297"/>
        <v>#N/A</v>
      </c>
      <c r="D1638" s="39" t="e">
        <f t="shared" si="3297"/>
        <v>#N/A</v>
      </c>
      <c r="E1638" s="16" t="e">
        <f t="shared" si="1"/>
        <v>#N/A</v>
      </c>
      <c r="F1638" s="16" t="e">
        <f t="shared" ref="F1638:K1638" si="3298">VLOOKUP($A1638,'[5]Integración Social'!$A$1:$O$233,F$1,0)</f>
        <v>#N/A</v>
      </c>
      <c r="G1638" s="39" t="e">
        <f t="shared" si="3298"/>
        <v>#N/A</v>
      </c>
      <c r="H1638" s="16" t="e">
        <f t="shared" si="3298"/>
        <v>#N/A</v>
      </c>
      <c r="I1638" s="16" t="e">
        <f t="shared" si="3298"/>
        <v>#N/A</v>
      </c>
      <c r="J1638" s="40" t="e">
        <f t="shared" si="3298"/>
        <v>#N/A</v>
      </c>
      <c r="K1638" s="16" t="e">
        <f t="shared" si="3298"/>
        <v>#N/A</v>
      </c>
      <c r="L1638" s="40" t="e">
        <f t="shared" si="3025"/>
        <v>#N/A</v>
      </c>
      <c r="M1638" s="16" t="e">
        <f t="shared" si="3026"/>
        <v>#N/A</v>
      </c>
      <c r="N1638" s="16" t="e">
        <f t="shared" si="3027"/>
        <v>#N/A</v>
      </c>
      <c r="O1638" s="16" t="s">
        <v>69</v>
      </c>
      <c r="P1638" s="16" t="str">
        <f t="shared" si="6"/>
        <v/>
      </c>
      <c r="Q1638" s="41" t="e">
        <f t="shared" si="3028"/>
        <v>#N/A</v>
      </c>
      <c r="R1638" s="44"/>
      <c r="S1638" s="44"/>
      <c r="T1638" s="43"/>
      <c r="U1638" s="43" t="str">
        <f t="shared" si="8"/>
        <v>No</v>
      </c>
      <c r="V1638" s="25"/>
      <c r="W1638" s="25"/>
      <c r="X1638" s="25"/>
      <c r="Y1638" s="25"/>
      <c r="Z1638" s="25"/>
    </row>
    <row r="1639" spans="1:26" ht="15.75" customHeight="1" x14ac:dyDescent="0.25">
      <c r="A1639" s="25">
        <v>1637</v>
      </c>
      <c r="B1639" s="37" t="e">
        <f t="shared" ref="B1639:D1639" si="3299">VLOOKUP($A1639,'[5]Integración Social'!$A$1:$O$233,B$1,0)</f>
        <v>#N/A</v>
      </c>
      <c r="C1639" s="38" t="e">
        <f t="shared" si="3299"/>
        <v>#N/A</v>
      </c>
      <c r="D1639" s="39" t="e">
        <f t="shared" si="3299"/>
        <v>#N/A</v>
      </c>
      <c r="E1639" s="16" t="e">
        <f t="shared" si="1"/>
        <v>#N/A</v>
      </c>
      <c r="F1639" s="16" t="e">
        <f t="shared" ref="F1639:K1639" si="3300">VLOOKUP($A1639,'[5]Integración Social'!$A$1:$O$233,F$1,0)</f>
        <v>#N/A</v>
      </c>
      <c r="G1639" s="39" t="e">
        <f t="shared" si="3300"/>
        <v>#N/A</v>
      </c>
      <c r="H1639" s="16" t="e">
        <f t="shared" si="3300"/>
        <v>#N/A</v>
      </c>
      <c r="I1639" s="16" t="e">
        <f t="shared" si="3300"/>
        <v>#N/A</v>
      </c>
      <c r="J1639" s="40" t="e">
        <f t="shared" si="3300"/>
        <v>#N/A</v>
      </c>
      <c r="K1639" s="16" t="e">
        <f t="shared" si="3300"/>
        <v>#N/A</v>
      </c>
      <c r="L1639" s="40" t="e">
        <f t="shared" si="3025"/>
        <v>#N/A</v>
      </c>
      <c r="M1639" s="16" t="e">
        <f t="shared" si="3026"/>
        <v>#N/A</v>
      </c>
      <c r="N1639" s="16" t="e">
        <f t="shared" si="3027"/>
        <v>#N/A</v>
      </c>
      <c r="O1639" s="16" t="s">
        <v>69</v>
      </c>
      <c r="P1639" s="16" t="str">
        <f t="shared" si="6"/>
        <v/>
      </c>
      <c r="Q1639" s="41" t="e">
        <f t="shared" si="3028"/>
        <v>#N/A</v>
      </c>
      <c r="R1639" s="44"/>
      <c r="S1639" s="44"/>
      <c r="T1639" s="43"/>
      <c r="U1639" s="43" t="str">
        <f t="shared" si="8"/>
        <v>No</v>
      </c>
      <c r="V1639" s="25"/>
      <c r="W1639" s="25"/>
      <c r="X1639" s="25"/>
      <c r="Y1639" s="25"/>
      <c r="Z1639" s="25"/>
    </row>
    <row r="1640" spans="1:26" ht="15.75" customHeight="1" x14ac:dyDescent="0.25">
      <c r="A1640" s="25">
        <v>1638</v>
      </c>
      <c r="B1640" s="37" t="e">
        <f t="shared" ref="B1640:D1640" si="3301">VLOOKUP($A1640,'[5]Integración Social'!$A$1:$O$233,B$1,0)</f>
        <v>#N/A</v>
      </c>
      <c r="C1640" s="38" t="e">
        <f t="shared" si="3301"/>
        <v>#N/A</v>
      </c>
      <c r="D1640" s="39" t="e">
        <f t="shared" si="3301"/>
        <v>#N/A</v>
      </c>
      <c r="E1640" s="16" t="e">
        <f t="shared" si="1"/>
        <v>#N/A</v>
      </c>
      <c r="F1640" s="16" t="e">
        <f t="shared" ref="F1640:K1640" si="3302">VLOOKUP($A1640,'[5]Integración Social'!$A$1:$O$233,F$1,0)</f>
        <v>#N/A</v>
      </c>
      <c r="G1640" s="39" t="e">
        <f t="shared" si="3302"/>
        <v>#N/A</v>
      </c>
      <c r="H1640" s="16" t="e">
        <f t="shared" si="3302"/>
        <v>#N/A</v>
      </c>
      <c r="I1640" s="16" t="e">
        <f t="shared" si="3302"/>
        <v>#N/A</v>
      </c>
      <c r="J1640" s="40" t="e">
        <f t="shared" si="3302"/>
        <v>#N/A</v>
      </c>
      <c r="K1640" s="16" t="e">
        <f t="shared" si="3302"/>
        <v>#N/A</v>
      </c>
      <c r="L1640" s="40" t="e">
        <f t="shared" si="3025"/>
        <v>#N/A</v>
      </c>
      <c r="M1640" s="16" t="e">
        <f t="shared" si="3026"/>
        <v>#N/A</v>
      </c>
      <c r="N1640" s="16" t="e">
        <f t="shared" si="3027"/>
        <v>#N/A</v>
      </c>
      <c r="O1640" s="16" t="s">
        <v>69</v>
      </c>
      <c r="P1640" s="16" t="str">
        <f t="shared" si="6"/>
        <v/>
      </c>
      <c r="Q1640" s="41" t="e">
        <f t="shared" si="3028"/>
        <v>#N/A</v>
      </c>
      <c r="R1640" s="44"/>
      <c r="S1640" s="44"/>
      <c r="T1640" s="43"/>
      <c r="U1640" s="43" t="str">
        <f t="shared" si="8"/>
        <v>No</v>
      </c>
      <c r="V1640" s="25"/>
      <c r="W1640" s="25"/>
      <c r="X1640" s="25"/>
      <c r="Y1640" s="25"/>
      <c r="Z1640" s="25"/>
    </row>
    <row r="1641" spans="1:26" ht="15.75" customHeight="1" x14ac:dyDescent="0.25">
      <c r="A1641" s="25">
        <v>1639</v>
      </c>
      <c r="B1641" s="37" t="e">
        <f t="shared" ref="B1641:D1641" si="3303">VLOOKUP($A1641,'[5]Integración Social'!$A$1:$O$233,B$1,0)</f>
        <v>#N/A</v>
      </c>
      <c r="C1641" s="38" t="e">
        <f t="shared" si="3303"/>
        <v>#N/A</v>
      </c>
      <c r="D1641" s="39" t="e">
        <f t="shared" si="3303"/>
        <v>#N/A</v>
      </c>
      <c r="E1641" s="16" t="e">
        <f t="shared" si="1"/>
        <v>#N/A</v>
      </c>
      <c r="F1641" s="16" t="e">
        <f t="shared" ref="F1641:K1641" si="3304">VLOOKUP($A1641,'[5]Integración Social'!$A$1:$O$233,F$1,0)</f>
        <v>#N/A</v>
      </c>
      <c r="G1641" s="39" t="e">
        <f t="shared" si="3304"/>
        <v>#N/A</v>
      </c>
      <c r="H1641" s="16" t="e">
        <f t="shared" si="3304"/>
        <v>#N/A</v>
      </c>
      <c r="I1641" s="16" t="e">
        <f t="shared" si="3304"/>
        <v>#N/A</v>
      </c>
      <c r="J1641" s="40" t="e">
        <f t="shared" si="3304"/>
        <v>#N/A</v>
      </c>
      <c r="K1641" s="16" t="e">
        <f t="shared" si="3304"/>
        <v>#N/A</v>
      </c>
      <c r="L1641" s="40" t="e">
        <f t="shared" si="3025"/>
        <v>#N/A</v>
      </c>
      <c r="M1641" s="16" t="e">
        <f t="shared" si="3026"/>
        <v>#N/A</v>
      </c>
      <c r="N1641" s="16" t="e">
        <f t="shared" si="3027"/>
        <v>#N/A</v>
      </c>
      <c r="O1641" s="16" t="s">
        <v>69</v>
      </c>
      <c r="P1641" s="16" t="str">
        <f t="shared" si="6"/>
        <v/>
      </c>
      <c r="Q1641" s="41" t="e">
        <f t="shared" si="3028"/>
        <v>#N/A</v>
      </c>
      <c r="R1641" s="44"/>
      <c r="S1641" s="44"/>
      <c r="T1641" s="43"/>
      <c r="U1641" s="43" t="str">
        <f t="shared" si="8"/>
        <v>No</v>
      </c>
      <c r="V1641" s="25"/>
      <c r="W1641" s="25"/>
      <c r="X1641" s="25"/>
      <c r="Y1641" s="25"/>
      <c r="Z1641" s="25"/>
    </row>
    <row r="1642" spans="1:26" ht="15.75" customHeight="1" x14ac:dyDescent="0.25">
      <c r="A1642" s="25">
        <v>1640</v>
      </c>
      <c r="B1642" s="37" t="e">
        <f t="shared" ref="B1642:D1642" si="3305">VLOOKUP($A1642,'[5]Integración Social'!$A$1:$O$233,B$1,0)</f>
        <v>#N/A</v>
      </c>
      <c r="C1642" s="38" t="e">
        <f t="shared" si="3305"/>
        <v>#N/A</v>
      </c>
      <c r="D1642" s="39" t="e">
        <f t="shared" si="3305"/>
        <v>#N/A</v>
      </c>
      <c r="E1642" s="16" t="e">
        <f t="shared" si="1"/>
        <v>#N/A</v>
      </c>
      <c r="F1642" s="16" t="e">
        <f t="shared" ref="F1642:K1642" si="3306">VLOOKUP($A1642,'[5]Integración Social'!$A$1:$O$233,F$1,0)</f>
        <v>#N/A</v>
      </c>
      <c r="G1642" s="39" t="e">
        <f t="shared" si="3306"/>
        <v>#N/A</v>
      </c>
      <c r="H1642" s="16" t="e">
        <f t="shared" si="3306"/>
        <v>#N/A</v>
      </c>
      <c r="I1642" s="16" t="e">
        <f t="shared" si="3306"/>
        <v>#N/A</v>
      </c>
      <c r="J1642" s="40" t="e">
        <f t="shared" si="3306"/>
        <v>#N/A</v>
      </c>
      <c r="K1642" s="16" t="e">
        <f t="shared" si="3306"/>
        <v>#N/A</v>
      </c>
      <c r="L1642" s="40" t="e">
        <f t="shared" si="3025"/>
        <v>#N/A</v>
      </c>
      <c r="M1642" s="16" t="e">
        <f t="shared" si="3026"/>
        <v>#N/A</v>
      </c>
      <c r="N1642" s="16" t="e">
        <f t="shared" si="3027"/>
        <v>#N/A</v>
      </c>
      <c r="O1642" s="16" t="s">
        <v>69</v>
      </c>
      <c r="P1642" s="16" t="str">
        <f t="shared" si="6"/>
        <v/>
      </c>
      <c r="Q1642" s="41" t="e">
        <f t="shared" si="3028"/>
        <v>#N/A</v>
      </c>
      <c r="R1642" s="44"/>
      <c r="S1642" s="44"/>
      <c r="T1642" s="43"/>
      <c r="U1642" s="43" t="str">
        <f t="shared" si="8"/>
        <v>No</v>
      </c>
      <c r="V1642" s="25"/>
      <c r="W1642" s="25"/>
      <c r="X1642" s="25"/>
      <c r="Y1642" s="25"/>
      <c r="Z1642" s="25"/>
    </row>
    <row r="1643" spans="1:26" ht="15.75" customHeight="1" x14ac:dyDescent="0.25">
      <c r="A1643" s="25">
        <v>1641</v>
      </c>
      <c r="B1643" s="37" t="e">
        <f t="shared" ref="B1643:D1643" si="3307">VLOOKUP($A1643,'[5]Integración Social'!$A$1:$O$233,B$1,0)</f>
        <v>#N/A</v>
      </c>
      <c r="C1643" s="38" t="e">
        <f t="shared" si="3307"/>
        <v>#N/A</v>
      </c>
      <c r="D1643" s="39" t="e">
        <f t="shared" si="3307"/>
        <v>#N/A</v>
      </c>
      <c r="E1643" s="16" t="e">
        <f t="shared" si="1"/>
        <v>#N/A</v>
      </c>
      <c r="F1643" s="16" t="e">
        <f t="shared" ref="F1643:K1643" si="3308">VLOOKUP($A1643,'[5]Integración Social'!$A$1:$O$233,F$1,0)</f>
        <v>#N/A</v>
      </c>
      <c r="G1643" s="39" t="e">
        <f t="shared" si="3308"/>
        <v>#N/A</v>
      </c>
      <c r="H1643" s="16" t="e">
        <f t="shared" si="3308"/>
        <v>#N/A</v>
      </c>
      <c r="I1643" s="16" t="e">
        <f t="shared" si="3308"/>
        <v>#N/A</v>
      </c>
      <c r="J1643" s="40" t="e">
        <f t="shared" si="3308"/>
        <v>#N/A</v>
      </c>
      <c r="K1643" s="16" t="e">
        <f t="shared" si="3308"/>
        <v>#N/A</v>
      </c>
      <c r="L1643" s="40" t="e">
        <f t="shared" si="3025"/>
        <v>#N/A</v>
      </c>
      <c r="M1643" s="16" t="e">
        <f t="shared" si="3026"/>
        <v>#N/A</v>
      </c>
      <c r="N1643" s="16" t="e">
        <f t="shared" si="3027"/>
        <v>#N/A</v>
      </c>
      <c r="O1643" s="16" t="s">
        <v>69</v>
      </c>
      <c r="P1643" s="16" t="str">
        <f t="shared" si="6"/>
        <v/>
      </c>
      <c r="Q1643" s="41" t="e">
        <f t="shared" si="3028"/>
        <v>#N/A</v>
      </c>
      <c r="R1643" s="44"/>
      <c r="S1643" s="44"/>
      <c r="T1643" s="43"/>
      <c r="U1643" s="43" t="str">
        <f t="shared" si="8"/>
        <v>No</v>
      </c>
      <c r="V1643" s="25"/>
      <c r="W1643" s="25"/>
      <c r="X1643" s="25"/>
      <c r="Y1643" s="25"/>
      <c r="Z1643" s="25"/>
    </row>
    <row r="1644" spans="1:26" ht="15.75" customHeight="1" x14ac:dyDescent="0.25">
      <c r="A1644" s="25">
        <v>1642</v>
      </c>
      <c r="B1644" s="37" t="e">
        <f t="shared" ref="B1644:D1644" si="3309">VLOOKUP($A1644,'[5]Integración Social'!$A$1:$O$233,B$1,0)</f>
        <v>#N/A</v>
      </c>
      <c r="C1644" s="38" t="e">
        <f t="shared" si="3309"/>
        <v>#N/A</v>
      </c>
      <c r="D1644" s="39" t="e">
        <f t="shared" si="3309"/>
        <v>#N/A</v>
      </c>
      <c r="E1644" s="16" t="e">
        <f t="shared" si="1"/>
        <v>#N/A</v>
      </c>
      <c r="F1644" s="16" t="e">
        <f t="shared" ref="F1644:K1644" si="3310">VLOOKUP($A1644,'[5]Integración Social'!$A$1:$O$233,F$1,0)</f>
        <v>#N/A</v>
      </c>
      <c r="G1644" s="39" t="e">
        <f t="shared" si="3310"/>
        <v>#N/A</v>
      </c>
      <c r="H1644" s="16" t="e">
        <f t="shared" si="3310"/>
        <v>#N/A</v>
      </c>
      <c r="I1644" s="16" t="e">
        <f t="shared" si="3310"/>
        <v>#N/A</v>
      </c>
      <c r="J1644" s="40" t="e">
        <f t="shared" si="3310"/>
        <v>#N/A</v>
      </c>
      <c r="K1644" s="16" t="e">
        <f t="shared" si="3310"/>
        <v>#N/A</v>
      </c>
      <c r="L1644" s="40" t="e">
        <f t="shared" si="3025"/>
        <v>#N/A</v>
      </c>
      <c r="M1644" s="16" t="e">
        <f t="shared" si="3026"/>
        <v>#N/A</v>
      </c>
      <c r="N1644" s="16" t="e">
        <f t="shared" si="3027"/>
        <v>#N/A</v>
      </c>
      <c r="O1644" s="16" t="s">
        <v>69</v>
      </c>
      <c r="P1644" s="16" t="str">
        <f t="shared" si="6"/>
        <v/>
      </c>
      <c r="Q1644" s="41" t="e">
        <f t="shared" si="3028"/>
        <v>#N/A</v>
      </c>
      <c r="R1644" s="44"/>
      <c r="S1644" s="44"/>
      <c r="T1644" s="43"/>
      <c r="U1644" s="43" t="str">
        <f t="shared" si="8"/>
        <v>No</v>
      </c>
      <c r="V1644" s="25"/>
      <c r="W1644" s="25"/>
      <c r="X1644" s="25"/>
      <c r="Y1644" s="25"/>
      <c r="Z1644" s="25"/>
    </row>
    <row r="1645" spans="1:26" ht="15.75" customHeight="1" x14ac:dyDescent="0.25">
      <c r="A1645" s="25">
        <v>1643</v>
      </c>
      <c r="B1645" s="37" t="e">
        <f t="shared" ref="B1645:D1645" si="3311">VLOOKUP($A1645,'[5]Integración Social'!$A$1:$O$233,B$1,0)</f>
        <v>#N/A</v>
      </c>
      <c r="C1645" s="38" t="e">
        <f t="shared" si="3311"/>
        <v>#N/A</v>
      </c>
      <c r="D1645" s="39" t="e">
        <f t="shared" si="3311"/>
        <v>#N/A</v>
      </c>
      <c r="E1645" s="16" t="e">
        <f t="shared" si="1"/>
        <v>#N/A</v>
      </c>
      <c r="F1645" s="16" t="e">
        <f t="shared" ref="F1645:K1645" si="3312">VLOOKUP($A1645,'[5]Integración Social'!$A$1:$O$233,F$1,0)</f>
        <v>#N/A</v>
      </c>
      <c r="G1645" s="39" t="e">
        <f t="shared" si="3312"/>
        <v>#N/A</v>
      </c>
      <c r="H1645" s="16" t="e">
        <f t="shared" si="3312"/>
        <v>#N/A</v>
      </c>
      <c r="I1645" s="16" t="e">
        <f t="shared" si="3312"/>
        <v>#N/A</v>
      </c>
      <c r="J1645" s="40" t="e">
        <f t="shared" si="3312"/>
        <v>#N/A</v>
      </c>
      <c r="K1645" s="16" t="e">
        <f t="shared" si="3312"/>
        <v>#N/A</v>
      </c>
      <c r="L1645" s="40" t="e">
        <f t="shared" si="3025"/>
        <v>#N/A</v>
      </c>
      <c r="M1645" s="16" t="e">
        <f t="shared" si="3026"/>
        <v>#N/A</v>
      </c>
      <c r="N1645" s="16" t="e">
        <f t="shared" si="3027"/>
        <v>#N/A</v>
      </c>
      <c r="O1645" s="16" t="s">
        <v>69</v>
      </c>
      <c r="P1645" s="16" t="str">
        <f t="shared" si="6"/>
        <v/>
      </c>
      <c r="Q1645" s="41" t="e">
        <f t="shared" si="3028"/>
        <v>#N/A</v>
      </c>
      <c r="R1645" s="44"/>
      <c r="S1645" s="44"/>
      <c r="T1645" s="43"/>
      <c r="U1645" s="43" t="str">
        <f t="shared" si="8"/>
        <v>No</v>
      </c>
      <c r="V1645" s="25"/>
      <c r="W1645" s="25"/>
      <c r="X1645" s="25"/>
      <c r="Y1645" s="25"/>
      <c r="Z1645" s="25"/>
    </row>
    <row r="1646" spans="1:26" ht="15.75" customHeight="1" x14ac:dyDescent="0.25">
      <c r="A1646" s="25">
        <v>1644</v>
      </c>
      <c r="B1646" s="37" t="e">
        <f t="shared" ref="B1646:D1646" si="3313">VLOOKUP($A1646,'[5]Integración Social'!$A$1:$O$233,B$1,0)</f>
        <v>#N/A</v>
      </c>
      <c r="C1646" s="38" t="e">
        <f t="shared" si="3313"/>
        <v>#N/A</v>
      </c>
      <c r="D1646" s="39" t="e">
        <f t="shared" si="3313"/>
        <v>#N/A</v>
      </c>
      <c r="E1646" s="16" t="e">
        <f t="shared" si="1"/>
        <v>#N/A</v>
      </c>
      <c r="F1646" s="16" t="e">
        <f t="shared" ref="F1646:K1646" si="3314">VLOOKUP($A1646,'[5]Integración Social'!$A$1:$O$233,F$1,0)</f>
        <v>#N/A</v>
      </c>
      <c r="G1646" s="39" t="e">
        <f t="shared" si="3314"/>
        <v>#N/A</v>
      </c>
      <c r="H1646" s="16" t="e">
        <f t="shared" si="3314"/>
        <v>#N/A</v>
      </c>
      <c r="I1646" s="16" t="e">
        <f t="shared" si="3314"/>
        <v>#N/A</v>
      </c>
      <c r="J1646" s="40" t="e">
        <f t="shared" si="3314"/>
        <v>#N/A</v>
      </c>
      <c r="K1646" s="16" t="e">
        <f t="shared" si="3314"/>
        <v>#N/A</v>
      </c>
      <c r="L1646" s="40" t="e">
        <f t="shared" si="3025"/>
        <v>#N/A</v>
      </c>
      <c r="M1646" s="16" t="e">
        <f t="shared" si="3026"/>
        <v>#N/A</v>
      </c>
      <c r="N1646" s="16" t="e">
        <f t="shared" si="3027"/>
        <v>#N/A</v>
      </c>
      <c r="O1646" s="16" t="s">
        <v>69</v>
      </c>
      <c r="P1646" s="16" t="str">
        <f t="shared" si="6"/>
        <v/>
      </c>
      <c r="Q1646" s="41" t="e">
        <f t="shared" si="3028"/>
        <v>#N/A</v>
      </c>
      <c r="R1646" s="44"/>
      <c r="S1646" s="44"/>
      <c r="T1646" s="43"/>
      <c r="U1646" s="43" t="str">
        <f t="shared" si="8"/>
        <v>No</v>
      </c>
      <c r="V1646" s="25"/>
      <c r="W1646" s="25"/>
      <c r="X1646" s="25"/>
      <c r="Y1646" s="25"/>
      <c r="Z1646" s="25"/>
    </row>
    <row r="1647" spans="1:26" ht="15.75" customHeight="1" x14ac:dyDescent="0.25">
      <c r="A1647" s="25">
        <v>1645</v>
      </c>
      <c r="B1647" s="37" t="e">
        <f t="shared" ref="B1647:D1647" si="3315">VLOOKUP($A1647,'[5]Integración Social'!$A$1:$O$233,B$1,0)</f>
        <v>#N/A</v>
      </c>
      <c r="C1647" s="38" t="e">
        <f t="shared" si="3315"/>
        <v>#N/A</v>
      </c>
      <c r="D1647" s="39" t="e">
        <f t="shared" si="3315"/>
        <v>#N/A</v>
      </c>
      <c r="E1647" s="16" t="e">
        <f t="shared" si="1"/>
        <v>#N/A</v>
      </c>
      <c r="F1647" s="16" t="e">
        <f t="shared" ref="F1647:K1647" si="3316">VLOOKUP($A1647,'[5]Integración Social'!$A$1:$O$233,F$1,0)</f>
        <v>#N/A</v>
      </c>
      <c r="G1647" s="39" t="e">
        <f t="shared" si="3316"/>
        <v>#N/A</v>
      </c>
      <c r="H1647" s="16" t="e">
        <f t="shared" si="3316"/>
        <v>#N/A</v>
      </c>
      <c r="I1647" s="16" t="e">
        <f t="shared" si="3316"/>
        <v>#N/A</v>
      </c>
      <c r="J1647" s="40" t="e">
        <f t="shared" si="3316"/>
        <v>#N/A</v>
      </c>
      <c r="K1647" s="16" t="e">
        <f t="shared" si="3316"/>
        <v>#N/A</v>
      </c>
      <c r="L1647" s="40" t="e">
        <f t="shared" si="3025"/>
        <v>#N/A</v>
      </c>
      <c r="M1647" s="16" t="e">
        <f t="shared" si="3026"/>
        <v>#N/A</v>
      </c>
      <c r="N1647" s="16" t="e">
        <f t="shared" si="3027"/>
        <v>#N/A</v>
      </c>
      <c r="O1647" s="16" t="s">
        <v>69</v>
      </c>
      <c r="P1647" s="16" t="str">
        <f t="shared" si="6"/>
        <v/>
      </c>
      <c r="Q1647" s="41" t="e">
        <f t="shared" si="3028"/>
        <v>#N/A</v>
      </c>
      <c r="R1647" s="44"/>
      <c r="S1647" s="44"/>
      <c r="T1647" s="43"/>
      <c r="U1647" s="43" t="str">
        <f t="shared" si="8"/>
        <v>No</v>
      </c>
      <c r="V1647" s="25"/>
      <c r="W1647" s="25"/>
      <c r="X1647" s="25"/>
      <c r="Y1647" s="25"/>
      <c r="Z1647" s="25"/>
    </row>
    <row r="1648" spans="1:26" ht="15.75" customHeight="1" x14ac:dyDescent="0.25">
      <c r="A1648" s="25">
        <v>1646</v>
      </c>
      <c r="B1648" s="37" t="e">
        <f t="shared" ref="B1648:D1648" si="3317">VLOOKUP($A1648,'[5]Integración Social'!$A$1:$O$233,B$1,0)</f>
        <v>#N/A</v>
      </c>
      <c r="C1648" s="38" t="e">
        <f t="shared" si="3317"/>
        <v>#N/A</v>
      </c>
      <c r="D1648" s="39" t="e">
        <f t="shared" si="3317"/>
        <v>#N/A</v>
      </c>
      <c r="E1648" s="16" t="e">
        <f t="shared" si="1"/>
        <v>#N/A</v>
      </c>
      <c r="F1648" s="16" t="e">
        <f t="shared" ref="F1648:K1648" si="3318">VLOOKUP($A1648,'[5]Integración Social'!$A$1:$O$233,F$1,0)</f>
        <v>#N/A</v>
      </c>
      <c r="G1648" s="39" t="e">
        <f t="shared" si="3318"/>
        <v>#N/A</v>
      </c>
      <c r="H1648" s="16" t="e">
        <f t="shared" si="3318"/>
        <v>#N/A</v>
      </c>
      <c r="I1648" s="16" t="e">
        <f t="shared" si="3318"/>
        <v>#N/A</v>
      </c>
      <c r="J1648" s="40" t="e">
        <f t="shared" si="3318"/>
        <v>#N/A</v>
      </c>
      <c r="K1648" s="16" t="e">
        <f t="shared" si="3318"/>
        <v>#N/A</v>
      </c>
      <c r="L1648" s="40" t="e">
        <f t="shared" si="3025"/>
        <v>#N/A</v>
      </c>
      <c r="M1648" s="16" t="e">
        <f t="shared" si="3026"/>
        <v>#N/A</v>
      </c>
      <c r="N1648" s="16" t="e">
        <f t="shared" si="3027"/>
        <v>#N/A</v>
      </c>
      <c r="O1648" s="16" t="s">
        <v>69</v>
      </c>
      <c r="P1648" s="16" t="str">
        <f t="shared" si="6"/>
        <v/>
      </c>
      <c r="Q1648" s="41" t="e">
        <f t="shared" si="3028"/>
        <v>#N/A</v>
      </c>
      <c r="R1648" s="44"/>
      <c r="S1648" s="44"/>
      <c r="T1648" s="43"/>
      <c r="U1648" s="43" t="str">
        <f t="shared" si="8"/>
        <v>No</v>
      </c>
      <c r="V1648" s="25"/>
      <c r="W1648" s="25"/>
      <c r="X1648" s="25"/>
      <c r="Y1648" s="25"/>
      <c r="Z1648" s="25"/>
    </row>
    <row r="1649" spans="1:26" ht="15.75" customHeight="1" x14ac:dyDescent="0.25">
      <c r="A1649" s="25">
        <v>1647</v>
      </c>
      <c r="B1649" s="37" t="e">
        <f t="shared" ref="B1649:D1649" si="3319">VLOOKUP($A1649,'[5]Integración Social'!$A$1:$O$233,B$1,0)</f>
        <v>#N/A</v>
      </c>
      <c r="C1649" s="38" t="e">
        <f t="shared" si="3319"/>
        <v>#N/A</v>
      </c>
      <c r="D1649" s="39" t="e">
        <f t="shared" si="3319"/>
        <v>#N/A</v>
      </c>
      <c r="E1649" s="16" t="e">
        <f t="shared" si="1"/>
        <v>#N/A</v>
      </c>
      <c r="F1649" s="16" t="e">
        <f t="shared" ref="F1649:K1649" si="3320">VLOOKUP($A1649,'[5]Integración Social'!$A$1:$O$233,F$1,0)</f>
        <v>#N/A</v>
      </c>
      <c r="G1649" s="39" t="e">
        <f t="shared" si="3320"/>
        <v>#N/A</v>
      </c>
      <c r="H1649" s="16" t="e">
        <f t="shared" si="3320"/>
        <v>#N/A</v>
      </c>
      <c r="I1649" s="16" t="e">
        <f t="shared" si="3320"/>
        <v>#N/A</v>
      </c>
      <c r="J1649" s="40" t="e">
        <f t="shared" si="3320"/>
        <v>#N/A</v>
      </c>
      <c r="K1649" s="16" t="e">
        <f t="shared" si="3320"/>
        <v>#N/A</v>
      </c>
      <c r="L1649" s="40" t="e">
        <f t="shared" si="3025"/>
        <v>#N/A</v>
      </c>
      <c r="M1649" s="16" t="e">
        <f t="shared" si="3026"/>
        <v>#N/A</v>
      </c>
      <c r="N1649" s="16" t="e">
        <f t="shared" si="3027"/>
        <v>#N/A</v>
      </c>
      <c r="O1649" s="16" t="s">
        <v>69</v>
      </c>
      <c r="P1649" s="16" t="str">
        <f t="shared" si="6"/>
        <v/>
      </c>
      <c r="Q1649" s="41" t="e">
        <f t="shared" si="3028"/>
        <v>#N/A</v>
      </c>
      <c r="R1649" s="44"/>
      <c r="S1649" s="44"/>
      <c r="T1649" s="43"/>
      <c r="U1649" s="43" t="str">
        <f t="shared" si="8"/>
        <v>No</v>
      </c>
      <c r="V1649" s="25"/>
      <c r="W1649" s="25"/>
      <c r="X1649" s="25"/>
      <c r="Y1649" s="25"/>
      <c r="Z1649" s="25"/>
    </row>
    <row r="1650" spans="1:26" ht="15.75" customHeight="1" x14ac:dyDescent="0.25">
      <c r="A1650" s="25">
        <v>1648</v>
      </c>
      <c r="B1650" s="37" t="e">
        <f t="shared" ref="B1650:D1650" si="3321">VLOOKUP($A1650,'[5]Integración Social'!$A$1:$O$233,B$1,0)</f>
        <v>#N/A</v>
      </c>
      <c r="C1650" s="38" t="e">
        <f t="shared" si="3321"/>
        <v>#N/A</v>
      </c>
      <c r="D1650" s="39" t="e">
        <f t="shared" si="3321"/>
        <v>#N/A</v>
      </c>
      <c r="E1650" s="16" t="e">
        <f t="shared" si="1"/>
        <v>#N/A</v>
      </c>
      <c r="F1650" s="16" t="e">
        <f t="shared" ref="F1650:K1650" si="3322">VLOOKUP($A1650,'[5]Integración Social'!$A$1:$O$233,F$1,0)</f>
        <v>#N/A</v>
      </c>
      <c r="G1650" s="39" t="e">
        <f t="shared" si="3322"/>
        <v>#N/A</v>
      </c>
      <c r="H1650" s="16" t="e">
        <f t="shared" si="3322"/>
        <v>#N/A</v>
      </c>
      <c r="I1650" s="16" t="e">
        <f t="shared" si="3322"/>
        <v>#N/A</v>
      </c>
      <c r="J1650" s="40" t="e">
        <f t="shared" si="3322"/>
        <v>#N/A</v>
      </c>
      <c r="K1650" s="16" t="e">
        <f t="shared" si="3322"/>
        <v>#N/A</v>
      </c>
      <c r="L1650" s="40" t="e">
        <f t="shared" si="3025"/>
        <v>#N/A</v>
      </c>
      <c r="M1650" s="16" t="e">
        <f t="shared" si="3026"/>
        <v>#N/A</v>
      </c>
      <c r="N1650" s="16" t="e">
        <f t="shared" si="3027"/>
        <v>#N/A</v>
      </c>
      <c r="O1650" s="16" t="s">
        <v>69</v>
      </c>
      <c r="P1650" s="16" t="str">
        <f t="shared" si="6"/>
        <v/>
      </c>
      <c r="Q1650" s="41" t="e">
        <f t="shared" si="3028"/>
        <v>#N/A</v>
      </c>
      <c r="R1650" s="44"/>
      <c r="S1650" s="44"/>
      <c r="T1650" s="43"/>
      <c r="U1650" s="43" t="str">
        <f t="shared" si="8"/>
        <v>No</v>
      </c>
      <c r="V1650" s="25"/>
      <c r="W1650" s="25"/>
      <c r="X1650" s="25"/>
      <c r="Y1650" s="25"/>
      <c r="Z1650" s="25"/>
    </row>
    <row r="1651" spans="1:26" ht="15.75" customHeight="1" x14ac:dyDescent="0.25">
      <c r="A1651" s="25">
        <v>1649</v>
      </c>
      <c r="B1651" s="37" t="e">
        <f t="shared" ref="B1651:D1651" si="3323">VLOOKUP($A1651,'[5]Integración Social'!$A$1:$O$233,B$1,0)</f>
        <v>#N/A</v>
      </c>
      <c r="C1651" s="38" t="e">
        <f t="shared" si="3323"/>
        <v>#N/A</v>
      </c>
      <c r="D1651" s="39" t="e">
        <f t="shared" si="3323"/>
        <v>#N/A</v>
      </c>
      <c r="E1651" s="16" t="e">
        <f t="shared" si="1"/>
        <v>#N/A</v>
      </c>
      <c r="F1651" s="16" t="e">
        <f t="shared" ref="F1651:K1651" si="3324">VLOOKUP($A1651,'[5]Integración Social'!$A$1:$O$233,F$1,0)</f>
        <v>#N/A</v>
      </c>
      <c r="G1651" s="39" t="e">
        <f t="shared" si="3324"/>
        <v>#N/A</v>
      </c>
      <c r="H1651" s="16" t="e">
        <f t="shared" si="3324"/>
        <v>#N/A</v>
      </c>
      <c r="I1651" s="16" t="e">
        <f t="shared" si="3324"/>
        <v>#N/A</v>
      </c>
      <c r="J1651" s="40" t="e">
        <f t="shared" si="3324"/>
        <v>#N/A</v>
      </c>
      <c r="K1651" s="16" t="e">
        <f t="shared" si="3324"/>
        <v>#N/A</v>
      </c>
      <c r="L1651" s="40" t="e">
        <f t="shared" si="3025"/>
        <v>#N/A</v>
      </c>
      <c r="M1651" s="16" t="e">
        <f t="shared" si="3026"/>
        <v>#N/A</v>
      </c>
      <c r="N1651" s="16" t="e">
        <f t="shared" si="3027"/>
        <v>#N/A</v>
      </c>
      <c r="O1651" s="16" t="s">
        <v>69</v>
      </c>
      <c r="P1651" s="16" t="str">
        <f t="shared" si="6"/>
        <v/>
      </c>
      <c r="Q1651" s="41" t="e">
        <f t="shared" si="3028"/>
        <v>#N/A</v>
      </c>
      <c r="R1651" s="44"/>
      <c r="S1651" s="44"/>
      <c r="T1651" s="43"/>
      <c r="U1651" s="43" t="str">
        <f t="shared" si="8"/>
        <v>No</v>
      </c>
      <c r="V1651" s="25"/>
      <c r="W1651" s="25"/>
      <c r="X1651" s="25"/>
      <c r="Y1651" s="25"/>
      <c r="Z1651" s="25"/>
    </row>
    <row r="1652" spans="1:26" ht="15.75" customHeight="1" x14ac:dyDescent="0.25">
      <c r="A1652" s="25">
        <v>1650</v>
      </c>
      <c r="B1652" s="37" t="e">
        <f t="shared" ref="B1652:D1652" si="3325">VLOOKUP($A1652,'[5]Integración Social'!$A$1:$O$233,B$1,0)</f>
        <v>#N/A</v>
      </c>
      <c r="C1652" s="38" t="e">
        <f t="shared" si="3325"/>
        <v>#N/A</v>
      </c>
      <c r="D1652" s="39" t="e">
        <f t="shared" si="3325"/>
        <v>#N/A</v>
      </c>
      <c r="E1652" s="16" t="e">
        <f t="shared" si="1"/>
        <v>#N/A</v>
      </c>
      <c r="F1652" s="16" t="e">
        <f t="shared" ref="F1652:K1652" si="3326">VLOOKUP($A1652,'[5]Integración Social'!$A$1:$O$233,F$1,0)</f>
        <v>#N/A</v>
      </c>
      <c r="G1652" s="39" t="e">
        <f t="shared" si="3326"/>
        <v>#N/A</v>
      </c>
      <c r="H1652" s="16" t="e">
        <f t="shared" si="3326"/>
        <v>#N/A</v>
      </c>
      <c r="I1652" s="16" t="e">
        <f t="shared" si="3326"/>
        <v>#N/A</v>
      </c>
      <c r="J1652" s="40" t="e">
        <f t="shared" si="3326"/>
        <v>#N/A</v>
      </c>
      <c r="K1652" s="16" t="e">
        <f t="shared" si="3326"/>
        <v>#N/A</v>
      </c>
      <c r="L1652" s="40" t="e">
        <f t="shared" si="3025"/>
        <v>#N/A</v>
      </c>
      <c r="M1652" s="16" t="e">
        <f t="shared" si="3026"/>
        <v>#N/A</v>
      </c>
      <c r="N1652" s="16" t="e">
        <f t="shared" si="3027"/>
        <v>#N/A</v>
      </c>
      <c r="O1652" s="16" t="s">
        <v>69</v>
      </c>
      <c r="P1652" s="16" t="str">
        <f t="shared" si="6"/>
        <v/>
      </c>
      <c r="Q1652" s="41" t="e">
        <f t="shared" si="3028"/>
        <v>#N/A</v>
      </c>
      <c r="R1652" s="44"/>
      <c r="S1652" s="44"/>
      <c r="T1652" s="43"/>
      <c r="U1652" s="43" t="str">
        <f t="shared" si="8"/>
        <v>No</v>
      </c>
      <c r="V1652" s="25"/>
      <c r="W1652" s="25"/>
      <c r="X1652" s="25"/>
      <c r="Y1652" s="25"/>
      <c r="Z1652" s="25"/>
    </row>
    <row r="1653" spans="1:26" ht="15.75" customHeight="1" x14ac:dyDescent="0.25">
      <c r="A1653" s="25">
        <v>1651</v>
      </c>
      <c r="B1653" s="37" t="e">
        <f t="shared" ref="B1653:D1653" si="3327">VLOOKUP($A1653,'[5]Integración Social'!$A$1:$O$233,B$1,0)</f>
        <v>#N/A</v>
      </c>
      <c r="C1653" s="38" t="e">
        <f t="shared" si="3327"/>
        <v>#N/A</v>
      </c>
      <c r="D1653" s="39" t="e">
        <f t="shared" si="3327"/>
        <v>#N/A</v>
      </c>
      <c r="E1653" s="16" t="e">
        <f t="shared" si="1"/>
        <v>#N/A</v>
      </c>
      <c r="F1653" s="16" t="e">
        <f t="shared" ref="F1653:K1653" si="3328">VLOOKUP($A1653,'[5]Integración Social'!$A$1:$O$233,F$1,0)</f>
        <v>#N/A</v>
      </c>
      <c r="G1653" s="39" t="e">
        <f t="shared" si="3328"/>
        <v>#N/A</v>
      </c>
      <c r="H1653" s="16" t="e">
        <f t="shared" si="3328"/>
        <v>#N/A</v>
      </c>
      <c r="I1653" s="16" t="e">
        <f t="shared" si="3328"/>
        <v>#N/A</v>
      </c>
      <c r="J1653" s="40" t="e">
        <f t="shared" si="3328"/>
        <v>#N/A</v>
      </c>
      <c r="K1653" s="16" t="e">
        <f t="shared" si="3328"/>
        <v>#N/A</v>
      </c>
      <c r="L1653" s="40" t="e">
        <f t="shared" si="3025"/>
        <v>#N/A</v>
      </c>
      <c r="M1653" s="16" t="e">
        <f t="shared" si="3026"/>
        <v>#N/A</v>
      </c>
      <c r="N1653" s="16" t="e">
        <f t="shared" si="3027"/>
        <v>#N/A</v>
      </c>
      <c r="O1653" s="16" t="s">
        <v>69</v>
      </c>
      <c r="P1653" s="16" t="str">
        <f t="shared" si="6"/>
        <v/>
      </c>
      <c r="Q1653" s="41" t="e">
        <f t="shared" si="3028"/>
        <v>#N/A</v>
      </c>
      <c r="R1653" s="44"/>
      <c r="S1653" s="44"/>
      <c r="T1653" s="43"/>
      <c r="U1653" s="43" t="str">
        <f t="shared" si="8"/>
        <v>No</v>
      </c>
      <c r="V1653" s="25"/>
      <c r="W1653" s="25"/>
      <c r="X1653" s="25"/>
      <c r="Y1653" s="25"/>
      <c r="Z1653" s="25"/>
    </row>
    <row r="1654" spans="1:26" ht="15.75" customHeight="1" x14ac:dyDescent="0.25">
      <c r="A1654" s="25">
        <v>1652</v>
      </c>
      <c r="B1654" s="37" t="e">
        <f t="shared" ref="B1654:D1654" si="3329">VLOOKUP($A1654,'[5]Integración Social'!$A$1:$O$233,B$1,0)</f>
        <v>#N/A</v>
      </c>
      <c r="C1654" s="38" t="e">
        <f t="shared" si="3329"/>
        <v>#N/A</v>
      </c>
      <c r="D1654" s="39" t="e">
        <f t="shared" si="3329"/>
        <v>#N/A</v>
      </c>
      <c r="E1654" s="16" t="e">
        <f t="shared" si="1"/>
        <v>#N/A</v>
      </c>
      <c r="F1654" s="16" t="e">
        <f t="shared" ref="F1654:K1654" si="3330">VLOOKUP($A1654,'[5]Integración Social'!$A$1:$O$233,F$1,0)</f>
        <v>#N/A</v>
      </c>
      <c r="G1654" s="39" t="e">
        <f t="shared" si="3330"/>
        <v>#N/A</v>
      </c>
      <c r="H1654" s="16" t="e">
        <f t="shared" si="3330"/>
        <v>#N/A</v>
      </c>
      <c r="I1654" s="16" t="e">
        <f t="shared" si="3330"/>
        <v>#N/A</v>
      </c>
      <c r="J1654" s="40" t="e">
        <f t="shared" si="3330"/>
        <v>#N/A</v>
      </c>
      <c r="K1654" s="16" t="e">
        <f t="shared" si="3330"/>
        <v>#N/A</v>
      </c>
      <c r="L1654" s="40" t="e">
        <f t="shared" si="3025"/>
        <v>#N/A</v>
      </c>
      <c r="M1654" s="16" t="e">
        <f t="shared" si="3026"/>
        <v>#N/A</v>
      </c>
      <c r="N1654" s="16" t="e">
        <f t="shared" si="3027"/>
        <v>#N/A</v>
      </c>
      <c r="O1654" s="16" t="s">
        <v>69</v>
      </c>
      <c r="P1654" s="16" t="str">
        <f t="shared" si="6"/>
        <v/>
      </c>
      <c r="Q1654" s="41" t="e">
        <f t="shared" si="3028"/>
        <v>#N/A</v>
      </c>
      <c r="R1654" s="44"/>
      <c r="S1654" s="44"/>
      <c r="T1654" s="43"/>
      <c r="U1654" s="43" t="str">
        <f t="shared" si="8"/>
        <v>No</v>
      </c>
      <c r="V1654" s="25"/>
      <c r="W1654" s="25"/>
      <c r="X1654" s="25"/>
      <c r="Y1654" s="25"/>
      <c r="Z1654" s="25"/>
    </row>
    <row r="1655" spans="1:26" ht="15.75" customHeight="1" x14ac:dyDescent="0.25">
      <c r="A1655" s="25">
        <v>1653</v>
      </c>
      <c r="B1655" s="37" t="e">
        <f t="shared" ref="B1655:D1655" si="3331">VLOOKUP($A1655,'[5]Integración Social'!$A$1:$O$233,B$1,0)</f>
        <v>#N/A</v>
      </c>
      <c r="C1655" s="38" t="e">
        <f t="shared" si="3331"/>
        <v>#N/A</v>
      </c>
      <c r="D1655" s="39" t="e">
        <f t="shared" si="3331"/>
        <v>#N/A</v>
      </c>
      <c r="E1655" s="16" t="e">
        <f t="shared" si="1"/>
        <v>#N/A</v>
      </c>
      <c r="F1655" s="16" t="e">
        <f t="shared" ref="F1655:K1655" si="3332">VLOOKUP($A1655,'[5]Integración Social'!$A$1:$O$233,F$1,0)</f>
        <v>#N/A</v>
      </c>
      <c r="G1655" s="39" t="e">
        <f t="shared" si="3332"/>
        <v>#N/A</v>
      </c>
      <c r="H1655" s="16" t="e">
        <f t="shared" si="3332"/>
        <v>#N/A</v>
      </c>
      <c r="I1655" s="16" t="e">
        <f t="shared" si="3332"/>
        <v>#N/A</v>
      </c>
      <c r="J1655" s="40" t="e">
        <f t="shared" si="3332"/>
        <v>#N/A</v>
      </c>
      <c r="K1655" s="16" t="e">
        <f t="shared" si="3332"/>
        <v>#N/A</v>
      </c>
      <c r="L1655" s="40" t="e">
        <f t="shared" si="3025"/>
        <v>#N/A</v>
      </c>
      <c r="M1655" s="16" t="e">
        <f t="shared" si="3026"/>
        <v>#N/A</v>
      </c>
      <c r="N1655" s="16" t="e">
        <f t="shared" si="3027"/>
        <v>#N/A</v>
      </c>
      <c r="O1655" s="16" t="s">
        <v>69</v>
      </c>
      <c r="P1655" s="16" t="str">
        <f t="shared" si="6"/>
        <v/>
      </c>
      <c r="Q1655" s="41" t="e">
        <f t="shared" si="3028"/>
        <v>#N/A</v>
      </c>
      <c r="R1655" s="44"/>
      <c r="S1655" s="44"/>
      <c r="T1655" s="43"/>
      <c r="U1655" s="43" t="str">
        <f t="shared" si="8"/>
        <v>No</v>
      </c>
      <c r="V1655" s="25"/>
      <c r="W1655" s="25"/>
      <c r="X1655" s="25"/>
      <c r="Y1655" s="25"/>
      <c r="Z1655" s="25"/>
    </row>
    <row r="1656" spans="1:26" ht="15.75" customHeight="1" x14ac:dyDescent="0.25">
      <c r="A1656" s="25">
        <v>1654</v>
      </c>
      <c r="B1656" s="37" t="e">
        <f t="shared" ref="B1656:D1656" si="3333">VLOOKUP($A1656,'[5]Integración Social'!$A$1:$O$233,B$1,0)</f>
        <v>#N/A</v>
      </c>
      <c r="C1656" s="38" t="e">
        <f t="shared" si="3333"/>
        <v>#N/A</v>
      </c>
      <c r="D1656" s="39" t="e">
        <f t="shared" si="3333"/>
        <v>#N/A</v>
      </c>
      <c r="E1656" s="16" t="e">
        <f t="shared" si="1"/>
        <v>#N/A</v>
      </c>
      <c r="F1656" s="16" t="e">
        <f t="shared" ref="F1656:K1656" si="3334">VLOOKUP($A1656,'[5]Integración Social'!$A$1:$O$233,F$1,0)</f>
        <v>#N/A</v>
      </c>
      <c r="G1656" s="39" t="e">
        <f t="shared" si="3334"/>
        <v>#N/A</v>
      </c>
      <c r="H1656" s="16" t="e">
        <f t="shared" si="3334"/>
        <v>#N/A</v>
      </c>
      <c r="I1656" s="16" t="e">
        <f t="shared" si="3334"/>
        <v>#N/A</v>
      </c>
      <c r="J1656" s="40" t="e">
        <f t="shared" si="3334"/>
        <v>#N/A</v>
      </c>
      <c r="K1656" s="16" t="e">
        <f t="shared" si="3334"/>
        <v>#N/A</v>
      </c>
      <c r="L1656" s="40" t="e">
        <f t="shared" si="3025"/>
        <v>#N/A</v>
      </c>
      <c r="M1656" s="16" t="e">
        <f t="shared" si="3026"/>
        <v>#N/A</v>
      </c>
      <c r="N1656" s="16" t="e">
        <f t="shared" si="3027"/>
        <v>#N/A</v>
      </c>
      <c r="O1656" s="16" t="s">
        <v>69</v>
      </c>
      <c r="P1656" s="16" t="str">
        <f t="shared" si="6"/>
        <v/>
      </c>
      <c r="Q1656" s="41" t="e">
        <f t="shared" si="3028"/>
        <v>#N/A</v>
      </c>
      <c r="R1656" s="44"/>
      <c r="S1656" s="44"/>
      <c r="T1656" s="43"/>
      <c r="U1656" s="43" t="str">
        <f t="shared" si="8"/>
        <v>No</v>
      </c>
      <c r="V1656" s="25"/>
      <c r="W1656" s="25"/>
      <c r="X1656" s="25"/>
      <c r="Y1656" s="25"/>
      <c r="Z1656" s="25"/>
    </row>
    <row r="1657" spans="1:26" ht="15.75" customHeight="1" x14ac:dyDescent="0.25">
      <c r="A1657" s="25">
        <v>1655</v>
      </c>
      <c r="B1657" s="37" t="e">
        <f t="shared" ref="B1657:D1657" si="3335">VLOOKUP($A1657,'[5]Integración Social'!$A$1:$O$233,B$1,0)</f>
        <v>#N/A</v>
      </c>
      <c r="C1657" s="38" t="e">
        <f t="shared" si="3335"/>
        <v>#N/A</v>
      </c>
      <c r="D1657" s="39" t="e">
        <f t="shared" si="3335"/>
        <v>#N/A</v>
      </c>
      <c r="E1657" s="16" t="e">
        <f t="shared" si="1"/>
        <v>#N/A</v>
      </c>
      <c r="F1657" s="16" t="e">
        <f t="shared" ref="F1657:K1657" si="3336">VLOOKUP($A1657,'[5]Integración Social'!$A$1:$O$233,F$1,0)</f>
        <v>#N/A</v>
      </c>
      <c r="G1657" s="39" t="e">
        <f t="shared" si="3336"/>
        <v>#N/A</v>
      </c>
      <c r="H1657" s="16" t="e">
        <f t="shared" si="3336"/>
        <v>#N/A</v>
      </c>
      <c r="I1657" s="16" t="e">
        <f t="shared" si="3336"/>
        <v>#N/A</v>
      </c>
      <c r="J1657" s="40" t="e">
        <f t="shared" si="3336"/>
        <v>#N/A</v>
      </c>
      <c r="K1657" s="16" t="e">
        <f t="shared" si="3336"/>
        <v>#N/A</v>
      </c>
      <c r="L1657" s="40" t="e">
        <f t="shared" si="3025"/>
        <v>#N/A</v>
      </c>
      <c r="M1657" s="16" t="e">
        <f t="shared" si="3026"/>
        <v>#N/A</v>
      </c>
      <c r="N1657" s="16" t="e">
        <f t="shared" si="3027"/>
        <v>#N/A</v>
      </c>
      <c r="O1657" s="16" t="s">
        <v>69</v>
      </c>
      <c r="P1657" s="16" t="str">
        <f t="shared" si="6"/>
        <v/>
      </c>
      <c r="Q1657" s="41" t="e">
        <f t="shared" si="3028"/>
        <v>#N/A</v>
      </c>
      <c r="R1657" s="44"/>
      <c r="S1657" s="44"/>
      <c r="T1657" s="43"/>
      <c r="U1657" s="43" t="str">
        <f t="shared" si="8"/>
        <v>No</v>
      </c>
      <c r="V1657" s="25"/>
      <c r="W1657" s="25"/>
      <c r="X1657" s="25"/>
      <c r="Y1657" s="25"/>
      <c r="Z1657" s="25"/>
    </row>
    <row r="1658" spans="1:26" ht="15.75" customHeight="1" x14ac:dyDescent="0.25">
      <c r="A1658" s="25">
        <v>1656</v>
      </c>
      <c r="B1658" s="37" t="e">
        <f t="shared" ref="B1658:D1658" si="3337">VLOOKUP($A1658,'[5]Integración Social'!$A$1:$O$233,B$1,0)</f>
        <v>#N/A</v>
      </c>
      <c r="C1658" s="38" t="e">
        <f t="shared" si="3337"/>
        <v>#N/A</v>
      </c>
      <c r="D1658" s="39" t="e">
        <f t="shared" si="3337"/>
        <v>#N/A</v>
      </c>
      <c r="E1658" s="16" t="e">
        <f t="shared" si="1"/>
        <v>#N/A</v>
      </c>
      <c r="F1658" s="16" t="e">
        <f t="shared" ref="F1658:K1658" si="3338">VLOOKUP($A1658,'[5]Integración Social'!$A$1:$O$233,F$1,0)</f>
        <v>#N/A</v>
      </c>
      <c r="G1658" s="39" t="e">
        <f t="shared" si="3338"/>
        <v>#N/A</v>
      </c>
      <c r="H1658" s="16" t="e">
        <f t="shared" si="3338"/>
        <v>#N/A</v>
      </c>
      <c r="I1658" s="16" t="e">
        <f t="shared" si="3338"/>
        <v>#N/A</v>
      </c>
      <c r="J1658" s="40" t="e">
        <f t="shared" si="3338"/>
        <v>#N/A</v>
      </c>
      <c r="K1658" s="16" t="e">
        <f t="shared" si="3338"/>
        <v>#N/A</v>
      </c>
      <c r="L1658" s="40" t="e">
        <f t="shared" si="3025"/>
        <v>#N/A</v>
      </c>
      <c r="M1658" s="16" t="e">
        <f t="shared" si="3026"/>
        <v>#N/A</v>
      </c>
      <c r="N1658" s="16" t="e">
        <f t="shared" si="3027"/>
        <v>#N/A</v>
      </c>
      <c r="O1658" s="16" t="s">
        <v>69</v>
      </c>
      <c r="P1658" s="16" t="str">
        <f t="shared" si="6"/>
        <v/>
      </c>
      <c r="Q1658" s="41" t="e">
        <f t="shared" si="3028"/>
        <v>#N/A</v>
      </c>
      <c r="R1658" s="44"/>
      <c r="S1658" s="44"/>
      <c r="T1658" s="43"/>
      <c r="U1658" s="43" t="str">
        <f t="shared" si="8"/>
        <v>No</v>
      </c>
      <c r="V1658" s="25"/>
      <c r="W1658" s="25"/>
      <c r="X1658" s="25"/>
      <c r="Y1658" s="25"/>
      <c r="Z1658" s="25"/>
    </row>
    <row r="1659" spans="1:26" ht="15.75" customHeight="1" x14ac:dyDescent="0.25">
      <c r="A1659" s="25">
        <v>1657</v>
      </c>
      <c r="B1659" s="37" t="e">
        <f t="shared" ref="B1659:D1659" si="3339">VLOOKUP($A1659,'[5]Integración Social'!$A$1:$O$233,B$1,0)</f>
        <v>#N/A</v>
      </c>
      <c r="C1659" s="38" t="e">
        <f t="shared" si="3339"/>
        <v>#N/A</v>
      </c>
      <c r="D1659" s="39" t="e">
        <f t="shared" si="3339"/>
        <v>#N/A</v>
      </c>
      <c r="E1659" s="16" t="e">
        <f t="shared" si="1"/>
        <v>#N/A</v>
      </c>
      <c r="F1659" s="16" t="e">
        <f t="shared" ref="F1659:K1659" si="3340">VLOOKUP($A1659,'[5]Integración Social'!$A$1:$O$233,F$1,0)</f>
        <v>#N/A</v>
      </c>
      <c r="G1659" s="39" t="e">
        <f t="shared" si="3340"/>
        <v>#N/A</v>
      </c>
      <c r="H1659" s="16" t="e">
        <f t="shared" si="3340"/>
        <v>#N/A</v>
      </c>
      <c r="I1659" s="16" t="e">
        <f t="shared" si="3340"/>
        <v>#N/A</v>
      </c>
      <c r="J1659" s="40" t="e">
        <f t="shared" si="3340"/>
        <v>#N/A</v>
      </c>
      <c r="K1659" s="16" t="e">
        <f t="shared" si="3340"/>
        <v>#N/A</v>
      </c>
      <c r="L1659" s="40" t="e">
        <f t="shared" si="3025"/>
        <v>#N/A</v>
      </c>
      <c r="M1659" s="16" t="e">
        <f t="shared" si="3026"/>
        <v>#N/A</v>
      </c>
      <c r="N1659" s="16" t="e">
        <f t="shared" si="3027"/>
        <v>#N/A</v>
      </c>
      <c r="O1659" s="16" t="s">
        <v>69</v>
      </c>
      <c r="P1659" s="16" t="str">
        <f t="shared" si="6"/>
        <v/>
      </c>
      <c r="Q1659" s="41" t="e">
        <f t="shared" si="3028"/>
        <v>#N/A</v>
      </c>
      <c r="R1659" s="44"/>
      <c r="S1659" s="44"/>
      <c r="T1659" s="43"/>
      <c r="U1659" s="43" t="str">
        <f t="shared" si="8"/>
        <v>No</v>
      </c>
      <c r="V1659" s="25"/>
      <c r="W1659" s="25"/>
      <c r="X1659" s="25"/>
      <c r="Y1659" s="25"/>
      <c r="Z1659" s="25"/>
    </row>
    <row r="1660" spans="1:26" ht="15.75" customHeight="1" x14ac:dyDescent="0.25">
      <c r="A1660" s="25">
        <v>1658</v>
      </c>
      <c r="B1660" s="37" t="e">
        <f t="shared" ref="B1660:D1660" si="3341">VLOOKUP($A1660,'[5]Integración Social'!$A$1:$O$233,B$1,0)</f>
        <v>#N/A</v>
      </c>
      <c r="C1660" s="38" t="e">
        <f t="shared" si="3341"/>
        <v>#N/A</v>
      </c>
      <c r="D1660" s="39" t="e">
        <f t="shared" si="3341"/>
        <v>#N/A</v>
      </c>
      <c r="E1660" s="16" t="e">
        <f t="shared" si="1"/>
        <v>#N/A</v>
      </c>
      <c r="F1660" s="16" t="e">
        <f t="shared" ref="F1660:K1660" si="3342">VLOOKUP($A1660,'[5]Integración Social'!$A$1:$O$233,F$1,0)</f>
        <v>#N/A</v>
      </c>
      <c r="G1660" s="39" t="e">
        <f t="shared" si="3342"/>
        <v>#N/A</v>
      </c>
      <c r="H1660" s="16" t="e">
        <f t="shared" si="3342"/>
        <v>#N/A</v>
      </c>
      <c r="I1660" s="16" t="e">
        <f t="shared" si="3342"/>
        <v>#N/A</v>
      </c>
      <c r="J1660" s="40" t="e">
        <f t="shared" si="3342"/>
        <v>#N/A</v>
      </c>
      <c r="K1660" s="16" t="e">
        <f t="shared" si="3342"/>
        <v>#N/A</v>
      </c>
      <c r="L1660" s="40" t="e">
        <f t="shared" si="3025"/>
        <v>#N/A</v>
      </c>
      <c r="M1660" s="16" t="e">
        <f t="shared" si="3026"/>
        <v>#N/A</v>
      </c>
      <c r="N1660" s="16" t="e">
        <f t="shared" si="3027"/>
        <v>#N/A</v>
      </c>
      <c r="O1660" s="16" t="s">
        <v>69</v>
      </c>
      <c r="P1660" s="16" t="str">
        <f t="shared" si="6"/>
        <v/>
      </c>
      <c r="Q1660" s="41" t="e">
        <f t="shared" si="3028"/>
        <v>#N/A</v>
      </c>
      <c r="R1660" s="44"/>
      <c r="S1660" s="44"/>
      <c r="T1660" s="43"/>
      <c r="U1660" s="43" t="str">
        <f t="shared" si="8"/>
        <v>No</v>
      </c>
      <c r="V1660" s="25"/>
      <c r="W1660" s="25"/>
      <c r="X1660" s="25"/>
      <c r="Y1660" s="25"/>
      <c r="Z1660" s="25"/>
    </row>
    <row r="1661" spans="1:26" ht="15.75" customHeight="1" x14ac:dyDescent="0.25">
      <c r="A1661" s="25">
        <v>1659</v>
      </c>
      <c r="B1661" s="37" t="e">
        <f t="shared" ref="B1661:D1661" si="3343">VLOOKUP($A1661,'[5]Integración Social'!$A$1:$O$233,B$1,0)</f>
        <v>#N/A</v>
      </c>
      <c r="C1661" s="38" t="e">
        <f t="shared" si="3343"/>
        <v>#N/A</v>
      </c>
      <c r="D1661" s="39" t="e">
        <f t="shared" si="3343"/>
        <v>#N/A</v>
      </c>
      <c r="E1661" s="16" t="e">
        <f t="shared" si="1"/>
        <v>#N/A</v>
      </c>
      <c r="F1661" s="16" t="e">
        <f t="shared" ref="F1661:K1661" si="3344">VLOOKUP($A1661,'[5]Integración Social'!$A$1:$O$233,F$1,0)</f>
        <v>#N/A</v>
      </c>
      <c r="G1661" s="39" t="e">
        <f t="shared" si="3344"/>
        <v>#N/A</v>
      </c>
      <c r="H1661" s="16" t="e">
        <f t="shared" si="3344"/>
        <v>#N/A</v>
      </c>
      <c r="I1661" s="16" t="e">
        <f t="shared" si="3344"/>
        <v>#N/A</v>
      </c>
      <c r="J1661" s="40" t="e">
        <f t="shared" si="3344"/>
        <v>#N/A</v>
      </c>
      <c r="K1661" s="16" t="e">
        <f t="shared" si="3344"/>
        <v>#N/A</v>
      </c>
      <c r="L1661" s="40" t="e">
        <f t="shared" si="3025"/>
        <v>#N/A</v>
      </c>
      <c r="M1661" s="16" t="e">
        <f t="shared" si="3026"/>
        <v>#N/A</v>
      </c>
      <c r="N1661" s="16" t="e">
        <f t="shared" si="3027"/>
        <v>#N/A</v>
      </c>
      <c r="O1661" s="16" t="s">
        <v>69</v>
      </c>
      <c r="P1661" s="16" t="str">
        <f t="shared" si="6"/>
        <v/>
      </c>
      <c r="Q1661" s="41" t="e">
        <f t="shared" si="3028"/>
        <v>#N/A</v>
      </c>
      <c r="R1661" s="44"/>
      <c r="S1661" s="44"/>
      <c r="T1661" s="43"/>
      <c r="U1661" s="43" t="str">
        <f t="shared" si="8"/>
        <v>No</v>
      </c>
      <c r="V1661" s="25"/>
      <c r="W1661" s="25"/>
      <c r="X1661" s="25"/>
      <c r="Y1661" s="25"/>
      <c r="Z1661" s="25"/>
    </row>
    <row r="1662" spans="1:26" ht="15.75" customHeight="1" x14ac:dyDescent="0.25">
      <c r="A1662" s="25">
        <v>1660</v>
      </c>
      <c r="B1662" s="37" t="e">
        <f t="shared" ref="B1662:D1662" si="3345">VLOOKUP($A1662,'[5]Integración Social'!$A$1:$O$233,B$1,0)</f>
        <v>#N/A</v>
      </c>
      <c r="C1662" s="38" t="e">
        <f t="shared" si="3345"/>
        <v>#N/A</v>
      </c>
      <c r="D1662" s="39" t="e">
        <f t="shared" si="3345"/>
        <v>#N/A</v>
      </c>
      <c r="E1662" s="16" t="e">
        <f t="shared" si="1"/>
        <v>#N/A</v>
      </c>
      <c r="F1662" s="16" t="e">
        <f t="shared" ref="F1662:K1662" si="3346">VLOOKUP($A1662,'[5]Integración Social'!$A$1:$O$233,F$1,0)</f>
        <v>#N/A</v>
      </c>
      <c r="G1662" s="39" t="e">
        <f t="shared" si="3346"/>
        <v>#N/A</v>
      </c>
      <c r="H1662" s="16" t="e">
        <f t="shared" si="3346"/>
        <v>#N/A</v>
      </c>
      <c r="I1662" s="16" t="e">
        <f t="shared" si="3346"/>
        <v>#N/A</v>
      </c>
      <c r="J1662" s="40" t="e">
        <f t="shared" si="3346"/>
        <v>#N/A</v>
      </c>
      <c r="K1662" s="16" t="e">
        <f t="shared" si="3346"/>
        <v>#N/A</v>
      </c>
      <c r="L1662" s="40" t="e">
        <f t="shared" si="3025"/>
        <v>#N/A</v>
      </c>
      <c r="M1662" s="16" t="e">
        <f t="shared" si="3026"/>
        <v>#N/A</v>
      </c>
      <c r="N1662" s="16" t="e">
        <f t="shared" si="3027"/>
        <v>#N/A</v>
      </c>
      <c r="O1662" s="16" t="s">
        <v>69</v>
      </c>
      <c r="P1662" s="16" t="str">
        <f t="shared" si="6"/>
        <v/>
      </c>
      <c r="Q1662" s="41" t="e">
        <f t="shared" si="3028"/>
        <v>#N/A</v>
      </c>
      <c r="R1662" s="44"/>
      <c r="S1662" s="44"/>
      <c r="T1662" s="43"/>
      <c r="U1662" s="43" t="str">
        <f t="shared" si="8"/>
        <v>No</v>
      </c>
      <c r="V1662" s="25"/>
      <c r="W1662" s="25"/>
      <c r="X1662" s="25"/>
      <c r="Y1662" s="25"/>
      <c r="Z1662" s="25"/>
    </row>
    <row r="1663" spans="1:26" ht="15.75" customHeight="1" x14ac:dyDescent="0.25">
      <c r="A1663" s="25">
        <v>1661</v>
      </c>
      <c r="B1663" s="37" t="e">
        <f t="shared" ref="B1663:D1663" si="3347">VLOOKUP($A1663,'[5]Integración Social'!$A$1:$O$233,B$1,0)</f>
        <v>#N/A</v>
      </c>
      <c r="C1663" s="38" t="e">
        <f t="shared" si="3347"/>
        <v>#N/A</v>
      </c>
      <c r="D1663" s="39" t="e">
        <f t="shared" si="3347"/>
        <v>#N/A</v>
      </c>
      <c r="E1663" s="16" t="e">
        <f t="shared" si="1"/>
        <v>#N/A</v>
      </c>
      <c r="F1663" s="16" t="e">
        <f t="shared" ref="F1663:K1663" si="3348">VLOOKUP($A1663,'[5]Integración Social'!$A$1:$O$233,F$1,0)</f>
        <v>#N/A</v>
      </c>
      <c r="G1663" s="39" t="e">
        <f t="shared" si="3348"/>
        <v>#N/A</v>
      </c>
      <c r="H1663" s="16" t="e">
        <f t="shared" si="3348"/>
        <v>#N/A</v>
      </c>
      <c r="I1663" s="16" t="e">
        <f t="shared" si="3348"/>
        <v>#N/A</v>
      </c>
      <c r="J1663" s="40" t="e">
        <f t="shared" si="3348"/>
        <v>#N/A</v>
      </c>
      <c r="K1663" s="16" t="e">
        <f t="shared" si="3348"/>
        <v>#N/A</v>
      </c>
      <c r="L1663" s="40" t="e">
        <f t="shared" si="3025"/>
        <v>#N/A</v>
      </c>
      <c r="M1663" s="16" t="e">
        <f t="shared" si="3026"/>
        <v>#N/A</v>
      </c>
      <c r="N1663" s="16" t="e">
        <f t="shared" si="3027"/>
        <v>#N/A</v>
      </c>
      <c r="O1663" s="16" t="s">
        <v>69</v>
      </c>
      <c r="P1663" s="16" t="str">
        <f t="shared" si="6"/>
        <v/>
      </c>
      <c r="Q1663" s="41" t="e">
        <f t="shared" si="3028"/>
        <v>#N/A</v>
      </c>
      <c r="R1663" s="44"/>
      <c r="S1663" s="44"/>
      <c r="T1663" s="43"/>
      <c r="U1663" s="43" t="str">
        <f t="shared" si="8"/>
        <v>No</v>
      </c>
      <c r="V1663" s="25"/>
      <c r="W1663" s="25"/>
      <c r="X1663" s="25"/>
      <c r="Y1663" s="25"/>
      <c r="Z1663" s="25"/>
    </row>
    <row r="1664" spans="1:26" ht="15.75" customHeight="1" x14ac:dyDescent="0.25">
      <c r="A1664" s="25">
        <v>1662</v>
      </c>
      <c r="B1664" s="37" t="e">
        <f t="shared" ref="B1664:D1664" si="3349">VLOOKUP($A1664,'[5]Integración Social'!$A$1:$O$233,B$1,0)</f>
        <v>#N/A</v>
      </c>
      <c r="C1664" s="38" t="e">
        <f t="shared" si="3349"/>
        <v>#N/A</v>
      </c>
      <c r="D1664" s="39" t="e">
        <f t="shared" si="3349"/>
        <v>#N/A</v>
      </c>
      <c r="E1664" s="16" t="e">
        <f t="shared" si="1"/>
        <v>#N/A</v>
      </c>
      <c r="F1664" s="16" t="e">
        <f t="shared" ref="F1664:K1664" si="3350">VLOOKUP($A1664,'[5]Integración Social'!$A$1:$O$233,F$1,0)</f>
        <v>#N/A</v>
      </c>
      <c r="G1664" s="39" t="e">
        <f t="shared" si="3350"/>
        <v>#N/A</v>
      </c>
      <c r="H1664" s="16" t="e">
        <f t="shared" si="3350"/>
        <v>#N/A</v>
      </c>
      <c r="I1664" s="16" t="e">
        <f t="shared" si="3350"/>
        <v>#N/A</v>
      </c>
      <c r="J1664" s="40" t="e">
        <f t="shared" si="3350"/>
        <v>#N/A</v>
      </c>
      <c r="K1664" s="16" t="e">
        <f t="shared" si="3350"/>
        <v>#N/A</v>
      </c>
      <c r="L1664" s="40" t="e">
        <f t="shared" si="3025"/>
        <v>#N/A</v>
      </c>
      <c r="M1664" s="16" t="e">
        <f t="shared" si="3026"/>
        <v>#N/A</v>
      </c>
      <c r="N1664" s="16" t="e">
        <f t="shared" si="3027"/>
        <v>#N/A</v>
      </c>
      <c r="O1664" s="16" t="s">
        <v>69</v>
      </c>
      <c r="P1664" s="16" t="str">
        <f t="shared" si="6"/>
        <v/>
      </c>
      <c r="Q1664" s="41" t="e">
        <f t="shared" si="3028"/>
        <v>#N/A</v>
      </c>
      <c r="R1664" s="44"/>
      <c r="S1664" s="44"/>
      <c r="T1664" s="43"/>
      <c r="U1664" s="43" t="str">
        <f t="shared" si="8"/>
        <v>No</v>
      </c>
      <c r="V1664" s="25"/>
      <c r="W1664" s="25"/>
      <c r="X1664" s="25"/>
      <c r="Y1664" s="25"/>
      <c r="Z1664" s="25"/>
    </row>
    <row r="1665" spans="1:26" ht="15.75" customHeight="1" x14ac:dyDescent="0.25">
      <c r="A1665" s="25">
        <v>1663</v>
      </c>
      <c r="B1665" s="37" t="e">
        <f t="shared" ref="B1665:D1665" si="3351">VLOOKUP($A1665,'[5]Integración Social'!$A$1:$O$233,B$1,0)</f>
        <v>#N/A</v>
      </c>
      <c r="C1665" s="38" t="e">
        <f t="shared" si="3351"/>
        <v>#N/A</v>
      </c>
      <c r="D1665" s="39" t="e">
        <f t="shared" si="3351"/>
        <v>#N/A</v>
      </c>
      <c r="E1665" s="16" t="e">
        <f t="shared" si="1"/>
        <v>#N/A</v>
      </c>
      <c r="F1665" s="16" t="e">
        <f t="shared" ref="F1665:K1665" si="3352">VLOOKUP($A1665,'[5]Integración Social'!$A$1:$O$233,F$1,0)</f>
        <v>#N/A</v>
      </c>
      <c r="G1665" s="39" t="e">
        <f t="shared" si="3352"/>
        <v>#N/A</v>
      </c>
      <c r="H1665" s="16" t="e">
        <f t="shared" si="3352"/>
        <v>#N/A</v>
      </c>
      <c r="I1665" s="16" t="e">
        <f t="shared" si="3352"/>
        <v>#N/A</v>
      </c>
      <c r="J1665" s="40" t="e">
        <f t="shared" si="3352"/>
        <v>#N/A</v>
      </c>
      <c r="K1665" s="16" t="e">
        <f t="shared" si="3352"/>
        <v>#N/A</v>
      </c>
      <c r="L1665" s="40" t="e">
        <f t="shared" si="3025"/>
        <v>#N/A</v>
      </c>
      <c r="M1665" s="16" t="e">
        <f t="shared" si="3026"/>
        <v>#N/A</v>
      </c>
      <c r="N1665" s="16" t="e">
        <f t="shared" si="3027"/>
        <v>#N/A</v>
      </c>
      <c r="O1665" s="16" t="s">
        <v>69</v>
      </c>
      <c r="P1665" s="16" t="str">
        <f t="shared" si="6"/>
        <v/>
      </c>
      <c r="Q1665" s="41" t="e">
        <f t="shared" si="3028"/>
        <v>#N/A</v>
      </c>
      <c r="R1665" s="44"/>
      <c r="S1665" s="44"/>
      <c r="T1665" s="43"/>
      <c r="U1665" s="43" t="str">
        <f t="shared" si="8"/>
        <v>No</v>
      </c>
      <c r="V1665" s="25"/>
      <c r="W1665" s="25"/>
      <c r="X1665" s="25"/>
      <c r="Y1665" s="25"/>
      <c r="Z1665" s="25"/>
    </row>
    <row r="1666" spans="1:26" ht="15.75" customHeight="1" x14ac:dyDescent="0.25">
      <c r="A1666" s="25">
        <v>1664</v>
      </c>
      <c r="B1666" s="37" t="e">
        <f t="shared" ref="B1666:D1666" si="3353">VLOOKUP($A1666,'[5]Integración Social'!$A$1:$O$233,B$1,0)</f>
        <v>#N/A</v>
      </c>
      <c r="C1666" s="38" t="e">
        <f t="shared" si="3353"/>
        <v>#N/A</v>
      </c>
      <c r="D1666" s="39" t="e">
        <f t="shared" si="3353"/>
        <v>#N/A</v>
      </c>
      <c r="E1666" s="16" t="e">
        <f t="shared" si="1"/>
        <v>#N/A</v>
      </c>
      <c r="F1666" s="16" t="e">
        <f t="shared" ref="F1666:K1666" si="3354">VLOOKUP($A1666,'[5]Integración Social'!$A$1:$O$233,F$1,0)</f>
        <v>#N/A</v>
      </c>
      <c r="G1666" s="39" t="e">
        <f t="shared" si="3354"/>
        <v>#N/A</v>
      </c>
      <c r="H1666" s="16" t="e">
        <f t="shared" si="3354"/>
        <v>#N/A</v>
      </c>
      <c r="I1666" s="16" t="e">
        <f t="shared" si="3354"/>
        <v>#N/A</v>
      </c>
      <c r="J1666" s="40" t="e">
        <f t="shared" si="3354"/>
        <v>#N/A</v>
      </c>
      <c r="K1666" s="16" t="e">
        <f t="shared" si="3354"/>
        <v>#N/A</v>
      </c>
      <c r="L1666" s="40" t="e">
        <f t="shared" si="3025"/>
        <v>#N/A</v>
      </c>
      <c r="M1666" s="16" t="e">
        <f t="shared" si="3026"/>
        <v>#N/A</v>
      </c>
      <c r="N1666" s="16" t="e">
        <f t="shared" si="3027"/>
        <v>#N/A</v>
      </c>
      <c r="O1666" s="16" t="s">
        <v>69</v>
      </c>
      <c r="P1666" s="16" t="str">
        <f t="shared" si="6"/>
        <v/>
      </c>
      <c r="Q1666" s="41" t="e">
        <f t="shared" si="3028"/>
        <v>#N/A</v>
      </c>
      <c r="R1666" s="44"/>
      <c r="S1666" s="44"/>
      <c r="T1666" s="43"/>
      <c r="U1666" s="43" t="str">
        <f t="shared" si="8"/>
        <v>No</v>
      </c>
      <c r="V1666" s="25"/>
      <c r="W1666" s="25"/>
      <c r="X1666" s="25"/>
      <c r="Y1666" s="25"/>
      <c r="Z1666" s="25"/>
    </row>
    <row r="1667" spans="1:26" ht="15.75" customHeight="1" x14ac:dyDescent="0.25">
      <c r="A1667" s="25">
        <v>1665</v>
      </c>
      <c r="B1667" s="37" t="e">
        <f t="shared" ref="B1667:D1667" si="3355">VLOOKUP($A1667,'[5]Integración Social'!$A$1:$O$233,B$1,0)</f>
        <v>#N/A</v>
      </c>
      <c r="C1667" s="38" t="e">
        <f t="shared" si="3355"/>
        <v>#N/A</v>
      </c>
      <c r="D1667" s="39" t="e">
        <f t="shared" si="3355"/>
        <v>#N/A</v>
      </c>
      <c r="E1667" s="16" t="e">
        <f t="shared" si="1"/>
        <v>#N/A</v>
      </c>
      <c r="F1667" s="16" t="e">
        <f t="shared" ref="F1667:K1667" si="3356">VLOOKUP($A1667,'[5]Integración Social'!$A$1:$O$233,F$1,0)</f>
        <v>#N/A</v>
      </c>
      <c r="G1667" s="39" t="e">
        <f t="shared" si="3356"/>
        <v>#N/A</v>
      </c>
      <c r="H1667" s="16" t="e">
        <f t="shared" si="3356"/>
        <v>#N/A</v>
      </c>
      <c r="I1667" s="16" t="e">
        <f t="shared" si="3356"/>
        <v>#N/A</v>
      </c>
      <c r="J1667" s="40" t="e">
        <f t="shared" si="3356"/>
        <v>#N/A</v>
      </c>
      <c r="K1667" s="16" t="e">
        <f t="shared" si="3356"/>
        <v>#N/A</v>
      </c>
      <c r="L1667" s="40" t="e">
        <f t="shared" si="3025"/>
        <v>#N/A</v>
      </c>
      <c r="M1667" s="16" t="e">
        <f t="shared" si="3026"/>
        <v>#N/A</v>
      </c>
      <c r="N1667" s="16" t="e">
        <f t="shared" si="3027"/>
        <v>#N/A</v>
      </c>
      <c r="O1667" s="16" t="s">
        <v>69</v>
      </c>
      <c r="P1667" s="16" t="str">
        <f t="shared" si="6"/>
        <v/>
      </c>
      <c r="Q1667" s="41" t="e">
        <f t="shared" si="3028"/>
        <v>#N/A</v>
      </c>
      <c r="R1667" s="44"/>
      <c r="S1667" s="44"/>
      <c r="T1667" s="43"/>
      <c r="U1667" s="43" t="str">
        <f t="shared" si="8"/>
        <v>No</v>
      </c>
      <c r="V1667" s="25"/>
      <c r="W1667" s="25"/>
      <c r="X1667" s="25"/>
      <c r="Y1667" s="25"/>
      <c r="Z1667" s="25"/>
    </row>
    <row r="1668" spans="1:26" ht="15.75" customHeight="1" x14ac:dyDescent="0.25">
      <c r="A1668" s="25">
        <v>1666</v>
      </c>
      <c r="B1668" s="37" t="e">
        <f t="shared" ref="B1668:D1668" si="3357">VLOOKUP($A1668,'[5]Integración Social'!$A$1:$O$233,B$1,0)</f>
        <v>#N/A</v>
      </c>
      <c r="C1668" s="38" t="e">
        <f t="shared" si="3357"/>
        <v>#N/A</v>
      </c>
      <c r="D1668" s="39" t="e">
        <f t="shared" si="3357"/>
        <v>#N/A</v>
      </c>
      <c r="E1668" s="16" t="e">
        <f t="shared" si="1"/>
        <v>#N/A</v>
      </c>
      <c r="F1668" s="16" t="e">
        <f t="shared" ref="F1668:K1668" si="3358">VLOOKUP($A1668,'[5]Integración Social'!$A$1:$O$233,F$1,0)</f>
        <v>#N/A</v>
      </c>
      <c r="G1668" s="39" t="e">
        <f t="shared" si="3358"/>
        <v>#N/A</v>
      </c>
      <c r="H1668" s="16" t="e">
        <f t="shared" si="3358"/>
        <v>#N/A</v>
      </c>
      <c r="I1668" s="16" t="e">
        <f t="shared" si="3358"/>
        <v>#N/A</v>
      </c>
      <c r="J1668" s="40" t="e">
        <f t="shared" si="3358"/>
        <v>#N/A</v>
      </c>
      <c r="K1668" s="16" t="e">
        <f t="shared" si="3358"/>
        <v>#N/A</v>
      </c>
      <c r="L1668" s="40" t="e">
        <f t="shared" si="3025"/>
        <v>#N/A</v>
      </c>
      <c r="M1668" s="16" t="e">
        <f t="shared" si="3026"/>
        <v>#N/A</v>
      </c>
      <c r="N1668" s="16" t="e">
        <f t="shared" si="3027"/>
        <v>#N/A</v>
      </c>
      <c r="O1668" s="16" t="s">
        <v>69</v>
      </c>
      <c r="P1668" s="16" t="str">
        <f t="shared" si="6"/>
        <v/>
      </c>
      <c r="Q1668" s="41" t="e">
        <f t="shared" si="3028"/>
        <v>#N/A</v>
      </c>
      <c r="R1668" s="44"/>
      <c r="S1668" s="44"/>
      <c r="T1668" s="43"/>
      <c r="U1668" s="43" t="str">
        <f t="shared" si="8"/>
        <v>No</v>
      </c>
      <c r="V1668" s="25"/>
      <c r="W1668" s="25"/>
      <c r="X1668" s="25"/>
      <c r="Y1668" s="25"/>
      <c r="Z1668" s="25"/>
    </row>
    <row r="1669" spans="1:26" ht="15.75" customHeight="1" x14ac:dyDescent="0.25">
      <c r="A1669" s="25">
        <v>1667</v>
      </c>
      <c r="B1669" s="37" t="e">
        <f t="shared" ref="B1669:D1669" si="3359">VLOOKUP($A1669,'[5]Integración Social'!$A$1:$O$233,B$1,0)</f>
        <v>#N/A</v>
      </c>
      <c r="C1669" s="38" t="e">
        <f t="shared" si="3359"/>
        <v>#N/A</v>
      </c>
      <c r="D1669" s="39" t="e">
        <f t="shared" si="3359"/>
        <v>#N/A</v>
      </c>
      <c r="E1669" s="16" t="e">
        <f t="shared" si="1"/>
        <v>#N/A</v>
      </c>
      <c r="F1669" s="16" t="e">
        <f t="shared" ref="F1669:K1669" si="3360">VLOOKUP($A1669,'[5]Integración Social'!$A$1:$O$233,F$1,0)</f>
        <v>#N/A</v>
      </c>
      <c r="G1669" s="39" t="e">
        <f t="shared" si="3360"/>
        <v>#N/A</v>
      </c>
      <c r="H1669" s="16" t="e">
        <f t="shared" si="3360"/>
        <v>#N/A</v>
      </c>
      <c r="I1669" s="16" t="e">
        <f t="shared" si="3360"/>
        <v>#N/A</v>
      </c>
      <c r="J1669" s="40" t="e">
        <f t="shared" si="3360"/>
        <v>#N/A</v>
      </c>
      <c r="K1669" s="16" t="e">
        <f t="shared" si="3360"/>
        <v>#N/A</v>
      </c>
      <c r="L1669" s="40" t="e">
        <f t="shared" si="3025"/>
        <v>#N/A</v>
      </c>
      <c r="M1669" s="16" t="e">
        <f t="shared" si="3026"/>
        <v>#N/A</v>
      </c>
      <c r="N1669" s="16" t="e">
        <f t="shared" si="3027"/>
        <v>#N/A</v>
      </c>
      <c r="O1669" s="16" t="s">
        <v>69</v>
      </c>
      <c r="P1669" s="16" t="str">
        <f t="shared" si="6"/>
        <v/>
      </c>
      <c r="Q1669" s="41" t="e">
        <f t="shared" si="3028"/>
        <v>#N/A</v>
      </c>
      <c r="R1669" s="44"/>
      <c r="S1669" s="44"/>
      <c r="T1669" s="43"/>
      <c r="U1669" s="43" t="str">
        <f t="shared" si="8"/>
        <v>No</v>
      </c>
      <c r="V1669" s="25"/>
      <c r="W1669" s="25"/>
      <c r="X1669" s="25"/>
      <c r="Y1669" s="25"/>
      <c r="Z1669" s="25"/>
    </row>
    <row r="1670" spans="1:26" ht="15.75" customHeight="1" x14ac:dyDescent="0.25">
      <c r="A1670" s="25">
        <v>1668</v>
      </c>
      <c r="B1670" s="37" t="e">
        <f t="shared" ref="B1670:D1670" si="3361">VLOOKUP($A1670,'[5]Integración Social'!$A$1:$O$233,B$1,0)</f>
        <v>#N/A</v>
      </c>
      <c r="C1670" s="38" t="e">
        <f t="shared" si="3361"/>
        <v>#N/A</v>
      </c>
      <c r="D1670" s="39" t="e">
        <f t="shared" si="3361"/>
        <v>#N/A</v>
      </c>
      <c r="E1670" s="16" t="e">
        <f t="shared" si="1"/>
        <v>#N/A</v>
      </c>
      <c r="F1670" s="16" t="e">
        <f t="shared" ref="F1670:K1670" si="3362">VLOOKUP($A1670,'[5]Integración Social'!$A$1:$O$233,F$1,0)</f>
        <v>#N/A</v>
      </c>
      <c r="G1670" s="39" t="e">
        <f t="shared" si="3362"/>
        <v>#N/A</v>
      </c>
      <c r="H1670" s="16" t="e">
        <f t="shared" si="3362"/>
        <v>#N/A</v>
      </c>
      <c r="I1670" s="16" t="e">
        <f t="shared" si="3362"/>
        <v>#N/A</v>
      </c>
      <c r="J1670" s="40" t="e">
        <f t="shared" si="3362"/>
        <v>#N/A</v>
      </c>
      <c r="K1670" s="16" t="e">
        <f t="shared" si="3362"/>
        <v>#N/A</v>
      </c>
      <c r="L1670" s="40" t="e">
        <f t="shared" si="3025"/>
        <v>#N/A</v>
      </c>
      <c r="M1670" s="16" t="e">
        <f t="shared" si="3026"/>
        <v>#N/A</v>
      </c>
      <c r="N1670" s="16" t="e">
        <f t="shared" si="3027"/>
        <v>#N/A</v>
      </c>
      <c r="O1670" s="16" t="s">
        <v>69</v>
      </c>
      <c r="P1670" s="16" t="str">
        <f t="shared" si="6"/>
        <v/>
      </c>
      <c r="Q1670" s="41" t="e">
        <f t="shared" si="3028"/>
        <v>#N/A</v>
      </c>
      <c r="R1670" s="44"/>
      <c r="S1670" s="44"/>
      <c r="T1670" s="43"/>
      <c r="U1670" s="43" t="str">
        <f t="shared" si="8"/>
        <v>No</v>
      </c>
      <c r="V1670" s="25"/>
      <c r="W1670" s="25"/>
      <c r="X1670" s="25"/>
      <c r="Y1670" s="25"/>
      <c r="Z1670" s="25"/>
    </row>
    <row r="1671" spans="1:26" ht="15.75" customHeight="1" x14ac:dyDescent="0.25">
      <c r="A1671" s="25">
        <v>1669</v>
      </c>
      <c r="B1671" s="37" t="e">
        <f t="shared" ref="B1671:D1671" si="3363">VLOOKUP($A1671,'[5]Integración Social'!$A$1:$O$233,B$1,0)</f>
        <v>#N/A</v>
      </c>
      <c r="C1671" s="38" t="e">
        <f t="shared" si="3363"/>
        <v>#N/A</v>
      </c>
      <c r="D1671" s="39" t="e">
        <f t="shared" si="3363"/>
        <v>#N/A</v>
      </c>
      <c r="E1671" s="16" t="e">
        <f t="shared" si="1"/>
        <v>#N/A</v>
      </c>
      <c r="F1671" s="16" t="e">
        <f t="shared" ref="F1671:K1671" si="3364">VLOOKUP($A1671,'[5]Integración Social'!$A$1:$O$233,F$1,0)</f>
        <v>#N/A</v>
      </c>
      <c r="G1671" s="39" t="e">
        <f t="shared" si="3364"/>
        <v>#N/A</v>
      </c>
      <c r="H1671" s="16" t="e">
        <f t="shared" si="3364"/>
        <v>#N/A</v>
      </c>
      <c r="I1671" s="16" t="e">
        <f t="shared" si="3364"/>
        <v>#N/A</v>
      </c>
      <c r="J1671" s="40" t="e">
        <f t="shared" si="3364"/>
        <v>#N/A</v>
      </c>
      <c r="K1671" s="16" t="e">
        <f t="shared" si="3364"/>
        <v>#N/A</v>
      </c>
      <c r="L1671" s="40" t="e">
        <f t="shared" si="3025"/>
        <v>#N/A</v>
      </c>
      <c r="M1671" s="16" t="e">
        <f t="shared" si="3026"/>
        <v>#N/A</v>
      </c>
      <c r="N1671" s="16" t="e">
        <f t="shared" si="3027"/>
        <v>#N/A</v>
      </c>
      <c r="O1671" s="16" t="s">
        <v>69</v>
      </c>
      <c r="P1671" s="16" t="str">
        <f t="shared" si="6"/>
        <v/>
      </c>
      <c r="Q1671" s="41" t="e">
        <f t="shared" si="3028"/>
        <v>#N/A</v>
      </c>
      <c r="R1671" s="44"/>
      <c r="S1671" s="44"/>
      <c r="T1671" s="43"/>
      <c r="U1671" s="43" t="str">
        <f t="shared" si="8"/>
        <v>No</v>
      </c>
      <c r="V1671" s="25"/>
      <c r="W1671" s="25"/>
      <c r="X1671" s="25"/>
      <c r="Y1671" s="25"/>
      <c r="Z1671" s="25"/>
    </row>
    <row r="1672" spans="1:26" ht="15.75" customHeight="1" x14ac:dyDescent="0.25">
      <c r="A1672" s="25">
        <v>1670</v>
      </c>
      <c r="B1672" s="37" t="e">
        <f t="shared" ref="B1672:D1672" si="3365">VLOOKUP($A1672,'[5]Integración Social'!$A$1:$O$233,B$1,0)</f>
        <v>#N/A</v>
      </c>
      <c r="C1672" s="38" t="e">
        <f t="shared" si="3365"/>
        <v>#N/A</v>
      </c>
      <c r="D1672" s="39" t="e">
        <f t="shared" si="3365"/>
        <v>#N/A</v>
      </c>
      <c r="E1672" s="16" t="e">
        <f t="shared" si="1"/>
        <v>#N/A</v>
      </c>
      <c r="F1672" s="16" t="e">
        <f t="shared" ref="F1672:K1672" si="3366">VLOOKUP($A1672,'[5]Integración Social'!$A$1:$O$233,F$1,0)</f>
        <v>#N/A</v>
      </c>
      <c r="G1672" s="39" t="e">
        <f t="shared" si="3366"/>
        <v>#N/A</v>
      </c>
      <c r="H1672" s="16" t="e">
        <f t="shared" si="3366"/>
        <v>#N/A</v>
      </c>
      <c r="I1672" s="16" t="e">
        <f t="shared" si="3366"/>
        <v>#N/A</v>
      </c>
      <c r="J1672" s="40" t="e">
        <f t="shared" si="3366"/>
        <v>#N/A</v>
      </c>
      <c r="K1672" s="16" t="e">
        <f t="shared" si="3366"/>
        <v>#N/A</v>
      </c>
      <c r="L1672" s="40" t="e">
        <f t="shared" si="3025"/>
        <v>#N/A</v>
      </c>
      <c r="M1672" s="16" t="e">
        <f t="shared" si="3026"/>
        <v>#N/A</v>
      </c>
      <c r="N1672" s="16" t="e">
        <f t="shared" si="3027"/>
        <v>#N/A</v>
      </c>
      <c r="O1672" s="16" t="s">
        <v>69</v>
      </c>
      <c r="P1672" s="16" t="str">
        <f t="shared" si="6"/>
        <v/>
      </c>
      <c r="Q1672" s="41" t="e">
        <f t="shared" si="3028"/>
        <v>#N/A</v>
      </c>
      <c r="R1672" s="44"/>
      <c r="S1672" s="44"/>
      <c r="T1672" s="43"/>
      <c r="U1672" s="43" t="str">
        <f t="shared" si="8"/>
        <v>No</v>
      </c>
      <c r="V1672" s="25"/>
      <c r="W1672" s="25"/>
      <c r="X1672" s="25"/>
      <c r="Y1672" s="25"/>
      <c r="Z1672" s="25"/>
    </row>
    <row r="1673" spans="1:26" ht="15.75" customHeight="1" x14ac:dyDescent="0.25">
      <c r="A1673" s="25">
        <v>1671</v>
      </c>
      <c r="B1673" s="37" t="e">
        <f t="shared" ref="B1673:D1673" si="3367">VLOOKUP($A1673,'[5]Integración Social'!$A$1:$O$233,B$1,0)</f>
        <v>#N/A</v>
      </c>
      <c r="C1673" s="38" t="e">
        <f t="shared" si="3367"/>
        <v>#N/A</v>
      </c>
      <c r="D1673" s="39" t="e">
        <f t="shared" si="3367"/>
        <v>#N/A</v>
      </c>
      <c r="E1673" s="16" t="e">
        <f t="shared" si="1"/>
        <v>#N/A</v>
      </c>
      <c r="F1673" s="16" t="e">
        <f t="shared" ref="F1673:K1673" si="3368">VLOOKUP($A1673,'[5]Integración Social'!$A$1:$O$233,F$1,0)</f>
        <v>#N/A</v>
      </c>
      <c r="G1673" s="39" t="e">
        <f t="shared" si="3368"/>
        <v>#N/A</v>
      </c>
      <c r="H1673" s="16" t="e">
        <f t="shared" si="3368"/>
        <v>#N/A</v>
      </c>
      <c r="I1673" s="16" t="e">
        <f t="shared" si="3368"/>
        <v>#N/A</v>
      </c>
      <c r="J1673" s="40" t="e">
        <f t="shared" si="3368"/>
        <v>#N/A</v>
      </c>
      <c r="K1673" s="16" t="e">
        <f t="shared" si="3368"/>
        <v>#N/A</v>
      </c>
      <c r="L1673" s="40" t="e">
        <f t="shared" si="3025"/>
        <v>#N/A</v>
      </c>
      <c r="M1673" s="16" t="e">
        <f t="shared" si="3026"/>
        <v>#N/A</v>
      </c>
      <c r="N1673" s="16" t="e">
        <f t="shared" si="3027"/>
        <v>#N/A</v>
      </c>
      <c r="O1673" s="16" t="s">
        <v>69</v>
      </c>
      <c r="P1673" s="16" t="str">
        <f t="shared" si="6"/>
        <v/>
      </c>
      <c r="Q1673" s="41" t="e">
        <f t="shared" si="3028"/>
        <v>#N/A</v>
      </c>
      <c r="R1673" s="44"/>
      <c r="S1673" s="44"/>
      <c r="T1673" s="43"/>
      <c r="U1673" s="43" t="str">
        <f t="shared" si="8"/>
        <v>No</v>
      </c>
      <c r="V1673" s="25"/>
      <c r="W1673" s="25"/>
      <c r="X1673" s="25"/>
      <c r="Y1673" s="25"/>
      <c r="Z1673" s="25"/>
    </row>
    <row r="1674" spans="1:26" ht="15.75" customHeight="1" x14ac:dyDescent="0.25">
      <c r="A1674" s="25">
        <v>1672</v>
      </c>
      <c r="B1674" s="37" t="e">
        <f t="shared" ref="B1674:D1674" si="3369">VLOOKUP($A1674,'[5]Integración Social'!$A$1:$O$233,B$1,0)</f>
        <v>#N/A</v>
      </c>
      <c r="C1674" s="38" t="e">
        <f t="shared" si="3369"/>
        <v>#N/A</v>
      </c>
      <c r="D1674" s="39" t="e">
        <f t="shared" si="3369"/>
        <v>#N/A</v>
      </c>
      <c r="E1674" s="16" t="e">
        <f t="shared" si="1"/>
        <v>#N/A</v>
      </c>
      <c r="F1674" s="16" t="e">
        <f t="shared" ref="F1674:K1674" si="3370">VLOOKUP($A1674,'[5]Integración Social'!$A$1:$O$233,F$1,0)</f>
        <v>#N/A</v>
      </c>
      <c r="G1674" s="39" t="e">
        <f t="shared" si="3370"/>
        <v>#N/A</v>
      </c>
      <c r="H1674" s="16" t="e">
        <f t="shared" si="3370"/>
        <v>#N/A</v>
      </c>
      <c r="I1674" s="16" t="e">
        <f t="shared" si="3370"/>
        <v>#N/A</v>
      </c>
      <c r="J1674" s="40" t="e">
        <f t="shared" si="3370"/>
        <v>#N/A</v>
      </c>
      <c r="K1674" s="16" t="e">
        <f t="shared" si="3370"/>
        <v>#N/A</v>
      </c>
      <c r="L1674" s="40" t="e">
        <f t="shared" si="3025"/>
        <v>#N/A</v>
      </c>
      <c r="M1674" s="16" t="e">
        <f t="shared" si="3026"/>
        <v>#N/A</v>
      </c>
      <c r="N1674" s="16" t="e">
        <f t="shared" si="3027"/>
        <v>#N/A</v>
      </c>
      <c r="O1674" s="16" t="s">
        <v>69</v>
      </c>
      <c r="P1674" s="16" t="str">
        <f t="shared" si="6"/>
        <v/>
      </c>
      <c r="Q1674" s="41" t="e">
        <f t="shared" si="3028"/>
        <v>#N/A</v>
      </c>
      <c r="R1674" s="44"/>
      <c r="S1674" s="44"/>
      <c r="T1674" s="43"/>
      <c r="U1674" s="43" t="str">
        <f t="shared" si="8"/>
        <v>No</v>
      </c>
      <c r="V1674" s="25"/>
      <c r="W1674" s="25"/>
      <c r="X1674" s="25"/>
      <c r="Y1674" s="25"/>
      <c r="Z1674" s="25"/>
    </row>
    <row r="1675" spans="1:26" ht="15.75" customHeight="1" x14ac:dyDescent="0.25">
      <c r="A1675" s="25">
        <v>1673</v>
      </c>
      <c r="B1675" s="37" t="e">
        <f t="shared" ref="B1675:D1675" si="3371">VLOOKUP($A1675,'[5]Integración Social'!$A$1:$O$233,B$1,0)</f>
        <v>#N/A</v>
      </c>
      <c r="C1675" s="38" t="e">
        <f t="shared" si="3371"/>
        <v>#N/A</v>
      </c>
      <c r="D1675" s="39" t="e">
        <f t="shared" si="3371"/>
        <v>#N/A</v>
      </c>
      <c r="E1675" s="16" t="e">
        <f t="shared" si="1"/>
        <v>#N/A</v>
      </c>
      <c r="F1675" s="16" t="e">
        <f t="shared" ref="F1675:K1675" si="3372">VLOOKUP($A1675,'[5]Integración Social'!$A$1:$O$233,F$1,0)</f>
        <v>#N/A</v>
      </c>
      <c r="G1675" s="39" t="e">
        <f t="shared" si="3372"/>
        <v>#N/A</v>
      </c>
      <c r="H1675" s="16" t="e">
        <f t="shared" si="3372"/>
        <v>#N/A</v>
      </c>
      <c r="I1675" s="16" t="e">
        <f t="shared" si="3372"/>
        <v>#N/A</v>
      </c>
      <c r="J1675" s="40" t="e">
        <f t="shared" si="3372"/>
        <v>#N/A</v>
      </c>
      <c r="K1675" s="16" t="e">
        <f t="shared" si="3372"/>
        <v>#N/A</v>
      </c>
      <c r="L1675" s="40" t="e">
        <f t="shared" si="3025"/>
        <v>#N/A</v>
      </c>
      <c r="M1675" s="16" t="e">
        <f t="shared" si="3026"/>
        <v>#N/A</v>
      </c>
      <c r="N1675" s="16" t="e">
        <f t="shared" si="3027"/>
        <v>#N/A</v>
      </c>
      <c r="O1675" s="16" t="s">
        <v>69</v>
      </c>
      <c r="P1675" s="16" t="str">
        <f t="shared" si="6"/>
        <v/>
      </c>
      <c r="Q1675" s="41" t="e">
        <f t="shared" si="3028"/>
        <v>#N/A</v>
      </c>
      <c r="R1675" s="44"/>
      <c r="S1675" s="44"/>
      <c r="T1675" s="43"/>
      <c r="U1675" s="43" t="str">
        <f t="shared" si="8"/>
        <v>No</v>
      </c>
      <c r="V1675" s="25"/>
      <c r="W1675" s="25"/>
      <c r="X1675" s="25"/>
      <c r="Y1675" s="25"/>
      <c r="Z1675" s="25"/>
    </row>
    <row r="1676" spans="1:26" ht="15.75" customHeight="1" x14ac:dyDescent="0.25">
      <c r="A1676" s="25">
        <v>1674</v>
      </c>
      <c r="B1676" s="37" t="e">
        <f t="shared" ref="B1676:D1676" si="3373">VLOOKUP($A1676,'[5]Integración Social'!$A$1:$O$233,B$1,0)</f>
        <v>#N/A</v>
      </c>
      <c r="C1676" s="38" t="e">
        <f t="shared" si="3373"/>
        <v>#N/A</v>
      </c>
      <c r="D1676" s="39" t="e">
        <f t="shared" si="3373"/>
        <v>#N/A</v>
      </c>
      <c r="E1676" s="16" t="e">
        <f t="shared" si="1"/>
        <v>#N/A</v>
      </c>
      <c r="F1676" s="16" t="e">
        <f t="shared" ref="F1676:K1676" si="3374">VLOOKUP($A1676,'[5]Integración Social'!$A$1:$O$233,F$1,0)</f>
        <v>#N/A</v>
      </c>
      <c r="G1676" s="39" t="e">
        <f t="shared" si="3374"/>
        <v>#N/A</v>
      </c>
      <c r="H1676" s="16" t="e">
        <f t="shared" si="3374"/>
        <v>#N/A</v>
      </c>
      <c r="I1676" s="16" t="e">
        <f t="shared" si="3374"/>
        <v>#N/A</v>
      </c>
      <c r="J1676" s="40" t="e">
        <f t="shared" si="3374"/>
        <v>#N/A</v>
      </c>
      <c r="K1676" s="16" t="e">
        <f t="shared" si="3374"/>
        <v>#N/A</v>
      </c>
      <c r="L1676" s="40" t="e">
        <f t="shared" si="3025"/>
        <v>#N/A</v>
      </c>
      <c r="M1676" s="16" t="e">
        <f t="shared" si="3026"/>
        <v>#N/A</v>
      </c>
      <c r="N1676" s="16" t="e">
        <f t="shared" si="3027"/>
        <v>#N/A</v>
      </c>
      <c r="O1676" s="16" t="s">
        <v>69</v>
      </c>
      <c r="P1676" s="16" t="str">
        <f t="shared" si="6"/>
        <v/>
      </c>
      <c r="Q1676" s="41" t="e">
        <f t="shared" si="3028"/>
        <v>#N/A</v>
      </c>
      <c r="R1676" s="44"/>
      <c r="S1676" s="44"/>
      <c r="T1676" s="43"/>
      <c r="U1676" s="43" t="str">
        <f t="shared" si="8"/>
        <v>No</v>
      </c>
      <c r="V1676" s="25"/>
      <c r="W1676" s="25"/>
      <c r="X1676" s="25"/>
      <c r="Y1676" s="25"/>
      <c r="Z1676" s="25"/>
    </row>
    <row r="1677" spans="1:26" ht="15.75" customHeight="1" x14ac:dyDescent="0.25">
      <c r="A1677" s="25">
        <v>1675</v>
      </c>
      <c r="B1677" s="37" t="e">
        <f t="shared" ref="B1677:D1677" si="3375">VLOOKUP($A1677,'[5]Integración Social'!$A$1:$O$233,B$1,0)</f>
        <v>#N/A</v>
      </c>
      <c r="C1677" s="38" t="e">
        <f t="shared" si="3375"/>
        <v>#N/A</v>
      </c>
      <c r="D1677" s="39" t="e">
        <f t="shared" si="3375"/>
        <v>#N/A</v>
      </c>
      <c r="E1677" s="16" t="e">
        <f t="shared" si="1"/>
        <v>#N/A</v>
      </c>
      <c r="F1677" s="16" t="e">
        <f t="shared" ref="F1677:K1677" si="3376">VLOOKUP($A1677,'[5]Integración Social'!$A$1:$O$233,F$1,0)</f>
        <v>#N/A</v>
      </c>
      <c r="G1677" s="39" t="e">
        <f t="shared" si="3376"/>
        <v>#N/A</v>
      </c>
      <c r="H1677" s="16" t="e">
        <f t="shared" si="3376"/>
        <v>#N/A</v>
      </c>
      <c r="I1677" s="16" t="e">
        <f t="shared" si="3376"/>
        <v>#N/A</v>
      </c>
      <c r="J1677" s="40" t="e">
        <f t="shared" si="3376"/>
        <v>#N/A</v>
      </c>
      <c r="K1677" s="16" t="e">
        <f t="shared" si="3376"/>
        <v>#N/A</v>
      </c>
      <c r="L1677" s="40" t="e">
        <f t="shared" si="3025"/>
        <v>#N/A</v>
      </c>
      <c r="M1677" s="16" t="e">
        <f t="shared" si="3026"/>
        <v>#N/A</v>
      </c>
      <c r="N1677" s="16" t="e">
        <f t="shared" si="3027"/>
        <v>#N/A</v>
      </c>
      <c r="O1677" s="16" t="s">
        <v>69</v>
      </c>
      <c r="P1677" s="16" t="str">
        <f t="shared" si="6"/>
        <v/>
      </c>
      <c r="Q1677" s="41" t="e">
        <f t="shared" si="3028"/>
        <v>#N/A</v>
      </c>
      <c r="R1677" s="44"/>
      <c r="S1677" s="44"/>
      <c r="T1677" s="43"/>
      <c r="U1677" s="43" t="str">
        <f t="shared" si="8"/>
        <v>No</v>
      </c>
      <c r="V1677" s="25"/>
      <c r="W1677" s="25"/>
      <c r="X1677" s="25"/>
      <c r="Y1677" s="25"/>
      <c r="Z1677" s="25"/>
    </row>
    <row r="1678" spans="1:26" ht="15.75" customHeight="1" x14ac:dyDescent="0.25">
      <c r="A1678" s="25">
        <v>1676</v>
      </c>
      <c r="B1678" s="37" t="e">
        <f t="shared" ref="B1678:D1678" si="3377">VLOOKUP($A1678,'[5]Integración Social'!$A$1:$O$233,B$1,0)</f>
        <v>#N/A</v>
      </c>
      <c r="C1678" s="38" t="e">
        <f t="shared" si="3377"/>
        <v>#N/A</v>
      </c>
      <c r="D1678" s="39" t="e">
        <f t="shared" si="3377"/>
        <v>#N/A</v>
      </c>
      <c r="E1678" s="16" t="e">
        <f t="shared" si="1"/>
        <v>#N/A</v>
      </c>
      <c r="F1678" s="16" t="e">
        <f t="shared" ref="F1678:K1678" si="3378">VLOOKUP($A1678,'[5]Integración Social'!$A$1:$O$233,F$1,0)</f>
        <v>#N/A</v>
      </c>
      <c r="G1678" s="39" t="e">
        <f t="shared" si="3378"/>
        <v>#N/A</v>
      </c>
      <c r="H1678" s="16" t="e">
        <f t="shared" si="3378"/>
        <v>#N/A</v>
      </c>
      <c r="I1678" s="16" t="e">
        <f t="shared" si="3378"/>
        <v>#N/A</v>
      </c>
      <c r="J1678" s="40" t="e">
        <f t="shared" si="3378"/>
        <v>#N/A</v>
      </c>
      <c r="K1678" s="16" t="e">
        <f t="shared" si="3378"/>
        <v>#N/A</v>
      </c>
      <c r="L1678" s="40" t="e">
        <f t="shared" si="3025"/>
        <v>#N/A</v>
      </c>
      <c r="M1678" s="16" t="e">
        <f t="shared" si="3026"/>
        <v>#N/A</v>
      </c>
      <c r="N1678" s="16" t="e">
        <f t="shared" si="3027"/>
        <v>#N/A</v>
      </c>
      <c r="O1678" s="16" t="s">
        <v>69</v>
      </c>
      <c r="P1678" s="16" t="str">
        <f t="shared" si="6"/>
        <v/>
      </c>
      <c r="Q1678" s="41" t="e">
        <f t="shared" si="3028"/>
        <v>#N/A</v>
      </c>
      <c r="R1678" s="44"/>
      <c r="S1678" s="44"/>
      <c r="T1678" s="43"/>
      <c r="U1678" s="43" t="str">
        <f t="shared" si="8"/>
        <v>No</v>
      </c>
      <c r="V1678" s="25"/>
      <c r="W1678" s="25"/>
      <c r="X1678" s="25"/>
      <c r="Y1678" s="25"/>
      <c r="Z1678" s="25"/>
    </row>
    <row r="1679" spans="1:26" ht="15.75" customHeight="1" x14ac:dyDescent="0.25">
      <c r="A1679" s="25">
        <v>1677</v>
      </c>
      <c r="B1679" s="37" t="e">
        <f t="shared" ref="B1679:D1679" si="3379">VLOOKUP($A1679,'[5]Integración Social'!$A$1:$O$233,B$1,0)</f>
        <v>#N/A</v>
      </c>
      <c r="C1679" s="38" t="e">
        <f t="shared" si="3379"/>
        <v>#N/A</v>
      </c>
      <c r="D1679" s="39" t="e">
        <f t="shared" si="3379"/>
        <v>#N/A</v>
      </c>
      <c r="E1679" s="16" t="e">
        <f t="shared" si="1"/>
        <v>#N/A</v>
      </c>
      <c r="F1679" s="16" t="e">
        <f t="shared" ref="F1679:K1679" si="3380">VLOOKUP($A1679,'[5]Integración Social'!$A$1:$O$233,F$1,0)</f>
        <v>#N/A</v>
      </c>
      <c r="G1679" s="39" t="e">
        <f t="shared" si="3380"/>
        <v>#N/A</v>
      </c>
      <c r="H1679" s="16" t="e">
        <f t="shared" si="3380"/>
        <v>#N/A</v>
      </c>
      <c r="I1679" s="16" t="e">
        <f t="shared" si="3380"/>
        <v>#N/A</v>
      </c>
      <c r="J1679" s="40" t="e">
        <f t="shared" si="3380"/>
        <v>#N/A</v>
      </c>
      <c r="K1679" s="16" t="e">
        <f t="shared" si="3380"/>
        <v>#N/A</v>
      </c>
      <c r="L1679" s="40" t="e">
        <f t="shared" si="3025"/>
        <v>#N/A</v>
      </c>
      <c r="M1679" s="16" t="e">
        <f t="shared" si="3026"/>
        <v>#N/A</v>
      </c>
      <c r="N1679" s="16" t="e">
        <f t="shared" si="3027"/>
        <v>#N/A</v>
      </c>
      <c r="O1679" s="16" t="s">
        <v>69</v>
      </c>
      <c r="P1679" s="16" t="str">
        <f t="shared" si="6"/>
        <v/>
      </c>
      <c r="Q1679" s="41" t="e">
        <f t="shared" si="3028"/>
        <v>#N/A</v>
      </c>
      <c r="R1679" s="44"/>
      <c r="S1679" s="44"/>
      <c r="T1679" s="43"/>
      <c r="U1679" s="43" t="str">
        <f t="shared" si="8"/>
        <v>No</v>
      </c>
      <c r="V1679" s="25"/>
      <c r="W1679" s="25"/>
      <c r="X1679" s="25"/>
      <c r="Y1679" s="25"/>
      <c r="Z1679" s="25"/>
    </row>
    <row r="1680" spans="1:26" ht="15.75" customHeight="1" x14ac:dyDescent="0.25">
      <c r="A1680" s="25">
        <v>1678</v>
      </c>
      <c r="B1680" s="37" t="e">
        <f t="shared" ref="B1680:D1680" si="3381">VLOOKUP($A1680,'[5]Integración Social'!$A$1:$O$233,B$1,0)</f>
        <v>#N/A</v>
      </c>
      <c r="C1680" s="38" t="e">
        <f t="shared" si="3381"/>
        <v>#N/A</v>
      </c>
      <c r="D1680" s="39" t="e">
        <f t="shared" si="3381"/>
        <v>#N/A</v>
      </c>
      <c r="E1680" s="16" t="e">
        <f t="shared" si="1"/>
        <v>#N/A</v>
      </c>
      <c r="F1680" s="16" t="e">
        <f t="shared" ref="F1680:K1680" si="3382">VLOOKUP($A1680,'[5]Integración Social'!$A$1:$O$233,F$1,0)</f>
        <v>#N/A</v>
      </c>
      <c r="G1680" s="39" t="e">
        <f t="shared" si="3382"/>
        <v>#N/A</v>
      </c>
      <c r="H1680" s="16" t="e">
        <f t="shared" si="3382"/>
        <v>#N/A</v>
      </c>
      <c r="I1680" s="16" t="e">
        <f t="shared" si="3382"/>
        <v>#N/A</v>
      </c>
      <c r="J1680" s="40" t="e">
        <f t="shared" si="3382"/>
        <v>#N/A</v>
      </c>
      <c r="K1680" s="16" t="e">
        <f t="shared" si="3382"/>
        <v>#N/A</v>
      </c>
      <c r="L1680" s="40" t="e">
        <f t="shared" si="3025"/>
        <v>#N/A</v>
      </c>
      <c r="M1680" s="16" t="e">
        <f t="shared" si="3026"/>
        <v>#N/A</v>
      </c>
      <c r="N1680" s="16" t="e">
        <f t="shared" si="3027"/>
        <v>#N/A</v>
      </c>
      <c r="O1680" s="16" t="s">
        <v>69</v>
      </c>
      <c r="P1680" s="16" t="str">
        <f t="shared" si="6"/>
        <v/>
      </c>
      <c r="Q1680" s="41" t="e">
        <f t="shared" si="3028"/>
        <v>#N/A</v>
      </c>
      <c r="R1680" s="44"/>
      <c r="S1680" s="44"/>
      <c r="T1680" s="43"/>
      <c r="U1680" s="43" t="str">
        <f t="shared" si="8"/>
        <v>No</v>
      </c>
      <c r="V1680" s="25"/>
      <c r="W1680" s="25"/>
      <c r="X1680" s="25"/>
      <c r="Y1680" s="25"/>
      <c r="Z1680" s="25"/>
    </row>
    <row r="1681" spans="1:26" ht="15.75" customHeight="1" x14ac:dyDescent="0.25">
      <c r="A1681" s="25">
        <v>1679</v>
      </c>
      <c r="B1681" s="37" t="e">
        <f t="shared" ref="B1681:D1681" si="3383">VLOOKUP($A1681,'[5]Integración Social'!$A$1:$O$233,B$1,0)</f>
        <v>#N/A</v>
      </c>
      <c r="C1681" s="38" t="e">
        <f t="shared" si="3383"/>
        <v>#N/A</v>
      </c>
      <c r="D1681" s="39" t="e">
        <f t="shared" si="3383"/>
        <v>#N/A</v>
      </c>
      <c r="E1681" s="16" t="e">
        <f t="shared" si="1"/>
        <v>#N/A</v>
      </c>
      <c r="F1681" s="16" t="e">
        <f t="shared" ref="F1681:K1681" si="3384">VLOOKUP($A1681,'[5]Integración Social'!$A$1:$O$233,F$1,0)</f>
        <v>#N/A</v>
      </c>
      <c r="G1681" s="39" t="e">
        <f t="shared" si="3384"/>
        <v>#N/A</v>
      </c>
      <c r="H1681" s="16" t="e">
        <f t="shared" si="3384"/>
        <v>#N/A</v>
      </c>
      <c r="I1681" s="16" t="e">
        <f t="shared" si="3384"/>
        <v>#N/A</v>
      </c>
      <c r="J1681" s="40" t="e">
        <f t="shared" si="3384"/>
        <v>#N/A</v>
      </c>
      <c r="K1681" s="16" t="e">
        <f t="shared" si="3384"/>
        <v>#N/A</v>
      </c>
      <c r="L1681" s="40" t="e">
        <f t="shared" si="3025"/>
        <v>#N/A</v>
      </c>
      <c r="M1681" s="16" t="e">
        <f t="shared" si="3026"/>
        <v>#N/A</v>
      </c>
      <c r="N1681" s="16" t="e">
        <f t="shared" si="3027"/>
        <v>#N/A</v>
      </c>
      <c r="O1681" s="16" t="s">
        <v>69</v>
      </c>
      <c r="P1681" s="16" t="str">
        <f t="shared" si="6"/>
        <v/>
      </c>
      <c r="Q1681" s="41" t="e">
        <f t="shared" si="3028"/>
        <v>#N/A</v>
      </c>
      <c r="R1681" s="44"/>
      <c r="S1681" s="44"/>
      <c r="T1681" s="43"/>
      <c r="U1681" s="43" t="str">
        <f t="shared" si="8"/>
        <v>No</v>
      </c>
      <c r="V1681" s="25"/>
      <c r="W1681" s="25"/>
      <c r="X1681" s="25"/>
      <c r="Y1681" s="25"/>
      <c r="Z1681" s="25"/>
    </row>
    <row r="1682" spans="1:26" ht="15.75" customHeight="1" x14ac:dyDescent="0.25">
      <c r="A1682" s="25">
        <v>1680</v>
      </c>
      <c r="B1682" s="37" t="e">
        <f t="shared" ref="B1682:D1682" si="3385">VLOOKUP($A1682,'[5]Integración Social'!$A$1:$O$233,B$1,0)</f>
        <v>#N/A</v>
      </c>
      <c r="C1682" s="38" t="e">
        <f t="shared" si="3385"/>
        <v>#N/A</v>
      </c>
      <c r="D1682" s="39" t="e">
        <f t="shared" si="3385"/>
        <v>#N/A</v>
      </c>
      <c r="E1682" s="16" t="e">
        <f t="shared" si="1"/>
        <v>#N/A</v>
      </c>
      <c r="F1682" s="16" t="e">
        <f t="shared" ref="F1682:K1682" si="3386">VLOOKUP($A1682,'[5]Integración Social'!$A$1:$O$233,F$1,0)</f>
        <v>#N/A</v>
      </c>
      <c r="G1682" s="39" t="e">
        <f t="shared" si="3386"/>
        <v>#N/A</v>
      </c>
      <c r="H1682" s="16" t="e">
        <f t="shared" si="3386"/>
        <v>#N/A</v>
      </c>
      <c r="I1682" s="16" t="e">
        <f t="shared" si="3386"/>
        <v>#N/A</v>
      </c>
      <c r="J1682" s="40" t="e">
        <f t="shared" si="3386"/>
        <v>#N/A</v>
      </c>
      <c r="K1682" s="16" t="e">
        <f t="shared" si="3386"/>
        <v>#N/A</v>
      </c>
      <c r="L1682" s="40" t="e">
        <f t="shared" si="3025"/>
        <v>#N/A</v>
      </c>
      <c r="M1682" s="16" t="e">
        <f t="shared" si="3026"/>
        <v>#N/A</v>
      </c>
      <c r="N1682" s="16" t="e">
        <f t="shared" si="3027"/>
        <v>#N/A</v>
      </c>
      <c r="O1682" s="16" t="s">
        <v>69</v>
      </c>
      <c r="P1682" s="16" t="str">
        <f t="shared" si="6"/>
        <v/>
      </c>
      <c r="Q1682" s="41" t="e">
        <f t="shared" si="3028"/>
        <v>#N/A</v>
      </c>
      <c r="R1682" s="44"/>
      <c r="S1682" s="44"/>
      <c r="T1682" s="43"/>
      <c r="U1682" s="43" t="str">
        <f t="shared" si="8"/>
        <v>No</v>
      </c>
      <c r="V1682" s="25"/>
      <c r="W1682" s="25"/>
      <c r="X1682" s="25"/>
      <c r="Y1682" s="25"/>
      <c r="Z1682" s="25"/>
    </row>
    <row r="1683" spans="1:26" ht="15.75" customHeight="1" x14ac:dyDescent="0.25">
      <c r="A1683" s="25">
        <v>1681</v>
      </c>
      <c r="B1683" s="37" t="e">
        <f t="shared" ref="B1683:D1683" si="3387">VLOOKUP($A1683,'[5]Integración Social'!$A$1:$O$233,B$1,0)</f>
        <v>#N/A</v>
      </c>
      <c r="C1683" s="38" t="e">
        <f t="shared" si="3387"/>
        <v>#N/A</v>
      </c>
      <c r="D1683" s="39" t="e">
        <f t="shared" si="3387"/>
        <v>#N/A</v>
      </c>
      <c r="E1683" s="16" t="e">
        <f t="shared" si="1"/>
        <v>#N/A</v>
      </c>
      <c r="F1683" s="16" t="e">
        <f t="shared" ref="F1683:K1683" si="3388">VLOOKUP($A1683,'[5]Integración Social'!$A$1:$O$233,F$1,0)</f>
        <v>#N/A</v>
      </c>
      <c r="G1683" s="39" t="e">
        <f t="shared" si="3388"/>
        <v>#N/A</v>
      </c>
      <c r="H1683" s="16" t="e">
        <f t="shared" si="3388"/>
        <v>#N/A</v>
      </c>
      <c r="I1683" s="16" t="e">
        <f t="shared" si="3388"/>
        <v>#N/A</v>
      </c>
      <c r="J1683" s="40" t="e">
        <f t="shared" si="3388"/>
        <v>#N/A</v>
      </c>
      <c r="K1683" s="16" t="e">
        <f t="shared" si="3388"/>
        <v>#N/A</v>
      </c>
      <c r="L1683" s="40" t="e">
        <f t="shared" si="3025"/>
        <v>#N/A</v>
      </c>
      <c r="M1683" s="16" t="e">
        <f t="shared" si="3026"/>
        <v>#N/A</v>
      </c>
      <c r="N1683" s="16" t="e">
        <f t="shared" si="3027"/>
        <v>#N/A</v>
      </c>
      <c r="O1683" s="16" t="s">
        <v>69</v>
      </c>
      <c r="P1683" s="16" t="str">
        <f t="shared" si="6"/>
        <v/>
      </c>
      <c r="Q1683" s="41" t="e">
        <f t="shared" si="3028"/>
        <v>#N/A</v>
      </c>
      <c r="R1683" s="44"/>
      <c r="S1683" s="44"/>
      <c r="T1683" s="43"/>
      <c r="U1683" s="43" t="str">
        <f t="shared" si="8"/>
        <v>No</v>
      </c>
      <c r="V1683" s="25"/>
      <c r="W1683" s="25"/>
      <c r="X1683" s="25"/>
      <c r="Y1683" s="25"/>
      <c r="Z1683" s="25"/>
    </row>
    <row r="1684" spans="1:26" ht="15.75" customHeight="1" x14ac:dyDescent="0.25">
      <c r="A1684" s="25">
        <v>1682</v>
      </c>
      <c r="B1684" s="37" t="e">
        <f t="shared" ref="B1684:D1684" si="3389">VLOOKUP($A1684,'[5]Integración Social'!$A$1:$O$233,B$1,0)</f>
        <v>#N/A</v>
      </c>
      <c r="C1684" s="38" t="e">
        <f t="shared" si="3389"/>
        <v>#N/A</v>
      </c>
      <c r="D1684" s="39" t="e">
        <f t="shared" si="3389"/>
        <v>#N/A</v>
      </c>
      <c r="E1684" s="16" t="e">
        <f t="shared" si="1"/>
        <v>#N/A</v>
      </c>
      <c r="F1684" s="16" t="e">
        <f t="shared" ref="F1684:K1684" si="3390">VLOOKUP($A1684,'[5]Integración Social'!$A$1:$O$233,F$1,0)</f>
        <v>#N/A</v>
      </c>
      <c r="G1684" s="39" t="e">
        <f t="shared" si="3390"/>
        <v>#N/A</v>
      </c>
      <c r="H1684" s="16" t="e">
        <f t="shared" si="3390"/>
        <v>#N/A</v>
      </c>
      <c r="I1684" s="16" t="e">
        <f t="shared" si="3390"/>
        <v>#N/A</v>
      </c>
      <c r="J1684" s="40" t="e">
        <f t="shared" si="3390"/>
        <v>#N/A</v>
      </c>
      <c r="K1684" s="16" t="e">
        <f t="shared" si="3390"/>
        <v>#N/A</v>
      </c>
      <c r="L1684" s="40" t="e">
        <f t="shared" si="3025"/>
        <v>#N/A</v>
      </c>
      <c r="M1684" s="16" t="e">
        <f t="shared" si="3026"/>
        <v>#N/A</v>
      </c>
      <c r="N1684" s="16" t="e">
        <f t="shared" si="3027"/>
        <v>#N/A</v>
      </c>
      <c r="O1684" s="16" t="s">
        <v>69</v>
      </c>
      <c r="P1684" s="16" t="str">
        <f t="shared" si="6"/>
        <v/>
      </c>
      <c r="Q1684" s="41" t="e">
        <f t="shared" si="3028"/>
        <v>#N/A</v>
      </c>
      <c r="R1684" s="44"/>
      <c r="S1684" s="44"/>
      <c r="T1684" s="43"/>
      <c r="U1684" s="43" t="str">
        <f t="shared" si="8"/>
        <v>No</v>
      </c>
      <c r="V1684" s="25"/>
      <c r="W1684" s="25"/>
      <c r="X1684" s="25"/>
      <c r="Y1684" s="25"/>
      <c r="Z1684" s="25"/>
    </row>
    <row r="1685" spans="1:26" ht="15.75" customHeight="1" x14ac:dyDescent="0.25">
      <c r="A1685" s="25">
        <v>1683</v>
      </c>
      <c r="B1685" s="37" t="e">
        <f t="shared" ref="B1685:D1685" si="3391">VLOOKUP($A1685,'[5]Integración Social'!$A$1:$O$233,B$1,0)</f>
        <v>#N/A</v>
      </c>
      <c r="C1685" s="38" t="e">
        <f t="shared" si="3391"/>
        <v>#N/A</v>
      </c>
      <c r="D1685" s="39" t="e">
        <f t="shared" si="3391"/>
        <v>#N/A</v>
      </c>
      <c r="E1685" s="16" t="e">
        <f t="shared" si="1"/>
        <v>#N/A</v>
      </c>
      <c r="F1685" s="16" t="e">
        <f t="shared" ref="F1685:K1685" si="3392">VLOOKUP($A1685,'[5]Integración Social'!$A$1:$O$233,F$1,0)</f>
        <v>#N/A</v>
      </c>
      <c r="G1685" s="39" t="e">
        <f t="shared" si="3392"/>
        <v>#N/A</v>
      </c>
      <c r="H1685" s="16" t="e">
        <f t="shared" si="3392"/>
        <v>#N/A</v>
      </c>
      <c r="I1685" s="16" t="e">
        <f t="shared" si="3392"/>
        <v>#N/A</v>
      </c>
      <c r="J1685" s="40" t="e">
        <f t="shared" si="3392"/>
        <v>#N/A</v>
      </c>
      <c r="K1685" s="16" t="e">
        <f t="shared" si="3392"/>
        <v>#N/A</v>
      </c>
      <c r="L1685" s="40" t="e">
        <f t="shared" si="3025"/>
        <v>#N/A</v>
      </c>
      <c r="M1685" s="16" t="e">
        <f t="shared" si="3026"/>
        <v>#N/A</v>
      </c>
      <c r="N1685" s="16" t="e">
        <f t="shared" si="3027"/>
        <v>#N/A</v>
      </c>
      <c r="O1685" s="16" t="s">
        <v>69</v>
      </c>
      <c r="P1685" s="16" t="str">
        <f t="shared" si="6"/>
        <v/>
      </c>
      <c r="Q1685" s="41" t="e">
        <f t="shared" si="3028"/>
        <v>#N/A</v>
      </c>
      <c r="R1685" s="44"/>
      <c r="S1685" s="44"/>
      <c r="T1685" s="43"/>
      <c r="U1685" s="43" t="str">
        <f t="shared" si="8"/>
        <v>No</v>
      </c>
      <c r="V1685" s="25"/>
      <c r="W1685" s="25"/>
      <c r="X1685" s="25"/>
      <c r="Y1685" s="25"/>
      <c r="Z1685" s="25"/>
    </row>
    <row r="1686" spans="1:26" ht="15.75" customHeight="1" x14ac:dyDescent="0.25">
      <c r="A1686" s="25">
        <v>1684</v>
      </c>
      <c r="B1686" s="37" t="e">
        <f t="shared" ref="B1686:D1686" si="3393">VLOOKUP($A1686,'[5]Integración Social'!$A$1:$O$233,B$1,0)</f>
        <v>#N/A</v>
      </c>
      <c r="C1686" s="38" t="e">
        <f t="shared" si="3393"/>
        <v>#N/A</v>
      </c>
      <c r="D1686" s="39" t="e">
        <f t="shared" si="3393"/>
        <v>#N/A</v>
      </c>
      <c r="E1686" s="16" t="e">
        <f t="shared" si="1"/>
        <v>#N/A</v>
      </c>
      <c r="F1686" s="16" t="e">
        <f t="shared" ref="F1686:K1686" si="3394">VLOOKUP($A1686,'[5]Integración Social'!$A$1:$O$233,F$1,0)</f>
        <v>#N/A</v>
      </c>
      <c r="G1686" s="39" t="e">
        <f t="shared" si="3394"/>
        <v>#N/A</v>
      </c>
      <c r="H1686" s="16" t="e">
        <f t="shared" si="3394"/>
        <v>#N/A</v>
      </c>
      <c r="I1686" s="16" t="e">
        <f t="shared" si="3394"/>
        <v>#N/A</v>
      </c>
      <c r="J1686" s="40" t="e">
        <f t="shared" si="3394"/>
        <v>#N/A</v>
      </c>
      <c r="K1686" s="16" t="e">
        <f t="shared" si="3394"/>
        <v>#N/A</v>
      </c>
      <c r="L1686" s="40" t="e">
        <f t="shared" si="3025"/>
        <v>#N/A</v>
      </c>
      <c r="M1686" s="16" t="e">
        <f t="shared" si="3026"/>
        <v>#N/A</v>
      </c>
      <c r="N1686" s="16" t="e">
        <f t="shared" si="3027"/>
        <v>#N/A</v>
      </c>
      <c r="O1686" s="16" t="s">
        <v>69</v>
      </c>
      <c r="P1686" s="16" t="str">
        <f t="shared" si="6"/>
        <v/>
      </c>
      <c r="Q1686" s="41" t="e">
        <f t="shared" si="3028"/>
        <v>#N/A</v>
      </c>
      <c r="R1686" s="44"/>
      <c r="S1686" s="44"/>
      <c r="T1686" s="43"/>
      <c r="U1686" s="43" t="str">
        <f t="shared" si="8"/>
        <v>No</v>
      </c>
      <c r="V1686" s="25"/>
      <c r="W1686" s="25"/>
      <c r="X1686" s="25"/>
      <c r="Y1686" s="25"/>
      <c r="Z1686" s="25"/>
    </row>
    <row r="1687" spans="1:26" ht="15.75" customHeight="1" x14ac:dyDescent="0.25">
      <c r="A1687" s="25">
        <v>1685</v>
      </c>
      <c r="B1687" s="37" t="e">
        <f t="shared" ref="B1687:D1687" si="3395">VLOOKUP($A1687,'[5]Integración Social'!$A$1:$O$233,B$1,0)</f>
        <v>#N/A</v>
      </c>
      <c r="C1687" s="38" t="e">
        <f t="shared" si="3395"/>
        <v>#N/A</v>
      </c>
      <c r="D1687" s="39" t="e">
        <f t="shared" si="3395"/>
        <v>#N/A</v>
      </c>
      <c r="E1687" s="16" t="e">
        <f t="shared" si="1"/>
        <v>#N/A</v>
      </c>
      <c r="F1687" s="16" t="e">
        <f t="shared" ref="F1687:K1687" si="3396">VLOOKUP($A1687,'[5]Integración Social'!$A$1:$O$233,F$1,0)</f>
        <v>#N/A</v>
      </c>
      <c r="G1687" s="39" t="e">
        <f t="shared" si="3396"/>
        <v>#N/A</v>
      </c>
      <c r="H1687" s="16" t="e">
        <f t="shared" si="3396"/>
        <v>#N/A</v>
      </c>
      <c r="I1687" s="16" t="e">
        <f t="shared" si="3396"/>
        <v>#N/A</v>
      </c>
      <c r="J1687" s="40" t="e">
        <f t="shared" si="3396"/>
        <v>#N/A</v>
      </c>
      <c r="K1687" s="16" t="e">
        <f t="shared" si="3396"/>
        <v>#N/A</v>
      </c>
      <c r="L1687" s="40" t="e">
        <f t="shared" si="3025"/>
        <v>#N/A</v>
      </c>
      <c r="M1687" s="16" t="e">
        <f t="shared" si="3026"/>
        <v>#N/A</v>
      </c>
      <c r="N1687" s="16" t="e">
        <f t="shared" si="3027"/>
        <v>#N/A</v>
      </c>
      <c r="O1687" s="16" t="s">
        <v>69</v>
      </c>
      <c r="P1687" s="16" t="str">
        <f t="shared" si="6"/>
        <v/>
      </c>
      <c r="Q1687" s="41" t="e">
        <f t="shared" si="3028"/>
        <v>#N/A</v>
      </c>
      <c r="R1687" s="44"/>
      <c r="S1687" s="44"/>
      <c r="T1687" s="43"/>
      <c r="U1687" s="43" t="str">
        <f t="shared" si="8"/>
        <v>No</v>
      </c>
      <c r="V1687" s="25"/>
      <c r="W1687" s="25"/>
      <c r="X1687" s="25"/>
      <c r="Y1687" s="25"/>
      <c r="Z1687" s="25"/>
    </row>
    <row r="1688" spans="1:26" ht="15.75" customHeight="1" x14ac:dyDescent="0.25">
      <c r="A1688" s="25">
        <v>1686</v>
      </c>
      <c r="B1688" s="37" t="e">
        <f t="shared" ref="B1688:D1688" si="3397">VLOOKUP($A1688,'[5]Integración Social'!$A$1:$O$233,B$1,0)</f>
        <v>#N/A</v>
      </c>
      <c r="C1688" s="38" t="e">
        <f t="shared" si="3397"/>
        <v>#N/A</v>
      </c>
      <c r="D1688" s="39" t="e">
        <f t="shared" si="3397"/>
        <v>#N/A</v>
      </c>
      <c r="E1688" s="16" t="e">
        <f t="shared" si="1"/>
        <v>#N/A</v>
      </c>
      <c r="F1688" s="16" t="e">
        <f t="shared" ref="F1688:K1688" si="3398">VLOOKUP($A1688,'[5]Integración Social'!$A$1:$O$233,F$1,0)</f>
        <v>#N/A</v>
      </c>
      <c r="G1688" s="39" t="e">
        <f t="shared" si="3398"/>
        <v>#N/A</v>
      </c>
      <c r="H1688" s="16" t="e">
        <f t="shared" si="3398"/>
        <v>#N/A</v>
      </c>
      <c r="I1688" s="16" t="e">
        <f t="shared" si="3398"/>
        <v>#N/A</v>
      </c>
      <c r="J1688" s="40" t="e">
        <f t="shared" si="3398"/>
        <v>#N/A</v>
      </c>
      <c r="K1688" s="16" t="e">
        <f t="shared" si="3398"/>
        <v>#N/A</v>
      </c>
      <c r="L1688" s="40" t="e">
        <f t="shared" si="3025"/>
        <v>#N/A</v>
      </c>
      <c r="M1688" s="16" t="e">
        <f t="shared" si="3026"/>
        <v>#N/A</v>
      </c>
      <c r="N1688" s="16" t="e">
        <f t="shared" si="3027"/>
        <v>#N/A</v>
      </c>
      <c r="O1688" s="16" t="s">
        <v>69</v>
      </c>
      <c r="P1688" s="16" t="str">
        <f t="shared" si="6"/>
        <v/>
      </c>
      <c r="Q1688" s="41" t="e">
        <f t="shared" si="3028"/>
        <v>#N/A</v>
      </c>
      <c r="R1688" s="44"/>
      <c r="S1688" s="44"/>
      <c r="T1688" s="43"/>
      <c r="U1688" s="43" t="str">
        <f t="shared" si="8"/>
        <v>No</v>
      </c>
      <c r="V1688" s="25"/>
      <c r="W1688" s="25"/>
      <c r="X1688" s="25"/>
      <c r="Y1688" s="25"/>
      <c r="Z1688" s="25"/>
    </row>
    <row r="1689" spans="1:26" ht="15.75" customHeight="1" x14ac:dyDescent="0.25">
      <c r="A1689" s="25">
        <v>1687</v>
      </c>
      <c r="B1689" s="37" t="e">
        <f t="shared" ref="B1689:D1689" si="3399">VLOOKUP($A1689,'[5]Integración Social'!$A$1:$O$233,B$1,0)</f>
        <v>#N/A</v>
      </c>
      <c r="C1689" s="38" t="e">
        <f t="shared" si="3399"/>
        <v>#N/A</v>
      </c>
      <c r="D1689" s="39" t="e">
        <f t="shared" si="3399"/>
        <v>#N/A</v>
      </c>
      <c r="E1689" s="16" t="e">
        <f t="shared" si="1"/>
        <v>#N/A</v>
      </c>
      <c r="F1689" s="16" t="e">
        <f t="shared" ref="F1689:K1689" si="3400">VLOOKUP($A1689,'[5]Integración Social'!$A$1:$O$233,F$1,0)</f>
        <v>#N/A</v>
      </c>
      <c r="G1689" s="39" t="e">
        <f t="shared" si="3400"/>
        <v>#N/A</v>
      </c>
      <c r="H1689" s="16" t="e">
        <f t="shared" si="3400"/>
        <v>#N/A</v>
      </c>
      <c r="I1689" s="16" t="e">
        <f t="shared" si="3400"/>
        <v>#N/A</v>
      </c>
      <c r="J1689" s="40" t="e">
        <f t="shared" si="3400"/>
        <v>#N/A</v>
      </c>
      <c r="K1689" s="16" t="e">
        <f t="shared" si="3400"/>
        <v>#N/A</v>
      </c>
      <c r="L1689" s="40" t="e">
        <f t="shared" si="3025"/>
        <v>#N/A</v>
      </c>
      <c r="M1689" s="16" t="e">
        <f t="shared" si="3026"/>
        <v>#N/A</v>
      </c>
      <c r="N1689" s="16" t="e">
        <f t="shared" si="3027"/>
        <v>#N/A</v>
      </c>
      <c r="O1689" s="16" t="s">
        <v>69</v>
      </c>
      <c r="P1689" s="16" t="str">
        <f t="shared" si="6"/>
        <v/>
      </c>
      <c r="Q1689" s="41" t="e">
        <f t="shared" si="3028"/>
        <v>#N/A</v>
      </c>
      <c r="R1689" s="44"/>
      <c r="S1689" s="44"/>
      <c r="T1689" s="43"/>
      <c r="U1689" s="43" t="str">
        <f t="shared" si="8"/>
        <v>No</v>
      </c>
      <c r="V1689" s="25"/>
      <c r="W1689" s="25"/>
      <c r="X1689" s="25"/>
      <c r="Y1689" s="25"/>
      <c r="Z1689" s="25"/>
    </row>
    <row r="1690" spans="1:26" ht="15.75" customHeight="1" x14ac:dyDescent="0.25">
      <c r="A1690" s="25">
        <v>1688</v>
      </c>
      <c r="B1690" s="37" t="e">
        <f t="shared" ref="B1690:D1690" si="3401">VLOOKUP($A1690,'[5]Integración Social'!$A$1:$O$233,B$1,0)</f>
        <v>#N/A</v>
      </c>
      <c r="C1690" s="38" t="e">
        <f t="shared" si="3401"/>
        <v>#N/A</v>
      </c>
      <c r="D1690" s="39" t="e">
        <f t="shared" si="3401"/>
        <v>#N/A</v>
      </c>
      <c r="E1690" s="16" t="e">
        <f t="shared" si="1"/>
        <v>#N/A</v>
      </c>
      <c r="F1690" s="16" t="e">
        <f t="shared" ref="F1690:K1690" si="3402">VLOOKUP($A1690,'[5]Integración Social'!$A$1:$O$233,F$1,0)</f>
        <v>#N/A</v>
      </c>
      <c r="G1690" s="39" t="e">
        <f t="shared" si="3402"/>
        <v>#N/A</v>
      </c>
      <c r="H1690" s="16" t="e">
        <f t="shared" si="3402"/>
        <v>#N/A</v>
      </c>
      <c r="I1690" s="16" t="e">
        <f t="shared" si="3402"/>
        <v>#N/A</v>
      </c>
      <c r="J1690" s="40" t="e">
        <f t="shared" si="3402"/>
        <v>#N/A</v>
      </c>
      <c r="K1690" s="16" t="e">
        <f t="shared" si="3402"/>
        <v>#N/A</v>
      </c>
      <c r="L1690" s="40" t="e">
        <f t="shared" si="3025"/>
        <v>#N/A</v>
      </c>
      <c r="M1690" s="16" t="e">
        <f t="shared" si="3026"/>
        <v>#N/A</v>
      </c>
      <c r="N1690" s="16" t="e">
        <f t="shared" si="3027"/>
        <v>#N/A</v>
      </c>
      <c r="O1690" s="16" t="s">
        <v>69</v>
      </c>
      <c r="P1690" s="16" t="str">
        <f t="shared" si="6"/>
        <v/>
      </c>
      <c r="Q1690" s="41" t="e">
        <f t="shared" si="3028"/>
        <v>#N/A</v>
      </c>
      <c r="R1690" s="44"/>
      <c r="S1690" s="44"/>
      <c r="T1690" s="43"/>
      <c r="U1690" s="43" t="str">
        <f t="shared" si="8"/>
        <v>No</v>
      </c>
      <c r="V1690" s="25"/>
      <c r="W1690" s="25"/>
      <c r="X1690" s="25"/>
      <c r="Y1690" s="25"/>
      <c r="Z1690" s="25"/>
    </row>
    <row r="1691" spans="1:26" ht="15.75" customHeight="1" x14ac:dyDescent="0.25">
      <c r="A1691" s="25">
        <v>1689</v>
      </c>
      <c r="B1691" s="37" t="e">
        <f t="shared" ref="B1691:D1691" si="3403">VLOOKUP($A1691,'[5]Integración Social'!$A$1:$O$233,B$1,0)</f>
        <v>#N/A</v>
      </c>
      <c r="C1691" s="38" t="e">
        <f t="shared" si="3403"/>
        <v>#N/A</v>
      </c>
      <c r="D1691" s="39" t="e">
        <f t="shared" si="3403"/>
        <v>#N/A</v>
      </c>
      <c r="E1691" s="16" t="e">
        <f t="shared" si="1"/>
        <v>#N/A</v>
      </c>
      <c r="F1691" s="16" t="e">
        <f t="shared" ref="F1691:K1691" si="3404">VLOOKUP($A1691,'[5]Integración Social'!$A$1:$O$233,F$1,0)</f>
        <v>#N/A</v>
      </c>
      <c r="G1691" s="39" t="e">
        <f t="shared" si="3404"/>
        <v>#N/A</v>
      </c>
      <c r="H1691" s="16" t="e">
        <f t="shared" si="3404"/>
        <v>#N/A</v>
      </c>
      <c r="I1691" s="16" t="e">
        <f t="shared" si="3404"/>
        <v>#N/A</v>
      </c>
      <c r="J1691" s="40" t="e">
        <f t="shared" si="3404"/>
        <v>#N/A</v>
      </c>
      <c r="K1691" s="16" t="e">
        <f t="shared" si="3404"/>
        <v>#N/A</v>
      </c>
      <c r="L1691" s="40" t="e">
        <f t="shared" si="3025"/>
        <v>#N/A</v>
      </c>
      <c r="M1691" s="16" t="e">
        <f t="shared" si="3026"/>
        <v>#N/A</v>
      </c>
      <c r="N1691" s="16" t="e">
        <f t="shared" si="3027"/>
        <v>#N/A</v>
      </c>
      <c r="O1691" s="16" t="s">
        <v>69</v>
      </c>
      <c r="P1691" s="16" t="str">
        <f t="shared" si="6"/>
        <v/>
      </c>
      <c r="Q1691" s="41" t="e">
        <f t="shared" si="3028"/>
        <v>#N/A</v>
      </c>
      <c r="R1691" s="44"/>
      <c r="S1691" s="44"/>
      <c r="T1691" s="43"/>
      <c r="U1691" s="43" t="str">
        <f t="shared" si="8"/>
        <v>No</v>
      </c>
      <c r="V1691" s="25"/>
      <c r="W1691" s="25"/>
      <c r="X1691" s="25"/>
      <c r="Y1691" s="25"/>
      <c r="Z1691" s="25"/>
    </row>
    <row r="1692" spans="1:26" ht="15.75" customHeight="1" x14ac:dyDescent="0.25">
      <c r="A1692" s="25">
        <v>1690</v>
      </c>
      <c r="B1692" s="37" t="e">
        <f t="shared" ref="B1692:D1692" si="3405">VLOOKUP($A1692,'[5]Integración Social'!$A$1:$O$233,B$1,0)</f>
        <v>#N/A</v>
      </c>
      <c r="C1692" s="38" t="e">
        <f t="shared" si="3405"/>
        <v>#N/A</v>
      </c>
      <c r="D1692" s="39" t="e">
        <f t="shared" si="3405"/>
        <v>#N/A</v>
      </c>
      <c r="E1692" s="16" t="e">
        <f t="shared" si="1"/>
        <v>#N/A</v>
      </c>
      <c r="F1692" s="16" t="e">
        <f t="shared" ref="F1692:K1692" si="3406">VLOOKUP($A1692,'[5]Integración Social'!$A$1:$O$233,F$1,0)</f>
        <v>#N/A</v>
      </c>
      <c r="G1692" s="39" t="e">
        <f t="shared" si="3406"/>
        <v>#N/A</v>
      </c>
      <c r="H1692" s="16" t="e">
        <f t="shared" si="3406"/>
        <v>#N/A</v>
      </c>
      <c r="I1692" s="16" t="e">
        <f t="shared" si="3406"/>
        <v>#N/A</v>
      </c>
      <c r="J1692" s="40" t="e">
        <f t="shared" si="3406"/>
        <v>#N/A</v>
      </c>
      <c r="K1692" s="16" t="e">
        <f t="shared" si="3406"/>
        <v>#N/A</v>
      </c>
      <c r="L1692" s="40" t="e">
        <f t="shared" si="3025"/>
        <v>#N/A</v>
      </c>
      <c r="M1692" s="16" t="e">
        <f t="shared" si="3026"/>
        <v>#N/A</v>
      </c>
      <c r="N1692" s="16" t="e">
        <f t="shared" si="3027"/>
        <v>#N/A</v>
      </c>
      <c r="O1692" s="16" t="s">
        <v>69</v>
      </c>
      <c r="P1692" s="16" t="str">
        <f t="shared" si="6"/>
        <v/>
      </c>
      <c r="Q1692" s="41" t="e">
        <f t="shared" si="3028"/>
        <v>#N/A</v>
      </c>
      <c r="R1692" s="44"/>
      <c r="S1692" s="44"/>
      <c r="T1692" s="43"/>
      <c r="U1692" s="43" t="str">
        <f t="shared" si="8"/>
        <v>No</v>
      </c>
      <c r="V1692" s="25"/>
      <c r="W1692" s="25"/>
      <c r="X1692" s="25"/>
      <c r="Y1692" s="25"/>
      <c r="Z1692" s="25"/>
    </row>
    <row r="1693" spans="1:26" ht="15.75" customHeight="1" x14ac:dyDescent="0.25">
      <c r="A1693" s="25">
        <v>1691</v>
      </c>
      <c r="B1693" s="37" t="e">
        <f t="shared" ref="B1693:D1693" si="3407">VLOOKUP($A1693,'[5]Integración Social'!$A$1:$O$233,B$1,0)</f>
        <v>#N/A</v>
      </c>
      <c r="C1693" s="38" t="e">
        <f t="shared" si="3407"/>
        <v>#N/A</v>
      </c>
      <c r="D1693" s="39" t="e">
        <f t="shared" si="3407"/>
        <v>#N/A</v>
      </c>
      <c r="E1693" s="16" t="e">
        <f t="shared" si="1"/>
        <v>#N/A</v>
      </c>
      <c r="F1693" s="16" t="e">
        <f t="shared" ref="F1693:K1693" si="3408">VLOOKUP($A1693,'[5]Integración Social'!$A$1:$O$233,F$1,0)</f>
        <v>#N/A</v>
      </c>
      <c r="G1693" s="39" t="e">
        <f t="shared" si="3408"/>
        <v>#N/A</v>
      </c>
      <c r="H1693" s="16" t="e">
        <f t="shared" si="3408"/>
        <v>#N/A</v>
      </c>
      <c r="I1693" s="16" t="e">
        <f t="shared" si="3408"/>
        <v>#N/A</v>
      </c>
      <c r="J1693" s="40" t="e">
        <f t="shared" si="3408"/>
        <v>#N/A</v>
      </c>
      <c r="K1693" s="16" t="e">
        <f t="shared" si="3408"/>
        <v>#N/A</v>
      </c>
      <c r="L1693" s="40" t="e">
        <f t="shared" si="3025"/>
        <v>#N/A</v>
      </c>
      <c r="M1693" s="16" t="e">
        <f t="shared" si="3026"/>
        <v>#N/A</v>
      </c>
      <c r="N1693" s="16" t="e">
        <f t="shared" si="3027"/>
        <v>#N/A</v>
      </c>
      <c r="O1693" s="16" t="s">
        <v>69</v>
      </c>
      <c r="P1693" s="16" t="str">
        <f t="shared" si="6"/>
        <v/>
      </c>
      <c r="Q1693" s="41" t="e">
        <f t="shared" si="3028"/>
        <v>#N/A</v>
      </c>
      <c r="R1693" s="44"/>
      <c r="S1693" s="44"/>
      <c r="T1693" s="43"/>
      <c r="U1693" s="43" t="str">
        <f t="shared" si="8"/>
        <v>No</v>
      </c>
      <c r="V1693" s="25"/>
      <c r="W1693" s="25"/>
      <c r="X1693" s="25"/>
      <c r="Y1693" s="25"/>
      <c r="Z1693" s="25"/>
    </row>
    <row r="1694" spans="1:26" ht="15.75" customHeight="1" x14ac:dyDescent="0.25">
      <c r="A1694" s="25">
        <v>1692</v>
      </c>
      <c r="B1694" s="37" t="e">
        <f t="shared" ref="B1694:D1694" si="3409">VLOOKUP($A1694,'[5]Integración Social'!$A$1:$O$233,B$1,0)</f>
        <v>#N/A</v>
      </c>
      <c r="C1694" s="38" t="e">
        <f t="shared" si="3409"/>
        <v>#N/A</v>
      </c>
      <c r="D1694" s="39" t="e">
        <f t="shared" si="3409"/>
        <v>#N/A</v>
      </c>
      <c r="E1694" s="16" t="e">
        <f t="shared" si="1"/>
        <v>#N/A</v>
      </c>
      <c r="F1694" s="16" t="e">
        <f t="shared" ref="F1694:K1694" si="3410">VLOOKUP($A1694,'[5]Integración Social'!$A$1:$O$233,F$1,0)</f>
        <v>#N/A</v>
      </c>
      <c r="G1694" s="39" t="e">
        <f t="shared" si="3410"/>
        <v>#N/A</v>
      </c>
      <c r="H1694" s="16" t="e">
        <f t="shared" si="3410"/>
        <v>#N/A</v>
      </c>
      <c r="I1694" s="16" t="e">
        <f t="shared" si="3410"/>
        <v>#N/A</v>
      </c>
      <c r="J1694" s="40" t="e">
        <f t="shared" si="3410"/>
        <v>#N/A</v>
      </c>
      <c r="K1694" s="16" t="e">
        <f t="shared" si="3410"/>
        <v>#N/A</v>
      </c>
      <c r="L1694" s="40" t="e">
        <f t="shared" si="3025"/>
        <v>#N/A</v>
      </c>
      <c r="M1694" s="16" t="e">
        <f t="shared" si="3026"/>
        <v>#N/A</v>
      </c>
      <c r="N1694" s="16" t="e">
        <f t="shared" si="3027"/>
        <v>#N/A</v>
      </c>
      <c r="O1694" s="16" t="s">
        <v>69</v>
      </c>
      <c r="P1694" s="16" t="str">
        <f t="shared" si="6"/>
        <v/>
      </c>
      <c r="Q1694" s="41" t="e">
        <f t="shared" si="3028"/>
        <v>#N/A</v>
      </c>
      <c r="R1694" s="44"/>
      <c r="S1694" s="44"/>
      <c r="T1694" s="43"/>
      <c r="U1694" s="43" t="str">
        <f t="shared" si="8"/>
        <v>No</v>
      </c>
      <c r="V1694" s="25"/>
      <c r="W1694" s="25"/>
      <c r="X1694" s="25"/>
      <c r="Y1694" s="25"/>
      <c r="Z1694" s="25"/>
    </row>
    <row r="1695" spans="1:26" ht="15.75" customHeight="1" x14ac:dyDescent="0.25">
      <c r="A1695" s="25">
        <v>1693</v>
      </c>
      <c r="B1695" s="37" t="e">
        <f t="shared" ref="B1695:D1695" si="3411">VLOOKUP($A1695,'[5]Integración Social'!$A$1:$O$233,B$1,0)</f>
        <v>#N/A</v>
      </c>
      <c r="C1695" s="38" t="e">
        <f t="shared" si="3411"/>
        <v>#N/A</v>
      </c>
      <c r="D1695" s="39" t="e">
        <f t="shared" si="3411"/>
        <v>#N/A</v>
      </c>
      <c r="E1695" s="16" t="e">
        <f t="shared" si="1"/>
        <v>#N/A</v>
      </c>
      <c r="F1695" s="16" t="e">
        <f t="shared" ref="F1695:K1695" si="3412">VLOOKUP($A1695,'[5]Integración Social'!$A$1:$O$233,F$1,0)</f>
        <v>#N/A</v>
      </c>
      <c r="G1695" s="39" t="e">
        <f t="shared" si="3412"/>
        <v>#N/A</v>
      </c>
      <c r="H1695" s="16" t="e">
        <f t="shared" si="3412"/>
        <v>#N/A</v>
      </c>
      <c r="I1695" s="16" t="e">
        <f t="shared" si="3412"/>
        <v>#N/A</v>
      </c>
      <c r="J1695" s="40" t="e">
        <f t="shared" si="3412"/>
        <v>#N/A</v>
      </c>
      <c r="K1695" s="16" t="e">
        <f t="shared" si="3412"/>
        <v>#N/A</v>
      </c>
      <c r="L1695" s="40" t="e">
        <f t="shared" si="3025"/>
        <v>#N/A</v>
      </c>
      <c r="M1695" s="16" t="e">
        <f t="shared" si="3026"/>
        <v>#N/A</v>
      </c>
      <c r="N1695" s="16" t="e">
        <f t="shared" si="3027"/>
        <v>#N/A</v>
      </c>
      <c r="O1695" s="16" t="s">
        <v>69</v>
      </c>
      <c r="P1695" s="16" t="str">
        <f t="shared" si="6"/>
        <v/>
      </c>
      <c r="Q1695" s="41" t="e">
        <f t="shared" si="3028"/>
        <v>#N/A</v>
      </c>
      <c r="R1695" s="44"/>
      <c r="S1695" s="44"/>
      <c r="T1695" s="43"/>
      <c r="U1695" s="43" t="str">
        <f t="shared" si="8"/>
        <v>No</v>
      </c>
      <c r="V1695" s="25"/>
      <c r="W1695" s="25"/>
      <c r="X1695" s="25"/>
      <c r="Y1695" s="25"/>
      <c r="Z1695" s="25"/>
    </row>
    <row r="1696" spans="1:26" ht="15.75" customHeight="1" x14ac:dyDescent="0.25">
      <c r="A1696" s="25">
        <v>1694</v>
      </c>
      <c r="B1696" s="37" t="e">
        <f t="shared" ref="B1696:D1696" si="3413">VLOOKUP($A1696,'[5]Integración Social'!$A$1:$O$233,B$1,0)</f>
        <v>#N/A</v>
      </c>
      <c r="C1696" s="38" t="e">
        <f t="shared" si="3413"/>
        <v>#N/A</v>
      </c>
      <c r="D1696" s="39" t="e">
        <f t="shared" si="3413"/>
        <v>#N/A</v>
      </c>
      <c r="E1696" s="16" t="e">
        <f t="shared" si="1"/>
        <v>#N/A</v>
      </c>
      <c r="F1696" s="16" t="e">
        <f t="shared" ref="F1696:K1696" si="3414">VLOOKUP($A1696,'[5]Integración Social'!$A$1:$O$233,F$1,0)</f>
        <v>#N/A</v>
      </c>
      <c r="G1696" s="39" t="e">
        <f t="shared" si="3414"/>
        <v>#N/A</v>
      </c>
      <c r="H1696" s="16" t="e">
        <f t="shared" si="3414"/>
        <v>#N/A</v>
      </c>
      <c r="I1696" s="16" t="e">
        <f t="shared" si="3414"/>
        <v>#N/A</v>
      </c>
      <c r="J1696" s="40" t="e">
        <f t="shared" si="3414"/>
        <v>#N/A</v>
      </c>
      <c r="K1696" s="16" t="e">
        <f t="shared" si="3414"/>
        <v>#N/A</v>
      </c>
      <c r="L1696" s="40" t="e">
        <f t="shared" si="3025"/>
        <v>#N/A</v>
      </c>
      <c r="M1696" s="16" t="e">
        <f t="shared" si="3026"/>
        <v>#N/A</v>
      </c>
      <c r="N1696" s="16" t="e">
        <f t="shared" si="3027"/>
        <v>#N/A</v>
      </c>
      <c r="O1696" s="16" t="s">
        <v>69</v>
      </c>
      <c r="P1696" s="16" t="str">
        <f t="shared" si="6"/>
        <v/>
      </c>
      <c r="Q1696" s="41" t="e">
        <f t="shared" si="3028"/>
        <v>#N/A</v>
      </c>
      <c r="R1696" s="44"/>
      <c r="S1696" s="44"/>
      <c r="T1696" s="43"/>
      <c r="U1696" s="43" t="str">
        <f t="shared" si="8"/>
        <v>No</v>
      </c>
      <c r="V1696" s="25"/>
      <c r="W1696" s="25"/>
      <c r="X1696" s="25"/>
      <c r="Y1696" s="25"/>
      <c r="Z1696" s="25"/>
    </row>
    <row r="1697" spans="1:26" ht="15.75" customHeight="1" x14ac:dyDescent="0.25">
      <c r="A1697" s="25">
        <v>1695</v>
      </c>
      <c r="B1697" s="37" t="e">
        <f t="shared" ref="B1697:D1697" si="3415">VLOOKUP($A1697,'[5]Integración Social'!$A$1:$O$233,B$1,0)</f>
        <v>#N/A</v>
      </c>
      <c r="C1697" s="38" t="e">
        <f t="shared" si="3415"/>
        <v>#N/A</v>
      </c>
      <c r="D1697" s="39" t="e">
        <f t="shared" si="3415"/>
        <v>#N/A</v>
      </c>
      <c r="E1697" s="16" t="e">
        <f t="shared" si="1"/>
        <v>#N/A</v>
      </c>
      <c r="F1697" s="16" t="e">
        <f t="shared" ref="F1697:K1697" si="3416">VLOOKUP($A1697,'[5]Integración Social'!$A$1:$O$233,F$1,0)</f>
        <v>#N/A</v>
      </c>
      <c r="G1697" s="39" t="e">
        <f t="shared" si="3416"/>
        <v>#N/A</v>
      </c>
      <c r="H1697" s="16" t="e">
        <f t="shared" si="3416"/>
        <v>#N/A</v>
      </c>
      <c r="I1697" s="16" t="e">
        <f t="shared" si="3416"/>
        <v>#N/A</v>
      </c>
      <c r="J1697" s="40" t="e">
        <f t="shared" si="3416"/>
        <v>#N/A</v>
      </c>
      <c r="K1697" s="16" t="e">
        <f t="shared" si="3416"/>
        <v>#N/A</v>
      </c>
      <c r="L1697" s="40" t="e">
        <f t="shared" si="3025"/>
        <v>#N/A</v>
      </c>
      <c r="M1697" s="16" t="e">
        <f t="shared" si="3026"/>
        <v>#N/A</v>
      </c>
      <c r="N1697" s="16" t="e">
        <f t="shared" si="3027"/>
        <v>#N/A</v>
      </c>
      <c r="O1697" s="16" t="s">
        <v>69</v>
      </c>
      <c r="P1697" s="16" t="str">
        <f t="shared" si="6"/>
        <v/>
      </c>
      <c r="Q1697" s="41" t="e">
        <f t="shared" si="3028"/>
        <v>#N/A</v>
      </c>
      <c r="R1697" s="44"/>
      <c r="S1697" s="44"/>
      <c r="T1697" s="43"/>
      <c r="U1697" s="43" t="str">
        <f t="shared" si="8"/>
        <v>No</v>
      </c>
      <c r="V1697" s="25"/>
      <c r="W1697" s="25"/>
      <c r="X1697" s="25"/>
      <c r="Y1697" s="25"/>
      <c r="Z1697" s="25"/>
    </row>
    <row r="1698" spans="1:26" ht="15.75" customHeight="1" x14ac:dyDescent="0.25">
      <c r="A1698" s="25">
        <v>1696</v>
      </c>
      <c r="B1698" s="37" t="e">
        <f t="shared" ref="B1698:D1698" si="3417">VLOOKUP($A1698,'[5]Integración Social'!$A$1:$O$233,B$1,0)</f>
        <v>#N/A</v>
      </c>
      <c r="C1698" s="38" t="e">
        <f t="shared" si="3417"/>
        <v>#N/A</v>
      </c>
      <c r="D1698" s="39" t="e">
        <f t="shared" si="3417"/>
        <v>#N/A</v>
      </c>
      <c r="E1698" s="16" t="e">
        <f t="shared" si="1"/>
        <v>#N/A</v>
      </c>
      <c r="F1698" s="16" t="e">
        <f t="shared" ref="F1698:K1698" si="3418">VLOOKUP($A1698,'[5]Integración Social'!$A$1:$O$233,F$1,0)</f>
        <v>#N/A</v>
      </c>
      <c r="G1698" s="39" t="e">
        <f t="shared" si="3418"/>
        <v>#N/A</v>
      </c>
      <c r="H1698" s="16" t="e">
        <f t="shared" si="3418"/>
        <v>#N/A</v>
      </c>
      <c r="I1698" s="16" t="e">
        <f t="shared" si="3418"/>
        <v>#N/A</v>
      </c>
      <c r="J1698" s="40" t="e">
        <f t="shared" si="3418"/>
        <v>#N/A</v>
      </c>
      <c r="K1698" s="16" t="e">
        <f t="shared" si="3418"/>
        <v>#N/A</v>
      </c>
      <c r="L1698" s="40" t="e">
        <f t="shared" si="3025"/>
        <v>#N/A</v>
      </c>
      <c r="M1698" s="16" t="e">
        <f t="shared" si="3026"/>
        <v>#N/A</v>
      </c>
      <c r="N1698" s="16" t="e">
        <f t="shared" si="3027"/>
        <v>#N/A</v>
      </c>
      <c r="O1698" s="16" t="s">
        <v>69</v>
      </c>
      <c r="P1698" s="16" t="str">
        <f t="shared" si="6"/>
        <v/>
      </c>
      <c r="Q1698" s="41" t="e">
        <f t="shared" si="3028"/>
        <v>#N/A</v>
      </c>
      <c r="R1698" s="44"/>
      <c r="S1698" s="44"/>
      <c r="T1698" s="43"/>
      <c r="U1698" s="43" t="str">
        <f t="shared" si="8"/>
        <v>No</v>
      </c>
      <c r="V1698" s="25"/>
      <c r="W1698" s="25"/>
      <c r="X1698" s="25"/>
      <c r="Y1698" s="25"/>
      <c r="Z1698" s="25"/>
    </row>
    <row r="1699" spans="1:26" ht="15.75" customHeight="1" x14ac:dyDescent="0.25">
      <c r="A1699" s="25">
        <v>1697</v>
      </c>
      <c r="B1699" s="37" t="e">
        <f t="shared" ref="B1699:D1699" si="3419">VLOOKUP($A1699,'[5]Integración Social'!$A$1:$O$233,B$1,0)</f>
        <v>#N/A</v>
      </c>
      <c r="C1699" s="38" t="e">
        <f t="shared" si="3419"/>
        <v>#N/A</v>
      </c>
      <c r="D1699" s="39" t="e">
        <f t="shared" si="3419"/>
        <v>#N/A</v>
      </c>
      <c r="E1699" s="16" t="e">
        <f t="shared" si="1"/>
        <v>#N/A</v>
      </c>
      <c r="F1699" s="16" t="e">
        <f t="shared" ref="F1699:K1699" si="3420">VLOOKUP($A1699,'[5]Integración Social'!$A$1:$O$233,F$1,0)</f>
        <v>#N/A</v>
      </c>
      <c r="G1699" s="39" t="e">
        <f t="shared" si="3420"/>
        <v>#N/A</v>
      </c>
      <c r="H1699" s="16" t="e">
        <f t="shared" si="3420"/>
        <v>#N/A</v>
      </c>
      <c r="I1699" s="16" t="e">
        <f t="shared" si="3420"/>
        <v>#N/A</v>
      </c>
      <c r="J1699" s="40" t="e">
        <f t="shared" si="3420"/>
        <v>#N/A</v>
      </c>
      <c r="K1699" s="16" t="e">
        <f t="shared" si="3420"/>
        <v>#N/A</v>
      </c>
      <c r="L1699" s="40" t="e">
        <f t="shared" si="3025"/>
        <v>#N/A</v>
      </c>
      <c r="M1699" s="16" t="e">
        <f t="shared" si="3026"/>
        <v>#N/A</v>
      </c>
      <c r="N1699" s="16" t="e">
        <f t="shared" si="3027"/>
        <v>#N/A</v>
      </c>
      <c r="O1699" s="16" t="s">
        <v>69</v>
      </c>
      <c r="P1699" s="16" t="str">
        <f t="shared" si="6"/>
        <v/>
      </c>
      <c r="Q1699" s="41" t="e">
        <f t="shared" si="3028"/>
        <v>#N/A</v>
      </c>
      <c r="R1699" s="44"/>
      <c r="S1699" s="44"/>
      <c r="T1699" s="43"/>
      <c r="U1699" s="43" t="str">
        <f t="shared" si="8"/>
        <v>No</v>
      </c>
      <c r="V1699" s="25"/>
      <c r="W1699" s="25"/>
      <c r="X1699" s="25"/>
      <c r="Y1699" s="25"/>
      <c r="Z1699" s="25"/>
    </row>
    <row r="1700" spans="1:26" ht="15.75" customHeight="1" x14ac:dyDescent="0.25">
      <c r="A1700" s="25">
        <v>1698</v>
      </c>
      <c r="B1700" s="37" t="e">
        <f t="shared" ref="B1700:D1700" si="3421">VLOOKUP($A1700,'[5]Integración Social'!$A$1:$O$233,B$1,0)</f>
        <v>#N/A</v>
      </c>
      <c r="C1700" s="38" t="e">
        <f t="shared" si="3421"/>
        <v>#N/A</v>
      </c>
      <c r="D1700" s="39" t="e">
        <f t="shared" si="3421"/>
        <v>#N/A</v>
      </c>
      <c r="E1700" s="16" t="e">
        <f t="shared" si="1"/>
        <v>#N/A</v>
      </c>
      <c r="F1700" s="16" t="e">
        <f t="shared" ref="F1700:K1700" si="3422">VLOOKUP($A1700,'[5]Integración Social'!$A$1:$O$233,F$1,0)</f>
        <v>#N/A</v>
      </c>
      <c r="G1700" s="39" t="e">
        <f t="shared" si="3422"/>
        <v>#N/A</v>
      </c>
      <c r="H1700" s="16" t="e">
        <f t="shared" si="3422"/>
        <v>#N/A</v>
      </c>
      <c r="I1700" s="16" t="e">
        <f t="shared" si="3422"/>
        <v>#N/A</v>
      </c>
      <c r="J1700" s="40" t="e">
        <f t="shared" si="3422"/>
        <v>#N/A</v>
      </c>
      <c r="K1700" s="16" t="e">
        <f t="shared" si="3422"/>
        <v>#N/A</v>
      </c>
      <c r="L1700" s="40" t="e">
        <f t="shared" si="3025"/>
        <v>#N/A</v>
      </c>
      <c r="M1700" s="16" t="e">
        <f t="shared" si="3026"/>
        <v>#N/A</v>
      </c>
      <c r="N1700" s="16" t="e">
        <f t="shared" si="3027"/>
        <v>#N/A</v>
      </c>
      <c r="O1700" s="16" t="s">
        <v>69</v>
      </c>
      <c r="P1700" s="16" t="str">
        <f t="shared" si="6"/>
        <v/>
      </c>
      <c r="Q1700" s="41" t="e">
        <f t="shared" si="3028"/>
        <v>#N/A</v>
      </c>
      <c r="R1700" s="44"/>
      <c r="S1700" s="44"/>
      <c r="T1700" s="43"/>
      <c r="U1700" s="43" t="str">
        <f t="shared" si="8"/>
        <v>No</v>
      </c>
      <c r="V1700" s="25"/>
      <c r="W1700" s="25"/>
      <c r="X1700" s="25"/>
      <c r="Y1700" s="25"/>
      <c r="Z1700" s="25"/>
    </row>
    <row r="1701" spans="1:26" ht="15.75" customHeight="1" x14ac:dyDescent="0.25">
      <c r="A1701" s="25">
        <v>1699</v>
      </c>
      <c r="B1701" s="37" t="e">
        <f t="shared" ref="B1701:D1701" si="3423">VLOOKUP($A1701,'[5]Integración Social'!$A$1:$O$233,B$1,0)</f>
        <v>#N/A</v>
      </c>
      <c r="C1701" s="38" t="e">
        <f t="shared" si="3423"/>
        <v>#N/A</v>
      </c>
      <c r="D1701" s="39" t="e">
        <f t="shared" si="3423"/>
        <v>#N/A</v>
      </c>
      <c r="E1701" s="16" t="e">
        <f t="shared" si="1"/>
        <v>#N/A</v>
      </c>
      <c r="F1701" s="16" t="e">
        <f t="shared" ref="F1701:K1701" si="3424">VLOOKUP($A1701,'[5]Integración Social'!$A$1:$O$233,F$1,0)</f>
        <v>#N/A</v>
      </c>
      <c r="G1701" s="39" t="e">
        <f t="shared" si="3424"/>
        <v>#N/A</v>
      </c>
      <c r="H1701" s="16" t="e">
        <f t="shared" si="3424"/>
        <v>#N/A</v>
      </c>
      <c r="I1701" s="16" t="e">
        <f t="shared" si="3424"/>
        <v>#N/A</v>
      </c>
      <c r="J1701" s="40" t="e">
        <f t="shared" si="3424"/>
        <v>#N/A</v>
      </c>
      <c r="K1701" s="16" t="e">
        <f t="shared" si="3424"/>
        <v>#N/A</v>
      </c>
      <c r="L1701" s="40" t="e">
        <f t="shared" si="3025"/>
        <v>#N/A</v>
      </c>
      <c r="M1701" s="16" t="e">
        <f t="shared" si="3026"/>
        <v>#N/A</v>
      </c>
      <c r="N1701" s="16" t="e">
        <f t="shared" si="3027"/>
        <v>#N/A</v>
      </c>
      <c r="O1701" s="16" t="s">
        <v>69</v>
      </c>
      <c r="P1701" s="16" t="str">
        <f t="shared" si="6"/>
        <v/>
      </c>
      <c r="Q1701" s="41" t="e">
        <f t="shared" si="3028"/>
        <v>#N/A</v>
      </c>
      <c r="R1701" s="44"/>
      <c r="S1701" s="44"/>
      <c r="T1701" s="43"/>
      <c r="U1701" s="43" t="str">
        <f t="shared" si="8"/>
        <v>No</v>
      </c>
      <c r="V1701" s="25"/>
      <c r="W1701" s="25"/>
      <c r="X1701" s="25"/>
      <c r="Y1701" s="25"/>
      <c r="Z1701" s="25"/>
    </row>
    <row r="1702" spans="1:26" ht="15.75" customHeight="1" x14ac:dyDescent="0.25">
      <c r="A1702" s="25">
        <v>1700</v>
      </c>
      <c r="B1702" s="37" t="e">
        <f t="shared" ref="B1702:D1702" si="3425">VLOOKUP($A1702,'[5]Integración Social'!$A$1:$O$233,B$1,0)</f>
        <v>#N/A</v>
      </c>
      <c r="C1702" s="38" t="e">
        <f t="shared" si="3425"/>
        <v>#N/A</v>
      </c>
      <c r="D1702" s="39" t="e">
        <f t="shared" si="3425"/>
        <v>#N/A</v>
      </c>
      <c r="E1702" s="16" t="e">
        <f t="shared" si="1"/>
        <v>#N/A</v>
      </c>
      <c r="F1702" s="16" t="e">
        <f t="shared" ref="F1702:K1702" si="3426">VLOOKUP($A1702,'[5]Integración Social'!$A$1:$O$233,F$1,0)</f>
        <v>#N/A</v>
      </c>
      <c r="G1702" s="39" t="e">
        <f t="shared" si="3426"/>
        <v>#N/A</v>
      </c>
      <c r="H1702" s="16" t="e">
        <f t="shared" si="3426"/>
        <v>#N/A</v>
      </c>
      <c r="I1702" s="16" t="e">
        <f t="shared" si="3426"/>
        <v>#N/A</v>
      </c>
      <c r="J1702" s="40" t="e">
        <f t="shared" si="3426"/>
        <v>#N/A</v>
      </c>
      <c r="K1702" s="16" t="e">
        <f t="shared" si="3426"/>
        <v>#N/A</v>
      </c>
      <c r="L1702" s="40" t="e">
        <f t="shared" si="3025"/>
        <v>#N/A</v>
      </c>
      <c r="M1702" s="16" t="e">
        <f t="shared" si="3026"/>
        <v>#N/A</v>
      </c>
      <c r="N1702" s="16" t="e">
        <f t="shared" si="3027"/>
        <v>#N/A</v>
      </c>
      <c r="O1702" s="16" t="s">
        <v>69</v>
      </c>
      <c r="P1702" s="16" t="str">
        <f t="shared" si="6"/>
        <v/>
      </c>
      <c r="Q1702" s="41" t="e">
        <f t="shared" si="3028"/>
        <v>#N/A</v>
      </c>
      <c r="R1702" s="44"/>
      <c r="S1702" s="44"/>
      <c r="T1702" s="43"/>
      <c r="U1702" s="43" t="str">
        <f t="shared" si="8"/>
        <v>No</v>
      </c>
      <c r="V1702" s="25"/>
      <c r="W1702" s="25"/>
      <c r="X1702" s="25"/>
      <c r="Y1702" s="25"/>
      <c r="Z1702" s="25"/>
    </row>
    <row r="1703" spans="1:26" ht="15.75" customHeight="1" x14ac:dyDescent="0.25">
      <c r="A1703" s="25">
        <v>1701</v>
      </c>
      <c r="B1703" s="37" t="e">
        <f t="shared" ref="B1703:D1703" si="3427">VLOOKUP($A1703,'[5]Integración Social'!$A$1:$O$233,B$1,0)</f>
        <v>#N/A</v>
      </c>
      <c r="C1703" s="38" t="e">
        <f t="shared" si="3427"/>
        <v>#N/A</v>
      </c>
      <c r="D1703" s="39" t="e">
        <f t="shared" si="3427"/>
        <v>#N/A</v>
      </c>
      <c r="E1703" s="16" t="e">
        <f t="shared" si="1"/>
        <v>#N/A</v>
      </c>
      <c r="F1703" s="16" t="e">
        <f t="shared" ref="F1703:K1703" si="3428">VLOOKUP($A1703,'[5]Integración Social'!$A$1:$O$233,F$1,0)</f>
        <v>#N/A</v>
      </c>
      <c r="G1703" s="39" t="e">
        <f t="shared" si="3428"/>
        <v>#N/A</v>
      </c>
      <c r="H1703" s="16" t="e">
        <f t="shared" si="3428"/>
        <v>#N/A</v>
      </c>
      <c r="I1703" s="16" t="e">
        <f t="shared" si="3428"/>
        <v>#N/A</v>
      </c>
      <c r="J1703" s="40" t="e">
        <f t="shared" si="3428"/>
        <v>#N/A</v>
      </c>
      <c r="K1703" s="16" t="e">
        <f t="shared" si="3428"/>
        <v>#N/A</v>
      </c>
      <c r="L1703" s="40" t="e">
        <f t="shared" si="3025"/>
        <v>#N/A</v>
      </c>
      <c r="M1703" s="16" t="e">
        <f t="shared" si="3026"/>
        <v>#N/A</v>
      </c>
      <c r="N1703" s="16" t="e">
        <f t="shared" si="3027"/>
        <v>#N/A</v>
      </c>
      <c r="O1703" s="16" t="s">
        <v>69</v>
      </c>
      <c r="P1703" s="16" t="str">
        <f t="shared" si="6"/>
        <v/>
      </c>
      <c r="Q1703" s="41" t="e">
        <f t="shared" si="3028"/>
        <v>#N/A</v>
      </c>
      <c r="R1703" s="44"/>
      <c r="S1703" s="44"/>
      <c r="T1703" s="43"/>
      <c r="U1703" s="43" t="str">
        <f t="shared" si="8"/>
        <v>No</v>
      </c>
      <c r="V1703" s="25"/>
      <c r="W1703" s="25"/>
      <c r="X1703" s="25"/>
      <c r="Y1703" s="25"/>
      <c r="Z1703" s="25"/>
    </row>
    <row r="1704" spans="1:26" ht="15.75" customHeight="1" x14ac:dyDescent="0.25">
      <c r="A1704" s="25">
        <v>1702</v>
      </c>
      <c r="B1704" s="37" t="e">
        <f t="shared" ref="B1704:D1704" si="3429">VLOOKUP($A1704,'[5]Integración Social'!$A$1:$O$233,B$1,0)</f>
        <v>#N/A</v>
      </c>
      <c r="C1704" s="38" t="e">
        <f t="shared" si="3429"/>
        <v>#N/A</v>
      </c>
      <c r="D1704" s="39" t="e">
        <f t="shared" si="3429"/>
        <v>#N/A</v>
      </c>
      <c r="E1704" s="16" t="e">
        <f t="shared" si="1"/>
        <v>#N/A</v>
      </c>
      <c r="F1704" s="16" t="e">
        <f t="shared" ref="F1704:K1704" si="3430">VLOOKUP($A1704,'[5]Integración Social'!$A$1:$O$233,F$1,0)</f>
        <v>#N/A</v>
      </c>
      <c r="G1704" s="39" t="e">
        <f t="shared" si="3430"/>
        <v>#N/A</v>
      </c>
      <c r="H1704" s="16" t="e">
        <f t="shared" si="3430"/>
        <v>#N/A</v>
      </c>
      <c r="I1704" s="16" t="e">
        <f t="shared" si="3430"/>
        <v>#N/A</v>
      </c>
      <c r="J1704" s="40" t="e">
        <f t="shared" si="3430"/>
        <v>#N/A</v>
      </c>
      <c r="K1704" s="16" t="e">
        <f t="shared" si="3430"/>
        <v>#N/A</v>
      </c>
      <c r="L1704" s="40" t="e">
        <f t="shared" si="3025"/>
        <v>#N/A</v>
      </c>
      <c r="M1704" s="16" t="e">
        <f t="shared" si="3026"/>
        <v>#N/A</v>
      </c>
      <c r="N1704" s="16" t="e">
        <f t="shared" si="3027"/>
        <v>#N/A</v>
      </c>
      <c r="O1704" s="16" t="s">
        <v>69</v>
      </c>
      <c r="P1704" s="16" t="str">
        <f t="shared" si="6"/>
        <v/>
      </c>
      <c r="Q1704" s="41" t="e">
        <f t="shared" si="3028"/>
        <v>#N/A</v>
      </c>
      <c r="R1704" s="44"/>
      <c r="S1704" s="44"/>
      <c r="T1704" s="43"/>
      <c r="U1704" s="43" t="str">
        <f t="shared" si="8"/>
        <v>No</v>
      </c>
      <c r="V1704" s="25"/>
      <c r="W1704" s="25"/>
      <c r="X1704" s="25"/>
      <c r="Y1704" s="25"/>
      <c r="Z1704" s="25"/>
    </row>
    <row r="1705" spans="1:26" ht="15.75" customHeight="1" x14ac:dyDescent="0.25">
      <c r="A1705" s="25">
        <v>1703</v>
      </c>
      <c r="B1705" s="37" t="e">
        <f t="shared" ref="B1705:D1705" si="3431">VLOOKUP($A1705,'[5]Integración Social'!$A$1:$O$233,B$1,0)</f>
        <v>#N/A</v>
      </c>
      <c r="C1705" s="38" t="e">
        <f t="shared" si="3431"/>
        <v>#N/A</v>
      </c>
      <c r="D1705" s="39" t="e">
        <f t="shared" si="3431"/>
        <v>#N/A</v>
      </c>
      <c r="E1705" s="16" t="e">
        <f t="shared" si="1"/>
        <v>#N/A</v>
      </c>
      <c r="F1705" s="16" t="e">
        <f t="shared" ref="F1705:K1705" si="3432">VLOOKUP($A1705,'[5]Integración Social'!$A$1:$O$233,F$1,0)</f>
        <v>#N/A</v>
      </c>
      <c r="G1705" s="39" t="e">
        <f t="shared" si="3432"/>
        <v>#N/A</v>
      </c>
      <c r="H1705" s="16" t="e">
        <f t="shared" si="3432"/>
        <v>#N/A</v>
      </c>
      <c r="I1705" s="16" t="e">
        <f t="shared" si="3432"/>
        <v>#N/A</v>
      </c>
      <c r="J1705" s="40" t="e">
        <f t="shared" si="3432"/>
        <v>#N/A</v>
      </c>
      <c r="K1705" s="16" t="e">
        <f t="shared" si="3432"/>
        <v>#N/A</v>
      </c>
      <c r="L1705" s="40" t="e">
        <f t="shared" si="3025"/>
        <v>#N/A</v>
      </c>
      <c r="M1705" s="16" t="e">
        <f t="shared" si="3026"/>
        <v>#N/A</v>
      </c>
      <c r="N1705" s="16" t="e">
        <f t="shared" si="3027"/>
        <v>#N/A</v>
      </c>
      <c r="O1705" s="16" t="s">
        <v>69</v>
      </c>
      <c r="P1705" s="16" t="str">
        <f t="shared" si="6"/>
        <v/>
      </c>
      <c r="Q1705" s="41" t="e">
        <f t="shared" si="3028"/>
        <v>#N/A</v>
      </c>
      <c r="R1705" s="44"/>
      <c r="S1705" s="44"/>
      <c r="T1705" s="43"/>
      <c r="U1705" s="43" t="str">
        <f t="shared" si="8"/>
        <v>No</v>
      </c>
      <c r="V1705" s="25"/>
      <c r="W1705" s="25"/>
      <c r="X1705" s="25"/>
      <c r="Y1705" s="25"/>
      <c r="Z1705" s="25"/>
    </row>
    <row r="1706" spans="1:26" ht="15.75" customHeight="1" x14ac:dyDescent="0.25">
      <c r="A1706" s="25">
        <v>1704</v>
      </c>
      <c r="B1706" s="37" t="e">
        <f t="shared" ref="B1706:D1706" si="3433">VLOOKUP($A1706,'[5]Integración Social'!$A$1:$O$233,B$1,0)</f>
        <v>#N/A</v>
      </c>
      <c r="C1706" s="38" t="e">
        <f t="shared" si="3433"/>
        <v>#N/A</v>
      </c>
      <c r="D1706" s="39" t="e">
        <f t="shared" si="3433"/>
        <v>#N/A</v>
      </c>
      <c r="E1706" s="16" t="e">
        <f t="shared" si="1"/>
        <v>#N/A</v>
      </c>
      <c r="F1706" s="16" t="e">
        <f t="shared" ref="F1706:K1706" si="3434">VLOOKUP($A1706,'[5]Integración Social'!$A$1:$O$233,F$1,0)</f>
        <v>#N/A</v>
      </c>
      <c r="G1706" s="39" t="e">
        <f t="shared" si="3434"/>
        <v>#N/A</v>
      </c>
      <c r="H1706" s="16" t="e">
        <f t="shared" si="3434"/>
        <v>#N/A</v>
      </c>
      <c r="I1706" s="16" t="e">
        <f t="shared" si="3434"/>
        <v>#N/A</v>
      </c>
      <c r="J1706" s="40" t="e">
        <f t="shared" si="3434"/>
        <v>#N/A</v>
      </c>
      <c r="K1706" s="16" t="e">
        <f t="shared" si="3434"/>
        <v>#N/A</v>
      </c>
      <c r="L1706" s="40" t="e">
        <f t="shared" si="3025"/>
        <v>#N/A</v>
      </c>
      <c r="M1706" s="16" t="e">
        <f t="shared" si="3026"/>
        <v>#N/A</v>
      </c>
      <c r="N1706" s="16" t="e">
        <f t="shared" si="3027"/>
        <v>#N/A</v>
      </c>
      <c r="O1706" s="16" t="s">
        <v>69</v>
      </c>
      <c r="P1706" s="16" t="str">
        <f t="shared" si="6"/>
        <v/>
      </c>
      <c r="Q1706" s="41" t="e">
        <f t="shared" si="3028"/>
        <v>#N/A</v>
      </c>
      <c r="R1706" s="44"/>
      <c r="S1706" s="44"/>
      <c r="T1706" s="43"/>
      <c r="U1706" s="43" t="str">
        <f t="shared" si="8"/>
        <v>No</v>
      </c>
      <c r="V1706" s="25"/>
      <c r="W1706" s="25"/>
      <c r="X1706" s="25"/>
      <c r="Y1706" s="25"/>
      <c r="Z1706" s="25"/>
    </row>
    <row r="1707" spans="1:26" ht="15.75" customHeight="1" x14ac:dyDescent="0.25">
      <c r="A1707" s="25">
        <v>1705</v>
      </c>
      <c r="B1707" s="37" t="e">
        <f t="shared" ref="B1707:D1707" si="3435">VLOOKUP($A1707,'[5]Integración Social'!$A$1:$O$233,B$1,0)</f>
        <v>#N/A</v>
      </c>
      <c r="C1707" s="38" t="e">
        <f t="shared" si="3435"/>
        <v>#N/A</v>
      </c>
      <c r="D1707" s="39" t="e">
        <f t="shared" si="3435"/>
        <v>#N/A</v>
      </c>
      <c r="E1707" s="16" t="e">
        <f t="shared" si="1"/>
        <v>#N/A</v>
      </c>
      <c r="F1707" s="16" t="e">
        <f t="shared" ref="F1707:K1707" si="3436">VLOOKUP($A1707,'[5]Integración Social'!$A$1:$O$233,F$1,0)</f>
        <v>#N/A</v>
      </c>
      <c r="G1707" s="39" t="e">
        <f t="shared" si="3436"/>
        <v>#N/A</v>
      </c>
      <c r="H1707" s="16" t="e">
        <f t="shared" si="3436"/>
        <v>#N/A</v>
      </c>
      <c r="I1707" s="16" t="e">
        <f t="shared" si="3436"/>
        <v>#N/A</v>
      </c>
      <c r="J1707" s="40" t="e">
        <f t="shared" si="3436"/>
        <v>#N/A</v>
      </c>
      <c r="K1707" s="16" t="e">
        <f t="shared" si="3436"/>
        <v>#N/A</v>
      </c>
      <c r="L1707" s="40" t="e">
        <f t="shared" si="3025"/>
        <v>#N/A</v>
      </c>
      <c r="M1707" s="16" t="e">
        <f t="shared" si="3026"/>
        <v>#N/A</v>
      </c>
      <c r="N1707" s="16" t="e">
        <f t="shared" si="3027"/>
        <v>#N/A</v>
      </c>
      <c r="O1707" s="16" t="s">
        <v>69</v>
      </c>
      <c r="P1707" s="16" t="str">
        <f t="shared" si="6"/>
        <v/>
      </c>
      <c r="Q1707" s="41" t="e">
        <f t="shared" si="3028"/>
        <v>#N/A</v>
      </c>
      <c r="R1707" s="44"/>
      <c r="S1707" s="44"/>
      <c r="T1707" s="43"/>
      <c r="U1707" s="43" t="str">
        <f t="shared" si="8"/>
        <v>No</v>
      </c>
      <c r="V1707" s="25"/>
      <c r="W1707" s="25"/>
      <c r="X1707" s="25"/>
      <c r="Y1707" s="25"/>
      <c r="Z1707" s="25"/>
    </row>
    <row r="1708" spans="1:26" ht="15.75" customHeight="1" x14ac:dyDescent="0.25">
      <c r="A1708" s="25">
        <v>1706</v>
      </c>
      <c r="B1708" s="37" t="e">
        <f t="shared" ref="B1708:D1708" si="3437">VLOOKUP($A1708,'[5]Integración Social'!$A$1:$O$233,B$1,0)</f>
        <v>#N/A</v>
      </c>
      <c r="C1708" s="38" t="e">
        <f t="shared" si="3437"/>
        <v>#N/A</v>
      </c>
      <c r="D1708" s="39" t="e">
        <f t="shared" si="3437"/>
        <v>#N/A</v>
      </c>
      <c r="E1708" s="16" t="e">
        <f t="shared" si="1"/>
        <v>#N/A</v>
      </c>
      <c r="F1708" s="16" t="e">
        <f t="shared" ref="F1708:K1708" si="3438">VLOOKUP($A1708,'[5]Integración Social'!$A$1:$O$233,F$1,0)</f>
        <v>#N/A</v>
      </c>
      <c r="G1708" s="39" t="e">
        <f t="shared" si="3438"/>
        <v>#N/A</v>
      </c>
      <c r="H1708" s="16" t="e">
        <f t="shared" si="3438"/>
        <v>#N/A</v>
      </c>
      <c r="I1708" s="16" t="e">
        <f t="shared" si="3438"/>
        <v>#N/A</v>
      </c>
      <c r="J1708" s="40" t="e">
        <f t="shared" si="3438"/>
        <v>#N/A</v>
      </c>
      <c r="K1708" s="16" t="e">
        <f t="shared" si="3438"/>
        <v>#N/A</v>
      </c>
      <c r="L1708" s="40" t="e">
        <f t="shared" si="3025"/>
        <v>#N/A</v>
      </c>
      <c r="M1708" s="16" t="e">
        <f t="shared" si="3026"/>
        <v>#N/A</v>
      </c>
      <c r="N1708" s="16" t="e">
        <f t="shared" si="3027"/>
        <v>#N/A</v>
      </c>
      <c r="O1708" s="16" t="s">
        <v>69</v>
      </c>
      <c r="P1708" s="16" t="str">
        <f t="shared" si="6"/>
        <v/>
      </c>
      <c r="Q1708" s="41" t="e">
        <f t="shared" si="3028"/>
        <v>#N/A</v>
      </c>
      <c r="R1708" s="44"/>
      <c r="S1708" s="44"/>
      <c r="T1708" s="43"/>
      <c r="U1708" s="43" t="str">
        <f t="shared" si="8"/>
        <v>No</v>
      </c>
      <c r="V1708" s="25"/>
      <c r="W1708" s="25"/>
      <c r="X1708" s="25"/>
      <c r="Y1708" s="25"/>
      <c r="Z1708" s="25"/>
    </row>
    <row r="1709" spans="1:26" ht="15.75" customHeight="1" x14ac:dyDescent="0.25">
      <c r="A1709" s="25">
        <v>1707</v>
      </c>
      <c r="B1709" s="37" t="e">
        <f t="shared" ref="B1709:D1709" si="3439">VLOOKUP($A1709,'[5]Integración Social'!$A$1:$O$233,B$1,0)</f>
        <v>#N/A</v>
      </c>
      <c r="C1709" s="38" t="e">
        <f t="shared" si="3439"/>
        <v>#N/A</v>
      </c>
      <c r="D1709" s="39" t="e">
        <f t="shared" si="3439"/>
        <v>#N/A</v>
      </c>
      <c r="E1709" s="16" t="e">
        <f t="shared" si="1"/>
        <v>#N/A</v>
      </c>
      <c r="F1709" s="16" t="e">
        <f t="shared" ref="F1709:K1709" si="3440">VLOOKUP($A1709,'[5]Integración Social'!$A$1:$O$233,F$1,0)</f>
        <v>#N/A</v>
      </c>
      <c r="G1709" s="39" t="e">
        <f t="shared" si="3440"/>
        <v>#N/A</v>
      </c>
      <c r="H1709" s="16" t="e">
        <f t="shared" si="3440"/>
        <v>#N/A</v>
      </c>
      <c r="I1709" s="16" t="e">
        <f t="shared" si="3440"/>
        <v>#N/A</v>
      </c>
      <c r="J1709" s="40" t="e">
        <f t="shared" si="3440"/>
        <v>#N/A</v>
      </c>
      <c r="K1709" s="16" t="e">
        <f t="shared" si="3440"/>
        <v>#N/A</v>
      </c>
      <c r="L1709" s="40" t="e">
        <f t="shared" si="3025"/>
        <v>#N/A</v>
      </c>
      <c r="M1709" s="16" t="e">
        <f t="shared" si="3026"/>
        <v>#N/A</v>
      </c>
      <c r="N1709" s="16" t="e">
        <f t="shared" si="3027"/>
        <v>#N/A</v>
      </c>
      <c r="O1709" s="16" t="s">
        <v>69</v>
      </c>
      <c r="P1709" s="16" t="str">
        <f t="shared" si="6"/>
        <v/>
      </c>
      <c r="Q1709" s="41" t="e">
        <f t="shared" si="3028"/>
        <v>#N/A</v>
      </c>
      <c r="R1709" s="44"/>
      <c r="S1709" s="44"/>
      <c r="T1709" s="43"/>
      <c r="U1709" s="43" t="str">
        <f t="shared" si="8"/>
        <v>No</v>
      </c>
      <c r="V1709" s="25"/>
      <c r="W1709" s="25"/>
      <c r="X1709" s="25"/>
      <c r="Y1709" s="25"/>
      <c r="Z1709" s="25"/>
    </row>
    <row r="1710" spans="1:26" ht="15.75" customHeight="1" x14ac:dyDescent="0.25">
      <c r="A1710" s="25">
        <v>1708</v>
      </c>
      <c r="B1710" s="37" t="e">
        <f t="shared" ref="B1710:D1710" si="3441">VLOOKUP($A1710,'[5]Integración Social'!$A$1:$O$233,B$1,0)</f>
        <v>#N/A</v>
      </c>
      <c r="C1710" s="38" t="e">
        <f t="shared" si="3441"/>
        <v>#N/A</v>
      </c>
      <c r="D1710" s="39" t="e">
        <f t="shared" si="3441"/>
        <v>#N/A</v>
      </c>
      <c r="E1710" s="16" t="e">
        <f t="shared" si="1"/>
        <v>#N/A</v>
      </c>
      <c r="F1710" s="16" t="e">
        <f t="shared" ref="F1710:K1710" si="3442">VLOOKUP($A1710,'[5]Integración Social'!$A$1:$O$233,F$1,0)</f>
        <v>#N/A</v>
      </c>
      <c r="G1710" s="39" t="e">
        <f t="shared" si="3442"/>
        <v>#N/A</v>
      </c>
      <c r="H1710" s="16" t="e">
        <f t="shared" si="3442"/>
        <v>#N/A</v>
      </c>
      <c r="I1710" s="16" t="e">
        <f t="shared" si="3442"/>
        <v>#N/A</v>
      </c>
      <c r="J1710" s="40" t="e">
        <f t="shared" si="3442"/>
        <v>#N/A</v>
      </c>
      <c r="K1710" s="16" t="e">
        <f t="shared" si="3442"/>
        <v>#N/A</v>
      </c>
      <c r="L1710" s="40" t="e">
        <f t="shared" si="3025"/>
        <v>#N/A</v>
      </c>
      <c r="M1710" s="16" t="e">
        <f t="shared" si="3026"/>
        <v>#N/A</v>
      </c>
      <c r="N1710" s="16" t="e">
        <f t="shared" si="3027"/>
        <v>#N/A</v>
      </c>
      <c r="O1710" s="16" t="s">
        <v>69</v>
      </c>
      <c r="P1710" s="16" t="str">
        <f t="shared" si="6"/>
        <v/>
      </c>
      <c r="Q1710" s="41" t="e">
        <f t="shared" si="3028"/>
        <v>#N/A</v>
      </c>
      <c r="R1710" s="44"/>
      <c r="S1710" s="44"/>
      <c r="T1710" s="43"/>
      <c r="U1710" s="43" t="str">
        <f t="shared" si="8"/>
        <v>No</v>
      </c>
      <c r="V1710" s="25"/>
      <c r="W1710" s="25"/>
      <c r="X1710" s="25"/>
      <c r="Y1710" s="25"/>
      <c r="Z1710" s="25"/>
    </row>
    <row r="1711" spans="1:26" ht="15.75" customHeight="1" x14ac:dyDescent="0.25">
      <c r="A1711" s="25">
        <v>1709</v>
      </c>
      <c r="B1711" s="37" t="e">
        <f t="shared" ref="B1711:D1711" si="3443">VLOOKUP($A1711,'[5]Integración Social'!$A$1:$O$233,B$1,0)</f>
        <v>#N/A</v>
      </c>
      <c r="C1711" s="38" t="e">
        <f t="shared" si="3443"/>
        <v>#N/A</v>
      </c>
      <c r="D1711" s="39" t="e">
        <f t="shared" si="3443"/>
        <v>#N/A</v>
      </c>
      <c r="E1711" s="16" t="e">
        <f t="shared" si="1"/>
        <v>#N/A</v>
      </c>
      <c r="F1711" s="16" t="e">
        <f t="shared" ref="F1711:K1711" si="3444">VLOOKUP($A1711,'[5]Integración Social'!$A$1:$O$233,F$1,0)</f>
        <v>#N/A</v>
      </c>
      <c r="G1711" s="39" t="e">
        <f t="shared" si="3444"/>
        <v>#N/A</v>
      </c>
      <c r="H1711" s="16" t="e">
        <f t="shared" si="3444"/>
        <v>#N/A</v>
      </c>
      <c r="I1711" s="16" t="e">
        <f t="shared" si="3444"/>
        <v>#N/A</v>
      </c>
      <c r="J1711" s="40" t="e">
        <f t="shared" si="3444"/>
        <v>#N/A</v>
      </c>
      <c r="K1711" s="16" t="e">
        <f t="shared" si="3444"/>
        <v>#N/A</v>
      </c>
      <c r="L1711" s="40" t="e">
        <f t="shared" si="3025"/>
        <v>#N/A</v>
      </c>
      <c r="M1711" s="16" t="e">
        <f t="shared" si="3026"/>
        <v>#N/A</v>
      </c>
      <c r="N1711" s="16" t="e">
        <f t="shared" si="3027"/>
        <v>#N/A</v>
      </c>
      <c r="O1711" s="16" t="s">
        <v>69</v>
      </c>
      <c r="P1711" s="16" t="str">
        <f t="shared" si="6"/>
        <v/>
      </c>
      <c r="Q1711" s="41" t="e">
        <f t="shared" si="3028"/>
        <v>#N/A</v>
      </c>
      <c r="R1711" s="44"/>
      <c r="S1711" s="44"/>
      <c r="T1711" s="43"/>
      <c r="U1711" s="43" t="str">
        <f t="shared" si="8"/>
        <v>No</v>
      </c>
      <c r="V1711" s="25"/>
      <c r="W1711" s="25"/>
      <c r="X1711" s="25"/>
      <c r="Y1711" s="25"/>
      <c r="Z1711" s="25"/>
    </row>
    <row r="1712" spans="1:26" ht="15.75" customHeight="1" x14ac:dyDescent="0.25">
      <c r="A1712" s="25">
        <v>1710</v>
      </c>
      <c r="B1712" s="37" t="e">
        <f t="shared" ref="B1712:D1712" si="3445">VLOOKUP($A1712,'[5]Integración Social'!$A$1:$O$233,B$1,0)</f>
        <v>#N/A</v>
      </c>
      <c r="C1712" s="38" t="e">
        <f t="shared" si="3445"/>
        <v>#N/A</v>
      </c>
      <c r="D1712" s="39" t="e">
        <f t="shared" si="3445"/>
        <v>#N/A</v>
      </c>
      <c r="E1712" s="16" t="e">
        <f t="shared" si="1"/>
        <v>#N/A</v>
      </c>
      <c r="F1712" s="16" t="e">
        <f t="shared" ref="F1712:K1712" si="3446">VLOOKUP($A1712,'[5]Integración Social'!$A$1:$O$233,F$1,0)</f>
        <v>#N/A</v>
      </c>
      <c r="G1712" s="39" t="e">
        <f t="shared" si="3446"/>
        <v>#N/A</v>
      </c>
      <c r="H1712" s="16" t="e">
        <f t="shared" si="3446"/>
        <v>#N/A</v>
      </c>
      <c r="I1712" s="16" t="e">
        <f t="shared" si="3446"/>
        <v>#N/A</v>
      </c>
      <c r="J1712" s="40" t="e">
        <f t="shared" si="3446"/>
        <v>#N/A</v>
      </c>
      <c r="K1712" s="16" t="e">
        <f t="shared" si="3446"/>
        <v>#N/A</v>
      </c>
      <c r="L1712" s="40" t="e">
        <f t="shared" si="3025"/>
        <v>#N/A</v>
      </c>
      <c r="M1712" s="16" t="e">
        <f t="shared" si="3026"/>
        <v>#N/A</v>
      </c>
      <c r="N1712" s="16" t="e">
        <f t="shared" si="3027"/>
        <v>#N/A</v>
      </c>
      <c r="O1712" s="16" t="s">
        <v>69</v>
      </c>
      <c r="P1712" s="16" t="str">
        <f t="shared" si="6"/>
        <v/>
      </c>
      <c r="Q1712" s="41" t="e">
        <f t="shared" si="3028"/>
        <v>#N/A</v>
      </c>
      <c r="R1712" s="44"/>
      <c r="S1712" s="44"/>
      <c r="T1712" s="43"/>
      <c r="U1712" s="43" t="str">
        <f t="shared" si="8"/>
        <v>No</v>
      </c>
      <c r="V1712" s="25"/>
      <c r="W1712" s="25"/>
      <c r="X1712" s="25"/>
      <c r="Y1712" s="25"/>
      <c r="Z1712" s="25"/>
    </row>
    <row r="1713" spans="1:26" ht="15.75" customHeight="1" x14ac:dyDescent="0.25">
      <c r="A1713" s="25">
        <v>1711</v>
      </c>
      <c r="B1713" s="37" t="e">
        <f t="shared" ref="B1713:D1713" si="3447">VLOOKUP($A1713,'[5]Integración Social'!$A$1:$O$233,B$1,0)</f>
        <v>#N/A</v>
      </c>
      <c r="C1713" s="38" t="e">
        <f t="shared" si="3447"/>
        <v>#N/A</v>
      </c>
      <c r="D1713" s="39" t="e">
        <f t="shared" si="3447"/>
        <v>#N/A</v>
      </c>
      <c r="E1713" s="16" t="e">
        <f t="shared" si="1"/>
        <v>#N/A</v>
      </c>
      <c r="F1713" s="16" t="e">
        <f t="shared" ref="F1713:K1713" si="3448">VLOOKUP($A1713,'[5]Integración Social'!$A$1:$O$233,F$1,0)</f>
        <v>#N/A</v>
      </c>
      <c r="G1713" s="39" t="e">
        <f t="shared" si="3448"/>
        <v>#N/A</v>
      </c>
      <c r="H1713" s="16" t="e">
        <f t="shared" si="3448"/>
        <v>#N/A</v>
      </c>
      <c r="I1713" s="16" t="e">
        <f t="shared" si="3448"/>
        <v>#N/A</v>
      </c>
      <c r="J1713" s="40" t="e">
        <f t="shared" si="3448"/>
        <v>#N/A</v>
      </c>
      <c r="K1713" s="16" t="e">
        <f t="shared" si="3448"/>
        <v>#N/A</v>
      </c>
      <c r="L1713" s="40" t="e">
        <f t="shared" si="3025"/>
        <v>#N/A</v>
      </c>
      <c r="M1713" s="16" t="e">
        <f t="shared" si="3026"/>
        <v>#N/A</v>
      </c>
      <c r="N1713" s="16" t="e">
        <f t="shared" si="3027"/>
        <v>#N/A</v>
      </c>
      <c r="O1713" s="16" t="s">
        <v>69</v>
      </c>
      <c r="P1713" s="16" t="str">
        <f t="shared" si="6"/>
        <v/>
      </c>
      <c r="Q1713" s="41" t="e">
        <f t="shared" si="3028"/>
        <v>#N/A</v>
      </c>
      <c r="R1713" s="44"/>
      <c r="S1713" s="44"/>
      <c r="T1713" s="43"/>
      <c r="U1713" s="43" t="str">
        <f t="shared" si="8"/>
        <v>No</v>
      </c>
      <c r="V1713" s="25"/>
      <c r="W1713" s="25"/>
      <c r="X1713" s="25"/>
      <c r="Y1713" s="25"/>
      <c r="Z1713" s="25"/>
    </row>
    <row r="1714" spans="1:26" ht="15.75" customHeight="1" x14ac:dyDescent="0.25">
      <c r="A1714" s="25">
        <v>1712</v>
      </c>
      <c r="B1714" s="37" t="e">
        <f t="shared" ref="B1714:D1714" si="3449">VLOOKUP($A1714,'[5]Integración Social'!$A$1:$O$233,B$1,0)</f>
        <v>#N/A</v>
      </c>
      <c r="C1714" s="38" t="e">
        <f t="shared" si="3449"/>
        <v>#N/A</v>
      </c>
      <c r="D1714" s="39" t="e">
        <f t="shared" si="3449"/>
        <v>#N/A</v>
      </c>
      <c r="E1714" s="16" t="e">
        <f t="shared" si="1"/>
        <v>#N/A</v>
      </c>
      <c r="F1714" s="16" t="e">
        <f t="shared" ref="F1714:K1714" si="3450">VLOOKUP($A1714,'[5]Integración Social'!$A$1:$O$233,F$1,0)</f>
        <v>#N/A</v>
      </c>
      <c r="G1714" s="39" t="e">
        <f t="shared" si="3450"/>
        <v>#N/A</v>
      </c>
      <c r="H1714" s="16" t="e">
        <f t="shared" si="3450"/>
        <v>#N/A</v>
      </c>
      <c r="I1714" s="16" t="e">
        <f t="shared" si="3450"/>
        <v>#N/A</v>
      </c>
      <c r="J1714" s="40" t="e">
        <f t="shared" si="3450"/>
        <v>#N/A</v>
      </c>
      <c r="K1714" s="16" t="e">
        <f t="shared" si="3450"/>
        <v>#N/A</v>
      </c>
      <c r="L1714" s="40" t="e">
        <f t="shared" si="3025"/>
        <v>#N/A</v>
      </c>
      <c r="M1714" s="16" t="e">
        <f t="shared" si="3026"/>
        <v>#N/A</v>
      </c>
      <c r="N1714" s="16" t="e">
        <f t="shared" si="3027"/>
        <v>#N/A</v>
      </c>
      <c r="O1714" s="16" t="s">
        <v>69</v>
      </c>
      <c r="P1714" s="16" t="str">
        <f t="shared" si="6"/>
        <v/>
      </c>
      <c r="Q1714" s="41" t="e">
        <f t="shared" si="3028"/>
        <v>#N/A</v>
      </c>
      <c r="R1714" s="44"/>
      <c r="S1714" s="44"/>
      <c r="T1714" s="43"/>
      <c r="U1714" s="43" t="str">
        <f t="shared" si="8"/>
        <v>No</v>
      </c>
      <c r="V1714" s="25"/>
      <c r="W1714" s="25"/>
      <c r="X1714" s="25"/>
      <c r="Y1714" s="25"/>
      <c r="Z1714" s="25"/>
    </row>
    <row r="1715" spans="1:26" ht="15.75" customHeight="1" x14ac:dyDescent="0.25">
      <c r="A1715" s="25">
        <v>1713</v>
      </c>
      <c r="B1715" s="37" t="e">
        <f t="shared" ref="B1715:D1715" si="3451">VLOOKUP($A1715,'[5]Integración Social'!$A$1:$O$233,B$1,0)</f>
        <v>#N/A</v>
      </c>
      <c r="C1715" s="38" t="e">
        <f t="shared" si="3451"/>
        <v>#N/A</v>
      </c>
      <c r="D1715" s="39" t="e">
        <f t="shared" si="3451"/>
        <v>#N/A</v>
      </c>
      <c r="E1715" s="16" t="e">
        <f t="shared" si="1"/>
        <v>#N/A</v>
      </c>
      <c r="F1715" s="16" t="e">
        <f t="shared" ref="F1715:K1715" si="3452">VLOOKUP($A1715,'[5]Integración Social'!$A$1:$O$233,F$1,0)</f>
        <v>#N/A</v>
      </c>
      <c r="G1715" s="39" t="e">
        <f t="shared" si="3452"/>
        <v>#N/A</v>
      </c>
      <c r="H1715" s="16" t="e">
        <f t="shared" si="3452"/>
        <v>#N/A</v>
      </c>
      <c r="I1715" s="16" t="e">
        <f t="shared" si="3452"/>
        <v>#N/A</v>
      </c>
      <c r="J1715" s="40" t="e">
        <f t="shared" si="3452"/>
        <v>#N/A</v>
      </c>
      <c r="K1715" s="16" t="e">
        <f t="shared" si="3452"/>
        <v>#N/A</v>
      </c>
      <c r="L1715" s="40" t="e">
        <f t="shared" si="3025"/>
        <v>#N/A</v>
      </c>
      <c r="M1715" s="16" t="e">
        <f t="shared" si="3026"/>
        <v>#N/A</v>
      </c>
      <c r="N1715" s="16" t="e">
        <f t="shared" si="3027"/>
        <v>#N/A</v>
      </c>
      <c r="O1715" s="16" t="s">
        <v>69</v>
      </c>
      <c r="P1715" s="16" t="str">
        <f t="shared" si="6"/>
        <v/>
      </c>
      <c r="Q1715" s="41" t="e">
        <f t="shared" si="3028"/>
        <v>#N/A</v>
      </c>
      <c r="R1715" s="44"/>
      <c r="S1715" s="44"/>
      <c r="T1715" s="43"/>
      <c r="U1715" s="43" t="str">
        <f t="shared" si="8"/>
        <v>No</v>
      </c>
      <c r="V1715" s="25"/>
      <c r="W1715" s="25"/>
      <c r="X1715" s="25"/>
      <c r="Y1715" s="25"/>
      <c r="Z1715" s="25"/>
    </row>
    <row r="1716" spans="1:26" ht="15.75" customHeight="1" x14ac:dyDescent="0.25">
      <c r="A1716" s="25">
        <v>1714</v>
      </c>
      <c r="B1716" s="37" t="e">
        <f t="shared" ref="B1716:D1716" si="3453">VLOOKUP($A1716,'[5]Integración Social'!$A$1:$O$233,B$1,0)</f>
        <v>#N/A</v>
      </c>
      <c r="C1716" s="38" t="e">
        <f t="shared" si="3453"/>
        <v>#N/A</v>
      </c>
      <c r="D1716" s="39" t="e">
        <f t="shared" si="3453"/>
        <v>#N/A</v>
      </c>
      <c r="E1716" s="16" t="e">
        <f t="shared" si="1"/>
        <v>#N/A</v>
      </c>
      <c r="F1716" s="16" t="e">
        <f t="shared" ref="F1716:K1716" si="3454">VLOOKUP($A1716,'[5]Integración Social'!$A$1:$O$233,F$1,0)</f>
        <v>#N/A</v>
      </c>
      <c r="G1716" s="39" t="e">
        <f t="shared" si="3454"/>
        <v>#N/A</v>
      </c>
      <c r="H1716" s="16" t="e">
        <f t="shared" si="3454"/>
        <v>#N/A</v>
      </c>
      <c r="I1716" s="16" t="e">
        <f t="shared" si="3454"/>
        <v>#N/A</v>
      </c>
      <c r="J1716" s="40" t="e">
        <f t="shared" si="3454"/>
        <v>#N/A</v>
      </c>
      <c r="K1716" s="16" t="e">
        <f t="shared" si="3454"/>
        <v>#N/A</v>
      </c>
      <c r="L1716" s="40" t="e">
        <f t="shared" si="3025"/>
        <v>#N/A</v>
      </c>
      <c r="M1716" s="16" t="e">
        <f t="shared" si="3026"/>
        <v>#N/A</v>
      </c>
      <c r="N1716" s="16" t="e">
        <f t="shared" si="3027"/>
        <v>#N/A</v>
      </c>
      <c r="O1716" s="16" t="s">
        <v>69</v>
      </c>
      <c r="P1716" s="16" t="str">
        <f t="shared" si="6"/>
        <v/>
      </c>
      <c r="Q1716" s="41" t="e">
        <f t="shared" si="3028"/>
        <v>#N/A</v>
      </c>
      <c r="R1716" s="44"/>
      <c r="S1716" s="44"/>
      <c r="T1716" s="43"/>
      <c r="U1716" s="43" t="str">
        <f t="shared" si="8"/>
        <v>No</v>
      </c>
      <c r="V1716" s="25"/>
      <c r="W1716" s="25"/>
      <c r="X1716" s="25"/>
      <c r="Y1716" s="25"/>
      <c r="Z1716" s="25"/>
    </row>
    <row r="1717" spans="1:26" ht="15.75" customHeight="1" x14ac:dyDescent="0.25">
      <c r="A1717" s="25">
        <v>1715</v>
      </c>
      <c r="B1717" s="37" t="e">
        <f t="shared" ref="B1717:D1717" si="3455">VLOOKUP($A1717,'[5]Integración Social'!$A$1:$O$233,B$1,0)</f>
        <v>#N/A</v>
      </c>
      <c r="C1717" s="38" t="e">
        <f t="shared" si="3455"/>
        <v>#N/A</v>
      </c>
      <c r="D1717" s="39" t="e">
        <f t="shared" si="3455"/>
        <v>#N/A</v>
      </c>
      <c r="E1717" s="16" t="e">
        <f t="shared" si="1"/>
        <v>#N/A</v>
      </c>
      <c r="F1717" s="16" t="e">
        <f t="shared" ref="F1717:K1717" si="3456">VLOOKUP($A1717,'[5]Integración Social'!$A$1:$O$233,F$1,0)</f>
        <v>#N/A</v>
      </c>
      <c r="G1717" s="39" t="e">
        <f t="shared" si="3456"/>
        <v>#N/A</v>
      </c>
      <c r="H1717" s="16" t="e">
        <f t="shared" si="3456"/>
        <v>#N/A</v>
      </c>
      <c r="I1717" s="16" t="e">
        <f t="shared" si="3456"/>
        <v>#N/A</v>
      </c>
      <c r="J1717" s="40" t="e">
        <f t="shared" si="3456"/>
        <v>#N/A</v>
      </c>
      <c r="K1717" s="16" t="e">
        <f t="shared" si="3456"/>
        <v>#N/A</v>
      </c>
      <c r="L1717" s="40" t="e">
        <f t="shared" si="3025"/>
        <v>#N/A</v>
      </c>
      <c r="M1717" s="16" t="e">
        <f t="shared" si="3026"/>
        <v>#N/A</v>
      </c>
      <c r="N1717" s="16" t="e">
        <f t="shared" si="3027"/>
        <v>#N/A</v>
      </c>
      <c r="O1717" s="16" t="s">
        <v>69</v>
      </c>
      <c r="P1717" s="16" t="str">
        <f t="shared" si="6"/>
        <v/>
      </c>
      <c r="Q1717" s="41" t="e">
        <f t="shared" si="3028"/>
        <v>#N/A</v>
      </c>
      <c r="R1717" s="44"/>
      <c r="S1717" s="44"/>
      <c r="T1717" s="43"/>
      <c r="U1717" s="43" t="str">
        <f t="shared" si="8"/>
        <v>No</v>
      </c>
      <c r="V1717" s="25"/>
      <c r="W1717" s="25"/>
      <c r="X1717" s="25"/>
      <c r="Y1717" s="25"/>
      <c r="Z1717" s="25"/>
    </row>
    <row r="1718" spans="1:26" ht="15.75" customHeight="1" x14ac:dyDescent="0.25">
      <c r="A1718" s="25">
        <v>1716</v>
      </c>
      <c r="B1718" s="37" t="e">
        <f t="shared" ref="B1718:D1718" si="3457">VLOOKUP($A1718,'[5]Integración Social'!$A$1:$O$233,B$1,0)</f>
        <v>#N/A</v>
      </c>
      <c r="C1718" s="38" t="e">
        <f t="shared" si="3457"/>
        <v>#N/A</v>
      </c>
      <c r="D1718" s="39" t="e">
        <f t="shared" si="3457"/>
        <v>#N/A</v>
      </c>
      <c r="E1718" s="16" t="e">
        <f t="shared" si="1"/>
        <v>#N/A</v>
      </c>
      <c r="F1718" s="16" t="e">
        <f t="shared" ref="F1718:K1718" si="3458">VLOOKUP($A1718,'[5]Integración Social'!$A$1:$O$233,F$1,0)</f>
        <v>#N/A</v>
      </c>
      <c r="G1718" s="39" t="e">
        <f t="shared" si="3458"/>
        <v>#N/A</v>
      </c>
      <c r="H1718" s="16" t="e">
        <f t="shared" si="3458"/>
        <v>#N/A</v>
      </c>
      <c r="I1718" s="16" t="e">
        <f t="shared" si="3458"/>
        <v>#N/A</v>
      </c>
      <c r="J1718" s="40" t="e">
        <f t="shared" si="3458"/>
        <v>#N/A</v>
      </c>
      <c r="K1718" s="16" t="e">
        <f t="shared" si="3458"/>
        <v>#N/A</v>
      </c>
      <c r="L1718" s="40" t="e">
        <f t="shared" si="3025"/>
        <v>#N/A</v>
      </c>
      <c r="M1718" s="16" t="e">
        <f t="shared" si="3026"/>
        <v>#N/A</v>
      </c>
      <c r="N1718" s="16" t="e">
        <f t="shared" si="3027"/>
        <v>#N/A</v>
      </c>
      <c r="O1718" s="16" t="s">
        <v>69</v>
      </c>
      <c r="P1718" s="16" t="str">
        <f t="shared" si="6"/>
        <v/>
      </c>
      <c r="Q1718" s="41" t="e">
        <f t="shared" si="3028"/>
        <v>#N/A</v>
      </c>
      <c r="R1718" s="44"/>
      <c r="S1718" s="44"/>
      <c r="T1718" s="43"/>
      <c r="U1718" s="43" t="str">
        <f t="shared" si="8"/>
        <v>No</v>
      </c>
      <c r="V1718" s="25"/>
      <c r="W1718" s="25"/>
      <c r="X1718" s="25"/>
      <c r="Y1718" s="25"/>
      <c r="Z1718" s="25"/>
    </row>
    <row r="1719" spans="1:26" ht="15.75" customHeight="1" x14ac:dyDescent="0.25">
      <c r="A1719" s="25">
        <v>1717</v>
      </c>
      <c r="B1719" s="37" t="e">
        <f t="shared" ref="B1719:D1719" si="3459">VLOOKUP($A1719,'[5]Integración Social'!$A$1:$O$233,B$1,0)</f>
        <v>#N/A</v>
      </c>
      <c r="C1719" s="38" t="e">
        <f t="shared" si="3459"/>
        <v>#N/A</v>
      </c>
      <c r="D1719" s="39" t="e">
        <f t="shared" si="3459"/>
        <v>#N/A</v>
      </c>
      <c r="E1719" s="16" t="e">
        <f t="shared" si="1"/>
        <v>#N/A</v>
      </c>
      <c r="F1719" s="16" t="e">
        <f t="shared" ref="F1719:K1719" si="3460">VLOOKUP($A1719,'[5]Integración Social'!$A$1:$O$233,F$1,0)</f>
        <v>#N/A</v>
      </c>
      <c r="G1719" s="39" t="e">
        <f t="shared" si="3460"/>
        <v>#N/A</v>
      </c>
      <c r="H1719" s="16" t="e">
        <f t="shared" si="3460"/>
        <v>#N/A</v>
      </c>
      <c r="I1719" s="16" t="e">
        <f t="shared" si="3460"/>
        <v>#N/A</v>
      </c>
      <c r="J1719" s="40" t="e">
        <f t="shared" si="3460"/>
        <v>#N/A</v>
      </c>
      <c r="K1719" s="16" t="e">
        <f t="shared" si="3460"/>
        <v>#N/A</v>
      </c>
      <c r="L1719" s="40" t="e">
        <f t="shared" si="3025"/>
        <v>#N/A</v>
      </c>
      <c r="M1719" s="16" t="e">
        <f t="shared" si="3026"/>
        <v>#N/A</v>
      </c>
      <c r="N1719" s="16" t="e">
        <f t="shared" si="3027"/>
        <v>#N/A</v>
      </c>
      <c r="O1719" s="16" t="s">
        <v>69</v>
      </c>
      <c r="P1719" s="16" t="str">
        <f t="shared" si="6"/>
        <v/>
      </c>
      <c r="Q1719" s="41" t="e">
        <f t="shared" si="3028"/>
        <v>#N/A</v>
      </c>
      <c r="R1719" s="44"/>
      <c r="S1719" s="44"/>
      <c r="T1719" s="43"/>
      <c r="U1719" s="43" t="str">
        <f t="shared" si="8"/>
        <v>No</v>
      </c>
      <c r="V1719" s="25"/>
      <c r="W1719" s="25"/>
      <c r="X1719" s="25"/>
      <c r="Y1719" s="25"/>
      <c r="Z1719" s="25"/>
    </row>
    <row r="1720" spans="1:26" ht="15.75" customHeight="1" x14ac:dyDescent="0.25">
      <c r="A1720" s="25">
        <v>1718</v>
      </c>
      <c r="B1720" s="37" t="e">
        <f t="shared" ref="B1720:D1720" si="3461">VLOOKUP($A1720,'[5]Integración Social'!$A$1:$O$233,B$1,0)</f>
        <v>#N/A</v>
      </c>
      <c r="C1720" s="38" t="e">
        <f t="shared" si="3461"/>
        <v>#N/A</v>
      </c>
      <c r="D1720" s="39" t="e">
        <f t="shared" si="3461"/>
        <v>#N/A</v>
      </c>
      <c r="E1720" s="16" t="e">
        <f t="shared" si="1"/>
        <v>#N/A</v>
      </c>
      <c r="F1720" s="16" t="e">
        <f t="shared" ref="F1720:K1720" si="3462">VLOOKUP($A1720,'[5]Integración Social'!$A$1:$O$233,F$1,0)</f>
        <v>#N/A</v>
      </c>
      <c r="G1720" s="39" t="e">
        <f t="shared" si="3462"/>
        <v>#N/A</v>
      </c>
      <c r="H1720" s="16" t="e">
        <f t="shared" si="3462"/>
        <v>#N/A</v>
      </c>
      <c r="I1720" s="16" t="e">
        <f t="shared" si="3462"/>
        <v>#N/A</v>
      </c>
      <c r="J1720" s="40" t="e">
        <f t="shared" si="3462"/>
        <v>#N/A</v>
      </c>
      <c r="K1720" s="16" t="e">
        <f t="shared" si="3462"/>
        <v>#N/A</v>
      </c>
      <c r="L1720" s="40" t="e">
        <f t="shared" si="3025"/>
        <v>#N/A</v>
      </c>
      <c r="M1720" s="16" t="e">
        <f t="shared" si="3026"/>
        <v>#N/A</v>
      </c>
      <c r="N1720" s="16" t="e">
        <f t="shared" si="3027"/>
        <v>#N/A</v>
      </c>
      <c r="O1720" s="16" t="s">
        <v>69</v>
      </c>
      <c r="P1720" s="16" t="str">
        <f t="shared" si="6"/>
        <v/>
      </c>
      <c r="Q1720" s="41" t="e">
        <f t="shared" si="3028"/>
        <v>#N/A</v>
      </c>
      <c r="R1720" s="44"/>
      <c r="S1720" s="44"/>
      <c r="T1720" s="43"/>
      <c r="U1720" s="43" t="str">
        <f t="shared" si="8"/>
        <v>No</v>
      </c>
      <c r="V1720" s="25"/>
      <c r="W1720" s="25"/>
      <c r="X1720" s="25"/>
      <c r="Y1720" s="25"/>
      <c r="Z1720" s="25"/>
    </row>
    <row r="1721" spans="1:26" ht="15.75" customHeight="1" x14ac:dyDescent="0.25">
      <c r="A1721" s="25">
        <v>1719</v>
      </c>
      <c r="B1721" s="37" t="e">
        <f t="shared" ref="B1721:D1721" si="3463">VLOOKUP($A1721,'[5]Integración Social'!$A$1:$O$233,B$1,0)</f>
        <v>#N/A</v>
      </c>
      <c r="C1721" s="38" t="e">
        <f t="shared" si="3463"/>
        <v>#N/A</v>
      </c>
      <c r="D1721" s="39" t="e">
        <f t="shared" si="3463"/>
        <v>#N/A</v>
      </c>
      <c r="E1721" s="16" t="e">
        <f t="shared" si="1"/>
        <v>#N/A</v>
      </c>
      <c r="F1721" s="16" t="e">
        <f t="shared" ref="F1721:K1721" si="3464">VLOOKUP($A1721,'[5]Integración Social'!$A$1:$O$233,F$1,0)</f>
        <v>#N/A</v>
      </c>
      <c r="G1721" s="39" t="e">
        <f t="shared" si="3464"/>
        <v>#N/A</v>
      </c>
      <c r="H1721" s="16" t="e">
        <f t="shared" si="3464"/>
        <v>#N/A</v>
      </c>
      <c r="I1721" s="16" t="e">
        <f t="shared" si="3464"/>
        <v>#N/A</v>
      </c>
      <c r="J1721" s="40" t="e">
        <f t="shared" si="3464"/>
        <v>#N/A</v>
      </c>
      <c r="K1721" s="16" t="e">
        <f t="shared" si="3464"/>
        <v>#N/A</v>
      </c>
      <c r="L1721" s="40" t="e">
        <f t="shared" si="3025"/>
        <v>#N/A</v>
      </c>
      <c r="M1721" s="16" t="e">
        <f t="shared" si="3026"/>
        <v>#N/A</v>
      </c>
      <c r="N1721" s="16" t="e">
        <f t="shared" si="3027"/>
        <v>#N/A</v>
      </c>
      <c r="O1721" s="16" t="s">
        <v>69</v>
      </c>
      <c r="P1721" s="16" t="str">
        <f t="shared" si="6"/>
        <v/>
      </c>
      <c r="Q1721" s="41" t="e">
        <f t="shared" si="3028"/>
        <v>#N/A</v>
      </c>
      <c r="R1721" s="44"/>
      <c r="S1721" s="44"/>
      <c r="T1721" s="43"/>
      <c r="U1721" s="43" t="str">
        <f t="shared" si="8"/>
        <v>No</v>
      </c>
      <c r="V1721" s="25"/>
      <c r="W1721" s="25"/>
      <c r="X1721" s="25"/>
      <c r="Y1721" s="25"/>
      <c r="Z1721" s="25"/>
    </row>
    <row r="1722" spans="1:26" ht="15.75" customHeight="1" x14ac:dyDescent="0.25">
      <c r="A1722" s="25">
        <v>1720</v>
      </c>
      <c r="B1722" s="37" t="e">
        <f t="shared" ref="B1722:D1722" si="3465">VLOOKUP($A1722,'[5]Integración Social'!$A$1:$O$233,B$1,0)</f>
        <v>#N/A</v>
      </c>
      <c r="C1722" s="38" t="e">
        <f t="shared" si="3465"/>
        <v>#N/A</v>
      </c>
      <c r="D1722" s="39" t="e">
        <f t="shared" si="3465"/>
        <v>#N/A</v>
      </c>
      <c r="E1722" s="16" t="e">
        <f t="shared" si="1"/>
        <v>#N/A</v>
      </c>
      <c r="F1722" s="16" t="e">
        <f t="shared" ref="F1722:K1722" si="3466">VLOOKUP($A1722,'[5]Integración Social'!$A$1:$O$233,F$1,0)</f>
        <v>#N/A</v>
      </c>
      <c r="G1722" s="39" t="e">
        <f t="shared" si="3466"/>
        <v>#N/A</v>
      </c>
      <c r="H1722" s="16" t="e">
        <f t="shared" si="3466"/>
        <v>#N/A</v>
      </c>
      <c r="I1722" s="16" t="e">
        <f t="shared" si="3466"/>
        <v>#N/A</v>
      </c>
      <c r="J1722" s="40" t="e">
        <f t="shared" si="3466"/>
        <v>#N/A</v>
      </c>
      <c r="K1722" s="16" t="e">
        <f t="shared" si="3466"/>
        <v>#N/A</v>
      </c>
      <c r="L1722" s="40" t="e">
        <f t="shared" si="3025"/>
        <v>#N/A</v>
      </c>
      <c r="M1722" s="16" t="e">
        <f t="shared" si="3026"/>
        <v>#N/A</v>
      </c>
      <c r="N1722" s="16" t="e">
        <f t="shared" si="3027"/>
        <v>#N/A</v>
      </c>
      <c r="O1722" s="16" t="s">
        <v>69</v>
      </c>
      <c r="P1722" s="16" t="str">
        <f t="shared" si="6"/>
        <v/>
      </c>
      <c r="Q1722" s="41" t="e">
        <f t="shared" si="3028"/>
        <v>#N/A</v>
      </c>
      <c r="R1722" s="44"/>
      <c r="S1722" s="44"/>
      <c r="T1722" s="43"/>
      <c r="U1722" s="43" t="str">
        <f t="shared" si="8"/>
        <v>No</v>
      </c>
      <c r="V1722" s="25"/>
      <c r="W1722" s="25"/>
      <c r="X1722" s="25"/>
      <c r="Y1722" s="25"/>
      <c r="Z1722" s="25"/>
    </row>
    <row r="1723" spans="1:26" ht="15.75" customHeight="1" x14ac:dyDescent="0.25">
      <c r="A1723" s="25">
        <v>1721</v>
      </c>
      <c r="B1723" s="37" t="e">
        <f t="shared" ref="B1723:D1723" si="3467">VLOOKUP($A1723,'[5]Integración Social'!$A$1:$O$233,B$1,0)</f>
        <v>#N/A</v>
      </c>
      <c r="C1723" s="38" t="e">
        <f t="shared" si="3467"/>
        <v>#N/A</v>
      </c>
      <c r="D1723" s="39" t="e">
        <f t="shared" si="3467"/>
        <v>#N/A</v>
      </c>
      <c r="E1723" s="16" t="e">
        <f t="shared" si="1"/>
        <v>#N/A</v>
      </c>
      <c r="F1723" s="16" t="e">
        <f t="shared" ref="F1723:K1723" si="3468">VLOOKUP($A1723,'[5]Integración Social'!$A$1:$O$233,F$1,0)</f>
        <v>#N/A</v>
      </c>
      <c r="G1723" s="39" t="e">
        <f t="shared" si="3468"/>
        <v>#N/A</v>
      </c>
      <c r="H1723" s="16" t="e">
        <f t="shared" si="3468"/>
        <v>#N/A</v>
      </c>
      <c r="I1723" s="16" t="e">
        <f t="shared" si="3468"/>
        <v>#N/A</v>
      </c>
      <c r="J1723" s="40" t="e">
        <f t="shared" si="3468"/>
        <v>#N/A</v>
      </c>
      <c r="K1723" s="16" t="e">
        <f t="shared" si="3468"/>
        <v>#N/A</v>
      </c>
      <c r="L1723" s="40" t="e">
        <f t="shared" si="3025"/>
        <v>#N/A</v>
      </c>
      <c r="M1723" s="16" t="e">
        <f t="shared" si="3026"/>
        <v>#N/A</v>
      </c>
      <c r="N1723" s="16" t="e">
        <f t="shared" si="3027"/>
        <v>#N/A</v>
      </c>
      <c r="O1723" s="16" t="s">
        <v>69</v>
      </c>
      <c r="P1723" s="16" t="str">
        <f t="shared" si="6"/>
        <v/>
      </c>
      <c r="Q1723" s="41" t="e">
        <f t="shared" si="3028"/>
        <v>#N/A</v>
      </c>
      <c r="R1723" s="44"/>
      <c r="S1723" s="44"/>
      <c r="T1723" s="43"/>
      <c r="U1723" s="43" t="str">
        <f t="shared" si="8"/>
        <v>No</v>
      </c>
      <c r="V1723" s="25"/>
      <c r="W1723" s="25"/>
      <c r="X1723" s="25"/>
      <c r="Y1723" s="25"/>
      <c r="Z1723" s="25"/>
    </row>
    <row r="1724" spans="1:26" ht="15.75" customHeight="1" x14ac:dyDescent="0.25">
      <c r="A1724" s="25">
        <v>1722</v>
      </c>
      <c r="B1724" s="37" t="e">
        <f t="shared" ref="B1724:D1724" si="3469">VLOOKUP($A1724,'[5]Integración Social'!$A$1:$O$233,B$1,0)</f>
        <v>#N/A</v>
      </c>
      <c r="C1724" s="38" t="e">
        <f t="shared" si="3469"/>
        <v>#N/A</v>
      </c>
      <c r="D1724" s="39" t="e">
        <f t="shared" si="3469"/>
        <v>#N/A</v>
      </c>
      <c r="E1724" s="16" t="e">
        <f t="shared" si="1"/>
        <v>#N/A</v>
      </c>
      <c r="F1724" s="16" t="e">
        <f t="shared" ref="F1724:K1724" si="3470">VLOOKUP($A1724,'[5]Integración Social'!$A$1:$O$233,F$1,0)</f>
        <v>#N/A</v>
      </c>
      <c r="G1724" s="39" t="e">
        <f t="shared" si="3470"/>
        <v>#N/A</v>
      </c>
      <c r="H1724" s="16" t="e">
        <f t="shared" si="3470"/>
        <v>#N/A</v>
      </c>
      <c r="I1724" s="16" t="e">
        <f t="shared" si="3470"/>
        <v>#N/A</v>
      </c>
      <c r="J1724" s="40" t="e">
        <f t="shared" si="3470"/>
        <v>#N/A</v>
      </c>
      <c r="K1724" s="16" t="e">
        <f t="shared" si="3470"/>
        <v>#N/A</v>
      </c>
      <c r="L1724" s="40" t="e">
        <f t="shared" si="3025"/>
        <v>#N/A</v>
      </c>
      <c r="M1724" s="16" t="e">
        <f t="shared" si="3026"/>
        <v>#N/A</v>
      </c>
      <c r="N1724" s="16" t="e">
        <f t="shared" si="3027"/>
        <v>#N/A</v>
      </c>
      <c r="O1724" s="16" t="s">
        <v>69</v>
      </c>
      <c r="P1724" s="16" t="str">
        <f t="shared" si="6"/>
        <v/>
      </c>
      <c r="Q1724" s="41" t="e">
        <f t="shared" si="3028"/>
        <v>#N/A</v>
      </c>
      <c r="R1724" s="44"/>
      <c r="S1724" s="44"/>
      <c r="T1724" s="43"/>
      <c r="U1724" s="43" t="str">
        <f t="shared" si="8"/>
        <v>No</v>
      </c>
      <c r="V1724" s="25"/>
      <c r="W1724" s="25"/>
      <c r="X1724" s="25"/>
      <c r="Y1724" s="25"/>
      <c r="Z1724" s="25"/>
    </row>
    <row r="1725" spans="1:26" ht="15.75" customHeight="1" x14ac:dyDescent="0.25">
      <c r="A1725" s="25">
        <v>1723</v>
      </c>
      <c r="B1725" s="37" t="e">
        <f t="shared" ref="B1725:D1725" si="3471">VLOOKUP($A1725,'[5]Integración Social'!$A$1:$O$233,B$1,0)</f>
        <v>#N/A</v>
      </c>
      <c r="C1725" s="38" t="e">
        <f t="shared" si="3471"/>
        <v>#N/A</v>
      </c>
      <c r="D1725" s="39" t="e">
        <f t="shared" si="3471"/>
        <v>#N/A</v>
      </c>
      <c r="E1725" s="16" t="e">
        <f t="shared" si="1"/>
        <v>#N/A</v>
      </c>
      <c r="F1725" s="16" t="e">
        <f t="shared" ref="F1725:K1725" si="3472">VLOOKUP($A1725,'[5]Integración Social'!$A$1:$O$233,F$1,0)</f>
        <v>#N/A</v>
      </c>
      <c r="G1725" s="39" t="e">
        <f t="shared" si="3472"/>
        <v>#N/A</v>
      </c>
      <c r="H1725" s="16" t="e">
        <f t="shared" si="3472"/>
        <v>#N/A</v>
      </c>
      <c r="I1725" s="16" t="e">
        <f t="shared" si="3472"/>
        <v>#N/A</v>
      </c>
      <c r="J1725" s="40" t="e">
        <f t="shared" si="3472"/>
        <v>#N/A</v>
      </c>
      <c r="K1725" s="16" t="e">
        <f t="shared" si="3472"/>
        <v>#N/A</v>
      </c>
      <c r="L1725" s="40" t="e">
        <f t="shared" si="3025"/>
        <v>#N/A</v>
      </c>
      <c r="M1725" s="16" t="e">
        <f t="shared" si="3026"/>
        <v>#N/A</v>
      </c>
      <c r="N1725" s="16" t="e">
        <f t="shared" si="3027"/>
        <v>#N/A</v>
      </c>
      <c r="O1725" s="16" t="s">
        <v>69</v>
      </c>
      <c r="P1725" s="16" t="str">
        <f t="shared" si="6"/>
        <v/>
      </c>
      <c r="Q1725" s="41" t="e">
        <f t="shared" si="3028"/>
        <v>#N/A</v>
      </c>
      <c r="R1725" s="44"/>
      <c r="S1725" s="44"/>
      <c r="T1725" s="43"/>
      <c r="U1725" s="43" t="str">
        <f t="shared" si="8"/>
        <v>No</v>
      </c>
      <c r="V1725" s="25"/>
      <c r="W1725" s="25"/>
      <c r="X1725" s="25"/>
      <c r="Y1725" s="25"/>
      <c r="Z1725" s="25"/>
    </row>
    <row r="1726" spans="1:26" ht="15.75" customHeight="1" x14ac:dyDescent="0.25">
      <c r="A1726" s="25">
        <v>1724</v>
      </c>
      <c r="B1726" s="37" t="e">
        <f t="shared" ref="B1726:D1726" si="3473">VLOOKUP($A1726,'[5]Integración Social'!$A$1:$O$233,B$1,0)</f>
        <v>#N/A</v>
      </c>
      <c r="C1726" s="38" t="e">
        <f t="shared" si="3473"/>
        <v>#N/A</v>
      </c>
      <c r="D1726" s="39" t="e">
        <f t="shared" si="3473"/>
        <v>#N/A</v>
      </c>
      <c r="E1726" s="16" t="e">
        <f t="shared" si="1"/>
        <v>#N/A</v>
      </c>
      <c r="F1726" s="16" t="e">
        <f t="shared" ref="F1726:K1726" si="3474">VLOOKUP($A1726,'[5]Integración Social'!$A$1:$O$233,F$1,0)</f>
        <v>#N/A</v>
      </c>
      <c r="G1726" s="39" t="e">
        <f t="shared" si="3474"/>
        <v>#N/A</v>
      </c>
      <c r="H1726" s="16" t="e">
        <f t="shared" si="3474"/>
        <v>#N/A</v>
      </c>
      <c r="I1726" s="16" t="e">
        <f t="shared" si="3474"/>
        <v>#N/A</v>
      </c>
      <c r="J1726" s="40" t="e">
        <f t="shared" si="3474"/>
        <v>#N/A</v>
      </c>
      <c r="K1726" s="16" t="e">
        <f t="shared" si="3474"/>
        <v>#N/A</v>
      </c>
      <c r="L1726" s="40" t="e">
        <f t="shared" si="3025"/>
        <v>#N/A</v>
      </c>
      <c r="M1726" s="16" t="e">
        <f t="shared" si="3026"/>
        <v>#N/A</v>
      </c>
      <c r="N1726" s="16" t="e">
        <f t="shared" si="3027"/>
        <v>#N/A</v>
      </c>
      <c r="O1726" s="16" t="s">
        <v>69</v>
      </c>
      <c r="P1726" s="16" t="str">
        <f t="shared" si="6"/>
        <v/>
      </c>
      <c r="Q1726" s="41" t="e">
        <f t="shared" si="3028"/>
        <v>#N/A</v>
      </c>
      <c r="R1726" s="44"/>
      <c r="S1726" s="44"/>
      <c r="T1726" s="43"/>
      <c r="U1726" s="43" t="str">
        <f t="shared" si="8"/>
        <v>No</v>
      </c>
      <c r="V1726" s="25"/>
      <c r="W1726" s="25"/>
      <c r="X1726" s="25"/>
      <c r="Y1726" s="25"/>
      <c r="Z1726" s="25"/>
    </row>
    <row r="1727" spans="1:26" ht="15.75" customHeight="1" x14ac:dyDescent="0.25">
      <c r="A1727" s="25">
        <v>1725</v>
      </c>
      <c r="B1727" s="37" t="e">
        <f t="shared" ref="B1727:D1727" si="3475">VLOOKUP($A1727,'[5]Integración Social'!$A$1:$O$233,B$1,0)</f>
        <v>#N/A</v>
      </c>
      <c r="C1727" s="38" t="e">
        <f t="shared" si="3475"/>
        <v>#N/A</v>
      </c>
      <c r="D1727" s="39" t="e">
        <f t="shared" si="3475"/>
        <v>#N/A</v>
      </c>
      <c r="E1727" s="16" t="e">
        <f t="shared" si="1"/>
        <v>#N/A</v>
      </c>
      <c r="F1727" s="16" t="e">
        <f t="shared" ref="F1727:K1727" si="3476">VLOOKUP($A1727,'[5]Integración Social'!$A$1:$O$233,F$1,0)</f>
        <v>#N/A</v>
      </c>
      <c r="G1727" s="39" t="e">
        <f t="shared" si="3476"/>
        <v>#N/A</v>
      </c>
      <c r="H1727" s="16" t="e">
        <f t="shared" si="3476"/>
        <v>#N/A</v>
      </c>
      <c r="I1727" s="16" t="e">
        <f t="shared" si="3476"/>
        <v>#N/A</v>
      </c>
      <c r="J1727" s="40" t="e">
        <f t="shared" si="3476"/>
        <v>#N/A</v>
      </c>
      <c r="K1727" s="16" t="e">
        <f t="shared" si="3476"/>
        <v>#N/A</v>
      </c>
      <c r="L1727" s="40" t="e">
        <f t="shared" si="3025"/>
        <v>#N/A</v>
      </c>
      <c r="M1727" s="16" t="e">
        <f t="shared" si="3026"/>
        <v>#N/A</v>
      </c>
      <c r="N1727" s="16" t="e">
        <f t="shared" si="3027"/>
        <v>#N/A</v>
      </c>
      <c r="O1727" s="16" t="s">
        <v>69</v>
      </c>
      <c r="P1727" s="16" t="str">
        <f t="shared" si="6"/>
        <v/>
      </c>
      <c r="Q1727" s="41" t="e">
        <f t="shared" si="3028"/>
        <v>#N/A</v>
      </c>
      <c r="R1727" s="44"/>
      <c r="S1727" s="44"/>
      <c r="T1727" s="43"/>
      <c r="U1727" s="43" t="str">
        <f t="shared" si="8"/>
        <v>No</v>
      </c>
      <c r="V1727" s="25"/>
      <c r="W1727" s="25"/>
      <c r="X1727" s="25"/>
      <c r="Y1727" s="25"/>
      <c r="Z1727" s="25"/>
    </row>
    <row r="1728" spans="1:26" ht="15.75" customHeight="1" x14ac:dyDescent="0.25">
      <c r="A1728" s="25">
        <v>1726</v>
      </c>
      <c r="B1728" s="37" t="e">
        <f t="shared" ref="B1728:D1728" si="3477">VLOOKUP($A1728,'[5]Integración Social'!$A$1:$O$233,B$1,0)</f>
        <v>#N/A</v>
      </c>
      <c r="C1728" s="38" t="e">
        <f t="shared" si="3477"/>
        <v>#N/A</v>
      </c>
      <c r="D1728" s="39" t="e">
        <f t="shared" si="3477"/>
        <v>#N/A</v>
      </c>
      <c r="E1728" s="16" t="e">
        <f t="shared" si="1"/>
        <v>#N/A</v>
      </c>
      <c r="F1728" s="16" t="e">
        <f t="shared" ref="F1728:K1728" si="3478">VLOOKUP($A1728,'[5]Integración Social'!$A$1:$O$233,F$1,0)</f>
        <v>#N/A</v>
      </c>
      <c r="G1728" s="39" t="e">
        <f t="shared" si="3478"/>
        <v>#N/A</v>
      </c>
      <c r="H1728" s="16" t="e">
        <f t="shared" si="3478"/>
        <v>#N/A</v>
      </c>
      <c r="I1728" s="16" t="e">
        <f t="shared" si="3478"/>
        <v>#N/A</v>
      </c>
      <c r="J1728" s="40" t="e">
        <f t="shared" si="3478"/>
        <v>#N/A</v>
      </c>
      <c r="K1728" s="16" t="e">
        <f t="shared" si="3478"/>
        <v>#N/A</v>
      </c>
      <c r="L1728" s="40" t="e">
        <f t="shared" si="3025"/>
        <v>#N/A</v>
      </c>
      <c r="M1728" s="16" t="e">
        <f t="shared" si="3026"/>
        <v>#N/A</v>
      </c>
      <c r="N1728" s="16" t="e">
        <f t="shared" si="3027"/>
        <v>#N/A</v>
      </c>
      <c r="O1728" s="16" t="s">
        <v>69</v>
      </c>
      <c r="P1728" s="16" t="str">
        <f t="shared" si="6"/>
        <v/>
      </c>
      <c r="Q1728" s="41" t="e">
        <f t="shared" si="3028"/>
        <v>#N/A</v>
      </c>
      <c r="R1728" s="44"/>
      <c r="S1728" s="44"/>
      <c r="T1728" s="43"/>
      <c r="U1728" s="43" t="str">
        <f t="shared" si="8"/>
        <v>No</v>
      </c>
      <c r="V1728" s="25"/>
      <c r="W1728" s="25"/>
      <c r="X1728" s="25"/>
      <c r="Y1728" s="25"/>
      <c r="Z1728" s="25"/>
    </row>
    <row r="1729" spans="1:26" ht="15.75" customHeight="1" x14ac:dyDescent="0.25">
      <c r="A1729" s="25">
        <v>1727</v>
      </c>
      <c r="B1729" s="37" t="e">
        <f t="shared" ref="B1729:D1729" si="3479">VLOOKUP($A1729,'[5]Integración Social'!$A$1:$O$233,B$1,0)</f>
        <v>#N/A</v>
      </c>
      <c r="C1729" s="38" t="e">
        <f t="shared" si="3479"/>
        <v>#N/A</v>
      </c>
      <c r="D1729" s="39" t="e">
        <f t="shared" si="3479"/>
        <v>#N/A</v>
      </c>
      <c r="E1729" s="16" t="e">
        <f t="shared" si="1"/>
        <v>#N/A</v>
      </c>
      <c r="F1729" s="16" t="e">
        <f t="shared" ref="F1729:K1729" si="3480">VLOOKUP($A1729,'[5]Integración Social'!$A$1:$O$233,F$1,0)</f>
        <v>#N/A</v>
      </c>
      <c r="G1729" s="39" t="e">
        <f t="shared" si="3480"/>
        <v>#N/A</v>
      </c>
      <c r="H1729" s="16" t="e">
        <f t="shared" si="3480"/>
        <v>#N/A</v>
      </c>
      <c r="I1729" s="16" t="e">
        <f t="shared" si="3480"/>
        <v>#N/A</v>
      </c>
      <c r="J1729" s="40" t="e">
        <f t="shared" si="3480"/>
        <v>#N/A</v>
      </c>
      <c r="K1729" s="16" t="e">
        <f t="shared" si="3480"/>
        <v>#N/A</v>
      </c>
      <c r="L1729" s="40" t="e">
        <f t="shared" si="3025"/>
        <v>#N/A</v>
      </c>
      <c r="M1729" s="16" t="e">
        <f t="shared" si="3026"/>
        <v>#N/A</v>
      </c>
      <c r="N1729" s="16" t="e">
        <f t="shared" si="3027"/>
        <v>#N/A</v>
      </c>
      <c r="O1729" s="16" t="s">
        <v>69</v>
      </c>
      <c r="P1729" s="16" t="str">
        <f t="shared" si="6"/>
        <v/>
      </c>
      <c r="Q1729" s="41" t="e">
        <f t="shared" si="3028"/>
        <v>#N/A</v>
      </c>
      <c r="R1729" s="44"/>
      <c r="S1729" s="44"/>
      <c r="T1729" s="43"/>
      <c r="U1729" s="43" t="str">
        <f t="shared" si="8"/>
        <v>No</v>
      </c>
      <c r="V1729" s="25"/>
      <c r="W1729" s="25"/>
      <c r="X1729" s="25"/>
      <c r="Y1729" s="25"/>
      <c r="Z1729" s="25"/>
    </row>
    <row r="1730" spans="1:26" ht="15.75" customHeight="1" x14ac:dyDescent="0.25">
      <c r="A1730" s="25">
        <v>1728</v>
      </c>
      <c r="B1730" s="37" t="e">
        <f t="shared" ref="B1730:D1730" si="3481">VLOOKUP($A1730,'[5]Integración Social'!$A$1:$O$233,B$1,0)</f>
        <v>#N/A</v>
      </c>
      <c r="C1730" s="38" t="e">
        <f t="shared" si="3481"/>
        <v>#N/A</v>
      </c>
      <c r="D1730" s="39" t="e">
        <f t="shared" si="3481"/>
        <v>#N/A</v>
      </c>
      <c r="E1730" s="16" t="e">
        <f t="shared" si="1"/>
        <v>#N/A</v>
      </c>
      <c r="F1730" s="16" t="e">
        <f t="shared" ref="F1730:K1730" si="3482">VLOOKUP($A1730,'[5]Integración Social'!$A$1:$O$233,F$1,0)</f>
        <v>#N/A</v>
      </c>
      <c r="G1730" s="39" t="e">
        <f t="shared" si="3482"/>
        <v>#N/A</v>
      </c>
      <c r="H1730" s="16" t="e">
        <f t="shared" si="3482"/>
        <v>#N/A</v>
      </c>
      <c r="I1730" s="16" t="e">
        <f t="shared" si="3482"/>
        <v>#N/A</v>
      </c>
      <c r="J1730" s="40" t="e">
        <f t="shared" si="3482"/>
        <v>#N/A</v>
      </c>
      <c r="K1730" s="16" t="e">
        <f t="shared" si="3482"/>
        <v>#N/A</v>
      </c>
      <c r="L1730" s="40" t="e">
        <f t="shared" si="3025"/>
        <v>#N/A</v>
      </c>
      <c r="M1730" s="16" t="e">
        <f t="shared" si="3026"/>
        <v>#N/A</v>
      </c>
      <c r="N1730" s="16" t="e">
        <f t="shared" si="3027"/>
        <v>#N/A</v>
      </c>
      <c r="O1730" s="16" t="s">
        <v>69</v>
      </c>
      <c r="P1730" s="16" t="str">
        <f t="shared" si="6"/>
        <v/>
      </c>
      <c r="Q1730" s="41" t="e">
        <f t="shared" si="3028"/>
        <v>#N/A</v>
      </c>
      <c r="R1730" s="44"/>
      <c r="S1730" s="44"/>
      <c r="T1730" s="43"/>
      <c r="U1730" s="43" t="str">
        <f t="shared" si="8"/>
        <v>No</v>
      </c>
      <c r="V1730" s="25"/>
      <c r="W1730" s="25"/>
      <c r="X1730" s="25"/>
      <c r="Y1730" s="25"/>
      <c r="Z1730" s="25"/>
    </row>
    <row r="1731" spans="1:26" ht="15.75" customHeight="1" x14ac:dyDescent="0.25">
      <c r="A1731" s="25">
        <v>1729</v>
      </c>
      <c r="B1731" s="37" t="e">
        <f t="shared" ref="B1731:D1731" si="3483">VLOOKUP($A1731,'[5]Integración Social'!$A$1:$O$233,B$1,0)</f>
        <v>#N/A</v>
      </c>
      <c r="C1731" s="38" t="e">
        <f t="shared" si="3483"/>
        <v>#N/A</v>
      </c>
      <c r="D1731" s="39" t="e">
        <f t="shared" si="3483"/>
        <v>#N/A</v>
      </c>
      <c r="E1731" s="16" t="e">
        <f t="shared" si="1"/>
        <v>#N/A</v>
      </c>
      <c r="F1731" s="16" t="e">
        <f t="shared" ref="F1731:K1731" si="3484">VLOOKUP($A1731,'[5]Integración Social'!$A$1:$O$233,F$1,0)</f>
        <v>#N/A</v>
      </c>
      <c r="G1731" s="39" t="e">
        <f t="shared" si="3484"/>
        <v>#N/A</v>
      </c>
      <c r="H1731" s="16" t="e">
        <f t="shared" si="3484"/>
        <v>#N/A</v>
      </c>
      <c r="I1731" s="16" t="e">
        <f t="shared" si="3484"/>
        <v>#N/A</v>
      </c>
      <c r="J1731" s="40" t="e">
        <f t="shared" si="3484"/>
        <v>#N/A</v>
      </c>
      <c r="K1731" s="16" t="e">
        <f t="shared" si="3484"/>
        <v>#N/A</v>
      </c>
      <c r="L1731" s="40" t="e">
        <f t="shared" si="3025"/>
        <v>#N/A</v>
      </c>
      <c r="M1731" s="16" t="e">
        <f t="shared" si="3026"/>
        <v>#N/A</v>
      </c>
      <c r="N1731" s="16" t="e">
        <f t="shared" si="3027"/>
        <v>#N/A</v>
      </c>
      <c r="O1731" s="16" t="s">
        <v>69</v>
      </c>
      <c r="P1731" s="16" t="str">
        <f t="shared" si="6"/>
        <v/>
      </c>
      <c r="Q1731" s="41" t="e">
        <f t="shared" si="3028"/>
        <v>#N/A</v>
      </c>
      <c r="R1731" s="44"/>
      <c r="S1731" s="44"/>
      <c r="T1731" s="43"/>
      <c r="U1731" s="43" t="str">
        <f t="shared" si="8"/>
        <v>No</v>
      </c>
      <c r="V1731" s="25"/>
      <c r="W1731" s="25"/>
      <c r="X1731" s="25"/>
      <c r="Y1731" s="25"/>
      <c r="Z1731" s="25"/>
    </row>
    <row r="1732" spans="1:26" ht="15.75" customHeight="1" x14ac:dyDescent="0.25">
      <c r="A1732" s="25">
        <v>1730</v>
      </c>
      <c r="B1732" s="37" t="e">
        <f t="shared" ref="B1732:D1732" si="3485">VLOOKUP($A1732,'[5]Integración Social'!$A$1:$O$233,B$1,0)</f>
        <v>#N/A</v>
      </c>
      <c r="C1732" s="38" t="e">
        <f t="shared" si="3485"/>
        <v>#N/A</v>
      </c>
      <c r="D1732" s="39" t="e">
        <f t="shared" si="3485"/>
        <v>#N/A</v>
      </c>
      <c r="E1732" s="16" t="e">
        <f t="shared" si="1"/>
        <v>#N/A</v>
      </c>
      <c r="F1732" s="16" t="e">
        <f t="shared" ref="F1732:K1732" si="3486">VLOOKUP($A1732,'[5]Integración Social'!$A$1:$O$233,F$1,0)</f>
        <v>#N/A</v>
      </c>
      <c r="G1732" s="39" t="e">
        <f t="shared" si="3486"/>
        <v>#N/A</v>
      </c>
      <c r="H1732" s="16" t="e">
        <f t="shared" si="3486"/>
        <v>#N/A</v>
      </c>
      <c r="I1732" s="16" t="e">
        <f t="shared" si="3486"/>
        <v>#N/A</v>
      </c>
      <c r="J1732" s="40" t="e">
        <f t="shared" si="3486"/>
        <v>#N/A</v>
      </c>
      <c r="K1732" s="16" t="e">
        <f t="shared" si="3486"/>
        <v>#N/A</v>
      </c>
      <c r="L1732" s="40" t="e">
        <f t="shared" si="3025"/>
        <v>#N/A</v>
      </c>
      <c r="M1732" s="16" t="e">
        <f t="shared" si="3026"/>
        <v>#N/A</v>
      </c>
      <c r="N1732" s="16" t="e">
        <f t="shared" si="3027"/>
        <v>#N/A</v>
      </c>
      <c r="O1732" s="16" t="s">
        <v>69</v>
      </c>
      <c r="P1732" s="16" t="str">
        <f t="shared" si="6"/>
        <v/>
      </c>
      <c r="Q1732" s="41" t="e">
        <f t="shared" si="3028"/>
        <v>#N/A</v>
      </c>
      <c r="R1732" s="44"/>
      <c r="S1732" s="44"/>
      <c r="T1732" s="43"/>
      <c r="U1732" s="43" t="str">
        <f t="shared" si="8"/>
        <v>No</v>
      </c>
      <c r="V1732" s="25"/>
      <c r="W1732" s="25"/>
      <c r="X1732" s="25"/>
      <c r="Y1732" s="25"/>
      <c r="Z1732" s="25"/>
    </row>
    <row r="1733" spans="1:26" ht="15.75" customHeight="1" x14ac:dyDescent="0.25">
      <c r="A1733" s="25">
        <v>1731</v>
      </c>
      <c r="B1733" s="37" t="e">
        <f t="shared" ref="B1733:D1733" si="3487">VLOOKUP($A1733,'[5]Integración Social'!$A$1:$O$233,B$1,0)</f>
        <v>#N/A</v>
      </c>
      <c r="C1733" s="38" t="e">
        <f t="shared" si="3487"/>
        <v>#N/A</v>
      </c>
      <c r="D1733" s="39" t="e">
        <f t="shared" si="3487"/>
        <v>#N/A</v>
      </c>
      <c r="E1733" s="16" t="e">
        <f t="shared" si="1"/>
        <v>#N/A</v>
      </c>
      <c r="F1733" s="16" t="e">
        <f t="shared" ref="F1733:K1733" si="3488">VLOOKUP($A1733,'[5]Integración Social'!$A$1:$O$233,F$1,0)</f>
        <v>#N/A</v>
      </c>
      <c r="G1733" s="39" t="e">
        <f t="shared" si="3488"/>
        <v>#N/A</v>
      </c>
      <c r="H1733" s="16" t="e">
        <f t="shared" si="3488"/>
        <v>#N/A</v>
      </c>
      <c r="I1733" s="16" t="e">
        <f t="shared" si="3488"/>
        <v>#N/A</v>
      </c>
      <c r="J1733" s="40" t="e">
        <f t="shared" si="3488"/>
        <v>#N/A</v>
      </c>
      <c r="K1733" s="16" t="e">
        <f t="shared" si="3488"/>
        <v>#N/A</v>
      </c>
      <c r="L1733" s="40" t="e">
        <f t="shared" si="3025"/>
        <v>#N/A</v>
      </c>
      <c r="M1733" s="16" t="e">
        <f t="shared" si="3026"/>
        <v>#N/A</v>
      </c>
      <c r="N1733" s="16" t="e">
        <f t="shared" si="3027"/>
        <v>#N/A</v>
      </c>
      <c r="O1733" s="16" t="s">
        <v>69</v>
      </c>
      <c r="P1733" s="16" t="str">
        <f t="shared" si="6"/>
        <v/>
      </c>
      <c r="Q1733" s="41" t="e">
        <f t="shared" si="3028"/>
        <v>#N/A</v>
      </c>
      <c r="R1733" s="44"/>
      <c r="S1733" s="44"/>
      <c r="T1733" s="43"/>
      <c r="U1733" s="43" t="str">
        <f t="shared" si="8"/>
        <v>No</v>
      </c>
      <c r="V1733" s="25"/>
      <c r="W1733" s="25"/>
      <c r="X1733" s="25"/>
      <c r="Y1733" s="25"/>
      <c r="Z1733" s="25"/>
    </row>
    <row r="1734" spans="1:26" ht="15.75" customHeight="1" x14ac:dyDescent="0.25">
      <c r="A1734" s="25">
        <v>1732</v>
      </c>
      <c r="B1734" s="37" t="e">
        <f t="shared" ref="B1734:D1734" si="3489">VLOOKUP($A1734,'[5]Integración Social'!$A$1:$O$233,B$1,0)</f>
        <v>#N/A</v>
      </c>
      <c r="C1734" s="38" t="e">
        <f t="shared" si="3489"/>
        <v>#N/A</v>
      </c>
      <c r="D1734" s="39" t="e">
        <f t="shared" si="3489"/>
        <v>#N/A</v>
      </c>
      <c r="E1734" s="16" t="e">
        <f t="shared" si="1"/>
        <v>#N/A</v>
      </c>
      <c r="F1734" s="16" t="e">
        <f t="shared" ref="F1734:K1734" si="3490">VLOOKUP($A1734,'[5]Integración Social'!$A$1:$O$233,F$1,0)</f>
        <v>#N/A</v>
      </c>
      <c r="G1734" s="39" t="e">
        <f t="shared" si="3490"/>
        <v>#N/A</v>
      </c>
      <c r="H1734" s="16" t="e">
        <f t="shared" si="3490"/>
        <v>#N/A</v>
      </c>
      <c r="I1734" s="16" t="e">
        <f t="shared" si="3490"/>
        <v>#N/A</v>
      </c>
      <c r="J1734" s="40" t="e">
        <f t="shared" si="3490"/>
        <v>#N/A</v>
      </c>
      <c r="K1734" s="16" t="e">
        <f t="shared" si="3490"/>
        <v>#N/A</v>
      </c>
      <c r="L1734" s="40" t="e">
        <f t="shared" si="3025"/>
        <v>#N/A</v>
      </c>
      <c r="M1734" s="16" t="e">
        <f t="shared" si="3026"/>
        <v>#N/A</v>
      </c>
      <c r="N1734" s="16" t="e">
        <f t="shared" si="3027"/>
        <v>#N/A</v>
      </c>
      <c r="O1734" s="16" t="s">
        <v>69</v>
      </c>
      <c r="P1734" s="16" t="str">
        <f t="shared" si="6"/>
        <v/>
      </c>
      <c r="Q1734" s="41" t="e">
        <f t="shared" si="3028"/>
        <v>#N/A</v>
      </c>
      <c r="R1734" s="44"/>
      <c r="S1734" s="44"/>
      <c r="T1734" s="43"/>
      <c r="U1734" s="43" t="str">
        <f t="shared" si="8"/>
        <v>No</v>
      </c>
      <c r="V1734" s="25"/>
      <c r="W1734" s="25"/>
      <c r="X1734" s="25"/>
      <c r="Y1734" s="25"/>
      <c r="Z1734" s="25"/>
    </row>
    <row r="1735" spans="1:26" ht="15.75" customHeight="1" x14ac:dyDescent="0.25">
      <c r="A1735" s="25">
        <v>1733</v>
      </c>
      <c r="B1735" s="37" t="e">
        <f t="shared" ref="B1735:D1735" si="3491">VLOOKUP($A1735,'[5]Integración Social'!$A$1:$O$233,B$1,0)</f>
        <v>#N/A</v>
      </c>
      <c r="C1735" s="38" t="e">
        <f t="shared" si="3491"/>
        <v>#N/A</v>
      </c>
      <c r="D1735" s="39" t="e">
        <f t="shared" si="3491"/>
        <v>#N/A</v>
      </c>
      <c r="E1735" s="16" t="e">
        <f t="shared" si="1"/>
        <v>#N/A</v>
      </c>
      <c r="F1735" s="16" t="e">
        <f t="shared" ref="F1735:K1735" si="3492">VLOOKUP($A1735,'[5]Integración Social'!$A$1:$O$233,F$1,0)</f>
        <v>#N/A</v>
      </c>
      <c r="G1735" s="39" t="e">
        <f t="shared" si="3492"/>
        <v>#N/A</v>
      </c>
      <c r="H1735" s="16" t="e">
        <f t="shared" si="3492"/>
        <v>#N/A</v>
      </c>
      <c r="I1735" s="16" t="e">
        <f t="shared" si="3492"/>
        <v>#N/A</v>
      </c>
      <c r="J1735" s="40" t="e">
        <f t="shared" si="3492"/>
        <v>#N/A</v>
      </c>
      <c r="K1735" s="16" t="e">
        <f t="shared" si="3492"/>
        <v>#N/A</v>
      </c>
      <c r="L1735" s="40" t="e">
        <f t="shared" si="3025"/>
        <v>#N/A</v>
      </c>
      <c r="M1735" s="16" t="e">
        <f t="shared" si="3026"/>
        <v>#N/A</v>
      </c>
      <c r="N1735" s="16" t="e">
        <f t="shared" si="3027"/>
        <v>#N/A</v>
      </c>
      <c r="O1735" s="16" t="s">
        <v>69</v>
      </c>
      <c r="P1735" s="16" t="str">
        <f t="shared" si="6"/>
        <v/>
      </c>
      <c r="Q1735" s="41" t="e">
        <f t="shared" si="3028"/>
        <v>#N/A</v>
      </c>
      <c r="R1735" s="44"/>
      <c r="S1735" s="44"/>
      <c r="T1735" s="43"/>
      <c r="U1735" s="43" t="str">
        <f t="shared" si="8"/>
        <v>No</v>
      </c>
      <c r="V1735" s="25"/>
      <c r="W1735" s="25"/>
      <c r="X1735" s="25"/>
      <c r="Y1735" s="25"/>
      <c r="Z1735" s="25"/>
    </row>
    <row r="1736" spans="1:26" ht="15.75" customHeight="1" x14ac:dyDescent="0.25">
      <c r="A1736" s="25">
        <v>1734</v>
      </c>
      <c r="B1736" s="37" t="e">
        <f t="shared" ref="B1736:D1736" si="3493">VLOOKUP($A1736,'[5]Integración Social'!$A$1:$O$233,B$1,0)</f>
        <v>#N/A</v>
      </c>
      <c r="C1736" s="38" t="e">
        <f t="shared" si="3493"/>
        <v>#N/A</v>
      </c>
      <c r="D1736" s="39" t="e">
        <f t="shared" si="3493"/>
        <v>#N/A</v>
      </c>
      <c r="E1736" s="16" t="e">
        <f t="shared" si="1"/>
        <v>#N/A</v>
      </c>
      <c r="F1736" s="16" t="e">
        <f t="shared" ref="F1736:K1736" si="3494">VLOOKUP($A1736,'[5]Integración Social'!$A$1:$O$233,F$1,0)</f>
        <v>#N/A</v>
      </c>
      <c r="G1736" s="39" t="e">
        <f t="shared" si="3494"/>
        <v>#N/A</v>
      </c>
      <c r="H1736" s="16" t="e">
        <f t="shared" si="3494"/>
        <v>#N/A</v>
      </c>
      <c r="I1736" s="16" t="e">
        <f t="shared" si="3494"/>
        <v>#N/A</v>
      </c>
      <c r="J1736" s="40" t="e">
        <f t="shared" si="3494"/>
        <v>#N/A</v>
      </c>
      <c r="K1736" s="16" t="e">
        <f t="shared" si="3494"/>
        <v>#N/A</v>
      </c>
      <c r="L1736" s="40" t="e">
        <f t="shared" si="3025"/>
        <v>#N/A</v>
      </c>
      <c r="M1736" s="16" t="e">
        <f t="shared" si="3026"/>
        <v>#N/A</v>
      </c>
      <c r="N1736" s="16" t="e">
        <f t="shared" si="3027"/>
        <v>#N/A</v>
      </c>
      <c r="O1736" s="16" t="s">
        <v>69</v>
      </c>
      <c r="P1736" s="16" t="str">
        <f t="shared" si="6"/>
        <v/>
      </c>
      <c r="Q1736" s="41" t="e">
        <f t="shared" si="3028"/>
        <v>#N/A</v>
      </c>
      <c r="R1736" s="44"/>
      <c r="S1736" s="44"/>
      <c r="T1736" s="43"/>
      <c r="U1736" s="43" t="str">
        <f t="shared" si="8"/>
        <v>No</v>
      </c>
      <c r="V1736" s="25"/>
      <c r="W1736" s="25"/>
      <c r="X1736" s="25"/>
      <c r="Y1736" s="25"/>
      <c r="Z1736" s="25"/>
    </row>
    <row r="1737" spans="1:26" ht="15.75" customHeight="1" x14ac:dyDescent="0.25">
      <c r="A1737" s="25">
        <v>1735</v>
      </c>
      <c r="B1737" s="37" t="e">
        <f t="shared" ref="B1737:D1737" si="3495">VLOOKUP($A1737,'[5]Integración Social'!$A$1:$O$233,B$1,0)</f>
        <v>#N/A</v>
      </c>
      <c r="C1737" s="38" t="e">
        <f t="shared" si="3495"/>
        <v>#N/A</v>
      </c>
      <c r="D1737" s="39" t="e">
        <f t="shared" si="3495"/>
        <v>#N/A</v>
      </c>
      <c r="E1737" s="16" t="e">
        <f t="shared" si="1"/>
        <v>#N/A</v>
      </c>
      <c r="F1737" s="16" t="e">
        <f t="shared" ref="F1737:K1737" si="3496">VLOOKUP($A1737,'[5]Integración Social'!$A$1:$O$233,F$1,0)</f>
        <v>#N/A</v>
      </c>
      <c r="G1737" s="39" t="e">
        <f t="shared" si="3496"/>
        <v>#N/A</v>
      </c>
      <c r="H1737" s="16" t="e">
        <f t="shared" si="3496"/>
        <v>#N/A</v>
      </c>
      <c r="I1737" s="16" t="e">
        <f t="shared" si="3496"/>
        <v>#N/A</v>
      </c>
      <c r="J1737" s="40" t="e">
        <f t="shared" si="3496"/>
        <v>#N/A</v>
      </c>
      <c r="K1737" s="16" t="e">
        <f t="shared" si="3496"/>
        <v>#N/A</v>
      </c>
      <c r="L1737" s="40" t="e">
        <f t="shared" si="3025"/>
        <v>#N/A</v>
      </c>
      <c r="M1737" s="16" t="e">
        <f t="shared" si="3026"/>
        <v>#N/A</v>
      </c>
      <c r="N1737" s="16" t="e">
        <f t="shared" si="3027"/>
        <v>#N/A</v>
      </c>
      <c r="O1737" s="16" t="s">
        <v>69</v>
      </c>
      <c r="P1737" s="16" t="str">
        <f t="shared" si="6"/>
        <v/>
      </c>
      <c r="Q1737" s="41" t="e">
        <f t="shared" si="3028"/>
        <v>#N/A</v>
      </c>
      <c r="R1737" s="44"/>
      <c r="S1737" s="44"/>
      <c r="T1737" s="43"/>
      <c r="U1737" s="43" t="str">
        <f t="shared" si="8"/>
        <v>No</v>
      </c>
      <c r="V1737" s="25"/>
      <c r="W1737" s="25"/>
      <c r="X1737" s="25"/>
      <c r="Y1737" s="25"/>
      <c r="Z1737" s="25"/>
    </row>
    <row r="1738" spans="1:26" ht="15.75" customHeight="1" x14ac:dyDescent="0.25">
      <c r="A1738" s="25">
        <v>1736</v>
      </c>
      <c r="B1738" s="37" t="e">
        <f t="shared" ref="B1738:D1738" si="3497">VLOOKUP($A1738,'[5]Integración Social'!$A$1:$O$233,B$1,0)</f>
        <v>#N/A</v>
      </c>
      <c r="C1738" s="38" t="e">
        <f t="shared" si="3497"/>
        <v>#N/A</v>
      </c>
      <c r="D1738" s="39" t="e">
        <f t="shared" si="3497"/>
        <v>#N/A</v>
      </c>
      <c r="E1738" s="16" t="e">
        <f t="shared" si="1"/>
        <v>#N/A</v>
      </c>
      <c r="F1738" s="16" t="e">
        <f t="shared" ref="F1738:K1738" si="3498">VLOOKUP($A1738,'[5]Integración Social'!$A$1:$O$233,F$1,0)</f>
        <v>#N/A</v>
      </c>
      <c r="G1738" s="39" t="e">
        <f t="shared" si="3498"/>
        <v>#N/A</v>
      </c>
      <c r="H1738" s="16" t="e">
        <f t="shared" si="3498"/>
        <v>#N/A</v>
      </c>
      <c r="I1738" s="16" t="e">
        <f t="shared" si="3498"/>
        <v>#N/A</v>
      </c>
      <c r="J1738" s="40" t="e">
        <f t="shared" si="3498"/>
        <v>#N/A</v>
      </c>
      <c r="K1738" s="16" t="e">
        <f t="shared" si="3498"/>
        <v>#N/A</v>
      </c>
      <c r="L1738" s="40" t="e">
        <f t="shared" si="3025"/>
        <v>#N/A</v>
      </c>
      <c r="M1738" s="16" t="e">
        <f t="shared" si="3026"/>
        <v>#N/A</v>
      </c>
      <c r="N1738" s="16" t="e">
        <f t="shared" si="3027"/>
        <v>#N/A</v>
      </c>
      <c r="O1738" s="16" t="s">
        <v>69</v>
      </c>
      <c r="P1738" s="16" t="str">
        <f t="shared" si="6"/>
        <v/>
      </c>
      <c r="Q1738" s="41" t="e">
        <f t="shared" si="3028"/>
        <v>#N/A</v>
      </c>
      <c r="R1738" s="44"/>
      <c r="S1738" s="44"/>
      <c r="T1738" s="43"/>
      <c r="U1738" s="43" t="str">
        <f t="shared" si="8"/>
        <v>No</v>
      </c>
      <c r="V1738" s="25"/>
      <c r="W1738" s="25"/>
      <c r="X1738" s="25"/>
      <c r="Y1738" s="25"/>
      <c r="Z1738" s="25"/>
    </row>
    <row r="1739" spans="1:26" ht="15.75" customHeight="1" x14ac:dyDescent="0.25">
      <c r="A1739" s="25">
        <v>1737</v>
      </c>
      <c r="B1739" s="37" t="e">
        <f t="shared" ref="B1739:D1739" si="3499">VLOOKUP($A1739,'[5]Integración Social'!$A$1:$O$233,B$1,0)</f>
        <v>#N/A</v>
      </c>
      <c r="C1739" s="38" t="e">
        <f t="shared" si="3499"/>
        <v>#N/A</v>
      </c>
      <c r="D1739" s="39" t="e">
        <f t="shared" si="3499"/>
        <v>#N/A</v>
      </c>
      <c r="E1739" s="16" t="e">
        <f t="shared" si="1"/>
        <v>#N/A</v>
      </c>
      <c r="F1739" s="16" t="e">
        <f t="shared" ref="F1739:K1739" si="3500">VLOOKUP($A1739,'[5]Integración Social'!$A$1:$O$233,F$1,0)</f>
        <v>#N/A</v>
      </c>
      <c r="G1739" s="39" t="e">
        <f t="shared" si="3500"/>
        <v>#N/A</v>
      </c>
      <c r="H1739" s="16" t="e">
        <f t="shared" si="3500"/>
        <v>#N/A</v>
      </c>
      <c r="I1739" s="16" t="e">
        <f t="shared" si="3500"/>
        <v>#N/A</v>
      </c>
      <c r="J1739" s="40" t="e">
        <f t="shared" si="3500"/>
        <v>#N/A</v>
      </c>
      <c r="K1739" s="16" t="e">
        <f t="shared" si="3500"/>
        <v>#N/A</v>
      </c>
      <c r="L1739" s="40" t="e">
        <f t="shared" si="3025"/>
        <v>#N/A</v>
      </c>
      <c r="M1739" s="16" t="e">
        <f t="shared" si="3026"/>
        <v>#N/A</v>
      </c>
      <c r="N1739" s="16" t="e">
        <f t="shared" si="3027"/>
        <v>#N/A</v>
      </c>
      <c r="O1739" s="16" t="s">
        <v>69</v>
      </c>
      <c r="P1739" s="16" t="str">
        <f t="shared" si="6"/>
        <v/>
      </c>
      <c r="Q1739" s="41" t="e">
        <f t="shared" si="3028"/>
        <v>#N/A</v>
      </c>
      <c r="R1739" s="44"/>
      <c r="S1739" s="44"/>
      <c r="T1739" s="43"/>
      <c r="U1739" s="43" t="str">
        <f t="shared" si="8"/>
        <v>No</v>
      </c>
      <c r="V1739" s="25"/>
      <c r="W1739" s="25"/>
      <c r="X1739" s="25"/>
      <c r="Y1739" s="25"/>
      <c r="Z1739" s="25"/>
    </row>
    <row r="1740" spans="1:26" ht="15.75" customHeight="1" x14ac:dyDescent="0.25">
      <c r="A1740" s="25">
        <v>1738</v>
      </c>
      <c r="B1740" s="37" t="e">
        <f t="shared" ref="B1740:D1740" si="3501">VLOOKUP($A1740,'[5]Integración Social'!$A$1:$O$233,B$1,0)</f>
        <v>#N/A</v>
      </c>
      <c r="C1740" s="38" t="e">
        <f t="shared" si="3501"/>
        <v>#N/A</v>
      </c>
      <c r="D1740" s="39" t="e">
        <f t="shared" si="3501"/>
        <v>#N/A</v>
      </c>
      <c r="E1740" s="16" t="e">
        <f t="shared" si="1"/>
        <v>#N/A</v>
      </c>
      <c r="F1740" s="16" t="e">
        <f t="shared" ref="F1740:K1740" si="3502">VLOOKUP($A1740,'[5]Integración Social'!$A$1:$O$233,F$1,0)</f>
        <v>#N/A</v>
      </c>
      <c r="G1740" s="39" t="e">
        <f t="shared" si="3502"/>
        <v>#N/A</v>
      </c>
      <c r="H1740" s="16" t="e">
        <f t="shared" si="3502"/>
        <v>#N/A</v>
      </c>
      <c r="I1740" s="16" t="e">
        <f t="shared" si="3502"/>
        <v>#N/A</v>
      </c>
      <c r="J1740" s="40" t="e">
        <f t="shared" si="3502"/>
        <v>#N/A</v>
      </c>
      <c r="K1740" s="16" t="e">
        <f t="shared" si="3502"/>
        <v>#N/A</v>
      </c>
      <c r="L1740" s="40" t="e">
        <f t="shared" si="3025"/>
        <v>#N/A</v>
      </c>
      <c r="M1740" s="16" t="e">
        <f t="shared" si="3026"/>
        <v>#N/A</v>
      </c>
      <c r="N1740" s="16" t="e">
        <f t="shared" si="3027"/>
        <v>#N/A</v>
      </c>
      <c r="O1740" s="16" t="s">
        <v>69</v>
      </c>
      <c r="P1740" s="16" t="str">
        <f t="shared" si="6"/>
        <v/>
      </c>
      <c r="Q1740" s="41" t="e">
        <f t="shared" si="3028"/>
        <v>#N/A</v>
      </c>
      <c r="R1740" s="44"/>
      <c r="S1740" s="44"/>
      <c r="T1740" s="43"/>
      <c r="U1740" s="43" t="str">
        <f t="shared" si="8"/>
        <v>No</v>
      </c>
      <c r="V1740" s="25"/>
      <c r="W1740" s="25"/>
      <c r="X1740" s="25"/>
      <c r="Y1740" s="25"/>
      <c r="Z1740" s="25"/>
    </row>
    <row r="1741" spans="1:26" ht="15.75" customHeight="1" x14ac:dyDescent="0.25">
      <c r="A1741" s="25">
        <v>1739</v>
      </c>
      <c r="B1741" s="37" t="e">
        <f t="shared" ref="B1741:D1741" si="3503">VLOOKUP($A1741,'[5]Integración Social'!$A$1:$O$233,B$1,0)</f>
        <v>#N/A</v>
      </c>
      <c r="C1741" s="38" t="e">
        <f t="shared" si="3503"/>
        <v>#N/A</v>
      </c>
      <c r="D1741" s="39" t="e">
        <f t="shared" si="3503"/>
        <v>#N/A</v>
      </c>
      <c r="E1741" s="16" t="e">
        <f t="shared" si="1"/>
        <v>#N/A</v>
      </c>
      <c r="F1741" s="16" t="e">
        <f t="shared" ref="F1741:K1741" si="3504">VLOOKUP($A1741,'[5]Integración Social'!$A$1:$O$233,F$1,0)</f>
        <v>#N/A</v>
      </c>
      <c r="G1741" s="39" t="e">
        <f t="shared" si="3504"/>
        <v>#N/A</v>
      </c>
      <c r="H1741" s="16" t="e">
        <f t="shared" si="3504"/>
        <v>#N/A</v>
      </c>
      <c r="I1741" s="16" t="e">
        <f t="shared" si="3504"/>
        <v>#N/A</v>
      </c>
      <c r="J1741" s="40" t="e">
        <f t="shared" si="3504"/>
        <v>#N/A</v>
      </c>
      <c r="K1741" s="16" t="e">
        <f t="shared" si="3504"/>
        <v>#N/A</v>
      </c>
      <c r="L1741" s="40" t="e">
        <f t="shared" si="3025"/>
        <v>#N/A</v>
      </c>
      <c r="M1741" s="16" t="e">
        <f t="shared" si="3026"/>
        <v>#N/A</v>
      </c>
      <c r="N1741" s="16" t="e">
        <f t="shared" si="3027"/>
        <v>#N/A</v>
      </c>
      <c r="O1741" s="16" t="s">
        <v>69</v>
      </c>
      <c r="P1741" s="16" t="str">
        <f t="shared" si="6"/>
        <v/>
      </c>
      <c r="Q1741" s="41" t="e">
        <f t="shared" si="3028"/>
        <v>#N/A</v>
      </c>
      <c r="R1741" s="44"/>
      <c r="S1741" s="44"/>
      <c r="T1741" s="43"/>
      <c r="U1741" s="43" t="str">
        <f t="shared" si="8"/>
        <v>No</v>
      </c>
      <c r="V1741" s="25"/>
      <c r="W1741" s="25"/>
      <c r="X1741" s="25"/>
      <c r="Y1741" s="25"/>
      <c r="Z1741" s="25"/>
    </row>
    <row r="1742" spans="1:26" ht="15.75" customHeight="1" x14ac:dyDescent="0.25">
      <c r="A1742" s="25">
        <v>1740</v>
      </c>
      <c r="B1742" s="37" t="e">
        <f t="shared" ref="B1742:D1742" si="3505">VLOOKUP($A1742,'[5]Integración Social'!$A$1:$O$233,B$1,0)</f>
        <v>#N/A</v>
      </c>
      <c r="C1742" s="38" t="e">
        <f t="shared" si="3505"/>
        <v>#N/A</v>
      </c>
      <c r="D1742" s="39" t="e">
        <f t="shared" si="3505"/>
        <v>#N/A</v>
      </c>
      <c r="E1742" s="16" t="e">
        <f t="shared" si="1"/>
        <v>#N/A</v>
      </c>
      <c r="F1742" s="16" t="e">
        <f t="shared" ref="F1742:K1742" si="3506">VLOOKUP($A1742,'[5]Integración Social'!$A$1:$O$233,F$1,0)</f>
        <v>#N/A</v>
      </c>
      <c r="G1742" s="39" t="e">
        <f t="shared" si="3506"/>
        <v>#N/A</v>
      </c>
      <c r="H1742" s="16" t="e">
        <f t="shared" si="3506"/>
        <v>#N/A</v>
      </c>
      <c r="I1742" s="16" t="e">
        <f t="shared" si="3506"/>
        <v>#N/A</v>
      </c>
      <c r="J1742" s="40" t="e">
        <f t="shared" si="3506"/>
        <v>#N/A</v>
      </c>
      <c r="K1742" s="16" t="e">
        <f t="shared" si="3506"/>
        <v>#N/A</v>
      </c>
      <c r="L1742" s="40" t="e">
        <f t="shared" si="3025"/>
        <v>#N/A</v>
      </c>
      <c r="M1742" s="16" t="e">
        <f t="shared" si="3026"/>
        <v>#N/A</v>
      </c>
      <c r="N1742" s="16" t="e">
        <f t="shared" si="3027"/>
        <v>#N/A</v>
      </c>
      <c r="O1742" s="16" t="s">
        <v>69</v>
      </c>
      <c r="P1742" s="16" t="str">
        <f t="shared" si="6"/>
        <v/>
      </c>
      <c r="Q1742" s="41" t="e">
        <f t="shared" si="3028"/>
        <v>#N/A</v>
      </c>
      <c r="R1742" s="44"/>
      <c r="S1742" s="44"/>
      <c r="T1742" s="43"/>
      <c r="U1742" s="43" t="str">
        <f t="shared" si="8"/>
        <v>No</v>
      </c>
      <c r="V1742" s="25"/>
      <c r="W1742" s="25"/>
      <c r="X1742" s="25"/>
      <c r="Y1742" s="25"/>
      <c r="Z1742" s="25"/>
    </row>
    <row r="1743" spans="1:26" ht="15.75" customHeight="1" x14ac:dyDescent="0.25">
      <c r="A1743" s="25">
        <v>1741</v>
      </c>
      <c r="B1743" s="37" t="e">
        <f t="shared" ref="B1743:D1743" si="3507">VLOOKUP($A1743,'[5]Integración Social'!$A$1:$O$233,B$1,0)</f>
        <v>#N/A</v>
      </c>
      <c r="C1743" s="38" t="e">
        <f t="shared" si="3507"/>
        <v>#N/A</v>
      </c>
      <c r="D1743" s="39" t="e">
        <f t="shared" si="3507"/>
        <v>#N/A</v>
      </c>
      <c r="E1743" s="16" t="e">
        <f t="shared" si="1"/>
        <v>#N/A</v>
      </c>
      <c r="F1743" s="16" t="e">
        <f t="shared" ref="F1743:K1743" si="3508">VLOOKUP($A1743,'[5]Integración Social'!$A$1:$O$233,F$1,0)</f>
        <v>#N/A</v>
      </c>
      <c r="G1743" s="39" t="e">
        <f t="shared" si="3508"/>
        <v>#N/A</v>
      </c>
      <c r="H1743" s="16" t="e">
        <f t="shared" si="3508"/>
        <v>#N/A</v>
      </c>
      <c r="I1743" s="16" t="e">
        <f t="shared" si="3508"/>
        <v>#N/A</v>
      </c>
      <c r="J1743" s="40" t="e">
        <f t="shared" si="3508"/>
        <v>#N/A</v>
      </c>
      <c r="K1743" s="16" t="e">
        <f t="shared" si="3508"/>
        <v>#N/A</v>
      </c>
      <c r="L1743" s="40" t="e">
        <f t="shared" si="3025"/>
        <v>#N/A</v>
      </c>
      <c r="M1743" s="16" t="e">
        <f t="shared" si="3026"/>
        <v>#N/A</v>
      </c>
      <c r="N1743" s="16" t="e">
        <f t="shared" si="3027"/>
        <v>#N/A</v>
      </c>
      <c r="O1743" s="16" t="s">
        <v>69</v>
      </c>
      <c r="P1743" s="16" t="str">
        <f t="shared" si="6"/>
        <v/>
      </c>
      <c r="Q1743" s="41" t="e">
        <f t="shared" si="3028"/>
        <v>#N/A</v>
      </c>
      <c r="R1743" s="44"/>
      <c r="S1743" s="44"/>
      <c r="T1743" s="43"/>
      <c r="U1743" s="43" t="str">
        <f t="shared" si="8"/>
        <v>No</v>
      </c>
      <c r="V1743" s="25"/>
      <c r="W1743" s="25"/>
      <c r="X1743" s="25"/>
      <c r="Y1743" s="25"/>
      <c r="Z1743" s="25"/>
    </row>
    <row r="1744" spans="1:26" ht="15.75" customHeight="1" x14ac:dyDescent="0.25">
      <c r="A1744" s="25">
        <v>1742</v>
      </c>
      <c r="B1744" s="37" t="e">
        <f t="shared" ref="B1744:D1744" si="3509">VLOOKUP($A1744,'[5]Integración Social'!$A$1:$O$233,B$1,0)</f>
        <v>#N/A</v>
      </c>
      <c r="C1744" s="38" t="e">
        <f t="shared" si="3509"/>
        <v>#N/A</v>
      </c>
      <c r="D1744" s="39" t="e">
        <f t="shared" si="3509"/>
        <v>#N/A</v>
      </c>
      <c r="E1744" s="16" t="e">
        <f t="shared" si="1"/>
        <v>#N/A</v>
      </c>
      <c r="F1744" s="16" t="e">
        <f t="shared" ref="F1744:K1744" si="3510">VLOOKUP($A1744,'[5]Integración Social'!$A$1:$O$233,F$1,0)</f>
        <v>#N/A</v>
      </c>
      <c r="G1744" s="39" t="e">
        <f t="shared" si="3510"/>
        <v>#N/A</v>
      </c>
      <c r="H1744" s="16" t="e">
        <f t="shared" si="3510"/>
        <v>#N/A</v>
      </c>
      <c r="I1744" s="16" t="e">
        <f t="shared" si="3510"/>
        <v>#N/A</v>
      </c>
      <c r="J1744" s="40" t="e">
        <f t="shared" si="3510"/>
        <v>#N/A</v>
      </c>
      <c r="K1744" s="16" t="e">
        <f t="shared" si="3510"/>
        <v>#N/A</v>
      </c>
      <c r="L1744" s="40" t="e">
        <f t="shared" si="3025"/>
        <v>#N/A</v>
      </c>
      <c r="M1744" s="16" t="e">
        <f t="shared" si="3026"/>
        <v>#N/A</v>
      </c>
      <c r="N1744" s="16" t="e">
        <f t="shared" si="3027"/>
        <v>#N/A</v>
      </c>
      <c r="O1744" s="16" t="s">
        <v>69</v>
      </c>
      <c r="P1744" s="16" t="str">
        <f t="shared" si="6"/>
        <v/>
      </c>
      <c r="Q1744" s="41" t="e">
        <f t="shared" si="3028"/>
        <v>#N/A</v>
      </c>
      <c r="R1744" s="44"/>
      <c r="S1744" s="44"/>
      <c r="T1744" s="43"/>
      <c r="U1744" s="43" t="str">
        <f t="shared" si="8"/>
        <v>No</v>
      </c>
      <c r="V1744" s="25"/>
      <c r="W1744" s="25"/>
      <c r="X1744" s="25"/>
      <c r="Y1744" s="25"/>
      <c r="Z1744" s="25"/>
    </row>
    <row r="1745" spans="1:26" ht="15.75" customHeight="1" x14ac:dyDescent="0.25">
      <c r="A1745" s="25">
        <v>1743</v>
      </c>
      <c r="B1745" s="37" t="e">
        <f t="shared" ref="B1745:D1745" si="3511">VLOOKUP($A1745,'[5]Integración Social'!$A$1:$O$233,B$1,0)</f>
        <v>#N/A</v>
      </c>
      <c r="C1745" s="38" t="e">
        <f t="shared" si="3511"/>
        <v>#N/A</v>
      </c>
      <c r="D1745" s="39" t="e">
        <f t="shared" si="3511"/>
        <v>#N/A</v>
      </c>
      <c r="E1745" s="16" t="e">
        <f t="shared" si="1"/>
        <v>#N/A</v>
      </c>
      <c r="F1745" s="16" t="e">
        <f t="shared" ref="F1745:K1745" si="3512">VLOOKUP($A1745,'[5]Integración Social'!$A$1:$O$233,F$1,0)</f>
        <v>#N/A</v>
      </c>
      <c r="G1745" s="39" t="e">
        <f t="shared" si="3512"/>
        <v>#N/A</v>
      </c>
      <c r="H1745" s="16" t="e">
        <f t="shared" si="3512"/>
        <v>#N/A</v>
      </c>
      <c r="I1745" s="16" t="e">
        <f t="shared" si="3512"/>
        <v>#N/A</v>
      </c>
      <c r="J1745" s="40" t="e">
        <f t="shared" si="3512"/>
        <v>#N/A</v>
      </c>
      <c r="K1745" s="16" t="e">
        <f t="shared" si="3512"/>
        <v>#N/A</v>
      </c>
      <c r="L1745" s="40" t="e">
        <f t="shared" si="3025"/>
        <v>#N/A</v>
      </c>
      <c r="M1745" s="16" t="e">
        <f t="shared" si="3026"/>
        <v>#N/A</v>
      </c>
      <c r="N1745" s="16" t="e">
        <f t="shared" si="3027"/>
        <v>#N/A</v>
      </c>
      <c r="O1745" s="16" t="s">
        <v>69</v>
      </c>
      <c r="P1745" s="16" t="str">
        <f t="shared" si="6"/>
        <v/>
      </c>
      <c r="Q1745" s="41" t="e">
        <f t="shared" si="3028"/>
        <v>#N/A</v>
      </c>
      <c r="R1745" s="44"/>
      <c r="S1745" s="44"/>
      <c r="T1745" s="43"/>
      <c r="U1745" s="43" t="str">
        <f t="shared" si="8"/>
        <v>No</v>
      </c>
      <c r="V1745" s="25"/>
      <c r="W1745" s="25"/>
      <c r="X1745" s="25"/>
      <c r="Y1745" s="25"/>
      <c r="Z1745" s="25"/>
    </row>
    <row r="1746" spans="1:26" ht="15.75" customHeight="1" x14ac:dyDescent="0.25">
      <c r="A1746" s="25">
        <v>1744</v>
      </c>
      <c r="B1746" s="37" t="e">
        <f t="shared" ref="B1746:D1746" si="3513">VLOOKUP($A1746,'[5]Integración Social'!$A$1:$O$233,B$1,0)</f>
        <v>#N/A</v>
      </c>
      <c r="C1746" s="38" t="e">
        <f t="shared" si="3513"/>
        <v>#N/A</v>
      </c>
      <c r="D1746" s="39" t="e">
        <f t="shared" si="3513"/>
        <v>#N/A</v>
      </c>
      <c r="E1746" s="16" t="e">
        <f t="shared" si="1"/>
        <v>#N/A</v>
      </c>
      <c r="F1746" s="16" t="e">
        <f t="shared" ref="F1746:K1746" si="3514">VLOOKUP($A1746,'[5]Integración Social'!$A$1:$O$233,F$1,0)</f>
        <v>#N/A</v>
      </c>
      <c r="G1746" s="39" t="e">
        <f t="shared" si="3514"/>
        <v>#N/A</v>
      </c>
      <c r="H1746" s="16" t="e">
        <f t="shared" si="3514"/>
        <v>#N/A</v>
      </c>
      <c r="I1746" s="16" t="e">
        <f t="shared" si="3514"/>
        <v>#N/A</v>
      </c>
      <c r="J1746" s="40" t="e">
        <f t="shared" si="3514"/>
        <v>#N/A</v>
      </c>
      <c r="K1746" s="16" t="e">
        <f t="shared" si="3514"/>
        <v>#N/A</v>
      </c>
      <c r="L1746" s="40" t="e">
        <f t="shared" si="3025"/>
        <v>#N/A</v>
      </c>
      <c r="M1746" s="16" t="e">
        <f t="shared" si="3026"/>
        <v>#N/A</v>
      </c>
      <c r="N1746" s="16" t="e">
        <f t="shared" si="3027"/>
        <v>#N/A</v>
      </c>
      <c r="O1746" s="16" t="s">
        <v>69</v>
      </c>
      <c r="P1746" s="16" t="str">
        <f t="shared" si="6"/>
        <v/>
      </c>
      <c r="Q1746" s="41" t="e">
        <f t="shared" si="3028"/>
        <v>#N/A</v>
      </c>
      <c r="R1746" s="44"/>
      <c r="S1746" s="44"/>
      <c r="T1746" s="43"/>
      <c r="U1746" s="43" t="str">
        <f t="shared" si="8"/>
        <v>No</v>
      </c>
      <c r="V1746" s="25"/>
      <c r="W1746" s="25"/>
      <c r="X1746" s="25"/>
      <c r="Y1746" s="25"/>
      <c r="Z1746" s="25"/>
    </row>
    <row r="1747" spans="1:26" ht="15.75" customHeight="1" x14ac:dyDescent="0.25">
      <c r="A1747" s="25">
        <v>1745</v>
      </c>
      <c r="B1747" s="37" t="e">
        <f t="shared" ref="B1747:D1747" si="3515">VLOOKUP($A1747,'[5]Integración Social'!$A$1:$O$233,B$1,0)</f>
        <v>#N/A</v>
      </c>
      <c r="C1747" s="38" t="e">
        <f t="shared" si="3515"/>
        <v>#N/A</v>
      </c>
      <c r="D1747" s="39" t="e">
        <f t="shared" si="3515"/>
        <v>#N/A</v>
      </c>
      <c r="E1747" s="16" t="e">
        <f t="shared" si="1"/>
        <v>#N/A</v>
      </c>
      <c r="F1747" s="16" t="e">
        <f t="shared" ref="F1747:K1747" si="3516">VLOOKUP($A1747,'[5]Integración Social'!$A$1:$O$233,F$1,0)</f>
        <v>#N/A</v>
      </c>
      <c r="G1747" s="39" t="e">
        <f t="shared" si="3516"/>
        <v>#N/A</v>
      </c>
      <c r="H1747" s="16" t="e">
        <f t="shared" si="3516"/>
        <v>#N/A</v>
      </c>
      <c r="I1747" s="16" t="e">
        <f t="shared" si="3516"/>
        <v>#N/A</v>
      </c>
      <c r="J1747" s="40" t="e">
        <f t="shared" si="3516"/>
        <v>#N/A</v>
      </c>
      <c r="K1747" s="16" t="e">
        <f t="shared" si="3516"/>
        <v>#N/A</v>
      </c>
      <c r="L1747" s="40" t="e">
        <f t="shared" si="3025"/>
        <v>#N/A</v>
      </c>
      <c r="M1747" s="16" t="e">
        <f t="shared" si="3026"/>
        <v>#N/A</v>
      </c>
      <c r="N1747" s="16" t="e">
        <f t="shared" si="3027"/>
        <v>#N/A</v>
      </c>
      <c r="O1747" s="16" t="s">
        <v>69</v>
      </c>
      <c r="P1747" s="16" t="str">
        <f t="shared" si="6"/>
        <v/>
      </c>
      <c r="Q1747" s="41" t="e">
        <f t="shared" si="3028"/>
        <v>#N/A</v>
      </c>
      <c r="R1747" s="44"/>
      <c r="S1747" s="44"/>
      <c r="T1747" s="43"/>
      <c r="U1747" s="43" t="str">
        <f t="shared" si="8"/>
        <v>No</v>
      </c>
      <c r="V1747" s="25"/>
      <c r="W1747" s="25"/>
      <c r="X1747" s="25"/>
      <c r="Y1747" s="25"/>
      <c r="Z1747" s="25"/>
    </row>
    <row r="1748" spans="1:26" ht="15.75" customHeight="1" x14ac:dyDescent="0.25">
      <c r="A1748" s="25">
        <v>1746</v>
      </c>
      <c r="B1748" s="37" t="e">
        <f t="shared" ref="B1748:D1748" si="3517">VLOOKUP($A1748,'[5]Integración Social'!$A$1:$O$233,B$1,0)</f>
        <v>#N/A</v>
      </c>
      <c r="C1748" s="38" t="e">
        <f t="shared" si="3517"/>
        <v>#N/A</v>
      </c>
      <c r="D1748" s="39" t="e">
        <f t="shared" si="3517"/>
        <v>#N/A</v>
      </c>
      <c r="E1748" s="16" t="e">
        <f t="shared" si="1"/>
        <v>#N/A</v>
      </c>
      <c r="F1748" s="16" t="e">
        <f t="shared" ref="F1748:K1748" si="3518">VLOOKUP($A1748,'[5]Integración Social'!$A$1:$O$233,F$1,0)</f>
        <v>#N/A</v>
      </c>
      <c r="G1748" s="39" t="e">
        <f t="shared" si="3518"/>
        <v>#N/A</v>
      </c>
      <c r="H1748" s="16" t="e">
        <f t="shared" si="3518"/>
        <v>#N/A</v>
      </c>
      <c r="I1748" s="16" t="e">
        <f t="shared" si="3518"/>
        <v>#N/A</v>
      </c>
      <c r="J1748" s="40" t="e">
        <f t="shared" si="3518"/>
        <v>#N/A</v>
      </c>
      <c r="K1748" s="16" t="e">
        <f t="shared" si="3518"/>
        <v>#N/A</v>
      </c>
      <c r="L1748" s="40" t="e">
        <f t="shared" si="3025"/>
        <v>#N/A</v>
      </c>
      <c r="M1748" s="16" t="e">
        <f t="shared" si="3026"/>
        <v>#N/A</v>
      </c>
      <c r="N1748" s="16" t="e">
        <f t="shared" si="3027"/>
        <v>#N/A</v>
      </c>
      <c r="O1748" s="16" t="s">
        <v>69</v>
      </c>
      <c r="P1748" s="16" t="str">
        <f t="shared" si="6"/>
        <v/>
      </c>
      <c r="Q1748" s="41" t="e">
        <f t="shared" si="3028"/>
        <v>#N/A</v>
      </c>
      <c r="R1748" s="44"/>
      <c r="S1748" s="44"/>
      <c r="T1748" s="43"/>
      <c r="U1748" s="43" t="str">
        <f t="shared" si="8"/>
        <v>No</v>
      </c>
      <c r="V1748" s="25"/>
      <c r="W1748" s="25"/>
      <c r="X1748" s="25"/>
      <c r="Y1748" s="25"/>
      <c r="Z1748" s="25"/>
    </row>
    <row r="1749" spans="1:26" ht="15.75" customHeight="1" x14ac:dyDescent="0.25">
      <c r="A1749" s="25">
        <v>1747</v>
      </c>
      <c r="B1749" s="37" t="e">
        <f t="shared" ref="B1749:D1749" si="3519">VLOOKUP($A1749,'[5]Integración Social'!$A$1:$O$233,B$1,0)</f>
        <v>#N/A</v>
      </c>
      <c r="C1749" s="38" t="e">
        <f t="shared" si="3519"/>
        <v>#N/A</v>
      </c>
      <c r="D1749" s="39" t="e">
        <f t="shared" si="3519"/>
        <v>#N/A</v>
      </c>
      <c r="E1749" s="16" t="e">
        <f t="shared" si="1"/>
        <v>#N/A</v>
      </c>
      <c r="F1749" s="16" t="e">
        <f t="shared" ref="F1749:K1749" si="3520">VLOOKUP($A1749,'[5]Integración Social'!$A$1:$O$233,F$1,0)</f>
        <v>#N/A</v>
      </c>
      <c r="G1749" s="39" t="e">
        <f t="shared" si="3520"/>
        <v>#N/A</v>
      </c>
      <c r="H1749" s="16" t="e">
        <f t="shared" si="3520"/>
        <v>#N/A</v>
      </c>
      <c r="I1749" s="16" t="e">
        <f t="shared" si="3520"/>
        <v>#N/A</v>
      </c>
      <c r="J1749" s="40" t="e">
        <f t="shared" si="3520"/>
        <v>#N/A</v>
      </c>
      <c r="K1749" s="16" t="e">
        <f t="shared" si="3520"/>
        <v>#N/A</v>
      </c>
      <c r="L1749" s="40" t="e">
        <f t="shared" si="3025"/>
        <v>#N/A</v>
      </c>
      <c r="M1749" s="16" t="e">
        <f t="shared" si="3026"/>
        <v>#N/A</v>
      </c>
      <c r="N1749" s="16" t="e">
        <f t="shared" si="3027"/>
        <v>#N/A</v>
      </c>
      <c r="O1749" s="16" t="s">
        <v>69</v>
      </c>
      <c r="P1749" s="16" t="str">
        <f t="shared" si="6"/>
        <v/>
      </c>
      <c r="Q1749" s="41" t="e">
        <f t="shared" si="3028"/>
        <v>#N/A</v>
      </c>
      <c r="R1749" s="44"/>
      <c r="S1749" s="44"/>
      <c r="T1749" s="43"/>
      <c r="U1749" s="43" t="str">
        <f t="shared" si="8"/>
        <v>No</v>
      </c>
      <c r="V1749" s="25"/>
      <c r="W1749" s="25"/>
      <c r="X1749" s="25"/>
      <c r="Y1749" s="25"/>
      <c r="Z1749" s="25"/>
    </row>
    <row r="1750" spans="1:26" ht="15.75" customHeight="1" x14ac:dyDescent="0.25">
      <c r="A1750" s="25">
        <v>1748</v>
      </c>
      <c r="B1750" s="37" t="e">
        <f t="shared" ref="B1750:D1750" si="3521">VLOOKUP($A1750,'[5]Integración Social'!$A$1:$O$233,B$1,0)</f>
        <v>#N/A</v>
      </c>
      <c r="C1750" s="38" t="e">
        <f t="shared" si="3521"/>
        <v>#N/A</v>
      </c>
      <c r="D1750" s="39" t="e">
        <f t="shared" si="3521"/>
        <v>#N/A</v>
      </c>
      <c r="E1750" s="16" t="e">
        <f t="shared" si="1"/>
        <v>#N/A</v>
      </c>
      <c r="F1750" s="16" t="e">
        <f t="shared" ref="F1750:K1750" si="3522">VLOOKUP($A1750,'[5]Integración Social'!$A$1:$O$233,F$1,0)</f>
        <v>#N/A</v>
      </c>
      <c r="G1750" s="39" t="e">
        <f t="shared" si="3522"/>
        <v>#N/A</v>
      </c>
      <c r="H1750" s="16" t="e">
        <f t="shared" si="3522"/>
        <v>#N/A</v>
      </c>
      <c r="I1750" s="16" t="e">
        <f t="shared" si="3522"/>
        <v>#N/A</v>
      </c>
      <c r="J1750" s="40" t="e">
        <f t="shared" si="3522"/>
        <v>#N/A</v>
      </c>
      <c r="K1750" s="16" t="e">
        <f t="shared" si="3522"/>
        <v>#N/A</v>
      </c>
      <c r="L1750" s="40" t="e">
        <f t="shared" si="3025"/>
        <v>#N/A</v>
      </c>
      <c r="M1750" s="16" t="e">
        <f t="shared" si="3026"/>
        <v>#N/A</v>
      </c>
      <c r="N1750" s="16" t="e">
        <f t="shared" si="3027"/>
        <v>#N/A</v>
      </c>
      <c r="O1750" s="16" t="s">
        <v>69</v>
      </c>
      <c r="P1750" s="16" t="str">
        <f t="shared" si="6"/>
        <v/>
      </c>
      <c r="Q1750" s="41" t="e">
        <f t="shared" si="3028"/>
        <v>#N/A</v>
      </c>
      <c r="R1750" s="44"/>
      <c r="S1750" s="44"/>
      <c r="T1750" s="43"/>
      <c r="U1750" s="43" t="str">
        <f t="shared" si="8"/>
        <v>No</v>
      </c>
      <c r="V1750" s="25"/>
      <c r="W1750" s="25"/>
      <c r="X1750" s="25"/>
      <c r="Y1750" s="25"/>
      <c r="Z1750" s="25"/>
    </row>
    <row r="1751" spans="1:26" ht="15.75" customHeight="1" x14ac:dyDescent="0.25">
      <c r="A1751" s="25">
        <v>1749</v>
      </c>
      <c r="B1751" s="37" t="e">
        <f t="shared" ref="B1751:D1751" si="3523">VLOOKUP($A1751,'[5]Integración Social'!$A$1:$O$233,B$1,0)</f>
        <v>#N/A</v>
      </c>
      <c r="C1751" s="38" t="e">
        <f t="shared" si="3523"/>
        <v>#N/A</v>
      </c>
      <c r="D1751" s="39" t="e">
        <f t="shared" si="3523"/>
        <v>#N/A</v>
      </c>
      <c r="E1751" s="16" t="e">
        <f t="shared" si="1"/>
        <v>#N/A</v>
      </c>
      <c r="F1751" s="16" t="e">
        <f t="shared" ref="F1751:K1751" si="3524">VLOOKUP($A1751,'[5]Integración Social'!$A$1:$O$233,F$1,0)</f>
        <v>#N/A</v>
      </c>
      <c r="G1751" s="39" t="e">
        <f t="shared" si="3524"/>
        <v>#N/A</v>
      </c>
      <c r="H1751" s="16" t="e">
        <f t="shared" si="3524"/>
        <v>#N/A</v>
      </c>
      <c r="I1751" s="16" t="e">
        <f t="shared" si="3524"/>
        <v>#N/A</v>
      </c>
      <c r="J1751" s="40" t="e">
        <f t="shared" si="3524"/>
        <v>#N/A</v>
      </c>
      <c r="K1751" s="16" t="e">
        <f t="shared" si="3524"/>
        <v>#N/A</v>
      </c>
      <c r="L1751" s="40" t="e">
        <f t="shared" si="3025"/>
        <v>#N/A</v>
      </c>
      <c r="M1751" s="16" t="e">
        <f t="shared" si="3026"/>
        <v>#N/A</v>
      </c>
      <c r="N1751" s="16" t="e">
        <f t="shared" si="3027"/>
        <v>#N/A</v>
      </c>
      <c r="O1751" s="16" t="s">
        <v>69</v>
      </c>
      <c r="P1751" s="16" t="str">
        <f t="shared" si="6"/>
        <v/>
      </c>
      <c r="Q1751" s="41" t="e">
        <f t="shared" si="3028"/>
        <v>#N/A</v>
      </c>
      <c r="R1751" s="44"/>
      <c r="S1751" s="44"/>
      <c r="T1751" s="43"/>
      <c r="U1751" s="43" t="str">
        <f t="shared" si="8"/>
        <v>No</v>
      </c>
      <c r="V1751" s="25"/>
      <c r="W1751" s="25"/>
      <c r="X1751" s="25"/>
      <c r="Y1751" s="25"/>
      <c r="Z1751" s="25"/>
    </row>
    <row r="1752" spans="1:26" ht="15.75" customHeight="1" x14ac:dyDescent="0.25">
      <c r="A1752" s="25">
        <v>1750</v>
      </c>
      <c r="B1752" s="37" t="e">
        <f t="shared" ref="B1752:D1752" si="3525">VLOOKUP($A1752,'[5]Integración Social'!$A$1:$O$233,B$1,0)</f>
        <v>#N/A</v>
      </c>
      <c r="C1752" s="38" t="e">
        <f t="shared" si="3525"/>
        <v>#N/A</v>
      </c>
      <c r="D1752" s="39" t="e">
        <f t="shared" si="3525"/>
        <v>#N/A</v>
      </c>
      <c r="E1752" s="16" t="e">
        <f t="shared" si="1"/>
        <v>#N/A</v>
      </c>
      <c r="F1752" s="16" t="e">
        <f t="shared" ref="F1752:K1752" si="3526">VLOOKUP($A1752,'[5]Integración Social'!$A$1:$O$233,F$1,0)</f>
        <v>#N/A</v>
      </c>
      <c r="G1752" s="39" t="e">
        <f t="shared" si="3526"/>
        <v>#N/A</v>
      </c>
      <c r="H1752" s="16" t="e">
        <f t="shared" si="3526"/>
        <v>#N/A</v>
      </c>
      <c r="I1752" s="16" t="e">
        <f t="shared" si="3526"/>
        <v>#N/A</v>
      </c>
      <c r="J1752" s="40" t="e">
        <f t="shared" si="3526"/>
        <v>#N/A</v>
      </c>
      <c r="K1752" s="16" t="e">
        <f t="shared" si="3526"/>
        <v>#N/A</v>
      </c>
      <c r="L1752" s="40" t="e">
        <f t="shared" si="3025"/>
        <v>#N/A</v>
      </c>
      <c r="M1752" s="16" t="e">
        <f t="shared" si="3026"/>
        <v>#N/A</v>
      </c>
      <c r="N1752" s="16" t="e">
        <f t="shared" si="3027"/>
        <v>#N/A</v>
      </c>
      <c r="O1752" s="16" t="s">
        <v>69</v>
      </c>
      <c r="P1752" s="16" t="str">
        <f t="shared" si="6"/>
        <v/>
      </c>
      <c r="Q1752" s="41" t="e">
        <f t="shared" si="3028"/>
        <v>#N/A</v>
      </c>
      <c r="R1752" s="44"/>
      <c r="S1752" s="44"/>
      <c r="T1752" s="43"/>
      <c r="U1752" s="43" t="str">
        <f t="shared" si="8"/>
        <v>No</v>
      </c>
      <c r="V1752" s="25"/>
      <c r="W1752" s="25"/>
      <c r="X1752" s="25"/>
      <c r="Y1752" s="25"/>
      <c r="Z1752" s="25"/>
    </row>
    <row r="1753" spans="1:26" ht="15.75" customHeight="1" x14ac:dyDescent="0.25">
      <c r="A1753" s="25">
        <v>1751</v>
      </c>
      <c r="B1753" s="37" t="e">
        <f t="shared" ref="B1753:D1753" si="3527">VLOOKUP($A1753,'[5]Integración Social'!$A$1:$O$233,B$1,0)</f>
        <v>#N/A</v>
      </c>
      <c r="C1753" s="38" t="e">
        <f t="shared" si="3527"/>
        <v>#N/A</v>
      </c>
      <c r="D1753" s="39" t="e">
        <f t="shared" si="3527"/>
        <v>#N/A</v>
      </c>
      <c r="E1753" s="16" t="e">
        <f t="shared" si="1"/>
        <v>#N/A</v>
      </c>
      <c r="F1753" s="16" t="e">
        <f t="shared" ref="F1753:K1753" si="3528">VLOOKUP($A1753,'[5]Integración Social'!$A$1:$O$233,F$1,0)</f>
        <v>#N/A</v>
      </c>
      <c r="G1753" s="39" t="e">
        <f t="shared" si="3528"/>
        <v>#N/A</v>
      </c>
      <c r="H1753" s="16" t="e">
        <f t="shared" si="3528"/>
        <v>#N/A</v>
      </c>
      <c r="I1753" s="16" t="e">
        <f t="shared" si="3528"/>
        <v>#N/A</v>
      </c>
      <c r="J1753" s="40" t="e">
        <f t="shared" si="3528"/>
        <v>#N/A</v>
      </c>
      <c r="K1753" s="16" t="e">
        <f t="shared" si="3528"/>
        <v>#N/A</v>
      </c>
      <c r="L1753" s="40" t="e">
        <f t="shared" si="3025"/>
        <v>#N/A</v>
      </c>
      <c r="M1753" s="16" t="e">
        <f t="shared" si="3026"/>
        <v>#N/A</v>
      </c>
      <c r="N1753" s="16" t="e">
        <f t="shared" si="3027"/>
        <v>#N/A</v>
      </c>
      <c r="O1753" s="16" t="s">
        <v>69</v>
      </c>
      <c r="P1753" s="16" t="str">
        <f t="shared" si="6"/>
        <v/>
      </c>
      <c r="Q1753" s="41" t="e">
        <f t="shared" si="3028"/>
        <v>#N/A</v>
      </c>
      <c r="R1753" s="44"/>
      <c r="S1753" s="44"/>
      <c r="T1753" s="43"/>
      <c r="U1753" s="43" t="str">
        <f t="shared" si="8"/>
        <v>No</v>
      </c>
      <c r="V1753" s="25"/>
      <c r="W1753" s="25"/>
      <c r="X1753" s="25"/>
      <c r="Y1753" s="25"/>
      <c r="Z1753" s="25"/>
    </row>
    <row r="1754" spans="1:26" ht="15.75" customHeight="1" x14ac:dyDescent="0.25">
      <c r="A1754" s="25">
        <v>1752</v>
      </c>
      <c r="B1754" s="37" t="e">
        <f t="shared" ref="B1754:D1754" si="3529">VLOOKUP($A1754,'[5]Integración Social'!$A$1:$O$233,B$1,0)</f>
        <v>#N/A</v>
      </c>
      <c r="C1754" s="38" t="e">
        <f t="shared" si="3529"/>
        <v>#N/A</v>
      </c>
      <c r="D1754" s="39" t="e">
        <f t="shared" si="3529"/>
        <v>#N/A</v>
      </c>
      <c r="E1754" s="16" t="e">
        <f t="shared" si="1"/>
        <v>#N/A</v>
      </c>
      <c r="F1754" s="16" t="e">
        <f t="shared" ref="F1754:K1754" si="3530">VLOOKUP($A1754,'[5]Integración Social'!$A$1:$O$233,F$1,0)</f>
        <v>#N/A</v>
      </c>
      <c r="G1754" s="39" t="e">
        <f t="shared" si="3530"/>
        <v>#N/A</v>
      </c>
      <c r="H1754" s="16" t="e">
        <f t="shared" si="3530"/>
        <v>#N/A</v>
      </c>
      <c r="I1754" s="16" t="e">
        <f t="shared" si="3530"/>
        <v>#N/A</v>
      </c>
      <c r="J1754" s="40" t="e">
        <f t="shared" si="3530"/>
        <v>#N/A</v>
      </c>
      <c r="K1754" s="16" t="e">
        <f t="shared" si="3530"/>
        <v>#N/A</v>
      </c>
      <c r="L1754" s="40" t="e">
        <f t="shared" si="3025"/>
        <v>#N/A</v>
      </c>
      <c r="M1754" s="16" t="e">
        <f t="shared" si="3026"/>
        <v>#N/A</v>
      </c>
      <c r="N1754" s="16" t="e">
        <f t="shared" si="3027"/>
        <v>#N/A</v>
      </c>
      <c r="O1754" s="16" t="s">
        <v>69</v>
      </c>
      <c r="P1754" s="16" t="str">
        <f t="shared" si="6"/>
        <v/>
      </c>
      <c r="Q1754" s="41" t="e">
        <f t="shared" si="3028"/>
        <v>#N/A</v>
      </c>
      <c r="R1754" s="44"/>
      <c r="S1754" s="44"/>
      <c r="T1754" s="43"/>
      <c r="U1754" s="43" t="str">
        <f t="shared" si="8"/>
        <v>No</v>
      </c>
      <c r="V1754" s="25"/>
      <c r="W1754" s="25"/>
      <c r="X1754" s="25"/>
      <c r="Y1754" s="25"/>
      <c r="Z1754" s="25"/>
    </row>
    <row r="1755" spans="1:26" ht="15.75" customHeight="1" x14ac:dyDescent="0.25">
      <c r="A1755" s="25">
        <v>1753</v>
      </c>
      <c r="B1755" s="37" t="e">
        <f t="shared" ref="B1755:D1755" si="3531">VLOOKUP($A1755,'[5]Integración Social'!$A$1:$O$233,B$1,0)</f>
        <v>#N/A</v>
      </c>
      <c r="C1755" s="38" t="e">
        <f t="shared" si="3531"/>
        <v>#N/A</v>
      </c>
      <c r="D1755" s="39" t="e">
        <f t="shared" si="3531"/>
        <v>#N/A</v>
      </c>
      <c r="E1755" s="16" t="e">
        <f t="shared" si="1"/>
        <v>#N/A</v>
      </c>
      <c r="F1755" s="16" t="e">
        <f t="shared" ref="F1755:K1755" si="3532">VLOOKUP($A1755,'[5]Integración Social'!$A$1:$O$233,F$1,0)</f>
        <v>#N/A</v>
      </c>
      <c r="G1755" s="39" t="e">
        <f t="shared" si="3532"/>
        <v>#N/A</v>
      </c>
      <c r="H1755" s="16" t="e">
        <f t="shared" si="3532"/>
        <v>#N/A</v>
      </c>
      <c r="I1755" s="16" t="e">
        <f t="shared" si="3532"/>
        <v>#N/A</v>
      </c>
      <c r="J1755" s="40" t="e">
        <f t="shared" si="3532"/>
        <v>#N/A</v>
      </c>
      <c r="K1755" s="16" t="e">
        <f t="shared" si="3532"/>
        <v>#N/A</v>
      </c>
      <c r="L1755" s="40" t="e">
        <f t="shared" si="3025"/>
        <v>#N/A</v>
      </c>
      <c r="M1755" s="16" t="e">
        <f t="shared" si="3026"/>
        <v>#N/A</v>
      </c>
      <c r="N1755" s="16" t="e">
        <f t="shared" si="3027"/>
        <v>#N/A</v>
      </c>
      <c r="O1755" s="16" t="s">
        <v>69</v>
      </c>
      <c r="P1755" s="16" t="str">
        <f t="shared" si="6"/>
        <v/>
      </c>
      <c r="Q1755" s="41" t="e">
        <f t="shared" si="3028"/>
        <v>#N/A</v>
      </c>
      <c r="R1755" s="44"/>
      <c r="S1755" s="44"/>
      <c r="T1755" s="43"/>
      <c r="U1755" s="43" t="str">
        <f t="shared" si="8"/>
        <v>No</v>
      </c>
      <c r="V1755" s="25"/>
      <c r="W1755" s="25"/>
      <c r="X1755" s="25"/>
      <c r="Y1755" s="25"/>
      <c r="Z1755" s="25"/>
    </row>
    <row r="1756" spans="1:26" ht="15.75" customHeight="1" x14ac:dyDescent="0.25">
      <c r="A1756" s="25">
        <v>1754</v>
      </c>
      <c r="B1756" s="37" t="e">
        <f t="shared" ref="B1756:D1756" si="3533">VLOOKUP($A1756,'[5]Integración Social'!$A$1:$O$233,B$1,0)</f>
        <v>#N/A</v>
      </c>
      <c r="C1756" s="38" t="e">
        <f t="shared" si="3533"/>
        <v>#N/A</v>
      </c>
      <c r="D1756" s="39" t="e">
        <f t="shared" si="3533"/>
        <v>#N/A</v>
      </c>
      <c r="E1756" s="16" t="e">
        <f t="shared" si="1"/>
        <v>#N/A</v>
      </c>
      <c r="F1756" s="16" t="e">
        <f t="shared" ref="F1756:K1756" si="3534">VLOOKUP($A1756,'[5]Integración Social'!$A$1:$O$233,F$1,0)</f>
        <v>#N/A</v>
      </c>
      <c r="G1756" s="39" t="e">
        <f t="shared" si="3534"/>
        <v>#N/A</v>
      </c>
      <c r="H1756" s="16" t="e">
        <f t="shared" si="3534"/>
        <v>#N/A</v>
      </c>
      <c r="I1756" s="16" t="e">
        <f t="shared" si="3534"/>
        <v>#N/A</v>
      </c>
      <c r="J1756" s="40" t="e">
        <f t="shared" si="3534"/>
        <v>#N/A</v>
      </c>
      <c r="K1756" s="16" t="e">
        <f t="shared" si="3534"/>
        <v>#N/A</v>
      </c>
      <c r="L1756" s="40" t="e">
        <f t="shared" si="3025"/>
        <v>#N/A</v>
      </c>
      <c r="M1756" s="16" t="e">
        <f t="shared" si="3026"/>
        <v>#N/A</v>
      </c>
      <c r="N1756" s="16" t="e">
        <f t="shared" si="3027"/>
        <v>#N/A</v>
      </c>
      <c r="O1756" s="16" t="s">
        <v>69</v>
      </c>
      <c r="P1756" s="16" t="str">
        <f t="shared" si="6"/>
        <v/>
      </c>
      <c r="Q1756" s="41" t="e">
        <f t="shared" si="3028"/>
        <v>#N/A</v>
      </c>
      <c r="R1756" s="44"/>
      <c r="S1756" s="44"/>
      <c r="T1756" s="43"/>
      <c r="U1756" s="43" t="str">
        <f t="shared" si="8"/>
        <v>No</v>
      </c>
      <c r="V1756" s="25"/>
      <c r="W1756" s="25"/>
      <c r="X1756" s="25"/>
      <c r="Y1756" s="25"/>
      <c r="Z1756" s="25"/>
    </row>
    <row r="1757" spans="1:26" ht="15.75" customHeight="1" x14ac:dyDescent="0.25">
      <c r="A1757" s="25">
        <v>1755</v>
      </c>
      <c r="B1757" s="37" t="e">
        <f t="shared" ref="B1757:D1757" si="3535">VLOOKUP($A1757,'[5]Integración Social'!$A$1:$O$233,B$1,0)</f>
        <v>#N/A</v>
      </c>
      <c r="C1757" s="38" t="e">
        <f t="shared" si="3535"/>
        <v>#N/A</v>
      </c>
      <c r="D1757" s="39" t="e">
        <f t="shared" si="3535"/>
        <v>#N/A</v>
      </c>
      <c r="E1757" s="16" t="e">
        <f t="shared" si="1"/>
        <v>#N/A</v>
      </c>
      <c r="F1757" s="16" t="e">
        <f t="shared" ref="F1757:K1757" si="3536">VLOOKUP($A1757,'[5]Integración Social'!$A$1:$O$233,F$1,0)</f>
        <v>#N/A</v>
      </c>
      <c r="G1757" s="39" t="e">
        <f t="shared" si="3536"/>
        <v>#N/A</v>
      </c>
      <c r="H1757" s="16" t="e">
        <f t="shared" si="3536"/>
        <v>#N/A</v>
      </c>
      <c r="I1757" s="16" t="e">
        <f t="shared" si="3536"/>
        <v>#N/A</v>
      </c>
      <c r="J1757" s="40" t="e">
        <f t="shared" si="3536"/>
        <v>#N/A</v>
      </c>
      <c r="K1757" s="16" t="e">
        <f t="shared" si="3536"/>
        <v>#N/A</v>
      </c>
      <c r="L1757" s="40" t="e">
        <f t="shared" si="3025"/>
        <v>#N/A</v>
      </c>
      <c r="M1757" s="16" t="e">
        <f t="shared" si="3026"/>
        <v>#N/A</v>
      </c>
      <c r="N1757" s="16" t="e">
        <f t="shared" si="3027"/>
        <v>#N/A</v>
      </c>
      <c r="O1757" s="16" t="s">
        <v>69</v>
      </c>
      <c r="P1757" s="16" t="str">
        <f t="shared" si="6"/>
        <v/>
      </c>
      <c r="Q1757" s="41" t="e">
        <f t="shared" si="3028"/>
        <v>#N/A</v>
      </c>
      <c r="R1757" s="44"/>
      <c r="S1757" s="44"/>
      <c r="T1757" s="43"/>
      <c r="U1757" s="43" t="str">
        <f t="shared" si="8"/>
        <v>No</v>
      </c>
      <c r="V1757" s="25"/>
      <c r="W1757" s="25"/>
      <c r="X1757" s="25"/>
      <c r="Y1757" s="25"/>
      <c r="Z1757" s="25"/>
    </row>
    <row r="1758" spans="1:26" ht="15.75" customHeight="1" x14ac:dyDescent="0.25">
      <c r="A1758" s="25">
        <v>1756</v>
      </c>
      <c r="B1758" s="37" t="e">
        <f t="shared" ref="B1758:D1758" si="3537">VLOOKUP($A1758,'[5]Integración Social'!$A$1:$O$233,B$1,0)</f>
        <v>#N/A</v>
      </c>
      <c r="C1758" s="38" t="e">
        <f t="shared" si="3537"/>
        <v>#N/A</v>
      </c>
      <c r="D1758" s="39" t="e">
        <f t="shared" si="3537"/>
        <v>#N/A</v>
      </c>
      <c r="E1758" s="16" t="e">
        <f t="shared" si="1"/>
        <v>#N/A</v>
      </c>
      <c r="F1758" s="16" t="e">
        <f t="shared" ref="F1758:K1758" si="3538">VLOOKUP($A1758,'[5]Integración Social'!$A$1:$O$233,F$1,0)</f>
        <v>#N/A</v>
      </c>
      <c r="G1758" s="39" t="e">
        <f t="shared" si="3538"/>
        <v>#N/A</v>
      </c>
      <c r="H1758" s="16" t="e">
        <f t="shared" si="3538"/>
        <v>#N/A</v>
      </c>
      <c r="I1758" s="16" t="e">
        <f t="shared" si="3538"/>
        <v>#N/A</v>
      </c>
      <c r="J1758" s="40" t="e">
        <f t="shared" si="3538"/>
        <v>#N/A</v>
      </c>
      <c r="K1758" s="16" t="e">
        <f t="shared" si="3538"/>
        <v>#N/A</v>
      </c>
      <c r="L1758" s="40" t="e">
        <f t="shared" si="3025"/>
        <v>#N/A</v>
      </c>
      <c r="M1758" s="16" t="e">
        <f t="shared" si="3026"/>
        <v>#N/A</v>
      </c>
      <c r="N1758" s="16" t="e">
        <f t="shared" si="3027"/>
        <v>#N/A</v>
      </c>
      <c r="O1758" s="16" t="s">
        <v>69</v>
      </c>
      <c r="P1758" s="16" t="str">
        <f t="shared" si="6"/>
        <v/>
      </c>
      <c r="Q1758" s="41" t="e">
        <f t="shared" si="3028"/>
        <v>#N/A</v>
      </c>
      <c r="R1758" s="44"/>
      <c r="S1758" s="44"/>
      <c r="T1758" s="43"/>
      <c r="U1758" s="43" t="str">
        <f t="shared" si="8"/>
        <v>No</v>
      </c>
      <c r="V1758" s="25"/>
      <c r="W1758" s="25"/>
      <c r="X1758" s="25"/>
      <c r="Y1758" s="25"/>
      <c r="Z1758" s="25"/>
    </row>
    <row r="1759" spans="1:26" ht="15.75" customHeight="1" x14ac:dyDescent="0.25">
      <c r="A1759" s="25">
        <v>1757</v>
      </c>
      <c r="B1759" s="37" t="e">
        <f t="shared" ref="B1759:D1759" si="3539">VLOOKUP($A1759,'[5]Integración Social'!$A$1:$O$233,B$1,0)</f>
        <v>#N/A</v>
      </c>
      <c r="C1759" s="38" t="e">
        <f t="shared" si="3539"/>
        <v>#N/A</v>
      </c>
      <c r="D1759" s="39" t="e">
        <f t="shared" si="3539"/>
        <v>#N/A</v>
      </c>
      <c r="E1759" s="16" t="e">
        <f t="shared" si="1"/>
        <v>#N/A</v>
      </c>
      <c r="F1759" s="16" t="e">
        <f t="shared" ref="F1759:K1759" si="3540">VLOOKUP($A1759,'[5]Integración Social'!$A$1:$O$233,F$1,0)</f>
        <v>#N/A</v>
      </c>
      <c r="G1759" s="39" t="e">
        <f t="shared" si="3540"/>
        <v>#N/A</v>
      </c>
      <c r="H1759" s="16" t="e">
        <f t="shared" si="3540"/>
        <v>#N/A</v>
      </c>
      <c r="I1759" s="16" t="e">
        <f t="shared" si="3540"/>
        <v>#N/A</v>
      </c>
      <c r="J1759" s="40" t="e">
        <f t="shared" si="3540"/>
        <v>#N/A</v>
      </c>
      <c r="K1759" s="16" t="e">
        <f t="shared" si="3540"/>
        <v>#N/A</v>
      </c>
      <c r="L1759" s="40" t="e">
        <f t="shared" si="3025"/>
        <v>#N/A</v>
      </c>
      <c r="M1759" s="16" t="e">
        <f t="shared" si="3026"/>
        <v>#N/A</v>
      </c>
      <c r="N1759" s="16" t="e">
        <f t="shared" si="3027"/>
        <v>#N/A</v>
      </c>
      <c r="O1759" s="16" t="s">
        <v>69</v>
      </c>
      <c r="P1759" s="16" t="str">
        <f t="shared" si="6"/>
        <v/>
      </c>
      <c r="Q1759" s="41" t="e">
        <f t="shared" si="3028"/>
        <v>#N/A</v>
      </c>
      <c r="R1759" s="44"/>
      <c r="S1759" s="44"/>
      <c r="T1759" s="43"/>
      <c r="U1759" s="43" t="str">
        <f t="shared" si="8"/>
        <v>No</v>
      </c>
      <c r="V1759" s="25"/>
      <c r="W1759" s="25"/>
      <c r="X1759" s="25"/>
      <c r="Y1759" s="25"/>
      <c r="Z1759" s="25"/>
    </row>
    <row r="1760" spans="1:26" ht="15.75" customHeight="1" x14ac:dyDescent="0.25">
      <c r="A1760" s="25">
        <v>1758</v>
      </c>
      <c r="B1760" s="37" t="e">
        <f t="shared" ref="B1760:D1760" si="3541">VLOOKUP($A1760,'[5]Integración Social'!$A$1:$O$233,B$1,0)</f>
        <v>#N/A</v>
      </c>
      <c r="C1760" s="38" t="e">
        <f t="shared" si="3541"/>
        <v>#N/A</v>
      </c>
      <c r="D1760" s="39" t="e">
        <f t="shared" si="3541"/>
        <v>#N/A</v>
      </c>
      <c r="E1760" s="16" t="e">
        <f t="shared" si="1"/>
        <v>#N/A</v>
      </c>
      <c r="F1760" s="16" t="e">
        <f t="shared" ref="F1760:K1760" si="3542">VLOOKUP($A1760,'[5]Integración Social'!$A$1:$O$233,F$1,0)</f>
        <v>#N/A</v>
      </c>
      <c r="G1760" s="39" t="e">
        <f t="shared" si="3542"/>
        <v>#N/A</v>
      </c>
      <c r="H1760" s="16" t="e">
        <f t="shared" si="3542"/>
        <v>#N/A</v>
      </c>
      <c r="I1760" s="16" t="e">
        <f t="shared" si="3542"/>
        <v>#N/A</v>
      </c>
      <c r="J1760" s="40" t="e">
        <f t="shared" si="3542"/>
        <v>#N/A</v>
      </c>
      <c r="K1760" s="16" t="e">
        <f t="shared" si="3542"/>
        <v>#N/A</v>
      </c>
      <c r="L1760" s="40" t="e">
        <f t="shared" si="3025"/>
        <v>#N/A</v>
      </c>
      <c r="M1760" s="16" t="e">
        <f t="shared" si="3026"/>
        <v>#N/A</v>
      </c>
      <c r="N1760" s="16" t="e">
        <f t="shared" si="3027"/>
        <v>#N/A</v>
      </c>
      <c r="O1760" s="16" t="s">
        <v>69</v>
      </c>
      <c r="P1760" s="16" t="str">
        <f t="shared" si="6"/>
        <v/>
      </c>
      <c r="Q1760" s="41" t="e">
        <f t="shared" si="3028"/>
        <v>#N/A</v>
      </c>
      <c r="R1760" s="44"/>
      <c r="S1760" s="44"/>
      <c r="T1760" s="43"/>
      <c r="U1760" s="43" t="str">
        <f t="shared" si="8"/>
        <v>No</v>
      </c>
      <c r="V1760" s="25"/>
      <c r="W1760" s="25"/>
      <c r="X1760" s="25"/>
      <c r="Y1760" s="25"/>
      <c r="Z1760" s="25"/>
    </row>
    <row r="1761" spans="1:26" ht="15.75" customHeight="1" x14ac:dyDescent="0.25">
      <c r="A1761" s="25">
        <v>1759</v>
      </c>
      <c r="B1761" s="37" t="e">
        <f t="shared" ref="B1761:D1761" si="3543">VLOOKUP($A1761,'[5]Integración Social'!$A$1:$O$233,B$1,0)</f>
        <v>#N/A</v>
      </c>
      <c r="C1761" s="38" t="e">
        <f t="shared" si="3543"/>
        <v>#N/A</v>
      </c>
      <c r="D1761" s="39" t="e">
        <f t="shared" si="3543"/>
        <v>#N/A</v>
      </c>
      <c r="E1761" s="16" t="e">
        <f t="shared" si="1"/>
        <v>#N/A</v>
      </c>
      <c r="F1761" s="16" t="e">
        <f t="shared" ref="F1761:K1761" si="3544">VLOOKUP($A1761,'[5]Integración Social'!$A$1:$O$233,F$1,0)</f>
        <v>#N/A</v>
      </c>
      <c r="G1761" s="39" t="e">
        <f t="shared" si="3544"/>
        <v>#N/A</v>
      </c>
      <c r="H1761" s="16" t="e">
        <f t="shared" si="3544"/>
        <v>#N/A</v>
      </c>
      <c r="I1761" s="16" t="e">
        <f t="shared" si="3544"/>
        <v>#N/A</v>
      </c>
      <c r="J1761" s="40" t="e">
        <f t="shared" si="3544"/>
        <v>#N/A</v>
      </c>
      <c r="K1761" s="16" t="e">
        <f t="shared" si="3544"/>
        <v>#N/A</v>
      </c>
      <c r="L1761" s="40" t="e">
        <f t="shared" si="3025"/>
        <v>#N/A</v>
      </c>
      <c r="M1761" s="16" t="e">
        <f t="shared" si="3026"/>
        <v>#N/A</v>
      </c>
      <c r="N1761" s="16" t="e">
        <f t="shared" si="3027"/>
        <v>#N/A</v>
      </c>
      <c r="O1761" s="16" t="s">
        <v>69</v>
      </c>
      <c r="P1761" s="16" t="str">
        <f t="shared" si="6"/>
        <v/>
      </c>
      <c r="Q1761" s="41" t="e">
        <f t="shared" si="3028"/>
        <v>#N/A</v>
      </c>
      <c r="R1761" s="44"/>
      <c r="S1761" s="44"/>
      <c r="T1761" s="43"/>
      <c r="U1761" s="43" t="str">
        <f t="shared" si="8"/>
        <v>No</v>
      </c>
      <c r="V1761" s="25"/>
      <c r="W1761" s="25"/>
      <c r="X1761" s="25"/>
      <c r="Y1761" s="25"/>
      <c r="Z1761" s="25"/>
    </row>
    <row r="1762" spans="1:26" ht="15.75" customHeight="1" x14ac:dyDescent="0.25">
      <c r="A1762" s="25">
        <v>1760</v>
      </c>
      <c r="B1762" s="37" t="e">
        <f t="shared" ref="B1762:D1762" si="3545">VLOOKUP($A1762,'[5]Integración Social'!$A$1:$O$233,B$1,0)</f>
        <v>#N/A</v>
      </c>
      <c r="C1762" s="38" t="e">
        <f t="shared" si="3545"/>
        <v>#N/A</v>
      </c>
      <c r="D1762" s="39" t="e">
        <f t="shared" si="3545"/>
        <v>#N/A</v>
      </c>
      <c r="E1762" s="16" t="e">
        <f t="shared" si="1"/>
        <v>#N/A</v>
      </c>
      <c r="F1762" s="16" t="e">
        <f t="shared" ref="F1762:K1762" si="3546">VLOOKUP($A1762,'[5]Integración Social'!$A$1:$O$233,F$1,0)</f>
        <v>#N/A</v>
      </c>
      <c r="G1762" s="39" t="e">
        <f t="shared" si="3546"/>
        <v>#N/A</v>
      </c>
      <c r="H1762" s="16" t="e">
        <f t="shared" si="3546"/>
        <v>#N/A</v>
      </c>
      <c r="I1762" s="16" t="e">
        <f t="shared" si="3546"/>
        <v>#N/A</v>
      </c>
      <c r="J1762" s="40" t="e">
        <f t="shared" si="3546"/>
        <v>#N/A</v>
      </c>
      <c r="K1762" s="16" t="e">
        <f t="shared" si="3546"/>
        <v>#N/A</v>
      </c>
      <c r="L1762" s="40" t="e">
        <f t="shared" si="3025"/>
        <v>#N/A</v>
      </c>
      <c r="M1762" s="16" t="e">
        <f t="shared" si="3026"/>
        <v>#N/A</v>
      </c>
      <c r="N1762" s="16" t="e">
        <f t="shared" si="3027"/>
        <v>#N/A</v>
      </c>
      <c r="O1762" s="16" t="s">
        <v>69</v>
      </c>
      <c r="P1762" s="16" t="str">
        <f t="shared" si="6"/>
        <v/>
      </c>
      <c r="Q1762" s="41" t="e">
        <f t="shared" si="3028"/>
        <v>#N/A</v>
      </c>
      <c r="R1762" s="44"/>
      <c r="S1762" s="44"/>
      <c r="T1762" s="43"/>
      <c r="U1762" s="43" t="str">
        <f t="shared" si="8"/>
        <v>No</v>
      </c>
      <c r="V1762" s="25"/>
      <c r="W1762" s="25"/>
      <c r="X1762" s="25"/>
      <c r="Y1762" s="25"/>
      <c r="Z1762" s="25"/>
    </row>
    <row r="1763" spans="1:26" ht="15.75" customHeight="1" x14ac:dyDescent="0.25">
      <c r="A1763" s="25">
        <v>1761</v>
      </c>
      <c r="B1763" s="37" t="e">
        <f t="shared" ref="B1763:D1763" si="3547">VLOOKUP($A1763,'[5]Integración Social'!$A$1:$O$233,B$1,0)</f>
        <v>#N/A</v>
      </c>
      <c r="C1763" s="38" t="e">
        <f t="shared" si="3547"/>
        <v>#N/A</v>
      </c>
      <c r="D1763" s="39" t="e">
        <f t="shared" si="3547"/>
        <v>#N/A</v>
      </c>
      <c r="E1763" s="16" t="e">
        <f t="shared" si="1"/>
        <v>#N/A</v>
      </c>
      <c r="F1763" s="16" t="e">
        <f t="shared" ref="F1763:K1763" si="3548">VLOOKUP($A1763,'[5]Integración Social'!$A$1:$O$233,F$1,0)</f>
        <v>#N/A</v>
      </c>
      <c r="G1763" s="39" t="e">
        <f t="shared" si="3548"/>
        <v>#N/A</v>
      </c>
      <c r="H1763" s="16" t="e">
        <f t="shared" si="3548"/>
        <v>#N/A</v>
      </c>
      <c r="I1763" s="16" t="e">
        <f t="shared" si="3548"/>
        <v>#N/A</v>
      </c>
      <c r="J1763" s="40" t="e">
        <f t="shared" si="3548"/>
        <v>#N/A</v>
      </c>
      <c r="K1763" s="16" t="e">
        <f t="shared" si="3548"/>
        <v>#N/A</v>
      </c>
      <c r="L1763" s="40" t="e">
        <f t="shared" si="3025"/>
        <v>#N/A</v>
      </c>
      <c r="M1763" s="16" t="e">
        <f t="shared" si="3026"/>
        <v>#N/A</v>
      </c>
      <c r="N1763" s="16" t="e">
        <f t="shared" si="3027"/>
        <v>#N/A</v>
      </c>
      <c r="O1763" s="16" t="s">
        <v>69</v>
      </c>
      <c r="P1763" s="16" t="str">
        <f t="shared" si="6"/>
        <v/>
      </c>
      <c r="Q1763" s="41" t="e">
        <f t="shared" si="3028"/>
        <v>#N/A</v>
      </c>
      <c r="R1763" s="44"/>
      <c r="S1763" s="44"/>
      <c r="T1763" s="43"/>
      <c r="U1763" s="43" t="str">
        <f t="shared" si="8"/>
        <v>No</v>
      </c>
      <c r="V1763" s="25"/>
      <c r="W1763" s="25"/>
      <c r="X1763" s="25"/>
      <c r="Y1763" s="25"/>
      <c r="Z1763" s="25"/>
    </row>
    <row r="1764" spans="1:26" ht="15.75" customHeight="1" x14ac:dyDescent="0.25">
      <c r="A1764" s="25">
        <v>1762</v>
      </c>
      <c r="B1764" s="37" t="e">
        <f t="shared" ref="B1764:D1764" si="3549">VLOOKUP($A1764,'[5]Integración Social'!$A$1:$O$233,B$1,0)</f>
        <v>#N/A</v>
      </c>
      <c r="C1764" s="38" t="e">
        <f t="shared" si="3549"/>
        <v>#N/A</v>
      </c>
      <c r="D1764" s="39" t="e">
        <f t="shared" si="3549"/>
        <v>#N/A</v>
      </c>
      <c r="E1764" s="16" t="e">
        <f t="shared" si="1"/>
        <v>#N/A</v>
      </c>
      <c r="F1764" s="16" t="e">
        <f t="shared" ref="F1764:K1764" si="3550">VLOOKUP($A1764,'[5]Integración Social'!$A$1:$O$233,F$1,0)</f>
        <v>#N/A</v>
      </c>
      <c r="G1764" s="39" t="e">
        <f t="shared" si="3550"/>
        <v>#N/A</v>
      </c>
      <c r="H1764" s="16" t="e">
        <f t="shared" si="3550"/>
        <v>#N/A</v>
      </c>
      <c r="I1764" s="16" t="e">
        <f t="shared" si="3550"/>
        <v>#N/A</v>
      </c>
      <c r="J1764" s="40" t="e">
        <f t="shared" si="3550"/>
        <v>#N/A</v>
      </c>
      <c r="K1764" s="16" t="e">
        <f t="shared" si="3550"/>
        <v>#N/A</v>
      </c>
      <c r="L1764" s="40" t="e">
        <f t="shared" si="3025"/>
        <v>#N/A</v>
      </c>
      <c r="M1764" s="16" t="e">
        <f t="shared" si="3026"/>
        <v>#N/A</v>
      </c>
      <c r="N1764" s="16" t="e">
        <f t="shared" si="3027"/>
        <v>#N/A</v>
      </c>
      <c r="O1764" s="16" t="s">
        <v>69</v>
      </c>
      <c r="P1764" s="16" t="str">
        <f t="shared" si="6"/>
        <v/>
      </c>
      <c r="Q1764" s="41" t="e">
        <f t="shared" si="3028"/>
        <v>#N/A</v>
      </c>
      <c r="R1764" s="44"/>
      <c r="S1764" s="44"/>
      <c r="T1764" s="43"/>
      <c r="U1764" s="43" t="str">
        <f t="shared" si="8"/>
        <v>No</v>
      </c>
      <c r="V1764" s="25"/>
      <c r="W1764" s="25"/>
      <c r="X1764" s="25"/>
      <c r="Y1764" s="25"/>
      <c r="Z1764" s="25"/>
    </row>
    <row r="1765" spans="1:26" ht="15.75" customHeight="1" x14ac:dyDescent="0.25">
      <c r="A1765" s="25">
        <v>1763</v>
      </c>
      <c r="B1765" s="37" t="e">
        <f t="shared" ref="B1765:D1765" si="3551">VLOOKUP($A1765,'[5]Integración Social'!$A$1:$O$233,B$1,0)</f>
        <v>#N/A</v>
      </c>
      <c r="C1765" s="38" t="e">
        <f t="shared" si="3551"/>
        <v>#N/A</v>
      </c>
      <c r="D1765" s="39" t="e">
        <f t="shared" si="3551"/>
        <v>#N/A</v>
      </c>
      <c r="E1765" s="16" t="e">
        <f t="shared" si="1"/>
        <v>#N/A</v>
      </c>
      <c r="F1765" s="16" t="e">
        <f t="shared" ref="F1765:K1765" si="3552">VLOOKUP($A1765,'[5]Integración Social'!$A$1:$O$233,F$1,0)</f>
        <v>#N/A</v>
      </c>
      <c r="G1765" s="39" t="e">
        <f t="shared" si="3552"/>
        <v>#N/A</v>
      </c>
      <c r="H1765" s="16" t="e">
        <f t="shared" si="3552"/>
        <v>#N/A</v>
      </c>
      <c r="I1765" s="16" t="e">
        <f t="shared" si="3552"/>
        <v>#N/A</v>
      </c>
      <c r="J1765" s="40" t="e">
        <f t="shared" si="3552"/>
        <v>#N/A</v>
      </c>
      <c r="K1765" s="16" t="e">
        <f t="shared" si="3552"/>
        <v>#N/A</v>
      </c>
      <c r="L1765" s="40" t="e">
        <f t="shared" si="3025"/>
        <v>#N/A</v>
      </c>
      <c r="M1765" s="16" t="e">
        <f t="shared" si="3026"/>
        <v>#N/A</v>
      </c>
      <c r="N1765" s="16" t="e">
        <f t="shared" si="3027"/>
        <v>#N/A</v>
      </c>
      <c r="O1765" s="16" t="s">
        <v>69</v>
      </c>
      <c r="P1765" s="16" t="str">
        <f t="shared" si="6"/>
        <v/>
      </c>
      <c r="Q1765" s="41" t="e">
        <f t="shared" si="3028"/>
        <v>#N/A</v>
      </c>
      <c r="R1765" s="44"/>
      <c r="S1765" s="44"/>
      <c r="T1765" s="43"/>
      <c r="U1765" s="43" t="str">
        <f t="shared" si="8"/>
        <v>No</v>
      </c>
      <c r="V1765" s="25"/>
      <c r="W1765" s="25"/>
      <c r="X1765" s="25"/>
      <c r="Y1765" s="25"/>
      <c r="Z1765" s="25"/>
    </row>
    <row r="1766" spans="1:26" ht="15.75" customHeight="1" x14ac:dyDescent="0.25">
      <c r="A1766" s="25">
        <v>1764</v>
      </c>
      <c r="B1766" s="37" t="e">
        <f t="shared" ref="B1766:D1766" si="3553">VLOOKUP($A1766,'[5]Integración Social'!$A$1:$O$233,B$1,0)</f>
        <v>#N/A</v>
      </c>
      <c r="C1766" s="38" t="e">
        <f t="shared" si="3553"/>
        <v>#N/A</v>
      </c>
      <c r="D1766" s="39" t="e">
        <f t="shared" si="3553"/>
        <v>#N/A</v>
      </c>
      <c r="E1766" s="16" t="e">
        <f t="shared" si="1"/>
        <v>#N/A</v>
      </c>
      <c r="F1766" s="16" t="e">
        <f t="shared" ref="F1766:K1766" si="3554">VLOOKUP($A1766,'[5]Integración Social'!$A$1:$O$233,F$1,0)</f>
        <v>#N/A</v>
      </c>
      <c r="G1766" s="39" t="e">
        <f t="shared" si="3554"/>
        <v>#N/A</v>
      </c>
      <c r="H1766" s="16" t="e">
        <f t="shared" si="3554"/>
        <v>#N/A</v>
      </c>
      <c r="I1766" s="16" t="e">
        <f t="shared" si="3554"/>
        <v>#N/A</v>
      </c>
      <c r="J1766" s="40" t="e">
        <f t="shared" si="3554"/>
        <v>#N/A</v>
      </c>
      <c r="K1766" s="16" t="e">
        <f t="shared" si="3554"/>
        <v>#N/A</v>
      </c>
      <c r="L1766" s="40" t="e">
        <f t="shared" si="3025"/>
        <v>#N/A</v>
      </c>
      <c r="M1766" s="16" t="e">
        <f t="shared" si="3026"/>
        <v>#N/A</v>
      </c>
      <c r="N1766" s="16" t="e">
        <f t="shared" si="3027"/>
        <v>#N/A</v>
      </c>
      <c r="O1766" s="16" t="s">
        <v>69</v>
      </c>
      <c r="P1766" s="16" t="str">
        <f t="shared" si="6"/>
        <v/>
      </c>
      <c r="Q1766" s="41" t="e">
        <f t="shared" si="3028"/>
        <v>#N/A</v>
      </c>
      <c r="R1766" s="44"/>
      <c r="S1766" s="44"/>
      <c r="T1766" s="43"/>
      <c r="U1766" s="43" t="str">
        <f t="shared" si="8"/>
        <v>No</v>
      </c>
      <c r="V1766" s="25"/>
      <c r="W1766" s="25"/>
      <c r="X1766" s="25"/>
      <c r="Y1766" s="25"/>
      <c r="Z1766" s="25"/>
    </row>
    <row r="1767" spans="1:26" ht="15.75" customHeight="1" x14ac:dyDescent="0.25">
      <c r="A1767" s="25">
        <v>1765</v>
      </c>
      <c r="B1767" s="37" t="e">
        <f t="shared" ref="B1767:D1767" si="3555">VLOOKUP($A1767,'[5]Integración Social'!$A$1:$O$233,B$1,0)</f>
        <v>#N/A</v>
      </c>
      <c r="C1767" s="38" t="e">
        <f t="shared" si="3555"/>
        <v>#N/A</v>
      </c>
      <c r="D1767" s="39" t="e">
        <f t="shared" si="3555"/>
        <v>#N/A</v>
      </c>
      <c r="E1767" s="16" t="e">
        <f t="shared" si="1"/>
        <v>#N/A</v>
      </c>
      <c r="F1767" s="16" t="e">
        <f t="shared" ref="F1767:K1767" si="3556">VLOOKUP($A1767,'[5]Integración Social'!$A$1:$O$233,F$1,0)</f>
        <v>#N/A</v>
      </c>
      <c r="G1767" s="39" t="e">
        <f t="shared" si="3556"/>
        <v>#N/A</v>
      </c>
      <c r="H1767" s="16" t="e">
        <f t="shared" si="3556"/>
        <v>#N/A</v>
      </c>
      <c r="I1767" s="16" t="e">
        <f t="shared" si="3556"/>
        <v>#N/A</v>
      </c>
      <c r="J1767" s="40" t="e">
        <f t="shared" si="3556"/>
        <v>#N/A</v>
      </c>
      <c r="K1767" s="16" t="e">
        <f t="shared" si="3556"/>
        <v>#N/A</v>
      </c>
      <c r="L1767" s="40" t="e">
        <f t="shared" si="3025"/>
        <v>#N/A</v>
      </c>
      <c r="M1767" s="16" t="e">
        <f t="shared" si="3026"/>
        <v>#N/A</v>
      </c>
      <c r="N1767" s="16" t="e">
        <f t="shared" si="3027"/>
        <v>#N/A</v>
      </c>
      <c r="O1767" s="16" t="s">
        <v>69</v>
      </c>
      <c r="P1767" s="16" t="str">
        <f t="shared" si="6"/>
        <v/>
      </c>
      <c r="Q1767" s="41" t="e">
        <f t="shared" si="3028"/>
        <v>#N/A</v>
      </c>
      <c r="R1767" s="44"/>
      <c r="S1767" s="44"/>
      <c r="T1767" s="43"/>
      <c r="U1767" s="43" t="str">
        <f t="shared" si="8"/>
        <v>No</v>
      </c>
      <c r="V1767" s="25"/>
      <c r="W1767" s="25"/>
      <c r="X1767" s="25"/>
      <c r="Y1767" s="25"/>
      <c r="Z1767" s="25"/>
    </row>
    <row r="1768" spans="1:26" ht="15.75" customHeight="1" x14ac:dyDescent="0.25">
      <c r="A1768" s="25">
        <v>1766</v>
      </c>
      <c r="B1768" s="37" t="e">
        <f t="shared" ref="B1768:D1768" si="3557">VLOOKUP($A1768,'[5]Integración Social'!$A$1:$O$233,B$1,0)</f>
        <v>#N/A</v>
      </c>
      <c r="C1768" s="38" t="e">
        <f t="shared" si="3557"/>
        <v>#N/A</v>
      </c>
      <c r="D1768" s="39" t="e">
        <f t="shared" si="3557"/>
        <v>#N/A</v>
      </c>
      <c r="E1768" s="16" t="e">
        <f t="shared" si="1"/>
        <v>#N/A</v>
      </c>
      <c r="F1768" s="16" t="e">
        <f t="shared" ref="F1768:K1768" si="3558">VLOOKUP($A1768,'[5]Integración Social'!$A$1:$O$233,F$1,0)</f>
        <v>#N/A</v>
      </c>
      <c r="G1768" s="39" t="e">
        <f t="shared" si="3558"/>
        <v>#N/A</v>
      </c>
      <c r="H1768" s="16" t="e">
        <f t="shared" si="3558"/>
        <v>#N/A</v>
      </c>
      <c r="I1768" s="16" t="e">
        <f t="shared" si="3558"/>
        <v>#N/A</v>
      </c>
      <c r="J1768" s="40" t="e">
        <f t="shared" si="3558"/>
        <v>#N/A</v>
      </c>
      <c r="K1768" s="16" t="e">
        <f t="shared" si="3558"/>
        <v>#N/A</v>
      </c>
      <c r="L1768" s="40" t="e">
        <f t="shared" si="3025"/>
        <v>#N/A</v>
      </c>
      <c r="M1768" s="16" t="e">
        <f t="shared" si="3026"/>
        <v>#N/A</v>
      </c>
      <c r="N1768" s="16" t="e">
        <f t="shared" si="3027"/>
        <v>#N/A</v>
      </c>
      <c r="O1768" s="16" t="s">
        <v>69</v>
      </c>
      <c r="P1768" s="16" t="str">
        <f t="shared" si="6"/>
        <v/>
      </c>
      <c r="Q1768" s="41" t="e">
        <f t="shared" si="3028"/>
        <v>#N/A</v>
      </c>
      <c r="R1768" s="44"/>
      <c r="S1768" s="44"/>
      <c r="T1768" s="43"/>
      <c r="U1768" s="43" t="str">
        <f t="shared" si="8"/>
        <v>No</v>
      </c>
      <c r="V1768" s="25"/>
      <c r="W1768" s="25"/>
      <c r="X1768" s="25"/>
      <c r="Y1768" s="25"/>
      <c r="Z1768" s="25"/>
    </row>
    <row r="1769" spans="1:26" ht="15.75" customHeight="1" x14ac:dyDescent="0.25">
      <c r="A1769" s="25">
        <v>1767</v>
      </c>
      <c r="B1769" s="37" t="e">
        <f t="shared" ref="B1769:D1769" si="3559">VLOOKUP($A1769,'[5]Integración Social'!$A$1:$O$233,B$1,0)</f>
        <v>#N/A</v>
      </c>
      <c r="C1769" s="38" t="e">
        <f t="shared" si="3559"/>
        <v>#N/A</v>
      </c>
      <c r="D1769" s="39" t="e">
        <f t="shared" si="3559"/>
        <v>#N/A</v>
      </c>
      <c r="E1769" s="16" t="e">
        <f t="shared" si="1"/>
        <v>#N/A</v>
      </c>
      <c r="F1769" s="16" t="e">
        <f t="shared" ref="F1769:K1769" si="3560">VLOOKUP($A1769,'[5]Integración Social'!$A$1:$O$233,F$1,0)</f>
        <v>#N/A</v>
      </c>
      <c r="G1769" s="39" t="e">
        <f t="shared" si="3560"/>
        <v>#N/A</v>
      </c>
      <c r="H1769" s="16" t="e">
        <f t="shared" si="3560"/>
        <v>#N/A</v>
      </c>
      <c r="I1769" s="16" t="e">
        <f t="shared" si="3560"/>
        <v>#N/A</v>
      </c>
      <c r="J1769" s="40" t="e">
        <f t="shared" si="3560"/>
        <v>#N/A</v>
      </c>
      <c r="K1769" s="16" t="e">
        <f t="shared" si="3560"/>
        <v>#N/A</v>
      </c>
      <c r="L1769" s="40" t="e">
        <f t="shared" si="3025"/>
        <v>#N/A</v>
      </c>
      <c r="M1769" s="16" t="e">
        <f t="shared" si="3026"/>
        <v>#N/A</v>
      </c>
      <c r="N1769" s="16" t="e">
        <f t="shared" si="3027"/>
        <v>#N/A</v>
      </c>
      <c r="O1769" s="16" t="s">
        <v>69</v>
      </c>
      <c r="P1769" s="16" t="str">
        <f t="shared" si="6"/>
        <v/>
      </c>
      <c r="Q1769" s="41" t="e">
        <f t="shared" si="3028"/>
        <v>#N/A</v>
      </c>
      <c r="R1769" s="44"/>
      <c r="S1769" s="44"/>
      <c r="T1769" s="43"/>
      <c r="U1769" s="43" t="str">
        <f t="shared" si="8"/>
        <v>No</v>
      </c>
      <c r="V1769" s="25"/>
      <c r="W1769" s="25"/>
      <c r="X1769" s="25"/>
      <c r="Y1769" s="25"/>
      <c r="Z1769" s="25"/>
    </row>
    <row r="1770" spans="1:26" ht="15.75" customHeight="1" x14ac:dyDescent="0.25">
      <c r="A1770" s="25">
        <v>1768</v>
      </c>
      <c r="B1770" s="37" t="e">
        <f t="shared" ref="B1770:D1770" si="3561">VLOOKUP($A1770,'[5]Integración Social'!$A$1:$O$233,B$1,0)</f>
        <v>#N/A</v>
      </c>
      <c r="C1770" s="38" t="e">
        <f t="shared" si="3561"/>
        <v>#N/A</v>
      </c>
      <c r="D1770" s="39" t="e">
        <f t="shared" si="3561"/>
        <v>#N/A</v>
      </c>
      <c r="E1770" s="16" t="e">
        <f t="shared" si="1"/>
        <v>#N/A</v>
      </c>
      <c r="F1770" s="16" t="e">
        <f t="shared" ref="F1770:K1770" si="3562">VLOOKUP($A1770,'[5]Integración Social'!$A$1:$O$233,F$1,0)</f>
        <v>#N/A</v>
      </c>
      <c r="G1770" s="39" t="e">
        <f t="shared" si="3562"/>
        <v>#N/A</v>
      </c>
      <c r="H1770" s="16" t="e">
        <f t="shared" si="3562"/>
        <v>#N/A</v>
      </c>
      <c r="I1770" s="16" t="e">
        <f t="shared" si="3562"/>
        <v>#N/A</v>
      </c>
      <c r="J1770" s="40" t="e">
        <f t="shared" si="3562"/>
        <v>#N/A</v>
      </c>
      <c r="K1770" s="16" t="e">
        <f t="shared" si="3562"/>
        <v>#N/A</v>
      </c>
      <c r="L1770" s="40" t="e">
        <f t="shared" si="3025"/>
        <v>#N/A</v>
      </c>
      <c r="M1770" s="16" t="e">
        <f t="shared" si="3026"/>
        <v>#N/A</v>
      </c>
      <c r="N1770" s="16" t="e">
        <f t="shared" si="3027"/>
        <v>#N/A</v>
      </c>
      <c r="O1770" s="16" t="s">
        <v>69</v>
      </c>
      <c r="P1770" s="16" t="str">
        <f t="shared" si="6"/>
        <v/>
      </c>
      <c r="Q1770" s="41" t="e">
        <f t="shared" si="3028"/>
        <v>#N/A</v>
      </c>
      <c r="R1770" s="44"/>
      <c r="S1770" s="44"/>
      <c r="T1770" s="43"/>
      <c r="U1770" s="43" t="str">
        <f t="shared" si="8"/>
        <v>No</v>
      </c>
      <c r="V1770" s="25"/>
      <c r="W1770" s="25"/>
      <c r="X1770" s="25"/>
      <c r="Y1770" s="25"/>
      <c r="Z1770" s="25"/>
    </row>
    <row r="1771" spans="1:26" ht="15.75" customHeight="1" x14ac:dyDescent="0.25">
      <c r="A1771" s="25">
        <v>1769</v>
      </c>
      <c r="B1771" s="37" t="e">
        <f t="shared" ref="B1771:D1771" si="3563">VLOOKUP($A1771,'[5]Integración Social'!$A$1:$O$233,B$1,0)</f>
        <v>#N/A</v>
      </c>
      <c r="C1771" s="38" t="e">
        <f t="shared" si="3563"/>
        <v>#N/A</v>
      </c>
      <c r="D1771" s="39" t="e">
        <f t="shared" si="3563"/>
        <v>#N/A</v>
      </c>
      <c r="E1771" s="16" t="e">
        <f t="shared" si="1"/>
        <v>#N/A</v>
      </c>
      <c r="F1771" s="16" t="e">
        <f t="shared" ref="F1771:K1771" si="3564">VLOOKUP($A1771,'[5]Integración Social'!$A$1:$O$233,F$1,0)</f>
        <v>#N/A</v>
      </c>
      <c r="G1771" s="39" t="e">
        <f t="shared" si="3564"/>
        <v>#N/A</v>
      </c>
      <c r="H1771" s="16" t="e">
        <f t="shared" si="3564"/>
        <v>#N/A</v>
      </c>
      <c r="I1771" s="16" t="e">
        <f t="shared" si="3564"/>
        <v>#N/A</v>
      </c>
      <c r="J1771" s="40" t="e">
        <f t="shared" si="3564"/>
        <v>#N/A</v>
      </c>
      <c r="K1771" s="16" t="e">
        <f t="shared" si="3564"/>
        <v>#N/A</v>
      </c>
      <c r="L1771" s="40" t="e">
        <f t="shared" si="3025"/>
        <v>#N/A</v>
      </c>
      <c r="M1771" s="16" t="e">
        <f t="shared" si="3026"/>
        <v>#N/A</v>
      </c>
      <c r="N1771" s="16" t="e">
        <f t="shared" si="3027"/>
        <v>#N/A</v>
      </c>
      <c r="O1771" s="16" t="s">
        <v>69</v>
      </c>
      <c r="P1771" s="16" t="str">
        <f t="shared" si="6"/>
        <v/>
      </c>
      <c r="Q1771" s="41" t="e">
        <f t="shared" si="3028"/>
        <v>#N/A</v>
      </c>
      <c r="R1771" s="44"/>
      <c r="S1771" s="44"/>
      <c r="T1771" s="43"/>
      <c r="U1771" s="43" t="str">
        <f t="shared" si="8"/>
        <v>No</v>
      </c>
      <c r="V1771" s="25"/>
      <c r="W1771" s="25"/>
      <c r="X1771" s="25"/>
      <c r="Y1771" s="25"/>
      <c r="Z1771" s="25"/>
    </row>
    <row r="1772" spans="1:26" ht="15.75" customHeight="1" x14ac:dyDescent="0.25">
      <c r="A1772" s="25">
        <v>1770</v>
      </c>
      <c r="B1772" s="37" t="e">
        <f t="shared" ref="B1772:D1772" si="3565">VLOOKUP($A1772,'[5]Integración Social'!$A$1:$O$233,B$1,0)</f>
        <v>#N/A</v>
      </c>
      <c r="C1772" s="38" t="e">
        <f t="shared" si="3565"/>
        <v>#N/A</v>
      </c>
      <c r="D1772" s="39" t="e">
        <f t="shared" si="3565"/>
        <v>#N/A</v>
      </c>
      <c r="E1772" s="16" t="e">
        <f t="shared" si="1"/>
        <v>#N/A</v>
      </c>
      <c r="F1772" s="16" t="e">
        <f t="shared" ref="F1772:K1772" si="3566">VLOOKUP($A1772,'[5]Integración Social'!$A$1:$O$233,F$1,0)</f>
        <v>#N/A</v>
      </c>
      <c r="G1772" s="39" t="e">
        <f t="shared" si="3566"/>
        <v>#N/A</v>
      </c>
      <c r="H1772" s="16" t="e">
        <f t="shared" si="3566"/>
        <v>#N/A</v>
      </c>
      <c r="I1772" s="16" t="e">
        <f t="shared" si="3566"/>
        <v>#N/A</v>
      </c>
      <c r="J1772" s="40" t="e">
        <f t="shared" si="3566"/>
        <v>#N/A</v>
      </c>
      <c r="K1772" s="16" t="e">
        <f t="shared" si="3566"/>
        <v>#N/A</v>
      </c>
      <c r="L1772" s="40" t="e">
        <f t="shared" si="3025"/>
        <v>#N/A</v>
      </c>
      <c r="M1772" s="16" t="e">
        <f t="shared" si="3026"/>
        <v>#N/A</v>
      </c>
      <c r="N1772" s="16" t="e">
        <f t="shared" si="3027"/>
        <v>#N/A</v>
      </c>
      <c r="O1772" s="16" t="s">
        <v>69</v>
      </c>
      <c r="P1772" s="16" t="str">
        <f t="shared" si="6"/>
        <v/>
      </c>
      <c r="Q1772" s="41" t="e">
        <f t="shared" si="3028"/>
        <v>#N/A</v>
      </c>
      <c r="R1772" s="44"/>
      <c r="S1772" s="44"/>
      <c r="T1772" s="43"/>
      <c r="U1772" s="43" t="str">
        <f t="shared" si="8"/>
        <v>No</v>
      </c>
      <c r="V1772" s="25"/>
      <c r="W1772" s="25"/>
      <c r="X1772" s="25"/>
      <c r="Y1772" s="25"/>
      <c r="Z1772" s="25"/>
    </row>
    <row r="1773" spans="1:26" ht="15.75" customHeight="1" x14ac:dyDescent="0.25">
      <c r="A1773" s="25">
        <v>1771</v>
      </c>
      <c r="B1773" s="37" t="e">
        <f t="shared" ref="B1773:D1773" si="3567">VLOOKUP($A1773,'[5]Integración Social'!$A$1:$O$233,B$1,0)</f>
        <v>#N/A</v>
      </c>
      <c r="C1773" s="38" t="e">
        <f t="shared" si="3567"/>
        <v>#N/A</v>
      </c>
      <c r="D1773" s="39" t="e">
        <f t="shared" si="3567"/>
        <v>#N/A</v>
      </c>
      <c r="E1773" s="16" t="e">
        <f t="shared" si="1"/>
        <v>#N/A</v>
      </c>
      <c r="F1773" s="16" t="e">
        <f t="shared" ref="F1773:K1773" si="3568">VLOOKUP($A1773,'[5]Integración Social'!$A$1:$O$233,F$1,0)</f>
        <v>#N/A</v>
      </c>
      <c r="G1773" s="39" t="e">
        <f t="shared" si="3568"/>
        <v>#N/A</v>
      </c>
      <c r="H1773" s="16" t="e">
        <f t="shared" si="3568"/>
        <v>#N/A</v>
      </c>
      <c r="I1773" s="16" t="e">
        <f t="shared" si="3568"/>
        <v>#N/A</v>
      </c>
      <c r="J1773" s="40" t="e">
        <f t="shared" si="3568"/>
        <v>#N/A</v>
      </c>
      <c r="K1773" s="16" t="e">
        <f t="shared" si="3568"/>
        <v>#N/A</v>
      </c>
      <c r="L1773" s="40" t="e">
        <f t="shared" si="3025"/>
        <v>#N/A</v>
      </c>
      <c r="M1773" s="16" t="e">
        <f t="shared" si="3026"/>
        <v>#N/A</v>
      </c>
      <c r="N1773" s="16" t="e">
        <f t="shared" si="3027"/>
        <v>#N/A</v>
      </c>
      <c r="O1773" s="16" t="s">
        <v>69</v>
      </c>
      <c r="P1773" s="16" t="str">
        <f t="shared" si="6"/>
        <v/>
      </c>
      <c r="Q1773" s="41" t="e">
        <f t="shared" si="3028"/>
        <v>#N/A</v>
      </c>
      <c r="R1773" s="44"/>
      <c r="S1773" s="44"/>
      <c r="T1773" s="43"/>
      <c r="U1773" s="43" t="str">
        <f t="shared" si="8"/>
        <v>No</v>
      </c>
      <c r="V1773" s="25"/>
      <c r="W1773" s="25"/>
      <c r="X1773" s="25"/>
      <c r="Y1773" s="25"/>
      <c r="Z1773" s="25"/>
    </row>
    <row r="1774" spans="1:26" ht="15.75" customHeight="1" x14ac:dyDescent="0.25">
      <c r="A1774" s="25">
        <v>1772</v>
      </c>
      <c r="B1774" s="37" t="e">
        <f t="shared" ref="B1774:D1774" si="3569">VLOOKUP($A1774,'[5]Integración Social'!$A$1:$O$233,B$1,0)</f>
        <v>#N/A</v>
      </c>
      <c r="C1774" s="38" t="e">
        <f t="shared" si="3569"/>
        <v>#N/A</v>
      </c>
      <c r="D1774" s="39" t="e">
        <f t="shared" si="3569"/>
        <v>#N/A</v>
      </c>
      <c r="E1774" s="16" t="e">
        <f t="shared" si="1"/>
        <v>#N/A</v>
      </c>
      <c r="F1774" s="16" t="e">
        <f t="shared" ref="F1774:K1774" si="3570">VLOOKUP($A1774,'[5]Integración Social'!$A$1:$O$233,F$1,0)</f>
        <v>#N/A</v>
      </c>
      <c r="G1774" s="39" t="e">
        <f t="shared" si="3570"/>
        <v>#N/A</v>
      </c>
      <c r="H1774" s="16" t="e">
        <f t="shared" si="3570"/>
        <v>#N/A</v>
      </c>
      <c r="I1774" s="16" t="e">
        <f t="shared" si="3570"/>
        <v>#N/A</v>
      </c>
      <c r="J1774" s="40" t="e">
        <f t="shared" si="3570"/>
        <v>#N/A</v>
      </c>
      <c r="K1774" s="16" t="e">
        <f t="shared" si="3570"/>
        <v>#N/A</v>
      </c>
      <c r="L1774" s="40" t="e">
        <f t="shared" si="3025"/>
        <v>#N/A</v>
      </c>
      <c r="M1774" s="16" t="e">
        <f t="shared" si="3026"/>
        <v>#N/A</v>
      </c>
      <c r="N1774" s="16" t="e">
        <f t="shared" si="3027"/>
        <v>#N/A</v>
      </c>
      <c r="O1774" s="16" t="s">
        <v>69</v>
      </c>
      <c r="P1774" s="16" t="str">
        <f t="shared" si="6"/>
        <v/>
      </c>
      <c r="Q1774" s="41" t="e">
        <f t="shared" si="3028"/>
        <v>#N/A</v>
      </c>
      <c r="R1774" s="44"/>
      <c r="S1774" s="44"/>
      <c r="T1774" s="43"/>
      <c r="U1774" s="43" t="str">
        <f t="shared" si="8"/>
        <v>No</v>
      </c>
      <c r="V1774" s="25"/>
      <c r="W1774" s="25"/>
      <c r="X1774" s="25"/>
      <c r="Y1774" s="25"/>
      <c r="Z1774" s="25"/>
    </row>
    <row r="1775" spans="1:26" ht="15.75" customHeight="1" x14ac:dyDescent="0.25">
      <c r="A1775" s="25">
        <v>1773</v>
      </c>
      <c r="B1775" s="37" t="e">
        <f t="shared" ref="B1775:D1775" si="3571">VLOOKUP($A1775,'[5]Integración Social'!$A$1:$O$233,B$1,0)</f>
        <v>#N/A</v>
      </c>
      <c r="C1775" s="38" t="e">
        <f t="shared" si="3571"/>
        <v>#N/A</v>
      </c>
      <c r="D1775" s="39" t="e">
        <f t="shared" si="3571"/>
        <v>#N/A</v>
      </c>
      <c r="E1775" s="16" t="e">
        <f t="shared" si="1"/>
        <v>#N/A</v>
      </c>
      <c r="F1775" s="16" t="e">
        <f t="shared" ref="F1775:K1775" si="3572">VLOOKUP($A1775,'[5]Integración Social'!$A$1:$O$233,F$1,0)</f>
        <v>#N/A</v>
      </c>
      <c r="G1775" s="39" t="e">
        <f t="shared" si="3572"/>
        <v>#N/A</v>
      </c>
      <c r="H1775" s="16" t="e">
        <f t="shared" si="3572"/>
        <v>#N/A</v>
      </c>
      <c r="I1775" s="16" t="e">
        <f t="shared" si="3572"/>
        <v>#N/A</v>
      </c>
      <c r="J1775" s="40" t="e">
        <f t="shared" si="3572"/>
        <v>#N/A</v>
      </c>
      <c r="K1775" s="16" t="e">
        <f t="shared" si="3572"/>
        <v>#N/A</v>
      </c>
      <c r="L1775" s="40" t="e">
        <f t="shared" si="3025"/>
        <v>#N/A</v>
      </c>
      <c r="M1775" s="16" t="e">
        <f t="shared" si="3026"/>
        <v>#N/A</v>
      </c>
      <c r="N1775" s="16" t="e">
        <f t="shared" si="3027"/>
        <v>#N/A</v>
      </c>
      <c r="O1775" s="16" t="s">
        <v>69</v>
      </c>
      <c r="P1775" s="16" t="str">
        <f t="shared" si="6"/>
        <v/>
      </c>
      <c r="Q1775" s="41" t="e">
        <f t="shared" si="3028"/>
        <v>#N/A</v>
      </c>
      <c r="R1775" s="44"/>
      <c r="S1775" s="44"/>
      <c r="T1775" s="43"/>
      <c r="U1775" s="43" t="str">
        <f t="shared" si="8"/>
        <v>No</v>
      </c>
      <c r="V1775" s="25"/>
      <c r="W1775" s="25"/>
      <c r="X1775" s="25"/>
      <c r="Y1775" s="25"/>
      <c r="Z1775" s="25"/>
    </row>
    <row r="1776" spans="1:26" ht="15.75" customHeight="1" x14ac:dyDescent="0.25">
      <c r="A1776" s="25">
        <v>1774</v>
      </c>
      <c r="B1776" s="37" t="e">
        <f t="shared" ref="B1776:D1776" si="3573">VLOOKUP($A1776,'[5]Integración Social'!$A$1:$O$233,B$1,0)</f>
        <v>#N/A</v>
      </c>
      <c r="C1776" s="38" t="e">
        <f t="shared" si="3573"/>
        <v>#N/A</v>
      </c>
      <c r="D1776" s="39" t="e">
        <f t="shared" si="3573"/>
        <v>#N/A</v>
      </c>
      <c r="E1776" s="16" t="e">
        <f t="shared" si="1"/>
        <v>#N/A</v>
      </c>
      <c r="F1776" s="16" t="e">
        <f t="shared" ref="F1776:K1776" si="3574">VLOOKUP($A1776,'[5]Integración Social'!$A$1:$O$233,F$1,0)</f>
        <v>#N/A</v>
      </c>
      <c r="G1776" s="39" t="e">
        <f t="shared" si="3574"/>
        <v>#N/A</v>
      </c>
      <c r="H1776" s="16" t="e">
        <f t="shared" si="3574"/>
        <v>#N/A</v>
      </c>
      <c r="I1776" s="16" t="e">
        <f t="shared" si="3574"/>
        <v>#N/A</v>
      </c>
      <c r="J1776" s="40" t="e">
        <f t="shared" si="3574"/>
        <v>#N/A</v>
      </c>
      <c r="K1776" s="16" t="e">
        <f t="shared" si="3574"/>
        <v>#N/A</v>
      </c>
      <c r="L1776" s="40" t="e">
        <f t="shared" si="3025"/>
        <v>#N/A</v>
      </c>
      <c r="M1776" s="16" t="e">
        <f t="shared" si="3026"/>
        <v>#N/A</v>
      </c>
      <c r="N1776" s="16" t="e">
        <f t="shared" si="3027"/>
        <v>#N/A</v>
      </c>
      <c r="O1776" s="16" t="s">
        <v>69</v>
      </c>
      <c r="P1776" s="16" t="str">
        <f t="shared" si="6"/>
        <v/>
      </c>
      <c r="Q1776" s="41" t="e">
        <f t="shared" si="3028"/>
        <v>#N/A</v>
      </c>
      <c r="R1776" s="44"/>
      <c r="S1776" s="44"/>
      <c r="T1776" s="43"/>
      <c r="U1776" s="43" t="str">
        <f t="shared" si="8"/>
        <v>No</v>
      </c>
      <c r="V1776" s="25"/>
      <c r="W1776" s="25"/>
      <c r="X1776" s="25"/>
      <c r="Y1776" s="25"/>
      <c r="Z1776" s="25"/>
    </row>
    <row r="1777" spans="1:26" ht="15.75" customHeight="1" x14ac:dyDescent="0.25">
      <c r="A1777" s="25">
        <v>1775</v>
      </c>
      <c r="B1777" s="37" t="e">
        <f t="shared" ref="B1777:D1777" si="3575">VLOOKUP($A1777,'[5]Integración Social'!$A$1:$O$233,B$1,0)</f>
        <v>#N/A</v>
      </c>
      <c r="C1777" s="38" t="e">
        <f t="shared" si="3575"/>
        <v>#N/A</v>
      </c>
      <c r="D1777" s="39" t="e">
        <f t="shared" si="3575"/>
        <v>#N/A</v>
      </c>
      <c r="E1777" s="16" t="e">
        <f t="shared" si="1"/>
        <v>#N/A</v>
      </c>
      <c r="F1777" s="16" t="e">
        <f t="shared" ref="F1777:K1777" si="3576">VLOOKUP($A1777,'[5]Integración Social'!$A$1:$O$233,F$1,0)</f>
        <v>#N/A</v>
      </c>
      <c r="G1777" s="39" t="e">
        <f t="shared" si="3576"/>
        <v>#N/A</v>
      </c>
      <c r="H1777" s="16" t="e">
        <f t="shared" si="3576"/>
        <v>#N/A</v>
      </c>
      <c r="I1777" s="16" t="e">
        <f t="shared" si="3576"/>
        <v>#N/A</v>
      </c>
      <c r="J1777" s="40" t="e">
        <f t="shared" si="3576"/>
        <v>#N/A</v>
      </c>
      <c r="K1777" s="16" t="e">
        <f t="shared" si="3576"/>
        <v>#N/A</v>
      </c>
      <c r="L1777" s="40" t="e">
        <f t="shared" si="3025"/>
        <v>#N/A</v>
      </c>
      <c r="M1777" s="16" t="e">
        <f t="shared" si="3026"/>
        <v>#N/A</v>
      </c>
      <c r="N1777" s="16" t="e">
        <f t="shared" si="3027"/>
        <v>#N/A</v>
      </c>
      <c r="O1777" s="16" t="s">
        <v>69</v>
      </c>
      <c r="P1777" s="16" t="str">
        <f t="shared" si="6"/>
        <v/>
      </c>
      <c r="Q1777" s="41" t="e">
        <f t="shared" si="3028"/>
        <v>#N/A</v>
      </c>
      <c r="R1777" s="44"/>
      <c r="S1777" s="44"/>
      <c r="T1777" s="43"/>
      <c r="U1777" s="43" t="str">
        <f t="shared" si="8"/>
        <v>No</v>
      </c>
      <c r="V1777" s="25"/>
      <c r="W1777" s="25"/>
      <c r="X1777" s="25"/>
      <c r="Y1777" s="25"/>
      <c r="Z1777" s="25"/>
    </row>
    <row r="1778" spans="1:26" ht="15.75" customHeight="1" x14ac:dyDescent="0.25">
      <c r="A1778" s="25">
        <v>1776</v>
      </c>
      <c r="B1778" s="37" t="e">
        <f t="shared" ref="B1778:D1778" si="3577">VLOOKUP($A1778,'[5]Integración Social'!$A$1:$O$233,B$1,0)</f>
        <v>#N/A</v>
      </c>
      <c r="C1778" s="38" t="e">
        <f t="shared" si="3577"/>
        <v>#N/A</v>
      </c>
      <c r="D1778" s="39" t="e">
        <f t="shared" si="3577"/>
        <v>#N/A</v>
      </c>
      <c r="E1778" s="16" t="e">
        <f t="shared" si="1"/>
        <v>#N/A</v>
      </c>
      <c r="F1778" s="16" t="e">
        <f t="shared" ref="F1778:K1778" si="3578">VLOOKUP($A1778,'[5]Integración Social'!$A$1:$O$233,F$1,0)</f>
        <v>#N/A</v>
      </c>
      <c r="G1778" s="39" t="e">
        <f t="shared" si="3578"/>
        <v>#N/A</v>
      </c>
      <c r="H1778" s="16" t="e">
        <f t="shared" si="3578"/>
        <v>#N/A</v>
      </c>
      <c r="I1778" s="16" t="e">
        <f t="shared" si="3578"/>
        <v>#N/A</v>
      </c>
      <c r="J1778" s="40" t="e">
        <f t="shared" si="3578"/>
        <v>#N/A</v>
      </c>
      <c r="K1778" s="16" t="e">
        <f t="shared" si="3578"/>
        <v>#N/A</v>
      </c>
      <c r="L1778" s="40" t="e">
        <f t="shared" si="3025"/>
        <v>#N/A</v>
      </c>
      <c r="M1778" s="16" t="e">
        <f t="shared" si="3026"/>
        <v>#N/A</v>
      </c>
      <c r="N1778" s="16" t="e">
        <f t="shared" si="3027"/>
        <v>#N/A</v>
      </c>
      <c r="O1778" s="16" t="s">
        <v>69</v>
      </c>
      <c r="P1778" s="16" t="str">
        <f t="shared" si="6"/>
        <v/>
      </c>
      <c r="Q1778" s="41" t="e">
        <f t="shared" si="3028"/>
        <v>#N/A</v>
      </c>
      <c r="R1778" s="44"/>
      <c r="S1778" s="44"/>
      <c r="T1778" s="43"/>
      <c r="U1778" s="43" t="str">
        <f t="shared" si="8"/>
        <v>No</v>
      </c>
      <c r="V1778" s="25"/>
      <c r="W1778" s="25"/>
      <c r="X1778" s="25"/>
      <c r="Y1778" s="25"/>
      <c r="Z1778" s="25"/>
    </row>
    <row r="1779" spans="1:26" ht="15.75" customHeight="1" x14ac:dyDescent="0.25">
      <c r="A1779" s="25">
        <v>1777</v>
      </c>
      <c r="B1779" s="37" t="e">
        <f t="shared" ref="B1779:D1779" si="3579">VLOOKUP($A1779,'[5]Integración Social'!$A$1:$O$233,B$1,0)</f>
        <v>#N/A</v>
      </c>
      <c r="C1779" s="38" t="e">
        <f t="shared" si="3579"/>
        <v>#N/A</v>
      </c>
      <c r="D1779" s="39" t="e">
        <f t="shared" si="3579"/>
        <v>#N/A</v>
      </c>
      <c r="E1779" s="16" t="e">
        <f t="shared" si="1"/>
        <v>#N/A</v>
      </c>
      <c r="F1779" s="16" t="e">
        <f t="shared" ref="F1779:K1779" si="3580">VLOOKUP($A1779,'[5]Integración Social'!$A$1:$O$233,F$1,0)</f>
        <v>#N/A</v>
      </c>
      <c r="G1779" s="39" t="e">
        <f t="shared" si="3580"/>
        <v>#N/A</v>
      </c>
      <c r="H1779" s="16" t="e">
        <f t="shared" si="3580"/>
        <v>#N/A</v>
      </c>
      <c r="I1779" s="16" t="e">
        <f t="shared" si="3580"/>
        <v>#N/A</v>
      </c>
      <c r="J1779" s="40" t="e">
        <f t="shared" si="3580"/>
        <v>#N/A</v>
      </c>
      <c r="K1779" s="16" t="e">
        <f t="shared" si="3580"/>
        <v>#N/A</v>
      </c>
      <c r="L1779" s="40" t="e">
        <f t="shared" si="3025"/>
        <v>#N/A</v>
      </c>
      <c r="M1779" s="16" t="e">
        <f t="shared" si="3026"/>
        <v>#N/A</v>
      </c>
      <c r="N1779" s="16" t="e">
        <f t="shared" si="3027"/>
        <v>#N/A</v>
      </c>
      <c r="O1779" s="16" t="s">
        <v>69</v>
      </c>
      <c r="P1779" s="16" t="str">
        <f t="shared" si="6"/>
        <v/>
      </c>
      <c r="Q1779" s="41" t="e">
        <f t="shared" si="3028"/>
        <v>#N/A</v>
      </c>
      <c r="R1779" s="44"/>
      <c r="S1779" s="44"/>
      <c r="T1779" s="43"/>
      <c r="U1779" s="43" t="str">
        <f t="shared" si="8"/>
        <v>No</v>
      </c>
      <c r="V1779" s="25"/>
      <c r="W1779" s="25"/>
      <c r="X1779" s="25"/>
      <c r="Y1779" s="25"/>
      <c r="Z1779" s="25"/>
    </row>
    <row r="1780" spans="1:26" ht="15.75" customHeight="1" x14ac:dyDescent="0.25">
      <c r="A1780" s="25">
        <v>1778</v>
      </c>
      <c r="B1780" s="37" t="e">
        <f t="shared" ref="B1780:D1780" si="3581">VLOOKUP($A1780,'[5]Integración Social'!$A$1:$O$233,B$1,0)</f>
        <v>#N/A</v>
      </c>
      <c r="C1780" s="38" t="e">
        <f t="shared" si="3581"/>
        <v>#N/A</v>
      </c>
      <c r="D1780" s="39" t="e">
        <f t="shared" si="3581"/>
        <v>#N/A</v>
      </c>
      <c r="E1780" s="16" t="e">
        <f t="shared" si="1"/>
        <v>#N/A</v>
      </c>
      <c r="F1780" s="16" t="e">
        <f t="shared" ref="F1780:K1780" si="3582">VLOOKUP($A1780,'[5]Integración Social'!$A$1:$O$233,F$1,0)</f>
        <v>#N/A</v>
      </c>
      <c r="G1780" s="39" t="e">
        <f t="shared" si="3582"/>
        <v>#N/A</v>
      </c>
      <c r="H1780" s="16" t="e">
        <f t="shared" si="3582"/>
        <v>#N/A</v>
      </c>
      <c r="I1780" s="16" t="e">
        <f t="shared" si="3582"/>
        <v>#N/A</v>
      </c>
      <c r="J1780" s="40" t="e">
        <f t="shared" si="3582"/>
        <v>#N/A</v>
      </c>
      <c r="K1780" s="16" t="e">
        <f t="shared" si="3582"/>
        <v>#N/A</v>
      </c>
      <c r="L1780" s="40" t="e">
        <f t="shared" si="3025"/>
        <v>#N/A</v>
      </c>
      <c r="M1780" s="16" t="e">
        <f t="shared" si="3026"/>
        <v>#N/A</v>
      </c>
      <c r="N1780" s="16" t="e">
        <f t="shared" si="3027"/>
        <v>#N/A</v>
      </c>
      <c r="O1780" s="16" t="s">
        <v>69</v>
      </c>
      <c r="P1780" s="16" t="str">
        <f t="shared" si="6"/>
        <v/>
      </c>
      <c r="Q1780" s="41" t="e">
        <f t="shared" si="3028"/>
        <v>#N/A</v>
      </c>
      <c r="R1780" s="44"/>
      <c r="S1780" s="44"/>
      <c r="T1780" s="43"/>
      <c r="U1780" s="43" t="str">
        <f t="shared" si="8"/>
        <v>No</v>
      </c>
      <c r="V1780" s="25"/>
      <c r="W1780" s="25"/>
      <c r="X1780" s="25"/>
      <c r="Y1780" s="25"/>
      <c r="Z1780" s="25"/>
    </row>
    <row r="1781" spans="1:26" ht="15.75" customHeight="1" x14ac:dyDescent="0.25">
      <c r="A1781" s="25">
        <v>1779</v>
      </c>
      <c r="B1781" s="37" t="e">
        <f t="shared" ref="B1781:D1781" si="3583">VLOOKUP($A1781,'[5]Integración Social'!$A$1:$O$233,B$1,0)</f>
        <v>#N/A</v>
      </c>
      <c r="C1781" s="38" t="e">
        <f t="shared" si="3583"/>
        <v>#N/A</v>
      </c>
      <c r="D1781" s="39" t="e">
        <f t="shared" si="3583"/>
        <v>#N/A</v>
      </c>
      <c r="E1781" s="16" t="e">
        <f t="shared" si="1"/>
        <v>#N/A</v>
      </c>
      <c r="F1781" s="16" t="e">
        <f t="shared" ref="F1781:K1781" si="3584">VLOOKUP($A1781,'[5]Integración Social'!$A$1:$O$233,F$1,0)</f>
        <v>#N/A</v>
      </c>
      <c r="G1781" s="39" t="e">
        <f t="shared" si="3584"/>
        <v>#N/A</v>
      </c>
      <c r="H1781" s="16" t="e">
        <f t="shared" si="3584"/>
        <v>#N/A</v>
      </c>
      <c r="I1781" s="16" t="e">
        <f t="shared" si="3584"/>
        <v>#N/A</v>
      </c>
      <c r="J1781" s="40" t="e">
        <f t="shared" si="3584"/>
        <v>#N/A</v>
      </c>
      <c r="K1781" s="16" t="e">
        <f t="shared" si="3584"/>
        <v>#N/A</v>
      </c>
      <c r="L1781" s="40" t="e">
        <f t="shared" si="3025"/>
        <v>#N/A</v>
      </c>
      <c r="M1781" s="16" t="e">
        <f t="shared" si="3026"/>
        <v>#N/A</v>
      </c>
      <c r="N1781" s="16" t="e">
        <f t="shared" si="3027"/>
        <v>#N/A</v>
      </c>
      <c r="O1781" s="16" t="s">
        <v>69</v>
      </c>
      <c r="P1781" s="16" t="str">
        <f t="shared" si="6"/>
        <v/>
      </c>
      <c r="Q1781" s="41" t="e">
        <f t="shared" si="3028"/>
        <v>#N/A</v>
      </c>
      <c r="R1781" s="44"/>
      <c r="S1781" s="44"/>
      <c r="T1781" s="43"/>
      <c r="U1781" s="43" t="str">
        <f t="shared" si="8"/>
        <v>No</v>
      </c>
      <c r="V1781" s="25"/>
      <c r="W1781" s="25"/>
      <c r="X1781" s="25"/>
      <c r="Y1781" s="25"/>
      <c r="Z1781" s="25"/>
    </row>
    <row r="1782" spans="1:26" ht="15.75" customHeight="1" x14ac:dyDescent="0.25">
      <c r="A1782" s="25">
        <v>1780</v>
      </c>
      <c r="B1782" s="37" t="e">
        <f t="shared" ref="B1782:D1782" si="3585">VLOOKUP($A1782,'[5]Integración Social'!$A$1:$O$233,B$1,0)</f>
        <v>#N/A</v>
      </c>
      <c r="C1782" s="38" t="e">
        <f t="shared" si="3585"/>
        <v>#N/A</v>
      </c>
      <c r="D1782" s="39" t="e">
        <f t="shared" si="3585"/>
        <v>#N/A</v>
      </c>
      <c r="E1782" s="16" t="e">
        <f t="shared" si="1"/>
        <v>#N/A</v>
      </c>
      <c r="F1782" s="16" t="e">
        <f t="shared" ref="F1782:K1782" si="3586">VLOOKUP($A1782,'[5]Integración Social'!$A$1:$O$233,F$1,0)</f>
        <v>#N/A</v>
      </c>
      <c r="G1782" s="39" t="e">
        <f t="shared" si="3586"/>
        <v>#N/A</v>
      </c>
      <c r="H1782" s="16" t="e">
        <f t="shared" si="3586"/>
        <v>#N/A</v>
      </c>
      <c r="I1782" s="16" t="e">
        <f t="shared" si="3586"/>
        <v>#N/A</v>
      </c>
      <c r="J1782" s="40" t="e">
        <f t="shared" si="3586"/>
        <v>#N/A</v>
      </c>
      <c r="K1782" s="16" t="e">
        <f t="shared" si="3586"/>
        <v>#N/A</v>
      </c>
      <c r="L1782" s="40" t="e">
        <f t="shared" si="3025"/>
        <v>#N/A</v>
      </c>
      <c r="M1782" s="16" t="e">
        <f t="shared" si="3026"/>
        <v>#N/A</v>
      </c>
      <c r="N1782" s="16" t="e">
        <f t="shared" si="3027"/>
        <v>#N/A</v>
      </c>
      <c r="O1782" s="16" t="s">
        <v>69</v>
      </c>
      <c r="P1782" s="16" t="str">
        <f t="shared" si="6"/>
        <v/>
      </c>
      <c r="Q1782" s="41" t="e">
        <f t="shared" si="3028"/>
        <v>#N/A</v>
      </c>
      <c r="R1782" s="44"/>
      <c r="S1782" s="44"/>
      <c r="T1782" s="43"/>
      <c r="U1782" s="43" t="str">
        <f t="shared" si="8"/>
        <v>No</v>
      </c>
      <c r="V1782" s="25"/>
      <c r="W1782" s="25"/>
      <c r="X1782" s="25"/>
      <c r="Y1782" s="25"/>
      <c r="Z1782" s="25"/>
    </row>
    <row r="1783" spans="1:26" ht="15.75" customHeight="1" x14ac:dyDescent="0.25">
      <c r="A1783" s="25">
        <v>1781</v>
      </c>
      <c r="B1783" s="37" t="e">
        <f t="shared" ref="B1783:D1783" si="3587">VLOOKUP($A1783,'[5]Integración Social'!$A$1:$O$233,B$1,0)</f>
        <v>#N/A</v>
      </c>
      <c r="C1783" s="38" t="e">
        <f t="shared" si="3587"/>
        <v>#N/A</v>
      </c>
      <c r="D1783" s="39" t="e">
        <f t="shared" si="3587"/>
        <v>#N/A</v>
      </c>
      <c r="E1783" s="16" t="e">
        <f t="shared" si="1"/>
        <v>#N/A</v>
      </c>
      <c r="F1783" s="16" t="e">
        <f t="shared" ref="F1783:K1783" si="3588">VLOOKUP($A1783,'[5]Integración Social'!$A$1:$O$233,F$1,0)</f>
        <v>#N/A</v>
      </c>
      <c r="G1783" s="39" t="e">
        <f t="shared" si="3588"/>
        <v>#N/A</v>
      </c>
      <c r="H1783" s="16" t="e">
        <f t="shared" si="3588"/>
        <v>#N/A</v>
      </c>
      <c r="I1783" s="16" t="e">
        <f t="shared" si="3588"/>
        <v>#N/A</v>
      </c>
      <c r="J1783" s="40" t="e">
        <f t="shared" si="3588"/>
        <v>#N/A</v>
      </c>
      <c r="K1783" s="16" t="e">
        <f t="shared" si="3588"/>
        <v>#N/A</v>
      </c>
      <c r="L1783" s="40" t="e">
        <f t="shared" si="3025"/>
        <v>#N/A</v>
      </c>
      <c r="M1783" s="16" t="e">
        <f t="shared" si="3026"/>
        <v>#N/A</v>
      </c>
      <c r="N1783" s="16" t="e">
        <f t="shared" si="3027"/>
        <v>#N/A</v>
      </c>
      <c r="O1783" s="16" t="s">
        <v>69</v>
      </c>
      <c r="P1783" s="16" t="str">
        <f t="shared" si="6"/>
        <v/>
      </c>
      <c r="Q1783" s="41" t="e">
        <f t="shared" si="3028"/>
        <v>#N/A</v>
      </c>
      <c r="R1783" s="44"/>
      <c r="S1783" s="44"/>
      <c r="T1783" s="43"/>
      <c r="U1783" s="43" t="str">
        <f t="shared" si="8"/>
        <v>No</v>
      </c>
      <c r="V1783" s="25"/>
      <c r="W1783" s="25"/>
      <c r="X1783" s="25"/>
      <c r="Y1783" s="25"/>
      <c r="Z1783" s="25"/>
    </row>
    <row r="1784" spans="1:26" ht="15.75" customHeight="1" x14ac:dyDescent="0.25">
      <c r="A1784" s="25">
        <v>1782</v>
      </c>
      <c r="B1784" s="37" t="e">
        <f t="shared" ref="B1784:D1784" si="3589">VLOOKUP($A1784,'[5]Integración Social'!$A$1:$O$233,B$1,0)</f>
        <v>#N/A</v>
      </c>
      <c r="C1784" s="38" t="e">
        <f t="shared" si="3589"/>
        <v>#N/A</v>
      </c>
      <c r="D1784" s="39" t="e">
        <f t="shared" si="3589"/>
        <v>#N/A</v>
      </c>
      <c r="E1784" s="16" t="e">
        <f t="shared" si="1"/>
        <v>#N/A</v>
      </c>
      <c r="F1784" s="16" t="e">
        <f t="shared" ref="F1784:K1784" si="3590">VLOOKUP($A1784,'[5]Integración Social'!$A$1:$O$233,F$1,0)</f>
        <v>#N/A</v>
      </c>
      <c r="G1784" s="39" t="e">
        <f t="shared" si="3590"/>
        <v>#N/A</v>
      </c>
      <c r="H1784" s="16" t="e">
        <f t="shared" si="3590"/>
        <v>#N/A</v>
      </c>
      <c r="I1784" s="16" t="e">
        <f t="shared" si="3590"/>
        <v>#N/A</v>
      </c>
      <c r="J1784" s="40" t="e">
        <f t="shared" si="3590"/>
        <v>#N/A</v>
      </c>
      <c r="K1784" s="16" t="e">
        <f t="shared" si="3590"/>
        <v>#N/A</v>
      </c>
      <c r="L1784" s="40" t="e">
        <f t="shared" si="3025"/>
        <v>#N/A</v>
      </c>
      <c r="M1784" s="16" t="e">
        <f t="shared" si="3026"/>
        <v>#N/A</v>
      </c>
      <c r="N1784" s="16" t="e">
        <f t="shared" si="3027"/>
        <v>#N/A</v>
      </c>
      <c r="O1784" s="16" t="s">
        <v>69</v>
      </c>
      <c r="P1784" s="16" t="str">
        <f t="shared" si="6"/>
        <v/>
      </c>
      <c r="Q1784" s="41" t="e">
        <f t="shared" si="3028"/>
        <v>#N/A</v>
      </c>
      <c r="R1784" s="44"/>
      <c r="S1784" s="44"/>
      <c r="T1784" s="43"/>
      <c r="U1784" s="43" t="str">
        <f t="shared" si="8"/>
        <v>No</v>
      </c>
      <c r="V1784" s="25"/>
      <c r="W1784" s="25"/>
      <c r="X1784" s="25"/>
      <c r="Y1784" s="25"/>
      <c r="Z1784" s="25"/>
    </row>
    <row r="1785" spans="1:26" ht="15.75" customHeight="1" x14ac:dyDescent="0.25">
      <c r="A1785" s="25">
        <v>1783</v>
      </c>
      <c r="B1785" s="37" t="e">
        <f t="shared" ref="B1785:D1785" si="3591">VLOOKUP($A1785,'[5]Integración Social'!$A$1:$O$233,B$1,0)</f>
        <v>#N/A</v>
      </c>
      <c r="C1785" s="38" t="e">
        <f t="shared" si="3591"/>
        <v>#N/A</v>
      </c>
      <c r="D1785" s="39" t="e">
        <f t="shared" si="3591"/>
        <v>#N/A</v>
      </c>
      <c r="E1785" s="16" t="e">
        <f t="shared" si="1"/>
        <v>#N/A</v>
      </c>
      <c r="F1785" s="16" t="e">
        <f t="shared" ref="F1785:K1785" si="3592">VLOOKUP($A1785,'[5]Integración Social'!$A$1:$O$233,F$1,0)</f>
        <v>#N/A</v>
      </c>
      <c r="G1785" s="39" t="e">
        <f t="shared" si="3592"/>
        <v>#N/A</v>
      </c>
      <c r="H1785" s="16" t="e">
        <f t="shared" si="3592"/>
        <v>#N/A</v>
      </c>
      <c r="I1785" s="16" t="e">
        <f t="shared" si="3592"/>
        <v>#N/A</v>
      </c>
      <c r="J1785" s="40" t="e">
        <f t="shared" si="3592"/>
        <v>#N/A</v>
      </c>
      <c r="K1785" s="16" t="e">
        <f t="shared" si="3592"/>
        <v>#N/A</v>
      </c>
      <c r="L1785" s="40" t="e">
        <f t="shared" si="3025"/>
        <v>#N/A</v>
      </c>
      <c r="M1785" s="16" t="e">
        <f t="shared" si="3026"/>
        <v>#N/A</v>
      </c>
      <c r="N1785" s="16" t="e">
        <f t="shared" si="3027"/>
        <v>#N/A</v>
      </c>
      <c r="O1785" s="16" t="s">
        <v>69</v>
      </c>
      <c r="P1785" s="16" t="str">
        <f t="shared" si="6"/>
        <v/>
      </c>
      <c r="Q1785" s="41" t="e">
        <f t="shared" si="3028"/>
        <v>#N/A</v>
      </c>
      <c r="R1785" s="44"/>
      <c r="S1785" s="44"/>
      <c r="T1785" s="43"/>
      <c r="U1785" s="43" t="str">
        <f t="shared" si="8"/>
        <v>No</v>
      </c>
      <c r="V1785" s="25"/>
      <c r="W1785" s="25"/>
      <c r="X1785" s="25"/>
      <c r="Y1785" s="25"/>
      <c r="Z1785" s="25"/>
    </row>
    <row r="1786" spans="1:26" ht="15.75" customHeight="1" x14ac:dyDescent="0.25">
      <c r="A1786" s="25">
        <v>1784</v>
      </c>
      <c r="B1786" s="37" t="e">
        <f t="shared" ref="B1786:D1786" si="3593">VLOOKUP($A1786,'[5]Integración Social'!$A$1:$O$233,B$1,0)</f>
        <v>#N/A</v>
      </c>
      <c r="C1786" s="38" t="e">
        <f t="shared" si="3593"/>
        <v>#N/A</v>
      </c>
      <c r="D1786" s="39" t="e">
        <f t="shared" si="3593"/>
        <v>#N/A</v>
      </c>
      <c r="E1786" s="16" t="e">
        <f t="shared" si="1"/>
        <v>#N/A</v>
      </c>
      <c r="F1786" s="16" t="e">
        <f t="shared" ref="F1786:K1786" si="3594">VLOOKUP($A1786,'[5]Integración Social'!$A$1:$O$233,F$1,0)</f>
        <v>#N/A</v>
      </c>
      <c r="G1786" s="39" t="e">
        <f t="shared" si="3594"/>
        <v>#N/A</v>
      </c>
      <c r="H1786" s="16" t="e">
        <f t="shared" si="3594"/>
        <v>#N/A</v>
      </c>
      <c r="I1786" s="16" t="e">
        <f t="shared" si="3594"/>
        <v>#N/A</v>
      </c>
      <c r="J1786" s="40" t="e">
        <f t="shared" si="3594"/>
        <v>#N/A</v>
      </c>
      <c r="K1786" s="16" t="e">
        <f t="shared" si="3594"/>
        <v>#N/A</v>
      </c>
      <c r="L1786" s="40" t="e">
        <f t="shared" si="3025"/>
        <v>#N/A</v>
      </c>
      <c r="M1786" s="16" t="e">
        <f t="shared" si="3026"/>
        <v>#N/A</v>
      </c>
      <c r="N1786" s="16" t="e">
        <f t="shared" si="3027"/>
        <v>#N/A</v>
      </c>
      <c r="O1786" s="16" t="s">
        <v>69</v>
      </c>
      <c r="P1786" s="16" t="str">
        <f t="shared" si="6"/>
        <v/>
      </c>
      <c r="Q1786" s="41" t="e">
        <f t="shared" si="3028"/>
        <v>#N/A</v>
      </c>
      <c r="R1786" s="44"/>
      <c r="S1786" s="44"/>
      <c r="T1786" s="43"/>
      <c r="U1786" s="43" t="str">
        <f t="shared" si="8"/>
        <v>No</v>
      </c>
      <c r="V1786" s="25"/>
      <c r="W1786" s="25"/>
      <c r="X1786" s="25"/>
      <c r="Y1786" s="25"/>
      <c r="Z1786" s="25"/>
    </row>
    <row r="1787" spans="1:26" ht="15.75" customHeight="1" x14ac:dyDescent="0.25">
      <c r="A1787" s="25">
        <v>1785</v>
      </c>
      <c r="B1787" s="37" t="e">
        <f t="shared" ref="B1787:D1787" si="3595">VLOOKUP($A1787,'[5]Integración Social'!$A$1:$O$233,B$1,0)</f>
        <v>#N/A</v>
      </c>
      <c r="C1787" s="38" t="e">
        <f t="shared" si="3595"/>
        <v>#N/A</v>
      </c>
      <c r="D1787" s="39" t="e">
        <f t="shared" si="3595"/>
        <v>#N/A</v>
      </c>
      <c r="E1787" s="16" t="e">
        <f t="shared" si="1"/>
        <v>#N/A</v>
      </c>
      <c r="F1787" s="16" t="e">
        <f t="shared" ref="F1787:K1787" si="3596">VLOOKUP($A1787,'[5]Integración Social'!$A$1:$O$233,F$1,0)</f>
        <v>#N/A</v>
      </c>
      <c r="G1787" s="39" t="e">
        <f t="shared" si="3596"/>
        <v>#N/A</v>
      </c>
      <c r="H1787" s="16" t="e">
        <f t="shared" si="3596"/>
        <v>#N/A</v>
      </c>
      <c r="I1787" s="16" t="e">
        <f t="shared" si="3596"/>
        <v>#N/A</v>
      </c>
      <c r="J1787" s="40" t="e">
        <f t="shared" si="3596"/>
        <v>#N/A</v>
      </c>
      <c r="K1787" s="16" t="e">
        <f t="shared" si="3596"/>
        <v>#N/A</v>
      </c>
      <c r="L1787" s="40" t="e">
        <f t="shared" si="3025"/>
        <v>#N/A</v>
      </c>
      <c r="M1787" s="16" t="e">
        <f t="shared" si="3026"/>
        <v>#N/A</v>
      </c>
      <c r="N1787" s="16" t="e">
        <f t="shared" si="3027"/>
        <v>#N/A</v>
      </c>
      <c r="O1787" s="16" t="s">
        <v>69</v>
      </c>
      <c r="P1787" s="16" t="str">
        <f t="shared" si="6"/>
        <v/>
      </c>
      <c r="Q1787" s="41" t="e">
        <f t="shared" si="3028"/>
        <v>#N/A</v>
      </c>
      <c r="R1787" s="44"/>
      <c r="S1787" s="44"/>
      <c r="T1787" s="43"/>
      <c r="U1787" s="43" t="str">
        <f t="shared" si="8"/>
        <v>No</v>
      </c>
      <c r="V1787" s="25"/>
      <c r="W1787" s="25"/>
      <c r="X1787" s="25"/>
      <c r="Y1787" s="25"/>
      <c r="Z1787" s="25"/>
    </row>
    <row r="1788" spans="1:26" ht="15.75" customHeight="1" x14ac:dyDescent="0.25">
      <c r="A1788" s="25">
        <v>1786</v>
      </c>
      <c r="B1788" s="37" t="e">
        <f t="shared" ref="B1788:D1788" si="3597">VLOOKUP($A1788,'[5]Integración Social'!$A$1:$O$233,B$1,0)</f>
        <v>#N/A</v>
      </c>
      <c r="C1788" s="38" t="e">
        <f t="shared" si="3597"/>
        <v>#N/A</v>
      </c>
      <c r="D1788" s="39" t="e">
        <f t="shared" si="3597"/>
        <v>#N/A</v>
      </c>
      <c r="E1788" s="16" t="e">
        <f t="shared" si="1"/>
        <v>#N/A</v>
      </c>
      <c r="F1788" s="16" t="e">
        <f t="shared" ref="F1788:K1788" si="3598">VLOOKUP($A1788,'[5]Integración Social'!$A$1:$O$233,F$1,0)</f>
        <v>#N/A</v>
      </c>
      <c r="G1788" s="39" t="e">
        <f t="shared" si="3598"/>
        <v>#N/A</v>
      </c>
      <c r="H1788" s="16" t="e">
        <f t="shared" si="3598"/>
        <v>#N/A</v>
      </c>
      <c r="I1788" s="16" t="e">
        <f t="shared" si="3598"/>
        <v>#N/A</v>
      </c>
      <c r="J1788" s="40" t="e">
        <f t="shared" si="3598"/>
        <v>#N/A</v>
      </c>
      <c r="K1788" s="16" t="e">
        <f t="shared" si="3598"/>
        <v>#N/A</v>
      </c>
      <c r="L1788" s="40" t="e">
        <f t="shared" si="3025"/>
        <v>#N/A</v>
      </c>
      <c r="M1788" s="16" t="e">
        <f t="shared" si="3026"/>
        <v>#N/A</v>
      </c>
      <c r="N1788" s="16" t="e">
        <f t="shared" si="3027"/>
        <v>#N/A</v>
      </c>
      <c r="O1788" s="16" t="s">
        <v>69</v>
      </c>
      <c r="P1788" s="16" t="str">
        <f t="shared" si="6"/>
        <v/>
      </c>
      <c r="Q1788" s="41" t="e">
        <f t="shared" si="3028"/>
        <v>#N/A</v>
      </c>
      <c r="R1788" s="44"/>
      <c r="S1788" s="44"/>
      <c r="T1788" s="43"/>
      <c r="U1788" s="43" t="str">
        <f t="shared" si="8"/>
        <v>No</v>
      </c>
      <c r="V1788" s="25"/>
      <c r="W1788" s="25"/>
      <c r="X1788" s="25"/>
      <c r="Y1788" s="25"/>
      <c r="Z1788" s="25"/>
    </row>
    <row r="1789" spans="1:26" ht="15.75" customHeight="1" x14ac:dyDescent="0.25">
      <c r="A1789" s="25">
        <v>1787</v>
      </c>
      <c r="B1789" s="37" t="e">
        <f t="shared" ref="B1789:D1789" si="3599">VLOOKUP($A1789,'[5]Integración Social'!$A$1:$O$233,B$1,0)</f>
        <v>#N/A</v>
      </c>
      <c r="C1789" s="38" t="e">
        <f t="shared" si="3599"/>
        <v>#N/A</v>
      </c>
      <c r="D1789" s="39" t="e">
        <f t="shared" si="3599"/>
        <v>#N/A</v>
      </c>
      <c r="E1789" s="16" t="e">
        <f t="shared" si="1"/>
        <v>#N/A</v>
      </c>
      <c r="F1789" s="16" t="e">
        <f t="shared" ref="F1789:K1789" si="3600">VLOOKUP($A1789,'[5]Integración Social'!$A$1:$O$233,F$1,0)</f>
        <v>#N/A</v>
      </c>
      <c r="G1789" s="39" t="e">
        <f t="shared" si="3600"/>
        <v>#N/A</v>
      </c>
      <c r="H1789" s="16" t="e">
        <f t="shared" si="3600"/>
        <v>#N/A</v>
      </c>
      <c r="I1789" s="16" t="e">
        <f t="shared" si="3600"/>
        <v>#N/A</v>
      </c>
      <c r="J1789" s="40" t="e">
        <f t="shared" si="3600"/>
        <v>#N/A</v>
      </c>
      <c r="K1789" s="16" t="e">
        <f t="shared" si="3600"/>
        <v>#N/A</v>
      </c>
      <c r="L1789" s="40" t="e">
        <f t="shared" si="3025"/>
        <v>#N/A</v>
      </c>
      <c r="M1789" s="16" t="e">
        <f t="shared" si="3026"/>
        <v>#N/A</v>
      </c>
      <c r="N1789" s="16" t="e">
        <f t="shared" si="3027"/>
        <v>#N/A</v>
      </c>
      <c r="O1789" s="16" t="s">
        <v>69</v>
      </c>
      <c r="P1789" s="16" t="str">
        <f t="shared" si="6"/>
        <v/>
      </c>
      <c r="Q1789" s="41" t="e">
        <f t="shared" si="3028"/>
        <v>#N/A</v>
      </c>
      <c r="R1789" s="44"/>
      <c r="S1789" s="44"/>
      <c r="T1789" s="43"/>
      <c r="U1789" s="43" t="str">
        <f t="shared" si="8"/>
        <v>No</v>
      </c>
      <c r="V1789" s="25"/>
      <c r="W1789" s="25"/>
      <c r="X1789" s="25"/>
      <c r="Y1789" s="25"/>
      <c r="Z1789" s="25"/>
    </row>
    <row r="1790" spans="1:26" ht="15.75" customHeight="1" x14ac:dyDescent="0.25">
      <c r="A1790" s="25">
        <v>1788</v>
      </c>
      <c r="B1790" s="37" t="e">
        <f t="shared" ref="B1790:D1790" si="3601">VLOOKUP($A1790,'[5]Integración Social'!$A$1:$O$233,B$1,0)</f>
        <v>#N/A</v>
      </c>
      <c r="C1790" s="38" t="e">
        <f t="shared" si="3601"/>
        <v>#N/A</v>
      </c>
      <c r="D1790" s="39" t="e">
        <f t="shared" si="3601"/>
        <v>#N/A</v>
      </c>
      <c r="E1790" s="16" t="e">
        <f t="shared" si="1"/>
        <v>#N/A</v>
      </c>
      <c r="F1790" s="16" t="e">
        <f t="shared" ref="F1790:K1790" si="3602">VLOOKUP($A1790,'[5]Integración Social'!$A$1:$O$233,F$1,0)</f>
        <v>#N/A</v>
      </c>
      <c r="G1790" s="39" t="e">
        <f t="shared" si="3602"/>
        <v>#N/A</v>
      </c>
      <c r="H1790" s="16" t="e">
        <f t="shared" si="3602"/>
        <v>#N/A</v>
      </c>
      <c r="I1790" s="16" t="e">
        <f t="shared" si="3602"/>
        <v>#N/A</v>
      </c>
      <c r="J1790" s="40" t="e">
        <f t="shared" si="3602"/>
        <v>#N/A</v>
      </c>
      <c r="K1790" s="16" t="e">
        <f t="shared" si="3602"/>
        <v>#N/A</v>
      </c>
      <c r="L1790" s="40" t="e">
        <f t="shared" si="3025"/>
        <v>#N/A</v>
      </c>
      <c r="M1790" s="16" t="e">
        <f t="shared" si="3026"/>
        <v>#N/A</v>
      </c>
      <c r="N1790" s="16" t="e">
        <f t="shared" si="3027"/>
        <v>#N/A</v>
      </c>
      <c r="O1790" s="16" t="s">
        <v>69</v>
      </c>
      <c r="P1790" s="16" t="str">
        <f t="shared" si="6"/>
        <v/>
      </c>
      <c r="Q1790" s="41" t="e">
        <f t="shared" si="3028"/>
        <v>#N/A</v>
      </c>
      <c r="R1790" s="44"/>
      <c r="S1790" s="44"/>
      <c r="T1790" s="43"/>
      <c r="U1790" s="43" t="str">
        <f t="shared" si="8"/>
        <v>No</v>
      </c>
      <c r="V1790" s="25"/>
      <c r="W1790" s="25"/>
      <c r="X1790" s="25"/>
      <c r="Y1790" s="25"/>
      <c r="Z1790" s="25"/>
    </row>
    <row r="1791" spans="1:26" ht="15.75" customHeight="1" x14ac:dyDescent="0.25">
      <c r="A1791" s="25">
        <v>1789</v>
      </c>
      <c r="B1791" s="37" t="e">
        <f t="shared" ref="B1791:D1791" si="3603">VLOOKUP($A1791,'[5]Integración Social'!$A$1:$O$233,B$1,0)</f>
        <v>#N/A</v>
      </c>
      <c r="C1791" s="38" t="e">
        <f t="shared" si="3603"/>
        <v>#N/A</v>
      </c>
      <c r="D1791" s="39" t="e">
        <f t="shared" si="3603"/>
        <v>#N/A</v>
      </c>
      <c r="E1791" s="16" t="e">
        <f t="shared" si="1"/>
        <v>#N/A</v>
      </c>
      <c r="F1791" s="16" t="e">
        <f t="shared" ref="F1791:K1791" si="3604">VLOOKUP($A1791,'[5]Integración Social'!$A$1:$O$233,F$1,0)</f>
        <v>#N/A</v>
      </c>
      <c r="G1791" s="39" t="e">
        <f t="shared" si="3604"/>
        <v>#N/A</v>
      </c>
      <c r="H1791" s="16" t="e">
        <f t="shared" si="3604"/>
        <v>#N/A</v>
      </c>
      <c r="I1791" s="16" t="e">
        <f t="shared" si="3604"/>
        <v>#N/A</v>
      </c>
      <c r="J1791" s="40" t="e">
        <f t="shared" si="3604"/>
        <v>#N/A</v>
      </c>
      <c r="K1791" s="16" t="e">
        <f t="shared" si="3604"/>
        <v>#N/A</v>
      </c>
      <c r="L1791" s="40" t="e">
        <f t="shared" si="3025"/>
        <v>#N/A</v>
      </c>
      <c r="M1791" s="16" t="e">
        <f t="shared" si="3026"/>
        <v>#N/A</v>
      </c>
      <c r="N1791" s="16" t="e">
        <f t="shared" si="3027"/>
        <v>#N/A</v>
      </c>
      <c r="O1791" s="16" t="s">
        <v>69</v>
      </c>
      <c r="P1791" s="16" t="str">
        <f t="shared" si="6"/>
        <v/>
      </c>
      <c r="Q1791" s="41" t="e">
        <f t="shared" si="3028"/>
        <v>#N/A</v>
      </c>
      <c r="R1791" s="44"/>
      <c r="S1791" s="44"/>
      <c r="T1791" s="43"/>
      <c r="U1791" s="43" t="str">
        <f t="shared" si="8"/>
        <v>No</v>
      </c>
      <c r="V1791" s="25"/>
      <c r="W1791" s="25"/>
      <c r="X1791" s="25"/>
      <c r="Y1791" s="25"/>
      <c r="Z1791" s="25"/>
    </row>
    <row r="1792" spans="1:26" ht="15.75" customHeight="1" x14ac:dyDescent="0.25">
      <c r="A1792" s="25">
        <v>1790</v>
      </c>
      <c r="B1792" s="37" t="e">
        <f t="shared" ref="B1792:D1792" si="3605">VLOOKUP($A1792,'[5]Integración Social'!$A$1:$O$233,B$1,0)</f>
        <v>#N/A</v>
      </c>
      <c r="C1792" s="38" t="e">
        <f t="shared" si="3605"/>
        <v>#N/A</v>
      </c>
      <c r="D1792" s="39" t="e">
        <f t="shared" si="3605"/>
        <v>#N/A</v>
      </c>
      <c r="E1792" s="16" t="e">
        <f t="shared" si="1"/>
        <v>#N/A</v>
      </c>
      <c r="F1792" s="16" t="e">
        <f t="shared" ref="F1792:K1792" si="3606">VLOOKUP($A1792,'[5]Integración Social'!$A$1:$O$233,F$1,0)</f>
        <v>#N/A</v>
      </c>
      <c r="G1792" s="39" t="e">
        <f t="shared" si="3606"/>
        <v>#N/A</v>
      </c>
      <c r="H1792" s="16" t="e">
        <f t="shared" si="3606"/>
        <v>#N/A</v>
      </c>
      <c r="I1792" s="16" t="e">
        <f t="shared" si="3606"/>
        <v>#N/A</v>
      </c>
      <c r="J1792" s="40" t="e">
        <f t="shared" si="3606"/>
        <v>#N/A</v>
      </c>
      <c r="K1792" s="16" t="e">
        <f t="shared" si="3606"/>
        <v>#N/A</v>
      </c>
      <c r="L1792" s="40" t="e">
        <f t="shared" si="3025"/>
        <v>#N/A</v>
      </c>
      <c r="M1792" s="16" t="e">
        <f t="shared" si="3026"/>
        <v>#N/A</v>
      </c>
      <c r="N1792" s="16" t="e">
        <f t="shared" si="3027"/>
        <v>#N/A</v>
      </c>
      <c r="O1792" s="16" t="s">
        <v>69</v>
      </c>
      <c r="P1792" s="16" t="str">
        <f t="shared" si="6"/>
        <v/>
      </c>
      <c r="Q1792" s="41" t="e">
        <f t="shared" si="3028"/>
        <v>#N/A</v>
      </c>
      <c r="R1792" s="44"/>
      <c r="S1792" s="44"/>
      <c r="T1792" s="43"/>
      <c r="U1792" s="43" t="str">
        <f t="shared" si="8"/>
        <v>No</v>
      </c>
      <c r="V1792" s="25"/>
      <c r="W1792" s="25"/>
      <c r="X1792" s="25"/>
      <c r="Y1792" s="25"/>
      <c r="Z1792" s="25"/>
    </row>
    <row r="1793" spans="1:26" ht="15.75" customHeight="1" x14ac:dyDescent="0.25">
      <c r="A1793" s="25">
        <v>1791</v>
      </c>
      <c r="B1793" s="37" t="e">
        <f t="shared" ref="B1793:D1793" si="3607">VLOOKUP($A1793,'[5]Integración Social'!$A$1:$O$233,B$1,0)</f>
        <v>#N/A</v>
      </c>
      <c r="C1793" s="38" t="e">
        <f t="shared" si="3607"/>
        <v>#N/A</v>
      </c>
      <c r="D1793" s="39" t="e">
        <f t="shared" si="3607"/>
        <v>#N/A</v>
      </c>
      <c r="E1793" s="16" t="e">
        <f t="shared" si="1"/>
        <v>#N/A</v>
      </c>
      <c r="F1793" s="16" t="e">
        <f t="shared" ref="F1793:K1793" si="3608">VLOOKUP($A1793,'[5]Integración Social'!$A$1:$O$233,F$1,0)</f>
        <v>#N/A</v>
      </c>
      <c r="G1793" s="39" t="e">
        <f t="shared" si="3608"/>
        <v>#N/A</v>
      </c>
      <c r="H1793" s="16" t="e">
        <f t="shared" si="3608"/>
        <v>#N/A</v>
      </c>
      <c r="I1793" s="16" t="e">
        <f t="shared" si="3608"/>
        <v>#N/A</v>
      </c>
      <c r="J1793" s="40" t="e">
        <f t="shared" si="3608"/>
        <v>#N/A</v>
      </c>
      <c r="K1793" s="16" t="e">
        <f t="shared" si="3608"/>
        <v>#N/A</v>
      </c>
      <c r="L1793" s="40" t="e">
        <f t="shared" si="3025"/>
        <v>#N/A</v>
      </c>
      <c r="M1793" s="16" t="e">
        <f t="shared" si="3026"/>
        <v>#N/A</v>
      </c>
      <c r="N1793" s="16" t="e">
        <f t="shared" si="3027"/>
        <v>#N/A</v>
      </c>
      <c r="O1793" s="16" t="s">
        <v>69</v>
      </c>
      <c r="P1793" s="16" t="str">
        <f t="shared" si="6"/>
        <v/>
      </c>
      <c r="Q1793" s="41" t="e">
        <f t="shared" si="3028"/>
        <v>#N/A</v>
      </c>
      <c r="R1793" s="44"/>
      <c r="S1793" s="44"/>
      <c r="T1793" s="43"/>
      <c r="U1793" s="43" t="str">
        <f t="shared" si="8"/>
        <v>No</v>
      </c>
      <c r="V1793" s="25"/>
      <c r="W1793" s="25"/>
      <c r="X1793" s="25"/>
      <c r="Y1793" s="25"/>
      <c r="Z1793" s="25"/>
    </row>
    <row r="1794" spans="1:26" ht="15.75" customHeight="1" x14ac:dyDescent="0.25">
      <c r="A1794" s="25">
        <v>1792</v>
      </c>
      <c r="B1794" s="37" t="e">
        <f t="shared" ref="B1794:D1794" si="3609">VLOOKUP($A1794,'[5]Integración Social'!$A$1:$O$233,B$1,0)</f>
        <v>#N/A</v>
      </c>
      <c r="C1794" s="38" t="e">
        <f t="shared" si="3609"/>
        <v>#N/A</v>
      </c>
      <c r="D1794" s="39" t="e">
        <f t="shared" si="3609"/>
        <v>#N/A</v>
      </c>
      <c r="E1794" s="16" t="e">
        <f t="shared" si="1"/>
        <v>#N/A</v>
      </c>
      <c r="F1794" s="16" t="e">
        <f t="shared" ref="F1794:K1794" si="3610">VLOOKUP($A1794,'[5]Integración Social'!$A$1:$O$233,F$1,0)</f>
        <v>#N/A</v>
      </c>
      <c r="G1794" s="39" t="e">
        <f t="shared" si="3610"/>
        <v>#N/A</v>
      </c>
      <c r="H1794" s="16" t="e">
        <f t="shared" si="3610"/>
        <v>#N/A</v>
      </c>
      <c r="I1794" s="16" t="e">
        <f t="shared" si="3610"/>
        <v>#N/A</v>
      </c>
      <c r="J1794" s="40" t="e">
        <f t="shared" si="3610"/>
        <v>#N/A</v>
      </c>
      <c r="K1794" s="16" t="e">
        <f t="shared" si="3610"/>
        <v>#N/A</v>
      </c>
      <c r="L1794" s="40" t="e">
        <f t="shared" si="3025"/>
        <v>#N/A</v>
      </c>
      <c r="M1794" s="16" t="e">
        <f t="shared" si="3026"/>
        <v>#N/A</v>
      </c>
      <c r="N1794" s="16" t="e">
        <f t="shared" si="3027"/>
        <v>#N/A</v>
      </c>
      <c r="O1794" s="16" t="s">
        <v>69</v>
      </c>
      <c r="P1794" s="16" t="str">
        <f t="shared" si="6"/>
        <v/>
      </c>
      <c r="Q1794" s="41" t="e">
        <f t="shared" si="3028"/>
        <v>#N/A</v>
      </c>
      <c r="R1794" s="44"/>
      <c r="S1794" s="44"/>
      <c r="T1794" s="43"/>
      <c r="U1794" s="43" t="str">
        <f t="shared" si="8"/>
        <v>No</v>
      </c>
      <c r="V1794" s="25"/>
      <c r="W1794" s="25"/>
      <c r="X1794" s="25"/>
      <c r="Y1794" s="25"/>
      <c r="Z1794" s="25"/>
    </row>
    <row r="1795" spans="1:26" ht="15.75" customHeight="1" x14ac:dyDescent="0.25">
      <c r="A1795" s="25">
        <v>1793</v>
      </c>
      <c r="B1795" s="37" t="e">
        <f t="shared" ref="B1795:D1795" si="3611">VLOOKUP($A1795,'[5]Integración Social'!$A$1:$O$233,B$1,0)</f>
        <v>#N/A</v>
      </c>
      <c r="C1795" s="38" t="e">
        <f t="shared" si="3611"/>
        <v>#N/A</v>
      </c>
      <c r="D1795" s="39" t="e">
        <f t="shared" si="3611"/>
        <v>#N/A</v>
      </c>
      <c r="E1795" s="16" t="e">
        <f t="shared" si="1"/>
        <v>#N/A</v>
      </c>
      <c r="F1795" s="16" t="e">
        <f t="shared" ref="F1795:K1795" si="3612">VLOOKUP($A1795,'[5]Integración Social'!$A$1:$O$233,F$1,0)</f>
        <v>#N/A</v>
      </c>
      <c r="G1795" s="39" t="e">
        <f t="shared" si="3612"/>
        <v>#N/A</v>
      </c>
      <c r="H1795" s="16" t="e">
        <f t="shared" si="3612"/>
        <v>#N/A</v>
      </c>
      <c r="I1795" s="16" t="e">
        <f t="shared" si="3612"/>
        <v>#N/A</v>
      </c>
      <c r="J1795" s="40" t="e">
        <f t="shared" si="3612"/>
        <v>#N/A</v>
      </c>
      <c r="K1795" s="16" t="e">
        <f t="shared" si="3612"/>
        <v>#N/A</v>
      </c>
      <c r="L1795" s="40" t="e">
        <f t="shared" si="3025"/>
        <v>#N/A</v>
      </c>
      <c r="M1795" s="16" t="e">
        <f t="shared" si="3026"/>
        <v>#N/A</v>
      </c>
      <c r="N1795" s="16" t="e">
        <f t="shared" si="3027"/>
        <v>#N/A</v>
      </c>
      <c r="O1795" s="16" t="s">
        <v>69</v>
      </c>
      <c r="P1795" s="16" t="str">
        <f t="shared" si="6"/>
        <v/>
      </c>
      <c r="Q1795" s="41" t="e">
        <f t="shared" si="3028"/>
        <v>#N/A</v>
      </c>
      <c r="R1795" s="44"/>
      <c r="S1795" s="44"/>
      <c r="T1795" s="43"/>
      <c r="U1795" s="43" t="str">
        <f t="shared" si="8"/>
        <v>No</v>
      </c>
      <c r="V1795" s="25"/>
      <c r="W1795" s="25"/>
      <c r="X1795" s="25"/>
      <c r="Y1795" s="25"/>
      <c r="Z1795" s="25"/>
    </row>
    <row r="1796" spans="1:26" ht="15.75" customHeight="1" x14ac:dyDescent="0.25">
      <c r="A1796" s="25">
        <v>1794</v>
      </c>
      <c r="B1796" s="37" t="e">
        <f t="shared" ref="B1796:D1796" si="3613">VLOOKUP($A1796,'[5]Integración Social'!$A$1:$O$233,B$1,0)</f>
        <v>#N/A</v>
      </c>
      <c r="C1796" s="38" t="e">
        <f t="shared" si="3613"/>
        <v>#N/A</v>
      </c>
      <c r="D1796" s="39" t="e">
        <f t="shared" si="3613"/>
        <v>#N/A</v>
      </c>
      <c r="E1796" s="16" t="e">
        <f t="shared" si="1"/>
        <v>#N/A</v>
      </c>
      <c r="F1796" s="16" t="e">
        <f t="shared" ref="F1796:K1796" si="3614">VLOOKUP($A1796,'[5]Integración Social'!$A$1:$O$233,F$1,0)</f>
        <v>#N/A</v>
      </c>
      <c r="G1796" s="39" t="e">
        <f t="shared" si="3614"/>
        <v>#N/A</v>
      </c>
      <c r="H1796" s="16" t="e">
        <f t="shared" si="3614"/>
        <v>#N/A</v>
      </c>
      <c r="I1796" s="16" t="e">
        <f t="shared" si="3614"/>
        <v>#N/A</v>
      </c>
      <c r="J1796" s="40" t="e">
        <f t="shared" si="3614"/>
        <v>#N/A</v>
      </c>
      <c r="K1796" s="16" t="e">
        <f t="shared" si="3614"/>
        <v>#N/A</v>
      </c>
      <c r="L1796" s="40" t="e">
        <f t="shared" si="3025"/>
        <v>#N/A</v>
      </c>
      <c r="M1796" s="16" t="e">
        <f t="shared" si="3026"/>
        <v>#N/A</v>
      </c>
      <c r="N1796" s="16" t="e">
        <f t="shared" si="3027"/>
        <v>#N/A</v>
      </c>
      <c r="O1796" s="16" t="s">
        <v>69</v>
      </c>
      <c r="P1796" s="16" t="str">
        <f t="shared" si="6"/>
        <v/>
      </c>
      <c r="Q1796" s="41" t="e">
        <f t="shared" si="3028"/>
        <v>#N/A</v>
      </c>
      <c r="R1796" s="44"/>
      <c r="S1796" s="44"/>
      <c r="T1796" s="43"/>
      <c r="U1796" s="43" t="str">
        <f t="shared" si="8"/>
        <v>No</v>
      </c>
      <c r="V1796" s="25"/>
      <c r="W1796" s="25"/>
      <c r="X1796" s="25"/>
      <c r="Y1796" s="25"/>
      <c r="Z1796" s="25"/>
    </row>
    <row r="1797" spans="1:26" ht="15.75" customHeight="1" x14ac:dyDescent="0.25">
      <c r="A1797" s="25">
        <v>1795</v>
      </c>
      <c r="B1797" s="37" t="e">
        <f t="shared" ref="B1797:D1797" si="3615">VLOOKUP($A1797,'[5]Integración Social'!$A$1:$O$233,B$1,0)</f>
        <v>#N/A</v>
      </c>
      <c r="C1797" s="38" t="e">
        <f t="shared" si="3615"/>
        <v>#N/A</v>
      </c>
      <c r="D1797" s="39" t="e">
        <f t="shared" si="3615"/>
        <v>#N/A</v>
      </c>
      <c r="E1797" s="16" t="e">
        <f t="shared" si="1"/>
        <v>#N/A</v>
      </c>
      <c r="F1797" s="16" t="e">
        <f t="shared" ref="F1797:K1797" si="3616">VLOOKUP($A1797,'[5]Integración Social'!$A$1:$O$233,F$1,0)</f>
        <v>#N/A</v>
      </c>
      <c r="G1797" s="39" t="e">
        <f t="shared" si="3616"/>
        <v>#N/A</v>
      </c>
      <c r="H1797" s="16" t="e">
        <f t="shared" si="3616"/>
        <v>#N/A</v>
      </c>
      <c r="I1797" s="16" t="e">
        <f t="shared" si="3616"/>
        <v>#N/A</v>
      </c>
      <c r="J1797" s="40" t="e">
        <f t="shared" si="3616"/>
        <v>#N/A</v>
      </c>
      <c r="K1797" s="16" t="e">
        <f t="shared" si="3616"/>
        <v>#N/A</v>
      </c>
      <c r="L1797" s="40" t="e">
        <f t="shared" si="3025"/>
        <v>#N/A</v>
      </c>
      <c r="M1797" s="16" t="e">
        <f t="shared" si="3026"/>
        <v>#N/A</v>
      </c>
      <c r="N1797" s="16" t="e">
        <f t="shared" si="3027"/>
        <v>#N/A</v>
      </c>
      <c r="O1797" s="16" t="s">
        <v>69</v>
      </c>
      <c r="P1797" s="16" t="str">
        <f t="shared" si="6"/>
        <v/>
      </c>
      <c r="Q1797" s="41" t="e">
        <f t="shared" si="3028"/>
        <v>#N/A</v>
      </c>
      <c r="R1797" s="44"/>
      <c r="S1797" s="44"/>
      <c r="T1797" s="43"/>
      <c r="U1797" s="43" t="str">
        <f t="shared" si="8"/>
        <v>No</v>
      </c>
      <c r="V1797" s="25"/>
      <c r="W1797" s="25"/>
      <c r="X1797" s="25"/>
      <c r="Y1797" s="25"/>
      <c r="Z1797" s="25"/>
    </row>
    <row r="1798" spans="1:26" ht="15.75" customHeight="1" x14ac:dyDescent="0.25">
      <c r="A1798" s="25">
        <v>1796</v>
      </c>
      <c r="B1798" s="37" t="e">
        <f t="shared" ref="B1798:D1798" si="3617">VLOOKUP($A1798,'[5]Integración Social'!$A$1:$O$233,B$1,0)</f>
        <v>#N/A</v>
      </c>
      <c r="C1798" s="38" t="e">
        <f t="shared" si="3617"/>
        <v>#N/A</v>
      </c>
      <c r="D1798" s="39" t="e">
        <f t="shared" si="3617"/>
        <v>#N/A</v>
      </c>
      <c r="E1798" s="16" t="e">
        <f t="shared" si="1"/>
        <v>#N/A</v>
      </c>
      <c r="F1798" s="16" t="e">
        <f t="shared" ref="F1798:K1798" si="3618">VLOOKUP($A1798,'[5]Integración Social'!$A$1:$O$233,F$1,0)</f>
        <v>#N/A</v>
      </c>
      <c r="G1798" s="39" t="e">
        <f t="shared" si="3618"/>
        <v>#N/A</v>
      </c>
      <c r="H1798" s="16" t="e">
        <f t="shared" si="3618"/>
        <v>#N/A</v>
      </c>
      <c r="I1798" s="16" t="e">
        <f t="shared" si="3618"/>
        <v>#N/A</v>
      </c>
      <c r="J1798" s="40" t="e">
        <f t="shared" si="3618"/>
        <v>#N/A</v>
      </c>
      <c r="K1798" s="16" t="e">
        <f t="shared" si="3618"/>
        <v>#N/A</v>
      </c>
      <c r="L1798" s="40" t="e">
        <f t="shared" si="3025"/>
        <v>#N/A</v>
      </c>
      <c r="M1798" s="16" t="e">
        <f t="shared" si="3026"/>
        <v>#N/A</v>
      </c>
      <c r="N1798" s="16" t="e">
        <f t="shared" si="3027"/>
        <v>#N/A</v>
      </c>
      <c r="O1798" s="16" t="s">
        <v>69</v>
      </c>
      <c r="P1798" s="16" t="str">
        <f t="shared" si="6"/>
        <v/>
      </c>
      <c r="Q1798" s="41" t="e">
        <f t="shared" si="3028"/>
        <v>#N/A</v>
      </c>
      <c r="R1798" s="44"/>
      <c r="S1798" s="44"/>
      <c r="T1798" s="43"/>
      <c r="U1798" s="43" t="str">
        <f t="shared" si="8"/>
        <v>No</v>
      </c>
      <c r="V1798" s="25"/>
      <c r="W1798" s="25"/>
      <c r="X1798" s="25"/>
      <c r="Y1798" s="25"/>
      <c r="Z1798" s="25"/>
    </row>
    <row r="1799" spans="1:26" ht="15.75" customHeight="1" x14ac:dyDescent="0.25">
      <c r="A1799" s="25">
        <v>1797</v>
      </c>
      <c r="B1799" s="37" t="e">
        <f t="shared" ref="B1799:D1799" si="3619">VLOOKUP($A1799,'[5]Integración Social'!$A$1:$O$233,B$1,0)</f>
        <v>#N/A</v>
      </c>
      <c r="C1799" s="38" t="e">
        <f t="shared" si="3619"/>
        <v>#N/A</v>
      </c>
      <c r="D1799" s="39" t="e">
        <f t="shared" si="3619"/>
        <v>#N/A</v>
      </c>
      <c r="E1799" s="16" t="e">
        <f t="shared" si="1"/>
        <v>#N/A</v>
      </c>
      <c r="F1799" s="16" t="e">
        <f t="shared" ref="F1799:K1799" si="3620">VLOOKUP($A1799,'[5]Integración Social'!$A$1:$O$233,F$1,0)</f>
        <v>#N/A</v>
      </c>
      <c r="G1799" s="39" t="e">
        <f t="shared" si="3620"/>
        <v>#N/A</v>
      </c>
      <c r="H1799" s="16" t="e">
        <f t="shared" si="3620"/>
        <v>#N/A</v>
      </c>
      <c r="I1799" s="16" t="e">
        <f t="shared" si="3620"/>
        <v>#N/A</v>
      </c>
      <c r="J1799" s="40" t="e">
        <f t="shared" si="3620"/>
        <v>#N/A</v>
      </c>
      <c r="K1799" s="16" t="e">
        <f t="shared" si="3620"/>
        <v>#N/A</v>
      </c>
      <c r="L1799" s="40" t="e">
        <f t="shared" si="3025"/>
        <v>#N/A</v>
      </c>
      <c r="M1799" s="16" t="e">
        <f t="shared" si="3026"/>
        <v>#N/A</v>
      </c>
      <c r="N1799" s="16" t="e">
        <f t="shared" si="3027"/>
        <v>#N/A</v>
      </c>
      <c r="O1799" s="16" t="s">
        <v>69</v>
      </c>
      <c r="P1799" s="16" t="str">
        <f t="shared" si="6"/>
        <v/>
      </c>
      <c r="Q1799" s="41" t="e">
        <f t="shared" si="3028"/>
        <v>#N/A</v>
      </c>
      <c r="R1799" s="44"/>
      <c r="S1799" s="44"/>
      <c r="T1799" s="43"/>
      <c r="U1799" s="43" t="str">
        <f t="shared" si="8"/>
        <v>No</v>
      </c>
      <c r="V1799" s="25"/>
      <c r="W1799" s="25"/>
      <c r="X1799" s="25"/>
      <c r="Y1799" s="25"/>
      <c r="Z1799" s="25"/>
    </row>
    <row r="1800" spans="1:26" ht="15.75" customHeight="1" x14ac:dyDescent="0.25">
      <c r="A1800" s="25">
        <v>1798</v>
      </c>
      <c r="B1800" s="37" t="e">
        <f t="shared" ref="B1800:D1800" si="3621">VLOOKUP($A1800,'[5]Integración Social'!$A$1:$O$233,B$1,0)</f>
        <v>#N/A</v>
      </c>
      <c r="C1800" s="38" t="e">
        <f t="shared" si="3621"/>
        <v>#N/A</v>
      </c>
      <c r="D1800" s="39" t="e">
        <f t="shared" si="3621"/>
        <v>#N/A</v>
      </c>
      <c r="E1800" s="16" t="e">
        <f t="shared" si="1"/>
        <v>#N/A</v>
      </c>
      <c r="F1800" s="16" t="e">
        <f t="shared" ref="F1800:K1800" si="3622">VLOOKUP($A1800,'[5]Integración Social'!$A$1:$O$233,F$1,0)</f>
        <v>#N/A</v>
      </c>
      <c r="G1800" s="39" t="e">
        <f t="shared" si="3622"/>
        <v>#N/A</v>
      </c>
      <c r="H1800" s="16" t="e">
        <f t="shared" si="3622"/>
        <v>#N/A</v>
      </c>
      <c r="I1800" s="16" t="e">
        <f t="shared" si="3622"/>
        <v>#N/A</v>
      </c>
      <c r="J1800" s="40" t="e">
        <f t="shared" si="3622"/>
        <v>#N/A</v>
      </c>
      <c r="K1800" s="16" t="e">
        <f t="shared" si="3622"/>
        <v>#N/A</v>
      </c>
      <c r="L1800" s="40" t="e">
        <f t="shared" si="3025"/>
        <v>#N/A</v>
      </c>
      <c r="M1800" s="16" t="e">
        <f t="shared" si="3026"/>
        <v>#N/A</v>
      </c>
      <c r="N1800" s="16" t="e">
        <f t="shared" si="3027"/>
        <v>#N/A</v>
      </c>
      <c r="O1800" s="16" t="s">
        <v>69</v>
      </c>
      <c r="P1800" s="16" t="str">
        <f t="shared" si="6"/>
        <v/>
      </c>
      <c r="Q1800" s="41" t="e">
        <f t="shared" si="3028"/>
        <v>#N/A</v>
      </c>
      <c r="R1800" s="44"/>
      <c r="S1800" s="44"/>
      <c r="T1800" s="43"/>
      <c r="U1800" s="43" t="str">
        <f t="shared" si="8"/>
        <v>No</v>
      </c>
      <c r="V1800" s="25"/>
      <c r="W1800" s="25"/>
      <c r="X1800" s="25"/>
      <c r="Y1800" s="25"/>
      <c r="Z1800" s="25"/>
    </row>
    <row r="1801" spans="1:26" ht="15.75" customHeight="1" x14ac:dyDescent="0.25">
      <c r="A1801" s="25">
        <v>1799</v>
      </c>
      <c r="B1801" s="37" t="e">
        <f t="shared" ref="B1801:D1801" si="3623">VLOOKUP($A1801,'[5]Integración Social'!$A$1:$O$233,B$1,0)</f>
        <v>#N/A</v>
      </c>
      <c r="C1801" s="38" t="e">
        <f t="shared" si="3623"/>
        <v>#N/A</v>
      </c>
      <c r="D1801" s="39" t="e">
        <f t="shared" si="3623"/>
        <v>#N/A</v>
      </c>
      <c r="E1801" s="16" t="e">
        <f t="shared" si="1"/>
        <v>#N/A</v>
      </c>
      <c r="F1801" s="16" t="e">
        <f t="shared" ref="F1801:K1801" si="3624">VLOOKUP($A1801,'[5]Integración Social'!$A$1:$O$233,F$1,0)</f>
        <v>#N/A</v>
      </c>
      <c r="G1801" s="39" t="e">
        <f t="shared" si="3624"/>
        <v>#N/A</v>
      </c>
      <c r="H1801" s="16" t="e">
        <f t="shared" si="3624"/>
        <v>#N/A</v>
      </c>
      <c r="I1801" s="16" t="e">
        <f t="shared" si="3624"/>
        <v>#N/A</v>
      </c>
      <c r="J1801" s="40" t="e">
        <f t="shared" si="3624"/>
        <v>#N/A</v>
      </c>
      <c r="K1801" s="16" t="e">
        <f t="shared" si="3624"/>
        <v>#N/A</v>
      </c>
      <c r="L1801" s="40" t="e">
        <f t="shared" si="3025"/>
        <v>#N/A</v>
      </c>
      <c r="M1801" s="16" t="e">
        <f t="shared" si="3026"/>
        <v>#N/A</v>
      </c>
      <c r="N1801" s="16" t="e">
        <f t="shared" si="3027"/>
        <v>#N/A</v>
      </c>
      <c r="O1801" s="16" t="s">
        <v>69</v>
      </c>
      <c r="P1801" s="16" t="str">
        <f t="shared" si="6"/>
        <v/>
      </c>
      <c r="Q1801" s="41" t="e">
        <f t="shared" si="3028"/>
        <v>#N/A</v>
      </c>
      <c r="R1801" s="44"/>
      <c r="S1801" s="44"/>
      <c r="T1801" s="43"/>
      <c r="U1801" s="43" t="str">
        <f t="shared" si="8"/>
        <v>No</v>
      </c>
      <c r="V1801" s="25"/>
      <c r="W1801" s="25"/>
      <c r="X1801" s="25"/>
      <c r="Y1801" s="25"/>
      <c r="Z1801" s="25"/>
    </row>
    <row r="1802" spans="1:26" ht="15.75" customHeight="1" x14ac:dyDescent="0.25">
      <c r="A1802" s="25">
        <v>1800</v>
      </c>
      <c r="B1802" s="37" t="e">
        <f t="shared" ref="B1802:D1802" si="3625">VLOOKUP($A1802,'[5]Integración Social'!$A$1:$O$233,B$1,0)</f>
        <v>#N/A</v>
      </c>
      <c r="C1802" s="38" t="e">
        <f t="shared" si="3625"/>
        <v>#N/A</v>
      </c>
      <c r="D1802" s="39" t="e">
        <f t="shared" si="3625"/>
        <v>#N/A</v>
      </c>
      <c r="E1802" s="16" t="e">
        <f t="shared" si="1"/>
        <v>#N/A</v>
      </c>
      <c r="F1802" s="16" t="e">
        <f t="shared" ref="F1802:K1802" si="3626">VLOOKUP($A1802,'[5]Integración Social'!$A$1:$O$233,F$1,0)</f>
        <v>#N/A</v>
      </c>
      <c r="G1802" s="39" t="e">
        <f t="shared" si="3626"/>
        <v>#N/A</v>
      </c>
      <c r="H1802" s="16" t="e">
        <f t="shared" si="3626"/>
        <v>#N/A</v>
      </c>
      <c r="I1802" s="16" t="e">
        <f t="shared" si="3626"/>
        <v>#N/A</v>
      </c>
      <c r="J1802" s="40" t="e">
        <f t="shared" si="3626"/>
        <v>#N/A</v>
      </c>
      <c r="K1802" s="16" t="e">
        <f t="shared" si="3626"/>
        <v>#N/A</v>
      </c>
      <c r="L1802" s="40" t="e">
        <f t="shared" si="3025"/>
        <v>#N/A</v>
      </c>
      <c r="M1802" s="16" t="e">
        <f t="shared" si="3026"/>
        <v>#N/A</v>
      </c>
      <c r="N1802" s="16" t="e">
        <f t="shared" si="3027"/>
        <v>#N/A</v>
      </c>
      <c r="O1802" s="16" t="s">
        <v>69</v>
      </c>
      <c r="P1802" s="16" t="str">
        <f t="shared" si="6"/>
        <v/>
      </c>
      <c r="Q1802" s="41" t="e">
        <f t="shared" si="3028"/>
        <v>#N/A</v>
      </c>
      <c r="R1802" s="44"/>
      <c r="S1802" s="44"/>
      <c r="T1802" s="43"/>
      <c r="U1802" s="43" t="str">
        <f t="shared" si="8"/>
        <v>No</v>
      </c>
      <c r="V1802" s="25"/>
      <c r="W1802" s="25"/>
      <c r="X1802" s="25"/>
      <c r="Y1802" s="25"/>
      <c r="Z1802" s="25"/>
    </row>
    <row r="1803" spans="1:26" ht="15.75" customHeight="1" x14ac:dyDescent="0.25">
      <c r="A1803" s="25">
        <v>1801</v>
      </c>
      <c r="B1803" s="37" t="e">
        <f t="shared" ref="B1803:D1803" si="3627">VLOOKUP($A1803,[6]Gobierno!$A$1:$O$234,B$1,0)</f>
        <v>#N/A</v>
      </c>
      <c r="C1803" s="38" t="e">
        <f t="shared" si="3627"/>
        <v>#N/A</v>
      </c>
      <c r="D1803" s="39" t="e">
        <f t="shared" si="3627"/>
        <v>#N/A</v>
      </c>
      <c r="E1803" s="16" t="e">
        <f t="shared" si="1"/>
        <v>#N/A</v>
      </c>
      <c r="F1803" s="16" t="e">
        <f t="shared" ref="F1803:K1803" si="3628">VLOOKUP($A1803,[6]Gobierno!$A$1:$O$234,F$1,0)</f>
        <v>#N/A</v>
      </c>
      <c r="G1803" s="39" t="e">
        <f t="shared" si="3628"/>
        <v>#N/A</v>
      </c>
      <c r="H1803" s="16" t="e">
        <f t="shared" si="3628"/>
        <v>#N/A</v>
      </c>
      <c r="I1803" s="16" t="e">
        <f t="shared" si="3628"/>
        <v>#N/A</v>
      </c>
      <c r="J1803" s="40" t="e">
        <f t="shared" si="3628"/>
        <v>#N/A</v>
      </c>
      <c r="K1803" s="16" t="e">
        <f t="shared" si="3628"/>
        <v>#N/A</v>
      </c>
      <c r="L1803" s="40" t="e">
        <f t="shared" ref="L1803:L2102" si="3629">VLOOKUP($A1803,[6]Gobierno!$A$1:$O$234,13,0)</f>
        <v>#N/A</v>
      </c>
      <c r="M1803" s="16" t="e">
        <f t="shared" ref="M1803:M2102" si="3630">VLOOKUP($A1803,[6]Gobierno!$A$1:$O$234,14,0)</f>
        <v>#N/A</v>
      </c>
      <c r="N1803" s="16" t="e">
        <f t="shared" ref="N1803:N2102" si="3631">VLOOKUP($A1803,[6]Gobierno!$A$1:$O$234,15,0)</f>
        <v>#N/A</v>
      </c>
      <c r="O1803" s="16" t="s">
        <v>70</v>
      </c>
      <c r="P1803" s="16" t="str">
        <f t="shared" si="6"/>
        <v/>
      </c>
      <c r="Q1803" s="41" t="e">
        <f t="shared" ref="Q1803:Q2102" si="3632">VLOOKUP($A1803,[6]Gobierno!$A$1:$O$234,12,0)</f>
        <v>#N/A</v>
      </c>
      <c r="R1803" s="44"/>
      <c r="S1803" s="44"/>
      <c r="T1803" s="43"/>
      <c r="U1803" s="43" t="str">
        <f t="shared" si="8"/>
        <v>No</v>
      </c>
      <c r="V1803" s="25"/>
      <c r="W1803" s="25"/>
      <c r="X1803" s="25"/>
      <c r="Y1803" s="25"/>
      <c r="Z1803" s="25"/>
    </row>
    <row r="1804" spans="1:26" ht="15.75" customHeight="1" x14ac:dyDescent="0.25">
      <c r="A1804" s="25">
        <v>1802</v>
      </c>
      <c r="B1804" s="37" t="e">
        <f t="shared" ref="B1804:D1804" si="3633">VLOOKUP($A1804,[6]Gobierno!$A$1:$O$234,B$1,0)</f>
        <v>#N/A</v>
      </c>
      <c r="C1804" s="38" t="e">
        <f t="shared" si="3633"/>
        <v>#N/A</v>
      </c>
      <c r="D1804" s="39" t="e">
        <f t="shared" si="3633"/>
        <v>#N/A</v>
      </c>
      <c r="E1804" s="16" t="e">
        <f t="shared" si="1"/>
        <v>#N/A</v>
      </c>
      <c r="F1804" s="16" t="e">
        <f t="shared" ref="F1804:K1804" si="3634">VLOOKUP($A1804,[6]Gobierno!$A$1:$O$234,F$1,0)</f>
        <v>#N/A</v>
      </c>
      <c r="G1804" s="39" t="e">
        <f t="shared" si="3634"/>
        <v>#N/A</v>
      </c>
      <c r="H1804" s="16" t="e">
        <f t="shared" si="3634"/>
        <v>#N/A</v>
      </c>
      <c r="I1804" s="16" t="e">
        <f t="shared" si="3634"/>
        <v>#N/A</v>
      </c>
      <c r="J1804" s="40" t="e">
        <f t="shared" si="3634"/>
        <v>#N/A</v>
      </c>
      <c r="K1804" s="16" t="e">
        <f t="shared" si="3634"/>
        <v>#N/A</v>
      </c>
      <c r="L1804" s="40" t="e">
        <f t="shared" si="3629"/>
        <v>#N/A</v>
      </c>
      <c r="M1804" s="16" t="e">
        <f t="shared" si="3630"/>
        <v>#N/A</v>
      </c>
      <c r="N1804" s="16" t="e">
        <f t="shared" si="3631"/>
        <v>#N/A</v>
      </c>
      <c r="O1804" s="16" t="s">
        <v>70</v>
      </c>
      <c r="P1804" s="16" t="str">
        <f t="shared" si="6"/>
        <v/>
      </c>
      <c r="Q1804" s="41" t="e">
        <f t="shared" si="3632"/>
        <v>#N/A</v>
      </c>
      <c r="R1804" s="44"/>
      <c r="S1804" s="44"/>
      <c r="T1804" s="43"/>
      <c r="U1804" s="43" t="str">
        <f t="shared" si="8"/>
        <v>No</v>
      </c>
      <c r="V1804" s="25"/>
      <c r="W1804" s="25"/>
      <c r="X1804" s="25"/>
      <c r="Y1804" s="25"/>
      <c r="Z1804" s="25"/>
    </row>
    <row r="1805" spans="1:26" ht="15.75" customHeight="1" x14ac:dyDescent="0.25">
      <c r="A1805" s="25">
        <v>1803</v>
      </c>
      <c r="B1805" s="37" t="e">
        <f t="shared" ref="B1805:D1805" si="3635">VLOOKUP($A1805,[6]Gobierno!$A$1:$O$234,B$1,0)</f>
        <v>#N/A</v>
      </c>
      <c r="C1805" s="38" t="e">
        <f t="shared" si="3635"/>
        <v>#N/A</v>
      </c>
      <c r="D1805" s="39" t="e">
        <f t="shared" si="3635"/>
        <v>#N/A</v>
      </c>
      <c r="E1805" s="16" t="e">
        <f t="shared" si="1"/>
        <v>#N/A</v>
      </c>
      <c r="F1805" s="16" t="e">
        <f t="shared" ref="F1805:K1805" si="3636">VLOOKUP($A1805,[6]Gobierno!$A$1:$O$234,F$1,0)</f>
        <v>#N/A</v>
      </c>
      <c r="G1805" s="39" t="e">
        <f t="shared" si="3636"/>
        <v>#N/A</v>
      </c>
      <c r="H1805" s="16" t="e">
        <f t="shared" si="3636"/>
        <v>#N/A</v>
      </c>
      <c r="I1805" s="16" t="e">
        <f t="shared" si="3636"/>
        <v>#N/A</v>
      </c>
      <c r="J1805" s="40" t="e">
        <f t="shared" si="3636"/>
        <v>#N/A</v>
      </c>
      <c r="K1805" s="16" t="e">
        <f t="shared" si="3636"/>
        <v>#N/A</v>
      </c>
      <c r="L1805" s="40" t="e">
        <f t="shared" si="3629"/>
        <v>#N/A</v>
      </c>
      <c r="M1805" s="16" t="e">
        <f t="shared" si="3630"/>
        <v>#N/A</v>
      </c>
      <c r="N1805" s="16" t="e">
        <f t="shared" si="3631"/>
        <v>#N/A</v>
      </c>
      <c r="O1805" s="16" t="s">
        <v>70</v>
      </c>
      <c r="P1805" s="16" t="str">
        <f t="shared" si="6"/>
        <v/>
      </c>
      <c r="Q1805" s="41" t="e">
        <f t="shared" si="3632"/>
        <v>#N/A</v>
      </c>
      <c r="R1805" s="44"/>
      <c r="S1805" s="44"/>
      <c r="T1805" s="43"/>
      <c r="U1805" s="43" t="str">
        <f t="shared" si="8"/>
        <v>No</v>
      </c>
      <c r="V1805" s="25"/>
      <c r="W1805" s="25"/>
      <c r="X1805" s="25"/>
      <c r="Y1805" s="25"/>
      <c r="Z1805" s="25"/>
    </row>
    <row r="1806" spans="1:26" ht="15.75" customHeight="1" x14ac:dyDescent="0.25">
      <c r="A1806" s="25">
        <v>1804</v>
      </c>
      <c r="B1806" s="37" t="e">
        <f t="shared" ref="B1806:D1806" si="3637">VLOOKUP($A1806,[6]Gobierno!$A$1:$O$234,B$1,0)</f>
        <v>#N/A</v>
      </c>
      <c r="C1806" s="38" t="e">
        <f t="shared" si="3637"/>
        <v>#N/A</v>
      </c>
      <c r="D1806" s="39" t="e">
        <f t="shared" si="3637"/>
        <v>#N/A</v>
      </c>
      <c r="E1806" s="16" t="e">
        <f t="shared" si="1"/>
        <v>#N/A</v>
      </c>
      <c r="F1806" s="16" t="e">
        <f t="shared" ref="F1806:K1806" si="3638">VLOOKUP($A1806,[6]Gobierno!$A$1:$O$234,F$1,0)</f>
        <v>#N/A</v>
      </c>
      <c r="G1806" s="39" t="e">
        <f t="shared" si="3638"/>
        <v>#N/A</v>
      </c>
      <c r="H1806" s="16" t="e">
        <f t="shared" si="3638"/>
        <v>#N/A</v>
      </c>
      <c r="I1806" s="16" t="e">
        <f t="shared" si="3638"/>
        <v>#N/A</v>
      </c>
      <c r="J1806" s="40" t="e">
        <f t="shared" si="3638"/>
        <v>#N/A</v>
      </c>
      <c r="K1806" s="16" t="e">
        <f t="shared" si="3638"/>
        <v>#N/A</v>
      </c>
      <c r="L1806" s="40" t="e">
        <f t="shared" si="3629"/>
        <v>#N/A</v>
      </c>
      <c r="M1806" s="16" t="e">
        <f t="shared" si="3630"/>
        <v>#N/A</v>
      </c>
      <c r="N1806" s="16" t="e">
        <f t="shared" si="3631"/>
        <v>#N/A</v>
      </c>
      <c r="O1806" s="16" t="s">
        <v>70</v>
      </c>
      <c r="P1806" s="16" t="str">
        <f t="shared" si="6"/>
        <v/>
      </c>
      <c r="Q1806" s="41" t="e">
        <f t="shared" si="3632"/>
        <v>#N/A</v>
      </c>
      <c r="R1806" s="44"/>
      <c r="S1806" s="44"/>
      <c r="T1806" s="43"/>
      <c r="U1806" s="43" t="str">
        <f t="shared" si="8"/>
        <v>No</v>
      </c>
      <c r="V1806" s="25"/>
      <c r="W1806" s="25"/>
      <c r="X1806" s="25"/>
      <c r="Y1806" s="25"/>
      <c r="Z1806" s="25"/>
    </row>
    <row r="1807" spans="1:26" ht="15.75" customHeight="1" x14ac:dyDescent="0.25">
      <c r="A1807" s="25">
        <v>1805</v>
      </c>
      <c r="B1807" s="37" t="e">
        <f t="shared" ref="B1807:D1807" si="3639">VLOOKUP($A1807,[6]Gobierno!$A$1:$O$234,B$1,0)</f>
        <v>#N/A</v>
      </c>
      <c r="C1807" s="38" t="e">
        <f t="shared" si="3639"/>
        <v>#N/A</v>
      </c>
      <c r="D1807" s="39" t="e">
        <f t="shared" si="3639"/>
        <v>#N/A</v>
      </c>
      <c r="E1807" s="16" t="e">
        <f t="shared" si="1"/>
        <v>#N/A</v>
      </c>
      <c r="F1807" s="16" t="e">
        <f t="shared" ref="F1807:K1807" si="3640">VLOOKUP($A1807,[6]Gobierno!$A$1:$O$234,F$1,0)</f>
        <v>#N/A</v>
      </c>
      <c r="G1807" s="39" t="e">
        <f t="shared" si="3640"/>
        <v>#N/A</v>
      </c>
      <c r="H1807" s="16" t="e">
        <f t="shared" si="3640"/>
        <v>#N/A</v>
      </c>
      <c r="I1807" s="16" t="e">
        <f t="shared" si="3640"/>
        <v>#N/A</v>
      </c>
      <c r="J1807" s="40" t="e">
        <f t="shared" si="3640"/>
        <v>#N/A</v>
      </c>
      <c r="K1807" s="16" t="e">
        <f t="shared" si="3640"/>
        <v>#N/A</v>
      </c>
      <c r="L1807" s="40" t="e">
        <f t="shared" si="3629"/>
        <v>#N/A</v>
      </c>
      <c r="M1807" s="16" t="e">
        <f t="shared" si="3630"/>
        <v>#N/A</v>
      </c>
      <c r="N1807" s="16" t="e">
        <f t="shared" si="3631"/>
        <v>#N/A</v>
      </c>
      <c r="O1807" s="16" t="s">
        <v>70</v>
      </c>
      <c r="P1807" s="16" t="str">
        <f t="shared" si="6"/>
        <v/>
      </c>
      <c r="Q1807" s="41" t="e">
        <f t="shared" si="3632"/>
        <v>#N/A</v>
      </c>
      <c r="R1807" s="44"/>
      <c r="S1807" s="44"/>
      <c r="T1807" s="43"/>
      <c r="U1807" s="43" t="str">
        <f t="shared" si="8"/>
        <v>No</v>
      </c>
      <c r="V1807" s="25"/>
      <c r="W1807" s="25"/>
      <c r="X1807" s="25"/>
      <c r="Y1807" s="25"/>
      <c r="Z1807" s="25"/>
    </row>
    <row r="1808" spans="1:26" ht="15.75" customHeight="1" x14ac:dyDescent="0.25">
      <c r="A1808" s="25">
        <v>1806</v>
      </c>
      <c r="B1808" s="37" t="e">
        <f t="shared" ref="B1808:D1808" si="3641">VLOOKUP($A1808,[6]Gobierno!$A$1:$O$234,B$1,0)</f>
        <v>#N/A</v>
      </c>
      <c r="C1808" s="38" t="e">
        <f t="shared" si="3641"/>
        <v>#N/A</v>
      </c>
      <c r="D1808" s="39" t="e">
        <f t="shared" si="3641"/>
        <v>#N/A</v>
      </c>
      <c r="E1808" s="16" t="e">
        <f t="shared" si="1"/>
        <v>#N/A</v>
      </c>
      <c r="F1808" s="16" t="e">
        <f t="shared" ref="F1808:K1808" si="3642">VLOOKUP($A1808,[6]Gobierno!$A$1:$O$234,F$1,0)</f>
        <v>#N/A</v>
      </c>
      <c r="G1808" s="39" t="e">
        <f t="shared" si="3642"/>
        <v>#N/A</v>
      </c>
      <c r="H1808" s="16" t="e">
        <f t="shared" si="3642"/>
        <v>#N/A</v>
      </c>
      <c r="I1808" s="16" t="e">
        <f t="shared" si="3642"/>
        <v>#N/A</v>
      </c>
      <c r="J1808" s="40" t="e">
        <f t="shared" si="3642"/>
        <v>#N/A</v>
      </c>
      <c r="K1808" s="16" t="e">
        <f t="shared" si="3642"/>
        <v>#N/A</v>
      </c>
      <c r="L1808" s="40" t="e">
        <f t="shared" si="3629"/>
        <v>#N/A</v>
      </c>
      <c r="M1808" s="16" t="e">
        <f t="shared" si="3630"/>
        <v>#N/A</v>
      </c>
      <c r="N1808" s="16" t="e">
        <f t="shared" si="3631"/>
        <v>#N/A</v>
      </c>
      <c r="O1808" s="16" t="s">
        <v>70</v>
      </c>
      <c r="P1808" s="16" t="str">
        <f t="shared" si="6"/>
        <v/>
      </c>
      <c r="Q1808" s="41" t="e">
        <f t="shared" si="3632"/>
        <v>#N/A</v>
      </c>
      <c r="R1808" s="44"/>
      <c r="S1808" s="44"/>
      <c r="T1808" s="43"/>
      <c r="U1808" s="43" t="str">
        <f t="shared" si="8"/>
        <v>No</v>
      </c>
      <c r="V1808" s="25"/>
      <c r="W1808" s="25"/>
      <c r="X1808" s="25"/>
      <c r="Y1808" s="25"/>
      <c r="Z1808" s="25"/>
    </row>
    <row r="1809" spans="1:26" ht="15.75" customHeight="1" x14ac:dyDescent="0.25">
      <c r="A1809" s="25">
        <v>1807</v>
      </c>
      <c r="B1809" s="37" t="e">
        <f t="shared" ref="B1809:D1809" si="3643">VLOOKUP($A1809,[6]Gobierno!$A$1:$O$234,B$1,0)</f>
        <v>#N/A</v>
      </c>
      <c r="C1809" s="38" t="e">
        <f t="shared" si="3643"/>
        <v>#N/A</v>
      </c>
      <c r="D1809" s="39" t="e">
        <f t="shared" si="3643"/>
        <v>#N/A</v>
      </c>
      <c r="E1809" s="16" t="e">
        <f t="shared" si="1"/>
        <v>#N/A</v>
      </c>
      <c r="F1809" s="16" t="e">
        <f t="shared" ref="F1809:K1809" si="3644">VLOOKUP($A1809,[6]Gobierno!$A$1:$O$234,F$1,0)</f>
        <v>#N/A</v>
      </c>
      <c r="G1809" s="39" t="e">
        <f t="shared" si="3644"/>
        <v>#N/A</v>
      </c>
      <c r="H1809" s="16" t="e">
        <f t="shared" si="3644"/>
        <v>#N/A</v>
      </c>
      <c r="I1809" s="16" t="e">
        <f t="shared" si="3644"/>
        <v>#N/A</v>
      </c>
      <c r="J1809" s="40" t="e">
        <f t="shared" si="3644"/>
        <v>#N/A</v>
      </c>
      <c r="K1809" s="16" t="e">
        <f t="shared" si="3644"/>
        <v>#N/A</v>
      </c>
      <c r="L1809" s="40" t="e">
        <f t="shared" si="3629"/>
        <v>#N/A</v>
      </c>
      <c r="M1809" s="16" t="e">
        <f t="shared" si="3630"/>
        <v>#N/A</v>
      </c>
      <c r="N1809" s="16" t="e">
        <f t="shared" si="3631"/>
        <v>#N/A</v>
      </c>
      <c r="O1809" s="16" t="s">
        <v>70</v>
      </c>
      <c r="P1809" s="16" t="str">
        <f t="shared" si="6"/>
        <v/>
      </c>
      <c r="Q1809" s="41" t="e">
        <f t="shared" si="3632"/>
        <v>#N/A</v>
      </c>
      <c r="R1809" s="44"/>
      <c r="S1809" s="44"/>
      <c r="T1809" s="43"/>
      <c r="U1809" s="43" t="str">
        <f t="shared" si="8"/>
        <v>No</v>
      </c>
      <c r="V1809" s="25"/>
      <c r="W1809" s="25"/>
      <c r="X1809" s="25"/>
      <c r="Y1809" s="25"/>
      <c r="Z1809" s="25"/>
    </row>
    <row r="1810" spans="1:26" ht="15.75" customHeight="1" x14ac:dyDescent="0.25">
      <c r="A1810" s="25">
        <v>1808</v>
      </c>
      <c r="B1810" s="37" t="e">
        <f t="shared" ref="B1810:D1810" si="3645">VLOOKUP($A1810,[6]Gobierno!$A$1:$O$234,B$1,0)</f>
        <v>#N/A</v>
      </c>
      <c r="C1810" s="38" t="e">
        <f t="shared" si="3645"/>
        <v>#N/A</v>
      </c>
      <c r="D1810" s="39" t="e">
        <f t="shared" si="3645"/>
        <v>#N/A</v>
      </c>
      <c r="E1810" s="16" t="e">
        <f t="shared" si="1"/>
        <v>#N/A</v>
      </c>
      <c r="F1810" s="16" t="e">
        <f t="shared" ref="F1810:K1810" si="3646">VLOOKUP($A1810,[6]Gobierno!$A$1:$O$234,F$1,0)</f>
        <v>#N/A</v>
      </c>
      <c r="G1810" s="39" t="e">
        <f t="shared" si="3646"/>
        <v>#N/A</v>
      </c>
      <c r="H1810" s="16" t="e">
        <f t="shared" si="3646"/>
        <v>#N/A</v>
      </c>
      <c r="I1810" s="16" t="e">
        <f t="shared" si="3646"/>
        <v>#N/A</v>
      </c>
      <c r="J1810" s="40" t="e">
        <f t="shared" si="3646"/>
        <v>#N/A</v>
      </c>
      <c r="K1810" s="16" t="e">
        <f t="shared" si="3646"/>
        <v>#N/A</v>
      </c>
      <c r="L1810" s="40" t="e">
        <f t="shared" si="3629"/>
        <v>#N/A</v>
      </c>
      <c r="M1810" s="16" t="e">
        <f t="shared" si="3630"/>
        <v>#N/A</v>
      </c>
      <c r="N1810" s="16" t="e">
        <f t="shared" si="3631"/>
        <v>#N/A</v>
      </c>
      <c r="O1810" s="16" t="s">
        <v>70</v>
      </c>
      <c r="P1810" s="16" t="str">
        <f t="shared" si="6"/>
        <v/>
      </c>
      <c r="Q1810" s="41" t="e">
        <f t="shared" si="3632"/>
        <v>#N/A</v>
      </c>
      <c r="R1810" s="44"/>
      <c r="S1810" s="44"/>
      <c r="T1810" s="43"/>
      <c r="U1810" s="43" t="str">
        <f t="shared" si="8"/>
        <v>No</v>
      </c>
      <c r="V1810" s="25"/>
      <c r="W1810" s="25"/>
      <c r="X1810" s="25"/>
      <c r="Y1810" s="25"/>
      <c r="Z1810" s="25"/>
    </row>
    <row r="1811" spans="1:26" ht="15.75" customHeight="1" x14ac:dyDescent="0.25">
      <c r="A1811" s="25">
        <v>1809</v>
      </c>
      <c r="B1811" s="37" t="e">
        <f t="shared" ref="B1811:D1811" si="3647">VLOOKUP($A1811,[6]Gobierno!$A$1:$O$234,B$1,0)</f>
        <v>#N/A</v>
      </c>
      <c r="C1811" s="38" t="e">
        <f t="shared" si="3647"/>
        <v>#N/A</v>
      </c>
      <c r="D1811" s="39" t="e">
        <f t="shared" si="3647"/>
        <v>#N/A</v>
      </c>
      <c r="E1811" s="16" t="e">
        <f t="shared" si="1"/>
        <v>#N/A</v>
      </c>
      <c r="F1811" s="16" t="e">
        <f t="shared" ref="F1811:K1811" si="3648">VLOOKUP($A1811,[6]Gobierno!$A$1:$O$234,F$1,0)</f>
        <v>#N/A</v>
      </c>
      <c r="G1811" s="39" t="e">
        <f t="shared" si="3648"/>
        <v>#N/A</v>
      </c>
      <c r="H1811" s="16" t="e">
        <f t="shared" si="3648"/>
        <v>#N/A</v>
      </c>
      <c r="I1811" s="16" t="e">
        <f t="shared" si="3648"/>
        <v>#N/A</v>
      </c>
      <c r="J1811" s="40" t="e">
        <f t="shared" si="3648"/>
        <v>#N/A</v>
      </c>
      <c r="K1811" s="16" t="e">
        <f t="shared" si="3648"/>
        <v>#N/A</v>
      </c>
      <c r="L1811" s="40" t="e">
        <f t="shared" si="3629"/>
        <v>#N/A</v>
      </c>
      <c r="M1811" s="16" t="e">
        <f t="shared" si="3630"/>
        <v>#N/A</v>
      </c>
      <c r="N1811" s="16" t="e">
        <f t="shared" si="3631"/>
        <v>#N/A</v>
      </c>
      <c r="O1811" s="16" t="s">
        <v>70</v>
      </c>
      <c r="P1811" s="16" t="str">
        <f t="shared" si="6"/>
        <v/>
      </c>
      <c r="Q1811" s="41" t="e">
        <f t="shared" si="3632"/>
        <v>#N/A</v>
      </c>
      <c r="R1811" s="44"/>
      <c r="S1811" s="44"/>
      <c r="T1811" s="43"/>
      <c r="U1811" s="43" t="str">
        <f t="shared" si="8"/>
        <v>No</v>
      </c>
      <c r="V1811" s="25"/>
      <c r="W1811" s="25"/>
      <c r="X1811" s="25"/>
      <c r="Y1811" s="25"/>
      <c r="Z1811" s="25"/>
    </row>
    <row r="1812" spans="1:26" ht="15.75" customHeight="1" x14ac:dyDescent="0.25">
      <c r="A1812" s="25">
        <v>1810</v>
      </c>
      <c r="B1812" s="37" t="e">
        <f t="shared" ref="B1812:D1812" si="3649">VLOOKUP($A1812,[6]Gobierno!$A$1:$O$234,B$1,0)</f>
        <v>#N/A</v>
      </c>
      <c r="C1812" s="38" t="e">
        <f t="shared" si="3649"/>
        <v>#N/A</v>
      </c>
      <c r="D1812" s="39" t="e">
        <f t="shared" si="3649"/>
        <v>#N/A</v>
      </c>
      <c r="E1812" s="16" t="e">
        <f t="shared" si="1"/>
        <v>#N/A</v>
      </c>
      <c r="F1812" s="16" t="e">
        <f t="shared" ref="F1812:K1812" si="3650">VLOOKUP($A1812,[6]Gobierno!$A$1:$O$234,F$1,0)</f>
        <v>#N/A</v>
      </c>
      <c r="G1812" s="39" t="e">
        <f t="shared" si="3650"/>
        <v>#N/A</v>
      </c>
      <c r="H1812" s="16" t="e">
        <f t="shared" si="3650"/>
        <v>#N/A</v>
      </c>
      <c r="I1812" s="16" t="e">
        <f t="shared" si="3650"/>
        <v>#N/A</v>
      </c>
      <c r="J1812" s="40" t="e">
        <f t="shared" si="3650"/>
        <v>#N/A</v>
      </c>
      <c r="K1812" s="16" t="e">
        <f t="shared" si="3650"/>
        <v>#N/A</v>
      </c>
      <c r="L1812" s="40" t="e">
        <f t="shared" si="3629"/>
        <v>#N/A</v>
      </c>
      <c r="M1812" s="16" t="e">
        <f t="shared" si="3630"/>
        <v>#N/A</v>
      </c>
      <c r="N1812" s="16" t="e">
        <f t="shared" si="3631"/>
        <v>#N/A</v>
      </c>
      <c r="O1812" s="16" t="s">
        <v>70</v>
      </c>
      <c r="P1812" s="16" t="str">
        <f t="shared" si="6"/>
        <v/>
      </c>
      <c r="Q1812" s="41" t="e">
        <f t="shared" si="3632"/>
        <v>#N/A</v>
      </c>
      <c r="R1812" s="44"/>
      <c r="S1812" s="44"/>
      <c r="T1812" s="43"/>
      <c r="U1812" s="43" t="str">
        <f t="shared" si="8"/>
        <v>No</v>
      </c>
      <c r="V1812" s="25"/>
      <c r="W1812" s="25"/>
      <c r="X1812" s="25"/>
      <c r="Y1812" s="25"/>
      <c r="Z1812" s="25"/>
    </row>
    <row r="1813" spans="1:26" ht="15.75" customHeight="1" x14ac:dyDescent="0.25">
      <c r="A1813" s="25">
        <v>1811</v>
      </c>
      <c r="B1813" s="37" t="e">
        <f t="shared" ref="B1813:D1813" si="3651">VLOOKUP($A1813,[6]Gobierno!$A$1:$O$234,B$1,0)</f>
        <v>#N/A</v>
      </c>
      <c r="C1813" s="38" t="e">
        <f t="shared" si="3651"/>
        <v>#N/A</v>
      </c>
      <c r="D1813" s="39" t="e">
        <f t="shared" si="3651"/>
        <v>#N/A</v>
      </c>
      <c r="E1813" s="16" t="e">
        <f t="shared" si="1"/>
        <v>#N/A</v>
      </c>
      <c r="F1813" s="16" t="e">
        <f t="shared" ref="F1813:K1813" si="3652">VLOOKUP($A1813,[6]Gobierno!$A$1:$O$234,F$1,0)</f>
        <v>#N/A</v>
      </c>
      <c r="G1813" s="39" t="e">
        <f t="shared" si="3652"/>
        <v>#N/A</v>
      </c>
      <c r="H1813" s="16" t="e">
        <f t="shared" si="3652"/>
        <v>#N/A</v>
      </c>
      <c r="I1813" s="16" t="e">
        <f t="shared" si="3652"/>
        <v>#N/A</v>
      </c>
      <c r="J1813" s="40" t="e">
        <f t="shared" si="3652"/>
        <v>#N/A</v>
      </c>
      <c r="K1813" s="16" t="e">
        <f t="shared" si="3652"/>
        <v>#N/A</v>
      </c>
      <c r="L1813" s="40" t="e">
        <f t="shared" si="3629"/>
        <v>#N/A</v>
      </c>
      <c r="M1813" s="16" t="e">
        <f t="shared" si="3630"/>
        <v>#N/A</v>
      </c>
      <c r="N1813" s="16" t="e">
        <f t="shared" si="3631"/>
        <v>#N/A</v>
      </c>
      <c r="O1813" s="16" t="s">
        <v>70</v>
      </c>
      <c r="P1813" s="16" t="str">
        <f t="shared" si="6"/>
        <v/>
      </c>
      <c r="Q1813" s="41" t="e">
        <f t="shared" si="3632"/>
        <v>#N/A</v>
      </c>
      <c r="R1813" s="44"/>
      <c r="S1813" s="44"/>
      <c r="T1813" s="43"/>
      <c r="U1813" s="43" t="str">
        <f t="shared" si="8"/>
        <v>No</v>
      </c>
      <c r="V1813" s="25"/>
      <c r="W1813" s="25"/>
      <c r="X1813" s="25"/>
      <c r="Y1813" s="25"/>
      <c r="Z1813" s="25"/>
    </row>
    <row r="1814" spans="1:26" ht="15.75" customHeight="1" x14ac:dyDescent="0.25">
      <c r="A1814" s="25">
        <v>1812</v>
      </c>
      <c r="B1814" s="37" t="e">
        <f t="shared" ref="B1814:D1814" si="3653">VLOOKUP($A1814,[6]Gobierno!$A$1:$O$234,B$1,0)</f>
        <v>#N/A</v>
      </c>
      <c r="C1814" s="38" t="e">
        <f t="shared" si="3653"/>
        <v>#N/A</v>
      </c>
      <c r="D1814" s="39" t="e">
        <f t="shared" si="3653"/>
        <v>#N/A</v>
      </c>
      <c r="E1814" s="16" t="e">
        <f t="shared" si="1"/>
        <v>#N/A</v>
      </c>
      <c r="F1814" s="16" t="e">
        <f t="shared" ref="F1814:K1814" si="3654">VLOOKUP($A1814,[6]Gobierno!$A$1:$O$234,F$1,0)</f>
        <v>#N/A</v>
      </c>
      <c r="G1814" s="39" t="e">
        <f t="shared" si="3654"/>
        <v>#N/A</v>
      </c>
      <c r="H1814" s="16" t="e">
        <f t="shared" si="3654"/>
        <v>#N/A</v>
      </c>
      <c r="I1814" s="16" t="e">
        <f t="shared" si="3654"/>
        <v>#N/A</v>
      </c>
      <c r="J1814" s="40" t="e">
        <f t="shared" si="3654"/>
        <v>#N/A</v>
      </c>
      <c r="K1814" s="16" t="e">
        <f t="shared" si="3654"/>
        <v>#N/A</v>
      </c>
      <c r="L1814" s="40" t="e">
        <f t="shared" si="3629"/>
        <v>#N/A</v>
      </c>
      <c r="M1814" s="16" t="e">
        <f t="shared" si="3630"/>
        <v>#N/A</v>
      </c>
      <c r="N1814" s="16" t="e">
        <f t="shared" si="3631"/>
        <v>#N/A</v>
      </c>
      <c r="O1814" s="16" t="s">
        <v>70</v>
      </c>
      <c r="P1814" s="16" t="str">
        <f t="shared" si="6"/>
        <v/>
      </c>
      <c r="Q1814" s="41" t="e">
        <f t="shared" si="3632"/>
        <v>#N/A</v>
      </c>
      <c r="R1814" s="44"/>
      <c r="S1814" s="44"/>
      <c r="T1814" s="43"/>
      <c r="U1814" s="43" t="str">
        <f t="shared" si="8"/>
        <v>No</v>
      </c>
      <c r="V1814" s="25"/>
      <c r="W1814" s="25"/>
      <c r="X1814" s="25"/>
      <c r="Y1814" s="25"/>
      <c r="Z1814" s="25"/>
    </row>
    <row r="1815" spans="1:26" ht="15.75" customHeight="1" x14ac:dyDescent="0.25">
      <c r="A1815" s="25">
        <v>1813</v>
      </c>
      <c r="B1815" s="37" t="e">
        <f t="shared" ref="B1815:D1815" si="3655">VLOOKUP($A1815,[6]Gobierno!$A$1:$O$234,B$1,0)</f>
        <v>#N/A</v>
      </c>
      <c r="C1815" s="38" t="e">
        <f t="shared" si="3655"/>
        <v>#N/A</v>
      </c>
      <c r="D1815" s="39" t="e">
        <f t="shared" si="3655"/>
        <v>#N/A</v>
      </c>
      <c r="E1815" s="16" t="e">
        <f t="shared" si="1"/>
        <v>#N/A</v>
      </c>
      <c r="F1815" s="16" t="e">
        <f t="shared" ref="F1815:K1815" si="3656">VLOOKUP($A1815,[6]Gobierno!$A$1:$O$234,F$1,0)</f>
        <v>#N/A</v>
      </c>
      <c r="G1815" s="39" t="e">
        <f t="shared" si="3656"/>
        <v>#N/A</v>
      </c>
      <c r="H1815" s="16" t="e">
        <f t="shared" si="3656"/>
        <v>#N/A</v>
      </c>
      <c r="I1815" s="16" t="e">
        <f t="shared" si="3656"/>
        <v>#N/A</v>
      </c>
      <c r="J1815" s="40" t="e">
        <f t="shared" si="3656"/>
        <v>#N/A</v>
      </c>
      <c r="K1815" s="16" t="e">
        <f t="shared" si="3656"/>
        <v>#N/A</v>
      </c>
      <c r="L1815" s="40" t="e">
        <f t="shared" si="3629"/>
        <v>#N/A</v>
      </c>
      <c r="M1815" s="16" t="e">
        <f t="shared" si="3630"/>
        <v>#N/A</v>
      </c>
      <c r="N1815" s="16" t="e">
        <f t="shared" si="3631"/>
        <v>#N/A</v>
      </c>
      <c r="O1815" s="16" t="s">
        <v>70</v>
      </c>
      <c r="P1815" s="16" t="str">
        <f t="shared" si="6"/>
        <v/>
      </c>
      <c r="Q1815" s="41" t="e">
        <f t="shared" si="3632"/>
        <v>#N/A</v>
      </c>
      <c r="R1815" s="44"/>
      <c r="S1815" s="44"/>
      <c r="T1815" s="43"/>
      <c r="U1815" s="43" t="str">
        <f t="shared" si="8"/>
        <v>No</v>
      </c>
      <c r="V1815" s="25"/>
      <c r="W1815" s="25"/>
      <c r="X1815" s="25"/>
      <c r="Y1815" s="25"/>
      <c r="Z1815" s="25"/>
    </row>
    <row r="1816" spans="1:26" ht="15.75" customHeight="1" x14ac:dyDescent="0.25">
      <c r="A1816" s="25">
        <v>1814</v>
      </c>
      <c r="B1816" s="37" t="e">
        <f t="shared" ref="B1816:D1816" si="3657">VLOOKUP($A1816,[6]Gobierno!$A$1:$O$234,B$1,0)</f>
        <v>#N/A</v>
      </c>
      <c r="C1816" s="38" t="e">
        <f t="shared" si="3657"/>
        <v>#N/A</v>
      </c>
      <c r="D1816" s="39" t="e">
        <f t="shared" si="3657"/>
        <v>#N/A</v>
      </c>
      <c r="E1816" s="16" t="e">
        <f t="shared" si="1"/>
        <v>#N/A</v>
      </c>
      <c r="F1816" s="16" t="e">
        <f t="shared" ref="F1816:K1816" si="3658">VLOOKUP($A1816,[6]Gobierno!$A$1:$O$234,F$1,0)</f>
        <v>#N/A</v>
      </c>
      <c r="G1816" s="39" t="e">
        <f t="shared" si="3658"/>
        <v>#N/A</v>
      </c>
      <c r="H1816" s="16" t="e">
        <f t="shared" si="3658"/>
        <v>#N/A</v>
      </c>
      <c r="I1816" s="16" t="e">
        <f t="shared" si="3658"/>
        <v>#N/A</v>
      </c>
      <c r="J1816" s="40" t="e">
        <f t="shared" si="3658"/>
        <v>#N/A</v>
      </c>
      <c r="K1816" s="16" t="e">
        <f t="shared" si="3658"/>
        <v>#N/A</v>
      </c>
      <c r="L1816" s="40" t="e">
        <f t="shared" si="3629"/>
        <v>#N/A</v>
      </c>
      <c r="M1816" s="16" t="e">
        <f t="shared" si="3630"/>
        <v>#N/A</v>
      </c>
      <c r="N1816" s="16" t="e">
        <f t="shared" si="3631"/>
        <v>#N/A</v>
      </c>
      <c r="O1816" s="16" t="s">
        <v>70</v>
      </c>
      <c r="P1816" s="16" t="str">
        <f t="shared" si="6"/>
        <v/>
      </c>
      <c r="Q1816" s="41" t="e">
        <f t="shared" si="3632"/>
        <v>#N/A</v>
      </c>
      <c r="R1816" s="44"/>
      <c r="S1816" s="44"/>
      <c r="T1816" s="43"/>
      <c r="U1816" s="43" t="str">
        <f t="shared" si="8"/>
        <v>No</v>
      </c>
      <c r="V1816" s="25"/>
      <c r="W1816" s="25"/>
      <c r="X1816" s="25"/>
      <c r="Y1816" s="25"/>
      <c r="Z1816" s="25"/>
    </row>
    <row r="1817" spans="1:26" ht="15.75" customHeight="1" x14ac:dyDescent="0.25">
      <c r="A1817" s="25">
        <v>1815</v>
      </c>
      <c r="B1817" s="37" t="e">
        <f t="shared" ref="B1817:D1817" si="3659">VLOOKUP($A1817,[6]Gobierno!$A$1:$O$234,B$1,0)</f>
        <v>#N/A</v>
      </c>
      <c r="C1817" s="38" t="e">
        <f t="shared" si="3659"/>
        <v>#N/A</v>
      </c>
      <c r="D1817" s="39" t="e">
        <f t="shared" si="3659"/>
        <v>#N/A</v>
      </c>
      <c r="E1817" s="16" t="e">
        <f t="shared" si="1"/>
        <v>#N/A</v>
      </c>
      <c r="F1817" s="16" t="e">
        <f t="shared" ref="F1817:K1817" si="3660">VLOOKUP($A1817,[6]Gobierno!$A$1:$O$234,F$1,0)</f>
        <v>#N/A</v>
      </c>
      <c r="G1817" s="39" t="e">
        <f t="shared" si="3660"/>
        <v>#N/A</v>
      </c>
      <c r="H1817" s="16" t="e">
        <f t="shared" si="3660"/>
        <v>#N/A</v>
      </c>
      <c r="I1817" s="16" t="e">
        <f t="shared" si="3660"/>
        <v>#N/A</v>
      </c>
      <c r="J1817" s="40" t="e">
        <f t="shared" si="3660"/>
        <v>#N/A</v>
      </c>
      <c r="K1817" s="16" t="e">
        <f t="shared" si="3660"/>
        <v>#N/A</v>
      </c>
      <c r="L1817" s="40" t="e">
        <f t="shared" si="3629"/>
        <v>#N/A</v>
      </c>
      <c r="M1817" s="16" t="e">
        <f t="shared" si="3630"/>
        <v>#N/A</v>
      </c>
      <c r="N1817" s="16" t="e">
        <f t="shared" si="3631"/>
        <v>#N/A</v>
      </c>
      <c r="O1817" s="16" t="s">
        <v>70</v>
      </c>
      <c r="P1817" s="16" t="str">
        <f t="shared" si="6"/>
        <v/>
      </c>
      <c r="Q1817" s="41" t="e">
        <f t="shared" si="3632"/>
        <v>#N/A</v>
      </c>
      <c r="R1817" s="44"/>
      <c r="S1817" s="44"/>
      <c r="T1817" s="43"/>
      <c r="U1817" s="43" t="str">
        <f t="shared" si="8"/>
        <v>No</v>
      </c>
      <c r="V1817" s="25"/>
      <c r="W1817" s="25"/>
      <c r="X1817" s="25"/>
      <c r="Y1817" s="25"/>
      <c r="Z1817" s="25"/>
    </row>
    <row r="1818" spans="1:26" ht="15.75" customHeight="1" x14ac:dyDescent="0.25">
      <c r="A1818" s="25">
        <v>1816</v>
      </c>
      <c r="B1818" s="37" t="e">
        <f t="shared" ref="B1818:D1818" si="3661">VLOOKUP($A1818,[6]Gobierno!$A$1:$O$234,B$1,0)</f>
        <v>#N/A</v>
      </c>
      <c r="C1818" s="38" t="e">
        <f t="shared" si="3661"/>
        <v>#N/A</v>
      </c>
      <c r="D1818" s="39" t="e">
        <f t="shared" si="3661"/>
        <v>#N/A</v>
      </c>
      <c r="E1818" s="16" t="e">
        <f t="shared" si="1"/>
        <v>#N/A</v>
      </c>
      <c r="F1818" s="16" t="e">
        <f t="shared" ref="F1818:K1818" si="3662">VLOOKUP($A1818,[6]Gobierno!$A$1:$O$234,F$1,0)</f>
        <v>#N/A</v>
      </c>
      <c r="G1818" s="39" t="e">
        <f t="shared" si="3662"/>
        <v>#N/A</v>
      </c>
      <c r="H1818" s="16" t="e">
        <f t="shared" si="3662"/>
        <v>#N/A</v>
      </c>
      <c r="I1818" s="16" t="e">
        <f t="shared" si="3662"/>
        <v>#N/A</v>
      </c>
      <c r="J1818" s="40" t="e">
        <f t="shared" si="3662"/>
        <v>#N/A</v>
      </c>
      <c r="K1818" s="16" t="e">
        <f t="shared" si="3662"/>
        <v>#N/A</v>
      </c>
      <c r="L1818" s="40" t="e">
        <f t="shared" si="3629"/>
        <v>#N/A</v>
      </c>
      <c r="M1818" s="16" t="e">
        <f t="shared" si="3630"/>
        <v>#N/A</v>
      </c>
      <c r="N1818" s="16" t="e">
        <f t="shared" si="3631"/>
        <v>#N/A</v>
      </c>
      <c r="O1818" s="16" t="s">
        <v>70</v>
      </c>
      <c r="P1818" s="16" t="str">
        <f t="shared" si="6"/>
        <v/>
      </c>
      <c r="Q1818" s="41" t="e">
        <f t="shared" si="3632"/>
        <v>#N/A</v>
      </c>
      <c r="R1818" s="44"/>
      <c r="S1818" s="44"/>
      <c r="T1818" s="43"/>
      <c r="U1818" s="43" t="str">
        <f t="shared" si="8"/>
        <v>No</v>
      </c>
      <c r="V1818" s="25"/>
      <c r="W1818" s="25"/>
      <c r="X1818" s="25"/>
      <c r="Y1818" s="25"/>
      <c r="Z1818" s="25"/>
    </row>
    <row r="1819" spans="1:26" ht="15.75" customHeight="1" x14ac:dyDescent="0.25">
      <c r="A1819" s="25">
        <v>1817</v>
      </c>
      <c r="B1819" s="37" t="e">
        <f t="shared" ref="B1819:D1819" si="3663">VLOOKUP($A1819,[6]Gobierno!$A$1:$O$234,B$1,0)</f>
        <v>#N/A</v>
      </c>
      <c r="C1819" s="38" t="e">
        <f t="shared" si="3663"/>
        <v>#N/A</v>
      </c>
      <c r="D1819" s="39" t="e">
        <f t="shared" si="3663"/>
        <v>#N/A</v>
      </c>
      <c r="E1819" s="16" t="e">
        <f t="shared" si="1"/>
        <v>#N/A</v>
      </c>
      <c r="F1819" s="16" t="e">
        <f t="shared" ref="F1819:K1819" si="3664">VLOOKUP($A1819,[6]Gobierno!$A$1:$O$234,F$1,0)</f>
        <v>#N/A</v>
      </c>
      <c r="G1819" s="39" t="e">
        <f t="shared" si="3664"/>
        <v>#N/A</v>
      </c>
      <c r="H1819" s="16" t="e">
        <f t="shared" si="3664"/>
        <v>#N/A</v>
      </c>
      <c r="I1819" s="16" t="e">
        <f t="shared" si="3664"/>
        <v>#N/A</v>
      </c>
      <c r="J1819" s="40" t="e">
        <f t="shared" si="3664"/>
        <v>#N/A</v>
      </c>
      <c r="K1819" s="16" t="e">
        <f t="shared" si="3664"/>
        <v>#N/A</v>
      </c>
      <c r="L1819" s="40" t="e">
        <f t="shared" si="3629"/>
        <v>#N/A</v>
      </c>
      <c r="M1819" s="16" t="e">
        <f t="shared" si="3630"/>
        <v>#N/A</v>
      </c>
      <c r="N1819" s="16" t="e">
        <f t="shared" si="3631"/>
        <v>#N/A</v>
      </c>
      <c r="O1819" s="16" t="s">
        <v>70</v>
      </c>
      <c r="P1819" s="16" t="str">
        <f t="shared" si="6"/>
        <v/>
      </c>
      <c r="Q1819" s="41" t="e">
        <f t="shared" si="3632"/>
        <v>#N/A</v>
      </c>
      <c r="R1819" s="44"/>
      <c r="S1819" s="44"/>
      <c r="T1819" s="43"/>
      <c r="U1819" s="43" t="str">
        <f t="shared" si="8"/>
        <v>No</v>
      </c>
      <c r="V1819" s="25"/>
      <c r="W1819" s="25"/>
      <c r="X1819" s="25"/>
      <c r="Y1819" s="25"/>
      <c r="Z1819" s="25"/>
    </row>
    <row r="1820" spans="1:26" ht="15.75" customHeight="1" x14ac:dyDescent="0.25">
      <c r="A1820" s="25">
        <v>1818</v>
      </c>
      <c r="B1820" s="37" t="e">
        <f t="shared" ref="B1820:D1820" si="3665">VLOOKUP($A1820,[6]Gobierno!$A$1:$O$234,B$1,0)</f>
        <v>#N/A</v>
      </c>
      <c r="C1820" s="38" t="e">
        <f t="shared" si="3665"/>
        <v>#N/A</v>
      </c>
      <c r="D1820" s="39" t="e">
        <f t="shared" si="3665"/>
        <v>#N/A</v>
      </c>
      <c r="E1820" s="16" t="e">
        <f t="shared" si="1"/>
        <v>#N/A</v>
      </c>
      <c r="F1820" s="16" t="e">
        <f t="shared" ref="F1820:K1820" si="3666">VLOOKUP($A1820,[6]Gobierno!$A$1:$O$234,F$1,0)</f>
        <v>#N/A</v>
      </c>
      <c r="G1820" s="39" t="e">
        <f t="shared" si="3666"/>
        <v>#N/A</v>
      </c>
      <c r="H1820" s="16" t="e">
        <f t="shared" si="3666"/>
        <v>#N/A</v>
      </c>
      <c r="I1820" s="16" t="e">
        <f t="shared" si="3666"/>
        <v>#N/A</v>
      </c>
      <c r="J1820" s="40" t="e">
        <f t="shared" si="3666"/>
        <v>#N/A</v>
      </c>
      <c r="K1820" s="16" t="e">
        <f t="shared" si="3666"/>
        <v>#N/A</v>
      </c>
      <c r="L1820" s="40" t="e">
        <f t="shared" si="3629"/>
        <v>#N/A</v>
      </c>
      <c r="M1820" s="16" t="e">
        <f t="shared" si="3630"/>
        <v>#N/A</v>
      </c>
      <c r="N1820" s="16" t="e">
        <f t="shared" si="3631"/>
        <v>#N/A</v>
      </c>
      <c r="O1820" s="16" t="s">
        <v>70</v>
      </c>
      <c r="P1820" s="16" t="str">
        <f t="shared" si="6"/>
        <v/>
      </c>
      <c r="Q1820" s="41" t="e">
        <f t="shared" si="3632"/>
        <v>#N/A</v>
      </c>
      <c r="R1820" s="44"/>
      <c r="S1820" s="44"/>
      <c r="T1820" s="43"/>
      <c r="U1820" s="43" t="str">
        <f t="shared" si="8"/>
        <v>No</v>
      </c>
      <c r="V1820" s="25"/>
      <c r="W1820" s="25"/>
      <c r="X1820" s="25"/>
      <c r="Y1820" s="25"/>
      <c r="Z1820" s="25"/>
    </row>
    <row r="1821" spans="1:26" ht="15.75" customHeight="1" x14ac:dyDescent="0.25">
      <c r="A1821" s="25">
        <v>1819</v>
      </c>
      <c r="B1821" s="37" t="e">
        <f t="shared" ref="B1821:D1821" si="3667">VLOOKUP($A1821,[6]Gobierno!$A$1:$O$234,B$1,0)</f>
        <v>#N/A</v>
      </c>
      <c r="C1821" s="38" t="e">
        <f t="shared" si="3667"/>
        <v>#N/A</v>
      </c>
      <c r="D1821" s="39" t="e">
        <f t="shared" si="3667"/>
        <v>#N/A</v>
      </c>
      <c r="E1821" s="16" t="e">
        <f t="shared" si="1"/>
        <v>#N/A</v>
      </c>
      <c r="F1821" s="16" t="e">
        <f t="shared" ref="F1821:K1821" si="3668">VLOOKUP($A1821,[6]Gobierno!$A$1:$O$234,F$1,0)</f>
        <v>#N/A</v>
      </c>
      <c r="G1821" s="39" t="e">
        <f t="shared" si="3668"/>
        <v>#N/A</v>
      </c>
      <c r="H1821" s="16" t="e">
        <f t="shared" si="3668"/>
        <v>#N/A</v>
      </c>
      <c r="I1821" s="16" t="e">
        <f t="shared" si="3668"/>
        <v>#N/A</v>
      </c>
      <c r="J1821" s="40" t="e">
        <f t="shared" si="3668"/>
        <v>#N/A</v>
      </c>
      <c r="K1821" s="16" t="e">
        <f t="shared" si="3668"/>
        <v>#N/A</v>
      </c>
      <c r="L1821" s="40" t="e">
        <f t="shared" si="3629"/>
        <v>#N/A</v>
      </c>
      <c r="M1821" s="16" t="e">
        <f t="shared" si="3630"/>
        <v>#N/A</v>
      </c>
      <c r="N1821" s="16" t="e">
        <f t="shared" si="3631"/>
        <v>#N/A</v>
      </c>
      <c r="O1821" s="16" t="s">
        <v>70</v>
      </c>
      <c r="P1821" s="16" t="str">
        <f t="shared" si="6"/>
        <v/>
      </c>
      <c r="Q1821" s="41" t="e">
        <f t="shared" si="3632"/>
        <v>#N/A</v>
      </c>
      <c r="R1821" s="44"/>
      <c r="S1821" s="44"/>
      <c r="T1821" s="43"/>
      <c r="U1821" s="43" t="str">
        <f t="shared" si="8"/>
        <v>No</v>
      </c>
      <c r="V1821" s="25"/>
      <c r="W1821" s="25"/>
      <c r="X1821" s="25"/>
      <c r="Y1821" s="25"/>
      <c r="Z1821" s="25"/>
    </row>
    <row r="1822" spans="1:26" ht="15.75" customHeight="1" x14ac:dyDescent="0.25">
      <c r="A1822" s="25">
        <v>1820</v>
      </c>
      <c r="B1822" s="37" t="e">
        <f t="shared" ref="B1822:D1822" si="3669">VLOOKUP($A1822,[6]Gobierno!$A$1:$O$234,B$1,0)</f>
        <v>#N/A</v>
      </c>
      <c r="C1822" s="38" t="e">
        <f t="shared" si="3669"/>
        <v>#N/A</v>
      </c>
      <c r="D1822" s="39" t="e">
        <f t="shared" si="3669"/>
        <v>#N/A</v>
      </c>
      <c r="E1822" s="16" t="e">
        <f t="shared" si="1"/>
        <v>#N/A</v>
      </c>
      <c r="F1822" s="16" t="e">
        <f t="shared" ref="F1822:K1822" si="3670">VLOOKUP($A1822,[6]Gobierno!$A$1:$O$234,F$1,0)</f>
        <v>#N/A</v>
      </c>
      <c r="G1822" s="39" t="e">
        <f t="shared" si="3670"/>
        <v>#N/A</v>
      </c>
      <c r="H1822" s="16" t="e">
        <f t="shared" si="3670"/>
        <v>#N/A</v>
      </c>
      <c r="I1822" s="16" t="e">
        <f t="shared" si="3670"/>
        <v>#N/A</v>
      </c>
      <c r="J1822" s="40" t="e">
        <f t="shared" si="3670"/>
        <v>#N/A</v>
      </c>
      <c r="K1822" s="16" t="e">
        <f t="shared" si="3670"/>
        <v>#N/A</v>
      </c>
      <c r="L1822" s="40" t="e">
        <f t="shared" si="3629"/>
        <v>#N/A</v>
      </c>
      <c r="M1822" s="16" t="e">
        <f t="shared" si="3630"/>
        <v>#N/A</v>
      </c>
      <c r="N1822" s="16" t="e">
        <f t="shared" si="3631"/>
        <v>#N/A</v>
      </c>
      <c r="O1822" s="16" t="s">
        <v>70</v>
      </c>
      <c r="P1822" s="16" t="str">
        <f t="shared" si="6"/>
        <v/>
      </c>
      <c r="Q1822" s="41" t="e">
        <f t="shared" si="3632"/>
        <v>#N/A</v>
      </c>
      <c r="R1822" s="44"/>
      <c r="S1822" s="44"/>
      <c r="T1822" s="43"/>
      <c r="U1822" s="43" t="str">
        <f t="shared" si="8"/>
        <v>No</v>
      </c>
      <c r="V1822" s="25"/>
      <c r="W1822" s="25"/>
      <c r="X1822" s="25"/>
      <c r="Y1822" s="25"/>
      <c r="Z1822" s="25"/>
    </row>
    <row r="1823" spans="1:26" ht="15.75" customHeight="1" x14ac:dyDescent="0.25">
      <c r="A1823" s="25">
        <v>1821</v>
      </c>
      <c r="B1823" s="37" t="e">
        <f t="shared" ref="B1823:D1823" si="3671">VLOOKUP($A1823,[6]Gobierno!$A$1:$O$234,B$1,0)</f>
        <v>#N/A</v>
      </c>
      <c r="C1823" s="38" t="e">
        <f t="shared" si="3671"/>
        <v>#N/A</v>
      </c>
      <c r="D1823" s="39" t="e">
        <f t="shared" si="3671"/>
        <v>#N/A</v>
      </c>
      <c r="E1823" s="16" t="e">
        <f t="shared" si="1"/>
        <v>#N/A</v>
      </c>
      <c r="F1823" s="16" t="e">
        <f t="shared" ref="F1823:K1823" si="3672">VLOOKUP($A1823,[6]Gobierno!$A$1:$O$234,F$1,0)</f>
        <v>#N/A</v>
      </c>
      <c r="G1823" s="39" t="e">
        <f t="shared" si="3672"/>
        <v>#N/A</v>
      </c>
      <c r="H1823" s="16" t="e">
        <f t="shared" si="3672"/>
        <v>#N/A</v>
      </c>
      <c r="I1823" s="16" t="e">
        <f t="shared" si="3672"/>
        <v>#N/A</v>
      </c>
      <c r="J1823" s="40" t="e">
        <f t="shared" si="3672"/>
        <v>#N/A</v>
      </c>
      <c r="K1823" s="16" t="e">
        <f t="shared" si="3672"/>
        <v>#N/A</v>
      </c>
      <c r="L1823" s="40" t="e">
        <f t="shared" si="3629"/>
        <v>#N/A</v>
      </c>
      <c r="M1823" s="16" t="e">
        <f t="shared" si="3630"/>
        <v>#N/A</v>
      </c>
      <c r="N1823" s="16" t="e">
        <f t="shared" si="3631"/>
        <v>#N/A</v>
      </c>
      <c r="O1823" s="16" t="s">
        <v>70</v>
      </c>
      <c r="P1823" s="16" t="str">
        <f t="shared" si="6"/>
        <v/>
      </c>
      <c r="Q1823" s="41" t="e">
        <f t="shared" si="3632"/>
        <v>#N/A</v>
      </c>
      <c r="R1823" s="44"/>
      <c r="S1823" s="44"/>
      <c r="T1823" s="43"/>
      <c r="U1823" s="43" t="str">
        <f t="shared" si="8"/>
        <v>No</v>
      </c>
      <c r="V1823" s="25"/>
      <c r="W1823" s="25"/>
      <c r="X1823" s="25"/>
      <c r="Y1823" s="25"/>
      <c r="Z1823" s="25"/>
    </row>
    <row r="1824" spans="1:26" ht="15.75" customHeight="1" x14ac:dyDescent="0.25">
      <c r="A1824" s="25">
        <v>1822</v>
      </c>
      <c r="B1824" s="37" t="e">
        <f t="shared" ref="B1824:D1824" si="3673">VLOOKUP($A1824,[6]Gobierno!$A$1:$O$234,B$1,0)</f>
        <v>#N/A</v>
      </c>
      <c r="C1824" s="38" t="e">
        <f t="shared" si="3673"/>
        <v>#N/A</v>
      </c>
      <c r="D1824" s="39" t="e">
        <f t="shared" si="3673"/>
        <v>#N/A</v>
      </c>
      <c r="E1824" s="16" t="e">
        <f t="shared" si="1"/>
        <v>#N/A</v>
      </c>
      <c r="F1824" s="16" t="e">
        <f t="shared" ref="F1824:K1824" si="3674">VLOOKUP($A1824,[6]Gobierno!$A$1:$O$234,F$1,0)</f>
        <v>#N/A</v>
      </c>
      <c r="G1824" s="39" t="e">
        <f t="shared" si="3674"/>
        <v>#N/A</v>
      </c>
      <c r="H1824" s="16" t="e">
        <f t="shared" si="3674"/>
        <v>#N/A</v>
      </c>
      <c r="I1824" s="16" t="e">
        <f t="shared" si="3674"/>
        <v>#N/A</v>
      </c>
      <c r="J1824" s="40" t="e">
        <f t="shared" si="3674"/>
        <v>#N/A</v>
      </c>
      <c r="K1824" s="16" t="e">
        <f t="shared" si="3674"/>
        <v>#N/A</v>
      </c>
      <c r="L1824" s="40" t="e">
        <f t="shared" si="3629"/>
        <v>#N/A</v>
      </c>
      <c r="M1824" s="16" t="e">
        <f t="shared" si="3630"/>
        <v>#N/A</v>
      </c>
      <c r="N1824" s="16" t="e">
        <f t="shared" si="3631"/>
        <v>#N/A</v>
      </c>
      <c r="O1824" s="16" t="s">
        <v>70</v>
      </c>
      <c r="P1824" s="16" t="str">
        <f t="shared" si="6"/>
        <v/>
      </c>
      <c r="Q1824" s="41" t="e">
        <f t="shared" si="3632"/>
        <v>#N/A</v>
      </c>
      <c r="R1824" s="44"/>
      <c r="S1824" s="44"/>
      <c r="T1824" s="43"/>
      <c r="U1824" s="43" t="str">
        <f t="shared" si="8"/>
        <v>No</v>
      </c>
      <c r="V1824" s="25"/>
      <c r="W1824" s="25"/>
      <c r="X1824" s="25"/>
      <c r="Y1824" s="25"/>
      <c r="Z1824" s="25"/>
    </row>
    <row r="1825" spans="1:26" ht="15.75" customHeight="1" x14ac:dyDescent="0.25">
      <c r="A1825" s="25">
        <v>1823</v>
      </c>
      <c r="B1825" s="37" t="e">
        <f t="shared" ref="B1825:D1825" si="3675">VLOOKUP($A1825,[6]Gobierno!$A$1:$O$234,B$1,0)</f>
        <v>#N/A</v>
      </c>
      <c r="C1825" s="38" t="e">
        <f t="shared" si="3675"/>
        <v>#N/A</v>
      </c>
      <c r="D1825" s="39" t="e">
        <f t="shared" si="3675"/>
        <v>#N/A</v>
      </c>
      <c r="E1825" s="16" t="e">
        <f t="shared" si="1"/>
        <v>#N/A</v>
      </c>
      <c r="F1825" s="16" t="e">
        <f t="shared" ref="F1825:K1825" si="3676">VLOOKUP($A1825,[6]Gobierno!$A$1:$O$234,F$1,0)</f>
        <v>#N/A</v>
      </c>
      <c r="G1825" s="39" t="e">
        <f t="shared" si="3676"/>
        <v>#N/A</v>
      </c>
      <c r="H1825" s="16" t="e">
        <f t="shared" si="3676"/>
        <v>#N/A</v>
      </c>
      <c r="I1825" s="16" t="e">
        <f t="shared" si="3676"/>
        <v>#N/A</v>
      </c>
      <c r="J1825" s="40" t="e">
        <f t="shared" si="3676"/>
        <v>#N/A</v>
      </c>
      <c r="K1825" s="16" t="e">
        <f t="shared" si="3676"/>
        <v>#N/A</v>
      </c>
      <c r="L1825" s="40" t="e">
        <f t="shared" si="3629"/>
        <v>#N/A</v>
      </c>
      <c r="M1825" s="16" t="e">
        <f t="shared" si="3630"/>
        <v>#N/A</v>
      </c>
      <c r="N1825" s="16" t="e">
        <f t="shared" si="3631"/>
        <v>#N/A</v>
      </c>
      <c r="O1825" s="16" t="s">
        <v>70</v>
      </c>
      <c r="P1825" s="16" t="str">
        <f t="shared" si="6"/>
        <v/>
      </c>
      <c r="Q1825" s="41" t="e">
        <f t="shared" si="3632"/>
        <v>#N/A</v>
      </c>
      <c r="R1825" s="44"/>
      <c r="S1825" s="44"/>
      <c r="T1825" s="43"/>
      <c r="U1825" s="43" t="str">
        <f t="shared" si="8"/>
        <v>No</v>
      </c>
      <c r="V1825" s="25"/>
      <c r="W1825" s="25"/>
      <c r="X1825" s="25"/>
      <c r="Y1825" s="25"/>
      <c r="Z1825" s="25"/>
    </row>
    <row r="1826" spans="1:26" ht="15.75" customHeight="1" x14ac:dyDescent="0.25">
      <c r="A1826" s="25">
        <v>1824</v>
      </c>
      <c r="B1826" s="37" t="e">
        <f t="shared" ref="B1826:D1826" si="3677">VLOOKUP($A1826,[6]Gobierno!$A$1:$O$234,B$1,0)</f>
        <v>#N/A</v>
      </c>
      <c r="C1826" s="38" t="e">
        <f t="shared" si="3677"/>
        <v>#N/A</v>
      </c>
      <c r="D1826" s="39" t="e">
        <f t="shared" si="3677"/>
        <v>#N/A</v>
      </c>
      <c r="E1826" s="16" t="e">
        <f t="shared" si="1"/>
        <v>#N/A</v>
      </c>
      <c r="F1826" s="16" t="e">
        <f t="shared" ref="F1826:K1826" si="3678">VLOOKUP($A1826,[6]Gobierno!$A$1:$O$234,F$1,0)</f>
        <v>#N/A</v>
      </c>
      <c r="G1826" s="39" t="e">
        <f t="shared" si="3678"/>
        <v>#N/A</v>
      </c>
      <c r="H1826" s="16" t="e">
        <f t="shared" si="3678"/>
        <v>#N/A</v>
      </c>
      <c r="I1826" s="16" t="e">
        <f t="shared" si="3678"/>
        <v>#N/A</v>
      </c>
      <c r="J1826" s="40" t="e">
        <f t="shared" si="3678"/>
        <v>#N/A</v>
      </c>
      <c r="K1826" s="16" t="e">
        <f t="shared" si="3678"/>
        <v>#N/A</v>
      </c>
      <c r="L1826" s="40" t="e">
        <f t="shared" si="3629"/>
        <v>#N/A</v>
      </c>
      <c r="M1826" s="16" t="e">
        <f t="shared" si="3630"/>
        <v>#N/A</v>
      </c>
      <c r="N1826" s="16" t="e">
        <f t="shared" si="3631"/>
        <v>#N/A</v>
      </c>
      <c r="O1826" s="16" t="s">
        <v>70</v>
      </c>
      <c r="P1826" s="16" t="str">
        <f t="shared" si="6"/>
        <v/>
      </c>
      <c r="Q1826" s="41" t="e">
        <f t="shared" si="3632"/>
        <v>#N/A</v>
      </c>
      <c r="R1826" s="44"/>
      <c r="S1826" s="44"/>
      <c r="T1826" s="43"/>
      <c r="U1826" s="43" t="str">
        <f t="shared" si="8"/>
        <v>No</v>
      </c>
      <c r="V1826" s="25"/>
      <c r="W1826" s="25"/>
      <c r="X1826" s="25"/>
      <c r="Y1826" s="25"/>
      <c r="Z1826" s="25"/>
    </row>
    <row r="1827" spans="1:26" ht="15.75" customHeight="1" x14ac:dyDescent="0.25">
      <c r="A1827" s="25">
        <v>1825</v>
      </c>
      <c r="B1827" s="37" t="e">
        <f t="shared" ref="B1827:D1827" si="3679">VLOOKUP($A1827,[6]Gobierno!$A$1:$O$234,B$1,0)</f>
        <v>#N/A</v>
      </c>
      <c r="C1827" s="38" t="e">
        <f t="shared" si="3679"/>
        <v>#N/A</v>
      </c>
      <c r="D1827" s="39" t="e">
        <f t="shared" si="3679"/>
        <v>#N/A</v>
      </c>
      <c r="E1827" s="16" t="e">
        <f t="shared" si="1"/>
        <v>#N/A</v>
      </c>
      <c r="F1827" s="16" t="e">
        <f t="shared" ref="F1827:K1827" si="3680">VLOOKUP($A1827,[6]Gobierno!$A$1:$O$234,F$1,0)</f>
        <v>#N/A</v>
      </c>
      <c r="G1827" s="39" t="e">
        <f t="shared" si="3680"/>
        <v>#N/A</v>
      </c>
      <c r="H1827" s="16" t="e">
        <f t="shared" si="3680"/>
        <v>#N/A</v>
      </c>
      <c r="I1827" s="16" t="e">
        <f t="shared" si="3680"/>
        <v>#N/A</v>
      </c>
      <c r="J1827" s="40" t="e">
        <f t="shared" si="3680"/>
        <v>#N/A</v>
      </c>
      <c r="K1827" s="16" t="e">
        <f t="shared" si="3680"/>
        <v>#N/A</v>
      </c>
      <c r="L1827" s="40" t="e">
        <f t="shared" si="3629"/>
        <v>#N/A</v>
      </c>
      <c r="M1827" s="16" t="e">
        <f t="shared" si="3630"/>
        <v>#N/A</v>
      </c>
      <c r="N1827" s="16" t="e">
        <f t="shared" si="3631"/>
        <v>#N/A</v>
      </c>
      <c r="O1827" s="16" t="s">
        <v>70</v>
      </c>
      <c r="P1827" s="16" t="str">
        <f t="shared" si="6"/>
        <v/>
      </c>
      <c r="Q1827" s="41" t="e">
        <f t="shared" si="3632"/>
        <v>#N/A</v>
      </c>
      <c r="R1827" s="44"/>
      <c r="S1827" s="44"/>
      <c r="T1827" s="43"/>
      <c r="U1827" s="43" t="str">
        <f t="shared" si="8"/>
        <v>No</v>
      </c>
      <c r="V1827" s="25"/>
      <c r="W1827" s="25"/>
      <c r="X1827" s="25"/>
      <c r="Y1827" s="25"/>
      <c r="Z1827" s="25"/>
    </row>
    <row r="1828" spans="1:26" ht="15.75" customHeight="1" x14ac:dyDescent="0.25">
      <c r="A1828" s="25">
        <v>1826</v>
      </c>
      <c r="B1828" s="37" t="e">
        <f t="shared" ref="B1828:D1828" si="3681">VLOOKUP($A1828,[6]Gobierno!$A$1:$O$234,B$1,0)</f>
        <v>#N/A</v>
      </c>
      <c r="C1828" s="38" t="e">
        <f t="shared" si="3681"/>
        <v>#N/A</v>
      </c>
      <c r="D1828" s="39" t="e">
        <f t="shared" si="3681"/>
        <v>#N/A</v>
      </c>
      <c r="E1828" s="16" t="e">
        <f t="shared" si="1"/>
        <v>#N/A</v>
      </c>
      <c r="F1828" s="16" t="e">
        <f t="shared" ref="F1828:K1828" si="3682">VLOOKUP($A1828,[6]Gobierno!$A$1:$O$234,F$1,0)</f>
        <v>#N/A</v>
      </c>
      <c r="G1828" s="39" t="e">
        <f t="shared" si="3682"/>
        <v>#N/A</v>
      </c>
      <c r="H1828" s="16" t="e">
        <f t="shared" si="3682"/>
        <v>#N/A</v>
      </c>
      <c r="I1828" s="16" t="e">
        <f t="shared" si="3682"/>
        <v>#N/A</v>
      </c>
      <c r="J1828" s="40" t="e">
        <f t="shared" si="3682"/>
        <v>#N/A</v>
      </c>
      <c r="K1828" s="16" t="e">
        <f t="shared" si="3682"/>
        <v>#N/A</v>
      </c>
      <c r="L1828" s="40" t="e">
        <f t="shared" si="3629"/>
        <v>#N/A</v>
      </c>
      <c r="M1828" s="16" t="e">
        <f t="shared" si="3630"/>
        <v>#N/A</v>
      </c>
      <c r="N1828" s="16" t="e">
        <f t="shared" si="3631"/>
        <v>#N/A</v>
      </c>
      <c r="O1828" s="16" t="s">
        <v>70</v>
      </c>
      <c r="P1828" s="16" t="str">
        <f t="shared" si="6"/>
        <v/>
      </c>
      <c r="Q1828" s="41" t="e">
        <f t="shared" si="3632"/>
        <v>#N/A</v>
      </c>
      <c r="R1828" s="44"/>
      <c r="S1828" s="44"/>
      <c r="T1828" s="43"/>
      <c r="U1828" s="43" t="str">
        <f t="shared" si="8"/>
        <v>No</v>
      </c>
      <c r="V1828" s="25"/>
      <c r="W1828" s="25"/>
      <c r="X1828" s="25"/>
      <c r="Y1828" s="25"/>
      <c r="Z1828" s="25"/>
    </row>
    <row r="1829" spans="1:26" ht="15.75" customHeight="1" x14ac:dyDescent="0.25">
      <c r="A1829" s="25">
        <v>1827</v>
      </c>
      <c r="B1829" s="37" t="e">
        <f t="shared" ref="B1829:D1829" si="3683">VLOOKUP($A1829,[6]Gobierno!$A$1:$O$234,B$1,0)</f>
        <v>#N/A</v>
      </c>
      <c r="C1829" s="38" t="e">
        <f t="shared" si="3683"/>
        <v>#N/A</v>
      </c>
      <c r="D1829" s="39" t="e">
        <f t="shared" si="3683"/>
        <v>#N/A</v>
      </c>
      <c r="E1829" s="16" t="e">
        <f t="shared" si="1"/>
        <v>#N/A</v>
      </c>
      <c r="F1829" s="16" t="e">
        <f t="shared" ref="F1829:K1829" si="3684">VLOOKUP($A1829,[6]Gobierno!$A$1:$O$234,F$1,0)</f>
        <v>#N/A</v>
      </c>
      <c r="G1829" s="39" t="e">
        <f t="shared" si="3684"/>
        <v>#N/A</v>
      </c>
      <c r="H1829" s="16" t="e">
        <f t="shared" si="3684"/>
        <v>#N/A</v>
      </c>
      <c r="I1829" s="16" t="e">
        <f t="shared" si="3684"/>
        <v>#N/A</v>
      </c>
      <c r="J1829" s="40" t="e">
        <f t="shared" si="3684"/>
        <v>#N/A</v>
      </c>
      <c r="K1829" s="16" t="e">
        <f t="shared" si="3684"/>
        <v>#N/A</v>
      </c>
      <c r="L1829" s="40" t="e">
        <f t="shared" si="3629"/>
        <v>#N/A</v>
      </c>
      <c r="M1829" s="16" t="e">
        <f t="shared" si="3630"/>
        <v>#N/A</v>
      </c>
      <c r="N1829" s="16" t="e">
        <f t="shared" si="3631"/>
        <v>#N/A</v>
      </c>
      <c r="O1829" s="16" t="s">
        <v>70</v>
      </c>
      <c r="P1829" s="16" t="str">
        <f t="shared" si="6"/>
        <v/>
      </c>
      <c r="Q1829" s="41" t="e">
        <f t="shared" si="3632"/>
        <v>#N/A</v>
      </c>
      <c r="R1829" s="44"/>
      <c r="S1829" s="44"/>
      <c r="T1829" s="43"/>
      <c r="U1829" s="43" t="str">
        <f t="shared" si="8"/>
        <v>No</v>
      </c>
      <c r="V1829" s="25"/>
      <c r="W1829" s="25"/>
      <c r="X1829" s="25"/>
      <c r="Y1829" s="25"/>
      <c r="Z1829" s="25"/>
    </row>
    <row r="1830" spans="1:26" ht="15.75" customHeight="1" x14ac:dyDescent="0.25">
      <c r="A1830" s="25">
        <v>1828</v>
      </c>
      <c r="B1830" s="37" t="e">
        <f t="shared" ref="B1830:D1830" si="3685">VLOOKUP($A1830,[6]Gobierno!$A$1:$O$234,B$1,0)</f>
        <v>#N/A</v>
      </c>
      <c r="C1830" s="38" t="e">
        <f t="shared" si="3685"/>
        <v>#N/A</v>
      </c>
      <c r="D1830" s="39" t="e">
        <f t="shared" si="3685"/>
        <v>#N/A</v>
      </c>
      <c r="E1830" s="16" t="e">
        <f t="shared" si="1"/>
        <v>#N/A</v>
      </c>
      <c r="F1830" s="16" t="e">
        <f t="shared" ref="F1830:K1830" si="3686">VLOOKUP($A1830,[6]Gobierno!$A$1:$O$234,F$1,0)</f>
        <v>#N/A</v>
      </c>
      <c r="G1830" s="39" t="e">
        <f t="shared" si="3686"/>
        <v>#N/A</v>
      </c>
      <c r="H1830" s="16" t="e">
        <f t="shared" si="3686"/>
        <v>#N/A</v>
      </c>
      <c r="I1830" s="16" t="e">
        <f t="shared" si="3686"/>
        <v>#N/A</v>
      </c>
      <c r="J1830" s="40" t="e">
        <f t="shared" si="3686"/>
        <v>#N/A</v>
      </c>
      <c r="K1830" s="16" t="e">
        <f t="shared" si="3686"/>
        <v>#N/A</v>
      </c>
      <c r="L1830" s="40" t="e">
        <f t="shared" si="3629"/>
        <v>#N/A</v>
      </c>
      <c r="M1830" s="16" t="e">
        <f t="shared" si="3630"/>
        <v>#N/A</v>
      </c>
      <c r="N1830" s="16" t="e">
        <f t="shared" si="3631"/>
        <v>#N/A</v>
      </c>
      <c r="O1830" s="16" t="s">
        <v>70</v>
      </c>
      <c r="P1830" s="16" t="str">
        <f t="shared" si="6"/>
        <v/>
      </c>
      <c r="Q1830" s="41" t="e">
        <f t="shared" si="3632"/>
        <v>#N/A</v>
      </c>
      <c r="R1830" s="44"/>
      <c r="S1830" s="44"/>
      <c r="T1830" s="43"/>
      <c r="U1830" s="43" t="str">
        <f t="shared" si="8"/>
        <v>No</v>
      </c>
      <c r="V1830" s="25"/>
      <c r="W1830" s="25"/>
      <c r="X1830" s="25"/>
      <c r="Y1830" s="25"/>
      <c r="Z1830" s="25"/>
    </row>
    <row r="1831" spans="1:26" ht="15.75" customHeight="1" x14ac:dyDescent="0.25">
      <c r="A1831" s="25">
        <v>1829</v>
      </c>
      <c r="B1831" s="37" t="e">
        <f t="shared" ref="B1831:D1831" si="3687">VLOOKUP($A1831,[6]Gobierno!$A$1:$O$234,B$1,0)</f>
        <v>#N/A</v>
      </c>
      <c r="C1831" s="38" t="e">
        <f t="shared" si="3687"/>
        <v>#N/A</v>
      </c>
      <c r="D1831" s="39" t="e">
        <f t="shared" si="3687"/>
        <v>#N/A</v>
      </c>
      <c r="E1831" s="16" t="e">
        <f t="shared" si="1"/>
        <v>#N/A</v>
      </c>
      <c r="F1831" s="16" t="e">
        <f t="shared" ref="F1831:K1831" si="3688">VLOOKUP($A1831,[6]Gobierno!$A$1:$O$234,F$1,0)</f>
        <v>#N/A</v>
      </c>
      <c r="G1831" s="39" t="e">
        <f t="shared" si="3688"/>
        <v>#N/A</v>
      </c>
      <c r="H1831" s="16" t="e">
        <f t="shared" si="3688"/>
        <v>#N/A</v>
      </c>
      <c r="I1831" s="16" t="e">
        <f t="shared" si="3688"/>
        <v>#N/A</v>
      </c>
      <c r="J1831" s="40" t="e">
        <f t="shared" si="3688"/>
        <v>#N/A</v>
      </c>
      <c r="K1831" s="16" t="e">
        <f t="shared" si="3688"/>
        <v>#N/A</v>
      </c>
      <c r="L1831" s="40" t="e">
        <f t="shared" si="3629"/>
        <v>#N/A</v>
      </c>
      <c r="M1831" s="16" t="e">
        <f t="shared" si="3630"/>
        <v>#N/A</v>
      </c>
      <c r="N1831" s="16" t="e">
        <f t="shared" si="3631"/>
        <v>#N/A</v>
      </c>
      <c r="O1831" s="16" t="s">
        <v>70</v>
      </c>
      <c r="P1831" s="16" t="str">
        <f t="shared" si="6"/>
        <v/>
      </c>
      <c r="Q1831" s="41" t="e">
        <f t="shared" si="3632"/>
        <v>#N/A</v>
      </c>
      <c r="R1831" s="44"/>
      <c r="S1831" s="44"/>
      <c r="T1831" s="43"/>
      <c r="U1831" s="43" t="str">
        <f t="shared" si="8"/>
        <v>No</v>
      </c>
      <c r="V1831" s="25"/>
      <c r="W1831" s="25"/>
      <c r="X1831" s="25"/>
      <c r="Y1831" s="25"/>
      <c r="Z1831" s="25"/>
    </row>
    <row r="1832" spans="1:26" ht="15.75" customHeight="1" x14ac:dyDescent="0.25">
      <c r="A1832" s="25">
        <v>1830</v>
      </c>
      <c r="B1832" s="37" t="e">
        <f t="shared" ref="B1832:D1832" si="3689">VLOOKUP($A1832,[6]Gobierno!$A$1:$O$234,B$1,0)</f>
        <v>#N/A</v>
      </c>
      <c r="C1832" s="38" t="e">
        <f t="shared" si="3689"/>
        <v>#N/A</v>
      </c>
      <c r="D1832" s="39" t="e">
        <f t="shared" si="3689"/>
        <v>#N/A</v>
      </c>
      <c r="E1832" s="16" t="e">
        <f t="shared" si="1"/>
        <v>#N/A</v>
      </c>
      <c r="F1832" s="16" t="e">
        <f t="shared" ref="F1832:K1832" si="3690">VLOOKUP($A1832,[6]Gobierno!$A$1:$O$234,F$1,0)</f>
        <v>#N/A</v>
      </c>
      <c r="G1832" s="39" t="e">
        <f t="shared" si="3690"/>
        <v>#N/A</v>
      </c>
      <c r="H1832" s="16" t="e">
        <f t="shared" si="3690"/>
        <v>#N/A</v>
      </c>
      <c r="I1832" s="16" t="e">
        <f t="shared" si="3690"/>
        <v>#N/A</v>
      </c>
      <c r="J1832" s="40" t="e">
        <f t="shared" si="3690"/>
        <v>#N/A</v>
      </c>
      <c r="K1832" s="16" t="e">
        <f t="shared" si="3690"/>
        <v>#N/A</v>
      </c>
      <c r="L1832" s="40" t="e">
        <f t="shared" si="3629"/>
        <v>#N/A</v>
      </c>
      <c r="M1832" s="16" t="e">
        <f t="shared" si="3630"/>
        <v>#N/A</v>
      </c>
      <c r="N1832" s="16" t="e">
        <f t="shared" si="3631"/>
        <v>#N/A</v>
      </c>
      <c r="O1832" s="16" t="s">
        <v>70</v>
      </c>
      <c r="P1832" s="16" t="str">
        <f t="shared" si="6"/>
        <v/>
      </c>
      <c r="Q1832" s="41" t="e">
        <f t="shared" si="3632"/>
        <v>#N/A</v>
      </c>
      <c r="R1832" s="44"/>
      <c r="S1832" s="44"/>
      <c r="T1832" s="43"/>
      <c r="U1832" s="43" t="str">
        <f t="shared" si="8"/>
        <v>No</v>
      </c>
      <c r="V1832" s="25"/>
      <c r="W1832" s="25"/>
      <c r="X1832" s="25"/>
      <c r="Y1832" s="25"/>
      <c r="Z1832" s="25"/>
    </row>
    <row r="1833" spans="1:26" ht="15.75" customHeight="1" x14ac:dyDescent="0.25">
      <c r="A1833" s="25">
        <v>1831</v>
      </c>
      <c r="B1833" s="37" t="e">
        <f t="shared" ref="B1833:D1833" si="3691">VLOOKUP($A1833,[6]Gobierno!$A$1:$O$234,B$1,0)</f>
        <v>#N/A</v>
      </c>
      <c r="C1833" s="38" t="e">
        <f t="shared" si="3691"/>
        <v>#N/A</v>
      </c>
      <c r="D1833" s="39" t="e">
        <f t="shared" si="3691"/>
        <v>#N/A</v>
      </c>
      <c r="E1833" s="16" t="e">
        <f t="shared" si="1"/>
        <v>#N/A</v>
      </c>
      <c r="F1833" s="16" t="e">
        <f t="shared" ref="F1833:K1833" si="3692">VLOOKUP($A1833,[6]Gobierno!$A$1:$O$234,F$1,0)</f>
        <v>#N/A</v>
      </c>
      <c r="G1833" s="39" t="e">
        <f t="shared" si="3692"/>
        <v>#N/A</v>
      </c>
      <c r="H1833" s="16" t="e">
        <f t="shared" si="3692"/>
        <v>#N/A</v>
      </c>
      <c r="I1833" s="16" t="e">
        <f t="shared" si="3692"/>
        <v>#N/A</v>
      </c>
      <c r="J1833" s="40" t="e">
        <f t="shared" si="3692"/>
        <v>#N/A</v>
      </c>
      <c r="K1833" s="16" t="e">
        <f t="shared" si="3692"/>
        <v>#N/A</v>
      </c>
      <c r="L1833" s="40" t="e">
        <f t="shared" si="3629"/>
        <v>#N/A</v>
      </c>
      <c r="M1833" s="16" t="e">
        <f t="shared" si="3630"/>
        <v>#N/A</v>
      </c>
      <c r="N1833" s="16" t="e">
        <f t="shared" si="3631"/>
        <v>#N/A</v>
      </c>
      <c r="O1833" s="16" t="s">
        <v>70</v>
      </c>
      <c r="P1833" s="16" t="str">
        <f t="shared" si="6"/>
        <v/>
      </c>
      <c r="Q1833" s="41" t="e">
        <f t="shared" si="3632"/>
        <v>#N/A</v>
      </c>
      <c r="R1833" s="44"/>
      <c r="S1833" s="44"/>
      <c r="T1833" s="43"/>
      <c r="U1833" s="43" t="str">
        <f t="shared" si="8"/>
        <v>No</v>
      </c>
      <c r="V1833" s="25"/>
      <c r="W1833" s="25"/>
      <c r="X1833" s="25"/>
      <c r="Y1833" s="25"/>
      <c r="Z1833" s="25"/>
    </row>
    <row r="1834" spans="1:26" ht="15.75" customHeight="1" x14ac:dyDescent="0.25">
      <c r="A1834" s="25">
        <v>1832</v>
      </c>
      <c r="B1834" s="37" t="e">
        <f t="shared" ref="B1834:D1834" si="3693">VLOOKUP($A1834,[6]Gobierno!$A$1:$O$234,B$1,0)</f>
        <v>#N/A</v>
      </c>
      <c r="C1834" s="38" t="e">
        <f t="shared" si="3693"/>
        <v>#N/A</v>
      </c>
      <c r="D1834" s="39" t="e">
        <f t="shared" si="3693"/>
        <v>#N/A</v>
      </c>
      <c r="E1834" s="16" t="e">
        <f t="shared" si="1"/>
        <v>#N/A</v>
      </c>
      <c r="F1834" s="16" t="e">
        <f t="shared" ref="F1834:K1834" si="3694">VLOOKUP($A1834,[6]Gobierno!$A$1:$O$234,F$1,0)</f>
        <v>#N/A</v>
      </c>
      <c r="G1834" s="39" t="e">
        <f t="shared" si="3694"/>
        <v>#N/A</v>
      </c>
      <c r="H1834" s="16" t="e">
        <f t="shared" si="3694"/>
        <v>#N/A</v>
      </c>
      <c r="I1834" s="16" t="e">
        <f t="shared" si="3694"/>
        <v>#N/A</v>
      </c>
      <c r="J1834" s="40" t="e">
        <f t="shared" si="3694"/>
        <v>#N/A</v>
      </c>
      <c r="K1834" s="16" t="e">
        <f t="shared" si="3694"/>
        <v>#N/A</v>
      </c>
      <c r="L1834" s="40" t="e">
        <f t="shared" si="3629"/>
        <v>#N/A</v>
      </c>
      <c r="M1834" s="16" t="e">
        <f t="shared" si="3630"/>
        <v>#N/A</v>
      </c>
      <c r="N1834" s="16" t="e">
        <f t="shared" si="3631"/>
        <v>#N/A</v>
      </c>
      <c r="O1834" s="16" t="s">
        <v>70</v>
      </c>
      <c r="P1834" s="16" t="str">
        <f t="shared" si="6"/>
        <v/>
      </c>
      <c r="Q1834" s="41" t="e">
        <f t="shared" si="3632"/>
        <v>#N/A</v>
      </c>
      <c r="R1834" s="44"/>
      <c r="S1834" s="44"/>
      <c r="T1834" s="43"/>
      <c r="U1834" s="43" t="str">
        <f t="shared" si="8"/>
        <v>No</v>
      </c>
      <c r="V1834" s="25"/>
      <c r="W1834" s="25"/>
      <c r="X1834" s="25"/>
      <c r="Y1834" s="25"/>
      <c r="Z1834" s="25"/>
    </row>
    <row r="1835" spans="1:26" ht="15.75" customHeight="1" x14ac:dyDescent="0.25">
      <c r="A1835" s="25">
        <v>1833</v>
      </c>
      <c r="B1835" s="37" t="e">
        <f t="shared" ref="B1835:D1835" si="3695">VLOOKUP($A1835,[6]Gobierno!$A$1:$O$234,B$1,0)</f>
        <v>#N/A</v>
      </c>
      <c r="C1835" s="38" t="e">
        <f t="shared" si="3695"/>
        <v>#N/A</v>
      </c>
      <c r="D1835" s="39" t="e">
        <f t="shared" si="3695"/>
        <v>#N/A</v>
      </c>
      <c r="E1835" s="16" t="e">
        <f t="shared" si="1"/>
        <v>#N/A</v>
      </c>
      <c r="F1835" s="16" t="e">
        <f t="shared" ref="F1835:K1835" si="3696">VLOOKUP($A1835,[6]Gobierno!$A$1:$O$234,F$1,0)</f>
        <v>#N/A</v>
      </c>
      <c r="G1835" s="39" t="e">
        <f t="shared" si="3696"/>
        <v>#N/A</v>
      </c>
      <c r="H1835" s="16" t="e">
        <f t="shared" si="3696"/>
        <v>#N/A</v>
      </c>
      <c r="I1835" s="16" t="e">
        <f t="shared" si="3696"/>
        <v>#N/A</v>
      </c>
      <c r="J1835" s="40" t="e">
        <f t="shared" si="3696"/>
        <v>#N/A</v>
      </c>
      <c r="K1835" s="16" t="e">
        <f t="shared" si="3696"/>
        <v>#N/A</v>
      </c>
      <c r="L1835" s="40" t="e">
        <f t="shared" si="3629"/>
        <v>#N/A</v>
      </c>
      <c r="M1835" s="16" t="e">
        <f t="shared" si="3630"/>
        <v>#N/A</v>
      </c>
      <c r="N1835" s="16" t="e">
        <f t="shared" si="3631"/>
        <v>#N/A</v>
      </c>
      <c r="O1835" s="16" t="s">
        <v>70</v>
      </c>
      <c r="P1835" s="16" t="str">
        <f t="shared" si="6"/>
        <v/>
      </c>
      <c r="Q1835" s="41" t="e">
        <f t="shared" si="3632"/>
        <v>#N/A</v>
      </c>
      <c r="R1835" s="44"/>
      <c r="S1835" s="44"/>
      <c r="T1835" s="43"/>
      <c r="U1835" s="43" t="str">
        <f t="shared" si="8"/>
        <v>No</v>
      </c>
      <c r="V1835" s="25"/>
      <c r="W1835" s="25"/>
      <c r="X1835" s="25"/>
      <c r="Y1835" s="25"/>
      <c r="Z1835" s="25"/>
    </row>
    <row r="1836" spans="1:26" ht="15.75" customHeight="1" x14ac:dyDescent="0.25">
      <c r="A1836" s="25">
        <v>1834</v>
      </c>
      <c r="B1836" s="37" t="e">
        <f t="shared" ref="B1836:D1836" si="3697">VLOOKUP($A1836,[6]Gobierno!$A$1:$O$234,B$1,0)</f>
        <v>#N/A</v>
      </c>
      <c r="C1836" s="38" t="e">
        <f t="shared" si="3697"/>
        <v>#N/A</v>
      </c>
      <c r="D1836" s="39" t="e">
        <f t="shared" si="3697"/>
        <v>#N/A</v>
      </c>
      <c r="E1836" s="16" t="e">
        <f t="shared" si="1"/>
        <v>#N/A</v>
      </c>
      <c r="F1836" s="16" t="e">
        <f t="shared" ref="F1836:K1836" si="3698">VLOOKUP($A1836,[6]Gobierno!$A$1:$O$234,F$1,0)</f>
        <v>#N/A</v>
      </c>
      <c r="G1836" s="39" t="e">
        <f t="shared" si="3698"/>
        <v>#N/A</v>
      </c>
      <c r="H1836" s="16" t="e">
        <f t="shared" si="3698"/>
        <v>#N/A</v>
      </c>
      <c r="I1836" s="16" t="e">
        <f t="shared" si="3698"/>
        <v>#N/A</v>
      </c>
      <c r="J1836" s="40" t="e">
        <f t="shared" si="3698"/>
        <v>#N/A</v>
      </c>
      <c r="K1836" s="16" t="e">
        <f t="shared" si="3698"/>
        <v>#N/A</v>
      </c>
      <c r="L1836" s="40" t="e">
        <f t="shared" si="3629"/>
        <v>#N/A</v>
      </c>
      <c r="M1836" s="16" t="e">
        <f t="shared" si="3630"/>
        <v>#N/A</v>
      </c>
      <c r="N1836" s="16" t="e">
        <f t="shared" si="3631"/>
        <v>#N/A</v>
      </c>
      <c r="O1836" s="16" t="s">
        <v>70</v>
      </c>
      <c r="P1836" s="16" t="str">
        <f t="shared" si="6"/>
        <v/>
      </c>
      <c r="Q1836" s="41" t="e">
        <f t="shared" si="3632"/>
        <v>#N/A</v>
      </c>
      <c r="R1836" s="44"/>
      <c r="S1836" s="44"/>
      <c r="T1836" s="43"/>
      <c r="U1836" s="43" t="str">
        <f t="shared" si="8"/>
        <v>No</v>
      </c>
      <c r="V1836" s="25"/>
      <c r="W1836" s="25"/>
      <c r="X1836" s="25"/>
      <c r="Y1836" s="25"/>
      <c r="Z1836" s="25"/>
    </row>
    <row r="1837" spans="1:26" ht="15.75" customHeight="1" x14ac:dyDescent="0.25">
      <c r="A1837" s="25">
        <v>1835</v>
      </c>
      <c r="B1837" s="37" t="e">
        <f t="shared" ref="B1837:D1837" si="3699">VLOOKUP($A1837,[6]Gobierno!$A$1:$O$234,B$1,0)</f>
        <v>#N/A</v>
      </c>
      <c r="C1837" s="38" t="e">
        <f t="shared" si="3699"/>
        <v>#N/A</v>
      </c>
      <c r="D1837" s="39" t="e">
        <f t="shared" si="3699"/>
        <v>#N/A</v>
      </c>
      <c r="E1837" s="16" t="e">
        <f t="shared" si="1"/>
        <v>#N/A</v>
      </c>
      <c r="F1837" s="16" t="e">
        <f t="shared" ref="F1837:K1837" si="3700">VLOOKUP($A1837,[6]Gobierno!$A$1:$O$234,F$1,0)</f>
        <v>#N/A</v>
      </c>
      <c r="G1837" s="39" t="e">
        <f t="shared" si="3700"/>
        <v>#N/A</v>
      </c>
      <c r="H1837" s="16" t="e">
        <f t="shared" si="3700"/>
        <v>#N/A</v>
      </c>
      <c r="I1837" s="16" t="e">
        <f t="shared" si="3700"/>
        <v>#N/A</v>
      </c>
      <c r="J1837" s="40" t="e">
        <f t="shared" si="3700"/>
        <v>#N/A</v>
      </c>
      <c r="K1837" s="16" t="e">
        <f t="shared" si="3700"/>
        <v>#N/A</v>
      </c>
      <c r="L1837" s="40" t="e">
        <f t="shared" si="3629"/>
        <v>#N/A</v>
      </c>
      <c r="M1837" s="16" t="e">
        <f t="shared" si="3630"/>
        <v>#N/A</v>
      </c>
      <c r="N1837" s="16" t="e">
        <f t="shared" si="3631"/>
        <v>#N/A</v>
      </c>
      <c r="O1837" s="16" t="s">
        <v>70</v>
      </c>
      <c r="P1837" s="16" t="str">
        <f t="shared" si="6"/>
        <v/>
      </c>
      <c r="Q1837" s="41" t="e">
        <f t="shared" si="3632"/>
        <v>#N/A</v>
      </c>
      <c r="R1837" s="44"/>
      <c r="S1837" s="44"/>
      <c r="T1837" s="43"/>
      <c r="U1837" s="43" t="str">
        <f t="shared" si="8"/>
        <v>No</v>
      </c>
      <c r="V1837" s="25"/>
      <c r="W1837" s="25"/>
      <c r="X1837" s="25"/>
      <c r="Y1837" s="25"/>
      <c r="Z1837" s="25"/>
    </row>
    <row r="1838" spans="1:26" ht="15.75" customHeight="1" x14ac:dyDescent="0.25">
      <c r="A1838" s="25">
        <v>1836</v>
      </c>
      <c r="B1838" s="37" t="e">
        <f t="shared" ref="B1838:D1838" si="3701">VLOOKUP($A1838,[6]Gobierno!$A$1:$O$234,B$1,0)</f>
        <v>#N/A</v>
      </c>
      <c r="C1838" s="38" t="e">
        <f t="shared" si="3701"/>
        <v>#N/A</v>
      </c>
      <c r="D1838" s="39" t="e">
        <f t="shared" si="3701"/>
        <v>#N/A</v>
      </c>
      <c r="E1838" s="16" t="e">
        <f t="shared" si="1"/>
        <v>#N/A</v>
      </c>
      <c r="F1838" s="16" t="e">
        <f t="shared" ref="F1838:K1838" si="3702">VLOOKUP($A1838,[6]Gobierno!$A$1:$O$234,F$1,0)</f>
        <v>#N/A</v>
      </c>
      <c r="G1838" s="39" t="e">
        <f t="shared" si="3702"/>
        <v>#N/A</v>
      </c>
      <c r="H1838" s="16" t="e">
        <f t="shared" si="3702"/>
        <v>#N/A</v>
      </c>
      <c r="I1838" s="16" t="e">
        <f t="shared" si="3702"/>
        <v>#N/A</v>
      </c>
      <c r="J1838" s="40" t="e">
        <f t="shared" si="3702"/>
        <v>#N/A</v>
      </c>
      <c r="K1838" s="16" t="e">
        <f t="shared" si="3702"/>
        <v>#N/A</v>
      </c>
      <c r="L1838" s="40" t="e">
        <f t="shared" si="3629"/>
        <v>#N/A</v>
      </c>
      <c r="M1838" s="16" t="e">
        <f t="shared" si="3630"/>
        <v>#N/A</v>
      </c>
      <c r="N1838" s="16" t="e">
        <f t="shared" si="3631"/>
        <v>#N/A</v>
      </c>
      <c r="O1838" s="16" t="s">
        <v>70</v>
      </c>
      <c r="P1838" s="16" t="str">
        <f t="shared" si="6"/>
        <v/>
      </c>
      <c r="Q1838" s="41" t="e">
        <f t="shared" si="3632"/>
        <v>#N/A</v>
      </c>
      <c r="R1838" s="44"/>
      <c r="S1838" s="44"/>
      <c r="T1838" s="43"/>
      <c r="U1838" s="43" t="str">
        <f t="shared" si="8"/>
        <v>No</v>
      </c>
      <c r="V1838" s="25"/>
      <c r="W1838" s="25"/>
      <c r="X1838" s="25"/>
      <c r="Y1838" s="25"/>
      <c r="Z1838" s="25"/>
    </row>
    <row r="1839" spans="1:26" ht="15.75" customHeight="1" x14ac:dyDescent="0.25">
      <c r="A1839" s="25">
        <v>1837</v>
      </c>
      <c r="B1839" s="37" t="e">
        <f t="shared" ref="B1839:D1839" si="3703">VLOOKUP($A1839,[6]Gobierno!$A$1:$O$234,B$1,0)</f>
        <v>#N/A</v>
      </c>
      <c r="C1839" s="38" t="e">
        <f t="shared" si="3703"/>
        <v>#N/A</v>
      </c>
      <c r="D1839" s="39" t="e">
        <f t="shared" si="3703"/>
        <v>#N/A</v>
      </c>
      <c r="E1839" s="16" t="e">
        <f t="shared" si="1"/>
        <v>#N/A</v>
      </c>
      <c r="F1839" s="16" t="e">
        <f t="shared" ref="F1839:K1839" si="3704">VLOOKUP($A1839,[6]Gobierno!$A$1:$O$234,F$1,0)</f>
        <v>#N/A</v>
      </c>
      <c r="G1839" s="39" t="e">
        <f t="shared" si="3704"/>
        <v>#N/A</v>
      </c>
      <c r="H1839" s="16" t="e">
        <f t="shared" si="3704"/>
        <v>#N/A</v>
      </c>
      <c r="I1839" s="16" t="e">
        <f t="shared" si="3704"/>
        <v>#N/A</v>
      </c>
      <c r="J1839" s="40" t="e">
        <f t="shared" si="3704"/>
        <v>#N/A</v>
      </c>
      <c r="K1839" s="16" t="e">
        <f t="shared" si="3704"/>
        <v>#N/A</v>
      </c>
      <c r="L1839" s="40" t="e">
        <f t="shared" si="3629"/>
        <v>#N/A</v>
      </c>
      <c r="M1839" s="16" t="e">
        <f t="shared" si="3630"/>
        <v>#N/A</v>
      </c>
      <c r="N1839" s="16" t="e">
        <f t="shared" si="3631"/>
        <v>#N/A</v>
      </c>
      <c r="O1839" s="16" t="s">
        <v>70</v>
      </c>
      <c r="P1839" s="16" t="str">
        <f t="shared" si="6"/>
        <v/>
      </c>
      <c r="Q1839" s="41" t="e">
        <f t="shared" si="3632"/>
        <v>#N/A</v>
      </c>
      <c r="R1839" s="44"/>
      <c r="S1839" s="44"/>
      <c r="T1839" s="43"/>
      <c r="U1839" s="43" t="str">
        <f t="shared" si="8"/>
        <v>No</v>
      </c>
      <c r="V1839" s="25"/>
      <c r="W1839" s="25"/>
      <c r="X1839" s="25"/>
      <c r="Y1839" s="25"/>
      <c r="Z1839" s="25"/>
    </row>
    <row r="1840" spans="1:26" ht="15.75" customHeight="1" x14ac:dyDescent="0.25">
      <c r="A1840" s="25">
        <v>1838</v>
      </c>
      <c r="B1840" s="37" t="e">
        <f t="shared" ref="B1840:D1840" si="3705">VLOOKUP($A1840,[6]Gobierno!$A$1:$O$234,B$1,0)</f>
        <v>#N/A</v>
      </c>
      <c r="C1840" s="38" t="e">
        <f t="shared" si="3705"/>
        <v>#N/A</v>
      </c>
      <c r="D1840" s="39" t="e">
        <f t="shared" si="3705"/>
        <v>#N/A</v>
      </c>
      <c r="E1840" s="16" t="e">
        <f t="shared" si="1"/>
        <v>#N/A</v>
      </c>
      <c r="F1840" s="16" t="e">
        <f t="shared" ref="F1840:K1840" si="3706">VLOOKUP($A1840,[6]Gobierno!$A$1:$O$234,F$1,0)</f>
        <v>#N/A</v>
      </c>
      <c r="G1840" s="39" t="e">
        <f t="shared" si="3706"/>
        <v>#N/A</v>
      </c>
      <c r="H1840" s="16" t="e">
        <f t="shared" si="3706"/>
        <v>#N/A</v>
      </c>
      <c r="I1840" s="16" t="e">
        <f t="shared" si="3706"/>
        <v>#N/A</v>
      </c>
      <c r="J1840" s="40" t="e">
        <f t="shared" si="3706"/>
        <v>#N/A</v>
      </c>
      <c r="K1840" s="16" t="e">
        <f t="shared" si="3706"/>
        <v>#N/A</v>
      </c>
      <c r="L1840" s="40" t="e">
        <f t="shared" si="3629"/>
        <v>#N/A</v>
      </c>
      <c r="M1840" s="16" t="e">
        <f t="shared" si="3630"/>
        <v>#N/A</v>
      </c>
      <c r="N1840" s="16" t="e">
        <f t="shared" si="3631"/>
        <v>#N/A</v>
      </c>
      <c r="O1840" s="16" t="s">
        <v>70</v>
      </c>
      <c r="P1840" s="16" t="str">
        <f t="shared" si="6"/>
        <v/>
      </c>
      <c r="Q1840" s="41" t="e">
        <f t="shared" si="3632"/>
        <v>#N/A</v>
      </c>
      <c r="R1840" s="44"/>
      <c r="S1840" s="44"/>
      <c r="T1840" s="43"/>
      <c r="U1840" s="43" t="str">
        <f t="shared" si="8"/>
        <v>No</v>
      </c>
      <c r="V1840" s="25"/>
      <c r="W1840" s="25"/>
      <c r="X1840" s="25"/>
      <c r="Y1840" s="25"/>
      <c r="Z1840" s="25"/>
    </row>
    <row r="1841" spans="1:26" ht="15.75" customHeight="1" x14ac:dyDescent="0.25">
      <c r="A1841" s="25">
        <v>1839</v>
      </c>
      <c r="B1841" s="37" t="e">
        <f t="shared" ref="B1841:D1841" si="3707">VLOOKUP($A1841,[6]Gobierno!$A$1:$O$234,B$1,0)</f>
        <v>#N/A</v>
      </c>
      <c r="C1841" s="38" t="e">
        <f t="shared" si="3707"/>
        <v>#N/A</v>
      </c>
      <c r="D1841" s="39" t="e">
        <f t="shared" si="3707"/>
        <v>#N/A</v>
      </c>
      <c r="E1841" s="16" t="e">
        <f t="shared" si="1"/>
        <v>#N/A</v>
      </c>
      <c r="F1841" s="16" t="e">
        <f t="shared" ref="F1841:K1841" si="3708">VLOOKUP($A1841,[6]Gobierno!$A$1:$O$234,F$1,0)</f>
        <v>#N/A</v>
      </c>
      <c r="G1841" s="39" t="e">
        <f t="shared" si="3708"/>
        <v>#N/A</v>
      </c>
      <c r="H1841" s="16" t="e">
        <f t="shared" si="3708"/>
        <v>#N/A</v>
      </c>
      <c r="I1841" s="16" t="e">
        <f t="shared" si="3708"/>
        <v>#N/A</v>
      </c>
      <c r="J1841" s="40" t="e">
        <f t="shared" si="3708"/>
        <v>#N/A</v>
      </c>
      <c r="K1841" s="16" t="e">
        <f t="shared" si="3708"/>
        <v>#N/A</v>
      </c>
      <c r="L1841" s="40" t="e">
        <f t="shared" si="3629"/>
        <v>#N/A</v>
      </c>
      <c r="M1841" s="16" t="e">
        <f t="shared" si="3630"/>
        <v>#N/A</v>
      </c>
      <c r="N1841" s="16" t="e">
        <f t="shared" si="3631"/>
        <v>#N/A</v>
      </c>
      <c r="O1841" s="16" t="s">
        <v>70</v>
      </c>
      <c r="P1841" s="16" t="str">
        <f t="shared" si="6"/>
        <v/>
      </c>
      <c r="Q1841" s="41" t="e">
        <f t="shared" si="3632"/>
        <v>#N/A</v>
      </c>
      <c r="R1841" s="44"/>
      <c r="S1841" s="44"/>
      <c r="T1841" s="43"/>
      <c r="U1841" s="43" t="str">
        <f t="shared" si="8"/>
        <v>No</v>
      </c>
      <c r="V1841" s="25"/>
      <c r="W1841" s="25"/>
      <c r="X1841" s="25"/>
      <c r="Y1841" s="25"/>
      <c r="Z1841" s="25"/>
    </row>
    <row r="1842" spans="1:26" ht="15.75" customHeight="1" x14ac:dyDescent="0.25">
      <c r="A1842" s="25">
        <v>1840</v>
      </c>
      <c r="B1842" s="37" t="e">
        <f t="shared" ref="B1842:D1842" si="3709">VLOOKUP($A1842,[6]Gobierno!$A$1:$O$234,B$1,0)</f>
        <v>#N/A</v>
      </c>
      <c r="C1842" s="38" t="e">
        <f t="shared" si="3709"/>
        <v>#N/A</v>
      </c>
      <c r="D1842" s="39" t="e">
        <f t="shared" si="3709"/>
        <v>#N/A</v>
      </c>
      <c r="E1842" s="16" t="e">
        <f t="shared" si="1"/>
        <v>#N/A</v>
      </c>
      <c r="F1842" s="16" t="e">
        <f t="shared" ref="F1842:K1842" si="3710">VLOOKUP($A1842,[6]Gobierno!$A$1:$O$234,F$1,0)</f>
        <v>#N/A</v>
      </c>
      <c r="G1842" s="39" t="e">
        <f t="shared" si="3710"/>
        <v>#N/A</v>
      </c>
      <c r="H1842" s="16" t="e">
        <f t="shared" si="3710"/>
        <v>#N/A</v>
      </c>
      <c r="I1842" s="16" t="e">
        <f t="shared" si="3710"/>
        <v>#N/A</v>
      </c>
      <c r="J1842" s="40" t="e">
        <f t="shared" si="3710"/>
        <v>#N/A</v>
      </c>
      <c r="K1842" s="16" t="e">
        <f t="shared" si="3710"/>
        <v>#N/A</v>
      </c>
      <c r="L1842" s="40" t="e">
        <f t="shared" si="3629"/>
        <v>#N/A</v>
      </c>
      <c r="M1842" s="16" t="e">
        <f t="shared" si="3630"/>
        <v>#N/A</v>
      </c>
      <c r="N1842" s="16" t="e">
        <f t="shared" si="3631"/>
        <v>#N/A</v>
      </c>
      <c r="O1842" s="16" t="s">
        <v>70</v>
      </c>
      <c r="P1842" s="16" t="str">
        <f t="shared" si="6"/>
        <v/>
      </c>
      <c r="Q1842" s="41" t="e">
        <f t="shared" si="3632"/>
        <v>#N/A</v>
      </c>
      <c r="R1842" s="44"/>
      <c r="S1842" s="44"/>
      <c r="T1842" s="43"/>
      <c r="U1842" s="43" t="str">
        <f t="shared" si="8"/>
        <v>No</v>
      </c>
      <c r="V1842" s="25"/>
      <c r="W1842" s="25"/>
      <c r="X1842" s="25"/>
      <c r="Y1842" s="25"/>
      <c r="Z1842" s="25"/>
    </row>
    <row r="1843" spans="1:26" ht="15.75" customHeight="1" x14ac:dyDescent="0.25">
      <c r="A1843" s="25">
        <v>1841</v>
      </c>
      <c r="B1843" s="37" t="e">
        <f t="shared" ref="B1843:D1843" si="3711">VLOOKUP($A1843,[6]Gobierno!$A$1:$O$234,B$1,0)</f>
        <v>#N/A</v>
      </c>
      <c r="C1843" s="38" t="e">
        <f t="shared" si="3711"/>
        <v>#N/A</v>
      </c>
      <c r="D1843" s="39" t="e">
        <f t="shared" si="3711"/>
        <v>#N/A</v>
      </c>
      <c r="E1843" s="16" t="e">
        <f t="shared" si="1"/>
        <v>#N/A</v>
      </c>
      <c r="F1843" s="16" t="e">
        <f t="shared" ref="F1843:K1843" si="3712">VLOOKUP($A1843,[6]Gobierno!$A$1:$O$234,F$1,0)</f>
        <v>#N/A</v>
      </c>
      <c r="G1843" s="39" t="e">
        <f t="shared" si="3712"/>
        <v>#N/A</v>
      </c>
      <c r="H1843" s="16" t="e">
        <f t="shared" si="3712"/>
        <v>#N/A</v>
      </c>
      <c r="I1843" s="16" t="e">
        <f t="shared" si="3712"/>
        <v>#N/A</v>
      </c>
      <c r="J1843" s="40" t="e">
        <f t="shared" si="3712"/>
        <v>#N/A</v>
      </c>
      <c r="K1843" s="16" t="e">
        <f t="shared" si="3712"/>
        <v>#N/A</v>
      </c>
      <c r="L1843" s="40" t="e">
        <f t="shared" si="3629"/>
        <v>#N/A</v>
      </c>
      <c r="M1843" s="16" t="e">
        <f t="shared" si="3630"/>
        <v>#N/A</v>
      </c>
      <c r="N1843" s="16" t="e">
        <f t="shared" si="3631"/>
        <v>#N/A</v>
      </c>
      <c r="O1843" s="16" t="s">
        <v>70</v>
      </c>
      <c r="P1843" s="16" t="str">
        <f t="shared" si="6"/>
        <v/>
      </c>
      <c r="Q1843" s="41" t="e">
        <f t="shared" si="3632"/>
        <v>#N/A</v>
      </c>
      <c r="R1843" s="44"/>
      <c r="S1843" s="44"/>
      <c r="T1843" s="43"/>
      <c r="U1843" s="43" t="str">
        <f t="shared" si="8"/>
        <v>No</v>
      </c>
      <c r="V1843" s="25"/>
      <c r="W1843" s="25"/>
      <c r="X1843" s="25"/>
      <c r="Y1843" s="25"/>
      <c r="Z1843" s="25"/>
    </row>
    <row r="1844" spans="1:26" ht="15.75" customHeight="1" x14ac:dyDescent="0.25">
      <c r="A1844" s="25">
        <v>1842</v>
      </c>
      <c r="B1844" s="37" t="e">
        <f t="shared" ref="B1844:D1844" si="3713">VLOOKUP($A1844,[6]Gobierno!$A$1:$O$234,B$1,0)</f>
        <v>#N/A</v>
      </c>
      <c r="C1844" s="38" t="e">
        <f t="shared" si="3713"/>
        <v>#N/A</v>
      </c>
      <c r="D1844" s="39" t="e">
        <f t="shared" si="3713"/>
        <v>#N/A</v>
      </c>
      <c r="E1844" s="16" t="e">
        <f t="shared" si="1"/>
        <v>#N/A</v>
      </c>
      <c r="F1844" s="16" t="e">
        <f t="shared" ref="F1844:K1844" si="3714">VLOOKUP($A1844,[6]Gobierno!$A$1:$O$234,F$1,0)</f>
        <v>#N/A</v>
      </c>
      <c r="G1844" s="39" t="e">
        <f t="shared" si="3714"/>
        <v>#N/A</v>
      </c>
      <c r="H1844" s="16" t="e">
        <f t="shared" si="3714"/>
        <v>#N/A</v>
      </c>
      <c r="I1844" s="16" t="e">
        <f t="shared" si="3714"/>
        <v>#N/A</v>
      </c>
      <c r="J1844" s="40" t="e">
        <f t="shared" si="3714"/>
        <v>#N/A</v>
      </c>
      <c r="K1844" s="16" t="e">
        <f t="shared" si="3714"/>
        <v>#N/A</v>
      </c>
      <c r="L1844" s="40" t="e">
        <f t="shared" si="3629"/>
        <v>#N/A</v>
      </c>
      <c r="M1844" s="16" t="e">
        <f t="shared" si="3630"/>
        <v>#N/A</v>
      </c>
      <c r="N1844" s="16" t="e">
        <f t="shared" si="3631"/>
        <v>#N/A</v>
      </c>
      <c r="O1844" s="16" t="s">
        <v>70</v>
      </c>
      <c r="P1844" s="16" t="str">
        <f t="shared" si="6"/>
        <v/>
      </c>
      <c r="Q1844" s="41" t="e">
        <f t="shared" si="3632"/>
        <v>#N/A</v>
      </c>
      <c r="R1844" s="44"/>
      <c r="S1844" s="44"/>
      <c r="T1844" s="43"/>
      <c r="U1844" s="43" t="str">
        <f t="shared" si="8"/>
        <v>No</v>
      </c>
      <c r="V1844" s="25"/>
      <c r="W1844" s="25"/>
      <c r="X1844" s="25"/>
      <c r="Y1844" s="25"/>
      <c r="Z1844" s="25"/>
    </row>
    <row r="1845" spans="1:26" ht="15.75" customHeight="1" x14ac:dyDescent="0.25">
      <c r="A1845" s="25">
        <v>1843</v>
      </c>
      <c r="B1845" s="37" t="e">
        <f t="shared" ref="B1845:D1845" si="3715">VLOOKUP($A1845,[6]Gobierno!$A$1:$O$234,B$1,0)</f>
        <v>#N/A</v>
      </c>
      <c r="C1845" s="38" t="e">
        <f t="shared" si="3715"/>
        <v>#N/A</v>
      </c>
      <c r="D1845" s="39" t="e">
        <f t="shared" si="3715"/>
        <v>#N/A</v>
      </c>
      <c r="E1845" s="16" t="e">
        <f t="shared" si="1"/>
        <v>#N/A</v>
      </c>
      <c r="F1845" s="16" t="e">
        <f t="shared" ref="F1845:K1845" si="3716">VLOOKUP($A1845,[6]Gobierno!$A$1:$O$234,F$1,0)</f>
        <v>#N/A</v>
      </c>
      <c r="G1845" s="39" t="e">
        <f t="shared" si="3716"/>
        <v>#N/A</v>
      </c>
      <c r="H1845" s="16" t="e">
        <f t="shared" si="3716"/>
        <v>#N/A</v>
      </c>
      <c r="I1845" s="16" t="e">
        <f t="shared" si="3716"/>
        <v>#N/A</v>
      </c>
      <c r="J1845" s="40" t="e">
        <f t="shared" si="3716"/>
        <v>#N/A</v>
      </c>
      <c r="K1845" s="16" t="e">
        <f t="shared" si="3716"/>
        <v>#N/A</v>
      </c>
      <c r="L1845" s="40" t="e">
        <f t="shared" si="3629"/>
        <v>#N/A</v>
      </c>
      <c r="M1845" s="16" t="e">
        <f t="shared" si="3630"/>
        <v>#N/A</v>
      </c>
      <c r="N1845" s="16" t="e">
        <f t="shared" si="3631"/>
        <v>#N/A</v>
      </c>
      <c r="O1845" s="16" t="s">
        <v>70</v>
      </c>
      <c r="P1845" s="16" t="str">
        <f t="shared" si="6"/>
        <v/>
      </c>
      <c r="Q1845" s="41" t="e">
        <f t="shared" si="3632"/>
        <v>#N/A</v>
      </c>
      <c r="R1845" s="44"/>
      <c r="S1845" s="44"/>
      <c r="T1845" s="43"/>
      <c r="U1845" s="43" t="str">
        <f t="shared" si="8"/>
        <v>No</v>
      </c>
      <c r="V1845" s="25"/>
      <c r="W1845" s="25"/>
      <c r="X1845" s="25"/>
      <c r="Y1845" s="25"/>
      <c r="Z1845" s="25"/>
    </row>
    <row r="1846" spans="1:26" ht="15.75" customHeight="1" x14ac:dyDescent="0.25">
      <c r="A1846" s="25">
        <v>1844</v>
      </c>
      <c r="B1846" s="37" t="e">
        <f t="shared" ref="B1846:D1846" si="3717">VLOOKUP($A1846,[6]Gobierno!$A$1:$O$234,B$1,0)</f>
        <v>#N/A</v>
      </c>
      <c r="C1846" s="38" t="e">
        <f t="shared" si="3717"/>
        <v>#N/A</v>
      </c>
      <c r="D1846" s="39" t="e">
        <f t="shared" si="3717"/>
        <v>#N/A</v>
      </c>
      <c r="E1846" s="16" t="e">
        <f t="shared" si="1"/>
        <v>#N/A</v>
      </c>
      <c r="F1846" s="16" t="e">
        <f t="shared" ref="F1846:K1846" si="3718">VLOOKUP($A1846,[6]Gobierno!$A$1:$O$234,F$1,0)</f>
        <v>#N/A</v>
      </c>
      <c r="G1846" s="39" t="e">
        <f t="shared" si="3718"/>
        <v>#N/A</v>
      </c>
      <c r="H1846" s="16" t="e">
        <f t="shared" si="3718"/>
        <v>#N/A</v>
      </c>
      <c r="I1846" s="16" t="e">
        <f t="shared" si="3718"/>
        <v>#N/A</v>
      </c>
      <c r="J1846" s="40" t="e">
        <f t="shared" si="3718"/>
        <v>#N/A</v>
      </c>
      <c r="K1846" s="16" t="e">
        <f t="shared" si="3718"/>
        <v>#N/A</v>
      </c>
      <c r="L1846" s="40" t="e">
        <f t="shared" si="3629"/>
        <v>#N/A</v>
      </c>
      <c r="M1846" s="16" t="e">
        <f t="shared" si="3630"/>
        <v>#N/A</v>
      </c>
      <c r="N1846" s="16" t="e">
        <f t="shared" si="3631"/>
        <v>#N/A</v>
      </c>
      <c r="O1846" s="16" t="s">
        <v>70</v>
      </c>
      <c r="P1846" s="16" t="str">
        <f t="shared" si="6"/>
        <v/>
      </c>
      <c r="Q1846" s="41" t="e">
        <f t="shared" si="3632"/>
        <v>#N/A</v>
      </c>
      <c r="R1846" s="44"/>
      <c r="S1846" s="44"/>
      <c r="T1846" s="43"/>
      <c r="U1846" s="43" t="str">
        <f t="shared" si="8"/>
        <v>No</v>
      </c>
      <c r="V1846" s="25"/>
      <c r="W1846" s="25"/>
      <c r="X1846" s="25"/>
      <c r="Y1846" s="25"/>
      <c r="Z1846" s="25"/>
    </row>
    <row r="1847" spans="1:26" ht="15.75" customHeight="1" x14ac:dyDescent="0.25">
      <c r="A1847" s="25">
        <v>1845</v>
      </c>
      <c r="B1847" s="37" t="e">
        <f t="shared" ref="B1847:D1847" si="3719">VLOOKUP($A1847,[6]Gobierno!$A$1:$O$234,B$1,0)</f>
        <v>#N/A</v>
      </c>
      <c r="C1847" s="38" t="e">
        <f t="shared" si="3719"/>
        <v>#N/A</v>
      </c>
      <c r="D1847" s="39" t="e">
        <f t="shared" si="3719"/>
        <v>#N/A</v>
      </c>
      <c r="E1847" s="16" t="e">
        <f t="shared" si="1"/>
        <v>#N/A</v>
      </c>
      <c r="F1847" s="16" t="e">
        <f t="shared" ref="F1847:K1847" si="3720">VLOOKUP($A1847,[6]Gobierno!$A$1:$O$234,F$1,0)</f>
        <v>#N/A</v>
      </c>
      <c r="G1847" s="39" t="e">
        <f t="shared" si="3720"/>
        <v>#N/A</v>
      </c>
      <c r="H1847" s="16" t="e">
        <f t="shared" si="3720"/>
        <v>#N/A</v>
      </c>
      <c r="I1847" s="16" t="e">
        <f t="shared" si="3720"/>
        <v>#N/A</v>
      </c>
      <c r="J1847" s="40" t="e">
        <f t="shared" si="3720"/>
        <v>#N/A</v>
      </c>
      <c r="K1847" s="16" t="e">
        <f t="shared" si="3720"/>
        <v>#N/A</v>
      </c>
      <c r="L1847" s="40" t="e">
        <f t="shared" si="3629"/>
        <v>#N/A</v>
      </c>
      <c r="M1847" s="16" t="e">
        <f t="shared" si="3630"/>
        <v>#N/A</v>
      </c>
      <c r="N1847" s="16" t="e">
        <f t="shared" si="3631"/>
        <v>#N/A</v>
      </c>
      <c r="O1847" s="16" t="s">
        <v>70</v>
      </c>
      <c r="P1847" s="16" t="str">
        <f t="shared" si="6"/>
        <v/>
      </c>
      <c r="Q1847" s="41" t="e">
        <f t="shared" si="3632"/>
        <v>#N/A</v>
      </c>
      <c r="R1847" s="44"/>
      <c r="S1847" s="44"/>
      <c r="T1847" s="43"/>
      <c r="U1847" s="43" t="str">
        <f t="shared" si="8"/>
        <v>No</v>
      </c>
      <c r="V1847" s="25"/>
      <c r="W1847" s="25"/>
      <c r="X1847" s="25"/>
      <c r="Y1847" s="25"/>
      <c r="Z1847" s="25"/>
    </row>
    <row r="1848" spans="1:26" ht="15.75" customHeight="1" x14ac:dyDescent="0.25">
      <c r="A1848" s="25">
        <v>1846</v>
      </c>
      <c r="B1848" s="37" t="e">
        <f t="shared" ref="B1848:D1848" si="3721">VLOOKUP($A1848,[6]Gobierno!$A$1:$O$234,B$1,0)</f>
        <v>#N/A</v>
      </c>
      <c r="C1848" s="38" t="e">
        <f t="shared" si="3721"/>
        <v>#N/A</v>
      </c>
      <c r="D1848" s="39" t="e">
        <f t="shared" si="3721"/>
        <v>#N/A</v>
      </c>
      <c r="E1848" s="16" t="e">
        <f t="shared" si="1"/>
        <v>#N/A</v>
      </c>
      <c r="F1848" s="16" t="e">
        <f t="shared" ref="F1848:K1848" si="3722">VLOOKUP($A1848,[6]Gobierno!$A$1:$O$234,F$1,0)</f>
        <v>#N/A</v>
      </c>
      <c r="G1848" s="39" t="e">
        <f t="shared" si="3722"/>
        <v>#N/A</v>
      </c>
      <c r="H1848" s="16" t="e">
        <f t="shared" si="3722"/>
        <v>#N/A</v>
      </c>
      <c r="I1848" s="16" t="e">
        <f t="shared" si="3722"/>
        <v>#N/A</v>
      </c>
      <c r="J1848" s="40" t="e">
        <f t="shared" si="3722"/>
        <v>#N/A</v>
      </c>
      <c r="K1848" s="16" t="e">
        <f t="shared" si="3722"/>
        <v>#N/A</v>
      </c>
      <c r="L1848" s="40" t="e">
        <f t="shared" si="3629"/>
        <v>#N/A</v>
      </c>
      <c r="M1848" s="16" t="e">
        <f t="shared" si="3630"/>
        <v>#N/A</v>
      </c>
      <c r="N1848" s="16" t="e">
        <f t="shared" si="3631"/>
        <v>#N/A</v>
      </c>
      <c r="O1848" s="16" t="s">
        <v>70</v>
      </c>
      <c r="P1848" s="16" t="str">
        <f t="shared" si="6"/>
        <v/>
      </c>
      <c r="Q1848" s="41" t="e">
        <f t="shared" si="3632"/>
        <v>#N/A</v>
      </c>
      <c r="R1848" s="44"/>
      <c r="S1848" s="44"/>
      <c r="T1848" s="43"/>
      <c r="U1848" s="43" t="str">
        <f t="shared" si="8"/>
        <v>No</v>
      </c>
      <c r="V1848" s="25"/>
      <c r="W1848" s="25"/>
      <c r="X1848" s="25"/>
      <c r="Y1848" s="25"/>
      <c r="Z1848" s="25"/>
    </row>
    <row r="1849" spans="1:26" ht="15.75" customHeight="1" x14ac:dyDescent="0.25">
      <c r="A1849" s="25">
        <v>1847</v>
      </c>
      <c r="B1849" s="37" t="e">
        <f t="shared" ref="B1849:D1849" si="3723">VLOOKUP($A1849,[6]Gobierno!$A$1:$O$234,B$1,0)</f>
        <v>#N/A</v>
      </c>
      <c r="C1849" s="38" t="e">
        <f t="shared" si="3723"/>
        <v>#N/A</v>
      </c>
      <c r="D1849" s="39" t="e">
        <f t="shared" si="3723"/>
        <v>#N/A</v>
      </c>
      <c r="E1849" s="16" t="e">
        <f t="shared" si="1"/>
        <v>#N/A</v>
      </c>
      <c r="F1849" s="16" t="e">
        <f t="shared" ref="F1849:K1849" si="3724">VLOOKUP($A1849,[6]Gobierno!$A$1:$O$234,F$1,0)</f>
        <v>#N/A</v>
      </c>
      <c r="G1849" s="39" t="e">
        <f t="shared" si="3724"/>
        <v>#N/A</v>
      </c>
      <c r="H1849" s="16" t="e">
        <f t="shared" si="3724"/>
        <v>#N/A</v>
      </c>
      <c r="I1849" s="16" t="e">
        <f t="shared" si="3724"/>
        <v>#N/A</v>
      </c>
      <c r="J1849" s="40" t="e">
        <f t="shared" si="3724"/>
        <v>#N/A</v>
      </c>
      <c r="K1849" s="16" t="e">
        <f t="shared" si="3724"/>
        <v>#N/A</v>
      </c>
      <c r="L1849" s="40" t="e">
        <f t="shared" si="3629"/>
        <v>#N/A</v>
      </c>
      <c r="M1849" s="16" t="e">
        <f t="shared" si="3630"/>
        <v>#N/A</v>
      </c>
      <c r="N1849" s="16" t="e">
        <f t="shared" si="3631"/>
        <v>#N/A</v>
      </c>
      <c r="O1849" s="16" t="s">
        <v>70</v>
      </c>
      <c r="P1849" s="16" t="str">
        <f t="shared" si="6"/>
        <v/>
      </c>
      <c r="Q1849" s="41" t="e">
        <f t="shared" si="3632"/>
        <v>#N/A</v>
      </c>
      <c r="R1849" s="44"/>
      <c r="S1849" s="44"/>
      <c r="T1849" s="43"/>
      <c r="U1849" s="43" t="str">
        <f t="shared" si="8"/>
        <v>No</v>
      </c>
      <c r="V1849" s="25"/>
      <c r="W1849" s="25"/>
      <c r="X1849" s="25"/>
      <c r="Y1849" s="25"/>
      <c r="Z1849" s="25"/>
    </row>
    <row r="1850" spans="1:26" ht="15.75" customHeight="1" x14ac:dyDescent="0.25">
      <c r="A1850" s="25">
        <v>1848</v>
      </c>
      <c r="B1850" s="37" t="e">
        <f t="shared" ref="B1850:D1850" si="3725">VLOOKUP($A1850,[6]Gobierno!$A$1:$O$234,B$1,0)</f>
        <v>#N/A</v>
      </c>
      <c r="C1850" s="38" t="e">
        <f t="shared" si="3725"/>
        <v>#N/A</v>
      </c>
      <c r="D1850" s="39" t="e">
        <f t="shared" si="3725"/>
        <v>#N/A</v>
      </c>
      <c r="E1850" s="16" t="e">
        <f t="shared" si="1"/>
        <v>#N/A</v>
      </c>
      <c r="F1850" s="16" t="e">
        <f t="shared" ref="F1850:K1850" si="3726">VLOOKUP($A1850,[6]Gobierno!$A$1:$O$234,F$1,0)</f>
        <v>#N/A</v>
      </c>
      <c r="G1850" s="39" t="e">
        <f t="shared" si="3726"/>
        <v>#N/A</v>
      </c>
      <c r="H1850" s="16" t="e">
        <f t="shared" si="3726"/>
        <v>#N/A</v>
      </c>
      <c r="I1850" s="16" t="e">
        <f t="shared" si="3726"/>
        <v>#N/A</v>
      </c>
      <c r="J1850" s="40" t="e">
        <f t="shared" si="3726"/>
        <v>#N/A</v>
      </c>
      <c r="K1850" s="16" t="e">
        <f t="shared" si="3726"/>
        <v>#N/A</v>
      </c>
      <c r="L1850" s="40" t="e">
        <f t="shared" si="3629"/>
        <v>#N/A</v>
      </c>
      <c r="M1850" s="16" t="e">
        <f t="shared" si="3630"/>
        <v>#N/A</v>
      </c>
      <c r="N1850" s="16" t="e">
        <f t="shared" si="3631"/>
        <v>#N/A</v>
      </c>
      <c r="O1850" s="16" t="s">
        <v>70</v>
      </c>
      <c r="P1850" s="16" t="str">
        <f t="shared" si="6"/>
        <v/>
      </c>
      <c r="Q1850" s="41" t="e">
        <f t="shared" si="3632"/>
        <v>#N/A</v>
      </c>
      <c r="R1850" s="44"/>
      <c r="S1850" s="44"/>
      <c r="T1850" s="43"/>
      <c r="U1850" s="43" t="str">
        <f t="shared" si="8"/>
        <v>No</v>
      </c>
      <c r="V1850" s="25"/>
      <c r="W1850" s="25"/>
      <c r="X1850" s="25"/>
      <c r="Y1850" s="25"/>
      <c r="Z1850" s="25"/>
    </row>
    <row r="1851" spans="1:26" ht="15.75" customHeight="1" x14ac:dyDescent="0.25">
      <c r="A1851" s="25">
        <v>1849</v>
      </c>
      <c r="B1851" s="37" t="e">
        <f t="shared" ref="B1851:D1851" si="3727">VLOOKUP($A1851,[6]Gobierno!$A$1:$O$234,B$1,0)</f>
        <v>#N/A</v>
      </c>
      <c r="C1851" s="38" t="e">
        <f t="shared" si="3727"/>
        <v>#N/A</v>
      </c>
      <c r="D1851" s="39" t="e">
        <f t="shared" si="3727"/>
        <v>#N/A</v>
      </c>
      <c r="E1851" s="16" t="e">
        <f t="shared" si="1"/>
        <v>#N/A</v>
      </c>
      <c r="F1851" s="16" t="e">
        <f t="shared" ref="F1851:K1851" si="3728">VLOOKUP($A1851,[6]Gobierno!$A$1:$O$234,F$1,0)</f>
        <v>#N/A</v>
      </c>
      <c r="G1851" s="39" t="e">
        <f t="shared" si="3728"/>
        <v>#N/A</v>
      </c>
      <c r="H1851" s="16" t="e">
        <f t="shared" si="3728"/>
        <v>#N/A</v>
      </c>
      <c r="I1851" s="16" t="e">
        <f t="shared" si="3728"/>
        <v>#N/A</v>
      </c>
      <c r="J1851" s="40" t="e">
        <f t="shared" si="3728"/>
        <v>#N/A</v>
      </c>
      <c r="K1851" s="16" t="e">
        <f t="shared" si="3728"/>
        <v>#N/A</v>
      </c>
      <c r="L1851" s="40" t="e">
        <f t="shared" si="3629"/>
        <v>#N/A</v>
      </c>
      <c r="M1851" s="16" t="e">
        <f t="shared" si="3630"/>
        <v>#N/A</v>
      </c>
      <c r="N1851" s="16" t="e">
        <f t="shared" si="3631"/>
        <v>#N/A</v>
      </c>
      <c r="O1851" s="16" t="s">
        <v>70</v>
      </c>
      <c r="P1851" s="16" t="str">
        <f t="shared" si="6"/>
        <v/>
      </c>
      <c r="Q1851" s="41" t="e">
        <f t="shared" si="3632"/>
        <v>#N/A</v>
      </c>
      <c r="R1851" s="44"/>
      <c r="S1851" s="44"/>
      <c r="T1851" s="43"/>
      <c r="U1851" s="43" t="str">
        <f t="shared" si="8"/>
        <v>No</v>
      </c>
      <c r="V1851" s="25"/>
      <c r="W1851" s="25"/>
      <c r="X1851" s="25"/>
      <c r="Y1851" s="25"/>
      <c r="Z1851" s="25"/>
    </row>
    <row r="1852" spans="1:26" ht="15.75" customHeight="1" x14ac:dyDescent="0.25">
      <c r="A1852" s="25">
        <v>1850</v>
      </c>
      <c r="B1852" s="37" t="e">
        <f t="shared" ref="B1852:D1852" si="3729">VLOOKUP($A1852,[6]Gobierno!$A$1:$O$234,B$1,0)</f>
        <v>#N/A</v>
      </c>
      <c r="C1852" s="38" t="e">
        <f t="shared" si="3729"/>
        <v>#N/A</v>
      </c>
      <c r="D1852" s="39" t="e">
        <f t="shared" si="3729"/>
        <v>#N/A</v>
      </c>
      <c r="E1852" s="16" t="e">
        <f t="shared" si="1"/>
        <v>#N/A</v>
      </c>
      <c r="F1852" s="16" t="e">
        <f t="shared" ref="F1852:K1852" si="3730">VLOOKUP($A1852,[6]Gobierno!$A$1:$O$234,F$1,0)</f>
        <v>#N/A</v>
      </c>
      <c r="G1852" s="39" t="e">
        <f t="shared" si="3730"/>
        <v>#N/A</v>
      </c>
      <c r="H1852" s="16" t="e">
        <f t="shared" si="3730"/>
        <v>#N/A</v>
      </c>
      <c r="I1852" s="16" t="e">
        <f t="shared" si="3730"/>
        <v>#N/A</v>
      </c>
      <c r="J1852" s="40" t="e">
        <f t="shared" si="3730"/>
        <v>#N/A</v>
      </c>
      <c r="K1852" s="16" t="e">
        <f t="shared" si="3730"/>
        <v>#N/A</v>
      </c>
      <c r="L1852" s="40" t="e">
        <f t="shared" si="3629"/>
        <v>#N/A</v>
      </c>
      <c r="M1852" s="16" t="e">
        <f t="shared" si="3630"/>
        <v>#N/A</v>
      </c>
      <c r="N1852" s="16" t="e">
        <f t="shared" si="3631"/>
        <v>#N/A</v>
      </c>
      <c r="O1852" s="16" t="s">
        <v>70</v>
      </c>
      <c r="P1852" s="16" t="str">
        <f t="shared" si="6"/>
        <v/>
      </c>
      <c r="Q1852" s="41" t="e">
        <f t="shared" si="3632"/>
        <v>#N/A</v>
      </c>
      <c r="R1852" s="44"/>
      <c r="S1852" s="44"/>
      <c r="T1852" s="43"/>
      <c r="U1852" s="43" t="str">
        <f t="shared" si="8"/>
        <v>No</v>
      </c>
      <c r="V1852" s="25"/>
      <c r="W1852" s="25"/>
      <c r="X1852" s="25"/>
      <c r="Y1852" s="25"/>
      <c r="Z1852" s="25"/>
    </row>
    <row r="1853" spans="1:26" ht="15.75" customHeight="1" x14ac:dyDescent="0.25">
      <c r="A1853" s="25">
        <v>1851</v>
      </c>
      <c r="B1853" s="37" t="e">
        <f t="shared" ref="B1853:D1853" si="3731">VLOOKUP($A1853,[6]Gobierno!$A$1:$O$234,B$1,0)</f>
        <v>#N/A</v>
      </c>
      <c r="C1853" s="38" t="e">
        <f t="shared" si="3731"/>
        <v>#N/A</v>
      </c>
      <c r="D1853" s="39" t="e">
        <f t="shared" si="3731"/>
        <v>#N/A</v>
      </c>
      <c r="E1853" s="16" t="e">
        <f t="shared" si="1"/>
        <v>#N/A</v>
      </c>
      <c r="F1853" s="16" t="e">
        <f t="shared" ref="F1853:K1853" si="3732">VLOOKUP($A1853,[6]Gobierno!$A$1:$O$234,F$1,0)</f>
        <v>#N/A</v>
      </c>
      <c r="G1853" s="39" t="e">
        <f t="shared" si="3732"/>
        <v>#N/A</v>
      </c>
      <c r="H1853" s="16" t="e">
        <f t="shared" si="3732"/>
        <v>#N/A</v>
      </c>
      <c r="I1853" s="16" t="e">
        <f t="shared" si="3732"/>
        <v>#N/A</v>
      </c>
      <c r="J1853" s="40" t="e">
        <f t="shared" si="3732"/>
        <v>#N/A</v>
      </c>
      <c r="K1853" s="16" t="e">
        <f t="shared" si="3732"/>
        <v>#N/A</v>
      </c>
      <c r="L1853" s="40" t="e">
        <f t="shared" si="3629"/>
        <v>#N/A</v>
      </c>
      <c r="M1853" s="16" t="e">
        <f t="shared" si="3630"/>
        <v>#N/A</v>
      </c>
      <c r="N1853" s="16" t="e">
        <f t="shared" si="3631"/>
        <v>#N/A</v>
      </c>
      <c r="O1853" s="16" t="s">
        <v>70</v>
      </c>
      <c r="P1853" s="16" t="str">
        <f t="shared" si="6"/>
        <v/>
      </c>
      <c r="Q1853" s="41" t="e">
        <f t="shared" si="3632"/>
        <v>#N/A</v>
      </c>
      <c r="R1853" s="44"/>
      <c r="S1853" s="44"/>
      <c r="T1853" s="43"/>
      <c r="U1853" s="43" t="str">
        <f t="shared" si="8"/>
        <v>No</v>
      </c>
      <c r="V1853" s="25"/>
      <c r="W1853" s="25"/>
      <c r="X1853" s="25"/>
      <c r="Y1853" s="25"/>
      <c r="Z1853" s="25"/>
    </row>
    <row r="1854" spans="1:26" ht="15.75" customHeight="1" x14ac:dyDescent="0.25">
      <c r="A1854" s="25">
        <v>1852</v>
      </c>
      <c r="B1854" s="37" t="e">
        <f t="shared" ref="B1854:D1854" si="3733">VLOOKUP($A1854,[6]Gobierno!$A$1:$O$234,B$1,0)</f>
        <v>#N/A</v>
      </c>
      <c r="C1854" s="38" t="e">
        <f t="shared" si="3733"/>
        <v>#N/A</v>
      </c>
      <c r="D1854" s="39" t="e">
        <f t="shared" si="3733"/>
        <v>#N/A</v>
      </c>
      <c r="E1854" s="16" t="e">
        <f t="shared" si="1"/>
        <v>#N/A</v>
      </c>
      <c r="F1854" s="16" t="e">
        <f t="shared" ref="F1854:K1854" si="3734">VLOOKUP($A1854,[6]Gobierno!$A$1:$O$234,F$1,0)</f>
        <v>#N/A</v>
      </c>
      <c r="G1854" s="39" t="e">
        <f t="shared" si="3734"/>
        <v>#N/A</v>
      </c>
      <c r="H1854" s="16" t="e">
        <f t="shared" si="3734"/>
        <v>#N/A</v>
      </c>
      <c r="I1854" s="16" t="e">
        <f t="shared" si="3734"/>
        <v>#N/A</v>
      </c>
      <c r="J1854" s="40" t="e">
        <f t="shared" si="3734"/>
        <v>#N/A</v>
      </c>
      <c r="K1854" s="16" t="e">
        <f t="shared" si="3734"/>
        <v>#N/A</v>
      </c>
      <c r="L1854" s="40" t="e">
        <f t="shared" si="3629"/>
        <v>#N/A</v>
      </c>
      <c r="M1854" s="16" t="e">
        <f t="shared" si="3630"/>
        <v>#N/A</v>
      </c>
      <c r="N1854" s="16" t="e">
        <f t="shared" si="3631"/>
        <v>#N/A</v>
      </c>
      <c r="O1854" s="16" t="s">
        <v>70</v>
      </c>
      <c r="P1854" s="16" t="str">
        <f t="shared" si="6"/>
        <v/>
      </c>
      <c r="Q1854" s="41" t="e">
        <f t="shared" si="3632"/>
        <v>#N/A</v>
      </c>
      <c r="R1854" s="44"/>
      <c r="S1854" s="44"/>
      <c r="T1854" s="43"/>
      <c r="U1854" s="43" t="str">
        <f t="shared" si="8"/>
        <v>No</v>
      </c>
      <c r="V1854" s="25"/>
      <c r="W1854" s="25"/>
      <c r="X1854" s="25"/>
      <c r="Y1854" s="25"/>
      <c r="Z1854" s="25"/>
    </row>
    <row r="1855" spans="1:26" ht="15.75" customHeight="1" x14ac:dyDescent="0.25">
      <c r="A1855" s="25">
        <v>1853</v>
      </c>
      <c r="B1855" s="37" t="e">
        <f t="shared" ref="B1855:D1855" si="3735">VLOOKUP($A1855,[6]Gobierno!$A$1:$O$234,B$1,0)</f>
        <v>#N/A</v>
      </c>
      <c r="C1855" s="38" t="e">
        <f t="shared" si="3735"/>
        <v>#N/A</v>
      </c>
      <c r="D1855" s="39" t="e">
        <f t="shared" si="3735"/>
        <v>#N/A</v>
      </c>
      <c r="E1855" s="16" t="e">
        <f t="shared" si="1"/>
        <v>#N/A</v>
      </c>
      <c r="F1855" s="16" t="e">
        <f t="shared" ref="F1855:K1855" si="3736">VLOOKUP($A1855,[6]Gobierno!$A$1:$O$234,F$1,0)</f>
        <v>#N/A</v>
      </c>
      <c r="G1855" s="39" t="e">
        <f t="shared" si="3736"/>
        <v>#N/A</v>
      </c>
      <c r="H1855" s="16" t="e">
        <f t="shared" si="3736"/>
        <v>#N/A</v>
      </c>
      <c r="I1855" s="16" t="e">
        <f t="shared" si="3736"/>
        <v>#N/A</v>
      </c>
      <c r="J1855" s="40" t="e">
        <f t="shared" si="3736"/>
        <v>#N/A</v>
      </c>
      <c r="K1855" s="16" t="e">
        <f t="shared" si="3736"/>
        <v>#N/A</v>
      </c>
      <c r="L1855" s="40" t="e">
        <f t="shared" si="3629"/>
        <v>#N/A</v>
      </c>
      <c r="M1855" s="16" t="e">
        <f t="shared" si="3630"/>
        <v>#N/A</v>
      </c>
      <c r="N1855" s="16" t="e">
        <f t="shared" si="3631"/>
        <v>#N/A</v>
      </c>
      <c r="O1855" s="16" t="s">
        <v>70</v>
      </c>
      <c r="P1855" s="16" t="str">
        <f t="shared" si="6"/>
        <v/>
      </c>
      <c r="Q1855" s="41" t="e">
        <f t="shared" si="3632"/>
        <v>#N/A</v>
      </c>
      <c r="R1855" s="44"/>
      <c r="S1855" s="44"/>
      <c r="T1855" s="43"/>
      <c r="U1855" s="43" t="str">
        <f t="shared" si="8"/>
        <v>No</v>
      </c>
      <c r="V1855" s="25"/>
      <c r="W1855" s="25"/>
      <c r="X1855" s="25"/>
      <c r="Y1855" s="25"/>
      <c r="Z1855" s="25"/>
    </row>
    <row r="1856" spans="1:26" ht="15.75" customHeight="1" x14ac:dyDescent="0.25">
      <c r="A1856" s="25">
        <v>1854</v>
      </c>
      <c r="B1856" s="37" t="e">
        <f t="shared" ref="B1856:D1856" si="3737">VLOOKUP($A1856,[6]Gobierno!$A$1:$O$234,B$1,0)</f>
        <v>#N/A</v>
      </c>
      <c r="C1856" s="38" t="e">
        <f t="shared" si="3737"/>
        <v>#N/A</v>
      </c>
      <c r="D1856" s="39" t="e">
        <f t="shared" si="3737"/>
        <v>#N/A</v>
      </c>
      <c r="E1856" s="16" t="e">
        <f t="shared" si="1"/>
        <v>#N/A</v>
      </c>
      <c r="F1856" s="16" t="e">
        <f t="shared" ref="F1856:K1856" si="3738">VLOOKUP($A1856,[6]Gobierno!$A$1:$O$234,F$1,0)</f>
        <v>#N/A</v>
      </c>
      <c r="G1856" s="39" t="e">
        <f t="shared" si="3738"/>
        <v>#N/A</v>
      </c>
      <c r="H1856" s="16" t="e">
        <f t="shared" si="3738"/>
        <v>#N/A</v>
      </c>
      <c r="I1856" s="16" t="e">
        <f t="shared" si="3738"/>
        <v>#N/A</v>
      </c>
      <c r="J1856" s="40" t="e">
        <f t="shared" si="3738"/>
        <v>#N/A</v>
      </c>
      <c r="K1856" s="16" t="e">
        <f t="shared" si="3738"/>
        <v>#N/A</v>
      </c>
      <c r="L1856" s="40" t="e">
        <f t="shared" si="3629"/>
        <v>#N/A</v>
      </c>
      <c r="M1856" s="16" t="e">
        <f t="shared" si="3630"/>
        <v>#N/A</v>
      </c>
      <c r="N1856" s="16" t="e">
        <f t="shared" si="3631"/>
        <v>#N/A</v>
      </c>
      <c r="O1856" s="16" t="s">
        <v>70</v>
      </c>
      <c r="P1856" s="16" t="str">
        <f t="shared" si="6"/>
        <v/>
      </c>
      <c r="Q1856" s="41" t="e">
        <f t="shared" si="3632"/>
        <v>#N/A</v>
      </c>
      <c r="R1856" s="44"/>
      <c r="S1856" s="44"/>
      <c r="T1856" s="43"/>
      <c r="U1856" s="43" t="str">
        <f t="shared" si="8"/>
        <v>No</v>
      </c>
      <c r="V1856" s="25"/>
      <c r="W1856" s="25"/>
      <c r="X1856" s="25"/>
      <c r="Y1856" s="25"/>
      <c r="Z1856" s="25"/>
    </row>
    <row r="1857" spans="1:26" ht="15.75" customHeight="1" x14ac:dyDescent="0.25">
      <c r="A1857" s="25">
        <v>1855</v>
      </c>
      <c r="B1857" s="37" t="e">
        <f t="shared" ref="B1857:D1857" si="3739">VLOOKUP($A1857,[6]Gobierno!$A$1:$O$234,B$1,0)</f>
        <v>#N/A</v>
      </c>
      <c r="C1857" s="38" t="e">
        <f t="shared" si="3739"/>
        <v>#N/A</v>
      </c>
      <c r="D1857" s="39" t="e">
        <f t="shared" si="3739"/>
        <v>#N/A</v>
      </c>
      <c r="E1857" s="16" t="e">
        <f t="shared" si="1"/>
        <v>#N/A</v>
      </c>
      <c r="F1857" s="16" t="e">
        <f t="shared" ref="F1857:K1857" si="3740">VLOOKUP($A1857,[6]Gobierno!$A$1:$O$234,F$1,0)</f>
        <v>#N/A</v>
      </c>
      <c r="G1857" s="39" t="e">
        <f t="shared" si="3740"/>
        <v>#N/A</v>
      </c>
      <c r="H1857" s="16" t="e">
        <f t="shared" si="3740"/>
        <v>#N/A</v>
      </c>
      <c r="I1857" s="16" t="e">
        <f t="shared" si="3740"/>
        <v>#N/A</v>
      </c>
      <c r="J1857" s="40" t="e">
        <f t="shared" si="3740"/>
        <v>#N/A</v>
      </c>
      <c r="K1857" s="16" t="e">
        <f t="shared" si="3740"/>
        <v>#N/A</v>
      </c>
      <c r="L1857" s="40" t="e">
        <f t="shared" si="3629"/>
        <v>#N/A</v>
      </c>
      <c r="M1857" s="16" t="e">
        <f t="shared" si="3630"/>
        <v>#N/A</v>
      </c>
      <c r="N1857" s="16" t="e">
        <f t="shared" si="3631"/>
        <v>#N/A</v>
      </c>
      <c r="O1857" s="16" t="s">
        <v>70</v>
      </c>
      <c r="P1857" s="16" t="str">
        <f t="shared" si="6"/>
        <v/>
      </c>
      <c r="Q1857" s="41" t="e">
        <f t="shared" si="3632"/>
        <v>#N/A</v>
      </c>
      <c r="R1857" s="44"/>
      <c r="S1857" s="44"/>
      <c r="T1857" s="43"/>
      <c r="U1857" s="43" t="str">
        <f t="shared" si="8"/>
        <v>No</v>
      </c>
      <c r="V1857" s="25"/>
      <c r="W1857" s="25"/>
      <c r="X1857" s="25"/>
      <c r="Y1857" s="25"/>
      <c r="Z1857" s="25"/>
    </row>
    <row r="1858" spans="1:26" ht="15.75" customHeight="1" x14ac:dyDescent="0.25">
      <c r="A1858" s="25">
        <v>1856</v>
      </c>
      <c r="B1858" s="37" t="e">
        <f t="shared" ref="B1858:D1858" si="3741">VLOOKUP($A1858,[6]Gobierno!$A$1:$O$234,B$1,0)</f>
        <v>#N/A</v>
      </c>
      <c r="C1858" s="38" t="e">
        <f t="shared" si="3741"/>
        <v>#N/A</v>
      </c>
      <c r="D1858" s="39" t="e">
        <f t="shared" si="3741"/>
        <v>#N/A</v>
      </c>
      <c r="E1858" s="16" t="e">
        <f t="shared" si="1"/>
        <v>#N/A</v>
      </c>
      <c r="F1858" s="16" t="e">
        <f t="shared" ref="F1858:K1858" si="3742">VLOOKUP($A1858,[6]Gobierno!$A$1:$O$234,F$1,0)</f>
        <v>#N/A</v>
      </c>
      <c r="G1858" s="39" t="e">
        <f t="shared" si="3742"/>
        <v>#N/A</v>
      </c>
      <c r="H1858" s="16" t="e">
        <f t="shared" si="3742"/>
        <v>#N/A</v>
      </c>
      <c r="I1858" s="16" t="e">
        <f t="shared" si="3742"/>
        <v>#N/A</v>
      </c>
      <c r="J1858" s="40" t="e">
        <f t="shared" si="3742"/>
        <v>#N/A</v>
      </c>
      <c r="K1858" s="16" t="e">
        <f t="shared" si="3742"/>
        <v>#N/A</v>
      </c>
      <c r="L1858" s="40" t="e">
        <f t="shared" si="3629"/>
        <v>#N/A</v>
      </c>
      <c r="M1858" s="16" t="e">
        <f t="shared" si="3630"/>
        <v>#N/A</v>
      </c>
      <c r="N1858" s="16" t="e">
        <f t="shared" si="3631"/>
        <v>#N/A</v>
      </c>
      <c r="O1858" s="16" t="s">
        <v>70</v>
      </c>
      <c r="P1858" s="16" t="str">
        <f t="shared" si="6"/>
        <v/>
      </c>
      <c r="Q1858" s="41" t="e">
        <f t="shared" si="3632"/>
        <v>#N/A</v>
      </c>
      <c r="R1858" s="44"/>
      <c r="S1858" s="44"/>
      <c r="T1858" s="43"/>
      <c r="U1858" s="43" t="str">
        <f t="shared" si="8"/>
        <v>No</v>
      </c>
      <c r="V1858" s="25"/>
      <c r="W1858" s="25"/>
      <c r="X1858" s="25"/>
      <c r="Y1858" s="25"/>
      <c r="Z1858" s="25"/>
    </row>
    <row r="1859" spans="1:26" ht="15.75" customHeight="1" x14ac:dyDescent="0.25">
      <c r="A1859" s="25">
        <v>1857</v>
      </c>
      <c r="B1859" s="37" t="e">
        <f t="shared" ref="B1859:D1859" si="3743">VLOOKUP($A1859,[6]Gobierno!$A$1:$O$234,B$1,0)</f>
        <v>#N/A</v>
      </c>
      <c r="C1859" s="38" t="e">
        <f t="shared" si="3743"/>
        <v>#N/A</v>
      </c>
      <c r="D1859" s="39" t="e">
        <f t="shared" si="3743"/>
        <v>#N/A</v>
      </c>
      <c r="E1859" s="16" t="e">
        <f t="shared" si="1"/>
        <v>#N/A</v>
      </c>
      <c r="F1859" s="16" t="e">
        <f t="shared" ref="F1859:K1859" si="3744">VLOOKUP($A1859,[6]Gobierno!$A$1:$O$234,F$1,0)</f>
        <v>#N/A</v>
      </c>
      <c r="G1859" s="39" t="e">
        <f t="shared" si="3744"/>
        <v>#N/A</v>
      </c>
      <c r="H1859" s="16" t="e">
        <f t="shared" si="3744"/>
        <v>#N/A</v>
      </c>
      <c r="I1859" s="16" t="e">
        <f t="shared" si="3744"/>
        <v>#N/A</v>
      </c>
      <c r="J1859" s="40" t="e">
        <f t="shared" si="3744"/>
        <v>#N/A</v>
      </c>
      <c r="K1859" s="16" t="e">
        <f t="shared" si="3744"/>
        <v>#N/A</v>
      </c>
      <c r="L1859" s="40" t="e">
        <f t="shared" si="3629"/>
        <v>#N/A</v>
      </c>
      <c r="M1859" s="16" t="e">
        <f t="shared" si="3630"/>
        <v>#N/A</v>
      </c>
      <c r="N1859" s="16" t="e">
        <f t="shared" si="3631"/>
        <v>#N/A</v>
      </c>
      <c r="O1859" s="16" t="s">
        <v>70</v>
      </c>
      <c r="P1859" s="16" t="str">
        <f t="shared" si="6"/>
        <v/>
      </c>
      <c r="Q1859" s="41" t="e">
        <f t="shared" si="3632"/>
        <v>#N/A</v>
      </c>
      <c r="R1859" s="44"/>
      <c r="S1859" s="44"/>
      <c r="T1859" s="43"/>
      <c r="U1859" s="43" t="str">
        <f t="shared" si="8"/>
        <v>No</v>
      </c>
      <c r="V1859" s="25"/>
      <c r="W1859" s="25"/>
      <c r="X1859" s="25"/>
      <c r="Y1859" s="25"/>
      <c r="Z1859" s="25"/>
    </row>
    <row r="1860" spans="1:26" ht="15.75" customHeight="1" x14ac:dyDescent="0.25">
      <c r="A1860" s="25">
        <v>1858</v>
      </c>
      <c r="B1860" s="37" t="e">
        <f t="shared" ref="B1860:D1860" si="3745">VLOOKUP($A1860,[6]Gobierno!$A$1:$O$234,B$1,0)</f>
        <v>#N/A</v>
      </c>
      <c r="C1860" s="38" t="e">
        <f t="shared" si="3745"/>
        <v>#N/A</v>
      </c>
      <c r="D1860" s="39" t="e">
        <f t="shared" si="3745"/>
        <v>#N/A</v>
      </c>
      <c r="E1860" s="16" t="e">
        <f t="shared" si="1"/>
        <v>#N/A</v>
      </c>
      <c r="F1860" s="16" t="e">
        <f t="shared" ref="F1860:K1860" si="3746">VLOOKUP($A1860,[6]Gobierno!$A$1:$O$234,F$1,0)</f>
        <v>#N/A</v>
      </c>
      <c r="G1860" s="39" t="e">
        <f t="shared" si="3746"/>
        <v>#N/A</v>
      </c>
      <c r="H1860" s="16" t="e">
        <f t="shared" si="3746"/>
        <v>#N/A</v>
      </c>
      <c r="I1860" s="16" t="e">
        <f t="shared" si="3746"/>
        <v>#N/A</v>
      </c>
      <c r="J1860" s="40" t="e">
        <f t="shared" si="3746"/>
        <v>#N/A</v>
      </c>
      <c r="K1860" s="16" t="e">
        <f t="shared" si="3746"/>
        <v>#N/A</v>
      </c>
      <c r="L1860" s="40" t="e">
        <f t="shared" si="3629"/>
        <v>#N/A</v>
      </c>
      <c r="M1860" s="16" t="e">
        <f t="shared" si="3630"/>
        <v>#N/A</v>
      </c>
      <c r="N1860" s="16" t="e">
        <f t="shared" si="3631"/>
        <v>#N/A</v>
      </c>
      <c r="O1860" s="16" t="s">
        <v>70</v>
      </c>
      <c r="P1860" s="16" t="str">
        <f t="shared" si="6"/>
        <v/>
      </c>
      <c r="Q1860" s="41" t="e">
        <f t="shared" si="3632"/>
        <v>#N/A</v>
      </c>
      <c r="R1860" s="44"/>
      <c r="S1860" s="44"/>
      <c r="T1860" s="43"/>
      <c r="U1860" s="43" t="str">
        <f t="shared" si="8"/>
        <v>No</v>
      </c>
      <c r="V1860" s="25"/>
      <c r="W1860" s="25"/>
      <c r="X1860" s="25"/>
      <c r="Y1860" s="25"/>
      <c r="Z1860" s="25"/>
    </row>
    <row r="1861" spans="1:26" ht="15.75" customHeight="1" x14ac:dyDescent="0.25">
      <c r="A1861" s="25">
        <v>1859</v>
      </c>
      <c r="B1861" s="37" t="e">
        <f t="shared" ref="B1861:D1861" si="3747">VLOOKUP($A1861,[6]Gobierno!$A$1:$O$234,B$1,0)</f>
        <v>#N/A</v>
      </c>
      <c r="C1861" s="38" t="e">
        <f t="shared" si="3747"/>
        <v>#N/A</v>
      </c>
      <c r="D1861" s="39" t="e">
        <f t="shared" si="3747"/>
        <v>#N/A</v>
      </c>
      <c r="E1861" s="16" t="e">
        <f t="shared" si="1"/>
        <v>#N/A</v>
      </c>
      <c r="F1861" s="16" t="e">
        <f t="shared" ref="F1861:K1861" si="3748">VLOOKUP($A1861,[6]Gobierno!$A$1:$O$234,F$1,0)</f>
        <v>#N/A</v>
      </c>
      <c r="G1861" s="39" t="e">
        <f t="shared" si="3748"/>
        <v>#N/A</v>
      </c>
      <c r="H1861" s="16" t="e">
        <f t="shared" si="3748"/>
        <v>#N/A</v>
      </c>
      <c r="I1861" s="16" t="e">
        <f t="shared" si="3748"/>
        <v>#N/A</v>
      </c>
      <c r="J1861" s="40" t="e">
        <f t="shared" si="3748"/>
        <v>#N/A</v>
      </c>
      <c r="K1861" s="16" t="e">
        <f t="shared" si="3748"/>
        <v>#N/A</v>
      </c>
      <c r="L1861" s="40" t="e">
        <f t="shared" si="3629"/>
        <v>#N/A</v>
      </c>
      <c r="M1861" s="16" t="e">
        <f t="shared" si="3630"/>
        <v>#N/A</v>
      </c>
      <c r="N1861" s="16" t="e">
        <f t="shared" si="3631"/>
        <v>#N/A</v>
      </c>
      <c r="O1861" s="16" t="s">
        <v>70</v>
      </c>
      <c r="P1861" s="16" t="str">
        <f t="shared" si="6"/>
        <v/>
      </c>
      <c r="Q1861" s="41" t="e">
        <f t="shared" si="3632"/>
        <v>#N/A</v>
      </c>
      <c r="R1861" s="44"/>
      <c r="S1861" s="44"/>
      <c r="T1861" s="43"/>
      <c r="U1861" s="43" t="str">
        <f t="shared" si="8"/>
        <v>No</v>
      </c>
      <c r="V1861" s="25"/>
      <c r="W1861" s="25"/>
      <c r="X1861" s="25"/>
      <c r="Y1861" s="25"/>
      <c r="Z1861" s="25"/>
    </row>
    <row r="1862" spans="1:26" ht="15.75" customHeight="1" x14ac:dyDescent="0.25">
      <c r="A1862" s="25">
        <v>1860</v>
      </c>
      <c r="B1862" s="37" t="e">
        <f t="shared" ref="B1862:D1862" si="3749">VLOOKUP($A1862,[6]Gobierno!$A$1:$O$234,B$1,0)</f>
        <v>#N/A</v>
      </c>
      <c r="C1862" s="38" t="e">
        <f t="shared" si="3749"/>
        <v>#N/A</v>
      </c>
      <c r="D1862" s="39" t="e">
        <f t="shared" si="3749"/>
        <v>#N/A</v>
      </c>
      <c r="E1862" s="16" t="e">
        <f t="shared" si="1"/>
        <v>#N/A</v>
      </c>
      <c r="F1862" s="16" t="e">
        <f t="shared" ref="F1862:K1862" si="3750">VLOOKUP($A1862,[6]Gobierno!$A$1:$O$234,F$1,0)</f>
        <v>#N/A</v>
      </c>
      <c r="G1862" s="39" t="e">
        <f t="shared" si="3750"/>
        <v>#N/A</v>
      </c>
      <c r="H1862" s="16" t="e">
        <f t="shared" si="3750"/>
        <v>#N/A</v>
      </c>
      <c r="I1862" s="16" t="e">
        <f t="shared" si="3750"/>
        <v>#N/A</v>
      </c>
      <c r="J1862" s="40" t="e">
        <f t="shared" si="3750"/>
        <v>#N/A</v>
      </c>
      <c r="K1862" s="16" t="e">
        <f t="shared" si="3750"/>
        <v>#N/A</v>
      </c>
      <c r="L1862" s="40" t="e">
        <f t="shared" si="3629"/>
        <v>#N/A</v>
      </c>
      <c r="M1862" s="16" t="e">
        <f t="shared" si="3630"/>
        <v>#N/A</v>
      </c>
      <c r="N1862" s="16" t="e">
        <f t="shared" si="3631"/>
        <v>#N/A</v>
      </c>
      <c r="O1862" s="16" t="s">
        <v>70</v>
      </c>
      <c r="P1862" s="16" t="str">
        <f t="shared" si="6"/>
        <v/>
      </c>
      <c r="Q1862" s="41" t="e">
        <f t="shared" si="3632"/>
        <v>#N/A</v>
      </c>
      <c r="R1862" s="44"/>
      <c r="S1862" s="44"/>
      <c r="T1862" s="43"/>
      <c r="U1862" s="43" t="str">
        <f t="shared" si="8"/>
        <v>No</v>
      </c>
      <c r="V1862" s="25"/>
      <c r="W1862" s="25"/>
      <c r="X1862" s="25"/>
      <c r="Y1862" s="25"/>
      <c r="Z1862" s="25"/>
    </row>
    <row r="1863" spans="1:26" ht="15.75" customHeight="1" x14ac:dyDescent="0.25">
      <c r="A1863" s="25">
        <v>1861</v>
      </c>
      <c r="B1863" s="37" t="e">
        <f t="shared" ref="B1863:D1863" si="3751">VLOOKUP($A1863,[6]Gobierno!$A$1:$O$234,B$1,0)</f>
        <v>#N/A</v>
      </c>
      <c r="C1863" s="38" t="e">
        <f t="shared" si="3751"/>
        <v>#N/A</v>
      </c>
      <c r="D1863" s="39" t="e">
        <f t="shared" si="3751"/>
        <v>#N/A</v>
      </c>
      <c r="E1863" s="16" t="e">
        <f t="shared" si="1"/>
        <v>#N/A</v>
      </c>
      <c r="F1863" s="16" t="e">
        <f t="shared" ref="F1863:K1863" si="3752">VLOOKUP($A1863,[6]Gobierno!$A$1:$O$234,F$1,0)</f>
        <v>#N/A</v>
      </c>
      <c r="G1863" s="39" t="e">
        <f t="shared" si="3752"/>
        <v>#N/A</v>
      </c>
      <c r="H1863" s="16" t="e">
        <f t="shared" si="3752"/>
        <v>#N/A</v>
      </c>
      <c r="I1863" s="16" t="e">
        <f t="shared" si="3752"/>
        <v>#N/A</v>
      </c>
      <c r="J1863" s="40" t="e">
        <f t="shared" si="3752"/>
        <v>#N/A</v>
      </c>
      <c r="K1863" s="16" t="e">
        <f t="shared" si="3752"/>
        <v>#N/A</v>
      </c>
      <c r="L1863" s="40" t="e">
        <f t="shared" si="3629"/>
        <v>#N/A</v>
      </c>
      <c r="M1863" s="16" t="e">
        <f t="shared" si="3630"/>
        <v>#N/A</v>
      </c>
      <c r="N1863" s="16" t="e">
        <f t="shared" si="3631"/>
        <v>#N/A</v>
      </c>
      <c r="O1863" s="16" t="s">
        <v>70</v>
      </c>
      <c r="P1863" s="16" t="str">
        <f t="shared" si="6"/>
        <v/>
      </c>
      <c r="Q1863" s="41" t="e">
        <f t="shared" si="3632"/>
        <v>#N/A</v>
      </c>
      <c r="R1863" s="44"/>
      <c r="S1863" s="44"/>
      <c r="T1863" s="43"/>
      <c r="U1863" s="43" t="str">
        <f t="shared" si="8"/>
        <v>No</v>
      </c>
      <c r="V1863" s="25"/>
      <c r="W1863" s="25"/>
      <c r="X1863" s="25"/>
      <c r="Y1863" s="25"/>
      <c r="Z1863" s="25"/>
    </row>
    <row r="1864" spans="1:26" ht="15.75" customHeight="1" x14ac:dyDescent="0.25">
      <c r="A1864" s="25">
        <v>1862</v>
      </c>
      <c r="B1864" s="37" t="e">
        <f t="shared" ref="B1864:D1864" si="3753">VLOOKUP($A1864,[6]Gobierno!$A$1:$O$234,B$1,0)</f>
        <v>#N/A</v>
      </c>
      <c r="C1864" s="38" t="e">
        <f t="shared" si="3753"/>
        <v>#N/A</v>
      </c>
      <c r="D1864" s="39" t="e">
        <f t="shared" si="3753"/>
        <v>#N/A</v>
      </c>
      <c r="E1864" s="16" t="e">
        <f t="shared" si="1"/>
        <v>#N/A</v>
      </c>
      <c r="F1864" s="16" t="e">
        <f t="shared" ref="F1864:K1864" si="3754">VLOOKUP($A1864,[6]Gobierno!$A$1:$O$234,F$1,0)</f>
        <v>#N/A</v>
      </c>
      <c r="G1864" s="39" t="e">
        <f t="shared" si="3754"/>
        <v>#N/A</v>
      </c>
      <c r="H1864" s="16" t="e">
        <f t="shared" si="3754"/>
        <v>#N/A</v>
      </c>
      <c r="I1864" s="16" t="e">
        <f t="shared" si="3754"/>
        <v>#N/A</v>
      </c>
      <c r="J1864" s="40" t="e">
        <f t="shared" si="3754"/>
        <v>#N/A</v>
      </c>
      <c r="K1864" s="16" t="e">
        <f t="shared" si="3754"/>
        <v>#N/A</v>
      </c>
      <c r="L1864" s="40" t="e">
        <f t="shared" si="3629"/>
        <v>#N/A</v>
      </c>
      <c r="M1864" s="16" t="e">
        <f t="shared" si="3630"/>
        <v>#N/A</v>
      </c>
      <c r="N1864" s="16" t="e">
        <f t="shared" si="3631"/>
        <v>#N/A</v>
      </c>
      <c r="O1864" s="16" t="s">
        <v>70</v>
      </c>
      <c r="P1864" s="16" t="str">
        <f t="shared" si="6"/>
        <v/>
      </c>
      <c r="Q1864" s="41" t="e">
        <f t="shared" si="3632"/>
        <v>#N/A</v>
      </c>
      <c r="R1864" s="44"/>
      <c r="S1864" s="44"/>
      <c r="T1864" s="43"/>
      <c r="U1864" s="43" t="str">
        <f t="shared" si="8"/>
        <v>No</v>
      </c>
      <c r="V1864" s="25"/>
      <c r="W1864" s="25"/>
      <c r="X1864" s="25"/>
      <c r="Y1864" s="25"/>
      <c r="Z1864" s="25"/>
    </row>
    <row r="1865" spans="1:26" ht="15.75" customHeight="1" x14ac:dyDescent="0.25">
      <c r="A1865" s="25">
        <v>1863</v>
      </c>
      <c r="B1865" s="37" t="e">
        <f t="shared" ref="B1865:D1865" si="3755">VLOOKUP($A1865,[6]Gobierno!$A$1:$O$234,B$1,0)</f>
        <v>#N/A</v>
      </c>
      <c r="C1865" s="38" t="e">
        <f t="shared" si="3755"/>
        <v>#N/A</v>
      </c>
      <c r="D1865" s="39" t="e">
        <f t="shared" si="3755"/>
        <v>#N/A</v>
      </c>
      <c r="E1865" s="16" t="e">
        <f t="shared" si="1"/>
        <v>#N/A</v>
      </c>
      <c r="F1865" s="16" t="e">
        <f t="shared" ref="F1865:K1865" si="3756">VLOOKUP($A1865,[6]Gobierno!$A$1:$O$234,F$1,0)</f>
        <v>#N/A</v>
      </c>
      <c r="G1865" s="39" t="e">
        <f t="shared" si="3756"/>
        <v>#N/A</v>
      </c>
      <c r="H1865" s="16" t="e">
        <f t="shared" si="3756"/>
        <v>#N/A</v>
      </c>
      <c r="I1865" s="16" t="e">
        <f t="shared" si="3756"/>
        <v>#N/A</v>
      </c>
      <c r="J1865" s="40" t="e">
        <f t="shared" si="3756"/>
        <v>#N/A</v>
      </c>
      <c r="K1865" s="16" t="e">
        <f t="shared" si="3756"/>
        <v>#N/A</v>
      </c>
      <c r="L1865" s="40" t="e">
        <f t="shared" si="3629"/>
        <v>#N/A</v>
      </c>
      <c r="M1865" s="16" t="e">
        <f t="shared" si="3630"/>
        <v>#N/A</v>
      </c>
      <c r="N1865" s="16" t="e">
        <f t="shared" si="3631"/>
        <v>#N/A</v>
      </c>
      <c r="O1865" s="16" t="s">
        <v>70</v>
      </c>
      <c r="P1865" s="16" t="str">
        <f t="shared" si="6"/>
        <v/>
      </c>
      <c r="Q1865" s="41" t="e">
        <f t="shared" si="3632"/>
        <v>#N/A</v>
      </c>
      <c r="R1865" s="44"/>
      <c r="S1865" s="44"/>
      <c r="T1865" s="43"/>
      <c r="U1865" s="43" t="str">
        <f t="shared" si="8"/>
        <v>No</v>
      </c>
      <c r="V1865" s="25"/>
      <c r="W1865" s="25"/>
      <c r="X1865" s="25"/>
      <c r="Y1865" s="25"/>
      <c r="Z1865" s="25"/>
    </row>
    <row r="1866" spans="1:26" ht="15.75" customHeight="1" x14ac:dyDescent="0.25">
      <c r="A1866" s="25">
        <v>1864</v>
      </c>
      <c r="B1866" s="37" t="e">
        <f t="shared" ref="B1866:D1866" si="3757">VLOOKUP($A1866,[6]Gobierno!$A$1:$O$234,B$1,0)</f>
        <v>#N/A</v>
      </c>
      <c r="C1866" s="38" t="e">
        <f t="shared" si="3757"/>
        <v>#N/A</v>
      </c>
      <c r="D1866" s="39" t="e">
        <f t="shared" si="3757"/>
        <v>#N/A</v>
      </c>
      <c r="E1866" s="16" t="e">
        <f t="shared" si="1"/>
        <v>#N/A</v>
      </c>
      <c r="F1866" s="16" t="e">
        <f t="shared" ref="F1866:K1866" si="3758">VLOOKUP($A1866,[6]Gobierno!$A$1:$O$234,F$1,0)</f>
        <v>#N/A</v>
      </c>
      <c r="G1866" s="39" t="e">
        <f t="shared" si="3758"/>
        <v>#N/A</v>
      </c>
      <c r="H1866" s="16" t="e">
        <f t="shared" si="3758"/>
        <v>#N/A</v>
      </c>
      <c r="I1866" s="16" t="e">
        <f t="shared" si="3758"/>
        <v>#N/A</v>
      </c>
      <c r="J1866" s="40" t="e">
        <f t="shared" si="3758"/>
        <v>#N/A</v>
      </c>
      <c r="K1866" s="16" t="e">
        <f t="shared" si="3758"/>
        <v>#N/A</v>
      </c>
      <c r="L1866" s="40" t="e">
        <f t="shared" si="3629"/>
        <v>#N/A</v>
      </c>
      <c r="M1866" s="16" t="e">
        <f t="shared" si="3630"/>
        <v>#N/A</v>
      </c>
      <c r="N1866" s="16" t="e">
        <f t="shared" si="3631"/>
        <v>#N/A</v>
      </c>
      <c r="O1866" s="16" t="s">
        <v>70</v>
      </c>
      <c r="P1866" s="16" t="str">
        <f t="shared" si="6"/>
        <v/>
      </c>
      <c r="Q1866" s="41" t="e">
        <f t="shared" si="3632"/>
        <v>#N/A</v>
      </c>
      <c r="R1866" s="44"/>
      <c r="S1866" s="44"/>
      <c r="T1866" s="43"/>
      <c r="U1866" s="43" t="str">
        <f t="shared" si="8"/>
        <v>No</v>
      </c>
      <c r="V1866" s="25"/>
      <c r="W1866" s="25"/>
      <c r="X1866" s="25"/>
      <c r="Y1866" s="25"/>
      <c r="Z1866" s="25"/>
    </row>
    <row r="1867" spans="1:26" ht="15.75" customHeight="1" x14ac:dyDescent="0.25">
      <c r="A1867" s="25">
        <v>1865</v>
      </c>
      <c r="B1867" s="37" t="e">
        <f t="shared" ref="B1867:D1867" si="3759">VLOOKUP($A1867,[6]Gobierno!$A$1:$O$234,B$1,0)</f>
        <v>#N/A</v>
      </c>
      <c r="C1867" s="38" t="e">
        <f t="shared" si="3759"/>
        <v>#N/A</v>
      </c>
      <c r="D1867" s="39" t="e">
        <f t="shared" si="3759"/>
        <v>#N/A</v>
      </c>
      <c r="E1867" s="16" t="e">
        <f t="shared" si="1"/>
        <v>#N/A</v>
      </c>
      <c r="F1867" s="16" t="e">
        <f t="shared" ref="F1867:K1867" si="3760">VLOOKUP($A1867,[6]Gobierno!$A$1:$O$234,F$1,0)</f>
        <v>#N/A</v>
      </c>
      <c r="G1867" s="39" t="e">
        <f t="shared" si="3760"/>
        <v>#N/A</v>
      </c>
      <c r="H1867" s="16" t="e">
        <f t="shared" si="3760"/>
        <v>#N/A</v>
      </c>
      <c r="I1867" s="16" t="e">
        <f t="shared" si="3760"/>
        <v>#N/A</v>
      </c>
      <c r="J1867" s="40" t="e">
        <f t="shared" si="3760"/>
        <v>#N/A</v>
      </c>
      <c r="K1867" s="16" t="e">
        <f t="shared" si="3760"/>
        <v>#N/A</v>
      </c>
      <c r="L1867" s="40" t="e">
        <f t="shared" si="3629"/>
        <v>#N/A</v>
      </c>
      <c r="M1867" s="16" t="e">
        <f t="shared" si="3630"/>
        <v>#N/A</v>
      </c>
      <c r="N1867" s="16" t="e">
        <f t="shared" si="3631"/>
        <v>#N/A</v>
      </c>
      <c r="O1867" s="16" t="s">
        <v>70</v>
      </c>
      <c r="P1867" s="16" t="str">
        <f t="shared" si="6"/>
        <v/>
      </c>
      <c r="Q1867" s="41" t="e">
        <f t="shared" si="3632"/>
        <v>#N/A</v>
      </c>
      <c r="R1867" s="44"/>
      <c r="S1867" s="44"/>
      <c r="T1867" s="43"/>
      <c r="U1867" s="43" t="str">
        <f t="shared" si="8"/>
        <v>No</v>
      </c>
      <c r="V1867" s="25"/>
      <c r="W1867" s="25"/>
      <c r="X1867" s="25"/>
      <c r="Y1867" s="25"/>
      <c r="Z1867" s="25"/>
    </row>
    <row r="1868" spans="1:26" ht="15.75" customHeight="1" x14ac:dyDescent="0.25">
      <c r="A1868" s="25">
        <v>1866</v>
      </c>
      <c r="B1868" s="37" t="e">
        <f t="shared" ref="B1868:D1868" si="3761">VLOOKUP($A1868,[6]Gobierno!$A$1:$O$234,B$1,0)</f>
        <v>#N/A</v>
      </c>
      <c r="C1868" s="38" t="e">
        <f t="shared" si="3761"/>
        <v>#N/A</v>
      </c>
      <c r="D1868" s="39" t="e">
        <f t="shared" si="3761"/>
        <v>#N/A</v>
      </c>
      <c r="E1868" s="16" t="e">
        <f t="shared" si="1"/>
        <v>#N/A</v>
      </c>
      <c r="F1868" s="16" t="e">
        <f t="shared" ref="F1868:K1868" si="3762">VLOOKUP($A1868,[6]Gobierno!$A$1:$O$234,F$1,0)</f>
        <v>#N/A</v>
      </c>
      <c r="G1868" s="39" t="e">
        <f t="shared" si="3762"/>
        <v>#N/A</v>
      </c>
      <c r="H1868" s="16" t="e">
        <f t="shared" si="3762"/>
        <v>#N/A</v>
      </c>
      <c r="I1868" s="16" t="e">
        <f t="shared" si="3762"/>
        <v>#N/A</v>
      </c>
      <c r="J1868" s="40" t="e">
        <f t="shared" si="3762"/>
        <v>#N/A</v>
      </c>
      <c r="K1868" s="16" t="e">
        <f t="shared" si="3762"/>
        <v>#N/A</v>
      </c>
      <c r="L1868" s="40" t="e">
        <f t="shared" si="3629"/>
        <v>#N/A</v>
      </c>
      <c r="M1868" s="16" t="e">
        <f t="shared" si="3630"/>
        <v>#N/A</v>
      </c>
      <c r="N1868" s="16" t="e">
        <f t="shared" si="3631"/>
        <v>#N/A</v>
      </c>
      <c r="O1868" s="16" t="s">
        <v>70</v>
      </c>
      <c r="P1868" s="16" t="str">
        <f t="shared" si="6"/>
        <v/>
      </c>
      <c r="Q1868" s="41" t="e">
        <f t="shared" si="3632"/>
        <v>#N/A</v>
      </c>
      <c r="R1868" s="44"/>
      <c r="S1868" s="44"/>
      <c r="T1868" s="43"/>
      <c r="U1868" s="43" t="str">
        <f t="shared" si="8"/>
        <v>No</v>
      </c>
      <c r="V1868" s="25"/>
      <c r="W1868" s="25"/>
      <c r="X1868" s="25"/>
      <c r="Y1868" s="25"/>
      <c r="Z1868" s="25"/>
    </row>
    <row r="1869" spans="1:26" ht="15.75" customHeight="1" x14ac:dyDescent="0.25">
      <c r="A1869" s="25">
        <v>1867</v>
      </c>
      <c r="B1869" s="37" t="e">
        <f t="shared" ref="B1869:D1869" si="3763">VLOOKUP($A1869,[6]Gobierno!$A$1:$O$234,B$1,0)</f>
        <v>#N/A</v>
      </c>
      <c r="C1869" s="38" t="e">
        <f t="shared" si="3763"/>
        <v>#N/A</v>
      </c>
      <c r="D1869" s="39" t="e">
        <f t="shared" si="3763"/>
        <v>#N/A</v>
      </c>
      <c r="E1869" s="16" t="e">
        <f t="shared" si="1"/>
        <v>#N/A</v>
      </c>
      <c r="F1869" s="16" t="e">
        <f t="shared" ref="F1869:K1869" si="3764">VLOOKUP($A1869,[6]Gobierno!$A$1:$O$234,F$1,0)</f>
        <v>#N/A</v>
      </c>
      <c r="G1869" s="39" t="e">
        <f t="shared" si="3764"/>
        <v>#N/A</v>
      </c>
      <c r="H1869" s="16" t="e">
        <f t="shared" si="3764"/>
        <v>#N/A</v>
      </c>
      <c r="I1869" s="16" t="e">
        <f t="shared" si="3764"/>
        <v>#N/A</v>
      </c>
      <c r="J1869" s="40" t="e">
        <f t="shared" si="3764"/>
        <v>#N/A</v>
      </c>
      <c r="K1869" s="16" t="e">
        <f t="shared" si="3764"/>
        <v>#N/A</v>
      </c>
      <c r="L1869" s="40" t="e">
        <f t="shared" si="3629"/>
        <v>#N/A</v>
      </c>
      <c r="M1869" s="16" t="e">
        <f t="shared" si="3630"/>
        <v>#N/A</v>
      </c>
      <c r="N1869" s="16" t="e">
        <f t="shared" si="3631"/>
        <v>#N/A</v>
      </c>
      <c r="O1869" s="16" t="s">
        <v>70</v>
      </c>
      <c r="P1869" s="16" t="str">
        <f t="shared" si="6"/>
        <v/>
      </c>
      <c r="Q1869" s="41" t="e">
        <f t="shared" si="3632"/>
        <v>#N/A</v>
      </c>
      <c r="R1869" s="44"/>
      <c r="S1869" s="44"/>
      <c r="T1869" s="43"/>
      <c r="U1869" s="43" t="str">
        <f t="shared" si="8"/>
        <v>No</v>
      </c>
      <c r="V1869" s="25"/>
      <c r="W1869" s="25"/>
      <c r="X1869" s="25"/>
      <c r="Y1869" s="25"/>
      <c r="Z1869" s="25"/>
    </row>
    <row r="1870" spans="1:26" ht="15.75" customHeight="1" x14ac:dyDescent="0.25">
      <c r="A1870" s="25">
        <v>1868</v>
      </c>
      <c r="B1870" s="37" t="e">
        <f t="shared" ref="B1870:D1870" si="3765">VLOOKUP($A1870,[6]Gobierno!$A$1:$O$234,B$1,0)</f>
        <v>#N/A</v>
      </c>
      <c r="C1870" s="38" t="e">
        <f t="shared" si="3765"/>
        <v>#N/A</v>
      </c>
      <c r="D1870" s="39" t="e">
        <f t="shared" si="3765"/>
        <v>#N/A</v>
      </c>
      <c r="E1870" s="16" t="e">
        <f t="shared" si="1"/>
        <v>#N/A</v>
      </c>
      <c r="F1870" s="16" t="e">
        <f t="shared" ref="F1870:K1870" si="3766">VLOOKUP($A1870,[6]Gobierno!$A$1:$O$234,F$1,0)</f>
        <v>#N/A</v>
      </c>
      <c r="G1870" s="39" t="e">
        <f t="shared" si="3766"/>
        <v>#N/A</v>
      </c>
      <c r="H1870" s="16" t="e">
        <f t="shared" si="3766"/>
        <v>#N/A</v>
      </c>
      <c r="I1870" s="16" t="e">
        <f t="shared" si="3766"/>
        <v>#N/A</v>
      </c>
      <c r="J1870" s="40" t="e">
        <f t="shared" si="3766"/>
        <v>#N/A</v>
      </c>
      <c r="K1870" s="16" t="e">
        <f t="shared" si="3766"/>
        <v>#N/A</v>
      </c>
      <c r="L1870" s="40" t="e">
        <f t="shared" si="3629"/>
        <v>#N/A</v>
      </c>
      <c r="M1870" s="16" t="e">
        <f t="shared" si="3630"/>
        <v>#N/A</v>
      </c>
      <c r="N1870" s="16" t="e">
        <f t="shared" si="3631"/>
        <v>#N/A</v>
      </c>
      <c r="O1870" s="16" t="s">
        <v>70</v>
      </c>
      <c r="P1870" s="16" t="str">
        <f t="shared" si="6"/>
        <v/>
      </c>
      <c r="Q1870" s="41" t="e">
        <f t="shared" si="3632"/>
        <v>#N/A</v>
      </c>
      <c r="R1870" s="44"/>
      <c r="S1870" s="44"/>
      <c r="T1870" s="43"/>
      <c r="U1870" s="43" t="str">
        <f t="shared" si="8"/>
        <v>No</v>
      </c>
      <c r="V1870" s="25"/>
      <c r="W1870" s="25"/>
      <c r="X1870" s="25"/>
      <c r="Y1870" s="25"/>
      <c r="Z1870" s="25"/>
    </row>
    <row r="1871" spans="1:26" ht="15.75" customHeight="1" x14ac:dyDescent="0.25">
      <c r="A1871" s="25">
        <v>1869</v>
      </c>
      <c r="B1871" s="37" t="e">
        <f t="shared" ref="B1871:D1871" si="3767">VLOOKUP($A1871,[6]Gobierno!$A$1:$O$234,B$1,0)</f>
        <v>#N/A</v>
      </c>
      <c r="C1871" s="38" t="e">
        <f t="shared" si="3767"/>
        <v>#N/A</v>
      </c>
      <c r="D1871" s="39" t="e">
        <f t="shared" si="3767"/>
        <v>#N/A</v>
      </c>
      <c r="E1871" s="16" t="e">
        <f t="shared" si="1"/>
        <v>#N/A</v>
      </c>
      <c r="F1871" s="16" t="e">
        <f t="shared" ref="F1871:K1871" si="3768">VLOOKUP($A1871,[6]Gobierno!$A$1:$O$234,F$1,0)</f>
        <v>#N/A</v>
      </c>
      <c r="G1871" s="39" t="e">
        <f t="shared" si="3768"/>
        <v>#N/A</v>
      </c>
      <c r="H1871" s="16" t="e">
        <f t="shared" si="3768"/>
        <v>#N/A</v>
      </c>
      <c r="I1871" s="16" t="e">
        <f t="shared" si="3768"/>
        <v>#N/A</v>
      </c>
      <c r="J1871" s="40" t="e">
        <f t="shared" si="3768"/>
        <v>#N/A</v>
      </c>
      <c r="K1871" s="16" t="e">
        <f t="shared" si="3768"/>
        <v>#N/A</v>
      </c>
      <c r="L1871" s="40" t="e">
        <f t="shared" si="3629"/>
        <v>#N/A</v>
      </c>
      <c r="M1871" s="16" t="e">
        <f t="shared" si="3630"/>
        <v>#N/A</v>
      </c>
      <c r="N1871" s="16" t="e">
        <f t="shared" si="3631"/>
        <v>#N/A</v>
      </c>
      <c r="O1871" s="16" t="s">
        <v>70</v>
      </c>
      <c r="P1871" s="16" t="str">
        <f t="shared" si="6"/>
        <v/>
      </c>
      <c r="Q1871" s="41" t="e">
        <f t="shared" si="3632"/>
        <v>#N/A</v>
      </c>
      <c r="R1871" s="44"/>
      <c r="S1871" s="44"/>
      <c r="T1871" s="43"/>
      <c r="U1871" s="43" t="str">
        <f t="shared" si="8"/>
        <v>No</v>
      </c>
      <c r="V1871" s="25"/>
      <c r="W1871" s="25"/>
      <c r="X1871" s="25"/>
      <c r="Y1871" s="25"/>
      <c r="Z1871" s="25"/>
    </row>
    <row r="1872" spans="1:26" ht="15.75" customHeight="1" x14ac:dyDescent="0.25">
      <c r="A1872" s="25">
        <v>1870</v>
      </c>
      <c r="B1872" s="37" t="e">
        <f t="shared" ref="B1872:D1872" si="3769">VLOOKUP($A1872,[6]Gobierno!$A$1:$O$234,B$1,0)</f>
        <v>#N/A</v>
      </c>
      <c r="C1872" s="38" t="e">
        <f t="shared" si="3769"/>
        <v>#N/A</v>
      </c>
      <c r="D1872" s="39" t="e">
        <f t="shared" si="3769"/>
        <v>#N/A</v>
      </c>
      <c r="E1872" s="16" t="e">
        <f t="shared" si="1"/>
        <v>#N/A</v>
      </c>
      <c r="F1872" s="16" t="e">
        <f t="shared" ref="F1872:K1872" si="3770">VLOOKUP($A1872,[6]Gobierno!$A$1:$O$234,F$1,0)</f>
        <v>#N/A</v>
      </c>
      <c r="G1872" s="39" t="e">
        <f t="shared" si="3770"/>
        <v>#N/A</v>
      </c>
      <c r="H1872" s="16" t="e">
        <f t="shared" si="3770"/>
        <v>#N/A</v>
      </c>
      <c r="I1872" s="16" t="e">
        <f t="shared" si="3770"/>
        <v>#N/A</v>
      </c>
      <c r="J1872" s="40" t="e">
        <f t="shared" si="3770"/>
        <v>#N/A</v>
      </c>
      <c r="K1872" s="16" t="e">
        <f t="shared" si="3770"/>
        <v>#N/A</v>
      </c>
      <c r="L1872" s="40" t="e">
        <f t="shared" si="3629"/>
        <v>#N/A</v>
      </c>
      <c r="M1872" s="16" t="e">
        <f t="shared" si="3630"/>
        <v>#N/A</v>
      </c>
      <c r="N1872" s="16" t="e">
        <f t="shared" si="3631"/>
        <v>#N/A</v>
      </c>
      <c r="O1872" s="16" t="s">
        <v>70</v>
      </c>
      <c r="P1872" s="16" t="str">
        <f t="shared" si="6"/>
        <v/>
      </c>
      <c r="Q1872" s="41" t="e">
        <f t="shared" si="3632"/>
        <v>#N/A</v>
      </c>
      <c r="R1872" s="44"/>
      <c r="S1872" s="44"/>
      <c r="T1872" s="43"/>
      <c r="U1872" s="43" t="str">
        <f t="shared" si="8"/>
        <v>No</v>
      </c>
      <c r="V1872" s="25"/>
      <c r="W1872" s="25"/>
      <c r="X1872" s="25"/>
      <c r="Y1872" s="25"/>
      <c r="Z1872" s="25"/>
    </row>
    <row r="1873" spans="1:26" ht="15.75" customHeight="1" x14ac:dyDescent="0.25">
      <c r="A1873" s="25">
        <v>1871</v>
      </c>
      <c r="B1873" s="37" t="e">
        <f t="shared" ref="B1873:D1873" si="3771">VLOOKUP($A1873,[6]Gobierno!$A$1:$O$234,B$1,0)</f>
        <v>#N/A</v>
      </c>
      <c r="C1873" s="38" t="e">
        <f t="shared" si="3771"/>
        <v>#N/A</v>
      </c>
      <c r="D1873" s="39" t="e">
        <f t="shared" si="3771"/>
        <v>#N/A</v>
      </c>
      <c r="E1873" s="16" t="e">
        <f t="shared" si="1"/>
        <v>#N/A</v>
      </c>
      <c r="F1873" s="16" t="e">
        <f t="shared" ref="F1873:K1873" si="3772">VLOOKUP($A1873,[6]Gobierno!$A$1:$O$234,F$1,0)</f>
        <v>#N/A</v>
      </c>
      <c r="G1873" s="39" t="e">
        <f t="shared" si="3772"/>
        <v>#N/A</v>
      </c>
      <c r="H1873" s="16" t="e">
        <f t="shared" si="3772"/>
        <v>#N/A</v>
      </c>
      <c r="I1873" s="16" t="e">
        <f t="shared" si="3772"/>
        <v>#N/A</v>
      </c>
      <c r="J1873" s="40" t="e">
        <f t="shared" si="3772"/>
        <v>#N/A</v>
      </c>
      <c r="K1873" s="16" t="e">
        <f t="shared" si="3772"/>
        <v>#N/A</v>
      </c>
      <c r="L1873" s="40" t="e">
        <f t="shared" si="3629"/>
        <v>#N/A</v>
      </c>
      <c r="M1873" s="16" t="e">
        <f t="shared" si="3630"/>
        <v>#N/A</v>
      </c>
      <c r="N1873" s="16" t="e">
        <f t="shared" si="3631"/>
        <v>#N/A</v>
      </c>
      <c r="O1873" s="16" t="s">
        <v>70</v>
      </c>
      <c r="P1873" s="16" t="str">
        <f t="shared" si="6"/>
        <v/>
      </c>
      <c r="Q1873" s="41" t="e">
        <f t="shared" si="3632"/>
        <v>#N/A</v>
      </c>
      <c r="R1873" s="44"/>
      <c r="S1873" s="44"/>
      <c r="T1873" s="43"/>
      <c r="U1873" s="43" t="str">
        <f t="shared" si="8"/>
        <v>No</v>
      </c>
      <c r="V1873" s="25"/>
      <c r="W1873" s="25"/>
      <c r="X1873" s="25"/>
      <c r="Y1873" s="25"/>
      <c r="Z1873" s="25"/>
    </row>
    <row r="1874" spans="1:26" ht="15.75" customHeight="1" x14ac:dyDescent="0.25">
      <c r="A1874" s="25">
        <v>1872</v>
      </c>
      <c r="B1874" s="37" t="e">
        <f t="shared" ref="B1874:D1874" si="3773">VLOOKUP($A1874,[6]Gobierno!$A$1:$O$234,B$1,0)</f>
        <v>#N/A</v>
      </c>
      <c r="C1874" s="38" t="e">
        <f t="shared" si="3773"/>
        <v>#N/A</v>
      </c>
      <c r="D1874" s="39" t="e">
        <f t="shared" si="3773"/>
        <v>#N/A</v>
      </c>
      <c r="E1874" s="16" t="e">
        <f t="shared" si="1"/>
        <v>#N/A</v>
      </c>
      <c r="F1874" s="16" t="e">
        <f t="shared" ref="F1874:K1874" si="3774">VLOOKUP($A1874,[6]Gobierno!$A$1:$O$234,F$1,0)</f>
        <v>#N/A</v>
      </c>
      <c r="G1874" s="39" t="e">
        <f t="shared" si="3774"/>
        <v>#N/A</v>
      </c>
      <c r="H1874" s="16" t="e">
        <f t="shared" si="3774"/>
        <v>#N/A</v>
      </c>
      <c r="I1874" s="16" t="e">
        <f t="shared" si="3774"/>
        <v>#N/A</v>
      </c>
      <c r="J1874" s="40" t="e">
        <f t="shared" si="3774"/>
        <v>#N/A</v>
      </c>
      <c r="K1874" s="16" t="e">
        <f t="shared" si="3774"/>
        <v>#N/A</v>
      </c>
      <c r="L1874" s="40" t="e">
        <f t="shared" si="3629"/>
        <v>#N/A</v>
      </c>
      <c r="M1874" s="16" t="e">
        <f t="shared" si="3630"/>
        <v>#N/A</v>
      </c>
      <c r="N1874" s="16" t="e">
        <f t="shared" si="3631"/>
        <v>#N/A</v>
      </c>
      <c r="O1874" s="16" t="s">
        <v>70</v>
      </c>
      <c r="P1874" s="16" t="str">
        <f t="shared" si="6"/>
        <v/>
      </c>
      <c r="Q1874" s="41" t="e">
        <f t="shared" si="3632"/>
        <v>#N/A</v>
      </c>
      <c r="R1874" s="44"/>
      <c r="S1874" s="44"/>
      <c r="T1874" s="43"/>
      <c r="U1874" s="43" t="str">
        <f t="shared" si="8"/>
        <v>No</v>
      </c>
      <c r="V1874" s="25"/>
      <c r="W1874" s="25"/>
      <c r="X1874" s="25"/>
      <c r="Y1874" s="25"/>
      <c r="Z1874" s="25"/>
    </row>
    <row r="1875" spans="1:26" ht="15.75" customHeight="1" x14ac:dyDescent="0.25">
      <c r="A1875" s="25">
        <v>1873</v>
      </c>
      <c r="B1875" s="37" t="e">
        <f t="shared" ref="B1875:D1875" si="3775">VLOOKUP($A1875,[6]Gobierno!$A$1:$O$234,B$1,0)</f>
        <v>#N/A</v>
      </c>
      <c r="C1875" s="38" t="e">
        <f t="shared" si="3775"/>
        <v>#N/A</v>
      </c>
      <c r="D1875" s="39" t="e">
        <f t="shared" si="3775"/>
        <v>#N/A</v>
      </c>
      <c r="E1875" s="16" t="e">
        <f t="shared" si="1"/>
        <v>#N/A</v>
      </c>
      <c r="F1875" s="16" t="e">
        <f t="shared" ref="F1875:K1875" si="3776">VLOOKUP($A1875,[6]Gobierno!$A$1:$O$234,F$1,0)</f>
        <v>#N/A</v>
      </c>
      <c r="G1875" s="39" t="e">
        <f t="shared" si="3776"/>
        <v>#N/A</v>
      </c>
      <c r="H1875" s="16" t="e">
        <f t="shared" si="3776"/>
        <v>#N/A</v>
      </c>
      <c r="I1875" s="16" t="e">
        <f t="shared" si="3776"/>
        <v>#N/A</v>
      </c>
      <c r="J1875" s="40" t="e">
        <f t="shared" si="3776"/>
        <v>#N/A</v>
      </c>
      <c r="K1875" s="16" t="e">
        <f t="shared" si="3776"/>
        <v>#N/A</v>
      </c>
      <c r="L1875" s="40" t="e">
        <f t="shared" si="3629"/>
        <v>#N/A</v>
      </c>
      <c r="M1875" s="16" t="e">
        <f t="shared" si="3630"/>
        <v>#N/A</v>
      </c>
      <c r="N1875" s="16" t="e">
        <f t="shared" si="3631"/>
        <v>#N/A</v>
      </c>
      <c r="O1875" s="16" t="s">
        <v>70</v>
      </c>
      <c r="P1875" s="16" t="str">
        <f t="shared" si="6"/>
        <v/>
      </c>
      <c r="Q1875" s="41" t="e">
        <f t="shared" si="3632"/>
        <v>#N/A</v>
      </c>
      <c r="R1875" s="44"/>
      <c r="S1875" s="44"/>
      <c r="T1875" s="43"/>
      <c r="U1875" s="43" t="str">
        <f t="shared" si="8"/>
        <v>No</v>
      </c>
      <c r="V1875" s="25"/>
      <c r="W1875" s="25"/>
      <c r="X1875" s="25"/>
      <c r="Y1875" s="25"/>
      <c r="Z1875" s="25"/>
    </row>
    <row r="1876" spans="1:26" ht="15.75" customHeight="1" x14ac:dyDescent="0.25">
      <c r="A1876" s="25">
        <v>1874</v>
      </c>
      <c r="B1876" s="37" t="e">
        <f t="shared" ref="B1876:D1876" si="3777">VLOOKUP($A1876,[6]Gobierno!$A$1:$O$234,B$1,0)</f>
        <v>#N/A</v>
      </c>
      <c r="C1876" s="38" t="e">
        <f t="shared" si="3777"/>
        <v>#N/A</v>
      </c>
      <c r="D1876" s="39" t="e">
        <f t="shared" si="3777"/>
        <v>#N/A</v>
      </c>
      <c r="E1876" s="16" t="e">
        <f t="shared" si="1"/>
        <v>#N/A</v>
      </c>
      <c r="F1876" s="16" t="e">
        <f t="shared" ref="F1876:K1876" si="3778">VLOOKUP($A1876,[6]Gobierno!$A$1:$O$234,F$1,0)</f>
        <v>#N/A</v>
      </c>
      <c r="G1876" s="39" t="e">
        <f t="shared" si="3778"/>
        <v>#N/A</v>
      </c>
      <c r="H1876" s="16" t="e">
        <f t="shared" si="3778"/>
        <v>#N/A</v>
      </c>
      <c r="I1876" s="16" t="e">
        <f t="shared" si="3778"/>
        <v>#N/A</v>
      </c>
      <c r="J1876" s="40" t="e">
        <f t="shared" si="3778"/>
        <v>#N/A</v>
      </c>
      <c r="K1876" s="16" t="e">
        <f t="shared" si="3778"/>
        <v>#N/A</v>
      </c>
      <c r="L1876" s="40" t="e">
        <f t="shared" si="3629"/>
        <v>#N/A</v>
      </c>
      <c r="M1876" s="16" t="e">
        <f t="shared" si="3630"/>
        <v>#N/A</v>
      </c>
      <c r="N1876" s="16" t="e">
        <f t="shared" si="3631"/>
        <v>#N/A</v>
      </c>
      <c r="O1876" s="16" t="s">
        <v>70</v>
      </c>
      <c r="P1876" s="16" t="str">
        <f t="shared" si="6"/>
        <v/>
      </c>
      <c r="Q1876" s="41" t="e">
        <f t="shared" si="3632"/>
        <v>#N/A</v>
      </c>
      <c r="R1876" s="44"/>
      <c r="S1876" s="44"/>
      <c r="T1876" s="43"/>
      <c r="U1876" s="43" t="str">
        <f t="shared" si="8"/>
        <v>No</v>
      </c>
      <c r="V1876" s="25"/>
      <c r="W1876" s="25"/>
      <c r="X1876" s="25"/>
      <c r="Y1876" s="25"/>
      <c r="Z1876" s="25"/>
    </row>
    <row r="1877" spans="1:26" ht="15.75" customHeight="1" x14ac:dyDescent="0.25">
      <c r="A1877" s="25">
        <v>1875</v>
      </c>
      <c r="B1877" s="37" t="e">
        <f t="shared" ref="B1877:D1877" si="3779">VLOOKUP($A1877,[6]Gobierno!$A$1:$O$234,B$1,0)</f>
        <v>#N/A</v>
      </c>
      <c r="C1877" s="38" t="e">
        <f t="shared" si="3779"/>
        <v>#N/A</v>
      </c>
      <c r="D1877" s="39" t="e">
        <f t="shared" si="3779"/>
        <v>#N/A</v>
      </c>
      <c r="E1877" s="16" t="e">
        <f t="shared" si="1"/>
        <v>#N/A</v>
      </c>
      <c r="F1877" s="16" t="e">
        <f t="shared" ref="F1877:K1877" si="3780">VLOOKUP($A1877,[6]Gobierno!$A$1:$O$234,F$1,0)</f>
        <v>#N/A</v>
      </c>
      <c r="G1877" s="39" t="e">
        <f t="shared" si="3780"/>
        <v>#N/A</v>
      </c>
      <c r="H1877" s="16" t="e">
        <f t="shared" si="3780"/>
        <v>#N/A</v>
      </c>
      <c r="I1877" s="16" t="e">
        <f t="shared" si="3780"/>
        <v>#N/A</v>
      </c>
      <c r="J1877" s="40" t="e">
        <f t="shared" si="3780"/>
        <v>#N/A</v>
      </c>
      <c r="K1877" s="16" t="e">
        <f t="shared" si="3780"/>
        <v>#N/A</v>
      </c>
      <c r="L1877" s="40" t="e">
        <f t="shared" si="3629"/>
        <v>#N/A</v>
      </c>
      <c r="M1877" s="16" t="e">
        <f t="shared" si="3630"/>
        <v>#N/A</v>
      </c>
      <c r="N1877" s="16" t="e">
        <f t="shared" si="3631"/>
        <v>#N/A</v>
      </c>
      <c r="O1877" s="16" t="s">
        <v>70</v>
      </c>
      <c r="P1877" s="16" t="str">
        <f t="shared" si="6"/>
        <v/>
      </c>
      <c r="Q1877" s="41" t="e">
        <f t="shared" si="3632"/>
        <v>#N/A</v>
      </c>
      <c r="R1877" s="44"/>
      <c r="S1877" s="44"/>
      <c r="T1877" s="43"/>
      <c r="U1877" s="43" t="str">
        <f t="shared" si="8"/>
        <v>No</v>
      </c>
      <c r="V1877" s="25"/>
      <c r="W1877" s="25"/>
      <c r="X1877" s="25"/>
      <c r="Y1877" s="25"/>
      <c r="Z1877" s="25"/>
    </row>
    <row r="1878" spans="1:26" ht="15.75" customHeight="1" x14ac:dyDescent="0.25">
      <c r="A1878" s="25">
        <v>1876</v>
      </c>
      <c r="B1878" s="37" t="e">
        <f t="shared" ref="B1878:D1878" si="3781">VLOOKUP($A1878,[6]Gobierno!$A$1:$O$234,B$1,0)</f>
        <v>#N/A</v>
      </c>
      <c r="C1878" s="38" t="e">
        <f t="shared" si="3781"/>
        <v>#N/A</v>
      </c>
      <c r="D1878" s="39" t="e">
        <f t="shared" si="3781"/>
        <v>#N/A</v>
      </c>
      <c r="E1878" s="16" t="e">
        <f t="shared" si="1"/>
        <v>#N/A</v>
      </c>
      <c r="F1878" s="16" t="e">
        <f t="shared" ref="F1878:K1878" si="3782">VLOOKUP($A1878,[6]Gobierno!$A$1:$O$234,F$1,0)</f>
        <v>#N/A</v>
      </c>
      <c r="G1878" s="39" t="e">
        <f t="shared" si="3782"/>
        <v>#N/A</v>
      </c>
      <c r="H1878" s="16" t="e">
        <f t="shared" si="3782"/>
        <v>#N/A</v>
      </c>
      <c r="I1878" s="16" t="e">
        <f t="shared" si="3782"/>
        <v>#N/A</v>
      </c>
      <c r="J1878" s="40" t="e">
        <f t="shared" si="3782"/>
        <v>#N/A</v>
      </c>
      <c r="K1878" s="16" t="e">
        <f t="shared" si="3782"/>
        <v>#N/A</v>
      </c>
      <c r="L1878" s="40" t="e">
        <f t="shared" si="3629"/>
        <v>#N/A</v>
      </c>
      <c r="M1878" s="16" t="e">
        <f t="shared" si="3630"/>
        <v>#N/A</v>
      </c>
      <c r="N1878" s="16" t="e">
        <f t="shared" si="3631"/>
        <v>#N/A</v>
      </c>
      <c r="O1878" s="16" t="s">
        <v>70</v>
      </c>
      <c r="P1878" s="16" t="str">
        <f t="shared" si="6"/>
        <v/>
      </c>
      <c r="Q1878" s="41" t="e">
        <f t="shared" si="3632"/>
        <v>#N/A</v>
      </c>
      <c r="R1878" s="44"/>
      <c r="S1878" s="44"/>
      <c r="T1878" s="43"/>
      <c r="U1878" s="43" t="str">
        <f t="shared" si="8"/>
        <v>No</v>
      </c>
      <c r="V1878" s="25"/>
      <c r="W1878" s="25"/>
      <c r="X1878" s="25"/>
      <c r="Y1878" s="25"/>
      <c r="Z1878" s="25"/>
    </row>
    <row r="1879" spans="1:26" ht="15.75" customHeight="1" x14ac:dyDescent="0.25">
      <c r="A1879" s="25">
        <v>1877</v>
      </c>
      <c r="B1879" s="37" t="e">
        <f t="shared" ref="B1879:D1879" si="3783">VLOOKUP($A1879,[6]Gobierno!$A$1:$O$234,B$1,0)</f>
        <v>#N/A</v>
      </c>
      <c r="C1879" s="38" t="e">
        <f t="shared" si="3783"/>
        <v>#N/A</v>
      </c>
      <c r="D1879" s="39" t="e">
        <f t="shared" si="3783"/>
        <v>#N/A</v>
      </c>
      <c r="E1879" s="16" t="e">
        <f t="shared" si="1"/>
        <v>#N/A</v>
      </c>
      <c r="F1879" s="16" t="e">
        <f t="shared" ref="F1879:K1879" si="3784">VLOOKUP($A1879,[6]Gobierno!$A$1:$O$234,F$1,0)</f>
        <v>#N/A</v>
      </c>
      <c r="G1879" s="39" t="e">
        <f t="shared" si="3784"/>
        <v>#N/A</v>
      </c>
      <c r="H1879" s="16" t="e">
        <f t="shared" si="3784"/>
        <v>#N/A</v>
      </c>
      <c r="I1879" s="16" t="e">
        <f t="shared" si="3784"/>
        <v>#N/A</v>
      </c>
      <c r="J1879" s="40" t="e">
        <f t="shared" si="3784"/>
        <v>#N/A</v>
      </c>
      <c r="K1879" s="16" t="e">
        <f t="shared" si="3784"/>
        <v>#N/A</v>
      </c>
      <c r="L1879" s="40" t="e">
        <f t="shared" si="3629"/>
        <v>#N/A</v>
      </c>
      <c r="M1879" s="16" t="e">
        <f t="shared" si="3630"/>
        <v>#N/A</v>
      </c>
      <c r="N1879" s="16" t="e">
        <f t="shared" si="3631"/>
        <v>#N/A</v>
      </c>
      <c r="O1879" s="16" t="s">
        <v>70</v>
      </c>
      <c r="P1879" s="16" t="str">
        <f t="shared" si="6"/>
        <v/>
      </c>
      <c r="Q1879" s="41" t="e">
        <f t="shared" si="3632"/>
        <v>#N/A</v>
      </c>
      <c r="R1879" s="44"/>
      <c r="S1879" s="44"/>
      <c r="T1879" s="43"/>
      <c r="U1879" s="43" t="str">
        <f t="shared" si="8"/>
        <v>No</v>
      </c>
      <c r="V1879" s="25"/>
      <c r="W1879" s="25"/>
      <c r="X1879" s="25"/>
      <c r="Y1879" s="25"/>
      <c r="Z1879" s="25"/>
    </row>
    <row r="1880" spans="1:26" ht="15.75" customHeight="1" x14ac:dyDescent="0.25">
      <c r="A1880" s="25">
        <v>1878</v>
      </c>
      <c r="B1880" s="37" t="e">
        <f t="shared" ref="B1880:D1880" si="3785">VLOOKUP($A1880,[6]Gobierno!$A$1:$O$234,B$1,0)</f>
        <v>#N/A</v>
      </c>
      <c r="C1880" s="38" t="e">
        <f t="shared" si="3785"/>
        <v>#N/A</v>
      </c>
      <c r="D1880" s="39" t="e">
        <f t="shared" si="3785"/>
        <v>#N/A</v>
      </c>
      <c r="E1880" s="16" t="e">
        <f t="shared" si="1"/>
        <v>#N/A</v>
      </c>
      <c r="F1880" s="16" t="e">
        <f t="shared" ref="F1880:K1880" si="3786">VLOOKUP($A1880,[6]Gobierno!$A$1:$O$234,F$1,0)</f>
        <v>#N/A</v>
      </c>
      <c r="G1880" s="39" t="e">
        <f t="shared" si="3786"/>
        <v>#N/A</v>
      </c>
      <c r="H1880" s="16" t="e">
        <f t="shared" si="3786"/>
        <v>#N/A</v>
      </c>
      <c r="I1880" s="16" t="e">
        <f t="shared" si="3786"/>
        <v>#N/A</v>
      </c>
      <c r="J1880" s="40" t="e">
        <f t="shared" si="3786"/>
        <v>#N/A</v>
      </c>
      <c r="K1880" s="16" t="e">
        <f t="shared" si="3786"/>
        <v>#N/A</v>
      </c>
      <c r="L1880" s="40" t="e">
        <f t="shared" si="3629"/>
        <v>#N/A</v>
      </c>
      <c r="M1880" s="16" t="e">
        <f t="shared" si="3630"/>
        <v>#N/A</v>
      </c>
      <c r="N1880" s="16" t="e">
        <f t="shared" si="3631"/>
        <v>#N/A</v>
      </c>
      <c r="O1880" s="16" t="s">
        <v>70</v>
      </c>
      <c r="P1880" s="16" t="str">
        <f t="shared" si="6"/>
        <v/>
      </c>
      <c r="Q1880" s="41" t="e">
        <f t="shared" si="3632"/>
        <v>#N/A</v>
      </c>
      <c r="R1880" s="44"/>
      <c r="S1880" s="44"/>
      <c r="T1880" s="43"/>
      <c r="U1880" s="43" t="str">
        <f t="shared" si="8"/>
        <v>No</v>
      </c>
      <c r="V1880" s="25"/>
      <c r="W1880" s="25"/>
      <c r="X1880" s="25"/>
      <c r="Y1880" s="25"/>
      <c r="Z1880" s="25"/>
    </row>
    <row r="1881" spans="1:26" ht="15.75" customHeight="1" x14ac:dyDescent="0.25">
      <c r="A1881" s="25">
        <v>1879</v>
      </c>
      <c r="B1881" s="37" t="e">
        <f t="shared" ref="B1881:D1881" si="3787">VLOOKUP($A1881,[6]Gobierno!$A$1:$O$234,B$1,0)</f>
        <v>#N/A</v>
      </c>
      <c r="C1881" s="38" t="e">
        <f t="shared" si="3787"/>
        <v>#N/A</v>
      </c>
      <c r="D1881" s="39" t="e">
        <f t="shared" si="3787"/>
        <v>#N/A</v>
      </c>
      <c r="E1881" s="16" t="e">
        <f t="shared" si="1"/>
        <v>#N/A</v>
      </c>
      <c r="F1881" s="16" t="e">
        <f t="shared" ref="F1881:K1881" si="3788">VLOOKUP($A1881,[6]Gobierno!$A$1:$O$234,F$1,0)</f>
        <v>#N/A</v>
      </c>
      <c r="G1881" s="39" t="e">
        <f t="shared" si="3788"/>
        <v>#N/A</v>
      </c>
      <c r="H1881" s="16" t="e">
        <f t="shared" si="3788"/>
        <v>#N/A</v>
      </c>
      <c r="I1881" s="16" t="e">
        <f t="shared" si="3788"/>
        <v>#N/A</v>
      </c>
      <c r="J1881" s="40" t="e">
        <f t="shared" si="3788"/>
        <v>#N/A</v>
      </c>
      <c r="K1881" s="16" t="e">
        <f t="shared" si="3788"/>
        <v>#N/A</v>
      </c>
      <c r="L1881" s="40" t="e">
        <f t="shared" si="3629"/>
        <v>#N/A</v>
      </c>
      <c r="M1881" s="16" t="e">
        <f t="shared" si="3630"/>
        <v>#N/A</v>
      </c>
      <c r="N1881" s="16" t="e">
        <f t="shared" si="3631"/>
        <v>#N/A</v>
      </c>
      <c r="O1881" s="16" t="s">
        <v>70</v>
      </c>
      <c r="P1881" s="16" t="str">
        <f t="shared" si="6"/>
        <v/>
      </c>
      <c r="Q1881" s="41" t="e">
        <f t="shared" si="3632"/>
        <v>#N/A</v>
      </c>
      <c r="R1881" s="44"/>
      <c r="S1881" s="44"/>
      <c r="T1881" s="43"/>
      <c r="U1881" s="43" t="str">
        <f t="shared" si="8"/>
        <v>No</v>
      </c>
      <c r="V1881" s="25"/>
      <c r="W1881" s="25"/>
      <c r="X1881" s="25"/>
      <c r="Y1881" s="25"/>
      <c r="Z1881" s="25"/>
    </row>
    <row r="1882" spans="1:26" ht="15.75" customHeight="1" x14ac:dyDescent="0.25">
      <c r="A1882" s="25">
        <v>1880</v>
      </c>
      <c r="B1882" s="37" t="e">
        <f t="shared" ref="B1882:D1882" si="3789">VLOOKUP($A1882,[6]Gobierno!$A$1:$O$234,B$1,0)</f>
        <v>#N/A</v>
      </c>
      <c r="C1882" s="38" t="e">
        <f t="shared" si="3789"/>
        <v>#N/A</v>
      </c>
      <c r="D1882" s="39" t="e">
        <f t="shared" si="3789"/>
        <v>#N/A</v>
      </c>
      <c r="E1882" s="16" t="e">
        <f t="shared" si="1"/>
        <v>#N/A</v>
      </c>
      <c r="F1882" s="16" t="e">
        <f t="shared" ref="F1882:K1882" si="3790">VLOOKUP($A1882,[6]Gobierno!$A$1:$O$234,F$1,0)</f>
        <v>#N/A</v>
      </c>
      <c r="G1882" s="39" t="e">
        <f t="shared" si="3790"/>
        <v>#N/A</v>
      </c>
      <c r="H1882" s="16" t="e">
        <f t="shared" si="3790"/>
        <v>#N/A</v>
      </c>
      <c r="I1882" s="16" t="e">
        <f t="shared" si="3790"/>
        <v>#N/A</v>
      </c>
      <c r="J1882" s="40" t="e">
        <f t="shared" si="3790"/>
        <v>#N/A</v>
      </c>
      <c r="K1882" s="16" t="e">
        <f t="shared" si="3790"/>
        <v>#N/A</v>
      </c>
      <c r="L1882" s="40" t="e">
        <f t="shared" si="3629"/>
        <v>#N/A</v>
      </c>
      <c r="M1882" s="16" t="e">
        <f t="shared" si="3630"/>
        <v>#N/A</v>
      </c>
      <c r="N1882" s="16" t="e">
        <f t="shared" si="3631"/>
        <v>#N/A</v>
      </c>
      <c r="O1882" s="16" t="s">
        <v>70</v>
      </c>
      <c r="P1882" s="16" t="str">
        <f t="shared" si="6"/>
        <v/>
      </c>
      <c r="Q1882" s="41" t="e">
        <f t="shared" si="3632"/>
        <v>#N/A</v>
      </c>
      <c r="R1882" s="44"/>
      <c r="S1882" s="44"/>
      <c r="T1882" s="43"/>
      <c r="U1882" s="43" t="str">
        <f t="shared" si="8"/>
        <v>No</v>
      </c>
      <c r="V1882" s="25"/>
      <c r="W1882" s="25"/>
      <c r="X1882" s="25"/>
      <c r="Y1882" s="25"/>
      <c r="Z1882" s="25"/>
    </row>
    <row r="1883" spans="1:26" ht="15.75" customHeight="1" x14ac:dyDescent="0.25">
      <c r="A1883" s="25">
        <v>1881</v>
      </c>
      <c r="B1883" s="37" t="e">
        <f t="shared" ref="B1883:D1883" si="3791">VLOOKUP($A1883,[6]Gobierno!$A$1:$O$234,B$1,0)</f>
        <v>#N/A</v>
      </c>
      <c r="C1883" s="38" t="e">
        <f t="shared" si="3791"/>
        <v>#N/A</v>
      </c>
      <c r="D1883" s="39" t="e">
        <f t="shared" si="3791"/>
        <v>#N/A</v>
      </c>
      <c r="E1883" s="16" t="e">
        <f t="shared" si="1"/>
        <v>#N/A</v>
      </c>
      <c r="F1883" s="16" t="e">
        <f t="shared" ref="F1883:K1883" si="3792">VLOOKUP($A1883,[6]Gobierno!$A$1:$O$234,F$1,0)</f>
        <v>#N/A</v>
      </c>
      <c r="G1883" s="39" t="e">
        <f t="shared" si="3792"/>
        <v>#N/A</v>
      </c>
      <c r="H1883" s="16" t="e">
        <f t="shared" si="3792"/>
        <v>#N/A</v>
      </c>
      <c r="I1883" s="16" t="e">
        <f t="shared" si="3792"/>
        <v>#N/A</v>
      </c>
      <c r="J1883" s="40" t="e">
        <f t="shared" si="3792"/>
        <v>#N/A</v>
      </c>
      <c r="K1883" s="16" t="e">
        <f t="shared" si="3792"/>
        <v>#N/A</v>
      </c>
      <c r="L1883" s="40" t="e">
        <f t="shared" si="3629"/>
        <v>#N/A</v>
      </c>
      <c r="M1883" s="16" t="e">
        <f t="shared" si="3630"/>
        <v>#N/A</v>
      </c>
      <c r="N1883" s="16" t="e">
        <f t="shared" si="3631"/>
        <v>#N/A</v>
      </c>
      <c r="O1883" s="16" t="s">
        <v>70</v>
      </c>
      <c r="P1883" s="16" t="str">
        <f t="shared" si="6"/>
        <v/>
      </c>
      <c r="Q1883" s="41" t="e">
        <f t="shared" si="3632"/>
        <v>#N/A</v>
      </c>
      <c r="R1883" s="44"/>
      <c r="S1883" s="44"/>
      <c r="T1883" s="43"/>
      <c r="U1883" s="43" t="str">
        <f t="shared" si="8"/>
        <v>No</v>
      </c>
      <c r="V1883" s="25"/>
      <c r="W1883" s="25"/>
      <c r="X1883" s="25"/>
      <c r="Y1883" s="25"/>
      <c r="Z1883" s="25"/>
    </row>
    <row r="1884" spans="1:26" ht="15.75" customHeight="1" x14ac:dyDescent="0.25">
      <c r="A1884" s="25">
        <v>1882</v>
      </c>
      <c r="B1884" s="37" t="e">
        <f t="shared" ref="B1884:D1884" si="3793">VLOOKUP($A1884,[6]Gobierno!$A$1:$O$234,B$1,0)</f>
        <v>#N/A</v>
      </c>
      <c r="C1884" s="38" t="e">
        <f t="shared" si="3793"/>
        <v>#N/A</v>
      </c>
      <c r="D1884" s="39" t="e">
        <f t="shared" si="3793"/>
        <v>#N/A</v>
      </c>
      <c r="E1884" s="16" t="e">
        <f t="shared" si="1"/>
        <v>#N/A</v>
      </c>
      <c r="F1884" s="16" t="e">
        <f t="shared" ref="F1884:K1884" si="3794">VLOOKUP($A1884,[6]Gobierno!$A$1:$O$234,F$1,0)</f>
        <v>#N/A</v>
      </c>
      <c r="G1884" s="39" t="e">
        <f t="shared" si="3794"/>
        <v>#N/A</v>
      </c>
      <c r="H1884" s="16" t="e">
        <f t="shared" si="3794"/>
        <v>#N/A</v>
      </c>
      <c r="I1884" s="16" t="e">
        <f t="shared" si="3794"/>
        <v>#N/A</v>
      </c>
      <c r="J1884" s="40" t="e">
        <f t="shared" si="3794"/>
        <v>#N/A</v>
      </c>
      <c r="K1884" s="16" t="e">
        <f t="shared" si="3794"/>
        <v>#N/A</v>
      </c>
      <c r="L1884" s="40" t="e">
        <f t="shared" si="3629"/>
        <v>#N/A</v>
      </c>
      <c r="M1884" s="16" t="e">
        <f t="shared" si="3630"/>
        <v>#N/A</v>
      </c>
      <c r="N1884" s="16" t="e">
        <f t="shared" si="3631"/>
        <v>#N/A</v>
      </c>
      <c r="O1884" s="16" t="s">
        <v>70</v>
      </c>
      <c r="P1884" s="16" t="str">
        <f t="shared" si="6"/>
        <v/>
      </c>
      <c r="Q1884" s="41" t="e">
        <f t="shared" si="3632"/>
        <v>#N/A</v>
      </c>
      <c r="R1884" s="44"/>
      <c r="S1884" s="44"/>
      <c r="T1884" s="43"/>
      <c r="U1884" s="43" t="str">
        <f t="shared" si="8"/>
        <v>No</v>
      </c>
      <c r="V1884" s="25"/>
      <c r="W1884" s="25"/>
      <c r="X1884" s="25"/>
      <c r="Y1884" s="25"/>
      <c r="Z1884" s="25"/>
    </row>
    <row r="1885" spans="1:26" ht="15.75" customHeight="1" x14ac:dyDescent="0.25">
      <c r="A1885" s="25">
        <v>1883</v>
      </c>
      <c r="B1885" s="37" t="e">
        <f t="shared" ref="B1885:D1885" si="3795">VLOOKUP($A1885,[6]Gobierno!$A$1:$O$234,B$1,0)</f>
        <v>#N/A</v>
      </c>
      <c r="C1885" s="38" t="e">
        <f t="shared" si="3795"/>
        <v>#N/A</v>
      </c>
      <c r="D1885" s="39" t="e">
        <f t="shared" si="3795"/>
        <v>#N/A</v>
      </c>
      <c r="E1885" s="16" t="e">
        <f t="shared" si="1"/>
        <v>#N/A</v>
      </c>
      <c r="F1885" s="16" t="e">
        <f t="shared" ref="F1885:K1885" si="3796">VLOOKUP($A1885,[6]Gobierno!$A$1:$O$234,F$1,0)</f>
        <v>#N/A</v>
      </c>
      <c r="G1885" s="39" t="e">
        <f t="shared" si="3796"/>
        <v>#N/A</v>
      </c>
      <c r="H1885" s="16" t="e">
        <f t="shared" si="3796"/>
        <v>#N/A</v>
      </c>
      <c r="I1885" s="16" t="e">
        <f t="shared" si="3796"/>
        <v>#N/A</v>
      </c>
      <c r="J1885" s="40" t="e">
        <f t="shared" si="3796"/>
        <v>#N/A</v>
      </c>
      <c r="K1885" s="16" t="e">
        <f t="shared" si="3796"/>
        <v>#N/A</v>
      </c>
      <c r="L1885" s="40" t="e">
        <f t="shared" si="3629"/>
        <v>#N/A</v>
      </c>
      <c r="M1885" s="16" t="e">
        <f t="shared" si="3630"/>
        <v>#N/A</v>
      </c>
      <c r="N1885" s="16" t="e">
        <f t="shared" si="3631"/>
        <v>#N/A</v>
      </c>
      <c r="O1885" s="16" t="s">
        <v>70</v>
      </c>
      <c r="P1885" s="16" t="str">
        <f t="shared" si="6"/>
        <v/>
      </c>
      <c r="Q1885" s="41" t="e">
        <f t="shared" si="3632"/>
        <v>#N/A</v>
      </c>
      <c r="R1885" s="44"/>
      <c r="S1885" s="44"/>
      <c r="T1885" s="43"/>
      <c r="U1885" s="43" t="str">
        <f t="shared" si="8"/>
        <v>No</v>
      </c>
      <c r="V1885" s="25"/>
      <c r="W1885" s="25"/>
      <c r="X1885" s="25"/>
      <c r="Y1885" s="25"/>
      <c r="Z1885" s="25"/>
    </row>
    <row r="1886" spans="1:26" ht="15.75" customHeight="1" x14ac:dyDescent="0.25">
      <c r="A1886" s="25">
        <v>1884</v>
      </c>
      <c r="B1886" s="37" t="e">
        <f t="shared" ref="B1886:D1886" si="3797">VLOOKUP($A1886,[6]Gobierno!$A$1:$O$234,B$1,0)</f>
        <v>#N/A</v>
      </c>
      <c r="C1886" s="38" t="e">
        <f t="shared" si="3797"/>
        <v>#N/A</v>
      </c>
      <c r="D1886" s="39" t="e">
        <f t="shared" si="3797"/>
        <v>#N/A</v>
      </c>
      <c r="E1886" s="16" t="e">
        <f t="shared" si="1"/>
        <v>#N/A</v>
      </c>
      <c r="F1886" s="16" t="e">
        <f t="shared" ref="F1886:K1886" si="3798">VLOOKUP($A1886,[6]Gobierno!$A$1:$O$234,F$1,0)</f>
        <v>#N/A</v>
      </c>
      <c r="G1886" s="39" t="e">
        <f t="shared" si="3798"/>
        <v>#N/A</v>
      </c>
      <c r="H1886" s="16" t="e">
        <f t="shared" si="3798"/>
        <v>#N/A</v>
      </c>
      <c r="I1886" s="16" t="e">
        <f t="shared" si="3798"/>
        <v>#N/A</v>
      </c>
      <c r="J1886" s="40" t="e">
        <f t="shared" si="3798"/>
        <v>#N/A</v>
      </c>
      <c r="K1886" s="16" t="e">
        <f t="shared" si="3798"/>
        <v>#N/A</v>
      </c>
      <c r="L1886" s="40" t="e">
        <f t="shared" si="3629"/>
        <v>#N/A</v>
      </c>
      <c r="M1886" s="16" t="e">
        <f t="shared" si="3630"/>
        <v>#N/A</v>
      </c>
      <c r="N1886" s="16" t="e">
        <f t="shared" si="3631"/>
        <v>#N/A</v>
      </c>
      <c r="O1886" s="16" t="s">
        <v>70</v>
      </c>
      <c r="P1886" s="16" t="str">
        <f t="shared" si="6"/>
        <v/>
      </c>
      <c r="Q1886" s="41" t="e">
        <f t="shared" si="3632"/>
        <v>#N/A</v>
      </c>
      <c r="R1886" s="44"/>
      <c r="S1886" s="44"/>
      <c r="T1886" s="43"/>
      <c r="U1886" s="43" t="str">
        <f t="shared" si="8"/>
        <v>No</v>
      </c>
      <c r="V1886" s="25"/>
      <c r="W1886" s="25"/>
      <c r="X1886" s="25"/>
      <c r="Y1886" s="25"/>
      <c r="Z1886" s="25"/>
    </row>
    <row r="1887" spans="1:26" ht="15.75" customHeight="1" x14ac:dyDescent="0.25">
      <c r="A1887" s="25">
        <v>1885</v>
      </c>
      <c r="B1887" s="37" t="e">
        <f t="shared" ref="B1887:D1887" si="3799">VLOOKUP($A1887,[6]Gobierno!$A$1:$O$234,B$1,0)</f>
        <v>#N/A</v>
      </c>
      <c r="C1887" s="38" t="e">
        <f t="shared" si="3799"/>
        <v>#N/A</v>
      </c>
      <c r="D1887" s="39" t="e">
        <f t="shared" si="3799"/>
        <v>#N/A</v>
      </c>
      <c r="E1887" s="16" t="e">
        <f t="shared" si="1"/>
        <v>#N/A</v>
      </c>
      <c r="F1887" s="16" t="e">
        <f t="shared" ref="F1887:K1887" si="3800">VLOOKUP($A1887,[6]Gobierno!$A$1:$O$234,F$1,0)</f>
        <v>#N/A</v>
      </c>
      <c r="G1887" s="39" t="e">
        <f t="shared" si="3800"/>
        <v>#N/A</v>
      </c>
      <c r="H1887" s="16" t="e">
        <f t="shared" si="3800"/>
        <v>#N/A</v>
      </c>
      <c r="I1887" s="16" t="e">
        <f t="shared" si="3800"/>
        <v>#N/A</v>
      </c>
      <c r="J1887" s="40" t="e">
        <f t="shared" si="3800"/>
        <v>#N/A</v>
      </c>
      <c r="K1887" s="16" t="e">
        <f t="shared" si="3800"/>
        <v>#N/A</v>
      </c>
      <c r="L1887" s="40" t="e">
        <f t="shared" si="3629"/>
        <v>#N/A</v>
      </c>
      <c r="M1887" s="16" t="e">
        <f t="shared" si="3630"/>
        <v>#N/A</v>
      </c>
      <c r="N1887" s="16" t="e">
        <f t="shared" si="3631"/>
        <v>#N/A</v>
      </c>
      <c r="O1887" s="16" t="s">
        <v>70</v>
      </c>
      <c r="P1887" s="16" t="str">
        <f t="shared" si="6"/>
        <v/>
      </c>
      <c r="Q1887" s="41" t="e">
        <f t="shared" si="3632"/>
        <v>#N/A</v>
      </c>
      <c r="R1887" s="44"/>
      <c r="S1887" s="44"/>
      <c r="T1887" s="43"/>
      <c r="U1887" s="43" t="str">
        <f t="shared" si="8"/>
        <v>No</v>
      </c>
      <c r="V1887" s="25"/>
      <c r="W1887" s="25"/>
      <c r="X1887" s="25"/>
      <c r="Y1887" s="25"/>
      <c r="Z1887" s="25"/>
    </row>
    <row r="1888" spans="1:26" ht="15.75" customHeight="1" x14ac:dyDescent="0.25">
      <c r="A1888" s="25">
        <v>1886</v>
      </c>
      <c r="B1888" s="37" t="e">
        <f t="shared" ref="B1888:D1888" si="3801">VLOOKUP($A1888,[6]Gobierno!$A$1:$O$234,B$1,0)</f>
        <v>#N/A</v>
      </c>
      <c r="C1888" s="38" t="e">
        <f t="shared" si="3801"/>
        <v>#N/A</v>
      </c>
      <c r="D1888" s="39" t="e">
        <f t="shared" si="3801"/>
        <v>#N/A</v>
      </c>
      <c r="E1888" s="16" t="e">
        <f t="shared" si="1"/>
        <v>#N/A</v>
      </c>
      <c r="F1888" s="16" t="e">
        <f t="shared" ref="F1888:K1888" si="3802">VLOOKUP($A1888,[6]Gobierno!$A$1:$O$234,F$1,0)</f>
        <v>#N/A</v>
      </c>
      <c r="G1888" s="39" t="e">
        <f t="shared" si="3802"/>
        <v>#N/A</v>
      </c>
      <c r="H1888" s="16" t="e">
        <f t="shared" si="3802"/>
        <v>#N/A</v>
      </c>
      <c r="I1888" s="16" t="e">
        <f t="shared" si="3802"/>
        <v>#N/A</v>
      </c>
      <c r="J1888" s="40" t="e">
        <f t="shared" si="3802"/>
        <v>#N/A</v>
      </c>
      <c r="K1888" s="16" t="e">
        <f t="shared" si="3802"/>
        <v>#N/A</v>
      </c>
      <c r="L1888" s="40" t="e">
        <f t="shared" si="3629"/>
        <v>#N/A</v>
      </c>
      <c r="M1888" s="16" t="e">
        <f t="shared" si="3630"/>
        <v>#N/A</v>
      </c>
      <c r="N1888" s="16" t="e">
        <f t="shared" si="3631"/>
        <v>#N/A</v>
      </c>
      <c r="O1888" s="16" t="s">
        <v>70</v>
      </c>
      <c r="P1888" s="16" t="str">
        <f t="shared" si="6"/>
        <v/>
      </c>
      <c r="Q1888" s="41" t="e">
        <f t="shared" si="3632"/>
        <v>#N/A</v>
      </c>
      <c r="R1888" s="44"/>
      <c r="S1888" s="44"/>
      <c r="T1888" s="43"/>
      <c r="U1888" s="43" t="str">
        <f t="shared" si="8"/>
        <v>No</v>
      </c>
      <c r="V1888" s="25"/>
      <c r="W1888" s="25"/>
      <c r="X1888" s="25"/>
      <c r="Y1888" s="25"/>
      <c r="Z1888" s="25"/>
    </row>
    <row r="1889" spans="1:26" ht="15.75" customHeight="1" x14ac:dyDescent="0.25">
      <c r="A1889" s="25">
        <v>1887</v>
      </c>
      <c r="B1889" s="37" t="e">
        <f t="shared" ref="B1889:D1889" si="3803">VLOOKUP($A1889,[6]Gobierno!$A$1:$O$234,B$1,0)</f>
        <v>#N/A</v>
      </c>
      <c r="C1889" s="38" t="e">
        <f t="shared" si="3803"/>
        <v>#N/A</v>
      </c>
      <c r="D1889" s="39" t="e">
        <f t="shared" si="3803"/>
        <v>#N/A</v>
      </c>
      <c r="E1889" s="16" t="e">
        <f t="shared" si="1"/>
        <v>#N/A</v>
      </c>
      <c r="F1889" s="16" t="e">
        <f t="shared" ref="F1889:K1889" si="3804">VLOOKUP($A1889,[6]Gobierno!$A$1:$O$234,F$1,0)</f>
        <v>#N/A</v>
      </c>
      <c r="G1889" s="39" t="e">
        <f t="shared" si="3804"/>
        <v>#N/A</v>
      </c>
      <c r="H1889" s="16" t="e">
        <f t="shared" si="3804"/>
        <v>#N/A</v>
      </c>
      <c r="I1889" s="16" t="e">
        <f t="shared" si="3804"/>
        <v>#N/A</v>
      </c>
      <c r="J1889" s="40" t="e">
        <f t="shared" si="3804"/>
        <v>#N/A</v>
      </c>
      <c r="K1889" s="16" t="e">
        <f t="shared" si="3804"/>
        <v>#N/A</v>
      </c>
      <c r="L1889" s="40" t="e">
        <f t="shared" si="3629"/>
        <v>#N/A</v>
      </c>
      <c r="M1889" s="16" t="e">
        <f t="shared" si="3630"/>
        <v>#N/A</v>
      </c>
      <c r="N1889" s="16" t="e">
        <f t="shared" si="3631"/>
        <v>#N/A</v>
      </c>
      <c r="O1889" s="16" t="s">
        <v>70</v>
      </c>
      <c r="P1889" s="16" t="str">
        <f t="shared" si="6"/>
        <v/>
      </c>
      <c r="Q1889" s="41" t="e">
        <f t="shared" si="3632"/>
        <v>#N/A</v>
      </c>
      <c r="R1889" s="44"/>
      <c r="S1889" s="44"/>
      <c r="T1889" s="43"/>
      <c r="U1889" s="43" t="str">
        <f t="shared" si="8"/>
        <v>No</v>
      </c>
      <c r="V1889" s="25"/>
      <c r="W1889" s="25"/>
      <c r="X1889" s="25"/>
      <c r="Y1889" s="25"/>
      <c r="Z1889" s="25"/>
    </row>
    <row r="1890" spans="1:26" ht="15.75" customHeight="1" x14ac:dyDescent="0.25">
      <c r="A1890" s="25">
        <v>1888</v>
      </c>
      <c r="B1890" s="37" t="e">
        <f t="shared" ref="B1890:D1890" si="3805">VLOOKUP($A1890,[6]Gobierno!$A$1:$O$234,B$1,0)</f>
        <v>#N/A</v>
      </c>
      <c r="C1890" s="38" t="e">
        <f t="shared" si="3805"/>
        <v>#N/A</v>
      </c>
      <c r="D1890" s="39" t="e">
        <f t="shared" si="3805"/>
        <v>#N/A</v>
      </c>
      <c r="E1890" s="16" t="e">
        <f t="shared" si="1"/>
        <v>#N/A</v>
      </c>
      <c r="F1890" s="16" t="e">
        <f t="shared" ref="F1890:K1890" si="3806">VLOOKUP($A1890,[6]Gobierno!$A$1:$O$234,F$1,0)</f>
        <v>#N/A</v>
      </c>
      <c r="G1890" s="39" t="e">
        <f t="shared" si="3806"/>
        <v>#N/A</v>
      </c>
      <c r="H1890" s="16" t="e">
        <f t="shared" si="3806"/>
        <v>#N/A</v>
      </c>
      <c r="I1890" s="16" t="e">
        <f t="shared" si="3806"/>
        <v>#N/A</v>
      </c>
      <c r="J1890" s="40" t="e">
        <f t="shared" si="3806"/>
        <v>#N/A</v>
      </c>
      <c r="K1890" s="16" t="e">
        <f t="shared" si="3806"/>
        <v>#N/A</v>
      </c>
      <c r="L1890" s="40" t="e">
        <f t="shared" si="3629"/>
        <v>#N/A</v>
      </c>
      <c r="M1890" s="16" t="e">
        <f t="shared" si="3630"/>
        <v>#N/A</v>
      </c>
      <c r="N1890" s="16" t="e">
        <f t="shared" si="3631"/>
        <v>#N/A</v>
      </c>
      <c r="O1890" s="16" t="s">
        <v>70</v>
      </c>
      <c r="P1890" s="16" t="str">
        <f t="shared" si="6"/>
        <v/>
      </c>
      <c r="Q1890" s="41" t="e">
        <f t="shared" si="3632"/>
        <v>#N/A</v>
      </c>
      <c r="R1890" s="44"/>
      <c r="S1890" s="44"/>
      <c r="T1890" s="43"/>
      <c r="U1890" s="43" t="str">
        <f t="shared" si="8"/>
        <v>No</v>
      </c>
      <c r="V1890" s="25"/>
      <c r="W1890" s="25"/>
      <c r="X1890" s="25"/>
      <c r="Y1890" s="25"/>
      <c r="Z1890" s="25"/>
    </row>
    <row r="1891" spans="1:26" ht="15.75" customHeight="1" x14ac:dyDescent="0.25">
      <c r="A1891" s="25">
        <v>1889</v>
      </c>
      <c r="B1891" s="37" t="e">
        <f t="shared" ref="B1891:D1891" si="3807">VLOOKUP($A1891,[6]Gobierno!$A$1:$O$234,B$1,0)</f>
        <v>#N/A</v>
      </c>
      <c r="C1891" s="38" t="e">
        <f t="shared" si="3807"/>
        <v>#N/A</v>
      </c>
      <c r="D1891" s="39" t="e">
        <f t="shared" si="3807"/>
        <v>#N/A</v>
      </c>
      <c r="E1891" s="16" t="e">
        <f t="shared" si="1"/>
        <v>#N/A</v>
      </c>
      <c r="F1891" s="16" t="e">
        <f t="shared" ref="F1891:K1891" si="3808">VLOOKUP($A1891,[6]Gobierno!$A$1:$O$234,F$1,0)</f>
        <v>#N/A</v>
      </c>
      <c r="G1891" s="39" t="e">
        <f t="shared" si="3808"/>
        <v>#N/A</v>
      </c>
      <c r="H1891" s="16" t="e">
        <f t="shared" si="3808"/>
        <v>#N/A</v>
      </c>
      <c r="I1891" s="16" t="e">
        <f t="shared" si="3808"/>
        <v>#N/A</v>
      </c>
      <c r="J1891" s="40" t="e">
        <f t="shared" si="3808"/>
        <v>#N/A</v>
      </c>
      <c r="K1891" s="16" t="e">
        <f t="shared" si="3808"/>
        <v>#N/A</v>
      </c>
      <c r="L1891" s="40" t="e">
        <f t="shared" si="3629"/>
        <v>#N/A</v>
      </c>
      <c r="M1891" s="16" t="e">
        <f t="shared" si="3630"/>
        <v>#N/A</v>
      </c>
      <c r="N1891" s="16" t="e">
        <f t="shared" si="3631"/>
        <v>#N/A</v>
      </c>
      <c r="O1891" s="16" t="s">
        <v>70</v>
      </c>
      <c r="P1891" s="16" t="str">
        <f t="shared" si="6"/>
        <v/>
      </c>
      <c r="Q1891" s="41" t="e">
        <f t="shared" si="3632"/>
        <v>#N/A</v>
      </c>
      <c r="R1891" s="44"/>
      <c r="S1891" s="44"/>
      <c r="T1891" s="43"/>
      <c r="U1891" s="43" t="str">
        <f t="shared" si="8"/>
        <v>No</v>
      </c>
      <c r="V1891" s="25"/>
      <c r="W1891" s="25"/>
      <c r="X1891" s="25"/>
      <c r="Y1891" s="25"/>
      <c r="Z1891" s="25"/>
    </row>
    <row r="1892" spans="1:26" ht="15.75" customHeight="1" x14ac:dyDescent="0.25">
      <c r="A1892" s="25">
        <v>1890</v>
      </c>
      <c r="B1892" s="37" t="e">
        <f t="shared" ref="B1892:D1892" si="3809">VLOOKUP($A1892,[6]Gobierno!$A$1:$O$234,B$1,0)</f>
        <v>#N/A</v>
      </c>
      <c r="C1892" s="38" t="e">
        <f t="shared" si="3809"/>
        <v>#N/A</v>
      </c>
      <c r="D1892" s="39" t="e">
        <f t="shared" si="3809"/>
        <v>#N/A</v>
      </c>
      <c r="E1892" s="16" t="e">
        <f t="shared" si="1"/>
        <v>#N/A</v>
      </c>
      <c r="F1892" s="16" t="e">
        <f t="shared" ref="F1892:K1892" si="3810">VLOOKUP($A1892,[6]Gobierno!$A$1:$O$234,F$1,0)</f>
        <v>#N/A</v>
      </c>
      <c r="G1892" s="39" t="e">
        <f t="shared" si="3810"/>
        <v>#N/A</v>
      </c>
      <c r="H1892" s="16" t="e">
        <f t="shared" si="3810"/>
        <v>#N/A</v>
      </c>
      <c r="I1892" s="16" t="e">
        <f t="shared" si="3810"/>
        <v>#N/A</v>
      </c>
      <c r="J1892" s="40" t="e">
        <f t="shared" si="3810"/>
        <v>#N/A</v>
      </c>
      <c r="K1892" s="16" t="e">
        <f t="shared" si="3810"/>
        <v>#N/A</v>
      </c>
      <c r="L1892" s="40" t="e">
        <f t="shared" si="3629"/>
        <v>#N/A</v>
      </c>
      <c r="M1892" s="16" t="e">
        <f t="shared" si="3630"/>
        <v>#N/A</v>
      </c>
      <c r="N1892" s="16" t="e">
        <f t="shared" si="3631"/>
        <v>#N/A</v>
      </c>
      <c r="O1892" s="16" t="s">
        <v>70</v>
      </c>
      <c r="P1892" s="16" t="str">
        <f t="shared" si="6"/>
        <v/>
      </c>
      <c r="Q1892" s="41" t="e">
        <f t="shared" si="3632"/>
        <v>#N/A</v>
      </c>
      <c r="R1892" s="44"/>
      <c r="S1892" s="44"/>
      <c r="T1892" s="43"/>
      <c r="U1892" s="43" t="str">
        <f t="shared" si="8"/>
        <v>No</v>
      </c>
      <c r="V1892" s="25"/>
      <c r="W1892" s="25"/>
      <c r="X1892" s="25"/>
      <c r="Y1892" s="25"/>
      <c r="Z1892" s="25"/>
    </row>
    <row r="1893" spans="1:26" ht="15.75" customHeight="1" x14ac:dyDescent="0.25">
      <c r="A1893" s="25">
        <v>1891</v>
      </c>
      <c r="B1893" s="37" t="e">
        <f t="shared" ref="B1893:D1893" si="3811">VLOOKUP($A1893,[6]Gobierno!$A$1:$O$234,B$1,0)</f>
        <v>#N/A</v>
      </c>
      <c r="C1893" s="38" t="e">
        <f t="shared" si="3811"/>
        <v>#N/A</v>
      </c>
      <c r="D1893" s="39" t="e">
        <f t="shared" si="3811"/>
        <v>#N/A</v>
      </c>
      <c r="E1893" s="16" t="e">
        <f t="shared" si="1"/>
        <v>#N/A</v>
      </c>
      <c r="F1893" s="16" t="e">
        <f t="shared" ref="F1893:K1893" si="3812">VLOOKUP($A1893,[6]Gobierno!$A$1:$O$234,F$1,0)</f>
        <v>#N/A</v>
      </c>
      <c r="G1893" s="39" t="e">
        <f t="shared" si="3812"/>
        <v>#N/A</v>
      </c>
      <c r="H1893" s="16" t="e">
        <f t="shared" si="3812"/>
        <v>#N/A</v>
      </c>
      <c r="I1893" s="16" t="e">
        <f t="shared" si="3812"/>
        <v>#N/A</v>
      </c>
      <c r="J1893" s="40" t="e">
        <f t="shared" si="3812"/>
        <v>#N/A</v>
      </c>
      <c r="K1893" s="16" t="e">
        <f t="shared" si="3812"/>
        <v>#N/A</v>
      </c>
      <c r="L1893" s="40" t="e">
        <f t="shared" si="3629"/>
        <v>#N/A</v>
      </c>
      <c r="M1893" s="16" t="e">
        <f t="shared" si="3630"/>
        <v>#N/A</v>
      </c>
      <c r="N1893" s="16" t="e">
        <f t="shared" si="3631"/>
        <v>#N/A</v>
      </c>
      <c r="O1893" s="16" t="s">
        <v>70</v>
      </c>
      <c r="P1893" s="16" t="str">
        <f t="shared" si="6"/>
        <v/>
      </c>
      <c r="Q1893" s="41" t="e">
        <f t="shared" si="3632"/>
        <v>#N/A</v>
      </c>
      <c r="R1893" s="44"/>
      <c r="S1893" s="44"/>
      <c r="T1893" s="43"/>
      <c r="U1893" s="43" t="str">
        <f t="shared" si="8"/>
        <v>No</v>
      </c>
      <c r="V1893" s="25"/>
      <c r="W1893" s="25"/>
      <c r="X1893" s="25"/>
      <c r="Y1893" s="25"/>
      <c r="Z1893" s="25"/>
    </row>
    <row r="1894" spans="1:26" ht="15.75" customHeight="1" x14ac:dyDescent="0.25">
      <c r="A1894" s="25">
        <v>1892</v>
      </c>
      <c r="B1894" s="37" t="e">
        <f t="shared" ref="B1894:D1894" si="3813">VLOOKUP($A1894,[6]Gobierno!$A$1:$O$234,B$1,0)</f>
        <v>#N/A</v>
      </c>
      <c r="C1894" s="38" t="e">
        <f t="shared" si="3813"/>
        <v>#N/A</v>
      </c>
      <c r="D1894" s="39" t="e">
        <f t="shared" si="3813"/>
        <v>#N/A</v>
      </c>
      <c r="E1894" s="16" t="e">
        <f t="shared" si="1"/>
        <v>#N/A</v>
      </c>
      <c r="F1894" s="16" t="e">
        <f t="shared" ref="F1894:K1894" si="3814">VLOOKUP($A1894,[6]Gobierno!$A$1:$O$234,F$1,0)</f>
        <v>#N/A</v>
      </c>
      <c r="G1894" s="39" t="e">
        <f t="shared" si="3814"/>
        <v>#N/A</v>
      </c>
      <c r="H1894" s="16" t="e">
        <f t="shared" si="3814"/>
        <v>#N/A</v>
      </c>
      <c r="I1894" s="16" t="e">
        <f t="shared" si="3814"/>
        <v>#N/A</v>
      </c>
      <c r="J1894" s="40" t="e">
        <f t="shared" si="3814"/>
        <v>#N/A</v>
      </c>
      <c r="K1894" s="16" t="e">
        <f t="shared" si="3814"/>
        <v>#N/A</v>
      </c>
      <c r="L1894" s="40" t="e">
        <f t="shared" si="3629"/>
        <v>#N/A</v>
      </c>
      <c r="M1894" s="16" t="e">
        <f t="shared" si="3630"/>
        <v>#N/A</v>
      </c>
      <c r="N1894" s="16" t="e">
        <f t="shared" si="3631"/>
        <v>#N/A</v>
      </c>
      <c r="O1894" s="16" t="s">
        <v>70</v>
      </c>
      <c r="P1894" s="16" t="str">
        <f t="shared" si="6"/>
        <v/>
      </c>
      <c r="Q1894" s="41" t="e">
        <f t="shared" si="3632"/>
        <v>#N/A</v>
      </c>
      <c r="R1894" s="44"/>
      <c r="S1894" s="44"/>
      <c r="T1894" s="43"/>
      <c r="U1894" s="43" t="str">
        <f t="shared" si="8"/>
        <v>No</v>
      </c>
      <c r="V1894" s="25"/>
      <c r="W1894" s="25"/>
      <c r="X1894" s="25"/>
      <c r="Y1894" s="25"/>
      <c r="Z1894" s="25"/>
    </row>
    <row r="1895" spans="1:26" ht="15.75" customHeight="1" x14ac:dyDescent="0.25">
      <c r="A1895" s="25">
        <v>1893</v>
      </c>
      <c r="B1895" s="37" t="e">
        <f t="shared" ref="B1895:D1895" si="3815">VLOOKUP($A1895,[6]Gobierno!$A$1:$O$234,B$1,0)</f>
        <v>#N/A</v>
      </c>
      <c r="C1895" s="38" t="e">
        <f t="shared" si="3815"/>
        <v>#N/A</v>
      </c>
      <c r="D1895" s="39" t="e">
        <f t="shared" si="3815"/>
        <v>#N/A</v>
      </c>
      <c r="E1895" s="16" t="e">
        <f t="shared" si="1"/>
        <v>#N/A</v>
      </c>
      <c r="F1895" s="16" t="e">
        <f t="shared" ref="F1895:K1895" si="3816">VLOOKUP($A1895,[6]Gobierno!$A$1:$O$234,F$1,0)</f>
        <v>#N/A</v>
      </c>
      <c r="G1895" s="39" t="e">
        <f t="shared" si="3816"/>
        <v>#N/A</v>
      </c>
      <c r="H1895" s="16" t="e">
        <f t="shared" si="3816"/>
        <v>#N/A</v>
      </c>
      <c r="I1895" s="16" t="e">
        <f t="shared" si="3816"/>
        <v>#N/A</v>
      </c>
      <c r="J1895" s="40" t="e">
        <f t="shared" si="3816"/>
        <v>#N/A</v>
      </c>
      <c r="K1895" s="16" t="e">
        <f t="shared" si="3816"/>
        <v>#N/A</v>
      </c>
      <c r="L1895" s="40" t="e">
        <f t="shared" si="3629"/>
        <v>#N/A</v>
      </c>
      <c r="M1895" s="16" t="e">
        <f t="shared" si="3630"/>
        <v>#N/A</v>
      </c>
      <c r="N1895" s="16" t="e">
        <f t="shared" si="3631"/>
        <v>#N/A</v>
      </c>
      <c r="O1895" s="16" t="s">
        <v>70</v>
      </c>
      <c r="P1895" s="16" t="str">
        <f t="shared" si="6"/>
        <v/>
      </c>
      <c r="Q1895" s="41" t="e">
        <f t="shared" si="3632"/>
        <v>#N/A</v>
      </c>
      <c r="R1895" s="44"/>
      <c r="S1895" s="44"/>
      <c r="T1895" s="43"/>
      <c r="U1895" s="43" t="str">
        <f t="shared" si="8"/>
        <v>No</v>
      </c>
      <c r="V1895" s="25"/>
      <c r="W1895" s="25"/>
      <c r="X1895" s="25"/>
      <c r="Y1895" s="25"/>
      <c r="Z1895" s="25"/>
    </row>
    <row r="1896" spans="1:26" ht="15.75" customHeight="1" x14ac:dyDescent="0.25">
      <c r="A1896" s="25">
        <v>1894</v>
      </c>
      <c r="B1896" s="37" t="e">
        <f t="shared" ref="B1896:D1896" si="3817">VLOOKUP($A1896,[6]Gobierno!$A$1:$O$234,B$1,0)</f>
        <v>#N/A</v>
      </c>
      <c r="C1896" s="38" t="e">
        <f t="shared" si="3817"/>
        <v>#N/A</v>
      </c>
      <c r="D1896" s="39" t="e">
        <f t="shared" si="3817"/>
        <v>#N/A</v>
      </c>
      <c r="E1896" s="16" t="e">
        <f t="shared" si="1"/>
        <v>#N/A</v>
      </c>
      <c r="F1896" s="16" t="e">
        <f t="shared" ref="F1896:K1896" si="3818">VLOOKUP($A1896,[6]Gobierno!$A$1:$O$234,F$1,0)</f>
        <v>#N/A</v>
      </c>
      <c r="G1896" s="39" t="e">
        <f t="shared" si="3818"/>
        <v>#N/A</v>
      </c>
      <c r="H1896" s="16" t="e">
        <f t="shared" si="3818"/>
        <v>#N/A</v>
      </c>
      <c r="I1896" s="16" t="e">
        <f t="shared" si="3818"/>
        <v>#N/A</v>
      </c>
      <c r="J1896" s="40" t="e">
        <f t="shared" si="3818"/>
        <v>#N/A</v>
      </c>
      <c r="K1896" s="16" t="e">
        <f t="shared" si="3818"/>
        <v>#N/A</v>
      </c>
      <c r="L1896" s="40" t="e">
        <f t="shared" si="3629"/>
        <v>#N/A</v>
      </c>
      <c r="M1896" s="16" t="e">
        <f t="shared" si="3630"/>
        <v>#N/A</v>
      </c>
      <c r="N1896" s="16" t="e">
        <f t="shared" si="3631"/>
        <v>#N/A</v>
      </c>
      <c r="O1896" s="16" t="s">
        <v>70</v>
      </c>
      <c r="P1896" s="16" t="str">
        <f t="shared" si="6"/>
        <v/>
      </c>
      <c r="Q1896" s="41" t="e">
        <f t="shared" si="3632"/>
        <v>#N/A</v>
      </c>
      <c r="R1896" s="44"/>
      <c r="S1896" s="44"/>
      <c r="T1896" s="43"/>
      <c r="U1896" s="43" t="str">
        <f t="shared" si="8"/>
        <v>No</v>
      </c>
      <c r="V1896" s="25"/>
      <c r="W1896" s="25"/>
      <c r="X1896" s="25"/>
      <c r="Y1896" s="25"/>
      <c r="Z1896" s="25"/>
    </row>
    <row r="1897" spans="1:26" ht="15.75" customHeight="1" x14ac:dyDescent="0.25">
      <c r="A1897" s="25">
        <v>1895</v>
      </c>
      <c r="B1897" s="37" t="e">
        <f t="shared" ref="B1897:D1897" si="3819">VLOOKUP($A1897,[6]Gobierno!$A$1:$O$234,B$1,0)</f>
        <v>#N/A</v>
      </c>
      <c r="C1897" s="38" t="e">
        <f t="shared" si="3819"/>
        <v>#N/A</v>
      </c>
      <c r="D1897" s="39" t="e">
        <f t="shared" si="3819"/>
        <v>#N/A</v>
      </c>
      <c r="E1897" s="16" t="e">
        <f t="shared" si="1"/>
        <v>#N/A</v>
      </c>
      <c r="F1897" s="16" t="e">
        <f t="shared" ref="F1897:K1897" si="3820">VLOOKUP($A1897,[6]Gobierno!$A$1:$O$234,F$1,0)</f>
        <v>#N/A</v>
      </c>
      <c r="G1897" s="39" t="e">
        <f t="shared" si="3820"/>
        <v>#N/A</v>
      </c>
      <c r="H1897" s="16" t="e">
        <f t="shared" si="3820"/>
        <v>#N/A</v>
      </c>
      <c r="I1897" s="16" t="e">
        <f t="shared" si="3820"/>
        <v>#N/A</v>
      </c>
      <c r="J1897" s="40" t="e">
        <f t="shared" si="3820"/>
        <v>#N/A</v>
      </c>
      <c r="K1897" s="16" t="e">
        <f t="shared" si="3820"/>
        <v>#N/A</v>
      </c>
      <c r="L1897" s="40" t="e">
        <f t="shared" si="3629"/>
        <v>#N/A</v>
      </c>
      <c r="M1897" s="16" t="e">
        <f t="shared" si="3630"/>
        <v>#N/A</v>
      </c>
      <c r="N1897" s="16" t="e">
        <f t="shared" si="3631"/>
        <v>#N/A</v>
      </c>
      <c r="O1897" s="16" t="s">
        <v>70</v>
      </c>
      <c r="P1897" s="16" t="str">
        <f t="shared" si="6"/>
        <v/>
      </c>
      <c r="Q1897" s="41" t="e">
        <f t="shared" si="3632"/>
        <v>#N/A</v>
      </c>
      <c r="R1897" s="44"/>
      <c r="S1897" s="44"/>
      <c r="T1897" s="43"/>
      <c r="U1897" s="43" t="str">
        <f t="shared" si="8"/>
        <v>No</v>
      </c>
      <c r="V1897" s="25"/>
      <c r="W1897" s="25"/>
      <c r="X1897" s="25"/>
      <c r="Y1897" s="25"/>
      <c r="Z1897" s="25"/>
    </row>
    <row r="1898" spans="1:26" ht="15.75" customHeight="1" x14ac:dyDescent="0.25">
      <c r="A1898" s="25">
        <v>1896</v>
      </c>
      <c r="B1898" s="37" t="e">
        <f t="shared" ref="B1898:D1898" si="3821">VLOOKUP($A1898,[6]Gobierno!$A$1:$O$234,B$1,0)</f>
        <v>#N/A</v>
      </c>
      <c r="C1898" s="38" t="e">
        <f t="shared" si="3821"/>
        <v>#N/A</v>
      </c>
      <c r="D1898" s="39" t="e">
        <f t="shared" si="3821"/>
        <v>#N/A</v>
      </c>
      <c r="E1898" s="16" t="e">
        <f t="shared" si="1"/>
        <v>#N/A</v>
      </c>
      <c r="F1898" s="16" t="e">
        <f t="shared" ref="F1898:K1898" si="3822">VLOOKUP($A1898,[6]Gobierno!$A$1:$O$234,F$1,0)</f>
        <v>#N/A</v>
      </c>
      <c r="G1898" s="39" t="e">
        <f t="shared" si="3822"/>
        <v>#N/A</v>
      </c>
      <c r="H1898" s="16" t="e">
        <f t="shared" si="3822"/>
        <v>#N/A</v>
      </c>
      <c r="I1898" s="16" t="e">
        <f t="shared" si="3822"/>
        <v>#N/A</v>
      </c>
      <c r="J1898" s="40" t="e">
        <f t="shared" si="3822"/>
        <v>#N/A</v>
      </c>
      <c r="K1898" s="16" t="e">
        <f t="shared" si="3822"/>
        <v>#N/A</v>
      </c>
      <c r="L1898" s="40" t="e">
        <f t="shared" si="3629"/>
        <v>#N/A</v>
      </c>
      <c r="M1898" s="16" t="e">
        <f t="shared" si="3630"/>
        <v>#N/A</v>
      </c>
      <c r="N1898" s="16" t="e">
        <f t="shared" si="3631"/>
        <v>#N/A</v>
      </c>
      <c r="O1898" s="16" t="s">
        <v>70</v>
      </c>
      <c r="P1898" s="16" t="str">
        <f t="shared" si="6"/>
        <v/>
      </c>
      <c r="Q1898" s="41" t="e">
        <f t="shared" si="3632"/>
        <v>#N/A</v>
      </c>
      <c r="R1898" s="44"/>
      <c r="S1898" s="44"/>
      <c r="T1898" s="43"/>
      <c r="U1898" s="43" t="str">
        <f t="shared" si="8"/>
        <v>No</v>
      </c>
      <c r="V1898" s="25"/>
      <c r="W1898" s="25"/>
      <c r="X1898" s="25"/>
      <c r="Y1898" s="25"/>
      <c r="Z1898" s="25"/>
    </row>
    <row r="1899" spans="1:26" ht="15.75" customHeight="1" x14ac:dyDescent="0.25">
      <c r="A1899" s="25">
        <v>1897</v>
      </c>
      <c r="B1899" s="37" t="e">
        <f t="shared" ref="B1899:D1899" si="3823">VLOOKUP($A1899,[6]Gobierno!$A$1:$O$234,B$1,0)</f>
        <v>#N/A</v>
      </c>
      <c r="C1899" s="38" t="e">
        <f t="shared" si="3823"/>
        <v>#N/A</v>
      </c>
      <c r="D1899" s="39" t="e">
        <f t="shared" si="3823"/>
        <v>#N/A</v>
      </c>
      <c r="E1899" s="16" t="e">
        <f t="shared" si="1"/>
        <v>#N/A</v>
      </c>
      <c r="F1899" s="16" t="e">
        <f t="shared" ref="F1899:K1899" si="3824">VLOOKUP($A1899,[6]Gobierno!$A$1:$O$234,F$1,0)</f>
        <v>#N/A</v>
      </c>
      <c r="G1899" s="39" t="e">
        <f t="shared" si="3824"/>
        <v>#N/A</v>
      </c>
      <c r="H1899" s="16" t="e">
        <f t="shared" si="3824"/>
        <v>#N/A</v>
      </c>
      <c r="I1899" s="16" t="e">
        <f t="shared" si="3824"/>
        <v>#N/A</v>
      </c>
      <c r="J1899" s="40" t="e">
        <f t="shared" si="3824"/>
        <v>#N/A</v>
      </c>
      <c r="K1899" s="16" t="e">
        <f t="shared" si="3824"/>
        <v>#N/A</v>
      </c>
      <c r="L1899" s="40" t="e">
        <f t="shared" si="3629"/>
        <v>#N/A</v>
      </c>
      <c r="M1899" s="16" t="e">
        <f t="shared" si="3630"/>
        <v>#N/A</v>
      </c>
      <c r="N1899" s="16" t="e">
        <f t="shared" si="3631"/>
        <v>#N/A</v>
      </c>
      <c r="O1899" s="16" t="s">
        <v>70</v>
      </c>
      <c r="P1899" s="16" t="str">
        <f t="shared" si="6"/>
        <v/>
      </c>
      <c r="Q1899" s="41" t="e">
        <f t="shared" si="3632"/>
        <v>#N/A</v>
      </c>
      <c r="R1899" s="44"/>
      <c r="S1899" s="44"/>
      <c r="T1899" s="43"/>
      <c r="U1899" s="43" t="str">
        <f t="shared" si="8"/>
        <v>No</v>
      </c>
      <c r="V1899" s="25"/>
      <c r="W1899" s="25"/>
      <c r="X1899" s="25"/>
      <c r="Y1899" s="25"/>
      <c r="Z1899" s="25"/>
    </row>
    <row r="1900" spans="1:26" ht="15.75" customHeight="1" x14ac:dyDescent="0.25">
      <c r="A1900" s="25">
        <v>1898</v>
      </c>
      <c r="B1900" s="37" t="e">
        <f t="shared" ref="B1900:D1900" si="3825">VLOOKUP($A1900,[6]Gobierno!$A$1:$O$234,B$1,0)</f>
        <v>#N/A</v>
      </c>
      <c r="C1900" s="38" t="e">
        <f t="shared" si="3825"/>
        <v>#N/A</v>
      </c>
      <c r="D1900" s="39" t="e">
        <f t="shared" si="3825"/>
        <v>#N/A</v>
      </c>
      <c r="E1900" s="16" t="e">
        <f t="shared" si="1"/>
        <v>#N/A</v>
      </c>
      <c r="F1900" s="16" t="e">
        <f t="shared" ref="F1900:K1900" si="3826">VLOOKUP($A1900,[6]Gobierno!$A$1:$O$234,F$1,0)</f>
        <v>#N/A</v>
      </c>
      <c r="G1900" s="39" t="e">
        <f t="shared" si="3826"/>
        <v>#N/A</v>
      </c>
      <c r="H1900" s="16" t="e">
        <f t="shared" si="3826"/>
        <v>#N/A</v>
      </c>
      <c r="I1900" s="16" t="e">
        <f t="shared" si="3826"/>
        <v>#N/A</v>
      </c>
      <c r="J1900" s="40" t="e">
        <f t="shared" si="3826"/>
        <v>#N/A</v>
      </c>
      <c r="K1900" s="16" t="e">
        <f t="shared" si="3826"/>
        <v>#N/A</v>
      </c>
      <c r="L1900" s="40" t="e">
        <f t="shared" si="3629"/>
        <v>#N/A</v>
      </c>
      <c r="M1900" s="16" t="e">
        <f t="shared" si="3630"/>
        <v>#N/A</v>
      </c>
      <c r="N1900" s="16" t="e">
        <f t="shared" si="3631"/>
        <v>#N/A</v>
      </c>
      <c r="O1900" s="16" t="s">
        <v>70</v>
      </c>
      <c r="P1900" s="16" t="str">
        <f t="shared" si="6"/>
        <v/>
      </c>
      <c r="Q1900" s="41" t="e">
        <f t="shared" si="3632"/>
        <v>#N/A</v>
      </c>
      <c r="R1900" s="44"/>
      <c r="S1900" s="44"/>
      <c r="T1900" s="43"/>
      <c r="U1900" s="43" t="str">
        <f t="shared" si="8"/>
        <v>No</v>
      </c>
      <c r="V1900" s="25"/>
      <c r="W1900" s="25"/>
      <c r="X1900" s="25"/>
      <c r="Y1900" s="25"/>
      <c r="Z1900" s="25"/>
    </row>
    <row r="1901" spans="1:26" ht="15.75" customHeight="1" x14ac:dyDescent="0.25">
      <c r="A1901" s="25">
        <v>1899</v>
      </c>
      <c r="B1901" s="37" t="e">
        <f t="shared" ref="B1901:D1901" si="3827">VLOOKUP($A1901,[6]Gobierno!$A$1:$O$234,B$1,0)</f>
        <v>#N/A</v>
      </c>
      <c r="C1901" s="38" t="e">
        <f t="shared" si="3827"/>
        <v>#N/A</v>
      </c>
      <c r="D1901" s="39" t="e">
        <f t="shared" si="3827"/>
        <v>#N/A</v>
      </c>
      <c r="E1901" s="16" t="e">
        <f t="shared" si="1"/>
        <v>#N/A</v>
      </c>
      <c r="F1901" s="16" t="e">
        <f t="shared" ref="F1901:K1901" si="3828">VLOOKUP($A1901,[6]Gobierno!$A$1:$O$234,F$1,0)</f>
        <v>#N/A</v>
      </c>
      <c r="G1901" s="39" t="e">
        <f t="shared" si="3828"/>
        <v>#N/A</v>
      </c>
      <c r="H1901" s="16" t="e">
        <f t="shared" si="3828"/>
        <v>#N/A</v>
      </c>
      <c r="I1901" s="16" t="e">
        <f t="shared" si="3828"/>
        <v>#N/A</v>
      </c>
      <c r="J1901" s="40" t="e">
        <f t="shared" si="3828"/>
        <v>#N/A</v>
      </c>
      <c r="K1901" s="16" t="e">
        <f t="shared" si="3828"/>
        <v>#N/A</v>
      </c>
      <c r="L1901" s="40" t="e">
        <f t="shared" si="3629"/>
        <v>#N/A</v>
      </c>
      <c r="M1901" s="16" t="e">
        <f t="shared" si="3630"/>
        <v>#N/A</v>
      </c>
      <c r="N1901" s="16" t="e">
        <f t="shared" si="3631"/>
        <v>#N/A</v>
      </c>
      <c r="O1901" s="16" t="s">
        <v>70</v>
      </c>
      <c r="P1901" s="16" t="str">
        <f t="shared" si="6"/>
        <v/>
      </c>
      <c r="Q1901" s="41" t="e">
        <f t="shared" si="3632"/>
        <v>#N/A</v>
      </c>
      <c r="R1901" s="44"/>
      <c r="S1901" s="44"/>
      <c r="T1901" s="43"/>
      <c r="U1901" s="43" t="str">
        <f t="shared" si="8"/>
        <v>No</v>
      </c>
      <c r="V1901" s="25"/>
      <c r="W1901" s="25"/>
      <c r="X1901" s="25"/>
      <c r="Y1901" s="25"/>
      <c r="Z1901" s="25"/>
    </row>
    <row r="1902" spans="1:26" ht="15.75" customHeight="1" x14ac:dyDescent="0.25">
      <c r="A1902" s="25">
        <v>1900</v>
      </c>
      <c r="B1902" s="37" t="e">
        <f t="shared" ref="B1902:D1902" si="3829">VLOOKUP($A1902,[6]Gobierno!$A$1:$O$234,B$1,0)</f>
        <v>#N/A</v>
      </c>
      <c r="C1902" s="38" t="e">
        <f t="shared" si="3829"/>
        <v>#N/A</v>
      </c>
      <c r="D1902" s="39" t="e">
        <f t="shared" si="3829"/>
        <v>#N/A</v>
      </c>
      <c r="E1902" s="16" t="e">
        <f t="shared" si="1"/>
        <v>#N/A</v>
      </c>
      <c r="F1902" s="16" t="e">
        <f t="shared" ref="F1902:K1902" si="3830">VLOOKUP($A1902,[6]Gobierno!$A$1:$O$234,F$1,0)</f>
        <v>#N/A</v>
      </c>
      <c r="G1902" s="39" t="e">
        <f t="shared" si="3830"/>
        <v>#N/A</v>
      </c>
      <c r="H1902" s="16" t="e">
        <f t="shared" si="3830"/>
        <v>#N/A</v>
      </c>
      <c r="I1902" s="16" t="e">
        <f t="shared" si="3830"/>
        <v>#N/A</v>
      </c>
      <c r="J1902" s="40" t="e">
        <f t="shared" si="3830"/>
        <v>#N/A</v>
      </c>
      <c r="K1902" s="16" t="e">
        <f t="shared" si="3830"/>
        <v>#N/A</v>
      </c>
      <c r="L1902" s="40" t="e">
        <f t="shared" si="3629"/>
        <v>#N/A</v>
      </c>
      <c r="M1902" s="16" t="e">
        <f t="shared" si="3630"/>
        <v>#N/A</v>
      </c>
      <c r="N1902" s="16" t="e">
        <f t="shared" si="3631"/>
        <v>#N/A</v>
      </c>
      <c r="O1902" s="16" t="s">
        <v>70</v>
      </c>
      <c r="P1902" s="16" t="str">
        <f t="shared" si="6"/>
        <v/>
      </c>
      <c r="Q1902" s="41" t="e">
        <f t="shared" si="3632"/>
        <v>#N/A</v>
      </c>
      <c r="R1902" s="44"/>
      <c r="S1902" s="44"/>
      <c r="T1902" s="43"/>
      <c r="U1902" s="43" t="str">
        <f t="shared" si="8"/>
        <v>No</v>
      </c>
      <c r="V1902" s="25"/>
      <c r="W1902" s="25"/>
      <c r="X1902" s="25"/>
      <c r="Y1902" s="25"/>
      <c r="Z1902" s="25"/>
    </row>
    <row r="1903" spans="1:26" ht="15.75" customHeight="1" x14ac:dyDescent="0.25">
      <c r="A1903" s="25">
        <v>1901</v>
      </c>
      <c r="B1903" s="37" t="e">
        <f t="shared" ref="B1903:D1903" si="3831">VLOOKUP($A1903,[6]Gobierno!$A$1:$O$234,B$1,0)</f>
        <v>#N/A</v>
      </c>
      <c r="C1903" s="38" t="e">
        <f t="shared" si="3831"/>
        <v>#N/A</v>
      </c>
      <c r="D1903" s="39" t="e">
        <f t="shared" si="3831"/>
        <v>#N/A</v>
      </c>
      <c r="E1903" s="16" t="e">
        <f t="shared" si="1"/>
        <v>#N/A</v>
      </c>
      <c r="F1903" s="16" t="e">
        <f t="shared" ref="F1903:K1903" si="3832">VLOOKUP($A1903,[6]Gobierno!$A$1:$O$234,F$1,0)</f>
        <v>#N/A</v>
      </c>
      <c r="G1903" s="39" t="e">
        <f t="shared" si="3832"/>
        <v>#N/A</v>
      </c>
      <c r="H1903" s="16" t="e">
        <f t="shared" si="3832"/>
        <v>#N/A</v>
      </c>
      <c r="I1903" s="16" t="e">
        <f t="shared" si="3832"/>
        <v>#N/A</v>
      </c>
      <c r="J1903" s="40" t="e">
        <f t="shared" si="3832"/>
        <v>#N/A</v>
      </c>
      <c r="K1903" s="16" t="e">
        <f t="shared" si="3832"/>
        <v>#N/A</v>
      </c>
      <c r="L1903" s="40" t="e">
        <f t="shared" si="3629"/>
        <v>#N/A</v>
      </c>
      <c r="M1903" s="16" t="e">
        <f t="shared" si="3630"/>
        <v>#N/A</v>
      </c>
      <c r="N1903" s="16" t="e">
        <f t="shared" si="3631"/>
        <v>#N/A</v>
      </c>
      <c r="O1903" s="16" t="s">
        <v>70</v>
      </c>
      <c r="P1903" s="16" t="str">
        <f t="shared" si="6"/>
        <v/>
      </c>
      <c r="Q1903" s="41" t="e">
        <f t="shared" si="3632"/>
        <v>#N/A</v>
      </c>
      <c r="R1903" s="44"/>
      <c r="S1903" s="44"/>
      <c r="T1903" s="43"/>
      <c r="U1903" s="43" t="str">
        <f t="shared" si="8"/>
        <v>No</v>
      </c>
      <c r="V1903" s="25"/>
      <c r="W1903" s="25"/>
      <c r="X1903" s="25"/>
      <c r="Y1903" s="25"/>
      <c r="Z1903" s="25"/>
    </row>
    <row r="1904" spans="1:26" ht="15.75" customHeight="1" x14ac:dyDescent="0.25">
      <c r="A1904" s="25">
        <v>1902</v>
      </c>
      <c r="B1904" s="37" t="e">
        <f t="shared" ref="B1904:D1904" si="3833">VLOOKUP($A1904,[6]Gobierno!$A$1:$O$234,B$1,0)</f>
        <v>#N/A</v>
      </c>
      <c r="C1904" s="38" t="e">
        <f t="shared" si="3833"/>
        <v>#N/A</v>
      </c>
      <c r="D1904" s="39" t="e">
        <f t="shared" si="3833"/>
        <v>#N/A</v>
      </c>
      <c r="E1904" s="16" t="e">
        <f t="shared" si="1"/>
        <v>#N/A</v>
      </c>
      <c r="F1904" s="16" t="e">
        <f t="shared" ref="F1904:K1904" si="3834">VLOOKUP($A1904,[6]Gobierno!$A$1:$O$234,F$1,0)</f>
        <v>#N/A</v>
      </c>
      <c r="G1904" s="39" t="e">
        <f t="shared" si="3834"/>
        <v>#N/A</v>
      </c>
      <c r="H1904" s="16" t="e">
        <f t="shared" si="3834"/>
        <v>#N/A</v>
      </c>
      <c r="I1904" s="16" t="e">
        <f t="shared" si="3834"/>
        <v>#N/A</v>
      </c>
      <c r="J1904" s="40" t="e">
        <f t="shared" si="3834"/>
        <v>#N/A</v>
      </c>
      <c r="K1904" s="16" t="e">
        <f t="shared" si="3834"/>
        <v>#N/A</v>
      </c>
      <c r="L1904" s="40" t="e">
        <f t="shared" si="3629"/>
        <v>#N/A</v>
      </c>
      <c r="M1904" s="16" t="e">
        <f t="shared" si="3630"/>
        <v>#N/A</v>
      </c>
      <c r="N1904" s="16" t="e">
        <f t="shared" si="3631"/>
        <v>#N/A</v>
      </c>
      <c r="O1904" s="16" t="s">
        <v>70</v>
      </c>
      <c r="P1904" s="16" t="str">
        <f t="shared" si="6"/>
        <v/>
      </c>
      <c r="Q1904" s="41" t="e">
        <f t="shared" si="3632"/>
        <v>#N/A</v>
      </c>
      <c r="R1904" s="44"/>
      <c r="S1904" s="44"/>
      <c r="T1904" s="43"/>
      <c r="U1904" s="43" t="str">
        <f t="shared" si="8"/>
        <v>No</v>
      </c>
      <c r="V1904" s="25"/>
      <c r="W1904" s="25"/>
      <c r="X1904" s="25"/>
      <c r="Y1904" s="25"/>
      <c r="Z1904" s="25"/>
    </row>
    <row r="1905" spans="1:26" ht="15.75" customHeight="1" x14ac:dyDescent="0.25">
      <c r="A1905" s="25">
        <v>1903</v>
      </c>
      <c r="B1905" s="37" t="e">
        <f t="shared" ref="B1905:D1905" si="3835">VLOOKUP($A1905,[6]Gobierno!$A$1:$O$234,B$1,0)</f>
        <v>#N/A</v>
      </c>
      <c r="C1905" s="38" t="e">
        <f t="shared" si="3835"/>
        <v>#N/A</v>
      </c>
      <c r="D1905" s="39" t="e">
        <f t="shared" si="3835"/>
        <v>#N/A</v>
      </c>
      <c r="E1905" s="16" t="e">
        <f t="shared" si="1"/>
        <v>#N/A</v>
      </c>
      <c r="F1905" s="16" t="e">
        <f t="shared" ref="F1905:K1905" si="3836">VLOOKUP($A1905,[6]Gobierno!$A$1:$O$234,F$1,0)</f>
        <v>#N/A</v>
      </c>
      <c r="G1905" s="39" t="e">
        <f t="shared" si="3836"/>
        <v>#N/A</v>
      </c>
      <c r="H1905" s="16" t="e">
        <f t="shared" si="3836"/>
        <v>#N/A</v>
      </c>
      <c r="I1905" s="16" t="e">
        <f t="shared" si="3836"/>
        <v>#N/A</v>
      </c>
      <c r="J1905" s="40" t="e">
        <f t="shared" si="3836"/>
        <v>#N/A</v>
      </c>
      <c r="K1905" s="16" t="e">
        <f t="shared" si="3836"/>
        <v>#N/A</v>
      </c>
      <c r="L1905" s="40" t="e">
        <f t="shared" si="3629"/>
        <v>#N/A</v>
      </c>
      <c r="M1905" s="16" t="e">
        <f t="shared" si="3630"/>
        <v>#N/A</v>
      </c>
      <c r="N1905" s="16" t="e">
        <f t="shared" si="3631"/>
        <v>#N/A</v>
      </c>
      <c r="O1905" s="16" t="s">
        <v>70</v>
      </c>
      <c r="P1905" s="16" t="str">
        <f t="shared" si="6"/>
        <v/>
      </c>
      <c r="Q1905" s="41" t="e">
        <f t="shared" si="3632"/>
        <v>#N/A</v>
      </c>
      <c r="R1905" s="44"/>
      <c r="S1905" s="44"/>
      <c r="T1905" s="43"/>
      <c r="U1905" s="43" t="str">
        <f t="shared" si="8"/>
        <v>No</v>
      </c>
      <c r="V1905" s="25"/>
      <c r="W1905" s="25"/>
      <c r="X1905" s="25"/>
      <c r="Y1905" s="25"/>
      <c r="Z1905" s="25"/>
    </row>
    <row r="1906" spans="1:26" ht="15.75" customHeight="1" x14ac:dyDescent="0.25">
      <c r="A1906" s="25">
        <v>1904</v>
      </c>
      <c r="B1906" s="37" t="e">
        <f t="shared" ref="B1906:D1906" si="3837">VLOOKUP($A1906,[6]Gobierno!$A$1:$O$234,B$1,0)</f>
        <v>#N/A</v>
      </c>
      <c r="C1906" s="38" t="e">
        <f t="shared" si="3837"/>
        <v>#N/A</v>
      </c>
      <c r="D1906" s="39" t="e">
        <f t="shared" si="3837"/>
        <v>#N/A</v>
      </c>
      <c r="E1906" s="16" t="e">
        <f t="shared" si="1"/>
        <v>#N/A</v>
      </c>
      <c r="F1906" s="16" t="e">
        <f t="shared" ref="F1906:K1906" si="3838">VLOOKUP($A1906,[6]Gobierno!$A$1:$O$234,F$1,0)</f>
        <v>#N/A</v>
      </c>
      <c r="G1906" s="39" t="e">
        <f t="shared" si="3838"/>
        <v>#N/A</v>
      </c>
      <c r="H1906" s="16" t="e">
        <f t="shared" si="3838"/>
        <v>#N/A</v>
      </c>
      <c r="I1906" s="16" t="e">
        <f t="shared" si="3838"/>
        <v>#N/A</v>
      </c>
      <c r="J1906" s="40" t="e">
        <f t="shared" si="3838"/>
        <v>#N/A</v>
      </c>
      <c r="K1906" s="16" t="e">
        <f t="shared" si="3838"/>
        <v>#N/A</v>
      </c>
      <c r="L1906" s="40" t="e">
        <f t="shared" si="3629"/>
        <v>#N/A</v>
      </c>
      <c r="M1906" s="16" t="e">
        <f t="shared" si="3630"/>
        <v>#N/A</v>
      </c>
      <c r="N1906" s="16" t="e">
        <f t="shared" si="3631"/>
        <v>#N/A</v>
      </c>
      <c r="O1906" s="16" t="s">
        <v>70</v>
      </c>
      <c r="P1906" s="16" t="str">
        <f t="shared" si="6"/>
        <v/>
      </c>
      <c r="Q1906" s="41" t="e">
        <f t="shared" si="3632"/>
        <v>#N/A</v>
      </c>
      <c r="R1906" s="44"/>
      <c r="S1906" s="44"/>
      <c r="T1906" s="43"/>
      <c r="U1906" s="43" t="str">
        <f t="shared" si="8"/>
        <v>No</v>
      </c>
      <c r="V1906" s="25"/>
      <c r="W1906" s="25"/>
      <c r="X1906" s="25"/>
      <c r="Y1906" s="25"/>
      <c r="Z1906" s="25"/>
    </row>
    <row r="1907" spans="1:26" ht="15.75" customHeight="1" x14ac:dyDescent="0.25">
      <c r="A1907" s="25">
        <v>1905</v>
      </c>
      <c r="B1907" s="37" t="e">
        <f t="shared" ref="B1907:D1907" si="3839">VLOOKUP($A1907,[6]Gobierno!$A$1:$O$234,B$1,0)</f>
        <v>#N/A</v>
      </c>
      <c r="C1907" s="38" t="e">
        <f t="shared" si="3839"/>
        <v>#N/A</v>
      </c>
      <c r="D1907" s="39" t="e">
        <f t="shared" si="3839"/>
        <v>#N/A</v>
      </c>
      <c r="E1907" s="16" t="e">
        <f t="shared" si="1"/>
        <v>#N/A</v>
      </c>
      <c r="F1907" s="16" t="e">
        <f t="shared" ref="F1907:K1907" si="3840">VLOOKUP($A1907,[6]Gobierno!$A$1:$O$234,F$1,0)</f>
        <v>#N/A</v>
      </c>
      <c r="G1907" s="39" t="e">
        <f t="shared" si="3840"/>
        <v>#N/A</v>
      </c>
      <c r="H1907" s="16" t="e">
        <f t="shared" si="3840"/>
        <v>#N/A</v>
      </c>
      <c r="I1907" s="16" t="e">
        <f t="shared" si="3840"/>
        <v>#N/A</v>
      </c>
      <c r="J1907" s="40" t="e">
        <f t="shared" si="3840"/>
        <v>#N/A</v>
      </c>
      <c r="K1907" s="16" t="e">
        <f t="shared" si="3840"/>
        <v>#N/A</v>
      </c>
      <c r="L1907" s="40" t="e">
        <f t="shared" si="3629"/>
        <v>#N/A</v>
      </c>
      <c r="M1907" s="16" t="e">
        <f t="shared" si="3630"/>
        <v>#N/A</v>
      </c>
      <c r="N1907" s="16" t="e">
        <f t="shared" si="3631"/>
        <v>#N/A</v>
      </c>
      <c r="O1907" s="16" t="s">
        <v>70</v>
      </c>
      <c r="P1907" s="16" t="str">
        <f t="shared" si="6"/>
        <v/>
      </c>
      <c r="Q1907" s="41" t="e">
        <f t="shared" si="3632"/>
        <v>#N/A</v>
      </c>
      <c r="R1907" s="44"/>
      <c r="S1907" s="44"/>
      <c r="T1907" s="43"/>
      <c r="U1907" s="43" t="str">
        <f t="shared" si="8"/>
        <v>No</v>
      </c>
      <c r="V1907" s="25"/>
      <c r="W1907" s="25"/>
      <c r="X1907" s="25"/>
      <c r="Y1907" s="25"/>
      <c r="Z1907" s="25"/>
    </row>
    <row r="1908" spans="1:26" ht="15.75" customHeight="1" x14ac:dyDescent="0.25">
      <c r="A1908" s="25">
        <v>1906</v>
      </c>
      <c r="B1908" s="37" t="e">
        <f t="shared" ref="B1908:D1908" si="3841">VLOOKUP($A1908,[6]Gobierno!$A$1:$O$234,B$1,0)</f>
        <v>#N/A</v>
      </c>
      <c r="C1908" s="38" t="e">
        <f t="shared" si="3841"/>
        <v>#N/A</v>
      </c>
      <c r="D1908" s="39" t="e">
        <f t="shared" si="3841"/>
        <v>#N/A</v>
      </c>
      <c r="E1908" s="16" t="e">
        <f t="shared" si="1"/>
        <v>#N/A</v>
      </c>
      <c r="F1908" s="16" t="e">
        <f t="shared" ref="F1908:K1908" si="3842">VLOOKUP($A1908,[6]Gobierno!$A$1:$O$234,F$1,0)</f>
        <v>#N/A</v>
      </c>
      <c r="G1908" s="39" t="e">
        <f t="shared" si="3842"/>
        <v>#N/A</v>
      </c>
      <c r="H1908" s="16" t="e">
        <f t="shared" si="3842"/>
        <v>#N/A</v>
      </c>
      <c r="I1908" s="16" t="e">
        <f t="shared" si="3842"/>
        <v>#N/A</v>
      </c>
      <c r="J1908" s="40" t="e">
        <f t="shared" si="3842"/>
        <v>#N/A</v>
      </c>
      <c r="K1908" s="16" t="e">
        <f t="shared" si="3842"/>
        <v>#N/A</v>
      </c>
      <c r="L1908" s="40" t="e">
        <f t="shared" si="3629"/>
        <v>#N/A</v>
      </c>
      <c r="M1908" s="16" t="e">
        <f t="shared" si="3630"/>
        <v>#N/A</v>
      </c>
      <c r="N1908" s="16" t="e">
        <f t="shared" si="3631"/>
        <v>#N/A</v>
      </c>
      <c r="O1908" s="16" t="s">
        <v>70</v>
      </c>
      <c r="P1908" s="16" t="str">
        <f t="shared" si="6"/>
        <v/>
      </c>
      <c r="Q1908" s="41" t="e">
        <f t="shared" si="3632"/>
        <v>#N/A</v>
      </c>
      <c r="R1908" s="44"/>
      <c r="S1908" s="44"/>
      <c r="T1908" s="43"/>
      <c r="U1908" s="43" t="str">
        <f t="shared" si="8"/>
        <v>No</v>
      </c>
      <c r="V1908" s="25"/>
      <c r="W1908" s="25"/>
      <c r="X1908" s="25"/>
      <c r="Y1908" s="25"/>
      <c r="Z1908" s="25"/>
    </row>
    <row r="1909" spans="1:26" ht="15.75" customHeight="1" x14ac:dyDescent="0.25">
      <c r="A1909" s="25">
        <v>1907</v>
      </c>
      <c r="B1909" s="37" t="e">
        <f t="shared" ref="B1909:D1909" si="3843">VLOOKUP($A1909,[6]Gobierno!$A$1:$O$234,B$1,0)</f>
        <v>#N/A</v>
      </c>
      <c r="C1909" s="38" t="e">
        <f t="shared" si="3843"/>
        <v>#N/A</v>
      </c>
      <c r="D1909" s="39" t="e">
        <f t="shared" si="3843"/>
        <v>#N/A</v>
      </c>
      <c r="E1909" s="16" t="e">
        <f t="shared" si="1"/>
        <v>#N/A</v>
      </c>
      <c r="F1909" s="16" t="e">
        <f t="shared" ref="F1909:K1909" si="3844">VLOOKUP($A1909,[6]Gobierno!$A$1:$O$234,F$1,0)</f>
        <v>#N/A</v>
      </c>
      <c r="G1909" s="39" t="e">
        <f t="shared" si="3844"/>
        <v>#N/A</v>
      </c>
      <c r="H1909" s="16" t="e">
        <f t="shared" si="3844"/>
        <v>#N/A</v>
      </c>
      <c r="I1909" s="16" t="e">
        <f t="shared" si="3844"/>
        <v>#N/A</v>
      </c>
      <c r="J1909" s="40" t="e">
        <f t="shared" si="3844"/>
        <v>#N/A</v>
      </c>
      <c r="K1909" s="16" t="e">
        <f t="shared" si="3844"/>
        <v>#N/A</v>
      </c>
      <c r="L1909" s="40" t="e">
        <f t="shared" si="3629"/>
        <v>#N/A</v>
      </c>
      <c r="M1909" s="16" t="e">
        <f t="shared" si="3630"/>
        <v>#N/A</v>
      </c>
      <c r="N1909" s="16" t="e">
        <f t="shared" si="3631"/>
        <v>#N/A</v>
      </c>
      <c r="O1909" s="16" t="s">
        <v>70</v>
      </c>
      <c r="P1909" s="16" t="str">
        <f t="shared" si="6"/>
        <v/>
      </c>
      <c r="Q1909" s="41" t="e">
        <f t="shared" si="3632"/>
        <v>#N/A</v>
      </c>
      <c r="R1909" s="44"/>
      <c r="S1909" s="44"/>
      <c r="T1909" s="43"/>
      <c r="U1909" s="43" t="str">
        <f t="shared" si="8"/>
        <v>No</v>
      </c>
      <c r="V1909" s="25"/>
      <c r="W1909" s="25"/>
      <c r="X1909" s="25"/>
      <c r="Y1909" s="25"/>
      <c r="Z1909" s="25"/>
    </row>
    <row r="1910" spans="1:26" ht="15.75" customHeight="1" x14ac:dyDescent="0.25">
      <c r="A1910" s="25">
        <v>1908</v>
      </c>
      <c r="B1910" s="37" t="e">
        <f t="shared" ref="B1910:D1910" si="3845">VLOOKUP($A1910,[6]Gobierno!$A$1:$O$234,B$1,0)</f>
        <v>#N/A</v>
      </c>
      <c r="C1910" s="38" t="e">
        <f t="shared" si="3845"/>
        <v>#N/A</v>
      </c>
      <c r="D1910" s="39" t="e">
        <f t="shared" si="3845"/>
        <v>#N/A</v>
      </c>
      <c r="E1910" s="16" t="e">
        <f t="shared" si="1"/>
        <v>#N/A</v>
      </c>
      <c r="F1910" s="16" t="e">
        <f t="shared" ref="F1910:K1910" si="3846">VLOOKUP($A1910,[6]Gobierno!$A$1:$O$234,F$1,0)</f>
        <v>#N/A</v>
      </c>
      <c r="G1910" s="39" t="e">
        <f t="shared" si="3846"/>
        <v>#N/A</v>
      </c>
      <c r="H1910" s="16" t="e">
        <f t="shared" si="3846"/>
        <v>#N/A</v>
      </c>
      <c r="I1910" s="16" t="e">
        <f t="shared" si="3846"/>
        <v>#N/A</v>
      </c>
      <c r="J1910" s="40" t="e">
        <f t="shared" si="3846"/>
        <v>#N/A</v>
      </c>
      <c r="K1910" s="16" t="e">
        <f t="shared" si="3846"/>
        <v>#N/A</v>
      </c>
      <c r="L1910" s="40" t="e">
        <f t="shared" si="3629"/>
        <v>#N/A</v>
      </c>
      <c r="M1910" s="16" t="e">
        <f t="shared" si="3630"/>
        <v>#N/A</v>
      </c>
      <c r="N1910" s="16" t="e">
        <f t="shared" si="3631"/>
        <v>#N/A</v>
      </c>
      <c r="O1910" s="16" t="s">
        <v>70</v>
      </c>
      <c r="P1910" s="16" t="str">
        <f t="shared" si="6"/>
        <v/>
      </c>
      <c r="Q1910" s="41" t="e">
        <f t="shared" si="3632"/>
        <v>#N/A</v>
      </c>
      <c r="R1910" s="44"/>
      <c r="S1910" s="44"/>
      <c r="T1910" s="43"/>
      <c r="U1910" s="43" t="str">
        <f t="shared" si="8"/>
        <v>No</v>
      </c>
      <c r="V1910" s="25"/>
      <c r="W1910" s="25"/>
      <c r="X1910" s="25"/>
      <c r="Y1910" s="25"/>
      <c r="Z1910" s="25"/>
    </row>
    <row r="1911" spans="1:26" ht="15.75" customHeight="1" x14ac:dyDescent="0.25">
      <c r="A1911" s="25">
        <v>1909</v>
      </c>
      <c r="B1911" s="37" t="e">
        <f t="shared" ref="B1911:D1911" si="3847">VLOOKUP($A1911,[6]Gobierno!$A$1:$O$234,B$1,0)</f>
        <v>#N/A</v>
      </c>
      <c r="C1911" s="38" t="e">
        <f t="shared" si="3847"/>
        <v>#N/A</v>
      </c>
      <c r="D1911" s="39" t="e">
        <f t="shared" si="3847"/>
        <v>#N/A</v>
      </c>
      <c r="E1911" s="16" t="e">
        <f t="shared" si="1"/>
        <v>#N/A</v>
      </c>
      <c r="F1911" s="16" t="e">
        <f t="shared" ref="F1911:K1911" si="3848">VLOOKUP($A1911,[6]Gobierno!$A$1:$O$234,F$1,0)</f>
        <v>#N/A</v>
      </c>
      <c r="G1911" s="39" t="e">
        <f t="shared" si="3848"/>
        <v>#N/A</v>
      </c>
      <c r="H1911" s="16" t="e">
        <f t="shared" si="3848"/>
        <v>#N/A</v>
      </c>
      <c r="I1911" s="16" t="e">
        <f t="shared" si="3848"/>
        <v>#N/A</v>
      </c>
      <c r="J1911" s="40" t="e">
        <f t="shared" si="3848"/>
        <v>#N/A</v>
      </c>
      <c r="K1911" s="16" t="e">
        <f t="shared" si="3848"/>
        <v>#N/A</v>
      </c>
      <c r="L1911" s="40" t="e">
        <f t="shared" si="3629"/>
        <v>#N/A</v>
      </c>
      <c r="M1911" s="16" t="e">
        <f t="shared" si="3630"/>
        <v>#N/A</v>
      </c>
      <c r="N1911" s="16" t="e">
        <f t="shared" si="3631"/>
        <v>#N/A</v>
      </c>
      <c r="O1911" s="16" t="s">
        <v>70</v>
      </c>
      <c r="P1911" s="16" t="str">
        <f t="shared" si="6"/>
        <v/>
      </c>
      <c r="Q1911" s="41" t="e">
        <f t="shared" si="3632"/>
        <v>#N/A</v>
      </c>
      <c r="R1911" s="44"/>
      <c r="S1911" s="44"/>
      <c r="T1911" s="43"/>
      <c r="U1911" s="43" t="str">
        <f t="shared" si="8"/>
        <v>No</v>
      </c>
      <c r="V1911" s="25"/>
      <c r="W1911" s="25"/>
      <c r="X1911" s="25"/>
      <c r="Y1911" s="25"/>
      <c r="Z1911" s="25"/>
    </row>
    <row r="1912" spans="1:26" ht="15.75" customHeight="1" x14ac:dyDescent="0.25">
      <c r="A1912" s="25">
        <v>1910</v>
      </c>
      <c r="B1912" s="37" t="e">
        <f t="shared" ref="B1912:D1912" si="3849">VLOOKUP($A1912,[6]Gobierno!$A$1:$O$234,B$1,0)</f>
        <v>#N/A</v>
      </c>
      <c r="C1912" s="38" t="e">
        <f t="shared" si="3849"/>
        <v>#N/A</v>
      </c>
      <c r="D1912" s="39" t="e">
        <f t="shared" si="3849"/>
        <v>#N/A</v>
      </c>
      <c r="E1912" s="16" t="e">
        <f t="shared" si="1"/>
        <v>#N/A</v>
      </c>
      <c r="F1912" s="16" t="e">
        <f t="shared" ref="F1912:K1912" si="3850">VLOOKUP($A1912,[6]Gobierno!$A$1:$O$234,F$1,0)</f>
        <v>#N/A</v>
      </c>
      <c r="G1912" s="39" t="e">
        <f t="shared" si="3850"/>
        <v>#N/A</v>
      </c>
      <c r="H1912" s="16" t="e">
        <f t="shared" si="3850"/>
        <v>#N/A</v>
      </c>
      <c r="I1912" s="16" t="e">
        <f t="shared" si="3850"/>
        <v>#N/A</v>
      </c>
      <c r="J1912" s="40" t="e">
        <f t="shared" si="3850"/>
        <v>#N/A</v>
      </c>
      <c r="K1912" s="16" t="e">
        <f t="shared" si="3850"/>
        <v>#N/A</v>
      </c>
      <c r="L1912" s="40" t="e">
        <f t="shared" si="3629"/>
        <v>#N/A</v>
      </c>
      <c r="M1912" s="16" t="e">
        <f t="shared" si="3630"/>
        <v>#N/A</v>
      </c>
      <c r="N1912" s="16" t="e">
        <f t="shared" si="3631"/>
        <v>#N/A</v>
      </c>
      <c r="O1912" s="16" t="s">
        <v>70</v>
      </c>
      <c r="P1912" s="16" t="str">
        <f t="shared" si="6"/>
        <v/>
      </c>
      <c r="Q1912" s="41" t="e">
        <f t="shared" si="3632"/>
        <v>#N/A</v>
      </c>
      <c r="R1912" s="44"/>
      <c r="S1912" s="44"/>
      <c r="T1912" s="43"/>
      <c r="U1912" s="43" t="str">
        <f t="shared" si="8"/>
        <v>No</v>
      </c>
      <c r="V1912" s="25"/>
      <c r="W1912" s="25"/>
      <c r="X1912" s="25"/>
      <c r="Y1912" s="25"/>
      <c r="Z1912" s="25"/>
    </row>
    <row r="1913" spans="1:26" ht="15.75" customHeight="1" x14ac:dyDescent="0.25">
      <c r="A1913" s="25">
        <v>1911</v>
      </c>
      <c r="B1913" s="37" t="e">
        <f t="shared" ref="B1913:D1913" si="3851">VLOOKUP($A1913,[6]Gobierno!$A$1:$O$234,B$1,0)</f>
        <v>#N/A</v>
      </c>
      <c r="C1913" s="38" t="e">
        <f t="shared" si="3851"/>
        <v>#N/A</v>
      </c>
      <c r="D1913" s="39" t="e">
        <f t="shared" si="3851"/>
        <v>#N/A</v>
      </c>
      <c r="E1913" s="16" t="e">
        <f t="shared" si="1"/>
        <v>#N/A</v>
      </c>
      <c r="F1913" s="16" t="e">
        <f t="shared" ref="F1913:K1913" si="3852">VLOOKUP($A1913,[6]Gobierno!$A$1:$O$234,F$1,0)</f>
        <v>#N/A</v>
      </c>
      <c r="G1913" s="39" t="e">
        <f t="shared" si="3852"/>
        <v>#N/A</v>
      </c>
      <c r="H1913" s="16" t="e">
        <f t="shared" si="3852"/>
        <v>#N/A</v>
      </c>
      <c r="I1913" s="16" t="e">
        <f t="shared" si="3852"/>
        <v>#N/A</v>
      </c>
      <c r="J1913" s="40" t="e">
        <f t="shared" si="3852"/>
        <v>#N/A</v>
      </c>
      <c r="K1913" s="16" t="e">
        <f t="shared" si="3852"/>
        <v>#N/A</v>
      </c>
      <c r="L1913" s="40" t="e">
        <f t="shared" si="3629"/>
        <v>#N/A</v>
      </c>
      <c r="M1913" s="16" t="e">
        <f t="shared" si="3630"/>
        <v>#N/A</v>
      </c>
      <c r="N1913" s="16" t="e">
        <f t="shared" si="3631"/>
        <v>#N/A</v>
      </c>
      <c r="O1913" s="16" t="s">
        <v>70</v>
      </c>
      <c r="P1913" s="16" t="str">
        <f t="shared" si="6"/>
        <v/>
      </c>
      <c r="Q1913" s="41" t="e">
        <f t="shared" si="3632"/>
        <v>#N/A</v>
      </c>
      <c r="R1913" s="44"/>
      <c r="S1913" s="44"/>
      <c r="T1913" s="43"/>
      <c r="U1913" s="43" t="str">
        <f t="shared" si="8"/>
        <v>No</v>
      </c>
      <c r="V1913" s="25"/>
      <c r="W1913" s="25"/>
      <c r="X1913" s="25"/>
      <c r="Y1913" s="25"/>
      <c r="Z1913" s="25"/>
    </row>
    <row r="1914" spans="1:26" ht="15.75" customHeight="1" x14ac:dyDescent="0.25">
      <c r="A1914" s="25">
        <v>1912</v>
      </c>
      <c r="B1914" s="37" t="e">
        <f t="shared" ref="B1914:D1914" si="3853">VLOOKUP($A1914,[6]Gobierno!$A$1:$O$234,B$1,0)</f>
        <v>#N/A</v>
      </c>
      <c r="C1914" s="38" t="e">
        <f t="shared" si="3853"/>
        <v>#N/A</v>
      </c>
      <c r="D1914" s="39" t="e">
        <f t="shared" si="3853"/>
        <v>#N/A</v>
      </c>
      <c r="E1914" s="16" t="e">
        <f t="shared" si="1"/>
        <v>#N/A</v>
      </c>
      <c r="F1914" s="16" t="e">
        <f t="shared" ref="F1914:K1914" si="3854">VLOOKUP($A1914,[6]Gobierno!$A$1:$O$234,F$1,0)</f>
        <v>#N/A</v>
      </c>
      <c r="G1914" s="39" t="e">
        <f t="shared" si="3854"/>
        <v>#N/A</v>
      </c>
      <c r="H1914" s="16" t="e">
        <f t="shared" si="3854"/>
        <v>#N/A</v>
      </c>
      <c r="I1914" s="16" t="e">
        <f t="shared" si="3854"/>
        <v>#N/A</v>
      </c>
      <c r="J1914" s="40" t="e">
        <f t="shared" si="3854"/>
        <v>#N/A</v>
      </c>
      <c r="K1914" s="16" t="e">
        <f t="shared" si="3854"/>
        <v>#N/A</v>
      </c>
      <c r="L1914" s="40" t="e">
        <f t="shared" si="3629"/>
        <v>#N/A</v>
      </c>
      <c r="M1914" s="16" t="e">
        <f t="shared" si="3630"/>
        <v>#N/A</v>
      </c>
      <c r="N1914" s="16" t="e">
        <f t="shared" si="3631"/>
        <v>#N/A</v>
      </c>
      <c r="O1914" s="16" t="s">
        <v>70</v>
      </c>
      <c r="P1914" s="16" t="str">
        <f t="shared" si="6"/>
        <v/>
      </c>
      <c r="Q1914" s="41" t="e">
        <f t="shared" si="3632"/>
        <v>#N/A</v>
      </c>
      <c r="R1914" s="44"/>
      <c r="S1914" s="44"/>
      <c r="T1914" s="43"/>
      <c r="U1914" s="43" t="str">
        <f t="shared" si="8"/>
        <v>No</v>
      </c>
      <c r="V1914" s="25"/>
      <c r="W1914" s="25"/>
      <c r="X1914" s="25"/>
      <c r="Y1914" s="25"/>
      <c r="Z1914" s="25"/>
    </row>
    <row r="1915" spans="1:26" ht="15.75" customHeight="1" x14ac:dyDescent="0.25">
      <c r="A1915" s="25">
        <v>1913</v>
      </c>
      <c r="B1915" s="37" t="e">
        <f t="shared" ref="B1915:D1915" si="3855">VLOOKUP($A1915,[6]Gobierno!$A$1:$O$234,B$1,0)</f>
        <v>#N/A</v>
      </c>
      <c r="C1915" s="38" t="e">
        <f t="shared" si="3855"/>
        <v>#N/A</v>
      </c>
      <c r="D1915" s="39" t="e">
        <f t="shared" si="3855"/>
        <v>#N/A</v>
      </c>
      <c r="E1915" s="16" t="e">
        <f t="shared" si="1"/>
        <v>#N/A</v>
      </c>
      <c r="F1915" s="16" t="e">
        <f t="shared" ref="F1915:K1915" si="3856">VLOOKUP($A1915,[6]Gobierno!$A$1:$O$234,F$1,0)</f>
        <v>#N/A</v>
      </c>
      <c r="G1915" s="39" t="e">
        <f t="shared" si="3856"/>
        <v>#N/A</v>
      </c>
      <c r="H1915" s="16" t="e">
        <f t="shared" si="3856"/>
        <v>#N/A</v>
      </c>
      <c r="I1915" s="16" t="e">
        <f t="shared" si="3856"/>
        <v>#N/A</v>
      </c>
      <c r="J1915" s="40" t="e">
        <f t="shared" si="3856"/>
        <v>#N/A</v>
      </c>
      <c r="K1915" s="16" t="e">
        <f t="shared" si="3856"/>
        <v>#N/A</v>
      </c>
      <c r="L1915" s="40" t="e">
        <f t="shared" si="3629"/>
        <v>#N/A</v>
      </c>
      <c r="M1915" s="16" t="e">
        <f t="shared" si="3630"/>
        <v>#N/A</v>
      </c>
      <c r="N1915" s="16" t="e">
        <f t="shared" si="3631"/>
        <v>#N/A</v>
      </c>
      <c r="O1915" s="16" t="s">
        <v>70</v>
      </c>
      <c r="P1915" s="16" t="str">
        <f t="shared" si="6"/>
        <v/>
      </c>
      <c r="Q1915" s="41" t="e">
        <f t="shared" si="3632"/>
        <v>#N/A</v>
      </c>
      <c r="R1915" s="44"/>
      <c r="S1915" s="44"/>
      <c r="T1915" s="43"/>
      <c r="U1915" s="43" t="str">
        <f t="shared" si="8"/>
        <v>No</v>
      </c>
      <c r="V1915" s="25"/>
      <c r="W1915" s="25"/>
      <c r="X1915" s="25"/>
      <c r="Y1915" s="25"/>
      <c r="Z1915" s="25"/>
    </row>
    <row r="1916" spans="1:26" ht="15.75" customHeight="1" x14ac:dyDescent="0.25">
      <c r="A1916" s="25">
        <v>1914</v>
      </c>
      <c r="B1916" s="37" t="e">
        <f t="shared" ref="B1916:D1916" si="3857">VLOOKUP($A1916,[6]Gobierno!$A$1:$O$234,B$1,0)</f>
        <v>#N/A</v>
      </c>
      <c r="C1916" s="38" t="e">
        <f t="shared" si="3857"/>
        <v>#N/A</v>
      </c>
      <c r="D1916" s="39" t="e">
        <f t="shared" si="3857"/>
        <v>#N/A</v>
      </c>
      <c r="E1916" s="16" t="e">
        <f t="shared" si="1"/>
        <v>#N/A</v>
      </c>
      <c r="F1916" s="16" t="e">
        <f t="shared" ref="F1916:K1916" si="3858">VLOOKUP($A1916,[6]Gobierno!$A$1:$O$234,F$1,0)</f>
        <v>#N/A</v>
      </c>
      <c r="G1916" s="39" t="e">
        <f t="shared" si="3858"/>
        <v>#N/A</v>
      </c>
      <c r="H1916" s="16" t="e">
        <f t="shared" si="3858"/>
        <v>#N/A</v>
      </c>
      <c r="I1916" s="16" t="e">
        <f t="shared" si="3858"/>
        <v>#N/A</v>
      </c>
      <c r="J1916" s="40" t="e">
        <f t="shared" si="3858"/>
        <v>#N/A</v>
      </c>
      <c r="K1916" s="16" t="e">
        <f t="shared" si="3858"/>
        <v>#N/A</v>
      </c>
      <c r="L1916" s="40" t="e">
        <f t="shared" si="3629"/>
        <v>#N/A</v>
      </c>
      <c r="M1916" s="16" t="e">
        <f t="shared" si="3630"/>
        <v>#N/A</v>
      </c>
      <c r="N1916" s="16" t="e">
        <f t="shared" si="3631"/>
        <v>#N/A</v>
      </c>
      <c r="O1916" s="16" t="s">
        <v>70</v>
      </c>
      <c r="P1916" s="16" t="str">
        <f t="shared" si="6"/>
        <v/>
      </c>
      <c r="Q1916" s="41" t="e">
        <f t="shared" si="3632"/>
        <v>#N/A</v>
      </c>
      <c r="R1916" s="44"/>
      <c r="S1916" s="44"/>
      <c r="T1916" s="43"/>
      <c r="U1916" s="43" t="str">
        <f t="shared" si="8"/>
        <v>No</v>
      </c>
      <c r="V1916" s="25"/>
      <c r="W1916" s="25"/>
      <c r="X1916" s="25"/>
      <c r="Y1916" s="25"/>
      <c r="Z1916" s="25"/>
    </row>
    <row r="1917" spans="1:26" ht="15.75" customHeight="1" x14ac:dyDescent="0.25">
      <c r="A1917" s="25">
        <v>1915</v>
      </c>
      <c r="B1917" s="37" t="e">
        <f t="shared" ref="B1917:D1917" si="3859">VLOOKUP($A1917,[6]Gobierno!$A$1:$O$234,B$1,0)</f>
        <v>#N/A</v>
      </c>
      <c r="C1917" s="38" t="e">
        <f t="shared" si="3859"/>
        <v>#N/A</v>
      </c>
      <c r="D1917" s="39" t="e">
        <f t="shared" si="3859"/>
        <v>#N/A</v>
      </c>
      <c r="E1917" s="16" t="e">
        <f t="shared" si="1"/>
        <v>#N/A</v>
      </c>
      <c r="F1917" s="16" t="e">
        <f t="shared" ref="F1917:K1917" si="3860">VLOOKUP($A1917,[6]Gobierno!$A$1:$O$234,F$1,0)</f>
        <v>#N/A</v>
      </c>
      <c r="G1917" s="39" t="e">
        <f t="shared" si="3860"/>
        <v>#N/A</v>
      </c>
      <c r="H1917" s="16" t="e">
        <f t="shared" si="3860"/>
        <v>#N/A</v>
      </c>
      <c r="I1917" s="16" t="e">
        <f t="shared" si="3860"/>
        <v>#N/A</v>
      </c>
      <c r="J1917" s="40" t="e">
        <f t="shared" si="3860"/>
        <v>#N/A</v>
      </c>
      <c r="K1917" s="16" t="e">
        <f t="shared" si="3860"/>
        <v>#N/A</v>
      </c>
      <c r="L1917" s="40" t="e">
        <f t="shared" si="3629"/>
        <v>#N/A</v>
      </c>
      <c r="M1917" s="16" t="e">
        <f t="shared" si="3630"/>
        <v>#N/A</v>
      </c>
      <c r="N1917" s="16" t="e">
        <f t="shared" si="3631"/>
        <v>#N/A</v>
      </c>
      <c r="O1917" s="16" t="s">
        <v>70</v>
      </c>
      <c r="P1917" s="16" t="str">
        <f t="shared" si="6"/>
        <v/>
      </c>
      <c r="Q1917" s="41" t="e">
        <f t="shared" si="3632"/>
        <v>#N/A</v>
      </c>
      <c r="R1917" s="44"/>
      <c r="S1917" s="44"/>
      <c r="T1917" s="43"/>
      <c r="U1917" s="43" t="str">
        <f t="shared" si="8"/>
        <v>No</v>
      </c>
      <c r="V1917" s="25"/>
      <c r="W1917" s="25"/>
      <c r="X1917" s="25"/>
      <c r="Y1917" s="25"/>
      <c r="Z1917" s="25"/>
    </row>
    <row r="1918" spans="1:26" ht="15.75" customHeight="1" x14ac:dyDescent="0.25">
      <c r="A1918" s="25">
        <v>1916</v>
      </c>
      <c r="B1918" s="37" t="e">
        <f t="shared" ref="B1918:D1918" si="3861">VLOOKUP($A1918,[6]Gobierno!$A$1:$O$234,B$1,0)</f>
        <v>#N/A</v>
      </c>
      <c r="C1918" s="38" t="e">
        <f t="shared" si="3861"/>
        <v>#N/A</v>
      </c>
      <c r="D1918" s="39" t="e">
        <f t="shared" si="3861"/>
        <v>#N/A</v>
      </c>
      <c r="E1918" s="16" t="e">
        <f t="shared" si="1"/>
        <v>#N/A</v>
      </c>
      <c r="F1918" s="16" t="e">
        <f t="shared" ref="F1918:K1918" si="3862">VLOOKUP($A1918,[6]Gobierno!$A$1:$O$234,F$1,0)</f>
        <v>#N/A</v>
      </c>
      <c r="G1918" s="39" t="e">
        <f t="shared" si="3862"/>
        <v>#N/A</v>
      </c>
      <c r="H1918" s="16" t="e">
        <f t="shared" si="3862"/>
        <v>#N/A</v>
      </c>
      <c r="I1918" s="16" t="e">
        <f t="shared" si="3862"/>
        <v>#N/A</v>
      </c>
      <c r="J1918" s="40" t="e">
        <f t="shared" si="3862"/>
        <v>#N/A</v>
      </c>
      <c r="K1918" s="16" t="e">
        <f t="shared" si="3862"/>
        <v>#N/A</v>
      </c>
      <c r="L1918" s="40" t="e">
        <f t="shared" si="3629"/>
        <v>#N/A</v>
      </c>
      <c r="M1918" s="16" t="e">
        <f t="shared" si="3630"/>
        <v>#N/A</v>
      </c>
      <c r="N1918" s="16" t="e">
        <f t="shared" si="3631"/>
        <v>#N/A</v>
      </c>
      <c r="O1918" s="16" t="s">
        <v>70</v>
      </c>
      <c r="P1918" s="16" t="str">
        <f t="shared" si="6"/>
        <v/>
      </c>
      <c r="Q1918" s="41" t="e">
        <f t="shared" si="3632"/>
        <v>#N/A</v>
      </c>
      <c r="R1918" s="44"/>
      <c r="S1918" s="44"/>
      <c r="T1918" s="43"/>
      <c r="U1918" s="43" t="str">
        <f t="shared" si="8"/>
        <v>No</v>
      </c>
      <c r="V1918" s="25"/>
      <c r="W1918" s="25"/>
      <c r="X1918" s="25"/>
      <c r="Y1918" s="25"/>
      <c r="Z1918" s="25"/>
    </row>
    <row r="1919" spans="1:26" ht="15.75" customHeight="1" x14ac:dyDescent="0.25">
      <c r="A1919" s="25">
        <v>1917</v>
      </c>
      <c r="B1919" s="37" t="e">
        <f t="shared" ref="B1919:D1919" si="3863">VLOOKUP($A1919,[6]Gobierno!$A$1:$O$234,B$1,0)</f>
        <v>#N/A</v>
      </c>
      <c r="C1919" s="38" t="e">
        <f t="shared" si="3863"/>
        <v>#N/A</v>
      </c>
      <c r="D1919" s="39" t="e">
        <f t="shared" si="3863"/>
        <v>#N/A</v>
      </c>
      <c r="E1919" s="16" t="e">
        <f t="shared" si="1"/>
        <v>#N/A</v>
      </c>
      <c r="F1919" s="16" t="e">
        <f t="shared" ref="F1919:K1919" si="3864">VLOOKUP($A1919,[6]Gobierno!$A$1:$O$234,F$1,0)</f>
        <v>#N/A</v>
      </c>
      <c r="G1919" s="39" t="e">
        <f t="shared" si="3864"/>
        <v>#N/A</v>
      </c>
      <c r="H1919" s="16" t="e">
        <f t="shared" si="3864"/>
        <v>#N/A</v>
      </c>
      <c r="I1919" s="16" t="e">
        <f t="shared" si="3864"/>
        <v>#N/A</v>
      </c>
      <c r="J1919" s="40" t="e">
        <f t="shared" si="3864"/>
        <v>#N/A</v>
      </c>
      <c r="K1919" s="16" t="e">
        <f t="shared" si="3864"/>
        <v>#N/A</v>
      </c>
      <c r="L1919" s="40" t="e">
        <f t="shared" si="3629"/>
        <v>#N/A</v>
      </c>
      <c r="M1919" s="16" t="e">
        <f t="shared" si="3630"/>
        <v>#N/A</v>
      </c>
      <c r="N1919" s="16" t="e">
        <f t="shared" si="3631"/>
        <v>#N/A</v>
      </c>
      <c r="O1919" s="16" t="s">
        <v>70</v>
      </c>
      <c r="P1919" s="16" t="str">
        <f t="shared" si="6"/>
        <v/>
      </c>
      <c r="Q1919" s="41" t="e">
        <f t="shared" si="3632"/>
        <v>#N/A</v>
      </c>
      <c r="R1919" s="44"/>
      <c r="S1919" s="44"/>
      <c r="T1919" s="43"/>
      <c r="U1919" s="43" t="str">
        <f t="shared" si="8"/>
        <v>No</v>
      </c>
      <c r="V1919" s="25"/>
      <c r="W1919" s="25"/>
      <c r="X1919" s="25"/>
      <c r="Y1919" s="25"/>
      <c r="Z1919" s="25"/>
    </row>
    <row r="1920" spans="1:26" ht="15.75" customHeight="1" x14ac:dyDescent="0.25">
      <c r="A1920" s="25">
        <v>1918</v>
      </c>
      <c r="B1920" s="37" t="e">
        <f t="shared" ref="B1920:D1920" si="3865">VLOOKUP($A1920,[6]Gobierno!$A$1:$O$234,B$1,0)</f>
        <v>#N/A</v>
      </c>
      <c r="C1920" s="38" t="e">
        <f t="shared" si="3865"/>
        <v>#N/A</v>
      </c>
      <c r="D1920" s="39" t="e">
        <f t="shared" si="3865"/>
        <v>#N/A</v>
      </c>
      <c r="E1920" s="16" t="e">
        <f t="shared" si="1"/>
        <v>#N/A</v>
      </c>
      <c r="F1920" s="16" t="e">
        <f t="shared" ref="F1920:K1920" si="3866">VLOOKUP($A1920,[6]Gobierno!$A$1:$O$234,F$1,0)</f>
        <v>#N/A</v>
      </c>
      <c r="G1920" s="39" t="e">
        <f t="shared" si="3866"/>
        <v>#N/A</v>
      </c>
      <c r="H1920" s="16" t="e">
        <f t="shared" si="3866"/>
        <v>#N/A</v>
      </c>
      <c r="I1920" s="16" t="e">
        <f t="shared" si="3866"/>
        <v>#N/A</v>
      </c>
      <c r="J1920" s="40" t="e">
        <f t="shared" si="3866"/>
        <v>#N/A</v>
      </c>
      <c r="K1920" s="16" t="e">
        <f t="shared" si="3866"/>
        <v>#N/A</v>
      </c>
      <c r="L1920" s="40" t="e">
        <f t="shared" si="3629"/>
        <v>#N/A</v>
      </c>
      <c r="M1920" s="16" t="e">
        <f t="shared" si="3630"/>
        <v>#N/A</v>
      </c>
      <c r="N1920" s="16" t="e">
        <f t="shared" si="3631"/>
        <v>#N/A</v>
      </c>
      <c r="O1920" s="16" t="s">
        <v>70</v>
      </c>
      <c r="P1920" s="16" t="str">
        <f t="shared" si="6"/>
        <v/>
      </c>
      <c r="Q1920" s="41" t="e">
        <f t="shared" si="3632"/>
        <v>#N/A</v>
      </c>
      <c r="R1920" s="44"/>
      <c r="S1920" s="44"/>
      <c r="T1920" s="43"/>
      <c r="U1920" s="43" t="str">
        <f t="shared" si="8"/>
        <v>No</v>
      </c>
      <c r="V1920" s="25"/>
      <c r="W1920" s="25"/>
      <c r="X1920" s="25"/>
      <c r="Y1920" s="25"/>
      <c r="Z1920" s="25"/>
    </row>
    <row r="1921" spans="1:26" ht="15.75" customHeight="1" x14ac:dyDescent="0.25">
      <c r="A1921" s="25">
        <v>1919</v>
      </c>
      <c r="B1921" s="37" t="e">
        <f t="shared" ref="B1921:D1921" si="3867">VLOOKUP($A1921,[6]Gobierno!$A$1:$O$234,B$1,0)</f>
        <v>#N/A</v>
      </c>
      <c r="C1921" s="38" t="e">
        <f t="shared" si="3867"/>
        <v>#N/A</v>
      </c>
      <c r="D1921" s="39" t="e">
        <f t="shared" si="3867"/>
        <v>#N/A</v>
      </c>
      <c r="E1921" s="16" t="e">
        <f t="shared" si="1"/>
        <v>#N/A</v>
      </c>
      <c r="F1921" s="16" t="e">
        <f t="shared" ref="F1921:K1921" si="3868">VLOOKUP($A1921,[6]Gobierno!$A$1:$O$234,F$1,0)</f>
        <v>#N/A</v>
      </c>
      <c r="G1921" s="39" t="e">
        <f t="shared" si="3868"/>
        <v>#N/A</v>
      </c>
      <c r="H1921" s="16" t="e">
        <f t="shared" si="3868"/>
        <v>#N/A</v>
      </c>
      <c r="I1921" s="16" t="e">
        <f t="shared" si="3868"/>
        <v>#N/A</v>
      </c>
      <c r="J1921" s="40" t="e">
        <f t="shared" si="3868"/>
        <v>#N/A</v>
      </c>
      <c r="K1921" s="16" t="e">
        <f t="shared" si="3868"/>
        <v>#N/A</v>
      </c>
      <c r="L1921" s="40" t="e">
        <f t="shared" si="3629"/>
        <v>#N/A</v>
      </c>
      <c r="M1921" s="16" t="e">
        <f t="shared" si="3630"/>
        <v>#N/A</v>
      </c>
      <c r="N1921" s="16" t="e">
        <f t="shared" si="3631"/>
        <v>#N/A</v>
      </c>
      <c r="O1921" s="16" t="s">
        <v>70</v>
      </c>
      <c r="P1921" s="16" t="str">
        <f t="shared" si="6"/>
        <v/>
      </c>
      <c r="Q1921" s="41" t="e">
        <f t="shared" si="3632"/>
        <v>#N/A</v>
      </c>
      <c r="R1921" s="44"/>
      <c r="S1921" s="44"/>
      <c r="T1921" s="43"/>
      <c r="U1921" s="43" t="str">
        <f t="shared" si="8"/>
        <v>No</v>
      </c>
      <c r="V1921" s="25"/>
      <c r="W1921" s="25"/>
      <c r="X1921" s="25"/>
      <c r="Y1921" s="25"/>
      <c r="Z1921" s="25"/>
    </row>
    <row r="1922" spans="1:26" ht="15.75" customHeight="1" x14ac:dyDescent="0.25">
      <c r="A1922" s="25">
        <v>1920</v>
      </c>
      <c r="B1922" s="37" t="e">
        <f t="shared" ref="B1922:D1922" si="3869">VLOOKUP($A1922,[6]Gobierno!$A$1:$O$234,B$1,0)</f>
        <v>#N/A</v>
      </c>
      <c r="C1922" s="38" t="e">
        <f t="shared" si="3869"/>
        <v>#N/A</v>
      </c>
      <c r="D1922" s="39" t="e">
        <f t="shared" si="3869"/>
        <v>#N/A</v>
      </c>
      <c r="E1922" s="16" t="e">
        <f t="shared" si="1"/>
        <v>#N/A</v>
      </c>
      <c r="F1922" s="16" t="e">
        <f t="shared" ref="F1922:K1922" si="3870">VLOOKUP($A1922,[6]Gobierno!$A$1:$O$234,F$1,0)</f>
        <v>#N/A</v>
      </c>
      <c r="G1922" s="39" t="e">
        <f t="shared" si="3870"/>
        <v>#N/A</v>
      </c>
      <c r="H1922" s="16" t="e">
        <f t="shared" si="3870"/>
        <v>#N/A</v>
      </c>
      <c r="I1922" s="16" t="e">
        <f t="shared" si="3870"/>
        <v>#N/A</v>
      </c>
      <c r="J1922" s="40" t="e">
        <f t="shared" si="3870"/>
        <v>#N/A</v>
      </c>
      <c r="K1922" s="16" t="e">
        <f t="shared" si="3870"/>
        <v>#N/A</v>
      </c>
      <c r="L1922" s="40" t="e">
        <f t="shared" si="3629"/>
        <v>#N/A</v>
      </c>
      <c r="M1922" s="16" t="e">
        <f t="shared" si="3630"/>
        <v>#N/A</v>
      </c>
      <c r="N1922" s="16" t="e">
        <f t="shared" si="3631"/>
        <v>#N/A</v>
      </c>
      <c r="O1922" s="16" t="s">
        <v>70</v>
      </c>
      <c r="P1922" s="16" t="str">
        <f t="shared" si="6"/>
        <v/>
      </c>
      <c r="Q1922" s="41" t="e">
        <f t="shared" si="3632"/>
        <v>#N/A</v>
      </c>
      <c r="R1922" s="44"/>
      <c r="S1922" s="44"/>
      <c r="T1922" s="43"/>
      <c r="U1922" s="43" t="str">
        <f t="shared" si="8"/>
        <v>No</v>
      </c>
      <c r="V1922" s="25"/>
      <c r="W1922" s="25"/>
      <c r="X1922" s="25"/>
      <c r="Y1922" s="25"/>
      <c r="Z1922" s="25"/>
    </row>
    <row r="1923" spans="1:26" ht="15.75" customHeight="1" x14ac:dyDescent="0.25">
      <c r="A1923" s="25">
        <v>1921</v>
      </c>
      <c r="B1923" s="37" t="e">
        <f t="shared" ref="B1923:D1923" si="3871">VLOOKUP($A1923,[6]Gobierno!$A$1:$O$234,B$1,0)</f>
        <v>#N/A</v>
      </c>
      <c r="C1923" s="38" t="e">
        <f t="shared" si="3871"/>
        <v>#N/A</v>
      </c>
      <c r="D1923" s="39" t="e">
        <f t="shared" si="3871"/>
        <v>#N/A</v>
      </c>
      <c r="E1923" s="16" t="e">
        <f t="shared" si="1"/>
        <v>#N/A</v>
      </c>
      <c r="F1923" s="16" t="e">
        <f t="shared" ref="F1923:K1923" si="3872">VLOOKUP($A1923,[6]Gobierno!$A$1:$O$234,F$1,0)</f>
        <v>#N/A</v>
      </c>
      <c r="G1923" s="39" t="e">
        <f t="shared" si="3872"/>
        <v>#N/A</v>
      </c>
      <c r="H1923" s="16" t="e">
        <f t="shared" si="3872"/>
        <v>#N/A</v>
      </c>
      <c r="I1923" s="16" t="e">
        <f t="shared" si="3872"/>
        <v>#N/A</v>
      </c>
      <c r="J1923" s="40" t="e">
        <f t="shared" si="3872"/>
        <v>#N/A</v>
      </c>
      <c r="K1923" s="16" t="e">
        <f t="shared" si="3872"/>
        <v>#N/A</v>
      </c>
      <c r="L1923" s="40" t="e">
        <f t="shared" si="3629"/>
        <v>#N/A</v>
      </c>
      <c r="M1923" s="16" t="e">
        <f t="shared" si="3630"/>
        <v>#N/A</v>
      </c>
      <c r="N1923" s="16" t="e">
        <f t="shared" si="3631"/>
        <v>#N/A</v>
      </c>
      <c r="O1923" s="16" t="s">
        <v>70</v>
      </c>
      <c r="P1923" s="16" t="str">
        <f t="shared" si="6"/>
        <v/>
      </c>
      <c r="Q1923" s="41" t="e">
        <f t="shared" si="3632"/>
        <v>#N/A</v>
      </c>
      <c r="R1923" s="44"/>
      <c r="S1923" s="44"/>
      <c r="T1923" s="43"/>
      <c r="U1923" s="43" t="str">
        <f t="shared" si="8"/>
        <v>No</v>
      </c>
      <c r="V1923" s="25"/>
      <c r="W1923" s="25"/>
      <c r="X1923" s="25"/>
      <c r="Y1923" s="25"/>
      <c r="Z1923" s="25"/>
    </row>
    <row r="1924" spans="1:26" ht="15.75" customHeight="1" x14ac:dyDescent="0.25">
      <c r="A1924" s="25">
        <v>1922</v>
      </c>
      <c r="B1924" s="37" t="e">
        <f t="shared" ref="B1924:D1924" si="3873">VLOOKUP($A1924,[6]Gobierno!$A$1:$O$234,B$1,0)</f>
        <v>#N/A</v>
      </c>
      <c r="C1924" s="38" t="e">
        <f t="shared" si="3873"/>
        <v>#N/A</v>
      </c>
      <c r="D1924" s="39" t="e">
        <f t="shared" si="3873"/>
        <v>#N/A</v>
      </c>
      <c r="E1924" s="16" t="e">
        <f t="shared" si="1"/>
        <v>#N/A</v>
      </c>
      <c r="F1924" s="16" t="e">
        <f t="shared" ref="F1924:K1924" si="3874">VLOOKUP($A1924,[6]Gobierno!$A$1:$O$234,F$1,0)</f>
        <v>#N/A</v>
      </c>
      <c r="G1924" s="39" t="e">
        <f t="shared" si="3874"/>
        <v>#N/A</v>
      </c>
      <c r="H1924" s="16" t="e">
        <f t="shared" si="3874"/>
        <v>#N/A</v>
      </c>
      <c r="I1924" s="16" t="e">
        <f t="shared" si="3874"/>
        <v>#N/A</v>
      </c>
      <c r="J1924" s="40" t="e">
        <f t="shared" si="3874"/>
        <v>#N/A</v>
      </c>
      <c r="K1924" s="16" t="e">
        <f t="shared" si="3874"/>
        <v>#N/A</v>
      </c>
      <c r="L1924" s="40" t="e">
        <f t="shared" si="3629"/>
        <v>#N/A</v>
      </c>
      <c r="M1924" s="16" t="e">
        <f t="shared" si="3630"/>
        <v>#N/A</v>
      </c>
      <c r="N1924" s="16" t="e">
        <f t="shared" si="3631"/>
        <v>#N/A</v>
      </c>
      <c r="O1924" s="16" t="s">
        <v>70</v>
      </c>
      <c r="P1924" s="16" t="str">
        <f t="shared" si="6"/>
        <v/>
      </c>
      <c r="Q1924" s="41" t="e">
        <f t="shared" si="3632"/>
        <v>#N/A</v>
      </c>
      <c r="R1924" s="44"/>
      <c r="S1924" s="44"/>
      <c r="T1924" s="43"/>
      <c r="U1924" s="43" t="str">
        <f t="shared" si="8"/>
        <v>No</v>
      </c>
      <c r="V1924" s="25"/>
      <c r="W1924" s="25"/>
      <c r="X1924" s="25"/>
      <c r="Y1924" s="25"/>
      <c r="Z1924" s="25"/>
    </row>
    <row r="1925" spans="1:26" ht="15.75" customHeight="1" x14ac:dyDescent="0.25">
      <c r="A1925" s="25">
        <v>1923</v>
      </c>
      <c r="B1925" s="37" t="e">
        <f t="shared" ref="B1925:D1925" si="3875">VLOOKUP($A1925,[6]Gobierno!$A$1:$O$234,B$1,0)</f>
        <v>#N/A</v>
      </c>
      <c r="C1925" s="38" t="e">
        <f t="shared" si="3875"/>
        <v>#N/A</v>
      </c>
      <c r="D1925" s="39" t="e">
        <f t="shared" si="3875"/>
        <v>#N/A</v>
      </c>
      <c r="E1925" s="16" t="e">
        <f t="shared" si="1"/>
        <v>#N/A</v>
      </c>
      <c r="F1925" s="16" t="e">
        <f t="shared" ref="F1925:K1925" si="3876">VLOOKUP($A1925,[6]Gobierno!$A$1:$O$234,F$1,0)</f>
        <v>#N/A</v>
      </c>
      <c r="G1925" s="39" t="e">
        <f t="shared" si="3876"/>
        <v>#N/A</v>
      </c>
      <c r="H1925" s="16" t="e">
        <f t="shared" si="3876"/>
        <v>#N/A</v>
      </c>
      <c r="I1925" s="16" t="e">
        <f t="shared" si="3876"/>
        <v>#N/A</v>
      </c>
      <c r="J1925" s="40" t="e">
        <f t="shared" si="3876"/>
        <v>#N/A</v>
      </c>
      <c r="K1925" s="16" t="e">
        <f t="shared" si="3876"/>
        <v>#N/A</v>
      </c>
      <c r="L1925" s="40" t="e">
        <f t="shared" si="3629"/>
        <v>#N/A</v>
      </c>
      <c r="M1925" s="16" t="e">
        <f t="shared" si="3630"/>
        <v>#N/A</v>
      </c>
      <c r="N1925" s="16" t="e">
        <f t="shared" si="3631"/>
        <v>#N/A</v>
      </c>
      <c r="O1925" s="16" t="s">
        <v>70</v>
      </c>
      <c r="P1925" s="16" t="str">
        <f t="shared" si="6"/>
        <v/>
      </c>
      <c r="Q1925" s="41" t="e">
        <f t="shared" si="3632"/>
        <v>#N/A</v>
      </c>
      <c r="R1925" s="44"/>
      <c r="S1925" s="44"/>
      <c r="T1925" s="43"/>
      <c r="U1925" s="43" t="str">
        <f t="shared" si="8"/>
        <v>No</v>
      </c>
      <c r="V1925" s="25"/>
      <c r="W1925" s="25"/>
      <c r="X1925" s="25"/>
      <c r="Y1925" s="25"/>
      <c r="Z1925" s="25"/>
    </row>
    <row r="1926" spans="1:26" ht="15.75" customHeight="1" x14ac:dyDescent="0.25">
      <c r="A1926" s="25">
        <v>1924</v>
      </c>
      <c r="B1926" s="37" t="e">
        <f t="shared" ref="B1926:D1926" si="3877">VLOOKUP($A1926,[6]Gobierno!$A$1:$O$234,B$1,0)</f>
        <v>#N/A</v>
      </c>
      <c r="C1926" s="38" t="e">
        <f t="shared" si="3877"/>
        <v>#N/A</v>
      </c>
      <c r="D1926" s="39" t="e">
        <f t="shared" si="3877"/>
        <v>#N/A</v>
      </c>
      <c r="E1926" s="16" t="e">
        <f t="shared" si="1"/>
        <v>#N/A</v>
      </c>
      <c r="F1926" s="16" t="e">
        <f t="shared" ref="F1926:K1926" si="3878">VLOOKUP($A1926,[6]Gobierno!$A$1:$O$234,F$1,0)</f>
        <v>#N/A</v>
      </c>
      <c r="G1926" s="39" t="e">
        <f t="shared" si="3878"/>
        <v>#N/A</v>
      </c>
      <c r="H1926" s="16" t="e">
        <f t="shared" si="3878"/>
        <v>#N/A</v>
      </c>
      <c r="I1926" s="16" t="e">
        <f t="shared" si="3878"/>
        <v>#N/A</v>
      </c>
      <c r="J1926" s="40" t="e">
        <f t="shared" si="3878"/>
        <v>#N/A</v>
      </c>
      <c r="K1926" s="16" t="e">
        <f t="shared" si="3878"/>
        <v>#N/A</v>
      </c>
      <c r="L1926" s="40" t="e">
        <f t="shared" si="3629"/>
        <v>#N/A</v>
      </c>
      <c r="M1926" s="16" t="e">
        <f t="shared" si="3630"/>
        <v>#N/A</v>
      </c>
      <c r="N1926" s="16" t="e">
        <f t="shared" si="3631"/>
        <v>#N/A</v>
      </c>
      <c r="O1926" s="16" t="s">
        <v>70</v>
      </c>
      <c r="P1926" s="16" t="str">
        <f t="shared" si="6"/>
        <v/>
      </c>
      <c r="Q1926" s="41" t="e">
        <f t="shared" si="3632"/>
        <v>#N/A</v>
      </c>
      <c r="R1926" s="44"/>
      <c r="S1926" s="44"/>
      <c r="T1926" s="43"/>
      <c r="U1926" s="43" t="str">
        <f t="shared" si="8"/>
        <v>No</v>
      </c>
      <c r="V1926" s="25"/>
      <c r="W1926" s="25"/>
      <c r="X1926" s="25"/>
      <c r="Y1926" s="25"/>
      <c r="Z1926" s="25"/>
    </row>
    <row r="1927" spans="1:26" ht="15.75" customHeight="1" x14ac:dyDescent="0.25">
      <c r="A1927" s="25">
        <v>1925</v>
      </c>
      <c r="B1927" s="37" t="e">
        <f t="shared" ref="B1927:D1927" si="3879">VLOOKUP($A1927,[6]Gobierno!$A$1:$O$234,B$1,0)</f>
        <v>#N/A</v>
      </c>
      <c r="C1927" s="38" t="e">
        <f t="shared" si="3879"/>
        <v>#N/A</v>
      </c>
      <c r="D1927" s="39" t="e">
        <f t="shared" si="3879"/>
        <v>#N/A</v>
      </c>
      <c r="E1927" s="16" t="e">
        <f t="shared" si="1"/>
        <v>#N/A</v>
      </c>
      <c r="F1927" s="16" t="e">
        <f t="shared" ref="F1927:K1927" si="3880">VLOOKUP($A1927,[6]Gobierno!$A$1:$O$234,F$1,0)</f>
        <v>#N/A</v>
      </c>
      <c r="G1927" s="39" t="e">
        <f t="shared" si="3880"/>
        <v>#N/A</v>
      </c>
      <c r="H1927" s="16" t="e">
        <f t="shared" si="3880"/>
        <v>#N/A</v>
      </c>
      <c r="I1927" s="16" t="e">
        <f t="shared" si="3880"/>
        <v>#N/A</v>
      </c>
      <c r="J1927" s="40" t="e">
        <f t="shared" si="3880"/>
        <v>#N/A</v>
      </c>
      <c r="K1927" s="16" t="e">
        <f t="shared" si="3880"/>
        <v>#N/A</v>
      </c>
      <c r="L1927" s="40" t="e">
        <f t="shared" si="3629"/>
        <v>#N/A</v>
      </c>
      <c r="M1927" s="16" t="e">
        <f t="shared" si="3630"/>
        <v>#N/A</v>
      </c>
      <c r="N1927" s="16" t="e">
        <f t="shared" si="3631"/>
        <v>#N/A</v>
      </c>
      <c r="O1927" s="16" t="s">
        <v>70</v>
      </c>
      <c r="P1927" s="16" t="str">
        <f t="shared" si="6"/>
        <v/>
      </c>
      <c r="Q1927" s="41" t="e">
        <f t="shared" si="3632"/>
        <v>#N/A</v>
      </c>
      <c r="R1927" s="44"/>
      <c r="S1927" s="44"/>
      <c r="T1927" s="43"/>
      <c r="U1927" s="43" t="str">
        <f t="shared" si="8"/>
        <v>No</v>
      </c>
      <c r="V1927" s="25"/>
      <c r="W1927" s="25"/>
      <c r="X1927" s="25"/>
      <c r="Y1927" s="25"/>
      <c r="Z1927" s="25"/>
    </row>
    <row r="1928" spans="1:26" ht="15.75" customHeight="1" x14ac:dyDescent="0.25">
      <c r="A1928" s="25">
        <v>1926</v>
      </c>
      <c r="B1928" s="37" t="e">
        <f t="shared" ref="B1928:D1928" si="3881">VLOOKUP($A1928,[6]Gobierno!$A$1:$O$234,B$1,0)</f>
        <v>#N/A</v>
      </c>
      <c r="C1928" s="38" t="e">
        <f t="shared" si="3881"/>
        <v>#N/A</v>
      </c>
      <c r="D1928" s="39" t="e">
        <f t="shared" si="3881"/>
        <v>#N/A</v>
      </c>
      <c r="E1928" s="16" t="e">
        <f t="shared" si="1"/>
        <v>#N/A</v>
      </c>
      <c r="F1928" s="16" t="e">
        <f t="shared" ref="F1928:K1928" si="3882">VLOOKUP($A1928,[6]Gobierno!$A$1:$O$234,F$1,0)</f>
        <v>#N/A</v>
      </c>
      <c r="G1928" s="39" t="e">
        <f t="shared" si="3882"/>
        <v>#N/A</v>
      </c>
      <c r="H1928" s="16" t="e">
        <f t="shared" si="3882"/>
        <v>#N/A</v>
      </c>
      <c r="I1928" s="16" t="e">
        <f t="shared" si="3882"/>
        <v>#N/A</v>
      </c>
      <c r="J1928" s="40" t="e">
        <f t="shared" si="3882"/>
        <v>#N/A</v>
      </c>
      <c r="K1928" s="16" t="e">
        <f t="shared" si="3882"/>
        <v>#N/A</v>
      </c>
      <c r="L1928" s="40" t="e">
        <f t="shared" si="3629"/>
        <v>#N/A</v>
      </c>
      <c r="M1928" s="16" t="e">
        <f t="shared" si="3630"/>
        <v>#N/A</v>
      </c>
      <c r="N1928" s="16" t="e">
        <f t="shared" si="3631"/>
        <v>#N/A</v>
      </c>
      <c r="O1928" s="16" t="s">
        <v>70</v>
      </c>
      <c r="P1928" s="16" t="str">
        <f t="shared" si="6"/>
        <v/>
      </c>
      <c r="Q1928" s="41" t="e">
        <f t="shared" si="3632"/>
        <v>#N/A</v>
      </c>
      <c r="R1928" s="44"/>
      <c r="S1928" s="44"/>
      <c r="T1928" s="43"/>
      <c r="U1928" s="43" t="str">
        <f t="shared" si="8"/>
        <v>No</v>
      </c>
      <c r="V1928" s="25"/>
      <c r="W1928" s="25"/>
      <c r="X1928" s="25"/>
      <c r="Y1928" s="25"/>
      <c r="Z1928" s="25"/>
    </row>
    <row r="1929" spans="1:26" ht="15.75" customHeight="1" x14ac:dyDescent="0.25">
      <c r="A1929" s="25">
        <v>1927</v>
      </c>
      <c r="B1929" s="37" t="e">
        <f t="shared" ref="B1929:D1929" si="3883">VLOOKUP($A1929,[6]Gobierno!$A$1:$O$234,B$1,0)</f>
        <v>#N/A</v>
      </c>
      <c r="C1929" s="38" t="e">
        <f t="shared" si="3883"/>
        <v>#N/A</v>
      </c>
      <c r="D1929" s="39" t="e">
        <f t="shared" si="3883"/>
        <v>#N/A</v>
      </c>
      <c r="E1929" s="16" t="e">
        <f t="shared" si="1"/>
        <v>#N/A</v>
      </c>
      <c r="F1929" s="16" t="e">
        <f t="shared" ref="F1929:K1929" si="3884">VLOOKUP($A1929,[6]Gobierno!$A$1:$O$234,F$1,0)</f>
        <v>#N/A</v>
      </c>
      <c r="G1929" s="39" t="e">
        <f t="shared" si="3884"/>
        <v>#N/A</v>
      </c>
      <c r="H1929" s="16" t="e">
        <f t="shared" si="3884"/>
        <v>#N/A</v>
      </c>
      <c r="I1929" s="16" t="e">
        <f t="shared" si="3884"/>
        <v>#N/A</v>
      </c>
      <c r="J1929" s="40" t="e">
        <f t="shared" si="3884"/>
        <v>#N/A</v>
      </c>
      <c r="K1929" s="16" t="e">
        <f t="shared" si="3884"/>
        <v>#N/A</v>
      </c>
      <c r="L1929" s="40" t="e">
        <f t="shared" si="3629"/>
        <v>#N/A</v>
      </c>
      <c r="M1929" s="16" t="e">
        <f t="shared" si="3630"/>
        <v>#N/A</v>
      </c>
      <c r="N1929" s="16" t="e">
        <f t="shared" si="3631"/>
        <v>#N/A</v>
      </c>
      <c r="O1929" s="16" t="s">
        <v>70</v>
      </c>
      <c r="P1929" s="16" t="str">
        <f t="shared" si="6"/>
        <v/>
      </c>
      <c r="Q1929" s="41" t="e">
        <f t="shared" si="3632"/>
        <v>#N/A</v>
      </c>
      <c r="R1929" s="44"/>
      <c r="S1929" s="44"/>
      <c r="T1929" s="43"/>
      <c r="U1929" s="43" t="str">
        <f t="shared" si="8"/>
        <v>No</v>
      </c>
      <c r="V1929" s="25"/>
      <c r="W1929" s="25"/>
      <c r="X1929" s="25"/>
      <c r="Y1929" s="25"/>
      <c r="Z1929" s="25"/>
    </row>
    <row r="1930" spans="1:26" ht="15.75" customHeight="1" x14ac:dyDescent="0.25">
      <c r="A1930" s="25">
        <v>1928</v>
      </c>
      <c r="B1930" s="37" t="e">
        <f t="shared" ref="B1930:D1930" si="3885">VLOOKUP($A1930,[6]Gobierno!$A$1:$O$234,B$1,0)</f>
        <v>#N/A</v>
      </c>
      <c r="C1930" s="38" t="e">
        <f t="shared" si="3885"/>
        <v>#N/A</v>
      </c>
      <c r="D1930" s="39" t="e">
        <f t="shared" si="3885"/>
        <v>#N/A</v>
      </c>
      <c r="E1930" s="16" t="e">
        <f t="shared" si="1"/>
        <v>#N/A</v>
      </c>
      <c r="F1930" s="16" t="e">
        <f t="shared" ref="F1930:K1930" si="3886">VLOOKUP($A1930,[6]Gobierno!$A$1:$O$234,F$1,0)</f>
        <v>#N/A</v>
      </c>
      <c r="G1930" s="39" t="e">
        <f t="shared" si="3886"/>
        <v>#N/A</v>
      </c>
      <c r="H1930" s="16" t="e">
        <f t="shared" si="3886"/>
        <v>#N/A</v>
      </c>
      <c r="I1930" s="16" t="e">
        <f t="shared" si="3886"/>
        <v>#N/A</v>
      </c>
      <c r="J1930" s="40" t="e">
        <f t="shared" si="3886"/>
        <v>#N/A</v>
      </c>
      <c r="K1930" s="16" t="e">
        <f t="shared" si="3886"/>
        <v>#N/A</v>
      </c>
      <c r="L1930" s="40" t="e">
        <f t="shared" si="3629"/>
        <v>#N/A</v>
      </c>
      <c r="M1930" s="16" t="e">
        <f t="shared" si="3630"/>
        <v>#N/A</v>
      </c>
      <c r="N1930" s="16" t="e">
        <f t="shared" si="3631"/>
        <v>#N/A</v>
      </c>
      <c r="O1930" s="16" t="s">
        <v>70</v>
      </c>
      <c r="P1930" s="16" t="str">
        <f t="shared" si="6"/>
        <v/>
      </c>
      <c r="Q1930" s="41" t="e">
        <f t="shared" si="3632"/>
        <v>#N/A</v>
      </c>
      <c r="R1930" s="44"/>
      <c r="S1930" s="44"/>
      <c r="T1930" s="43"/>
      <c r="U1930" s="43" t="str">
        <f t="shared" si="8"/>
        <v>No</v>
      </c>
      <c r="V1930" s="25"/>
      <c r="W1930" s="25"/>
      <c r="X1930" s="25"/>
      <c r="Y1930" s="25"/>
      <c r="Z1930" s="25"/>
    </row>
    <row r="1931" spans="1:26" ht="15.75" customHeight="1" x14ac:dyDescent="0.25">
      <c r="A1931" s="25">
        <v>1929</v>
      </c>
      <c r="B1931" s="37" t="e">
        <f t="shared" ref="B1931:D1931" si="3887">VLOOKUP($A1931,[6]Gobierno!$A$1:$O$234,B$1,0)</f>
        <v>#N/A</v>
      </c>
      <c r="C1931" s="38" t="e">
        <f t="shared" si="3887"/>
        <v>#N/A</v>
      </c>
      <c r="D1931" s="39" t="e">
        <f t="shared" si="3887"/>
        <v>#N/A</v>
      </c>
      <c r="E1931" s="16" t="e">
        <f t="shared" si="1"/>
        <v>#N/A</v>
      </c>
      <c r="F1931" s="16" t="e">
        <f t="shared" ref="F1931:K1931" si="3888">VLOOKUP($A1931,[6]Gobierno!$A$1:$O$234,F$1,0)</f>
        <v>#N/A</v>
      </c>
      <c r="G1931" s="39" t="e">
        <f t="shared" si="3888"/>
        <v>#N/A</v>
      </c>
      <c r="H1931" s="16" t="e">
        <f t="shared" si="3888"/>
        <v>#N/A</v>
      </c>
      <c r="I1931" s="16" t="e">
        <f t="shared" si="3888"/>
        <v>#N/A</v>
      </c>
      <c r="J1931" s="40" t="e">
        <f t="shared" si="3888"/>
        <v>#N/A</v>
      </c>
      <c r="K1931" s="16" t="e">
        <f t="shared" si="3888"/>
        <v>#N/A</v>
      </c>
      <c r="L1931" s="40" t="e">
        <f t="shared" si="3629"/>
        <v>#N/A</v>
      </c>
      <c r="M1931" s="16" t="e">
        <f t="shared" si="3630"/>
        <v>#N/A</v>
      </c>
      <c r="N1931" s="16" t="e">
        <f t="shared" si="3631"/>
        <v>#N/A</v>
      </c>
      <c r="O1931" s="16" t="s">
        <v>70</v>
      </c>
      <c r="P1931" s="16" t="str">
        <f t="shared" si="6"/>
        <v/>
      </c>
      <c r="Q1931" s="41" t="e">
        <f t="shared" si="3632"/>
        <v>#N/A</v>
      </c>
      <c r="R1931" s="44"/>
      <c r="S1931" s="44"/>
      <c r="T1931" s="43"/>
      <c r="U1931" s="43" t="str">
        <f t="shared" si="8"/>
        <v>No</v>
      </c>
      <c r="V1931" s="25"/>
      <c r="W1931" s="25"/>
      <c r="X1931" s="25"/>
      <c r="Y1931" s="25"/>
      <c r="Z1931" s="25"/>
    </row>
    <row r="1932" spans="1:26" ht="15.75" customHeight="1" x14ac:dyDescent="0.25">
      <c r="A1932" s="25">
        <v>1930</v>
      </c>
      <c r="B1932" s="37" t="e">
        <f t="shared" ref="B1932:D1932" si="3889">VLOOKUP($A1932,[6]Gobierno!$A$1:$O$234,B$1,0)</f>
        <v>#N/A</v>
      </c>
      <c r="C1932" s="38" t="e">
        <f t="shared" si="3889"/>
        <v>#N/A</v>
      </c>
      <c r="D1932" s="39" t="e">
        <f t="shared" si="3889"/>
        <v>#N/A</v>
      </c>
      <c r="E1932" s="16" t="e">
        <f t="shared" si="1"/>
        <v>#N/A</v>
      </c>
      <c r="F1932" s="16" t="e">
        <f t="shared" ref="F1932:K1932" si="3890">VLOOKUP($A1932,[6]Gobierno!$A$1:$O$234,F$1,0)</f>
        <v>#N/A</v>
      </c>
      <c r="G1932" s="39" t="e">
        <f t="shared" si="3890"/>
        <v>#N/A</v>
      </c>
      <c r="H1932" s="16" t="e">
        <f t="shared" si="3890"/>
        <v>#N/A</v>
      </c>
      <c r="I1932" s="16" t="e">
        <f t="shared" si="3890"/>
        <v>#N/A</v>
      </c>
      <c r="J1932" s="40" t="e">
        <f t="shared" si="3890"/>
        <v>#N/A</v>
      </c>
      <c r="K1932" s="16" t="e">
        <f t="shared" si="3890"/>
        <v>#N/A</v>
      </c>
      <c r="L1932" s="40" t="e">
        <f t="shared" si="3629"/>
        <v>#N/A</v>
      </c>
      <c r="M1932" s="16" t="e">
        <f t="shared" si="3630"/>
        <v>#N/A</v>
      </c>
      <c r="N1932" s="16" t="e">
        <f t="shared" si="3631"/>
        <v>#N/A</v>
      </c>
      <c r="O1932" s="16" t="s">
        <v>70</v>
      </c>
      <c r="P1932" s="16" t="str">
        <f t="shared" si="6"/>
        <v/>
      </c>
      <c r="Q1932" s="41" t="e">
        <f t="shared" si="3632"/>
        <v>#N/A</v>
      </c>
      <c r="R1932" s="44"/>
      <c r="S1932" s="44"/>
      <c r="T1932" s="43"/>
      <c r="U1932" s="43" t="str">
        <f t="shared" si="8"/>
        <v>No</v>
      </c>
      <c r="V1932" s="25"/>
      <c r="W1932" s="25"/>
      <c r="X1932" s="25"/>
      <c r="Y1932" s="25"/>
      <c r="Z1932" s="25"/>
    </row>
    <row r="1933" spans="1:26" ht="15.75" customHeight="1" x14ac:dyDescent="0.25">
      <c r="A1933" s="25">
        <v>1931</v>
      </c>
      <c r="B1933" s="37" t="e">
        <f t="shared" ref="B1933:D1933" si="3891">VLOOKUP($A1933,[6]Gobierno!$A$1:$O$234,B$1,0)</f>
        <v>#N/A</v>
      </c>
      <c r="C1933" s="38" t="e">
        <f t="shared" si="3891"/>
        <v>#N/A</v>
      </c>
      <c r="D1933" s="39" t="e">
        <f t="shared" si="3891"/>
        <v>#N/A</v>
      </c>
      <c r="E1933" s="16" t="e">
        <f t="shared" si="1"/>
        <v>#N/A</v>
      </c>
      <c r="F1933" s="16" t="e">
        <f t="shared" ref="F1933:K1933" si="3892">VLOOKUP($A1933,[6]Gobierno!$A$1:$O$234,F$1,0)</f>
        <v>#N/A</v>
      </c>
      <c r="G1933" s="39" t="e">
        <f t="shared" si="3892"/>
        <v>#N/A</v>
      </c>
      <c r="H1933" s="16" t="e">
        <f t="shared" si="3892"/>
        <v>#N/A</v>
      </c>
      <c r="I1933" s="16" t="e">
        <f t="shared" si="3892"/>
        <v>#N/A</v>
      </c>
      <c r="J1933" s="40" t="e">
        <f t="shared" si="3892"/>
        <v>#N/A</v>
      </c>
      <c r="K1933" s="16" t="e">
        <f t="shared" si="3892"/>
        <v>#N/A</v>
      </c>
      <c r="L1933" s="40" t="e">
        <f t="shared" si="3629"/>
        <v>#N/A</v>
      </c>
      <c r="M1933" s="16" t="e">
        <f t="shared" si="3630"/>
        <v>#N/A</v>
      </c>
      <c r="N1933" s="16" t="e">
        <f t="shared" si="3631"/>
        <v>#N/A</v>
      </c>
      <c r="O1933" s="16" t="s">
        <v>70</v>
      </c>
      <c r="P1933" s="16" t="str">
        <f t="shared" si="6"/>
        <v/>
      </c>
      <c r="Q1933" s="41" t="e">
        <f t="shared" si="3632"/>
        <v>#N/A</v>
      </c>
      <c r="R1933" s="44"/>
      <c r="S1933" s="44"/>
      <c r="T1933" s="43"/>
      <c r="U1933" s="43" t="str">
        <f t="shared" si="8"/>
        <v>No</v>
      </c>
      <c r="V1933" s="25"/>
      <c r="W1933" s="25"/>
      <c r="X1933" s="25"/>
      <c r="Y1933" s="25"/>
      <c r="Z1933" s="25"/>
    </row>
    <row r="1934" spans="1:26" ht="15.75" customHeight="1" x14ac:dyDescent="0.25">
      <c r="A1934" s="25">
        <v>1932</v>
      </c>
      <c r="B1934" s="37" t="e">
        <f t="shared" ref="B1934:D1934" si="3893">VLOOKUP($A1934,[6]Gobierno!$A$1:$O$234,B$1,0)</f>
        <v>#N/A</v>
      </c>
      <c r="C1934" s="38" t="e">
        <f t="shared" si="3893"/>
        <v>#N/A</v>
      </c>
      <c r="D1934" s="39" t="e">
        <f t="shared" si="3893"/>
        <v>#N/A</v>
      </c>
      <c r="E1934" s="16" t="e">
        <f t="shared" si="1"/>
        <v>#N/A</v>
      </c>
      <c r="F1934" s="16" t="e">
        <f t="shared" ref="F1934:K1934" si="3894">VLOOKUP($A1934,[6]Gobierno!$A$1:$O$234,F$1,0)</f>
        <v>#N/A</v>
      </c>
      <c r="G1934" s="39" t="e">
        <f t="shared" si="3894"/>
        <v>#N/A</v>
      </c>
      <c r="H1934" s="16" t="e">
        <f t="shared" si="3894"/>
        <v>#N/A</v>
      </c>
      <c r="I1934" s="16" t="e">
        <f t="shared" si="3894"/>
        <v>#N/A</v>
      </c>
      <c r="J1934" s="40" t="e">
        <f t="shared" si="3894"/>
        <v>#N/A</v>
      </c>
      <c r="K1934" s="16" t="e">
        <f t="shared" si="3894"/>
        <v>#N/A</v>
      </c>
      <c r="L1934" s="40" t="e">
        <f t="shared" si="3629"/>
        <v>#N/A</v>
      </c>
      <c r="M1934" s="16" t="e">
        <f t="shared" si="3630"/>
        <v>#N/A</v>
      </c>
      <c r="N1934" s="16" t="e">
        <f t="shared" si="3631"/>
        <v>#N/A</v>
      </c>
      <c r="O1934" s="16" t="s">
        <v>70</v>
      </c>
      <c r="P1934" s="16" t="str">
        <f t="shared" si="6"/>
        <v/>
      </c>
      <c r="Q1934" s="41" t="e">
        <f t="shared" si="3632"/>
        <v>#N/A</v>
      </c>
      <c r="R1934" s="44"/>
      <c r="S1934" s="44"/>
      <c r="T1934" s="43"/>
      <c r="U1934" s="43" t="str">
        <f t="shared" si="8"/>
        <v>No</v>
      </c>
      <c r="V1934" s="25"/>
      <c r="W1934" s="25"/>
      <c r="X1934" s="25"/>
      <c r="Y1934" s="25"/>
      <c r="Z1934" s="25"/>
    </row>
    <row r="1935" spans="1:26" ht="15.75" customHeight="1" x14ac:dyDescent="0.25">
      <c r="A1935" s="25">
        <v>1933</v>
      </c>
      <c r="B1935" s="37" t="e">
        <f t="shared" ref="B1935:D1935" si="3895">VLOOKUP($A1935,[6]Gobierno!$A$1:$O$234,B$1,0)</f>
        <v>#N/A</v>
      </c>
      <c r="C1935" s="38" t="e">
        <f t="shared" si="3895"/>
        <v>#N/A</v>
      </c>
      <c r="D1935" s="39" t="e">
        <f t="shared" si="3895"/>
        <v>#N/A</v>
      </c>
      <c r="E1935" s="16" t="e">
        <f t="shared" si="1"/>
        <v>#N/A</v>
      </c>
      <c r="F1935" s="16" t="e">
        <f t="shared" ref="F1935:K1935" si="3896">VLOOKUP($A1935,[6]Gobierno!$A$1:$O$234,F$1,0)</f>
        <v>#N/A</v>
      </c>
      <c r="G1935" s="39" t="e">
        <f t="shared" si="3896"/>
        <v>#N/A</v>
      </c>
      <c r="H1935" s="16" t="e">
        <f t="shared" si="3896"/>
        <v>#N/A</v>
      </c>
      <c r="I1935" s="16" t="e">
        <f t="shared" si="3896"/>
        <v>#N/A</v>
      </c>
      <c r="J1935" s="40" t="e">
        <f t="shared" si="3896"/>
        <v>#N/A</v>
      </c>
      <c r="K1935" s="16" t="e">
        <f t="shared" si="3896"/>
        <v>#N/A</v>
      </c>
      <c r="L1935" s="40" t="e">
        <f t="shared" si="3629"/>
        <v>#N/A</v>
      </c>
      <c r="M1935" s="16" t="e">
        <f t="shared" si="3630"/>
        <v>#N/A</v>
      </c>
      <c r="N1935" s="16" t="e">
        <f t="shared" si="3631"/>
        <v>#N/A</v>
      </c>
      <c r="O1935" s="16" t="s">
        <v>70</v>
      </c>
      <c r="P1935" s="16" t="str">
        <f t="shared" si="6"/>
        <v/>
      </c>
      <c r="Q1935" s="41" t="e">
        <f t="shared" si="3632"/>
        <v>#N/A</v>
      </c>
      <c r="R1935" s="44"/>
      <c r="S1935" s="44"/>
      <c r="T1935" s="43"/>
      <c r="U1935" s="43" t="str">
        <f t="shared" si="8"/>
        <v>No</v>
      </c>
      <c r="V1935" s="25"/>
      <c r="W1935" s="25"/>
      <c r="X1935" s="25"/>
      <c r="Y1935" s="25"/>
      <c r="Z1935" s="25"/>
    </row>
    <row r="1936" spans="1:26" ht="15.75" customHeight="1" x14ac:dyDescent="0.25">
      <c r="A1936" s="25">
        <v>1934</v>
      </c>
      <c r="B1936" s="37" t="e">
        <f t="shared" ref="B1936:D1936" si="3897">VLOOKUP($A1936,[6]Gobierno!$A$1:$O$234,B$1,0)</f>
        <v>#N/A</v>
      </c>
      <c r="C1936" s="38" t="e">
        <f t="shared" si="3897"/>
        <v>#N/A</v>
      </c>
      <c r="D1936" s="39" t="e">
        <f t="shared" si="3897"/>
        <v>#N/A</v>
      </c>
      <c r="E1936" s="16" t="e">
        <f t="shared" si="1"/>
        <v>#N/A</v>
      </c>
      <c r="F1936" s="16" t="e">
        <f t="shared" ref="F1936:K1936" si="3898">VLOOKUP($A1936,[6]Gobierno!$A$1:$O$234,F$1,0)</f>
        <v>#N/A</v>
      </c>
      <c r="G1936" s="39" t="e">
        <f t="shared" si="3898"/>
        <v>#N/A</v>
      </c>
      <c r="H1936" s="16" t="e">
        <f t="shared" si="3898"/>
        <v>#N/A</v>
      </c>
      <c r="I1936" s="16" t="e">
        <f t="shared" si="3898"/>
        <v>#N/A</v>
      </c>
      <c r="J1936" s="40" t="e">
        <f t="shared" si="3898"/>
        <v>#N/A</v>
      </c>
      <c r="K1936" s="16" t="e">
        <f t="shared" si="3898"/>
        <v>#N/A</v>
      </c>
      <c r="L1936" s="40" t="e">
        <f t="shared" si="3629"/>
        <v>#N/A</v>
      </c>
      <c r="M1936" s="16" t="e">
        <f t="shared" si="3630"/>
        <v>#N/A</v>
      </c>
      <c r="N1936" s="16" t="e">
        <f t="shared" si="3631"/>
        <v>#N/A</v>
      </c>
      <c r="O1936" s="16" t="s">
        <v>70</v>
      </c>
      <c r="P1936" s="16" t="str">
        <f t="shared" si="6"/>
        <v/>
      </c>
      <c r="Q1936" s="41" t="e">
        <f t="shared" si="3632"/>
        <v>#N/A</v>
      </c>
      <c r="R1936" s="44"/>
      <c r="S1936" s="44"/>
      <c r="T1936" s="43"/>
      <c r="U1936" s="43" t="str">
        <f t="shared" si="8"/>
        <v>No</v>
      </c>
      <c r="V1936" s="25"/>
      <c r="W1936" s="25"/>
      <c r="X1936" s="25"/>
      <c r="Y1936" s="25"/>
      <c r="Z1936" s="25"/>
    </row>
    <row r="1937" spans="1:26" ht="15.75" customHeight="1" x14ac:dyDescent="0.25">
      <c r="A1937" s="25">
        <v>1935</v>
      </c>
      <c r="B1937" s="37" t="e">
        <f t="shared" ref="B1937:D1937" si="3899">VLOOKUP($A1937,[6]Gobierno!$A$1:$O$234,B$1,0)</f>
        <v>#N/A</v>
      </c>
      <c r="C1937" s="38" t="e">
        <f t="shared" si="3899"/>
        <v>#N/A</v>
      </c>
      <c r="D1937" s="39" t="e">
        <f t="shared" si="3899"/>
        <v>#N/A</v>
      </c>
      <c r="E1937" s="16" t="e">
        <f t="shared" si="1"/>
        <v>#N/A</v>
      </c>
      <c r="F1937" s="16" t="e">
        <f t="shared" ref="F1937:K1937" si="3900">VLOOKUP($A1937,[6]Gobierno!$A$1:$O$234,F$1,0)</f>
        <v>#N/A</v>
      </c>
      <c r="G1937" s="39" t="e">
        <f t="shared" si="3900"/>
        <v>#N/A</v>
      </c>
      <c r="H1937" s="16" t="e">
        <f t="shared" si="3900"/>
        <v>#N/A</v>
      </c>
      <c r="I1937" s="16" t="e">
        <f t="shared" si="3900"/>
        <v>#N/A</v>
      </c>
      <c r="J1937" s="40" t="e">
        <f t="shared" si="3900"/>
        <v>#N/A</v>
      </c>
      <c r="K1937" s="16" t="e">
        <f t="shared" si="3900"/>
        <v>#N/A</v>
      </c>
      <c r="L1937" s="40" t="e">
        <f t="shared" si="3629"/>
        <v>#N/A</v>
      </c>
      <c r="M1937" s="16" t="e">
        <f t="shared" si="3630"/>
        <v>#N/A</v>
      </c>
      <c r="N1937" s="16" t="e">
        <f t="shared" si="3631"/>
        <v>#N/A</v>
      </c>
      <c r="O1937" s="16" t="s">
        <v>70</v>
      </c>
      <c r="P1937" s="16" t="str">
        <f t="shared" si="6"/>
        <v/>
      </c>
      <c r="Q1937" s="41" t="e">
        <f t="shared" si="3632"/>
        <v>#N/A</v>
      </c>
      <c r="R1937" s="44"/>
      <c r="S1937" s="44"/>
      <c r="T1937" s="43"/>
      <c r="U1937" s="43" t="str">
        <f t="shared" si="8"/>
        <v>No</v>
      </c>
      <c r="V1937" s="25"/>
      <c r="W1937" s="25"/>
      <c r="X1937" s="25"/>
      <c r="Y1937" s="25"/>
      <c r="Z1937" s="25"/>
    </row>
    <row r="1938" spans="1:26" ht="15.75" customHeight="1" x14ac:dyDescent="0.25">
      <c r="A1938" s="25">
        <v>1936</v>
      </c>
      <c r="B1938" s="37" t="e">
        <f t="shared" ref="B1938:D1938" si="3901">VLOOKUP($A1938,[6]Gobierno!$A$1:$O$234,B$1,0)</f>
        <v>#N/A</v>
      </c>
      <c r="C1938" s="38" t="e">
        <f t="shared" si="3901"/>
        <v>#N/A</v>
      </c>
      <c r="D1938" s="39" t="e">
        <f t="shared" si="3901"/>
        <v>#N/A</v>
      </c>
      <c r="E1938" s="16" t="e">
        <f t="shared" si="1"/>
        <v>#N/A</v>
      </c>
      <c r="F1938" s="16" t="e">
        <f t="shared" ref="F1938:K1938" si="3902">VLOOKUP($A1938,[6]Gobierno!$A$1:$O$234,F$1,0)</f>
        <v>#N/A</v>
      </c>
      <c r="G1938" s="39" t="e">
        <f t="shared" si="3902"/>
        <v>#N/A</v>
      </c>
      <c r="H1938" s="16" t="e">
        <f t="shared" si="3902"/>
        <v>#N/A</v>
      </c>
      <c r="I1938" s="16" t="e">
        <f t="shared" si="3902"/>
        <v>#N/A</v>
      </c>
      <c r="J1938" s="40" t="e">
        <f t="shared" si="3902"/>
        <v>#N/A</v>
      </c>
      <c r="K1938" s="16" t="e">
        <f t="shared" si="3902"/>
        <v>#N/A</v>
      </c>
      <c r="L1938" s="40" t="e">
        <f t="shared" si="3629"/>
        <v>#N/A</v>
      </c>
      <c r="M1938" s="16" t="e">
        <f t="shared" si="3630"/>
        <v>#N/A</v>
      </c>
      <c r="N1938" s="16" t="e">
        <f t="shared" si="3631"/>
        <v>#N/A</v>
      </c>
      <c r="O1938" s="16" t="s">
        <v>70</v>
      </c>
      <c r="P1938" s="16" t="str">
        <f t="shared" si="6"/>
        <v/>
      </c>
      <c r="Q1938" s="41" t="e">
        <f t="shared" si="3632"/>
        <v>#N/A</v>
      </c>
      <c r="R1938" s="44"/>
      <c r="S1938" s="44"/>
      <c r="T1938" s="43"/>
      <c r="U1938" s="43" t="str">
        <f t="shared" si="8"/>
        <v>No</v>
      </c>
      <c r="V1938" s="25"/>
      <c r="W1938" s="25"/>
      <c r="X1938" s="25"/>
      <c r="Y1938" s="25"/>
      <c r="Z1938" s="25"/>
    </row>
    <row r="1939" spans="1:26" ht="15.75" customHeight="1" x14ac:dyDescent="0.25">
      <c r="A1939" s="25">
        <v>1937</v>
      </c>
      <c r="B1939" s="37" t="e">
        <f t="shared" ref="B1939:D1939" si="3903">VLOOKUP($A1939,[6]Gobierno!$A$1:$O$234,B$1,0)</f>
        <v>#N/A</v>
      </c>
      <c r="C1939" s="38" t="e">
        <f t="shared" si="3903"/>
        <v>#N/A</v>
      </c>
      <c r="D1939" s="39" t="e">
        <f t="shared" si="3903"/>
        <v>#N/A</v>
      </c>
      <c r="E1939" s="16" t="e">
        <f t="shared" si="1"/>
        <v>#N/A</v>
      </c>
      <c r="F1939" s="16" t="e">
        <f t="shared" ref="F1939:K1939" si="3904">VLOOKUP($A1939,[6]Gobierno!$A$1:$O$234,F$1,0)</f>
        <v>#N/A</v>
      </c>
      <c r="G1939" s="39" t="e">
        <f t="shared" si="3904"/>
        <v>#N/A</v>
      </c>
      <c r="H1939" s="16" t="e">
        <f t="shared" si="3904"/>
        <v>#N/A</v>
      </c>
      <c r="I1939" s="16" t="e">
        <f t="shared" si="3904"/>
        <v>#N/A</v>
      </c>
      <c r="J1939" s="40" t="e">
        <f t="shared" si="3904"/>
        <v>#N/A</v>
      </c>
      <c r="K1939" s="16" t="e">
        <f t="shared" si="3904"/>
        <v>#N/A</v>
      </c>
      <c r="L1939" s="40" t="e">
        <f t="shared" si="3629"/>
        <v>#N/A</v>
      </c>
      <c r="M1939" s="16" t="e">
        <f t="shared" si="3630"/>
        <v>#N/A</v>
      </c>
      <c r="N1939" s="16" t="e">
        <f t="shared" si="3631"/>
        <v>#N/A</v>
      </c>
      <c r="O1939" s="16" t="s">
        <v>70</v>
      </c>
      <c r="P1939" s="16" t="str">
        <f t="shared" si="6"/>
        <v/>
      </c>
      <c r="Q1939" s="41" t="e">
        <f t="shared" si="3632"/>
        <v>#N/A</v>
      </c>
      <c r="R1939" s="44"/>
      <c r="S1939" s="44"/>
      <c r="T1939" s="43"/>
      <c r="U1939" s="43" t="str">
        <f t="shared" si="8"/>
        <v>No</v>
      </c>
      <c r="V1939" s="25"/>
      <c r="W1939" s="25"/>
      <c r="X1939" s="25"/>
      <c r="Y1939" s="25"/>
      <c r="Z1939" s="25"/>
    </row>
    <row r="1940" spans="1:26" ht="15.75" customHeight="1" x14ac:dyDescent="0.25">
      <c r="A1940" s="25">
        <v>1938</v>
      </c>
      <c r="B1940" s="37" t="e">
        <f t="shared" ref="B1940:D1940" si="3905">VLOOKUP($A1940,[6]Gobierno!$A$1:$O$234,B$1,0)</f>
        <v>#N/A</v>
      </c>
      <c r="C1940" s="38" t="e">
        <f t="shared" si="3905"/>
        <v>#N/A</v>
      </c>
      <c r="D1940" s="39" t="e">
        <f t="shared" si="3905"/>
        <v>#N/A</v>
      </c>
      <c r="E1940" s="16" t="e">
        <f t="shared" si="1"/>
        <v>#N/A</v>
      </c>
      <c r="F1940" s="16" t="e">
        <f t="shared" ref="F1940:K1940" si="3906">VLOOKUP($A1940,[6]Gobierno!$A$1:$O$234,F$1,0)</f>
        <v>#N/A</v>
      </c>
      <c r="G1940" s="39" t="e">
        <f t="shared" si="3906"/>
        <v>#N/A</v>
      </c>
      <c r="H1940" s="16" t="e">
        <f t="shared" si="3906"/>
        <v>#N/A</v>
      </c>
      <c r="I1940" s="16" t="e">
        <f t="shared" si="3906"/>
        <v>#N/A</v>
      </c>
      <c r="J1940" s="40" t="e">
        <f t="shared" si="3906"/>
        <v>#N/A</v>
      </c>
      <c r="K1940" s="16" t="e">
        <f t="shared" si="3906"/>
        <v>#N/A</v>
      </c>
      <c r="L1940" s="40" t="e">
        <f t="shared" si="3629"/>
        <v>#N/A</v>
      </c>
      <c r="M1940" s="16" t="e">
        <f t="shared" si="3630"/>
        <v>#N/A</v>
      </c>
      <c r="N1940" s="16" t="e">
        <f t="shared" si="3631"/>
        <v>#N/A</v>
      </c>
      <c r="O1940" s="16" t="s">
        <v>70</v>
      </c>
      <c r="P1940" s="16" t="str">
        <f t="shared" si="6"/>
        <v/>
      </c>
      <c r="Q1940" s="41" t="e">
        <f t="shared" si="3632"/>
        <v>#N/A</v>
      </c>
      <c r="R1940" s="44"/>
      <c r="S1940" s="44"/>
      <c r="T1940" s="43"/>
      <c r="U1940" s="43" t="str">
        <f t="shared" si="8"/>
        <v>No</v>
      </c>
      <c r="V1940" s="25"/>
      <c r="W1940" s="25"/>
      <c r="X1940" s="25"/>
      <c r="Y1940" s="25"/>
      <c r="Z1940" s="25"/>
    </row>
    <row r="1941" spans="1:26" ht="15.75" customHeight="1" x14ac:dyDescent="0.25">
      <c r="A1941" s="25">
        <v>1939</v>
      </c>
      <c r="B1941" s="37" t="e">
        <f t="shared" ref="B1941:D1941" si="3907">VLOOKUP($A1941,[6]Gobierno!$A$1:$O$234,B$1,0)</f>
        <v>#N/A</v>
      </c>
      <c r="C1941" s="38" t="e">
        <f t="shared" si="3907"/>
        <v>#N/A</v>
      </c>
      <c r="D1941" s="39" t="e">
        <f t="shared" si="3907"/>
        <v>#N/A</v>
      </c>
      <c r="E1941" s="16" t="e">
        <f t="shared" si="1"/>
        <v>#N/A</v>
      </c>
      <c r="F1941" s="16" t="e">
        <f t="shared" ref="F1941:K1941" si="3908">VLOOKUP($A1941,[6]Gobierno!$A$1:$O$234,F$1,0)</f>
        <v>#N/A</v>
      </c>
      <c r="G1941" s="39" t="e">
        <f t="shared" si="3908"/>
        <v>#N/A</v>
      </c>
      <c r="H1941" s="16" t="e">
        <f t="shared" si="3908"/>
        <v>#N/A</v>
      </c>
      <c r="I1941" s="16" t="e">
        <f t="shared" si="3908"/>
        <v>#N/A</v>
      </c>
      <c r="J1941" s="40" t="e">
        <f t="shared" si="3908"/>
        <v>#N/A</v>
      </c>
      <c r="K1941" s="16" t="e">
        <f t="shared" si="3908"/>
        <v>#N/A</v>
      </c>
      <c r="L1941" s="40" t="e">
        <f t="shared" si="3629"/>
        <v>#N/A</v>
      </c>
      <c r="M1941" s="16" t="e">
        <f t="shared" si="3630"/>
        <v>#N/A</v>
      </c>
      <c r="N1941" s="16" t="e">
        <f t="shared" si="3631"/>
        <v>#N/A</v>
      </c>
      <c r="O1941" s="16" t="s">
        <v>70</v>
      </c>
      <c r="P1941" s="16" t="str">
        <f t="shared" si="6"/>
        <v/>
      </c>
      <c r="Q1941" s="41" t="e">
        <f t="shared" si="3632"/>
        <v>#N/A</v>
      </c>
      <c r="R1941" s="44"/>
      <c r="S1941" s="44"/>
      <c r="T1941" s="43"/>
      <c r="U1941" s="43" t="str">
        <f t="shared" si="8"/>
        <v>No</v>
      </c>
      <c r="V1941" s="25"/>
      <c r="W1941" s="25"/>
      <c r="X1941" s="25"/>
      <c r="Y1941" s="25"/>
      <c r="Z1941" s="25"/>
    </row>
    <row r="1942" spans="1:26" ht="15.75" customHeight="1" x14ac:dyDescent="0.25">
      <c r="A1942" s="25">
        <v>1940</v>
      </c>
      <c r="B1942" s="37" t="e">
        <f t="shared" ref="B1942:D1942" si="3909">VLOOKUP($A1942,[6]Gobierno!$A$1:$O$234,B$1,0)</f>
        <v>#N/A</v>
      </c>
      <c r="C1942" s="38" t="e">
        <f t="shared" si="3909"/>
        <v>#N/A</v>
      </c>
      <c r="D1942" s="39" t="e">
        <f t="shared" si="3909"/>
        <v>#N/A</v>
      </c>
      <c r="E1942" s="16" t="e">
        <f t="shared" si="1"/>
        <v>#N/A</v>
      </c>
      <c r="F1942" s="16" t="e">
        <f t="shared" ref="F1942:K1942" si="3910">VLOOKUP($A1942,[6]Gobierno!$A$1:$O$234,F$1,0)</f>
        <v>#N/A</v>
      </c>
      <c r="G1942" s="39" t="e">
        <f t="shared" si="3910"/>
        <v>#N/A</v>
      </c>
      <c r="H1942" s="16" t="e">
        <f t="shared" si="3910"/>
        <v>#N/A</v>
      </c>
      <c r="I1942" s="16" t="e">
        <f t="shared" si="3910"/>
        <v>#N/A</v>
      </c>
      <c r="J1942" s="40" t="e">
        <f t="shared" si="3910"/>
        <v>#N/A</v>
      </c>
      <c r="K1942" s="16" t="e">
        <f t="shared" si="3910"/>
        <v>#N/A</v>
      </c>
      <c r="L1942" s="40" t="e">
        <f t="shared" si="3629"/>
        <v>#N/A</v>
      </c>
      <c r="M1942" s="16" t="e">
        <f t="shared" si="3630"/>
        <v>#N/A</v>
      </c>
      <c r="N1942" s="16" t="e">
        <f t="shared" si="3631"/>
        <v>#N/A</v>
      </c>
      <c r="O1942" s="16" t="s">
        <v>70</v>
      </c>
      <c r="P1942" s="16" t="str">
        <f t="shared" si="6"/>
        <v/>
      </c>
      <c r="Q1942" s="41" t="e">
        <f t="shared" si="3632"/>
        <v>#N/A</v>
      </c>
      <c r="R1942" s="44"/>
      <c r="S1942" s="44"/>
      <c r="T1942" s="43"/>
      <c r="U1942" s="43" t="str">
        <f t="shared" si="8"/>
        <v>No</v>
      </c>
      <c r="V1942" s="25"/>
      <c r="W1942" s="25"/>
      <c r="X1942" s="25"/>
      <c r="Y1942" s="25"/>
      <c r="Z1942" s="25"/>
    </row>
    <row r="1943" spans="1:26" ht="15.75" customHeight="1" x14ac:dyDescent="0.25">
      <c r="A1943" s="25">
        <v>1941</v>
      </c>
      <c r="B1943" s="37" t="e">
        <f t="shared" ref="B1943:D1943" si="3911">VLOOKUP($A1943,[6]Gobierno!$A$1:$O$234,B$1,0)</f>
        <v>#N/A</v>
      </c>
      <c r="C1943" s="38" t="e">
        <f t="shared" si="3911"/>
        <v>#N/A</v>
      </c>
      <c r="D1943" s="39" t="e">
        <f t="shared" si="3911"/>
        <v>#N/A</v>
      </c>
      <c r="E1943" s="16" t="e">
        <f t="shared" si="1"/>
        <v>#N/A</v>
      </c>
      <c r="F1943" s="16" t="e">
        <f t="shared" ref="F1943:K1943" si="3912">VLOOKUP($A1943,[6]Gobierno!$A$1:$O$234,F$1,0)</f>
        <v>#N/A</v>
      </c>
      <c r="G1943" s="39" t="e">
        <f t="shared" si="3912"/>
        <v>#N/A</v>
      </c>
      <c r="H1943" s="16" t="e">
        <f t="shared" si="3912"/>
        <v>#N/A</v>
      </c>
      <c r="I1943" s="16" t="e">
        <f t="shared" si="3912"/>
        <v>#N/A</v>
      </c>
      <c r="J1943" s="40" t="e">
        <f t="shared" si="3912"/>
        <v>#N/A</v>
      </c>
      <c r="K1943" s="16" t="e">
        <f t="shared" si="3912"/>
        <v>#N/A</v>
      </c>
      <c r="L1943" s="40" t="e">
        <f t="shared" si="3629"/>
        <v>#N/A</v>
      </c>
      <c r="M1943" s="16" t="e">
        <f t="shared" si="3630"/>
        <v>#N/A</v>
      </c>
      <c r="N1943" s="16" t="e">
        <f t="shared" si="3631"/>
        <v>#N/A</v>
      </c>
      <c r="O1943" s="16" t="s">
        <v>70</v>
      </c>
      <c r="P1943" s="16" t="str">
        <f t="shared" si="6"/>
        <v/>
      </c>
      <c r="Q1943" s="41" t="e">
        <f t="shared" si="3632"/>
        <v>#N/A</v>
      </c>
      <c r="R1943" s="44"/>
      <c r="S1943" s="44"/>
      <c r="T1943" s="43"/>
      <c r="U1943" s="43" t="str">
        <f t="shared" si="8"/>
        <v>No</v>
      </c>
      <c r="V1943" s="25"/>
      <c r="W1943" s="25"/>
      <c r="X1943" s="25"/>
      <c r="Y1943" s="25"/>
      <c r="Z1943" s="25"/>
    </row>
    <row r="1944" spans="1:26" ht="15.75" customHeight="1" x14ac:dyDescent="0.25">
      <c r="A1944" s="25">
        <v>1942</v>
      </c>
      <c r="B1944" s="37" t="e">
        <f t="shared" ref="B1944:D1944" si="3913">VLOOKUP($A1944,[6]Gobierno!$A$1:$O$234,B$1,0)</f>
        <v>#N/A</v>
      </c>
      <c r="C1944" s="38" t="e">
        <f t="shared" si="3913"/>
        <v>#N/A</v>
      </c>
      <c r="D1944" s="39" t="e">
        <f t="shared" si="3913"/>
        <v>#N/A</v>
      </c>
      <c r="E1944" s="16" t="e">
        <f t="shared" si="1"/>
        <v>#N/A</v>
      </c>
      <c r="F1944" s="16" t="e">
        <f t="shared" ref="F1944:K1944" si="3914">VLOOKUP($A1944,[6]Gobierno!$A$1:$O$234,F$1,0)</f>
        <v>#N/A</v>
      </c>
      <c r="G1944" s="39" t="e">
        <f t="shared" si="3914"/>
        <v>#N/A</v>
      </c>
      <c r="H1944" s="16" t="e">
        <f t="shared" si="3914"/>
        <v>#N/A</v>
      </c>
      <c r="I1944" s="16" t="e">
        <f t="shared" si="3914"/>
        <v>#N/A</v>
      </c>
      <c r="J1944" s="40" t="e">
        <f t="shared" si="3914"/>
        <v>#N/A</v>
      </c>
      <c r="K1944" s="16" t="e">
        <f t="shared" si="3914"/>
        <v>#N/A</v>
      </c>
      <c r="L1944" s="40" t="e">
        <f t="shared" si="3629"/>
        <v>#N/A</v>
      </c>
      <c r="M1944" s="16" t="e">
        <f t="shared" si="3630"/>
        <v>#N/A</v>
      </c>
      <c r="N1944" s="16" t="e">
        <f t="shared" si="3631"/>
        <v>#N/A</v>
      </c>
      <c r="O1944" s="16" t="s">
        <v>70</v>
      </c>
      <c r="P1944" s="16" t="str">
        <f t="shared" si="6"/>
        <v/>
      </c>
      <c r="Q1944" s="41" t="e">
        <f t="shared" si="3632"/>
        <v>#N/A</v>
      </c>
      <c r="R1944" s="44"/>
      <c r="S1944" s="44"/>
      <c r="T1944" s="43"/>
      <c r="U1944" s="43" t="str">
        <f t="shared" si="8"/>
        <v>No</v>
      </c>
      <c r="V1944" s="25"/>
      <c r="W1944" s="25"/>
      <c r="X1944" s="25"/>
      <c r="Y1944" s="25"/>
      <c r="Z1944" s="25"/>
    </row>
    <row r="1945" spans="1:26" ht="15.75" customHeight="1" x14ac:dyDescent="0.25">
      <c r="A1945" s="25">
        <v>1943</v>
      </c>
      <c r="B1945" s="37" t="e">
        <f t="shared" ref="B1945:D1945" si="3915">VLOOKUP($A1945,[6]Gobierno!$A$1:$O$234,B$1,0)</f>
        <v>#N/A</v>
      </c>
      <c r="C1945" s="38" t="e">
        <f t="shared" si="3915"/>
        <v>#N/A</v>
      </c>
      <c r="D1945" s="39" t="e">
        <f t="shared" si="3915"/>
        <v>#N/A</v>
      </c>
      <c r="E1945" s="16" t="e">
        <f t="shared" si="1"/>
        <v>#N/A</v>
      </c>
      <c r="F1945" s="16" t="e">
        <f t="shared" ref="F1945:K1945" si="3916">VLOOKUP($A1945,[6]Gobierno!$A$1:$O$234,F$1,0)</f>
        <v>#N/A</v>
      </c>
      <c r="G1945" s="39" t="e">
        <f t="shared" si="3916"/>
        <v>#N/A</v>
      </c>
      <c r="H1945" s="16" t="e">
        <f t="shared" si="3916"/>
        <v>#N/A</v>
      </c>
      <c r="I1945" s="16" t="e">
        <f t="shared" si="3916"/>
        <v>#N/A</v>
      </c>
      <c r="J1945" s="40" t="e">
        <f t="shared" si="3916"/>
        <v>#N/A</v>
      </c>
      <c r="K1945" s="16" t="e">
        <f t="shared" si="3916"/>
        <v>#N/A</v>
      </c>
      <c r="L1945" s="40" t="e">
        <f t="shared" si="3629"/>
        <v>#N/A</v>
      </c>
      <c r="M1945" s="16" t="e">
        <f t="shared" si="3630"/>
        <v>#N/A</v>
      </c>
      <c r="N1945" s="16" t="e">
        <f t="shared" si="3631"/>
        <v>#N/A</v>
      </c>
      <c r="O1945" s="16" t="s">
        <v>70</v>
      </c>
      <c r="P1945" s="16" t="str">
        <f t="shared" si="6"/>
        <v/>
      </c>
      <c r="Q1945" s="41" t="e">
        <f t="shared" si="3632"/>
        <v>#N/A</v>
      </c>
      <c r="R1945" s="44"/>
      <c r="S1945" s="44"/>
      <c r="T1945" s="43"/>
      <c r="U1945" s="43" t="str">
        <f t="shared" si="8"/>
        <v>No</v>
      </c>
      <c r="V1945" s="25"/>
      <c r="W1945" s="25"/>
      <c r="X1945" s="25"/>
      <c r="Y1945" s="25"/>
      <c r="Z1945" s="25"/>
    </row>
    <row r="1946" spans="1:26" ht="15.75" customHeight="1" x14ac:dyDescent="0.25">
      <c r="A1946" s="25">
        <v>1944</v>
      </c>
      <c r="B1946" s="37" t="e">
        <f t="shared" ref="B1946:D1946" si="3917">VLOOKUP($A1946,[6]Gobierno!$A$1:$O$234,B$1,0)</f>
        <v>#N/A</v>
      </c>
      <c r="C1946" s="38" t="e">
        <f t="shared" si="3917"/>
        <v>#N/A</v>
      </c>
      <c r="D1946" s="39" t="e">
        <f t="shared" si="3917"/>
        <v>#N/A</v>
      </c>
      <c r="E1946" s="16" t="e">
        <f t="shared" si="1"/>
        <v>#N/A</v>
      </c>
      <c r="F1946" s="16" t="e">
        <f t="shared" ref="F1946:K1946" si="3918">VLOOKUP($A1946,[6]Gobierno!$A$1:$O$234,F$1,0)</f>
        <v>#N/A</v>
      </c>
      <c r="G1946" s="39" t="e">
        <f t="shared" si="3918"/>
        <v>#N/A</v>
      </c>
      <c r="H1946" s="16" t="e">
        <f t="shared" si="3918"/>
        <v>#N/A</v>
      </c>
      <c r="I1946" s="16" t="e">
        <f t="shared" si="3918"/>
        <v>#N/A</v>
      </c>
      <c r="J1946" s="40" t="e">
        <f t="shared" si="3918"/>
        <v>#N/A</v>
      </c>
      <c r="K1946" s="16" t="e">
        <f t="shared" si="3918"/>
        <v>#N/A</v>
      </c>
      <c r="L1946" s="40" t="e">
        <f t="shared" si="3629"/>
        <v>#N/A</v>
      </c>
      <c r="M1946" s="16" t="e">
        <f t="shared" si="3630"/>
        <v>#N/A</v>
      </c>
      <c r="N1946" s="16" t="e">
        <f t="shared" si="3631"/>
        <v>#N/A</v>
      </c>
      <c r="O1946" s="16" t="s">
        <v>70</v>
      </c>
      <c r="P1946" s="16" t="str">
        <f t="shared" si="6"/>
        <v/>
      </c>
      <c r="Q1946" s="41" t="e">
        <f t="shared" si="3632"/>
        <v>#N/A</v>
      </c>
      <c r="R1946" s="44"/>
      <c r="S1946" s="44"/>
      <c r="T1946" s="43"/>
      <c r="U1946" s="43" t="str">
        <f t="shared" si="8"/>
        <v>No</v>
      </c>
      <c r="V1946" s="25"/>
      <c r="W1946" s="25"/>
      <c r="X1946" s="25"/>
      <c r="Y1946" s="25"/>
      <c r="Z1946" s="25"/>
    </row>
    <row r="1947" spans="1:26" ht="15.75" customHeight="1" x14ac:dyDescent="0.25">
      <c r="A1947" s="25">
        <v>1945</v>
      </c>
      <c r="B1947" s="37" t="e">
        <f t="shared" ref="B1947:D1947" si="3919">VLOOKUP($A1947,[6]Gobierno!$A$1:$O$234,B$1,0)</f>
        <v>#N/A</v>
      </c>
      <c r="C1947" s="38" t="e">
        <f t="shared" si="3919"/>
        <v>#N/A</v>
      </c>
      <c r="D1947" s="39" t="e">
        <f t="shared" si="3919"/>
        <v>#N/A</v>
      </c>
      <c r="E1947" s="16" t="e">
        <f t="shared" si="1"/>
        <v>#N/A</v>
      </c>
      <c r="F1947" s="16" t="e">
        <f t="shared" ref="F1947:K1947" si="3920">VLOOKUP($A1947,[6]Gobierno!$A$1:$O$234,F$1,0)</f>
        <v>#N/A</v>
      </c>
      <c r="G1947" s="39" t="e">
        <f t="shared" si="3920"/>
        <v>#N/A</v>
      </c>
      <c r="H1947" s="16" t="e">
        <f t="shared" si="3920"/>
        <v>#N/A</v>
      </c>
      <c r="I1947" s="16" t="e">
        <f t="shared" si="3920"/>
        <v>#N/A</v>
      </c>
      <c r="J1947" s="40" t="e">
        <f t="shared" si="3920"/>
        <v>#N/A</v>
      </c>
      <c r="K1947" s="16" t="e">
        <f t="shared" si="3920"/>
        <v>#N/A</v>
      </c>
      <c r="L1947" s="40" t="e">
        <f t="shared" si="3629"/>
        <v>#N/A</v>
      </c>
      <c r="M1947" s="16" t="e">
        <f t="shared" si="3630"/>
        <v>#N/A</v>
      </c>
      <c r="N1947" s="16" t="e">
        <f t="shared" si="3631"/>
        <v>#N/A</v>
      </c>
      <c r="O1947" s="16" t="s">
        <v>70</v>
      </c>
      <c r="P1947" s="16" t="str">
        <f t="shared" si="6"/>
        <v/>
      </c>
      <c r="Q1947" s="41" t="e">
        <f t="shared" si="3632"/>
        <v>#N/A</v>
      </c>
      <c r="R1947" s="44"/>
      <c r="S1947" s="44"/>
      <c r="T1947" s="43"/>
      <c r="U1947" s="43" t="str">
        <f t="shared" si="8"/>
        <v>No</v>
      </c>
      <c r="V1947" s="25"/>
      <c r="W1947" s="25"/>
      <c r="X1947" s="25"/>
      <c r="Y1947" s="25"/>
      <c r="Z1947" s="25"/>
    </row>
    <row r="1948" spans="1:26" ht="15.75" customHeight="1" x14ac:dyDescent="0.25">
      <c r="A1948" s="25">
        <v>1946</v>
      </c>
      <c r="B1948" s="37" t="e">
        <f t="shared" ref="B1948:D1948" si="3921">VLOOKUP($A1948,[6]Gobierno!$A$1:$O$234,B$1,0)</f>
        <v>#N/A</v>
      </c>
      <c r="C1948" s="38" t="e">
        <f t="shared" si="3921"/>
        <v>#N/A</v>
      </c>
      <c r="D1948" s="39" t="e">
        <f t="shared" si="3921"/>
        <v>#N/A</v>
      </c>
      <c r="E1948" s="16" t="e">
        <f t="shared" si="1"/>
        <v>#N/A</v>
      </c>
      <c r="F1948" s="16" t="e">
        <f t="shared" ref="F1948:K1948" si="3922">VLOOKUP($A1948,[6]Gobierno!$A$1:$O$234,F$1,0)</f>
        <v>#N/A</v>
      </c>
      <c r="G1948" s="39" t="e">
        <f t="shared" si="3922"/>
        <v>#N/A</v>
      </c>
      <c r="H1948" s="16" t="e">
        <f t="shared" si="3922"/>
        <v>#N/A</v>
      </c>
      <c r="I1948" s="16" t="e">
        <f t="shared" si="3922"/>
        <v>#N/A</v>
      </c>
      <c r="J1948" s="40" t="e">
        <f t="shared" si="3922"/>
        <v>#N/A</v>
      </c>
      <c r="K1948" s="16" t="e">
        <f t="shared" si="3922"/>
        <v>#N/A</v>
      </c>
      <c r="L1948" s="40" t="e">
        <f t="shared" si="3629"/>
        <v>#N/A</v>
      </c>
      <c r="M1948" s="16" t="e">
        <f t="shared" si="3630"/>
        <v>#N/A</v>
      </c>
      <c r="N1948" s="16" t="e">
        <f t="shared" si="3631"/>
        <v>#N/A</v>
      </c>
      <c r="O1948" s="16" t="s">
        <v>70</v>
      </c>
      <c r="P1948" s="16" t="str">
        <f t="shared" si="6"/>
        <v/>
      </c>
      <c r="Q1948" s="41" t="e">
        <f t="shared" si="3632"/>
        <v>#N/A</v>
      </c>
      <c r="R1948" s="44"/>
      <c r="S1948" s="44"/>
      <c r="T1948" s="43"/>
      <c r="U1948" s="43" t="str">
        <f t="shared" si="8"/>
        <v>No</v>
      </c>
      <c r="V1948" s="25"/>
      <c r="W1948" s="25"/>
      <c r="X1948" s="25"/>
      <c r="Y1948" s="25"/>
      <c r="Z1948" s="25"/>
    </row>
    <row r="1949" spans="1:26" ht="15.75" customHeight="1" x14ac:dyDescent="0.25">
      <c r="A1949" s="25">
        <v>1947</v>
      </c>
      <c r="B1949" s="37" t="e">
        <f t="shared" ref="B1949:D1949" si="3923">VLOOKUP($A1949,[6]Gobierno!$A$1:$O$234,B$1,0)</f>
        <v>#N/A</v>
      </c>
      <c r="C1949" s="38" t="e">
        <f t="shared" si="3923"/>
        <v>#N/A</v>
      </c>
      <c r="D1949" s="39" t="e">
        <f t="shared" si="3923"/>
        <v>#N/A</v>
      </c>
      <c r="E1949" s="16" t="e">
        <f t="shared" si="1"/>
        <v>#N/A</v>
      </c>
      <c r="F1949" s="16" t="e">
        <f t="shared" ref="F1949:K1949" si="3924">VLOOKUP($A1949,[6]Gobierno!$A$1:$O$234,F$1,0)</f>
        <v>#N/A</v>
      </c>
      <c r="G1949" s="39" t="e">
        <f t="shared" si="3924"/>
        <v>#N/A</v>
      </c>
      <c r="H1949" s="16" t="e">
        <f t="shared" si="3924"/>
        <v>#N/A</v>
      </c>
      <c r="I1949" s="16" t="e">
        <f t="shared" si="3924"/>
        <v>#N/A</v>
      </c>
      <c r="J1949" s="40" t="e">
        <f t="shared" si="3924"/>
        <v>#N/A</v>
      </c>
      <c r="K1949" s="16" t="e">
        <f t="shared" si="3924"/>
        <v>#N/A</v>
      </c>
      <c r="L1949" s="40" t="e">
        <f t="shared" si="3629"/>
        <v>#N/A</v>
      </c>
      <c r="M1949" s="16" t="e">
        <f t="shared" si="3630"/>
        <v>#N/A</v>
      </c>
      <c r="N1949" s="16" t="e">
        <f t="shared" si="3631"/>
        <v>#N/A</v>
      </c>
      <c r="O1949" s="16" t="s">
        <v>70</v>
      </c>
      <c r="P1949" s="16" t="str">
        <f t="shared" si="6"/>
        <v/>
      </c>
      <c r="Q1949" s="41" t="e">
        <f t="shared" si="3632"/>
        <v>#N/A</v>
      </c>
      <c r="R1949" s="44"/>
      <c r="S1949" s="44"/>
      <c r="T1949" s="43"/>
      <c r="U1949" s="43" t="str">
        <f t="shared" si="8"/>
        <v>No</v>
      </c>
      <c r="V1949" s="25"/>
      <c r="W1949" s="25"/>
      <c r="X1949" s="25"/>
      <c r="Y1949" s="25"/>
      <c r="Z1949" s="25"/>
    </row>
    <row r="1950" spans="1:26" ht="15.75" customHeight="1" x14ac:dyDescent="0.25">
      <c r="A1950" s="25">
        <v>1948</v>
      </c>
      <c r="B1950" s="37" t="e">
        <f t="shared" ref="B1950:D1950" si="3925">VLOOKUP($A1950,[6]Gobierno!$A$1:$O$234,B$1,0)</f>
        <v>#N/A</v>
      </c>
      <c r="C1950" s="38" t="e">
        <f t="shared" si="3925"/>
        <v>#N/A</v>
      </c>
      <c r="D1950" s="39" t="e">
        <f t="shared" si="3925"/>
        <v>#N/A</v>
      </c>
      <c r="E1950" s="16" t="e">
        <f t="shared" si="1"/>
        <v>#N/A</v>
      </c>
      <c r="F1950" s="16" t="e">
        <f t="shared" ref="F1950:K1950" si="3926">VLOOKUP($A1950,[6]Gobierno!$A$1:$O$234,F$1,0)</f>
        <v>#N/A</v>
      </c>
      <c r="G1950" s="39" t="e">
        <f t="shared" si="3926"/>
        <v>#N/A</v>
      </c>
      <c r="H1950" s="16" t="e">
        <f t="shared" si="3926"/>
        <v>#N/A</v>
      </c>
      <c r="I1950" s="16" t="e">
        <f t="shared" si="3926"/>
        <v>#N/A</v>
      </c>
      <c r="J1950" s="40" t="e">
        <f t="shared" si="3926"/>
        <v>#N/A</v>
      </c>
      <c r="K1950" s="16" t="e">
        <f t="shared" si="3926"/>
        <v>#N/A</v>
      </c>
      <c r="L1950" s="40" t="e">
        <f t="shared" si="3629"/>
        <v>#N/A</v>
      </c>
      <c r="M1950" s="16" t="e">
        <f t="shared" si="3630"/>
        <v>#N/A</v>
      </c>
      <c r="N1950" s="16" t="e">
        <f t="shared" si="3631"/>
        <v>#N/A</v>
      </c>
      <c r="O1950" s="16" t="s">
        <v>70</v>
      </c>
      <c r="P1950" s="16" t="str">
        <f t="shared" si="6"/>
        <v/>
      </c>
      <c r="Q1950" s="41" t="e">
        <f t="shared" si="3632"/>
        <v>#N/A</v>
      </c>
      <c r="R1950" s="44"/>
      <c r="S1950" s="44"/>
      <c r="T1950" s="43"/>
      <c r="U1950" s="43" t="str">
        <f t="shared" si="8"/>
        <v>No</v>
      </c>
      <c r="V1950" s="25"/>
      <c r="W1950" s="25"/>
      <c r="X1950" s="25"/>
      <c r="Y1950" s="25"/>
      <c r="Z1950" s="25"/>
    </row>
    <row r="1951" spans="1:26" ht="15.75" customHeight="1" x14ac:dyDescent="0.25">
      <c r="A1951" s="25">
        <v>1949</v>
      </c>
      <c r="B1951" s="37" t="e">
        <f t="shared" ref="B1951:D1951" si="3927">VLOOKUP($A1951,[6]Gobierno!$A$1:$O$234,B$1,0)</f>
        <v>#N/A</v>
      </c>
      <c r="C1951" s="38" t="e">
        <f t="shared" si="3927"/>
        <v>#N/A</v>
      </c>
      <c r="D1951" s="39" t="e">
        <f t="shared" si="3927"/>
        <v>#N/A</v>
      </c>
      <c r="E1951" s="16" t="e">
        <f t="shared" si="1"/>
        <v>#N/A</v>
      </c>
      <c r="F1951" s="16" t="e">
        <f t="shared" ref="F1951:K1951" si="3928">VLOOKUP($A1951,[6]Gobierno!$A$1:$O$234,F$1,0)</f>
        <v>#N/A</v>
      </c>
      <c r="G1951" s="39" t="e">
        <f t="shared" si="3928"/>
        <v>#N/A</v>
      </c>
      <c r="H1951" s="16" t="e">
        <f t="shared" si="3928"/>
        <v>#N/A</v>
      </c>
      <c r="I1951" s="16" t="e">
        <f t="shared" si="3928"/>
        <v>#N/A</v>
      </c>
      <c r="J1951" s="40" t="e">
        <f t="shared" si="3928"/>
        <v>#N/A</v>
      </c>
      <c r="K1951" s="16" t="e">
        <f t="shared" si="3928"/>
        <v>#N/A</v>
      </c>
      <c r="L1951" s="40" t="e">
        <f t="shared" si="3629"/>
        <v>#N/A</v>
      </c>
      <c r="M1951" s="16" t="e">
        <f t="shared" si="3630"/>
        <v>#N/A</v>
      </c>
      <c r="N1951" s="16" t="e">
        <f t="shared" si="3631"/>
        <v>#N/A</v>
      </c>
      <c r="O1951" s="16" t="s">
        <v>70</v>
      </c>
      <c r="P1951" s="16" t="str">
        <f t="shared" si="6"/>
        <v/>
      </c>
      <c r="Q1951" s="41" t="e">
        <f t="shared" si="3632"/>
        <v>#N/A</v>
      </c>
      <c r="R1951" s="44"/>
      <c r="S1951" s="44"/>
      <c r="T1951" s="43"/>
      <c r="U1951" s="43" t="str">
        <f t="shared" si="8"/>
        <v>No</v>
      </c>
      <c r="V1951" s="25"/>
      <c r="W1951" s="25"/>
      <c r="X1951" s="25"/>
      <c r="Y1951" s="25"/>
      <c r="Z1951" s="25"/>
    </row>
    <row r="1952" spans="1:26" ht="15.75" customHeight="1" x14ac:dyDescent="0.25">
      <c r="A1952" s="25">
        <v>1950</v>
      </c>
      <c r="B1952" s="37" t="e">
        <f t="shared" ref="B1952:D1952" si="3929">VLOOKUP($A1952,[6]Gobierno!$A$1:$O$234,B$1,0)</f>
        <v>#N/A</v>
      </c>
      <c r="C1952" s="38" t="e">
        <f t="shared" si="3929"/>
        <v>#N/A</v>
      </c>
      <c r="D1952" s="39" t="e">
        <f t="shared" si="3929"/>
        <v>#N/A</v>
      </c>
      <c r="E1952" s="16" t="e">
        <f t="shared" si="1"/>
        <v>#N/A</v>
      </c>
      <c r="F1952" s="16" t="e">
        <f t="shared" ref="F1952:K1952" si="3930">VLOOKUP($A1952,[6]Gobierno!$A$1:$O$234,F$1,0)</f>
        <v>#N/A</v>
      </c>
      <c r="G1952" s="39" t="e">
        <f t="shared" si="3930"/>
        <v>#N/A</v>
      </c>
      <c r="H1952" s="16" t="e">
        <f t="shared" si="3930"/>
        <v>#N/A</v>
      </c>
      <c r="I1952" s="16" t="e">
        <f t="shared" si="3930"/>
        <v>#N/A</v>
      </c>
      <c r="J1952" s="40" t="e">
        <f t="shared" si="3930"/>
        <v>#N/A</v>
      </c>
      <c r="K1952" s="16" t="e">
        <f t="shared" si="3930"/>
        <v>#N/A</v>
      </c>
      <c r="L1952" s="40" t="e">
        <f t="shared" si="3629"/>
        <v>#N/A</v>
      </c>
      <c r="M1952" s="16" t="e">
        <f t="shared" si="3630"/>
        <v>#N/A</v>
      </c>
      <c r="N1952" s="16" t="e">
        <f t="shared" si="3631"/>
        <v>#N/A</v>
      </c>
      <c r="O1952" s="16" t="s">
        <v>70</v>
      </c>
      <c r="P1952" s="16" t="str">
        <f t="shared" si="6"/>
        <v/>
      </c>
      <c r="Q1952" s="41" t="e">
        <f t="shared" si="3632"/>
        <v>#N/A</v>
      </c>
      <c r="R1952" s="44"/>
      <c r="S1952" s="44"/>
      <c r="T1952" s="43"/>
      <c r="U1952" s="43" t="str">
        <f t="shared" si="8"/>
        <v>No</v>
      </c>
      <c r="V1952" s="25"/>
      <c r="W1952" s="25"/>
      <c r="X1952" s="25"/>
      <c r="Y1952" s="25"/>
      <c r="Z1952" s="25"/>
    </row>
    <row r="1953" spans="1:26" ht="15.75" customHeight="1" x14ac:dyDescent="0.25">
      <c r="A1953" s="25">
        <v>1951</v>
      </c>
      <c r="B1953" s="37" t="e">
        <f t="shared" ref="B1953:D1953" si="3931">VLOOKUP($A1953,[6]Gobierno!$A$1:$O$234,B$1,0)</f>
        <v>#N/A</v>
      </c>
      <c r="C1953" s="38" t="e">
        <f t="shared" si="3931"/>
        <v>#N/A</v>
      </c>
      <c r="D1953" s="39" t="e">
        <f t="shared" si="3931"/>
        <v>#N/A</v>
      </c>
      <c r="E1953" s="16" t="e">
        <f t="shared" si="1"/>
        <v>#N/A</v>
      </c>
      <c r="F1953" s="16" t="e">
        <f t="shared" ref="F1953:K1953" si="3932">VLOOKUP($A1953,[6]Gobierno!$A$1:$O$234,F$1,0)</f>
        <v>#N/A</v>
      </c>
      <c r="G1953" s="39" t="e">
        <f t="shared" si="3932"/>
        <v>#N/A</v>
      </c>
      <c r="H1953" s="16" t="e">
        <f t="shared" si="3932"/>
        <v>#N/A</v>
      </c>
      <c r="I1953" s="16" t="e">
        <f t="shared" si="3932"/>
        <v>#N/A</v>
      </c>
      <c r="J1953" s="40" t="e">
        <f t="shared" si="3932"/>
        <v>#N/A</v>
      </c>
      <c r="K1953" s="16" t="e">
        <f t="shared" si="3932"/>
        <v>#N/A</v>
      </c>
      <c r="L1953" s="40" t="e">
        <f t="shared" si="3629"/>
        <v>#N/A</v>
      </c>
      <c r="M1953" s="16" t="e">
        <f t="shared" si="3630"/>
        <v>#N/A</v>
      </c>
      <c r="N1953" s="16" t="e">
        <f t="shared" si="3631"/>
        <v>#N/A</v>
      </c>
      <c r="O1953" s="16" t="s">
        <v>70</v>
      </c>
      <c r="P1953" s="16" t="str">
        <f t="shared" si="6"/>
        <v/>
      </c>
      <c r="Q1953" s="41" t="e">
        <f t="shared" si="3632"/>
        <v>#N/A</v>
      </c>
      <c r="R1953" s="44"/>
      <c r="S1953" s="44"/>
      <c r="T1953" s="43"/>
      <c r="U1953" s="43" t="str">
        <f t="shared" si="8"/>
        <v>No</v>
      </c>
      <c r="V1953" s="25"/>
      <c r="W1953" s="25"/>
      <c r="X1953" s="25"/>
      <c r="Y1953" s="25"/>
      <c r="Z1953" s="25"/>
    </row>
    <row r="1954" spans="1:26" ht="15.75" customHeight="1" x14ac:dyDescent="0.25">
      <c r="A1954" s="25">
        <v>1952</v>
      </c>
      <c r="B1954" s="37" t="e">
        <f t="shared" ref="B1954:D1954" si="3933">VLOOKUP($A1954,[6]Gobierno!$A$1:$O$234,B$1,0)</f>
        <v>#N/A</v>
      </c>
      <c r="C1954" s="38" t="e">
        <f t="shared" si="3933"/>
        <v>#N/A</v>
      </c>
      <c r="D1954" s="39" t="e">
        <f t="shared" si="3933"/>
        <v>#N/A</v>
      </c>
      <c r="E1954" s="16" t="e">
        <f t="shared" si="1"/>
        <v>#N/A</v>
      </c>
      <c r="F1954" s="16" t="e">
        <f t="shared" ref="F1954:K1954" si="3934">VLOOKUP($A1954,[6]Gobierno!$A$1:$O$234,F$1,0)</f>
        <v>#N/A</v>
      </c>
      <c r="G1954" s="39" t="e">
        <f t="shared" si="3934"/>
        <v>#N/A</v>
      </c>
      <c r="H1954" s="16" t="e">
        <f t="shared" si="3934"/>
        <v>#N/A</v>
      </c>
      <c r="I1954" s="16" t="e">
        <f t="shared" si="3934"/>
        <v>#N/A</v>
      </c>
      <c r="J1954" s="40" t="e">
        <f t="shared" si="3934"/>
        <v>#N/A</v>
      </c>
      <c r="K1954" s="16" t="e">
        <f t="shared" si="3934"/>
        <v>#N/A</v>
      </c>
      <c r="L1954" s="40" t="e">
        <f t="shared" si="3629"/>
        <v>#N/A</v>
      </c>
      <c r="M1954" s="16" t="e">
        <f t="shared" si="3630"/>
        <v>#N/A</v>
      </c>
      <c r="N1954" s="16" t="e">
        <f t="shared" si="3631"/>
        <v>#N/A</v>
      </c>
      <c r="O1954" s="16" t="s">
        <v>70</v>
      </c>
      <c r="P1954" s="16" t="str">
        <f t="shared" si="6"/>
        <v/>
      </c>
      <c r="Q1954" s="41" t="e">
        <f t="shared" si="3632"/>
        <v>#N/A</v>
      </c>
      <c r="R1954" s="44"/>
      <c r="S1954" s="44"/>
      <c r="T1954" s="43"/>
      <c r="U1954" s="43" t="str">
        <f t="shared" si="8"/>
        <v>No</v>
      </c>
      <c r="V1954" s="25"/>
      <c r="W1954" s="25"/>
      <c r="X1954" s="25"/>
      <c r="Y1954" s="25"/>
      <c r="Z1954" s="25"/>
    </row>
    <row r="1955" spans="1:26" ht="15.75" customHeight="1" x14ac:dyDescent="0.25">
      <c r="A1955" s="25">
        <v>1953</v>
      </c>
      <c r="B1955" s="37" t="e">
        <f t="shared" ref="B1955:D1955" si="3935">VLOOKUP($A1955,[6]Gobierno!$A$1:$O$234,B$1,0)</f>
        <v>#N/A</v>
      </c>
      <c r="C1955" s="38" t="e">
        <f t="shared" si="3935"/>
        <v>#N/A</v>
      </c>
      <c r="D1955" s="39" t="e">
        <f t="shared" si="3935"/>
        <v>#N/A</v>
      </c>
      <c r="E1955" s="16" t="e">
        <f t="shared" si="1"/>
        <v>#N/A</v>
      </c>
      <c r="F1955" s="16" t="e">
        <f t="shared" ref="F1955:K1955" si="3936">VLOOKUP($A1955,[6]Gobierno!$A$1:$O$234,F$1,0)</f>
        <v>#N/A</v>
      </c>
      <c r="G1955" s="39" t="e">
        <f t="shared" si="3936"/>
        <v>#N/A</v>
      </c>
      <c r="H1955" s="16" t="e">
        <f t="shared" si="3936"/>
        <v>#N/A</v>
      </c>
      <c r="I1955" s="16" t="e">
        <f t="shared" si="3936"/>
        <v>#N/A</v>
      </c>
      <c r="J1955" s="40" t="e">
        <f t="shared" si="3936"/>
        <v>#N/A</v>
      </c>
      <c r="K1955" s="16" t="e">
        <f t="shared" si="3936"/>
        <v>#N/A</v>
      </c>
      <c r="L1955" s="40" t="e">
        <f t="shared" si="3629"/>
        <v>#N/A</v>
      </c>
      <c r="M1955" s="16" t="e">
        <f t="shared" si="3630"/>
        <v>#N/A</v>
      </c>
      <c r="N1955" s="16" t="e">
        <f t="shared" si="3631"/>
        <v>#N/A</v>
      </c>
      <c r="O1955" s="16" t="s">
        <v>70</v>
      </c>
      <c r="P1955" s="16" t="str">
        <f t="shared" si="6"/>
        <v/>
      </c>
      <c r="Q1955" s="41" t="e">
        <f t="shared" si="3632"/>
        <v>#N/A</v>
      </c>
      <c r="R1955" s="44"/>
      <c r="S1955" s="44"/>
      <c r="T1955" s="43"/>
      <c r="U1955" s="43" t="str">
        <f t="shared" si="8"/>
        <v>No</v>
      </c>
      <c r="V1955" s="25"/>
      <c r="W1955" s="25"/>
      <c r="X1955" s="25"/>
      <c r="Y1955" s="25"/>
      <c r="Z1955" s="25"/>
    </row>
    <row r="1956" spans="1:26" ht="15.75" customHeight="1" x14ac:dyDescent="0.25">
      <c r="A1956" s="25">
        <v>1954</v>
      </c>
      <c r="B1956" s="37" t="e">
        <f t="shared" ref="B1956:D1956" si="3937">VLOOKUP($A1956,[6]Gobierno!$A$1:$O$234,B$1,0)</f>
        <v>#N/A</v>
      </c>
      <c r="C1956" s="38" t="e">
        <f t="shared" si="3937"/>
        <v>#N/A</v>
      </c>
      <c r="D1956" s="39" t="e">
        <f t="shared" si="3937"/>
        <v>#N/A</v>
      </c>
      <c r="E1956" s="16" t="e">
        <f t="shared" si="1"/>
        <v>#N/A</v>
      </c>
      <c r="F1956" s="16" t="e">
        <f t="shared" ref="F1956:K1956" si="3938">VLOOKUP($A1956,[6]Gobierno!$A$1:$O$234,F$1,0)</f>
        <v>#N/A</v>
      </c>
      <c r="G1956" s="39" t="e">
        <f t="shared" si="3938"/>
        <v>#N/A</v>
      </c>
      <c r="H1956" s="16" t="e">
        <f t="shared" si="3938"/>
        <v>#N/A</v>
      </c>
      <c r="I1956" s="16" t="e">
        <f t="shared" si="3938"/>
        <v>#N/A</v>
      </c>
      <c r="J1956" s="40" t="e">
        <f t="shared" si="3938"/>
        <v>#N/A</v>
      </c>
      <c r="K1956" s="16" t="e">
        <f t="shared" si="3938"/>
        <v>#N/A</v>
      </c>
      <c r="L1956" s="40" t="e">
        <f t="shared" si="3629"/>
        <v>#N/A</v>
      </c>
      <c r="M1956" s="16" t="e">
        <f t="shared" si="3630"/>
        <v>#N/A</v>
      </c>
      <c r="N1956" s="16" t="e">
        <f t="shared" si="3631"/>
        <v>#N/A</v>
      </c>
      <c r="O1956" s="16" t="s">
        <v>70</v>
      </c>
      <c r="P1956" s="16" t="str">
        <f t="shared" si="6"/>
        <v/>
      </c>
      <c r="Q1956" s="41" t="e">
        <f t="shared" si="3632"/>
        <v>#N/A</v>
      </c>
      <c r="R1956" s="44"/>
      <c r="S1956" s="44"/>
      <c r="T1956" s="43"/>
      <c r="U1956" s="43" t="str">
        <f t="shared" si="8"/>
        <v>No</v>
      </c>
      <c r="V1956" s="25"/>
      <c r="W1956" s="25"/>
      <c r="X1956" s="25"/>
      <c r="Y1956" s="25"/>
      <c r="Z1956" s="25"/>
    </row>
    <row r="1957" spans="1:26" ht="15.75" customHeight="1" x14ac:dyDescent="0.25">
      <c r="A1957" s="25">
        <v>1955</v>
      </c>
      <c r="B1957" s="37" t="e">
        <f t="shared" ref="B1957:D1957" si="3939">VLOOKUP($A1957,[6]Gobierno!$A$1:$O$234,B$1,0)</f>
        <v>#N/A</v>
      </c>
      <c r="C1957" s="38" t="e">
        <f t="shared" si="3939"/>
        <v>#N/A</v>
      </c>
      <c r="D1957" s="39" t="e">
        <f t="shared" si="3939"/>
        <v>#N/A</v>
      </c>
      <c r="E1957" s="16" t="e">
        <f t="shared" si="1"/>
        <v>#N/A</v>
      </c>
      <c r="F1957" s="16" t="e">
        <f t="shared" ref="F1957:K1957" si="3940">VLOOKUP($A1957,[6]Gobierno!$A$1:$O$234,F$1,0)</f>
        <v>#N/A</v>
      </c>
      <c r="G1957" s="39" t="e">
        <f t="shared" si="3940"/>
        <v>#N/A</v>
      </c>
      <c r="H1957" s="16" t="e">
        <f t="shared" si="3940"/>
        <v>#N/A</v>
      </c>
      <c r="I1957" s="16" t="e">
        <f t="shared" si="3940"/>
        <v>#N/A</v>
      </c>
      <c r="J1957" s="40" t="e">
        <f t="shared" si="3940"/>
        <v>#N/A</v>
      </c>
      <c r="K1957" s="16" t="e">
        <f t="shared" si="3940"/>
        <v>#N/A</v>
      </c>
      <c r="L1957" s="40" t="e">
        <f t="shared" si="3629"/>
        <v>#N/A</v>
      </c>
      <c r="M1957" s="16" t="e">
        <f t="shared" si="3630"/>
        <v>#N/A</v>
      </c>
      <c r="N1957" s="16" t="e">
        <f t="shared" si="3631"/>
        <v>#N/A</v>
      </c>
      <c r="O1957" s="16" t="s">
        <v>70</v>
      </c>
      <c r="P1957" s="16" t="str">
        <f t="shared" si="6"/>
        <v/>
      </c>
      <c r="Q1957" s="41" t="e">
        <f t="shared" si="3632"/>
        <v>#N/A</v>
      </c>
      <c r="R1957" s="44"/>
      <c r="S1957" s="44"/>
      <c r="T1957" s="43"/>
      <c r="U1957" s="43" t="str">
        <f t="shared" si="8"/>
        <v>No</v>
      </c>
      <c r="V1957" s="25"/>
      <c r="W1957" s="25"/>
      <c r="X1957" s="25"/>
      <c r="Y1957" s="25"/>
      <c r="Z1957" s="25"/>
    </row>
    <row r="1958" spans="1:26" ht="15.75" customHeight="1" x14ac:dyDescent="0.25">
      <c r="A1958" s="25">
        <v>1956</v>
      </c>
      <c r="B1958" s="37" t="e">
        <f t="shared" ref="B1958:D1958" si="3941">VLOOKUP($A1958,[6]Gobierno!$A$1:$O$234,B$1,0)</f>
        <v>#N/A</v>
      </c>
      <c r="C1958" s="38" t="e">
        <f t="shared" si="3941"/>
        <v>#N/A</v>
      </c>
      <c r="D1958" s="39" t="e">
        <f t="shared" si="3941"/>
        <v>#N/A</v>
      </c>
      <c r="E1958" s="16" t="e">
        <f t="shared" si="1"/>
        <v>#N/A</v>
      </c>
      <c r="F1958" s="16" t="e">
        <f t="shared" ref="F1958:K1958" si="3942">VLOOKUP($A1958,[6]Gobierno!$A$1:$O$234,F$1,0)</f>
        <v>#N/A</v>
      </c>
      <c r="G1958" s="39" t="e">
        <f t="shared" si="3942"/>
        <v>#N/A</v>
      </c>
      <c r="H1958" s="16" t="e">
        <f t="shared" si="3942"/>
        <v>#N/A</v>
      </c>
      <c r="I1958" s="16" t="e">
        <f t="shared" si="3942"/>
        <v>#N/A</v>
      </c>
      <c r="J1958" s="40" t="e">
        <f t="shared" si="3942"/>
        <v>#N/A</v>
      </c>
      <c r="K1958" s="16" t="e">
        <f t="shared" si="3942"/>
        <v>#N/A</v>
      </c>
      <c r="L1958" s="40" t="e">
        <f t="shared" si="3629"/>
        <v>#N/A</v>
      </c>
      <c r="M1958" s="16" t="e">
        <f t="shared" si="3630"/>
        <v>#N/A</v>
      </c>
      <c r="N1958" s="16" t="e">
        <f t="shared" si="3631"/>
        <v>#N/A</v>
      </c>
      <c r="O1958" s="16" t="s">
        <v>70</v>
      </c>
      <c r="P1958" s="16" t="str">
        <f t="shared" si="6"/>
        <v/>
      </c>
      <c r="Q1958" s="41" t="e">
        <f t="shared" si="3632"/>
        <v>#N/A</v>
      </c>
      <c r="R1958" s="44"/>
      <c r="S1958" s="44"/>
      <c r="T1958" s="43"/>
      <c r="U1958" s="43" t="str">
        <f t="shared" si="8"/>
        <v>No</v>
      </c>
      <c r="V1958" s="25"/>
      <c r="W1958" s="25"/>
      <c r="X1958" s="25"/>
      <c r="Y1958" s="25"/>
      <c r="Z1958" s="25"/>
    </row>
    <row r="1959" spans="1:26" ht="15.75" customHeight="1" x14ac:dyDescent="0.25">
      <c r="A1959" s="25">
        <v>1957</v>
      </c>
      <c r="B1959" s="37" t="e">
        <f t="shared" ref="B1959:D1959" si="3943">VLOOKUP($A1959,[6]Gobierno!$A$1:$O$234,B$1,0)</f>
        <v>#N/A</v>
      </c>
      <c r="C1959" s="38" t="e">
        <f t="shared" si="3943"/>
        <v>#N/A</v>
      </c>
      <c r="D1959" s="39" t="e">
        <f t="shared" si="3943"/>
        <v>#N/A</v>
      </c>
      <c r="E1959" s="16" t="e">
        <f t="shared" si="1"/>
        <v>#N/A</v>
      </c>
      <c r="F1959" s="16" t="e">
        <f t="shared" ref="F1959:K1959" si="3944">VLOOKUP($A1959,[6]Gobierno!$A$1:$O$234,F$1,0)</f>
        <v>#N/A</v>
      </c>
      <c r="G1959" s="39" t="e">
        <f t="shared" si="3944"/>
        <v>#N/A</v>
      </c>
      <c r="H1959" s="16" t="e">
        <f t="shared" si="3944"/>
        <v>#N/A</v>
      </c>
      <c r="I1959" s="16" t="e">
        <f t="shared" si="3944"/>
        <v>#N/A</v>
      </c>
      <c r="J1959" s="40" t="e">
        <f t="shared" si="3944"/>
        <v>#N/A</v>
      </c>
      <c r="K1959" s="16" t="e">
        <f t="shared" si="3944"/>
        <v>#N/A</v>
      </c>
      <c r="L1959" s="40" t="e">
        <f t="shared" si="3629"/>
        <v>#N/A</v>
      </c>
      <c r="M1959" s="16" t="e">
        <f t="shared" si="3630"/>
        <v>#N/A</v>
      </c>
      <c r="N1959" s="16" t="e">
        <f t="shared" si="3631"/>
        <v>#N/A</v>
      </c>
      <c r="O1959" s="16" t="s">
        <v>70</v>
      </c>
      <c r="P1959" s="16" t="str">
        <f t="shared" si="6"/>
        <v/>
      </c>
      <c r="Q1959" s="41" t="e">
        <f t="shared" si="3632"/>
        <v>#N/A</v>
      </c>
      <c r="R1959" s="44"/>
      <c r="S1959" s="44"/>
      <c r="T1959" s="43"/>
      <c r="U1959" s="43" t="str">
        <f t="shared" si="8"/>
        <v>No</v>
      </c>
      <c r="V1959" s="25"/>
      <c r="W1959" s="25"/>
      <c r="X1959" s="25"/>
      <c r="Y1959" s="25"/>
      <c r="Z1959" s="25"/>
    </row>
    <row r="1960" spans="1:26" ht="15.75" customHeight="1" x14ac:dyDescent="0.25">
      <c r="A1960" s="25">
        <v>1958</v>
      </c>
      <c r="B1960" s="37" t="e">
        <f t="shared" ref="B1960:D1960" si="3945">VLOOKUP($A1960,[6]Gobierno!$A$1:$O$234,B$1,0)</f>
        <v>#N/A</v>
      </c>
      <c r="C1960" s="38" t="e">
        <f t="shared" si="3945"/>
        <v>#N/A</v>
      </c>
      <c r="D1960" s="39" t="e">
        <f t="shared" si="3945"/>
        <v>#N/A</v>
      </c>
      <c r="E1960" s="16" t="e">
        <f t="shared" si="1"/>
        <v>#N/A</v>
      </c>
      <c r="F1960" s="16" t="e">
        <f t="shared" ref="F1960:K1960" si="3946">VLOOKUP($A1960,[6]Gobierno!$A$1:$O$234,F$1,0)</f>
        <v>#N/A</v>
      </c>
      <c r="G1960" s="39" t="e">
        <f t="shared" si="3946"/>
        <v>#N/A</v>
      </c>
      <c r="H1960" s="16" t="e">
        <f t="shared" si="3946"/>
        <v>#N/A</v>
      </c>
      <c r="I1960" s="16" t="e">
        <f t="shared" si="3946"/>
        <v>#N/A</v>
      </c>
      <c r="J1960" s="40" t="e">
        <f t="shared" si="3946"/>
        <v>#N/A</v>
      </c>
      <c r="K1960" s="16" t="e">
        <f t="shared" si="3946"/>
        <v>#N/A</v>
      </c>
      <c r="L1960" s="40" t="e">
        <f t="shared" si="3629"/>
        <v>#N/A</v>
      </c>
      <c r="M1960" s="16" t="e">
        <f t="shared" si="3630"/>
        <v>#N/A</v>
      </c>
      <c r="N1960" s="16" t="e">
        <f t="shared" si="3631"/>
        <v>#N/A</v>
      </c>
      <c r="O1960" s="16" t="s">
        <v>70</v>
      </c>
      <c r="P1960" s="16" t="str">
        <f t="shared" si="6"/>
        <v/>
      </c>
      <c r="Q1960" s="41" t="e">
        <f t="shared" si="3632"/>
        <v>#N/A</v>
      </c>
      <c r="R1960" s="44"/>
      <c r="S1960" s="44"/>
      <c r="T1960" s="43"/>
      <c r="U1960" s="43" t="str">
        <f t="shared" si="8"/>
        <v>No</v>
      </c>
      <c r="V1960" s="25"/>
      <c r="W1960" s="25"/>
      <c r="X1960" s="25"/>
      <c r="Y1960" s="25"/>
      <c r="Z1960" s="25"/>
    </row>
    <row r="1961" spans="1:26" ht="15.75" customHeight="1" x14ac:dyDescent="0.25">
      <c r="A1961" s="25">
        <v>1959</v>
      </c>
      <c r="B1961" s="37" t="e">
        <f t="shared" ref="B1961:D1961" si="3947">VLOOKUP($A1961,[6]Gobierno!$A$1:$O$234,B$1,0)</f>
        <v>#N/A</v>
      </c>
      <c r="C1961" s="38" t="e">
        <f t="shared" si="3947"/>
        <v>#N/A</v>
      </c>
      <c r="D1961" s="39" t="e">
        <f t="shared" si="3947"/>
        <v>#N/A</v>
      </c>
      <c r="E1961" s="16" t="e">
        <f t="shared" si="1"/>
        <v>#N/A</v>
      </c>
      <c r="F1961" s="16" t="e">
        <f t="shared" ref="F1961:K1961" si="3948">VLOOKUP($A1961,[6]Gobierno!$A$1:$O$234,F$1,0)</f>
        <v>#N/A</v>
      </c>
      <c r="G1961" s="39" t="e">
        <f t="shared" si="3948"/>
        <v>#N/A</v>
      </c>
      <c r="H1961" s="16" t="e">
        <f t="shared" si="3948"/>
        <v>#N/A</v>
      </c>
      <c r="I1961" s="16" t="e">
        <f t="shared" si="3948"/>
        <v>#N/A</v>
      </c>
      <c r="J1961" s="40" t="e">
        <f t="shared" si="3948"/>
        <v>#N/A</v>
      </c>
      <c r="K1961" s="16" t="e">
        <f t="shared" si="3948"/>
        <v>#N/A</v>
      </c>
      <c r="L1961" s="40" t="e">
        <f t="shared" si="3629"/>
        <v>#N/A</v>
      </c>
      <c r="M1961" s="16" t="e">
        <f t="shared" si="3630"/>
        <v>#N/A</v>
      </c>
      <c r="N1961" s="16" t="e">
        <f t="shared" si="3631"/>
        <v>#N/A</v>
      </c>
      <c r="O1961" s="16" t="s">
        <v>70</v>
      </c>
      <c r="P1961" s="16" t="str">
        <f t="shared" si="6"/>
        <v/>
      </c>
      <c r="Q1961" s="41" t="e">
        <f t="shared" si="3632"/>
        <v>#N/A</v>
      </c>
      <c r="R1961" s="44"/>
      <c r="S1961" s="44"/>
      <c r="T1961" s="43"/>
      <c r="U1961" s="43" t="str">
        <f t="shared" si="8"/>
        <v>No</v>
      </c>
      <c r="V1961" s="25"/>
      <c r="W1961" s="25"/>
      <c r="X1961" s="25"/>
      <c r="Y1961" s="25"/>
      <c r="Z1961" s="25"/>
    </row>
    <row r="1962" spans="1:26" ht="15.75" customHeight="1" x14ac:dyDescent="0.25">
      <c r="A1962" s="25">
        <v>1960</v>
      </c>
      <c r="B1962" s="37" t="e">
        <f t="shared" ref="B1962:D1962" si="3949">VLOOKUP($A1962,[6]Gobierno!$A$1:$O$234,B$1,0)</f>
        <v>#N/A</v>
      </c>
      <c r="C1962" s="38" t="e">
        <f t="shared" si="3949"/>
        <v>#N/A</v>
      </c>
      <c r="D1962" s="39" t="e">
        <f t="shared" si="3949"/>
        <v>#N/A</v>
      </c>
      <c r="E1962" s="16" t="e">
        <f t="shared" si="1"/>
        <v>#N/A</v>
      </c>
      <c r="F1962" s="16" t="e">
        <f t="shared" ref="F1962:K1962" si="3950">VLOOKUP($A1962,[6]Gobierno!$A$1:$O$234,F$1,0)</f>
        <v>#N/A</v>
      </c>
      <c r="G1962" s="39" t="e">
        <f t="shared" si="3950"/>
        <v>#N/A</v>
      </c>
      <c r="H1962" s="16" t="e">
        <f t="shared" si="3950"/>
        <v>#N/A</v>
      </c>
      <c r="I1962" s="16" t="e">
        <f t="shared" si="3950"/>
        <v>#N/A</v>
      </c>
      <c r="J1962" s="40" t="e">
        <f t="shared" si="3950"/>
        <v>#N/A</v>
      </c>
      <c r="K1962" s="16" t="e">
        <f t="shared" si="3950"/>
        <v>#N/A</v>
      </c>
      <c r="L1962" s="40" t="e">
        <f t="shared" si="3629"/>
        <v>#N/A</v>
      </c>
      <c r="M1962" s="16" t="e">
        <f t="shared" si="3630"/>
        <v>#N/A</v>
      </c>
      <c r="N1962" s="16" t="e">
        <f t="shared" si="3631"/>
        <v>#N/A</v>
      </c>
      <c r="O1962" s="16" t="s">
        <v>70</v>
      </c>
      <c r="P1962" s="16" t="str">
        <f t="shared" si="6"/>
        <v/>
      </c>
      <c r="Q1962" s="41" t="e">
        <f t="shared" si="3632"/>
        <v>#N/A</v>
      </c>
      <c r="R1962" s="44"/>
      <c r="S1962" s="44"/>
      <c r="T1962" s="43"/>
      <c r="U1962" s="43" t="str">
        <f t="shared" si="8"/>
        <v>No</v>
      </c>
      <c r="V1962" s="25"/>
      <c r="W1962" s="25"/>
      <c r="X1962" s="25"/>
      <c r="Y1962" s="25"/>
      <c r="Z1962" s="25"/>
    </row>
    <row r="1963" spans="1:26" ht="15.75" customHeight="1" x14ac:dyDescent="0.25">
      <c r="A1963" s="25">
        <v>1961</v>
      </c>
      <c r="B1963" s="37" t="e">
        <f t="shared" ref="B1963:D1963" si="3951">VLOOKUP($A1963,[6]Gobierno!$A$1:$O$234,B$1,0)</f>
        <v>#N/A</v>
      </c>
      <c r="C1963" s="38" t="e">
        <f t="shared" si="3951"/>
        <v>#N/A</v>
      </c>
      <c r="D1963" s="39" t="e">
        <f t="shared" si="3951"/>
        <v>#N/A</v>
      </c>
      <c r="E1963" s="16" t="e">
        <f t="shared" si="1"/>
        <v>#N/A</v>
      </c>
      <c r="F1963" s="16" t="e">
        <f t="shared" ref="F1963:K1963" si="3952">VLOOKUP($A1963,[6]Gobierno!$A$1:$O$234,F$1,0)</f>
        <v>#N/A</v>
      </c>
      <c r="G1963" s="39" t="e">
        <f t="shared" si="3952"/>
        <v>#N/A</v>
      </c>
      <c r="H1963" s="16" t="e">
        <f t="shared" si="3952"/>
        <v>#N/A</v>
      </c>
      <c r="I1963" s="16" t="e">
        <f t="shared" si="3952"/>
        <v>#N/A</v>
      </c>
      <c r="J1963" s="40" t="e">
        <f t="shared" si="3952"/>
        <v>#N/A</v>
      </c>
      <c r="K1963" s="16" t="e">
        <f t="shared" si="3952"/>
        <v>#N/A</v>
      </c>
      <c r="L1963" s="40" t="e">
        <f t="shared" si="3629"/>
        <v>#N/A</v>
      </c>
      <c r="M1963" s="16" t="e">
        <f t="shared" si="3630"/>
        <v>#N/A</v>
      </c>
      <c r="N1963" s="16" t="e">
        <f t="shared" si="3631"/>
        <v>#N/A</v>
      </c>
      <c r="O1963" s="16" t="s">
        <v>70</v>
      </c>
      <c r="P1963" s="16" t="str">
        <f t="shared" si="6"/>
        <v/>
      </c>
      <c r="Q1963" s="41" t="e">
        <f t="shared" si="3632"/>
        <v>#N/A</v>
      </c>
      <c r="R1963" s="44"/>
      <c r="S1963" s="44"/>
      <c r="T1963" s="43"/>
      <c r="U1963" s="43" t="str">
        <f t="shared" si="8"/>
        <v>No</v>
      </c>
      <c r="V1963" s="25"/>
      <c r="W1963" s="25"/>
      <c r="X1963" s="25"/>
      <c r="Y1963" s="25"/>
      <c r="Z1963" s="25"/>
    </row>
    <row r="1964" spans="1:26" ht="15.75" customHeight="1" x14ac:dyDescent="0.25">
      <c r="A1964" s="25">
        <v>1962</v>
      </c>
      <c r="B1964" s="37" t="e">
        <f t="shared" ref="B1964:D1964" si="3953">VLOOKUP($A1964,[6]Gobierno!$A$1:$O$234,B$1,0)</f>
        <v>#N/A</v>
      </c>
      <c r="C1964" s="38" t="e">
        <f t="shared" si="3953"/>
        <v>#N/A</v>
      </c>
      <c r="D1964" s="39" t="e">
        <f t="shared" si="3953"/>
        <v>#N/A</v>
      </c>
      <c r="E1964" s="16" t="e">
        <f t="shared" si="1"/>
        <v>#N/A</v>
      </c>
      <c r="F1964" s="16" t="e">
        <f t="shared" ref="F1964:K1964" si="3954">VLOOKUP($A1964,[6]Gobierno!$A$1:$O$234,F$1,0)</f>
        <v>#N/A</v>
      </c>
      <c r="G1964" s="39" t="e">
        <f t="shared" si="3954"/>
        <v>#N/A</v>
      </c>
      <c r="H1964" s="16" t="e">
        <f t="shared" si="3954"/>
        <v>#N/A</v>
      </c>
      <c r="I1964" s="16" t="e">
        <f t="shared" si="3954"/>
        <v>#N/A</v>
      </c>
      <c r="J1964" s="40" t="e">
        <f t="shared" si="3954"/>
        <v>#N/A</v>
      </c>
      <c r="K1964" s="16" t="e">
        <f t="shared" si="3954"/>
        <v>#N/A</v>
      </c>
      <c r="L1964" s="40" t="e">
        <f t="shared" si="3629"/>
        <v>#N/A</v>
      </c>
      <c r="M1964" s="16" t="e">
        <f t="shared" si="3630"/>
        <v>#N/A</v>
      </c>
      <c r="N1964" s="16" t="e">
        <f t="shared" si="3631"/>
        <v>#N/A</v>
      </c>
      <c r="O1964" s="16" t="s">
        <v>70</v>
      </c>
      <c r="P1964" s="16" t="str">
        <f t="shared" si="6"/>
        <v/>
      </c>
      <c r="Q1964" s="41" t="e">
        <f t="shared" si="3632"/>
        <v>#N/A</v>
      </c>
      <c r="R1964" s="44"/>
      <c r="S1964" s="44"/>
      <c r="T1964" s="43"/>
      <c r="U1964" s="43" t="str">
        <f t="shared" si="8"/>
        <v>No</v>
      </c>
      <c r="V1964" s="25"/>
      <c r="W1964" s="25"/>
      <c r="X1964" s="25"/>
      <c r="Y1964" s="25"/>
      <c r="Z1964" s="25"/>
    </row>
    <row r="1965" spans="1:26" ht="15.75" customHeight="1" x14ac:dyDescent="0.25">
      <c r="A1965" s="25">
        <v>1963</v>
      </c>
      <c r="B1965" s="37" t="e">
        <f t="shared" ref="B1965:D1965" si="3955">VLOOKUP($A1965,[6]Gobierno!$A$1:$O$234,B$1,0)</f>
        <v>#N/A</v>
      </c>
      <c r="C1965" s="38" t="e">
        <f t="shared" si="3955"/>
        <v>#N/A</v>
      </c>
      <c r="D1965" s="39" t="e">
        <f t="shared" si="3955"/>
        <v>#N/A</v>
      </c>
      <c r="E1965" s="16" t="e">
        <f t="shared" si="1"/>
        <v>#N/A</v>
      </c>
      <c r="F1965" s="16" t="e">
        <f t="shared" ref="F1965:K1965" si="3956">VLOOKUP($A1965,[6]Gobierno!$A$1:$O$234,F$1,0)</f>
        <v>#N/A</v>
      </c>
      <c r="G1965" s="39" t="e">
        <f t="shared" si="3956"/>
        <v>#N/A</v>
      </c>
      <c r="H1965" s="16" t="e">
        <f t="shared" si="3956"/>
        <v>#N/A</v>
      </c>
      <c r="I1965" s="16" t="e">
        <f t="shared" si="3956"/>
        <v>#N/A</v>
      </c>
      <c r="J1965" s="40" t="e">
        <f t="shared" si="3956"/>
        <v>#N/A</v>
      </c>
      <c r="K1965" s="16" t="e">
        <f t="shared" si="3956"/>
        <v>#N/A</v>
      </c>
      <c r="L1965" s="40" t="e">
        <f t="shared" si="3629"/>
        <v>#N/A</v>
      </c>
      <c r="M1965" s="16" t="e">
        <f t="shared" si="3630"/>
        <v>#N/A</v>
      </c>
      <c r="N1965" s="16" t="e">
        <f t="shared" si="3631"/>
        <v>#N/A</v>
      </c>
      <c r="O1965" s="16" t="s">
        <v>70</v>
      </c>
      <c r="P1965" s="16" t="str">
        <f t="shared" si="6"/>
        <v/>
      </c>
      <c r="Q1965" s="41" t="e">
        <f t="shared" si="3632"/>
        <v>#N/A</v>
      </c>
      <c r="R1965" s="44"/>
      <c r="S1965" s="44"/>
      <c r="T1965" s="43"/>
      <c r="U1965" s="43" t="str">
        <f t="shared" si="8"/>
        <v>No</v>
      </c>
      <c r="V1965" s="25"/>
      <c r="W1965" s="25"/>
      <c r="X1965" s="25"/>
      <c r="Y1965" s="25"/>
      <c r="Z1965" s="25"/>
    </row>
    <row r="1966" spans="1:26" ht="15.75" customHeight="1" x14ac:dyDescent="0.25">
      <c r="A1966" s="25">
        <v>1964</v>
      </c>
      <c r="B1966" s="37" t="e">
        <f t="shared" ref="B1966:D1966" si="3957">VLOOKUP($A1966,[6]Gobierno!$A$1:$O$234,B$1,0)</f>
        <v>#N/A</v>
      </c>
      <c r="C1966" s="38" t="e">
        <f t="shared" si="3957"/>
        <v>#N/A</v>
      </c>
      <c r="D1966" s="39" t="e">
        <f t="shared" si="3957"/>
        <v>#N/A</v>
      </c>
      <c r="E1966" s="16" t="e">
        <f t="shared" si="1"/>
        <v>#N/A</v>
      </c>
      <c r="F1966" s="16" t="e">
        <f t="shared" ref="F1966:K1966" si="3958">VLOOKUP($A1966,[6]Gobierno!$A$1:$O$234,F$1,0)</f>
        <v>#N/A</v>
      </c>
      <c r="G1966" s="39" t="e">
        <f t="shared" si="3958"/>
        <v>#N/A</v>
      </c>
      <c r="H1966" s="16" t="e">
        <f t="shared" si="3958"/>
        <v>#N/A</v>
      </c>
      <c r="I1966" s="16" t="e">
        <f t="shared" si="3958"/>
        <v>#N/A</v>
      </c>
      <c r="J1966" s="40" t="e">
        <f t="shared" si="3958"/>
        <v>#N/A</v>
      </c>
      <c r="K1966" s="16" t="e">
        <f t="shared" si="3958"/>
        <v>#N/A</v>
      </c>
      <c r="L1966" s="40" t="e">
        <f t="shared" si="3629"/>
        <v>#N/A</v>
      </c>
      <c r="M1966" s="16" t="e">
        <f t="shared" si="3630"/>
        <v>#N/A</v>
      </c>
      <c r="N1966" s="16" t="e">
        <f t="shared" si="3631"/>
        <v>#N/A</v>
      </c>
      <c r="O1966" s="16" t="s">
        <v>70</v>
      </c>
      <c r="P1966" s="16" t="str">
        <f t="shared" si="6"/>
        <v/>
      </c>
      <c r="Q1966" s="41" t="e">
        <f t="shared" si="3632"/>
        <v>#N/A</v>
      </c>
      <c r="R1966" s="44"/>
      <c r="S1966" s="44"/>
      <c r="T1966" s="43"/>
      <c r="U1966" s="43" t="str">
        <f t="shared" si="8"/>
        <v>No</v>
      </c>
      <c r="V1966" s="25"/>
      <c r="W1966" s="25"/>
      <c r="X1966" s="25"/>
      <c r="Y1966" s="25"/>
      <c r="Z1966" s="25"/>
    </row>
    <row r="1967" spans="1:26" ht="15.75" customHeight="1" x14ac:dyDescent="0.25">
      <c r="A1967" s="25">
        <v>1965</v>
      </c>
      <c r="B1967" s="37" t="e">
        <f t="shared" ref="B1967:D1967" si="3959">VLOOKUP($A1967,[6]Gobierno!$A$1:$O$234,B$1,0)</f>
        <v>#N/A</v>
      </c>
      <c r="C1967" s="38" t="e">
        <f t="shared" si="3959"/>
        <v>#N/A</v>
      </c>
      <c r="D1967" s="39" t="e">
        <f t="shared" si="3959"/>
        <v>#N/A</v>
      </c>
      <c r="E1967" s="16" t="e">
        <f t="shared" si="1"/>
        <v>#N/A</v>
      </c>
      <c r="F1967" s="16" t="e">
        <f t="shared" ref="F1967:K1967" si="3960">VLOOKUP($A1967,[6]Gobierno!$A$1:$O$234,F$1,0)</f>
        <v>#N/A</v>
      </c>
      <c r="G1967" s="39" t="e">
        <f t="shared" si="3960"/>
        <v>#N/A</v>
      </c>
      <c r="H1967" s="16" t="e">
        <f t="shared" si="3960"/>
        <v>#N/A</v>
      </c>
      <c r="I1967" s="16" t="e">
        <f t="shared" si="3960"/>
        <v>#N/A</v>
      </c>
      <c r="J1967" s="40" t="e">
        <f t="shared" si="3960"/>
        <v>#N/A</v>
      </c>
      <c r="K1967" s="16" t="e">
        <f t="shared" si="3960"/>
        <v>#N/A</v>
      </c>
      <c r="L1967" s="40" t="e">
        <f t="shared" si="3629"/>
        <v>#N/A</v>
      </c>
      <c r="M1967" s="16" t="e">
        <f t="shared" si="3630"/>
        <v>#N/A</v>
      </c>
      <c r="N1967" s="16" t="e">
        <f t="shared" si="3631"/>
        <v>#N/A</v>
      </c>
      <c r="O1967" s="16" t="s">
        <v>70</v>
      </c>
      <c r="P1967" s="16" t="str">
        <f t="shared" si="6"/>
        <v/>
      </c>
      <c r="Q1967" s="41" t="e">
        <f t="shared" si="3632"/>
        <v>#N/A</v>
      </c>
      <c r="R1967" s="44"/>
      <c r="S1967" s="44"/>
      <c r="T1967" s="43"/>
      <c r="U1967" s="43" t="str">
        <f t="shared" si="8"/>
        <v>No</v>
      </c>
      <c r="V1967" s="25"/>
      <c r="W1967" s="25"/>
      <c r="X1967" s="25"/>
      <c r="Y1967" s="25"/>
      <c r="Z1967" s="25"/>
    </row>
    <row r="1968" spans="1:26" ht="15.75" customHeight="1" x14ac:dyDescent="0.25">
      <c r="A1968" s="25">
        <v>1966</v>
      </c>
      <c r="B1968" s="37" t="e">
        <f t="shared" ref="B1968:D1968" si="3961">VLOOKUP($A1968,[6]Gobierno!$A$1:$O$234,B$1,0)</f>
        <v>#N/A</v>
      </c>
      <c r="C1968" s="38" t="e">
        <f t="shared" si="3961"/>
        <v>#N/A</v>
      </c>
      <c r="D1968" s="39" t="e">
        <f t="shared" si="3961"/>
        <v>#N/A</v>
      </c>
      <c r="E1968" s="16" t="e">
        <f t="shared" si="1"/>
        <v>#N/A</v>
      </c>
      <c r="F1968" s="16" t="e">
        <f t="shared" ref="F1968:K1968" si="3962">VLOOKUP($A1968,[6]Gobierno!$A$1:$O$234,F$1,0)</f>
        <v>#N/A</v>
      </c>
      <c r="G1968" s="39" t="e">
        <f t="shared" si="3962"/>
        <v>#N/A</v>
      </c>
      <c r="H1968" s="16" t="e">
        <f t="shared" si="3962"/>
        <v>#N/A</v>
      </c>
      <c r="I1968" s="16" t="e">
        <f t="shared" si="3962"/>
        <v>#N/A</v>
      </c>
      <c r="J1968" s="40" t="e">
        <f t="shared" si="3962"/>
        <v>#N/A</v>
      </c>
      <c r="K1968" s="16" t="e">
        <f t="shared" si="3962"/>
        <v>#N/A</v>
      </c>
      <c r="L1968" s="40" t="e">
        <f t="shared" si="3629"/>
        <v>#N/A</v>
      </c>
      <c r="M1968" s="16" t="e">
        <f t="shared" si="3630"/>
        <v>#N/A</v>
      </c>
      <c r="N1968" s="16" t="e">
        <f t="shared" si="3631"/>
        <v>#N/A</v>
      </c>
      <c r="O1968" s="16" t="s">
        <v>70</v>
      </c>
      <c r="P1968" s="16" t="str">
        <f t="shared" si="6"/>
        <v/>
      </c>
      <c r="Q1968" s="41" t="e">
        <f t="shared" si="3632"/>
        <v>#N/A</v>
      </c>
      <c r="R1968" s="44"/>
      <c r="S1968" s="44"/>
      <c r="T1968" s="43"/>
      <c r="U1968" s="43" t="str">
        <f t="shared" si="8"/>
        <v>No</v>
      </c>
      <c r="V1968" s="25"/>
      <c r="W1968" s="25"/>
      <c r="X1968" s="25"/>
      <c r="Y1968" s="25"/>
      <c r="Z1968" s="25"/>
    </row>
    <row r="1969" spans="1:26" ht="15.75" customHeight="1" x14ac:dyDescent="0.25">
      <c r="A1969" s="25">
        <v>1967</v>
      </c>
      <c r="B1969" s="37" t="e">
        <f t="shared" ref="B1969:D1969" si="3963">VLOOKUP($A1969,[6]Gobierno!$A$1:$O$234,B$1,0)</f>
        <v>#N/A</v>
      </c>
      <c r="C1969" s="38" t="e">
        <f t="shared" si="3963"/>
        <v>#N/A</v>
      </c>
      <c r="D1969" s="39" t="e">
        <f t="shared" si="3963"/>
        <v>#N/A</v>
      </c>
      <c r="E1969" s="16" t="e">
        <f t="shared" si="1"/>
        <v>#N/A</v>
      </c>
      <c r="F1969" s="16" t="e">
        <f t="shared" ref="F1969:K1969" si="3964">VLOOKUP($A1969,[6]Gobierno!$A$1:$O$234,F$1,0)</f>
        <v>#N/A</v>
      </c>
      <c r="G1969" s="39" t="e">
        <f t="shared" si="3964"/>
        <v>#N/A</v>
      </c>
      <c r="H1969" s="16" t="e">
        <f t="shared" si="3964"/>
        <v>#N/A</v>
      </c>
      <c r="I1969" s="16" t="e">
        <f t="shared" si="3964"/>
        <v>#N/A</v>
      </c>
      <c r="J1969" s="40" t="e">
        <f t="shared" si="3964"/>
        <v>#N/A</v>
      </c>
      <c r="K1969" s="16" t="e">
        <f t="shared" si="3964"/>
        <v>#N/A</v>
      </c>
      <c r="L1969" s="40" t="e">
        <f t="shared" si="3629"/>
        <v>#N/A</v>
      </c>
      <c r="M1969" s="16" t="e">
        <f t="shared" si="3630"/>
        <v>#N/A</v>
      </c>
      <c r="N1969" s="16" t="e">
        <f t="shared" si="3631"/>
        <v>#N/A</v>
      </c>
      <c r="O1969" s="16" t="s">
        <v>70</v>
      </c>
      <c r="P1969" s="16" t="str">
        <f t="shared" si="6"/>
        <v/>
      </c>
      <c r="Q1969" s="41" t="e">
        <f t="shared" si="3632"/>
        <v>#N/A</v>
      </c>
      <c r="R1969" s="44"/>
      <c r="S1969" s="44"/>
      <c r="T1969" s="43"/>
      <c r="U1969" s="43" t="str">
        <f t="shared" si="8"/>
        <v>No</v>
      </c>
      <c r="V1969" s="25"/>
      <c r="W1969" s="25"/>
      <c r="X1969" s="25"/>
      <c r="Y1969" s="25"/>
      <c r="Z1969" s="25"/>
    </row>
    <row r="1970" spans="1:26" ht="15.75" customHeight="1" x14ac:dyDescent="0.25">
      <c r="A1970" s="25">
        <v>1968</v>
      </c>
      <c r="B1970" s="37" t="e">
        <f t="shared" ref="B1970:D1970" si="3965">VLOOKUP($A1970,[6]Gobierno!$A$1:$O$234,B$1,0)</f>
        <v>#N/A</v>
      </c>
      <c r="C1970" s="38" t="e">
        <f t="shared" si="3965"/>
        <v>#N/A</v>
      </c>
      <c r="D1970" s="39" t="e">
        <f t="shared" si="3965"/>
        <v>#N/A</v>
      </c>
      <c r="E1970" s="16" t="e">
        <f t="shared" si="1"/>
        <v>#N/A</v>
      </c>
      <c r="F1970" s="16" t="e">
        <f t="shared" ref="F1970:K1970" si="3966">VLOOKUP($A1970,[6]Gobierno!$A$1:$O$234,F$1,0)</f>
        <v>#N/A</v>
      </c>
      <c r="G1970" s="39" t="e">
        <f t="shared" si="3966"/>
        <v>#N/A</v>
      </c>
      <c r="H1970" s="16" t="e">
        <f t="shared" si="3966"/>
        <v>#N/A</v>
      </c>
      <c r="I1970" s="16" t="e">
        <f t="shared" si="3966"/>
        <v>#N/A</v>
      </c>
      <c r="J1970" s="40" t="e">
        <f t="shared" si="3966"/>
        <v>#N/A</v>
      </c>
      <c r="K1970" s="16" t="e">
        <f t="shared" si="3966"/>
        <v>#N/A</v>
      </c>
      <c r="L1970" s="40" t="e">
        <f t="shared" si="3629"/>
        <v>#N/A</v>
      </c>
      <c r="M1970" s="16" t="e">
        <f t="shared" si="3630"/>
        <v>#N/A</v>
      </c>
      <c r="N1970" s="16" t="e">
        <f t="shared" si="3631"/>
        <v>#N/A</v>
      </c>
      <c r="O1970" s="16" t="s">
        <v>70</v>
      </c>
      <c r="P1970" s="16" t="str">
        <f t="shared" si="6"/>
        <v/>
      </c>
      <c r="Q1970" s="41" t="e">
        <f t="shared" si="3632"/>
        <v>#N/A</v>
      </c>
      <c r="R1970" s="44"/>
      <c r="S1970" s="44"/>
      <c r="T1970" s="43"/>
      <c r="U1970" s="43" t="str">
        <f t="shared" si="8"/>
        <v>No</v>
      </c>
      <c r="V1970" s="25"/>
      <c r="W1970" s="25"/>
      <c r="X1970" s="25"/>
      <c r="Y1970" s="25"/>
      <c r="Z1970" s="25"/>
    </row>
    <row r="1971" spans="1:26" ht="15.75" customHeight="1" x14ac:dyDescent="0.25">
      <c r="A1971" s="25">
        <v>1969</v>
      </c>
      <c r="B1971" s="37" t="e">
        <f t="shared" ref="B1971:D1971" si="3967">VLOOKUP($A1971,[6]Gobierno!$A$1:$O$234,B$1,0)</f>
        <v>#N/A</v>
      </c>
      <c r="C1971" s="38" t="e">
        <f t="shared" si="3967"/>
        <v>#N/A</v>
      </c>
      <c r="D1971" s="39" t="e">
        <f t="shared" si="3967"/>
        <v>#N/A</v>
      </c>
      <c r="E1971" s="16" t="e">
        <f t="shared" si="1"/>
        <v>#N/A</v>
      </c>
      <c r="F1971" s="16" t="e">
        <f t="shared" ref="F1971:K1971" si="3968">VLOOKUP($A1971,[6]Gobierno!$A$1:$O$234,F$1,0)</f>
        <v>#N/A</v>
      </c>
      <c r="G1971" s="39" t="e">
        <f t="shared" si="3968"/>
        <v>#N/A</v>
      </c>
      <c r="H1971" s="16" t="e">
        <f t="shared" si="3968"/>
        <v>#N/A</v>
      </c>
      <c r="I1971" s="16" t="e">
        <f t="shared" si="3968"/>
        <v>#N/A</v>
      </c>
      <c r="J1971" s="40" t="e">
        <f t="shared" si="3968"/>
        <v>#N/A</v>
      </c>
      <c r="K1971" s="16" t="e">
        <f t="shared" si="3968"/>
        <v>#N/A</v>
      </c>
      <c r="L1971" s="40" t="e">
        <f t="shared" si="3629"/>
        <v>#N/A</v>
      </c>
      <c r="M1971" s="16" t="e">
        <f t="shared" si="3630"/>
        <v>#N/A</v>
      </c>
      <c r="N1971" s="16" t="e">
        <f t="shared" si="3631"/>
        <v>#N/A</v>
      </c>
      <c r="O1971" s="16" t="s">
        <v>70</v>
      </c>
      <c r="P1971" s="16" t="str">
        <f t="shared" si="6"/>
        <v/>
      </c>
      <c r="Q1971" s="41" t="e">
        <f t="shared" si="3632"/>
        <v>#N/A</v>
      </c>
      <c r="R1971" s="44"/>
      <c r="S1971" s="44"/>
      <c r="T1971" s="43"/>
      <c r="U1971" s="43" t="str">
        <f t="shared" si="8"/>
        <v>No</v>
      </c>
      <c r="V1971" s="25"/>
      <c r="W1971" s="25"/>
      <c r="X1971" s="25"/>
      <c r="Y1971" s="25"/>
      <c r="Z1971" s="25"/>
    </row>
    <row r="1972" spans="1:26" ht="15.75" customHeight="1" x14ac:dyDescent="0.25">
      <c r="A1972" s="25">
        <v>1970</v>
      </c>
      <c r="B1972" s="37" t="e">
        <f t="shared" ref="B1972:D1972" si="3969">VLOOKUP($A1972,[6]Gobierno!$A$1:$O$234,B$1,0)</f>
        <v>#N/A</v>
      </c>
      <c r="C1972" s="38" t="e">
        <f t="shared" si="3969"/>
        <v>#N/A</v>
      </c>
      <c r="D1972" s="39" t="e">
        <f t="shared" si="3969"/>
        <v>#N/A</v>
      </c>
      <c r="E1972" s="16" t="e">
        <f t="shared" si="1"/>
        <v>#N/A</v>
      </c>
      <c r="F1972" s="16" t="e">
        <f t="shared" ref="F1972:K1972" si="3970">VLOOKUP($A1972,[6]Gobierno!$A$1:$O$234,F$1,0)</f>
        <v>#N/A</v>
      </c>
      <c r="G1972" s="39" t="e">
        <f t="shared" si="3970"/>
        <v>#N/A</v>
      </c>
      <c r="H1972" s="16" t="e">
        <f t="shared" si="3970"/>
        <v>#N/A</v>
      </c>
      <c r="I1972" s="16" t="e">
        <f t="shared" si="3970"/>
        <v>#N/A</v>
      </c>
      <c r="J1972" s="40" t="e">
        <f t="shared" si="3970"/>
        <v>#N/A</v>
      </c>
      <c r="K1972" s="16" t="e">
        <f t="shared" si="3970"/>
        <v>#N/A</v>
      </c>
      <c r="L1972" s="40" t="e">
        <f t="shared" si="3629"/>
        <v>#N/A</v>
      </c>
      <c r="M1972" s="16" t="e">
        <f t="shared" si="3630"/>
        <v>#N/A</v>
      </c>
      <c r="N1972" s="16" t="e">
        <f t="shared" si="3631"/>
        <v>#N/A</v>
      </c>
      <c r="O1972" s="16" t="s">
        <v>70</v>
      </c>
      <c r="P1972" s="16" t="str">
        <f t="shared" si="6"/>
        <v/>
      </c>
      <c r="Q1972" s="41" t="e">
        <f t="shared" si="3632"/>
        <v>#N/A</v>
      </c>
      <c r="R1972" s="44"/>
      <c r="S1972" s="44"/>
      <c r="T1972" s="43"/>
      <c r="U1972" s="43" t="str">
        <f t="shared" si="8"/>
        <v>No</v>
      </c>
      <c r="V1972" s="25"/>
      <c r="W1972" s="25"/>
      <c r="X1972" s="25"/>
      <c r="Y1972" s="25"/>
      <c r="Z1972" s="25"/>
    </row>
    <row r="1973" spans="1:26" ht="15.75" customHeight="1" x14ac:dyDescent="0.25">
      <c r="A1973" s="25">
        <v>1971</v>
      </c>
      <c r="B1973" s="37" t="e">
        <f t="shared" ref="B1973:D1973" si="3971">VLOOKUP($A1973,[6]Gobierno!$A$1:$O$234,B$1,0)</f>
        <v>#N/A</v>
      </c>
      <c r="C1973" s="38" t="e">
        <f t="shared" si="3971"/>
        <v>#N/A</v>
      </c>
      <c r="D1973" s="39" t="e">
        <f t="shared" si="3971"/>
        <v>#N/A</v>
      </c>
      <c r="E1973" s="16" t="e">
        <f t="shared" si="1"/>
        <v>#N/A</v>
      </c>
      <c r="F1973" s="16" t="e">
        <f t="shared" ref="F1973:K1973" si="3972">VLOOKUP($A1973,[6]Gobierno!$A$1:$O$234,F$1,0)</f>
        <v>#N/A</v>
      </c>
      <c r="G1973" s="39" t="e">
        <f t="shared" si="3972"/>
        <v>#N/A</v>
      </c>
      <c r="H1973" s="16" t="e">
        <f t="shared" si="3972"/>
        <v>#N/A</v>
      </c>
      <c r="I1973" s="16" t="e">
        <f t="shared" si="3972"/>
        <v>#N/A</v>
      </c>
      <c r="J1973" s="40" t="e">
        <f t="shared" si="3972"/>
        <v>#N/A</v>
      </c>
      <c r="K1973" s="16" t="e">
        <f t="shared" si="3972"/>
        <v>#N/A</v>
      </c>
      <c r="L1973" s="40" t="e">
        <f t="shared" si="3629"/>
        <v>#N/A</v>
      </c>
      <c r="M1973" s="16" t="e">
        <f t="shared" si="3630"/>
        <v>#N/A</v>
      </c>
      <c r="N1973" s="16" t="e">
        <f t="shared" si="3631"/>
        <v>#N/A</v>
      </c>
      <c r="O1973" s="16" t="s">
        <v>70</v>
      </c>
      <c r="P1973" s="16" t="str">
        <f t="shared" si="6"/>
        <v/>
      </c>
      <c r="Q1973" s="41" t="e">
        <f t="shared" si="3632"/>
        <v>#N/A</v>
      </c>
      <c r="R1973" s="44"/>
      <c r="S1973" s="44"/>
      <c r="T1973" s="43"/>
      <c r="U1973" s="43" t="str">
        <f t="shared" si="8"/>
        <v>No</v>
      </c>
      <c r="V1973" s="25"/>
      <c r="W1973" s="25"/>
      <c r="X1973" s="25"/>
      <c r="Y1973" s="25"/>
      <c r="Z1973" s="25"/>
    </row>
    <row r="1974" spans="1:26" ht="15.75" customHeight="1" x14ac:dyDescent="0.25">
      <c r="A1974" s="25">
        <v>1972</v>
      </c>
      <c r="B1974" s="37" t="e">
        <f t="shared" ref="B1974:D1974" si="3973">VLOOKUP($A1974,[6]Gobierno!$A$1:$O$234,B$1,0)</f>
        <v>#N/A</v>
      </c>
      <c r="C1974" s="38" t="e">
        <f t="shared" si="3973"/>
        <v>#N/A</v>
      </c>
      <c r="D1974" s="39" t="e">
        <f t="shared" si="3973"/>
        <v>#N/A</v>
      </c>
      <c r="E1974" s="16" t="e">
        <f t="shared" si="1"/>
        <v>#N/A</v>
      </c>
      <c r="F1974" s="16" t="e">
        <f t="shared" ref="F1974:K1974" si="3974">VLOOKUP($A1974,[6]Gobierno!$A$1:$O$234,F$1,0)</f>
        <v>#N/A</v>
      </c>
      <c r="G1974" s="39" t="e">
        <f t="shared" si="3974"/>
        <v>#N/A</v>
      </c>
      <c r="H1974" s="16" t="e">
        <f t="shared" si="3974"/>
        <v>#N/A</v>
      </c>
      <c r="I1974" s="16" t="e">
        <f t="shared" si="3974"/>
        <v>#N/A</v>
      </c>
      <c r="J1974" s="40" t="e">
        <f t="shared" si="3974"/>
        <v>#N/A</v>
      </c>
      <c r="K1974" s="16" t="e">
        <f t="shared" si="3974"/>
        <v>#N/A</v>
      </c>
      <c r="L1974" s="40" t="e">
        <f t="shared" si="3629"/>
        <v>#N/A</v>
      </c>
      <c r="M1974" s="16" t="e">
        <f t="shared" si="3630"/>
        <v>#N/A</v>
      </c>
      <c r="N1974" s="16" t="e">
        <f t="shared" si="3631"/>
        <v>#N/A</v>
      </c>
      <c r="O1974" s="16" t="s">
        <v>70</v>
      </c>
      <c r="P1974" s="16" t="str">
        <f t="shared" si="6"/>
        <v/>
      </c>
      <c r="Q1974" s="41" t="e">
        <f t="shared" si="3632"/>
        <v>#N/A</v>
      </c>
      <c r="R1974" s="44"/>
      <c r="S1974" s="44"/>
      <c r="T1974" s="43"/>
      <c r="U1974" s="43" t="str">
        <f t="shared" si="8"/>
        <v>No</v>
      </c>
      <c r="V1974" s="25"/>
      <c r="W1974" s="25"/>
      <c r="X1974" s="25"/>
      <c r="Y1974" s="25"/>
      <c r="Z1974" s="25"/>
    </row>
    <row r="1975" spans="1:26" ht="15.75" customHeight="1" x14ac:dyDescent="0.25">
      <c r="A1975" s="25">
        <v>1973</v>
      </c>
      <c r="B1975" s="37" t="e">
        <f t="shared" ref="B1975:D1975" si="3975">VLOOKUP($A1975,[6]Gobierno!$A$1:$O$234,B$1,0)</f>
        <v>#N/A</v>
      </c>
      <c r="C1975" s="38" t="e">
        <f t="shared" si="3975"/>
        <v>#N/A</v>
      </c>
      <c r="D1975" s="39" t="e">
        <f t="shared" si="3975"/>
        <v>#N/A</v>
      </c>
      <c r="E1975" s="16" t="e">
        <f t="shared" si="1"/>
        <v>#N/A</v>
      </c>
      <c r="F1975" s="16" t="e">
        <f t="shared" ref="F1975:K1975" si="3976">VLOOKUP($A1975,[6]Gobierno!$A$1:$O$234,F$1,0)</f>
        <v>#N/A</v>
      </c>
      <c r="G1975" s="39" t="e">
        <f t="shared" si="3976"/>
        <v>#N/A</v>
      </c>
      <c r="H1975" s="16" t="e">
        <f t="shared" si="3976"/>
        <v>#N/A</v>
      </c>
      <c r="I1975" s="16" t="e">
        <f t="shared" si="3976"/>
        <v>#N/A</v>
      </c>
      <c r="J1975" s="40" t="e">
        <f t="shared" si="3976"/>
        <v>#N/A</v>
      </c>
      <c r="K1975" s="16" t="e">
        <f t="shared" si="3976"/>
        <v>#N/A</v>
      </c>
      <c r="L1975" s="40" t="e">
        <f t="shared" si="3629"/>
        <v>#N/A</v>
      </c>
      <c r="M1975" s="16" t="e">
        <f t="shared" si="3630"/>
        <v>#N/A</v>
      </c>
      <c r="N1975" s="16" t="e">
        <f t="shared" si="3631"/>
        <v>#N/A</v>
      </c>
      <c r="O1975" s="16" t="s">
        <v>70</v>
      </c>
      <c r="P1975" s="16" t="str">
        <f t="shared" si="6"/>
        <v/>
      </c>
      <c r="Q1975" s="41" t="e">
        <f t="shared" si="3632"/>
        <v>#N/A</v>
      </c>
      <c r="R1975" s="44"/>
      <c r="S1975" s="44"/>
      <c r="T1975" s="43"/>
      <c r="U1975" s="43" t="str">
        <f t="shared" si="8"/>
        <v>No</v>
      </c>
      <c r="V1975" s="25"/>
      <c r="W1975" s="25"/>
      <c r="X1975" s="25"/>
      <c r="Y1975" s="25"/>
      <c r="Z1975" s="25"/>
    </row>
    <row r="1976" spans="1:26" ht="15.75" customHeight="1" x14ac:dyDescent="0.25">
      <c r="A1976" s="25">
        <v>1974</v>
      </c>
      <c r="B1976" s="37" t="e">
        <f t="shared" ref="B1976:D1976" si="3977">VLOOKUP($A1976,[6]Gobierno!$A$1:$O$234,B$1,0)</f>
        <v>#N/A</v>
      </c>
      <c r="C1976" s="38" t="e">
        <f t="shared" si="3977"/>
        <v>#N/A</v>
      </c>
      <c r="D1976" s="39" t="e">
        <f t="shared" si="3977"/>
        <v>#N/A</v>
      </c>
      <c r="E1976" s="16" t="e">
        <f t="shared" si="1"/>
        <v>#N/A</v>
      </c>
      <c r="F1976" s="16" t="e">
        <f t="shared" ref="F1976:K1976" si="3978">VLOOKUP($A1976,[6]Gobierno!$A$1:$O$234,F$1,0)</f>
        <v>#N/A</v>
      </c>
      <c r="G1976" s="39" t="e">
        <f t="shared" si="3978"/>
        <v>#N/A</v>
      </c>
      <c r="H1976" s="16" t="e">
        <f t="shared" si="3978"/>
        <v>#N/A</v>
      </c>
      <c r="I1976" s="16" t="e">
        <f t="shared" si="3978"/>
        <v>#N/A</v>
      </c>
      <c r="J1976" s="40" t="e">
        <f t="shared" si="3978"/>
        <v>#N/A</v>
      </c>
      <c r="K1976" s="16" t="e">
        <f t="shared" si="3978"/>
        <v>#N/A</v>
      </c>
      <c r="L1976" s="40" t="e">
        <f t="shared" si="3629"/>
        <v>#N/A</v>
      </c>
      <c r="M1976" s="16" t="e">
        <f t="shared" si="3630"/>
        <v>#N/A</v>
      </c>
      <c r="N1976" s="16" t="e">
        <f t="shared" si="3631"/>
        <v>#N/A</v>
      </c>
      <c r="O1976" s="16" t="s">
        <v>70</v>
      </c>
      <c r="P1976" s="16" t="str">
        <f t="shared" si="6"/>
        <v/>
      </c>
      <c r="Q1976" s="41" t="e">
        <f t="shared" si="3632"/>
        <v>#N/A</v>
      </c>
      <c r="R1976" s="44"/>
      <c r="S1976" s="44"/>
      <c r="T1976" s="43"/>
      <c r="U1976" s="43" t="str">
        <f t="shared" si="8"/>
        <v>No</v>
      </c>
      <c r="V1976" s="25"/>
      <c r="W1976" s="25"/>
      <c r="X1976" s="25"/>
      <c r="Y1976" s="25"/>
      <c r="Z1976" s="25"/>
    </row>
    <row r="1977" spans="1:26" ht="15.75" customHeight="1" x14ac:dyDescent="0.25">
      <c r="A1977" s="25">
        <v>1975</v>
      </c>
      <c r="B1977" s="37" t="e">
        <f t="shared" ref="B1977:D1977" si="3979">VLOOKUP($A1977,[6]Gobierno!$A$1:$O$234,B$1,0)</f>
        <v>#N/A</v>
      </c>
      <c r="C1977" s="38" t="e">
        <f t="shared" si="3979"/>
        <v>#N/A</v>
      </c>
      <c r="D1977" s="39" t="e">
        <f t="shared" si="3979"/>
        <v>#N/A</v>
      </c>
      <c r="E1977" s="16" t="e">
        <f t="shared" si="1"/>
        <v>#N/A</v>
      </c>
      <c r="F1977" s="16" t="e">
        <f t="shared" ref="F1977:K1977" si="3980">VLOOKUP($A1977,[6]Gobierno!$A$1:$O$234,F$1,0)</f>
        <v>#N/A</v>
      </c>
      <c r="G1977" s="39" t="e">
        <f t="shared" si="3980"/>
        <v>#N/A</v>
      </c>
      <c r="H1977" s="16" t="e">
        <f t="shared" si="3980"/>
        <v>#N/A</v>
      </c>
      <c r="I1977" s="16" t="e">
        <f t="shared" si="3980"/>
        <v>#N/A</v>
      </c>
      <c r="J1977" s="40" t="e">
        <f t="shared" si="3980"/>
        <v>#N/A</v>
      </c>
      <c r="K1977" s="16" t="e">
        <f t="shared" si="3980"/>
        <v>#N/A</v>
      </c>
      <c r="L1977" s="40" t="e">
        <f t="shared" si="3629"/>
        <v>#N/A</v>
      </c>
      <c r="M1977" s="16" t="e">
        <f t="shared" si="3630"/>
        <v>#N/A</v>
      </c>
      <c r="N1977" s="16" t="e">
        <f t="shared" si="3631"/>
        <v>#N/A</v>
      </c>
      <c r="O1977" s="16" t="s">
        <v>70</v>
      </c>
      <c r="P1977" s="16" t="str">
        <f t="shared" si="6"/>
        <v/>
      </c>
      <c r="Q1977" s="41" t="e">
        <f t="shared" si="3632"/>
        <v>#N/A</v>
      </c>
      <c r="R1977" s="44"/>
      <c r="S1977" s="44"/>
      <c r="T1977" s="43"/>
      <c r="U1977" s="43" t="str">
        <f t="shared" si="8"/>
        <v>No</v>
      </c>
      <c r="V1977" s="25"/>
      <c r="W1977" s="25"/>
      <c r="X1977" s="25"/>
      <c r="Y1977" s="25"/>
      <c r="Z1977" s="25"/>
    </row>
    <row r="1978" spans="1:26" ht="15.75" customHeight="1" x14ac:dyDescent="0.25">
      <c r="A1978" s="25">
        <v>1976</v>
      </c>
      <c r="B1978" s="37" t="e">
        <f t="shared" ref="B1978:D1978" si="3981">VLOOKUP($A1978,[6]Gobierno!$A$1:$O$234,B$1,0)</f>
        <v>#N/A</v>
      </c>
      <c r="C1978" s="38" t="e">
        <f t="shared" si="3981"/>
        <v>#N/A</v>
      </c>
      <c r="D1978" s="39" t="e">
        <f t="shared" si="3981"/>
        <v>#N/A</v>
      </c>
      <c r="E1978" s="16" t="e">
        <f t="shared" si="1"/>
        <v>#N/A</v>
      </c>
      <c r="F1978" s="16" t="e">
        <f t="shared" ref="F1978:K1978" si="3982">VLOOKUP($A1978,[6]Gobierno!$A$1:$O$234,F$1,0)</f>
        <v>#N/A</v>
      </c>
      <c r="G1978" s="39" t="e">
        <f t="shared" si="3982"/>
        <v>#N/A</v>
      </c>
      <c r="H1978" s="16" t="e">
        <f t="shared" si="3982"/>
        <v>#N/A</v>
      </c>
      <c r="I1978" s="16" t="e">
        <f t="shared" si="3982"/>
        <v>#N/A</v>
      </c>
      <c r="J1978" s="40" t="e">
        <f t="shared" si="3982"/>
        <v>#N/A</v>
      </c>
      <c r="K1978" s="16" t="e">
        <f t="shared" si="3982"/>
        <v>#N/A</v>
      </c>
      <c r="L1978" s="40" t="e">
        <f t="shared" si="3629"/>
        <v>#N/A</v>
      </c>
      <c r="M1978" s="16" t="e">
        <f t="shared" si="3630"/>
        <v>#N/A</v>
      </c>
      <c r="N1978" s="16" t="e">
        <f t="shared" si="3631"/>
        <v>#N/A</v>
      </c>
      <c r="O1978" s="16" t="s">
        <v>70</v>
      </c>
      <c r="P1978" s="16" t="str">
        <f t="shared" si="6"/>
        <v/>
      </c>
      <c r="Q1978" s="41" t="e">
        <f t="shared" si="3632"/>
        <v>#N/A</v>
      </c>
      <c r="R1978" s="44"/>
      <c r="S1978" s="44"/>
      <c r="T1978" s="43"/>
      <c r="U1978" s="43" t="str">
        <f t="shared" si="8"/>
        <v>No</v>
      </c>
      <c r="V1978" s="25"/>
      <c r="W1978" s="25"/>
      <c r="X1978" s="25"/>
      <c r="Y1978" s="25"/>
      <c r="Z1978" s="25"/>
    </row>
    <row r="1979" spans="1:26" ht="15.75" customHeight="1" x14ac:dyDescent="0.25">
      <c r="A1979" s="25">
        <v>1977</v>
      </c>
      <c r="B1979" s="37" t="e">
        <f t="shared" ref="B1979:D1979" si="3983">VLOOKUP($A1979,[6]Gobierno!$A$1:$O$234,B$1,0)</f>
        <v>#N/A</v>
      </c>
      <c r="C1979" s="38" t="e">
        <f t="shared" si="3983"/>
        <v>#N/A</v>
      </c>
      <c r="D1979" s="39" t="e">
        <f t="shared" si="3983"/>
        <v>#N/A</v>
      </c>
      <c r="E1979" s="16" t="e">
        <f t="shared" si="1"/>
        <v>#N/A</v>
      </c>
      <c r="F1979" s="16" t="e">
        <f t="shared" ref="F1979:K1979" si="3984">VLOOKUP($A1979,[6]Gobierno!$A$1:$O$234,F$1,0)</f>
        <v>#N/A</v>
      </c>
      <c r="G1979" s="39" t="e">
        <f t="shared" si="3984"/>
        <v>#N/A</v>
      </c>
      <c r="H1979" s="16" t="e">
        <f t="shared" si="3984"/>
        <v>#N/A</v>
      </c>
      <c r="I1979" s="16" t="e">
        <f t="shared" si="3984"/>
        <v>#N/A</v>
      </c>
      <c r="J1979" s="40" t="e">
        <f t="shared" si="3984"/>
        <v>#N/A</v>
      </c>
      <c r="K1979" s="16" t="e">
        <f t="shared" si="3984"/>
        <v>#N/A</v>
      </c>
      <c r="L1979" s="40" t="e">
        <f t="shared" si="3629"/>
        <v>#N/A</v>
      </c>
      <c r="M1979" s="16" t="e">
        <f t="shared" si="3630"/>
        <v>#N/A</v>
      </c>
      <c r="N1979" s="16" t="e">
        <f t="shared" si="3631"/>
        <v>#N/A</v>
      </c>
      <c r="O1979" s="16" t="s">
        <v>70</v>
      </c>
      <c r="P1979" s="16" t="str">
        <f t="shared" si="6"/>
        <v/>
      </c>
      <c r="Q1979" s="41" t="e">
        <f t="shared" si="3632"/>
        <v>#N/A</v>
      </c>
      <c r="R1979" s="44"/>
      <c r="S1979" s="44"/>
      <c r="T1979" s="43"/>
      <c r="U1979" s="43" t="str">
        <f t="shared" si="8"/>
        <v>No</v>
      </c>
      <c r="V1979" s="25"/>
      <c r="W1979" s="25"/>
      <c r="X1979" s="25"/>
      <c r="Y1979" s="25"/>
      <c r="Z1979" s="25"/>
    </row>
    <row r="1980" spans="1:26" ht="15.75" customHeight="1" x14ac:dyDescent="0.25">
      <c r="A1980" s="25">
        <v>1978</v>
      </c>
      <c r="B1980" s="37" t="e">
        <f t="shared" ref="B1980:D1980" si="3985">VLOOKUP($A1980,[6]Gobierno!$A$1:$O$234,B$1,0)</f>
        <v>#N/A</v>
      </c>
      <c r="C1980" s="38" t="e">
        <f t="shared" si="3985"/>
        <v>#N/A</v>
      </c>
      <c r="D1980" s="39" t="e">
        <f t="shared" si="3985"/>
        <v>#N/A</v>
      </c>
      <c r="E1980" s="16" t="e">
        <f t="shared" si="1"/>
        <v>#N/A</v>
      </c>
      <c r="F1980" s="16" t="e">
        <f t="shared" ref="F1980:K1980" si="3986">VLOOKUP($A1980,[6]Gobierno!$A$1:$O$234,F$1,0)</f>
        <v>#N/A</v>
      </c>
      <c r="G1980" s="39" t="e">
        <f t="shared" si="3986"/>
        <v>#N/A</v>
      </c>
      <c r="H1980" s="16" t="e">
        <f t="shared" si="3986"/>
        <v>#N/A</v>
      </c>
      <c r="I1980" s="16" t="e">
        <f t="shared" si="3986"/>
        <v>#N/A</v>
      </c>
      <c r="J1980" s="40" t="e">
        <f t="shared" si="3986"/>
        <v>#N/A</v>
      </c>
      <c r="K1980" s="16" t="e">
        <f t="shared" si="3986"/>
        <v>#N/A</v>
      </c>
      <c r="L1980" s="40" t="e">
        <f t="shared" si="3629"/>
        <v>#N/A</v>
      </c>
      <c r="M1980" s="16" t="e">
        <f t="shared" si="3630"/>
        <v>#N/A</v>
      </c>
      <c r="N1980" s="16" t="e">
        <f t="shared" si="3631"/>
        <v>#N/A</v>
      </c>
      <c r="O1980" s="16" t="s">
        <v>70</v>
      </c>
      <c r="P1980" s="16" t="str">
        <f t="shared" si="6"/>
        <v/>
      </c>
      <c r="Q1980" s="41" t="e">
        <f t="shared" si="3632"/>
        <v>#N/A</v>
      </c>
      <c r="R1980" s="44"/>
      <c r="S1980" s="44"/>
      <c r="T1980" s="43"/>
      <c r="U1980" s="43" t="str">
        <f t="shared" si="8"/>
        <v>No</v>
      </c>
      <c r="V1980" s="25"/>
      <c r="W1980" s="25"/>
      <c r="X1980" s="25"/>
      <c r="Y1980" s="25"/>
      <c r="Z1980" s="25"/>
    </row>
    <row r="1981" spans="1:26" ht="15.75" customHeight="1" x14ac:dyDescent="0.25">
      <c r="A1981" s="25">
        <v>1979</v>
      </c>
      <c r="B1981" s="37" t="e">
        <f t="shared" ref="B1981:D1981" si="3987">VLOOKUP($A1981,[6]Gobierno!$A$1:$O$234,B$1,0)</f>
        <v>#N/A</v>
      </c>
      <c r="C1981" s="38" t="e">
        <f t="shared" si="3987"/>
        <v>#N/A</v>
      </c>
      <c r="D1981" s="39" t="e">
        <f t="shared" si="3987"/>
        <v>#N/A</v>
      </c>
      <c r="E1981" s="16" t="e">
        <f t="shared" si="1"/>
        <v>#N/A</v>
      </c>
      <c r="F1981" s="16" t="e">
        <f t="shared" ref="F1981:K1981" si="3988">VLOOKUP($A1981,[6]Gobierno!$A$1:$O$234,F$1,0)</f>
        <v>#N/A</v>
      </c>
      <c r="G1981" s="39" t="e">
        <f t="shared" si="3988"/>
        <v>#N/A</v>
      </c>
      <c r="H1981" s="16" t="e">
        <f t="shared" si="3988"/>
        <v>#N/A</v>
      </c>
      <c r="I1981" s="16" t="e">
        <f t="shared" si="3988"/>
        <v>#N/A</v>
      </c>
      <c r="J1981" s="40" t="e">
        <f t="shared" si="3988"/>
        <v>#N/A</v>
      </c>
      <c r="K1981" s="16" t="e">
        <f t="shared" si="3988"/>
        <v>#N/A</v>
      </c>
      <c r="L1981" s="40" t="e">
        <f t="shared" si="3629"/>
        <v>#N/A</v>
      </c>
      <c r="M1981" s="16" t="e">
        <f t="shared" si="3630"/>
        <v>#N/A</v>
      </c>
      <c r="N1981" s="16" t="e">
        <f t="shared" si="3631"/>
        <v>#N/A</v>
      </c>
      <c r="O1981" s="16" t="s">
        <v>70</v>
      </c>
      <c r="P1981" s="16" t="str">
        <f t="shared" si="6"/>
        <v/>
      </c>
      <c r="Q1981" s="41" t="e">
        <f t="shared" si="3632"/>
        <v>#N/A</v>
      </c>
      <c r="R1981" s="44"/>
      <c r="S1981" s="44"/>
      <c r="T1981" s="43"/>
      <c r="U1981" s="43" t="str">
        <f t="shared" si="8"/>
        <v>No</v>
      </c>
      <c r="V1981" s="25"/>
      <c r="W1981" s="25"/>
      <c r="X1981" s="25"/>
      <c r="Y1981" s="25"/>
      <c r="Z1981" s="25"/>
    </row>
    <row r="1982" spans="1:26" ht="15.75" customHeight="1" x14ac:dyDescent="0.25">
      <c r="A1982" s="25">
        <v>1980</v>
      </c>
      <c r="B1982" s="37" t="e">
        <f t="shared" ref="B1982:D1982" si="3989">VLOOKUP($A1982,[6]Gobierno!$A$1:$O$234,B$1,0)</f>
        <v>#N/A</v>
      </c>
      <c r="C1982" s="38" t="e">
        <f t="shared" si="3989"/>
        <v>#N/A</v>
      </c>
      <c r="D1982" s="39" t="e">
        <f t="shared" si="3989"/>
        <v>#N/A</v>
      </c>
      <c r="E1982" s="16" t="e">
        <f t="shared" si="1"/>
        <v>#N/A</v>
      </c>
      <c r="F1982" s="16" t="e">
        <f t="shared" ref="F1982:K1982" si="3990">VLOOKUP($A1982,[6]Gobierno!$A$1:$O$234,F$1,0)</f>
        <v>#N/A</v>
      </c>
      <c r="G1982" s="39" t="e">
        <f t="shared" si="3990"/>
        <v>#N/A</v>
      </c>
      <c r="H1982" s="16" t="e">
        <f t="shared" si="3990"/>
        <v>#N/A</v>
      </c>
      <c r="I1982" s="16" t="e">
        <f t="shared" si="3990"/>
        <v>#N/A</v>
      </c>
      <c r="J1982" s="40" t="e">
        <f t="shared" si="3990"/>
        <v>#N/A</v>
      </c>
      <c r="K1982" s="16" t="e">
        <f t="shared" si="3990"/>
        <v>#N/A</v>
      </c>
      <c r="L1982" s="40" t="e">
        <f t="shared" si="3629"/>
        <v>#N/A</v>
      </c>
      <c r="M1982" s="16" t="e">
        <f t="shared" si="3630"/>
        <v>#N/A</v>
      </c>
      <c r="N1982" s="16" t="e">
        <f t="shared" si="3631"/>
        <v>#N/A</v>
      </c>
      <c r="O1982" s="16" t="s">
        <v>70</v>
      </c>
      <c r="P1982" s="16" t="str">
        <f t="shared" si="6"/>
        <v/>
      </c>
      <c r="Q1982" s="41" t="e">
        <f t="shared" si="3632"/>
        <v>#N/A</v>
      </c>
      <c r="R1982" s="44"/>
      <c r="S1982" s="44"/>
      <c r="T1982" s="43"/>
      <c r="U1982" s="43" t="str">
        <f t="shared" si="8"/>
        <v>No</v>
      </c>
      <c r="V1982" s="25"/>
      <c r="W1982" s="25"/>
      <c r="X1982" s="25"/>
      <c r="Y1982" s="25"/>
      <c r="Z1982" s="25"/>
    </row>
    <row r="1983" spans="1:26" ht="15.75" customHeight="1" x14ac:dyDescent="0.25">
      <c r="A1983" s="25">
        <v>1981</v>
      </c>
      <c r="B1983" s="37" t="e">
        <f t="shared" ref="B1983:D1983" si="3991">VLOOKUP($A1983,[6]Gobierno!$A$1:$O$234,B$1,0)</f>
        <v>#N/A</v>
      </c>
      <c r="C1983" s="38" t="e">
        <f t="shared" si="3991"/>
        <v>#N/A</v>
      </c>
      <c r="D1983" s="39" t="e">
        <f t="shared" si="3991"/>
        <v>#N/A</v>
      </c>
      <c r="E1983" s="16" t="e">
        <f t="shared" si="1"/>
        <v>#N/A</v>
      </c>
      <c r="F1983" s="16" t="e">
        <f t="shared" ref="F1983:K1983" si="3992">VLOOKUP($A1983,[6]Gobierno!$A$1:$O$234,F$1,0)</f>
        <v>#N/A</v>
      </c>
      <c r="G1983" s="39" t="e">
        <f t="shared" si="3992"/>
        <v>#N/A</v>
      </c>
      <c r="H1983" s="16" t="e">
        <f t="shared" si="3992"/>
        <v>#N/A</v>
      </c>
      <c r="I1983" s="16" t="e">
        <f t="shared" si="3992"/>
        <v>#N/A</v>
      </c>
      <c r="J1983" s="40" t="e">
        <f t="shared" si="3992"/>
        <v>#N/A</v>
      </c>
      <c r="K1983" s="16" t="e">
        <f t="shared" si="3992"/>
        <v>#N/A</v>
      </c>
      <c r="L1983" s="40" t="e">
        <f t="shared" si="3629"/>
        <v>#N/A</v>
      </c>
      <c r="M1983" s="16" t="e">
        <f t="shared" si="3630"/>
        <v>#N/A</v>
      </c>
      <c r="N1983" s="16" t="e">
        <f t="shared" si="3631"/>
        <v>#N/A</v>
      </c>
      <c r="O1983" s="16" t="s">
        <v>70</v>
      </c>
      <c r="P1983" s="16" t="str">
        <f t="shared" si="6"/>
        <v/>
      </c>
      <c r="Q1983" s="41" t="e">
        <f t="shared" si="3632"/>
        <v>#N/A</v>
      </c>
      <c r="R1983" s="44"/>
      <c r="S1983" s="44"/>
      <c r="T1983" s="43"/>
      <c r="U1983" s="43" t="str">
        <f t="shared" si="8"/>
        <v>No</v>
      </c>
      <c r="V1983" s="25"/>
      <c r="W1983" s="25"/>
      <c r="X1983" s="25"/>
      <c r="Y1983" s="25"/>
      <c r="Z1983" s="25"/>
    </row>
    <row r="1984" spans="1:26" ht="15.75" customHeight="1" x14ac:dyDescent="0.25">
      <c r="A1984" s="25">
        <v>1982</v>
      </c>
      <c r="B1984" s="37" t="e">
        <f t="shared" ref="B1984:D1984" si="3993">VLOOKUP($A1984,[6]Gobierno!$A$1:$O$234,B$1,0)</f>
        <v>#N/A</v>
      </c>
      <c r="C1984" s="38" t="e">
        <f t="shared" si="3993"/>
        <v>#N/A</v>
      </c>
      <c r="D1984" s="39" t="e">
        <f t="shared" si="3993"/>
        <v>#N/A</v>
      </c>
      <c r="E1984" s="16" t="e">
        <f t="shared" si="1"/>
        <v>#N/A</v>
      </c>
      <c r="F1984" s="16" t="e">
        <f t="shared" ref="F1984:K1984" si="3994">VLOOKUP($A1984,[6]Gobierno!$A$1:$O$234,F$1,0)</f>
        <v>#N/A</v>
      </c>
      <c r="G1984" s="39" t="e">
        <f t="shared" si="3994"/>
        <v>#N/A</v>
      </c>
      <c r="H1984" s="16" t="e">
        <f t="shared" si="3994"/>
        <v>#N/A</v>
      </c>
      <c r="I1984" s="16" t="e">
        <f t="shared" si="3994"/>
        <v>#N/A</v>
      </c>
      <c r="J1984" s="40" t="e">
        <f t="shared" si="3994"/>
        <v>#N/A</v>
      </c>
      <c r="K1984" s="16" t="e">
        <f t="shared" si="3994"/>
        <v>#N/A</v>
      </c>
      <c r="L1984" s="40" t="e">
        <f t="shared" si="3629"/>
        <v>#N/A</v>
      </c>
      <c r="M1984" s="16" t="e">
        <f t="shared" si="3630"/>
        <v>#N/A</v>
      </c>
      <c r="N1984" s="16" t="e">
        <f t="shared" si="3631"/>
        <v>#N/A</v>
      </c>
      <c r="O1984" s="16" t="s">
        <v>70</v>
      </c>
      <c r="P1984" s="16" t="str">
        <f t="shared" si="6"/>
        <v/>
      </c>
      <c r="Q1984" s="41" t="e">
        <f t="shared" si="3632"/>
        <v>#N/A</v>
      </c>
      <c r="R1984" s="44"/>
      <c r="S1984" s="44"/>
      <c r="T1984" s="43"/>
      <c r="U1984" s="43" t="str">
        <f t="shared" si="8"/>
        <v>No</v>
      </c>
      <c r="V1984" s="25"/>
      <c r="W1984" s="25"/>
      <c r="X1984" s="25"/>
      <c r="Y1984" s="25"/>
      <c r="Z1984" s="25"/>
    </row>
    <row r="1985" spans="1:26" ht="15.75" customHeight="1" x14ac:dyDescent="0.25">
      <c r="A1985" s="25">
        <v>1983</v>
      </c>
      <c r="B1985" s="37" t="e">
        <f t="shared" ref="B1985:D1985" si="3995">VLOOKUP($A1985,[6]Gobierno!$A$1:$O$234,B$1,0)</f>
        <v>#N/A</v>
      </c>
      <c r="C1985" s="38" t="e">
        <f t="shared" si="3995"/>
        <v>#N/A</v>
      </c>
      <c r="D1985" s="39" t="e">
        <f t="shared" si="3995"/>
        <v>#N/A</v>
      </c>
      <c r="E1985" s="16" t="e">
        <f t="shared" si="1"/>
        <v>#N/A</v>
      </c>
      <c r="F1985" s="16" t="e">
        <f t="shared" ref="F1985:K1985" si="3996">VLOOKUP($A1985,[6]Gobierno!$A$1:$O$234,F$1,0)</f>
        <v>#N/A</v>
      </c>
      <c r="G1985" s="39" t="e">
        <f t="shared" si="3996"/>
        <v>#N/A</v>
      </c>
      <c r="H1985" s="16" t="e">
        <f t="shared" si="3996"/>
        <v>#N/A</v>
      </c>
      <c r="I1985" s="16" t="e">
        <f t="shared" si="3996"/>
        <v>#N/A</v>
      </c>
      <c r="J1985" s="40" t="e">
        <f t="shared" si="3996"/>
        <v>#N/A</v>
      </c>
      <c r="K1985" s="16" t="e">
        <f t="shared" si="3996"/>
        <v>#N/A</v>
      </c>
      <c r="L1985" s="40" t="e">
        <f t="shared" si="3629"/>
        <v>#N/A</v>
      </c>
      <c r="M1985" s="16" t="e">
        <f t="shared" si="3630"/>
        <v>#N/A</v>
      </c>
      <c r="N1985" s="16" t="e">
        <f t="shared" si="3631"/>
        <v>#N/A</v>
      </c>
      <c r="O1985" s="16" t="s">
        <v>70</v>
      </c>
      <c r="P1985" s="16" t="str">
        <f t="shared" si="6"/>
        <v/>
      </c>
      <c r="Q1985" s="41" t="e">
        <f t="shared" si="3632"/>
        <v>#N/A</v>
      </c>
      <c r="R1985" s="44"/>
      <c r="S1985" s="44"/>
      <c r="T1985" s="43"/>
      <c r="U1985" s="43" t="str">
        <f t="shared" si="8"/>
        <v>No</v>
      </c>
      <c r="V1985" s="25"/>
      <c r="W1985" s="25"/>
      <c r="X1985" s="25"/>
      <c r="Y1985" s="25"/>
      <c r="Z1985" s="25"/>
    </row>
    <row r="1986" spans="1:26" ht="15.75" customHeight="1" x14ac:dyDescent="0.25">
      <c r="A1986" s="25">
        <v>1984</v>
      </c>
      <c r="B1986" s="37" t="e">
        <f t="shared" ref="B1986:D1986" si="3997">VLOOKUP($A1986,[6]Gobierno!$A$1:$O$234,B$1,0)</f>
        <v>#N/A</v>
      </c>
      <c r="C1986" s="38" t="e">
        <f t="shared" si="3997"/>
        <v>#N/A</v>
      </c>
      <c r="D1986" s="39" t="e">
        <f t="shared" si="3997"/>
        <v>#N/A</v>
      </c>
      <c r="E1986" s="16" t="e">
        <f t="shared" si="1"/>
        <v>#N/A</v>
      </c>
      <c r="F1986" s="16" t="e">
        <f t="shared" ref="F1986:K1986" si="3998">VLOOKUP($A1986,[6]Gobierno!$A$1:$O$234,F$1,0)</f>
        <v>#N/A</v>
      </c>
      <c r="G1986" s="39" t="e">
        <f t="shared" si="3998"/>
        <v>#N/A</v>
      </c>
      <c r="H1986" s="16" t="e">
        <f t="shared" si="3998"/>
        <v>#N/A</v>
      </c>
      <c r="I1986" s="16" t="e">
        <f t="shared" si="3998"/>
        <v>#N/A</v>
      </c>
      <c r="J1986" s="40" t="e">
        <f t="shared" si="3998"/>
        <v>#N/A</v>
      </c>
      <c r="K1986" s="16" t="e">
        <f t="shared" si="3998"/>
        <v>#N/A</v>
      </c>
      <c r="L1986" s="40" t="e">
        <f t="shared" si="3629"/>
        <v>#N/A</v>
      </c>
      <c r="M1986" s="16" t="e">
        <f t="shared" si="3630"/>
        <v>#N/A</v>
      </c>
      <c r="N1986" s="16" t="e">
        <f t="shared" si="3631"/>
        <v>#N/A</v>
      </c>
      <c r="O1986" s="16" t="s">
        <v>70</v>
      </c>
      <c r="P1986" s="16" t="str">
        <f t="shared" si="6"/>
        <v/>
      </c>
      <c r="Q1986" s="41" t="e">
        <f t="shared" si="3632"/>
        <v>#N/A</v>
      </c>
      <c r="R1986" s="44"/>
      <c r="S1986" s="44"/>
      <c r="T1986" s="43"/>
      <c r="U1986" s="43" t="str">
        <f t="shared" si="8"/>
        <v>No</v>
      </c>
      <c r="V1986" s="25"/>
      <c r="W1986" s="25"/>
      <c r="X1986" s="25"/>
      <c r="Y1986" s="25"/>
      <c r="Z1986" s="25"/>
    </row>
    <row r="1987" spans="1:26" ht="15.75" customHeight="1" x14ac:dyDescent="0.25">
      <c r="A1987" s="25">
        <v>1985</v>
      </c>
      <c r="B1987" s="37" t="e">
        <f t="shared" ref="B1987:D1987" si="3999">VLOOKUP($A1987,[6]Gobierno!$A$1:$O$234,B$1,0)</f>
        <v>#N/A</v>
      </c>
      <c r="C1987" s="38" t="e">
        <f t="shared" si="3999"/>
        <v>#N/A</v>
      </c>
      <c r="D1987" s="39" t="e">
        <f t="shared" si="3999"/>
        <v>#N/A</v>
      </c>
      <c r="E1987" s="16" t="e">
        <f t="shared" si="1"/>
        <v>#N/A</v>
      </c>
      <c r="F1987" s="16" t="e">
        <f t="shared" ref="F1987:K1987" si="4000">VLOOKUP($A1987,[6]Gobierno!$A$1:$O$234,F$1,0)</f>
        <v>#N/A</v>
      </c>
      <c r="G1987" s="39" t="e">
        <f t="shared" si="4000"/>
        <v>#N/A</v>
      </c>
      <c r="H1987" s="16" t="e">
        <f t="shared" si="4000"/>
        <v>#N/A</v>
      </c>
      <c r="I1987" s="16" t="e">
        <f t="shared" si="4000"/>
        <v>#N/A</v>
      </c>
      <c r="J1987" s="40" t="e">
        <f t="shared" si="4000"/>
        <v>#N/A</v>
      </c>
      <c r="K1987" s="16" t="e">
        <f t="shared" si="4000"/>
        <v>#N/A</v>
      </c>
      <c r="L1987" s="40" t="e">
        <f t="shared" si="3629"/>
        <v>#N/A</v>
      </c>
      <c r="M1987" s="16" t="e">
        <f t="shared" si="3630"/>
        <v>#N/A</v>
      </c>
      <c r="N1987" s="16" t="e">
        <f t="shared" si="3631"/>
        <v>#N/A</v>
      </c>
      <c r="O1987" s="16" t="s">
        <v>70</v>
      </c>
      <c r="P1987" s="16" t="str">
        <f t="shared" si="6"/>
        <v/>
      </c>
      <c r="Q1987" s="41" t="e">
        <f t="shared" si="3632"/>
        <v>#N/A</v>
      </c>
      <c r="R1987" s="44"/>
      <c r="S1987" s="44"/>
      <c r="T1987" s="43"/>
      <c r="U1987" s="43" t="str">
        <f t="shared" si="8"/>
        <v>No</v>
      </c>
      <c r="V1987" s="25"/>
      <c r="W1987" s="25"/>
      <c r="X1987" s="25"/>
      <c r="Y1987" s="25"/>
      <c r="Z1987" s="25"/>
    </row>
    <row r="1988" spans="1:26" ht="15.75" customHeight="1" x14ac:dyDescent="0.25">
      <c r="A1988" s="25">
        <v>1986</v>
      </c>
      <c r="B1988" s="37" t="e">
        <f t="shared" ref="B1988:D1988" si="4001">VLOOKUP($A1988,[6]Gobierno!$A$1:$O$234,B$1,0)</f>
        <v>#N/A</v>
      </c>
      <c r="C1988" s="38" t="e">
        <f t="shared" si="4001"/>
        <v>#N/A</v>
      </c>
      <c r="D1988" s="39" t="e">
        <f t="shared" si="4001"/>
        <v>#N/A</v>
      </c>
      <c r="E1988" s="16" t="e">
        <f t="shared" si="1"/>
        <v>#N/A</v>
      </c>
      <c r="F1988" s="16" t="e">
        <f t="shared" ref="F1988:K1988" si="4002">VLOOKUP($A1988,[6]Gobierno!$A$1:$O$234,F$1,0)</f>
        <v>#N/A</v>
      </c>
      <c r="G1988" s="39" t="e">
        <f t="shared" si="4002"/>
        <v>#N/A</v>
      </c>
      <c r="H1988" s="16" t="e">
        <f t="shared" si="4002"/>
        <v>#N/A</v>
      </c>
      <c r="I1988" s="16" t="e">
        <f t="shared" si="4002"/>
        <v>#N/A</v>
      </c>
      <c r="J1988" s="40" t="e">
        <f t="shared" si="4002"/>
        <v>#N/A</v>
      </c>
      <c r="K1988" s="16" t="e">
        <f t="shared" si="4002"/>
        <v>#N/A</v>
      </c>
      <c r="L1988" s="40" t="e">
        <f t="shared" si="3629"/>
        <v>#N/A</v>
      </c>
      <c r="M1988" s="16" t="e">
        <f t="shared" si="3630"/>
        <v>#N/A</v>
      </c>
      <c r="N1988" s="16" t="e">
        <f t="shared" si="3631"/>
        <v>#N/A</v>
      </c>
      <c r="O1988" s="16" t="s">
        <v>70</v>
      </c>
      <c r="P1988" s="16" t="str">
        <f t="shared" si="6"/>
        <v/>
      </c>
      <c r="Q1988" s="41" t="e">
        <f t="shared" si="3632"/>
        <v>#N/A</v>
      </c>
      <c r="R1988" s="44"/>
      <c r="S1988" s="44"/>
      <c r="T1988" s="43"/>
      <c r="U1988" s="43" t="str">
        <f t="shared" si="8"/>
        <v>No</v>
      </c>
      <c r="V1988" s="25"/>
      <c r="W1988" s="25"/>
      <c r="X1988" s="25"/>
      <c r="Y1988" s="25"/>
      <c r="Z1988" s="25"/>
    </row>
    <row r="1989" spans="1:26" ht="15.75" customHeight="1" x14ac:dyDescent="0.25">
      <c r="A1989" s="25">
        <v>1987</v>
      </c>
      <c r="B1989" s="37" t="e">
        <f t="shared" ref="B1989:D1989" si="4003">VLOOKUP($A1989,[6]Gobierno!$A$1:$O$234,B$1,0)</f>
        <v>#N/A</v>
      </c>
      <c r="C1989" s="38" t="e">
        <f t="shared" si="4003"/>
        <v>#N/A</v>
      </c>
      <c r="D1989" s="39" t="e">
        <f t="shared" si="4003"/>
        <v>#N/A</v>
      </c>
      <c r="E1989" s="16" t="e">
        <f t="shared" si="1"/>
        <v>#N/A</v>
      </c>
      <c r="F1989" s="16" t="e">
        <f t="shared" ref="F1989:K1989" si="4004">VLOOKUP($A1989,[6]Gobierno!$A$1:$O$234,F$1,0)</f>
        <v>#N/A</v>
      </c>
      <c r="G1989" s="39" t="e">
        <f t="shared" si="4004"/>
        <v>#N/A</v>
      </c>
      <c r="H1989" s="16" t="e">
        <f t="shared" si="4004"/>
        <v>#N/A</v>
      </c>
      <c r="I1989" s="16" t="e">
        <f t="shared" si="4004"/>
        <v>#N/A</v>
      </c>
      <c r="J1989" s="40" t="e">
        <f t="shared" si="4004"/>
        <v>#N/A</v>
      </c>
      <c r="K1989" s="16" t="e">
        <f t="shared" si="4004"/>
        <v>#N/A</v>
      </c>
      <c r="L1989" s="40" t="e">
        <f t="shared" si="3629"/>
        <v>#N/A</v>
      </c>
      <c r="M1989" s="16" t="e">
        <f t="shared" si="3630"/>
        <v>#N/A</v>
      </c>
      <c r="N1989" s="16" t="e">
        <f t="shared" si="3631"/>
        <v>#N/A</v>
      </c>
      <c r="O1989" s="16" t="s">
        <v>70</v>
      </c>
      <c r="P1989" s="16" t="str">
        <f t="shared" si="6"/>
        <v/>
      </c>
      <c r="Q1989" s="41" t="e">
        <f t="shared" si="3632"/>
        <v>#N/A</v>
      </c>
      <c r="R1989" s="44"/>
      <c r="S1989" s="44"/>
      <c r="T1989" s="43"/>
      <c r="U1989" s="43" t="str">
        <f t="shared" si="8"/>
        <v>No</v>
      </c>
      <c r="V1989" s="25"/>
      <c r="W1989" s="25"/>
      <c r="X1989" s="25"/>
      <c r="Y1989" s="25"/>
      <c r="Z1989" s="25"/>
    </row>
    <row r="1990" spans="1:26" ht="15.75" customHeight="1" x14ac:dyDescent="0.25">
      <c r="A1990" s="25">
        <v>1988</v>
      </c>
      <c r="B1990" s="37" t="e">
        <f t="shared" ref="B1990:D1990" si="4005">VLOOKUP($A1990,[6]Gobierno!$A$1:$O$234,B$1,0)</f>
        <v>#N/A</v>
      </c>
      <c r="C1990" s="38" t="e">
        <f t="shared" si="4005"/>
        <v>#N/A</v>
      </c>
      <c r="D1990" s="39" t="e">
        <f t="shared" si="4005"/>
        <v>#N/A</v>
      </c>
      <c r="E1990" s="16" t="e">
        <f t="shared" si="1"/>
        <v>#N/A</v>
      </c>
      <c r="F1990" s="16" t="e">
        <f t="shared" ref="F1990:K1990" si="4006">VLOOKUP($A1990,[6]Gobierno!$A$1:$O$234,F$1,0)</f>
        <v>#N/A</v>
      </c>
      <c r="G1990" s="39" t="e">
        <f t="shared" si="4006"/>
        <v>#N/A</v>
      </c>
      <c r="H1990" s="16" t="e">
        <f t="shared" si="4006"/>
        <v>#N/A</v>
      </c>
      <c r="I1990" s="16" t="e">
        <f t="shared" si="4006"/>
        <v>#N/A</v>
      </c>
      <c r="J1990" s="40" t="e">
        <f t="shared" si="4006"/>
        <v>#N/A</v>
      </c>
      <c r="K1990" s="16" t="e">
        <f t="shared" si="4006"/>
        <v>#N/A</v>
      </c>
      <c r="L1990" s="40" t="e">
        <f t="shared" si="3629"/>
        <v>#N/A</v>
      </c>
      <c r="M1990" s="16" t="e">
        <f t="shared" si="3630"/>
        <v>#N/A</v>
      </c>
      <c r="N1990" s="16" t="e">
        <f t="shared" si="3631"/>
        <v>#N/A</v>
      </c>
      <c r="O1990" s="16" t="s">
        <v>70</v>
      </c>
      <c r="P1990" s="16" t="str">
        <f t="shared" si="6"/>
        <v/>
      </c>
      <c r="Q1990" s="41" t="e">
        <f t="shared" si="3632"/>
        <v>#N/A</v>
      </c>
      <c r="R1990" s="44"/>
      <c r="S1990" s="44"/>
      <c r="T1990" s="43"/>
      <c r="U1990" s="43" t="str">
        <f t="shared" si="8"/>
        <v>No</v>
      </c>
      <c r="V1990" s="25"/>
      <c r="W1990" s="25"/>
      <c r="X1990" s="25"/>
      <c r="Y1990" s="25"/>
      <c r="Z1990" s="25"/>
    </row>
    <row r="1991" spans="1:26" ht="15.75" customHeight="1" x14ac:dyDescent="0.25">
      <c r="A1991" s="25">
        <v>1989</v>
      </c>
      <c r="B1991" s="37" t="e">
        <f t="shared" ref="B1991:D1991" si="4007">VLOOKUP($A1991,[6]Gobierno!$A$1:$O$234,B$1,0)</f>
        <v>#N/A</v>
      </c>
      <c r="C1991" s="38" t="e">
        <f t="shared" si="4007"/>
        <v>#N/A</v>
      </c>
      <c r="D1991" s="39" t="e">
        <f t="shared" si="4007"/>
        <v>#N/A</v>
      </c>
      <c r="E1991" s="16" t="e">
        <f t="shared" si="1"/>
        <v>#N/A</v>
      </c>
      <c r="F1991" s="16" t="e">
        <f t="shared" ref="F1991:K1991" si="4008">VLOOKUP($A1991,[6]Gobierno!$A$1:$O$234,F$1,0)</f>
        <v>#N/A</v>
      </c>
      <c r="G1991" s="39" t="e">
        <f t="shared" si="4008"/>
        <v>#N/A</v>
      </c>
      <c r="H1991" s="16" t="e">
        <f t="shared" si="4008"/>
        <v>#N/A</v>
      </c>
      <c r="I1991" s="16" t="e">
        <f t="shared" si="4008"/>
        <v>#N/A</v>
      </c>
      <c r="J1991" s="40" t="e">
        <f t="shared" si="4008"/>
        <v>#N/A</v>
      </c>
      <c r="K1991" s="16" t="e">
        <f t="shared" si="4008"/>
        <v>#N/A</v>
      </c>
      <c r="L1991" s="40" t="e">
        <f t="shared" si="3629"/>
        <v>#N/A</v>
      </c>
      <c r="M1991" s="16" t="e">
        <f t="shared" si="3630"/>
        <v>#N/A</v>
      </c>
      <c r="N1991" s="16" t="e">
        <f t="shared" si="3631"/>
        <v>#N/A</v>
      </c>
      <c r="O1991" s="16" t="s">
        <v>70</v>
      </c>
      <c r="P1991" s="16" t="str">
        <f t="shared" si="6"/>
        <v/>
      </c>
      <c r="Q1991" s="41" t="e">
        <f t="shared" si="3632"/>
        <v>#N/A</v>
      </c>
      <c r="R1991" s="44"/>
      <c r="S1991" s="44"/>
      <c r="T1991" s="43"/>
      <c r="U1991" s="43" t="str">
        <f t="shared" si="8"/>
        <v>No</v>
      </c>
      <c r="V1991" s="25"/>
      <c r="W1991" s="25"/>
      <c r="X1991" s="25"/>
      <c r="Y1991" s="25"/>
      <c r="Z1991" s="25"/>
    </row>
    <row r="1992" spans="1:26" ht="15.75" customHeight="1" x14ac:dyDescent="0.25">
      <c r="A1992" s="25">
        <v>1990</v>
      </c>
      <c r="B1992" s="37" t="e">
        <f t="shared" ref="B1992:D1992" si="4009">VLOOKUP($A1992,[6]Gobierno!$A$1:$O$234,B$1,0)</f>
        <v>#N/A</v>
      </c>
      <c r="C1992" s="38" t="e">
        <f t="shared" si="4009"/>
        <v>#N/A</v>
      </c>
      <c r="D1992" s="39" t="e">
        <f t="shared" si="4009"/>
        <v>#N/A</v>
      </c>
      <c r="E1992" s="16" t="e">
        <f t="shared" si="1"/>
        <v>#N/A</v>
      </c>
      <c r="F1992" s="16" t="e">
        <f t="shared" ref="F1992:K1992" si="4010">VLOOKUP($A1992,[6]Gobierno!$A$1:$O$234,F$1,0)</f>
        <v>#N/A</v>
      </c>
      <c r="G1992" s="39" t="e">
        <f t="shared" si="4010"/>
        <v>#N/A</v>
      </c>
      <c r="H1992" s="16" t="e">
        <f t="shared" si="4010"/>
        <v>#N/A</v>
      </c>
      <c r="I1992" s="16" t="e">
        <f t="shared" si="4010"/>
        <v>#N/A</v>
      </c>
      <c r="J1992" s="40" t="e">
        <f t="shared" si="4010"/>
        <v>#N/A</v>
      </c>
      <c r="K1992" s="16" t="e">
        <f t="shared" si="4010"/>
        <v>#N/A</v>
      </c>
      <c r="L1992" s="40" t="e">
        <f t="shared" si="3629"/>
        <v>#N/A</v>
      </c>
      <c r="M1992" s="16" t="e">
        <f t="shared" si="3630"/>
        <v>#N/A</v>
      </c>
      <c r="N1992" s="16" t="e">
        <f t="shared" si="3631"/>
        <v>#N/A</v>
      </c>
      <c r="O1992" s="16" t="s">
        <v>70</v>
      </c>
      <c r="P1992" s="16" t="str">
        <f t="shared" si="6"/>
        <v/>
      </c>
      <c r="Q1992" s="41" t="e">
        <f t="shared" si="3632"/>
        <v>#N/A</v>
      </c>
      <c r="R1992" s="44"/>
      <c r="S1992" s="44"/>
      <c r="T1992" s="43"/>
      <c r="U1992" s="43" t="str">
        <f t="shared" si="8"/>
        <v>No</v>
      </c>
      <c r="V1992" s="25"/>
      <c r="W1992" s="25"/>
      <c r="X1992" s="25"/>
      <c r="Y1992" s="25"/>
      <c r="Z1992" s="25"/>
    </row>
    <row r="1993" spans="1:26" ht="15.75" customHeight="1" x14ac:dyDescent="0.25">
      <c r="A1993" s="25">
        <v>1991</v>
      </c>
      <c r="B1993" s="37" t="e">
        <f t="shared" ref="B1993:D1993" si="4011">VLOOKUP($A1993,[6]Gobierno!$A$1:$O$234,B$1,0)</f>
        <v>#N/A</v>
      </c>
      <c r="C1993" s="38" t="e">
        <f t="shared" si="4011"/>
        <v>#N/A</v>
      </c>
      <c r="D1993" s="39" t="e">
        <f t="shared" si="4011"/>
        <v>#N/A</v>
      </c>
      <c r="E1993" s="16" t="e">
        <f t="shared" si="1"/>
        <v>#N/A</v>
      </c>
      <c r="F1993" s="16" t="e">
        <f t="shared" ref="F1993:K1993" si="4012">VLOOKUP($A1993,[6]Gobierno!$A$1:$O$234,F$1,0)</f>
        <v>#N/A</v>
      </c>
      <c r="G1993" s="39" t="e">
        <f t="shared" si="4012"/>
        <v>#N/A</v>
      </c>
      <c r="H1993" s="16" t="e">
        <f t="shared" si="4012"/>
        <v>#N/A</v>
      </c>
      <c r="I1993" s="16" t="e">
        <f t="shared" si="4012"/>
        <v>#N/A</v>
      </c>
      <c r="J1993" s="40" t="e">
        <f t="shared" si="4012"/>
        <v>#N/A</v>
      </c>
      <c r="K1993" s="16" t="e">
        <f t="shared" si="4012"/>
        <v>#N/A</v>
      </c>
      <c r="L1993" s="40" t="e">
        <f t="shared" si="3629"/>
        <v>#N/A</v>
      </c>
      <c r="M1993" s="16" t="e">
        <f t="shared" si="3630"/>
        <v>#N/A</v>
      </c>
      <c r="N1993" s="16" t="e">
        <f t="shared" si="3631"/>
        <v>#N/A</v>
      </c>
      <c r="O1993" s="16" t="s">
        <v>70</v>
      </c>
      <c r="P1993" s="16" t="str">
        <f t="shared" si="6"/>
        <v/>
      </c>
      <c r="Q1993" s="41" t="e">
        <f t="shared" si="3632"/>
        <v>#N/A</v>
      </c>
      <c r="R1993" s="44"/>
      <c r="S1993" s="44"/>
      <c r="T1993" s="43"/>
      <c r="U1993" s="43" t="str">
        <f t="shared" si="8"/>
        <v>No</v>
      </c>
      <c r="V1993" s="25"/>
      <c r="W1993" s="25"/>
      <c r="X1993" s="25"/>
      <c r="Y1993" s="25"/>
      <c r="Z1993" s="25"/>
    </row>
    <row r="1994" spans="1:26" ht="15.75" customHeight="1" x14ac:dyDescent="0.25">
      <c r="A1994" s="25">
        <v>1992</v>
      </c>
      <c r="B1994" s="37" t="e">
        <f t="shared" ref="B1994:D1994" si="4013">VLOOKUP($A1994,[6]Gobierno!$A$1:$O$234,B$1,0)</f>
        <v>#N/A</v>
      </c>
      <c r="C1994" s="38" t="e">
        <f t="shared" si="4013"/>
        <v>#N/A</v>
      </c>
      <c r="D1994" s="39" t="e">
        <f t="shared" si="4013"/>
        <v>#N/A</v>
      </c>
      <c r="E1994" s="16" t="e">
        <f t="shared" si="1"/>
        <v>#N/A</v>
      </c>
      <c r="F1994" s="16" t="e">
        <f t="shared" ref="F1994:K1994" si="4014">VLOOKUP($A1994,[6]Gobierno!$A$1:$O$234,F$1,0)</f>
        <v>#N/A</v>
      </c>
      <c r="G1994" s="39" t="e">
        <f t="shared" si="4014"/>
        <v>#N/A</v>
      </c>
      <c r="H1994" s="16" t="e">
        <f t="shared" si="4014"/>
        <v>#N/A</v>
      </c>
      <c r="I1994" s="16" t="e">
        <f t="shared" si="4014"/>
        <v>#N/A</v>
      </c>
      <c r="J1994" s="40" t="e">
        <f t="shared" si="4014"/>
        <v>#N/A</v>
      </c>
      <c r="K1994" s="16" t="e">
        <f t="shared" si="4014"/>
        <v>#N/A</v>
      </c>
      <c r="L1994" s="40" t="e">
        <f t="shared" si="3629"/>
        <v>#N/A</v>
      </c>
      <c r="M1994" s="16" t="e">
        <f t="shared" si="3630"/>
        <v>#N/A</v>
      </c>
      <c r="N1994" s="16" t="e">
        <f t="shared" si="3631"/>
        <v>#N/A</v>
      </c>
      <c r="O1994" s="16" t="s">
        <v>70</v>
      </c>
      <c r="P1994" s="16" t="str">
        <f t="shared" si="6"/>
        <v/>
      </c>
      <c r="Q1994" s="41" t="e">
        <f t="shared" si="3632"/>
        <v>#N/A</v>
      </c>
      <c r="R1994" s="44"/>
      <c r="S1994" s="44"/>
      <c r="T1994" s="43"/>
      <c r="U1994" s="43" t="str">
        <f t="shared" si="8"/>
        <v>No</v>
      </c>
      <c r="V1994" s="25"/>
      <c r="W1994" s="25"/>
      <c r="X1994" s="25"/>
      <c r="Y1994" s="25"/>
      <c r="Z1994" s="25"/>
    </row>
    <row r="1995" spans="1:26" ht="15.75" customHeight="1" x14ac:dyDescent="0.25">
      <c r="A1995" s="25">
        <v>1993</v>
      </c>
      <c r="B1995" s="37" t="e">
        <f t="shared" ref="B1995:D1995" si="4015">VLOOKUP($A1995,[6]Gobierno!$A$1:$O$234,B$1,0)</f>
        <v>#N/A</v>
      </c>
      <c r="C1995" s="38" t="e">
        <f t="shared" si="4015"/>
        <v>#N/A</v>
      </c>
      <c r="D1995" s="39" t="e">
        <f t="shared" si="4015"/>
        <v>#N/A</v>
      </c>
      <c r="E1995" s="16" t="e">
        <f t="shared" si="1"/>
        <v>#N/A</v>
      </c>
      <c r="F1995" s="16" t="e">
        <f t="shared" ref="F1995:K1995" si="4016">VLOOKUP($A1995,[6]Gobierno!$A$1:$O$234,F$1,0)</f>
        <v>#N/A</v>
      </c>
      <c r="G1995" s="39" t="e">
        <f t="shared" si="4016"/>
        <v>#N/A</v>
      </c>
      <c r="H1995" s="16" t="e">
        <f t="shared" si="4016"/>
        <v>#N/A</v>
      </c>
      <c r="I1995" s="16" t="e">
        <f t="shared" si="4016"/>
        <v>#N/A</v>
      </c>
      <c r="J1995" s="40" t="e">
        <f t="shared" si="4016"/>
        <v>#N/A</v>
      </c>
      <c r="K1995" s="16" t="e">
        <f t="shared" si="4016"/>
        <v>#N/A</v>
      </c>
      <c r="L1995" s="40" t="e">
        <f t="shared" si="3629"/>
        <v>#N/A</v>
      </c>
      <c r="M1995" s="16" t="e">
        <f t="shared" si="3630"/>
        <v>#N/A</v>
      </c>
      <c r="N1995" s="16" t="e">
        <f t="shared" si="3631"/>
        <v>#N/A</v>
      </c>
      <c r="O1995" s="16" t="s">
        <v>70</v>
      </c>
      <c r="P1995" s="16" t="str">
        <f t="shared" si="6"/>
        <v/>
      </c>
      <c r="Q1995" s="41" t="e">
        <f t="shared" si="3632"/>
        <v>#N/A</v>
      </c>
      <c r="R1995" s="44"/>
      <c r="S1995" s="44"/>
      <c r="T1995" s="43"/>
      <c r="U1995" s="43" t="str">
        <f t="shared" si="8"/>
        <v>No</v>
      </c>
      <c r="V1995" s="25"/>
      <c r="W1995" s="25"/>
      <c r="X1995" s="25"/>
      <c r="Y1995" s="25"/>
      <c r="Z1995" s="25"/>
    </row>
    <row r="1996" spans="1:26" ht="15.75" customHeight="1" x14ac:dyDescent="0.25">
      <c r="A1996" s="25">
        <v>1994</v>
      </c>
      <c r="B1996" s="37" t="e">
        <f t="shared" ref="B1996:D1996" si="4017">VLOOKUP($A1996,[6]Gobierno!$A$1:$O$234,B$1,0)</f>
        <v>#N/A</v>
      </c>
      <c r="C1996" s="38" t="e">
        <f t="shared" si="4017"/>
        <v>#N/A</v>
      </c>
      <c r="D1996" s="39" t="e">
        <f t="shared" si="4017"/>
        <v>#N/A</v>
      </c>
      <c r="E1996" s="16" t="e">
        <f t="shared" si="1"/>
        <v>#N/A</v>
      </c>
      <c r="F1996" s="16" t="e">
        <f t="shared" ref="F1996:K1996" si="4018">VLOOKUP($A1996,[6]Gobierno!$A$1:$O$234,F$1,0)</f>
        <v>#N/A</v>
      </c>
      <c r="G1996" s="39" t="e">
        <f t="shared" si="4018"/>
        <v>#N/A</v>
      </c>
      <c r="H1996" s="16" t="e">
        <f t="shared" si="4018"/>
        <v>#N/A</v>
      </c>
      <c r="I1996" s="16" t="e">
        <f t="shared" si="4018"/>
        <v>#N/A</v>
      </c>
      <c r="J1996" s="40" t="e">
        <f t="shared" si="4018"/>
        <v>#N/A</v>
      </c>
      <c r="K1996" s="16" t="e">
        <f t="shared" si="4018"/>
        <v>#N/A</v>
      </c>
      <c r="L1996" s="40" t="e">
        <f t="shared" si="3629"/>
        <v>#N/A</v>
      </c>
      <c r="M1996" s="16" t="e">
        <f t="shared" si="3630"/>
        <v>#N/A</v>
      </c>
      <c r="N1996" s="16" t="e">
        <f t="shared" si="3631"/>
        <v>#N/A</v>
      </c>
      <c r="O1996" s="16" t="s">
        <v>70</v>
      </c>
      <c r="P1996" s="16" t="str">
        <f t="shared" si="6"/>
        <v/>
      </c>
      <c r="Q1996" s="41" t="e">
        <f t="shared" si="3632"/>
        <v>#N/A</v>
      </c>
      <c r="R1996" s="44"/>
      <c r="S1996" s="44"/>
      <c r="T1996" s="43"/>
      <c r="U1996" s="43" t="str">
        <f t="shared" si="8"/>
        <v>No</v>
      </c>
      <c r="V1996" s="25"/>
      <c r="W1996" s="25"/>
      <c r="X1996" s="25"/>
      <c r="Y1996" s="25"/>
      <c r="Z1996" s="25"/>
    </row>
    <row r="1997" spans="1:26" ht="15.75" customHeight="1" x14ac:dyDescent="0.25">
      <c r="A1997" s="25">
        <v>1995</v>
      </c>
      <c r="B1997" s="37" t="e">
        <f t="shared" ref="B1997:D1997" si="4019">VLOOKUP($A1997,[6]Gobierno!$A$1:$O$234,B$1,0)</f>
        <v>#N/A</v>
      </c>
      <c r="C1997" s="38" t="e">
        <f t="shared" si="4019"/>
        <v>#N/A</v>
      </c>
      <c r="D1997" s="39" t="e">
        <f t="shared" si="4019"/>
        <v>#N/A</v>
      </c>
      <c r="E1997" s="16" t="e">
        <f t="shared" si="1"/>
        <v>#N/A</v>
      </c>
      <c r="F1997" s="16" t="e">
        <f t="shared" ref="F1997:K1997" si="4020">VLOOKUP($A1997,[6]Gobierno!$A$1:$O$234,F$1,0)</f>
        <v>#N/A</v>
      </c>
      <c r="G1997" s="39" t="e">
        <f t="shared" si="4020"/>
        <v>#N/A</v>
      </c>
      <c r="H1997" s="16" t="e">
        <f t="shared" si="4020"/>
        <v>#N/A</v>
      </c>
      <c r="I1997" s="16" t="e">
        <f t="shared" si="4020"/>
        <v>#N/A</v>
      </c>
      <c r="J1997" s="40" t="e">
        <f t="shared" si="4020"/>
        <v>#N/A</v>
      </c>
      <c r="K1997" s="16" t="e">
        <f t="shared" si="4020"/>
        <v>#N/A</v>
      </c>
      <c r="L1997" s="40" t="e">
        <f t="shared" si="3629"/>
        <v>#N/A</v>
      </c>
      <c r="M1997" s="16" t="e">
        <f t="shared" si="3630"/>
        <v>#N/A</v>
      </c>
      <c r="N1997" s="16" t="e">
        <f t="shared" si="3631"/>
        <v>#N/A</v>
      </c>
      <c r="O1997" s="16" t="s">
        <v>70</v>
      </c>
      <c r="P1997" s="16" t="str">
        <f t="shared" si="6"/>
        <v/>
      </c>
      <c r="Q1997" s="41" t="e">
        <f t="shared" si="3632"/>
        <v>#N/A</v>
      </c>
      <c r="R1997" s="44"/>
      <c r="S1997" s="44"/>
      <c r="T1997" s="43"/>
      <c r="U1997" s="43" t="str">
        <f t="shared" si="8"/>
        <v>No</v>
      </c>
      <c r="V1997" s="25"/>
      <c r="W1997" s="25"/>
      <c r="X1997" s="25"/>
      <c r="Y1997" s="25"/>
      <c r="Z1997" s="25"/>
    </row>
    <row r="1998" spans="1:26" ht="15.75" customHeight="1" x14ac:dyDescent="0.25">
      <c r="A1998" s="25">
        <v>1996</v>
      </c>
      <c r="B1998" s="37" t="e">
        <f t="shared" ref="B1998:D1998" si="4021">VLOOKUP($A1998,[6]Gobierno!$A$1:$O$234,B$1,0)</f>
        <v>#N/A</v>
      </c>
      <c r="C1998" s="38" t="e">
        <f t="shared" si="4021"/>
        <v>#N/A</v>
      </c>
      <c r="D1998" s="39" t="e">
        <f t="shared" si="4021"/>
        <v>#N/A</v>
      </c>
      <c r="E1998" s="16" t="e">
        <f t="shared" si="1"/>
        <v>#N/A</v>
      </c>
      <c r="F1998" s="16" t="e">
        <f t="shared" ref="F1998:K1998" si="4022">VLOOKUP($A1998,[6]Gobierno!$A$1:$O$234,F$1,0)</f>
        <v>#N/A</v>
      </c>
      <c r="G1998" s="39" t="e">
        <f t="shared" si="4022"/>
        <v>#N/A</v>
      </c>
      <c r="H1998" s="16" t="e">
        <f t="shared" si="4022"/>
        <v>#N/A</v>
      </c>
      <c r="I1998" s="16" t="e">
        <f t="shared" si="4022"/>
        <v>#N/A</v>
      </c>
      <c r="J1998" s="40" t="e">
        <f t="shared" si="4022"/>
        <v>#N/A</v>
      </c>
      <c r="K1998" s="16" t="e">
        <f t="shared" si="4022"/>
        <v>#N/A</v>
      </c>
      <c r="L1998" s="40" t="e">
        <f t="shared" si="3629"/>
        <v>#N/A</v>
      </c>
      <c r="M1998" s="16" t="e">
        <f t="shared" si="3630"/>
        <v>#N/A</v>
      </c>
      <c r="N1998" s="16" t="e">
        <f t="shared" si="3631"/>
        <v>#N/A</v>
      </c>
      <c r="O1998" s="16" t="s">
        <v>70</v>
      </c>
      <c r="P1998" s="16" t="str">
        <f t="shared" si="6"/>
        <v/>
      </c>
      <c r="Q1998" s="41" t="e">
        <f t="shared" si="3632"/>
        <v>#N/A</v>
      </c>
      <c r="R1998" s="44"/>
      <c r="S1998" s="44"/>
      <c r="T1998" s="43"/>
      <c r="U1998" s="43" t="str">
        <f t="shared" si="8"/>
        <v>No</v>
      </c>
      <c r="V1998" s="25"/>
      <c r="W1998" s="25"/>
      <c r="X1998" s="25"/>
      <c r="Y1998" s="25"/>
      <c r="Z1998" s="25"/>
    </row>
    <row r="1999" spans="1:26" ht="15.75" customHeight="1" x14ac:dyDescent="0.25">
      <c r="A1999" s="25">
        <v>1997</v>
      </c>
      <c r="B1999" s="37" t="e">
        <f t="shared" ref="B1999:D1999" si="4023">VLOOKUP($A1999,[6]Gobierno!$A$1:$O$234,B$1,0)</f>
        <v>#N/A</v>
      </c>
      <c r="C1999" s="38" t="e">
        <f t="shared" si="4023"/>
        <v>#N/A</v>
      </c>
      <c r="D1999" s="39" t="e">
        <f t="shared" si="4023"/>
        <v>#N/A</v>
      </c>
      <c r="E1999" s="16" t="e">
        <f t="shared" si="1"/>
        <v>#N/A</v>
      </c>
      <c r="F1999" s="16" t="e">
        <f t="shared" ref="F1999:K1999" si="4024">VLOOKUP($A1999,[6]Gobierno!$A$1:$O$234,F$1,0)</f>
        <v>#N/A</v>
      </c>
      <c r="G1999" s="39" t="e">
        <f t="shared" si="4024"/>
        <v>#N/A</v>
      </c>
      <c r="H1999" s="16" t="e">
        <f t="shared" si="4024"/>
        <v>#N/A</v>
      </c>
      <c r="I1999" s="16" t="e">
        <f t="shared" si="4024"/>
        <v>#N/A</v>
      </c>
      <c r="J1999" s="40" t="e">
        <f t="shared" si="4024"/>
        <v>#N/A</v>
      </c>
      <c r="K1999" s="16" t="e">
        <f t="shared" si="4024"/>
        <v>#N/A</v>
      </c>
      <c r="L1999" s="40" t="e">
        <f t="shared" si="3629"/>
        <v>#N/A</v>
      </c>
      <c r="M1999" s="16" t="e">
        <f t="shared" si="3630"/>
        <v>#N/A</v>
      </c>
      <c r="N1999" s="16" t="e">
        <f t="shared" si="3631"/>
        <v>#N/A</v>
      </c>
      <c r="O1999" s="16" t="s">
        <v>70</v>
      </c>
      <c r="P1999" s="16" t="str">
        <f t="shared" si="6"/>
        <v/>
      </c>
      <c r="Q1999" s="41" t="e">
        <f t="shared" si="3632"/>
        <v>#N/A</v>
      </c>
      <c r="R1999" s="44"/>
      <c r="S1999" s="44"/>
      <c r="T1999" s="43"/>
      <c r="U1999" s="43" t="str">
        <f t="shared" si="8"/>
        <v>No</v>
      </c>
      <c r="V1999" s="25"/>
      <c r="W1999" s="25"/>
      <c r="X1999" s="25"/>
      <c r="Y1999" s="25"/>
      <c r="Z1999" s="25"/>
    </row>
    <row r="2000" spans="1:26" ht="15.75" customHeight="1" x14ac:dyDescent="0.25">
      <c r="A2000" s="25">
        <v>1998</v>
      </c>
      <c r="B2000" s="37" t="e">
        <f t="shared" ref="B2000:D2000" si="4025">VLOOKUP($A2000,[6]Gobierno!$A$1:$O$234,B$1,0)</f>
        <v>#N/A</v>
      </c>
      <c r="C2000" s="38" t="e">
        <f t="shared" si="4025"/>
        <v>#N/A</v>
      </c>
      <c r="D2000" s="39" t="e">
        <f t="shared" si="4025"/>
        <v>#N/A</v>
      </c>
      <c r="E2000" s="16" t="e">
        <f t="shared" si="1"/>
        <v>#N/A</v>
      </c>
      <c r="F2000" s="16" t="e">
        <f t="shared" ref="F2000:K2000" si="4026">VLOOKUP($A2000,[6]Gobierno!$A$1:$O$234,F$1,0)</f>
        <v>#N/A</v>
      </c>
      <c r="G2000" s="39" t="e">
        <f t="shared" si="4026"/>
        <v>#N/A</v>
      </c>
      <c r="H2000" s="16" t="e">
        <f t="shared" si="4026"/>
        <v>#N/A</v>
      </c>
      <c r="I2000" s="16" t="e">
        <f t="shared" si="4026"/>
        <v>#N/A</v>
      </c>
      <c r="J2000" s="40" t="e">
        <f t="shared" si="4026"/>
        <v>#N/A</v>
      </c>
      <c r="K2000" s="16" t="e">
        <f t="shared" si="4026"/>
        <v>#N/A</v>
      </c>
      <c r="L2000" s="40" t="e">
        <f t="shared" si="3629"/>
        <v>#N/A</v>
      </c>
      <c r="M2000" s="16" t="e">
        <f t="shared" si="3630"/>
        <v>#N/A</v>
      </c>
      <c r="N2000" s="16" t="e">
        <f t="shared" si="3631"/>
        <v>#N/A</v>
      </c>
      <c r="O2000" s="16" t="s">
        <v>70</v>
      </c>
      <c r="P2000" s="16" t="str">
        <f t="shared" si="6"/>
        <v/>
      </c>
      <c r="Q2000" s="41" t="e">
        <f t="shared" si="3632"/>
        <v>#N/A</v>
      </c>
      <c r="R2000" s="44"/>
      <c r="S2000" s="44"/>
      <c r="T2000" s="43"/>
      <c r="U2000" s="43" t="str">
        <f t="shared" si="8"/>
        <v>No</v>
      </c>
      <c r="V2000" s="25"/>
      <c r="W2000" s="25"/>
      <c r="X2000" s="25"/>
      <c r="Y2000" s="25"/>
      <c r="Z2000" s="25"/>
    </row>
    <row r="2001" spans="1:26" ht="15.75" customHeight="1" x14ac:dyDescent="0.25">
      <c r="A2001" s="25">
        <v>1999</v>
      </c>
      <c r="B2001" s="37" t="e">
        <f t="shared" ref="B2001:D2001" si="4027">VLOOKUP($A2001,[6]Gobierno!$A$1:$O$234,B$1,0)</f>
        <v>#N/A</v>
      </c>
      <c r="C2001" s="38" t="e">
        <f t="shared" si="4027"/>
        <v>#N/A</v>
      </c>
      <c r="D2001" s="39" t="e">
        <f t="shared" si="4027"/>
        <v>#N/A</v>
      </c>
      <c r="E2001" s="16" t="e">
        <f t="shared" si="1"/>
        <v>#N/A</v>
      </c>
      <c r="F2001" s="16" t="e">
        <f t="shared" ref="F2001:K2001" si="4028">VLOOKUP($A2001,[6]Gobierno!$A$1:$O$234,F$1,0)</f>
        <v>#N/A</v>
      </c>
      <c r="G2001" s="39" t="e">
        <f t="shared" si="4028"/>
        <v>#N/A</v>
      </c>
      <c r="H2001" s="16" t="e">
        <f t="shared" si="4028"/>
        <v>#N/A</v>
      </c>
      <c r="I2001" s="16" t="e">
        <f t="shared" si="4028"/>
        <v>#N/A</v>
      </c>
      <c r="J2001" s="40" t="e">
        <f t="shared" si="4028"/>
        <v>#N/A</v>
      </c>
      <c r="K2001" s="16" t="e">
        <f t="shared" si="4028"/>
        <v>#N/A</v>
      </c>
      <c r="L2001" s="40" t="e">
        <f t="shared" si="3629"/>
        <v>#N/A</v>
      </c>
      <c r="M2001" s="16" t="e">
        <f t="shared" si="3630"/>
        <v>#N/A</v>
      </c>
      <c r="N2001" s="16" t="e">
        <f t="shared" si="3631"/>
        <v>#N/A</v>
      </c>
      <c r="O2001" s="16" t="s">
        <v>70</v>
      </c>
      <c r="P2001" s="16" t="str">
        <f t="shared" si="6"/>
        <v/>
      </c>
      <c r="Q2001" s="41" t="e">
        <f t="shared" si="3632"/>
        <v>#N/A</v>
      </c>
      <c r="R2001" s="44"/>
      <c r="S2001" s="44"/>
      <c r="T2001" s="43"/>
      <c r="U2001" s="43" t="str">
        <f t="shared" si="8"/>
        <v>No</v>
      </c>
      <c r="V2001" s="25"/>
      <c r="W2001" s="25"/>
      <c r="X2001" s="25"/>
      <c r="Y2001" s="25"/>
      <c r="Z2001" s="25"/>
    </row>
    <row r="2002" spans="1:26" ht="15.75" customHeight="1" x14ac:dyDescent="0.25">
      <c r="A2002" s="25">
        <v>2000</v>
      </c>
      <c r="B2002" s="37" t="e">
        <f t="shared" ref="B2002:D2002" si="4029">VLOOKUP($A2002,[6]Gobierno!$A$1:$O$234,B$1,0)</f>
        <v>#N/A</v>
      </c>
      <c r="C2002" s="38" t="e">
        <f t="shared" si="4029"/>
        <v>#N/A</v>
      </c>
      <c r="D2002" s="39" t="e">
        <f t="shared" si="4029"/>
        <v>#N/A</v>
      </c>
      <c r="E2002" s="16" t="e">
        <f t="shared" si="1"/>
        <v>#N/A</v>
      </c>
      <c r="F2002" s="16" t="e">
        <f t="shared" ref="F2002:K2002" si="4030">VLOOKUP($A2002,[6]Gobierno!$A$1:$O$234,F$1,0)</f>
        <v>#N/A</v>
      </c>
      <c r="G2002" s="39" t="e">
        <f t="shared" si="4030"/>
        <v>#N/A</v>
      </c>
      <c r="H2002" s="16" t="e">
        <f t="shared" si="4030"/>
        <v>#N/A</v>
      </c>
      <c r="I2002" s="16" t="e">
        <f t="shared" si="4030"/>
        <v>#N/A</v>
      </c>
      <c r="J2002" s="40" t="e">
        <f t="shared" si="4030"/>
        <v>#N/A</v>
      </c>
      <c r="K2002" s="16" t="e">
        <f t="shared" si="4030"/>
        <v>#N/A</v>
      </c>
      <c r="L2002" s="40" t="e">
        <f t="shared" si="3629"/>
        <v>#N/A</v>
      </c>
      <c r="M2002" s="16" t="e">
        <f t="shared" si="3630"/>
        <v>#N/A</v>
      </c>
      <c r="N2002" s="16" t="e">
        <f t="shared" si="3631"/>
        <v>#N/A</v>
      </c>
      <c r="O2002" s="16" t="s">
        <v>70</v>
      </c>
      <c r="P2002" s="16" t="str">
        <f t="shared" si="6"/>
        <v/>
      </c>
      <c r="Q2002" s="41" t="e">
        <f t="shared" si="3632"/>
        <v>#N/A</v>
      </c>
      <c r="R2002" s="44"/>
      <c r="S2002" s="44"/>
      <c r="T2002" s="43"/>
      <c r="U2002" s="43" t="str">
        <f t="shared" si="8"/>
        <v>No</v>
      </c>
      <c r="V2002" s="25"/>
      <c r="W2002" s="25"/>
      <c r="X2002" s="25"/>
      <c r="Y2002" s="25"/>
      <c r="Z2002" s="25"/>
    </row>
    <row r="2003" spans="1:26" ht="15.75" customHeight="1" x14ac:dyDescent="0.25">
      <c r="A2003" s="25">
        <v>2001</v>
      </c>
      <c r="B2003" s="37" t="e">
        <f t="shared" ref="B2003:D2003" si="4031">VLOOKUP($A2003,[6]Gobierno!$A$1:$O$234,B$1,0)</f>
        <v>#N/A</v>
      </c>
      <c r="C2003" s="38" t="e">
        <f t="shared" si="4031"/>
        <v>#N/A</v>
      </c>
      <c r="D2003" s="39" t="e">
        <f t="shared" si="4031"/>
        <v>#N/A</v>
      </c>
      <c r="E2003" s="16" t="e">
        <f t="shared" si="1"/>
        <v>#N/A</v>
      </c>
      <c r="F2003" s="16" t="e">
        <f t="shared" ref="F2003:K2003" si="4032">VLOOKUP($A2003,[6]Gobierno!$A$1:$O$234,F$1,0)</f>
        <v>#N/A</v>
      </c>
      <c r="G2003" s="39" t="e">
        <f t="shared" si="4032"/>
        <v>#N/A</v>
      </c>
      <c r="H2003" s="16" t="e">
        <f t="shared" si="4032"/>
        <v>#N/A</v>
      </c>
      <c r="I2003" s="16" t="e">
        <f t="shared" si="4032"/>
        <v>#N/A</v>
      </c>
      <c r="J2003" s="40" t="e">
        <f t="shared" si="4032"/>
        <v>#N/A</v>
      </c>
      <c r="K2003" s="16" t="e">
        <f t="shared" si="4032"/>
        <v>#N/A</v>
      </c>
      <c r="L2003" s="40" t="e">
        <f t="shared" si="3629"/>
        <v>#N/A</v>
      </c>
      <c r="M2003" s="16" t="e">
        <f t="shared" si="3630"/>
        <v>#N/A</v>
      </c>
      <c r="N2003" s="16" t="e">
        <f t="shared" si="3631"/>
        <v>#N/A</v>
      </c>
      <c r="O2003" s="16" t="s">
        <v>70</v>
      </c>
      <c r="P2003" s="16" t="str">
        <f t="shared" si="6"/>
        <v/>
      </c>
      <c r="Q2003" s="41" t="e">
        <f t="shared" si="3632"/>
        <v>#N/A</v>
      </c>
      <c r="R2003" s="44"/>
      <c r="S2003" s="44"/>
      <c r="T2003" s="43"/>
      <c r="U2003" s="43" t="str">
        <f t="shared" si="8"/>
        <v>No</v>
      </c>
      <c r="V2003" s="25"/>
      <c r="W2003" s="25"/>
      <c r="X2003" s="25"/>
      <c r="Y2003" s="25"/>
      <c r="Z2003" s="25"/>
    </row>
    <row r="2004" spans="1:26" ht="15.75" customHeight="1" x14ac:dyDescent="0.25">
      <c r="A2004" s="25">
        <v>2002</v>
      </c>
      <c r="B2004" s="37" t="e">
        <f t="shared" ref="B2004:D2004" si="4033">VLOOKUP($A2004,[6]Gobierno!$A$1:$O$234,B$1,0)</f>
        <v>#N/A</v>
      </c>
      <c r="C2004" s="38" t="e">
        <f t="shared" si="4033"/>
        <v>#N/A</v>
      </c>
      <c r="D2004" s="39" t="e">
        <f t="shared" si="4033"/>
        <v>#N/A</v>
      </c>
      <c r="E2004" s="16" t="e">
        <f t="shared" si="1"/>
        <v>#N/A</v>
      </c>
      <c r="F2004" s="16" t="e">
        <f t="shared" ref="F2004:K2004" si="4034">VLOOKUP($A2004,[6]Gobierno!$A$1:$O$234,F$1,0)</f>
        <v>#N/A</v>
      </c>
      <c r="G2004" s="39" t="e">
        <f t="shared" si="4034"/>
        <v>#N/A</v>
      </c>
      <c r="H2004" s="16" t="e">
        <f t="shared" si="4034"/>
        <v>#N/A</v>
      </c>
      <c r="I2004" s="16" t="e">
        <f t="shared" si="4034"/>
        <v>#N/A</v>
      </c>
      <c r="J2004" s="40" t="e">
        <f t="shared" si="4034"/>
        <v>#N/A</v>
      </c>
      <c r="K2004" s="16" t="e">
        <f t="shared" si="4034"/>
        <v>#N/A</v>
      </c>
      <c r="L2004" s="40" t="e">
        <f t="shared" si="3629"/>
        <v>#N/A</v>
      </c>
      <c r="M2004" s="16" t="e">
        <f t="shared" si="3630"/>
        <v>#N/A</v>
      </c>
      <c r="N2004" s="16" t="e">
        <f t="shared" si="3631"/>
        <v>#N/A</v>
      </c>
      <c r="O2004" s="16" t="s">
        <v>70</v>
      </c>
      <c r="P2004" s="16" t="str">
        <f t="shared" si="6"/>
        <v/>
      </c>
      <c r="Q2004" s="41" t="e">
        <f t="shared" si="3632"/>
        <v>#N/A</v>
      </c>
      <c r="R2004" s="44"/>
      <c r="S2004" s="44"/>
      <c r="T2004" s="43"/>
      <c r="U2004" s="43" t="str">
        <f t="shared" si="8"/>
        <v>No</v>
      </c>
      <c r="V2004" s="25"/>
      <c r="W2004" s="25"/>
      <c r="X2004" s="25"/>
      <c r="Y2004" s="25"/>
      <c r="Z2004" s="25"/>
    </row>
    <row r="2005" spans="1:26" ht="15.75" customHeight="1" x14ac:dyDescent="0.25">
      <c r="A2005" s="25">
        <v>2003</v>
      </c>
      <c r="B2005" s="37" t="e">
        <f t="shared" ref="B2005:D2005" si="4035">VLOOKUP($A2005,[6]Gobierno!$A$1:$O$234,B$1,0)</f>
        <v>#N/A</v>
      </c>
      <c r="C2005" s="38" t="e">
        <f t="shared" si="4035"/>
        <v>#N/A</v>
      </c>
      <c r="D2005" s="39" t="e">
        <f t="shared" si="4035"/>
        <v>#N/A</v>
      </c>
      <c r="E2005" s="16" t="e">
        <f t="shared" si="1"/>
        <v>#N/A</v>
      </c>
      <c r="F2005" s="16" t="e">
        <f t="shared" ref="F2005:K2005" si="4036">VLOOKUP($A2005,[6]Gobierno!$A$1:$O$234,F$1,0)</f>
        <v>#N/A</v>
      </c>
      <c r="G2005" s="39" t="e">
        <f t="shared" si="4036"/>
        <v>#N/A</v>
      </c>
      <c r="H2005" s="16" t="e">
        <f t="shared" si="4036"/>
        <v>#N/A</v>
      </c>
      <c r="I2005" s="16" t="e">
        <f t="shared" si="4036"/>
        <v>#N/A</v>
      </c>
      <c r="J2005" s="40" t="e">
        <f t="shared" si="4036"/>
        <v>#N/A</v>
      </c>
      <c r="K2005" s="16" t="e">
        <f t="shared" si="4036"/>
        <v>#N/A</v>
      </c>
      <c r="L2005" s="40" t="e">
        <f t="shared" si="3629"/>
        <v>#N/A</v>
      </c>
      <c r="M2005" s="16" t="e">
        <f t="shared" si="3630"/>
        <v>#N/A</v>
      </c>
      <c r="N2005" s="16" t="e">
        <f t="shared" si="3631"/>
        <v>#N/A</v>
      </c>
      <c r="O2005" s="16" t="s">
        <v>70</v>
      </c>
      <c r="P2005" s="16" t="str">
        <f t="shared" si="6"/>
        <v/>
      </c>
      <c r="Q2005" s="41" t="e">
        <f t="shared" si="3632"/>
        <v>#N/A</v>
      </c>
      <c r="R2005" s="44"/>
      <c r="S2005" s="44"/>
      <c r="T2005" s="43"/>
      <c r="U2005" s="43" t="str">
        <f t="shared" si="8"/>
        <v>No</v>
      </c>
      <c r="V2005" s="25"/>
      <c r="W2005" s="25"/>
      <c r="X2005" s="25"/>
      <c r="Y2005" s="25"/>
      <c r="Z2005" s="25"/>
    </row>
    <row r="2006" spans="1:26" ht="15.75" customHeight="1" x14ac:dyDescent="0.25">
      <c r="A2006" s="25">
        <v>2004</v>
      </c>
      <c r="B2006" s="37" t="e">
        <f t="shared" ref="B2006:D2006" si="4037">VLOOKUP($A2006,[6]Gobierno!$A$1:$O$234,B$1,0)</f>
        <v>#N/A</v>
      </c>
      <c r="C2006" s="38" t="e">
        <f t="shared" si="4037"/>
        <v>#N/A</v>
      </c>
      <c r="D2006" s="39" t="e">
        <f t="shared" si="4037"/>
        <v>#N/A</v>
      </c>
      <c r="E2006" s="16" t="e">
        <f t="shared" si="1"/>
        <v>#N/A</v>
      </c>
      <c r="F2006" s="16" t="e">
        <f t="shared" ref="F2006:K2006" si="4038">VLOOKUP($A2006,[6]Gobierno!$A$1:$O$234,F$1,0)</f>
        <v>#N/A</v>
      </c>
      <c r="G2006" s="39" t="e">
        <f t="shared" si="4038"/>
        <v>#N/A</v>
      </c>
      <c r="H2006" s="16" t="e">
        <f t="shared" si="4038"/>
        <v>#N/A</v>
      </c>
      <c r="I2006" s="16" t="e">
        <f t="shared" si="4038"/>
        <v>#N/A</v>
      </c>
      <c r="J2006" s="40" t="e">
        <f t="shared" si="4038"/>
        <v>#N/A</v>
      </c>
      <c r="K2006" s="16" t="e">
        <f t="shared" si="4038"/>
        <v>#N/A</v>
      </c>
      <c r="L2006" s="40" t="e">
        <f t="shared" si="3629"/>
        <v>#N/A</v>
      </c>
      <c r="M2006" s="16" t="e">
        <f t="shared" si="3630"/>
        <v>#N/A</v>
      </c>
      <c r="N2006" s="16" t="e">
        <f t="shared" si="3631"/>
        <v>#N/A</v>
      </c>
      <c r="O2006" s="16" t="s">
        <v>70</v>
      </c>
      <c r="P2006" s="16" t="str">
        <f t="shared" si="6"/>
        <v/>
      </c>
      <c r="Q2006" s="41" t="e">
        <f t="shared" si="3632"/>
        <v>#N/A</v>
      </c>
      <c r="R2006" s="44"/>
      <c r="S2006" s="44"/>
      <c r="T2006" s="43"/>
      <c r="U2006" s="43" t="str">
        <f t="shared" si="8"/>
        <v>No</v>
      </c>
      <c r="V2006" s="25"/>
      <c r="W2006" s="25"/>
      <c r="X2006" s="25"/>
      <c r="Y2006" s="25"/>
      <c r="Z2006" s="25"/>
    </row>
    <row r="2007" spans="1:26" ht="15.75" customHeight="1" x14ac:dyDescent="0.25">
      <c r="A2007" s="25">
        <v>2005</v>
      </c>
      <c r="B2007" s="37" t="e">
        <f t="shared" ref="B2007:D2007" si="4039">VLOOKUP($A2007,[6]Gobierno!$A$1:$O$234,B$1,0)</f>
        <v>#N/A</v>
      </c>
      <c r="C2007" s="38" t="e">
        <f t="shared" si="4039"/>
        <v>#N/A</v>
      </c>
      <c r="D2007" s="39" t="e">
        <f t="shared" si="4039"/>
        <v>#N/A</v>
      </c>
      <c r="E2007" s="16" t="e">
        <f t="shared" si="1"/>
        <v>#N/A</v>
      </c>
      <c r="F2007" s="16" t="e">
        <f t="shared" ref="F2007:K2007" si="4040">VLOOKUP($A2007,[6]Gobierno!$A$1:$O$234,F$1,0)</f>
        <v>#N/A</v>
      </c>
      <c r="G2007" s="39" t="e">
        <f t="shared" si="4040"/>
        <v>#N/A</v>
      </c>
      <c r="H2007" s="16" t="e">
        <f t="shared" si="4040"/>
        <v>#N/A</v>
      </c>
      <c r="I2007" s="16" t="e">
        <f t="shared" si="4040"/>
        <v>#N/A</v>
      </c>
      <c r="J2007" s="40" t="e">
        <f t="shared" si="4040"/>
        <v>#N/A</v>
      </c>
      <c r="K2007" s="16" t="e">
        <f t="shared" si="4040"/>
        <v>#N/A</v>
      </c>
      <c r="L2007" s="40" t="e">
        <f t="shared" si="3629"/>
        <v>#N/A</v>
      </c>
      <c r="M2007" s="16" t="e">
        <f t="shared" si="3630"/>
        <v>#N/A</v>
      </c>
      <c r="N2007" s="16" t="e">
        <f t="shared" si="3631"/>
        <v>#N/A</v>
      </c>
      <c r="O2007" s="16" t="s">
        <v>70</v>
      </c>
      <c r="P2007" s="16" t="str">
        <f t="shared" si="6"/>
        <v/>
      </c>
      <c r="Q2007" s="41" t="e">
        <f t="shared" si="3632"/>
        <v>#N/A</v>
      </c>
      <c r="R2007" s="44"/>
      <c r="S2007" s="44"/>
      <c r="T2007" s="43"/>
      <c r="U2007" s="43" t="str">
        <f t="shared" si="8"/>
        <v>No</v>
      </c>
      <c r="V2007" s="25"/>
      <c r="W2007" s="25"/>
      <c r="X2007" s="25"/>
      <c r="Y2007" s="25"/>
      <c r="Z2007" s="25"/>
    </row>
    <row r="2008" spans="1:26" ht="15.75" customHeight="1" x14ac:dyDescent="0.25">
      <c r="A2008" s="25">
        <v>2006</v>
      </c>
      <c r="B2008" s="37" t="e">
        <f t="shared" ref="B2008:D2008" si="4041">VLOOKUP($A2008,[6]Gobierno!$A$1:$O$234,B$1,0)</f>
        <v>#N/A</v>
      </c>
      <c r="C2008" s="38" t="e">
        <f t="shared" si="4041"/>
        <v>#N/A</v>
      </c>
      <c r="D2008" s="39" t="e">
        <f t="shared" si="4041"/>
        <v>#N/A</v>
      </c>
      <c r="E2008" s="16" t="e">
        <f t="shared" si="1"/>
        <v>#N/A</v>
      </c>
      <c r="F2008" s="16" t="e">
        <f t="shared" ref="F2008:K2008" si="4042">VLOOKUP($A2008,[6]Gobierno!$A$1:$O$234,F$1,0)</f>
        <v>#N/A</v>
      </c>
      <c r="G2008" s="39" t="e">
        <f t="shared" si="4042"/>
        <v>#N/A</v>
      </c>
      <c r="H2008" s="16" t="e">
        <f t="shared" si="4042"/>
        <v>#N/A</v>
      </c>
      <c r="I2008" s="16" t="e">
        <f t="shared" si="4042"/>
        <v>#N/A</v>
      </c>
      <c r="J2008" s="40" t="e">
        <f t="shared" si="4042"/>
        <v>#N/A</v>
      </c>
      <c r="K2008" s="16" t="e">
        <f t="shared" si="4042"/>
        <v>#N/A</v>
      </c>
      <c r="L2008" s="40" t="e">
        <f t="shared" si="3629"/>
        <v>#N/A</v>
      </c>
      <c r="M2008" s="16" t="e">
        <f t="shared" si="3630"/>
        <v>#N/A</v>
      </c>
      <c r="N2008" s="16" t="e">
        <f t="shared" si="3631"/>
        <v>#N/A</v>
      </c>
      <c r="O2008" s="16" t="s">
        <v>70</v>
      </c>
      <c r="P2008" s="16" t="str">
        <f t="shared" si="6"/>
        <v/>
      </c>
      <c r="Q2008" s="41" t="e">
        <f t="shared" si="3632"/>
        <v>#N/A</v>
      </c>
      <c r="R2008" s="44"/>
      <c r="S2008" s="44"/>
      <c r="T2008" s="43"/>
      <c r="U2008" s="43" t="str">
        <f t="shared" si="8"/>
        <v>No</v>
      </c>
      <c r="V2008" s="25"/>
      <c r="W2008" s="25"/>
      <c r="X2008" s="25"/>
      <c r="Y2008" s="25"/>
      <c r="Z2008" s="25"/>
    </row>
    <row r="2009" spans="1:26" ht="15.75" customHeight="1" x14ac:dyDescent="0.25">
      <c r="A2009" s="25">
        <v>2007</v>
      </c>
      <c r="B2009" s="37" t="e">
        <f t="shared" ref="B2009:D2009" si="4043">VLOOKUP($A2009,[6]Gobierno!$A$1:$O$234,B$1,0)</f>
        <v>#N/A</v>
      </c>
      <c r="C2009" s="38" t="e">
        <f t="shared" si="4043"/>
        <v>#N/A</v>
      </c>
      <c r="D2009" s="39" t="e">
        <f t="shared" si="4043"/>
        <v>#N/A</v>
      </c>
      <c r="E2009" s="16" t="e">
        <f t="shared" si="1"/>
        <v>#N/A</v>
      </c>
      <c r="F2009" s="16" t="e">
        <f t="shared" ref="F2009:K2009" si="4044">VLOOKUP($A2009,[6]Gobierno!$A$1:$O$234,F$1,0)</f>
        <v>#N/A</v>
      </c>
      <c r="G2009" s="39" t="e">
        <f t="shared" si="4044"/>
        <v>#N/A</v>
      </c>
      <c r="H2009" s="16" t="e">
        <f t="shared" si="4044"/>
        <v>#N/A</v>
      </c>
      <c r="I2009" s="16" t="e">
        <f t="shared" si="4044"/>
        <v>#N/A</v>
      </c>
      <c r="J2009" s="40" t="e">
        <f t="shared" si="4044"/>
        <v>#N/A</v>
      </c>
      <c r="K2009" s="16" t="e">
        <f t="shared" si="4044"/>
        <v>#N/A</v>
      </c>
      <c r="L2009" s="40" t="e">
        <f t="shared" si="3629"/>
        <v>#N/A</v>
      </c>
      <c r="M2009" s="16" t="e">
        <f t="shared" si="3630"/>
        <v>#N/A</v>
      </c>
      <c r="N2009" s="16" t="e">
        <f t="shared" si="3631"/>
        <v>#N/A</v>
      </c>
      <c r="O2009" s="16" t="s">
        <v>70</v>
      </c>
      <c r="P2009" s="16" t="str">
        <f t="shared" si="6"/>
        <v/>
      </c>
      <c r="Q2009" s="41" t="e">
        <f t="shared" si="3632"/>
        <v>#N/A</v>
      </c>
      <c r="R2009" s="44"/>
      <c r="S2009" s="44"/>
      <c r="T2009" s="43"/>
      <c r="U2009" s="43" t="str">
        <f t="shared" si="8"/>
        <v>No</v>
      </c>
      <c r="V2009" s="25"/>
      <c r="W2009" s="25"/>
      <c r="X2009" s="25"/>
      <c r="Y2009" s="25"/>
      <c r="Z2009" s="25"/>
    </row>
    <row r="2010" spans="1:26" ht="15.75" customHeight="1" x14ac:dyDescent="0.25">
      <c r="A2010" s="25">
        <v>2008</v>
      </c>
      <c r="B2010" s="37" t="e">
        <f t="shared" ref="B2010:D2010" si="4045">VLOOKUP($A2010,[6]Gobierno!$A$1:$O$234,B$1,0)</f>
        <v>#N/A</v>
      </c>
      <c r="C2010" s="38" t="e">
        <f t="shared" si="4045"/>
        <v>#N/A</v>
      </c>
      <c r="D2010" s="39" t="e">
        <f t="shared" si="4045"/>
        <v>#N/A</v>
      </c>
      <c r="E2010" s="16" t="e">
        <f t="shared" si="1"/>
        <v>#N/A</v>
      </c>
      <c r="F2010" s="16" t="e">
        <f t="shared" ref="F2010:K2010" si="4046">VLOOKUP($A2010,[6]Gobierno!$A$1:$O$234,F$1,0)</f>
        <v>#N/A</v>
      </c>
      <c r="G2010" s="39" t="e">
        <f t="shared" si="4046"/>
        <v>#N/A</v>
      </c>
      <c r="H2010" s="16" t="e">
        <f t="shared" si="4046"/>
        <v>#N/A</v>
      </c>
      <c r="I2010" s="16" t="e">
        <f t="shared" si="4046"/>
        <v>#N/A</v>
      </c>
      <c r="J2010" s="40" t="e">
        <f t="shared" si="4046"/>
        <v>#N/A</v>
      </c>
      <c r="K2010" s="16" t="e">
        <f t="shared" si="4046"/>
        <v>#N/A</v>
      </c>
      <c r="L2010" s="40" t="e">
        <f t="shared" si="3629"/>
        <v>#N/A</v>
      </c>
      <c r="M2010" s="16" t="e">
        <f t="shared" si="3630"/>
        <v>#N/A</v>
      </c>
      <c r="N2010" s="16" t="e">
        <f t="shared" si="3631"/>
        <v>#N/A</v>
      </c>
      <c r="O2010" s="16" t="s">
        <v>70</v>
      </c>
      <c r="P2010" s="16" t="str">
        <f t="shared" si="6"/>
        <v/>
      </c>
      <c r="Q2010" s="41" t="e">
        <f t="shared" si="3632"/>
        <v>#N/A</v>
      </c>
      <c r="R2010" s="44"/>
      <c r="S2010" s="44"/>
      <c r="T2010" s="43"/>
      <c r="U2010" s="43" t="str">
        <f t="shared" si="8"/>
        <v>No</v>
      </c>
      <c r="V2010" s="25"/>
      <c r="W2010" s="25"/>
      <c r="X2010" s="25"/>
      <c r="Y2010" s="25"/>
      <c r="Z2010" s="25"/>
    </row>
    <row r="2011" spans="1:26" ht="15.75" customHeight="1" x14ac:dyDescent="0.25">
      <c r="A2011" s="25">
        <v>2009</v>
      </c>
      <c r="B2011" s="37" t="e">
        <f t="shared" ref="B2011:D2011" si="4047">VLOOKUP($A2011,[6]Gobierno!$A$1:$O$234,B$1,0)</f>
        <v>#N/A</v>
      </c>
      <c r="C2011" s="38" t="e">
        <f t="shared" si="4047"/>
        <v>#N/A</v>
      </c>
      <c r="D2011" s="39" t="e">
        <f t="shared" si="4047"/>
        <v>#N/A</v>
      </c>
      <c r="E2011" s="16" t="e">
        <f t="shared" si="1"/>
        <v>#N/A</v>
      </c>
      <c r="F2011" s="16" t="e">
        <f t="shared" ref="F2011:K2011" si="4048">VLOOKUP($A2011,[6]Gobierno!$A$1:$O$234,F$1,0)</f>
        <v>#N/A</v>
      </c>
      <c r="G2011" s="39" t="e">
        <f t="shared" si="4048"/>
        <v>#N/A</v>
      </c>
      <c r="H2011" s="16" t="e">
        <f t="shared" si="4048"/>
        <v>#N/A</v>
      </c>
      <c r="I2011" s="16" t="e">
        <f t="shared" si="4048"/>
        <v>#N/A</v>
      </c>
      <c r="J2011" s="40" t="e">
        <f t="shared" si="4048"/>
        <v>#N/A</v>
      </c>
      <c r="K2011" s="16" t="e">
        <f t="shared" si="4048"/>
        <v>#N/A</v>
      </c>
      <c r="L2011" s="40" t="e">
        <f t="shared" si="3629"/>
        <v>#N/A</v>
      </c>
      <c r="M2011" s="16" t="e">
        <f t="shared" si="3630"/>
        <v>#N/A</v>
      </c>
      <c r="N2011" s="16" t="e">
        <f t="shared" si="3631"/>
        <v>#N/A</v>
      </c>
      <c r="O2011" s="16" t="s">
        <v>70</v>
      </c>
      <c r="P2011" s="16" t="str">
        <f t="shared" si="6"/>
        <v/>
      </c>
      <c r="Q2011" s="41" t="e">
        <f t="shared" si="3632"/>
        <v>#N/A</v>
      </c>
      <c r="R2011" s="44"/>
      <c r="S2011" s="44"/>
      <c r="T2011" s="43"/>
      <c r="U2011" s="43" t="str">
        <f t="shared" si="8"/>
        <v>No</v>
      </c>
      <c r="V2011" s="25"/>
      <c r="W2011" s="25"/>
      <c r="X2011" s="25"/>
      <c r="Y2011" s="25"/>
      <c r="Z2011" s="25"/>
    </row>
    <row r="2012" spans="1:26" ht="15.75" customHeight="1" x14ac:dyDescent="0.25">
      <c r="A2012" s="25">
        <v>2010</v>
      </c>
      <c r="B2012" s="37" t="e">
        <f t="shared" ref="B2012:D2012" si="4049">VLOOKUP($A2012,[6]Gobierno!$A$1:$O$234,B$1,0)</f>
        <v>#N/A</v>
      </c>
      <c r="C2012" s="38" t="e">
        <f t="shared" si="4049"/>
        <v>#N/A</v>
      </c>
      <c r="D2012" s="39" t="e">
        <f t="shared" si="4049"/>
        <v>#N/A</v>
      </c>
      <c r="E2012" s="16" t="e">
        <f t="shared" si="1"/>
        <v>#N/A</v>
      </c>
      <c r="F2012" s="16" t="e">
        <f t="shared" ref="F2012:K2012" si="4050">VLOOKUP($A2012,[6]Gobierno!$A$1:$O$234,F$1,0)</f>
        <v>#N/A</v>
      </c>
      <c r="G2012" s="39" t="e">
        <f t="shared" si="4050"/>
        <v>#N/A</v>
      </c>
      <c r="H2012" s="16" t="e">
        <f t="shared" si="4050"/>
        <v>#N/A</v>
      </c>
      <c r="I2012" s="16" t="e">
        <f t="shared" si="4050"/>
        <v>#N/A</v>
      </c>
      <c r="J2012" s="40" t="e">
        <f t="shared" si="4050"/>
        <v>#N/A</v>
      </c>
      <c r="K2012" s="16" t="e">
        <f t="shared" si="4050"/>
        <v>#N/A</v>
      </c>
      <c r="L2012" s="40" t="e">
        <f t="shared" si="3629"/>
        <v>#N/A</v>
      </c>
      <c r="M2012" s="16" t="e">
        <f t="shared" si="3630"/>
        <v>#N/A</v>
      </c>
      <c r="N2012" s="16" t="e">
        <f t="shared" si="3631"/>
        <v>#N/A</v>
      </c>
      <c r="O2012" s="16" t="s">
        <v>70</v>
      </c>
      <c r="P2012" s="16" t="str">
        <f t="shared" si="6"/>
        <v/>
      </c>
      <c r="Q2012" s="41" t="e">
        <f t="shared" si="3632"/>
        <v>#N/A</v>
      </c>
      <c r="R2012" s="44"/>
      <c r="S2012" s="44"/>
      <c r="T2012" s="43"/>
      <c r="U2012" s="43" t="str">
        <f t="shared" si="8"/>
        <v>No</v>
      </c>
      <c r="V2012" s="25"/>
      <c r="W2012" s="25"/>
      <c r="X2012" s="25"/>
      <c r="Y2012" s="25"/>
      <c r="Z2012" s="25"/>
    </row>
    <row r="2013" spans="1:26" ht="15.75" customHeight="1" x14ac:dyDescent="0.25">
      <c r="A2013" s="25">
        <v>2011</v>
      </c>
      <c r="B2013" s="37" t="e">
        <f t="shared" ref="B2013:D2013" si="4051">VLOOKUP($A2013,[6]Gobierno!$A$1:$O$234,B$1,0)</f>
        <v>#N/A</v>
      </c>
      <c r="C2013" s="38" t="e">
        <f t="shared" si="4051"/>
        <v>#N/A</v>
      </c>
      <c r="D2013" s="39" t="e">
        <f t="shared" si="4051"/>
        <v>#N/A</v>
      </c>
      <c r="E2013" s="16" t="e">
        <f t="shared" si="1"/>
        <v>#N/A</v>
      </c>
      <c r="F2013" s="16" t="e">
        <f t="shared" ref="F2013:K2013" si="4052">VLOOKUP($A2013,[6]Gobierno!$A$1:$O$234,F$1,0)</f>
        <v>#N/A</v>
      </c>
      <c r="G2013" s="39" t="e">
        <f t="shared" si="4052"/>
        <v>#N/A</v>
      </c>
      <c r="H2013" s="16" t="e">
        <f t="shared" si="4052"/>
        <v>#N/A</v>
      </c>
      <c r="I2013" s="16" t="e">
        <f t="shared" si="4052"/>
        <v>#N/A</v>
      </c>
      <c r="J2013" s="40" t="e">
        <f t="shared" si="4052"/>
        <v>#N/A</v>
      </c>
      <c r="K2013" s="16" t="e">
        <f t="shared" si="4052"/>
        <v>#N/A</v>
      </c>
      <c r="L2013" s="40" t="e">
        <f t="shared" si="3629"/>
        <v>#N/A</v>
      </c>
      <c r="M2013" s="16" t="e">
        <f t="shared" si="3630"/>
        <v>#N/A</v>
      </c>
      <c r="N2013" s="16" t="e">
        <f t="shared" si="3631"/>
        <v>#N/A</v>
      </c>
      <c r="O2013" s="16" t="s">
        <v>70</v>
      </c>
      <c r="P2013" s="16" t="str">
        <f t="shared" si="6"/>
        <v/>
      </c>
      <c r="Q2013" s="41" t="e">
        <f t="shared" si="3632"/>
        <v>#N/A</v>
      </c>
      <c r="R2013" s="44"/>
      <c r="S2013" s="44"/>
      <c r="T2013" s="43"/>
      <c r="U2013" s="43" t="str">
        <f t="shared" si="8"/>
        <v>No</v>
      </c>
      <c r="V2013" s="25"/>
      <c r="W2013" s="25"/>
      <c r="X2013" s="25"/>
      <c r="Y2013" s="25"/>
      <c r="Z2013" s="25"/>
    </row>
    <row r="2014" spans="1:26" ht="15.75" customHeight="1" x14ac:dyDescent="0.25">
      <c r="A2014" s="25">
        <v>2012</v>
      </c>
      <c r="B2014" s="37" t="e">
        <f t="shared" ref="B2014:D2014" si="4053">VLOOKUP($A2014,[6]Gobierno!$A$1:$O$234,B$1,0)</f>
        <v>#N/A</v>
      </c>
      <c r="C2014" s="38" t="e">
        <f t="shared" si="4053"/>
        <v>#N/A</v>
      </c>
      <c r="D2014" s="39" t="e">
        <f t="shared" si="4053"/>
        <v>#N/A</v>
      </c>
      <c r="E2014" s="16" t="e">
        <f t="shared" si="1"/>
        <v>#N/A</v>
      </c>
      <c r="F2014" s="16" t="e">
        <f t="shared" ref="F2014:K2014" si="4054">VLOOKUP($A2014,[6]Gobierno!$A$1:$O$234,F$1,0)</f>
        <v>#N/A</v>
      </c>
      <c r="G2014" s="39" t="e">
        <f t="shared" si="4054"/>
        <v>#N/A</v>
      </c>
      <c r="H2014" s="16" t="e">
        <f t="shared" si="4054"/>
        <v>#N/A</v>
      </c>
      <c r="I2014" s="16" t="e">
        <f t="shared" si="4054"/>
        <v>#N/A</v>
      </c>
      <c r="J2014" s="40" t="e">
        <f t="shared" si="4054"/>
        <v>#N/A</v>
      </c>
      <c r="K2014" s="16" t="e">
        <f t="shared" si="4054"/>
        <v>#N/A</v>
      </c>
      <c r="L2014" s="40" t="e">
        <f t="shared" si="3629"/>
        <v>#N/A</v>
      </c>
      <c r="M2014" s="16" t="e">
        <f t="shared" si="3630"/>
        <v>#N/A</v>
      </c>
      <c r="N2014" s="16" t="e">
        <f t="shared" si="3631"/>
        <v>#N/A</v>
      </c>
      <c r="O2014" s="16" t="s">
        <v>70</v>
      </c>
      <c r="P2014" s="16" t="str">
        <f t="shared" si="6"/>
        <v/>
      </c>
      <c r="Q2014" s="41" t="e">
        <f t="shared" si="3632"/>
        <v>#N/A</v>
      </c>
      <c r="R2014" s="44"/>
      <c r="S2014" s="44"/>
      <c r="T2014" s="43"/>
      <c r="U2014" s="43" t="str">
        <f t="shared" si="8"/>
        <v>No</v>
      </c>
      <c r="V2014" s="25"/>
      <c r="W2014" s="25"/>
      <c r="X2014" s="25"/>
      <c r="Y2014" s="25"/>
      <c r="Z2014" s="25"/>
    </row>
    <row r="2015" spans="1:26" ht="15.75" customHeight="1" x14ac:dyDescent="0.25">
      <c r="A2015" s="25">
        <v>2013</v>
      </c>
      <c r="B2015" s="37" t="e">
        <f t="shared" ref="B2015:D2015" si="4055">VLOOKUP($A2015,[6]Gobierno!$A$1:$O$234,B$1,0)</f>
        <v>#N/A</v>
      </c>
      <c r="C2015" s="38" t="e">
        <f t="shared" si="4055"/>
        <v>#N/A</v>
      </c>
      <c r="D2015" s="39" t="e">
        <f t="shared" si="4055"/>
        <v>#N/A</v>
      </c>
      <c r="E2015" s="16" t="e">
        <f t="shared" si="1"/>
        <v>#N/A</v>
      </c>
      <c r="F2015" s="16" t="e">
        <f t="shared" ref="F2015:K2015" si="4056">VLOOKUP($A2015,[6]Gobierno!$A$1:$O$234,F$1,0)</f>
        <v>#N/A</v>
      </c>
      <c r="G2015" s="39" t="e">
        <f t="shared" si="4056"/>
        <v>#N/A</v>
      </c>
      <c r="H2015" s="16" t="e">
        <f t="shared" si="4056"/>
        <v>#N/A</v>
      </c>
      <c r="I2015" s="16" t="e">
        <f t="shared" si="4056"/>
        <v>#N/A</v>
      </c>
      <c r="J2015" s="40" t="e">
        <f t="shared" si="4056"/>
        <v>#N/A</v>
      </c>
      <c r="K2015" s="16" t="e">
        <f t="shared" si="4056"/>
        <v>#N/A</v>
      </c>
      <c r="L2015" s="40" t="e">
        <f t="shared" si="3629"/>
        <v>#N/A</v>
      </c>
      <c r="M2015" s="16" t="e">
        <f t="shared" si="3630"/>
        <v>#N/A</v>
      </c>
      <c r="N2015" s="16" t="e">
        <f t="shared" si="3631"/>
        <v>#N/A</v>
      </c>
      <c r="O2015" s="16" t="s">
        <v>70</v>
      </c>
      <c r="P2015" s="16" t="str">
        <f t="shared" si="6"/>
        <v/>
      </c>
      <c r="Q2015" s="41" t="e">
        <f t="shared" si="3632"/>
        <v>#N/A</v>
      </c>
      <c r="R2015" s="44"/>
      <c r="S2015" s="44"/>
      <c r="T2015" s="43"/>
      <c r="U2015" s="43" t="str">
        <f t="shared" si="8"/>
        <v>No</v>
      </c>
      <c r="V2015" s="25"/>
      <c r="W2015" s="25"/>
      <c r="X2015" s="25"/>
      <c r="Y2015" s="25"/>
      <c r="Z2015" s="25"/>
    </row>
    <row r="2016" spans="1:26" ht="15.75" customHeight="1" x14ac:dyDescent="0.25">
      <c r="A2016" s="25">
        <v>2014</v>
      </c>
      <c r="B2016" s="37" t="e">
        <f t="shared" ref="B2016:D2016" si="4057">VLOOKUP($A2016,[6]Gobierno!$A$1:$O$234,B$1,0)</f>
        <v>#N/A</v>
      </c>
      <c r="C2016" s="38" t="e">
        <f t="shared" si="4057"/>
        <v>#N/A</v>
      </c>
      <c r="D2016" s="39" t="e">
        <f t="shared" si="4057"/>
        <v>#N/A</v>
      </c>
      <c r="E2016" s="16" t="e">
        <f t="shared" si="1"/>
        <v>#N/A</v>
      </c>
      <c r="F2016" s="16" t="e">
        <f t="shared" ref="F2016:K2016" si="4058">VLOOKUP($A2016,[6]Gobierno!$A$1:$O$234,F$1,0)</f>
        <v>#N/A</v>
      </c>
      <c r="G2016" s="39" t="e">
        <f t="shared" si="4058"/>
        <v>#N/A</v>
      </c>
      <c r="H2016" s="16" t="e">
        <f t="shared" si="4058"/>
        <v>#N/A</v>
      </c>
      <c r="I2016" s="16" t="e">
        <f t="shared" si="4058"/>
        <v>#N/A</v>
      </c>
      <c r="J2016" s="40" t="e">
        <f t="shared" si="4058"/>
        <v>#N/A</v>
      </c>
      <c r="K2016" s="16" t="e">
        <f t="shared" si="4058"/>
        <v>#N/A</v>
      </c>
      <c r="L2016" s="40" t="e">
        <f t="shared" si="3629"/>
        <v>#N/A</v>
      </c>
      <c r="M2016" s="16" t="e">
        <f t="shared" si="3630"/>
        <v>#N/A</v>
      </c>
      <c r="N2016" s="16" t="e">
        <f t="shared" si="3631"/>
        <v>#N/A</v>
      </c>
      <c r="O2016" s="16" t="s">
        <v>70</v>
      </c>
      <c r="P2016" s="16" t="str">
        <f t="shared" si="6"/>
        <v/>
      </c>
      <c r="Q2016" s="41" t="e">
        <f t="shared" si="3632"/>
        <v>#N/A</v>
      </c>
      <c r="R2016" s="44"/>
      <c r="S2016" s="44"/>
      <c r="T2016" s="43"/>
      <c r="U2016" s="43" t="str">
        <f t="shared" si="8"/>
        <v>No</v>
      </c>
      <c r="V2016" s="25"/>
      <c r="W2016" s="25"/>
      <c r="X2016" s="25"/>
      <c r="Y2016" s="25"/>
      <c r="Z2016" s="25"/>
    </row>
    <row r="2017" spans="1:26" ht="15.75" customHeight="1" x14ac:dyDescent="0.25">
      <c r="A2017" s="25">
        <v>2015</v>
      </c>
      <c r="B2017" s="37" t="e">
        <f t="shared" ref="B2017:D2017" si="4059">VLOOKUP($A2017,[6]Gobierno!$A$1:$O$234,B$1,0)</f>
        <v>#N/A</v>
      </c>
      <c r="C2017" s="38" t="e">
        <f t="shared" si="4059"/>
        <v>#N/A</v>
      </c>
      <c r="D2017" s="39" t="e">
        <f t="shared" si="4059"/>
        <v>#N/A</v>
      </c>
      <c r="E2017" s="16" t="e">
        <f t="shared" si="1"/>
        <v>#N/A</v>
      </c>
      <c r="F2017" s="16" t="e">
        <f t="shared" ref="F2017:K2017" si="4060">VLOOKUP($A2017,[6]Gobierno!$A$1:$O$234,F$1,0)</f>
        <v>#N/A</v>
      </c>
      <c r="G2017" s="39" t="e">
        <f t="shared" si="4060"/>
        <v>#N/A</v>
      </c>
      <c r="H2017" s="16" t="e">
        <f t="shared" si="4060"/>
        <v>#N/A</v>
      </c>
      <c r="I2017" s="16" t="e">
        <f t="shared" si="4060"/>
        <v>#N/A</v>
      </c>
      <c r="J2017" s="40" t="e">
        <f t="shared" si="4060"/>
        <v>#N/A</v>
      </c>
      <c r="K2017" s="16" t="e">
        <f t="shared" si="4060"/>
        <v>#N/A</v>
      </c>
      <c r="L2017" s="40" t="e">
        <f t="shared" si="3629"/>
        <v>#N/A</v>
      </c>
      <c r="M2017" s="16" t="e">
        <f t="shared" si="3630"/>
        <v>#N/A</v>
      </c>
      <c r="N2017" s="16" t="e">
        <f t="shared" si="3631"/>
        <v>#N/A</v>
      </c>
      <c r="O2017" s="16" t="s">
        <v>70</v>
      </c>
      <c r="P2017" s="16" t="str">
        <f t="shared" si="6"/>
        <v/>
      </c>
      <c r="Q2017" s="41" t="e">
        <f t="shared" si="3632"/>
        <v>#N/A</v>
      </c>
      <c r="R2017" s="44"/>
      <c r="S2017" s="44"/>
      <c r="T2017" s="43"/>
      <c r="U2017" s="43" t="str">
        <f t="shared" si="8"/>
        <v>No</v>
      </c>
      <c r="V2017" s="25"/>
      <c r="W2017" s="25"/>
      <c r="X2017" s="25"/>
      <c r="Y2017" s="25"/>
      <c r="Z2017" s="25"/>
    </row>
    <row r="2018" spans="1:26" ht="15.75" customHeight="1" x14ac:dyDescent="0.25">
      <c r="A2018" s="25">
        <v>2016</v>
      </c>
      <c r="B2018" s="37" t="e">
        <f t="shared" ref="B2018:D2018" si="4061">VLOOKUP($A2018,[6]Gobierno!$A$1:$O$234,B$1,0)</f>
        <v>#N/A</v>
      </c>
      <c r="C2018" s="38" t="e">
        <f t="shared" si="4061"/>
        <v>#N/A</v>
      </c>
      <c r="D2018" s="39" t="e">
        <f t="shared" si="4061"/>
        <v>#N/A</v>
      </c>
      <c r="E2018" s="16" t="e">
        <f t="shared" si="1"/>
        <v>#N/A</v>
      </c>
      <c r="F2018" s="16" t="e">
        <f t="shared" ref="F2018:K2018" si="4062">VLOOKUP($A2018,[6]Gobierno!$A$1:$O$234,F$1,0)</f>
        <v>#N/A</v>
      </c>
      <c r="G2018" s="39" t="e">
        <f t="shared" si="4062"/>
        <v>#N/A</v>
      </c>
      <c r="H2018" s="16" t="e">
        <f t="shared" si="4062"/>
        <v>#N/A</v>
      </c>
      <c r="I2018" s="16" t="e">
        <f t="shared" si="4062"/>
        <v>#N/A</v>
      </c>
      <c r="J2018" s="40" t="e">
        <f t="shared" si="4062"/>
        <v>#N/A</v>
      </c>
      <c r="K2018" s="16" t="e">
        <f t="shared" si="4062"/>
        <v>#N/A</v>
      </c>
      <c r="L2018" s="40" t="e">
        <f t="shared" si="3629"/>
        <v>#N/A</v>
      </c>
      <c r="M2018" s="16" t="e">
        <f t="shared" si="3630"/>
        <v>#N/A</v>
      </c>
      <c r="N2018" s="16" t="e">
        <f t="shared" si="3631"/>
        <v>#N/A</v>
      </c>
      <c r="O2018" s="16" t="s">
        <v>70</v>
      </c>
      <c r="P2018" s="16" t="str">
        <f t="shared" si="6"/>
        <v/>
      </c>
      <c r="Q2018" s="41" t="e">
        <f t="shared" si="3632"/>
        <v>#N/A</v>
      </c>
      <c r="R2018" s="44"/>
      <c r="S2018" s="44"/>
      <c r="T2018" s="43"/>
      <c r="U2018" s="43" t="str">
        <f t="shared" si="8"/>
        <v>No</v>
      </c>
      <c r="V2018" s="25"/>
      <c r="W2018" s="25"/>
      <c r="X2018" s="25"/>
      <c r="Y2018" s="25"/>
      <c r="Z2018" s="25"/>
    </row>
    <row r="2019" spans="1:26" ht="15.75" customHeight="1" x14ac:dyDescent="0.25">
      <c r="A2019" s="25">
        <v>2017</v>
      </c>
      <c r="B2019" s="37" t="e">
        <f t="shared" ref="B2019:D2019" si="4063">VLOOKUP($A2019,[6]Gobierno!$A$1:$O$234,B$1,0)</f>
        <v>#N/A</v>
      </c>
      <c r="C2019" s="38" t="e">
        <f t="shared" si="4063"/>
        <v>#N/A</v>
      </c>
      <c r="D2019" s="39" t="e">
        <f t="shared" si="4063"/>
        <v>#N/A</v>
      </c>
      <c r="E2019" s="16" t="e">
        <f t="shared" si="1"/>
        <v>#N/A</v>
      </c>
      <c r="F2019" s="16" t="e">
        <f t="shared" ref="F2019:K2019" si="4064">VLOOKUP($A2019,[6]Gobierno!$A$1:$O$234,F$1,0)</f>
        <v>#N/A</v>
      </c>
      <c r="G2019" s="39" t="e">
        <f t="shared" si="4064"/>
        <v>#N/A</v>
      </c>
      <c r="H2019" s="16" t="e">
        <f t="shared" si="4064"/>
        <v>#N/A</v>
      </c>
      <c r="I2019" s="16" t="e">
        <f t="shared" si="4064"/>
        <v>#N/A</v>
      </c>
      <c r="J2019" s="40" t="e">
        <f t="shared" si="4064"/>
        <v>#N/A</v>
      </c>
      <c r="K2019" s="16" t="e">
        <f t="shared" si="4064"/>
        <v>#N/A</v>
      </c>
      <c r="L2019" s="40" t="e">
        <f t="shared" si="3629"/>
        <v>#N/A</v>
      </c>
      <c r="M2019" s="16" t="e">
        <f t="shared" si="3630"/>
        <v>#N/A</v>
      </c>
      <c r="N2019" s="16" t="e">
        <f t="shared" si="3631"/>
        <v>#N/A</v>
      </c>
      <c r="O2019" s="16" t="s">
        <v>70</v>
      </c>
      <c r="P2019" s="16" t="str">
        <f t="shared" si="6"/>
        <v/>
      </c>
      <c r="Q2019" s="41" t="e">
        <f t="shared" si="3632"/>
        <v>#N/A</v>
      </c>
      <c r="R2019" s="44"/>
      <c r="S2019" s="44"/>
      <c r="T2019" s="43"/>
      <c r="U2019" s="43" t="str">
        <f t="shared" si="8"/>
        <v>No</v>
      </c>
      <c r="V2019" s="25"/>
      <c r="W2019" s="25"/>
      <c r="X2019" s="25"/>
      <c r="Y2019" s="25"/>
      <c r="Z2019" s="25"/>
    </row>
    <row r="2020" spans="1:26" ht="15.75" customHeight="1" x14ac:dyDescent="0.25">
      <c r="A2020" s="25">
        <v>2018</v>
      </c>
      <c r="B2020" s="37" t="e">
        <f t="shared" ref="B2020:D2020" si="4065">VLOOKUP($A2020,[6]Gobierno!$A$1:$O$234,B$1,0)</f>
        <v>#N/A</v>
      </c>
      <c r="C2020" s="38" t="e">
        <f t="shared" si="4065"/>
        <v>#N/A</v>
      </c>
      <c r="D2020" s="39" t="e">
        <f t="shared" si="4065"/>
        <v>#N/A</v>
      </c>
      <c r="E2020" s="16" t="e">
        <f t="shared" si="1"/>
        <v>#N/A</v>
      </c>
      <c r="F2020" s="16" t="e">
        <f t="shared" ref="F2020:K2020" si="4066">VLOOKUP($A2020,[6]Gobierno!$A$1:$O$234,F$1,0)</f>
        <v>#N/A</v>
      </c>
      <c r="G2020" s="39" t="e">
        <f t="shared" si="4066"/>
        <v>#N/A</v>
      </c>
      <c r="H2020" s="16" t="e">
        <f t="shared" si="4066"/>
        <v>#N/A</v>
      </c>
      <c r="I2020" s="16" t="e">
        <f t="shared" si="4066"/>
        <v>#N/A</v>
      </c>
      <c r="J2020" s="40" t="e">
        <f t="shared" si="4066"/>
        <v>#N/A</v>
      </c>
      <c r="K2020" s="16" t="e">
        <f t="shared" si="4066"/>
        <v>#N/A</v>
      </c>
      <c r="L2020" s="40" t="e">
        <f t="shared" si="3629"/>
        <v>#N/A</v>
      </c>
      <c r="M2020" s="16" t="e">
        <f t="shared" si="3630"/>
        <v>#N/A</v>
      </c>
      <c r="N2020" s="16" t="e">
        <f t="shared" si="3631"/>
        <v>#N/A</v>
      </c>
      <c r="O2020" s="16" t="s">
        <v>70</v>
      </c>
      <c r="P2020" s="16" t="str">
        <f t="shared" si="6"/>
        <v/>
      </c>
      <c r="Q2020" s="41" t="e">
        <f t="shared" si="3632"/>
        <v>#N/A</v>
      </c>
      <c r="R2020" s="44"/>
      <c r="S2020" s="44"/>
      <c r="T2020" s="43"/>
      <c r="U2020" s="43" t="str">
        <f t="shared" si="8"/>
        <v>No</v>
      </c>
      <c r="V2020" s="25"/>
      <c r="W2020" s="25"/>
      <c r="X2020" s="25"/>
      <c r="Y2020" s="25"/>
      <c r="Z2020" s="25"/>
    </row>
    <row r="2021" spans="1:26" ht="15.75" customHeight="1" x14ac:dyDescent="0.25">
      <c r="A2021" s="25">
        <v>2019</v>
      </c>
      <c r="B2021" s="37" t="e">
        <f t="shared" ref="B2021:D2021" si="4067">VLOOKUP($A2021,[6]Gobierno!$A$1:$O$234,B$1,0)</f>
        <v>#N/A</v>
      </c>
      <c r="C2021" s="38" t="e">
        <f t="shared" si="4067"/>
        <v>#N/A</v>
      </c>
      <c r="D2021" s="39" t="e">
        <f t="shared" si="4067"/>
        <v>#N/A</v>
      </c>
      <c r="E2021" s="16" t="e">
        <f t="shared" si="1"/>
        <v>#N/A</v>
      </c>
      <c r="F2021" s="16" t="e">
        <f t="shared" ref="F2021:K2021" si="4068">VLOOKUP($A2021,[6]Gobierno!$A$1:$O$234,F$1,0)</f>
        <v>#N/A</v>
      </c>
      <c r="G2021" s="39" t="e">
        <f t="shared" si="4068"/>
        <v>#N/A</v>
      </c>
      <c r="H2021" s="16" t="e">
        <f t="shared" si="4068"/>
        <v>#N/A</v>
      </c>
      <c r="I2021" s="16" t="e">
        <f t="shared" si="4068"/>
        <v>#N/A</v>
      </c>
      <c r="J2021" s="40" t="e">
        <f t="shared" si="4068"/>
        <v>#N/A</v>
      </c>
      <c r="K2021" s="16" t="e">
        <f t="shared" si="4068"/>
        <v>#N/A</v>
      </c>
      <c r="L2021" s="40" t="e">
        <f t="shared" si="3629"/>
        <v>#N/A</v>
      </c>
      <c r="M2021" s="16" t="e">
        <f t="shared" si="3630"/>
        <v>#N/A</v>
      </c>
      <c r="N2021" s="16" t="e">
        <f t="shared" si="3631"/>
        <v>#N/A</v>
      </c>
      <c r="O2021" s="16" t="s">
        <v>70</v>
      </c>
      <c r="P2021" s="16" t="str">
        <f t="shared" si="6"/>
        <v/>
      </c>
      <c r="Q2021" s="41" t="e">
        <f t="shared" si="3632"/>
        <v>#N/A</v>
      </c>
      <c r="R2021" s="44"/>
      <c r="S2021" s="44"/>
      <c r="T2021" s="43"/>
      <c r="U2021" s="43" t="str">
        <f t="shared" si="8"/>
        <v>No</v>
      </c>
      <c r="V2021" s="25"/>
      <c r="W2021" s="25"/>
      <c r="X2021" s="25"/>
      <c r="Y2021" s="25"/>
      <c r="Z2021" s="25"/>
    </row>
    <row r="2022" spans="1:26" ht="15.75" customHeight="1" x14ac:dyDescent="0.25">
      <c r="A2022" s="25">
        <v>2020</v>
      </c>
      <c r="B2022" s="37" t="e">
        <f t="shared" ref="B2022:D2022" si="4069">VLOOKUP($A2022,[6]Gobierno!$A$1:$O$234,B$1,0)</f>
        <v>#N/A</v>
      </c>
      <c r="C2022" s="38" t="e">
        <f t="shared" si="4069"/>
        <v>#N/A</v>
      </c>
      <c r="D2022" s="39" t="e">
        <f t="shared" si="4069"/>
        <v>#N/A</v>
      </c>
      <c r="E2022" s="16" t="e">
        <f t="shared" si="1"/>
        <v>#N/A</v>
      </c>
      <c r="F2022" s="16" t="e">
        <f t="shared" ref="F2022:K2022" si="4070">VLOOKUP($A2022,[6]Gobierno!$A$1:$O$234,F$1,0)</f>
        <v>#N/A</v>
      </c>
      <c r="G2022" s="39" t="e">
        <f t="shared" si="4070"/>
        <v>#N/A</v>
      </c>
      <c r="H2022" s="16" t="e">
        <f t="shared" si="4070"/>
        <v>#N/A</v>
      </c>
      <c r="I2022" s="16" t="e">
        <f t="shared" si="4070"/>
        <v>#N/A</v>
      </c>
      <c r="J2022" s="40" t="e">
        <f t="shared" si="4070"/>
        <v>#N/A</v>
      </c>
      <c r="K2022" s="16" t="e">
        <f t="shared" si="4070"/>
        <v>#N/A</v>
      </c>
      <c r="L2022" s="40" t="e">
        <f t="shared" si="3629"/>
        <v>#N/A</v>
      </c>
      <c r="M2022" s="16" t="e">
        <f t="shared" si="3630"/>
        <v>#N/A</v>
      </c>
      <c r="N2022" s="16" t="e">
        <f t="shared" si="3631"/>
        <v>#N/A</v>
      </c>
      <c r="O2022" s="16" t="s">
        <v>70</v>
      </c>
      <c r="P2022" s="16" t="str">
        <f t="shared" si="6"/>
        <v/>
      </c>
      <c r="Q2022" s="41" t="e">
        <f t="shared" si="3632"/>
        <v>#N/A</v>
      </c>
      <c r="R2022" s="44"/>
      <c r="S2022" s="44"/>
      <c r="T2022" s="43"/>
      <c r="U2022" s="43" t="str">
        <f t="shared" si="8"/>
        <v>No</v>
      </c>
      <c r="V2022" s="25"/>
      <c r="W2022" s="25"/>
      <c r="X2022" s="25"/>
      <c r="Y2022" s="25"/>
      <c r="Z2022" s="25"/>
    </row>
    <row r="2023" spans="1:26" ht="15.75" customHeight="1" x14ac:dyDescent="0.25">
      <c r="A2023" s="25">
        <v>2021</v>
      </c>
      <c r="B2023" s="37" t="e">
        <f t="shared" ref="B2023:D2023" si="4071">VLOOKUP($A2023,[6]Gobierno!$A$1:$O$234,B$1,0)</f>
        <v>#N/A</v>
      </c>
      <c r="C2023" s="38" t="e">
        <f t="shared" si="4071"/>
        <v>#N/A</v>
      </c>
      <c r="D2023" s="39" t="e">
        <f t="shared" si="4071"/>
        <v>#N/A</v>
      </c>
      <c r="E2023" s="16" t="e">
        <f t="shared" si="1"/>
        <v>#N/A</v>
      </c>
      <c r="F2023" s="16" t="e">
        <f t="shared" ref="F2023:K2023" si="4072">VLOOKUP($A2023,[6]Gobierno!$A$1:$O$234,F$1,0)</f>
        <v>#N/A</v>
      </c>
      <c r="G2023" s="39" t="e">
        <f t="shared" si="4072"/>
        <v>#N/A</v>
      </c>
      <c r="H2023" s="16" t="e">
        <f t="shared" si="4072"/>
        <v>#N/A</v>
      </c>
      <c r="I2023" s="16" t="e">
        <f t="shared" si="4072"/>
        <v>#N/A</v>
      </c>
      <c r="J2023" s="40" t="e">
        <f t="shared" si="4072"/>
        <v>#N/A</v>
      </c>
      <c r="K2023" s="16" t="e">
        <f t="shared" si="4072"/>
        <v>#N/A</v>
      </c>
      <c r="L2023" s="40" t="e">
        <f t="shared" si="3629"/>
        <v>#N/A</v>
      </c>
      <c r="M2023" s="16" t="e">
        <f t="shared" si="3630"/>
        <v>#N/A</v>
      </c>
      <c r="N2023" s="16" t="e">
        <f t="shared" si="3631"/>
        <v>#N/A</v>
      </c>
      <c r="O2023" s="16" t="s">
        <v>70</v>
      </c>
      <c r="P2023" s="16" t="str">
        <f t="shared" si="6"/>
        <v/>
      </c>
      <c r="Q2023" s="41" t="e">
        <f t="shared" si="3632"/>
        <v>#N/A</v>
      </c>
      <c r="R2023" s="44"/>
      <c r="S2023" s="44"/>
      <c r="T2023" s="43"/>
      <c r="U2023" s="43" t="str">
        <f t="shared" si="8"/>
        <v>No</v>
      </c>
      <c r="V2023" s="25"/>
      <c r="W2023" s="25"/>
      <c r="X2023" s="25"/>
      <c r="Y2023" s="25"/>
      <c r="Z2023" s="25"/>
    </row>
    <row r="2024" spans="1:26" ht="15.75" customHeight="1" x14ac:dyDescent="0.25">
      <c r="A2024" s="25">
        <v>2022</v>
      </c>
      <c r="B2024" s="37" t="e">
        <f t="shared" ref="B2024:D2024" si="4073">VLOOKUP($A2024,[6]Gobierno!$A$1:$O$234,B$1,0)</f>
        <v>#N/A</v>
      </c>
      <c r="C2024" s="38" t="e">
        <f t="shared" si="4073"/>
        <v>#N/A</v>
      </c>
      <c r="D2024" s="39" t="e">
        <f t="shared" si="4073"/>
        <v>#N/A</v>
      </c>
      <c r="E2024" s="16" t="e">
        <f t="shared" si="1"/>
        <v>#N/A</v>
      </c>
      <c r="F2024" s="16" t="e">
        <f t="shared" ref="F2024:K2024" si="4074">VLOOKUP($A2024,[6]Gobierno!$A$1:$O$234,F$1,0)</f>
        <v>#N/A</v>
      </c>
      <c r="G2024" s="39" t="e">
        <f t="shared" si="4074"/>
        <v>#N/A</v>
      </c>
      <c r="H2024" s="16" t="e">
        <f t="shared" si="4074"/>
        <v>#N/A</v>
      </c>
      <c r="I2024" s="16" t="e">
        <f t="shared" si="4074"/>
        <v>#N/A</v>
      </c>
      <c r="J2024" s="40" t="e">
        <f t="shared" si="4074"/>
        <v>#N/A</v>
      </c>
      <c r="K2024" s="16" t="e">
        <f t="shared" si="4074"/>
        <v>#N/A</v>
      </c>
      <c r="L2024" s="40" t="e">
        <f t="shared" si="3629"/>
        <v>#N/A</v>
      </c>
      <c r="M2024" s="16" t="e">
        <f t="shared" si="3630"/>
        <v>#N/A</v>
      </c>
      <c r="N2024" s="16" t="e">
        <f t="shared" si="3631"/>
        <v>#N/A</v>
      </c>
      <c r="O2024" s="16" t="s">
        <v>70</v>
      </c>
      <c r="P2024" s="16" t="str">
        <f t="shared" si="6"/>
        <v/>
      </c>
      <c r="Q2024" s="41" t="e">
        <f t="shared" si="3632"/>
        <v>#N/A</v>
      </c>
      <c r="R2024" s="44"/>
      <c r="S2024" s="44"/>
      <c r="T2024" s="43"/>
      <c r="U2024" s="43" t="str">
        <f t="shared" si="8"/>
        <v>No</v>
      </c>
      <c r="V2024" s="25"/>
      <c r="W2024" s="25"/>
      <c r="X2024" s="25"/>
      <c r="Y2024" s="25"/>
      <c r="Z2024" s="25"/>
    </row>
    <row r="2025" spans="1:26" ht="15.75" customHeight="1" x14ac:dyDescent="0.25">
      <c r="A2025" s="25">
        <v>2023</v>
      </c>
      <c r="B2025" s="37" t="e">
        <f t="shared" ref="B2025:D2025" si="4075">VLOOKUP($A2025,[6]Gobierno!$A$1:$O$234,B$1,0)</f>
        <v>#N/A</v>
      </c>
      <c r="C2025" s="38" t="e">
        <f t="shared" si="4075"/>
        <v>#N/A</v>
      </c>
      <c r="D2025" s="39" t="e">
        <f t="shared" si="4075"/>
        <v>#N/A</v>
      </c>
      <c r="E2025" s="16" t="e">
        <f t="shared" si="1"/>
        <v>#N/A</v>
      </c>
      <c r="F2025" s="16" t="e">
        <f t="shared" ref="F2025:K2025" si="4076">VLOOKUP($A2025,[6]Gobierno!$A$1:$O$234,F$1,0)</f>
        <v>#N/A</v>
      </c>
      <c r="G2025" s="39" t="e">
        <f t="shared" si="4076"/>
        <v>#N/A</v>
      </c>
      <c r="H2025" s="16" t="e">
        <f t="shared" si="4076"/>
        <v>#N/A</v>
      </c>
      <c r="I2025" s="16" t="e">
        <f t="shared" si="4076"/>
        <v>#N/A</v>
      </c>
      <c r="J2025" s="40" t="e">
        <f t="shared" si="4076"/>
        <v>#N/A</v>
      </c>
      <c r="K2025" s="16" t="e">
        <f t="shared" si="4076"/>
        <v>#N/A</v>
      </c>
      <c r="L2025" s="40" t="e">
        <f t="shared" si="3629"/>
        <v>#N/A</v>
      </c>
      <c r="M2025" s="16" t="e">
        <f t="shared" si="3630"/>
        <v>#N/A</v>
      </c>
      <c r="N2025" s="16" t="e">
        <f t="shared" si="3631"/>
        <v>#N/A</v>
      </c>
      <c r="O2025" s="16" t="s">
        <v>70</v>
      </c>
      <c r="P2025" s="16" t="str">
        <f t="shared" si="6"/>
        <v/>
      </c>
      <c r="Q2025" s="41" t="e">
        <f t="shared" si="3632"/>
        <v>#N/A</v>
      </c>
      <c r="R2025" s="44"/>
      <c r="S2025" s="44"/>
      <c r="T2025" s="43"/>
      <c r="U2025" s="43" t="str">
        <f t="shared" si="8"/>
        <v>No</v>
      </c>
      <c r="V2025" s="25"/>
      <c r="W2025" s="25"/>
      <c r="X2025" s="25"/>
      <c r="Y2025" s="25"/>
      <c r="Z2025" s="25"/>
    </row>
    <row r="2026" spans="1:26" ht="15.75" customHeight="1" x14ac:dyDescent="0.25">
      <c r="A2026" s="25">
        <v>2024</v>
      </c>
      <c r="B2026" s="37" t="e">
        <f t="shared" ref="B2026:D2026" si="4077">VLOOKUP($A2026,[6]Gobierno!$A$1:$O$234,B$1,0)</f>
        <v>#N/A</v>
      </c>
      <c r="C2026" s="38" t="e">
        <f t="shared" si="4077"/>
        <v>#N/A</v>
      </c>
      <c r="D2026" s="39" t="e">
        <f t="shared" si="4077"/>
        <v>#N/A</v>
      </c>
      <c r="E2026" s="16" t="e">
        <f t="shared" si="1"/>
        <v>#N/A</v>
      </c>
      <c r="F2026" s="16" t="e">
        <f t="shared" ref="F2026:K2026" si="4078">VLOOKUP($A2026,[6]Gobierno!$A$1:$O$234,F$1,0)</f>
        <v>#N/A</v>
      </c>
      <c r="G2026" s="39" t="e">
        <f t="shared" si="4078"/>
        <v>#N/A</v>
      </c>
      <c r="H2026" s="16" t="e">
        <f t="shared" si="4078"/>
        <v>#N/A</v>
      </c>
      <c r="I2026" s="16" t="e">
        <f t="shared" si="4078"/>
        <v>#N/A</v>
      </c>
      <c r="J2026" s="40" t="e">
        <f t="shared" si="4078"/>
        <v>#N/A</v>
      </c>
      <c r="K2026" s="16" t="e">
        <f t="shared" si="4078"/>
        <v>#N/A</v>
      </c>
      <c r="L2026" s="40" t="e">
        <f t="shared" si="3629"/>
        <v>#N/A</v>
      </c>
      <c r="M2026" s="16" t="e">
        <f t="shared" si="3630"/>
        <v>#N/A</v>
      </c>
      <c r="N2026" s="16" t="e">
        <f t="shared" si="3631"/>
        <v>#N/A</v>
      </c>
      <c r="O2026" s="16" t="s">
        <v>70</v>
      </c>
      <c r="P2026" s="16" t="str">
        <f t="shared" si="6"/>
        <v/>
      </c>
      <c r="Q2026" s="41" t="e">
        <f t="shared" si="3632"/>
        <v>#N/A</v>
      </c>
      <c r="R2026" s="44"/>
      <c r="S2026" s="44"/>
      <c r="T2026" s="43"/>
      <c r="U2026" s="43" t="str">
        <f t="shared" si="8"/>
        <v>No</v>
      </c>
      <c r="V2026" s="25"/>
      <c r="W2026" s="25"/>
      <c r="X2026" s="25"/>
      <c r="Y2026" s="25"/>
      <c r="Z2026" s="25"/>
    </row>
    <row r="2027" spans="1:26" ht="15.75" customHeight="1" x14ac:dyDescent="0.25">
      <c r="A2027" s="25">
        <v>2025</v>
      </c>
      <c r="B2027" s="37" t="e">
        <f t="shared" ref="B2027:D2027" si="4079">VLOOKUP($A2027,[6]Gobierno!$A$1:$O$234,B$1,0)</f>
        <v>#N/A</v>
      </c>
      <c r="C2027" s="38" t="e">
        <f t="shared" si="4079"/>
        <v>#N/A</v>
      </c>
      <c r="D2027" s="39" t="e">
        <f t="shared" si="4079"/>
        <v>#N/A</v>
      </c>
      <c r="E2027" s="16" t="e">
        <f t="shared" si="1"/>
        <v>#N/A</v>
      </c>
      <c r="F2027" s="16" t="e">
        <f t="shared" ref="F2027:K2027" si="4080">VLOOKUP($A2027,[6]Gobierno!$A$1:$O$234,F$1,0)</f>
        <v>#N/A</v>
      </c>
      <c r="G2027" s="39" t="e">
        <f t="shared" si="4080"/>
        <v>#N/A</v>
      </c>
      <c r="H2027" s="16" t="e">
        <f t="shared" si="4080"/>
        <v>#N/A</v>
      </c>
      <c r="I2027" s="16" t="e">
        <f t="shared" si="4080"/>
        <v>#N/A</v>
      </c>
      <c r="J2027" s="40" t="e">
        <f t="shared" si="4080"/>
        <v>#N/A</v>
      </c>
      <c r="K2027" s="16" t="e">
        <f t="shared" si="4080"/>
        <v>#N/A</v>
      </c>
      <c r="L2027" s="40" t="e">
        <f t="shared" si="3629"/>
        <v>#N/A</v>
      </c>
      <c r="M2027" s="16" t="e">
        <f t="shared" si="3630"/>
        <v>#N/A</v>
      </c>
      <c r="N2027" s="16" t="e">
        <f t="shared" si="3631"/>
        <v>#N/A</v>
      </c>
      <c r="O2027" s="16" t="s">
        <v>70</v>
      </c>
      <c r="P2027" s="16" t="str">
        <f t="shared" si="6"/>
        <v/>
      </c>
      <c r="Q2027" s="41" t="e">
        <f t="shared" si="3632"/>
        <v>#N/A</v>
      </c>
      <c r="R2027" s="44"/>
      <c r="S2027" s="44"/>
      <c r="T2027" s="43"/>
      <c r="U2027" s="43" t="str">
        <f t="shared" si="8"/>
        <v>No</v>
      </c>
      <c r="V2027" s="25"/>
      <c r="W2027" s="25"/>
      <c r="X2027" s="25"/>
      <c r="Y2027" s="25"/>
      <c r="Z2027" s="25"/>
    </row>
    <row r="2028" spans="1:26" ht="15.75" customHeight="1" x14ac:dyDescent="0.25">
      <c r="A2028" s="25">
        <v>2026</v>
      </c>
      <c r="B2028" s="37" t="e">
        <f t="shared" ref="B2028:D2028" si="4081">VLOOKUP($A2028,[6]Gobierno!$A$1:$O$234,B$1,0)</f>
        <v>#N/A</v>
      </c>
      <c r="C2028" s="38" t="e">
        <f t="shared" si="4081"/>
        <v>#N/A</v>
      </c>
      <c r="D2028" s="39" t="e">
        <f t="shared" si="4081"/>
        <v>#N/A</v>
      </c>
      <c r="E2028" s="16" t="e">
        <f t="shared" si="1"/>
        <v>#N/A</v>
      </c>
      <c r="F2028" s="16" t="e">
        <f t="shared" ref="F2028:K2028" si="4082">VLOOKUP($A2028,[6]Gobierno!$A$1:$O$234,F$1,0)</f>
        <v>#N/A</v>
      </c>
      <c r="G2028" s="39" t="e">
        <f t="shared" si="4082"/>
        <v>#N/A</v>
      </c>
      <c r="H2028" s="16" t="e">
        <f t="shared" si="4082"/>
        <v>#N/A</v>
      </c>
      <c r="I2028" s="16" t="e">
        <f t="shared" si="4082"/>
        <v>#N/A</v>
      </c>
      <c r="J2028" s="40" t="e">
        <f t="shared" si="4082"/>
        <v>#N/A</v>
      </c>
      <c r="K2028" s="16" t="e">
        <f t="shared" si="4082"/>
        <v>#N/A</v>
      </c>
      <c r="L2028" s="40" t="e">
        <f t="shared" si="3629"/>
        <v>#N/A</v>
      </c>
      <c r="M2028" s="16" t="e">
        <f t="shared" si="3630"/>
        <v>#N/A</v>
      </c>
      <c r="N2028" s="16" t="e">
        <f t="shared" si="3631"/>
        <v>#N/A</v>
      </c>
      <c r="O2028" s="16" t="s">
        <v>70</v>
      </c>
      <c r="P2028" s="16" t="str">
        <f t="shared" si="6"/>
        <v/>
      </c>
      <c r="Q2028" s="41" t="e">
        <f t="shared" si="3632"/>
        <v>#N/A</v>
      </c>
      <c r="R2028" s="44"/>
      <c r="S2028" s="44"/>
      <c r="T2028" s="43"/>
      <c r="U2028" s="43" t="str">
        <f t="shared" si="8"/>
        <v>No</v>
      </c>
      <c r="V2028" s="25"/>
      <c r="W2028" s="25"/>
      <c r="X2028" s="25"/>
      <c r="Y2028" s="25"/>
      <c r="Z2028" s="25"/>
    </row>
    <row r="2029" spans="1:26" ht="15.75" customHeight="1" x14ac:dyDescent="0.25">
      <c r="A2029" s="25">
        <v>2027</v>
      </c>
      <c r="B2029" s="37" t="e">
        <f t="shared" ref="B2029:D2029" si="4083">VLOOKUP($A2029,[6]Gobierno!$A$1:$O$234,B$1,0)</f>
        <v>#N/A</v>
      </c>
      <c r="C2029" s="38" t="e">
        <f t="shared" si="4083"/>
        <v>#N/A</v>
      </c>
      <c r="D2029" s="39" t="e">
        <f t="shared" si="4083"/>
        <v>#N/A</v>
      </c>
      <c r="E2029" s="16" t="e">
        <f t="shared" si="1"/>
        <v>#N/A</v>
      </c>
      <c r="F2029" s="16" t="e">
        <f t="shared" ref="F2029:K2029" si="4084">VLOOKUP($A2029,[6]Gobierno!$A$1:$O$234,F$1,0)</f>
        <v>#N/A</v>
      </c>
      <c r="G2029" s="39" t="e">
        <f t="shared" si="4084"/>
        <v>#N/A</v>
      </c>
      <c r="H2029" s="16" t="e">
        <f t="shared" si="4084"/>
        <v>#N/A</v>
      </c>
      <c r="I2029" s="16" t="e">
        <f t="shared" si="4084"/>
        <v>#N/A</v>
      </c>
      <c r="J2029" s="40" t="e">
        <f t="shared" si="4084"/>
        <v>#N/A</v>
      </c>
      <c r="K2029" s="16" t="e">
        <f t="shared" si="4084"/>
        <v>#N/A</v>
      </c>
      <c r="L2029" s="40" t="e">
        <f t="shared" si="3629"/>
        <v>#N/A</v>
      </c>
      <c r="M2029" s="16" t="e">
        <f t="shared" si="3630"/>
        <v>#N/A</v>
      </c>
      <c r="N2029" s="16" t="e">
        <f t="shared" si="3631"/>
        <v>#N/A</v>
      </c>
      <c r="O2029" s="16" t="s">
        <v>70</v>
      </c>
      <c r="P2029" s="16" t="str">
        <f t="shared" si="6"/>
        <v/>
      </c>
      <c r="Q2029" s="41" t="e">
        <f t="shared" si="3632"/>
        <v>#N/A</v>
      </c>
      <c r="R2029" s="44"/>
      <c r="S2029" s="44"/>
      <c r="T2029" s="43"/>
      <c r="U2029" s="43" t="str">
        <f t="shared" si="8"/>
        <v>No</v>
      </c>
      <c r="V2029" s="25"/>
      <c r="W2029" s="25"/>
      <c r="X2029" s="25"/>
      <c r="Y2029" s="25"/>
      <c r="Z2029" s="25"/>
    </row>
    <row r="2030" spans="1:26" ht="15.75" customHeight="1" x14ac:dyDescent="0.25">
      <c r="A2030" s="25">
        <v>2028</v>
      </c>
      <c r="B2030" s="37" t="e">
        <f t="shared" ref="B2030:D2030" si="4085">VLOOKUP($A2030,[6]Gobierno!$A$1:$O$234,B$1,0)</f>
        <v>#N/A</v>
      </c>
      <c r="C2030" s="38" t="e">
        <f t="shared" si="4085"/>
        <v>#N/A</v>
      </c>
      <c r="D2030" s="39" t="e">
        <f t="shared" si="4085"/>
        <v>#N/A</v>
      </c>
      <c r="E2030" s="16" t="e">
        <f t="shared" si="1"/>
        <v>#N/A</v>
      </c>
      <c r="F2030" s="16" t="e">
        <f t="shared" ref="F2030:K2030" si="4086">VLOOKUP($A2030,[6]Gobierno!$A$1:$O$234,F$1,0)</f>
        <v>#N/A</v>
      </c>
      <c r="G2030" s="39" t="e">
        <f t="shared" si="4086"/>
        <v>#N/A</v>
      </c>
      <c r="H2030" s="16" t="e">
        <f t="shared" si="4086"/>
        <v>#N/A</v>
      </c>
      <c r="I2030" s="16" t="e">
        <f t="shared" si="4086"/>
        <v>#N/A</v>
      </c>
      <c r="J2030" s="40" t="e">
        <f t="shared" si="4086"/>
        <v>#N/A</v>
      </c>
      <c r="K2030" s="16" t="e">
        <f t="shared" si="4086"/>
        <v>#N/A</v>
      </c>
      <c r="L2030" s="40" t="e">
        <f t="shared" si="3629"/>
        <v>#N/A</v>
      </c>
      <c r="M2030" s="16" t="e">
        <f t="shared" si="3630"/>
        <v>#N/A</v>
      </c>
      <c r="N2030" s="16" t="e">
        <f t="shared" si="3631"/>
        <v>#N/A</v>
      </c>
      <c r="O2030" s="16" t="s">
        <v>70</v>
      </c>
      <c r="P2030" s="16" t="str">
        <f t="shared" si="6"/>
        <v/>
      </c>
      <c r="Q2030" s="41" t="e">
        <f t="shared" si="3632"/>
        <v>#N/A</v>
      </c>
      <c r="R2030" s="44"/>
      <c r="S2030" s="44"/>
      <c r="T2030" s="43"/>
      <c r="U2030" s="43" t="str">
        <f t="shared" si="8"/>
        <v>No</v>
      </c>
      <c r="V2030" s="25"/>
      <c r="W2030" s="25"/>
      <c r="X2030" s="25"/>
      <c r="Y2030" s="25"/>
      <c r="Z2030" s="25"/>
    </row>
    <row r="2031" spans="1:26" ht="15.75" customHeight="1" x14ac:dyDescent="0.25">
      <c r="A2031" s="25">
        <v>2029</v>
      </c>
      <c r="B2031" s="37" t="e">
        <f t="shared" ref="B2031:D2031" si="4087">VLOOKUP($A2031,[6]Gobierno!$A$1:$O$234,B$1,0)</f>
        <v>#N/A</v>
      </c>
      <c r="C2031" s="38" t="e">
        <f t="shared" si="4087"/>
        <v>#N/A</v>
      </c>
      <c r="D2031" s="39" t="e">
        <f t="shared" si="4087"/>
        <v>#N/A</v>
      </c>
      <c r="E2031" s="16" t="e">
        <f t="shared" si="1"/>
        <v>#N/A</v>
      </c>
      <c r="F2031" s="16" t="e">
        <f t="shared" ref="F2031:K2031" si="4088">VLOOKUP($A2031,[6]Gobierno!$A$1:$O$234,F$1,0)</f>
        <v>#N/A</v>
      </c>
      <c r="G2031" s="39" t="e">
        <f t="shared" si="4088"/>
        <v>#N/A</v>
      </c>
      <c r="H2031" s="16" t="e">
        <f t="shared" si="4088"/>
        <v>#N/A</v>
      </c>
      <c r="I2031" s="16" t="e">
        <f t="shared" si="4088"/>
        <v>#N/A</v>
      </c>
      <c r="J2031" s="40" t="e">
        <f t="shared" si="4088"/>
        <v>#N/A</v>
      </c>
      <c r="K2031" s="16" t="e">
        <f t="shared" si="4088"/>
        <v>#N/A</v>
      </c>
      <c r="L2031" s="40" t="e">
        <f t="shared" si="3629"/>
        <v>#N/A</v>
      </c>
      <c r="M2031" s="16" t="e">
        <f t="shared" si="3630"/>
        <v>#N/A</v>
      </c>
      <c r="N2031" s="16" t="e">
        <f t="shared" si="3631"/>
        <v>#N/A</v>
      </c>
      <c r="O2031" s="16" t="s">
        <v>70</v>
      </c>
      <c r="P2031" s="16" t="str">
        <f t="shared" si="6"/>
        <v/>
      </c>
      <c r="Q2031" s="41" t="e">
        <f t="shared" si="3632"/>
        <v>#N/A</v>
      </c>
      <c r="R2031" s="44"/>
      <c r="S2031" s="44"/>
      <c r="T2031" s="43"/>
      <c r="U2031" s="43" t="str">
        <f t="shared" si="8"/>
        <v>No</v>
      </c>
      <c r="V2031" s="25"/>
      <c r="W2031" s="25"/>
      <c r="X2031" s="25"/>
      <c r="Y2031" s="25"/>
      <c r="Z2031" s="25"/>
    </row>
    <row r="2032" spans="1:26" ht="15.75" customHeight="1" x14ac:dyDescent="0.25">
      <c r="A2032" s="25">
        <v>2030</v>
      </c>
      <c r="B2032" s="37" t="e">
        <f t="shared" ref="B2032:D2032" si="4089">VLOOKUP($A2032,[6]Gobierno!$A$1:$O$234,B$1,0)</f>
        <v>#N/A</v>
      </c>
      <c r="C2032" s="38" t="e">
        <f t="shared" si="4089"/>
        <v>#N/A</v>
      </c>
      <c r="D2032" s="39" t="e">
        <f t="shared" si="4089"/>
        <v>#N/A</v>
      </c>
      <c r="E2032" s="16" t="e">
        <f t="shared" si="1"/>
        <v>#N/A</v>
      </c>
      <c r="F2032" s="16" t="e">
        <f t="shared" ref="F2032:K2032" si="4090">VLOOKUP($A2032,[6]Gobierno!$A$1:$O$234,F$1,0)</f>
        <v>#N/A</v>
      </c>
      <c r="G2032" s="39" t="e">
        <f t="shared" si="4090"/>
        <v>#N/A</v>
      </c>
      <c r="H2032" s="16" t="e">
        <f t="shared" si="4090"/>
        <v>#N/A</v>
      </c>
      <c r="I2032" s="16" t="e">
        <f t="shared" si="4090"/>
        <v>#N/A</v>
      </c>
      <c r="J2032" s="40" t="e">
        <f t="shared" si="4090"/>
        <v>#N/A</v>
      </c>
      <c r="K2032" s="16" t="e">
        <f t="shared" si="4090"/>
        <v>#N/A</v>
      </c>
      <c r="L2032" s="40" t="e">
        <f t="shared" si="3629"/>
        <v>#N/A</v>
      </c>
      <c r="M2032" s="16" t="e">
        <f t="shared" si="3630"/>
        <v>#N/A</v>
      </c>
      <c r="N2032" s="16" t="e">
        <f t="shared" si="3631"/>
        <v>#N/A</v>
      </c>
      <c r="O2032" s="16" t="s">
        <v>70</v>
      </c>
      <c r="P2032" s="16" t="str">
        <f t="shared" si="6"/>
        <v/>
      </c>
      <c r="Q2032" s="41" t="e">
        <f t="shared" si="3632"/>
        <v>#N/A</v>
      </c>
      <c r="R2032" s="44"/>
      <c r="S2032" s="44"/>
      <c r="T2032" s="43"/>
      <c r="U2032" s="43" t="str">
        <f t="shared" si="8"/>
        <v>No</v>
      </c>
      <c r="V2032" s="25"/>
      <c r="W2032" s="25"/>
      <c r="X2032" s="25"/>
      <c r="Y2032" s="25"/>
      <c r="Z2032" s="25"/>
    </row>
    <row r="2033" spans="1:26" ht="15.75" customHeight="1" x14ac:dyDescent="0.25">
      <c r="A2033" s="25">
        <v>2031</v>
      </c>
      <c r="B2033" s="37" t="e">
        <f t="shared" ref="B2033:D2033" si="4091">VLOOKUP($A2033,[6]Gobierno!$A$1:$O$234,B$1,0)</f>
        <v>#N/A</v>
      </c>
      <c r="C2033" s="38" t="e">
        <f t="shared" si="4091"/>
        <v>#N/A</v>
      </c>
      <c r="D2033" s="39" t="e">
        <f t="shared" si="4091"/>
        <v>#N/A</v>
      </c>
      <c r="E2033" s="16" t="e">
        <f t="shared" si="1"/>
        <v>#N/A</v>
      </c>
      <c r="F2033" s="16" t="e">
        <f t="shared" ref="F2033:K2033" si="4092">VLOOKUP($A2033,[6]Gobierno!$A$1:$O$234,F$1,0)</f>
        <v>#N/A</v>
      </c>
      <c r="G2033" s="39" t="e">
        <f t="shared" si="4092"/>
        <v>#N/A</v>
      </c>
      <c r="H2033" s="16" t="e">
        <f t="shared" si="4092"/>
        <v>#N/A</v>
      </c>
      <c r="I2033" s="16" t="e">
        <f t="shared" si="4092"/>
        <v>#N/A</v>
      </c>
      <c r="J2033" s="40" t="e">
        <f t="shared" si="4092"/>
        <v>#N/A</v>
      </c>
      <c r="K2033" s="16" t="e">
        <f t="shared" si="4092"/>
        <v>#N/A</v>
      </c>
      <c r="L2033" s="40" t="e">
        <f t="shared" si="3629"/>
        <v>#N/A</v>
      </c>
      <c r="M2033" s="16" t="e">
        <f t="shared" si="3630"/>
        <v>#N/A</v>
      </c>
      <c r="N2033" s="16" t="e">
        <f t="shared" si="3631"/>
        <v>#N/A</v>
      </c>
      <c r="O2033" s="16" t="s">
        <v>70</v>
      </c>
      <c r="P2033" s="16" t="str">
        <f t="shared" si="6"/>
        <v/>
      </c>
      <c r="Q2033" s="41" t="e">
        <f t="shared" si="3632"/>
        <v>#N/A</v>
      </c>
      <c r="R2033" s="44"/>
      <c r="S2033" s="44"/>
      <c r="T2033" s="43"/>
      <c r="U2033" s="43" t="str">
        <f t="shared" si="8"/>
        <v>No</v>
      </c>
      <c r="V2033" s="25"/>
      <c r="W2033" s="25"/>
      <c r="X2033" s="25"/>
      <c r="Y2033" s="25"/>
      <c r="Z2033" s="25"/>
    </row>
    <row r="2034" spans="1:26" ht="15.75" customHeight="1" x14ac:dyDescent="0.25">
      <c r="A2034" s="25">
        <v>2032</v>
      </c>
      <c r="B2034" s="37" t="e">
        <f t="shared" ref="B2034:D2034" si="4093">VLOOKUP($A2034,[6]Gobierno!$A$1:$O$234,B$1,0)</f>
        <v>#N/A</v>
      </c>
      <c r="C2034" s="38" t="e">
        <f t="shared" si="4093"/>
        <v>#N/A</v>
      </c>
      <c r="D2034" s="39" t="e">
        <f t="shared" si="4093"/>
        <v>#N/A</v>
      </c>
      <c r="E2034" s="16" t="e">
        <f t="shared" si="1"/>
        <v>#N/A</v>
      </c>
      <c r="F2034" s="16" t="e">
        <f t="shared" ref="F2034:K2034" si="4094">VLOOKUP($A2034,[6]Gobierno!$A$1:$O$234,F$1,0)</f>
        <v>#N/A</v>
      </c>
      <c r="G2034" s="39" t="e">
        <f t="shared" si="4094"/>
        <v>#N/A</v>
      </c>
      <c r="H2034" s="16" t="e">
        <f t="shared" si="4094"/>
        <v>#N/A</v>
      </c>
      <c r="I2034" s="16" t="e">
        <f t="shared" si="4094"/>
        <v>#N/A</v>
      </c>
      <c r="J2034" s="40" t="e">
        <f t="shared" si="4094"/>
        <v>#N/A</v>
      </c>
      <c r="K2034" s="16" t="e">
        <f t="shared" si="4094"/>
        <v>#N/A</v>
      </c>
      <c r="L2034" s="40" t="e">
        <f t="shared" si="3629"/>
        <v>#N/A</v>
      </c>
      <c r="M2034" s="16" t="e">
        <f t="shared" si="3630"/>
        <v>#N/A</v>
      </c>
      <c r="N2034" s="16" t="e">
        <f t="shared" si="3631"/>
        <v>#N/A</v>
      </c>
      <c r="O2034" s="16" t="s">
        <v>70</v>
      </c>
      <c r="P2034" s="16" t="str">
        <f t="shared" si="6"/>
        <v/>
      </c>
      <c r="Q2034" s="41" t="e">
        <f t="shared" si="3632"/>
        <v>#N/A</v>
      </c>
      <c r="R2034" s="44"/>
      <c r="S2034" s="44"/>
      <c r="T2034" s="43"/>
      <c r="U2034" s="43" t="str">
        <f t="shared" si="8"/>
        <v>No</v>
      </c>
      <c r="V2034" s="25"/>
      <c r="W2034" s="25"/>
      <c r="X2034" s="25"/>
      <c r="Y2034" s="25"/>
      <c r="Z2034" s="25"/>
    </row>
    <row r="2035" spans="1:26" ht="15.75" customHeight="1" x14ac:dyDescent="0.25">
      <c r="A2035" s="25">
        <v>2033</v>
      </c>
      <c r="B2035" s="37" t="e">
        <f t="shared" ref="B2035:D2035" si="4095">VLOOKUP($A2035,[6]Gobierno!$A$1:$O$234,B$1,0)</f>
        <v>#N/A</v>
      </c>
      <c r="C2035" s="38" t="e">
        <f t="shared" si="4095"/>
        <v>#N/A</v>
      </c>
      <c r="D2035" s="39" t="e">
        <f t="shared" si="4095"/>
        <v>#N/A</v>
      </c>
      <c r="E2035" s="16" t="e">
        <f t="shared" si="1"/>
        <v>#N/A</v>
      </c>
      <c r="F2035" s="16" t="e">
        <f t="shared" ref="F2035:K2035" si="4096">VLOOKUP($A2035,[6]Gobierno!$A$1:$O$234,F$1,0)</f>
        <v>#N/A</v>
      </c>
      <c r="G2035" s="39" t="e">
        <f t="shared" si="4096"/>
        <v>#N/A</v>
      </c>
      <c r="H2035" s="16" t="e">
        <f t="shared" si="4096"/>
        <v>#N/A</v>
      </c>
      <c r="I2035" s="16" t="e">
        <f t="shared" si="4096"/>
        <v>#N/A</v>
      </c>
      <c r="J2035" s="40" t="e">
        <f t="shared" si="4096"/>
        <v>#N/A</v>
      </c>
      <c r="K2035" s="16" t="e">
        <f t="shared" si="4096"/>
        <v>#N/A</v>
      </c>
      <c r="L2035" s="40" t="e">
        <f t="shared" si="3629"/>
        <v>#N/A</v>
      </c>
      <c r="M2035" s="16" t="e">
        <f t="shared" si="3630"/>
        <v>#N/A</v>
      </c>
      <c r="N2035" s="16" t="e">
        <f t="shared" si="3631"/>
        <v>#N/A</v>
      </c>
      <c r="O2035" s="16" t="s">
        <v>70</v>
      </c>
      <c r="P2035" s="16" t="str">
        <f t="shared" si="6"/>
        <v/>
      </c>
      <c r="Q2035" s="41" t="e">
        <f t="shared" si="3632"/>
        <v>#N/A</v>
      </c>
      <c r="R2035" s="44"/>
      <c r="S2035" s="44"/>
      <c r="T2035" s="43"/>
      <c r="U2035" s="43" t="str">
        <f t="shared" si="8"/>
        <v>No</v>
      </c>
      <c r="V2035" s="25"/>
      <c r="W2035" s="25"/>
      <c r="X2035" s="25"/>
      <c r="Y2035" s="25"/>
      <c r="Z2035" s="25"/>
    </row>
    <row r="2036" spans="1:26" ht="15.75" customHeight="1" x14ac:dyDescent="0.25">
      <c r="A2036" s="25">
        <v>2034</v>
      </c>
      <c r="B2036" s="37" t="e">
        <f t="shared" ref="B2036:D2036" si="4097">VLOOKUP($A2036,[6]Gobierno!$A$1:$O$234,B$1,0)</f>
        <v>#N/A</v>
      </c>
      <c r="C2036" s="38" t="e">
        <f t="shared" si="4097"/>
        <v>#N/A</v>
      </c>
      <c r="D2036" s="39" t="e">
        <f t="shared" si="4097"/>
        <v>#N/A</v>
      </c>
      <c r="E2036" s="16" t="e">
        <f t="shared" si="1"/>
        <v>#N/A</v>
      </c>
      <c r="F2036" s="16" t="e">
        <f t="shared" ref="F2036:K2036" si="4098">VLOOKUP($A2036,[6]Gobierno!$A$1:$O$234,F$1,0)</f>
        <v>#N/A</v>
      </c>
      <c r="G2036" s="39" t="e">
        <f t="shared" si="4098"/>
        <v>#N/A</v>
      </c>
      <c r="H2036" s="16" t="e">
        <f t="shared" si="4098"/>
        <v>#N/A</v>
      </c>
      <c r="I2036" s="16" t="e">
        <f t="shared" si="4098"/>
        <v>#N/A</v>
      </c>
      <c r="J2036" s="40" t="e">
        <f t="shared" si="4098"/>
        <v>#N/A</v>
      </c>
      <c r="K2036" s="16" t="e">
        <f t="shared" si="4098"/>
        <v>#N/A</v>
      </c>
      <c r="L2036" s="40" t="e">
        <f t="shared" si="3629"/>
        <v>#N/A</v>
      </c>
      <c r="M2036" s="16" t="e">
        <f t="shared" si="3630"/>
        <v>#N/A</v>
      </c>
      <c r="N2036" s="16" t="e">
        <f t="shared" si="3631"/>
        <v>#N/A</v>
      </c>
      <c r="O2036" s="16" t="s">
        <v>70</v>
      </c>
      <c r="P2036" s="16" t="str">
        <f t="shared" si="6"/>
        <v/>
      </c>
      <c r="Q2036" s="41" t="e">
        <f t="shared" si="3632"/>
        <v>#N/A</v>
      </c>
      <c r="R2036" s="44"/>
      <c r="S2036" s="44"/>
      <c r="T2036" s="43"/>
      <c r="U2036" s="43" t="str">
        <f t="shared" si="8"/>
        <v>No</v>
      </c>
      <c r="V2036" s="25"/>
      <c r="W2036" s="25"/>
      <c r="X2036" s="25"/>
      <c r="Y2036" s="25"/>
      <c r="Z2036" s="25"/>
    </row>
    <row r="2037" spans="1:26" ht="15.75" customHeight="1" x14ac:dyDescent="0.25">
      <c r="A2037" s="25">
        <v>2035</v>
      </c>
      <c r="B2037" s="37" t="e">
        <f t="shared" ref="B2037:D2037" si="4099">VLOOKUP($A2037,[6]Gobierno!$A$1:$O$234,B$1,0)</f>
        <v>#N/A</v>
      </c>
      <c r="C2037" s="38" t="e">
        <f t="shared" si="4099"/>
        <v>#N/A</v>
      </c>
      <c r="D2037" s="39" t="e">
        <f t="shared" si="4099"/>
        <v>#N/A</v>
      </c>
      <c r="E2037" s="16" t="e">
        <f t="shared" si="1"/>
        <v>#N/A</v>
      </c>
      <c r="F2037" s="16" t="e">
        <f t="shared" ref="F2037:K2037" si="4100">VLOOKUP($A2037,[6]Gobierno!$A$1:$O$234,F$1,0)</f>
        <v>#N/A</v>
      </c>
      <c r="G2037" s="39" t="e">
        <f t="shared" si="4100"/>
        <v>#N/A</v>
      </c>
      <c r="H2037" s="16" t="e">
        <f t="shared" si="4100"/>
        <v>#N/A</v>
      </c>
      <c r="I2037" s="16" t="e">
        <f t="shared" si="4100"/>
        <v>#N/A</v>
      </c>
      <c r="J2037" s="40" t="e">
        <f t="shared" si="4100"/>
        <v>#N/A</v>
      </c>
      <c r="K2037" s="16" t="e">
        <f t="shared" si="4100"/>
        <v>#N/A</v>
      </c>
      <c r="L2037" s="40" t="e">
        <f t="shared" si="3629"/>
        <v>#N/A</v>
      </c>
      <c r="M2037" s="16" t="e">
        <f t="shared" si="3630"/>
        <v>#N/A</v>
      </c>
      <c r="N2037" s="16" t="e">
        <f t="shared" si="3631"/>
        <v>#N/A</v>
      </c>
      <c r="O2037" s="16" t="s">
        <v>70</v>
      </c>
      <c r="P2037" s="16" t="str">
        <f t="shared" si="6"/>
        <v/>
      </c>
      <c r="Q2037" s="41" t="e">
        <f t="shared" si="3632"/>
        <v>#N/A</v>
      </c>
      <c r="R2037" s="44"/>
      <c r="S2037" s="44"/>
      <c r="T2037" s="43"/>
      <c r="U2037" s="43" t="str">
        <f t="shared" si="8"/>
        <v>No</v>
      </c>
      <c r="V2037" s="25"/>
      <c r="W2037" s="25"/>
      <c r="X2037" s="25"/>
      <c r="Y2037" s="25"/>
      <c r="Z2037" s="25"/>
    </row>
    <row r="2038" spans="1:26" ht="15.75" customHeight="1" x14ac:dyDescent="0.25">
      <c r="A2038" s="25">
        <v>2036</v>
      </c>
      <c r="B2038" s="37" t="e">
        <f t="shared" ref="B2038:D2038" si="4101">VLOOKUP($A2038,[6]Gobierno!$A$1:$O$234,B$1,0)</f>
        <v>#N/A</v>
      </c>
      <c r="C2038" s="38" t="e">
        <f t="shared" si="4101"/>
        <v>#N/A</v>
      </c>
      <c r="D2038" s="39" t="e">
        <f t="shared" si="4101"/>
        <v>#N/A</v>
      </c>
      <c r="E2038" s="16" t="e">
        <f t="shared" si="1"/>
        <v>#N/A</v>
      </c>
      <c r="F2038" s="16" t="e">
        <f t="shared" ref="F2038:K2038" si="4102">VLOOKUP($A2038,[6]Gobierno!$A$1:$O$234,F$1,0)</f>
        <v>#N/A</v>
      </c>
      <c r="G2038" s="39" t="e">
        <f t="shared" si="4102"/>
        <v>#N/A</v>
      </c>
      <c r="H2038" s="16" t="e">
        <f t="shared" si="4102"/>
        <v>#N/A</v>
      </c>
      <c r="I2038" s="16" t="e">
        <f t="shared" si="4102"/>
        <v>#N/A</v>
      </c>
      <c r="J2038" s="40" t="e">
        <f t="shared" si="4102"/>
        <v>#N/A</v>
      </c>
      <c r="K2038" s="16" t="e">
        <f t="shared" si="4102"/>
        <v>#N/A</v>
      </c>
      <c r="L2038" s="40" t="e">
        <f t="shared" si="3629"/>
        <v>#N/A</v>
      </c>
      <c r="M2038" s="16" t="e">
        <f t="shared" si="3630"/>
        <v>#N/A</v>
      </c>
      <c r="N2038" s="16" t="e">
        <f t="shared" si="3631"/>
        <v>#N/A</v>
      </c>
      <c r="O2038" s="16" t="s">
        <v>70</v>
      </c>
      <c r="P2038" s="16" t="str">
        <f t="shared" si="6"/>
        <v/>
      </c>
      <c r="Q2038" s="41" t="e">
        <f t="shared" si="3632"/>
        <v>#N/A</v>
      </c>
      <c r="R2038" s="44"/>
      <c r="S2038" s="44"/>
      <c r="T2038" s="43"/>
      <c r="U2038" s="43" t="str">
        <f t="shared" si="8"/>
        <v>No</v>
      </c>
      <c r="V2038" s="25"/>
      <c r="W2038" s="25"/>
      <c r="X2038" s="25"/>
      <c r="Y2038" s="25"/>
      <c r="Z2038" s="25"/>
    </row>
    <row r="2039" spans="1:26" ht="15.75" customHeight="1" x14ac:dyDescent="0.25">
      <c r="A2039" s="25">
        <v>2037</v>
      </c>
      <c r="B2039" s="37" t="e">
        <f t="shared" ref="B2039:D2039" si="4103">VLOOKUP($A2039,[6]Gobierno!$A$1:$O$234,B$1,0)</f>
        <v>#N/A</v>
      </c>
      <c r="C2039" s="38" t="e">
        <f t="shared" si="4103"/>
        <v>#N/A</v>
      </c>
      <c r="D2039" s="39" t="e">
        <f t="shared" si="4103"/>
        <v>#N/A</v>
      </c>
      <c r="E2039" s="16" t="e">
        <f t="shared" si="1"/>
        <v>#N/A</v>
      </c>
      <c r="F2039" s="16" t="e">
        <f t="shared" ref="F2039:K2039" si="4104">VLOOKUP($A2039,[6]Gobierno!$A$1:$O$234,F$1,0)</f>
        <v>#N/A</v>
      </c>
      <c r="G2039" s="39" t="e">
        <f t="shared" si="4104"/>
        <v>#N/A</v>
      </c>
      <c r="H2039" s="16" t="e">
        <f t="shared" si="4104"/>
        <v>#N/A</v>
      </c>
      <c r="I2039" s="16" t="e">
        <f t="shared" si="4104"/>
        <v>#N/A</v>
      </c>
      <c r="J2039" s="40" t="e">
        <f t="shared" si="4104"/>
        <v>#N/A</v>
      </c>
      <c r="K2039" s="16" t="e">
        <f t="shared" si="4104"/>
        <v>#N/A</v>
      </c>
      <c r="L2039" s="40" t="e">
        <f t="shared" si="3629"/>
        <v>#N/A</v>
      </c>
      <c r="M2039" s="16" t="e">
        <f t="shared" si="3630"/>
        <v>#N/A</v>
      </c>
      <c r="N2039" s="16" t="e">
        <f t="shared" si="3631"/>
        <v>#N/A</v>
      </c>
      <c r="O2039" s="16" t="s">
        <v>70</v>
      </c>
      <c r="P2039" s="16" t="str">
        <f t="shared" si="6"/>
        <v/>
      </c>
      <c r="Q2039" s="41" t="e">
        <f t="shared" si="3632"/>
        <v>#N/A</v>
      </c>
      <c r="R2039" s="44"/>
      <c r="S2039" s="44"/>
      <c r="T2039" s="43"/>
      <c r="U2039" s="43" t="str">
        <f t="shared" si="8"/>
        <v>No</v>
      </c>
      <c r="V2039" s="25"/>
      <c r="W2039" s="25"/>
      <c r="X2039" s="25"/>
      <c r="Y2039" s="25"/>
      <c r="Z2039" s="25"/>
    </row>
    <row r="2040" spans="1:26" ht="15.75" customHeight="1" x14ac:dyDescent="0.25">
      <c r="A2040" s="25">
        <v>2038</v>
      </c>
      <c r="B2040" s="37" t="e">
        <f t="shared" ref="B2040:D2040" si="4105">VLOOKUP($A2040,[6]Gobierno!$A$1:$O$234,B$1,0)</f>
        <v>#N/A</v>
      </c>
      <c r="C2040" s="38" t="e">
        <f t="shared" si="4105"/>
        <v>#N/A</v>
      </c>
      <c r="D2040" s="39" t="e">
        <f t="shared" si="4105"/>
        <v>#N/A</v>
      </c>
      <c r="E2040" s="16" t="e">
        <f t="shared" si="1"/>
        <v>#N/A</v>
      </c>
      <c r="F2040" s="16" t="e">
        <f t="shared" ref="F2040:K2040" si="4106">VLOOKUP($A2040,[6]Gobierno!$A$1:$O$234,F$1,0)</f>
        <v>#N/A</v>
      </c>
      <c r="G2040" s="39" t="e">
        <f t="shared" si="4106"/>
        <v>#N/A</v>
      </c>
      <c r="H2040" s="16" t="e">
        <f t="shared" si="4106"/>
        <v>#N/A</v>
      </c>
      <c r="I2040" s="16" t="e">
        <f t="shared" si="4106"/>
        <v>#N/A</v>
      </c>
      <c r="J2040" s="40" t="e">
        <f t="shared" si="4106"/>
        <v>#N/A</v>
      </c>
      <c r="K2040" s="16" t="e">
        <f t="shared" si="4106"/>
        <v>#N/A</v>
      </c>
      <c r="L2040" s="40" t="e">
        <f t="shared" si="3629"/>
        <v>#N/A</v>
      </c>
      <c r="M2040" s="16" t="e">
        <f t="shared" si="3630"/>
        <v>#N/A</v>
      </c>
      <c r="N2040" s="16" t="e">
        <f t="shared" si="3631"/>
        <v>#N/A</v>
      </c>
      <c r="O2040" s="16" t="s">
        <v>70</v>
      </c>
      <c r="P2040" s="16" t="str">
        <f t="shared" si="6"/>
        <v/>
      </c>
      <c r="Q2040" s="41" t="e">
        <f t="shared" si="3632"/>
        <v>#N/A</v>
      </c>
      <c r="R2040" s="44"/>
      <c r="S2040" s="44"/>
      <c r="T2040" s="43"/>
      <c r="U2040" s="43" t="str">
        <f t="shared" si="8"/>
        <v>No</v>
      </c>
      <c r="V2040" s="25"/>
      <c r="W2040" s="25"/>
      <c r="X2040" s="25"/>
      <c r="Y2040" s="25"/>
      <c r="Z2040" s="25"/>
    </row>
    <row r="2041" spans="1:26" ht="15.75" customHeight="1" x14ac:dyDescent="0.25">
      <c r="A2041" s="25">
        <v>2039</v>
      </c>
      <c r="B2041" s="37" t="e">
        <f t="shared" ref="B2041:D2041" si="4107">VLOOKUP($A2041,[6]Gobierno!$A$1:$O$234,B$1,0)</f>
        <v>#N/A</v>
      </c>
      <c r="C2041" s="38" t="e">
        <f t="shared" si="4107"/>
        <v>#N/A</v>
      </c>
      <c r="D2041" s="39" t="e">
        <f t="shared" si="4107"/>
        <v>#N/A</v>
      </c>
      <c r="E2041" s="16" t="e">
        <f t="shared" si="1"/>
        <v>#N/A</v>
      </c>
      <c r="F2041" s="16" t="e">
        <f t="shared" ref="F2041:K2041" si="4108">VLOOKUP($A2041,[6]Gobierno!$A$1:$O$234,F$1,0)</f>
        <v>#N/A</v>
      </c>
      <c r="G2041" s="39" t="e">
        <f t="shared" si="4108"/>
        <v>#N/A</v>
      </c>
      <c r="H2041" s="16" t="e">
        <f t="shared" si="4108"/>
        <v>#N/A</v>
      </c>
      <c r="I2041" s="16" t="e">
        <f t="shared" si="4108"/>
        <v>#N/A</v>
      </c>
      <c r="J2041" s="40" t="e">
        <f t="shared" si="4108"/>
        <v>#N/A</v>
      </c>
      <c r="K2041" s="16" t="e">
        <f t="shared" si="4108"/>
        <v>#N/A</v>
      </c>
      <c r="L2041" s="40" t="e">
        <f t="shared" si="3629"/>
        <v>#N/A</v>
      </c>
      <c r="M2041" s="16" t="e">
        <f t="shared" si="3630"/>
        <v>#N/A</v>
      </c>
      <c r="N2041" s="16" t="e">
        <f t="shared" si="3631"/>
        <v>#N/A</v>
      </c>
      <c r="O2041" s="16" t="s">
        <v>70</v>
      </c>
      <c r="P2041" s="16" t="str">
        <f t="shared" si="6"/>
        <v/>
      </c>
      <c r="Q2041" s="41" t="e">
        <f t="shared" si="3632"/>
        <v>#N/A</v>
      </c>
      <c r="R2041" s="44"/>
      <c r="S2041" s="44"/>
      <c r="T2041" s="43"/>
      <c r="U2041" s="43" t="str">
        <f t="shared" si="8"/>
        <v>No</v>
      </c>
      <c r="V2041" s="25"/>
      <c r="W2041" s="25"/>
      <c r="X2041" s="25"/>
      <c r="Y2041" s="25"/>
      <c r="Z2041" s="25"/>
    </row>
    <row r="2042" spans="1:26" ht="15.75" customHeight="1" x14ac:dyDescent="0.25">
      <c r="A2042" s="25">
        <v>2040</v>
      </c>
      <c r="B2042" s="37" t="e">
        <f t="shared" ref="B2042:D2042" si="4109">VLOOKUP($A2042,[6]Gobierno!$A$1:$O$234,B$1,0)</f>
        <v>#N/A</v>
      </c>
      <c r="C2042" s="38" t="e">
        <f t="shared" si="4109"/>
        <v>#N/A</v>
      </c>
      <c r="D2042" s="39" t="e">
        <f t="shared" si="4109"/>
        <v>#N/A</v>
      </c>
      <c r="E2042" s="16" t="e">
        <f t="shared" si="1"/>
        <v>#N/A</v>
      </c>
      <c r="F2042" s="16" t="e">
        <f t="shared" ref="F2042:K2042" si="4110">VLOOKUP($A2042,[6]Gobierno!$A$1:$O$234,F$1,0)</f>
        <v>#N/A</v>
      </c>
      <c r="G2042" s="39" t="e">
        <f t="shared" si="4110"/>
        <v>#N/A</v>
      </c>
      <c r="H2042" s="16" t="e">
        <f t="shared" si="4110"/>
        <v>#N/A</v>
      </c>
      <c r="I2042" s="16" t="e">
        <f t="shared" si="4110"/>
        <v>#N/A</v>
      </c>
      <c r="J2042" s="40" t="e">
        <f t="shared" si="4110"/>
        <v>#N/A</v>
      </c>
      <c r="K2042" s="16" t="e">
        <f t="shared" si="4110"/>
        <v>#N/A</v>
      </c>
      <c r="L2042" s="40" t="e">
        <f t="shared" si="3629"/>
        <v>#N/A</v>
      </c>
      <c r="M2042" s="16" t="e">
        <f t="shared" si="3630"/>
        <v>#N/A</v>
      </c>
      <c r="N2042" s="16" t="e">
        <f t="shared" si="3631"/>
        <v>#N/A</v>
      </c>
      <c r="O2042" s="16" t="s">
        <v>70</v>
      </c>
      <c r="P2042" s="16" t="str">
        <f t="shared" si="6"/>
        <v/>
      </c>
      <c r="Q2042" s="41" t="e">
        <f t="shared" si="3632"/>
        <v>#N/A</v>
      </c>
      <c r="R2042" s="44"/>
      <c r="S2042" s="44"/>
      <c r="T2042" s="43"/>
      <c r="U2042" s="43" t="str">
        <f t="shared" si="8"/>
        <v>No</v>
      </c>
      <c r="V2042" s="25"/>
      <c r="W2042" s="25"/>
      <c r="X2042" s="25"/>
      <c r="Y2042" s="25"/>
      <c r="Z2042" s="25"/>
    </row>
    <row r="2043" spans="1:26" ht="15.75" customHeight="1" x14ac:dyDescent="0.25">
      <c r="A2043" s="25">
        <v>2041</v>
      </c>
      <c r="B2043" s="37" t="e">
        <f t="shared" ref="B2043:D2043" si="4111">VLOOKUP($A2043,[6]Gobierno!$A$1:$O$234,B$1,0)</f>
        <v>#N/A</v>
      </c>
      <c r="C2043" s="38" t="e">
        <f t="shared" si="4111"/>
        <v>#N/A</v>
      </c>
      <c r="D2043" s="39" t="e">
        <f t="shared" si="4111"/>
        <v>#N/A</v>
      </c>
      <c r="E2043" s="16" t="e">
        <f t="shared" si="1"/>
        <v>#N/A</v>
      </c>
      <c r="F2043" s="16" t="e">
        <f t="shared" ref="F2043:K2043" si="4112">VLOOKUP($A2043,[6]Gobierno!$A$1:$O$234,F$1,0)</f>
        <v>#N/A</v>
      </c>
      <c r="G2043" s="39" t="e">
        <f t="shared" si="4112"/>
        <v>#N/A</v>
      </c>
      <c r="H2043" s="16" t="e">
        <f t="shared" si="4112"/>
        <v>#N/A</v>
      </c>
      <c r="I2043" s="16" t="e">
        <f t="shared" si="4112"/>
        <v>#N/A</v>
      </c>
      <c r="J2043" s="40" t="e">
        <f t="shared" si="4112"/>
        <v>#N/A</v>
      </c>
      <c r="K2043" s="16" t="e">
        <f t="shared" si="4112"/>
        <v>#N/A</v>
      </c>
      <c r="L2043" s="40" t="e">
        <f t="shared" si="3629"/>
        <v>#N/A</v>
      </c>
      <c r="M2043" s="16" t="e">
        <f t="shared" si="3630"/>
        <v>#N/A</v>
      </c>
      <c r="N2043" s="16" t="e">
        <f t="shared" si="3631"/>
        <v>#N/A</v>
      </c>
      <c r="O2043" s="16" t="s">
        <v>70</v>
      </c>
      <c r="P2043" s="16" t="str">
        <f t="shared" si="6"/>
        <v/>
      </c>
      <c r="Q2043" s="41" t="e">
        <f t="shared" si="3632"/>
        <v>#N/A</v>
      </c>
      <c r="R2043" s="44"/>
      <c r="S2043" s="44"/>
      <c r="T2043" s="43"/>
      <c r="U2043" s="43" t="str">
        <f t="shared" si="8"/>
        <v>No</v>
      </c>
      <c r="V2043" s="25"/>
      <c r="W2043" s="25"/>
      <c r="X2043" s="25"/>
      <c r="Y2043" s="25"/>
      <c r="Z2043" s="25"/>
    </row>
    <row r="2044" spans="1:26" ht="15.75" customHeight="1" x14ac:dyDescent="0.25">
      <c r="A2044" s="25">
        <v>2042</v>
      </c>
      <c r="B2044" s="37" t="e">
        <f t="shared" ref="B2044:D2044" si="4113">VLOOKUP($A2044,[6]Gobierno!$A$1:$O$234,B$1,0)</f>
        <v>#N/A</v>
      </c>
      <c r="C2044" s="38" t="e">
        <f t="shared" si="4113"/>
        <v>#N/A</v>
      </c>
      <c r="D2044" s="39" t="e">
        <f t="shared" si="4113"/>
        <v>#N/A</v>
      </c>
      <c r="E2044" s="16" t="e">
        <f t="shared" si="1"/>
        <v>#N/A</v>
      </c>
      <c r="F2044" s="16" t="e">
        <f t="shared" ref="F2044:K2044" si="4114">VLOOKUP($A2044,[6]Gobierno!$A$1:$O$234,F$1,0)</f>
        <v>#N/A</v>
      </c>
      <c r="G2044" s="39" t="e">
        <f t="shared" si="4114"/>
        <v>#N/A</v>
      </c>
      <c r="H2044" s="16" t="e">
        <f t="shared" si="4114"/>
        <v>#N/A</v>
      </c>
      <c r="I2044" s="16" t="e">
        <f t="shared" si="4114"/>
        <v>#N/A</v>
      </c>
      <c r="J2044" s="40" t="e">
        <f t="shared" si="4114"/>
        <v>#N/A</v>
      </c>
      <c r="K2044" s="16" t="e">
        <f t="shared" si="4114"/>
        <v>#N/A</v>
      </c>
      <c r="L2044" s="40" t="e">
        <f t="shared" si="3629"/>
        <v>#N/A</v>
      </c>
      <c r="M2044" s="16" t="e">
        <f t="shared" si="3630"/>
        <v>#N/A</v>
      </c>
      <c r="N2044" s="16" t="e">
        <f t="shared" si="3631"/>
        <v>#N/A</v>
      </c>
      <c r="O2044" s="16" t="s">
        <v>70</v>
      </c>
      <c r="P2044" s="16" t="str">
        <f t="shared" si="6"/>
        <v/>
      </c>
      <c r="Q2044" s="41" t="e">
        <f t="shared" si="3632"/>
        <v>#N/A</v>
      </c>
      <c r="R2044" s="44"/>
      <c r="S2044" s="44"/>
      <c r="T2044" s="43"/>
      <c r="U2044" s="43" t="str">
        <f t="shared" si="8"/>
        <v>No</v>
      </c>
      <c r="V2044" s="25"/>
      <c r="W2044" s="25"/>
      <c r="X2044" s="25"/>
      <c r="Y2044" s="25"/>
      <c r="Z2044" s="25"/>
    </row>
    <row r="2045" spans="1:26" ht="15.75" customHeight="1" x14ac:dyDescent="0.25">
      <c r="A2045" s="25">
        <v>2043</v>
      </c>
      <c r="B2045" s="37" t="e">
        <f t="shared" ref="B2045:D2045" si="4115">VLOOKUP($A2045,[6]Gobierno!$A$1:$O$234,B$1,0)</f>
        <v>#N/A</v>
      </c>
      <c r="C2045" s="38" t="e">
        <f t="shared" si="4115"/>
        <v>#N/A</v>
      </c>
      <c r="D2045" s="39" t="e">
        <f t="shared" si="4115"/>
        <v>#N/A</v>
      </c>
      <c r="E2045" s="16" t="e">
        <f t="shared" si="1"/>
        <v>#N/A</v>
      </c>
      <c r="F2045" s="16" t="e">
        <f t="shared" ref="F2045:K2045" si="4116">VLOOKUP($A2045,[6]Gobierno!$A$1:$O$234,F$1,0)</f>
        <v>#N/A</v>
      </c>
      <c r="G2045" s="39" t="e">
        <f t="shared" si="4116"/>
        <v>#N/A</v>
      </c>
      <c r="H2045" s="16" t="e">
        <f t="shared" si="4116"/>
        <v>#N/A</v>
      </c>
      <c r="I2045" s="16" t="e">
        <f t="shared" si="4116"/>
        <v>#N/A</v>
      </c>
      <c r="J2045" s="40" t="e">
        <f t="shared" si="4116"/>
        <v>#N/A</v>
      </c>
      <c r="K2045" s="16" t="e">
        <f t="shared" si="4116"/>
        <v>#N/A</v>
      </c>
      <c r="L2045" s="40" t="e">
        <f t="shared" si="3629"/>
        <v>#N/A</v>
      </c>
      <c r="M2045" s="16" t="e">
        <f t="shared" si="3630"/>
        <v>#N/A</v>
      </c>
      <c r="N2045" s="16" t="e">
        <f t="shared" si="3631"/>
        <v>#N/A</v>
      </c>
      <c r="O2045" s="16" t="s">
        <v>70</v>
      </c>
      <c r="P2045" s="16" t="str">
        <f t="shared" si="6"/>
        <v/>
      </c>
      <c r="Q2045" s="41" t="e">
        <f t="shared" si="3632"/>
        <v>#N/A</v>
      </c>
      <c r="R2045" s="44"/>
      <c r="S2045" s="44"/>
      <c r="T2045" s="43"/>
      <c r="U2045" s="43" t="str">
        <f t="shared" si="8"/>
        <v>No</v>
      </c>
      <c r="V2045" s="25"/>
      <c r="W2045" s="25"/>
      <c r="X2045" s="25"/>
      <c r="Y2045" s="25"/>
      <c r="Z2045" s="25"/>
    </row>
    <row r="2046" spans="1:26" ht="15.75" customHeight="1" x14ac:dyDescent="0.25">
      <c r="A2046" s="25">
        <v>2044</v>
      </c>
      <c r="B2046" s="37" t="e">
        <f t="shared" ref="B2046:D2046" si="4117">VLOOKUP($A2046,[6]Gobierno!$A$1:$O$234,B$1,0)</f>
        <v>#N/A</v>
      </c>
      <c r="C2046" s="38" t="e">
        <f t="shared" si="4117"/>
        <v>#N/A</v>
      </c>
      <c r="D2046" s="39" t="e">
        <f t="shared" si="4117"/>
        <v>#N/A</v>
      </c>
      <c r="E2046" s="16" t="e">
        <f t="shared" si="1"/>
        <v>#N/A</v>
      </c>
      <c r="F2046" s="16" t="e">
        <f t="shared" ref="F2046:K2046" si="4118">VLOOKUP($A2046,[6]Gobierno!$A$1:$O$234,F$1,0)</f>
        <v>#N/A</v>
      </c>
      <c r="G2046" s="39" t="e">
        <f t="shared" si="4118"/>
        <v>#N/A</v>
      </c>
      <c r="H2046" s="16" t="e">
        <f t="shared" si="4118"/>
        <v>#N/A</v>
      </c>
      <c r="I2046" s="16" t="e">
        <f t="shared" si="4118"/>
        <v>#N/A</v>
      </c>
      <c r="J2046" s="40" t="e">
        <f t="shared" si="4118"/>
        <v>#N/A</v>
      </c>
      <c r="K2046" s="16" t="e">
        <f t="shared" si="4118"/>
        <v>#N/A</v>
      </c>
      <c r="L2046" s="40" t="e">
        <f t="shared" si="3629"/>
        <v>#N/A</v>
      </c>
      <c r="M2046" s="16" t="e">
        <f t="shared" si="3630"/>
        <v>#N/A</v>
      </c>
      <c r="N2046" s="16" t="e">
        <f t="shared" si="3631"/>
        <v>#N/A</v>
      </c>
      <c r="O2046" s="16" t="s">
        <v>70</v>
      </c>
      <c r="P2046" s="16" t="str">
        <f t="shared" si="6"/>
        <v/>
      </c>
      <c r="Q2046" s="41" t="e">
        <f t="shared" si="3632"/>
        <v>#N/A</v>
      </c>
      <c r="R2046" s="44"/>
      <c r="S2046" s="44"/>
      <c r="T2046" s="43"/>
      <c r="U2046" s="43" t="str">
        <f t="shared" si="8"/>
        <v>No</v>
      </c>
      <c r="V2046" s="25"/>
      <c r="W2046" s="25"/>
      <c r="X2046" s="25"/>
      <c r="Y2046" s="25"/>
      <c r="Z2046" s="25"/>
    </row>
    <row r="2047" spans="1:26" ht="15.75" customHeight="1" x14ac:dyDescent="0.25">
      <c r="A2047" s="25">
        <v>2045</v>
      </c>
      <c r="B2047" s="37" t="e">
        <f t="shared" ref="B2047:D2047" si="4119">VLOOKUP($A2047,[6]Gobierno!$A$1:$O$234,B$1,0)</f>
        <v>#N/A</v>
      </c>
      <c r="C2047" s="38" t="e">
        <f t="shared" si="4119"/>
        <v>#N/A</v>
      </c>
      <c r="D2047" s="39" t="e">
        <f t="shared" si="4119"/>
        <v>#N/A</v>
      </c>
      <c r="E2047" s="16" t="e">
        <f t="shared" si="1"/>
        <v>#N/A</v>
      </c>
      <c r="F2047" s="16" t="e">
        <f t="shared" ref="F2047:K2047" si="4120">VLOOKUP($A2047,[6]Gobierno!$A$1:$O$234,F$1,0)</f>
        <v>#N/A</v>
      </c>
      <c r="G2047" s="39" t="e">
        <f t="shared" si="4120"/>
        <v>#N/A</v>
      </c>
      <c r="H2047" s="16" t="e">
        <f t="shared" si="4120"/>
        <v>#N/A</v>
      </c>
      <c r="I2047" s="16" t="e">
        <f t="shared" si="4120"/>
        <v>#N/A</v>
      </c>
      <c r="J2047" s="40" t="e">
        <f t="shared" si="4120"/>
        <v>#N/A</v>
      </c>
      <c r="K2047" s="16" t="e">
        <f t="shared" si="4120"/>
        <v>#N/A</v>
      </c>
      <c r="L2047" s="40" t="e">
        <f t="shared" si="3629"/>
        <v>#N/A</v>
      </c>
      <c r="M2047" s="16" t="e">
        <f t="shared" si="3630"/>
        <v>#N/A</v>
      </c>
      <c r="N2047" s="16" t="e">
        <f t="shared" si="3631"/>
        <v>#N/A</v>
      </c>
      <c r="O2047" s="16" t="s">
        <v>70</v>
      </c>
      <c r="P2047" s="16" t="str">
        <f t="shared" si="6"/>
        <v/>
      </c>
      <c r="Q2047" s="41" t="e">
        <f t="shared" si="3632"/>
        <v>#N/A</v>
      </c>
      <c r="R2047" s="44"/>
      <c r="S2047" s="44"/>
      <c r="T2047" s="43"/>
      <c r="U2047" s="43" t="str">
        <f t="shared" si="8"/>
        <v>No</v>
      </c>
      <c r="V2047" s="25"/>
      <c r="W2047" s="25"/>
      <c r="X2047" s="25"/>
      <c r="Y2047" s="25"/>
      <c r="Z2047" s="25"/>
    </row>
    <row r="2048" spans="1:26" ht="15.75" customHeight="1" x14ac:dyDescent="0.25">
      <c r="A2048" s="25">
        <v>2046</v>
      </c>
      <c r="B2048" s="37" t="e">
        <f t="shared" ref="B2048:D2048" si="4121">VLOOKUP($A2048,[6]Gobierno!$A$1:$O$234,B$1,0)</f>
        <v>#N/A</v>
      </c>
      <c r="C2048" s="38" t="e">
        <f t="shared" si="4121"/>
        <v>#N/A</v>
      </c>
      <c r="D2048" s="39" t="e">
        <f t="shared" si="4121"/>
        <v>#N/A</v>
      </c>
      <c r="E2048" s="16" t="e">
        <f t="shared" si="1"/>
        <v>#N/A</v>
      </c>
      <c r="F2048" s="16" t="e">
        <f t="shared" ref="F2048:K2048" si="4122">VLOOKUP($A2048,[6]Gobierno!$A$1:$O$234,F$1,0)</f>
        <v>#N/A</v>
      </c>
      <c r="G2048" s="39" t="e">
        <f t="shared" si="4122"/>
        <v>#N/A</v>
      </c>
      <c r="H2048" s="16" t="e">
        <f t="shared" si="4122"/>
        <v>#N/A</v>
      </c>
      <c r="I2048" s="16" t="e">
        <f t="shared" si="4122"/>
        <v>#N/A</v>
      </c>
      <c r="J2048" s="40" t="e">
        <f t="shared" si="4122"/>
        <v>#N/A</v>
      </c>
      <c r="K2048" s="16" t="e">
        <f t="shared" si="4122"/>
        <v>#N/A</v>
      </c>
      <c r="L2048" s="40" t="e">
        <f t="shared" si="3629"/>
        <v>#N/A</v>
      </c>
      <c r="M2048" s="16" t="e">
        <f t="shared" si="3630"/>
        <v>#N/A</v>
      </c>
      <c r="N2048" s="16" t="e">
        <f t="shared" si="3631"/>
        <v>#N/A</v>
      </c>
      <c r="O2048" s="16" t="s">
        <v>70</v>
      </c>
      <c r="P2048" s="16" t="str">
        <f t="shared" si="6"/>
        <v/>
      </c>
      <c r="Q2048" s="41" t="e">
        <f t="shared" si="3632"/>
        <v>#N/A</v>
      </c>
      <c r="R2048" s="44"/>
      <c r="S2048" s="44"/>
      <c r="T2048" s="43"/>
      <c r="U2048" s="43" t="str">
        <f t="shared" si="8"/>
        <v>No</v>
      </c>
      <c r="V2048" s="25"/>
      <c r="W2048" s="25"/>
      <c r="X2048" s="25"/>
      <c r="Y2048" s="25"/>
      <c r="Z2048" s="25"/>
    </row>
    <row r="2049" spans="1:26" ht="15.75" customHeight="1" x14ac:dyDescent="0.25">
      <c r="A2049" s="25">
        <v>2047</v>
      </c>
      <c r="B2049" s="37" t="e">
        <f t="shared" ref="B2049:D2049" si="4123">VLOOKUP($A2049,[6]Gobierno!$A$1:$O$234,B$1,0)</f>
        <v>#N/A</v>
      </c>
      <c r="C2049" s="38" t="e">
        <f t="shared" si="4123"/>
        <v>#N/A</v>
      </c>
      <c r="D2049" s="39" t="e">
        <f t="shared" si="4123"/>
        <v>#N/A</v>
      </c>
      <c r="E2049" s="16" t="e">
        <f t="shared" si="1"/>
        <v>#N/A</v>
      </c>
      <c r="F2049" s="16" t="e">
        <f t="shared" ref="F2049:K2049" si="4124">VLOOKUP($A2049,[6]Gobierno!$A$1:$O$234,F$1,0)</f>
        <v>#N/A</v>
      </c>
      <c r="G2049" s="39" t="e">
        <f t="shared" si="4124"/>
        <v>#N/A</v>
      </c>
      <c r="H2049" s="16" t="e">
        <f t="shared" si="4124"/>
        <v>#N/A</v>
      </c>
      <c r="I2049" s="16" t="e">
        <f t="shared" si="4124"/>
        <v>#N/A</v>
      </c>
      <c r="J2049" s="40" t="e">
        <f t="shared" si="4124"/>
        <v>#N/A</v>
      </c>
      <c r="K2049" s="16" t="e">
        <f t="shared" si="4124"/>
        <v>#N/A</v>
      </c>
      <c r="L2049" s="40" t="e">
        <f t="shared" si="3629"/>
        <v>#N/A</v>
      </c>
      <c r="M2049" s="16" t="e">
        <f t="shared" si="3630"/>
        <v>#N/A</v>
      </c>
      <c r="N2049" s="16" t="e">
        <f t="shared" si="3631"/>
        <v>#N/A</v>
      </c>
      <c r="O2049" s="16" t="s">
        <v>70</v>
      </c>
      <c r="P2049" s="16" t="str">
        <f t="shared" si="6"/>
        <v/>
      </c>
      <c r="Q2049" s="41" t="e">
        <f t="shared" si="3632"/>
        <v>#N/A</v>
      </c>
      <c r="R2049" s="44"/>
      <c r="S2049" s="44"/>
      <c r="T2049" s="43"/>
      <c r="U2049" s="43" t="str">
        <f t="shared" si="8"/>
        <v>No</v>
      </c>
      <c r="V2049" s="25"/>
      <c r="W2049" s="25"/>
      <c r="X2049" s="25"/>
      <c r="Y2049" s="25"/>
      <c r="Z2049" s="25"/>
    </row>
    <row r="2050" spans="1:26" ht="15.75" customHeight="1" x14ac:dyDescent="0.25">
      <c r="A2050" s="25">
        <v>2048</v>
      </c>
      <c r="B2050" s="37" t="e">
        <f t="shared" ref="B2050:D2050" si="4125">VLOOKUP($A2050,[6]Gobierno!$A$1:$O$234,B$1,0)</f>
        <v>#N/A</v>
      </c>
      <c r="C2050" s="38" t="e">
        <f t="shared" si="4125"/>
        <v>#N/A</v>
      </c>
      <c r="D2050" s="39" t="e">
        <f t="shared" si="4125"/>
        <v>#N/A</v>
      </c>
      <c r="E2050" s="16" t="e">
        <f t="shared" si="1"/>
        <v>#N/A</v>
      </c>
      <c r="F2050" s="16" t="e">
        <f t="shared" ref="F2050:K2050" si="4126">VLOOKUP($A2050,[6]Gobierno!$A$1:$O$234,F$1,0)</f>
        <v>#N/A</v>
      </c>
      <c r="G2050" s="39" t="e">
        <f t="shared" si="4126"/>
        <v>#N/A</v>
      </c>
      <c r="H2050" s="16" t="e">
        <f t="shared" si="4126"/>
        <v>#N/A</v>
      </c>
      <c r="I2050" s="16" t="e">
        <f t="shared" si="4126"/>
        <v>#N/A</v>
      </c>
      <c r="J2050" s="40" t="e">
        <f t="shared" si="4126"/>
        <v>#N/A</v>
      </c>
      <c r="K2050" s="16" t="e">
        <f t="shared" si="4126"/>
        <v>#N/A</v>
      </c>
      <c r="L2050" s="40" t="e">
        <f t="shared" si="3629"/>
        <v>#N/A</v>
      </c>
      <c r="M2050" s="16" t="e">
        <f t="shared" si="3630"/>
        <v>#N/A</v>
      </c>
      <c r="N2050" s="16" t="e">
        <f t="shared" si="3631"/>
        <v>#N/A</v>
      </c>
      <c r="O2050" s="16" t="s">
        <v>70</v>
      </c>
      <c r="P2050" s="16" t="str">
        <f t="shared" si="6"/>
        <v/>
      </c>
      <c r="Q2050" s="41" t="e">
        <f t="shared" si="3632"/>
        <v>#N/A</v>
      </c>
      <c r="R2050" s="44"/>
      <c r="S2050" s="44"/>
      <c r="T2050" s="43"/>
      <c r="U2050" s="43" t="str">
        <f t="shared" si="8"/>
        <v>No</v>
      </c>
      <c r="V2050" s="25"/>
      <c r="W2050" s="25"/>
      <c r="X2050" s="25"/>
      <c r="Y2050" s="25"/>
      <c r="Z2050" s="25"/>
    </row>
    <row r="2051" spans="1:26" ht="15.75" customHeight="1" x14ac:dyDescent="0.25">
      <c r="A2051" s="25">
        <v>2049</v>
      </c>
      <c r="B2051" s="37" t="e">
        <f t="shared" ref="B2051:D2051" si="4127">VLOOKUP($A2051,[6]Gobierno!$A$1:$O$234,B$1,0)</f>
        <v>#N/A</v>
      </c>
      <c r="C2051" s="38" t="e">
        <f t="shared" si="4127"/>
        <v>#N/A</v>
      </c>
      <c r="D2051" s="39" t="e">
        <f t="shared" si="4127"/>
        <v>#N/A</v>
      </c>
      <c r="E2051" s="16" t="e">
        <f t="shared" si="1"/>
        <v>#N/A</v>
      </c>
      <c r="F2051" s="16" t="e">
        <f t="shared" ref="F2051:K2051" si="4128">VLOOKUP($A2051,[6]Gobierno!$A$1:$O$234,F$1,0)</f>
        <v>#N/A</v>
      </c>
      <c r="G2051" s="39" t="e">
        <f t="shared" si="4128"/>
        <v>#N/A</v>
      </c>
      <c r="H2051" s="16" t="e">
        <f t="shared" si="4128"/>
        <v>#N/A</v>
      </c>
      <c r="I2051" s="16" t="e">
        <f t="shared" si="4128"/>
        <v>#N/A</v>
      </c>
      <c r="J2051" s="40" t="e">
        <f t="shared" si="4128"/>
        <v>#N/A</v>
      </c>
      <c r="K2051" s="16" t="e">
        <f t="shared" si="4128"/>
        <v>#N/A</v>
      </c>
      <c r="L2051" s="40" t="e">
        <f t="shared" si="3629"/>
        <v>#N/A</v>
      </c>
      <c r="M2051" s="16" t="e">
        <f t="shared" si="3630"/>
        <v>#N/A</v>
      </c>
      <c r="N2051" s="16" t="e">
        <f t="shared" si="3631"/>
        <v>#N/A</v>
      </c>
      <c r="O2051" s="16" t="s">
        <v>70</v>
      </c>
      <c r="P2051" s="16" t="str">
        <f t="shared" si="6"/>
        <v/>
      </c>
      <c r="Q2051" s="41" t="e">
        <f t="shared" si="3632"/>
        <v>#N/A</v>
      </c>
      <c r="R2051" s="44"/>
      <c r="S2051" s="44"/>
      <c r="T2051" s="43"/>
      <c r="U2051" s="43" t="str">
        <f t="shared" si="8"/>
        <v>No</v>
      </c>
      <c r="V2051" s="25"/>
      <c r="W2051" s="25"/>
      <c r="X2051" s="25"/>
      <c r="Y2051" s="25"/>
      <c r="Z2051" s="25"/>
    </row>
    <row r="2052" spans="1:26" ht="15.75" customHeight="1" x14ac:dyDescent="0.25">
      <c r="A2052" s="25">
        <v>2050</v>
      </c>
      <c r="B2052" s="37" t="e">
        <f t="shared" ref="B2052:D2052" si="4129">VLOOKUP($A2052,[6]Gobierno!$A$1:$O$234,B$1,0)</f>
        <v>#N/A</v>
      </c>
      <c r="C2052" s="38" t="e">
        <f t="shared" si="4129"/>
        <v>#N/A</v>
      </c>
      <c r="D2052" s="39" t="e">
        <f t="shared" si="4129"/>
        <v>#N/A</v>
      </c>
      <c r="E2052" s="16" t="e">
        <f t="shared" si="1"/>
        <v>#N/A</v>
      </c>
      <c r="F2052" s="16" t="e">
        <f t="shared" ref="F2052:K2052" si="4130">VLOOKUP($A2052,[6]Gobierno!$A$1:$O$234,F$1,0)</f>
        <v>#N/A</v>
      </c>
      <c r="G2052" s="39" t="e">
        <f t="shared" si="4130"/>
        <v>#N/A</v>
      </c>
      <c r="H2052" s="16" t="e">
        <f t="shared" si="4130"/>
        <v>#N/A</v>
      </c>
      <c r="I2052" s="16" t="e">
        <f t="shared" si="4130"/>
        <v>#N/A</v>
      </c>
      <c r="J2052" s="40" t="e">
        <f t="shared" si="4130"/>
        <v>#N/A</v>
      </c>
      <c r="K2052" s="16" t="e">
        <f t="shared" si="4130"/>
        <v>#N/A</v>
      </c>
      <c r="L2052" s="40" t="e">
        <f t="shared" si="3629"/>
        <v>#N/A</v>
      </c>
      <c r="M2052" s="16" t="e">
        <f t="shared" si="3630"/>
        <v>#N/A</v>
      </c>
      <c r="N2052" s="16" t="e">
        <f t="shared" si="3631"/>
        <v>#N/A</v>
      </c>
      <c r="O2052" s="16" t="s">
        <v>70</v>
      </c>
      <c r="P2052" s="16" t="str">
        <f t="shared" si="6"/>
        <v/>
      </c>
      <c r="Q2052" s="41" t="e">
        <f t="shared" si="3632"/>
        <v>#N/A</v>
      </c>
      <c r="R2052" s="44"/>
      <c r="S2052" s="44"/>
      <c r="T2052" s="43"/>
      <c r="U2052" s="43" t="str">
        <f t="shared" si="8"/>
        <v>No</v>
      </c>
      <c r="V2052" s="25"/>
      <c r="W2052" s="25"/>
      <c r="X2052" s="25"/>
      <c r="Y2052" s="25"/>
      <c r="Z2052" s="25"/>
    </row>
    <row r="2053" spans="1:26" ht="15.75" customHeight="1" x14ac:dyDescent="0.25">
      <c r="A2053" s="25">
        <v>2051</v>
      </c>
      <c r="B2053" s="37" t="e">
        <f t="shared" ref="B2053:D2053" si="4131">VLOOKUP($A2053,[6]Gobierno!$A$1:$O$234,B$1,0)</f>
        <v>#N/A</v>
      </c>
      <c r="C2053" s="38" t="e">
        <f t="shared" si="4131"/>
        <v>#N/A</v>
      </c>
      <c r="D2053" s="39" t="e">
        <f t="shared" si="4131"/>
        <v>#N/A</v>
      </c>
      <c r="E2053" s="16" t="e">
        <f t="shared" si="1"/>
        <v>#N/A</v>
      </c>
      <c r="F2053" s="16" t="e">
        <f t="shared" ref="F2053:K2053" si="4132">VLOOKUP($A2053,[6]Gobierno!$A$1:$O$234,F$1,0)</f>
        <v>#N/A</v>
      </c>
      <c r="G2053" s="39" t="e">
        <f t="shared" si="4132"/>
        <v>#N/A</v>
      </c>
      <c r="H2053" s="16" t="e">
        <f t="shared" si="4132"/>
        <v>#N/A</v>
      </c>
      <c r="I2053" s="16" t="e">
        <f t="shared" si="4132"/>
        <v>#N/A</v>
      </c>
      <c r="J2053" s="40" t="e">
        <f t="shared" si="4132"/>
        <v>#N/A</v>
      </c>
      <c r="K2053" s="16" t="e">
        <f t="shared" si="4132"/>
        <v>#N/A</v>
      </c>
      <c r="L2053" s="40" t="e">
        <f t="shared" si="3629"/>
        <v>#N/A</v>
      </c>
      <c r="M2053" s="16" t="e">
        <f t="shared" si="3630"/>
        <v>#N/A</v>
      </c>
      <c r="N2053" s="16" t="e">
        <f t="shared" si="3631"/>
        <v>#N/A</v>
      </c>
      <c r="O2053" s="16" t="s">
        <v>70</v>
      </c>
      <c r="P2053" s="16" t="str">
        <f t="shared" si="6"/>
        <v/>
      </c>
      <c r="Q2053" s="41" t="e">
        <f t="shared" si="3632"/>
        <v>#N/A</v>
      </c>
      <c r="R2053" s="44"/>
      <c r="S2053" s="44"/>
      <c r="T2053" s="43"/>
      <c r="U2053" s="43" t="str">
        <f t="shared" si="8"/>
        <v>No</v>
      </c>
      <c r="V2053" s="25"/>
      <c r="W2053" s="25"/>
      <c r="X2053" s="25"/>
      <c r="Y2053" s="25"/>
      <c r="Z2053" s="25"/>
    </row>
    <row r="2054" spans="1:26" ht="15.75" customHeight="1" x14ac:dyDescent="0.25">
      <c r="A2054" s="25">
        <v>2052</v>
      </c>
      <c r="B2054" s="37" t="e">
        <f t="shared" ref="B2054:D2054" si="4133">VLOOKUP($A2054,[6]Gobierno!$A$1:$O$234,B$1,0)</f>
        <v>#N/A</v>
      </c>
      <c r="C2054" s="38" t="e">
        <f t="shared" si="4133"/>
        <v>#N/A</v>
      </c>
      <c r="D2054" s="39" t="e">
        <f t="shared" si="4133"/>
        <v>#N/A</v>
      </c>
      <c r="E2054" s="16" t="e">
        <f t="shared" si="1"/>
        <v>#N/A</v>
      </c>
      <c r="F2054" s="16" t="e">
        <f t="shared" ref="F2054:K2054" si="4134">VLOOKUP($A2054,[6]Gobierno!$A$1:$O$234,F$1,0)</f>
        <v>#N/A</v>
      </c>
      <c r="G2054" s="39" t="e">
        <f t="shared" si="4134"/>
        <v>#N/A</v>
      </c>
      <c r="H2054" s="16" t="e">
        <f t="shared" si="4134"/>
        <v>#N/A</v>
      </c>
      <c r="I2054" s="16" t="e">
        <f t="shared" si="4134"/>
        <v>#N/A</v>
      </c>
      <c r="J2054" s="40" t="e">
        <f t="shared" si="4134"/>
        <v>#N/A</v>
      </c>
      <c r="K2054" s="16" t="e">
        <f t="shared" si="4134"/>
        <v>#N/A</v>
      </c>
      <c r="L2054" s="40" t="e">
        <f t="shared" si="3629"/>
        <v>#N/A</v>
      </c>
      <c r="M2054" s="16" t="e">
        <f t="shared" si="3630"/>
        <v>#N/A</v>
      </c>
      <c r="N2054" s="16" t="e">
        <f t="shared" si="3631"/>
        <v>#N/A</v>
      </c>
      <c r="O2054" s="16" t="s">
        <v>70</v>
      </c>
      <c r="P2054" s="16" t="str">
        <f t="shared" si="6"/>
        <v/>
      </c>
      <c r="Q2054" s="41" t="e">
        <f t="shared" si="3632"/>
        <v>#N/A</v>
      </c>
      <c r="R2054" s="44"/>
      <c r="S2054" s="44"/>
      <c r="T2054" s="43"/>
      <c r="U2054" s="43" t="str">
        <f t="shared" si="8"/>
        <v>No</v>
      </c>
      <c r="V2054" s="25"/>
      <c r="W2054" s="25"/>
      <c r="X2054" s="25"/>
      <c r="Y2054" s="25"/>
      <c r="Z2054" s="25"/>
    </row>
    <row r="2055" spans="1:26" ht="15.75" customHeight="1" x14ac:dyDescent="0.25">
      <c r="A2055" s="25">
        <v>2053</v>
      </c>
      <c r="B2055" s="37" t="e">
        <f t="shared" ref="B2055:D2055" si="4135">VLOOKUP($A2055,[6]Gobierno!$A$1:$O$234,B$1,0)</f>
        <v>#N/A</v>
      </c>
      <c r="C2055" s="38" t="e">
        <f t="shared" si="4135"/>
        <v>#N/A</v>
      </c>
      <c r="D2055" s="39" t="e">
        <f t="shared" si="4135"/>
        <v>#N/A</v>
      </c>
      <c r="E2055" s="16" t="e">
        <f t="shared" si="1"/>
        <v>#N/A</v>
      </c>
      <c r="F2055" s="16" t="e">
        <f t="shared" ref="F2055:K2055" si="4136">VLOOKUP($A2055,[6]Gobierno!$A$1:$O$234,F$1,0)</f>
        <v>#N/A</v>
      </c>
      <c r="G2055" s="39" t="e">
        <f t="shared" si="4136"/>
        <v>#N/A</v>
      </c>
      <c r="H2055" s="16" t="e">
        <f t="shared" si="4136"/>
        <v>#N/A</v>
      </c>
      <c r="I2055" s="16" t="e">
        <f t="shared" si="4136"/>
        <v>#N/A</v>
      </c>
      <c r="J2055" s="40" t="e">
        <f t="shared" si="4136"/>
        <v>#N/A</v>
      </c>
      <c r="K2055" s="16" t="e">
        <f t="shared" si="4136"/>
        <v>#N/A</v>
      </c>
      <c r="L2055" s="40" t="e">
        <f t="shared" si="3629"/>
        <v>#N/A</v>
      </c>
      <c r="M2055" s="16" t="e">
        <f t="shared" si="3630"/>
        <v>#N/A</v>
      </c>
      <c r="N2055" s="16" t="e">
        <f t="shared" si="3631"/>
        <v>#N/A</v>
      </c>
      <c r="O2055" s="16" t="s">
        <v>70</v>
      </c>
      <c r="P2055" s="16" t="str">
        <f t="shared" si="6"/>
        <v/>
      </c>
      <c r="Q2055" s="41" t="e">
        <f t="shared" si="3632"/>
        <v>#N/A</v>
      </c>
      <c r="R2055" s="44"/>
      <c r="S2055" s="44"/>
      <c r="T2055" s="43"/>
      <c r="U2055" s="43" t="str">
        <f t="shared" si="8"/>
        <v>No</v>
      </c>
      <c r="V2055" s="25"/>
      <c r="W2055" s="25"/>
      <c r="X2055" s="25"/>
      <c r="Y2055" s="25"/>
      <c r="Z2055" s="25"/>
    </row>
    <row r="2056" spans="1:26" ht="15.75" customHeight="1" x14ac:dyDescent="0.25">
      <c r="A2056" s="25">
        <v>2054</v>
      </c>
      <c r="B2056" s="37" t="e">
        <f t="shared" ref="B2056:D2056" si="4137">VLOOKUP($A2056,[6]Gobierno!$A$1:$O$234,B$1,0)</f>
        <v>#N/A</v>
      </c>
      <c r="C2056" s="38" t="e">
        <f t="shared" si="4137"/>
        <v>#N/A</v>
      </c>
      <c r="D2056" s="39" t="e">
        <f t="shared" si="4137"/>
        <v>#N/A</v>
      </c>
      <c r="E2056" s="16" t="e">
        <f t="shared" si="1"/>
        <v>#N/A</v>
      </c>
      <c r="F2056" s="16" t="e">
        <f t="shared" ref="F2056:K2056" si="4138">VLOOKUP($A2056,[6]Gobierno!$A$1:$O$234,F$1,0)</f>
        <v>#N/A</v>
      </c>
      <c r="G2056" s="39" t="e">
        <f t="shared" si="4138"/>
        <v>#N/A</v>
      </c>
      <c r="H2056" s="16" t="e">
        <f t="shared" si="4138"/>
        <v>#N/A</v>
      </c>
      <c r="I2056" s="16" t="e">
        <f t="shared" si="4138"/>
        <v>#N/A</v>
      </c>
      <c r="J2056" s="40" t="e">
        <f t="shared" si="4138"/>
        <v>#N/A</v>
      </c>
      <c r="K2056" s="16" t="e">
        <f t="shared" si="4138"/>
        <v>#N/A</v>
      </c>
      <c r="L2056" s="40" t="e">
        <f t="shared" si="3629"/>
        <v>#N/A</v>
      </c>
      <c r="M2056" s="16" t="e">
        <f t="shared" si="3630"/>
        <v>#N/A</v>
      </c>
      <c r="N2056" s="16" t="e">
        <f t="shared" si="3631"/>
        <v>#N/A</v>
      </c>
      <c r="O2056" s="16" t="s">
        <v>70</v>
      </c>
      <c r="P2056" s="16" t="str">
        <f t="shared" si="6"/>
        <v/>
      </c>
      <c r="Q2056" s="41" t="e">
        <f t="shared" si="3632"/>
        <v>#N/A</v>
      </c>
      <c r="R2056" s="44"/>
      <c r="S2056" s="44"/>
      <c r="T2056" s="43"/>
      <c r="U2056" s="43" t="str">
        <f t="shared" si="8"/>
        <v>No</v>
      </c>
      <c r="V2056" s="25"/>
      <c r="W2056" s="25"/>
      <c r="X2056" s="25"/>
      <c r="Y2056" s="25"/>
      <c r="Z2056" s="25"/>
    </row>
    <row r="2057" spans="1:26" ht="15.75" customHeight="1" x14ac:dyDescent="0.25">
      <c r="A2057" s="25">
        <v>2055</v>
      </c>
      <c r="B2057" s="37" t="e">
        <f t="shared" ref="B2057:D2057" si="4139">VLOOKUP($A2057,[6]Gobierno!$A$1:$O$234,B$1,0)</f>
        <v>#N/A</v>
      </c>
      <c r="C2057" s="38" t="e">
        <f t="shared" si="4139"/>
        <v>#N/A</v>
      </c>
      <c r="D2057" s="39" t="e">
        <f t="shared" si="4139"/>
        <v>#N/A</v>
      </c>
      <c r="E2057" s="16" t="e">
        <f t="shared" si="1"/>
        <v>#N/A</v>
      </c>
      <c r="F2057" s="16" t="e">
        <f t="shared" ref="F2057:K2057" si="4140">VLOOKUP($A2057,[6]Gobierno!$A$1:$O$234,F$1,0)</f>
        <v>#N/A</v>
      </c>
      <c r="G2057" s="39" t="e">
        <f t="shared" si="4140"/>
        <v>#N/A</v>
      </c>
      <c r="H2057" s="16" t="e">
        <f t="shared" si="4140"/>
        <v>#N/A</v>
      </c>
      <c r="I2057" s="16" t="e">
        <f t="shared" si="4140"/>
        <v>#N/A</v>
      </c>
      <c r="J2057" s="40" t="e">
        <f t="shared" si="4140"/>
        <v>#N/A</v>
      </c>
      <c r="K2057" s="16" t="e">
        <f t="shared" si="4140"/>
        <v>#N/A</v>
      </c>
      <c r="L2057" s="40" t="e">
        <f t="shared" si="3629"/>
        <v>#N/A</v>
      </c>
      <c r="M2057" s="16" t="e">
        <f t="shared" si="3630"/>
        <v>#N/A</v>
      </c>
      <c r="N2057" s="16" t="e">
        <f t="shared" si="3631"/>
        <v>#N/A</v>
      </c>
      <c r="O2057" s="16" t="s">
        <v>70</v>
      </c>
      <c r="P2057" s="16" t="str">
        <f t="shared" si="6"/>
        <v/>
      </c>
      <c r="Q2057" s="41" t="e">
        <f t="shared" si="3632"/>
        <v>#N/A</v>
      </c>
      <c r="R2057" s="44"/>
      <c r="S2057" s="44"/>
      <c r="T2057" s="43"/>
      <c r="U2057" s="43" t="str">
        <f t="shared" si="8"/>
        <v>No</v>
      </c>
      <c r="V2057" s="25"/>
      <c r="W2057" s="25"/>
      <c r="X2057" s="25"/>
      <c r="Y2057" s="25"/>
      <c r="Z2057" s="25"/>
    </row>
    <row r="2058" spans="1:26" ht="15.75" customHeight="1" x14ac:dyDescent="0.25">
      <c r="A2058" s="25">
        <v>2056</v>
      </c>
      <c r="B2058" s="37" t="e">
        <f t="shared" ref="B2058:D2058" si="4141">VLOOKUP($A2058,[6]Gobierno!$A$1:$O$234,B$1,0)</f>
        <v>#N/A</v>
      </c>
      <c r="C2058" s="38" t="e">
        <f t="shared" si="4141"/>
        <v>#N/A</v>
      </c>
      <c r="D2058" s="39" t="e">
        <f t="shared" si="4141"/>
        <v>#N/A</v>
      </c>
      <c r="E2058" s="16" t="e">
        <f t="shared" si="1"/>
        <v>#N/A</v>
      </c>
      <c r="F2058" s="16" t="e">
        <f t="shared" ref="F2058:K2058" si="4142">VLOOKUP($A2058,[6]Gobierno!$A$1:$O$234,F$1,0)</f>
        <v>#N/A</v>
      </c>
      <c r="G2058" s="39" t="e">
        <f t="shared" si="4142"/>
        <v>#N/A</v>
      </c>
      <c r="H2058" s="16" t="e">
        <f t="shared" si="4142"/>
        <v>#N/A</v>
      </c>
      <c r="I2058" s="16" t="e">
        <f t="shared" si="4142"/>
        <v>#N/A</v>
      </c>
      <c r="J2058" s="40" t="e">
        <f t="shared" si="4142"/>
        <v>#N/A</v>
      </c>
      <c r="K2058" s="16" t="e">
        <f t="shared" si="4142"/>
        <v>#N/A</v>
      </c>
      <c r="L2058" s="40" t="e">
        <f t="shared" si="3629"/>
        <v>#N/A</v>
      </c>
      <c r="M2058" s="16" t="e">
        <f t="shared" si="3630"/>
        <v>#N/A</v>
      </c>
      <c r="N2058" s="16" t="e">
        <f t="shared" si="3631"/>
        <v>#N/A</v>
      </c>
      <c r="O2058" s="16" t="s">
        <v>70</v>
      </c>
      <c r="P2058" s="16" t="str">
        <f t="shared" si="6"/>
        <v/>
      </c>
      <c r="Q2058" s="41" t="e">
        <f t="shared" si="3632"/>
        <v>#N/A</v>
      </c>
      <c r="R2058" s="44"/>
      <c r="S2058" s="44"/>
      <c r="T2058" s="43"/>
      <c r="U2058" s="43" t="str">
        <f t="shared" si="8"/>
        <v>No</v>
      </c>
      <c r="V2058" s="25"/>
      <c r="W2058" s="25"/>
      <c r="X2058" s="25"/>
      <c r="Y2058" s="25"/>
      <c r="Z2058" s="25"/>
    </row>
    <row r="2059" spans="1:26" ht="15.75" customHeight="1" x14ac:dyDescent="0.25">
      <c r="A2059" s="25">
        <v>2057</v>
      </c>
      <c r="B2059" s="37" t="e">
        <f t="shared" ref="B2059:D2059" si="4143">VLOOKUP($A2059,[6]Gobierno!$A$1:$O$234,B$1,0)</f>
        <v>#N/A</v>
      </c>
      <c r="C2059" s="38" t="e">
        <f t="shared" si="4143"/>
        <v>#N/A</v>
      </c>
      <c r="D2059" s="39" t="e">
        <f t="shared" si="4143"/>
        <v>#N/A</v>
      </c>
      <c r="E2059" s="16" t="e">
        <f t="shared" si="1"/>
        <v>#N/A</v>
      </c>
      <c r="F2059" s="16" t="e">
        <f t="shared" ref="F2059:K2059" si="4144">VLOOKUP($A2059,[6]Gobierno!$A$1:$O$234,F$1,0)</f>
        <v>#N/A</v>
      </c>
      <c r="G2059" s="39" t="e">
        <f t="shared" si="4144"/>
        <v>#N/A</v>
      </c>
      <c r="H2059" s="16" t="e">
        <f t="shared" si="4144"/>
        <v>#N/A</v>
      </c>
      <c r="I2059" s="16" t="e">
        <f t="shared" si="4144"/>
        <v>#N/A</v>
      </c>
      <c r="J2059" s="40" t="e">
        <f t="shared" si="4144"/>
        <v>#N/A</v>
      </c>
      <c r="K2059" s="16" t="e">
        <f t="shared" si="4144"/>
        <v>#N/A</v>
      </c>
      <c r="L2059" s="40" t="e">
        <f t="shared" si="3629"/>
        <v>#N/A</v>
      </c>
      <c r="M2059" s="16" t="e">
        <f t="shared" si="3630"/>
        <v>#N/A</v>
      </c>
      <c r="N2059" s="16" t="e">
        <f t="shared" si="3631"/>
        <v>#N/A</v>
      </c>
      <c r="O2059" s="16" t="s">
        <v>70</v>
      </c>
      <c r="P2059" s="16" t="str">
        <f t="shared" si="6"/>
        <v/>
      </c>
      <c r="Q2059" s="41" t="e">
        <f t="shared" si="3632"/>
        <v>#N/A</v>
      </c>
      <c r="R2059" s="44"/>
      <c r="S2059" s="44"/>
      <c r="T2059" s="43"/>
      <c r="U2059" s="43" t="str">
        <f t="shared" si="8"/>
        <v>No</v>
      </c>
      <c r="V2059" s="25"/>
      <c r="W2059" s="25"/>
      <c r="X2059" s="25"/>
      <c r="Y2059" s="25"/>
      <c r="Z2059" s="25"/>
    </row>
    <row r="2060" spans="1:26" ht="15.75" customHeight="1" x14ac:dyDescent="0.25">
      <c r="A2060" s="25">
        <v>2058</v>
      </c>
      <c r="B2060" s="37" t="e">
        <f t="shared" ref="B2060:D2060" si="4145">VLOOKUP($A2060,[6]Gobierno!$A$1:$O$234,B$1,0)</f>
        <v>#N/A</v>
      </c>
      <c r="C2060" s="38" t="e">
        <f t="shared" si="4145"/>
        <v>#N/A</v>
      </c>
      <c r="D2060" s="39" t="e">
        <f t="shared" si="4145"/>
        <v>#N/A</v>
      </c>
      <c r="E2060" s="16" t="e">
        <f t="shared" si="1"/>
        <v>#N/A</v>
      </c>
      <c r="F2060" s="16" t="e">
        <f t="shared" ref="F2060:K2060" si="4146">VLOOKUP($A2060,[6]Gobierno!$A$1:$O$234,F$1,0)</f>
        <v>#N/A</v>
      </c>
      <c r="G2060" s="39" t="e">
        <f t="shared" si="4146"/>
        <v>#N/A</v>
      </c>
      <c r="H2060" s="16" t="e">
        <f t="shared" si="4146"/>
        <v>#N/A</v>
      </c>
      <c r="I2060" s="16" t="e">
        <f t="shared" si="4146"/>
        <v>#N/A</v>
      </c>
      <c r="J2060" s="40" t="e">
        <f t="shared" si="4146"/>
        <v>#N/A</v>
      </c>
      <c r="K2060" s="16" t="e">
        <f t="shared" si="4146"/>
        <v>#N/A</v>
      </c>
      <c r="L2060" s="40" t="e">
        <f t="shared" si="3629"/>
        <v>#N/A</v>
      </c>
      <c r="M2060" s="16" t="e">
        <f t="shared" si="3630"/>
        <v>#N/A</v>
      </c>
      <c r="N2060" s="16" t="e">
        <f t="shared" si="3631"/>
        <v>#N/A</v>
      </c>
      <c r="O2060" s="16" t="s">
        <v>70</v>
      </c>
      <c r="P2060" s="16" t="str">
        <f t="shared" si="6"/>
        <v/>
      </c>
      <c r="Q2060" s="41" t="e">
        <f t="shared" si="3632"/>
        <v>#N/A</v>
      </c>
      <c r="R2060" s="44"/>
      <c r="S2060" s="44"/>
      <c r="T2060" s="43"/>
      <c r="U2060" s="43" t="str">
        <f t="shared" si="8"/>
        <v>No</v>
      </c>
      <c r="V2060" s="25"/>
      <c r="W2060" s="25"/>
      <c r="X2060" s="25"/>
      <c r="Y2060" s="25"/>
      <c r="Z2060" s="25"/>
    </row>
    <row r="2061" spans="1:26" ht="15.75" customHeight="1" x14ac:dyDescent="0.25">
      <c r="A2061" s="25">
        <v>2059</v>
      </c>
      <c r="B2061" s="37" t="e">
        <f t="shared" ref="B2061:D2061" si="4147">VLOOKUP($A2061,[6]Gobierno!$A$1:$O$234,B$1,0)</f>
        <v>#N/A</v>
      </c>
      <c r="C2061" s="38" t="e">
        <f t="shared" si="4147"/>
        <v>#N/A</v>
      </c>
      <c r="D2061" s="39" t="e">
        <f t="shared" si="4147"/>
        <v>#N/A</v>
      </c>
      <c r="E2061" s="16" t="e">
        <f t="shared" si="1"/>
        <v>#N/A</v>
      </c>
      <c r="F2061" s="16" t="e">
        <f t="shared" ref="F2061:K2061" si="4148">VLOOKUP($A2061,[6]Gobierno!$A$1:$O$234,F$1,0)</f>
        <v>#N/A</v>
      </c>
      <c r="G2061" s="39" t="e">
        <f t="shared" si="4148"/>
        <v>#N/A</v>
      </c>
      <c r="H2061" s="16" t="e">
        <f t="shared" si="4148"/>
        <v>#N/A</v>
      </c>
      <c r="I2061" s="16" t="e">
        <f t="shared" si="4148"/>
        <v>#N/A</v>
      </c>
      <c r="J2061" s="40" t="e">
        <f t="shared" si="4148"/>
        <v>#N/A</v>
      </c>
      <c r="K2061" s="16" t="e">
        <f t="shared" si="4148"/>
        <v>#N/A</v>
      </c>
      <c r="L2061" s="40" t="e">
        <f t="shared" si="3629"/>
        <v>#N/A</v>
      </c>
      <c r="M2061" s="16" t="e">
        <f t="shared" si="3630"/>
        <v>#N/A</v>
      </c>
      <c r="N2061" s="16" t="e">
        <f t="shared" si="3631"/>
        <v>#N/A</v>
      </c>
      <c r="O2061" s="16" t="s">
        <v>70</v>
      </c>
      <c r="P2061" s="16" t="str">
        <f t="shared" si="6"/>
        <v/>
      </c>
      <c r="Q2061" s="41" t="e">
        <f t="shared" si="3632"/>
        <v>#N/A</v>
      </c>
      <c r="R2061" s="44"/>
      <c r="S2061" s="44"/>
      <c r="T2061" s="43"/>
      <c r="U2061" s="43" t="str">
        <f t="shared" si="8"/>
        <v>No</v>
      </c>
      <c r="V2061" s="25"/>
      <c r="W2061" s="25"/>
      <c r="X2061" s="25"/>
      <c r="Y2061" s="25"/>
      <c r="Z2061" s="25"/>
    </row>
    <row r="2062" spans="1:26" ht="15.75" customHeight="1" x14ac:dyDescent="0.25">
      <c r="A2062" s="25">
        <v>2060</v>
      </c>
      <c r="B2062" s="37" t="e">
        <f t="shared" ref="B2062:D2062" si="4149">VLOOKUP($A2062,[6]Gobierno!$A$1:$O$234,B$1,0)</f>
        <v>#N/A</v>
      </c>
      <c r="C2062" s="38" t="e">
        <f t="shared" si="4149"/>
        <v>#N/A</v>
      </c>
      <c r="D2062" s="39" t="e">
        <f t="shared" si="4149"/>
        <v>#N/A</v>
      </c>
      <c r="E2062" s="16" t="e">
        <f t="shared" si="1"/>
        <v>#N/A</v>
      </c>
      <c r="F2062" s="16" t="e">
        <f t="shared" ref="F2062:K2062" si="4150">VLOOKUP($A2062,[6]Gobierno!$A$1:$O$234,F$1,0)</f>
        <v>#N/A</v>
      </c>
      <c r="G2062" s="39" t="e">
        <f t="shared" si="4150"/>
        <v>#N/A</v>
      </c>
      <c r="H2062" s="16" t="e">
        <f t="shared" si="4150"/>
        <v>#N/A</v>
      </c>
      <c r="I2062" s="16" t="e">
        <f t="shared" si="4150"/>
        <v>#N/A</v>
      </c>
      <c r="J2062" s="40" t="e">
        <f t="shared" si="4150"/>
        <v>#N/A</v>
      </c>
      <c r="K2062" s="16" t="e">
        <f t="shared" si="4150"/>
        <v>#N/A</v>
      </c>
      <c r="L2062" s="40" t="e">
        <f t="shared" si="3629"/>
        <v>#N/A</v>
      </c>
      <c r="M2062" s="16" t="e">
        <f t="shared" si="3630"/>
        <v>#N/A</v>
      </c>
      <c r="N2062" s="16" t="e">
        <f t="shared" si="3631"/>
        <v>#N/A</v>
      </c>
      <c r="O2062" s="16" t="s">
        <v>70</v>
      </c>
      <c r="P2062" s="16" t="str">
        <f t="shared" si="6"/>
        <v/>
      </c>
      <c r="Q2062" s="41" t="e">
        <f t="shared" si="3632"/>
        <v>#N/A</v>
      </c>
      <c r="R2062" s="44"/>
      <c r="S2062" s="44"/>
      <c r="T2062" s="43"/>
      <c r="U2062" s="43" t="str">
        <f t="shared" si="8"/>
        <v>No</v>
      </c>
      <c r="V2062" s="25"/>
      <c r="W2062" s="25"/>
      <c r="X2062" s="25"/>
      <c r="Y2062" s="25"/>
      <c r="Z2062" s="25"/>
    </row>
    <row r="2063" spans="1:26" ht="15.75" customHeight="1" x14ac:dyDescent="0.25">
      <c r="A2063" s="25">
        <v>2061</v>
      </c>
      <c r="B2063" s="37" t="e">
        <f t="shared" ref="B2063:D2063" si="4151">VLOOKUP($A2063,[6]Gobierno!$A$1:$O$234,B$1,0)</f>
        <v>#N/A</v>
      </c>
      <c r="C2063" s="38" t="e">
        <f t="shared" si="4151"/>
        <v>#N/A</v>
      </c>
      <c r="D2063" s="39" t="e">
        <f t="shared" si="4151"/>
        <v>#N/A</v>
      </c>
      <c r="E2063" s="16" t="e">
        <f t="shared" si="1"/>
        <v>#N/A</v>
      </c>
      <c r="F2063" s="16" t="e">
        <f t="shared" ref="F2063:K2063" si="4152">VLOOKUP($A2063,[6]Gobierno!$A$1:$O$234,F$1,0)</f>
        <v>#N/A</v>
      </c>
      <c r="G2063" s="39" t="e">
        <f t="shared" si="4152"/>
        <v>#N/A</v>
      </c>
      <c r="H2063" s="16" t="e">
        <f t="shared" si="4152"/>
        <v>#N/A</v>
      </c>
      <c r="I2063" s="16" t="e">
        <f t="shared" si="4152"/>
        <v>#N/A</v>
      </c>
      <c r="J2063" s="40" t="e">
        <f t="shared" si="4152"/>
        <v>#N/A</v>
      </c>
      <c r="K2063" s="16" t="e">
        <f t="shared" si="4152"/>
        <v>#N/A</v>
      </c>
      <c r="L2063" s="40" t="e">
        <f t="shared" si="3629"/>
        <v>#N/A</v>
      </c>
      <c r="M2063" s="16" t="e">
        <f t="shared" si="3630"/>
        <v>#N/A</v>
      </c>
      <c r="N2063" s="16" t="e">
        <f t="shared" si="3631"/>
        <v>#N/A</v>
      </c>
      <c r="O2063" s="16" t="s">
        <v>70</v>
      </c>
      <c r="P2063" s="16" t="str">
        <f t="shared" si="6"/>
        <v/>
      </c>
      <c r="Q2063" s="41" t="e">
        <f t="shared" si="3632"/>
        <v>#N/A</v>
      </c>
      <c r="R2063" s="44"/>
      <c r="S2063" s="44"/>
      <c r="T2063" s="43"/>
      <c r="U2063" s="43" t="str">
        <f t="shared" si="8"/>
        <v>No</v>
      </c>
      <c r="V2063" s="25"/>
      <c r="W2063" s="25"/>
      <c r="X2063" s="25"/>
      <c r="Y2063" s="25"/>
      <c r="Z2063" s="25"/>
    </row>
    <row r="2064" spans="1:26" ht="15.75" customHeight="1" x14ac:dyDescent="0.25">
      <c r="A2064" s="25">
        <v>2062</v>
      </c>
      <c r="B2064" s="37" t="e">
        <f t="shared" ref="B2064:D2064" si="4153">VLOOKUP($A2064,[6]Gobierno!$A$1:$O$234,B$1,0)</f>
        <v>#N/A</v>
      </c>
      <c r="C2064" s="38" t="e">
        <f t="shared" si="4153"/>
        <v>#N/A</v>
      </c>
      <c r="D2064" s="39" t="e">
        <f t="shared" si="4153"/>
        <v>#N/A</v>
      </c>
      <c r="E2064" s="16" t="e">
        <f t="shared" si="1"/>
        <v>#N/A</v>
      </c>
      <c r="F2064" s="16" t="e">
        <f t="shared" ref="F2064:K2064" si="4154">VLOOKUP($A2064,[6]Gobierno!$A$1:$O$234,F$1,0)</f>
        <v>#N/A</v>
      </c>
      <c r="G2064" s="39" t="e">
        <f t="shared" si="4154"/>
        <v>#N/A</v>
      </c>
      <c r="H2064" s="16" t="e">
        <f t="shared" si="4154"/>
        <v>#N/A</v>
      </c>
      <c r="I2064" s="16" t="e">
        <f t="shared" si="4154"/>
        <v>#N/A</v>
      </c>
      <c r="J2064" s="40" t="e">
        <f t="shared" si="4154"/>
        <v>#N/A</v>
      </c>
      <c r="K2064" s="16" t="e">
        <f t="shared" si="4154"/>
        <v>#N/A</v>
      </c>
      <c r="L2064" s="40" t="e">
        <f t="shared" si="3629"/>
        <v>#N/A</v>
      </c>
      <c r="M2064" s="16" t="e">
        <f t="shared" si="3630"/>
        <v>#N/A</v>
      </c>
      <c r="N2064" s="16" t="e">
        <f t="shared" si="3631"/>
        <v>#N/A</v>
      </c>
      <c r="O2064" s="16" t="s">
        <v>70</v>
      </c>
      <c r="P2064" s="16" t="str">
        <f t="shared" si="6"/>
        <v/>
      </c>
      <c r="Q2064" s="41" t="e">
        <f t="shared" si="3632"/>
        <v>#N/A</v>
      </c>
      <c r="R2064" s="44"/>
      <c r="S2064" s="44"/>
      <c r="T2064" s="43"/>
      <c r="U2064" s="43" t="str">
        <f t="shared" si="8"/>
        <v>No</v>
      </c>
      <c r="V2064" s="25"/>
      <c r="W2064" s="25"/>
      <c r="X2064" s="25"/>
      <c r="Y2064" s="25"/>
      <c r="Z2064" s="25"/>
    </row>
    <row r="2065" spans="1:26" ht="15.75" customHeight="1" x14ac:dyDescent="0.25">
      <c r="A2065" s="25">
        <v>2063</v>
      </c>
      <c r="B2065" s="37" t="e">
        <f t="shared" ref="B2065:D2065" si="4155">VLOOKUP($A2065,[6]Gobierno!$A$1:$O$234,B$1,0)</f>
        <v>#N/A</v>
      </c>
      <c r="C2065" s="38" t="e">
        <f t="shared" si="4155"/>
        <v>#N/A</v>
      </c>
      <c r="D2065" s="39" t="e">
        <f t="shared" si="4155"/>
        <v>#N/A</v>
      </c>
      <c r="E2065" s="16" t="e">
        <f t="shared" si="1"/>
        <v>#N/A</v>
      </c>
      <c r="F2065" s="16" t="e">
        <f t="shared" ref="F2065:K2065" si="4156">VLOOKUP($A2065,[6]Gobierno!$A$1:$O$234,F$1,0)</f>
        <v>#N/A</v>
      </c>
      <c r="G2065" s="39" t="e">
        <f t="shared" si="4156"/>
        <v>#N/A</v>
      </c>
      <c r="H2065" s="16" t="e">
        <f t="shared" si="4156"/>
        <v>#N/A</v>
      </c>
      <c r="I2065" s="16" t="e">
        <f t="shared" si="4156"/>
        <v>#N/A</v>
      </c>
      <c r="J2065" s="40" t="e">
        <f t="shared" si="4156"/>
        <v>#N/A</v>
      </c>
      <c r="K2065" s="16" t="e">
        <f t="shared" si="4156"/>
        <v>#N/A</v>
      </c>
      <c r="L2065" s="40" t="e">
        <f t="shared" si="3629"/>
        <v>#N/A</v>
      </c>
      <c r="M2065" s="16" t="e">
        <f t="shared" si="3630"/>
        <v>#N/A</v>
      </c>
      <c r="N2065" s="16" t="e">
        <f t="shared" si="3631"/>
        <v>#N/A</v>
      </c>
      <c r="O2065" s="16" t="s">
        <v>70</v>
      </c>
      <c r="P2065" s="16" t="str">
        <f t="shared" si="6"/>
        <v/>
      </c>
      <c r="Q2065" s="41" t="e">
        <f t="shared" si="3632"/>
        <v>#N/A</v>
      </c>
      <c r="R2065" s="44"/>
      <c r="S2065" s="44"/>
      <c r="T2065" s="43"/>
      <c r="U2065" s="43" t="str">
        <f t="shared" si="8"/>
        <v>No</v>
      </c>
      <c r="V2065" s="25"/>
      <c r="W2065" s="25"/>
      <c r="X2065" s="25"/>
      <c r="Y2065" s="25"/>
      <c r="Z2065" s="25"/>
    </row>
    <row r="2066" spans="1:26" ht="15.75" customHeight="1" x14ac:dyDescent="0.25">
      <c r="A2066" s="25">
        <v>2064</v>
      </c>
      <c r="B2066" s="37" t="e">
        <f t="shared" ref="B2066:D2066" si="4157">VLOOKUP($A2066,[6]Gobierno!$A$1:$O$234,B$1,0)</f>
        <v>#N/A</v>
      </c>
      <c r="C2066" s="38" t="e">
        <f t="shared" si="4157"/>
        <v>#N/A</v>
      </c>
      <c r="D2066" s="39" t="e">
        <f t="shared" si="4157"/>
        <v>#N/A</v>
      </c>
      <c r="E2066" s="16" t="e">
        <f t="shared" si="1"/>
        <v>#N/A</v>
      </c>
      <c r="F2066" s="16" t="e">
        <f t="shared" ref="F2066:K2066" si="4158">VLOOKUP($A2066,[6]Gobierno!$A$1:$O$234,F$1,0)</f>
        <v>#N/A</v>
      </c>
      <c r="G2066" s="39" t="e">
        <f t="shared" si="4158"/>
        <v>#N/A</v>
      </c>
      <c r="H2066" s="16" t="e">
        <f t="shared" si="4158"/>
        <v>#N/A</v>
      </c>
      <c r="I2066" s="16" t="e">
        <f t="shared" si="4158"/>
        <v>#N/A</v>
      </c>
      <c r="J2066" s="40" t="e">
        <f t="shared" si="4158"/>
        <v>#N/A</v>
      </c>
      <c r="K2066" s="16" t="e">
        <f t="shared" si="4158"/>
        <v>#N/A</v>
      </c>
      <c r="L2066" s="40" t="e">
        <f t="shared" si="3629"/>
        <v>#N/A</v>
      </c>
      <c r="M2066" s="16" t="e">
        <f t="shared" si="3630"/>
        <v>#N/A</v>
      </c>
      <c r="N2066" s="16" t="e">
        <f t="shared" si="3631"/>
        <v>#N/A</v>
      </c>
      <c r="O2066" s="16" t="s">
        <v>70</v>
      </c>
      <c r="P2066" s="16" t="str">
        <f t="shared" si="6"/>
        <v/>
      </c>
      <c r="Q2066" s="41" t="e">
        <f t="shared" si="3632"/>
        <v>#N/A</v>
      </c>
      <c r="R2066" s="44"/>
      <c r="S2066" s="44"/>
      <c r="T2066" s="43"/>
      <c r="U2066" s="43" t="str">
        <f t="shared" si="8"/>
        <v>No</v>
      </c>
      <c r="V2066" s="25"/>
      <c r="W2066" s="25"/>
      <c r="X2066" s="25"/>
      <c r="Y2066" s="25"/>
      <c r="Z2066" s="25"/>
    </row>
    <row r="2067" spans="1:26" ht="15.75" customHeight="1" x14ac:dyDescent="0.25">
      <c r="A2067" s="25">
        <v>2065</v>
      </c>
      <c r="B2067" s="37" t="e">
        <f t="shared" ref="B2067:D2067" si="4159">VLOOKUP($A2067,[6]Gobierno!$A$1:$O$234,B$1,0)</f>
        <v>#N/A</v>
      </c>
      <c r="C2067" s="38" t="e">
        <f t="shared" si="4159"/>
        <v>#N/A</v>
      </c>
      <c r="D2067" s="39" t="e">
        <f t="shared" si="4159"/>
        <v>#N/A</v>
      </c>
      <c r="E2067" s="16" t="e">
        <f t="shared" si="1"/>
        <v>#N/A</v>
      </c>
      <c r="F2067" s="16" t="e">
        <f t="shared" ref="F2067:K2067" si="4160">VLOOKUP($A2067,[6]Gobierno!$A$1:$O$234,F$1,0)</f>
        <v>#N/A</v>
      </c>
      <c r="G2067" s="39" t="e">
        <f t="shared" si="4160"/>
        <v>#N/A</v>
      </c>
      <c r="H2067" s="16" t="e">
        <f t="shared" si="4160"/>
        <v>#N/A</v>
      </c>
      <c r="I2067" s="16" t="e">
        <f t="shared" si="4160"/>
        <v>#N/A</v>
      </c>
      <c r="J2067" s="40" t="e">
        <f t="shared" si="4160"/>
        <v>#N/A</v>
      </c>
      <c r="K2067" s="16" t="e">
        <f t="shared" si="4160"/>
        <v>#N/A</v>
      </c>
      <c r="L2067" s="40" t="e">
        <f t="shared" si="3629"/>
        <v>#N/A</v>
      </c>
      <c r="M2067" s="16" t="e">
        <f t="shared" si="3630"/>
        <v>#N/A</v>
      </c>
      <c r="N2067" s="16" t="e">
        <f t="shared" si="3631"/>
        <v>#N/A</v>
      </c>
      <c r="O2067" s="16" t="s">
        <v>70</v>
      </c>
      <c r="P2067" s="16" t="str">
        <f t="shared" si="6"/>
        <v/>
      </c>
      <c r="Q2067" s="41" t="e">
        <f t="shared" si="3632"/>
        <v>#N/A</v>
      </c>
      <c r="R2067" s="44"/>
      <c r="S2067" s="44"/>
      <c r="T2067" s="43"/>
      <c r="U2067" s="43" t="str">
        <f t="shared" si="8"/>
        <v>No</v>
      </c>
      <c r="V2067" s="25"/>
      <c r="W2067" s="25"/>
      <c r="X2067" s="25"/>
      <c r="Y2067" s="25"/>
      <c r="Z2067" s="25"/>
    </row>
    <row r="2068" spans="1:26" ht="15.75" customHeight="1" x14ac:dyDescent="0.25">
      <c r="A2068" s="25">
        <v>2066</v>
      </c>
      <c r="B2068" s="37" t="e">
        <f t="shared" ref="B2068:D2068" si="4161">VLOOKUP($A2068,[6]Gobierno!$A$1:$O$234,B$1,0)</f>
        <v>#N/A</v>
      </c>
      <c r="C2068" s="38" t="e">
        <f t="shared" si="4161"/>
        <v>#N/A</v>
      </c>
      <c r="D2068" s="39" t="e">
        <f t="shared" si="4161"/>
        <v>#N/A</v>
      </c>
      <c r="E2068" s="16" t="e">
        <f t="shared" si="1"/>
        <v>#N/A</v>
      </c>
      <c r="F2068" s="16" t="e">
        <f t="shared" ref="F2068:K2068" si="4162">VLOOKUP($A2068,[6]Gobierno!$A$1:$O$234,F$1,0)</f>
        <v>#N/A</v>
      </c>
      <c r="G2068" s="39" t="e">
        <f t="shared" si="4162"/>
        <v>#N/A</v>
      </c>
      <c r="H2068" s="16" t="e">
        <f t="shared" si="4162"/>
        <v>#N/A</v>
      </c>
      <c r="I2068" s="16" t="e">
        <f t="shared" si="4162"/>
        <v>#N/A</v>
      </c>
      <c r="J2068" s="40" t="e">
        <f t="shared" si="4162"/>
        <v>#N/A</v>
      </c>
      <c r="K2068" s="16" t="e">
        <f t="shared" si="4162"/>
        <v>#N/A</v>
      </c>
      <c r="L2068" s="40" t="e">
        <f t="shared" si="3629"/>
        <v>#N/A</v>
      </c>
      <c r="M2068" s="16" t="e">
        <f t="shared" si="3630"/>
        <v>#N/A</v>
      </c>
      <c r="N2068" s="16" t="e">
        <f t="shared" si="3631"/>
        <v>#N/A</v>
      </c>
      <c r="O2068" s="16" t="s">
        <v>70</v>
      </c>
      <c r="P2068" s="16" t="str">
        <f t="shared" si="6"/>
        <v/>
      </c>
      <c r="Q2068" s="41" t="e">
        <f t="shared" si="3632"/>
        <v>#N/A</v>
      </c>
      <c r="R2068" s="44"/>
      <c r="S2068" s="44"/>
      <c r="T2068" s="43"/>
      <c r="U2068" s="43" t="str">
        <f t="shared" si="8"/>
        <v>No</v>
      </c>
      <c r="V2068" s="25"/>
      <c r="W2068" s="25"/>
      <c r="X2068" s="25"/>
      <c r="Y2068" s="25"/>
      <c r="Z2068" s="25"/>
    </row>
    <row r="2069" spans="1:26" ht="15.75" customHeight="1" x14ac:dyDescent="0.25">
      <c r="A2069" s="25">
        <v>2067</v>
      </c>
      <c r="B2069" s="37" t="e">
        <f t="shared" ref="B2069:D2069" si="4163">VLOOKUP($A2069,[6]Gobierno!$A$1:$O$234,B$1,0)</f>
        <v>#N/A</v>
      </c>
      <c r="C2069" s="38" t="e">
        <f t="shared" si="4163"/>
        <v>#N/A</v>
      </c>
      <c r="D2069" s="39" t="e">
        <f t="shared" si="4163"/>
        <v>#N/A</v>
      </c>
      <c r="E2069" s="16" t="e">
        <f t="shared" si="1"/>
        <v>#N/A</v>
      </c>
      <c r="F2069" s="16" t="e">
        <f t="shared" ref="F2069:K2069" si="4164">VLOOKUP($A2069,[6]Gobierno!$A$1:$O$234,F$1,0)</f>
        <v>#N/A</v>
      </c>
      <c r="G2069" s="39" t="e">
        <f t="shared" si="4164"/>
        <v>#N/A</v>
      </c>
      <c r="H2069" s="16" t="e">
        <f t="shared" si="4164"/>
        <v>#N/A</v>
      </c>
      <c r="I2069" s="16" t="e">
        <f t="shared" si="4164"/>
        <v>#N/A</v>
      </c>
      <c r="J2069" s="40" t="e">
        <f t="shared" si="4164"/>
        <v>#N/A</v>
      </c>
      <c r="K2069" s="16" t="e">
        <f t="shared" si="4164"/>
        <v>#N/A</v>
      </c>
      <c r="L2069" s="40" t="e">
        <f t="shared" si="3629"/>
        <v>#N/A</v>
      </c>
      <c r="M2069" s="16" t="e">
        <f t="shared" si="3630"/>
        <v>#N/A</v>
      </c>
      <c r="N2069" s="16" t="e">
        <f t="shared" si="3631"/>
        <v>#N/A</v>
      </c>
      <c r="O2069" s="16" t="s">
        <v>70</v>
      </c>
      <c r="P2069" s="16" t="str">
        <f t="shared" si="6"/>
        <v/>
      </c>
      <c r="Q2069" s="41" t="e">
        <f t="shared" si="3632"/>
        <v>#N/A</v>
      </c>
      <c r="R2069" s="44"/>
      <c r="S2069" s="44"/>
      <c r="T2069" s="43"/>
      <c r="U2069" s="43" t="str">
        <f t="shared" si="8"/>
        <v>No</v>
      </c>
      <c r="V2069" s="25"/>
      <c r="W2069" s="25"/>
      <c r="X2069" s="25"/>
      <c r="Y2069" s="25"/>
      <c r="Z2069" s="25"/>
    </row>
    <row r="2070" spans="1:26" ht="15.75" customHeight="1" x14ac:dyDescent="0.25">
      <c r="A2070" s="25">
        <v>2068</v>
      </c>
      <c r="B2070" s="37" t="e">
        <f t="shared" ref="B2070:D2070" si="4165">VLOOKUP($A2070,[6]Gobierno!$A$1:$O$234,B$1,0)</f>
        <v>#N/A</v>
      </c>
      <c r="C2070" s="38" t="e">
        <f t="shared" si="4165"/>
        <v>#N/A</v>
      </c>
      <c r="D2070" s="39" t="e">
        <f t="shared" si="4165"/>
        <v>#N/A</v>
      </c>
      <c r="E2070" s="16" t="e">
        <f t="shared" si="1"/>
        <v>#N/A</v>
      </c>
      <c r="F2070" s="16" t="e">
        <f t="shared" ref="F2070:K2070" si="4166">VLOOKUP($A2070,[6]Gobierno!$A$1:$O$234,F$1,0)</f>
        <v>#N/A</v>
      </c>
      <c r="G2070" s="39" t="e">
        <f t="shared" si="4166"/>
        <v>#N/A</v>
      </c>
      <c r="H2070" s="16" t="e">
        <f t="shared" si="4166"/>
        <v>#N/A</v>
      </c>
      <c r="I2070" s="16" t="e">
        <f t="shared" si="4166"/>
        <v>#N/A</v>
      </c>
      <c r="J2070" s="40" t="e">
        <f t="shared" si="4166"/>
        <v>#N/A</v>
      </c>
      <c r="K2070" s="16" t="e">
        <f t="shared" si="4166"/>
        <v>#N/A</v>
      </c>
      <c r="L2070" s="40" t="e">
        <f t="shared" si="3629"/>
        <v>#N/A</v>
      </c>
      <c r="M2070" s="16" t="e">
        <f t="shared" si="3630"/>
        <v>#N/A</v>
      </c>
      <c r="N2070" s="16" t="e">
        <f t="shared" si="3631"/>
        <v>#N/A</v>
      </c>
      <c r="O2070" s="16" t="s">
        <v>70</v>
      </c>
      <c r="P2070" s="16" t="str">
        <f t="shared" si="6"/>
        <v/>
      </c>
      <c r="Q2070" s="41" t="e">
        <f t="shared" si="3632"/>
        <v>#N/A</v>
      </c>
      <c r="R2070" s="44"/>
      <c r="S2070" s="44"/>
      <c r="T2070" s="43"/>
      <c r="U2070" s="43" t="str">
        <f t="shared" si="8"/>
        <v>No</v>
      </c>
      <c r="V2070" s="25"/>
      <c r="W2070" s="25"/>
      <c r="X2070" s="25"/>
      <c r="Y2070" s="25"/>
      <c r="Z2070" s="25"/>
    </row>
    <row r="2071" spans="1:26" ht="15.75" customHeight="1" x14ac:dyDescent="0.25">
      <c r="A2071" s="25">
        <v>2069</v>
      </c>
      <c r="B2071" s="37" t="e">
        <f t="shared" ref="B2071:D2071" si="4167">VLOOKUP($A2071,[6]Gobierno!$A$1:$O$234,B$1,0)</f>
        <v>#N/A</v>
      </c>
      <c r="C2071" s="38" t="e">
        <f t="shared" si="4167"/>
        <v>#N/A</v>
      </c>
      <c r="D2071" s="39" t="e">
        <f t="shared" si="4167"/>
        <v>#N/A</v>
      </c>
      <c r="E2071" s="16" t="e">
        <f t="shared" si="1"/>
        <v>#N/A</v>
      </c>
      <c r="F2071" s="16" t="e">
        <f t="shared" ref="F2071:K2071" si="4168">VLOOKUP($A2071,[6]Gobierno!$A$1:$O$234,F$1,0)</f>
        <v>#N/A</v>
      </c>
      <c r="G2071" s="39" t="e">
        <f t="shared" si="4168"/>
        <v>#N/A</v>
      </c>
      <c r="H2071" s="16" t="e">
        <f t="shared" si="4168"/>
        <v>#N/A</v>
      </c>
      <c r="I2071" s="16" t="e">
        <f t="shared" si="4168"/>
        <v>#N/A</v>
      </c>
      <c r="J2071" s="40" t="e">
        <f t="shared" si="4168"/>
        <v>#N/A</v>
      </c>
      <c r="K2071" s="16" t="e">
        <f t="shared" si="4168"/>
        <v>#N/A</v>
      </c>
      <c r="L2071" s="40" t="e">
        <f t="shared" si="3629"/>
        <v>#N/A</v>
      </c>
      <c r="M2071" s="16" t="e">
        <f t="shared" si="3630"/>
        <v>#N/A</v>
      </c>
      <c r="N2071" s="16" t="e">
        <f t="shared" si="3631"/>
        <v>#N/A</v>
      </c>
      <c r="O2071" s="16" t="s">
        <v>70</v>
      </c>
      <c r="P2071" s="16" t="str">
        <f t="shared" si="6"/>
        <v/>
      </c>
      <c r="Q2071" s="41" t="e">
        <f t="shared" si="3632"/>
        <v>#N/A</v>
      </c>
      <c r="R2071" s="44"/>
      <c r="S2071" s="44"/>
      <c r="T2071" s="43"/>
      <c r="U2071" s="43" t="str">
        <f t="shared" si="8"/>
        <v>No</v>
      </c>
      <c r="V2071" s="25"/>
      <c r="W2071" s="25"/>
      <c r="X2071" s="25"/>
      <c r="Y2071" s="25"/>
      <c r="Z2071" s="25"/>
    </row>
    <row r="2072" spans="1:26" ht="15.75" customHeight="1" x14ac:dyDescent="0.25">
      <c r="A2072" s="25">
        <v>2070</v>
      </c>
      <c r="B2072" s="37" t="e">
        <f t="shared" ref="B2072:D2072" si="4169">VLOOKUP($A2072,[6]Gobierno!$A$1:$O$234,B$1,0)</f>
        <v>#N/A</v>
      </c>
      <c r="C2072" s="38" t="e">
        <f t="shared" si="4169"/>
        <v>#N/A</v>
      </c>
      <c r="D2072" s="39" t="e">
        <f t="shared" si="4169"/>
        <v>#N/A</v>
      </c>
      <c r="E2072" s="16" t="e">
        <f t="shared" si="1"/>
        <v>#N/A</v>
      </c>
      <c r="F2072" s="16" t="e">
        <f t="shared" ref="F2072:K2072" si="4170">VLOOKUP($A2072,[6]Gobierno!$A$1:$O$234,F$1,0)</f>
        <v>#N/A</v>
      </c>
      <c r="G2072" s="39" t="e">
        <f t="shared" si="4170"/>
        <v>#N/A</v>
      </c>
      <c r="H2072" s="16" t="e">
        <f t="shared" si="4170"/>
        <v>#N/A</v>
      </c>
      <c r="I2072" s="16" t="e">
        <f t="shared" si="4170"/>
        <v>#N/A</v>
      </c>
      <c r="J2072" s="40" t="e">
        <f t="shared" si="4170"/>
        <v>#N/A</v>
      </c>
      <c r="K2072" s="16" t="e">
        <f t="shared" si="4170"/>
        <v>#N/A</v>
      </c>
      <c r="L2072" s="40" t="e">
        <f t="shared" si="3629"/>
        <v>#N/A</v>
      </c>
      <c r="M2072" s="16" t="e">
        <f t="shared" si="3630"/>
        <v>#N/A</v>
      </c>
      <c r="N2072" s="16" t="e">
        <f t="shared" si="3631"/>
        <v>#N/A</v>
      </c>
      <c r="O2072" s="16" t="s">
        <v>70</v>
      </c>
      <c r="P2072" s="16" t="str">
        <f t="shared" si="6"/>
        <v/>
      </c>
      <c r="Q2072" s="41" t="e">
        <f t="shared" si="3632"/>
        <v>#N/A</v>
      </c>
      <c r="R2072" s="44"/>
      <c r="S2072" s="44"/>
      <c r="T2072" s="43"/>
      <c r="U2072" s="43" t="str">
        <f t="shared" si="8"/>
        <v>No</v>
      </c>
      <c r="V2072" s="25"/>
      <c r="W2072" s="25"/>
      <c r="X2072" s="25"/>
      <c r="Y2072" s="25"/>
      <c r="Z2072" s="25"/>
    </row>
    <row r="2073" spans="1:26" ht="15.75" customHeight="1" x14ac:dyDescent="0.25">
      <c r="A2073" s="25">
        <v>2071</v>
      </c>
      <c r="B2073" s="37" t="e">
        <f t="shared" ref="B2073:D2073" si="4171">VLOOKUP($A2073,[6]Gobierno!$A$1:$O$234,B$1,0)</f>
        <v>#N/A</v>
      </c>
      <c r="C2073" s="38" t="e">
        <f t="shared" si="4171"/>
        <v>#N/A</v>
      </c>
      <c r="D2073" s="39" t="e">
        <f t="shared" si="4171"/>
        <v>#N/A</v>
      </c>
      <c r="E2073" s="16" t="e">
        <f t="shared" si="1"/>
        <v>#N/A</v>
      </c>
      <c r="F2073" s="16" t="e">
        <f t="shared" ref="F2073:K2073" si="4172">VLOOKUP($A2073,[6]Gobierno!$A$1:$O$234,F$1,0)</f>
        <v>#N/A</v>
      </c>
      <c r="G2073" s="39" t="e">
        <f t="shared" si="4172"/>
        <v>#N/A</v>
      </c>
      <c r="H2073" s="16" t="e">
        <f t="shared" si="4172"/>
        <v>#N/A</v>
      </c>
      <c r="I2073" s="16" t="e">
        <f t="shared" si="4172"/>
        <v>#N/A</v>
      </c>
      <c r="J2073" s="40" t="e">
        <f t="shared" si="4172"/>
        <v>#N/A</v>
      </c>
      <c r="K2073" s="16" t="e">
        <f t="shared" si="4172"/>
        <v>#N/A</v>
      </c>
      <c r="L2073" s="40" t="e">
        <f t="shared" si="3629"/>
        <v>#N/A</v>
      </c>
      <c r="M2073" s="16" t="e">
        <f t="shared" si="3630"/>
        <v>#N/A</v>
      </c>
      <c r="N2073" s="16" t="e">
        <f t="shared" si="3631"/>
        <v>#N/A</v>
      </c>
      <c r="O2073" s="16" t="s">
        <v>70</v>
      </c>
      <c r="P2073" s="16" t="str">
        <f t="shared" si="6"/>
        <v/>
      </c>
      <c r="Q2073" s="41" t="e">
        <f t="shared" si="3632"/>
        <v>#N/A</v>
      </c>
      <c r="R2073" s="44"/>
      <c r="S2073" s="44"/>
      <c r="T2073" s="43"/>
      <c r="U2073" s="43" t="str">
        <f t="shared" si="8"/>
        <v>No</v>
      </c>
      <c r="V2073" s="25"/>
      <c r="W2073" s="25"/>
      <c r="X2073" s="25"/>
      <c r="Y2073" s="25"/>
      <c r="Z2073" s="25"/>
    </row>
    <row r="2074" spans="1:26" ht="15.75" customHeight="1" x14ac:dyDescent="0.25">
      <c r="A2074" s="25">
        <v>2072</v>
      </c>
      <c r="B2074" s="37" t="e">
        <f t="shared" ref="B2074:D2074" si="4173">VLOOKUP($A2074,[6]Gobierno!$A$1:$O$234,B$1,0)</f>
        <v>#N/A</v>
      </c>
      <c r="C2074" s="38" t="e">
        <f t="shared" si="4173"/>
        <v>#N/A</v>
      </c>
      <c r="D2074" s="39" t="e">
        <f t="shared" si="4173"/>
        <v>#N/A</v>
      </c>
      <c r="E2074" s="16" t="e">
        <f t="shared" si="1"/>
        <v>#N/A</v>
      </c>
      <c r="F2074" s="16" t="e">
        <f t="shared" ref="F2074:K2074" si="4174">VLOOKUP($A2074,[6]Gobierno!$A$1:$O$234,F$1,0)</f>
        <v>#N/A</v>
      </c>
      <c r="G2074" s="39" t="e">
        <f t="shared" si="4174"/>
        <v>#N/A</v>
      </c>
      <c r="H2074" s="16" t="e">
        <f t="shared" si="4174"/>
        <v>#N/A</v>
      </c>
      <c r="I2074" s="16" t="e">
        <f t="shared" si="4174"/>
        <v>#N/A</v>
      </c>
      <c r="J2074" s="40" t="e">
        <f t="shared" si="4174"/>
        <v>#N/A</v>
      </c>
      <c r="K2074" s="16" t="e">
        <f t="shared" si="4174"/>
        <v>#N/A</v>
      </c>
      <c r="L2074" s="40" t="e">
        <f t="shared" si="3629"/>
        <v>#N/A</v>
      </c>
      <c r="M2074" s="16" t="e">
        <f t="shared" si="3630"/>
        <v>#N/A</v>
      </c>
      <c r="N2074" s="16" t="e">
        <f t="shared" si="3631"/>
        <v>#N/A</v>
      </c>
      <c r="O2074" s="16" t="s">
        <v>70</v>
      </c>
      <c r="P2074" s="16" t="str">
        <f t="shared" si="6"/>
        <v/>
      </c>
      <c r="Q2074" s="41" t="e">
        <f t="shared" si="3632"/>
        <v>#N/A</v>
      </c>
      <c r="R2074" s="44"/>
      <c r="S2074" s="44"/>
      <c r="T2074" s="43"/>
      <c r="U2074" s="43" t="str">
        <f t="shared" si="8"/>
        <v>No</v>
      </c>
      <c r="V2074" s="25"/>
      <c r="W2074" s="25"/>
      <c r="X2074" s="25"/>
      <c r="Y2074" s="25"/>
      <c r="Z2074" s="25"/>
    </row>
    <row r="2075" spans="1:26" ht="15.75" customHeight="1" x14ac:dyDescent="0.25">
      <c r="A2075" s="25">
        <v>2073</v>
      </c>
      <c r="B2075" s="37" t="e">
        <f t="shared" ref="B2075:D2075" si="4175">VLOOKUP($A2075,[6]Gobierno!$A$1:$O$234,B$1,0)</f>
        <v>#N/A</v>
      </c>
      <c r="C2075" s="38" t="e">
        <f t="shared" si="4175"/>
        <v>#N/A</v>
      </c>
      <c r="D2075" s="39" t="e">
        <f t="shared" si="4175"/>
        <v>#N/A</v>
      </c>
      <c r="E2075" s="16" t="e">
        <f t="shared" si="1"/>
        <v>#N/A</v>
      </c>
      <c r="F2075" s="16" t="e">
        <f t="shared" ref="F2075:K2075" si="4176">VLOOKUP($A2075,[6]Gobierno!$A$1:$O$234,F$1,0)</f>
        <v>#N/A</v>
      </c>
      <c r="G2075" s="39" t="e">
        <f t="shared" si="4176"/>
        <v>#N/A</v>
      </c>
      <c r="H2075" s="16" t="e">
        <f t="shared" si="4176"/>
        <v>#N/A</v>
      </c>
      <c r="I2075" s="16" t="e">
        <f t="shared" si="4176"/>
        <v>#N/A</v>
      </c>
      <c r="J2075" s="40" t="e">
        <f t="shared" si="4176"/>
        <v>#N/A</v>
      </c>
      <c r="K2075" s="16" t="e">
        <f t="shared" si="4176"/>
        <v>#N/A</v>
      </c>
      <c r="L2075" s="40" t="e">
        <f t="shared" si="3629"/>
        <v>#N/A</v>
      </c>
      <c r="M2075" s="16" t="e">
        <f t="shared" si="3630"/>
        <v>#N/A</v>
      </c>
      <c r="N2075" s="16" t="e">
        <f t="shared" si="3631"/>
        <v>#N/A</v>
      </c>
      <c r="O2075" s="16" t="s">
        <v>70</v>
      </c>
      <c r="P2075" s="16" t="str">
        <f t="shared" si="6"/>
        <v/>
      </c>
      <c r="Q2075" s="41" t="e">
        <f t="shared" si="3632"/>
        <v>#N/A</v>
      </c>
      <c r="R2075" s="44"/>
      <c r="S2075" s="44"/>
      <c r="T2075" s="43"/>
      <c r="U2075" s="43" t="str">
        <f t="shared" si="8"/>
        <v>No</v>
      </c>
      <c r="V2075" s="25"/>
      <c r="W2075" s="25"/>
      <c r="X2075" s="25"/>
      <c r="Y2075" s="25"/>
      <c r="Z2075" s="25"/>
    </row>
    <row r="2076" spans="1:26" ht="15.75" customHeight="1" x14ac:dyDescent="0.25">
      <c r="A2076" s="25">
        <v>2074</v>
      </c>
      <c r="B2076" s="37" t="e">
        <f t="shared" ref="B2076:D2076" si="4177">VLOOKUP($A2076,[6]Gobierno!$A$1:$O$234,B$1,0)</f>
        <v>#N/A</v>
      </c>
      <c r="C2076" s="38" t="e">
        <f t="shared" si="4177"/>
        <v>#N/A</v>
      </c>
      <c r="D2076" s="39" t="e">
        <f t="shared" si="4177"/>
        <v>#N/A</v>
      </c>
      <c r="E2076" s="16" t="e">
        <f t="shared" si="1"/>
        <v>#N/A</v>
      </c>
      <c r="F2076" s="16" t="e">
        <f t="shared" ref="F2076:K2076" si="4178">VLOOKUP($A2076,[6]Gobierno!$A$1:$O$234,F$1,0)</f>
        <v>#N/A</v>
      </c>
      <c r="G2076" s="39" t="e">
        <f t="shared" si="4178"/>
        <v>#N/A</v>
      </c>
      <c r="H2076" s="16" t="e">
        <f t="shared" si="4178"/>
        <v>#N/A</v>
      </c>
      <c r="I2076" s="16" t="e">
        <f t="shared" si="4178"/>
        <v>#N/A</v>
      </c>
      <c r="J2076" s="40" t="e">
        <f t="shared" si="4178"/>
        <v>#N/A</v>
      </c>
      <c r="K2076" s="16" t="e">
        <f t="shared" si="4178"/>
        <v>#N/A</v>
      </c>
      <c r="L2076" s="40" t="e">
        <f t="shared" si="3629"/>
        <v>#N/A</v>
      </c>
      <c r="M2076" s="16" t="e">
        <f t="shared" si="3630"/>
        <v>#N/A</v>
      </c>
      <c r="N2076" s="16" t="e">
        <f t="shared" si="3631"/>
        <v>#N/A</v>
      </c>
      <c r="O2076" s="16" t="s">
        <v>70</v>
      </c>
      <c r="P2076" s="16" t="str">
        <f t="shared" si="6"/>
        <v/>
      </c>
      <c r="Q2076" s="41" t="e">
        <f t="shared" si="3632"/>
        <v>#N/A</v>
      </c>
      <c r="R2076" s="44"/>
      <c r="S2076" s="44"/>
      <c r="T2076" s="43"/>
      <c r="U2076" s="43" t="str">
        <f t="shared" si="8"/>
        <v>No</v>
      </c>
      <c r="V2076" s="25"/>
      <c r="W2076" s="25"/>
      <c r="X2076" s="25"/>
      <c r="Y2076" s="25"/>
      <c r="Z2076" s="25"/>
    </row>
    <row r="2077" spans="1:26" ht="15.75" customHeight="1" x14ac:dyDescent="0.25">
      <c r="A2077" s="25">
        <v>2075</v>
      </c>
      <c r="B2077" s="37" t="e">
        <f t="shared" ref="B2077:D2077" si="4179">VLOOKUP($A2077,[6]Gobierno!$A$1:$O$234,B$1,0)</f>
        <v>#N/A</v>
      </c>
      <c r="C2077" s="38" t="e">
        <f t="shared" si="4179"/>
        <v>#N/A</v>
      </c>
      <c r="D2077" s="39" t="e">
        <f t="shared" si="4179"/>
        <v>#N/A</v>
      </c>
      <c r="E2077" s="16" t="e">
        <f t="shared" si="1"/>
        <v>#N/A</v>
      </c>
      <c r="F2077" s="16" t="e">
        <f t="shared" ref="F2077:K2077" si="4180">VLOOKUP($A2077,[6]Gobierno!$A$1:$O$234,F$1,0)</f>
        <v>#N/A</v>
      </c>
      <c r="G2077" s="39" t="e">
        <f t="shared" si="4180"/>
        <v>#N/A</v>
      </c>
      <c r="H2077" s="16" t="e">
        <f t="shared" si="4180"/>
        <v>#N/A</v>
      </c>
      <c r="I2077" s="16" t="e">
        <f t="shared" si="4180"/>
        <v>#N/A</v>
      </c>
      <c r="J2077" s="40" t="e">
        <f t="shared" si="4180"/>
        <v>#N/A</v>
      </c>
      <c r="K2077" s="16" t="e">
        <f t="shared" si="4180"/>
        <v>#N/A</v>
      </c>
      <c r="L2077" s="40" t="e">
        <f t="shared" si="3629"/>
        <v>#N/A</v>
      </c>
      <c r="M2077" s="16" t="e">
        <f t="shared" si="3630"/>
        <v>#N/A</v>
      </c>
      <c r="N2077" s="16" t="e">
        <f t="shared" si="3631"/>
        <v>#N/A</v>
      </c>
      <c r="O2077" s="16" t="s">
        <v>70</v>
      </c>
      <c r="P2077" s="16" t="str">
        <f t="shared" si="6"/>
        <v/>
      </c>
      <c r="Q2077" s="41" t="e">
        <f t="shared" si="3632"/>
        <v>#N/A</v>
      </c>
      <c r="R2077" s="44"/>
      <c r="S2077" s="44"/>
      <c r="T2077" s="43"/>
      <c r="U2077" s="43" t="str">
        <f t="shared" si="8"/>
        <v>No</v>
      </c>
      <c r="V2077" s="25"/>
      <c r="W2077" s="25"/>
      <c r="X2077" s="25"/>
      <c r="Y2077" s="25"/>
      <c r="Z2077" s="25"/>
    </row>
    <row r="2078" spans="1:26" ht="15.75" customHeight="1" x14ac:dyDescent="0.25">
      <c r="A2078" s="25">
        <v>2076</v>
      </c>
      <c r="B2078" s="37" t="e">
        <f t="shared" ref="B2078:D2078" si="4181">VLOOKUP($A2078,[6]Gobierno!$A$1:$O$234,B$1,0)</f>
        <v>#N/A</v>
      </c>
      <c r="C2078" s="38" t="e">
        <f t="shared" si="4181"/>
        <v>#N/A</v>
      </c>
      <c r="D2078" s="39" t="e">
        <f t="shared" si="4181"/>
        <v>#N/A</v>
      </c>
      <c r="E2078" s="16" t="e">
        <f t="shared" si="1"/>
        <v>#N/A</v>
      </c>
      <c r="F2078" s="16" t="e">
        <f t="shared" ref="F2078:K2078" si="4182">VLOOKUP($A2078,[6]Gobierno!$A$1:$O$234,F$1,0)</f>
        <v>#N/A</v>
      </c>
      <c r="G2078" s="39" t="e">
        <f t="shared" si="4182"/>
        <v>#N/A</v>
      </c>
      <c r="H2078" s="16" t="e">
        <f t="shared" si="4182"/>
        <v>#N/A</v>
      </c>
      <c r="I2078" s="16" t="e">
        <f t="shared" si="4182"/>
        <v>#N/A</v>
      </c>
      <c r="J2078" s="40" t="e">
        <f t="shared" si="4182"/>
        <v>#N/A</v>
      </c>
      <c r="K2078" s="16" t="e">
        <f t="shared" si="4182"/>
        <v>#N/A</v>
      </c>
      <c r="L2078" s="40" t="e">
        <f t="shared" si="3629"/>
        <v>#N/A</v>
      </c>
      <c r="M2078" s="16" t="e">
        <f t="shared" si="3630"/>
        <v>#N/A</v>
      </c>
      <c r="N2078" s="16" t="e">
        <f t="shared" si="3631"/>
        <v>#N/A</v>
      </c>
      <c r="O2078" s="16" t="s">
        <v>70</v>
      </c>
      <c r="P2078" s="16" t="str">
        <f t="shared" si="6"/>
        <v/>
      </c>
      <c r="Q2078" s="41" t="e">
        <f t="shared" si="3632"/>
        <v>#N/A</v>
      </c>
      <c r="R2078" s="44"/>
      <c r="S2078" s="44"/>
      <c r="T2078" s="43"/>
      <c r="U2078" s="43" t="str">
        <f t="shared" si="8"/>
        <v>No</v>
      </c>
      <c r="V2078" s="25"/>
      <c r="W2078" s="25"/>
      <c r="X2078" s="25"/>
      <c r="Y2078" s="25"/>
      <c r="Z2078" s="25"/>
    </row>
    <row r="2079" spans="1:26" ht="15.75" customHeight="1" x14ac:dyDescent="0.25">
      <c r="A2079" s="25">
        <v>2077</v>
      </c>
      <c r="B2079" s="37" t="e">
        <f t="shared" ref="B2079:D2079" si="4183">VLOOKUP($A2079,[6]Gobierno!$A$1:$O$234,B$1,0)</f>
        <v>#N/A</v>
      </c>
      <c r="C2079" s="38" t="e">
        <f t="shared" si="4183"/>
        <v>#N/A</v>
      </c>
      <c r="D2079" s="39" t="e">
        <f t="shared" si="4183"/>
        <v>#N/A</v>
      </c>
      <c r="E2079" s="16" t="e">
        <f t="shared" si="1"/>
        <v>#N/A</v>
      </c>
      <c r="F2079" s="16" t="e">
        <f t="shared" ref="F2079:K2079" si="4184">VLOOKUP($A2079,[6]Gobierno!$A$1:$O$234,F$1,0)</f>
        <v>#N/A</v>
      </c>
      <c r="G2079" s="39" t="e">
        <f t="shared" si="4184"/>
        <v>#N/A</v>
      </c>
      <c r="H2079" s="16" t="e">
        <f t="shared" si="4184"/>
        <v>#N/A</v>
      </c>
      <c r="I2079" s="16" t="e">
        <f t="shared" si="4184"/>
        <v>#N/A</v>
      </c>
      <c r="J2079" s="40" t="e">
        <f t="shared" si="4184"/>
        <v>#N/A</v>
      </c>
      <c r="K2079" s="16" t="e">
        <f t="shared" si="4184"/>
        <v>#N/A</v>
      </c>
      <c r="L2079" s="40" t="e">
        <f t="shared" si="3629"/>
        <v>#N/A</v>
      </c>
      <c r="M2079" s="16" t="e">
        <f t="shared" si="3630"/>
        <v>#N/A</v>
      </c>
      <c r="N2079" s="16" t="e">
        <f t="shared" si="3631"/>
        <v>#N/A</v>
      </c>
      <c r="O2079" s="16" t="s">
        <v>70</v>
      </c>
      <c r="P2079" s="16" t="str">
        <f t="shared" si="6"/>
        <v/>
      </c>
      <c r="Q2079" s="41" t="e">
        <f t="shared" si="3632"/>
        <v>#N/A</v>
      </c>
      <c r="R2079" s="44"/>
      <c r="S2079" s="44"/>
      <c r="T2079" s="43"/>
      <c r="U2079" s="43" t="str">
        <f t="shared" si="8"/>
        <v>No</v>
      </c>
      <c r="V2079" s="25"/>
      <c r="W2079" s="25"/>
      <c r="X2079" s="25"/>
      <c r="Y2079" s="25"/>
      <c r="Z2079" s="25"/>
    </row>
    <row r="2080" spans="1:26" ht="15.75" customHeight="1" x14ac:dyDescent="0.25">
      <c r="A2080" s="25">
        <v>2078</v>
      </c>
      <c r="B2080" s="37" t="e">
        <f t="shared" ref="B2080:D2080" si="4185">VLOOKUP($A2080,[6]Gobierno!$A$1:$O$234,B$1,0)</f>
        <v>#N/A</v>
      </c>
      <c r="C2080" s="38" t="e">
        <f t="shared" si="4185"/>
        <v>#N/A</v>
      </c>
      <c r="D2080" s="39" t="e">
        <f t="shared" si="4185"/>
        <v>#N/A</v>
      </c>
      <c r="E2080" s="16" t="e">
        <f t="shared" si="1"/>
        <v>#N/A</v>
      </c>
      <c r="F2080" s="16" t="e">
        <f t="shared" ref="F2080:K2080" si="4186">VLOOKUP($A2080,[6]Gobierno!$A$1:$O$234,F$1,0)</f>
        <v>#N/A</v>
      </c>
      <c r="G2080" s="39" t="e">
        <f t="shared" si="4186"/>
        <v>#N/A</v>
      </c>
      <c r="H2080" s="16" t="e">
        <f t="shared" si="4186"/>
        <v>#N/A</v>
      </c>
      <c r="I2080" s="16" t="e">
        <f t="shared" si="4186"/>
        <v>#N/A</v>
      </c>
      <c r="J2080" s="40" t="e">
        <f t="shared" si="4186"/>
        <v>#N/A</v>
      </c>
      <c r="K2080" s="16" t="e">
        <f t="shared" si="4186"/>
        <v>#N/A</v>
      </c>
      <c r="L2080" s="40" t="e">
        <f t="shared" si="3629"/>
        <v>#N/A</v>
      </c>
      <c r="M2080" s="16" t="e">
        <f t="shared" si="3630"/>
        <v>#N/A</v>
      </c>
      <c r="N2080" s="16" t="e">
        <f t="shared" si="3631"/>
        <v>#N/A</v>
      </c>
      <c r="O2080" s="16" t="s">
        <v>70</v>
      </c>
      <c r="P2080" s="16" t="str">
        <f t="shared" si="6"/>
        <v/>
      </c>
      <c r="Q2080" s="41" t="e">
        <f t="shared" si="3632"/>
        <v>#N/A</v>
      </c>
      <c r="R2080" s="44"/>
      <c r="S2080" s="44"/>
      <c r="T2080" s="43"/>
      <c r="U2080" s="43" t="str">
        <f t="shared" si="8"/>
        <v>No</v>
      </c>
      <c r="V2080" s="25"/>
      <c r="W2080" s="25"/>
      <c r="X2080" s="25"/>
      <c r="Y2080" s="25"/>
      <c r="Z2080" s="25"/>
    </row>
    <row r="2081" spans="1:26" ht="15.75" customHeight="1" x14ac:dyDescent="0.25">
      <c r="A2081" s="25">
        <v>2079</v>
      </c>
      <c r="B2081" s="37" t="e">
        <f t="shared" ref="B2081:D2081" si="4187">VLOOKUP($A2081,[6]Gobierno!$A$1:$O$234,B$1,0)</f>
        <v>#N/A</v>
      </c>
      <c r="C2081" s="38" t="e">
        <f t="shared" si="4187"/>
        <v>#N/A</v>
      </c>
      <c r="D2081" s="39" t="e">
        <f t="shared" si="4187"/>
        <v>#N/A</v>
      </c>
      <c r="E2081" s="16" t="e">
        <f t="shared" si="1"/>
        <v>#N/A</v>
      </c>
      <c r="F2081" s="16" t="e">
        <f t="shared" ref="F2081:K2081" si="4188">VLOOKUP($A2081,[6]Gobierno!$A$1:$O$234,F$1,0)</f>
        <v>#N/A</v>
      </c>
      <c r="G2081" s="39" t="e">
        <f t="shared" si="4188"/>
        <v>#N/A</v>
      </c>
      <c r="H2081" s="16" t="e">
        <f t="shared" si="4188"/>
        <v>#N/A</v>
      </c>
      <c r="I2081" s="16" t="e">
        <f t="shared" si="4188"/>
        <v>#N/A</v>
      </c>
      <c r="J2081" s="40" t="e">
        <f t="shared" si="4188"/>
        <v>#N/A</v>
      </c>
      <c r="K2081" s="16" t="e">
        <f t="shared" si="4188"/>
        <v>#N/A</v>
      </c>
      <c r="L2081" s="40" t="e">
        <f t="shared" si="3629"/>
        <v>#N/A</v>
      </c>
      <c r="M2081" s="16" t="e">
        <f t="shared" si="3630"/>
        <v>#N/A</v>
      </c>
      <c r="N2081" s="16" t="e">
        <f t="shared" si="3631"/>
        <v>#N/A</v>
      </c>
      <c r="O2081" s="16" t="s">
        <v>70</v>
      </c>
      <c r="P2081" s="16" t="str">
        <f t="shared" si="6"/>
        <v/>
      </c>
      <c r="Q2081" s="41" t="e">
        <f t="shared" si="3632"/>
        <v>#N/A</v>
      </c>
      <c r="R2081" s="44"/>
      <c r="S2081" s="44"/>
      <c r="T2081" s="43"/>
      <c r="U2081" s="43" t="str">
        <f t="shared" si="8"/>
        <v>No</v>
      </c>
      <c r="V2081" s="25"/>
      <c r="W2081" s="25"/>
      <c r="X2081" s="25"/>
      <c r="Y2081" s="25"/>
      <c r="Z2081" s="25"/>
    </row>
    <row r="2082" spans="1:26" ht="15.75" customHeight="1" x14ac:dyDescent="0.25">
      <c r="A2082" s="25">
        <v>2080</v>
      </c>
      <c r="B2082" s="37" t="e">
        <f t="shared" ref="B2082:D2082" si="4189">VLOOKUP($A2082,[6]Gobierno!$A$1:$O$234,B$1,0)</f>
        <v>#N/A</v>
      </c>
      <c r="C2082" s="38" t="e">
        <f t="shared" si="4189"/>
        <v>#N/A</v>
      </c>
      <c r="D2082" s="39" t="e">
        <f t="shared" si="4189"/>
        <v>#N/A</v>
      </c>
      <c r="E2082" s="16" t="e">
        <f t="shared" si="1"/>
        <v>#N/A</v>
      </c>
      <c r="F2082" s="16" t="e">
        <f t="shared" ref="F2082:K2082" si="4190">VLOOKUP($A2082,[6]Gobierno!$A$1:$O$234,F$1,0)</f>
        <v>#N/A</v>
      </c>
      <c r="G2082" s="39" t="e">
        <f t="shared" si="4190"/>
        <v>#N/A</v>
      </c>
      <c r="H2082" s="16" t="e">
        <f t="shared" si="4190"/>
        <v>#N/A</v>
      </c>
      <c r="I2082" s="16" t="e">
        <f t="shared" si="4190"/>
        <v>#N/A</v>
      </c>
      <c r="J2082" s="40" t="e">
        <f t="shared" si="4190"/>
        <v>#N/A</v>
      </c>
      <c r="K2082" s="16" t="e">
        <f t="shared" si="4190"/>
        <v>#N/A</v>
      </c>
      <c r="L2082" s="40" t="e">
        <f t="shared" si="3629"/>
        <v>#N/A</v>
      </c>
      <c r="M2082" s="16" t="e">
        <f t="shared" si="3630"/>
        <v>#N/A</v>
      </c>
      <c r="N2082" s="16" t="e">
        <f t="shared" si="3631"/>
        <v>#N/A</v>
      </c>
      <c r="O2082" s="16" t="s">
        <v>70</v>
      </c>
      <c r="P2082" s="16" t="str">
        <f t="shared" si="6"/>
        <v/>
      </c>
      <c r="Q2082" s="41" t="e">
        <f t="shared" si="3632"/>
        <v>#N/A</v>
      </c>
      <c r="R2082" s="44"/>
      <c r="S2082" s="44"/>
      <c r="T2082" s="43"/>
      <c r="U2082" s="43" t="str">
        <f t="shared" si="8"/>
        <v>No</v>
      </c>
      <c r="V2082" s="25"/>
      <c r="W2082" s="25"/>
      <c r="X2082" s="25"/>
      <c r="Y2082" s="25"/>
      <c r="Z2082" s="25"/>
    </row>
    <row r="2083" spans="1:26" ht="15.75" customHeight="1" x14ac:dyDescent="0.25">
      <c r="A2083" s="25">
        <v>2081</v>
      </c>
      <c r="B2083" s="37" t="e">
        <f t="shared" ref="B2083:D2083" si="4191">VLOOKUP($A2083,[6]Gobierno!$A$1:$O$234,B$1,0)</f>
        <v>#N/A</v>
      </c>
      <c r="C2083" s="38" t="e">
        <f t="shared" si="4191"/>
        <v>#N/A</v>
      </c>
      <c r="D2083" s="39" t="e">
        <f t="shared" si="4191"/>
        <v>#N/A</v>
      </c>
      <c r="E2083" s="16" t="e">
        <f t="shared" si="1"/>
        <v>#N/A</v>
      </c>
      <c r="F2083" s="16" t="e">
        <f t="shared" ref="F2083:K2083" si="4192">VLOOKUP($A2083,[6]Gobierno!$A$1:$O$234,F$1,0)</f>
        <v>#N/A</v>
      </c>
      <c r="G2083" s="39" t="e">
        <f t="shared" si="4192"/>
        <v>#N/A</v>
      </c>
      <c r="H2083" s="16" t="e">
        <f t="shared" si="4192"/>
        <v>#N/A</v>
      </c>
      <c r="I2083" s="16" t="e">
        <f t="shared" si="4192"/>
        <v>#N/A</v>
      </c>
      <c r="J2083" s="40" t="e">
        <f t="shared" si="4192"/>
        <v>#N/A</v>
      </c>
      <c r="K2083" s="16" t="e">
        <f t="shared" si="4192"/>
        <v>#N/A</v>
      </c>
      <c r="L2083" s="40" t="e">
        <f t="shared" si="3629"/>
        <v>#N/A</v>
      </c>
      <c r="M2083" s="16" t="e">
        <f t="shared" si="3630"/>
        <v>#N/A</v>
      </c>
      <c r="N2083" s="16" t="e">
        <f t="shared" si="3631"/>
        <v>#N/A</v>
      </c>
      <c r="O2083" s="16" t="s">
        <v>70</v>
      </c>
      <c r="P2083" s="16" t="str">
        <f t="shared" si="6"/>
        <v/>
      </c>
      <c r="Q2083" s="41" t="e">
        <f t="shared" si="3632"/>
        <v>#N/A</v>
      </c>
      <c r="R2083" s="44"/>
      <c r="S2083" s="44"/>
      <c r="T2083" s="43"/>
      <c r="U2083" s="43" t="str">
        <f t="shared" si="8"/>
        <v>No</v>
      </c>
      <c r="V2083" s="25"/>
      <c r="W2083" s="25"/>
      <c r="X2083" s="25"/>
      <c r="Y2083" s="25"/>
      <c r="Z2083" s="25"/>
    </row>
    <row r="2084" spans="1:26" ht="15.75" customHeight="1" x14ac:dyDescent="0.25">
      <c r="A2084" s="25">
        <v>2082</v>
      </c>
      <c r="B2084" s="37" t="e">
        <f t="shared" ref="B2084:D2084" si="4193">VLOOKUP($A2084,[6]Gobierno!$A$1:$O$234,B$1,0)</f>
        <v>#N/A</v>
      </c>
      <c r="C2084" s="38" t="e">
        <f t="shared" si="4193"/>
        <v>#N/A</v>
      </c>
      <c r="D2084" s="39" t="e">
        <f t="shared" si="4193"/>
        <v>#N/A</v>
      </c>
      <c r="E2084" s="16" t="e">
        <f t="shared" si="1"/>
        <v>#N/A</v>
      </c>
      <c r="F2084" s="16" t="e">
        <f t="shared" ref="F2084:K2084" si="4194">VLOOKUP($A2084,[6]Gobierno!$A$1:$O$234,F$1,0)</f>
        <v>#N/A</v>
      </c>
      <c r="G2084" s="39" t="e">
        <f t="shared" si="4194"/>
        <v>#N/A</v>
      </c>
      <c r="H2084" s="16" t="e">
        <f t="shared" si="4194"/>
        <v>#N/A</v>
      </c>
      <c r="I2084" s="16" t="e">
        <f t="shared" si="4194"/>
        <v>#N/A</v>
      </c>
      <c r="J2084" s="40" t="e">
        <f t="shared" si="4194"/>
        <v>#N/A</v>
      </c>
      <c r="K2084" s="16" t="e">
        <f t="shared" si="4194"/>
        <v>#N/A</v>
      </c>
      <c r="L2084" s="40" t="e">
        <f t="shared" si="3629"/>
        <v>#N/A</v>
      </c>
      <c r="M2084" s="16" t="e">
        <f t="shared" si="3630"/>
        <v>#N/A</v>
      </c>
      <c r="N2084" s="16" t="e">
        <f t="shared" si="3631"/>
        <v>#N/A</v>
      </c>
      <c r="O2084" s="16" t="s">
        <v>70</v>
      </c>
      <c r="P2084" s="16" t="str">
        <f t="shared" si="6"/>
        <v/>
      </c>
      <c r="Q2084" s="41" t="e">
        <f t="shared" si="3632"/>
        <v>#N/A</v>
      </c>
      <c r="R2084" s="44"/>
      <c r="S2084" s="44"/>
      <c r="T2084" s="43"/>
      <c r="U2084" s="43" t="str">
        <f t="shared" si="8"/>
        <v>No</v>
      </c>
      <c r="V2084" s="25"/>
      <c r="W2084" s="25"/>
      <c r="X2084" s="25"/>
      <c r="Y2084" s="25"/>
      <c r="Z2084" s="25"/>
    </row>
    <row r="2085" spans="1:26" ht="15.75" customHeight="1" x14ac:dyDescent="0.25">
      <c r="A2085" s="25">
        <v>2083</v>
      </c>
      <c r="B2085" s="37" t="e">
        <f t="shared" ref="B2085:D2085" si="4195">VLOOKUP($A2085,[6]Gobierno!$A$1:$O$234,B$1,0)</f>
        <v>#N/A</v>
      </c>
      <c r="C2085" s="38" t="e">
        <f t="shared" si="4195"/>
        <v>#N/A</v>
      </c>
      <c r="D2085" s="39" t="e">
        <f t="shared" si="4195"/>
        <v>#N/A</v>
      </c>
      <c r="E2085" s="16" t="e">
        <f t="shared" si="1"/>
        <v>#N/A</v>
      </c>
      <c r="F2085" s="16" t="e">
        <f t="shared" ref="F2085:K2085" si="4196">VLOOKUP($A2085,[6]Gobierno!$A$1:$O$234,F$1,0)</f>
        <v>#N/A</v>
      </c>
      <c r="G2085" s="39" t="e">
        <f t="shared" si="4196"/>
        <v>#N/A</v>
      </c>
      <c r="H2085" s="16" t="e">
        <f t="shared" si="4196"/>
        <v>#N/A</v>
      </c>
      <c r="I2085" s="16" t="e">
        <f t="shared" si="4196"/>
        <v>#N/A</v>
      </c>
      <c r="J2085" s="40" t="e">
        <f t="shared" si="4196"/>
        <v>#N/A</v>
      </c>
      <c r="K2085" s="16" t="e">
        <f t="shared" si="4196"/>
        <v>#N/A</v>
      </c>
      <c r="L2085" s="40" t="e">
        <f t="shared" si="3629"/>
        <v>#N/A</v>
      </c>
      <c r="M2085" s="16" t="e">
        <f t="shared" si="3630"/>
        <v>#N/A</v>
      </c>
      <c r="N2085" s="16" t="e">
        <f t="shared" si="3631"/>
        <v>#N/A</v>
      </c>
      <c r="O2085" s="16" t="s">
        <v>70</v>
      </c>
      <c r="P2085" s="16" t="str">
        <f t="shared" si="6"/>
        <v/>
      </c>
      <c r="Q2085" s="41" t="e">
        <f t="shared" si="3632"/>
        <v>#N/A</v>
      </c>
      <c r="R2085" s="44"/>
      <c r="S2085" s="44"/>
      <c r="T2085" s="43"/>
      <c r="U2085" s="43" t="str">
        <f t="shared" si="8"/>
        <v>No</v>
      </c>
      <c r="V2085" s="25"/>
      <c r="W2085" s="25"/>
      <c r="X2085" s="25"/>
      <c r="Y2085" s="25"/>
      <c r="Z2085" s="25"/>
    </row>
    <row r="2086" spans="1:26" ht="15.75" customHeight="1" x14ac:dyDescent="0.25">
      <c r="A2086" s="25">
        <v>2084</v>
      </c>
      <c r="B2086" s="37" t="e">
        <f t="shared" ref="B2086:D2086" si="4197">VLOOKUP($A2086,[6]Gobierno!$A$1:$O$234,B$1,0)</f>
        <v>#N/A</v>
      </c>
      <c r="C2086" s="38" t="e">
        <f t="shared" si="4197"/>
        <v>#N/A</v>
      </c>
      <c r="D2086" s="39" t="e">
        <f t="shared" si="4197"/>
        <v>#N/A</v>
      </c>
      <c r="E2086" s="16" t="e">
        <f t="shared" si="1"/>
        <v>#N/A</v>
      </c>
      <c r="F2086" s="16" t="e">
        <f t="shared" ref="F2086:K2086" si="4198">VLOOKUP($A2086,[6]Gobierno!$A$1:$O$234,F$1,0)</f>
        <v>#N/A</v>
      </c>
      <c r="G2086" s="39" t="e">
        <f t="shared" si="4198"/>
        <v>#N/A</v>
      </c>
      <c r="H2086" s="16" t="e">
        <f t="shared" si="4198"/>
        <v>#N/A</v>
      </c>
      <c r="I2086" s="16" t="e">
        <f t="shared" si="4198"/>
        <v>#N/A</v>
      </c>
      <c r="J2086" s="40" t="e">
        <f t="shared" si="4198"/>
        <v>#N/A</v>
      </c>
      <c r="K2086" s="16" t="e">
        <f t="shared" si="4198"/>
        <v>#N/A</v>
      </c>
      <c r="L2086" s="40" t="e">
        <f t="shared" si="3629"/>
        <v>#N/A</v>
      </c>
      <c r="M2086" s="16" t="e">
        <f t="shared" si="3630"/>
        <v>#N/A</v>
      </c>
      <c r="N2086" s="16" t="e">
        <f t="shared" si="3631"/>
        <v>#N/A</v>
      </c>
      <c r="O2086" s="16" t="s">
        <v>70</v>
      </c>
      <c r="P2086" s="16" t="str">
        <f t="shared" si="6"/>
        <v/>
      </c>
      <c r="Q2086" s="41" t="e">
        <f t="shared" si="3632"/>
        <v>#N/A</v>
      </c>
      <c r="R2086" s="44"/>
      <c r="S2086" s="44"/>
      <c r="T2086" s="43"/>
      <c r="U2086" s="43" t="str">
        <f t="shared" si="8"/>
        <v>No</v>
      </c>
      <c r="V2086" s="25"/>
      <c r="W2086" s="25"/>
      <c r="X2086" s="25"/>
      <c r="Y2086" s="25"/>
      <c r="Z2086" s="25"/>
    </row>
    <row r="2087" spans="1:26" ht="15.75" customHeight="1" x14ac:dyDescent="0.25">
      <c r="A2087" s="25">
        <v>2085</v>
      </c>
      <c r="B2087" s="37" t="e">
        <f t="shared" ref="B2087:D2087" si="4199">VLOOKUP($A2087,[6]Gobierno!$A$1:$O$234,B$1,0)</f>
        <v>#N/A</v>
      </c>
      <c r="C2087" s="38" t="e">
        <f t="shared" si="4199"/>
        <v>#N/A</v>
      </c>
      <c r="D2087" s="39" t="e">
        <f t="shared" si="4199"/>
        <v>#N/A</v>
      </c>
      <c r="E2087" s="16" t="e">
        <f t="shared" si="1"/>
        <v>#N/A</v>
      </c>
      <c r="F2087" s="16" t="e">
        <f t="shared" ref="F2087:K2087" si="4200">VLOOKUP($A2087,[6]Gobierno!$A$1:$O$234,F$1,0)</f>
        <v>#N/A</v>
      </c>
      <c r="G2087" s="39" t="e">
        <f t="shared" si="4200"/>
        <v>#N/A</v>
      </c>
      <c r="H2087" s="16" t="e">
        <f t="shared" si="4200"/>
        <v>#N/A</v>
      </c>
      <c r="I2087" s="16" t="e">
        <f t="shared" si="4200"/>
        <v>#N/A</v>
      </c>
      <c r="J2087" s="40" t="e">
        <f t="shared" si="4200"/>
        <v>#N/A</v>
      </c>
      <c r="K2087" s="16" t="e">
        <f t="shared" si="4200"/>
        <v>#N/A</v>
      </c>
      <c r="L2087" s="40" t="e">
        <f t="shared" si="3629"/>
        <v>#N/A</v>
      </c>
      <c r="M2087" s="16" t="e">
        <f t="shared" si="3630"/>
        <v>#N/A</v>
      </c>
      <c r="N2087" s="16" t="e">
        <f t="shared" si="3631"/>
        <v>#N/A</v>
      </c>
      <c r="O2087" s="16" t="s">
        <v>70</v>
      </c>
      <c r="P2087" s="16" t="str">
        <f t="shared" si="6"/>
        <v/>
      </c>
      <c r="Q2087" s="41" t="e">
        <f t="shared" si="3632"/>
        <v>#N/A</v>
      </c>
      <c r="R2087" s="44"/>
      <c r="S2087" s="44"/>
      <c r="T2087" s="43"/>
      <c r="U2087" s="43" t="str">
        <f t="shared" si="8"/>
        <v>No</v>
      </c>
      <c r="V2087" s="25"/>
      <c r="W2087" s="25"/>
      <c r="X2087" s="25"/>
      <c r="Y2087" s="25"/>
      <c r="Z2087" s="25"/>
    </row>
    <row r="2088" spans="1:26" ht="15.75" customHeight="1" x14ac:dyDescent="0.25">
      <c r="A2088" s="25">
        <v>2086</v>
      </c>
      <c r="B2088" s="37" t="e">
        <f t="shared" ref="B2088:D2088" si="4201">VLOOKUP($A2088,[6]Gobierno!$A$1:$O$234,B$1,0)</f>
        <v>#N/A</v>
      </c>
      <c r="C2088" s="38" t="e">
        <f t="shared" si="4201"/>
        <v>#N/A</v>
      </c>
      <c r="D2088" s="39" t="e">
        <f t="shared" si="4201"/>
        <v>#N/A</v>
      </c>
      <c r="E2088" s="16" t="e">
        <f t="shared" si="1"/>
        <v>#N/A</v>
      </c>
      <c r="F2088" s="16" t="e">
        <f t="shared" ref="F2088:K2088" si="4202">VLOOKUP($A2088,[6]Gobierno!$A$1:$O$234,F$1,0)</f>
        <v>#N/A</v>
      </c>
      <c r="G2088" s="39" t="e">
        <f t="shared" si="4202"/>
        <v>#N/A</v>
      </c>
      <c r="H2088" s="16" t="e">
        <f t="shared" si="4202"/>
        <v>#N/A</v>
      </c>
      <c r="I2088" s="16" t="e">
        <f t="shared" si="4202"/>
        <v>#N/A</v>
      </c>
      <c r="J2088" s="40" t="e">
        <f t="shared" si="4202"/>
        <v>#N/A</v>
      </c>
      <c r="K2088" s="16" t="e">
        <f t="shared" si="4202"/>
        <v>#N/A</v>
      </c>
      <c r="L2088" s="40" t="e">
        <f t="shared" si="3629"/>
        <v>#N/A</v>
      </c>
      <c r="M2088" s="16" t="e">
        <f t="shared" si="3630"/>
        <v>#N/A</v>
      </c>
      <c r="N2088" s="16" t="e">
        <f t="shared" si="3631"/>
        <v>#N/A</v>
      </c>
      <c r="O2088" s="16" t="s">
        <v>70</v>
      </c>
      <c r="P2088" s="16" t="str">
        <f t="shared" si="6"/>
        <v/>
      </c>
      <c r="Q2088" s="41" t="e">
        <f t="shared" si="3632"/>
        <v>#N/A</v>
      </c>
      <c r="R2088" s="44"/>
      <c r="S2088" s="44"/>
      <c r="T2088" s="43"/>
      <c r="U2088" s="43" t="str">
        <f t="shared" si="8"/>
        <v>No</v>
      </c>
      <c r="V2088" s="25"/>
      <c r="W2088" s="25"/>
      <c r="X2088" s="25"/>
      <c r="Y2088" s="25"/>
      <c r="Z2088" s="25"/>
    </row>
    <row r="2089" spans="1:26" ht="15.75" customHeight="1" x14ac:dyDescent="0.25">
      <c r="A2089" s="25">
        <v>2087</v>
      </c>
      <c r="B2089" s="37" t="e">
        <f t="shared" ref="B2089:D2089" si="4203">VLOOKUP($A2089,[6]Gobierno!$A$1:$O$234,B$1,0)</f>
        <v>#N/A</v>
      </c>
      <c r="C2089" s="38" t="e">
        <f t="shared" si="4203"/>
        <v>#N/A</v>
      </c>
      <c r="D2089" s="39" t="e">
        <f t="shared" si="4203"/>
        <v>#N/A</v>
      </c>
      <c r="E2089" s="16" t="e">
        <f t="shared" si="1"/>
        <v>#N/A</v>
      </c>
      <c r="F2089" s="16" t="e">
        <f t="shared" ref="F2089:K2089" si="4204">VLOOKUP($A2089,[6]Gobierno!$A$1:$O$234,F$1,0)</f>
        <v>#N/A</v>
      </c>
      <c r="G2089" s="39" t="e">
        <f t="shared" si="4204"/>
        <v>#N/A</v>
      </c>
      <c r="H2089" s="16" t="e">
        <f t="shared" si="4204"/>
        <v>#N/A</v>
      </c>
      <c r="I2089" s="16" t="e">
        <f t="shared" si="4204"/>
        <v>#N/A</v>
      </c>
      <c r="J2089" s="40" t="e">
        <f t="shared" si="4204"/>
        <v>#N/A</v>
      </c>
      <c r="K2089" s="16" t="e">
        <f t="shared" si="4204"/>
        <v>#N/A</v>
      </c>
      <c r="L2089" s="40" t="e">
        <f t="shared" si="3629"/>
        <v>#N/A</v>
      </c>
      <c r="M2089" s="16" t="e">
        <f t="shared" si="3630"/>
        <v>#N/A</v>
      </c>
      <c r="N2089" s="16" t="e">
        <f t="shared" si="3631"/>
        <v>#N/A</v>
      </c>
      <c r="O2089" s="16" t="s">
        <v>70</v>
      </c>
      <c r="P2089" s="16" t="str">
        <f t="shared" si="6"/>
        <v/>
      </c>
      <c r="Q2089" s="41" t="e">
        <f t="shared" si="3632"/>
        <v>#N/A</v>
      </c>
      <c r="R2089" s="44"/>
      <c r="S2089" s="44"/>
      <c r="T2089" s="43"/>
      <c r="U2089" s="43" t="str">
        <f t="shared" si="8"/>
        <v>No</v>
      </c>
      <c r="V2089" s="25"/>
      <c r="W2089" s="25"/>
      <c r="X2089" s="25"/>
      <c r="Y2089" s="25"/>
      <c r="Z2089" s="25"/>
    </row>
    <row r="2090" spans="1:26" ht="15.75" customHeight="1" x14ac:dyDescent="0.25">
      <c r="A2090" s="25">
        <v>2088</v>
      </c>
      <c r="B2090" s="37" t="e">
        <f t="shared" ref="B2090:D2090" si="4205">VLOOKUP($A2090,[6]Gobierno!$A$1:$O$234,B$1,0)</f>
        <v>#N/A</v>
      </c>
      <c r="C2090" s="38" t="e">
        <f t="shared" si="4205"/>
        <v>#N/A</v>
      </c>
      <c r="D2090" s="39" t="e">
        <f t="shared" si="4205"/>
        <v>#N/A</v>
      </c>
      <c r="E2090" s="16" t="e">
        <f t="shared" si="1"/>
        <v>#N/A</v>
      </c>
      <c r="F2090" s="16" t="e">
        <f t="shared" ref="F2090:K2090" si="4206">VLOOKUP($A2090,[6]Gobierno!$A$1:$O$234,F$1,0)</f>
        <v>#N/A</v>
      </c>
      <c r="G2090" s="39" t="e">
        <f t="shared" si="4206"/>
        <v>#N/A</v>
      </c>
      <c r="H2090" s="16" t="e">
        <f t="shared" si="4206"/>
        <v>#N/A</v>
      </c>
      <c r="I2090" s="16" t="e">
        <f t="shared" si="4206"/>
        <v>#N/A</v>
      </c>
      <c r="J2090" s="40" t="e">
        <f t="shared" si="4206"/>
        <v>#N/A</v>
      </c>
      <c r="K2090" s="16" t="e">
        <f t="shared" si="4206"/>
        <v>#N/A</v>
      </c>
      <c r="L2090" s="40" t="e">
        <f t="shared" si="3629"/>
        <v>#N/A</v>
      </c>
      <c r="M2090" s="16" t="e">
        <f t="shared" si="3630"/>
        <v>#N/A</v>
      </c>
      <c r="N2090" s="16" t="e">
        <f t="shared" si="3631"/>
        <v>#N/A</v>
      </c>
      <c r="O2090" s="16" t="s">
        <v>70</v>
      </c>
      <c r="P2090" s="16" t="str">
        <f t="shared" si="6"/>
        <v/>
      </c>
      <c r="Q2090" s="41" t="e">
        <f t="shared" si="3632"/>
        <v>#N/A</v>
      </c>
      <c r="R2090" s="44"/>
      <c r="S2090" s="44"/>
      <c r="T2090" s="43"/>
      <c r="U2090" s="43" t="str">
        <f t="shared" si="8"/>
        <v>No</v>
      </c>
      <c r="V2090" s="25"/>
      <c r="W2090" s="25"/>
      <c r="X2090" s="25"/>
      <c r="Y2090" s="25"/>
      <c r="Z2090" s="25"/>
    </row>
    <row r="2091" spans="1:26" ht="15.75" customHeight="1" x14ac:dyDescent="0.25">
      <c r="A2091" s="25">
        <v>2089</v>
      </c>
      <c r="B2091" s="37" t="e">
        <f t="shared" ref="B2091:D2091" si="4207">VLOOKUP($A2091,[6]Gobierno!$A$1:$O$234,B$1,0)</f>
        <v>#N/A</v>
      </c>
      <c r="C2091" s="38" t="e">
        <f t="shared" si="4207"/>
        <v>#N/A</v>
      </c>
      <c r="D2091" s="39" t="e">
        <f t="shared" si="4207"/>
        <v>#N/A</v>
      </c>
      <c r="E2091" s="16" t="e">
        <f t="shared" si="1"/>
        <v>#N/A</v>
      </c>
      <c r="F2091" s="16" t="e">
        <f t="shared" ref="F2091:K2091" si="4208">VLOOKUP($A2091,[6]Gobierno!$A$1:$O$234,F$1,0)</f>
        <v>#N/A</v>
      </c>
      <c r="G2091" s="39" t="e">
        <f t="shared" si="4208"/>
        <v>#N/A</v>
      </c>
      <c r="H2091" s="16" t="e">
        <f t="shared" si="4208"/>
        <v>#N/A</v>
      </c>
      <c r="I2091" s="16" t="e">
        <f t="shared" si="4208"/>
        <v>#N/A</v>
      </c>
      <c r="J2091" s="40" t="e">
        <f t="shared" si="4208"/>
        <v>#N/A</v>
      </c>
      <c r="K2091" s="16" t="e">
        <f t="shared" si="4208"/>
        <v>#N/A</v>
      </c>
      <c r="L2091" s="40" t="e">
        <f t="shared" si="3629"/>
        <v>#N/A</v>
      </c>
      <c r="M2091" s="16" t="e">
        <f t="shared" si="3630"/>
        <v>#N/A</v>
      </c>
      <c r="N2091" s="16" t="e">
        <f t="shared" si="3631"/>
        <v>#N/A</v>
      </c>
      <c r="O2091" s="16" t="s">
        <v>70</v>
      </c>
      <c r="P2091" s="16" t="str">
        <f t="shared" si="6"/>
        <v/>
      </c>
      <c r="Q2091" s="41" t="e">
        <f t="shared" si="3632"/>
        <v>#N/A</v>
      </c>
      <c r="R2091" s="44"/>
      <c r="S2091" s="44"/>
      <c r="T2091" s="43"/>
      <c r="U2091" s="43" t="str">
        <f t="shared" si="8"/>
        <v>No</v>
      </c>
      <c r="V2091" s="25"/>
      <c r="W2091" s="25"/>
      <c r="X2091" s="25"/>
      <c r="Y2091" s="25"/>
      <c r="Z2091" s="25"/>
    </row>
    <row r="2092" spans="1:26" ht="15.75" customHeight="1" x14ac:dyDescent="0.25">
      <c r="A2092" s="25">
        <v>2090</v>
      </c>
      <c r="B2092" s="37" t="e">
        <f t="shared" ref="B2092:D2092" si="4209">VLOOKUP($A2092,[6]Gobierno!$A$1:$O$234,B$1,0)</f>
        <v>#N/A</v>
      </c>
      <c r="C2092" s="38" t="e">
        <f t="shared" si="4209"/>
        <v>#N/A</v>
      </c>
      <c r="D2092" s="39" t="e">
        <f t="shared" si="4209"/>
        <v>#N/A</v>
      </c>
      <c r="E2092" s="16" t="e">
        <f t="shared" si="1"/>
        <v>#N/A</v>
      </c>
      <c r="F2092" s="16" t="e">
        <f t="shared" ref="F2092:K2092" si="4210">VLOOKUP($A2092,[6]Gobierno!$A$1:$O$234,F$1,0)</f>
        <v>#N/A</v>
      </c>
      <c r="G2092" s="39" t="e">
        <f t="shared" si="4210"/>
        <v>#N/A</v>
      </c>
      <c r="H2092" s="16" t="e">
        <f t="shared" si="4210"/>
        <v>#N/A</v>
      </c>
      <c r="I2092" s="16" t="e">
        <f t="shared" si="4210"/>
        <v>#N/A</v>
      </c>
      <c r="J2092" s="40" t="e">
        <f t="shared" si="4210"/>
        <v>#N/A</v>
      </c>
      <c r="K2092" s="16" t="e">
        <f t="shared" si="4210"/>
        <v>#N/A</v>
      </c>
      <c r="L2092" s="40" t="e">
        <f t="shared" si="3629"/>
        <v>#N/A</v>
      </c>
      <c r="M2092" s="16" t="e">
        <f t="shared" si="3630"/>
        <v>#N/A</v>
      </c>
      <c r="N2092" s="16" t="e">
        <f t="shared" si="3631"/>
        <v>#N/A</v>
      </c>
      <c r="O2092" s="16" t="s">
        <v>70</v>
      </c>
      <c r="P2092" s="16" t="str">
        <f t="shared" si="6"/>
        <v/>
      </c>
      <c r="Q2092" s="41" t="e">
        <f t="shared" si="3632"/>
        <v>#N/A</v>
      </c>
      <c r="R2092" s="44"/>
      <c r="S2092" s="44"/>
      <c r="T2092" s="43"/>
      <c r="U2092" s="43" t="str">
        <f t="shared" si="8"/>
        <v>No</v>
      </c>
      <c r="V2092" s="25"/>
      <c r="W2092" s="25"/>
      <c r="X2092" s="25"/>
      <c r="Y2092" s="25"/>
      <c r="Z2092" s="25"/>
    </row>
    <row r="2093" spans="1:26" ht="15.75" customHeight="1" x14ac:dyDescent="0.25">
      <c r="A2093" s="25">
        <v>2091</v>
      </c>
      <c r="B2093" s="37" t="e">
        <f t="shared" ref="B2093:D2093" si="4211">VLOOKUP($A2093,[6]Gobierno!$A$1:$O$234,B$1,0)</f>
        <v>#N/A</v>
      </c>
      <c r="C2093" s="38" t="e">
        <f t="shared" si="4211"/>
        <v>#N/A</v>
      </c>
      <c r="D2093" s="39" t="e">
        <f t="shared" si="4211"/>
        <v>#N/A</v>
      </c>
      <c r="E2093" s="16" t="e">
        <f t="shared" si="1"/>
        <v>#N/A</v>
      </c>
      <c r="F2093" s="16" t="e">
        <f t="shared" ref="F2093:K2093" si="4212">VLOOKUP($A2093,[6]Gobierno!$A$1:$O$234,F$1,0)</f>
        <v>#N/A</v>
      </c>
      <c r="G2093" s="39" t="e">
        <f t="shared" si="4212"/>
        <v>#N/A</v>
      </c>
      <c r="H2093" s="16" t="e">
        <f t="shared" si="4212"/>
        <v>#N/A</v>
      </c>
      <c r="I2093" s="16" t="e">
        <f t="shared" si="4212"/>
        <v>#N/A</v>
      </c>
      <c r="J2093" s="40" t="e">
        <f t="shared" si="4212"/>
        <v>#N/A</v>
      </c>
      <c r="K2093" s="16" t="e">
        <f t="shared" si="4212"/>
        <v>#N/A</v>
      </c>
      <c r="L2093" s="40" t="e">
        <f t="shared" si="3629"/>
        <v>#N/A</v>
      </c>
      <c r="M2093" s="16" t="e">
        <f t="shared" si="3630"/>
        <v>#N/A</v>
      </c>
      <c r="N2093" s="16" t="e">
        <f t="shared" si="3631"/>
        <v>#N/A</v>
      </c>
      <c r="O2093" s="16" t="s">
        <v>70</v>
      </c>
      <c r="P2093" s="16" t="str">
        <f t="shared" si="6"/>
        <v/>
      </c>
      <c r="Q2093" s="41" t="e">
        <f t="shared" si="3632"/>
        <v>#N/A</v>
      </c>
      <c r="R2093" s="44"/>
      <c r="S2093" s="44"/>
      <c r="T2093" s="43"/>
      <c r="U2093" s="43" t="str">
        <f t="shared" si="8"/>
        <v>No</v>
      </c>
      <c r="V2093" s="25"/>
      <c r="W2093" s="25"/>
      <c r="X2093" s="25"/>
      <c r="Y2093" s="25"/>
      <c r="Z2093" s="25"/>
    </row>
    <row r="2094" spans="1:26" ht="15.75" customHeight="1" x14ac:dyDescent="0.25">
      <c r="A2094" s="25">
        <v>2092</v>
      </c>
      <c r="B2094" s="37" t="e">
        <f t="shared" ref="B2094:D2094" si="4213">VLOOKUP($A2094,[6]Gobierno!$A$1:$O$234,B$1,0)</f>
        <v>#N/A</v>
      </c>
      <c r="C2094" s="38" t="e">
        <f t="shared" si="4213"/>
        <v>#N/A</v>
      </c>
      <c r="D2094" s="39" t="e">
        <f t="shared" si="4213"/>
        <v>#N/A</v>
      </c>
      <c r="E2094" s="16" t="e">
        <f t="shared" si="1"/>
        <v>#N/A</v>
      </c>
      <c r="F2094" s="16" t="e">
        <f t="shared" ref="F2094:K2094" si="4214">VLOOKUP($A2094,[6]Gobierno!$A$1:$O$234,F$1,0)</f>
        <v>#N/A</v>
      </c>
      <c r="G2094" s="39" t="e">
        <f t="shared" si="4214"/>
        <v>#N/A</v>
      </c>
      <c r="H2094" s="16" t="e">
        <f t="shared" si="4214"/>
        <v>#N/A</v>
      </c>
      <c r="I2094" s="16" t="e">
        <f t="shared" si="4214"/>
        <v>#N/A</v>
      </c>
      <c r="J2094" s="40" t="e">
        <f t="shared" si="4214"/>
        <v>#N/A</v>
      </c>
      <c r="K2094" s="16" t="e">
        <f t="shared" si="4214"/>
        <v>#N/A</v>
      </c>
      <c r="L2094" s="40" t="e">
        <f t="shared" si="3629"/>
        <v>#N/A</v>
      </c>
      <c r="M2094" s="16" t="e">
        <f t="shared" si="3630"/>
        <v>#N/A</v>
      </c>
      <c r="N2094" s="16" t="e">
        <f t="shared" si="3631"/>
        <v>#N/A</v>
      </c>
      <c r="O2094" s="16" t="s">
        <v>70</v>
      </c>
      <c r="P2094" s="16" t="str">
        <f t="shared" si="6"/>
        <v/>
      </c>
      <c r="Q2094" s="41" t="e">
        <f t="shared" si="3632"/>
        <v>#N/A</v>
      </c>
      <c r="R2094" s="44"/>
      <c r="S2094" s="44"/>
      <c r="T2094" s="43"/>
      <c r="U2094" s="43" t="str">
        <f t="shared" si="8"/>
        <v>No</v>
      </c>
      <c r="V2094" s="25"/>
      <c r="W2094" s="25"/>
      <c r="X2094" s="25"/>
      <c r="Y2094" s="25"/>
      <c r="Z2094" s="25"/>
    </row>
    <row r="2095" spans="1:26" ht="15.75" customHeight="1" x14ac:dyDescent="0.25">
      <c r="A2095" s="25">
        <v>2093</v>
      </c>
      <c r="B2095" s="37" t="e">
        <f t="shared" ref="B2095:D2095" si="4215">VLOOKUP($A2095,[6]Gobierno!$A$1:$O$234,B$1,0)</f>
        <v>#N/A</v>
      </c>
      <c r="C2095" s="38" t="e">
        <f t="shared" si="4215"/>
        <v>#N/A</v>
      </c>
      <c r="D2095" s="39" t="e">
        <f t="shared" si="4215"/>
        <v>#N/A</v>
      </c>
      <c r="E2095" s="16" t="e">
        <f t="shared" si="1"/>
        <v>#N/A</v>
      </c>
      <c r="F2095" s="16" t="e">
        <f t="shared" ref="F2095:K2095" si="4216">VLOOKUP($A2095,[6]Gobierno!$A$1:$O$234,F$1,0)</f>
        <v>#N/A</v>
      </c>
      <c r="G2095" s="39" t="e">
        <f t="shared" si="4216"/>
        <v>#N/A</v>
      </c>
      <c r="H2095" s="16" t="e">
        <f t="shared" si="4216"/>
        <v>#N/A</v>
      </c>
      <c r="I2095" s="16" t="e">
        <f t="shared" si="4216"/>
        <v>#N/A</v>
      </c>
      <c r="J2095" s="40" t="e">
        <f t="shared" si="4216"/>
        <v>#N/A</v>
      </c>
      <c r="K2095" s="16" t="e">
        <f t="shared" si="4216"/>
        <v>#N/A</v>
      </c>
      <c r="L2095" s="40" t="e">
        <f t="shared" si="3629"/>
        <v>#N/A</v>
      </c>
      <c r="M2095" s="16" t="e">
        <f t="shared" si="3630"/>
        <v>#N/A</v>
      </c>
      <c r="N2095" s="16" t="e">
        <f t="shared" si="3631"/>
        <v>#N/A</v>
      </c>
      <c r="O2095" s="16" t="s">
        <v>70</v>
      </c>
      <c r="P2095" s="16" t="str">
        <f t="shared" si="6"/>
        <v/>
      </c>
      <c r="Q2095" s="41" t="e">
        <f t="shared" si="3632"/>
        <v>#N/A</v>
      </c>
      <c r="R2095" s="44"/>
      <c r="S2095" s="44"/>
      <c r="T2095" s="43"/>
      <c r="U2095" s="43" t="str">
        <f t="shared" si="8"/>
        <v>No</v>
      </c>
      <c r="V2095" s="25"/>
      <c r="W2095" s="25"/>
      <c r="X2095" s="25"/>
      <c r="Y2095" s="25"/>
      <c r="Z2095" s="25"/>
    </row>
    <row r="2096" spans="1:26" ht="15.75" customHeight="1" x14ac:dyDescent="0.25">
      <c r="A2096" s="25">
        <v>2094</v>
      </c>
      <c r="B2096" s="37" t="e">
        <f t="shared" ref="B2096:D2096" si="4217">VLOOKUP($A2096,[6]Gobierno!$A$1:$O$234,B$1,0)</f>
        <v>#N/A</v>
      </c>
      <c r="C2096" s="38" t="e">
        <f t="shared" si="4217"/>
        <v>#N/A</v>
      </c>
      <c r="D2096" s="39" t="e">
        <f t="shared" si="4217"/>
        <v>#N/A</v>
      </c>
      <c r="E2096" s="16" t="e">
        <f t="shared" si="1"/>
        <v>#N/A</v>
      </c>
      <c r="F2096" s="16" t="e">
        <f t="shared" ref="F2096:K2096" si="4218">VLOOKUP($A2096,[6]Gobierno!$A$1:$O$234,F$1,0)</f>
        <v>#N/A</v>
      </c>
      <c r="G2096" s="39" t="e">
        <f t="shared" si="4218"/>
        <v>#N/A</v>
      </c>
      <c r="H2096" s="16" t="e">
        <f t="shared" si="4218"/>
        <v>#N/A</v>
      </c>
      <c r="I2096" s="16" t="e">
        <f t="shared" si="4218"/>
        <v>#N/A</v>
      </c>
      <c r="J2096" s="40" t="e">
        <f t="shared" si="4218"/>
        <v>#N/A</v>
      </c>
      <c r="K2096" s="16" t="e">
        <f t="shared" si="4218"/>
        <v>#N/A</v>
      </c>
      <c r="L2096" s="40" t="e">
        <f t="shared" si="3629"/>
        <v>#N/A</v>
      </c>
      <c r="M2096" s="16" t="e">
        <f t="shared" si="3630"/>
        <v>#N/A</v>
      </c>
      <c r="N2096" s="16" t="e">
        <f t="shared" si="3631"/>
        <v>#N/A</v>
      </c>
      <c r="O2096" s="16" t="s">
        <v>70</v>
      </c>
      <c r="P2096" s="16" t="str">
        <f t="shared" si="6"/>
        <v/>
      </c>
      <c r="Q2096" s="41" t="e">
        <f t="shared" si="3632"/>
        <v>#N/A</v>
      </c>
      <c r="R2096" s="44"/>
      <c r="S2096" s="44"/>
      <c r="T2096" s="43"/>
      <c r="U2096" s="43" t="str">
        <f t="shared" si="8"/>
        <v>No</v>
      </c>
      <c r="V2096" s="25"/>
      <c r="W2096" s="25"/>
      <c r="X2096" s="25"/>
      <c r="Y2096" s="25"/>
      <c r="Z2096" s="25"/>
    </row>
    <row r="2097" spans="1:26" ht="15.75" customHeight="1" x14ac:dyDescent="0.25">
      <c r="A2097" s="25">
        <v>2095</v>
      </c>
      <c r="B2097" s="37" t="e">
        <f t="shared" ref="B2097:D2097" si="4219">VLOOKUP($A2097,[6]Gobierno!$A$1:$O$234,B$1,0)</f>
        <v>#N/A</v>
      </c>
      <c r="C2097" s="38" t="e">
        <f t="shared" si="4219"/>
        <v>#N/A</v>
      </c>
      <c r="D2097" s="39" t="e">
        <f t="shared" si="4219"/>
        <v>#N/A</v>
      </c>
      <c r="E2097" s="16" t="e">
        <f t="shared" si="1"/>
        <v>#N/A</v>
      </c>
      <c r="F2097" s="16" t="e">
        <f t="shared" ref="F2097:K2097" si="4220">VLOOKUP($A2097,[6]Gobierno!$A$1:$O$234,F$1,0)</f>
        <v>#N/A</v>
      </c>
      <c r="G2097" s="39" t="e">
        <f t="shared" si="4220"/>
        <v>#N/A</v>
      </c>
      <c r="H2097" s="16" t="e">
        <f t="shared" si="4220"/>
        <v>#N/A</v>
      </c>
      <c r="I2097" s="16" t="e">
        <f t="shared" si="4220"/>
        <v>#N/A</v>
      </c>
      <c r="J2097" s="40" t="e">
        <f t="shared" si="4220"/>
        <v>#N/A</v>
      </c>
      <c r="K2097" s="16" t="e">
        <f t="shared" si="4220"/>
        <v>#N/A</v>
      </c>
      <c r="L2097" s="40" t="e">
        <f t="shared" si="3629"/>
        <v>#N/A</v>
      </c>
      <c r="M2097" s="16" t="e">
        <f t="shared" si="3630"/>
        <v>#N/A</v>
      </c>
      <c r="N2097" s="16" t="e">
        <f t="shared" si="3631"/>
        <v>#N/A</v>
      </c>
      <c r="O2097" s="16" t="s">
        <v>70</v>
      </c>
      <c r="P2097" s="16" t="str">
        <f t="shared" si="6"/>
        <v/>
      </c>
      <c r="Q2097" s="41" t="e">
        <f t="shared" si="3632"/>
        <v>#N/A</v>
      </c>
      <c r="R2097" s="44"/>
      <c r="S2097" s="44"/>
      <c r="T2097" s="43"/>
      <c r="U2097" s="43" t="str">
        <f t="shared" si="8"/>
        <v>No</v>
      </c>
      <c r="V2097" s="25"/>
      <c r="W2097" s="25"/>
      <c r="X2097" s="25"/>
      <c r="Y2097" s="25"/>
      <c r="Z2097" s="25"/>
    </row>
    <row r="2098" spans="1:26" ht="15.75" customHeight="1" x14ac:dyDescent="0.25">
      <c r="A2098" s="25">
        <v>2096</v>
      </c>
      <c r="B2098" s="37" t="e">
        <f t="shared" ref="B2098:D2098" si="4221">VLOOKUP($A2098,[6]Gobierno!$A$1:$O$234,B$1,0)</f>
        <v>#N/A</v>
      </c>
      <c r="C2098" s="38" t="e">
        <f t="shared" si="4221"/>
        <v>#N/A</v>
      </c>
      <c r="D2098" s="39" t="e">
        <f t="shared" si="4221"/>
        <v>#N/A</v>
      </c>
      <c r="E2098" s="16" t="e">
        <f t="shared" si="1"/>
        <v>#N/A</v>
      </c>
      <c r="F2098" s="16" t="e">
        <f t="shared" ref="F2098:K2098" si="4222">VLOOKUP($A2098,[6]Gobierno!$A$1:$O$234,F$1,0)</f>
        <v>#N/A</v>
      </c>
      <c r="G2098" s="39" t="e">
        <f t="shared" si="4222"/>
        <v>#N/A</v>
      </c>
      <c r="H2098" s="16" t="e">
        <f t="shared" si="4222"/>
        <v>#N/A</v>
      </c>
      <c r="I2098" s="16" t="e">
        <f t="shared" si="4222"/>
        <v>#N/A</v>
      </c>
      <c r="J2098" s="40" t="e">
        <f t="shared" si="4222"/>
        <v>#N/A</v>
      </c>
      <c r="K2098" s="16" t="e">
        <f t="shared" si="4222"/>
        <v>#N/A</v>
      </c>
      <c r="L2098" s="40" t="e">
        <f t="shared" si="3629"/>
        <v>#N/A</v>
      </c>
      <c r="M2098" s="16" t="e">
        <f t="shared" si="3630"/>
        <v>#N/A</v>
      </c>
      <c r="N2098" s="16" t="e">
        <f t="shared" si="3631"/>
        <v>#N/A</v>
      </c>
      <c r="O2098" s="16" t="s">
        <v>70</v>
      </c>
      <c r="P2098" s="16" t="str">
        <f t="shared" si="6"/>
        <v/>
      </c>
      <c r="Q2098" s="41" t="e">
        <f t="shared" si="3632"/>
        <v>#N/A</v>
      </c>
      <c r="R2098" s="44"/>
      <c r="S2098" s="44"/>
      <c r="T2098" s="43"/>
      <c r="U2098" s="43" t="str">
        <f t="shared" si="8"/>
        <v>No</v>
      </c>
      <c r="V2098" s="25"/>
      <c r="W2098" s="25"/>
      <c r="X2098" s="25"/>
      <c r="Y2098" s="25"/>
      <c r="Z2098" s="25"/>
    </row>
    <row r="2099" spans="1:26" ht="15.75" customHeight="1" x14ac:dyDescent="0.25">
      <c r="A2099" s="25">
        <v>2097</v>
      </c>
      <c r="B2099" s="37" t="e">
        <f t="shared" ref="B2099:D2099" si="4223">VLOOKUP($A2099,[6]Gobierno!$A$1:$O$234,B$1,0)</f>
        <v>#N/A</v>
      </c>
      <c r="C2099" s="38" t="e">
        <f t="shared" si="4223"/>
        <v>#N/A</v>
      </c>
      <c r="D2099" s="39" t="e">
        <f t="shared" si="4223"/>
        <v>#N/A</v>
      </c>
      <c r="E2099" s="16" t="e">
        <f t="shared" si="1"/>
        <v>#N/A</v>
      </c>
      <c r="F2099" s="16" t="e">
        <f t="shared" ref="F2099:K2099" si="4224">VLOOKUP($A2099,[6]Gobierno!$A$1:$O$234,F$1,0)</f>
        <v>#N/A</v>
      </c>
      <c r="G2099" s="39" t="e">
        <f t="shared" si="4224"/>
        <v>#N/A</v>
      </c>
      <c r="H2099" s="16" t="e">
        <f t="shared" si="4224"/>
        <v>#N/A</v>
      </c>
      <c r="I2099" s="16" t="e">
        <f t="shared" si="4224"/>
        <v>#N/A</v>
      </c>
      <c r="J2099" s="40" t="e">
        <f t="shared" si="4224"/>
        <v>#N/A</v>
      </c>
      <c r="K2099" s="16" t="e">
        <f t="shared" si="4224"/>
        <v>#N/A</v>
      </c>
      <c r="L2099" s="40" t="e">
        <f t="shared" si="3629"/>
        <v>#N/A</v>
      </c>
      <c r="M2099" s="16" t="e">
        <f t="shared" si="3630"/>
        <v>#N/A</v>
      </c>
      <c r="N2099" s="16" t="e">
        <f t="shared" si="3631"/>
        <v>#N/A</v>
      </c>
      <c r="O2099" s="16" t="s">
        <v>70</v>
      </c>
      <c r="P2099" s="16" t="str">
        <f t="shared" si="6"/>
        <v/>
      </c>
      <c r="Q2099" s="41" t="e">
        <f t="shared" si="3632"/>
        <v>#N/A</v>
      </c>
      <c r="R2099" s="44"/>
      <c r="S2099" s="44"/>
      <c r="T2099" s="43"/>
      <c r="U2099" s="43" t="str">
        <f t="shared" si="8"/>
        <v>No</v>
      </c>
      <c r="V2099" s="25"/>
      <c r="W2099" s="25"/>
      <c r="X2099" s="25"/>
      <c r="Y2099" s="25"/>
      <c r="Z2099" s="25"/>
    </row>
    <row r="2100" spans="1:26" ht="15.75" customHeight="1" x14ac:dyDescent="0.25">
      <c r="A2100" s="25">
        <v>2098</v>
      </c>
      <c r="B2100" s="37" t="e">
        <f t="shared" ref="B2100:D2100" si="4225">VLOOKUP($A2100,[6]Gobierno!$A$1:$O$234,B$1,0)</f>
        <v>#N/A</v>
      </c>
      <c r="C2100" s="38" t="e">
        <f t="shared" si="4225"/>
        <v>#N/A</v>
      </c>
      <c r="D2100" s="39" t="e">
        <f t="shared" si="4225"/>
        <v>#N/A</v>
      </c>
      <c r="E2100" s="16" t="e">
        <f t="shared" si="1"/>
        <v>#N/A</v>
      </c>
      <c r="F2100" s="16" t="e">
        <f t="shared" ref="F2100:K2100" si="4226">VLOOKUP($A2100,[6]Gobierno!$A$1:$O$234,F$1,0)</f>
        <v>#N/A</v>
      </c>
      <c r="G2100" s="39" t="e">
        <f t="shared" si="4226"/>
        <v>#N/A</v>
      </c>
      <c r="H2100" s="16" t="e">
        <f t="shared" si="4226"/>
        <v>#N/A</v>
      </c>
      <c r="I2100" s="16" t="e">
        <f t="shared" si="4226"/>
        <v>#N/A</v>
      </c>
      <c r="J2100" s="40" t="e">
        <f t="shared" si="4226"/>
        <v>#N/A</v>
      </c>
      <c r="K2100" s="16" t="e">
        <f t="shared" si="4226"/>
        <v>#N/A</v>
      </c>
      <c r="L2100" s="40" t="e">
        <f t="shared" si="3629"/>
        <v>#N/A</v>
      </c>
      <c r="M2100" s="16" t="e">
        <f t="shared" si="3630"/>
        <v>#N/A</v>
      </c>
      <c r="N2100" s="16" t="e">
        <f t="shared" si="3631"/>
        <v>#N/A</v>
      </c>
      <c r="O2100" s="16" t="s">
        <v>70</v>
      </c>
      <c r="P2100" s="16" t="str">
        <f t="shared" si="6"/>
        <v/>
      </c>
      <c r="Q2100" s="41" t="e">
        <f t="shared" si="3632"/>
        <v>#N/A</v>
      </c>
      <c r="R2100" s="44"/>
      <c r="S2100" s="44"/>
      <c r="T2100" s="43"/>
      <c r="U2100" s="43" t="str">
        <f t="shared" si="8"/>
        <v>No</v>
      </c>
      <c r="V2100" s="25"/>
      <c r="W2100" s="25"/>
      <c r="X2100" s="25"/>
      <c r="Y2100" s="25"/>
      <c r="Z2100" s="25"/>
    </row>
    <row r="2101" spans="1:26" ht="15.75" customHeight="1" x14ac:dyDescent="0.25">
      <c r="A2101" s="25">
        <v>2099</v>
      </c>
      <c r="B2101" s="37" t="e">
        <f t="shared" ref="B2101:D2101" si="4227">VLOOKUP($A2101,[6]Gobierno!$A$1:$O$234,B$1,0)</f>
        <v>#N/A</v>
      </c>
      <c r="C2101" s="38" t="e">
        <f t="shared" si="4227"/>
        <v>#N/A</v>
      </c>
      <c r="D2101" s="39" t="e">
        <f t="shared" si="4227"/>
        <v>#N/A</v>
      </c>
      <c r="E2101" s="16" t="e">
        <f t="shared" si="1"/>
        <v>#N/A</v>
      </c>
      <c r="F2101" s="16" t="e">
        <f t="shared" ref="F2101:K2101" si="4228">VLOOKUP($A2101,[6]Gobierno!$A$1:$O$234,F$1,0)</f>
        <v>#N/A</v>
      </c>
      <c r="G2101" s="39" t="e">
        <f t="shared" si="4228"/>
        <v>#N/A</v>
      </c>
      <c r="H2101" s="16" t="e">
        <f t="shared" si="4228"/>
        <v>#N/A</v>
      </c>
      <c r="I2101" s="16" t="e">
        <f t="shared" si="4228"/>
        <v>#N/A</v>
      </c>
      <c r="J2101" s="40" t="e">
        <f t="shared" si="4228"/>
        <v>#N/A</v>
      </c>
      <c r="K2101" s="16" t="e">
        <f t="shared" si="4228"/>
        <v>#N/A</v>
      </c>
      <c r="L2101" s="40" t="e">
        <f t="shared" si="3629"/>
        <v>#N/A</v>
      </c>
      <c r="M2101" s="16" t="e">
        <f t="shared" si="3630"/>
        <v>#N/A</v>
      </c>
      <c r="N2101" s="16" t="e">
        <f t="shared" si="3631"/>
        <v>#N/A</v>
      </c>
      <c r="O2101" s="16" t="s">
        <v>70</v>
      </c>
      <c r="P2101" s="16" t="str">
        <f t="shared" si="6"/>
        <v/>
      </c>
      <c r="Q2101" s="41" t="e">
        <f t="shared" si="3632"/>
        <v>#N/A</v>
      </c>
      <c r="R2101" s="44"/>
      <c r="S2101" s="44"/>
      <c r="T2101" s="43"/>
      <c r="U2101" s="43" t="str">
        <f t="shared" si="8"/>
        <v>No</v>
      </c>
      <c r="V2101" s="25"/>
      <c r="W2101" s="25"/>
      <c r="X2101" s="25"/>
      <c r="Y2101" s="25"/>
      <c r="Z2101" s="25"/>
    </row>
    <row r="2102" spans="1:26" ht="15.75" customHeight="1" x14ac:dyDescent="0.25">
      <c r="A2102" s="25">
        <v>2100</v>
      </c>
      <c r="B2102" s="37" t="e">
        <f t="shared" ref="B2102:D2102" si="4229">VLOOKUP($A2102,[6]Gobierno!$A$1:$O$234,B$1,0)</f>
        <v>#N/A</v>
      </c>
      <c r="C2102" s="38" t="e">
        <f t="shared" si="4229"/>
        <v>#N/A</v>
      </c>
      <c r="D2102" s="39" t="e">
        <f t="shared" si="4229"/>
        <v>#N/A</v>
      </c>
      <c r="E2102" s="16" t="e">
        <f t="shared" si="1"/>
        <v>#N/A</v>
      </c>
      <c r="F2102" s="16" t="e">
        <f t="shared" ref="F2102:K2102" si="4230">VLOOKUP($A2102,[6]Gobierno!$A$1:$O$234,F$1,0)</f>
        <v>#N/A</v>
      </c>
      <c r="G2102" s="39" t="e">
        <f t="shared" si="4230"/>
        <v>#N/A</v>
      </c>
      <c r="H2102" s="16" t="e">
        <f t="shared" si="4230"/>
        <v>#N/A</v>
      </c>
      <c r="I2102" s="16" t="e">
        <f t="shared" si="4230"/>
        <v>#N/A</v>
      </c>
      <c r="J2102" s="40" t="e">
        <f t="shared" si="4230"/>
        <v>#N/A</v>
      </c>
      <c r="K2102" s="16" t="e">
        <f t="shared" si="4230"/>
        <v>#N/A</v>
      </c>
      <c r="L2102" s="40" t="e">
        <f t="shared" si="3629"/>
        <v>#N/A</v>
      </c>
      <c r="M2102" s="16" t="e">
        <f t="shared" si="3630"/>
        <v>#N/A</v>
      </c>
      <c r="N2102" s="16" t="e">
        <f t="shared" si="3631"/>
        <v>#N/A</v>
      </c>
      <c r="O2102" s="16" t="s">
        <v>70</v>
      </c>
      <c r="P2102" s="16" t="str">
        <f t="shared" si="6"/>
        <v/>
      </c>
      <c r="Q2102" s="41" t="e">
        <f t="shared" si="3632"/>
        <v>#N/A</v>
      </c>
      <c r="R2102" s="44"/>
      <c r="S2102" s="44"/>
      <c r="T2102" s="43"/>
      <c r="U2102" s="43" t="str">
        <f t="shared" si="8"/>
        <v>No</v>
      </c>
      <c r="V2102" s="25"/>
      <c r="W2102" s="25"/>
      <c r="X2102" s="25"/>
      <c r="Y2102" s="25"/>
      <c r="Z2102" s="25"/>
    </row>
    <row r="2103" spans="1:26" ht="15.75" customHeight="1" x14ac:dyDescent="0.25">
      <c r="A2103" s="25">
        <v>2101</v>
      </c>
      <c r="B2103" s="37" t="e">
        <f t="shared" ref="B2103:D2103" si="4231">VLOOKUP($A2103,[7]Hábitat!$A$2:$O$184,B$1,0)</f>
        <v>#N/A</v>
      </c>
      <c r="C2103" s="38" t="e">
        <f t="shared" si="4231"/>
        <v>#N/A</v>
      </c>
      <c r="D2103" s="39" t="e">
        <f t="shared" si="4231"/>
        <v>#N/A</v>
      </c>
      <c r="E2103" s="16" t="e">
        <f t="shared" si="1"/>
        <v>#N/A</v>
      </c>
      <c r="F2103" s="16" t="e">
        <f t="shared" ref="F2103:K2103" si="4232">VLOOKUP($A2103,[7]Hábitat!$A$2:$O$184,F$1,0)</f>
        <v>#N/A</v>
      </c>
      <c r="G2103" s="39" t="e">
        <f t="shared" si="4232"/>
        <v>#N/A</v>
      </c>
      <c r="H2103" s="16" t="e">
        <f t="shared" si="4232"/>
        <v>#N/A</v>
      </c>
      <c r="I2103" s="16" t="e">
        <f t="shared" si="4232"/>
        <v>#N/A</v>
      </c>
      <c r="J2103" s="40" t="e">
        <f t="shared" si="4232"/>
        <v>#N/A</v>
      </c>
      <c r="K2103" s="16" t="e">
        <f t="shared" si="4232"/>
        <v>#N/A</v>
      </c>
      <c r="L2103" s="40" t="e">
        <f t="shared" ref="L2103:L2402" si="4233">VLOOKUP($A2103,[7]Hábitat!$A$2:$O$184,13,0)</f>
        <v>#N/A</v>
      </c>
      <c r="M2103" s="16" t="e">
        <f t="shared" ref="M2103:M2402" si="4234">VLOOKUP($A2103,[7]Hábitat!$A$2:$O$184,14,0)</f>
        <v>#N/A</v>
      </c>
      <c r="N2103" s="16" t="e">
        <f t="shared" ref="N2103:N2402" si="4235">VLOOKUP($A2103,[7]Hábitat!$A$2:$O$184,15,0)</f>
        <v>#N/A</v>
      </c>
      <c r="O2103" s="16" t="s">
        <v>71</v>
      </c>
      <c r="P2103" s="16" t="str">
        <f t="shared" si="6"/>
        <v/>
      </c>
      <c r="Q2103" s="41" t="e">
        <f t="shared" ref="Q2103:Q2402" si="4236">VLOOKUP($A2103,[7]Hábitat!$A$2:$O$223,12,0)</f>
        <v>#N/A</v>
      </c>
      <c r="R2103" s="44"/>
      <c r="S2103" s="44"/>
      <c r="T2103" s="43"/>
      <c r="U2103" s="43" t="str">
        <f t="shared" si="8"/>
        <v>No</v>
      </c>
      <c r="V2103" s="25"/>
      <c r="W2103" s="25"/>
      <c r="X2103" s="25"/>
      <c r="Y2103" s="25"/>
      <c r="Z2103" s="25"/>
    </row>
    <row r="2104" spans="1:26" ht="15.75" customHeight="1" x14ac:dyDescent="0.25">
      <c r="A2104" s="25">
        <v>2102</v>
      </c>
      <c r="B2104" s="37" t="e">
        <f t="shared" ref="B2104:D2104" si="4237">VLOOKUP($A2104,[7]Hábitat!$A$2:$O$184,B$1,0)</f>
        <v>#N/A</v>
      </c>
      <c r="C2104" s="38" t="e">
        <f t="shared" si="4237"/>
        <v>#N/A</v>
      </c>
      <c r="D2104" s="39" t="e">
        <f t="shared" si="4237"/>
        <v>#N/A</v>
      </c>
      <c r="E2104" s="16" t="e">
        <f t="shared" si="1"/>
        <v>#N/A</v>
      </c>
      <c r="F2104" s="16" t="e">
        <f t="shared" ref="F2104:K2104" si="4238">VLOOKUP($A2104,[7]Hábitat!$A$2:$O$184,F$1,0)</f>
        <v>#N/A</v>
      </c>
      <c r="G2104" s="39" t="e">
        <f t="shared" si="4238"/>
        <v>#N/A</v>
      </c>
      <c r="H2104" s="16" t="e">
        <f t="shared" si="4238"/>
        <v>#N/A</v>
      </c>
      <c r="I2104" s="16" t="e">
        <f t="shared" si="4238"/>
        <v>#N/A</v>
      </c>
      <c r="J2104" s="40" t="e">
        <f t="shared" si="4238"/>
        <v>#N/A</v>
      </c>
      <c r="K2104" s="16" t="e">
        <f t="shared" si="4238"/>
        <v>#N/A</v>
      </c>
      <c r="L2104" s="40" t="e">
        <f t="shared" si="4233"/>
        <v>#N/A</v>
      </c>
      <c r="M2104" s="16" t="e">
        <f t="shared" si="4234"/>
        <v>#N/A</v>
      </c>
      <c r="N2104" s="16" t="e">
        <f t="shared" si="4235"/>
        <v>#N/A</v>
      </c>
      <c r="O2104" s="16" t="s">
        <v>71</v>
      </c>
      <c r="P2104" s="16" t="str">
        <f t="shared" si="6"/>
        <v/>
      </c>
      <c r="Q2104" s="41" t="e">
        <f t="shared" si="4236"/>
        <v>#N/A</v>
      </c>
      <c r="R2104" s="44"/>
      <c r="S2104" s="44"/>
      <c r="T2104" s="43"/>
      <c r="U2104" s="43" t="str">
        <f t="shared" si="8"/>
        <v>No</v>
      </c>
      <c r="V2104" s="25"/>
      <c r="W2104" s="25"/>
      <c r="X2104" s="25"/>
      <c r="Y2104" s="25"/>
      <c r="Z2104" s="25"/>
    </row>
    <row r="2105" spans="1:26" ht="15.75" customHeight="1" x14ac:dyDescent="0.25">
      <c r="A2105" s="25">
        <v>2103</v>
      </c>
      <c r="B2105" s="37" t="e">
        <f t="shared" ref="B2105:D2105" si="4239">VLOOKUP($A2105,[7]Hábitat!$A$2:$O$184,B$1,0)</f>
        <v>#N/A</v>
      </c>
      <c r="C2105" s="38" t="e">
        <f t="shared" si="4239"/>
        <v>#N/A</v>
      </c>
      <c r="D2105" s="39" t="e">
        <f t="shared" si="4239"/>
        <v>#N/A</v>
      </c>
      <c r="E2105" s="16" t="e">
        <f t="shared" si="1"/>
        <v>#N/A</v>
      </c>
      <c r="F2105" s="16" t="e">
        <f t="shared" ref="F2105:K2105" si="4240">VLOOKUP($A2105,[7]Hábitat!$A$2:$O$184,F$1,0)</f>
        <v>#N/A</v>
      </c>
      <c r="G2105" s="39" t="e">
        <f t="shared" si="4240"/>
        <v>#N/A</v>
      </c>
      <c r="H2105" s="16" t="e">
        <f t="shared" si="4240"/>
        <v>#N/A</v>
      </c>
      <c r="I2105" s="16" t="e">
        <f t="shared" si="4240"/>
        <v>#N/A</v>
      </c>
      <c r="J2105" s="40" t="e">
        <f t="shared" si="4240"/>
        <v>#N/A</v>
      </c>
      <c r="K2105" s="16" t="e">
        <f t="shared" si="4240"/>
        <v>#N/A</v>
      </c>
      <c r="L2105" s="40" t="e">
        <f t="shared" si="4233"/>
        <v>#N/A</v>
      </c>
      <c r="M2105" s="16" t="e">
        <f t="shared" si="4234"/>
        <v>#N/A</v>
      </c>
      <c r="N2105" s="16" t="e">
        <f t="shared" si="4235"/>
        <v>#N/A</v>
      </c>
      <c r="O2105" s="16" t="s">
        <v>71</v>
      </c>
      <c r="P2105" s="16" t="str">
        <f t="shared" si="6"/>
        <v/>
      </c>
      <c r="Q2105" s="41" t="e">
        <f t="shared" si="4236"/>
        <v>#N/A</v>
      </c>
      <c r="R2105" s="44"/>
      <c r="S2105" s="44"/>
      <c r="T2105" s="43"/>
      <c r="U2105" s="43" t="str">
        <f t="shared" si="8"/>
        <v>No</v>
      </c>
      <c r="V2105" s="25"/>
      <c r="W2105" s="25"/>
      <c r="X2105" s="25"/>
      <c r="Y2105" s="25"/>
      <c r="Z2105" s="25"/>
    </row>
    <row r="2106" spans="1:26" ht="15.75" customHeight="1" x14ac:dyDescent="0.25">
      <c r="A2106" s="25">
        <v>2104</v>
      </c>
      <c r="B2106" s="37" t="e">
        <f t="shared" ref="B2106:D2106" si="4241">VLOOKUP($A2106,[7]Hábitat!$A$2:$O$184,B$1,0)</f>
        <v>#N/A</v>
      </c>
      <c r="C2106" s="38" t="e">
        <f t="shared" si="4241"/>
        <v>#N/A</v>
      </c>
      <c r="D2106" s="39" t="e">
        <f t="shared" si="4241"/>
        <v>#N/A</v>
      </c>
      <c r="E2106" s="16" t="e">
        <f t="shared" si="1"/>
        <v>#N/A</v>
      </c>
      <c r="F2106" s="16" t="e">
        <f t="shared" ref="F2106:K2106" si="4242">VLOOKUP($A2106,[7]Hábitat!$A$2:$O$184,F$1,0)</f>
        <v>#N/A</v>
      </c>
      <c r="G2106" s="39" t="e">
        <f t="shared" si="4242"/>
        <v>#N/A</v>
      </c>
      <c r="H2106" s="16" t="e">
        <f t="shared" si="4242"/>
        <v>#N/A</v>
      </c>
      <c r="I2106" s="16" t="e">
        <f t="shared" si="4242"/>
        <v>#N/A</v>
      </c>
      <c r="J2106" s="40" t="e">
        <f t="shared" si="4242"/>
        <v>#N/A</v>
      </c>
      <c r="K2106" s="16" t="e">
        <f t="shared" si="4242"/>
        <v>#N/A</v>
      </c>
      <c r="L2106" s="40" t="e">
        <f t="shared" si="4233"/>
        <v>#N/A</v>
      </c>
      <c r="M2106" s="16" t="e">
        <f t="shared" si="4234"/>
        <v>#N/A</v>
      </c>
      <c r="N2106" s="16" t="e">
        <f t="shared" si="4235"/>
        <v>#N/A</v>
      </c>
      <c r="O2106" s="16" t="s">
        <v>71</v>
      </c>
      <c r="P2106" s="16" t="str">
        <f t="shared" si="6"/>
        <v/>
      </c>
      <c r="Q2106" s="41" t="e">
        <f t="shared" si="4236"/>
        <v>#N/A</v>
      </c>
      <c r="R2106" s="44"/>
      <c r="S2106" s="44"/>
      <c r="T2106" s="43"/>
      <c r="U2106" s="43" t="str">
        <f t="shared" si="8"/>
        <v>No</v>
      </c>
      <c r="V2106" s="25"/>
      <c r="W2106" s="25"/>
      <c r="X2106" s="25"/>
      <c r="Y2106" s="25"/>
      <c r="Z2106" s="25"/>
    </row>
    <row r="2107" spans="1:26" ht="15.75" customHeight="1" x14ac:dyDescent="0.25">
      <c r="A2107" s="25">
        <v>2105</v>
      </c>
      <c r="B2107" s="37" t="e">
        <f t="shared" ref="B2107:D2107" si="4243">VLOOKUP($A2107,[7]Hábitat!$A$2:$O$184,B$1,0)</f>
        <v>#N/A</v>
      </c>
      <c r="C2107" s="38" t="e">
        <f t="shared" si="4243"/>
        <v>#N/A</v>
      </c>
      <c r="D2107" s="39" t="e">
        <f t="shared" si="4243"/>
        <v>#N/A</v>
      </c>
      <c r="E2107" s="16" t="e">
        <f t="shared" si="1"/>
        <v>#N/A</v>
      </c>
      <c r="F2107" s="16" t="e">
        <f t="shared" ref="F2107:K2107" si="4244">VLOOKUP($A2107,[7]Hábitat!$A$2:$O$184,F$1,0)</f>
        <v>#N/A</v>
      </c>
      <c r="G2107" s="39" t="e">
        <f t="shared" si="4244"/>
        <v>#N/A</v>
      </c>
      <c r="H2107" s="16" t="e">
        <f t="shared" si="4244"/>
        <v>#N/A</v>
      </c>
      <c r="I2107" s="16" t="e">
        <f t="shared" si="4244"/>
        <v>#N/A</v>
      </c>
      <c r="J2107" s="40" t="e">
        <f t="shared" si="4244"/>
        <v>#N/A</v>
      </c>
      <c r="K2107" s="16" t="e">
        <f t="shared" si="4244"/>
        <v>#N/A</v>
      </c>
      <c r="L2107" s="40" t="e">
        <f t="shared" si="4233"/>
        <v>#N/A</v>
      </c>
      <c r="M2107" s="16" t="e">
        <f t="shared" si="4234"/>
        <v>#N/A</v>
      </c>
      <c r="N2107" s="16" t="e">
        <f t="shared" si="4235"/>
        <v>#N/A</v>
      </c>
      <c r="O2107" s="16" t="s">
        <v>71</v>
      </c>
      <c r="P2107" s="16" t="str">
        <f t="shared" si="6"/>
        <v/>
      </c>
      <c r="Q2107" s="41" t="e">
        <f t="shared" si="4236"/>
        <v>#N/A</v>
      </c>
      <c r="R2107" s="44"/>
      <c r="S2107" s="44"/>
      <c r="T2107" s="43"/>
      <c r="U2107" s="43" t="str">
        <f t="shared" si="8"/>
        <v>No</v>
      </c>
      <c r="V2107" s="25"/>
      <c r="W2107" s="25"/>
      <c r="X2107" s="25"/>
      <c r="Y2107" s="25"/>
      <c r="Z2107" s="25"/>
    </row>
    <row r="2108" spans="1:26" ht="15.75" customHeight="1" x14ac:dyDescent="0.25">
      <c r="A2108" s="25">
        <v>2106</v>
      </c>
      <c r="B2108" s="37" t="e">
        <f t="shared" ref="B2108:D2108" si="4245">VLOOKUP($A2108,[7]Hábitat!$A$2:$O$184,B$1,0)</f>
        <v>#N/A</v>
      </c>
      <c r="C2108" s="38" t="e">
        <f t="shared" si="4245"/>
        <v>#N/A</v>
      </c>
      <c r="D2108" s="39" t="e">
        <f t="shared" si="4245"/>
        <v>#N/A</v>
      </c>
      <c r="E2108" s="16" t="e">
        <f t="shared" si="1"/>
        <v>#N/A</v>
      </c>
      <c r="F2108" s="16" t="e">
        <f t="shared" ref="F2108:K2108" si="4246">VLOOKUP($A2108,[7]Hábitat!$A$2:$O$184,F$1,0)</f>
        <v>#N/A</v>
      </c>
      <c r="G2108" s="39" t="e">
        <f t="shared" si="4246"/>
        <v>#N/A</v>
      </c>
      <c r="H2108" s="16" t="e">
        <f t="shared" si="4246"/>
        <v>#N/A</v>
      </c>
      <c r="I2108" s="16" t="e">
        <f t="shared" si="4246"/>
        <v>#N/A</v>
      </c>
      <c r="J2108" s="40" t="e">
        <f t="shared" si="4246"/>
        <v>#N/A</v>
      </c>
      <c r="K2108" s="16" t="e">
        <f t="shared" si="4246"/>
        <v>#N/A</v>
      </c>
      <c r="L2108" s="40" t="e">
        <f t="shared" si="4233"/>
        <v>#N/A</v>
      </c>
      <c r="M2108" s="16" t="e">
        <f t="shared" si="4234"/>
        <v>#N/A</v>
      </c>
      <c r="N2108" s="16" t="e">
        <f t="shared" si="4235"/>
        <v>#N/A</v>
      </c>
      <c r="O2108" s="16" t="s">
        <v>71</v>
      </c>
      <c r="P2108" s="16" t="str">
        <f t="shared" si="6"/>
        <v/>
      </c>
      <c r="Q2108" s="41" t="e">
        <f t="shared" si="4236"/>
        <v>#N/A</v>
      </c>
      <c r="R2108" s="44"/>
      <c r="S2108" s="44"/>
      <c r="T2108" s="43"/>
      <c r="U2108" s="43" t="str">
        <f t="shared" si="8"/>
        <v>No</v>
      </c>
      <c r="V2108" s="25"/>
      <c r="W2108" s="25"/>
      <c r="X2108" s="25"/>
      <c r="Y2108" s="25"/>
      <c r="Z2108" s="25"/>
    </row>
    <row r="2109" spans="1:26" ht="15.75" customHeight="1" x14ac:dyDescent="0.25">
      <c r="A2109" s="25">
        <v>2107</v>
      </c>
      <c r="B2109" s="37" t="e">
        <f t="shared" ref="B2109:D2109" si="4247">VLOOKUP($A2109,[7]Hábitat!$A$2:$O$184,B$1,0)</f>
        <v>#N/A</v>
      </c>
      <c r="C2109" s="38" t="e">
        <f t="shared" si="4247"/>
        <v>#N/A</v>
      </c>
      <c r="D2109" s="39" t="e">
        <f t="shared" si="4247"/>
        <v>#N/A</v>
      </c>
      <c r="E2109" s="16" t="e">
        <f t="shared" si="1"/>
        <v>#N/A</v>
      </c>
      <c r="F2109" s="16" t="e">
        <f t="shared" ref="F2109:K2109" si="4248">VLOOKUP($A2109,[7]Hábitat!$A$2:$O$184,F$1,0)</f>
        <v>#N/A</v>
      </c>
      <c r="G2109" s="39" t="e">
        <f t="shared" si="4248"/>
        <v>#N/A</v>
      </c>
      <c r="H2109" s="16" t="e">
        <f t="shared" si="4248"/>
        <v>#N/A</v>
      </c>
      <c r="I2109" s="16" t="e">
        <f t="shared" si="4248"/>
        <v>#N/A</v>
      </c>
      <c r="J2109" s="40" t="e">
        <f t="shared" si="4248"/>
        <v>#N/A</v>
      </c>
      <c r="K2109" s="16" t="e">
        <f t="shared" si="4248"/>
        <v>#N/A</v>
      </c>
      <c r="L2109" s="40" t="e">
        <f t="shared" si="4233"/>
        <v>#N/A</v>
      </c>
      <c r="M2109" s="16" t="e">
        <f t="shared" si="4234"/>
        <v>#N/A</v>
      </c>
      <c r="N2109" s="16" t="e">
        <f t="shared" si="4235"/>
        <v>#N/A</v>
      </c>
      <c r="O2109" s="16" t="s">
        <v>71</v>
      </c>
      <c r="P2109" s="16" t="str">
        <f t="shared" si="6"/>
        <v/>
      </c>
      <c r="Q2109" s="41" t="e">
        <f t="shared" si="4236"/>
        <v>#N/A</v>
      </c>
      <c r="R2109" s="44"/>
      <c r="S2109" s="44"/>
      <c r="T2109" s="43"/>
      <c r="U2109" s="43" t="str">
        <f t="shared" si="8"/>
        <v>No</v>
      </c>
      <c r="V2109" s="25"/>
      <c r="W2109" s="25"/>
      <c r="X2109" s="25"/>
      <c r="Y2109" s="25"/>
      <c r="Z2109" s="25"/>
    </row>
    <row r="2110" spans="1:26" ht="15.75" customHeight="1" x14ac:dyDescent="0.25">
      <c r="A2110" s="25">
        <v>2108</v>
      </c>
      <c r="B2110" s="37" t="e">
        <f t="shared" ref="B2110:D2110" si="4249">VLOOKUP($A2110,[7]Hábitat!$A$2:$O$184,B$1,0)</f>
        <v>#N/A</v>
      </c>
      <c r="C2110" s="38" t="e">
        <f t="shared" si="4249"/>
        <v>#N/A</v>
      </c>
      <c r="D2110" s="39" t="e">
        <f t="shared" si="4249"/>
        <v>#N/A</v>
      </c>
      <c r="E2110" s="16" t="e">
        <f t="shared" si="1"/>
        <v>#N/A</v>
      </c>
      <c r="F2110" s="16" t="e">
        <f t="shared" ref="F2110:K2110" si="4250">VLOOKUP($A2110,[7]Hábitat!$A$2:$O$184,F$1,0)</f>
        <v>#N/A</v>
      </c>
      <c r="G2110" s="39" t="e">
        <f t="shared" si="4250"/>
        <v>#N/A</v>
      </c>
      <c r="H2110" s="16" t="e">
        <f t="shared" si="4250"/>
        <v>#N/A</v>
      </c>
      <c r="I2110" s="16" t="e">
        <f t="shared" si="4250"/>
        <v>#N/A</v>
      </c>
      <c r="J2110" s="40" t="e">
        <f t="shared" si="4250"/>
        <v>#N/A</v>
      </c>
      <c r="K2110" s="16" t="e">
        <f t="shared" si="4250"/>
        <v>#N/A</v>
      </c>
      <c r="L2110" s="40" t="e">
        <f t="shared" si="4233"/>
        <v>#N/A</v>
      </c>
      <c r="M2110" s="16" t="e">
        <f t="shared" si="4234"/>
        <v>#N/A</v>
      </c>
      <c r="N2110" s="16" t="e">
        <f t="shared" si="4235"/>
        <v>#N/A</v>
      </c>
      <c r="O2110" s="16" t="s">
        <v>71</v>
      </c>
      <c r="P2110" s="16" t="str">
        <f t="shared" si="6"/>
        <v/>
      </c>
      <c r="Q2110" s="41" t="e">
        <f t="shared" si="4236"/>
        <v>#N/A</v>
      </c>
      <c r="R2110" s="44"/>
      <c r="S2110" s="44"/>
      <c r="T2110" s="43"/>
      <c r="U2110" s="43" t="str">
        <f t="shared" si="8"/>
        <v>No</v>
      </c>
      <c r="V2110" s="25"/>
      <c r="W2110" s="25"/>
      <c r="X2110" s="25"/>
      <c r="Y2110" s="25"/>
      <c r="Z2110" s="25"/>
    </row>
    <row r="2111" spans="1:26" ht="15.75" customHeight="1" x14ac:dyDescent="0.25">
      <c r="A2111" s="25">
        <v>2109</v>
      </c>
      <c r="B2111" s="37" t="e">
        <f t="shared" ref="B2111:D2111" si="4251">VLOOKUP($A2111,[7]Hábitat!$A$2:$O$184,B$1,0)</f>
        <v>#N/A</v>
      </c>
      <c r="C2111" s="38" t="e">
        <f t="shared" si="4251"/>
        <v>#N/A</v>
      </c>
      <c r="D2111" s="39" t="e">
        <f t="shared" si="4251"/>
        <v>#N/A</v>
      </c>
      <c r="E2111" s="16" t="e">
        <f t="shared" si="1"/>
        <v>#N/A</v>
      </c>
      <c r="F2111" s="16" t="e">
        <f t="shared" ref="F2111:K2111" si="4252">VLOOKUP($A2111,[7]Hábitat!$A$2:$O$184,F$1,0)</f>
        <v>#N/A</v>
      </c>
      <c r="G2111" s="39" t="e">
        <f t="shared" si="4252"/>
        <v>#N/A</v>
      </c>
      <c r="H2111" s="16" t="e">
        <f t="shared" si="4252"/>
        <v>#N/A</v>
      </c>
      <c r="I2111" s="16" t="e">
        <f t="shared" si="4252"/>
        <v>#N/A</v>
      </c>
      <c r="J2111" s="40" t="e">
        <f t="shared" si="4252"/>
        <v>#N/A</v>
      </c>
      <c r="K2111" s="16" t="e">
        <f t="shared" si="4252"/>
        <v>#N/A</v>
      </c>
      <c r="L2111" s="40" t="e">
        <f t="shared" si="4233"/>
        <v>#N/A</v>
      </c>
      <c r="M2111" s="16" t="e">
        <f t="shared" si="4234"/>
        <v>#N/A</v>
      </c>
      <c r="N2111" s="16" t="e">
        <f t="shared" si="4235"/>
        <v>#N/A</v>
      </c>
      <c r="O2111" s="16" t="s">
        <v>71</v>
      </c>
      <c r="P2111" s="16" t="str">
        <f t="shared" si="6"/>
        <v/>
      </c>
      <c r="Q2111" s="41" t="e">
        <f t="shared" si="4236"/>
        <v>#N/A</v>
      </c>
      <c r="R2111" s="44"/>
      <c r="S2111" s="44"/>
      <c r="T2111" s="43"/>
      <c r="U2111" s="43" t="str">
        <f t="shared" si="8"/>
        <v>No</v>
      </c>
      <c r="V2111" s="25"/>
      <c r="W2111" s="25"/>
      <c r="X2111" s="25"/>
      <c r="Y2111" s="25"/>
      <c r="Z2111" s="25"/>
    </row>
    <row r="2112" spans="1:26" ht="15.75" customHeight="1" x14ac:dyDescent="0.25">
      <c r="A2112" s="25">
        <v>2110</v>
      </c>
      <c r="B2112" s="37" t="e">
        <f t="shared" ref="B2112:D2112" si="4253">VLOOKUP($A2112,[7]Hábitat!$A$2:$O$184,B$1,0)</f>
        <v>#N/A</v>
      </c>
      <c r="C2112" s="38" t="e">
        <f t="shared" si="4253"/>
        <v>#N/A</v>
      </c>
      <c r="D2112" s="39" t="e">
        <f t="shared" si="4253"/>
        <v>#N/A</v>
      </c>
      <c r="E2112" s="16" t="e">
        <f t="shared" si="1"/>
        <v>#N/A</v>
      </c>
      <c r="F2112" s="16" t="e">
        <f t="shared" ref="F2112:K2112" si="4254">VLOOKUP($A2112,[7]Hábitat!$A$2:$O$184,F$1,0)</f>
        <v>#N/A</v>
      </c>
      <c r="G2112" s="39" t="e">
        <f t="shared" si="4254"/>
        <v>#N/A</v>
      </c>
      <c r="H2112" s="16" t="e">
        <f t="shared" si="4254"/>
        <v>#N/A</v>
      </c>
      <c r="I2112" s="16" t="e">
        <f t="shared" si="4254"/>
        <v>#N/A</v>
      </c>
      <c r="J2112" s="40" t="e">
        <f t="shared" si="4254"/>
        <v>#N/A</v>
      </c>
      <c r="K2112" s="16" t="e">
        <f t="shared" si="4254"/>
        <v>#N/A</v>
      </c>
      <c r="L2112" s="40" t="e">
        <f t="shared" si="4233"/>
        <v>#N/A</v>
      </c>
      <c r="M2112" s="16" t="e">
        <f t="shared" si="4234"/>
        <v>#N/A</v>
      </c>
      <c r="N2112" s="16" t="e">
        <f t="shared" si="4235"/>
        <v>#N/A</v>
      </c>
      <c r="O2112" s="16" t="s">
        <v>71</v>
      </c>
      <c r="P2112" s="16" t="str">
        <f t="shared" si="6"/>
        <v/>
      </c>
      <c r="Q2112" s="41" t="e">
        <f t="shared" si="4236"/>
        <v>#N/A</v>
      </c>
      <c r="R2112" s="44"/>
      <c r="S2112" s="44"/>
      <c r="T2112" s="43"/>
      <c r="U2112" s="43" t="str">
        <f t="shared" si="8"/>
        <v>No</v>
      </c>
      <c r="V2112" s="25"/>
      <c r="W2112" s="25"/>
      <c r="X2112" s="25"/>
      <c r="Y2112" s="25"/>
      <c r="Z2112" s="25"/>
    </row>
    <row r="2113" spans="1:26" ht="15.75" customHeight="1" x14ac:dyDescent="0.25">
      <c r="A2113" s="25">
        <v>2111</v>
      </c>
      <c r="B2113" s="37" t="e">
        <f t="shared" ref="B2113:D2113" si="4255">VLOOKUP($A2113,[7]Hábitat!$A$2:$O$184,B$1,0)</f>
        <v>#N/A</v>
      </c>
      <c r="C2113" s="38" t="e">
        <f t="shared" si="4255"/>
        <v>#N/A</v>
      </c>
      <c r="D2113" s="39" t="e">
        <f t="shared" si="4255"/>
        <v>#N/A</v>
      </c>
      <c r="E2113" s="16" t="e">
        <f t="shared" si="1"/>
        <v>#N/A</v>
      </c>
      <c r="F2113" s="16" t="e">
        <f t="shared" ref="F2113:K2113" si="4256">VLOOKUP($A2113,[7]Hábitat!$A$2:$O$184,F$1,0)</f>
        <v>#N/A</v>
      </c>
      <c r="G2113" s="39" t="e">
        <f t="shared" si="4256"/>
        <v>#N/A</v>
      </c>
      <c r="H2113" s="16" t="e">
        <f t="shared" si="4256"/>
        <v>#N/A</v>
      </c>
      <c r="I2113" s="16" t="e">
        <f t="shared" si="4256"/>
        <v>#N/A</v>
      </c>
      <c r="J2113" s="40" t="e">
        <f t="shared" si="4256"/>
        <v>#N/A</v>
      </c>
      <c r="K2113" s="16" t="e">
        <f t="shared" si="4256"/>
        <v>#N/A</v>
      </c>
      <c r="L2113" s="40" t="e">
        <f t="shared" si="4233"/>
        <v>#N/A</v>
      </c>
      <c r="M2113" s="16" t="e">
        <f t="shared" si="4234"/>
        <v>#N/A</v>
      </c>
      <c r="N2113" s="16" t="e">
        <f t="shared" si="4235"/>
        <v>#N/A</v>
      </c>
      <c r="O2113" s="16" t="s">
        <v>71</v>
      </c>
      <c r="P2113" s="16" t="str">
        <f t="shared" si="6"/>
        <v/>
      </c>
      <c r="Q2113" s="41" t="e">
        <f t="shared" si="4236"/>
        <v>#N/A</v>
      </c>
      <c r="R2113" s="44"/>
      <c r="S2113" s="44"/>
      <c r="T2113" s="43"/>
      <c r="U2113" s="43" t="str">
        <f t="shared" si="8"/>
        <v>No</v>
      </c>
      <c r="V2113" s="25"/>
      <c r="W2113" s="25"/>
      <c r="X2113" s="25"/>
      <c r="Y2113" s="25"/>
      <c r="Z2113" s="25"/>
    </row>
    <row r="2114" spans="1:26" ht="15.75" customHeight="1" x14ac:dyDescent="0.25">
      <c r="A2114" s="25">
        <v>2112</v>
      </c>
      <c r="B2114" s="37" t="e">
        <f t="shared" ref="B2114:D2114" si="4257">VLOOKUP($A2114,[7]Hábitat!$A$2:$O$184,B$1,0)</f>
        <v>#N/A</v>
      </c>
      <c r="C2114" s="38" t="e">
        <f t="shared" si="4257"/>
        <v>#N/A</v>
      </c>
      <c r="D2114" s="39" t="e">
        <f t="shared" si="4257"/>
        <v>#N/A</v>
      </c>
      <c r="E2114" s="16" t="e">
        <f t="shared" si="1"/>
        <v>#N/A</v>
      </c>
      <c r="F2114" s="16" t="e">
        <f t="shared" ref="F2114:K2114" si="4258">VLOOKUP($A2114,[7]Hábitat!$A$2:$O$184,F$1,0)</f>
        <v>#N/A</v>
      </c>
      <c r="G2114" s="39" t="e">
        <f t="shared" si="4258"/>
        <v>#N/A</v>
      </c>
      <c r="H2114" s="16" t="e">
        <f t="shared" si="4258"/>
        <v>#N/A</v>
      </c>
      <c r="I2114" s="16" t="e">
        <f t="shared" si="4258"/>
        <v>#N/A</v>
      </c>
      <c r="J2114" s="40" t="e">
        <f t="shared" si="4258"/>
        <v>#N/A</v>
      </c>
      <c r="K2114" s="16" t="e">
        <f t="shared" si="4258"/>
        <v>#N/A</v>
      </c>
      <c r="L2114" s="40" t="e">
        <f t="shared" si="4233"/>
        <v>#N/A</v>
      </c>
      <c r="M2114" s="16" t="e">
        <f t="shared" si="4234"/>
        <v>#N/A</v>
      </c>
      <c r="N2114" s="16" t="e">
        <f t="shared" si="4235"/>
        <v>#N/A</v>
      </c>
      <c r="O2114" s="16" t="s">
        <v>71</v>
      </c>
      <c r="P2114" s="16" t="str">
        <f t="shared" si="6"/>
        <v/>
      </c>
      <c r="Q2114" s="41" t="e">
        <f t="shared" si="4236"/>
        <v>#N/A</v>
      </c>
      <c r="R2114" s="44"/>
      <c r="S2114" s="44"/>
      <c r="T2114" s="43"/>
      <c r="U2114" s="43" t="str">
        <f t="shared" si="8"/>
        <v>No</v>
      </c>
      <c r="V2114" s="25"/>
      <c r="W2114" s="25"/>
      <c r="X2114" s="25"/>
      <c r="Y2114" s="25"/>
      <c r="Z2114" s="25"/>
    </row>
    <row r="2115" spans="1:26" ht="15.75" customHeight="1" x14ac:dyDescent="0.25">
      <c r="A2115" s="25">
        <v>2113</v>
      </c>
      <c r="B2115" s="37" t="e">
        <f t="shared" ref="B2115:D2115" si="4259">VLOOKUP($A2115,[7]Hábitat!$A$2:$O$184,B$1,0)</f>
        <v>#N/A</v>
      </c>
      <c r="C2115" s="38" t="e">
        <f t="shared" si="4259"/>
        <v>#N/A</v>
      </c>
      <c r="D2115" s="39" t="e">
        <f t="shared" si="4259"/>
        <v>#N/A</v>
      </c>
      <c r="E2115" s="16" t="e">
        <f t="shared" si="1"/>
        <v>#N/A</v>
      </c>
      <c r="F2115" s="16" t="e">
        <f t="shared" ref="F2115:K2115" si="4260">VLOOKUP($A2115,[7]Hábitat!$A$2:$O$184,F$1,0)</f>
        <v>#N/A</v>
      </c>
      <c r="G2115" s="39" t="e">
        <f t="shared" si="4260"/>
        <v>#N/A</v>
      </c>
      <c r="H2115" s="16" t="e">
        <f t="shared" si="4260"/>
        <v>#N/A</v>
      </c>
      <c r="I2115" s="16" t="e">
        <f t="shared" si="4260"/>
        <v>#N/A</v>
      </c>
      <c r="J2115" s="40" t="e">
        <f t="shared" si="4260"/>
        <v>#N/A</v>
      </c>
      <c r="K2115" s="16" t="e">
        <f t="shared" si="4260"/>
        <v>#N/A</v>
      </c>
      <c r="L2115" s="40" t="e">
        <f t="shared" si="4233"/>
        <v>#N/A</v>
      </c>
      <c r="M2115" s="16" t="e">
        <f t="shared" si="4234"/>
        <v>#N/A</v>
      </c>
      <c r="N2115" s="16" t="e">
        <f t="shared" si="4235"/>
        <v>#N/A</v>
      </c>
      <c r="O2115" s="16" t="s">
        <v>71</v>
      </c>
      <c r="P2115" s="16" t="str">
        <f t="shared" si="6"/>
        <v/>
      </c>
      <c r="Q2115" s="41" t="e">
        <f t="shared" si="4236"/>
        <v>#N/A</v>
      </c>
      <c r="R2115" s="44"/>
      <c r="S2115" s="44"/>
      <c r="T2115" s="43"/>
      <c r="U2115" s="43" t="str">
        <f t="shared" si="8"/>
        <v>No</v>
      </c>
      <c r="V2115" s="25"/>
      <c r="W2115" s="25"/>
      <c r="X2115" s="25"/>
      <c r="Y2115" s="25"/>
      <c r="Z2115" s="25"/>
    </row>
    <row r="2116" spans="1:26" ht="15.75" customHeight="1" x14ac:dyDescent="0.25">
      <c r="A2116" s="25">
        <v>2114</v>
      </c>
      <c r="B2116" s="37" t="e">
        <f t="shared" ref="B2116:D2116" si="4261">VLOOKUP($A2116,[7]Hábitat!$A$2:$O$184,B$1,0)</f>
        <v>#N/A</v>
      </c>
      <c r="C2116" s="38" t="e">
        <f t="shared" si="4261"/>
        <v>#N/A</v>
      </c>
      <c r="D2116" s="39" t="e">
        <f t="shared" si="4261"/>
        <v>#N/A</v>
      </c>
      <c r="E2116" s="16" t="e">
        <f t="shared" si="1"/>
        <v>#N/A</v>
      </c>
      <c r="F2116" s="16" t="e">
        <f t="shared" ref="F2116:K2116" si="4262">VLOOKUP($A2116,[7]Hábitat!$A$2:$O$184,F$1,0)</f>
        <v>#N/A</v>
      </c>
      <c r="G2116" s="39" t="e">
        <f t="shared" si="4262"/>
        <v>#N/A</v>
      </c>
      <c r="H2116" s="16" t="e">
        <f t="shared" si="4262"/>
        <v>#N/A</v>
      </c>
      <c r="I2116" s="16" t="e">
        <f t="shared" si="4262"/>
        <v>#N/A</v>
      </c>
      <c r="J2116" s="40" t="e">
        <f t="shared" si="4262"/>
        <v>#N/A</v>
      </c>
      <c r="K2116" s="16" t="e">
        <f t="shared" si="4262"/>
        <v>#N/A</v>
      </c>
      <c r="L2116" s="40" t="e">
        <f t="shared" si="4233"/>
        <v>#N/A</v>
      </c>
      <c r="M2116" s="16" t="e">
        <f t="shared" si="4234"/>
        <v>#N/A</v>
      </c>
      <c r="N2116" s="16" t="e">
        <f t="shared" si="4235"/>
        <v>#N/A</v>
      </c>
      <c r="O2116" s="16" t="s">
        <v>71</v>
      </c>
      <c r="P2116" s="16" t="str">
        <f t="shared" si="6"/>
        <v/>
      </c>
      <c r="Q2116" s="41" t="e">
        <f t="shared" si="4236"/>
        <v>#N/A</v>
      </c>
      <c r="R2116" s="44"/>
      <c r="S2116" s="44"/>
      <c r="T2116" s="43"/>
      <c r="U2116" s="43" t="str">
        <f t="shared" si="8"/>
        <v>No</v>
      </c>
      <c r="V2116" s="25"/>
      <c r="W2116" s="25"/>
      <c r="X2116" s="25"/>
      <c r="Y2116" s="25"/>
      <c r="Z2116" s="25"/>
    </row>
    <row r="2117" spans="1:26" ht="15.75" customHeight="1" x14ac:dyDescent="0.25">
      <c r="A2117" s="25">
        <v>2115</v>
      </c>
      <c r="B2117" s="37" t="e">
        <f t="shared" ref="B2117:D2117" si="4263">VLOOKUP($A2117,[7]Hábitat!$A$2:$O$184,B$1,0)</f>
        <v>#N/A</v>
      </c>
      <c r="C2117" s="38" t="e">
        <f t="shared" si="4263"/>
        <v>#N/A</v>
      </c>
      <c r="D2117" s="39" t="e">
        <f t="shared" si="4263"/>
        <v>#N/A</v>
      </c>
      <c r="E2117" s="16" t="e">
        <f t="shared" si="1"/>
        <v>#N/A</v>
      </c>
      <c r="F2117" s="16" t="e">
        <f t="shared" ref="F2117:K2117" si="4264">VLOOKUP($A2117,[7]Hábitat!$A$2:$O$184,F$1,0)</f>
        <v>#N/A</v>
      </c>
      <c r="G2117" s="39" t="e">
        <f t="shared" si="4264"/>
        <v>#N/A</v>
      </c>
      <c r="H2117" s="16" t="e">
        <f t="shared" si="4264"/>
        <v>#N/A</v>
      </c>
      <c r="I2117" s="16" t="e">
        <f t="shared" si="4264"/>
        <v>#N/A</v>
      </c>
      <c r="J2117" s="40" t="e">
        <f t="shared" si="4264"/>
        <v>#N/A</v>
      </c>
      <c r="K2117" s="16" t="e">
        <f t="shared" si="4264"/>
        <v>#N/A</v>
      </c>
      <c r="L2117" s="40" t="e">
        <f t="shared" si="4233"/>
        <v>#N/A</v>
      </c>
      <c r="M2117" s="16" t="e">
        <f t="shared" si="4234"/>
        <v>#N/A</v>
      </c>
      <c r="N2117" s="16" t="e">
        <f t="shared" si="4235"/>
        <v>#N/A</v>
      </c>
      <c r="O2117" s="16" t="s">
        <v>71</v>
      </c>
      <c r="P2117" s="16" t="str">
        <f t="shared" si="6"/>
        <v/>
      </c>
      <c r="Q2117" s="41" t="e">
        <f t="shared" si="4236"/>
        <v>#N/A</v>
      </c>
      <c r="R2117" s="44"/>
      <c r="S2117" s="44"/>
      <c r="T2117" s="43"/>
      <c r="U2117" s="43" t="str">
        <f t="shared" si="8"/>
        <v>No</v>
      </c>
      <c r="V2117" s="25"/>
      <c r="W2117" s="25"/>
      <c r="X2117" s="25"/>
      <c r="Y2117" s="25"/>
      <c r="Z2117" s="25"/>
    </row>
    <row r="2118" spans="1:26" ht="15.75" customHeight="1" x14ac:dyDescent="0.25">
      <c r="A2118" s="25">
        <v>2116</v>
      </c>
      <c r="B2118" s="37" t="e">
        <f t="shared" ref="B2118:D2118" si="4265">VLOOKUP($A2118,[7]Hábitat!$A$2:$O$184,B$1,0)</f>
        <v>#N/A</v>
      </c>
      <c r="C2118" s="38" t="e">
        <f t="shared" si="4265"/>
        <v>#N/A</v>
      </c>
      <c r="D2118" s="39" t="e">
        <f t="shared" si="4265"/>
        <v>#N/A</v>
      </c>
      <c r="E2118" s="16" t="e">
        <f t="shared" si="1"/>
        <v>#N/A</v>
      </c>
      <c r="F2118" s="16" t="e">
        <f t="shared" ref="F2118:K2118" si="4266">VLOOKUP($A2118,[7]Hábitat!$A$2:$O$184,F$1,0)</f>
        <v>#N/A</v>
      </c>
      <c r="G2118" s="39" t="e">
        <f t="shared" si="4266"/>
        <v>#N/A</v>
      </c>
      <c r="H2118" s="16" t="e">
        <f t="shared" si="4266"/>
        <v>#N/A</v>
      </c>
      <c r="I2118" s="16" t="e">
        <f t="shared" si="4266"/>
        <v>#N/A</v>
      </c>
      <c r="J2118" s="40" t="e">
        <f t="shared" si="4266"/>
        <v>#N/A</v>
      </c>
      <c r="K2118" s="16" t="e">
        <f t="shared" si="4266"/>
        <v>#N/A</v>
      </c>
      <c r="L2118" s="40" t="e">
        <f t="shared" si="4233"/>
        <v>#N/A</v>
      </c>
      <c r="M2118" s="16" t="e">
        <f t="shared" si="4234"/>
        <v>#N/A</v>
      </c>
      <c r="N2118" s="16" t="e">
        <f t="shared" si="4235"/>
        <v>#N/A</v>
      </c>
      <c r="O2118" s="16" t="s">
        <v>71</v>
      </c>
      <c r="P2118" s="16" t="str">
        <f t="shared" si="6"/>
        <v/>
      </c>
      <c r="Q2118" s="41" t="e">
        <f t="shared" si="4236"/>
        <v>#N/A</v>
      </c>
      <c r="R2118" s="44"/>
      <c r="S2118" s="44"/>
      <c r="T2118" s="43"/>
      <c r="U2118" s="43" t="str">
        <f t="shared" si="8"/>
        <v>No</v>
      </c>
      <c r="V2118" s="25"/>
      <c r="W2118" s="25"/>
      <c r="X2118" s="25"/>
      <c r="Y2118" s="25"/>
      <c r="Z2118" s="25"/>
    </row>
    <row r="2119" spans="1:26" ht="15.75" customHeight="1" x14ac:dyDescent="0.25">
      <c r="A2119" s="25">
        <v>2117</v>
      </c>
      <c r="B2119" s="37" t="e">
        <f t="shared" ref="B2119:D2119" si="4267">VLOOKUP($A2119,[7]Hábitat!$A$2:$O$184,B$1,0)</f>
        <v>#N/A</v>
      </c>
      <c r="C2119" s="38" t="e">
        <f t="shared" si="4267"/>
        <v>#N/A</v>
      </c>
      <c r="D2119" s="39" t="e">
        <f t="shared" si="4267"/>
        <v>#N/A</v>
      </c>
      <c r="E2119" s="16" t="e">
        <f t="shared" si="1"/>
        <v>#N/A</v>
      </c>
      <c r="F2119" s="16" t="e">
        <f t="shared" ref="F2119:K2119" si="4268">VLOOKUP($A2119,[7]Hábitat!$A$2:$O$184,F$1,0)</f>
        <v>#N/A</v>
      </c>
      <c r="G2119" s="39" t="e">
        <f t="shared" si="4268"/>
        <v>#N/A</v>
      </c>
      <c r="H2119" s="16" t="e">
        <f t="shared" si="4268"/>
        <v>#N/A</v>
      </c>
      <c r="I2119" s="16" t="e">
        <f t="shared" si="4268"/>
        <v>#N/A</v>
      </c>
      <c r="J2119" s="40" t="e">
        <f t="shared" si="4268"/>
        <v>#N/A</v>
      </c>
      <c r="K2119" s="16" t="e">
        <f t="shared" si="4268"/>
        <v>#N/A</v>
      </c>
      <c r="L2119" s="40" t="e">
        <f t="shared" si="4233"/>
        <v>#N/A</v>
      </c>
      <c r="M2119" s="16" t="e">
        <f t="shared" si="4234"/>
        <v>#N/A</v>
      </c>
      <c r="N2119" s="16" t="e">
        <f t="shared" si="4235"/>
        <v>#N/A</v>
      </c>
      <c r="O2119" s="16" t="s">
        <v>71</v>
      </c>
      <c r="P2119" s="16" t="str">
        <f t="shared" si="6"/>
        <v/>
      </c>
      <c r="Q2119" s="41" t="e">
        <f t="shared" si="4236"/>
        <v>#N/A</v>
      </c>
      <c r="R2119" s="44"/>
      <c r="S2119" s="44"/>
      <c r="T2119" s="43"/>
      <c r="U2119" s="43" t="str">
        <f t="shared" si="8"/>
        <v>No</v>
      </c>
      <c r="V2119" s="25"/>
      <c r="W2119" s="25"/>
      <c r="X2119" s="25"/>
      <c r="Y2119" s="25"/>
      <c r="Z2119" s="25"/>
    </row>
    <row r="2120" spans="1:26" ht="15.75" customHeight="1" x14ac:dyDescent="0.25">
      <c r="A2120" s="25">
        <v>2118</v>
      </c>
      <c r="B2120" s="37" t="e">
        <f t="shared" ref="B2120:D2120" si="4269">VLOOKUP($A2120,[7]Hábitat!$A$2:$O$184,B$1,0)</f>
        <v>#N/A</v>
      </c>
      <c r="C2120" s="38" t="e">
        <f t="shared" si="4269"/>
        <v>#N/A</v>
      </c>
      <c r="D2120" s="39" t="e">
        <f t="shared" si="4269"/>
        <v>#N/A</v>
      </c>
      <c r="E2120" s="16" t="e">
        <f t="shared" si="1"/>
        <v>#N/A</v>
      </c>
      <c r="F2120" s="16" t="e">
        <f t="shared" ref="F2120:K2120" si="4270">VLOOKUP($A2120,[7]Hábitat!$A$2:$O$184,F$1,0)</f>
        <v>#N/A</v>
      </c>
      <c r="G2120" s="39" t="e">
        <f t="shared" si="4270"/>
        <v>#N/A</v>
      </c>
      <c r="H2120" s="16" t="e">
        <f t="shared" si="4270"/>
        <v>#N/A</v>
      </c>
      <c r="I2120" s="16" t="e">
        <f t="shared" si="4270"/>
        <v>#N/A</v>
      </c>
      <c r="J2120" s="40" t="e">
        <f t="shared" si="4270"/>
        <v>#N/A</v>
      </c>
      <c r="K2120" s="16" t="e">
        <f t="shared" si="4270"/>
        <v>#N/A</v>
      </c>
      <c r="L2120" s="40" t="e">
        <f t="shared" si="4233"/>
        <v>#N/A</v>
      </c>
      <c r="M2120" s="16" t="e">
        <f t="shared" si="4234"/>
        <v>#N/A</v>
      </c>
      <c r="N2120" s="16" t="e">
        <f t="shared" si="4235"/>
        <v>#N/A</v>
      </c>
      <c r="O2120" s="16" t="s">
        <v>71</v>
      </c>
      <c r="P2120" s="16" t="str">
        <f t="shared" si="6"/>
        <v/>
      </c>
      <c r="Q2120" s="41" t="e">
        <f t="shared" si="4236"/>
        <v>#N/A</v>
      </c>
      <c r="R2120" s="44"/>
      <c r="S2120" s="44"/>
      <c r="T2120" s="43"/>
      <c r="U2120" s="43" t="str">
        <f t="shared" si="8"/>
        <v>No</v>
      </c>
      <c r="V2120" s="25"/>
      <c r="W2120" s="25"/>
      <c r="X2120" s="25"/>
      <c r="Y2120" s="25"/>
      <c r="Z2120" s="25"/>
    </row>
    <row r="2121" spans="1:26" ht="15.75" customHeight="1" x14ac:dyDescent="0.25">
      <c r="A2121" s="25">
        <v>2119</v>
      </c>
      <c r="B2121" s="37" t="e">
        <f t="shared" ref="B2121:D2121" si="4271">VLOOKUP($A2121,[7]Hábitat!$A$2:$O$184,B$1,0)</f>
        <v>#N/A</v>
      </c>
      <c r="C2121" s="38" t="e">
        <f t="shared" si="4271"/>
        <v>#N/A</v>
      </c>
      <c r="D2121" s="39" t="e">
        <f t="shared" si="4271"/>
        <v>#N/A</v>
      </c>
      <c r="E2121" s="16" t="e">
        <f t="shared" si="1"/>
        <v>#N/A</v>
      </c>
      <c r="F2121" s="16" t="e">
        <f t="shared" ref="F2121:K2121" si="4272">VLOOKUP($A2121,[7]Hábitat!$A$2:$O$184,F$1,0)</f>
        <v>#N/A</v>
      </c>
      <c r="G2121" s="39" t="e">
        <f t="shared" si="4272"/>
        <v>#N/A</v>
      </c>
      <c r="H2121" s="16" t="e">
        <f t="shared" si="4272"/>
        <v>#N/A</v>
      </c>
      <c r="I2121" s="16" t="e">
        <f t="shared" si="4272"/>
        <v>#N/A</v>
      </c>
      <c r="J2121" s="40" t="e">
        <f t="shared" si="4272"/>
        <v>#N/A</v>
      </c>
      <c r="K2121" s="16" t="e">
        <f t="shared" si="4272"/>
        <v>#N/A</v>
      </c>
      <c r="L2121" s="40" t="e">
        <f t="shared" si="4233"/>
        <v>#N/A</v>
      </c>
      <c r="M2121" s="16" t="e">
        <f t="shared" si="4234"/>
        <v>#N/A</v>
      </c>
      <c r="N2121" s="16" t="e">
        <f t="shared" si="4235"/>
        <v>#N/A</v>
      </c>
      <c r="O2121" s="16" t="s">
        <v>71</v>
      </c>
      <c r="P2121" s="16" t="str">
        <f t="shared" si="6"/>
        <v/>
      </c>
      <c r="Q2121" s="41" t="e">
        <f t="shared" si="4236"/>
        <v>#N/A</v>
      </c>
      <c r="R2121" s="44"/>
      <c r="S2121" s="44"/>
      <c r="T2121" s="43"/>
      <c r="U2121" s="43" t="str">
        <f t="shared" si="8"/>
        <v>No</v>
      </c>
      <c r="V2121" s="25"/>
      <c r="W2121" s="25"/>
      <c r="X2121" s="25"/>
      <c r="Y2121" s="25"/>
      <c r="Z2121" s="25"/>
    </row>
    <row r="2122" spans="1:26" ht="15.75" customHeight="1" x14ac:dyDescent="0.25">
      <c r="A2122" s="25">
        <v>2120</v>
      </c>
      <c r="B2122" s="37" t="e">
        <f t="shared" ref="B2122:D2122" si="4273">VLOOKUP($A2122,[7]Hábitat!$A$2:$O$184,B$1,0)</f>
        <v>#N/A</v>
      </c>
      <c r="C2122" s="38" t="e">
        <f t="shared" si="4273"/>
        <v>#N/A</v>
      </c>
      <c r="D2122" s="39" t="e">
        <f t="shared" si="4273"/>
        <v>#N/A</v>
      </c>
      <c r="E2122" s="16" t="e">
        <f t="shared" si="1"/>
        <v>#N/A</v>
      </c>
      <c r="F2122" s="16" t="e">
        <f t="shared" ref="F2122:K2122" si="4274">VLOOKUP($A2122,[7]Hábitat!$A$2:$O$184,F$1,0)</f>
        <v>#N/A</v>
      </c>
      <c r="G2122" s="39" t="e">
        <f t="shared" si="4274"/>
        <v>#N/A</v>
      </c>
      <c r="H2122" s="16" t="e">
        <f t="shared" si="4274"/>
        <v>#N/A</v>
      </c>
      <c r="I2122" s="16" t="e">
        <f t="shared" si="4274"/>
        <v>#N/A</v>
      </c>
      <c r="J2122" s="40" t="e">
        <f t="shared" si="4274"/>
        <v>#N/A</v>
      </c>
      <c r="K2122" s="16" t="e">
        <f t="shared" si="4274"/>
        <v>#N/A</v>
      </c>
      <c r="L2122" s="40" t="e">
        <f t="shared" si="4233"/>
        <v>#N/A</v>
      </c>
      <c r="M2122" s="16" t="e">
        <f t="shared" si="4234"/>
        <v>#N/A</v>
      </c>
      <c r="N2122" s="16" t="e">
        <f t="shared" si="4235"/>
        <v>#N/A</v>
      </c>
      <c r="O2122" s="16" t="s">
        <v>71</v>
      </c>
      <c r="P2122" s="16" t="str">
        <f t="shared" si="6"/>
        <v/>
      </c>
      <c r="Q2122" s="41" t="e">
        <f t="shared" si="4236"/>
        <v>#N/A</v>
      </c>
      <c r="R2122" s="44"/>
      <c r="S2122" s="44"/>
      <c r="T2122" s="43"/>
      <c r="U2122" s="43" t="str">
        <f t="shared" si="8"/>
        <v>No</v>
      </c>
      <c r="V2122" s="25"/>
      <c r="W2122" s="25"/>
      <c r="X2122" s="25"/>
      <c r="Y2122" s="25"/>
      <c r="Z2122" s="25"/>
    </row>
    <row r="2123" spans="1:26" ht="15.75" customHeight="1" x14ac:dyDescent="0.25">
      <c r="A2123" s="25">
        <v>2121</v>
      </c>
      <c r="B2123" s="37" t="e">
        <f t="shared" ref="B2123:D2123" si="4275">VLOOKUP($A2123,[7]Hábitat!$A$2:$O$184,B$1,0)</f>
        <v>#N/A</v>
      </c>
      <c r="C2123" s="38" t="e">
        <f t="shared" si="4275"/>
        <v>#N/A</v>
      </c>
      <c r="D2123" s="39" t="e">
        <f t="shared" si="4275"/>
        <v>#N/A</v>
      </c>
      <c r="E2123" s="16" t="e">
        <f t="shared" si="1"/>
        <v>#N/A</v>
      </c>
      <c r="F2123" s="16" t="e">
        <f t="shared" ref="F2123:K2123" si="4276">VLOOKUP($A2123,[7]Hábitat!$A$2:$O$184,F$1,0)</f>
        <v>#N/A</v>
      </c>
      <c r="G2123" s="39" t="e">
        <f t="shared" si="4276"/>
        <v>#N/A</v>
      </c>
      <c r="H2123" s="16" t="e">
        <f t="shared" si="4276"/>
        <v>#N/A</v>
      </c>
      <c r="I2123" s="16" t="e">
        <f t="shared" si="4276"/>
        <v>#N/A</v>
      </c>
      <c r="J2123" s="40" t="e">
        <f t="shared" si="4276"/>
        <v>#N/A</v>
      </c>
      <c r="K2123" s="16" t="e">
        <f t="shared" si="4276"/>
        <v>#N/A</v>
      </c>
      <c r="L2123" s="40" t="e">
        <f t="shared" si="4233"/>
        <v>#N/A</v>
      </c>
      <c r="M2123" s="16" t="e">
        <f t="shared" si="4234"/>
        <v>#N/A</v>
      </c>
      <c r="N2123" s="16" t="e">
        <f t="shared" si="4235"/>
        <v>#N/A</v>
      </c>
      <c r="O2123" s="16" t="s">
        <v>71</v>
      </c>
      <c r="P2123" s="16" t="str">
        <f t="shared" si="6"/>
        <v/>
      </c>
      <c r="Q2123" s="41" t="e">
        <f t="shared" si="4236"/>
        <v>#N/A</v>
      </c>
      <c r="R2123" s="44"/>
      <c r="S2123" s="44"/>
      <c r="T2123" s="43"/>
      <c r="U2123" s="43" t="str">
        <f t="shared" si="8"/>
        <v>No</v>
      </c>
      <c r="V2123" s="25"/>
      <c r="W2123" s="25"/>
      <c r="X2123" s="25"/>
      <c r="Y2123" s="25"/>
      <c r="Z2123" s="25"/>
    </row>
    <row r="2124" spans="1:26" ht="15.75" customHeight="1" x14ac:dyDescent="0.25">
      <c r="A2124" s="25">
        <v>2122</v>
      </c>
      <c r="B2124" s="37" t="e">
        <f t="shared" ref="B2124:D2124" si="4277">VLOOKUP($A2124,[7]Hábitat!$A$2:$O$184,B$1,0)</f>
        <v>#N/A</v>
      </c>
      <c r="C2124" s="38" t="e">
        <f t="shared" si="4277"/>
        <v>#N/A</v>
      </c>
      <c r="D2124" s="39" t="e">
        <f t="shared" si="4277"/>
        <v>#N/A</v>
      </c>
      <c r="E2124" s="16" t="e">
        <f t="shared" si="1"/>
        <v>#N/A</v>
      </c>
      <c r="F2124" s="16" t="e">
        <f t="shared" ref="F2124:K2124" si="4278">VLOOKUP($A2124,[7]Hábitat!$A$2:$O$184,F$1,0)</f>
        <v>#N/A</v>
      </c>
      <c r="G2124" s="39" t="e">
        <f t="shared" si="4278"/>
        <v>#N/A</v>
      </c>
      <c r="H2124" s="16" t="e">
        <f t="shared" si="4278"/>
        <v>#N/A</v>
      </c>
      <c r="I2124" s="16" t="e">
        <f t="shared" si="4278"/>
        <v>#N/A</v>
      </c>
      <c r="J2124" s="40" t="e">
        <f t="shared" si="4278"/>
        <v>#N/A</v>
      </c>
      <c r="K2124" s="16" t="e">
        <f t="shared" si="4278"/>
        <v>#N/A</v>
      </c>
      <c r="L2124" s="40" t="e">
        <f t="shared" si="4233"/>
        <v>#N/A</v>
      </c>
      <c r="M2124" s="16" t="e">
        <f t="shared" si="4234"/>
        <v>#N/A</v>
      </c>
      <c r="N2124" s="16" t="e">
        <f t="shared" si="4235"/>
        <v>#N/A</v>
      </c>
      <c r="O2124" s="16" t="s">
        <v>71</v>
      </c>
      <c r="P2124" s="16" t="str">
        <f t="shared" si="6"/>
        <v/>
      </c>
      <c r="Q2124" s="41" t="e">
        <f t="shared" si="4236"/>
        <v>#N/A</v>
      </c>
      <c r="R2124" s="44"/>
      <c r="S2124" s="44"/>
      <c r="T2124" s="43"/>
      <c r="U2124" s="43" t="str">
        <f t="shared" si="8"/>
        <v>No</v>
      </c>
      <c r="V2124" s="25"/>
      <c r="W2124" s="25"/>
      <c r="X2124" s="25"/>
      <c r="Y2124" s="25"/>
      <c r="Z2124" s="25"/>
    </row>
    <row r="2125" spans="1:26" ht="15.75" customHeight="1" x14ac:dyDescent="0.25">
      <c r="A2125" s="25">
        <v>2123</v>
      </c>
      <c r="B2125" s="37" t="e">
        <f t="shared" ref="B2125:D2125" si="4279">VLOOKUP($A2125,[7]Hábitat!$A$2:$O$184,B$1,0)</f>
        <v>#N/A</v>
      </c>
      <c r="C2125" s="38" t="e">
        <f t="shared" si="4279"/>
        <v>#N/A</v>
      </c>
      <c r="D2125" s="39" t="e">
        <f t="shared" si="4279"/>
        <v>#N/A</v>
      </c>
      <c r="E2125" s="16" t="e">
        <f t="shared" si="1"/>
        <v>#N/A</v>
      </c>
      <c r="F2125" s="16" t="e">
        <f t="shared" ref="F2125:K2125" si="4280">VLOOKUP($A2125,[7]Hábitat!$A$2:$O$184,F$1,0)</f>
        <v>#N/A</v>
      </c>
      <c r="G2125" s="39" t="e">
        <f t="shared" si="4280"/>
        <v>#N/A</v>
      </c>
      <c r="H2125" s="16" t="e">
        <f t="shared" si="4280"/>
        <v>#N/A</v>
      </c>
      <c r="I2125" s="16" t="e">
        <f t="shared" si="4280"/>
        <v>#N/A</v>
      </c>
      <c r="J2125" s="40" t="e">
        <f t="shared" si="4280"/>
        <v>#N/A</v>
      </c>
      <c r="K2125" s="16" t="e">
        <f t="shared" si="4280"/>
        <v>#N/A</v>
      </c>
      <c r="L2125" s="40" t="e">
        <f t="shared" si="4233"/>
        <v>#N/A</v>
      </c>
      <c r="M2125" s="16" t="e">
        <f t="shared" si="4234"/>
        <v>#N/A</v>
      </c>
      <c r="N2125" s="16" t="e">
        <f t="shared" si="4235"/>
        <v>#N/A</v>
      </c>
      <c r="O2125" s="16" t="s">
        <v>71</v>
      </c>
      <c r="P2125" s="16" t="str">
        <f t="shared" si="6"/>
        <v/>
      </c>
      <c r="Q2125" s="41" t="e">
        <f t="shared" si="4236"/>
        <v>#N/A</v>
      </c>
      <c r="R2125" s="44"/>
      <c r="S2125" s="44"/>
      <c r="T2125" s="43"/>
      <c r="U2125" s="43" t="str">
        <f t="shared" si="8"/>
        <v>No</v>
      </c>
      <c r="V2125" s="25"/>
      <c r="W2125" s="25"/>
      <c r="X2125" s="25"/>
      <c r="Y2125" s="25"/>
      <c r="Z2125" s="25"/>
    </row>
    <row r="2126" spans="1:26" ht="15.75" customHeight="1" x14ac:dyDescent="0.25">
      <c r="A2126" s="25">
        <v>2124</v>
      </c>
      <c r="B2126" s="37" t="e">
        <f t="shared" ref="B2126:D2126" si="4281">VLOOKUP($A2126,[7]Hábitat!$A$2:$O$184,B$1,0)</f>
        <v>#N/A</v>
      </c>
      <c r="C2126" s="38" t="e">
        <f t="shared" si="4281"/>
        <v>#N/A</v>
      </c>
      <c r="D2126" s="39" t="e">
        <f t="shared" si="4281"/>
        <v>#N/A</v>
      </c>
      <c r="E2126" s="16" t="e">
        <f t="shared" si="1"/>
        <v>#N/A</v>
      </c>
      <c r="F2126" s="16" t="e">
        <f t="shared" ref="F2126:K2126" si="4282">VLOOKUP($A2126,[7]Hábitat!$A$2:$O$184,F$1,0)</f>
        <v>#N/A</v>
      </c>
      <c r="G2126" s="39" t="e">
        <f t="shared" si="4282"/>
        <v>#N/A</v>
      </c>
      <c r="H2126" s="16" t="e">
        <f t="shared" si="4282"/>
        <v>#N/A</v>
      </c>
      <c r="I2126" s="16" t="e">
        <f t="shared" si="4282"/>
        <v>#N/A</v>
      </c>
      <c r="J2126" s="40" t="e">
        <f t="shared" si="4282"/>
        <v>#N/A</v>
      </c>
      <c r="K2126" s="16" t="e">
        <f t="shared" si="4282"/>
        <v>#N/A</v>
      </c>
      <c r="L2126" s="40" t="e">
        <f t="shared" si="4233"/>
        <v>#N/A</v>
      </c>
      <c r="M2126" s="16" t="e">
        <f t="shared" si="4234"/>
        <v>#N/A</v>
      </c>
      <c r="N2126" s="16" t="e">
        <f t="shared" si="4235"/>
        <v>#N/A</v>
      </c>
      <c r="O2126" s="16" t="s">
        <v>71</v>
      </c>
      <c r="P2126" s="16" t="str">
        <f t="shared" si="6"/>
        <v/>
      </c>
      <c r="Q2126" s="41" t="e">
        <f t="shared" si="4236"/>
        <v>#N/A</v>
      </c>
      <c r="R2126" s="44"/>
      <c r="S2126" s="44"/>
      <c r="T2126" s="43"/>
      <c r="U2126" s="43" t="str">
        <f t="shared" si="8"/>
        <v>No</v>
      </c>
      <c r="V2126" s="25"/>
      <c r="W2126" s="25"/>
      <c r="X2126" s="25"/>
      <c r="Y2126" s="25"/>
      <c r="Z2126" s="25"/>
    </row>
    <row r="2127" spans="1:26" ht="15.75" customHeight="1" x14ac:dyDescent="0.25">
      <c r="A2127" s="25">
        <v>2125</v>
      </c>
      <c r="B2127" s="37" t="e">
        <f t="shared" ref="B2127:D2127" si="4283">VLOOKUP($A2127,[7]Hábitat!$A$2:$O$184,B$1,0)</f>
        <v>#N/A</v>
      </c>
      <c r="C2127" s="38" t="e">
        <f t="shared" si="4283"/>
        <v>#N/A</v>
      </c>
      <c r="D2127" s="39" t="e">
        <f t="shared" si="4283"/>
        <v>#N/A</v>
      </c>
      <c r="E2127" s="16" t="e">
        <f t="shared" si="1"/>
        <v>#N/A</v>
      </c>
      <c r="F2127" s="16" t="e">
        <f t="shared" ref="F2127:K2127" si="4284">VLOOKUP($A2127,[7]Hábitat!$A$2:$O$184,F$1,0)</f>
        <v>#N/A</v>
      </c>
      <c r="G2127" s="39" t="e">
        <f t="shared" si="4284"/>
        <v>#N/A</v>
      </c>
      <c r="H2127" s="16" t="e">
        <f t="shared" si="4284"/>
        <v>#N/A</v>
      </c>
      <c r="I2127" s="16" t="e">
        <f t="shared" si="4284"/>
        <v>#N/A</v>
      </c>
      <c r="J2127" s="40" t="e">
        <f t="shared" si="4284"/>
        <v>#N/A</v>
      </c>
      <c r="K2127" s="16" t="e">
        <f t="shared" si="4284"/>
        <v>#N/A</v>
      </c>
      <c r="L2127" s="40" t="e">
        <f t="shared" si="4233"/>
        <v>#N/A</v>
      </c>
      <c r="M2127" s="16" t="e">
        <f t="shared" si="4234"/>
        <v>#N/A</v>
      </c>
      <c r="N2127" s="16" t="e">
        <f t="shared" si="4235"/>
        <v>#N/A</v>
      </c>
      <c r="O2127" s="16" t="s">
        <v>71</v>
      </c>
      <c r="P2127" s="16" t="str">
        <f t="shared" si="6"/>
        <v/>
      </c>
      <c r="Q2127" s="41" t="e">
        <f t="shared" si="4236"/>
        <v>#N/A</v>
      </c>
      <c r="R2127" s="44"/>
      <c r="S2127" s="44"/>
      <c r="T2127" s="43"/>
      <c r="U2127" s="43" t="str">
        <f t="shared" si="8"/>
        <v>No</v>
      </c>
      <c r="V2127" s="25"/>
      <c r="W2127" s="25"/>
      <c r="X2127" s="25"/>
      <c r="Y2127" s="25"/>
      <c r="Z2127" s="25"/>
    </row>
    <row r="2128" spans="1:26" ht="15.75" customHeight="1" x14ac:dyDescent="0.25">
      <c r="A2128" s="25">
        <v>2126</v>
      </c>
      <c r="B2128" s="37" t="e">
        <f t="shared" ref="B2128:D2128" si="4285">VLOOKUP($A2128,[7]Hábitat!$A$2:$O$184,B$1,0)</f>
        <v>#N/A</v>
      </c>
      <c r="C2128" s="38" t="e">
        <f t="shared" si="4285"/>
        <v>#N/A</v>
      </c>
      <c r="D2128" s="39" t="e">
        <f t="shared" si="4285"/>
        <v>#N/A</v>
      </c>
      <c r="E2128" s="16" t="e">
        <f t="shared" si="1"/>
        <v>#N/A</v>
      </c>
      <c r="F2128" s="16" t="e">
        <f t="shared" ref="F2128:K2128" si="4286">VLOOKUP($A2128,[7]Hábitat!$A$2:$O$184,F$1,0)</f>
        <v>#N/A</v>
      </c>
      <c r="G2128" s="39" t="e">
        <f t="shared" si="4286"/>
        <v>#N/A</v>
      </c>
      <c r="H2128" s="16" t="e">
        <f t="shared" si="4286"/>
        <v>#N/A</v>
      </c>
      <c r="I2128" s="16" t="e">
        <f t="shared" si="4286"/>
        <v>#N/A</v>
      </c>
      <c r="J2128" s="40" t="e">
        <f t="shared" si="4286"/>
        <v>#N/A</v>
      </c>
      <c r="K2128" s="16" t="e">
        <f t="shared" si="4286"/>
        <v>#N/A</v>
      </c>
      <c r="L2128" s="40" t="e">
        <f t="shared" si="4233"/>
        <v>#N/A</v>
      </c>
      <c r="M2128" s="16" t="e">
        <f t="shared" si="4234"/>
        <v>#N/A</v>
      </c>
      <c r="N2128" s="16" t="e">
        <f t="shared" si="4235"/>
        <v>#N/A</v>
      </c>
      <c r="O2128" s="16" t="s">
        <v>71</v>
      </c>
      <c r="P2128" s="16" t="str">
        <f t="shared" si="6"/>
        <v/>
      </c>
      <c r="Q2128" s="41" t="e">
        <f t="shared" si="4236"/>
        <v>#N/A</v>
      </c>
      <c r="R2128" s="44"/>
      <c r="S2128" s="44"/>
      <c r="T2128" s="43"/>
      <c r="U2128" s="43" t="str">
        <f t="shared" si="8"/>
        <v>No</v>
      </c>
      <c r="V2128" s="25"/>
      <c r="W2128" s="25"/>
      <c r="X2128" s="25"/>
      <c r="Y2128" s="25"/>
      <c r="Z2128" s="25"/>
    </row>
    <row r="2129" spans="1:26" ht="15.75" customHeight="1" x14ac:dyDescent="0.25">
      <c r="A2129" s="25">
        <v>2127</v>
      </c>
      <c r="B2129" s="37" t="e">
        <f t="shared" ref="B2129:D2129" si="4287">VLOOKUP($A2129,[7]Hábitat!$A$2:$O$184,B$1,0)</f>
        <v>#N/A</v>
      </c>
      <c r="C2129" s="38" t="e">
        <f t="shared" si="4287"/>
        <v>#N/A</v>
      </c>
      <c r="D2129" s="39" t="e">
        <f t="shared" si="4287"/>
        <v>#N/A</v>
      </c>
      <c r="E2129" s="16" t="e">
        <f t="shared" si="1"/>
        <v>#N/A</v>
      </c>
      <c r="F2129" s="16" t="e">
        <f t="shared" ref="F2129:K2129" si="4288">VLOOKUP($A2129,[7]Hábitat!$A$2:$O$184,F$1,0)</f>
        <v>#N/A</v>
      </c>
      <c r="G2129" s="39" t="e">
        <f t="shared" si="4288"/>
        <v>#N/A</v>
      </c>
      <c r="H2129" s="16" t="e">
        <f t="shared" si="4288"/>
        <v>#N/A</v>
      </c>
      <c r="I2129" s="16" t="e">
        <f t="shared" si="4288"/>
        <v>#N/A</v>
      </c>
      <c r="J2129" s="40" t="e">
        <f t="shared" si="4288"/>
        <v>#N/A</v>
      </c>
      <c r="K2129" s="16" t="e">
        <f t="shared" si="4288"/>
        <v>#N/A</v>
      </c>
      <c r="L2129" s="40" t="e">
        <f t="shared" si="4233"/>
        <v>#N/A</v>
      </c>
      <c r="M2129" s="16" t="e">
        <f t="shared" si="4234"/>
        <v>#N/A</v>
      </c>
      <c r="N2129" s="16" t="e">
        <f t="shared" si="4235"/>
        <v>#N/A</v>
      </c>
      <c r="O2129" s="16" t="s">
        <v>71</v>
      </c>
      <c r="P2129" s="16" t="str">
        <f t="shared" si="6"/>
        <v/>
      </c>
      <c r="Q2129" s="41" t="e">
        <f t="shared" si="4236"/>
        <v>#N/A</v>
      </c>
      <c r="R2129" s="44"/>
      <c r="S2129" s="44"/>
      <c r="T2129" s="43"/>
      <c r="U2129" s="43" t="str">
        <f t="shared" si="8"/>
        <v>No</v>
      </c>
      <c r="V2129" s="25"/>
      <c r="W2129" s="25"/>
      <c r="X2129" s="25"/>
      <c r="Y2129" s="25"/>
      <c r="Z2129" s="25"/>
    </row>
    <row r="2130" spans="1:26" ht="15.75" customHeight="1" x14ac:dyDescent="0.25">
      <c r="A2130" s="25">
        <v>2128</v>
      </c>
      <c r="B2130" s="37" t="e">
        <f t="shared" ref="B2130:D2130" si="4289">VLOOKUP($A2130,[7]Hábitat!$A$2:$O$184,B$1,0)</f>
        <v>#N/A</v>
      </c>
      <c r="C2130" s="38" t="e">
        <f t="shared" si="4289"/>
        <v>#N/A</v>
      </c>
      <c r="D2130" s="39" t="e">
        <f t="shared" si="4289"/>
        <v>#N/A</v>
      </c>
      <c r="E2130" s="16" t="e">
        <f t="shared" si="1"/>
        <v>#N/A</v>
      </c>
      <c r="F2130" s="16" t="e">
        <f t="shared" ref="F2130:K2130" si="4290">VLOOKUP($A2130,[7]Hábitat!$A$2:$O$184,F$1,0)</f>
        <v>#N/A</v>
      </c>
      <c r="G2130" s="39" t="e">
        <f t="shared" si="4290"/>
        <v>#N/A</v>
      </c>
      <c r="H2130" s="16" t="e">
        <f t="shared" si="4290"/>
        <v>#N/A</v>
      </c>
      <c r="I2130" s="16" t="e">
        <f t="shared" si="4290"/>
        <v>#N/A</v>
      </c>
      <c r="J2130" s="40" t="e">
        <f t="shared" si="4290"/>
        <v>#N/A</v>
      </c>
      <c r="K2130" s="16" t="e">
        <f t="shared" si="4290"/>
        <v>#N/A</v>
      </c>
      <c r="L2130" s="40" t="e">
        <f t="shared" si="4233"/>
        <v>#N/A</v>
      </c>
      <c r="M2130" s="16" t="e">
        <f t="shared" si="4234"/>
        <v>#N/A</v>
      </c>
      <c r="N2130" s="16" t="e">
        <f t="shared" si="4235"/>
        <v>#N/A</v>
      </c>
      <c r="O2130" s="16" t="s">
        <v>71</v>
      </c>
      <c r="P2130" s="16" t="str">
        <f t="shared" si="6"/>
        <v/>
      </c>
      <c r="Q2130" s="41" t="e">
        <f t="shared" si="4236"/>
        <v>#N/A</v>
      </c>
      <c r="R2130" s="44"/>
      <c r="S2130" s="44"/>
      <c r="T2130" s="43"/>
      <c r="U2130" s="43" t="str">
        <f t="shared" si="8"/>
        <v>No</v>
      </c>
      <c r="V2130" s="25"/>
      <c r="W2130" s="25"/>
      <c r="X2130" s="25"/>
      <c r="Y2130" s="25"/>
      <c r="Z2130" s="25"/>
    </row>
    <row r="2131" spans="1:26" ht="15.75" customHeight="1" x14ac:dyDescent="0.25">
      <c r="A2131" s="25">
        <v>2129</v>
      </c>
      <c r="B2131" s="37" t="e">
        <f t="shared" ref="B2131:D2131" si="4291">VLOOKUP($A2131,[7]Hábitat!$A$2:$O$184,B$1,0)</f>
        <v>#N/A</v>
      </c>
      <c r="C2131" s="38" t="e">
        <f t="shared" si="4291"/>
        <v>#N/A</v>
      </c>
      <c r="D2131" s="39" t="e">
        <f t="shared" si="4291"/>
        <v>#N/A</v>
      </c>
      <c r="E2131" s="16" t="e">
        <f t="shared" si="1"/>
        <v>#N/A</v>
      </c>
      <c r="F2131" s="16" t="e">
        <f t="shared" ref="F2131:K2131" si="4292">VLOOKUP($A2131,[7]Hábitat!$A$2:$O$184,F$1,0)</f>
        <v>#N/A</v>
      </c>
      <c r="G2131" s="39" t="e">
        <f t="shared" si="4292"/>
        <v>#N/A</v>
      </c>
      <c r="H2131" s="16" t="e">
        <f t="shared" si="4292"/>
        <v>#N/A</v>
      </c>
      <c r="I2131" s="16" t="e">
        <f t="shared" si="4292"/>
        <v>#N/A</v>
      </c>
      <c r="J2131" s="40" t="e">
        <f t="shared" si="4292"/>
        <v>#N/A</v>
      </c>
      <c r="K2131" s="16" t="e">
        <f t="shared" si="4292"/>
        <v>#N/A</v>
      </c>
      <c r="L2131" s="40" t="e">
        <f t="shared" si="4233"/>
        <v>#N/A</v>
      </c>
      <c r="M2131" s="16" t="e">
        <f t="shared" si="4234"/>
        <v>#N/A</v>
      </c>
      <c r="N2131" s="16" t="e">
        <f t="shared" si="4235"/>
        <v>#N/A</v>
      </c>
      <c r="O2131" s="16" t="s">
        <v>71</v>
      </c>
      <c r="P2131" s="16" t="str">
        <f t="shared" si="6"/>
        <v/>
      </c>
      <c r="Q2131" s="41" t="e">
        <f t="shared" si="4236"/>
        <v>#N/A</v>
      </c>
      <c r="R2131" s="44"/>
      <c r="S2131" s="44"/>
      <c r="T2131" s="43"/>
      <c r="U2131" s="43" t="str">
        <f t="shared" si="8"/>
        <v>No</v>
      </c>
      <c r="V2131" s="25"/>
      <c r="W2131" s="25"/>
      <c r="X2131" s="25"/>
      <c r="Y2131" s="25"/>
      <c r="Z2131" s="25"/>
    </row>
    <row r="2132" spans="1:26" ht="15.75" customHeight="1" x14ac:dyDescent="0.25">
      <c r="A2132" s="25">
        <v>2130</v>
      </c>
      <c r="B2132" s="37" t="e">
        <f t="shared" ref="B2132:D2132" si="4293">VLOOKUP($A2132,[7]Hábitat!$A$2:$O$184,B$1,0)</f>
        <v>#N/A</v>
      </c>
      <c r="C2132" s="38" t="e">
        <f t="shared" si="4293"/>
        <v>#N/A</v>
      </c>
      <c r="D2132" s="39" t="e">
        <f t="shared" si="4293"/>
        <v>#N/A</v>
      </c>
      <c r="E2132" s="16" t="e">
        <f t="shared" si="1"/>
        <v>#N/A</v>
      </c>
      <c r="F2132" s="16" t="e">
        <f t="shared" ref="F2132:K2132" si="4294">VLOOKUP($A2132,[7]Hábitat!$A$2:$O$184,F$1,0)</f>
        <v>#N/A</v>
      </c>
      <c r="G2132" s="39" t="e">
        <f t="shared" si="4294"/>
        <v>#N/A</v>
      </c>
      <c r="H2132" s="16" t="e">
        <f t="shared" si="4294"/>
        <v>#N/A</v>
      </c>
      <c r="I2132" s="16" t="e">
        <f t="shared" si="4294"/>
        <v>#N/A</v>
      </c>
      <c r="J2132" s="40" t="e">
        <f t="shared" si="4294"/>
        <v>#N/A</v>
      </c>
      <c r="K2132" s="16" t="e">
        <f t="shared" si="4294"/>
        <v>#N/A</v>
      </c>
      <c r="L2132" s="40" t="e">
        <f t="shared" si="4233"/>
        <v>#N/A</v>
      </c>
      <c r="M2132" s="16" t="e">
        <f t="shared" si="4234"/>
        <v>#N/A</v>
      </c>
      <c r="N2132" s="16" t="e">
        <f t="shared" si="4235"/>
        <v>#N/A</v>
      </c>
      <c r="O2132" s="16" t="s">
        <v>71</v>
      </c>
      <c r="P2132" s="16" t="str">
        <f t="shared" si="6"/>
        <v/>
      </c>
      <c r="Q2132" s="41" t="e">
        <f t="shared" si="4236"/>
        <v>#N/A</v>
      </c>
      <c r="R2132" s="44"/>
      <c r="S2132" s="44"/>
      <c r="T2132" s="43"/>
      <c r="U2132" s="43" t="str">
        <f t="shared" si="8"/>
        <v>No</v>
      </c>
      <c r="V2132" s="25"/>
      <c r="W2132" s="25"/>
      <c r="X2132" s="25"/>
      <c r="Y2132" s="25"/>
      <c r="Z2132" s="25"/>
    </row>
    <row r="2133" spans="1:26" ht="15.75" customHeight="1" x14ac:dyDescent="0.25">
      <c r="A2133" s="25">
        <v>2131</v>
      </c>
      <c r="B2133" s="37" t="e">
        <f t="shared" ref="B2133:D2133" si="4295">VLOOKUP($A2133,[7]Hábitat!$A$2:$O$184,B$1,0)</f>
        <v>#N/A</v>
      </c>
      <c r="C2133" s="38" t="e">
        <f t="shared" si="4295"/>
        <v>#N/A</v>
      </c>
      <c r="D2133" s="39" t="e">
        <f t="shared" si="4295"/>
        <v>#N/A</v>
      </c>
      <c r="E2133" s="16" t="e">
        <f t="shared" si="1"/>
        <v>#N/A</v>
      </c>
      <c r="F2133" s="16" t="e">
        <f t="shared" ref="F2133:K2133" si="4296">VLOOKUP($A2133,[7]Hábitat!$A$2:$O$184,F$1,0)</f>
        <v>#N/A</v>
      </c>
      <c r="G2133" s="39" t="e">
        <f t="shared" si="4296"/>
        <v>#N/A</v>
      </c>
      <c r="H2133" s="16" t="e">
        <f t="shared" si="4296"/>
        <v>#N/A</v>
      </c>
      <c r="I2133" s="16" t="e">
        <f t="shared" si="4296"/>
        <v>#N/A</v>
      </c>
      <c r="J2133" s="40" t="e">
        <f t="shared" si="4296"/>
        <v>#N/A</v>
      </c>
      <c r="K2133" s="16" t="e">
        <f t="shared" si="4296"/>
        <v>#N/A</v>
      </c>
      <c r="L2133" s="40" t="e">
        <f t="shared" si="4233"/>
        <v>#N/A</v>
      </c>
      <c r="M2133" s="16" t="e">
        <f t="shared" si="4234"/>
        <v>#N/A</v>
      </c>
      <c r="N2133" s="16" t="e">
        <f t="shared" si="4235"/>
        <v>#N/A</v>
      </c>
      <c r="O2133" s="16" t="s">
        <v>71</v>
      </c>
      <c r="P2133" s="16" t="str">
        <f t="shared" si="6"/>
        <v/>
      </c>
      <c r="Q2133" s="41" t="e">
        <f t="shared" si="4236"/>
        <v>#N/A</v>
      </c>
      <c r="R2133" s="44"/>
      <c r="S2133" s="44"/>
      <c r="T2133" s="43"/>
      <c r="U2133" s="43" t="str">
        <f t="shared" si="8"/>
        <v>No</v>
      </c>
      <c r="V2133" s="25"/>
      <c r="W2133" s="25"/>
      <c r="X2133" s="25"/>
      <c r="Y2133" s="25"/>
      <c r="Z2133" s="25"/>
    </row>
    <row r="2134" spans="1:26" ht="15.75" customHeight="1" x14ac:dyDescent="0.25">
      <c r="A2134" s="25">
        <v>2132</v>
      </c>
      <c r="B2134" s="37" t="e">
        <f t="shared" ref="B2134:D2134" si="4297">VLOOKUP($A2134,[7]Hábitat!$A$2:$O$184,B$1,0)</f>
        <v>#N/A</v>
      </c>
      <c r="C2134" s="38" t="e">
        <f t="shared" si="4297"/>
        <v>#N/A</v>
      </c>
      <c r="D2134" s="39" t="e">
        <f t="shared" si="4297"/>
        <v>#N/A</v>
      </c>
      <c r="E2134" s="16" t="e">
        <f t="shared" si="1"/>
        <v>#N/A</v>
      </c>
      <c r="F2134" s="16" t="e">
        <f t="shared" ref="F2134:K2134" si="4298">VLOOKUP($A2134,[7]Hábitat!$A$2:$O$184,F$1,0)</f>
        <v>#N/A</v>
      </c>
      <c r="G2134" s="39" t="e">
        <f t="shared" si="4298"/>
        <v>#N/A</v>
      </c>
      <c r="H2134" s="16" t="e">
        <f t="shared" si="4298"/>
        <v>#N/A</v>
      </c>
      <c r="I2134" s="16" t="e">
        <f t="shared" si="4298"/>
        <v>#N/A</v>
      </c>
      <c r="J2134" s="40" t="e">
        <f t="shared" si="4298"/>
        <v>#N/A</v>
      </c>
      <c r="K2134" s="16" t="e">
        <f t="shared" si="4298"/>
        <v>#N/A</v>
      </c>
      <c r="L2134" s="40" t="e">
        <f t="shared" si="4233"/>
        <v>#N/A</v>
      </c>
      <c r="M2134" s="16" t="e">
        <f t="shared" si="4234"/>
        <v>#N/A</v>
      </c>
      <c r="N2134" s="16" t="e">
        <f t="shared" si="4235"/>
        <v>#N/A</v>
      </c>
      <c r="O2134" s="16" t="s">
        <v>71</v>
      </c>
      <c r="P2134" s="16" t="str">
        <f t="shared" si="6"/>
        <v/>
      </c>
      <c r="Q2134" s="41" t="e">
        <f t="shared" si="4236"/>
        <v>#N/A</v>
      </c>
      <c r="R2134" s="44"/>
      <c r="S2134" s="44"/>
      <c r="T2134" s="43"/>
      <c r="U2134" s="43" t="str">
        <f t="shared" si="8"/>
        <v>No</v>
      </c>
      <c r="V2134" s="25"/>
      <c r="W2134" s="25"/>
      <c r="X2134" s="25"/>
      <c r="Y2134" s="25"/>
      <c r="Z2134" s="25"/>
    </row>
    <row r="2135" spans="1:26" ht="15.75" customHeight="1" x14ac:dyDescent="0.25">
      <c r="A2135" s="25">
        <v>2133</v>
      </c>
      <c r="B2135" s="37" t="e">
        <f t="shared" ref="B2135:D2135" si="4299">VLOOKUP($A2135,[7]Hábitat!$A$2:$O$184,B$1,0)</f>
        <v>#N/A</v>
      </c>
      <c r="C2135" s="38" t="e">
        <f t="shared" si="4299"/>
        <v>#N/A</v>
      </c>
      <c r="D2135" s="39" t="e">
        <f t="shared" si="4299"/>
        <v>#N/A</v>
      </c>
      <c r="E2135" s="16" t="e">
        <f t="shared" si="1"/>
        <v>#N/A</v>
      </c>
      <c r="F2135" s="16" t="e">
        <f t="shared" ref="F2135:K2135" si="4300">VLOOKUP($A2135,[7]Hábitat!$A$2:$O$184,F$1,0)</f>
        <v>#N/A</v>
      </c>
      <c r="G2135" s="39" t="e">
        <f t="shared" si="4300"/>
        <v>#N/A</v>
      </c>
      <c r="H2135" s="16" t="e">
        <f t="shared" si="4300"/>
        <v>#N/A</v>
      </c>
      <c r="I2135" s="16" t="e">
        <f t="shared" si="4300"/>
        <v>#N/A</v>
      </c>
      <c r="J2135" s="40" t="e">
        <f t="shared" si="4300"/>
        <v>#N/A</v>
      </c>
      <c r="K2135" s="16" t="e">
        <f t="shared" si="4300"/>
        <v>#N/A</v>
      </c>
      <c r="L2135" s="40" t="e">
        <f t="shared" si="4233"/>
        <v>#N/A</v>
      </c>
      <c r="M2135" s="16" t="e">
        <f t="shared" si="4234"/>
        <v>#N/A</v>
      </c>
      <c r="N2135" s="16" t="e">
        <f t="shared" si="4235"/>
        <v>#N/A</v>
      </c>
      <c r="O2135" s="16" t="s">
        <v>71</v>
      </c>
      <c r="P2135" s="16" t="str">
        <f t="shared" si="6"/>
        <v/>
      </c>
      <c r="Q2135" s="41" t="e">
        <f t="shared" si="4236"/>
        <v>#N/A</v>
      </c>
      <c r="R2135" s="44"/>
      <c r="S2135" s="44"/>
      <c r="T2135" s="43"/>
      <c r="U2135" s="43" t="str">
        <f t="shared" si="8"/>
        <v>No</v>
      </c>
      <c r="V2135" s="25"/>
      <c r="W2135" s="25"/>
      <c r="X2135" s="25"/>
      <c r="Y2135" s="25"/>
      <c r="Z2135" s="25"/>
    </row>
    <row r="2136" spans="1:26" ht="15.75" customHeight="1" x14ac:dyDescent="0.25">
      <c r="A2136" s="25">
        <v>2134</v>
      </c>
      <c r="B2136" s="37" t="e">
        <f t="shared" ref="B2136:D2136" si="4301">VLOOKUP($A2136,[7]Hábitat!$A$2:$O$184,B$1,0)</f>
        <v>#N/A</v>
      </c>
      <c r="C2136" s="38" t="e">
        <f t="shared" si="4301"/>
        <v>#N/A</v>
      </c>
      <c r="D2136" s="39" t="e">
        <f t="shared" si="4301"/>
        <v>#N/A</v>
      </c>
      <c r="E2136" s="16" t="e">
        <f t="shared" si="1"/>
        <v>#N/A</v>
      </c>
      <c r="F2136" s="16" t="e">
        <f t="shared" ref="F2136:K2136" si="4302">VLOOKUP($A2136,[7]Hábitat!$A$2:$O$184,F$1,0)</f>
        <v>#N/A</v>
      </c>
      <c r="G2136" s="39" t="e">
        <f t="shared" si="4302"/>
        <v>#N/A</v>
      </c>
      <c r="H2136" s="16" t="e">
        <f t="shared" si="4302"/>
        <v>#N/A</v>
      </c>
      <c r="I2136" s="16" t="e">
        <f t="shared" si="4302"/>
        <v>#N/A</v>
      </c>
      <c r="J2136" s="40" t="e">
        <f t="shared" si="4302"/>
        <v>#N/A</v>
      </c>
      <c r="K2136" s="16" t="e">
        <f t="shared" si="4302"/>
        <v>#N/A</v>
      </c>
      <c r="L2136" s="40" t="e">
        <f t="shared" si="4233"/>
        <v>#N/A</v>
      </c>
      <c r="M2136" s="16" t="e">
        <f t="shared" si="4234"/>
        <v>#N/A</v>
      </c>
      <c r="N2136" s="16" t="e">
        <f t="shared" si="4235"/>
        <v>#N/A</v>
      </c>
      <c r="O2136" s="16" t="s">
        <v>71</v>
      </c>
      <c r="P2136" s="16" t="str">
        <f t="shared" si="6"/>
        <v/>
      </c>
      <c r="Q2136" s="41" t="e">
        <f t="shared" si="4236"/>
        <v>#N/A</v>
      </c>
      <c r="R2136" s="44"/>
      <c r="S2136" s="44"/>
      <c r="T2136" s="43"/>
      <c r="U2136" s="43" t="str">
        <f t="shared" si="8"/>
        <v>No</v>
      </c>
      <c r="V2136" s="25"/>
      <c r="W2136" s="25"/>
      <c r="X2136" s="25"/>
      <c r="Y2136" s="25"/>
      <c r="Z2136" s="25"/>
    </row>
    <row r="2137" spans="1:26" ht="15.75" customHeight="1" x14ac:dyDescent="0.25">
      <c r="A2137" s="25">
        <v>2135</v>
      </c>
      <c r="B2137" s="37" t="e">
        <f t="shared" ref="B2137:D2137" si="4303">VLOOKUP($A2137,[7]Hábitat!$A$2:$O$184,B$1,0)</f>
        <v>#N/A</v>
      </c>
      <c r="C2137" s="38" t="e">
        <f t="shared" si="4303"/>
        <v>#N/A</v>
      </c>
      <c r="D2137" s="39" t="e">
        <f t="shared" si="4303"/>
        <v>#N/A</v>
      </c>
      <c r="E2137" s="16" t="e">
        <f t="shared" si="1"/>
        <v>#N/A</v>
      </c>
      <c r="F2137" s="16" t="e">
        <f t="shared" ref="F2137:K2137" si="4304">VLOOKUP($A2137,[7]Hábitat!$A$2:$O$184,F$1,0)</f>
        <v>#N/A</v>
      </c>
      <c r="G2137" s="39" t="e">
        <f t="shared" si="4304"/>
        <v>#N/A</v>
      </c>
      <c r="H2137" s="16" t="e">
        <f t="shared" si="4304"/>
        <v>#N/A</v>
      </c>
      <c r="I2137" s="16" t="e">
        <f t="shared" si="4304"/>
        <v>#N/A</v>
      </c>
      <c r="J2137" s="40" t="e">
        <f t="shared" si="4304"/>
        <v>#N/A</v>
      </c>
      <c r="K2137" s="16" t="e">
        <f t="shared" si="4304"/>
        <v>#N/A</v>
      </c>
      <c r="L2137" s="40" t="e">
        <f t="shared" si="4233"/>
        <v>#N/A</v>
      </c>
      <c r="M2137" s="16" t="e">
        <f t="shared" si="4234"/>
        <v>#N/A</v>
      </c>
      <c r="N2137" s="16" t="e">
        <f t="shared" si="4235"/>
        <v>#N/A</v>
      </c>
      <c r="O2137" s="16" t="s">
        <v>71</v>
      </c>
      <c r="P2137" s="16" t="str">
        <f t="shared" si="6"/>
        <v/>
      </c>
      <c r="Q2137" s="41" t="e">
        <f t="shared" si="4236"/>
        <v>#N/A</v>
      </c>
      <c r="R2137" s="44"/>
      <c r="S2137" s="44"/>
      <c r="T2137" s="43"/>
      <c r="U2137" s="43" t="str">
        <f t="shared" si="8"/>
        <v>No</v>
      </c>
      <c r="V2137" s="25"/>
      <c r="W2137" s="25"/>
      <c r="X2137" s="25"/>
      <c r="Y2137" s="25"/>
      <c r="Z2137" s="25"/>
    </row>
    <row r="2138" spans="1:26" ht="15.75" customHeight="1" x14ac:dyDescent="0.25">
      <c r="A2138" s="25">
        <v>2136</v>
      </c>
      <c r="B2138" s="37" t="e">
        <f t="shared" ref="B2138:D2138" si="4305">VLOOKUP($A2138,[7]Hábitat!$A$2:$O$184,B$1,0)</f>
        <v>#N/A</v>
      </c>
      <c r="C2138" s="38" t="e">
        <f t="shared" si="4305"/>
        <v>#N/A</v>
      </c>
      <c r="D2138" s="39" t="e">
        <f t="shared" si="4305"/>
        <v>#N/A</v>
      </c>
      <c r="E2138" s="16" t="e">
        <f t="shared" si="1"/>
        <v>#N/A</v>
      </c>
      <c r="F2138" s="16" t="e">
        <f t="shared" ref="F2138:K2138" si="4306">VLOOKUP($A2138,[7]Hábitat!$A$2:$O$184,F$1,0)</f>
        <v>#N/A</v>
      </c>
      <c r="G2138" s="39" t="e">
        <f t="shared" si="4306"/>
        <v>#N/A</v>
      </c>
      <c r="H2138" s="16" t="e">
        <f t="shared" si="4306"/>
        <v>#N/A</v>
      </c>
      <c r="I2138" s="16" t="e">
        <f t="shared" si="4306"/>
        <v>#N/A</v>
      </c>
      <c r="J2138" s="40" t="e">
        <f t="shared" si="4306"/>
        <v>#N/A</v>
      </c>
      <c r="K2138" s="16" t="e">
        <f t="shared" si="4306"/>
        <v>#N/A</v>
      </c>
      <c r="L2138" s="40" t="e">
        <f t="shared" si="4233"/>
        <v>#N/A</v>
      </c>
      <c r="M2138" s="16" t="e">
        <f t="shared" si="4234"/>
        <v>#N/A</v>
      </c>
      <c r="N2138" s="16" t="e">
        <f t="shared" si="4235"/>
        <v>#N/A</v>
      </c>
      <c r="O2138" s="16" t="s">
        <v>71</v>
      </c>
      <c r="P2138" s="16" t="str">
        <f t="shared" si="6"/>
        <v/>
      </c>
      <c r="Q2138" s="41" t="e">
        <f t="shared" si="4236"/>
        <v>#N/A</v>
      </c>
      <c r="R2138" s="44"/>
      <c r="S2138" s="44"/>
      <c r="T2138" s="43"/>
      <c r="U2138" s="43" t="str">
        <f t="shared" si="8"/>
        <v>No</v>
      </c>
      <c r="V2138" s="25"/>
      <c r="W2138" s="25"/>
      <c r="X2138" s="25"/>
      <c r="Y2138" s="25"/>
      <c r="Z2138" s="25"/>
    </row>
    <row r="2139" spans="1:26" ht="15.75" customHeight="1" x14ac:dyDescent="0.25">
      <c r="A2139" s="25">
        <v>2137</v>
      </c>
      <c r="B2139" s="37" t="e">
        <f t="shared" ref="B2139:D2139" si="4307">VLOOKUP($A2139,[7]Hábitat!$A$2:$O$184,B$1,0)</f>
        <v>#N/A</v>
      </c>
      <c r="C2139" s="38" t="e">
        <f t="shared" si="4307"/>
        <v>#N/A</v>
      </c>
      <c r="D2139" s="39" t="e">
        <f t="shared" si="4307"/>
        <v>#N/A</v>
      </c>
      <c r="E2139" s="16" t="e">
        <f t="shared" si="1"/>
        <v>#N/A</v>
      </c>
      <c r="F2139" s="16" t="e">
        <f t="shared" ref="F2139:K2139" si="4308">VLOOKUP($A2139,[7]Hábitat!$A$2:$O$184,F$1,0)</f>
        <v>#N/A</v>
      </c>
      <c r="G2139" s="39" t="e">
        <f t="shared" si="4308"/>
        <v>#N/A</v>
      </c>
      <c r="H2139" s="16" t="e">
        <f t="shared" si="4308"/>
        <v>#N/A</v>
      </c>
      <c r="I2139" s="16" t="e">
        <f t="shared" si="4308"/>
        <v>#N/A</v>
      </c>
      <c r="J2139" s="40" t="e">
        <f t="shared" si="4308"/>
        <v>#N/A</v>
      </c>
      <c r="K2139" s="16" t="e">
        <f t="shared" si="4308"/>
        <v>#N/A</v>
      </c>
      <c r="L2139" s="40" t="e">
        <f t="shared" si="4233"/>
        <v>#N/A</v>
      </c>
      <c r="M2139" s="16" t="e">
        <f t="shared" si="4234"/>
        <v>#N/A</v>
      </c>
      <c r="N2139" s="16" t="e">
        <f t="shared" si="4235"/>
        <v>#N/A</v>
      </c>
      <c r="O2139" s="16" t="s">
        <v>71</v>
      </c>
      <c r="P2139" s="16" t="str">
        <f t="shared" si="6"/>
        <v/>
      </c>
      <c r="Q2139" s="41" t="e">
        <f t="shared" si="4236"/>
        <v>#N/A</v>
      </c>
      <c r="R2139" s="44"/>
      <c r="S2139" s="44"/>
      <c r="T2139" s="43"/>
      <c r="U2139" s="43" t="str">
        <f t="shared" si="8"/>
        <v>No</v>
      </c>
      <c r="V2139" s="25"/>
      <c r="W2139" s="25"/>
      <c r="X2139" s="25"/>
      <c r="Y2139" s="25"/>
      <c r="Z2139" s="25"/>
    </row>
    <row r="2140" spans="1:26" ht="15.75" customHeight="1" x14ac:dyDescent="0.25">
      <c r="A2140" s="25">
        <v>2138</v>
      </c>
      <c r="B2140" s="37" t="e">
        <f t="shared" ref="B2140:D2140" si="4309">VLOOKUP($A2140,[7]Hábitat!$A$2:$O$184,B$1,0)</f>
        <v>#N/A</v>
      </c>
      <c r="C2140" s="38" t="e">
        <f t="shared" si="4309"/>
        <v>#N/A</v>
      </c>
      <c r="D2140" s="39" t="e">
        <f t="shared" si="4309"/>
        <v>#N/A</v>
      </c>
      <c r="E2140" s="16" t="e">
        <f t="shared" si="1"/>
        <v>#N/A</v>
      </c>
      <c r="F2140" s="16" t="e">
        <f t="shared" ref="F2140:K2140" si="4310">VLOOKUP($A2140,[7]Hábitat!$A$2:$O$184,F$1,0)</f>
        <v>#N/A</v>
      </c>
      <c r="G2140" s="39" t="e">
        <f t="shared" si="4310"/>
        <v>#N/A</v>
      </c>
      <c r="H2140" s="16" t="e">
        <f t="shared" si="4310"/>
        <v>#N/A</v>
      </c>
      <c r="I2140" s="16" t="e">
        <f t="shared" si="4310"/>
        <v>#N/A</v>
      </c>
      <c r="J2140" s="40" t="e">
        <f t="shared" si="4310"/>
        <v>#N/A</v>
      </c>
      <c r="K2140" s="16" t="e">
        <f t="shared" si="4310"/>
        <v>#N/A</v>
      </c>
      <c r="L2140" s="40" t="e">
        <f t="shared" si="4233"/>
        <v>#N/A</v>
      </c>
      <c r="M2140" s="16" t="e">
        <f t="shared" si="4234"/>
        <v>#N/A</v>
      </c>
      <c r="N2140" s="16" t="e">
        <f t="shared" si="4235"/>
        <v>#N/A</v>
      </c>
      <c r="O2140" s="16" t="s">
        <v>71</v>
      </c>
      <c r="P2140" s="16" t="str">
        <f t="shared" si="6"/>
        <v/>
      </c>
      <c r="Q2140" s="41" t="e">
        <f t="shared" si="4236"/>
        <v>#N/A</v>
      </c>
      <c r="R2140" s="44"/>
      <c r="S2140" s="44"/>
      <c r="T2140" s="43"/>
      <c r="U2140" s="43" t="str">
        <f t="shared" si="8"/>
        <v>No</v>
      </c>
      <c r="V2140" s="25"/>
      <c r="W2140" s="25"/>
      <c r="X2140" s="25"/>
      <c r="Y2140" s="25"/>
      <c r="Z2140" s="25"/>
    </row>
    <row r="2141" spans="1:26" ht="15.75" customHeight="1" x14ac:dyDescent="0.25">
      <c r="A2141" s="25">
        <v>2139</v>
      </c>
      <c r="B2141" s="37" t="e">
        <f t="shared" ref="B2141:D2141" si="4311">VLOOKUP($A2141,[7]Hábitat!$A$2:$O$184,B$1,0)</f>
        <v>#N/A</v>
      </c>
      <c r="C2141" s="38" t="e">
        <f t="shared" si="4311"/>
        <v>#N/A</v>
      </c>
      <c r="D2141" s="39" t="e">
        <f t="shared" si="4311"/>
        <v>#N/A</v>
      </c>
      <c r="E2141" s="16" t="e">
        <f t="shared" si="1"/>
        <v>#N/A</v>
      </c>
      <c r="F2141" s="16" t="e">
        <f t="shared" ref="F2141:K2141" si="4312">VLOOKUP($A2141,[7]Hábitat!$A$2:$O$184,F$1,0)</f>
        <v>#N/A</v>
      </c>
      <c r="G2141" s="39" t="e">
        <f t="shared" si="4312"/>
        <v>#N/A</v>
      </c>
      <c r="H2141" s="16" t="e">
        <f t="shared" si="4312"/>
        <v>#N/A</v>
      </c>
      <c r="I2141" s="16" t="e">
        <f t="shared" si="4312"/>
        <v>#N/A</v>
      </c>
      <c r="J2141" s="40" t="e">
        <f t="shared" si="4312"/>
        <v>#N/A</v>
      </c>
      <c r="K2141" s="16" t="e">
        <f t="shared" si="4312"/>
        <v>#N/A</v>
      </c>
      <c r="L2141" s="40" t="e">
        <f t="shared" si="4233"/>
        <v>#N/A</v>
      </c>
      <c r="M2141" s="16" t="e">
        <f t="shared" si="4234"/>
        <v>#N/A</v>
      </c>
      <c r="N2141" s="16" t="e">
        <f t="shared" si="4235"/>
        <v>#N/A</v>
      </c>
      <c r="O2141" s="16" t="s">
        <v>71</v>
      </c>
      <c r="P2141" s="16" t="str">
        <f t="shared" si="6"/>
        <v/>
      </c>
      <c r="Q2141" s="41" t="e">
        <f t="shared" si="4236"/>
        <v>#N/A</v>
      </c>
      <c r="R2141" s="44"/>
      <c r="S2141" s="44"/>
      <c r="T2141" s="43"/>
      <c r="U2141" s="43" t="str">
        <f t="shared" si="8"/>
        <v>No</v>
      </c>
      <c r="V2141" s="25"/>
      <c r="W2141" s="25"/>
      <c r="X2141" s="25"/>
      <c r="Y2141" s="25"/>
      <c r="Z2141" s="25"/>
    </row>
    <row r="2142" spans="1:26" ht="15.75" customHeight="1" x14ac:dyDescent="0.25">
      <c r="A2142" s="25">
        <v>2140</v>
      </c>
      <c r="B2142" s="37" t="e">
        <f t="shared" ref="B2142:D2142" si="4313">VLOOKUP($A2142,[7]Hábitat!$A$2:$O$184,B$1,0)</f>
        <v>#N/A</v>
      </c>
      <c r="C2142" s="38" t="e">
        <f t="shared" si="4313"/>
        <v>#N/A</v>
      </c>
      <c r="D2142" s="39" t="e">
        <f t="shared" si="4313"/>
        <v>#N/A</v>
      </c>
      <c r="E2142" s="16" t="e">
        <f t="shared" si="1"/>
        <v>#N/A</v>
      </c>
      <c r="F2142" s="16" t="e">
        <f t="shared" ref="F2142:K2142" si="4314">VLOOKUP($A2142,[7]Hábitat!$A$2:$O$184,F$1,0)</f>
        <v>#N/A</v>
      </c>
      <c r="G2142" s="39" t="e">
        <f t="shared" si="4314"/>
        <v>#N/A</v>
      </c>
      <c r="H2142" s="16" t="e">
        <f t="shared" si="4314"/>
        <v>#N/A</v>
      </c>
      <c r="I2142" s="16" t="e">
        <f t="shared" si="4314"/>
        <v>#N/A</v>
      </c>
      <c r="J2142" s="40" t="e">
        <f t="shared" si="4314"/>
        <v>#N/A</v>
      </c>
      <c r="K2142" s="16" t="e">
        <f t="shared" si="4314"/>
        <v>#N/A</v>
      </c>
      <c r="L2142" s="40" t="e">
        <f t="shared" si="4233"/>
        <v>#N/A</v>
      </c>
      <c r="M2142" s="16" t="e">
        <f t="shared" si="4234"/>
        <v>#N/A</v>
      </c>
      <c r="N2142" s="16" t="e">
        <f t="shared" si="4235"/>
        <v>#N/A</v>
      </c>
      <c r="O2142" s="16" t="s">
        <v>71</v>
      </c>
      <c r="P2142" s="16" t="str">
        <f t="shared" si="6"/>
        <v/>
      </c>
      <c r="Q2142" s="41" t="e">
        <f t="shared" si="4236"/>
        <v>#N/A</v>
      </c>
      <c r="R2142" s="44"/>
      <c r="S2142" s="44"/>
      <c r="T2142" s="43"/>
      <c r="U2142" s="43" t="str">
        <f t="shared" si="8"/>
        <v>No</v>
      </c>
      <c r="V2142" s="25"/>
      <c r="W2142" s="25"/>
      <c r="X2142" s="25"/>
      <c r="Y2142" s="25"/>
      <c r="Z2142" s="25"/>
    </row>
    <row r="2143" spans="1:26" ht="15.75" customHeight="1" x14ac:dyDescent="0.25">
      <c r="A2143" s="25">
        <v>2141</v>
      </c>
      <c r="B2143" s="37" t="e">
        <f t="shared" ref="B2143:D2143" si="4315">VLOOKUP($A2143,[7]Hábitat!$A$2:$O$184,B$1,0)</f>
        <v>#N/A</v>
      </c>
      <c r="C2143" s="38" t="e">
        <f t="shared" si="4315"/>
        <v>#N/A</v>
      </c>
      <c r="D2143" s="39" t="e">
        <f t="shared" si="4315"/>
        <v>#N/A</v>
      </c>
      <c r="E2143" s="16" t="e">
        <f t="shared" si="1"/>
        <v>#N/A</v>
      </c>
      <c r="F2143" s="16" t="e">
        <f t="shared" ref="F2143:K2143" si="4316">VLOOKUP($A2143,[7]Hábitat!$A$2:$O$184,F$1,0)</f>
        <v>#N/A</v>
      </c>
      <c r="G2143" s="39" t="e">
        <f t="shared" si="4316"/>
        <v>#N/A</v>
      </c>
      <c r="H2143" s="16" t="e">
        <f t="shared" si="4316"/>
        <v>#N/A</v>
      </c>
      <c r="I2143" s="16" t="e">
        <f t="shared" si="4316"/>
        <v>#N/A</v>
      </c>
      <c r="J2143" s="40" t="e">
        <f t="shared" si="4316"/>
        <v>#N/A</v>
      </c>
      <c r="K2143" s="16" t="e">
        <f t="shared" si="4316"/>
        <v>#N/A</v>
      </c>
      <c r="L2143" s="40" t="e">
        <f t="shared" si="4233"/>
        <v>#N/A</v>
      </c>
      <c r="M2143" s="16" t="e">
        <f t="shared" si="4234"/>
        <v>#N/A</v>
      </c>
      <c r="N2143" s="16" t="e">
        <f t="shared" si="4235"/>
        <v>#N/A</v>
      </c>
      <c r="O2143" s="16" t="s">
        <v>71</v>
      </c>
      <c r="P2143" s="16" t="str">
        <f t="shared" si="6"/>
        <v/>
      </c>
      <c r="Q2143" s="41" t="e">
        <f t="shared" si="4236"/>
        <v>#N/A</v>
      </c>
      <c r="R2143" s="44"/>
      <c r="S2143" s="44"/>
      <c r="T2143" s="43" t="s">
        <v>89</v>
      </c>
      <c r="U2143" s="43" t="str">
        <f t="shared" si="8"/>
        <v>No</v>
      </c>
      <c r="V2143" s="25"/>
      <c r="W2143" s="25"/>
      <c r="X2143" s="25"/>
      <c r="Y2143" s="25"/>
      <c r="Z2143" s="25"/>
    </row>
    <row r="2144" spans="1:26" ht="15.75" customHeight="1" x14ac:dyDescent="0.25">
      <c r="A2144" s="25">
        <v>2142</v>
      </c>
      <c r="B2144" s="37" t="e">
        <f t="shared" ref="B2144:D2144" si="4317">VLOOKUP($A2144,[7]Hábitat!$A$2:$O$184,B$1,0)</f>
        <v>#N/A</v>
      </c>
      <c r="C2144" s="38" t="e">
        <f t="shared" si="4317"/>
        <v>#N/A</v>
      </c>
      <c r="D2144" s="39" t="e">
        <f t="shared" si="4317"/>
        <v>#N/A</v>
      </c>
      <c r="E2144" s="16" t="e">
        <f t="shared" si="1"/>
        <v>#N/A</v>
      </c>
      <c r="F2144" s="16" t="e">
        <f t="shared" ref="F2144:K2144" si="4318">VLOOKUP($A2144,[7]Hábitat!$A$2:$O$184,F$1,0)</f>
        <v>#N/A</v>
      </c>
      <c r="G2144" s="39" t="e">
        <f t="shared" si="4318"/>
        <v>#N/A</v>
      </c>
      <c r="H2144" s="16" t="e">
        <f t="shared" si="4318"/>
        <v>#N/A</v>
      </c>
      <c r="I2144" s="16" t="e">
        <f t="shared" si="4318"/>
        <v>#N/A</v>
      </c>
      <c r="J2144" s="40" t="e">
        <f t="shared" si="4318"/>
        <v>#N/A</v>
      </c>
      <c r="K2144" s="16" t="e">
        <f t="shared" si="4318"/>
        <v>#N/A</v>
      </c>
      <c r="L2144" s="40" t="e">
        <f t="shared" si="4233"/>
        <v>#N/A</v>
      </c>
      <c r="M2144" s="16" t="e">
        <f t="shared" si="4234"/>
        <v>#N/A</v>
      </c>
      <c r="N2144" s="16" t="e">
        <f t="shared" si="4235"/>
        <v>#N/A</v>
      </c>
      <c r="O2144" s="16" t="s">
        <v>71</v>
      </c>
      <c r="P2144" s="16" t="str">
        <f t="shared" si="6"/>
        <v/>
      </c>
      <c r="Q2144" s="41" t="e">
        <f t="shared" si="4236"/>
        <v>#N/A</v>
      </c>
      <c r="R2144" s="44"/>
      <c r="S2144" s="44"/>
      <c r="T2144" s="43" t="s">
        <v>89</v>
      </c>
      <c r="U2144" s="43" t="str">
        <f t="shared" si="8"/>
        <v>No</v>
      </c>
      <c r="V2144" s="25"/>
      <c r="W2144" s="25"/>
      <c r="X2144" s="25"/>
      <c r="Y2144" s="25"/>
      <c r="Z2144" s="25"/>
    </row>
    <row r="2145" spans="1:26" ht="15.75" customHeight="1" x14ac:dyDescent="0.25">
      <c r="A2145" s="25">
        <v>2143</v>
      </c>
      <c r="B2145" s="37" t="e">
        <f t="shared" ref="B2145:D2145" si="4319">VLOOKUP($A2145,[7]Hábitat!$A$2:$O$184,B$1,0)</f>
        <v>#N/A</v>
      </c>
      <c r="C2145" s="38" t="e">
        <f t="shared" si="4319"/>
        <v>#N/A</v>
      </c>
      <c r="D2145" s="39" t="e">
        <f t="shared" si="4319"/>
        <v>#N/A</v>
      </c>
      <c r="E2145" s="16" t="e">
        <f t="shared" si="1"/>
        <v>#N/A</v>
      </c>
      <c r="F2145" s="16" t="e">
        <f t="shared" ref="F2145:K2145" si="4320">VLOOKUP($A2145,[7]Hábitat!$A$2:$O$184,F$1,0)</f>
        <v>#N/A</v>
      </c>
      <c r="G2145" s="39" t="e">
        <f t="shared" si="4320"/>
        <v>#N/A</v>
      </c>
      <c r="H2145" s="16" t="e">
        <f t="shared" si="4320"/>
        <v>#N/A</v>
      </c>
      <c r="I2145" s="16" t="e">
        <f t="shared" si="4320"/>
        <v>#N/A</v>
      </c>
      <c r="J2145" s="40" t="e">
        <f t="shared" si="4320"/>
        <v>#N/A</v>
      </c>
      <c r="K2145" s="16" t="e">
        <f t="shared" si="4320"/>
        <v>#N/A</v>
      </c>
      <c r="L2145" s="40" t="e">
        <f t="shared" si="4233"/>
        <v>#N/A</v>
      </c>
      <c r="M2145" s="16" t="e">
        <f t="shared" si="4234"/>
        <v>#N/A</v>
      </c>
      <c r="N2145" s="16" t="e">
        <f t="shared" si="4235"/>
        <v>#N/A</v>
      </c>
      <c r="O2145" s="16" t="s">
        <v>71</v>
      </c>
      <c r="P2145" s="16" t="str">
        <f t="shared" si="6"/>
        <v/>
      </c>
      <c r="Q2145" s="41" t="e">
        <f t="shared" si="4236"/>
        <v>#N/A</v>
      </c>
      <c r="R2145" s="44"/>
      <c r="S2145" s="44"/>
      <c r="T2145" s="43" t="s">
        <v>89</v>
      </c>
      <c r="U2145" s="43" t="str">
        <f t="shared" si="8"/>
        <v>No</v>
      </c>
      <c r="V2145" s="25"/>
      <c r="W2145" s="25"/>
      <c r="X2145" s="25"/>
      <c r="Y2145" s="25"/>
      <c r="Z2145" s="25"/>
    </row>
    <row r="2146" spans="1:26" ht="15.75" customHeight="1" x14ac:dyDescent="0.25">
      <c r="A2146" s="25">
        <v>2144</v>
      </c>
      <c r="B2146" s="37" t="e">
        <f t="shared" ref="B2146:D2146" si="4321">VLOOKUP($A2146,[7]Hábitat!$A$2:$O$184,B$1,0)</f>
        <v>#N/A</v>
      </c>
      <c r="C2146" s="38" t="e">
        <f t="shared" si="4321"/>
        <v>#N/A</v>
      </c>
      <c r="D2146" s="39" t="e">
        <f t="shared" si="4321"/>
        <v>#N/A</v>
      </c>
      <c r="E2146" s="16" t="e">
        <f t="shared" si="1"/>
        <v>#N/A</v>
      </c>
      <c r="F2146" s="16" t="e">
        <f t="shared" ref="F2146:K2146" si="4322">VLOOKUP($A2146,[7]Hábitat!$A$2:$O$184,F$1,0)</f>
        <v>#N/A</v>
      </c>
      <c r="G2146" s="39" t="e">
        <f t="shared" si="4322"/>
        <v>#N/A</v>
      </c>
      <c r="H2146" s="16" t="e">
        <f t="shared" si="4322"/>
        <v>#N/A</v>
      </c>
      <c r="I2146" s="16" t="e">
        <f t="shared" si="4322"/>
        <v>#N/A</v>
      </c>
      <c r="J2146" s="40" t="e">
        <f t="shared" si="4322"/>
        <v>#N/A</v>
      </c>
      <c r="K2146" s="16" t="e">
        <f t="shared" si="4322"/>
        <v>#N/A</v>
      </c>
      <c r="L2146" s="40" t="e">
        <f t="shared" si="4233"/>
        <v>#N/A</v>
      </c>
      <c r="M2146" s="16" t="e">
        <f t="shared" si="4234"/>
        <v>#N/A</v>
      </c>
      <c r="N2146" s="16" t="e">
        <f t="shared" si="4235"/>
        <v>#N/A</v>
      </c>
      <c r="O2146" s="16" t="s">
        <v>71</v>
      </c>
      <c r="P2146" s="16" t="str">
        <f t="shared" si="6"/>
        <v/>
      </c>
      <c r="Q2146" s="41" t="e">
        <f t="shared" si="4236"/>
        <v>#N/A</v>
      </c>
      <c r="R2146" s="44"/>
      <c r="S2146" s="44"/>
      <c r="T2146" s="43" t="s">
        <v>89</v>
      </c>
      <c r="U2146" s="43" t="str">
        <f t="shared" si="8"/>
        <v>No</v>
      </c>
      <c r="V2146" s="25"/>
      <c r="W2146" s="25"/>
      <c r="X2146" s="25"/>
      <c r="Y2146" s="25"/>
      <c r="Z2146" s="25"/>
    </row>
    <row r="2147" spans="1:26" ht="15.75" customHeight="1" x14ac:dyDescent="0.25">
      <c r="A2147" s="25">
        <v>2145</v>
      </c>
      <c r="B2147" s="37" t="e">
        <f t="shared" ref="B2147:D2147" si="4323">VLOOKUP($A2147,[7]Hábitat!$A$2:$O$184,B$1,0)</f>
        <v>#N/A</v>
      </c>
      <c r="C2147" s="38" t="e">
        <f t="shared" si="4323"/>
        <v>#N/A</v>
      </c>
      <c r="D2147" s="39" t="e">
        <f t="shared" si="4323"/>
        <v>#N/A</v>
      </c>
      <c r="E2147" s="16" t="e">
        <f t="shared" si="1"/>
        <v>#N/A</v>
      </c>
      <c r="F2147" s="16" t="e">
        <f t="shared" ref="F2147:K2147" si="4324">VLOOKUP($A2147,[7]Hábitat!$A$2:$O$184,F$1,0)</f>
        <v>#N/A</v>
      </c>
      <c r="G2147" s="39" t="e">
        <f t="shared" si="4324"/>
        <v>#N/A</v>
      </c>
      <c r="H2147" s="16" t="e">
        <f t="shared" si="4324"/>
        <v>#N/A</v>
      </c>
      <c r="I2147" s="16" t="e">
        <f t="shared" si="4324"/>
        <v>#N/A</v>
      </c>
      <c r="J2147" s="40" t="e">
        <f t="shared" si="4324"/>
        <v>#N/A</v>
      </c>
      <c r="K2147" s="16" t="e">
        <f t="shared" si="4324"/>
        <v>#N/A</v>
      </c>
      <c r="L2147" s="40" t="e">
        <f t="shared" si="4233"/>
        <v>#N/A</v>
      </c>
      <c r="M2147" s="16" t="e">
        <f t="shared" si="4234"/>
        <v>#N/A</v>
      </c>
      <c r="N2147" s="16" t="e">
        <f t="shared" si="4235"/>
        <v>#N/A</v>
      </c>
      <c r="O2147" s="16" t="s">
        <v>71</v>
      </c>
      <c r="P2147" s="16" t="str">
        <f t="shared" si="6"/>
        <v/>
      </c>
      <c r="Q2147" s="41" t="e">
        <f t="shared" si="4236"/>
        <v>#N/A</v>
      </c>
      <c r="R2147" s="44"/>
      <c r="S2147" s="44"/>
      <c r="T2147" s="43"/>
      <c r="U2147" s="43" t="str">
        <f t="shared" si="8"/>
        <v>No</v>
      </c>
      <c r="V2147" s="25"/>
      <c r="W2147" s="25"/>
      <c r="X2147" s="25"/>
      <c r="Y2147" s="25"/>
      <c r="Z2147" s="25"/>
    </row>
    <row r="2148" spans="1:26" ht="15.75" customHeight="1" x14ac:dyDescent="0.25">
      <c r="A2148" s="25">
        <v>2146</v>
      </c>
      <c r="B2148" s="37" t="e">
        <f t="shared" ref="B2148:D2148" si="4325">VLOOKUP($A2148,[7]Hábitat!$A$2:$O$184,B$1,0)</f>
        <v>#N/A</v>
      </c>
      <c r="C2148" s="38" t="e">
        <f t="shared" si="4325"/>
        <v>#N/A</v>
      </c>
      <c r="D2148" s="39" t="e">
        <f t="shared" si="4325"/>
        <v>#N/A</v>
      </c>
      <c r="E2148" s="16" t="e">
        <f t="shared" si="1"/>
        <v>#N/A</v>
      </c>
      <c r="F2148" s="16" t="e">
        <f t="shared" ref="F2148:K2148" si="4326">VLOOKUP($A2148,[7]Hábitat!$A$2:$O$184,F$1,0)</f>
        <v>#N/A</v>
      </c>
      <c r="G2148" s="39" t="e">
        <f t="shared" si="4326"/>
        <v>#N/A</v>
      </c>
      <c r="H2148" s="16" t="e">
        <f t="shared" si="4326"/>
        <v>#N/A</v>
      </c>
      <c r="I2148" s="16" t="e">
        <f t="shared" si="4326"/>
        <v>#N/A</v>
      </c>
      <c r="J2148" s="40" t="e">
        <f t="shared" si="4326"/>
        <v>#N/A</v>
      </c>
      <c r="K2148" s="16" t="e">
        <f t="shared" si="4326"/>
        <v>#N/A</v>
      </c>
      <c r="L2148" s="40" t="e">
        <f t="shared" si="4233"/>
        <v>#N/A</v>
      </c>
      <c r="M2148" s="16" t="e">
        <f t="shared" si="4234"/>
        <v>#N/A</v>
      </c>
      <c r="N2148" s="16" t="e">
        <f t="shared" si="4235"/>
        <v>#N/A</v>
      </c>
      <c r="O2148" s="16" t="s">
        <v>71</v>
      </c>
      <c r="P2148" s="16" t="str">
        <f t="shared" si="6"/>
        <v/>
      </c>
      <c r="Q2148" s="41" t="e">
        <f t="shared" si="4236"/>
        <v>#N/A</v>
      </c>
      <c r="R2148" s="44"/>
      <c r="S2148" s="44"/>
      <c r="T2148" s="43"/>
      <c r="U2148" s="43" t="str">
        <f t="shared" si="8"/>
        <v>No</v>
      </c>
      <c r="V2148" s="25"/>
      <c r="W2148" s="25"/>
      <c r="X2148" s="25"/>
      <c r="Y2148" s="25"/>
      <c r="Z2148" s="25"/>
    </row>
    <row r="2149" spans="1:26" ht="15.75" customHeight="1" x14ac:dyDescent="0.25">
      <c r="A2149" s="25">
        <v>2147</v>
      </c>
      <c r="B2149" s="37" t="e">
        <f t="shared" ref="B2149:D2149" si="4327">VLOOKUP($A2149,[7]Hábitat!$A$2:$O$184,B$1,0)</f>
        <v>#N/A</v>
      </c>
      <c r="C2149" s="38" t="e">
        <f t="shared" si="4327"/>
        <v>#N/A</v>
      </c>
      <c r="D2149" s="39" t="e">
        <f t="shared" si="4327"/>
        <v>#N/A</v>
      </c>
      <c r="E2149" s="16" t="e">
        <f t="shared" si="1"/>
        <v>#N/A</v>
      </c>
      <c r="F2149" s="16" t="e">
        <f t="shared" ref="F2149:K2149" si="4328">VLOOKUP($A2149,[7]Hábitat!$A$2:$O$184,F$1,0)</f>
        <v>#N/A</v>
      </c>
      <c r="G2149" s="39" t="e">
        <f t="shared" si="4328"/>
        <v>#N/A</v>
      </c>
      <c r="H2149" s="16" t="e">
        <f t="shared" si="4328"/>
        <v>#N/A</v>
      </c>
      <c r="I2149" s="16" t="e">
        <f t="shared" si="4328"/>
        <v>#N/A</v>
      </c>
      <c r="J2149" s="40" t="e">
        <f t="shared" si="4328"/>
        <v>#N/A</v>
      </c>
      <c r="K2149" s="16" t="e">
        <f t="shared" si="4328"/>
        <v>#N/A</v>
      </c>
      <c r="L2149" s="40" t="e">
        <f t="shared" si="4233"/>
        <v>#N/A</v>
      </c>
      <c r="M2149" s="16" t="e">
        <f t="shared" si="4234"/>
        <v>#N/A</v>
      </c>
      <c r="N2149" s="16" t="e">
        <f t="shared" si="4235"/>
        <v>#N/A</v>
      </c>
      <c r="O2149" s="16" t="s">
        <v>71</v>
      </c>
      <c r="P2149" s="16" t="str">
        <f t="shared" si="6"/>
        <v/>
      </c>
      <c r="Q2149" s="41" t="e">
        <f t="shared" si="4236"/>
        <v>#N/A</v>
      </c>
      <c r="R2149" s="44"/>
      <c r="S2149" s="44"/>
      <c r="T2149" s="43"/>
      <c r="U2149" s="43" t="str">
        <f t="shared" si="8"/>
        <v>No</v>
      </c>
      <c r="V2149" s="25"/>
      <c r="W2149" s="25"/>
      <c r="X2149" s="25"/>
      <c r="Y2149" s="25"/>
      <c r="Z2149" s="25"/>
    </row>
    <row r="2150" spans="1:26" ht="15.75" customHeight="1" x14ac:dyDescent="0.25">
      <c r="A2150" s="25">
        <v>2148</v>
      </c>
      <c r="B2150" s="37" t="e">
        <f t="shared" ref="B2150:D2150" si="4329">VLOOKUP($A2150,[7]Hábitat!$A$2:$O$184,B$1,0)</f>
        <v>#N/A</v>
      </c>
      <c r="C2150" s="38" t="e">
        <f t="shared" si="4329"/>
        <v>#N/A</v>
      </c>
      <c r="D2150" s="39" t="e">
        <f t="shared" si="4329"/>
        <v>#N/A</v>
      </c>
      <c r="E2150" s="16" t="e">
        <f t="shared" si="1"/>
        <v>#N/A</v>
      </c>
      <c r="F2150" s="16" t="e">
        <f t="shared" ref="F2150:K2150" si="4330">VLOOKUP($A2150,[7]Hábitat!$A$2:$O$184,F$1,0)</f>
        <v>#N/A</v>
      </c>
      <c r="G2150" s="39" t="e">
        <f t="shared" si="4330"/>
        <v>#N/A</v>
      </c>
      <c r="H2150" s="16" t="e">
        <f t="shared" si="4330"/>
        <v>#N/A</v>
      </c>
      <c r="I2150" s="16" t="e">
        <f t="shared" si="4330"/>
        <v>#N/A</v>
      </c>
      <c r="J2150" s="40" t="e">
        <f t="shared" si="4330"/>
        <v>#N/A</v>
      </c>
      <c r="K2150" s="16" t="e">
        <f t="shared" si="4330"/>
        <v>#N/A</v>
      </c>
      <c r="L2150" s="40" t="e">
        <f t="shared" si="4233"/>
        <v>#N/A</v>
      </c>
      <c r="M2150" s="16" t="e">
        <f t="shared" si="4234"/>
        <v>#N/A</v>
      </c>
      <c r="N2150" s="16" t="e">
        <f t="shared" si="4235"/>
        <v>#N/A</v>
      </c>
      <c r="O2150" s="16" t="s">
        <v>71</v>
      </c>
      <c r="P2150" s="16" t="str">
        <f t="shared" si="6"/>
        <v/>
      </c>
      <c r="Q2150" s="41" t="e">
        <f t="shared" si="4236"/>
        <v>#N/A</v>
      </c>
      <c r="R2150" s="44"/>
      <c r="S2150" s="44"/>
      <c r="T2150" s="43"/>
      <c r="U2150" s="43" t="str">
        <f t="shared" si="8"/>
        <v>No</v>
      </c>
      <c r="V2150" s="25"/>
      <c r="W2150" s="25"/>
      <c r="X2150" s="25"/>
      <c r="Y2150" s="25"/>
      <c r="Z2150" s="25"/>
    </row>
    <row r="2151" spans="1:26" ht="15.75" customHeight="1" x14ac:dyDescent="0.25">
      <c r="A2151" s="25">
        <v>2149</v>
      </c>
      <c r="B2151" s="37" t="e">
        <f t="shared" ref="B2151:D2151" si="4331">VLOOKUP($A2151,[7]Hábitat!$A$2:$O$184,B$1,0)</f>
        <v>#N/A</v>
      </c>
      <c r="C2151" s="38" t="e">
        <f t="shared" si="4331"/>
        <v>#N/A</v>
      </c>
      <c r="D2151" s="39" t="e">
        <f t="shared" si="4331"/>
        <v>#N/A</v>
      </c>
      <c r="E2151" s="16" t="e">
        <f t="shared" si="1"/>
        <v>#N/A</v>
      </c>
      <c r="F2151" s="16" t="e">
        <f t="shared" ref="F2151:K2151" si="4332">VLOOKUP($A2151,[7]Hábitat!$A$2:$O$184,F$1,0)</f>
        <v>#N/A</v>
      </c>
      <c r="G2151" s="39" t="e">
        <f t="shared" si="4332"/>
        <v>#N/A</v>
      </c>
      <c r="H2151" s="16" t="e">
        <f t="shared" si="4332"/>
        <v>#N/A</v>
      </c>
      <c r="I2151" s="16" t="e">
        <f t="shared" si="4332"/>
        <v>#N/A</v>
      </c>
      <c r="J2151" s="40" t="e">
        <f t="shared" si="4332"/>
        <v>#N/A</v>
      </c>
      <c r="K2151" s="16" t="e">
        <f t="shared" si="4332"/>
        <v>#N/A</v>
      </c>
      <c r="L2151" s="40" t="e">
        <f t="shared" si="4233"/>
        <v>#N/A</v>
      </c>
      <c r="M2151" s="16" t="e">
        <f t="shared" si="4234"/>
        <v>#N/A</v>
      </c>
      <c r="N2151" s="16" t="e">
        <f t="shared" si="4235"/>
        <v>#N/A</v>
      </c>
      <c r="O2151" s="16" t="s">
        <v>71</v>
      </c>
      <c r="P2151" s="16" t="str">
        <f t="shared" si="6"/>
        <v/>
      </c>
      <c r="Q2151" s="41" t="e">
        <f t="shared" si="4236"/>
        <v>#N/A</v>
      </c>
      <c r="R2151" s="44"/>
      <c r="S2151" s="44"/>
      <c r="T2151" s="43"/>
      <c r="U2151" s="43" t="str">
        <f t="shared" si="8"/>
        <v>No</v>
      </c>
      <c r="V2151" s="25"/>
      <c r="W2151" s="25"/>
      <c r="X2151" s="25"/>
      <c r="Y2151" s="25"/>
      <c r="Z2151" s="25"/>
    </row>
    <row r="2152" spans="1:26" ht="15.75" customHeight="1" x14ac:dyDescent="0.25">
      <c r="A2152" s="25">
        <v>2150</v>
      </c>
      <c r="B2152" s="37" t="e">
        <f t="shared" ref="B2152:D2152" si="4333">VLOOKUP($A2152,[7]Hábitat!$A$2:$O$184,B$1,0)</f>
        <v>#N/A</v>
      </c>
      <c r="C2152" s="38" t="e">
        <f t="shared" si="4333"/>
        <v>#N/A</v>
      </c>
      <c r="D2152" s="39" t="e">
        <f t="shared" si="4333"/>
        <v>#N/A</v>
      </c>
      <c r="E2152" s="16" t="e">
        <f t="shared" si="1"/>
        <v>#N/A</v>
      </c>
      <c r="F2152" s="16" t="e">
        <f t="shared" ref="F2152:K2152" si="4334">VLOOKUP($A2152,[7]Hábitat!$A$2:$O$184,F$1,0)</f>
        <v>#N/A</v>
      </c>
      <c r="G2152" s="39" t="e">
        <f t="shared" si="4334"/>
        <v>#N/A</v>
      </c>
      <c r="H2152" s="16" t="e">
        <f t="shared" si="4334"/>
        <v>#N/A</v>
      </c>
      <c r="I2152" s="16" t="e">
        <f t="shared" si="4334"/>
        <v>#N/A</v>
      </c>
      <c r="J2152" s="40" t="e">
        <f t="shared" si="4334"/>
        <v>#N/A</v>
      </c>
      <c r="K2152" s="16" t="e">
        <f t="shared" si="4334"/>
        <v>#N/A</v>
      </c>
      <c r="L2152" s="40" t="e">
        <f t="shared" si="4233"/>
        <v>#N/A</v>
      </c>
      <c r="M2152" s="16" t="e">
        <f t="shared" si="4234"/>
        <v>#N/A</v>
      </c>
      <c r="N2152" s="16" t="e">
        <f t="shared" si="4235"/>
        <v>#N/A</v>
      </c>
      <c r="O2152" s="16" t="s">
        <v>71</v>
      </c>
      <c r="P2152" s="16" t="str">
        <f t="shared" si="6"/>
        <v/>
      </c>
      <c r="Q2152" s="41" t="e">
        <f t="shared" si="4236"/>
        <v>#N/A</v>
      </c>
      <c r="R2152" s="44"/>
      <c r="S2152" s="44"/>
      <c r="T2152" s="43"/>
      <c r="U2152" s="43" t="str">
        <f t="shared" si="8"/>
        <v>No</v>
      </c>
      <c r="V2152" s="25"/>
      <c r="W2152" s="25"/>
      <c r="X2152" s="25"/>
      <c r="Y2152" s="25"/>
      <c r="Z2152" s="25"/>
    </row>
    <row r="2153" spans="1:26" ht="15.75" customHeight="1" x14ac:dyDescent="0.25">
      <c r="A2153" s="25">
        <v>2151</v>
      </c>
      <c r="B2153" s="37" t="e">
        <f t="shared" ref="B2153:D2153" si="4335">VLOOKUP($A2153,[7]Hábitat!$A$2:$O$184,B$1,0)</f>
        <v>#N/A</v>
      </c>
      <c r="C2153" s="38" t="e">
        <f t="shared" si="4335"/>
        <v>#N/A</v>
      </c>
      <c r="D2153" s="39" t="e">
        <f t="shared" si="4335"/>
        <v>#N/A</v>
      </c>
      <c r="E2153" s="16" t="e">
        <f t="shared" si="1"/>
        <v>#N/A</v>
      </c>
      <c r="F2153" s="16" t="e">
        <f t="shared" ref="F2153:K2153" si="4336">VLOOKUP($A2153,[7]Hábitat!$A$2:$O$184,F$1,0)</f>
        <v>#N/A</v>
      </c>
      <c r="G2153" s="39" t="e">
        <f t="shared" si="4336"/>
        <v>#N/A</v>
      </c>
      <c r="H2153" s="16" t="e">
        <f t="shared" si="4336"/>
        <v>#N/A</v>
      </c>
      <c r="I2153" s="16" t="e">
        <f t="shared" si="4336"/>
        <v>#N/A</v>
      </c>
      <c r="J2153" s="40" t="e">
        <f t="shared" si="4336"/>
        <v>#N/A</v>
      </c>
      <c r="K2153" s="16" t="e">
        <f t="shared" si="4336"/>
        <v>#N/A</v>
      </c>
      <c r="L2153" s="40" t="e">
        <f t="shared" si="4233"/>
        <v>#N/A</v>
      </c>
      <c r="M2153" s="16" t="e">
        <f t="shared" si="4234"/>
        <v>#N/A</v>
      </c>
      <c r="N2153" s="16" t="e">
        <f t="shared" si="4235"/>
        <v>#N/A</v>
      </c>
      <c r="O2153" s="16" t="s">
        <v>71</v>
      </c>
      <c r="P2153" s="16" t="str">
        <f t="shared" si="6"/>
        <v/>
      </c>
      <c r="Q2153" s="41" t="e">
        <f t="shared" si="4236"/>
        <v>#N/A</v>
      </c>
      <c r="R2153" s="44"/>
      <c r="S2153" s="44"/>
      <c r="T2153" s="43"/>
      <c r="U2153" s="43" t="str">
        <f t="shared" si="8"/>
        <v>No</v>
      </c>
      <c r="V2153" s="25"/>
      <c r="W2153" s="25"/>
      <c r="X2153" s="25"/>
      <c r="Y2153" s="25"/>
      <c r="Z2153" s="25"/>
    </row>
    <row r="2154" spans="1:26" ht="15.75" customHeight="1" x14ac:dyDescent="0.25">
      <c r="A2154" s="25">
        <v>2152</v>
      </c>
      <c r="B2154" s="37" t="e">
        <f t="shared" ref="B2154:D2154" si="4337">VLOOKUP($A2154,[7]Hábitat!$A$2:$O$184,B$1,0)</f>
        <v>#N/A</v>
      </c>
      <c r="C2154" s="38" t="e">
        <f t="shared" si="4337"/>
        <v>#N/A</v>
      </c>
      <c r="D2154" s="39" t="e">
        <f t="shared" si="4337"/>
        <v>#N/A</v>
      </c>
      <c r="E2154" s="16" t="e">
        <f t="shared" si="1"/>
        <v>#N/A</v>
      </c>
      <c r="F2154" s="16" t="e">
        <f t="shared" ref="F2154:K2154" si="4338">VLOOKUP($A2154,[7]Hábitat!$A$2:$O$184,F$1,0)</f>
        <v>#N/A</v>
      </c>
      <c r="G2154" s="39" t="e">
        <f t="shared" si="4338"/>
        <v>#N/A</v>
      </c>
      <c r="H2154" s="16" t="e">
        <f t="shared" si="4338"/>
        <v>#N/A</v>
      </c>
      <c r="I2154" s="16" t="e">
        <f t="shared" si="4338"/>
        <v>#N/A</v>
      </c>
      <c r="J2154" s="40" t="e">
        <f t="shared" si="4338"/>
        <v>#N/A</v>
      </c>
      <c r="K2154" s="16" t="e">
        <f t="shared" si="4338"/>
        <v>#N/A</v>
      </c>
      <c r="L2154" s="40" t="e">
        <f t="shared" si="4233"/>
        <v>#N/A</v>
      </c>
      <c r="M2154" s="16" t="e">
        <f t="shared" si="4234"/>
        <v>#N/A</v>
      </c>
      <c r="N2154" s="16" t="e">
        <f t="shared" si="4235"/>
        <v>#N/A</v>
      </c>
      <c r="O2154" s="16" t="s">
        <v>71</v>
      </c>
      <c r="P2154" s="16" t="str">
        <f t="shared" si="6"/>
        <v/>
      </c>
      <c r="Q2154" s="41" t="e">
        <f t="shared" si="4236"/>
        <v>#N/A</v>
      </c>
      <c r="R2154" s="44"/>
      <c r="S2154" s="44"/>
      <c r="T2154" s="43"/>
      <c r="U2154" s="43" t="str">
        <f t="shared" si="8"/>
        <v>No</v>
      </c>
      <c r="V2154" s="25"/>
      <c r="W2154" s="25"/>
      <c r="X2154" s="25"/>
      <c r="Y2154" s="25"/>
      <c r="Z2154" s="25"/>
    </row>
    <row r="2155" spans="1:26" ht="15.75" customHeight="1" x14ac:dyDescent="0.25">
      <c r="A2155" s="25">
        <v>2153</v>
      </c>
      <c r="B2155" s="37" t="e">
        <f t="shared" ref="B2155:D2155" si="4339">VLOOKUP($A2155,[7]Hábitat!$A$2:$O$184,B$1,0)</f>
        <v>#N/A</v>
      </c>
      <c r="C2155" s="38" t="e">
        <f t="shared" si="4339"/>
        <v>#N/A</v>
      </c>
      <c r="D2155" s="39" t="e">
        <f t="shared" si="4339"/>
        <v>#N/A</v>
      </c>
      <c r="E2155" s="16" t="e">
        <f t="shared" si="1"/>
        <v>#N/A</v>
      </c>
      <c r="F2155" s="16" t="e">
        <f t="shared" ref="F2155:K2155" si="4340">VLOOKUP($A2155,[7]Hábitat!$A$2:$O$184,F$1,0)</f>
        <v>#N/A</v>
      </c>
      <c r="G2155" s="39" t="e">
        <f t="shared" si="4340"/>
        <v>#N/A</v>
      </c>
      <c r="H2155" s="16" t="e">
        <f t="shared" si="4340"/>
        <v>#N/A</v>
      </c>
      <c r="I2155" s="16" t="e">
        <f t="shared" si="4340"/>
        <v>#N/A</v>
      </c>
      <c r="J2155" s="40" t="e">
        <f t="shared" si="4340"/>
        <v>#N/A</v>
      </c>
      <c r="K2155" s="16" t="e">
        <f t="shared" si="4340"/>
        <v>#N/A</v>
      </c>
      <c r="L2155" s="40" t="e">
        <f t="shared" si="4233"/>
        <v>#N/A</v>
      </c>
      <c r="M2155" s="16" t="e">
        <f t="shared" si="4234"/>
        <v>#N/A</v>
      </c>
      <c r="N2155" s="16" t="e">
        <f t="shared" si="4235"/>
        <v>#N/A</v>
      </c>
      <c r="O2155" s="16" t="s">
        <v>71</v>
      </c>
      <c r="P2155" s="16" t="str">
        <f t="shared" si="6"/>
        <v/>
      </c>
      <c r="Q2155" s="41" t="e">
        <f t="shared" si="4236"/>
        <v>#N/A</v>
      </c>
      <c r="R2155" s="44"/>
      <c r="S2155" s="44"/>
      <c r="T2155" s="43"/>
      <c r="U2155" s="43" t="str">
        <f t="shared" si="8"/>
        <v>No</v>
      </c>
      <c r="V2155" s="25"/>
      <c r="W2155" s="25"/>
      <c r="X2155" s="25"/>
      <c r="Y2155" s="25"/>
      <c r="Z2155" s="25"/>
    </row>
    <row r="2156" spans="1:26" ht="15.75" customHeight="1" x14ac:dyDescent="0.25">
      <c r="A2156" s="25">
        <v>2154</v>
      </c>
      <c r="B2156" s="37" t="e">
        <f t="shared" ref="B2156:D2156" si="4341">VLOOKUP($A2156,[7]Hábitat!$A$2:$O$184,B$1,0)</f>
        <v>#N/A</v>
      </c>
      <c r="C2156" s="38" t="e">
        <f t="shared" si="4341"/>
        <v>#N/A</v>
      </c>
      <c r="D2156" s="39" t="e">
        <f t="shared" si="4341"/>
        <v>#N/A</v>
      </c>
      <c r="E2156" s="16" t="e">
        <f t="shared" si="1"/>
        <v>#N/A</v>
      </c>
      <c r="F2156" s="16" t="e">
        <f t="shared" ref="F2156:K2156" si="4342">VLOOKUP($A2156,[7]Hábitat!$A$2:$O$184,F$1,0)</f>
        <v>#N/A</v>
      </c>
      <c r="G2156" s="39" t="e">
        <f t="shared" si="4342"/>
        <v>#N/A</v>
      </c>
      <c r="H2156" s="16" t="e">
        <f t="shared" si="4342"/>
        <v>#N/A</v>
      </c>
      <c r="I2156" s="16" t="e">
        <f t="shared" si="4342"/>
        <v>#N/A</v>
      </c>
      <c r="J2156" s="40" t="e">
        <f t="shared" si="4342"/>
        <v>#N/A</v>
      </c>
      <c r="K2156" s="16" t="e">
        <f t="shared" si="4342"/>
        <v>#N/A</v>
      </c>
      <c r="L2156" s="40" t="e">
        <f t="shared" si="4233"/>
        <v>#N/A</v>
      </c>
      <c r="M2156" s="16" t="e">
        <f t="shared" si="4234"/>
        <v>#N/A</v>
      </c>
      <c r="N2156" s="16" t="e">
        <f t="shared" si="4235"/>
        <v>#N/A</v>
      </c>
      <c r="O2156" s="16" t="s">
        <v>71</v>
      </c>
      <c r="P2156" s="16" t="str">
        <f t="shared" si="6"/>
        <v/>
      </c>
      <c r="Q2156" s="41" t="e">
        <f t="shared" si="4236"/>
        <v>#N/A</v>
      </c>
      <c r="R2156" s="44"/>
      <c r="S2156" s="44"/>
      <c r="T2156" s="43"/>
      <c r="U2156" s="43" t="str">
        <f t="shared" si="8"/>
        <v>No</v>
      </c>
      <c r="V2156" s="25"/>
      <c r="W2156" s="25"/>
      <c r="X2156" s="25"/>
      <c r="Y2156" s="25"/>
      <c r="Z2156" s="25"/>
    </row>
    <row r="2157" spans="1:26" ht="15.75" customHeight="1" x14ac:dyDescent="0.25">
      <c r="A2157" s="25">
        <v>2155</v>
      </c>
      <c r="B2157" s="37" t="e">
        <f t="shared" ref="B2157:D2157" si="4343">VLOOKUP($A2157,[7]Hábitat!$A$2:$O$184,B$1,0)</f>
        <v>#N/A</v>
      </c>
      <c r="C2157" s="38" t="e">
        <f t="shared" si="4343"/>
        <v>#N/A</v>
      </c>
      <c r="D2157" s="39" t="e">
        <f t="shared" si="4343"/>
        <v>#N/A</v>
      </c>
      <c r="E2157" s="16" t="e">
        <f t="shared" si="1"/>
        <v>#N/A</v>
      </c>
      <c r="F2157" s="16" t="e">
        <f t="shared" ref="F2157:K2157" si="4344">VLOOKUP($A2157,[7]Hábitat!$A$2:$O$184,F$1,0)</f>
        <v>#N/A</v>
      </c>
      <c r="G2157" s="39" t="e">
        <f t="shared" si="4344"/>
        <v>#N/A</v>
      </c>
      <c r="H2157" s="16" t="e">
        <f t="shared" si="4344"/>
        <v>#N/A</v>
      </c>
      <c r="I2157" s="16" t="e">
        <f t="shared" si="4344"/>
        <v>#N/A</v>
      </c>
      <c r="J2157" s="40" t="e">
        <f t="shared" si="4344"/>
        <v>#N/A</v>
      </c>
      <c r="K2157" s="16" t="e">
        <f t="shared" si="4344"/>
        <v>#N/A</v>
      </c>
      <c r="L2157" s="40" t="e">
        <f t="shared" si="4233"/>
        <v>#N/A</v>
      </c>
      <c r="M2157" s="16" t="e">
        <f t="shared" si="4234"/>
        <v>#N/A</v>
      </c>
      <c r="N2157" s="16" t="e">
        <f t="shared" si="4235"/>
        <v>#N/A</v>
      </c>
      <c r="O2157" s="16" t="s">
        <v>71</v>
      </c>
      <c r="P2157" s="16" t="str">
        <f t="shared" si="6"/>
        <v/>
      </c>
      <c r="Q2157" s="41" t="e">
        <f t="shared" si="4236"/>
        <v>#N/A</v>
      </c>
      <c r="R2157" s="44"/>
      <c r="S2157" s="44"/>
      <c r="T2157" s="43"/>
      <c r="U2157" s="43" t="str">
        <f t="shared" si="8"/>
        <v>No</v>
      </c>
      <c r="V2157" s="25"/>
      <c r="W2157" s="25"/>
      <c r="X2157" s="25"/>
      <c r="Y2157" s="25"/>
      <c r="Z2157" s="25"/>
    </row>
    <row r="2158" spans="1:26" ht="15.75" customHeight="1" x14ac:dyDescent="0.25">
      <c r="A2158" s="25">
        <v>2156</v>
      </c>
      <c r="B2158" s="37" t="e">
        <f t="shared" ref="B2158:D2158" si="4345">VLOOKUP($A2158,[7]Hábitat!$A$2:$O$184,B$1,0)</f>
        <v>#N/A</v>
      </c>
      <c r="C2158" s="38" t="e">
        <f t="shared" si="4345"/>
        <v>#N/A</v>
      </c>
      <c r="D2158" s="39" t="e">
        <f t="shared" si="4345"/>
        <v>#N/A</v>
      </c>
      <c r="E2158" s="16" t="e">
        <f t="shared" si="1"/>
        <v>#N/A</v>
      </c>
      <c r="F2158" s="16" t="e">
        <f t="shared" ref="F2158:K2158" si="4346">VLOOKUP($A2158,[7]Hábitat!$A$2:$O$184,F$1,0)</f>
        <v>#N/A</v>
      </c>
      <c r="G2158" s="39" t="e">
        <f t="shared" si="4346"/>
        <v>#N/A</v>
      </c>
      <c r="H2158" s="16" t="e">
        <f t="shared" si="4346"/>
        <v>#N/A</v>
      </c>
      <c r="I2158" s="16" t="e">
        <f t="shared" si="4346"/>
        <v>#N/A</v>
      </c>
      <c r="J2158" s="40" t="e">
        <f t="shared" si="4346"/>
        <v>#N/A</v>
      </c>
      <c r="K2158" s="16" t="e">
        <f t="shared" si="4346"/>
        <v>#N/A</v>
      </c>
      <c r="L2158" s="40" t="e">
        <f t="shared" si="4233"/>
        <v>#N/A</v>
      </c>
      <c r="M2158" s="16" t="e">
        <f t="shared" si="4234"/>
        <v>#N/A</v>
      </c>
      <c r="N2158" s="16" t="e">
        <f t="shared" si="4235"/>
        <v>#N/A</v>
      </c>
      <c r="O2158" s="16" t="s">
        <v>71</v>
      </c>
      <c r="P2158" s="16" t="str">
        <f t="shared" si="6"/>
        <v/>
      </c>
      <c r="Q2158" s="41" t="e">
        <f t="shared" si="4236"/>
        <v>#N/A</v>
      </c>
      <c r="R2158" s="44"/>
      <c r="S2158" s="44"/>
      <c r="T2158" s="43"/>
      <c r="U2158" s="43" t="str">
        <f t="shared" si="8"/>
        <v>No</v>
      </c>
      <c r="V2158" s="25"/>
      <c r="W2158" s="25"/>
      <c r="X2158" s="25"/>
      <c r="Y2158" s="25"/>
      <c r="Z2158" s="25"/>
    </row>
    <row r="2159" spans="1:26" ht="15.75" customHeight="1" x14ac:dyDescent="0.25">
      <c r="A2159" s="25">
        <v>2157</v>
      </c>
      <c r="B2159" s="37" t="e">
        <f t="shared" ref="B2159:D2159" si="4347">VLOOKUP($A2159,[7]Hábitat!$A$2:$O$184,B$1,0)</f>
        <v>#N/A</v>
      </c>
      <c r="C2159" s="38" t="e">
        <f t="shared" si="4347"/>
        <v>#N/A</v>
      </c>
      <c r="D2159" s="39" t="e">
        <f t="shared" si="4347"/>
        <v>#N/A</v>
      </c>
      <c r="E2159" s="16" t="e">
        <f t="shared" si="1"/>
        <v>#N/A</v>
      </c>
      <c r="F2159" s="16" t="e">
        <f t="shared" ref="F2159:K2159" si="4348">VLOOKUP($A2159,[7]Hábitat!$A$2:$O$184,F$1,0)</f>
        <v>#N/A</v>
      </c>
      <c r="G2159" s="39" t="e">
        <f t="shared" si="4348"/>
        <v>#N/A</v>
      </c>
      <c r="H2159" s="16" t="e">
        <f t="shared" si="4348"/>
        <v>#N/A</v>
      </c>
      <c r="I2159" s="16" t="e">
        <f t="shared" si="4348"/>
        <v>#N/A</v>
      </c>
      <c r="J2159" s="40" t="e">
        <f t="shared" si="4348"/>
        <v>#N/A</v>
      </c>
      <c r="K2159" s="16" t="e">
        <f t="shared" si="4348"/>
        <v>#N/A</v>
      </c>
      <c r="L2159" s="40" t="e">
        <f t="shared" si="4233"/>
        <v>#N/A</v>
      </c>
      <c r="M2159" s="16" t="e">
        <f t="shared" si="4234"/>
        <v>#N/A</v>
      </c>
      <c r="N2159" s="16" t="e">
        <f t="shared" si="4235"/>
        <v>#N/A</v>
      </c>
      <c r="O2159" s="16" t="s">
        <v>71</v>
      </c>
      <c r="P2159" s="16" t="str">
        <f t="shared" si="6"/>
        <v/>
      </c>
      <c r="Q2159" s="41" t="e">
        <f t="shared" si="4236"/>
        <v>#N/A</v>
      </c>
      <c r="R2159" s="44"/>
      <c r="S2159" s="44"/>
      <c r="T2159" s="43"/>
      <c r="U2159" s="43" t="str">
        <f t="shared" si="8"/>
        <v>No</v>
      </c>
      <c r="V2159" s="25"/>
      <c r="W2159" s="25"/>
      <c r="X2159" s="25"/>
      <c r="Y2159" s="25"/>
      <c r="Z2159" s="25"/>
    </row>
    <row r="2160" spans="1:26" ht="15.75" customHeight="1" x14ac:dyDescent="0.25">
      <c r="A2160" s="25">
        <v>2158</v>
      </c>
      <c r="B2160" s="37" t="e">
        <f t="shared" ref="B2160:D2160" si="4349">VLOOKUP($A2160,[7]Hábitat!$A$2:$O$184,B$1,0)</f>
        <v>#N/A</v>
      </c>
      <c r="C2160" s="38" t="e">
        <f t="shared" si="4349"/>
        <v>#N/A</v>
      </c>
      <c r="D2160" s="39" t="e">
        <f t="shared" si="4349"/>
        <v>#N/A</v>
      </c>
      <c r="E2160" s="16" t="e">
        <f t="shared" si="1"/>
        <v>#N/A</v>
      </c>
      <c r="F2160" s="16" t="e">
        <f t="shared" ref="F2160:K2160" si="4350">VLOOKUP($A2160,[7]Hábitat!$A$2:$O$184,F$1,0)</f>
        <v>#N/A</v>
      </c>
      <c r="G2160" s="39" t="e">
        <f t="shared" si="4350"/>
        <v>#N/A</v>
      </c>
      <c r="H2160" s="16" t="e">
        <f t="shared" si="4350"/>
        <v>#N/A</v>
      </c>
      <c r="I2160" s="16" t="e">
        <f t="shared" si="4350"/>
        <v>#N/A</v>
      </c>
      <c r="J2160" s="40" t="e">
        <f t="shared" si="4350"/>
        <v>#N/A</v>
      </c>
      <c r="K2160" s="16" t="e">
        <f t="shared" si="4350"/>
        <v>#N/A</v>
      </c>
      <c r="L2160" s="40" t="e">
        <f t="shared" si="4233"/>
        <v>#N/A</v>
      </c>
      <c r="M2160" s="16" t="e">
        <f t="shared" si="4234"/>
        <v>#N/A</v>
      </c>
      <c r="N2160" s="16" t="e">
        <f t="shared" si="4235"/>
        <v>#N/A</v>
      </c>
      <c r="O2160" s="16" t="s">
        <v>71</v>
      </c>
      <c r="P2160" s="16" t="str">
        <f t="shared" si="6"/>
        <v/>
      </c>
      <c r="Q2160" s="41" t="e">
        <f t="shared" si="4236"/>
        <v>#N/A</v>
      </c>
      <c r="R2160" s="44"/>
      <c r="S2160" s="44"/>
      <c r="T2160" s="43"/>
      <c r="U2160" s="43" t="str">
        <f t="shared" si="8"/>
        <v>No</v>
      </c>
      <c r="V2160" s="25"/>
      <c r="W2160" s="25"/>
      <c r="X2160" s="25"/>
      <c r="Y2160" s="25"/>
      <c r="Z2160" s="25"/>
    </row>
    <row r="2161" spans="1:26" ht="15.75" customHeight="1" x14ac:dyDescent="0.25">
      <c r="A2161" s="25">
        <v>2159</v>
      </c>
      <c r="B2161" s="37" t="e">
        <f t="shared" ref="B2161:D2161" si="4351">VLOOKUP($A2161,[7]Hábitat!$A$2:$O$184,B$1,0)</f>
        <v>#N/A</v>
      </c>
      <c r="C2161" s="38" t="e">
        <f t="shared" si="4351"/>
        <v>#N/A</v>
      </c>
      <c r="D2161" s="39" t="e">
        <f t="shared" si="4351"/>
        <v>#N/A</v>
      </c>
      <c r="E2161" s="16" t="e">
        <f t="shared" si="1"/>
        <v>#N/A</v>
      </c>
      <c r="F2161" s="16" t="e">
        <f t="shared" ref="F2161:K2161" si="4352">VLOOKUP($A2161,[7]Hábitat!$A$2:$O$184,F$1,0)</f>
        <v>#N/A</v>
      </c>
      <c r="G2161" s="39" t="e">
        <f t="shared" si="4352"/>
        <v>#N/A</v>
      </c>
      <c r="H2161" s="16" t="e">
        <f t="shared" si="4352"/>
        <v>#N/A</v>
      </c>
      <c r="I2161" s="16" t="e">
        <f t="shared" si="4352"/>
        <v>#N/A</v>
      </c>
      <c r="J2161" s="40" t="e">
        <f t="shared" si="4352"/>
        <v>#N/A</v>
      </c>
      <c r="K2161" s="16" t="e">
        <f t="shared" si="4352"/>
        <v>#N/A</v>
      </c>
      <c r="L2161" s="40" t="e">
        <f t="shared" si="4233"/>
        <v>#N/A</v>
      </c>
      <c r="M2161" s="16" t="e">
        <f t="shared" si="4234"/>
        <v>#N/A</v>
      </c>
      <c r="N2161" s="16" t="e">
        <f t="shared" si="4235"/>
        <v>#N/A</v>
      </c>
      <c r="O2161" s="16" t="s">
        <v>71</v>
      </c>
      <c r="P2161" s="16" t="str">
        <f t="shared" si="6"/>
        <v/>
      </c>
      <c r="Q2161" s="41" t="e">
        <f t="shared" si="4236"/>
        <v>#N/A</v>
      </c>
      <c r="R2161" s="44"/>
      <c r="S2161" s="44"/>
      <c r="T2161" s="43"/>
      <c r="U2161" s="43" t="str">
        <f t="shared" si="8"/>
        <v>No</v>
      </c>
      <c r="V2161" s="25"/>
      <c r="W2161" s="25"/>
      <c r="X2161" s="25"/>
      <c r="Y2161" s="25"/>
      <c r="Z2161" s="25"/>
    </row>
    <row r="2162" spans="1:26" ht="15.75" customHeight="1" x14ac:dyDescent="0.25">
      <c r="A2162" s="25">
        <v>2160</v>
      </c>
      <c r="B2162" s="37" t="e">
        <f t="shared" ref="B2162:D2162" si="4353">VLOOKUP($A2162,[7]Hábitat!$A$2:$O$184,B$1,0)</f>
        <v>#N/A</v>
      </c>
      <c r="C2162" s="38" t="e">
        <f t="shared" si="4353"/>
        <v>#N/A</v>
      </c>
      <c r="D2162" s="39" t="e">
        <f t="shared" si="4353"/>
        <v>#N/A</v>
      </c>
      <c r="E2162" s="16" t="e">
        <f t="shared" si="1"/>
        <v>#N/A</v>
      </c>
      <c r="F2162" s="16" t="e">
        <f t="shared" ref="F2162:K2162" si="4354">VLOOKUP($A2162,[7]Hábitat!$A$2:$O$184,F$1,0)</f>
        <v>#N/A</v>
      </c>
      <c r="G2162" s="39" t="e">
        <f t="shared" si="4354"/>
        <v>#N/A</v>
      </c>
      <c r="H2162" s="16" t="e">
        <f t="shared" si="4354"/>
        <v>#N/A</v>
      </c>
      <c r="I2162" s="16" t="e">
        <f t="shared" si="4354"/>
        <v>#N/A</v>
      </c>
      <c r="J2162" s="40" t="e">
        <f t="shared" si="4354"/>
        <v>#N/A</v>
      </c>
      <c r="K2162" s="16" t="e">
        <f t="shared" si="4354"/>
        <v>#N/A</v>
      </c>
      <c r="L2162" s="40" t="e">
        <f t="shared" si="4233"/>
        <v>#N/A</v>
      </c>
      <c r="M2162" s="16" t="e">
        <f t="shared" si="4234"/>
        <v>#N/A</v>
      </c>
      <c r="N2162" s="16" t="e">
        <f t="shared" si="4235"/>
        <v>#N/A</v>
      </c>
      <c r="O2162" s="16" t="s">
        <v>71</v>
      </c>
      <c r="P2162" s="16" t="str">
        <f t="shared" si="6"/>
        <v/>
      </c>
      <c r="Q2162" s="41" t="e">
        <f t="shared" si="4236"/>
        <v>#N/A</v>
      </c>
      <c r="R2162" s="44"/>
      <c r="S2162" s="44"/>
      <c r="T2162" s="43"/>
      <c r="U2162" s="43" t="str">
        <f t="shared" si="8"/>
        <v>No</v>
      </c>
      <c r="V2162" s="25"/>
      <c r="W2162" s="25"/>
      <c r="X2162" s="25"/>
      <c r="Y2162" s="25"/>
      <c r="Z2162" s="25"/>
    </row>
    <row r="2163" spans="1:26" ht="15.75" customHeight="1" x14ac:dyDescent="0.25">
      <c r="A2163" s="25">
        <v>2161</v>
      </c>
      <c r="B2163" s="37" t="e">
        <f t="shared" ref="B2163:D2163" si="4355">VLOOKUP($A2163,[7]Hábitat!$A$2:$O$184,B$1,0)</f>
        <v>#N/A</v>
      </c>
      <c r="C2163" s="38" t="e">
        <f t="shared" si="4355"/>
        <v>#N/A</v>
      </c>
      <c r="D2163" s="39" t="e">
        <f t="shared" si="4355"/>
        <v>#N/A</v>
      </c>
      <c r="E2163" s="16" t="e">
        <f t="shared" si="1"/>
        <v>#N/A</v>
      </c>
      <c r="F2163" s="16" t="e">
        <f t="shared" ref="F2163:K2163" si="4356">VLOOKUP($A2163,[7]Hábitat!$A$2:$O$184,F$1,0)</f>
        <v>#N/A</v>
      </c>
      <c r="G2163" s="39" t="e">
        <f t="shared" si="4356"/>
        <v>#N/A</v>
      </c>
      <c r="H2163" s="16" t="e">
        <f t="shared" si="4356"/>
        <v>#N/A</v>
      </c>
      <c r="I2163" s="16" t="e">
        <f t="shared" si="4356"/>
        <v>#N/A</v>
      </c>
      <c r="J2163" s="40" t="e">
        <f t="shared" si="4356"/>
        <v>#N/A</v>
      </c>
      <c r="K2163" s="16" t="e">
        <f t="shared" si="4356"/>
        <v>#N/A</v>
      </c>
      <c r="L2163" s="40" t="e">
        <f t="shared" si="4233"/>
        <v>#N/A</v>
      </c>
      <c r="M2163" s="16" t="e">
        <f t="shared" si="4234"/>
        <v>#N/A</v>
      </c>
      <c r="N2163" s="16" t="e">
        <f t="shared" si="4235"/>
        <v>#N/A</v>
      </c>
      <c r="O2163" s="16" t="s">
        <v>71</v>
      </c>
      <c r="P2163" s="16" t="str">
        <f t="shared" si="6"/>
        <v/>
      </c>
      <c r="Q2163" s="41" t="e">
        <f t="shared" si="4236"/>
        <v>#N/A</v>
      </c>
      <c r="R2163" s="44"/>
      <c r="S2163" s="44"/>
      <c r="T2163" s="43"/>
      <c r="U2163" s="43" t="str">
        <f t="shared" si="8"/>
        <v>No</v>
      </c>
      <c r="V2163" s="25"/>
      <c r="W2163" s="25"/>
      <c r="X2163" s="25"/>
      <c r="Y2163" s="25"/>
      <c r="Z2163" s="25"/>
    </row>
    <row r="2164" spans="1:26" ht="15.75" customHeight="1" x14ac:dyDescent="0.25">
      <c r="A2164" s="25">
        <v>2162</v>
      </c>
      <c r="B2164" s="37" t="e">
        <f t="shared" ref="B2164:D2164" si="4357">VLOOKUP($A2164,[7]Hábitat!$A$2:$O$184,B$1,0)</f>
        <v>#N/A</v>
      </c>
      <c r="C2164" s="38" t="e">
        <f t="shared" si="4357"/>
        <v>#N/A</v>
      </c>
      <c r="D2164" s="39" t="e">
        <f t="shared" si="4357"/>
        <v>#N/A</v>
      </c>
      <c r="E2164" s="16" t="e">
        <f t="shared" si="1"/>
        <v>#N/A</v>
      </c>
      <c r="F2164" s="16" t="e">
        <f t="shared" ref="F2164:K2164" si="4358">VLOOKUP($A2164,[7]Hábitat!$A$2:$O$184,F$1,0)</f>
        <v>#N/A</v>
      </c>
      <c r="G2164" s="39" t="e">
        <f t="shared" si="4358"/>
        <v>#N/A</v>
      </c>
      <c r="H2164" s="16" t="e">
        <f t="shared" si="4358"/>
        <v>#N/A</v>
      </c>
      <c r="I2164" s="16" t="e">
        <f t="shared" si="4358"/>
        <v>#N/A</v>
      </c>
      <c r="J2164" s="40" t="e">
        <f t="shared" si="4358"/>
        <v>#N/A</v>
      </c>
      <c r="K2164" s="16" t="e">
        <f t="shared" si="4358"/>
        <v>#N/A</v>
      </c>
      <c r="L2164" s="40" t="e">
        <f t="shared" si="4233"/>
        <v>#N/A</v>
      </c>
      <c r="M2164" s="16" t="e">
        <f t="shared" si="4234"/>
        <v>#N/A</v>
      </c>
      <c r="N2164" s="16" t="e">
        <f t="shared" si="4235"/>
        <v>#N/A</v>
      </c>
      <c r="O2164" s="16" t="s">
        <v>71</v>
      </c>
      <c r="P2164" s="16" t="str">
        <f t="shared" si="6"/>
        <v/>
      </c>
      <c r="Q2164" s="41" t="e">
        <f t="shared" si="4236"/>
        <v>#N/A</v>
      </c>
      <c r="R2164" s="44"/>
      <c r="S2164" s="44"/>
      <c r="T2164" s="43"/>
      <c r="U2164" s="43" t="str">
        <f t="shared" si="8"/>
        <v>No</v>
      </c>
      <c r="V2164" s="25"/>
      <c r="W2164" s="25"/>
      <c r="X2164" s="25"/>
      <c r="Y2164" s="25"/>
      <c r="Z2164" s="25"/>
    </row>
    <row r="2165" spans="1:26" ht="15.75" customHeight="1" x14ac:dyDescent="0.25">
      <c r="A2165" s="25">
        <v>2163</v>
      </c>
      <c r="B2165" s="37" t="e">
        <f t="shared" ref="B2165:D2165" si="4359">VLOOKUP($A2165,[7]Hábitat!$A$2:$O$184,B$1,0)</f>
        <v>#N/A</v>
      </c>
      <c r="C2165" s="38" t="e">
        <f t="shared" si="4359"/>
        <v>#N/A</v>
      </c>
      <c r="D2165" s="39" t="e">
        <f t="shared" si="4359"/>
        <v>#N/A</v>
      </c>
      <c r="E2165" s="16" t="e">
        <f t="shared" si="1"/>
        <v>#N/A</v>
      </c>
      <c r="F2165" s="16" t="e">
        <f t="shared" ref="F2165:K2165" si="4360">VLOOKUP($A2165,[7]Hábitat!$A$2:$O$184,F$1,0)</f>
        <v>#N/A</v>
      </c>
      <c r="G2165" s="39" t="e">
        <f t="shared" si="4360"/>
        <v>#N/A</v>
      </c>
      <c r="H2165" s="16" t="e">
        <f t="shared" si="4360"/>
        <v>#N/A</v>
      </c>
      <c r="I2165" s="16" t="e">
        <f t="shared" si="4360"/>
        <v>#N/A</v>
      </c>
      <c r="J2165" s="40" t="e">
        <f t="shared" si="4360"/>
        <v>#N/A</v>
      </c>
      <c r="K2165" s="16" t="e">
        <f t="shared" si="4360"/>
        <v>#N/A</v>
      </c>
      <c r="L2165" s="40" t="e">
        <f t="shared" si="4233"/>
        <v>#N/A</v>
      </c>
      <c r="M2165" s="16" t="e">
        <f t="shared" si="4234"/>
        <v>#N/A</v>
      </c>
      <c r="N2165" s="16" t="e">
        <f t="shared" si="4235"/>
        <v>#N/A</v>
      </c>
      <c r="O2165" s="16" t="s">
        <v>71</v>
      </c>
      <c r="P2165" s="16" t="str">
        <f t="shared" si="6"/>
        <v/>
      </c>
      <c r="Q2165" s="41" t="e">
        <f t="shared" si="4236"/>
        <v>#N/A</v>
      </c>
      <c r="R2165" s="44"/>
      <c r="S2165" s="44"/>
      <c r="T2165" s="43"/>
      <c r="U2165" s="43" t="str">
        <f t="shared" si="8"/>
        <v>No</v>
      </c>
      <c r="V2165" s="25"/>
      <c r="W2165" s="25"/>
      <c r="X2165" s="25"/>
      <c r="Y2165" s="25"/>
      <c r="Z2165" s="25"/>
    </row>
    <row r="2166" spans="1:26" ht="15.75" customHeight="1" x14ac:dyDescent="0.25">
      <c r="A2166" s="25">
        <v>2164</v>
      </c>
      <c r="B2166" s="37" t="e">
        <f t="shared" ref="B2166:D2166" si="4361">VLOOKUP($A2166,[7]Hábitat!$A$2:$O$184,B$1,0)</f>
        <v>#N/A</v>
      </c>
      <c r="C2166" s="38" t="e">
        <f t="shared" si="4361"/>
        <v>#N/A</v>
      </c>
      <c r="D2166" s="39" t="e">
        <f t="shared" si="4361"/>
        <v>#N/A</v>
      </c>
      <c r="E2166" s="16" t="e">
        <f t="shared" si="1"/>
        <v>#N/A</v>
      </c>
      <c r="F2166" s="16" t="e">
        <f t="shared" ref="F2166:K2166" si="4362">VLOOKUP($A2166,[7]Hábitat!$A$2:$O$184,F$1,0)</f>
        <v>#N/A</v>
      </c>
      <c r="G2166" s="39" t="e">
        <f t="shared" si="4362"/>
        <v>#N/A</v>
      </c>
      <c r="H2166" s="16" t="e">
        <f t="shared" si="4362"/>
        <v>#N/A</v>
      </c>
      <c r="I2166" s="16" t="e">
        <f t="shared" si="4362"/>
        <v>#N/A</v>
      </c>
      <c r="J2166" s="40" t="e">
        <f t="shared" si="4362"/>
        <v>#N/A</v>
      </c>
      <c r="K2166" s="16" t="e">
        <f t="shared" si="4362"/>
        <v>#N/A</v>
      </c>
      <c r="L2166" s="40" t="e">
        <f t="shared" si="4233"/>
        <v>#N/A</v>
      </c>
      <c r="M2166" s="16" t="e">
        <f t="shared" si="4234"/>
        <v>#N/A</v>
      </c>
      <c r="N2166" s="16" t="e">
        <f t="shared" si="4235"/>
        <v>#N/A</v>
      </c>
      <c r="O2166" s="16" t="s">
        <v>71</v>
      </c>
      <c r="P2166" s="16" t="str">
        <f t="shared" si="6"/>
        <v/>
      </c>
      <c r="Q2166" s="41" t="e">
        <f t="shared" si="4236"/>
        <v>#N/A</v>
      </c>
      <c r="R2166" s="44"/>
      <c r="S2166" s="44"/>
      <c r="T2166" s="43"/>
      <c r="U2166" s="43" t="str">
        <f t="shared" si="8"/>
        <v>No</v>
      </c>
      <c r="V2166" s="25"/>
      <c r="W2166" s="25"/>
      <c r="X2166" s="25"/>
      <c r="Y2166" s="25"/>
      <c r="Z2166" s="25"/>
    </row>
    <row r="2167" spans="1:26" ht="15.75" customHeight="1" x14ac:dyDescent="0.25">
      <c r="A2167" s="25">
        <v>2165</v>
      </c>
      <c r="B2167" s="37" t="e">
        <f t="shared" ref="B2167:D2167" si="4363">VLOOKUP($A2167,[7]Hábitat!$A$2:$O$184,B$1,0)</f>
        <v>#N/A</v>
      </c>
      <c r="C2167" s="38" t="e">
        <f t="shared" si="4363"/>
        <v>#N/A</v>
      </c>
      <c r="D2167" s="39" t="e">
        <f t="shared" si="4363"/>
        <v>#N/A</v>
      </c>
      <c r="E2167" s="16" t="e">
        <f t="shared" si="1"/>
        <v>#N/A</v>
      </c>
      <c r="F2167" s="16" t="e">
        <f t="shared" ref="F2167:K2167" si="4364">VLOOKUP($A2167,[7]Hábitat!$A$2:$O$184,F$1,0)</f>
        <v>#N/A</v>
      </c>
      <c r="G2167" s="39" t="e">
        <f t="shared" si="4364"/>
        <v>#N/A</v>
      </c>
      <c r="H2167" s="16" t="e">
        <f t="shared" si="4364"/>
        <v>#N/A</v>
      </c>
      <c r="I2167" s="16" t="e">
        <f t="shared" si="4364"/>
        <v>#N/A</v>
      </c>
      <c r="J2167" s="40" t="e">
        <f t="shared" si="4364"/>
        <v>#N/A</v>
      </c>
      <c r="K2167" s="16" t="e">
        <f t="shared" si="4364"/>
        <v>#N/A</v>
      </c>
      <c r="L2167" s="40" t="e">
        <f t="shared" si="4233"/>
        <v>#N/A</v>
      </c>
      <c r="M2167" s="16" t="e">
        <f t="shared" si="4234"/>
        <v>#N/A</v>
      </c>
      <c r="N2167" s="16" t="e">
        <f t="shared" si="4235"/>
        <v>#N/A</v>
      </c>
      <c r="O2167" s="16" t="s">
        <v>71</v>
      </c>
      <c r="P2167" s="16" t="str">
        <f t="shared" si="6"/>
        <v/>
      </c>
      <c r="Q2167" s="41" t="e">
        <f t="shared" si="4236"/>
        <v>#N/A</v>
      </c>
      <c r="R2167" s="44"/>
      <c r="S2167" s="44"/>
      <c r="T2167" s="43"/>
      <c r="U2167" s="43" t="str">
        <f t="shared" si="8"/>
        <v>No</v>
      </c>
      <c r="V2167" s="25"/>
      <c r="W2167" s="25"/>
      <c r="X2167" s="25"/>
      <c r="Y2167" s="25"/>
      <c r="Z2167" s="25"/>
    </row>
    <row r="2168" spans="1:26" ht="15.75" customHeight="1" x14ac:dyDescent="0.25">
      <c r="A2168" s="25">
        <v>2166</v>
      </c>
      <c r="B2168" s="37" t="e">
        <f t="shared" ref="B2168:D2168" si="4365">VLOOKUP($A2168,[7]Hábitat!$A$2:$O$184,B$1,0)</f>
        <v>#N/A</v>
      </c>
      <c r="C2168" s="38" t="e">
        <f t="shared" si="4365"/>
        <v>#N/A</v>
      </c>
      <c r="D2168" s="39" t="e">
        <f t="shared" si="4365"/>
        <v>#N/A</v>
      </c>
      <c r="E2168" s="16" t="e">
        <f t="shared" si="1"/>
        <v>#N/A</v>
      </c>
      <c r="F2168" s="16" t="e">
        <f t="shared" ref="F2168:K2168" si="4366">VLOOKUP($A2168,[7]Hábitat!$A$2:$O$184,F$1,0)</f>
        <v>#N/A</v>
      </c>
      <c r="G2168" s="39" t="e">
        <f t="shared" si="4366"/>
        <v>#N/A</v>
      </c>
      <c r="H2168" s="16" t="e">
        <f t="shared" si="4366"/>
        <v>#N/A</v>
      </c>
      <c r="I2168" s="16" t="e">
        <f t="shared" si="4366"/>
        <v>#N/A</v>
      </c>
      <c r="J2168" s="40" t="e">
        <f t="shared" si="4366"/>
        <v>#N/A</v>
      </c>
      <c r="K2168" s="16" t="e">
        <f t="shared" si="4366"/>
        <v>#N/A</v>
      </c>
      <c r="L2168" s="40" t="e">
        <f t="shared" si="4233"/>
        <v>#N/A</v>
      </c>
      <c r="M2168" s="16" t="e">
        <f t="shared" si="4234"/>
        <v>#N/A</v>
      </c>
      <c r="N2168" s="16" t="e">
        <f t="shared" si="4235"/>
        <v>#N/A</v>
      </c>
      <c r="O2168" s="16" t="s">
        <v>71</v>
      </c>
      <c r="P2168" s="16" t="str">
        <f t="shared" si="6"/>
        <v/>
      </c>
      <c r="Q2168" s="41" t="e">
        <f t="shared" si="4236"/>
        <v>#N/A</v>
      </c>
      <c r="R2168" s="44"/>
      <c r="S2168" s="44"/>
      <c r="T2168" s="43"/>
      <c r="U2168" s="43" t="str">
        <f t="shared" si="8"/>
        <v>No</v>
      </c>
      <c r="V2168" s="25"/>
      <c r="W2168" s="25"/>
      <c r="X2168" s="25"/>
      <c r="Y2168" s="25"/>
      <c r="Z2168" s="25"/>
    </row>
    <row r="2169" spans="1:26" ht="15.75" customHeight="1" x14ac:dyDescent="0.25">
      <c r="A2169" s="25">
        <v>2167</v>
      </c>
      <c r="B2169" s="37" t="e">
        <f t="shared" ref="B2169:D2169" si="4367">VLOOKUP($A2169,[7]Hábitat!$A$2:$O$184,B$1,0)</f>
        <v>#N/A</v>
      </c>
      <c r="C2169" s="38" t="e">
        <f t="shared" si="4367"/>
        <v>#N/A</v>
      </c>
      <c r="D2169" s="39" t="e">
        <f t="shared" si="4367"/>
        <v>#N/A</v>
      </c>
      <c r="E2169" s="16" t="e">
        <f t="shared" si="1"/>
        <v>#N/A</v>
      </c>
      <c r="F2169" s="16" t="e">
        <f t="shared" ref="F2169:K2169" si="4368">VLOOKUP($A2169,[7]Hábitat!$A$2:$O$184,F$1,0)</f>
        <v>#N/A</v>
      </c>
      <c r="G2169" s="39" t="e">
        <f t="shared" si="4368"/>
        <v>#N/A</v>
      </c>
      <c r="H2169" s="16" t="e">
        <f t="shared" si="4368"/>
        <v>#N/A</v>
      </c>
      <c r="I2169" s="16" t="e">
        <f t="shared" si="4368"/>
        <v>#N/A</v>
      </c>
      <c r="J2169" s="40" t="e">
        <f t="shared" si="4368"/>
        <v>#N/A</v>
      </c>
      <c r="K2169" s="16" t="e">
        <f t="shared" si="4368"/>
        <v>#N/A</v>
      </c>
      <c r="L2169" s="40" t="e">
        <f t="shared" si="4233"/>
        <v>#N/A</v>
      </c>
      <c r="M2169" s="16" t="e">
        <f t="shared" si="4234"/>
        <v>#N/A</v>
      </c>
      <c r="N2169" s="16" t="e">
        <f t="shared" si="4235"/>
        <v>#N/A</v>
      </c>
      <c r="O2169" s="16" t="s">
        <v>71</v>
      </c>
      <c r="P2169" s="16" t="str">
        <f t="shared" si="6"/>
        <v/>
      </c>
      <c r="Q2169" s="41" t="e">
        <f t="shared" si="4236"/>
        <v>#N/A</v>
      </c>
      <c r="R2169" s="44"/>
      <c r="S2169" s="44"/>
      <c r="T2169" s="43"/>
      <c r="U2169" s="43" t="str">
        <f t="shared" si="8"/>
        <v>No</v>
      </c>
      <c r="V2169" s="25"/>
      <c r="W2169" s="25"/>
      <c r="X2169" s="25"/>
      <c r="Y2169" s="25"/>
      <c r="Z2169" s="25"/>
    </row>
    <row r="2170" spans="1:26" ht="15.75" customHeight="1" x14ac:dyDescent="0.25">
      <c r="A2170" s="25">
        <v>2168</v>
      </c>
      <c r="B2170" s="37" t="e">
        <f t="shared" ref="B2170:D2170" si="4369">VLOOKUP($A2170,[7]Hábitat!$A$2:$O$184,B$1,0)</f>
        <v>#N/A</v>
      </c>
      <c r="C2170" s="38" t="e">
        <f t="shared" si="4369"/>
        <v>#N/A</v>
      </c>
      <c r="D2170" s="39" t="e">
        <f t="shared" si="4369"/>
        <v>#N/A</v>
      </c>
      <c r="E2170" s="16" t="e">
        <f t="shared" si="1"/>
        <v>#N/A</v>
      </c>
      <c r="F2170" s="16" t="e">
        <f t="shared" ref="F2170:K2170" si="4370">VLOOKUP($A2170,[7]Hábitat!$A$2:$O$184,F$1,0)</f>
        <v>#N/A</v>
      </c>
      <c r="G2170" s="39" t="e">
        <f t="shared" si="4370"/>
        <v>#N/A</v>
      </c>
      <c r="H2170" s="16" t="e">
        <f t="shared" si="4370"/>
        <v>#N/A</v>
      </c>
      <c r="I2170" s="16" t="e">
        <f t="shared" si="4370"/>
        <v>#N/A</v>
      </c>
      <c r="J2170" s="40" t="e">
        <f t="shared" si="4370"/>
        <v>#N/A</v>
      </c>
      <c r="K2170" s="16" t="e">
        <f t="shared" si="4370"/>
        <v>#N/A</v>
      </c>
      <c r="L2170" s="40" t="e">
        <f t="shared" si="4233"/>
        <v>#N/A</v>
      </c>
      <c r="M2170" s="16" t="e">
        <f t="shared" si="4234"/>
        <v>#N/A</v>
      </c>
      <c r="N2170" s="16" t="e">
        <f t="shared" si="4235"/>
        <v>#N/A</v>
      </c>
      <c r="O2170" s="16" t="s">
        <v>71</v>
      </c>
      <c r="P2170" s="16" t="str">
        <f t="shared" si="6"/>
        <v/>
      </c>
      <c r="Q2170" s="41" t="e">
        <f t="shared" si="4236"/>
        <v>#N/A</v>
      </c>
      <c r="R2170" s="44"/>
      <c r="S2170" s="44"/>
      <c r="T2170" s="43"/>
      <c r="U2170" s="43" t="str">
        <f t="shared" si="8"/>
        <v>No</v>
      </c>
      <c r="V2170" s="25"/>
      <c r="W2170" s="25"/>
      <c r="X2170" s="25"/>
      <c r="Y2170" s="25"/>
      <c r="Z2170" s="25"/>
    </row>
    <row r="2171" spans="1:26" ht="15.75" customHeight="1" x14ac:dyDescent="0.25">
      <c r="A2171" s="25">
        <v>2169</v>
      </c>
      <c r="B2171" s="37" t="e">
        <f t="shared" ref="B2171:D2171" si="4371">VLOOKUP($A2171,[7]Hábitat!$A$2:$O$184,B$1,0)</f>
        <v>#N/A</v>
      </c>
      <c r="C2171" s="38" t="e">
        <f t="shared" si="4371"/>
        <v>#N/A</v>
      </c>
      <c r="D2171" s="39" t="e">
        <f t="shared" si="4371"/>
        <v>#N/A</v>
      </c>
      <c r="E2171" s="16" t="e">
        <f t="shared" si="1"/>
        <v>#N/A</v>
      </c>
      <c r="F2171" s="16" t="e">
        <f t="shared" ref="F2171:K2171" si="4372">VLOOKUP($A2171,[7]Hábitat!$A$2:$O$184,F$1,0)</f>
        <v>#N/A</v>
      </c>
      <c r="G2171" s="39" t="e">
        <f t="shared" si="4372"/>
        <v>#N/A</v>
      </c>
      <c r="H2171" s="16" t="e">
        <f t="shared" si="4372"/>
        <v>#N/A</v>
      </c>
      <c r="I2171" s="16" t="e">
        <f t="shared" si="4372"/>
        <v>#N/A</v>
      </c>
      <c r="J2171" s="40" t="e">
        <f t="shared" si="4372"/>
        <v>#N/A</v>
      </c>
      <c r="K2171" s="16" t="e">
        <f t="shared" si="4372"/>
        <v>#N/A</v>
      </c>
      <c r="L2171" s="40" t="e">
        <f t="shared" si="4233"/>
        <v>#N/A</v>
      </c>
      <c r="M2171" s="16" t="e">
        <f t="shared" si="4234"/>
        <v>#N/A</v>
      </c>
      <c r="N2171" s="16" t="e">
        <f t="shared" si="4235"/>
        <v>#N/A</v>
      </c>
      <c r="O2171" s="16" t="s">
        <v>71</v>
      </c>
      <c r="P2171" s="16" t="str">
        <f t="shared" si="6"/>
        <v/>
      </c>
      <c r="Q2171" s="41" t="e">
        <f t="shared" si="4236"/>
        <v>#N/A</v>
      </c>
      <c r="R2171" s="44"/>
      <c r="S2171" s="44"/>
      <c r="T2171" s="43"/>
      <c r="U2171" s="43" t="str">
        <f t="shared" si="8"/>
        <v>No</v>
      </c>
      <c r="V2171" s="25"/>
      <c r="W2171" s="25"/>
      <c r="X2171" s="25"/>
      <c r="Y2171" s="25"/>
      <c r="Z2171" s="25"/>
    </row>
    <row r="2172" spans="1:26" ht="15.75" customHeight="1" x14ac:dyDescent="0.25">
      <c r="A2172" s="25">
        <v>2170</v>
      </c>
      <c r="B2172" s="37" t="e">
        <f t="shared" ref="B2172:D2172" si="4373">VLOOKUP($A2172,[7]Hábitat!$A$2:$O$184,B$1,0)</f>
        <v>#N/A</v>
      </c>
      <c r="C2172" s="38" t="e">
        <f t="shared" si="4373"/>
        <v>#N/A</v>
      </c>
      <c r="D2172" s="39" t="e">
        <f t="shared" si="4373"/>
        <v>#N/A</v>
      </c>
      <c r="E2172" s="16" t="e">
        <f t="shared" si="1"/>
        <v>#N/A</v>
      </c>
      <c r="F2172" s="16" t="e">
        <f t="shared" ref="F2172:K2172" si="4374">VLOOKUP($A2172,[7]Hábitat!$A$2:$O$184,F$1,0)</f>
        <v>#N/A</v>
      </c>
      <c r="G2172" s="39" t="e">
        <f t="shared" si="4374"/>
        <v>#N/A</v>
      </c>
      <c r="H2172" s="16" t="e">
        <f t="shared" si="4374"/>
        <v>#N/A</v>
      </c>
      <c r="I2172" s="16" t="e">
        <f t="shared" si="4374"/>
        <v>#N/A</v>
      </c>
      <c r="J2172" s="40" t="e">
        <f t="shared" si="4374"/>
        <v>#N/A</v>
      </c>
      <c r="K2172" s="16" t="e">
        <f t="shared" si="4374"/>
        <v>#N/A</v>
      </c>
      <c r="L2172" s="40" t="e">
        <f t="shared" si="4233"/>
        <v>#N/A</v>
      </c>
      <c r="M2172" s="16" t="e">
        <f t="shared" si="4234"/>
        <v>#N/A</v>
      </c>
      <c r="N2172" s="16" t="e">
        <f t="shared" si="4235"/>
        <v>#N/A</v>
      </c>
      <c r="O2172" s="16" t="s">
        <v>71</v>
      </c>
      <c r="P2172" s="16" t="str">
        <f t="shared" si="6"/>
        <v/>
      </c>
      <c r="Q2172" s="41" t="e">
        <f t="shared" si="4236"/>
        <v>#N/A</v>
      </c>
      <c r="R2172" s="44"/>
      <c r="S2172" s="44"/>
      <c r="T2172" s="43"/>
      <c r="U2172" s="43" t="str">
        <f t="shared" si="8"/>
        <v>No</v>
      </c>
      <c r="V2172" s="25"/>
      <c r="W2172" s="25"/>
      <c r="X2172" s="25"/>
      <c r="Y2172" s="25"/>
      <c r="Z2172" s="25"/>
    </row>
    <row r="2173" spans="1:26" ht="15.75" customHeight="1" x14ac:dyDescent="0.25">
      <c r="A2173" s="25">
        <v>2171</v>
      </c>
      <c r="B2173" s="37" t="e">
        <f t="shared" ref="B2173:D2173" si="4375">VLOOKUP($A2173,[7]Hábitat!$A$2:$O$184,B$1,0)</f>
        <v>#N/A</v>
      </c>
      <c r="C2173" s="38" t="e">
        <f t="shared" si="4375"/>
        <v>#N/A</v>
      </c>
      <c r="D2173" s="39" t="e">
        <f t="shared" si="4375"/>
        <v>#N/A</v>
      </c>
      <c r="E2173" s="16" t="e">
        <f t="shared" si="1"/>
        <v>#N/A</v>
      </c>
      <c r="F2173" s="16" t="e">
        <f t="shared" ref="F2173:K2173" si="4376">VLOOKUP($A2173,[7]Hábitat!$A$2:$O$184,F$1,0)</f>
        <v>#N/A</v>
      </c>
      <c r="G2173" s="39" t="e">
        <f t="shared" si="4376"/>
        <v>#N/A</v>
      </c>
      <c r="H2173" s="16" t="e">
        <f t="shared" si="4376"/>
        <v>#N/A</v>
      </c>
      <c r="I2173" s="16" t="e">
        <f t="shared" si="4376"/>
        <v>#N/A</v>
      </c>
      <c r="J2173" s="40" t="e">
        <f t="shared" si="4376"/>
        <v>#N/A</v>
      </c>
      <c r="K2173" s="16" t="e">
        <f t="shared" si="4376"/>
        <v>#N/A</v>
      </c>
      <c r="L2173" s="40" t="e">
        <f t="shared" si="4233"/>
        <v>#N/A</v>
      </c>
      <c r="M2173" s="16" t="e">
        <f t="shared" si="4234"/>
        <v>#N/A</v>
      </c>
      <c r="N2173" s="16" t="e">
        <f t="shared" si="4235"/>
        <v>#N/A</v>
      </c>
      <c r="O2173" s="16" t="s">
        <v>71</v>
      </c>
      <c r="P2173" s="16" t="str">
        <f t="shared" si="6"/>
        <v/>
      </c>
      <c r="Q2173" s="41" t="e">
        <f t="shared" si="4236"/>
        <v>#N/A</v>
      </c>
      <c r="R2173" s="44"/>
      <c r="S2173" s="44"/>
      <c r="T2173" s="43"/>
      <c r="U2173" s="43" t="str">
        <f t="shared" si="8"/>
        <v>No</v>
      </c>
      <c r="V2173" s="25"/>
      <c r="W2173" s="25"/>
      <c r="X2173" s="25"/>
      <c r="Y2173" s="25"/>
      <c r="Z2173" s="25"/>
    </row>
    <row r="2174" spans="1:26" ht="15.75" customHeight="1" x14ac:dyDescent="0.25">
      <c r="A2174" s="25">
        <v>2172</v>
      </c>
      <c r="B2174" s="37" t="e">
        <f t="shared" ref="B2174:D2174" si="4377">VLOOKUP($A2174,[7]Hábitat!$A$2:$O$184,B$1,0)</f>
        <v>#N/A</v>
      </c>
      <c r="C2174" s="38" t="e">
        <f t="shared" si="4377"/>
        <v>#N/A</v>
      </c>
      <c r="D2174" s="39" t="e">
        <f t="shared" si="4377"/>
        <v>#N/A</v>
      </c>
      <c r="E2174" s="16" t="e">
        <f t="shared" si="1"/>
        <v>#N/A</v>
      </c>
      <c r="F2174" s="16" t="e">
        <f t="shared" ref="F2174:K2174" si="4378">VLOOKUP($A2174,[7]Hábitat!$A$2:$O$184,F$1,0)</f>
        <v>#N/A</v>
      </c>
      <c r="G2174" s="39" t="e">
        <f t="shared" si="4378"/>
        <v>#N/A</v>
      </c>
      <c r="H2174" s="16" t="e">
        <f t="shared" si="4378"/>
        <v>#N/A</v>
      </c>
      <c r="I2174" s="16" t="e">
        <f t="shared" si="4378"/>
        <v>#N/A</v>
      </c>
      <c r="J2174" s="40" t="e">
        <f t="shared" si="4378"/>
        <v>#N/A</v>
      </c>
      <c r="K2174" s="16" t="e">
        <f t="shared" si="4378"/>
        <v>#N/A</v>
      </c>
      <c r="L2174" s="40" t="e">
        <f t="shared" si="4233"/>
        <v>#N/A</v>
      </c>
      <c r="M2174" s="16" t="e">
        <f t="shared" si="4234"/>
        <v>#N/A</v>
      </c>
      <c r="N2174" s="16" t="e">
        <f t="shared" si="4235"/>
        <v>#N/A</v>
      </c>
      <c r="O2174" s="16" t="s">
        <v>71</v>
      </c>
      <c r="P2174" s="16" t="str">
        <f t="shared" si="6"/>
        <v/>
      </c>
      <c r="Q2174" s="41" t="e">
        <f t="shared" si="4236"/>
        <v>#N/A</v>
      </c>
      <c r="R2174" s="44"/>
      <c r="S2174" s="44"/>
      <c r="T2174" s="43"/>
      <c r="U2174" s="43" t="str">
        <f t="shared" si="8"/>
        <v>No</v>
      </c>
      <c r="V2174" s="25"/>
      <c r="W2174" s="25"/>
      <c r="X2174" s="25"/>
      <c r="Y2174" s="25"/>
      <c r="Z2174" s="25"/>
    </row>
    <row r="2175" spans="1:26" ht="15.75" customHeight="1" x14ac:dyDescent="0.25">
      <c r="A2175" s="25">
        <v>2173</v>
      </c>
      <c r="B2175" s="37" t="e">
        <f t="shared" ref="B2175:D2175" si="4379">VLOOKUP($A2175,[7]Hábitat!$A$2:$O$184,B$1,0)</f>
        <v>#N/A</v>
      </c>
      <c r="C2175" s="38" t="e">
        <f t="shared" si="4379"/>
        <v>#N/A</v>
      </c>
      <c r="D2175" s="39" t="e">
        <f t="shared" si="4379"/>
        <v>#N/A</v>
      </c>
      <c r="E2175" s="16" t="e">
        <f t="shared" si="1"/>
        <v>#N/A</v>
      </c>
      <c r="F2175" s="16" t="e">
        <f t="shared" ref="F2175:K2175" si="4380">VLOOKUP($A2175,[7]Hábitat!$A$2:$O$184,F$1,0)</f>
        <v>#N/A</v>
      </c>
      <c r="G2175" s="39" t="e">
        <f t="shared" si="4380"/>
        <v>#N/A</v>
      </c>
      <c r="H2175" s="16" t="e">
        <f t="shared" si="4380"/>
        <v>#N/A</v>
      </c>
      <c r="I2175" s="16" t="e">
        <f t="shared" si="4380"/>
        <v>#N/A</v>
      </c>
      <c r="J2175" s="40" t="e">
        <f t="shared" si="4380"/>
        <v>#N/A</v>
      </c>
      <c r="K2175" s="16" t="e">
        <f t="shared" si="4380"/>
        <v>#N/A</v>
      </c>
      <c r="L2175" s="40" t="e">
        <f t="shared" si="4233"/>
        <v>#N/A</v>
      </c>
      <c r="M2175" s="16" t="e">
        <f t="shared" si="4234"/>
        <v>#N/A</v>
      </c>
      <c r="N2175" s="16" t="e">
        <f t="shared" si="4235"/>
        <v>#N/A</v>
      </c>
      <c r="O2175" s="16" t="s">
        <v>71</v>
      </c>
      <c r="P2175" s="16" t="str">
        <f t="shared" si="6"/>
        <v/>
      </c>
      <c r="Q2175" s="41" t="e">
        <f t="shared" si="4236"/>
        <v>#N/A</v>
      </c>
      <c r="R2175" s="44"/>
      <c r="S2175" s="44"/>
      <c r="T2175" s="43"/>
      <c r="U2175" s="43" t="str">
        <f t="shared" si="8"/>
        <v>No</v>
      </c>
      <c r="V2175" s="25"/>
      <c r="W2175" s="25"/>
      <c r="X2175" s="25"/>
      <c r="Y2175" s="25"/>
      <c r="Z2175" s="25"/>
    </row>
    <row r="2176" spans="1:26" ht="15.75" customHeight="1" x14ac:dyDescent="0.25">
      <c r="A2176" s="25">
        <v>2174</v>
      </c>
      <c r="B2176" s="37" t="e">
        <f t="shared" ref="B2176:D2176" si="4381">VLOOKUP($A2176,[7]Hábitat!$A$2:$O$184,B$1,0)</f>
        <v>#N/A</v>
      </c>
      <c r="C2176" s="38" t="e">
        <f t="shared" si="4381"/>
        <v>#N/A</v>
      </c>
      <c r="D2176" s="39" t="e">
        <f t="shared" si="4381"/>
        <v>#N/A</v>
      </c>
      <c r="E2176" s="16" t="e">
        <f t="shared" si="1"/>
        <v>#N/A</v>
      </c>
      <c r="F2176" s="16" t="e">
        <f t="shared" ref="F2176:K2176" si="4382">VLOOKUP($A2176,[7]Hábitat!$A$2:$O$184,F$1,0)</f>
        <v>#N/A</v>
      </c>
      <c r="G2176" s="39" t="e">
        <f t="shared" si="4382"/>
        <v>#N/A</v>
      </c>
      <c r="H2176" s="16" t="e">
        <f t="shared" si="4382"/>
        <v>#N/A</v>
      </c>
      <c r="I2176" s="16" t="e">
        <f t="shared" si="4382"/>
        <v>#N/A</v>
      </c>
      <c r="J2176" s="40" t="e">
        <f t="shared" si="4382"/>
        <v>#N/A</v>
      </c>
      <c r="K2176" s="16" t="e">
        <f t="shared" si="4382"/>
        <v>#N/A</v>
      </c>
      <c r="L2176" s="40" t="e">
        <f t="shared" si="4233"/>
        <v>#N/A</v>
      </c>
      <c r="M2176" s="16" t="e">
        <f t="shared" si="4234"/>
        <v>#N/A</v>
      </c>
      <c r="N2176" s="16" t="e">
        <f t="shared" si="4235"/>
        <v>#N/A</v>
      </c>
      <c r="O2176" s="16" t="s">
        <v>71</v>
      </c>
      <c r="P2176" s="16" t="str">
        <f t="shared" si="6"/>
        <v/>
      </c>
      <c r="Q2176" s="41" t="e">
        <f t="shared" si="4236"/>
        <v>#N/A</v>
      </c>
      <c r="R2176" s="44"/>
      <c r="S2176" s="44"/>
      <c r="T2176" s="43"/>
      <c r="U2176" s="43" t="str">
        <f t="shared" si="8"/>
        <v>No</v>
      </c>
      <c r="V2176" s="25"/>
      <c r="W2176" s="25"/>
      <c r="X2176" s="25"/>
      <c r="Y2176" s="25"/>
      <c r="Z2176" s="25"/>
    </row>
    <row r="2177" spans="1:26" ht="15.75" customHeight="1" x14ac:dyDescent="0.25">
      <c r="A2177" s="25">
        <v>2175</v>
      </c>
      <c r="B2177" s="37" t="e">
        <f t="shared" ref="B2177:D2177" si="4383">VLOOKUP($A2177,[7]Hábitat!$A$2:$O$184,B$1,0)</f>
        <v>#N/A</v>
      </c>
      <c r="C2177" s="38" t="e">
        <f t="shared" si="4383"/>
        <v>#N/A</v>
      </c>
      <c r="D2177" s="39" t="e">
        <f t="shared" si="4383"/>
        <v>#N/A</v>
      </c>
      <c r="E2177" s="16" t="e">
        <f t="shared" si="1"/>
        <v>#N/A</v>
      </c>
      <c r="F2177" s="16" t="e">
        <f t="shared" ref="F2177:K2177" si="4384">VLOOKUP($A2177,[7]Hábitat!$A$2:$O$184,F$1,0)</f>
        <v>#N/A</v>
      </c>
      <c r="G2177" s="39" t="e">
        <f t="shared" si="4384"/>
        <v>#N/A</v>
      </c>
      <c r="H2177" s="16" t="e">
        <f t="shared" si="4384"/>
        <v>#N/A</v>
      </c>
      <c r="I2177" s="16" t="e">
        <f t="shared" si="4384"/>
        <v>#N/A</v>
      </c>
      <c r="J2177" s="40" t="e">
        <f t="shared" si="4384"/>
        <v>#N/A</v>
      </c>
      <c r="K2177" s="16" t="e">
        <f t="shared" si="4384"/>
        <v>#N/A</v>
      </c>
      <c r="L2177" s="40" t="e">
        <f t="shared" si="4233"/>
        <v>#N/A</v>
      </c>
      <c r="M2177" s="16" t="e">
        <f t="shared" si="4234"/>
        <v>#N/A</v>
      </c>
      <c r="N2177" s="16" t="e">
        <f t="shared" si="4235"/>
        <v>#N/A</v>
      </c>
      <c r="O2177" s="16" t="s">
        <v>71</v>
      </c>
      <c r="P2177" s="16" t="str">
        <f t="shared" si="6"/>
        <v/>
      </c>
      <c r="Q2177" s="41" t="e">
        <f t="shared" si="4236"/>
        <v>#N/A</v>
      </c>
      <c r="R2177" s="44"/>
      <c r="S2177" s="44"/>
      <c r="T2177" s="43"/>
      <c r="U2177" s="43" t="str">
        <f t="shared" si="8"/>
        <v>No</v>
      </c>
      <c r="V2177" s="25"/>
      <c r="W2177" s="25"/>
      <c r="X2177" s="25"/>
      <c r="Y2177" s="25"/>
      <c r="Z2177" s="25"/>
    </row>
    <row r="2178" spans="1:26" ht="15.75" customHeight="1" x14ac:dyDescent="0.25">
      <c r="A2178" s="25">
        <v>2176</v>
      </c>
      <c r="B2178" s="37" t="e">
        <f t="shared" ref="B2178:D2178" si="4385">VLOOKUP($A2178,[7]Hábitat!$A$2:$O$184,B$1,0)</f>
        <v>#N/A</v>
      </c>
      <c r="C2178" s="38" t="e">
        <f t="shared" si="4385"/>
        <v>#N/A</v>
      </c>
      <c r="D2178" s="39" t="e">
        <f t="shared" si="4385"/>
        <v>#N/A</v>
      </c>
      <c r="E2178" s="16" t="e">
        <f t="shared" si="1"/>
        <v>#N/A</v>
      </c>
      <c r="F2178" s="16" t="e">
        <f t="shared" ref="F2178:K2178" si="4386">VLOOKUP($A2178,[7]Hábitat!$A$2:$O$184,F$1,0)</f>
        <v>#N/A</v>
      </c>
      <c r="G2178" s="39" t="e">
        <f t="shared" si="4386"/>
        <v>#N/A</v>
      </c>
      <c r="H2178" s="16" t="e">
        <f t="shared" si="4386"/>
        <v>#N/A</v>
      </c>
      <c r="I2178" s="16" t="e">
        <f t="shared" si="4386"/>
        <v>#N/A</v>
      </c>
      <c r="J2178" s="40" t="e">
        <f t="shared" si="4386"/>
        <v>#N/A</v>
      </c>
      <c r="K2178" s="16" t="e">
        <f t="shared" si="4386"/>
        <v>#N/A</v>
      </c>
      <c r="L2178" s="40" t="e">
        <f t="shared" si="4233"/>
        <v>#N/A</v>
      </c>
      <c r="M2178" s="16" t="e">
        <f t="shared" si="4234"/>
        <v>#N/A</v>
      </c>
      <c r="N2178" s="16" t="e">
        <f t="shared" si="4235"/>
        <v>#N/A</v>
      </c>
      <c r="O2178" s="16" t="s">
        <v>71</v>
      </c>
      <c r="P2178" s="16" t="str">
        <f t="shared" si="6"/>
        <v/>
      </c>
      <c r="Q2178" s="41" t="e">
        <f t="shared" si="4236"/>
        <v>#N/A</v>
      </c>
      <c r="R2178" s="44"/>
      <c r="S2178" s="44"/>
      <c r="T2178" s="43"/>
      <c r="U2178" s="43" t="str">
        <f t="shared" si="8"/>
        <v>No</v>
      </c>
      <c r="V2178" s="25"/>
      <c r="W2178" s="25"/>
      <c r="X2178" s="25"/>
      <c r="Y2178" s="25"/>
      <c r="Z2178" s="25"/>
    </row>
    <row r="2179" spans="1:26" ht="15.75" customHeight="1" x14ac:dyDescent="0.25">
      <c r="A2179" s="25">
        <v>2177</v>
      </c>
      <c r="B2179" s="37" t="e">
        <f t="shared" ref="B2179:D2179" si="4387">VLOOKUP($A2179,[7]Hábitat!$A$2:$O$184,B$1,0)</f>
        <v>#N/A</v>
      </c>
      <c r="C2179" s="38" t="e">
        <f t="shared" si="4387"/>
        <v>#N/A</v>
      </c>
      <c r="D2179" s="39" t="e">
        <f t="shared" si="4387"/>
        <v>#N/A</v>
      </c>
      <c r="E2179" s="16" t="e">
        <f t="shared" si="1"/>
        <v>#N/A</v>
      </c>
      <c r="F2179" s="16" t="e">
        <f t="shared" ref="F2179:K2179" si="4388">VLOOKUP($A2179,[7]Hábitat!$A$2:$O$184,F$1,0)</f>
        <v>#N/A</v>
      </c>
      <c r="G2179" s="39" t="e">
        <f t="shared" si="4388"/>
        <v>#N/A</v>
      </c>
      <c r="H2179" s="16" t="e">
        <f t="shared" si="4388"/>
        <v>#N/A</v>
      </c>
      <c r="I2179" s="16" t="e">
        <f t="shared" si="4388"/>
        <v>#N/A</v>
      </c>
      <c r="J2179" s="40" t="e">
        <f t="shared" si="4388"/>
        <v>#N/A</v>
      </c>
      <c r="K2179" s="16" t="e">
        <f t="shared" si="4388"/>
        <v>#N/A</v>
      </c>
      <c r="L2179" s="40" t="e">
        <f t="shared" si="4233"/>
        <v>#N/A</v>
      </c>
      <c r="M2179" s="16" t="e">
        <f t="shared" si="4234"/>
        <v>#N/A</v>
      </c>
      <c r="N2179" s="16" t="e">
        <f t="shared" si="4235"/>
        <v>#N/A</v>
      </c>
      <c r="O2179" s="16" t="s">
        <v>71</v>
      </c>
      <c r="P2179" s="16" t="str">
        <f t="shared" si="6"/>
        <v/>
      </c>
      <c r="Q2179" s="41" t="e">
        <f t="shared" si="4236"/>
        <v>#N/A</v>
      </c>
      <c r="R2179" s="44"/>
      <c r="S2179" s="44"/>
      <c r="T2179" s="43"/>
      <c r="U2179" s="43" t="str">
        <f t="shared" si="8"/>
        <v>No</v>
      </c>
      <c r="V2179" s="25"/>
      <c r="W2179" s="25"/>
      <c r="X2179" s="25"/>
      <c r="Y2179" s="25"/>
      <c r="Z2179" s="25"/>
    </row>
    <row r="2180" spans="1:26" ht="15.75" customHeight="1" x14ac:dyDescent="0.25">
      <c r="A2180" s="25">
        <v>2178</v>
      </c>
      <c r="B2180" s="37" t="e">
        <f t="shared" ref="B2180:D2180" si="4389">VLOOKUP($A2180,[7]Hábitat!$A$2:$O$184,B$1,0)</f>
        <v>#N/A</v>
      </c>
      <c r="C2180" s="38" t="e">
        <f t="shared" si="4389"/>
        <v>#N/A</v>
      </c>
      <c r="D2180" s="39" t="e">
        <f t="shared" si="4389"/>
        <v>#N/A</v>
      </c>
      <c r="E2180" s="16" t="e">
        <f t="shared" si="1"/>
        <v>#N/A</v>
      </c>
      <c r="F2180" s="16" t="e">
        <f t="shared" ref="F2180:K2180" si="4390">VLOOKUP($A2180,[7]Hábitat!$A$2:$O$184,F$1,0)</f>
        <v>#N/A</v>
      </c>
      <c r="G2180" s="39" t="e">
        <f t="shared" si="4390"/>
        <v>#N/A</v>
      </c>
      <c r="H2180" s="16" t="e">
        <f t="shared" si="4390"/>
        <v>#N/A</v>
      </c>
      <c r="I2180" s="16" t="e">
        <f t="shared" si="4390"/>
        <v>#N/A</v>
      </c>
      <c r="J2180" s="40" t="e">
        <f t="shared" si="4390"/>
        <v>#N/A</v>
      </c>
      <c r="K2180" s="16" t="e">
        <f t="shared" si="4390"/>
        <v>#N/A</v>
      </c>
      <c r="L2180" s="40" t="e">
        <f t="shared" si="4233"/>
        <v>#N/A</v>
      </c>
      <c r="M2180" s="16" t="e">
        <f t="shared" si="4234"/>
        <v>#N/A</v>
      </c>
      <c r="N2180" s="16" t="e">
        <f t="shared" si="4235"/>
        <v>#N/A</v>
      </c>
      <c r="O2180" s="16" t="s">
        <v>71</v>
      </c>
      <c r="P2180" s="16" t="str">
        <f t="shared" si="6"/>
        <v/>
      </c>
      <c r="Q2180" s="41" t="e">
        <f t="shared" si="4236"/>
        <v>#N/A</v>
      </c>
      <c r="R2180" s="44"/>
      <c r="S2180" s="44"/>
      <c r="T2180" s="43"/>
      <c r="U2180" s="43" t="str">
        <f t="shared" si="8"/>
        <v>No</v>
      </c>
      <c r="V2180" s="25"/>
      <c r="W2180" s="25"/>
      <c r="X2180" s="25"/>
      <c r="Y2180" s="25"/>
      <c r="Z2180" s="25"/>
    </row>
    <row r="2181" spans="1:26" ht="15.75" customHeight="1" x14ac:dyDescent="0.25">
      <c r="A2181" s="25">
        <v>2179</v>
      </c>
      <c r="B2181" s="37" t="e">
        <f t="shared" ref="B2181:D2181" si="4391">VLOOKUP($A2181,[7]Hábitat!$A$2:$O$184,B$1,0)</f>
        <v>#N/A</v>
      </c>
      <c r="C2181" s="38" t="e">
        <f t="shared" si="4391"/>
        <v>#N/A</v>
      </c>
      <c r="D2181" s="39" t="e">
        <f t="shared" si="4391"/>
        <v>#N/A</v>
      </c>
      <c r="E2181" s="16" t="e">
        <f t="shared" si="1"/>
        <v>#N/A</v>
      </c>
      <c r="F2181" s="16" t="e">
        <f t="shared" ref="F2181:K2181" si="4392">VLOOKUP($A2181,[7]Hábitat!$A$2:$O$184,F$1,0)</f>
        <v>#N/A</v>
      </c>
      <c r="G2181" s="39" t="e">
        <f t="shared" si="4392"/>
        <v>#N/A</v>
      </c>
      <c r="H2181" s="16" t="e">
        <f t="shared" si="4392"/>
        <v>#N/A</v>
      </c>
      <c r="I2181" s="16" t="e">
        <f t="shared" si="4392"/>
        <v>#N/A</v>
      </c>
      <c r="J2181" s="40" t="e">
        <f t="shared" si="4392"/>
        <v>#N/A</v>
      </c>
      <c r="K2181" s="16" t="e">
        <f t="shared" si="4392"/>
        <v>#N/A</v>
      </c>
      <c r="L2181" s="40" t="e">
        <f t="shared" si="4233"/>
        <v>#N/A</v>
      </c>
      <c r="M2181" s="16" t="e">
        <f t="shared" si="4234"/>
        <v>#N/A</v>
      </c>
      <c r="N2181" s="16" t="e">
        <f t="shared" si="4235"/>
        <v>#N/A</v>
      </c>
      <c r="O2181" s="16" t="s">
        <v>71</v>
      </c>
      <c r="P2181" s="16" t="str">
        <f t="shared" si="6"/>
        <v/>
      </c>
      <c r="Q2181" s="41" t="e">
        <f t="shared" si="4236"/>
        <v>#N/A</v>
      </c>
      <c r="R2181" s="44"/>
      <c r="S2181" s="44"/>
      <c r="T2181" s="43"/>
      <c r="U2181" s="43" t="str">
        <f t="shared" si="8"/>
        <v>No</v>
      </c>
      <c r="V2181" s="25"/>
      <c r="W2181" s="25"/>
      <c r="X2181" s="25"/>
      <c r="Y2181" s="25"/>
      <c r="Z2181" s="25"/>
    </row>
    <row r="2182" spans="1:26" ht="15.75" customHeight="1" x14ac:dyDescent="0.25">
      <c r="A2182" s="25">
        <v>2180</v>
      </c>
      <c r="B2182" s="37" t="e">
        <f t="shared" ref="B2182:D2182" si="4393">VLOOKUP($A2182,[7]Hábitat!$A$2:$O$184,B$1,0)</f>
        <v>#N/A</v>
      </c>
      <c r="C2182" s="38" t="e">
        <f t="shared" si="4393"/>
        <v>#N/A</v>
      </c>
      <c r="D2182" s="39" t="e">
        <f t="shared" si="4393"/>
        <v>#N/A</v>
      </c>
      <c r="E2182" s="16" t="e">
        <f t="shared" si="1"/>
        <v>#N/A</v>
      </c>
      <c r="F2182" s="16" t="e">
        <f t="shared" ref="F2182:K2182" si="4394">VLOOKUP($A2182,[7]Hábitat!$A$2:$O$184,F$1,0)</f>
        <v>#N/A</v>
      </c>
      <c r="G2182" s="39" t="e">
        <f t="shared" si="4394"/>
        <v>#N/A</v>
      </c>
      <c r="H2182" s="16" t="e">
        <f t="shared" si="4394"/>
        <v>#N/A</v>
      </c>
      <c r="I2182" s="16" t="e">
        <f t="shared" si="4394"/>
        <v>#N/A</v>
      </c>
      <c r="J2182" s="40" t="e">
        <f t="shared" si="4394"/>
        <v>#N/A</v>
      </c>
      <c r="K2182" s="16" t="e">
        <f t="shared" si="4394"/>
        <v>#N/A</v>
      </c>
      <c r="L2182" s="40" t="e">
        <f t="shared" si="4233"/>
        <v>#N/A</v>
      </c>
      <c r="M2182" s="16" t="e">
        <f t="shared" si="4234"/>
        <v>#N/A</v>
      </c>
      <c r="N2182" s="16" t="e">
        <f t="shared" si="4235"/>
        <v>#N/A</v>
      </c>
      <c r="O2182" s="16" t="s">
        <v>71</v>
      </c>
      <c r="P2182" s="16" t="str">
        <f t="shared" si="6"/>
        <v/>
      </c>
      <c r="Q2182" s="41" t="e">
        <f t="shared" si="4236"/>
        <v>#N/A</v>
      </c>
      <c r="R2182" s="44"/>
      <c r="S2182" s="44"/>
      <c r="T2182" s="43"/>
      <c r="U2182" s="43" t="str">
        <f t="shared" si="8"/>
        <v>No</v>
      </c>
      <c r="V2182" s="25"/>
      <c r="W2182" s="25"/>
      <c r="X2182" s="25"/>
      <c r="Y2182" s="25"/>
      <c r="Z2182" s="25"/>
    </row>
    <row r="2183" spans="1:26" ht="15.75" customHeight="1" x14ac:dyDescent="0.25">
      <c r="A2183" s="25">
        <v>2181</v>
      </c>
      <c r="B2183" s="37" t="e">
        <f t="shared" ref="B2183:D2183" si="4395">VLOOKUP($A2183,[7]Hábitat!$A$2:$O$184,B$1,0)</f>
        <v>#N/A</v>
      </c>
      <c r="C2183" s="38" t="e">
        <f t="shared" si="4395"/>
        <v>#N/A</v>
      </c>
      <c r="D2183" s="39" t="e">
        <f t="shared" si="4395"/>
        <v>#N/A</v>
      </c>
      <c r="E2183" s="16" t="e">
        <f t="shared" si="1"/>
        <v>#N/A</v>
      </c>
      <c r="F2183" s="16" t="e">
        <f t="shared" ref="F2183:K2183" si="4396">VLOOKUP($A2183,[7]Hábitat!$A$2:$O$184,F$1,0)</f>
        <v>#N/A</v>
      </c>
      <c r="G2183" s="39" t="e">
        <f t="shared" si="4396"/>
        <v>#N/A</v>
      </c>
      <c r="H2183" s="16" t="e">
        <f t="shared" si="4396"/>
        <v>#N/A</v>
      </c>
      <c r="I2183" s="16" t="e">
        <f t="shared" si="4396"/>
        <v>#N/A</v>
      </c>
      <c r="J2183" s="40" t="e">
        <f t="shared" si="4396"/>
        <v>#N/A</v>
      </c>
      <c r="K2183" s="16" t="e">
        <f t="shared" si="4396"/>
        <v>#N/A</v>
      </c>
      <c r="L2183" s="40" t="e">
        <f t="shared" si="4233"/>
        <v>#N/A</v>
      </c>
      <c r="M2183" s="16" t="e">
        <f t="shared" si="4234"/>
        <v>#N/A</v>
      </c>
      <c r="N2183" s="16" t="e">
        <f t="shared" si="4235"/>
        <v>#N/A</v>
      </c>
      <c r="O2183" s="16" t="s">
        <v>71</v>
      </c>
      <c r="P2183" s="16" t="str">
        <f t="shared" si="6"/>
        <v/>
      </c>
      <c r="Q2183" s="41" t="e">
        <f t="shared" si="4236"/>
        <v>#N/A</v>
      </c>
      <c r="R2183" s="44"/>
      <c r="S2183" s="44"/>
      <c r="T2183" s="43"/>
      <c r="U2183" s="43" t="str">
        <f t="shared" si="8"/>
        <v>No</v>
      </c>
      <c r="V2183" s="25"/>
      <c r="W2183" s="25"/>
      <c r="X2183" s="25"/>
      <c r="Y2183" s="25"/>
      <c r="Z2183" s="25"/>
    </row>
    <row r="2184" spans="1:26" ht="15.75" customHeight="1" x14ac:dyDescent="0.25">
      <c r="A2184" s="25">
        <v>2182</v>
      </c>
      <c r="B2184" s="37" t="e">
        <f t="shared" ref="B2184:D2184" si="4397">VLOOKUP($A2184,[7]Hábitat!$A$2:$O$184,B$1,0)</f>
        <v>#N/A</v>
      </c>
      <c r="C2184" s="38" t="e">
        <f t="shared" si="4397"/>
        <v>#N/A</v>
      </c>
      <c r="D2184" s="39" t="e">
        <f t="shared" si="4397"/>
        <v>#N/A</v>
      </c>
      <c r="E2184" s="16" t="e">
        <f t="shared" si="1"/>
        <v>#N/A</v>
      </c>
      <c r="F2184" s="16" t="e">
        <f t="shared" ref="F2184:K2184" si="4398">VLOOKUP($A2184,[7]Hábitat!$A$2:$O$184,F$1,0)</f>
        <v>#N/A</v>
      </c>
      <c r="G2184" s="39" t="e">
        <f t="shared" si="4398"/>
        <v>#N/A</v>
      </c>
      <c r="H2184" s="16" t="e">
        <f t="shared" si="4398"/>
        <v>#N/A</v>
      </c>
      <c r="I2184" s="16" t="e">
        <f t="shared" si="4398"/>
        <v>#N/A</v>
      </c>
      <c r="J2184" s="40" t="e">
        <f t="shared" si="4398"/>
        <v>#N/A</v>
      </c>
      <c r="K2184" s="16" t="e">
        <f t="shared" si="4398"/>
        <v>#N/A</v>
      </c>
      <c r="L2184" s="40" t="e">
        <f t="shared" si="4233"/>
        <v>#N/A</v>
      </c>
      <c r="M2184" s="16" t="e">
        <f t="shared" si="4234"/>
        <v>#N/A</v>
      </c>
      <c r="N2184" s="16" t="e">
        <f t="shared" si="4235"/>
        <v>#N/A</v>
      </c>
      <c r="O2184" s="16" t="s">
        <v>71</v>
      </c>
      <c r="P2184" s="16" t="str">
        <f t="shared" si="6"/>
        <v/>
      </c>
      <c r="Q2184" s="41" t="e">
        <f t="shared" si="4236"/>
        <v>#N/A</v>
      </c>
      <c r="R2184" s="44"/>
      <c r="S2184" s="44"/>
      <c r="T2184" s="43"/>
      <c r="U2184" s="43" t="str">
        <f t="shared" si="8"/>
        <v>No</v>
      </c>
      <c r="V2184" s="25"/>
      <c r="W2184" s="25"/>
      <c r="X2184" s="25"/>
      <c r="Y2184" s="25"/>
      <c r="Z2184" s="25"/>
    </row>
    <row r="2185" spans="1:26" ht="15.75" customHeight="1" x14ac:dyDescent="0.25">
      <c r="A2185" s="25">
        <v>2183</v>
      </c>
      <c r="B2185" s="37" t="e">
        <f t="shared" ref="B2185:D2185" si="4399">VLOOKUP($A2185,[7]Hábitat!$A$2:$O$184,B$1,0)</f>
        <v>#N/A</v>
      </c>
      <c r="C2185" s="38" t="e">
        <f t="shared" si="4399"/>
        <v>#N/A</v>
      </c>
      <c r="D2185" s="39" t="e">
        <f t="shared" si="4399"/>
        <v>#N/A</v>
      </c>
      <c r="E2185" s="16" t="e">
        <f t="shared" si="1"/>
        <v>#N/A</v>
      </c>
      <c r="F2185" s="16" t="e">
        <f t="shared" ref="F2185:K2185" si="4400">VLOOKUP($A2185,[7]Hábitat!$A$2:$O$184,F$1,0)</f>
        <v>#N/A</v>
      </c>
      <c r="G2185" s="39" t="e">
        <f t="shared" si="4400"/>
        <v>#N/A</v>
      </c>
      <c r="H2185" s="16" t="e">
        <f t="shared" si="4400"/>
        <v>#N/A</v>
      </c>
      <c r="I2185" s="16" t="e">
        <f t="shared" si="4400"/>
        <v>#N/A</v>
      </c>
      <c r="J2185" s="40" t="e">
        <f t="shared" si="4400"/>
        <v>#N/A</v>
      </c>
      <c r="K2185" s="16" t="e">
        <f t="shared" si="4400"/>
        <v>#N/A</v>
      </c>
      <c r="L2185" s="40" t="e">
        <f t="shared" si="4233"/>
        <v>#N/A</v>
      </c>
      <c r="M2185" s="16" t="e">
        <f t="shared" si="4234"/>
        <v>#N/A</v>
      </c>
      <c r="N2185" s="16" t="e">
        <f t="shared" si="4235"/>
        <v>#N/A</v>
      </c>
      <c r="O2185" s="16" t="s">
        <v>71</v>
      </c>
      <c r="P2185" s="16" t="str">
        <f t="shared" si="6"/>
        <v/>
      </c>
      <c r="Q2185" s="41" t="e">
        <f t="shared" si="4236"/>
        <v>#N/A</v>
      </c>
      <c r="R2185" s="44"/>
      <c r="S2185" s="44"/>
      <c r="T2185" s="43"/>
      <c r="U2185" s="43" t="str">
        <f t="shared" si="8"/>
        <v>No</v>
      </c>
      <c r="V2185" s="25"/>
      <c r="W2185" s="25"/>
      <c r="X2185" s="25"/>
      <c r="Y2185" s="25"/>
      <c r="Z2185" s="25"/>
    </row>
    <row r="2186" spans="1:26" ht="15.75" customHeight="1" x14ac:dyDescent="0.25">
      <c r="A2186" s="25">
        <v>2184</v>
      </c>
      <c r="B2186" s="37" t="e">
        <f t="shared" ref="B2186:D2186" si="4401">VLOOKUP($A2186,[7]Hábitat!$A$2:$O$184,B$1,0)</f>
        <v>#N/A</v>
      </c>
      <c r="C2186" s="38" t="e">
        <f t="shared" si="4401"/>
        <v>#N/A</v>
      </c>
      <c r="D2186" s="39" t="e">
        <f t="shared" si="4401"/>
        <v>#N/A</v>
      </c>
      <c r="E2186" s="16" t="e">
        <f t="shared" si="1"/>
        <v>#N/A</v>
      </c>
      <c r="F2186" s="16" t="e">
        <f t="shared" ref="F2186:K2186" si="4402">VLOOKUP($A2186,[7]Hábitat!$A$2:$O$184,F$1,0)</f>
        <v>#N/A</v>
      </c>
      <c r="G2186" s="39" t="e">
        <f t="shared" si="4402"/>
        <v>#N/A</v>
      </c>
      <c r="H2186" s="16" t="e">
        <f t="shared" si="4402"/>
        <v>#N/A</v>
      </c>
      <c r="I2186" s="16" t="e">
        <f t="shared" si="4402"/>
        <v>#N/A</v>
      </c>
      <c r="J2186" s="40" t="e">
        <f t="shared" si="4402"/>
        <v>#N/A</v>
      </c>
      <c r="K2186" s="16" t="e">
        <f t="shared" si="4402"/>
        <v>#N/A</v>
      </c>
      <c r="L2186" s="40" t="e">
        <f t="shared" si="4233"/>
        <v>#N/A</v>
      </c>
      <c r="M2186" s="16" t="e">
        <f t="shared" si="4234"/>
        <v>#N/A</v>
      </c>
      <c r="N2186" s="16" t="e">
        <f t="shared" si="4235"/>
        <v>#N/A</v>
      </c>
      <c r="O2186" s="16" t="s">
        <v>71</v>
      </c>
      <c r="P2186" s="16" t="str">
        <f t="shared" si="6"/>
        <v/>
      </c>
      <c r="Q2186" s="41" t="e">
        <f t="shared" si="4236"/>
        <v>#N/A</v>
      </c>
      <c r="R2186" s="44"/>
      <c r="S2186" s="44"/>
      <c r="T2186" s="43"/>
      <c r="U2186" s="43" t="str">
        <f t="shared" si="8"/>
        <v>No</v>
      </c>
      <c r="V2186" s="25"/>
      <c r="W2186" s="25"/>
      <c r="X2186" s="25"/>
      <c r="Y2186" s="25"/>
      <c r="Z2186" s="25"/>
    </row>
    <row r="2187" spans="1:26" ht="15.75" customHeight="1" x14ac:dyDescent="0.25">
      <c r="A2187" s="25">
        <v>2185</v>
      </c>
      <c r="B2187" s="37" t="e">
        <f t="shared" ref="B2187:D2187" si="4403">VLOOKUP($A2187,[7]Hábitat!$A$2:$O$184,B$1,0)</f>
        <v>#N/A</v>
      </c>
      <c r="C2187" s="38" t="e">
        <f t="shared" si="4403"/>
        <v>#N/A</v>
      </c>
      <c r="D2187" s="39" t="e">
        <f t="shared" si="4403"/>
        <v>#N/A</v>
      </c>
      <c r="E2187" s="16" t="e">
        <f t="shared" si="1"/>
        <v>#N/A</v>
      </c>
      <c r="F2187" s="16" t="e">
        <f t="shared" ref="F2187:K2187" si="4404">VLOOKUP($A2187,[7]Hábitat!$A$2:$O$184,F$1,0)</f>
        <v>#N/A</v>
      </c>
      <c r="G2187" s="39" t="e">
        <f t="shared" si="4404"/>
        <v>#N/A</v>
      </c>
      <c r="H2187" s="16" t="e">
        <f t="shared" si="4404"/>
        <v>#N/A</v>
      </c>
      <c r="I2187" s="16" t="e">
        <f t="shared" si="4404"/>
        <v>#N/A</v>
      </c>
      <c r="J2187" s="40" t="e">
        <f t="shared" si="4404"/>
        <v>#N/A</v>
      </c>
      <c r="K2187" s="16" t="e">
        <f t="shared" si="4404"/>
        <v>#N/A</v>
      </c>
      <c r="L2187" s="40" t="e">
        <f t="shared" si="4233"/>
        <v>#N/A</v>
      </c>
      <c r="M2187" s="16" t="e">
        <f t="shared" si="4234"/>
        <v>#N/A</v>
      </c>
      <c r="N2187" s="16" t="e">
        <f t="shared" si="4235"/>
        <v>#N/A</v>
      </c>
      <c r="O2187" s="16" t="s">
        <v>71</v>
      </c>
      <c r="P2187" s="16" t="str">
        <f t="shared" si="6"/>
        <v/>
      </c>
      <c r="Q2187" s="41" t="e">
        <f t="shared" si="4236"/>
        <v>#N/A</v>
      </c>
      <c r="R2187" s="44"/>
      <c r="S2187" s="44"/>
      <c r="T2187" s="43"/>
      <c r="U2187" s="43" t="str">
        <f t="shared" si="8"/>
        <v>No</v>
      </c>
      <c r="V2187" s="25"/>
      <c r="W2187" s="25"/>
      <c r="X2187" s="25"/>
      <c r="Y2187" s="25"/>
      <c r="Z2187" s="25"/>
    </row>
    <row r="2188" spans="1:26" ht="15.75" customHeight="1" x14ac:dyDescent="0.25">
      <c r="A2188" s="25">
        <v>2186</v>
      </c>
      <c r="B2188" s="37" t="e">
        <f t="shared" ref="B2188:D2188" si="4405">VLOOKUP($A2188,[7]Hábitat!$A$2:$O$184,B$1,0)</f>
        <v>#N/A</v>
      </c>
      <c r="C2188" s="38" t="e">
        <f t="shared" si="4405"/>
        <v>#N/A</v>
      </c>
      <c r="D2188" s="39" t="e">
        <f t="shared" si="4405"/>
        <v>#N/A</v>
      </c>
      <c r="E2188" s="16" t="e">
        <f t="shared" si="1"/>
        <v>#N/A</v>
      </c>
      <c r="F2188" s="16" t="e">
        <f t="shared" ref="F2188:K2188" si="4406">VLOOKUP($A2188,[7]Hábitat!$A$2:$O$184,F$1,0)</f>
        <v>#N/A</v>
      </c>
      <c r="G2188" s="39" t="e">
        <f t="shared" si="4406"/>
        <v>#N/A</v>
      </c>
      <c r="H2188" s="16" t="e">
        <f t="shared" si="4406"/>
        <v>#N/A</v>
      </c>
      <c r="I2188" s="16" t="e">
        <f t="shared" si="4406"/>
        <v>#N/A</v>
      </c>
      <c r="J2188" s="40" t="e">
        <f t="shared" si="4406"/>
        <v>#N/A</v>
      </c>
      <c r="K2188" s="16" t="e">
        <f t="shared" si="4406"/>
        <v>#N/A</v>
      </c>
      <c r="L2188" s="40" t="e">
        <f t="shared" si="4233"/>
        <v>#N/A</v>
      </c>
      <c r="M2188" s="16" t="e">
        <f t="shared" si="4234"/>
        <v>#N/A</v>
      </c>
      <c r="N2188" s="16" t="e">
        <f t="shared" si="4235"/>
        <v>#N/A</v>
      </c>
      <c r="O2188" s="16" t="s">
        <v>71</v>
      </c>
      <c r="P2188" s="16" t="str">
        <f t="shared" si="6"/>
        <v/>
      </c>
      <c r="Q2188" s="41" t="e">
        <f t="shared" si="4236"/>
        <v>#N/A</v>
      </c>
      <c r="R2188" s="44"/>
      <c r="S2188" s="44"/>
      <c r="T2188" s="43"/>
      <c r="U2188" s="43" t="str">
        <f t="shared" si="8"/>
        <v>No</v>
      </c>
      <c r="V2188" s="25"/>
      <c r="W2188" s="25"/>
      <c r="X2188" s="25"/>
      <c r="Y2188" s="25"/>
      <c r="Z2188" s="25"/>
    </row>
    <row r="2189" spans="1:26" ht="15.75" customHeight="1" x14ac:dyDescent="0.25">
      <c r="A2189" s="25">
        <v>2187</v>
      </c>
      <c r="B2189" s="37" t="e">
        <f t="shared" ref="B2189:D2189" si="4407">VLOOKUP($A2189,[7]Hábitat!$A$2:$O$184,B$1,0)</f>
        <v>#N/A</v>
      </c>
      <c r="C2189" s="38" t="e">
        <f t="shared" si="4407"/>
        <v>#N/A</v>
      </c>
      <c r="D2189" s="39" t="e">
        <f t="shared" si="4407"/>
        <v>#N/A</v>
      </c>
      <c r="E2189" s="16" t="e">
        <f t="shared" si="1"/>
        <v>#N/A</v>
      </c>
      <c r="F2189" s="16" t="e">
        <f t="shared" ref="F2189:K2189" si="4408">VLOOKUP($A2189,[7]Hábitat!$A$2:$O$184,F$1,0)</f>
        <v>#N/A</v>
      </c>
      <c r="G2189" s="39" t="e">
        <f t="shared" si="4408"/>
        <v>#N/A</v>
      </c>
      <c r="H2189" s="16" t="e">
        <f t="shared" si="4408"/>
        <v>#N/A</v>
      </c>
      <c r="I2189" s="16" t="e">
        <f t="shared" si="4408"/>
        <v>#N/A</v>
      </c>
      <c r="J2189" s="40" t="e">
        <f t="shared" si="4408"/>
        <v>#N/A</v>
      </c>
      <c r="K2189" s="16" t="e">
        <f t="shared" si="4408"/>
        <v>#N/A</v>
      </c>
      <c r="L2189" s="40" t="e">
        <f t="shared" si="4233"/>
        <v>#N/A</v>
      </c>
      <c r="M2189" s="16" t="e">
        <f t="shared" si="4234"/>
        <v>#N/A</v>
      </c>
      <c r="N2189" s="16" t="e">
        <f t="shared" si="4235"/>
        <v>#N/A</v>
      </c>
      <c r="O2189" s="16" t="s">
        <v>71</v>
      </c>
      <c r="P2189" s="16" t="str">
        <f t="shared" si="6"/>
        <v/>
      </c>
      <c r="Q2189" s="41" t="e">
        <f t="shared" si="4236"/>
        <v>#N/A</v>
      </c>
      <c r="R2189" s="44"/>
      <c r="S2189" s="44"/>
      <c r="T2189" s="43"/>
      <c r="U2189" s="43" t="str">
        <f t="shared" si="8"/>
        <v>No</v>
      </c>
      <c r="V2189" s="25"/>
      <c r="W2189" s="25"/>
      <c r="X2189" s="25"/>
      <c r="Y2189" s="25"/>
      <c r="Z2189" s="25"/>
    </row>
    <row r="2190" spans="1:26" ht="15.75" customHeight="1" x14ac:dyDescent="0.25">
      <c r="A2190" s="25">
        <v>2188</v>
      </c>
      <c r="B2190" s="37" t="e">
        <f t="shared" ref="B2190:D2190" si="4409">VLOOKUP($A2190,[7]Hábitat!$A$2:$O$184,B$1,0)</f>
        <v>#N/A</v>
      </c>
      <c r="C2190" s="38" t="e">
        <f t="shared" si="4409"/>
        <v>#N/A</v>
      </c>
      <c r="D2190" s="39" t="e">
        <f t="shared" si="4409"/>
        <v>#N/A</v>
      </c>
      <c r="E2190" s="16" t="e">
        <f t="shared" si="1"/>
        <v>#N/A</v>
      </c>
      <c r="F2190" s="16" t="e">
        <f t="shared" ref="F2190:K2190" si="4410">VLOOKUP($A2190,[7]Hábitat!$A$2:$O$184,F$1,0)</f>
        <v>#N/A</v>
      </c>
      <c r="G2190" s="39" t="e">
        <f t="shared" si="4410"/>
        <v>#N/A</v>
      </c>
      <c r="H2190" s="16" t="e">
        <f t="shared" si="4410"/>
        <v>#N/A</v>
      </c>
      <c r="I2190" s="16" t="e">
        <f t="shared" si="4410"/>
        <v>#N/A</v>
      </c>
      <c r="J2190" s="40" t="e">
        <f t="shared" si="4410"/>
        <v>#N/A</v>
      </c>
      <c r="K2190" s="16" t="e">
        <f t="shared" si="4410"/>
        <v>#N/A</v>
      </c>
      <c r="L2190" s="40" t="e">
        <f t="shared" si="4233"/>
        <v>#N/A</v>
      </c>
      <c r="M2190" s="16" t="e">
        <f t="shared" si="4234"/>
        <v>#N/A</v>
      </c>
      <c r="N2190" s="16" t="e">
        <f t="shared" si="4235"/>
        <v>#N/A</v>
      </c>
      <c r="O2190" s="16" t="s">
        <v>71</v>
      </c>
      <c r="P2190" s="16" t="str">
        <f t="shared" si="6"/>
        <v/>
      </c>
      <c r="Q2190" s="41" t="e">
        <f t="shared" si="4236"/>
        <v>#N/A</v>
      </c>
      <c r="R2190" s="44"/>
      <c r="S2190" s="44"/>
      <c r="T2190" s="43"/>
      <c r="U2190" s="43" t="str">
        <f t="shared" si="8"/>
        <v>No</v>
      </c>
      <c r="V2190" s="25"/>
      <c r="W2190" s="25"/>
      <c r="X2190" s="25"/>
      <c r="Y2190" s="25"/>
      <c r="Z2190" s="25"/>
    </row>
    <row r="2191" spans="1:26" ht="15.75" customHeight="1" x14ac:dyDescent="0.25">
      <c r="A2191" s="25">
        <v>2189</v>
      </c>
      <c r="B2191" s="37" t="e">
        <f t="shared" ref="B2191:D2191" si="4411">VLOOKUP($A2191,[7]Hábitat!$A$2:$O$184,B$1,0)</f>
        <v>#N/A</v>
      </c>
      <c r="C2191" s="38" t="e">
        <f t="shared" si="4411"/>
        <v>#N/A</v>
      </c>
      <c r="D2191" s="39" t="e">
        <f t="shared" si="4411"/>
        <v>#N/A</v>
      </c>
      <c r="E2191" s="16" t="e">
        <f t="shared" si="1"/>
        <v>#N/A</v>
      </c>
      <c r="F2191" s="16" t="e">
        <f t="shared" ref="F2191:K2191" si="4412">VLOOKUP($A2191,[7]Hábitat!$A$2:$O$184,F$1,0)</f>
        <v>#N/A</v>
      </c>
      <c r="G2191" s="39" t="e">
        <f t="shared" si="4412"/>
        <v>#N/A</v>
      </c>
      <c r="H2191" s="16" t="e">
        <f t="shared" si="4412"/>
        <v>#N/A</v>
      </c>
      <c r="I2191" s="16" t="e">
        <f t="shared" si="4412"/>
        <v>#N/A</v>
      </c>
      <c r="J2191" s="40" t="e">
        <f t="shared" si="4412"/>
        <v>#N/A</v>
      </c>
      <c r="K2191" s="16" t="e">
        <f t="shared" si="4412"/>
        <v>#N/A</v>
      </c>
      <c r="L2191" s="40" t="e">
        <f t="shared" si="4233"/>
        <v>#N/A</v>
      </c>
      <c r="M2191" s="16" t="e">
        <f t="shared" si="4234"/>
        <v>#N/A</v>
      </c>
      <c r="N2191" s="16" t="e">
        <f t="shared" si="4235"/>
        <v>#N/A</v>
      </c>
      <c r="O2191" s="16" t="s">
        <v>71</v>
      </c>
      <c r="P2191" s="16" t="str">
        <f t="shared" si="6"/>
        <v/>
      </c>
      <c r="Q2191" s="41" t="e">
        <f t="shared" si="4236"/>
        <v>#N/A</v>
      </c>
      <c r="R2191" s="44"/>
      <c r="S2191" s="44"/>
      <c r="T2191" s="43"/>
      <c r="U2191" s="43" t="str">
        <f t="shared" si="8"/>
        <v>No</v>
      </c>
      <c r="V2191" s="25"/>
      <c r="W2191" s="25"/>
      <c r="X2191" s="25"/>
      <c r="Y2191" s="25"/>
      <c r="Z2191" s="25"/>
    </row>
    <row r="2192" spans="1:26" ht="15.75" customHeight="1" x14ac:dyDescent="0.25">
      <c r="A2192" s="25">
        <v>2190</v>
      </c>
      <c r="B2192" s="37" t="e">
        <f t="shared" ref="B2192:D2192" si="4413">VLOOKUP($A2192,[7]Hábitat!$A$2:$O$184,B$1,0)</f>
        <v>#N/A</v>
      </c>
      <c r="C2192" s="38" t="e">
        <f t="shared" si="4413"/>
        <v>#N/A</v>
      </c>
      <c r="D2192" s="39" t="e">
        <f t="shared" si="4413"/>
        <v>#N/A</v>
      </c>
      <c r="E2192" s="16" t="e">
        <f t="shared" si="1"/>
        <v>#N/A</v>
      </c>
      <c r="F2192" s="16" t="e">
        <f t="shared" ref="F2192:K2192" si="4414">VLOOKUP($A2192,[7]Hábitat!$A$2:$O$184,F$1,0)</f>
        <v>#N/A</v>
      </c>
      <c r="G2192" s="39" t="e">
        <f t="shared" si="4414"/>
        <v>#N/A</v>
      </c>
      <c r="H2192" s="16" t="e">
        <f t="shared" si="4414"/>
        <v>#N/A</v>
      </c>
      <c r="I2192" s="16" t="e">
        <f t="shared" si="4414"/>
        <v>#N/A</v>
      </c>
      <c r="J2192" s="40" t="e">
        <f t="shared" si="4414"/>
        <v>#N/A</v>
      </c>
      <c r="K2192" s="16" t="e">
        <f t="shared" si="4414"/>
        <v>#N/A</v>
      </c>
      <c r="L2192" s="40" t="e">
        <f t="shared" si="4233"/>
        <v>#N/A</v>
      </c>
      <c r="M2192" s="16" t="e">
        <f t="shared" si="4234"/>
        <v>#N/A</v>
      </c>
      <c r="N2192" s="16" t="e">
        <f t="shared" si="4235"/>
        <v>#N/A</v>
      </c>
      <c r="O2192" s="16" t="s">
        <v>71</v>
      </c>
      <c r="P2192" s="16" t="str">
        <f t="shared" si="6"/>
        <v/>
      </c>
      <c r="Q2192" s="41" t="e">
        <f t="shared" si="4236"/>
        <v>#N/A</v>
      </c>
      <c r="R2192" s="44"/>
      <c r="S2192" s="44"/>
      <c r="T2192" s="43"/>
      <c r="U2192" s="43" t="str">
        <f t="shared" si="8"/>
        <v>No</v>
      </c>
      <c r="V2192" s="25"/>
      <c r="W2192" s="25"/>
      <c r="X2192" s="25"/>
      <c r="Y2192" s="25"/>
      <c r="Z2192" s="25"/>
    </row>
    <row r="2193" spans="1:26" ht="15.75" customHeight="1" x14ac:dyDescent="0.25">
      <c r="A2193" s="25">
        <v>2191</v>
      </c>
      <c r="B2193" s="37" t="e">
        <f t="shared" ref="B2193:D2193" si="4415">VLOOKUP($A2193,[7]Hábitat!$A$2:$O$184,B$1,0)</f>
        <v>#N/A</v>
      </c>
      <c r="C2193" s="38" t="e">
        <f t="shared" si="4415"/>
        <v>#N/A</v>
      </c>
      <c r="D2193" s="39" t="e">
        <f t="shared" si="4415"/>
        <v>#N/A</v>
      </c>
      <c r="E2193" s="16" t="e">
        <f t="shared" si="1"/>
        <v>#N/A</v>
      </c>
      <c r="F2193" s="16" t="e">
        <f t="shared" ref="F2193:K2193" si="4416">VLOOKUP($A2193,[7]Hábitat!$A$2:$O$184,F$1,0)</f>
        <v>#N/A</v>
      </c>
      <c r="G2193" s="39" t="e">
        <f t="shared" si="4416"/>
        <v>#N/A</v>
      </c>
      <c r="H2193" s="16" t="e">
        <f t="shared" si="4416"/>
        <v>#N/A</v>
      </c>
      <c r="I2193" s="16" t="e">
        <f t="shared" si="4416"/>
        <v>#N/A</v>
      </c>
      <c r="J2193" s="40" t="e">
        <f t="shared" si="4416"/>
        <v>#N/A</v>
      </c>
      <c r="K2193" s="16" t="e">
        <f t="shared" si="4416"/>
        <v>#N/A</v>
      </c>
      <c r="L2193" s="40" t="e">
        <f t="shared" si="4233"/>
        <v>#N/A</v>
      </c>
      <c r="M2193" s="16" t="e">
        <f t="shared" si="4234"/>
        <v>#N/A</v>
      </c>
      <c r="N2193" s="16" t="e">
        <f t="shared" si="4235"/>
        <v>#N/A</v>
      </c>
      <c r="O2193" s="16" t="s">
        <v>71</v>
      </c>
      <c r="P2193" s="16" t="str">
        <f t="shared" si="6"/>
        <v/>
      </c>
      <c r="Q2193" s="41" t="e">
        <f t="shared" si="4236"/>
        <v>#N/A</v>
      </c>
      <c r="R2193" s="44"/>
      <c r="S2193" s="44"/>
      <c r="T2193" s="43"/>
      <c r="U2193" s="43" t="str">
        <f t="shared" si="8"/>
        <v>No</v>
      </c>
      <c r="V2193" s="25"/>
      <c r="W2193" s="25"/>
      <c r="X2193" s="25"/>
      <c r="Y2193" s="25"/>
      <c r="Z2193" s="25"/>
    </row>
    <row r="2194" spans="1:26" ht="15.75" customHeight="1" x14ac:dyDescent="0.25">
      <c r="A2194" s="25">
        <v>2192</v>
      </c>
      <c r="B2194" s="37" t="e">
        <f t="shared" ref="B2194:D2194" si="4417">VLOOKUP($A2194,[7]Hábitat!$A$2:$O$184,B$1,0)</f>
        <v>#N/A</v>
      </c>
      <c r="C2194" s="38" t="e">
        <f t="shared" si="4417"/>
        <v>#N/A</v>
      </c>
      <c r="D2194" s="39" t="e">
        <f t="shared" si="4417"/>
        <v>#N/A</v>
      </c>
      <c r="E2194" s="16" t="e">
        <f t="shared" si="1"/>
        <v>#N/A</v>
      </c>
      <c r="F2194" s="16" t="e">
        <f t="shared" ref="F2194:K2194" si="4418">VLOOKUP($A2194,[7]Hábitat!$A$2:$O$184,F$1,0)</f>
        <v>#N/A</v>
      </c>
      <c r="G2194" s="39" t="e">
        <f t="shared" si="4418"/>
        <v>#N/A</v>
      </c>
      <c r="H2194" s="16" t="e">
        <f t="shared" si="4418"/>
        <v>#N/A</v>
      </c>
      <c r="I2194" s="16" t="e">
        <f t="shared" si="4418"/>
        <v>#N/A</v>
      </c>
      <c r="J2194" s="40" t="e">
        <f t="shared" si="4418"/>
        <v>#N/A</v>
      </c>
      <c r="K2194" s="16" t="e">
        <f t="shared" si="4418"/>
        <v>#N/A</v>
      </c>
      <c r="L2194" s="40" t="e">
        <f t="shared" si="4233"/>
        <v>#N/A</v>
      </c>
      <c r="M2194" s="16" t="e">
        <f t="shared" si="4234"/>
        <v>#N/A</v>
      </c>
      <c r="N2194" s="16" t="e">
        <f t="shared" si="4235"/>
        <v>#N/A</v>
      </c>
      <c r="O2194" s="16" t="s">
        <v>71</v>
      </c>
      <c r="P2194" s="16" t="str">
        <f t="shared" si="6"/>
        <v/>
      </c>
      <c r="Q2194" s="41" t="e">
        <f t="shared" si="4236"/>
        <v>#N/A</v>
      </c>
      <c r="R2194" s="44"/>
      <c r="S2194" s="44"/>
      <c r="T2194" s="43"/>
      <c r="U2194" s="43" t="str">
        <f t="shared" si="8"/>
        <v>No</v>
      </c>
      <c r="V2194" s="25"/>
      <c r="W2194" s="25"/>
      <c r="X2194" s="25"/>
      <c r="Y2194" s="25"/>
      <c r="Z2194" s="25"/>
    </row>
    <row r="2195" spans="1:26" ht="15.75" customHeight="1" x14ac:dyDescent="0.25">
      <c r="A2195" s="25">
        <v>2193</v>
      </c>
      <c r="B2195" s="37" t="e">
        <f t="shared" ref="B2195:D2195" si="4419">VLOOKUP($A2195,[7]Hábitat!$A$2:$O$184,B$1,0)</f>
        <v>#N/A</v>
      </c>
      <c r="C2195" s="38" t="e">
        <f t="shared" si="4419"/>
        <v>#N/A</v>
      </c>
      <c r="D2195" s="39" t="e">
        <f t="shared" si="4419"/>
        <v>#N/A</v>
      </c>
      <c r="E2195" s="16" t="e">
        <f t="shared" si="1"/>
        <v>#N/A</v>
      </c>
      <c r="F2195" s="16" t="e">
        <f t="shared" ref="F2195:K2195" si="4420">VLOOKUP($A2195,[7]Hábitat!$A$2:$O$184,F$1,0)</f>
        <v>#N/A</v>
      </c>
      <c r="G2195" s="39" t="e">
        <f t="shared" si="4420"/>
        <v>#N/A</v>
      </c>
      <c r="H2195" s="16" t="e">
        <f t="shared" si="4420"/>
        <v>#N/A</v>
      </c>
      <c r="I2195" s="16" t="e">
        <f t="shared" si="4420"/>
        <v>#N/A</v>
      </c>
      <c r="J2195" s="40" t="e">
        <f t="shared" si="4420"/>
        <v>#N/A</v>
      </c>
      <c r="K2195" s="16" t="e">
        <f t="shared" si="4420"/>
        <v>#N/A</v>
      </c>
      <c r="L2195" s="40" t="e">
        <f t="shared" si="4233"/>
        <v>#N/A</v>
      </c>
      <c r="M2195" s="16" t="e">
        <f t="shared" si="4234"/>
        <v>#N/A</v>
      </c>
      <c r="N2195" s="16" t="e">
        <f t="shared" si="4235"/>
        <v>#N/A</v>
      </c>
      <c r="O2195" s="16" t="s">
        <v>71</v>
      </c>
      <c r="P2195" s="16" t="str">
        <f t="shared" si="6"/>
        <v/>
      </c>
      <c r="Q2195" s="41" t="e">
        <f t="shared" si="4236"/>
        <v>#N/A</v>
      </c>
      <c r="R2195" s="44"/>
      <c r="S2195" s="44"/>
      <c r="T2195" s="43"/>
      <c r="U2195" s="43" t="str">
        <f t="shared" si="8"/>
        <v>No</v>
      </c>
      <c r="V2195" s="25"/>
      <c r="W2195" s="25"/>
      <c r="X2195" s="25"/>
      <c r="Y2195" s="25"/>
      <c r="Z2195" s="25"/>
    </row>
    <row r="2196" spans="1:26" ht="15.75" customHeight="1" x14ac:dyDescent="0.25">
      <c r="A2196" s="25">
        <v>2194</v>
      </c>
      <c r="B2196" s="37" t="e">
        <f t="shared" ref="B2196:D2196" si="4421">VLOOKUP($A2196,[7]Hábitat!$A$2:$O$184,B$1,0)</f>
        <v>#N/A</v>
      </c>
      <c r="C2196" s="38" t="e">
        <f t="shared" si="4421"/>
        <v>#N/A</v>
      </c>
      <c r="D2196" s="39" t="e">
        <f t="shared" si="4421"/>
        <v>#N/A</v>
      </c>
      <c r="E2196" s="16" t="e">
        <f t="shared" si="1"/>
        <v>#N/A</v>
      </c>
      <c r="F2196" s="16" t="e">
        <f t="shared" ref="F2196:K2196" si="4422">VLOOKUP($A2196,[7]Hábitat!$A$2:$O$184,F$1,0)</f>
        <v>#N/A</v>
      </c>
      <c r="G2196" s="39" t="e">
        <f t="shared" si="4422"/>
        <v>#N/A</v>
      </c>
      <c r="H2196" s="16" t="e">
        <f t="shared" si="4422"/>
        <v>#N/A</v>
      </c>
      <c r="I2196" s="16" t="e">
        <f t="shared" si="4422"/>
        <v>#N/A</v>
      </c>
      <c r="J2196" s="40" t="e">
        <f t="shared" si="4422"/>
        <v>#N/A</v>
      </c>
      <c r="K2196" s="16" t="e">
        <f t="shared" si="4422"/>
        <v>#N/A</v>
      </c>
      <c r="L2196" s="40" t="e">
        <f t="shared" si="4233"/>
        <v>#N/A</v>
      </c>
      <c r="M2196" s="16" t="e">
        <f t="shared" si="4234"/>
        <v>#N/A</v>
      </c>
      <c r="N2196" s="16" t="e">
        <f t="shared" si="4235"/>
        <v>#N/A</v>
      </c>
      <c r="O2196" s="16" t="s">
        <v>71</v>
      </c>
      <c r="P2196" s="16" t="str">
        <f t="shared" si="6"/>
        <v/>
      </c>
      <c r="Q2196" s="41" t="e">
        <f t="shared" si="4236"/>
        <v>#N/A</v>
      </c>
      <c r="R2196" s="44"/>
      <c r="S2196" s="44"/>
      <c r="T2196" s="43"/>
      <c r="U2196" s="43" t="str">
        <f t="shared" si="8"/>
        <v>No</v>
      </c>
      <c r="V2196" s="25"/>
      <c r="W2196" s="25"/>
      <c r="X2196" s="25"/>
      <c r="Y2196" s="25"/>
      <c r="Z2196" s="25"/>
    </row>
    <row r="2197" spans="1:26" ht="15.75" customHeight="1" x14ac:dyDescent="0.25">
      <c r="A2197" s="25">
        <v>2195</v>
      </c>
      <c r="B2197" s="37" t="e">
        <f t="shared" ref="B2197:D2197" si="4423">VLOOKUP($A2197,[7]Hábitat!$A$2:$O$184,B$1,0)</f>
        <v>#N/A</v>
      </c>
      <c r="C2197" s="38" t="e">
        <f t="shared" si="4423"/>
        <v>#N/A</v>
      </c>
      <c r="D2197" s="39" t="e">
        <f t="shared" si="4423"/>
        <v>#N/A</v>
      </c>
      <c r="E2197" s="16" t="e">
        <f t="shared" si="1"/>
        <v>#N/A</v>
      </c>
      <c r="F2197" s="16" t="e">
        <f t="shared" ref="F2197:K2197" si="4424">VLOOKUP($A2197,[7]Hábitat!$A$2:$O$184,F$1,0)</f>
        <v>#N/A</v>
      </c>
      <c r="G2197" s="39" t="e">
        <f t="shared" si="4424"/>
        <v>#N/A</v>
      </c>
      <c r="H2197" s="16" t="e">
        <f t="shared" si="4424"/>
        <v>#N/A</v>
      </c>
      <c r="I2197" s="16" t="e">
        <f t="shared" si="4424"/>
        <v>#N/A</v>
      </c>
      <c r="J2197" s="40" t="e">
        <f t="shared" si="4424"/>
        <v>#N/A</v>
      </c>
      <c r="K2197" s="16" t="e">
        <f t="shared" si="4424"/>
        <v>#N/A</v>
      </c>
      <c r="L2197" s="40" t="e">
        <f t="shared" si="4233"/>
        <v>#N/A</v>
      </c>
      <c r="M2197" s="16" t="e">
        <f t="shared" si="4234"/>
        <v>#N/A</v>
      </c>
      <c r="N2197" s="16" t="e">
        <f t="shared" si="4235"/>
        <v>#N/A</v>
      </c>
      <c r="O2197" s="16" t="s">
        <v>71</v>
      </c>
      <c r="P2197" s="16" t="str">
        <f t="shared" si="6"/>
        <v/>
      </c>
      <c r="Q2197" s="41" t="e">
        <f t="shared" si="4236"/>
        <v>#N/A</v>
      </c>
      <c r="R2197" s="44"/>
      <c r="S2197" s="44"/>
      <c r="T2197" s="43"/>
      <c r="U2197" s="43" t="str">
        <f t="shared" si="8"/>
        <v>No</v>
      </c>
      <c r="V2197" s="25"/>
      <c r="W2197" s="25"/>
      <c r="X2197" s="25"/>
      <c r="Y2197" s="25"/>
      <c r="Z2197" s="25"/>
    </row>
    <row r="2198" spans="1:26" ht="15.75" customHeight="1" x14ac:dyDescent="0.25">
      <c r="A2198" s="25">
        <v>2196</v>
      </c>
      <c r="B2198" s="37" t="e">
        <f t="shared" ref="B2198:D2198" si="4425">VLOOKUP($A2198,[7]Hábitat!$A$2:$O$184,B$1,0)</f>
        <v>#N/A</v>
      </c>
      <c r="C2198" s="38" t="e">
        <f t="shared" si="4425"/>
        <v>#N/A</v>
      </c>
      <c r="D2198" s="39" t="e">
        <f t="shared" si="4425"/>
        <v>#N/A</v>
      </c>
      <c r="E2198" s="16" t="e">
        <f t="shared" si="1"/>
        <v>#N/A</v>
      </c>
      <c r="F2198" s="16" t="e">
        <f t="shared" ref="F2198:K2198" si="4426">VLOOKUP($A2198,[7]Hábitat!$A$2:$O$184,F$1,0)</f>
        <v>#N/A</v>
      </c>
      <c r="G2198" s="39" t="e">
        <f t="shared" si="4426"/>
        <v>#N/A</v>
      </c>
      <c r="H2198" s="16" t="e">
        <f t="shared" si="4426"/>
        <v>#N/A</v>
      </c>
      <c r="I2198" s="16" t="e">
        <f t="shared" si="4426"/>
        <v>#N/A</v>
      </c>
      <c r="J2198" s="40" t="e">
        <f t="shared" si="4426"/>
        <v>#N/A</v>
      </c>
      <c r="K2198" s="16" t="e">
        <f t="shared" si="4426"/>
        <v>#N/A</v>
      </c>
      <c r="L2198" s="40" t="e">
        <f t="shared" si="4233"/>
        <v>#N/A</v>
      </c>
      <c r="M2198" s="16" t="e">
        <f t="shared" si="4234"/>
        <v>#N/A</v>
      </c>
      <c r="N2198" s="16" t="e">
        <f t="shared" si="4235"/>
        <v>#N/A</v>
      </c>
      <c r="O2198" s="16" t="s">
        <v>71</v>
      </c>
      <c r="P2198" s="16" t="str">
        <f t="shared" si="6"/>
        <v/>
      </c>
      <c r="Q2198" s="41" t="e">
        <f t="shared" si="4236"/>
        <v>#N/A</v>
      </c>
      <c r="R2198" s="44"/>
      <c r="S2198" s="44"/>
      <c r="T2198" s="43"/>
      <c r="U2198" s="43" t="str">
        <f t="shared" si="8"/>
        <v>No</v>
      </c>
      <c r="V2198" s="25"/>
      <c r="W2198" s="25"/>
      <c r="X2198" s="25"/>
      <c r="Y2198" s="25"/>
      <c r="Z2198" s="25"/>
    </row>
    <row r="2199" spans="1:26" ht="15.75" customHeight="1" x14ac:dyDescent="0.25">
      <c r="A2199" s="25">
        <v>2197</v>
      </c>
      <c r="B2199" s="37" t="e">
        <f t="shared" ref="B2199:D2199" si="4427">VLOOKUP($A2199,[7]Hábitat!$A$2:$O$184,B$1,0)</f>
        <v>#N/A</v>
      </c>
      <c r="C2199" s="38" t="e">
        <f t="shared" si="4427"/>
        <v>#N/A</v>
      </c>
      <c r="D2199" s="39" t="e">
        <f t="shared" si="4427"/>
        <v>#N/A</v>
      </c>
      <c r="E2199" s="16" t="e">
        <f t="shared" si="1"/>
        <v>#N/A</v>
      </c>
      <c r="F2199" s="16" t="e">
        <f t="shared" ref="F2199:K2199" si="4428">VLOOKUP($A2199,[7]Hábitat!$A$2:$O$184,F$1,0)</f>
        <v>#N/A</v>
      </c>
      <c r="G2199" s="39" t="e">
        <f t="shared" si="4428"/>
        <v>#N/A</v>
      </c>
      <c r="H2199" s="16" t="e">
        <f t="shared" si="4428"/>
        <v>#N/A</v>
      </c>
      <c r="I2199" s="16" t="e">
        <f t="shared" si="4428"/>
        <v>#N/A</v>
      </c>
      <c r="J2199" s="40" t="e">
        <f t="shared" si="4428"/>
        <v>#N/A</v>
      </c>
      <c r="K2199" s="16" t="e">
        <f t="shared" si="4428"/>
        <v>#N/A</v>
      </c>
      <c r="L2199" s="40" t="e">
        <f t="shared" si="4233"/>
        <v>#N/A</v>
      </c>
      <c r="M2199" s="16" t="e">
        <f t="shared" si="4234"/>
        <v>#N/A</v>
      </c>
      <c r="N2199" s="16" t="e">
        <f t="shared" si="4235"/>
        <v>#N/A</v>
      </c>
      <c r="O2199" s="16" t="s">
        <v>71</v>
      </c>
      <c r="P2199" s="16" t="str">
        <f t="shared" si="6"/>
        <v/>
      </c>
      <c r="Q2199" s="41" t="e">
        <f t="shared" si="4236"/>
        <v>#N/A</v>
      </c>
      <c r="R2199" s="44"/>
      <c r="S2199" s="44"/>
      <c r="T2199" s="43"/>
      <c r="U2199" s="43" t="str">
        <f t="shared" si="8"/>
        <v>No</v>
      </c>
      <c r="V2199" s="25"/>
      <c r="W2199" s="25"/>
      <c r="X2199" s="25"/>
      <c r="Y2199" s="25"/>
      <c r="Z2199" s="25"/>
    </row>
    <row r="2200" spans="1:26" ht="15.75" customHeight="1" x14ac:dyDescent="0.25">
      <c r="A2200" s="25">
        <v>2198</v>
      </c>
      <c r="B2200" s="37" t="e">
        <f t="shared" ref="B2200:D2200" si="4429">VLOOKUP($A2200,[7]Hábitat!$A$2:$O$184,B$1,0)</f>
        <v>#N/A</v>
      </c>
      <c r="C2200" s="38" t="e">
        <f t="shared" si="4429"/>
        <v>#N/A</v>
      </c>
      <c r="D2200" s="39" t="e">
        <f t="shared" si="4429"/>
        <v>#N/A</v>
      </c>
      <c r="E2200" s="16" t="e">
        <f t="shared" si="1"/>
        <v>#N/A</v>
      </c>
      <c r="F2200" s="16" t="e">
        <f t="shared" ref="F2200:K2200" si="4430">VLOOKUP($A2200,[7]Hábitat!$A$2:$O$184,F$1,0)</f>
        <v>#N/A</v>
      </c>
      <c r="G2200" s="39" t="e">
        <f t="shared" si="4430"/>
        <v>#N/A</v>
      </c>
      <c r="H2200" s="16" t="e">
        <f t="shared" si="4430"/>
        <v>#N/A</v>
      </c>
      <c r="I2200" s="16" t="e">
        <f t="shared" si="4430"/>
        <v>#N/A</v>
      </c>
      <c r="J2200" s="40" t="e">
        <f t="shared" si="4430"/>
        <v>#N/A</v>
      </c>
      <c r="K2200" s="16" t="e">
        <f t="shared" si="4430"/>
        <v>#N/A</v>
      </c>
      <c r="L2200" s="40" t="e">
        <f t="shared" si="4233"/>
        <v>#N/A</v>
      </c>
      <c r="M2200" s="16" t="e">
        <f t="shared" si="4234"/>
        <v>#N/A</v>
      </c>
      <c r="N2200" s="16" t="e">
        <f t="shared" si="4235"/>
        <v>#N/A</v>
      </c>
      <c r="O2200" s="16" t="s">
        <v>71</v>
      </c>
      <c r="P2200" s="16" t="str">
        <f t="shared" si="6"/>
        <v/>
      </c>
      <c r="Q2200" s="41" t="e">
        <f t="shared" si="4236"/>
        <v>#N/A</v>
      </c>
      <c r="R2200" s="44"/>
      <c r="S2200" s="44"/>
      <c r="T2200" s="43"/>
      <c r="U2200" s="43" t="str">
        <f t="shared" si="8"/>
        <v>No</v>
      </c>
      <c r="V2200" s="25"/>
      <c r="W2200" s="25"/>
      <c r="X2200" s="25"/>
      <c r="Y2200" s="25"/>
      <c r="Z2200" s="25"/>
    </row>
    <row r="2201" spans="1:26" ht="15.75" customHeight="1" x14ac:dyDescent="0.25">
      <c r="A2201" s="25">
        <v>2199</v>
      </c>
      <c r="B2201" s="37" t="e">
        <f t="shared" ref="B2201:D2201" si="4431">VLOOKUP($A2201,[7]Hábitat!$A$2:$O$184,B$1,0)</f>
        <v>#N/A</v>
      </c>
      <c r="C2201" s="38" t="e">
        <f t="shared" si="4431"/>
        <v>#N/A</v>
      </c>
      <c r="D2201" s="39" t="e">
        <f t="shared" si="4431"/>
        <v>#N/A</v>
      </c>
      <c r="E2201" s="16" t="e">
        <f t="shared" si="1"/>
        <v>#N/A</v>
      </c>
      <c r="F2201" s="16" t="e">
        <f t="shared" ref="F2201:K2201" si="4432">VLOOKUP($A2201,[7]Hábitat!$A$2:$O$184,F$1,0)</f>
        <v>#N/A</v>
      </c>
      <c r="G2201" s="39" t="e">
        <f t="shared" si="4432"/>
        <v>#N/A</v>
      </c>
      <c r="H2201" s="16" t="e">
        <f t="shared" si="4432"/>
        <v>#N/A</v>
      </c>
      <c r="I2201" s="16" t="e">
        <f t="shared" si="4432"/>
        <v>#N/A</v>
      </c>
      <c r="J2201" s="40" t="e">
        <f t="shared" si="4432"/>
        <v>#N/A</v>
      </c>
      <c r="K2201" s="16" t="e">
        <f t="shared" si="4432"/>
        <v>#N/A</v>
      </c>
      <c r="L2201" s="40" t="e">
        <f t="shared" si="4233"/>
        <v>#N/A</v>
      </c>
      <c r="M2201" s="16" t="e">
        <f t="shared" si="4234"/>
        <v>#N/A</v>
      </c>
      <c r="N2201" s="16" t="e">
        <f t="shared" si="4235"/>
        <v>#N/A</v>
      </c>
      <c r="O2201" s="16" t="s">
        <v>71</v>
      </c>
      <c r="P2201" s="16" t="str">
        <f t="shared" si="6"/>
        <v/>
      </c>
      <c r="Q2201" s="41" t="e">
        <f t="shared" si="4236"/>
        <v>#N/A</v>
      </c>
      <c r="R2201" s="44"/>
      <c r="S2201" s="44"/>
      <c r="T2201" s="43"/>
      <c r="U2201" s="43" t="str">
        <f t="shared" si="8"/>
        <v>No</v>
      </c>
      <c r="V2201" s="25"/>
      <c r="W2201" s="25"/>
      <c r="X2201" s="25"/>
      <c r="Y2201" s="25"/>
      <c r="Z2201" s="25"/>
    </row>
    <row r="2202" spans="1:26" ht="15.75" customHeight="1" x14ac:dyDescent="0.25">
      <c r="A2202" s="25">
        <v>2200</v>
      </c>
      <c r="B2202" s="37" t="e">
        <f t="shared" ref="B2202:D2202" si="4433">VLOOKUP($A2202,[7]Hábitat!$A$2:$O$184,B$1,0)</f>
        <v>#N/A</v>
      </c>
      <c r="C2202" s="38" t="e">
        <f t="shared" si="4433"/>
        <v>#N/A</v>
      </c>
      <c r="D2202" s="39" t="e">
        <f t="shared" si="4433"/>
        <v>#N/A</v>
      </c>
      <c r="E2202" s="16" t="e">
        <f t="shared" si="1"/>
        <v>#N/A</v>
      </c>
      <c r="F2202" s="16" t="e">
        <f t="shared" ref="F2202:K2202" si="4434">VLOOKUP($A2202,[7]Hábitat!$A$2:$O$184,F$1,0)</f>
        <v>#N/A</v>
      </c>
      <c r="G2202" s="39" t="e">
        <f t="shared" si="4434"/>
        <v>#N/A</v>
      </c>
      <c r="H2202" s="16" t="e">
        <f t="shared" si="4434"/>
        <v>#N/A</v>
      </c>
      <c r="I2202" s="16" t="e">
        <f t="shared" si="4434"/>
        <v>#N/A</v>
      </c>
      <c r="J2202" s="40" t="e">
        <f t="shared" si="4434"/>
        <v>#N/A</v>
      </c>
      <c r="K2202" s="16" t="e">
        <f t="shared" si="4434"/>
        <v>#N/A</v>
      </c>
      <c r="L2202" s="40" t="e">
        <f t="shared" si="4233"/>
        <v>#N/A</v>
      </c>
      <c r="M2202" s="16" t="e">
        <f t="shared" si="4234"/>
        <v>#N/A</v>
      </c>
      <c r="N2202" s="16" t="e">
        <f t="shared" si="4235"/>
        <v>#N/A</v>
      </c>
      <c r="O2202" s="16" t="s">
        <v>71</v>
      </c>
      <c r="P2202" s="16" t="str">
        <f t="shared" si="6"/>
        <v/>
      </c>
      <c r="Q2202" s="41" t="e">
        <f t="shared" si="4236"/>
        <v>#N/A</v>
      </c>
      <c r="R2202" s="44"/>
      <c r="S2202" s="44"/>
      <c r="T2202" s="43"/>
      <c r="U2202" s="43" t="str">
        <f t="shared" si="8"/>
        <v>No</v>
      </c>
      <c r="V2202" s="25"/>
      <c r="W2202" s="25"/>
      <c r="X2202" s="25"/>
      <c r="Y2202" s="25"/>
      <c r="Z2202" s="25"/>
    </row>
    <row r="2203" spans="1:26" ht="15.75" customHeight="1" x14ac:dyDescent="0.25">
      <c r="A2203" s="25">
        <v>2201</v>
      </c>
      <c r="B2203" s="37" t="e">
        <f t="shared" ref="B2203:D2203" si="4435">VLOOKUP($A2203,[7]Hábitat!$A$2:$O$184,B$1,0)</f>
        <v>#N/A</v>
      </c>
      <c r="C2203" s="38" t="e">
        <f t="shared" si="4435"/>
        <v>#N/A</v>
      </c>
      <c r="D2203" s="39" t="e">
        <f t="shared" si="4435"/>
        <v>#N/A</v>
      </c>
      <c r="E2203" s="16" t="e">
        <f t="shared" si="1"/>
        <v>#N/A</v>
      </c>
      <c r="F2203" s="16" t="e">
        <f t="shared" ref="F2203:K2203" si="4436">VLOOKUP($A2203,[7]Hábitat!$A$2:$O$184,F$1,0)</f>
        <v>#N/A</v>
      </c>
      <c r="G2203" s="39" t="e">
        <f t="shared" si="4436"/>
        <v>#N/A</v>
      </c>
      <c r="H2203" s="16" t="e">
        <f t="shared" si="4436"/>
        <v>#N/A</v>
      </c>
      <c r="I2203" s="16" t="e">
        <f t="shared" si="4436"/>
        <v>#N/A</v>
      </c>
      <c r="J2203" s="40" t="e">
        <f t="shared" si="4436"/>
        <v>#N/A</v>
      </c>
      <c r="K2203" s="16" t="e">
        <f t="shared" si="4436"/>
        <v>#N/A</v>
      </c>
      <c r="L2203" s="40" t="e">
        <f t="shared" si="4233"/>
        <v>#N/A</v>
      </c>
      <c r="M2203" s="16" t="e">
        <f t="shared" si="4234"/>
        <v>#N/A</v>
      </c>
      <c r="N2203" s="16" t="e">
        <f t="shared" si="4235"/>
        <v>#N/A</v>
      </c>
      <c r="O2203" s="16" t="s">
        <v>71</v>
      </c>
      <c r="P2203" s="16" t="str">
        <f t="shared" si="6"/>
        <v/>
      </c>
      <c r="Q2203" s="41" t="e">
        <f t="shared" si="4236"/>
        <v>#N/A</v>
      </c>
      <c r="R2203" s="44"/>
      <c r="S2203" s="44"/>
      <c r="T2203" s="43"/>
      <c r="U2203" s="43" t="str">
        <f t="shared" si="8"/>
        <v>No</v>
      </c>
      <c r="V2203" s="25"/>
      <c r="W2203" s="25"/>
      <c r="X2203" s="25"/>
      <c r="Y2203" s="25"/>
      <c r="Z2203" s="25"/>
    </row>
    <row r="2204" spans="1:26" ht="15.75" customHeight="1" x14ac:dyDescent="0.25">
      <c r="A2204" s="25">
        <v>2202</v>
      </c>
      <c r="B2204" s="37" t="e">
        <f t="shared" ref="B2204:D2204" si="4437">VLOOKUP($A2204,[7]Hábitat!$A$2:$O$184,B$1,0)</f>
        <v>#N/A</v>
      </c>
      <c r="C2204" s="38" t="e">
        <f t="shared" si="4437"/>
        <v>#N/A</v>
      </c>
      <c r="D2204" s="39" t="e">
        <f t="shared" si="4437"/>
        <v>#N/A</v>
      </c>
      <c r="E2204" s="16" t="e">
        <f t="shared" si="1"/>
        <v>#N/A</v>
      </c>
      <c r="F2204" s="16" t="e">
        <f t="shared" ref="F2204:K2204" si="4438">VLOOKUP($A2204,[7]Hábitat!$A$2:$O$184,F$1,0)</f>
        <v>#N/A</v>
      </c>
      <c r="G2204" s="39" t="e">
        <f t="shared" si="4438"/>
        <v>#N/A</v>
      </c>
      <c r="H2204" s="16" t="e">
        <f t="shared" si="4438"/>
        <v>#N/A</v>
      </c>
      <c r="I2204" s="16" t="e">
        <f t="shared" si="4438"/>
        <v>#N/A</v>
      </c>
      <c r="J2204" s="40" t="e">
        <f t="shared" si="4438"/>
        <v>#N/A</v>
      </c>
      <c r="K2204" s="16" t="e">
        <f t="shared" si="4438"/>
        <v>#N/A</v>
      </c>
      <c r="L2204" s="40" t="e">
        <f t="shared" si="4233"/>
        <v>#N/A</v>
      </c>
      <c r="M2204" s="16" t="e">
        <f t="shared" si="4234"/>
        <v>#N/A</v>
      </c>
      <c r="N2204" s="16" t="e">
        <f t="shared" si="4235"/>
        <v>#N/A</v>
      </c>
      <c r="O2204" s="16" t="s">
        <v>71</v>
      </c>
      <c r="P2204" s="16" t="str">
        <f t="shared" si="6"/>
        <v/>
      </c>
      <c r="Q2204" s="41" t="e">
        <f t="shared" si="4236"/>
        <v>#N/A</v>
      </c>
      <c r="R2204" s="44"/>
      <c r="S2204" s="44"/>
      <c r="T2204" s="43"/>
      <c r="U2204" s="43" t="str">
        <f t="shared" si="8"/>
        <v>No</v>
      </c>
      <c r="V2204" s="25"/>
      <c r="W2204" s="25"/>
      <c r="X2204" s="25"/>
      <c r="Y2204" s="25"/>
      <c r="Z2204" s="25"/>
    </row>
    <row r="2205" spans="1:26" ht="15.75" customHeight="1" x14ac:dyDescent="0.25">
      <c r="A2205" s="25">
        <v>2203</v>
      </c>
      <c r="B2205" s="37" t="e">
        <f t="shared" ref="B2205:D2205" si="4439">VLOOKUP($A2205,[7]Hábitat!$A$2:$O$184,B$1,0)</f>
        <v>#N/A</v>
      </c>
      <c r="C2205" s="38" t="e">
        <f t="shared" si="4439"/>
        <v>#N/A</v>
      </c>
      <c r="D2205" s="39" t="e">
        <f t="shared" si="4439"/>
        <v>#N/A</v>
      </c>
      <c r="E2205" s="16" t="e">
        <f t="shared" si="1"/>
        <v>#N/A</v>
      </c>
      <c r="F2205" s="16" t="e">
        <f t="shared" ref="F2205:K2205" si="4440">VLOOKUP($A2205,[7]Hábitat!$A$2:$O$184,F$1,0)</f>
        <v>#N/A</v>
      </c>
      <c r="G2205" s="39" t="e">
        <f t="shared" si="4440"/>
        <v>#N/A</v>
      </c>
      <c r="H2205" s="16" t="e">
        <f t="shared" si="4440"/>
        <v>#N/A</v>
      </c>
      <c r="I2205" s="16" t="e">
        <f t="shared" si="4440"/>
        <v>#N/A</v>
      </c>
      <c r="J2205" s="40" t="e">
        <f t="shared" si="4440"/>
        <v>#N/A</v>
      </c>
      <c r="K2205" s="16" t="e">
        <f t="shared" si="4440"/>
        <v>#N/A</v>
      </c>
      <c r="L2205" s="40" t="e">
        <f t="shared" si="4233"/>
        <v>#N/A</v>
      </c>
      <c r="M2205" s="16" t="e">
        <f t="shared" si="4234"/>
        <v>#N/A</v>
      </c>
      <c r="N2205" s="16" t="e">
        <f t="shared" si="4235"/>
        <v>#N/A</v>
      </c>
      <c r="O2205" s="16" t="s">
        <v>71</v>
      </c>
      <c r="P2205" s="16" t="str">
        <f t="shared" si="6"/>
        <v/>
      </c>
      <c r="Q2205" s="41" t="e">
        <f t="shared" si="4236"/>
        <v>#N/A</v>
      </c>
      <c r="R2205" s="44"/>
      <c r="S2205" s="44"/>
      <c r="T2205" s="43"/>
      <c r="U2205" s="43" t="str">
        <f t="shared" si="8"/>
        <v>No</v>
      </c>
      <c r="V2205" s="25"/>
      <c r="W2205" s="25"/>
      <c r="X2205" s="25"/>
      <c r="Y2205" s="25"/>
      <c r="Z2205" s="25"/>
    </row>
    <row r="2206" spans="1:26" ht="15.75" customHeight="1" x14ac:dyDescent="0.25">
      <c r="A2206" s="25">
        <v>2204</v>
      </c>
      <c r="B2206" s="37" t="e">
        <f t="shared" ref="B2206:D2206" si="4441">VLOOKUP($A2206,[7]Hábitat!$A$2:$O$184,B$1,0)</f>
        <v>#N/A</v>
      </c>
      <c r="C2206" s="38" t="e">
        <f t="shared" si="4441"/>
        <v>#N/A</v>
      </c>
      <c r="D2206" s="39" t="e">
        <f t="shared" si="4441"/>
        <v>#N/A</v>
      </c>
      <c r="E2206" s="16" t="e">
        <f t="shared" si="1"/>
        <v>#N/A</v>
      </c>
      <c r="F2206" s="16" t="e">
        <f t="shared" ref="F2206:K2206" si="4442">VLOOKUP($A2206,[7]Hábitat!$A$2:$O$184,F$1,0)</f>
        <v>#N/A</v>
      </c>
      <c r="G2206" s="39" t="e">
        <f t="shared" si="4442"/>
        <v>#N/A</v>
      </c>
      <c r="H2206" s="16" t="e">
        <f t="shared" si="4442"/>
        <v>#N/A</v>
      </c>
      <c r="I2206" s="16" t="e">
        <f t="shared" si="4442"/>
        <v>#N/A</v>
      </c>
      <c r="J2206" s="40" t="e">
        <f t="shared" si="4442"/>
        <v>#N/A</v>
      </c>
      <c r="K2206" s="16" t="e">
        <f t="shared" si="4442"/>
        <v>#N/A</v>
      </c>
      <c r="L2206" s="40" t="e">
        <f t="shared" si="4233"/>
        <v>#N/A</v>
      </c>
      <c r="M2206" s="16" t="e">
        <f t="shared" si="4234"/>
        <v>#N/A</v>
      </c>
      <c r="N2206" s="16" t="e">
        <f t="shared" si="4235"/>
        <v>#N/A</v>
      </c>
      <c r="O2206" s="16" t="s">
        <v>71</v>
      </c>
      <c r="P2206" s="16" t="str">
        <f t="shared" si="6"/>
        <v/>
      </c>
      <c r="Q2206" s="41" t="e">
        <f t="shared" si="4236"/>
        <v>#N/A</v>
      </c>
      <c r="R2206" s="44"/>
      <c r="S2206" s="44"/>
      <c r="T2206" s="43"/>
      <c r="U2206" s="43" t="str">
        <f t="shared" si="8"/>
        <v>No</v>
      </c>
      <c r="V2206" s="25"/>
      <c r="W2206" s="25"/>
      <c r="X2206" s="25"/>
      <c r="Y2206" s="25"/>
      <c r="Z2206" s="25"/>
    </row>
    <row r="2207" spans="1:26" ht="15.75" customHeight="1" x14ac:dyDescent="0.25">
      <c r="A2207" s="25">
        <v>2205</v>
      </c>
      <c r="B2207" s="37" t="e">
        <f t="shared" ref="B2207:D2207" si="4443">VLOOKUP($A2207,[7]Hábitat!$A$2:$O$184,B$1,0)</f>
        <v>#N/A</v>
      </c>
      <c r="C2207" s="38" t="e">
        <f t="shared" si="4443"/>
        <v>#N/A</v>
      </c>
      <c r="D2207" s="39" t="e">
        <f t="shared" si="4443"/>
        <v>#N/A</v>
      </c>
      <c r="E2207" s="16" t="e">
        <f t="shared" si="1"/>
        <v>#N/A</v>
      </c>
      <c r="F2207" s="16" t="e">
        <f t="shared" ref="F2207:K2207" si="4444">VLOOKUP($A2207,[7]Hábitat!$A$2:$O$184,F$1,0)</f>
        <v>#N/A</v>
      </c>
      <c r="G2207" s="39" t="e">
        <f t="shared" si="4444"/>
        <v>#N/A</v>
      </c>
      <c r="H2207" s="16" t="e">
        <f t="shared" si="4444"/>
        <v>#N/A</v>
      </c>
      <c r="I2207" s="16" t="e">
        <f t="shared" si="4444"/>
        <v>#N/A</v>
      </c>
      <c r="J2207" s="40" t="e">
        <f t="shared" si="4444"/>
        <v>#N/A</v>
      </c>
      <c r="K2207" s="16" t="e">
        <f t="shared" si="4444"/>
        <v>#N/A</v>
      </c>
      <c r="L2207" s="40" t="e">
        <f t="shared" si="4233"/>
        <v>#N/A</v>
      </c>
      <c r="M2207" s="16" t="e">
        <f t="shared" si="4234"/>
        <v>#N/A</v>
      </c>
      <c r="N2207" s="16" t="e">
        <f t="shared" si="4235"/>
        <v>#N/A</v>
      </c>
      <c r="O2207" s="16" t="s">
        <v>71</v>
      </c>
      <c r="P2207" s="16" t="str">
        <f t="shared" si="6"/>
        <v/>
      </c>
      <c r="Q2207" s="41" t="e">
        <f t="shared" si="4236"/>
        <v>#N/A</v>
      </c>
      <c r="R2207" s="44"/>
      <c r="S2207" s="44"/>
      <c r="T2207" s="43"/>
      <c r="U2207" s="43" t="str">
        <f t="shared" si="8"/>
        <v>No</v>
      </c>
      <c r="V2207" s="25"/>
      <c r="W2207" s="25"/>
      <c r="X2207" s="25"/>
      <c r="Y2207" s="25"/>
      <c r="Z2207" s="25"/>
    </row>
    <row r="2208" spans="1:26" ht="15.75" customHeight="1" x14ac:dyDescent="0.25">
      <c r="A2208" s="25">
        <v>2206</v>
      </c>
      <c r="B2208" s="37" t="e">
        <f t="shared" ref="B2208:D2208" si="4445">VLOOKUP($A2208,[7]Hábitat!$A$2:$O$184,B$1,0)</f>
        <v>#N/A</v>
      </c>
      <c r="C2208" s="38" t="e">
        <f t="shared" si="4445"/>
        <v>#N/A</v>
      </c>
      <c r="D2208" s="39" t="e">
        <f t="shared" si="4445"/>
        <v>#N/A</v>
      </c>
      <c r="E2208" s="16" t="e">
        <f t="shared" si="1"/>
        <v>#N/A</v>
      </c>
      <c r="F2208" s="16" t="e">
        <f t="shared" ref="F2208:K2208" si="4446">VLOOKUP($A2208,[7]Hábitat!$A$2:$O$184,F$1,0)</f>
        <v>#N/A</v>
      </c>
      <c r="G2208" s="39" t="e">
        <f t="shared" si="4446"/>
        <v>#N/A</v>
      </c>
      <c r="H2208" s="16" t="e">
        <f t="shared" si="4446"/>
        <v>#N/A</v>
      </c>
      <c r="I2208" s="16" t="e">
        <f t="shared" si="4446"/>
        <v>#N/A</v>
      </c>
      <c r="J2208" s="40" t="e">
        <f t="shared" si="4446"/>
        <v>#N/A</v>
      </c>
      <c r="K2208" s="16" t="e">
        <f t="shared" si="4446"/>
        <v>#N/A</v>
      </c>
      <c r="L2208" s="40" t="e">
        <f t="shared" si="4233"/>
        <v>#N/A</v>
      </c>
      <c r="M2208" s="16" t="e">
        <f t="shared" si="4234"/>
        <v>#N/A</v>
      </c>
      <c r="N2208" s="16" t="e">
        <f t="shared" si="4235"/>
        <v>#N/A</v>
      </c>
      <c r="O2208" s="16" t="s">
        <v>71</v>
      </c>
      <c r="P2208" s="16" t="str">
        <f t="shared" si="6"/>
        <v/>
      </c>
      <c r="Q2208" s="41" t="e">
        <f t="shared" si="4236"/>
        <v>#N/A</v>
      </c>
      <c r="R2208" s="44"/>
      <c r="S2208" s="44"/>
      <c r="T2208" s="43"/>
      <c r="U2208" s="43" t="str">
        <f t="shared" si="8"/>
        <v>No</v>
      </c>
      <c r="V2208" s="25"/>
      <c r="W2208" s="25"/>
      <c r="X2208" s="25"/>
      <c r="Y2208" s="25"/>
      <c r="Z2208" s="25"/>
    </row>
    <row r="2209" spans="1:26" ht="15.75" customHeight="1" x14ac:dyDescent="0.25">
      <c r="A2209" s="25">
        <v>2207</v>
      </c>
      <c r="B2209" s="37" t="e">
        <f t="shared" ref="B2209:D2209" si="4447">VLOOKUP($A2209,[7]Hábitat!$A$2:$O$184,B$1,0)</f>
        <v>#N/A</v>
      </c>
      <c r="C2209" s="38" t="e">
        <f t="shared" si="4447"/>
        <v>#N/A</v>
      </c>
      <c r="D2209" s="39" t="e">
        <f t="shared" si="4447"/>
        <v>#N/A</v>
      </c>
      <c r="E2209" s="16" t="e">
        <f t="shared" si="1"/>
        <v>#N/A</v>
      </c>
      <c r="F2209" s="16" t="e">
        <f t="shared" ref="F2209:K2209" si="4448">VLOOKUP($A2209,[7]Hábitat!$A$2:$O$184,F$1,0)</f>
        <v>#N/A</v>
      </c>
      <c r="G2209" s="39" t="e">
        <f t="shared" si="4448"/>
        <v>#N/A</v>
      </c>
      <c r="H2209" s="16" t="e">
        <f t="shared" si="4448"/>
        <v>#N/A</v>
      </c>
      <c r="I2209" s="16" t="e">
        <f t="shared" si="4448"/>
        <v>#N/A</v>
      </c>
      <c r="J2209" s="40" t="e">
        <f t="shared" si="4448"/>
        <v>#N/A</v>
      </c>
      <c r="K2209" s="16" t="e">
        <f t="shared" si="4448"/>
        <v>#N/A</v>
      </c>
      <c r="L2209" s="40" t="e">
        <f t="shared" si="4233"/>
        <v>#N/A</v>
      </c>
      <c r="M2209" s="16" t="e">
        <f t="shared" si="4234"/>
        <v>#N/A</v>
      </c>
      <c r="N2209" s="16" t="e">
        <f t="shared" si="4235"/>
        <v>#N/A</v>
      </c>
      <c r="O2209" s="16" t="s">
        <v>71</v>
      </c>
      <c r="P2209" s="16" t="str">
        <f t="shared" si="6"/>
        <v/>
      </c>
      <c r="Q2209" s="41" t="e">
        <f t="shared" si="4236"/>
        <v>#N/A</v>
      </c>
      <c r="R2209" s="44"/>
      <c r="S2209" s="44"/>
      <c r="T2209" s="43"/>
      <c r="U2209" s="43" t="str">
        <f t="shared" si="8"/>
        <v>No</v>
      </c>
      <c r="V2209" s="25"/>
      <c r="W2209" s="25"/>
      <c r="X2209" s="25"/>
      <c r="Y2209" s="25"/>
      <c r="Z2209" s="25"/>
    </row>
    <row r="2210" spans="1:26" ht="15.75" customHeight="1" x14ac:dyDescent="0.25">
      <c r="A2210" s="25">
        <v>2208</v>
      </c>
      <c r="B2210" s="37" t="e">
        <f t="shared" ref="B2210:D2210" si="4449">VLOOKUP($A2210,[7]Hábitat!$A$2:$O$184,B$1,0)</f>
        <v>#N/A</v>
      </c>
      <c r="C2210" s="38" t="e">
        <f t="shared" si="4449"/>
        <v>#N/A</v>
      </c>
      <c r="D2210" s="39" t="e">
        <f t="shared" si="4449"/>
        <v>#N/A</v>
      </c>
      <c r="E2210" s="16" t="e">
        <f t="shared" si="1"/>
        <v>#N/A</v>
      </c>
      <c r="F2210" s="16" t="e">
        <f t="shared" ref="F2210:K2210" si="4450">VLOOKUP($A2210,[7]Hábitat!$A$2:$O$184,F$1,0)</f>
        <v>#N/A</v>
      </c>
      <c r="G2210" s="39" t="e">
        <f t="shared" si="4450"/>
        <v>#N/A</v>
      </c>
      <c r="H2210" s="16" t="e">
        <f t="shared" si="4450"/>
        <v>#N/A</v>
      </c>
      <c r="I2210" s="16" t="e">
        <f t="shared" si="4450"/>
        <v>#N/A</v>
      </c>
      <c r="J2210" s="40" t="e">
        <f t="shared" si="4450"/>
        <v>#N/A</v>
      </c>
      <c r="K2210" s="16" t="e">
        <f t="shared" si="4450"/>
        <v>#N/A</v>
      </c>
      <c r="L2210" s="40" t="e">
        <f t="shared" si="4233"/>
        <v>#N/A</v>
      </c>
      <c r="M2210" s="16" t="e">
        <f t="shared" si="4234"/>
        <v>#N/A</v>
      </c>
      <c r="N2210" s="16" t="e">
        <f t="shared" si="4235"/>
        <v>#N/A</v>
      </c>
      <c r="O2210" s="16" t="s">
        <v>71</v>
      </c>
      <c r="P2210" s="16" t="str">
        <f t="shared" si="6"/>
        <v/>
      </c>
      <c r="Q2210" s="41" t="e">
        <f t="shared" si="4236"/>
        <v>#N/A</v>
      </c>
      <c r="R2210" s="44"/>
      <c r="S2210" s="44"/>
      <c r="T2210" s="43"/>
      <c r="U2210" s="43" t="str">
        <f t="shared" si="8"/>
        <v>No</v>
      </c>
      <c r="V2210" s="25"/>
      <c r="W2210" s="25"/>
      <c r="X2210" s="25"/>
      <c r="Y2210" s="25"/>
      <c r="Z2210" s="25"/>
    </row>
    <row r="2211" spans="1:26" ht="15.75" customHeight="1" x14ac:dyDescent="0.25">
      <c r="A2211" s="25">
        <v>2209</v>
      </c>
      <c r="B2211" s="37" t="e">
        <f t="shared" ref="B2211:D2211" si="4451">VLOOKUP($A2211,[7]Hábitat!$A$2:$O$184,B$1,0)</f>
        <v>#N/A</v>
      </c>
      <c r="C2211" s="38" t="e">
        <f t="shared" si="4451"/>
        <v>#N/A</v>
      </c>
      <c r="D2211" s="39" t="e">
        <f t="shared" si="4451"/>
        <v>#N/A</v>
      </c>
      <c r="E2211" s="16" t="e">
        <f t="shared" si="1"/>
        <v>#N/A</v>
      </c>
      <c r="F2211" s="16" t="e">
        <f t="shared" ref="F2211:K2211" si="4452">VLOOKUP($A2211,[7]Hábitat!$A$2:$O$184,F$1,0)</f>
        <v>#N/A</v>
      </c>
      <c r="G2211" s="39" t="e">
        <f t="shared" si="4452"/>
        <v>#N/A</v>
      </c>
      <c r="H2211" s="16" t="e">
        <f t="shared" si="4452"/>
        <v>#N/A</v>
      </c>
      <c r="I2211" s="16" t="e">
        <f t="shared" si="4452"/>
        <v>#N/A</v>
      </c>
      <c r="J2211" s="40" t="e">
        <f t="shared" si="4452"/>
        <v>#N/A</v>
      </c>
      <c r="K2211" s="16" t="e">
        <f t="shared" si="4452"/>
        <v>#N/A</v>
      </c>
      <c r="L2211" s="40" t="e">
        <f t="shared" si="4233"/>
        <v>#N/A</v>
      </c>
      <c r="M2211" s="16" t="e">
        <f t="shared" si="4234"/>
        <v>#N/A</v>
      </c>
      <c r="N2211" s="16" t="e">
        <f t="shared" si="4235"/>
        <v>#N/A</v>
      </c>
      <c r="O2211" s="16" t="s">
        <v>71</v>
      </c>
      <c r="P2211" s="16" t="str">
        <f t="shared" si="6"/>
        <v/>
      </c>
      <c r="Q2211" s="41" t="e">
        <f t="shared" si="4236"/>
        <v>#N/A</v>
      </c>
      <c r="R2211" s="44"/>
      <c r="S2211" s="44"/>
      <c r="T2211" s="43"/>
      <c r="U2211" s="43" t="str">
        <f t="shared" si="8"/>
        <v>No</v>
      </c>
      <c r="V2211" s="25"/>
      <c r="W2211" s="25"/>
      <c r="X2211" s="25"/>
      <c r="Y2211" s="25"/>
      <c r="Z2211" s="25"/>
    </row>
    <row r="2212" spans="1:26" ht="261" customHeight="1" x14ac:dyDescent="0.25">
      <c r="A2212" s="25">
        <v>2210</v>
      </c>
      <c r="B2212" s="37" t="e">
        <f t="shared" ref="B2212:D2212" si="4453">VLOOKUP($A2212,[7]Hábitat!$A$2:$O$184,B$1,0)</f>
        <v>#N/A</v>
      </c>
      <c r="C2212" s="38" t="e">
        <f t="shared" si="4453"/>
        <v>#N/A</v>
      </c>
      <c r="D2212" s="39" t="e">
        <f t="shared" si="4453"/>
        <v>#N/A</v>
      </c>
      <c r="E2212" s="16" t="e">
        <f t="shared" si="1"/>
        <v>#N/A</v>
      </c>
      <c r="F2212" s="16" t="e">
        <f t="shared" ref="F2212:K2212" si="4454">VLOOKUP($A2212,[7]Hábitat!$A$2:$O$184,F$1,0)</f>
        <v>#N/A</v>
      </c>
      <c r="G2212" s="39" t="e">
        <f t="shared" si="4454"/>
        <v>#N/A</v>
      </c>
      <c r="H2212" s="16" t="e">
        <f t="shared" si="4454"/>
        <v>#N/A</v>
      </c>
      <c r="I2212" s="16" t="e">
        <f t="shared" si="4454"/>
        <v>#N/A</v>
      </c>
      <c r="J2212" s="40" t="e">
        <f t="shared" si="4454"/>
        <v>#N/A</v>
      </c>
      <c r="K2212" s="16" t="e">
        <f t="shared" si="4454"/>
        <v>#N/A</v>
      </c>
      <c r="L2212" s="40" t="e">
        <f t="shared" si="4233"/>
        <v>#N/A</v>
      </c>
      <c r="M2212" s="16" t="e">
        <f t="shared" si="4234"/>
        <v>#N/A</v>
      </c>
      <c r="N2212" s="16" t="e">
        <f t="shared" si="4235"/>
        <v>#N/A</v>
      </c>
      <c r="O2212" s="16" t="s">
        <v>71</v>
      </c>
      <c r="P2212" s="16" t="str">
        <f t="shared" si="6"/>
        <v/>
      </c>
      <c r="Q2212" s="41" t="e">
        <f t="shared" si="4236"/>
        <v>#N/A</v>
      </c>
      <c r="R2212" s="44"/>
      <c r="S2212" s="44"/>
      <c r="T2212" s="43"/>
      <c r="U2212" s="43" t="str">
        <f t="shared" si="8"/>
        <v>No</v>
      </c>
      <c r="V2212" s="25"/>
      <c r="W2212" s="25"/>
      <c r="X2212" s="25"/>
      <c r="Y2212" s="25"/>
      <c r="Z2212" s="25"/>
    </row>
    <row r="2213" spans="1:26" ht="15.75" customHeight="1" x14ac:dyDescent="0.25">
      <c r="A2213" s="25">
        <v>2211</v>
      </c>
      <c r="B2213" s="37" t="e">
        <f t="shared" ref="B2213:D2213" si="4455">VLOOKUP($A2213,[7]Hábitat!$A$2:$O$184,B$1,0)</f>
        <v>#N/A</v>
      </c>
      <c r="C2213" s="38" t="e">
        <f t="shared" si="4455"/>
        <v>#N/A</v>
      </c>
      <c r="D2213" s="39" t="e">
        <f t="shared" si="4455"/>
        <v>#N/A</v>
      </c>
      <c r="E2213" s="16" t="e">
        <f t="shared" si="1"/>
        <v>#N/A</v>
      </c>
      <c r="F2213" s="16" t="e">
        <f t="shared" ref="F2213:K2213" si="4456">VLOOKUP($A2213,[7]Hábitat!$A$2:$O$184,F$1,0)</f>
        <v>#N/A</v>
      </c>
      <c r="G2213" s="39" t="e">
        <f t="shared" si="4456"/>
        <v>#N/A</v>
      </c>
      <c r="H2213" s="16" t="e">
        <f t="shared" si="4456"/>
        <v>#N/A</v>
      </c>
      <c r="I2213" s="16" t="e">
        <f t="shared" si="4456"/>
        <v>#N/A</v>
      </c>
      <c r="J2213" s="40" t="e">
        <f t="shared" si="4456"/>
        <v>#N/A</v>
      </c>
      <c r="K2213" s="16" t="e">
        <f t="shared" si="4456"/>
        <v>#N/A</v>
      </c>
      <c r="L2213" s="40" t="e">
        <f t="shared" si="4233"/>
        <v>#N/A</v>
      </c>
      <c r="M2213" s="16" t="e">
        <f t="shared" si="4234"/>
        <v>#N/A</v>
      </c>
      <c r="N2213" s="16" t="e">
        <f t="shared" si="4235"/>
        <v>#N/A</v>
      </c>
      <c r="O2213" s="16" t="s">
        <v>71</v>
      </c>
      <c r="P2213" s="16" t="str">
        <f t="shared" si="6"/>
        <v/>
      </c>
      <c r="Q2213" s="41" t="e">
        <f t="shared" si="4236"/>
        <v>#N/A</v>
      </c>
      <c r="R2213" s="44"/>
      <c r="S2213" s="44"/>
      <c r="T2213" s="43"/>
      <c r="U2213" s="43" t="str">
        <f t="shared" si="8"/>
        <v>No</v>
      </c>
      <c r="V2213" s="25"/>
      <c r="W2213" s="25"/>
      <c r="X2213" s="25"/>
      <c r="Y2213" s="25"/>
      <c r="Z2213" s="25"/>
    </row>
    <row r="2214" spans="1:26" ht="15.75" customHeight="1" x14ac:dyDescent="0.25">
      <c r="A2214" s="25">
        <v>2212</v>
      </c>
      <c r="B2214" s="37" t="e">
        <f t="shared" ref="B2214:D2214" si="4457">VLOOKUP($A2214,[7]Hábitat!$A$2:$O$184,B$1,0)</f>
        <v>#N/A</v>
      </c>
      <c r="C2214" s="38" t="e">
        <f t="shared" si="4457"/>
        <v>#N/A</v>
      </c>
      <c r="D2214" s="39" t="e">
        <f t="shared" si="4457"/>
        <v>#N/A</v>
      </c>
      <c r="E2214" s="16" t="e">
        <f t="shared" si="1"/>
        <v>#N/A</v>
      </c>
      <c r="F2214" s="16" t="e">
        <f t="shared" ref="F2214:K2214" si="4458">VLOOKUP($A2214,[7]Hábitat!$A$2:$O$184,F$1,0)</f>
        <v>#N/A</v>
      </c>
      <c r="G2214" s="39" t="e">
        <f t="shared" si="4458"/>
        <v>#N/A</v>
      </c>
      <c r="H2214" s="16" t="e">
        <f t="shared" si="4458"/>
        <v>#N/A</v>
      </c>
      <c r="I2214" s="16" t="e">
        <f t="shared" si="4458"/>
        <v>#N/A</v>
      </c>
      <c r="J2214" s="40" t="e">
        <f t="shared" si="4458"/>
        <v>#N/A</v>
      </c>
      <c r="K2214" s="16" t="e">
        <f t="shared" si="4458"/>
        <v>#N/A</v>
      </c>
      <c r="L2214" s="40" t="e">
        <f t="shared" si="4233"/>
        <v>#N/A</v>
      </c>
      <c r="M2214" s="16" t="e">
        <f t="shared" si="4234"/>
        <v>#N/A</v>
      </c>
      <c r="N2214" s="16" t="e">
        <f t="shared" si="4235"/>
        <v>#N/A</v>
      </c>
      <c r="O2214" s="16" t="s">
        <v>71</v>
      </c>
      <c r="P2214" s="16" t="str">
        <f t="shared" si="6"/>
        <v/>
      </c>
      <c r="Q2214" s="41" t="e">
        <f t="shared" si="4236"/>
        <v>#N/A</v>
      </c>
      <c r="R2214" s="44"/>
      <c r="S2214" s="44"/>
      <c r="T2214" s="43" t="s">
        <v>89</v>
      </c>
      <c r="U2214" s="43" t="str">
        <f t="shared" si="8"/>
        <v>No</v>
      </c>
      <c r="V2214" s="25"/>
      <c r="W2214" s="25"/>
      <c r="X2214" s="25"/>
      <c r="Y2214" s="25"/>
      <c r="Z2214" s="25"/>
    </row>
    <row r="2215" spans="1:26" ht="15.75" customHeight="1" x14ac:dyDescent="0.25">
      <c r="A2215" s="25">
        <v>2213</v>
      </c>
      <c r="B2215" s="37" t="e">
        <f t="shared" ref="B2215:D2215" si="4459">VLOOKUP($A2215,[7]Hábitat!$A$2:$O$184,B$1,0)</f>
        <v>#N/A</v>
      </c>
      <c r="C2215" s="38" t="e">
        <f t="shared" si="4459"/>
        <v>#N/A</v>
      </c>
      <c r="D2215" s="39" t="e">
        <f t="shared" si="4459"/>
        <v>#N/A</v>
      </c>
      <c r="E2215" s="16" t="e">
        <f t="shared" si="1"/>
        <v>#N/A</v>
      </c>
      <c r="F2215" s="16" t="e">
        <f t="shared" ref="F2215:K2215" si="4460">VLOOKUP($A2215,[7]Hábitat!$A$2:$O$184,F$1,0)</f>
        <v>#N/A</v>
      </c>
      <c r="G2215" s="39" t="e">
        <f t="shared" si="4460"/>
        <v>#N/A</v>
      </c>
      <c r="H2215" s="16" t="e">
        <f t="shared" si="4460"/>
        <v>#N/A</v>
      </c>
      <c r="I2215" s="16" t="e">
        <f t="shared" si="4460"/>
        <v>#N/A</v>
      </c>
      <c r="J2215" s="40" t="e">
        <f t="shared" si="4460"/>
        <v>#N/A</v>
      </c>
      <c r="K2215" s="16" t="e">
        <f t="shared" si="4460"/>
        <v>#N/A</v>
      </c>
      <c r="L2215" s="40" t="e">
        <f t="shared" si="4233"/>
        <v>#N/A</v>
      </c>
      <c r="M2215" s="16" t="e">
        <f t="shared" si="4234"/>
        <v>#N/A</v>
      </c>
      <c r="N2215" s="16" t="e">
        <f t="shared" si="4235"/>
        <v>#N/A</v>
      </c>
      <c r="O2215" s="16" t="s">
        <v>71</v>
      </c>
      <c r="P2215" s="16" t="str">
        <f t="shared" si="6"/>
        <v/>
      </c>
      <c r="Q2215" s="41" t="e">
        <f t="shared" si="4236"/>
        <v>#N/A</v>
      </c>
      <c r="R2215" s="44"/>
      <c r="S2215" s="44"/>
      <c r="T2215" s="43" t="s">
        <v>89</v>
      </c>
      <c r="U2215" s="43" t="str">
        <f t="shared" si="8"/>
        <v>No</v>
      </c>
      <c r="V2215" s="25"/>
      <c r="W2215" s="25"/>
      <c r="X2215" s="25"/>
      <c r="Y2215" s="25"/>
      <c r="Z2215" s="25"/>
    </row>
    <row r="2216" spans="1:26" ht="15.75" customHeight="1" x14ac:dyDescent="0.25">
      <c r="A2216" s="25">
        <v>2214</v>
      </c>
      <c r="B2216" s="37" t="e">
        <f t="shared" ref="B2216:D2216" si="4461">VLOOKUP($A2216,[7]Hábitat!$A$2:$O$184,B$1,0)</f>
        <v>#N/A</v>
      </c>
      <c r="C2216" s="38" t="e">
        <f t="shared" si="4461"/>
        <v>#N/A</v>
      </c>
      <c r="D2216" s="39" t="e">
        <f t="shared" si="4461"/>
        <v>#N/A</v>
      </c>
      <c r="E2216" s="16" t="e">
        <f t="shared" si="1"/>
        <v>#N/A</v>
      </c>
      <c r="F2216" s="16" t="e">
        <f t="shared" ref="F2216:K2216" si="4462">VLOOKUP($A2216,[7]Hábitat!$A$2:$O$184,F$1,0)</f>
        <v>#N/A</v>
      </c>
      <c r="G2216" s="39" t="e">
        <f t="shared" si="4462"/>
        <v>#N/A</v>
      </c>
      <c r="H2216" s="16" t="e">
        <f t="shared" si="4462"/>
        <v>#N/A</v>
      </c>
      <c r="I2216" s="16" t="e">
        <f t="shared" si="4462"/>
        <v>#N/A</v>
      </c>
      <c r="J2216" s="40" t="e">
        <f t="shared" si="4462"/>
        <v>#N/A</v>
      </c>
      <c r="K2216" s="16" t="e">
        <f t="shared" si="4462"/>
        <v>#N/A</v>
      </c>
      <c r="L2216" s="40" t="e">
        <f t="shared" si="4233"/>
        <v>#N/A</v>
      </c>
      <c r="M2216" s="16" t="e">
        <f t="shared" si="4234"/>
        <v>#N/A</v>
      </c>
      <c r="N2216" s="16" t="e">
        <f t="shared" si="4235"/>
        <v>#N/A</v>
      </c>
      <c r="O2216" s="16" t="s">
        <v>71</v>
      </c>
      <c r="P2216" s="16" t="str">
        <f t="shared" si="6"/>
        <v/>
      </c>
      <c r="Q2216" s="41" t="e">
        <f t="shared" si="4236"/>
        <v>#N/A</v>
      </c>
      <c r="R2216" s="44"/>
      <c r="S2216" s="44"/>
      <c r="T2216" s="43" t="s">
        <v>89</v>
      </c>
      <c r="U2216" s="43" t="str">
        <f t="shared" si="8"/>
        <v>No</v>
      </c>
      <c r="V2216" s="25"/>
      <c r="W2216" s="25"/>
      <c r="X2216" s="25"/>
      <c r="Y2216" s="25"/>
      <c r="Z2216" s="25"/>
    </row>
    <row r="2217" spans="1:26" ht="15.75" customHeight="1" x14ac:dyDescent="0.25">
      <c r="A2217" s="25">
        <v>2215</v>
      </c>
      <c r="B2217" s="37" t="e">
        <f t="shared" ref="B2217:D2217" si="4463">VLOOKUP($A2217,[7]Hábitat!$A$2:$O$184,B$1,0)</f>
        <v>#N/A</v>
      </c>
      <c r="C2217" s="38" t="e">
        <f t="shared" si="4463"/>
        <v>#N/A</v>
      </c>
      <c r="D2217" s="39" t="e">
        <f t="shared" si="4463"/>
        <v>#N/A</v>
      </c>
      <c r="E2217" s="16" t="e">
        <f t="shared" si="1"/>
        <v>#N/A</v>
      </c>
      <c r="F2217" s="16" t="e">
        <f t="shared" ref="F2217:K2217" si="4464">VLOOKUP($A2217,[7]Hábitat!$A$2:$O$184,F$1,0)</f>
        <v>#N/A</v>
      </c>
      <c r="G2217" s="39" t="e">
        <f t="shared" si="4464"/>
        <v>#N/A</v>
      </c>
      <c r="H2217" s="16" t="e">
        <f t="shared" si="4464"/>
        <v>#N/A</v>
      </c>
      <c r="I2217" s="16" t="e">
        <f t="shared" si="4464"/>
        <v>#N/A</v>
      </c>
      <c r="J2217" s="40" t="e">
        <f t="shared" si="4464"/>
        <v>#N/A</v>
      </c>
      <c r="K2217" s="16" t="e">
        <f t="shared" si="4464"/>
        <v>#N/A</v>
      </c>
      <c r="L2217" s="40" t="e">
        <f t="shared" si="4233"/>
        <v>#N/A</v>
      </c>
      <c r="M2217" s="16" t="e">
        <f t="shared" si="4234"/>
        <v>#N/A</v>
      </c>
      <c r="N2217" s="16" t="e">
        <f t="shared" si="4235"/>
        <v>#N/A</v>
      </c>
      <c r="O2217" s="16" t="s">
        <v>71</v>
      </c>
      <c r="P2217" s="16" t="str">
        <f t="shared" si="6"/>
        <v/>
      </c>
      <c r="Q2217" s="41" t="e">
        <f t="shared" si="4236"/>
        <v>#N/A</v>
      </c>
      <c r="R2217" s="44"/>
      <c r="S2217" s="44"/>
      <c r="T2217" s="43"/>
      <c r="U2217" s="43" t="str">
        <f t="shared" si="8"/>
        <v>No</v>
      </c>
      <c r="V2217" s="25"/>
      <c r="W2217" s="25"/>
      <c r="X2217" s="25"/>
      <c r="Y2217" s="25"/>
      <c r="Z2217" s="25"/>
    </row>
    <row r="2218" spans="1:26" ht="15.75" customHeight="1" x14ac:dyDescent="0.25">
      <c r="A2218" s="25">
        <v>2216</v>
      </c>
      <c r="B2218" s="37" t="e">
        <f t="shared" ref="B2218:D2218" si="4465">VLOOKUP($A2218,[7]Hábitat!$A$2:$O$184,B$1,0)</f>
        <v>#N/A</v>
      </c>
      <c r="C2218" s="38" t="e">
        <f t="shared" si="4465"/>
        <v>#N/A</v>
      </c>
      <c r="D2218" s="39" t="e">
        <f t="shared" si="4465"/>
        <v>#N/A</v>
      </c>
      <c r="E2218" s="16" t="e">
        <f t="shared" si="1"/>
        <v>#N/A</v>
      </c>
      <c r="F2218" s="16" t="e">
        <f t="shared" ref="F2218:K2218" si="4466">VLOOKUP($A2218,[7]Hábitat!$A$2:$O$184,F$1,0)</f>
        <v>#N/A</v>
      </c>
      <c r="G2218" s="39" t="e">
        <f t="shared" si="4466"/>
        <v>#N/A</v>
      </c>
      <c r="H2218" s="16" t="e">
        <f t="shared" si="4466"/>
        <v>#N/A</v>
      </c>
      <c r="I2218" s="16" t="e">
        <f t="shared" si="4466"/>
        <v>#N/A</v>
      </c>
      <c r="J2218" s="40" t="e">
        <f t="shared" si="4466"/>
        <v>#N/A</v>
      </c>
      <c r="K2218" s="16" t="e">
        <f t="shared" si="4466"/>
        <v>#N/A</v>
      </c>
      <c r="L2218" s="40" t="e">
        <f t="shared" si="4233"/>
        <v>#N/A</v>
      </c>
      <c r="M2218" s="16" t="e">
        <f t="shared" si="4234"/>
        <v>#N/A</v>
      </c>
      <c r="N2218" s="16" t="e">
        <f t="shared" si="4235"/>
        <v>#N/A</v>
      </c>
      <c r="O2218" s="16" t="s">
        <v>71</v>
      </c>
      <c r="P2218" s="16" t="str">
        <f t="shared" si="6"/>
        <v/>
      </c>
      <c r="Q2218" s="41" t="e">
        <f t="shared" si="4236"/>
        <v>#N/A</v>
      </c>
      <c r="R2218" s="44"/>
      <c r="S2218" s="44"/>
      <c r="T2218" s="43"/>
      <c r="U2218" s="43" t="str">
        <f t="shared" si="8"/>
        <v>No</v>
      </c>
      <c r="V2218" s="25"/>
      <c r="W2218" s="25"/>
      <c r="X2218" s="25"/>
      <c r="Y2218" s="25"/>
      <c r="Z2218" s="25"/>
    </row>
    <row r="2219" spans="1:26" ht="15.75" customHeight="1" x14ac:dyDescent="0.25">
      <c r="A2219" s="25">
        <v>2217</v>
      </c>
      <c r="B2219" s="37" t="e">
        <f t="shared" ref="B2219:D2219" si="4467">VLOOKUP($A2219,[7]Hábitat!$A$2:$O$184,B$1,0)</f>
        <v>#N/A</v>
      </c>
      <c r="C2219" s="38" t="e">
        <f t="shared" si="4467"/>
        <v>#N/A</v>
      </c>
      <c r="D2219" s="39" t="e">
        <f t="shared" si="4467"/>
        <v>#N/A</v>
      </c>
      <c r="E2219" s="16" t="e">
        <f t="shared" si="1"/>
        <v>#N/A</v>
      </c>
      <c r="F2219" s="16" t="e">
        <f t="shared" ref="F2219:K2219" si="4468">VLOOKUP($A2219,[7]Hábitat!$A$2:$O$184,F$1,0)</f>
        <v>#N/A</v>
      </c>
      <c r="G2219" s="39" t="e">
        <f t="shared" si="4468"/>
        <v>#N/A</v>
      </c>
      <c r="H2219" s="16" t="e">
        <f t="shared" si="4468"/>
        <v>#N/A</v>
      </c>
      <c r="I2219" s="16" t="e">
        <f t="shared" si="4468"/>
        <v>#N/A</v>
      </c>
      <c r="J2219" s="40" t="e">
        <f t="shared" si="4468"/>
        <v>#N/A</v>
      </c>
      <c r="K2219" s="16" t="e">
        <f t="shared" si="4468"/>
        <v>#N/A</v>
      </c>
      <c r="L2219" s="40" t="e">
        <f t="shared" si="4233"/>
        <v>#N/A</v>
      </c>
      <c r="M2219" s="16" t="e">
        <f t="shared" si="4234"/>
        <v>#N/A</v>
      </c>
      <c r="N2219" s="16" t="e">
        <f t="shared" si="4235"/>
        <v>#N/A</v>
      </c>
      <c r="O2219" s="16" t="s">
        <v>71</v>
      </c>
      <c r="P2219" s="16" t="str">
        <f t="shared" si="6"/>
        <v/>
      </c>
      <c r="Q2219" s="41" t="e">
        <f t="shared" si="4236"/>
        <v>#N/A</v>
      </c>
      <c r="R2219" s="44"/>
      <c r="S2219" s="44"/>
      <c r="T2219" s="43"/>
      <c r="U2219" s="43" t="str">
        <f t="shared" si="8"/>
        <v>No</v>
      </c>
      <c r="V2219" s="25"/>
      <c r="W2219" s="25"/>
      <c r="X2219" s="25"/>
      <c r="Y2219" s="25"/>
      <c r="Z2219" s="25"/>
    </row>
    <row r="2220" spans="1:26" ht="15.75" customHeight="1" x14ac:dyDescent="0.25">
      <c r="A2220" s="25">
        <v>2218</v>
      </c>
      <c r="B2220" s="37" t="e">
        <f t="shared" ref="B2220:D2220" si="4469">VLOOKUP($A2220,[7]Hábitat!$A$2:$O$184,B$1,0)</f>
        <v>#N/A</v>
      </c>
      <c r="C2220" s="38" t="e">
        <f t="shared" si="4469"/>
        <v>#N/A</v>
      </c>
      <c r="D2220" s="39" t="e">
        <f t="shared" si="4469"/>
        <v>#N/A</v>
      </c>
      <c r="E2220" s="16" t="e">
        <f t="shared" si="1"/>
        <v>#N/A</v>
      </c>
      <c r="F2220" s="16" t="e">
        <f t="shared" ref="F2220:K2220" si="4470">VLOOKUP($A2220,[7]Hábitat!$A$2:$O$184,F$1,0)</f>
        <v>#N/A</v>
      </c>
      <c r="G2220" s="39" t="e">
        <f t="shared" si="4470"/>
        <v>#N/A</v>
      </c>
      <c r="H2220" s="16" t="e">
        <f t="shared" si="4470"/>
        <v>#N/A</v>
      </c>
      <c r="I2220" s="16" t="e">
        <f t="shared" si="4470"/>
        <v>#N/A</v>
      </c>
      <c r="J2220" s="40" t="e">
        <f t="shared" si="4470"/>
        <v>#N/A</v>
      </c>
      <c r="K2220" s="16" t="e">
        <f t="shared" si="4470"/>
        <v>#N/A</v>
      </c>
      <c r="L2220" s="40" t="e">
        <f t="shared" si="4233"/>
        <v>#N/A</v>
      </c>
      <c r="M2220" s="16" t="e">
        <f t="shared" si="4234"/>
        <v>#N/A</v>
      </c>
      <c r="N2220" s="16" t="e">
        <f t="shared" si="4235"/>
        <v>#N/A</v>
      </c>
      <c r="O2220" s="16" t="s">
        <v>71</v>
      </c>
      <c r="P2220" s="16" t="str">
        <f t="shared" si="6"/>
        <v/>
      </c>
      <c r="Q2220" s="41" t="e">
        <f t="shared" si="4236"/>
        <v>#N/A</v>
      </c>
      <c r="R2220" s="44"/>
      <c r="S2220" s="44"/>
      <c r="T2220" s="43"/>
      <c r="U2220" s="43" t="str">
        <f t="shared" si="8"/>
        <v>No</v>
      </c>
      <c r="V2220" s="25"/>
      <c r="W2220" s="25"/>
      <c r="X2220" s="25"/>
      <c r="Y2220" s="25"/>
      <c r="Z2220" s="25"/>
    </row>
    <row r="2221" spans="1:26" ht="15.75" customHeight="1" x14ac:dyDescent="0.25">
      <c r="A2221" s="25">
        <v>2219</v>
      </c>
      <c r="B2221" s="37" t="e">
        <f t="shared" ref="B2221:D2221" si="4471">VLOOKUP($A2221,[7]Hábitat!$A$2:$O$184,B$1,0)</f>
        <v>#N/A</v>
      </c>
      <c r="C2221" s="38" t="e">
        <f t="shared" si="4471"/>
        <v>#N/A</v>
      </c>
      <c r="D2221" s="39" t="e">
        <f t="shared" si="4471"/>
        <v>#N/A</v>
      </c>
      <c r="E2221" s="16" t="e">
        <f t="shared" si="1"/>
        <v>#N/A</v>
      </c>
      <c r="F2221" s="16" t="e">
        <f t="shared" ref="F2221:K2221" si="4472">VLOOKUP($A2221,[7]Hábitat!$A$2:$O$184,F$1,0)</f>
        <v>#N/A</v>
      </c>
      <c r="G2221" s="39" t="e">
        <f t="shared" si="4472"/>
        <v>#N/A</v>
      </c>
      <c r="H2221" s="16" t="e">
        <f t="shared" si="4472"/>
        <v>#N/A</v>
      </c>
      <c r="I2221" s="16" t="e">
        <f t="shared" si="4472"/>
        <v>#N/A</v>
      </c>
      <c r="J2221" s="40" t="e">
        <f t="shared" si="4472"/>
        <v>#N/A</v>
      </c>
      <c r="K2221" s="16" t="e">
        <f t="shared" si="4472"/>
        <v>#N/A</v>
      </c>
      <c r="L2221" s="40" t="e">
        <f t="shared" si="4233"/>
        <v>#N/A</v>
      </c>
      <c r="M2221" s="16" t="e">
        <f t="shared" si="4234"/>
        <v>#N/A</v>
      </c>
      <c r="N2221" s="16" t="e">
        <f t="shared" si="4235"/>
        <v>#N/A</v>
      </c>
      <c r="O2221" s="16" t="s">
        <v>71</v>
      </c>
      <c r="P2221" s="16" t="str">
        <f t="shared" si="6"/>
        <v/>
      </c>
      <c r="Q2221" s="41" t="e">
        <f t="shared" si="4236"/>
        <v>#N/A</v>
      </c>
      <c r="R2221" s="44"/>
      <c r="S2221" s="44"/>
      <c r="T2221" s="43"/>
      <c r="U2221" s="43" t="str">
        <f t="shared" si="8"/>
        <v>No</v>
      </c>
      <c r="V2221" s="25"/>
      <c r="W2221" s="25"/>
      <c r="X2221" s="25"/>
      <c r="Y2221" s="25"/>
      <c r="Z2221" s="25"/>
    </row>
    <row r="2222" spans="1:26" ht="15.75" customHeight="1" x14ac:dyDescent="0.25">
      <c r="A2222" s="25">
        <v>2220</v>
      </c>
      <c r="B2222" s="37" t="e">
        <f t="shared" ref="B2222:D2222" si="4473">VLOOKUP($A2222,[7]Hábitat!$A$2:$O$184,B$1,0)</f>
        <v>#N/A</v>
      </c>
      <c r="C2222" s="38" t="e">
        <f t="shared" si="4473"/>
        <v>#N/A</v>
      </c>
      <c r="D2222" s="39" t="e">
        <f t="shared" si="4473"/>
        <v>#N/A</v>
      </c>
      <c r="E2222" s="16" t="e">
        <f t="shared" si="1"/>
        <v>#N/A</v>
      </c>
      <c r="F2222" s="16" t="e">
        <f t="shared" ref="F2222:K2222" si="4474">VLOOKUP($A2222,[7]Hábitat!$A$2:$O$184,F$1,0)</f>
        <v>#N/A</v>
      </c>
      <c r="G2222" s="39" t="e">
        <f t="shared" si="4474"/>
        <v>#N/A</v>
      </c>
      <c r="H2222" s="16" t="e">
        <f t="shared" si="4474"/>
        <v>#N/A</v>
      </c>
      <c r="I2222" s="16" t="e">
        <f t="shared" si="4474"/>
        <v>#N/A</v>
      </c>
      <c r="J2222" s="40" t="e">
        <f t="shared" si="4474"/>
        <v>#N/A</v>
      </c>
      <c r="K2222" s="16" t="e">
        <f t="shared" si="4474"/>
        <v>#N/A</v>
      </c>
      <c r="L2222" s="40" t="e">
        <f t="shared" si="4233"/>
        <v>#N/A</v>
      </c>
      <c r="M2222" s="16" t="e">
        <f t="shared" si="4234"/>
        <v>#N/A</v>
      </c>
      <c r="N2222" s="16" t="e">
        <f t="shared" si="4235"/>
        <v>#N/A</v>
      </c>
      <c r="O2222" s="16" t="s">
        <v>71</v>
      </c>
      <c r="P2222" s="16" t="str">
        <f t="shared" si="6"/>
        <v/>
      </c>
      <c r="Q2222" s="41" t="e">
        <f t="shared" si="4236"/>
        <v>#N/A</v>
      </c>
      <c r="R2222" s="44"/>
      <c r="S2222" s="44"/>
      <c r="T2222" s="43"/>
      <c r="U2222" s="43" t="str">
        <f t="shared" si="8"/>
        <v>No</v>
      </c>
      <c r="V2222" s="25"/>
      <c r="W2222" s="25"/>
      <c r="X2222" s="25"/>
      <c r="Y2222" s="25"/>
      <c r="Z2222" s="25"/>
    </row>
    <row r="2223" spans="1:26" ht="15.75" customHeight="1" x14ac:dyDescent="0.25">
      <c r="A2223" s="25">
        <v>2221</v>
      </c>
      <c r="B2223" s="37" t="e">
        <f t="shared" ref="B2223:D2223" si="4475">VLOOKUP($A2223,[7]Hábitat!$A$2:$O$184,B$1,0)</f>
        <v>#N/A</v>
      </c>
      <c r="C2223" s="38" t="e">
        <f t="shared" si="4475"/>
        <v>#N/A</v>
      </c>
      <c r="D2223" s="39" t="e">
        <f t="shared" si="4475"/>
        <v>#N/A</v>
      </c>
      <c r="E2223" s="16" t="e">
        <f t="shared" si="1"/>
        <v>#N/A</v>
      </c>
      <c r="F2223" s="16" t="e">
        <f t="shared" ref="F2223:K2223" si="4476">VLOOKUP($A2223,[7]Hábitat!$A$2:$O$184,F$1,0)</f>
        <v>#N/A</v>
      </c>
      <c r="G2223" s="39" t="e">
        <f t="shared" si="4476"/>
        <v>#N/A</v>
      </c>
      <c r="H2223" s="16" t="e">
        <f t="shared" si="4476"/>
        <v>#N/A</v>
      </c>
      <c r="I2223" s="16" t="e">
        <f t="shared" si="4476"/>
        <v>#N/A</v>
      </c>
      <c r="J2223" s="40" t="e">
        <f t="shared" si="4476"/>
        <v>#N/A</v>
      </c>
      <c r="K2223" s="16" t="e">
        <f t="shared" si="4476"/>
        <v>#N/A</v>
      </c>
      <c r="L2223" s="40" t="e">
        <f t="shared" si="4233"/>
        <v>#N/A</v>
      </c>
      <c r="M2223" s="16" t="e">
        <f t="shared" si="4234"/>
        <v>#N/A</v>
      </c>
      <c r="N2223" s="16" t="e">
        <f t="shared" si="4235"/>
        <v>#N/A</v>
      </c>
      <c r="O2223" s="16" t="s">
        <v>71</v>
      </c>
      <c r="P2223" s="16" t="str">
        <f t="shared" si="6"/>
        <v/>
      </c>
      <c r="Q2223" s="41" t="e">
        <f t="shared" si="4236"/>
        <v>#N/A</v>
      </c>
      <c r="R2223" s="44"/>
      <c r="S2223" s="44"/>
      <c r="T2223" s="43"/>
      <c r="U2223" s="43" t="str">
        <f t="shared" si="8"/>
        <v>No</v>
      </c>
      <c r="V2223" s="25"/>
      <c r="W2223" s="25"/>
      <c r="X2223" s="25"/>
      <c r="Y2223" s="25"/>
      <c r="Z2223" s="25"/>
    </row>
    <row r="2224" spans="1:26" ht="15.75" customHeight="1" x14ac:dyDescent="0.25">
      <c r="A2224" s="25">
        <v>2222</v>
      </c>
      <c r="B2224" s="37" t="e">
        <f t="shared" ref="B2224:D2224" si="4477">VLOOKUP($A2224,[7]Hábitat!$A$2:$O$184,B$1,0)</f>
        <v>#N/A</v>
      </c>
      <c r="C2224" s="38" t="e">
        <f t="shared" si="4477"/>
        <v>#N/A</v>
      </c>
      <c r="D2224" s="39" t="e">
        <f t="shared" si="4477"/>
        <v>#N/A</v>
      </c>
      <c r="E2224" s="16" t="e">
        <f t="shared" si="1"/>
        <v>#N/A</v>
      </c>
      <c r="F2224" s="16" t="e">
        <f t="shared" ref="F2224:K2224" si="4478">VLOOKUP($A2224,[7]Hábitat!$A$2:$O$184,F$1,0)</f>
        <v>#N/A</v>
      </c>
      <c r="G2224" s="39" t="e">
        <f t="shared" si="4478"/>
        <v>#N/A</v>
      </c>
      <c r="H2224" s="16" t="e">
        <f t="shared" si="4478"/>
        <v>#N/A</v>
      </c>
      <c r="I2224" s="16" t="e">
        <f t="shared" si="4478"/>
        <v>#N/A</v>
      </c>
      <c r="J2224" s="40" t="e">
        <f t="shared" si="4478"/>
        <v>#N/A</v>
      </c>
      <c r="K2224" s="16" t="e">
        <f t="shared" si="4478"/>
        <v>#N/A</v>
      </c>
      <c r="L2224" s="40" t="e">
        <f t="shared" si="4233"/>
        <v>#N/A</v>
      </c>
      <c r="M2224" s="16" t="e">
        <f t="shared" si="4234"/>
        <v>#N/A</v>
      </c>
      <c r="N2224" s="16" t="e">
        <f t="shared" si="4235"/>
        <v>#N/A</v>
      </c>
      <c r="O2224" s="16" t="s">
        <v>71</v>
      </c>
      <c r="P2224" s="16" t="str">
        <f t="shared" si="6"/>
        <v/>
      </c>
      <c r="Q2224" s="41" t="e">
        <f t="shared" si="4236"/>
        <v>#N/A</v>
      </c>
      <c r="R2224" s="44"/>
      <c r="S2224" s="44"/>
      <c r="T2224" s="43"/>
      <c r="U2224" s="43" t="str">
        <f t="shared" si="8"/>
        <v>No</v>
      </c>
      <c r="V2224" s="25"/>
      <c r="W2224" s="25"/>
      <c r="X2224" s="25"/>
      <c r="Y2224" s="25"/>
      <c r="Z2224" s="25"/>
    </row>
    <row r="2225" spans="1:26" ht="15.75" customHeight="1" x14ac:dyDescent="0.25">
      <c r="A2225" s="25">
        <v>2223</v>
      </c>
      <c r="B2225" s="37" t="e">
        <f t="shared" ref="B2225:D2225" si="4479">VLOOKUP($A2225,[7]Hábitat!$A$2:$O$184,B$1,0)</f>
        <v>#N/A</v>
      </c>
      <c r="C2225" s="38" t="e">
        <f t="shared" si="4479"/>
        <v>#N/A</v>
      </c>
      <c r="D2225" s="39" t="e">
        <f t="shared" si="4479"/>
        <v>#N/A</v>
      </c>
      <c r="E2225" s="16" t="e">
        <f t="shared" si="1"/>
        <v>#N/A</v>
      </c>
      <c r="F2225" s="16" t="e">
        <f t="shared" ref="F2225:K2225" si="4480">VLOOKUP($A2225,[7]Hábitat!$A$2:$O$184,F$1,0)</f>
        <v>#N/A</v>
      </c>
      <c r="G2225" s="39" t="e">
        <f t="shared" si="4480"/>
        <v>#N/A</v>
      </c>
      <c r="H2225" s="16" t="e">
        <f t="shared" si="4480"/>
        <v>#N/A</v>
      </c>
      <c r="I2225" s="16" t="e">
        <f t="shared" si="4480"/>
        <v>#N/A</v>
      </c>
      <c r="J2225" s="40" t="e">
        <f t="shared" si="4480"/>
        <v>#N/A</v>
      </c>
      <c r="K2225" s="16" t="e">
        <f t="shared" si="4480"/>
        <v>#N/A</v>
      </c>
      <c r="L2225" s="40" t="e">
        <f t="shared" si="4233"/>
        <v>#N/A</v>
      </c>
      <c r="M2225" s="16" t="e">
        <f t="shared" si="4234"/>
        <v>#N/A</v>
      </c>
      <c r="N2225" s="16" t="e">
        <f t="shared" si="4235"/>
        <v>#N/A</v>
      </c>
      <c r="O2225" s="16" t="s">
        <v>71</v>
      </c>
      <c r="P2225" s="16" t="str">
        <f t="shared" si="6"/>
        <v/>
      </c>
      <c r="Q2225" s="41" t="e">
        <f t="shared" si="4236"/>
        <v>#N/A</v>
      </c>
      <c r="R2225" s="44"/>
      <c r="S2225" s="44"/>
      <c r="T2225" s="43"/>
      <c r="U2225" s="43" t="str">
        <f t="shared" si="8"/>
        <v>No</v>
      </c>
      <c r="V2225" s="25"/>
      <c r="W2225" s="25"/>
      <c r="X2225" s="25"/>
      <c r="Y2225" s="25"/>
      <c r="Z2225" s="25"/>
    </row>
    <row r="2226" spans="1:26" ht="15.75" customHeight="1" x14ac:dyDescent="0.25">
      <c r="A2226" s="25">
        <v>2224</v>
      </c>
      <c r="B2226" s="37" t="e">
        <f t="shared" ref="B2226:D2226" si="4481">VLOOKUP($A2226,[7]Hábitat!$A$2:$O$184,B$1,0)</f>
        <v>#N/A</v>
      </c>
      <c r="C2226" s="38" t="e">
        <f t="shared" si="4481"/>
        <v>#N/A</v>
      </c>
      <c r="D2226" s="39" t="e">
        <f t="shared" si="4481"/>
        <v>#N/A</v>
      </c>
      <c r="E2226" s="16" t="e">
        <f t="shared" si="1"/>
        <v>#N/A</v>
      </c>
      <c r="F2226" s="16" t="e">
        <f t="shared" ref="F2226:K2226" si="4482">VLOOKUP($A2226,[7]Hábitat!$A$2:$O$184,F$1,0)</f>
        <v>#N/A</v>
      </c>
      <c r="G2226" s="39" t="e">
        <f t="shared" si="4482"/>
        <v>#N/A</v>
      </c>
      <c r="H2226" s="16" t="e">
        <f t="shared" si="4482"/>
        <v>#N/A</v>
      </c>
      <c r="I2226" s="16" t="e">
        <f t="shared" si="4482"/>
        <v>#N/A</v>
      </c>
      <c r="J2226" s="40" t="e">
        <f t="shared" si="4482"/>
        <v>#N/A</v>
      </c>
      <c r="K2226" s="16" t="e">
        <f t="shared" si="4482"/>
        <v>#N/A</v>
      </c>
      <c r="L2226" s="40" t="e">
        <f t="shared" si="4233"/>
        <v>#N/A</v>
      </c>
      <c r="M2226" s="16" t="e">
        <f t="shared" si="4234"/>
        <v>#N/A</v>
      </c>
      <c r="N2226" s="16" t="e">
        <f t="shared" si="4235"/>
        <v>#N/A</v>
      </c>
      <c r="O2226" s="16" t="s">
        <v>71</v>
      </c>
      <c r="P2226" s="16" t="str">
        <f t="shared" si="6"/>
        <v/>
      </c>
      <c r="Q2226" s="41" t="e">
        <f t="shared" si="4236"/>
        <v>#N/A</v>
      </c>
      <c r="R2226" s="44"/>
      <c r="S2226" s="44"/>
      <c r="T2226" s="43"/>
      <c r="U2226" s="43" t="str">
        <f t="shared" si="8"/>
        <v>No</v>
      </c>
      <c r="V2226" s="25"/>
      <c r="W2226" s="25"/>
      <c r="X2226" s="25"/>
      <c r="Y2226" s="25"/>
      <c r="Z2226" s="25"/>
    </row>
    <row r="2227" spans="1:26" ht="15.75" customHeight="1" x14ac:dyDescent="0.25">
      <c r="A2227" s="25">
        <v>2225</v>
      </c>
      <c r="B2227" s="37" t="e">
        <f t="shared" ref="B2227:D2227" si="4483">VLOOKUP($A2227,[7]Hábitat!$A$2:$O$184,B$1,0)</f>
        <v>#N/A</v>
      </c>
      <c r="C2227" s="38" t="e">
        <f t="shared" si="4483"/>
        <v>#N/A</v>
      </c>
      <c r="D2227" s="39" t="e">
        <f t="shared" si="4483"/>
        <v>#N/A</v>
      </c>
      <c r="E2227" s="16" t="e">
        <f t="shared" si="1"/>
        <v>#N/A</v>
      </c>
      <c r="F2227" s="16" t="e">
        <f t="shared" ref="F2227:K2227" si="4484">VLOOKUP($A2227,[7]Hábitat!$A$2:$O$184,F$1,0)</f>
        <v>#N/A</v>
      </c>
      <c r="G2227" s="39" t="e">
        <f t="shared" si="4484"/>
        <v>#N/A</v>
      </c>
      <c r="H2227" s="16" t="e">
        <f t="shared" si="4484"/>
        <v>#N/A</v>
      </c>
      <c r="I2227" s="16" t="e">
        <f t="shared" si="4484"/>
        <v>#N/A</v>
      </c>
      <c r="J2227" s="40" t="e">
        <f t="shared" si="4484"/>
        <v>#N/A</v>
      </c>
      <c r="K2227" s="16" t="e">
        <f t="shared" si="4484"/>
        <v>#N/A</v>
      </c>
      <c r="L2227" s="40" t="e">
        <f t="shared" si="4233"/>
        <v>#N/A</v>
      </c>
      <c r="M2227" s="16" t="e">
        <f t="shared" si="4234"/>
        <v>#N/A</v>
      </c>
      <c r="N2227" s="16" t="e">
        <f t="shared" si="4235"/>
        <v>#N/A</v>
      </c>
      <c r="O2227" s="16" t="s">
        <v>71</v>
      </c>
      <c r="P2227" s="16" t="str">
        <f t="shared" si="6"/>
        <v/>
      </c>
      <c r="Q2227" s="41" t="e">
        <f t="shared" si="4236"/>
        <v>#N/A</v>
      </c>
      <c r="R2227" s="44"/>
      <c r="S2227" s="44"/>
      <c r="T2227" s="43"/>
      <c r="U2227" s="43" t="str">
        <f t="shared" si="8"/>
        <v>No</v>
      </c>
      <c r="V2227" s="25"/>
      <c r="W2227" s="25"/>
      <c r="X2227" s="25"/>
      <c r="Y2227" s="25"/>
      <c r="Z2227" s="25"/>
    </row>
    <row r="2228" spans="1:26" ht="15.75" customHeight="1" x14ac:dyDescent="0.25">
      <c r="A2228" s="25">
        <v>2226</v>
      </c>
      <c r="B2228" s="37" t="e">
        <f t="shared" ref="B2228:D2228" si="4485">VLOOKUP($A2228,[7]Hábitat!$A$2:$O$184,B$1,0)</f>
        <v>#N/A</v>
      </c>
      <c r="C2228" s="38" t="e">
        <f t="shared" si="4485"/>
        <v>#N/A</v>
      </c>
      <c r="D2228" s="39" t="e">
        <f t="shared" si="4485"/>
        <v>#N/A</v>
      </c>
      <c r="E2228" s="16" t="e">
        <f t="shared" si="1"/>
        <v>#N/A</v>
      </c>
      <c r="F2228" s="16" t="e">
        <f t="shared" ref="F2228:K2228" si="4486">VLOOKUP($A2228,[7]Hábitat!$A$2:$O$184,F$1,0)</f>
        <v>#N/A</v>
      </c>
      <c r="G2228" s="39" t="e">
        <f t="shared" si="4486"/>
        <v>#N/A</v>
      </c>
      <c r="H2228" s="16" t="e">
        <f t="shared" si="4486"/>
        <v>#N/A</v>
      </c>
      <c r="I2228" s="16" t="e">
        <f t="shared" si="4486"/>
        <v>#N/A</v>
      </c>
      <c r="J2228" s="40" t="e">
        <f t="shared" si="4486"/>
        <v>#N/A</v>
      </c>
      <c r="K2228" s="47" t="e">
        <f t="shared" si="4486"/>
        <v>#N/A</v>
      </c>
      <c r="L2228" s="40" t="e">
        <f t="shared" si="4233"/>
        <v>#N/A</v>
      </c>
      <c r="M2228" s="16" t="e">
        <f t="shared" si="4234"/>
        <v>#N/A</v>
      </c>
      <c r="N2228" s="16" t="e">
        <f t="shared" si="4235"/>
        <v>#N/A</v>
      </c>
      <c r="O2228" s="16" t="s">
        <v>71</v>
      </c>
      <c r="P2228" s="16" t="str">
        <f t="shared" si="6"/>
        <v/>
      </c>
      <c r="Q2228" s="41" t="e">
        <f t="shared" si="4236"/>
        <v>#N/A</v>
      </c>
      <c r="R2228" s="44"/>
      <c r="S2228" s="44"/>
      <c r="T2228" s="43"/>
      <c r="U2228" s="43" t="str">
        <f t="shared" si="8"/>
        <v>No</v>
      </c>
      <c r="V2228" s="25"/>
      <c r="W2228" s="25"/>
      <c r="X2228" s="25"/>
      <c r="Y2228" s="25"/>
      <c r="Z2228" s="25"/>
    </row>
    <row r="2229" spans="1:26" ht="15.75" customHeight="1" x14ac:dyDescent="0.25">
      <c r="A2229" s="25">
        <v>2227</v>
      </c>
      <c r="B2229" s="37" t="e">
        <f t="shared" ref="B2229:D2229" si="4487">VLOOKUP($A2229,[7]Hábitat!$A$2:$O$184,B$1,0)</f>
        <v>#N/A</v>
      </c>
      <c r="C2229" s="38" t="e">
        <f t="shared" si="4487"/>
        <v>#N/A</v>
      </c>
      <c r="D2229" s="39" t="e">
        <f t="shared" si="4487"/>
        <v>#N/A</v>
      </c>
      <c r="E2229" s="16" t="e">
        <f t="shared" si="1"/>
        <v>#N/A</v>
      </c>
      <c r="F2229" s="16" t="e">
        <f t="shared" ref="F2229:K2229" si="4488">VLOOKUP($A2229,[7]Hábitat!$A$2:$O$184,F$1,0)</f>
        <v>#N/A</v>
      </c>
      <c r="G2229" s="39" t="e">
        <f t="shared" si="4488"/>
        <v>#N/A</v>
      </c>
      <c r="H2229" s="16" t="e">
        <f t="shared" si="4488"/>
        <v>#N/A</v>
      </c>
      <c r="I2229" s="16" t="e">
        <f t="shared" si="4488"/>
        <v>#N/A</v>
      </c>
      <c r="J2229" s="40" t="e">
        <f t="shared" si="4488"/>
        <v>#N/A</v>
      </c>
      <c r="K2229" s="16" t="e">
        <f t="shared" si="4488"/>
        <v>#N/A</v>
      </c>
      <c r="L2229" s="40" t="e">
        <f t="shared" si="4233"/>
        <v>#N/A</v>
      </c>
      <c r="M2229" s="16" t="e">
        <f t="shared" si="4234"/>
        <v>#N/A</v>
      </c>
      <c r="N2229" s="16" t="e">
        <f t="shared" si="4235"/>
        <v>#N/A</v>
      </c>
      <c r="O2229" s="16" t="s">
        <v>71</v>
      </c>
      <c r="P2229" s="16" t="str">
        <f t="shared" si="6"/>
        <v/>
      </c>
      <c r="Q2229" s="41" t="e">
        <f t="shared" si="4236"/>
        <v>#N/A</v>
      </c>
      <c r="R2229" s="44"/>
      <c r="S2229" s="44"/>
      <c r="T2229" s="43"/>
      <c r="U2229" s="43" t="str">
        <f t="shared" si="8"/>
        <v>No</v>
      </c>
      <c r="V2229" s="25"/>
      <c r="W2229" s="25"/>
      <c r="X2229" s="25"/>
      <c r="Y2229" s="25"/>
      <c r="Z2229" s="25"/>
    </row>
    <row r="2230" spans="1:26" ht="15.75" customHeight="1" x14ac:dyDescent="0.25">
      <c r="A2230" s="25">
        <v>2228</v>
      </c>
      <c r="B2230" s="37" t="e">
        <f t="shared" ref="B2230:D2230" si="4489">VLOOKUP($A2230,[7]Hábitat!$A$2:$O$184,B$1,0)</f>
        <v>#N/A</v>
      </c>
      <c r="C2230" s="38" t="e">
        <f t="shared" si="4489"/>
        <v>#N/A</v>
      </c>
      <c r="D2230" s="39" t="e">
        <f t="shared" si="4489"/>
        <v>#N/A</v>
      </c>
      <c r="E2230" s="16" t="e">
        <f t="shared" si="1"/>
        <v>#N/A</v>
      </c>
      <c r="F2230" s="16" t="e">
        <f t="shared" ref="F2230:K2230" si="4490">VLOOKUP($A2230,[7]Hábitat!$A$2:$O$184,F$1,0)</f>
        <v>#N/A</v>
      </c>
      <c r="G2230" s="39" t="e">
        <f t="shared" si="4490"/>
        <v>#N/A</v>
      </c>
      <c r="H2230" s="16" t="e">
        <f t="shared" si="4490"/>
        <v>#N/A</v>
      </c>
      <c r="I2230" s="16" t="e">
        <f t="shared" si="4490"/>
        <v>#N/A</v>
      </c>
      <c r="J2230" s="40" t="e">
        <f t="shared" si="4490"/>
        <v>#N/A</v>
      </c>
      <c r="K2230" s="16" t="e">
        <f t="shared" si="4490"/>
        <v>#N/A</v>
      </c>
      <c r="L2230" s="40" t="e">
        <f t="shared" si="4233"/>
        <v>#N/A</v>
      </c>
      <c r="M2230" s="16" t="e">
        <f t="shared" si="4234"/>
        <v>#N/A</v>
      </c>
      <c r="N2230" s="16" t="e">
        <f t="shared" si="4235"/>
        <v>#N/A</v>
      </c>
      <c r="O2230" s="16" t="s">
        <v>71</v>
      </c>
      <c r="P2230" s="16" t="str">
        <f t="shared" si="6"/>
        <v/>
      </c>
      <c r="Q2230" s="41" t="e">
        <f t="shared" si="4236"/>
        <v>#N/A</v>
      </c>
      <c r="R2230" s="44"/>
      <c r="S2230" s="44"/>
      <c r="T2230" s="43"/>
      <c r="U2230" s="43" t="str">
        <f t="shared" si="8"/>
        <v>No</v>
      </c>
      <c r="V2230" s="25"/>
      <c r="W2230" s="25"/>
      <c r="X2230" s="25"/>
      <c r="Y2230" s="25"/>
      <c r="Z2230" s="25"/>
    </row>
    <row r="2231" spans="1:26" ht="15.75" customHeight="1" x14ac:dyDescent="0.25">
      <c r="A2231" s="25">
        <v>2229</v>
      </c>
      <c r="B2231" s="37" t="e">
        <f t="shared" ref="B2231:D2231" si="4491">VLOOKUP($A2231,[7]Hábitat!$A$2:$O$184,B$1,0)</f>
        <v>#N/A</v>
      </c>
      <c r="C2231" s="38" t="e">
        <f t="shared" si="4491"/>
        <v>#N/A</v>
      </c>
      <c r="D2231" s="39" t="e">
        <f t="shared" si="4491"/>
        <v>#N/A</v>
      </c>
      <c r="E2231" s="16" t="e">
        <f t="shared" si="1"/>
        <v>#N/A</v>
      </c>
      <c r="F2231" s="16" t="e">
        <f t="shared" ref="F2231:K2231" si="4492">VLOOKUP($A2231,[7]Hábitat!$A$2:$O$184,F$1,0)</f>
        <v>#N/A</v>
      </c>
      <c r="G2231" s="39" t="e">
        <f t="shared" si="4492"/>
        <v>#N/A</v>
      </c>
      <c r="H2231" s="16" t="e">
        <f t="shared" si="4492"/>
        <v>#N/A</v>
      </c>
      <c r="I2231" s="16" t="e">
        <f t="shared" si="4492"/>
        <v>#N/A</v>
      </c>
      <c r="J2231" s="40" t="e">
        <f t="shared" si="4492"/>
        <v>#N/A</v>
      </c>
      <c r="K2231" s="16" t="e">
        <f t="shared" si="4492"/>
        <v>#N/A</v>
      </c>
      <c r="L2231" s="40" t="e">
        <f t="shared" si="4233"/>
        <v>#N/A</v>
      </c>
      <c r="M2231" s="16" t="e">
        <f t="shared" si="4234"/>
        <v>#N/A</v>
      </c>
      <c r="N2231" s="16" t="e">
        <f t="shared" si="4235"/>
        <v>#N/A</v>
      </c>
      <c r="O2231" s="16" t="s">
        <v>71</v>
      </c>
      <c r="P2231" s="16" t="str">
        <f t="shared" si="6"/>
        <v/>
      </c>
      <c r="Q2231" s="41" t="e">
        <f t="shared" si="4236"/>
        <v>#N/A</v>
      </c>
      <c r="R2231" s="44"/>
      <c r="S2231" s="44"/>
      <c r="T2231" s="43"/>
      <c r="U2231" s="43" t="str">
        <f t="shared" si="8"/>
        <v>No</v>
      </c>
      <c r="V2231" s="25"/>
      <c r="W2231" s="25"/>
      <c r="X2231" s="25"/>
      <c r="Y2231" s="25"/>
      <c r="Z2231" s="25"/>
    </row>
    <row r="2232" spans="1:26" ht="15.75" customHeight="1" x14ac:dyDescent="0.25">
      <c r="A2232" s="25">
        <v>2230</v>
      </c>
      <c r="B2232" s="37" t="e">
        <f t="shared" ref="B2232:D2232" si="4493">VLOOKUP($A2232,[7]Hábitat!$A$2:$O$184,B$1,0)</f>
        <v>#N/A</v>
      </c>
      <c r="C2232" s="38" t="e">
        <f t="shared" si="4493"/>
        <v>#N/A</v>
      </c>
      <c r="D2232" s="39" t="e">
        <f t="shared" si="4493"/>
        <v>#N/A</v>
      </c>
      <c r="E2232" s="16" t="e">
        <f t="shared" si="1"/>
        <v>#N/A</v>
      </c>
      <c r="F2232" s="16" t="e">
        <f t="shared" ref="F2232:K2232" si="4494">VLOOKUP($A2232,[7]Hábitat!$A$2:$O$184,F$1,0)</f>
        <v>#N/A</v>
      </c>
      <c r="G2232" s="39" t="e">
        <f t="shared" si="4494"/>
        <v>#N/A</v>
      </c>
      <c r="H2232" s="16" t="e">
        <f t="shared" si="4494"/>
        <v>#N/A</v>
      </c>
      <c r="I2232" s="16" t="e">
        <f t="shared" si="4494"/>
        <v>#N/A</v>
      </c>
      <c r="J2232" s="40" t="e">
        <f t="shared" si="4494"/>
        <v>#N/A</v>
      </c>
      <c r="K2232" s="16" t="e">
        <f t="shared" si="4494"/>
        <v>#N/A</v>
      </c>
      <c r="L2232" s="40" t="e">
        <f t="shared" si="4233"/>
        <v>#N/A</v>
      </c>
      <c r="M2232" s="16" t="e">
        <f t="shared" si="4234"/>
        <v>#N/A</v>
      </c>
      <c r="N2232" s="16" t="e">
        <f t="shared" si="4235"/>
        <v>#N/A</v>
      </c>
      <c r="O2232" s="16" t="s">
        <v>71</v>
      </c>
      <c r="P2232" s="16" t="str">
        <f t="shared" si="6"/>
        <v/>
      </c>
      <c r="Q2232" s="41" t="e">
        <f t="shared" si="4236"/>
        <v>#N/A</v>
      </c>
      <c r="R2232" s="44"/>
      <c r="S2232" s="44"/>
      <c r="T2232" s="43"/>
      <c r="U2232" s="43" t="str">
        <f t="shared" si="8"/>
        <v>No</v>
      </c>
      <c r="V2232" s="25"/>
      <c r="W2232" s="25"/>
      <c r="X2232" s="25"/>
      <c r="Y2232" s="25"/>
      <c r="Z2232" s="25"/>
    </row>
    <row r="2233" spans="1:26" ht="15.75" customHeight="1" x14ac:dyDescent="0.25">
      <c r="A2233" s="25">
        <v>2231</v>
      </c>
      <c r="B2233" s="37" t="e">
        <f t="shared" ref="B2233:D2233" si="4495">VLOOKUP($A2233,[7]Hábitat!$A$2:$O$184,B$1,0)</f>
        <v>#N/A</v>
      </c>
      <c r="C2233" s="38" t="e">
        <f t="shared" si="4495"/>
        <v>#N/A</v>
      </c>
      <c r="D2233" s="39" t="e">
        <f t="shared" si="4495"/>
        <v>#N/A</v>
      </c>
      <c r="E2233" s="16" t="e">
        <f t="shared" si="1"/>
        <v>#N/A</v>
      </c>
      <c r="F2233" s="16" t="e">
        <f t="shared" ref="F2233:K2233" si="4496">VLOOKUP($A2233,[7]Hábitat!$A$2:$O$184,F$1,0)</f>
        <v>#N/A</v>
      </c>
      <c r="G2233" s="39" t="e">
        <f t="shared" si="4496"/>
        <v>#N/A</v>
      </c>
      <c r="H2233" s="16" t="e">
        <f t="shared" si="4496"/>
        <v>#N/A</v>
      </c>
      <c r="I2233" s="16" t="e">
        <f t="shared" si="4496"/>
        <v>#N/A</v>
      </c>
      <c r="J2233" s="40" t="e">
        <f t="shared" si="4496"/>
        <v>#N/A</v>
      </c>
      <c r="K2233" s="16" t="e">
        <f t="shared" si="4496"/>
        <v>#N/A</v>
      </c>
      <c r="L2233" s="40" t="e">
        <f t="shared" si="4233"/>
        <v>#N/A</v>
      </c>
      <c r="M2233" s="16" t="e">
        <f t="shared" si="4234"/>
        <v>#N/A</v>
      </c>
      <c r="N2233" s="16" t="e">
        <f t="shared" si="4235"/>
        <v>#N/A</v>
      </c>
      <c r="O2233" s="16" t="s">
        <v>71</v>
      </c>
      <c r="P2233" s="16" t="str">
        <f t="shared" si="6"/>
        <v/>
      </c>
      <c r="Q2233" s="41" t="e">
        <f t="shared" si="4236"/>
        <v>#N/A</v>
      </c>
      <c r="R2233" s="44"/>
      <c r="S2233" s="44"/>
      <c r="T2233" s="43"/>
      <c r="U2233" s="43" t="str">
        <f t="shared" si="8"/>
        <v>No</v>
      </c>
      <c r="V2233" s="25"/>
      <c r="W2233" s="25"/>
      <c r="X2233" s="25"/>
      <c r="Y2233" s="25"/>
      <c r="Z2233" s="25"/>
    </row>
    <row r="2234" spans="1:26" ht="15.75" customHeight="1" x14ac:dyDescent="0.25">
      <c r="A2234" s="25">
        <v>2232</v>
      </c>
      <c r="B2234" s="37" t="e">
        <f t="shared" ref="B2234:D2234" si="4497">VLOOKUP($A2234,[7]Hábitat!$A$2:$O$184,B$1,0)</f>
        <v>#N/A</v>
      </c>
      <c r="C2234" s="38" t="e">
        <f t="shared" si="4497"/>
        <v>#N/A</v>
      </c>
      <c r="D2234" s="39" t="e">
        <f t="shared" si="4497"/>
        <v>#N/A</v>
      </c>
      <c r="E2234" s="16" t="e">
        <f t="shared" si="1"/>
        <v>#N/A</v>
      </c>
      <c r="F2234" s="16" t="e">
        <f t="shared" ref="F2234:K2234" si="4498">VLOOKUP($A2234,[7]Hábitat!$A$2:$O$184,F$1,0)</f>
        <v>#N/A</v>
      </c>
      <c r="G2234" s="39" t="e">
        <f t="shared" si="4498"/>
        <v>#N/A</v>
      </c>
      <c r="H2234" s="16" t="e">
        <f t="shared" si="4498"/>
        <v>#N/A</v>
      </c>
      <c r="I2234" s="16" t="e">
        <f t="shared" si="4498"/>
        <v>#N/A</v>
      </c>
      <c r="J2234" s="40" t="e">
        <f t="shared" si="4498"/>
        <v>#N/A</v>
      </c>
      <c r="K2234" s="16" t="e">
        <f t="shared" si="4498"/>
        <v>#N/A</v>
      </c>
      <c r="L2234" s="40" t="e">
        <f t="shared" si="4233"/>
        <v>#N/A</v>
      </c>
      <c r="M2234" s="16" t="e">
        <f t="shared" si="4234"/>
        <v>#N/A</v>
      </c>
      <c r="N2234" s="16" t="e">
        <f t="shared" si="4235"/>
        <v>#N/A</v>
      </c>
      <c r="O2234" s="16" t="s">
        <v>71</v>
      </c>
      <c r="P2234" s="16" t="str">
        <f t="shared" si="6"/>
        <v/>
      </c>
      <c r="Q2234" s="41" t="e">
        <f t="shared" si="4236"/>
        <v>#N/A</v>
      </c>
      <c r="R2234" s="44"/>
      <c r="S2234" s="44"/>
      <c r="T2234" s="43"/>
      <c r="U2234" s="43" t="str">
        <f t="shared" si="8"/>
        <v>No</v>
      </c>
      <c r="V2234" s="25"/>
      <c r="W2234" s="25"/>
      <c r="X2234" s="25"/>
      <c r="Y2234" s="25"/>
      <c r="Z2234" s="25"/>
    </row>
    <row r="2235" spans="1:26" ht="15.75" customHeight="1" x14ac:dyDescent="0.25">
      <c r="A2235" s="25">
        <v>2233</v>
      </c>
      <c r="B2235" s="37" t="e">
        <f t="shared" ref="B2235:D2235" si="4499">VLOOKUP($A2235,[7]Hábitat!$A$2:$O$184,B$1,0)</f>
        <v>#N/A</v>
      </c>
      <c r="C2235" s="38" t="e">
        <f t="shared" si="4499"/>
        <v>#N/A</v>
      </c>
      <c r="D2235" s="39" t="e">
        <f t="shared" si="4499"/>
        <v>#N/A</v>
      </c>
      <c r="E2235" s="16" t="e">
        <f t="shared" si="1"/>
        <v>#N/A</v>
      </c>
      <c r="F2235" s="16" t="e">
        <f t="shared" ref="F2235:K2235" si="4500">VLOOKUP($A2235,[7]Hábitat!$A$2:$O$184,F$1,0)</f>
        <v>#N/A</v>
      </c>
      <c r="G2235" s="39" t="e">
        <f t="shared" si="4500"/>
        <v>#N/A</v>
      </c>
      <c r="H2235" s="16" t="e">
        <f t="shared" si="4500"/>
        <v>#N/A</v>
      </c>
      <c r="I2235" s="16" t="e">
        <f t="shared" si="4500"/>
        <v>#N/A</v>
      </c>
      <c r="J2235" s="40" t="e">
        <f t="shared" si="4500"/>
        <v>#N/A</v>
      </c>
      <c r="K2235" s="16" t="e">
        <f t="shared" si="4500"/>
        <v>#N/A</v>
      </c>
      <c r="L2235" s="40" t="e">
        <f t="shared" si="4233"/>
        <v>#N/A</v>
      </c>
      <c r="M2235" s="16" t="e">
        <f t="shared" si="4234"/>
        <v>#N/A</v>
      </c>
      <c r="N2235" s="16" t="e">
        <f t="shared" si="4235"/>
        <v>#N/A</v>
      </c>
      <c r="O2235" s="16" t="s">
        <v>71</v>
      </c>
      <c r="P2235" s="16" t="str">
        <f t="shared" si="6"/>
        <v/>
      </c>
      <c r="Q2235" s="41" t="e">
        <f t="shared" si="4236"/>
        <v>#N/A</v>
      </c>
      <c r="R2235" s="44"/>
      <c r="S2235" s="44"/>
      <c r="T2235" s="43"/>
      <c r="U2235" s="43" t="str">
        <f t="shared" si="8"/>
        <v>No</v>
      </c>
      <c r="V2235" s="25"/>
      <c r="W2235" s="25"/>
      <c r="X2235" s="25"/>
      <c r="Y2235" s="25"/>
      <c r="Z2235" s="25"/>
    </row>
    <row r="2236" spans="1:26" ht="15.75" customHeight="1" x14ac:dyDescent="0.25">
      <c r="A2236" s="25">
        <v>2234</v>
      </c>
      <c r="B2236" s="37" t="e">
        <f t="shared" ref="B2236:D2236" si="4501">VLOOKUP($A2236,[7]Hábitat!$A$2:$O$184,B$1,0)</f>
        <v>#N/A</v>
      </c>
      <c r="C2236" s="38" t="e">
        <f t="shared" si="4501"/>
        <v>#N/A</v>
      </c>
      <c r="D2236" s="39" t="e">
        <f t="shared" si="4501"/>
        <v>#N/A</v>
      </c>
      <c r="E2236" s="16" t="e">
        <f t="shared" si="1"/>
        <v>#N/A</v>
      </c>
      <c r="F2236" s="16" t="e">
        <f t="shared" ref="F2236:K2236" si="4502">VLOOKUP($A2236,[7]Hábitat!$A$2:$O$184,F$1,0)</f>
        <v>#N/A</v>
      </c>
      <c r="G2236" s="39" t="e">
        <f t="shared" si="4502"/>
        <v>#N/A</v>
      </c>
      <c r="H2236" s="16" t="e">
        <f t="shared" si="4502"/>
        <v>#N/A</v>
      </c>
      <c r="I2236" s="16" t="e">
        <f t="shared" si="4502"/>
        <v>#N/A</v>
      </c>
      <c r="J2236" s="40" t="e">
        <f t="shared" si="4502"/>
        <v>#N/A</v>
      </c>
      <c r="K2236" s="47" t="e">
        <f t="shared" si="4502"/>
        <v>#N/A</v>
      </c>
      <c r="L2236" s="40" t="e">
        <f t="shared" si="4233"/>
        <v>#N/A</v>
      </c>
      <c r="M2236" s="16" t="e">
        <f t="shared" si="4234"/>
        <v>#N/A</v>
      </c>
      <c r="N2236" s="16" t="e">
        <f t="shared" si="4235"/>
        <v>#N/A</v>
      </c>
      <c r="O2236" s="16" t="s">
        <v>71</v>
      </c>
      <c r="P2236" s="16" t="str">
        <f t="shared" si="6"/>
        <v/>
      </c>
      <c r="Q2236" s="41" t="e">
        <f t="shared" si="4236"/>
        <v>#N/A</v>
      </c>
      <c r="R2236" s="44"/>
      <c r="S2236" s="44"/>
      <c r="T2236" s="43"/>
      <c r="U2236" s="43" t="str">
        <f t="shared" si="8"/>
        <v>No</v>
      </c>
      <c r="V2236" s="25"/>
      <c r="W2236" s="25"/>
      <c r="X2236" s="25"/>
      <c r="Y2236" s="25"/>
      <c r="Z2236" s="25"/>
    </row>
    <row r="2237" spans="1:26" ht="15.75" customHeight="1" x14ac:dyDescent="0.25">
      <c r="A2237" s="25">
        <v>2235</v>
      </c>
      <c r="B2237" s="37" t="e">
        <f t="shared" ref="B2237:D2237" si="4503">VLOOKUP($A2237,[7]Hábitat!$A$2:$O$184,B$1,0)</f>
        <v>#N/A</v>
      </c>
      <c r="C2237" s="38" t="e">
        <f t="shared" si="4503"/>
        <v>#N/A</v>
      </c>
      <c r="D2237" s="39" t="e">
        <f t="shared" si="4503"/>
        <v>#N/A</v>
      </c>
      <c r="E2237" s="16" t="e">
        <f t="shared" si="1"/>
        <v>#N/A</v>
      </c>
      <c r="F2237" s="16" t="e">
        <f t="shared" ref="F2237:K2237" si="4504">VLOOKUP($A2237,[7]Hábitat!$A$2:$O$184,F$1,0)</f>
        <v>#N/A</v>
      </c>
      <c r="G2237" s="39" t="e">
        <f t="shared" si="4504"/>
        <v>#N/A</v>
      </c>
      <c r="H2237" s="16" t="e">
        <f t="shared" si="4504"/>
        <v>#N/A</v>
      </c>
      <c r="I2237" s="16" t="e">
        <f t="shared" si="4504"/>
        <v>#N/A</v>
      </c>
      <c r="J2237" s="40" t="e">
        <f t="shared" si="4504"/>
        <v>#N/A</v>
      </c>
      <c r="K2237" s="16" t="e">
        <f t="shared" si="4504"/>
        <v>#N/A</v>
      </c>
      <c r="L2237" s="40" t="e">
        <f t="shared" si="4233"/>
        <v>#N/A</v>
      </c>
      <c r="M2237" s="16" t="e">
        <f t="shared" si="4234"/>
        <v>#N/A</v>
      </c>
      <c r="N2237" s="16" t="e">
        <f t="shared" si="4235"/>
        <v>#N/A</v>
      </c>
      <c r="O2237" s="16" t="s">
        <v>71</v>
      </c>
      <c r="P2237" s="16" t="str">
        <f t="shared" si="6"/>
        <v/>
      </c>
      <c r="Q2237" s="41" t="e">
        <f t="shared" si="4236"/>
        <v>#N/A</v>
      </c>
      <c r="R2237" s="44"/>
      <c r="S2237" s="44"/>
      <c r="T2237" s="43"/>
      <c r="U2237" s="43" t="str">
        <f t="shared" si="8"/>
        <v>No</v>
      </c>
      <c r="V2237" s="25"/>
      <c r="W2237" s="25"/>
      <c r="X2237" s="25"/>
      <c r="Y2237" s="25"/>
      <c r="Z2237" s="25"/>
    </row>
    <row r="2238" spans="1:26" ht="15.75" customHeight="1" x14ac:dyDescent="0.25">
      <c r="A2238" s="25">
        <v>2236</v>
      </c>
      <c r="B2238" s="37" t="e">
        <f t="shared" ref="B2238:D2238" si="4505">VLOOKUP($A2238,[7]Hábitat!$A$2:$O$184,B$1,0)</f>
        <v>#N/A</v>
      </c>
      <c r="C2238" s="38" t="e">
        <f t="shared" si="4505"/>
        <v>#N/A</v>
      </c>
      <c r="D2238" s="39" t="e">
        <f t="shared" si="4505"/>
        <v>#N/A</v>
      </c>
      <c r="E2238" s="16" t="e">
        <f t="shared" si="1"/>
        <v>#N/A</v>
      </c>
      <c r="F2238" s="16" t="e">
        <f t="shared" ref="F2238:K2238" si="4506">VLOOKUP($A2238,[7]Hábitat!$A$2:$O$184,F$1,0)</f>
        <v>#N/A</v>
      </c>
      <c r="G2238" s="39" t="e">
        <f t="shared" si="4506"/>
        <v>#N/A</v>
      </c>
      <c r="H2238" s="16" t="e">
        <f t="shared" si="4506"/>
        <v>#N/A</v>
      </c>
      <c r="I2238" s="16" t="e">
        <f t="shared" si="4506"/>
        <v>#N/A</v>
      </c>
      <c r="J2238" s="40" t="e">
        <f t="shared" si="4506"/>
        <v>#N/A</v>
      </c>
      <c r="K2238" s="16" t="e">
        <f t="shared" si="4506"/>
        <v>#N/A</v>
      </c>
      <c r="L2238" s="40" t="e">
        <f t="shared" si="4233"/>
        <v>#N/A</v>
      </c>
      <c r="M2238" s="16" t="e">
        <f t="shared" si="4234"/>
        <v>#N/A</v>
      </c>
      <c r="N2238" s="16" t="e">
        <f t="shared" si="4235"/>
        <v>#N/A</v>
      </c>
      <c r="O2238" s="16" t="s">
        <v>71</v>
      </c>
      <c r="P2238" s="16" t="str">
        <f t="shared" si="6"/>
        <v/>
      </c>
      <c r="Q2238" s="41" t="e">
        <f t="shared" si="4236"/>
        <v>#N/A</v>
      </c>
      <c r="R2238" s="44"/>
      <c r="S2238" s="44"/>
      <c r="T2238" s="43"/>
      <c r="U2238" s="43" t="str">
        <f t="shared" si="8"/>
        <v>No</v>
      </c>
      <c r="V2238" s="25"/>
      <c r="W2238" s="25"/>
      <c r="X2238" s="25"/>
      <c r="Y2238" s="25"/>
      <c r="Z2238" s="25"/>
    </row>
    <row r="2239" spans="1:26" ht="15.75" customHeight="1" x14ac:dyDescent="0.25">
      <c r="A2239" s="25">
        <v>2237</v>
      </c>
      <c r="B2239" s="37" t="e">
        <f t="shared" ref="B2239:D2239" si="4507">VLOOKUP($A2239,[7]Hábitat!$A$2:$O$184,B$1,0)</f>
        <v>#N/A</v>
      </c>
      <c r="C2239" s="38" t="e">
        <f t="shared" si="4507"/>
        <v>#N/A</v>
      </c>
      <c r="D2239" s="39" t="e">
        <f t="shared" si="4507"/>
        <v>#N/A</v>
      </c>
      <c r="E2239" s="16" t="e">
        <f t="shared" si="1"/>
        <v>#N/A</v>
      </c>
      <c r="F2239" s="16" t="e">
        <f t="shared" ref="F2239:K2239" si="4508">VLOOKUP($A2239,[7]Hábitat!$A$2:$O$184,F$1,0)</f>
        <v>#N/A</v>
      </c>
      <c r="G2239" s="39" t="e">
        <f t="shared" si="4508"/>
        <v>#N/A</v>
      </c>
      <c r="H2239" s="16" t="e">
        <f t="shared" si="4508"/>
        <v>#N/A</v>
      </c>
      <c r="I2239" s="16" t="e">
        <f t="shared" si="4508"/>
        <v>#N/A</v>
      </c>
      <c r="J2239" s="40" t="e">
        <f t="shared" si="4508"/>
        <v>#N/A</v>
      </c>
      <c r="K2239" s="16" t="e">
        <f t="shared" si="4508"/>
        <v>#N/A</v>
      </c>
      <c r="L2239" s="40" t="e">
        <f t="shared" si="4233"/>
        <v>#N/A</v>
      </c>
      <c r="M2239" s="16" t="e">
        <f t="shared" si="4234"/>
        <v>#N/A</v>
      </c>
      <c r="N2239" s="16" t="e">
        <f t="shared" si="4235"/>
        <v>#N/A</v>
      </c>
      <c r="O2239" s="16" t="s">
        <v>71</v>
      </c>
      <c r="P2239" s="16" t="str">
        <f t="shared" si="6"/>
        <v/>
      </c>
      <c r="Q2239" s="41" t="e">
        <f t="shared" si="4236"/>
        <v>#N/A</v>
      </c>
      <c r="R2239" s="44"/>
      <c r="S2239" s="44"/>
      <c r="T2239" s="43"/>
      <c r="U2239" s="43" t="str">
        <f t="shared" si="8"/>
        <v>No</v>
      </c>
      <c r="V2239" s="25"/>
      <c r="W2239" s="25"/>
      <c r="X2239" s="25"/>
      <c r="Y2239" s="25"/>
      <c r="Z2239" s="25"/>
    </row>
    <row r="2240" spans="1:26" ht="15.75" customHeight="1" x14ac:dyDescent="0.25">
      <c r="A2240" s="25">
        <v>2238</v>
      </c>
      <c r="B2240" s="37" t="e">
        <f t="shared" ref="B2240:D2240" si="4509">VLOOKUP($A2240,[7]Hábitat!$A$2:$O$184,B$1,0)</f>
        <v>#N/A</v>
      </c>
      <c r="C2240" s="38" t="e">
        <f t="shared" si="4509"/>
        <v>#N/A</v>
      </c>
      <c r="D2240" s="39" t="e">
        <f t="shared" si="4509"/>
        <v>#N/A</v>
      </c>
      <c r="E2240" s="16" t="e">
        <f t="shared" si="1"/>
        <v>#N/A</v>
      </c>
      <c r="F2240" s="16" t="e">
        <f t="shared" ref="F2240:K2240" si="4510">VLOOKUP($A2240,[7]Hábitat!$A$2:$O$184,F$1,0)</f>
        <v>#N/A</v>
      </c>
      <c r="G2240" s="39" t="e">
        <f t="shared" si="4510"/>
        <v>#N/A</v>
      </c>
      <c r="H2240" s="16" t="e">
        <f t="shared" si="4510"/>
        <v>#N/A</v>
      </c>
      <c r="I2240" s="16" t="e">
        <f t="shared" si="4510"/>
        <v>#N/A</v>
      </c>
      <c r="J2240" s="40" t="e">
        <f t="shared" si="4510"/>
        <v>#N/A</v>
      </c>
      <c r="K2240" s="16" t="e">
        <f t="shared" si="4510"/>
        <v>#N/A</v>
      </c>
      <c r="L2240" s="40" t="e">
        <f t="shared" si="4233"/>
        <v>#N/A</v>
      </c>
      <c r="M2240" s="16" t="e">
        <f t="shared" si="4234"/>
        <v>#N/A</v>
      </c>
      <c r="N2240" s="16" t="e">
        <f t="shared" si="4235"/>
        <v>#N/A</v>
      </c>
      <c r="O2240" s="16" t="s">
        <v>71</v>
      </c>
      <c r="P2240" s="16" t="str">
        <f t="shared" si="6"/>
        <v/>
      </c>
      <c r="Q2240" s="41" t="e">
        <f t="shared" si="4236"/>
        <v>#N/A</v>
      </c>
      <c r="R2240" s="44"/>
      <c r="S2240" s="44"/>
      <c r="T2240" s="43"/>
      <c r="U2240" s="43" t="str">
        <f t="shared" si="8"/>
        <v>No</v>
      </c>
      <c r="V2240" s="25"/>
      <c r="W2240" s="25"/>
      <c r="X2240" s="25"/>
      <c r="Y2240" s="25"/>
      <c r="Z2240" s="25"/>
    </row>
    <row r="2241" spans="1:26" ht="15.75" customHeight="1" x14ac:dyDescent="0.25">
      <c r="A2241" s="25">
        <v>2239</v>
      </c>
      <c r="B2241" s="37" t="e">
        <f t="shared" ref="B2241:D2241" si="4511">VLOOKUP($A2241,[7]Hábitat!$A$2:$O$184,B$1,0)</f>
        <v>#N/A</v>
      </c>
      <c r="C2241" s="38" t="e">
        <f t="shared" si="4511"/>
        <v>#N/A</v>
      </c>
      <c r="D2241" s="39" t="e">
        <f t="shared" si="4511"/>
        <v>#N/A</v>
      </c>
      <c r="E2241" s="16" t="e">
        <f t="shared" si="1"/>
        <v>#N/A</v>
      </c>
      <c r="F2241" s="16" t="e">
        <f t="shared" ref="F2241:K2241" si="4512">VLOOKUP($A2241,[7]Hábitat!$A$2:$O$184,F$1,0)</f>
        <v>#N/A</v>
      </c>
      <c r="G2241" s="39" t="e">
        <f t="shared" si="4512"/>
        <v>#N/A</v>
      </c>
      <c r="H2241" s="16" t="e">
        <f t="shared" si="4512"/>
        <v>#N/A</v>
      </c>
      <c r="I2241" s="16" t="e">
        <f t="shared" si="4512"/>
        <v>#N/A</v>
      </c>
      <c r="J2241" s="40" t="e">
        <f t="shared" si="4512"/>
        <v>#N/A</v>
      </c>
      <c r="K2241" s="16" t="e">
        <f t="shared" si="4512"/>
        <v>#N/A</v>
      </c>
      <c r="L2241" s="40" t="e">
        <f t="shared" si="4233"/>
        <v>#N/A</v>
      </c>
      <c r="M2241" s="16" t="e">
        <f t="shared" si="4234"/>
        <v>#N/A</v>
      </c>
      <c r="N2241" s="16" t="e">
        <f t="shared" si="4235"/>
        <v>#N/A</v>
      </c>
      <c r="O2241" s="16" t="s">
        <v>71</v>
      </c>
      <c r="P2241" s="16" t="str">
        <f t="shared" si="6"/>
        <v/>
      </c>
      <c r="Q2241" s="41" t="e">
        <f t="shared" si="4236"/>
        <v>#N/A</v>
      </c>
      <c r="R2241" s="44"/>
      <c r="S2241" s="44"/>
      <c r="T2241" s="43"/>
      <c r="U2241" s="43" t="str">
        <f t="shared" si="8"/>
        <v>No</v>
      </c>
      <c r="V2241" s="25"/>
      <c r="W2241" s="25"/>
      <c r="X2241" s="25"/>
      <c r="Y2241" s="25"/>
      <c r="Z2241" s="25"/>
    </row>
    <row r="2242" spans="1:26" ht="15.75" customHeight="1" x14ac:dyDescent="0.25">
      <c r="A2242" s="25">
        <v>2240</v>
      </c>
      <c r="B2242" s="37" t="e">
        <f t="shared" ref="B2242:D2242" si="4513">VLOOKUP($A2242,[7]Hábitat!$A$2:$O$184,B$1,0)</f>
        <v>#N/A</v>
      </c>
      <c r="C2242" s="38" t="e">
        <f t="shared" si="4513"/>
        <v>#N/A</v>
      </c>
      <c r="D2242" s="39" t="e">
        <f t="shared" si="4513"/>
        <v>#N/A</v>
      </c>
      <c r="E2242" s="16" t="e">
        <f t="shared" si="1"/>
        <v>#N/A</v>
      </c>
      <c r="F2242" s="16" t="e">
        <f t="shared" ref="F2242:K2242" si="4514">VLOOKUP($A2242,[7]Hábitat!$A$2:$O$184,F$1,0)</f>
        <v>#N/A</v>
      </c>
      <c r="G2242" s="39" t="e">
        <f t="shared" si="4514"/>
        <v>#N/A</v>
      </c>
      <c r="H2242" s="16" t="e">
        <f t="shared" si="4514"/>
        <v>#N/A</v>
      </c>
      <c r="I2242" s="16" t="e">
        <f t="shared" si="4514"/>
        <v>#N/A</v>
      </c>
      <c r="J2242" s="40" t="e">
        <f t="shared" si="4514"/>
        <v>#N/A</v>
      </c>
      <c r="K2242" s="16" t="e">
        <f t="shared" si="4514"/>
        <v>#N/A</v>
      </c>
      <c r="L2242" s="40" t="e">
        <f t="shared" si="4233"/>
        <v>#N/A</v>
      </c>
      <c r="M2242" s="16" t="e">
        <f t="shared" si="4234"/>
        <v>#N/A</v>
      </c>
      <c r="N2242" s="16" t="e">
        <f t="shared" si="4235"/>
        <v>#N/A</v>
      </c>
      <c r="O2242" s="16" t="s">
        <v>71</v>
      </c>
      <c r="P2242" s="16" t="str">
        <f t="shared" si="6"/>
        <v/>
      </c>
      <c r="Q2242" s="41" t="e">
        <f t="shared" si="4236"/>
        <v>#N/A</v>
      </c>
      <c r="R2242" s="44"/>
      <c r="S2242" s="44"/>
      <c r="T2242" s="43"/>
      <c r="U2242" s="43" t="str">
        <f t="shared" si="8"/>
        <v>No</v>
      </c>
      <c r="V2242" s="25"/>
      <c r="W2242" s="25"/>
      <c r="X2242" s="25"/>
      <c r="Y2242" s="25"/>
      <c r="Z2242" s="25"/>
    </row>
    <row r="2243" spans="1:26" ht="15.75" customHeight="1" x14ac:dyDescent="0.25">
      <c r="A2243" s="25">
        <v>2241</v>
      </c>
      <c r="B2243" s="37" t="e">
        <f t="shared" ref="B2243:D2243" si="4515">VLOOKUP($A2243,[7]Hábitat!$A$2:$O$184,B$1,0)</f>
        <v>#N/A</v>
      </c>
      <c r="C2243" s="38" t="e">
        <f t="shared" si="4515"/>
        <v>#N/A</v>
      </c>
      <c r="D2243" s="39" t="e">
        <f t="shared" si="4515"/>
        <v>#N/A</v>
      </c>
      <c r="E2243" s="16" t="e">
        <f t="shared" si="1"/>
        <v>#N/A</v>
      </c>
      <c r="F2243" s="16" t="e">
        <f t="shared" ref="F2243:K2243" si="4516">VLOOKUP($A2243,[7]Hábitat!$A$2:$O$184,F$1,0)</f>
        <v>#N/A</v>
      </c>
      <c r="G2243" s="39" t="e">
        <f t="shared" si="4516"/>
        <v>#N/A</v>
      </c>
      <c r="H2243" s="16" t="e">
        <f t="shared" si="4516"/>
        <v>#N/A</v>
      </c>
      <c r="I2243" s="16" t="e">
        <f t="shared" si="4516"/>
        <v>#N/A</v>
      </c>
      <c r="J2243" s="40" t="e">
        <f t="shared" si="4516"/>
        <v>#N/A</v>
      </c>
      <c r="K2243" s="16" t="e">
        <f t="shared" si="4516"/>
        <v>#N/A</v>
      </c>
      <c r="L2243" s="40" t="e">
        <f t="shared" si="4233"/>
        <v>#N/A</v>
      </c>
      <c r="M2243" s="16" t="e">
        <f t="shared" si="4234"/>
        <v>#N/A</v>
      </c>
      <c r="N2243" s="16" t="e">
        <f t="shared" si="4235"/>
        <v>#N/A</v>
      </c>
      <c r="O2243" s="16" t="s">
        <v>71</v>
      </c>
      <c r="P2243" s="16" t="str">
        <f t="shared" si="6"/>
        <v/>
      </c>
      <c r="Q2243" s="41" t="e">
        <f t="shared" si="4236"/>
        <v>#N/A</v>
      </c>
      <c r="R2243" s="44"/>
      <c r="S2243" s="44"/>
      <c r="T2243" s="43"/>
      <c r="U2243" s="43" t="str">
        <f t="shared" si="8"/>
        <v>No</v>
      </c>
      <c r="V2243" s="25"/>
      <c r="W2243" s="25"/>
      <c r="X2243" s="25"/>
      <c r="Y2243" s="25"/>
      <c r="Z2243" s="25"/>
    </row>
    <row r="2244" spans="1:26" ht="15.75" customHeight="1" x14ac:dyDescent="0.25">
      <c r="A2244" s="25">
        <v>2242</v>
      </c>
      <c r="B2244" s="37" t="e">
        <f t="shared" ref="B2244:D2244" si="4517">VLOOKUP($A2244,[7]Hábitat!$A$2:$O$184,B$1,0)</f>
        <v>#N/A</v>
      </c>
      <c r="C2244" s="38" t="e">
        <f t="shared" si="4517"/>
        <v>#N/A</v>
      </c>
      <c r="D2244" s="39" t="e">
        <f t="shared" si="4517"/>
        <v>#N/A</v>
      </c>
      <c r="E2244" s="16" t="e">
        <f t="shared" si="1"/>
        <v>#N/A</v>
      </c>
      <c r="F2244" s="16" t="e">
        <f t="shared" ref="F2244:K2244" si="4518">VLOOKUP($A2244,[7]Hábitat!$A$2:$O$184,F$1,0)</f>
        <v>#N/A</v>
      </c>
      <c r="G2244" s="39" t="e">
        <f t="shared" si="4518"/>
        <v>#N/A</v>
      </c>
      <c r="H2244" s="16" t="e">
        <f t="shared" si="4518"/>
        <v>#N/A</v>
      </c>
      <c r="I2244" s="16" t="e">
        <f t="shared" si="4518"/>
        <v>#N/A</v>
      </c>
      <c r="J2244" s="40" t="e">
        <f t="shared" si="4518"/>
        <v>#N/A</v>
      </c>
      <c r="K2244" s="16" t="e">
        <f t="shared" si="4518"/>
        <v>#N/A</v>
      </c>
      <c r="L2244" s="40" t="e">
        <f t="shared" si="4233"/>
        <v>#N/A</v>
      </c>
      <c r="M2244" s="16" t="e">
        <f t="shared" si="4234"/>
        <v>#N/A</v>
      </c>
      <c r="N2244" s="16" t="e">
        <f t="shared" si="4235"/>
        <v>#N/A</v>
      </c>
      <c r="O2244" s="16" t="s">
        <v>71</v>
      </c>
      <c r="P2244" s="16" t="str">
        <f t="shared" si="6"/>
        <v/>
      </c>
      <c r="Q2244" s="41" t="e">
        <f t="shared" si="4236"/>
        <v>#N/A</v>
      </c>
      <c r="R2244" s="44"/>
      <c r="S2244" s="44"/>
      <c r="T2244" s="43"/>
      <c r="U2244" s="43" t="str">
        <f t="shared" si="8"/>
        <v>No</v>
      </c>
      <c r="V2244" s="25"/>
      <c r="W2244" s="25"/>
      <c r="X2244" s="25"/>
      <c r="Y2244" s="25"/>
      <c r="Z2244" s="25"/>
    </row>
    <row r="2245" spans="1:26" ht="15.75" customHeight="1" x14ac:dyDescent="0.25">
      <c r="A2245" s="25">
        <v>2243</v>
      </c>
      <c r="B2245" s="37" t="e">
        <f t="shared" ref="B2245:D2245" si="4519">VLOOKUP($A2245,[7]Hábitat!$A$2:$O$184,B$1,0)</f>
        <v>#N/A</v>
      </c>
      <c r="C2245" s="38" t="e">
        <f t="shared" si="4519"/>
        <v>#N/A</v>
      </c>
      <c r="D2245" s="39" t="e">
        <f t="shared" si="4519"/>
        <v>#N/A</v>
      </c>
      <c r="E2245" s="16" t="e">
        <f t="shared" si="1"/>
        <v>#N/A</v>
      </c>
      <c r="F2245" s="16" t="e">
        <f t="shared" ref="F2245:K2245" si="4520">VLOOKUP($A2245,[7]Hábitat!$A$2:$O$184,F$1,0)</f>
        <v>#N/A</v>
      </c>
      <c r="G2245" s="39" t="e">
        <f t="shared" si="4520"/>
        <v>#N/A</v>
      </c>
      <c r="H2245" s="16" t="e">
        <f t="shared" si="4520"/>
        <v>#N/A</v>
      </c>
      <c r="I2245" s="16" t="e">
        <f t="shared" si="4520"/>
        <v>#N/A</v>
      </c>
      <c r="J2245" s="40" t="e">
        <f t="shared" si="4520"/>
        <v>#N/A</v>
      </c>
      <c r="K2245" s="16" t="e">
        <f t="shared" si="4520"/>
        <v>#N/A</v>
      </c>
      <c r="L2245" s="40" t="e">
        <f t="shared" si="4233"/>
        <v>#N/A</v>
      </c>
      <c r="M2245" s="16" t="e">
        <f t="shared" si="4234"/>
        <v>#N/A</v>
      </c>
      <c r="N2245" s="16" t="e">
        <f t="shared" si="4235"/>
        <v>#N/A</v>
      </c>
      <c r="O2245" s="16" t="s">
        <v>71</v>
      </c>
      <c r="P2245" s="16" t="str">
        <f t="shared" si="6"/>
        <v/>
      </c>
      <c r="Q2245" s="41" t="e">
        <f t="shared" si="4236"/>
        <v>#N/A</v>
      </c>
      <c r="R2245" s="44"/>
      <c r="S2245" s="44"/>
      <c r="T2245" s="43"/>
      <c r="U2245" s="43" t="str">
        <f t="shared" si="8"/>
        <v>No</v>
      </c>
      <c r="V2245" s="25"/>
      <c r="W2245" s="25"/>
      <c r="X2245" s="25"/>
      <c r="Y2245" s="25"/>
      <c r="Z2245" s="25"/>
    </row>
    <row r="2246" spans="1:26" ht="15.75" customHeight="1" x14ac:dyDescent="0.25">
      <c r="A2246" s="25">
        <v>2244</v>
      </c>
      <c r="B2246" s="37" t="e">
        <f t="shared" ref="B2246:D2246" si="4521">VLOOKUP($A2246,[7]Hábitat!$A$2:$O$184,B$1,0)</f>
        <v>#N/A</v>
      </c>
      <c r="C2246" s="38" t="e">
        <f t="shared" si="4521"/>
        <v>#N/A</v>
      </c>
      <c r="D2246" s="39" t="e">
        <f t="shared" si="4521"/>
        <v>#N/A</v>
      </c>
      <c r="E2246" s="16" t="e">
        <f t="shared" si="1"/>
        <v>#N/A</v>
      </c>
      <c r="F2246" s="16" t="e">
        <f t="shared" ref="F2246:K2246" si="4522">VLOOKUP($A2246,[7]Hábitat!$A$2:$O$184,F$1,0)</f>
        <v>#N/A</v>
      </c>
      <c r="G2246" s="39" t="e">
        <f t="shared" si="4522"/>
        <v>#N/A</v>
      </c>
      <c r="H2246" s="16" t="e">
        <f t="shared" si="4522"/>
        <v>#N/A</v>
      </c>
      <c r="I2246" s="16" t="e">
        <f t="shared" si="4522"/>
        <v>#N/A</v>
      </c>
      <c r="J2246" s="40" t="e">
        <f t="shared" si="4522"/>
        <v>#N/A</v>
      </c>
      <c r="K2246" s="16" t="e">
        <f t="shared" si="4522"/>
        <v>#N/A</v>
      </c>
      <c r="L2246" s="40" t="e">
        <f t="shared" si="4233"/>
        <v>#N/A</v>
      </c>
      <c r="M2246" s="16" t="e">
        <f t="shared" si="4234"/>
        <v>#N/A</v>
      </c>
      <c r="N2246" s="16" t="e">
        <f t="shared" si="4235"/>
        <v>#N/A</v>
      </c>
      <c r="O2246" s="16" t="s">
        <v>71</v>
      </c>
      <c r="P2246" s="16" t="str">
        <f t="shared" si="6"/>
        <v/>
      </c>
      <c r="Q2246" s="41" t="e">
        <f t="shared" si="4236"/>
        <v>#N/A</v>
      </c>
      <c r="R2246" s="44"/>
      <c r="S2246" s="44"/>
      <c r="T2246" s="43"/>
      <c r="U2246" s="43" t="str">
        <f t="shared" si="8"/>
        <v>No</v>
      </c>
      <c r="V2246" s="25"/>
      <c r="W2246" s="25"/>
      <c r="X2246" s="25"/>
      <c r="Y2246" s="25"/>
      <c r="Z2246" s="25"/>
    </row>
    <row r="2247" spans="1:26" ht="15.75" customHeight="1" x14ac:dyDescent="0.25">
      <c r="A2247" s="25">
        <v>2245</v>
      </c>
      <c r="B2247" s="37" t="e">
        <f t="shared" ref="B2247:D2247" si="4523">VLOOKUP($A2247,[7]Hábitat!$A$2:$O$184,B$1,0)</f>
        <v>#N/A</v>
      </c>
      <c r="C2247" s="38" t="e">
        <f t="shared" si="4523"/>
        <v>#N/A</v>
      </c>
      <c r="D2247" s="39" t="e">
        <f t="shared" si="4523"/>
        <v>#N/A</v>
      </c>
      <c r="E2247" s="16" t="e">
        <f t="shared" si="1"/>
        <v>#N/A</v>
      </c>
      <c r="F2247" s="16" t="e">
        <f t="shared" ref="F2247:K2247" si="4524">VLOOKUP($A2247,[7]Hábitat!$A$2:$O$184,F$1,0)</f>
        <v>#N/A</v>
      </c>
      <c r="G2247" s="39" t="e">
        <f t="shared" si="4524"/>
        <v>#N/A</v>
      </c>
      <c r="H2247" s="16" t="e">
        <f t="shared" si="4524"/>
        <v>#N/A</v>
      </c>
      <c r="I2247" s="16" t="e">
        <f t="shared" si="4524"/>
        <v>#N/A</v>
      </c>
      <c r="J2247" s="40" t="e">
        <f t="shared" si="4524"/>
        <v>#N/A</v>
      </c>
      <c r="K2247" s="16" t="e">
        <f t="shared" si="4524"/>
        <v>#N/A</v>
      </c>
      <c r="L2247" s="40" t="e">
        <f t="shared" si="4233"/>
        <v>#N/A</v>
      </c>
      <c r="M2247" s="16" t="e">
        <f t="shared" si="4234"/>
        <v>#N/A</v>
      </c>
      <c r="N2247" s="16" t="e">
        <f t="shared" si="4235"/>
        <v>#N/A</v>
      </c>
      <c r="O2247" s="16" t="s">
        <v>71</v>
      </c>
      <c r="P2247" s="16" t="str">
        <f t="shared" si="6"/>
        <v/>
      </c>
      <c r="Q2247" s="41" t="e">
        <f t="shared" si="4236"/>
        <v>#N/A</v>
      </c>
      <c r="R2247" s="44"/>
      <c r="S2247" s="44"/>
      <c r="T2247" s="43"/>
      <c r="U2247" s="43" t="str">
        <f t="shared" si="8"/>
        <v>No</v>
      </c>
      <c r="V2247" s="25"/>
      <c r="W2247" s="25"/>
      <c r="X2247" s="25"/>
      <c r="Y2247" s="25"/>
      <c r="Z2247" s="25"/>
    </row>
    <row r="2248" spans="1:26" ht="15.75" customHeight="1" x14ac:dyDescent="0.25">
      <c r="A2248" s="25">
        <v>2246</v>
      </c>
      <c r="B2248" s="37" t="e">
        <f t="shared" ref="B2248:D2248" si="4525">VLOOKUP($A2248,[7]Hábitat!$A$2:$O$184,B$1,0)</f>
        <v>#N/A</v>
      </c>
      <c r="C2248" s="38" t="e">
        <f t="shared" si="4525"/>
        <v>#N/A</v>
      </c>
      <c r="D2248" s="39" t="e">
        <f t="shared" si="4525"/>
        <v>#N/A</v>
      </c>
      <c r="E2248" s="16" t="e">
        <f t="shared" si="1"/>
        <v>#N/A</v>
      </c>
      <c r="F2248" s="16" t="e">
        <f t="shared" ref="F2248:K2248" si="4526">VLOOKUP($A2248,[7]Hábitat!$A$2:$O$184,F$1,0)</f>
        <v>#N/A</v>
      </c>
      <c r="G2248" s="39" t="e">
        <f t="shared" si="4526"/>
        <v>#N/A</v>
      </c>
      <c r="H2248" s="16" t="e">
        <f t="shared" si="4526"/>
        <v>#N/A</v>
      </c>
      <c r="I2248" s="16" t="e">
        <f t="shared" si="4526"/>
        <v>#N/A</v>
      </c>
      <c r="J2248" s="40" t="e">
        <f t="shared" si="4526"/>
        <v>#N/A</v>
      </c>
      <c r="K2248" s="16" t="e">
        <f t="shared" si="4526"/>
        <v>#N/A</v>
      </c>
      <c r="L2248" s="40" t="e">
        <f t="shared" si="4233"/>
        <v>#N/A</v>
      </c>
      <c r="M2248" s="16" t="e">
        <f t="shared" si="4234"/>
        <v>#N/A</v>
      </c>
      <c r="N2248" s="16" t="e">
        <f t="shared" si="4235"/>
        <v>#N/A</v>
      </c>
      <c r="O2248" s="16" t="s">
        <v>71</v>
      </c>
      <c r="P2248" s="16" t="str">
        <f t="shared" si="6"/>
        <v/>
      </c>
      <c r="Q2248" s="41" t="e">
        <f t="shared" si="4236"/>
        <v>#N/A</v>
      </c>
      <c r="R2248" s="44"/>
      <c r="S2248" s="44"/>
      <c r="T2248" s="43"/>
      <c r="U2248" s="43" t="str">
        <f t="shared" si="8"/>
        <v>No</v>
      </c>
      <c r="V2248" s="25"/>
      <c r="W2248" s="25"/>
      <c r="X2248" s="25"/>
      <c r="Y2248" s="25"/>
      <c r="Z2248" s="25"/>
    </row>
    <row r="2249" spans="1:26" ht="15.75" customHeight="1" x14ac:dyDescent="0.25">
      <c r="A2249" s="25">
        <v>2247</v>
      </c>
      <c r="B2249" s="37" t="e">
        <f t="shared" ref="B2249:D2249" si="4527">VLOOKUP($A2249,[7]Hábitat!$A$2:$O$184,B$1,0)</f>
        <v>#N/A</v>
      </c>
      <c r="C2249" s="38" t="e">
        <f t="shared" si="4527"/>
        <v>#N/A</v>
      </c>
      <c r="D2249" s="39" t="e">
        <f t="shared" si="4527"/>
        <v>#N/A</v>
      </c>
      <c r="E2249" s="16" t="e">
        <f t="shared" si="1"/>
        <v>#N/A</v>
      </c>
      <c r="F2249" s="16" t="e">
        <f t="shared" ref="F2249:K2249" si="4528">VLOOKUP($A2249,[7]Hábitat!$A$2:$O$184,F$1,0)</f>
        <v>#N/A</v>
      </c>
      <c r="G2249" s="39" t="e">
        <f t="shared" si="4528"/>
        <v>#N/A</v>
      </c>
      <c r="H2249" s="16" t="e">
        <f t="shared" si="4528"/>
        <v>#N/A</v>
      </c>
      <c r="I2249" s="16" t="e">
        <f t="shared" si="4528"/>
        <v>#N/A</v>
      </c>
      <c r="J2249" s="40" t="e">
        <f t="shared" si="4528"/>
        <v>#N/A</v>
      </c>
      <c r="K2249" s="16" t="e">
        <f t="shared" si="4528"/>
        <v>#N/A</v>
      </c>
      <c r="L2249" s="40" t="e">
        <f t="shared" si="4233"/>
        <v>#N/A</v>
      </c>
      <c r="M2249" s="16" t="e">
        <f t="shared" si="4234"/>
        <v>#N/A</v>
      </c>
      <c r="N2249" s="16" t="e">
        <f t="shared" si="4235"/>
        <v>#N/A</v>
      </c>
      <c r="O2249" s="16" t="s">
        <v>71</v>
      </c>
      <c r="P2249" s="16" t="str">
        <f t="shared" si="6"/>
        <v/>
      </c>
      <c r="Q2249" s="41" t="e">
        <f t="shared" si="4236"/>
        <v>#N/A</v>
      </c>
      <c r="R2249" s="44"/>
      <c r="S2249" s="44"/>
      <c r="T2249" s="43"/>
      <c r="U2249" s="43" t="str">
        <f t="shared" si="8"/>
        <v>No</v>
      </c>
      <c r="V2249" s="25"/>
      <c r="W2249" s="25"/>
      <c r="X2249" s="25"/>
      <c r="Y2249" s="25"/>
      <c r="Z2249" s="25"/>
    </row>
    <row r="2250" spans="1:26" ht="15.75" customHeight="1" x14ac:dyDescent="0.25">
      <c r="A2250" s="25">
        <v>2248</v>
      </c>
      <c r="B2250" s="37" t="e">
        <f t="shared" ref="B2250:D2250" si="4529">VLOOKUP($A2250,[7]Hábitat!$A$2:$O$184,B$1,0)</f>
        <v>#N/A</v>
      </c>
      <c r="C2250" s="38" t="e">
        <f t="shared" si="4529"/>
        <v>#N/A</v>
      </c>
      <c r="D2250" s="39" t="e">
        <f t="shared" si="4529"/>
        <v>#N/A</v>
      </c>
      <c r="E2250" s="16" t="e">
        <f t="shared" si="1"/>
        <v>#N/A</v>
      </c>
      <c r="F2250" s="16" t="e">
        <f t="shared" ref="F2250:K2250" si="4530">VLOOKUP($A2250,[7]Hábitat!$A$2:$O$184,F$1,0)</f>
        <v>#N/A</v>
      </c>
      <c r="G2250" s="39" t="e">
        <f t="shared" si="4530"/>
        <v>#N/A</v>
      </c>
      <c r="H2250" s="16" t="e">
        <f t="shared" si="4530"/>
        <v>#N/A</v>
      </c>
      <c r="I2250" s="16" t="e">
        <f t="shared" si="4530"/>
        <v>#N/A</v>
      </c>
      <c r="J2250" s="40" t="e">
        <f t="shared" si="4530"/>
        <v>#N/A</v>
      </c>
      <c r="K2250" s="16" t="e">
        <f t="shared" si="4530"/>
        <v>#N/A</v>
      </c>
      <c r="L2250" s="40" t="e">
        <f t="shared" si="4233"/>
        <v>#N/A</v>
      </c>
      <c r="M2250" s="16" t="e">
        <f t="shared" si="4234"/>
        <v>#N/A</v>
      </c>
      <c r="N2250" s="16" t="e">
        <f t="shared" si="4235"/>
        <v>#N/A</v>
      </c>
      <c r="O2250" s="16" t="s">
        <v>71</v>
      </c>
      <c r="P2250" s="16" t="str">
        <f t="shared" si="6"/>
        <v/>
      </c>
      <c r="Q2250" s="41" t="e">
        <f t="shared" si="4236"/>
        <v>#N/A</v>
      </c>
      <c r="R2250" s="44"/>
      <c r="S2250" s="44"/>
      <c r="T2250" s="43"/>
      <c r="U2250" s="43" t="str">
        <f t="shared" si="8"/>
        <v>No</v>
      </c>
      <c r="V2250" s="25"/>
      <c r="W2250" s="25"/>
      <c r="X2250" s="25"/>
      <c r="Y2250" s="25"/>
      <c r="Z2250" s="25"/>
    </row>
    <row r="2251" spans="1:26" ht="15.75" customHeight="1" x14ac:dyDescent="0.25">
      <c r="A2251" s="25">
        <v>2249</v>
      </c>
      <c r="B2251" s="37" t="e">
        <f t="shared" ref="B2251:D2251" si="4531">VLOOKUP($A2251,[7]Hábitat!$A$2:$O$184,B$1,0)</f>
        <v>#N/A</v>
      </c>
      <c r="C2251" s="38" t="e">
        <f t="shared" si="4531"/>
        <v>#N/A</v>
      </c>
      <c r="D2251" s="39" t="e">
        <f t="shared" si="4531"/>
        <v>#N/A</v>
      </c>
      <c r="E2251" s="16" t="e">
        <f t="shared" si="1"/>
        <v>#N/A</v>
      </c>
      <c r="F2251" s="16" t="e">
        <f t="shared" ref="F2251:K2251" si="4532">VLOOKUP($A2251,[7]Hábitat!$A$2:$O$184,F$1,0)</f>
        <v>#N/A</v>
      </c>
      <c r="G2251" s="39" t="e">
        <f t="shared" si="4532"/>
        <v>#N/A</v>
      </c>
      <c r="H2251" s="16" t="e">
        <f t="shared" si="4532"/>
        <v>#N/A</v>
      </c>
      <c r="I2251" s="16" t="e">
        <f t="shared" si="4532"/>
        <v>#N/A</v>
      </c>
      <c r="J2251" s="40" t="e">
        <f t="shared" si="4532"/>
        <v>#N/A</v>
      </c>
      <c r="K2251" s="16" t="e">
        <f t="shared" si="4532"/>
        <v>#N/A</v>
      </c>
      <c r="L2251" s="40" t="e">
        <f t="shared" si="4233"/>
        <v>#N/A</v>
      </c>
      <c r="M2251" s="16" t="e">
        <f t="shared" si="4234"/>
        <v>#N/A</v>
      </c>
      <c r="N2251" s="16" t="e">
        <f t="shared" si="4235"/>
        <v>#N/A</v>
      </c>
      <c r="O2251" s="16" t="s">
        <v>71</v>
      </c>
      <c r="P2251" s="16" t="str">
        <f t="shared" si="6"/>
        <v/>
      </c>
      <c r="Q2251" s="41" t="e">
        <f t="shared" si="4236"/>
        <v>#N/A</v>
      </c>
      <c r="R2251" s="44"/>
      <c r="S2251" s="44"/>
      <c r="T2251" s="43"/>
      <c r="U2251" s="43" t="str">
        <f t="shared" si="8"/>
        <v>No</v>
      </c>
      <c r="V2251" s="25"/>
      <c r="W2251" s="25"/>
      <c r="X2251" s="25"/>
      <c r="Y2251" s="25"/>
      <c r="Z2251" s="25"/>
    </row>
    <row r="2252" spans="1:26" ht="15.75" customHeight="1" x14ac:dyDescent="0.25">
      <c r="A2252" s="25">
        <v>2250</v>
      </c>
      <c r="B2252" s="37" t="e">
        <f t="shared" ref="B2252:D2252" si="4533">VLOOKUP($A2252,[7]Hábitat!$A$2:$O$184,B$1,0)</f>
        <v>#N/A</v>
      </c>
      <c r="C2252" s="38" t="e">
        <f t="shared" si="4533"/>
        <v>#N/A</v>
      </c>
      <c r="D2252" s="39" t="e">
        <f t="shared" si="4533"/>
        <v>#N/A</v>
      </c>
      <c r="E2252" s="16" t="e">
        <f t="shared" si="1"/>
        <v>#N/A</v>
      </c>
      <c r="F2252" s="16" t="e">
        <f t="shared" ref="F2252:K2252" si="4534">VLOOKUP($A2252,[7]Hábitat!$A$2:$O$184,F$1,0)</f>
        <v>#N/A</v>
      </c>
      <c r="G2252" s="39" t="e">
        <f t="shared" si="4534"/>
        <v>#N/A</v>
      </c>
      <c r="H2252" s="16" t="e">
        <f t="shared" si="4534"/>
        <v>#N/A</v>
      </c>
      <c r="I2252" s="16" t="e">
        <f t="shared" si="4534"/>
        <v>#N/A</v>
      </c>
      <c r="J2252" s="40" t="e">
        <f t="shared" si="4534"/>
        <v>#N/A</v>
      </c>
      <c r="K2252" s="16" t="e">
        <f t="shared" si="4534"/>
        <v>#N/A</v>
      </c>
      <c r="L2252" s="40" t="e">
        <f t="shared" si="4233"/>
        <v>#N/A</v>
      </c>
      <c r="M2252" s="16" t="e">
        <f t="shared" si="4234"/>
        <v>#N/A</v>
      </c>
      <c r="N2252" s="16" t="e">
        <f t="shared" si="4235"/>
        <v>#N/A</v>
      </c>
      <c r="O2252" s="16" t="s">
        <v>71</v>
      </c>
      <c r="P2252" s="16" t="str">
        <f t="shared" si="6"/>
        <v/>
      </c>
      <c r="Q2252" s="41" t="e">
        <f t="shared" si="4236"/>
        <v>#N/A</v>
      </c>
      <c r="R2252" s="44"/>
      <c r="S2252" s="44"/>
      <c r="T2252" s="43"/>
      <c r="U2252" s="43" t="str">
        <f t="shared" si="8"/>
        <v>No</v>
      </c>
      <c r="V2252" s="25"/>
      <c r="W2252" s="25"/>
      <c r="X2252" s="25"/>
      <c r="Y2252" s="25"/>
      <c r="Z2252" s="25"/>
    </row>
    <row r="2253" spans="1:26" ht="15.75" customHeight="1" x14ac:dyDescent="0.25">
      <c r="A2253" s="25">
        <v>2251</v>
      </c>
      <c r="B2253" s="37" t="e">
        <f t="shared" ref="B2253:D2253" si="4535">VLOOKUP($A2253,[7]Hábitat!$A$2:$O$184,B$1,0)</f>
        <v>#N/A</v>
      </c>
      <c r="C2253" s="38" t="e">
        <f t="shared" si="4535"/>
        <v>#N/A</v>
      </c>
      <c r="D2253" s="39" t="e">
        <f t="shared" si="4535"/>
        <v>#N/A</v>
      </c>
      <c r="E2253" s="16" t="e">
        <f t="shared" si="1"/>
        <v>#N/A</v>
      </c>
      <c r="F2253" s="16" t="e">
        <f t="shared" ref="F2253:K2253" si="4536">VLOOKUP($A2253,[7]Hábitat!$A$2:$O$184,F$1,0)</f>
        <v>#N/A</v>
      </c>
      <c r="G2253" s="39" t="e">
        <f t="shared" si="4536"/>
        <v>#N/A</v>
      </c>
      <c r="H2253" s="16" t="e">
        <f t="shared" si="4536"/>
        <v>#N/A</v>
      </c>
      <c r="I2253" s="16" t="e">
        <f t="shared" si="4536"/>
        <v>#N/A</v>
      </c>
      <c r="J2253" s="40" t="e">
        <f t="shared" si="4536"/>
        <v>#N/A</v>
      </c>
      <c r="K2253" s="16" t="e">
        <f t="shared" si="4536"/>
        <v>#N/A</v>
      </c>
      <c r="L2253" s="40" t="e">
        <f t="shared" si="4233"/>
        <v>#N/A</v>
      </c>
      <c r="M2253" s="16" t="e">
        <f t="shared" si="4234"/>
        <v>#N/A</v>
      </c>
      <c r="N2253" s="16" t="e">
        <f t="shared" si="4235"/>
        <v>#N/A</v>
      </c>
      <c r="O2253" s="16" t="s">
        <v>71</v>
      </c>
      <c r="P2253" s="16" t="str">
        <f t="shared" si="6"/>
        <v/>
      </c>
      <c r="Q2253" s="41" t="e">
        <f t="shared" si="4236"/>
        <v>#N/A</v>
      </c>
      <c r="R2253" s="44"/>
      <c r="S2253" s="44"/>
      <c r="T2253" s="43"/>
      <c r="U2253" s="43" t="str">
        <f t="shared" si="8"/>
        <v>No</v>
      </c>
      <c r="V2253" s="25"/>
      <c r="W2253" s="25"/>
      <c r="X2253" s="25"/>
      <c r="Y2253" s="25"/>
      <c r="Z2253" s="25"/>
    </row>
    <row r="2254" spans="1:26" ht="15.75" customHeight="1" x14ac:dyDescent="0.25">
      <c r="A2254" s="25">
        <v>2252</v>
      </c>
      <c r="B2254" s="37" t="e">
        <f t="shared" ref="B2254:D2254" si="4537">VLOOKUP($A2254,[7]Hábitat!$A$2:$O$184,B$1,0)</f>
        <v>#N/A</v>
      </c>
      <c r="C2254" s="38" t="e">
        <f t="shared" si="4537"/>
        <v>#N/A</v>
      </c>
      <c r="D2254" s="39" t="e">
        <f t="shared" si="4537"/>
        <v>#N/A</v>
      </c>
      <c r="E2254" s="16" t="e">
        <f t="shared" si="1"/>
        <v>#N/A</v>
      </c>
      <c r="F2254" s="16" t="e">
        <f t="shared" ref="F2254:K2254" si="4538">VLOOKUP($A2254,[7]Hábitat!$A$2:$O$184,F$1,0)</f>
        <v>#N/A</v>
      </c>
      <c r="G2254" s="39" t="e">
        <f t="shared" si="4538"/>
        <v>#N/A</v>
      </c>
      <c r="H2254" s="16" t="e">
        <f t="shared" si="4538"/>
        <v>#N/A</v>
      </c>
      <c r="I2254" s="16" t="e">
        <f t="shared" si="4538"/>
        <v>#N/A</v>
      </c>
      <c r="J2254" s="40" t="e">
        <f t="shared" si="4538"/>
        <v>#N/A</v>
      </c>
      <c r="K2254" s="16" t="e">
        <f t="shared" si="4538"/>
        <v>#N/A</v>
      </c>
      <c r="L2254" s="40" t="e">
        <f t="shared" si="4233"/>
        <v>#N/A</v>
      </c>
      <c r="M2254" s="16" t="e">
        <f t="shared" si="4234"/>
        <v>#N/A</v>
      </c>
      <c r="N2254" s="16" t="e">
        <f t="shared" si="4235"/>
        <v>#N/A</v>
      </c>
      <c r="O2254" s="16" t="s">
        <v>71</v>
      </c>
      <c r="P2254" s="16" t="str">
        <f t="shared" si="6"/>
        <v/>
      </c>
      <c r="Q2254" s="41" t="e">
        <f t="shared" si="4236"/>
        <v>#N/A</v>
      </c>
      <c r="R2254" s="44"/>
      <c r="S2254" s="44"/>
      <c r="T2254" s="43"/>
      <c r="U2254" s="43" t="str">
        <f t="shared" si="8"/>
        <v>No</v>
      </c>
      <c r="V2254" s="25"/>
      <c r="W2254" s="25"/>
      <c r="X2254" s="25"/>
      <c r="Y2254" s="25"/>
      <c r="Z2254" s="25"/>
    </row>
    <row r="2255" spans="1:26" ht="15.75" customHeight="1" x14ac:dyDescent="0.25">
      <c r="A2255" s="25">
        <v>2253</v>
      </c>
      <c r="B2255" s="37" t="e">
        <f t="shared" ref="B2255:D2255" si="4539">VLOOKUP($A2255,[7]Hábitat!$A$2:$O$184,B$1,0)</f>
        <v>#N/A</v>
      </c>
      <c r="C2255" s="38" t="e">
        <f t="shared" si="4539"/>
        <v>#N/A</v>
      </c>
      <c r="D2255" s="39" t="e">
        <f t="shared" si="4539"/>
        <v>#N/A</v>
      </c>
      <c r="E2255" s="16" t="e">
        <f t="shared" si="1"/>
        <v>#N/A</v>
      </c>
      <c r="F2255" s="16" t="e">
        <f t="shared" ref="F2255:K2255" si="4540">VLOOKUP($A2255,[7]Hábitat!$A$2:$O$184,F$1,0)</f>
        <v>#N/A</v>
      </c>
      <c r="G2255" s="39" t="e">
        <f t="shared" si="4540"/>
        <v>#N/A</v>
      </c>
      <c r="H2255" s="16" t="e">
        <f t="shared" si="4540"/>
        <v>#N/A</v>
      </c>
      <c r="I2255" s="16" t="e">
        <f t="shared" si="4540"/>
        <v>#N/A</v>
      </c>
      <c r="J2255" s="40" t="e">
        <f t="shared" si="4540"/>
        <v>#N/A</v>
      </c>
      <c r="K2255" s="16" t="e">
        <f t="shared" si="4540"/>
        <v>#N/A</v>
      </c>
      <c r="L2255" s="40" t="e">
        <f t="shared" si="4233"/>
        <v>#N/A</v>
      </c>
      <c r="M2255" s="16" t="e">
        <f t="shared" si="4234"/>
        <v>#N/A</v>
      </c>
      <c r="N2255" s="16" t="e">
        <f t="shared" si="4235"/>
        <v>#N/A</v>
      </c>
      <c r="O2255" s="16" t="s">
        <v>71</v>
      </c>
      <c r="P2255" s="16" t="str">
        <f t="shared" si="6"/>
        <v/>
      </c>
      <c r="Q2255" s="41" t="e">
        <f t="shared" si="4236"/>
        <v>#N/A</v>
      </c>
      <c r="R2255" s="44"/>
      <c r="S2255" s="44"/>
      <c r="T2255" s="43"/>
      <c r="U2255" s="43" t="str">
        <f t="shared" si="8"/>
        <v>No</v>
      </c>
      <c r="V2255" s="25"/>
      <c r="W2255" s="25"/>
      <c r="X2255" s="25"/>
      <c r="Y2255" s="25"/>
      <c r="Z2255" s="25"/>
    </row>
    <row r="2256" spans="1:26" ht="15.75" customHeight="1" x14ac:dyDescent="0.25">
      <c r="A2256" s="25">
        <v>2254</v>
      </c>
      <c r="B2256" s="37" t="e">
        <f t="shared" ref="B2256:D2256" si="4541">VLOOKUP($A2256,[7]Hábitat!$A$2:$O$184,B$1,0)</f>
        <v>#N/A</v>
      </c>
      <c r="C2256" s="38" t="e">
        <f t="shared" si="4541"/>
        <v>#N/A</v>
      </c>
      <c r="D2256" s="39" t="e">
        <f t="shared" si="4541"/>
        <v>#N/A</v>
      </c>
      <c r="E2256" s="16" t="e">
        <f t="shared" si="1"/>
        <v>#N/A</v>
      </c>
      <c r="F2256" s="16" t="e">
        <f t="shared" ref="F2256:K2256" si="4542">VLOOKUP($A2256,[7]Hábitat!$A$2:$O$184,F$1,0)</f>
        <v>#N/A</v>
      </c>
      <c r="G2256" s="39" t="e">
        <f t="shared" si="4542"/>
        <v>#N/A</v>
      </c>
      <c r="H2256" s="16" t="e">
        <f t="shared" si="4542"/>
        <v>#N/A</v>
      </c>
      <c r="I2256" s="16" t="e">
        <f t="shared" si="4542"/>
        <v>#N/A</v>
      </c>
      <c r="J2256" s="40" t="e">
        <f t="shared" si="4542"/>
        <v>#N/A</v>
      </c>
      <c r="K2256" s="16" t="e">
        <f t="shared" si="4542"/>
        <v>#N/A</v>
      </c>
      <c r="L2256" s="40" t="e">
        <f t="shared" si="4233"/>
        <v>#N/A</v>
      </c>
      <c r="M2256" s="16" t="e">
        <f t="shared" si="4234"/>
        <v>#N/A</v>
      </c>
      <c r="N2256" s="16" t="e">
        <f t="shared" si="4235"/>
        <v>#N/A</v>
      </c>
      <c r="O2256" s="16" t="s">
        <v>71</v>
      </c>
      <c r="P2256" s="16" t="str">
        <f t="shared" si="6"/>
        <v/>
      </c>
      <c r="Q2256" s="41" t="e">
        <f t="shared" si="4236"/>
        <v>#N/A</v>
      </c>
      <c r="R2256" s="44"/>
      <c r="S2256" s="44"/>
      <c r="T2256" s="43"/>
      <c r="U2256" s="43" t="str">
        <f t="shared" si="8"/>
        <v>No</v>
      </c>
      <c r="V2256" s="25"/>
      <c r="W2256" s="25"/>
      <c r="X2256" s="25"/>
      <c r="Y2256" s="25"/>
      <c r="Z2256" s="25"/>
    </row>
    <row r="2257" spans="1:26" ht="15.75" customHeight="1" x14ac:dyDescent="0.25">
      <c r="A2257" s="25">
        <v>2255</v>
      </c>
      <c r="B2257" s="37" t="e">
        <f t="shared" ref="B2257:D2257" si="4543">VLOOKUP($A2257,[7]Hábitat!$A$2:$O$184,B$1,0)</f>
        <v>#N/A</v>
      </c>
      <c r="C2257" s="38" t="e">
        <f t="shared" si="4543"/>
        <v>#N/A</v>
      </c>
      <c r="D2257" s="39" t="e">
        <f t="shared" si="4543"/>
        <v>#N/A</v>
      </c>
      <c r="E2257" s="16" t="e">
        <f t="shared" si="1"/>
        <v>#N/A</v>
      </c>
      <c r="F2257" s="16" t="e">
        <f t="shared" ref="F2257:K2257" si="4544">VLOOKUP($A2257,[7]Hábitat!$A$2:$O$184,F$1,0)</f>
        <v>#N/A</v>
      </c>
      <c r="G2257" s="39" t="e">
        <f t="shared" si="4544"/>
        <v>#N/A</v>
      </c>
      <c r="H2257" s="16" t="e">
        <f t="shared" si="4544"/>
        <v>#N/A</v>
      </c>
      <c r="I2257" s="16" t="e">
        <f t="shared" si="4544"/>
        <v>#N/A</v>
      </c>
      <c r="J2257" s="40" t="e">
        <f t="shared" si="4544"/>
        <v>#N/A</v>
      </c>
      <c r="K2257" s="16" t="e">
        <f t="shared" si="4544"/>
        <v>#N/A</v>
      </c>
      <c r="L2257" s="40" t="e">
        <f t="shared" si="4233"/>
        <v>#N/A</v>
      </c>
      <c r="M2257" s="16" t="e">
        <f t="shared" si="4234"/>
        <v>#N/A</v>
      </c>
      <c r="N2257" s="16" t="e">
        <f t="shared" si="4235"/>
        <v>#N/A</v>
      </c>
      <c r="O2257" s="16" t="s">
        <v>71</v>
      </c>
      <c r="P2257" s="16" t="str">
        <f t="shared" si="6"/>
        <v/>
      </c>
      <c r="Q2257" s="41" t="e">
        <f t="shared" si="4236"/>
        <v>#N/A</v>
      </c>
      <c r="R2257" s="44"/>
      <c r="S2257" s="44"/>
      <c r="T2257" s="43"/>
      <c r="U2257" s="43" t="str">
        <f t="shared" si="8"/>
        <v>No</v>
      </c>
      <c r="V2257" s="25"/>
      <c r="W2257" s="25"/>
      <c r="X2257" s="25"/>
      <c r="Y2257" s="25"/>
      <c r="Z2257" s="25"/>
    </row>
    <row r="2258" spans="1:26" ht="15.75" customHeight="1" x14ac:dyDescent="0.25">
      <c r="A2258" s="25">
        <v>2256</v>
      </c>
      <c r="B2258" s="37" t="e">
        <f t="shared" ref="B2258:D2258" si="4545">VLOOKUP($A2258,[7]Hábitat!$A$2:$O$184,B$1,0)</f>
        <v>#N/A</v>
      </c>
      <c r="C2258" s="38" t="e">
        <f t="shared" si="4545"/>
        <v>#N/A</v>
      </c>
      <c r="D2258" s="39" t="e">
        <f t="shared" si="4545"/>
        <v>#N/A</v>
      </c>
      <c r="E2258" s="16" t="e">
        <f t="shared" si="1"/>
        <v>#N/A</v>
      </c>
      <c r="F2258" s="16" t="e">
        <f t="shared" ref="F2258:K2258" si="4546">VLOOKUP($A2258,[7]Hábitat!$A$2:$O$184,F$1,0)</f>
        <v>#N/A</v>
      </c>
      <c r="G2258" s="39" t="e">
        <f t="shared" si="4546"/>
        <v>#N/A</v>
      </c>
      <c r="H2258" s="16" t="e">
        <f t="shared" si="4546"/>
        <v>#N/A</v>
      </c>
      <c r="I2258" s="16" t="e">
        <f t="shared" si="4546"/>
        <v>#N/A</v>
      </c>
      <c r="J2258" s="40" t="e">
        <f t="shared" si="4546"/>
        <v>#N/A</v>
      </c>
      <c r="K2258" s="16" t="e">
        <f t="shared" si="4546"/>
        <v>#N/A</v>
      </c>
      <c r="L2258" s="40" t="e">
        <f t="shared" si="4233"/>
        <v>#N/A</v>
      </c>
      <c r="M2258" s="16" t="e">
        <f t="shared" si="4234"/>
        <v>#N/A</v>
      </c>
      <c r="N2258" s="16" t="e">
        <f t="shared" si="4235"/>
        <v>#N/A</v>
      </c>
      <c r="O2258" s="16" t="s">
        <v>71</v>
      </c>
      <c r="P2258" s="16" t="str">
        <f t="shared" si="6"/>
        <v/>
      </c>
      <c r="Q2258" s="41" t="e">
        <f t="shared" si="4236"/>
        <v>#N/A</v>
      </c>
      <c r="R2258" s="44"/>
      <c r="S2258" s="44"/>
      <c r="T2258" s="43"/>
      <c r="U2258" s="43" t="str">
        <f t="shared" si="8"/>
        <v>No</v>
      </c>
      <c r="V2258" s="25"/>
      <c r="W2258" s="25"/>
      <c r="X2258" s="25"/>
      <c r="Y2258" s="25"/>
      <c r="Z2258" s="25"/>
    </row>
    <row r="2259" spans="1:26" ht="15.75" customHeight="1" x14ac:dyDescent="0.25">
      <c r="A2259" s="25">
        <v>2257</v>
      </c>
      <c r="B2259" s="37" t="e">
        <f t="shared" ref="B2259:D2259" si="4547">VLOOKUP($A2259,[7]Hábitat!$A$2:$O$184,B$1,0)</f>
        <v>#N/A</v>
      </c>
      <c r="C2259" s="38" t="e">
        <f t="shared" si="4547"/>
        <v>#N/A</v>
      </c>
      <c r="D2259" s="39" t="e">
        <f t="shared" si="4547"/>
        <v>#N/A</v>
      </c>
      <c r="E2259" s="16" t="e">
        <f t="shared" si="1"/>
        <v>#N/A</v>
      </c>
      <c r="F2259" s="16" t="e">
        <f t="shared" ref="F2259:K2259" si="4548">VLOOKUP($A2259,[7]Hábitat!$A$2:$O$184,F$1,0)</f>
        <v>#N/A</v>
      </c>
      <c r="G2259" s="39" t="e">
        <f t="shared" si="4548"/>
        <v>#N/A</v>
      </c>
      <c r="H2259" s="16" t="e">
        <f t="shared" si="4548"/>
        <v>#N/A</v>
      </c>
      <c r="I2259" s="16" t="e">
        <f t="shared" si="4548"/>
        <v>#N/A</v>
      </c>
      <c r="J2259" s="40" t="e">
        <f t="shared" si="4548"/>
        <v>#N/A</v>
      </c>
      <c r="K2259" s="16" t="e">
        <f t="shared" si="4548"/>
        <v>#N/A</v>
      </c>
      <c r="L2259" s="40" t="e">
        <f t="shared" si="4233"/>
        <v>#N/A</v>
      </c>
      <c r="M2259" s="16" t="e">
        <f t="shared" si="4234"/>
        <v>#N/A</v>
      </c>
      <c r="N2259" s="16" t="e">
        <f t="shared" si="4235"/>
        <v>#N/A</v>
      </c>
      <c r="O2259" s="16" t="s">
        <v>71</v>
      </c>
      <c r="P2259" s="16" t="str">
        <f t="shared" si="6"/>
        <v/>
      </c>
      <c r="Q2259" s="41" t="e">
        <f t="shared" si="4236"/>
        <v>#N/A</v>
      </c>
      <c r="R2259" s="44"/>
      <c r="S2259" s="44"/>
      <c r="T2259" s="43"/>
      <c r="U2259" s="43" t="str">
        <f t="shared" si="8"/>
        <v>No</v>
      </c>
      <c r="V2259" s="25"/>
      <c r="W2259" s="25"/>
      <c r="X2259" s="25"/>
      <c r="Y2259" s="25"/>
      <c r="Z2259" s="25"/>
    </row>
    <row r="2260" spans="1:26" ht="15.75" customHeight="1" x14ac:dyDescent="0.25">
      <c r="A2260" s="25">
        <v>2258</v>
      </c>
      <c r="B2260" s="37" t="e">
        <f t="shared" ref="B2260:D2260" si="4549">VLOOKUP($A2260,[7]Hábitat!$A$2:$O$184,B$1,0)</f>
        <v>#N/A</v>
      </c>
      <c r="C2260" s="38" t="e">
        <f t="shared" si="4549"/>
        <v>#N/A</v>
      </c>
      <c r="D2260" s="39" t="e">
        <f t="shared" si="4549"/>
        <v>#N/A</v>
      </c>
      <c r="E2260" s="16" t="e">
        <f t="shared" si="1"/>
        <v>#N/A</v>
      </c>
      <c r="F2260" s="16" t="e">
        <f t="shared" ref="F2260:K2260" si="4550">VLOOKUP($A2260,[7]Hábitat!$A$2:$O$184,F$1,0)</f>
        <v>#N/A</v>
      </c>
      <c r="G2260" s="39" t="e">
        <f t="shared" si="4550"/>
        <v>#N/A</v>
      </c>
      <c r="H2260" s="16" t="e">
        <f t="shared" si="4550"/>
        <v>#N/A</v>
      </c>
      <c r="I2260" s="16" t="e">
        <f t="shared" si="4550"/>
        <v>#N/A</v>
      </c>
      <c r="J2260" s="40" t="e">
        <f t="shared" si="4550"/>
        <v>#N/A</v>
      </c>
      <c r="K2260" s="16" t="e">
        <f t="shared" si="4550"/>
        <v>#N/A</v>
      </c>
      <c r="L2260" s="40" t="e">
        <f t="shared" si="4233"/>
        <v>#N/A</v>
      </c>
      <c r="M2260" s="16" t="e">
        <f t="shared" si="4234"/>
        <v>#N/A</v>
      </c>
      <c r="N2260" s="16" t="e">
        <f t="shared" si="4235"/>
        <v>#N/A</v>
      </c>
      <c r="O2260" s="16" t="s">
        <v>71</v>
      </c>
      <c r="P2260" s="16" t="str">
        <f t="shared" si="6"/>
        <v/>
      </c>
      <c r="Q2260" s="41" t="e">
        <f t="shared" si="4236"/>
        <v>#N/A</v>
      </c>
      <c r="R2260" s="44"/>
      <c r="S2260" s="44"/>
      <c r="T2260" s="43"/>
      <c r="U2260" s="43" t="str">
        <f t="shared" si="8"/>
        <v>No</v>
      </c>
      <c r="V2260" s="25"/>
      <c r="W2260" s="25"/>
      <c r="X2260" s="25"/>
      <c r="Y2260" s="25"/>
      <c r="Z2260" s="25"/>
    </row>
    <row r="2261" spans="1:26" ht="15.75" customHeight="1" x14ac:dyDescent="0.25">
      <c r="A2261" s="25">
        <v>2259</v>
      </c>
      <c r="B2261" s="37" t="e">
        <f t="shared" ref="B2261:D2261" si="4551">VLOOKUP($A2261,[7]Hábitat!$A$2:$O$184,B$1,0)</f>
        <v>#N/A</v>
      </c>
      <c r="C2261" s="38" t="e">
        <f t="shared" si="4551"/>
        <v>#N/A</v>
      </c>
      <c r="D2261" s="39" t="e">
        <f t="shared" si="4551"/>
        <v>#N/A</v>
      </c>
      <c r="E2261" s="16" t="e">
        <f t="shared" si="1"/>
        <v>#N/A</v>
      </c>
      <c r="F2261" s="16" t="e">
        <f t="shared" ref="F2261:K2261" si="4552">VLOOKUP($A2261,[7]Hábitat!$A$2:$O$184,F$1,0)</f>
        <v>#N/A</v>
      </c>
      <c r="G2261" s="39" t="e">
        <f t="shared" si="4552"/>
        <v>#N/A</v>
      </c>
      <c r="H2261" s="16" t="e">
        <f t="shared" si="4552"/>
        <v>#N/A</v>
      </c>
      <c r="I2261" s="16" t="e">
        <f t="shared" si="4552"/>
        <v>#N/A</v>
      </c>
      <c r="J2261" s="40" t="e">
        <f t="shared" si="4552"/>
        <v>#N/A</v>
      </c>
      <c r="K2261" s="16" t="e">
        <f t="shared" si="4552"/>
        <v>#N/A</v>
      </c>
      <c r="L2261" s="40" t="e">
        <f t="shared" si="4233"/>
        <v>#N/A</v>
      </c>
      <c r="M2261" s="16" t="e">
        <f t="shared" si="4234"/>
        <v>#N/A</v>
      </c>
      <c r="N2261" s="16" t="e">
        <f t="shared" si="4235"/>
        <v>#N/A</v>
      </c>
      <c r="O2261" s="16" t="s">
        <v>71</v>
      </c>
      <c r="P2261" s="16" t="str">
        <f t="shared" si="6"/>
        <v/>
      </c>
      <c r="Q2261" s="41" t="e">
        <f t="shared" si="4236"/>
        <v>#N/A</v>
      </c>
      <c r="R2261" s="44"/>
      <c r="S2261" s="44"/>
      <c r="T2261" s="43"/>
      <c r="U2261" s="43" t="str">
        <f t="shared" si="8"/>
        <v>No</v>
      </c>
      <c r="V2261" s="25"/>
      <c r="W2261" s="25"/>
      <c r="X2261" s="25"/>
      <c r="Y2261" s="25"/>
      <c r="Z2261" s="25"/>
    </row>
    <row r="2262" spans="1:26" ht="15.75" customHeight="1" x14ac:dyDescent="0.25">
      <c r="A2262" s="25">
        <v>2260</v>
      </c>
      <c r="B2262" s="37" t="e">
        <f t="shared" ref="B2262:D2262" si="4553">VLOOKUP($A2262,[7]Hábitat!$A$2:$O$184,B$1,0)</f>
        <v>#N/A</v>
      </c>
      <c r="C2262" s="38" t="e">
        <f t="shared" si="4553"/>
        <v>#N/A</v>
      </c>
      <c r="D2262" s="39" t="e">
        <f t="shared" si="4553"/>
        <v>#N/A</v>
      </c>
      <c r="E2262" s="16" t="e">
        <f t="shared" si="1"/>
        <v>#N/A</v>
      </c>
      <c r="F2262" s="16" t="e">
        <f t="shared" ref="F2262:K2262" si="4554">VLOOKUP($A2262,[7]Hábitat!$A$2:$O$184,F$1,0)</f>
        <v>#N/A</v>
      </c>
      <c r="G2262" s="39" t="e">
        <f t="shared" si="4554"/>
        <v>#N/A</v>
      </c>
      <c r="H2262" s="16" t="e">
        <f t="shared" si="4554"/>
        <v>#N/A</v>
      </c>
      <c r="I2262" s="16" t="e">
        <f t="shared" si="4554"/>
        <v>#N/A</v>
      </c>
      <c r="J2262" s="40" t="e">
        <f t="shared" si="4554"/>
        <v>#N/A</v>
      </c>
      <c r="K2262" s="16" t="e">
        <f t="shared" si="4554"/>
        <v>#N/A</v>
      </c>
      <c r="L2262" s="40" t="e">
        <f t="shared" si="4233"/>
        <v>#N/A</v>
      </c>
      <c r="M2262" s="16" t="e">
        <f t="shared" si="4234"/>
        <v>#N/A</v>
      </c>
      <c r="N2262" s="16" t="e">
        <f t="shared" si="4235"/>
        <v>#N/A</v>
      </c>
      <c r="O2262" s="16" t="s">
        <v>71</v>
      </c>
      <c r="P2262" s="16" t="str">
        <f t="shared" si="6"/>
        <v/>
      </c>
      <c r="Q2262" s="41" t="e">
        <f t="shared" si="4236"/>
        <v>#N/A</v>
      </c>
      <c r="R2262" s="44"/>
      <c r="S2262" s="44"/>
      <c r="T2262" s="43"/>
      <c r="U2262" s="43" t="str">
        <f t="shared" si="8"/>
        <v>No</v>
      </c>
      <c r="V2262" s="25"/>
      <c r="W2262" s="25"/>
      <c r="X2262" s="25"/>
      <c r="Y2262" s="25"/>
      <c r="Z2262" s="25"/>
    </row>
    <row r="2263" spans="1:26" ht="15.75" customHeight="1" x14ac:dyDescent="0.25">
      <c r="A2263" s="25">
        <v>2261</v>
      </c>
      <c r="B2263" s="37" t="e">
        <f t="shared" ref="B2263:D2263" si="4555">VLOOKUP($A2263,[7]Hábitat!$A$2:$O$184,B$1,0)</f>
        <v>#N/A</v>
      </c>
      <c r="C2263" s="38" t="e">
        <f t="shared" si="4555"/>
        <v>#N/A</v>
      </c>
      <c r="D2263" s="39" t="e">
        <f t="shared" si="4555"/>
        <v>#N/A</v>
      </c>
      <c r="E2263" s="16" t="e">
        <f t="shared" si="1"/>
        <v>#N/A</v>
      </c>
      <c r="F2263" s="16" t="e">
        <f t="shared" ref="F2263:K2263" si="4556">VLOOKUP($A2263,[7]Hábitat!$A$2:$O$184,F$1,0)</f>
        <v>#N/A</v>
      </c>
      <c r="G2263" s="39" t="e">
        <f t="shared" si="4556"/>
        <v>#N/A</v>
      </c>
      <c r="H2263" s="16" t="e">
        <f t="shared" si="4556"/>
        <v>#N/A</v>
      </c>
      <c r="I2263" s="16" t="e">
        <f t="shared" si="4556"/>
        <v>#N/A</v>
      </c>
      <c r="J2263" s="40" t="e">
        <f t="shared" si="4556"/>
        <v>#N/A</v>
      </c>
      <c r="K2263" s="16" t="e">
        <f t="shared" si="4556"/>
        <v>#N/A</v>
      </c>
      <c r="L2263" s="40" t="e">
        <f t="shared" si="4233"/>
        <v>#N/A</v>
      </c>
      <c r="M2263" s="16" t="e">
        <f t="shared" si="4234"/>
        <v>#N/A</v>
      </c>
      <c r="N2263" s="16" t="e">
        <f t="shared" si="4235"/>
        <v>#N/A</v>
      </c>
      <c r="O2263" s="16" t="s">
        <v>71</v>
      </c>
      <c r="P2263" s="16" t="str">
        <f t="shared" si="6"/>
        <v/>
      </c>
      <c r="Q2263" s="41" t="e">
        <f t="shared" si="4236"/>
        <v>#N/A</v>
      </c>
      <c r="R2263" s="44"/>
      <c r="S2263" s="44"/>
      <c r="T2263" s="43"/>
      <c r="U2263" s="43" t="str">
        <f t="shared" si="8"/>
        <v>No</v>
      </c>
      <c r="V2263" s="25"/>
      <c r="W2263" s="25"/>
      <c r="X2263" s="25"/>
      <c r="Y2263" s="25"/>
      <c r="Z2263" s="25"/>
    </row>
    <row r="2264" spans="1:26" ht="15.75" customHeight="1" x14ac:dyDescent="0.25">
      <c r="A2264" s="25">
        <v>2262</v>
      </c>
      <c r="B2264" s="37" t="e">
        <f t="shared" ref="B2264:D2264" si="4557">VLOOKUP($A2264,[7]Hábitat!$A$2:$O$184,B$1,0)</f>
        <v>#N/A</v>
      </c>
      <c r="C2264" s="38" t="e">
        <f t="shared" si="4557"/>
        <v>#N/A</v>
      </c>
      <c r="D2264" s="39" t="e">
        <f t="shared" si="4557"/>
        <v>#N/A</v>
      </c>
      <c r="E2264" s="16" t="e">
        <f t="shared" si="1"/>
        <v>#N/A</v>
      </c>
      <c r="F2264" s="16" t="e">
        <f t="shared" ref="F2264:K2264" si="4558">VLOOKUP($A2264,[7]Hábitat!$A$2:$O$184,F$1,0)</f>
        <v>#N/A</v>
      </c>
      <c r="G2264" s="39" t="e">
        <f t="shared" si="4558"/>
        <v>#N/A</v>
      </c>
      <c r="H2264" s="16" t="e">
        <f t="shared" si="4558"/>
        <v>#N/A</v>
      </c>
      <c r="I2264" s="16" t="e">
        <f t="shared" si="4558"/>
        <v>#N/A</v>
      </c>
      <c r="J2264" s="40" t="e">
        <f t="shared" si="4558"/>
        <v>#N/A</v>
      </c>
      <c r="K2264" s="16" t="e">
        <f t="shared" si="4558"/>
        <v>#N/A</v>
      </c>
      <c r="L2264" s="40" t="e">
        <f t="shared" si="4233"/>
        <v>#N/A</v>
      </c>
      <c r="M2264" s="16" t="e">
        <f t="shared" si="4234"/>
        <v>#N/A</v>
      </c>
      <c r="N2264" s="16" t="e">
        <f t="shared" si="4235"/>
        <v>#N/A</v>
      </c>
      <c r="O2264" s="16" t="s">
        <v>71</v>
      </c>
      <c r="P2264" s="16" t="str">
        <f t="shared" si="6"/>
        <v/>
      </c>
      <c r="Q2264" s="41" t="e">
        <f t="shared" si="4236"/>
        <v>#N/A</v>
      </c>
      <c r="R2264" s="44"/>
      <c r="S2264" s="44"/>
      <c r="T2264" s="43"/>
      <c r="U2264" s="43" t="str">
        <f t="shared" si="8"/>
        <v>No</v>
      </c>
      <c r="V2264" s="25"/>
      <c r="W2264" s="25"/>
      <c r="X2264" s="25"/>
      <c r="Y2264" s="25"/>
      <c r="Z2264" s="25"/>
    </row>
    <row r="2265" spans="1:26" ht="15.75" customHeight="1" x14ac:dyDescent="0.25">
      <c r="A2265" s="25">
        <v>2263</v>
      </c>
      <c r="B2265" s="37" t="e">
        <f t="shared" ref="B2265:D2265" si="4559">VLOOKUP($A2265,[7]Hábitat!$A$2:$O$184,B$1,0)</f>
        <v>#N/A</v>
      </c>
      <c r="C2265" s="38" t="e">
        <f t="shared" si="4559"/>
        <v>#N/A</v>
      </c>
      <c r="D2265" s="39" t="e">
        <f t="shared" si="4559"/>
        <v>#N/A</v>
      </c>
      <c r="E2265" s="16" t="e">
        <f t="shared" si="1"/>
        <v>#N/A</v>
      </c>
      <c r="F2265" s="16" t="e">
        <f t="shared" ref="F2265:K2265" si="4560">VLOOKUP($A2265,[7]Hábitat!$A$2:$O$184,F$1,0)</f>
        <v>#N/A</v>
      </c>
      <c r="G2265" s="39" t="e">
        <f t="shared" si="4560"/>
        <v>#N/A</v>
      </c>
      <c r="H2265" s="16" t="e">
        <f t="shared" si="4560"/>
        <v>#N/A</v>
      </c>
      <c r="I2265" s="16" t="e">
        <f t="shared" si="4560"/>
        <v>#N/A</v>
      </c>
      <c r="J2265" s="40" t="e">
        <f t="shared" si="4560"/>
        <v>#N/A</v>
      </c>
      <c r="K2265" s="16" t="e">
        <f t="shared" si="4560"/>
        <v>#N/A</v>
      </c>
      <c r="L2265" s="40" t="e">
        <f t="shared" si="4233"/>
        <v>#N/A</v>
      </c>
      <c r="M2265" s="16" t="e">
        <f t="shared" si="4234"/>
        <v>#N/A</v>
      </c>
      <c r="N2265" s="16" t="e">
        <f t="shared" si="4235"/>
        <v>#N/A</v>
      </c>
      <c r="O2265" s="16" t="s">
        <v>71</v>
      </c>
      <c r="P2265" s="16" t="str">
        <f t="shared" si="6"/>
        <v/>
      </c>
      <c r="Q2265" s="41" t="e">
        <f t="shared" si="4236"/>
        <v>#N/A</v>
      </c>
      <c r="R2265" s="44"/>
      <c r="S2265" s="44"/>
      <c r="T2265" s="43"/>
      <c r="U2265" s="43" t="str">
        <f t="shared" si="8"/>
        <v>No</v>
      </c>
      <c r="V2265" s="25"/>
      <c r="W2265" s="25"/>
      <c r="X2265" s="25"/>
      <c r="Y2265" s="25"/>
      <c r="Z2265" s="25"/>
    </row>
    <row r="2266" spans="1:26" ht="15.75" customHeight="1" x14ac:dyDescent="0.25">
      <c r="A2266" s="25">
        <v>2264</v>
      </c>
      <c r="B2266" s="37" t="e">
        <f t="shared" ref="B2266:D2266" si="4561">VLOOKUP($A2266,[7]Hábitat!$A$2:$O$184,B$1,0)</f>
        <v>#N/A</v>
      </c>
      <c r="C2266" s="38" t="e">
        <f t="shared" si="4561"/>
        <v>#N/A</v>
      </c>
      <c r="D2266" s="39" t="e">
        <f t="shared" si="4561"/>
        <v>#N/A</v>
      </c>
      <c r="E2266" s="16" t="e">
        <f t="shared" si="1"/>
        <v>#N/A</v>
      </c>
      <c r="F2266" s="16" t="e">
        <f t="shared" ref="F2266:K2266" si="4562">VLOOKUP($A2266,[7]Hábitat!$A$2:$O$184,F$1,0)</f>
        <v>#N/A</v>
      </c>
      <c r="G2266" s="39" t="e">
        <f t="shared" si="4562"/>
        <v>#N/A</v>
      </c>
      <c r="H2266" s="16" t="e">
        <f t="shared" si="4562"/>
        <v>#N/A</v>
      </c>
      <c r="I2266" s="16" t="e">
        <f t="shared" si="4562"/>
        <v>#N/A</v>
      </c>
      <c r="J2266" s="40" t="e">
        <f t="shared" si="4562"/>
        <v>#N/A</v>
      </c>
      <c r="K2266" s="16" t="e">
        <f t="shared" si="4562"/>
        <v>#N/A</v>
      </c>
      <c r="L2266" s="40" t="e">
        <f t="shared" si="4233"/>
        <v>#N/A</v>
      </c>
      <c r="M2266" s="16" t="e">
        <f t="shared" si="4234"/>
        <v>#N/A</v>
      </c>
      <c r="N2266" s="16" t="e">
        <f t="shared" si="4235"/>
        <v>#N/A</v>
      </c>
      <c r="O2266" s="16" t="s">
        <v>71</v>
      </c>
      <c r="P2266" s="16" t="str">
        <f t="shared" si="6"/>
        <v/>
      </c>
      <c r="Q2266" s="41" t="e">
        <f t="shared" si="4236"/>
        <v>#N/A</v>
      </c>
      <c r="R2266" s="44"/>
      <c r="S2266" s="44"/>
      <c r="T2266" s="43"/>
      <c r="U2266" s="43" t="str">
        <f t="shared" si="8"/>
        <v>No</v>
      </c>
      <c r="V2266" s="25"/>
      <c r="W2266" s="25"/>
      <c r="X2266" s="25"/>
      <c r="Y2266" s="25"/>
      <c r="Z2266" s="25"/>
    </row>
    <row r="2267" spans="1:26" ht="15.75" customHeight="1" x14ac:dyDescent="0.25">
      <c r="A2267" s="25">
        <v>2265</v>
      </c>
      <c r="B2267" s="37" t="e">
        <f t="shared" ref="B2267:D2267" si="4563">VLOOKUP($A2267,[7]Hábitat!$A$2:$O$184,B$1,0)</f>
        <v>#N/A</v>
      </c>
      <c r="C2267" s="38" t="e">
        <f t="shared" si="4563"/>
        <v>#N/A</v>
      </c>
      <c r="D2267" s="39" t="e">
        <f t="shared" si="4563"/>
        <v>#N/A</v>
      </c>
      <c r="E2267" s="16" t="e">
        <f t="shared" si="1"/>
        <v>#N/A</v>
      </c>
      <c r="F2267" s="16" t="e">
        <f t="shared" ref="F2267:K2267" si="4564">VLOOKUP($A2267,[7]Hábitat!$A$2:$O$184,F$1,0)</f>
        <v>#N/A</v>
      </c>
      <c r="G2267" s="39" t="e">
        <f t="shared" si="4564"/>
        <v>#N/A</v>
      </c>
      <c r="H2267" s="16" t="e">
        <f t="shared" si="4564"/>
        <v>#N/A</v>
      </c>
      <c r="I2267" s="16" t="e">
        <f t="shared" si="4564"/>
        <v>#N/A</v>
      </c>
      <c r="J2267" s="40" t="e">
        <f t="shared" si="4564"/>
        <v>#N/A</v>
      </c>
      <c r="K2267" s="16" t="e">
        <f t="shared" si="4564"/>
        <v>#N/A</v>
      </c>
      <c r="L2267" s="40" t="e">
        <f t="shared" si="4233"/>
        <v>#N/A</v>
      </c>
      <c r="M2267" s="16" t="e">
        <f t="shared" si="4234"/>
        <v>#N/A</v>
      </c>
      <c r="N2267" s="16" t="e">
        <f t="shared" si="4235"/>
        <v>#N/A</v>
      </c>
      <c r="O2267" s="16" t="s">
        <v>71</v>
      </c>
      <c r="P2267" s="16" t="str">
        <f t="shared" si="6"/>
        <v/>
      </c>
      <c r="Q2267" s="41" t="e">
        <f t="shared" si="4236"/>
        <v>#N/A</v>
      </c>
      <c r="R2267" s="44"/>
      <c r="S2267" s="44"/>
      <c r="T2267" s="43"/>
      <c r="U2267" s="43" t="str">
        <f t="shared" si="8"/>
        <v>No</v>
      </c>
      <c r="V2267" s="25"/>
      <c r="W2267" s="25"/>
      <c r="X2267" s="25"/>
      <c r="Y2267" s="25"/>
      <c r="Z2267" s="25"/>
    </row>
    <row r="2268" spans="1:26" ht="15.75" customHeight="1" x14ac:dyDescent="0.25">
      <c r="A2268" s="25">
        <v>2266</v>
      </c>
      <c r="B2268" s="37" t="e">
        <f t="shared" ref="B2268:D2268" si="4565">VLOOKUP($A2268,[7]Hábitat!$A$2:$O$184,B$1,0)</f>
        <v>#N/A</v>
      </c>
      <c r="C2268" s="38" t="e">
        <f t="shared" si="4565"/>
        <v>#N/A</v>
      </c>
      <c r="D2268" s="39" t="e">
        <f t="shared" si="4565"/>
        <v>#N/A</v>
      </c>
      <c r="E2268" s="16" t="e">
        <f t="shared" si="1"/>
        <v>#N/A</v>
      </c>
      <c r="F2268" s="16" t="e">
        <f t="shared" ref="F2268:K2268" si="4566">VLOOKUP($A2268,[7]Hábitat!$A$2:$O$184,F$1,0)</f>
        <v>#N/A</v>
      </c>
      <c r="G2268" s="39" t="e">
        <f t="shared" si="4566"/>
        <v>#N/A</v>
      </c>
      <c r="H2268" s="16" t="e">
        <f t="shared" si="4566"/>
        <v>#N/A</v>
      </c>
      <c r="I2268" s="16" t="e">
        <f t="shared" si="4566"/>
        <v>#N/A</v>
      </c>
      <c r="J2268" s="40" t="e">
        <f t="shared" si="4566"/>
        <v>#N/A</v>
      </c>
      <c r="K2268" s="16" t="e">
        <f t="shared" si="4566"/>
        <v>#N/A</v>
      </c>
      <c r="L2268" s="40" t="e">
        <f t="shared" si="4233"/>
        <v>#N/A</v>
      </c>
      <c r="M2268" s="16" t="e">
        <f t="shared" si="4234"/>
        <v>#N/A</v>
      </c>
      <c r="N2268" s="16" t="e">
        <f t="shared" si="4235"/>
        <v>#N/A</v>
      </c>
      <c r="O2268" s="16" t="s">
        <v>71</v>
      </c>
      <c r="P2268" s="16" t="str">
        <f t="shared" si="6"/>
        <v/>
      </c>
      <c r="Q2268" s="41" t="e">
        <f t="shared" si="4236"/>
        <v>#N/A</v>
      </c>
      <c r="R2268" s="44"/>
      <c r="S2268" s="44"/>
      <c r="T2268" s="43"/>
      <c r="U2268" s="43" t="str">
        <f t="shared" si="8"/>
        <v>No</v>
      </c>
      <c r="V2268" s="25"/>
      <c r="W2268" s="25"/>
      <c r="X2268" s="25"/>
      <c r="Y2268" s="25"/>
      <c r="Z2268" s="25"/>
    </row>
    <row r="2269" spans="1:26" ht="15.75" customHeight="1" x14ac:dyDescent="0.25">
      <c r="A2269" s="25">
        <v>2267</v>
      </c>
      <c r="B2269" s="37" t="e">
        <f t="shared" ref="B2269:D2269" si="4567">VLOOKUP($A2269,[7]Hábitat!$A$2:$O$184,B$1,0)</f>
        <v>#N/A</v>
      </c>
      <c r="C2269" s="38" t="e">
        <f t="shared" si="4567"/>
        <v>#N/A</v>
      </c>
      <c r="D2269" s="39" t="e">
        <f t="shared" si="4567"/>
        <v>#N/A</v>
      </c>
      <c r="E2269" s="16" t="e">
        <f t="shared" si="1"/>
        <v>#N/A</v>
      </c>
      <c r="F2269" s="16" t="e">
        <f t="shared" ref="F2269:K2269" si="4568">VLOOKUP($A2269,[7]Hábitat!$A$2:$O$184,F$1,0)</f>
        <v>#N/A</v>
      </c>
      <c r="G2269" s="39" t="e">
        <f t="shared" si="4568"/>
        <v>#N/A</v>
      </c>
      <c r="H2269" s="16" t="e">
        <f t="shared" si="4568"/>
        <v>#N/A</v>
      </c>
      <c r="I2269" s="16" t="e">
        <f t="shared" si="4568"/>
        <v>#N/A</v>
      </c>
      <c r="J2269" s="40" t="e">
        <f t="shared" si="4568"/>
        <v>#N/A</v>
      </c>
      <c r="K2269" s="16" t="e">
        <f t="shared" si="4568"/>
        <v>#N/A</v>
      </c>
      <c r="L2269" s="40" t="e">
        <f t="shared" si="4233"/>
        <v>#N/A</v>
      </c>
      <c r="M2269" s="16" t="e">
        <f t="shared" si="4234"/>
        <v>#N/A</v>
      </c>
      <c r="N2269" s="16" t="e">
        <f t="shared" si="4235"/>
        <v>#N/A</v>
      </c>
      <c r="O2269" s="16" t="s">
        <v>71</v>
      </c>
      <c r="P2269" s="16" t="str">
        <f t="shared" si="6"/>
        <v/>
      </c>
      <c r="Q2269" s="41" t="e">
        <f t="shared" si="4236"/>
        <v>#N/A</v>
      </c>
      <c r="R2269" s="44"/>
      <c r="S2269" s="44"/>
      <c r="T2269" s="43"/>
      <c r="U2269" s="43" t="str">
        <f t="shared" si="8"/>
        <v>No</v>
      </c>
      <c r="V2269" s="25"/>
      <c r="W2269" s="25"/>
      <c r="X2269" s="25"/>
      <c r="Y2269" s="25"/>
      <c r="Z2269" s="25"/>
    </row>
    <row r="2270" spans="1:26" ht="15.75" customHeight="1" x14ac:dyDescent="0.25">
      <c r="A2270" s="25">
        <v>2268</v>
      </c>
      <c r="B2270" s="37" t="e">
        <f t="shared" ref="B2270:D2270" si="4569">VLOOKUP($A2270,[7]Hábitat!$A$2:$O$184,B$1,0)</f>
        <v>#N/A</v>
      </c>
      <c r="C2270" s="38" t="e">
        <f t="shared" si="4569"/>
        <v>#N/A</v>
      </c>
      <c r="D2270" s="39" t="e">
        <f t="shared" si="4569"/>
        <v>#N/A</v>
      </c>
      <c r="E2270" s="16" t="e">
        <f t="shared" si="1"/>
        <v>#N/A</v>
      </c>
      <c r="F2270" s="16" t="e">
        <f t="shared" ref="F2270:K2270" si="4570">VLOOKUP($A2270,[7]Hábitat!$A$2:$O$184,F$1,0)</f>
        <v>#N/A</v>
      </c>
      <c r="G2270" s="39" t="e">
        <f t="shared" si="4570"/>
        <v>#N/A</v>
      </c>
      <c r="H2270" s="16" t="e">
        <f t="shared" si="4570"/>
        <v>#N/A</v>
      </c>
      <c r="I2270" s="16" t="e">
        <f t="shared" si="4570"/>
        <v>#N/A</v>
      </c>
      <c r="J2270" s="40" t="e">
        <f t="shared" si="4570"/>
        <v>#N/A</v>
      </c>
      <c r="K2270" s="16" t="e">
        <f t="shared" si="4570"/>
        <v>#N/A</v>
      </c>
      <c r="L2270" s="40" t="e">
        <f t="shared" si="4233"/>
        <v>#N/A</v>
      </c>
      <c r="M2270" s="16" t="e">
        <f t="shared" si="4234"/>
        <v>#N/A</v>
      </c>
      <c r="N2270" s="16" t="e">
        <f t="shared" si="4235"/>
        <v>#N/A</v>
      </c>
      <c r="O2270" s="16" t="s">
        <v>71</v>
      </c>
      <c r="P2270" s="16" t="str">
        <f t="shared" si="6"/>
        <v/>
      </c>
      <c r="Q2270" s="41" t="e">
        <f t="shared" si="4236"/>
        <v>#N/A</v>
      </c>
      <c r="R2270" s="44"/>
      <c r="S2270" s="44"/>
      <c r="T2270" s="43"/>
      <c r="U2270" s="43" t="str">
        <f t="shared" si="8"/>
        <v>No</v>
      </c>
      <c r="V2270" s="25"/>
      <c r="W2270" s="25"/>
      <c r="X2270" s="25"/>
      <c r="Y2270" s="25"/>
      <c r="Z2270" s="25"/>
    </row>
    <row r="2271" spans="1:26" ht="15.75" customHeight="1" x14ac:dyDescent="0.25">
      <c r="A2271" s="25">
        <v>2269</v>
      </c>
      <c r="B2271" s="37" t="e">
        <f t="shared" ref="B2271:D2271" si="4571">VLOOKUP($A2271,[7]Hábitat!$A$2:$O$184,B$1,0)</f>
        <v>#N/A</v>
      </c>
      <c r="C2271" s="38" t="e">
        <f t="shared" si="4571"/>
        <v>#N/A</v>
      </c>
      <c r="D2271" s="39" t="e">
        <f t="shared" si="4571"/>
        <v>#N/A</v>
      </c>
      <c r="E2271" s="16" t="e">
        <f t="shared" si="1"/>
        <v>#N/A</v>
      </c>
      <c r="F2271" s="16" t="e">
        <f t="shared" ref="F2271:K2271" si="4572">VLOOKUP($A2271,[7]Hábitat!$A$2:$O$184,F$1,0)</f>
        <v>#N/A</v>
      </c>
      <c r="G2271" s="39" t="e">
        <f t="shared" si="4572"/>
        <v>#N/A</v>
      </c>
      <c r="H2271" s="16" t="e">
        <f t="shared" si="4572"/>
        <v>#N/A</v>
      </c>
      <c r="I2271" s="16" t="e">
        <f t="shared" si="4572"/>
        <v>#N/A</v>
      </c>
      <c r="J2271" s="40" t="e">
        <f t="shared" si="4572"/>
        <v>#N/A</v>
      </c>
      <c r="K2271" s="16" t="e">
        <f t="shared" si="4572"/>
        <v>#N/A</v>
      </c>
      <c r="L2271" s="40" t="e">
        <f t="shared" si="4233"/>
        <v>#N/A</v>
      </c>
      <c r="M2271" s="16" t="e">
        <f t="shared" si="4234"/>
        <v>#N/A</v>
      </c>
      <c r="N2271" s="16" t="e">
        <f t="shared" si="4235"/>
        <v>#N/A</v>
      </c>
      <c r="O2271" s="16" t="s">
        <v>71</v>
      </c>
      <c r="P2271" s="16" t="str">
        <f t="shared" si="6"/>
        <v/>
      </c>
      <c r="Q2271" s="41" t="e">
        <f t="shared" si="4236"/>
        <v>#N/A</v>
      </c>
      <c r="R2271" s="44"/>
      <c r="S2271" s="44"/>
      <c r="T2271" s="43"/>
      <c r="U2271" s="43" t="str">
        <f t="shared" si="8"/>
        <v>No</v>
      </c>
      <c r="V2271" s="25"/>
      <c r="W2271" s="25"/>
      <c r="X2271" s="25"/>
      <c r="Y2271" s="25"/>
      <c r="Z2271" s="25"/>
    </row>
    <row r="2272" spans="1:26" ht="15.75" customHeight="1" x14ac:dyDescent="0.25">
      <c r="A2272" s="25">
        <v>2270</v>
      </c>
      <c r="B2272" s="37" t="e">
        <f t="shared" ref="B2272:D2272" si="4573">VLOOKUP($A2272,[7]Hábitat!$A$2:$O$184,B$1,0)</f>
        <v>#N/A</v>
      </c>
      <c r="C2272" s="38" t="e">
        <f t="shared" si="4573"/>
        <v>#N/A</v>
      </c>
      <c r="D2272" s="39" t="e">
        <f t="shared" si="4573"/>
        <v>#N/A</v>
      </c>
      <c r="E2272" s="16" t="e">
        <f t="shared" si="1"/>
        <v>#N/A</v>
      </c>
      <c r="F2272" s="16" t="e">
        <f t="shared" ref="F2272:K2272" si="4574">VLOOKUP($A2272,[7]Hábitat!$A$2:$O$184,F$1,0)</f>
        <v>#N/A</v>
      </c>
      <c r="G2272" s="39" t="e">
        <f t="shared" si="4574"/>
        <v>#N/A</v>
      </c>
      <c r="H2272" s="16" t="e">
        <f t="shared" si="4574"/>
        <v>#N/A</v>
      </c>
      <c r="I2272" s="16" t="e">
        <f t="shared" si="4574"/>
        <v>#N/A</v>
      </c>
      <c r="J2272" s="40" t="e">
        <f t="shared" si="4574"/>
        <v>#N/A</v>
      </c>
      <c r="K2272" s="16" t="e">
        <f t="shared" si="4574"/>
        <v>#N/A</v>
      </c>
      <c r="L2272" s="40" t="e">
        <f t="shared" si="4233"/>
        <v>#N/A</v>
      </c>
      <c r="M2272" s="16" t="e">
        <f t="shared" si="4234"/>
        <v>#N/A</v>
      </c>
      <c r="N2272" s="16" t="e">
        <f t="shared" si="4235"/>
        <v>#N/A</v>
      </c>
      <c r="O2272" s="16" t="s">
        <v>71</v>
      </c>
      <c r="P2272" s="16" t="str">
        <f t="shared" si="6"/>
        <v/>
      </c>
      <c r="Q2272" s="41" t="e">
        <f t="shared" si="4236"/>
        <v>#N/A</v>
      </c>
      <c r="R2272" s="44"/>
      <c r="S2272" s="44"/>
      <c r="T2272" s="43"/>
      <c r="U2272" s="43" t="str">
        <f t="shared" si="8"/>
        <v>No</v>
      </c>
      <c r="V2272" s="25"/>
      <c r="W2272" s="25"/>
      <c r="X2272" s="25"/>
      <c r="Y2272" s="25"/>
      <c r="Z2272" s="25"/>
    </row>
    <row r="2273" spans="1:26" ht="15.75" customHeight="1" x14ac:dyDescent="0.25">
      <c r="A2273" s="25">
        <v>2271</v>
      </c>
      <c r="B2273" s="37" t="e">
        <f t="shared" ref="B2273:D2273" si="4575">VLOOKUP($A2273,[7]Hábitat!$A$2:$O$184,B$1,0)</f>
        <v>#N/A</v>
      </c>
      <c r="C2273" s="38" t="e">
        <f t="shared" si="4575"/>
        <v>#N/A</v>
      </c>
      <c r="D2273" s="39" t="e">
        <f t="shared" si="4575"/>
        <v>#N/A</v>
      </c>
      <c r="E2273" s="16" t="e">
        <f t="shared" si="1"/>
        <v>#N/A</v>
      </c>
      <c r="F2273" s="16" t="e">
        <f t="shared" ref="F2273:K2273" si="4576">VLOOKUP($A2273,[7]Hábitat!$A$2:$O$184,F$1,0)</f>
        <v>#N/A</v>
      </c>
      <c r="G2273" s="39" t="e">
        <f t="shared" si="4576"/>
        <v>#N/A</v>
      </c>
      <c r="H2273" s="16" t="e">
        <f t="shared" si="4576"/>
        <v>#N/A</v>
      </c>
      <c r="I2273" s="16" t="e">
        <f t="shared" si="4576"/>
        <v>#N/A</v>
      </c>
      <c r="J2273" s="40" t="e">
        <f t="shared" si="4576"/>
        <v>#N/A</v>
      </c>
      <c r="K2273" s="16" t="e">
        <f t="shared" si="4576"/>
        <v>#N/A</v>
      </c>
      <c r="L2273" s="40" t="e">
        <f t="shared" si="4233"/>
        <v>#N/A</v>
      </c>
      <c r="M2273" s="16" t="e">
        <f t="shared" si="4234"/>
        <v>#N/A</v>
      </c>
      <c r="N2273" s="16" t="e">
        <f t="shared" si="4235"/>
        <v>#N/A</v>
      </c>
      <c r="O2273" s="16" t="s">
        <v>71</v>
      </c>
      <c r="P2273" s="16" t="str">
        <f t="shared" si="6"/>
        <v/>
      </c>
      <c r="Q2273" s="41" t="e">
        <f t="shared" si="4236"/>
        <v>#N/A</v>
      </c>
      <c r="R2273" s="44"/>
      <c r="S2273" s="44"/>
      <c r="T2273" s="43"/>
      <c r="U2273" s="43" t="str">
        <f t="shared" si="8"/>
        <v>No</v>
      </c>
      <c r="V2273" s="25"/>
      <c r="W2273" s="25"/>
      <c r="X2273" s="25"/>
      <c r="Y2273" s="25"/>
      <c r="Z2273" s="25"/>
    </row>
    <row r="2274" spans="1:26" ht="15.75" customHeight="1" x14ac:dyDescent="0.25">
      <c r="A2274" s="25">
        <v>2272</v>
      </c>
      <c r="B2274" s="37" t="e">
        <f t="shared" ref="B2274:D2274" si="4577">VLOOKUP($A2274,[7]Hábitat!$A$2:$O$184,B$1,0)</f>
        <v>#N/A</v>
      </c>
      <c r="C2274" s="38" t="e">
        <f t="shared" si="4577"/>
        <v>#N/A</v>
      </c>
      <c r="D2274" s="39" t="e">
        <f t="shared" si="4577"/>
        <v>#N/A</v>
      </c>
      <c r="E2274" s="16" t="e">
        <f t="shared" si="1"/>
        <v>#N/A</v>
      </c>
      <c r="F2274" s="16" t="e">
        <f t="shared" ref="F2274:K2274" si="4578">VLOOKUP($A2274,[7]Hábitat!$A$2:$O$184,F$1,0)</f>
        <v>#N/A</v>
      </c>
      <c r="G2274" s="39" t="e">
        <f t="shared" si="4578"/>
        <v>#N/A</v>
      </c>
      <c r="H2274" s="16" t="e">
        <f t="shared" si="4578"/>
        <v>#N/A</v>
      </c>
      <c r="I2274" s="16" t="e">
        <f t="shared" si="4578"/>
        <v>#N/A</v>
      </c>
      <c r="J2274" s="40" t="e">
        <f t="shared" si="4578"/>
        <v>#N/A</v>
      </c>
      <c r="K2274" s="16" t="e">
        <f t="shared" si="4578"/>
        <v>#N/A</v>
      </c>
      <c r="L2274" s="40" t="e">
        <f t="shared" si="4233"/>
        <v>#N/A</v>
      </c>
      <c r="M2274" s="16" t="e">
        <f t="shared" si="4234"/>
        <v>#N/A</v>
      </c>
      <c r="N2274" s="16" t="e">
        <f t="shared" si="4235"/>
        <v>#N/A</v>
      </c>
      <c r="O2274" s="16" t="s">
        <v>71</v>
      </c>
      <c r="P2274" s="16" t="str">
        <f t="shared" si="6"/>
        <v/>
      </c>
      <c r="Q2274" s="41" t="e">
        <f t="shared" si="4236"/>
        <v>#N/A</v>
      </c>
      <c r="R2274" s="44"/>
      <c r="S2274" s="44"/>
      <c r="T2274" s="43"/>
      <c r="U2274" s="43" t="str">
        <f t="shared" si="8"/>
        <v>No</v>
      </c>
      <c r="V2274" s="25"/>
      <c r="W2274" s="25"/>
      <c r="X2274" s="25"/>
      <c r="Y2274" s="25"/>
      <c r="Z2274" s="25"/>
    </row>
    <row r="2275" spans="1:26" ht="15.75" customHeight="1" x14ac:dyDescent="0.25">
      <c r="A2275" s="25">
        <v>2273</v>
      </c>
      <c r="B2275" s="37" t="e">
        <f t="shared" ref="B2275:D2275" si="4579">VLOOKUP($A2275,[7]Hábitat!$A$2:$O$184,B$1,0)</f>
        <v>#N/A</v>
      </c>
      <c r="C2275" s="38" t="e">
        <f t="shared" si="4579"/>
        <v>#N/A</v>
      </c>
      <c r="D2275" s="39" t="e">
        <f t="shared" si="4579"/>
        <v>#N/A</v>
      </c>
      <c r="E2275" s="16" t="e">
        <f t="shared" si="1"/>
        <v>#N/A</v>
      </c>
      <c r="F2275" s="16" t="e">
        <f t="shared" ref="F2275:K2275" si="4580">VLOOKUP($A2275,[7]Hábitat!$A$2:$O$184,F$1,0)</f>
        <v>#N/A</v>
      </c>
      <c r="G2275" s="39" t="e">
        <f t="shared" si="4580"/>
        <v>#N/A</v>
      </c>
      <c r="H2275" s="16" t="e">
        <f t="shared" si="4580"/>
        <v>#N/A</v>
      </c>
      <c r="I2275" s="16" t="e">
        <f t="shared" si="4580"/>
        <v>#N/A</v>
      </c>
      <c r="J2275" s="40" t="e">
        <f t="shared" si="4580"/>
        <v>#N/A</v>
      </c>
      <c r="K2275" s="16" t="e">
        <f t="shared" si="4580"/>
        <v>#N/A</v>
      </c>
      <c r="L2275" s="40" t="e">
        <f t="shared" si="4233"/>
        <v>#N/A</v>
      </c>
      <c r="M2275" s="16" t="e">
        <f t="shared" si="4234"/>
        <v>#N/A</v>
      </c>
      <c r="N2275" s="16" t="e">
        <f t="shared" si="4235"/>
        <v>#N/A</v>
      </c>
      <c r="O2275" s="16" t="s">
        <v>71</v>
      </c>
      <c r="P2275" s="16" t="str">
        <f t="shared" si="6"/>
        <v/>
      </c>
      <c r="Q2275" s="41" t="e">
        <f t="shared" si="4236"/>
        <v>#N/A</v>
      </c>
      <c r="R2275" s="44"/>
      <c r="S2275" s="44"/>
      <c r="T2275" s="43"/>
      <c r="U2275" s="43" t="str">
        <f t="shared" si="8"/>
        <v>No</v>
      </c>
      <c r="V2275" s="25"/>
      <c r="W2275" s="25"/>
      <c r="X2275" s="25"/>
      <c r="Y2275" s="25"/>
      <c r="Z2275" s="25"/>
    </row>
    <row r="2276" spans="1:26" ht="15.75" customHeight="1" x14ac:dyDescent="0.25">
      <c r="A2276" s="25">
        <v>2274</v>
      </c>
      <c r="B2276" s="37" t="e">
        <f t="shared" ref="B2276:D2276" si="4581">VLOOKUP($A2276,[7]Hábitat!$A$2:$O$184,B$1,0)</f>
        <v>#N/A</v>
      </c>
      <c r="C2276" s="38" t="e">
        <f t="shared" si="4581"/>
        <v>#N/A</v>
      </c>
      <c r="D2276" s="39" t="e">
        <f t="shared" si="4581"/>
        <v>#N/A</v>
      </c>
      <c r="E2276" s="16" t="e">
        <f t="shared" si="1"/>
        <v>#N/A</v>
      </c>
      <c r="F2276" s="16" t="e">
        <f t="shared" ref="F2276:K2276" si="4582">VLOOKUP($A2276,[7]Hábitat!$A$2:$O$184,F$1,0)</f>
        <v>#N/A</v>
      </c>
      <c r="G2276" s="39" t="e">
        <f t="shared" si="4582"/>
        <v>#N/A</v>
      </c>
      <c r="H2276" s="16" t="e">
        <f t="shared" si="4582"/>
        <v>#N/A</v>
      </c>
      <c r="I2276" s="16" t="e">
        <f t="shared" si="4582"/>
        <v>#N/A</v>
      </c>
      <c r="J2276" s="40" t="e">
        <f t="shared" si="4582"/>
        <v>#N/A</v>
      </c>
      <c r="K2276" s="16" t="e">
        <f t="shared" si="4582"/>
        <v>#N/A</v>
      </c>
      <c r="L2276" s="40" t="e">
        <f t="shared" si="4233"/>
        <v>#N/A</v>
      </c>
      <c r="M2276" s="16" t="e">
        <f t="shared" si="4234"/>
        <v>#N/A</v>
      </c>
      <c r="N2276" s="16" t="e">
        <f t="shared" si="4235"/>
        <v>#N/A</v>
      </c>
      <c r="O2276" s="16" t="s">
        <v>71</v>
      </c>
      <c r="P2276" s="16" t="str">
        <f t="shared" si="6"/>
        <v/>
      </c>
      <c r="Q2276" s="41" t="e">
        <f t="shared" si="4236"/>
        <v>#N/A</v>
      </c>
      <c r="R2276" s="44"/>
      <c r="S2276" s="44"/>
      <c r="T2276" s="43"/>
      <c r="U2276" s="43" t="str">
        <f t="shared" si="8"/>
        <v>No</v>
      </c>
      <c r="V2276" s="25"/>
      <c r="W2276" s="25"/>
      <c r="X2276" s="25"/>
      <c r="Y2276" s="25"/>
      <c r="Z2276" s="25"/>
    </row>
    <row r="2277" spans="1:26" ht="15.75" customHeight="1" x14ac:dyDescent="0.25">
      <c r="A2277" s="25">
        <v>2275</v>
      </c>
      <c r="B2277" s="37" t="e">
        <f t="shared" ref="B2277:D2277" si="4583">VLOOKUP($A2277,[7]Hábitat!$A$2:$O$184,B$1,0)</f>
        <v>#N/A</v>
      </c>
      <c r="C2277" s="38" t="e">
        <f t="shared" si="4583"/>
        <v>#N/A</v>
      </c>
      <c r="D2277" s="39" t="e">
        <f t="shared" si="4583"/>
        <v>#N/A</v>
      </c>
      <c r="E2277" s="16" t="e">
        <f t="shared" si="1"/>
        <v>#N/A</v>
      </c>
      <c r="F2277" s="16" t="e">
        <f t="shared" ref="F2277:K2277" si="4584">VLOOKUP($A2277,[7]Hábitat!$A$2:$O$184,F$1,0)</f>
        <v>#N/A</v>
      </c>
      <c r="G2277" s="39" t="e">
        <f t="shared" si="4584"/>
        <v>#N/A</v>
      </c>
      <c r="H2277" s="16" t="e">
        <f t="shared" si="4584"/>
        <v>#N/A</v>
      </c>
      <c r="I2277" s="16" t="e">
        <f t="shared" si="4584"/>
        <v>#N/A</v>
      </c>
      <c r="J2277" s="40" t="e">
        <f t="shared" si="4584"/>
        <v>#N/A</v>
      </c>
      <c r="K2277" s="16" t="e">
        <f t="shared" si="4584"/>
        <v>#N/A</v>
      </c>
      <c r="L2277" s="40" t="e">
        <f t="shared" si="4233"/>
        <v>#N/A</v>
      </c>
      <c r="M2277" s="16" t="e">
        <f t="shared" si="4234"/>
        <v>#N/A</v>
      </c>
      <c r="N2277" s="16" t="e">
        <f t="shared" si="4235"/>
        <v>#N/A</v>
      </c>
      <c r="O2277" s="16" t="s">
        <v>71</v>
      </c>
      <c r="P2277" s="16" t="str">
        <f t="shared" si="6"/>
        <v/>
      </c>
      <c r="Q2277" s="41" t="e">
        <f t="shared" si="4236"/>
        <v>#N/A</v>
      </c>
      <c r="R2277" s="44"/>
      <c r="S2277" s="44"/>
      <c r="T2277" s="43"/>
      <c r="U2277" s="43" t="str">
        <f t="shared" si="8"/>
        <v>No</v>
      </c>
      <c r="V2277" s="25"/>
      <c r="W2277" s="25"/>
      <c r="X2277" s="25"/>
      <c r="Y2277" s="25"/>
      <c r="Z2277" s="25"/>
    </row>
    <row r="2278" spans="1:26" ht="15.75" customHeight="1" x14ac:dyDescent="0.25">
      <c r="A2278" s="25">
        <v>2276</v>
      </c>
      <c r="B2278" s="37" t="e">
        <f t="shared" ref="B2278:D2278" si="4585">VLOOKUP($A2278,[7]Hábitat!$A$2:$O$184,B$1,0)</f>
        <v>#N/A</v>
      </c>
      <c r="C2278" s="38" t="e">
        <f t="shared" si="4585"/>
        <v>#N/A</v>
      </c>
      <c r="D2278" s="39" t="e">
        <f t="shared" si="4585"/>
        <v>#N/A</v>
      </c>
      <c r="E2278" s="16" t="e">
        <f t="shared" si="1"/>
        <v>#N/A</v>
      </c>
      <c r="F2278" s="16" t="e">
        <f t="shared" ref="F2278:K2278" si="4586">VLOOKUP($A2278,[7]Hábitat!$A$2:$O$184,F$1,0)</f>
        <v>#N/A</v>
      </c>
      <c r="G2278" s="39" t="e">
        <f t="shared" si="4586"/>
        <v>#N/A</v>
      </c>
      <c r="H2278" s="16" t="e">
        <f t="shared" si="4586"/>
        <v>#N/A</v>
      </c>
      <c r="I2278" s="16" t="e">
        <f t="shared" si="4586"/>
        <v>#N/A</v>
      </c>
      <c r="J2278" s="40" t="e">
        <f t="shared" si="4586"/>
        <v>#N/A</v>
      </c>
      <c r="K2278" s="16" t="e">
        <f t="shared" si="4586"/>
        <v>#N/A</v>
      </c>
      <c r="L2278" s="40" t="e">
        <f t="shared" si="4233"/>
        <v>#N/A</v>
      </c>
      <c r="M2278" s="16" t="e">
        <f t="shared" si="4234"/>
        <v>#N/A</v>
      </c>
      <c r="N2278" s="16" t="e">
        <f t="shared" si="4235"/>
        <v>#N/A</v>
      </c>
      <c r="O2278" s="16" t="s">
        <v>71</v>
      </c>
      <c r="P2278" s="16" t="str">
        <f t="shared" si="6"/>
        <v/>
      </c>
      <c r="Q2278" s="41" t="e">
        <f t="shared" si="4236"/>
        <v>#N/A</v>
      </c>
      <c r="R2278" s="44"/>
      <c r="S2278" s="44"/>
      <c r="T2278" s="43"/>
      <c r="U2278" s="43" t="str">
        <f t="shared" si="8"/>
        <v>No</v>
      </c>
      <c r="V2278" s="25"/>
      <c r="W2278" s="25"/>
      <c r="X2278" s="25"/>
      <c r="Y2278" s="25"/>
      <c r="Z2278" s="25"/>
    </row>
    <row r="2279" spans="1:26" ht="15.75" customHeight="1" x14ac:dyDescent="0.25">
      <c r="A2279" s="25">
        <v>2277</v>
      </c>
      <c r="B2279" s="37" t="e">
        <f t="shared" ref="B2279:D2279" si="4587">VLOOKUP($A2279,[7]Hábitat!$A$2:$O$184,B$1,0)</f>
        <v>#N/A</v>
      </c>
      <c r="C2279" s="38" t="e">
        <f t="shared" si="4587"/>
        <v>#N/A</v>
      </c>
      <c r="D2279" s="39" t="e">
        <f t="shared" si="4587"/>
        <v>#N/A</v>
      </c>
      <c r="E2279" s="16" t="e">
        <f t="shared" si="1"/>
        <v>#N/A</v>
      </c>
      <c r="F2279" s="16" t="e">
        <f t="shared" ref="F2279:K2279" si="4588">VLOOKUP($A2279,[7]Hábitat!$A$2:$O$184,F$1,0)</f>
        <v>#N/A</v>
      </c>
      <c r="G2279" s="39" t="e">
        <f t="shared" si="4588"/>
        <v>#N/A</v>
      </c>
      <c r="H2279" s="16" t="e">
        <f t="shared" si="4588"/>
        <v>#N/A</v>
      </c>
      <c r="I2279" s="16" t="e">
        <f t="shared" si="4588"/>
        <v>#N/A</v>
      </c>
      <c r="J2279" s="40" t="e">
        <f t="shared" si="4588"/>
        <v>#N/A</v>
      </c>
      <c r="K2279" s="16" t="e">
        <f t="shared" si="4588"/>
        <v>#N/A</v>
      </c>
      <c r="L2279" s="40" t="e">
        <f t="shared" si="4233"/>
        <v>#N/A</v>
      </c>
      <c r="M2279" s="16" t="e">
        <f t="shared" si="4234"/>
        <v>#N/A</v>
      </c>
      <c r="N2279" s="16" t="e">
        <f t="shared" si="4235"/>
        <v>#N/A</v>
      </c>
      <c r="O2279" s="16" t="s">
        <v>71</v>
      </c>
      <c r="P2279" s="16" t="str">
        <f t="shared" si="6"/>
        <v/>
      </c>
      <c r="Q2279" s="41" t="e">
        <f t="shared" si="4236"/>
        <v>#N/A</v>
      </c>
      <c r="R2279" s="44"/>
      <c r="S2279" s="44"/>
      <c r="T2279" s="43"/>
      <c r="U2279" s="43" t="str">
        <f t="shared" si="8"/>
        <v>No</v>
      </c>
      <c r="V2279" s="25"/>
      <c r="W2279" s="25"/>
      <c r="X2279" s="25"/>
      <c r="Y2279" s="25"/>
      <c r="Z2279" s="25"/>
    </row>
    <row r="2280" spans="1:26" ht="15.75" customHeight="1" x14ac:dyDescent="0.25">
      <c r="A2280" s="25">
        <v>2278</v>
      </c>
      <c r="B2280" s="37" t="e">
        <f t="shared" ref="B2280:D2280" si="4589">VLOOKUP($A2280,[7]Hábitat!$A$2:$O$184,B$1,0)</f>
        <v>#N/A</v>
      </c>
      <c r="C2280" s="38" t="e">
        <f t="shared" si="4589"/>
        <v>#N/A</v>
      </c>
      <c r="D2280" s="39" t="e">
        <f t="shared" si="4589"/>
        <v>#N/A</v>
      </c>
      <c r="E2280" s="16" t="e">
        <f t="shared" si="1"/>
        <v>#N/A</v>
      </c>
      <c r="F2280" s="16" t="e">
        <f t="shared" ref="F2280:K2280" si="4590">VLOOKUP($A2280,[7]Hábitat!$A$2:$O$184,F$1,0)</f>
        <v>#N/A</v>
      </c>
      <c r="G2280" s="39" t="e">
        <f t="shared" si="4590"/>
        <v>#N/A</v>
      </c>
      <c r="H2280" s="16" t="e">
        <f t="shared" si="4590"/>
        <v>#N/A</v>
      </c>
      <c r="I2280" s="16" t="e">
        <f t="shared" si="4590"/>
        <v>#N/A</v>
      </c>
      <c r="J2280" s="40" t="e">
        <f t="shared" si="4590"/>
        <v>#N/A</v>
      </c>
      <c r="K2280" s="16" t="e">
        <f t="shared" si="4590"/>
        <v>#N/A</v>
      </c>
      <c r="L2280" s="40" t="e">
        <f t="shared" si="4233"/>
        <v>#N/A</v>
      </c>
      <c r="M2280" s="16" t="e">
        <f t="shared" si="4234"/>
        <v>#N/A</v>
      </c>
      <c r="N2280" s="16" t="e">
        <f t="shared" si="4235"/>
        <v>#N/A</v>
      </c>
      <c r="O2280" s="16" t="s">
        <v>71</v>
      </c>
      <c r="P2280" s="16" t="str">
        <f t="shared" si="6"/>
        <v/>
      </c>
      <c r="Q2280" s="41" t="e">
        <f t="shared" si="4236"/>
        <v>#N/A</v>
      </c>
      <c r="R2280" s="44"/>
      <c r="S2280" s="44"/>
      <c r="T2280" s="43"/>
      <c r="U2280" s="43" t="str">
        <f t="shared" si="8"/>
        <v>No</v>
      </c>
      <c r="V2280" s="25"/>
      <c r="W2280" s="25"/>
      <c r="X2280" s="25"/>
      <c r="Y2280" s="25"/>
      <c r="Z2280" s="25"/>
    </row>
    <row r="2281" spans="1:26" ht="15.75" customHeight="1" x14ac:dyDescent="0.25">
      <c r="A2281" s="25">
        <v>2279</v>
      </c>
      <c r="B2281" s="37" t="e">
        <f t="shared" ref="B2281:D2281" si="4591">VLOOKUP($A2281,[7]Hábitat!$A$2:$O$184,B$1,0)</f>
        <v>#N/A</v>
      </c>
      <c r="C2281" s="38" t="e">
        <f t="shared" si="4591"/>
        <v>#N/A</v>
      </c>
      <c r="D2281" s="39" t="e">
        <f t="shared" si="4591"/>
        <v>#N/A</v>
      </c>
      <c r="E2281" s="16" t="e">
        <f t="shared" si="1"/>
        <v>#N/A</v>
      </c>
      <c r="F2281" s="16" t="e">
        <f t="shared" ref="F2281:K2281" si="4592">VLOOKUP($A2281,[7]Hábitat!$A$2:$O$184,F$1,0)</f>
        <v>#N/A</v>
      </c>
      <c r="G2281" s="39" t="e">
        <f t="shared" si="4592"/>
        <v>#N/A</v>
      </c>
      <c r="H2281" s="16" t="e">
        <f t="shared" si="4592"/>
        <v>#N/A</v>
      </c>
      <c r="I2281" s="16" t="e">
        <f t="shared" si="4592"/>
        <v>#N/A</v>
      </c>
      <c r="J2281" s="40" t="e">
        <f t="shared" si="4592"/>
        <v>#N/A</v>
      </c>
      <c r="K2281" s="16" t="e">
        <f t="shared" si="4592"/>
        <v>#N/A</v>
      </c>
      <c r="L2281" s="40" t="e">
        <f t="shared" si="4233"/>
        <v>#N/A</v>
      </c>
      <c r="M2281" s="16" t="e">
        <f t="shared" si="4234"/>
        <v>#N/A</v>
      </c>
      <c r="N2281" s="16" t="e">
        <f t="shared" si="4235"/>
        <v>#N/A</v>
      </c>
      <c r="O2281" s="16" t="s">
        <v>71</v>
      </c>
      <c r="P2281" s="16" t="str">
        <f t="shared" si="6"/>
        <v/>
      </c>
      <c r="Q2281" s="41" t="e">
        <f t="shared" si="4236"/>
        <v>#N/A</v>
      </c>
      <c r="R2281" s="44"/>
      <c r="S2281" s="44"/>
      <c r="T2281" s="43"/>
      <c r="U2281" s="43" t="str">
        <f t="shared" si="8"/>
        <v>No</v>
      </c>
      <c r="V2281" s="25"/>
      <c r="W2281" s="25"/>
      <c r="X2281" s="25"/>
      <c r="Y2281" s="25"/>
      <c r="Z2281" s="25"/>
    </row>
    <row r="2282" spans="1:26" ht="15.75" customHeight="1" x14ac:dyDescent="0.25">
      <c r="A2282" s="25">
        <v>2280</v>
      </c>
      <c r="B2282" s="37" t="e">
        <f t="shared" ref="B2282:D2282" si="4593">VLOOKUP($A2282,[7]Hábitat!$A$2:$O$184,B$1,0)</f>
        <v>#N/A</v>
      </c>
      <c r="C2282" s="38" t="e">
        <f t="shared" si="4593"/>
        <v>#N/A</v>
      </c>
      <c r="D2282" s="39" t="e">
        <f t="shared" si="4593"/>
        <v>#N/A</v>
      </c>
      <c r="E2282" s="16" t="e">
        <f t="shared" si="1"/>
        <v>#N/A</v>
      </c>
      <c r="F2282" s="16" t="e">
        <f t="shared" ref="F2282:K2282" si="4594">VLOOKUP($A2282,[7]Hábitat!$A$2:$O$184,F$1,0)</f>
        <v>#N/A</v>
      </c>
      <c r="G2282" s="39" t="e">
        <f t="shared" si="4594"/>
        <v>#N/A</v>
      </c>
      <c r="H2282" s="16" t="e">
        <f t="shared" si="4594"/>
        <v>#N/A</v>
      </c>
      <c r="I2282" s="16" t="e">
        <f t="shared" si="4594"/>
        <v>#N/A</v>
      </c>
      <c r="J2282" s="40" t="e">
        <f t="shared" si="4594"/>
        <v>#N/A</v>
      </c>
      <c r="K2282" s="16" t="e">
        <f t="shared" si="4594"/>
        <v>#N/A</v>
      </c>
      <c r="L2282" s="40" t="e">
        <f t="shared" si="4233"/>
        <v>#N/A</v>
      </c>
      <c r="M2282" s="16" t="e">
        <f t="shared" si="4234"/>
        <v>#N/A</v>
      </c>
      <c r="N2282" s="16" t="e">
        <f t="shared" si="4235"/>
        <v>#N/A</v>
      </c>
      <c r="O2282" s="16" t="s">
        <v>71</v>
      </c>
      <c r="P2282" s="16" t="str">
        <f t="shared" si="6"/>
        <v/>
      </c>
      <c r="Q2282" s="41" t="e">
        <f t="shared" si="4236"/>
        <v>#N/A</v>
      </c>
      <c r="R2282" s="44"/>
      <c r="S2282" s="44"/>
      <c r="T2282" s="43"/>
      <c r="U2282" s="43" t="str">
        <f t="shared" si="8"/>
        <v>No</v>
      </c>
      <c r="V2282" s="25"/>
      <c r="W2282" s="25"/>
      <c r="X2282" s="25"/>
      <c r="Y2282" s="25"/>
      <c r="Z2282" s="25"/>
    </row>
    <row r="2283" spans="1:26" ht="15.75" customHeight="1" x14ac:dyDescent="0.25">
      <c r="A2283" s="25">
        <v>2281</v>
      </c>
      <c r="B2283" s="37" t="e">
        <f t="shared" ref="B2283:D2283" si="4595">VLOOKUP($A2283,[7]Hábitat!$A$2:$O$184,B$1,0)</f>
        <v>#N/A</v>
      </c>
      <c r="C2283" s="38" t="e">
        <f t="shared" si="4595"/>
        <v>#N/A</v>
      </c>
      <c r="D2283" s="39" t="e">
        <f t="shared" si="4595"/>
        <v>#N/A</v>
      </c>
      <c r="E2283" s="16" t="e">
        <f t="shared" si="1"/>
        <v>#N/A</v>
      </c>
      <c r="F2283" s="16" t="e">
        <f t="shared" ref="F2283:K2283" si="4596">VLOOKUP($A2283,[7]Hábitat!$A$2:$O$184,F$1,0)</f>
        <v>#N/A</v>
      </c>
      <c r="G2283" s="39" t="e">
        <f t="shared" si="4596"/>
        <v>#N/A</v>
      </c>
      <c r="H2283" s="16" t="e">
        <f t="shared" si="4596"/>
        <v>#N/A</v>
      </c>
      <c r="I2283" s="16" t="e">
        <f t="shared" si="4596"/>
        <v>#N/A</v>
      </c>
      <c r="J2283" s="40" t="e">
        <f t="shared" si="4596"/>
        <v>#N/A</v>
      </c>
      <c r="K2283" s="16" t="e">
        <f t="shared" si="4596"/>
        <v>#N/A</v>
      </c>
      <c r="L2283" s="40" t="e">
        <f t="shared" si="4233"/>
        <v>#N/A</v>
      </c>
      <c r="M2283" s="16" t="e">
        <f t="shared" si="4234"/>
        <v>#N/A</v>
      </c>
      <c r="N2283" s="16" t="e">
        <f t="shared" si="4235"/>
        <v>#N/A</v>
      </c>
      <c r="O2283" s="16" t="s">
        <v>71</v>
      </c>
      <c r="P2283" s="16" t="str">
        <f t="shared" si="6"/>
        <v/>
      </c>
      <c r="Q2283" s="41" t="e">
        <f t="shared" si="4236"/>
        <v>#N/A</v>
      </c>
      <c r="R2283" s="44"/>
      <c r="S2283" s="44"/>
      <c r="T2283" s="43"/>
      <c r="U2283" s="43" t="str">
        <f t="shared" si="8"/>
        <v>No</v>
      </c>
      <c r="V2283" s="25"/>
      <c r="W2283" s="25"/>
      <c r="X2283" s="25"/>
      <c r="Y2283" s="25"/>
      <c r="Z2283" s="25"/>
    </row>
    <row r="2284" spans="1:26" ht="15.75" customHeight="1" x14ac:dyDescent="0.25">
      <c r="A2284" s="25">
        <v>2282</v>
      </c>
      <c r="B2284" s="37" t="e">
        <f t="shared" ref="B2284:D2284" si="4597">VLOOKUP($A2284,[7]Hábitat!$A$2:$O$184,B$1,0)</f>
        <v>#N/A</v>
      </c>
      <c r="C2284" s="38" t="e">
        <f t="shared" si="4597"/>
        <v>#N/A</v>
      </c>
      <c r="D2284" s="39" t="e">
        <f t="shared" si="4597"/>
        <v>#N/A</v>
      </c>
      <c r="E2284" s="16" t="e">
        <f t="shared" si="1"/>
        <v>#N/A</v>
      </c>
      <c r="F2284" s="16" t="e">
        <f t="shared" ref="F2284:K2284" si="4598">VLOOKUP($A2284,[7]Hábitat!$A$2:$O$184,F$1,0)</f>
        <v>#N/A</v>
      </c>
      <c r="G2284" s="39" t="e">
        <f t="shared" si="4598"/>
        <v>#N/A</v>
      </c>
      <c r="H2284" s="16" t="e">
        <f t="shared" si="4598"/>
        <v>#N/A</v>
      </c>
      <c r="I2284" s="16" t="e">
        <f t="shared" si="4598"/>
        <v>#N/A</v>
      </c>
      <c r="J2284" s="40" t="e">
        <f t="shared" si="4598"/>
        <v>#N/A</v>
      </c>
      <c r="K2284" s="16" t="e">
        <f t="shared" si="4598"/>
        <v>#N/A</v>
      </c>
      <c r="L2284" s="40" t="e">
        <f t="shared" si="4233"/>
        <v>#N/A</v>
      </c>
      <c r="M2284" s="16" t="e">
        <f t="shared" si="4234"/>
        <v>#N/A</v>
      </c>
      <c r="N2284" s="16" t="e">
        <f t="shared" si="4235"/>
        <v>#N/A</v>
      </c>
      <c r="O2284" s="16" t="s">
        <v>71</v>
      </c>
      <c r="P2284" s="16" t="str">
        <f t="shared" si="6"/>
        <v/>
      </c>
      <c r="Q2284" s="41" t="e">
        <f t="shared" si="4236"/>
        <v>#N/A</v>
      </c>
      <c r="R2284" s="44"/>
      <c r="S2284" s="44"/>
      <c r="T2284" s="43"/>
      <c r="U2284" s="43" t="str">
        <f t="shared" si="8"/>
        <v>No</v>
      </c>
      <c r="V2284" s="25"/>
      <c r="W2284" s="25"/>
      <c r="X2284" s="25"/>
      <c r="Y2284" s="25"/>
      <c r="Z2284" s="25"/>
    </row>
    <row r="2285" spans="1:26" ht="15.75" customHeight="1" x14ac:dyDescent="0.25">
      <c r="A2285" s="25">
        <v>2283</v>
      </c>
      <c r="B2285" s="37" t="e">
        <f t="shared" ref="B2285:D2285" si="4599">VLOOKUP($A2285,[7]Hábitat!$A$2:$O$184,B$1,0)</f>
        <v>#N/A</v>
      </c>
      <c r="C2285" s="38" t="e">
        <f t="shared" si="4599"/>
        <v>#N/A</v>
      </c>
      <c r="D2285" s="39" t="e">
        <f t="shared" si="4599"/>
        <v>#N/A</v>
      </c>
      <c r="E2285" s="16" t="e">
        <f t="shared" si="1"/>
        <v>#N/A</v>
      </c>
      <c r="F2285" s="16" t="e">
        <f t="shared" ref="F2285:K2285" si="4600">VLOOKUP($A2285,[7]Hábitat!$A$2:$O$184,F$1,0)</f>
        <v>#N/A</v>
      </c>
      <c r="G2285" s="39" t="e">
        <f t="shared" si="4600"/>
        <v>#N/A</v>
      </c>
      <c r="H2285" s="16" t="e">
        <f t="shared" si="4600"/>
        <v>#N/A</v>
      </c>
      <c r="I2285" s="16" t="e">
        <f t="shared" si="4600"/>
        <v>#N/A</v>
      </c>
      <c r="J2285" s="40" t="e">
        <f t="shared" si="4600"/>
        <v>#N/A</v>
      </c>
      <c r="K2285" s="16" t="e">
        <f t="shared" si="4600"/>
        <v>#N/A</v>
      </c>
      <c r="L2285" s="40" t="e">
        <f t="shared" si="4233"/>
        <v>#N/A</v>
      </c>
      <c r="M2285" s="16" t="e">
        <f t="shared" si="4234"/>
        <v>#N/A</v>
      </c>
      <c r="N2285" s="16" t="e">
        <f t="shared" si="4235"/>
        <v>#N/A</v>
      </c>
      <c r="O2285" s="16" t="s">
        <v>71</v>
      </c>
      <c r="P2285" s="16" t="str">
        <f t="shared" si="6"/>
        <v/>
      </c>
      <c r="Q2285" s="41" t="e">
        <f t="shared" si="4236"/>
        <v>#N/A</v>
      </c>
      <c r="R2285" s="44"/>
      <c r="S2285" s="44"/>
      <c r="T2285" s="43"/>
      <c r="U2285" s="43" t="str">
        <f t="shared" si="8"/>
        <v>No</v>
      </c>
      <c r="V2285" s="25"/>
      <c r="W2285" s="25"/>
      <c r="X2285" s="25"/>
      <c r="Y2285" s="25"/>
      <c r="Z2285" s="25"/>
    </row>
    <row r="2286" spans="1:26" ht="15.75" customHeight="1" x14ac:dyDescent="0.25">
      <c r="A2286" s="25">
        <v>2284</v>
      </c>
      <c r="B2286" s="37" t="e">
        <f t="shared" ref="B2286:D2286" si="4601">VLOOKUP($A2286,[7]Hábitat!$A$2:$O$184,B$1,0)</f>
        <v>#N/A</v>
      </c>
      <c r="C2286" s="38" t="e">
        <f t="shared" si="4601"/>
        <v>#N/A</v>
      </c>
      <c r="D2286" s="39" t="e">
        <f t="shared" si="4601"/>
        <v>#N/A</v>
      </c>
      <c r="E2286" s="16" t="e">
        <f t="shared" si="1"/>
        <v>#N/A</v>
      </c>
      <c r="F2286" s="16" t="e">
        <f t="shared" ref="F2286:K2286" si="4602">VLOOKUP($A2286,[7]Hábitat!$A$2:$O$184,F$1,0)</f>
        <v>#N/A</v>
      </c>
      <c r="G2286" s="39" t="e">
        <f t="shared" si="4602"/>
        <v>#N/A</v>
      </c>
      <c r="H2286" s="16" t="e">
        <f t="shared" si="4602"/>
        <v>#N/A</v>
      </c>
      <c r="I2286" s="16" t="e">
        <f t="shared" si="4602"/>
        <v>#N/A</v>
      </c>
      <c r="J2286" s="40" t="e">
        <f t="shared" si="4602"/>
        <v>#N/A</v>
      </c>
      <c r="K2286" s="16" t="e">
        <f t="shared" si="4602"/>
        <v>#N/A</v>
      </c>
      <c r="L2286" s="40" t="e">
        <f t="shared" si="4233"/>
        <v>#N/A</v>
      </c>
      <c r="M2286" s="16" t="e">
        <f t="shared" si="4234"/>
        <v>#N/A</v>
      </c>
      <c r="N2286" s="16" t="e">
        <f t="shared" si="4235"/>
        <v>#N/A</v>
      </c>
      <c r="O2286" s="16" t="s">
        <v>71</v>
      </c>
      <c r="P2286" s="16" t="str">
        <f t="shared" si="6"/>
        <v/>
      </c>
      <c r="Q2286" s="41" t="e">
        <f t="shared" si="4236"/>
        <v>#N/A</v>
      </c>
      <c r="R2286" s="44"/>
      <c r="S2286" s="44"/>
      <c r="T2286" s="43"/>
      <c r="U2286" s="43" t="str">
        <f t="shared" si="8"/>
        <v>No</v>
      </c>
      <c r="V2286" s="25"/>
      <c r="W2286" s="25"/>
      <c r="X2286" s="25"/>
      <c r="Y2286" s="25"/>
      <c r="Z2286" s="25"/>
    </row>
    <row r="2287" spans="1:26" ht="15.75" customHeight="1" x14ac:dyDescent="0.25">
      <c r="A2287" s="25">
        <v>2285</v>
      </c>
      <c r="B2287" s="37" t="e">
        <f t="shared" ref="B2287:D2287" si="4603">VLOOKUP($A2287,[7]Hábitat!$A$2:$O$184,B$1,0)</f>
        <v>#N/A</v>
      </c>
      <c r="C2287" s="38" t="e">
        <f t="shared" si="4603"/>
        <v>#N/A</v>
      </c>
      <c r="D2287" s="39" t="e">
        <f t="shared" si="4603"/>
        <v>#N/A</v>
      </c>
      <c r="E2287" s="16" t="e">
        <f t="shared" si="1"/>
        <v>#N/A</v>
      </c>
      <c r="F2287" s="16" t="e">
        <f t="shared" ref="F2287:K2287" si="4604">VLOOKUP($A2287,[7]Hábitat!$A$2:$O$184,F$1,0)</f>
        <v>#N/A</v>
      </c>
      <c r="G2287" s="39" t="e">
        <f t="shared" si="4604"/>
        <v>#N/A</v>
      </c>
      <c r="H2287" s="16" t="e">
        <f t="shared" si="4604"/>
        <v>#N/A</v>
      </c>
      <c r="I2287" s="16" t="e">
        <f t="shared" si="4604"/>
        <v>#N/A</v>
      </c>
      <c r="J2287" s="40" t="e">
        <f t="shared" si="4604"/>
        <v>#N/A</v>
      </c>
      <c r="K2287" s="16" t="e">
        <f t="shared" si="4604"/>
        <v>#N/A</v>
      </c>
      <c r="L2287" s="40" t="e">
        <f t="shared" si="4233"/>
        <v>#N/A</v>
      </c>
      <c r="M2287" s="16" t="e">
        <f t="shared" si="4234"/>
        <v>#N/A</v>
      </c>
      <c r="N2287" s="16" t="e">
        <f t="shared" si="4235"/>
        <v>#N/A</v>
      </c>
      <c r="O2287" s="16" t="s">
        <v>71</v>
      </c>
      <c r="P2287" s="16" t="str">
        <f t="shared" si="6"/>
        <v/>
      </c>
      <c r="Q2287" s="41" t="e">
        <f t="shared" si="4236"/>
        <v>#N/A</v>
      </c>
      <c r="R2287" s="44"/>
      <c r="S2287" s="44"/>
      <c r="T2287" s="43"/>
      <c r="U2287" s="43" t="str">
        <f t="shared" si="8"/>
        <v>No</v>
      </c>
      <c r="V2287" s="25"/>
      <c r="W2287" s="25"/>
      <c r="X2287" s="25"/>
      <c r="Y2287" s="25"/>
      <c r="Z2287" s="25"/>
    </row>
    <row r="2288" spans="1:26" ht="15.75" customHeight="1" x14ac:dyDescent="0.25">
      <c r="A2288" s="25">
        <v>2286</v>
      </c>
      <c r="B2288" s="37" t="e">
        <f t="shared" ref="B2288:D2288" si="4605">VLOOKUP($A2288,[7]Hábitat!$A$2:$O$184,B$1,0)</f>
        <v>#N/A</v>
      </c>
      <c r="C2288" s="38" t="e">
        <f t="shared" si="4605"/>
        <v>#N/A</v>
      </c>
      <c r="D2288" s="39" t="e">
        <f t="shared" si="4605"/>
        <v>#N/A</v>
      </c>
      <c r="E2288" s="16" t="e">
        <f t="shared" si="1"/>
        <v>#N/A</v>
      </c>
      <c r="F2288" s="16" t="e">
        <f t="shared" ref="F2288:K2288" si="4606">VLOOKUP($A2288,[7]Hábitat!$A$2:$O$184,F$1,0)</f>
        <v>#N/A</v>
      </c>
      <c r="G2288" s="39" t="e">
        <f t="shared" si="4606"/>
        <v>#N/A</v>
      </c>
      <c r="H2288" s="16" t="e">
        <f t="shared" si="4606"/>
        <v>#N/A</v>
      </c>
      <c r="I2288" s="16" t="e">
        <f t="shared" si="4606"/>
        <v>#N/A</v>
      </c>
      <c r="J2288" s="40" t="e">
        <f t="shared" si="4606"/>
        <v>#N/A</v>
      </c>
      <c r="K2288" s="16" t="e">
        <f t="shared" si="4606"/>
        <v>#N/A</v>
      </c>
      <c r="L2288" s="40" t="e">
        <f t="shared" si="4233"/>
        <v>#N/A</v>
      </c>
      <c r="M2288" s="16" t="e">
        <f t="shared" si="4234"/>
        <v>#N/A</v>
      </c>
      <c r="N2288" s="16" t="e">
        <f t="shared" si="4235"/>
        <v>#N/A</v>
      </c>
      <c r="O2288" s="16" t="s">
        <v>71</v>
      </c>
      <c r="P2288" s="16" t="str">
        <f t="shared" si="6"/>
        <v/>
      </c>
      <c r="Q2288" s="41" t="e">
        <f t="shared" si="4236"/>
        <v>#N/A</v>
      </c>
      <c r="R2288" s="44"/>
      <c r="S2288" s="44"/>
      <c r="T2288" s="43"/>
      <c r="U2288" s="43" t="str">
        <f t="shared" si="8"/>
        <v>No</v>
      </c>
      <c r="V2288" s="25"/>
      <c r="W2288" s="25"/>
      <c r="X2288" s="25"/>
      <c r="Y2288" s="25"/>
      <c r="Z2288" s="25"/>
    </row>
    <row r="2289" spans="1:26" ht="15.75" customHeight="1" x14ac:dyDescent="0.25">
      <c r="A2289" s="25">
        <v>2287</v>
      </c>
      <c r="B2289" s="37" t="e">
        <f t="shared" ref="B2289:D2289" si="4607">VLOOKUP($A2289,[7]Hábitat!$A$2:$O$184,B$1,0)</f>
        <v>#N/A</v>
      </c>
      <c r="C2289" s="38" t="e">
        <f t="shared" si="4607"/>
        <v>#N/A</v>
      </c>
      <c r="D2289" s="39" t="e">
        <f t="shared" si="4607"/>
        <v>#N/A</v>
      </c>
      <c r="E2289" s="16" t="e">
        <f t="shared" si="1"/>
        <v>#N/A</v>
      </c>
      <c r="F2289" s="16" t="e">
        <f t="shared" ref="F2289:K2289" si="4608">VLOOKUP($A2289,[7]Hábitat!$A$2:$O$184,F$1,0)</f>
        <v>#N/A</v>
      </c>
      <c r="G2289" s="39" t="e">
        <f t="shared" si="4608"/>
        <v>#N/A</v>
      </c>
      <c r="H2289" s="16" t="e">
        <f t="shared" si="4608"/>
        <v>#N/A</v>
      </c>
      <c r="I2289" s="16" t="e">
        <f t="shared" si="4608"/>
        <v>#N/A</v>
      </c>
      <c r="J2289" s="40" t="e">
        <f t="shared" si="4608"/>
        <v>#N/A</v>
      </c>
      <c r="K2289" s="16" t="e">
        <f t="shared" si="4608"/>
        <v>#N/A</v>
      </c>
      <c r="L2289" s="40" t="e">
        <f t="shared" si="4233"/>
        <v>#N/A</v>
      </c>
      <c r="M2289" s="16" t="e">
        <f t="shared" si="4234"/>
        <v>#N/A</v>
      </c>
      <c r="N2289" s="16" t="e">
        <f t="shared" si="4235"/>
        <v>#N/A</v>
      </c>
      <c r="O2289" s="16" t="s">
        <v>71</v>
      </c>
      <c r="P2289" s="16" t="str">
        <f t="shared" si="6"/>
        <v/>
      </c>
      <c r="Q2289" s="41" t="e">
        <f t="shared" si="4236"/>
        <v>#N/A</v>
      </c>
      <c r="R2289" s="44"/>
      <c r="S2289" s="44"/>
      <c r="T2289" s="43"/>
      <c r="U2289" s="43" t="str">
        <f t="shared" si="8"/>
        <v>No</v>
      </c>
      <c r="V2289" s="25"/>
      <c r="W2289" s="25"/>
      <c r="X2289" s="25"/>
      <c r="Y2289" s="25"/>
      <c r="Z2289" s="25"/>
    </row>
    <row r="2290" spans="1:26" ht="15.75" customHeight="1" x14ac:dyDescent="0.25">
      <c r="A2290" s="25">
        <v>2288</v>
      </c>
      <c r="B2290" s="37" t="e">
        <f t="shared" ref="B2290:D2290" si="4609">VLOOKUP($A2290,[7]Hábitat!$A$2:$O$184,B$1,0)</f>
        <v>#N/A</v>
      </c>
      <c r="C2290" s="38" t="e">
        <f t="shared" si="4609"/>
        <v>#N/A</v>
      </c>
      <c r="D2290" s="39" t="e">
        <f t="shared" si="4609"/>
        <v>#N/A</v>
      </c>
      <c r="E2290" s="16" t="e">
        <f t="shared" si="1"/>
        <v>#N/A</v>
      </c>
      <c r="F2290" s="16" t="e">
        <f t="shared" ref="F2290:K2290" si="4610">VLOOKUP($A2290,[7]Hábitat!$A$2:$O$184,F$1,0)</f>
        <v>#N/A</v>
      </c>
      <c r="G2290" s="39" t="e">
        <f t="shared" si="4610"/>
        <v>#N/A</v>
      </c>
      <c r="H2290" s="16" t="e">
        <f t="shared" si="4610"/>
        <v>#N/A</v>
      </c>
      <c r="I2290" s="16" t="e">
        <f t="shared" si="4610"/>
        <v>#N/A</v>
      </c>
      <c r="J2290" s="40" t="e">
        <f t="shared" si="4610"/>
        <v>#N/A</v>
      </c>
      <c r="K2290" s="16" t="e">
        <f t="shared" si="4610"/>
        <v>#N/A</v>
      </c>
      <c r="L2290" s="40" t="e">
        <f t="shared" si="4233"/>
        <v>#N/A</v>
      </c>
      <c r="M2290" s="16" t="e">
        <f t="shared" si="4234"/>
        <v>#N/A</v>
      </c>
      <c r="N2290" s="16" t="e">
        <f t="shared" si="4235"/>
        <v>#N/A</v>
      </c>
      <c r="O2290" s="16" t="s">
        <v>71</v>
      </c>
      <c r="P2290" s="16" t="str">
        <f t="shared" si="6"/>
        <v/>
      </c>
      <c r="Q2290" s="41" t="e">
        <f t="shared" si="4236"/>
        <v>#N/A</v>
      </c>
      <c r="R2290" s="44"/>
      <c r="S2290" s="44"/>
      <c r="T2290" s="43"/>
      <c r="U2290" s="43" t="str">
        <f t="shared" si="8"/>
        <v>No</v>
      </c>
      <c r="V2290" s="25"/>
      <c r="W2290" s="25"/>
      <c r="X2290" s="25"/>
      <c r="Y2290" s="25"/>
      <c r="Z2290" s="25"/>
    </row>
    <row r="2291" spans="1:26" ht="15.75" customHeight="1" x14ac:dyDescent="0.25">
      <c r="A2291" s="25">
        <v>2289</v>
      </c>
      <c r="B2291" s="37" t="e">
        <f t="shared" ref="B2291:D2291" si="4611">VLOOKUP($A2291,[7]Hábitat!$A$2:$O$184,B$1,0)</f>
        <v>#N/A</v>
      </c>
      <c r="C2291" s="38" t="e">
        <f t="shared" si="4611"/>
        <v>#N/A</v>
      </c>
      <c r="D2291" s="39" t="e">
        <f t="shared" si="4611"/>
        <v>#N/A</v>
      </c>
      <c r="E2291" s="16" t="e">
        <f t="shared" si="1"/>
        <v>#N/A</v>
      </c>
      <c r="F2291" s="16" t="e">
        <f t="shared" ref="F2291:K2291" si="4612">VLOOKUP($A2291,[7]Hábitat!$A$2:$O$184,F$1,0)</f>
        <v>#N/A</v>
      </c>
      <c r="G2291" s="39" t="e">
        <f t="shared" si="4612"/>
        <v>#N/A</v>
      </c>
      <c r="H2291" s="16" t="e">
        <f t="shared" si="4612"/>
        <v>#N/A</v>
      </c>
      <c r="I2291" s="16" t="e">
        <f t="shared" si="4612"/>
        <v>#N/A</v>
      </c>
      <c r="J2291" s="40" t="e">
        <f t="shared" si="4612"/>
        <v>#N/A</v>
      </c>
      <c r="K2291" s="16" t="e">
        <f t="shared" si="4612"/>
        <v>#N/A</v>
      </c>
      <c r="L2291" s="40" t="e">
        <f t="shared" si="4233"/>
        <v>#N/A</v>
      </c>
      <c r="M2291" s="16" t="e">
        <f t="shared" si="4234"/>
        <v>#N/A</v>
      </c>
      <c r="N2291" s="16" t="e">
        <f t="shared" si="4235"/>
        <v>#N/A</v>
      </c>
      <c r="O2291" s="16" t="s">
        <v>71</v>
      </c>
      <c r="P2291" s="16" t="str">
        <f t="shared" si="6"/>
        <v/>
      </c>
      <c r="Q2291" s="41" t="e">
        <f t="shared" si="4236"/>
        <v>#N/A</v>
      </c>
      <c r="R2291" s="44"/>
      <c r="S2291" s="44"/>
      <c r="T2291" s="43"/>
      <c r="U2291" s="43" t="str">
        <f t="shared" si="8"/>
        <v>No</v>
      </c>
      <c r="V2291" s="25"/>
      <c r="W2291" s="25"/>
      <c r="X2291" s="25"/>
      <c r="Y2291" s="25"/>
      <c r="Z2291" s="25"/>
    </row>
    <row r="2292" spans="1:26" ht="15.75" customHeight="1" x14ac:dyDescent="0.25">
      <c r="A2292" s="25">
        <v>2290</v>
      </c>
      <c r="B2292" s="37" t="e">
        <f t="shared" ref="B2292:D2292" si="4613">VLOOKUP($A2292,[7]Hábitat!$A$2:$O$184,B$1,0)</f>
        <v>#N/A</v>
      </c>
      <c r="C2292" s="38" t="e">
        <f t="shared" si="4613"/>
        <v>#N/A</v>
      </c>
      <c r="D2292" s="39" t="e">
        <f t="shared" si="4613"/>
        <v>#N/A</v>
      </c>
      <c r="E2292" s="16" t="e">
        <f t="shared" si="1"/>
        <v>#N/A</v>
      </c>
      <c r="F2292" s="16" t="e">
        <f t="shared" ref="F2292:K2292" si="4614">VLOOKUP($A2292,[7]Hábitat!$A$2:$O$184,F$1,0)</f>
        <v>#N/A</v>
      </c>
      <c r="G2292" s="39" t="e">
        <f t="shared" si="4614"/>
        <v>#N/A</v>
      </c>
      <c r="H2292" s="16" t="e">
        <f t="shared" si="4614"/>
        <v>#N/A</v>
      </c>
      <c r="I2292" s="16" t="e">
        <f t="shared" si="4614"/>
        <v>#N/A</v>
      </c>
      <c r="J2292" s="40" t="e">
        <f t="shared" si="4614"/>
        <v>#N/A</v>
      </c>
      <c r="K2292" s="16" t="e">
        <f t="shared" si="4614"/>
        <v>#N/A</v>
      </c>
      <c r="L2292" s="40" t="e">
        <f t="shared" si="4233"/>
        <v>#N/A</v>
      </c>
      <c r="M2292" s="16" t="e">
        <f t="shared" si="4234"/>
        <v>#N/A</v>
      </c>
      <c r="N2292" s="16" t="e">
        <f t="shared" si="4235"/>
        <v>#N/A</v>
      </c>
      <c r="O2292" s="16" t="s">
        <v>71</v>
      </c>
      <c r="P2292" s="16" t="str">
        <f t="shared" si="6"/>
        <v/>
      </c>
      <c r="Q2292" s="41" t="e">
        <f t="shared" si="4236"/>
        <v>#N/A</v>
      </c>
      <c r="R2292" s="44"/>
      <c r="S2292" s="44"/>
      <c r="T2292" s="43"/>
      <c r="U2292" s="43" t="str">
        <f t="shared" si="8"/>
        <v>No</v>
      </c>
      <c r="V2292" s="25"/>
      <c r="W2292" s="25"/>
      <c r="X2292" s="25"/>
      <c r="Y2292" s="25"/>
      <c r="Z2292" s="25"/>
    </row>
    <row r="2293" spans="1:26" ht="15.75" customHeight="1" x14ac:dyDescent="0.25">
      <c r="A2293" s="25">
        <v>2291</v>
      </c>
      <c r="B2293" s="37" t="e">
        <f t="shared" ref="B2293:D2293" si="4615">VLOOKUP($A2293,[7]Hábitat!$A$2:$O$184,B$1,0)</f>
        <v>#N/A</v>
      </c>
      <c r="C2293" s="38" t="e">
        <f t="shared" si="4615"/>
        <v>#N/A</v>
      </c>
      <c r="D2293" s="39" t="e">
        <f t="shared" si="4615"/>
        <v>#N/A</v>
      </c>
      <c r="E2293" s="16" t="e">
        <f t="shared" si="1"/>
        <v>#N/A</v>
      </c>
      <c r="F2293" s="16" t="e">
        <f t="shared" ref="F2293:K2293" si="4616">VLOOKUP($A2293,[7]Hábitat!$A$2:$O$184,F$1,0)</f>
        <v>#N/A</v>
      </c>
      <c r="G2293" s="39" t="e">
        <f t="shared" si="4616"/>
        <v>#N/A</v>
      </c>
      <c r="H2293" s="16" t="e">
        <f t="shared" si="4616"/>
        <v>#N/A</v>
      </c>
      <c r="I2293" s="16" t="e">
        <f t="shared" si="4616"/>
        <v>#N/A</v>
      </c>
      <c r="J2293" s="40" t="e">
        <f t="shared" si="4616"/>
        <v>#N/A</v>
      </c>
      <c r="K2293" s="16" t="e">
        <f t="shared" si="4616"/>
        <v>#N/A</v>
      </c>
      <c r="L2293" s="40" t="e">
        <f t="shared" si="4233"/>
        <v>#N/A</v>
      </c>
      <c r="M2293" s="16" t="e">
        <f t="shared" si="4234"/>
        <v>#N/A</v>
      </c>
      <c r="N2293" s="16" t="e">
        <f t="shared" si="4235"/>
        <v>#N/A</v>
      </c>
      <c r="O2293" s="16" t="s">
        <v>71</v>
      </c>
      <c r="P2293" s="16" t="str">
        <f t="shared" si="6"/>
        <v/>
      </c>
      <c r="Q2293" s="41" t="e">
        <f t="shared" si="4236"/>
        <v>#N/A</v>
      </c>
      <c r="R2293" s="44"/>
      <c r="S2293" s="44"/>
      <c r="T2293" s="43"/>
      <c r="U2293" s="43" t="str">
        <f t="shared" si="8"/>
        <v>No</v>
      </c>
      <c r="V2293" s="25"/>
      <c r="W2293" s="25"/>
      <c r="X2293" s="25"/>
      <c r="Y2293" s="25"/>
      <c r="Z2293" s="25"/>
    </row>
    <row r="2294" spans="1:26" ht="15.75" customHeight="1" x14ac:dyDescent="0.25">
      <c r="A2294" s="25">
        <v>2292</v>
      </c>
      <c r="B2294" s="37" t="e">
        <f t="shared" ref="B2294:D2294" si="4617">VLOOKUP($A2294,[7]Hábitat!$A$2:$O$184,B$1,0)</f>
        <v>#N/A</v>
      </c>
      <c r="C2294" s="38" t="e">
        <f t="shared" si="4617"/>
        <v>#N/A</v>
      </c>
      <c r="D2294" s="39" t="e">
        <f t="shared" si="4617"/>
        <v>#N/A</v>
      </c>
      <c r="E2294" s="16" t="e">
        <f t="shared" si="1"/>
        <v>#N/A</v>
      </c>
      <c r="F2294" s="16" t="e">
        <f t="shared" ref="F2294:K2294" si="4618">VLOOKUP($A2294,[7]Hábitat!$A$2:$O$184,F$1,0)</f>
        <v>#N/A</v>
      </c>
      <c r="G2294" s="39" t="e">
        <f t="shared" si="4618"/>
        <v>#N/A</v>
      </c>
      <c r="H2294" s="16" t="e">
        <f t="shared" si="4618"/>
        <v>#N/A</v>
      </c>
      <c r="I2294" s="16" t="e">
        <f t="shared" si="4618"/>
        <v>#N/A</v>
      </c>
      <c r="J2294" s="40" t="e">
        <f t="shared" si="4618"/>
        <v>#N/A</v>
      </c>
      <c r="K2294" s="16" t="e">
        <f t="shared" si="4618"/>
        <v>#N/A</v>
      </c>
      <c r="L2294" s="40" t="e">
        <f t="shared" si="4233"/>
        <v>#N/A</v>
      </c>
      <c r="M2294" s="16" t="e">
        <f t="shared" si="4234"/>
        <v>#N/A</v>
      </c>
      <c r="N2294" s="16" t="e">
        <f t="shared" si="4235"/>
        <v>#N/A</v>
      </c>
      <c r="O2294" s="16" t="s">
        <v>71</v>
      </c>
      <c r="P2294" s="16" t="str">
        <f t="shared" si="6"/>
        <v/>
      </c>
      <c r="Q2294" s="41" t="e">
        <f t="shared" si="4236"/>
        <v>#N/A</v>
      </c>
      <c r="R2294" s="44"/>
      <c r="S2294" s="44"/>
      <c r="T2294" s="43"/>
      <c r="U2294" s="43" t="str">
        <f t="shared" si="8"/>
        <v>No</v>
      </c>
      <c r="V2294" s="25"/>
      <c r="W2294" s="25"/>
      <c r="X2294" s="25"/>
      <c r="Y2294" s="25"/>
      <c r="Z2294" s="25"/>
    </row>
    <row r="2295" spans="1:26" ht="15.75" customHeight="1" x14ac:dyDescent="0.25">
      <c r="A2295" s="25">
        <v>2293</v>
      </c>
      <c r="B2295" s="37" t="e">
        <f t="shared" ref="B2295:D2295" si="4619">VLOOKUP($A2295,[7]Hábitat!$A$2:$O$184,B$1,0)</f>
        <v>#N/A</v>
      </c>
      <c r="C2295" s="38" t="e">
        <f t="shared" si="4619"/>
        <v>#N/A</v>
      </c>
      <c r="D2295" s="39" t="e">
        <f t="shared" si="4619"/>
        <v>#N/A</v>
      </c>
      <c r="E2295" s="16" t="e">
        <f t="shared" si="1"/>
        <v>#N/A</v>
      </c>
      <c r="F2295" s="16" t="e">
        <f t="shared" ref="F2295:K2295" si="4620">VLOOKUP($A2295,[7]Hábitat!$A$2:$O$184,F$1,0)</f>
        <v>#N/A</v>
      </c>
      <c r="G2295" s="39" t="e">
        <f t="shared" si="4620"/>
        <v>#N/A</v>
      </c>
      <c r="H2295" s="16" t="e">
        <f t="shared" si="4620"/>
        <v>#N/A</v>
      </c>
      <c r="I2295" s="16" t="e">
        <f t="shared" si="4620"/>
        <v>#N/A</v>
      </c>
      <c r="J2295" s="40" t="e">
        <f t="shared" si="4620"/>
        <v>#N/A</v>
      </c>
      <c r="K2295" s="16" t="e">
        <f t="shared" si="4620"/>
        <v>#N/A</v>
      </c>
      <c r="L2295" s="40" t="e">
        <f t="shared" si="4233"/>
        <v>#N/A</v>
      </c>
      <c r="M2295" s="16" t="e">
        <f t="shared" si="4234"/>
        <v>#N/A</v>
      </c>
      <c r="N2295" s="16" t="e">
        <f t="shared" si="4235"/>
        <v>#N/A</v>
      </c>
      <c r="O2295" s="16" t="s">
        <v>71</v>
      </c>
      <c r="P2295" s="16" t="str">
        <f t="shared" si="6"/>
        <v/>
      </c>
      <c r="Q2295" s="41" t="e">
        <f t="shared" si="4236"/>
        <v>#N/A</v>
      </c>
      <c r="R2295" s="44"/>
      <c r="S2295" s="44"/>
      <c r="T2295" s="43"/>
      <c r="U2295" s="43" t="str">
        <f t="shared" si="8"/>
        <v>No</v>
      </c>
      <c r="V2295" s="25"/>
      <c r="W2295" s="25"/>
      <c r="X2295" s="25"/>
      <c r="Y2295" s="25"/>
      <c r="Z2295" s="25"/>
    </row>
    <row r="2296" spans="1:26" ht="15.75" customHeight="1" x14ac:dyDescent="0.25">
      <c r="A2296" s="25">
        <v>2294</v>
      </c>
      <c r="B2296" s="37" t="e">
        <f t="shared" ref="B2296:D2296" si="4621">VLOOKUP($A2296,[7]Hábitat!$A$2:$O$184,B$1,0)</f>
        <v>#N/A</v>
      </c>
      <c r="C2296" s="38" t="e">
        <f t="shared" si="4621"/>
        <v>#N/A</v>
      </c>
      <c r="D2296" s="39" t="e">
        <f t="shared" si="4621"/>
        <v>#N/A</v>
      </c>
      <c r="E2296" s="16" t="e">
        <f t="shared" si="1"/>
        <v>#N/A</v>
      </c>
      <c r="F2296" s="16" t="e">
        <f t="shared" ref="F2296:K2296" si="4622">VLOOKUP($A2296,[7]Hábitat!$A$2:$O$184,F$1,0)</f>
        <v>#N/A</v>
      </c>
      <c r="G2296" s="39" t="e">
        <f t="shared" si="4622"/>
        <v>#N/A</v>
      </c>
      <c r="H2296" s="16" t="e">
        <f t="shared" si="4622"/>
        <v>#N/A</v>
      </c>
      <c r="I2296" s="16" t="e">
        <f t="shared" si="4622"/>
        <v>#N/A</v>
      </c>
      <c r="J2296" s="40" t="e">
        <f t="shared" si="4622"/>
        <v>#N/A</v>
      </c>
      <c r="K2296" s="16" t="e">
        <f t="shared" si="4622"/>
        <v>#N/A</v>
      </c>
      <c r="L2296" s="40" t="e">
        <f t="shared" si="4233"/>
        <v>#N/A</v>
      </c>
      <c r="M2296" s="16" t="e">
        <f t="shared" si="4234"/>
        <v>#N/A</v>
      </c>
      <c r="N2296" s="16" t="e">
        <f t="shared" si="4235"/>
        <v>#N/A</v>
      </c>
      <c r="O2296" s="16" t="s">
        <v>71</v>
      </c>
      <c r="P2296" s="16" t="str">
        <f t="shared" si="6"/>
        <v/>
      </c>
      <c r="Q2296" s="41" t="e">
        <f t="shared" si="4236"/>
        <v>#N/A</v>
      </c>
      <c r="R2296" s="44"/>
      <c r="S2296" s="44"/>
      <c r="T2296" s="43"/>
      <c r="U2296" s="43" t="str">
        <f t="shared" si="8"/>
        <v>No</v>
      </c>
      <c r="V2296" s="25"/>
      <c r="W2296" s="25"/>
      <c r="X2296" s="25"/>
      <c r="Y2296" s="25"/>
      <c r="Z2296" s="25"/>
    </row>
    <row r="2297" spans="1:26" ht="15.75" customHeight="1" x14ac:dyDescent="0.25">
      <c r="A2297" s="25">
        <v>2295</v>
      </c>
      <c r="B2297" s="37" t="e">
        <f t="shared" ref="B2297:D2297" si="4623">VLOOKUP($A2297,[7]Hábitat!$A$2:$O$184,B$1,0)</f>
        <v>#N/A</v>
      </c>
      <c r="C2297" s="38" t="e">
        <f t="shared" si="4623"/>
        <v>#N/A</v>
      </c>
      <c r="D2297" s="39" t="e">
        <f t="shared" si="4623"/>
        <v>#N/A</v>
      </c>
      <c r="E2297" s="16" t="e">
        <f t="shared" si="1"/>
        <v>#N/A</v>
      </c>
      <c r="F2297" s="16" t="e">
        <f t="shared" ref="F2297:K2297" si="4624">VLOOKUP($A2297,[7]Hábitat!$A$2:$O$184,F$1,0)</f>
        <v>#N/A</v>
      </c>
      <c r="G2297" s="39" t="e">
        <f t="shared" si="4624"/>
        <v>#N/A</v>
      </c>
      <c r="H2297" s="16" t="e">
        <f t="shared" si="4624"/>
        <v>#N/A</v>
      </c>
      <c r="I2297" s="16" t="e">
        <f t="shared" si="4624"/>
        <v>#N/A</v>
      </c>
      <c r="J2297" s="40" t="e">
        <f t="shared" si="4624"/>
        <v>#N/A</v>
      </c>
      <c r="K2297" s="16" t="e">
        <f t="shared" si="4624"/>
        <v>#N/A</v>
      </c>
      <c r="L2297" s="40" t="e">
        <f t="shared" si="4233"/>
        <v>#N/A</v>
      </c>
      <c r="M2297" s="16" t="e">
        <f t="shared" si="4234"/>
        <v>#N/A</v>
      </c>
      <c r="N2297" s="16" t="e">
        <f t="shared" si="4235"/>
        <v>#N/A</v>
      </c>
      <c r="O2297" s="16" t="s">
        <v>71</v>
      </c>
      <c r="P2297" s="16" t="str">
        <f t="shared" si="6"/>
        <v/>
      </c>
      <c r="Q2297" s="41" t="e">
        <f t="shared" si="4236"/>
        <v>#N/A</v>
      </c>
      <c r="R2297" s="44"/>
      <c r="S2297" s="44"/>
      <c r="T2297" s="43"/>
      <c r="U2297" s="43" t="str">
        <f t="shared" si="8"/>
        <v>No</v>
      </c>
      <c r="V2297" s="25"/>
      <c r="W2297" s="25"/>
      <c r="X2297" s="25"/>
      <c r="Y2297" s="25"/>
      <c r="Z2297" s="25"/>
    </row>
    <row r="2298" spans="1:26" ht="15.75" customHeight="1" x14ac:dyDescent="0.25">
      <c r="A2298" s="25">
        <v>2296</v>
      </c>
      <c r="B2298" s="37" t="e">
        <f t="shared" ref="B2298:D2298" si="4625">VLOOKUP($A2298,[7]Hábitat!$A$2:$O$184,B$1,0)</f>
        <v>#N/A</v>
      </c>
      <c r="C2298" s="38" t="e">
        <f t="shared" si="4625"/>
        <v>#N/A</v>
      </c>
      <c r="D2298" s="39" t="e">
        <f t="shared" si="4625"/>
        <v>#N/A</v>
      </c>
      <c r="E2298" s="16" t="e">
        <f t="shared" si="1"/>
        <v>#N/A</v>
      </c>
      <c r="F2298" s="16" t="e">
        <f t="shared" ref="F2298:K2298" si="4626">VLOOKUP($A2298,[7]Hábitat!$A$2:$O$184,F$1,0)</f>
        <v>#N/A</v>
      </c>
      <c r="G2298" s="39" t="e">
        <f t="shared" si="4626"/>
        <v>#N/A</v>
      </c>
      <c r="H2298" s="16" t="e">
        <f t="shared" si="4626"/>
        <v>#N/A</v>
      </c>
      <c r="I2298" s="16" t="e">
        <f t="shared" si="4626"/>
        <v>#N/A</v>
      </c>
      <c r="J2298" s="40" t="e">
        <f t="shared" si="4626"/>
        <v>#N/A</v>
      </c>
      <c r="K2298" s="16" t="e">
        <f t="shared" si="4626"/>
        <v>#N/A</v>
      </c>
      <c r="L2298" s="40" t="e">
        <f t="shared" si="4233"/>
        <v>#N/A</v>
      </c>
      <c r="M2298" s="16" t="e">
        <f t="shared" si="4234"/>
        <v>#N/A</v>
      </c>
      <c r="N2298" s="16" t="e">
        <f t="shared" si="4235"/>
        <v>#N/A</v>
      </c>
      <c r="O2298" s="16" t="s">
        <v>71</v>
      </c>
      <c r="P2298" s="16" t="str">
        <f t="shared" si="6"/>
        <v/>
      </c>
      <c r="Q2298" s="41" t="e">
        <f t="shared" si="4236"/>
        <v>#N/A</v>
      </c>
      <c r="R2298" s="44"/>
      <c r="S2298" s="44"/>
      <c r="T2298" s="43"/>
      <c r="U2298" s="43" t="str">
        <f t="shared" si="8"/>
        <v>No</v>
      </c>
      <c r="V2298" s="25"/>
      <c r="W2298" s="25"/>
      <c r="X2298" s="25"/>
      <c r="Y2298" s="25"/>
      <c r="Z2298" s="25"/>
    </row>
    <row r="2299" spans="1:26" ht="15.75" customHeight="1" x14ac:dyDescent="0.25">
      <c r="A2299" s="25">
        <v>2297</v>
      </c>
      <c r="B2299" s="37" t="e">
        <f t="shared" ref="B2299:D2299" si="4627">VLOOKUP($A2299,[7]Hábitat!$A$2:$O$184,B$1,0)</f>
        <v>#N/A</v>
      </c>
      <c r="C2299" s="38" t="e">
        <f t="shared" si="4627"/>
        <v>#N/A</v>
      </c>
      <c r="D2299" s="39" t="e">
        <f t="shared" si="4627"/>
        <v>#N/A</v>
      </c>
      <c r="E2299" s="16" t="e">
        <f t="shared" si="1"/>
        <v>#N/A</v>
      </c>
      <c r="F2299" s="16" t="e">
        <f t="shared" ref="F2299:K2299" si="4628">VLOOKUP($A2299,[7]Hábitat!$A$2:$O$184,F$1,0)</f>
        <v>#N/A</v>
      </c>
      <c r="G2299" s="39" t="e">
        <f t="shared" si="4628"/>
        <v>#N/A</v>
      </c>
      <c r="H2299" s="16" t="e">
        <f t="shared" si="4628"/>
        <v>#N/A</v>
      </c>
      <c r="I2299" s="16" t="e">
        <f t="shared" si="4628"/>
        <v>#N/A</v>
      </c>
      <c r="J2299" s="40" t="e">
        <f t="shared" si="4628"/>
        <v>#N/A</v>
      </c>
      <c r="K2299" s="16" t="e">
        <f t="shared" si="4628"/>
        <v>#N/A</v>
      </c>
      <c r="L2299" s="40" t="e">
        <f t="shared" si="4233"/>
        <v>#N/A</v>
      </c>
      <c r="M2299" s="16" t="e">
        <f t="shared" si="4234"/>
        <v>#N/A</v>
      </c>
      <c r="N2299" s="16" t="e">
        <f t="shared" si="4235"/>
        <v>#N/A</v>
      </c>
      <c r="O2299" s="16" t="s">
        <v>71</v>
      </c>
      <c r="P2299" s="16" t="str">
        <f t="shared" si="6"/>
        <v/>
      </c>
      <c r="Q2299" s="41" t="e">
        <f t="shared" si="4236"/>
        <v>#N/A</v>
      </c>
      <c r="R2299" s="44"/>
      <c r="S2299" s="44"/>
      <c r="T2299" s="43"/>
      <c r="U2299" s="43" t="str">
        <f t="shared" si="8"/>
        <v>No</v>
      </c>
      <c r="V2299" s="25"/>
      <c r="W2299" s="25"/>
      <c r="X2299" s="25"/>
      <c r="Y2299" s="25"/>
      <c r="Z2299" s="25"/>
    </row>
    <row r="2300" spans="1:26" ht="15.75" customHeight="1" x14ac:dyDescent="0.25">
      <c r="A2300" s="25">
        <v>2298</v>
      </c>
      <c r="B2300" s="37" t="e">
        <f t="shared" ref="B2300:D2300" si="4629">VLOOKUP($A2300,[7]Hábitat!$A$2:$O$184,B$1,0)</f>
        <v>#N/A</v>
      </c>
      <c r="C2300" s="38" t="e">
        <f t="shared" si="4629"/>
        <v>#N/A</v>
      </c>
      <c r="D2300" s="39" t="e">
        <f t="shared" si="4629"/>
        <v>#N/A</v>
      </c>
      <c r="E2300" s="16" t="e">
        <f t="shared" si="1"/>
        <v>#N/A</v>
      </c>
      <c r="F2300" s="16" t="e">
        <f t="shared" ref="F2300:K2300" si="4630">VLOOKUP($A2300,[7]Hábitat!$A$2:$O$184,F$1,0)</f>
        <v>#N/A</v>
      </c>
      <c r="G2300" s="39" t="e">
        <f t="shared" si="4630"/>
        <v>#N/A</v>
      </c>
      <c r="H2300" s="16" t="e">
        <f t="shared" si="4630"/>
        <v>#N/A</v>
      </c>
      <c r="I2300" s="16" t="e">
        <f t="shared" si="4630"/>
        <v>#N/A</v>
      </c>
      <c r="J2300" s="40" t="e">
        <f t="shared" si="4630"/>
        <v>#N/A</v>
      </c>
      <c r="K2300" s="16" t="e">
        <f t="shared" si="4630"/>
        <v>#N/A</v>
      </c>
      <c r="L2300" s="40" t="e">
        <f t="shared" si="4233"/>
        <v>#N/A</v>
      </c>
      <c r="M2300" s="16" t="e">
        <f t="shared" si="4234"/>
        <v>#N/A</v>
      </c>
      <c r="N2300" s="16" t="e">
        <f t="shared" si="4235"/>
        <v>#N/A</v>
      </c>
      <c r="O2300" s="16" t="s">
        <v>71</v>
      </c>
      <c r="P2300" s="16" t="str">
        <f t="shared" si="6"/>
        <v/>
      </c>
      <c r="Q2300" s="41" t="e">
        <f t="shared" si="4236"/>
        <v>#N/A</v>
      </c>
      <c r="R2300" s="44"/>
      <c r="S2300" s="44"/>
      <c r="T2300" s="43"/>
      <c r="U2300" s="43" t="str">
        <f t="shared" si="8"/>
        <v>No</v>
      </c>
      <c r="V2300" s="25"/>
      <c r="W2300" s="25"/>
      <c r="X2300" s="25"/>
      <c r="Y2300" s="25"/>
      <c r="Z2300" s="25"/>
    </row>
    <row r="2301" spans="1:26" ht="15.75" customHeight="1" x14ac:dyDescent="0.25">
      <c r="A2301" s="25">
        <v>2299</v>
      </c>
      <c r="B2301" s="37" t="e">
        <f t="shared" ref="B2301:D2301" si="4631">VLOOKUP($A2301,[7]Hábitat!$A$2:$O$184,B$1,0)</f>
        <v>#N/A</v>
      </c>
      <c r="C2301" s="38" t="e">
        <f t="shared" si="4631"/>
        <v>#N/A</v>
      </c>
      <c r="D2301" s="39" t="e">
        <f t="shared" si="4631"/>
        <v>#N/A</v>
      </c>
      <c r="E2301" s="16" t="e">
        <f t="shared" si="1"/>
        <v>#N/A</v>
      </c>
      <c r="F2301" s="16" t="e">
        <f t="shared" ref="F2301:K2301" si="4632">VLOOKUP($A2301,[7]Hábitat!$A$2:$O$184,F$1,0)</f>
        <v>#N/A</v>
      </c>
      <c r="G2301" s="39" t="e">
        <f t="shared" si="4632"/>
        <v>#N/A</v>
      </c>
      <c r="H2301" s="16" t="e">
        <f t="shared" si="4632"/>
        <v>#N/A</v>
      </c>
      <c r="I2301" s="16" t="e">
        <f t="shared" si="4632"/>
        <v>#N/A</v>
      </c>
      <c r="J2301" s="40" t="e">
        <f t="shared" si="4632"/>
        <v>#N/A</v>
      </c>
      <c r="K2301" s="16" t="e">
        <f t="shared" si="4632"/>
        <v>#N/A</v>
      </c>
      <c r="L2301" s="40" t="e">
        <f t="shared" si="4233"/>
        <v>#N/A</v>
      </c>
      <c r="M2301" s="16" t="e">
        <f t="shared" si="4234"/>
        <v>#N/A</v>
      </c>
      <c r="N2301" s="16" t="e">
        <f t="shared" si="4235"/>
        <v>#N/A</v>
      </c>
      <c r="O2301" s="16" t="s">
        <v>71</v>
      </c>
      <c r="P2301" s="16" t="str">
        <f t="shared" si="6"/>
        <v/>
      </c>
      <c r="Q2301" s="41" t="e">
        <f t="shared" si="4236"/>
        <v>#N/A</v>
      </c>
      <c r="R2301" s="44"/>
      <c r="S2301" s="44"/>
      <c r="T2301" s="43"/>
      <c r="U2301" s="43" t="str">
        <f t="shared" si="8"/>
        <v>No</v>
      </c>
      <c r="V2301" s="25"/>
      <c r="W2301" s="25"/>
      <c r="X2301" s="25"/>
      <c r="Y2301" s="25"/>
      <c r="Z2301" s="25"/>
    </row>
    <row r="2302" spans="1:26" ht="15.75" customHeight="1" x14ac:dyDescent="0.25">
      <c r="A2302" s="25">
        <v>2300</v>
      </c>
      <c r="B2302" s="37" t="e">
        <f t="shared" ref="B2302:D2302" si="4633">VLOOKUP($A2302,[7]Hábitat!$A$2:$O$184,B$1,0)</f>
        <v>#N/A</v>
      </c>
      <c r="C2302" s="38" t="e">
        <f t="shared" si="4633"/>
        <v>#N/A</v>
      </c>
      <c r="D2302" s="39" t="e">
        <f t="shared" si="4633"/>
        <v>#N/A</v>
      </c>
      <c r="E2302" s="16" t="e">
        <f t="shared" si="1"/>
        <v>#N/A</v>
      </c>
      <c r="F2302" s="16" t="e">
        <f t="shared" ref="F2302:K2302" si="4634">VLOOKUP($A2302,[7]Hábitat!$A$2:$O$184,F$1,0)</f>
        <v>#N/A</v>
      </c>
      <c r="G2302" s="39" t="e">
        <f t="shared" si="4634"/>
        <v>#N/A</v>
      </c>
      <c r="H2302" s="16" t="e">
        <f t="shared" si="4634"/>
        <v>#N/A</v>
      </c>
      <c r="I2302" s="16" t="e">
        <f t="shared" si="4634"/>
        <v>#N/A</v>
      </c>
      <c r="J2302" s="40" t="e">
        <f t="shared" si="4634"/>
        <v>#N/A</v>
      </c>
      <c r="K2302" s="16" t="e">
        <f t="shared" si="4634"/>
        <v>#N/A</v>
      </c>
      <c r="L2302" s="40" t="e">
        <f t="shared" si="4233"/>
        <v>#N/A</v>
      </c>
      <c r="M2302" s="16" t="e">
        <f t="shared" si="4234"/>
        <v>#N/A</v>
      </c>
      <c r="N2302" s="16" t="e">
        <f t="shared" si="4235"/>
        <v>#N/A</v>
      </c>
      <c r="O2302" s="16" t="s">
        <v>71</v>
      </c>
      <c r="P2302" s="16" t="str">
        <f t="shared" si="6"/>
        <v/>
      </c>
      <c r="Q2302" s="41" t="e">
        <f t="shared" si="4236"/>
        <v>#N/A</v>
      </c>
      <c r="R2302" s="44"/>
      <c r="S2302" s="44"/>
      <c r="T2302" s="43"/>
      <c r="U2302" s="43" t="str">
        <f t="shared" si="8"/>
        <v>No</v>
      </c>
      <c r="V2302" s="25"/>
      <c r="W2302" s="25"/>
      <c r="X2302" s="25"/>
      <c r="Y2302" s="25"/>
      <c r="Z2302" s="25"/>
    </row>
    <row r="2303" spans="1:26" ht="15.75" customHeight="1" x14ac:dyDescent="0.25">
      <c r="A2303" s="25">
        <v>2301</v>
      </c>
      <c r="B2303" s="37" t="e">
        <f t="shared" ref="B2303:D2303" si="4635">VLOOKUP($A2303,[7]Hábitat!$A$2:$O$184,B$1,0)</f>
        <v>#N/A</v>
      </c>
      <c r="C2303" s="38" t="e">
        <f t="shared" si="4635"/>
        <v>#N/A</v>
      </c>
      <c r="D2303" s="39" t="e">
        <f t="shared" si="4635"/>
        <v>#N/A</v>
      </c>
      <c r="E2303" s="16" t="e">
        <f t="shared" si="1"/>
        <v>#N/A</v>
      </c>
      <c r="F2303" s="16" t="e">
        <f t="shared" ref="F2303:K2303" si="4636">VLOOKUP($A2303,[7]Hábitat!$A$2:$O$184,F$1,0)</f>
        <v>#N/A</v>
      </c>
      <c r="G2303" s="39" t="e">
        <f t="shared" si="4636"/>
        <v>#N/A</v>
      </c>
      <c r="H2303" s="16" t="e">
        <f t="shared" si="4636"/>
        <v>#N/A</v>
      </c>
      <c r="I2303" s="16" t="e">
        <f t="shared" si="4636"/>
        <v>#N/A</v>
      </c>
      <c r="J2303" s="40" t="e">
        <f t="shared" si="4636"/>
        <v>#N/A</v>
      </c>
      <c r="K2303" s="16" t="e">
        <f t="shared" si="4636"/>
        <v>#N/A</v>
      </c>
      <c r="L2303" s="40" t="e">
        <f t="shared" si="4233"/>
        <v>#N/A</v>
      </c>
      <c r="M2303" s="16" t="e">
        <f t="shared" si="4234"/>
        <v>#N/A</v>
      </c>
      <c r="N2303" s="16" t="e">
        <f t="shared" si="4235"/>
        <v>#N/A</v>
      </c>
      <c r="O2303" s="16" t="s">
        <v>71</v>
      </c>
      <c r="P2303" s="16" t="str">
        <f t="shared" si="6"/>
        <v/>
      </c>
      <c r="Q2303" s="41" t="e">
        <f t="shared" si="4236"/>
        <v>#N/A</v>
      </c>
      <c r="R2303" s="44"/>
      <c r="S2303" s="44"/>
      <c r="T2303" s="43"/>
      <c r="U2303" s="43" t="str">
        <f t="shared" si="8"/>
        <v>No</v>
      </c>
      <c r="V2303" s="25"/>
      <c r="W2303" s="25"/>
      <c r="X2303" s="25"/>
      <c r="Y2303" s="25"/>
      <c r="Z2303" s="25"/>
    </row>
    <row r="2304" spans="1:26" ht="15.75" customHeight="1" x14ac:dyDescent="0.25">
      <c r="A2304" s="25">
        <v>2302</v>
      </c>
      <c r="B2304" s="37" t="e">
        <f t="shared" ref="B2304:D2304" si="4637">VLOOKUP($A2304,[7]Hábitat!$A$2:$O$184,B$1,0)</f>
        <v>#N/A</v>
      </c>
      <c r="C2304" s="38" t="e">
        <f t="shared" si="4637"/>
        <v>#N/A</v>
      </c>
      <c r="D2304" s="39" t="e">
        <f t="shared" si="4637"/>
        <v>#N/A</v>
      </c>
      <c r="E2304" s="16" t="e">
        <f t="shared" si="1"/>
        <v>#N/A</v>
      </c>
      <c r="F2304" s="16" t="e">
        <f t="shared" ref="F2304:K2304" si="4638">VLOOKUP($A2304,[7]Hábitat!$A$2:$O$184,F$1,0)</f>
        <v>#N/A</v>
      </c>
      <c r="G2304" s="39" t="e">
        <f t="shared" si="4638"/>
        <v>#N/A</v>
      </c>
      <c r="H2304" s="16" t="e">
        <f t="shared" si="4638"/>
        <v>#N/A</v>
      </c>
      <c r="I2304" s="16" t="e">
        <f t="shared" si="4638"/>
        <v>#N/A</v>
      </c>
      <c r="J2304" s="40" t="e">
        <f t="shared" si="4638"/>
        <v>#N/A</v>
      </c>
      <c r="K2304" s="16" t="e">
        <f t="shared" si="4638"/>
        <v>#N/A</v>
      </c>
      <c r="L2304" s="40" t="e">
        <f t="shared" si="4233"/>
        <v>#N/A</v>
      </c>
      <c r="M2304" s="16" t="e">
        <f t="shared" si="4234"/>
        <v>#N/A</v>
      </c>
      <c r="N2304" s="16" t="e">
        <f t="shared" si="4235"/>
        <v>#N/A</v>
      </c>
      <c r="O2304" s="16" t="s">
        <v>71</v>
      </c>
      <c r="P2304" s="16" t="str">
        <f t="shared" si="6"/>
        <v/>
      </c>
      <c r="Q2304" s="41" t="e">
        <f t="shared" si="4236"/>
        <v>#N/A</v>
      </c>
      <c r="R2304" s="44"/>
      <c r="S2304" s="44"/>
      <c r="T2304" s="43"/>
      <c r="U2304" s="43" t="str">
        <f t="shared" si="8"/>
        <v>No</v>
      </c>
      <c r="V2304" s="25"/>
      <c r="W2304" s="25"/>
      <c r="X2304" s="25"/>
      <c r="Y2304" s="25"/>
      <c r="Z2304" s="25"/>
    </row>
    <row r="2305" spans="1:26" ht="15.75" customHeight="1" x14ac:dyDescent="0.25">
      <c r="A2305" s="25">
        <v>2303</v>
      </c>
      <c r="B2305" s="37" t="e">
        <f t="shared" ref="B2305:D2305" si="4639">VLOOKUP($A2305,[7]Hábitat!$A$2:$O$184,B$1,0)</f>
        <v>#N/A</v>
      </c>
      <c r="C2305" s="38" t="e">
        <f t="shared" si="4639"/>
        <v>#N/A</v>
      </c>
      <c r="D2305" s="39" t="e">
        <f t="shared" si="4639"/>
        <v>#N/A</v>
      </c>
      <c r="E2305" s="16" t="e">
        <f t="shared" si="1"/>
        <v>#N/A</v>
      </c>
      <c r="F2305" s="16" t="e">
        <f t="shared" ref="F2305:K2305" si="4640">VLOOKUP($A2305,[7]Hábitat!$A$2:$O$184,F$1,0)</f>
        <v>#N/A</v>
      </c>
      <c r="G2305" s="39" t="e">
        <f t="shared" si="4640"/>
        <v>#N/A</v>
      </c>
      <c r="H2305" s="16" t="e">
        <f t="shared" si="4640"/>
        <v>#N/A</v>
      </c>
      <c r="I2305" s="16" t="e">
        <f t="shared" si="4640"/>
        <v>#N/A</v>
      </c>
      <c r="J2305" s="40" t="e">
        <f t="shared" si="4640"/>
        <v>#N/A</v>
      </c>
      <c r="K2305" s="16" t="e">
        <f t="shared" si="4640"/>
        <v>#N/A</v>
      </c>
      <c r="L2305" s="40" t="e">
        <f t="shared" si="4233"/>
        <v>#N/A</v>
      </c>
      <c r="M2305" s="16" t="e">
        <f t="shared" si="4234"/>
        <v>#N/A</v>
      </c>
      <c r="N2305" s="16" t="e">
        <f t="shared" si="4235"/>
        <v>#N/A</v>
      </c>
      <c r="O2305" s="16" t="s">
        <v>71</v>
      </c>
      <c r="P2305" s="16" t="str">
        <f t="shared" si="6"/>
        <v/>
      </c>
      <c r="Q2305" s="41" t="e">
        <f t="shared" si="4236"/>
        <v>#N/A</v>
      </c>
      <c r="R2305" s="44"/>
      <c r="S2305" s="44"/>
      <c r="T2305" s="43"/>
      <c r="U2305" s="43" t="str">
        <f t="shared" si="8"/>
        <v>No</v>
      </c>
      <c r="V2305" s="25"/>
      <c r="W2305" s="25"/>
      <c r="X2305" s="25"/>
      <c r="Y2305" s="25"/>
      <c r="Z2305" s="25"/>
    </row>
    <row r="2306" spans="1:26" ht="15.75" customHeight="1" x14ac:dyDescent="0.25">
      <c r="A2306" s="25">
        <v>2304</v>
      </c>
      <c r="B2306" s="37" t="e">
        <f t="shared" ref="B2306:D2306" si="4641">VLOOKUP($A2306,[7]Hábitat!$A$2:$O$184,B$1,0)</f>
        <v>#N/A</v>
      </c>
      <c r="C2306" s="38" t="e">
        <f t="shared" si="4641"/>
        <v>#N/A</v>
      </c>
      <c r="D2306" s="39" t="e">
        <f t="shared" si="4641"/>
        <v>#N/A</v>
      </c>
      <c r="E2306" s="16" t="e">
        <f t="shared" si="1"/>
        <v>#N/A</v>
      </c>
      <c r="F2306" s="16" t="e">
        <f t="shared" ref="F2306:K2306" si="4642">VLOOKUP($A2306,[7]Hábitat!$A$2:$O$184,F$1,0)</f>
        <v>#N/A</v>
      </c>
      <c r="G2306" s="39" t="e">
        <f t="shared" si="4642"/>
        <v>#N/A</v>
      </c>
      <c r="H2306" s="16" t="e">
        <f t="shared" si="4642"/>
        <v>#N/A</v>
      </c>
      <c r="I2306" s="16" t="e">
        <f t="shared" si="4642"/>
        <v>#N/A</v>
      </c>
      <c r="J2306" s="40" t="e">
        <f t="shared" si="4642"/>
        <v>#N/A</v>
      </c>
      <c r="K2306" s="16" t="e">
        <f t="shared" si="4642"/>
        <v>#N/A</v>
      </c>
      <c r="L2306" s="40" t="e">
        <f t="shared" si="4233"/>
        <v>#N/A</v>
      </c>
      <c r="M2306" s="16" t="e">
        <f t="shared" si="4234"/>
        <v>#N/A</v>
      </c>
      <c r="N2306" s="16" t="e">
        <f t="shared" si="4235"/>
        <v>#N/A</v>
      </c>
      <c r="O2306" s="16" t="s">
        <v>71</v>
      </c>
      <c r="P2306" s="16" t="str">
        <f t="shared" si="6"/>
        <v/>
      </c>
      <c r="Q2306" s="41" t="e">
        <f t="shared" si="4236"/>
        <v>#N/A</v>
      </c>
      <c r="R2306" s="44"/>
      <c r="S2306" s="44"/>
      <c r="T2306" s="43"/>
      <c r="U2306" s="43" t="str">
        <f t="shared" si="8"/>
        <v>No</v>
      </c>
      <c r="V2306" s="25"/>
      <c r="W2306" s="25"/>
      <c r="X2306" s="25"/>
      <c r="Y2306" s="25"/>
      <c r="Z2306" s="25"/>
    </row>
    <row r="2307" spans="1:26" ht="15.75" customHeight="1" x14ac:dyDescent="0.25">
      <c r="A2307" s="25">
        <v>2305</v>
      </c>
      <c r="B2307" s="37" t="e">
        <f t="shared" ref="B2307:D2307" si="4643">VLOOKUP($A2307,[7]Hábitat!$A$2:$O$184,B$1,0)</f>
        <v>#N/A</v>
      </c>
      <c r="C2307" s="38" t="e">
        <f t="shared" si="4643"/>
        <v>#N/A</v>
      </c>
      <c r="D2307" s="39" t="e">
        <f t="shared" si="4643"/>
        <v>#N/A</v>
      </c>
      <c r="E2307" s="16" t="e">
        <f t="shared" si="1"/>
        <v>#N/A</v>
      </c>
      <c r="F2307" s="16" t="e">
        <f t="shared" ref="F2307:K2307" si="4644">VLOOKUP($A2307,[7]Hábitat!$A$2:$O$184,F$1,0)</f>
        <v>#N/A</v>
      </c>
      <c r="G2307" s="39" t="e">
        <f t="shared" si="4644"/>
        <v>#N/A</v>
      </c>
      <c r="H2307" s="16" t="e">
        <f t="shared" si="4644"/>
        <v>#N/A</v>
      </c>
      <c r="I2307" s="16" t="e">
        <f t="shared" si="4644"/>
        <v>#N/A</v>
      </c>
      <c r="J2307" s="40" t="e">
        <f t="shared" si="4644"/>
        <v>#N/A</v>
      </c>
      <c r="K2307" s="16" t="e">
        <f t="shared" si="4644"/>
        <v>#N/A</v>
      </c>
      <c r="L2307" s="40" t="e">
        <f t="shared" si="4233"/>
        <v>#N/A</v>
      </c>
      <c r="M2307" s="16" t="e">
        <f t="shared" si="4234"/>
        <v>#N/A</v>
      </c>
      <c r="N2307" s="16" t="e">
        <f t="shared" si="4235"/>
        <v>#N/A</v>
      </c>
      <c r="O2307" s="16" t="s">
        <v>71</v>
      </c>
      <c r="P2307" s="16" t="str">
        <f t="shared" si="6"/>
        <v/>
      </c>
      <c r="Q2307" s="41" t="e">
        <f t="shared" si="4236"/>
        <v>#N/A</v>
      </c>
      <c r="R2307" s="44"/>
      <c r="S2307" s="44"/>
      <c r="T2307" s="43"/>
      <c r="U2307" s="43" t="str">
        <f t="shared" si="8"/>
        <v>No</v>
      </c>
      <c r="V2307" s="25"/>
      <c r="W2307" s="25"/>
      <c r="X2307" s="25"/>
      <c r="Y2307" s="25"/>
      <c r="Z2307" s="25"/>
    </row>
    <row r="2308" spans="1:26" ht="15.75" customHeight="1" x14ac:dyDescent="0.25">
      <c r="A2308" s="25">
        <v>2306</v>
      </c>
      <c r="B2308" s="37" t="e">
        <f t="shared" ref="B2308:D2308" si="4645">VLOOKUP($A2308,[7]Hábitat!$A$2:$O$184,B$1,0)</f>
        <v>#N/A</v>
      </c>
      <c r="C2308" s="38" t="e">
        <f t="shared" si="4645"/>
        <v>#N/A</v>
      </c>
      <c r="D2308" s="39" t="e">
        <f t="shared" si="4645"/>
        <v>#N/A</v>
      </c>
      <c r="E2308" s="16" t="e">
        <f t="shared" si="1"/>
        <v>#N/A</v>
      </c>
      <c r="F2308" s="16" t="e">
        <f t="shared" ref="F2308:K2308" si="4646">VLOOKUP($A2308,[7]Hábitat!$A$2:$O$184,F$1,0)</f>
        <v>#N/A</v>
      </c>
      <c r="G2308" s="39" t="e">
        <f t="shared" si="4646"/>
        <v>#N/A</v>
      </c>
      <c r="H2308" s="16" t="e">
        <f t="shared" si="4646"/>
        <v>#N/A</v>
      </c>
      <c r="I2308" s="16" t="e">
        <f t="shared" si="4646"/>
        <v>#N/A</v>
      </c>
      <c r="J2308" s="40" t="e">
        <f t="shared" si="4646"/>
        <v>#N/A</v>
      </c>
      <c r="K2308" s="16" t="e">
        <f t="shared" si="4646"/>
        <v>#N/A</v>
      </c>
      <c r="L2308" s="40" t="e">
        <f t="shared" si="4233"/>
        <v>#N/A</v>
      </c>
      <c r="M2308" s="16" t="e">
        <f t="shared" si="4234"/>
        <v>#N/A</v>
      </c>
      <c r="N2308" s="16" t="e">
        <f t="shared" si="4235"/>
        <v>#N/A</v>
      </c>
      <c r="O2308" s="16" t="s">
        <v>71</v>
      </c>
      <c r="P2308" s="16" t="str">
        <f t="shared" si="6"/>
        <v/>
      </c>
      <c r="Q2308" s="41" t="e">
        <f t="shared" si="4236"/>
        <v>#N/A</v>
      </c>
      <c r="R2308" s="44"/>
      <c r="S2308" s="44"/>
      <c r="T2308" s="43"/>
      <c r="U2308" s="43" t="str">
        <f t="shared" si="8"/>
        <v>No</v>
      </c>
      <c r="V2308" s="25"/>
      <c r="W2308" s="25"/>
      <c r="X2308" s="25"/>
      <c r="Y2308" s="25"/>
      <c r="Z2308" s="25"/>
    </row>
    <row r="2309" spans="1:26" ht="15.75" customHeight="1" x14ac:dyDescent="0.25">
      <c r="A2309" s="25">
        <v>2307</v>
      </c>
      <c r="B2309" s="37" t="e">
        <f t="shared" ref="B2309:D2309" si="4647">VLOOKUP($A2309,[7]Hábitat!$A$2:$O$184,B$1,0)</f>
        <v>#N/A</v>
      </c>
      <c r="C2309" s="38" t="e">
        <f t="shared" si="4647"/>
        <v>#N/A</v>
      </c>
      <c r="D2309" s="39" t="e">
        <f t="shared" si="4647"/>
        <v>#N/A</v>
      </c>
      <c r="E2309" s="16" t="e">
        <f t="shared" si="1"/>
        <v>#N/A</v>
      </c>
      <c r="F2309" s="16" t="e">
        <f t="shared" ref="F2309:K2309" si="4648">VLOOKUP($A2309,[7]Hábitat!$A$2:$O$184,F$1,0)</f>
        <v>#N/A</v>
      </c>
      <c r="G2309" s="39" t="e">
        <f t="shared" si="4648"/>
        <v>#N/A</v>
      </c>
      <c r="H2309" s="16" t="e">
        <f t="shared" si="4648"/>
        <v>#N/A</v>
      </c>
      <c r="I2309" s="16" t="e">
        <f t="shared" si="4648"/>
        <v>#N/A</v>
      </c>
      <c r="J2309" s="40" t="e">
        <f t="shared" si="4648"/>
        <v>#N/A</v>
      </c>
      <c r="K2309" s="16" t="e">
        <f t="shared" si="4648"/>
        <v>#N/A</v>
      </c>
      <c r="L2309" s="40" t="e">
        <f t="shared" si="4233"/>
        <v>#N/A</v>
      </c>
      <c r="M2309" s="16" t="e">
        <f t="shared" si="4234"/>
        <v>#N/A</v>
      </c>
      <c r="N2309" s="16" t="e">
        <f t="shared" si="4235"/>
        <v>#N/A</v>
      </c>
      <c r="O2309" s="16" t="s">
        <v>71</v>
      </c>
      <c r="P2309" s="16" t="str">
        <f t="shared" si="6"/>
        <v/>
      </c>
      <c r="Q2309" s="41" t="e">
        <f t="shared" si="4236"/>
        <v>#N/A</v>
      </c>
      <c r="R2309" s="44"/>
      <c r="S2309" s="44"/>
      <c r="T2309" s="43"/>
      <c r="U2309" s="43" t="str">
        <f t="shared" si="8"/>
        <v>No</v>
      </c>
      <c r="V2309" s="25"/>
      <c r="W2309" s="25"/>
      <c r="X2309" s="25"/>
      <c r="Y2309" s="25"/>
      <c r="Z2309" s="25"/>
    </row>
    <row r="2310" spans="1:26" ht="15.75" customHeight="1" x14ac:dyDescent="0.25">
      <c r="A2310" s="25">
        <v>2308</v>
      </c>
      <c r="B2310" s="37" t="e">
        <f t="shared" ref="B2310:D2310" si="4649">VLOOKUP($A2310,[7]Hábitat!$A$2:$O$184,B$1,0)</f>
        <v>#N/A</v>
      </c>
      <c r="C2310" s="38" t="e">
        <f t="shared" si="4649"/>
        <v>#N/A</v>
      </c>
      <c r="D2310" s="39" t="e">
        <f t="shared" si="4649"/>
        <v>#N/A</v>
      </c>
      <c r="E2310" s="16" t="e">
        <f t="shared" si="1"/>
        <v>#N/A</v>
      </c>
      <c r="F2310" s="16" t="e">
        <f t="shared" ref="F2310:K2310" si="4650">VLOOKUP($A2310,[7]Hábitat!$A$2:$O$184,F$1,0)</f>
        <v>#N/A</v>
      </c>
      <c r="G2310" s="39" t="e">
        <f t="shared" si="4650"/>
        <v>#N/A</v>
      </c>
      <c r="H2310" s="16" t="e">
        <f t="shared" si="4650"/>
        <v>#N/A</v>
      </c>
      <c r="I2310" s="16" t="e">
        <f t="shared" si="4650"/>
        <v>#N/A</v>
      </c>
      <c r="J2310" s="40" t="e">
        <f t="shared" si="4650"/>
        <v>#N/A</v>
      </c>
      <c r="K2310" s="16" t="e">
        <f t="shared" si="4650"/>
        <v>#N/A</v>
      </c>
      <c r="L2310" s="40" t="e">
        <f t="shared" si="4233"/>
        <v>#N/A</v>
      </c>
      <c r="M2310" s="16" t="e">
        <f t="shared" si="4234"/>
        <v>#N/A</v>
      </c>
      <c r="N2310" s="16" t="e">
        <f t="shared" si="4235"/>
        <v>#N/A</v>
      </c>
      <c r="O2310" s="16" t="s">
        <v>71</v>
      </c>
      <c r="P2310" s="16" t="str">
        <f t="shared" si="6"/>
        <v/>
      </c>
      <c r="Q2310" s="41" t="e">
        <f t="shared" si="4236"/>
        <v>#N/A</v>
      </c>
      <c r="R2310" s="44"/>
      <c r="S2310" s="44"/>
      <c r="T2310" s="43"/>
      <c r="U2310" s="43" t="str">
        <f t="shared" si="8"/>
        <v>No</v>
      </c>
      <c r="V2310" s="25"/>
      <c r="W2310" s="25"/>
      <c r="X2310" s="25"/>
      <c r="Y2310" s="25"/>
      <c r="Z2310" s="25"/>
    </row>
    <row r="2311" spans="1:26" ht="15.75" customHeight="1" x14ac:dyDescent="0.25">
      <c r="A2311" s="25">
        <v>2309</v>
      </c>
      <c r="B2311" s="37" t="e">
        <f t="shared" ref="B2311:D2311" si="4651">VLOOKUP($A2311,[7]Hábitat!$A$2:$O$184,B$1,0)</f>
        <v>#N/A</v>
      </c>
      <c r="C2311" s="38" t="e">
        <f t="shared" si="4651"/>
        <v>#N/A</v>
      </c>
      <c r="D2311" s="39" t="e">
        <f t="shared" si="4651"/>
        <v>#N/A</v>
      </c>
      <c r="E2311" s="16" t="e">
        <f t="shared" si="1"/>
        <v>#N/A</v>
      </c>
      <c r="F2311" s="16" t="e">
        <f t="shared" ref="F2311:K2311" si="4652">VLOOKUP($A2311,[7]Hábitat!$A$2:$O$184,F$1,0)</f>
        <v>#N/A</v>
      </c>
      <c r="G2311" s="39" t="e">
        <f t="shared" si="4652"/>
        <v>#N/A</v>
      </c>
      <c r="H2311" s="16" t="e">
        <f t="shared" si="4652"/>
        <v>#N/A</v>
      </c>
      <c r="I2311" s="16" t="e">
        <f t="shared" si="4652"/>
        <v>#N/A</v>
      </c>
      <c r="J2311" s="40" t="e">
        <f t="shared" si="4652"/>
        <v>#N/A</v>
      </c>
      <c r="K2311" s="16" t="e">
        <f t="shared" si="4652"/>
        <v>#N/A</v>
      </c>
      <c r="L2311" s="40" t="e">
        <f t="shared" si="4233"/>
        <v>#N/A</v>
      </c>
      <c r="M2311" s="16" t="e">
        <f t="shared" si="4234"/>
        <v>#N/A</v>
      </c>
      <c r="N2311" s="16" t="e">
        <f t="shared" si="4235"/>
        <v>#N/A</v>
      </c>
      <c r="O2311" s="16" t="s">
        <v>71</v>
      </c>
      <c r="P2311" s="16" t="str">
        <f t="shared" si="6"/>
        <v/>
      </c>
      <c r="Q2311" s="41" t="e">
        <f t="shared" si="4236"/>
        <v>#N/A</v>
      </c>
      <c r="R2311" s="44"/>
      <c r="S2311" s="44"/>
      <c r="T2311" s="43"/>
      <c r="U2311" s="43" t="str">
        <f t="shared" si="8"/>
        <v>No</v>
      </c>
      <c r="V2311" s="25"/>
      <c r="W2311" s="25"/>
      <c r="X2311" s="25"/>
      <c r="Y2311" s="25"/>
      <c r="Z2311" s="25"/>
    </row>
    <row r="2312" spans="1:26" ht="15.75" customHeight="1" x14ac:dyDescent="0.25">
      <c r="A2312" s="25">
        <v>2310</v>
      </c>
      <c r="B2312" s="37" t="e">
        <f t="shared" ref="B2312:D2312" si="4653">VLOOKUP($A2312,[7]Hábitat!$A$2:$O$184,B$1,0)</f>
        <v>#N/A</v>
      </c>
      <c r="C2312" s="38" t="e">
        <f t="shared" si="4653"/>
        <v>#N/A</v>
      </c>
      <c r="D2312" s="39" t="e">
        <f t="shared" si="4653"/>
        <v>#N/A</v>
      </c>
      <c r="E2312" s="16" t="e">
        <f t="shared" si="1"/>
        <v>#N/A</v>
      </c>
      <c r="F2312" s="16" t="e">
        <f t="shared" ref="F2312:K2312" si="4654">VLOOKUP($A2312,[7]Hábitat!$A$2:$O$184,F$1,0)</f>
        <v>#N/A</v>
      </c>
      <c r="G2312" s="39" t="e">
        <f t="shared" si="4654"/>
        <v>#N/A</v>
      </c>
      <c r="H2312" s="16" t="e">
        <f t="shared" si="4654"/>
        <v>#N/A</v>
      </c>
      <c r="I2312" s="16" t="e">
        <f t="shared" si="4654"/>
        <v>#N/A</v>
      </c>
      <c r="J2312" s="40" t="e">
        <f t="shared" si="4654"/>
        <v>#N/A</v>
      </c>
      <c r="K2312" s="16" t="e">
        <f t="shared" si="4654"/>
        <v>#N/A</v>
      </c>
      <c r="L2312" s="40" t="e">
        <f t="shared" si="4233"/>
        <v>#N/A</v>
      </c>
      <c r="M2312" s="16" t="e">
        <f t="shared" si="4234"/>
        <v>#N/A</v>
      </c>
      <c r="N2312" s="16" t="e">
        <f t="shared" si="4235"/>
        <v>#N/A</v>
      </c>
      <c r="O2312" s="16" t="s">
        <v>71</v>
      </c>
      <c r="P2312" s="16" t="str">
        <f t="shared" si="6"/>
        <v/>
      </c>
      <c r="Q2312" s="41" t="e">
        <f t="shared" si="4236"/>
        <v>#N/A</v>
      </c>
      <c r="R2312" s="44"/>
      <c r="S2312" s="44"/>
      <c r="T2312" s="43"/>
      <c r="U2312" s="43" t="str">
        <f t="shared" si="8"/>
        <v>No</v>
      </c>
      <c r="V2312" s="25"/>
      <c r="W2312" s="25"/>
      <c r="X2312" s="25"/>
      <c r="Y2312" s="25"/>
      <c r="Z2312" s="25"/>
    </row>
    <row r="2313" spans="1:26" ht="15.75" customHeight="1" x14ac:dyDescent="0.25">
      <c r="A2313" s="25">
        <v>2311</v>
      </c>
      <c r="B2313" s="37" t="e">
        <f t="shared" ref="B2313:D2313" si="4655">VLOOKUP($A2313,[7]Hábitat!$A$2:$O$184,B$1,0)</f>
        <v>#N/A</v>
      </c>
      <c r="C2313" s="38" t="e">
        <f t="shared" si="4655"/>
        <v>#N/A</v>
      </c>
      <c r="D2313" s="39" t="e">
        <f t="shared" si="4655"/>
        <v>#N/A</v>
      </c>
      <c r="E2313" s="16" t="e">
        <f t="shared" si="1"/>
        <v>#N/A</v>
      </c>
      <c r="F2313" s="16" t="e">
        <f t="shared" ref="F2313:K2313" si="4656">VLOOKUP($A2313,[7]Hábitat!$A$2:$O$184,F$1,0)</f>
        <v>#N/A</v>
      </c>
      <c r="G2313" s="39" t="e">
        <f t="shared" si="4656"/>
        <v>#N/A</v>
      </c>
      <c r="H2313" s="16" t="e">
        <f t="shared" si="4656"/>
        <v>#N/A</v>
      </c>
      <c r="I2313" s="16" t="e">
        <f t="shared" si="4656"/>
        <v>#N/A</v>
      </c>
      <c r="J2313" s="40" t="e">
        <f t="shared" si="4656"/>
        <v>#N/A</v>
      </c>
      <c r="K2313" s="16" t="e">
        <f t="shared" si="4656"/>
        <v>#N/A</v>
      </c>
      <c r="L2313" s="40" t="e">
        <f t="shared" si="4233"/>
        <v>#N/A</v>
      </c>
      <c r="M2313" s="16" t="e">
        <f t="shared" si="4234"/>
        <v>#N/A</v>
      </c>
      <c r="N2313" s="16" t="e">
        <f t="shared" si="4235"/>
        <v>#N/A</v>
      </c>
      <c r="O2313" s="16" t="s">
        <v>71</v>
      </c>
      <c r="P2313" s="16" t="str">
        <f t="shared" si="6"/>
        <v/>
      </c>
      <c r="Q2313" s="41" t="e">
        <f t="shared" si="4236"/>
        <v>#N/A</v>
      </c>
      <c r="R2313" s="44"/>
      <c r="S2313" s="44"/>
      <c r="T2313" s="43"/>
      <c r="U2313" s="43" t="str">
        <f t="shared" si="8"/>
        <v>No</v>
      </c>
      <c r="V2313" s="25"/>
      <c r="W2313" s="25"/>
      <c r="X2313" s="25"/>
      <c r="Y2313" s="25"/>
      <c r="Z2313" s="25"/>
    </row>
    <row r="2314" spans="1:26" ht="15.75" customHeight="1" x14ac:dyDescent="0.25">
      <c r="A2314" s="25">
        <v>2312</v>
      </c>
      <c r="B2314" s="37" t="e">
        <f t="shared" ref="B2314:D2314" si="4657">VLOOKUP($A2314,[7]Hábitat!$A$2:$O$184,B$1,0)</f>
        <v>#N/A</v>
      </c>
      <c r="C2314" s="38" t="e">
        <f t="shared" si="4657"/>
        <v>#N/A</v>
      </c>
      <c r="D2314" s="39" t="e">
        <f t="shared" si="4657"/>
        <v>#N/A</v>
      </c>
      <c r="E2314" s="16" t="e">
        <f t="shared" si="1"/>
        <v>#N/A</v>
      </c>
      <c r="F2314" s="16" t="e">
        <f t="shared" ref="F2314:K2314" si="4658">VLOOKUP($A2314,[7]Hábitat!$A$2:$O$184,F$1,0)</f>
        <v>#N/A</v>
      </c>
      <c r="G2314" s="39" t="e">
        <f t="shared" si="4658"/>
        <v>#N/A</v>
      </c>
      <c r="H2314" s="16" t="e">
        <f t="shared" si="4658"/>
        <v>#N/A</v>
      </c>
      <c r="I2314" s="16" t="e">
        <f t="shared" si="4658"/>
        <v>#N/A</v>
      </c>
      <c r="J2314" s="40" t="e">
        <f t="shared" si="4658"/>
        <v>#N/A</v>
      </c>
      <c r="K2314" s="16" t="e">
        <f t="shared" si="4658"/>
        <v>#N/A</v>
      </c>
      <c r="L2314" s="40" t="e">
        <f t="shared" si="4233"/>
        <v>#N/A</v>
      </c>
      <c r="M2314" s="16" t="e">
        <f t="shared" si="4234"/>
        <v>#N/A</v>
      </c>
      <c r="N2314" s="16" t="e">
        <f t="shared" si="4235"/>
        <v>#N/A</v>
      </c>
      <c r="O2314" s="16" t="s">
        <v>71</v>
      </c>
      <c r="P2314" s="16" t="str">
        <f t="shared" si="6"/>
        <v/>
      </c>
      <c r="Q2314" s="41" t="e">
        <f t="shared" si="4236"/>
        <v>#N/A</v>
      </c>
      <c r="R2314" s="44"/>
      <c r="S2314" s="44"/>
      <c r="T2314" s="43"/>
      <c r="U2314" s="43" t="str">
        <f t="shared" si="8"/>
        <v>No</v>
      </c>
      <c r="V2314" s="25"/>
      <c r="W2314" s="25"/>
      <c r="X2314" s="25"/>
      <c r="Y2314" s="25"/>
      <c r="Z2314" s="25"/>
    </row>
    <row r="2315" spans="1:26" ht="15.75" customHeight="1" x14ac:dyDescent="0.25">
      <c r="A2315" s="25">
        <v>2313</v>
      </c>
      <c r="B2315" s="37" t="e">
        <f t="shared" ref="B2315:D2315" si="4659">VLOOKUP($A2315,[7]Hábitat!$A$2:$O$184,B$1,0)</f>
        <v>#N/A</v>
      </c>
      <c r="C2315" s="38" t="e">
        <f t="shared" si="4659"/>
        <v>#N/A</v>
      </c>
      <c r="D2315" s="39" t="e">
        <f t="shared" si="4659"/>
        <v>#N/A</v>
      </c>
      <c r="E2315" s="16" t="e">
        <f t="shared" si="1"/>
        <v>#N/A</v>
      </c>
      <c r="F2315" s="16" t="e">
        <f t="shared" ref="F2315:K2315" si="4660">VLOOKUP($A2315,[7]Hábitat!$A$2:$O$184,F$1,0)</f>
        <v>#N/A</v>
      </c>
      <c r="G2315" s="39" t="e">
        <f t="shared" si="4660"/>
        <v>#N/A</v>
      </c>
      <c r="H2315" s="16" t="e">
        <f t="shared" si="4660"/>
        <v>#N/A</v>
      </c>
      <c r="I2315" s="16" t="e">
        <f t="shared" si="4660"/>
        <v>#N/A</v>
      </c>
      <c r="J2315" s="40" t="e">
        <f t="shared" si="4660"/>
        <v>#N/A</v>
      </c>
      <c r="K2315" s="16" t="e">
        <f t="shared" si="4660"/>
        <v>#N/A</v>
      </c>
      <c r="L2315" s="40" t="e">
        <f t="shared" si="4233"/>
        <v>#N/A</v>
      </c>
      <c r="M2315" s="16" t="e">
        <f t="shared" si="4234"/>
        <v>#N/A</v>
      </c>
      <c r="N2315" s="16" t="e">
        <f t="shared" si="4235"/>
        <v>#N/A</v>
      </c>
      <c r="O2315" s="16" t="s">
        <v>71</v>
      </c>
      <c r="P2315" s="16" t="str">
        <f t="shared" si="6"/>
        <v/>
      </c>
      <c r="Q2315" s="41" t="e">
        <f t="shared" si="4236"/>
        <v>#N/A</v>
      </c>
      <c r="R2315" s="44"/>
      <c r="S2315" s="44"/>
      <c r="T2315" s="43"/>
      <c r="U2315" s="43" t="str">
        <f t="shared" si="8"/>
        <v>No</v>
      </c>
      <c r="V2315" s="25"/>
      <c r="W2315" s="25"/>
      <c r="X2315" s="25"/>
      <c r="Y2315" s="25"/>
      <c r="Z2315" s="25"/>
    </row>
    <row r="2316" spans="1:26" ht="15.75" customHeight="1" x14ac:dyDescent="0.25">
      <c r="A2316" s="25">
        <v>2314</v>
      </c>
      <c r="B2316" s="37" t="e">
        <f t="shared" ref="B2316:D2316" si="4661">VLOOKUP($A2316,[7]Hábitat!$A$2:$O$184,B$1,0)</f>
        <v>#N/A</v>
      </c>
      <c r="C2316" s="38" t="e">
        <f t="shared" si="4661"/>
        <v>#N/A</v>
      </c>
      <c r="D2316" s="39" t="e">
        <f t="shared" si="4661"/>
        <v>#N/A</v>
      </c>
      <c r="E2316" s="16" t="e">
        <f t="shared" si="1"/>
        <v>#N/A</v>
      </c>
      <c r="F2316" s="16" t="e">
        <f t="shared" ref="F2316:K2316" si="4662">VLOOKUP($A2316,[7]Hábitat!$A$2:$O$184,F$1,0)</f>
        <v>#N/A</v>
      </c>
      <c r="G2316" s="39" t="e">
        <f t="shared" si="4662"/>
        <v>#N/A</v>
      </c>
      <c r="H2316" s="16" t="e">
        <f t="shared" si="4662"/>
        <v>#N/A</v>
      </c>
      <c r="I2316" s="16" t="e">
        <f t="shared" si="4662"/>
        <v>#N/A</v>
      </c>
      <c r="J2316" s="40" t="e">
        <f t="shared" si="4662"/>
        <v>#N/A</v>
      </c>
      <c r="K2316" s="16" t="e">
        <f t="shared" si="4662"/>
        <v>#N/A</v>
      </c>
      <c r="L2316" s="40" t="e">
        <f t="shared" si="4233"/>
        <v>#N/A</v>
      </c>
      <c r="M2316" s="16" t="e">
        <f t="shared" si="4234"/>
        <v>#N/A</v>
      </c>
      <c r="N2316" s="16" t="e">
        <f t="shared" si="4235"/>
        <v>#N/A</v>
      </c>
      <c r="O2316" s="16" t="s">
        <v>71</v>
      </c>
      <c r="P2316" s="16" t="str">
        <f t="shared" si="6"/>
        <v/>
      </c>
      <c r="Q2316" s="41" t="e">
        <f t="shared" si="4236"/>
        <v>#N/A</v>
      </c>
      <c r="R2316" s="44"/>
      <c r="S2316" s="44"/>
      <c r="T2316" s="43"/>
      <c r="U2316" s="43" t="str">
        <f t="shared" si="8"/>
        <v>No</v>
      </c>
      <c r="V2316" s="25"/>
      <c r="W2316" s="25"/>
      <c r="X2316" s="25"/>
      <c r="Y2316" s="25"/>
      <c r="Z2316" s="25"/>
    </row>
    <row r="2317" spans="1:26" ht="15.75" customHeight="1" x14ac:dyDescent="0.25">
      <c r="A2317" s="25">
        <v>2315</v>
      </c>
      <c r="B2317" s="37" t="e">
        <f t="shared" ref="B2317:D2317" si="4663">VLOOKUP($A2317,[7]Hábitat!$A$2:$O$184,B$1,0)</f>
        <v>#N/A</v>
      </c>
      <c r="C2317" s="38" t="e">
        <f t="shared" si="4663"/>
        <v>#N/A</v>
      </c>
      <c r="D2317" s="39" t="e">
        <f t="shared" si="4663"/>
        <v>#N/A</v>
      </c>
      <c r="E2317" s="16" t="e">
        <f t="shared" si="1"/>
        <v>#N/A</v>
      </c>
      <c r="F2317" s="16" t="e">
        <f t="shared" ref="F2317:K2317" si="4664">VLOOKUP($A2317,[7]Hábitat!$A$2:$O$184,F$1,0)</f>
        <v>#N/A</v>
      </c>
      <c r="G2317" s="39" t="e">
        <f t="shared" si="4664"/>
        <v>#N/A</v>
      </c>
      <c r="H2317" s="16" t="e">
        <f t="shared" si="4664"/>
        <v>#N/A</v>
      </c>
      <c r="I2317" s="16" t="e">
        <f t="shared" si="4664"/>
        <v>#N/A</v>
      </c>
      <c r="J2317" s="40" t="e">
        <f t="shared" si="4664"/>
        <v>#N/A</v>
      </c>
      <c r="K2317" s="16" t="e">
        <f t="shared" si="4664"/>
        <v>#N/A</v>
      </c>
      <c r="L2317" s="40" t="e">
        <f t="shared" si="4233"/>
        <v>#N/A</v>
      </c>
      <c r="M2317" s="16" t="e">
        <f t="shared" si="4234"/>
        <v>#N/A</v>
      </c>
      <c r="N2317" s="16" t="e">
        <f t="shared" si="4235"/>
        <v>#N/A</v>
      </c>
      <c r="O2317" s="16" t="s">
        <v>71</v>
      </c>
      <c r="P2317" s="16" t="str">
        <f t="shared" si="6"/>
        <v/>
      </c>
      <c r="Q2317" s="41" t="e">
        <f t="shared" si="4236"/>
        <v>#N/A</v>
      </c>
      <c r="R2317" s="44"/>
      <c r="S2317" s="44"/>
      <c r="T2317" s="43"/>
      <c r="U2317" s="43" t="str">
        <f t="shared" si="8"/>
        <v>No</v>
      </c>
      <c r="V2317" s="25"/>
      <c r="W2317" s="25"/>
      <c r="X2317" s="25"/>
      <c r="Y2317" s="25"/>
      <c r="Z2317" s="25"/>
    </row>
    <row r="2318" spans="1:26" ht="15.75" customHeight="1" x14ac:dyDescent="0.25">
      <c r="A2318" s="25">
        <v>2316</v>
      </c>
      <c r="B2318" s="37" t="e">
        <f t="shared" ref="B2318:D2318" si="4665">VLOOKUP($A2318,[7]Hábitat!$A$2:$O$184,B$1,0)</f>
        <v>#N/A</v>
      </c>
      <c r="C2318" s="38" t="e">
        <f t="shared" si="4665"/>
        <v>#N/A</v>
      </c>
      <c r="D2318" s="39" t="e">
        <f t="shared" si="4665"/>
        <v>#N/A</v>
      </c>
      <c r="E2318" s="16" t="e">
        <f t="shared" si="1"/>
        <v>#N/A</v>
      </c>
      <c r="F2318" s="16" t="e">
        <f t="shared" ref="F2318:K2318" si="4666">VLOOKUP($A2318,[7]Hábitat!$A$2:$O$184,F$1,0)</f>
        <v>#N/A</v>
      </c>
      <c r="G2318" s="39" t="e">
        <f t="shared" si="4666"/>
        <v>#N/A</v>
      </c>
      <c r="H2318" s="16" t="e">
        <f t="shared" si="4666"/>
        <v>#N/A</v>
      </c>
      <c r="I2318" s="16" t="e">
        <f t="shared" si="4666"/>
        <v>#N/A</v>
      </c>
      <c r="J2318" s="40" t="e">
        <f t="shared" si="4666"/>
        <v>#N/A</v>
      </c>
      <c r="K2318" s="16" t="e">
        <f t="shared" si="4666"/>
        <v>#N/A</v>
      </c>
      <c r="L2318" s="40" t="e">
        <f t="shared" si="4233"/>
        <v>#N/A</v>
      </c>
      <c r="M2318" s="16" t="e">
        <f t="shared" si="4234"/>
        <v>#N/A</v>
      </c>
      <c r="N2318" s="16" t="e">
        <f t="shared" si="4235"/>
        <v>#N/A</v>
      </c>
      <c r="O2318" s="16" t="s">
        <v>71</v>
      </c>
      <c r="P2318" s="16" t="str">
        <f t="shared" si="6"/>
        <v/>
      </c>
      <c r="Q2318" s="41" t="e">
        <f t="shared" si="4236"/>
        <v>#N/A</v>
      </c>
      <c r="R2318" s="44"/>
      <c r="S2318" s="44"/>
      <c r="T2318" s="43"/>
      <c r="U2318" s="43" t="str">
        <f t="shared" si="8"/>
        <v>No</v>
      </c>
      <c r="V2318" s="25"/>
      <c r="W2318" s="25"/>
      <c r="X2318" s="25"/>
      <c r="Y2318" s="25"/>
      <c r="Z2318" s="25"/>
    </row>
    <row r="2319" spans="1:26" ht="15.75" customHeight="1" x14ac:dyDescent="0.25">
      <c r="A2319" s="25">
        <v>2317</v>
      </c>
      <c r="B2319" s="37" t="e">
        <f t="shared" ref="B2319:D2319" si="4667">VLOOKUP($A2319,[7]Hábitat!$A$2:$O$184,B$1,0)</f>
        <v>#N/A</v>
      </c>
      <c r="C2319" s="38" t="e">
        <f t="shared" si="4667"/>
        <v>#N/A</v>
      </c>
      <c r="D2319" s="39" t="e">
        <f t="shared" si="4667"/>
        <v>#N/A</v>
      </c>
      <c r="E2319" s="16" t="e">
        <f t="shared" si="1"/>
        <v>#N/A</v>
      </c>
      <c r="F2319" s="16" t="e">
        <f t="shared" ref="F2319:K2319" si="4668">VLOOKUP($A2319,[7]Hábitat!$A$2:$O$184,F$1,0)</f>
        <v>#N/A</v>
      </c>
      <c r="G2319" s="39" t="e">
        <f t="shared" si="4668"/>
        <v>#N/A</v>
      </c>
      <c r="H2319" s="16" t="e">
        <f t="shared" si="4668"/>
        <v>#N/A</v>
      </c>
      <c r="I2319" s="16" t="e">
        <f t="shared" si="4668"/>
        <v>#N/A</v>
      </c>
      <c r="J2319" s="40" t="e">
        <f t="shared" si="4668"/>
        <v>#N/A</v>
      </c>
      <c r="K2319" s="16" t="e">
        <f t="shared" si="4668"/>
        <v>#N/A</v>
      </c>
      <c r="L2319" s="40" t="e">
        <f t="shared" si="4233"/>
        <v>#N/A</v>
      </c>
      <c r="M2319" s="16" t="e">
        <f t="shared" si="4234"/>
        <v>#N/A</v>
      </c>
      <c r="N2319" s="16" t="e">
        <f t="shared" si="4235"/>
        <v>#N/A</v>
      </c>
      <c r="O2319" s="16" t="s">
        <v>71</v>
      </c>
      <c r="P2319" s="16" t="str">
        <f t="shared" si="6"/>
        <v/>
      </c>
      <c r="Q2319" s="41" t="e">
        <f t="shared" si="4236"/>
        <v>#N/A</v>
      </c>
      <c r="R2319" s="44"/>
      <c r="S2319" s="44"/>
      <c r="T2319" s="43"/>
      <c r="U2319" s="43" t="str">
        <f t="shared" si="8"/>
        <v>No</v>
      </c>
      <c r="V2319" s="25"/>
      <c r="W2319" s="25"/>
      <c r="X2319" s="25"/>
      <c r="Y2319" s="25"/>
      <c r="Z2319" s="25"/>
    </row>
    <row r="2320" spans="1:26" ht="15.75" customHeight="1" x14ac:dyDescent="0.25">
      <c r="A2320" s="25">
        <v>2318</v>
      </c>
      <c r="B2320" s="37" t="e">
        <f t="shared" ref="B2320:D2320" si="4669">VLOOKUP($A2320,[7]Hábitat!$A$2:$O$184,B$1,0)</f>
        <v>#N/A</v>
      </c>
      <c r="C2320" s="38" t="e">
        <f t="shared" si="4669"/>
        <v>#N/A</v>
      </c>
      <c r="D2320" s="39" t="e">
        <f t="shared" si="4669"/>
        <v>#N/A</v>
      </c>
      <c r="E2320" s="16" t="e">
        <f t="shared" si="1"/>
        <v>#N/A</v>
      </c>
      <c r="F2320" s="16" t="e">
        <f t="shared" ref="F2320:K2320" si="4670">VLOOKUP($A2320,[7]Hábitat!$A$2:$O$184,F$1,0)</f>
        <v>#N/A</v>
      </c>
      <c r="G2320" s="39" t="e">
        <f t="shared" si="4670"/>
        <v>#N/A</v>
      </c>
      <c r="H2320" s="16" t="e">
        <f t="shared" si="4670"/>
        <v>#N/A</v>
      </c>
      <c r="I2320" s="16" t="e">
        <f t="shared" si="4670"/>
        <v>#N/A</v>
      </c>
      <c r="J2320" s="40" t="e">
        <f t="shared" si="4670"/>
        <v>#N/A</v>
      </c>
      <c r="K2320" s="16" t="e">
        <f t="shared" si="4670"/>
        <v>#N/A</v>
      </c>
      <c r="L2320" s="40" t="e">
        <f t="shared" si="4233"/>
        <v>#N/A</v>
      </c>
      <c r="M2320" s="16" t="e">
        <f t="shared" si="4234"/>
        <v>#N/A</v>
      </c>
      <c r="N2320" s="16" t="e">
        <f t="shared" si="4235"/>
        <v>#N/A</v>
      </c>
      <c r="O2320" s="16" t="s">
        <v>71</v>
      </c>
      <c r="P2320" s="16" t="str">
        <f t="shared" si="6"/>
        <v/>
      </c>
      <c r="Q2320" s="41" t="e">
        <f t="shared" si="4236"/>
        <v>#N/A</v>
      </c>
      <c r="R2320" s="44"/>
      <c r="S2320" s="44"/>
      <c r="T2320" s="43"/>
      <c r="U2320" s="43" t="str">
        <f t="shared" si="8"/>
        <v>No</v>
      </c>
      <c r="V2320" s="25"/>
      <c r="W2320" s="25"/>
      <c r="X2320" s="25"/>
      <c r="Y2320" s="25"/>
      <c r="Z2320" s="25"/>
    </row>
    <row r="2321" spans="1:26" ht="15.75" customHeight="1" x14ac:dyDescent="0.25">
      <c r="A2321" s="25">
        <v>2319</v>
      </c>
      <c r="B2321" s="37" t="e">
        <f t="shared" ref="B2321:D2321" si="4671">VLOOKUP($A2321,[7]Hábitat!$A$2:$O$184,B$1,0)</f>
        <v>#N/A</v>
      </c>
      <c r="C2321" s="38" t="e">
        <f t="shared" si="4671"/>
        <v>#N/A</v>
      </c>
      <c r="D2321" s="39" t="e">
        <f t="shared" si="4671"/>
        <v>#N/A</v>
      </c>
      <c r="E2321" s="16" t="e">
        <f t="shared" si="1"/>
        <v>#N/A</v>
      </c>
      <c r="F2321" s="16" t="e">
        <f t="shared" ref="F2321:K2321" si="4672">VLOOKUP($A2321,[7]Hábitat!$A$2:$O$184,F$1,0)</f>
        <v>#N/A</v>
      </c>
      <c r="G2321" s="39" t="e">
        <f t="shared" si="4672"/>
        <v>#N/A</v>
      </c>
      <c r="H2321" s="16" t="e">
        <f t="shared" si="4672"/>
        <v>#N/A</v>
      </c>
      <c r="I2321" s="16" t="e">
        <f t="shared" si="4672"/>
        <v>#N/A</v>
      </c>
      <c r="J2321" s="40" t="e">
        <f t="shared" si="4672"/>
        <v>#N/A</v>
      </c>
      <c r="K2321" s="16" t="e">
        <f t="shared" si="4672"/>
        <v>#N/A</v>
      </c>
      <c r="L2321" s="40" t="e">
        <f t="shared" si="4233"/>
        <v>#N/A</v>
      </c>
      <c r="M2321" s="16" t="e">
        <f t="shared" si="4234"/>
        <v>#N/A</v>
      </c>
      <c r="N2321" s="16" t="e">
        <f t="shared" si="4235"/>
        <v>#N/A</v>
      </c>
      <c r="O2321" s="16" t="s">
        <v>71</v>
      </c>
      <c r="P2321" s="16" t="str">
        <f t="shared" si="6"/>
        <v/>
      </c>
      <c r="Q2321" s="41" t="e">
        <f t="shared" si="4236"/>
        <v>#N/A</v>
      </c>
      <c r="R2321" s="44"/>
      <c r="S2321" s="44"/>
      <c r="T2321" s="43"/>
      <c r="U2321" s="43" t="str">
        <f t="shared" si="8"/>
        <v>No</v>
      </c>
      <c r="V2321" s="25"/>
      <c r="W2321" s="25"/>
      <c r="X2321" s="25"/>
      <c r="Y2321" s="25"/>
      <c r="Z2321" s="25"/>
    </row>
    <row r="2322" spans="1:26" ht="15.75" customHeight="1" x14ac:dyDescent="0.25">
      <c r="A2322" s="25">
        <v>2320</v>
      </c>
      <c r="B2322" s="37" t="e">
        <f t="shared" ref="B2322:D2322" si="4673">VLOOKUP($A2322,[7]Hábitat!$A$2:$O$184,B$1,0)</f>
        <v>#N/A</v>
      </c>
      <c r="C2322" s="38" t="e">
        <f t="shared" si="4673"/>
        <v>#N/A</v>
      </c>
      <c r="D2322" s="39" t="e">
        <f t="shared" si="4673"/>
        <v>#N/A</v>
      </c>
      <c r="E2322" s="16" t="e">
        <f t="shared" si="1"/>
        <v>#N/A</v>
      </c>
      <c r="F2322" s="16" t="e">
        <f t="shared" ref="F2322:K2322" si="4674">VLOOKUP($A2322,[7]Hábitat!$A$2:$O$184,F$1,0)</f>
        <v>#N/A</v>
      </c>
      <c r="G2322" s="39" t="e">
        <f t="shared" si="4674"/>
        <v>#N/A</v>
      </c>
      <c r="H2322" s="16" t="e">
        <f t="shared" si="4674"/>
        <v>#N/A</v>
      </c>
      <c r="I2322" s="16" t="e">
        <f t="shared" si="4674"/>
        <v>#N/A</v>
      </c>
      <c r="J2322" s="40" t="e">
        <f t="shared" si="4674"/>
        <v>#N/A</v>
      </c>
      <c r="K2322" s="16" t="e">
        <f t="shared" si="4674"/>
        <v>#N/A</v>
      </c>
      <c r="L2322" s="40" t="e">
        <f t="shared" si="4233"/>
        <v>#N/A</v>
      </c>
      <c r="M2322" s="16" t="e">
        <f t="shared" si="4234"/>
        <v>#N/A</v>
      </c>
      <c r="N2322" s="16" t="e">
        <f t="shared" si="4235"/>
        <v>#N/A</v>
      </c>
      <c r="O2322" s="16" t="s">
        <v>71</v>
      </c>
      <c r="P2322" s="16" t="str">
        <f t="shared" si="6"/>
        <v/>
      </c>
      <c r="Q2322" s="41" t="e">
        <f t="shared" si="4236"/>
        <v>#N/A</v>
      </c>
      <c r="R2322" s="44"/>
      <c r="S2322" s="44"/>
      <c r="T2322" s="43"/>
      <c r="U2322" s="43" t="str">
        <f t="shared" si="8"/>
        <v>No</v>
      </c>
      <c r="V2322" s="25"/>
      <c r="W2322" s="25"/>
      <c r="X2322" s="25"/>
      <c r="Y2322" s="25"/>
      <c r="Z2322" s="25"/>
    </row>
    <row r="2323" spans="1:26" ht="15.75" customHeight="1" x14ac:dyDescent="0.25">
      <c r="A2323" s="25">
        <v>2321</v>
      </c>
      <c r="B2323" s="37" t="e">
        <f t="shared" ref="B2323:D2323" si="4675">VLOOKUP($A2323,[7]Hábitat!$A$2:$O$184,B$1,0)</f>
        <v>#N/A</v>
      </c>
      <c r="C2323" s="38" t="e">
        <f t="shared" si="4675"/>
        <v>#N/A</v>
      </c>
      <c r="D2323" s="39" t="e">
        <f t="shared" si="4675"/>
        <v>#N/A</v>
      </c>
      <c r="E2323" s="16" t="e">
        <f t="shared" si="1"/>
        <v>#N/A</v>
      </c>
      <c r="F2323" s="16" t="e">
        <f t="shared" ref="F2323:K2323" si="4676">VLOOKUP($A2323,[7]Hábitat!$A$2:$O$184,F$1,0)</f>
        <v>#N/A</v>
      </c>
      <c r="G2323" s="39" t="e">
        <f t="shared" si="4676"/>
        <v>#N/A</v>
      </c>
      <c r="H2323" s="16" t="e">
        <f t="shared" si="4676"/>
        <v>#N/A</v>
      </c>
      <c r="I2323" s="16" t="e">
        <f t="shared" si="4676"/>
        <v>#N/A</v>
      </c>
      <c r="J2323" s="40" t="e">
        <f t="shared" si="4676"/>
        <v>#N/A</v>
      </c>
      <c r="K2323" s="16" t="e">
        <f t="shared" si="4676"/>
        <v>#N/A</v>
      </c>
      <c r="L2323" s="40" t="e">
        <f t="shared" si="4233"/>
        <v>#N/A</v>
      </c>
      <c r="M2323" s="16" t="e">
        <f t="shared" si="4234"/>
        <v>#N/A</v>
      </c>
      <c r="N2323" s="16" t="e">
        <f t="shared" si="4235"/>
        <v>#N/A</v>
      </c>
      <c r="O2323" s="16" t="s">
        <v>71</v>
      </c>
      <c r="P2323" s="16" t="str">
        <f t="shared" si="6"/>
        <v/>
      </c>
      <c r="Q2323" s="41" t="e">
        <f t="shared" si="4236"/>
        <v>#N/A</v>
      </c>
      <c r="R2323" s="44"/>
      <c r="S2323" s="44"/>
      <c r="T2323" s="43"/>
      <c r="U2323" s="43" t="str">
        <f t="shared" si="8"/>
        <v>No</v>
      </c>
      <c r="V2323" s="25"/>
      <c r="W2323" s="25"/>
      <c r="X2323" s="25"/>
      <c r="Y2323" s="25"/>
      <c r="Z2323" s="25"/>
    </row>
    <row r="2324" spans="1:26" ht="15.75" customHeight="1" x14ac:dyDescent="0.25">
      <c r="A2324" s="25">
        <v>2322</v>
      </c>
      <c r="B2324" s="37" t="e">
        <f t="shared" ref="B2324:D2324" si="4677">VLOOKUP($A2324,[7]Hábitat!$A$2:$O$184,B$1,0)</f>
        <v>#N/A</v>
      </c>
      <c r="C2324" s="38" t="e">
        <f t="shared" si="4677"/>
        <v>#N/A</v>
      </c>
      <c r="D2324" s="39" t="e">
        <f t="shared" si="4677"/>
        <v>#N/A</v>
      </c>
      <c r="E2324" s="16" t="e">
        <f t="shared" si="1"/>
        <v>#N/A</v>
      </c>
      <c r="F2324" s="16" t="e">
        <f t="shared" ref="F2324:K2324" si="4678">VLOOKUP($A2324,[7]Hábitat!$A$2:$O$184,F$1,0)</f>
        <v>#N/A</v>
      </c>
      <c r="G2324" s="39" t="e">
        <f t="shared" si="4678"/>
        <v>#N/A</v>
      </c>
      <c r="H2324" s="16" t="e">
        <f t="shared" si="4678"/>
        <v>#N/A</v>
      </c>
      <c r="I2324" s="16" t="e">
        <f t="shared" si="4678"/>
        <v>#N/A</v>
      </c>
      <c r="J2324" s="40" t="e">
        <f t="shared" si="4678"/>
        <v>#N/A</v>
      </c>
      <c r="K2324" s="16" t="e">
        <f t="shared" si="4678"/>
        <v>#N/A</v>
      </c>
      <c r="L2324" s="40" t="e">
        <f t="shared" si="4233"/>
        <v>#N/A</v>
      </c>
      <c r="M2324" s="16" t="e">
        <f t="shared" si="4234"/>
        <v>#N/A</v>
      </c>
      <c r="N2324" s="16" t="e">
        <f t="shared" si="4235"/>
        <v>#N/A</v>
      </c>
      <c r="O2324" s="16" t="s">
        <v>71</v>
      </c>
      <c r="P2324" s="16" t="str">
        <f t="shared" si="6"/>
        <v/>
      </c>
      <c r="Q2324" s="41" t="e">
        <f t="shared" si="4236"/>
        <v>#N/A</v>
      </c>
      <c r="R2324" s="44"/>
      <c r="S2324" s="44"/>
      <c r="T2324" s="43"/>
      <c r="U2324" s="43" t="str">
        <f t="shared" si="8"/>
        <v>No</v>
      </c>
      <c r="V2324" s="25"/>
      <c r="W2324" s="25"/>
      <c r="X2324" s="25"/>
      <c r="Y2324" s="25"/>
      <c r="Z2324" s="25"/>
    </row>
    <row r="2325" spans="1:26" ht="15.75" customHeight="1" x14ac:dyDescent="0.25">
      <c r="A2325" s="25">
        <v>2323</v>
      </c>
      <c r="B2325" s="37" t="e">
        <f t="shared" ref="B2325:D2325" si="4679">VLOOKUP($A2325,[7]Hábitat!$A$2:$O$184,B$1,0)</f>
        <v>#N/A</v>
      </c>
      <c r="C2325" s="38" t="e">
        <f t="shared" si="4679"/>
        <v>#N/A</v>
      </c>
      <c r="D2325" s="39" t="e">
        <f t="shared" si="4679"/>
        <v>#N/A</v>
      </c>
      <c r="E2325" s="16" t="e">
        <f t="shared" si="1"/>
        <v>#N/A</v>
      </c>
      <c r="F2325" s="16" t="e">
        <f t="shared" ref="F2325:K2325" si="4680">VLOOKUP($A2325,[7]Hábitat!$A$2:$O$184,F$1,0)</f>
        <v>#N/A</v>
      </c>
      <c r="G2325" s="39" t="e">
        <f t="shared" si="4680"/>
        <v>#N/A</v>
      </c>
      <c r="H2325" s="16" t="e">
        <f t="shared" si="4680"/>
        <v>#N/A</v>
      </c>
      <c r="I2325" s="16" t="e">
        <f t="shared" si="4680"/>
        <v>#N/A</v>
      </c>
      <c r="J2325" s="40" t="e">
        <f t="shared" si="4680"/>
        <v>#N/A</v>
      </c>
      <c r="K2325" s="16" t="e">
        <f t="shared" si="4680"/>
        <v>#N/A</v>
      </c>
      <c r="L2325" s="40" t="e">
        <f t="shared" si="4233"/>
        <v>#N/A</v>
      </c>
      <c r="M2325" s="16" t="e">
        <f t="shared" si="4234"/>
        <v>#N/A</v>
      </c>
      <c r="N2325" s="16" t="e">
        <f t="shared" si="4235"/>
        <v>#N/A</v>
      </c>
      <c r="O2325" s="16" t="s">
        <v>71</v>
      </c>
      <c r="P2325" s="16" t="str">
        <f t="shared" si="6"/>
        <v/>
      </c>
      <c r="Q2325" s="41" t="e">
        <f t="shared" si="4236"/>
        <v>#N/A</v>
      </c>
      <c r="R2325" s="44"/>
      <c r="S2325" s="44"/>
      <c r="T2325" s="43"/>
      <c r="U2325" s="43" t="str">
        <f t="shared" si="8"/>
        <v>No</v>
      </c>
      <c r="V2325" s="25"/>
      <c r="W2325" s="25"/>
      <c r="X2325" s="25"/>
      <c r="Y2325" s="25"/>
      <c r="Z2325" s="25"/>
    </row>
    <row r="2326" spans="1:26" ht="15.75" customHeight="1" x14ac:dyDescent="0.25">
      <c r="A2326" s="25">
        <v>2324</v>
      </c>
      <c r="B2326" s="37" t="e">
        <f t="shared" ref="B2326:D2326" si="4681">VLOOKUP($A2326,[7]Hábitat!$A$2:$O$184,B$1,0)</f>
        <v>#N/A</v>
      </c>
      <c r="C2326" s="38" t="e">
        <f t="shared" si="4681"/>
        <v>#N/A</v>
      </c>
      <c r="D2326" s="39" t="e">
        <f t="shared" si="4681"/>
        <v>#N/A</v>
      </c>
      <c r="E2326" s="16" t="e">
        <f t="shared" si="1"/>
        <v>#N/A</v>
      </c>
      <c r="F2326" s="16" t="e">
        <f t="shared" ref="F2326:K2326" si="4682">VLOOKUP($A2326,[7]Hábitat!$A$2:$O$184,F$1,0)</f>
        <v>#N/A</v>
      </c>
      <c r="G2326" s="39" t="e">
        <f t="shared" si="4682"/>
        <v>#N/A</v>
      </c>
      <c r="H2326" s="16" t="e">
        <f t="shared" si="4682"/>
        <v>#N/A</v>
      </c>
      <c r="I2326" s="16" t="e">
        <f t="shared" si="4682"/>
        <v>#N/A</v>
      </c>
      <c r="J2326" s="40" t="e">
        <f t="shared" si="4682"/>
        <v>#N/A</v>
      </c>
      <c r="K2326" s="16" t="e">
        <f t="shared" si="4682"/>
        <v>#N/A</v>
      </c>
      <c r="L2326" s="40" t="e">
        <f t="shared" si="4233"/>
        <v>#N/A</v>
      </c>
      <c r="M2326" s="16" t="e">
        <f t="shared" si="4234"/>
        <v>#N/A</v>
      </c>
      <c r="N2326" s="16" t="e">
        <f t="shared" si="4235"/>
        <v>#N/A</v>
      </c>
      <c r="O2326" s="16" t="s">
        <v>71</v>
      </c>
      <c r="P2326" s="16" t="str">
        <f t="shared" si="6"/>
        <v/>
      </c>
      <c r="Q2326" s="41" t="e">
        <f t="shared" si="4236"/>
        <v>#N/A</v>
      </c>
      <c r="R2326" s="44"/>
      <c r="S2326" s="44"/>
      <c r="T2326" s="43"/>
      <c r="U2326" s="43" t="str">
        <f t="shared" si="8"/>
        <v>No</v>
      </c>
      <c r="V2326" s="25"/>
      <c r="W2326" s="25"/>
      <c r="X2326" s="25"/>
      <c r="Y2326" s="25"/>
      <c r="Z2326" s="25"/>
    </row>
    <row r="2327" spans="1:26" ht="15.75" customHeight="1" x14ac:dyDescent="0.25">
      <c r="A2327" s="25">
        <v>2325</v>
      </c>
      <c r="B2327" s="37" t="e">
        <f t="shared" ref="B2327:D2327" si="4683">VLOOKUP($A2327,[7]Hábitat!$A$2:$O$184,B$1,0)</f>
        <v>#N/A</v>
      </c>
      <c r="C2327" s="38" t="e">
        <f t="shared" si="4683"/>
        <v>#N/A</v>
      </c>
      <c r="D2327" s="39" t="e">
        <f t="shared" si="4683"/>
        <v>#N/A</v>
      </c>
      <c r="E2327" s="16" t="e">
        <f t="shared" si="1"/>
        <v>#N/A</v>
      </c>
      <c r="F2327" s="16" t="e">
        <f t="shared" ref="F2327:K2327" si="4684">VLOOKUP($A2327,[7]Hábitat!$A$2:$O$184,F$1,0)</f>
        <v>#N/A</v>
      </c>
      <c r="G2327" s="39" t="e">
        <f t="shared" si="4684"/>
        <v>#N/A</v>
      </c>
      <c r="H2327" s="16" t="e">
        <f t="shared" si="4684"/>
        <v>#N/A</v>
      </c>
      <c r="I2327" s="16" t="e">
        <f t="shared" si="4684"/>
        <v>#N/A</v>
      </c>
      <c r="J2327" s="40" t="e">
        <f t="shared" si="4684"/>
        <v>#N/A</v>
      </c>
      <c r="K2327" s="16" t="e">
        <f t="shared" si="4684"/>
        <v>#N/A</v>
      </c>
      <c r="L2327" s="40" t="e">
        <f t="shared" si="4233"/>
        <v>#N/A</v>
      </c>
      <c r="M2327" s="16" t="e">
        <f t="shared" si="4234"/>
        <v>#N/A</v>
      </c>
      <c r="N2327" s="16" t="e">
        <f t="shared" si="4235"/>
        <v>#N/A</v>
      </c>
      <c r="O2327" s="16" t="s">
        <v>71</v>
      </c>
      <c r="P2327" s="16" t="str">
        <f t="shared" si="6"/>
        <v/>
      </c>
      <c r="Q2327" s="41" t="e">
        <f t="shared" si="4236"/>
        <v>#N/A</v>
      </c>
      <c r="R2327" s="44"/>
      <c r="S2327" s="44"/>
      <c r="T2327" s="43"/>
      <c r="U2327" s="43" t="str">
        <f t="shared" si="8"/>
        <v>No</v>
      </c>
      <c r="V2327" s="25"/>
      <c r="W2327" s="25"/>
      <c r="X2327" s="25"/>
      <c r="Y2327" s="25"/>
      <c r="Z2327" s="25"/>
    </row>
    <row r="2328" spans="1:26" ht="15.75" customHeight="1" x14ac:dyDescent="0.25">
      <c r="A2328" s="25">
        <v>2326</v>
      </c>
      <c r="B2328" s="37" t="e">
        <f t="shared" ref="B2328:D2328" si="4685">VLOOKUP($A2328,[7]Hábitat!$A$2:$O$184,B$1,0)</f>
        <v>#N/A</v>
      </c>
      <c r="C2328" s="38" t="e">
        <f t="shared" si="4685"/>
        <v>#N/A</v>
      </c>
      <c r="D2328" s="39" t="e">
        <f t="shared" si="4685"/>
        <v>#N/A</v>
      </c>
      <c r="E2328" s="16" t="e">
        <f t="shared" si="1"/>
        <v>#N/A</v>
      </c>
      <c r="F2328" s="16" t="e">
        <f t="shared" ref="F2328:K2328" si="4686">VLOOKUP($A2328,[7]Hábitat!$A$2:$O$184,F$1,0)</f>
        <v>#N/A</v>
      </c>
      <c r="G2328" s="39" t="e">
        <f t="shared" si="4686"/>
        <v>#N/A</v>
      </c>
      <c r="H2328" s="16" t="e">
        <f t="shared" si="4686"/>
        <v>#N/A</v>
      </c>
      <c r="I2328" s="16" t="e">
        <f t="shared" si="4686"/>
        <v>#N/A</v>
      </c>
      <c r="J2328" s="40" t="e">
        <f t="shared" si="4686"/>
        <v>#N/A</v>
      </c>
      <c r="K2328" s="16" t="e">
        <f t="shared" si="4686"/>
        <v>#N/A</v>
      </c>
      <c r="L2328" s="40" t="e">
        <f t="shared" si="4233"/>
        <v>#N/A</v>
      </c>
      <c r="M2328" s="16" t="e">
        <f t="shared" si="4234"/>
        <v>#N/A</v>
      </c>
      <c r="N2328" s="16" t="e">
        <f t="shared" si="4235"/>
        <v>#N/A</v>
      </c>
      <c r="O2328" s="16" t="s">
        <v>71</v>
      </c>
      <c r="P2328" s="16" t="str">
        <f t="shared" si="6"/>
        <v/>
      </c>
      <c r="Q2328" s="41" t="e">
        <f t="shared" si="4236"/>
        <v>#N/A</v>
      </c>
      <c r="R2328" s="44"/>
      <c r="S2328" s="44"/>
      <c r="T2328" s="43"/>
      <c r="U2328" s="43" t="str">
        <f t="shared" si="8"/>
        <v>No</v>
      </c>
      <c r="V2328" s="25"/>
      <c r="W2328" s="25"/>
      <c r="X2328" s="25"/>
      <c r="Y2328" s="25"/>
      <c r="Z2328" s="25"/>
    </row>
    <row r="2329" spans="1:26" ht="15.75" customHeight="1" x14ac:dyDescent="0.25">
      <c r="A2329" s="25">
        <v>2327</v>
      </c>
      <c r="B2329" s="37" t="e">
        <f t="shared" ref="B2329:D2329" si="4687">VLOOKUP($A2329,[7]Hábitat!$A$2:$O$184,B$1,0)</f>
        <v>#N/A</v>
      </c>
      <c r="C2329" s="38" t="e">
        <f t="shared" si="4687"/>
        <v>#N/A</v>
      </c>
      <c r="D2329" s="39" t="e">
        <f t="shared" si="4687"/>
        <v>#N/A</v>
      </c>
      <c r="E2329" s="16" t="e">
        <f t="shared" si="1"/>
        <v>#N/A</v>
      </c>
      <c r="F2329" s="16" t="e">
        <f t="shared" ref="F2329:K2329" si="4688">VLOOKUP($A2329,[7]Hábitat!$A$2:$O$184,F$1,0)</f>
        <v>#N/A</v>
      </c>
      <c r="G2329" s="39" t="e">
        <f t="shared" si="4688"/>
        <v>#N/A</v>
      </c>
      <c r="H2329" s="16" t="e">
        <f t="shared" si="4688"/>
        <v>#N/A</v>
      </c>
      <c r="I2329" s="16" t="e">
        <f t="shared" si="4688"/>
        <v>#N/A</v>
      </c>
      <c r="J2329" s="40" t="e">
        <f t="shared" si="4688"/>
        <v>#N/A</v>
      </c>
      <c r="K2329" s="16" t="e">
        <f t="shared" si="4688"/>
        <v>#N/A</v>
      </c>
      <c r="L2329" s="40" t="e">
        <f t="shared" si="4233"/>
        <v>#N/A</v>
      </c>
      <c r="M2329" s="16" t="e">
        <f t="shared" si="4234"/>
        <v>#N/A</v>
      </c>
      <c r="N2329" s="16" t="e">
        <f t="shared" si="4235"/>
        <v>#N/A</v>
      </c>
      <c r="O2329" s="16" t="s">
        <v>71</v>
      </c>
      <c r="P2329" s="16" t="str">
        <f t="shared" si="6"/>
        <v/>
      </c>
      <c r="Q2329" s="41" t="e">
        <f t="shared" si="4236"/>
        <v>#N/A</v>
      </c>
      <c r="R2329" s="44"/>
      <c r="S2329" s="44"/>
      <c r="T2329" s="43"/>
      <c r="U2329" s="43" t="str">
        <f t="shared" si="8"/>
        <v>No</v>
      </c>
      <c r="V2329" s="25"/>
      <c r="W2329" s="25"/>
      <c r="X2329" s="25"/>
      <c r="Y2329" s="25"/>
      <c r="Z2329" s="25"/>
    </row>
    <row r="2330" spans="1:26" ht="15.75" customHeight="1" x14ac:dyDescent="0.25">
      <c r="A2330" s="25">
        <v>2328</v>
      </c>
      <c r="B2330" s="37" t="e">
        <f t="shared" ref="B2330:D2330" si="4689">VLOOKUP($A2330,[7]Hábitat!$A$2:$O$184,B$1,0)</f>
        <v>#N/A</v>
      </c>
      <c r="C2330" s="38" t="e">
        <f t="shared" si="4689"/>
        <v>#N/A</v>
      </c>
      <c r="D2330" s="39" t="e">
        <f t="shared" si="4689"/>
        <v>#N/A</v>
      </c>
      <c r="E2330" s="16" t="e">
        <f t="shared" si="1"/>
        <v>#N/A</v>
      </c>
      <c r="F2330" s="16" t="e">
        <f t="shared" ref="F2330:K2330" si="4690">VLOOKUP($A2330,[7]Hábitat!$A$2:$O$184,F$1,0)</f>
        <v>#N/A</v>
      </c>
      <c r="G2330" s="39" t="e">
        <f t="shared" si="4690"/>
        <v>#N/A</v>
      </c>
      <c r="H2330" s="16" t="e">
        <f t="shared" si="4690"/>
        <v>#N/A</v>
      </c>
      <c r="I2330" s="16" t="e">
        <f t="shared" si="4690"/>
        <v>#N/A</v>
      </c>
      <c r="J2330" s="40" t="e">
        <f t="shared" si="4690"/>
        <v>#N/A</v>
      </c>
      <c r="K2330" s="16" t="e">
        <f t="shared" si="4690"/>
        <v>#N/A</v>
      </c>
      <c r="L2330" s="40" t="e">
        <f t="shared" si="4233"/>
        <v>#N/A</v>
      </c>
      <c r="M2330" s="16" t="e">
        <f t="shared" si="4234"/>
        <v>#N/A</v>
      </c>
      <c r="N2330" s="16" t="e">
        <f t="shared" si="4235"/>
        <v>#N/A</v>
      </c>
      <c r="O2330" s="16" t="s">
        <v>71</v>
      </c>
      <c r="P2330" s="16" t="str">
        <f t="shared" si="6"/>
        <v/>
      </c>
      <c r="Q2330" s="41" t="e">
        <f t="shared" si="4236"/>
        <v>#N/A</v>
      </c>
      <c r="R2330" s="44"/>
      <c r="S2330" s="44"/>
      <c r="T2330" s="43"/>
      <c r="U2330" s="43" t="str">
        <f t="shared" si="8"/>
        <v>No</v>
      </c>
      <c r="V2330" s="25"/>
      <c r="W2330" s="25"/>
      <c r="X2330" s="25"/>
      <c r="Y2330" s="25"/>
      <c r="Z2330" s="25"/>
    </row>
    <row r="2331" spans="1:26" ht="15.75" customHeight="1" x14ac:dyDescent="0.25">
      <c r="A2331" s="25">
        <v>2329</v>
      </c>
      <c r="B2331" s="37" t="e">
        <f t="shared" ref="B2331:D2331" si="4691">VLOOKUP($A2331,[7]Hábitat!$A$2:$O$184,B$1,0)</f>
        <v>#N/A</v>
      </c>
      <c r="C2331" s="38" t="e">
        <f t="shared" si="4691"/>
        <v>#N/A</v>
      </c>
      <c r="D2331" s="39" t="e">
        <f t="shared" si="4691"/>
        <v>#N/A</v>
      </c>
      <c r="E2331" s="16" t="e">
        <f t="shared" si="1"/>
        <v>#N/A</v>
      </c>
      <c r="F2331" s="16" t="e">
        <f t="shared" ref="F2331:K2331" si="4692">VLOOKUP($A2331,[7]Hábitat!$A$2:$O$184,F$1,0)</f>
        <v>#N/A</v>
      </c>
      <c r="G2331" s="39" t="e">
        <f t="shared" si="4692"/>
        <v>#N/A</v>
      </c>
      <c r="H2331" s="16" t="e">
        <f t="shared" si="4692"/>
        <v>#N/A</v>
      </c>
      <c r="I2331" s="16" t="e">
        <f t="shared" si="4692"/>
        <v>#N/A</v>
      </c>
      <c r="J2331" s="40" t="e">
        <f t="shared" si="4692"/>
        <v>#N/A</v>
      </c>
      <c r="K2331" s="16" t="e">
        <f t="shared" si="4692"/>
        <v>#N/A</v>
      </c>
      <c r="L2331" s="40" t="e">
        <f t="shared" si="4233"/>
        <v>#N/A</v>
      </c>
      <c r="M2331" s="16" t="e">
        <f t="shared" si="4234"/>
        <v>#N/A</v>
      </c>
      <c r="N2331" s="16" t="e">
        <f t="shared" si="4235"/>
        <v>#N/A</v>
      </c>
      <c r="O2331" s="16" t="s">
        <v>71</v>
      </c>
      <c r="P2331" s="16" t="str">
        <f t="shared" si="6"/>
        <v/>
      </c>
      <c r="Q2331" s="41" t="e">
        <f t="shared" si="4236"/>
        <v>#N/A</v>
      </c>
      <c r="R2331" s="44"/>
      <c r="S2331" s="44"/>
      <c r="T2331" s="43"/>
      <c r="U2331" s="43" t="str">
        <f t="shared" si="8"/>
        <v>No</v>
      </c>
      <c r="V2331" s="25"/>
      <c r="W2331" s="25"/>
      <c r="X2331" s="25"/>
      <c r="Y2331" s="25"/>
      <c r="Z2331" s="25"/>
    </row>
    <row r="2332" spans="1:26" ht="15.75" customHeight="1" x14ac:dyDescent="0.25">
      <c r="A2332" s="25">
        <v>2330</v>
      </c>
      <c r="B2332" s="37" t="e">
        <f t="shared" ref="B2332:D2332" si="4693">VLOOKUP($A2332,[7]Hábitat!$A$2:$O$184,B$1,0)</f>
        <v>#N/A</v>
      </c>
      <c r="C2332" s="38" t="e">
        <f t="shared" si="4693"/>
        <v>#N/A</v>
      </c>
      <c r="D2332" s="39" t="e">
        <f t="shared" si="4693"/>
        <v>#N/A</v>
      </c>
      <c r="E2332" s="16" t="e">
        <f t="shared" si="1"/>
        <v>#N/A</v>
      </c>
      <c r="F2332" s="16" t="e">
        <f t="shared" ref="F2332:K2332" si="4694">VLOOKUP($A2332,[7]Hábitat!$A$2:$O$184,F$1,0)</f>
        <v>#N/A</v>
      </c>
      <c r="G2332" s="39" t="e">
        <f t="shared" si="4694"/>
        <v>#N/A</v>
      </c>
      <c r="H2332" s="16" t="e">
        <f t="shared" si="4694"/>
        <v>#N/A</v>
      </c>
      <c r="I2332" s="16" t="e">
        <f t="shared" si="4694"/>
        <v>#N/A</v>
      </c>
      <c r="J2332" s="40" t="e">
        <f t="shared" si="4694"/>
        <v>#N/A</v>
      </c>
      <c r="K2332" s="16" t="e">
        <f t="shared" si="4694"/>
        <v>#N/A</v>
      </c>
      <c r="L2332" s="40" t="e">
        <f t="shared" si="4233"/>
        <v>#N/A</v>
      </c>
      <c r="M2332" s="16" t="e">
        <f t="shared" si="4234"/>
        <v>#N/A</v>
      </c>
      <c r="N2332" s="16" t="e">
        <f t="shared" si="4235"/>
        <v>#N/A</v>
      </c>
      <c r="O2332" s="16" t="s">
        <v>71</v>
      </c>
      <c r="P2332" s="16" t="str">
        <f t="shared" si="6"/>
        <v/>
      </c>
      <c r="Q2332" s="41" t="e">
        <f t="shared" si="4236"/>
        <v>#N/A</v>
      </c>
      <c r="R2332" s="44"/>
      <c r="S2332" s="44"/>
      <c r="T2332" s="43"/>
      <c r="U2332" s="43" t="str">
        <f t="shared" si="8"/>
        <v>No</v>
      </c>
      <c r="V2332" s="25"/>
      <c r="W2332" s="25"/>
      <c r="X2332" s="25"/>
      <c r="Y2332" s="25"/>
      <c r="Z2332" s="25"/>
    </row>
    <row r="2333" spans="1:26" ht="15.75" customHeight="1" x14ac:dyDescent="0.25">
      <c r="A2333" s="25">
        <v>2331</v>
      </c>
      <c r="B2333" s="37" t="e">
        <f t="shared" ref="B2333:D2333" si="4695">VLOOKUP($A2333,[7]Hábitat!$A$2:$O$184,B$1,0)</f>
        <v>#N/A</v>
      </c>
      <c r="C2333" s="38" t="e">
        <f t="shared" si="4695"/>
        <v>#N/A</v>
      </c>
      <c r="D2333" s="39" t="e">
        <f t="shared" si="4695"/>
        <v>#N/A</v>
      </c>
      <c r="E2333" s="16" t="e">
        <f t="shared" si="1"/>
        <v>#N/A</v>
      </c>
      <c r="F2333" s="16" t="e">
        <f t="shared" ref="F2333:K2333" si="4696">VLOOKUP($A2333,[7]Hábitat!$A$2:$O$184,F$1,0)</f>
        <v>#N/A</v>
      </c>
      <c r="G2333" s="39" t="e">
        <f t="shared" si="4696"/>
        <v>#N/A</v>
      </c>
      <c r="H2333" s="16" t="e">
        <f t="shared" si="4696"/>
        <v>#N/A</v>
      </c>
      <c r="I2333" s="16" t="e">
        <f t="shared" si="4696"/>
        <v>#N/A</v>
      </c>
      <c r="J2333" s="40" t="e">
        <f t="shared" si="4696"/>
        <v>#N/A</v>
      </c>
      <c r="K2333" s="16" t="e">
        <f t="shared" si="4696"/>
        <v>#N/A</v>
      </c>
      <c r="L2333" s="40" t="e">
        <f t="shared" si="4233"/>
        <v>#N/A</v>
      </c>
      <c r="M2333" s="16" t="e">
        <f t="shared" si="4234"/>
        <v>#N/A</v>
      </c>
      <c r="N2333" s="16" t="e">
        <f t="shared" si="4235"/>
        <v>#N/A</v>
      </c>
      <c r="O2333" s="16" t="s">
        <v>71</v>
      </c>
      <c r="P2333" s="16" t="str">
        <f t="shared" si="6"/>
        <v/>
      </c>
      <c r="Q2333" s="41" t="e">
        <f t="shared" si="4236"/>
        <v>#N/A</v>
      </c>
      <c r="R2333" s="44"/>
      <c r="S2333" s="44"/>
      <c r="T2333" s="43"/>
      <c r="U2333" s="43" t="str">
        <f t="shared" si="8"/>
        <v>No</v>
      </c>
      <c r="V2333" s="25"/>
      <c r="W2333" s="25"/>
      <c r="X2333" s="25"/>
      <c r="Y2333" s="25"/>
      <c r="Z2333" s="25"/>
    </row>
    <row r="2334" spans="1:26" ht="15.75" customHeight="1" x14ac:dyDescent="0.25">
      <c r="A2334" s="25">
        <v>2332</v>
      </c>
      <c r="B2334" s="37" t="e">
        <f t="shared" ref="B2334:D2334" si="4697">VLOOKUP($A2334,[7]Hábitat!$A$2:$O$184,B$1,0)</f>
        <v>#N/A</v>
      </c>
      <c r="C2334" s="38" t="e">
        <f t="shared" si="4697"/>
        <v>#N/A</v>
      </c>
      <c r="D2334" s="39" t="e">
        <f t="shared" si="4697"/>
        <v>#N/A</v>
      </c>
      <c r="E2334" s="16" t="e">
        <f t="shared" si="1"/>
        <v>#N/A</v>
      </c>
      <c r="F2334" s="16" t="e">
        <f t="shared" ref="F2334:K2334" si="4698">VLOOKUP($A2334,[7]Hábitat!$A$2:$O$184,F$1,0)</f>
        <v>#N/A</v>
      </c>
      <c r="G2334" s="39" t="e">
        <f t="shared" si="4698"/>
        <v>#N/A</v>
      </c>
      <c r="H2334" s="16" t="e">
        <f t="shared" si="4698"/>
        <v>#N/A</v>
      </c>
      <c r="I2334" s="16" t="e">
        <f t="shared" si="4698"/>
        <v>#N/A</v>
      </c>
      <c r="J2334" s="40" t="e">
        <f t="shared" si="4698"/>
        <v>#N/A</v>
      </c>
      <c r="K2334" s="16" t="e">
        <f t="shared" si="4698"/>
        <v>#N/A</v>
      </c>
      <c r="L2334" s="40" t="e">
        <f t="shared" si="4233"/>
        <v>#N/A</v>
      </c>
      <c r="M2334" s="16" t="e">
        <f t="shared" si="4234"/>
        <v>#N/A</v>
      </c>
      <c r="N2334" s="16" t="e">
        <f t="shared" si="4235"/>
        <v>#N/A</v>
      </c>
      <c r="O2334" s="16" t="s">
        <v>71</v>
      </c>
      <c r="P2334" s="16" t="str">
        <f t="shared" si="6"/>
        <v/>
      </c>
      <c r="Q2334" s="41" t="e">
        <f t="shared" si="4236"/>
        <v>#N/A</v>
      </c>
      <c r="R2334" s="44"/>
      <c r="S2334" s="44"/>
      <c r="T2334" s="43"/>
      <c r="U2334" s="43" t="str">
        <f t="shared" si="8"/>
        <v>No</v>
      </c>
      <c r="V2334" s="25"/>
      <c r="W2334" s="25"/>
      <c r="X2334" s="25"/>
      <c r="Y2334" s="25"/>
      <c r="Z2334" s="25"/>
    </row>
    <row r="2335" spans="1:26" ht="15.75" customHeight="1" x14ac:dyDescent="0.25">
      <c r="A2335" s="25">
        <v>2333</v>
      </c>
      <c r="B2335" s="37" t="e">
        <f t="shared" ref="B2335:D2335" si="4699">VLOOKUP($A2335,[7]Hábitat!$A$2:$O$184,B$1,0)</f>
        <v>#N/A</v>
      </c>
      <c r="C2335" s="38" t="e">
        <f t="shared" si="4699"/>
        <v>#N/A</v>
      </c>
      <c r="D2335" s="39" t="e">
        <f t="shared" si="4699"/>
        <v>#N/A</v>
      </c>
      <c r="E2335" s="16" t="e">
        <f t="shared" si="1"/>
        <v>#N/A</v>
      </c>
      <c r="F2335" s="16" t="e">
        <f t="shared" ref="F2335:K2335" si="4700">VLOOKUP($A2335,[7]Hábitat!$A$2:$O$184,F$1,0)</f>
        <v>#N/A</v>
      </c>
      <c r="G2335" s="39" t="e">
        <f t="shared" si="4700"/>
        <v>#N/A</v>
      </c>
      <c r="H2335" s="16" t="e">
        <f t="shared" si="4700"/>
        <v>#N/A</v>
      </c>
      <c r="I2335" s="16" t="e">
        <f t="shared" si="4700"/>
        <v>#N/A</v>
      </c>
      <c r="J2335" s="40" t="e">
        <f t="shared" si="4700"/>
        <v>#N/A</v>
      </c>
      <c r="K2335" s="16" t="e">
        <f t="shared" si="4700"/>
        <v>#N/A</v>
      </c>
      <c r="L2335" s="40" t="e">
        <f t="shared" si="4233"/>
        <v>#N/A</v>
      </c>
      <c r="M2335" s="16" t="e">
        <f t="shared" si="4234"/>
        <v>#N/A</v>
      </c>
      <c r="N2335" s="16" t="e">
        <f t="shared" si="4235"/>
        <v>#N/A</v>
      </c>
      <c r="O2335" s="16" t="s">
        <v>71</v>
      </c>
      <c r="P2335" s="16" t="str">
        <f t="shared" si="6"/>
        <v/>
      </c>
      <c r="Q2335" s="41" t="e">
        <f t="shared" si="4236"/>
        <v>#N/A</v>
      </c>
      <c r="R2335" s="44"/>
      <c r="S2335" s="44"/>
      <c r="T2335" s="43"/>
      <c r="U2335" s="43" t="str">
        <f t="shared" si="8"/>
        <v>No</v>
      </c>
      <c r="V2335" s="25"/>
      <c r="W2335" s="25"/>
      <c r="X2335" s="25"/>
      <c r="Y2335" s="25"/>
      <c r="Z2335" s="25"/>
    </row>
    <row r="2336" spans="1:26" ht="15.75" customHeight="1" x14ac:dyDescent="0.25">
      <c r="A2336" s="25">
        <v>2334</v>
      </c>
      <c r="B2336" s="37" t="e">
        <f t="shared" ref="B2336:D2336" si="4701">VLOOKUP($A2336,[7]Hábitat!$A$2:$O$184,B$1,0)</f>
        <v>#N/A</v>
      </c>
      <c r="C2336" s="38" t="e">
        <f t="shared" si="4701"/>
        <v>#N/A</v>
      </c>
      <c r="D2336" s="39" t="e">
        <f t="shared" si="4701"/>
        <v>#N/A</v>
      </c>
      <c r="E2336" s="16" t="e">
        <f t="shared" si="1"/>
        <v>#N/A</v>
      </c>
      <c r="F2336" s="16" t="e">
        <f t="shared" ref="F2336:K2336" si="4702">VLOOKUP($A2336,[7]Hábitat!$A$2:$O$184,F$1,0)</f>
        <v>#N/A</v>
      </c>
      <c r="G2336" s="39" t="e">
        <f t="shared" si="4702"/>
        <v>#N/A</v>
      </c>
      <c r="H2336" s="16" t="e">
        <f t="shared" si="4702"/>
        <v>#N/A</v>
      </c>
      <c r="I2336" s="16" t="e">
        <f t="shared" si="4702"/>
        <v>#N/A</v>
      </c>
      <c r="J2336" s="40" t="e">
        <f t="shared" si="4702"/>
        <v>#N/A</v>
      </c>
      <c r="K2336" s="16" t="e">
        <f t="shared" si="4702"/>
        <v>#N/A</v>
      </c>
      <c r="L2336" s="40" t="e">
        <f t="shared" si="4233"/>
        <v>#N/A</v>
      </c>
      <c r="M2336" s="16" t="e">
        <f t="shared" si="4234"/>
        <v>#N/A</v>
      </c>
      <c r="N2336" s="16" t="e">
        <f t="shared" si="4235"/>
        <v>#N/A</v>
      </c>
      <c r="O2336" s="16" t="s">
        <v>71</v>
      </c>
      <c r="P2336" s="16" t="str">
        <f t="shared" si="6"/>
        <v/>
      </c>
      <c r="Q2336" s="41" t="e">
        <f t="shared" si="4236"/>
        <v>#N/A</v>
      </c>
      <c r="R2336" s="44"/>
      <c r="S2336" s="44"/>
      <c r="T2336" s="43"/>
      <c r="U2336" s="43" t="str">
        <f t="shared" si="8"/>
        <v>No</v>
      </c>
      <c r="V2336" s="25"/>
      <c r="W2336" s="25"/>
      <c r="X2336" s="25"/>
      <c r="Y2336" s="25"/>
      <c r="Z2336" s="25"/>
    </row>
    <row r="2337" spans="1:26" ht="15.75" customHeight="1" x14ac:dyDescent="0.25">
      <c r="A2337" s="25">
        <v>2335</v>
      </c>
      <c r="B2337" s="37" t="e">
        <f t="shared" ref="B2337:D2337" si="4703">VLOOKUP($A2337,[7]Hábitat!$A$2:$O$184,B$1,0)</f>
        <v>#N/A</v>
      </c>
      <c r="C2337" s="38" t="e">
        <f t="shared" si="4703"/>
        <v>#N/A</v>
      </c>
      <c r="D2337" s="39" t="e">
        <f t="shared" si="4703"/>
        <v>#N/A</v>
      </c>
      <c r="E2337" s="16" t="e">
        <f t="shared" si="1"/>
        <v>#N/A</v>
      </c>
      <c r="F2337" s="16" t="e">
        <f t="shared" ref="F2337:K2337" si="4704">VLOOKUP($A2337,[7]Hábitat!$A$2:$O$184,F$1,0)</f>
        <v>#N/A</v>
      </c>
      <c r="G2337" s="39" t="e">
        <f t="shared" si="4704"/>
        <v>#N/A</v>
      </c>
      <c r="H2337" s="16" t="e">
        <f t="shared" si="4704"/>
        <v>#N/A</v>
      </c>
      <c r="I2337" s="16" t="e">
        <f t="shared" si="4704"/>
        <v>#N/A</v>
      </c>
      <c r="J2337" s="40" t="e">
        <f t="shared" si="4704"/>
        <v>#N/A</v>
      </c>
      <c r="K2337" s="16" t="e">
        <f t="shared" si="4704"/>
        <v>#N/A</v>
      </c>
      <c r="L2337" s="40" t="e">
        <f t="shared" si="4233"/>
        <v>#N/A</v>
      </c>
      <c r="M2337" s="16" t="e">
        <f t="shared" si="4234"/>
        <v>#N/A</v>
      </c>
      <c r="N2337" s="16" t="e">
        <f t="shared" si="4235"/>
        <v>#N/A</v>
      </c>
      <c r="O2337" s="16" t="s">
        <v>71</v>
      </c>
      <c r="P2337" s="16" t="str">
        <f t="shared" si="6"/>
        <v/>
      </c>
      <c r="Q2337" s="41" t="e">
        <f t="shared" si="4236"/>
        <v>#N/A</v>
      </c>
      <c r="R2337" s="44"/>
      <c r="S2337" s="44"/>
      <c r="T2337" s="43"/>
      <c r="U2337" s="43" t="str">
        <f t="shared" si="8"/>
        <v>No</v>
      </c>
      <c r="V2337" s="25"/>
      <c r="W2337" s="25"/>
      <c r="X2337" s="25"/>
      <c r="Y2337" s="25"/>
      <c r="Z2337" s="25"/>
    </row>
    <row r="2338" spans="1:26" ht="15.75" customHeight="1" x14ac:dyDescent="0.25">
      <c r="A2338" s="25">
        <v>2336</v>
      </c>
      <c r="B2338" s="37" t="e">
        <f t="shared" ref="B2338:D2338" si="4705">VLOOKUP($A2338,[7]Hábitat!$A$2:$O$184,B$1,0)</f>
        <v>#N/A</v>
      </c>
      <c r="C2338" s="38" t="e">
        <f t="shared" si="4705"/>
        <v>#N/A</v>
      </c>
      <c r="D2338" s="39" t="e">
        <f t="shared" si="4705"/>
        <v>#N/A</v>
      </c>
      <c r="E2338" s="16" t="e">
        <f t="shared" si="1"/>
        <v>#N/A</v>
      </c>
      <c r="F2338" s="16" t="e">
        <f t="shared" ref="F2338:K2338" si="4706">VLOOKUP($A2338,[7]Hábitat!$A$2:$O$184,F$1,0)</f>
        <v>#N/A</v>
      </c>
      <c r="G2338" s="39" t="e">
        <f t="shared" si="4706"/>
        <v>#N/A</v>
      </c>
      <c r="H2338" s="16" t="e">
        <f t="shared" si="4706"/>
        <v>#N/A</v>
      </c>
      <c r="I2338" s="16" t="e">
        <f t="shared" si="4706"/>
        <v>#N/A</v>
      </c>
      <c r="J2338" s="40" t="e">
        <f t="shared" si="4706"/>
        <v>#N/A</v>
      </c>
      <c r="K2338" s="16" t="e">
        <f t="shared" si="4706"/>
        <v>#N/A</v>
      </c>
      <c r="L2338" s="40" t="e">
        <f t="shared" si="4233"/>
        <v>#N/A</v>
      </c>
      <c r="M2338" s="16" t="e">
        <f t="shared" si="4234"/>
        <v>#N/A</v>
      </c>
      <c r="N2338" s="16" t="e">
        <f t="shared" si="4235"/>
        <v>#N/A</v>
      </c>
      <c r="O2338" s="16" t="s">
        <v>71</v>
      </c>
      <c r="P2338" s="16" t="str">
        <f t="shared" si="6"/>
        <v/>
      </c>
      <c r="Q2338" s="41" t="e">
        <f t="shared" si="4236"/>
        <v>#N/A</v>
      </c>
      <c r="R2338" s="44"/>
      <c r="S2338" s="44"/>
      <c r="T2338" s="43"/>
      <c r="U2338" s="43" t="str">
        <f t="shared" si="8"/>
        <v>No</v>
      </c>
      <c r="V2338" s="25"/>
      <c r="W2338" s="25"/>
      <c r="X2338" s="25"/>
      <c r="Y2338" s="25"/>
      <c r="Z2338" s="25"/>
    </row>
    <row r="2339" spans="1:26" ht="15.75" customHeight="1" x14ac:dyDescent="0.25">
      <c r="A2339" s="25">
        <v>2337</v>
      </c>
      <c r="B2339" s="37" t="e">
        <f t="shared" ref="B2339:D2339" si="4707">VLOOKUP($A2339,[7]Hábitat!$A$2:$O$184,B$1,0)</f>
        <v>#N/A</v>
      </c>
      <c r="C2339" s="38" t="e">
        <f t="shared" si="4707"/>
        <v>#N/A</v>
      </c>
      <c r="D2339" s="39" t="e">
        <f t="shared" si="4707"/>
        <v>#N/A</v>
      </c>
      <c r="E2339" s="16" t="e">
        <f t="shared" si="1"/>
        <v>#N/A</v>
      </c>
      <c r="F2339" s="16" t="e">
        <f t="shared" ref="F2339:K2339" si="4708">VLOOKUP($A2339,[7]Hábitat!$A$2:$O$184,F$1,0)</f>
        <v>#N/A</v>
      </c>
      <c r="G2339" s="39" t="e">
        <f t="shared" si="4708"/>
        <v>#N/A</v>
      </c>
      <c r="H2339" s="16" t="e">
        <f t="shared" si="4708"/>
        <v>#N/A</v>
      </c>
      <c r="I2339" s="16" t="e">
        <f t="shared" si="4708"/>
        <v>#N/A</v>
      </c>
      <c r="J2339" s="40" t="e">
        <f t="shared" si="4708"/>
        <v>#N/A</v>
      </c>
      <c r="K2339" s="47" t="e">
        <f t="shared" si="4708"/>
        <v>#N/A</v>
      </c>
      <c r="L2339" s="40" t="e">
        <f t="shared" si="4233"/>
        <v>#N/A</v>
      </c>
      <c r="M2339" s="16" t="e">
        <f t="shared" si="4234"/>
        <v>#N/A</v>
      </c>
      <c r="N2339" s="16" t="e">
        <f t="shared" si="4235"/>
        <v>#N/A</v>
      </c>
      <c r="O2339" s="16" t="s">
        <v>71</v>
      </c>
      <c r="P2339" s="16" t="str">
        <f t="shared" si="6"/>
        <v/>
      </c>
      <c r="Q2339" s="41" t="e">
        <f t="shared" si="4236"/>
        <v>#N/A</v>
      </c>
      <c r="R2339" s="44"/>
      <c r="S2339" s="44"/>
      <c r="T2339" s="43"/>
      <c r="U2339" s="43" t="str">
        <f t="shared" si="8"/>
        <v>No</v>
      </c>
      <c r="V2339" s="25"/>
      <c r="W2339" s="25"/>
      <c r="X2339" s="25"/>
      <c r="Y2339" s="25"/>
      <c r="Z2339" s="25"/>
    </row>
    <row r="2340" spans="1:26" ht="15.75" customHeight="1" x14ac:dyDescent="0.25">
      <c r="A2340" s="25">
        <v>2338</v>
      </c>
      <c r="B2340" s="37" t="e">
        <f t="shared" ref="B2340:D2340" si="4709">VLOOKUP($A2340,[7]Hábitat!$A$2:$O$184,B$1,0)</f>
        <v>#N/A</v>
      </c>
      <c r="C2340" s="38" t="e">
        <f t="shared" si="4709"/>
        <v>#N/A</v>
      </c>
      <c r="D2340" s="39" t="e">
        <f t="shared" si="4709"/>
        <v>#N/A</v>
      </c>
      <c r="E2340" s="16" t="e">
        <f t="shared" si="1"/>
        <v>#N/A</v>
      </c>
      <c r="F2340" s="16" t="e">
        <f t="shared" ref="F2340:K2340" si="4710">VLOOKUP($A2340,[7]Hábitat!$A$2:$O$184,F$1,0)</f>
        <v>#N/A</v>
      </c>
      <c r="G2340" s="39" t="e">
        <f t="shared" si="4710"/>
        <v>#N/A</v>
      </c>
      <c r="H2340" s="16" t="e">
        <f t="shared" si="4710"/>
        <v>#N/A</v>
      </c>
      <c r="I2340" s="16" t="e">
        <f t="shared" si="4710"/>
        <v>#N/A</v>
      </c>
      <c r="J2340" s="40" t="e">
        <f t="shared" si="4710"/>
        <v>#N/A</v>
      </c>
      <c r="K2340" s="16" t="e">
        <f t="shared" si="4710"/>
        <v>#N/A</v>
      </c>
      <c r="L2340" s="40" t="e">
        <f t="shared" si="4233"/>
        <v>#N/A</v>
      </c>
      <c r="M2340" s="16" t="e">
        <f t="shared" si="4234"/>
        <v>#N/A</v>
      </c>
      <c r="N2340" s="16" t="e">
        <f t="shared" si="4235"/>
        <v>#N/A</v>
      </c>
      <c r="O2340" s="16" t="s">
        <v>71</v>
      </c>
      <c r="P2340" s="16" t="str">
        <f t="shared" si="6"/>
        <v/>
      </c>
      <c r="Q2340" s="41" t="e">
        <f t="shared" si="4236"/>
        <v>#N/A</v>
      </c>
      <c r="R2340" s="44"/>
      <c r="S2340" s="44"/>
      <c r="T2340" s="43"/>
      <c r="U2340" s="43" t="str">
        <f t="shared" si="8"/>
        <v>No</v>
      </c>
      <c r="V2340" s="25"/>
      <c r="W2340" s="25"/>
      <c r="X2340" s="25"/>
      <c r="Y2340" s="25"/>
      <c r="Z2340" s="25"/>
    </row>
    <row r="2341" spans="1:26" ht="15.75" customHeight="1" x14ac:dyDescent="0.25">
      <c r="A2341" s="25">
        <v>2339</v>
      </c>
      <c r="B2341" s="37" t="e">
        <f t="shared" ref="B2341:D2341" si="4711">VLOOKUP($A2341,[7]Hábitat!$A$2:$O$184,B$1,0)</f>
        <v>#N/A</v>
      </c>
      <c r="C2341" s="38" t="e">
        <f t="shared" si="4711"/>
        <v>#N/A</v>
      </c>
      <c r="D2341" s="39" t="e">
        <f t="shared" si="4711"/>
        <v>#N/A</v>
      </c>
      <c r="E2341" s="16" t="e">
        <f t="shared" si="1"/>
        <v>#N/A</v>
      </c>
      <c r="F2341" s="16" t="e">
        <f t="shared" ref="F2341:K2341" si="4712">VLOOKUP($A2341,[7]Hábitat!$A$2:$O$184,F$1,0)</f>
        <v>#N/A</v>
      </c>
      <c r="G2341" s="39" t="e">
        <f t="shared" si="4712"/>
        <v>#N/A</v>
      </c>
      <c r="H2341" s="16" t="e">
        <f t="shared" si="4712"/>
        <v>#N/A</v>
      </c>
      <c r="I2341" s="16" t="e">
        <f t="shared" si="4712"/>
        <v>#N/A</v>
      </c>
      <c r="J2341" s="40" t="e">
        <f t="shared" si="4712"/>
        <v>#N/A</v>
      </c>
      <c r="K2341" s="16" t="e">
        <f t="shared" si="4712"/>
        <v>#N/A</v>
      </c>
      <c r="L2341" s="40" t="e">
        <f t="shared" si="4233"/>
        <v>#N/A</v>
      </c>
      <c r="M2341" s="16" t="e">
        <f t="shared" si="4234"/>
        <v>#N/A</v>
      </c>
      <c r="N2341" s="16" t="e">
        <f t="shared" si="4235"/>
        <v>#N/A</v>
      </c>
      <c r="O2341" s="16" t="s">
        <v>71</v>
      </c>
      <c r="P2341" s="16" t="str">
        <f t="shared" si="6"/>
        <v/>
      </c>
      <c r="Q2341" s="41" t="e">
        <f t="shared" si="4236"/>
        <v>#N/A</v>
      </c>
      <c r="R2341" s="44"/>
      <c r="S2341" s="44"/>
      <c r="T2341" s="43"/>
      <c r="U2341" s="43" t="str">
        <f t="shared" si="8"/>
        <v>No</v>
      </c>
      <c r="V2341" s="25"/>
      <c r="W2341" s="25"/>
      <c r="X2341" s="25"/>
      <c r="Y2341" s="25"/>
      <c r="Z2341" s="25"/>
    </row>
    <row r="2342" spans="1:26" ht="15.75" customHeight="1" x14ac:dyDescent="0.25">
      <c r="A2342" s="25">
        <v>2340</v>
      </c>
      <c r="B2342" s="37" t="e">
        <f t="shared" ref="B2342:D2342" si="4713">VLOOKUP($A2342,[7]Hábitat!$A$2:$O$184,B$1,0)</f>
        <v>#N/A</v>
      </c>
      <c r="C2342" s="38" t="e">
        <f t="shared" si="4713"/>
        <v>#N/A</v>
      </c>
      <c r="D2342" s="39" t="e">
        <f t="shared" si="4713"/>
        <v>#N/A</v>
      </c>
      <c r="E2342" s="16" t="e">
        <f t="shared" si="1"/>
        <v>#N/A</v>
      </c>
      <c r="F2342" s="16" t="e">
        <f t="shared" ref="F2342:K2342" si="4714">VLOOKUP($A2342,[7]Hábitat!$A$2:$O$184,F$1,0)</f>
        <v>#N/A</v>
      </c>
      <c r="G2342" s="39" t="e">
        <f t="shared" si="4714"/>
        <v>#N/A</v>
      </c>
      <c r="H2342" s="16" t="e">
        <f t="shared" si="4714"/>
        <v>#N/A</v>
      </c>
      <c r="I2342" s="16" t="e">
        <f t="shared" si="4714"/>
        <v>#N/A</v>
      </c>
      <c r="J2342" s="40" t="e">
        <f t="shared" si="4714"/>
        <v>#N/A</v>
      </c>
      <c r="K2342" s="16" t="e">
        <f t="shared" si="4714"/>
        <v>#N/A</v>
      </c>
      <c r="L2342" s="40" t="e">
        <f t="shared" si="4233"/>
        <v>#N/A</v>
      </c>
      <c r="M2342" s="16" t="e">
        <f t="shared" si="4234"/>
        <v>#N/A</v>
      </c>
      <c r="N2342" s="16" t="e">
        <f t="shared" si="4235"/>
        <v>#N/A</v>
      </c>
      <c r="O2342" s="16" t="s">
        <v>71</v>
      </c>
      <c r="P2342" s="16" t="str">
        <f t="shared" si="6"/>
        <v/>
      </c>
      <c r="Q2342" s="41" t="e">
        <f t="shared" si="4236"/>
        <v>#N/A</v>
      </c>
      <c r="R2342" s="44"/>
      <c r="S2342" s="44"/>
      <c r="T2342" s="43"/>
      <c r="U2342" s="43" t="str">
        <f t="shared" si="8"/>
        <v>No</v>
      </c>
      <c r="V2342" s="25"/>
      <c r="W2342" s="25"/>
      <c r="X2342" s="25"/>
      <c r="Y2342" s="25"/>
      <c r="Z2342" s="25"/>
    </row>
    <row r="2343" spans="1:26" ht="15.75" customHeight="1" x14ac:dyDescent="0.25">
      <c r="A2343" s="25">
        <v>2341</v>
      </c>
      <c r="B2343" s="37" t="e">
        <f t="shared" ref="B2343:D2343" si="4715">VLOOKUP($A2343,[7]Hábitat!$A$2:$O$184,B$1,0)</f>
        <v>#N/A</v>
      </c>
      <c r="C2343" s="38" t="e">
        <f t="shared" si="4715"/>
        <v>#N/A</v>
      </c>
      <c r="D2343" s="39" t="e">
        <f t="shared" si="4715"/>
        <v>#N/A</v>
      </c>
      <c r="E2343" s="16" t="e">
        <f t="shared" si="1"/>
        <v>#N/A</v>
      </c>
      <c r="F2343" s="16" t="e">
        <f t="shared" ref="F2343:K2343" si="4716">VLOOKUP($A2343,[7]Hábitat!$A$2:$O$184,F$1,0)</f>
        <v>#N/A</v>
      </c>
      <c r="G2343" s="39" t="e">
        <f t="shared" si="4716"/>
        <v>#N/A</v>
      </c>
      <c r="H2343" s="16" t="e">
        <f t="shared" si="4716"/>
        <v>#N/A</v>
      </c>
      <c r="I2343" s="16" t="e">
        <f t="shared" si="4716"/>
        <v>#N/A</v>
      </c>
      <c r="J2343" s="40" t="e">
        <f t="shared" si="4716"/>
        <v>#N/A</v>
      </c>
      <c r="K2343" s="16" t="e">
        <f t="shared" si="4716"/>
        <v>#N/A</v>
      </c>
      <c r="L2343" s="40" t="e">
        <f t="shared" si="4233"/>
        <v>#N/A</v>
      </c>
      <c r="M2343" s="16" t="e">
        <f t="shared" si="4234"/>
        <v>#N/A</v>
      </c>
      <c r="N2343" s="16" t="e">
        <f t="shared" si="4235"/>
        <v>#N/A</v>
      </c>
      <c r="O2343" s="16" t="s">
        <v>71</v>
      </c>
      <c r="P2343" s="16" t="str">
        <f t="shared" si="6"/>
        <v/>
      </c>
      <c r="Q2343" s="41" t="e">
        <f t="shared" si="4236"/>
        <v>#N/A</v>
      </c>
      <c r="R2343" s="44"/>
      <c r="S2343" s="44"/>
      <c r="T2343" s="43"/>
      <c r="U2343" s="43" t="str">
        <f t="shared" si="8"/>
        <v>No</v>
      </c>
      <c r="V2343" s="25"/>
      <c r="W2343" s="25"/>
      <c r="X2343" s="25"/>
      <c r="Y2343" s="25"/>
      <c r="Z2343" s="25"/>
    </row>
    <row r="2344" spans="1:26" ht="15.75" customHeight="1" x14ac:dyDescent="0.25">
      <c r="A2344" s="25">
        <v>2342</v>
      </c>
      <c r="B2344" s="37" t="e">
        <f t="shared" ref="B2344:D2344" si="4717">VLOOKUP($A2344,[7]Hábitat!$A$2:$O$184,B$1,0)</f>
        <v>#N/A</v>
      </c>
      <c r="C2344" s="38" t="e">
        <f t="shared" si="4717"/>
        <v>#N/A</v>
      </c>
      <c r="D2344" s="39" t="e">
        <f t="shared" si="4717"/>
        <v>#N/A</v>
      </c>
      <c r="E2344" s="16" t="e">
        <f t="shared" si="1"/>
        <v>#N/A</v>
      </c>
      <c r="F2344" s="16" t="e">
        <f t="shared" ref="F2344:K2344" si="4718">VLOOKUP($A2344,[7]Hábitat!$A$2:$O$184,F$1,0)</f>
        <v>#N/A</v>
      </c>
      <c r="G2344" s="39" t="e">
        <f t="shared" si="4718"/>
        <v>#N/A</v>
      </c>
      <c r="H2344" s="16" t="e">
        <f t="shared" si="4718"/>
        <v>#N/A</v>
      </c>
      <c r="I2344" s="16" t="e">
        <f t="shared" si="4718"/>
        <v>#N/A</v>
      </c>
      <c r="J2344" s="40" t="e">
        <f t="shared" si="4718"/>
        <v>#N/A</v>
      </c>
      <c r="K2344" s="16" t="e">
        <f t="shared" si="4718"/>
        <v>#N/A</v>
      </c>
      <c r="L2344" s="40" t="e">
        <f t="shared" si="4233"/>
        <v>#N/A</v>
      </c>
      <c r="M2344" s="16" t="e">
        <f t="shared" si="4234"/>
        <v>#N/A</v>
      </c>
      <c r="N2344" s="16" t="e">
        <f t="shared" si="4235"/>
        <v>#N/A</v>
      </c>
      <c r="O2344" s="16" t="s">
        <v>71</v>
      </c>
      <c r="P2344" s="16" t="str">
        <f t="shared" si="6"/>
        <v/>
      </c>
      <c r="Q2344" s="41" t="e">
        <f t="shared" si="4236"/>
        <v>#N/A</v>
      </c>
      <c r="R2344" s="44"/>
      <c r="S2344" s="44"/>
      <c r="T2344" s="43"/>
      <c r="U2344" s="43" t="str">
        <f t="shared" si="8"/>
        <v>No</v>
      </c>
      <c r="V2344" s="25"/>
      <c r="W2344" s="25"/>
      <c r="X2344" s="25"/>
      <c r="Y2344" s="25"/>
      <c r="Z2344" s="25"/>
    </row>
    <row r="2345" spans="1:26" ht="15.75" customHeight="1" x14ac:dyDescent="0.25">
      <c r="A2345" s="25">
        <v>2343</v>
      </c>
      <c r="B2345" s="37" t="e">
        <f t="shared" ref="B2345:D2345" si="4719">VLOOKUP($A2345,[7]Hábitat!$A$2:$O$184,B$1,0)</f>
        <v>#N/A</v>
      </c>
      <c r="C2345" s="38" t="e">
        <f t="shared" si="4719"/>
        <v>#N/A</v>
      </c>
      <c r="D2345" s="39" t="e">
        <f t="shared" si="4719"/>
        <v>#N/A</v>
      </c>
      <c r="E2345" s="16" t="e">
        <f t="shared" si="1"/>
        <v>#N/A</v>
      </c>
      <c r="F2345" s="16" t="e">
        <f t="shared" ref="F2345:K2345" si="4720">VLOOKUP($A2345,[7]Hábitat!$A$2:$O$184,F$1,0)</f>
        <v>#N/A</v>
      </c>
      <c r="G2345" s="39" t="e">
        <f t="shared" si="4720"/>
        <v>#N/A</v>
      </c>
      <c r="H2345" s="16" t="e">
        <f t="shared" si="4720"/>
        <v>#N/A</v>
      </c>
      <c r="I2345" s="16" t="e">
        <f t="shared" si="4720"/>
        <v>#N/A</v>
      </c>
      <c r="J2345" s="40" t="e">
        <f t="shared" si="4720"/>
        <v>#N/A</v>
      </c>
      <c r="K2345" s="16" t="e">
        <f t="shared" si="4720"/>
        <v>#N/A</v>
      </c>
      <c r="L2345" s="40" t="e">
        <f t="shared" si="4233"/>
        <v>#N/A</v>
      </c>
      <c r="M2345" s="16" t="e">
        <f t="shared" si="4234"/>
        <v>#N/A</v>
      </c>
      <c r="N2345" s="16" t="e">
        <f t="shared" si="4235"/>
        <v>#N/A</v>
      </c>
      <c r="O2345" s="16" t="s">
        <v>71</v>
      </c>
      <c r="P2345" s="16" t="str">
        <f t="shared" si="6"/>
        <v/>
      </c>
      <c r="Q2345" s="41" t="e">
        <f t="shared" si="4236"/>
        <v>#N/A</v>
      </c>
      <c r="R2345" s="44"/>
      <c r="S2345" s="44"/>
      <c r="T2345" s="43"/>
      <c r="U2345" s="43" t="str">
        <f t="shared" si="8"/>
        <v>No</v>
      </c>
      <c r="V2345" s="25"/>
      <c r="W2345" s="25"/>
      <c r="X2345" s="25"/>
      <c r="Y2345" s="25"/>
      <c r="Z2345" s="25"/>
    </row>
    <row r="2346" spans="1:26" ht="15.75" customHeight="1" x14ac:dyDescent="0.25">
      <c r="A2346" s="25">
        <v>2344</v>
      </c>
      <c r="B2346" s="37" t="e">
        <f t="shared" ref="B2346:D2346" si="4721">VLOOKUP($A2346,[7]Hábitat!$A$2:$O$184,B$1,0)</f>
        <v>#N/A</v>
      </c>
      <c r="C2346" s="38" t="e">
        <f t="shared" si="4721"/>
        <v>#N/A</v>
      </c>
      <c r="D2346" s="39" t="e">
        <f t="shared" si="4721"/>
        <v>#N/A</v>
      </c>
      <c r="E2346" s="16" t="e">
        <f t="shared" si="1"/>
        <v>#N/A</v>
      </c>
      <c r="F2346" s="16" t="e">
        <f t="shared" ref="F2346:K2346" si="4722">VLOOKUP($A2346,[7]Hábitat!$A$2:$O$184,F$1,0)</f>
        <v>#N/A</v>
      </c>
      <c r="G2346" s="39" t="e">
        <f t="shared" si="4722"/>
        <v>#N/A</v>
      </c>
      <c r="H2346" s="16" t="e">
        <f t="shared" si="4722"/>
        <v>#N/A</v>
      </c>
      <c r="I2346" s="16" t="e">
        <f t="shared" si="4722"/>
        <v>#N/A</v>
      </c>
      <c r="J2346" s="40" t="e">
        <f t="shared" si="4722"/>
        <v>#N/A</v>
      </c>
      <c r="K2346" s="16" t="e">
        <f t="shared" si="4722"/>
        <v>#N/A</v>
      </c>
      <c r="L2346" s="40" t="e">
        <f t="shared" si="4233"/>
        <v>#N/A</v>
      </c>
      <c r="M2346" s="16" t="e">
        <f t="shared" si="4234"/>
        <v>#N/A</v>
      </c>
      <c r="N2346" s="16" t="e">
        <f t="shared" si="4235"/>
        <v>#N/A</v>
      </c>
      <c r="O2346" s="16" t="s">
        <v>71</v>
      </c>
      <c r="P2346" s="16" t="str">
        <f t="shared" si="6"/>
        <v/>
      </c>
      <c r="Q2346" s="41" t="e">
        <f t="shared" si="4236"/>
        <v>#N/A</v>
      </c>
      <c r="R2346" s="44"/>
      <c r="S2346" s="44"/>
      <c r="T2346" s="43"/>
      <c r="U2346" s="43" t="str">
        <f t="shared" si="8"/>
        <v>No</v>
      </c>
      <c r="V2346" s="25"/>
      <c r="W2346" s="25"/>
      <c r="X2346" s="25"/>
      <c r="Y2346" s="25"/>
      <c r="Z2346" s="25"/>
    </row>
    <row r="2347" spans="1:26" ht="15.75" customHeight="1" x14ac:dyDescent="0.25">
      <c r="A2347" s="25">
        <v>2345</v>
      </c>
      <c r="B2347" s="37" t="e">
        <f t="shared" ref="B2347:D2347" si="4723">VLOOKUP($A2347,[7]Hábitat!$A$2:$O$184,B$1,0)</f>
        <v>#N/A</v>
      </c>
      <c r="C2347" s="38" t="e">
        <f t="shared" si="4723"/>
        <v>#N/A</v>
      </c>
      <c r="D2347" s="39" t="e">
        <f t="shared" si="4723"/>
        <v>#N/A</v>
      </c>
      <c r="E2347" s="16" t="e">
        <f t="shared" si="1"/>
        <v>#N/A</v>
      </c>
      <c r="F2347" s="16" t="e">
        <f t="shared" ref="F2347:K2347" si="4724">VLOOKUP($A2347,[7]Hábitat!$A$2:$O$184,F$1,0)</f>
        <v>#N/A</v>
      </c>
      <c r="G2347" s="39" t="e">
        <f t="shared" si="4724"/>
        <v>#N/A</v>
      </c>
      <c r="H2347" s="16" t="e">
        <f t="shared" si="4724"/>
        <v>#N/A</v>
      </c>
      <c r="I2347" s="16" t="e">
        <f t="shared" si="4724"/>
        <v>#N/A</v>
      </c>
      <c r="J2347" s="40" t="e">
        <f t="shared" si="4724"/>
        <v>#N/A</v>
      </c>
      <c r="K2347" s="16" t="e">
        <f t="shared" si="4724"/>
        <v>#N/A</v>
      </c>
      <c r="L2347" s="40" t="e">
        <f t="shared" si="4233"/>
        <v>#N/A</v>
      </c>
      <c r="M2347" s="16" t="e">
        <f t="shared" si="4234"/>
        <v>#N/A</v>
      </c>
      <c r="N2347" s="16" t="e">
        <f t="shared" si="4235"/>
        <v>#N/A</v>
      </c>
      <c r="O2347" s="16" t="s">
        <v>71</v>
      </c>
      <c r="P2347" s="16" t="str">
        <f t="shared" si="6"/>
        <v/>
      </c>
      <c r="Q2347" s="41" t="e">
        <f t="shared" si="4236"/>
        <v>#N/A</v>
      </c>
      <c r="R2347" s="44"/>
      <c r="S2347" s="44"/>
      <c r="T2347" s="43"/>
      <c r="U2347" s="43" t="str">
        <f t="shared" si="8"/>
        <v>No</v>
      </c>
      <c r="V2347" s="25"/>
      <c r="W2347" s="25"/>
      <c r="X2347" s="25"/>
      <c r="Y2347" s="25"/>
      <c r="Z2347" s="25"/>
    </row>
    <row r="2348" spans="1:26" ht="15.75" customHeight="1" x14ac:dyDescent="0.25">
      <c r="A2348" s="25">
        <v>2346</v>
      </c>
      <c r="B2348" s="37" t="e">
        <f t="shared" ref="B2348:D2348" si="4725">VLOOKUP($A2348,[7]Hábitat!$A$2:$O$184,B$1,0)</f>
        <v>#N/A</v>
      </c>
      <c r="C2348" s="38" t="e">
        <f t="shared" si="4725"/>
        <v>#N/A</v>
      </c>
      <c r="D2348" s="39" t="e">
        <f t="shared" si="4725"/>
        <v>#N/A</v>
      </c>
      <c r="E2348" s="16" t="e">
        <f t="shared" si="1"/>
        <v>#N/A</v>
      </c>
      <c r="F2348" s="16" t="e">
        <f t="shared" ref="F2348:K2348" si="4726">VLOOKUP($A2348,[7]Hábitat!$A$2:$O$184,F$1,0)</f>
        <v>#N/A</v>
      </c>
      <c r="G2348" s="39" t="e">
        <f t="shared" si="4726"/>
        <v>#N/A</v>
      </c>
      <c r="H2348" s="16" t="e">
        <f t="shared" si="4726"/>
        <v>#N/A</v>
      </c>
      <c r="I2348" s="16" t="e">
        <f t="shared" si="4726"/>
        <v>#N/A</v>
      </c>
      <c r="J2348" s="40" t="e">
        <f t="shared" si="4726"/>
        <v>#N/A</v>
      </c>
      <c r="K2348" s="16" t="e">
        <f t="shared" si="4726"/>
        <v>#N/A</v>
      </c>
      <c r="L2348" s="40" t="e">
        <f t="shared" si="4233"/>
        <v>#N/A</v>
      </c>
      <c r="M2348" s="16" t="e">
        <f t="shared" si="4234"/>
        <v>#N/A</v>
      </c>
      <c r="N2348" s="16" t="e">
        <f t="shared" si="4235"/>
        <v>#N/A</v>
      </c>
      <c r="O2348" s="16" t="s">
        <v>71</v>
      </c>
      <c r="P2348" s="16" t="str">
        <f t="shared" si="6"/>
        <v/>
      </c>
      <c r="Q2348" s="41" t="e">
        <f t="shared" si="4236"/>
        <v>#N/A</v>
      </c>
      <c r="R2348" s="44"/>
      <c r="S2348" s="44"/>
      <c r="T2348" s="43"/>
      <c r="U2348" s="43" t="str">
        <f t="shared" si="8"/>
        <v>No</v>
      </c>
      <c r="V2348" s="25"/>
      <c r="W2348" s="25"/>
      <c r="X2348" s="25"/>
      <c r="Y2348" s="25"/>
      <c r="Z2348" s="25"/>
    </row>
    <row r="2349" spans="1:26" ht="15.75" customHeight="1" x14ac:dyDescent="0.25">
      <c r="A2349" s="25">
        <v>2347</v>
      </c>
      <c r="B2349" s="37" t="e">
        <f t="shared" ref="B2349:D2349" si="4727">VLOOKUP($A2349,[7]Hábitat!$A$2:$O$184,B$1,0)</f>
        <v>#N/A</v>
      </c>
      <c r="C2349" s="38" t="e">
        <f t="shared" si="4727"/>
        <v>#N/A</v>
      </c>
      <c r="D2349" s="39" t="e">
        <f t="shared" si="4727"/>
        <v>#N/A</v>
      </c>
      <c r="E2349" s="16" t="e">
        <f t="shared" si="1"/>
        <v>#N/A</v>
      </c>
      <c r="F2349" s="16" t="e">
        <f t="shared" ref="F2349:K2349" si="4728">VLOOKUP($A2349,[7]Hábitat!$A$2:$O$184,F$1,0)</f>
        <v>#N/A</v>
      </c>
      <c r="G2349" s="39" t="e">
        <f t="shared" si="4728"/>
        <v>#N/A</v>
      </c>
      <c r="H2349" s="16" t="e">
        <f t="shared" si="4728"/>
        <v>#N/A</v>
      </c>
      <c r="I2349" s="16" t="e">
        <f t="shared" si="4728"/>
        <v>#N/A</v>
      </c>
      <c r="J2349" s="40" t="e">
        <f t="shared" si="4728"/>
        <v>#N/A</v>
      </c>
      <c r="K2349" s="16" t="e">
        <f t="shared" si="4728"/>
        <v>#N/A</v>
      </c>
      <c r="L2349" s="40" t="e">
        <f t="shared" si="4233"/>
        <v>#N/A</v>
      </c>
      <c r="M2349" s="16" t="e">
        <f t="shared" si="4234"/>
        <v>#N/A</v>
      </c>
      <c r="N2349" s="16" t="e">
        <f t="shared" si="4235"/>
        <v>#N/A</v>
      </c>
      <c r="O2349" s="16" t="s">
        <v>71</v>
      </c>
      <c r="P2349" s="16" t="str">
        <f t="shared" si="6"/>
        <v/>
      </c>
      <c r="Q2349" s="41" t="e">
        <f t="shared" si="4236"/>
        <v>#N/A</v>
      </c>
      <c r="R2349" s="44"/>
      <c r="S2349" s="44"/>
      <c r="T2349" s="43"/>
      <c r="U2349" s="43" t="str">
        <f t="shared" si="8"/>
        <v>No</v>
      </c>
      <c r="V2349" s="25"/>
      <c r="W2349" s="25"/>
      <c r="X2349" s="25"/>
      <c r="Y2349" s="25"/>
      <c r="Z2349" s="25"/>
    </row>
    <row r="2350" spans="1:26" ht="15.75" customHeight="1" x14ac:dyDescent="0.25">
      <c r="A2350" s="25">
        <v>2348</v>
      </c>
      <c r="B2350" s="37" t="e">
        <f t="shared" ref="B2350:D2350" si="4729">VLOOKUP($A2350,[7]Hábitat!$A$2:$O$184,B$1,0)</f>
        <v>#N/A</v>
      </c>
      <c r="C2350" s="38" t="e">
        <f t="shared" si="4729"/>
        <v>#N/A</v>
      </c>
      <c r="D2350" s="39" t="e">
        <f t="shared" si="4729"/>
        <v>#N/A</v>
      </c>
      <c r="E2350" s="16" t="e">
        <f t="shared" si="1"/>
        <v>#N/A</v>
      </c>
      <c r="F2350" s="16" t="e">
        <f t="shared" ref="F2350:K2350" si="4730">VLOOKUP($A2350,[7]Hábitat!$A$2:$O$184,F$1,0)</f>
        <v>#N/A</v>
      </c>
      <c r="G2350" s="39" t="e">
        <f t="shared" si="4730"/>
        <v>#N/A</v>
      </c>
      <c r="H2350" s="16" t="e">
        <f t="shared" si="4730"/>
        <v>#N/A</v>
      </c>
      <c r="I2350" s="16" t="e">
        <f t="shared" si="4730"/>
        <v>#N/A</v>
      </c>
      <c r="J2350" s="40" t="e">
        <f t="shared" si="4730"/>
        <v>#N/A</v>
      </c>
      <c r="K2350" s="16" t="e">
        <f t="shared" si="4730"/>
        <v>#N/A</v>
      </c>
      <c r="L2350" s="40" t="e">
        <f t="shared" si="4233"/>
        <v>#N/A</v>
      </c>
      <c r="M2350" s="16" t="e">
        <f t="shared" si="4234"/>
        <v>#N/A</v>
      </c>
      <c r="N2350" s="16" t="e">
        <f t="shared" si="4235"/>
        <v>#N/A</v>
      </c>
      <c r="O2350" s="16" t="s">
        <v>71</v>
      </c>
      <c r="P2350" s="16" t="str">
        <f t="shared" si="6"/>
        <v/>
      </c>
      <c r="Q2350" s="41" t="e">
        <f t="shared" si="4236"/>
        <v>#N/A</v>
      </c>
      <c r="R2350" s="44"/>
      <c r="S2350" s="44"/>
      <c r="T2350" s="43"/>
      <c r="U2350" s="43" t="str">
        <f t="shared" si="8"/>
        <v>No</v>
      </c>
      <c r="V2350" s="25"/>
      <c r="W2350" s="25"/>
      <c r="X2350" s="25"/>
      <c r="Y2350" s="25"/>
      <c r="Z2350" s="25"/>
    </row>
    <row r="2351" spans="1:26" ht="15.75" customHeight="1" x14ac:dyDescent="0.25">
      <c r="A2351" s="25">
        <v>2349</v>
      </c>
      <c r="B2351" s="37" t="e">
        <f t="shared" ref="B2351:D2351" si="4731">VLOOKUP($A2351,[7]Hábitat!$A$2:$O$184,B$1,0)</f>
        <v>#N/A</v>
      </c>
      <c r="C2351" s="38" t="e">
        <f t="shared" si="4731"/>
        <v>#N/A</v>
      </c>
      <c r="D2351" s="39" t="e">
        <f t="shared" si="4731"/>
        <v>#N/A</v>
      </c>
      <c r="E2351" s="16" t="e">
        <f t="shared" si="1"/>
        <v>#N/A</v>
      </c>
      <c r="F2351" s="16" t="e">
        <f t="shared" ref="F2351:K2351" si="4732">VLOOKUP($A2351,[7]Hábitat!$A$2:$O$184,F$1,0)</f>
        <v>#N/A</v>
      </c>
      <c r="G2351" s="39" t="e">
        <f t="shared" si="4732"/>
        <v>#N/A</v>
      </c>
      <c r="H2351" s="16" t="e">
        <f t="shared" si="4732"/>
        <v>#N/A</v>
      </c>
      <c r="I2351" s="16" t="e">
        <f t="shared" si="4732"/>
        <v>#N/A</v>
      </c>
      <c r="J2351" s="40" t="e">
        <f t="shared" si="4732"/>
        <v>#N/A</v>
      </c>
      <c r="K2351" s="16" t="e">
        <f t="shared" si="4732"/>
        <v>#N/A</v>
      </c>
      <c r="L2351" s="40" t="e">
        <f t="shared" si="4233"/>
        <v>#N/A</v>
      </c>
      <c r="M2351" s="16" t="e">
        <f t="shared" si="4234"/>
        <v>#N/A</v>
      </c>
      <c r="N2351" s="16" t="e">
        <f t="shared" si="4235"/>
        <v>#N/A</v>
      </c>
      <c r="O2351" s="16" t="s">
        <v>71</v>
      </c>
      <c r="P2351" s="16" t="str">
        <f t="shared" si="6"/>
        <v/>
      </c>
      <c r="Q2351" s="41" t="e">
        <f t="shared" si="4236"/>
        <v>#N/A</v>
      </c>
      <c r="R2351" s="44"/>
      <c r="S2351" s="44"/>
      <c r="T2351" s="43"/>
      <c r="U2351" s="43" t="str">
        <f t="shared" si="8"/>
        <v>No</v>
      </c>
      <c r="V2351" s="25"/>
      <c r="W2351" s="25"/>
      <c r="X2351" s="25"/>
      <c r="Y2351" s="25"/>
      <c r="Z2351" s="25"/>
    </row>
    <row r="2352" spans="1:26" ht="15.75" customHeight="1" x14ac:dyDescent="0.25">
      <c r="A2352" s="25">
        <v>2350</v>
      </c>
      <c r="B2352" s="37" t="e">
        <f t="shared" ref="B2352:D2352" si="4733">VLOOKUP($A2352,[7]Hábitat!$A$2:$O$184,B$1,0)</f>
        <v>#N/A</v>
      </c>
      <c r="C2352" s="38" t="e">
        <f t="shared" si="4733"/>
        <v>#N/A</v>
      </c>
      <c r="D2352" s="39" t="e">
        <f t="shared" si="4733"/>
        <v>#N/A</v>
      </c>
      <c r="E2352" s="16" t="e">
        <f t="shared" si="1"/>
        <v>#N/A</v>
      </c>
      <c r="F2352" s="16" t="e">
        <f t="shared" ref="F2352:K2352" si="4734">VLOOKUP($A2352,[7]Hábitat!$A$2:$O$184,F$1,0)</f>
        <v>#N/A</v>
      </c>
      <c r="G2352" s="39" t="e">
        <f t="shared" si="4734"/>
        <v>#N/A</v>
      </c>
      <c r="H2352" s="16" t="e">
        <f t="shared" si="4734"/>
        <v>#N/A</v>
      </c>
      <c r="I2352" s="16" t="e">
        <f t="shared" si="4734"/>
        <v>#N/A</v>
      </c>
      <c r="J2352" s="40" t="e">
        <f t="shared" si="4734"/>
        <v>#N/A</v>
      </c>
      <c r="K2352" s="16" t="e">
        <f t="shared" si="4734"/>
        <v>#N/A</v>
      </c>
      <c r="L2352" s="40" t="e">
        <f t="shared" si="4233"/>
        <v>#N/A</v>
      </c>
      <c r="M2352" s="16" t="e">
        <f t="shared" si="4234"/>
        <v>#N/A</v>
      </c>
      <c r="N2352" s="16" t="e">
        <f t="shared" si="4235"/>
        <v>#N/A</v>
      </c>
      <c r="O2352" s="16" t="s">
        <v>71</v>
      </c>
      <c r="P2352" s="16" t="str">
        <f t="shared" si="6"/>
        <v/>
      </c>
      <c r="Q2352" s="41" t="e">
        <f t="shared" si="4236"/>
        <v>#N/A</v>
      </c>
      <c r="R2352" s="44"/>
      <c r="S2352" s="44"/>
      <c r="T2352" s="43"/>
      <c r="U2352" s="43" t="str">
        <f t="shared" si="8"/>
        <v>No</v>
      </c>
      <c r="V2352" s="25"/>
      <c r="W2352" s="25"/>
      <c r="X2352" s="25"/>
      <c r="Y2352" s="25"/>
      <c r="Z2352" s="25"/>
    </row>
    <row r="2353" spans="1:26" ht="15.75" customHeight="1" x14ac:dyDescent="0.25">
      <c r="A2353" s="25">
        <v>2351</v>
      </c>
      <c r="B2353" s="37" t="e">
        <f t="shared" ref="B2353:D2353" si="4735">VLOOKUP($A2353,[7]Hábitat!$A$2:$O$184,B$1,0)</f>
        <v>#N/A</v>
      </c>
      <c r="C2353" s="38" t="e">
        <f t="shared" si="4735"/>
        <v>#N/A</v>
      </c>
      <c r="D2353" s="39" t="e">
        <f t="shared" si="4735"/>
        <v>#N/A</v>
      </c>
      <c r="E2353" s="16" t="e">
        <f t="shared" si="1"/>
        <v>#N/A</v>
      </c>
      <c r="F2353" s="16" t="e">
        <f t="shared" ref="F2353:K2353" si="4736">VLOOKUP($A2353,[7]Hábitat!$A$2:$O$184,F$1,0)</f>
        <v>#N/A</v>
      </c>
      <c r="G2353" s="39" t="e">
        <f t="shared" si="4736"/>
        <v>#N/A</v>
      </c>
      <c r="H2353" s="16" t="e">
        <f t="shared" si="4736"/>
        <v>#N/A</v>
      </c>
      <c r="I2353" s="16" t="e">
        <f t="shared" si="4736"/>
        <v>#N/A</v>
      </c>
      <c r="J2353" s="40" t="e">
        <f t="shared" si="4736"/>
        <v>#N/A</v>
      </c>
      <c r="K2353" s="16" t="e">
        <f t="shared" si="4736"/>
        <v>#N/A</v>
      </c>
      <c r="L2353" s="40" t="e">
        <f t="shared" si="4233"/>
        <v>#N/A</v>
      </c>
      <c r="M2353" s="16" t="e">
        <f t="shared" si="4234"/>
        <v>#N/A</v>
      </c>
      <c r="N2353" s="16" t="e">
        <f t="shared" si="4235"/>
        <v>#N/A</v>
      </c>
      <c r="O2353" s="16" t="s">
        <v>71</v>
      </c>
      <c r="P2353" s="16" t="str">
        <f t="shared" si="6"/>
        <v/>
      </c>
      <c r="Q2353" s="41" t="e">
        <f t="shared" si="4236"/>
        <v>#N/A</v>
      </c>
      <c r="R2353" s="44"/>
      <c r="S2353" s="44"/>
      <c r="T2353" s="43"/>
      <c r="U2353" s="43" t="str">
        <f t="shared" si="8"/>
        <v>No</v>
      </c>
      <c r="V2353" s="25"/>
      <c r="W2353" s="25"/>
      <c r="X2353" s="25"/>
      <c r="Y2353" s="25"/>
      <c r="Z2353" s="25"/>
    </row>
    <row r="2354" spans="1:26" ht="15.75" customHeight="1" x14ac:dyDescent="0.25">
      <c r="A2354" s="25">
        <v>2352</v>
      </c>
      <c r="B2354" s="37" t="e">
        <f t="shared" ref="B2354:D2354" si="4737">VLOOKUP($A2354,[7]Hábitat!$A$2:$O$184,B$1,0)</f>
        <v>#N/A</v>
      </c>
      <c r="C2354" s="38" t="e">
        <f t="shared" si="4737"/>
        <v>#N/A</v>
      </c>
      <c r="D2354" s="39" t="e">
        <f t="shared" si="4737"/>
        <v>#N/A</v>
      </c>
      <c r="E2354" s="16" t="e">
        <f t="shared" si="1"/>
        <v>#N/A</v>
      </c>
      <c r="F2354" s="16" t="e">
        <f t="shared" ref="F2354:K2354" si="4738">VLOOKUP($A2354,[7]Hábitat!$A$2:$O$184,F$1,0)</f>
        <v>#N/A</v>
      </c>
      <c r="G2354" s="39" t="e">
        <f t="shared" si="4738"/>
        <v>#N/A</v>
      </c>
      <c r="H2354" s="16" t="e">
        <f t="shared" si="4738"/>
        <v>#N/A</v>
      </c>
      <c r="I2354" s="16" t="e">
        <f t="shared" si="4738"/>
        <v>#N/A</v>
      </c>
      <c r="J2354" s="40" t="e">
        <f t="shared" si="4738"/>
        <v>#N/A</v>
      </c>
      <c r="K2354" s="16" t="e">
        <f t="shared" si="4738"/>
        <v>#N/A</v>
      </c>
      <c r="L2354" s="40" t="e">
        <f t="shared" si="4233"/>
        <v>#N/A</v>
      </c>
      <c r="M2354" s="16" t="e">
        <f t="shared" si="4234"/>
        <v>#N/A</v>
      </c>
      <c r="N2354" s="16" t="e">
        <f t="shared" si="4235"/>
        <v>#N/A</v>
      </c>
      <c r="O2354" s="16" t="s">
        <v>71</v>
      </c>
      <c r="P2354" s="16" t="str">
        <f t="shared" si="6"/>
        <v/>
      </c>
      <c r="Q2354" s="41" t="e">
        <f t="shared" si="4236"/>
        <v>#N/A</v>
      </c>
      <c r="R2354" s="44"/>
      <c r="S2354" s="44"/>
      <c r="T2354" s="43"/>
      <c r="U2354" s="43" t="str">
        <f t="shared" si="8"/>
        <v>No</v>
      </c>
      <c r="V2354" s="25"/>
      <c r="W2354" s="25"/>
      <c r="X2354" s="25"/>
      <c r="Y2354" s="25"/>
      <c r="Z2354" s="25"/>
    </row>
    <row r="2355" spans="1:26" ht="15.75" customHeight="1" x14ac:dyDescent="0.25">
      <c r="A2355" s="25">
        <v>2353</v>
      </c>
      <c r="B2355" s="37" t="e">
        <f t="shared" ref="B2355:D2355" si="4739">VLOOKUP($A2355,[7]Hábitat!$A$2:$O$184,B$1,0)</f>
        <v>#N/A</v>
      </c>
      <c r="C2355" s="38" t="e">
        <f t="shared" si="4739"/>
        <v>#N/A</v>
      </c>
      <c r="D2355" s="39" t="e">
        <f t="shared" si="4739"/>
        <v>#N/A</v>
      </c>
      <c r="E2355" s="16" t="e">
        <f t="shared" si="1"/>
        <v>#N/A</v>
      </c>
      <c r="F2355" s="16" t="e">
        <f t="shared" ref="F2355:K2355" si="4740">VLOOKUP($A2355,[7]Hábitat!$A$2:$O$184,F$1,0)</f>
        <v>#N/A</v>
      </c>
      <c r="G2355" s="39" t="e">
        <f t="shared" si="4740"/>
        <v>#N/A</v>
      </c>
      <c r="H2355" s="16" t="e">
        <f t="shared" si="4740"/>
        <v>#N/A</v>
      </c>
      <c r="I2355" s="16" t="e">
        <f t="shared" si="4740"/>
        <v>#N/A</v>
      </c>
      <c r="J2355" s="40" t="e">
        <f t="shared" si="4740"/>
        <v>#N/A</v>
      </c>
      <c r="K2355" s="16" t="e">
        <f t="shared" si="4740"/>
        <v>#N/A</v>
      </c>
      <c r="L2355" s="40" t="e">
        <f t="shared" si="4233"/>
        <v>#N/A</v>
      </c>
      <c r="M2355" s="16" t="e">
        <f t="shared" si="4234"/>
        <v>#N/A</v>
      </c>
      <c r="N2355" s="16" t="e">
        <f t="shared" si="4235"/>
        <v>#N/A</v>
      </c>
      <c r="O2355" s="16" t="s">
        <v>71</v>
      </c>
      <c r="P2355" s="16" t="str">
        <f t="shared" si="6"/>
        <v/>
      </c>
      <c r="Q2355" s="41" t="e">
        <f t="shared" si="4236"/>
        <v>#N/A</v>
      </c>
      <c r="R2355" s="44"/>
      <c r="S2355" s="44"/>
      <c r="T2355" s="43"/>
      <c r="U2355" s="43" t="str">
        <f t="shared" si="8"/>
        <v>No</v>
      </c>
      <c r="V2355" s="25"/>
      <c r="W2355" s="25"/>
      <c r="X2355" s="25"/>
      <c r="Y2355" s="25"/>
      <c r="Z2355" s="25"/>
    </row>
    <row r="2356" spans="1:26" ht="15.75" customHeight="1" x14ac:dyDescent="0.25">
      <c r="A2356" s="25">
        <v>2354</v>
      </c>
      <c r="B2356" s="37" t="e">
        <f t="shared" ref="B2356:D2356" si="4741">VLOOKUP($A2356,[7]Hábitat!$A$2:$O$184,B$1,0)</f>
        <v>#N/A</v>
      </c>
      <c r="C2356" s="38" t="e">
        <f t="shared" si="4741"/>
        <v>#N/A</v>
      </c>
      <c r="D2356" s="39" t="e">
        <f t="shared" si="4741"/>
        <v>#N/A</v>
      </c>
      <c r="E2356" s="16" t="e">
        <f t="shared" si="1"/>
        <v>#N/A</v>
      </c>
      <c r="F2356" s="16" t="e">
        <f t="shared" ref="F2356:K2356" si="4742">VLOOKUP($A2356,[7]Hábitat!$A$2:$O$184,F$1,0)</f>
        <v>#N/A</v>
      </c>
      <c r="G2356" s="39" t="e">
        <f t="shared" si="4742"/>
        <v>#N/A</v>
      </c>
      <c r="H2356" s="16" t="e">
        <f t="shared" si="4742"/>
        <v>#N/A</v>
      </c>
      <c r="I2356" s="16" t="e">
        <f t="shared" si="4742"/>
        <v>#N/A</v>
      </c>
      <c r="J2356" s="40" t="e">
        <f t="shared" si="4742"/>
        <v>#N/A</v>
      </c>
      <c r="K2356" s="16" t="e">
        <f t="shared" si="4742"/>
        <v>#N/A</v>
      </c>
      <c r="L2356" s="40" t="e">
        <f t="shared" si="4233"/>
        <v>#N/A</v>
      </c>
      <c r="M2356" s="16" t="e">
        <f t="shared" si="4234"/>
        <v>#N/A</v>
      </c>
      <c r="N2356" s="16" t="e">
        <f t="shared" si="4235"/>
        <v>#N/A</v>
      </c>
      <c r="O2356" s="16" t="s">
        <v>71</v>
      </c>
      <c r="P2356" s="16" t="str">
        <f t="shared" si="6"/>
        <v/>
      </c>
      <c r="Q2356" s="41" t="e">
        <f t="shared" si="4236"/>
        <v>#N/A</v>
      </c>
      <c r="R2356" s="44"/>
      <c r="S2356" s="44"/>
      <c r="T2356" s="43"/>
      <c r="U2356" s="43" t="str">
        <f t="shared" si="8"/>
        <v>No</v>
      </c>
      <c r="V2356" s="25"/>
      <c r="W2356" s="25"/>
      <c r="X2356" s="25"/>
      <c r="Y2356" s="25"/>
      <c r="Z2356" s="25"/>
    </row>
    <row r="2357" spans="1:26" ht="15.75" customHeight="1" x14ac:dyDescent="0.25">
      <c r="A2357" s="25">
        <v>2355</v>
      </c>
      <c r="B2357" s="37" t="e">
        <f t="shared" ref="B2357:D2357" si="4743">VLOOKUP($A2357,[7]Hábitat!$A$2:$O$184,B$1,0)</f>
        <v>#N/A</v>
      </c>
      <c r="C2357" s="38" t="e">
        <f t="shared" si="4743"/>
        <v>#N/A</v>
      </c>
      <c r="D2357" s="39" t="e">
        <f t="shared" si="4743"/>
        <v>#N/A</v>
      </c>
      <c r="E2357" s="16" t="e">
        <f t="shared" si="1"/>
        <v>#N/A</v>
      </c>
      <c r="F2357" s="16" t="e">
        <f t="shared" ref="F2357:K2357" si="4744">VLOOKUP($A2357,[7]Hábitat!$A$2:$O$184,F$1,0)</f>
        <v>#N/A</v>
      </c>
      <c r="G2357" s="39" t="e">
        <f t="shared" si="4744"/>
        <v>#N/A</v>
      </c>
      <c r="H2357" s="16" t="e">
        <f t="shared" si="4744"/>
        <v>#N/A</v>
      </c>
      <c r="I2357" s="16" t="e">
        <f t="shared" si="4744"/>
        <v>#N/A</v>
      </c>
      <c r="J2357" s="40" t="e">
        <f t="shared" si="4744"/>
        <v>#N/A</v>
      </c>
      <c r="K2357" s="16" t="e">
        <f t="shared" si="4744"/>
        <v>#N/A</v>
      </c>
      <c r="L2357" s="40" t="e">
        <f t="shared" si="4233"/>
        <v>#N/A</v>
      </c>
      <c r="M2357" s="16" t="e">
        <f t="shared" si="4234"/>
        <v>#N/A</v>
      </c>
      <c r="N2357" s="16" t="e">
        <f t="shared" si="4235"/>
        <v>#N/A</v>
      </c>
      <c r="O2357" s="16" t="s">
        <v>71</v>
      </c>
      <c r="P2357" s="16" t="str">
        <f t="shared" si="6"/>
        <v/>
      </c>
      <c r="Q2357" s="41" t="e">
        <f t="shared" si="4236"/>
        <v>#N/A</v>
      </c>
      <c r="R2357" s="44"/>
      <c r="S2357" s="44"/>
      <c r="T2357" s="43"/>
      <c r="U2357" s="43" t="str">
        <f t="shared" si="8"/>
        <v>No</v>
      </c>
      <c r="V2357" s="25"/>
      <c r="W2357" s="25"/>
      <c r="X2357" s="25"/>
      <c r="Y2357" s="25"/>
      <c r="Z2357" s="25"/>
    </row>
    <row r="2358" spans="1:26" ht="15.75" customHeight="1" x14ac:dyDescent="0.25">
      <c r="A2358" s="25">
        <v>2356</v>
      </c>
      <c r="B2358" s="37" t="e">
        <f t="shared" ref="B2358:D2358" si="4745">VLOOKUP($A2358,[7]Hábitat!$A$2:$O$184,B$1,0)</f>
        <v>#N/A</v>
      </c>
      <c r="C2358" s="38" t="e">
        <f t="shared" si="4745"/>
        <v>#N/A</v>
      </c>
      <c r="D2358" s="39" t="e">
        <f t="shared" si="4745"/>
        <v>#N/A</v>
      </c>
      <c r="E2358" s="16" t="e">
        <f t="shared" si="1"/>
        <v>#N/A</v>
      </c>
      <c r="F2358" s="16" t="e">
        <f t="shared" ref="F2358:K2358" si="4746">VLOOKUP($A2358,[7]Hábitat!$A$2:$O$184,F$1,0)</f>
        <v>#N/A</v>
      </c>
      <c r="G2358" s="39" t="e">
        <f t="shared" si="4746"/>
        <v>#N/A</v>
      </c>
      <c r="H2358" s="16" t="e">
        <f t="shared" si="4746"/>
        <v>#N/A</v>
      </c>
      <c r="I2358" s="16" t="e">
        <f t="shared" si="4746"/>
        <v>#N/A</v>
      </c>
      <c r="J2358" s="40" t="e">
        <f t="shared" si="4746"/>
        <v>#N/A</v>
      </c>
      <c r="K2358" s="16" t="e">
        <f t="shared" si="4746"/>
        <v>#N/A</v>
      </c>
      <c r="L2358" s="40" t="e">
        <f t="shared" si="4233"/>
        <v>#N/A</v>
      </c>
      <c r="M2358" s="16" t="e">
        <f t="shared" si="4234"/>
        <v>#N/A</v>
      </c>
      <c r="N2358" s="16" t="e">
        <f t="shared" si="4235"/>
        <v>#N/A</v>
      </c>
      <c r="O2358" s="16" t="s">
        <v>71</v>
      </c>
      <c r="P2358" s="16" t="str">
        <f t="shared" si="6"/>
        <v/>
      </c>
      <c r="Q2358" s="41" t="e">
        <f t="shared" si="4236"/>
        <v>#N/A</v>
      </c>
      <c r="R2358" s="44"/>
      <c r="S2358" s="44"/>
      <c r="T2358" s="43"/>
      <c r="U2358" s="43" t="str">
        <f t="shared" si="8"/>
        <v>No</v>
      </c>
      <c r="V2358" s="25"/>
      <c r="W2358" s="25"/>
      <c r="X2358" s="25"/>
      <c r="Y2358" s="25"/>
      <c r="Z2358" s="25"/>
    </row>
    <row r="2359" spans="1:26" ht="15.75" customHeight="1" x14ac:dyDescent="0.25">
      <c r="A2359" s="25">
        <v>2357</v>
      </c>
      <c r="B2359" s="37" t="e">
        <f t="shared" ref="B2359:D2359" si="4747">VLOOKUP($A2359,[7]Hábitat!$A$2:$O$184,B$1,0)</f>
        <v>#N/A</v>
      </c>
      <c r="C2359" s="38" t="e">
        <f t="shared" si="4747"/>
        <v>#N/A</v>
      </c>
      <c r="D2359" s="39" t="e">
        <f t="shared" si="4747"/>
        <v>#N/A</v>
      </c>
      <c r="E2359" s="16" t="e">
        <f t="shared" si="1"/>
        <v>#N/A</v>
      </c>
      <c r="F2359" s="16" t="e">
        <f t="shared" ref="F2359:K2359" si="4748">VLOOKUP($A2359,[7]Hábitat!$A$2:$O$184,F$1,0)</f>
        <v>#N/A</v>
      </c>
      <c r="G2359" s="39" t="e">
        <f t="shared" si="4748"/>
        <v>#N/A</v>
      </c>
      <c r="H2359" s="16" t="e">
        <f t="shared" si="4748"/>
        <v>#N/A</v>
      </c>
      <c r="I2359" s="16" t="e">
        <f t="shared" si="4748"/>
        <v>#N/A</v>
      </c>
      <c r="J2359" s="40" t="e">
        <f t="shared" si="4748"/>
        <v>#N/A</v>
      </c>
      <c r="K2359" s="16" t="e">
        <f t="shared" si="4748"/>
        <v>#N/A</v>
      </c>
      <c r="L2359" s="40" t="e">
        <f t="shared" si="4233"/>
        <v>#N/A</v>
      </c>
      <c r="M2359" s="16" t="e">
        <f t="shared" si="4234"/>
        <v>#N/A</v>
      </c>
      <c r="N2359" s="16" t="e">
        <f t="shared" si="4235"/>
        <v>#N/A</v>
      </c>
      <c r="O2359" s="16" t="s">
        <v>71</v>
      </c>
      <c r="P2359" s="16" t="str">
        <f t="shared" si="6"/>
        <v/>
      </c>
      <c r="Q2359" s="41" t="e">
        <f t="shared" si="4236"/>
        <v>#N/A</v>
      </c>
      <c r="R2359" s="44"/>
      <c r="S2359" s="44"/>
      <c r="T2359" s="43"/>
      <c r="U2359" s="43" t="str">
        <f t="shared" si="8"/>
        <v>No</v>
      </c>
      <c r="V2359" s="25"/>
      <c r="W2359" s="25"/>
      <c r="X2359" s="25"/>
      <c r="Y2359" s="25"/>
      <c r="Z2359" s="25"/>
    </row>
    <row r="2360" spans="1:26" ht="15.75" customHeight="1" x14ac:dyDescent="0.25">
      <c r="A2360" s="25">
        <v>2358</v>
      </c>
      <c r="B2360" s="37" t="e">
        <f t="shared" ref="B2360:D2360" si="4749">VLOOKUP($A2360,[7]Hábitat!$A$2:$O$184,B$1,0)</f>
        <v>#N/A</v>
      </c>
      <c r="C2360" s="38" t="e">
        <f t="shared" si="4749"/>
        <v>#N/A</v>
      </c>
      <c r="D2360" s="39" t="e">
        <f t="shared" si="4749"/>
        <v>#N/A</v>
      </c>
      <c r="E2360" s="16" t="e">
        <f t="shared" si="1"/>
        <v>#N/A</v>
      </c>
      <c r="F2360" s="16" t="e">
        <f t="shared" ref="F2360:K2360" si="4750">VLOOKUP($A2360,[7]Hábitat!$A$2:$O$184,F$1,0)</f>
        <v>#N/A</v>
      </c>
      <c r="G2360" s="39" t="e">
        <f t="shared" si="4750"/>
        <v>#N/A</v>
      </c>
      <c r="H2360" s="16" t="e">
        <f t="shared" si="4750"/>
        <v>#N/A</v>
      </c>
      <c r="I2360" s="16" t="e">
        <f t="shared" si="4750"/>
        <v>#N/A</v>
      </c>
      <c r="J2360" s="40" t="e">
        <f t="shared" si="4750"/>
        <v>#N/A</v>
      </c>
      <c r="K2360" s="16" t="e">
        <f t="shared" si="4750"/>
        <v>#N/A</v>
      </c>
      <c r="L2360" s="40" t="e">
        <f t="shared" si="4233"/>
        <v>#N/A</v>
      </c>
      <c r="M2360" s="16" t="e">
        <f t="shared" si="4234"/>
        <v>#N/A</v>
      </c>
      <c r="N2360" s="16" t="e">
        <f t="shared" si="4235"/>
        <v>#N/A</v>
      </c>
      <c r="O2360" s="16" t="s">
        <v>71</v>
      </c>
      <c r="P2360" s="16" t="str">
        <f t="shared" si="6"/>
        <v/>
      </c>
      <c r="Q2360" s="41" t="e">
        <f t="shared" si="4236"/>
        <v>#N/A</v>
      </c>
      <c r="R2360" s="44"/>
      <c r="S2360" s="44"/>
      <c r="T2360" s="43"/>
      <c r="U2360" s="43" t="str">
        <f t="shared" si="8"/>
        <v>No</v>
      </c>
      <c r="V2360" s="25"/>
      <c r="W2360" s="25"/>
      <c r="X2360" s="25"/>
      <c r="Y2360" s="25"/>
      <c r="Z2360" s="25"/>
    </row>
    <row r="2361" spans="1:26" ht="15.75" customHeight="1" x14ac:dyDescent="0.25">
      <c r="A2361" s="25">
        <v>2359</v>
      </c>
      <c r="B2361" s="37" t="e">
        <f t="shared" ref="B2361:D2361" si="4751">VLOOKUP($A2361,[7]Hábitat!$A$2:$O$184,B$1,0)</f>
        <v>#N/A</v>
      </c>
      <c r="C2361" s="38" t="e">
        <f t="shared" si="4751"/>
        <v>#N/A</v>
      </c>
      <c r="D2361" s="39" t="e">
        <f t="shared" si="4751"/>
        <v>#N/A</v>
      </c>
      <c r="E2361" s="16" t="e">
        <f t="shared" si="1"/>
        <v>#N/A</v>
      </c>
      <c r="F2361" s="16" t="e">
        <f t="shared" ref="F2361:K2361" si="4752">VLOOKUP($A2361,[7]Hábitat!$A$2:$O$184,F$1,0)</f>
        <v>#N/A</v>
      </c>
      <c r="G2361" s="39" t="e">
        <f t="shared" si="4752"/>
        <v>#N/A</v>
      </c>
      <c r="H2361" s="16" t="e">
        <f t="shared" si="4752"/>
        <v>#N/A</v>
      </c>
      <c r="I2361" s="16" t="e">
        <f t="shared" si="4752"/>
        <v>#N/A</v>
      </c>
      <c r="J2361" s="40" t="e">
        <f t="shared" si="4752"/>
        <v>#N/A</v>
      </c>
      <c r="K2361" s="16" t="e">
        <f t="shared" si="4752"/>
        <v>#N/A</v>
      </c>
      <c r="L2361" s="40" t="e">
        <f t="shared" si="4233"/>
        <v>#N/A</v>
      </c>
      <c r="M2361" s="16" t="e">
        <f t="shared" si="4234"/>
        <v>#N/A</v>
      </c>
      <c r="N2361" s="16" t="e">
        <f t="shared" si="4235"/>
        <v>#N/A</v>
      </c>
      <c r="O2361" s="16" t="s">
        <v>71</v>
      </c>
      <c r="P2361" s="16" t="str">
        <f t="shared" si="6"/>
        <v/>
      </c>
      <c r="Q2361" s="41" t="e">
        <f t="shared" si="4236"/>
        <v>#N/A</v>
      </c>
      <c r="R2361" s="44"/>
      <c r="S2361" s="44"/>
      <c r="T2361" s="43"/>
      <c r="U2361" s="43" t="str">
        <f t="shared" si="8"/>
        <v>No</v>
      </c>
      <c r="V2361" s="25"/>
      <c r="W2361" s="25"/>
      <c r="X2361" s="25"/>
      <c r="Y2361" s="25"/>
      <c r="Z2361" s="25"/>
    </row>
    <row r="2362" spans="1:26" ht="15.75" customHeight="1" x14ac:dyDescent="0.25">
      <c r="A2362" s="25">
        <v>2360</v>
      </c>
      <c r="B2362" s="37" t="e">
        <f t="shared" ref="B2362:D2362" si="4753">VLOOKUP($A2362,[7]Hábitat!$A$2:$O$184,B$1,0)</f>
        <v>#N/A</v>
      </c>
      <c r="C2362" s="38" t="e">
        <f t="shared" si="4753"/>
        <v>#N/A</v>
      </c>
      <c r="D2362" s="39" t="e">
        <f t="shared" si="4753"/>
        <v>#N/A</v>
      </c>
      <c r="E2362" s="16" t="e">
        <f t="shared" si="1"/>
        <v>#N/A</v>
      </c>
      <c r="F2362" s="16" t="e">
        <f t="shared" ref="F2362:K2362" si="4754">VLOOKUP($A2362,[7]Hábitat!$A$2:$O$184,F$1,0)</f>
        <v>#N/A</v>
      </c>
      <c r="G2362" s="39" t="e">
        <f t="shared" si="4754"/>
        <v>#N/A</v>
      </c>
      <c r="H2362" s="16" t="e">
        <f t="shared" si="4754"/>
        <v>#N/A</v>
      </c>
      <c r="I2362" s="16" t="e">
        <f t="shared" si="4754"/>
        <v>#N/A</v>
      </c>
      <c r="J2362" s="40" t="e">
        <f t="shared" si="4754"/>
        <v>#N/A</v>
      </c>
      <c r="K2362" s="16" t="e">
        <f t="shared" si="4754"/>
        <v>#N/A</v>
      </c>
      <c r="L2362" s="40" t="e">
        <f t="shared" si="4233"/>
        <v>#N/A</v>
      </c>
      <c r="M2362" s="16" t="e">
        <f t="shared" si="4234"/>
        <v>#N/A</v>
      </c>
      <c r="N2362" s="16" t="e">
        <f t="shared" si="4235"/>
        <v>#N/A</v>
      </c>
      <c r="O2362" s="16" t="s">
        <v>71</v>
      </c>
      <c r="P2362" s="16" t="str">
        <f t="shared" si="6"/>
        <v/>
      </c>
      <c r="Q2362" s="41" t="e">
        <f t="shared" si="4236"/>
        <v>#N/A</v>
      </c>
      <c r="R2362" s="44"/>
      <c r="S2362" s="44"/>
      <c r="T2362" s="43"/>
      <c r="U2362" s="43" t="str">
        <f t="shared" si="8"/>
        <v>No</v>
      </c>
      <c r="V2362" s="25"/>
      <c r="W2362" s="25"/>
      <c r="X2362" s="25"/>
      <c r="Y2362" s="25"/>
      <c r="Z2362" s="25"/>
    </row>
    <row r="2363" spans="1:26" ht="15.75" customHeight="1" x14ac:dyDescent="0.25">
      <c r="A2363" s="25">
        <v>2361</v>
      </c>
      <c r="B2363" s="37" t="e">
        <f t="shared" ref="B2363:D2363" si="4755">VLOOKUP($A2363,[7]Hábitat!$A$2:$O$184,B$1,0)</f>
        <v>#N/A</v>
      </c>
      <c r="C2363" s="38" t="e">
        <f t="shared" si="4755"/>
        <v>#N/A</v>
      </c>
      <c r="D2363" s="39" t="e">
        <f t="shared" si="4755"/>
        <v>#N/A</v>
      </c>
      <c r="E2363" s="16" t="e">
        <f t="shared" si="1"/>
        <v>#N/A</v>
      </c>
      <c r="F2363" s="16" t="e">
        <f t="shared" ref="F2363:K2363" si="4756">VLOOKUP($A2363,[7]Hábitat!$A$2:$O$184,F$1,0)</f>
        <v>#N/A</v>
      </c>
      <c r="G2363" s="39" t="e">
        <f t="shared" si="4756"/>
        <v>#N/A</v>
      </c>
      <c r="H2363" s="16" t="e">
        <f t="shared" si="4756"/>
        <v>#N/A</v>
      </c>
      <c r="I2363" s="16" t="e">
        <f t="shared" si="4756"/>
        <v>#N/A</v>
      </c>
      <c r="J2363" s="40" t="e">
        <f t="shared" si="4756"/>
        <v>#N/A</v>
      </c>
      <c r="K2363" s="16" t="e">
        <f t="shared" si="4756"/>
        <v>#N/A</v>
      </c>
      <c r="L2363" s="40" t="e">
        <f t="shared" si="4233"/>
        <v>#N/A</v>
      </c>
      <c r="M2363" s="16" t="e">
        <f t="shared" si="4234"/>
        <v>#N/A</v>
      </c>
      <c r="N2363" s="16" t="e">
        <f t="shared" si="4235"/>
        <v>#N/A</v>
      </c>
      <c r="O2363" s="16" t="s">
        <v>71</v>
      </c>
      <c r="P2363" s="16" t="str">
        <f t="shared" si="6"/>
        <v/>
      </c>
      <c r="Q2363" s="41" t="e">
        <f t="shared" si="4236"/>
        <v>#N/A</v>
      </c>
      <c r="R2363" s="44"/>
      <c r="S2363" s="44"/>
      <c r="T2363" s="43"/>
      <c r="U2363" s="43" t="str">
        <f t="shared" si="8"/>
        <v>No</v>
      </c>
      <c r="V2363" s="25"/>
      <c r="W2363" s="25"/>
      <c r="X2363" s="25"/>
      <c r="Y2363" s="25"/>
      <c r="Z2363" s="25"/>
    </row>
    <row r="2364" spans="1:26" ht="15.75" customHeight="1" x14ac:dyDescent="0.25">
      <c r="A2364" s="25">
        <v>2362</v>
      </c>
      <c r="B2364" s="37" t="e">
        <f t="shared" ref="B2364:D2364" si="4757">VLOOKUP($A2364,[7]Hábitat!$A$2:$O$184,B$1,0)</f>
        <v>#N/A</v>
      </c>
      <c r="C2364" s="38" t="e">
        <f t="shared" si="4757"/>
        <v>#N/A</v>
      </c>
      <c r="D2364" s="39" t="e">
        <f t="shared" si="4757"/>
        <v>#N/A</v>
      </c>
      <c r="E2364" s="16" t="e">
        <f t="shared" si="1"/>
        <v>#N/A</v>
      </c>
      <c r="F2364" s="16" t="e">
        <f t="shared" ref="F2364:K2364" si="4758">VLOOKUP($A2364,[7]Hábitat!$A$2:$O$184,F$1,0)</f>
        <v>#N/A</v>
      </c>
      <c r="G2364" s="39" t="e">
        <f t="shared" si="4758"/>
        <v>#N/A</v>
      </c>
      <c r="H2364" s="16" t="e">
        <f t="shared" si="4758"/>
        <v>#N/A</v>
      </c>
      <c r="I2364" s="16" t="e">
        <f t="shared" si="4758"/>
        <v>#N/A</v>
      </c>
      <c r="J2364" s="40" t="e">
        <f t="shared" si="4758"/>
        <v>#N/A</v>
      </c>
      <c r="K2364" s="16" t="e">
        <f t="shared" si="4758"/>
        <v>#N/A</v>
      </c>
      <c r="L2364" s="40" t="e">
        <f t="shared" si="4233"/>
        <v>#N/A</v>
      </c>
      <c r="M2364" s="16" t="e">
        <f t="shared" si="4234"/>
        <v>#N/A</v>
      </c>
      <c r="N2364" s="16" t="e">
        <f t="shared" si="4235"/>
        <v>#N/A</v>
      </c>
      <c r="O2364" s="16" t="s">
        <v>71</v>
      </c>
      <c r="P2364" s="16" t="str">
        <f t="shared" si="6"/>
        <v/>
      </c>
      <c r="Q2364" s="41" t="e">
        <f t="shared" si="4236"/>
        <v>#N/A</v>
      </c>
      <c r="R2364" s="44"/>
      <c r="S2364" s="44"/>
      <c r="T2364" s="43"/>
      <c r="U2364" s="43" t="str">
        <f t="shared" si="8"/>
        <v>No</v>
      </c>
      <c r="V2364" s="25"/>
      <c r="W2364" s="25"/>
      <c r="X2364" s="25"/>
      <c r="Y2364" s="25"/>
      <c r="Z2364" s="25"/>
    </row>
    <row r="2365" spans="1:26" ht="15.75" customHeight="1" x14ac:dyDescent="0.25">
      <c r="A2365" s="25">
        <v>2363</v>
      </c>
      <c r="B2365" s="37" t="e">
        <f t="shared" ref="B2365:D2365" si="4759">VLOOKUP($A2365,[7]Hábitat!$A$2:$O$184,B$1,0)</f>
        <v>#N/A</v>
      </c>
      <c r="C2365" s="38" t="e">
        <f t="shared" si="4759"/>
        <v>#N/A</v>
      </c>
      <c r="D2365" s="39" t="e">
        <f t="shared" si="4759"/>
        <v>#N/A</v>
      </c>
      <c r="E2365" s="16" t="e">
        <f t="shared" si="1"/>
        <v>#N/A</v>
      </c>
      <c r="F2365" s="16" t="e">
        <f t="shared" ref="F2365:K2365" si="4760">VLOOKUP($A2365,[7]Hábitat!$A$2:$O$184,F$1,0)</f>
        <v>#N/A</v>
      </c>
      <c r="G2365" s="39" t="e">
        <f t="shared" si="4760"/>
        <v>#N/A</v>
      </c>
      <c r="H2365" s="16" t="e">
        <f t="shared" si="4760"/>
        <v>#N/A</v>
      </c>
      <c r="I2365" s="16" t="e">
        <f t="shared" si="4760"/>
        <v>#N/A</v>
      </c>
      <c r="J2365" s="40" t="e">
        <f t="shared" si="4760"/>
        <v>#N/A</v>
      </c>
      <c r="K2365" s="16" t="e">
        <f t="shared" si="4760"/>
        <v>#N/A</v>
      </c>
      <c r="L2365" s="40" t="e">
        <f t="shared" si="4233"/>
        <v>#N/A</v>
      </c>
      <c r="M2365" s="16" t="e">
        <f t="shared" si="4234"/>
        <v>#N/A</v>
      </c>
      <c r="N2365" s="16" t="e">
        <f t="shared" si="4235"/>
        <v>#N/A</v>
      </c>
      <c r="O2365" s="16" t="s">
        <v>71</v>
      </c>
      <c r="P2365" s="16" t="str">
        <f t="shared" si="6"/>
        <v/>
      </c>
      <c r="Q2365" s="41" t="e">
        <f t="shared" si="4236"/>
        <v>#N/A</v>
      </c>
      <c r="R2365" s="44"/>
      <c r="S2365" s="44"/>
      <c r="T2365" s="43"/>
      <c r="U2365" s="43" t="str">
        <f t="shared" si="8"/>
        <v>No</v>
      </c>
      <c r="V2365" s="25"/>
      <c r="W2365" s="25"/>
      <c r="X2365" s="25"/>
      <c r="Y2365" s="25"/>
      <c r="Z2365" s="25"/>
    </row>
    <row r="2366" spans="1:26" ht="15.75" customHeight="1" x14ac:dyDescent="0.25">
      <c r="A2366" s="25">
        <v>2364</v>
      </c>
      <c r="B2366" s="37" t="e">
        <f t="shared" ref="B2366:D2366" si="4761">VLOOKUP($A2366,[7]Hábitat!$A$2:$O$184,B$1,0)</f>
        <v>#N/A</v>
      </c>
      <c r="C2366" s="38" t="e">
        <f t="shared" si="4761"/>
        <v>#N/A</v>
      </c>
      <c r="D2366" s="39" t="e">
        <f t="shared" si="4761"/>
        <v>#N/A</v>
      </c>
      <c r="E2366" s="16" t="e">
        <f t="shared" si="1"/>
        <v>#N/A</v>
      </c>
      <c r="F2366" s="16" t="e">
        <f t="shared" ref="F2366:K2366" si="4762">VLOOKUP($A2366,[7]Hábitat!$A$2:$O$184,F$1,0)</f>
        <v>#N/A</v>
      </c>
      <c r="G2366" s="39" t="e">
        <f t="shared" si="4762"/>
        <v>#N/A</v>
      </c>
      <c r="H2366" s="16" t="e">
        <f t="shared" si="4762"/>
        <v>#N/A</v>
      </c>
      <c r="I2366" s="16" t="e">
        <f t="shared" si="4762"/>
        <v>#N/A</v>
      </c>
      <c r="J2366" s="40" t="e">
        <f t="shared" si="4762"/>
        <v>#N/A</v>
      </c>
      <c r="K2366" s="16" t="e">
        <f t="shared" si="4762"/>
        <v>#N/A</v>
      </c>
      <c r="L2366" s="40" t="e">
        <f t="shared" si="4233"/>
        <v>#N/A</v>
      </c>
      <c r="M2366" s="16" t="e">
        <f t="shared" si="4234"/>
        <v>#N/A</v>
      </c>
      <c r="N2366" s="16" t="e">
        <f t="shared" si="4235"/>
        <v>#N/A</v>
      </c>
      <c r="O2366" s="16" t="s">
        <v>71</v>
      </c>
      <c r="P2366" s="16" t="str">
        <f t="shared" si="6"/>
        <v/>
      </c>
      <c r="Q2366" s="41" t="e">
        <f t="shared" si="4236"/>
        <v>#N/A</v>
      </c>
      <c r="R2366" s="44"/>
      <c r="S2366" s="44"/>
      <c r="T2366" s="43"/>
      <c r="U2366" s="43" t="str">
        <f t="shared" si="8"/>
        <v>No</v>
      </c>
      <c r="V2366" s="25"/>
      <c r="W2366" s="25"/>
      <c r="X2366" s="25"/>
      <c r="Y2366" s="25"/>
      <c r="Z2366" s="25"/>
    </row>
    <row r="2367" spans="1:26" ht="15.75" customHeight="1" x14ac:dyDescent="0.25">
      <c r="A2367" s="25">
        <v>2365</v>
      </c>
      <c r="B2367" s="37" t="e">
        <f t="shared" ref="B2367:D2367" si="4763">VLOOKUP($A2367,[7]Hábitat!$A$2:$O$184,B$1,0)</f>
        <v>#N/A</v>
      </c>
      <c r="C2367" s="38" t="e">
        <f t="shared" si="4763"/>
        <v>#N/A</v>
      </c>
      <c r="D2367" s="39" t="e">
        <f t="shared" si="4763"/>
        <v>#N/A</v>
      </c>
      <c r="E2367" s="16" t="e">
        <f t="shared" si="1"/>
        <v>#N/A</v>
      </c>
      <c r="F2367" s="16" t="e">
        <f t="shared" ref="F2367:K2367" si="4764">VLOOKUP($A2367,[7]Hábitat!$A$2:$O$184,F$1,0)</f>
        <v>#N/A</v>
      </c>
      <c r="G2367" s="39" t="e">
        <f t="shared" si="4764"/>
        <v>#N/A</v>
      </c>
      <c r="H2367" s="16" t="e">
        <f t="shared" si="4764"/>
        <v>#N/A</v>
      </c>
      <c r="I2367" s="16" t="e">
        <f t="shared" si="4764"/>
        <v>#N/A</v>
      </c>
      <c r="J2367" s="40" t="e">
        <f t="shared" si="4764"/>
        <v>#N/A</v>
      </c>
      <c r="K2367" s="16" t="e">
        <f t="shared" si="4764"/>
        <v>#N/A</v>
      </c>
      <c r="L2367" s="40" t="e">
        <f t="shared" si="4233"/>
        <v>#N/A</v>
      </c>
      <c r="M2367" s="16" t="e">
        <f t="shared" si="4234"/>
        <v>#N/A</v>
      </c>
      <c r="N2367" s="16" t="e">
        <f t="shared" si="4235"/>
        <v>#N/A</v>
      </c>
      <c r="O2367" s="16" t="s">
        <v>71</v>
      </c>
      <c r="P2367" s="16" t="str">
        <f t="shared" si="6"/>
        <v/>
      </c>
      <c r="Q2367" s="41" t="e">
        <f t="shared" si="4236"/>
        <v>#N/A</v>
      </c>
      <c r="R2367" s="44"/>
      <c r="S2367" s="44"/>
      <c r="T2367" s="43"/>
      <c r="U2367" s="43" t="str">
        <f t="shared" si="8"/>
        <v>No</v>
      </c>
      <c r="V2367" s="25"/>
      <c r="W2367" s="25"/>
      <c r="X2367" s="25"/>
      <c r="Y2367" s="25"/>
      <c r="Z2367" s="25"/>
    </row>
    <row r="2368" spans="1:26" ht="15.75" customHeight="1" x14ac:dyDescent="0.25">
      <c r="A2368" s="25">
        <v>2366</v>
      </c>
      <c r="B2368" s="37" t="e">
        <f t="shared" ref="B2368:D2368" si="4765">VLOOKUP($A2368,[7]Hábitat!$A$2:$O$184,B$1,0)</f>
        <v>#N/A</v>
      </c>
      <c r="C2368" s="38" t="e">
        <f t="shared" si="4765"/>
        <v>#N/A</v>
      </c>
      <c r="D2368" s="39" t="e">
        <f t="shared" si="4765"/>
        <v>#N/A</v>
      </c>
      <c r="E2368" s="16" t="e">
        <f t="shared" si="1"/>
        <v>#N/A</v>
      </c>
      <c r="F2368" s="16" t="e">
        <f t="shared" ref="F2368:K2368" si="4766">VLOOKUP($A2368,[7]Hábitat!$A$2:$O$184,F$1,0)</f>
        <v>#N/A</v>
      </c>
      <c r="G2368" s="39" t="e">
        <f t="shared" si="4766"/>
        <v>#N/A</v>
      </c>
      <c r="H2368" s="16" t="e">
        <f t="shared" si="4766"/>
        <v>#N/A</v>
      </c>
      <c r="I2368" s="16" t="e">
        <f t="shared" si="4766"/>
        <v>#N/A</v>
      </c>
      <c r="J2368" s="40" t="e">
        <f t="shared" si="4766"/>
        <v>#N/A</v>
      </c>
      <c r="K2368" s="16" t="e">
        <f t="shared" si="4766"/>
        <v>#N/A</v>
      </c>
      <c r="L2368" s="40" t="e">
        <f t="shared" si="4233"/>
        <v>#N/A</v>
      </c>
      <c r="M2368" s="16" t="e">
        <f t="shared" si="4234"/>
        <v>#N/A</v>
      </c>
      <c r="N2368" s="16" t="e">
        <f t="shared" si="4235"/>
        <v>#N/A</v>
      </c>
      <c r="O2368" s="16" t="s">
        <v>71</v>
      </c>
      <c r="P2368" s="16" t="str">
        <f t="shared" si="6"/>
        <v/>
      </c>
      <c r="Q2368" s="41" t="e">
        <f t="shared" si="4236"/>
        <v>#N/A</v>
      </c>
      <c r="R2368" s="44"/>
      <c r="S2368" s="44"/>
      <c r="T2368" s="43"/>
      <c r="U2368" s="43" t="str">
        <f t="shared" si="8"/>
        <v>No</v>
      </c>
      <c r="V2368" s="25"/>
      <c r="W2368" s="25"/>
      <c r="X2368" s="25"/>
      <c r="Y2368" s="25"/>
      <c r="Z2368" s="25"/>
    </row>
    <row r="2369" spans="1:26" ht="15.75" customHeight="1" x14ac:dyDescent="0.25">
      <c r="A2369" s="25">
        <v>2367</v>
      </c>
      <c r="B2369" s="37" t="e">
        <f t="shared" ref="B2369:D2369" si="4767">VLOOKUP($A2369,[7]Hábitat!$A$2:$O$184,B$1,0)</f>
        <v>#N/A</v>
      </c>
      <c r="C2369" s="38" t="e">
        <f t="shared" si="4767"/>
        <v>#N/A</v>
      </c>
      <c r="D2369" s="39" t="e">
        <f t="shared" si="4767"/>
        <v>#N/A</v>
      </c>
      <c r="E2369" s="16" t="e">
        <f t="shared" si="1"/>
        <v>#N/A</v>
      </c>
      <c r="F2369" s="16" t="e">
        <f t="shared" ref="F2369:K2369" si="4768">VLOOKUP($A2369,[7]Hábitat!$A$2:$O$184,F$1,0)</f>
        <v>#N/A</v>
      </c>
      <c r="G2369" s="39" t="e">
        <f t="shared" si="4768"/>
        <v>#N/A</v>
      </c>
      <c r="H2369" s="16" t="e">
        <f t="shared" si="4768"/>
        <v>#N/A</v>
      </c>
      <c r="I2369" s="16" t="e">
        <f t="shared" si="4768"/>
        <v>#N/A</v>
      </c>
      <c r="J2369" s="40" t="e">
        <f t="shared" si="4768"/>
        <v>#N/A</v>
      </c>
      <c r="K2369" s="16" t="e">
        <f t="shared" si="4768"/>
        <v>#N/A</v>
      </c>
      <c r="L2369" s="40" t="e">
        <f t="shared" si="4233"/>
        <v>#N/A</v>
      </c>
      <c r="M2369" s="16" t="e">
        <f t="shared" si="4234"/>
        <v>#N/A</v>
      </c>
      <c r="N2369" s="16" t="e">
        <f t="shared" si="4235"/>
        <v>#N/A</v>
      </c>
      <c r="O2369" s="16" t="s">
        <v>71</v>
      </c>
      <c r="P2369" s="16" t="str">
        <f t="shared" si="6"/>
        <v/>
      </c>
      <c r="Q2369" s="41" t="e">
        <f t="shared" si="4236"/>
        <v>#N/A</v>
      </c>
      <c r="R2369" s="44"/>
      <c r="S2369" s="44"/>
      <c r="T2369" s="43"/>
      <c r="U2369" s="43" t="str">
        <f t="shared" si="8"/>
        <v>No</v>
      </c>
      <c r="V2369" s="25"/>
      <c r="W2369" s="25"/>
      <c r="X2369" s="25"/>
      <c r="Y2369" s="25"/>
      <c r="Z2369" s="25"/>
    </row>
    <row r="2370" spans="1:26" ht="15.75" customHeight="1" x14ac:dyDescent="0.25">
      <c r="A2370" s="25">
        <v>2368</v>
      </c>
      <c r="B2370" s="37" t="e">
        <f t="shared" ref="B2370:D2370" si="4769">VLOOKUP($A2370,[7]Hábitat!$A$2:$O$184,B$1,0)</f>
        <v>#N/A</v>
      </c>
      <c r="C2370" s="38" t="e">
        <f t="shared" si="4769"/>
        <v>#N/A</v>
      </c>
      <c r="D2370" s="39" t="e">
        <f t="shared" si="4769"/>
        <v>#N/A</v>
      </c>
      <c r="E2370" s="16" t="e">
        <f t="shared" si="1"/>
        <v>#N/A</v>
      </c>
      <c r="F2370" s="16" t="e">
        <f t="shared" ref="F2370:K2370" si="4770">VLOOKUP($A2370,[7]Hábitat!$A$2:$O$184,F$1,0)</f>
        <v>#N/A</v>
      </c>
      <c r="G2370" s="39" t="e">
        <f t="shared" si="4770"/>
        <v>#N/A</v>
      </c>
      <c r="H2370" s="16" t="e">
        <f t="shared" si="4770"/>
        <v>#N/A</v>
      </c>
      <c r="I2370" s="16" t="e">
        <f t="shared" si="4770"/>
        <v>#N/A</v>
      </c>
      <c r="J2370" s="40" t="e">
        <f t="shared" si="4770"/>
        <v>#N/A</v>
      </c>
      <c r="K2370" s="16" t="e">
        <f t="shared" si="4770"/>
        <v>#N/A</v>
      </c>
      <c r="L2370" s="40" t="e">
        <f t="shared" si="4233"/>
        <v>#N/A</v>
      </c>
      <c r="M2370" s="16" t="e">
        <f t="shared" si="4234"/>
        <v>#N/A</v>
      </c>
      <c r="N2370" s="16" t="e">
        <f t="shared" si="4235"/>
        <v>#N/A</v>
      </c>
      <c r="O2370" s="16" t="s">
        <v>71</v>
      </c>
      <c r="P2370" s="16" t="str">
        <f t="shared" si="6"/>
        <v/>
      </c>
      <c r="Q2370" s="41" t="e">
        <f t="shared" si="4236"/>
        <v>#N/A</v>
      </c>
      <c r="R2370" s="44"/>
      <c r="S2370" s="44"/>
      <c r="T2370" s="43"/>
      <c r="U2370" s="43" t="str">
        <f t="shared" si="8"/>
        <v>No</v>
      </c>
      <c r="V2370" s="25"/>
      <c r="W2370" s="25"/>
      <c r="X2370" s="25"/>
      <c r="Y2370" s="25"/>
      <c r="Z2370" s="25"/>
    </row>
    <row r="2371" spans="1:26" ht="15.75" customHeight="1" x14ac:dyDescent="0.25">
      <c r="A2371" s="25">
        <v>2369</v>
      </c>
      <c r="B2371" s="37" t="e">
        <f t="shared" ref="B2371:D2371" si="4771">VLOOKUP($A2371,[7]Hábitat!$A$2:$O$184,B$1,0)</f>
        <v>#N/A</v>
      </c>
      <c r="C2371" s="38" t="e">
        <f t="shared" si="4771"/>
        <v>#N/A</v>
      </c>
      <c r="D2371" s="39" t="e">
        <f t="shared" si="4771"/>
        <v>#N/A</v>
      </c>
      <c r="E2371" s="16" t="e">
        <f t="shared" si="1"/>
        <v>#N/A</v>
      </c>
      <c r="F2371" s="16" t="e">
        <f t="shared" ref="F2371:K2371" si="4772">VLOOKUP($A2371,[7]Hábitat!$A$2:$O$184,F$1,0)</f>
        <v>#N/A</v>
      </c>
      <c r="G2371" s="39" t="e">
        <f t="shared" si="4772"/>
        <v>#N/A</v>
      </c>
      <c r="H2371" s="16" t="e">
        <f t="shared" si="4772"/>
        <v>#N/A</v>
      </c>
      <c r="I2371" s="16" t="e">
        <f t="shared" si="4772"/>
        <v>#N/A</v>
      </c>
      <c r="J2371" s="40" t="e">
        <f t="shared" si="4772"/>
        <v>#N/A</v>
      </c>
      <c r="K2371" s="16" t="e">
        <f t="shared" si="4772"/>
        <v>#N/A</v>
      </c>
      <c r="L2371" s="40" t="e">
        <f t="shared" si="4233"/>
        <v>#N/A</v>
      </c>
      <c r="M2371" s="16" t="e">
        <f t="shared" si="4234"/>
        <v>#N/A</v>
      </c>
      <c r="N2371" s="16" t="e">
        <f t="shared" si="4235"/>
        <v>#N/A</v>
      </c>
      <c r="O2371" s="16" t="s">
        <v>71</v>
      </c>
      <c r="P2371" s="16" t="str">
        <f t="shared" si="6"/>
        <v/>
      </c>
      <c r="Q2371" s="41" t="e">
        <f t="shared" si="4236"/>
        <v>#N/A</v>
      </c>
      <c r="R2371" s="44"/>
      <c r="S2371" s="44"/>
      <c r="T2371" s="43"/>
      <c r="U2371" s="43" t="str">
        <f t="shared" si="8"/>
        <v>No</v>
      </c>
      <c r="V2371" s="25"/>
      <c r="W2371" s="25"/>
      <c r="X2371" s="25"/>
      <c r="Y2371" s="25"/>
      <c r="Z2371" s="25"/>
    </row>
    <row r="2372" spans="1:26" ht="15.75" customHeight="1" x14ac:dyDescent="0.25">
      <c r="A2372" s="25">
        <v>2370</v>
      </c>
      <c r="B2372" s="37" t="e">
        <f t="shared" ref="B2372:D2372" si="4773">VLOOKUP($A2372,[7]Hábitat!$A$2:$O$184,B$1,0)</f>
        <v>#N/A</v>
      </c>
      <c r="C2372" s="38" t="e">
        <f t="shared" si="4773"/>
        <v>#N/A</v>
      </c>
      <c r="D2372" s="39" t="e">
        <f t="shared" si="4773"/>
        <v>#N/A</v>
      </c>
      <c r="E2372" s="16" t="e">
        <f t="shared" si="1"/>
        <v>#N/A</v>
      </c>
      <c r="F2372" s="16" t="e">
        <f t="shared" ref="F2372:K2372" si="4774">VLOOKUP($A2372,[7]Hábitat!$A$2:$O$184,F$1,0)</f>
        <v>#N/A</v>
      </c>
      <c r="G2372" s="39" t="e">
        <f t="shared" si="4774"/>
        <v>#N/A</v>
      </c>
      <c r="H2372" s="16" t="e">
        <f t="shared" si="4774"/>
        <v>#N/A</v>
      </c>
      <c r="I2372" s="16" t="e">
        <f t="shared" si="4774"/>
        <v>#N/A</v>
      </c>
      <c r="J2372" s="40" t="e">
        <f t="shared" si="4774"/>
        <v>#N/A</v>
      </c>
      <c r="K2372" s="16" t="e">
        <f t="shared" si="4774"/>
        <v>#N/A</v>
      </c>
      <c r="L2372" s="40" t="e">
        <f t="shared" si="4233"/>
        <v>#N/A</v>
      </c>
      <c r="M2372" s="16" t="e">
        <f t="shared" si="4234"/>
        <v>#N/A</v>
      </c>
      <c r="N2372" s="16" t="e">
        <f t="shared" si="4235"/>
        <v>#N/A</v>
      </c>
      <c r="O2372" s="16" t="s">
        <v>71</v>
      </c>
      <c r="P2372" s="16" t="str">
        <f t="shared" si="6"/>
        <v/>
      </c>
      <c r="Q2372" s="41" t="e">
        <f t="shared" si="4236"/>
        <v>#N/A</v>
      </c>
      <c r="R2372" s="44"/>
      <c r="S2372" s="44"/>
      <c r="T2372" s="43"/>
      <c r="U2372" s="43" t="str">
        <f t="shared" si="8"/>
        <v>No</v>
      </c>
      <c r="V2372" s="25"/>
      <c r="W2372" s="25"/>
      <c r="X2372" s="25"/>
      <c r="Y2372" s="25"/>
      <c r="Z2372" s="25"/>
    </row>
    <row r="2373" spans="1:26" ht="15.75" customHeight="1" x14ac:dyDescent="0.25">
      <c r="A2373" s="25">
        <v>2371</v>
      </c>
      <c r="B2373" s="37" t="e">
        <f t="shared" ref="B2373:D2373" si="4775">VLOOKUP($A2373,[7]Hábitat!$A$2:$O$184,B$1,0)</f>
        <v>#N/A</v>
      </c>
      <c r="C2373" s="38" t="e">
        <f t="shared" si="4775"/>
        <v>#N/A</v>
      </c>
      <c r="D2373" s="39" t="e">
        <f t="shared" si="4775"/>
        <v>#N/A</v>
      </c>
      <c r="E2373" s="16" t="e">
        <f t="shared" si="1"/>
        <v>#N/A</v>
      </c>
      <c r="F2373" s="16" t="e">
        <f t="shared" ref="F2373:K2373" si="4776">VLOOKUP($A2373,[7]Hábitat!$A$2:$O$184,F$1,0)</f>
        <v>#N/A</v>
      </c>
      <c r="G2373" s="39" t="e">
        <f t="shared" si="4776"/>
        <v>#N/A</v>
      </c>
      <c r="H2373" s="16" t="e">
        <f t="shared" si="4776"/>
        <v>#N/A</v>
      </c>
      <c r="I2373" s="16" t="e">
        <f t="shared" si="4776"/>
        <v>#N/A</v>
      </c>
      <c r="J2373" s="40" t="e">
        <f t="shared" si="4776"/>
        <v>#N/A</v>
      </c>
      <c r="K2373" s="16" t="e">
        <f t="shared" si="4776"/>
        <v>#N/A</v>
      </c>
      <c r="L2373" s="40" t="e">
        <f t="shared" si="4233"/>
        <v>#N/A</v>
      </c>
      <c r="M2373" s="16" t="e">
        <f t="shared" si="4234"/>
        <v>#N/A</v>
      </c>
      <c r="N2373" s="16" t="e">
        <f t="shared" si="4235"/>
        <v>#N/A</v>
      </c>
      <c r="O2373" s="16" t="s">
        <v>71</v>
      </c>
      <c r="P2373" s="16" t="str">
        <f t="shared" si="6"/>
        <v/>
      </c>
      <c r="Q2373" s="41" t="e">
        <f t="shared" si="4236"/>
        <v>#N/A</v>
      </c>
      <c r="R2373" s="44"/>
      <c r="S2373" s="44"/>
      <c r="T2373" s="43"/>
      <c r="U2373" s="43" t="str">
        <f t="shared" si="8"/>
        <v>No</v>
      </c>
      <c r="V2373" s="25"/>
      <c r="W2373" s="25"/>
      <c r="X2373" s="25"/>
      <c r="Y2373" s="25"/>
      <c r="Z2373" s="25"/>
    </row>
    <row r="2374" spans="1:26" ht="15.75" customHeight="1" x14ac:dyDescent="0.25">
      <c r="A2374" s="25">
        <v>2372</v>
      </c>
      <c r="B2374" s="37" t="e">
        <f t="shared" ref="B2374:D2374" si="4777">VLOOKUP($A2374,[7]Hábitat!$A$2:$O$184,B$1,0)</f>
        <v>#N/A</v>
      </c>
      <c r="C2374" s="38" t="e">
        <f t="shared" si="4777"/>
        <v>#N/A</v>
      </c>
      <c r="D2374" s="39" t="e">
        <f t="shared" si="4777"/>
        <v>#N/A</v>
      </c>
      <c r="E2374" s="16" t="e">
        <f t="shared" si="1"/>
        <v>#N/A</v>
      </c>
      <c r="F2374" s="16" t="e">
        <f t="shared" ref="F2374:K2374" si="4778">VLOOKUP($A2374,[7]Hábitat!$A$2:$O$184,F$1,0)</f>
        <v>#N/A</v>
      </c>
      <c r="G2374" s="39" t="e">
        <f t="shared" si="4778"/>
        <v>#N/A</v>
      </c>
      <c r="H2374" s="16" t="e">
        <f t="shared" si="4778"/>
        <v>#N/A</v>
      </c>
      <c r="I2374" s="16" t="e">
        <f t="shared" si="4778"/>
        <v>#N/A</v>
      </c>
      <c r="J2374" s="40" t="e">
        <f t="shared" si="4778"/>
        <v>#N/A</v>
      </c>
      <c r="K2374" s="16" t="e">
        <f t="shared" si="4778"/>
        <v>#N/A</v>
      </c>
      <c r="L2374" s="40" t="e">
        <f t="shared" si="4233"/>
        <v>#N/A</v>
      </c>
      <c r="M2374" s="16" t="e">
        <f t="shared" si="4234"/>
        <v>#N/A</v>
      </c>
      <c r="N2374" s="16" t="e">
        <f t="shared" si="4235"/>
        <v>#N/A</v>
      </c>
      <c r="O2374" s="16" t="s">
        <v>71</v>
      </c>
      <c r="P2374" s="16" t="str">
        <f t="shared" si="6"/>
        <v/>
      </c>
      <c r="Q2374" s="41" t="e">
        <f t="shared" si="4236"/>
        <v>#N/A</v>
      </c>
      <c r="R2374" s="44"/>
      <c r="S2374" s="44"/>
      <c r="T2374" s="43"/>
      <c r="U2374" s="43" t="str">
        <f t="shared" si="8"/>
        <v>No</v>
      </c>
      <c r="V2374" s="25"/>
      <c r="W2374" s="25"/>
      <c r="X2374" s="25"/>
      <c r="Y2374" s="25"/>
      <c r="Z2374" s="25"/>
    </row>
    <row r="2375" spans="1:26" ht="15.75" customHeight="1" x14ac:dyDescent="0.25">
      <c r="A2375" s="25">
        <v>2373</v>
      </c>
      <c r="B2375" s="37" t="e">
        <f t="shared" ref="B2375:D2375" si="4779">VLOOKUP($A2375,[7]Hábitat!$A$2:$O$184,B$1,0)</f>
        <v>#N/A</v>
      </c>
      <c r="C2375" s="38" t="e">
        <f t="shared" si="4779"/>
        <v>#N/A</v>
      </c>
      <c r="D2375" s="39" t="e">
        <f t="shared" si="4779"/>
        <v>#N/A</v>
      </c>
      <c r="E2375" s="16" t="e">
        <f t="shared" si="1"/>
        <v>#N/A</v>
      </c>
      <c r="F2375" s="16" t="e">
        <f t="shared" ref="F2375:K2375" si="4780">VLOOKUP($A2375,[7]Hábitat!$A$2:$O$184,F$1,0)</f>
        <v>#N/A</v>
      </c>
      <c r="G2375" s="39" t="e">
        <f t="shared" si="4780"/>
        <v>#N/A</v>
      </c>
      <c r="H2375" s="16" t="e">
        <f t="shared" si="4780"/>
        <v>#N/A</v>
      </c>
      <c r="I2375" s="16" t="e">
        <f t="shared" si="4780"/>
        <v>#N/A</v>
      </c>
      <c r="J2375" s="40" t="e">
        <f t="shared" si="4780"/>
        <v>#N/A</v>
      </c>
      <c r="K2375" s="16" t="e">
        <f t="shared" si="4780"/>
        <v>#N/A</v>
      </c>
      <c r="L2375" s="40" t="e">
        <f t="shared" si="4233"/>
        <v>#N/A</v>
      </c>
      <c r="M2375" s="16" t="e">
        <f t="shared" si="4234"/>
        <v>#N/A</v>
      </c>
      <c r="N2375" s="16" t="e">
        <f t="shared" si="4235"/>
        <v>#N/A</v>
      </c>
      <c r="O2375" s="16" t="s">
        <v>71</v>
      </c>
      <c r="P2375" s="16" t="str">
        <f t="shared" si="6"/>
        <v/>
      </c>
      <c r="Q2375" s="41" t="e">
        <f t="shared" si="4236"/>
        <v>#N/A</v>
      </c>
      <c r="R2375" s="44"/>
      <c r="S2375" s="44"/>
      <c r="T2375" s="43"/>
      <c r="U2375" s="43" t="str">
        <f t="shared" si="8"/>
        <v>No</v>
      </c>
      <c r="V2375" s="25"/>
      <c r="W2375" s="25"/>
      <c r="X2375" s="25"/>
      <c r="Y2375" s="25"/>
      <c r="Z2375" s="25"/>
    </row>
    <row r="2376" spans="1:26" ht="15.75" customHeight="1" x14ac:dyDescent="0.25">
      <c r="A2376" s="25">
        <v>2374</v>
      </c>
      <c r="B2376" s="37" t="e">
        <f t="shared" ref="B2376:D2376" si="4781">VLOOKUP($A2376,[7]Hábitat!$A$2:$O$184,B$1,0)</f>
        <v>#N/A</v>
      </c>
      <c r="C2376" s="38" t="e">
        <f t="shared" si="4781"/>
        <v>#N/A</v>
      </c>
      <c r="D2376" s="39" t="e">
        <f t="shared" si="4781"/>
        <v>#N/A</v>
      </c>
      <c r="E2376" s="16" t="e">
        <f t="shared" si="1"/>
        <v>#N/A</v>
      </c>
      <c r="F2376" s="16" t="e">
        <f t="shared" ref="F2376:K2376" si="4782">VLOOKUP($A2376,[7]Hábitat!$A$2:$O$184,F$1,0)</f>
        <v>#N/A</v>
      </c>
      <c r="G2376" s="39" t="e">
        <f t="shared" si="4782"/>
        <v>#N/A</v>
      </c>
      <c r="H2376" s="16" t="e">
        <f t="shared" si="4782"/>
        <v>#N/A</v>
      </c>
      <c r="I2376" s="16" t="e">
        <f t="shared" si="4782"/>
        <v>#N/A</v>
      </c>
      <c r="J2376" s="40" t="e">
        <f t="shared" si="4782"/>
        <v>#N/A</v>
      </c>
      <c r="K2376" s="16" t="e">
        <f t="shared" si="4782"/>
        <v>#N/A</v>
      </c>
      <c r="L2376" s="40" t="e">
        <f t="shared" si="4233"/>
        <v>#N/A</v>
      </c>
      <c r="M2376" s="16" t="e">
        <f t="shared" si="4234"/>
        <v>#N/A</v>
      </c>
      <c r="N2376" s="16" t="e">
        <f t="shared" si="4235"/>
        <v>#N/A</v>
      </c>
      <c r="O2376" s="16" t="s">
        <v>71</v>
      </c>
      <c r="P2376" s="16" t="str">
        <f t="shared" si="6"/>
        <v/>
      </c>
      <c r="Q2376" s="41" t="e">
        <f t="shared" si="4236"/>
        <v>#N/A</v>
      </c>
      <c r="R2376" s="44"/>
      <c r="S2376" s="44"/>
      <c r="T2376" s="43"/>
      <c r="U2376" s="43" t="str">
        <f t="shared" si="8"/>
        <v>No</v>
      </c>
      <c r="V2376" s="25"/>
      <c r="W2376" s="25"/>
      <c r="X2376" s="25"/>
      <c r="Y2376" s="25"/>
      <c r="Z2376" s="25"/>
    </row>
    <row r="2377" spans="1:26" ht="15.75" customHeight="1" x14ac:dyDescent="0.25">
      <c r="A2377" s="25">
        <v>2375</v>
      </c>
      <c r="B2377" s="37" t="e">
        <f t="shared" ref="B2377:D2377" si="4783">VLOOKUP($A2377,[7]Hábitat!$A$2:$O$184,B$1,0)</f>
        <v>#N/A</v>
      </c>
      <c r="C2377" s="38" t="e">
        <f t="shared" si="4783"/>
        <v>#N/A</v>
      </c>
      <c r="D2377" s="39" t="e">
        <f t="shared" si="4783"/>
        <v>#N/A</v>
      </c>
      <c r="E2377" s="16" t="e">
        <f t="shared" si="1"/>
        <v>#N/A</v>
      </c>
      <c r="F2377" s="16" t="e">
        <f t="shared" ref="F2377:K2377" si="4784">VLOOKUP($A2377,[7]Hábitat!$A$2:$O$184,F$1,0)</f>
        <v>#N/A</v>
      </c>
      <c r="G2377" s="39" t="e">
        <f t="shared" si="4784"/>
        <v>#N/A</v>
      </c>
      <c r="H2377" s="16" t="e">
        <f t="shared" si="4784"/>
        <v>#N/A</v>
      </c>
      <c r="I2377" s="16" t="e">
        <f t="shared" si="4784"/>
        <v>#N/A</v>
      </c>
      <c r="J2377" s="40" t="e">
        <f t="shared" si="4784"/>
        <v>#N/A</v>
      </c>
      <c r="K2377" s="16" t="e">
        <f t="shared" si="4784"/>
        <v>#N/A</v>
      </c>
      <c r="L2377" s="40" t="e">
        <f t="shared" si="4233"/>
        <v>#N/A</v>
      </c>
      <c r="M2377" s="16" t="e">
        <f t="shared" si="4234"/>
        <v>#N/A</v>
      </c>
      <c r="N2377" s="16" t="e">
        <f t="shared" si="4235"/>
        <v>#N/A</v>
      </c>
      <c r="O2377" s="16" t="s">
        <v>71</v>
      </c>
      <c r="P2377" s="16" t="str">
        <f t="shared" si="6"/>
        <v/>
      </c>
      <c r="Q2377" s="41" t="e">
        <f t="shared" si="4236"/>
        <v>#N/A</v>
      </c>
      <c r="R2377" s="44"/>
      <c r="S2377" s="44"/>
      <c r="T2377" s="43"/>
      <c r="U2377" s="43" t="str">
        <f t="shared" si="8"/>
        <v>No</v>
      </c>
      <c r="V2377" s="25"/>
      <c r="W2377" s="25"/>
      <c r="X2377" s="25"/>
      <c r="Y2377" s="25"/>
      <c r="Z2377" s="25"/>
    </row>
    <row r="2378" spans="1:26" ht="15.75" customHeight="1" x14ac:dyDescent="0.25">
      <c r="A2378" s="25">
        <v>2376</v>
      </c>
      <c r="B2378" s="37" t="e">
        <f t="shared" ref="B2378:D2378" si="4785">VLOOKUP($A2378,[7]Hábitat!$A$2:$O$184,B$1,0)</f>
        <v>#N/A</v>
      </c>
      <c r="C2378" s="38" t="e">
        <f t="shared" si="4785"/>
        <v>#N/A</v>
      </c>
      <c r="D2378" s="39" t="e">
        <f t="shared" si="4785"/>
        <v>#N/A</v>
      </c>
      <c r="E2378" s="16" t="e">
        <f t="shared" si="1"/>
        <v>#N/A</v>
      </c>
      <c r="F2378" s="16" t="e">
        <f t="shared" ref="F2378:K2378" si="4786">VLOOKUP($A2378,[7]Hábitat!$A$2:$O$184,F$1,0)</f>
        <v>#N/A</v>
      </c>
      <c r="G2378" s="39" t="e">
        <f t="shared" si="4786"/>
        <v>#N/A</v>
      </c>
      <c r="H2378" s="16" t="e">
        <f t="shared" si="4786"/>
        <v>#N/A</v>
      </c>
      <c r="I2378" s="16" t="e">
        <f t="shared" si="4786"/>
        <v>#N/A</v>
      </c>
      <c r="J2378" s="40" t="e">
        <f t="shared" si="4786"/>
        <v>#N/A</v>
      </c>
      <c r="K2378" s="16" t="e">
        <f t="shared" si="4786"/>
        <v>#N/A</v>
      </c>
      <c r="L2378" s="40" t="e">
        <f t="shared" si="4233"/>
        <v>#N/A</v>
      </c>
      <c r="M2378" s="16" t="e">
        <f t="shared" si="4234"/>
        <v>#N/A</v>
      </c>
      <c r="N2378" s="16" t="e">
        <f t="shared" si="4235"/>
        <v>#N/A</v>
      </c>
      <c r="O2378" s="16" t="s">
        <v>71</v>
      </c>
      <c r="P2378" s="16" t="str">
        <f t="shared" si="6"/>
        <v/>
      </c>
      <c r="Q2378" s="41" t="e">
        <f t="shared" si="4236"/>
        <v>#N/A</v>
      </c>
      <c r="R2378" s="44"/>
      <c r="S2378" s="44"/>
      <c r="T2378" s="43"/>
      <c r="U2378" s="43" t="str">
        <f t="shared" si="8"/>
        <v>No</v>
      </c>
      <c r="V2378" s="25"/>
      <c r="W2378" s="25"/>
      <c r="X2378" s="25"/>
      <c r="Y2378" s="25"/>
      <c r="Z2378" s="25"/>
    </row>
    <row r="2379" spans="1:26" ht="15.75" customHeight="1" x14ac:dyDescent="0.25">
      <c r="A2379" s="25">
        <v>2377</v>
      </c>
      <c r="B2379" s="37" t="e">
        <f t="shared" ref="B2379:D2379" si="4787">VLOOKUP($A2379,[7]Hábitat!$A$2:$O$184,B$1,0)</f>
        <v>#N/A</v>
      </c>
      <c r="C2379" s="38" t="e">
        <f t="shared" si="4787"/>
        <v>#N/A</v>
      </c>
      <c r="D2379" s="39" t="e">
        <f t="shared" si="4787"/>
        <v>#N/A</v>
      </c>
      <c r="E2379" s="16" t="e">
        <f t="shared" si="1"/>
        <v>#N/A</v>
      </c>
      <c r="F2379" s="16" t="e">
        <f t="shared" ref="F2379:K2379" si="4788">VLOOKUP($A2379,[7]Hábitat!$A$2:$O$184,F$1,0)</f>
        <v>#N/A</v>
      </c>
      <c r="G2379" s="39" t="e">
        <f t="shared" si="4788"/>
        <v>#N/A</v>
      </c>
      <c r="H2379" s="16" t="e">
        <f t="shared" si="4788"/>
        <v>#N/A</v>
      </c>
      <c r="I2379" s="16" t="e">
        <f t="shared" si="4788"/>
        <v>#N/A</v>
      </c>
      <c r="J2379" s="40" t="e">
        <f t="shared" si="4788"/>
        <v>#N/A</v>
      </c>
      <c r="K2379" s="16" t="e">
        <f t="shared" si="4788"/>
        <v>#N/A</v>
      </c>
      <c r="L2379" s="40" t="e">
        <f t="shared" si="4233"/>
        <v>#N/A</v>
      </c>
      <c r="M2379" s="16" t="e">
        <f t="shared" si="4234"/>
        <v>#N/A</v>
      </c>
      <c r="N2379" s="16" t="e">
        <f t="shared" si="4235"/>
        <v>#N/A</v>
      </c>
      <c r="O2379" s="16" t="s">
        <v>71</v>
      </c>
      <c r="P2379" s="16" t="str">
        <f t="shared" si="6"/>
        <v/>
      </c>
      <c r="Q2379" s="41" t="e">
        <f t="shared" si="4236"/>
        <v>#N/A</v>
      </c>
      <c r="R2379" s="44"/>
      <c r="S2379" s="44"/>
      <c r="T2379" s="43"/>
      <c r="U2379" s="43" t="str">
        <f t="shared" si="8"/>
        <v>No</v>
      </c>
      <c r="V2379" s="25"/>
      <c r="W2379" s="25"/>
      <c r="X2379" s="25"/>
      <c r="Y2379" s="25"/>
      <c r="Z2379" s="25"/>
    </row>
    <row r="2380" spans="1:26" ht="15.75" customHeight="1" x14ac:dyDescent="0.25">
      <c r="A2380" s="25">
        <v>2378</v>
      </c>
      <c r="B2380" s="37" t="e">
        <f t="shared" ref="B2380:D2380" si="4789">VLOOKUP($A2380,[7]Hábitat!$A$2:$O$184,B$1,0)</f>
        <v>#N/A</v>
      </c>
      <c r="C2380" s="38" t="e">
        <f t="shared" si="4789"/>
        <v>#N/A</v>
      </c>
      <c r="D2380" s="39" t="e">
        <f t="shared" si="4789"/>
        <v>#N/A</v>
      </c>
      <c r="E2380" s="16" t="e">
        <f t="shared" si="1"/>
        <v>#N/A</v>
      </c>
      <c r="F2380" s="16" t="e">
        <f t="shared" ref="F2380:K2380" si="4790">VLOOKUP($A2380,[7]Hábitat!$A$2:$O$184,F$1,0)</f>
        <v>#N/A</v>
      </c>
      <c r="G2380" s="39" t="e">
        <f t="shared" si="4790"/>
        <v>#N/A</v>
      </c>
      <c r="H2380" s="16" t="e">
        <f t="shared" si="4790"/>
        <v>#N/A</v>
      </c>
      <c r="I2380" s="16" t="e">
        <f t="shared" si="4790"/>
        <v>#N/A</v>
      </c>
      <c r="J2380" s="40" t="e">
        <f t="shared" si="4790"/>
        <v>#N/A</v>
      </c>
      <c r="K2380" s="16" t="e">
        <f t="shared" si="4790"/>
        <v>#N/A</v>
      </c>
      <c r="L2380" s="40" t="e">
        <f t="shared" si="4233"/>
        <v>#N/A</v>
      </c>
      <c r="M2380" s="16" t="e">
        <f t="shared" si="4234"/>
        <v>#N/A</v>
      </c>
      <c r="N2380" s="16" t="e">
        <f t="shared" si="4235"/>
        <v>#N/A</v>
      </c>
      <c r="O2380" s="16" t="s">
        <v>71</v>
      </c>
      <c r="P2380" s="16" t="str">
        <f t="shared" si="6"/>
        <v/>
      </c>
      <c r="Q2380" s="41" t="e">
        <f t="shared" si="4236"/>
        <v>#N/A</v>
      </c>
      <c r="R2380" s="44"/>
      <c r="S2380" s="44"/>
      <c r="T2380" s="43"/>
      <c r="U2380" s="43" t="str">
        <f t="shared" si="8"/>
        <v>No</v>
      </c>
      <c r="V2380" s="25"/>
      <c r="W2380" s="25"/>
      <c r="X2380" s="25"/>
      <c r="Y2380" s="25"/>
      <c r="Z2380" s="25"/>
    </row>
    <row r="2381" spans="1:26" ht="15.75" customHeight="1" x14ac:dyDescent="0.25">
      <c r="A2381" s="25">
        <v>2379</v>
      </c>
      <c r="B2381" s="37" t="e">
        <f t="shared" ref="B2381:D2381" si="4791">VLOOKUP($A2381,[7]Hábitat!$A$2:$O$184,B$1,0)</f>
        <v>#N/A</v>
      </c>
      <c r="C2381" s="38" t="e">
        <f t="shared" si="4791"/>
        <v>#N/A</v>
      </c>
      <c r="D2381" s="39" t="e">
        <f t="shared" si="4791"/>
        <v>#N/A</v>
      </c>
      <c r="E2381" s="16" t="e">
        <f t="shared" si="1"/>
        <v>#N/A</v>
      </c>
      <c r="F2381" s="16" t="e">
        <f t="shared" ref="F2381:K2381" si="4792">VLOOKUP($A2381,[7]Hábitat!$A$2:$O$184,F$1,0)</f>
        <v>#N/A</v>
      </c>
      <c r="G2381" s="39" t="e">
        <f t="shared" si="4792"/>
        <v>#N/A</v>
      </c>
      <c r="H2381" s="16" t="e">
        <f t="shared" si="4792"/>
        <v>#N/A</v>
      </c>
      <c r="I2381" s="16" t="e">
        <f t="shared" si="4792"/>
        <v>#N/A</v>
      </c>
      <c r="J2381" s="40" t="e">
        <f t="shared" si="4792"/>
        <v>#N/A</v>
      </c>
      <c r="K2381" s="16" t="e">
        <f t="shared" si="4792"/>
        <v>#N/A</v>
      </c>
      <c r="L2381" s="40" t="e">
        <f t="shared" si="4233"/>
        <v>#N/A</v>
      </c>
      <c r="M2381" s="16" t="e">
        <f t="shared" si="4234"/>
        <v>#N/A</v>
      </c>
      <c r="N2381" s="16" t="e">
        <f t="shared" si="4235"/>
        <v>#N/A</v>
      </c>
      <c r="O2381" s="16" t="s">
        <v>71</v>
      </c>
      <c r="P2381" s="16" t="str">
        <f t="shared" si="6"/>
        <v/>
      </c>
      <c r="Q2381" s="41" t="e">
        <f t="shared" si="4236"/>
        <v>#N/A</v>
      </c>
      <c r="R2381" s="44"/>
      <c r="S2381" s="44"/>
      <c r="T2381" s="43"/>
      <c r="U2381" s="43" t="str">
        <f t="shared" si="8"/>
        <v>No</v>
      </c>
      <c r="V2381" s="25"/>
      <c r="W2381" s="25"/>
      <c r="X2381" s="25"/>
      <c r="Y2381" s="25"/>
      <c r="Z2381" s="25"/>
    </row>
    <row r="2382" spans="1:26" ht="15.75" customHeight="1" x14ac:dyDescent="0.25">
      <c r="A2382" s="25">
        <v>2380</v>
      </c>
      <c r="B2382" s="37" t="e">
        <f t="shared" ref="B2382:D2382" si="4793">VLOOKUP($A2382,[7]Hábitat!$A$2:$O$184,B$1,0)</f>
        <v>#N/A</v>
      </c>
      <c r="C2382" s="38" t="e">
        <f t="shared" si="4793"/>
        <v>#N/A</v>
      </c>
      <c r="D2382" s="39" t="e">
        <f t="shared" si="4793"/>
        <v>#N/A</v>
      </c>
      <c r="E2382" s="16" t="e">
        <f t="shared" si="1"/>
        <v>#N/A</v>
      </c>
      <c r="F2382" s="16" t="e">
        <f t="shared" ref="F2382:K2382" si="4794">VLOOKUP($A2382,[7]Hábitat!$A$2:$O$184,F$1,0)</f>
        <v>#N/A</v>
      </c>
      <c r="G2382" s="39" t="e">
        <f t="shared" si="4794"/>
        <v>#N/A</v>
      </c>
      <c r="H2382" s="16" t="e">
        <f t="shared" si="4794"/>
        <v>#N/A</v>
      </c>
      <c r="I2382" s="16" t="e">
        <f t="shared" si="4794"/>
        <v>#N/A</v>
      </c>
      <c r="J2382" s="40" t="e">
        <f t="shared" si="4794"/>
        <v>#N/A</v>
      </c>
      <c r="K2382" s="16" t="e">
        <f t="shared" si="4794"/>
        <v>#N/A</v>
      </c>
      <c r="L2382" s="40" t="e">
        <f t="shared" si="4233"/>
        <v>#N/A</v>
      </c>
      <c r="M2382" s="16" t="e">
        <f t="shared" si="4234"/>
        <v>#N/A</v>
      </c>
      <c r="N2382" s="16" t="e">
        <f t="shared" si="4235"/>
        <v>#N/A</v>
      </c>
      <c r="O2382" s="16" t="s">
        <v>71</v>
      </c>
      <c r="P2382" s="16" t="str">
        <f t="shared" si="6"/>
        <v/>
      </c>
      <c r="Q2382" s="41" t="e">
        <f t="shared" si="4236"/>
        <v>#N/A</v>
      </c>
      <c r="R2382" s="44"/>
      <c r="S2382" s="44"/>
      <c r="T2382" s="43"/>
      <c r="U2382" s="43" t="str">
        <f t="shared" si="8"/>
        <v>No</v>
      </c>
      <c r="V2382" s="25"/>
      <c r="W2382" s="25"/>
      <c r="X2382" s="25"/>
      <c r="Y2382" s="25"/>
      <c r="Z2382" s="25"/>
    </row>
    <row r="2383" spans="1:26" ht="15.75" customHeight="1" x14ac:dyDescent="0.25">
      <c r="A2383" s="25">
        <v>2381</v>
      </c>
      <c r="B2383" s="37" t="e">
        <f t="shared" ref="B2383:D2383" si="4795">VLOOKUP($A2383,[7]Hábitat!$A$2:$O$184,B$1,0)</f>
        <v>#N/A</v>
      </c>
      <c r="C2383" s="38" t="e">
        <f t="shared" si="4795"/>
        <v>#N/A</v>
      </c>
      <c r="D2383" s="39" t="e">
        <f t="shared" si="4795"/>
        <v>#N/A</v>
      </c>
      <c r="E2383" s="16" t="e">
        <f t="shared" si="1"/>
        <v>#N/A</v>
      </c>
      <c r="F2383" s="16" t="e">
        <f t="shared" ref="F2383:K2383" si="4796">VLOOKUP($A2383,[7]Hábitat!$A$2:$O$184,F$1,0)</f>
        <v>#N/A</v>
      </c>
      <c r="G2383" s="39" t="e">
        <f t="shared" si="4796"/>
        <v>#N/A</v>
      </c>
      <c r="H2383" s="16" t="e">
        <f t="shared" si="4796"/>
        <v>#N/A</v>
      </c>
      <c r="I2383" s="16" t="e">
        <f t="shared" si="4796"/>
        <v>#N/A</v>
      </c>
      <c r="J2383" s="40" t="e">
        <f t="shared" si="4796"/>
        <v>#N/A</v>
      </c>
      <c r="K2383" s="16" t="e">
        <f t="shared" si="4796"/>
        <v>#N/A</v>
      </c>
      <c r="L2383" s="40" t="e">
        <f t="shared" si="4233"/>
        <v>#N/A</v>
      </c>
      <c r="M2383" s="16" t="e">
        <f t="shared" si="4234"/>
        <v>#N/A</v>
      </c>
      <c r="N2383" s="16" t="e">
        <f t="shared" si="4235"/>
        <v>#N/A</v>
      </c>
      <c r="O2383" s="16" t="s">
        <v>71</v>
      </c>
      <c r="P2383" s="16" t="str">
        <f t="shared" si="6"/>
        <v/>
      </c>
      <c r="Q2383" s="41" t="e">
        <f t="shared" si="4236"/>
        <v>#N/A</v>
      </c>
      <c r="R2383" s="44"/>
      <c r="S2383" s="44"/>
      <c r="T2383" s="43"/>
      <c r="U2383" s="43" t="str">
        <f t="shared" si="8"/>
        <v>No</v>
      </c>
      <c r="V2383" s="25"/>
      <c r="W2383" s="25"/>
      <c r="X2383" s="25"/>
      <c r="Y2383" s="25"/>
      <c r="Z2383" s="25"/>
    </row>
    <row r="2384" spans="1:26" ht="15.75" customHeight="1" x14ac:dyDescent="0.25">
      <c r="A2384" s="25">
        <v>2382</v>
      </c>
      <c r="B2384" s="37" t="e">
        <f t="shared" ref="B2384:D2384" si="4797">VLOOKUP($A2384,[7]Hábitat!$A$2:$O$184,B$1,0)</f>
        <v>#N/A</v>
      </c>
      <c r="C2384" s="38" t="e">
        <f t="shared" si="4797"/>
        <v>#N/A</v>
      </c>
      <c r="D2384" s="39" t="e">
        <f t="shared" si="4797"/>
        <v>#N/A</v>
      </c>
      <c r="E2384" s="16" t="e">
        <f t="shared" si="1"/>
        <v>#N/A</v>
      </c>
      <c r="F2384" s="16" t="e">
        <f t="shared" ref="F2384:K2384" si="4798">VLOOKUP($A2384,[7]Hábitat!$A$2:$O$184,F$1,0)</f>
        <v>#N/A</v>
      </c>
      <c r="G2384" s="39" t="e">
        <f t="shared" si="4798"/>
        <v>#N/A</v>
      </c>
      <c r="H2384" s="16" t="e">
        <f t="shared" si="4798"/>
        <v>#N/A</v>
      </c>
      <c r="I2384" s="16" t="e">
        <f t="shared" si="4798"/>
        <v>#N/A</v>
      </c>
      <c r="J2384" s="40" t="e">
        <f t="shared" si="4798"/>
        <v>#N/A</v>
      </c>
      <c r="K2384" s="16" t="e">
        <f t="shared" si="4798"/>
        <v>#N/A</v>
      </c>
      <c r="L2384" s="40" t="e">
        <f t="shared" si="4233"/>
        <v>#N/A</v>
      </c>
      <c r="M2384" s="16" t="e">
        <f t="shared" si="4234"/>
        <v>#N/A</v>
      </c>
      <c r="N2384" s="16" t="e">
        <f t="shared" si="4235"/>
        <v>#N/A</v>
      </c>
      <c r="O2384" s="16" t="s">
        <v>71</v>
      </c>
      <c r="P2384" s="16" t="str">
        <f t="shared" si="6"/>
        <v/>
      </c>
      <c r="Q2384" s="41" t="e">
        <f t="shared" si="4236"/>
        <v>#N/A</v>
      </c>
      <c r="R2384" s="44"/>
      <c r="S2384" s="44"/>
      <c r="T2384" s="43"/>
      <c r="U2384" s="43" t="str">
        <f t="shared" si="8"/>
        <v>No</v>
      </c>
      <c r="V2384" s="25"/>
      <c r="W2384" s="25"/>
      <c r="X2384" s="25"/>
      <c r="Y2384" s="25"/>
      <c r="Z2384" s="25"/>
    </row>
    <row r="2385" spans="1:26" ht="15.75" customHeight="1" x14ac:dyDescent="0.25">
      <c r="A2385" s="25">
        <v>2383</v>
      </c>
      <c r="B2385" s="37" t="e">
        <f t="shared" ref="B2385:D2385" si="4799">VLOOKUP($A2385,[7]Hábitat!$A$2:$O$184,B$1,0)</f>
        <v>#N/A</v>
      </c>
      <c r="C2385" s="38" t="e">
        <f t="shared" si="4799"/>
        <v>#N/A</v>
      </c>
      <c r="D2385" s="39" t="e">
        <f t="shared" si="4799"/>
        <v>#N/A</v>
      </c>
      <c r="E2385" s="16" t="e">
        <f t="shared" si="1"/>
        <v>#N/A</v>
      </c>
      <c r="F2385" s="16" t="e">
        <f t="shared" ref="F2385:K2385" si="4800">VLOOKUP($A2385,[7]Hábitat!$A$2:$O$184,F$1,0)</f>
        <v>#N/A</v>
      </c>
      <c r="G2385" s="39" t="e">
        <f t="shared" si="4800"/>
        <v>#N/A</v>
      </c>
      <c r="H2385" s="16" t="e">
        <f t="shared" si="4800"/>
        <v>#N/A</v>
      </c>
      <c r="I2385" s="16" t="e">
        <f t="shared" si="4800"/>
        <v>#N/A</v>
      </c>
      <c r="J2385" s="40" t="e">
        <f t="shared" si="4800"/>
        <v>#N/A</v>
      </c>
      <c r="K2385" s="16" t="e">
        <f t="shared" si="4800"/>
        <v>#N/A</v>
      </c>
      <c r="L2385" s="40" t="e">
        <f t="shared" si="4233"/>
        <v>#N/A</v>
      </c>
      <c r="M2385" s="16" t="e">
        <f t="shared" si="4234"/>
        <v>#N/A</v>
      </c>
      <c r="N2385" s="16" t="e">
        <f t="shared" si="4235"/>
        <v>#N/A</v>
      </c>
      <c r="O2385" s="16" t="s">
        <v>71</v>
      </c>
      <c r="P2385" s="16" t="str">
        <f t="shared" si="6"/>
        <v/>
      </c>
      <c r="Q2385" s="41" t="e">
        <f t="shared" si="4236"/>
        <v>#N/A</v>
      </c>
      <c r="R2385" s="44"/>
      <c r="S2385" s="44"/>
      <c r="T2385" s="43"/>
      <c r="U2385" s="43" t="str">
        <f t="shared" si="8"/>
        <v>No</v>
      </c>
      <c r="V2385" s="25"/>
      <c r="W2385" s="25"/>
      <c r="X2385" s="25"/>
      <c r="Y2385" s="25"/>
      <c r="Z2385" s="25"/>
    </row>
    <row r="2386" spans="1:26" ht="15.75" customHeight="1" x14ac:dyDescent="0.25">
      <c r="A2386" s="25">
        <v>2384</v>
      </c>
      <c r="B2386" s="37" t="e">
        <f t="shared" ref="B2386:D2386" si="4801">VLOOKUP($A2386,[7]Hábitat!$A$2:$O$184,B$1,0)</f>
        <v>#N/A</v>
      </c>
      <c r="C2386" s="38" t="e">
        <f t="shared" si="4801"/>
        <v>#N/A</v>
      </c>
      <c r="D2386" s="39" t="e">
        <f t="shared" si="4801"/>
        <v>#N/A</v>
      </c>
      <c r="E2386" s="16" t="e">
        <f t="shared" si="1"/>
        <v>#N/A</v>
      </c>
      <c r="F2386" s="16" t="e">
        <f t="shared" ref="F2386:K2386" si="4802">VLOOKUP($A2386,[7]Hábitat!$A$2:$O$184,F$1,0)</f>
        <v>#N/A</v>
      </c>
      <c r="G2386" s="39" t="e">
        <f t="shared" si="4802"/>
        <v>#N/A</v>
      </c>
      <c r="H2386" s="16" t="e">
        <f t="shared" si="4802"/>
        <v>#N/A</v>
      </c>
      <c r="I2386" s="16" t="e">
        <f t="shared" si="4802"/>
        <v>#N/A</v>
      </c>
      <c r="J2386" s="40" t="e">
        <f t="shared" si="4802"/>
        <v>#N/A</v>
      </c>
      <c r="K2386" s="16" t="e">
        <f t="shared" si="4802"/>
        <v>#N/A</v>
      </c>
      <c r="L2386" s="40" t="e">
        <f t="shared" si="4233"/>
        <v>#N/A</v>
      </c>
      <c r="M2386" s="16" t="e">
        <f t="shared" si="4234"/>
        <v>#N/A</v>
      </c>
      <c r="N2386" s="16" t="e">
        <f t="shared" si="4235"/>
        <v>#N/A</v>
      </c>
      <c r="O2386" s="16" t="s">
        <v>71</v>
      </c>
      <c r="P2386" s="16" t="str">
        <f t="shared" si="6"/>
        <v/>
      </c>
      <c r="Q2386" s="41" t="e">
        <f t="shared" si="4236"/>
        <v>#N/A</v>
      </c>
      <c r="R2386" s="44"/>
      <c r="S2386" s="44"/>
      <c r="T2386" s="43"/>
      <c r="U2386" s="43" t="str">
        <f t="shared" si="8"/>
        <v>No</v>
      </c>
      <c r="V2386" s="25"/>
      <c r="W2386" s="25"/>
      <c r="X2386" s="25"/>
      <c r="Y2386" s="25"/>
      <c r="Z2386" s="25"/>
    </row>
    <row r="2387" spans="1:26" ht="15.75" customHeight="1" x14ac:dyDescent="0.25">
      <c r="A2387" s="25">
        <v>2385</v>
      </c>
      <c r="B2387" s="37" t="e">
        <f t="shared" ref="B2387:D2387" si="4803">VLOOKUP($A2387,[7]Hábitat!$A$2:$O$184,B$1,0)</f>
        <v>#N/A</v>
      </c>
      <c r="C2387" s="38" t="e">
        <f t="shared" si="4803"/>
        <v>#N/A</v>
      </c>
      <c r="D2387" s="39" t="e">
        <f t="shared" si="4803"/>
        <v>#N/A</v>
      </c>
      <c r="E2387" s="16" t="e">
        <f t="shared" si="1"/>
        <v>#N/A</v>
      </c>
      <c r="F2387" s="16" t="e">
        <f t="shared" ref="F2387:K2387" si="4804">VLOOKUP($A2387,[7]Hábitat!$A$2:$O$184,F$1,0)</f>
        <v>#N/A</v>
      </c>
      <c r="G2387" s="39" t="e">
        <f t="shared" si="4804"/>
        <v>#N/A</v>
      </c>
      <c r="H2387" s="16" t="e">
        <f t="shared" si="4804"/>
        <v>#N/A</v>
      </c>
      <c r="I2387" s="16" t="e">
        <f t="shared" si="4804"/>
        <v>#N/A</v>
      </c>
      <c r="J2387" s="40" t="e">
        <f t="shared" si="4804"/>
        <v>#N/A</v>
      </c>
      <c r="K2387" s="16" t="e">
        <f t="shared" si="4804"/>
        <v>#N/A</v>
      </c>
      <c r="L2387" s="40" t="e">
        <f t="shared" si="4233"/>
        <v>#N/A</v>
      </c>
      <c r="M2387" s="16" t="e">
        <f t="shared" si="4234"/>
        <v>#N/A</v>
      </c>
      <c r="N2387" s="16" t="e">
        <f t="shared" si="4235"/>
        <v>#N/A</v>
      </c>
      <c r="O2387" s="16" t="s">
        <v>71</v>
      </c>
      <c r="P2387" s="16" t="str">
        <f t="shared" si="6"/>
        <v/>
      </c>
      <c r="Q2387" s="41" t="e">
        <f t="shared" si="4236"/>
        <v>#N/A</v>
      </c>
      <c r="R2387" s="44"/>
      <c r="S2387" s="44"/>
      <c r="T2387" s="43"/>
      <c r="U2387" s="43" t="str">
        <f t="shared" si="8"/>
        <v>No</v>
      </c>
      <c r="V2387" s="25"/>
      <c r="W2387" s="25"/>
      <c r="X2387" s="25"/>
      <c r="Y2387" s="25"/>
      <c r="Z2387" s="25"/>
    </row>
    <row r="2388" spans="1:26" ht="15.75" customHeight="1" x14ac:dyDescent="0.25">
      <c r="A2388" s="25">
        <v>2386</v>
      </c>
      <c r="B2388" s="37" t="e">
        <f t="shared" ref="B2388:D2388" si="4805">VLOOKUP($A2388,[7]Hábitat!$A$2:$O$184,B$1,0)</f>
        <v>#N/A</v>
      </c>
      <c r="C2388" s="38" t="e">
        <f t="shared" si="4805"/>
        <v>#N/A</v>
      </c>
      <c r="D2388" s="39" t="e">
        <f t="shared" si="4805"/>
        <v>#N/A</v>
      </c>
      <c r="E2388" s="16" t="e">
        <f t="shared" si="1"/>
        <v>#N/A</v>
      </c>
      <c r="F2388" s="16" t="e">
        <f t="shared" ref="F2388:K2388" si="4806">VLOOKUP($A2388,[7]Hábitat!$A$2:$O$184,F$1,0)</f>
        <v>#N/A</v>
      </c>
      <c r="G2388" s="39" t="e">
        <f t="shared" si="4806"/>
        <v>#N/A</v>
      </c>
      <c r="H2388" s="16" t="e">
        <f t="shared" si="4806"/>
        <v>#N/A</v>
      </c>
      <c r="I2388" s="16" t="e">
        <f t="shared" si="4806"/>
        <v>#N/A</v>
      </c>
      <c r="J2388" s="40" t="e">
        <f t="shared" si="4806"/>
        <v>#N/A</v>
      </c>
      <c r="K2388" s="16" t="e">
        <f t="shared" si="4806"/>
        <v>#N/A</v>
      </c>
      <c r="L2388" s="40" t="e">
        <f t="shared" si="4233"/>
        <v>#N/A</v>
      </c>
      <c r="M2388" s="16" t="e">
        <f t="shared" si="4234"/>
        <v>#N/A</v>
      </c>
      <c r="N2388" s="16" t="e">
        <f t="shared" si="4235"/>
        <v>#N/A</v>
      </c>
      <c r="O2388" s="16" t="s">
        <v>71</v>
      </c>
      <c r="P2388" s="16" t="str">
        <f t="shared" si="6"/>
        <v/>
      </c>
      <c r="Q2388" s="41" t="e">
        <f t="shared" si="4236"/>
        <v>#N/A</v>
      </c>
      <c r="R2388" s="44"/>
      <c r="S2388" s="44"/>
      <c r="T2388" s="43"/>
      <c r="U2388" s="43" t="str">
        <f t="shared" si="8"/>
        <v>No</v>
      </c>
      <c r="V2388" s="25"/>
      <c r="W2388" s="25"/>
      <c r="X2388" s="25"/>
      <c r="Y2388" s="25"/>
      <c r="Z2388" s="25"/>
    </row>
    <row r="2389" spans="1:26" ht="15.75" customHeight="1" x14ac:dyDescent="0.25">
      <c r="A2389" s="25">
        <v>2387</v>
      </c>
      <c r="B2389" s="37" t="e">
        <f t="shared" ref="B2389:D2389" si="4807">VLOOKUP($A2389,[7]Hábitat!$A$2:$O$184,B$1,0)</f>
        <v>#N/A</v>
      </c>
      <c r="C2389" s="38" t="e">
        <f t="shared" si="4807"/>
        <v>#N/A</v>
      </c>
      <c r="D2389" s="39" t="e">
        <f t="shared" si="4807"/>
        <v>#N/A</v>
      </c>
      <c r="E2389" s="16" t="e">
        <f t="shared" si="1"/>
        <v>#N/A</v>
      </c>
      <c r="F2389" s="16" t="e">
        <f t="shared" ref="F2389:K2389" si="4808">VLOOKUP($A2389,[7]Hábitat!$A$2:$O$184,F$1,0)</f>
        <v>#N/A</v>
      </c>
      <c r="G2389" s="39" t="e">
        <f t="shared" si="4808"/>
        <v>#N/A</v>
      </c>
      <c r="H2389" s="16" t="e">
        <f t="shared" si="4808"/>
        <v>#N/A</v>
      </c>
      <c r="I2389" s="16" t="e">
        <f t="shared" si="4808"/>
        <v>#N/A</v>
      </c>
      <c r="J2389" s="40" t="e">
        <f t="shared" si="4808"/>
        <v>#N/A</v>
      </c>
      <c r="K2389" s="16" t="e">
        <f t="shared" si="4808"/>
        <v>#N/A</v>
      </c>
      <c r="L2389" s="40" t="e">
        <f t="shared" si="4233"/>
        <v>#N/A</v>
      </c>
      <c r="M2389" s="16" t="e">
        <f t="shared" si="4234"/>
        <v>#N/A</v>
      </c>
      <c r="N2389" s="16" t="e">
        <f t="shared" si="4235"/>
        <v>#N/A</v>
      </c>
      <c r="O2389" s="16" t="s">
        <v>71</v>
      </c>
      <c r="P2389" s="16" t="str">
        <f t="shared" si="6"/>
        <v/>
      </c>
      <c r="Q2389" s="41" t="e">
        <f t="shared" si="4236"/>
        <v>#N/A</v>
      </c>
      <c r="R2389" s="44"/>
      <c r="S2389" s="44"/>
      <c r="T2389" s="43"/>
      <c r="U2389" s="43" t="str">
        <f t="shared" si="8"/>
        <v>No</v>
      </c>
      <c r="V2389" s="25"/>
      <c r="W2389" s="25"/>
      <c r="X2389" s="25"/>
      <c r="Y2389" s="25"/>
      <c r="Z2389" s="25"/>
    </row>
    <row r="2390" spans="1:26" ht="15.75" customHeight="1" x14ac:dyDescent="0.25">
      <c r="A2390" s="25">
        <v>2388</v>
      </c>
      <c r="B2390" s="37" t="e">
        <f t="shared" ref="B2390:D2390" si="4809">VLOOKUP($A2390,[7]Hábitat!$A$2:$O$184,B$1,0)</f>
        <v>#N/A</v>
      </c>
      <c r="C2390" s="38" t="e">
        <f t="shared" si="4809"/>
        <v>#N/A</v>
      </c>
      <c r="D2390" s="39" t="e">
        <f t="shared" si="4809"/>
        <v>#N/A</v>
      </c>
      <c r="E2390" s="16" t="e">
        <f t="shared" si="1"/>
        <v>#N/A</v>
      </c>
      <c r="F2390" s="16" t="e">
        <f t="shared" ref="F2390:K2390" si="4810">VLOOKUP($A2390,[7]Hábitat!$A$2:$O$184,F$1,0)</f>
        <v>#N/A</v>
      </c>
      <c r="G2390" s="39" t="e">
        <f t="shared" si="4810"/>
        <v>#N/A</v>
      </c>
      <c r="H2390" s="16" t="e">
        <f t="shared" si="4810"/>
        <v>#N/A</v>
      </c>
      <c r="I2390" s="16" t="e">
        <f t="shared" si="4810"/>
        <v>#N/A</v>
      </c>
      <c r="J2390" s="40" t="e">
        <f t="shared" si="4810"/>
        <v>#N/A</v>
      </c>
      <c r="K2390" s="16" t="e">
        <f t="shared" si="4810"/>
        <v>#N/A</v>
      </c>
      <c r="L2390" s="40" t="e">
        <f t="shared" si="4233"/>
        <v>#N/A</v>
      </c>
      <c r="M2390" s="16" t="e">
        <f t="shared" si="4234"/>
        <v>#N/A</v>
      </c>
      <c r="N2390" s="16" t="e">
        <f t="shared" si="4235"/>
        <v>#N/A</v>
      </c>
      <c r="O2390" s="16" t="s">
        <v>71</v>
      </c>
      <c r="P2390" s="16" t="str">
        <f t="shared" si="6"/>
        <v/>
      </c>
      <c r="Q2390" s="41" t="e">
        <f t="shared" si="4236"/>
        <v>#N/A</v>
      </c>
      <c r="R2390" s="44"/>
      <c r="S2390" s="44"/>
      <c r="T2390" s="43"/>
      <c r="U2390" s="43" t="str">
        <f t="shared" si="8"/>
        <v>No</v>
      </c>
      <c r="V2390" s="25"/>
      <c r="W2390" s="25"/>
      <c r="X2390" s="25"/>
      <c r="Y2390" s="25"/>
      <c r="Z2390" s="25"/>
    </row>
    <row r="2391" spans="1:26" ht="15.75" customHeight="1" x14ac:dyDescent="0.25">
      <c r="A2391" s="25">
        <v>2389</v>
      </c>
      <c r="B2391" s="37" t="e">
        <f t="shared" ref="B2391:D2391" si="4811">VLOOKUP($A2391,[7]Hábitat!$A$2:$O$184,B$1,0)</f>
        <v>#N/A</v>
      </c>
      <c r="C2391" s="38" t="e">
        <f t="shared" si="4811"/>
        <v>#N/A</v>
      </c>
      <c r="D2391" s="39" t="e">
        <f t="shared" si="4811"/>
        <v>#N/A</v>
      </c>
      <c r="E2391" s="16" t="e">
        <f t="shared" si="1"/>
        <v>#N/A</v>
      </c>
      <c r="F2391" s="16" t="e">
        <f t="shared" ref="F2391:K2391" si="4812">VLOOKUP($A2391,[7]Hábitat!$A$2:$O$184,F$1,0)</f>
        <v>#N/A</v>
      </c>
      <c r="G2391" s="39" t="e">
        <f t="shared" si="4812"/>
        <v>#N/A</v>
      </c>
      <c r="H2391" s="16" t="e">
        <f t="shared" si="4812"/>
        <v>#N/A</v>
      </c>
      <c r="I2391" s="16" t="e">
        <f t="shared" si="4812"/>
        <v>#N/A</v>
      </c>
      <c r="J2391" s="40" t="e">
        <f t="shared" si="4812"/>
        <v>#N/A</v>
      </c>
      <c r="K2391" s="16" t="e">
        <f t="shared" si="4812"/>
        <v>#N/A</v>
      </c>
      <c r="L2391" s="40" t="e">
        <f t="shared" si="4233"/>
        <v>#N/A</v>
      </c>
      <c r="M2391" s="16" t="e">
        <f t="shared" si="4234"/>
        <v>#N/A</v>
      </c>
      <c r="N2391" s="16" t="e">
        <f t="shared" si="4235"/>
        <v>#N/A</v>
      </c>
      <c r="O2391" s="16" t="s">
        <v>71</v>
      </c>
      <c r="P2391" s="16" t="str">
        <f t="shared" si="6"/>
        <v/>
      </c>
      <c r="Q2391" s="41" t="e">
        <f t="shared" si="4236"/>
        <v>#N/A</v>
      </c>
      <c r="R2391" s="44"/>
      <c r="S2391" s="44"/>
      <c r="T2391" s="43"/>
      <c r="U2391" s="43" t="str">
        <f t="shared" si="8"/>
        <v>No</v>
      </c>
      <c r="V2391" s="25"/>
      <c r="W2391" s="25"/>
      <c r="X2391" s="25"/>
      <c r="Y2391" s="25"/>
      <c r="Z2391" s="25"/>
    </row>
    <row r="2392" spans="1:26" ht="15.75" customHeight="1" x14ac:dyDescent="0.25">
      <c r="A2392" s="25">
        <v>2390</v>
      </c>
      <c r="B2392" s="37" t="e">
        <f t="shared" ref="B2392:D2392" si="4813">VLOOKUP($A2392,[7]Hábitat!$A$2:$O$184,B$1,0)</f>
        <v>#N/A</v>
      </c>
      <c r="C2392" s="38" t="e">
        <f t="shared" si="4813"/>
        <v>#N/A</v>
      </c>
      <c r="D2392" s="39" t="e">
        <f t="shared" si="4813"/>
        <v>#N/A</v>
      </c>
      <c r="E2392" s="16" t="e">
        <f t="shared" si="1"/>
        <v>#N/A</v>
      </c>
      <c r="F2392" s="16" t="e">
        <f t="shared" ref="F2392:K2392" si="4814">VLOOKUP($A2392,[7]Hábitat!$A$2:$O$184,F$1,0)</f>
        <v>#N/A</v>
      </c>
      <c r="G2392" s="39" t="e">
        <f t="shared" si="4814"/>
        <v>#N/A</v>
      </c>
      <c r="H2392" s="16" t="e">
        <f t="shared" si="4814"/>
        <v>#N/A</v>
      </c>
      <c r="I2392" s="16" t="e">
        <f t="shared" si="4814"/>
        <v>#N/A</v>
      </c>
      <c r="J2392" s="40" t="e">
        <f t="shared" si="4814"/>
        <v>#N/A</v>
      </c>
      <c r="K2392" s="16" t="e">
        <f t="shared" si="4814"/>
        <v>#N/A</v>
      </c>
      <c r="L2392" s="40" t="e">
        <f t="shared" si="4233"/>
        <v>#N/A</v>
      </c>
      <c r="M2392" s="16" t="e">
        <f t="shared" si="4234"/>
        <v>#N/A</v>
      </c>
      <c r="N2392" s="16" t="e">
        <f t="shared" si="4235"/>
        <v>#N/A</v>
      </c>
      <c r="O2392" s="16" t="s">
        <v>71</v>
      </c>
      <c r="P2392" s="16" t="str">
        <f t="shared" si="6"/>
        <v/>
      </c>
      <c r="Q2392" s="41" t="e">
        <f t="shared" si="4236"/>
        <v>#N/A</v>
      </c>
      <c r="R2392" s="44"/>
      <c r="S2392" s="44"/>
      <c r="T2392" s="43"/>
      <c r="U2392" s="43" t="str">
        <f t="shared" si="8"/>
        <v>No</v>
      </c>
      <c r="V2392" s="25"/>
      <c r="W2392" s="25"/>
      <c r="X2392" s="25"/>
      <c r="Y2392" s="25"/>
      <c r="Z2392" s="25"/>
    </row>
    <row r="2393" spans="1:26" ht="15.75" customHeight="1" x14ac:dyDescent="0.25">
      <c r="A2393" s="25">
        <v>2391</v>
      </c>
      <c r="B2393" s="37" t="e">
        <f t="shared" ref="B2393:D2393" si="4815">VLOOKUP($A2393,[7]Hábitat!$A$2:$O$184,B$1,0)</f>
        <v>#N/A</v>
      </c>
      <c r="C2393" s="38" t="e">
        <f t="shared" si="4815"/>
        <v>#N/A</v>
      </c>
      <c r="D2393" s="39" t="e">
        <f t="shared" si="4815"/>
        <v>#N/A</v>
      </c>
      <c r="E2393" s="16" t="e">
        <f t="shared" si="1"/>
        <v>#N/A</v>
      </c>
      <c r="F2393" s="16" t="e">
        <f t="shared" ref="F2393:K2393" si="4816">VLOOKUP($A2393,[7]Hábitat!$A$2:$O$184,F$1,0)</f>
        <v>#N/A</v>
      </c>
      <c r="G2393" s="39" t="e">
        <f t="shared" si="4816"/>
        <v>#N/A</v>
      </c>
      <c r="H2393" s="16" t="e">
        <f t="shared" si="4816"/>
        <v>#N/A</v>
      </c>
      <c r="I2393" s="16" t="e">
        <f t="shared" si="4816"/>
        <v>#N/A</v>
      </c>
      <c r="J2393" s="40" t="e">
        <f t="shared" si="4816"/>
        <v>#N/A</v>
      </c>
      <c r="K2393" s="16" t="e">
        <f t="shared" si="4816"/>
        <v>#N/A</v>
      </c>
      <c r="L2393" s="40" t="e">
        <f t="shared" si="4233"/>
        <v>#N/A</v>
      </c>
      <c r="M2393" s="16" t="e">
        <f t="shared" si="4234"/>
        <v>#N/A</v>
      </c>
      <c r="N2393" s="16" t="e">
        <f t="shared" si="4235"/>
        <v>#N/A</v>
      </c>
      <c r="O2393" s="16" t="s">
        <v>71</v>
      </c>
      <c r="P2393" s="16" t="str">
        <f t="shared" si="6"/>
        <v/>
      </c>
      <c r="Q2393" s="41" t="e">
        <f t="shared" si="4236"/>
        <v>#N/A</v>
      </c>
      <c r="R2393" s="44"/>
      <c r="S2393" s="44"/>
      <c r="T2393" s="43"/>
      <c r="U2393" s="43" t="str">
        <f t="shared" si="8"/>
        <v>No</v>
      </c>
      <c r="V2393" s="25"/>
      <c r="W2393" s="25"/>
      <c r="X2393" s="25"/>
      <c r="Y2393" s="25"/>
      <c r="Z2393" s="25"/>
    </row>
    <row r="2394" spans="1:26" ht="15.75" customHeight="1" x14ac:dyDescent="0.25">
      <c r="A2394" s="25">
        <v>2392</v>
      </c>
      <c r="B2394" s="37" t="e">
        <f t="shared" ref="B2394:D2394" si="4817">VLOOKUP($A2394,[7]Hábitat!$A$2:$O$184,B$1,0)</f>
        <v>#N/A</v>
      </c>
      <c r="C2394" s="38" t="e">
        <f t="shared" si="4817"/>
        <v>#N/A</v>
      </c>
      <c r="D2394" s="39" t="e">
        <f t="shared" si="4817"/>
        <v>#N/A</v>
      </c>
      <c r="E2394" s="16" t="e">
        <f t="shared" si="1"/>
        <v>#N/A</v>
      </c>
      <c r="F2394" s="16" t="e">
        <f t="shared" ref="F2394:K2394" si="4818">VLOOKUP($A2394,[7]Hábitat!$A$2:$O$184,F$1,0)</f>
        <v>#N/A</v>
      </c>
      <c r="G2394" s="39" t="e">
        <f t="shared" si="4818"/>
        <v>#N/A</v>
      </c>
      <c r="H2394" s="16" t="e">
        <f t="shared" si="4818"/>
        <v>#N/A</v>
      </c>
      <c r="I2394" s="16" t="e">
        <f t="shared" si="4818"/>
        <v>#N/A</v>
      </c>
      <c r="J2394" s="40" t="e">
        <f t="shared" si="4818"/>
        <v>#N/A</v>
      </c>
      <c r="K2394" s="16" t="e">
        <f t="shared" si="4818"/>
        <v>#N/A</v>
      </c>
      <c r="L2394" s="40" t="e">
        <f t="shared" si="4233"/>
        <v>#N/A</v>
      </c>
      <c r="M2394" s="16" t="e">
        <f t="shared" si="4234"/>
        <v>#N/A</v>
      </c>
      <c r="N2394" s="16" t="e">
        <f t="shared" si="4235"/>
        <v>#N/A</v>
      </c>
      <c r="O2394" s="16" t="s">
        <v>71</v>
      </c>
      <c r="P2394" s="16" t="str">
        <f t="shared" si="6"/>
        <v/>
      </c>
      <c r="Q2394" s="41" t="e">
        <f t="shared" si="4236"/>
        <v>#N/A</v>
      </c>
      <c r="R2394" s="44"/>
      <c r="S2394" s="44"/>
      <c r="T2394" s="43"/>
      <c r="U2394" s="43" t="str">
        <f t="shared" si="8"/>
        <v>No</v>
      </c>
      <c r="V2394" s="25"/>
      <c r="W2394" s="25"/>
      <c r="X2394" s="25"/>
      <c r="Y2394" s="25"/>
      <c r="Z2394" s="25"/>
    </row>
    <row r="2395" spans="1:26" ht="15.75" customHeight="1" x14ac:dyDescent="0.25">
      <c r="A2395" s="25">
        <v>2393</v>
      </c>
      <c r="B2395" s="37" t="e">
        <f t="shared" ref="B2395:D2395" si="4819">VLOOKUP($A2395,[7]Hábitat!$A$2:$O$184,B$1,0)</f>
        <v>#N/A</v>
      </c>
      <c r="C2395" s="38" t="e">
        <f t="shared" si="4819"/>
        <v>#N/A</v>
      </c>
      <c r="D2395" s="39" t="e">
        <f t="shared" si="4819"/>
        <v>#N/A</v>
      </c>
      <c r="E2395" s="16" t="e">
        <f t="shared" si="1"/>
        <v>#N/A</v>
      </c>
      <c r="F2395" s="16" t="e">
        <f t="shared" ref="F2395:K2395" si="4820">VLOOKUP($A2395,[7]Hábitat!$A$2:$O$184,F$1,0)</f>
        <v>#N/A</v>
      </c>
      <c r="G2395" s="39" t="e">
        <f t="shared" si="4820"/>
        <v>#N/A</v>
      </c>
      <c r="H2395" s="16" t="e">
        <f t="shared" si="4820"/>
        <v>#N/A</v>
      </c>
      <c r="I2395" s="16" t="e">
        <f t="shared" si="4820"/>
        <v>#N/A</v>
      </c>
      <c r="J2395" s="40" t="e">
        <f t="shared" si="4820"/>
        <v>#N/A</v>
      </c>
      <c r="K2395" s="16" t="e">
        <f t="shared" si="4820"/>
        <v>#N/A</v>
      </c>
      <c r="L2395" s="40" t="e">
        <f t="shared" si="4233"/>
        <v>#N/A</v>
      </c>
      <c r="M2395" s="16" t="e">
        <f t="shared" si="4234"/>
        <v>#N/A</v>
      </c>
      <c r="N2395" s="16" t="e">
        <f t="shared" si="4235"/>
        <v>#N/A</v>
      </c>
      <c r="O2395" s="16" t="s">
        <v>71</v>
      </c>
      <c r="P2395" s="16" t="str">
        <f t="shared" si="6"/>
        <v/>
      </c>
      <c r="Q2395" s="41" t="e">
        <f t="shared" si="4236"/>
        <v>#N/A</v>
      </c>
      <c r="R2395" s="44"/>
      <c r="S2395" s="44"/>
      <c r="T2395" s="43"/>
      <c r="U2395" s="43" t="str">
        <f t="shared" si="8"/>
        <v>No</v>
      </c>
      <c r="V2395" s="25"/>
      <c r="W2395" s="25"/>
      <c r="X2395" s="25"/>
      <c r="Y2395" s="25"/>
      <c r="Z2395" s="25"/>
    </row>
    <row r="2396" spans="1:26" ht="15.75" customHeight="1" x14ac:dyDescent="0.25">
      <c r="A2396" s="25">
        <v>2394</v>
      </c>
      <c r="B2396" s="37" t="e">
        <f t="shared" ref="B2396:D2396" si="4821">VLOOKUP($A2396,[7]Hábitat!$A$2:$O$184,B$1,0)</f>
        <v>#N/A</v>
      </c>
      <c r="C2396" s="38" t="e">
        <f t="shared" si="4821"/>
        <v>#N/A</v>
      </c>
      <c r="D2396" s="39" t="e">
        <f t="shared" si="4821"/>
        <v>#N/A</v>
      </c>
      <c r="E2396" s="16" t="e">
        <f t="shared" si="1"/>
        <v>#N/A</v>
      </c>
      <c r="F2396" s="16" t="e">
        <f t="shared" ref="F2396:K2396" si="4822">VLOOKUP($A2396,[7]Hábitat!$A$2:$O$184,F$1,0)</f>
        <v>#N/A</v>
      </c>
      <c r="G2396" s="39" t="e">
        <f t="shared" si="4822"/>
        <v>#N/A</v>
      </c>
      <c r="H2396" s="16" t="e">
        <f t="shared" si="4822"/>
        <v>#N/A</v>
      </c>
      <c r="I2396" s="16" t="e">
        <f t="shared" si="4822"/>
        <v>#N/A</v>
      </c>
      <c r="J2396" s="40" t="e">
        <f t="shared" si="4822"/>
        <v>#N/A</v>
      </c>
      <c r="K2396" s="16" t="e">
        <f t="shared" si="4822"/>
        <v>#N/A</v>
      </c>
      <c r="L2396" s="40" t="e">
        <f t="shared" si="4233"/>
        <v>#N/A</v>
      </c>
      <c r="M2396" s="16" t="e">
        <f t="shared" si="4234"/>
        <v>#N/A</v>
      </c>
      <c r="N2396" s="16" t="e">
        <f t="shared" si="4235"/>
        <v>#N/A</v>
      </c>
      <c r="O2396" s="16" t="s">
        <v>71</v>
      </c>
      <c r="P2396" s="16" t="str">
        <f t="shared" si="6"/>
        <v/>
      </c>
      <c r="Q2396" s="41" t="e">
        <f t="shared" si="4236"/>
        <v>#N/A</v>
      </c>
      <c r="R2396" s="44"/>
      <c r="S2396" s="44"/>
      <c r="T2396" s="43"/>
      <c r="U2396" s="43" t="str">
        <f t="shared" si="8"/>
        <v>No</v>
      </c>
      <c r="V2396" s="25"/>
      <c r="W2396" s="25"/>
      <c r="X2396" s="25"/>
      <c r="Y2396" s="25"/>
      <c r="Z2396" s="25"/>
    </row>
    <row r="2397" spans="1:26" ht="15.75" customHeight="1" x14ac:dyDescent="0.25">
      <c r="A2397" s="25">
        <v>2395</v>
      </c>
      <c r="B2397" s="37" t="e">
        <f t="shared" ref="B2397:D2397" si="4823">VLOOKUP($A2397,[7]Hábitat!$A$2:$O$184,B$1,0)</f>
        <v>#N/A</v>
      </c>
      <c r="C2397" s="38" t="e">
        <f t="shared" si="4823"/>
        <v>#N/A</v>
      </c>
      <c r="D2397" s="39" t="e">
        <f t="shared" si="4823"/>
        <v>#N/A</v>
      </c>
      <c r="E2397" s="16" t="e">
        <f t="shared" si="1"/>
        <v>#N/A</v>
      </c>
      <c r="F2397" s="16" t="e">
        <f t="shared" ref="F2397:K2397" si="4824">VLOOKUP($A2397,[7]Hábitat!$A$2:$O$184,F$1,0)</f>
        <v>#N/A</v>
      </c>
      <c r="G2397" s="39" t="e">
        <f t="shared" si="4824"/>
        <v>#N/A</v>
      </c>
      <c r="H2397" s="16" t="e">
        <f t="shared" si="4824"/>
        <v>#N/A</v>
      </c>
      <c r="I2397" s="16" t="e">
        <f t="shared" si="4824"/>
        <v>#N/A</v>
      </c>
      <c r="J2397" s="40" t="e">
        <f t="shared" si="4824"/>
        <v>#N/A</v>
      </c>
      <c r="K2397" s="16" t="e">
        <f t="shared" si="4824"/>
        <v>#N/A</v>
      </c>
      <c r="L2397" s="40" t="e">
        <f t="shared" si="4233"/>
        <v>#N/A</v>
      </c>
      <c r="M2397" s="16" t="e">
        <f t="shared" si="4234"/>
        <v>#N/A</v>
      </c>
      <c r="N2397" s="16" t="e">
        <f t="shared" si="4235"/>
        <v>#N/A</v>
      </c>
      <c r="O2397" s="16" t="s">
        <v>71</v>
      </c>
      <c r="P2397" s="16" t="str">
        <f t="shared" si="6"/>
        <v/>
      </c>
      <c r="Q2397" s="41" t="e">
        <f t="shared" si="4236"/>
        <v>#N/A</v>
      </c>
      <c r="R2397" s="44"/>
      <c r="S2397" s="44"/>
      <c r="T2397" s="43"/>
      <c r="U2397" s="43" t="str">
        <f t="shared" si="8"/>
        <v>No</v>
      </c>
      <c r="V2397" s="25"/>
      <c r="W2397" s="25"/>
      <c r="X2397" s="25"/>
      <c r="Y2397" s="25"/>
      <c r="Z2397" s="25"/>
    </row>
    <row r="2398" spans="1:26" ht="15.75" customHeight="1" x14ac:dyDescent="0.25">
      <c r="A2398" s="25">
        <v>2396</v>
      </c>
      <c r="B2398" s="37" t="e">
        <f t="shared" ref="B2398:D2398" si="4825">VLOOKUP($A2398,[7]Hábitat!$A$2:$O$184,B$1,0)</f>
        <v>#N/A</v>
      </c>
      <c r="C2398" s="38" t="e">
        <f t="shared" si="4825"/>
        <v>#N/A</v>
      </c>
      <c r="D2398" s="39" t="e">
        <f t="shared" si="4825"/>
        <v>#N/A</v>
      </c>
      <c r="E2398" s="16" t="e">
        <f t="shared" si="1"/>
        <v>#N/A</v>
      </c>
      <c r="F2398" s="16" t="e">
        <f t="shared" ref="F2398:K2398" si="4826">VLOOKUP($A2398,[7]Hábitat!$A$2:$O$184,F$1,0)</f>
        <v>#N/A</v>
      </c>
      <c r="G2398" s="39" t="e">
        <f t="shared" si="4826"/>
        <v>#N/A</v>
      </c>
      <c r="H2398" s="16" t="e">
        <f t="shared" si="4826"/>
        <v>#N/A</v>
      </c>
      <c r="I2398" s="16" t="e">
        <f t="shared" si="4826"/>
        <v>#N/A</v>
      </c>
      <c r="J2398" s="40" t="e">
        <f t="shared" si="4826"/>
        <v>#N/A</v>
      </c>
      <c r="K2398" s="16" t="e">
        <f t="shared" si="4826"/>
        <v>#N/A</v>
      </c>
      <c r="L2398" s="40" t="e">
        <f t="shared" si="4233"/>
        <v>#N/A</v>
      </c>
      <c r="M2398" s="16" t="e">
        <f t="shared" si="4234"/>
        <v>#N/A</v>
      </c>
      <c r="N2398" s="16" t="e">
        <f t="shared" si="4235"/>
        <v>#N/A</v>
      </c>
      <c r="O2398" s="16" t="s">
        <v>71</v>
      </c>
      <c r="P2398" s="16" t="str">
        <f t="shared" si="6"/>
        <v/>
      </c>
      <c r="Q2398" s="41" t="e">
        <f t="shared" si="4236"/>
        <v>#N/A</v>
      </c>
      <c r="R2398" s="44"/>
      <c r="S2398" s="44"/>
      <c r="T2398" s="43"/>
      <c r="U2398" s="43" t="str">
        <f t="shared" si="8"/>
        <v>No</v>
      </c>
      <c r="V2398" s="25"/>
      <c r="W2398" s="25"/>
      <c r="X2398" s="25"/>
      <c r="Y2398" s="25"/>
      <c r="Z2398" s="25"/>
    </row>
    <row r="2399" spans="1:26" ht="15.75" customHeight="1" x14ac:dyDescent="0.25">
      <c r="A2399" s="25">
        <v>2397</v>
      </c>
      <c r="B2399" s="37" t="e">
        <f t="shared" ref="B2399:D2399" si="4827">VLOOKUP($A2399,[7]Hábitat!$A$2:$O$184,B$1,0)</f>
        <v>#N/A</v>
      </c>
      <c r="C2399" s="38" t="e">
        <f t="shared" si="4827"/>
        <v>#N/A</v>
      </c>
      <c r="D2399" s="39" t="e">
        <f t="shared" si="4827"/>
        <v>#N/A</v>
      </c>
      <c r="E2399" s="16" t="e">
        <f t="shared" si="1"/>
        <v>#N/A</v>
      </c>
      <c r="F2399" s="16" t="e">
        <f t="shared" ref="F2399:K2399" si="4828">VLOOKUP($A2399,[7]Hábitat!$A$2:$O$184,F$1,0)</f>
        <v>#N/A</v>
      </c>
      <c r="G2399" s="39" t="e">
        <f t="shared" si="4828"/>
        <v>#N/A</v>
      </c>
      <c r="H2399" s="16" t="e">
        <f t="shared" si="4828"/>
        <v>#N/A</v>
      </c>
      <c r="I2399" s="16" t="e">
        <f t="shared" si="4828"/>
        <v>#N/A</v>
      </c>
      <c r="J2399" s="40" t="e">
        <f t="shared" si="4828"/>
        <v>#N/A</v>
      </c>
      <c r="K2399" s="16" t="e">
        <f t="shared" si="4828"/>
        <v>#N/A</v>
      </c>
      <c r="L2399" s="40" t="e">
        <f t="shared" si="4233"/>
        <v>#N/A</v>
      </c>
      <c r="M2399" s="16" t="e">
        <f t="shared" si="4234"/>
        <v>#N/A</v>
      </c>
      <c r="N2399" s="16" t="e">
        <f t="shared" si="4235"/>
        <v>#N/A</v>
      </c>
      <c r="O2399" s="16" t="s">
        <v>71</v>
      </c>
      <c r="P2399" s="16" t="str">
        <f t="shared" si="6"/>
        <v/>
      </c>
      <c r="Q2399" s="41" t="e">
        <f t="shared" si="4236"/>
        <v>#N/A</v>
      </c>
      <c r="R2399" s="44"/>
      <c r="S2399" s="44"/>
      <c r="T2399" s="43"/>
      <c r="U2399" s="43" t="str">
        <f t="shared" si="8"/>
        <v>No</v>
      </c>
      <c r="V2399" s="25"/>
      <c r="W2399" s="25"/>
      <c r="X2399" s="25"/>
      <c r="Y2399" s="25"/>
      <c r="Z2399" s="25"/>
    </row>
    <row r="2400" spans="1:26" ht="15.75" customHeight="1" x14ac:dyDescent="0.25">
      <c r="A2400" s="25">
        <v>2398</v>
      </c>
      <c r="B2400" s="37" t="e">
        <f t="shared" ref="B2400:D2400" si="4829">VLOOKUP($A2400,[7]Hábitat!$A$2:$O$184,B$1,0)</f>
        <v>#N/A</v>
      </c>
      <c r="C2400" s="38" t="e">
        <f t="shared" si="4829"/>
        <v>#N/A</v>
      </c>
      <c r="D2400" s="39" t="e">
        <f t="shared" si="4829"/>
        <v>#N/A</v>
      </c>
      <c r="E2400" s="16" t="e">
        <f t="shared" si="1"/>
        <v>#N/A</v>
      </c>
      <c r="F2400" s="16" t="e">
        <f t="shared" ref="F2400:K2400" si="4830">VLOOKUP($A2400,[7]Hábitat!$A$2:$O$184,F$1,0)</f>
        <v>#N/A</v>
      </c>
      <c r="G2400" s="39" t="e">
        <f t="shared" si="4830"/>
        <v>#N/A</v>
      </c>
      <c r="H2400" s="16" t="e">
        <f t="shared" si="4830"/>
        <v>#N/A</v>
      </c>
      <c r="I2400" s="16" t="e">
        <f t="shared" si="4830"/>
        <v>#N/A</v>
      </c>
      <c r="J2400" s="40" t="e">
        <f t="shared" si="4830"/>
        <v>#N/A</v>
      </c>
      <c r="K2400" s="16" t="e">
        <f t="shared" si="4830"/>
        <v>#N/A</v>
      </c>
      <c r="L2400" s="40" t="e">
        <f t="shared" si="4233"/>
        <v>#N/A</v>
      </c>
      <c r="M2400" s="16" t="e">
        <f t="shared" si="4234"/>
        <v>#N/A</v>
      </c>
      <c r="N2400" s="16" t="e">
        <f t="shared" si="4235"/>
        <v>#N/A</v>
      </c>
      <c r="O2400" s="16" t="s">
        <v>71</v>
      </c>
      <c r="P2400" s="16" t="str">
        <f t="shared" si="6"/>
        <v/>
      </c>
      <c r="Q2400" s="41" t="e">
        <f t="shared" si="4236"/>
        <v>#N/A</v>
      </c>
      <c r="R2400" s="44"/>
      <c r="S2400" s="44"/>
      <c r="T2400" s="43"/>
      <c r="U2400" s="43" t="str">
        <f t="shared" si="8"/>
        <v>No</v>
      </c>
      <c r="V2400" s="25"/>
      <c r="W2400" s="25"/>
      <c r="X2400" s="25"/>
      <c r="Y2400" s="25"/>
      <c r="Z2400" s="25"/>
    </row>
    <row r="2401" spans="1:26" ht="15.75" customHeight="1" x14ac:dyDescent="0.25">
      <c r="A2401" s="25">
        <v>2399</v>
      </c>
      <c r="B2401" s="37" t="e">
        <f t="shared" ref="B2401:D2401" si="4831">VLOOKUP($A2401,[7]Hábitat!$A$2:$O$184,B$1,0)</f>
        <v>#N/A</v>
      </c>
      <c r="C2401" s="38" t="e">
        <f t="shared" si="4831"/>
        <v>#N/A</v>
      </c>
      <c r="D2401" s="39" t="e">
        <f t="shared" si="4831"/>
        <v>#N/A</v>
      </c>
      <c r="E2401" s="16" t="e">
        <f t="shared" si="1"/>
        <v>#N/A</v>
      </c>
      <c r="F2401" s="16" t="e">
        <f t="shared" ref="F2401:K2401" si="4832">VLOOKUP($A2401,[7]Hábitat!$A$2:$O$184,F$1,0)</f>
        <v>#N/A</v>
      </c>
      <c r="G2401" s="39" t="e">
        <f t="shared" si="4832"/>
        <v>#N/A</v>
      </c>
      <c r="H2401" s="16" t="e">
        <f t="shared" si="4832"/>
        <v>#N/A</v>
      </c>
      <c r="I2401" s="16" t="e">
        <f t="shared" si="4832"/>
        <v>#N/A</v>
      </c>
      <c r="J2401" s="40" t="e">
        <f t="shared" si="4832"/>
        <v>#N/A</v>
      </c>
      <c r="K2401" s="16" t="e">
        <f t="shared" si="4832"/>
        <v>#N/A</v>
      </c>
      <c r="L2401" s="40" t="e">
        <f t="shared" si="4233"/>
        <v>#N/A</v>
      </c>
      <c r="M2401" s="16" t="e">
        <f t="shared" si="4234"/>
        <v>#N/A</v>
      </c>
      <c r="N2401" s="16" t="e">
        <f t="shared" si="4235"/>
        <v>#N/A</v>
      </c>
      <c r="O2401" s="16" t="s">
        <v>71</v>
      </c>
      <c r="P2401" s="16" t="str">
        <f t="shared" si="6"/>
        <v/>
      </c>
      <c r="Q2401" s="41" t="e">
        <f t="shared" si="4236"/>
        <v>#N/A</v>
      </c>
      <c r="R2401" s="44"/>
      <c r="S2401" s="44"/>
      <c r="T2401" s="43"/>
      <c r="U2401" s="43" t="str">
        <f t="shared" si="8"/>
        <v>No</v>
      </c>
      <c r="V2401" s="25"/>
      <c r="W2401" s="25"/>
      <c r="X2401" s="25"/>
      <c r="Y2401" s="25"/>
      <c r="Z2401" s="25"/>
    </row>
    <row r="2402" spans="1:26" ht="15.75" customHeight="1" x14ac:dyDescent="0.25">
      <c r="A2402" s="25">
        <v>2400</v>
      </c>
      <c r="B2402" s="37" t="e">
        <f t="shared" ref="B2402:D2402" si="4833">VLOOKUP($A2402,[7]Hábitat!$A$2:$O$184,B$1,0)</f>
        <v>#N/A</v>
      </c>
      <c r="C2402" s="38" t="e">
        <f t="shared" si="4833"/>
        <v>#N/A</v>
      </c>
      <c r="D2402" s="39" t="e">
        <f t="shared" si="4833"/>
        <v>#N/A</v>
      </c>
      <c r="E2402" s="16" t="e">
        <f t="shared" si="1"/>
        <v>#N/A</v>
      </c>
      <c r="F2402" s="16" t="e">
        <f t="shared" ref="F2402:K2402" si="4834">VLOOKUP($A2402,[7]Hábitat!$A$2:$O$184,F$1,0)</f>
        <v>#N/A</v>
      </c>
      <c r="G2402" s="39" t="e">
        <f t="shared" si="4834"/>
        <v>#N/A</v>
      </c>
      <c r="H2402" s="16" t="e">
        <f t="shared" si="4834"/>
        <v>#N/A</v>
      </c>
      <c r="I2402" s="16" t="e">
        <f t="shared" si="4834"/>
        <v>#N/A</v>
      </c>
      <c r="J2402" s="40" t="e">
        <f t="shared" si="4834"/>
        <v>#N/A</v>
      </c>
      <c r="K2402" s="16" t="e">
        <f t="shared" si="4834"/>
        <v>#N/A</v>
      </c>
      <c r="L2402" s="40" t="e">
        <f t="shared" si="4233"/>
        <v>#N/A</v>
      </c>
      <c r="M2402" s="16" t="e">
        <f t="shared" si="4234"/>
        <v>#N/A</v>
      </c>
      <c r="N2402" s="16" t="e">
        <f t="shared" si="4235"/>
        <v>#N/A</v>
      </c>
      <c r="O2402" s="16" t="s">
        <v>71</v>
      </c>
      <c r="P2402" s="16" t="str">
        <f t="shared" si="6"/>
        <v/>
      </c>
      <c r="Q2402" s="41" t="e">
        <f t="shared" si="4236"/>
        <v>#N/A</v>
      </c>
      <c r="R2402" s="44"/>
      <c r="S2402" s="44"/>
      <c r="T2402" s="43"/>
      <c r="U2402" s="43" t="str">
        <f t="shared" si="8"/>
        <v>No</v>
      </c>
      <c r="V2402" s="25"/>
      <c r="W2402" s="25"/>
      <c r="X2402" s="25"/>
      <c r="Y2402" s="25"/>
      <c r="Z2402" s="25"/>
    </row>
    <row r="2403" spans="1:26" ht="15.75" customHeight="1" x14ac:dyDescent="0.25">
      <c r="A2403" s="25">
        <v>2401</v>
      </c>
      <c r="B2403" s="37" t="e">
        <f t="shared" ref="B2403:D2403" si="4835">VLOOKUP($A2403,[8]Movilidad!$A$1:$O$192,B$1,0)</f>
        <v>#N/A</v>
      </c>
      <c r="C2403" s="38" t="e">
        <f t="shared" si="4835"/>
        <v>#N/A</v>
      </c>
      <c r="D2403" s="39" t="e">
        <f t="shared" si="4835"/>
        <v>#N/A</v>
      </c>
      <c r="E2403" s="16" t="e">
        <f t="shared" si="1"/>
        <v>#N/A</v>
      </c>
      <c r="F2403" s="16" t="e">
        <f t="shared" ref="F2403:K2403" si="4836">VLOOKUP($A2403,[8]Movilidad!$A$1:$O$192,F$1,0)</f>
        <v>#N/A</v>
      </c>
      <c r="G2403" s="39" t="e">
        <f t="shared" si="4836"/>
        <v>#N/A</v>
      </c>
      <c r="H2403" s="16" t="e">
        <f t="shared" si="4836"/>
        <v>#N/A</v>
      </c>
      <c r="I2403" s="16" t="e">
        <f t="shared" si="4836"/>
        <v>#N/A</v>
      </c>
      <c r="J2403" s="40" t="e">
        <f t="shared" si="4836"/>
        <v>#N/A</v>
      </c>
      <c r="K2403" s="16" t="e">
        <f t="shared" si="4836"/>
        <v>#N/A</v>
      </c>
      <c r="L2403" s="40" t="e">
        <f t="shared" ref="L2403:L2702" si="4837">VLOOKUP($A2403,[8]Movilidad!$A$1:$O$192,13,0)</f>
        <v>#N/A</v>
      </c>
      <c r="M2403" s="16" t="e">
        <f t="shared" ref="M2403:M2702" si="4838">VLOOKUP($A2403,[8]Movilidad!$A$1:$O$192,14,0)</f>
        <v>#N/A</v>
      </c>
      <c r="N2403" s="16" t="e">
        <f t="shared" ref="N2403:N2702" si="4839">VLOOKUP($A2403,[8]Movilidad!$A$1:$O$192,15,0)</f>
        <v>#N/A</v>
      </c>
      <c r="O2403" s="16" t="s">
        <v>72</v>
      </c>
      <c r="P2403" s="16" t="str">
        <f t="shared" si="6"/>
        <v/>
      </c>
      <c r="Q2403" s="41" t="e">
        <f t="shared" ref="Q2403:Q2702" si="4840">VLOOKUP($A2403,[8]Movilidad!$A$1:$O$215,12,0)</f>
        <v>#N/A</v>
      </c>
      <c r="R2403" s="44"/>
      <c r="S2403" s="44"/>
      <c r="T2403" s="43"/>
      <c r="U2403" s="43" t="str">
        <f t="shared" si="8"/>
        <v>No</v>
      </c>
      <c r="V2403" s="25"/>
      <c r="W2403" s="25"/>
      <c r="X2403" s="25"/>
      <c r="Y2403" s="25"/>
      <c r="Z2403" s="25"/>
    </row>
    <row r="2404" spans="1:26" ht="15.75" customHeight="1" x14ac:dyDescent="0.25">
      <c r="A2404" s="25">
        <v>2402</v>
      </c>
      <c r="B2404" s="37" t="e">
        <f t="shared" ref="B2404:D2404" si="4841">VLOOKUP($A2404,[8]Movilidad!$A$1:$O$192,B$1,0)</f>
        <v>#N/A</v>
      </c>
      <c r="C2404" s="38" t="e">
        <f t="shared" si="4841"/>
        <v>#N/A</v>
      </c>
      <c r="D2404" s="39" t="e">
        <f t="shared" si="4841"/>
        <v>#N/A</v>
      </c>
      <c r="E2404" s="16" t="e">
        <f t="shared" si="1"/>
        <v>#N/A</v>
      </c>
      <c r="F2404" s="16" t="e">
        <f t="shared" ref="F2404:K2404" si="4842">VLOOKUP($A2404,[8]Movilidad!$A$1:$O$192,F$1,0)</f>
        <v>#N/A</v>
      </c>
      <c r="G2404" s="39" t="e">
        <f t="shared" si="4842"/>
        <v>#N/A</v>
      </c>
      <c r="H2404" s="16" t="e">
        <f t="shared" si="4842"/>
        <v>#N/A</v>
      </c>
      <c r="I2404" s="16" t="e">
        <f t="shared" si="4842"/>
        <v>#N/A</v>
      </c>
      <c r="J2404" s="40" t="e">
        <f t="shared" si="4842"/>
        <v>#N/A</v>
      </c>
      <c r="K2404" s="16" t="e">
        <f t="shared" si="4842"/>
        <v>#N/A</v>
      </c>
      <c r="L2404" s="40" t="e">
        <f t="shared" si="4837"/>
        <v>#N/A</v>
      </c>
      <c r="M2404" s="16" t="e">
        <f t="shared" si="4838"/>
        <v>#N/A</v>
      </c>
      <c r="N2404" s="16" t="e">
        <f t="shared" si="4839"/>
        <v>#N/A</v>
      </c>
      <c r="O2404" s="16" t="s">
        <v>72</v>
      </c>
      <c r="P2404" s="16" t="str">
        <f t="shared" si="6"/>
        <v/>
      </c>
      <c r="Q2404" s="41" t="e">
        <f t="shared" si="4840"/>
        <v>#N/A</v>
      </c>
      <c r="R2404" s="44"/>
      <c r="S2404" s="44"/>
      <c r="T2404" s="43"/>
      <c r="U2404" s="43" t="str">
        <f t="shared" si="8"/>
        <v>No</v>
      </c>
      <c r="V2404" s="25"/>
      <c r="W2404" s="25"/>
      <c r="X2404" s="25"/>
      <c r="Y2404" s="25"/>
      <c r="Z2404" s="25"/>
    </row>
    <row r="2405" spans="1:26" ht="15.75" customHeight="1" x14ac:dyDescent="0.25">
      <c r="A2405" s="25">
        <v>2403</v>
      </c>
      <c r="B2405" s="37" t="e">
        <f t="shared" ref="B2405:D2405" si="4843">VLOOKUP($A2405,[8]Movilidad!$A$1:$O$192,B$1,0)</f>
        <v>#N/A</v>
      </c>
      <c r="C2405" s="38" t="e">
        <f t="shared" si="4843"/>
        <v>#N/A</v>
      </c>
      <c r="D2405" s="39" t="e">
        <f t="shared" si="4843"/>
        <v>#N/A</v>
      </c>
      <c r="E2405" s="16" t="e">
        <f t="shared" si="1"/>
        <v>#N/A</v>
      </c>
      <c r="F2405" s="16" t="e">
        <f t="shared" ref="F2405:K2405" si="4844">VLOOKUP($A2405,[8]Movilidad!$A$1:$O$192,F$1,0)</f>
        <v>#N/A</v>
      </c>
      <c r="G2405" s="39" t="e">
        <f t="shared" si="4844"/>
        <v>#N/A</v>
      </c>
      <c r="H2405" s="16" t="e">
        <f t="shared" si="4844"/>
        <v>#N/A</v>
      </c>
      <c r="I2405" s="16" t="e">
        <f t="shared" si="4844"/>
        <v>#N/A</v>
      </c>
      <c r="J2405" s="40" t="e">
        <f t="shared" si="4844"/>
        <v>#N/A</v>
      </c>
      <c r="K2405" s="16" t="e">
        <f t="shared" si="4844"/>
        <v>#N/A</v>
      </c>
      <c r="L2405" s="40" t="e">
        <f t="shared" si="4837"/>
        <v>#N/A</v>
      </c>
      <c r="M2405" s="16" t="e">
        <f t="shared" si="4838"/>
        <v>#N/A</v>
      </c>
      <c r="N2405" s="16" t="e">
        <f t="shared" si="4839"/>
        <v>#N/A</v>
      </c>
      <c r="O2405" s="16" t="s">
        <v>72</v>
      </c>
      <c r="P2405" s="16" t="str">
        <f t="shared" si="6"/>
        <v/>
      </c>
      <c r="Q2405" s="41" t="e">
        <f t="shared" si="4840"/>
        <v>#N/A</v>
      </c>
      <c r="R2405" s="44"/>
      <c r="S2405" s="44"/>
      <c r="T2405" s="43"/>
      <c r="U2405" s="43" t="str">
        <f t="shared" si="8"/>
        <v>No</v>
      </c>
      <c r="V2405" s="25"/>
      <c r="W2405" s="25"/>
      <c r="X2405" s="25"/>
      <c r="Y2405" s="25"/>
      <c r="Z2405" s="25"/>
    </row>
    <row r="2406" spans="1:26" ht="15.75" customHeight="1" x14ac:dyDescent="0.25">
      <c r="A2406" s="25">
        <v>2404</v>
      </c>
      <c r="B2406" s="37" t="e">
        <f t="shared" ref="B2406:D2406" si="4845">VLOOKUP($A2406,[8]Movilidad!$A$1:$O$192,B$1,0)</f>
        <v>#N/A</v>
      </c>
      <c r="C2406" s="38" t="e">
        <f t="shared" si="4845"/>
        <v>#N/A</v>
      </c>
      <c r="D2406" s="39" t="e">
        <f t="shared" si="4845"/>
        <v>#N/A</v>
      </c>
      <c r="E2406" s="16" t="e">
        <f t="shared" si="1"/>
        <v>#N/A</v>
      </c>
      <c r="F2406" s="16" t="e">
        <f t="shared" ref="F2406:K2406" si="4846">VLOOKUP($A2406,[8]Movilidad!$A$1:$O$192,F$1,0)</f>
        <v>#N/A</v>
      </c>
      <c r="G2406" s="39" t="e">
        <f t="shared" si="4846"/>
        <v>#N/A</v>
      </c>
      <c r="H2406" s="16" t="e">
        <f t="shared" si="4846"/>
        <v>#N/A</v>
      </c>
      <c r="I2406" s="16" t="e">
        <f t="shared" si="4846"/>
        <v>#N/A</v>
      </c>
      <c r="J2406" s="40" t="e">
        <f t="shared" si="4846"/>
        <v>#N/A</v>
      </c>
      <c r="K2406" s="16" t="e">
        <f t="shared" si="4846"/>
        <v>#N/A</v>
      </c>
      <c r="L2406" s="40" t="e">
        <f t="shared" si="4837"/>
        <v>#N/A</v>
      </c>
      <c r="M2406" s="16" t="e">
        <f t="shared" si="4838"/>
        <v>#N/A</v>
      </c>
      <c r="N2406" s="16" t="e">
        <f t="shared" si="4839"/>
        <v>#N/A</v>
      </c>
      <c r="O2406" s="16" t="s">
        <v>72</v>
      </c>
      <c r="P2406" s="16" t="str">
        <f t="shared" si="6"/>
        <v/>
      </c>
      <c r="Q2406" s="41" t="e">
        <f t="shared" si="4840"/>
        <v>#N/A</v>
      </c>
      <c r="R2406" s="44"/>
      <c r="S2406" s="44"/>
      <c r="T2406" s="43"/>
      <c r="U2406" s="43" t="str">
        <f t="shared" si="8"/>
        <v>No</v>
      </c>
      <c r="V2406" s="25"/>
      <c r="W2406" s="25"/>
      <c r="X2406" s="25"/>
      <c r="Y2406" s="25"/>
      <c r="Z2406" s="25"/>
    </row>
    <row r="2407" spans="1:26" ht="15.75" customHeight="1" x14ac:dyDescent="0.25">
      <c r="A2407" s="25">
        <v>2405</v>
      </c>
      <c r="B2407" s="37" t="e">
        <f t="shared" ref="B2407:D2407" si="4847">VLOOKUP($A2407,[8]Movilidad!$A$1:$O$192,B$1,0)</f>
        <v>#N/A</v>
      </c>
      <c r="C2407" s="38" t="e">
        <f t="shared" si="4847"/>
        <v>#N/A</v>
      </c>
      <c r="D2407" s="39" t="e">
        <f t="shared" si="4847"/>
        <v>#N/A</v>
      </c>
      <c r="E2407" s="16" t="e">
        <f t="shared" si="1"/>
        <v>#N/A</v>
      </c>
      <c r="F2407" s="16" t="e">
        <f t="shared" ref="F2407:K2407" si="4848">VLOOKUP($A2407,[8]Movilidad!$A$1:$O$192,F$1,0)</f>
        <v>#N/A</v>
      </c>
      <c r="G2407" s="39" t="e">
        <f t="shared" si="4848"/>
        <v>#N/A</v>
      </c>
      <c r="H2407" s="16" t="e">
        <f t="shared" si="4848"/>
        <v>#N/A</v>
      </c>
      <c r="I2407" s="16" t="e">
        <f t="shared" si="4848"/>
        <v>#N/A</v>
      </c>
      <c r="J2407" s="40" t="e">
        <f t="shared" si="4848"/>
        <v>#N/A</v>
      </c>
      <c r="K2407" s="16" t="e">
        <f t="shared" si="4848"/>
        <v>#N/A</v>
      </c>
      <c r="L2407" s="40" t="e">
        <f t="shared" si="4837"/>
        <v>#N/A</v>
      </c>
      <c r="M2407" s="16" t="e">
        <f t="shared" si="4838"/>
        <v>#N/A</v>
      </c>
      <c r="N2407" s="16" t="e">
        <f t="shared" si="4839"/>
        <v>#N/A</v>
      </c>
      <c r="O2407" s="16" t="s">
        <v>72</v>
      </c>
      <c r="P2407" s="16" t="str">
        <f t="shared" si="6"/>
        <v/>
      </c>
      <c r="Q2407" s="41" t="e">
        <f t="shared" si="4840"/>
        <v>#N/A</v>
      </c>
      <c r="R2407" s="44"/>
      <c r="S2407" s="44"/>
      <c r="T2407" s="43" t="s">
        <v>90</v>
      </c>
      <c r="U2407" s="43" t="str">
        <f t="shared" si="8"/>
        <v>No</v>
      </c>
      <c r="V2407" s="25"/>
      <c r="W2407" s="25"/>
      <c r="X2407" s="25"/>
      <c r="Y2407" s="25"/>
      <c r="Z2407" s="25"/>
    </row>
    <row r="2408" spans="1:26" ht="15.75" customHeight="1" x14ac:dyDescent="0.25">
      <c r="A2408" s="25">
        <v>2406</v>
      </c>
      <c r="B2408" s="37" t="e">
        <f t="shared" ref="B2408:D2408" si="4849">VLOOKUP($A2408,[8]Movilidad!$A$1:$O$192,B$1,0)</f>
        <v>#N/A</v>
      </c>
      <c r="C2408" s="38" t="e">
        <f t="shared" si="4849"/>
        <v>#N/A</v>
      </c>
      <c r="D2408" s="39" t="e">
        <f t="shared" si="4849"/>
        <v>#N/A</v>
      </c>
      <c r="E2408" s="16" t="e">
        <f t="shared" si="1"/>
        <v>#N/A</v>
      </c>
      <c r="F2408" s="16" t="e">
        <f t="shared" ref="F2408:K2408" si="4850">VLOOKUP($A2408,[8]Movilidad!$A$1:$O$192,F$1,0)</f>
        <v>#N/A</v>
      </c>
      <c r="G2408" s="39" t="e">
        <f t="shared" si="4850"/>
        <v>#N/A</v>
      </c>
      <c r="H2408" s="16" t="e">
        <f t="shared" si="4850"/>
        <v>#N/A</v>
      </c>
      <c r="I2408" s="16" t="e">
        <f t="shared" si="4850"/>
        <v>#N/A</v>
      </c>
      <c r="J2408" s="40" t="e">
        <f t="shared" si="4850"/>
        <v>#N/A</v>
      </c>
      <c r="K2408" s="16" t="e">
        <f t="shared" si="4850"/>
        <v>#N/A</v>
      </c>
      <c r="L2408" s="40" t="e">
        <f t="shared" si="4837"/>
        <v>#N/A</v>
      </c>
      <c r="M2408" s="16" t="e">
        <f t="shared" si="4838"/>
        <v>#N/A</v>
      </c>
      <c r="N2408" s="16" t="e">
        <f t="shared" si="4839"/>
        <v>#N/A</v>
      </c>
      <c r="O2408" s="16" t="s">
        <v>72</v>
      </c>
      <c r="P2408" s="16" t="str">
        <f t="shared" si="6"/>
        <v/>
      </c>
      <c r="Q2408" s="41" t="e">
        <f t="shared" si="4840"/>
        <v>#N/A</v>
      </c>
      <c r="R2408" s="44"/>
      <c r="S2408" s="44"/>
      <c r="T2408" s="43" t="s">
        <v>90</v>
      </c>
      <c r="U2408" s="43" t="str">
        <f t="shared" si="8"/>
        <v>No</v>
      </c>
      <c r="V2408" s="25"/>
      <c r="W2408" s="25"/>
      <c r="X2408" s="25"/>
      <c r="Y2408" s="25"/>
      <c r="Z2408" s="25"/>
    </row>
    <row r="2409" spans="1:26" ht="15.75" customHeight="1" x14ac:dyDescent="0.25">
      <c r="A2409" s="25">
        <v>2407</v>
      </c>
      <c r="B2409" s="37" t="e">
        <f t="shared" ref="B2409:D2409" si="4851">VLOOKUP($A2409,[8]Movilidad!$A$1:$O$192,B$1,0)</f>
        <v>#N/A</v>
      </c>
      <c r="C2409" s="38" t="e">
        <f t="shared" si="4851"/>
        <v>#N/A</v>
      </c>
      <c r="D2409" s="39" t="e">
        <f t="shared" si="4851"/>
        <v>#N/A</v>
      </c>
      <c r="E2409" s="16" t="e">
        <f t="shared" si="1"/>
        <v>#N/A</v>
      </c>
      <c r="F2409" s="16" t="e">
        <f t="shared" ref="F2409:K2409" si="4852">VLOOKUP($A2409,[8]Movilidad!$A$1:$O$192,F$1,0)</f>
        <v>#N/A</v>
      </c>
      <c r="G2409" s="39" t="e">
        <f t="shared" si="4852"/>
        <v>#N/A</v>
      </c>
      <c r="H2409" s="16" t="e">
        <f t="shared" si="4852"/>
        <v>#N/A</v>
      </c>
      <c r="I2409" s="16" t="e">
        <f t="shared" si="4852"/>
        <v>#N/A</v>
      </c>
      <c r="J2409" s="40" t="e">
        <f t="shared" si="4852"/>
        <v>#N/A</v>
      </c>
      <c r="K2409" s="16" t="e">
        <f t="shared" si="4852"/>
        <v>#N/A</v>
      </c>
      <c r="L2409" s="40" t="e">
        <f t="shared" si="4837"/>
        <v>#N/A</v>
      </c>
      <c r="M2409" s="16" t="e">
        <f t="shared" si="4838"/>
        <v>#N/A</v>
      </c>
      <c r="N2409" s="16" t="e">
        <f t="shared" si="4839"/>
        <v>#N/A</v>
      </c>
      <c r="O2409" s="16" t="s">
        <v>72</v>
      </c>
      <c r="P2409" s="16" t="str">
        <f t="shared" si="6"/>
        <v/>
      </c>
      <c r="Q2409" s="41" t="e">
        <f t="shared" si="4840"/>
        <v>#N/A</v>
      </c>
      <c r="R2409" s="44"/>
      <c r="S2409" s="44"/>
      <c r="T2409" s="43" t="s">
        <v>90</v>
      </c>
      <c r="U2409" s="43" t="str">
        <f t="shared" si="8"/>
        <v>No</v>
      </c>
      <c r="V2409" s="25"/>
      <c r="W2409" s="25"/>
      <c r="X2409" s="25"/>
      <c r="Y2409" s="25"/>
      <c r="Z2409" s="25"/>
    </row>
    <row r="2410" spans="1:26" ht="15.75" customHeight="1" x14ac:dyDescent="0.25">
      <c r="A2410" s="25">
        <v>2408</v>
      </c>
      <c r="B2410" s="37" t="e">
        <f t="shared" ref="B2410:D2410" si="4853">VLOOKUP($A2410,[8]Movilidad!$A$1:$O$192,B$1,0)</f>
        <v>#N/A</v>
      </c>
      <c r="C2410" s="38" t="e">
        <f t="shared" si="4853"/>
        <v>#N/A</v>
      </c>
      <c r="D2410" s="39" t="e">
        <f t="shared" si="4853"/>
        <v>#N/A</v>
      </c>
      <c r="E2410" s="16" t="e">
        <f t="shared" si="1"/>
        <v>#N/A</v>
      </c>
      <c r="F2410" s="16" t="e">
        <f t="shared" ref="F2410:K2410" si="4854">VLOOKUP($A2410,[8]Movilidad!$A$1:$O$192,F$1,0)</f>
        <v>#N/A</v>
      </c>
      <c r="G2410" s="39" t="e">
        <f t="shared" si="4854"/>
        <v>#N/A</v>
      </c>
      <c r="H2410" s="16" t="e">
        <f t="shared" si="4854"/>
        <v>#N/A</v>
      </c>
      <c r="I2410" s="16" t="e">
        <f t="shared" si="4854"/>
        <v>#N/A</v>
      </c>
      <c r="J2410" s="40" t="e">
        <f t="shared" si="4854"/>
        <v>#N/A</v>
      </c>
      <c r="K2410" s="16" t="e">
        <f t="shared" si="4854"/>
        <v>#N/A</v>
      </c>
      <c r="L2410" s="40" t="e">
        <f t="shared" si="4837"/>
        <v>#N/A</v>
      </c>
      <c r="M2410" s="16" t="e">
        <f t="shared" si="4838"/>
        <v>#N/A</v>
      </c>
      <c r="N2410" s="16" t="e">
        <f t="shared" si="4839"/>
        <v>#N/A</v>
      </c>
      <c r="O2410" s="16" t="s">
        <v>72</v>
      </c>
      <c r="P2410" s="16" t="str">
        <f t="shared" si="6"/>
        <v/>
      </c>
      <c r="Q2410" s="41" t="e">
        <f t="shared" si="4840"/>
        <v>#N/A</v>
      </c>
      <c r="R2410" s="44"/>
      <c r="S2410" s="44"/>
      <c r="T2410" s="43" t="s">
        <v>90</v>
      </c>
      <c r="U2410" s="43" t="str">
        <f t="shared" si="8"/>
        <v>No</v>
      </c>
      <c r="V2410" s="25"/>
      <c r="W2410" s="25"/>
      <c r="X2410" s="25"/>
      <c r="Y2410" s="25"/>
      <c r="Z2410" s="25"/>
    </row>
    <row r="2411" spans="1:26" ht="15.75" customHeight="1" x14ac:dyDescent="0.25">
      <c r="A2411" s="25">
        <v>2409</v>
      </c>
      <c r="B2411" s="37" t="e">
        <f t="shared" ref="B2411:D2411" si="4855">VLOOKUP($A2411,[8]Movilidad!$A$1:$O$192,B$1,0)</f>
        <v>#N/A</v>
      </c>
      <c r="C2411" s="38" t="e">
        <f t="shared" si="4855"/>
        <v>#N/A</v>
      </c>
      <c r="D2411" s="39" t="e">
        <f t="shared" si="4855"/>
        <v>#N/A</v>
      </c>
      <c r="E2411" s="16" t="e">
        <f t="shared" si="1"/>
        <v>#N/A</v>
      </c>
      <c r="F2411" s="16" t="e">
        <f t="shared" ref="F2411:K2411" si="4856">VLOOKUP($A2411,[8]Movilidad!$A$1:$O$192,F$1,0)</f>
        <v>#N/A</v>
      </c>
      <c r="G2411" s="39" t="e">
        <f t="shared" si="4856"/>
        <v>#N/A</v>
      </c>
      <c r="H2411" s="16" t="e">
        <f t="shared" si="4856"/>
        <v>#N/A</v>
      </c>
      <c r="I2411" s="16" t="e">
        <f t="shared" si="4856"/>
        <v>#N/A</v>
      </c>
      <c r="J2411" s="40" t="e">
        <f t="shared" si="4856"/>
        <v>#N/A</v>
      </c>
      <c r="K2411" s="16" t="e">
        <f t="shared" si="4856"/>
        <v>#N/A</v>
      </c>
      <c r="L2411" s="40" t="e">
        <f t="shared" si="4837"/>
        <v>#N/A</v>
      </c>
      <c r="M2411" s="16" t="e">
        <f t="shared" si="4838"/>
        <v>#N/A</v>
      </c>
      <c r="N2411" s="16" t="e">
        <f t="shared" si="4839"/>
        <v>#N/A</v>
      </c>
      <c r="O2411" s="16" t="s">
        <v>72</v>
      </c>
      <c r="P2411" s="16" t="str">
        <f t="shared" si="6"/>
        <v/>
      </c>
      <c r="Q2411" s="41" t="e">
        <f t="shared" si="4840"/>
        <v>#N/A</v>
      </c>
      <c r="R2411" s="44"/>
      <c r="S2411" s="44"/>
      <c r="T2411" s="43" t="s">
        <v>90</v>
      </c>
      <c r="U2411" s="43" t="str">
        <f t="shared" si="8"/>
        <v>No</v>
      </c>
      <c r="V2411" s="25"/>
      <c r="W2411" s="25"/>
      <c r="X2411" s="25"/>
      <c r="Y2411" s="25"/>
      <c r="Z2411" s="25"/>
    </row>
    <row r="2412" spans="1:26" ht="15.75" customHeight="1" x14ac:dyDescent="0.25">
      <c r="A2412" s="25">
        <v>2410</v>
      </c>
      <c r="B2412" s="37" t="e">
        <f t="shared" ref="B2412:D2412" si="4857">VLOOKUP($A2412,[8]Movilidad!$A$1:$O$192,B$1,0)</f>
        <v>#N/A</v>
      </c>
      <c r="C2412" s="38" t="e">
        <f t="shared" si="4857"/>
        <v>#N/A</v>
      </c>
      <c r="D2412" s="39" t="e">
        <f t="shared" si="4857"/>
        <v>#N/A</v>
      </c>
      <c r="E2412" s="16" t="e">
        <f t="shared" si="1"/>
        <v>#N/A</v>
      </c>
      <c r="F2412" s="16" t="e">
        <f t="shared" ref="F2412:K2412" si="4858">VLOOKUP($A2412,[8]Movilidad!$A$1:$O$192,F$1,0)</f>
        <v>#N/A</v>
      </c>
      <c r="G2412" s="39" t="e">
        <f t="shared" si="4858"/>
        <v>#N/A</v>
      </c>
      <c r="H2412" s="16" t="e">
        <f t="shared" si="4858"/>
        <v>#N/A</v>
      </c>
      <c r="I2412" s="16" t="e">
        <f t="shared" si="4858"/>
        <v>#N/A</v>
      </c>
      <c r="J2412" s="40" t="e">
        <f t="shared" si="4858"/>
        <v>#N/A</v>
      </c>
      <c r="K2412" s="16" t="e">
        <f t="shared" si="4858"/>
        <v>#N/A</v>
      </c>
      <c r="L2412" s="40" t="e">
        <f t="shared" si="4837"/>
        <v>#N/A</v>
      </c>
      <c r="M2412" s="16" t="e">
        <f t="shared" si="4838"/>
        <v>#N/A</v>
      </c>
      <c r="N2412" s="16" t="e">
        <f t="shared" si="4839"/>
        <v>#N/A</v>
      </c>
      <c r="O2412" s="16" t="s">
        <v>72</v>
      </c>
      <c r="P2412" s="16" t="str">
        <f t="shared" si="6"/>
        <v/>
      </c>
      <c r="Q2412" s="41" t="e">
        <f t="shared" si="4840"/>
        <v>#N/A</v>
      </c>
      <c r="R2412" s="44"/>
      <c r="S2412" s="44"/>
      <c r="T2412" s="43" t="s">
        <v>90</v>
      </c>
      <c r="U2412" s="43" t="str">
        <f t="shared" si="8"/>
        <v>No</v>
      </c>
      <c r="V2412" s="25"/>
      <c r="W2412" s="25"/>
      <c r="X2412" s="25"/>
      <c r="Y2412" s="25"/>
      <c r="Z2412" s="25"/>
    </row>
    <row r="2413" spans="1:26" ht="15.75" customHeight="1" x14ac:dyDescent="0.25">
      <c r="A2413" s="25">
        <v>2411</v>
      </c>
      <c r="B2413" s="37" t="e">
        <f t="shared" ref="B2413:D2413" si="4859">VLOOKUP($A2413,[8]Movilidad!$A$1:$O$192,B$1,0)</f>
        <v>#N/A</v>
      </c>
      <c r="C2413" s="38" t="e">
        <f t="shared" si="4859"/>
        <v>#N/A</v>
      </c>
      <c r="D2413" s="39" t="e">
        <f t="shared" si="4859"/>
        <v>#N/A</v>
      </c>
      <c r="E2413" s="16" t="e">
        <f t="shared" si="1"/>
        <v>#N/A</v>
      </c>
      <c r="F2413" s="16" t="e">
        <f t="shared" ref="F2413:K2413" si="4860">VLOOKUP($A2413,[8]Movilidad!$A$1:$O$192,F$1,0)</f>
        <v>#N/A</v>
      </c>
      <c r="G2413" s="39" t="e">
        <f t="shared" si="4860"/>
        <v>#N/A</v>
      </c>
      <c r="H2413" s="16" t="e">
        <f t="shared" si="4860"/>
        <v>#N/A</v>
      </c>
      <c r="I2413" s="16" t="e">
        <f t="shared" si="4860"/>
        <v>#N/A</v>
      </c>
      <c r="J2413" s="40" t="e">
        <f t="shared" si="4860"/>
        <v>#N/A</v>
      </c>
      <c r="K2413" s="16" t="e">
        <f t="shared" si="4860"/>
        <v>#N/A</v>
      </c>
      <c r="L2413" s="40" t="e">
        <f t="shared" si="4837"/>
        <v>#N/A</v>
      </c>
      <c r="M2413" s="16" t="e">
        <f t="shared" si="4838"/>
        <v>#N/A</v>
      </c>
      <c r="N2413" s="16" t="e">
        <f t="shared" si="4839"/>
        <v>#N/A</v>
      </c>
      <c r="O2413" s="16" t="s">
        <v>72</v>
      </c>
      <c r="P2413" s="16" t="str">
        <f t="shared" si="6"/>
        <v/>
      </c>
      <c r="Q2413" s="41" t="e">
        <f t="shared" si="4840"/>
        <v>#N/A</v>
      </c>
      <c r="R2413" s="44"/>
      <c r="S2413" s="44"/>
      <c r="T2413" s="43" t="s">
        <v>90</v>
      </c>
      <c r="U2413" s="43" t="str">
        <f t="shared" si="8"/>
        <v>No</v>
      </c>
      <c r="V2413" s="25"/>
      <c r="W2413" s="25"/>
      <c r="X2413" s="25"/>
      <c r="Y2413" s="25"/>
      <c r="Z2413" s="25"/>
    </row>
    <row r="2414" spans="1:26" ht="15.75" customHeight="1" x14ac:dyDescent="0.25">
      <c r="A2414" s="25">
        <v>2412</v>
      </c>
      <c r="B2414" s="37" t="e">
        <f t="shared" ref="B2414:D2414" si="4861">VLOOKUP($A2414,[8]Movilidad!$A$1:$O$192,B$1,0)</f>
        <v>#N/A</v>
      </c>
      <c r="C2414" s="38" t="e">
        <f t="shared" si="4861"/>
        <v>#N/A</v>
      </c>
      <c r="D2414" s="39" t="e">
        <f t="shared" si="4861"/>
        <v>#N/A</v>
      </c>
      <c r="E2414" s="16" t="e">
        <f t="shared" si="1"/>
        <v>#N/A</v>
      </c>
      <c r="F2414" s="16" t="e">
        <f t="shared" ref="F2414:K2414" si="4862">VLOOKUP($A2414,[8]Movilidad!$A$1:$O$192,F$1,0)</f>
        <v>#N/A</v>
      </c>
      <c r="G2414" s="39" t="e">
        <f t="shared" si="4862"/>
        <v>#N/A</v>
      </c>
      <c r="H2414" s="16" t="e">
        <f t="shared" si="4862"/>
        <v>#N/A</v>
      </c>
      <c r="I2414" s="16" t="e">
        <f t="shared" si="4862"/>
        <v>#N/A</v>
      </c>
      <c r="J2414" s="40" t="e">
        <f t="shared" si="4862"/>
        <v>#N/A</v>
      </c>
      <c r="K2414" s="16" t="e">
        <f t="shared" si="4862"/>
        <v>#N/A</v>
      </c>
      <c r="L2414" s="40" t="e">
        <f t="shared" si="4837"/>
        <v>#N/A</v>
      </c>
      <c r="M2414" s="16" t="e">
        <f t="shared" si="4838"/>
        <v>#N/A</v>
      </c>
      <c r="N2414" s="16" t="e">
        <f t="shared" si="4839"/>
        <v>#N/A</v>
      </c>
      <c r="O2414" s="16" t="s">
        <v>72</v>
      </c>
      <c r="P2414" s="16" t="str">
        <f t="shared" si="6"/>
        <v/>
      </c>
      <c r="Q2414" s="41" t="e">
        <f t="shared" si="4840"/>
        <v>#N/A</v>
      </c>
      <c r="R2414" s="44"/>
      <c r="S2414" s="44"/>
      <c r="T2414" s="43" t="s">
        <v>90</v>
      </c>
      <c r="U2414" s="43" t="str">
        <f t="shared" si="8"/>
        <v>No</v>
      </c>
      <c r="V2414" s="25"/>
      <c r="W2414" s="25"/>
      <c r="X2414" s="25"/>
      <c r="Y2414" s="25"/>
      <c r="Z2414" s="25"/>
    </row>
    <row r="2415" spans="1:26" ht="15.75" customHeight="1" x14ac:dyDescent="0.25">
      <c r="A2415" s="25">
        <v>2413</v>
      </c>
      <c r="B2415" s="37" t="e">
        <f t="shared" ref="B2415:D2415" si="4863">VLOOKUP($A2415,[8]Movilidad!$A$1:$O$192,B$1,0)</f>
        <v>#N/A</v>
      </c>
      <c r="C2415" s="38" t="e">
        <f t="shared" si="4863"/>
        <v>#N/A</v>
      </c>
      <c r="D2415" s="39" t="e">
        <f t="shared" si="4863"/>
        <v>#N/A</v>
      </c>
      <c r="E2415" s="16" t="e">
        <f t="shared" si="1"/>
        <v>#N/A</v>
      </c>
      <c r="F2415" s="16" t="e">
        <f t="shared" ref="F2415:K2415" si="4864">VLOOKUP($A2415,[8]Movilidad!$A$1:$O$192,F$1,0)</f>
        <v>#N/A</v>
      </c>
      <c r="G2415" s="39" t="e">
        <f t="shared" si="4864"/>
        <v>#N/A</v>
      </c>
      <c r="H2415" s="16" t="e">
        <f t="shared" si="4864"/>
        <v>#N/A</v>
      </c>
      <c r="I2415" s="16" t="e">
        <f t="shared" si="4864"/>
        <v>#N/A</v>
      </c>
      <c r="J2415" s="40" t="e">
        <f t="shared" si="4864"/>
        <v>#N/A</v>
      </c>
      <c r="K2415" s="16" t="e">
        <f t="shared" si="4864"/>
        <v>#N/A</v>
      </c>
      <c r="L2415" s="40" t="e">
        <f t="shared" si="4837"/>
        <v>#N/A</v>
      </c>
      <c r="M2415" s="16" t="e">
        <f t="shared" si="4838"/>
        <v>#N/A</v>
      </c>
      <c r="N2415" s="16" t="e">
        <f t="shared" si="4839"/>
        <v>#N/A</v>
      </c>
      <c r="O2415" s="16" t="s">
        <v>72</v>
      </c>
      <c r="P2415" s="16" t="str">
        <f t="shared" si="6"/>
        <v/>
      </c>
      <c r="Q2415" s="41" t="e">
        <f t="shared" si="4840"/>
        <v>#N/A</v>
      </c>
      <c r="R2415" s="44"/>
      <c r="S2415" s="44"/>
      <c r="T2415" s="43"/>
      <c r="U2415" s="43" t="str">
        <f t="shared" si="8"/>
        <v>No</v>
      </c>
      <c r="V2415" s="25"/>
      <c r="W2415" s="25"/>
      <c r="X2415" s="25"/>
      <c r="Y2415" s="25"/>
      <c r="Z2415" s="25"/>
    </row>
    <row r="2416" spans="1:26" ht="15.75" customHeight="1" x14ac:dyDescent="0.25">
      <c r="A2416" s="25">
        <v>2414</v>
      </c>
      <c r="B2416" s="37" t="e">
        <f t="shared" ref="B2416:D2416" si="4865">VLOOKUP($A2416,[8]Movilidad!$A$1:$O$192,B$1,0)</f>
        <v>#N/A</v>
      </c>
      <c r="C2416" s="38" t="e">
        <f t="shared" si="4865"/>
        <v>#N/A</v>
      </c>
      <c r="D2416" s="39" t="e">
        <f t="shared" si="4865"/>
        <v>#N/A</v>
      </c>
      <c r="E2416" s="16" t="e">
        <f t="shared" si="1"/>
        <v>#N/A</v>
      </c>
      <c r="F2416" s="16" t="e">
        <f t="shared" ref="F2416:K2416" si="4866">VLOOKUP($A2416,[8]Movilidad!$A$1:$O$192,F$1,0)</f>
        <v>#N/A</v>
      </c>
      <c r="G2416" s="39" t="e">
        <f t="shared" si="4866"/>
        <v>#N/A</v>
      </c>
      <c r="H2416" s="16" t="e">
        <f t="shared" si="4866"/>
        <v>#N/A</v>
      </c>
      <c r="I2416" s="16" t="e">
        <f t="shared" si="4866"/>
        <v>#N/A</v>
      </c>
      <c r="J2416" s="40" t="e">
        <f t="shared" si="4866"/>
        <v>#N/A</v>
      </c>
      <c r="K2416" s="16" t="e">
        <f t="shared" si="4866"/>
        <v>#N/A</v>
      </c>
      <c r="L2416" s="40" t="e">
        <f t="shared" si="4837"/>
        <v>#N/A</v>
      </c>
      <c r="M2416" s="16" t="e">
        <f t="shared" si="4838"/>
        <v>#N/A</v>
      </c>
      <c r="N2416" s="16" t="e">
        <f t="shared" si="4839"/>
        <v>#N/A</v>
      </c>
      <c r="O2416" s="16" t="s">
        <v>72</v>
      </c>
      <c r="P2416" s="16" t="str">
        <f t="shared" si="6"/>
        <v/>
      </c>
      <c r="Q2416" s="41" t="e">
        <f t="shared" si="4840"/>
        <v>#N/A</v>
      </c>
      <c r="R2416" s="44"/>
      <c r="S2416" s="44"/>
      <c r="T2416" s="43"/>
      <c r="U2416" s="43" t="str">
        <f t="shared" si="8"/>
        <v>No</v>
      </c>
      <c r="V2416" s="25"/>
      <c r="W2416" s="25"/>
      <c r="X2416" s="25"/>
      <c r="Y2416" s="25"/>
      <c r="Z2416" s="25"/>
    </row>
    <row r="2417" spans="1:26" ht="15.75" customHeight="1" x14ac:dyDescent="0.25">
      <c r="A2417" s="25">
        <v>2415</v>
      </c>
      <c r="B2417" s="37" t="e">
        <f t="shared" ref="B2417:D2417" si="4867">VLOOKUP($A2417,[8]Movilidad!$A$1:$O$192,B$1,0)</f>
        <v>#N/A</v>
      </c>
      <c r="C2417" s="38" t="e">
        <f t="shared" si="4867"/>
        <v>#N/A</v>
      </c>
      <c r="D2417" s="39" t="e">
        <f t="shared" si="4867"/>
        <v>#N/A</v>
      </c>
      <c r="E2417" s="16" t="e">
        <f t="shared" si="1"/>
        <v>#N/A</v>
      </c>
      <c r="F2417" s="16" t="e">
        <f t="shared" ref="F2417:K2417" si="4868">VLOOKUP($A2417,[8]Movilidad!$A$1:$O$192,F$1,0)</f>
        <v>#N/A</v>
      </c>
      <c r="G2417" s="39" t="e">
        <f t="shared" si="4868"/>
        <v>#N/A</v>
      </c>
      <c r="H2417" s="16" t="e">
        <f t="shared" si="4868"/>
        <v>#N/A</v>
      </c>
      <c r="I2417" s="16" t="e">
        <f t="shared" si="4868"/>
        <v>#N/A</v>
      </c>
      <c r="J2417" s="40" t="e">
        <f t="shared" si="4868"/>
        <v>#N/A</v>
      </c>
      <c r="K2417" s="16" t="e">
        <f t="shared" si="4868"/>
        <v>#N/A</v>
      </c>
      <c r="L2417" s="40" t="e">
        <f t="shared" si="4837"/>
        <v>#N/A</v>
      </c>
      <c r="M2417" s="16" t="e">
        <f t="shared" si="4838"/>
        <v>#N/A</v>
      </c>
      <c r="N2417" s="16" t="e">
        <f t="shared" si="4839"/>
        <v>#N/A</v>
      </c>
      <c r="O2417" s="16" t="s">
        <v>72</v>
      </c>
      <c r="P2417" s="16" t="str">
        <f t="shared" si="6"/>
        <v/>
      </c>
      <c r="Q2417" s="41" t="e">
        <f t="shared" si="4840"/>
        <v>#N/A</v>
      </c>
      <c r="R2417" s="44"/>
      <c r="S2417" s="44"/>
      <c r="T2417" s="43"/>
      <c r="U2417" s="43" t="str">
        <f t="shared" si="8"/>
        <v>No</v>
      </c>
      <c r="V2417" s="25"/>
      <c r="W2417" s="25"/>
      <c r="X2417" s="25"/>
      <c r="Y2417" s="25"/>
      <c r="Z2417" s="25"/>
    </row>
    <row r="2418" spans="1:26" ht="15.75" customHeight="1" x14ac:dyDescent="0.25">
      <c r="A2418" s="25">
        <v>2416</v>
      </c>
      <c r="B2418" s="37" t="e">
        <f t="shared" ref="B2418:D2418" si="4869">VLOOKUP($A2418,[8]Movilidad!$A$1:$O$192,B$1,0)</f>
        <v>#N/A</v>
      </c>
      <c r="C2418" s="38" t="e">
        <f t="shared" si="4869"/>
        <v>#N/A</v>
      </c>
      <c r="D2418" s="39" t="e">
        <f t="shared" si="4869"/>
        <v>#N/A</v>
      </c>
      <c r="E2418" s="16" t="e">
        <f t="shared" si="1"/>
        <v>#N/A</v>
      </c>
      <c r="F2418" s="16" t="e">
        <f t="shared" ref="F2418:K2418" si="4870">VLOOKUP($A2418,[8]Movilidad!$A$1:$O$192,F$1,0)</f>
        <v>#N/A</v>
      </c>
      <c r="G2418" s="39" t="e">
        <f t="shared" si="4870"/>
        <v>#N/A</v>
      </c>
      <c r="H2418" s="16" t="e">
        <f t="shared" si="4870"/>
        <v>#N/A</v>
      </c>
      <c r="I2418" s="16" t="e">
        <f t="shared" si="4870"/>
        <v>#N/A</v>
      </c>
      <c r="J2418" s="40" t="e">
        <f t="shared" si="4870"/>
        <v>#N/A</v>
      </c>
      <c r="K2418" s="16" t="e">
        <f t="shared" si="4870"/>
        <v>#N/A</v>
      </c>
      <c r="L2418" s="40" t="e">
        <f t="shared" si="4837"/>
        <v>#N/A</v>
      </c>
      <c r="M2418" s="16" t="e">
        <f t="shared" si="4838"/>
        <v>#N/A</v>
      </c>
      <c r="N2418" s="16" t="e">
        <f t="shared" si="4839"/>
        <v>#N/A</v>
      </c>
      <c r="O2418" s="16" t="s">
        <v>72</v>
      </c>
      <c r="P2418" s="16" t="str">
        <f t="shared" si="6"/>
        <v/>
      </c>
      <c r="Q2418" s="41" t="e">
        <f t="shared" si="4840"/>
        <v>#N/A</v>
      </c>
      <c r="R2418" s="44"/>
      <c r="S2418" s="44"/>
      <c r="T2418" s="43"/>
      <c r="U2418" s="43" t="str">
        <f t="shared" si="8"/>
        <v>No</v>
      </c>
      <c r="V2418" s="25"/>
      <c r="W2418" s="25"/>
      <c r="X2418" s="25"/>
      <c r="Y2418" s="25"/>
      <c r="Z2418" s="25"/>
    </row>
    <row r="2419" spans="1:26" ht="15.75" customHeight="1" x14ac:dyDescent="0.25">
      <c r="A2419" s="25">
        <v>2417</v>
      </c>
      <c r="B2419" s="37" t="e">
        <f t="shared" ref="B2419:D2419" si="4871">VLOOKUP($A2419,[8]Movilidad!$A$1:$O$192,B$1,0)</f>
        <v>#N/A</v>
      </c>
      <c r="C2419" s="38" t="e">
        <f t="shared" si="4871"/>
        <v>#N/A</v>
      </c>
      <c r="D2419" s="39" t="e">
        <f t="shared" si="4871"/>
        <v>#N/A</v>
      </c>
      <c r="E2419" s="16" t="e">
        <f t="shared" si="1"/>
        <v>#N/A</v>
      </c>
      <c r="F2419" s="16" t="e">
        <f t="shared" ref="F2419:K2419" si="4872">VLOOKUP($A2419,[8]Movilidad!$A$1:$O$192,F$1,0)</f>
        <v>#N/A</v>
      </c>
      <c r="G2419" s="39" t="e">
        <f t="shared" si="4872"/>
        <v>#N/A</v>
      </c>
      <c r="H2419" s="16" t="e">
        <f t="shared" si="4872"/>
        <v>#N/A</v>
      </c>
      <c r="I2419" s="16" t="e">
        <f t="shared" si="4872"/>
        <v>#N/A</v>
      </c>
      <c r="J2419" s="40" t="e">
        <f t="shared" si="4872"/>
        <v>#N/A</v>
      </c>
      <c r="K2419" s="16" t="e">
        <f t="shared" si="4872"/>
        <v>#N/A</v>
      </c>
      <c r="L2419" s="40" t="e">
        <f t="shared" si="4837"/>
        <v>#N/A</v>
      </c>
      <c r="M2419" s="16" t="e">
        <f t="shared" si="4838"/>
        <v>#N/A</v>
      </c>
      <c r="N2419" s="16" t="e">
        <f t="shared" si="4839"/>
        <v>#N/A</v>
      </c>
      <c r="O2419" s="16" t="s">
        <v>72</v>
      </c>
      <c r="P2419" s="16" t="str">
        <f t="shared" si="6"/>
        <v/>
      </c>
      <c r="Q2419" s="41" t="e">
        <f t="shared" si="4840"/>
        <v>#N/A</v>
      </c>
      <c r="R2419" s="44"/>
      <c r="S2419" s="44"/>
      <c r="T2419" s="43"/>
      <c r="U2419" s="43" t="str">
        <f t="shared" si="8"/>
        <v>No</v>
      </c>
      <c r="V2419" s="25"/>
      <c r="W2419" s="25"/>
      <c r="X2419" s="25"/>
      <c r="Y2419" s="25"/>
      <c r="Z2419" s="25"/>
    </row>
    <row r="2420" spans="1:26" ht="15.75" customHeight="1" x14ac:dyDescent="0.25">
      <c r="A2420" s="25">
        <v>2418</v>
      </c>
      <c r="B2420" s="37" t="e">
        <f t="shared" ref="B2420:D2420" si="4873">VLOOKUP($A2420,[8]Movilidad!$A$1:$O$192,B$1,0)</f>
        <v>#N/A</v>
      </c>
      <c r="C2420" s="38" t="e">
        <f t="shared" si="4873"/>
        <v>#N/A</v>
      </c>
      <c r="D2420" s="39" t="e">
        <f t="shared" si="4873"/>
        <v>#N/A</v>
      </c>
      <c r="E2420" s="16" t="e">
        <f t="shared" si="1"/>
        <v>#N/A</v>
      </c>
      <c r="F2420" s="16" t="e">
        <f t="shared" ref="F2420:K2420" si="4874">VLOOKUP($A2420,[8]Movilidad!$A$1:$O$192,F$1,0)</f>
        <v>#N/A</v>
      </c>
      <c r="G2420" s="39" t="e">
        <f t="shared" si="4874"/>
        <v>#N/A</v>
      </c>
      <c r="H2420" s="16" t="e">
        <f t="shared" si="4874"/>
        <v>#N/A</v>
      </c>
      <c r="I2420" s="16" t="e">
        <f t="shared" si="4874"/>
        <v>#N/A</v>
      </c>
      <c r="J2420" s="40" t="e">
        <f t="shared" si="4874"/>
        <v>#N/A</v>
      </c>
      <c r="K2420" s="16" t="e">
        <f t="shared" si="4874"/>
        <v>#N/A</v>
      </c>
      <c r="L2420" s="40" t="e">
        <f t="shared" si="4837"/>
        <v>#N/A</v>
      </c>
      <c r="M2420" s="16" t="e">
        <f t="shared" si="4838"/>
        <v>#N/A</v>
      </c>
      <c r="N2420" s="16" t="e">
        <f t="shared" si="4839"/>
        <v>#N/A</v>
      </c>
      <c r="O2420" s="16" t="s">
        <v>72</v>
      </c>
      <c r="P2420" s="16" t="str">
        <f t="shared" si="6"/>
        <v/>
      </c>
      <c r="Q2420" s="41" t="e">
        <f t="shared" si="4840"/>
        <v>#N/A</v>
      </c>
      <c r="R2420" s="44"/>
      <c r="S2420" s="44"/>
      <c r="T2420" s="43"/>
      <c r="U2420" s="43" t="str">
        <f t="shared" si="8"/>
        <v>No</v>
      </c>
      <c r="V2420" s="25"/>
      <c r="W2420" s="25"/>
      <c r="X2420" s="25"/>
      <c r="Y2420" s="25"/>
      <c r="Z2420" s="25"/>
    </row>
    <row r="2421" spans="1:26" ht="15.75" customHeight="1" x14ac:dyDescent="0.25">
      <c r="A2421" s="25">
        <v>2419</v>
      </c>
      <c r="B2421" s="37" t="e">
        <f t="shared" ref="B2421:D2421" si="4875">VLOOKUP($A2421,[8]Movilidad!$A$1:$O$192,B$1,0)</f>
        <v>#N/A</v>
      </c>
      <c r="C2421" s="38" t="e">
        <f t="shared" si="4875"/>
        <v>#N/A</v>
      </c>
      <c r="D2421" s="39" t="e">
        <f t="shared" si="4875"/>
        <v>#N/A</v>
      </c>
      <c r="E2421" s="16" t="e">
        <f t="shared" si="1"/>
        <v>#N/A</v>
      </c>
      <c r="F2421" s="16" t="e">
        <f t="shared" ref="F2421:K2421" si="4876">VLOOKUP($A2421,[8]Movilidad!$A$1:$O$192,F$1,0)</f>
        <v>#N/A</v>
      </c>
      <c r="G2421" s="39" t="e">
        <f t="shared" si="4876"/>
        <v>#N/A</v>
      </c>
      <c r="H2421" s="16" t="e">
        <f t="shared" si="4876"/>
        <v>#N/A</v>
      </c>
      <c r="I2421" s="16" t="e">
        <f t="shared" si="4876"/>
        <v>#N/A</v>
      </c>
      <c r="J2421" s="40" t="e">
        <f t="shared" si="4876"/>
        <v>#N/A</v>
      </c>
      <c r="K2421" s="16" t="e">
        <f t="shared" si="4876"/>
        <v>#N/A</v>
      </c>
      <c r="L2421" s="40" t="e">
        <f t="shared" si="4837"/>
        <v>#N/A</v>
      </c>
      <c r="M2421" s="16" t="e">
        <f t="shared" si="4838"/>
        <v>#N/A</v>
      </c>
      <c r="N2421" s="16" t="e">
        <f t="shared" si="4839"/>
        <v>#N/A</v>
      </c>
      <c r="O2421" s="16" t="s">
        <v>72</v>
      </c>
      <c r="P2421" s="16" t="str">
        <f t="shared" si="6"/>
        <v/>
      </c>
      <c r="Q2421" s="41" t="e">
        <f t="shared" si="4840"/>
        <v>#N/A</v>
      </c>
      <c r="R2421" s="44"/>
      <c r="S2421" s="44"/>
      <c r="T2421" s="43"/>
      <c r="U2421" s="43" t="str">
        <f t="shared" si="8"/>
        <v>No</v>
      </c>
      <c r="V2421" s="25"/>
      <c r="W2421" s="25"/>
      <c r="X2421" s="25"/>
      <c r="Y2421" s="25"/>
      <c r="Z2421" s="25"/>
    </row>
    <row r="2422" spans="1:26" ht="15.75" customHeight="1" x14ac:dyDescent="0.25">
      <c r="A2422" s="25">
        <v>2420</v>
      </c>
      <c r="B2422" s="37" t="e">
        <f t="shared" ref="B2422:D2422" si="4877">VLOOKUP($A2422,[8]Movilidad!$A$1:$O$192,B$1,0)</f>
        <v>#N/A</v>
      </c>
      <c r="C2422" s="38" t="e">
        <f t="shared" si="4877"/>
        <v>#N/A</v>
      </c>
      <c r="D2422" s="39" t="e">
        <f t="shared" si="4877"/>
        <v>#N/A</v>
      </c>
      <c r="E2422" s="16" t="e">
        <f t="shared" si="1"/>
        <v>#N/A</v>
      </c>
      <c r="F2422" s="16" t="e">
        <f t="shared" ref="F2422:K2422" si="4878">VLOOKUP($A2422,[8]Movilidad!$A$1:$O$192,F$1,0)</f>
        <v>#N/A</v>
      </c>
      <c r="G2422" s="39" t="e">
        <f t="shared" si="4878"/>
        <v>#N/A</v>
      </c>
      <c r="H2422" s="16" t="e">
        <f t="shared" si="4878"/>
        <v>#N/A</v>
      </c>
      <c r="I2422" s="16" t="e">
        <f t="shared" si="4878"/>
        <v>#N/A</v>
      </c>
      <c r="J2422" s="40" t="e">
        <f t="shared" si="4878"/>
        <v>#N/A</v>
      </c>
      <c r="K2422" s="16" t="e">
        <f t="shared" si="4878"/>
        <v>#N/A</v>
      </c>
      <c r="L2422" s="40" t="e">
        <f t="shared" si="4837"/>
        <v>#N/A</v>
      </c>
      <c r="M2422" s="16" t="e">
        <f t="shared" si="4838"/>
        <v>#N/A</v>
      </c>
      <c r="N2422" s="16" t="e">
        <f t="shared" si="4839"/>
        <v>#N/A</v>
      </c>
      <c r="O2422" s="16" t="s">
        <v>72</v>
      </c>
      <c r="P2422" s="16" t="str">
        <f t="shared" si="6"/>
        <v/>
      </c>
      <c r="Q2422" s="41" t="e">
        <f t="shared" si="4840"/>
        <v>#N/A</v>
      </c>
      <c r="R2422" s="44"/>
      <c r="S2422" s="44"/>
      <c r="T2422" s="43"/>
      <c r="U2422" s="43" t="str">
        <f t="shared" si="8"/>
        <v>No</v>
      </c>
      <c r="V2422" s="25"/>
      <c r="W2422" s="25"/>
      <c r="X2422" s="25"/>
      <c r="Y2422" s="25"/>
      <c r="Z2422" s="25"/>
    </row>
    <row r="2423" spans="1:26" ht="15.75" customHeight="1" x14ac:dyDescent="0.25">
      <c r="A2423" s="25">
        <v>2421</v>
      </c>
      <c r="B2423" s="37" t="e">
        <f t="shared" ref="B2423:D2423" si="4879">VLOOKUP($A2423,[8]Movilidad!$A$1:$O$192,B$1,0)</f>
        <v>#N/A</v>
      </c>
      <c r="C2423" s="38" t="e">
        <f t="shared" si="4879"/>
        <v>#N/A</v>
      </c>
      <c r="D2423" s="39" t="e">
        <f t="shared" si="4879"/>
        <v>#N/A</v>
      </c>
      <c r="E2423" s="16" t="e">
        <f t="shared" si="1"/>
        <v>#N/A</v>
      </c>
      <c r="F2423" s="16" t="e">
        <f t="shared" ref="F2423:K2423" si="4880">VLOOKUP($A2423,[8]Movilidad!$A$1:$O$192,F$1,0)</f>
        <v>#N/A</v>
      </c>
      <c r="G2423" s="39" t="e">
        <f t="shared" si="4880"/>
        <v>#N/A</v>
      </c>
      <c r="H2423" s="16" t="e">
        <f t="shared" si="4880"/>
        <v>#N/A</v>
      </c>
      <c r="I2423" s="16" t="e">
        <f t="shared" si="4880"/>
        <v>#N/A</v>
      </c>
      <c r="J2423" s="40" t="e">
        <f t="shared" si="4880"/>
        <v>#N/A</v>
      </c>
      <c r="K2423" s="16" t="e">
        <f t="shared" si="4880"/>
        <v>#N/A</v>
      </c>
      <c r="L2423" s="40" t="e">
        <f t="shared" si="4837"/>
        <v>#N/A</v>
      </c>
      <c r="M2423" s="16" t="e">
        <f t="shared" si="4838"/>
        <v>#N/A</v>
      </c>
      <c r="N2423" s="16" t="e">
        <f t="shared" si="4839"/>
        <v>#N/A</v>
      </c>
      <c r="O2423" s="16" t="s">
        <v>72</v>
      </c>
      <c r="P2423" s="16" t="str">
        <f t="shared" si="6"/>
        <v/>
      </c>
      <c r="Q2423" s="41" t="e">
        <f t="shared" si="4840"/>
        <v>#N/A</v>
      </c>
      <c r="R2423" s="44"/>
      <c r="S2423" s="44"/>
      <c r="T2423" s="43"/>
      <c r="U2423" s="43" t="str">
        <f t="shared" si="8"/>
        <v>No</v>
      </c>
      <c r="V2423" s="25"/>
      <c r="W2423" s="25"/>
      <c r="X2423" s="25"/>
      <c r="Y2423" s="25"/>
      <c r="Z2423" s="25"/>
    </row>
    <row r="2424" spans="1:26" ht="15.75" customHeight="1" x14ac:dyDescent="0.25">
      <c r="A2424" s="25">
        <v>2422</v>
      </c>
      <c r="B2424" s="37" t="e">
        <f t="shared" ref="B2424:D2424" si="4881">VLOOKUP($A2424,[8]Movilidad!$A$1:$O$192,B$1,0)</f>
        <v>#N/A</v>
      </c>
      <c r="C2424" s="38" t="e">
        <f t="shared" si="4881"/>
        <v>#N/A</v>
      </c>
      <c r="D2424" s="39" t="e">
        <f t="shared" si="4881"/>
        <v>#N/A</v>
      </c>
      <c r="E2424" s="16" t="e">
        <f t="shared" si="1"/>
        <v>#N/A</v>
      </c>
      <c r="F2424" s="16" t="e">
        <f t="shared" ref="F2424:K2424" si="4882">VLOOKUP($A2424,[8]Movilidad!$A$1:$O$192,F$1,0)</f>
        <v>#N/A</v>
      </c>
      <c r="G2424" s="39" t="e">
        <f t="shared" si="4882"/>
        <v>#N/A</v>
      </c>
      <c r="H2424" s="16" t="e">
        <f t="shared" si="4882"/>
        <v>#N/A</v>
      </c>
      <c r="I2424" s="16" t="e">
        <f t="shared" si="4882"/>
        <v>#N/A</v>
      </c>
      <c r="J2424" s="40" t="e">
        <f t="shared" si="4882"/>
        <v>#N/A</v>
      </c>
      <c r="K2424" s="16" t="e">
        <f t="shared" si="4882"/>
        <v>#N/A</v>
      </c>
      <c r="L2424" s="40" t="e">
        <f t="shared" si="4837"/>
        <v>#N/A</v>
      </c>
      <c r="M2424" s="16" t="e">
        <f t="shared" si="4838"/>
        <v>#N/A</v>
      </c>
      <c r="N2424" s="16" t="e">
        <f t="shared" si="4839"/>
        <v>#N/A</v>
      </c>
      <c r="O2424" s="16" t="s">
        <v>72</v>
      </c>
      <c r="P2424" s="16" t="str">
        <f t="shared" si="6"/>
        <v/>
      </c>
      <c r="Q2424" s="41" t="e">
        <f t="shared" si="4840"/>
        <v>#N/A</v>
      </c>
      <c r="R2424" s="44"/>
      <c r="S2424" s="44"/>
      <c r="T2424" s="43"/>
      <c r="U2424" s="43" t="str">
        <f t="shared" si="8"/>
        <v>No</v>
      </c>
      <c r="V2424" s="25"/>
      <c r="W2424" s="25"/>
      <c r="X2424" s="25"/>
      <c r="Y2424" s="25"/>
      <c r="Z2424" s="25"/>
    </row>
    <row r="2425" spans="1:26" ht="15.75" customHeight="1" x14ac:dyDescent="0.25">
      <c r="A2425" s="25">
        <v>2423</v>
      </c>
      <c r="B2425" s="37" t="e">
        <f t="shared" ref="B2425:D2425" si="4883">VLOOKUP($A2425,[8]Movilidad!$A$1:$O$192,B$1,0)</f>
        <v>#N/A</v>
      </c>
      <c r="C2425" s="38" t="e">
        <f t="shared" si="4883"/>
        <v>#N/A</v>
      </c>
      <c r="D2425" s="39" t="e">
        <f t="shared" si="4883"/>
        <v>#N/A</v>
      </c>
      <c r="E2425" s="16" t="e">
        <f t="shared" si="1"/>
        <v>#N/A</v>
      </c>
      <c r="F2425" s="16" t="e">
        <f t="shared" ref="F2425:K2425" si="4884">VLOOKUP($A2425,[8]Movilidad!$A$1:$O$192,F$1,0)</f>
        <v>#N/A</v>
      </c>
      <c r="G2425" s="39" t="e">
        <f t="shared" si="4884"/>
        <v>#N/A</v>
      </c>
      <c r="H2425" s="16" t="e">
        <f t="shared" si="4884"/>
        <v>#N/A</v>
      </c>
      <c r="I2425" s="16" t="e">
        <f t="shared" si="4884"/>
        <v>#N/A</v>
      </c>
      <c r="J2425" s="40" t="e">
        <f t="shared" si="4884"/>
        <v>#N/A</v>
      </c>
      <c r="K2425" s="16" t="e">
        <f t="shared" si="4884"/>
        <v>#N/A</v>
      </c>
      <c r="L2425" s="40" t="e">
        <f t="shared" si="4837"/>
        <v>#N/A</v>
      </c>
      <c r="M2425" s="16" t="e">
        <f t="shared" si="4838"/>
        <v>#N/A</v>
      </c>
      <c r="N2425" s="16" t="e">
        <f t="shared" si="4839"/>
        <v>#N/A</v>
      </c>
      <c r="O2425" s="16" t="s">
        <v>72</v>
      </c>
      <c r="P2425" s="16" t="str">
        <f t="shared" si="6"/>
        <v/>
      </c>
      <c r="Q2425" s="41" t="e">
        <f t="shared" si="4840"/>
        <v>#N/A</v>
      </c>
      <c r="R2425" s="44"/>
      <c r="S2425" s="44"/>
      <c r="T2425" s="43"/>
      <c r="U2425" s="43" t="str">
        <f t="shared" si="8"/>
        <v>No</v>
      </c>
      <c r="V2425" s="25"/>
      <c r="W2425" s="25"/>
      <c r="X2425" s="25"/>
      <c r="Y2425" s="25"/>
      <c r="Z2425" s="25"/>
    </row>
    <row r="2426" spans="1:26" ht="15.75" customHeight="1" x14ac:dyDescent="0.25">
      <c r="A2426" s="25">
        <v>2424</v>
      </c>
      <c r="B2426" s="37" t="e">
        <f t="shared" ref="B2426:D2426" si="4885">VLOOKUP($A2426,[8]Movilidad!$A$1:$O$192,B$1,0)</f>
        <v>#N/A</v>
      </c>
      <c r="C2426" s="38" t="e">
        <f t="shared" si="4885"/>
        <v>#N/A</v>
      </c>
      <c r="D2426" s="39" t="e">
        <f t="shared" si="4885"/>
        <v>#N/A</v>
      </c>
      <c r="E2426" s="16" t="e">
        <f t="shared" si="1"/>
        <v>#N/A</v>
      </c>
      <c r="F2426" s="16" t="e">
        <f t="shared" ref="F2426:K2426" si="4886">VLOOKUP($A2426,[8]Movilidad!$A$1:$O$192,F$1,0)</f>
        <v>#N/A</v>
      </c>
      <c r="G2426" s="39" t="e">
        <f t="shared" si="4886"/>
        <v>#N/A</v>
      </c>
      <c r="H2426" s="16" t="e">
        <f t="shared" si="4886"/>
        <v>#N/A</v>
      </c>
      <c r="I2426" s="16" t="e">
        <f t="shared" si="4886"/>
        <v>#N/A</v>
      </c>
      <c r="J2426" s="40" t="e">
        <f t="shared" si="4886"/>
        <v>#N/A</v>
      </c>
      <c r="K2426" s="16" t="e">
        <f t="shared" si="4886"/>
        <v>#N/A</v>
      </c>
      <c r="L2426" s="40" t="e">
        <f t="shared" si="4837"/>
        <v>#N/A</v>
      </c>
      <c r="M2426" s="16" t="e">
        <f t="shared" si="4838"/>
        <v>#N/A</v>
      </c>
      <c r="N2426" s="16" t="e">
        <f t="shared" si="4839"/>
        <v>#N/A</v>
      </c>
      <c r="O2426" s="16" t="s">
        <v>72</v>
      </c>
      <c r="P2426" s="16" t="str">
        <f t="shared" si="6"/>
        <v/>
      </c>
      <c r="Q2426" s="41" t="e">
        <f t="shared" si="4840"/>
        <v>#N/A</v>
      </c>
      <c r="R2426" s="44"/>
      <c r="S2426" s="44"/>
      <c r="T2426" s="43"/>
      <c r="U2426" s="43" t="str">
        <f t="shared" si="8"/>
        <v>No</v>
      </c>
      <c r="V2426" s="25"/>
      <c r="W2426" s="25"/>
      <c r="X2426" s="25"/>
      <c r="Y2426" s="25"/>
      <c r="Z2426" s="25"/>
    </row>
    <row r="2427" spans="1:26" ht="15.75" customHeight="1" x14ac:dyDescent="0.25">
      <c r="A2427" s="25">
        <v>2425</v>
      </c>
      <c r="B2427" s="37" t="e">
        <f t="shared" ref="B2427:D2427" si="4887">VLOOKUP($A2427,[8]Movilidad!$A$1:$O$192,B$1,0)</f>
        <v>#N/A</v>
      </c>
      <c r="C2427" s="38" t="e">
        <f t="shared" si="4887"/>
        <v>#N/A</v>
      </c>
      <c r="D2427" s="39" t="e">
        <f t="shared" si="4887"/>
        <v>#N/A</v>
      </c>
      <c r="E2427" s="16" t="e">
        <f t="shared" si="1"/>
        <v>#N/A</v>
      </c>
      <c r="F2427" s="16" t="e">
        <f t="shared" ref="F2427:K2427" si="4888">VLOOKUP($A2427,[8]Movilidad!$A$1:$O$192,F$1,0)</f>
        <v>#N/A</v>
      </c>
      <c r="G2427" s="39" t="e">
        <f t="shared" si="4888"/>
        <v>#N/A</v>
      </c>
      <c r="H2427" s="16" t="e">
        <f t="shared" si="4888"/>
        <v>#N/A</v>
      </c>
      <c r="I2427" s="16" t="e">
        <f t="shared" si="4888"/>
        <v>#N/A</v>
      </c>
      <c r="J2427" s="40" t="e">
        <f t="shared" si="4888"/>
        <v>#N/A</v>
      </c>
      <c r="K2427" s="16" t="e">
        <f t="shared" si="4888"/>
        <v>#N/A</v>
      </c>
      <c r="L2427" s="40" t="e">
        <f t="shared" si="4837"/>
        <v>#N/A</v>
      </c>
      <c r="M2427" s="16" t="e">
        <f t="shared" si="4838"/>
        <v>#N/A</v>
      </c>
      <c r="N2427" s="16" t="e">
        <f t="shared" si="4839"/>
        <v>#N/A</v>
      </c>
      <c r="O2427" s="16" t="s">
        <v>72</v>
      </c>
      <c r="P2427" s="16" t="str">
        <f t="shared" si="6"/>
        <v/>
      </c>
      <c r="Q2427" s="41" t="e">
        <f t="shared" si="4840"/>
        <v>#N/A</v>
      </c>
      <c r="R2427" s="44"/>
      <c r="S2427" s="44"/>
      <c r="T2427" s="43"/>
      <c r="U2427" s="43" t="str">
        <f t="shared" si="8"/>
        <v>No</v>
      </c>
      <c r="V2427" s="25"/>
      <c r="W2427" s="25"/>
      <c r="X2427" s="25"/>
      <c r="Y2427" s="25"/>
      <c r="Z2427" s="25"/>
    </row>
    <row r="2428" spans="1:26" ht="15.75" customHeight="1" x14ac:dyDescent="0.25">
      <c r="A2428" s="25">
        <v>2426</v>
      </c>
      <c r="B2428" s="37" t="e">
        <f t="shared" ref="B2428:D2428" si="4889">VLOOKUP($A2428,[8]Movilidad!$A$1:$O$192,B$1,0)</f>
        <v>#N/A</v>
      </c>
      <c r="C2428" s="38" t="e">
        <f t="shared" si="4889"/>
        <v>#N/A</v>
      </c>
      <c r="D2428" s="39" t="e">
        <f t="shared" si="4889"/>
        <v>#N/A</v>
      </c>
      <c r="E2428" s="16" t="e">
        <f t="shared" si="1"/>
        <v>#N/A</v>
      </c>
      <c r="F2428" s="16" t="e">
        <f t="shared" ref="F2428:K2428" si="4890">VLOOKUP($A2428,[8]Movilidad!$A$1:$O$192,F$1,0)</f>
        <v>#N/A</v>
      </c>
      <c r="G2428" s="39" t="e">
        <f t="shared" si="4890"/>
        <v>#N/A</v>
      </c>
      <c r="H2428" s="16" t="e">
        <f t="shared" si="4890"/>
        <v>#N/A</v>
      </c>
      <c r="I2428" s="16" t="e">
        <f t="shared" si="4890"/>
        <v>#N/A</v>
      </c>
      <c r="J2428" s="40" t="e">
        <f t="shared" si="4890"/>
        <v>#N/A</v>
      </c>
      <c r="K2428" s="16" t="e">
        <f t="shared" si="4890"/>
        <v>#N/A</v>
      </c>
      <c r="L2428" s="40" t="e">
        <f t="shared" si="4837"/>
        <v>#N/A</v>
      </c>
      <c r="M2428" s="16" t="e">
        <f t="shared" si="4838"/>
        <v>#N/A</v>
      </c>
      <c r="N2428" s="16" t="e">
        <f t="shared" si="4839"/>
        <v>#N/A</v>
      </c>
      <c r="O2428" s="16" t="s">
        <v>72</v>
      </c>
      <c r="P2428" s="16" t="str">
        <f t="shared" si="6"/>
        <v/>
      </c>
      <c r="Q2428" s="41" t="e">
        <f t="shared" si="4840"/>
        <v>#N/A</v>
      </c>
      <c r="R2428" s="44"/>
      <c r="S2428" s="44"/>
      <c r="T2428" s="43"/>
      <c r="U2428" s="43" t="str">
        <f t="shared" si="8"/>
        <v>No</v>
      </c>
      <c r="V2428" s="25"/>
      <c r="W2428" s="25"/>
      <c r="X2428" s="25"/>
      <c r="Y2428" s="25"/>
      <c r="Z2428" s="25"/>
    </row>
    <row r="2429" spans="1:26" ht="15.75" customHeight="1" x14ac:dyDescent="0.25">
      <c r="A2429" s="25">
        <v>2427</v>
      </c>
      <c r="B2429" s="37" t="e">
        <f t="shared" ref="B2429:D2429" si="4891">VLOOKUP($A2429,[8]Movilidad!$A$1:$O$192,B$1,0)</f>
        <v>#N/A</v>
      </c>
      <c r="C2429" s="38" t="e">
        <f t="shared" si="4891"/>
        <v>#N/A</v>
      </c>
      <c r="D2429" s="39" t="e">
        <f t="shared" si="4891"/>
        <v>#N/A</v>
      </c>
      <c r="E2429" s="16" t="e">
        <f t="shared" si="1"/>
        <v>#N/A</v>
      </c>
      <c r="F2429" s="16" t="e">
        <f t="shared" ref="F2429:K2429" si="4892">VLOOKUP($A2429,[8]Movilidad!$A$1:$O$192,F$1,0)</f>
        <v>#N/A</v>
      </c>
      <c r="G2429" s="39" t="e">
        <f t="shared" si="4892"/>
        <v>#N/A</v>
      </c>
      <c r="H2429" s="16" t="e">
        <f t="shared" si="4892"/>
        <v>#N/A</v>
      </c>
      <c r="I2429" s="16" t="e">
        <f t="shared" si="4892"/>
        <v>#N/A</v>
      </c>
      <c r="J2429" s="40" t="e">
        <f t="shared" si="4892"/>
        <v>#N/A</v>
      </c>
      <c r="K2429" s="16" t="e">
        <f t="shared" si="4892"/>
        <v>#N/A</v>
      </c>
      <c r="L2429" s="40" t="e">
        <f t="shared" si="4837"/>
        <v>#N/A</v>
      </c>
      <c r="M2429" s="16" t="e">
        <f t="shared" si="4838"/>
        <v>#N/A</v>
      </c>
      <c r="N2429" s="16" t="e">
        <f t="shared" si="4839"/>
        <v>#N/A</v>
      </c>
      <c r="O2429" s="16" t="s">
        <v>72</v>
      </c>
      <c r="P2429" s="16" t="str">
        <f t="shared" si="6"/>
        <v/>
      </c>
      <c r="Q2429" s="41" t="e">
        <f t="shared" si="4840"/>
        <v>#N/A</v>
      </c>
      <c r="R2429" s="44"/>
      <c r="S2429" s="44"/>
      <c r="T2429" s="43"/>
      <c r="U2429" s="43" t="str">
        <f t="shared" si="8"/>
        <v>No</v>
      </c>
      <c r="V2429" s="25"/>
      <c r="W2429" s="25"/>
      <c r="X2429" s="25"/>
      <c r="Y2429" s="25"/>
      <c r="Z2429" s="25"/>
    </row>
    <row r="2430" spans="1:26" ht="15.75" customHeight="1" x14ac:dyDescent="0.25">
      <c r="A2430" s="25">
        <v>2428</v>
      </c>
      <c r="B2430" s="37" t="e">
        <f t="shared" ref="B2430:D2430" si="4893">VLOOKUP($A2430,[8]Movilidad!$A$1:$O$192,B$1,0)</f>
        <v>#N/A</v>
      </c>
      <c r="C2430" s="38" t="e">
        <f t="shared" si="4893"/>
        <v>#N/A</v>
      </c>
      <c r="D2430" s="39" t="e">
        <f t="shared" si="4893"/>
        <v>#N/A</v>
      </c>
      <c r="E2430" s="16" t="e">
        <f t="shared" si="1"/>
        <v>#N/A</v>
      </c>
      <c r="F2430" s="16" t="e">
        <f t="shared" ref="F2430:K2430" si="4894">VLOOKUP($A2430,[8]Movilidad!$A$1:$O$192,F$1,0)</f>
        <v>#N/A</v>
      </c>
      <c r="G2430" s="39" t="e">
        <f t="shared" si="4894"/>
        <v>#N/A</v>
      </c>
      <c r="H2430" s="16" t="e">
        <f t="shared" si="4894"/>
        <v>#N/A</v>
      </c>
      <c r="I2430" s="16" t="e">
        <f t="shared" si="4894"/>
        <v>#N/A</v>
      </c>
      <c r="J2430" s="40" t="e">
        <f t="shared" si="4894"/>
        <v>#N/A</v>
      </c>
      <c r="K2430" s="16" t="e">
        <f t="shared" si="4894"/>
        <v>#N/A</v>
      </c>
      <c r="L2430" s="40" t="e">
        <f t="shared" si="4837"/>
        <v>#N/A</v>
      </c>
      <c r="M2430" s="16" t="e">
        <f t="shared" si="4838"/>
        <v>#N/A</v>
      </c>
      <c r="N2430" s="16" t="e">
        <f t="shared" si="4839"/>
        <v>#N/A</v>
      </c>
      <c r="O2430" s="16" t="s">
        <v>72</v>
      </c>
      <c r="P2430" s="16" t="str">
        <f t="shared" si="6"/>
        <v/>
      </c>
      <c r="Q2430" s="41" t="e">
        <f t="shared" si="4840"/>
        <v>#N/A</v>
      </c>
      <c r="R2430" s="44"/>
      <c r="S2430" s="44"/>
      <c r="T2430" s="43"/>
      <c r="U2430" s="43" t="str">
        <f t="shared" si="8"/>
        <v>No</v>
      </c>
      <c r="V2430" s="25"/>
      <c r="W2430" s="25"/>
      <c r="X2430" s="25"/>
      <c r="Y2430" s="25"/>
      <c r="Z2430" s="25"/>
    </row>
    <row r="2431" spans="1:26" ht="15.75" customHeight="1" x14ac:dyDescent="0.25">
      <c r="A2431" s="25">
        <v>2429</v>
      </c>
      <c r="B2431" s="37" t="e">
        <f t="shared" ref="B2431:D2431" si="4895">VLOOKUP($A2431,[8]Movilidad!$A$1:$O$192,B$1,0)</f>
        <v>#N/A</v>
      </c>
      <c r="C2431" s="38" t="e">
        <f t="shared" si="4895"/>
        <v>#N/A</v>
      </c>
      <c r="D2431" s="39" t="e">
        <f t="shared" si="4895"/>
        <v>#N/A</v>
      </c>
      <c r="E2431" s="16" t="e">
        <f t="shared" si="1"/>
        <v>#N/A</v>
      </c>
      <c r="F2431" s="16" t="e">
        <f t="shared" ref="F2431:K2431" si="4896">VLOOKUP($A2431,[8]Movilidad!$A$1:$O$192,F$1,0)</f>
        <v>#N/A</v>
      </c>
      <c r="G2431" s="39" t="e">
        <f t="shared" si="4896"/>
        <v>#N/A</v>
      </c>
      <c r="H2431" s="16" t="e">
        <f t="shared" si="4896"/>
        <v>#N/A</v>
      </c>
      <c r="I2431" s="16" t="e">
        <f t="shared" si="4896"/>
        <v>#N/A</v>
      </c>
      <c r="J2431" s="40" t="e">
        <f t="shared" si="4896"/>
        <v>#N/A</v>
      </c>
      <c r="K2431" s="16" t="e">
        <f t="shared" si="4896"/>
        <v>#N/A</v>
      </c>
      <c r="L2431" s="40" t="e">
        <f t="shared" si="4837"/>
        <v>#N/A</v>
      </c>
      <c r="M2431" s="16" t="e">
        <f t="shared" si="4838"/>
        <v>#N/A</v>
      </c>
      <c r="N2431" s="16" t="e">
        <f t="shared" si="4839"/>
        <v>#N/A</v>
      </c>
      <c r="O2431" s="16" t="s">
        <v>72</v>
      </c>
      <c r="P2431" s="16" t="str">
        <f t="shared" si="6"/>
        <v/>
      </c>
      <c r="Q2431" s="41" t="e">
        <f t="shared" si="4840"/>
        <v>#N/A</v>
      </c>
      <c r="R2431" s="44"/>
      <c r="S2431" s="44"/>
      <c r="T2431" s="43"/>
      <c r="U2431" s="43" t="str">
        <f t="shared" si="8"/>
        <v>No</v>
      </c>
      <c r="V2431" s="25"/>
      <c r="W2431" s="25"/>
      <c r="X2431" s="25"/>
      <c r="Y2431" s="25"/>
      <c r="Z2431" s="25"/>
    </row>
    <row r="2432" spans="1:26" ht="15.75" customHeight="1" x14ac:dyDescent="0.25">
      <c r="A2432" s="25">
        <v>2430</v>
      </c>
      <c r="B2432" s="37" t="e">
        <f t="shared" ref="B2432:D2432" si="4897">VLOOKUP($A2432,[8]Movilidad!$A$1:$O$192,B$1,0)</f>
        <v>#N/A</v>
      </c>
      <c r="C2432" s="38" t="e">
        <f t="shared" si="4897"/>
        <v>#N/A</v>
      </c>
      <c r="D2432" s="39" t="e">
        <f t="shared" si="4897"/>
        <v>#N/A</v>
      </c>
      <c r="E2432" s="16" t="e">
        <f t="shared" si="1"/>
        <v>#N/A</v>
      </c>
      <c r="F2432" s="16" t="e">
        <f t="shared" ref="F2432:K2432" si="4898">VLOOKUP($A2432,[8]Movilidad!$A$1:$O$192,F$1,0)</f>
        <v>#N/A</v>
      </c>
      <c r="G2432" s="39" t="e">
        <f t="shared" si="4898"/>
        <v>#N/A</v>
      </c>
      <c r="H2432" s="16" t="e">
        <f t="shared" si="4898"/>
        <v>#N/A</v>
      </c>
      <c r="I2432" s="16" t="e">
        <f t="shared" si="4898"/>
        <v>#N/A</v>
      </c>
      <c r="J2432" s="40" t="e">
        <f t="shared" si="4898"/>
        <v>#N/A</v>
      </c>
      <c r="K2432" s="16" t="e">
        <f t="shared" si="4898"/>
        <v>#N/A</v>
      </c>
      <c r="L2432" s="40" t="e">
        <f t="shared" si="4837"/>
        <v>#N/A</v>
      </c>
      <c r="M2432" s="16" t="e">
        <f t="shared" si="4838"/>
        <v>#N/A</v>
      </c>
      <c r="N2432" s="16" t="e">
        <f t="shared" si="4839"/>
        <v>#N/A</v>
      </c>
      <c r="O2432" s="16" t="s">
        <v>72</v>
      </c>
      <c r="P2432" s="16" t="str">
        <f t="shared" si="6"/>
        <v/>
      </c>
      <c r="Q2432" s="41" t="e">
        <f t="shared" si="4840"/>
        <v>#N/A</v>
      </c>
      <c r="R2432" s="44"/>
      <c r="S2432" s="44"/>
      <c r="T2432" s="43"/>
      <c r="U2432" s="43" t="str">
        <f t="shared" si="8"/>
        <v>No</v>
      </c>
      <c r="V2432" s="25"/>
      <c r="W2432" s="25"/>
      <c r="X2432" s="25"/>
      <c r="Y2432" s="25"/>
      <c r="Z2432" s="25"/>
    </row>
    <row r="2433" spans="1:26" ht="15.75" customHeight="1" x14ac:dyDescent="0.25">
      <c r="A2433" s="25">
        <v>2431</v>
      </c>
      <c r="B2433" s="37" t="e">
        <f t="shared" ref="B2433:D2433" si="4899">VLOOKUP($A2433,[8]Movilidad!$A$1:$O$192,B$1,0)</f>
        <v>#N/A</v>
      </c>
      <c r="C2433" s="38" t="e">
        <f t="shared" si="4899"/>
        <v>#N/A</v>
      </c>
      <c r="D2433" s="39" t="e">
        <f t="shared" si="4899"/>
        <v>#N/A</v>
      </c>
      <c r="E2433" s="16" t="e">
        <f t="shared" si="1"/>
        <v>#N/A</v>
      </c>
      <c r="F2433" s="16" t="e">
        <f t="shared" ref="F2433:K2433" si="4900">VLOOKUP($A2433,[8]Movilidad!$A$1:$O$192,F$1,0)</f>
        <v>#N/A</v>
      </c>
      <c r="G2433" s="39" t="e">
        <f t="shared" si="4900"/>
        <v>#N/A</v>
      </c>
      <c r="H2433" s="16" t="e">
        <f t="shared" si="4900"/>
        <v>#N/A</v>
      </c>
      <c r="I2433" s="16" t="e">
        <f t="shared" si="4900"/>
        <v>#N/A</v>
      </c>
      <c r="J2433" s="40" t="e">
        <f t="shared" si="4900"/>
        <v>#N/A</v>
      </c>
      <c r="K2433" s="16" t="e">
        <f t="shared" si="4900"/>
        <v>#N/A</v>
      </c>
      <c r="L2433" s="40" t="e">
        <f t="shared" si="4837"/>
        <v>#N/A</v>
      </c>
      <c r="M2433" s="16" t="e">
        <f t="shared" si="4838"/>
        <v>#N/A</v>
      </c>
      <c r="N2433" s="16" t="e">
        <f t="shared" si="4839"/>
        <v>#N/A</v>
      </c>
      <c r="O2433" s="16" t="s">
        <v>72</v>
      </c>
      <c r="P2433" s="16" t="str">
        <f t="shared" si="6"/>
        <v/>
      </c>
      <c r="Q2433" s="41" t="e">
        <f t="shared" si="4840"/>
        <v>#N/A</v>
      </c>
      <c r="R2433" s="44"/>
      <c r="S2433" s="44"/>
      <c r="T2433" s="43"/>
      <c r="U2433" s="43" t="str">
        <f t="shared" si="8"/>
        <v>No</v>
      </c>
      <c r="V2433" s="25"/>
      <c r="W2433" s="25"/>
      <c r="X2433" s="25"/>
      <c r="Y2433" s="25"/>
      <c r="Z2433" s="25"/>
    </row>
    <row r="2434" spans="1:26" ht="15.75" customHeight="1" x14ac:dyDescent="0.25">
      <c r="A2434" s="25">
        <v>2432</v>
      </c>
      <c r="B2434" s="37" t="e">
        <f t="shared" ref="B2434:D2434" si="4901">VLOOKUP($A2434,[8]Movilidad!$A$1:$O$192,B$1,0)</f>
        <v>#N/A</v>
      </c>
      <c r="C2434" s="38" t="e">
        <f t="shared" si="4901"/>
        <v>#N/A</v>
      </c>
      <c r="D2434" s="39" t="e">
        <f t="shared" si="4901"/>
        <v>#N/A</v>
      </c>
      <c r="E2434" s="16" t="e">
        <f t="shared" si="1"/>
        <v>#N/A</v>
      </c>
      <c r="F2434" s="16" t="e">
        <f t="shared" ref="F2434:K2434" si="4902">VLOOKUP($A2434,[8]Movilidad!$A$1:$O$192,F$1,0)</f>
        <v>#N/A</v>
      </c>
      <c r="G2434" s="39" t="e">
        <f t="shared" si="4902"/>
        <v>#N/A</v>
      </c>
      <c r="H2434" s="16" t="e">
        <f t="shared" si="4902"/>
        <v>#N/A</v>
      </c>
      <c r="I2434" s="16" t="e">
        <f t="shared" si="4902"/>
        <v>#N/A</v>
      </c>
      <c r="J2434" s="40" t="e">
        <f t="shared" si="4902"/>
        <v>#N/A</v>
      </c>
      <c r="K2434" s="16" t="e">
        <f t="shared" si="4902"/>
        <v>#N/A</v>
      </c>
      <c r="L2434" s="40" t="e">
        <f t="shared" si="4837"/>
        <v>#N/A</v>
      </c>
      <c r="M2434" s="16" t="e">
        <f t="shared" si="4838"/>
        <v>#N/A</v>
      </c>
      <c r="N2434" s="16" t="e">
        <f t="shared" si="4839"/>
        <v>#N/A</v>
      </c>
      <c r="O2434" s="16" t="s">
        <v>72</v>
      </c>
      <c r="P2434" s="16" t="str">
        <f t="shared" si="6"/>
        <v/>
      </c>
      <c r="Q2434" s="41" t="e">
        <f t="shared" si="4840"/>
        <v>#N/A</v>
      </c>
      <c r="R2434" s="44"/>
      <c r="S2434" s="44"/>
      <c r="T2434" s="43"/>
      <c r="U2434" s="43" t="str">
        <f t="shared" si="8"/>
        <v>No</v>
      </c>
      <c r="V2434" s="25"/>
      <c r="W2434" s="25"/>
      <c r="X2434" s="25"/>
      <c r="Y2434" s="25"/>
      <c r="Z2434" s="25"/>
    </row>
    <row r="2435" spans="1:26" ht="15.75" customHeight="1" x14ac:dyDescent="0.25">
      <c r="A2435" s="25">
        <v>2433</v>
      </c>
      <c r="B2435" s="37" t="e">
        <f t="shared" ref="B2435:D2435" si="4903">VLOOKUP($A2435,[8]Movilidad!$A$1:$O$192,B$1,0)</f>
        <v>#N/A</v>
      </c>
      <c r="C2435" s="38" t="e">
        <f t="shared" si="4903"/>
        <v>#N/A</v>
      </c>
      <c r="D2435" s="39" t="e">
        <f t="shared" si="4903"/>
        <v>#N/A</v>
      </c>
      <c r="E2435" s="16" t="e">
        <f t="shared" si="1"/>
        <v>#N/A</v>
      </c>
      <c r="F2435" s="16" t="e">
        <f t="shared" ref="F2435:K2435" si="4904">VLOOKUP($A2435,[8]Movilidad!$A$1:$O$192,F$1,0)</f>
        <v>#N/A</v>
      </c>
      <c r="G2435" s="39" t="e">
        <f t="shared" si="4904"/>
        <v>#N/A</v>
      </c>
      <c r="H2435" s="16" t="e">
        <f t="shared" si="4904"/>
        <v>#N/A</v>
      </c>
      <c r="I2435" s="16" t="e">
        <f t="shared" si="4904"/>
        <v>#N/A</v>
      </c>
      <c r="J2435" s="40" t="e">
        <f t="shared" si="4904"/>
        <v>#N/A</v>
      </c>
      <c r="K2435" s="16" t="e">
        <f t="shared" si="4904"/>
        <v>#N/A</v>
      </c>
      <c r="L2435" s="40" t="e">
        <f t="shared" si="4837"/>
        <v>#N/A</v>
      </c>
      <c r="M2435" s="16" t="e">
        <f t="shared" si="4838"/>
        <v>#N/A</v>
      </c>
      <c r="N2435" s="16" t="e">
        <f t="shared" si="4839"/>
        <v>#N/A</v>
      </c>
      <c r="O2435" s="16" t="s">
        <v>72</v>
      </c>
      <c r="P2435" s="16" t="str">
        <f t="shared" si="6"/>
        <v/>
      </c>
      <c r="Q2435" s="41" t="e">
        <f t="shared" si="4840"/>
        <v>#N/A</v>
      </c>
      <c r="R2435" s="44"/>
      <c r="S2435" s="44"/>
      <c r="T2435" s="43"/>
      <c r="U2435" s="43" t="str">
        <f t="shared" si="8"/>
        <v>No</v>
      </c>
      <c r="V2435" s="25"/>
      <c r="W2435" s="25"/>
      <c r="X2435" s="25"/>
      <c r="Y2435" s="25"/>
      <c r="Z2435" s="25"/>
    </row>
    <row r="2436" spans="1:26" ht="15.75" customHeight="1" x14ac:dyDescent="0.25">
      <c r="A2436" s="25">
        <v>2434</v>
      </c>
      <c r="B2436" s="37" t="e">
        <f t="shared" ref="B2436:D2436" si="4905">VLOOKUP($A2436,[8]Movilidad!$A$1:$O$192,B$1,0)</f>
        <v>#N/A</v>
      </c>
      <c r="C2436" s="38" t="e">
        <f t="shared" si="4905"/>
        <v>#N/A</v>
      </c>
      <c r="D2436" s="39" t="e">
        <f t="shared" si="4905"/>
        <v>#N/A</v>
      </c>
      <c r="E2436" s="16" t="e">
        <f t="shared" si="1"/>
        <v>#N/A</v>
      </c>
      <c r="F2436" s="16" t="e">
        <f t="shared" ref="F2436:K2436" si="4906">VLOOKUP($A2436,[8]Movilidad!$A$1:$O$192,F$1,0)</f>
        <v>#N/A</v>
      </c>
      <c r="G2436" s="39" t="e">
        <f t="shared" si="4906"/>
        <v>#N/A</v>
      </c>
      <c r="H2436" s="16" t="e">
        <f t="shared" si="4906"/>
        <v>#N/A</v>
      </c>
      <c r="I2436" s="16" t="e">
        <f t="shared" si="4906"/>
        <v>#N/A</v>
      </c>
      <c r="J2436" s="40" t="e">
        <f t="shared" si="4906"/>
        <v>#N/A</v>
      </c>
      <c r="K2436" s="16" t="e">
        <f t="shared" si="4906"/>
        <v>#N/A</v>
      </c>
      <c r="L2436" s="40" t="e">
        <f t="shared" si="4837"/>
        <v>#N/A</v>
      </c>
      <c r="M2436" s="16" t="e">
        <f t="shared" si="4838"/>
        <v>#N/A</v>
      </c>
      <c r="N2436" s="16" t="e">
        <f t="shared" si="4839"/>
        <v>#N/A</v>
      </c>
      <c r="O2436" s="16" t="s">
        <v>72</v>
      </c>
      <c r="P2436" s="16" t="str">
        <f t="shared" si="6"/>
        <v/>
      </c>
      <c r="Q2436" s="41" t="e">
        <f t="shared" si="4840"/>
        <v>#N/A</v>
      </c>
      <c r="R2436" s="44"/>
      <c r="S2436" s="44"/>
      <c r="T2436" s="43"/>
      <c r="U2436" s="43" t="str">
        <f t="shared" si="8"/>
        <v>No</v>
      </c>
      <c r="V2436" s="25"/>
      <c r="W2436" s="25"/>
      <c r="X2436" s="25"/>
      <c r="Y2436" s="25"/>
      <c r="Z2436" s="25"/>
    </row>
    <row r="2437" spans="1:26" ht="15.75" customHeight="1" x14ac:dyDescent="0.25">
      <c r="A2437" s="25">
        <v>2435</v>
      </c>
      <c r="B2437" s="37" t="e">
        <f t="shared" ref="B2437:D2437" si="4907">VLOOKUP($A2437,[8]Movilidad!$A$1:$O$192,B$1,0)</f>
        <v>#N/A</v>
      </c>
      <c r="C2437" s="38" t="e">
        <f t="shared" si="4907"/>
        <v>#N/A</v>
      </c>
      <c r="D2437" s="39" t="e">
        <f t="shared" si="4907"/>
        <v>#N/A</v>
      </c>
      <c r="E2437" s="16" t="e">
        <f t="shared" si="1"/>
        <v>#N/A</v>
      </c>
      <c r="F2437" s="16" t="e">
        <f t="shared" ref="F2437:K2437" si="4908">VLOOKUP($A2437,[8]Movilidad!$A$1:$O$192,F$1,0)</f>
        <v>#N/A</v>
      </c>
      <c r="G2437" s="39" t="e">
        <f t="shared" si="4908"/>
        <v>#N/A</v>
      </c>
      <c r="H2437" s="16" t="e">
        <f t="shared" si="4908"/>
        <v>#N/A</v>
      </c>
      <c r="I2437" s="16" t="e">
        <f t="shared" si="4908"/>
        <v>#N/A</v>
      </c>
      <c r="J2437" s="40" t="e">
        <f t="shared" si="4908"/>
        <v>#N/A</v>
      </c>
      <c r="K2437" s="16" t="e">
        <f t="shared" si="4908"/>
        <v>#N/A</v>
      </c>
      <c r="L2437" s="40" t="e">
        <f t="shared" si="4837"/>
        <v>#N/A</v>
      </c>
      <c r="M2437" s="16" t="e">
        <f t="shared" si="4838"/>
        <v>#N/A</v>
      </c>
      <c r="N2437" s="16" t="e">
        <f t="shared" si="4839"/>
        <v>#N/A</v>
      </c>
      <c r="O2437" s="16" t="s">
        <v>72</v>
      </c>
      <c r="P2437" s="16" t="str">
        <f t="shared" si="6"/>
        <v/>
      </c>
      <c r="Q2437" s="41" t="e">
        <f t="shared" si="4840"/>
        <v>#N/A</v>
      </c>
      <c r="R2437" s="44"/>
      <c r="S2437" s="44"/>
      <c r="T2437" s="43"/>
      <c r="U2437" s="43" t="str">
        <f t="shared" si="8"/>
        <v>No</v>
      </c>
      <c r="V2437" s="25"/>
      <c r="W2437" s="25"/>
      <c r="X2437" s="25"/>
      <c r="Y2437" s="25"/>
      <c r="Z2437" s="25"/>
    </row>
    <row r="2438" spans="1:26" ht="15.75" customHeight="1" x14ac:dyDescent="0.25">
      <c r="A2438" s="25">
        <v>2436</v>
      </c>
      <c r="B2438" s="37" t="e">
        <f t="shared" ref="B2438:D2438" si="4909">VLOOKUP($A2438,[8]Movilidad!$A$1:$O$192,B$1,0)</f>
        <v>#N/A</v>
      </c>
      <c r="C2438" s="38" t="e">
        <f t="shared" si="4909"/>
        <v>#N/A</v>
      </c>
      <c r="D2438" s="39" t="e">
        <f t="shared" si="4909"/>
        <v>#N/A</v>
      </c>
      <c r="E2438" s="16" t="e">
        <f t="shared" si="1"/>
        <v>#N/A</v>
      </c>
      <c r="F2438" s="16" t="e">
        <f t="shared" ref="F2438:K2438" si="4910">VLOOKUP($A2438,[8]Movilidad!$A$1:$O$192,F$1,0)</f>
        <v>#N/A</v>
      </c>
      <c r="G2438" s="39" t="e">
        <f t="shared" si="4910"/>
        <v>#N/A</v>
      </c>
      <c r="H2438" s="16" t="e">
        <f t="shared" si="4910"/>
        <v>#N/A</v>
      </c>
      <c r="I2438" s="16" t="e">
        <f t="shared" si="4910"/>
        <v>#N/A</v>
      </c>
      <c r="J2438" s="40" t="e">
        <f t="shared" si="4910"/>
        <v>#N/A</v>
      </c>
      <c r="K2438" s="16" t="e">
        <f t="shared" si="4910"/>
        <v>#N/A</v>
      </c>
      <c r="L2438" s="40" t="e">
        <f t="shared" si="4837"/>
        <v>#N/A</v>
      </c>
      <c r="M2438" s="16" t="e">
        <f t="shared" si="4838"/>
        <v>#N/A</v>
      </c>
      <c r="N2438" s="16" t="e">
        <f t="shared" si="4839"/>
        <v>#N/A</v>
      </c>
      <c r="O2438" s="16" t="s">
        <v>72</v>
      </c>
      <c r="P2438" s="16" t="str">
        <f t="shared" si="6"/>
        <v/>
      </c>
      <c r="Q2438" s="41" t="e">
        <f t="shared" si="4840"/>
        <v>#N/A</v>
      </c>
      <c r="R2438" s="44"/>
      <c r="S2438" s="44"/>
      <c r="T2438" s="43"/>
      <c r="U2438" s="43" t="str">
        <f t="shared" si="8"/>
        <v>No</v>
      </c>
      <c r="V2438" s="25"/>
      <c r="W2438" s="25"/>
      <c r="X2438" s="25"/>
      <c r="Y2438" s="25"/>
      <c r="Z2438" s="25"/>
    </row>
    <row r="2439" spans="1:26" ht="15.75" customHeight="1" x14ac:dyDescent="0.25">
      <c r="A2439" s="25">
        <v>2437</v>
      </c>
      <c r="B2439" s="37" t="e">
        <f t="shared" ref="B2439:D2439" si="4911">VLOOKUP($A2439,[8]Movilidad!$A$1:$O$192,B$1,0)</f>
        <v>#N/A</v>
      </c>
      <c r="C2439" s="38" t="e">
        <f t="shared" si="4911"/>
        <v>#N/A</v>
      </c>
      <c r="D2439" s="39" t="e">
        <f t="shared" si="4911"/>
        <v>#N/A</v>
      </c>
      <c r="E2439" s="16" t="e">
        <f t="shared" si="1"/>
        <v>#N/A</v>
      </c>
      <c r="F2439" s="16" t="e">
        <f t="shared" ref="F2439:K2439" si="4912">VLOOKUP($A2439,[8]Movilidad!$A$1:$O$192,F$1,0)</f>
        <v>#N/A</v>
      </c>
      <c r="G2439" s="39" t="e">
        <f t="shared" si="4912"/>
        <v>#N/A</v>
      </c>
      <c r="H2439" s="16" t="e">
        <f t="shared" si="4912"/>
        <v>#N/A</v>
      </c>
      <c r="I2439" s="16" t="e">
        <f t="shared" si="4912"/>
        <v>#N/A</v>
      </c>
      <c r="J2439" s="40" t="e">
        <f t="shared" si="4912"/>
        <v>#N/A</v>
      </c>
      <c r="K2439" s="16" t="e">
        <f t="shared" si="4912"/>
        <v>#N/A</v>
      </c>
      <c r="L2439" s="40" t="e">
        <f t="shared" si="4837"/>
        <v>#N/A</v>
      </c>
      <c r="M2439" s="16" t="e">
        <f t="shared" si="4838"/>
        <v>#N/A</v>
      </c>
      <c r="N2439" s="16" t="e">
        <f t="shared" si="4839"/>
        <v>#N/A</v>
      </c>
      <c r="O2439" s="16" t="s">
        <v>72</v>
      </c>
      <c r="P2439" s="16" t="str">
        <f t="shared" si="6"/>
        <v/>
      </c>
      <c r="Q2439" s="41" t="e">
        <f t="shared" si="4840"/>
        <v>#N/A</v>
      </c>
      <c r="R2439" s="44"/>
      <c r="S2439" s="44"/>
      <c r="T2439" s="43"/>
      <c r="U2439" s="43" t="str">
        <f t="shared" si="8"/>
        <v>No</v>
      </c>
      <c r="V2439" s="25"/>
      <c r="W2439" s="25"/>
      <c r="X2439" s="25"/>
      <c r="Y2439" s="25"/>
      <c r="Z2439" s="25"/>
    </row>
    <row r="2440" spans="1:26" ht="15.75" customHeight="1" x14ac:dyDescent="0.25">
      <c r="A2440" s="25">
        <v>2438</v>
      </c>
      <c r="B2440" s="37" t="e">
        <f t="shared" ref="B2440:D2440" si="4913">VLOOKUP($A2440,[8]Movilidad!$A$1:$O$192,B$1,0)</f>
        <v>#N/A</v>
      </c>
      <c r="C2440" s="38" t="e">
        <f t="shared" si="4913"/>
        <v>#N/A</v>
      </c>
      <c r="D2440" s="39" t="e">
        <f t="shared" si="4913"/>
        <v>#N/A</v>
      </c>
      <c r="E2440" s="16" t="e">
        <f t="shared" si="1"/>
        <v>#N/A</v>
      </c>
      <c r="F2440" s="16" t="e">
        <f t="shared" ref="F2440:K2440" si="4914">VLOOKUP($A2440,[8]Movilidad!$A$1:$O$192,F$1,0)</f>
        <v>#N/A</v>
      </c>
      <c r="G2440" s="39" t="e">
        <f t="shared" si="4914"/>
        <v>#N/A</v>
      </c>
      <c r="H2440" s="16" t="e">
        <f t="shared" si="4914"/>
        <v>#N/A</v>
      </c>
      <c r="I2440" s="16" t="e">
        <f t="shared" si="4914"/>
        <v>#N/A</v>
      </c>
      <c r="J2440" s="40" t="e">
        <f t="shared" si="4914"/>
        <v>#N/A</v>
      </c>
      <c r="K2440" s="16" t="e">
        <f t="shared" si="4914"/>
        <v>#N/A</v>
      </c>
      <c r="L2440" s="40" t="e">
        <f t="shared" si="4837"/>
        <v>#N/A</v>
      </c>
      <c r="M2440" s="16" t="e">
        <f t="shared" si="4838"/>
        <v>#N/A</v>
      </c>
      <c r="N2440" s="16" t="e">
        <f t="shared" si="4839"/>
        <v>#N/A</v>
      </c>
      <c r="O2440" s="16" t="s">
        <v>72</v>
      </c>
      <c r="P2440" s="16" t="str">
        <f t="shared" si="6"/>
        <v/>
      </c>
      <c r="Q2440" s="41" t="e">
        <f t="shared" si="4840"/>
        <v>#N/A</v>
      </c>
      <c r="R2440" s="44"/>
      <c r="S2440" s="44"/>
      <c r="T2440" s="43"/>
      <c r="U2440" s="43" t="str">
        <f t="shared" si="8"/>
        <v>No</v>
      </c>
      <c r="V2440" s="25"/>
      <c r="W2440" s="25"/>
      <c r="X2440" s="25"/>
      <c r="Y2440" s="25"/>
      <c r="Z2440" s="25"/>
    </row>
    <row r="2441" spans="1:26" ht="15.75" customHeight="1" x14ac:dyDescent="0.25">
      <c r="A2441" s="25">
        <v>2439</v>
      </c>
      <c r="B2441" s="37" t="e">
        <f t="shared" ref="B2441:D2441" si="4915">VLOOKUP($A2441,[8]Movilidad!$A$1:$O$192,B$1,0)</f>
        <v>#N/A</v>
      </c>
      <c r="C2441" s="38" t="e">
        <f t="shared" si="4915"/>
        <v>#N/A</v>
      </c>
      <c r="D2441" s="39" t="e">
        <f t="shared" si="4915"/>
        <v>#N/A</v>
      </c>
      <c r="E2441" s="16" t="e">
        <f t="shared" si="1"/>
        <v>#N/A</v>
      </c>
      <c r="F2441" s="16" t="e">
        <f t="shared" ref="F2441:K2441" si="4916">VLOOKUP($A2441,[8]Movilidad!$A$1:$O$192,F$1,0)</f>
        <v>#N/A</v>
      </c>
      <c r="G2441" s="39" t="e">
        <f t="shared" si="4916"/>
        <v>#N/A</v>
      </c>
      <c r="H2441" s="16" t="e">
        <f t="shared" si="4916"/>
        <v>#N/A</v>
      </c>
      <c r="I2441" s="16" t="e">
        <f t="shared" si="4916"/>
        <v>#N/A</v>
      </c>
      <c r="J2441" s="40" t="e">
        <f t="shared" si="4916"/>
        <v>#N/A</v>
      </c>
      <c r="K2441" s="16" t="e">
        <f t="shared" si="4916"/>
        <v>#N/A</v>
      </c>
      <c r="L2441" s="40" t="e">
        <f t="shared" si="4837"/>
        <v>#N/A</v>
      </c>
      <c r="M2441" s="16" t="e">
        <f t="shared" si="4838"/>
        <v>#N/A</v>
      </c>
      <c r="N2441" s="16" t="e">
        <f t="shared" si="4839"/>
        <v>#N/A</v>
      </c>
      <c r="O2441" s="16" t="s">
        <v>72</v>
      </c>
      <c r="P2441" s="16" t="str">
        <f t="shared" si="6"/>
        <v/>
      </c>
      <c r="Q2441" s="41" t="e">
        <f t="shared" si="4840"/>
        <v>#N/A</v>
      </c>
      <c r="R2441" s="44"/>
      <c r="S2441" s="44"/>
      <c r="T2441" s="43"/>
      <c r="U2441" s="43" t="str">
        <f t="shared" si="8"/>
        <v>No</v>
      </c>
      <c r="V2441" s="25"/>
      <c r="W2441" s="25"/>
      <c r="X2441" s="25"/>
      <c r="Y2441" s="25"/>
      <c r="Z2441" s="25"/>
    </row>
    <row r="2442" spans="1:26" ht="15.75" customHeight="1" x14ac:dyDescent="0.25">
      <c r="A2442" s="25">
        <v>2440</v>
      </c>
      <c r="B2442" s="37" t="e">
        <f t="shared" ref="B2442:D2442" si="4917">VLOOKUP($A2442,[8]Movilidad!$A$1:$O$192,B$1,0)</f>
        <v>#N/A</v>
      </c>
      <c r="C2442" s="38" t="e">
        <f t="shared" si="4917"/>
        <v>#N/A</v>
      </c>
      <c r="D2442" s="39" t="e">
        <f t="shared" si="4917"/>
        <v>#N/A</v>
      </c>
      <c r="E2442" s="16" t="e">
        <f t="shared" si="1"/>
        <v>#N/A</v>
      </c>
      <c r="F2442" s="16" t="e">
        <f t="shared" ref="F2442:K2442" si="4918">VLOOKUP($A2442,[8]Movilidad!$A$1:$O$192,F$1,0)</f>
        <v>#N/A</v>
      </c>
      <c r="G2442" s="39" t="e">
        <f t="shared" si="4918"/>
        <v>#N/A</v>
      </c>
      <c r="H2442" s="16" t="e">
        <f t="shared" si="4918"/>
        <v>#N/A</v>
      </c>
      <c r="I2442" s="16" t="e">
        <f t="shared" si="4918"/>
        <v>#N/A</v>
      </c>
      <c r="J2442" s="40" t="e">
        <f t="shared" si="4918"/>
        <v>#N/A</v>
      </c>
      <c r="K2442" s="16" t="e">
        <f t="shared" si="4918"/>
        <v>#N/A</v>
      </c>
      <c r="L2442" s="40" t="e">
        <f t="shared" si="4837"/>
        <v>#N/A</v>
      </c>
      <c r="M2442" s="16" t="e">
        <f t="shared" si="4838"/>
        <v>#N/A</v>
      </c>
      <c r="N2442" s="16" t="e">
        <f t="shared" si="4839"/>
        <v>#N/A</v>
      </c>
      <c r="O2442" s="16" t="s">
        <v>72</v>
      </c>
      <c r="P2442" s="16" t="str">
        <f t="shared" si="6"/>
        <v/>
      </c>
      <c r="Q2442" s="41" t="e">
        <f t="shared" si="4840"/>
        <v>#N/A</v>
      </c>
      <c r="R2442" s="44"/>
      <c r="S2442" s="44"/>
      <c r="T2442" s="43"/>
      <c r="U2442" s="43" t="str">
        <f t="shared" si="8"/>
        <v>No</v>
      </c>
      <c r="V2442" s="25"/>
      <c r="W2442" s="25"/>
      <c r="X2442" s="25"/>
      <c r="Y2442" s="25"/>
      <c r="Z2442" s="25"/>
    </row>
    <row r="2443" spans="1:26" ht="15.75" customHeight="1" x14ac:dyDescent="0.25">
      <c r="A2443" s="25">
        <v>2441</v>
      </c>
      <c r="B2443" s="37" t="e">
        <f t="shared" ref="B2443:D2443" si="4919">VLOOKUP($A2443,[8]Movilidad!$A$1:$O$192,B$1,0)</f>
        <v>#N/A</v>
      </c>
      <c r="C2443" s="38" t="e">
        <f t="shared" si="4919"/>
        <v>#N/A</v>
      </c>
      <c r="D2443" s="39" t="e">
        <f t="shared" si="4919"/>
        <v>#N/A</v>
      </c>
      <c r="E2443" s="16" t="e">
        <f t="shared" si="1"/>
        <v>#N/A</v>
      </c>
      <c r="F2443" s="16" t="e">
        <f t="shared" ref="F2443:K2443" si="4920">VLOOKUP($A2443,[8]Movilidad!$A$1:$O$192,F$1,0)</f>
        <v>#N/A</v>
      </c>
      <c r="G2443" s="39" t="e">
        <f t="shared" si="4920"/>
        <v>#N/A</v>
      </c>
      <c r="H2443" s="16" t="e">
        <f t="shared" si="4920"/>
        <v>#N/A</v>
      </c>
      <c r="I2443" s="16" t="e">
        <f t="shared" si="4920"/>
        <v>#N/A</v>
      </c>
      <c r="J2443" s="40" t="e">
        <f t="shared" si="4920"/>
        <v>#N/A</v>
      </c>
      <c r="K2443" s="16" t="e">
        <f t="shared" si="4920"/>
        <v>#N/A</v>
      </c>
      <c r="L2443" s="40" t="e">
        <f t="shared" si="4837"/>
        <v>#N/A</v>
      </c>
      <c r="M2443" s="16" t="e">
        <f t="shared" si="4838"/>
        <v>#N/A</v>
      </c>
      <c r="N2443" s="16" t="e">
        <f t="shared" si="4839"/>
        <v>#N/A</v>
      </c>
      <c r="O2443" s="16" t="s">
        <v>72</v>
      </c>
      <c r="P2443" s="16" t="str">
        <f t="shared" si="6"/>
        <v/>
      </c>
      <c r="Q2443" s="41" t="e">
        <f t="shared" si="4840"/>
        <v>#N/A</v>
      </c>
      <c r="R2443" s="44"/>
      <c r="S2443" s="44"/>
      <c r="T2443" s="43"/>
      <c r="U2443" s="43" t="str">
        <f t="shared" si="8"/>
        <v>No</v>
      </c>
      <c r="V2443" s="25"/>
      <c r="W2443" s="25"/>
      <c r="X2443" s="25"/>
      <c r="Y2443" s="25"/>
      <c r="Z2443" s="25"/>
    </row>
    <row r="2444" spans="1:26" ht="15.75" customHeight="1" x14ac:dyDescent="0.25">
      <c r="A2444" s="25">
        <v>2442</v>
      </c>
      <c r="B2444" s="37" t="e">
        <f t="shared" ref="B2444:D2444" si="4921">VLOOKUP($A2444,[8]Movilidad!$A$1:$O$192,B$1,0)</f>
        <v>#N/A</v>
      </c>
      <c r="C2444" s="38" t="e">
        <f t="shared" si="4921"/>
        <v>#N/A</v>
      </c>
      <c r="D2444" s="39" t="e">
        <f t="shared" si="4921"/>
        <v>#N/A</v>
      </c>
      <c r="E2444" s="16" t="e">
        <f t="shared" si="1"/>
        <v>#N/A</v>
      </c>
      <c r="F2444" s="16" t="e">
        <f t="shared" ref="F2444:K2444" si="4922">VLOOKUP($A2444,[8]Movilidad!$A$1:$O$192,F$1,0)</f>
        <v>#N/A</v>
      </c>
      <c r="G2444" s="39" t="e">
        <f t="shared" si="4922"/>
        <v>#N/A</v>
      </c>
      <c r="H2444" s="16" t="e">
        <f t="shared" si="4922"/>
        <v>#N/A</v>
      </c>
      <c r="I2444" s="16" t="e">
        <f t="shared" si="4922"/>
        <v>#N/A</v>
      </c>
      <c r="J2444" s="40" t="e">
        <f t="shared" si="4922"/>
        <v>#N/A</v>
      </c>
      <c r="K2444" s="16" t="e">
        <f t="shared" si="4922"/>
        <v>#N/A</v>
      </c>
      <c r="L2444" s="40" t="e">
        <f t="shared" si="4837"/>
        <v>#N/A</v>
      </c>
      <c r="M2444" s="16" t="e">
        <f t="shared" si="4838"/>
        <v>#N/A</v>
      </c>
      <c r="N2444" s="16" t="e">
        <f t="shared" si="4839"/>
        <v>#N/A</v>
      </c>
      <c r="O2444" s="16" t="s">
        <v>72</v>
      </c>
      <c r="P2444" s="16" t="str">
        <f t="shared" si="6"/>
        <v/>
      </c>
      <c r="Q2444" s="41" t="e">
        <f t="shared" si="4840"/>
        <v>#N/A</v>
      </c>
      <c r="R2444" s="44"/>
      <c r="S2444" s="44"/>
      <c r="T2444" s="43"/>
      <c r="U2444" s="43" t="str">
        <f t="shared" si="8"/>
        <v>No</v>
      </c>
      <c r="V2444" s="25"/>
      <c r="W2444" s="25"/>
      <c r="X2444" s="25"/>
      <c r="Y2444" s="25"/>
      <c r="Z2444" s="25"/>
    </row>
    <row r="2445" spans="1:26" ht="15.75" customHeight="1" x14ac:dyDescent="0.25">
      <c r="A2445" s="25">
        <v>2443</v>
      </c>
      <c r="B2445" s="37" t="e">
        <f t="shared" ref="B2445:D2445" si="4923">VLOOKUP($A2445,[8]Movilidad!$A$1:$O$192,B$1,0)</f>
        <v>#N/A</v>
      </c>
      <c r="C2445" s="38" t="e">
        <f t="shared" si="4923"/>
        <v>#N/A</v>
      </c>
      <c r="D2445" s="39" t="e">
        <f t="shared" si="4923"/>
        <v>#N/A</v>
      </c>
      <c r="E2445" s="16" t="e">
        <f t="shared" si="1"/>
        <v>#N/A</v>
      </c>
      <c r="F2445" s="16" t="e">
        <f t="shared" ref="F2445:K2445" si="4924">VLOOKUP($A2445,[8]Movilidad!$A$1:$O$192,F$1,0)</f>
        <v>#N/A</v>
      </c>
      <c r="G2445" s="39" t="e">
        <f t="shared" si="4924"/>
        <v>#N/A</v>
      </c>
      <c r="H2445" s="16" t="e">
        <f t="shared" si="4924"/>
        <v>#N/A</v>
      </c>
      <c r="I2445" s="16" t="e">
        <f t="shared" si="4924"/>
        <v>#N/A</v>
      </c>
      <c r="J2445" s="40" t="e">
        <f t="shared" si="4924"/>
        <v>#N/A</v>
      </c>
      <c r="K2445" s="16" t="e">
        <f t="shared" si="4924"/>
        <v>#N/A</v>
      </c>
      <c r="L2445" s="40" t="e">
        <f t="shared" si="4837"/>
        <v>#N/A</v>
      </c>
      <c r="M2445" s="16" t="e">
        <f t="shared" si="4838"/>
        <v>#N/A</v>
      </c>
      <c r="N2445" s="16" t="e">
        <f t="shared" si="4839"/>
        <v>#N/A</v>
      </c>
      <c r="O2445" s="16" t="s">
        <v>72</v>
      </c>
      <c r="P2445" s="16" t="str">
        <f t="shared" si="6"/>
        <v/>
      </c>
      <c r="Q2445" s="41" t="e">
        <f t="shared" si="4840"/>
        <v>#N/A</v>
      </c>
      <c r="R2445" s="44"/>
      <c r="S2445" s="44"/>
      <c r="T2445" s="43"/>
      <c r="U2445" s="43" t="str">
        <f t="shared" si="8"/>
        <v>No</v>
      </c>
      <c r="V2445" s="25"/>
      <c r="W2445" s="25"/>
      <c r="X2445" s="25"/>
      <c r="Y2445" s="25"/>
      <c r="Z2445" s="25"/>
    </row>
    <row r="2446" spans="1:26" ht="15.75" customHeight="1" x14ac:dyDescent="0.25">
      <c r="A2446" s="25">
        <v>2444</v>
      </c>
      <c r="B2446" s="37" t="e">
        <f t="shared" ref="B2446:D2446" si="4925">VLOOKUP($A2446,[8]Movilidad!$A$1:$O$192,B$1,0)</f>
        <v>#N/A</v>
      </c>
      <c r="C2446" s="38" t="e">
        <f t="shared" si="4925"/>
        <v>#N/A</v>
      </c>
      <c r="D2446" s="39" t="e">
        <f t="shared" si="4925"/>
        <v>#N/A</v>
      </c>
      <c r="E2446" s="16" t="e">
        <f t="shared" si="1"/>
        <v>#N/A</v>
      </c>
      <c r="F2446" s="16" t="e">
        <f t="shared" ref="F2446:K2446" si="4926">VLOOKUP($A2446,[8]Movilidad!$A$1:$O$192,F$1,0)</f>
        <v>#N/A</v>
      </c>
      <c r="G2446" s="39" t="e">
        <f t="shared" si="4926"/>
        <v>#N/A</v>
      </c>
      <c r="H2446" s="16" t="e">
        <f t="shared" si="4926"/>
        <v>#N/A</v>
      </c>
      <c r="I2446" s="16" t="e">
        <f t="shared" si="4926"/>
        <v>#N/A</v>
      </c>
      <c r="J2446" s="40" t="e">
        <f t="shared" si="4926"/>
        <v>#N/A</v>
      </c>
      <c r="K2446" s="16" t="e">
        <f t="shared" si="4926"/>
        <v>#N/A</v>
      </c>
      <c r="L2446" s="40" t="e">
        <f t="shared" si="4837"/>
        <v>#N/A</v>
      </c>
      <c r="M2446" s="16" t="e">
        <f t="shared" si="4838"/>
        <v>#N/A</v>
      </c>
      <c r="N2446" s="16" t="e">
        <f t="shared" si="4839"/>
        <v>#N/A</v>
      </c>
      <c r="O2446" s="16" t="s">
        <v>72</v>
      </c>
      <c r="P2446" s="16" t="str">
        <f t="shared" si="6"/>
        <v/>
      </c>
      <c r="Q2446" s="41" t="e">
        <f t="shared" si="4840"/>
        <v>#N/A</v>
      </c>
      <c r="R2446" s="44"/>
      <c r="S2446" s="44"/>
      <c r="T2446" s="43"/>
      <c r="U2446" s="43" t="str">
        <f t="shared" si="8"/>
        <v>No</v>
      </c>
      <c r="V2446" s="25"/>
      <c r="W2446" s="25"/>
      <c r="X2446" s="25"/>
      <c r="Y2446" s="25"/>
      <c r="Z2446" s="25"/>
    </row>
    <row r="2447" spans="1:26" ht="15.75" customHeight="1" x14ac:dyDescent="0.25">
      <c r="A2447" s="25">
        <v>2445</v>
      </c>
      <c r="B2447" s="37" t="e">
        <f t="shared" ref="B2447:D2447" si="4927">VLOOKUP($A2447,[8]Movilidad!$A$1:$O$192,B$1,0)</f>
        <v>#N/A</v>
      </c>
      <c r="C2447" s="38" t="e">
        <f t="shared" si="4927"/>
        <v>#N/A</v>
      </c>
      <c r="D2447" s="39" t="e">
        <f t="shared" si="4927"/>
        <v>#N/A</v>
      </c>
      <c r="E2447" s="16" t="e">
        <f t="shared" si="1"/>
        <v>#N/A</v>
      </c>
      <c r="F2447" s="16" t="e">
        <f t="shared" ref="F2447:K2447" si="4928">VLOOKUP($A2447,[8]Movilidad!$A$1:$O$192,F$1,0)</f>
        <v>#N/A</v>
      </c>
      <c r="G2447" s="39" t="e">
        <f t="shared" si="4928"/>
        <v>#N/A</v>
      </c>
      <c r="H2447" s="16" t="e">
        <f t="shared" si="4928"/>
        <v>#N/A</v>
      </c>
      <c r="I2447" s="16" t="e">
        <f t="shared" si="4928"/>
        <v>#N/A</v>
      </c>
      <c r="J2447" s="40" t="e">
        <f t="shared" si="4928"/>
        <v>#N/A</v>
      </c>
      <c r="K2447" s="16" t="e">
        <f t="shared" si="4928"/>
        <v>#N/A</v>
      </c>
      <c r="L2447" s="40" t="e">
        <f t="shared" si="4837"/>
        <v>#N/A</v>
      </c>
      <c r="M2447" s="16" t="e">
        <f t="shared" si="4838"/>
        <v>#N/A</v>
      </c>
      <c r="N2447" s="16" t="e">
        <f t="shared" si="4839"/>
        <v>#N/A</v>
      </c>
      <c r="O2447" s="16" t="s">
        <v>72</v>
      </c>
      <c r="P2447" s="16" t="str">
        <f t="shared" si="6"/>
        <v/>
      </c>
      <c r="Q2447" s="41" t="e">
        <f t="shared" si="4840"/>
        <v>#N/A</v>
      </c>
      <c r="R2447" s="44"/>
      <c r="S2447" s="44"/>
      <c r="T2447" s="43"/>
      <c r="U2447" s="43" t="str">
        <f t="shared" si="8"/>
        <v>No</v>
      </c>
      <c r="V2447" s="25"/>
      <c r="W2447" s="25"/>
      <c r="X2447" s="25"/>
      <c r="Y2447" s="25"/>
      <c r="Z2447" s="25"/>
    </row>
    <row r="2448" spans="1:26" ht="15.75" customHeight="1" x14ac:dyDescent="0.25">
      <c r="A2448" s="25">
        <v>2446</v>
      </c>
      <c r="B2448" s="37" t="e">
        <f t="shared" ref="B2448:D2448" si="4929">VLOOKUP($A2448,[8]Movilidad!$A$1:$O$192,B$1,0)</f>
        <v>#N/A</v>
      </c>
      <c r="C2448" s="38" t="e">
        <f t="shared" si="4929"/>
        <v>#N/A</v>
      </c>
      <c r="D2448" s="39" t="e">
        <f t="shared" si="4929"/>
        <v>#N/A</v>
      </c>
      <c r="E2448" s="16" t="e">
        <f t="shared" si="1"/>
        <v>#N/A</v>
      </c>
      <c r="F2448" s="16" t="e">
        <f t="shared" ref="F2448:K2448" si="4930">VLOOKUP($A2448,[8]Movilidad!$A$1:$O$192,F$1,0)</f>
        <v>#N/A</v>
      </c>
      <c r="G2448" s="39" t="e">
        <f t="shared" si="4930"/>
        <v>#N/A</v>
      </c>
      <c r="H2448" s="16" t="e">
        <f t="shared" si="4930"/>
        <v>#N/A</v>
      </c>
      <c r="I2448" s="16" t="e">
        <f t="shared" si="4930"/>
        <v>#N/A</v>
      </c>
      <c r="J2448" s="40" t="e">
        <f t="shared" si="4930"/>
        <v>#N/A</v>
      </c>
      <c r="K2448" s="16" t="e">
        <f t="shared" si="4930"/>
        <v>#N/A</v>
      </c>
      <c r="L2448" s="40" t="e">
        <f t="shared" si="4837"/>
        <v>#N/A</v>
      </c>
      <c r="M2448" s="16" t="e">
        <f t="shared" si="4838"/>
        <v>#N/A</v>
      </c>
      <c r="N2448" s="16" t="e">
        <f t="shared" si="4839"/>
        <v>#N/A</v>
      </c>
      <c r="O2448" s="16" t="s">
        <v>72</v>
      </c>
      <c r="P2448" s="16" t="str">
        <f t="shared" si="6"/>
        <v/>
      </c>
      <c r="Q2448" s="41" t="e">
        <f t="shared" si="4840"/>
        <v>#N/A</v>
      </c>
      <c r="R2448" s="44"/>
      <c r="S2448" s="44"/>
      <c r="T2448" s="43"/>
      <c r="U2448" s="43" t="str">
        <f t="shared" si="8"/>
        <v>No</v>
      </c>
      <c r="V2448" s="25"/>
      <c r="W2448" s="25"/>
      <c r="X2448" s="25"/>
      <c r="Y2448" s="25"/>
      <c r="Z2448" s="25"/>
    </row>
    <row r="2449" spans="1:26" ht="15.75" customHeight="1" x14ac:dyDescent="0.25">
      <c r="A2449" s="25">
        <v>2447</v>
      </c>
      <c r="B2449" s="37" t="e">
        <f t="shared" ref="B2449:D2449" si="4931">VLOOKUP($A2449,[8]Movilidad!$A$1:$O$192,B$1,0)</f>
        <v>#N/A</v>
      </c>
      <c r="C2449" s="38" t="e">
        <f t="shared" si="4931"/>
        <v>#N/A</v>
      </c>
      <c r="D2449" s="39" t="e">
        <f t="shared" si="4931"/>
        <v>#N/A</v>
      </c>
      <c r="E2449" s="16" t="e">
        <f t="shared" si="1"/>
        <v>#N/A</v>
      </c>
      <c r="F2449" s="16" t="e">
        <f t="shared" ref="F2449:K2449" si="4932">VLOOKUP($A2449,[8]Movilidad!$A$1:$O$192,F$1,0)</f>
        <v>#N/A</v>
      </c>
      <c r="G2449" s="39" t="e">
        <f t="shared" si="4932"/>
        <v>#N/A</v>
      </c>
      <c r="H2449" s="16" t="e">
        <f t="shared" si="4932"/>
        <v>#N/A</v>
      </c>
      <c r="I2449" s="16" t="e">
        <f t="shared" si="4932"/>
        <v>#N/A</v>
      </c>
      <c r="J2449" s="40" t="e">
        <f t="shared" si="4932"/>
        <v>#N/A</v>
      </c>
      <c r="K2449" s="16" t="e">
        <f t="shared" si="4932"/>
        <v>#N/A</v>
      </c>
      <c r="L2449" s="40" t="e">
        <f t="shared" si="4837"/>
        <v>#N/A</v>
      </c>
      <c r="M2449" s="16" t="e">
        <f t="shared" si="4838"/>
        <v>#N/A</v>
      </c>
      <c r="N2449" s="16" t="e">
        <f t="shared" si="4839"/>
        <v>#N/A</v>
      </c>
      <c r="O2449" s="16" t="s">
        <v>72</v>
      </c>
      <c r="P2449" s="16" t="str">
        <f t="shared" si="6"/>
        <v/>
      </c>
      <c r="Q2449" s="41" t="e">
        <f t="shared" si="4840"/>
        <v>#N/A</v>
      </c>
      <c r="R2449" s="44"/>
      <c r="S2449" s="44"/>
      <c r="T2449" s="43"/>
      <c r="U2449" s="43" t="str">
        <f t="shared" si="8"/>
        <v>No</v>
      </c>
      <c r="V2449" s="25"/>
      <c r="W2449" s="25"/>
      <c r="X2449" s="25"/>
      <c r="Y2449" s="25"/>
      <c r="Z2449" s="25"/>
    </row>
    <row r="2450" spans="1:26" ht="15.75" customHeight="1" x14ac:dyDescent="0.25">
      <c r="A2450" s="25">
        <v>2448</v>
      </c>
      <c r="B2450" s="37" t="e">
        <f t="shared" ref="B2450:D2450" si="4933">VLOOKUP($A2450,[8]Movilidad!$A$1:$O$192,B$1,0)</f>
        <v>#N/A</v>
      </c>
      <c r="C2450" s="38" t="e">
        <f t="shared" si="4933"/>
        <v>#N/A</v>
      </c>
      <c r="D2450" s="39" t="e">
        <f t="shared" si="4933"/>
        <v>#N/A</v>
      </c>
      <c r="E2450" s="16" t="e">
        <f t="shared" si="1"/>
        <v>#N/A</v>
      </c>
      <c r="F2450" s="16" t="e">
        <f t="shared" ref="F2450:K2450" si="4934">VLOOKUP($A2450,[8]Movilidad!$A$1:$O$192,F$1,0)</f>
        <v>#N/A</v>
      </c>
      <c r="G2450" s="39" t="e">
        <f t="shared" si="4934"/>
        <v>#N/A</v>
      </c>
      <c r="H2450" s="16" t="e">
        <f t="shared" si="4934"/>
        <v>#N/A</v>
      </c>
      <c r="I2450" s="16" t="e">
        <f t="shared" si="4934"/>
        <v>#N/A</v>
      </c>
      <c r="J2450" s="40" t="e">
        <f t="shared" si="4934"/>
        <v>#N/A</v>
      </c>
      <c r="K2450" s="16" t="e">
        <f t="shared" si="4934"/>
        <v>#N/A</v>
      </c>
      <c r="L2450" s="40" t="e">
        <f t="shared" si="4837"/>
        <v>#N/A</v>
      </c>
      <c r="M2450" s="16" t="e">
        <f t="shared" si="4838"/>
        <v>#N/A</v>
      </c>
      <c r="N2450" s="16" t="e">
        <f t="shared" si="4839"/>
        <v>#N/A</v>
      </c>
      <c r="O2450" s="16" t="s">
        <v>72</v>
      </c>
      <c r="P2450" s="16" t="str">
        <f t="shared" si="6"/>
        <v/>
      </c>
      <c r="Q2450" s="41" t="e">
        <f t="shared" si="4840"/>
        <v>#N/A</v>
      </c>
      <c r="R2450" s="44"/>
      <c r="S2450" s="44"/>
      <c r="T2450" s="43"/>
      <c r="U2450" s="43" t="str">
        <f t="shared" si="8"/>
        <v>No</v>
      </c>
      <c r="V2450" s="25"/>
      <c r="W2450" s="25"/>
      <c r="X2450" s="25"/>
      <c r="Y2450" s="25"/>
      <c r="Z2450" s="25"/>
    </row>
    <row r="2451" spans="1:26" ht="15.75" customHeight="1" x14ac:dyDescent="0.25">
      <c r="A2451" s="25">
        <v>2449</v>
      </c>
      <c r="B2451" s="37" t="e">
        <f t="shared" ref="B2451:D2451" si="4935">VLOOKUP($A2451,[8]Movilidad!$A$1:$O$192,B$1,0)</f>
        <v>#N/A</v>
      </c>
      <c r="C2451" s="38" t="e">
        <f t="shared" si="4935"/>
        <v>#N/A</v>
      </c>
      <c r="D2451" s="39" t="e">
        <f t="shared" si="4935"/>
        <v>#N/A</v>
      </c>
      <c r="E2451" s="16" t="e">
        <f t="shared" si="1"/>
        <v>#N/A</v>
      </c>
      <c r="F2451" s="16" t="e">
        <f t="shared" ref="F2451:K2451" si="4936">VLOOKUP($A2451,[8]Movilidad!$A$1:$O$192,F$1,0)</f>
        <v>#N/A</v>
      </c>
      <c r="G2451" s="39" t="e">
        <f t="shared" si="4936"/>
        <v>#N/A</v>
      </c>
      <c r="H2451" s="16" t="e">
        <f t="shared" si="4936"/>
        <v>#N/A</v>
      </c>
      <c r="I2451" s="16" t="e">
        <f t="shared" si="4936"/>
        <v>#N/A</v>
      </c>
      <c r="J2451" s="40" t="e">
        <f t="shared" si="4936"/>
        <v>#N/A</v>
      </c>
      <c r="K2451" s="16" t="e">
        <f t="shared" si="4936"/>
        <v>#N/A</v>
      </c>
      <c r="L2451" s="40" t="e">
        <f t="shared" si="4837"/>
        <v>#N/A</v>
      </c>
      <c r="M2451" s="16" t="e">
        <f t="shared" si="4838"/>
        <v>#N/A</v>
      </c>
      <c r="N2451" s="16" t="e">
        <f t="shared" si="4839"/>
        <v>#N/A</v>
      </c>
      <c r="O2451" s="16" t="s">
        <v>72</v>
      </c>
      <c r="P2451" s="16" t="str">
        <f t="shared" si="6"/>
        <v/>
      </c>
      <c r="Q2451" s="41" t="e">
        <f t="shared" si="4840"/>
        <v>#N/A</v>
      </c>
      <c r="R2451" s="44"/>
      <c r="S2451" s="44"/>
      <c r="T2451" s="43"/>
      <c r="U2451" s="43" t="str">
        <f t="shared" si="8"/>
        <v>No</v>
      </c>
      <c r="V2451" s="25"/>
      <c r="W2451" s="25"/>
      <c r="X2451" s="25"/>
      <c r="Y2451" s="25"/>
      <c r="Z2451" s="25"/>
    </row>
    <row r="2452" spans="1:26" ht="15.75" customHeight="1" x14ac:dyDescent="0.25">
      <c r="A2452" s="25">
        <v>2450</v>
      </c>
      <c r="B2452" s="37" t="e">
        <f t="shared" ref="B2452:D2452" si="4937">VLOOKUP($A2452,[8]Movilidad!$A$1:$O$192,B$1,0)</f>
        <v>#N/A</v>
      </c>
      <c r="C2452" s="38" t="e">
        <f t="shared" si="4937"/>
        <v>#N/A</v>
      </c>
      <c r="D2452" s="39" t="e">
        <f t="shared" si="4937"/>
        <v>#N/A</v>
      </c>
      <c r="E2452" s="16" t="e">
        <f t="shared" si="1"/>
        <v>#N/A</v>
      </c>
      <c r="F2452" s="16" t="e">
        <f t="shared" ref="F2452:K2452" si="4938">VLOOKUP($A2452,[8]Movilidad!$A$1:$O$192,F$1,0)</f>
        <v>#N/A</v>
      </c>
      <c r="G2452" s="39" t="e">
        <f t="shared" si="4938"/>
        <v>#N/A</v>
      </c>
      <c r="H2452" s="16" t="e">
        <f t="shared" si="4938"/>
        <v>#N/A</v>
      </c>
      <c r="I2452" s="16" t="e">
        <f t="shared" si="4938"/>
        <v>#N/A</v>
      </c>
      <c r="J2452" s="40" t="e">
        <f t="shared" si="4938"/>
        <v>#N/A</v>
      </c>
      <c r="K2452" s="16" t="e">
        <f t="shared" si="4938"/>
        <v>#N/A</v>
      </c>
      <c r="L2452" s="40" t="e">
        <f t="shared" si="4837"/>
        <v>#N/A</v>
      </c>
      <c r="M2452" s="16" t="e">
        <f t="shared" si="4838"/>
        <v>#N/A</v>
      </c>
      <c r="N2452" s="16" t="e">
        <f t="shared" si="4839"/>
        <v>#N/A</v>
      </c>
      <c r="O2452" s="16" t="s">
        <v>72</v>
      </c>
      <c r="P2452" s="16" t="str">
        <f t="shared" si="6"/>
        <v/>
      </c>
      <c r="Q2452" s="41" t="e">
        <f t="shared" si="4840"/>
        <v>#N/A</v>
      </c>
      <c r="R2452" s="44"/>
      <c r="S2452" s="44"/>
      <c r="T2452" s="43"/>
      <c r="U2452" s="43" t="str">
        <f t="shared" si="8"/>
        <v>No</v>
      </c>
      <c r="V2452" s="25"/>
      <c r="W2452" s="25"/>
      <c r="X2452" s="25"/>
      <c r="Y2452" s="25"/>
      <c r="Z2452" s="25"/>
    </row>
    <row r="2453" spans="1:26" ht="15.75" customHeight="1" x14ac:dyDescent="0.25">
      <c r="A2453" s="25">
        <v>2451</v>
      </c>
      <c r="B2453" s="37" t="e">
        <f t="shared" ref="B2453:D2453" si="4939">VLOOKUP($A2453,[8]Movilidad!$A$1:$O$192,B$1,0)</f>
        <v>#N/A</v>
      </c>
      <c r="C2453" s="38" t="e">
        <f t="shared" si="4939"/>
        <v>#N/A</v>
      </c>
      <c r="D2453" s="39" t="e">
        <f t="shared" si="4939"/>
        <v>#N/A</v>
      </c>
      <c r="E2453" s="16" t="e">
        <f t="shared" si="1"/>
        <v>#N/A</v>
      </c>
      <c r="F2453" s="16" t="e">
        <f t="shared" ref="F2453:K2453" si="4940">VLOOKUP($A2453,[8]Movilidad!$A$1:$O$192,F$1,0)</f>
        <v>#N/A</v>
      </c>
      <c r="G2453" s="39" t="e">
        <f t="shared" si="4940"/>
        <v>#N/A</v>
      </c>
      <c r="H2453" s="16" t="e">
        <f t="shared" si="4940"/>
        <v>#N/A</v>
      </c>
      <c r="I2453" s="16" t="e">
        <f t="shared" si="4940"/>
        <v>#N/A</v>
      </c>
      <c r="J2453" s="40" t="e">
        <f t="shared" si="4940"/>
        <v>#N/A</v>
      </c>
      <c r="K2453" s="16" t="e">
        <f t="shared" si="4940"/>
        <v>#N/A</v>
      </c>
      <c r="L2453" s="40" t="e">
        <f t="shared" si="4837"/>
        <v>#N/A</v>
      </c>
      <c r="M2453" s="16" t="e">
        <f t="shared" si="4838"/>
        <v>#N/A</v>
      </c>
      <c r="N2453" s="16" t="e">
        <f t="shared" si="4839"/>
        <v>#N/A</v>
      </c>
      <c r="O2453" s="16" t="s">
        <v>72</v>
      </c>
      <c r="P2453" s="16" t="str">
        <f t="shared" si="6"/>
        <v/>
      </c>
      <c r="Q2453" s="41" t="e">
        <f t="shared" si="4840"/>
        <v>#N/A</v>
      </c>
      <c r="R2453" s="44"/>
      <c r="S2453" s="44"/>
      <c r="T2453" s="43"/>
      <c r="U2453" s="43" t="str">
        <f t="shared" si="8"/>
        <v>No</v>
      </c>
      <c r="V2453" s="25"/>
      <c r="W2453" s="25"/>
      <c r="X2453" s="25"/>
      <c r="Y2453" s="25"/>
      <c r="Z2453" s="25"/>
    </row>
    <row r="2454" spans="1:26" ht="15.75" customHeight="1" x14ac:dyDescent="0.25">
      <c r="A2454" s="25">
        <v>2452</v>
      </c>
      <c r="B2454" s="37" t="e">
        <f t="shared" ref="B2454:D2454" si="4941">VLOOKUP($A2454,[8]Movilidad!$A$1:$O$192,B$1,0)</f>
        <v>#N/A</v>
      </c>
      <c r="C2454" s="38" t="e">
        <f t="shared" si="4941"/>
        <v>#N/A</v>
      </c>
      <c r="D2454" s="39" t="e">
        <f t="shared" si="4941"/>
        <v>#N/A</v>
      </c>
      <c r="E2454" s="16" t="e">
        <f t="shared" si="1"/>
        <v>#N/A</v>
      </c>
      <c r="F2454" s="16" t="e">
        <f t="shared" ref="F2454:K2454" si="4942">VLOOKUP($A2454,[8]Movilidad!$A$1:$O$192,F$1,0)</f>
        <v>#N/A</v>
      </c>
      <c r="G2454" s="39" t="e">
        <f t="shared" si="4942"/>
        <v>#N/A</v>
      </c>
      <c r="H2454" s="16" t="e">
        <f t="shared" si="4942"/>
        <v>#N/A</v>
      </c>
      <c r="I2454" s="16" t="e">
        <f t="shared" si="4942"/>
        <v>#N/A</v>
      </c>
      <c r="J2454" s="40" t="e">
        <f t="shared" si="4942"/>
        <v>#N/A</v>
      </c>
      <c r="K2454" s="16" t="e">
        <f t="shared" si="4942"/>
        <v>#N/A</v>
      </c>
      <c r="L2454" s="40" t="e">
        <f t="shared" si="4837"/>
        <v>#N/A</v>
      </c>
      <c r="M2454" s="16" t="e">
        <f t="shared" si="4838"/>
        <v>#N/A</v>
      </c>
      <c r="N2454" s="16" t="e">
        <f t="shared" si="4839"/>
        <v>#N/A</v>
      </c>
      <c r="O2454" s="16" t="s">
        <v>72</v>
      </c>
      <c r="P2454" s="16" t="str">
        <f t="shared" si="6"/>
        <v/>
      </c>
      <c r="Q2454" s="41" t="e">
        <f t="shared" si="4840"/>
        <v>#N/A</v>
      </c>
      <c r="R2454" s="44"/>
      <c r="S2454" s="44"/>
      <c r="T2454" s="43"/>
      <c r="U2454" s="43" t="str">
        <f t="shared" si="8"/>
        <v>No</v>
      </c>
      <c r="V2454" s="25"/>
      <c r="W2454" s="25"/>
      <c r="X2454" s="25"/>
      <c r="Y2454" s="25"/>
      <c r="Z2454" s="25"/>
    </row>
    <row r="2455" spans="1:26" ht="15.75" customHeight="1" x14ac:dyDescent="0.25">
      <c r="A2455" s="25">
        <v>2453</v>
      </c>
      <c r="B2455" s="37" t="e">
        <f t="shared" ref="B2455:D2455" si="4943">VLOOKUP($A2455,[8]Movilidad!$A$1:$O$192,B$1,0)</f>
        <v>#N/A</v>
      </c>
      <c r="C2455" s="38" t="e">
        <f t="shared" si="4943"/>
        <v>#N/A</v>
      </c>
      <c r="D2455" s="39" t="e">
        <f t="shared" si="4943"/>
        <v>#N/A</v>
      </c>
      <c r="E2455" s="16" t="e">
        <f t="shared" si="1"/>
        <v>#N/A</v>
      </c>
      <c r="F2455" s="16" t="e">
        <f t="shared" ref="F2455:K2455" si="4944">VLOOKUP($A2455,[8]Movilidad!$A$1:$O$192,F$1,0)</f>
        <v>#N/A</v>
      </c>
      <c r="G2455" s="39" t="e">
        <f t="shared" si="4944"/>
        <v>#N/A</v>
      </c>
      <c r="H2455" s="16" t="e">
        <f t="shared" si="4944"/>
        <v>#N/A</v>
      </c>
      <c r="I2455" s="16" t="e">
        <f t="shared" si="4944"/>
        <v>#N/A</v>
      </c>
      <c r="J2455" s="40" t="e">
        <f t="shared" si="4944"/>
        <v>#N/A</v>
      </c>
      <c r="K2455" s="16" t="e">
        <f t="shared" si="4944"/>
        <v>#N/A</v>
      </c>
      <c r="L2455" s="40" t="e">
        <f t="shared" si="4837"/>
        <v>#N/A</v>
      </c>
      <c r="M2455" s="16" t="e">
        <f t="shared" si="4838"/>
        <v>#N/A</v>
      </c>
      <c r="N2455" s="16" t="e">
        <f t="shared" si="4839"/>
        <v>#N/A</v>
      </c>
      <c r="O2455" s="16" t="s">
        <v>72</v>
      </c>
      <c r="P2455" s="16" t="str">
        <f t="shared" si="6"/>
        <v/>
      </c>
      <c r="Q2455" s="41" t="e">
        <f t="shared" si="4840"/>
        <v>#N/A</v>
      </c>
      <c r="R2455" s="44"/>
      <c r="S2455" s="44"/>
      <c r="T2455" s="43"/>
      <c r="U2455" s="43" t="str">
        <f t="shared" si="8"/>
        <v>No</v>
      </c>
      <c r="V2455" s="25"/>
      <c r="W2455" s="25"/>
      <c r="X2455" s="25"/>
      <c r="Y2455" s="25"/>
      <c r="Z2455" s="25"/>
    </row>
    <row r="2456" spans="1:26" ht="15.75" customHeight="1" x14ac:dyDescent="0.25">
      <c r="A2456" s="25">
        <v>2454</v>
      </c>
      <c r="B2456" s="37" t="e">
        <f t="shared" ref="B2456:D2456" si="4945">VLOOKUP($A2456,[8]Movilidad!$A$1:$O$192,B$1,0)</f>
        <v>#N/A</v>
      </c>
      <c r="C2456" s="38" t="e">
        <f t="shared" si="4945"/>
        <v>#N/A</v>
      </c>
      <c r="D2456" s="39" t="e">
        <f t="shared" si="4945"/>
        <v>#N/A</v>
      </c>
      <c r="E2456" s="16" t="e">
        <f t="shared" si="1"/>
        <v>#N/A</v>
      </c>
      <c r="F2456" s="16" t="e">
        <f t="shared" ref="F2456:K2456" si="4946">VLOOKUP($A2456,[8]Movilidad!$A$1:$O$192,F$1,0)</f>
        <v>#N/A</v>
      </c>
      <c r="G2456" s="39" t="e">
        <f t="shared" si="4946"/>
        <v>#N/A</v>
      </c>
      <c r="H2456" s="16" t="e">
        <f t="shared" si="4946"/>
        <v>#N/A</v>
      </c>
      <c r="I2456" s="16" t="e">
        <f t="shared" si="4946"/>
        <v>#N/A</v>
      </c>
      <c r="J2456" s="40" t="e">
        <f t="shared" si="4946"/>
        <v>#N/A</v>
      </c>
      <c r="K2456" s="16" t="e">
        <f t="shared" si="4946"/>
        <v>#N/A</v>
      </c>
      <c r="L2456" s="40" t="e">
        <f t="shared" si="4837"/>
        <v>#N/A</v>
      </c>
      <c r="M2456" s="16" t="e">
        <f t="shared" si="4838"/>
        <v>#N/A</v>
      </c>
      <c r="N2456" s="16" t="e">
        <f t="shared" si="4839"/>
        <v>#N/A</v>
      </c>
      <c r="O2456" s="16" t="s">
        <v>72</v>
      </c>
      <c r="P2456" s="16" t="str">
        <f t="shared" si="6"/>
        <v/>
      </c>
      <c r="Q2456" s="41" t="e">
        <f t="shared" si="4840"/>
        <v>#N/A</v>
      </c>
      <c r="R2456" s="44"/>
      <c r="S2456" s="44"/>
      <c r="T2456" s="43"/>
      <c r="U2456" s="43" t="str">
        <f t="shared" si="8"/>
        <v>No</v>
      </c>
      <c r="V2456" s="25"/>
      <c r="W2456" s="25"/>
      <c r="X2456" s="25"/>
      <c r="Y2456" s="25"/>
      <c r="Z2456" s="25"/>
    </row>
    <row r="2457" spans="1:26" ht="15.75" customHeight="1" x14ac:dyDescent="0.25">
      <c r="A2457" s="25">
        <v>2455</v>
      </c>
      <c r="B2457" s="37" t="e">
        <f t="shared" ref="B2457:D2457" si="4947">VLOOKUP($A2457,[8]Movilidad!$A$1:$O$192,B$1,0)</f>
        <v>#N/A</v>
      </c>
      <c r="C2457" s="38" t="e">
        <f t="shared" si="4947"/>
        <v>#N/A</v>
      </c>
      <c r="D2457" s="39" t="e">
        <f t="shared" si="4947"/>
        <v>#N/A</v>
      </c>
      <c r="E2457" s="16" t="e">
        <f t="shared" si="1"/>
        <v>#N/A</v>
      </c>
      <c r="F2457" s="16" t="e">
        <f t="shared" ref="F2457:K2457" si="4948">VLOOKUP($A2457,[8]Movilidad!$A$1:$O$192,F$1,0)</f>
        <v>#N/A</v>
      </c>
      <c r="G2457" s="39" t="e">
        <f t="shared" si="4948"/>
        <v>#N/A</v>
      </c>
      <c r="H2457" s="16" t="e">
        <f t="shared" si="4948"/>
        <v>#N/A</v>
      </c>
      <c r="I2457" s="16" t="e">
        <f t="shared" si="4948"/>
        <v>#N/A</v>
      </c>
      <c r="J2457" s="40" t="e">
        <f t="shared" si="4948"/>
        <v>#N/A</v>
      </c>
      <c r="K2457" s="16" t="e">
        <f t="shared" si="4948"/>
        <v>#N/A</v>
      </c>
      <c r="L2457" s="40" t="e">
        <f t="shared" si="4837"/>
        <v>#N/A</v>
      </c>
      <c r="M2457" s="16" t="e">
        <f t="shared" si="4838"/>
        <v>#N/A</v>
      </c>
      <c r="N2457" s="16" t="e">
        <f t="shared" si="4839"/>
        <v>#N/A</v>
      </c>
      <c r="O2457" s="16" t="s">
        <v>72</v>
      </c>
      <c r="P2457" s="16" t="str">
        <f t="shared" si="6"/>
        <v/>
      </c>
      <c r="Q2457" s="41" t="e">
        <f t="shared" si="4840"/>
        <v>#N/A</v>
      </c>
      <c r="R2457" s="44"/>
      <c r="S2457" s="44"/>
      <c r="T2457" s="43"/>
      <c r="U2457" s="43" t="str">
        <f t="shared" si="8"/>
        <v>No</v>
      </c>
      <c r="V2457" s="25"/>
      <c r="W2457" s="25"/>
      <c r="X2457" s="25"/>
      <c r="Y2457" s="25"/>
      <c r="Z2457" s="25"/>
    </row>
    <row r="2458" spans="1:26" ht="15.75" customHeight="1" x14ac:dyDescent="0.25">
      <c r="A2458" s="25">
        <v>2456</v>
      </c>
      <c r="B2458" s="37" t="e">
        <f t="shared" ref="B2458:D2458" si="4949">VLOOKUP($A2458,[8]Movilidad!$A$1:$O$192,B$1,0)</f>
        <v>#N/A</v>
      </c>
      <c r="C2458" s="38" t="e">
        <f t="shared" si="4949"/>
        <v>#N/A</v>
      </c>
      <c r="D2458" s="39" t="e">
        <f t="shared" si="4949"/>
        <v>#N/A</v>
      </c>
      <c r="E2458" s="16" t="e">
        <f t="shared" si="1"/>
        <v>#N/A</v>
      </c>
      <c r="F2458" s="16" t="e">
        <f t="shared" ref="F2458:K2458" si="4950">VLOOKUP($A2458,[8]Movilidad!$A$1:$O$192,F$1,0)</f>
        <v>#N/A</v>
      </c>
      <c r="G2458" s="39" t="e">
        <f t="shared" si="4950"/>
        <v>#N/A</v>
      </c>
      <c r="H2458" s="16" t="e">
        <f t="shared" si="4950"/>
        <v>#N/A</v>
      </c>
      <c r="I2458" s="16" t="e">
        <f t="shared" si="4950"/>
        <v>#N/A</v>
      </c>
      <c r="J2458" s="40" t="e">
        <f t="shared" si="4950"/>
        <v>#N/A</v>
      </c>
      <c r="K2458" s="16" t="e">
        <f t="shared" si="4950"/>
        <v>#N/A</v>
      </c>
      <c r="L2458" s="40" t="e">
        <f t="shared" si="4837"/>
        <v>#N/A</v>
      </c>
      <c r="M2458" s="16" t="e">
        <f t="shared" si="4838"/>
        <v>#N/A</v>
      </c>
      <c r="N2458" s="16" t="e">
        <f t="shared" si="4839"/>
        <v>#N/A</v>
      </c>
      <c r="O2458" s="16" t="s">
        <v>72</v>
      </c>
      <c r="P2458" s="16" t="str">
        <f t="shared" si="6"/>
        <v/>
      </c>
      <c r="Q2458" s="41" t="e">
        <f t="shared" si="4840"/>
        <v>#N/A</v>
      </c>
      <c r="R2458" s="44"/>
      <c r="S2458" s="44"/>
      <c r="T2458" s="43"/>
      <c r="U2458" s="43" t="str">
        <f t="shared" si="8"/>
        <v>No</v>
      </c>
      <c r="V2458" s="25"/>
      <c r="W2458" s="25"/>
      <c r="X2458" s="25"/>
      <c r="Y2458" s="25"/>
      <c r="Z2458" s="25"/>
    </row>
    <row r="2459" spans="1:26" ht="15.75" customHeight="1" x14ac:dyDescent="0.25">
      <c r="A2459" s="25">
        <v>2457</v>
      </c>
      <c r="B2459" s="37" t="e">
        <f t="shared" ref="B2459:D2459" si="4951">VLOOKUP($A2459,[8]Movilidad!$A$1:$O$192,B$1,0)</f>
        <v>#N/A</v>
      </c>
      <c r="C2459" s="38" t="e">
        <f t="shared" si="4951"/>
        <v>#N/A</v>
      </c>
      <c r="D2459" s="39" t="e">
        <f t="shared" si="4951"/>
        <v>#N/A</v>
      </c>
      <c r="E2459" s="16" t="e">
        <f t="shared" si="1"/>
        <v>#N/A</v>
      </c>
      <c r="F2459" s="16" t="e">
        <f t="shared" ref="F2459:K2459" si="4952">VLOOKUP($A2459,[8]Movilidad!$A$1:$O$192,F$1,0)</f>
        <v>#N/A</v>
      </c>
      <c r="G2459" s="39" t="e">
        <f t="shared" si="4952"/>
        <v>#N/A</v>
      </c>
      <c r="H2459" s="16" t="e">
        <f t="shared" si="4952"/>
        <v>#N/A</v>
      </c>
      <c r="I2459" s="16" t="e">
        <f t="shared" si="4952"/>
        <v>#N/A</v>
      </c>
      <c r="J2459" s="40" t="e">
        <f t="shared" si="4952"/>
        <v>#N/A</v>
      </c>
      <c r="K2459" s="16" t="e">
        <f t="shared" si="4952"/>
        <v>#N/A</v>
      </c>
      <c r="L2459" s="40" t="e">
        <f t="shared" si="4837"/>
        <v>#N/A</v>
      </c>
      <c r="M2459" s="16" t="e">
        <f t="shared" si="4838"/>
        <v>#N/A</v>
      </c>
      <c r="N2459" s="16" t="e">
        <f t="shared" si="4839"/>
        <v>#N/A</v>
      </c>
      <c r="O2459" s="16" t="s">
        <v>72</v>
      </c>
      <c r="P2459" s="16" t="str">
        <f t="shared" si="6"/>
        <v/>
      </c>
      <c r="Q2459" s="41" t="e">
        <f t="shared" si="4840"/>
        <v>#N/A</v>
      </c>
      <c r="R2459" s="44"/>
      <c r="S2459" s="44"/>
      <c r="T2459" s="43"/>
      <c r="U2459" s="43" t="str">
        <f t="shared" si="8"/>
        <v>No</v>
      </c>
      <c r="V2459" s="25"/>
      <c r="W2459" s="25"/>
      <c r="X2459" s="25"/>
      <c r="Y2459" s="25"/>
      <c r="Z2459" s="25"/>
    </row>
    <row r="2460" spans="1:26" ht="15.75" customHeight="1" x14ac:dyDescent="0.25">
      <c r="A2460" s="25">
        <v>2458</v>
      </c>
      <c r="B2460" s="37" t="e">
        <f t="shared" ref="B2460:D2460" si="4953">VLOOKUP($A2460,[8]Movilidad!$A$1:$O$192,B$1,0)</f>
        <v>#N/A</v>
      </c>
      <c r="C2460" s="38" t="e">
        <f t="shared" si="4953"/>
        <v>#N/A</v>
      </c>
      <c r="D2460" s="39" t="e">
        <f t="shared" si="4953"/>
        <v>#N/A</v>
      </c>
      <c r="E2460" s="16" t="e">
        <f t="shared" si="1"/>
        <v>#N/A</v>
      </c>
      <c r="F2460" s="16" t="e">
        <f t="shared" ref="F2460:K2460" si="4954">VLOOKUP($A2460,[8]Movilidad!$A$1:$O$192,F$1,0)</f>
        <v>#N/A</v>
      </c>
      <c r="G2460" s="39" t="e">
        <f t="shared" si="4954"/>
        <v>#N/A</v>
      </c>
      <c r="H2460" s="16" t="e">
        <f t="shared" si="4954"/>
        <v>#N/A</v>
      </c>
      <c r="I2460" s="16" t="e">
        <f t="shared" si="4954"/>
        <v>#N/A</v>
      </c>
      <c r="J2460" s="40" t="e">
        <f t="shared" si="4954"/>
        <v>#N/A</v>
      </c>
      <c r="K2460" s="16" t="e">
        <f t="shared" si="4954"/>
        <v>#N/A</v>
      </c>
      <c r="L2460" s="40" t="e">
        <f t="shared" si="4837"/>
        <v>#N/A</v>
      </c>
      <c r="M2460" s="16" t="e">
        <f t="shared" si="4838"/>
        <v>#N/A</v>
      </c>
      <c r="N2460" s="16" t="e">
        <f t="shared" si="4839"/>
        <v>#N/A</v>
      </c>
      <c r="O2460" s="16" t="s">
        <v>72</v>
      </c>
      <c r="P2460" s="16" t="str">
        <f t="shared" si="6"/>
        <v/>
      </c>
      <c r="Q2460" s="41" t="e">
        <f t="shared" si="4840"/>
        <v>#N/A</v>
      </c>
      <c r="R2460" s="44"/>
      <c r="S2460" s="44"/>
      <c r="T2460" s="43"/>
      <c r="U2460" s="43" t="str">
        <f t="shared" si="8"/>
        <v>No</v>
      </c>
      <c r="V2460" s="25"/>
      <c r="W2460" s="25"/>
      <c r="X2460" s="25"/>
      <c r="Y2460" s="25"/>
      <c r="Z2460" s="25"/>
    </row>
    <row r="2461" spans="1:26" ht="15.75" customHeight="1" x14ac:dyDescent="0.25">
      <c r="A2461" s="25">
        <v>2459</v>
      </c>
      <c r="B2461" s="37" t="e">
        <f t="shared" ref="B2461:D2461" si="4955">VLOOKUP($A2461,[8]Movilidad!$A$1:$O$192,B$1,0)</f>
        <v>#N/A</v>
      </c>
      <c r="C2461" s="38" t="e">
        <f t="shared" si="4955"/>
        <v>#N/A</v>
      </c>
      <c r="D2461" s="39" t="e">
        <f t="shared" si="4955"/>
        <v>#N/A</v>
      </c>
      <c r="E2461" s="16" t="e">
        <f t="shared" si="1"/>
        <v>#N/A</v>
      </c>
      <c r="F2461" s="16" t="e">
        <f t="shared" ref="F2461:K2461" si="4956">VLOOKUP($A2461,[8]Movilidad!$A$1:$O$192,F$1,0)</f>
        <v>#N/A</v>
      </c>
      <c r="G2461" s="39" t="e">
        <f t="shared" si="4956"/>
        <v>#N/A</v>
      </c>
      <c r="H2461" s="16" t="e">
        <f t="shared" si="4956"/>
        <v>#N/A</v>
      </c>
      <c r="I2461" s="16" t="e">
        <f t="shared" si="4956"/>
        <v>#N/A</v>
      </c>
      <c r="J2461" s="40" t="e">
        <f t="shared" si="4956"/>
        <v>#N/A</v>
      </c>
      <c r="K2461" s="16" t="e">
        <f t="shared" si="4956"/>
        <v>#N/A</v>
      </c>
      <c r="L2461" s="40" t="e">
        <f t="shared" si="4837"/>
        <v>#N/A</v>
      </c>
      <c r="M2461" s="16" t="e">
        <f t="shared" si="4838"/>
        <v>#N/A</v>
      </c>
      <c r="N2461" s="39" t="e">
        <f t="shared" si="4839"/>
        <v>#N/A</v>
      </c>
      <c r="O2461" s="39" t="s">
        <v>72</v>
      </c>
      <c r="P2461" s="16" t="str">
        <f t="shared" si="6"/>
        <v/>
      </c>
      <c r="Q2461" s="41" t="e">
        <f t="shared" si="4840"/>
        <v>#N/A</v>
      </c>
      <c r="R2461" s="44"/>
      <c r="S2461" s="44"/>
      <c r="T2461" s="43" t="s">
        <v>91</v>
      </c>
      <c r="U2461" s="43" t="str">
        <f t="shared" si="8"/>
        <v>No</v>
      </c>
      <c r="V2461" s="25"/>
      <c r="W2461" s="25"/>
      <c r="X2461" s="25"/>
      <c r="Y2461" s="25"/>
      <c r="Z2461" s="25"/>
    </row>
    <row r="2462" spans="1:26" ht="15.75" customHeight="1" x14ac:dyDescent="0.25">
      <c r="A2462" s="25">
        <v>2460</v>
      </c>
      <c r="B2462" s="37" t="e">
        <f t="shared" ref="B2462:D2462" si="4957">VLOOKUP($A2462,[8]Movilidad!$A$1:$O$192,B$1,0)</f>
        <v>#N/A</v>
      </c>
      <c r="C2462" s="38" t="e">
        <f t="shared" si="4957"/>
        <v>#N/A</v>
      </c>
      <c r="D2462" s="39" t="e">
        <f t="shared" si="4957"/>
        <v>#N/A</v>
      </c>
      <c r="E2462" s="16" t="e">
        <f t="shared" si="1"/>
        <v>#N/A</v>
      </c>
      <c r="F2462" s="16" t="e">
        <f t="shared" ref="F2462:K2462" si="4958">VLOOKUP($A2462,[8]Movilidad!$A$1:$O$192,F$1,0)</f>
        <v>#N/A</v>
      </c>
      <c r="G2462" s="39" t="e">
        <f t="shared" si="4958"/>
        <v>#N/A</v>
      </c>
      <c r="H2462" s="16" t="e">
        <f t="shared" si="4958"/>
        <v>#N/A</v>
      </c>
      <c r="I2462" s="16" t="e">
        <f t="shared" si="4958"/>
        <v>#N/A</v>
      </c>
      <c r="J2462" s="40" t="e">
        <f t="shared" si="4958"/>
        <v>#N/A</v>
      </c>
      <c r="K2462" s="16" t="e">
        <f t="shared" si="4958"/>
        <v>#N/A</v>
      </c>
      <c r="L2462" s="40" t="e">
        <f t="shared" si="4837"/>
        <v>#N/A</v>
      </c>
      <c r="M2462" s="16" t="e">
        <f t="shared" si="4838"/>
        <v>#N/A</v>
      </c>
      <c r="N2462" s="16" t="e">
        <f t="shared" si="4839"/>
        <v>#N/A</v>
      </c>
      <c r="O2462" s="16" t="s">
        <v>72</v>
      </c>
      <c r="P2462" s="16" t="str">
        <f t="shared" si="6"/>
        <v/>
      </c>
      <c r="Q2462" s="41" t="e">
        <f t="shared" si="4840"/>
        <v>#N/A</v>
      </c>
      <c r="R2462" s="44"/>
      <c r="S2462" s="44"/>
      <c r="T2462" s="43"/>
      <c r="U2462" s="43" t="str">
        <f t="shared" si="8"/>
        <v>No</v>
      </c>
      <c r="V2462" s="25"/>
      <c r="W2462" s="25"/>
      <c r="X2462" s="25"/>
      <c r="Y2462" s="25"/>
      <c r="Z2462" s="25"/>
    </row>
    <row r="2463" spans="1:26" ht="15.75" customHeight="1" x14ac:dyDescent="0.25">
      <c r="A2463" s="25">
        <v>2461</v>
      </c>
      <c r="B2463" s="37" t="e">
        <f t="shared" ref="B2463:D2463" si="4959">VLOOKUP($A2463,[8]Movilidad!$A$1:$O$192,B$1,0)</f>
        <v>#N/A</v>
      </c>
      <c r="C2463" s="38" t="e">
        <f t="shared" si="4959"/>
        <v>#N/A</v>
      </c>
      <c r="D2463" s="39" t="e">
        <f t="shared" si="4959"/>
        <v>#N/A</v>
      </c>
      <c r="E2463" s="16" t="e">
        <f t="shared" si="1"/>
        <v>#N/A</v>
      </c>
      <c r="F2463" s="16" t="e">
        <f t="shared" ref="F2463:K2463" si="4960">VLOOKUP($A2463,[8]Movilidad!$A$1:$O$192,F$1,0)</f>
        <v>#N/A</v>
      </c>
      <c r="G2463" s="39" t="e">
        <f t="shared" si="4960"/>
        <v>#N/A</v>
      </c>
      <c r="H2463" s="16" t="e">
        <f t="shared" si="4960"/>
        <v>#N/A</v>
      </c>
      <c r="I2463" s="16" t="e">
        <f t="shared" si="4960"/>
        <v>#N/A</v>
      </c>
      <c r="J2463" s="40" t="e">
        <f t="shared" si="4960"/>
        <v>#N/A</v>
      </c>
      <c r="K2463" s="16" t="e">
        <f t="shared" si="4960"/>
        <v>#N/A</v>
      </c>
      <c r="L2463" s="40" t="e">
        <f t="shared" si="4837"/>
        <v>#N/A</v>
      </c>
      <c r="M2463" s="16" t="e">
        <f t="shared" si="4838"/>
        <v>#N/A</v>
      </c>
      <c r="N2463" s="16" t="e">
        <f t="shared" si="4839"/>
        <v>#N/A</v>
      </c>
      <c r="O2463" s="16" t="s">
        <v>72</v>
      </c>
      <c r="P2463" s="16" t="str">
        <f t="shared" si="6"/>
        <v/>
      </c>
      <c r="Q2463" s="41" t="e">
        <f t="shared" si="4840"/>
        <v>#N/A</v>
      </c>
      <c r="R2463" s="44"/>
      <c r="S2463" s="44"/>
      <c r="T2463" s="43"/>
      <c r="U2463" s="43" t="str">
        <f t="shared" si="8"/>
        <v>No</v>
      </c>
      <c r="V2463" s="25"/>
      <c r="W2463" s="25"/>
      <c r="X2463" s="25"/>
      <c r="Y2463" s="25"/>
      <c r="Z2463" s="25"/>
    </row>
    <row r="2464" spans="1:26" ht="15.75" customHeight="1" x14ac:dyDescent="0.25">
      <c r="A2464" s="25">
        <v>2462</v>
      </c>
      <c r="B2464" s="37" t="e">
        <f t="shared" ref="B2464:D2464" si="4961">VLOOKUP($A2464,[8]Movilidad!$A$1:$O$192,B$1,0)</f>
        <v>#N/A</v>
      </c>
      <c r="C2464" s="38" t="e">
        <f t="shared" si="4961"/>
        <v>#N/A</v>
      </c>
      <c r="D2464" s="39" t="e">
        <f t="shared" si="4961"/>
        <v>#N/A</v>
      </c>
      <c r="E2464" s="16" t="e">
        <f t="shared" si="1"/>
        <v>#N/A</v>
      </c>
      <c r="F2464" s="16" t="e">
        <f t="shared" ref="F2464:K2464" si="4962">VLOOKUP($A2464,[8]Movilidad!$A$1:$O$192,F$1,0)</f>
        <v>#N/A</v>
      </c>
      <c r="G2464" s="39" t="e">
        <f t="shared" si="4962"/>
        <v>#N/A</v>
      </c>
      <c r="H2464" s="16" t="e">
        <f t="shared" si="4962"/>
        <v>#N/A</v>
      </c>
      <c r="I2464" s="16" t="e">
        <f t="shared" si="4962"/>
        <v>#N/A</v>
      </c>
      <c r="J2464" s="40" t="e">
        <f t="shared" si="4962"/>
        <v>#N/A</v>
      </c>
      <c r="K2464" s="16" t="e">
        <f t="shared" si="4962"/>
        <v>#N/A</v>
      </c>
      <c r="L2464" s="40" t="e">
        <f t="shared" si="4837"/>
        <v>#N/A</v>
      </c>
      <c r="M2464" s="16" t="e">
        <f t="shared" si="4838"/>
        <v>#N/A</v>
      </c>
      <c r="N2464" s="16" t="e">
        <f t="shared" si="4839"/>
        <v>#N/A</v>
      </c>
      <c r="O2464" s="16" t="s">
        <v>72</v>
      </c>
      <c r="P2464" s="16" t="str">
        <f t="shared" si="6"/>
        <v/>
      </c>
      <c r="Q2464" s="41" t="e">
        <f t="shared" si="4840"/>
        <v>#N/A</v>
      </c>
      <c r="R2464" s="44"/>
      <c r="S2464" s="44"/>
      <c r="T2464" s="43"/>
      <c r="U2464" s="43" t="str">
        <f t="shared" si="8"/>
        <v>No</v>
      </c>
      <c r="V2464" s="25"/>
      <c r="W2464" s="25"/>
      <c r="X2464" s="25"/>
      <c r="Y2464" s="25"/>
      <c r="Z2464" s="25"/>
    </row>
    <row r="2465" spans="1:26" ht="15.75" customHeight="1" x14ac:dyDescent="0.25">
      <c r="A2465" s="25">
        <v>2463</v>
      </c>
      <c r="B2465" s="37" t="e">
        <f t="shared" ref="B2465:D2465" si="4963">VLOOKUP($A2465,[8]Movilidad!$A$1:$O$192,B$1,0)</f>
        <v>#N/A</v>
      </c>
      <c r="C2465" s="38" t="e">
        <f t="shared" si="4963"/>
        <v>#N/A</v>
      </c>
      <c r="D2465" s="39" t="e">
        <f t="shared" si="4963"/>
        <v>#N/A</v>
      </c>
      <c r="E2465" s="16" t="e">
        <f t="shared" si="1"/>
        <v>#N/A</v>
      </c>
      <c r="F2465" s="16" t="e">
        <f t="shared" ref="F2465:K2465" si="4964">VLOOKUP($A2465,[8]Movilidad!$A$1:$O$192,F$1,0)</f>
        <v>#N/A</v>
      </c>
      <c r="G2465" s="39" t="e">
        <f t="shared" si="4964"/>
        <v>#N/A</v>
      </c>
      <c r="H2465" s="16" t="e">
        <f t="shared" si="4964"/>
        <v>#N/A</v>
      </c>
      <c r="I2465" s="16" t="e">
        <f t="shared" si="4964"/>
        <v>#N/A</v>
      </c>
      <c r="J2465" s="40" t="e">
        <f t="shared" si="4964"/>
        <v>#N/A</v>
      </c>
      <c r="K2465" s="16" t="e">
        <f t="shared" si="4964"/>
        <v>#N/A</v>
      </c>
      <c r="L2465" s="40" t="e">
        <f t="shared" si="4837"/>
        <v>#N/A</v>
      </c>
      <c r="M2465" s="16" t="e">
        <f t="shared" si="4838"/>
        <v>#N/A</v>
      </c>
      <c r="N2465" s="16" t="e">
        <f t="shared" si="4839"/>
        <v>#N/A</v>
      </c>
      <c r="O2465" s="16" t="s">
        <v>72</v>
      </c>
      <c r="P2465" s="16" t="str">
        <f t="shared" si="6"/>
        <v/>
      </c>
      <c r="Q2465" s="41" t="e">
        <f t="shared" si="4840"/>
        <v>#N/A</v>
      </c>
      <c r="R2465" s="44"/>
      <c r="S2465" s="44"/>
      <c r="T2465" s="43"/>
      <c r="U2465" s="43" t="str">
        <f t="shared" si="8"/>
        <v>No</v>
      </c>
      <c r="V2465" s="25"/>
      <c r="W2465" s="25"/>
      <c r="X2465" s="25"/>
      <c r="Y2465" s="25"/>
      <c r="Z2465" s="25"/>
    </row>
    <row r="2466" spans="1:26" ht="15.75" customHeight="1" x14ac:dyDescent="0.25">
      <c r="A2466" s="25">
        <v>2464</v>
      </c>
      <c r="B2466" s="37" t="e">
        <f t="shared" ref="B2466:D2466" si="4965">VLOOKUP($A2466,[8]Movilidad!$A$1:$O$192,B$1,0)</f>
        <v>#N/A</v>
      </c>
      <c r="C2466" s="38" t="e">
        <f t="shared" si="4965"/>
        <v>#N/A</v>
      </c>
      <c r="D2466" s="39" t="e">
        <f t="shared" si="4965"/>
        <v>#N/A</v>
      </c>
      <c r="E2466" s="16" t="e">
        <f t="shared" si="1"/>
        <v>#N/A</v>
      </c>
      <c r="F2466" s="16" t="e">
        <f t="shared" ref="F2466:K2466" si="4966">VLOOKUP($A2466,[8]Movilidad!$A$1:$O$192,F$1,0)</f>
        <v>#N/A</v>
      </c>
      <c r="G2466" s="39" t="e">
        <f t="shared" si="4966"/>
        <v>#N/A</v>
      </c>
      <c r="H2466" s="16" t="e">
        <f t="shared" si="4966"/>
        <v>#N/A</v>
      </c>
      <c r="I2466" s="16" t="e">
        <f t="shared" si="4966"/>
        <v>#N/A</v>
      </c>
      <c r="J2466" s="40" t="e">
        <f t="shared" si="4966"/>
        <v>#N/A</v>
      </c>
      <c r="K2466" s="16" t="e">
        <f t="shared" si="4966"/>
        <v>#N/A</v>
      </c>
      <c r="L2466" s="40" t="e">
        <f t="shared" si="4837"/>
        <v>#N/A</v>
      </c>
      <c r="M2466" s="16" t="e">
        <f t="shared" si="4838"/>
        <v>#N/A</v>
      </c>
      <c r="N2466" s="16" t="e">
        <f t="shared" si="4839"/>
        <v>#N/A</v>
      </c>
      <c r="O2466" s="16" t="s">
        <v>72</v>
      </c>
      <c r="P2466" s="16" t="str">
        <f t="shared" si="6"/>
        <v/>
      </c>
      <c r="Q2466" s="41" t="e">
        <f t="shared" si="4840"/>
        <v>#N/A</v>
      </c>
      <c r="R2466" s="44"/>
      <c r="S2466" s="44"/>
      <c r="T2466" s="43"/>
      <c r="U2466" s="43" t="str">
        <f t="shared" si="8"/>
        <v>No</v>
      </c>
      <c r="V2466" s="25"/>
      <c r="W2466" s="25"/>
      <c r="X2466" s="25"/>
      <c r="Y2466" s="25"/>
      <c r="Z2466" s="25"/>
    </row>
    <row r="2467" spans="1:26" ht="15.75" customHeight="1" x14ac:dyDescent="0.25">
      <c r="A2467" s="25">
        <v>2465</v>
      </c>
      <c r="B2467" s="37" t="e">
        <f t="shared" ref="B2467:D2467" si="4967">VLOOKUP($A2467,[8]Movilidad!$A$1:$O$192,B$1,0)</f>
        <v>#N/A</v>
      </c>
      <c r="C2467" s="38" t="e">
        <f t="shared" si="4967"/>
        <v>#N/A</v>
      </c>
      <c r="D2467" s="39" t="e">
        <f t="shared" si="4967"/>
        <v>#N/A</v>
      </c>
      <c r="E2467" s="16" t="e">
        <f t="shared" si="1"/>
        <v>#N/A</v>
      </c>
      <c r="F2467" s="16" t="e">
        <f t="shared" ref="F2467:K2467" si="4968">VLOOKUP($A2467,[8]Movilidad!$A$1:$O$192,F$1,0)</f>
        <v>#N/A</v>
      </c>
      <c r="G2467" s="39" t="e">
        <f t="shared" si="4968"/>
        <v>#N/A</v>
      </c>
      <c r="H2467" s="16" t="e">
        <f t="shared" si="4968"/>
        <v>#N/A</v>
      </c>
      <c r="I2467" s="16" t="e">
        <f t="shared" si="4968"/>
        <v>#N/A</v>
      </c>
      <c r="J2467" s="40" t="e">
        <f t="shared" si="4968"/>
        <v>#N/A</v>
      </c>
      <c r="K2467" s="16" t="e">
        <f t="shared" si="4968"/>
        <v>#N/A</v>
      </c>
      <c r="L2467" s="40" t="e">
        <f t="shared" si="4837"/>
        <v>#N/A</v>
      </c>
      <c r="M2467" s="16" t="e">
        <f t="shared" si="4838"/>
        <v>#N/A</v>
      </c>
      <c r="N2467" s="16" t="e">
        <f t="shared" si="4839"/>
        <v>#N/A</v>
      </c>
      <c r="O2467" s="16" t="s">
        <v>72</v>
      </c>
      <c r="P2467" s="16" t="str">
        <f t="shared" si="6"/>
        <v/>
      </c>
      <c r="Q2467" s="41" t="e">
        <f t="shared" si="4840"/>
        <v>#N/A</v>
      </c>
      <c r="R2467" s="44"/>
      <c r="S2467" s="44"/>
      <c r="T2467" s="43"/>
      <c r="U2467" s="43" t="str">
        <f t="shared" si="8"/>
        <v>No</v>
      </c>
      <c r="V2467" s="25"/>
      <c r="W2467" s="25"/>
      <c r="X2467" s="25"/>
      <c r="Y2467" s="25"/>
      <c r="Z2467" s="25"/>
    </row>
    <row r="2468" spans="1:26" ht="15.75" customHeight="1" x14ac:dyDescent="0.25">
      <c r="A2468" s="25">
        <v>2466</v>
      </c>
      <c r="B2468" s="37" t="e">
        <f t="shared" ref="B2468:D2468" si="4969">VLOOKUP($A2468,[8]Movilidad!$A$1:$O$192,B$1,0)</f>
        <v>#N/A</v>
      </c>
      <c r="C2468" s="38" t="e">
        <f t="shared" si="4969"/>
        <v>#N/A</v>
      </c>
      <c r="D2468" s="39" t="e">
        <f t="shared" si="4969"/>
        <v>#N/A</v>
      </c>
      <c r="E2468" s="16" t="e">
        <f t="shared" si="1"/>
        <v>#N/A</v>
      </c>
      <c r="F2468" s="16" t="e">
        <f t="shared" ref="F2468:K2468" si="4970">VLOOKUP($A2468,[8]Movilidad!$A$1:$O$192,F$1,0)</f>
        <v>#N/A</v>
      </c>
      <c r="G2468" s="39" t="e">
        <f t="shared" si="4970"/>
        <v>#N/A</v>
      </c>
      <c r="H2468" s="16" t="e">
        <f t="shared" si="4970"/>
        <v>#N/A</v>
      </c>
      <c r="I2468" s="16" t="e">
        <f t="shared" si="4970"/>
        <v>#N/A</v>
      </c>
      <c r="J2468" s="40" t="e">
        <f t="shared" si="4970"/>
        <v>#N/A</v>
      </c>
      <c r="K2468" s="16" t="e">
        <f t="shared" si="4970"/>
        <v>#N/A</v>
      </c>
      <c r="L2468" s="40" t="e">
        <f t="shared" si="4837"/>
        <v>#N/A</v>
      </c>
      <c r="M2468" s="16" t="e">
        <f t="shared" si="4838"/>
        <v>#N/A</v>
      </c>
      <c r="N2468" s="16" t="e">
        <f t="shared" si="4839"/>
        <v>#N/A</v>
      </c>
      <c r="O2468" s="16" t="s">
        <v>72</v>
      </c>
      <c r="P2468" s="16" t="str">
        <f t="shared" si="6"/>
        <v/>
      </c>
      <c r="Q2468" s="41" t="e">
        <f t="shared" si="4840"/>
        <v>#N/A</v>
      </c>
      <c r="R2468" s="44"/>
      <c r="S2468" s="44"/>
      <c r="T2468" s="43"/>
      <c r="U2468" s="43" t="str">
        <f t="shared" si="8"/>
        <v>No</v>
      </c>
      <c r="V2468" s="25"/>
      <c r="W2468" s="25"/>
      <c r="X2468" s="25"/>
      <c r="Y2468" s="25"/>
      <c r="Z2468" s="25"/>
    </row>
    <row r="2469" spans="1:26" ht="15.75" customHeight="1" x14ac:dyDescent="0.25">
      <c r="A2469" s="25">
        <v>2467</v>
      </c>
      <c r="B2469" s="37" t="e">
        <f t="shared" ref="B2469:D2469" si="4971">VLOOKUP($A2469,[8]Movilidad!$A$1:$O$192,B$1,0)</f>
        <v>#N/A</v>
      </c>
      <c r="C2469" s="38" t="e">
        <f t="shared" si="4971"/>
        <v>#N/A</v>
      </c>
      <c r="D2469" s="39" t="e">
        <f t="shared" si="4971"/>
        <v>#N/A</v>
      </c>
      <c r="E2469" s="16" t="e">
        <f t="shared" si="1"/>
        <v>#N/A</v>
      </c>
      <c r="F2469" s="16" t="e">
        <f t="shared" ref="F2469:K2469" si="4972">VLOOKUP($A2469,[8]Movilidad!$A$1:$O$192,F$1,0)</f>
        <v>#N/A</v>
      </c>
      <c r="G2469" s="39" t="e">
        <f t="shared" si="4972"/>
        <v>#N/A</v>
      </c>
      <c r="H2469" s="16" t="e">
        <f t="shared" si="4972"/>
        <v>#N/A</v>
      </c>
      <c r="I2469" s="16" t="e">
        <f t="shared" si="4972"/>
        <v>#N/A</v>
      </c>
      <c r="J2469" s="40" t="e">
        <f t="shared" si="4972"/>
        <v>#N/A</v>
      </c>
      <c r="K2469" s="16" t="e">
        <f t="shared" si="4972"/>
        <v>#N/A</v>
      </c>
      <c r="L2469" s="40" t="e">
        <f t="shared" si="4837"/>
        <v>#N/A</v>
      </c>
      <c r="M2469" s="16" t="e">
        <f t="shared" si="4838"/>
        <v>#N/A</v>
      </c>
      <c r="N2469" s="16" t="e">
        <f t="shared" si="4839"/>
        <v>#N/A</v>
      </c>
      <c r="O2469" s="16" t="s">
        <v>72</v>
      </c>
      <c r="P2469" s="16" t="str">
        <f t="shared" si="6"/>
        <v/>
      </c>
      <c r="Q2469" s="41" t="e">
        <f t="shared" si="4840"/>
        <v>#N/A</v>
      </c>
      <c r="R2469" s="44"/>
      <c r="S2469" s="44"/>
      <c r="T2469" s="43"/>
      <c r="U2469" s="43" t="str">
        <f t="shared" si="8"/>
        <v>No</v>
      </c>
      <c r="V2469" s="25"/>
      <c r="W2469" s="25"/>
      <c r="X2469" s="25"/>
      <c r="Y2469" s="25"/>
      <c r="Z2469" s="25"/>
    </row>
    <row r="2470" spans="1:26" ht="15.75" customHeight="1" x14ac:dyDescent="0.25">
      <c r="A2470" s="25">
        <v>2468</v>
      </c>
      <c r="B2470" s="37" t="e">
        <f t="shared" ref="B2470:D2470" si="4973">VLOOKUP($A2470,[8]Movilidad!$A$1:$O$192,B$1,0)</f>
        <v>#N/A</v>
      </c>
      <c r="C2470" s="38" t="e">
        <f t="shared" si="4973"/>
        <v>#N/A</v>
      </c>
      <c r="D2470" s="39" t="e">
        <f t="shared" si="4973"/>
        <v>#N/A</v>
      </c>
      <c r="E2470" s="16" t="e">
        <f t="shared" si="1"/>
        <v>#N/A</v>
      </c>
      <c r="F2470" s="16" t="e">
        <f t="shared" ref="F2470:K2470" si="4974">VLOOKUP($A2470,[8]Movilidad!$A$1:$O$192,F$1,0)</f>
        <v>#N/A</v>
      </c>
      <c r="G2470" s="39" t="e">
        <f t="shared" si="4974"/>
        <v>#N/A</v>
      </c>
      <c r="H2470" s="16" t="e">
        <f t="shared" si="4974"/>
        <v>#N/A</v>
      </c>
      <c r="I2470" s="16" t="e">
        <f t="shared" si="4974"/>
        <v>#N/A</v>
      </c>
      <c r="J2470" s="40" t="e">
        <f t="shared" si="4974"/>
        <v>#N/A</v>
      </c>
      <c r="K2470" s="16" t="e">
        <f t="shared" si="4974"/>
        <v>#N/A</v>
      </c>
      <c r="L2470" s="40" t="e">
        <f t="shared" si="4837"/>
        <v>#N/A</v>
      </c>
      <c r="M2470" s="16" t="e">
        <f t="shared" si="4838"/>
        <v>#N/A</v>
      </c>
      <c r="N2470" s="16" t="e">
        <f t="shared" si="4839"/>
        <v>#N/A</v>
      </c>
      <c r="O2470" s="16" t="s">
        <v>72</v>
      </c>
      <c r="P2470" s="16" t="str">
        <f t="shared" si="6"/>
        <v/>
      </c>
      <c r="Q2470" s="41" t="e">
        <f t="shared" si="4840"/>
        <v>#N/A</v>
      </c>
      <c r="R2470" s="44"/>
      <c r="S2470" s="44"/>
      <c r="T2470" s="43"/>
      <c r="U2470" s="43" t="str">
        <f t="shared" si="8"/>
        <v>No</v>
      </c>
      <c r="V2470" s="25"/>
      <c r="W2470" s="25"/>
      <c r="X2470" s="25"/>
      <c r="Y2470" s="25"/>
      <c r="Z2470" s="25"/>
    </row>
    <row r="2471" spans="1:26" ht="15.75" customHeight="1" x14ac:dyDescent="0.25">
      <c r="A2471" s="25">
        <v>2469</v>
      </c>
      <c r="B2471" s="37" t="e">
        <f t="shared" ref="B2471:D2471" si="4975">VLOOKUP($A2471,[8]Movilidad!$A$1:$O$192,B$1,0)</f>
        <v>#N/A</v>
      </c>
      <c r="C2471" s="38" t="e">
        <f t="shared" si="4975"/>
        <v>#N/A</v>
      </c>
      <c r="D2471" s="39" t="e">
        <f t="shared" si="4975"/>
        <v>#N/A</v>
      </c>
      <c r="E2471" s="16" t="e">
        <f t="shared" si="1"/>
        <v>#N/A</v>
      </c>
      <c r="F2471" s="16" t="e">
        <f t="shared" ref="F2471:K2471" si="4976">VLOOKUP($A2471,[8]Movilidad!$A$1:$O$192,F$1,0)</f>
        <v>#N/A</v>
      </c>
      <c r="G2471" s="39" t="e">
        <f t="shared" si="4976"/>
        <v>#N/A</v>
      </c>
      <c r="H2471" s="16" t="e">
        <f t="shared" si="4976"/>
        <v>#N/A</v>
      </c>
      <c r="I2471" s="16" t="e">
        <f t="shared" si="4976"/>
        <v>#N/A</v>
      </c>
      <c r="J2471" s="40" t="e">
        <f t="shared" si="4976"/>
        <v>#N/A</v>
      </c>
      <c r="K2471" s="16" t="e">
        <f t="shared" si="4976"/>
        <v>#N/A</v>
      </c>
      <c r="L2471" s="40" t="e">
        <f t="shared" si="4837"/>
        <v>#N/A</v>
      </c>
      <c r="M2471" s="16" t="e">
        <f t="shared" si="4838"/>
        <v>#N/A</v>
      </c>
      <c r="N2471" s="16" t="e">
        <f t="shared" si="4839"/>
        <v>#N/A</v>
      </c>
      <c r="O2471" s="16" t="s">
        <v>72</v>
      </c>
      <c r="P2471" s="16" t="str">
        <f t="shared" si="6"/>
        <v/>
      </c>
      <c r="Q2471" s="41" t="e">
        <f t="shared" si="4840"/>
        <v>#N/A</v>
      </c>
      <c r="R2471" s="44"/>
      <c r="S2471" s="44"/>
      <c r="T2471" s="43"/>
      <c r="U2471" s="43" t="str">
        <f t="shared" si="8"/>
        <v>No</v>
      </c>
      <c r="V2471" s="25"/>
      <c r="W2471" s="25"/>
      <c r="X2471" s="25"/>
      <c r="Y2471" s="25"/>
      <c r="Z2471" s="25"/>
    </row>
    <row r="2472" spans="1:26" ht="15.75" customHeight="1" x14ac:dyDescent="0.25">
      <c r="A2472" s="25">
        <v>2470</v>
      </c>
      <c r="B2472" s="37" t="e">
        <f t="shared" ref="B2472:D2472" si="4977">VLOOKUP($A2472,[8]Movilidad!$A$1:$O$192,B$1,0)</f>
        <v>#N/A</v>
      </c>
      <c r="C2472" s="38" t="e">
        <f t="shared" si="4977"/>
        <v>#N/A</v>
      </c>
      <c r="D2472" s="39" t="e">
        <f t="shared" si="4977"/>
        <v>#N/A</v>
      </c>
      <c r="E2472" s="16" t="e">
        <f t="shared" si="1"/>
        <v>#N/A</v>
      </c>
      <c r="F2472" s="16" t="e">
        <f t="shared" ref="F2472:K2472" si="4978">VLOOKUP($A2472,[8]Movilidad!$A$1:$O$192,F$1,0)</f>
        <v>#N/A</v>
      </c>
      <c r="G2472" s="39" t="e">
        <f t="shared" si="4978"/>
        <v>#N/A</v>
      </c>
      <c r="H2472" s="16" t="e">
        <f t="shared" si="4978"/>
        <v>#N/A</v>
      </c>
      <c r="I2472" s="16" t="e">
        <f t="shared" si="4978"/>
        <v>#N/A</v>
      </c>
      <c r="J2472" s="40" t="e">
        <f t="shared" si="4978"/>
        <v>#N/A</v>
      </c>
      <c r="K2472" s="16" t="e">
        <f t="shared" si="4978"/>
        <v>#N/A</v>
      </c>
      <c r="L2472" s="40" t="e">
        <f t="shared" si="4837"/>
        <v>#N/A</v>
      </c>
      <c r="M2472" s="16" t="e">
        <f t="shared" si="4838"/>
        <v>#N/A</v>
      </c>
      <c r="N2472" s="16" t="e">
        <f t="shared" si="4839"/>
        <v>#N/A</v>
      </c>
      <c r="O2472" s="16" t="s">
        <v>72</v>
      </c>
      <c r="P2472" s="16" t="str">
        <f t="shared" si="6"/>
        <v/>
      </c>
      <c r="Q2472" s="41" t="e">
        <f t="shared" si="4840"/>
        <v>#N/A</v>
      </c>
      <c r="R2472" s="44"/>
      <c r="S2472" s="44"/>
      <c r="T2472" s="43"/>
      <c r="U2472" s="43" t="str">
        <f t="shared" si="8"/>
        <v>No</v>
      </c>
      <c r="V2472" s="25"/>
      <c r="W2472" s="25"/>
      <c r="X2472" s="25"/>
      <c r="Y2472" s="25"/>
      <c r="Z2472" s="25"/>
    </row>
    <row r="2473" spans="1:26" ht="15.75" customHeight="1" x14ac:dyDescent="0.25">
      <c r="A2473" s="25">
        <v>2471</v>
      </c>
      <c r="B2473" s="37" t="e">
        <f t="shared" ref="B2473:D2473" si="4979">VLOOKUP($A2473,[8]Movilidad!$A$1:$O$192,B$1,0)</f>
        <v>#N/A</v>
      </c>
      <c r="C2473" s="38" t="e">
        <f t="shared" si="4979"/>
        <v>#N/A</v>
      </c>
      <c r="D2473" s="39" t="e">
        <f t="shared" si="4979"/>
        <v>#N/A</v>
      </c>
      <c r="E2473" s="16" t="e">
        <f t="shared" si="1"/>
        <v>#N/A</v>
      </c>
      <c r="F2473" s="16" t="e">
        <f t="shared" ref="F2473:K2473" si="4980">VLOOKUP($A2473,[8]Movilidad!$A$1:$O$192,F$1,0)</f>
        <v>#N/A</v>
      </c>
      <c r="G2473" s="39" t="e">
        <f t="shared" si="4980"/>
        <v>#N/A</v>
      </c>
      <c r="H2473" s="16" t="e">
        <f t="shared" si="4980"/>
        <v>#N/A</v>
      </c>
      <c r="I2473" s="16" t="e">
        <f t="shared" si="4980"/>
        <v>#N/A</v>
      </c>
      <c r="J2473" s="40" t="e">
        <f t="shared" si="4980"/>
        <v>#N/A</v>
      </c>
      <c r="K2473" s="16" t="e">
        <f t="shared" si="4980"/>
        <v>#N/A</v>
      </c>
      <c r="L2473" s="40" t="e">
        <f t="shared" si="4837"/>
        <v>#N/A</v>
      </c>
      <c r="M2473" s="16" t="e">
        <f t="shared" si="4838"/>
        <v>#N/A</v>
      </c>
      <c r="N2473" s="16" t="e">
        <f t="shared" si="4839"/>
        <v>#N/A</v>
      </c>
      <c r="O2473" s="16" t="s">
        <v>72</v>
      </c>
      <c r="P2473" s="16" t="str">
        <f t="shared" si="6"/>
        <v/>
      </c>
      <c r="Q2473" s="41" t="e">
        <f t="shared" si="4840"/>
        <v>#N/A</v>
      </c>
      <c r="R2473" s="44"/>
      <c r="S2473" s="44"/>
      <c r="T2473" s="43"/>
      <c r="U2473" s="43" t="str">
        <f t="shared" si="8"/>
        <v>No</v>
      </c>
      <c r="V2473" s="25"/>
      <c r="W2473" s="25"/>
      <c r="X2473" s="25"/>
      <c r="Y2473" s="25"/>
      <c r="Z2473" s="25"/>
    </row>
    <row r="2474" spans="1:26" ht="15.75" customHeight="1" x14ac:dyDescent="0.25">
      <c r="A2474" s="25">
        <v>2472</v>
      </c>
      <c r="B2474" s="37" t="e">
        <f t="shared" ref="B2474:D2474" si="4981">VLOOKUP($A2474,[8]Movilidad!$A$1:$O$192,B$1,0)</f>
        <v>#N/A</v>
      </c>
      <c r="C2474" s="38" t="e">
        <f t="shared" si="4981"/>
        <v>#N/A</v>
      </c>
      <c r="D2474" s="39" t="e">
        <f t="shared" si="4981"/>
        <v>#N/A</v>
      </c>
      <c r="E2474" s="16" t="e">
        <f t="shared" si="1"/>
        <v>#N/A</v>
      </c>
      <c r="F2474" s="16" t="e">
        <f t="shared" ref="F2474:K2474" si="4982">VLOOKUP($A2474,[8]Movilidad!$A$1:$O$192,F$1,0)</f>
        <v>#N/A</v>
      </c>
      <c r="G2474" s="39" t="e">
        <f t="shared" si="4982"/>
        <v>#N/A</v>
      </c>
      <c r="H2474" s="16" t="e">
        <f t="shared" si="4982"/>
        <v>#N/A</v>
      </c>
      <c r="I2474" s="16" t="e">
        <f t="shared" si="4982"/>
        <v>#N/A</v>
      </c>
      <c r="J2474" s="40" t="e">
        <f t="shared" si="4982"/>
        <v>#N/A</v>
      </c>
      <c r="K2474" s="16" t="e">
        <f t="shared" si="4982"/>
        <v>#N/A</v>
      </c>
      <c r="L2474" s="40" t="e">
        <f t="shared" si="4837"/>
        <v>#N/A</v>
      </c>
      <c r="M2474" s="16" t="e">
        <f t="shared" si="4838"/>
        <v>#N/A</v>
      </c>
      <c r="N2474" s="16" t="e">
        <f t="shared" si="4839"/>
        <v>#N/A</v>
      </c>
      <c r="O2474" s="16" t="s">
        <v>72</v>
      </c>
      <c r="P2474" s="16" t="str">
        <f t="shared" si="6"/>
        <v/>
      </c>
      <c r="Q2474" s="41" t="e">
        <f t="shared" si="4840"/>
        <v>#N/A</v>
      </c>
      <c r="R2474" s="44"/>
      <c r="S2474" s="44"/>
      <c r="T2474" s="43"/>
      <c r="U2474" s="43" t="str">
        <f t="shared" si="8"/>
        <v>No</v>
      </c>
      <c r="V2474" s="25"/>
      <c r="W2474" s="25"/>
      <c r="X2474" s="25"/>
      <c r="Y2474" s="25"/>
      <c r="Z2474" s="25"/>
    </row>
    <row r="2475" spans="1:26" ht="15.75" customHeight="1" x14ac:dyDescent="0.25">
      <c r="A2475" s="25">
        <v>2473</v>
      </c>
      <c r="B2475" s="37" t="e">
        <f t="shared" ref="B2475:D2475" si="4983">VLOOKUP($A2475,[8]Movilidad!$A$1:$O$192,B$1,0)</f>
        <v>#N/A</v>
      </c>
      <c r="C2475" s="38" t="e">
        <f t="shared" si="4983"/>
        <v>#N/A</v>
      </c>
      <c r="D2475" s="39" t="e">
        <f t="shared" si="4983"/>
        <v>#N/A</v>
      </c>
      <c r="E2475" s="16" t="e">
        <f t="shared" si="1"/>
        <v>#N/A</v>
      </c>
      <c r="F2475" s="16" t="e">
        <f t="shared" ref="F2475:K2475" si="4984">VLOOKUP($A2475,[8]Movilidad!$A$1:$O$192,F$1,0)</f>
        <v>#N/A</v>
      </c>
      <c r="G2475" s="39" t="e">
        <f t="shared" si="4984"/>
        <v>#N/A</v>
      </c>
      <c r="H2475" s="16" t="e">
        <f t="shared" si="4984"/>
        <v>#N/A</v>
      </c>
      <c r="I2475" s="16" t="e">
        <f t="shared" si="4984"/>
        <v>#N/A</v>
      </c>
      <c r="J2475" s="40" t="e">
        <f t="shared" si="4984"/>
        <v>#N/A</v>
      </c>
      <c r="K2475" s="16" t="e">
        <f t="shared" si="4984"/>
        <v>#N/A</v>
      </c>
      <c r="L2475" s="40" t="e">
        <f t="shared" si="4837"/>
        <v>#N/A</v>
      </c>
      <c r="M2475" s="16" t="e">
        <f t="shared" si="4838"/>
        <v>#N/A</v>
      </c>
      <c r="N2475" s="16" t="e">
        <f t="shared" si="4839"/>
        <v>#N/A</v>
      </c>
      <c r="O2475" s="16" t="s">
        <v>72</v>
      </c>
      <c r="P2475" s="16" t="str">
        <f t="shared" si="6"/>
        <v/>
      </c>
      <c r="Q2475" s="41" t="e">
        <f t="shared" si="4840"/>
        <v>#N/A</v>
      </c>
      <c r="R2475" s="44"/>
      <c r="S2475" s="44"/>
      <c r="T2475" s="43"/>
      <c r="U2475" s="43" t="str">
        <f t="shared" si="8"/>
        <v>No</v>
      </c>
      <c r="V2475" s="25"/>
      <c r="W2475" s="25"/>
      <c r="X2475" s="25"/>
      <c r="Y2475" s="25"/>
      <c r="Z2475" s="25"/>
    </row>
    <row r="2476" spans="1:26" ht="15.75" customHeight="1" x14ac:dyDescent="0.25">
      <c r="A2476" s="25">
        <v>2474</v>
      </c>
      <c r="B2476" s="37" t="e">
        <f t="shared" ref="B2476:D2476" si="4985">VLOOKUP($A2476,[8]Movilidad!$A$1:$O$192,B$1,0)</f>
        <v>#N/A</v>
      </c>
      <c r="C2476" s="38" t="e">
        <f t="shared" si="4985"/>
        <v>#N/A</v>
      </c>
      <c r="D2476" s="39" t="e">
        <f t="shared" si="4985"/>
        <v>#N/A</v>
      </c>
      <c r="E2476" s="16" t="e">
        <f t="shared" si="1"/>
        <v>#N/A</v>
      </c>
      <c r="F2476" s="16" t="e">
        <f t="shared" ref="F2476:K2476" si="4986">VLOOKUP($A2476,[8]Movilidad!$A$1:$O$192,F$1,0)</f>
        <v>#N/A</v>
      </c>
      <c r="G2476" s="39" t="e">
        <f t="shared" si="4986"/>
        <v>#N/A</v>
      </c>
      <c r="H2476" s="16" t="e">
        <f t="shared" si="4986"/>
        <v>#N/A</v>
      </c>
      <c r="I2476" s="16" t="e">
        <f t="shared" si="4986"/>
        <v>#N/A</v>
      </c>
      <c r="J2476" s="40" t="e">
        <f t="shared" si="4986"/>
        <v>#N/A</v>
      </c>
      <c r="K2476" s="16" t="e">
        <f t="shared" si="4986"/>
        <v>#N/A</v>
      </c>
      <c r="L2476" s="40" t="e">
        <f t="shared" si="4837"/>
        <v>#N/A</v>
      </c>
      <c r="M2476" s="16" t="e">
        <f t="shared" si="4838"/>
        <v>#N/A</v>
      </c>
      <c r="N2476" s="16" t="e">
        <f t="shared" si="4839"/>
        <v>#N/A</v>
      </c>
      <c r="O2476" s="16" t="s">
        <v>72</v>
      </c>
      <c r="P2476" s="16" t="str">
        <f t="shared" si="6"/>
        <v/>
      </c>
      <c r="Q2476" s="41" t="e">
        <f t="shared" si="4840"/>
        <v>#N/A</v>
      </c>
      <c r="R2476" s="44"/>
      <c r="S2476" s="44"/>
      <c r="T2476" s="43"/>
      <c r="U2476" s="43" t="str">
        <f t="shared" si="8"/>
        <v>No</v>
      </c>
      <c r="V2476" s="25"/>
      <c r="W2476" s="25"/>
      <c r="X2476" s="25"/>
      <c r="Y2476" s="25"/>
      <c r="Z2476" s="25"/>
    </row>
    <row r="2477" spans="1:26" ht="15.75" customHeight="1" x14ac:dyDescent="0.25">
      <c r="A2477" s="25">
        <v>2475</v>
      </c>
      <c r="B2477" s="37" t="e">
        <f t="shared" ref="B2477:D2477" si="4987">VLOOKUP($A2477,[8]Movilidad!$A$1:$O$192,B$1,0)</f>
        <v>#N/A</v>
      </c>
      <c r="C2477" s="38" t="e">
        <f t="shared" si="4987"/>
        <v>#N/A</v>
      </c>
      <c r="D2477" s="39" t="e">
        <f t="shared" si="4987"/>
        <v>#N/A</v>
      </c>
      <c r="E2477" s="16" t="e">
        <f t="shared" si="1"/>
        <v>#N/A</v>
      </c>
      <c r="F2477" s="16" t="e">
        <f t="shared" ref="F2477:K2477" si="4988">VLOOKUP($A2477,[8]Movilidad!$A$1:$O$192,F$1,0)</f>
        <v>#N/A</v>
      </c>
      <c r="G2477" s="39" t="e">
        <f t="shared" si="4988"/>
        <v>#N/A</v>
      </c>
      <c r="H2477" s="16" t="e">
        <f t="shared" si="4988"/>
        <v>#N/A</v>
      </c>
      <c r="I2477" s="16" t="e">
        <f t="shared" si="4988"/>
        <v>#N/A</v>
      </c>
      <c r="J2477" s="40" t="e">
        <f t="shared" si="4988"/>
        <v>#N/A</v>
      </c>
      <c r="K2477" s="16" t="e">
        <f t="shared" si="4988"/>
        <v>#N/A</v>
      </c>
      <c r="L2477" s="40" t="e">
        <f t="shared" si="4837"/>
        <v>#N/A</v>
      </c>
      <c r="M2477" s="16" t="e">
        <f t="shared" si="4838"/>
        <v>#N/A</v>
      </c>
      <c r="N2477" s="16" t="e">
        <f t="shared" si="4839"/>
        <v>#N/A</v>
      </c>
      <c r="O2477" s="16" t="s">
        <v>72</v>
      </c>
      <c r="P2477" s="16" t="str">
        <f t="shared" si="6"/>
        <v/>
      </c>
      <c r="Q2477" s="41" t="e">
        <f t="shared" si="4840"/>
        <v>#N/A</v>
      </c>
      <c r="R2477" s="44"/>
      <c r="S2477" s="44"/>
      <c r="T2477" s="43"/>
      <c r="U2477" s="43" t="str">
        <f t="shared" si="8"/>
        <v>No</v>
      </c>
      <c r="V2477" s="25"/>
      <c r="W2477" s="25"/>
      <c r="X2477" s="25"/>
      <c r="Y2477" s="25"/>
      <c r="Z2477" s="25"/>
    </row>
    <row r="2478" spans="1:26" ht="15.75" customHeight="1" x14ac:dyDescent="0.25">
      <c r="A2478" s="25">
        <v>2476</v>
      </c>
      <c r="B2478" s="37" t="e">
        <f t="shared" ref="B2478:D2478" si="4989">VLOOKUP($A2478,[8]Movilidad!$A$1:$O$192,B$1,0)</f>
        <v>#N/A</v>
      </c>
      <c r="C2478" s="38" t="e">
        <f t="shared" si="4989"/>
        <v>#N/A</v>
      </c>
      <c r="D2478" s="39" t="e">
        <f t="shared" si="4989"/>
        <v>#N/A</v>
      </c>
      <c r="E2478" s="16" t="e">
        <f t="shared" si="1"/>
        <v>#N/A</v>
      </c>
      <c r="F2478" s="16" t="e">
        <f t="shared" ref="F2478:K2478" si="4990">VLOOKUP($A2478,[8]Movilidad!$A$1:$O$192,F$1,0)</f>
        <v>#N/A</v>
      </c>
      <c r="G2478" s="39" t="e">
        <f t="shared" si="4990"/>
        <v>#N/A</v>
      </c>
      <c r="H2478" s="16" t="e">
        <f t="shared" si="4990"/>
        <v>#N/A</v>
      </c>
      <c r="I2478" s="16" t="e">
        <f t="shared" si="4990"/>
        <v>#N/A</v>
      </c>
      <c r="J2478" s="40" t="e">
        <f t="shared" si="4990"/>
        <v>#N/A</v>
      </c>
      <c r="K2478" s="16" t="e">
        <f t="shared" si="4990"/>
        <v>#N/A</v>
      </c>
      <c r="L2478" s="40" t="e">
        <f t="shared" si="4837"/>
        <v>#N/A</v>
      </c>
      <c r="M2478" s="16" t="e">
        <f t="shared" si="4838"/>
        <v>#N/A</v>
      </c>
      <c r="N2478" s="16" t="e">
        <f t="shared" si="4839"/>
        <v>#N/A</v>
      </c>
      <c r="O2478" s="16" t="s">
        <v>72</v>
      </c>
      <c r="P2478" s="16" t="str">
        <f t="shared" si="6"/>
        <v/>
      </c>
      <c r="Q2478" s="41" t="e">
        <f t="shared" si="4840"/>
        <v>#N/A</v>
      </c>
      <c r="R2478" s="44"/>
      <c r="S2478" s="44"/>
      <c r="T2478" s="43"/>
      <c r="U2478" s="43" t="str">
        <f t="shared" si="8"/>
        <v>No</v>
      </c>
      <c r="V2478" s="25"/>
      <c r="W2478" s="25"/>
      <c r="X2478" s="25"/>
      <c r="Y2478" s="25"/>
      <c r="Z2478" s="25"/>
    </row>
    <row r="2479" spans="1:26" ht="15.75" customHeight="1" x14ac:dyDescent="0.25">
      <c r="A2479" s="25">
        <v>2477</v>
      </c>
      <c r="B2479" s="37" t="e">
        <f t="shared" ref="B2479:D2479" si="4991">VLOOKUP($A2479,[8]Movilidad!$A$1:$O$192,B$1,0)</f>
        <v>#N/A</v>
      </c>
      <c r="C2479" s="38" t="e">
        <f t="shared" si="4991"/>
        <v>#N/A</v>
      </c>
      <c r="D2479" s="39" t="e">
        <f t="shared" si="4991"/>
        <v>#N/A</v>
      </c>
      <c r="E2479" s="16" t="e">
        <f t="shared" si="1"/>
        <v>#N/A</v>
      </c>
      <c r="F2479" s="16" t="e">
        <f t="shared" ref="F2479:K2479" si="4992">VLOOKUP($A2479,[8]Movilidad!$A$1:$O$192,F$1,0)</f>
        <v>#N/A</v>
      </c>
      <c r="G2479" s="39" t="e">
        <f t="shared" si="4992"/>
        <v>#N/A</v>
      </c>
      <c r="H2479" s="16" t="e">
        <f t="shared" si="4992"/>
        <v>#N/A</v>
      </c>
      <c r="I2479" s="16" t="e">
        <f t="shared" si="4992"/>
        <v>#N/A</v>
      </c>
      <c r="J2479" s="40" t="e">
        <f t="shared" si="4992"/>
        <v>#N/A</v>
      </c>
      <c r="K2479" s="16" t="e">
        <f t="shared" si="4992"/>
        <v>#N/A</v>
      </c>
      <c r="L2479" s="40" t="e">
        <f t="shared" si="4837"/>
        <v>#N/A</v>
      </c>
      <c r="M2479" s="16" t="e">
        <f t="shared" si="4838"/>
        <v>#N/A</v>
      </c>
      <c r="N2479" s="16" t="e">
        <f t="shared" si="4839"/>
        <v>#N/A</v>
      </c>
      <c r="O2479" s="16" t="s">
        <v>72</v>
      </c>
      <c r="P2479" s="16" t="str">
        <f t="shared" si="6"/>
        <v/>
      </c>
      <c r="Q2479" s="41" t="e">
        <f t="shared" si="4840"/>
        <v>#N/A</v>
      </c>
      <c r="R2479" s="44"/>
      <c r="S2479" s="44"/>
      <c r="T2479" s="43"/>
      <c r="U2479" s="43" t="str">
        <f t="shared" si="8"/>
        <v>No</v>
      </c>
      <c r="V2479" s="25"/>
      <c r="W2479" s="25"/>
      <c r="X2479" s="25"/>
      <c r="Y2479" s="25"/>
      <c r="Z2479" s="25"/>
    </row>
    <row r="2480" spans="1:26" ht="15.75" customHeight="1" x14ac:dyDescent="0.25">
      <c r="A2480" s="25">
        <v>2478</v>
      </c>
      <c r="B2480" s="37" t="e">
        <f t="shared" ref="B2480:D2480" si="4993">VLOOKUP($A2480,[8]Movilidad!$A$1:$O$192,B$1,0)</f>
        <v>#N/A</v>
      </c>
      <c r="C2480" s="38" t="e">
        <f t="shared" si="4993"/>
        <v>#N/A</v>
      </c>
      <c r="D2480" s="39" t="e">
        <f t="shared" si="4993"/>
        <v>#N/A</v>
      </c>
      <c r="E2480" s="16" t="e">
        <f t="shared" si="1"/>
        <v>#N/A</v>
      </c>
      <c r="F2480" s="16" t="e">
        <f t="shared" ref="F2480:K2480" si="4994">VLOOKUP($A2480,[8]Movilidad!$A$1:$O$192,F$1,0)</f>
        <v>#N/A</v>
      </c>
      <c r="G2480" s="39" t="e">
        <f t="shared" si="4994"/>
        <v>#N/A</v>
      </c>
      <c r="H2480" s="16" t="e">
        <f t="shared" si="4994"/>
        <v>#N/A</v>
      </c>
      <c r="I2480" s="16" t="e">
        <f t="shared" si="4994"/>
        <v>#N/A</v>
      </c>
      <c r="J2480" s="40" t="e">
        <f t="shared" si="4994"/>
        <v>#N/A</v>
      </c>
      <c r="K2480" s="16" t="e">
        <f t="shared" si="4994"/>
        <v>#N/A</v>
      </c>
      <c r="L2480" s="40" t="e">
        <f t="shared" si="4837"/>
        <v>#N/A</v>
      </c>
      <c r="M2480" s="16" t="e">
        <f t="shared" si="4838"/>
        <v>#N/A</v>
      </c>
      <c r="N2480" s="16" t="e">
        <f t="shared" si="4839"/>
        <v>#N/A</v>
      </c>
      <c r="O2480" s="16" t="s">
        <v>72</v>
      </c>
      <c r="P2480" s="16" t="str">
        <f t="shared" si="6"/>
        <v/>
      </c>
      <c r="Q2480" s="41" t="e">
        <f t="shared" si="4840"/>
        <v>#N/A</v>
      </c>
      <c r="R2480" s="44"/>
      <c r="S2480" s="44"/>
      <c r="T2480" s="43"/>
      <c r="U2480" s="43" t="str">
        <f t="shared" si="8"/>
        <v>No</v>
      </c>
      <c r="V2480" s="25"/>
      <c r="W2480" s="25"/>
      <c r="X2480" s="25"/>
      <c r="Y2480" s="25"/>
      <c r="Z2480" s="25"/>
    </row>
    <row r="2481" spans="1:26" ht="15.75" customHeight="1" x14ac:dyDescent="0.25">
      <c r="A2481" s="25">
        <v>2479</v>
      </c>
      <c r="B2481" s="37" t="e">
        <f t="shared" ref="B2481:D2481" si="4995">VLOOKUP($A2481,[8]Movilidad!$A$1:$O$192,B$1,0)</f>
        <v>#N/A</v>
      </c>
      <c r="C2481" s="38" t="e">
        <f t="shared" si="4995"/>
        <v>#N/A</v>
      </c>
      <c r="D2481" s="39" t="e">
        <f t="shared" si="4995"/>
        <v>#N/A</v>
      </c>
      <c r="E2481" s="16" t="e">
        <f t="shared" si="1"/>
        <v>#N/A</v>
      </c>
      <c r="F2481" s="16" t="e">
        <f t="shared" ref="F2481:K2481" si="4996">VLOOKUP($A2481,[8]Movilidad!$A$1:$O$192,F$1,0)</f>
        <v>#N/A</v>
      </c>
      <c r="G2481" s="39" t="e">
        <f t="shared" si="4996"/>
        <v>#N/A</v>
      </c>
      <c r="H2481" s="16" t="e">
        <f t="shared" si="4996"/>
        <v>#N/A</v>
      </c>
      <c r="I2481" s="16" t="e">
        <f t="shared" si="4996"/>
        <v>#N/A</v>
      </c>
      <c r="J2481" s="40" t="e">
        <f t="shared" si="4996"/>
        <v>#N/A</v>
      </c>
      <c r="K2481" s="16" t="e">
        <f t="shared" si="4996"/>
        <v>#N/A</v>
      </c>
      <c r="L2481" s="40" t="e">
        <f t="shared" si="4837"/>
        <v>#N/A</v>
      </c>
      <c r="M2481" s="16" t="e">
        <f t="shared" si="4838"/>
        <v>#N/A</v>
      </c>
      <c r="N2481" s="16" t="e">
        <f t="shared" si="4839"/>
        <v>#N/A</v>
      </c>
      <c r="O2481" s="16" t="s">
        <v>72</v>
      </c>
      <c r="P2481" s="16" t="str">
        <f t="shared" si="6"/>
        <v/>
      </c>
      <c r="Q2481" s="41" t="e">
        <f t="shared" si="4840"/>
        <v>#N/A</v>
      </c>
      <c r="R2481" s="44"/>
      <c r="S2481" s="44"/>
      <c r="T2481" s="43"/>
      <c r="U2481" s="43" t="str">
        <f t="shared" si="8"/>
        <v>No</v>
      </c>
      <c r="V2481" s="25"/>
      <c r="W2481" s="25"/>
      <c r="X2481" s="25"/>
      <c r="Y2481" s="25"/>
      <c r="Z2481" s="25"/>
    </row>
    <row r="2482" spans="1:26" ht="15.75" customHeight="1" x14ac:dyDescent="0.25">
      <c r="A2482" s="25">
        <v>2480</v>
      </c>
      <c r="B2482" s="37" t="e">
        <f t="shared" ref="B2482:D2482" si="4997">VLOOKUP($A2482,[8]Movilidad!$A$1:$O$192,B$1,0)</f>
        <v>#N/A</v>
      </c>
      <c r="C2482" s="38" t="e">
        <f t="shared" si="4997"/>
        <v>#N/A</v>
      </c>
      <c r="D2482" s="39" t="e">
        <f t="shared" si="4997"/>
        <v>#N/A</v>
      </c>
      <c r="E2482" s="16" t="e">
        <f t="shared" si="1"/>
        <v>#N/A</v>
      </c>
      <c r="F2482" s="16" t="e">
        <f t="shared" ref="F2482:K2482" si="4998">VLOOKUP($A2482,[8]Movilidad!$A$1:$O$192,F$1,0)</f>
        <v>#N/A</v>
      </c>
      <c r="G2482" s="39" t="e">
        <f t="shared" si="4998"/>
        <v>#N/A</v>
      </c>
      <c r="H2482" s="16" t="e">
        <f t="shared" si="4998"/>
        <v>#N/A</v>
      </c>
      <c r="I2482" s="16" t="e">
        <f t="shared" si="4998"/>
        <v>#N/A</v>
      </c>
      <c r="J2482" s="40" t="e">
        <f t="shared" si="4998"/>
        <v>#N/A</v>
      </c>
      <c r="K2482" s="16" t="e">
        <f t="shared" si="4998"/>
        <v>#N/A</v>
      </c>
      <c r="L2482" s="40" t="e">
        <f t="shared" si="4837"/>
        <v>#N/A</v>
      </c>
      <c r="M2482" s="16" t="e">
        <f t="shared" si="4838"/>
        <v>#N/A</v>
      </c>
      <c r="N2482" s="16" t="e">
        <f t="shared" si="4839"/>
        <v>#N/A</v>
      </c>
      <c r="O2482" s="16" t="s">
        <v>72</v>
      </c>
      <c r="P2482" s="16" t="str">
        <f t="shared" si="6"/>
        <v/>
      </c>
      <c r="Q2482" s="41" t="e">
        <f t="shared" si="4840"/>
        <v>#N/A</v>
      </c>
      <c r="R2482" s="44"/>
      <c r="S2482" s="44"/>
      <c r="T2482" s="43"/>
      <c r="U2482" s="43" t="str">
        <f t="shared" si="8"/>
        <v>No</v>
      </c>
      <c r="V2482" s="25"/>
      <c r="W2482" s="25"/>
      <c r="X2482" s="25"/>
      <c r="Y2482" s="25"/>
      <c r="Z2482" s="25"/>
    </row>
    <row r="2483" spans="1:26" ht="15.75" customHeight="1" x14ac:dyDescent="0.25">
      <c r="A2483" s="25">
        <v>2481</v>
      </c>
      <c r="B2483" s="37" t="e">
        <f t="shared" ref="B2483:D2483" si="4999">VLOOKUP($A2483,[8]Movilidad!$A$1:$O$192,B$1,0)</f>
        <v>#N/A</v>
      </c>
      <c r="C2483" s="38" t="e">
        <f t="shared" si="4999"/>
        <v>#N/A</v>
      </c>
      <c r="D2483" s="39" t="e">
        <f t="shared" si="4999"/>
        <v>#N/A</v>
      </c>
      <c r="E2483" s="16" t="e">
        <f t="shared" si="1"/>
        <v>#N/A</v>
      </c>
      <c r="F2483" s="16" t="e">
        <f t="shared" ref="F2483:K2483" si="5000">VLOOKUP($A2483,[8]Movilidad!$A$1:$O$192,F$1,0)</f>
        <v>#N/A</v>
      </c>
      <c r="G2483" s="39" t="e">
        <f t="shared" si="5000"/>
        <v>#N/A</v>
      </c>
      <c r="H2483" s="16" t="e">
        <f t="shared" si="5000"/>
        <v>#N/A</v>
      </c>
      <c r="I2483" s="16" t="e">
        <f t="shared" si="5000"/>
        <v>#N/A</v>
      </c>
      <c r="J2483" s="40" t="e">
        <f t="shared" si="5000"/>
        <v>#N/A</v>
      </c>
      <c r="K2483" s="16" t="e">
        <f t="shared" si="5000"/>
        <v>#N/A</v>
      </c>
      <c r="L2483" s="40" t="e">
        <f t="shared" si="4837"/>
        <v>#N/A</v>
      </c>
      <c r="M2483" s="16" t="e">
        <f t="shared" si="4838"/>
        <v>#N/A</v>
      </c>
      <c r="N2483" s="16" t="e">
        <f t="shared" si="4839"/>
        <v>#N/A</v>
      </c>
      <c r="O2483" s="16" t="s">
        <v>72</v>
      </c>
      <c r="P2483" s="16" t="str">
        <f t="shared" si="6"/>
        <v/>
      </c>
      <c r="Q2483" s="41" t="e">
        <f t="shared" si="4840"/>
        <v>#N/A</v>
      </c>
      <c r="R2483" s="44"/>
      <c r="S2483" s="44"/>
      <c r="T2483" s="43"/>
      <c r="U2483" s="43" t="str">
        <f t="shared" si="8"/>
        <v>No</v>
      </c>
      <c r="V2483" s="25"/>
      <c r="W2483" s="25"/>
      <c r="X2483" s="25"/>
      <c r="Y2483" s="25"/>
      <c r="Z2483" s="25"/>
    </row>
    <row r="2484" spans="1:26" ht="15.75" customHeight="1" x14ac:dyDescent="0.25">
      <c r="A2484" s="25">
        <v>2482</v>
      </c>
      <c r="B2484" s="37" t="e">
        <f t="shared" ref="B2484:D2484" si="5001">VLOOKUP($A2484,[8]Movilidad!$A$1:$O$192,B$1,0)</f>
        <v>#N/A</v>
      </c>
      <c r="C2484" s="38" t="e">
        <f t="shared" si="5001"/>
        <v>#N/A</v>
      </c>
      <c r="D2484" s="39" t="e">
        <f t="shared" si="5001"/>
        <v>#N/A</v>
      </c>
      <c r="E2484" s="16" t="e">
        <f t="shared" si="1"/>
        <v>#N/A</v>
      </c>
      <c r="F2484" s="16" t="e">
        <f t="shared" ref="F2484:K2484" si="5002">VLOOKUP($A2484,[8]Movilidad!$A$1:$O$192,F$1,0)</f>
        <v>#N/A</v>
      </c>
      <c r="G2484" s="39" t="e">
        <f t="shared" si="5002"/>
        <v>#N/A</v>
      </c>
      <c r="H2484" s="16" t="e">
        <f t="shared" si="5002"/>
        <v>#N/A</v>
      </c>
      <c r="I2484" s="16" t="e">
        <f t="shared" si="5002"/>
        <v>#N/A</v>
      </c>
      <c r="J2484" s="40" t="e">
        <f t="shared" si="5002"/>
        <v>#N/A</v>
      </c>
      <c r="K2484" s="16" t="e">
        <f t="shared" si="5002"/>
        <v>#N/A</v>
      </c>
      <c r="L2484" s="40" t="e">
        <f t="shared" si="4837"/>
        <v>#N/A</v>
      </c>
      <c r="M2484" s="16" t="e">
        <f t="shared" si="4838"/>
        <v>#N/A</v>
      </c>
      <c r="N2484" s="16" t="e">
        <f t="shared" si="4839"/>
        <v>#N/A</v>
      </c>
      <c r="O2484" s="16" t="s">
        <v>72</v>
      </c>
      <c r="P2484" s="16" t="str">
        <f t="shared" si="6"/>
        <v/>
      </c>
      <c r="Q2484" s="41" t="e">
        <f t="shared" si="4840"/>
        <v>#N/A</v>
      </c>
      <c r="R2484" s="44"/>
      <c r="S2484" s="44"/>
      <c r="T2484" s="43"/>
      <c r="U2484" s="43" t="str">
        <f t="shared" si="8"/>
        <v>No</v>
      </c>
      <c r="V2484" s="25"/>
      <c r="W2484" s="25"/>
      <c r="X2484" s="25"/>
      <c r="Y2484" s="25"/>
      <c r="Z2484" s="25"/>
    </row>
    <row r="2485" spans="1:26" ht="15.75" customHeight="1" x14ac:dyDescent="0.25">
      <c r="A2485" s="25">
        <v>2483</v>
      </c>
      <c r="B2485" s="37" t="e">
        <f t="shared" ref="B2485:D2485" si="5003">VLOOKUP($A2485,[8]Movilidad!$A$1:$O$192,B$1,0)</f>
        <v>#N/A</v>
      </c>
      <c r="C2485" s="38" t="e">
        <f t="shared" si="5003"/>
        <v>#N/A</v>
      </c>
      <c r="D2485" s="39" t="e">
        <f t="shared" si="5003"/>
        <v>#N/A</v>
      </c>
      <c r="E2485" s="16" t="e">
        <f t="shared" si="1"/>
        <v>#N/A</v>
      </c>
      <c r="F2485" s="16" t="e">
        <f t="shared" ref="F2485:K2485" si="5004">VLOOKUP($A2485,[8]Movilidad!$A$1:$O$192,F$1,0)</f>
        <v>#N/A</v>
      </c>
      <c r="G2485" s="39" t="e">
        <f t="shared" si="5004"/>
        <v>#N/A</v>
      </c>
      <c r="H2485" s="16" t="e">
        <f t="shared" si="5004"/>
        <v>#N/A</v>
      </c>
      <c r="I2485" s="16" t="e">
        <f t="shared" si="5004"/>
        <v>#N/A</v>
      </c>
      <c r="J2485" s="40" t="e">
        <f t="shared" si="5004"/>
        <v>#N/A</v>
      </c>
      <c r="K2485" s="16" t="e">
        <f t="shared" si="5004"/>
        <v>#N/A</v>
      </c>
      <c r="L2485" s="40" t="e">
        <f t="shared" si="4837"/>
        <v>#N/A</v>
      </c>
      <c r="M2485" s="16" t="e">
        <f t="shared" si="4838"/>
        <v>#N/A</v>
      </c>
      <c r="N2485" s="16" t="e">
        <f t="shared" si="4839"/>
        <v>#N/A</v>
      </c>
      <c r="O2485" s="16" t="s">
        <v>72</v>
      </c>
      <c r="P2485" s="16" t="str">
        <f t="shared" si="6"/>
        <v/>
      </c>
      <c r="Q2485" s="41" t="e">
        <f t="shared" si="4840"/>
        <v>#N/A</v>
      </c>
      <c r="R2485" s="44"/>
      <c r="S2485" s="44"/>
      <c r="T2485" s="43"/>
      <c r="U2485" s="43" t="str">
        <f t="shared" si="8"/>
        <v>No</v>
      </c>
      <c r="V2485" s="25"/>
      <c r="W2485" s="25"/>
      <c r="X2485" s="25"/>
      <c r="Y2485" s="25"/>
      <c r="Z2485" s="25"/>
    </row>
    <row r="2486" spans="1:26" ht="15.75" customHeight="1" x14ac:dyDescent="0.25">
      <c r="A2486" s="25">
        <v>2484</v>
      </c>
      <c r="B2486" s="37" t="e">
        <f t="shared" ref="B2486:D2486" si="5005">VLOOKUP($A2486,[8]Movilidad!$A$1:$O$192,B$1,0)</f>
        <v>#N/A</v>
      </c>
      <c r="C2486" s="38" t="e">
        <f t="shared" si="5005"/>
        <v>#N/A</v>
      </c>
      <c r="D2486" s="39" t="e">
        <f t="shared" si="5005"/>
        <v>#N/A</v>
      </c>
      <c r="E2486" s="16" t="e">
        <f t="shared" si="1"/>
        <v>#N/A</v>
      </c>
      <c r="F2486" s="16" t="e">
        <f t="shared" ref="F2486:K2486" si="5006">VLOOKUP($A2486,[8]Movilidad!$A$1:$O$192,F$1,0)</f>
        <v>#N/A</v>
      </c>
      <c r="G2486" s="39" t="e">
        <f t="shared" si="5006"/>
        <v>#N/A</v>
      </c>
      <c r="H2486" s="16" t="e">
        <f t="shared" si="5006"/>
        <v>#N/A</v>
      </c>
      <c r="I2486" s="16" t="e">
        <f t="shared" si="5006"/>
        <v>#N/A</v>
      </c>
      <c r="J2486" s="40" t="e">
        <f t="shared" si="5006"/>
        <v>#N/A</v>
      </c>
      <c r="K2486" s="16" t="e">
        <f t="shared" si="5006"/>
        <v>#N/A</v>
      </c>
      <c r="L2486" s="40" t="e">
        <f t="shared" si="4837"/>
        <v>#N/A</v>
      </c>
      <c r="M2486" s="16" t="e">
        <f t="shared" si="4838"/>
        <v>#N/A</v>
      </c>
      <c r="N2486" s="16" t="e">
        <f t="shared" si="4839"/>
        <v>#N/A</v>
      </c>
      <c r="O2486" s="16" t="s">
        <v>72</v>
      </c>
      <c r="P2486" s="16" t="str">
        <f t="shared" si="6"/>
        <v/>
      </c>
      <c r="Q2486" s="41" t="e">
        <f t="shared" si="4840"/>
        <v>#N/A</v>
      </c>
      <c r="R2486" s="44"/>
      <c r="S2486" s="44"/>
      <c r="T2486" s="43"/>
      <c r="U2486" s="43" t="str">
        <f t="shared" si="8"/>
        <v>No</v>
      </c>
      <c r="V2486" s="25"/>
      <c r="W2486" s="25"/>
      <c r="X2486" s="25"/>
      <c r="Y2486" s="25"/>
      <c r="Z2486" s="25"/>
    </row>
    <row r="2487" spans="1:26" ht="15.75" customHeight="1" x14ac:dyDescent="0.25">
      <c r="A2487" s="25">
        <v>2485</v>
      </c>
      <c r="B2487" s="37" t="e">
        <f t="shared" ref="B2487:D2487" si="5007">VLOOKUP($A2487,[8]Movilidad!$A$1:$O$192,B$1,0)</f>
        <v>#N/A</v>
      </c>
      <c r="C2487" s="38" t="e">
        <f t="shared" si="5007"/>
        <v>#N/A</v>
      </c>
      <c r="D2487" s="39" t="e">
        <f t="shared" si="5007"/>
        <v>#N/A</v>
      </c>
      <c r="E2487" s="16" t="e">
        <f t="shared" si="1"/>
        <v>#N/A</v>
      </c>
      <c r="F2487" s="16" t="e">
        <f t="shared" ref="F2487:K2487" si="5008">VLOOKUP($A2487,[8]Movilidad!$A$1:$O$192,F$1,0)</f>
        <v>#N/A</v>
      </c>
      <c r="G2487" s="39" t="e">
        <f t="shared" si="5008"/>
        <v>#N/A</v>
      </c>
      <c r="H2487" s="16" t="e">
        <f t="shared" si="5008"/>
        <v>#N/A</v>
      </c>
      <c r="I2487" s="16" t="e">
        <f t="shared" si="5008"/>
        <v>#N/A</v>
      </c>
      <c r="J2487" s="40" t="e">
        <f t="shared" si="5008"/>
        <v>#N/A</v>
      </c>
      <c r="K2487" s="16" t="e">
        <f t="shared" si="5008"/>
        <v>#N/A</v>
      </c>
      <c r="L2487" s="40" t="e">
        <f t="shared" si="4837"/>
        <v>#N/A</v>
      </c>
      <c r="M2487" s="16" t="e">
        <f t="shared" si="4838"/>
        <v>#N/A</v>
      </c>
      <c r="N2487" s="16" t="e">
        <f t="shared" si="4839"/>
        <v>#N/A</v>
      </c>
      <c r="O2487" s="16" t="s">
        <v>72</v>
      </c>
      <c r="P2487" s="16" t="str">
        <f t="shared" si="6"/>
        <v/>
      </c>
      <c r="Q2487" s="41" t="e">
        <f t="shared" si="4840"/>
        <v>#N/A</v>
      </c>
      <c r="R2487" s="44"/>
      <c r="S2487" s="44"/>
      <c r="T2487" s="43"/>
      <c r="U2487" s="43" t="str">
        <f t="shared" si="8"/>
        <v>No</v>
      </c>
      <c r="V2487" s="25"/>
      <c r="W2487" s="25"/>
      <c r="X2487" s="25"/>
      <c r="Y2487" s="25"/>
      <c r="Z2487" s="25"/>
    </row>
    <row r="2488" spans="1:26" ht="15.75" customHeight="1" x14ac:dyDescent="0.25">
      <c r="A2488" s="25">
        <v>2486</v>
      </c>
      <c r="B2488" s="37" t="e">
        <f t="shared" ref="B2488:D2488" si="5009">VLOOKUP($A2488,[8]Movilidad!$A$1:$O$192,B$1,0)</f>
        <v>#N/A</v>
      </c>
      <c r="C2488" s="38" t="e">
        <f t="shared" si="5009"/>
        <v>#N/A</v>
      </c>
      <c r="D2488" s="39" t="e">
        <f t="shared" si="5009"/>
        <v>#N/A</v>
      </c>
      <c r="E2488" s="16" t="e">
        <f t="shared" si="1"/>
        <v>#N/A</v>
      </c>
      <c r="F2488" s="16" t="e">
        <f t="shared" ref="F2488:K2488" si="5010">VLOOKUP($A2488,[8]Movilidad!$A$1:$O$192,F$1,0)</f>
        <v>#N/A</v>
      </c>
      <c r="G2488" s="39" t="e">
        <f t="shared" si="5010"/>
        <v>#N/A</v>
      </c>
      <c r="H2488" s="16" t="e">
        <f t="shared" si="5010"/>
        <v>#N/A</v>
      </c>
      <c r="I2488" s="16" t="e">
        <f t="shared" si="5010"/>
        <v>#N/A</v>
      </c>
      <c r="J2488" s="40" t="e">
        <f t="shared" si="5010"/>
        <v>#N/A</v>
      </c>
      <c r="K2488" s="16" t="e">
        <f t="shared" si="5010"/>
        <v>#N/A</v>
      </c>
      <c r="L2488" s="40" t="e">
        <f t="shared" si="4837"/>
        <v>#N/A</v>
      </c>
      <c r="M2488" s="16" t="e">
        <f t="shared" si="4838"/>
        <v>#N/A</v>
      </c>
      <c r="N2488" s="16" t="e">
        <f t="shared" si="4839"/>
        <v>#N/A</v>
      </c>
      <c r="O2488" s="16" t="s">
        <v>72</v>
      </c>
      <c r="P2488" s="16" t="str">
        <f t="shared" si="6"/>
        <v/>
      </c>
      <c r="Q2488" s="41" t="e">
        <f t="shared" si="4840"/>
        <v>#N/A</v>
      </c>
      <c r="R2488" s="44"/>
      <c r="S2488" s="44"/>
      <c r="T2488" s="43"/>
      <c r="U2488" s="43" t="str">
        <f t="shared" si="8"/>
        <v>No</v>
      </c>
      <c r="V2488" s="25"/>
      <c r="W2488" s="25"/>
      <c r="X2488" s="25"/>
      <c r="Y2488" s="25"/>
      <c r="Z2488" s="25"/>
    </row>
    <row r="2489" spans="1:26" ht="15.75" customHeight="1" x14ac:dyDescent="0.25">
      <c r="A2489" s="25">
        <v>2487</v>
      </c>
      <c r="B2489" s="37" t="e">
        <f t="shared" ref="B2489:D2489" si="5011">VLOOKUP($A2489,[8]Movilidad!$A$1:$O$192,B$1,0)</f>
        <v>#N/A</v>
      </c>
      <c r="C2489" s="38" t="e">
        <f t="shared" si="5011"/>
        <v>#N/A</v>
      </c>
      <c r="D2489" s="39" t="e">
        <f t="shared" si="5011"/>
        <v>#N/A</v>
      </c>
      <c r="E2489" s="16" t="e">
        <f t="shared" si="1"/>
        <v>#N/A</v>
      </c>
      <c r="F2489" s="16" t="e">
        <f t="shared" ref="F2489:K2489" si="5012">VLOOKUP($A2489,[8]Movilidad!$A$1:$O$192,F$1,0)</f>
        <v>#N/A</v>
      </c>
      <c r="G2489" s="39" t="e">
        <f t="shared" si="5012"/>
        <v>#N/A</v>
      </c>
      <c r="H2489" s="16" t="e">
        <f t="shared" si="5012"/>
        <v>#N/A</v>
      </c>
      <c r="I2489" s="16" t="e">
        <f t="shared" si="5012"/>
        <v>#N/A</v>
      </c>
      <c r="J2489" s="40" t="e">
        <f t="shared" si="5012"/>
        <v>#N/A</v>
      </c>
      <c r="K2489" s="16" t="e">
        <f t="shared" si="5012"/>
        <v>#N/A</v>
      </c>
      <c r="L2489" s="40" t="e">
        <f t="shared" si="4837"/>
        <v>#N/A</v>
      </c>
      <c r="M2489" s="16" t="e">
        <f t="shared" si="4838"/>
        <v>#N/A</v>
      </c>
      <c r="N2489" s="16" t="e">
        <f t="shared" si="4839"/>
        <v>#N/A</v>
      </c>
      <c r="O2489" s="16" t="s">
        <v>72</v>
      </c>
      <c r="P2489" s="16" t="str">
        <f t="shared" si="6"/>
        <v/>
      </c>
      <c r="Q2489" s="41" t="e">
        <f t="shared" si="4840"/>
        <v>#N/A</v>
      </c>
      <c r="R2489" s="44"/>
      <c r="S2489" s="44"/>
      <c r="T2489" s="43"/>
      <c r="U2489" s="43" t="str">
        <f t="shared" si="8"/>
        <v>No</v>
      </c>
      <c r="V2489" s="25"/>
      <c r="W2489" s="25"/>
      <c r="X2489" s="25"/>
      <c r="Y2489" s="25"/>
      <c r="Z2489" s="25"/>
    </row>
    <row r="2490" spans="1:26" ht="15.75" customHeight="1" x14ac:dyDescent="0.25">
      <c r="A2490" s="25">
        <v>2488</v>
      </c>
      <c r="B2490" s="37" t="e">
        <f t="shared" ref="B2490:D2490" si="5013">VLOOKUP($A2490,[8]Movilidad!$A$1:$O$192,B$1,0)</f>
        <v>#N/A</v>
      </c>
      <c r="C2490" s="38" t="e">
        <f t="shared" si="5013"/>
        <v>#N/A</v>
      </c>
      <c r="D2490" s="39" t="e">
        <f t="shared" si="5013"/>
        <v>#N/A</v>
      </c>
      <c r="E2490" s="16" t="e">
        <f t="shared" si="1"/>
        <v>#N/A</v>
      </c>
      <c r="F2490" s="16" t="e">
        <f t="shared" ref="F2490:K2490" si="5014">VLOOKUP($A2490,[8]Movilidad!$A$1:$O$192,F$1,0)</f>
        <v>#N/A</v>
      </c>
      <c r="G2490" s="39" t="e">
        <f t="shared" si="5014"/>
        <v>#N/A</v>
      </c>
      <c r="H2490" s="16" t="e">
        <f t="shared" si="5014"/>
        <v>#N/A</v>
      </c>
      <c r="I2490" s="16" t="e">
        <f t="shared" si="5014"/>
        <v>#N/A</v>
      </c>
      <c r="J2490" s="40" t="e">
        <f t="shared" si="5014"/>
        <v>#N/A</v>
      </c>
      <c r="K2490" s="16" t="e">
        <f t="shared" si="5014"/>
        <v>#N/A</v>
      </c>
      <c r="L2490" s="40" t="e">
        <f t="shared" si="4837"/>
        <v>#N/A</v>
      </c>
      <c r="M2490" s="16" t="e">
        <f t="shared" si="4838"/>
        <v>#N/A</v>
      </c>
      <c r="N2490" s="16" t="e">
        <f t="shared" si="4839"/>
        <v>#N/A</v>
      </c>
      <c r="O2490" s="16" t="s">
        <v>72</v>
      </c>
      <c r="P2490" s="16" t="str">
        <f t="shared" si="6"/>
        <v/>
      </c>
      <c r="Q2490" s="41" t="e">
        <f t="shared" si="4840"/>
        <v>#N/A</v>
      </c>
      <c r="R2490" s="44"/>
      <c r="S2490" s="44"/>
      <c r="T2490" s="43"/>
      <c r="U2490" s="43" t="str">
        <f t="shared" si="8"/>
        <v>No</v>
      </c>
      <c r="V2490" s="25"/>
      <c r="W2490" s="25"/>
      <c r="X2490" s="25"/>
      <c r="Y2490" s="25"/>
      <c r="Z2490" s="25"/>
    </row>
    <row r="2491" spans="1:26" ht="15.75" customHeight="1" x14ac:dyDescent="0.25">
      <c r="A2491" s="25">
        <v>2489</v>
      </c>
      <c r="B2491" s="37" t="e">
        <f t="shared" ref="B2491:D2491" si="5015">VLOOKUP($A2491,[8]Movilidad!$A$1:$O$192,B$1,0)</f>
        <v>#N/A</v>
      </c>
      <c r="C2491" s="38" t="e">
        <f t="shared" si="5015"/>
        <v>#N/A</v>
      </c>
      <c r="D2491" s="39" t="e">
        <f t="shared" si="5015"/>
        <v>#N/A</v>
      </c>
      <c r="E2491" s="16" t="e">
        <f t="shared" si="1"/>
        <v>#N/A</v>
      </c>
      <c r="F2491" s="16" t="e">
        <f t="shared" ref="F2491:K2491" si="5016">VLOOKUP($A2491,[8]Movilidad!$A$1:$O$192,F$1,0)</f>
        <v>#N/A</v>
      </c>
      <c r="G2491" s="39" t="e">
        <f t="shared" si="5016"/>
        <v>#N/A</v>
      </c>
      <c r="H2491" s="16" t="e">
        <f t="shared" si="5016"/>
        <v>#N/A</v>
      </c>
      <c r="I2491" s="16" t="e">
        <f t="shared" si="5016"/>
        <v>#N/A</v>
      </c>
      <c r="J2491" s="40" t="e">
        <f t="shared" si="5016"/>
        <v>#N/A</v>
      </c>
      <c r="K2491" s="16" t="e">
        <f t="shared" si="5016"/>
        <v>#N/A</v>
      </c>
      <c r="L2491" s="40" t="e">
        <f t="shared" si="4837"/>
        <v>#N/A</v>
      </c>
      <c r="M2491" s="16" t="e">
        <f t="shared" si="4838"/>
        <v>#N/A</v>
      </c>
      <c r="N2491" s="16" t="e">
        <f t="shared" si="4839"/>
        <v>#N/A</v>
      </c>
      <c r="O2491" s="16" t="s">
        <v>72</v>
      </c>
      <c r="P2491" s="16" t="str">
        <f t="shared" si="6"/>
        <v/>
      </c>
      <c r="Q2491" s="41" t="e">
        <f t="shared" si="4840"/>
        <v>#N/A</v>
      </c>
      <c r="R2491" s="44"/>
      <c r="S2491" s="44"/>
      <c r="T2491" s="43"/>
      <c r="U2491" s="43" t="str">
        <f t="shared" si="8"/>
        <v>No</v>
      </c>
      <c r="V2491" s="25"/>
      <c r="W2491" s="25"/>
      <c r="X2491" s="25"/>
      <c r="Y2491" s="25"/>
      <c r="Z2491" s="25"/>
    </row>
    <row r="2492" spans="1:26" ht="15.75" customHeight="1" x14ac:dyDescent="0.25">
      <c r="A2492" s="25">
        <v>2490</v>
      </c>
      <c r="B2492" s="37" t="e">
        <f t="shared" ref="B2492:D2492" si="5017">VLOOKUP($A2492,[8]Movilidad!$A$1:$O$192,B$1,0)</f>
        <v>#N/A</v>
      </c>
      <c r="C2492" s="38" t="e">
        <f t="shared" si="5017"/>
        <v>#N/A</v>
      </c>
      <c r="D2492" s="39" t="e">
        <f t="shared" si="5017"/>
        <v>#N/A</v>
      </c>
      <c r="E2492" s="16" t="e">
        <f t="shared" si="1"/>
        <v>#N/A</v>
      </c>
      <c r="F2492" s="16" t="e">
        <f t="shared" ref="F2492:K2492" si="5018">VLOOKUP($A2492,[8]Movilidad!$A$1:$O$192,F$1,0)</f>
        <v>#N/A</v>
      </c>
      <c r="G2492" s="39" t="e">
        <f t="shared" si="5018"/>
        <v>#N/A</v>
      </c>
      <c r="H2492" s="16" t="e">
        <f t="shared" si="5018"/>
        <v>#N/A</v>
      </c>
      <c r="I2492" s="16" t="e">
        <f t="shared" si="5018"/>
        <v>#N/A</v>
      </c>
      <c r="J2492" s="40" t="e">
        <f t="shared" si="5018"/>
        <v>#N/A</v>
      </c>
      <c r="K2492" s="16" t="e">
        <f t="shared" si="5018"/>
        <v>#N/A</v>
      </c>
      <c r="L2492" s="40" t="e">
        <f t="shared" si="4837"/>
        <v>#N/A</v>
      </c>
      <c r="M2492" s="16" t="e">
        <f t="shared" si="4838"/>
        <v>#N/A</v>
      </c>
      <c r="N2492" s="16" t="e">
        <f t="shared" si="4839"/>
        <v>#N/A</v>
      </c>
      <c r="O2492" s="16" t="s">
        <v>72</v>
      </c>
      <c r="P2492" s="16" t="str">
        <f t="shared" si="6"/>
        <v/>
      </c>
      <c r="Q2492" s="41" t="e">
        <f t="shared" si="4840"/>
        <v>#N/A</v>
      </c>
      <c r="R2492" s="44"/>
      <c r="S2492" s="44"/>
      <c r="T2492" s="43"/>
      <c r="U2492" s="43" t="str">
        <f t="shared" si="8"/>
        <v>No</v>
      </c>
      <c r="V2492" s="25"/>
      <c r="W2492" s="25"/>
      <c r="X2492" s="25"/>
      <c r="Y2492" s="25"/>
      <c r="Z2492" s="25"/>
    </row>
    <row r="2493" spans="1:26" ht="15.75" customHeight="1" x14ac:dyDescent="0.25">
      <c r="A2493" s="25">
        <v>2491</v>
      </c>
      <c r="B2493" s="37" t="e">
        <f t="shared" ref="B2493:D2493" si="5019">VLOOKUP($A2493,[8]Movilidad!$A$1:$O$192,B$1,0)</f>
        <v>#N/A</v>
      </c>
      <c r="C2493" s="38" t="e">
        <f t="shared" si="5019"/>
        <v>#N/A</v>
      </c>
      <c r="D2493" s="39" t="e">
        <f t="shared" si="5019"/>
        <v>#N/A</v>
      </c>
      <c r="E2493" s="16" t="e">
        <f t="shared" si="1"/>
        <v>#N/A</v>
      </c>
      <c r="F2493" s="16" t="e">
        <f t="shared" ref="F2493:K2493" si="5020">VLOOKUP($A2493,[8]Movilidad!$A$1:$O$192,F$1,0)</f>
        <v>#N/A</v>
      </c>
      <c r="G2493" s="39" t="e">
        <f t="shared" si="5020"/>
        <v>#N/A</v>
      </c>
      <c r="H2493" s="16" t="e">
        <f t="shared" si="5020"/>
        <v>#N/A</v>
      </c>
      <c r="I2493" s="16" t="e">
        <f t="shared" si="5020"/>
        <v>#N/A</v>
      </c>
      <c r="J2493" s="40" t="e">
        <f t="shared" si="5020"/>
        <v>#N/A</v>
      </c>
      <c r="K2493" s="16" t="e">
        <f t="shared" si="5020"/>
        <v>#N/A</v>
      </c>
      <c r="L2493" s="40" t="e">
        <f t="shared" si="4837"/>
        <v>#N/A</v>
      </c>
      <c r="M2493" s="16" t="e">
        <f t="shared" si="4838"/>
        <v>#N/A</v>
      </c>
      <c r="N2493" s="16" t="e">
        <f t="shared" si="4839"/>
        <v>#N/A</v>
      </c>
      <c r="O2493" s="16" t="s">
        <v>72</v>
      </c>
      <c r="P2493" s="16" t="str">
        <f t="shared" si="6"/>
        <v/>
      </c>
      <c r="Q2493" s="41" t="e">
        <f t="shared" si="4840"/>
        <v>#N/A</v>
      </c>
      <c r="R2493" s="44"/>
      <c r="S2493" s="44"/>
      <c r="T2493" s="43"/>
      <c r="U2493" s="43" t="str">
        <f t="shared" si="8"/>
        <v>No</v>
      </c>
      <c r="V2493" s="25"/>
      <c r="W2493" s="25"/>
      <c r="X2493" s="25"/>
      <c r="Y2493" s="25"/>
      <c r="Z2493" s="25"/>
    </row>
    <row r="2494" spans="1:26" ht="15.75" customHeight="1" x14ac:dyDescent="0.25">
      <c r="A2494" s="25">
        <v>2492</v>
      </c>
      <c r="B2494" s="37" t="e">
        <f t="shared" ref="B2494:D2494" si="5021">VLOOKUP($A2494,[8]Movilidad!$A$1:$O$192,B$1,0)</f>
        <v>#N/A</v>
      </c>
      <c r="C2494" s="38" t="e">
        <f t="shared" si="5021"/>
        <v>#N/A</v>
      </c>
      <c r="D2494" s="39" t="e">
        <f t="shared" si="5021"/>
        <v>#N/A</v>
      </c>
      <c r="E2494" s="16" t="e">
        <f t="shared" si="1"/>
        <v>#N/A</v>
      </c>
      <c r="F2494" s="16" t="e">
        <f t="shared" ref="F2494:K2494" si="5022">VLOOKUP($A2494,[8]Movilidad!$A$1:$O$192,F$1,0)</f>
        <v>#N/A</v>
      </c>
      <c r="G2494" s="39" t="e">
        <f t="shared" si="5022"/>
        <v>#N/A</v>
      </c>
      <c r="H2494" s="16" t="e">
        <f t="shared" si="5022"/>
        <v>#N/A</v>
      </c>
      <c r="I2494" s="16" t="e">
        <f t="shared" si="5022"/>
        <v>#N/A</v>
      </c>
      <c r="J2494" s="40" t="e">
        <f t="shared" si="5022"/>
        <v>#N/A</v>
      </c>
      <c r="K2494" s="16" t="e">
        <f t="shared" si="5022"/>
        <v>#N/A</v>
      </c>
      <c r="L2494" s="40" t="e">
        <f t="shared" si="4837"/>
        <v>#N/A</v>
      </c>
      <c r="M2494" s="16" t="e">
        <f t="shared" si="4838"/>
        <v>#N/A</v>
      </c>
      <c r="N2494" s="16" t="e">
        <f t="shared" si="4839"/>
        <v>#N/A</v>
      </c>
      <c r="O2494" s="16" t="s">
        <v>72</v>
      </c>
      <c r="P2494" s="16" t="str">
        <f t="shared" si="6"/>
        <v/>
      </c>
      <c r="Q2494" s="41" t="e">
        <f t="shared" si="4840"/>
        <v>#N/A</v>
      </c>
      <c r="R2494" s="44"/>
      <c r="S2494" s="44"/>
      <c r="T2494" s="43"/>
      <c r="U2494" s="43" t="str">
        <f t="shared" si="8"/>
        <v>No</v>
      </c>
      <c r="V2494" s="25"/>
      <c r="W2494" s="25"/>
      <c r="X2494" s="25"/>
      <c r="Y2494" s="25"/>
      <c r="Z2494" s="25"/>
    </row>
    <row r="2495" spans="1:26" ht="15.75" customHeight="1" x14ac:dyDescent="0.25">
      <c r="A2495" s="25">
        <v>2493</v>
      </c>
      <c r="B2495" s="37" t="e">
        <f t="shared" ref="B2495:D2495" si="5023">VLOOKUP($A2495,[8]Movilidad!$A$1:$O$192,B$1,0)</f>
        <v>#N/A</v>
      </c>
      <c r="C2495" s="38" t="e">
        <f t="shared" si="5023"/>
        <v>#N/A</v>
      </c>
      <c r="D2495" s="39" t="e">
        <f t="shared" si="5023"/>
        <v>#N/A</v>
      </c>
      <c r="E2495" s="16" t="e">
        <f t="shared" si="1"/>
        <v>#N/A</v>
      </c>
      <c r="F2495" s="16" t="e">
        <f t="shared" ref="F2495:K2495" si="5024">VLOOKUP($A2495,[8]Movilidad!$A$1:$O$192,F$1,0)</f>
        <v>#N/A</v>
      </c>
      <c r="G2495" s="39" t="e">
        <f t="shared" si="5024"/>
        <v>#N/A</v>
      </c>
      <c r="H2495" s="16" t="e">
        <f t="shared" si="5024"/>
        <v>#N/A</v>
      </c>
      <c r="I2495" s="16" t="e">
        <f t="shared" si="5024"/>
        <v>#N/A</v>
      </c>
      <c r="J2495" s="40" t="e">
        <f t="shared" si="5024"/>
        <v>#N/A</v>
      </c>
      <c r="K2495" s="16" t="e">
        <f t="shared" si="5024"/>
        <v>#N/A</v>
      </c>
      <c r="L2495" s="40" t="e">
        <f t="shared" si="4837"/>
        <v>#N/A</v>
      </c>
      <c r="M2495" s="16" t="e">
        <f t="shared" si="4838"/>
        <v>#N/A</v>
      </c>
      <c r="N2495" s="16" t="e">
        <f t="shared" si="4839"/>
        <v>#N/A</v>
      </c>
      <c r="O2495" s="16" t="s">
        <v>72</v>
      </c>
      <c r="P2495" s="16" t="str">
        <f t="shared" si="6"/>
        <v/>
      </c>
      <c r="Q2495" s="41" t="e">
        <f t="shared" si="4840"/>
        <v>#N/A</v>
      </c>
      <c r="R2495" s="44"/>
      <c r="S2495" s="44"/>
      <c r="T2495" s="43"/>
      <c r="U2495" s="43" t="str">
        <f t="shared" si="8"/>
        <v>No</v>
      </c>
      <c r="V2495" s="25"/>
      <c r="W2495" s="25"/>
      <c r="X2495" s="25"/>
      <c r="Y2495" s="25"/>
      <c r="Z2495" s="25"/>
    </row>
    <row r="2496" spans="1:26" ht="15.75" customHeight="1" x14ac:dyDescent="0.25">
      <c r="A2496" s="25">
        <v>2494</v>
      </c>
      <c r="B2496" s="37" t="e">
        <f t="shared" ref="B2496:D2496" si="5025">VLOOKUP($A2496,[8]Movilidad!$A$1:$O$192,B$1,0)</f>
        <v>#N/A</v>
      </c>
      <c r="C2496" s="38" t="e">
        <f t="shared" si="5025"/>
        <v>#N/A</v>
      </c>
      <c r="D2496" s="39" t="e">
        <f t="shared" si="5025"/>
        <v>#N/A</v>
      </c>
      <c r="E2496" s="16" t="e">
        <f t="shared" si="1"/>
        <v>#N/A</v>
      </c>
      <c r="F2496" s="16" t="e">
        <f t="shared" ref="F2496:K2496" si="5026">VLOOKUP($A2496,[8]Movilidad!$A$1:$O$192,F$1,0)</f>
        <v>#N/A</v>
      </c>
      <c r="G2496" s="39" t="e">
        <f t="shared" si="5026"/>
        <v>#N/A</v>
      </c>
      <c r="H2496" s="16" t="e">
        <f t="shared" si="5026"/>
        <v>#N/A</v>
      </c>
      <c r="I2496" s="16" t="e">
        <f t="shared" si="5026"/>
        <v>#N/A</v>
      </c>
      <c r="J2496" s="40" t="e">
        <f t="shared" si="5026"/>
        <v>#N/A</v>
      </c>
      <c r="K2496" s="16" t="e">
        <f t="shared" si="5026"/>
        <v>#N/A</v>
      </c>
      <c r="L2496" s="40" t="e">
        <f t="shared" si="4837"/>
        <v>#N/A</v>
      </c>
      <c r="M2496" s="16" t="e">
        <f t="shared" si="4838"/>
        <v>#N/A</v>
      </c>
      <c r="N2496" s="16" t="e">
        <f t="shared" si="4839"/>
        <v>#N/A</v>
      </c>
      <c r="O2496" s="16" t="s">
        <v>72</v>
      </c>
      <c r="P2496" s="16" t="str">
        <f t="shared" si="6"/>
        <v/>
      </c>
      <c r="Q2496" s="41" t="e">
        <f t="shared" si="4840"/>
        <v>#N/A</v>
      </c>
      <c r="R2496" s="44"/>
      <c r="S2496" s="44"/>
      <c r="T2496" s="43"/>
      <c r="U2496" s="43" t="str">
        <f t="shared" si="8"/>
        <v>No</v>
      </c>
      <c r="V2496" s="25"/>
      <c r="W2496" s="25"/>
      <c r="X2496" s="25"/>
      <c r="Y2496" s="25"/>
      <c r="Z2496" s="25"/>
    </row>
    <row r="2497" spans="1:26" ht="15.75" customHeight="1" x14ac:dyDescent="0.25">
      <c r="A2497" s="25">
        <v>2495</v>
      </c>
      <c r="B2497" s="37" t="e">
        <f t="shared" ref="B2497:D2497" si="5027">VLOOKUP($A2497,[8]Movilidad!$A$1:$O$192,B$1,0)</f>
        <v>#N/A</v>
      </c>
      <c r="C2497" s="38" t="e">
        <f t="shared" si="5027"/>
        <v>#N/A</v>
      </c>
      <c r="D2497" s="39" t="e">
        <f t="shared" si="5027"/>
        <v>#N/A</v>
      </c>
      <c r="E2497" s="16" t="e">
        <f t="shared" si="1"/>
        <v>#N/A</v>
      </c>
      <c r="F2497" s="16" t="e">
        <f t="shared" ref="F2497:K2497" si="5028">VLOOKUP($A2497,[8]Movilidad!$A$1:$O$192,F$1,0)</f>
        <v>#N/A</v>
      </c>
      <c r="G2497" s="39" t="e">
        <f t="shared" si="5028"/>
        <v>#N/A</v>
      </c>
      <c r="H2497" s="16" t="e">
        <f t="shared" si="5028"/>
        <v>#N/A</v>
      </c>
      <c r="I2497" s="16" t="e">
        <f t="shared" si="5028"/>
        <v>#N/A</v>
      </c>
      <c r="J2497" s="40" t="e">
        <f t="shared" si="5028"/>
        <v>#N/A</v>
      </c>
      <c r="K2497" s="16" t="e">
        <f t="shared" si="5028"/>
        <v>#N/A</v>
      </c>
      <c r="L2497" s="40" t="e">
        <f t="shared" si="4837"/>
        <v>#N/A</v>
      </c>
      <c r="M2497" s="16" t="e">
        <f t="shared" si="4838"/>
        <v>#N/A</v>
      </c>
      <c r="N2497" s="16" t="e">
        <f t="shared" si="4839"/>
        <v>#N/A</v>
      </c>
      <c r="O2497" s="16" t="s">
        <v>72</v>
      </c>
      <c r="P2497" s="16" t="str">
        <f t="shared" si="6"/>
        <v/>
      </c>
      <c r="Q2497" s="41" t="e">
        <f t="shared" si="4840"/>
        <v>#N/A</v>
      </c>
      <c r="R2497" s="44"/>
      <c r="S2497" s="44"/>
      <c r="T2497" s="43"/>
      <c r="U2497" s="43" t="str">
        <f t="shared" si="8"/>
        <v>No</v>
      </c>
      <c r="V2497" s="25"/>
      <c r="W2497" s="25"/>
      <c r="X2497" s="25"/>
      <c r="Y2497" s="25"/>
      <c r="Z2497" s="25"/>
    </row>
    <row r="2498" spans="1:26" ht="15.75" customHeight="1" x14ac:dyDescent="0.25">
      <c r="A2498" s="25">
        <v>2496</v>
      </c>
      <c r="B2498" s="37" t="e">
        <f t="shared" ref="B2498:D2498" si="5029">VLOOKUP($A2498,[8]Movilidad!$A$1:$O$192,B$1,0)</f>
        <v>#N/A</v>
      </c>
      <c r="C2498" s="38" t="e">
        <f t="shared" si="5029"/>
        <v>#N/A</v>
      </c>
      <c r="D2498" s="39" t="e">
        <f t="shared" si="5029"/>
        <v>#N/A</v>
      </c>
      <c r="E2498" s="16" t="e">
        <f t="shared" si="1"/>
        <v>#N/A</v>
      </c>
      <c r="F2498" s="16" t="e">
        <f t="shared" ref="F2498:K2498" si="5030">VLOOKUP($A2498,[8]Movilidad!$A$1:$O$192,F$1,0)</f>
        <v>#N/A</v>
      </c>
      <c r="G2498" s="39" t="e">
        <f t="shared" si="5030"/>
        <v>#N/A</v>
      </c>
      <c r="H2498" s="16" t="e">
        <f t="shared" si="5030"/>
        <v>#N/A</v>
      </c>
      <c r="I2498" s="16" t="e">
        <f t="shared" si="5030"/>
        <v>#N/A</v>
      </c>
      <c r="J2498" s="40" t="e">
        <f t="shared" si="5030"/>
        <v>#N/A</v>
      </c>
      <c r="K2498" s="16" t="e">
        <f t="shared" si="5030"/>
        <v>#N/A</v>
      </c>
      <c r="L2498" s="40" t="e">
        <f t="shared" si="4837"/>
        <v>#N/A</v>
      </c>
      <c r="M2498" s="16" t="e">
        <f t="shared" si="4838"/>
        <v>#N/A</v>
      </c>
      <c r="N2498" s="16" t="e">
        <f t="shared" si="4839"/>
        <v>#N/A</v>
      </c>
      <c r="O2498" s="16" t="s">
        <v>72</v>
      </c>
      <c r="P2498" s="16" t="str">
        <f t="shared" si="6"/>
        <v/>
      </c>
      <c r="Q2498" s="41" t="e">
        <f t="shared" si="4840"/>
        <v>#N/A</v>
      </c>
      <c r="R2498" s="44"/>
      <c r="S2498" s="44"/>
      <c r="T2498" s="43"/>
      <c r="U2498" s="43" t="str">
        <f t="shared" si="8"/>
        <v>No</v>
      </c>
      <c r="V2498" s="25"/>
      <c r="W2498" s="25"/>
      <c r="X2498" s="25"/>
      <c r="Y2498" s="25"/>
      <c r="Z2498" s="25"/>
    </row>
    <row r="2499" spans="1:26" ht="15.75" customHeight="1" x14ac:dyDescent="0.25">
      <c r="A2499" s="25">
        <v>2497</v>
      </c>
      <c r="B2499" s="37" t="e">
        <f t="shared" ref="B2499:D2499" si="5031">VLOOKUP($A2499,[8]Movilidad!$A$1:$O$192,B$1,0)</f>
        <v>#N/A</v>
      </c>
      <c r="C2499" s="38" t="e">
        <f t="shared" si="5031"/>
        <v>#N/A</v>
      </c>
      <c r="D2499" s="39" t="e">
        <f t="shared" si="5031"/>
        <v>#N/A</v>
      </c>
      <c r="E2499" s="16" t="e">
        <f t="shared" si="1"/>
        <v>#N/A</v>
      </c>
      <c r="F2499" s="16" t="e">
        <f t="shared" ref="F2499:K2499" si="5032">VLOOKUP($A2499,[8]Movilidad!$A$1:$O$192,F$1,0)</f>
        <v>#N/A</v>
      </c>
      <c r="G2499" s="39" t="e">
        <f t="shared" si="5032"/>
        <v>#N/A</v>
      </c>
      <c r="H2499" s="16" t="e">
        <f t="shared" si="5032"/>
        <v>#N/A</v>
      </c>
      <c r="I2499" s="16" t="e">
        <f t="shared" si="5032"/>
        <v>#N/A</v>
      </c>
      <c r="J2499" s="40" t="e">
        <f t="shared" si="5032"/>
        <v>#N/A</v>
      </c>
      <c r="K2499" s="16" t="e">
        <f t="shared" si="5032"/>
        <v>#N/A</v>
      </c>
      <c r="L2499" s="40" t="e">
        <f t="shared" si="4837"/>
        <v>#N/A</v>
      </c>
      <c r="M2499" s="16" t="e">
        <f t="shared" si="4838"/>
        <v>#N/A</v>
      </c>
      <c r="N2499" s="16" t="e">
        <f t="shared" si="4839"/>
        <v>#N/A</v>
      </c>
      <c r="O2499" s="16" t="s">
        <v>72</v>
      </c>
      <c r="P2499" s="16" t="str">
        <f t="shared" si="6"/>
        <v/>
      </c>
      <c r="Q2499" s="41" t="e">
        <f t="shared" si="4840"/>
        <v>#N/A</v>
      </c>
      <c r="R2499" s="44"/>
      <c r="S2499" s="44"/>
      <c r="T2499" s="43"/>
      <c r="U2499" s="43" t="str">
        <f t="shared" si="8"/>
        <v>No</v>
      </c>
      <c r="V2499" s="25"/>
      <c r="W2499" s="25"/>
      <c r="X2499" s="25"/>
      <c r="Y2499" s="25"/>
      <c r="Z2499" s="25"/>
    </row>
    <row r="2500" spans="1:26" ht="15.75" customHeight="1" x14ac:dyDescent="0.25">
      <c r="A2500" s="25">
        <v>2498</v>
      </c>
      <c r="B2500" s="37" t="e">
        <f t="shared" ref="B2500:D2500" si="5033">VLOOKUP($A2500,[8]Movilidad!$A$1:$O$192,B$1,0)</f>
        <v>#N/A</v>
      </c>
      <c r="C2500" s="38" t="e">
        <f t="shared" si="5033"/>
        <v>#N/A</v>
      </c>
      <c r="D2500" s="39" t="e">
        <f t="shared" si="5033"/>
        <v>#N/A</v>
      </c>
      <c r="E2500" s="16" t="e">
        <f t="shared" si="1"/>
        <v>#N/A</v>
      </c>
      <c r="F2500" s="16" t="e">
        <f t="shared" ref="F2500:K2500" si="5034">VLOOKUP($A2500,[8]Movilidad!$A$1:$O$192,F$1,0)</f>
        <v>#N/A</v>
      </c>
      <c r="G2500" s="39" t="e">
        <f t="shared" si="5034"/>
        <v>#N/A</v>
      </c>
      <c r="H2500" s="16" t="e">
        <f t="shared" si="5034"/>
        <v>#N/A</v>
      </c>
      <c r="I2500" s="16" t="e">
        <f t="shared" si="5034"/>
        <v>#N/A</v>
      </c>
      <c r="J2500" s="40" t="e">
        <f t="shared" si="5034"/>
        <v>#N/A</v>
      </c>
      <c r="K2500" s="16" t="e">
        <f t="shared" si="5034"/>
        <v>#N/A</v>
      </c>
      <c r="L2500" s="40" t="e">
        <f t="shared" si="4837"/>
        <v>#N/A</v>
      </c>
      <c r="M2500" s="16" t="e">
        <f t="shared" si="4838"/>
        <v>#N/A</v>
      </c>
      <c r="N2500" s="16" t="e">
        <f t="shared" si="4839"/>
        <v>#N/A</v>
      </c>
      <c r="O2500" s="16" t="s">
        <v>72</v>
      </c>
      <c r="P2500" s="16" t="str">
        <f t="shared" si="6"/>
        <v/>
      </c>
      <c r="Q2500" s="41" t="e">
        <f t="shared" si="4840"/>
        <v>#N/A</v>
      </c>
      <c r="R2500" s="44"/>
      <c r="S2500" s="44"/>
      <c r="T2500" s="43"/>
      <c r="U2500" s="43" t="str">
        <f t="shared" si="8"/>
        <v>No</v>
      </c>
      <c r="V2500" s="25"/>
      <c r="W2500" s="25"/>
      <c r="X2500" s="25"/>
      <c r="Y2500" s="25"/>
      <c r="Z2500" s="25"/>
    </row>
    <row r="2501" spans="1:26" ht="15.75" customHeight="1" x14ac:dyDescent="0.25">
      <c r="A2501" s="25">
        <v>2499</v>
      </c>
      <c r="B2501" s="37" t="e">
        <f t="shared" ref="B2501:D2501" si="5035">VLOOKUP($A2501,[8]Movilidad!$A$1:$O$192,B$1,0)</f>
        <v>#N/A</v>
      </c>
      <c r="C2501" s="38" t="e">
        <f t="shared" si="5035"/>
        <v>#N/A</v>
      </c>
      <c r="D2501" s="39" t="e">
        <f t="shared" si="5035"/>
        <v>#N/A</v>
      </c>
      <c r="E2501" s="16" t="e">
        <f t="shared" si="1"/>
        <v>#N/A</v>
      </c>
      <c r="F2501" s="16" t="e">
        <f t="shared" ref="F2501:K2501" si="5036">VLOOKUP($A2501,[8]Movilidad!$A$1:$O$192,F$1,0)</f>
        <v>#N/A</v>
      </c>
      <c r="G2501" s="39" t="e">
        <f t="shared" si="5036"/>
        <v>#N/A</v>
      </c>
      <c r="H2501" s="16" t="e">
        <f t="shared" si="5036"/>
        <v>#N/A</v>
      </c>
      <c r="I2501" s="16" t="e">
        <f t="shared" si="5036"/>
        <v>#N/A</v>
      </c>
      <c r="J2501" s="40" t="e">
        <f t="shared" si="5036"/>
        <v>#N/A</v>
      </c>
      <c r="K2501" s="16" t="e">
        <f t="shared" si="5036"/>
        <v>#N/A</v>
      </c>
      <c r="L2501" s="40" t="e">
        <f t="shared" si="4837"/>
        <v>#N/A</v>
      </c>
      <c r="M2501" s="16" t="e">
        <f t="shared" si="4838"/>
        <v>#N/A</v>
      </c>
      <c r="N2501" s="16" t="e">
        <f t="shared" si="4839"/>
        <v>#N/A</v>
      </c>
      <c r="O2501" s="16" t="s">
        <v>72</v>
      </c>
      <c r="P2501" s="16" t="str">
        <f t="shared" si="6"/>
        <v/>
      </c>
      <c r="Q2501" s="41" t="e">
        <f t="shared" si="4840"/>
        <v>#N/A</v>
      </c>
      <c r="R2501" s="44"/>
      <c r="S2501" s="44"/>
      <c r="T2501" s="43"/>
      <c r="U2501" s="43" t="str">
        <f t="shared" si="8"/>
        <v>No</v>
      </c>
      <c r="V2501" s="25"/>
      <c r="W2501" s="25"/>
      <c r="X2501" s="25"/>
      <c r="Y2501" s="25"/>
      <c r="Z2501" s="25"/>
    </row>
    <row r="2502" spans="1:26" ht="15.75" customHeight="1" x14ac:dyDescent="0.25">
      <c r="A2502" s="25">
        <v>2500</v>
      </c>
      <c r="B2502" s="37" t="e">
        <f t="shared" ref="B2502:D2502" si="5037">VLOOKUP($A2502,[8]Movilidad!$A$1:$O$192,B$1,0)</f>
        <v>#N/A</v>
      </c>
      <c r="C2502" s="38" t="e">
        <f t="shared" si="5037"/>
        <v>#N/A</v>
      </c>
      <c r="D2502" s="39" t="e">
        <f t="shared" si="5037"/>
        <v>#N/A</v>
      </c>
      <c r="E2502" s="16" t="e">
        <f t="shared" si="1"/>
        <v>#N/A</v>
      </c>
      <c r="F2502" s="16" t="e">
        <f t="shared" ref="F2502:K2502" si="5038">VLOOKUP($A2502,[8]Movilidad!$A$1:$O$192,F$1,0)</f>
        <v>#N/A</v>
      </c>
      <c r="G2502" s="39" t="e">
        <f t="shared" si="5038"/>
        <v>#N/A</v>
      </c>
      <c r="H2502" s="16" t="e">
        <f t="shared" si="5038"/>
        <v>#N/A</v>
      </c>
      <c r="I2502" s="16" t="e">
        <f t="shared" si="5038"/>
        <v>#N/A</v>
      </c>
      <c r="J2502" s="40" t="e">
        <f t="shared" si="5038"/>
        <v>#N/A</v>
      </c>
      <c r="K2502" s="16" t="e">
        <f t="shared" si="5038"/>
        <v>#N/A</v>
      </c>
      <c r="L2502" s="40" t="e">
        <f t="shared" si="4837"/>
        <v>#N/A</v>
      </c>
      <c r="M2502" s="16" t="e">
        <f t="shared" si="4838"/>
        <v>#N/A</v>
      </c>
      <c r="N2502" s="16" t="e">
        <f t="shared" si="4839"/>
        <v>#N/A</v>
      </c>
      <c r="O2502" s="16" t="s">
        <v>72</v>
      </c>
      <c r="P2502" s="16" t="str">
        <f t="shared" si="6"/>
        <v/>
      </c>
      <c r="Q2502" s="41" t="e">
        <f t="shared" si="4840"/>
        <v>#N/A</v>
      </c>
      <c r="R2502" s="44"/>
      <c r="S2502" s="44"/>
      <c r="T2502" s="43"/>
      <c r="U2502" s="43" t="str">
        <f t="shared" si="8"/>
        <v>No</v>
      </c>
      <c r="V2502" s="25"/>
      <c r="W2502" s="25"/>
      <c r="X2502" s="25"/>
      <c r="Y2502" s="25"/>
      <c r="Z2502" s="25"/>
    </row>
    <row r="2503" spans="1:26" ht="15.75" customHeight="1" x14ac:dyDescent="0.25">
      <c r="A2503" s="25">
        <v>2501</v>
      </c>
      <c r="B2503" s="37" t="e">
        <f t="shared" ref="B2503:D2503" si="5039">VLOOKUP($A2503,[8]Movilidad!$A$1:$O$192,B$1,0)</f>
        <v>#N/A</v>
      </c>
      <c r="C2503" s="38" t="e">
        <f t="shared" si="5039"/>
        <v>#N/A</v>
      </c>
      <c r="D2503" s="39" t="e">
        <f t="shared" si="5039"/>
        <v>#N/A</v>
      </c>
      <c r="E2503" s="16" t="e">
        <f t="shared" si="1"/>
        <v>#N/A</v>
      </c>
      <c r="F2503" s="16" t="e">
        <f t="shared" ref="F2503:K2503" si="5040">VLOOKUP($A2503,[8]Movilidad!$A$1:$O$192,F$1,0)</f>
        <v>#N/A</v>
      </c>
      <c r="G2503" s="39" t="e">
        <f t="shared" si="5040"/>
        <v>#N/A</v>
      </c>
      <c r="H2503" s="16" t="e">
        <f t="shared" si="5040"/>
        <v>#N/A</v>
      </c>
      <c r="I2503" s="16" t="e">
        <f t="shared" si="5040"/>
        <v>#N/A</v>
      </c>
      <c r="J2503" s="40" t="e">
        <f t="shared" si="5040"/>
        <v>#N/A</v>
      </c>
      <c r="K2503" s="16" t="e">
        <f t="shared" si="5040"/>
        <v>#N/A</v>
      </c>
      <c r="L2503" s="40" t="e">
        <f t="shared" si="4837"/>
        <v>#N/A</v>
      </c>
      <c r="M2503" s="16" t="e">
        <f t="shared" si="4838"/>
        <v>#N/A</v>
      </c>
      <c r="N2503" s="16" t="e">
        <f t="shared" si="4839"/>
        <v>#N/A</v>
      </c>
      <c r="O2503" s="16" t="s">
        <v>72</v>
      </c>
      <c r="P2503" s="16" t="str">
        <f t="shared" si="6"/>
        <v/>
      </c>
      <c r="Q2503" s="41" t="e">
        <f t="shared" si="4840"/>
        <v>#N/A</v>
      </c>
      <c r="R2503" s="44"/>
      <c r="S2503" s="44"/>
      <c r="T2503" s="43"/>
      <c r="U2503" s="43" t="str">
        <f t="shared" si="8"/>
        <v>No</v>
      </c>
      <c r="V2503" s="25"/>
      <c r="W2503" s="25"/>
      <c r="X2503" s="25"/>
      <c r="Y2503" s="25"/>
      <c r="Z2503" s="25"/>
    </row>
    <row r="2504" spans="1:26" ht="15.75" customHeight="1" x14ac:dyDescent="0.25">
      <c r="A2504" s="25">
        <v>2502</v>
      </c>
      <c r="B2504" s="37" t="e">
        <f t="shared" ref="B2504:D2504" si="5041">VLOOKUP($A2504,[8]Movilidad!$A$1:$O$192,B$1,0)</f>
        <v>#N/A</v>
      </c>
      <c r="C2504" s="38" t="e">
        <f t="shared" si="5041"/>
        <v>#N/A</v>
      </c>
      <c r="D2504" s="39" t="e">
        <f t="shared" si="5041"/>
        <v>#N/A</v>
      </c>
      <c r="E2504" s="16" t="e">
        <f t="shared" si="1"/>
        <v>#N/A</v>
      </c>
      <c r="F2504" s="16" t="e">
        <f t="shared" ref="F2504:K2504" si="5042">VLOOKUP($A2504,[8]Movilidad!$A$1:$O$192,F$1,0)</f>
        <v>#N/A</v>
      </c>
      <c r="G2504" s="39" t="e">
        <f t="shared" si="5042"/>
        <v>#N/A</v>
      </c>
      <c r="H2504" s="16" t="e">
        <f t="shared" si="5042"/>
        <v>#N/A</v>
      </c>
      <c r="I2504" s="16" t="e">
        <f t="shared" si="5042"/>
        <v>#N/A</v>
      </c>
      <c r="J2504" s="40" t="e">
        <f t="shared" si="5042"/>
        <v>#N/A</v>
      </c>
      <c r="K2504" s="16" t="e">
        <f t="shared" si="5042"/>
        <v>#N/A</v>
      </c>
      <c r="L2504" s="40" t="e">
        <f t="shared" si="4837"/>
        <v>#N/A</v>
      </c>
      <c r="M2504" s="16" t="e">
        <f t="shared" si="4838"/>
        <v>#N/A</v>
      </c>
      <c r="N2504" s="16" t="e">
        <f t="shared" si="4839"/>
        <v>#N/A</v>
      </c>
      <c r="O2504" s="16" t="s">
        <v>72</v>
      </c>
      <c r="P2504" s="16" t="str">
        <f t="shared" si="6"/>
        <v/>
      </c>
      <c r="Q2504" s="41" t="e">
        <f t="shared" si="4840"/>
        <v>#N/A</v>
      </c>
      <c r="R2504" s="44"/>
      <c r="S2504" s="44"/>
      <c r="T2504" s="43"/>
      <c r="U2504" s="43" t="str">
        <f t="shared" si="8"/>
        <v>No</v>
      </c>
      <c r="V2504" s="25"/>
      <c r="W2504" s="25"/>
      <c r="X2504" s="25"/>
      <c r="Y2504" s="25"/>
      <c r="Z2504" s="25"/>
    </row>
    <row r="2505" spans="1:26" ht="15.75" customHeight="1" x14ac:dyDescent="0.25">
      <c r="A2505" s="25">
        <v>2503</v>
      </c>
      <c r="B2505" s="37" t="e">
        <f t="shared" ref="B2505:D2505" si="5043">VLOOKUP($A2505,[8]Movilidad!$A$1:$O$192,B$1,0)</f>
        <v>#N/A</v>
      </c>
      <c r="C2505" s="38" t="e">
        <f t="shared" si="5043"/>
        <v>#N/A</v>
      </c>
      <c r="D2505" s="39" t="e">
        <f t="shared" si="5043"/>
        <v>#N/A</v>
      </c>
      <c r="E2505" s="16" t="e">
        <f t="shared" si="1"/>
        <v>#N/A</v>
      </c>
      <c r="F2505" s="16" t="e">
        <f t="shared" ref="F2505:K2505" si="5044">VLOOKUP($A2505,[8]Movilidad!$A$1:$O$192,F$1,0)</f>
        <v>#N/A</v>
      </c>
      <c r="G2505" s="39" t="e">
        <f t="shared" si="5044"/>
        <v>#N/A</v>
      </c>
      <c r="H2505" s="16" t="e">
        <f t="shared" si="5044"/>
        <v>#N/A</v>
      </c>
      <c r="I2505" s="16" t="e">
        <f t="shared" si="5044"/>
        <v>#N/A</v>
      </c>
      <c r="J2505" s="40" t="e">
        <f t="shared" si="5044"/>
        <v>#N/A</v>
      </c>
      <c r="K2505" s="16" t="e">
        <f t="shared" si="5044"/>
        <v>#N/A</v>
      </c>
      <c r="L2505" s="40" t="e">
        <f t="shared" si="4837"/>
        <v>#N/A</v>
      </c>
      <c r="M2505" s="16" t="e">
        <f t="shared" si="4838"/>
        <v>#N/A</v>
      </c>
      <c r="N2505" s="16" t="e">
        <f t="shared" si="4839"/>
        <v>#N/A</v>
      </c>
      <c r="O2505" s="16" t="s">
        <v>72</v>
      </c>
      <c r="P2505" s="16" t="str">
        <f t="shared" si="6"/>
        <v/>
      </c>
      <c r="Q2505" s="41" t="e">
        <f t="shared" si="4840"/>
        <v>#N/A</v>
      </c>
      <c r="R2505" s="44"/>
      <c r="S2505" s="44"/>
      <c r="T2505" s="43"/>
      <c r="U2505" s="43" t="str">
        <f t="shared" si="8"/>
        <v>No</v>
      </c>
      <c r="V2505" s="25"/>
      <c r="W2505" s="25"/>
      <c r="X2505" s="25"/>
      <c r="Y2505" s="25"/>
      <c r="Z2505" s="25"/>
    </row>
    <row r="2506" spans="1:26" ht="15.75" customHeight="1" x14ac:dyDescent="0.25">
      <c r="A2506" s="25">
        <v>2504</v>
      </c>
      <c r="B2506" s="37" t="e">
        <f t="shared" ref="B2506:D2506" si="5045">VLOOKUP($A2506,[8]Movilidad!$A$1:$O$192,B$1,0)</f>
        <v>#N/A</v>
      </c>
      <c r="C2506" s="38" t="e">
        <f t="shared" si="5045"/>
        <v>#N/A</v>
      </c>
      <c r="D2506" s="39" t="e">
        <f t="shared" si="5045"/>
        <v>#N/A</v>
      </c>
      <c r="E2506" s="16" t="e">
        <f t="shared" si="1"/>
        <v>#N/A</v>
      </c>
      <c r="F2506" s="16" t="e">
        <f t="shared" ref="F2506:K2506" si="5046">VLOOKUP($A2506,[8]Movilidad!$A$1:$O$192,F$1,0)</f>
        <v>#N/A</v>
      </c>
      <c r="G2506" s="39" t="e">
        <f t="shared" si="5046"/>
        <v>#N/A</v>
      </c>
      <c r="H2506" s="16" t="e">
        <f t="shared" si="5046"/>
        <v>#N/A</v>
      </c>
      <c r="I2506" s="16" t="e">
        <f t="shared" si="5046"/>
        <v>#N/A</v>
      </c>
      <c r="J2506" s="40" t="e">
        <f t="shared" si="5046"/>
        <v>#N/A</v>
      </c>
      <c r="K2506" s="16" t="e">
        <f t="shared" si="5046"/>
        <v>#N/A</v>
      </c>
      <c r="L2506" s="40" t="e">
        <f t="shared" si="4837"/>
        <v>#N/A</v>
      </c>
      <c r="M2506" s="16" t="e">
        <f t="shared" si="4838"/>
        <v>#N/A</v>
      </c>
      <c r="N2506" s="16" t="e">
        <f t="shared" si="4839"/>
        <v>#N/A</v>
      </c>
      <c r="O2506" s="16" t="s">
        <v>72</v>
      </c>
      <c r="P2506" s="16" t="str">
        <f t="shared" si="6"/>
        <v/>
      </c>
      <c r="Q2506" s="41" t="e">
        <f t="shared" si="4840"/>
        <v>#N/A</v>
      </c>
      <c r="R2506" s="44"/>
      <c r="S2506" s="44"/>
      <c r="T2506" s="43"/>
      <c r="U2506" s="43" t="str">
        <f t="shared" si="8"/>
        <v>No</v>
      </c>
      <c r="V2506" s="25"/>
      <c r="W2506" s="25"/>
      <c r="X2506" s="25"/>
      <c r="Y2506" s="25"/>
      <c r="Z2506" s="25"/>
    </row>
    <row r="2507" spans="1:26" ht="15.75" customHeight="1" x14ac:dyDescent="0.25">
      <c r="A2507" s="25">
        <v>2505</v>
      </c>
      <c r="B2507" s="37" t="e">
        <f t="shared" ref="B2507:D2507" si="5047">VLOOKUP($A2507,[8]Movilidad!$A$1:$O$192,B$1,0)</f>
        <v>#N/A</v>
      </c>
      <c r="C2507" s="38" t="e">
        <f t="shared" si="5047"/>
        <v>#N/A</v>
      </c>
      <c r="D2507" s="39" t="e">
        <f t="shared" si="5047"/>
        <v>#N/A</v>
      </c>
      <c r="E2507" s="16" t="e">
        <f t="shared" si="1"/>
        <v>#N/A</v>
      </c>
      <c r="F2507" s="16" t="e">
        <f t="shared" ref="F2507:K2507" si="5048">VLOOKUP($A2507,[8]Movilidad!$A$1:$O$192,F$1,0)</f>
        <v>#N/A</v>
      </c>
      <c r="G2507" s="39" t="e">
        <f t="shared" si="5048"/>
        <v>#N/A</v>
      </c>
      <c r="H2507" s="16" t="e">
        <f t="shared" si="5048"/>
        <v>#N/A</v>
      </c>
      <c r="I2507" s="16" t="e">
        <f t="shared" si="5048"/>
        <v>#N/A</v>
      </c>
      <c r="J2507" s="40" t="e">
        <f t="shared" si="5048"/>
        <v>#N/A</v>
      </c>
      <c r="K2507" s="16" t="e">
        <f t="shared" si="5048"/>
        <v>#N/A</v>
      </c>
      <c r="L2507" s="40" t="e">
        <f t="shared" si="4837"/>
        <v>#N/A</v>
      </c>
      <c r="M2507" s="16" t="e">
        <f t="shared" si="4838"/>
        <v>#N/A</v>
      </c>
      <c r="N2507" s="16" t="e">
        <f t="shared" si="4839"/>
        <v>#N/A</v>
      </c>
      <c r="O2507" s="16" t="s">
        <v>72</v>
      </c>
      <c r="P2507" s="16" t="str">
        <f t="shared" si="6"/>
        <v/>
      </c>
      <c r="Q2507" s="41" t="e">
        <f t="shared" si="4840"/>
        <v>#N/A</v>
      </c>
      <c r="R2507" s="44"/>
      <c r="S2507" s="44"/>
      <c r="T2507" s="43"/>
      <c r="U2507" s="43" t="str">
        <f t="shared" si="8"/>
        <v>No</v>
      </c>
      <c r="V2507" s="25"/>
      <c r="W2507" s="25"/>
      <c r="X2507" s="25"/>
      <c r="Y2507" s="25"/>
      <c r="Z2507" s="25"/>
    </row>
    <row r="2508" spans="1:26" ht="15.75" customHeight="1" x14ac:dyDescent="0.25">
      <c r="A2508" s="25">
        <v>2506</v>
      </c>
      <c r="B2508" s="37" t="e">
        <f t="shared" ref="B2508:D2508" si="5049">VLOOKUP($A2508,[8]Movilidad!$A$1:$O$192,B$1,0)</f>
        <v>#N/A</v>
      </c>
      <c r="C2508" s="38" t="e">
        <f t="shared" si="5049"/>
        <v>#N/A</v>
      </c>
      <c r="D2508" s="39" t="e">
        <f t="shared" si="5049"/>
        <v>#N/A</v>
      </c>
      <c r="E2508" s="16" t="e">
        <f t="shared" si="1"/>
        <v>#N/A</v>
      </c>
      <c r="F2508" s="16" t="e">
        <f t="shared" ref="F2508:K2508" si="5050">VLOOKUP($A2508,[8]Movilidad!$A$1:$O$192,F$1,0)</f>
        <v>#N/A</v>
      </c>
      <c r="G2508" s="39" t="e">
        <f t="shared" si="5050"/>
        <v>#N/A</v>
      </c>
      <c r="H2508" s="16" t="e">
        <f t="shared" si="5050"/>
        <v>#N/A</v>
      </c>
      <c r="I2508" s="16" t="e">
        <f t="shared" si="5050"/>
        <v>#N/A</v>
      </c>
      <c r="J2508" s="40" t="e">
        <f t="shared" si="5050"/>
        <v>#N/A</v>
      </c>
      <c r="K2508" s="16" t="e">
        <f t="shared" si="5050"/>
        <v>#N/A</v>
      </c>
      <c r="L2508" s="40" t="e">
        <f t="shared" si="4837"/>
        <v>#N/A</v>
      </c>
      <c r="M2508" s="16" t="e">
        <f t="shared" si="4838"/>
        <v>#N/A</v>
      </c>
      <c r="N2508" s="16" t="e">
        <f t="shared" si="4839"/>
        <v>#N/A</v>
      </c>
      <c r="O2508" s="16" t="s">
        <v>72</v>
      </c>
      <c r="P2508" s="16" t="str">
        <f t="shared" si="6"/>
        <v/>
      </c>
      <c r="Q2508" s="41" t="e">
        <f t="shared" si="4840"/>
        <v>#N/A</v>
      </c>
      <c r="R2508" s="44"/>
      <c r="S2508" s="44"/>
      <c r="T2508" s="43"/>
      <c r="U2508" s="43" t="str">
        <f t="shared" si="8"/>
        <v>No</v>
      </c>
      <c r="V2508" s="25"/>
      <c r="W2508" s="25"/>
      <c r="X2508" s="25"/>
      <c r="Y2508" s="25"/>
      <c r="Z2508" s="25"/>
    </row>
    <row r="2509" spans="1:26" ht="15.75" customHeight="1" x14ac:dyDescent="0.25">
      <c r="A2509" s="25">
        <v>2507</v>
      </c>
      <c r="B2509" s="37" t="e">
        <f t="shared" ref="B2509:D2509" si="5051">VLOOKUP($A2509,[8]Movilidad!$A$1:$O$192,B$1,0)</f>
        <v>#N/A</v>
      </c>
      <c r="C2509" s="38" t="e">
        <f t="shared" si="5051"/>
        <v>#N/A</v>
      </c>
      <c r="D2509" s="39" t="e">
        <f t="shared" si="5051"/>
        <v>#N/A</v>
      </c>
      <c r="E2509" s="16" t="e">
        <f t="shared" si="1"/>
        <v>#N/A</v>
      </c>
      <c r="F2509" s="16" t="e">
        <f t="shared" ref="F2509:K2509" si="5052">VLOOKUP($A2509,[8]Movilidad!$A$1:$O$192,F$1,0)</f>
        <v>#N/A</v>
      </c>
      <c r="G2509" s="39" t="e">
        <f t="shared" si="5052"/>
        <v>#N/A</v>
      </c>
      <c r="H2509" s="16" t="e">
        <f t="shared" si="5052"/>
        <v>#N/A</v>
      </c>
      <c r="I2509" s="16" t="e">
        <f t="shared" si="5052"/>
        <v>#N/A</v>
      </c>
      <c r="J2509" s="40" t="e">
        <f t="shared" si="5052"/>
        <v>#N/A</v>
      </c>
      <c r="K2509" s="16" t="e">
        <f t="shared" si="5052"/>
        <v>#N/A</v>
      </c>
      <c r="L2509" s="40" t="e">
        <f t="shared" si="4837"/>
        <v>#N/A</v>
      </c>
      <c r="M2509" s="16" t="e">
        <f t="shared" si="4838"/>
        <v>#N/A</v>
      </c>
      <c r="N2509" s="16" t="e">
        <f t="shared" si="4839"/>
        <v>#N/A</v>
      </c>
      <c r="O2509" s="16" t="s">
        <v>72</v>
      </c>
      <c r="P2509" s="16" t="str">
        <f t="shared" si="6"/>
        <v/>
      </c>
      <c r="Q2509" s="41" t="e">
        <f t="shared" si="4840"/>
        <v>#N/A</v>
      </c>
      <c r="R2509" s="44"/>
      <c r="S2509" s="44"/>
      <c r="T2509" s="43"/>
      <c r="U2509" s="43" t="str">
        <f t="shared" si="8"/>
        <v>No</v>
      </c>
      <c r="V2509" s="25"/>
      <c r="W2509" s="25"/>
      <c r="X2509" s="25"/>
      <c r="Y2509" s="25"/>
      <c r="Z2509" s="25"/>
    </row>
    <row r="2510" spans="1:26" ht="15.75" customHeight="1" x14ac:dyDescent="0.25">
      <c r="A2510" s="25">
        <v>2508</v>
      </c>
      <c r="B2510" s="37" t="e">
        <f t="shared" ref="B2510:D2510" si="5053">VLOOKUP($A2510,[8]Movilidad!$A$1:$O$192,B$1,0)</f>
        <v>#N/A</v>
      </c>
      <c r="C2510" s="38" t="e">
        <f t="shared" si="5053"/>
        <v>#N/A</v>
      </c>
      <c r="D2510" s="39" t="e">
        <f t="shared" si="5053"/>
        <v>#N/A</v>
      </c>
      <c r="E2510" s="16" t="e">
        <f t="shared" si="1"/>
        <v>#N/A</v>
      </c>
      <c r="F2510" s="16" t="e">
        <f t="shared" ref="F2510:K2510" si="5054">VLOOKUP($A2510,[8]Movilidad!$A$1:$O$192,F$1,0)</f>
        <v>#N/A</v>
      </c>
      <c r="G2510" s="39" t="e">
        <f t="shared" si="5054"/>
        <v>#N/A</v>
      </c>
      <c r="H2510" s="16" t="e">
        <f t="shared" si="5054"/>
        <v>#N/A</v>
      </c>
      <c r="I2510" s="16" t="e">
        <f t="shared" si="5054"/>
        <v>#N/A</v>
      </c>
      <c r="J2510" s="40" t="e">
        <f t="shared" si="5054"/>
        <v>#N/A</v>
      </c>
      <c r="K2510" s="16" t="e">
        <f t="shared" si="5054"/>
        <v>#N/A</v>
      </c>
      <c r="L2510" s="40" t="e">
        <f t="shared" si="4837"/>
        <v>#N/A</v>
      </c>
      <c r="M2510" s="16" t="e">
        <f t="shared" si="4838"/>
        <v>#N/A</v>
      </c>
      <c r="N2510" s="16" t="e">
        <f t="shared" si="4839"/>
        <v>#N/A</v>
      </c>
      <c r="O2510" s="16" t="s">
        <v>72</v>
      </c>
      <c r="P2510" s="16" t="str">
        <f t="shared" si="6"/>
        <v/>
      </c>
      <c r="Q2510" s="41" t="e">
        <f t="shared" si="4840"/>
        <v>#N/A</v>
      </c>
      <c r="R2510" s="44"/>
      <c r="S2510" s="44"/>
      <c r="T2510" s="43"/>
      <c r="U2510" s="43" t="str">
        <f t="shared" si="8"/>
        <v>No</v>
      </c>
      <c r="V2510" s="25"/>
      <c r="W2510" s="25"/>
      <c r="X2510" s="25"/>
      <c r="Y2510" s="25"/>
      <c r="Z2510" s="25"/>
    </row>
    <row r="2511" spans="1:26" ht="15.75" customHeight="1" x14ac:dyDescent="0.25">
      <c r="A2511" s="25">
        <v>2509</v>
      </c>
      <c r="B2511" s="37" t="e">
        <f t="shared" ref="B2511:D2511" si="5055">VLOOKUP($A2511,[8]Movilidad!$A$1:$O$192,B$1,0)</f>
        <v>#N/A</v>
      </c>
      <c r="C2511" s="38" t="e">
        <f t="shared" si="5055"/>
        <v>#N/A</v>
      </c>
      <c r="D2511" s="39" t="e">
        <f t="shared" si="5055"/>
        <v>#N/A</v>
      </c>
      <c r="E2511" s="16" t="e">
        <f t="shared" si="1"/>
        <v>#N/A</v>
      </c>
      <c r="F2511" s="16" t="e">
        <f t="shared" ref="F2511:K2511" si="5056">VLOOKUP($A2511,[8]Movilidad!$A$1:$O$192,F$1,0)</f>
        <v>#N/A</v>
      </c>
      <c r="G2511" s="39" t="e">
        <f t="shared" si="5056"/>
        <v>#N/A</v>
      </c>
      <c r="H2511" s="16" t="e">
        <f t="shared" si="5056"/>
        <v>#N/A</v>
      </c>
      <c r="I2511" s="16" t="e">
        <f t="shared" si="5056"/>
        <v>#N/A</v>
      </c>
      <c r="J2511" s="40" t="e">
        <f t="shared" si="5056"/>
        <v>#N/A</v>
      </c>
      <c r="K2511" s="16" t="e">
        <f t="shared" si="5056"/>
        <v>#N/A</v>
      </c>
      <c r="L2511" s="40" t="e">
        <f t="shared" si="4837"/>
        <v>#N/A</v>
      </c>
      <c r="M2511" s="16" t="e">
        <f t="shared" si="4838"/>
        <v>#N/A</v>
      </c>
      <c r="N2511" s="16" t="e">
        <f t="shared" si="4839"/>
        <v>#N/A</v>
      </c>
      <c r="O2511" s="16" t="s">
        <v>72</v>
      </c>
      <c r="P2511" s="16" t="str">
        <f t="shared" si="6"/>
        <v/>
      </c>
      <c r="Q2511" s="41" t="e">
        <f t="shared" si="4840"/>
        <v>#N/A</v>
      </c>
      <c r="R2511" s="44"/>
      <c r="S2511" s="44"/>
      <c r="T2511" s="43"/>
      <c r="U2511" s="43" t="str">
        <f t="shared" si="8"/>
        <v>No</v>
      </c>
      <c r="V2511" s="25"/>
      <c r="W2511" s="25"/>
      <c r="X2511" s="25"/>
      <c r="Y2511" s="25"/>
      <c r="Z2511" s="25"/>
    </row>
    <row r="2512" spans="1:26" ht="15.75" customHeight="1" x14ac:dyDescent="0.25">
      <c r="A2512" s="25">
        <v>2510</v>
      </c>
      <c r="B2512" s="37" t="e">
        <f t="shared" ref="B2512:D2512" si="5057">VLOOKUP($A2512,[8]Movilidad!$A$1:$O$192,B$1,0)</f>
        <v>#N/A</v>
      </c>
      <c r="C2512" s="38" t="e">
        <f t="shared" si="5057"/>
        <v>#N/A</v>
      </c>
      <c r="D2512" s="39" t="e">
        <f t="shared" si="5057"/>
        <v>#N/A</v>
      </c>
      <c r="E2512" s="16" t="e">
        <f t="shared" si="1"/>
        <v>#N/A</v>
      </c>
      <c r="F2512" s="16" t="e">
        <f t="shared" ref="F2512:K2512" si="5058">VLOOKUP($A2512,[8]Movilidad!$A$1:$O$192,F$1,0)</f>
        <v>#N/A</v>
      </c>
      <c r="G2512" s="39" t="e">
        <f t="shared" si="5058"/>
        <v>#N/A</v>
      </c>
      <c r="H2512" s="16" t="e">
        <f t="shared" si="5058"/>
        <v>#N/A</v>
      </c>
      <c r="I2512" s="16" t="e">
        <f t="shared" si="5058"/>
        <v>#N/A</v>
      </c>
      <c r="J2512" s="40" t="e">
        <f t="shared" si="5058"/>
        <v>#N/A</v>
      </c>
      <c r="K2512" s="16" t="e">
        <f t="shared" si="5058"/>
        <v>#N/A</v>
      </c>
      <c r="L2512" s="40" t="e">
        <f t="shared" si="4837"/>
        <v>#N/A</v>
      </c>
      <c r="M2512" s="16" t="e">
        <f t="shared" si="4838"/>
        <v>#N/A</v>
      </c>
      <c r="N2512" s="16" t="e">
        <f t="shared" si="4839"/>
        <v>#N/A</v>
      </c>
      <c r="O2512" s="16" t="s">
        <v>72</v>
      </c>
      <c r="P2512" s="16" t="str">
        <f t="shared" si="6"/>
        <v/>
      </c>
      <c r="Q2512" s="41" t="e">
        <f t="shared" si="4840"/>
        <v>#N/A</v>
      </c>
      <c r="R2512" s="44"/>
      <c r="S2512" s="44"/>
      <c r="T2512" s="43"/>
      <c r="U2512" s="43" t="str">
        <f t="shared" si="8"/>
        <v>No</v>
      </c>
      <c r="V2512" s="25"/>
      <c r="W2512" s="25"/>
      <c r="X2512" s="25"/>
      <c r="Y2512" s="25"/>
      <c r="Z2512" s="25"/>
    </row>
    <row r="2513" spans="1:26" ht="15.75" customHeight="1" x14ac:dyDescent="0.25">
      <c r="A2513" s="25">
        <v>2511</v>
      </c>
      <c r="B2513" s="37" t="e">
        <f t="shared" ref="B2513:D2513" si="5059">VLOOKUP($A2513,[8]Movilidad!$A$1:$O$192,B$1,0)</f>
        <v>#N/A</v>
      </c>
      <c r="C2513" s="38" t="e">
        <f t="shared" si="5059"/>
        <v>#N/A</v>
      </c>
      <c r="D2513" s="39" t="e">
        <f t="shared" si="5059"/>
        <v>#N/A</v>
      </c>
      <c r="E2513" s="16" t="e">
        <f t="shared" si="1"/>
        <v>#N/A</v>
      </c>
      <c r="F2513" s="16" t="e">
        <f t="shared" ref="F2513:K2513" si="5060">VLOOKUP($A2513,[8]Movilidad!$A$1:$O$192,F$1,0)</f>
        <v>#N/A</v>
      </c>
      <c r="G2513" s="39" t="e">
        <f t="shared" si="5060"/>
        <v>#N/A</v>
      </c>
      <c r="H2513" s="16" t="e">
        <f t="shared" si="5060"/>
        <v>#N/A</v>
      </c>
      <c r="I2513" s="16" t="e">
        <f t="shared" si="5060"/>
        <v>#N/A</v>
      </c>
      <c r="J2513" s="40" t="e">
        <f t="shared" si="5060"/>
        <v>#N/A</v>
      </c>
      <c r="K2513" s="16" t="e">
        <f t="shared" si="5060"/>
        <v>#N/A</v>
      </c>
      <c r="L2513" s="40" t="e">
        <f t="shared" si="4837"/>
        <v>#N/A</v>
      </c>
      <c r="M2513" s="16" t="e">
        <f t="shared" si="4838"/>
        <v>#N/A</v>
      </c>
      <c r="N2513" s="16" t="e">
        <f t="shared" si="4839"/>
        <v>#N/A</v>
      </c>
      <c r="O2513" s="16" t="s">
        <v>72</v>
      </c>
      <c r="P2513" s="16" t="str">
        <f t="shared" si="6"/>
        <v/>
      </c>
      <c r="Q2513" s="41" t="e">
        <f t="shared" si="4840"/>
        <v>#N/A</v>
      </c>
      <c r="R2513" s="44"/>
      <c r="S2513" s="44"/>
      <c r="T2513" s="43"/>
      <c r="U2513" s="43" t="str">
        <f t="shared" si="8"/>
        <v>No</v>
      </c>
      <c r="V2513" s="25"/>
      <c r="W2513" s="25"/>
      <c r="X2513" s="25"/>
      <c r="Y2513" s="25"/>
      <c r="Z2513" s="25"/>
    </row>
    <row r="2514" spans="1:26" ht="15.75" customHeight="1" x14ac:dyDescent="0.25">
      <c r="A2514" s="25">
        <v>2512</v>
      </c>
      <c r="B2514" s="37" t="e">
        <f t="shared" ref="B2514:D2514" si="5061">VLOOKUP($A2514,[8]Movilidad!$A$1:$O$192,B$1,0)</f>
        <v>#N/A</v>
      </c>
      <c r="C2514" s="38" t="e">
        <f t="shared" si="5061"/>
        <v>#N/A</v>
      </c>
      <c r="D2514" s="39" t="e">
        <f t="shared" si="5061"/>
        <v>#N/A</v>
      </c>
      <c r="E2514" s="16" t="e">
        <f t="shared" si="1"/>
        <v>#N/A</v>
      </c>
      <c r="F2514" s="16" t="e">
        <f t="shared" ref="F2514:K2514" si="5062">VLOOKUP($A2514,[8]Movilidad!$A$1:$O$192,F$1,0)</f>
        <v>#N/A</v>
      </c>
      <c r="G2514" s="39" t="e">
        <f t="shared" si="5062"/>
        <v>#N/A</v>
      </c>
      <c r="H2514" s="16" t="e">
        <f t="shared" si="5062"/>
        <v>#N/A</v>
      </c>
      <c r="I2514" s="16" t="e">
        <f t="shared" si="5062"/>
        <v>#N/A</v>
      </c>
      <c r="J2514" s="40" t="e">
        <f t="shared" si="5062"/>
        <v>#N/A</v>
      </c>
      <c r="K2514" s="16" t="e">
        <f t="shared" si="5062"/>
        <v>#N/A</v>
      </c>
      <c r="L2514" s="40" t="e">
        <f t="shared" si="4837"/>
        <v>#N/A</v>
      </c>
      <c r="M2514" s="16" t="e">
        <f t="shared" si="4838"/>
        <v>#N/A</v>
      </c>
      <c r="N2514" s="16" t="e">
        <f t="shared" si="4839"/>
        <v>#N/A</v>
      </c>
      <c r="O2514" s="16" t="s">
        <v>72</v>
      </c>
      <c r="P2514" s="16" t="str">
        <f t="shared" si="6"/>
        <v/>
      </c>
      <c r="Q2514" s="41" t="e">
        <f t="shared" si="4840"/>
        <v>#N/A</v>
      </c>
      <c r="R2514" s="44"/>
      <c r="S2514" s="44"/>
      <c r="T2514" s="43"/>
      <c r="U2514" s="43" t="str">
        <f t="shared" si="8"/>
        <v>No</v>
      </c>
      <c r="V2514" s="25"/>
      <c r="W2514" s="25"/>
      <c r="X2514" s="25"/>
      <c r="Y2514" s="25"/>
      <c r="Z2514" s="25"/>
    </row>
    <row r="2515" spans="1:26" ht="15.75" customHeight="1" x14ac:dyDescent="0.25">
      <c r="A2515" s="25">
        <v>2513</v>
      </c>
      <c r="B2515" s="37" t="e">
        <f t="shared" ref="B2515:D2515" si="5063">VLOOKUP($A2515,[8]Movilidad!$A$1:$O$192,B$1,0)</f>
        <v>#N/A</v>
      </c>
      <c r="C2515" s="38" t="e">
        <f t="shared" si="5063"/>
        <v>#N/A</v>
      </c>
      <c r="D2515" s="39" t="e">
        <f t="shared" si="5063"/>
        <v>#N/A</v>
      </c>
      <c r="E2515" s="16" t="e">
        <f t="shared" si="1"/>
        <v>#N/A</v>
      </c>
      <c r="F2515" s="16" t="e">
        <f t="shared" ref="F2515:K2515" si="5064">VLOOKUP($A2515,[8]Movilidad!$A$1:$O$192,F$1,0)</f>
        <v>#N/A</v>
      </c>
      <c r="G2515" s="39" t="e">
        <f t="shared" si="5064"/>
        <v>#N/A</v>
      </c>
      <c r="H2515" s="16" t="e">
        <f t="shared" si="5064"/>
        <v>#N/A</v>
      </c>
      <c r="I2515" s="16" t="e">
        <f t="shared" si="5064"/>
        <v>#N/A</v>
      </c>
      <c r="J2515" s="40" t="e">
        <f t="shared" si="5064"/>
        <v>#N/A</v>
      </c>
      <c r="K2515" s="16" t="e">
        <f t="shared" si="5064"/>
        <v>#N/A</v>
      </c>
      <c r="L2515" s="40" t="e">
        <f t="shared" si="4837"/>
        <v>#N/A</v>
      </c>
      <c r="M2515" s="16" t="e">
        <f t="shared" si="4838"/>
        <v>#N/A</v>
      </c>
      <c r="N2515" s="16" t="e">
        <f t="shared" si="4839"/>
        <v>#N/A</v>
      </c>
      <c r="O2515" s="16" t="s">
        <v>72</v>
      </c>
      <c r="P2515" s="16" t="str">
        <f t="shared" si="6"/>
        <v/>
      </c>
      <c r="Q2515" s="41" t="e">
        <f t="shared" si="4840"/>
        <v>#N/A</v>
      </c>
      <c r="R2515" s="44"/>
      <c r="S2515" s="44"/>
      <c r="T2515" s="43"/>
      <c r="U2515" s="43" t="str">
        <f t="shared" si="8"/>
        <v>No</v>
      </c>
      <c r="V2515" s="25"/>
      <c r="W2515" s="25"/>
      <c r="X2515" s="25"/>
      <c r="Y2515" s="25"/>
      <c r="Z2515" s="25"/>
    </row>
    <row r="2516" spans="1:26" ht="15.75" customHeight="1" x14ac:dyDescent="0.25">
      <c r="A2516" s="25">
        <v>2514</v>
      </c>
      <c r="B2516" s="37" t="e">
        <f t="shared" ref="B2516:D2516" si="5065">VLOOKUP($A2516,[8]Movilidad!$A$1:$O$192,B$1,0)</f>
        <v>#N/A</v>
      </c>
      <c r="C2516" s="38" t="e">
        <f t="shared" si="5065"/>
        <v>#N/A</v>
      </c>
      <c r="D2516" s="39" t="e">
        <f t="shared" si="5065"/>
        <v>#N/A</v>
      </c>
      <c r="E2516" s="16" t="e">
        <f t="shared" si="1"/>
        <v>#N/A</v>
      </c>
      <c r="F2516" s="16" t="e">
        <f t="shared" ref="F2516:K2516" si="5066">VLOOKUP($A2516,[8]Movilidad!$A$1:$O$192,F$1,0)</f>
        <v>#N/A</v>
      </c>
      <c r="G2516" s="39" t="e">
        <f t="shared" si="5066"/>
        <v>#N/A</v>
      </c>
      <c r="H2516" s="16" t="e">
        <f t="shared" si="5066"/>
        <v>#N/A</v>
      </c>
      <c r="I2516" s="16" t="e">
        <f t="shared" si="5066"/>
        <v>#N/A</v>
      </c>
      <c r="J2516" s="40" t="e">
        <f t="shared" si="5066"/>
        <v>#N/A</v>
      </c>
      <c r="K2516" s="16" t="e">
        <f t="shared" si="5066"/>
        <v>#N/A</v>
      </c>
      <c r="L2516" s="40" t="e">
        <f t="shared" si="4837"/>
        <v>#N/A</v>
      </c>
      <c r="M2516" s="16" t="e">
        <f t="shared" si="4838"/>
        <v>#N/A</v>
      </c>
      <c r="N2516" s="16" t="e">
        <f t="shared" si="4839"/>
        <v>#N/A</v>
      </c>
      <c r="O2516" s="16" t="s">
        <v>72</v>
      </c>
      <c r="P2516" s="16" t="str">
        <f t="shared" si="6"/>
        <v/>
      </c>
      <c r="Q2516" s="41" t="e">
        <f t="shared" si="4840"/>
        <v>#N/A</v>
      </c>
      <c r="R2516" s="44"/>
      <c r="S2516" s="44"/>
      <c r="T2516" s="43"/>
      <c r="U2516" s="43" t="str">
        <f t="shared" si="8"/>
        <v>No</v>
      </c>
      <c r="V2516" s="25"/>
      <c r="W2516" s="25"/>
      <c r="X2516" s="25"/>
      <c r="Y2516" s="25"/>
      <c r="Z2516" s="25"/>
    </row>
    <row r="2517" spans="1:26" ht="15.75" customHeight="1" x14ac:dyDescent="0.25">
      <c r="A2517" s="25">
        <v>2515</v>
      </c>
      <c r="B2517" s="37" t="e">
        <f t="shared" ref="B2517:D2517" si="5067">VLOOKUP($A2517,[8]Movilidad!$A$1:$O$192,B$1,0)</f>
        <v>#N/A</v>
      </c>
      <c r="C2517" s="38" t="e">
        <f t="shared" si="5067"/>
        <v>#N/A</v>
      </c>
      <c r="D2517" s="39" t="e">
        <f t="shared" si="5067"/>
        <v>#N/A</v>
      </c>
      <c r="E2517" s="16" t="e">
        <f t="shared" si="1"/>
        <v>#N/A</v>
      </c>
      <c r="F2517" s="16" t="e">
        <f t="shared" ref="F2517:K2517" si="5068">VLOOKUP($A2517,[8]Movilidad!$A$1:$O$192,F$1,0)</f>
        <v>#N/A</v>
      </c>
      <c r="G2517" s="39" t="e">
        <f t="shared" si="5068"/>
        <v>#N/A</v>
      </c>
      <c r="H2517" s="16" t="e">
        <f t="shared" si="5068"/>
        <v>#N/A</v>
      </c>
      <c r="I2517" s="16" t="e">
        <f t="shared" si="5068"/>
        <v>#N/A</v>
      </c>
      <c r="J2517" s="40" t="e">
        <f t="shared" si="5068"/>
        <v>#N/A</v>
      </c>
      <c r="K2517" s="16" t="e">
        <f t="shared" si="5068"/>
        <v>#N/A</v>
      </c>
      <c r="L2517" s="40" t="e">
        <f t="shared" si="4837"/>
        <v>#N/A</v>
      </c>
      <c r="M2517" s="16" t="e">
        <f t="shared" si="4838"/>
        <v>#N/A</v>
      </c>
      <c r="N2517" s="16" t="e">
        <f t="shared" si="4839"/>
        <v>#N/A</v>
      </c>
      <c r="O2517" s="16" t="s">
        <v>72</v>
      </c>
      <c r="P2517" s="16" t="str">
        <f t="shared" si="6"/>
        <v/>
      </c>
      <c r="Q2517" s="41" t="e">
        <f t="shared" si="4840"/>
        <v>#N/A</v>
      </c>
      <c r="R2517" s="44"/>
      <c r="S2517" s="44"/>
      <c r="T2517" s="43" t="s">
        <v>89</v>
      </c>
      <c r="U2517" s="43" t="str">
        <f t="shared" si="8"/>
        <v>No</v>
      </c>
      <c r="V2517" s="25"/>
      <c r="W2517" s="25"/>
      <c r="X2517" s="25"/>
      <c r="Y2517" s="25"/>
      <c r="Z2517" s="25"/>
    </row>
    <row r="2518" spans="1:26" ht="15.75" customHeight="1" x14ac:dyDescent="0.25">
      <c r="A2518" s="25">
        <v>2516</v>
      </c>
      <c r="B2518" s="37" t="e">
        <f t="shared" ref="B2518:D2518" si="5069">VLOOKUP($A2518,[8]Movilidad!$A$1:$O$192,B$1,0)</f>
        <v>#N/A</v>
      </c>
      <c r="C2518" s="38" t="e">
        <f t="shared" si="5069"/>
        <v>#N/A</v>
      </c>
      <c r="D2518" s="39" t="e">
        <f t="shared" si="5069"/>
        <v>#N/A</v>
      </c>
      <c r="E2518" s="16" t="e">
        <f t="shared" si="1"/>
        <v>#N/A</v>
      </c>
      <c r="F2518" s="16" t="e">
        <f t="shared" ref="F2518:K2518" si="5070">VLOOKUP($A2518,[8]Movilidad!$A$1:$O$192,F$1,0)</f>
        <v>#N/A</v>
      </c>
      <c r="G2518" s="39" t="e">
        <f t="shared" si="5070"/>
        <v>#N/A</v>
      </c>
      <c r="H2518" s="16" t="e">
        <f t="shared" si="5070"/>
        <v>#N/A</v>
      </c>
      <c r="I2518" s="16" t="e">
        <f t="shared" si="5070"/>
        <v>#N/A</v>
      </c>
      <c r="J2518" s="40" t="e">
        <f t="shared" si="5070"/>
        <v>#N/A</v>
      </c>
      <c r="K2518" s="16" t="e">
        <f t="shared" si="5070"/>
        <v>#N/A</v>
      </c>
      <c r="L2518" s="40" t="e">
        <f t="shared" si="4837"/>
        <v>#N/A</v>
      </c>
      <c r="M2518" s="16" t="e">
        <f t="shared" si="4838"/>
        <v>#N/A</v>
      </c>
      <c r="N2518" s="16" t="e">
        <f t="shared" si="4839"/>
        <v>#N/A</v>
      </c>
      <c r="O2518" s="16" t="s">
        <v>72</v>
      </c>
      <c r="P2518" s="16" t="str">
        <f t="shared" si="6"/>
        <v/>
      </c>
      <c r="Q2518" s="41" t="e">
        <f t="shared" si="4840"/>
        <v>#N/A</v>
      </c>
      <c r="R2518" s="44"/>
      <c r="S2518" s="44"/>
      <c r="T2518" s="43" t="s">
        <v>89</v>
      </c>
      <c r="U2518" s="43" t="str">
        <f t="shared" si="8"/>
        <v>No</v>
      </c>
      <c r="V2518" s="25"/>
      <c r="W2518" s="25"/>
      <c r="X2518" s="25"/>
      <c r="Y2518" s="25"/>
      <c r="Z2518" s="25"/>
    </row>
    <row r="2519" spans="1:26" ht="15.75" customHeight="1" x14ac:dyDescent="0.25">
      <c r="A2519" s="25">
        <v>2517</v>
      </c>
      <c r="B2519" s="37" t="e">
        <f t="shared" ref="B2519:D2519" si="5071">VLOOKUP($A2519,[8]Movilidad!$A$1:$O$192,B$1,0)</f>
        <v>#N/A</v>
      </c>
      <c r="C2519" s="38" t="e">
        <f t="shared" si="5071"/>
        <v>#N/A</v>
      </c>
      <c r="D2519" s="39" t="e">
        <f t="shared" si="5071"/>
        <v>#N/A</v>
      </c>
      <c r="E2519" s="16" t="e">
        <f t="shared" si="1"/>
        <v>#N/A</v>
      </c>
      <c r="F2519" s="16" t="e">
        <f t="shared" ref="F2519:K2519" si="5072">VLOOKUP($A2519,[8]Movilidad!$A$1:$O$192,F$1,0)</f>
        <v>#N/A</v>
      </c>
      <c r="G2519" s="39" t="e">
        <f t="shared" si="5072"/>
        <v>#N/A</v>
      </c>
      <c r="H2519" s="16" t="e">
        <f t="shared" si="5072"/>
        <v>#N/A</v>
      </c>
      <c r="I2519" s="16" t="e">
        <f t="shared" si="5072"/>
        <v>#N/A</v>
      </c>
      <c r="J2519" s="40" t="e">
        <f t="shared" si="5072"/>
        <v>#N/A</v>
      </c>
      <c r="K2519" s="16" t="e">
        <f t="shared" si="5072"/>
        <v>#N/A</v>
      </c>
      <c r="L2519" s="40" t="e">
        <f t="shared" si="4837"/>
        <v>#N/A</v>
      </c>
      <c r="M2519" s="16" t="e">
        <f t="shared" si="4838"/>
        <v>#N/A</v>
      </c>
      <c r="N2519" s="16" t="e">
        <f t="shared" si="4839"/>
        <v>#N/A</v>
      </c>
      <c r="O2519" s="16" t="s">
        <v>72</v>
      </c>
      <c r="P2519" s="16" t="str">
        <f t="shared" si="6"/>
        <v/>
      </c>
      <c r="Q2519" s="41" t="e">
        <f t="shared" si="4840"/>
        <v>#N/A</v>
      </c>
      <c r="R2519" s="44"/>
      <c r="S2519" s="44"/>
      <c r="T2519" s="43"/>
      <c r="U2519" s="43" t="str">
        <f t="shared" si="8"/>
        <v>No</v>
      </c>
      <c r="V2519" s="25"/>
      <c r="W2519" s="25"/>
      <c r="X2519" s="25"/>
      <c r="Y2519" s="25"/>
      <c r="Z2519" s="25"/>
    </row>
    <row r="2520" spans="1:26" ht="15.75" customHeight="1" x14ac:dyDescent="0.25">
      <c r="A2520" s="25">
        <v>2518</v>
      </c>
      <c r="B2520" s="37" t="e">
        <f t="shared" ref="B2520:D2520" si="5073">VLOOKUP($A2520,[8]Movilidad!$A$1:$O$192,B$1,0)</f>
        <v>#N/A</v>
      </c>
      <c r="C2520" s="38" t="e">
        <f t="shared" si="5073"/>
        <v>#N/A</v>
      </c>
      <c r="D2520" s="39" t="e">
        <f t="shared" si="5073"/>
        <v>#N/A</v>
      </c>
      <c r="E2520" s="16" t="e">
        <f t="shared" si="1"/>
        <v>#N/A</v>
      </c>
      <c r="F2520" s="16" t="e">
        <f t="shared" ref="F2520:K2520" si="5074">VLOOKUP($A2520,[8]Movilidad!$A$1:$O$192,F$1,0)</f>
        <v>#N/A</v>
      </c>
      <c r="G2520" s="39" t="e">
        <f t="shared" si="5074"/>
        <v>#N/A</v>
      </c>
      <c r="H2520" s="16" t="e">
        <f t="shared" si="5074"/>
        <v>#N/A</v>
      </c>
      <c r="I2520" s="16" t="e">
        <f t="shared" si="5074"/>
        <v>#N/A</v>
      </c>
      <c r="J2520" s="40" t="e">
        <f t="shared" si="5074"/>
        <v>#N/A</v>
      </c>
      <c r="K2520" s="16" t="e">
        <f t="shared" si="5074"/>
        <v>#N/A</v>
      </c>
      <c r="L2520" s="40" t="e">
        <f t="shared" si="4837"/>
        <v>#N/A</v>
      </c>
      <c r="M2520" s="16" t="e">
        <f t="shared" si="4838"/>
        <v>#N/A</v>
      </c>
      <c r="N2520" s="16" t="e">
        <f t="shared" si="4839"/>
        <v>#N/A</v>
      </c>
      <c r="O2520" s="16" t="s">
        <v>72</v>
      </c>
      <c r="P2520" s="16" t="str">
        <f t="shared" si="6"/>
        <v/>
      </c>
      <c r="Q2520" s="41" t="e">
        <f t="shared" si="4840"/>
        <v>#N/A</v>
      </c>
      <c r="R2520" s="44"/>
      <c r="S2520" s="44"/>
      <c r="T2520" s="43"/>
      <c r="U2520" s="43" t="str">
        <f t="shared" si="8"/>
        <v>No</v>
      </c>
      <c r="V2520" s="25"/>
      <c r="W2520" s="25"/>
      <c r="X2520" s="25"/>
      <c r="Y2520" s="25"/>
      <c r="Z2520" s="25"/>
    </row>
    <row r="2521" spans="1:26" ht="15.75" customHeight="1" x14ac:dyDescent="0.25">
      <c r="A2521" s="25">
        <v>2519</v>
      </c>
      <c r="B2521" s="37" t="e">
        <f t="shared" ref="B2521:D2521" si="5075">VLOOKUP($A2521,[8]Movilidad!$A$1:$O$192,B$1,0)</f>
        <v>#N/A</v>
      </c>
      <c r="C2521" s="38" t="e">
        <f t="shared" si="5075"/>
        <v>#N/A</v>
      </c>
      <c r="D2521" s="39" t="e">
        <f t="shared" si="5075"/>
        <v>#N/A</v>
      </c>
      <c r="E2521" s="16" t="e">
        <f t="shared" si="1"/>
        <v>#N/A</v>
      </c>
      <c r="F2521" s="16" t="e">
        <f t="shared" ref="F2521:K2521" si="5076">VLOOKUP($A2521,[8]Movilidad!$A$1:$O$192,F$1,0)</f>
        <v>#N/A</v>
      </c>
      <c r="G2521" s="39" t="e">
        <f t="shared" si="5076"/>
        <v>#N/A</v>
      </c>
      <c r="H2521" s="16" t="e">
        <f t="shared" si="5076"/>
        <v>#N/A</v>
      </c>
      <c r="I2521" s="16" t="e">
        <f t="shared" si="5076"/>
        <v>#N/A</v>
      </c>
      <c r="J2521" s="40" t="e">
        <f t="shared" si="5076"/>
        <v>#N/A</v>
      </c>
      <c r="K2521" s="16" t="e">
        <f t="shared" si="5076"/>
        <v>#N/A</v>
      </c>
      <c r="L2521" s="40" t="e">
        <f t="shared" si="4837"/>
        <v>#N/A</v>
      </c>
      <c r="M2521" s="16" t="e">
        <f t="shared" si="4838"/>
        <v>#N/A</v>
      </c>
      <c r="N2521" s="16" t="e">
        <f t="shared" si="4839"/>
        <v>#N/A</v>
      </c>
      <c r="O2521" s="16" t="s">
        <v>72</v>
      </c>
      <c r="P2521" s="16" t="str">
        <f t="shared" si="6"/>
        <v/>
      </c>
      <c r="Q2521" s="41" t="e">
        <f t="shared" si="4840"/>
        <v>#N/A</v>
      </c>
      <c r="R2521" s="44"/>
      <c r="S2521" s="44"/>
      <c r="T2521" s="43" t="s">
        <v>89</v>
      </c>
      <c r="U2521" s="43" t="str">
        <f t="shared" si="8"/>
        <v>No</v>
      </c>
      <c r="V2521" s="25"/>
      <c r="W2521" s="25"/>
      <c r="X2521" s="25"/>
      <c r="Y2521" s="25"/>
      <c r="Z2521" s="25"/>
    </row>
    <row r="2522" spans="1:26" ht="15.75" customHeight="1" x14ac:dyDescent="0.25">
      <c r="A2522" s="25">
        <v>2520</v>
      </c>
      <c r="B2522" s="37" t="e">
        <f t="shared" ref="B2522:D2522" si="5077">VLOOKUP($A2522,[8]Movilidad!$A$1:$O$192,B$1,0)</f>
        <v>#N/A</v>
      </c>
      <c r="C2522" s="38" t="e">
        <f t="shared" si="5077"/>
        <v>#N/A</v>
      </c>
      <c r="D2522" s="39" t="e">
        <f t="shared" si="5077"/>
        <v>#N/A</v>
      </c>
      <c r="E2522" s="16" t="e">
        <f t="shared" si="1"/>
        <v>#N/A</v>
      </c>
      <c r="F2522" s="16" t="e">
        <f t="shared" ref="F2522:K2522" si="5078">VLOOKUP($A2522,[8]Movilidad!$A$1:$O$192,F$1,0)</f>
        <v>#N/A</v>
      </c>
      <c r="G2522" s="39" t="e">
        <f t="shared" si="5078"/>
        <v>#N/A</v>
      </c>
      <c r="H2522" s="16" t="e">
        <f t="shared" si="5078"/>
        <v>#N/A</v>
      </c>
      <c r="I2522" s="16" t="e">
        <f t="shared" si="5078"/>
        <v>#N/A</v>
      </c>
      <c r="J2522" s="40" t="e">
        <f t="shared" si="5078"/>
        <v>#N/A</v>
      </c>
      <c r="K2522" s="16" t="e">
        <f t="shared" si="5078"/>
        <v>#N/A</v>
      </c>
      <c r="L2522" s="40" t="e">
        <f t="shared" si="4837"/>
        <v>#N/A</v>
      </c>
      <c r="M2522" s="16" t="e">
        <f t="shared" si="4838"/>
        <v>#N/A</v>
      </c>
      <c r="N2522" s="16" t="e">
        <f t="shared" si="4839"/>
        <v>#N/A</v>
      </c>
      <c r="O2522" s="16" t="s">
        <v>72</v>
      </c>
      <c r="P2522" s="16" t="str">
        <f t="shared" si="6"/>
        <v/>
      </c>
      <c r="Q2522" s="41" t="e">
        <f t="shared" si="4840"/>
        <v>#N/A</v>
      </c>
      <c r="R2522" s="44"/>
      <c r="S2522" s="44"/>
      <c r="T2522" s="43"/>
      <c r="U2522" s="43" t="str">
        <f t="shared" si="8"/>
        <v>No</v>
      </c>
      <c r="V2522" s="25"/>
      <c r="W2522" s="25"/>
      <c r="X2522" s="25"/>
      <c r="Y2522" s="25"/>
      <c r="Z2522" s="25"/>
    </row>
    <row r="2523" spans="1:26" ht="15.75" customHeight="1" x14ac:dyDescent="0.25">
      <c r="A2523" s="25">
        <v>2521</v>
      </c>
      <c r="B2523" s="37" t="e">
        <f t="shared" ref="B2523:D2523" si="5079">VLOOKUP($A2523,[8]Movilidad!$A$1:$O$192,B$1,0)</f>
        <v>#N/A</v>
      </c>
      <c r="C2523" s="38" t="e">
        <f t="shared" si="5079"/>
        <v>#N/A</v>
      </c>
      <c r="D2523" s="39" t="e">
        <f t="shared" si="5079"/>
        <v>#N/A</v>
      </c>
      <c r="E2523" s="16" t="e">
        <f t="shared" si="1"/>
        <v>#N/A</v>
      </c>
      <c r="F2523" s="16" t="e">
        <f t="shared" ref="F2523:K2523" si="5080">VLOOKUP($A2523,[8]Movilidad!$A$1:$O$192,F$1,0)</f>
        <v>#N/A</v>
      </c>
      <c r="G2523" s="39" t="e">
        <f t="shared" si="5080"/>
        <v>#N/A</v>
      </c>
      <c r="H2523" s="16" t="e">
        <f t="shared" si="5080"/>
        <v>#N/A</v>
      </c>
      <c r="I2523" s="16" t="e">
        <f t="shared" si="5080"/>
        <v>#N/A</v>
      </c>
      <c r="J2523" s="40" t="e">
        <f t="shared" si="5080"/>
        <v>#N/A</v>
      </c>
      <c r="K2523" s="16" t="e">
        <f t="shared" si="5080"/>
        <v>#N/A</v>
      </c>
      <c r="L2523" s="40" t="e">
        <f t="shared" si="4837"/>
        <v>#N/A</v>
      </c>
      <c r="M2523" s="16" t="e">
        <f t="shared" si="4838"/>
        <v>#N/A</v>
      </c>
      <c r="N2523" s="16" t="e">
        <f t="shared" si="4839"/>
        <v>#N/A</v>
      </c>
      <c r="O2523" s="16" t="s">
        <v>72</v>
      </c>
      <c r="P2523" s="16" t="str">
        <f t="shared" si="6"/>
        <v/>
      </c>
      <c r="Q2523" s="41" t="e">
        <f t="shared" si="4840"/>
        <v>#N/A</v>
      </c>
      <c r="R2523" s="44"/>
      <c r="S2523" s="44"/>
      <c r="T2523" s="43"/>
      <c r="U2523" s="43" t="str">
        <f t="shared" si="8"/>
        <v>No</v>
      </c>
      <c r="V2523" s="25"/>
      <c r="W2523" s="25"/>
      <c r="X2523" s="25"/>
      <c r="Y2523" s="25"/>
      <c r="Z2523" s="25"/>
    </row>
    <row r="2524" spans="1:26" ht="15.75" customHeight="1" x14ac:dyDescent="0.25">
      <c r="A2524" s="25">
        <v>2522</v>
      </c>
      <c r="B2524" s="37" t="e">
        <f t="shared" ref="B2524:D2524" si="5081">VLOOKUP($A2524,[8]Movilidad!$A$1:$O$192,B$1,0)</f>
        <v>#N/A</v>
      </c>
      <c r="C2524" s="38" t="e">
        <f t="shared" si="5081"/>
        <v>#N/A</v>
      </c>
      <c r="D2524" s="39" t="e">
        <f t="shared" si="5081"/>
        <v>#N/A</v>
      </c>
      <c r="E2524" s="16" t="e">
        <f t="shared" si="1"/>
        <v>#N/A</v>
      </c>
      <c r="F2524" s="16" t="e">
        <f t="shared" ref="F2524:K2524" si="5082">VLOOKUP($A2524,[8]Movilidad!$A$1:$O$192,F$1,0)</f>
        <v>#N/A</v>
      </c>
      <c r="G2524" s="39" t="e">
        <f t="shared" si="5082"/>
        <v>#N/A</v>
      </c>
      <c r="H2524" s="16" t="e">
        <f t="shared" si="5082"/>
        <v>#N/A</v>
      </c>
      <c r="I2524" s="16" t="e">
        <f t="shared" si="5082"/>
        <v>#N/A</v>
      </c>
      <c r="J2524" s="40" t="e">
        <f t="shared" si="5082"/>
        <v>#N/A</v>
      </c>
      <c r="K2524" s="16" t="e">
        <f t="shared" si="5082"/>
        <v>#N/A</v>
      </c>
      <c r="L2524" s="40" t="e">
        <f t="shared" si="4837"/>
        <v>#N/A</v>
      </c>
      <c r="M2524" s="16" t="e">
        <f t="shared" si="4838"/>
        <v>#N/A</v>
      </c>
      <c r="N2524" s="16" t="e">
        <f t="shared" si="4839"/>
        <v>#N/A</v>
      </c>
      <c r="O2524" s="16" t="s">
        <v>72</v>
      </c>
      <c r="P2524" s="16" t="str">
        <f t="shared" si="6"/>
        <v/>
      </c>
      <c r="Q2524" s="41" t="e">
        <f t="shared" si="4840"/>
        <v>#N/A</v>
      </c>
      <c r="R2524" s="44"/>
      <c r="S2524" s="44"/>
      <c r="T2524" s="43"/>
      <c r="U2524" s="43" t="str">
        <f t="shared" si="8"/>
        <v>No</v>
      </c>
      <c r="V2524" s="25"/>
      <c r="W2524" s="25"/>
      <c r="X2524" s="25"/>
      <c r="Y2524" s="25"/>
      <c r="Z2524" s="25"/>
    </row>
    <row r="2525" spans="1:26" ht="15.75" customHeight="1" x14ac:dyDescent="0.25">
      <c r="A2525" s="25">
        <v>2523</v>
      </c>
      <c r="B2525" s="37" t="e">
        <f t="shared" ref="B2525:D2525" si="5083">VLOOKUP($A2525,[8]Movilidad!$A$1:$O$192,B$1,0)</f>
        <v>#N/A</v>
      </c>
      <c r="C2525" s="38" t="e">
        <f t="shared" si="5083"/>
        <v>#N/A</v>
      </c>
      <c r="D2525" s="39" t="e">
        <f t="shared" si="5083"/>
        <v>#N/A</v>
      </c>
      <c r="E2525" s="16" t="e">
        <f t="shared" si="1"/>
        <v>#N/A</v>
      </c>
      <c r="F2525" s="16" t="e">
        <f t="shared" ref="F2525:K2525" si="5084">VLOOKUP($A2525,[8]Movilidad!$A$1:$O$192,F$1,0)</f>
        <v>#N/A</v>
      </c>
      <c r="G2525" s="39" t="e">
        <f t="shared" si="5084"/>
        <v>#N/A</v>
      </c>
      <c r="H2525" s="16" t="e">
        <f t="shared" si="5084"/>
        <v>#N/A</v>
      </c>
      <c r="I2525" s="16" t="e">
        <f t="shared" si="5084"/>
        <v>#N/A</v>
      </c>
      <c r="J2525" s="40" t="e">
        <f t="shared" si="5084"/>
        <v>#N/A</v>
      </c>
      <c r="K2525" s="16" t="e">
        <f t="shared" si="5084"/>
        <v>#N/A</v>
      </c>
      <c r="L2525" s="40" t="e">
        <f t="shared" si="4837"/>
        <v>#N/A</v>
      </c>
      <c r="M2525" s="16" t="e">
        <f t="shared" si="4838"/>
        <v>#N/A</v>
      </c>
      <c r="N2525" s="16" t="e">
        <f t="shared" si="4839"/>
        <v>#N/A</v>
      </c>
      <c r="O2525" s="16" t="s">
        <v>72</v>
      </c>
      <c r="P2525" s="16" t="str">
        <f t="shared" si="6"/>
        <v/>
      </c>
      <c r="Q2525" s="41" t="e">
        <f t="shared" si="4840"/>
        <v>#N/A</v>
      </c>
      <c r="R2525" s="44"/>
      <c r="S2525" s="44"/>
      <c r="T2525" s="43"/>
      <c r="U2525" s="43" t="str">
        <f t="shared" si="8"/>
        <v>No</v>
      </c>
      <c r="V2525" s="25"/>
      <c r="W2525" s="25"/>
      <c r="X2525" s="25"/>
      <c r="Y2525" s="25"/>
      <c r="Z2525" s="25"/>
    </row>
    <row r="2526" spans="1:26" ht="15.75" customHeight="1" x14ac:dyDescent="0.25">
      <c r="A2526" s="25">
        <v>2524</v>
      </c>
      <c r="B2526" s="37" t="e">
        <f t="shared" ref="B2526:D2526" si="5085">VLOOKUP($A2526,[8]Movilidad!$A$1:$O$192,B$1,0)</f>
        <v>#N/A</v>
      </c>
      <c r="C2526" s="38" t="e">
        <f t="shared" si="5085"/>
        <v>#N/A</v>
      </c>
      <c r="D2526" s="39" t="e">
        <f t="shared" si="5085"/>
        <v>#N/A</v>
      </c>
      <c r="E2526" s="16" t="e">
        <f t="shared" si="1"/>
        <v>#N/A</v>
      </c>
      <c r="F2526" s="16" t="e">
        <f t="shared" ref="F2526:K2526" si="5086">VLOOKUP($A2526,[8]Movilidad!$A$1:$O$192,F$1,0)</f>
        <v>#N/A</v>
      </c>
      <c r="G2526" s="39" t="e">
        <f t="shared" si="5086"/>
        <v>#N/A</v>
      </c>
      <c r="H2526" s="16" t="e">
        <f t="shared" si="5086"/>
        <v>#N/A</v>
      </c>
      <c r="I2526" s="16" t="e">
        <f t="shared" si="5086"/>
        <v>#N/A</v>
      </c>
      <c r="J2526" s="40" t="e">
        <f t="shared" si="5086"/>
        <v>#N/A</v>
      </c>
      <c r="K2526" s="16" t="e">
        <f t="shared" si="5086"/>
        <v>#N/A</v>
      </c>
      <c r="L2526" s="40" t="e">
        <f t="shared" si="4837"/>
        <v>#N/A</v>
      </c>
      <c r="M2526" s="16" t="e">
        <f t="shared" si="4838"/>
        <v>#N/A</v>
      </c>
      <c r="N2526" s="16" t="e">
        <f t="shared" si="4839"/>
        <v>#N/A</v>
      </c>
      <c r="O2526" s="16" t="s">
        <v>72</v>
      </c>
      <c r="P2526" s="16" t="str">
        <f t="shared" si="6"/>
        <v/>
      </c>
      <c r="Q2526" s="41" t="e">
        <f t="shared" si="4840"/>
        <v>#N/A</v>
      </c>
      <c r="R2526" s="44"/>
      <c r="S2526" s="44"/>
      <c r="T2526" s="43"/>
      <c r="U2526" s="43" t="str">
        <f t="shared" si="8"/>
        <v>No</v>
      </c>
      <c r="V2526" s="25"/>
      <c r="W2526" s="25"/>
      <c r="X2526" s="25"/>
      <c r="Y2526" s="25"/>
      <c r="Z2526" s="25"/>
    </row>
    <row r="2527" spans="1:26" ht="15.75" customHeight="1" x14ac:dyDescent="0.25">
      <c r="A2527" s="25">
        <v>2525</v>
      </c>
      <c r="B2527" s="37" t="e">
        <f t="shared" ref="B2527:D2527" si="5087">VLOOKUP($A2527,[8]Movilidad!$A$1:$O$192,B$1,0)</f>
        <v>#N/A</v>
      </c>
      <c r="C2527" s="38" t="e">
        <f t="shared" si="5087"/>
        <v>#N/A</v>
      </c>
      <c r="D2527" s="39" t="e">
        <f t="shared" si="5087"/>
        <v>#N/A</v>
      </c>
      <c r="E2527" s="16" t="e">
        <f t="shared" si="1"/>
        <v>#N/A</v>
      </c>
      <c r="F2527" s="16" t="e">
        <f t="shared" ref="F2527:K2527" si="5088">VLOOKUP($A2527,[8]Movilidad!$A$1:$O$192,F$1,0)</f>
        <v>#N/A</v>
      </c>
      <c r="G2527" s="39" t="e">
        <f t="shared" si="5088"/>
        <v>#N/A</v>
      </c>
      <c r="H2527" s="16" t="e">
        <f t="shared" si="5088"/>
        <v>#N/A</v>
      </c>
      <c r="I2527" s="16" t="e">
        <f t="shared" si="5088"/>
        <v>#N/A</v>
      </c>
      <c r="J2527" s="40" t="e">
        <f t="shared" si="5088"/>
        <v>#N/A</v>
      </c>
      <c r="K2527" s="16" t="e">
        <f t="shared" si="5088"/>
        <v>#N/A</v>
      </c>
      <c r="L2527" s="40" t="e">
        <f t="shared" si="4837"/>
        <v>#N/A</v>
      </c>
      <c r="M2527" s="16" t="e">
        <f t="shared" si="4838"/>
        <v>#N/A</v>
      </c>
      <c r="N2527" s="16" t="e">
        <f t="shared" si="4839"/>
        <v>#N/A</v>
      </c>
      <c r="O2527" s="16" t="s">
        <v>72</v>
      </c>
      <c r="P2527" s="16" t="str">
        <f t="shared" si="6"/>
        <v/>
      </c>
      <c r="Q2527" s="41" t="e">
        <f t="shared" si="4840"/>
        <v>#N/A</v>
      </c>
      <c r="R2527" s="44"/>
      <c r="S2527" s="44"/>
      <c r="T2527" s="43"/>
      <c r="U2527" s="43" t="str">
        <f t="shared" si="8"/>
        <v>No</v>
      </c>
      <c r="V2527" s="25"/>
      <c r="W2527" s="25"/>
      <c r="X2527" s="25"/>
      <c r="Y2527" s="25"/>
      <c r="Z2527" s="25"/>
    </row>
    <row r="2528" spans="1:26" ht="15.75" customHeight="1" x14ac:dyDescent="0.25">
      <c r="A2528" s="25">
        <v>2526</v>
      </c>
      <c r="B2528" s="37" t="e">
        <f t="shared" ref="B2528:D2528" si="5089">VLOOKUP($A2528,[8]Movilidad!$A$1:$O$192,B$1,0)</f>
        <v>#N/A</v>
      </c>
      <c r="C2528" s="38" t="e">
        <f t="shared" si="5089"/>
        <v>#N/A</v>
      </c>
      <c r="D2528" s="39" t="e">
        <f t="shared" si="5089"/>
        <v>#N/A</v>
      </c>
      <c r="E2528" s="16" t="e">
        <f t="shared" si="1"/>
        <v>#N/A</v>
      </c>
      <c r="F2528" s="16" t="e">
        <f t="shared" ref="F2528:K2528" si="5090">VLOOKUP($A2528,[8]Movilidad!$A$1:$O$192,F$1,0)</f>
        <v>#N/A</v>
      </c>
      <c r="G2528" s="39" t="e">
        <f t="shared" si="5090"/>
        <v>#N/A</v>
      </c>
      <c r="H2528" s="16" t="e">
        <f t="shared" si="5090"/>
        <v>#N/A</v>
      </c>
      <c r="I2528" s="16" t="e">
        <f t="shared" si="5090"/>
        <v>#N/A</v>
      </c>
      <c r="J2528" s="40" t="e">
        <f t="shared" si="5090"/>
        <v>#N/A</v>
      </c>
      <c r="K2528" s="16" t="e">
        <f t="shared" si="5090"/>
        <v>#N/A</v>
      </c>
      <c r="L2528" s="40" t="e">
        <f t="shared" si="4837"/>
        <v>#N/A</v>
      </c>
      <c r="M2528" s="16" t="e">
        <f t="shared" si="4838"/>
        <v>#N/A</v>
      </c>
      <c r="N2528" s="16" t="e">
        <f t="shared" si="4839"/>
        <v>#N/A</v>
      </c>
      <c r="O2528" s="16" t="s">
        <v>72</v>
      </c>
      <c r="P2528" s="16" t="str">
        <f t="shared" si="6"/>
        <v/>
      </c>
      <c r="Q2528" s="41" t="e">
        <f t="shared" si="4840"/>
        <v>#N/A</v>
      </c>
      <c r="R2528" s="44"/>
      <c r="S2528" s="44"/>
      <c r="T2528" s="43"/>
      <c r="U2528" s="43" t="str">
        <f t="shared" si="8"/>
        <v>No</v>
      </c>
      <c r="V2528" s="25"/>
      <c r="W2528" s="25"/>
      <c r="X2528" s="25"/>
      <c r="Y2528" s="25"/>
      <c r="Z2528" s="25"/>
    </row>
    <row r="2529" spans="1:26" ht="15.75" customHeight="1" x14ac:dyDescent="0.25">
      <c r="A2529" s="25">
        <v>2527</v>
      </c>
      <c r="B2529" s="37" t="e">
        <f t="shared" ref="B2529:D2529" si="5091">VLOOKUP($A2529,[8]Movilidad!$A$1:$O$192,B$1,0)</f>
        <v>#N/A</v>
      </c>
      <c r="C2529" s="38" t="e">
        <f t="shared" si="5091"/>
        <v>#N/A</v>
      </c>
      <c r="D2529" s="39" t="e">
        <f t="shared" si="5091"/>
        <v>#N/A</v>
      </c>
      <c r="E2529" s="16" t="e">
        <f t="shared" si="1"/>
        <v>#N/A</v>
      </c>
      <c r="F2529" s="16" t="e">
        <f t="shared" ref="F2529:K2529" si="5092">VLOOKUP($A2529,[8]Movilidad!$A$1:$O$192,F$1,0)</f>
        <v>#N/A</v>
      </c>
      <c r="G2529" s="39" t="e">
        <f t="shared" si="5092"/>
        <v>#N/A</v>
      </c>
      <c r="H2529" s="16" t="e">
        <f t="shared" si="5092"/>
        <v>#N/A</v>
      </c>
      <c r="I2529" s="16" t="e">
        <f t="shared" si="5092"/>
        <v>#N/A</v>
      </c>
      <c r="J2529" s="40" t="e">
        <f t="shared" si="5092"/>
        <v>#N/A</v>
      </c>
      <c r="K2529" s="16" t="e">
        <f t="shared" si="5092"/>
        <v>#N/A</v>
      </c>
      <c r="L2529" s="40" t="e">
        <f t="shared" si="4837"/>
        <v>#N/A</v>
      </c>
      <c r="M2529" s="16" t="e">
        <f t="shared" si="4838"/>
        <v>#N/A</v>
      </c>
      <c r="N2529" s="16" t="e">
        <f t="shared" si="4839"/>
        <v>#N/A</v>
      </c>
      <c r="O2529" s="16" t="s">
        <v>72</v>
      </c>
      <c r="P2529" s="16" t="str">
        <f t="shared" si="6"/>
        <v/>
      </c>
      <c r="Q2529" s="41" t="e">
        <f t="shared" si="4840"/>
        <v>#N/A</v>
      </c>
      <c r="R2529" s="44"/>
      <c r="S2529" s="44"/>
      <c r="T2529" s="43"/>
      <c r="U2529" s="43" t="str">
        <f t="shared" si="8"/>
        <v>No</v>
      </c>
      <c r="V2529" s="25"/>
      <c r="W2529" s="25"/>
      <c r="X2529" s="25"/>
      <c r="Y2529" s="25"/>
      <c r="Z2529" s="25"/>
    </row>
    <row r="2530" spans="1:26" ht="15.75" customHeight="1" x14ac:dyDescent="0.25">
      <c r="A2530" s="25">
        <v>2528</v>
      </c>
      <c r="B2530" s="37" t="e">
        <f t="shared" ref="B2530:D2530" si="5093">VLOOKUP($A2530,[8]Movilidad!$A$1:$O$192,B$1,0)</f>
        <v>#N/A</v>
      </c>
      <c r="C2530" s="38" t="e">
        <f t="shared" si="5093"/>
        <v>#N/A</v>
      </c>
      <c r="D2530" s="39" t="e">
        <f t="shared" si="5093"/>
        <v>#N/A</v>
      </c>
      <c r="E2530" s="16" t="e">
        <f t="shared" si="1"/>
        <v>#N/A</v>
      </c>
      <c r="F2530" s="16" t="e">
        <f t="shared" ref="F2530:K2530" si="5094">VLOOKUP($A2530,[8]Movilidad!$A$1:$O$192,F$1,0)</f>
        <v>#N/A</v>
      </c>
      <c r="G2530" s="39" t="e">
        <f t="shared" si="5094"/>
        <v>#N/A</v>
      </c>
      <c r="H2530" s="16" t="e">
        <f t="shared" si="5094"/>
        <v>#N/A</v>
      </c>
      <c r="I2530" s="16" t="e">
        <f t="shared" si="5094"/>
        <v>#N/A</v>
      </c>
      <c r="J2530" s="40" t="e">
        <f t="shared" si="5094"/>
        <v>#N/A</v>
      </c>
      <c r="K2530" s="16" t="e">
        <f t="shared" si="5094"/>
        <v>#N/A</v>
      </c>
      <c r="L2530" s="40" t="e">
        <f t="shared" si="4837"/>
        <v>#N/A</v>
      </c>
      <c r="M2530" s="16" t="e">
        <f t="shared" si="4838"/>
        <v>#N/A</v>
      </c>
      <c r="N2530" s="16" t="e">
        <f t="shared" si="4839"/>
        <v>#N/A</v>
      </c>
      <c r="O2530" s="16" t="s">
        <v>72</v>
      </c>
      <c r="P2530" s="16" t="str">
        <f t="shared" si="6"/>
        <v/>
      </c>
      <c r="Q2530" s="41" t="e">
        <f t="shared" si="4840"/>
        <v>#N/A</v>
      </c>
      <c r="R2530" s="44"/>
      <c r="S2530" s="44"/>
      <c r="T2530" s="43"/>
      <c r="U2530" s="43" t="str">
        <f t="shared" si="8"/>
        <v>No</v>
      </c>
      <c r="V2530" s="25"/>
      <c r="W2530" s="25"/>
      <c r="X2530" s="25"/>
      <c r="Y2530" s="25"/>
      <c r="Z2530" s="25"/>
    </row>
    <row r="2531" spans="1:26" ht="15.75" customHeight="1" x14ac:dyDescent="0.25">
      <c r="A2531" s="25">
        <v>2529</v>
      </c>
      <c r="B2531" s="37" t="e">
        <f t="shared" ref="B2531:D2531" si="5095">VLOOKUP($A2531,[8]Movilidad!$A$1:$O$192,B$1,0)</f>
        <v>#N/A</v>
      </c>
      <c r="C2531" s="38" t="e">
        <f t="shared" si="5095"/>
        <v>#N/A</v>
      </c>
      <c r="D2531" s="39" t="e">
        <f t="shared" si="5095"/>
        <v>#N/A</v>
      </c>
      <c r="E2531" s="16" t="e">
        <f t="shared" si="1"/>
        <v>#N/A</v>
      </c>
      <c r="F2531" s="16" t="e">
        <f t="shared" ref="F2531:K2531" si="5096">VLOOKUP($A2531,[8]Movilidad!$A$1:$O$192,F$1,0)</f>
        <v>#N/A</v>
      </c>
      <c r="G2531" s="39" t="e">
        <f t="shared" si="5096"/>
        <v>#N/A</v>
      </c>
      <c r="H2531" s="16" t="e">
        <f t="shared" si="5096"/>
        <v>#N/A</v>
      </c>
      <c r="I2531" s="16" t="e">
        <f t="shared" si="5096"/>
        <v>#N/A</v>
      </c>
      <c r="J2531" s="40" t="e">
        <f t="shared" si="5096"/>
        <v>#N/A</v>
      </c>
      <c r="K2531" s="16" t="e">
        <f t="shared" si="5096"/>
        <v>#N/A</v>
      </c>
      <c r="L2531" s="40" t="e">
        <f t="shared" si="4837"/>
        <v>#N/A</v>
      </c>
      <c r="M2531" s="16" t="e">
        <f t="shared" si="4838"/>
        <v>#N/A</v>
      </c>
      <c r="N2531" s="16" t="e">
        <f t="shared" si="4839"/>
        <v>#N/A</v>
      </c>
      <c r="O2531" s="16" t="s">
        <v>72</v>
      </c>
      <c r="P2531" s="16" t="str">
        <f t="shared" si="6"/>
        <v/>
      </c>
      <c r="Q2531" s="41" t="e">
        <f t="shared" si="4840"/>
        <v>#N/A</v>
      </c>
      <c r="R2531" s="44" t="s">
        <v>79</v>
      </c>
      <c r="S2531" s="42">
        <v>44377</v>
      </c>
      <c r="T2531" s="43"/>
      <c r="U2531" s="43" t="str">
        <f t="shared" si="8"/>
        <v>No</v>
      </c>
      <c r="V2531" s="25"/>
      <c r="W2531" s="25"/>
      <c r="X2531" s="25"/>
      <c r="Y2531" s="25"/>
      <c r="Z2531" s="25"/>
    </row>
    <row r="2532" spans="1:26" ht="15.75" customHeight="1" x14ac:dyDescent="0.25">
      <c r="A2532" s="25">
        <v>2530</v>
      </c>
      <c r="B2532" s="37" t="e">
        <f t="shared" ref="B2532:D2532" si="5097">VLOOKUP($A2532,[8]Movilidad!$A$1:$O$192,B$1,0)</f>
        <v>#N/A</v>
      </c>
      <c r="C2532" s="38" t="e">
        <f t="shared" si="5097"/>
        <v>#N/A</v>
      </c>
      <c r="D2532" s="39" t="e">
        <f t="shared" si="5097"/>
        <v>#N/A</v>
      </c>
      <c r="E2532" s="16" t="e">
        <f t="shared" si="1"/>
        <v>#N/A</v>
      </c>
      <c r="F2532" s="16" t="e">
        <f t="shared" ref="F2532:K2532" si="5098">VLOOKUP($A2532,[8]Movilidad!$A$1:$O$192,F$1,0)</f>
        <v>#N/A</v>
      </c>
      <c r="G2532" s="39" t="e">
        <f t="shared" si="5098"/>
        <v>#N/A</v>
      </c>
      <c r="H2532" s="16" t="e">
        <f t="shared" si="5098"/>
        <v>#N/A</v>
      </c>
      <c r="I2532" s="16" t="e">
        <f t="shared" si="5098"/>
        <v>#N/A</v>
      </c>
      <c r="J2532" s="40" t="e">
        <f t="shared" si="5098"/>
        <v>#N/A</v>
      </c>
      <c r="K2532" s="16" t="e">
        <f t="shared" si="5098"/>
        <v>#N/A</v>
      </c>
      <c r="L2532" s="40" t="e">
        <f t="shared" si="4837"/>
        <v>#N/A</v>
      </c>
      <c r="M2532" s="16" t="e">
        <f t="shared" si="4838"/>
        <v>#N/A</v>
      </c>
      <c r="N2532" s="16" t="e">
        <f t="shared" si="4839"/>
        <v>#N/A</v>
      </c>
      <c r="O2532" s="16" t="s">
        <v>72</v>
      </c>
      <c r="P2532" s="16" t="str">
        <f t="shared" si="6"/>
        <v/>
      </c>
      <c r="Q2532" s="41" t="e">
        <f t="shared" si="4840"/>
        <v>#N/A</v>
      </c>
      <c r="R2532" s="44"/>
      <c r="S2532" s="44"/>
      <c r="T2532" s="43"/>
      <c r="U2532" s="43" t="str">
        <f t="shared" si="8"/>
        <v>No</v>
      </c>
      <c r="V2532" s="25"/>
      <c r="W2532" s="25"/>
      <c r="X2532" s="25"/>
      <c r="Y2532" s="25"/>
      <c r="Z2532" s="25"/>
    </row>
    <row r="2533" spans="1:26" ht="15.75" customHeight="1" x14ac:dyDescent="0.25">
      <c r="A2533" s="25">
        <v>2531</v>
      </c>
      <c r="B2533" s="37" t="e">
        <f t="shared" ref="B2533:D2533" si="5099">VLOOKUP($A2533,[8]Movilidad!$A$1:$O$192,B$1,0)</f>
        <v>#N/A</v>
      </c>
      <c r="C2533" s="38" t="e">
        <f t="shared" si="5099"/>
        <v>#N/A</v>
      </c>
      <c r="D2533" s="39" t="e">
        <f t="shared" si="5099"/>
        <v>#N/A</v>
      </c>
      <c r="E2533" s="16" t="e">
        <f t="shared" si="1"/>
        <v>#N/A</v>
      </c>
      <c r="F2533" s="16" t="e">
        <f t="shared" ref="F2533:K2533" si="5100">VLOOKUP($A2533,[8]Movilidad!$A$1:$O$192,F$1,0)</f>
        <v>#N/A</v>
      </c>
      <c r="G2533" s="39" t="e">
        <f t="shared" si="5100"/>
        <v>#N/A</v>
      </c>
      <c r="H2533" s="16" t="e">
        <f t="shared" si="5100"/>
        <v>#N/A</v>
      </c>
      <c r="I2533" s="16" t="e">
        <f t="shared" si="5100"/>
        <v>#N/A</v>
      </c>
      <c r="J2533" s="40" t="e">
        <f t="shared" si="5100"/>
        <v>#N/A</v>
      </c>
      <c r="K2533" s="16" t="e">
        <f t="shared" si="5100"/>
        <v>#N/A</v>
      </c>
      <c r="L2533" s="40" t="e">
        <f t="shared" si="4837"/>
        <v>#N/A</v>
      </c>
      <c r="M2533" s="16" t="e">
        <f t="shared" si="4838"/>
        <v>#N/A</v>
      </c>
      <c r="N2533" s="16" t="e">
        <f t="shared" si="4839"/>
        <v>#N/A</v>
      </c>
      <c r="O2533" s="16" t="s">
        <v>72</v>
      </c>
      <c r="P2533" s="16" t="str">
        <f t="shared" si="6"/>
        <v/>
      </c>
      <c r="Q2533" s="41" t="e">
        <f t="shared" si="4840"/>
        <v>#N/A</v>
      </c>
      <c r="R2533" s="44"/>
      <c r="S2533" s="44"/>
      <c r="T2533" s="43"/>
      <c r="U2533" s="43" t="str">
        <f t="shared" si="8"/>
        <v>No</v>
      </c>
      <c r="V2533" s="25"/>
      <c r="W2533" s="25"/>
      <c r="X2533" s="25"/>
      <c r="Y2533" s="25"/>
      <c r="Z2533" s="25"/>
    </row>
    <row r="2534" spans="1:26" ht="15.75" customHeight="1" x14ac:dyDescent="0.25">
      <c r="A2534" s="25">
        <v>2532</v>
      </c>
      <c r="B2534" s="37" t="e">
        <f t="shared" ref="B2534:D2534" si="5101">VLOOKUP($A2534,[8]Movilidad!$A$1:$O$192,B$1,0)</f>
        <v>#N/A</v>
      </c>
      <c r="C2534" s="38" t="e">
        <f t="shared" si="5101"/>
        <v>#N/A</v>
      </c>
      <c r="D2534" s="39" t="e">
        <f t="shared" si="5101"/>
        <v>#N/A</v>
      </c>
      <c r="E2534" s="16" t="e">
        <f t="shared" si="1"/>
        <v>#N/A</v>
      </c>
      <c r="F2534" s="16" t="e">
        <f t="shared" ref="F2534:K2534" si="5102">VLOOKUP($A2534,[8]Movilidad!$A$1:$O$192,F$1,0)</f>
        <v>#N/A</v>
      </c>
      <c r="G2534" s="39" t="e">
        <f t="shared" si="5102"/>
        <v>#N/A</v>
      </c>
      <c r="H2534" s="16" t="e">
        <f t="shared" si="5102"/>
        <v>#N/A</v>
      </c>
      <c r="I2534" s="16" t="e">
        <f t="shared" si="5102"/>
        <v>#N/A</v>
      </c>
      <c r="J2534" s="40" t="e">
        <f t="shared" si="5102"/>
        <v>#N/A</v>
      </c>
      <c r="K2534" s="16" t="e">
        <f t="shared" si="5102"/>
        <v>#N/A</v>
      </c>
      <c r="L2534" s="40" t="e">
        <f t="shared" si="4837"/>
        <v>#N/A</v>
      </c>
      <c r="M2534" s="16" t="e">
        <f t="shared" si="4838"/>
        <v>#N/A</v>
      </c>
      <c r="N2534" s="16" t="e">
        <f t="shared" si="4839"/>
        <v>#N/A</v>
      </c>
      <c r="O2534" s="16" t="s">
        <v>72</v>
      </c>
      <c r="P2534" s="16" t="str">
        <f t="shared" si="6"/>
        <v/>
      </c>
      <c r="Q2534" s="41" t="e">
        <f t="shared" si="4840"/>
        <v>#N/A</v>
      </c>
      <c r="R2534" s="44"/>
      <c r="S2534" s="44"/>
      <c r="T2534" s="43"/>
      <c r="U2534" s="43" t="str">
        <f t="shared" si="8"/>
        <v>No</v>
      </c>
      <c r="V2534" s="25"/>
      <c r="W2534" s="25"/>
      <c r="X2534" s="25"/>
      <c r="Y2534" s="25"/>
      <c r="Z2534" s="25"/>
    </row>
    <row r="2535" spans="1:26" ht="15.75" customHeight="1" x14ac:dyDescent="0.25">
      <c r="A2535" s="25">
        <v>2533</v>
      </c>
      <c r="B2535" s="37" t="e">
        <f t="shared" ref="B2535:D2535" si="5103">VLOOKUP($A2535,[8]Movilidad!$A$1:$O$192,B$1,0)</f>
        <v>#N/A</v>
      </c>
      <c r="C2535" s="38" t="e">
        <f t="shared" si="5103"/>
        <v>#N/A</v>
      </c>
      <c r="D2535" s="39" t="e">
        <f t="shared" si="5103"/>
        <v>#N/A</v>
      </c>
      <c r="E2535" s="16" t="e">
        <f t="shared" si="1"/>
        <v>#N/A</v>
      </c>
      <c r="F2535" s="16" t="e">
        <f t="shared" ref="F2535:K2535" si="5104">VLOOKUP($A2535,[8]Movilidad!$A$1:$O$192,F$1,0)</f>
        <v>#N/A</v>
      </c>
      <c r="G2535" s="39" t="e">
        <f t="shared" si="5104"/>
        <v>#N/A</v>
      </c>
      <c r="H2535" s="16" t="e">
        <f t="shared" si="5104"/>
        <v>#N/A</v>
      </c>
      <c r="I2535" s="16" t="e">
        <f t="shared" si="5104"/>
        <v>#N/A</v>
      </c>
      <c r="J2535" s="40" t="e">
        <f t="shared" si="5104"/>
        <v>#N/A</v>
      </c>
      <c r="K2535" s="16" t="e">
        <f t="shared" si="5104"/>
        <v>#N/A</v>
      </c>
      <c r="L2535" s="40" t="e">
        <f t="shared" si="4837"/>
        <v>#N/A</v>
      </c>
      <c r="M2535" s="16" t="e">
        <f t="shared" si="4838"/>
        <v>#N/A</v>
      </c>
      <c r="N2535" s="16" t="e">
        <f t="shared" si="4839"/>
        <v>#N/A</v>
      </c>
      <c r="O2535" s="16" t="s">
        <v>72</v>
      </c>
      <c r="P2535" s="16" t="str">
        <f t="shared" si="6"/>
        <v/>
      </c>
      <c r="Q2535" s="41" t="e">
        <f t="shared" si="4840"/>
        <v>#N/A</v>
      </c>
      <c r="R2535" s="44"/>
      <c r="S2535" s="44"/>
      <c r="T2535" s="43"/>
      <c r="U2535" s="43" t="str">
        <f t="shared" si="8"/>
        <v>No</v>
      </c>
      <c r="V2535" s="25"/>
      <c r="W2535" s="25"/>
      <c r="X2535" s="25"/>
      <c r="Y2535" s="25"/>
      <c r="Z2535" s="25"/>
    </row>
    <row r="2536" spans="1:26" ht="15.75" customHeight="1" x14ac:dyDescent="0.25">
      <c r="A2536" s="25">
        <v>2534</v>
      </c>
      <c r="B2536" s="37" t="e">
        <f t="shared" ref="B2536:D2536" si="5105">VLOOKUP($A2536,[8]Movilidad!$A$1:$O$192,B$1,0)</f>
        <v>#N/A</v>
      </c>
      <c r="C2536" s="38" t="e">
        <f t="shared" si="5105"/>
        <v>#N/A</v>
      </c>
      <c r="D2536" s="39" t="e">
        <f t="shared" si="5105"/>
        <v>#N/A</v>
      </c>
      <c r="E2536" s="16" t="e">
        <f t="shared" si="1"/>
        <v>#N/A</v>
      </c>
      <c r="F2536" s="16" t="e">
        <f t="shared" ref="F2536:K2536" si="5106">VLOOKUP($A2536,[8]Movilidad!$A$1:$O$192,F$1,0)</f>
        <v>#N/A</v>
      </c>
      <c r="G2536" s="39" t="e">
        <f t="shared" si="5106"/>
        <v>#N/A</v>
      </c>
      <c r="H2536" s="16" t="e">
        <f t="shared" si="5106"/>
        <v>#N/A</v>
      </c>
      <c r="I2536" s="16" t="e">
        <f t="shared" si="5106"/>
        <v>#N/A</v>
      </c>
      <c r="J2536" s="40" t="e">
        <f t="shared" si="5106"/>
        <v>#N/A</v>
      </c>
      <c r="K2536" s="16" t="e">
        <f t="shared" si="5106"/>
        <v>#N/A</v>
      </c>
      <c r="L2536" s="40" t="e">
        <f t="shared" si="4837"/>
        <v>#N/A</v>
      </c>
      <c r="M2536" s="16" t="e">
        <f t="shared" si="4838"/>
        <v>#N/A</v>
      </c>
      <c r="N2536" s="16" t="e">
        <f t="shared" si="4839"/>
        <v>#N/A</v>
      </c>
      <c r="O2536" s="16" t="s">
        <v>72</v>
      </c>
      <c r="P2536" s="16" t="str">
        <f t="shared" si="6"/>
        <v/>
      </c>
      <c r="Q2536" s="41" t="e">
        <f t="shared" si="4840"/>
        <v>#N/A</v>
      </c>
      <c r="R2536" s="44"/>
      <c r="S2536" s="44"/>
      <c r="T2536" s="43"/>
      <c r="U2536" s="43" t="str">
        <f t="shared" si="8"/>
        <v>No</v>
      </c>
      <c r="V2536" s="25"/>
      <c r="W2536" s="25"/>
      <c r="X2536" s="25"/>
      <c r="Y2536" s="25"/>
      <c r="Z2536" s="25"/>
    </row>
    <row r="2537" spans="1:26" ht="15.75" customHeight="1" x14ac:dyDescent="0.25">
      <c r="A2537" s="25">
        <v>2535</v>
      </c>
      <c r="B2537" s="37" t="e">
        <f t="shared" ref="B2537:D2537" si="5107">VLOOKUP($A2537,[8]Movilidad!$A$1:$O$192,B$1,0)</f>
        <v>#N/A</v>
      </c>
      <c r="C2537" s="38" t="e">
        <f t="shared" si="5107"/>
        <v>#N/A</v>
      </c>
      <c r="D2537" s="39" t="e">
        <f t="shared" si="5107"/>
        <v>#N/A</v>
      </c>
      <c r="E2537" s="16" t="e">
        <f t="shared" si="1"/>
        <v>#N/A</v>
      </c>
      <c r="F2537" s="16" t="e">
        <f t="shared" ref="F2537:K2537" si="5108">VLOOKUP($A2537,[8]Movilidad!$A$1:$O$192,F$1,0)</f>
        <v>#N/A</v>
      </c>
      <c r="G2537" s="39" t="e">
        <f t="shared" si="5108"/>
        <v>#N/A</v>
      </c>
      <c r="H2537" s="16" t="e">
        <f t="shared" si="5108"/>
        <v>#N/A</v>
      </c>
      <c r="I2537" s="16" t="e">
        <f t="shared" si="5108"/>
        <v>#N/A</v>
      </c>
      <c r="J2537" s="40" t="e">
        <f t="shared" si="5108"/>
        <v>#N/A</v>
      </c>
      <c r="K2537" s="16" t="e">
        <f t="shared" si="5108"/>
        <v>#N/A</v>
      </c>
      <c r="L2537" s="40" t="e">
        <f t="shared" si="4837"/>
        <v>#N/A</v>
      </c>
      <c r="M2537" s="16" t="e">
        <f t="shared" si="4838"/>
        <v>#N/A</v>
      </c>
      <c r="N2537" s="16" t="e">
        <f t="shared" si="4839"/>
        <v>#N/A</v>
      </c>
      <c r="O2537" s="16" t="s">
        <v>72</v>
      </c>
      <c r="P2537" s="16" t="str">
        <f t="shared" si="6"/>
        <v/>
      </c>
      <c r="Q2537" s="41" t="e">
        <f t="shared" si="4840"/>
        <v>#N/A</v>
      </c>
      <c r="R2537" s="44"/>
      <c r="S2537" s="44"/>
      <c r="T2537" s="43"/>
      <c r="U2537" s="43" t="str">
        <f t="shared" si="8"/>
        <v>No</v>
      </c>
      <c r="V2537" s="25"/>
      <c r="W2537" s="25"/>
      <c r="X2537" s="25"/>
      <c r="Y2537" s="25"/>
      <c r="Z2537" s="25"/>
    </row>
    <row r="2538" spans="1:26" ht="15.75" customHeight="1" x14ac:dyDescent="0.25">
      <c r="A2538" s="25">
        <v>2536</v>
      </c>
      <c r="B2538" s="37" t="e">
        <f t="shared" ref="B2538:D2538" si="5109">VLOOKUP($A2538,[8]Movilidad!$A$1:$O$192,B$1,0)</f>
        <v>#N/A</v>
      </c>
      <c r="C2538" s="38" t="e">
        <f t="shared" si="5109"/>
        <v>#N/A</v>
      </c>
      <c r="D2538" s="39" t="e">
        <f t="shared" si="5109"/>
        <v>#N/A</v>
      </c>
      <c r="E2538" s="16" t="e">
        <f t="shared" si="1"/>
        <v>#N/A</v>
      </c>
      <c r="F2538" s="16" t="e">
        <f t="shared" ref="F2538:K2538" si="5110">VLOOKUP($A2538,[8]Movilidad!$A$1:$O$192,F$1,0)</f>
        <v>#N/A</v>
      </c>
      <c r="G2538" s="39" t="e">
        <f t="shared" si="5110"/>
        <v>#N/A</v>
      </c>
      <c r="H2538" s="16" t="e">
        <f t="shared" si="5110"/>
        <v>#N/A</v>
      </c>
      <c r="I2538" s="16" t="e">
        <f t="shared" si="5110"/>
        <v>#N/A</v>
      </c>
      <c r="J2538" s="40" t="e">
        <f t="shared" si="5110"/>
        <v>#N/A</v>
      </c>
      <c r="K2538" s="16" t="e">
        <f t="shared" si="5110"/>
        <v>#N/A</v>
      </c>
      <c r="L2538" s="40" t="e">
        <f t="shared" si="4837"/>
        <v>#N/A</v>
      </c>
      <c r="M2538" s="16" t="e">
        <f t="shared" si="4838"/>
        <v>#N/A</v>
      </c>
      <c r="N2538" s="16" t="e">
        <f t="shared" si="4839"/>
        <v>#N/A</v>
      </c>
      <c r="O2538" s="16" t="s">
        <v>72</v>
      </c>
      <c r="P2538" s="16" t="str">
        <f t="shared" si="6"/>
        <v/>
      </c>
      <c r="Q2538" s="41" t="e">
        <f t="shared" si="4840"/>
        <v>#N/A</v>
      </c>
      <c r="R2538" s="44"/>
      <c r="S2538" s="44"/>
      <c r="T2538" s="43"/>
      <c r="U2538" s="43" t="str">
        <f t="shared" si="8"/>
        <v>No</v>
      </c>
      <c r="V2538" s="25"/>
      <c r="W2538" s="25"/>
      <c r="X2538" s="25"/>
      <c r="Y2538" s="25"/>
      <c r="Z2538" s="25"/>
    </row>
    <row r="2539" spans="1:26" ht="15.75" customHeight="1" x14ac:dyDescent="0.25">
      <c r="A2539" s="25">
        <v>2537</v>
      </c>
      <c r="B2539" s="37" t="e">
        <f t="shared" ref="B2539:D2539" si="5111">VLOOKUP($A2539,[8]Movilidad!$A$1:$O$192,B$1,0)</f>
        <v>#N/A</v>
      </c>
      <c r="C2539" s="38" t="e">
        <f t="shared" si="5111"/>
        <v>#N/A</v>
      </c>
      <c r="D2539" s="39" t="e">
        <f t="shared" si="5111"/>
        <v>#N/A</v>
      </c>
      <c r="E2539" s="16" t="e">
        <f t="shared" si="1"/>
        <v>#N/A</v>
      </c>
      <c r="F2539" s="16" t="e">
        <f t="shared" ref="F2539:K2539" si="5112">VLOOKUP($A2539,[8]Movilidad!$A$1:$O$192,F$1,0)</f>
        <v>#N/A</v>
      </c>
      <c r="G2539" s="39" t="e">
        <f t="shared" si="5112"/>
        <v>#N/A</v>
      </c>
      <c r="H2539" s="16" t="e">
        <f t="shared" si="5112"/>
        <v>#N/A</v>
      </c>
      <c r="I2539" s="16" t="e">
        <f t="shared" si="5112"/>
        <v>#N/A</v>
      </c>
      <c r="J2539" s="40" t="e">
        <f t="shared" si="5112"/>
        <v>#N/A</v>
      </c>
      <c r="K2539" s="16" t="e">
        <f t="shared" si="5112"/>
        <v>#N/A</v>
      </c>
      <c r="L2539" s="40" t="e">
        <f t="shared" si="4837"/>
        <v>#N/A</v>
      </c>
      <c r="M2539" s="16" t="e">
        <f t="shared" si="4838"/>
        <v>#N/A</v>
      </c>
      <c r="N2539" s="16" t="e">
        <f t="shared" si="4839"/>
        <v>#N/A</v>
      </c>
      <c r="O2539" s="16" t="s">
        <v>72</v>
      </c>
      <c r="P2539" s="16" t="str">
        <f t="shared" si="6"/>
        <v/>
      </c>
      <c r="Q2539" s="41" t="e">
        <f t="shared" si="4840"/>
        <v>#N/A</v>
      </c>
      <c r="R2539" s="44"/>
      <c r="S2539" s="44"/>
      <c r="T2539" s="43"/>
      <c r="U2539" s="43" t="str">
        <f t="shared" si="8"/>
        <v>No</v>
      </c>
      <c r="V2539" s="25"/>
      <c r="W2539" s="25"/>
      <c r="X2539" s="25"/>
      <c r="Y2539" s="25"/>
      <c r="Z2539" s="25"/>
    </row>
    <row r="2540" spans="1:26" ht="15.75" customHeight="1" x14ac:dyDescent="0.25">
      <c r="A2540" s="25">
        <v>2538</v>
      </c>
      <c r="B2540" s="37" t="e">
        <f t="shared" ref="B2540:D2540" si="5113">VLOOKUP($A2540,[8]Movilidad!$A$1:$O$192,B$1,0)</f>
        <v>#N/A</v>
      </c>
      <c r="C2540" s="38" t="e">
        <f t="shared" si="5113"/>
        <v>#N/A</v>
      </c>
      <c r="D2540" s="39" t="e">
        <f t="shared" si="5113"/>
        <v>#N/A</v>
      </c>
      <c r="E2540" s="16" t="e">
        <f t="shared" si="1"/>
        <v>#N/A</v>
      </c>
      <c r="F2540" s="16" t="e">
        <f t="shared" ref="F2540:K2540" si="5114">VLOOKUP($A2540,[8]Movilidad!$A$1:$O$192,F$1,0)</f>
        <v>#N/A</v>
      </c>
      <c r="G2540" s="39" t="e">
        <f t="shared" si="5114"/>
        <v>#N/A</v>
      </c>
      <c r="H2540" s="16" t="e">
        <f t="shared" si="5114"/>
        <v>#N/A</v>
      </c>
      <c r="I2540" s="16" t="e">
        <f t="shared" si="5114"/>
        <v>#N/A</v>
      </c>
      <c r="J2540" s="40" t="e">
        <f t="shared" si="5114"/>
        <v>#N/A</v>
      </c>
      <c r="K2540" s="16" t="e">
        <f t="shared" si="5114"/>
        <v>#N/A</v>
      </c>
      <c r="L2540" s="40" t="e">
        <f t="shared" si="4837"/>
        <v>#N/A</v>
      </c>
      <c r="M2540" s="16" t="e">
        <f t="shared" si="4838"/>
        <v>#N/A</v>
      </c>
      <c r="N2540" s="16" t="e">
        <f t="shared" si="4839"/>
        <v>#N/A</v>
      </c>
      <c r="O2540" s="16" t="s">
        <v>72</v>
      </c>
      <c r="P2540" s="16" t="str">
        <f t="shared" si="6"/>
        <v/>
      </c>
      <c r="Q2540" s="41" t="e">
        <f t="shared" si="4840"/>
        <v>#N/A</v>
      </c>
      <c r="R2540" s="44"/>
      <c r="S2540" s="44"/>
      <c r="T2540" s="43"/>
      <c r="U2540" s="43" t="str">
        <f t="shared" si="8"/>
        <v>No</v>
      </c>
      <c r="V2540" s="25"/>
      <c r="W2540" s="25"/>
      <c r="X2540" s="25"/>
      <c r="Y2540" s="25"/>
      <c r="Z2540" s="25"/>
    </row>
    <row r="2541" spans="1:26" ht="15.75" customHeight="1" x14ac:dyDescent="0.25">
      <c r="A2541" s="25">
        <v>2539</v>
      </c>
      <c r="B2541" s="37" t="e">
        <f t="shared" ref="B2541:D2541" si="5115">VLOOKUP($A2541,[8]Movilidad!$A$1:$O$192,B$1,0)</f>
        <v>#N/A</v>
      </c>
      <c r="C2541" s="38" t="e">
        <f t="shared" si="5115"/>
        <v>#N/A</v>
      </c>
      <c r="D2541" s="39" t="e">
        <f t="shared" si="5115"/>
        <v>#N/A</v>
      </c>
      <c r="E2541" s="16" t="e">
        <f t="shared" si="1"/>
        <v>#N/A</v>
      </c>
      <c r="F2541" s="16" t="e">
        <f t="shared" ref="F2541:K2541" si="5116">VLOOKUP($A2541,[8]Movilidad!$A$1:$O$192,F$1,0)</f>
        <v>#N/A</v>
      </c>
      <c r="G2541" s="39" t="e">
        <f t="shared" si="5116"/>
        <v>#N/A</v>
      </c>
      <c r="H2541" s="16" t="e">
        <f t="shared" si="5116"/>
        <v>#N/A</v>
      </c>
      <c r="I2541" s="16" t="e">
        <f t="shared" si="5116"/>
        <v>#N/A</v>
      </c>
      <c r="J2541" s="40" t="e">
        <f t="shared" si="5116"/>
        <v>#N/A</v>
      </c>
      <c r="K2541" s="16" t="e">
        <f t="shared" si="5116"/>
        <v>#N/A</v>
      </c>
      <c r="L2541" s="40" t="e">
        <f t="shared" si="4837"/>
        <v>#N/A</v>
      </c>
      <c r="M2541" s="16" t="e">
        <f t="shared" si="4838"/>
        <v>#N/A</v>
      </c>
      <c r="N2541" s="16" t="e">
        <f t="shared" si="4839"/>
        <v>#N/A</v>
      </c>
      <c r="O2541" s="16" t="s">
        <v>72</v>
      </c>
      <c r="P2541" s="16" t="str">
        <f t="shared" si="6"/>
        <v/>
      </c>
      <c r="Q2541" s="41" t="e">
        <f t="shared" si="4840"/>
        <v>#N/A</v>
      </c>
      <c r="R2541" s="44"/>
      <c r="S2541" s="44"/>
      <c r="T2541" s="43"/>
      <c r="U2541" s="43" t="str">
        <f t="shared" si="8"/>
        <v>No</v>
      </c>
      <c r="V2541" s="25"/>
      <c r="W2541" s="25"/>
      <c r="X2541" s="25"/>
      <c r="Y2541" s="25"/>
      <c r="Z2541" s="25"/>
    </row>
    <row r="2542" spans="1:26" ht="15.75" customHeight="1" x14ac:dyDescent="0.25">
      <c r="A2542" s="25">
        <v>2540</v>
      </c>
      <c r="B2542" s="37" t="e">
        <f t="shared" ref="B2542:D2542" si="5117">VLOOKUP($A2542,[8]Movilidad!$A$1:$O$192,B$1,0)</f>
        <v>#N/A</v>
      </c>
      <c r="C2542" s="38" t="e">
        <f t="shared" si="5117"/>
        <v>#N/A</v>
      </c>
      <c r="D2542" s="39" t="e">
        <f t="shared" si="5117"/>
        <v>#N/A</v>
      </c>
      <c r="E2542" s="16" t="e">
        <f t="shared" si="1"/>
        <v>#N/A</v>
      </c>
      <c r="F2542" s="16" t="e">
        <f t="shared" ref="F2542:K2542" si="5118">VLOOKUP($A2542,[8]Movilidad!$A$1:$O$192,F$1,0)</f>
        <v>#N/A</v>
      </c>
      <c r="G2542" s="39" t="e">
        <f t="shared" si="5118"/>
        <v>#N/A</v>
      </c>
      <c r="H2542" s="16" t="e">
        <f t="shared" si="5118"/>
        <v>#N/A</v>
      </c>
      <c r="I2542" s="16" t="e">
        <f t="shared" si="5118"/>
        <v>#N/A</v>
      </c>
      <c r="J2542" s="40" t="e">
        <f t="shared" si="5118"/>
        <v>#N/A</v>
      </c>
      <c r="K2542" s="16" t="e">
        <f t="shared" si="5118"/>
        <v>#N/A</v>
      </c>
      <c r="L2542" s="40" t="e">
        <f t="shared" si="4837"/>
        <v>#N/A</v>
      </c>
      <c r="M2542" s="16" t="e">
        <f t="shared" si="4838"/>
        <v>#N/A</v>
      </c>
      <c r="N2542" s="16" t="e">
        <f t="shared" si="4839"/>
        <v>#N/A</v>
      </c>
      <c r="O2542" s="16" t="s">
        <v>72</v>
      </c>
      <c r="P2542" s="16" t="str">
        <f t="shared" si="6"/>
        <v/>
      </c>
      <c r="Q2542" s="41" t="e">
        <f t="shared" si="4840"/>
        <v>#N/A</v>
      </c>
      <c r="R2542" s="44"/>
      <c r="S2542" s="44"/>
      <c r="T2542" s="43"/>
      <c r="U2542" s="43" t="str">
        <f t="shared" si="8"/>
        <v>No</v>
      </c>
      <c r="V2542" s="25"/>
      <c r="W2542" s="25"/>
      <c r="X2542" s="25"/>
      <c r="Y2542" s="25"/>
      <c r="Z2542" s="25"/>
    </row>
    <row r="2543" spans="1:26" ht="15.75" customHeight="1" x14ac:dyDescent="0.25">
      <c r="A2543" s="25">
        <v>2541</v>
      </c>
      <c r="B2543" s="37" t="e">
        <f t="shared" ref="B2543:D2543" si="5119">VLOOKUP($A2543,[8]Movilidad!$A$1:$O$192,B$1,0)</f>
        <v>#N/A</v>
      </c>
      <c r="C2543" s="38" t="e">
        <f t="shared" si="5119"/>
        <v>#N/A</v>
      </c>
      <c r="D2543" s="39" t="e">
        <f t="shared" si="5119"/>
        <v>#N/A</v>
      </c>
      <c r="E2543" s="16" t="e">
        <f t="shared" si="1"/>
        <v>#N/A</v>
      </c>
      <c r="F2543" s="16" t="e">
        <f t="shared" ref="F2543:K2543" si="5120">VLOOKUP($A2543,[8]Movilidad!$A$1:$O$192,F$1,0)</f>
        <v>#N/A</v>
      </c>
      <c r="G2543" s="39" t="e">
        <f t="shared" si="5120"/>
        <v>#N/A</v>
      </c>
      <c r="H2543" s="16" t="e">
        <f t="shared" si="5120"/>
        <v>#N/A</v>
      </c>
      <c r="I2543" s="16" t="e">
        <f t="shared" si="5120"/>
        <v>#N/A</v>
      </c>
      <c r="J2543" s="40" t="e">
        <f t="shared" si="5120"/>
        <v>#N/A</v>
      </c>
      <c r="K2543" s="16" t="e">
        <f t="shared" si="5120"/>
        <v>#N/A</v>
      </c>
      <c r="L2543" s="40" t="e">
        <f t="shared" si="4837"/>
        <v>#N/A</v>
      </c>
      <c r="M2543" s="16" t="e">
        <f t="shared" si="4838"/>
        <v>#N/A</v>
      </c>
      <c r="N2543" s="16" t="e">
        <f t="shared" si="4839"/>
        <v>#N/A</v>
      </c>
      <c r="O2543" s="16" t="s">
        <v>72</v>
      </c>
      <c r="P2543" s="16" t="str">
        <f t="shared" si="6"/>
        <v/>
      </c>
      <c r="Q2543" s="41" t="e">
        <f t="shared" si="4840"/>
        <v>#N/A</v>
      </c>
      <c r="R2543" s="44"/>
      <c r="S2543" s="44"/>
      <c r="T2543" s="43"/>
      <c r="U2543" s="43" t="str">
        <f t="shared" si="8"/>
        <v>No</v>
      </c>
      <c r="V2543" s="25"/>
      <c r="W2543" s="25"/>
      <c r="X2543" s="25"/>
      <c r="Y2543" s="25"/>
      <c r="Z2543" s="25"/>
    </row>
    <row r="2544" spans="1:26" ht="15.75" customHeight="1" x14ac:dyDescent="0.25">
      <c r="A2544" s="25">
        <v>2542</v>
      </c>
      <c r="B2544" s="37" t="e">
        <f t="shared" ref="B2544:D2544" si="5121">VLOOKUP($A2544,[8]Movilidad!$A$1:$O$192,B$1,0)</f>
        <v>#N/A</v>
      </c>
      <c r="C2544" s="38" t="e">
        <f t="shared" si="5121"/>
        <v>#N/A</v>
      </c>
      <c r="D2544" s="39" t="e">
        <f t="shared" si="5121"/>
        <v>#N/A</v>
      </c>
      <c r="E2544" s="16" t="e">
        <f t="shared" si="1"/>
        <v>#N/A</v>
      </c>
      <c r="F2544" s="16" t="e">
        <f t="shared" ref="F2544:K2544" si="5122">VLOOKUP($A2544,[8]Movilidad!$A$1:$O$192,F$1,0)</f>
        <v>#N/A</v>
      </c>
      <c r="G2544" s="39" t="e">
        <f t="shared" si="5122"/>
        <v>#N/A</v>
      </c>
      <c r="H2544" s="16" t="e">
        <f t="shared" si="5122"/>
        <v>#N/A</v>
      </c>
      <c r="I2544" s="16" t="e">
        <f t="shared" si="5122"/>
        <v>#N/A</v>
      </c>
      <c r="J2544" s="40" t="e">
        <f t="shared" si="5122"/>
        <v>#N/A</v>
      </c>
      <c r="K2544" s="16" t="e">
        <f t="shared" si="5122"/>
        <v>#N/A</v>
      </c>
      <c r="L2544" s="40" t="e">
        <f t="shared" si="4837"/>
        <v>#N/A</v>
      </c>
      <c r="M2544" s="16" t="e">
        <f t="shared" si="4838"/>
        <v>#N/A</v>
      </c>
      <c r="N2544" s="16" t="e">
        <f t="shared" si="4839"/>
        <v>#N/A</v>
      </c>
      <c r="O2544" s="16" t="s">
        <v>72</v>
      </c>
      <c r="P2544" s="16" t="str">
        <f t="shared" si="6"/>
        <v/>
      </c>
      <c r="Q2544" s="41" t="e">
        <f t="shared" si="4840"/>
        <v>#N/A</v>
      </c>
      <c r="R2544" s="44"/>
      <c r="S2544" s="44"/>
      <c r="T2544" s="43"/>
      <c r="U2544" s="43" t="str">
        <f t="shared" si="8"/>
        <v>No</v>
      </c>
      <c r="V2544" s="25"/>
      <c r="W2544" s="25"/>
      <c r="X2544" s="25"/>
      <c r="Y2544" s="25"/>
      <c r="Z2544" s="25"/>
    </row>
    <row r="2545" spans="1:26" ht="15.75" customHeight="1" x14ac:dyDescent="0.25">
      <c r="A2545" s="25">
        <v>2543</v>
      </c>
      <c r="B2545" s="37" t="e">
        <f t="shared" ref="B2545:D2545" si="5123">VLOOKUP($A2545,[8]Movilidad!$A$1:$O$192,B$1,0)</f>
        <v>#N/A</v>
      </c>
      <c r="C2545" s="38" t="e">
        <f t="shared" si="5123"/>
        <v>#N/A</v>
      </c>
      <c r="D2545" s="39" t="e">
        <f t="shared" si="5123"/>
        <v>#N/A</v>
      </c>
      <c r="E2545" s="16" t="e">
        <f t="shared" si="1"/>
        <v>#N/A</v>
      </c>
      <c r="F2545" s="16" t="e">
        <f t="shared" ref="F2545:K2545" si="5124">VLOOKUP($A2545,[8]Movilidad!$A$1:$O$192,F$1,0)</f>
        <v>#N/A</v>
      </c>
      <c r="G2545" s="39" t="e">
        <f t="shared" si="5124"/>
        <v>#N/A</v>
      </c>
      <c r="H2545" s="16" t="e">
        <f t="shared" si="5124"/>
        <v>#N/A</v>
      </c>
      <c r="I2545" s="16" t="e">
        <f t="shared" si="5124"/>
        <v>#N/A</v>
      </c>
      <c r="J2545" s="40" t="e">
        <f t="shared" si="5124"/>
        <v>#N/A</v>
      </c>
      <c r="K2545" s="16" t="e">
        <f t="shared" si="5124"/>
        <v>#N/A</v>
      </c>
      <c r="L2545" s="40" t="e">
        <f t="shared" si="4837"/>
        <v>#N/A</v>
      </c>
      <c r="M2545" s="16" t="e">
        <f t="shared" si="4838"/>
        <v>#N/A</v>
      </c>
      <c r="N2545" s="16" t="e">
        <f t="shared" si="4839"/>
        <v>#N/A</v>
      </c>
      <c r="O2545" s="16" t="s">
        <v>72</v>
      </c>
      <c r="P2545" s="16" t="str">
        <f t="shared" si="6"/>
        <v/>
      </c>
      <c r="Q2545" s="41" t="e">
        <f t="shared" si="4840"/>
        <v>#N/A</v>
      </c>
      <c r="R2545" s="44"/>
      <c r="S2545" s="44"/>
      <c r="T2545" s="43"/>
      <c r="U2545" s="43" t="str">
        <f t="shared" si="8"/>
        <v>No</v>
      </c>
      <c r="V2545" s="25"/>
      <c r="W2545" s="25"/>
      <c r="X2545" s="25"/>
      <c r="Y2545" s="25"/>
      <c r="Z2545" s="25"/>
    </row>
    <row r="2546" spans="1:26" ht="15.75" customHeight="1" x14ac:dyDescent="0.25">
      <c r="A2546" s="25">
        <v>2544</v>
      </c>
      <c r="B2546" s="37" t="e">
        <f t="shared" ref="B2546:D2546" si="5125">VLOOKUP($A2546,[8]Movilidad!$A$1:$O$192,B$1,0)</f>
        <v>#N/A</v>
      </c>
      <c r="C2546" s="38" t="e">
        <f t="shared" si="5125"/>
        <v>#N/A</v>
      </c>
      <c r="D2546" s="39" t="e">
        <f t="shared" si="5125"/>
        <v>#N/A</v>
      </c>
      <c r="E2546" s="16" t="e">
        <f t="shared" si="1"/>
        <v>#N/A</v>
      </c>
      <c r="F2546" s="16" t="e">
        <f t="shared" ref="F2546:K2546" si="5126">VLOOKUP($A2546,[8]Movilidad!$A$1:$O$192,F$1,0)</f>
        <v>#N/A</v>
      </c>
      <c r="G2546" s="39" t="e">
        <f t="shared" si="5126"/>
        <v>#N/A</v>
      </c>
      <c r="H2546" s="16" t="e">
        <f t="shared" si="5126"/>
        <v>#N/A</v>
      </c>
      <c r="I2546" s="16" t="e">
        <f t="shared" si="5126"/>
        <v>#N/A</v>
      </c>
      <c r="J2546" s="40" t="e">
        <f t="shared" si="5126"/>
        <v>#N/A</v>
      </c>
      <c r="K2546" s="16" t="e">
        <f t="shared" si="5126"/>
        <v>#N/A</v>
      </c>
      <c r="L2546" s="40" t="e">
        <f t="shared" si="4837"/>
        <v>#N/A</v>
      </c>
      <c r="M2546" s="16" t="e">
        <f t="shared" si="4838"/>
        <v>#N/A</v>
      </c>
      <c r="N2546" s="16" t="e">
        <f t="shared" si="4839"/>
        <v>#N/A</v>
      </c>
      <c r="O2546" s="16" t="s">
        <v>72</v>
      </c>
      <c r="P2546" s="16" t="str">
        <f t="shared" si="6"/>
        <v/>
      </c>
      <c r="Q2546" s="41" t="e">
        <f t="shared" si="4840"/>
        <v>#N/A</v>
      </c>
      <c r="R2546" s="44"/>
      <c r="S2546" s="44"/>
      <c r="T2546" s="43" t="s">
        <v>90</v>
      </c>
      <c r="U2546" s="43" t="str">
        <f t="shared" si="8"/>
        <v>No</v>
      </c>
      <c r="V2546" s="25"/>
      <c r="W2546" s="25"/>
      <c r="X2546" s="25"/>
      <c r="Y2546" s="25"/>
      <c r="Z2546" s="25"/>
    </row>
    <row r="2547" spans="1:26" ht="15.75" customHeight="1" x14ac:dyDescent="0.25">
      <c r="A2547" s="25">
        <v>2545</v>
      </c>
      <c r="B2547" s="37" t="e">
        <f t="shared" ref="B2547:D2547" si="5127">VLOOKUP($A2547,[8]Movilidad!$A$1:$O$192,B$1,0)</f>
        <v>#N/A</v>
      </c>
      <c r="C2547" s="38" t="e">
        <f t="shared" si="5127"/>
        <v>#N/A</v>
      </c>
      <c r="D2547" s="39" t="e">
        <f t="shared" si="5127"/>
        <v>#N/A</v>
      </c>
      <c r="E2547" s="16" t="e">
        <f t="shared" si="1"/>
        <v>#N/A</v>
      </c>
      <c r="F2547" s="16" t="e">
        <f t="shared" ref="F2547:K2547" si="5128">VLOOKUP($A2547,[8]Movilidad!$A$1:$O$192,F$1,0)</f>
        <v>#N/A</v>
      </c>
      <c r="G2547" s="39" t="e">
        <f t="shared" si="5128"/>
        <v>#N/A</v>
      </c>
      <c r="H2547" s="16" t="e">
        <f t="shared" si="5128"/>
        <v>#N/A</v>
      </c>
      <c r="I2547" s="16" t="e">
        <f t="shared" si="5128"/>
        <v>#N/A</v>
      </c>
      <c r="J2547" s="40" t="e">
        <f t="shared" si="5128"/>
        <v>#N/A</v>
      </c>
      <c r="K2547" s="16" t="e">
        <f t="shared" si="5128"/>
        <v>#N/A</v>
      </c>
      <c r="L2547" s="40" t="e">
        <f t="shared" si="4837"/>
        <v>#N/A</v>
      </c>
      <c r="M2547" s="16" t="e">
        <f t="shared" si="4838"/>
        <v>#N/A</v>
      </c>
      <c r="N2547" s="16" t="e">
        <f t="shared" si="4839"/>
        <v>#N/A</v>
      </c>
      <c r="O2547" s="16" t="s">
        <v>72</v>
      </c>
      <c r="P2547" s="16" t="str">
        <f t="shared" si="6"/>
        <v/>
      </c>
      <c r="Q2547" s="41" t="e">
        <f t="shared" si="4840"/>
        <v>#N/A</v>
      </c>
      <c r="R2547" s="44"/>
      <c r="S2547" s="44"/>
      <c r="T2547" s="43" t="s">
        <v>90</v>
      </c>
      <c r="U2547" s="43" t="str">
        <f t="shared" si="8"/>
        <v>No</v>
      </c>
      <c r="V2547" s="25"/>
      <c r="W2547" s="25"/>
      <c r="X2547" s="25"/>
      <c r="Y2547" s="25"/>
      <c r="Z2547" s="25"/>
    </row>
    <row r="2548" spans="1:26" ht="15.75" customHeight="1" x14ac:dyDescent="0.25">
      <c r="A2548" s="25">
        <v>2546</v>
      </c>
      <c r="B2548" s="37" t="e">
        <f t="shared" ref="B2548:D2548" si="5129">VLOOKUP($A2548,[8]Movilidad!$A$1:$O$192,B$1,0)</f>
        <v>#N/A</v>
      </c>
      <c r="C2548" s="38" t="e">
        <f t="shared" si="5129"/>
        <v>#N/A</v>
      </c>
      <c r="D2548" s="39" t="e">
        <f t="shared" si="5129"/>
        <v>#N/A</v>
      </c>
      <c r="E2548" s="16" t="e">
        <f t="shared" si="1"/>
        <v>#N/A</v>
      </c>
      <c r="F2548" s="16" t="e">
        <f t="shared" ref="F2548:K2548" si="5130">VLOOKUP($A2548,[8]Movilidad!$A$1:$O$192,F$1,0)</f>
        <v>#N/A</v>
      </c>
      <c r="G2548" s="39" t="e">
        <f t="shared" si="5130"/>
        <v>#N/A</v>
      </c>
      <c r="H2548" s="16" t="e">
        <f t="shared" si="5130"/>
        <v>#N/A</v>
      </c>
      <c r="I2548" s="16" t="e">
        <f t="shared" si="5130"/>
        <v>#N/A</v>
      </c>
      <c r="J2548" s="40" t="e">
        <f t="shared" si="5130"/>
        <v>#N/A</v>
      </c>
      <c r="K2548" s="16" t="e">
        <f t="shared" si="5130"/>
        <v>#N/A</v>
      </c>
      <c r="L2548" s="40" t="e">
        <f t="shared" si="4837"/>
        <v>#N/A</v>
      </c>
      <c r="M2548" s="16" t="e">
        <f t="shared" si="4838"/>
        <v>#N/A</v>
      </c>
      <c r="N2548" s="16" t="e">
        <f t="shared" si="4839"/>
        <v>#N/A</v>
      </c>
      <c r="O2548" s="16" t="s">
        <v>72</v>
      </c>
      <c r="P2548" s="16" t="str">
        <f t="shared" si="6"/>
        <v/>
      </c>
      <c r="Q2548" s="41" t="e">
        <f t="shared" si="4840"/>
        <v>#N/A</v>
      </c>
      <c r="R2548" s="44"/>
      <c r="S2548" s="44"/>
      <c r="T2548" s="43" t="s">
        <v>90</v>
      </c>
      <c r="U2548" s="43" t="str">
        <f t="shared" si="8"/>
        <v>No</v>
      </c>
      <c r="V2548" s="25"/>
      <c r="W2548" s="25"/>
      <c r="X2548" s="25"/>
      <c r="Y2548" s="25"/>
      <c r="Z2548" s="25"/>
    </row>
    <row r="2549" spans="1:26" ht="15.75" customHeight="1" x14ac:dyDescent="0.25">
      <c r="A2549" s="25">
        <v>2547</v>
      </c>
      <c r="B2549" s="37" t="e">
        <f t="shared" ref="B2549:D2549" si="5131">VLOOKUP($A2549,[8]Movilidad!$A$1:$O$192,B$1,0)</f>
        <v>#N/A</v>
      </c>
      <c r="C2549" s="38" t="e">
        <f t="shared" si="5131"/>
        <v>#N/A</v>
      </c>
      <c r="D2549" s="39" t="e">
        <f t="shared" si="5131"/>
        <v>#N/A</v>
      </c>
      <c r="E2549" s="16" t="e">
        <f t="shared" si="1"/>
        <v>#N/A</v>
      </c>
      <c r="F2549" s="16" t="e">
        <f t="shared" ref="F2549:K2549" si="5132">VLOOKUP($A2549,[8]Movilidad!$A$1:$O$192,F$1,0)</f>
        <v>#N/A</v>
      </c>
      <c r="G2549" s="39" t="e">
        <f t="shared" si="5132"/>
        <v>#N/A</v>
      </c>
      <c r="H2549" s="16" t="e">
        <f t="shared" si="5132"/>
        <v>#N/A</v>
      </c>
      <c r="I2549" s="16" t="e">
        <f t="shared" si="5132"/>
        <v>#N/A</v>
      </c>
      <c r="J2549" s="40" t="e">
        <f t="shared" si="5132"/>
        <v>#N/A</v>
      </c>
      <c r="K2549" s="16" t="e">
        <f t="shared" si="5132"/>
        <v>#N/A</v>
      </c>
      <c r="L2549" s="40" t="e">
        <f t="shared" si="4837"/>
        <v>#N/A</v>
      </c>
      <c r="M2549" s="16" t="e">
        <f t="shared" si="4838"/>
        <v>#N/A</v>
      </c>
      <c r="N2549" s="16" t="e">
        <f t="shared" si="4839"/>
        <v>#N/A</v>
      </c>
      <c r="O2549" s="16" t="s">
        <v>72</v>
      </c>
      <c r="P2549" s="16" t="str">
        <f t="shared" si="6"/>
        <v/>
      </c>
      <c r="Q2549" s="41" t="e">
        <f t="shared" si="4840"/>
        <v>#N/A</v>
      </c>
      <c r="R2549" s="44"/>
      <c r="S2549" s="44"/>
      <c r="T2549" s="43"/>
      <c r="U2549" s="43" t="str">
        <f t="shared" si="8"/>
        <v>No</v>
      </c>
      <c r="V2549" s="25"/>
      <c r="W2549" s="25"/>
      <c r="X2549" s="25"/>
      <c r="Y2549" s="25"/>
      <c r="Z2549" s="25"/>
    </row>
    <row r="2550" spans="1:26" ht="15.75" customHeight="1" x14ac:dyDescent="0.25">
      <c r="A2550" s="25">
        <v>2548</v>
      </c>
      <c r="B2550" s="37" t="e">
        <f t="shared" ref="B2550:D2550" si="5133">VLOOKUP($A2550,[8]Movilidad!$A$1:$O$192,B$1,0)</f>
        <v>#N/A</v>
      </c>
      <c r="C2550" s="38" t="e">
        <f t="shared" si="5133"/>
        <v>#N/A</v>
      </c>
      <c r="D2550" s="39" t="e">
        <f t="shared" si="5133"/>
        <v>#N/A</v>
      </c>
      <c r="E2550" s="16" t="e">
        <f t="shared" si="1"/>
        <v>#N/A</v>
      </c>
      <c r="F2550" s="16" t="e">
        <f t="shared" ref="F2550:K2550" si="5134">VLOOKUP($A2550,[8]Movilidad!$A$1:$O$192,F$1,0)</f>
        <v>#N/A</v>
      </c>
      <c r="G2550" s="39" t="e">
        <f t="shared" si="5134"/>
        <v>#N/A</v>
      </c>
      <c r="H2550" s="16" t="e">
        <f t="shared" si="5134"/>
        <v>#N/A</v>
      </c>
      <c r="I2550" s="16" t="e">
        <f t="shared" si="5134"/>
        <v>#N/A</v>
      </c>
      <c r="J2550" s="40" t="e">
        <f t="shared" si="5134"/>
        <v>#N/A</v>
      </c>
      <c r="K2550" s="16" t="e">
        <f t="shared" si="5134"/>
        <v>#N/A</v>
      </c>
      <c r="L2550" s="40" t="e">
        <f t="shared" si="4837"/>
        <v>#N/A</v>
      </c>
      <c r="M2550" s="16" t="e">
        <f t="shared" si="4838"/>
        <v>#N/A</v>
      </c>
      <c r="N2550" s="16" t="e">
        <f t="shared" si="4839"/>
        <v>#N/A</v>
      </c>
      <c r="O2550" s="16" t="s">
        <v>72</v>
      </c>
      <c r="P2550" s="16" t="str">
        <f t="shared" si="6"/>
        <v/>
      </c>
      <c r="Q2550" s="41" t="e">
        <f t="shared" si="4840"/>
        <v>#N/A</v>
      </c>
      <c r="R2550" s="44"/>
      <c r="S2550" s="44"/>
      <c r="T2550" s="43"/>
      <c r="U2550" s="43" t="str">
        <f t="shared" si="8"/>
        <v>No</v>
      </c>
      <c r="V2550" s="25"/>
      <c r="W2550" s="25"/>
      <c r="X2550" s="25"/>
      <c r="Y2550" s="25"/>
      <c r="Z2550" s="25"/>
    </row>
    <row r="2551" spans="1:26" ht="15.75" customHeight="1" x14ac:dyDescent="0.25">
      <c r="A2551" s="25">
        <v>2549</v>
      </c>
      <c r="B2551" s="37" t="e">
        <f t="shared" ref="B2551:D2551" si="5135">VLOOKUP($A2551,[8]Movilidad!$A$1:$O$192,B$1,0)</f>
        <v>#N/A</v>
      </c>
      <c r="C2551" s="38" t="e">
        <f t="shared" si="5135"/>
        <v>#N/A</v>
      </c>
      <c r="D2551" s="39" t="e">
        <f t="shared" si="5135"/>
        <v>#N/A</v>
      </c>
      <c r="E2551" s="16" t="e">
        <f t="shared" si="1"/>
        <v>#N/A</v>
      </c>
      <c r="F2551" s="16" t="e">
        <f t="shared" ref="F2551:K2551" si="5136">VLOOKUP($A2551,[8]Movilidad!$A$1:$O$192,F$1,0)</f>
        <v>#N/A</v>
      </c>
      <c r="G2551" s="39" t="e">
        <f t="shared" si="5136"/>
        <v>#N/A</v>
      </c>
      <c r="H2551" s="16" t="e">
        <f t="shared" si="5136"/>
        <v>#N/A</v>
      </c>
      <c r="I2551" s="16" t="e">
        <f t="shared" si="5136"/>
        <v>#N/A</v>
      </c>
      <c r="J2551" s="40" t="e">
        <f t="shared" si="5136"/>
        <v>#N/A</v>
      </c>
      <c r="K2551" s="16" t="e">
        <f t="shared" si="5136"/>
        <v>#N/A</v>
      </c>
      <c r="L2551" s="40" t="e">
        <f t="shared" si="4837"/>
        <v>#N/A</v>
      </c>
      <c r="M2551" s="16" t="e">
        <f t="shared" si="4838"/>
        <v>#N/A</v>
      </c>
      <c r="N2551" s="16" t="e">
        <f t="shared" si="4839"/>
        <v>#N/A</v>
      </c>
      <c r="O2551" s="16" t="s">
        <v>72</v>
      </c>
      <c r="P2551" s="16" t="str">
        <f t="shared" si="6"/>
        <v/>
      </c>
      <c r="Q2551" s="41" t="e">
        <f t="shared" si="4840"/>
        <v>#N/A</v>
      </c>
      <c r="R2551" s="44"/>
      <c r="S2551" s="44"/>
      <c r="T2551" s="43"/>
      <c r="U2551" s="43" t="str">
        <f t="shared" si="8"/>
        <v>No</v>
      </c>
      <c r="V2551" s="25"/>
      <c r="W2551" s="25"/>
      <c r="X2551" s="25"/>
      <c r="Y2551" s="25"/>
      <c r="Z2551" s="25"/>
    </row>
    <row r="2552" spans="1:26" ht="15.75" customHeight="1" x14ac:dyDescent="0.25">
      <c r="A2552" s="25">
        <v>2550</v>
      </c>
      <c r="B2552" s="37" t="e">
        <f t="shared" ref="B2552:D2552" si="5137">VLOOKUP($A2552,[8]Movilidad!$A$1:$O$192,B$1,0)</f>
        <v>#N/A</v>
      </c>
      <c r="C2552" s="38" t="e">
        <f t="shared" si="5137"/>
        <v>#N/A</v>
      </c>
      <c r="D2552" s="39" t="e">
        <f t="shared" si="5137"/>
        <v>#N/A</v>
      </c>
      <c r="E2552" s="16" t="e">
        <f t="shared" si="1"/>
        <v>#N/A</v>
      </c>
      <c r="F2552" s="16" t="e">
        <f t="shared" ref="F2552:K2552" si="5138">VLOOKUP($A2552,[8]Movilidad!$A$1:$O$192,F$1,0)</f>
        <v>#N/A</v>
      </c>
      <c r="G2552" s="39" t="e">
        <f t="shared" si="5138"/>
        <v>#N/A</v>
      </c>
      <c r="H2552" s="16" t="e">
        <f t="shared" si="5138"/>
        <v>#N/A</v>
      </c>
      <c r="I2552" s="16" t="e">
        <f t="shared" si="5138"/>
        <v>#N/A</v>
      </c>
      <c r="J2552" s="40" t="e">
        <f t="shared" si="5138"/>
        <v>#N/A</v>
      </c>
      <c r="K2552" s="16" t="e">
        <f t="shared" si="5138"/>
        <v>#N/A</v>
      </c>
      <c r="L2552" s="40" t="e">
        <f t="shared" si="4837"/>
        <v>#N/A</v>
      </c>
      <c r="M2552" s="16" t="e">
        <f t="shared" si="4838"/>
        <v>#N/A</v>
      </c>
      <c r="N2552" s="16" t="e">
        <f t="shared" si="4839"/>
        <v>#N/A</v>
      </c>
      <c r="O2552" s="16" t="s">
        <v>72</v>
      </c>
      <c r="P2552" s="16" t="str">
        <f t="shared" si="6"/>
        <v/>
      </c>
      <c r="Q2552" s="41" t="e">
        <f t="shared" si="4840"/>
        <v>#N/A</v>
      </c>
      <c r="R2552" s="44"/>
      <c r="S2552" s="44"/>
      <c r="T2552" s="43"/>
      <c r="U2552" s="43" t="str">
        <f t="shared" si="8"/>
        <v>No</v>
      </c>
      <c r="V2552" s="25"/>
      <c r="W2552" s="25"/>
      <c r="X2552" s="25"/>
      <c r="Y2552" s="25"/>
      <c r="Z2552" s="25"/>
    </row>
    <row r="2553" spans="1:26" ht="15.75" customHeight="1" x14ac:dyDescent="0.25">
      <c r="A2553" s="25">
        <v>2551</v>
      </c>
      <c r="B2553" s="37" t="e">
        <f t="shared" ref="B2553:D2553" si="5139">VLOOKUP($A2553,[8]Movilidad!$A$1:$O$192,B$1,0)</f>
        <v>#N/A</v>
      </c>
      <c r="C2553" s="38" t="e">
        <f t="shared" si="5139"/>
        <v>#N/A</v>
      </c>
      <c r="D2553" s="39" t="e">
        <f t="shared" si="5139"/>
        <v>#N/A</v>
      </c>
      <c r="E2553" s="16" t="e">
        <f t="shared" si="1"/>
        <v>#N/A</v>
      </c>
      <c r="F2553" s="16" t="e">
        <f t="shared" ref="F2553:K2553" si="5140">VLOOKUP($A2553,[8]Movilidad!$A$1:$O$192,F$1,0)</f>
        <v>#N/A</v>
      </c>
      <c r="G2553" s="39" t="e">
        <f t="shared" si="5140"/>
        <v>#N/A</v>
      </c>
      <c r="H2553" s="16" t="e">
        <f t="shared" si="5140"/>
        <v>#N/A</v>
      </c>
      <c r="I2553" s="16" t="e">
        <f t="shared" si="5140"/>
        <v>#N/A</v>
      </c>
      <c r="J2553" s="40" t="e">
        <f t="shared" si="5140"/>
        <v>#N/A</v>
      </c>
      <c r="K2553" s="16" t="e">
        <f t="shared" si="5140"/>
        <v>#N/A</v>
      </c>
      <c r="L2553" s="40" t="e">
        <f t="shared" si="4837"/>
        <v>#N/A</v>
      </c>
      <c r="M2553" s="16" t="e">
        <f t="shared" si="4838"/>
        <v>#N/A</v>
      </c>
      <c r="N2553" s="16" t="e">
        <f t="shared" si="4839"/>
        <v>#N/A</v>
      </c>
      <c r="O2553" s="16" t="s">
        <v>72</v>
      </c>
      <c r="P2553" s="16" t="str">
        <f t="shared" si="6"/>
        <v/>
      </c>
      <c r="Q2553" s="41" t="e">
        <f t="shared" si="4840"/>
        <v>#N/A</v>
      </c>
      <c r="R2553" s="44"/>
      <c r="S2553" s="44"/>
      <c r="T2553" s="43"/>
      <c r="U2553" s="43" t="str">
        <f t="shared" si="8"/>
        <v>No</v>
      </c>
      <c r="V2553" s="25"/>
      <c r="W2553" s="25"/>
      <c r="X2553" s="25"/>
      <c r="Y2553" s="25"/>
      <c r="Z2553" s="25"/>
    </row>
    <row r="2554" spans="1:26" ht="15.75" customHeight="1" x14ac:dyDescent="0.25">
      <c r="A2554" s="25">
        <v>2552</v>
      </c>
      <c r="B2554" s="37" t="e">
        <f t="shared" ref="B2554:D2554" si="5141">VLOOKUP($A2554,[8]Movilidad!$A$1:$O$192,B$1,0)</f>
        <v>#N/A</v>
      </c>
      <c r="C2554" s="38" t="e">
        <f t="shared" si="5141"/>
        <v>#N/A</v>
      </c>
      <c r="D2554" s="39" t="e">
        <f t="shared" si="5141"/>
        <v>#N/A</v>
      </c>
      <c r="E2554" s="16" t="e">
        <f t="shared" si="1"/>
        <v>#N/A</v>
      </c>
      <c r="F2554" s="16" t="e">
        <f t="shared" ref="F2554:K2554" si="5142">VLOOKUP($A2554,[8]Movilidad!$A$1:$O$192,F$1,0)</f>
        <v>#N/A</v>
      </c>
      <c r="G2554" s="39" t="e">
        <f t="shared" si="5142"/>
        <v>#N/A</v>
      </c>
      <c r="H2554" s="16" t="e">
        <f t="shared" si="5142"/>
        <v>#N/A</v>
      </c>
      <c r="I2554" s="16" t="e">
        <f t="shared" si="5142"/>
        <v>#N/A</v>
      </c>
      <c r="J2554" s="40" t="e">
        <f t="shared" si="5142"/>
        <v>#N/A</v>
      </c>
      <c r="K2554" s="16" t="e">
        <f t="shared" si="5142"/>
        <v>#N/A</v>
      </c>
      <c r="L2554" s="40" t="e">
        <f t="shared" si="4837"/>
        <v>#N/A</v>
      </c>
      <c r="M2554" s="16" t="e">
        <f t="shared" si="4838"/>
        <v>#N/A</v>
      </c>
      <c r="N2554" s="16" t="e">
        <f t="shared" si="4839"/>
        <v>#N/A</v>
      </c>
      <c r="O2554" s="16" t="s">
        <v>72</v>
      </c>
      <c r="P2554" s="16" t="str">
        <f t="shared" si="6"/>
        <v/>
      </c>
      <c r="Q2554" s="41" t="e">
        <f t="shared" si="4840"/>
        <v>#N/A</v>
      </c>
      <c r="R2554" s="44"/>
      <c r="S2554" s="44"/>
      <c r="T2554" s="43"/>
      <c r="U2554" s="43" t="str">
        <f t="shared" si="8"/>
        <v>No</v>
      </c>
      <c r="V2554" s="25"/>
      <c r="W2554" s="25"/>
      <c r="X2554" s="25"/>
      <c r="Y2554" s="25"/>
      <c r="Z2554" s="25"/>
    </row>
    <row r="2555" spans="1:26" ht="15.75" customHeight="1" x14ac:dyDescent="0.25">
      <c r="A2555" s="25">
        <v>2553</v>
      </c>
      <c r="B2555" s="37" t="e">
        <f t="shared" ref="B2555:D2555" si="5143">VLOOKUP($A2555,[8]Movilidad!$A$1:$O$192,B$1,0)</f>
        <v>#N/A</v>
      </c>
      <c r="C2555" s="38" t="e">
        <f t="shared" si="5143"/>
        <v>#N/A</v>
      </c>
      <c r="D2555" s="39" t="e">
        <f t="shared" si="5143"/>
        <v>#N/A</v>
      </c>
      <c r="E2555" s="16" t="e">
        <f t="shared" si="1"/>
        <v>#N/A</v>
      </c>
      <c r="F2555" s="16" t="e">
        <f t="shared" ref="F2555:K2555" si="5144">VLOOKUP($A2555,[8]Movilidad!$A$1:$O$192,F$1,0)</f>
        <v>#N/A</v>
      </c>
      <c r="G2555" s="39" t="e">
        <f t="shared" si="5144"/>
        <v>#N/A</v>
      </c>
      <c r="H2555" s="16" t="e">
        <f t="shared" si="5144"/>
        <v>#N/A</v>
      </c>
      <c r="I2555" s="16" t="e">
        <f t="shared" si="5144"/>
        <v>#N/A</v>
      </c>
      <c r="J2555" s="40" t="e">
        <f t="shared" si="5144"/>
        <v>#N/A</v>
      </c>
      <c r="K2555" s="16" t="e">
        <f t="shared" si="5144"/>
        <v>#N/A</v>
      </c>
      <c r="L2555" s="40" t="e">
        <f t="shared" si="4837"/>
        <v>#N/A</v>
      </c>
      <c r="M2555" s="16" t="e">
        <f t="shared" si="4838"/>
        <v>#N/A</v>
      </c>
      <c r="N2555" s="16" t="e">
        <f t="shared" si="4839"/>
        <v>#N/A</v>
      </c>
      <c r="O2555" s="16" t="s">
        <v>72</v>
      </c>
      <c r="P2555" s="16" t="str">
        <f t="shared" si="6"/>
        <v/>
      </c>
      <c r="Q2555" s="41" t="e">
        <f t="shared" si="4840"/>
        <v>#N/A</v>
      </c>
      <c r="R2555" s="44"/>
      <c r="S2555" s="44"/>
      <c r="T2555" s="43"/>
      <c r="U2555" s="43" t="str">
        <f t="shared" si="8"/>
        <v>No</v>
      </c>
      <c r="V2555" s="25"/>
      <c r="W2555" s="25"/>
      <c r="X2555" s="25"/>
      <c r="Y2555" s="25"/>
      <c r="Z2555" s="25"/>
    </row>
    <row r="2556" spans="1:26" ht="15.75" customHeight="1" x14ac:dyDescent="0.25">
      <c r="A2556" s="25">
        <v>2554</v>
      </c>
      <c r="B2556" s="37" t="e">
        <f t="shared" ref="B2556:D2556" si="5145">VLOOKUP($A2556,[8]Movilidad!$A$1:$O$192,B$1,0)</f>
        <v>#N/A</v>
      </c>
      <c r="C2556" s="38" t="e">
        <f t="shared" si="5145"/>
        <v>#N/A</v>
      </c>
      <c r="D2556" s="39" t="e">
        <f t="shared" si="5145"/>
        <v>#N/A</v>
      </c>
      <c r="E2556" s="16" t="e">
        <f t="shared" si="1"/>
        <v>#N/A</v>
      </c>
      <c r="F2556" s="16" t="e">
        <f t="shared" ref="F2556:K2556" si="5146">VLOOKUP($A2556,[8]Movilidad!$A$1:$O$192,F$1,0)</f>
        <v>#N/A</v>
      </c>
      <c r="G2556" s="39" t="e">
        <f t="shared" si="5146"/>
        <v>#N/A</v>
      </c>
      <c r="H2556" s="16" t="e">
        <f t="shared" si="5146"/>
        <v>#N/A</v>
      </c>
      <c r="I2556" s="16" t="e">
        <f t="shared" si="5146"/>
        <v>#N/A</v>
      </c>
      <c r="J2556" s="40" t="e">
        <f t="shared" si="5146"/>
        <v>#N/A</v>
      </c>
      <c r="K2556" s="16" t="e">
        <f t="shared" si="5146"/>
        <v>#N/A</v>
      </c>
      <c r="L2556" s="40" t="e">
        <f t="shared" si="4837"/>
        <v>#N/A</v>
      </c>
      <c r="M2556" s="16" t="e">
        <f t="shared" si="4838"/>
        <v>#N/A</v>
      </c>
      <c r="N2556" s="16" t="e">
        <f t="shared" si="4839"/>
        <v>#N/A</v>
      </c>
      <c r="O2556" s="16" t="s">
        <v>72</v>
      </c>
      <c r="P2556" s="16" t="str">
        <f t="shared" si="6"/>
        <v/>
      </c>
      <c r="Q2556" s="41" t="e">
        <f t="shared" si="4840"/>
        <v>#N/A</v>
      </c>
      <c r="R2556" s="44"/>
      <c r="S2556" s="44"/>
      <c r="T2556" s="43"/>
      <c r="U2556" s="43" t="str">
        <f t="shared" si="8"/>
        <v>No</v>
      </c>
      <c r="V2556" s="25"/>
      <c r="W2556" s="25"/>
      <c r="X2556" s="25"/>
      <c r="Y2556" s="25"/>
      <c r="Z2556" s="25"/>
    </row>
    <row r="2557" spans="1:26" ht="15.75" customHeight="1" x14ac:dyDescent="0.25">
      <c r="A2557" s="25">
        <v>2555</v>
      </c>
      <c r="B2557" s="37" t="e">
        <f t="shared" ref="B2557:D2557" si="5147">VLOOKUP($A2557,[8]Movilidad!$A$1:$O$192,B$1,0)</f>
        <v>#N/A</v>
      </c>
      <c r="C2557" s="38" t="e">
        <f t="shared" si="5147"/>
        <v>#N/A</v>
      </c>
      <c r="D2557" s="39" t="e">
        <f t="shared" si="5147"/>
        <v>#N/A</v>
      </c>
      <c r="E2557" s="16" t="e">
        <f t="shared" si="1"/>
        <v>#N/A</v>
      </c>
      <c r="F2557" s="16" t="e">
        <f t="shared" ref="F2557:K2557" si="5148">VLOOKUP($A2557,[8]Movilidad!$A$1:$O$192,F$1,0)</f>
        <v>#N/A</v>
      </c>
      <c r="G2557" s="39" t="e">
        <f t="shared" si="5148"/>
        <v>#N/A</v>
      </c>
      <c r="H2557" s="16" t="e">
        <f t="shared" si="5148"/>
        <v>#N/A</v>
      </c>
      <c r="I2557" s="16" t="e">
        <f t="shared" si="5148"/>
        <v>#N/A</v>
      </c>
      <c r="J2557" s="40" t="e">
        <f t="shared" si="5148"/>
        <v>#N/A</v>
      </c>
      <c r="K2557" s="16" t="e">
        <f t="shared" si="5148"/>
        <v>#N/A</v>
      </c>
      <c r="L2557" s="40" t="e">
        <f t="shared" si="4837"/>
        <v>#N/A</v>
      </c>
      <c r="M2557" s="16" t="e">
        <f t="shared" si="4838"/>
        <v>#N/A</v>
      </c>
      <c r="N2557" s="16" t="e">
        <f t="shared" si="4839"/>
        <v>#N/A</v>
      </c>
      <c r="O2557" s="16" t="s">
        <v>72</v>
      </c>
      <c r="P2557" s="16" t="str">
        <f t="shared" si="6"/>
        <v/>
      </c>
      <c r="Q2557" s="41" t="e">
        <f t="shared" si="4840"/>
        <v>#N/A</v>
      </c>
      <c r="R2557" s="44"/>
      <c r="S2557" s="44"/>
      <c r="T2557" s="43"/>
      <c r="U2557" s="43" t="str">
        <f t="shared" si="8"/>
        <v>No</v>
      </c>
      <c r="V2557" s="25"/>
      <c r="W2557" s="25"/>
      <c r="X2557" s="25"/>
      <c r="Y2557" s="25"/>
      <c r="Z2557" s="25"/>
    </row>
    <row r="2558" spans="1:26" ht="15.75" customHeight="1" x14ac:dyDescent="0.25">
      <c r="A2558" s="25">
        <v>2556</v>
      </c>
      <c r="B2558" s="37" t="e">
        <f t="shared" ref="B2558:D2558" si="5149">VLOOKUP($A2558,[8]Movilidad!$A$1:$O$192,B$1,0)</f>
        <v>#N/A</v>
      </c>
      <c r="C2558" s="38" t="e">
        <f t="shared" si="5149"/>
        <v>#N/A</v>
      </c>
      <c r="D2558" s="39" t="e">
        <f t="shared" si="5149"/>
        <v>#N/A</v>
      </c>
      <c r="E2558" s="16" t="e">
        <f t="shared" si="1"/>
        <v>#N/A</v>
      </c>
      <c r="F2558" s="16" t="e">
        <f t="shared" ref="F2558:K2558" si="5150">VLOOKUP($A2558,[8]Movilidad!$A$1:$O$192,F$1,0)</f>
        <v>#N/A</v>
      </c>
      <c r="G2558" s="39" t="e">
        <f t="shared" si="5150"/>
        <v>#N/A</v>
      </c>
      <c r="H2558" s="16" t="e">
        <f t="shared" si="5150"/>
        <v>#N/A</v>
      </c>
      <c r="I2558" s="16" t="e">
        <f t="shared" si="5150"/>
        <v>#N/A</v>
      </c>
      <c r="J2558" s="40" t="e">
        <f t="shared" si="5150"/>
        <v>#N/A</v>
      </c>
      <c r="K2558" s="16" t="e">
        <f t="shared" si="5150"/>
        <v>#N/A</v>
      </c>
      <c r="L2558" s="40" t="e">
        <f t="shared" si="4837"/>
        <v>#N/A</v>
      </c>
      <c r="M2558" s="16" t="e">
        <f t="shared" si="4838"/>
        <v>#N/A</v>
      </c>
      <c r="N2558" s="16" t="e">
        <f t="shared" si="4839"/>
        <v>#N/A</v>
      </c>
      <c r="O2558" s="16" t="s">
        <v>72</v>
      </c>
      <c r="P2558" s="16" t="str">
        <f t="shared" si="6"/>
        <v/>
      </c>
      <c r="Q2558" s="41" t="e">
        <f t="shared" si="4840"/>
        <v>#N/A</v>
      </c>
      <c r="R2558" s="44"/>
      <c r="S2558" s="44"/>
      <c r="T2558" s="43"/>
      <c r="U2558" s="43" t="str">
        <f t="shared" si="8"/>
        <v>No</v>
      </c>
      <c r="V2558" s="25"/>
      <c r="W2558" s="25"/>
      <c r="X2558" s="25"/>
      <c r="Y2558" s="25"/>
      <c r="Z2558" s="25"/>
    </row>
    <row r="2559" spans="1:26" ht="15.75" customHeight="1" x14ac:dyDescent="0.25">
      <c r="A2559" s="25">
        <v>2557</v>
      </c>
      <c r="B2559" s="37" t="e">
        <f t="shared" ref="B2559:D2559" si="5151">VLOOKUP($A2559,[8]Movilidad!$A$1:$O$192,B$1,0)</f>
        <v>#N/A</v>
      </c>
      <c r="C2559" s="38" t="e">
        <f t="shared" si="5151"/>
        <v>#N/A</v>
      </c>
      <c r="D2559" s="39" t="e">
        <f t="shared" si="5151"/>
        <v>#N/A</v>
      </c>
      <c r="E2559" s="16" t="e">
        <f t="shared" si="1"/>
        <v>#N/A</v>
      </c>
      <c r="F2559" s="16" t="e">
        <f t="shared" ref="F2559:K2559" si="5152">VLOOKUP($A2559,[8]Movilidad!$A$1:$O$192,F$1,0)</f>
        <v>#N/A</v>
      </c>
      <c r="G2559" s="39" t="e">
        <f t="shared" si="5152"/>
        <v>#N/A</v>
      </c>
      <c r="H2559" s="16" t="e">
        <f t="shared" si="5152"/>
        <v>#N/A</v>
      </c>
      <c r="I2559" s="16" t="e">
        <f t="shared" si="5152"/>
        <v>#N/A</v>
      </c>
      <c r="J2559" s="40" t="e">
        <f t="shared" si="5152"/>
        <v>#N/A</v>
      </c>
      <c r="K2559" s="16" t="e">
        <f t="shared" si="5152"/>
        <v>#N/A</v>
      </c>
      <c r="L2559" s="40" t="e">
        <f t="shared" si="4837"/>
        <v>#N/A</v>
      </c>
      <c r="M2559" s="16" t="e">
        <f t="shared" si="4838"/>
        <v>#N/A</v>
      </c>
      <c r="N2559" s="16" t="e">
        <f t="shared" si="4839"/>
        <v>#N/A</v>
      </c>
      <c r="O2559" s="16" t="s">
        <v>72</v>
      </c>
      <c r="P2559" s="16" t="str">
        <f t="shared" si="6"/>
        <v/>
      </c>
      <c r="Q2559" s="41" t="e">
        <f t="shared" si="4840"/>
        <v>#N/A</v>
      </c>
      <c r="R2559" s="44"/>
      <c r="S2559" s="44"/>
      <c r="T2559" s="43"/>
      <c r="U2559" s="43" t="str">
        <f t="shared" si="8"/>
        <v>No</v>
      </c>
      <c r="V2559" s="25"/>
      <c r="W2559" s="25"/>
      <c r="X2559" s="25"/>
      <c r="Y2559" s="25"/>
      <c r="Z2559" s="25"/>
    </row>
    <row r="2560" spans="1:26" ht="15.75" customHeight="1" x14ac:dyDescent="0.25">
      <c r="A2560" s="25">
        <v>2558</v>
      </c>
      <c r="B2560" s="37" t="e">
        <f t="shared" ref="B2560:D2560" si="5153">VLOOKUP($A2560,[8]Movilidad!$A$1:$O$192,B$1,0)</f>
        <v>#N/A</v>
      </c>
      <c r="C2560" s="38" t="e">
        <f t="shared" si="5153"/>
        <v>#N/A</v>
      </c>
      <c r="D2560" s="39" t="e">
        <f t="shared" si="5153"/>
        <v>#N/A</v>
      </c>
      <c r="E2560" s="16" t="e">
        <f t="shared" si="1"/>
        <v>#N/A</v>
      </c>
      <c r="F2560" s="16" t="e">
        <f t="shared" ref="F2560:K2560" si="5154">VLOOKUP($A2560,[8]Movilidad!$A$1:$O$192,F$1,0)</f>
        <v>#N/A</v>
      </c>
      <c r="G2560" s="39" t="e">
        <f t="shared" si="5154"/>
        <v>#N/A</v>
      </c>
      <c r="H2560" s="16" t="e">
        <f t="shared" si="5154"/>
        <v>#N/A</v>
      </c>
      <c r="I2560" s="16" t="e">
        <f t="shared" si="5154"/>
        <v>#N/A</v>
      </c>
      <c r="J2560" s="40" t="e">
        <f t="shared" si="5154"/>
        <v>#N/A</v>
      </c>
      <c r="K2560" s="16" t="e">
        <f t="shared" si="5154"/>
        <v>#N/A</v>
      </c>
      <c r="L2560" s="40" t="e">
        <f t="shared" si="4837"/>
        <v>#N/A</v>
      </c>
      <c r="M2560" s="16" t="e">
        <f t="shared" si="4838"/>
        <v>#N/A</v>
      </c>
      <c r="N2560" s="16" t="e">
        <f t="shared" si="4839"/>
        <v>#N/A</v>
      </c>
      <c r="O2560" s="16" t="s">
        <v>72</v>
      </c>
      <c r="P2560" s="16" t="str">
        <f t="shared" si="6"/>
        <v/>
      </c>
      <c r="Q2560" s="41" t="e">
        <f t="shared" si="4840"/>
        <v>#N/A</v>
      </c>
      <c r="R2560" s="44"/>
      <c r="S2560" s="44"/>
      <c r="T2560" s="43"/>
      <c r="U2560" s="43" t="str">
        <f t="shared" si="8"/>
        <v>No</v>
      </c>
      <c r="V2560" s="25"/>
      <c r="W2560" s="25"/>
      <c r="X2560" s="25"/>
      <c r="Y2560" s="25"/>
      <c r="Z2560" s="25"/>
    </row>
    <row r="2561" spans="1:26" ht="15.75" customHeight="1" x14ac:dyDescent="0.25">
      <c r="A2561" s="25">
        <v>2559</v>
      </c>
      <c r="B2561" s="37" t="e">
        <f t="shared" ref="B2561:D2561" si="5155">VLOOKUP($A2561,[8]Movilidad!$A$1:$O$192,B$1,0)</f>
        <v>#N/A</v>
      </c>
      <c r="C2561" s="38" t="e">
        <f t="shared" si="5155"/>
        <v>#N/A</v>
      </c>
      <c r="D2561" s="39" t="e">
        <f t="shared" si="5155"/>
        <v>#N/A</v>
      </c>
      <c r="E2561" s="16" t="e">
        <f t="shared" si="1"/>
        <v>#N/A</v>
      </c>
      <c r="F2561" s="16" t="e">
        <f t="shared" ref="F2561:K2561" si="5156">VLOOKUP($A2561,[8]Movilidad!$A$1:$O$192,F$1,0)</f>
        <v>#N/A</v>
      </c>
      <c r="G2561" s="39" t="e">
        <f t="shared" si="5156"/>
        <v>#N/A</v>
      </c>
      <c r="H2561" s="16" t="e">
        <f t="shared" si="5156"/>
        <v>#N/A</v>
      </c>
      <c r="I2561" s="16" t="e">
        <f t="shared" si="5156"/>
        <v>#N/A</v>
      </c>
      <c r="J2561" s="40" t="e">
        <f t="shared" si="5156"/>
        <v>#N/A</v>
      </c>
      <c r="K2561" s="16" t="e">
        <f t="shared" si="5156"/>
        <v>#N/A</v>
      </c>
      <c r="L2561" s="40" t="e">
        <f t="shared" si="4837"/>
        <v>#N/A</v>
      </c>
      <c r="M2561" s="16" t="e">
        <f t="shared" si="4838"/>
        <v>#N/A</v>
      </c>
      <c r="N2561" s="16" t="e">
        <f t="shared" si="4839"/>
        <v>#N/A</v>
      </c>
      <c r="O2561" s="16" t="s">
        <v>72</v>
      </c>
      <c r="P2561" s="16" t="str">
        <f t="shared" si="6"/>
        <v/>
      </c>
      <c r="Q2561" s="41" t="e">
        <f t="shared" si="4840"/>
        <v>#N/A</v>
      </c>
      <c r="R2561" s="44"/>
      <c r="S2561" s="44"/>
      <c r="T2561" s="43"/>
      <c r="U2561" s="43" t="str">
        <f t="shared" si="8"/>
        <v>No</v>
      </c>
      <c r="V2561" s="25"/>
      <c r="W2561" s="25"/>
      <c r="X2561" s="25"/>
      <c r="Y2561" s="25"/>
      <c r="Z2561" s="25"/>
    </row>
    <row r="2562" spans="1:26" ht="15.75" customHeight="1" x14ac:dyDescent="0.25">
      <c r="A2562" s="25">
        <v>2560</v>
      </c>
      <c r="B2562" s="37" t="e">
        <f t="shared" ref="B2562:D2562" si="5157">VLOOKUP($A2562,[8]Movilidad!$A$1:$O$192,B$1,0)</f>
        <v>#N/A</v>
      </c>
      <c r="C2562" s="38" t="e">
        <f t="shared" si="5157"/>
        <v>#N/A</v>
      </c>
      <c r="D2562" s="39" t="e">
        <f t="shared" si="5157"/>
        <v>#N/A</v>
      </c>
      <c r="E2562" s="16" t="e">
        <f t="shared" si="1"/>
        <v>#N/A</v>
      </c>
      <c r="F2562" s="16" t="e">
        <f t="shared" ref="F2562:K2562" si="5158">VLOOKUP($A2562,[8]Movilidad!$A$1:$O$192,F$1,0)</f>
        <v>#N/A</v>
      </c>
      <c r="G2562" s="39" t="e">
        <f t="shared" si="5158"/>
        <v>#N/A</v>
      </c>
      <c r="H2562" s="16" t="e">
        <f t="shared" si="5158"/>
        <v>#N/A</v>
      </c>
      <c r="I2562" s="16" t="e">
        <f t="shared" si="5158"/>
        <v>#N/A</v>
      </c>
      <c r="J2562" s="40" t="e">
        <f t="shared" si="5158"/>
        <v>#N/A</v>
      </c>
      <c r="K2562" s="16" t="e">
        <f t="shared" si="5158"/>
        <v>#N/A</v>
      </c>
      <c r="L2562" s="40" t="e">
        <f t="shared" si="4837"/>
        <v>#N/A</v>
      </c>
      <c r="M2562" s="16" t="e">
        <f t="shared" si="4838"/>
        <v>#N/A</v>
      </c>
      <c r="N2562" s="16" t="e">
        <f t="shared" si="4839"/>
        <v>#N/A</v>
      </c>
      <c r="O2562" s="16" t="s">
        <v>72</v>
      </c>
      <c r="P2562" s="16" t="str">
        <f t="shared" si="6"/>
        <v/>
      </c>
      <c r="Q2562" s="41" t="e">
        <f t="shared" si="4840"/>
        <v>#N/A</v>
      </c>
      <c r="R2562" s="44"/>
      <c r="S2562" s="44"/>
      <c r="T2562" s="43"/>
      <c r="U2562" s="43" t="str">
        <f t="shared" si="8"/>
        <v>No</v>
      </c>
      <c r="V2562" s="25"/>
      <c r="W2562" s="25"/>
      <c r="X2562" s="25"/>
      <c r="Y2562" s="25"/>
      <c r="Z2562" s="25"/>
    </row>
    <row r="2563" spans="1:26" ht="15.75" customHeight="1" x14ac:dyDescent="0.25">
      <c r="A2563" s="25">
        <v>2561</v>
      </c>
      <c r="B2563" s="37" t="e">
        <f t="shared" ref="B2563:D2563" si="5159">VLOOKUP($A2563,[8]Movilidad!$A$1:$O$192,B$1,0)</f>
        <v>#N/A</v>
      </c>
      <c r="C2563" s="38" t="e">
        <f t="shared" si="5159"/>
        <v>#N/A</v>
      </c>
      <c r="D2563" s="39" t="e">
        <f t="shared" si="5159"/>
        <v>#N/A</v>
      </c>
      <c r="E2563" s="16" t="e">
        <f t="shared" si="1"/>
        <v>#N/A</v>
      </c>
      <c r="F2563" s="16" t="e">
        <f t="shared" ref="F2563:K2563" si="5160">VLOOKUP($A2563,[8]Movilidad!$A$1:$O$192,F$1,0)</f>
        <v>#N/A</v>
      </c>
      <c r="G2563" s="39" t="e">
        <f t="shared" si="5160"/>
        <v>#N/A</v>
      </c>
      <c r="H2563" s="16" t="e">
        <f t="shared" si="5160"/>
        <v>#N/A</v>
      </c>
      <c r="I2563" s="16" t="e">
        <f t="shared" si="5160"/>
        <v>#N/A</v>
      </c>
      <c r="J2563" s="40" t="e">
        <f t="shared" si="5160"/>
        <v>#N/A</v>
      </c>
      <c r="K2563" s="16" t="e">
        <f t="shared" si="5160"/>
        <v>#N/A</v>
      </c>
      <c r="L2563" s="40" t="e">
        <f t="shared" si="4837"/>
        <v>#N/A</v>
      </c>
      <c r="M2563" s="16" t="e">
        <f t="shared" si="4838"/>
        <v>#N/A</v>
      </c>
      <c r="N2563" s="16" t="e">
        <f t="shared" si="4839"/>
        <v>#N/A</v>
      </c>
      <c r="O2563" s="16" t="s">
        <v>72</v>
      </c>
      <c r="P2563" s="16" t="str">
        <f t="shared" si="6"/>
        <v/>
      </c>
      <c r="Q2563" s="41" t="e">
        <f t="shared" si="4840"/>
        <v>#N/A</v>
      </c>
      <c r="R2563" s="44"/>
      <c r="S2563" s="44"/>
      <c r="T2563" s="43"/>
      <c r="U2563" s="43" t="str">
        <f t="shared" si="8"/>
        <v>No</v>
      </c>
      <c r="V2563" s="25"/>
      <c r="W2563" s="25"/>
      <c r="X2563" s="25"/>
      <c r="Y2563" s="25"/>
      <c r="Z2563" s="25"/>
    </row>
    <row r="2564" spans="1:26" ht="15.75" customHeight="1" x14ac:dyDescent="0.25">
      <c r="A2564" s="25">
        <v>2562</v>
      </c>
      <c r="B2564" s="37" t="e">
        <f t="shared" ref="B2564:D2564" si="5161">VLOOKUP($A2564,[8]Movilidad!$A$1:$O$192,B$1,0)</f>
        <v>#N/A</v>
      </c>
      <c r="C2564" s="38" t="e">
        <f t="shared" si="5161"/>
        <v>#N/A</v>
      </c>
      <c r="D2564" s="39" t="e">
        <f t="shared" si="5161"/>
        <v>#N/A</v>
      </c>
      <c r="E2564" s="16" t="e">
        <f t="shared" si="1"/>
        <v>#N/A</v>
      </c>
      <c r="F2564" s="16" t="e">
        <f t="shared" ref="F2564:K2564" si="5162">VLOOKUP($A2564,[8]Movilidad!$A$1:$O$192,F$1,0)</f>
        <v>#N/A</v>
      </c>
      <c r="G2564" s="39" t="e">
        <f t="shared" si="5162"/>
        <v>#N/A</v>
      </c>
      <c r="H2564" s="16" t="e">
        <f t="shared" si="5162"/>
        <v>#N/A</v>
      </c>
      <c r="I2564" s="16" t="e">
        <f t="shared" si="5162"/>
        <v>#N/A</v>
      </c>
      <c r="J2564" s="40" t="e">
        <f t="shared" si="5162"/>
        <v>#N/A</v>
      </c>
      <c r="K2564" s="16" t="e">
        <f t="shared" si="5162"/>
        <v>#N/A</v>
      </c>
      <c r="L2564" s="40" t="e">
        <f t="shared" si="4837"/>
        <v>#N/A</v>
      </c>
      <c r="M2564" s="16" t="e">
        <f t="shared" si="4838"/>
        <v>#N/A</v>
      </c>
      <c r="N2564" s="16" t="e">
        <f t="shared" si="4839"/>
        <v>#N/A</v>
      </c>
      <c r="O2564" s="16" t="s">
        <v>72</v>
      </c>
      <c r="P2564" s="16" t="str">
        <f t="shared" si="6"/>
        <v/>
      </c>
      <c r="Q2564" s="41" t="e">
        <f t="shared" si="4840"/>
        <v>#N/A</v>
      </c>
      <c r="R2564" s="44"/>
      <c r="S2564" s="44"/>
      <c r="T2564" s="43"/>
      <c r="U2564" s="43" t="str">
        <f t="shared" si="8"/>
        <v>No</v>
      </c>
      <c r="V2564" s="25"/>
      <c r="W2564" s="25"/>
      <c r="X2564" s="25"/>
      <c r="Y2564" s="25"/>
      <c r="Z2564" s="25"/>
    </row>
    <row r="2565" spans="1:26" ht="15.75" customHeight="1" x14ac:dyDescent="0.25">
      <c r="A2565" s="25">
        <v>2563</v>
      </c>
      <c r="B2565" s="37" t="e">
        <f t="shared" ref="B2565:D2565" si="5163">VLOOKUP($A2565,[8]Movilidad!$A$1:$O$192,B$1,0)</f>
        <v>#N/A</v>
      </c>
      <c r="C2565" s="38" t="e">
        <f t="shared" si="5163"/>
        <v>#N/A</v>
      </c>
      <c r="D2565" s="39" t="e">
        <f t="shared" si="5163"/>
        <v>#N/A</v>
      </c>
      <c r="E2565" s="16" t="e">
        <f t="shared" si="1"/>
        <v>#N/A</v>
      </c>
      <c r="F2565" s="16" t="e">
        <f t="shared" ref="F2565:K2565" si="5164">VLOOKUP($A2565,[8]Movilidad!$A$1:$O$192,F$1,0)</f>
        <v>#N/A</v>
      </c>
      <c r="G2565" s="39" t="e">
        <f t="shared" si="5164"/>
        <v>#N/A</v>
      </c>
      <c r="H2565" s="16" t="e">
        <f t="shared" si="5164"/>
        <v>#N/A</v>
      </c>
      <c r="I2565" s="16" t="e">
        <f t="shared" si="5164"/>
        <v>#N/A</v>
      </c>
      <c r="J2565" s="40" t="e">
        <f t="shared" si="5164"/>
        <v>#N/A</v>
      </c>
      <c r="K2565" s="16" t="e">
        <f t="shared" si="5164"/>
        <v>#N/A</v>
      </c>
      <c r="L2565" s="40" t="e">
        <f t="shared" si="4837"/>
        <v>#N/A</v>
      </c>
      <c r="M2565" s="16" t="e">
        <f t="shared" si="4838"/>
        <v>#N/A</v>
      </c>
      <c r="N2565" s="16" t="e">
        <f t="shared" si="4839"/>
        <v>#N/A</v>
      </c>
      <c r="O2565" s="16" t="s">
        <v>72</v>
      </c>
      <c r="P2565" s="16" t="str">
        <f t="shared" si="6"/>
        <v/>
      </c>
      <c r="Q2565" s="41" t="e">
        <f t="shared" si="4840"/>
        <v>#N/A</v>
      </c>
      <c r="R2565" s="44"/>
      <c r="S2565" s="44"/>
      <c r="T2565" s="43"/>
      <c r="U2565" s="43" t="str">
        <f t="shared" si="8"/>
        <v>No</v>
      </c>
      <c r="V2565" s="25"/>
      <c r="W2565" s="25"/>
      <c r="X2565" s="25"/>
      <c r="Y2565" s="25"/>
      <c r="Z2565" s="25"/>
    </row>
    <row r="2566" spans="1:26" ht="15.75" customHeight="1" x14ac:dyDescent="0.25">
      <c r="A2566" s="25">
        <v>2564</v>
      </c>
      <c r="B2566" s="37" t="e">
        <f t="shared" ref="B2566:D2566" si="5165">VLOOKUP($A2566,[8]Movilidad!$A$1:$O$192,B$1,0)</f>
        <v>#N/A</v>
      </c>
      <c r="C2566" s="38" t="e">
        <f t="shared" si="5165"/>
        <v>#N/A</v>
      </c>
      <c r="D2566" s="39" t="e">
        <f t="shared" si="5165"/>
        <v>#N/A</v>
      </c>
      <c r="E2566" s="16" t="e">
        <f t="shared" si="1"/>
        <v>#N/A</v>
      </c>
      <c r="F2566" s="16" t="e">
        <f t="shared" ref="F2566:K2566" si="5166">VLOOKUP($A2566,[8]Movilidad!$A$1:$O$192,F$1,0)</f>
        <v>#N/A</v>
      </c>
      <c r="G2566" s="39" t="e">
        <f t="shared" si="5166"/>
        <v>#N/A</v>
      </c>
      <c r="H2566" s="16" t="e">
        <f t="shared" si="5166"/>
        <v>#N/A</v>
      </c>
      <c r="I2566" s="16" t="e">
        <f t="shared" si="5166"/>
        <v>#N/A</v>
      </c>
      <c r="J2566" s="40" t="e">
        <f t="shared" si="5166"/>
        <v>#N/A</v>
      </c>
      <c r="K2566" s="16" t="e">
        <f t="shared" si="5166"/>
        <v>#N/A</v>
      </c>
      <c r="L2566" s="40" t="e">
        <f t="shared" si="4837"/>
        <v>#N/A</v>
      </c>
      <c r="M2566" s="16" t="e">
        <f t="shared" si="4838"/>
        <v>#N/A</v>
      </c>
      <c r="N2566" s="16" t="e">
        <f t="shared" si="4839"/>
        <v>#N/A</v>
      </c>
      <c r="O2566" s="16" t="s">
        <v>72</v>
      </c>
      <c r="P2566" s="16" t="str">
        <f t="shared" si="6"/>
        <v/>
      </c>
      <c r="Q2566" s="41" t="e">
        <f t="shared" si="4840"/>
        <v>#N/A</v>
      </c>
      <c r="R2566" s="44"/>
      <c r="S2566" s="44"/>
      <c r="T2566" s="43"/>
      <c r="U2566" s="43" t="str">
        <f t="shared" si="8"/>
        <v>No</v>
      </c>
      <c r="V2566" s="25"/>
      <c r="W2566" s="25"/>
      <c r="X2566" s="25"/>
      <c r="Y2566" s="25"/>
      <c r="Z2566" s="25"/>
    </row>
    <row r="2567" spans="1:26" ht="15.75" customHeight="1" x14ac:dyDescent="0.25">
      <c r="A2567" s="25">
        <v>2565</v>
      </c>
      <c r="B2567" s="37" t="e">
        <f t="shared" ref="B2567:D2567" si="5167">VLOOKUP($A2567,[8]Movilidad!$A$1:$O$192,B$1,0)</f>
        <v>#N/A</v>
      </c>
      <c r="C2567" s="38" t="e">
        <f t="shared" si="5167"/>
        <v>#N/A</v>
      </c>
      <c r="D2567" s="39" t="e">
        <f t="shared" si="5167"/>
        <v>#N/A</v>
      </c>
      <c r="E2567" s="16" t="e">
        <f t="shared" si="1"/>
        <v>#N/A</v>
      </c>
      <c r="F2567" s="16" t="e">
        <f t="shared" ref="F2567:K2567" si="5168">VLOOKUP($A2567,[8]Movilidad!$A$1:$O$192,F$1,0)</f>
        <v>#N/A</v>
      </c>
      <c r="G2567" s="39" t="e">
        <f t="shared" si="5168"/>
        <v>#N/A</v>
      </c>
      <c r="H2567" s="16" t="e">
        <f t="shared" si="5168"/>
        <v>#N/A</v>
      </c>
      <c r="I2567" s="16" t="e">
        <f t="shared" si="5168"/>
        <v>#N/A</v>
      </c>
      <c r="J2567" s="40" t="e">
        <f t="shared" si="5168"/>
        <v>#N/A</v>
      </c>
      <c r="K2567" s="16" t="e">
        <f t="shared" si="5168"/>
        <v>#N/A</v>
      </c>
      <c r="L2567" s="40" t="e">
        <f t="shared" si="4837"/>
        <v>#N/A</v>
      </c>
      <c r="M2567" s="16" t="e">
        <f t="shared" si="4838"/>
        <v>#N/A</v>
      </c>
      <c r="N2567" s="16" t="e">
        <f t="shared" si="4839"/>
        <v>#N/A</v>
      </c>
      <c r="O2567" s="16" t="s">
        <v>72</v>
      </c>
      <c r="P2567" s="16" t="str">
        <f t="shared" si="6"/>
        <v/>
      </c>
      <c r="Q2567" s="41" t="e">
        <f t="shared" si="4840"/>
        <v>#N/A</v>
      </c>
      <c r="R2567" s="44"/>
      <c r="S2567" s="44"/>
      <c r="T2567" s="43"/>
      <c r="U2567" s="43" t="str">
        <f t="shared" si="8"/>
        <v>No</v>
      </c>
      <c r="V2567" s="25"/>
      <c r="W2567" s="25"/>
      <c r="X2567" s="25"/>
      <c r="Y2567" s="25"/>
      <c r="Z2567" s="25"/>
    </row>
    <row r="2568" spans="1:26" ht="15.75" customHeight="1" x14ac:dyDescent="0.25">
      <c r="A2568" s="25">
        <v>2566</v>
      </c>
      <c r="B2568" s="37" t="e">
        <f t="shared" ref="B2568:D2568" si="5169">VLOOKUP($A2568,[8]Movilidad!$A$1:$O$192,B$1,0)</f>
        <v>#N/A</v>
      </c>
      <c r="C2568" s="38" t="e">
        <f t="shared" si="5169"/>
        <v>#N/A</v>
      </c>
      <c r="D2568" s="39" t="e">
        <f t="shared" si="5169"/>
        <v>#N/A</v>
      </c>
      <c r="E2568" s="16" t="e">
        <f t="shared" si="1"/>
        <v>#N/A</v>
      </c>
      <c r="F2568" s="16" t="e">
        <f t="shared" ref="F2568:K2568" si="5170">VLOOKUP($A2568,[8]Movilidad!$A$1:$O$192,F$1,0)</f>
        <v>#N/A</v>
      </c>
      <c r="G2568" s="39" t="e">
        <f t="shared" si="5170"/>
        <v>#N/A</v>
      </c>
      <c r="H2568" s="16" t="e">
        <f t="shared" si="5170"/>
        <v>#N/A</v>
      </c>
      <c r="I2568" s="16" t="e">
        <f t="shared" si="5170"/>
        <v>#N/A</v>
      </c>
      <c r="J2568" s="40" t="e">
        <f t="shared" si="5170"/>
        <v>#N/A</v>
      </c>
      <c r="K2568" s="16" t="e">
        <f t="shared" si="5170"/>
        <v>#N/A</v>
      </c>
      <c r="L2568" s="40" t="e">
        <f t="shared" si="4837"/>
        <v>#N/A</v>
      </c>
      <c r="M2568" s="16" t="e">
        <f t="shared" si="4838"/>
        <v>#N/A</v>
      </c>
      <c r="N2568" s="16" t="e">
        <f t="shared" si="4839"/>
        <v>#N/A</v>
      </c>
      <c r="O2568" s="16" t="s">
        <v>72</v>
      </c>
      <c r="P2568" s="16" t="str">
        <f t="shared" si="6"/>
        <v/>
      </c>
      <c r="Q2568" s="41" t="e">
        <f t="shared" si="4840"/>
        <v>#N/A</v>
      </c>
      <c r="R2568" s="44"/>
      <c r="S2568" s="44"/>
      <c r="T2568" s="43"/>
      <c r="U2568" s="43" t="str">
        <f t="shared" si="8"/>
        <v>No</v>
      </c>
      <c r="V2568" s="25"/>
      <c r="W2568" s="25"/>
      <c r="X2568" s="25"/>
      <c r="Y2568" s="25"/>
      <c r="Z2568" s="25"/>
    </row>
    <row r="2569" spans="1:26" ht="15.75" customHeight="1" x14ac:dyDescent="0.25">
      <c r="A2569" s="25">
        <v>2567</v>
      </c>
      <c r="B2569" s="37" t="e">
        <f t="shared" ref="B2569:D2569" si="5171">VLOOKUP($A2569,[8]Movilidad!$A$1:$O$192,B$1,0)</f>
        <v>#N/A</v>
      </c>
      <c r="C2569" s="38" t="e">
        <f t="shared" si="5171"/>
        <v>#N/A</v>
      </c>
      <c r="D2569" s="39" t="e">
        <f t="shared" si="5171"/>
        <v>#N/A</v>
      </c>
      <c r="E2569" s="16" t="e">
        <f t="shared" si="1"/>
        <v>#N/A</v>
      </c>
      <c r="F2569" s="16" t="e">
        <f t="shared" ref="F2569:K2569" si="5172">VLOOKUP($A2569,[8]Movilidad!$A$1:$O$192,F$1,0)</f>
        <v>#N/A</v>
      </c>
      <c r="G2569" s="39" t="e">
        <f t="shared" si="5172"/>
        <v>#N/A</v>
      </c>
      <c r="H2569" s="16" t="e">
        <f t="shared" si="5172"/>
        <v>#N/A</v>
      </c>
      <c r="I2569" s="16" t="e">
        <f t="shared" si="5172"/>
        <v>#N/A</v>
      </c>
      <c r="J2569" s="40" t="e">
        <f t="shared" si="5172"/>
        <v>#N/A</v>
      </c>
      <c r="K2569" s="16" t="e">
        <f t="shared" si="5172"/>
        <v>#N/A</v>
      </c>
      <c r="L2569" s="40" t="e">
        <f t="shared" si="4837"/>
        <v>#N/A</v>
      </c>
      <c r="M2569" s="16" t="e">
        <f t="shared" si="4838"/>
        <v>#N/A</v>
      </c>
      <c r="N2569" s="16" t="e">
        <f t="shared" si="4839"/>
        <v>#N/A</v>
      </c>
      <c r="O2569" s="16" t="s">
        <v>72</v>
      </c>
      <c r="P2569" s="16" t="str">
        <f t="shared" si="6"/>
        <v/>
      </c>
      <c r="Q2569" s="41" t="e">
        <f t="shared" si="4840"/>
        <v>#N/A</v>
      </c>
      <c r="R2569" s="44"/>
      <c r="S2569" s="44"/>
      <c r="T2569" s="43"/>
      <c r="U2569" s="43" t="str">
        <f t="shared" si="8"/>
        <v>No</v>
      </c>
      <c r="V2569" s="25"/>
      <c r="W2569" s="25"/>
      <c r="X2569" s="25"/>
      <c r="Y2569" s="25"/>
      <c r="Z2569" s="25"/>
    </row>
    <row r="2570" spans="1:26" ht="15.75" customHeight="1" x14ac:dyDescent="0.25">
      <c r="A2570" s="25">
        <v>2568</v>
      </c>
      <c r="B2570" s="37" t="e">
        <f t="shared" ref="B2570:D2570" si="5173">VLOOKUP($A2570,[8]Movilidad!$A$1:$O$192,B$1,0)</f>
        <v>#N/A</v>
      </c>
      <c r="C2570" s="38" t="e">
        <f t="shared" si="5173"/>
        <v>#N/A</v>
      </c>
      <c r="D2570" s="39" t="e">
        <f t="shared" si="5173"/>
        <v>#N/A</v>
      </c>
      <c r="E2570" s="16" t="e">
        <f t="shared" si="1"/>
        <v>#N/A</v>
      </c>
      <c r="F2570" s="16" t="e">
        <f t="shared" ref="F2570:K2570" si="5174">VLOOKUP($A2570,[8]Movilidad!$A$1:$O$192,F$1,0)</f>
        <v>#N/A</v>
      </c>
      <c r="G2570" s="39" t="e">
        <f t="shared" si="5174"/>
        <v>#N/A</v>
      </c>
      <c r="H2570" s="16" t="e">
        <f t="shared" si="5174"/>
        <v>#N/A</v>
      </c>
      <c r="I2570" s="16" t="e">
        <f t="shared" si="5174"/>
        <v>#N/A</v>
      </c>
      <c r="J2570" s="40" t="e">
        <f t="shared" si="5174"/>
        <v>#N/A</v>
      </c>
      <c r="K2570" s="16" t="e">
        <f t="shared" si="5174"/>
        <v>#N/A</v>
      </c>
      <c r="L2570" s="40" t="e">
        <f t="shared" si="4837"/>
        <v>#N/A</v>
      </c>
      <c r="M2570" s="16" t="e">
        <f t="shared" si="4838"/>
        <v>#N/A</v>
      </c>
      <c r="N2570" s="16" t="e">
        <f t="shared" si="4839"/>
        <v>#N/A</v>
      </c>
      <c r="O2570" s="16" t="s">
        <v>72</v>
      </c>
      <c r="P2570" s="16" t="str">
        <f t="shared" si="6"/>
        <v/>
      </c>
      <c r="Q2570" s="41" t="e">
        <f t="shared" si="4840"/>
        <v>#N/A</v>
      </c>
      <c r="R2570" s="44"/>
      <c r="S2570" s="44"/>
      <c r="T2570" s="43"/>
      <c r="U2570" s="43" t="str">
        <f t="shared" si="8"/>
        <v>No</v>
      </c>
      <c r="V2570" s="25"/>
      <c r="W2570" s="25"/>
      <c r="X2570" s="25"/>
      <c r="Y2570" s="25"/>
      <c r="Z2570" s="25"/>
    </row>
    <row r="2571" spans="1:26" ht="15.75" customHeight="1" x14ac:dyDescent="0.25">
      <c r="A2571" s="25">
        <v>2569</v>
      </c>
      <c r="B2571" s="37" t="e">
        <f t="shared" ref="B2571:D2571" si="5175">VLOOKUP($A2571,[8]Movilidad!$A$1:$O$192,B$1,0)</f>
        <v>#N/A</v>
      </c>
      <c r="C2571" s="38" t="e">
        <f t="shared" si="5175"/>
        <v>#N/A</v>
      </c>
      <c r="D2571" s="39" t="e">
        <f t="shared" si="5175"/>
        <v>#N/A</v>
      </c>
      <c r="E2571" s="16" t="e">
        <f t="shared" si="1"/>
        <v>#N/A</v>
      </c>
      <c r="F2571" s="16" t="e">
        <f t="shared" ref="F2571:K2571" si="5176">VLOOKUP($A2571,[8]Movilidad!$A$1:$O$192,F$1,0)</f>
        <v>#N/A</v>
      </c>
      <c r="G2571" s="39" t="e">
        <f t="shared" si="5176"/>
        <v>#N/A</v>
      </c>
      <c r="H2571" s="16" t="e">
        <f t="shared" si="5176"/>
        <v>#N/A</v>
      </c>
      <c r="I2571" s="16" t="e">
        <f t="shared" si="5176"/>
        <v>#N/A</v>
      </c>
      <c r="J2571" s="40" t="e">
        <f t="shared" si="5176"/>
        <v>#N/A</v>
      </c>
      <c r="K2571" s="16" t="e">
        <f t="shared" si="5176"/>
        <v>#N/A</v>
      </c>
      <c r="L2571" s="40" t="e">
        <f t="shared" si="4837"/>
        <v>#N/A</v>
      </c>
      <c r="M2571" s="16" t="e">
        <f t="shared" si="4838"/>
        <v>#N/A</v>
      </c>
      <c r="N2571" s="16" t="e">
        <f t="shared" si="4839"/>
        <v>#N/A</v>
      </c>
      <c r="O2571" s="16" t="s">
        <v>72</v>
      </c>
      <c r="P2571" s="16" t="str">
        <f t="shared" si="6"/>
        <v/>
      </c>
      <c r="Q2571" s="41" t="e">
        <f t="shared" si="4840"/>
        <v>#N/A</v>
      </c>
      <c r="R2571" s="44"/>
      <c r="S2571" s="44"/>
      <c r="T2571" s="43"/>
      <c r="U2571" s="43" t="str">
        <f t="shared" si="8"/>
        <v>No</v>
      </c>
      <c r="V2571" s="25"/>
      <c r="W2571" s="25"/>
      <c r="X2571" s="25"/>
      <c r="Y2571" s="25"/>
      <c r="Z2571" s="25"/>
    </row>
    <row r="2572" spans="1:26" ht="15.75" customHeight="1" x14ac:dyDescent="0.25">
      <c r="A2572" s="25">
        <v>2570</v>
      </c>
      <c r="B2572" s="37" t="e">
        <f t="shared" ref="B2572:D2572" si="5177">VLOOKUP($A2572,[8]Movilidad!$A$1:$O$192,B$1,0)</f>
        <v>#N/A</v>
      </c>
      <c r="C2572" s="38" t="e">
        <f t="shared" si="5177"/>
        <v>#N/A</v>
      </c>
      <c r="D2572" s="39" t="e">
        <f t="shared" si="5177"/>
        <v>#N/A</v>
      </c>
      <c r="E2572" s="16" t="e">
        <f t="shared" si="1"/>
        <v>#N/A</v>
      </c>
      <c r="F2572" s="16" t="e">
        <f t="shared" ref="F2572:K2572" si="5178">VLOOKUP($A2572,[8]Movilidad!$A$1:$O$192,F$1,0)</f>
        <v>#N/A</v>
      </c>
      <c r="G2572" s="39" t="e">
        <f t="shared" si="5178"/>
        <v>#N/A</v>
      </c>
      <c r="H2572" s="16" t="e">
        <f t="shared" si="5178"/>
        <v>#N/A</v>
      </c>
      <c r="I2572" s="16" t="e">
        <f t="shared" si="5178"/>
        <v>#N/A</v>
      </c>
      <c r="J2572" s="40" t="e">
        <f t="shared" si="5178"/>
        <v>#N/A</v>
      </c>
      <c r="K2572" s="16" t="e">
        <f t="shared" si="5178"/>
        <v>#N/A</v>
      </c>
      <c r="L2572" s="40" t="e">
        <f t="shared" si="4837"/>
        <v>#N/A</v>
      </c>
      <c r="M2572" s="16" t="e">
        <f t="shared" si="4838"/>
        <v>#N/A</v>
      </c>
      <c r="N2572" s="16" t="e">
        <f t="shared" si="4839"/>
        <v>#N/A</v>
      </c>
      <c r="O2572" s="16" t="s">
        <v>72</v>
      </c>
      <c r="P2572" s="16" t="str">
        <f t="shared" si="6"/>
        <v/>
      </c>
      <c r="Q2572" s="41" t="e">
        <f t="shared" si="4840"/>
        <v>#N/A</v>
      </c>
      <c r="R2572" s="44"/>
      <c r="S2572" s="44"/>
      <c r="T2572" s="43"/>
      <c r="U2572" s="43" t="str">
        <f t="shared" si="8"/>
        <v>No</v>
      </c>
      <c r="V2572" s="25"/>
      <c r="W2572" s="25"/>
      <c r="X2572" s="25"/>
      <c r="Y2572" s="25"/>
      <c r="Z2572" s="25"/>
    </row>
    <row r="2573" spans="1:26" ht="15.75" customHeight="1" x14ac:dyDescent="0.25">
      <c r="A2573" s="25">
        <v>2571</v>
      </c>
      <c r="B2573" s="37" t="e">
        <f t="shared" ref="B2573:D2573" si="5179">VLOOKUP($A2573,[8]Movilidad!$A$1:$O$192,B$1,0)</f>
        <v>#N/A</v>
      </c>
      <c r="C2573" s="38" t="e">
        <f t="shared" si="5179"/>
        <v>#N/A</v>
      </c>
      <c r="D2573" s="39" t="e">
        <f t="shared" si="5179"/>
        <v>#N/A</v>
      </c>
      <c r="E2573" s="16" t="e">
        <f t="shared" si="1"/>
        <v>#N/A</v>
      </c>
      <c r="F2573" s="16" t="e">
        <f t="shared" ref="F2573:K2573" si="5180">VLOOKUP($A2573,[8]Movilidad!$A$1:$O$192,F$1,0)</f>
        <v>#N/A</v>
      </c>
      <c r="G2573" s="39" t="e">
        <f t="shared" si="5180"/>
        <v>#N/A</v>
      </c>
      <c r="H2573" s="16" t="e">
        <f t="shared" si="5180"/>
        <v>#N/A</v>
      </c>
      <c r="I2573" s="16" t="e">
        <f t="shared" si="5180"/>
        <v>#N/A</v>
      </c>
      <c r="J2573" s="40" t="e">
        <f t="shared" si="5180"/>
        <v>#N/A</v>
      </c>
      <c r="K2573" s="16" t="e">
        <f t="shared" si="5180"/>
        <v>#N/A</v>
      </c>
      <c r="L2573" s="40" t="e">
        <f t="shared" si="4837"/>
        <v>#N/A</v>
      </c>
      <c r="M2573" s="16" t="e">
        <f t="shared" si="4838"/>
        <v>#N/A</v>
      </c>
      <c r="N2573" s="16" t="e">
        <f t="shared" si="4839"/>
        <v>#N/A</v>
      </c>
      <c r="O2573" s="16" t="s">
        <v>72</v>
      </c>
      <c r="P2573" s="16" t="str">
        <f t="shared" si="6"/>
        <v/>
      </c>
      <c r="Q2573" s="41" t="e">
        <f t="shared" si="4840"/>
        <v>#N/A</v>
      </c>
      <c r="R2573" s="44"/>
      <c r="S2573" s="44"/>
      <c r="T2573" s="43"/>
      <c r="U2573" s="43" t="str">
        <f t="shared" si="8"/>
        <v>No</v>
      </c>
      <c r="V2573" s="25"/>
      <c r="W2573" s="25"/>
      <c r="X2573" s="25"/>
      <c r="Y2573" s="25"/>
      <c r="Z2573" s="25"/>
    </row>
    <row r="2574" spans="1:26" ht="15.75" customHeight="1" x14ac:dyDescent="0.25">
      <c r="A2574" s="25">
        <v>2572</v>
      </c>
      <c r="B2574" s="37" t="e">
        <f t="shared" ref="B2574:D2574" si="5181">VLOOKUP($A2574,[8]Movilidad!$A$1:$O$192,B$1,0)</f>
        <v>#N/A</v>
      </c>
      <c r="C2574" s="38" t="e">
        <f t="shared" si="5181"/>
        <v>#N/A</v>
      </c>
      <c r="D2574" s="39" t="e">
        <f t="shared" si="5181"/>
        <v>#N/A</v>
      </c>
      <c r="E2574" s="16" t="e">
        <f t="shared" si="1"/>
        <v>#N/A</v>
      </c>
      <c r="F2574" s="16" t="e">
        <f t="shared" ref="F2574:K2574" si="5182">VLOOKUP($A2574,[8]Movilidad!$A$1:$O$192,F$1,0)</f>
        <v>#N/A</v>
      </c>
      <c r="G2574" s="39" t="e">
        <f t="shared" si="5182"/>
        <v>#N/A</v>
      </c>
      <c r="H2574" s="16" t="e">
        <f t="shared" si="5182"/>
        <v>#N/A</v>
      </c>
      <c r="I2574" s="16" t="e">
        <f t="shared" si="5182"/>
        <v>#N/A</v>
      </c>
      <c r="J2574" s="40" t="e">
        <f t="shared" si="5182"/>
        <v>#N/A</v>
      </c>
      <c r="K2574" s="16" t="e">
        <f t="shared" si="5182"/>
        <v>#N/A</v>
      </c>
      <c r="L2574" s="40" t="e">
        <f t="shared" si="4837"/>
        <v>#N/A</v>
      </c>
      <c r="M2574" s="16" t="e">
        <f t="shared" si="4838"/>
        <v>#N/A</v>
      </c>
      <c r="N2574" s="16" t="e">
        <f t="shared" si="4839"/>
        <v>#N/A</v>
      </c>
      <c r="O2574" s="16" t="s">
        <v>72</v>
      </c>
      <c r="P2574" s="16" t="str">
        <f t="shared" si="6"/>
        <v/>
      </c>
      <c r="Q2574" s="41" t="e">
        <f t="shared" si="4840"/>
        <v>#N/A</v>
      </c>
      <c r="R2574" s="44"/>
      <c r="S2574" s="44"/>
      <c r="T2574" s="43"/>
      <c r="U2574" s="43" t="str">
        <f t="shared" si="8"/>
        <v>No</v>
      </c>
      <c r="V2574" s="25"/>
      <c r="W2574" s="25"/>
      <c r="X2574" s="25"/>
      <c r="Y2574" s="25"/>
      <c r="Z2574" s="25"/>
    </row>
    <row r="2575" spans="1:26" ht="15.75" customHeight="1" x14ac:dyDescent="0.25">
      <c r="A2575" s="25">
        <v>2573</v>
      </c>
      <c r="B2575" s="37" t="e">
        <f t="shared" ref="B2575:D2575" si="5183">VLOOKUP($A2575,[8]Movilidad!$A$1:$O$192,B$1,0)</f>
        <v>#N/A</v>
      </c>
      <c r="C2575" s="38" t="e">
        <f t="shared" si="5183"/>
        <v>#N/A</v>
      </c>
      <c r="D2575" s="39" t="e">
        <f t="shared" si="5183"/>
        <v>#N/A</v>
      </c>
      <c r="E2575" s="16" t="e">
        <f t="shared" si="1"/>
        <v>#N/A</v>
      </c>
      <c r="F2575" s="16" t="e">
        <f t="shared" ref="F2575:K2575" si="5184">VLOOKUP($A2575,[8]Movilidad!$A$1:$O$192,F$1,0)</f>
        <v>#N/A</v>
      </c>
      <c r="G2575" s="39" t="e">
        <f t="shared" si="5184"/>
        <v>#N/A</v>
      </c>
      <c r="H2575" s="16" t="e">
        <f t="shared" si="5184"/>
        <v>#N/A</v>
      </c>
      <c r="I2575" s="16" t="e">
        <f t="shared" si="5184"/>
        <v>#N/A</v>
      </c>
      <c r="J2575" s="40" t="e">
        <f t="shared" si="5184"/>
        <v>#N/A</v>
      </c>
      <c r="K2575" s="16" t="e">
        <f t="shared" si="5184"/>
        <v>#N/A</v>
      </c>
      <c r="L2575" s="40" t="e">
        <f t="shared" si="4837"/>
        <v>#N/A</v>
      </c>
      <c r="M2575" s="16" t="e">
        <f t="shared" si="4838"/>
        <v>#N/A</v>
      </c>
      <c r="N2575" s="16" t="e">
        <f t="shared" si="4839"/>
        <v>#N/A</v>
      </c>
      <c r="O2575" s="16" t="s">
        <v>72</v>
      </c>
      <c r="P2575" s="16" t="str">
        <f t="shared" si="6"/>
        <v/>
      </c>
      <c r="Q2575" s="41" t="e">
        <f t="shared" si="4840"/>
        <v>#N/A</v>
      </c>
      <c r="R2575" s="44"/>
      <c r="S2575" s="44"/>
      <c r="T2575" s="43"/>
      <c r="U2575" s="43" t="str">
        <f t="shared" si="8"/>
        <v>No</v>
      </c>
      <c r="V2575" s="25"/>
      <c r="W2575" s="25"/>
      <c r="X2575" s="25"/>
      <c r="Y2575" s="25"/>
      <c r="Z2575" s="25"/>
    </row>
    <row r="2576" spans="1:26" ht="15.75" customHeight="1" x14ac:dyDescent="0.25">
      <c r="A2576" s="25">
        <v>2574</v>
      </c>
      <c r="B2576" s="37" t="e">
        <f t="shared" ref="B2576:D2576" si="5185">VLOOKUP($A2576,[8]Movilidad!$A$1:$O$192,B$1,0)</f>
        <v>#N/A</v>
      </c>
      <c r="C2576" s="38" t="e">
        <f t="shared" si="5185"/>
        <v>#N/A</v>
      </c>
      <c r="D2576" s="39" t="e">
        <f t="shared" si="5185"/>
        <v>#N/A</v>
      </c>
      <c r="E2576" s="16" t="e">
        <f t="shared" si="1"/>
        <v>#N/A</v>
      </c>
      <c r="F2576" s="16" t="e">
        <f t="shared" ref="F2576:K2576" si="5186">VLOOKUP($A2576,[8]Movilidad!$A$1:$O$192,F$1,0)</f>
        <v>#N/A</v>
      </c>
      <c r="G2576" s="39" t="e">
        <f t="shared" si="5186"/>
        <v>#N/A</v>
      </c>
      <c r="H2576" s="16" t="e">
        <f t="shared" si="5186"/>
        <v>#N/A</v>
      </c>
      <c r="I2576" s="16" t="e">
        <f t="shared" si="5186"/>
        <v>#N/A</v>
      </c>
      <c r="J2576" s="40" t="e">
        <f t="shared" si="5186"/>
        <v>#N/A</v>
      </c>
      <c r="K2576" s="16" t="e">
        <f t="shared" si="5186"/>
        <v>#N/A</v>
      </c>
      <c r="L2576" s="40" t="e">
        <f t="shared" si="4837"/>
        <v>#N/A</v>
      </c>
      <c r="M2576" s="16" t="e">
        <f t="shared" si="4838"/>
        <v>#N/A</v>
      </c>
      <c r="N2576" s="16" t="e">
        <f t="shared" si="4839"/>
        <v>#N/A</v>
      </c>
      <c r="O2576" s="16" t="s">
        <v>72</v>
      </c>
      <c r="P2576" s="16" t="str">
        <f t="shared" si="6"/>
        <v/>
      </c>
      <c r="Q2576" s="41" t="e">
        <f t="shared" si="4840"/>
        <v>#N/A</v>
      </c>
      <c r="R2576" s="44"/>
      <c r="S2576" s="44"/>
      <c r="T2576" s="43"/>
      <c r="U2576" s="43" t="str">
        <f t="shared" si="8"/>
        <v>No</v>
      </c>
      <c r="V2576" s="25"/>
      <c r="W2576" s="25"/>
      <c r="X2576" s="25"/>
      <c r="Y2576" s="25"/>
      <c r="Z2576" s="25"/>
    </row>
    <row r="2577" spans="1:26" ht="15.75" customHeight="1" x14ac:dyDescent="0.25">
      <c r="A2577" s="25">
        <v>2575</v>
      </c>
      <c r="B2577" s="37" t="e">
        <f t="shared" ref="B2577:D2577" si="5187">VLOOKUP($A2577,[8]Movilidad!$A$1:$O$192,B$1,0)</f>
        <v>#N/A</v>
      </c>
      <c r="C2577" s="38" t="e">
        <f t="shared" si="5187"/>
        <v>#N/A</v>
      </c>
      <c r="D2577" s="39" t="e">
        <f t="shared" si="5187"/>
        <v>#N/A</v>
      </c>
      <c r="E2577" s="16" t="e">
        <f t="shared" si="1"/>
        <v>#N/A</v>
      </c>
      <c r="F2577" s="16" t="e">
        <f t="shared" ref="F2577:K2577" si="5188">VLOOKUP($A2577,[8]Movilidad!$A$1:$O$192,F$1,0)</f>
        <v>#N/A</v>
      </c>
      <c r="G2577" s="39" t="e">
        <f t="shared" si="5188"/>
        <v>#N/A</v>
      </c>
      <c r="H2577" s="16" t="e">
        <f t="shared" si="5188"/>
        <v>#N/A</v>
      </c>
      <c r="I2577" s="16" t="e">
        <f t="shared" si="5188"/>
        <v>#N/A</v>
      </c>
      <c r="J2577" s="40" t="e">
        <f t="shared" si="5188"/>
        <v>#N/A</v>
      </c>
      <c r="K2577" s="16" t="e">
        <f t="shared" si="5188"/>
        <v>#N/A</v>
      </c>
      <c r="L2577" s="40" t="e">
        <f t="shared" si="4837"/>
        <v>#N/A</v>
      </c>
      <c r="M2577" s="16" t="e">
        <f t="shared" si="4838"/>
        <v>#N/A</v>
      </c>
      <c r="N2577" s="16" t="e">
        <f t="shared" si="4839"/>
        <v>#N/A</v>
      </c>
      <c r="O2577" s="16" t="s">
        <v>72</v>
      </c>
      <c r="P2577" s="16" t="str">
        <f t="shared" si="6"/>
        <v/>
      </c>
      <c r="Q2577" s="41" t="e">
        <f t="shared" si="4840"/>
        <v>#N/A</v>
      </c>
      <c r="R2577" s="44"/>
      <c r="S2577" s="44"/>
      <c r="T2577" s="43"/>
      <c r="U2577" s="43" t="str">
        <f t="shared" si="8"/>
        <v>No</v>
      </c>
      <c r="V2577" s="25"/>
      <c r="W2577" s="25"/>
      <c r="X2577" s="25"/>
      <c r="Y2577" s="25"/>
      <c r="Z2577" s="25"/>
    </row>
    <row r="2578" spans="1:26" ht="15.75" customHeight="1" x14ac:dyDescent="0.25">
      <c r="A2578" s="25">
        <v>2576</v>
      </c>
      <c r="B2578" s="37" t="e">
        <f t="shared" ref="B2578:D2578" si="5189">VLOOKUP($A2578,[8]Movilidad!$A$1:$O$192,B$1,0)</f>
        <v>#N/A</v>
      </c>
      <c r="C2578" s="38" t="e">
        <f t="shared" si="5189"/>
        <v>#N/A</v>
      </c>
      <c r="D2578" s="39" t="e">
        <f t="shared" si="5189"/>
        <v>#N/A</v>
      </c>
      <c r="E2578" s="16" t="e">
        <f t="shared" si="1"/>
        <v>#N/A</v>
      </c>
      <c r="F2578" s="16" t="e">
        <f t="shared" ref="F2578:K2578" si="5190">VLOOKUP($A2578,[8]Movilidad!$A$1:$O$192,F$1,0)</f>
        <v>#N/A</v>
      </c>
      <c r="G2578" s="39" t="e">
        <f t="shared" si="5190"/>
        <v>#N/A</v>
      </c>
      <c r="H2578" s="16" t="e">
        <f t="shared" si="5190"/>
        <v>#N/A</v>
      </c>
      <c r="I2578" s="16" t="e">
        <f t="shared" si="5190"/>
        <v>#N/A</v>
      </c>
      <c r="J2578" s="40" t="e">
        <f t="shared" si="5190"/>
        <v>#N/A</v>
      </c>
      <c r="K2578" s="16" t="e">
        <f t="shared" si="5190"/>
        <v>#N/A</v>
      </c>
      <c r="L2578" s="40" t="e">
        <f t="shared" si="4837"/>
        <v>#N/A</v>
      </c>
      <c r="M2578" s="16" t="e">
        <f t="shared" si="4838"/>
        <v>#N/A</v>
      </c>
      <c r="N2578" s="16" t="e">
        <f t="shared" si="4839"/>
        <v>#N/A</v>
      </c>
      <c r="O2578" s="16" t="s">
        <v>72</v>
      </c>
      <c r="P2578" s="16" t="str">
        <f t="shared" si="6"/>
        <v/>
      </c>
      <c r="Q2578" s="41" t="e">
        <f t="shared" si="4840"/>
        <v>#N/A</v>
      </c>
      <c r="R2578" s="44"/>
      <c r="S2578" s="44"/>
      <c r="T2578" s="43"/>
      <c r="U2578" s="43" t="str">
        <f t="shared" si="8"/>
        <v>No</v>
      </c>
      <c r="V2578" s="25"/>
      <c r="W2578" s="25"/>
      <c r="X2578" s="25"/>
      <c r="Y2578" s="25"/>
      <c r="Z2578" s="25"/>
    </row>
    <row r="2579" spans="1:26" ht="15.75" customHeight="1" x14ac:dyDescent="0.25">
      <c r="A2579" s="25">
        <v>2577</v>
      </c>
      <c r="B2579" s="37" t="e">
        <f t="shared" ref="B2579:D2579" si="5191">VLOOKUP($A2579,[8]Movilidad!$A$1:$O$192,B$1,0)</f>
        <v>#N/A</v>
      </c>
      <c r="C2579" s="38" t="e">
        <f t="shared" si="5191"/>
        <v>#N/A</v>
      </c>
      <c r="D2579" s="39" t="e">
        <f t="shared" si="5191"/>
        <v>#N/A</v>
      </c>
      <c r="E2579" s="16" t="e">
        <f t="shared" si="1"/>
        <v>#N/A</v>
      </c>
      <c r="F2579" s="16" t="e">
        <f t="shared" ref="F2579:K2579" si="5192">VLOOKUP($A2579,[8]Movilidad!$A$1:$O$192,F$1,0)</f>
        <v>#N/A</v>
      </c>
      <c r="G2579" s="39" t="e">
        <f t="shared" si="5192"/>
        <v>#N/A</v>
      </c>
      <c r="H2579" s="16" t="e">
        <f t="shared" si="5192"/>
        <v>#N/A</v>
      </c>
      <c r="I2579" s="16" t="e">
        <f t="shared" si="5192"/>
        <v>#N/A</v>
      </c>
      <c r="J2579" s="40" t="e">
        <f t="shared" si="5192"/>
        <v>#N/A</v>
      </c>
      <c r="K2579" s="16" t="e">
        <f t="shared" si="5192"/>
        <v>#N/A</v>
      </c>
      <c r="L2579" s="40" t="e">
        <f t="shared" si="4837"/>
        <v>#N/A</v>
      </c>
      <c r="M2579" s="16" t="e">
        <f t="shared" si="4838"/>
        <v>#N/A</v>
      </c>
      <c r="N2579" s="16" t="e">
        <f t="shared" si="4839"/>
        <v>#N/A</v>
      </c>
      <c r="O2579" s="16" t="s">
        <v>72</v>
      </c>
      <c r="P2579" s="16" t="str">
        <f t="shared" si="6"/>
        <v/>
      </c>
      <c r="Q2579" s="41" t="e">
        <f t="shared" si="4840"/>
        <v>#N/A</v>
      </c>
      <c r="R2579" s="44"/>
      <c r="S2579" s="44"/>
      <c r="T2579" s="43"/>
      <c r="U2579" s="43" t="str">
        <f t="shared" si="8"/>
        <v>No</v>
      </c>
      <c r="V2579" s="25"/>
      <c r="W2579" s="25"/>
      <c r="X2579" s="25"/>
      <c r="Y2579" s="25"/>
      <c r="Z2579" s="25"/>
    </row>
    <row r="2580" spans="1:26" ht="15.75" customHeight="1" x14ac:dyDescent="0.25">
      <c r="A2580" s="25">
        <v>2578</v>
      </c>
      <c r="B2580" s="37" t="e">
        <f t="shared" ref="B2580:D2580" si="5193">VLOOKUP($A2580,[8]Movilidad!$A$1:$O$192,B$1,0)</f>
        <v>#N/A</v>
      </c>
      <c r="C2580" s="38" t="e">
        <f t="shared" si="5193"/>
        <v>#N/A</v>
      </c>
      <c r="D2580" s="39" t="e">
        <f t="shared" si="5193"/>
        <v>#N/A</v>
      </c>
      <c r="E2580" s="16" t="e">
        <f t="shared" si="1"/>
        <v>#N/A</v>
      </c>
      <c r="F2580" s="16" t="e">
        <f t="shared" ref="F2580:K2580" si="5194">VLOOKUP($A2580,[8]Movilidad!$A$1:$O$192,F$1,0)</f>
        <v>#N/A</v>
      </c>
      <c r="G2580" s="39" t="e">
        <f t="shared" si="5194"/>
        <v>#N/A</v>
      </c>
      <c r="H2580" s="16" t="e">
        <f t="shared" si="5194"/>
        <v>#N/A</v>
      </c>
      <c r="I2580" s="16" t="e">
        <f t="shared" si="5194"/>
        <v>#N/A</v>
      </c>
      <c r="J2580" s="40" t="e">
        <f t="shared" si="5194"/>
        <v>#N/A</v>
      </c>
      <c r="K2580" s="16" t="e">
        <f t="shared" si="5194"/>
        <v>#N/A</v>
      </c>
      <c r="L2580" s="40" t="e">
        <f t="shared" si="4837"/>
        <v>#N/A</v>
      </c>
      <c r="M2580" s="16" t="e">
        <f t="shared" si="4838"/>
        <v>#N/A</v>
      </c>
      <c r="N2580" s="16" t="e">
        <f t="shared" si="4839"/>
        <v>#N/A</v>
      </c>
      <c r="O2580" s="16" t="s">
        <v>72</v>
      </c>
      <c r="P2580" s="16" t="str">
        <f t="shared" si="6"/>
        <v/>
      </c>
      <c r="Q2580" s="41" t="e">
        <f t="shared" si="4840"/>
        <v>#N/A</v>
      </c>
      <c r="R2580" s="44"/>
      <c r="S2580" s="44"/>
      <c r="T2580" s="43"/>
      <c r="U2580" s="43" t="str">
        <f t="shared" si="8"/>
        <v>No</v>
      </c>
      <c r="V2580" s="25"/>
      <c r="W2580" s="25"/>
      <c r="X2580" s="25"/>
      <c r="Y2580" s="25"/>
      <c r="Z2580" s="25"/>
    </row>
    <row r="2581" spans="1:26" ht="15.75" customHeight="1" x14ac:dyDescent="0.25">
      <c r="A2581" s="25">
        <v>2579</v>
      </c>
      <c r="B2581" s="37" t="e">
        <f t="shared" ref="B2581:D2581" si="5195">VLOOKUP($A2581,[8]Movilidad!$A$1:$O$192,B$1,0)</f>
        <v>#N/A</v>
      </c>
      <c r="C2581" s="38" t="e">
        <f t="shared" si="5195"/>
        <v>#N/A</v>
      </c>
      <c r="D2581" s="39" t="e">
        <f t="shared" si="5195"/>
        <v>#N/A</v>
      </c>
      <c r="E2581" s="16" t="e">
        <f t="shared" si="1"/>
        <v>#N/A</v>
      </c>
      <c r="F2581" s="16" t="e">
        <f t="shared" ref="F2581:K2581" si="5196">VLOOKUP($A2581,[8]Movilidad!$A$1:$O$192,F$1,0)</f>
        <v>#N/A</v>
      </c>
      <c r="G2581" s="39" t="e">
        <f t="shared" si="5196"/>
        <v>#N/A</v>
      </c>
      <c r="H2581" s="16" t="e">
        <f t="shared" si="5196"/>
        <v>#N/A</v>
      </c>
      <c r="I2581" s="16" t="e">
        <f t="shared" si="5196"/>
        <v>#N/A</v>
      </c>
      <c r="J2581" s="40" t="e">
        <f t="shared" si="5196"/>
        <v>#N/A</v>
      </c>
      <c r="K2581" s="16" t="e">
        <f t="shared" si="5196"/>
        <v>#N/A</v>
      </c>
      <c r="L2581" s="40" t="e">
        <f t="shared" si="4837"/>
        <v>#N/A</v>
      </c>
      <c r="M2581" s="16" t="e">
        <f t="shared" si="4838"/>
        <v>#N/A</v>
      </c>
      <c r="N2581" s="16" t="e">
        <f t="shared" si="4839"/>
        <v>#N/A</v>
      </c>
      <c r="O2581" s="16" t="s">
        <v>72</v>
      </c>
      <c r="P2581" s="16" t="str">
        <f t="shared" si="6"/>
        <v/>
      </c>
      <c r="Q2581" s="41" t="e">
        <f t="shared" si="4840"/>
        <v>#N/A</v>
      </c>
      <c r="R2581" s="44"/>
      <c r="S2581" s="44"/>
      <c r="T2581" s="43"/>
      <c r="U2581" s="43" t="str">
        <f t="shared" si="8"/>
        <v>No</v>
      </c>
      <c r="V2581" s="25"/>
      <c r="W2581" s="25"/>
      <c r="X2581" s="25"/>
      <c r="Y2581" s="25"/>
      <c r="Z2581" s="25"/>
    </row>
    <row r="2582" spans="1:26" ht="15.75" customHeight="1" x14ac:dyDescent="0.25">
      <c r="A2582" s="25">
        <v>2580</v>
      </c>
      <c r="B2582" s="37" t="e">
        <f t="shared" ref="B2582:D2582" si="5197">VLOOKUP($A2582,[8]Movilidad!$A$1:$O$192,B$1,0)</f>
        <v>#N/A</v>
      </c>
      <c r="C2582" s="38" t="e">
        <f t="shared" si="5197"/>
        <v>#N/A</v>
      </c>
      <c r="D2582" s="39" t="e">
        <f t="shared" si="5197"/>
        <v>#N/A</v>
      </c>
      <c r="E2582" s="16" t="e">
        <f t="shared" si="1"/>
        <v>#N/A</v>
      </c>
      <c r="F2582" s="16" t="e">
        <f t="shared" ref="F2582:K2582" si="5198">VLOOKUP($A2582,[8]Movilidad!$A$1:$O$192,F$1,0)</f>
        <v>#N/A</v>
      </c>
      <c r="G2582" s="39" t="e">
        <f t="shared" si="5198"/>
        <v>#N/A</v>
      </c>
      <c r="H2582" s="16" t="e">
        <f t="shared" si="5198"/>
        <v>#N/A</v>
      </c>
      <c r="I2582" s="16" t="e">
        <f t="shared" si="5198"/>
        <v>#N/A</v>
      </c>
      <c r="J2582" s="40" t="e">
        <f t="shared" si="5198"/>
        <v>#N/A</v>
      </c>
      <c r="K2582" s="16" t="e">
        <f t="shared" si="5198"/>
        <v>#N/A</v>
      </c>
      <c r="L2582" s="40" t="e">
        <f t="shared" si="4837"/>
        <v>#N/A</v>
      </c>
      <c r="M2582" s="16" t="e">
        <f t="shared" si="4838"/>
        <v>#N/A</v>
      </c>
      <c r="N2582" s="16" t="e">
        <f t="shared" si="4839"/>
        <v>#N/A</v>
      </c>
      <c r="O2582" s="16" t="s">
        <v>72</v>
      </c>
      <c r="P2582" s="16" t="str">
        <f t="shared" si="6"/>
        <v/>
      </c>
      <c r="Q2582" s="41" t="e">
        <f t="shared" si="4840"/>
        <v>#N/A</v>
      </c>
      <c r="R2582" s="44"/>
      <c r="S2582" s="44"/>
      <c r="T2582" s="43"/>
      <c r="U2582" s="43" t="str">
        <f t="shared" si="8"/>
        <v>No</v>
      </c>
      <c r="V2582" s="25"/>
      <c r="W2582" s="25"/>
      <c r="X2582" s="25"/>
      <c r="Y2582" s="25"/>
      <c r="Z2582" s="25"/>
    </row>
    <row r="2583" spans="1:26" ht="15.75" customHeight="1" x14ac:dyDescent="0.25">
      <c r="A2583" s="25">
        <v>2581</v>
      </c>
      <c r="B2583" s="37" t="e">
        <f t="shared" ref="B2583:D2583" si="5199">VLOOKUP($A2583,[8]Movilidad!$A$1:$O$192,B$1,0)</f>
        <v>#N/A</v>
      </c>
      <c r="C2583" s="38" t="e">
        <f t="shared" si="5199"/>
        <v>#N/A</v>
      </c>
      <c r="D2583" s="39" t="e">
        <f t="shared" si="5199"/>
        <v>#N/A</v>
      </c>
      <c r="E2583" s="16" t="e">
        <f t="shared" si="1"/>
        <v>#N/A</v>
      </c>
      <c r="F2583" s="16" t="e">
        <f t="shared" ref="F2583:K2583" si="5200">VLOOKUP($A2583,[8]Movilidad!$A$1:$O$192,F$1,0)</f>
        <v>#N/A</v>
      </c>
      <c r="G2583" s="39" t="e">
        <f t="shared" si="5200"/>
        <v>#N/A</v>
      </c>
      <c r="H2583" s="16" t="e">
        <f t="shared" si="5200"/>
        <v>#N/A</v>
      </c>
      <c r="I2583" s="16" t="e">
        <f t="shared" si="5200"/>
        <v>#N/A</v>
      </c>
      <c r="J2583" s="40" t="e">
        <f t="shared" si="5200"/>
        <v>#N/A</v>
      </c>
      <c r="K2583" s="16" t="e">
        <f t="shared" si="5200"/>
        <v>#N/A</v>
      </c>
      <c r="L2583" s="40" t="e">
        <f t="shared" si="4837"/>
        <v>#N/A</v>
      </c>
      <c r="M2583" s="16" t="e">
        <f t="shared" si="4838"/>
        <v>#N/A</v>
      </c>
      <c r="N2583" s="16" t="e">
        <f t="shared" si="4839"/>
        <v>#N/A</v>
      </c>
      <c r="O2583" s="16" t="s">
        <v>72</v>
      </c>
      <c r="P2583" s="16" t="str">
        <f t="shared" si="6"/>
        <v/>
      </c>
      <c r="Q2583" s="41" t="e">
        <f t="shared" si="4840"/>
        <v>#N/A</v>
      </c>
      <c r="R2583" s="44"/>
      <c r="S2583" s="44"/>
      <c r="T2583" s="43"/>
      <c r="U2583" s="43" t="str">
        <f t="shared" si="8"/>
        <v>No</v>
      </c>
      <c r="V2583" s="25"/>
      <c r="W2583" s="25"/>
      <c r="X2583" s="25"/>
      <c r="Y2583" s="25"/>
      <c r="Z2583" s="25"/>
    </row>
    <row r="2584" spans="1:26" ht="15.75" customHeight="1" x14ac:dyDescent="0.25">
      <c r="A2584" s="25">
        <v>2582</v>
      </c>
      <c r="B2584" s="37" t="e">
        <f t="shared" ref="B2584:D2584" si="5201">VLOOKUP($A2584,[8]Movilidad!$A$1:$O$192,B$1,0)</f>
        <v>#N/A</v>
      </c>
      <c r="C2584" s="38" t="e">
        <f t="shared" si="5201"/>
        <v>#N/A</v>
      </c>
      <c r="D2584" s="39" t="e">
        <f t="shared" si="5201"/>
        <v>#N/A</v>
      </c>
      <c r="E2584" s="16" t="e">
        <f t="shared" si="1"/>
        <v>#N/A</v>
      </c>
      <c r="F2584" s="16" t="e">
        <f t="shared" ref="F2584:K2584" si="5202">VLOOKUP($A2584,[8]Movilidad!$A$1:$O$192,F$1,0)</f>
        <v>#N/A</v>
      </c>
      <c r="G2584" s="39" t="e">
        <f t="shared" si="5202"/>
        <v>#N/A</v>
      </c>
      <c r="H2584" s="16" t="e">
        <f t="shared" si="5202"/>
        <v>#N/A</v>
      </c>
      <c r="I2584" s="16" t="e">
        <f t="shared" si="5202"/>
        <v>#N/A</v>
      </c>
      <c r="J2584" s="40" t="e">
        <f t="shared" si="5202"/>
        <v>#N/A</v>
      </c>
      <c r="K2584" s="16" t="e">
        <f t="shared" si="5202"/>
        <v>#N/A</v>
      </c>
      <c r="L2584" s="40" t="e">
        <f t="shared" si="4837"/>
        <v>#N/A</v>
      </c>
      <c r="M2584" s="16" t="e">
        <f t="shared" si="4838"/>
        <v>#N/A</v>
      </c>
      <c r="N2584" s="16" t="e">
        <f t="shared" si="4839"/>
        <v>#N/A</v>
      </c>
      <c r="O2584" s="16" t="s">
        <v>72</v>
      </c>
      <c r="P2584" s="16" t="str">
        <f t="shared" si="6"/>
        <v/>
      </c>
      <c r="Q2584" s="41" t="e">
        <f t="shared" si="4840"/>
        <v>#N/A</v>
      </c>
      <c r="R2584" s="44"/>
      <c r="S2584" s="44"/>
      <c r="T2584" s="43"/>
      <c r="U2584" s="43" t="str">
        <f t="shared" si="8"/>
        <v>No</v>
      </c>
      <c r="V2584" s="25"/>
      <c r="W2584" s="25"/>
      <c r="X2584" s="25"/>
      <c r="Y2584" s="25"/>
      <c r="Z2584" s="25"/>
    </row>
    <row r="2585" spans="1:26" ht="15.75" customHeight="1" x14ac:dyDescent="0.25">
      <c r="A2585" s="25">
        <v>2583</v>
      </c>
      <c r="B2585" s="37" t="e">
        <f t="shared" ref="B2585:D2585" si="5203">VLOOKUP($A2585,[8]Movilidad!$A$1:$O$192,B$1,0)</f>
        <v>#N/A</v>
      </c>
      <c r="C2585" s="38" t="e">
        <f t="shared" si="5203"/>
        <v>#N/A</v>
      </c>
      <c r="D2585" s="39" t="e">
        <f t="shared" si="5203"/>
        <v>#N/A</v>
      </c>
      <c r="E2585" s="16" t="e">
        <f t="shared" si="1"/>
        <v>#N/A</v>
      </c>
      <c r="F2585" s="16" t="e">
        <f t="shared" ref="F2585:K2585" si="5204">VLOOKUP($A2585,[8]Movilidad!$A$1:$O$192,F$1,0)</f>
        <v>#N/A</v>
      </c>
      <c r="G2585" s="39" t="e">
        <f t="shared" si="5204"/>
        <v>#N/A</v>
      </c>
      <c r="H2585" s="16" t="e">
        <f t="shared" si="5204"/>
        <v>#N/A</v>
      </c>
      <c r="I2585" s="16" t="e">
        <f t="shared" si="5204"/>
        <v>#N/A</v>
      </c>
      <c r="J2585" s="40" t="e">
        <f t="shared" si="5204"/>
        <v>#N/A</v>
      </c>
      <c r="K2585" s="16" t="e">
        <f t="shared" si="5204"/>
        <v>#N/A</v>
      </c>
      <c r="L2585" s="40" t="e">
        <f t="shared" si="4837"/>
        <v>#N/A</v>
      </c>
      <c r="M2585" s="16" t="e">
        <f t="shared" si="4838"/>
        <v>#N/A</v>
      </c>
      <c r="N2585" s="16" t="e">
        <f t="shared" si="4839"/>
        <v>#N/A</v>
      </c>
      <c r="O2585" s="16" t="s">
        <v>72</v>
      </c>
      <c r="P2585" s="16" t="str">
        <f t="shared" si="6"/>
        <v/>
      </c>
      <c r="Q2585" s="41" t="e">
        <f t="shared" si="4840"/>
        <v>#N/A</v>
      </c>
      <c r="R2585" s="44"/>
      <c r="S2585" s="44"/>
      <c r="T2585" s="43"/>
      <c r="U2585" s="43" t="str">
        <f t="shared" si="8"/>
        <v>No</v>
      </c>
      <c r="V2585" s="25"/>
      <c r="W2585" s="25"/>
      <c r="X2585" s="25"/>
      <c r="Y2585" s="25"/>
      <c r="Z2585" s="25"/>
    </row>
    <row r="2586" spans="1:26" ht="15.75" customHeight="1" x14ac:dyDescent="0.25">
      <c r="A2586" s="25">
        <v>2584</v>
      </c>
      <c r="B2586" s="37" t="e">
        <f t="shared" ref="B2586:D2586" si="5205">VLOOKUP($A2586,[8]Movilidad!$A$1:$O$192,B$1,0)</f>
        <v>#N/A</v>
      </c>
      <c r="C2586" s="38" t="e">
        <f t="shared" si="5205"/>
        <v>#N/A</v>
      </c>
      <c r="D2586" s="39" t="e">
        <f t="shared" si="5205"/>
        <v>#N/A</v>
      </c>
      <c r="E2586" s="16" t="e">
        <f t="shared" si="1"/>
        <v>#N/A</v>
      </c>
      <c r="F2586" s="16" t="e">
        <f t="shared" ref="F2586:K2586" si="5206">VLOOKUP($A2586,[8]Movilidad!$A$1:$O$192,F$1,0)</f>
        <v>#N/A</v>
      </c>
      <c r="G2586" s="39" t="e">
        <f t="shared" si="5206"/>
        <v>#N/A</v>
      </c>
      <c r="H2586" s="16" t="e">
        <f t="shared" si="5206"/>
        <v>#N/A</v>
      </c>
      <c r="I2586" s="16" t="e">
        <f t="shared" si="5206"/>
        <v>#N/A</v>
      </c>
      <c r="J2586" s="40" t="e">
        <f t="shared" si="5206"/>
        <v>#N/A</v>
      </c>
      <c r="K2586" s="16" t="e">
        <f t="shared" si="5206"/>
        <v>#N/A</v>
      </c>
      <c r="L2586" s="40" t="e">
        <f t="shared" si="4837"/>
        <v>#N/A</v>
      </c>
      <c r="M2586" s="16" t="e">
        <f t="shared" si="4838"/>
        <v>#N/A</v>
      </c>
      <c r="N2586" s="16" t="e">
        <f t="shared" si="4839"/>
        <v>#N/A</v>
      </c>
      <c r="O2586" s="16" t="s">
        <v>72</v>
      </c>
      <c r="P2586" s="16" t="str">
        <f t="shared" si="6"/>
        <v/>
      </c>
      <c r="Q2586" s="41" t="e">
        <f t="shared" si="4840"/>
        <v>#N/A</v>
      </c>
      <c r="R2586" s="44"/>
      <c r="S2586" s="44"/>
      <c r="T2586" s="43"/>
      <c r="U2586" s="43" t="str">
        <f t="shared" si="8"/>
        <v>No</v>
      </c>
      <c r="V2586" s="25"/>
      <c r="W2586" s="25"/>
      <c r="X2586" s="25"/>
      <c r="Y2586" s="25"/>
      <c r="Z2586" s="25"/>
    </row>
    <row r="2587" spans="1:26" ht="15.75" customHeight="1" x14ac:dyDescent="0.25">
      <c r="A2587" s="25">
        <v>2585</v>
      </c>
      <c r="B2587" s="37" t="e">
        <f t="shared" ref="B2587:D2587" si="5207">VLOOKUP($A2587,[8]Movilidad!$A$1:$O$192,B$1,0)</f>
        <v>#N/A</v>
      </c>
      <c r="C2587" s="38" t="e">
        <f t="shared" si="5207"/>
        <v>#N/A</v>
      </c>
      <c r="D2587" s="39" t="e">
        <f t="shared" si="5207"/>
        <v>#N/A</v>
      </c>
      <c r="E2587" s="16" t="e">
        <f t="shared" si="1"/>
        <v>#N/A</v>
      </c>
      <c r="F2587" s="16" t="e">
        <f t="shared" ref="F2587:K2587" si="5208">VLOOKUP($A2587,[8]Movilidad!$A$1:$O$192,F$1,0)</f>
        <v>#N/A</v>
      </c>
      <c r="G2587" s="39" t="e">
        <f t="shared" si="5208"/>
        <v>#N/A</v>
      </c>
      <c r="H2587" s="16" t="e">
        <f t="shared" si="5208"/>
        <v>#N/A</v>
      </c>
      <c r="I2587" s="16" t="e">
        <f t="shared" si="5208"/>
        <v>#N/A</v>
      </c>
      <c r="J2587" s="40" t="e">
        <f t="shared" si="5208"/>
        <v>#N/A</v>
      </c>
      <c r="K2587" s="16" t="e">
        <f t="shared" si="5208"/>
        <v>#N/A</v>
      </c>
      <c r="L2587" s="40" t="e">
        <f t="shared" si="4837"/>
        <v>#N/A</v>
      </c>
      <c r="M2587" s="16" t="e">
        <f t="shared" si="4838"/>
        <v>#N/A</v>
      </c>
      <c r="N2587" s="16" t="e">
        <f t="shared" si="4839"/>
        <v>#N/A</v>
      </c>
      <c r="O2587" s="16" t="s">
        <v>72</v>
      </c>
      <c r="P2587" s="16" t="str">
        <f t="shared" si="6"/>
        <v/>
      </c>
      <c r="Q2587" s="41" t="e">
        <f t="shared" si="4840"/>
        <v>#N/A</v>
      </c>
      <c r="R2587" s="44"/>
      <c r="S2587" s="44"/>
      <c r="T2587" s="43"/>
      <c r="U2587" s="43" t="str">
        <f t="shared" si="8"/>
        <v>No</v>
      </c>
      <c r="V2587" s="25"/>
      <c r="W2587" s="25"/>
      <c r="X2587" s="25"/>
      <c r="Y2587" s="25"/>
      <c r="Z2587" s="25"/>
    </row>
    <row r="2588" spans="1:26" ht="15.75" customHeight="1" x14ac:dyDescent="0.25">
      <c r="A2588" s="25">
        <v>2586</v>
      </c>
      <c r="B2588" s="37" t="e">
        <f t="shared" ref="B2588:D2588" si="5209">VLOOKUP($A2588,[8]Movilidad!$A$1:$O$192,B$1,0)</f>
        <v>#N/A</v>
      </c>
      <c r="C2588" s="38" t="e">
        <f t="shared" si="5209"/>
        <v>#N/A</v>
      </c>
      <c r="D2588" s="39" t="e">
        <f t="shared" si="5209"/>
        <v>#N/A</v>
      </c>
      <c r="E2588" s="16" t="e">
        <f t="shared" si="1"/>
        <v>#N/A</v>
      </c>
      <c r="F2588" s="16" t="e">
        <f t="shared" ref="F2588:K2588" si="5210">VLOOKUP($A2588,[8]Movilidad!$A$1:$O$192,F$1,0)</f>
        <v>#N/A</v>
      </c>
      <c r="G2588" s="39" t="e">
        <f t="shared" si="5210"/>
        <v>#N/A</v>
      </c>
      <c r="H2588" s="16" t="e">
        <f t="shared" si="5210"/>
        <v>#N/A</v>
      </c>
      <c r="I2588" s="16" t="e">
        <f t="shared" si="5210"/>
        <v>#N/A</v>
      </c>
      <c r="J2588" s="40" t="e">
        <f t="shared" si="5210"/>
        <v>#N/A</v>
      </c>
      <c r="K2588" s="16" t="e">
        <f t="shared" si="5210"/>
        <v>#N/A</v>
      </c>
      <c r="L2588" s="40" t="e">
        <f t="shared" si="4837"/>
        <v>#N/A</v>
      </c>
      <c r="M2588" s="16" t="e">
        <f t="shared" si="4838"/>
        <v>#N/A</v>
      </c>
      <c r="N2588" s="16" t="e">
        <f t="shared" si="4839"/>
        <v>#N/A</v>
      </c>
      <c r="O2588" s="16" t="s">
        <v>72</v>
      </c>
      <c r="P2588" s="16" t="str">
        <f t="shared" si="6"/>
        <v/>
      </c>
      <c r="Q2588" s="41" t="e">
        <f t="shared" si="4840"/>
        <v>#N/A</v>
      </c>
      <c r="R2588" s="44"/>
      <c r="S2588" s="44"/>
      <c r="T2588" s="43"/>
      <c r="U2588" s="43" t="str">
        <f t="shared" si="8"/>
        <v>No</v>
      </c>
      <c r="V2588" s="25"/>
      <c r="W2588" s="25"/>
      <c r="X2588" s="25"/>
      <c r="Y2588" s="25"/>
      <c r="Z2588" s="25"/>
    </row>
    <row r="2589" spans="1:26" ht="15.75" customHeight="1" x14ac:dyDescent="0.25">
      <c r="A2589" s="25">
        <v>2587</v>
      </c>
      <c r="B2589" s="37" t="e">
        <f t="shared" ref="B2589:D2589" si="5211">VLOOKUP($A2589,[8]Movilidad!$A$1:$O$192,B$1,0)</f>
        <v>#N/A</v>
      </c>
      <c r="C2589" s="38" t="e">
        <f t="shared" si="5211"/>
        <v>#N/A</v>
      </c>
      <c r="D2589" s="39" t="e">
        <f t="shared" si="5211"/>
        <v>#N/A</v>
      </c>
      <c r="E2589" s="16" t="e">
        <f t="shared" si="1"/>
        <v>#N/A</v>
      </c>
      <c r="F2589" s="16" t="e">
        <f t="shared" ref="F2589:K2589" si="5212">VLOOKUP($A2589,[8]Movilidad!$A$1:$O$192,F$1,0)</f>
        <v>#N/A</v>
      </c>
      <c r="G2589" s="39" t="e">
        <f t="shared" si="5212"/>
        <v>#N/A</v>
      </c>
      <c r="H2589" s="16" t="e">
        <f t="shared" si="5212"/>
        <v>#N/A</v>
      </c>
      <c r="I2589" s="16" t="e">
        <f t="shared" si="5212"/>
        <v>#N/A</v>
      </c>
      <c r="J2589" s="40" t="e">
        <f t="shared" si="5212"/>
        <v>#N/A</v>
      </c>
      <c r="K2589" s="16" t="e">
        <f t="shared" si="5212"/>
        <v>#N/A</v>
      </c>
      <c r="L2589" s="40" t="e">
        <f t="shared" si="4837"/>
        <v>#N/A</v>
      </c>
      <c r="M2589" s="16" t="e">
        <f t="shared" si="4838"/>
        <v>#N/A</v>
      </c>
      <c r="N2589" s="16" t="e">
        <f t="shared" si="4839"/>
        <v>#N/A</v>
      </c>
      <c r="O2589" s="16" t="s">
        <v>72</v>
      </c>
      <c r="P2589" s="16" t="str">
        <f t="shared" si="6"/>
        <v/>
      </c>
      <c r="Q2589" s="41" t="e">
        <f t="shared" si="4840"/>
        <v>#N/A</v>
      </c>
      <c r="R2589" s="44"/>
      <c r="S2589" s="44"/>
      <c r="T2589" s="43"/>
      <c r="U2589" s="43" t="str">
        <f t="shared" si="8"/>
        <v>No</v>
      </c>
      <c r="V2589" s="25"/>
      <c r="W2589" s="25"/>
      <c r="X2589" s="25"/>
      <c r="Y2589" s="25"/>
      <c r="Z2589" s="25"/>
    </row>
    <row r="2590" spans="1:26" ht="15.75" customHeight="1" x14ac:dyDescent="0.25">
      <c r="A2590" s="25">
        <v>2588</v>
      </c>
      <c r="B2590" s="37" t="e">
        <f t="shared" ref="B2590:D2590" si="5213">VLOOKUP($A2590,[8]Movilidad!$A$1:$O$192,B$1,0)</f>
        <v>#N/A</v>
      </c>
      <c r="C2590" s="38" t="e">
        <f t="shared" si="5213"/>
        <v>#N/A</v>
      </c>
      <c r="D2590" s="39" t="e">
        <f t="shared" si="5213"/>
        <v>#N/A</v>
      </c>
      <c r="E2590" s="16" t="e">
        <f t="shared" si="1"/>
        <v>#N/A</v>
      </c>
      <c r="F2590" s="16" t="e">
        <f t="shared" ref="F2590:K2590" si="5214">VLOOKUP($A2590,[8]Movilidad!$A$1:$O$192,F$1,0)</f>
        <v>#N/A</v>
      </c>
      <c r="G2590" s="39" t="e">
        <f t="shared" si="5214"/>
        <v>#N/A</v>
      </c>
      <c r="H2590" s="16" t="e">
        <f t="shared" si="5214"/>
        <v>#N/A</v>
      </c>
      <c r="I2590" s="16" t="e">
        <f t="shared" si="5214"/>
        <v>#N/A</v>
      </c>
      <c r="J2590" s="40" t="e">
        <f t="shared" si="5214"/>
        <v>#N/A</v>
      </c>
      <c r="K2590" s="16" t="e">
        <f t="shared" si="5214"/>
        <v>#N/A</v>
      </c>
      <c r="L2590" s="40" t="e">
        <f t="shared" si="4837"/>
        <v>#N/A</v>
      </c>
      <c r="M2590" s="16" t="e">
        <f t="shared" si="4838"/>
        <v>#N/A</v>
      </c>
      <c r="N2590" s="16" t="e">
        <f t="shared" si="4839"/>
        <v>#N/A</v>
      </c>
      <c r="O2590" s="16" t="s">
        <v>72</v>
      </c>
      <c r="P2590" s="16" t="str">
        <f t="shared" si="6"/>
        <v/>
      </c>
      <c r="Q2590" s="41" t="e">
        <f t="shared" si="4840"/>
        <v>#N/A</v>
      </c>
      <c r="R2590" s="44"/>
      <c r="S2590" s="44"/>
      <c r="T2590" s="43"/>
      <c r="U2590" s="43" t="str">
        <f t="shared" si="8"/>
        <v>No</v>
      </c>
      <c r="V2590" s="25"/>
      <c r="W2590" s="25"/>
      <c r="X2590" s="25"/>
      <c r="Y2590" s="25"/>
      <c r="Z2590" s="25"/>
    </row>
    <row r="2591" spans="1:26" ht="15.75" customHeight="1" x14ac:dyDescent="0.25">
      <c r="A2591" s="25">
        <v>2589</v>
      </c>
      <c r="B2591" s="37" t="e">
        <f t="shared" ref="B2591:D2591" si="5215">VLOOKUP($A2591,[8]Movilidad!$A$1:$O$192,B$1,0)</f>
        <v>#N/A</v>
      </c>
      <c r="C2591" s="38" t="e">
        <f t="shared" si="5215"/>
        <v>#N/A</v>
      </c>
      <c r="D2591" s="39" t="e">
        <f t="shared" si="5215"/>
        <v>#N/A</v>
      </c>
      <c r="E2591" s="16" t="e">
        <f t="shared" si="1"/>
        <v>#N/A</v>
      </c>
      <c r="F2591" s="16" t="e">
        <f t="shared" ref="F2591:K2591" si="5216">VLOOKUP($A2591,[8]Movilidad!$A$1:$O$192,F$1,0)</f>
        <v>#N/A</v>
      </c>
      <c r="G2591" s="39" t="e">
        <f t="shared" si="5216"/>
        <v>#N/A</v>
      </c>
      <c r="H2591" s="16" t="e">
        <f t="shared" si="5216"/>
        <v>#N/A</v>
      </c>
      <c r="I2591" s="16" t="e">
        <f t="shared" si="5216"/>
        <v>#N/A</v>
      </c>
      <c r="J2591" s="40" t="e">
        <f t="shared" si="5216"/>
        <v>#N/A</v>
      </c>
      <c r="K2591" s="16" t="e">
        <f t="shared" si="5216"/>
        <v>#N/A</v>
      </c>
      <c r="L2591" s="40" t="e">
        <f t="shared" si="4837"/>
        <v>#N/A</v>
      </c>
      <c r="M2591" s="16" t="e">
        <f t="shared" si="4838"/>
        <v>#N/A</v>
      </c>
      <c r="N2591" s="16" t="e">
        <f t="shared" si="4839"/>
        <v>#N/A</v>
      </c>
      <c r="O2591" s="16" t="s">
        <v>72</v>
      </c>
      <c r="P2591" s="16" t="str">
        <f t="shared" si="6"/>
        <v/>
      </c>
      <c r="Q2591" s="41" t="e">
        <f t="shared" si="4840"/>
        <v>#N/A</v>
      </c>
      <c r="R2591" s="44"/>
      <c r="S2591" s="44"/>
      <c r="T2591" s="43"/>
      <c r="U2591" s="43" t="str">
        <f t="shared" si="8"/>
        <v>No</v>
      </c>
      <c r="V2591" s="25"/>
      <c r="W2591" s="25"/>
      <c r="X2591" s="25"/>
      <c r="Y2591" s="25"/>
      <c r="Z2591" s="25"/>
    </row>
    <row r="2592" spans="1:26" ht="15.75" customHeight="1" x14ac:dyDescent="0.25">
      <c r="A2592" s="25">
        <v>2590</v>
      </c>
      <c r="B2592" s="37" t="e">
        <f t="shared" ref="B2592:D2592" si="5217">VLOOKUP($A2592,[8]Movilidad!$A$1:$O$192,B$1,0)</f>
        <v>#N/A</v>
      </c>
      <c r="C2592" s="38" t="e">
        <f t="shared" si="5217"/>
        <v>#N/A</v>
      </c>
      <c r="D2592" s="39" t="e">
        <f t="shared" si="5217"/>
        <v>#N/A</v>
      </c>
      <c r="E2592" s="16" t="e">
        <f t="shared" si="1"/>
        <v>#N/A</v>
      </c>
      <c r="F2592" s="16" t="e">
        <f t="shared" ref="F2592:K2592" si="5218">VLOOKUP($A2592,[8]Movilidad!$A$1:$O$192,F$1,0)</f>
        <v>#N/A</v>
      </c>
      <c r="G2592" s="39" t="e">
        <f t="shared" si="5218"/>
        <v>#N/A</v>
      </c>
      <c r="H2592" s="16" t="e">
        <f t="shared" si="5218"/>
        <v>#N/A</v>
      </c>
      <c r="I2592" s="16" t="e">
        <f t="shared" si="5218"/>
        <v>#N/A</v>
      </c>
      <c r="J2592" s="40" t="e">
        <f t="shared" si="5218"/>
        <v>#N/A</v>
      </c>
      <c r="K2592" s="16" t="e">
        <f t="shared" si="5218"/>
        <v>#N/A</v>
      </c>
      <c r="L2592" s="40" t="e">
        <f t="shared" si="4837"/>
        <v>#N/A</v>
      </c>
      <c r="M2592" s="16" t="e">
        <f t="shared" si="4838"/>
        <v>#N/A</v>
      </c>
      <c r="N2592" s="16" t="e">
        <f t="shared" si="4839"/>
        <v>#N/A</v>
      </c>
      <c r="O2592" s="16" t="s">
        <v>72</v>
      </c>
      <c r="P2592" s="16" t="str">
        <f t="shared" si="6"/>
        <v/>
      </c>
      <c r="Q2592" s="41" t="e">
        <f t="shared" si="4840"/>
        <v>#N/A</v>
      </c>
      <c r="R2592" s="44"/>
      <c r="S2592" s="44"/>
      <c r="T2592" s="43"/>
      <c r="U2592" s="43" t="str">
        <f t="shared" si="8"/>
        <v>No</v>
      </c>
      <c r="V2592" s="25"/>
      <c r="W2592" s="25"/>
      <c r="X2592" s="25"/>
      <c r="Y2592" s="25"/>
      <c r="Z2592" s="25"/>
    </row>
    <row r="2593" spans="1:26" ht="15.75" customHeight="1" x14ac:dyDescent="0.25">
      <c r="A2593" s="25">
        <v>2591</v>
      </c>
      <c r="B2593" s="37" t="e">
        <f t="shared" ref="B2593:D2593" si="5219">VLOOKUP($A2593,[8]Movilidad!$A$1:$O$192,B$1,0)</f>
        <v>#N/A</v>
      </c>
      <c r="C2593" s="38" t="e">
        <f t="shared" si="5219"/>
        <v>#N/A</v>
      </c>
      <c r="D2593" s="39" t="e">
        <f t="shared" si="5219"/>
        <v>#N/A</v>
      </c>
      <c r="E2593" s="16" t="e">
        <f t="shared" si="1"/>
        <v>#N/A</v>
      </c>
      <c r="F2593" s="16" t="e">
        <f t="shared" ref="F2593:K2593" si="5220">VLOOKUP($A2593,[8]Movilidad!$A$1:$O$192,F$1,0)</f>
        <v>#N/A</v>
      </c>
      <c r="G2593" s="39" t="e">
        <f t="shared" si="5220"/>
        <v>#N/A</v>
      </c>
      <c r="H2593" s="16" t="e">
        <f t="shared" si="5220"/>
        <v>#N/A</v>
      </c>
      <c r="I2593" s="16" t="e">
        <f t="shared" si="5220"/>
        <v>#N/A</v>
      </c>
      <c r="J2593" s="40" t="e">
        <f t="shared" si="5220"/>
        <v>#N/A</v>
      </c>
      <c r="K2593" s="16" t="e">
        <f t="shared" si="5220"/>
        <v>#N/A</v>
      </c>
      <c r="L2593" s="40" t="e">
        <f t="shared" si="4837"/>
        <v>#N/A</v>
      </c>
      <c r="M2593" s="16" t="e">
        <f t="shared" si="4838"/>
        <v>#N/A</v>
      </c>
      <c r="N2593" s="16" t="e">
        <f t="shared" si="4839"/>
        <v>#N/A</v>
      </c>
      <c r="O2593" s="16" t="s">
        <v>72</v>
      </c>
      <c r="P2593" s="16" t="str">
        <f t="shared" si="6"/>
        <v/>
      </c>
      <c r="Q2593" s="41" t="e">
        <f t="shared" si="4840"/>
        <v>#N/A</v>
      </c>
      <c r="R2593" s="44"/>
      <c r="S2593" s="44"/>
      <c r="T2593" s="43"/>
      <c r="U2593" s="43" t="str">
        <f t="shared" si="8"/>
        <v>No</v>
      </c>
      <c r="V2593" s="25"/>
      <c r="W2593" s="25"/>
      <c r="X2593" s="25"/>
      <c r="Y2593" s="25"/>
      <c r="Z2593" s="25"/>
    </row>
    <row r="2594" spans="1:26" ht="15.75" customHeight="1" x14ac:dyDescent="0.25">
      <c r="A2594" s="25">
        <v>2592</v>
      </c>
      <c r="B2594" s="37" t="e">
        <f t="shared" ref="B2594:D2594" si="5221">VLOOKUP($A2594,[8]Movilidad!$A$1:$O$192,B$1,0)</f>
        <v>#N/A</v>
      </c>
      <c r="C2594" s="38" t="e">
        <f t="shared" si="5221"/>
        <v>#N/A</v>
      </c>
      <c r="D2594" s="39" t="e">
        <f t="shared" si="5221"/>
        <v>#N/A</v>
      </c>
      <c r="E2594" s="16" t="e">
        <f t="shared" si="1"/>
        <v>#N/A</v>
      </c>
      <c r="F2594" s="16" t="e">
        <f t="shared" ref="F2594:K2594" si="5222">VLOOKUP($A2594,[8]Movilidad!$A$1:$O$192,F$1,0)</f>
        <v>#N/A</v>
      </c>
      <c r="G2594" s="39" t="e">
        <f t="shared" si="5222"/>
        <v>#N/A</v>
      </c>
      <c r="H2594" s="16" t="e">
        <f t="shared" si="5222"/>
        <v>#N/A</v>
      </c>
      <c r="I2594" s="16" t="e">
        <f t="shared" si="5222"/>
        <v>#N/A</v>
      </c>
      <c r="J2594" s="40" t="e">
        <f t="shared" si="5222"/>
        <v>#N/A</v>
      </c>
      <c r="K2594" s="16" t="e">
        <f t="shared" si="5222"/>
        <v>#N/A</v>
      </c>
      <c r="L2594" s="40" t="e">
        <f t="shared" si="4837"/>
        <v>#N/A</v>
      </c>
      <c r="M2594" s="16" t="e">
        <f t="shared" si="4838"/>
        <v>#N/A</v>
      </c>
      <c r="N2594" s="16" t="e">
        <f t="shared" si="4839"/>
        <v>#N/A</v>
      </c>
      <c r="O2594" s="16" t="s">
        <v>72</v>
      </c>
      <c r="P2594" s="16" t="str">
        <f t="shared" si="6"/>
        <v/>
      </c>
      <c r="Q2594" s="41" t="e">
        <f t="shared" si="4840"/>
        <v>#N/A</v>
      </c>
      <c r="R2594" s="44"/>
      <c r="S2594" s="44"/>
      <c r="T2594" s="43"/>
      <c r="U2594" s="43" t="str">
        <f t="shared" si="8"/>
        <v>No</v>
      </c>
      <c r="V2594" s="25"/>
      <c r="W2594" s="25"/>
      <c r="X2594" s="25"/>
      <c r="Y2594" s="25"/>
      <c r="Z2594" s="25"/>
    </row>
    <row r="2595" spans="1:26" ht="15.75" customHeight="1" x14ac:dyDescent="0.25">
      <c r="A2595" s="25">
        <v>2593</v>
      </c>
      <c r="B2595" s="37" t="e">
        <f t="shared" ref="B2595:D2595" si="5223">VLOOKUP($A2595,[8]Movilidad!$A$1:$O$192,B$1,0)</f>
        <v>#N/A</v>
      </c>
      <c r="C2595" s="38" t="e">
        <f t="shared" si="5223"/>
        <v>#N/A</v>
      </c>
      <c r="D2595" s="39" t="e">
        <f t="shared" si="5223"/>
        <v>#N/A</v>
      </c>
      <c r="E2595" s="16" t="e">
        <f t="shared" si="1"/>
        <v>#N/A</v>
      </c>
      <c r="F2595" s="16" t="e">
        <f t="shared" ref="F2595:K2595" si="5224">VLOOKUP($A2595,[8]Movilidad!$A$1:$O$192,F$1,0)</f>
        <v>#N/A</v>
      </c>
      <c r="G2595" s="39" t="e">
        <f t="shared" si="5224"/>
        <v>#N/A</v>
      </c>
      <c r="H2595" s="16" t="e">
        <f t="shared" si="5224"/>
        <v>#N/A</v>
      </c>
      <c r="I2595" s="16" t="e">
        <f t="shared" si="5224"/>
        <v>#N/A</v>
      </c>
      <c r="J2595" s="40" t="e">
        <f t="shared" si="5224"/>
        <v>#N/A</v>
      </c>
      <c r="K2595" s="16" t="e">
        <f t="shared" si="5224"/>
        <v>#N/A</v>
      </c>
      <c r="L2595" s="40" t="e">
        <f t="shared" si="4837"/>
        <v>#N/A</v>
      </c>
      <c r="M2595" s="16" t="e">
        <f t="shared" si="4838"/>
        <v>#N/A</v>
      </c>
      <c r="N2595" s="16" t="e">
        <f t="shared" si="4839"/>
        <v>#N/A</v>
      </c>
      <c r="O2595" s="16" t="s">
        <v>72</v>
      </c>
      <c r="P2595" s="16" t="str">
        <f t="shared" si="6"/>
        <v/>
      </c>
      <c r="Q2595" s="41" t="e">
        <f t="shared" si="4840"/>
        <v>#N/A</v>
      </c>
      <c r="R2595" s="44"/>
      <c r="S2595" s="44"/>
      <c r="T2595" s="43"/>
      <c r="U2595" s="43" t="str">
        <f t="shared" si="8"/>
        <v>No</v>
      </c>
      <c r="V2595" s="25"/>
      <c r="W2595" s="25"/>
      <c r="X2595" s="25"/>
      <c r="Y2595" s="25"/>
      <c r="Z2595" s="25"/>
    </row>
    <row r="2596" spans="1:26" ht="15.75" customHeight="1" x14ac:dyDescent="0.25">
      <c r="A2596" s="25">
        <v>2594</v>
      </c>
      <c r="B2596" s="37" t="e">
        <f t="shared" ref="B2596:D2596" si="5225">VLOOKUP($A2596,[8]Movilidad!$A$1:$O$192,B$1,0)</f>
        <v>#N/A</v>
      </c>
      <c r="C2596" s="38" t="e">
        <f t="shared" si="5225"/>
        <v>#N/A</v>
      </c>
      <c r="D2596" s="39" t="e">
        <f t="shared" si="5225"/>
        <v>#N/A</v>
      </c>
      <c r="E2596" s="16" t="e">
        <f t="shared" si="1"/>
        <v>#N/A</v>
      </c>
      <c r="F2596" s="16" t="e">
        <f t="shared" ref="F2596:K2596" si="5226">VLOOKUP($A2596,[8]Movilidad!$A$1:$O$192,F$1,0)</f>
        <v>#N/A</v>
      </c>
      <c r="G2596" s="39" t="e">
        <f t="shared" si="5226"/>
        <v>#N/A</v>
      </c>
      <c r="H2596" s="16" t="e">
        <f t="shared" si="5226"/>
        <v>#N/A</v>
      </c>
      <c r="I2596" s="16" t="e">
        <f t="shared" si="5226"/>
        <v>#N/A</v>
      </c>
      <c r="J2596" s="40" t="e">
        <f t="shared" si="5226"/>
        <v>#N/A</v>
      </c>
      <c r="K2596" s="16" t="e">
        <f t="shared" si="5226"/>
        <v>#N/A</v>
      </c>
      <c r="L2596" s="40" t="e">
        <f t="shared" si="4837"/>
        <v>#N/A</v>
      </c>
      <c r="M2596" s="16" t="e">
        <f t="shared" si="4838"/>
        <v>#N/A</v>
      </c>
      <c r="N2596" s="16" t="e">
        <f t="shared" si="4839"/>
        <v>#N/A</v>
      </c>
      <c r="O2596" s="16" t="s">
        <v>72</v>
      </c>
      <c r="P2596" s="16" t="str">
        <f t="shared" si="6"/>
        <v/>
      </c>
      <c r="Q2596" s="41" t="e">
        <f t="shared" si="4840"/>
        <v>#N/A</v>
      </c>
      <c r="R2596" s="44"/>
      <c r="S2596" s="44"/>
      <c r="T2596" s="43"/>
      <c r="U2596" s="43" t="str">
        <f t="shared" si="8"/>
        <v>No</v>
      </c>
      <c r="V2596" s="25"/>
      <c r="W2596" s="25"/>
      <c r="X2596" s="25"/>
      <c r="Y2596" s="25"/>
      <c r="Z2596" s="25"/>
    </row>
    <row r="2597" spans="1:26" ht="15.75" customHeight="1" x14ac:dyDescent="0.25">
      <c r="A2597" s="25">
        <v>2595</v>
      </c>
      <c r="B2597" s="37" t="e">
        <f t="shared" ref="B2597:D2597" si="5227">VLOOKUP($A2597,[8]Movilidad!$A$1:$O$192,B$1,0)</f>
        <v>#N/A</v>
      </c>
      <c r="C2597" s="38" t="e">
        <f t="shared" si="5227"/>
        <v>#N/A</v>
      </c>
      <c r="D2597" s="39" t="e">
        <f t="shared" si="5227"/>
        <v>#N/A</v>
      </c>
      <c r="E2597" s="16" t="e">
        <f t="shared" si="1"/>
        <v>#N/A</v>
      </c>
      <c r="F2597" s="16" t="e">
        <f t="shared" ref="F2597:K2597" si="5228">VLOOKUP($A2597,[8]Movilidad!$A$1:$O$192,F$1,0)</f>
        <v>#N/A</v>
      </c>
      <c r="G2597" s="39" t="e">
        <f t="shared" si="5228"/>
        <v>#N/A</v>
      </c>
      <c r="H2597" s="16" t="e">
        <f t="shared" si="5228"/>
        <v>#N/A</v>
      </c>
      <c r="I2597" s="16" t="e">
        <f t="shared" si="5228"/>
        <v>#N/A</v>
      </c>
      <c r="J2597" s="40" t="e">
        <f t="shared" si="5228"/>
        <v>#N/A</v>
      </c>
      <c r="K2597" s="16" t="e">
        <f t="shared" si="5228"/>
        <v>#N/A</v>
      </c>
      <c r="L2597" s="40" t="e">
        <f t="shared" si="4837"/>
        <v>#N/A</v>
      </c>
      <c r="M2597" s="16" t="e">
        <f t="shared" si="4838"/>
        <v>#N/A</v>
      </c>
      <c r="N2597" s="16" t="e">
        <f t="shared" si="4839"/>
        <v>#N/A</v>
      </c>
      <c r="O2597" s="16" t="s">
        <v>72</v>
      </c>
      <c r="P2597" s="16" t="str">
        <f t="shared" si="6"/>
        <v/>
      </c>
      <c r="Q2597" s="41" t="e">
        <f t="shared" si="4840"/>
        <v>#N/A</v>
      </c>
      <c r="R2597" s="44"/>
      <c r="S2597" s="44"/>
      <c r="T2597" s="43"/>
      <c r="U2597" s="43" t="str">
        <f t="shared" si="8"/>
        <v>No</v>
      </c>
      <c r="V2597" s="25"/>
      <c r="W2597" s="25"/>
      <c r="X2597" s="25"/>
      <c r="Y2597" s="25"/>
      <c r="Z2597" s="25"/>
    </row>
    <row r="2598" spans="1:26" ht="15.75" customHeight="1" x14ac:dyDescent="0.25">
      <c r="A2598" s="25">
        <v>2596</v>
      </c>
      <c r="B2598" s="37" t="e">
        <f t="shared" ref="B2598:D2598" si="5229">VLOOKUP($A2598,[8]Movilidad!$A$1:$O$192,B$1,0)</f>
        <v>#N/A</v>
      </c>
      <c r="C2598" s="38" t="e">
        <f t="shared" si="5229"/>
        <v>#N/A</v>
      </c>
      <c r="D2598" s="39" t="e">
        <f t="shared" si="5229"/>
        <v>#N/A</v>
      </c>
      <c r="E2598" s="16" t="e">
        <f t="shared" si="1"/>
        <v>#N/A</v>
      </c>
      <c r="F2598" s="16" t="e">
        <f t="shared" ref="F2598:K2598" si="5230">VLOOKUP($A2598,[8]Movilidad!$A$1:$O$192,F$1,0)</f>
        <v>#N/A</v>
      </c>
      <c r="G2598" s="39" t="e">
        <f t="shared" si="5230"/>
        <v>#N/A</v>
      </c>
      <c r="H2598" s="16" t="e">
        <f t="shared" si="5230"/>
        <v>#N/A</v>
      </c>
      <c r="I2598" s="16" t="e">
        <f t="shared" si="5230"/>
        <v>#N/A</v>
      </c>
      <c r="J2598" s="40" t="e">
        <f t="shared" si="5230"/>
        <v>#N/A</v>
      </c>
      <c r="K2598" s="16" t="e">
        <f t="shared" si="5230"/>
        <v>#N/A</v>
      </c>
      <c r="L2598" s="40" t="e">
        <f t="shared" si="4837"/>
        <v>#N/A</v>
      </c>
      <c r="M2598" s="16" t="e">
        <f t="shared" si="4838"/>
        <v>#N/A</v>
      </c>
      <c r="N2598" s="16" t="e">
        <f t="shared" si="4839"/>
        <v>#N/A</v>
      </c>
      <c r="O2598" s="16" t="s">
        <v>72</v>
      </c>
      <c r="P2598" s="16" t="str">
        <f t="shared" si="6"/>
        <v/>
      </c>
      <c r="Q2598" s="41" t="e">
        <f t="shared" si="4840"/>
        <v>#N/A</v>
      </c>
      <c r="R2598" s="44"/>
      <c r="S2598" s="44"/>
      <c r="T2598" s="43"/>
      <c r="U2598" s="43" t="str">
        <f t="shared" si="8"/>
        <v>No</v>
      </c>
      <c r="V2598" s="25"/>
      <c r="W2598" s="25"/>
      <c r="X2598" s="25"/>
      <c r="Y2598" s="25"/>
      <c r="Z2598" s="25"/>
    </row>
    <row r="2599" spans="1:26" ht="15.75" customHeight="1" x14ac:dyDescent="0.25">
      <c r="A2599" s="25">
        <v>2597</v>
      </c>
      <c r="B2599" s="37" t="e">
        <f t="shared" ref="B2599:D2599" si="5231">VLOOKUP($A2599,[8]Movilidad!$A$1:$O$192,B$1,0)</f>
        <v>#N/A</v>
      </c>
      <c r="C2599" s="38" t="e">
        <f t="shared" si="5231"/>
        <v>#N/A</v>
      </c>
      <c r="D2599" s="39" t="e">
        <f t="shared" si="5231"/>
        <v>#N/A</v>
      </c>
      <c r="E2599" s="16" t="e">
        <f t="shared" si="1"/>
        <v>#N/A</v>
      </c>
      <c r="F2599" s="16" t="e">
        <f t="shared" ref="F2599:K2599" si="5232">VLOOKUP($A2599,[8]Movilidad!$A$1:$O$192,F$1,0)</f>
        <v>#N/A</v>
      </c>
      <c r="G2599" s="39" t="e">
        <f t="shared" si="5232"/>
        <v>#N/A</v>
      </c>
      <c r="H2599" s="16" t="e">
        <f t="shared" si="5232"/>
        <v>#N/A</v>
      </c>
      <c r="I2599" s="16" t="e">
        <f t="shared" si="5232"/>
        <v>#N/A</v>
      </c>
      <c r="J2599" s="40" t="e">
        <f t="shared" si="5232"/>
        <v>#N/A</v>
      </c>
      <c r="K2599" s="16" t="e">
        <f t="shared" si="5232"/>
        <v>#N/A</v>
      </c>
      <c r="L2599" s="40" t="e">
        <f t="shared" si="4837"/>
        <v>#N/A</v>
      </c>
      <c r="M2599" s="16" t="e">
        <f t="shared" si="4838"/>
        <v>#N/A</v>
      </c>
      <c r="N2599" s="16" t="e">
        <f t="shared" si="4839"/>
        <v>#N/A</v>
      </c>
      <c r="O2599" s="16" t="s">
        <v>72</v>
      </c>
      <c r="P2599" s="16" t="str">
        <f t="shared" si="6"/>
        <v/>
      </c>
      <c r="Q2599" s="41" t="e">
        <f t="shared" si="4840"/>
        <v>#N/A</v>
      </c>
      <c r="R2599" s="44"/>
      <c r="S2599" s="44"/>
      <c r="T2599" s="43"/>
      <c r="U2599" s="43" t="str">
        <f t="shared" si="8"/>
        <v>No</v>
      </c>
      <c r="V2599" s="25"/>
      <c r="W2599" s="25"/>
      <c r="X2599" s="25"/>
      <c r="Y2599" s="25"/>
      <c r="Z2599" s="25"/>
    </row>
    <row r="2600" spans="1:26" ht="15.75" customHeight="1" x14ac:dyDescent="0.25">
      <c r="A2600" s="25">
        <v>2598</v>
      </c>
      <c r="B2600" s="37" t="e">
        <f t="shared" ref="B2600:D2600" si="5233">VLOOKUP($A2600,[8]Movilidad!$A$1:$O$192,B$1,0)</f>
        <v>#N/A</v>
      </c>
      <c r="C2600" s="38" t="e">
        <f t="shared" si="5233"/>
        <v>#N/A</v>
      </c>
      <c r="D2600" s="39" t="e">
        <f t="shared" si="5233"/>
        <v>#N/A</v>
      </c>
      <c r="E2600" s="16" t="e">
        <f t="shared" si="1"/>
        <v>#N/A</v>
      </c>
      <c r="F2600" s="16" t="e">
        <f t="shared" ref="F2600:K2600" si="5234">VLOOKUP($A2600,[8]Movilidad!$A$1:$O$192,F$1,0)</f>
        <v>#N/A</v>
      </c>
      <c r="G2600" s="39" t="e">
        <f t="shared" si="5234"/>
        <v>#N/A</v>
      </c>
      <c r="H2600" s="16" t="e">
        <f t="shared" si="5234"/>
        <v>#N/A</v>
      </c>
      <c r="I2600" s="16" t="e">
        <f t="shared" si="5234"/>
        <v>#N/A</v>
      </c>
      <c r="J2600" s="40" t="e">
        <f t="shared" si="5234"/>
        <v>#N/A</v>
      </c>
      <c r="K2600" s="16" t="e">
        <f t="shared" si="5234"/>
        <v>#N/A</v>
      </c>
      <c r="L2600" s="40" t="e">
        <f t="shared" si="4837"/>
        <v>#N/A</v>
      </c>
      <c r="M2600" s="16" t="e">
        <f t="shared" si="4838"/>
        <v>#N/A</v>
      </c>
      <c r="N2600" s="16" t="e">
        <f t="shared" si="4839"/>
        <v>#N/A</v>
      </c>
      <c r="O2600" s="16" t="s">
        <v>72</v>
      </c>
      <c r="P2600" s="16" t="str">
        <f t="shared" si="6"/>
        <v/>
      </c>
      <c r="Q2600" s="41" t="e">
        <f t="shared" si="4840"/>
        <v>#N/A</v>
      </c>
      <c r="R2600" s="44"/>
      <c r="S2600" s="44"/>
      <c r="T2600" s="43"/>
      <c r="U2600" s="43" t="str">
        <f t="shared" si="8"/>
        <v>No</v>
      </c>
      <c r="V2600" s="25"/>
      <c r="W2600" s="25"/>
      <c r="X2600" s="25"/>
      <c r="Y2600" s="25"/>
      <c r="Z2600" s="25"/>
    </row>
    <row r="2601" spans="1:26" ht="15.75" customHeight="1" x14ac:dyDescent="0.25">
      <c r="A2601" s="25">
        <v>2599</v>
      </c>
      <c r="B2601" s="37" t="e">
        <f t="shared" ref="B2601:D2601" si="5235">VLOOKUP($A2601,[8]Movilidad!$A$1:$O$192,B$1,0)</f>
        <v>#N/A</v>
      </c>
      <c r="C2601" s="38" t="e">
        <f t="shared" si="5235"/>
        <v>#N/A</v>
      </c>
      <c r="D2601" s="39" t="e">
        <f t="shared" si="5235"/>
        <v>#N/A</v>
      </c>
      <c r="E2601" s="16" t="e">
        <f t="shared" si="1"/>
        <v>#N/A</v>
      </c>
      <c r="F2601" s="16" t="e">
        <f t="shared" ref="F2601:K2601" si="5236">VLOOKUP($A2601,[8]Movilidad!$A$1:$O$192,F$1,0)</f>
        <v>#N/A</v>
      </c>
      <c r="G2601" s="39" t="e">
        <f t="shared" si="5236"/>
        <v>#N/A</v>
      </c>
      <c r="H2601" s="16" t="e">
        <f t="shared" si="5236"/>
        <v>#N/A</v>
      </c>
      <c r="I2601" s="16" t="e">
        <f t="shared" si="5236"/>
        <v>#N/A</v>
      </c>
      <c r="J2601" s="40" t="e">
        <f t="shared" si="5236"/>
        <v>#N/A</v>
      </c>
      <c r="K2601" s="16" t="e">
        <f t="shared" si="5236"/>
        <v>#N/A</v>
      </c>
      <c r="L2601" s="40" t="e">
        <f t="shared" si="4837"/>
        <v>#N/A</v>
      </c>
      <c r="M2601" s="16" t="e">
        <f t="shared" si="4838"/>
        <v>#N/A</v>
      </c>
      <c r="N2601" s="16" t="e">
        <f t="shared" si="4839"/>
        <v>#N/A</v>
      </c>
      <c r="O2601" s="16" t="s">
        <v>72</v>
      </c>
      <c r="P2601" s="16" t="str">
        <f t="shared" si="6"/>
        <v/>
      </c>
      <c r="Q2601" s="41" t="e">
        <f t="shared" si="4840"/>
        <v>#N/A</v>
      </c>
      <c r="R2601" s="44"/>
      <c r="S2601" s="44"/>
      <c r="T2601" s="43"/>
      <c r="U2601" s="43" t="str">
        <f t="shared" si="8"/>
        <v>No</v>
      </c>
      <c r="V2601" s="25"/>
      <c r="W2601" s="25"/>
      <c r="X2601" s="25"/>
      <c r="Y2601" s="25"/>
      <c r="Z2601" s="25"/>
    </row>
    <row r="2602" spans="1:26" ht="15.75" customHeight="1" x14ac:dyDescent="0.25">
      <c r="A2602" s="25">
        <v>2600</v>
      </c>
      <c r="B2602" s="37" t="e">
        <f t="shared" ref="B2602:D2602" si="5237">VLOOKUP($A2602,[8]Movilidad!$A$1:$O$192,B$1,0)</f>
        <v>#N/A</v>
      </c>
      <c r="C2602" s="38" t="e">
        <f t="shared" si="5237"/>
        <v>#N/A</v>
      </c>
      <c r="D2602" s="39" t="e">
        <f t="shared" si="5237"/>
        <v>#N/A</v>
      </c>
      <c r="E2602" s="16" t="e">
        <f t="shared" si="1"/>
        <v>#N/A</v>
      </c>
      <c r="F2602" s="16" t="e">
        <f t="shared" ref="F2602:K2602" si="5238">VLOOKUP($A2602,[8]Movilidad!$A$1:$O$192,F$1,0)</f>
        <v>#N/A</v>
      </c>
      <c r="G2602" s="39" t="e">
        <f t="shared" si="5238"/>
        <v>#N/A</v>
      </c>
      <c r="H2602" s="16" t="e">
        <f t="shared" si="5238"/>
        <v>#N/A</v>
      </c>
      <c r="I2602" s="16" t="e">
        <f t="shared" si="5238"/>
        <v>#N/A</v>
      </c>
      <c r="J2602" s="40" t="e">
        <f t="shared" si="5238"/>
        <v>#N/A</v>
      </c>
      <c r="K2602" s="16" t="e">
        <f t="shared" si="5238"/>
        <v>#N/A</v>
      </c>
      <c r="L2602" s="40" t="e">
        <f t="shared" si="4837"/>
        <v>#N/A</v>
      </c>
      <c r="M2602" s="16" t="e">
        <f t="shared" si="4838"/>
        <v>#N/A</v>
      </c>
      <c r="N2602" s="16" t="e">
        <f t="shared" si="4839"/>
        <v>#N/A</v>
      </c>
      <c r="O2602" s="16" t="s">
        <v>72</v>
      </c>
      <c r="P2602" s="16" t="str">
        <f t="shared" si="6"/>
        <v/>
      </c>
      <c r="Q2602" s="41" t="e">
        <f t="shared" si="4840"/>
        <v>#N/A</v>
      </c>
      <c r="R2602" s="44"/>
      <c r="S2602" s="44"/>
      <c r="T2602" s="43"/>
      <c r="U2602" s="43" t="str">
        <f t="shared" si="8"/>
        <v>No</v>
      </c>
      <c r="V2602" s="25"/>
      <c r="W2602" s="25"/>
      <c r="X2602" s="25"/>
      <c r="Y2602" s="25"/>
      <c r="Z2602" s="25"/>
    </row>
    <row r="2603" spans="1:26" ht="15.75" customHeight="1" x14ac:dyDescent="0.25">
      <c r="A2603" s="25">
        <v>2601</v>
      </c>
      <c r="B2603" s="37" t="e">
        <f t="shared" ref="B2603:D2603" si="5239">VLOOKUP($A2603,[8]Movilidad!$A$1:$O$192,B$1,0)</f>
        <v>#N/A</v>
      </c>
      <c r="C2603" s="38" t="e">
        <f t="shared" si="5239"/>
        <v>#N/A</v>
      </c>
      <c r="D2603" s="39" t="e">
        <f t="shared" si="5239"/>
        <v>#N/A</v>
      </c>
      <c r="E2603" s="16" t="e">
        <f t="shared" si="1"/>
        <v>#N/A</v>
      </c>
      <c r="F2603" s="16" t="e">
        <f t="shared" ref="F2603:K2603" si="5240">VLOOKUP($A2603,[8]Movilidad!$A$1:$O$192,F$1,0)</f>
        <v>#N/A</v>
      </c>
      <c r="G2603" s="39" t="e">
        <f t="shared" si="5240"/>
        <v>#N/A</v>
      </c>
      <c r="H2603" s="16" t="e">
        <f t="shared" si="5240"/>
        <v>#N/A</v>
      </c>
      <c r="I2603" s="16" t="e">
        <f t="shared" si="5240"/>
        <v>#N/A</v>
      </c>
      <c r="J2603" s="40" t="e">
        <f t="shared" si="5240"/>
        <v>#N/A</v>
      </c>
      <c r="K2603" s="16" t="e">
        <f t="shared" si="5240"/>
        <v>#N/A</v>
      </c>
      <c r="L2603" s="40" t="e">
        <f t="shared" si="4837"/>
        <v>#N/A</v>
      </c>
      <c r="M2603" s="16" t="e">
        <f t="shared" si="4838"/>
        <v>#N/A</v>
      </c>
      <c r="N2603" s="16" t="e">
        <f t="shared" si="4839"/>
        <v>#N/A</v>
      </c>
      <c r="O2603" s="16" t="s">
        <v>72</v>
      </c>
      <c r="P2603" s="16" t="str">
        <f t="shared" si="6"/>
        <v/>
      </c>
      <c r="Q2603" s="41" t="e">
        <f t="shared" si="4840"/>
        <v>#N/A</v>
      </c>
      <c r="R2603" s="44"/>
      <c r="S2603" s="44"/>
      <c r="T2603" s="43"/>
      <c r="U2603" s="43" t="str">
        <f t="shared" si="8"/>
        <v>No</v>
      </c>
      <c r="V2603" s="25"/>
      <c r="W2603" s="25"/>
      <c r="X2603" s="25"/>
      <c r="Y2603" s="25"/>
      <c r="Z2603" s="25"/>
    </row>
    <row r="2604" spans="1:26" ht="15.75" customHeight="1" x14ac:dyDescent="0.25">
      <c r="A2604" s="25">
        <v>2602</v>
      </c>
      <c r="B2604" s="37" t="e">
        <f t="shared" ref="B2604:D2604" si="5241">VLOOKUP($A2604,[8]Movilidad!$A$1:$O$192,B$1,0)</f>
        <v>#N/A</v>
      </c>
      <c r="C2604" s="38" t="e">
        <f t="shared" si="5241"/>
        <v>#N/A</v>
      </c>
      <c r="D2604" s="39" t="e">
        <f t="shared" si="5241"/>
        <v>#N/A</v>
      </c>
      <c r="E2604" s="16" t="e">
        <f t="shared" si="1"/>
        <v>#N/A</v>
      </c>
      <c r="F2604" s="16" t="e">
        <f t="shared" ref="F2604:K2604" si="5242">VLOOKUP($A2604,[8]Movilidad!$A$1:$O$192,F$1,0)</f>
        <v>#N/A</v>
      </c>
      <c r="G2604" s="39" t="e">
        <f t="shared" si="5242"/>
        <v>#N/A</v>
      </c>
      <c r="H2604" s="16" t="e">
        <f t="shared" si="5242"/>
        <v>#N/A</v>
      </c>
      <c r="I2604" s="16" t="e">
        <f t="shared" si="5242"/>
        <v>#N/A</v>
      </c>
      <c r="J2604" s="40" t="e">
        <f t="shared" si="5242"/>
        <v>#N/A</v>
      </c>
      <c r="K2604" s="16" t="e">
        <f t="shared" si="5242"/>
        <v>#N/A</v>
      </c>
      <c r="L2604" s="40" t="e">
        <f t="shared" si="4837"/>
        <v>#N/A</v>
      </c>
      <c r="M2604" s="16" t="e">
        <f t="shared" si="4838"/>
        <v>#N/A</v>
      </c>
      <c r="N2604" s="16" t="e">
        <f t="shared" si="4839"/>
        <v>#N/A</v>
      </c>
      <c r="O2604" s="16" t="s">
        <v>72</v>
      </c>
      <c r="P2604" s="16" t="str">
        <f t="shared" si="6"/>
        <v/>
      </c>
      <c r="Q2604" s="41" t="e">
        <f t="shared" si="4840"/>
        <v>#N/A</v>
      </c>
      <c r="R2604" s="44"/>
      <c r="S2604" s="44"/>
      <c r="T2604" s="43"/>
      <c r="U2604" s="43" t="str">
        <f t="shared" si="8"/>
        <v>No</v>
      </c>
      <c r="V2604" s="25"/>
      <c r="W2604" s="25"/>
      <c r="X2604" s="25"/>
      <c r="Y2604" s="25"/>
      <c r="Z2604" s="25"/>
    </row>
    <row r="2605" spans="1:26" ht="15.75" customHeight="1" x14ac:dyDescent="0.25">
      <c r="A2605" s="25">
        <v>2603</v>
      </c>
      <c r="B2605" s="37" t="e">
        <f t="shared" ref="B2605:D2605" si="5243">VLOOKUP($A2605,[8]Movilidad!$A$1:$O$192,B$1,0)</f>
        <v>#N/A</v>
      </c>
      <c r="C2605" s="38" t="e">
        <f t="shared" si="5243"/>
        <v>#N/A</v>
      </c>
      <c r="D2605" s="39" t="e">
        <f t="shared" si="5243"/>
        <v>#N/A</v>
      </c>
      <c r="E2605" s="16" t="e">
        <f t="shared" si="1"/>
        <v>#N/A</v>
      </c>
      <c r="F2605" s="16" t="e">
        <f t="shared" ref="F2605:K2605" si="5244">VLOOKUP($A2605,[8]Movilidad!$A$1:$O$192,F$1,0)</f>
        <v>#N/A</v>
      </c>
      <c r="G2605" s="39" t="e">
        <f t="shared" si="5244"/>
        <v>#N/A</v>
      </c>
      <c r="H2605" s="16" t="e">
        <f t="shared" si="5244"/>
        <v>#N/A</v>
      </c>
      <c r="I2605" s="16" t="e">
        <f t="shared" si="5244"/>
        <v>#N/A</v>
      </c>
      <c r="J2605" s="40" t="e">
        <f t="shared" si="5244"/>
        <v>#N/A</v>
      </c>
      <c r="K2605" s="16" t="e">
        <f t="shared" si="5244"/>
        <v>#N/A</v>
      </c>
      <c r="L2605" s="40" t="e">
        <f t="shared" si="4837"/>
        <v>#N/A</v>
      </c>
      <c r="M2605" s="16" t="e">
        <f t="shared" si="4838"/>
        <v>#N/A</v>
      </c>
      <c r="N2605" s="16" t="e">
        <f t="shared" si="4839"/>
        <v>#N/A</v>
      </c>
      <c r="O2605" s="16" t="s">
        <v>72</v>
      </c>
      <c r="P2605" s="16" t="str">
        <f t="shared" si="6"/>
        <v/>
      </c>
      <c r="Q2605" s="41" t="e">
        <f t="shared" si="4840"/>
        <v>#N/A</v>
      </c>
      <c r="R2605" s="44"/>
      <c r="S2605" s="44"/>
      <c r="T2605" s="43"/>
      <c r="U2605" s="43" t="str">
        <f t="shared" si="8"/>
        <v>No</v>
      </c>
      <c r="V2605" s="25"/>
      <c r="W2605" s="25"/>
      <c r="X2605" s="25"/>
      <c r="Y2605" s="25"/>
      <c r="Z2605" s="25"/>
    </row>
    <row r="2606" spans="1:26" ht="15.75" customHeight="1" x14ac:dyDescent="0.25">
      <c r="A2606" s="25">
        <v>2604</v>
      </c>
      <c r="B2606" s="37" t="e">
        <f t="shared" ref="B2606:D2606" si="5245">VLOOKUP($A2606,[8]Movilidad!$A$1:$O$192,B$1,0)</f>
        <v>#N/A</v>
      </c>
      <c r="C2606" s="38" t="e">
        <f t="shared" si="5245"/>
        <v>#N/A</v>
      </c>
      <c r="D2606" s="39" t="e">
        <f t="shared" si="5245"/>
        <v>#N/A</v>
      </c>
      <c r="E2606" s="16" t="e">
        <f t="shared" si="1"/>
        <v>#N/A</v>
      </c>
      <c r="F2606" s="16" t="e">
        <f t="shared" ref="F2606:K2606" si="5246">VLOOKUP($A2606,[8]Movilidad!$A$1:$O$192,F$1,0)</f>
        <v>#N/A</v>
      </c>
      <c r="G2606" s="39" t="e">
        <f t="shared" si="5246"/>
        <v>#N/A</v>
      </c>
      <c r="H2606" s="16" t="e">
        <f t="shared" si="5246"/>
        <v>#N/A</v>
      </c>
      <c r="I2606" s="16" t="e">
        <f t="shared" si="5246"/>
        <v>#N/A</v>
      </c>
      <c r="J2606" s="40" t="e">
        <f t="shared" si="5246"/>
        <v>#N/A</v>
      </c>
      <c r="K2606" s="16" t="e">
        <f t="shared" si="5246"/>
        <v>#N/A</v>
      </c>
      <c r="L2606" s="40" t="e">
        <f t="shared" si="4837"/>
        <v>#N/A</v>
      </c>
      <c r="M2606" s="16" t="e">
        <f t="shared" si="4838"/>
        <v>#N/A</v>
      </c>
      <c r="N2606" s="16" t="e">
        <f t="shared" si="4839"/>
        <v>#N/A</v>
      </c>
      <c r="O2606" s="16" t="s">
        <v>72</v>
      </c>
      <c r="P2606" s="16" t="str">
        <f t="shared" si="6"/>
        <v/>
      </c>
      <c r="Q2606" s="41" t="e">
        <f t="shared" si="4840"/>
        <v>#N/A</v>
      </c>
      <c r="R2606" s="44"/>
      <c r="S2606" s="44"/>
      <c r="T2606" s="43"/>
      <c r="U2606" s="43" t="str">
        <f t="shared" si="8"/>
        <v>No</v>
      </c>
      <c r="V2606" s="25"/>
      <c r="W2606" s="25"/>
      <c r="X2606" s="25"/>
      <c r="Y2606" s="25"/>
      <c r="Z2606" s="25"/>
    </row>
    <row r="2607" spans="1:26" ht="15.75" customHeight="1" x14ac:dyDescent="0.25">
      <c r="A2607" s="25">
        <v>2605</v>
      </c>
      <c r="B2607" s="37" t="e">
        <f t="shared" ref="B2607:D2607" si="5247">VLOOKUP($A2607,[8]Movilidad!$A$1:$O$192,B$1,0)</f>
        <v>#N/A</v>
      </c>
      <c r="C2607" s="38" t="e">
        <f t="shared" si="5247"/>
        <v>#N/A</v>
      </c>
      <c r="D2607" s="39" t="e">
        <f t="shared" si="5247"/>
        <v>#N/A</v>
      </c>
      <c r="E2607" s="16" t="e">
        <f t="shared" si="1"/>
        <v>#N/A</v>
      </c>
      <c r="F2607" s="16" t="e">
        <f t="shared" ref="F2607:K2607" si="5248">VLOOKUP($A2607,[8]Movilidad!$A$1:$O$192,F$1,0)</f>
        <v>#N/A</v>
      </c>
      <c r="G2607" s="39" t="e">
        <f t="shared" si="5248"/>
        <v>#N/A</v>
      </c>
      <c r="H2607" s="16" t="e">
        <f t="shared" si="5248"/>
        <v>#N/A</v>
      </c>
      <c r="I2607" s="16" t="e">
        <f t="shared" si="5248"/>
        <v>#N/A</v>
      </c>
      <c r="J2607" s="40" t="e">
        <f t="shared" si="5248"/>
        <v>#N/A</v>
      </c>
      <c r="K2607" s="16" t="e">
        <f t="shared" si="5248"/>
        <v>#N/A</v>
      </c>
      <c r="L2607" s="40" t="e">
        <f t="shared" si="4837"/>
        <v>#N/A</v>
      </c>
      <c r="M2607" s="16" t="e">
        <f t="shared" si="4838"/>
        <v>#N/A</v>
      </c>
      <c r="N2607" s="16" t="e">
        <f t="shared" si="4839"/>
        <v>#N/A</v>
      </c>
      <c r="O2607" s="16" t="s">
        <v>72</v>
      </c>
      <c r="P2607" s="16" t="str">
        <f t="shared" si="6"/>
        <v/>
      </c>
      <c r="Q2607" s="41" t="e">
        <f t="shared" si="4840"/>
        <v>#N/A</v>
      </c>
      <c r="R2607" s="44"/>
      <c r="S2607" s="44"/>
      <c r="T2607" s="43"/>
      <c r="U2607" s="43" t="str">
        <f t="shared" si="8"/>
        <v>No</v>
      </c>
      <c r="V2607" s="25"/>
      <c r="W2607" s="25"/>
      <c r="X2607" s="25"/>
      <c r="Y2607" s="25"/>
      <c r="Z2607" s="25"/>
    </row>
    <row r="2608" spans="1:26" ht="15.75" customHeight="1" x14ac:dyDescent="0.25">
      <c r="A2608" s="25">
        <v>2606</v>
      </c>
      <c r="B2608" s="37" t="e">
        <f t="shared" ref="B2608:D2608" si="5249">VLOOKUP($A2608,[8]Movilidad!$A$1:$O$192,B$1,0)</f>
        <v>#N/A</v>
      </c>
      <c r="C2608" s="38" t="e">
        <f t="shared" si="5249"/>
        <v>#N/A</v>
      </c>
      <c r="D2608" s="39" t="e">
        <f t="shared" si="5249"/>
        <v>#N/A</v>
      </c>
      <c r="E2608" s="16" t="e">
        <f t="shared" si="1"/>
        <v>#N/A</v>
      </c>
      <c r="F2608" s="16" t="e">
        <f t="shared" ref="F2608:K2608" si="5250">VLOOKUP($A2608,[8]Movilidad!$A$1:$O$192,F$1,0)</f>
        <v>#N/A</v>
      </c>
      <c r="G2608" s="39" t="e">
        <f t="shared" si="5250"/>
        <v>#N/A</v>
      </c>
      <c r="H2608" s="16" t="e">
        <f t="shared" si="5250"/>
        <v>#N/A</v>
      </c>
      <c r="I2608" s="16" t="e">
        <f t="shared" si="5250"/>
        <v>#N/A</v>
      </c>
      <c r="J2608" s="40" t="e">
        <f t="shared" si="5250"/>
        <v>#N/A</v>
      </c>
      <c r="K2608" s="16" t="e">
        <f t="shared" si="5250"/>
        <v>#N/A</v>
      </c>
      <c r="L2608" s="40" t="e">
        <f t="shared" si="4837"/>
        <v>#N/A</v>
      </c>
      <c r="M2608" s="16" t="e">
        <f t="shared" si="4838"/>
        <v>#N/A</v>
      </c>
      <c r="N2608" s="16" t="e">
        <f t="shared" si="4839"/>
        <v>#N/A</v>
      </c>
      <c r="O2608" s="16" t="s">
        <v>72</v>
      </c>
      <c r="P2608" s="16" t="str">
        <f t="shared" si="6"/>
        <v/>
      </c>
      <c r="Q2608" s="41" t="e">
        <f t="shared" si="4840"/>
        <v>#N/A</v>
      </c>
      <c r="R2608" s="44"/>
      <c r="S2608" s="44"/>
      <c r="T2608" s="43"/>
      <c r="U2608" s="43" t="str">
        <f t="shared" si="8"/>
        <v>No</v>
      </c>
      <c r="V2608" s="25"/>
      <c r="W2608" s="25"/>
      <c r="X2608" s="25"/>
      <c r="Y2608" s="25"/>
      <c r="Z2608" s="25"/>
    </row>
    <row r="2609" spans="1:26" ht="15.75" customHeight="1" x14ac:dyDescent="0.25">
      <c r="A2609" s="25">
        <v>2607</v>
      </c>
      <c r="B2609" s="37" t="e">
        <f t="shared" ref="B2609:D2609" si="5251">VLOOKUP($A2609,[8]Movilidad!$A$1:$O$192,B$1,0)</f>
        <v>#N/A</v>
      </c>
      <c r="C2609" s="38" t="e">
        <f t="shared" si="5251"/>
        <v>#N/A</v>
      </c>
      <c r="D2609" s="39" t="e">
        <f t="shared" si="5251"/>
        <v>#N/A</v>
      </c>
      <c r="E2609" s="16" t="e">
        <f t="shared" si="1"/>
        <v>#N/A</v>
      </c>
      <c r="F2609" s="16" t="e">
        <f t="shared" ref="F2609:K2609" si="5252">VLOOKUP($A2609,[8]Movilidad!$A$1:$O$192,F$1,0)</f>
        <v>#N/A</v>
      </c>
      <c r="G2609" s="39" t="e">
        <f t="shared" si="5252"/>
        <v>#N/A</v>
      </c>
      <c r="H2609" s="16" t="e">
        <f t="shared" si="5252"/>
        <v>#N/A</v>
      </c>
      <c r="I2609" s="16" t="e">
        <f t="shared" si="5252"/>
        <v>#N/A</v>
      </c>
      <c r="J2609" s="40" t="e">
        <f t="shared" si="5252"/>
        <v>#N/A</v>
      </c>
      <c r="K2609" s="16" t="e">
        <f t="shared" si="5252"/>
        <v>#N/A</v>
      </c>
      <c r="L2609" s="40" t="e">
        <f t="shared" si="4837"/>
        <v>#N/A</v>
      </c>
      <c r="M2609" s="16" t="e">
        <f t="shared" si="4838"/>
        <v>#N/A</v>
      </c>
      <c r="N2609" s="16" t="e">
        <f t="shared" si="4839"/>
        <v>#N/A</v>
      </c>
      <c r="O2609" s="16" t="s">
        <v>72</v>
      </c>
      <c r="P2609" s="16" t="str">
        <f t="shared" si="6"/>
        <v/>
      </c>
      <c r="Q2609" s="41" t="e">
        <f t="shared" si="4840"/>
        <v>#N/A</v>
      </c>
      <c r="R2609" s="44"/>
      <c r="S2609" s="44"/>
      <c r="T2609" s="43"/>
      <c r="U2609" s="43" t="str">
        <f t="shared" si="8"/>
        <v>No</v>
      </c>
      <c r="V2609" s="25"/>
      <c r="W2609" s="25"/>
      <c r="X2609" s="25"/>
      <c r="Y2609" s="25"/>
      <c r="Z2609" s="25"/>
    </row>
    <row r="2610" spans="1:26" ht="15.75" customHeight="1" x14ac:dyDescent="0.25">
      <c r="A2610" s="25">
        <v>2608</v>
      </c>
      <c r="B2610" s="37" t="e">
        <f t="shared" ref="B2610:D2610" si="5253">VLOOKUP($A2610,[8]Movilidad!$A$1:$O$192,B$1,0)</f>
        <v>#N/A</v>
      </c>
      <c r="C2610" s="38" t="e">
        <f t="shared" si="5253"/>
        <v>#N/A</v>
      </c>
      <c r="D2610" s="39" t="e">
        <f t="shared" si="5253"/>
        <v>#N/A</v>
      </c>
      <c r="E2610" s="16" t="e">
        <f t="shared" si="1"/>
        <v>#N/A</v>
      </c>
      <c r="F2610" s="16" t="e">
        <f t="shared" ref="F2610:K2610" si="5254">VLOOKUP($A2610,[8]Movilidad!$A$1:$O$192,F$1,0)</f>
        <v>#N/A</v>
      </c>
      <c r="G2610" s="39" t="e">
        <f t="shared" si="5254"/>
        <v>#N/A</v>
      </c>
      <c r="H2610" s="16" t="e">
        <f t="shared" si="5254"/>
        <v>#N/A</v>
      </c>
      <c r="I2610" s="16" t="e">
        <f t="shared" si="5254"/>
        <v>#N/A</v>
      </c>
      <c r="J2610" s="40" t="e">
        <f t="shared" si="5254"/>
        <v>#N/A</v>
      </c>
      <c r="K2610" s="16" t="e">
        <f t="shared" si="5254"/>
        <v>#N/A</v>
      </c>
      <c r="L2610" s="40" t="e">
        <f t="shared" si="4837"/>
        <v>#N/A</v>
      </c>
      <c r="M2610" s="16" t="e">
        <f t="shared" si="4838"/>
        <v>#N/A</v>
      </c>
      <c r="N2610" s="16" t="e">
        <f t="shared" si="4839"/>
        <v>#N/A</v>
      </c>
      <c r="O2610" s="16" t="s">
        <v>72</v>
      </c>
      <c r="P2610" s="16" t="str">
        <f t="shared" si="6"/>
        <v/>
      </c>
      <c r="Q2610" s="41" t="e">
        <f t="shared" si="4840"/>
        <v>#N/A</v>
      </c>
      <c r="R2610" s="44"/>
      <c r="S2610" s="44"/>
      <c r="T2610" s="43"/>
      <c r="U2610" s="43" t="str">
        <f t="shared" si="8"/>
        <v>No</v>
      </c>
      <c r="V2610" s="25"/>
      <c r="W2610" s="25"/>
      <c r="X2610" s="25"/>
      <c r="Y2610" s="25"/>
      <c r="Z2610" s="25"/>
    </row>
    <row r="2611" spans="1:26" ht="15.75" customHeight="1" x14ac:dyDescent="0.25">
      <c r="A2611" s="25">
        <v>2609</v>
      </c>
      <c r="B2611" s="37" t="e">
        <f t="shared" ref="B2611:D2611" si="5255">VLOOKUP($A2611,[8]Movilidad!$A$1:$O$192,B$1,0)</f>
        <v>#N/A</v>
      </c>
      <c r="C2611" s="38" t="e">
        <f t="shared" si="5255"/>
        <v>#N/A</v>
      </c>
      <c r="D2611" s="39" t="e">
        <f t="shared" si="5255"/>
        <v>#N/A</v>
      </c>
      <c r="E2611" s="16" t="e">
        <f t="shared" si="1"/>
        <v>#N/A</v>
      </c>
      <c r="F2611" s="16" t="e">
        <f t="shared" ref="F2611:K2611" si="5256">VLOOKUP($A2611,[8]Movilidad!$A$1:$O$192,F$1,0)</f>
        <v>#N/A</v>
      </c>
      <c r="G2611" s="39" t="e">
        <f t="shared" si="5256"/>
        <v>#N/A</v>
      </c>
      <c r="H2611" s="16" t="e">
        <f t="shared" si="5256"/>
        <v>#N/A</v>
      </c>
      <c r="I2611" s="16" t="e">
        <f t="shared" si="5256"/>
        <v>#N/A</v>
      </c>
      <c r="J2611" s="40" t="e">
        <f t="shared" si="5256"/>
        <v>#N/A</v>
      </c>
      <c r="K2611" s="16" t="e">
        <f t="shared" si="5256"/>
        <v>#N/A</v>
      </c>
      <c r="L2611" s="40" t="e">
        <f t="shared" si="4837"/>
        <v>#N/A</v>
      </c>
      <c r="M2611" s="16" t="e">
        <f t="shared" si="4838"/>
        <v>#N/A</v>
      </c>
      <c r="N2611" s="16" t="e">
        <f t="shared" si="4839"/>
        <v>#N/A</v>
      </c>
      <c r="O2611" s="16" t="s">
        <v>72</v>
      </c>
      <c r="P2611" s="16" t="str">
        <f t="shared" si="6"/>
        <v/>
      </c>
      <c r="Q2611" s="41" t="e">
        <f t="shared" si="4840"/>
        <v>#N/A</v>
      </c>
      <c r="R2611" s="44"/>
      <c r="S2611" s="44"/>
      <c r="T2611" s="43"/>
      <c r="U2611" s="43" t="str">
        <f t="shared" si="8"/>
        <v>No</v>
      </c>
      <c r="V2611" s="25"/>
      <c r="W2611" s="25"/>
      <c r="X2611" s="25"/>
      <c r="Y2611" s="25"/>
      <c r="Z2611" s="25"/>
    </row>
    <row r="2612" spans="1:26" ht="15.75" customHeight="1" x14ac:dyDescent="0.25">
      <c r="A2612" s="25">
        <v>2610</v>
      </c>
      <c r="B2612" s="37" t="e">
        <f t="shared" ref="B2612:D2612" si="5257">VLOOKUP($A2612,[8]Movilidad!$A$1:$O$192,B$1,0)</f>
        <v>#N/A</v>
      </c>
      <c r="C2612" s="38" t="e">
        <f t="shared" si="5257"/>
        <v>#N/A</v>
      </c>
      <c r="D2612" s="39" t="e">
        <f t="shared" si="5257"/>
        <v>#N/A</v>
      </c>
      <c r="E2612" s="16" t="e">
        <f t="shared" si="1"/>
        <v>#N/A</v>
      </c>
      <c r="F2612" s="16" t="e">
        <f t="shared" ref="F2612:K2612" si="5258">VLOOKUP($A2612,[8]Movilidad!$A$1:$O$192,F$1,0)</f>
        <v>#N/A</v>
      </c>
      <c r="G2612" s="39" t="e">
        <f t="shared" si="5258"/>
        <v>#N/A</v>
      </c>
      <c r="H2612" s="16" t="e">
        <f t="shared" si="5258"/>
        <v>#N/A</v>
      </c>
      <c r="I2612" s="16" t="e">
        <f t="shared" si="5258"/>
        <v>#N/A</v>
      </c>
      <c r="J2612" s="40" t="e">
        <f t="shared" si="5258"/>
        <v>#N/A</v>
      </c>
      <c r="K2612" s="16" t="e">
        <f t="shared" si="5258"/>
        <v>#N/A</v>
      </c>
      <c r="L2612" s="40" t="e">
        <f t="shared" si="4837"/>
        <v>#N/A</v>
      </c>
      <c r="M2612" s="16" t="e">
        <f t="shared" si="4838"/>
        <v>#N/A</v>
      </c>
      <c r="N2612" s="16" t="e">
        <f t="shared" si="4839"/>
        <v>#N/A</v>
      </c>
      <c r="O2612" s="16" t="s">
        <v>72</v>
      </c>
      <c r="P2612" s="16" t="str">
        <f t="shared" si="6"/>
        <v/>
      </c>
      <c r="Q2612" s="41" t="e">
        <f t="shared" si="4840"/>
        <v>#N/A</v>
      </c>
      <c r="R2612" s="44"/>
      <c r="S2612" s="44"/>
      <c r="T2612" s="43"/>
      <c r="U2612" s="43" t="str">
        <f t="shared" si="8"/>
        <v>No</v>
      </c>
      <c r="V2612" s="25"/>
      <c r="W2612" s="25"/>
      <c r="X2612" s="25"/>
      <c r="Y2612" s="25"/>
      <c r="Z2612" s="25"/>
    </row>
    <row r="2613" spans="1:26" ht="15.75" customHeight="1" x14ac:dyDescent="0.25">
      <c r="A2613" s="25">
        <v>2611</v>
      </c>
      <c r="B2613" s="37" t="e">
        <f t="shared" ref="B2613:D2613" si="5259">VLOOKUP($A2613,[8]Movilidad!$A$1:$O$192,B$1,0)</f>
        <v>#N/A</v>
      </c>
      <c r="C2613" s="38" t="e">
        <f t="shared" si="5259"/>
        <v>#N/A</v>
      </c>
      <c r="D2613" s="39" t="e">
        <f t="shared" si="5259"/>
        <v>#N/A</v>
      </c>
      <c r="E2613" s="16" t="e">
        <f t="shared" si="1"/>
        <v>#N/A</v>
      </c>
      <c r="F2613" s="16" t="e">
        <f t="shared" ref="F2613:K2613" si="5260">VLOOKUP($A2613,[8]Movilidad!$A$1:$O$192,F$1,0)</f>
        <v>#N/A</v>
      </c>
      <c r="G2613" s="39" t="e">
        <f t="shared" si="5260"/>
        <v>#N/A</v>
      </c>
      <c r="H2613" s="16" t="e">
        <f t="shared" si="5260"/>
        <v>#N/A</v>
      </c>
      <c r="I2613" s="16" t="e">
        <f t="shared" si="5260"/>
        <v>#N/A</v>
      </c>
      <c r="J2613" s="40" t="e">
        <f t="shared" si="5260"/>
        <v>#N/A</v>
      </c>
      <c r="K2613" s="16" t="e">
        <f t="shared" si="5260"/>
        <v>#N/A</v>
      </c>
      <c r="L2613" s="40" t="e">
        <f t="shared" si="4837"/>
        <v>#N/A</v>
      </c>
      <c r="M2613" s="16" t="e">
        <f t="shared" si="4838"/>
        <v>#N/A</v>
      </c>
      <c r="N2613" s="16" t="e">
        <f t="shared" si="4839"/>
        <v>#N/A</v>
      </c>
      <c r="O2613" s="16" t="s">
        <v>72</v>
      </c>
      <c r="P2613" s="16" t="str">
        <f t="shared" si="6"/>
        <v/>
      </c>
      <c r="Q2613" s="41" t="e">
        <f t="shared" si="4840"/>
        <v>#N/A</v>
      </c>
      <c r="R2613" s="44"/>
      <c r="S2613" s="44"/>
      <c r="T2613" s="43"/>
      <c r="U2613" s="43" t="str">
        <f t="shared" si="8"/>
        <v>No</v>
      </c>
      <c r="V2613" s="25"/>
      <c r="W2613" s="25"/>
      <c r="X2613" s="25"/>
      <c r="Y2613" s="25"/>
      <c r="Z2613" s="25"/>
    </row>
    <row r="2614" spans="1:26" ht="15.75" customHeight="1" x14ac:dyDescent="0.25">
      <c r="A2614" s="25">
        <v>2612</v>
      </c>
      <c r="B2614" s="37" t="e">
        <f t="shared" ref="B2614:D2614" si="5261">VLOOKUP($A2614,[8]Movilidad!$A$1:$O$192,B$1,0)</f>
        <v>#N/A</v>
      </c>
      <c r="C2614" s="38" t="e">
        <f t="shared" si="5261"/>
        <v>#N/A</v>
      </c>
      <c r="D2614" s="39" t="e">
        <f t="shared" si="5261"/>
        <v>#N/A</v>
      </c>
      <c r="E2614" s="16" t="e">
        <f t="shared" si="1"/>
        <v>#N/A</v>
      </c>
      <c r="F2614" s="16" t="e">
        <f t="shared" ref="F2614:K2614" si="5262">VLOOKUP($A2614,[8]Movilidad!$A$1:$O$192,F$1,0)</f>
        <v>#N/A</v>
      </c>
      <c r="G2614" s="39" t="e">
        <f t="shared" si="5262"/>
        <v>#N/A</v>
      </c>
      <c r="H2614" s="16" t="e">
        <f t="shared" si="5262"/>
        <v>#N/A</v>
      </c>
      <c r="I2614" s="16" t="e">
        <f t="shared" si="5262"/>
        <v>#N/A</v>
      </c>
      <c r="J2614" s="40" t="e">
        <f t="shared" si="5262"/>
        <v>#N/A</v>
      </c>
      <c r="K2614" s="16" t="e">
        <f t="shared" si="5262"/>
        <v>#N/A</v>
      </c>
      <c r="L2614" s="40" t="e">
        <f t="shared" si="4837"/>
        <v>#N/A</v>
      </c>
      <c r="M2614" s="16" t="e">
        <f t="shared" si="4838"/>
        <v>#N/A</v>
      </c>
      <c r="N2614" s="16" t="e">
        <f t="shared" si="4839"/>
        <v>#N/A</v>
      </c>
      <c r="O2614" s="16" t="s">
        <v>72</v>
      </c>
      <c r="P2614" s="16" t="str">
        <f t="shared" si="6"/>
        <v/>
      </c>
      <c r="Q2614" s="41" t="e">
        <f t="shared" si="4840"/>
        <v>#N/A</v>
      </c>
      <c r="R2614" s="44"/>
      <c r="S2614" s="44"/>
      <c r="T2614" s="43"/>
      <c r="U2614" s="43" t="str">
        <f t="shared" si="8"/>
        <v>No</v>
      </c>
      <c r="V2614" s="25"/>
      <c r="W2614" s="25"/>
      <c r="X2614" s="25"/>
      <c r="Y2614" s="25"/>
      <c r="Z2614" s="25"/>
    </row>
    <row r="2615" spans="1:26" ht="15.75" customHeight="1" x14ac:dyDescent="0.25">
      <c r="A2615" s="25">
        <v>2613</v>
      </c>
      <c r="B2615" s="37" t="e">
        <f t="shared" ref="B2615:D2615" si="5263">VLOOKUP($A2615,[8]Movilidad!$A$1:$O$192,B$1,0)</f>
        <v>#N/A</v>
      </c>
      <c r="C2615" s="38" t="e">
        <f t="shared" si="5263"/>
        <v>#N/A</v>
      </c>
      <c r="D2615" s="39" t="e">
        <f t="shared" si="5263"/>
        <v>#N/A</v>
      </c>
      <c r="E2615" s="16" t="e">
        <f t="shared" si="1"/>
        <v>#N/A</v>
      </c>
      <c r="F2615" s="16" t="e">
        <f t="shared" ref="F2615:K2615" si="5264">VLOOKUP($A2615,[8]Movilidad!$A$1:$O$192,F$1,0)</f>
        <v>#N/A</v>
      </c>
      <c r="G2615" s="39" t="e">
        <f t="shared" si="5264"/>
        <v>#N/A</v>
      </c>
      <c r="H2615" s="16" t="e">
        <f t="shared" si="5264"/>
        <v>#N/A</v>
      </c>
      <c r="I2615" s="16" t="e">
        <f t="shared" si="5264"/>
        <v>#N/A</v>
      </c>
      <c r="J2615" s="40" t="e">
        <f t="shared" si="5264"/>
        <v>#N/A</v>
      </c>
      <c r="K2615" s="16" t="e">
        <f t="shared" si="5264"/>
        <v>#N/A</v>
      </c>
      <c r="L2615" s="40" t="e">
        <f t="shared" si="4837"/>
        <v>#N/A</v>
      </c>
      <c r="M2615" s="16" t="e">
        <f t="shared" si="4838"/>
        <v>#N/A</v>
      </c>
      <c r="N2615" s="16" t="e">
        <f t="shared" si="4839"/>
        <v>#N/A</v>
      </c>
      <c r="O2615" s="16" t="s">
        <v>72</v>
      </c>
      <c r="P2615" s="16" t="str">
        <f t="shared" si="6"/>
        <v/>
      </c>
      <c r="Q2615" s="41" t="e">
        <f t="shared" si="4840"/>
        <v>#N/A</v>
      </c>
      <c r="R2615" s="44"/>
      <c r="S2615" s="44"/>
      <c r="T2615" s="43"/>
      <c r="U2615" s="43" t="str">
        <f t="shared" si="8"/>
        <v>No</v>
      </c>
      <c r="V2615" s="25"/>
      <c r="W2615" s="25"/>
      <c r="X2615" s="25"/>
      <c r="Y2615" s="25"/>
      <c r="Z2615" s="25"/>
    </row>
    <row r="2616" spans="1:26" ht="15.75" customHeight="1" x14ac:dyDescent="0.25">
      <c r="A2616" s="25">
        <v>2614</v>
      </c>
      <c r="B2616" s="37" t="e">
        <f t="shared" ref="B2616:D2616" si="5265">VLOOKUP($A2616,[8]Movilidad!$A$1:$O$192,B$1,0)</f>
        <v>#N/A</v>
      </c>
      <c r="C2616" s="38" t="e">
        <f t="shared" si="5265"/>
        <v>#N/A</v>
      </c>
      <c r="D2616" s="39" t="e">
        <f t="shared" si="5265"/>
        <v>#N/A</v>
      </c>
      <c r="E2616" s="16" t="e">
        <f t="shared" si="1"/>
        <v>#N/A</v>
      </c>
      <c r="F2616" s="16" t="e">
        <f t="shared" ref="F2616:K2616" si="5266">VLOOKUP($A2616,[8]Movilidad!$A$1:$O$192,F$1,0)</f>
        <v>#N/A</v>
      </c>
      <c r="G2616" s="39" t="e">
        <f t="shared" si="5266"/>
        <v>#N/A</v>
      </c>
      <c r="H2616" s="16" t="e">
        <f t="shared" si="5266"/>
        <v>#N/A</v>
      </c>
      <c r="I2616" s="16" t="e">
        <f t="shared" si="5266"/>
        <v>#N/A</v>
      </c>
      <c r="J2616" s="40" t="e">
        <f t="shared" si="5266"/>
        <v>#N/A</v>
      </c>
      <c r="K2616" s="16" t="e">
        <f t="shared" si="5266"/>
        <v>#N/A</v>
      </c>
      <c r="L2616" s="40" t="e">
        <f t="shared" si="4837"/>
        <v>#N/A</v>
      </c>
      <c r="M2616" s="16" t="e">
        <f t="shared" si="4838"/>
        <v>#N/A</v>
      </c>
      <c r="N2616" s="16" t="e">
        <f t="shared" si="4839"/>
        <v>#N/A</v>
      </c>
      <c r="O2616" s="16" t="s">
        <v>72</v>
      </c>
      <c r="P2616" s="16" t="str">
        <f t="shared" si="6"/>
        <v/>
      </c>
      <c r="Q2616" s="41" t="e">
        <f t="shared" si="4840"/>
        <v>#N/A</v>
      </c>
      <c r="R2616" s="44"/>
      <c r="S2616" s="44"/>
      <c r="T2616" s="43"/>
      <c r="U2616" s="43" t="str">
        <f t="shared" si="8"/>
        <v>No</v>
      </c>
      <c r="V2616" s="25"/>
      <c r="W2616" s="25"/>
      <c r="X2616" s="25"/>
      <c r="Y2616" s="25"/>
      <c r="Z2616" s="25"/>
    </row>
    <row r="2617" spans="1:26" ht="15.75" customHeight="1" x14ac:dyDescent="0.25">
      <c r="A2617" s="25">
        <v>2615</v>
      </c>
      <c r="B2617" s="37" t="e">
        <f t="shared" ref="B2617:D2617" si="5267">VLOOKUP($A2617,[8]Movilidad!$A$1:$O$192,B$1,0)</f>
        <v>#N/A</v>
      </c>
      <c r="C2617" s="38" t="e">
        <f t="shared" si="5267"/>
        <v>#N/A</v>
      </c>
      <c r="D2617" s="39" t="e">
        <f t="shared" si="5267"/>
        <v>#N/A</v>
      </c>
      <c r="E2617" s="16" t="e">
        <f t="shared" si="1"/>
        <v>#N/A</v>
      </c>
      <c r="F2617" s="16" t="e">
        <f t="shared" ref="F2617:K2617" si="5268">VLOOKUP($A2617,[8]Movilidad!$A$1:$O$192,F$1,0)</f>
        <v>#N/A</v>
      </c>
      <c r="G2617" s="39" t="e">
        <f t="shared" si="5268"/>
        <v>#N/A</v>
      </c>
      <c r="H2617" s="16" t="e">
        <f t="shared" si="5268"/>
        <v>#N/A</v>
      </c>
      <c r="I2617" s="16" t="e">
        <f t="shared" si="5268"/>
        <v>#N/A</v>
      </c>
      <c r="J2617" s="40" t="e">
        <f t="shared" si="5268"/>
        <v>#N/A</v>
      </c>
      <c r="K2617" s="16" t="e">
        <f t="shared" si="5268"/>
        <v>#N/A</v>
      </c>
      <c r="L2617" s="40" t="e">
        <f t="shared" si="4837"/>
        <v>#N/A</v>
      </c>
      <c r="M2617" s="16" t="e">
        <f t="shared" si="4838"/>
        <v>#N/A</v>
      </c>
      <c r="N2617" s="16" t="e">
        <f t="shared" si="4839"/>
        <v>#N/A</v>
      </c>
      <c r="O2617" s="16" t="s">
        <v>72</v>
      </c>
      <c r="P2617" s="16" t="str">
        <f t="shared" si="6"/>
        <v/>
      </c>
      <c r="Q2617" s="41" t="e">
        <f t="shared" si="4840"/>
        <v>#N/A</v>
      </c>
      <c r="R2617" s="44"/>
      <c r="S2617" s="44"/>
      <c r="T2617" s="43"/>
      <c r="U2617" s="43" t="str">
        <f t="shared" si="8"/>
        <v>No</v>
      </c>
      <c r="V2617" s="25"/>
      <c r="W2617" s="25"/>
      <c r="X2617" s="25"/>
      <c r="Y2617" s="25"/>
      <c r="Z2617" s="25"/>
    </row>
    <row r="2618" spans="1:26" ht="15.75" customHeight="1" x14ac:dyDescent="0.25">
      <c r="A2618" s="25">
        <v>2616</v>
      </c>
      <c r="B2618" s="37" t="e">
        <f t="shared" ref="B2618:D2618" si="5269">VLOOKUP($A2618,[8]Movilidad!$A$1:$O$192,B$1,0)</f>
        <v>#N/A</v>
      </c>
      <c r="C2618" s="38" t="e">
        <f t="shared" si="5269"/>
        <v>#N/A</v>
      </c>
      <c r="D2618" s="39" t="e">
        <f t="shared" si="5269"/>
        <v>#N/A</v>
      </c>
      <c r="E2618" s="16" t="e">
        <f t="shared" si="1"/>
        <v>#N/A</v>
      </c>
      <c r="F2618" s="16" t="e">
        <f t="shared" ref="F2618:K2618" si="5270">VLOOKUP($A2618,[8]Movilidad!$A$1:$O$192,F$1,0)</f>
        <v>#N/A</v>
      </c>
      <c r="G2618" s="39" t="e">
        <f t="shared" si="5270"/>
        <v>#N/A</v>
      </c>
      <c r="H2618" s="16" t="e">
        <f t="shared" si="5270"/>
        <v>#N/A</v>
      </c>
      <c r="I2618" s="16" t="e">
        <f t="shared" si="5270"/>
        <v>#N/A</v>
      </c>
      <c r="J2618" s="40" t="e">
        <f t="shared" si="5270"/>
        <v>#N/A</v>
      </c>
      <c r="K2618" s="16" t="e">
        <f t="shared" si="5270"/>
        <v>#N/A</v>
      </c>
      <c r="L2618" s="40" t="e">
        <f t="shared" si="4837"/>
        <v>#N/A</v>
      </c>
      <c r="M2618" s="16" t="e">
        <f t="shared" si="4838"/>
        <v>#N/A</v>
      </c>
      <c r="N2618" s="16" t="e">
        <f t="shared" si="4839"/>
        <v>#N/A</v>
      </c>
      <c r="O2618" s="16" t="s">
        <v>72</v>
      </c>
      <c r="P2618" s="16" t="str">
        <f t="shared" si="6"/>
        <v/>
      </c>
      <c r="Q2618" s="41" t="e">
        <f t="shared" si="4840"/>
        <v>#N/A</v>
      </c>
      <c r="R2618" s="44"/>
      <c r="S2618" s="44"/>
      <c r="T2618" s="43"/>
      <c r="U2618" s="43" t="str">
        <f t="shared" si="8"/>
        <v>No</v>
      </c>
      <c r="V2618" s="25"/>
      <c r="W2618" s="25"/>
      <c r="X2618" s="25"/>
      <c r="Y2618" s="25"/>
      <c r="Z2618" s="25"/>
    </row>
    <row r="2619" spans="1:26" ht="15.75" customHeight="1" x14ac:dyDescent="0.25">
      <c r="A2619" s="25">
        <v>2617</v>
      </c>
      <c r="B2619" s="37" t="e">
        <f t="shared" ref="B2619:D2619" si="5271">VLOOKUP($A2619,[8]Movilidad!$A$1:$O$192,B$1,0)</f>
        <v>#N/A</v>
      </c>
      <c r="C2619" s="38" t="e">
        <f t="shared" si="5271"/>
        <v>#N/A</v>
      </c>
      <c r="D2619" s="39" t="e">
        <f t="shared" si="5271"/>
        <v>#N/A</v>
      </c>
      <c r="E2619" s="16" t="e">
        <f t="shared" si="1"/>
        <v>#N/A</v>
      </c>
      <c r="F2619" s="16" t="e">
        <f t="shared" ref="F2619:K2619" si="5272">VLOOKUP($A2619,[8]Movilidad!$A$1:$O$192,F$1,0)</f>
        <v>#N/A</v>
      </c>
      <c r="G2619" s="39" t="e">
        <f t="shared" si="5272"/>
        <v>#N/A</v>
      </c>
      <c r="H2619" s="16" t="e">
        <f t="shared" si="5272"/>
        <v>#N/A</v>
      </c>
      <c r="I2619" s="16" t="e">
        <f t="shared" si="5272"/>
        <v>#N/A</v>
      </c>
      <c r="J2619" s="40" t="e">
        <f t="shared" si="5272"/>
        <v>#N/A</v>
      </c>
      <c r="K2619" s="16" t="e">
        <f t="shared" si="5272"/>
        <v>#N/A</v>
      </c>
      <c r="L2619" s="40" t="e">
        <f t="shared" si="4837"/>
        <v>#N/A</v>
      </c>
      <c r="M2619" s="16" t="e">
        <f t="shared" si="4838"/>
        <v>#N/A</v>
      </c>
      <c r="N2619" s="16" t="e">
        <f t="shared" si="4839"/>
        <v>#N/A</v>
      </c>
      <c r="O2619" s="16" t="s">
        <v>72</v>
      </c>
      <c r="P2619" s="16" t="str">
        <f t="shared" si="6"/>
        <v/>
      </c>
      <c r="Q2619" s="41" t="e">
        <f t="shared" si="4840"/>
        <v>#N/A</v>
      </c>
      <c r="R2619" s="44"/>
      <c r="S2619" s="44"/>
      <c r="T2619" s="43"/>
      <c r="U2619" s="43" t="str">
        <f t="shared" si="8"/>
        <v>No</v>
      </c>
      <c r="V2619" s="25"/>
      <c r="W2619" s="25"/>
      <c r="X2619" s="25"/>
      <c r="Y2619" s="25"/>
      <c r="Z2619" s="25"/>
    </row>
    <row r="2620" spans="1:26" ht="15.75" customHeight="1" x14ac:dyDescent="0.25">
      <c r="A2620" s="25">
        <v>2618</v>
      </c>
      <c r="B2620" s="37" t="e">
        <f t="shared" ref="B2620:D2620" si="5273">VLOOKUP($A2620,[8]Movilidad!$A$1:$O$192,B$1,0)</f>
        <v>#N/A</v>
      </c>
      <c r="C2620" s="38" t="e">
        <f t="shared" si="5273"/>
        <v>#N/A</v>
      </c>
      <c r="D2620" s="39" t="e">
        <f t="shared" si="5273"/>
        <v>#N/A</v>
      </c>
      <c r="E2620" s="16" t="e">
        <f t="shared" si="1"/>
        <v>#N/A</v>
      </c>
      <c r="F2620" s="16" t="e">
        <f t="shared" ref="F2620:K2620" si="5274">VLOOKUP($A2620,[8]Movilidad!$A$1:$O$192,F$1,0)</f>
        <v>#N/A</v>
      </c>
      <c r="G2620" s="39" t="e">
        <f t="shared" si="5274"/>
        <v>#N/A</v>
      </c>
      <c r="H2620" s="16" t="e">
        <f t="shared" si="5274"/>
        <v>#N/A</v>
      </c>
      <c r="I2620" s="16" t="e">
        <f t="shared" si="5274"/>
        <v>#N/A</v>
      </c>
      <c r="J2620" s="40" t="e">
        <f t="shared" si="5274"/>
        <v>#N/A</v>
      </c>
      <c r="K2620" s="16" t="e">
        <f t="shared" si="5274"/>
        <v>#N/A</v>
      </c>
      <c r="L2620" s="40" t="e">
        <f t="shared" si="4837"/>
        <v>#N/A</v>
      </c>
      <c r="M2620" s="16" t="e">
        <f t="shared" si="4838"/>
        <v>#N/A</v>
      </c>
      <c r="N2620" s="16" t="e">
        <f t="shared" si="4839"/>
        <v>#N/A</v>
      </c>
      <c r="O2620" s="16" t="s">
        <v>72</v>
      </c>
      <c r="P2620" s="16" t="str">
        <f t="shared" si="6"/>
        <v/>
      </c>
      <c r="Q2620" s="41" t="e">
        <f t="shared" si="4840"/>
        <v>#N/A</v>
      </c>
      <c r="R2620" s="44"/>
      <c r="S2620" s="44"/>
      <c r="T2620" s="43"/>
      <c r="U2620" s="43" t="str">
        <f t="shared" si="8"/>
        <v>No</v>
      </c>
      <c r="V2620" s="25"/>
      <c r="W2620" s="25"/>
      <c r="X2620" s="25"/>
      <c r="Y2620" s="25"/>
      <c r="Z2620" s="25"/>
    </row>
    <row r="2621" spans="1:26" ht="15.75" customHeight="1" x14ac:dyDescent="0.25">
      <c r="A2621" s="25">
        <v>2619</v>
      </c>
      <c r="B2621" s="37" t="e">
        <f t="shared" ref="B2621:D2621" si="5275">VLOOKUP($A2621,[8]Movilidad!$A$1:$O$192,B$1,0)</f>
        <v>#N/A</v>
      </c>
      <c r="C2621" s="38" t="e">
        <f t="shared" si="5275"/>
        <v>#N/A</v>
      </c>
      <c r="D2621" s="39" t="e">
        <f t="shared" si="5275"/>
        <v>#N/A</v>
      </c>
      <c r="E2621" s="16" t="e">
        <f t="shared" si="1"/>
        <v>#N/A</v>
      </c>
      <c r="F2621" s="16" t="e">
        <f t="shared" ref="F2621:K2621" si="5276">VLOOKUP($A2621,[8]Movilidad!$A$1:$O$192,F$1,0)</f>
        <v>#N/A</v>
      </c>
      <c r="G2621" s="39" t="e">
        <f t="shared" si="5276"/>
        <v>#N/A</v>
      </c>
      <c r="H2621" s="16" t="e">
        <f t="shared" si="5276"/>
        <v>#N/A</v>
      </c>
      <c r="I2621" s="16" t="e">
        <f t="shared" si="5276"/>
        <v>#N/A</v>
      </c>
      <c r="J2621" s="40" t="e">
        <f t="shared" si="5276"/>
        <v>#N/A</v>
      </c>
      <c r="K2621" s="16" t="e">
        <f t="shared" si="5276"/>
        <v>#N/A</v>
      </c>
      <c r="L2621" s="40" t="e">
        <f t="shared" si="4837"/>
        <v>#N/A</v>
      </c>
      <c r="M2621" s="16" t="e">
        <f t="shared" si="4838"/>
        <v>#N/A</v>
      </c>
      <c r="N2621" s="16" t="e">
        <f t="shared" si="4839"/>
        <v>#N/A</v>
      </c>
      <c r="O2621" s="16" t="s">
        <v>72</v>
      </c>
      <c r="P2621" s="16" t="str">
        <f t="shared" si="6"/>
        <v/>
      </c>
      <c r="Q2621" s="41" t="e">
        <f t="shared" si="4840"/>
        <v>#N/A</v>
      </c>
      <c r="R2621" s="44"/>
      <c r="S2621" s="44"/>
      <c r="T2621" s="43"/>
      <c r="U2621" s="43" t="str">
        <f t="shared" si="8"/>
        <v>No</v>
      </c>
      <c r="V2621" s="25"/>
      <c r="W2621" s="25"/>
      <c r="X2621" s="25"/>
      <c r="Y2621" s="25"/>
      <c r="Z2621" s="25"/>
    </row>
    <row r="2622" spans="1:26" ht="15.75" customHeight="1" x14ac:dyDescent="0.25">
      <c r="A2622" s="25">
        <v>2620</v>
      </c>
      <c r="B2622" s="37" t="e">
        <f t="shared" ref="B2622:D2622" si="5277">VLOOKUP($A2622,[8]Movilidad!$A$1:$O$192,B$1,0)</f>
        <v>#N/A</v>
      </c>
      <c r="C2622" s="38" t="e">
        <f t="shared" si="5277"/>
        <v>#N/A</v>
      </c>
      <c r="D2622" s="39" t="e">
        <f t="shared" si="5277"/>
        <v>#N/A</v>
      </c>
      <c r="E2622" s="16" t="e">
        <f t="shared" si="1"/>
        <v>#N/A</v>
      </c>
      <c r="F2622" s="16" t="e">
        <f t="shared" ref="F2622:K2622" si="5278">VLOOKUP($A2622,[8]Movilidad!$A$1:$O$192,F$1,0)</f>
        <v>#N/A</v>
      </c>
      <c r="G2622" s="39" t="e">
        <f t="shared" si="5278"/>
        <v>#N/A</v>
      </c>
      <c r="H2622" s="16" t="e">
        <f t="shared" si="5278"/>
        <v>#N/A</v>
      </c>
      <c r="I2622" s="16" t="e">
        <f t="shared" si="5278"/>
        <v>#N/A</v>
      </c>
      <c r="J2622" s="40" t="e">
        <f t="shared" si="5278"/>
        <v>#N/A</v>
      </c>
      <c r="K2622" s="16" t="e">
        <f t="shared" si="5278"/>
        <v>#N/A</v>
      </c>
      <c r="L2622" s="40" t="e">
        <f t="shared" si="4837"/>
        <v>#N/A</v>
      </c>
      <c r="M2622" s="16" t="e">
        <f t="shared" si="4838"/>
        <v>#N/A</v>
      </c>
      <c r="N2622" s="16" t="e">
        <f t="shared" si="4839"/>
        <v>#N/A</v>
      </c>
      <c r="O2622" s="16" t="s">
        <v>72</v>
      </c>
      <c r="P2622" s="16" t="str">
        <f t="shared" si="6"/>
        <v/>
      </c>
      <c r="Q2622" s="41" t="e">
        <f t="shared" si="4840"/>
        <v>#N/A</v>
      </c>
      <c r="R2622" s="44"/>
      <c r="S2622" s="44"/>
      <c r="T2622" s="43"/>
      <c r="U2622" s="43" t="str">
        <f t="shared" si="8"/>
        <v>No</v>
      </c>
      <c r="V2622" s="25"/>
      <c r="W2622" s="25"/>
      <c r="X2622" s="25"/>
      <c r="Y2622" s="25"/>
      <c r="Z2622" s="25"/>
    </row>
    <row r="2623" spans="1:26" ht="15.75" customHeight="1" x14ac:dyDescent="0.25">
      <c r="A2623" s="25">
        <v>2621</v>
      </c>
      <c r="B2623" s="37" t="e">
        <f t="shared" ref="B2623:D2623" si="5279">VLOOKUP($A2623,[8]Movilidad!$A$1:$O$192,B$1,0)</f>
        <v>#N/A</v>
      </c>
      <c r="C2623" s="38" t="e">
        <f t="shared" si="5279"/>
        <v>#N/A</v>
      </c>
      <c r="D2623" s="39" t="e">
        <f t="shared" si="5279"/>
        <v>#N/A</v>
      </c>
      <c r="E2623" s="16" t="e">
        <f t="shared" si="1"/>
        <v>#N/A</v>
      </c>
      <c r="F2623" s="16" t="e">
        <f t="shared" ref="F2623:K2623" si="5280">VLOOKUP($A2623,[8]Movilidad!$A$1:$O$192,F$1,0)</f>
        <v>#N/A</v>
      </c>
      <c r="G2623" s="39" t="e">
        <f t="shared" si="5280"/>
        <v>#N/A</v>
      </c>
      <c r="H2623" s="16" t="e">
        <f t="shared" si="5280"/>
        <v>#N/A</v>
      </c>
      <c r="I2623" s="16" t="e">
        <f t="shared" si="5280"/>
        <v>#N/A</v>
      </c>
      <c r="J2623" s="40" t="e">
        <f t="shared" si="5280"/>
        <v>#N/A</v>
      </c>
      <c r="K2623" s="16" t="e">
        <f t="shared" si="5280"/>
        <v>#N/A</v>
      </c>
      <c r="L2623" s="40" t="e">
        <f t="shared" si="4837"/>
        <v>#N/A</v>
      </c>
      <c r="M2623" s="16" t="e">
        <f t="shared" si="4838"/>
        <v>#N/A</v>
      </c>
      <c r="N2623" s="16" t="e">
        <f t="shared" si="4839"/>
        <v>#N/A</v>
      </c>
      <c r="O2623" s="16" t="s">
        <v>72</v>
      </c>
      <c r="P2623" s="16" t="str">
        <f t="shared" si="6"/>
        <v/>
      </c>
      <c r="Q2623" s="41" t="e">
        <f t="shared" si="4840"/>
        <v>#N/A</v>
      </c>
      <c r="R2623" s="44"/>
      <c r="S2623" s="44"/>
      <c r="T2623" s="43"/>
      <c r="U2623" s="43" t="str">
        <f t="shared" si="8"/>
        <v>No</v>
      </c>
      <c r="V2623" s="25"/>
      <c r="W2623" s="25"/>
      <c r="X2623" s="25"/>
      <c r="Y2623" s="25"/>
      <c r="Z2623" s="25"/>
    </row>
    <row r="2624" spans="1:26" ht="15.75" customHeight="1" x14ac:dyDescent="0.25">
      <c r="A2624" s="25">
        <v>2622</v>
      </c>
      <c r="B2624" s="37" t="e">
        <f t="shared" ref="B2624:D2624" si="5281">VLOOKUP($A2624,[8]Movilidad!$A$1:$O$192,B$1,0)</f>
        <v>#N/A</v>
      </c>
      <c r="C2624" s="38" t="e">
        <f t="shared" si="5281"/>
        <v>#N/A</v>
      </c>
      <c r="D2624" s="39" t="e">
        <f t="shared" si="5281"/>
        <v>#N/A</v>
      </c>
      <c r="E2624" s="16" t="e">
        <f t="shared" si="1"/>
        <v>#N/A</v>
      </c>
      <c r="F2624" s="16" t="e">
        <f t="shared" ref="F2624:K2624" si="5282">VLOOKUP($A2624,[8]Movilidad!$A$1:$O$192,F$1,0)</f>
        <v>#N/A</v>
      </c>
      <c r="G2624" s="39" t="e">
        <f t="shared" si="5282"/>
        <v>#N/A</v>
      </c>
      <c r="H2624" s="16" t="e">
        <f t="shared" si="5282"/>
        <v>#N/A</v>
      </c>
      <c r="I2624" s="16" t="e">
        <f t="shared" si="5282"/>
        <v>#N/A</v>
      </c>
      <c r="J2624" s="40" t="e">
        <f t="shared" si="5282"/>
        <v>#N/A</v>
      </c>
      <c r="K2624" s="16" t="e">
        <f t="shared" si="5282"/>
        <v>#N/A</v>
      </c>
      <c r="L2624" s="40" t="e">
        <f t="shared" si="4837"/>
        <v>#N/A</v>
      </c>
      <c r="M2624" s="16" t="e">
        <f t="shared" si="4838"/>
        <v>#N/A</v>
      </c>
      <c r="N2624" s="16" t="e">
        <f t="shared" si="4839"/>
        <v>#N/A</v>
      </c>
      <c r="O2624" s="16" t="s">
        <v>72</v>
      </c>
      <c r="P2624" s="16" t="str">
        <f t="shared" si="6"/>
        <v/>
      </c>
      <c r="Q2624" s="41" t="e">
        <f t="shared" si="4840"/>
        <v>#N/A</v>
      </c>
      <c r="R2624" s="44"/>
      <c r="S2624" s="44"/>
      <c r="T2624" s="43"/>
      <c r="U2624" s="43" t="str">
        <f t="shared" si="8"/>
        <v>No</v>
      </c>
      <c r="V2624" s="25"/>
      <c r="W2624" s="25"/>
      <c r="X2624" s="25"/>
      <c r="Y2624" s="25"/>
      <c r="Z2624" s="25"/>
    </row>
    <row r="2625" spans="1:26" ht="15.75" customHeight="1" x14ac:dyDescent="0.25">
      <c r="A2625" s="25">
        <v>2623</v>
      </c>
      <c r="B2625" s="37" t="e">
        <f t="shared" ref="B2625:D2625" si="5283">VLOOKUP($A2625,[8]Movilidad!$A$1:$O$192,B$1,0)</f>
        <v>#N/A</v>
      </c>
      <c r="C2625" s="38" t="e">
        <f t="shared" si="5283"/>
        <v>#N/A</v>
      </c>
      <c r="D2625" s="39" t="e">
        <f t="shared" si="5283"/>
        <v>#N/A</v>
      </c>
      <c r="E2625" s="16" t="e">
        <f t="shared" si="1"/>
        <v>#N/A</v>
      </c>
      <c r="F2625" s="16" t="e">
        <f t="shared" ref="F2625:K2625" si="5284">VLOOKUP($A2625,[8]Movilidad!$A$1:$O$192,F$1,0)</f>
        <v>#N/A</v>
      </c>
      <c r="G2625" s="39" t="e">
        <f t="shared" si="5284"/>
        <v>#N/A</v>
      </c>
      <c r="H2625" s="16" t="e">
        <f t="shared" si="5284"/>
        <v>#N/A</v>
      </c>
      <c r="I2625" s="16" t="e">
        <f t="shared" si="5284"/>
        <v>#N/A</v>
      </c>
      <c r="J2625" s="40" t="e">
        <f t="shared" si="5284"/>
        <v>#N/A</v>
      </c>
      <c r="K2625" s="16" t="e">
        <f t="shared" si="5284"/>
        <v>#N/A</v>
      </c>
      <c r="L2625" s="40" t="e">
        <f t="shared" si="4837"/>
        <v>#N/A</v>
      </c>
      <c r="M2625" s="16" t="e">
        <f t="shared" si="4838"/>
        <v>#N/A</v>
      </c>
      <c r="N2625" s="16" t="e">
        <f t="shared" si="4839"/>
        <v>#N/A</v>
      </c>
      <c r="O2625" s="16" t="s">
        <v>72</v>
      </c>
      <c r="P2625" s="16" t="str">
        <f t="shared" si="6"/>
        <v/>
      </c>
      <c r="Q2625" s="41" t="e">
        <f t="shared" si="4840"/>
        <v>#N/A</v>
      </c>
      <c r="R2625" s="44"/>
      <c r="S2625" s="44"/>
      <c r="T2625" s="43"/>
      <c r="U2625" s="43" t="str">
        <f t="shared" si="8"/>
        <v>No</v>
      </c>
      <c r="V2625" s="25"/>
      <c r="W2625" s="25"/>
      <c r="X2625" s="25"/>
      <c r="Y2625" s="25"/>
      <c r="Z2625" s="25"/>
    </row>
    <row r="2626" spans="1:26" ht="15.75" customHeight="1" x14ac:dyDescent="0.25">
      <c r="A2626" s="25">
        <v>2624</v>
      </c>
      <c r="B2626" s="37" t="e">
        <f t="shared" ref="B2626:D2626" si="5285">VLOOKUP($A2626,[8]Movilidad!$A$1:$O$192,B$1,0)</f>
        <v>#N/A</v>
      </c>
      <c r="C2626" s="38" t="e">
        <f t="shared" si="5285"/>
        <v>#N/A</v>
      </c>
      <c r="D2626" s="39" t="e">
        <f t="shared" si="5285"/>
        <v>#N/A</v>
      </c>
      <c r="E2626" s="16" t="e">
        <f t="shared" si="1"/>
        <v>#N/A</v>
      </c>
      <c r="F2626" s="16" t="e">
        <f t="shared" ref="F2626:K2626" si="5286">VLOOKUP($A2626,[8]Movilidad!$A$1:$O$192,F$1,0)</f>
        <v>#N/A</v>
      </c>
      <c r="G2626" s="39" t="e">
        <f t="shared" si="5286"/>
        <v>#N/A</v>
      </c>
      <c r="H2626" s="16" t="e">
        <f t="shared" si="5286"/>
        <v>#N/A</v>
      </c>
      <c r="I2626" s="16" t="e">
        <f t="shared" si="5286"/>
        <v>#N/A</v>
      </c>
      <c r="J2626" s="40" t="e">
        <f t="shared" si="5286"/>
        <v>#N/A</v>
      </c>
      <c r="K2626" s="16" t="e">
        <f t="shared" si="5286"/>
        <v>#N/A</v>
      </c>
      <c r="L2626" s="40" t="e">
        <f t="shared" si="4837"/>
        <v>#N/A</v>
      </c>
      <c r="M2626" s="16" t="e">
        <f t="shared" si="4838"/>
        <v>#N/A</v>
      </c>
      <c r="N2626" s="16" t="e">
        <f t="shared" si="4839"/>
        <v>#N/A</v>
      </c>
      <c r="O2626" s="16" t="s">
        <v>72</v>
      </c>
      <c r="P2626" s="16" t="str">
        <f t="shared" si="6"/>
        <v/>
      </c>
      <c r="Q2626" s="41" t="e">
        <f t="shared" si="4840"/>
        <v>#N/A</v>
      </c>
      <c r="R2626" s="44"/>
      <c r="S2626" s="44"/>
      <c r="T2626" s="43"/>
      <c r="U2626" s="43" t="str">
        <f t="shared" si="8"/>
        <v>No</v>
      </c>
      <c r="V2626" s="25"/>
      <c r="W2626" s="25"/>
      <c r="X2626" s="25"/>
      <c r="Y2626" s="25"/>
      <c r="Z2626" s="25"/>
    </row>
    <row r="2627" spans="1:26" ht="15.75" customHeight="1" x14ac:dyDescent="0.25">
      <c r="A2627" s="25">
        <v>2625</v>
      </c>
      <c r="B2627" s="37" t="e">
        <f t="shared" ref="B2627:D2627" si="5287">VLOOKUP($A2627,[8]Movilidad!$A$1:$O$192,B$1,0)</f>
        <v>#N/A</v>
      </c>
      <c r="C2627" s="38" t="e">
        <f t="shared" si="5287"/>
        <v>#N/A</v>
      </c>
      <c r="D2627" s="39" t="e">
        <f t="shared" si="5287"/>
        <v>#N/A</v>
      </c>
      <c r="E2627" s="16" t="e">
        <f t="shared" si="1"/>
        <v>#N/A</v>
      </c>
      <c r="F2627" s="16" t="e">
        <f t="shared" ref="F2627:K2627" si="5288">VLOOKUP($A2627,[8]Movilidad!$A$1:$O$192,F$1,0)</f>
        <v>#N/A</v>
      </c>
      <c r="G2627" s="39" t="e">
        <f t="shared" si="5288"/>
        <v>#N/A</v>
      </c>
      <c r="H2627" s="16" t="e">
        <f t="shared" si="5288"/>
        <v>#N/A</v>
      </c>
      <c r="I2627" s="16" t="e">
        <f t="shared" si="5288"/>
        <v>#N/A</v>
      </c>
      <c r="J2627" s="40" t="e">
        <f t="shared" si="5288"/>
        <v>#N/A</v>
      </c>
      <c r="K2627" s="16" t="e">
        <f t="shared" si="5288"/>
        <v>#N/A</v>
      </c>
      <c r="L2627" s="40" t="e">
        <f t="shared" si="4837"/>
        <v>#N/A</v>
      </c>
      <c r="M2627" s="16" t="e">
        <f t="shared" si="4838"/>
        <v>#N/A</v>
      </c>
      <c r="N2627" s="16" t="e">
        <f t="shared" si="4839"/>
        <v>#N/A</v>
      </c>
      <c r="O2627" s="16" t="s">
        <v>72</v>
      </c>
      <c r="P2627" s="16" t="str">
        <f t="shared" si="6"/>
        <v/>
      </c>
      <c r="Q2627" s="41" t="e">
        <f t="shared" si="4840"/>
        <v>#N/A</v>
      </c>
      <c r="R2627" s="44"/>
      <c r="S2627" s="44"/>
      <c r="T2627" s="43"/>
      <c r="U2627" s="43" t="str">
        <f t="shared" si="8"/>
        <v>No</v>
      </c>
      <c r="V2627" s="25"/>
      <c r="W2627" s="25"/>
      <c r="X2627" s="25"/>
      <c r="Y2627" s="25"/>
      <c r="Z2627" s="25"/>
    </row>
    <row r="2628" spans="1:26" ht="15.75" customHeight="1" x14ac:dyDescent="0.25">
      <c r="A2628" s="25">
        <v>2626</v>
      </c>
      <c r="B2628" s="37" t="e">
        <f t="shared" ref="B2628:D2628" si="5289">VLOOKUP($A2628,[8]Movilidad!$A$1:$O$192,B$1,0)</f>
        <v>#N/A</v>
      </c>
      <c r="C2628" s="38" t="e">
        <f t="shared" si="5289"/>
        <v>#N/A</v>
      </c>
      <c r="D2628" s="39" t="e">
        <f t="shared" si="5289"/>
        <v>#N/A</v>
      </c>
      <c r="E2628" s="16" t="e">
        <f t="shared" si="1"/>
        <v>#N/A</v>
      </c>
      <c r="F2628" s="16" t="e">
        <f t="shared" ref="F2628:K2628" si="5290">VLOOKUP($A2628,[8]Movilidad!$A$1:$O$192,F$1,0)</f>
        <v>#N/A</v>
      </c>
      <c r="G2628" s="39" t="e">
        <f t="shared" si="5290"/>
        <v>#N/A</v>
      </c>
      <c r="H2628" s="16" t="e">
        <f t="shared" si="5290"/>
        <v>#N/A</v>
      </c>
      <c r="I2628" s="16" t="e">
        <f t="shared" si="5290"/>
        <v>#N/A</v>
      </c>
      <c r="J2628" s="40" t="e">
        <f t="shared" si="5290"/>
        <v>#N/A</v>
      </c>
      <c r="K2628" s="16" t="e">
        <f t="shared" si="5290"/>
        <v>#N/A</v>
      </c>
      <c r="L2628" s="40" t="e">
        <f t="shared" si="4837"/>
        <v>#N/A</v>
      </c>
      <c r="M2628" s="16" t="e">
        <f t="shared" si="4838"/>
        <v>#N/A</v>
      </c>
      <c r="N2628" s="16" t="e">
        <f t="shared" si="4839"/>
        <v>#N/A</v>
      </c>
      <c r="O2628" s="16" t="s">
        <v>72</v>
      </c>
      <c r="P2628" s="16" t="str">
        <f t="shared" si="6"/>
        <v/>
      </c>
      <c r="Q2628" s="41" t="e">
        <f t="shared" si="4840"/>
        <v>#N/A</v>
      </c>
      <c r="R2628" s="44"/>
      <c r="S2628" s="44"/>
      <c r="T2628" s="43"/>
      <c r="U2628" s="43" t="str">
        <f t="shared" si="8"/>
        <v>No</v>
      </c>
      <c r="V2628" s="25"/>
      <c r="W2628" s="25"/>
      <c r="X2628" s="25"/>
      <c r="Y2628" s="25"/>
      <c r="Z2628" s="25"/>
    </row>
    <row r="2629" spans="1:26" ht="15.75" customHeight="1" x14ac:dyDescent="0.25">
      <c r="A2629" s="25">
        <v>2627</v>
      </c>
      <c r="B2629" s="37" t="e">
        <f t="shared" ref="B2629:D2629" si="5291">VLOOKUP($A2629,[8]Movilidad!$A$1:$O$192,B$1,0)</f>
        <v>#N/A</v>
      </c>
      <c r="C2629" s="38" t="e">
        <f t="shared" si="5291"/>
        <v>#N/A</v>
      </c>
      <c r="D2629" s="39" t="e">
        <f t="shared" si="5291"/>
        <v>#N/A</v>
      </c>
      <c r="E2629" s="16" t="e">
        <f t="shared" si="1"/>
        <v>#N/A</v>
      </c>
      <c r="F2629" s="16" t="e">
        <f t="shared" ref="F2629:K2629" si="5292">VLOOKUP($A2629,[8]Movilidad!$A$1:$O$192,F$1,0)</f>
        <v>#N/A</v>
      </c>
      <c r="G2629" s="39" t="e">
        <f t="shared" si="5292"/>
        <v>#N/A</v>
      </c>
      <c r="H2629" s="16" t="e">
        <f t="shared" si="5292"/>
        <v>#N/A</v>
      </c>
      <c r="I2629" s="16" t="e">
        <f t="shared" si="5292"/>
        <v>#N/A</v>
      </c>
      <c r="J2629" s="40" t="e">
        <f t="shared" si="5292"/>
        <v>#N/A</v>
      </c>
      <c r="K2629" s="16" t="e">
        <f t="shared" si="5292"/>
        <v>#N/A</v>
      </c>
      <c r="L2629" s="40" t="e">
        <f t="shared" si="4837"/>
        <v>#N/A</v>
      </c>
      <c r="M2629" s="16" t="e">
        <f t="shared" si="4838"/>
        <v>#N/A</v>
      </c>
      <c r="N2629" s="16" t="e">
        <f t="shared" si="4839"/>
        <v>#N/A</v>
      </c>
      <c r="O2629" s="16" t="s">
        <v>72</v>
      </c>
      <c r="P2629" s="16" t="str">
        <f t="shared" si="6"/>
        <v/>
      </c>
      <c r="Q2629" s="41" t="e">
        <f t="shared" si="4840"/>
        <v>#N/A</v>
      </c>
      <c r="R2629" s="44"/>
      <c r="S2629" s="44"/>
      <c r="T2629" s="43"/>
      <c r="U2629" s="43" t="str">
        <f t="shared" si="8"/>
        <v>No</v>
      </c>
      <c r="V2629" s="25"/>
      <c r="W2629" s="25"/>
      <c r="X2629" s="25"/>
      <c r="Y2629" s="25"/>
      <c r="Z2629" s="25"/>
    </row>
    <row r="2630" spans="1:26" ht="15.75" customHeight="1" x14ac:dyDescent="0.25">
      <c r="A2630" s="25">
        <v>2628</v>
      </c>
      <c r="B2630" s="37" t="e">
        <f t="shared" ref="B2630:D2630" si="5293">VLOOKUP($A2630,[8]Movilidad!$A$1:$O$192,B$1,0)</f>
        <v>#N/A</v>
      </c>
      <c r="C2630" s="38" t="e">
        <f t="shared" si="5293"/>
        <v>#N/A</v>
      </c>
      <c r="D2630" s="39" t="e">
        <f t="shared" si="5293"/>
        <v>#N/A</v>
      </c>
      <c r="E2630" s="16" t="e">
        <f t="shared" si="1"/>
        <v>#N/A</v>
      </c>
      <c r="F2630" s="16" t="e">
        <f t="shared" ref="F2630:K2630" si="5294">VLOOKUP($A2630,[8]Movilidad!$A$1:$O$192,F$1,0)</f>
        <v>#N/A</v>
      </c>
      <c r="G2630" s="39" t="e">
        <f t="shared" si="5294"/>
        <v>#N/A</v>
      </c>
      <c r="H2630" s="16" t="e">
        <f t="shared" si="5294"/>
        <v>#N/A</v>
      </c>
      <c r="I2630" s="16" t="e">
        <f t="shared" si="5294"/>
        <v>#N/A</v>
      </c>
      <c r="J2630" s="40" t="e">
        <f t="shared" si="5294"/>
        <v>#N/A</v>
      </c>
      <c r="K2630" s="16" t="e">
        <f t="shared" si="5294"/>
        <v>#N/A</v>
      </c>
      <c r="L2630" s="40" t="e">
        <f t="shared" si="4837"/>
        <v>#N/A</v>
      </c>
      <c r="M2630" s="16" t="e">
        <f t="shared" si="4838"/>
        <v>#N/A</v>
      </c>
      <c r="N2630" s="16" t="e">
        <f t="shared" si="4839"/>
        <v>#N/A</v>
      </c>
      <c r="O2630" s="16" t="s">
        <v>72</v>
      </c>
      <c r="P2630" s="16" t="str">
        <f t="shared" si="6"/>
        <v/>
      </c>
      <c r="Q2630" s="41" t="e">
        <f t="shared" si="4840"/>
        <v>#N/A</v>
      </c>
      <c r="R2630" s="44"/>
      <c r="S2630" s="44"/>
      <c r="T2630" s="43"/>
      <c r="U2630" s="43" t="str">
        <f t="shared" si="8"/>
        <v>No</v>
      </c>
      <c r="V2630" s="25"/>
      <c r="W2630" s="25"/>
      <c r="X2630" s="25"/>
      <c r="Y2630" s="25"/>
      <c r="Z2630" s="25"/>
    </row>
    <row r="2631" spans="1:26" ht="15.75" customHeight="1" x14ac:dyDescent="0.25">
      <c r="A2631" s="25">
        <v>2629</v>
      </c>
      <c r="B2631" s="37" t="e">
        <f t="shared" ref="B2631:D2631" si="5295">VLOOKUP($A2631,[8]Movilidad!$A$1:$O$192,B$1,0)</f>
        <v>#N/A</v>
      </c>
      <c r="C2631" s="38" t="e">
        <f t="shared" si="5295"/>
        <v>#N/A</v>
      </c>
      <c r="D2631" s="39" t="e">
        <f t="shared" si="5295"/>
        <v>#N/A</v>
      </c>
      <c r="E2631" s="16" t="e">
        <f t="shared" si="1"/>
        <v>#N/A</v>
      </c>
      <c r="F2631" s="16" t="e">
        <f t="shared" ref="F2631:K2631" si="5296">VLOOKUP($A2631,[8]Movilidad!$A$1:$O$192,F$1,0)</f>
        <v>#N/A</v>
      </c>
      <c r="G2631" s="39" t="e">
        <f t="shared" si="5296"/>
        <v>#N/A</v>
      </c>
      <c r="H2631" s="16" t="e">
        <f t="shared" si="5296"/>
        <v>#N/A</v>
      </c>
      <c r="I2631" s="16" t="e">
        <f t="shared" si="5296"/>
        <v>#N/A</v>
      </c>
      <c r="J2631" s="40" t="e">
        <f t="shared" si="5296"/>
        <v>#N/A</v>
      </c>
      <c r="K2631" s="16" t="e">
        <f t="shared" si="5296"/>
        <v>#N/A</v>
      </c>
      <c r="L2631" s="40" t="e">
        <f t="shared" si="4837"/>
        <v>#N/A</v>
      </c>
      <c r="M2631" s="16" t="e">
        <f t="shared" si="4838"/>
        <v>#N/A</v>
      </c>
      <c r="N2631" s="16" t="e">
        <f t="shared" si="4839"/>
        <v>#N/A</v>
      </c>
      <c r="O2631" s="16" t="s">
        <v>72</v>
      </c>
      <c r="P2631" s="16" t="str">
        <f t="shared" si="6"/>
        <v/>
      </c>
      <c r="Q2631" s="41" t="e">
        <f t="shared" si="4840"/>
        <v>#N/A</v>
      </c>
      <c r="R2631" s="44"/>
      <c r="S2631" s="44"/>
      <c r="T2631" s="43"/>
      <c r="U2631" s="43" t="str">
        <f t="shared" si="8"/>
        <v>No</v>
      </c>
      <c r="V2631" s="25"/>
      <c r="W2631" s="25"/>
      <c r="X2631" s="25"/>
      <c r="Y2631" s="25"/>
      <c r="Z2631" s="25"/>
    </row>
    <row r="2632" spans="1:26" ht="15.75" customHeight="1" x14ac:dyDescent="0.25">
      <c r="A2632" s="25">
        <v>2630</v>
      </c>
      <c r="B2632" s="37" t="e">
        <f t="shared" ref="B2632:D2632" si="5297">VLOOKUP($A2632,[8]Movilidad!$A$1:$O$192,B$1,0)</f>
        <v>#N/A</v>
      </c>
      <c r="C2632" s="38" t="e">
        <f t="shared" si="5297"/>
        <v>#N/A</v>
      </c>
      <c r="D2632" s="39" t="e">
        <f t="shared" si="5297"/>
        <v>#N/A</v>
      </c>
      <c r="E2632" s="16" t="e">
        <f t="shared" si="1"/>
        <v>#N/A</v>
      </c>
      <c r="F2632" s="16" t="e">
        <f t="shared" ref="F2632:K2632" si="5298">VLOOKUP($A2632,[8]Movilidad!$A$1:$O$192,F$1,0)</f>
        <v>#N/A</v>
      </c>
      <c r="G2632" s="39" t="e">
        <f t="shared" si="5298"/>
        <v>#N/A</v>
      </c>
      <c r="H2632" s="16" t="e">
        <f t="shared" si="5298"/>
        <v>#N/A</v>
      </c>
      <c r="I2632" s="16" t="e">
        <f t="shared" si="5298"/>
        <v>#N/A</v>
      </c>
      <c r="J2632" s="40" t="e">
        <f t="shared" si="5298"/>
        <v>#N/A</v>
      </c>
      <c r="K2632" s="16" t="e">
        <f t="shared" si="5298"/>
        <v>#N/A</v>
      </c>
      <c r="L2632" s="40" t="e">
        <f t="shared" si="4837"/>
        <v>#N/A</v>
      </c>
      <c r="M2632" s="16" t="e">
        <f t="shared" si="4838"/>
        <v>#N/A</v>
      </c>
      <c r="N2632" s="16" t="e">
        <f t="shared" si="4839"/>
        <v>#N/A</v>
      </c>
      <c r="O2632" s="16" t="s">
        <v>72</v>
      </c>
      <c r="P2632" s="16" t="str">
        <f t="shared" si="6"/>
        <v/>
      </c>
      <c r="Q2632" s="41" t="e">
        <f t="shared" si="4840"/>
        <v>#N/A</v>
      </c>
      <c r="R2632" s="44"/>
      <c r="S2632" s="44"/>
      <c r="T2632" s="43"/>
      <c r="U2632" s="43" t="str">
        <f t="shared" si="8"/>
        <v>No</v>
      </c>
      <c r="V2632" s="25"/>
      <c r="W2632" s="25"/>
      <c r="X2632" s="25"/>
      <c r="Y2632" s="25"/>
      <c r="Z2632" s="25"/>
    </row>
    <row r="2633" spans="1:26" ht="15.75" customHeight="1" x14ac:dyDescent="0.25">
      <c r="A2633" s="25">
        <v>2631</v>
      </c>
      <c r="B2633" s="37" t="e">
        <f t="shared" ref="B2633:D2633" si="5299">VLOOKUP($A2633,[8]Movilidad!$A$1:$O$192,B$1,0)</f>
        <v>#N/A</v>
      </c>
      <c r="C2633" s="38" t="e">
        <f t="shared" si="5299"/>
        <v>#N/A</v>
      </c>
      <c r="D2633" s="39" t="e">
        <f t="shared" si="5299"/>
        <v>#N/A</v>
      </c>
      <c r="E2633" s="16" t="e">
        <f t="shared" si="1"/>
        <v>#N/A</v>
      </c>
      <c r="F2633" s="16" t="e">
        <f t="shared" ref="F2633:K2633" si="5300">VLOOKUP($A2633,[8]Movilidad!$A$1:$O$192,F$1,0)</f>
        <v>#N/A</v>
      </c>
      <c r="G2633" s="39" t="e">
        <f t="shared" si="5300"/>
        <v>#N/A</v>
      </c>
      <c r="H2633" s="16" t="e">
        <f t="shared" si="5300"/>
        <v>#N/A</v>
      </c>
      <c r="I2633" s="16" t="e">
        <f t="shared" si="5300"/>
        <v>#N/A</v>
      </c>
      <c r="J2633" s="40" t="e">
        <f t="shared" si="5300"/>
        <v>#N/A</v>
      </c>
      <c r="K2633" s="16" t="e">
        <f t="shared" si="5300"/>
        <v>#N/A</v>
      </c>
      <c r="L2633" s="40" t="e">
        <f t="shared" si="4837"/>
        <v>#N/A</v>
      </c>
      <c r="M2633" s="16" t="e">
        <f t="shared" si="4838"/>
        <v>#N/A</v>
      </c>
      <c r="N2633" s="16" t="e">
        <f t="shared" si="4839"/>
        <v>#N/A</v>
      </c>
      <c r="O2633" s="16" t="s">
        <v>72</v>
      </c>
      <c r="P2633" s="16" t="str">
        <f t="shared" si="6"/>
        <v/>
      </c>
      <c r="Q2633" s="41" t="e">
        <f t="shared" si="4840"/>
        <v>#N/A</v>
      </c>
      <c r="R2633" s="44"/>
      <c r="S2633" s="44"/>
      <c r="T2633" s="43"/>
      <c r="U2633" s="43" t="str">
        <f t="shared" si="8"/>
        <v>No</v>
      </c>
      <c r="V2633" s="25"/>
      <c r="W2633" s="25"/>
      <c r="X2633" s="25"/>
      <c r="Y2633" s="25"/>
      <c r="Z2633" s="25"/>
    </row>
    <row r="2634" spans="1:26" ht="15.75" customHeight="1" x14ac:dyDescent="0.25">
      <c r="A2634" s="25">
        <v>2632</v>
      </c>
      <c r="B2634" s="37" t="e">
        <f t="shared" ref="B2634:D2634" si="5301">VLOOKUP($A2634,[8]Movilidad!$A$1:$O$192,B$1,0)</f>
        <v>#N/A</v>
      </c>
      <c r="C2634" s="38" t="e">
        <f t="shared" si="5301"/>
        <v>#N/A</v>
      </c>
      <c r="D2634" s="39" t="e">
        <f t="shared" si="5301"/>
        <v>#N/A</v>
      </c>
      <c r="E2634" s="16" t="e">
        <f t="shared" si="1"/>
        <v>#N/A</v>
      </c>
      <c r="F2634" s="16" t="e">
        <f t="shared" ref="F2634:K2634" si="5302">VLOOKUP($A2634,[8]Movilidad!$A$1:$O$192,F$1,0)</f>
        <v>#N/A</v>
      </c>
      <c r="G2634" s="39" t="e">
        <f t="shared" si="5302"/>
        <v>#N/A</v>
      </c>
      <c r="H2634" s="16" t="e">
        <f t="shared" si="5302"/>
        <v>#N/A</v>
      </c>
      <c r="I2634" s="16" t="e">
        <f t="shared" si="5302"/>
        <v>#N/A</v>
      </c>
      <c r="J2634" s="40" t="e">
        <f t="shared" si="5302"/>
        <v>#N/A</v>
      </c>
      <c r="K2634" s="16" t="e">
        <f t="shared" si="5302"/>
        <v>#N/A</v>
      </c>
      <c r="L2634" s="40" t="e">
        <f t="shared" si="4837"/>
        <v>#N/A</v>
      </c>
      <c r="M2634" s="16" t="e">
        <f t="shared" si="4838"/>
        <v>#N/A</v>
      </c>
      <c r="N2634" s="39" t="e">
        <f t="shared" si="4839"/>
        <v>#N/A</v>
      </c>
      <c r="O2634" s="39" t="s">
        <v>72</v>
      </c>
      <c r="P2634" s="16" t="str">
        <f t="shared" si="6"/>
        <v/>
      </c>
      <c r="Q2634" s="41" t="e">
        <f t="shared" si="4840"/>
        <v>#N/A</v>
      </c>
      <c r="R2634" s="44"/>
      <c r="S2634" s="44"/>
      <c r="T2634" s="43"/>
      <c r="U2634" s="43" t="str">
        <f t="shared" si="8"/>
        <v>No</v>
      </c>
      <c r="V2634" s="25"/>
      <c r="W2634" s="25"/>
      <c r="X2634" s="25"/>
      <c r="Y2634" s="25"/>
      <c r="Z2634" s="25"/>
    </row>
    <row r="2635" spans="1:26" ht="15.75" customHeight="1" x14ac:dyDescent="0.25">
      <c r="A2635" s="25">
        <v>2633</v>
      </c>
      <c r="B2635" s="37" t="e">
        <f t="shared" ref="B2635:D2635" si="5303">VLOOKUP($A2635,[8]Movilidad!$A$1:$O$192,B$1,0)</f>
        <v>#N/A</v>
      </c>
      <c r="C2635" s="38" t="e">
        <f t="shared" si="5303"/>
        <v>#N/A</v>
      </c>
      <c r="D2635" s="39" t="e">
        <f t="shared" si="5303"/>
        <v>#N/A</v>
      </c>
      <c r="E2635" s="16" t="e">
        <f t="shared" si="1"/>
        <v>#N/A</v>
      </c>
      <c r="F2635" s="16" t="e">
        <f t="shared" ref="F2635:K2635" si="5304">VLOOKUP($A2635,[8]Movilidad!$A$1:$O$192,F$1,0)</f>
        <v>#N/A</v>
      </c>
      <c r="G2635" s="39" t="e">
        <f t="shared" si="5304"/>
        <v>#N/A</v>
      </c>
      <c r="H2635" s="16" t="e">
        <f t="shared" si="5304"/>
        <v>#N/A</v>
      </c>
      <c r="I2635" s="16" t="e">
        <f t="shared" si="5304"/>
        <v>#N/A</v>
      </c>
      <c r="J2635" s="40" t="e">
        <f t="shared" si="5304"/>
        <v>#N/A</v>
      </c>
      <c r="K2635" s="16" t="e">
        <f t="shared" si="5304"/>
        <v>#N/A</v>
      </c>
      <c r="L2635" s="40" t="e">
        <f t="shared" si="4837"/>
        <v>#N/A</v>
      </c>
      <c r="M2635" s="16" t="e">
        <f t="shared" si="4838"/>
        <v>#N/A</v>
      </c>
      <c r="N2635" s="16" t="e">
        <f t="shared" si="4839"/>
        <v>#N/A</v>
      </c>
      <c r="O2635" s="16" t="s">
        <v>72</v>
      </c>
      <c r="P2635" s="16" t="str">
        <f t="shared" si="6"/>
        <v/>
      </c>
      <c r="Q2635" s="41" t="e">
        <f t="shared" si="4840"/>
        <v>#N/A</v>
      </c>
      <c r="R2635" s="44"/>
      <c r="S2635" s="44"/>
      <c r="T2635" s="43"/>
      <c r="U2635" s="43" t="str">
        <f t="shared" si="8"/>
        <v>No</v>
      </c>
      <c r="V2635" s="25"/>
      <c r="W2635" s="25"/>
      <c r="X2635" s="25"/>
      <c r="Y2635" s="25"/>
      <c r="Z2635" s="25"/>
    </row>
    <row r="2636" spans="1:26" ht="15.75" customHeight="1" x14ac:dyDescent="0.25">
      <c r="A2636" s="25">
        <v>2634</v>
      </c>
      <c r="B2636" s="37" t="e">
        <f t="shared" ref="B2636:D2636" si="5305">VLOOKUP($A2636,[8]Movilidad!$A$1:$O$192,B$1,0)</f>
        <v>#N/A</v>
      </c>
      <c r="C2636" s="38" t="e">
        <f t="shared" si="5305"/>
        <v>#N/A</v>
      </c>
      <c r="D2636" s="39" t="e">
        <f t="shared" si="5305"/>
        <v>#N/A</v>
      </c>
      <c r="E2636" s="16" t="e">
        <f t="shared" si="1"/>
        <v>#N/A</v>
      </c>
      <c r="F2636" s="16" t="e">
        <f t="shared" ref="F2636:K2636" si="5306">VLOOKUP($A2636,[8]Movilidad!$A$1:$O$192,F$1,0)</f>
        <v>#N/A</v>
      </c>
      <c r="G2636" s="39" t="e">
        <f t="shared" si="5306"/>
        <v>#N/A</v>
      </c>
      <c r="H2636" s="16" t="e">
        <f t="shared" si="5306"/>
        <v>#N/A</v>
      </c>
      <c r="I2636" s="16" t="e">
        <f t="shared" si="5306"/>
        <v>#N/A</v>
      </c>
      <c r="J2636" s="40" t="e">
        <f t="shared" si="5306"/>
        <v>#N/A</v>
      </c>
      <c r="K2636" s="16" t="e">
        <f t="shared" si="5306"/>
        <v>#N/A</v>
      </c>
      <c r="L2636" s="40" t="e">
        <f t="shared" si="4837"/>
        <v>#N/A</v>
      </c>
      <c r="M2636" s="16" t="e">
        <f t="shared" si="4838"/>
        <v>#N/A</v>
      </c>
      <c r="N2636" s="16" t="e">
        <f t="shared" si="4839"/>
        <v>#N/A</v>
      </c>
      <c r="O2636" s="16" t="s">
        <v>72</v>
      </c>
      <c r="P2636" s="16" t="str">
        <f t="shared" si="6"/>
        <v/>
      </c>
      <c r="Q2636" s="41" t="e">
        <f t="shared" si="4840"/>
        <v>#N/A</v>
      </c>
      <c r="R2636" s="44"/>
      <c r="S2636" s="44"/>
      <c r="T2636" s="43"/>
      <c r="U2636" s="43" t="str">
        <f t="shared" si="8"/>
        <v>No</v>
      </c>
      <c r="V2636" s="25"/>
      <c r="W2636" s="25"/>
      <c r="X2636" s="25"/>
      <c r="Y2636" s="25"/>
      <c r="Z2636" s="25"/>
    </row>
    <row r="2637" spans="1:26" ht="15.75" customHeight="1" x14ac:dyDescent="0.25">
      <c r="A2637" s="25">
        <v>2635</v>
      </c>
      <c r="B2637" s="37" t="e">
        <f t="shared" ref="B2637:D2637" si="5307">VLOOKUP($A2637,[8]Movilidad!$A$1:$O$192,B$1,0)</f>
        <v>#N/A</v>
      </c>
      <c r="C2637" s="38" t="e">
        <f t="shared" si="5307"/>
        <v>#N/A</v>
      </c>
      <c r="D2637" s="39" t="e">
        <f t="shared" si="5307"/>
        <v>#N/A</v>
      </c>
      <c r="E2637" s="16" t="e">
        <f t="shared" si="1"/>
        <v>#N/A</v>
      </c>
      <c r="F2637" s="16" t="e">
        <f t="shared" ref="F2637:K2637" si="5308">VLOOKUP($A2637,[8]Movilidad!$A$1:$O$192,F$1,0)</f>
        <v>#N/A</v>
      </c>
      <c r="G2637" s="39" t="e">
        <f t="shared" si="5308"/>
        <v>#N/A</v>
      </c>
      <c r="H2637" s="16" t="e">
        <f t="shared" si="5308"/>
        <v>#N/A</v>
      </c>
      <c r="I2637" s="16" t="e">
        <f t="shared" si="5308"/>
        <v>#N/A</v>
      </c>
      <c r="J2637" s="40" t="e">
        <f t="shared" si="5308"/>
        <v>#N/A</v>
      </c>
      <c r="K2637" s="16" t="e">
        <f t="shared" si="5308"/>
        <v>#N/A</v>
      </c>
      <c r="L2637" s="40" t="e">
        <f t="shared" si="4837"/>
        <v>#N/A</v>
      </c>
      <c r="M2637" s="16" t="e">
        <f t="shared" si="4838"/>
        <v>#N/A</v>
      </c>
      <c r="N2637" s="16" t="e">
        <f t="shared" si="4839"/>
        <v>#N/A</v>
      </c>
      <c r="O2637" s="16" t="s">
        <v>72</v>
      </c>
      <c r="P2637" s="16" t="str">
        <f t="shared" si="6"/>
        <v/>
      </c>
      <c r="Q2637" s="41" t="e">
        <f t="shared" si="4840"/>
        <v>#N/A</v>
      </c>
      <c r="R2637" s="44"/>
      <c r="S2637" s="44"/>
      <c r="T2637" s="43"/>
      <c r="U2637" s="43" t="str">
        <f t="shared" si="8"/>
        <v>No</v>
      </c>
      <c r="V2637" s="25"/>
      <c r="W2637" s="25"/>
      <c r="X2637" s="25"/>
      <c r="Y2637" s="25"/>
      <c r="Z2637" s="25"/>
    </row>
    <row r="2638" spans="1:26" ht="15.75" customHeight="1" x14ac:dyDescent="0.25">
      <c r="A2638" s="25">
        <v>2636</v>
      </c>
      <c r="B2638" s="37" t="e">
        <f t="shared" ref="B2638:D2638" si="5309">VLOOKUP($A2638,[8]Movilidad!$A$1:$O$192,B$1,0)</f>
        <v>#N/A</v>
      </c>
      <c r="C2638" s="38" t="e">
        <f t="shared" si="5309"/>
        <v>#N/A</v>
      </c>
      <c r="D2638" s="39" t="e">
        <f t="shared" si="5309"/>
        <v>#N/A</v>
      </c>
      <c r="E2638" s="16" t="e">
        <f t="shared" si="1"/>
        <v>#N/A</v>
      </c>
      <c r="F2638" s="16" t="e">
        <f t="shared" ref="F2638:K2638" si="5310">VLOOKUP($A2638,[8]Movilidad!$A$1:$O$192,F$1,0)</f>
        <v>#N/A</v>
      </c>
      <c r="G2638" s="39" t="e">
        <f t="shared" si="5310"/>
        <v>#N/A</v>
      </c>
      <c r="H2638" s="16" t="e">
        <f t="shared" si="5310"/>
        <v>#N/A</v>
      </c>
      <c r="I2638" s="16" t="e">
        <f t="shared" si="5310"/>
        <v>#N/A</v>
      </c>
      <c r="J2638" s="40" t="e">
        <f t="shared" si="5310"/>
        <v>#N/A</v>
      </c>
      <c r="K2638" s="16" t="e">
        <f t="shared" si="5310"/>
        <v>#N/A</v>
      </c>
      <c r="L2638" s="40" t="e">
        <f t="shared" si="4837"/>
        <v>#N/A</v>
      </c>
      <c r="M2638" s="16" t="e">
        <f t="shared" si="4838"/>
        <v>#N/A</v>
      </c>
      <c r="N2638" s="16" t="e">
        <f t="shared" si="4839"/>
        <v>#N/A</v>
      </c>
      <c r="O2638" s="16" t="s">
        <v>72</v>
      </c>
      <c r="P2638" s="16" t="str">
        <f t="shared" si="6"/>
        <v/>
      </c>
      <c r="Q2638" s="41" t="e">
        <f t="shared" si="4840"/>
        <v>#N/A</v>
      </c>
      <c r="R2638" s="44"/>
      <c r="S2638" s="44"/>
      <c r="T2638" s="43"/>
      <c r="U2638" s="43" t="str">
        <f t="shared" si="8"/>
        <v>No</v>
      </c>
      <c r="V2638" s="25"/>
      <c r="W2638" s="25"/>
      <c r="X2638" s="25"/>
      <c r="Y2638" s="25"/>
      <c r="Z2638" s="25"/>
    </row>
    <row r="2639" spans="1:26" ht="15.75" customHeight="1" x14ac:dyDescent="0.25">
      <c r="A2639" s="25">
        <v>2637</v>
      </c>
      <c r="B2639" s="37" t="e">
        <f t="shared" ref="B2639:D2639" si="5311">VLOOKUP($A2639,[8]Movilidad!$A$1:$O$192,B$1,0)</f>
        <v>#N/A</v>
      </c>
      <c r="C2639" s="38" t="e">
        <f t="shared" si="5311"/>
        <v>#N/A</v>
      </c>
      <c r="D2639" s="39" t="e">
        <f t="shared" si="5311"/>
        <v>#N/A</v>
      </c>
      <c r="E2639" s="16" t="e">
        <f t="shared" si="1"/>
        <v>#N/A</v>
      </c>
      <c r="F2639" s="16" t="e">
        <f t="shared" ref="F2639:K2639" si="5312">VLOOKUP($A2639,[8]Movilidad!$A$1:$O$192,F$1,0)</f>
        <v>#N/A</v>
      </c>
      <c r="G2639" s="39" t="e">
        <f t="shared" si="5312"/>
        <v>#N/A</v>
      </c>
      <c r="H2639" s="16" t="e">
        <f t="shared" si="5312"/>
        <v>#N/A</v>
      </c>
      <c r="I2639" s="16" t="e">
        <f t="shared" si="5312"/>
        <v>#N/A</v>
      </c>
      <c r="J2639" s="40" t="e">
        <f t="shared" si="5312"/>
        <v>#N/A</v>
      </c>
      <c r="K2639" s="16" t="e">
        <f t="shared" si="5312"/>
        <v>#N/A</v>
      </c>
      <c r="L2639" s="40" t="e">
        <f t="shared" si="4837"/>
        <v>#N/A</v>
      </c>
      <c r="M2639" s="16" t="e">
        <f t="shared" si="4838"/>
        <v>#N/A</v>
      </c>
      <c r="N2639" s="16" t="e">
        <f t="shared" si="4839"/>
        <v>#N/A</v>
      </c>
      <c r="O2639" s="16" t="s">
        <v>72</v>
      </c>
      <c r="P2639" s="16" t="str">
        <f t="shared" si="6"/>
        <v/>
      </c>
      <c r="Q2639" s="41" t="e">
        <f t="shared" si="4840"/>
        <v>#N/A</v>
      </c>
      <c r="R2639" s="44"/>
      <c r="S2639" s="44"/>
      <c r="T2639" s="43"/>
      <c r="U2639" s="43" t="str">
        <f t="shared" si="8"/>
        <v>No</v>
      </c>
      <c r="V2639" s="25"/>
      <c r="W2639" s="25"/>
      <c r="X2639" s="25"/>
      <c r="Y2639" s="25"/>
      <c r="Z2639" s="25"/>
    </row>
    <row r="2640" spans="1:26" ht="15.75" customHeight="1" x14ac:dyDescent="0.25">
      <c r="A2640" s="25">
        <v>2638</v>
      </c>
      <c r="B2640" s="37" t="e">
        <f t="shared" ref="B2640:D2640" si="5313">VLOOKUP($A2640,[8]Movilidad!$A$1:$O$192,B$1,0)</f>
        <v>#N/A</v>
      </c>
      <c r="C2640" s="38" t="e">
        <f t="shared" si="5313"/>
        <v>#N/A</v>
      </c>
      <c r="D2640" s="39" t="e">
        <f t="shared" si="5313"/>
        <v>#N/A</v>
      </c>
      <c r="E2640" s="16" t="e">
        <f t="shared" si="1"/>
        <v>#N/A</v>
      </c>
      <c r="F2640" s="16" t="e">
        <f t="shared" ref="F2640:K2640" si="5314">VLOOKUP($A2640,[8]Movilidad!$A$1:$O$192,F$1,0)</f>
        <v>#N/A</v>
      </c>
      <c r="G2640" s="39" t="e">
        <f t="shared" si="5314"/>
        <v>#N/A</v>
      </c>
      <c r="H2640" s="16" t="e">
        <f t="shared" si="5314"/>
        <v>#N/A</v>
      </c>
      <c r="I2640" s="16" t="e">
        <f t="shared" si="5314"/>
        <v>#N/A</v>
      </c>
      <c r="J2640" s="40" t="e">
        <f t="shared" si="5314"/>
        <v>#N/A</v>
      </c>
      <c r="K2640" s="16" t="e">
        <f t="shared" si="5314"/>
        <v>#N/A</v>
      </c>
      <c r="L2640" s="40" t="e">
        <f t="shared" si="4837"/>
        <v>#N/A</v>
      </c>
      <c r="M2640" s="16" t="e">
        <f t="shared" si="4838"/>
        <v>#N/A</v>
      </c>
      <c r="N2640" s="16" t="e">
        <f t="shared" si="4839"/>
        <v>#N/A</v>
      </c>
      <c r="O2640" s="16" t="s">
        <v>72</v>
      </c>
      <c r="P2640" s="16" t="str">
        <f t="shared" si="6"/>
        <v/>
      </c>
      <c r="Q2640" s="41" t="e">
        <f t="shared" si="4840"/>
        <v>#N/A</v>
      </c>
      <c r="R2640" s="44"/>
      <c r="S2640" s="44"/>
      <c r="T2640" s="43"/>
      <c r="U2640" s="43" t="str">
        <f t="shared" si="8"/>
        <v>No</v>
      </c>
      <c r="V2640" s="25"/>
      <c r="W2640" s="25"/>
      <c r="X2640" s="25"/>
      <c r="Y2640" s="25"/>
      <c r="Z2640" s="25"/>
    </row>
    <row r="2641" spans="1:26" ht="15.75" customHeight="1" x14ac:dyDescent="0.25">
      <c r="A2641" s="25">
        <v>2639</v>
      </c>
      <c r="B2641" s="37" t="e">
        <f t="shared" ref="B2641:D2641" si="5315">VLOOKUP($A2641,[8]Movilidad!$A$1:$O$192,B$1,0)</f>
        <v>#N/A</v>
      </c>
      <c r="C2641" s="38" t="e">
        <f t="shared" si="5315"/>
        <v>#N/A</v>
      </c>
      <c r="D2641" s="39" t="e">
        <f t="shared" si="5315"/>
        <v>#N/A</v>
      </c>
      <c r="E2641" s="16" t="e">
        <f t="shared" si="1"/>
        <v>#N/A</v>
      </c>
      <c r="F2641" s="16" t="e">
        <f t="shared" ref="F2641:K2641" si="5316">VLOOKUP($A2641,[8]Movilidad!$A$1:$O$192,F$1,0)</f>
        <v>#N/A</v>
      </c>
      <c r="G2641" s="39" t="e">
        <f t="shared" si="5316"/>
        <v>#N/A</v>
      </c>
      <c r="H2641" s="16" t="e">
        <f t="shared" si="5316"/>
        <v>#N/A</v>
      </c>
      <c r="I2641" s="16" t="e">
        <f t="shared" si="5316"/>
        <v>#N/A</v>
      </c>
      <c r="J2641" s="40" t="e">
        <f t="shared" si="5316"/>
        <v>#N/A</v>
      </c>
      <c r="K2641" s="16" t="e">
        <f t="shared" si="5316"/>
        <v>#N/A</v>
      </c>
      <c r="L2641" s="40" t="e">
        <f t="shared" si="4837"/>
        <v>#N/A</v>
      </c>
      <c r="M2641" s="16" t="e">
        <f t="shared" si="4838"/>
        <v>#N/A</v>
      </c>
      <c r="N2641" s="16" t="e">
        <f t="shared" si="4839"/>
        <v>#N/A</v>
      </c>
      <c r="O2641" s="16" t="s">
        <v>72</v>
      </c>
      <c r="P2641" s="16" t="str">
        <f t="shared" si="6"/>
        <v/>
      </c>
      <c r="Q2641" s="41" t="e">
        <f t="shared" si="4840"/>
        <v>#N/A</v>
      </c>
      <c r="R2641" s="44"/>
      <c r="S2641" s="44"/>
      <c r="T2641" s="43"/>
      <c r="U2641" s="43" t="str">
        <f t="shared" si="8"/>
        <v>No</v>
      </c>
      <c r="V2641" s="25"/>
      <c r="W2641" s="25"/>
      <c r="X2641" s="25"/>
      <c r="Y2641" s="25"/>
      <c r="Z2641" s="25"/>
    </row>
    <row r="2642" spans="1:26" ht="15.75" customHeight="1" x14ac:dyDescent="0.25">
      <c r="A2642" s="25">
        <v>2640</v>
      </c>
      <c r="B2642" s="37" t="e">
        <f t="shared" ref="B2642:D2642" si="5317">VLOOKUP($A2642,[8]Movilidad!$A$1:$O$192,B$1,0)</f>
        <v>#N/A</v>
      </c>
      <c r="C2642" s="38" t="e">
        <f t="shared" si="5317"/>
        <v>#N/A</v>
      </c>
      <c r="D2642" s="39" t="e">
        <f t="shared" si="5317"/>
        <v>#N/A</v>
      </c>
      <c r="E2642" s="16" t="e">
        <f t="shared" si="1"/>
        <v>#N/A</v>
      </c>
      <c r="F2642" s="16" t="e">
        <f t="shared" ref="F2642:K2642" si="5318">VLOOKUP($A2642,[8]Movilidad!$A$1:$O$192,F$1,0)</f>
        <v>#N/A</v>
      </c>
      <c r="G2642" s="39" t="e">
        <f t="shared" si="5318"/>
        <v>#N/A</v>
      </c>
      <c r="H2642" s="16" t="e">
        <f t="shared" si="5318"/>
        <v>#N/A</v>
      </c>
      <c r="I2642" s="16" t="e">
        <f t="shared" si="5318"/>
        <v>#N/A</v>
      </c>
      <c r="J2642" s="40" t="e">
        <f t="shared" si="5318"/>
        <v>#N/A</v>
      </c>
      <c r="K2642" s="16" t="e">
        <f t="shared" si="5318"/>
        <v>#N/A</v>
      </c>
      <c r="L2642" s="40" t="e">
        <f t="shared" si="4837"/>
        <v>#N/A</v>
      </c>
      <c r="M2642" s="16" t="e">
        <f t="shared" si="4838"/>
        <v>#N/A</v>
      </c>
      <c r="N2642" s="16" t="e">
        <f t="shared" si="4839"/>
        <v>#N/A</v>
      </c>
      <c r="O2642" s="16" t="s">
        <v>72</v>
      </c>
      <c r="P2642" s="16" t="str">
        <f t="shared" si="6"/>
        <v/>
      </c>
      <c r="Q2642" s="41" t="e">
        <f t="shared" si="4840"/>
        <v>#N/A</v>
      </c>
      <c r="R2642" s="44"/>
      <c r="S2642" s="44"/>
      <c r="T2642" s="43"/>
      <c r="U2642" s="43" t="str">
        <f t="shared" si="8"/>
        <v>No</v>
      </c>
      <c r="V2642" s="25"/>
      <c r="W2642" s="25"/>
      <c r="X2642" s="25"/>
      <c r="Y2642" s="25"/>
      <c r="Z2642" s="25"/>
    </row>
    <row r="2643" spans="1:26" ht="15.75" customHeight="1" x14ac:dyDescent="0.25">
      <c r="A2643" s="25">
        <v>2641</v>
      </c>
      <c r="B2643" s="37" t="e">
        <f t="shared" ref="B2643:D2643" si="5319">VLOOKUP($A2643,[8]Movilidad!$A$1:$O$192,B$1,0)</f>
        <v>#N/A</v>
      </c>
      <c r="C2643" s="38" t="e">
        <f t="shared" si="5319"/>
        <v>#N/A</v>
      </c>
      <c r="D2643" s="39" t="e">
        <f t="shared" si="5319"/>
        <v>#N/A</v>
      </c>
      <c r="E2643" s="16" t="e">
        <f t="shared" si="1"/>
        <v>#N/A</v>
      </c>
      <c r="F2643" s="16" t="e">
        <f t="shared" ref="F2643:K2643" si="5320">VLOOKUP($A2643,[8]Movilidad!$A$1:$O$192,F$1,0)</f>
        <v>#N/A</v>
      </c>
      <c r="G2643" s="39" t="e">
        <f t="shared" si="5320"/>
        <v>#N/A</v>
      </c>
      <c r="H2643" s="16" t="e">
        <f t="shared" si="5320"/>
        <v>#N/A</v>
      </c>
      <c r="I2643" s="16" t="e">
        <f t="shared" si="5320"/>
        <v>#N/A</v>
      </c>
      <c r="J2643" s="40" t="e">
        <f t="shared" si="5320"/>
        <v>#N/A</v>
      </c>
      <c r="K2643" s="16" t="e">
        <f t="shared" si="5320"/>
        <v>#N/A</v>
      </c>
      <c r="L2643" s="40" t="e">
        <f t="shared" si="4837"/>
        <v>#N/A</v>
      </c>
      <c r="M2643" s="16" t="e">
        <f t="shared" si="4838"/>
        <v>#N/A</v>
      </c>
      <c r="N2643" s="16" t="e">
        <f t="shared" si="4839"/>
        <v>#N/A</v>
      </c>
      <c r="O2643" s="16" t="s">
        <v>72</v>
      </c>
      <c r="P2643" s="16" t="str">
        <f t="shared" si="6"/>
        <v/>
      </c>
      <c r="Q2643" s="41" t="e">
        <f t="shared" si="4840"/>
        <v>#N/A</v>
      </c>
      <c r="R2643" s="44"/>
      <c r="S2643" s="44"/>
      <c r="T2643" s="43"/>
      <c r="U2643" s="43" t="str">
        <f t="shared" si="8"/>
        <v>No</v>
      </c>
      <c r="V2643" s="25"/>
      <c r="W2643" s="25"/>
      <c r="X2643" s="25"/>
      <c r="Y2643" s="25"/>
      <c r="Z2643" s="25"/>
    </row>
    <row r="2644" spans="1:26" ht="15.75" customHeight="1" x14ac:dyDescent="0.25">
      <c r="A2644" s="25">
        <v>2642</v>
      </c>
      <c r="B2644" s="37" t="e">
        <f t="shared" ref="B2644:D2644" si="5321">VLOOKUP($A2644,[8]Movilidad!$A$1:$O$192,B$1,0)</f>
        <v>#N/A</v>
      </c>
      <c r="C2644" s="38" t="e">
        <f t="shared" si="5321"/>
        <v>#N/A</v>
      </c>
      <c r="D2644" s="39" t="e">
        <f t="shared" si="5321"/>
        <v>#N/A</v>
      </c>
      <c r="E2644" s="16" t="e">
        <f t="shared" si="1"/>
        <v>#N/A</v>
      </c>
      <c r="F2644" s="16" t="e">
        <f t="shared" ref="F2644:K2644" si="5322">VLOOKUP($A2644,[8]Movilidad!$A$1:$O$192,F$1,0)</f>
        <v>#N/A</v>
      </c>
      <c r="G2644" s="39" t="e">
        <f t="shared" si="5322"/>
        <v>#N/A</v>
      </c>
      <c r="H2644" s="16" t="e">
        <f t="shared" si="5322"/>
        <v>#N/A</v>
      </c>
      <c r="I2644" s="16" t="e">
        <f t="shared" si="5322"/>
        <v>#N/A</v>
      </c>
      <c r="J2644" s="40" t="e">
        <f t="shared" si="5322"/>
        <v>#N/A</v>
      </c>
      <c r="K2644" s="16" t="e">
        <f t="shared" si="5322"/>
        <v>#N/A</v>
      </c>
      <c r="L2644" s="40" t="e">
        <f t="shared" si="4837"/>
        <v>#N/A</v>
      </c>
      <c r="M2644" s="16" t="e">
        <f t="shared" si="4838"/>
        <v>#N/A</v>
      </c>
      <c r="N2644" s="16" t="e">
        <f t="shared" si="4839"/>
        <v>#N/A</v>
      </c>
      <c r="O2644" s="16" t="s">
        <v>72</v>
      </c>
      <c r="P2644" s="16" t="str">
        <f t="shared" si="6"/>
        <v/>
      </c>
      <c r="Q2644" s="41" t="e">
        <f t="shared" si="4840"/>
        <v>#N/A</v>
      </c>
      <c r="R2644" s="44"/>
      <c r="S2644" s="44"/>
      <c r="T2644" s="43"/>
      <c r="U2644" s="43" t="str">
        <f t="shared" si="8"/>
        <v>No</v>
      </c>
      <c r="V2644" s="25"/>
      <c r="W2644" s="25"/>
      <c r="X2644" s="25"/>
      <c r="Y2644" s="25"/>
      <c r="Z2644" s="25"/>
    </row>
    <row r="2645" spans="1:26" ht="15.75" customHeight="1" x14ac:dyDescent="0.25">
      <c r="A2645" s="25">
        <v>2643</v>
      </c>
      <c r="B2645" s="37" t="e">
        <f t="shared" ref="B2645:D2645" si="5323">VLOOKUP($A2645,[8]Movilidad!$A$1:$O$192,B$1,0)</f>
        <v>#N/A</v>
      </c>
      <c r="C2645" s="38" t="e">
        <f t="shared" si="5323"/>
        <v>#N/A</v>
      </c>
      <c r="D2645" s="39" t="e">
        <f t="shared" si="5323"/>
        <v>#N/A</v>
      </c>
      <c r="E2645" s="16" t="e">
        <f t="shared" si="1"/>
        <v>#N/A</v>
      </c>
      <c r="F2645" s="16" t="e">
        <f t="shared" ref="F2645:K2645" si="5324">VLOOKUP($A2645,[8]Movilidad!$A$1:$O$192,F$1,0)</f>
        <v>#N/A</v>
      </c>
      <c r="G2645" s="39" t="e">
        <f t="shared" si="5324"/>
        <v>#N/A</v>
      </c>
      <c r="H2645" s="16" t="e">
        <f t="shared" si="5324"/>
        <v>#N/A</v>
      </c>
      <c r="I2645" s="16" t="e">
        <f t="shared" si="5324"/>
        <v>#N/A</v>
      </c>
      <c r="J2645" s="40" t="e">
        <f t="shared" si="5324"/>
        <v>#N/A</v>
      </c>
      <c r="K2645" s="16" t="e">
        <f t="shared" si="5324"/>
        <v>#N/A</v>
      </c>
      <c r="L2645" s="40" t="e">
        <f t="shared" si="4837"/>
        <v>#N/A</v>
      </c>
      <c r="M2645" s="16" t="e">
        <f t="shared" si="4838"/>
        <v>#N/A</v>
      </c>
      <c r="N2645" s="16" t="e">
        <f t="shared" si="4839"/>
        <v>#N/A</v>
      </c>
      <c r="O2645" s="16" t="s">
        <v>72</v>
      </c>
      <c r="P2645" s="16" t="str">
        <f t="shared" si="6"/>
        <v/>
      </c>
      <c r="Q2645" s="41" t="e">
        <f t="shared" si="4840"/>
        <v>#N/A</v>
      </c>
      <c r="R2645" s="44"/>
      <c r="S2645" s="44"/>
      <c r="T2645" s="43"/>
      <c r="U2645" s="43" t="str">
        <f t="shared" si="8"/>
        <v>No</v>
      </c>
      <c r="V2645" s="25"/>
      <c r="W2645" s="25"/>
      <c r="X2645" s="25"/>
      <c r="Y2645" s="25"/>
      <c r="Z2645" s="25"/>
    </row>
    <row r="2646" spans="1:26" ht="15.75" customHeight="1" x14ac:dyDescent="0.25">
      <c r="A2646" s="25">
        <v>2644</v>
      </c>
      <c r="B2646" s="37" t="e">
        <f t="shared" ref="B2646:D2646" si="5325">VLOOKUP($A2646,[8]Movilidad!$A$1:$O$192,B$1,0)</f>
        <v>#N/A</v>
      </c>
      <c r="C2646" s="38" t="e">
        <f t="shared" si="5325"/>
        <v>#N/A</v>
      </c>
      <c r="D2646" s="39" t="e">
        <f t="shared" si="5325"/>
        <v>#N/A</v>
      </c>
      <c r="E2646" s="16" t="e">
        <f t="shared" si="1"/>
        <v>#N/A</v>
      </c>
      <c r="F2646" s="16" t="e">
        <f t="shared" ref="F2646:K2646" si="5326">VLOOKUP($A2646,[8]Movilidad!$A$1:$O$192,F$1,0)</f>
        <v>#N/A</v>
      </c>
      <c r="G2646" s="39" t="e">
        <f t="shared" si="5326"/>
        <v>#N/A</v>
      </c>
      <c r="H2646" s="16" t="e">
        <f t="shared" si="5326"/>
        <v>#N/A</v>
      </c>
      <c r="I2646" s="16" t="e">
        <f t="shared" si="5326"/>
        <v>#N/A</v>
      </c>
      <c r="J2646" s="40" t="e">
        <f t="shared" si="5326"/>
        <v>#N/A</v>
      </c>
      <c r="K2646" s="16" t="e">
        <f t="shared" si="5326"/>
        <v>#N/A</v>
      </c>
      <c r="L2646" s="40" t="e">
        <f t="shared" si="4837"/>
        <v>#N/A</v>
      </c>
      <c r="M2646" s="16" t="e">
        <f t="shared" si="4838"/>
        <v>#N/A</v>
      </c>
      <c r="N2646" s="16" t="e">
        <f t="shared" si="4839"/>
        <v>#N/A</v>
      </c>
      <c r="O2646" s="16" t="s">
        <v>72</v>
      </c>
      <c r="P2646" s="16" t="str">
        <f t="shared" si="6"/>
        <v/>
      </c>
      <c r="Q2646" s="41" t="e">
        <f t="shared" si="4840"/>
        <v>#N/A</v>
      </c>
      <c r="R2646" s="44"/>
      <c r="S2646" s="44"/>
      <c r="T2646" s="43"/>
      <c r="U2646" s="43" t="str">
        <f t="shared" si="8"/>
        <v>No</v>
      </c>
      <c r="V2646" s="25"/>
      <c r="W2646" s="25"/>
      <c r="X2646" s="25"/>
      <c r="Y2646" s="25"/>
      <c r="Z2646" s="25"/>
    </row>
    <row r="2647" spans="1:26" ht="15.75" customHeight="1" x14ac:dyDescent="0.25">
      <c r="A2647" s="25">
        <v>2645</v>
      </c>
      <c r="B2647" s="37" t="e">
        <f t="shared" ref="B2647:D2647" si="5327">VLOOKUP($A2647,[8]Movilidad!$A$1:$O$192,B$1,0)</f>
        <v>#N/A</v>
      </c>
      <c r="C2647" s="38" t="e">
        <f t="shared" si="5327"/>
        <v>#N/A</v>
      </c>
      <c r="D2647" s="39" t="e">
        <f t="shared" si="5327"/>
        <v>#N/A</v>
      </c>
      <c r="E2647" s="16" t="e">
        <f t="shared" si="1"/>
        <v>#N/A</v>
      </c>
      <c r="F2647" s="16" t="e">
        <f t="shared" ref="F2647:K2647" si="5328">VLOOKUP($A2647,[8]Movilidad!$A$1:$O$192,F$1,0)</f>
        <v>#N/A</v>
      </c>
      <c r="G2647" s="39" t="e">
        <f t="shared" si="5328"/>
        <v>#N/A</v>
      </c>
      <c r="H2647" s="16" t="e">
        <f t="shared" si="5328"/>
        <v>#N/A</v>
      </c>
      <c r="I2647" s="16" t="e">
        <f t="shared" si="5328"/>
        <v>#N/A</v>
      </c>
      <c r="J2647" s="40" t="e">
        <f t="shared" si="5328"/>
        <v>#N/A</v>
      </c>
      <c r="K2647" s="16" t="e">
        <f t="shared" si="5328"/>
        <v>#N/A</v>
      </c>
      <c r="L2647" s="40" t="e">
        <f t="shared" si="4837"/>
        <v>#N/A</v>
      </c>
      <c r="M2647" s="16" t="e">
        <f t="shared" si="4838"/>
        <v>#N/A</v>
      </c>
      <c r="N2647" s="16" t="e">
        <f t="shared" si="4839"/>
        <v>#N/A</v>
      </c>
      <c r="O2647" s="16" t="s">
        <v>72</v>
      </c>
      <c r="P2647" s="16" t="str">
        <f t="shared" si="6"/>
        <v/>
      </c>
      <c r="Q2647" s="41" t="e">
        <f t="shared" si="4840"/>
        <v>#N/A</v>
      </c>
      <c r="R2647" s="44"/>
      <c r="S2647" s="44"/>
      <c r="T2647" s="43"/>
      <c r="U2647" s="43" t="str">
        <f t="shared" si="8"/>
        <v>No</v>
      </c>
      <c r="V2647" s="25"/>
      <c r="W2647" s="25"/>
      <c r="X2647" s="25"/>
      <c r="Y2647" s="25"/>
      <c r="Z2647" s="25"/>
    </row>
    <row r="2648" spans="1:26" ht="15.75" customHeight="1" x14ac:dyDescent="0.25">
      <c r="A2648" s="25">
        <v>2646</v>
      </c>
      <c r="B2648" s="37" t="e">
        <f t="shared" ref="B2648:D2648" si="5329">VLOOKUP($A2648,[8]Movilidad!$A$1:$O$192,B$1,0)</f>
        <v>#N/A</v>
      </c>
      <c r="C2648" s="38" t="e">
        <f t="shared" si="5329"/>
        <v>#N/A</v>
      </c>
      <c r="D2648" s="39" t="e">
        <f t="shared" si="5329"/>
        <v>#N/A</v>
      </c>
      <c r="E2648" s="16" t="e">
        <f t="shared" si="1"/>
        <v>#N/A</v>
      </c>
      <c r="F2648" s="16" t="e">
        <f t="shared" ref="F2648:K2648" si="5330">VLOOKUP($A2648,[8]Movilidad!$A$1:$O$192,F$1,0)</f>
        <v>#N/A</v>
      </c>
      <c r="G2648" s="39" t="e">
        <f t="shared" si="5330"/>
        <v>#N/A</v>
      </c>
      <c r="H2648" s="16" t="e">
        <f t="shared" si="5330"/>
        <v>#N/A</v>
      </c>
      <c r="I2648" s="16" t="e">
        <f t="shared" si="5330"/>
        <v>#N/A</v>
      </c>
      <c r="J2648" s="40" t="e">
        <f t="shared" si="5330"/>
        <v>#N/A</v>
      </c>
      <c r="K2648" s="16" t="e">
        <f t="shared" si="5330"/>
        <v>#N/A</v>
      </c>
      <c r="L2648" s="40" t="e">
        <f t="shared" si="4837"/>
        <v>#N/A</v>
      </c>
      <c r="M2648" s="16" t="e">
        <f t="shared" si="4838"/>
        <v>#N/A</v>
      </c>
      <c r="N2648" s="16" t="e">
        <f t="shared" si="4839"/>
        <v>#N/A</v>
      </c>
      <c r="O2648" s="16" t="s">
        <v>72</v>
      </c>
      <c r="P2648" s="16" t="str">
        <f t="shared" si="6"/>
        <v/>
      </c>
      <c r="Q2648" s="41" t="e">
        <f t="shared" si="4840"/>
        <v>#N/A</v>
      </c>
      <c r="R2648" s="44"/>
      <c r="S2648" s="44"/>
      <c r="T2648" s="43"/>
      <c r="U2648" s="43" t="str">
        <f t="shared" si="8"/>
        <v>No</v>
      </c>
      <c r="V2648" s="25"/>
      <c r="W2648" s="25"/>
      <c r="X2648" s="25"/>
      <c r="Y2648" s="25"/>
      <c r="Z2648" s="25"/>
    </row>
    <row r="2649" spans="1:26" ht="15.75" customHeight="1" x14ac:dyDescent="0.25">
      <c r="A2649" s="25">
        <v>2647</v>
      </c>
      <c r="B2649" s="37" t="e">
        <f t="shared" ref="B2649:D2649" si="5331">VLOOKUP($A2649,[8]Movilidad!$A$1:$O$192,B$1,0)</f>
        <v>#N/A</v>
      </c>
      <c r="C2649" s="38" t="e">
        <f t="shared" si="5331"/>
        <v>#N/A</v>
      </c>
      <c r="D2649" s="39" t="e">
        <f t="shared" si="5331"/>
        <v>#N/A</v>
      </c>
      <c r="E2649" s="16" t="e">
        <f t="shared" si="1"/>
        <v>#N/A</v>
      </c>
      <c r="F2649" s="16" t="e">
        <f t="shared" ref="F2649:K2649" si="5332">VLOOKUP($A2649,[8]Movilidad!$A$1:$O$192,F$1,0)</f>
        <v>#N/A</v>
      </c>
      <c r="G2649" s="39" t="e">
        <f t="shared" si="5332"/>
        <v>#N/A</v>
      </c>
      <c r="H2649" s="16" t="e">
        <f t="shared" si="5332"/>
        <v>#N/A</v>
      </c>
      <c r="I2649" s="16" t="e">
        <f t="shared" si="5332"/>
        <v>#N/A</v>
      </c>
      <c r="J2649" s="40" t="e">
        <f t="shared" si="5332"/>
        <v>#N/A</v>
      </c>
      <c r="K2649" s="16" t="e">
        <f t="shared" si="5332"/>
        <v>#N/A</v>
      </c>
      <c r="L2649" s="40" t="e">
        <f t="shared" si="4837"/>
        <v>#N/A</v>
      </c>
      <c r="M2649" s="16" t="e">
        <f t="shared" si="4838"/>
        <v>#N/A</v>
      </c>
      <c r="N2649" s="16" t="e">
        <f t="shared" si="4839"/>
        <v>#N/A</v>
      </c>
      <c r="O2649" s="16" t="s">
        <v>72</v>
      </c>
      <c r="P2649" s="16" t="str">
        <f t="shared" si="6"/>
        <v/>
      </c>
      <c r="Q2649" s="41" t="e">
        <f t="shared" si="4840"/>
        <v>#N/A</v>
      </c>
      <c r="R2649" s="44"/>
      <c r="S2649" s="44"/>
      <c r="T2649" s="43"/>
      <c r="U2649" s="43" t="str">
        <f t="shared" si="8"/>
        <v>No</v>
      </c>
      <c r="V2649" s="25"/>
      <c r="W2649" s="25"/>
      <c r="X2649" s="25"/>
      <c r="Y2649" s="25"/>
      <c r="Z2649" s="25"/>
    </row>
    <row r="2650" spans="1:26" ht="15.75" customHeight="1" x14ac:dyDescent="0.25">
      <c r="A2650" s="25">
        <v>2648</v>
      </c>
      <c r="B2650" s="37" t="e">
        <f t="shared" ref="B2650:D2650" si="5333">VLOOKUP($A2650,[8]Movilidad!$A$1:$O$192,B$1,0)</f>
        <v>#N/A</v>
      </c>
      <c r="C2650" s="38" t="e">
        <f t="shared" si="5333"/>
        <v>#N/A</v>
      </c>
      <c r="D2650" s="39" t="e">
        <f t="shared" si="5333"/>
        <v>#N/A</v>
      </c>
      <c r="E2650" s="16" t="e">
        <f t="shared" si="1"/>
        <v>#N/A</v>
      </c>
      <c r="F2650" s="16" t="e">
        <f t="shared" ref="F2650:K2650" si="5334">VLOOKUP($A2650,[8]Movilidad!$A$1:$O$192,F$1,0)</f>
        <v>#N/A</v>
      </c>
      <c r="G2650" s="39" t="e">
        <f t="shared" si="5334"/>
        <v>#N/A</v>
      </c>
      <c r="H2650" s="16" t="e">
        <f t="shared" si="5334"/>
        <v>#N/A</v>
      </c>
      <c r="I2650" s="16" t="e">
        <f t="shared" si="5334"/>
        <v>#N/A</v>
      </c>
      <c r="J2650" s="40" t="e">
        <f t="shared" si="5334"/>
        <v>#N/A</v>
      </c>
      <c r="K2650" s="16" t="e">
        <f t="shared" si="5334"/>
        <v>#N/A</v>
      </c>
      <c r="L2650" s="40" t="e">
        <f t="shared" si="4837"/>
        <v>#N/A</v>
      </c>
      <c r="M2650" s="16" t="e">
        <f t="shared" si="4838"/>
        <v>#N/A</v>
      </c>
      <c r="N2650" s="16" t="e">
        <f t="shared" si="4839"/>
        <v>#N/A</v>
      </c>
      <c r="O2650" s="16" t="s">
        <v>72</v>
      </c>
      <c r="P2650" s="16" t="str">
        <f t="shared" si="6"/>
        <v/>
      </c>
      <c r="Q2650" s="41" t="e">
        <f t="shared" si="4840"/>
        <v>#N/A</v>
      </c>
      <c r="R2650" s="44"/>
      <c r="S2650" s="44"/>
      <c r="T2650" s="43"/>
      <c r="U2650" s="43" t="str">
        <f t="shared" si="8"/>
        <v>No</v>
      </c>
      <c r="V2650" s="25"/>
      <c r="W2650" s="25"/>
      <c r="X2650" s="25"/>
      <c r="Y2650" s="25"/>
      <c r="Z2650" s="25"/>
    </row>
    <row r="2651" spans="1:26" ht="15.75" customHeight="1" x14ac:dyDescent="0.25">
      <c r="A2651" s="25">
        <v>2649</v>
      </c>
      <c r="B2651" s="37" t="e">
        <f t="shared" ref="B2651:D2651" si="5335">VLOOKUP($A2651,[8]Movilidad!$A$1:$O$192,B$1,0)</f>
        <v>#N/A</v>
      </c>
      <c r="C2651" s="38" t="e">
        <f t="shared" si="5335"/>
        <v>#N/A</v>
      </c>
      <c r="D2651" s="39" t="e">
        <f t="shared" si="5335"/>
        <v>#N/A</v>
      </c>
      <c r="E2651" s="16" t="e">
        <f t="shared" si="1"/>
        <v>#N/A</v>
      </c>
      <c r="F2651" s="16" t="e">
        <f t="shared" ref="F2651:K2651" si="5336">VLOOKUP($A2651,[8]Movilidad!$A$1:$O$192,F$1,0)</f>
        <v>#N/A</v>
      </c>
      <c r="G2651" s="39" t="e">
        <f t="shared" si="5336"/>
        <v>#N/A</v>
      </c>
      <c r="H2651" s="16" t="e">
        <f t="shared" si="5336"/>
        <v>#N/A</v>
      </c>
      <c r="I2651" s="16" t="e">
        <f t="shared" si="5336"/>
        <v>#N/A</v>
      </c>
      <c r="J2651" s="40" t="e">
        <f t="shared" si="5336"/>
        <v>#N/A</v>
      </c>
      <c r="K2651" s="16" t="e">
        <f t="shared" si="5336"/>
        <v>#N/A</v>
      </c>
      <c r="L2651" s="40" t="e">
        <f t="shared" si="4837"/>
        <v>#N/A</v>
      </c>
      <c r="M2651" s="16" t="e">
        <f t="shared" si="4838"/>
        <v>#N/A</v>
      </c>
      <c r="N2651" s="16" t="e">
        <f t="shared" si="4839"/>
        <v>#N/A</v>
      </c>
      <c r="O2651" s="16" t="s">
        <v>72</v>
      </c>
      <c r="P2651" s="16" t="str">
        <f t="shared" si="6"/>
        <v/>
      </c>
      <c r="Q2651" s="41" t="e">
        <f t="shared" si="4840"/>
        <v>#N/A</v>
      </c>
      <c r="R2651" s="44"/>
      <c r="S2651" s="44"/>
      <c r="T2651" s="43"/>
      <c r="U2651" s="43" t="str">
        <f t="shared" si="8"/>
        <v>No</v>
      </c>
      <c r="V2651" s="25"/>
      <c r="W2651" s="25"/>
      <c r="X2651" s="25"/>
      <c r="Y2651" s="25"/>
      <c r="Z2651" s="25"/>
    </row>
    <row r="2652" spans="1:26" ht="15.75" customHeight="1" x14ac:dyDescent="0.25">
      <c r="A2652" s="25">
        <v>2650</v>
      </c>
      <c r="B2652" s="37" t="e">
        <f t="shared" ref="B2652:D2652" si="5337">VLOOKUP($A2652,[8]Movilidad!$A$1:$O$192,B$1,0)</f>
        <v>#N/A</v>
      </c>
      <c r="C2652" s="38" t="e">
        <f t="shared" si="5337"/>
        <v>#N/A</v>
      </c>
      <c r="D2652" s="39" t="e">
        <f t="shared" si="5337"/>
        <v>#N/A</v>
      </c>
      <c r="E2652" s="16" t="e">
        <f t="shared" si="1"/>
        <v>#N/A</v>
      </c>
      <c r="F2652" s="16" t="e">
        <f t="shared" ref="F2652:K2652" si="5338">VLOOKUP($A2652,[8]Movilidad!$A$1:$O$192,F$1,0)</f>
        <v>#N/A</v>
      </c>
      <c r="G2652" s="39" t="e">
        <f t="shared" si="5338"/>
        <v>#N/A</v>
      </c>
      <c r="H2652" s="16" t="e">
        <f t="shared" si="5338"/>
        <v>#N/A</v>
      </c>
      <c r="I2652" s="16" t="e">
        <f t="shared" si="5338"/>
        <v>#N/A</v>
      </c>
      <c r="J2652" s="40" t="e">
        <f t="shared" si="5338"/>
        <v>#N/A</v>
      </c>
      <c r="K2652" s="16" t="e">
        <f t="shared" si="5338"/>
        <v>#N/A</v>
      </c>
      <c r="L2652" s="40" t="e">
        <f t="shared" si="4837"/>
        <v>#N/A</v>
      </c>
      <c r="M2652" s="16" t="e">
        <f t="shared" si="4838"/>
        <v>#N/A</v>
      </c>
      <c r="N2652" s="16" t="e">
        <f t="shared" si="4839"/>
        <v>#N/A</v>
      </c>
      <c r="O2652" s="16" t="s">
        <v>72</v>
      </c>
      <c r="P2652" s="16" t="str">
        <f t="shared" si="6"/>
        <v/>
      </c>
      <c r="Q2652" s="41" t="e">
        <f t="shared" si="4840"/>
        <v>#N/A</v>
      </c>
      <c r="R2652" s="44"/>
      <c r="S2652" s="44"/>
      <c r="T2652" s="43"/>
      <c r="U2652" s="43" t="str">
        <f t="shared" si="8"/>
        <v>No</v>
      </c>
      <c r="V2652" s="25"/>
      <c r="W2652" s="25"/>
      <c r="X2652" s="25"/>
      <c r="Y2652" s="25"/>
      <c r="Z2652" s="25"/>
    </row>
    <row r="2653" spans="1:26" ht="15.75" customHeight="1" x14ac:dyDescent="0.25">
      <c r="A2653" s="25">
        <v>2651</v>
      </c>
      <c r="B2653" s="37" t="e">
        <f t="shared" ref="B2653:D2653" si="5339">VLOOKUP($A2653,[8]Movilidad!$A$1:$O$192,B$1,0)</f>
        <v>#N/A</v>
      </c>
      <c r="C2653" s="38" t="e">
        <f t="shared" si="5339"/>
        <v>#N/A</v>
      </c>
      <c r="D2653" s="39" t="e">
        <f t="shared" si="5339"/>
        <v>#N/A</v>
      </c>
      <c r="E2653" s="16" t="e">
        <f t="shared" si="1"/>
        <v>#N/A</v>
      </c>
      <c r="F2653" s="16" t="e">
        <f t="shared" ref="F2653:K2653" si="5340">VLOOKUP($A2653,[8]Movilidad!$A$1:$O$192,F$1,0)</f>
        <v>#N/A</v>
      </c>
      <c r="G2653" s="39" t="e">
        <f t="shared" si="5340"/>
        <v>#N/A</v>
      </c>
      <c r="H2653" s="16" t="e">
        <f t="shared" si="5340"/>
        <v>#N/A</v>
      </c>
      <c r="I2653" s="16" t="e">
        <f t="shared" si="5340"/>
        <v>#N/A</v>
      </c>
      <c r="J2653" s="40" t="e">
        <f t="shared" si="5340"/>
        <v>#N/A</v>
      </c>
      <c r="K2653" s="16" t="e">
        <f t="shared" si="5340"/>
        <v>#N/A</v>
      </c>
      <c r="L2653" s="40" t="e">
        <f t="shared" si="4837"/>
        <v>#N/A</v>
      </c>
      <c r="M2653" s="16" t="e">
        <f t="shared" si="4838"/>
        <v>#N/A</v>
      </c>
      <c r="N2653" s="16" t="e">
        <f t="shared" si="4839"/>
        <v>#N/A</v>
      </c>
      <c r="O2653" s="16" t="s">
        <v>72</v>
      </c>
      <c r="P2653" s="16" t="str">
        <f t="shared" si="6"/>
        <v/>
      </c>
      <c r="Q2653" s="41" t="e">
        <f t="shared" si="4840"/>
        <v>#N/A</v>
      </c>
      <c r="R2653" s="44"/>
      <c r="S2653" s="44"/>
      <c r="T2653" s="43"/>
      <c r="U2653" s="43" t="str">
        <f t="shared" si="8"/>
        <v>No</v>
      </c>
      <c r="V2653" s="25"/>
      <c r="W2653" s="25"/>
      <c r="X2653" s="25"/>
      <c r="Y2653" s="25"/>
      <c r="Z2653" s="25"/>
    </row>
    <row r="2654" spans="1:26" ht="15.75" customHeight="1" x14ac:dyDescent="0.25">
      <c r="A2654" s="25">
        <v>2652</v>
      </c>
      <c r="B2654" s="37" t="e">
        <f t="shared" ref="B2654:D2654" si="5341">VLOOKUP($A2654,[8]Movilidad!$A$1:$O$192,B$1,0)</f>
        <v>#N/A</v>
      </c>
      <c r="C2654" s="38" t="e">
        <f t="shared" si="5341"/>
        <v>#N/A</v>
      </c>
      <c r="D2654" s="39" t="e">
        <f t="shared" si="5341"/>
        <v>#N/A</v>
      </c>
      <c r="E2654" s="16" t="e">
        <f t="shared" si="1"/>
        <v>#N/A</v>
      </c>
      <c r="F2654" s="16" t="e">
        <f t="shared" ref="F2654:K2654" si="5342">VLOOKUP($A2654,[8]Movilidad!$A$1:$O$192,F$1,0)</f>
        <v>#N/A</v>
      </c>
      <c r="G2654" s="39" t="e">
        <f t="shared" si="5342"/>
        <v>#N/A</v>
      </c>
      <c r="H2654" s="16" t="e">
        <f t="shared" si="5342"/>
        <v>#N/A</v>
      </c>
      <c r="I2654" s="16" t="e">
        <f t="shared" si="5342"/>
        <v>#N/A</v>
      </c>
      <c r="J2654" s="40" t="e">
        <f t="shared" si="5342"/>
        <v>#N/A</v>
      </c>
      <c r="K2654" s="16" t="e">
        <f t="shared" si="5342"/>
        <v>#N/A</v>
      </c>
      <c r="L2654" s="40" t="e">
        <f t="shared" si="4837"/>
        <v>#N/A</v>
      </c>
      <c r="M2654" s="16" t="e">
        <f t="shared" si="4838"/>
        <v>#N/A</v>
      </c>
      <c r="N2654" s="16" t="e">
        <f t="shared" si="4839"/>
        <v>#N/A</v>
      </c>
      <c r="O2654" s="16" t="s">
        <v>72</v>
      </c>
      <c r="P2654" s="16" t="str">
        <f t="shared" si="6"/>
        <v/>
      </c>
      <c r="Q2654" s="41" t="e">
        <f t="shared" si="4840"/>
        <v>#N/A</v>
      </c>
      <c r="R2654" s="44"/>
      <c r="S2654" s="44"/>
      <c r="T2654" s="43"/>
      <c r="U2654" s="43" t="str">
        <f t="shared" si="8"/>
        <v>No</v>
      </c>
      <c r="V2654" s="25"/>
      <c r="W2654" s="25"/>
      <c r="X2654" s="25"/>
      <c r="Y2654" s="25"/>
      <c r="Z2654" s="25"/>
    </row>
    <row r="2655" spans="1:26" ht="15.75" customHeight="1" x14ac:dyDescent="0.25">
      <c r="A2655" s="25">
        <v>2653</v>
      </c>
      <c r="B2655" s="37" t="e">
        <f t="shared" ref="B2655:D2655" si="5343">VLOOKUP($A2655,[8]Movilidad!$A$1:$O$192,B$1,0)</f>
        <v>#N/A</v>
      </c>
      <c r="C2655" s="38" t="e">
        <f t="shared" si="5343"/>
        <v>#N/A</v>
      </c>
      <c r="D2655" s="39" t="e">
        <f t="shared" si="5343"/>
        <v>#N/A</v>
      </c>
      <c r="E2655" s="16" t="e">
        <f t="shared" si="1"/>
        <v>#N/A</v>
      </c>
      <c r="F2655" s="16" t="e">
        <f t="shared" ref="F2655:K2655" si="5344">VLOOKUP($A2655,[8]Movilidad!$A$1:$O$192,F$1,0)</f>
        <v>#N/A</v>
      </c>
      <c r="G2655" s="39" t="e">
        <f t="shared" si="5344"/>
        <v>#N/A</v>
      </c>
      <c r="H2655" s="16" t="e">
        <f t="shared" si="5344"/>
        <v>#N/A</v>
      </c>
      <c r="I2655" s="16" t="e">
        <f t="shared" si="5344"/>
        <v>#N/A</v>
      </c>
      <c r="J2655" s="40" t="e">
        <f t="shared" si="5344"/>
        <v>#N/A</v>
      </c>
      <c r="K2655" s="16" t="e">
        <f t="shared" si="5344"/>
        <v>#N/A</v>
      </c>
      <c r="L2655" s="40" t="e">
        <f t="shared" si="4837"/>
        <v>#N/A</v>
      </c>
      <c r="M2655" s="16" t="e">
        <f t="shared" si="4838"/>
        <v>#N/A</v>
      </c>
      <c r="N2655" s="16" t="e">
        <f t="shared" si="4839"/>
        <v>#N/A</v>
      </c>
      <c r="O2655" s="16" t="s">
        <v>72</v>
      </c>
      <c r="P2655" s="16" t="str">
        <f t="shared" si="6"/>
        <v/>
      </c>
      <c r="Q2655" s="41" t="e">
        <f t="shared" si="4840"/>
        <v>#N/A</v>
      </c>
      <c r="R2655" s="44"/>
      <c r="S2655" s="44"/>
      <c r="T2655" s="43"/>
      <c r="U2655" s="43" t="str">
        <f t="shared" si="8"/>
        <v>No</v>
      </c>
      <c r="V2655" s="25"/>
      <c r="W2655" s="25"/>
      <c r="X2655" s="25"/>
      <c r="Y2655" s="25"/>
      <c r="Z2655" s="25"/>
    </row>
    <row r="2656" spans="1:26" ht="15.75" customHeight="1" x14ac:dyDescent="0.25">
      <c r="A2656" s="25">
        <v>2654</v>
      </c>
      <c r="B2656" s="37" t="e">
        <f t="shared" ref="B2656:D2656" si="5345">VLOOKUP($A2656,[8]Movilidad!$A$1:$O$192,B$1,0)</f>
        <v>#N/A</v>
      </c>
      <c r="C2656" s="38" t="e">
        <f t="shared" si="5345"/>
        <v>#N/A</v>
      </c>
      <c r="D2656" s="39" t="e">
        <f t="shared" si="5345"/>
        <v>#N/A</v>
      </c>
      <c r="E2656" s="16" t="e">
        <f t="shared" si="1"/>
        <v>#N/A</v>
      </c>
      <c r="F2656" s="16" t="e">
        <f t="shared" ref="F2656:K2656" si="5346">VLOOKUP($A2656,[8]Movilidad!$A$1:$O$192,F$1,0)</f>
        <v>#N/A</v>
      </c>
      <c r="G2656" s="39" t="e">
        <f t="shared" si="5346"/>
        <v>#N/A</v>
      </c>
      <c r="H2656" s="16" t="e">
        <f t="shared" si="5346"/>
        <v>#N/A</v>
      </c>
      <c r="I2656" s="16" t="e">
        <f t="shared" si="5346"/>
        <v>#N/A</v>
      </c>
      <c r="J2656" s="40" t="e">
        <f t="shared" si="5346"/>
        <v>#N/A</v>
      </c>
      <c r="K2656" s="16" t="e">
        <f t="shared" si="5346"/>
        <v>#N/A</v>
      </c>
      <c r="L2656" s="40" t="e">
        <f t="shared" si="4837"/>
        <v>#N/A</v>
      </c>
      <c r="M2656" s="16" t="e">
        <f t="shared" si="4838"/>
        <v>#N/A</v>
      </c>
      <c r="N2656" s="16" t="e">
        <f t="shared" si="4839"/>
        <v>#N/A</v>
      </c>
      <c r="O2656" s="16" t="s">
        <v>72</v>
      </c>
      <c r="P2656" s="16" t="str">
        <f t="shared" si="6"/>
        <v/>
      </c>
      <c r="Q2656" s="41" t="e">
        <f t="shared" si="4840"/>
        <v>#N/A</v>
      </c>
      <c r="R2656" s="44"/>
      <c r="S2656" s="44"/>
      <c r="T2656" s="43"/>
      <c r="U2656" s="43" t="str">
        <f t="shared" si="8"/>
        <v>No</v>
      </c>
      <c r="V2656" s="25"/>
      <c r="W2656" s="25"/>
      <c r="X2656" s="25"/>
      <c r="Y2656" s="25"/>
      <c r="Z2656" s="25"/>
    </row>
    <row r="2657" spans="1:26" ht="15.75" customHeight="1" x14ac:dyDescent="0.25">
      <c r="A2657" s="25">
        <v>2655</v>
      </c>
      <c r="B2657" s="37" t="e">
        <f t="shared" ref="B2657:D2657" si="5347">VLOOKUP($A2657,[8]Movilidad!$A$1:$O$192,B$1,0)</f>
        <v>#N/A</v>
      </c>
      <c r="C2657" s="38" t="e">
        <f t="shared" si="5347"/>
        <v>#N/A</v>
      </c>
      <c r="D2657" s="39" t="e">
        <f t="shared" si="5347"/>
        <v>#N/A</v>
      </c>
      <c r="E2657" s="16" t="e">
        <f t="shared" si="1"/>
        <v>#N/A</v>
      </c>
      <c r="F2657" s="16" t="e">
        <f t="shared" ref="F2657:K2657" si="5348">VLOOKUP($A2657,[8]Movilidad!$A$1:$O$192,F$1,0)</f>
        <v>#N/A</v>
      </c>
      <c r="G2657" s="39" t="e">
        <f t="shared" si="5348"/>
        <v>#N/A</v>
      </c>
      <c r="H2657" s="16" t="e">
        <f t="shared" si="5348"/>
        <v>#N/A</v>
      </c>
      <c r="I2657" s="16" t="e">
        <f t="shared" si="5348"/>
        <v>#N/A</v>
      </c>
      <c r="J2657" s="40" t="e">
        <f t="shared" si="5348"/>
        <v>#N/A</v>
      </c>
      <c r="K2657" s="16" t="e">
        <f t="shared" si="5348"/>
        <v>#N/A</v>
      </c>
      <c r="L2657" s="40" t="e">
        <f t="shared" si="4837"/>
        <v>#N/A</v>
      </c>
      <c r="M2657" s="16" t="e">
        <f t="shared" si="4838"/>
        <v>#N/A</v>
      </c>
      <c r="N2657" s="16" t="e">
        <f t="shared" si="4839"/>
        <v>#N/A</v>
      </c>
      <c r="O2657" s="16" t="s">
        <v>72</v>
      </c>
      <c r="P2657" s="16" t="str">
        <f t="shared" si="6"/>
        <v/>
      </c>
      <c r="Q2657" s="41" t="e">
        <f t="shared" si="4840"/>
        <v>#N/A</v>
      </c>
      <c r="R2657" s="44"/>
      <c r="S2657" s="44"/>
      <c r="T2657" s="43"/>
      <c r="U2657" s="43" t="str">
        <f t="shared" si="8"/>
        <v>No</v>
      </c>
      <c r="V2657" s="25"/>
      <c r="W2657" s="25"/>
      <c r="X2657" s="25"/>
      <c r="Y2657" s="25"/>
      <c r="Z2657" s="25"/>
    </row>
    <row r="2658" spans="1:26" ht="15.75" customHeight="1" x14ac:dyDescent="0.25">
      <c r="A2658" s="25">
        <v>2656</v>
      </c>
      <c r="B2658" s="37" t="e">
        <f t="shared" ref="B2658:D2658" si="5349">VLOOKUP($A2658,[8]Movilidad!$A$1:$O$192,B$1,0)</f>
        <v>#N/A</v>
      </c>
      <c r="C2658" s="38" t="e">
        <f t="shared" si="5349"/>
        <v>#N/A</v>
      </c>
      <c r="D2658" s="39" t="e">
        <f t="shared" si="5349"/>
        <v>#N/A</v>
      </c>
      <c r="E2658" s="16" t="e">
        <f t="shared" si="1"/>
        <v>#N/A</v>
      </c>
      <c r="F2658" s="16" t="e">
        <f t="shared" ref="F2658:K2658" si="5350">VLOOKUP($A2658,[8]Movilidad!$A$1:$O$192,F$1,0)</f>
        <v>#N/A</v>
      </c>
      <c r="G2658" s="39" t="e">
        <f t="shared" si="5350"/>
        <v>#N/A</v>
      </c>
      <c r="H2658" s="16" t="e">
        <f t="shared" si="5350"/>
        <v>#N/A</v>
      </c>
      <c r="I2658" s="16" t="e">
        <f t="shared" si="5350"/>
        <v>#N/A</v>
      </c>
      <c r="J2658" s="40" t="e">
        <f t="shared" si="5350"/>
        <v>#N/A</v>
      </c>
      <c r="K2658" s="16" t="e">
        <f t="shared" si="5350"/>
        <v>#N/A</v>
      </c>
      <c r="L2658" s="40" t="e">
        <f t="shared" si="4837"/>
        <v>#N/A</v>
      </c>
      <c r="M2658" s="16" t="e">
        <f t="shared" si="4838"/>
        <v>#N/A</v>
      </c>
      <c r="N2658" s="16" t="e">
        <f t="shared" si="4839"/>
        <v>#N/A</v>
      </c>
      <c r="O2658" s="16" t="s">
        <v>72</v>
      </c>
      <c r="P2658" s="16" t="str">
        <f t="shared" si="6"/>
        <v/>
      </c>
      <c r="Q2658" s="41" t="e">
        <f t="shared" si="4840"/>
        <v>#N/A</v>
      </c>
      <c r="R2658" s="44"/>
      <c r="S2658" s="44"/>
      <c r="T2658" s="43"/>
      <c r="U2658" s="43" t="str">
        <f t="shared" si="8"/>
        <v>No</v>
      </c>
      <c r="V2658" s="25"/>
      <c r="W2658" s="25"/>
      <c r="X2658" s="25"/>
      <c r="Y2658" s="25"/>
      <c r="Z2658" s="25"/>
    </row>
    <row r="2659" spans="1:26" ht="15.75" customHeight="1" x14ac:dyDescent="0.25">
      <c r="A2659" s="25">
        <v>2657</v>
      </c>
      <c r="B2659" s="37" t="e">
        <f t="shared" ref="B2659:D2659" si="5351">VLOOKUP($A2659,[8]Movilidad!$A$1:$O$192,B$1,0)</f>
        <v>#N/A</v>
      </c>
      <c r="C2659" s="38" t="e">
        <f t="shared" si="5351"/>
        <v>#N/A</v>
      </c>
      <c r="D2659" s="39" t="e">
        <f t="shared" si="5351"/>
        <v>#N/A</v>
      </c>
      <c r="E2659" s="16" t="e">
        <f t="shared" si="1"/>
        <v>#N/A</v>
      </c>
      <c r="F2659" s="16" t="e">
        <f t="shared" ref="F2659:K2659" si="5352">VLOOKUP($A2659,[8]Movilidad!$A$1:$O$192,F$1,0)</f>
        <v>#N/A</v>
      </c>
      <c r="G2659" s="39" t="e">
        <f t="shared" si="5352"/>
        <v>#N/A</v>
      </c>
      <c r="H2659" s="16" t="e">
        <f t="shared" si="5352"/>
        <v>#N/A</v>
      </c>
      <c r="I2659" s="16" t="e">
        <f t="shared" si="5352"/>
        <v>#N/A</v>
      </c>
      <c r="J2659" s="40" t="e">
        <f t="shared" si="5352"/>
        <v>#N/A</v>
      </c>
      <c r="K2659" s="16" t="e">
        <f t="shared" si="5352"/>
        <v>#N/A</v>
      </c>
      <c r="L2659" s="40" t="e">
        <f t="shared" si="4837"/>
        <v>#N/A</v>
      </c>
      <c r="M2659" s="16" t="e">
        <f t="shared" si="4838"/>
        <v>#N/A</v>
      </c>
      <c r="N2659" s="16" t="e">
        <f t="shared" si="4839"/>
        <v>#N/A</v>
      </c>
      <c r="O2659" s="16" t="s">
        <v>72</v>
      </c>
      <c r="P2659" s="16" t="str">
        <f t="shared" si="6"/>
        <v/>
      </c>
      <c r="Q2659" s="41" t="e">
        <f t="shared" si="4840"/>
        <v>#N/A</v>
      </c>
      <c r="R2659" s="44"/>
      <c r="S2659" s="44"/>
      <c r="T2659" s="43"/>
      <c r="U2659" s="43" t="str">
        <f t="shared" si="8"/>
        <v>No</v>
      </c>
      <c r="V2659" s="25"/>
      <c r="W2659" s="25"/>
      <c r="X2659" s="25"/>
      <c r="Y2659" s="25"/>
      <c r="Z2659" s="25"/>
    </row>
    <row r="2660" spans="1:26" ht="15.75" customHeight="1" x14ac:dyDescent="0.25">
      <c r="A2660" s="25">
        <v>2658</v>
      </c>
      <c r="B2660" s="37" t="e">
        <f t="shared" ref="B2660:D2660" si="5353">VLOOKUP($A2660,[8]Movilidad!$A$1:$O$192,B$1,0)</f>
        <v>#N/A</v>
      </c>
      <c r="C2660" s="38" t="e">
        <f t="shared" si="5353"/>
        <v>#N/A</v>
      </c>
      <c r="D2660" s="39" t="e">
        <f t="shared" si="5353"/>
        <v>#N/A</v>
      </c>
      <c r="E2660" s="16" t="e">
        <f t="shared" si="1"/>
        <v>#N/A</v>
      </c>
      <c r="F2660" s="16" t="e">
        <f t="shared" ref="F2660:K2660" si="5354">VLOOKUP($A2660,[8]Movilidad!$A$1:$O$192,F$1,0)</f>
        <v>#N/A</v>
      </c>
      <c r="G2660" s="39" t="e">
        <f t="shared" si="5354"/>
        <v>#N/A</v>
      </c>
      <c r="H2660" s="16" t="e">
        <f t="shared" si="5354"/>
        <v>#N/A</v>
      </c>
      <c r="I2660" s="16" t="e">
        <f t="shared" si="5354"/>
        <v>#N/A</v>
      </c>
      <c r="J2660" s="40" t="e">
        <f t="shared" si="5354"/>
        <v>#N/A</v>
      </c>
      <c r="K2660" s="16" t="e">
        <f t="shared" si="5354"/>
        <v>#N/A</v>
      </c>
      <c r="L2660" s="40" t="e">
        <f t="shared" si="4837"/>
        <v>#N/A</v>
      </c>
      <c r="M2660" s="16" t="e">
        <f t="shared" si="4838"/>
        <v>#N/A</v>
      </c>
      <c r="N2660" s="16" t="e">
        <f t="shared" si="4839"/>
        <v>#N/A</v>
      </c>
      <c r="O2660" s="16" t="s">
        <v>72</v>
      </c>
      <c r="P2660" s="16" t="str">
        <f t="shared" si="6"/>
        <v/>
      </c>
      <c r="Q2660" s="41" t="e">
        <f t="shared" si="4840"/>
        <v>#N/A</v>
      </c>
      <c r="R2660" s="44"/>
      <c r="S2660" s="44"/>
      <c r="T2660" s="43"/>
      <c r="U2660" s="43" t="str">
        <f t="shared" si="8"/>
        <v>No</v>
      </c>
      <c r="V2660" s="25"/>
      <c r="W2660" s="25"/>
      <c r="X2660" s="25"/>
      <c r="Y2660" s="25"/>
      <c r="Z2660" s="25"/>
    </row>
    <row r="2661" spans="1:26" ht="15.75" customHeight="1" x14ac:dyDescent="0.25">
      <c r="A2661" s="25">
        <v>2659</v>
      </c>
      <c r="B2661" s="37" t="e">
        <f t="shared" ref="B2661:D2661" si="5355">VLOOKUP($A2661,[8]Movilidad!$A$1:$O$192,B$1,0)</f>
        <v>#N/A</v>
      </c>
      <c r="C2661" s="38" t="e">
        <f t="shared" si="5355"/>
        <v>#N/A</v>
      </c>
      <c r="D2661" s="39" t="e">
        <f t="shared" si="5355"/>
        <v>#N/A</v>
      </c>
      <c r="E2661" s="16" t="e">
        <f t="shared" si="1"/>
        <v>#N/A</v>
      </c>
      <c r="F2661" s="16" t="e">
        <f t="shared" ref="F2661:K2661" si="5356">VLOOKUP($A2661,[8]Movilidad!$A$1:$O$192,F$1,0)</f>
        <v>#N/A</v>
      </c>
      <c r="G2661" s="39" t="e">
        <f t="shared" si="5356"/>
        <v>#N/A</v>
      </c>
      <c r="H2661" s="16" t="e">
        <f t="shared" si="5356"/>
        <v>#N/A</v>
      </c>
      <c r="I2661" s="16" t="e">
        <f t="shared" si="5356"/>
        <v>#N/A</v>
      </c>
      <c r="J2661" s="40" t="e">
        <f t="shared" si="5356"/>
        <v>#N/A</v>
      </c>
      <c r="K2661" s="16" t="e">
        <f t="shared" si="5356"/>
        <v>#N/A</v>
      </c>
      <c r="L2661" s="40" t="e">
        <f t="shared" si="4837"/>
        <v>#N/A</v>
      </c>
      <c r="M2661" s="16" t="e">
        <f t="shared" si="4838"/>
        <v>#N/A</v>
      </c>
      <c r="N2661" s="16" t="e">
        <f t="shared" si="4839"/>
        <v>#N/A</v>
      </c>
      <c r="O2661" s="16" t="s">
        <v>72</v>
      </c>
      <c r="P2661" s="16" t="str">
        <f t="shared" si="6"/>
        <v/>
      </c>
      <c r="Q2661" s="41" t="e">
        <f t="shared" si="4840"/>
        <v>#N/A</v>
      </c>
      <c r="R2661" s="44"/>
      <c r="S2661" s="44"/>
      <c r="T2661" s="43"/>
      <c r="U2661" s="43" t="str">
        <f t="shared" si="8"/>
        <v>No</v>
      </c>
      <c r="V2661" s="25"/>
      <c r="W2661" s="25"/>
      <c r="X2661" s="25"/>
      <c r="Y2661" s="25"/>
      <c r="Z2661" s="25"/>
    </row>
    <row r="2662" spans="1:26" ht="15.75" customHeight="1" x14ac:dyDescent="0.25">
      <c r="A2662" s="25">
        <v>2660</v>
      </c>
      <c r="B2662" s="37" t="e">
        <f t="shared" ref="B2662:D2662" si="5357">VLOOKUP($A2662,[8]Movilidad!$A$1:$O$192,B$1,0)</f>
        <v>#N/A</v>
      </c>
      <c r="C2662" s="38" t="e">
        <f t="shared" si="5357"/>
        <v>#N/A</v>
      </c>
      <c r="D2662" s="39" t="e">
        <f t="shared" si="5357"/>
        <v>#N/A</v>
      </c>
      <c r="E2662" s="16" t="e">
        <f t="shared" si="1"/>
        <v>#N/A</v>
      </c>
      <c r="F2662" s="16" t="e">
        <f t="shared" ref="F2662:K2662" si="5358">VLOOKUP($A2662,[8]Movilidad!$A$1:$O$192,F$1,0)</f>
        <v>#N/A</v>
      </c>
      <c r="G2662" s="39" t="e">
        <f t="shared" si="5358"/>
        <v>#N/A</v>
      </c>
      <c r="H2662" s="16" t="e">
        <f t="shared" si="5358"/>
        <v>#N/A</v>
      </c>
      <c r="I2662" s="16" t="e">
        <f t="shared" si="5358"/>
        <v>#N/A</v>
      </c>
      <c r="J2662" s="40" t="e">
        <f t="shared" si="5358"/>
        <v>#N/A</v>
      </c>
      <c r="K2662" s="16" t="e">
        <f t="shared" si="5358"/>
        <v>#N/A</v>
      </c>
      <c r="L2662" s="40" t="e">
        <f t="shared" si="4837"/>
        <v>#N/A</v>
      </c>
      <c r="M2662" s="16" t="e">
        <f t="shared" si="4838"/>
        <v>#N/A</v>
      </c>
      <c r="N2662" s="16" t="e">
        <f t="shared" si="4839"/>
        <v>#N/A</v>
      </c>
      <c r="O2662" s="16" t="s">
        <v>72</v>
      </c>
      <c r="P2662" s="16" t="str">
        <f t="shared" si="6"/>
        <v/>
      </c>
      <c r="Q2662" s="41" t="e">
        <f t="shared" si="4840"/>
        <v>#N/A</v>
      </c>
      <c r="R2662" s="44"/>
      <c r="S2662" s="44"/>
      <c r="T2662" s="43"/>
      <c r="U2662" s="43" t="str">
        <f t="shared" si="8"/>
        <v>No</v>
      </c>
      <c r="V2662" s="25"/>
      <c r="W2662" s="25"/>
      <c r="X2662" s="25"/>
      <c r="Y2662" s="25"/>
      <c r="Z2662" s="25"/>
    </row>
    <row r="2663" spans="1:26" ht="15.75" customHeight="1" x14ac:dyDescent="0.25">
      <c r="A2663" s="25">
        <v>2661</v>
      </c>
      <c r="B2663" s="37" t="e">
        <f t="shared" ref="B2663:D2663" si="5359">VLOOKUP($A2663,[8]Movilidad!$A$1:$O$192,B$1,0)</f>
        <v>#N/A</v>
      </c>
      <c r="C2663" s="38" t="e">
        <f t="shared" si="5359"/>
        <v>#N/A</v>
      </c>
      <c r="D2663" s="39" t="e">
        <f t="shared" si="5359"/>
        <v>#N/A</v>
      </c>
      <c r="E2663" s="16" t="e">
        <f t="shared" si="1"/>
        <v>#N/A</v>
      </c>
      <c r="F2663" s="16" t="e">
        <f t="shared" ref="F2663:K2663" si="5360">VLOOKUP($A2663,[8]Movilidad!$A$1:$O$192,F$1,0)</f>
        <v>#N/A</v>
      </c>
      <c r="G2663" s="39" t="e">
        <f t="shared" si="5360"/>
        <v>#N/A</v>
      </c>
      <c r="H2663" s="16" t="e">
        <f t="shared" si="5360"/>
        <v>#N/A</v>
      </c>
      <c r="I2663" s="16" t="e">
        <f t="shared" si="5360"/>
        <v>#N/A</v>
      </c>
      <c r="J2663" s="40" t="e">
        <f t="shared" si="5360"/>
        <v>#N/A</v>
      </c>
      <c r="K2663" s="16" t="e">
        <f t="shared" si="5360"/>
        <v>#N/A</v>
      </c>
      <c r="L2663" s="40" t="e">
        <f t="shared" si="4837"/>
        <v>#N/A</v>
      </c>
      <c r="M2663" s="16" t="e">
        <f t="shared" si="4838"/>
        <v>#N/A</v>
      </c>
      <c r="N2663" s="16" t="e">
        <f t="shared" si="4839"/>
        <v>#N/A</v>
      </c>
      <c r="O2663" s="16" t="s">
        <v>72</v>
      </c>
      <c r="P2663" s="16" t="str">
        <f t="shared" si="6"/>
        <v/>
      </c>
      <c r="Q2663" s="41" t="e">
        <f t="shared" si="4840"/>
        <v>#N/A</v>
      </c>
      <c r="R2663" s="44"/>
      <c r="S2663" s="44"/>
      <c r="T2663" s="43"/>
      <c r="U2663" s="43" t="str">
        <f t="shared" si="8"/>
        <v>No</v>
      </c>
      <c r="V2663" s="25"/>
      <c r="W2663" s="25"/>
      <c r="X2663" s="25"/>
      <c r="Y2663" s="25"/>
      <c r="Z2663" s="25"/>
    </row>
    <row r="2664" spans="1:26" ht="15.75" customHeight="1" x14ac:dyDescent="0.25">
      <c r="A2664" s="25">
        <v>2662</v>
      </c>
      <c r="B2664" s="37" t="e">
        <f t="shared" ref="B2664:D2664" si="5361">VLOOKUP($A2664,[8]Movilidad!$A$1:$O$192,B$1,0)</f>
        <v>#N/A</v>
      </c>
      <c r="C2664" s="38" t="e">
        <f t="shared" si="5361"/>
        <v>#N/A</v>
      </c>
      <c r="D2664" s="39" t="e">
        <f t="shared" si="5361"/>
        <v>#N/A</v>
      </c>
      <c r="E2664" s="16" t="e">
        <f t="shared" si="1"/>
        <v>#N/A</v>
      </c>
      <c r="F2664" s="16" t="e">
        <f t="shared" ref="F2664:K2664" si="5362">VLOOKUP($A2664,[8]Movilidad!$A$1:$O$192,F$1,0)</f>
        <v>#N/A</v>
      </c>
      <c r="G2664" s="39" t="e">
        <f t="shared" si="5362"/>
        <v>#N/A</v>
      </c>
      <c r="H2664" s="16" t="e">
        <f t="shared" si="5362"/>
        <v>#N/A</v>
      </c>
      <c r="I2664" s="16" t="e">
        <f t="shared" si="5362"/>
        <v>#N/A</v>
      </c>
      <c r="J2664" s="40" t="e">
        <f t="shared" si="5362"/>
        <v>#N/A</v>
      </c>
      <c r="K2664" s="16" t="e">
        <f t="shared" si="5362"/>
        <v>#N/A</v>
      </c>
      <c r="L2664" s="40" t="e">
        <f t="shared" si="4837"/>
        <v>#N/A</v>
      </c>
      <c r="M2664" s="16" t="e">
        <f t="shared" si="4838"/>
        <v>#N/A</v>
      </c>
      <c r="N2664" s="16" t="e">
        <f t="shared" si="4839"/>
        <v>#N/A</v>
      </c>
      <c r="O2664" s="16" t="s">
        <v>72</v>
      </c>
      <c r="P2664" s="16" t="str">
        <f t="shared" si="6"/>
        <v/>
      </c>
      <c r="Q2664" s="41" t="e">
        <f t="shared" si="4840"/>
        <v>#N/A</v>
      </c>
      <c r="R2664" s="44"/>
      <c r="S2664" s="44"/>
      <c r="T2664" s="43"/>
      <c r="U2664" s="43" t="str">
        <f t="shared" si="8"/>
        <v>No</v>
      </c>
      <c r="V2664" s="25"/>
      <c r="W2664" s="25"/>
      <c r="X2664" s="25"/>
      <c r="Y2664" s="25"/>
      <c r="Z2664" s="25"/>
    </row>
    <row r="2665" spans="1:26" ht="15.75" customHeight="1" x14ac:dyDescent="0.25">
      <c r="A2665" s="25">
        <v>2663</v>
      </c>
      <c r="B2665" s="37" t="e">
        <f t="shared" ref="B2665:D2665" si="5363">VLOOKUP($A2665,[8]Movilidad!$A$1:$O$192,B$1,0)</f>
        <v>#N/A</v>
      </c>
      <c r="C2665" s="38" t="e">
        <f t="shared" si="5363"/>
        <v>#N/A</v>
      </c>
      <c r="D2665" s="39" t="e">
        <f t="shared" si="5363"/>
        <v>#N/A</v>
      </c>
      <c r="E2665" s="16" t="e">
        <f t="shared" si="1"/>
        <v>#N/A</v>
      </c>
      <c r="F2665" s="16" t="e">
        <f t="shared" ref="F2665:K2665" si="5364">VLOOKUP($A2665,[8]Movilidad!$A$1:$O$192,F$1,0)</f>
        <v>#N/A</v>
      </c>
      <c r="G2665" s="39" t="e">
        <f t="shared" si="5364"/>
        <v>#N/A</v>
      </c>
      <c r="H2665" s="16" t="e">
        <f t="shared" si="5364"/>
        <v>#N/A</v>
      </c>
      <c r="I2665" s="16" t="e">
        <f t="shared" si="5364"/>
        <v>#N/A</v>
      </c>
      <c r="J2665" s="40" t="e">
        <f t="shared" si="5364"/>
        <v>#N/A</v>
      </c>
      <c r="K2665" s="16" t="e">
        <f t="shared" si="5364"/>
        <v>#N/A</v>
      </c>
      <c r="L2665" s="40" t="e">
        <f t="shared" si="4837"/>
        <v>#N/A</v>
      </c>
      <c r="M2665" s="16" t="e">
        <f t="shared" si="4838"/>
        <v>#N/A</v>
      </c>
      <c r="N2665" s="16" t="e">
        <f t="shared" si="4839"/>
        <v>#N/A</v>
      </c>
      <c r="O2665" s="16" t="s">
        <v>72</v>
      </c>
      <c r="P2665" s="16" t="str">
        <f t="shared" si="6"/>
        <v/>
      </c>
      <c r="Q2665" s="41" t="e">
        <f t="shared" si="4840"/>
        <v>#N/A</v>
      </c>
      <c r="R2665" s="44"/>
      <c r="S2665" s="44"/>
      <c r="T2665" s="43"/>
      <c r="U2665" s="43" t="str">
        <f t="shared" si="8"/>
        <v>No</v>
      </c>
      <c r="V2665" s="25"/>
      <c r="W2665" s="25"/>
      <c r="X2665" s="25"/>
      <c r="Y2665" s="25"/>
      <c r="Z2665" s="25"/>
    </row>
    <row r="2666" spans="1:26" ht="15.75" customHeight="1" x14ac:dyDescent="0.25">
      <c r="A2666" s="25">
        <v>2664</v>
      </c>
      <c r="B2666" s="37" t="e">
        <f t="shared" ref="B2666:D2666" si="5365">VLOOKUP($A2666,[8]Movilidad!$A$1:$O$192,B$1,0)</f>
        <v>#N/A</v>
      </c>
      <c r="C2666" s="38" t="e">
        <f t="shared" si="5365"/>
        <v>#N/A</v>
      </c>
      <c r="D2666" s="39" t="e">
        <f t="shared" si="5365"/>
        <v>#N/A</v>
      </c>
      <c r="E2666" s="16" t="e">
        <f t="shared" si="1"/>
        <v>#N/A</v>
      </c>
      <c r="F2666" s="16" t="e">
        <f t="shared" ref="F2666:K2666" si="5366">VLOOKUP($A2666,[8]Movilidad!$A$1:$O$192,F$1,0)</f>
        <v>#N/A</v>
      </c>
      <c r="G2666" s="39" t="e">
        <f t="shared" si="5366"/>
        <v>#N/A</v>
      </c>
      <c r="H2666" s="16" t="e">
        <f t="shared" si="5366"/>
        <v>#N/A</v>
      </c>
      <c r="I2666" s="16" t="e">
        <f t="shared" si="5366"/>
        <v>#N/A</v>
      </c>
      <c r="J2666" s="40" t="e">
        <f t="shared" si="5366"/>
        <v>#N/A</v>
      </c>
      <c r="K2666" s="16" t="e">
        <f t="shared" si="5366"/>
        <v>#N/A</v>
      </c>
      <c r="L2666" s="40" t="e">
        <f t="shared" si="4837"/>
        <v>#N/A</v>
      </c>
      <c r="M2666" s="16" t="e">
        <f t="shared" si="4838"/>
        <v>#N/A</v>
      </c>
      <c r="N2666" s="16" t="e">
        <f t="shared" si="4839"/>
        <v>#N/A</v>
      </c>
      <c r="O2666" s="16" t="s">
        <v>72</v>
      </c>
      <c r="P2666" s="16" t="str">
        <f t="shared" si="6"/>
        <v/>
      </c>
      <c r="Q2666" s="41" t="e">
        <f t="shared" si="4840"/>
        <v>#N/A</v>
      </c>
      <c r="R2666" s="44"/>
      <c r="S2666" s="44"/>
      <c r="T2666" s="43"/>
      <c r="U2666" s="43" t="str">
        <f t="shared" si="8"/>
        <v>No</v>
      </c>
      <c r="V2666" s="25"/>
      <c r="W2666" s="25"/>
      <c r="X2666" s="25"/>
      <c r="Y2666" s="25"/>
      <c r="Z2666" s="25"/>
    </row>
    <row r="2667" spans="1:26" ht="15.75" customHeight="1" x14ac:dyDescent="0.25">
      <c r="A2667" s="25">
        <v>2665</v>
      </c>
      <c r="B2667" s="37" t="e">
        <f t="shared" ref="B2667:D2667" si="5367">VLOOKUP($A2667,[8]Movilidad!$A$1:$O$192,B$1,0)</f>
        <v>#N/A</v>
      </c>
      <c r="C2667" s="38" t="e">
        <f t="shared" si="5367"/>
        <v>#N/A</v>
      </c>
      <c r="D2667" s="39" t="e">
        <f t="shared" si="5367"/>
        <v>#N/A</v>
      </c>
      <c r="E2667" s="16" t="e">
        <f t="shared" si="1"/>
        <v>#N/A</v>
      </c>
      <c r="F2667" s="16" t="e">
        <f t="shared" ref="F2667:K2667" si="5368">VLOOKUP($A2667,[8]Movilidad!$A$1:$O$192,F$1,0)</f>
        <v>#N/A</v>
      </c>
      <c r="G2667" s="39" t="e">
        <f t="shared" si="5368"/>
        <v>#N/A</v>
      </c>
      <c r="H2667" s="16" t="e">
        <f t="shared" si="5368"/>
        <v>#N/A</v>
      </c>
      <c r="I2667" s="16" t="e">
        <f t="shared" si="5368"/>
        <v>#N/A</v>
      </c>
      <c r="J2667" s="40" t="e">
        <f t="shared" si="5368"/>
        <v>#N/A</v>
      </c>
      <c r="K2667" s="16" t="e">
        <f t="shared" si="5368"/>
        <v>#N/A</v>
      </c>
      <c r="L2667" s="40" t="e">
        <f t="shared" si="4837"/>
        <v>#N/A</v>
      </c>
      <c r="M2667" s="16" t="e">
        <f t="shared" si="4838"/>
        <v>#N/A</v>
      </c>
      <c r="N2667" s="16" t="e">
        <f t="shared" si="4839"/>
        <v>#N/A</v>
      </c>
      <c r="O2667" s="16" t="s">
        <v>72</v>
      </c>
      <c r="P2667" s="16" t="str">
        <f t="shared" si="6"/>
        <v/>
      </c>
      <c r="Q2667" s="41" t="e">
        <f t="shared" si="4840"/>
        <v>#N/A</v>
      </c>
      <c r="R2667" s="44"/>
      <c r="S2667" s="44"/>
      <c r="T2667" s="43"/>
      <c r="U2667" s="43" t="str">
        <f t="shared" si="8"/>
        <v>No</v>
      </c>
      <c r="V2667" s="25"/>
      <c r="W2667" s="25"/>
      <c r="X2667" s="25"/>
      <c r="Y2667" s="25"/>
      <c r="Z2667" s="25"/>
    </row>
    <row r="2668" spans="1:26" ht="15.75" customHeight="1" x14ac:dyDescent="0.25">
      <c r="A2668" s="25">
        <v>2666</v>
      </c>
      <c r="B2668" s="37" t="e">
        <f t="shared" ref="B2668:D2668" si="5369">VLOOKUP($A2668,[8]Movilidad!$A$1:$O$192,B$1,0)</f>
        <v>#N/A</v>
      </c>
      <c r="C2668" s="38" t="e">
        <f t="shared" si="5369"/>
        <v>#N/A</v>
      </c>
      <c r="D2668" s="39" t="e">
        <f t="shared" si="5369"/>
        <v>#N/A</v>
      </c>
      <c r="E2668" s="16" t="e">
        <f t="shared" si="1"/>
        <v>#N/A</v>
      </c>
      <c r="F2668" s="16" t="e">
        <f t="shared" ref="F2668:K2668" si="5370">VLOOKUP($A2668,[8]Movilidad!$A$1:$O$192,F$1,0)</f>
        <v>#N/A</v>
      </c>
      <c r="G2668" s="39" t="e">
        <f t="shared" si="5370"/>
        <v>#N/A</v>
      </c>
      <c r="H2668" s="16" t="e">
        <f t="shared" si="5370"/>
        <v>#N/A</v>
      </c>
      <c r="I2668" s="16" t="e">
        <f t="shared" si="5370"/>
        <v>#N/A</v>
      </c>
      <c r="J2668" s="40" t="e">
        <f t="shared" si="5370"/>
        <v>#N/A</v>
      </c>
      <c r="K2668" s="16" t="e">
        <f t="shared" si="5370"/>
        <v>#N/A</v>
      </c>
      <c r="L2668" s="40" t="e">
        <f t="shared" si="4837"/>
        <v>#N/A</v>
      </c>
      <c r="M2668" s="16" t="e">
        <f t="shared" si="4838"/>
        <v>#N/A</v>
      </c>
      <c r="N2668" s="16" t="e">
        <f t="shared" si="4839"/>
        <v>#N/A</v>
      </c>
      <c r="O2668" s="16" t="s">
        <v>72</v>
      </c>
      <c r="P2668" s="16" t="str">
        <f t="shared" si="6"/>
        <v/>
      </c>
      <c r="Q2668" s="41" t="e">
        <f t="shared" si="4840"/>
        <v>#N/A</v>
      </c>
      <c r="R2668" s="44"/>
      <c r="S2668" s="44"/>
      <c r="T2668" s="43"/>
      <c r="U2668" s="43" t="str">
        <f t="shared" si="8"/>
        <v>No</v>
      </c>
      <c r="V2668" s="25"/>
      <c r="W2668" s="25"/>
      <c r="X2668" s="25"/>
      <c r="Y2668" s="25"/>
      <c r="Z2668" s="25"/>
    </row>
    <row r="2669" spans="1:26" ht="15.75" customHeight="1" x14ac:dyDescent="0.25">
      <c r="A2669" s="25">
        <v>2667</v>
      </c>
      <c r="B2669" s="37" t="e">
        <f t="shared" ref="B2669:D2669" si="5371">VLOOKUP($A2669,[8]Movilidad!$A$1:$O$192,B$1,0)</f>
        <v>#N/A</v>
      </c>
      <c r="C2669" s="38" t="e">
        <f t="shared" si="5371"/>
        <v>#N/A</v>
      </c>
      <c r="D2669" s="39" t="e">
        <f t="shared" si="5371"/>
        <v>#N/A</v>
      </c>
      <c r="E2669" s="16" t="e">
        <f t="shared" si="1"/>
        <v>#N/A</v>
      </c>
      <c r="F2669" s="16" t="e">
        <f t="shared" ref="F2669:K2669" si="5372">VLOOKUP($A2669,[8]Movilidad!$A$1:$O$192,F$1,0)</f>
        <v>#N/A</v>
      </c>
      <c r="G2669" s="39" t="e">
        <f t="shared" si="5372"/>
        <v>#N/A</v>
      </c>
      <c r="H2669" s="16" t="e">
        <f t="shared" si="5372"/>
        <v>#N/A</v>
      </c>
      <c r="I2669" s="16" t="e">
        <f t="shared" si="5372"/>
        <v>#N/A</v>
      </c>
      <c r="J2669" s="40" t="e">
        <f t="shared" si="5372"/>
        <v>#N/A</v>
      </c>
      <c r="K2669" s="16" t="e">
        <f t="shared" si="5372"/>
        <v>#N/A</v>
      </c>
      <c r="L2669" s="40" t="e">
        <f t="shared" si="4837"/>
        <v>#N/A</v>
      </c>
      <c r="M2669" s="16" t="e">
        <f t="shared" si="4838"/>
        <v>#N/A</v>
      </c>
      <c r="N2669" s="16" t="e">
        <f t="shared" si="4839"/>
        <v>#N/A</v>
      </c>
      <c r="O2669" s="16" t="s">
        <v>72</v>
      </c>
      <c r="P2669" s="16" t="str">
        <f t="shared" si="6"/>
        <v/>
      </c>
      <c r="Q2669" s="41" t="e">
        <f t="shared" si="4840"/>
        <v>#N/A</v>
      </c>
      <c r="R2669" s="44"/>
      <c r="S2669" s="44"/>
      <c r="T2669" s="43"/>
      <c r="U2669" s="43" t="str">
        <f t="shared" si="8"/>
        <v>No</v>
      </c>
      <c r="V2669" s="25"/>
      <c r="W2669" s="25"/>
      <c r="X2669" s="25"/>
      <c r="Y2669" s="25"/>
      <c r="Z2669" s="25"/>
    </row>
    <row r="2670" spans="1:26" ht="15.75" customHeight="1" x14ac:dyDescent="0.25">
      <c r="A2670" s="25">
        <v>2668</v>
      </c>
      <c r="B2670" s="37" t="e">
        <f t="shared" ref="B2670:D2670" si="5373">VLOOKUP($A2670,[8]Movilidad!$A$1:$O$192,B$1,0)</f>
        <v>#N/A</v>
      </c>
      <c r="C2670" s="38" t="e">
        <f t="shared" si="5373"/>
        <v>#N/A</v>
      </c>
      <c r="D2670" s="39" t="e">
        <f t="shared" si="5373"/>
        <v>#N/A</v>
      </c>
      <c r="E2670" s="16" t="e">
        <f t="shared" si="1"/>
        <v>#N/A</v>
      </c>
      <c r="F2670" s="16" t="e">
        <f t="shared" ref="F2670:K2670" si="5374">VLOOKUP($A2670,[8]Movilidad!$A$1:$O$192,F$1,0)</f>
        <v>#N/A</v>
      </c>
      <c r="G2670" s="39" t="e">
        <f t="shared" si="5374"/>
        <v>#N/A</v>
      </c>
      <c r="H2670" s="16" t="e">
        <f t="shared" si="5374"/>
        <v>#N/A</v>
      </c>
      <c r="I2670" s="16" t="e">
        <f t="shared" si="5374"/>
        <v>#N/A</v>
      </c>
      <c r="J2670" s="40" t="e">
        <f t="shared" si="5374"/>
        <v>#N/A</v>
      </c>
      <c r="K2670" s="16" t="e">
        <f t="shared" si="5374"/>
        <v>#N/A</v>
      </c>
      <c r="L2670" s="40" t="e">
        <f t="shared" si="4837"/>
        <v>#N/A</v>
      </c>
      <c r="M2670" s="16" t="e">
        <f t="shared" si="4838"/>
        <v>#N/A</v>
      </c>
      <c r="N2670" s="16" t="e">
        <f t="shared" si="4839"/>
        <v>#N/A</v>
      </c>
      <c r="O2670" s="16" t="s">
        <v>72</v>
      </c>
      <c r="P2670" s="16" t="str">
        <f t="shared" si="6"/>
        <v/>
      </c>
      <c r="Q2670" s="41" t="e">
        <f t="shared" si="4840"/>
        <v>#N/A</v>
      </c>
      <c r="R2670" s="44"/>
      <c r="S2670" s="44"/>
      <c r="T2670" s="43"/>
      <c r="U2670" s="43" t="str">
        <f t="shared" si="8"/>
        <v>No</v>
      </c>
      <c r="V2670" s="25"/>
      <c r="W2670" s="25"/>
      <c r="X2670" s="25"/>
      <c r="Y2670" s="25"/>
      <c r="Z2670" s="25"/>
    </row>
    <row r="2671" spans="1:26" ht="15.75" customHeight="1" x14ac:dyDescent="0.25">
      <c r="A2671" s="25">
        <v>2669</v>
      </c>
      <c r="B2671" s="37" t="e">
        <f t="shared" ref="B2671:D2671" si="5375">VLOOKUP($A2671,[8]Movilidad!$A$1:$O$192,B$1,0)</f>
        <v>#N/A</v>
      </c>
      <c r="C2671" s="38" t="e">
        <f t="shared" si="5375"/>
        <v>#N/A</v>
      </c>
      <c r="D2671" s="39" t="e">
        <f t="shared" si="5375"/>
        <v>#N/A</v>
      </c>
      <c r="E2671" s="16" t="e">
        <f t="shared" si="1"/>
        <v>#N/A</v>
      </c>
      <c r="F2671" s="16" t="e">
        <f t="shared" ref="F2671:K2671" si="5376">VLOOKUP($A2671,[8]Movilidad!$A$1:$O$192,F$1,0)</f>
        <v>#N/A</v>
      </c>
      <c r="G2671" s="39" t="e">
        <f t="shared" si="5376"/>
        <v>#N/A</v>
      </c>
      <c r="H2671" s="16" t="e">
        <f t="shared" si="5376"/>
        <v>#N/A</v>
      </c>
      <c r="I2671" s="16" t="e">
        <f t="shared" si="5376"/>
        <v>#N/A</v>
      </c>
      <c r="J2671" s="40" t="e">
        <f t="shared" si="5376"/>
        <v>#N/A</v>
      </c>
      <c r="K2671" s="16" t="e">
        <f t="shared" si="5376"/>
        <v>#N/A</v>
      </c>
      <c r="L2671" s="40" t="e">
        <f t="shared" si="4837"/>
        <v>#N/A</v>
      </c>
      <c r="M2671" s="16" t="e">
        <f t="shared" si="4838"/>
        <v>#N/A</v>
      </c>
      <c r="N2671" s="16" t="e">
        <f t="shared" si="4839"/>
        <v>#N/A</v>
      </c>
      <c r="O2671" s="16" t="s">
        <v>72</v>
      </c>
      <c r="P2671" s="16" t="str">
        <f t="shared" si="6"/>
        <v/>
      </c>
      <c r="Q2671" s="41" t="e">
        <f t="shared" si="4840"/>
        <v>#N/A</v>
      </c>
      <c r="R2671" s="44"/>
      <c r="S2671" s="44"/>
      <c r="T2671" s="43"/>
      <c r="U2671" s="43" t="str">
        <f t="shared" si="8"/>
        <v>No</v>
      </c>
      <c r="V2671" s="25"/>
      <c r="W2671" s="25"/>
      <c r="X2671" s="25"/>
      <c r="Y2671" s="25"/>
      <c r="Z2671" s="25"/>
    </row>
    <row r="2672" spans="1:26" ht="15.75" customHeight="1" x14ac:dyDescent="0.25">
      <c r="A2672" s="25">
        <v>2670</v>
      </c>
      <c r="B2672" s="37" t="e">
        <f t="shared" ref="B2672:D2672" si="5377">VLOOKUP($A2672,[8]Movilidad!$A$1:$O$192,B$1,0)</f>
        <v>#N/A</v>
      </c>
      <c r="C2672" s="38" t="e">
        <f t="shared" si="5377"/>
        <v>#N/A</v>
      </c>
      <c r="D2672" s="39" t="e">
        <f t="shared" si="5377"/>
        <v>#N/A</v>
      </c>
      <c r="E2672" s="16" t="e">
        <f t="shared" si="1"/>
        <v>#N/A</v>
      </c>
      <c r="F2672" s="16" t="e">
        <f t="shared" ref="F2672:K2672" si="5378">VLOOKUP($A2672,[8]Movilidad!$A$1:$O$192,F$1,0)</f>
        <v>#N/A</v>
      </c>
      <c r="G2672" s="39" t="e">
        <f t="shared" si="5378"/>
        <v>#N/A</v>
      </c>
      <c r="H2672" s="16" t="e">
        <f t="shared" si="5378"/>
        <v>#N/A</v>
      </c>
      <c r="I2672" s="16" t="e">
        <f t="shared" si="5378"/>
        <v>#N/A</v>
      </c>
      <c r="J2672" s="40" t="e">
        <f t="shared" si="5378"/>
        <v>#N/A</v>
      </c>
      <c r="K2672" s="16" t="e">
        <f t="shared" si="5378"/>
        <v>#N/A</v>
      </c>
      <c r="L2672" s="40" t="e">
        <f t="shared" si="4837"/>
        <v>#N/A</v>
      </c>
      <c r="M2672" s="16" t="e">
        <f t="shared" si="4838"/>
        <v>#N/A</v>
      </c>
      <c r="N2672" s="16" t="e">
        <f t="shared" si="4839"/>
        <v>#N/A</v>
      </c>
      <c r="O2672" s="16" t="s">
        <v>72</v>
      </c>
      <c r="P2672" s="16" t="str">
        <f t="shared" si="6"/>
        <v/>
      </c>
      <c r="Q2672" s="41" t="e">
        <f t="shared" si="4840"/>
        <v>#N/A</v>
      </c>
      <c r="R2672" s="44"/>
      <c r="S2672" s="44"/>
      <c r="T2672" s="43"/>
      <c r="U2672" s="43" t="str">
        <f t="shared" si="8"/>
        <v>No</v>
      </c>
      <c r="V2672" s="25"/>
      <c r="W2672" s="25"/>
      <c r="X2672" s="25"/>
      <c r="Y2672" s="25"/>
      <c r="Z2672" s="25"/>
    </row>
    <row r="2673" spans="1:26" ht="15.75" customHeight="1" x14ac:dyDescent="0.25">
      <c r="A2673" s="25">
        <v>2671</v>
      </c>
      <c r="B2673" s="37" t="e">
        <f t="shared" ref="B2673:D2673" si="5379">VLOOKUP($A2673,[8]Movilidad!$A$1:$O$192,B$1,0)</f>
        <v>#N/A</v>
      </c>
      <c r="C2673" s="38" t="e">
        <f t="shared" si="5379"/>
        <v>#N/A</v>
      </c>
      <c r="D2673" s="39" t="e">
        <f t="shared" si="5379"/>
        <v>#N/A</v>
      </c>
      <c r="E2673" s="16" t="e">
        <f t="shared" si="1"/>
        <v>#N/A</v>
      </c>
      <c r="F2673" s="16" t="e">
        <f t="shared" ref="F2673:K2673" si="5380">VLOOKUP($A2673,[8]Movilidad!$A$1:$O$192,F$1,0)</f>
        <v>#N/A</v>
      </c>
      <c r="G2673" s="39" t="e">
        <f t="shared" si="5380"/>
        <v>#N/A</v>
      </c>
      <c r="H2673" s="16" t="e">
        <f t="shared" si="5380"/>
        <v>#N/A</v>
      </c>
      <c r="I2673" s="16" t="e">
        <f t="shared" si="5380"/>
        <v>#N/A</v>
      </c>
      <c r="J2673" s="40" t="e">
        <f t="shared" si="5380"/>
        <v>#N/A</v>
      </c>
      <c r="K2673" s="16" t="e">
        <f t="shared" si="5380"/>
        <v>#N/A</v>
      </c>
      <c r="L2673" s="40" t="e">
        <f t="shared" si="4837"/>
        <v>#N/A</v>
      </c>
      <c r="M2673" s="16" t="e">
        <f t="shared" si="4838"/>
        <v>#N/A</v>
      </c>
      <c r="N2673" s="16" t="e">
        <f t="shared" si="4839"/>
        <v>#N/A</v>
      </c>
      <c r="O2673" s="16" t="s">
        <v>72</v>
      </c>
      <c r="P2673" s="16" t="str">
        <f t="shared" si="6"/>
        <v/>
      </c>
      <c r="Q2673" s="41" t="e">
        <f t="shared" si="4840"/>
        <v>#N/A</v>
      </c>
      <c r="R2673" s="44"/>
      <c r="S2673" s="44"/>
      <c r="T2673" s="43"/>
      <c r="U2673" s="43" t="str">
        <f t="shared" si="8"/>
        <v>No</v>
      </c>
      <c r="V2673" s="25"/>
      <c r="W2673" s="25"/>
      <c r="X2673" s="25"/>
      <c r="Y2673" s="25"/>
      <c r="Z2673" s="25"/>
    </row>
    <row r="2674" spans="1:26" ht="15.75" customHeight="1" x14ac:dyDescent="0.25">
      <c r="A2674" s="25">
        <v>2672</v>
      </c>
      <c r="B2674" s="37" t="e">
        <f t="shared" ref="B2674:D2674" si="5381">VLOOKUP($A2674,[8]Movilidad!$A$1:$O$192,B$1,0)</f>
        <v>#N/A</v>
      </c>
      <c r="C2674" s="38" t="e">
        <f t="shared" si="5381"/>
        <v>#N/A</v>
      </c>
      <c r="D2674" s="39" t="e">
        <f t="shared" si="5381"/>
        <v>#N/A</v>
      </c>
      <c r="E2674" s="16" t="e">
        <f t="shared" si="1"/>
        <v>#N/A</v>
      </c>
      <c r="F2674" s="16" t="e">
        <f t="shared" ref="F2674:K2674" si="5382">VLOOKUP($A2674,[8]Movilidad!$A$1:$O$192,F$1,0)</f>
        <v>#N/A</v>
      </c>
      <c r="G2674" s="39" t="e">
        <f t="shared" si="5382"/>
        <v>#N/A</v>
      </c>
      <c r="H2674" s="16" t="e">
        <f t="shared" si="5382"/>
        <v>#N/A</v>
      </c>
      <c r="I2674" s="16" t="e">
        <f t="shared" si="5382"/>
        <v>#N/A</v>
      </c>
      <c r="J2674" s="40" t="e">
        <f t="shared" si="5382"/>
        <v>#N/A</v>
      </c>
      <c r="K2674" s="16" t="e">
        <f t="shared" si="5382"/>
        <v>#N/A</v>
      </c>
      <c r="L2674" s="40" t="e">
        <f t="shared" si="4837"/>
        <v>#N/A</v>
      </c>
      <c r="M2674" s="16" t="e">
        <f t="shared" si="4838"/>
        <v>#N/A</v>
      </c>
      <c r="N2674" s="16" t="e">
        <f t="shared" si="4839"/>
        <v>#N/A</v>
      </c>
      <c r="O2674" s="16" t="s">
        <v>72</v>
      </c>
      <c r="P2674" s="16" t="str">
        <f t="shared" si="6"/>
        <v/>
      </c>
      <c r="Q2674" s="41" t="e">
        <f t="shared" si="4840"/>
        <v>#N/A</v>
      </c>
      <c r="R2674" s="44"/>
      <c r="S2674" s="44"/>
      <c r="T2674" s="43"/>
      <c r="U2674" s="43" t="str">
        <f t="shared" si="8"/>
        <v>No</v>
      </c>
      <c r="V2674" s="25"/>
      <c r="W2674" s="25"/>
      <c r="X2674" s="25"/>
      <c r="Y2674" s="25"/>
      <c r="Z2674" s="25"/>
    </row>
    <row r="2675" spans="1:26" ht="15.75" customHeight="1" x14ac:dyDescent="0.25">
      <c r="A2675" s="25">
        <v>2673</v>
      </c>
      <c r="B2675" s="37" t="e">
        <f t="shared" ref="B2675:D2675" si="5383">VLOOKUP($A2675,[8]Movilidad!$A$1:$O$192,B$1,0)</f>
        <v>#N/A</v>
      </c>
      <c r="C2675" s="38" t="e">
        <f t="shared" si="5383"/>
        <v>#N/A</v>
      </c>
      <c r="D2675" s="39" t="e">
        <f t="shared" si="5383"/>
        <v>#N/A</v>
      </c>
      <c r="E2675" s="16" t="e">
        <f t="shared" si="1"/>
        <v>#N/A</v>
      </c>
      <c r="F2675" s="16" t="e">
        <f t="shared" ref="F2675:K2675" si="5384">VLOOKUP($A2675,[8]Movilidad!$A$1:$O$192,F$1,0)</f>
        <v>#N/A</v>
      </c>
      <c r="G2675" s="39" t="e">
        <f t="shared" si="5384"/>
        <v>#N/A</v>
      </c>
      <c r="H2675" s="16" t="e">
        <f t="shared" si="5384"/>
        <v>#N/A</v>
      </c>
      <c r="I2675" s="16" t="e">
        <f t="shared" si="5384"/>
        <v>#N/A</v>
      </c>
      <c r="J2675" s="40" t="e">
        <f t="shared" si="5384"/>
        <v>#N/A</v>
      </c>
      <c r="K2675" s="16" t="e">
        <f t="shared" si="5384"/>
        <v>#N/A</v>
      </c>
      <c r="L2675" s="40" t="e">
        <f t="shared" si="4837"/>
        <v>#N/A</v>
      </c>
      <c r="M2675" s="16" t="e">
        <f t="shared" si="4838"/>
        <v>#N/A</v>
      </c>
      <c r="N2675" s="16" t="e">
        <f t="shared" si="4839"/>
        <v>#N/A</v>
      </c>
      <c r="O2675" s="16" t="s">
        <v>72</v>
      </c>
      <c r="P2675" s="16" t="str">
        <f t="shared" si="6"/>
        <v/>
      </c>
      <c r="Q2675" s="41" t="e">
        <f t="shared" si="4840"/>
        <v>#N/A</v>
      </c>
      <c r="R2675" s="44"/>
      <c r="S2675" s="44"/>
      <c r="T2675" s="43"/>
      <c r="U2675" s="43" t="str">
        <f t="shared" si="8"/>
        <v>No</v>
      </c>
      <c r="V2675" s="25"/>
      <c r="W2675" s="25"/>
      <c r="X2675" s="25"/>
      <c r="Y2675" s="25"/>
      <c r="Z2675" s="25"/>
    </row>
    <row r="2676" spans="1:26" ht="15.75" customHeight="1" x14ac:dyDescent="0.25">
      <c r="A2676" s="25">
        <v>2674</v>
      </c>
      <c r="B2676" s="37" t="e">
        <f t="shared" ref="B2676:D2676" si="5385">VLOOKUP($A2676,[8]Movilidad!$A$1:$O$192,B$1,0)</f>
        <v>#N/A</v>
      </c>
      <c r="C2676" s="38" t="e">
        <f t="shared" si="5385"/>
        <v>#N/A</v>
      </c>
      <c r="D2676" s="39" t="e">
        <f t="shared" si="5385"/>
        <v>#N/A</v>
      </c>
      <c r="E2676" s="16" t="e">
        <f t="shared" si="1"/>
        <v>#N/A</v>
      </c>
      <c r="F2676" s="16" t="e">
        <f t="shared" ref="F2676:K2676" si="5386">VLOOKUP($A2676,[8]Movilidad!$A$1:$O$192,F$1,0)</f>
        <v>#N/A</v>
      </c>
      <c r="G2676" s="39" t="e">
        <f t="shared" si="5386"/>
        <v>#N/A</v>
      </c>
      <c r="H2676" s="16" t="e">
        <f t="shared" si="5386"/>
        <v>#N/A</v>
      </c>
      <c r="I2676" s="16" t="e">
        <f t="shared" si="5386"/>
        <v>#N/A</v>
      </c>
      <c r="J2676" s="40" t="e">
        <f t="shared" si="5386"/>
        <v>#N/A</v>
      </c>
      <c r="K2676" s="16" t="e">
        <f t="shared" si="5386"/>
        <v>#N/A</v>
      </c>
      <c r="L2676" s="40" t="e">
        <f t="shared" si="4837"/>
        <v>#N/A</v>
      </c>
      <c r="M2676" s="16" t="e">
        <f t="shared" si="4838"/>
        <v>#N/A</v>
      </c>
      <c r="N2676" s="16" t="e">
        <f t="shared" si="4839"/>
        <v>#N/A</v>
      </c>
      <c r="O2676" s="16" t="s">
        <v>72</v>
      </c>
      <c r="P2676" s="16" t="str">
        <f t="shared" si="6"/>
        <v/>
      </c>
      <c r="Q2676" s="41" t="e">
        <f t="shared" si="4840"/>
        <v>#N/A</v>
      </c>
      <c r="R2676" s="44"/>
      <c r="S2676" s="44"/>
      <c r="T2676" s="43"/>
      <c r="U2676" s="43" t="str">
        <f t="shared" si="8"/>
        <v>No</v>
      </c>
      <c r="V2676" s="25"/>
      <c r="W2676" s="25"/>
      <c r="X2676" s="25"/>
      <c r="Y2676" s="25"/>
      <c r="Z2676" s="25"/>
    </row>
    <row r="2677" spans="1:26" ht="15.75" customHeight="1" x14ac:dyDescent="0.25">
      <c r="A2677" s="25">
        <v>2675</v>
      </c>
      <c r="B2677" s="37" t="e">
        <f t="shared" ref="B2677:D2677" si="5387">VLOOKUP($A2677,[8]Movilidad!$A$1:$O$192,B$1,0)</f>
        <v>#N/A</v>
      </c>
      <c r="C2677" s="38" t="e">
        <f t="shared" si="5387"/>
        <v>#N/A</v>
      </c>
      <c r="D2677" s="39" t="e">
        <f t="shared" si="5387"/>
        <v>#N/A</v>
      </c>
      <c r="E2677" s="16" t="e">
        <f t="shared" si="1"/>
        <v>#N/A</v>
      </c>
      <c r="F2677" s="16" t="e">
        <f t="shared" ref="F2677:K2677" si="5388">VLOOKUP($A2677,[8]Movilidad!$A$1:$O$192,F$1,0)</f>
        <v>#N/A</v>
      </c>
      <c r="G2677" s="39" t="e">
        <f t="shared" si="5388"/>
        <v>#N/A</v>
      </c>
      <c r="H2677" s="16" t="e">
        <f t="shared" si="5388"/>
        <v>#N/A</v>
      </c>
      <c r="I2677" s="16" t="e">
        <f t="shared" si="5388"/>
        <v>#N/A</v>
      </c>
      <c r="J2677" s="40" t="e">
        <f t="shared" si="5388"/>
        <v>#N/A</v>
      </c>
      <c r="K2677" s="16" t="e">
        <f t="shared" si="5388"/>
        <v>#N/A</v>
      </c>
      <c r="L2677" s="40" t="e">
        <f t="shared" si="4837"/>
        <v>#N/A</v>
      </c>
      <c r="M2677" s="16" t="e">
        <f t="shared" si="4838"/>
        <v>#N/A</v>
      </c>
      <c r="N2677" s="16" t="e">
        <f t="shared" si="4839"/>
        <v>#N/A</v>
      </c>
      <c r="O2677" s="16" t="s">
        <v>72</v>
      </c>
      <c r="P2677" s="16" t="str">
        <f t="shared" si="6"/>
        <v/>
      </c>
      <c r="Q2677" s="41" t="e">
        <f t="shared" si="4840"/>
        <v>#N/A</v>
      </c>
      <c r="R2677" s="44"/>
      <c r="S2677" s="44"/>
      <c r="T2677" s="43"/>
      <c r="U2677" s="43" t="str">
        <f t="shared" si="8"/>
        <v>No</v>
      </c>
      <c r="V2677" s="25"/>
      <c r="W2677" s="25"/>
      <c r="X2677" s="25"/>
      <c r="Y2677" s="25"/>
      <c r="Z2677" s="25"/>
    </row>
    <row r="2678" spans="1:26" ht="15.75" customHeight="1" x14ac:dyDescent="0.25">
      <c r="A2678" s="25">
        <v>2676</v>
      </c>
      <c r="B2678" s="37" t="e">
        <f t="shared" ref="B2678:D2678" si="5389">VLOOKUP($A2678,[8]Movilidad!$A$1:$O$192,B$1,0)</f>
        <v>#N/A</v>
      </c>
      <c r="C2678" s="38" t="e">
        <f t="shared" si="5389"/>
        <v>#N/A</v>
      </c>
      <c r="D2678" s="39" t="e">
        <f t="shared" si="5389"/>
        <v>#N/A</v>
      </c>
      <c r="E2678" s="16" t="e">
        <f t="shared" si="1"/>
        <v>#N/A</v>
      </c>
      <c r="F2678" s="16" t="e">
        <f t="shared" ref="F2678:K2678" si="5390">VLOOKUP($A2678,[8]Movilidad!$A$1:$O$192,F$1,0)</f>
        <v>#N/A</v>
      </c>
      <c r="G2678" s="39" t="e">
        <f t="shared" si="5390"/>
        <v>#N/A</v>
      </c>
      <c r="H2678" s="16" t="e">
        <f t="shared" si="5390"/>
        <v>#N/A</v>
      </c>
      <c r="I2678" s="16" t="e">
        <f t="shared" si="5390"/>
        <v>#N/A</v>
      </c>
      <c r="J2678" s="40" t="e">
        <f t="shared" si="5390"/>
        <v>#N/A</v>
      </c>
      <c r="K2678" s="16" t="e">
        <f t="shared" si="5390"/>
        <v>#N/A</v>
      </c>
      <c r="L2678" s="40" t="e">
        <f t="shared" si="4837"/>
        <v>#N/A</v>
      </c>
      <c r="M2678" s="16" t="e">
        <f t="shared" si="4838"/>
        <v>#N/A</v>
      </c>
      <c r="N2678" s="16" t="e">
        <f t="shared" si="4839"/>
        <v>#N/A</v>
      </c>
      <c r="O2678" s="16" t="s">
        <v>72</v>
      </c>
      <c r="P2678" s="16" t="str">
        <f t="shared" si="6"/>
        <v/>
      </c>
      <c r="Q2678" s="41" t="e">
        <f t="shared" si="4840"/>
        <v>#N/A</v>
      </c>
      <c r="R2678" s="44"/>
      <c r="S2678" s="44"/>
      <c r="T2678" s="43"/>
      <c r="U2678" s="43" t="str">
        <f t="shared" si="8"/>
        <v>No</v>
      </c>
      <c r="V2678" s="25"/>
      <c r="W2678" s="25"/>
      <c r="X2678" s="25"/>
      <c r="Y2678" s="25"/>
      <c r="Z2678" s="25"/>
    </row>
    <row r="2679" spans="1:26" ht="15.75" customHeight="1" x14ac:dyDescent="0.25">
      <c r="A2679" s="25">
        <v>2677</v>
      </c>
      <c r="B2679" s="37" t="e">
        <f t="shared" ref="B2679:D2679" si="5391">VLOOKUP($A2679,[8]Movilidad!$A$1:$O$192,B$1,0)</f>
        <v>#N/A</v>
      </c>
      <c r="C2679" s="38" t="e">
        <f t="shared" si="5391"/>
        <v>#N/A</v>
      </c>
      <c r="D2679" s="39" t="e">
        <f t="shared" si="5391"/>
        <v>#N/A</v>
      </c>
      <c r="E2679" s="16" t="e">
        <f t="shared" si="1"/>
        <v>#N/A</v>
      </c>
      <c r="F2679" s="16" t="e">
        <f t="shared" ref="F2679:K2679" si="5392">VLOOKUP($A2679,[8]Movilidad!$A$1:$O$192,F$1,0)</f>
        <v>#N/A</v>
      </c>
      <c r="G2679" s="39" t="e">
        <f t="shared" si="5392"/>
        <v>#N/A</v>
      </c>
      <c r="H2679" s="16" t="e">
        <f t="shared" si="5392"/>
        <v>#N/A</v>
      </c>
      <c r="I2679" s="16" t="e">
        <f t="shared" si="5392"/>
        <v>#N/A</v>
      </c>
      <c r="J2679" s="40" t="e">
        <f t="shared" si="5392"/>
        <v>#N/A</v>
      </c>
      <c r="K2679" s="16" t="e">
        <f t="shared" si="5392"/>
        <v>#N/A</v>
      </c>
      <c r="L2679" s="40" t="e">
        <f t="shared" si="4837"/>
        <v>#N/A</v>
      </c>
      <c r="M2679" s="16" t="e">
        <f t="shared" si="4838"/>
        <v>#N/A</v>
      </c>
      <c r="N2679" s="16" t="e">
        <f t="shared" si="4839"/>
        <v>#N/A</v>
      </c>
      <c r="O2679" s="16" t="s">
        <v>72</v>
      </c>
      <c r="P2679" s="16" t="str">
        <f t="shared" si="6"/>
        <v/>
      </c>
      <c r="Q2679" s="41" t="e">
        <f t="shared" si="4840"/>
        <v>#N/A</v>
      </c>
      <c r="R2679" s="44"/>
      <c r="S2679" s="44"/>
      <c r="T2679" s="43"/>
      <c r="U2679" s="43" t="str">
        <f t="shared" si="8"/>
        <v>No</v>
      </c>
      <c r="V2679" s="25"/>
      <c r="W2679" s="25"/>
      <c r="X2679" s="25"/>
      <c r="Y2679" s="25"/>
      <c r="Z2679" s="25"/>
    </row>
    <row r="2680" spans="1:26" ht="15.75" customHeight="1" x14ac:dyDescent="0.25">
      <c r="A2680" s="25">
        <v>2678</v>
      </c>
      <c r="B2680" s="37" t="e">
        <f t="shared" ref="B2680:D2680" si="5393">VLOOKUP($A2680,[8]Movilidad!$A$1:$O$192,B$1,0)</f>
        <v>#N/A</v>
      </c>
      <c r="C2680" s="38" t="e">
        <f t="shared" si="5393"/>
        <v>#N/A</v>
      </c>
      <c r="D2680" s="39" t="e">
        <f t="shared" si="5393"/>
        <v>#N/A</v>
      </c>
      <c r="E2680" s="16" t="e">
        <f t="shared" si="1"/>
        <v>#N/A</v>
      </c>
      <c r="F2680" s="16" t="e">
        <f t="shared" ref="F2680:K2680" si="5394">VLOOKUP($A2680,[8]Movilidad!$A$1:$O$192,F$1,0)</f>
        <v>#N/A</v>
      </c>
      <c r="G2680" s="39" t="e">
        <f t="shared" si="5394"/>
        <v>#N/A</v>
      </c>
      <c r="H2680" s="16" t="e">
        <f t="shared" si="5394"/>
        <v>#N/A</v>
      </c>
      <c r="I2680" s="16" t="e">
        <f t="shared" si="5394"/>
        <v>#N/A</v>
      </c>
      <c r="J2680" s="40" t="e">
        <f t="shared" si="5394"/>
        <v>#N/A</v>
      </c>
      <c r="K2680" s="16" t="e">
        <f t="shared" si="5394"/>
        <v>#N/A</v>
      </c>
      <c r="L2680" s="40" t="e">
        <f t="shared" si="4837"/>
        <v>#N/A</v>
      </c>
      <c r="M2680" s="16" t="e">
        <f t="shared" si="4838"/>
        <v>#N/A</v>
      </c>
      <c r="N2680" s="16" t="e">
        <f t="shared" si="4839"/>
        <v>#N/A</v>
      </c>
      <c r="O2680" s="16" t="s">
        <v>72</v>
      </c>
      <c r="P2680" s="16" t="str">
        <f t="shared" si="6"/>
        <v/>
      </c>
      <c r="Q2680" s="41" t="e">
        <f t="shared" si="4840"/>
        <v>#N/A</v>
      </c>
      <c r="R2680" s="44"/>
      <c r="S2680" s="44"/>
      <c r="T2680" s="43"/>
      <c r="U2680" s="43" t="str">
        <f t="shared" si="8"/>
        <v>No</v>
      </c>
      <c r="V2680" s="25"/>
      <c r="W2680" s="25"/>
      <c r="X2680" s="25"/>
      <c r="Y2680" s="25"/>
      <c r="Z2680" s="25"/>
    </row>
    <row r="2681" spans="1:26" ht="15.75" customHeight="1" x14ac:dyDescent="0.25">
      <c r="A2681" s="25">
        <v>2679</v>
      </c>
      <c r="B2681" s="37" t="e">
        <f t="shared" ref="B2681:D2681" si="5395">VLOOKUP($A2681,[8]Movilidad!$A$1:$O$192,B$1,0)</f>
        <v>#N/A</v>
      </c>
      <c r="C2681" s="38" t="e">
        <f t="shared" si="5395"/>
        <v>#N/A</v>
      </c>
      <c r="D2681" s="39" t="e">
        <f t="shared" si="5395"/>
        <v>#N/A</v>
      </c>
      <c r="E2681" s="16" t="e">
        <f t="shared" si="1"/>
        <v>#N/A</v>
      </c>
      <c r="F2681" s="16" t="e">
        <f t="shared" ref="F2681:K2681" si="5396">VLOOKUP($A2681,[8]Movilidad!$A$1:$O$192,F$1,0)</f>
        <v>#N/A</v>
      </c>
      <c r="G2681" s="39" t="e">
        <f t="shared" si="5396"/>
        <v>#N/A</v>
      </c>
      <c r="H2681" s="16" t="e">
        <f t="shared" si="5396"/>
        <v>#N/A</v>
      </c>
      <c r="I2681" s="16" t="e">
        <f t="shared" si="5396"/>
        <v>#N/A</v>
      </c>
      <c r="J2681" s="40" t="e">
        <f t="shared" si="5396"/>
        <v>#N/A</v>
      </c>
      <c r="K2681" s="16" t="e">
        <f t="shared" si="5396"/>
        <v>#N/A</v>
      </c>
      <c r="L2681" s="40" t="e">
        <f t="shared" si="4837"/>
        <v>#N/A</v>
      </c>
      <c r="M2681" s="16" t="e">
        <f t="shared" si="4838"/>
        <v>#N/A</v>
      </c>
      <c r="N2681" s="16" t="e">
        <f t="shared" si="4839"/>
        <v>#N/A</v>
      </c>
      <c r="O2681" s="16" t="s">
        <v>72</v>
      </c>
      <c r="P2681" s="16" t="str">
        <f t="shared" si="6"/>
        <v/>
      </c>
      <c r="Q2681" s="41" t="e">
        <f t="shared" si="4840"/>
        <v>#N/A</v>
      </c>
      <c r="R2681" s="44"/>
      <c r="S2681" s="44"/>
      <c r="T2681" s="43"/>
      <c r="U2681" s="43" t="str">
        <f t="shared" si="8"/>
        <v>No</v>
      </c>
      <c r="V2681" s="25"/>
      <c r="W2681" s="25"/>
      <c r="X2681" s="25"/>
      <c r="Y2681" s="25"/>
      <c r="Z2681" s="25"/>
    </row>
    <row r="2682" spans="1:26" ht="15.75" customHeight="1" x14ac:dyDescent="0.25">
      <c r="A2682" s="25">
        <v>2680</v>
      </c>
      <c r="B2682" s="37" t="e">
        <f t="shared" ref="B2682:D2682" si="5397">VLOOKUP($A2682,[8]Movilidad!$A$1:$O$192,B$1,0)</f>
        <v>#N/A</v>
      </c>
      <c r="C2682" s="38" t="e">
        <f t="shared" si="5397"/>
        <v>#N/A</v>
      </c>
      <c r="D2682" s="39" t="e">
        <f t="shared" si="5397"/>
        <v>#N/A</v>
      </c>
      <c r="E2682" s="16" t="e">
        <f t="shared" si="1"/>
        <v>#N/A</v>
      </c>
      <c r="F2682" s="16" t="e">
        <f t="shared" ref="F2682:K2682" si="5398">VLOOKUP($A2682,[8]Movilidad!$A$1:$O$192,F$1,0)</f>
        <v>#N/A</v>
      </c>
      <c r="G2682" s="39" t="e">
        <f t="shared" si="5398"/>
        <v>#N/A</v>
      </c>
      <c r="H2682" s="16" t="e">
        <f t="shared" si="5398"/>
        <v>#N/A</v>
      </c>
      <c r="I2682" s="16" t="e">
        <f t="shared" si="5398"/>
        <v>#N/A</v>
      </c>
      <c r="J2682" s="40" t="e">
        <f t="shared" si="5398"/>
        <v>#N/A</v>
      </c>
      <c r="K2682" s="16" t="e">
        <f t="shared" si="5398"/>
        <v>#N/A</v>
      </c>
      <c r="L2682" s="40" t="e">
        <f t="shared" si="4837"/>
        <v>#N/A</v>
      </c>
      <c r="M2682" s="16" t="e">
        <f t="shared" si="4838"/>
        <v>#N/A</v>
      </c>
      <c r="N2682" s="16" t="e">
        <f t="shared" si="4839"/>
        <v>#N/A</v>
      </c>
      <c r="O2682" s="16" t="s">
        <v>72</v>
      </c>
      <c r="P2682" s="16" t="str">
        <f t="shared" si="6"/>
        <v/>
      </c>
      <c r="Q2682" s="41" t="e">
        <f t="shared" si="4840"/>
        <v>#N/A</v>
      </c>
      <c r="R2682" s="44"/>
      <c r="S2682" s="44"/>
      <c r="T2682" s="43"/>
      <c r="U2682" s="43" t="str">
        <f t="shared" si="8"/>
        <v>No</v>
      </c>
      <c r="V2682" s="25"/>
      <c r="W2682" s="25"/>
      <c r="X2682" s="25"/>
      <c r="Y2682" s="25"/>
      <c r="Z2682" s="25"/>
    </row>
    <row r="2683" spans="1:26" ht="15.75" customHeight="1" x14ac:dyDescent="0.25">
      <c r="A2683" s="25">
        <v>2681</v>
      </c>
      <c r="B2683" s="37" t="e">
        <f t="shared" ref="B2683:D2683" si="5399">VLOOKUP($A2683,[8]Movilidad!$A$1:$O$192,B$1,0)</f>
        <v>#N/A</v>
      </c>
      <c r="C2683" s="38" t="e">
        <f t="shared" si="5399"/>
        <v>#N/A</v>
      </c>
      <c r="D2683" s="39" t="e">
        <f t="shared" si="5399"/>
        <v>#N/A</v>
      </c>
      <c r="E2683" s="16" t="e">
        <f t="shared" si="1"/>
        <v>#N/A</v>
      </c>
      <c r="F2683" s="16" t="e">
        <f t="shared" ref="F2683:K2683" si="5400">VLOOKUP($A2683,[8]Movilidad!$A$1:$O$192,F$1,0)</f>
        <v>#N/A</v>
      </c>
      <c r="G2683" s="39" t="e">
        <f t="shared" si="5400"/>
        <v>#N/A</v>
      </c>
      <c r="H2683" s="16" t="e">
        <f t="shared" si="5400"/>
        <v>#N/A</v>
      </c>
      <c r="I2683" s="16" t="e">
        <f t="shared" si="5400"/>
        <v>#N/A</v>
      </c>
      <c r="J2683" s="40" t="e">
        <f t="shared" si="5400"/>
        <v>#N/A</v>
      </c>
      <c r="K2683" s="16" t="e">
        <f t="shared" si="5400"/>
        <v>#N/A</v>
      </c>
      <c r="L2683" s="40" t="e">
        <f t="shared" si="4837"/>
        <v>#N/A</v>
      </c>
      <c r="M2683" s="16" t="e">
        <f t="shared" si="4838"/>
        <v>#N/A</v>
      </c>
      <c r="N2683" s="16" t="e">
        <f t="shared" si="4839"/>
        <v>#N/A</v>
      </c>
      <c r="O2683" s="16" t="s">
        <v>72</v>
      </c>
      <c r="P2683" s="16" t="str">
        <f t="shared" si="6"/>
        <v/>
      </c>
      <c r="Q2683" s="41" t="e">
        <f t="shared" si="4840"/>
        <v>#N/A</v>
      </c>
      <c r="R2683" s="44"/>
      <c r="S2683" s="44"/>
      <c r="T2683" s="43"/>
      <c r="U2683" s="43" t="str">
        <f t="shared" si="8"/>
        <v>No</v>
      </c>
      <c r="V2683" s="25"/>
      <c r="W2683" s="25"/>
      <c r="X2683" s="25"/>
      <c r="Y2683" s="25"/>
      <c r="Z2683" s="25"/>
    </row>
    <row r="2684" spans="1:26" ht="15.75" customHeight="1" x14ac:dyDescent="0.25">
      <c r="A2684" s="25">
        <v>2682</v>
      </c>
      <c r="B2684" s="37" t="e">
        <f t="shared" ref="B2684:D2684" si="5401">VLOOKUP($A2684,[8]Movilidad!$A$1:$O$192,B$1,0)</f>
        <v>#N/A</v>
      </c>
      <c r="C2684" s="38" t="e">
        <f t="shared" si="5401"/>
        <v>#N/A</v>
      </c>
      <c r="D2684" s="39" t="e">
        <f t="shared" si="5401"/>
        <v>#N/A</v>
      </c>
      <c r="E2684" s="16" t="e">
        <f t="shared" si="1"/>
        <v>#N/A</v>
      </c>
      <c r="F2684" s="16" t="e">
        <f t="shared" ref="F2684:K2684" si="5402">VLOOKUP($A2684,[8]Movilidad!$A$1:$O$192,F$1,0)</f>
        <v>#N/A</v>
      </c>
      <c r="G2684" s="39" t="e">
        <f t="shared" si="5402"/>
        <v>#N/A</v>
      </c>
      <c r="H2684" s="16" t="e">
        <f t="shared" si="5402"/>
        <v>#N/A</v>
      </c>
      <c r="I2684" s="16" t="e">
        <f t="shared" si="5402"/>
        <v>#N/A</v>
      </c>
      <c r="J2684" s="40" t="e">
        <f t="shared" si="5402"/>
        <v>#N/A</v>
      </c>
      <c r="K2684" s="16" t="e">
        <f t="shared" si="5402"/>
        <v>#N/A</v>
      </c>
      <c r="L2684" s="40" t="e">
        <f t="shared" si="4837"/>
        <v>#N/A</v>
      </c>
      <c r="M2684" s="16" t="e">
        <f t="shared" si="4838"/>
        <v>#N/A</v>
      </c>
      <c r="N2684" s="16" t="e">
        <f t="shared" si="4839"/>
        <v>#N/A</v>
      </c>
      <c r="O2684" s="16" t="s">
        <v>72</v>
      </c>
      <c r="P2684" s="16" t="str">
        <f t="shared" si="6"/>
        <v/>
      </c>
      <c r="Q2684" s="41" t="e">
        <f t="shared" si="4840"/>
        <v>#N/A</v>
      </c>
      <c r="R2684" s="44"/>
      <c r="S2684" s="44"/>
      <c r="T2684" s="43"/>
      <c r="U2684" s="43" t="str">
        <f t="shared" si="8"/>
        <v>No</v>
      </c>
      <c r="V2684" s="25"/>
      <c r="W2684" s="25"/>
      <c r="X2684" s="25"/>
      <c r="Y2684" s="25"/>
      <c r="Z2684" s="25"/>
    </row>
    <row r="2685" spans="1:26" ht="15.75" customHeight="1" x14ac:dyDescent="0.25">
      <c r="A2685" s="25">
        <v>2683</v>
      </c>
      <c r="B2685" s="37" t="e">
        <f t="shared" ref="B2685:D2685" si="5403">VLOOKUP($A2685,[8]Movilidad!$A$1:$O$192,B$1,0)</f>
        <v>#N/A</v>
      </c>
      <c r="C2685" s="38" t="e">
        <f t="shared" si="5403"/>
        <v>#N/A</v>
      </c>
      <c r="D2685" s="39" t="e">
        <f t="shared" si="5403"/>
        <v>#N/A</v>
      </c>
      <c r="E2685" s="16" t="e">
        <f t="shared" si="1"/>
        <v>#N/A</v>
      </c>
      <c r="F2685" s="16" t="e">
        <f t="shared" ref="F2685:K2685" si="5404">VLOOKUP($A2685,[8]Movilidad!$A$1:$O$192,F$1,0)</f>
        <v>#N/A</v>
      </c>
      <c r="G2685" s="39" t="e">
        <f t="shared" si="5404"/>
        <v>#N/A</v>
      </c>
      <c r="H2685" s="16" t="e">
        <f t="shared" si="5404"/>
        <v>#N/A</v>
      </c>
      <c r="I2685" s="16" t="e">
        <f t="shared" si="5404"/>
        <v>#N/A</v>
      </c>
      <c r="J2685" s="40" t="e">
        <f t="shared" si="5404"/>
        <v>#N/A</v>
      </c>
      <c r="K2685" s="16" t="e">
        <f t="shared" si="5404"/>
        <v>#N/A</v>
      </c>
      <c r="L2685" s="40" t="e">
        <f t="shared" si="4837"/>
        <v>#N/A</v>
      </c>
      <c r="M2685" s="16" t="e">
        <f t="shared" si="4838"/>
        <v>#N/A</v>
      </c>
      <c r="N2685" s="16" t="e">
        <f t="shared" si="4839"/>
        <v>#N/A</v>
      </c>
      <c r="O2685" s="16" t="s">
        <v>72</v>
      </c>
      <c r="P2685" s="16" t="str">
        <f t="shared" si="6"/>
        <v/>
      </c>
      <c r="Q2685" s="41" t="e">
        <f t="shared" si="4840"/>
        <v>#N/A</v>
      </c>
      <c r="R2685" s="44"/>
      <c r="S2685" s="44"/>
      <c r="T2685" s="43"/>
      <c r="U2685" s="43" t="str">
        <f t="shared" si="8"/>
        <v>No</v>
      </c>
      <c r="V2685" s="25"/>
      <c r="W2685" s="25"/>
      <c r="X2685" s="25"/>
      <c r="Y2685" s="25"/>
      <c r="Z2685" s="25"/>
    </row>
    <row r="2686" spans="1:26" ht="15.75" customHeight="1" x14ac:dyDescent="0.25">
      <c r="A2686" s="25">
        <v>2684</v>
      </c>
      <c r="B2686" s="37" t="e">
        <f t="shared" ref="B2686:D2686" si="5405">VLOOKUP($A2686,[8]Movilidad!$A$1:$O$192,B$1,0)</f>
        <v>#N/A</v>
      </c>
      <c r="C2686" s="38" t="e">
        <f t="shared" si="5405"/>
        <v>#N/A</v>
      </c>
      <c r="D2686" s="39" t="e">
        <f t="shared" si="5405"/>
        <v>#N/A</v>
      </c>
      <c r="E2686" s="16" t="e">
        <f t="shared" si="1"/>
        <v>#N/A</v>
      </c>
      <c r="F2686" s="16" t="e">
        <f t="shared" ref="F2686:K2686" si="5406">VLOOKUP($A2686,[8]Movilidad!$A$1:$O$192,F$1,0)</f>
        <v>#N/A</v>
      </c>
      <c r="G2686" s="39" t="e">
        <f t="shared" si="5406"/>
        <v>#N/A</v>
      </c>
      <c r="H2686" s="16" t="e">
        <f t="shared" si="5406"/>
        <v>#N/A</v>
      </c>
      <c r="I2686" s="16" t="e">
        <f t="shared" si="5406"/>
        <v>#N/A</v>
      </c>
      <c r="J2686" s="40" t="e">
        <f t="shared" si="5406"/>
        <v>#N/A</v>
      </c>
      <c r="K2686" s="16" t="e">
        <f t="shared" si="5406"/>
        <v>#N/A</v>
      </c>
      <c r="L2686" s="40" t="e">
        <f t="shared" si="4837"/>
        <v>#N/A</v>
      </c>
      <c r="M2686" s="16" t="e">
        <f t="shared" si="4838"/>
        <v>#N/A</v>
      </c>
      <c r="N2686" s="16" t="e">
        <f t="shared" si="4839"/>
        <v>#N/A</v>
      </c>
      <c r="O2686" s="16" t="s">
        <v>72</v>
      </c>
      <c r="P2686" s="16" t="str">
        <f t="shared" si="6"/>
        <v/>
      </c>
      <c r="Q2686" s="41" t="e">
        <f t="shared" si="4840"/>
        <v>#N/A</v>
      </c>
      <c r="R2686" s="44"/>
      <c r="S2686" s="44"/>
      <c r="T2686" s="43"/>
      <c r="U2686" s="43" t="str">
        <f t="shared" si="8"/>
        <v>No</v>
      </c>
      <c r="V2686" s="25"/>
      <c r="W2686" s="25"/>
      <c r="X2686" s="25"/>
      <c r="Y2686" s="25"/>
      <c r="Z2686" s="25"/>
    </row>
    <row r="2687" spans="1:26" ht="15.75" customHeight="1" x14ac:dyDescent="0.25">
      <c r="A2687" s="25">
        <v>2685</v>
      </c>
      <c r="B2687" s="37" t="e">
        <f t="shared" ref="B2687:D2687" si="5407">VLOOKUP($A2687,[8]Movilidad!$A$1:$O$192,B$1,0)</f>
        <v>#N/A</v>
      </c>
      <c r="C2687" s="38" t="e">
        <f t="shared" si="5407"/>
        <v>#N/A</v>
      </c>
      <c r="D2687" s="39" t="e">
        <f t="shared" si="5407"/>
        <v>#N/A</v>
      </c>
      <c r="E2687" s="16" t="e">
        <f t="shared" si="1"/>
        <v>#N/A</v>
      </c>
      <c r="F2687" s="16" t="e">
        <f t="shared" ref="F2687:K2687" si="5408">VLOOKUP($A2687,[8]Movilidad!$A$1:$O$192,F$1,0)</f>
        <v>#N/A</v>
      </c>
      <c r="G2687" s="39" t="e">
        <f t="shared" si="5408"/>
        <v>#N/A</v>
      </c>
      <c r="H2687" s="16" t="e">
        <f t="shared" si="5408"/>
        <v>#N/A</v>
      </c>
      <c r="I2687" s="16" t="e">
        <f t="shared" si="5408"/>
        <v>#N/A</v>
      </c>
      <c r="J2687" s="40" t="e">
        <f t="shared" si="5408"/>
        <v>#N/A</v>
      </c>
      <c r="K2687" s="16" t="e">
        <f t="shared" si="5408"/>
        <v>#N/A</v>
      </c>
      <c r="L2687" s="40" t="e">
        <f t="shared" si="4837"/>
        <v>#N/A</v>
      </c>
      <c r="M2687" s="16" t="e">
        <f t="shared" si="4838"/>
        <v>#N/A</v>
      </c>
      <c r="N2687" s="16" t="e">
        <f t="shared" si="4839"/>
        <v>#N/A</v>
      </c>
      <c r="O2687" s="16" t="s">
        <v>72</v>
      </c>
      <c r="P2687" s="16" t="str">
        <f t="shared" si="6"/>
        <v/>
      </c>
      <c r="Q2687" s="41" t="e">
        <f t="shared" si="4840"/>
        <v>#N/A</v>
      </c>
      <c r="R2687" s="44"/>
      <c r="S2687" s="44"/>
      <c r="T2687" s="43"/>
      <c r="U2687" s="43" t="str">
        <f t="shared" si="8"/>
        <v>No</v>
      </c>
      <c r="V2687" s="25"/>
      <c r="W2687" s="25"/>
      <c r="X2687" s="25"/>
      <c r="Y2687" s="25"/>
      <c r="Z2687" s="25"/>
    </row>
    <row r="2688" spans="1:26" ht="15.75" customHeight="1" x14ac:dyDescent="0.25">
      <c r="A2688" s="25">
        <v>2686</v>
      </c>
      <c r="B2688" s="37" t="e">
        <f t="shared" ref="B2688:D2688" si="5409">VLOOKUP($A2688,[8]Movilidad!$A$1:$O$192,B$1,0)</f>
        <v>#N/A</v>
      </c>
      <c r="C2688" s="38" t="e">
        <f t="shared" si="5409"/>
        <v>#N/A</v>
      </c>
      <c r="D2688" s="39" t="e">
        <f t="shared" si="5409"/>
        <v>#N/A</v>
      </c>
      <c r="E2688" s="16" t="e">
        <f t="shared" si="1"/>
        <v>#N/A</v>
      </c>
      <c r="F2688" s="16" t="e">
        <f t="shared" ref="F2688:K2688" si="5410">VLOOKUP($A2688,[8]Movilidad!$A$1:$O$192,F$1,0)</f>
        <v>#N/A</v>
      </c>
      <c r="G2688" s="39" t="e">
        <f t="shared" si="5410"/>
        <v>#N/A</v>
      </c>
      <c r="H2688" s="16" t="e">
        <f t="shared" si="5410"/>
        <v>#N/A</v>
      </c>
      <c r="I2688" s="16" t="e">
        <f t="shared" si="5410"/>
        <v>#N/A</v>
      </c>
      <c r="J2688" s="40" t="e">
        <f t="shared" si="5410"/>
        <v>#N/A</v>
      </c>
      <c r="K2688" s="16" t="e">
        <f t="shared" si="5410"/>
        <v>#N/A</v>
      </c>
      <c r="L2688" s="40" t="e">
        <f t="shared" si="4837"/>
        <v>#N/A</v>
      </c>
      <c r="M2688" s="16" t="e">
        <f t="shared" si="4838"/>
        <v>#N/A</v>
      </c>
      <c r="N2688" s="16" t="e">
        <f t="shared" si="4839"/>
        <v>#N/A</v>
      </c>
      <c r="O2688" s="16" t="s">
        <v>72</v>
      </c>
      <c r="P2688" s="16" t="str">
        <f t="shared" si="6"/>
        <v/>
      </c>
      <c r="Q2688" s="41" t="e">
        <f t="shared" si="4840"/>
        <v>#N/A</v>
      </c>
      <c r="R2688" s="44"/>
      <c r="S2688" s="44"/>
      <c r="T2688" s="43"/>
      <c r="U2688" s="43" t="str">
        <f t="shared" si="8"/>
        <v>No</v>
      </c>
      <c r="V2688" s="25"/>
      <c r="W2688" s="25"/>
      <c r="X2688" s="25"/>
      <c r="Y2688" s="25"/>
      <c r="Z2688" s="25"/>
    </row>
    <row r="2689" spans="1:26" ht="15.75" customHeight="1" x14ac:dyDescent="0.25">
      <c r="A2689" s="25">
        <v>2687</v>
      </c>
      <c r="B2689" s="37" t="e">
        <f t="shared" ref="B2689:D2689" si="5411">VLOOKUP($A2689,[8]Movilidad!$A$1:$O$192,B$1,0)</f>
        <v>#N/A</v>
      </c>
      <c r="C2689" s="38" t="e">
        <f t="shared" si="5411"/>
        <v>#N/A</v>
      </c>
      <c r="D2689" s="39" t="e">
        <f t="shared" si="5411"/>
        <v>#N/A</v>
      </c>
      <c r="E2689" s="16" t="e">
        <f t="shared" si="1"/>
        <v>#N/A</v>
      </c>
      <c r="F2689" s="16" t="e">
        <f t="shared" ref="F2689:K2689" si="5412">VLOOKUP($A2689,[8]Movilidad!$A$1:$O$192,F$1,0)</f>
        <v>#N/A</v>
      </c>
      <c r="G2689" s="39" t="e">
        <f t="shared" si="5412"/>
        <v>#N/A</v>
      </c>
      <c r="H2689" s="16" t="e">
        <f t="shared" si="5412"/>
        <v>#N/A</v>
      </c>
      <c r="I2689" s="16" t="e">
        <f t="shared" si="5412"/>
        <v>#N/A</v>
      </c>
      <c r="J2689" s="40" t="e">
        <f t="shared" si="5412"/>
        <v>#N/A</v>
      </c>
      <c r="K2689" s="16" t="e">
        <f t="shared" si="5412"/>
        <v>#N/A</v>
      </c>
      <c r="L2689" s="40" t="e">
        <f t="shared" si="4837"/>
        <v>#N/A</v>
      </c>
      <c r="M2689" s="16" t="e">
        <f t="shared" si="4838"/>
        <v>#N/A</v>
      </c>
      <c r="N2689" s="16" t="e">
        <f t="shared" si="4839"/>
        <v>#N/A</v>
      </c>
      <c r="O2689" s="16" t="s">
        <v>72</v>
      </c>
      <c r="P2689" s="16" t="str">
        <f t="shared" si="6"/>
        <v/>
      </c>
      <c r="Q2689" s="41" t="e">
        <f t="shared" si="4840"/>
        <v>#N/A</v>
      </c>
      <c r="R2689" s="44"/>
      <c r="S2689" s="44"/>
      <c r="T2689" s="43"/>
      <c r="U2689" s="43" t="str">
        <f t="shared" si="8"/>
        <v>No</v>
      </c>
      <c r="V2689" s="25"/>
      <c r="W2689" s="25"/>
      <c r="X2689" s="25"/>
      <c r="Y2689" s="25"/>
      <c r="Z2689" s="25"/>
    </row>
    <row r="2690" spans="1:26" ht="15.75" customHeight="1" x14ac:dyDescent="0.25">
      <c r="A2690" s="25">
        <v>2688</v>
      </c>
      <c r="B2690" s="37" t="e">
        <f t="shared" ref="B2690:D2690" si="5413">VLOOKUP($A2690,[8]Movilidad!$A$1:$O$192,B$1,0)</f>
        <v>#N/A</v>
      </c>
      <c r="C2690" s="38" t="e">
        <f t="shared" si="5413"/>
        <v>#N/A</v>
      </c>
      <c r="D2690" s="39" t="e">
        <f t="shared" si="5413"/>
        <v>#N/A</v>
      </c>
      <c r="E2690" s="16" t="e">
        <f t="shared" si="1"/>
        <v>#N/A</v>
      </c>
      <c r="F2690" s="16" t="e">
        <f t="shared" ref="F2690:K2690" si="5414">VLOOKUP($A2690,[8]Movilidad!$A$1:$O$192,F$1,0)</f>
        <v>#N/A</v>
      </c>
      <c r="G2690" s="39" t="e">
        <f t="shared" si="5414"/>
        <v>#N/A</v>
      </c>
      <c r="H2690" s="16" t="e">
        <f t="shared" si="5414"/>
        <v>#N/A</v>
      </c>
      <c r="I2690" s="16" t="e">
        <f t="shared" si="5414"/>
        <v>#N/A</v>
      </c>
      <c r="J2690" s="40" t="e">
        <f t="shared" si="5414"/>
        <v>#N/A</v>
      </c>
      <c r="K2690" s="16" t="e">
        <f t="shared" si="5414"/>
        <v>#N/A</v>
      </c>
      <c r="L2690" s="40" t="e">
        <f t="shared" si="4837"/>
        <v>#N/A</v>
      </c>
      <c r="M2690" s="16" t="e">
        <f t="shared" si="4838"/>
        <v>#N/A</v>
      </c>
      <c r="N2690" s="16" t="e">
        <f t="shared" si="4839"/>
        <v>#N/A</v>
      </c>
      <c r="O2690" s="16" t="s">
        <v>72</v>
      </c>
      <c r="P2690" s="16" t="str">
        <f t="shared" si="6"/>
        <v/>
      </c>
      <c r="Q2690" s="41" t="e">
        <f t="shared" si="4840"/>
        <v>#N/A</v>
      </c>
      <c r="R2690" s="44"/>
      <c r="S2690" s="44"/>
      <c r="T2690" s="43"/>
      <c r="U2690" s="43" t="str">
        <f t="shared" si="8"/>
        <v>No</v>
      </c>
      <c r="V2690" s="25"/>
      <c r="W2690" s="25"/>
      <c r="X2690" s="25"/>
      <c r="Y2690" s="25"/>
      <c r="Z2690" s="25"/>
    </row>
    <row r="2691" spans="1:26" ht="15.75" customHeight="1" x14ac:dyDescent="0.25">
      <c r="A2691" s="25">
        <v>2689</v>
      </c>
      <c r="B2691" s="37" t="e">
        <f t="shared" ref="B2691:D2691" si="5415">VLOOKUP($A2691,[8]Movilidad!$A$1:$O$192,B$1,0)</f>
        <v>#N/A</v>
      </c>
      <c r="C2691" s="38" t="e">
        <f t="shared" si="5415"/>
        <v>#N/A</v>
      </c>
      <c r="D2691" s="39" t="e">
        <f t="shared" si="5415"/>
        <v>#N/A</v>
      </c>
      <c r="E2691" s="16" t="e">
        <f t="shared" si="1"/>
        <v>#N/A</v>
      </c>
      <c r="F2691" s="16" t="e">
        <f t="shared" ref="F2691:K2691" si="5416">VLOOKUP($A2691,[8]Movilidad!$A$1:$O$192,F$1,0)</f>
        <v>#N/A</v>
      </c>
      <c r="G2691" s="39" t="e">
        <f t="shared" si="5416"/>
        <v>#N/A</v>
      </c>
      <c r="H2691" s="16" t="e">
        <f t="shared" si="5416"/>
        <v>#N/A</v>
      </c>
      <c r="I2691" s="16" t="e">
        <f t="shared" si="5416"/>
        <v>#N/A</v>
      </c>
      <c r="J2691" s="40" t="e">
        <f t="shared" si="5416"/>
        <v>#N/A</v>
      </c>
      <c r="K2691" s="16" t="e">
        <f t="shared" si="5416"/>
        <v>#N/A</v>
      </c>
      <c r="L2691" s="40" t="e">
        <f t="shared" si="4837"/>
        <v>#N/A</v>
      </c>
      <c r="M2691" s="16" t="e">
        <f t="shared" si="4838"/>
        <v>#N/A</v>
      </c>
      <c r="N2691" s="16" t="e">
        <f t="shared" si="4839"/>
        <v>#N/A</v>
      </c>
      <c r="O2691" s="16" t="s">
        <v>72</v>
      </c>
      <c r="P2691" s="16" t="str">
        <f t="shared" si="6"/>
        <v/>
      </c>
      <c r="Q2691" s="41" t="e">
        <f t="shared" si="4840"/>
        <v>#N/A</v>
      </c>
      <c r="R2691" s="44"/>
      <c r="S2691" s="44"/>
      <c r="T2691" s="43"/>
      <c r="U2691" s="43" t="str">
        <f t="shared" si="8"/>
        <v>No</v>
      </c>
      <c r="V2691" s="25"/>
      <c r="W2691" s="25"/>
      <c r="X2691" s="25"/>
      <c r="Y2691" s="25"/>
      <c r="Z2691" s="25"/>
    </row>
    <row r="2692" spans="1:26" ht="15.75" customHeight="1" x14ac:dyDescent="0.25">
      <c r="A2692" s="25">
        <v>2690</v>
      </c>
      <c r="B2692" s="37" t="e">
        <f t="shared" ref="B2692:D2692" si="5417">VLOOKUP($A2692,[8]Movilidad!$A$1:$O$192,B$1,0)</f>
        <v>#N/A</v>
      </c>
      <c r="C2692" s="38" t="e">
        <f t="shared" si="5417"/>
        <v>#N/A</v>
      </c>
      <c r="D2692" s="39" t="e">
        <f t="shared" si="5417"/>
        <v>#N/A</v>
      </c>
      <c r="E2692" s="16" t="e">
        <f t="shared" si="1"/>
        <v>#N/A</v>
      </c>
      <c r="F2692" s="16" t="e">
        <f t="shared" ref="F2692:K2692" si="5418">VLOOKUP($A2692,[8]Movilidad!$A$1:$O$192,F$1,0)</f>
        <v>#N/A</v>
      </c>
      <c r="G2692" s="39" t="e">
        <f t="shared" si="5418"/>
        <v>#N/A</v>
      </c>
      <c r="H2692" s="16" t="e">
        <f t="shared" si="5418"/>
        <v>#N/A</v>
      </c>
      <c r="I2692" s="16" t="e">
        <f t="shared" si="5418"/>
        <v>#N/A</v>
      </c>
      <c r="J2692" s="40" t="e">
        <f t="shared" si="5418"/>
        <v>#N/A</v>
      </c>
      <c r="K2692" s="16" t="e">
        <f t="shared" si="5418"/>
        <v>#N/A</v>
      </c>
      <c r="L2692" s="40" t="e">
        <f t="shared" si="4837"/>
        <v>#N/A</v>
      </c>
      <c r="M2692" s="16" t="e">
        <f t="shared" si="4838"/>
        <v>#N/A</v>
      </c>
      <c r="N2692" s="16" t="e">
        <f t="shared" si="4839"/>
        <v>#N/A</v>
      </c>
      <c r="O2692" s="16" t="s">
        <v>72</v>
      </c>
      <c r="P2692" s="16" t="str">
        <f t="shared" si="6"/>
        <v/>
      </c>
      <c r="Q2692" s="41" t="e">
        <f t="shared" si="4840"/>
        <v>#N/A</v>
      </c>
      <c r="R2692" s="44"/>
      <c r="S2692" s="44"/>
      <c r="T2692" s="43"/>
      <c r="U2692" s="43" t="str">
        <f t="shared" si="8"/>
        <v>No</v>
      </c>
      <c r="V2692" s="25"/>
      <c r="W2692" s="25"/>
      <c r="X2692" s="25"/>
      <c r="Y2692" s="25"/>
      <c r="Z2692" s="25"/>
    </row>
    <row r="2693" spans="1:26" ht="15.75" customHeight="1" x14ac:dyDescent="0.25">
      <c r="A2693" s="25">
        <v>2691</v>
      </c>
      <c r="B2693" s="37" t="e">
        <f t="shared" ref="B2693:D2693" si="5419">VLOOKUP($A2693,[8]Movilidad!$A$1:$O$192,B$1,0)</f>
        <v>#N/A</v>
      </c>
      <c r="C2693" s="38" t="e">
        <f t="shared" si="5419"/>
        <v>#N/A</v>
      </c>
      <c r="D2693" s="39" t="e">
        <f t="shared" si="5419"/>
        <v>#N/A</v>
      </c>
      <c r="E2693" s="16" t="e">
        <f t="shared" si="1"/>
        <v>#N/A</v>
      </c>
      <c r="F2693" s="16" t="e">
        <f t="shared" ref="F2693:K2693" si="5420">VLOOKUP($A2693,[8]Movilidad!$A$1:$O$192,F$1,0)</f>
        <v>#N/A</v>
      </c>
      <c r="G2693" s="39" t="e">
        <f t="shared" si="5420"/>
        <v>#N/A</v>
      </c>
      <c r="H2693" s="16" t="e">
        <f t="shared" si="5420"/>
        <v>#N/A</v>
      </c>
      <c r="I2693" s="16" t="e">
        <f t="shared" si="5420"/>
        <v>#N/A</v>
      </c>
      <c r="J2693" s="40" t="e">
        <f t="shared" si="5420"/>
        <v>#N/A</v>
      </c>
      <c r="K2693" s="16" t="e">
        <f t="shared" si="5420"/>
        <v>#N/A</v>
      </c>
      <c r="L2693" s="40" t="e">
        <f t="shared" si="4837"/>
        <v>#N/A</v>
      </c>
      <c r="M2693" s="16" t="e">
        <f t="shared" si="4838"/>
        <v>#N/A</v>
      </c>
      <c r="N2693" s="16" t="e">
        <f t="shared" si="4839"/>
        <v>#N/A</v>
      </c>
      <c r="O2693" s="16" t="s">
        <v>72</v>
      </c>
      <c r="P2693" s="16" t="str">
        <f t="shared" si="6"/>
        <v/>
      </c>
      <c r="Q2693" s="41" t="e">
        <f t="shared" si="4840"/>
        <v>#N/A</v>
      </c>
      <c r="R2693" s="44"/>
      <c r="S2693" s="44"/>
      <c r="T2693" s="43"/>
      <c r="U2693" s="43" t="str">
        <f t="shared" si="8"/>
        <v>No</v>
      </c>
      <c r="V2693" s="25"/>
      <c r="W2693" s="25"/>
      <c r="X2693" s="25"/>
      <c r="Y2693" s="25"/>
      <c r="Z2693" s="25"/>
    </row>
    <row r="2694" spans="1:26" ht="15.75" customHeight="1" x14ac:dyDescent="0.25">
      <c r="A2694" s="25">
        <v>2692</v>
      </c>
      <c r="B2694" s="37" t="e">
        <f t="shared" ref="B2694:D2694" si="5421">VLOOKUP($A2694,[8]Movilidad!$A$1:$O$192,B$1,0)</f>
        <v>#N/A</v>
      </c>
      <c r="C2694" s="38" t="e">
        <f t="shared" si="5421"/>
        <v>#N/A</v>
      </c>
      <c r="D2694" s="39" t="e">
        <f t="shared" si="5421"/>
        <v>#N/A</v>
      </c>
      <c r="E2694" s="16" t="e">
        <f t="shared" si="1"/>
        <v>#N/A</v>
      </c>
      <c r="F2694" s="16" t="e">
        <f t="shared" ref="F2694:K2694" si="5422">VLOOKUP($A2694,[8]Movilidad!$A$1:$O$192,F$1,0)</f>
        <v>#N/A</v>
      </c>
      <c r="G2694" s="39" t="e">
        <f t="shared" si="5422"/>
        <v>#N/A</v>
      </c>
      <c r="H2694" s="16" t="e">
        <f t="shared" si="5422"/>
        <v>#N/A</v>
      </c>
      <c r="I2694" s="16" t="e">
        <f t="shared" si="5422"/>
        <v>#N/A</v>
      </c>
      <c r="J2694" s="40" t="e">
        <f t="shared" si="5422"/>
        <v>#N/A</v>
      </c>
      <c r="K2694" s="16" t="e">
        <f t="shared" si="5422"/>
        <v>#N/A</v>
      </c>
      <c r="L2694" s="40" t="e">
        <f t="shared" si="4837"/>
        <v>#N/A</v>
      </c>
      <c r="M2694" s="16" t="e">
        <f t="shared" si="4838"/>
        <v>#N/A</v>
      </c>
      <c r="N2694" s="16" t="e">
        <f t="shared" si="4839"/>
        <v>#N/A</v>
      </c>
      <c r="O2694" s="16" t="s">
        <v>72</v>
      </c>
      <c r="P2694" s="16" t="str">
        <f t="shared" si="6"/>
        <v/>
      </c>
      <c r="Q2694" s="41" t="e">
        <f t="shared" si="4840"/>
        <v>#N/A</v>
      </c>
      <c r="R2694" s="44"/>
      <c r="S2694" s="44"/>
      <c r="T2694" s="43"/>
      <c r="U2694" s="43" t="str">
        <f t="shared" si="8"/>
        <v>No</v>
      </c>
      <c r="V2694" s="25"/>
      <c r="W2694" s="25"/>
      <c r="X2694" s="25"/>
      <c r="Y2694" s="25"/>
      <c r="Z2694" s="25"/>
    </row>
    <row r="2695" spans="1:26" ht="15.75" customHeight="1" x14ac:dyDescent="0.25">
      <c r="A2695" s="25">
        <v>2693</v>
      </c>
      <c r="B2695" s="37" t="e">
        <f t="shared" ref="B2695:D2695" si="5423">VLOOKUP($A2695,[8]Movilidad!$A$1:$O$192,B$1,0)</f>
        <v>#N/A</v>
      </c>
      <c r="C2695" s="38" t="e">
        <f t="shared" si="5423"/>
        <v>#N/A</v>
      </c>
      <c r="D2695" s="39" t="e">
        <f t="shared" si="5423"/>
        <v>#N/A</v>
      </c>
      <c r="E2695" s="16" t="e">
        <f t="shared" si="1"/>
        <v>#N/A</v>
      </c>
      <c r="F2695" s="16" t="e">
        <f t="shared" ref="F2695:K2695" si="5424">VLOOKUP($A2695,[8]Movilidad!$A$1:$O$192,F$1,0)</f>
        <v>#N/A</v>
      </c>
      <c r="G2695" s="39" t="e">
        <f t="shared" si="5424"/>
        <v>#N/A</v>
      </c>
      <c r="H2695" s="16" t="e">
        <f t="shared" si="5424"/>
        <v>#N/A</v>
      </c>
      <c r="I2695" s="16" t="e">
        <f t="shared" si="5424"/>
        <v>#N/A</v>
      </c>
      <c r="J2695" s="40" t="e">
        <f t="shared" si="5424"/>
        <v>#N/A</v>
      </c>
      <c r="K2695" s="16" t="e">
        <f t="shared" si="5424"/>
        <v>#N/A</v>
      </c>
      <c r="L2695" s="40" t="e">
        <f t="shared" si="4837"/>
        <v>#N/A</v>
      </c>
      <c r="M2695" s="16" t="e">
        <f t="shared" si="4838"/>
        <v>#N/A</v>
      </c>
      <c r="N2695" s="16" t="e">
        <f t="shared" si="4839"/>
        <v>#N/A</v>
      </c>
      <c r="O2695" s="16" t="s">
        <v>72</v>
      </c>
      <c r="P2695" s="16" t="str">
        <f t="shared" si="6"/>
        <v/>
      </c>
      <c r="Q2695" s="41" t="e">
        <f t="shared" si="4840"/>
        <v>#N/A</v>
      </c>
      <c r="R2695" s="44"/>
      <c r="S2695" s="44"/>
      <c r="T2695" s="43"/>
      <c r="U2695" s="43" t="str">
        <f t="shared" si="8"/>
        <v>No</v>
      </c>
      <c r="V2695" s="25"/>
      <c r="W2695" s="25"/>
      <c r="X2695" s="25"/>
      <c r="Y2695" s="25"/>
      <c r="Z2695" s="25"/>
    </row>
    <row r="2696" spans="1:26" ht="15.75" customHeight="1" x14ac:dyDescent="0.25">
      <c r="A2696" s="25">
        <v>2694</v>
      </c>
      <c r="B2696" s="37" t="e">
        <f t="shared" ref="B2696:D2696" si="5425">VLOOKUP($A2696,[8]Movilidad!$A$1:$O$192,B$1,0)</f>
        <v>#N/A</v>
      </c>
      <c r="C2696" s="38" t="e">
        <f t="shared" si="5425"/>
        <v>#N/A</v>
      </c>
      <c r="D2696" s="39" t="e">
        <f t="shared" si="5425"/>
        <v>#N/A</v>
      </c>
      <c r="E2696" s="16" t="e">
        <f t="shared" si="1"/>
        <v>#N/A</v>
      </c>
      <c r="F2696" s="16" t="e">
        <f t="shared" ref="F2696:K2696" si="5426">VLOOKUP($A2696,[8]Movilidad!$A$1:$O$192,F$1,0)</f>
        <v>#N/A</v>
      </c>
      <c r="G2696" s="39" t="e">
        <f t="shared" si="5426"/>
        <v>#N/A</v>
      </c>
      <c r="H2696" s="16" t="e">
        <f t="shared" si="5426"/>
        <v>#N/A</v>
      </c>
      <c r="I2696" s="16" t="e">
        <f t="shared" si="5426"/>
        <v>#N/A</v>
      </c>
      <c r="J2696" s="40" t="e">
        <f t="shared" si="5426"/>
        <v>#N/A</v>
      </c>
      <c r="K2696" s="16" t="e">
        <f t="shared" si="5426"/>
        <v>#N/A</v>
      </c>
      <c r="L2696" s="40" t="e">
        <f t="shared" si="4837"/>
        <v>#N/A</v>
      </c>
      <c r="M2696" s="16" t="e">
        <f t="shared" si="4838"/>
        <v>#N/A</v>
      </c>
      <c r="N2696" s="16" t="e">
        <f t="shared" si="4839"/>
        <v>#N/A</v>
      </c>
      <c r="O2696" s="16" t="s">
        <v>72</v>
      </c>
      <c r="P2696" s="16" t="str">
        <f t="shared" si="6"/>
        <v/>
      </c>
      <c r="Q2696" s="41" t="e">
        <f t="shared" si="4840"/>
        <v>#N/A</v>
      </c>
      <c r="R2696" s="44"/>
      <c r="S2696" s="44"/>
      <c r="T2696" s="43"/>
      <c r="U2696" s="43" t="str">
        <f t="shared" si="8"/>
        <v>No</v>
      </c>
      <c r="V2696" s="25"/>
      <c r="W2696" s="25"/>
      <c r="X2696" s="25"/>
      <c r="Y2696" s="25"/>
      <c r="Z2696" s="25"/>
    </row>
    <row r="2697" spans="1:26" ht="15.75" customHeight="1" x14ac:dyDescent="0.25">
      <c r="A2697" s="25">
        <v>2695</v>
      </c>
      <c r="B2697" s="37" t="e">
        <f t="shared" ref="B2697:D2697" si="5427">VLOOKUP($A2697,[8]Movilidad!$A$1:$O$192,B$1,0)</f>
        <v>#N/A</v>
      </c>
      <c r="C2697" s="38" t="e">
        <f t="shared" si="5427"/>
        <v>#N/A</v>
      </c>
      <c r="D2697" s="39" t="e">
        <f t="shared" si="5427"/>
        <v>#N/A</v>
      </c>
      <c r="E2697" s="16" t="e">
        <f t="shared" si="1"/>
        <v>#N/A</v>
      </c>
      <c r="F2697" s="16" t="e">
        <f t="shared" ref="F2697:K2697" si="5428">VLOOKUP($A2697,[8]Movilidad!$A$1:$O$192,F$1,0)</f>
        <v>#N/A</v>
      </c>
      <c r="G2697" s="39" t="e">
        <f t="shared" si="5428"/>
        <v>#N/A</v>
      </c>
      <c r="H2697" s="16" t="e">
        <f t="shared" si="5428"/>
        <v>#N/A</v>
      </c>
      <c r="I2697" s="16" t="e">
        <f t="shared" si="5428"/>
        <v>#N/A</v>
      </c>
      <c r="J2697" s="40" t="e">
        <f t="shared" si="5428"/>
        <v>#N/A</v>
      </c>
      <c r="K2697" s="16" t="e">
        <f t="shared" si="5428"/>
        <v>#N/A</v>
      </c>
      <c r="L2697" s="40" t="e">
        <f t="shared" si="4837"/>
        <v>#N/A</v>
      </c>
      <c r="M2697" s="16" t="e">
        <f t="shared" si="4838"/>
        <v>#N/A</v>
      </c>
      <c r="N2697" s="16" t="e">
        <f t="shared" si="4839"/>
        <v>#N/A</v>
      </c>
      <c r="O2697" s="16" t="s">
        <v>72</v>
      </c>
      <c r="P2697" s="16" t="str">
        <f t="shared" si="6"/>
        <v/>
      </c>
      <c r="Q2697" s="41" t="e">
        <f t="shared" si="4840"/>
        <v>#N/A</v>
      </c>
      <c r="R2697" s="44"/>
      <c r="S2697" s="44"/>
      <c r="T2697" s="43"/>
      <c r="U2697" s="43" t="str">
        <f t="shared" si="8"/>
        <v>No</v>
      </c>
      <c r="V2697" s="25"/>
      <c r="W2697" s="25"/>
      <c r="X2697" s="25"/>
      <c r="Y2697" s="25"/>
      <c r="Z2697" s="25"/>
    </row>
    <row r="2698" spans="1:26" ht="15.75" customHeight="1" x14ac:dyDescent="0.25">
      <c r="A2698" s="25">
        <v>2696</v>
      </c>
      <c r="B2698" s="37" t="e">
        <f t="shared" ref="B2698:D2698" si="5429">VLOOKUP($A2698,[8]Movilidad!$A$1:$O$192,B$1,0)</f>
        <v>#N/A</v>
      </c>
      <c r="C2698" s="38" t="e">
        <f t="shared" si="5429"/>
        <v>#N/A</v>
      </c>
      <c r="D2698" s="39" t="e">
        <f t="shared" si="5429"/>
        <v>#N/A</v>
      </c>
      <c r="E2698" s="16" t="e">
        <f t="shared" si="1"/>
        <v>#N/A</v>
      </c>
      <c r="F2698" s="16" t="e">
        <f t="shared" ref="F2698:K2698" si="5430">VLOOKUP($A2698,[8]Movilidad!$A$1:$O$192,F$1,0)</f>
        <v>#N/A</v>
      </c>
      <c r="G2698" s="39" t="e">
        <f t="shared" si="5430"/>
        <v>#N/A</v>
      </c>
      <c r="H2698" s="16" t="e">
        <f t="shared" si="5430"/>
        <v>#N/A</v>
      </c>
      <c r="I2698" s="16" t="e">
        <f t="shared" si="5430"/>
        <v>#N/A</v>
      </c>
      <c r="J2698" s="40" t="e">
        <f t="shared" si="5430"/>
        <v>#N/A</v>
      </c>
      <c r="K2698" s="16" t="e">
        <f t="shared" si="5430"/>
        <v>#N/A</v>
      </c>
      <c r="L2698" s="40" t="e">
        <f t="shared" si="4837"/>
        <v>#N/A</v>
      </c>
      <c r="M2698" s="16" t="e">
        <f t="shared" si="4838"/>
        <v>#N/A</v>
      </c>
      <c r="N2698" s="16" t="e">
        <f t="shared" si="4839"/>
        <v>#N/A</v>
      </c>
      <c r="O2698" s="16" t="s">
        <v>72</v>
      </c>
      <c r="P2698" s="16" t="str">
        <f t="shared" si="6"/>
        <v/>
      </c>
      <c r="Q2698" s="41" t="e">
        <f t="shared" si="4840"/>
        <v>#N/A</v>
      </c>
      <c r="R2698" s="44"/>
      <c r="S2698" s="44"/>
      <c r="T2698" s="43"/>
      <c r="U2698" s="43" t="str">
        <f t="shared" si="8"/>
        <v>No</v>
      </c>
      <c r="V2698" s="25"/>
      <c r="W2698" s="25"/>
      <c r="X2698" s="25"/>
      <c r="Y2698" s="25"/>
      <c r="Z2698" s="25"/>
    </row>
    <row r="2699" spans="1:26" ht="15.75" customHeight="1" x14ac:dyDescent="0.25">
      <c r="A2699" s="25">
        <v>2697</v>
      </c>
      <c r="B2699" s="37" t="e">
        <f t="shared" ref="B2699:D2699" si="5431">VLOOKUP($A2699,[8]Movilidad!$A$1:$O$192,B$1,0)</f>
        <v>#N/A</v>
      </c>
      <c r="C2699" s="38" t="e">
        <f t="shared" si="5431"/>
        <v>#N/A</v>
      </c>
      <c r="D2699" s="39" t="e">
        <f t="shared" si="5431"/>
        <v>#N/A</v>
      </c>
      <c r="E2699" s="16" t="e">
        <f t="shared" si="1"/>
        <v>#N/A</v>
      </c>
      <c r="F2699" s="16" t="e">
        <f t="shared" ref="F2699:K2699" si="5432">VLOOKUP($A2699,[8]Movilidad!$A$1:$O$192,F$1,0)</f>
        <v>#N/A</v>
      </c>
      <c r="G2699" s="39" t="e">
        <f t="shared" si="5432"/>
        <v>#N/A</v>
      </c>
      <c r="H2699" s="16" t="e">
        <f t="shared" si="5432"/>
        <v>#N/A</v>
      </c>
      <c r="I2699" s="16" t="e">
        <f t="shared" si="5432"/>
        <v>#N/A</v>
      </c>
      <c r="J2699" s="40" t="e">
        <f t="shared" si="5432"/>
        <v>#N/A</v>
      </c>
      <c r="K2699" s="16" t="e">
        <f t="shared" si="5432"/>
        <v>#N/A</v>
      </c>
      <c r="L2699" s="40" t="e">
        <f t="shared" si="4837"/>
        <v>#N/A</v>
      </c>
      <c r="M2699" s="16" t="e">
        <f t="shared" si="4838"/>
        <v>#N/A</v>
      </c>
      <c r="N2699" s="16" t="e">
        <f t="shared" si="4839"/>
        <v>#N/A</v>
      </c>
      <c r="O2699" s="16" t="s">
        <v>72</v>
      </c>
      <c r="P2699" s="16" t="str">
        <f t="shared" si="6"/>
        <v/>
      </c>
      <c r="Q2699" s="41" t="e">
        <f t="shared" si="4840"/>
        <v>#N/A</v>
      </c>
      <c r="R2699" s="44"/>
      <c r="S2699" s="44"/>
      <c r="T2699" s="43"/>
      <c r="U2699" s="43" t="str">
        <f t="shared" si="8"/>
        <v>No</v>
      </c>
      <c r="V2699" s="25"/>
      <c r="W2699" s="25"/>
      <c r="X2699" s="25"/>
      <c r="Y2699" s="25"/>
      <c r="Z2699" s="25"/>
    </row>
    <row r="2700" spans="1:26" ht="15.75" customHeight="1" x14ac:dyDescent="0.25">
      <c r="A2700" s="25">
        <v>2698</v>
      </c>
      <c r="B2700" s="37" t="e">
        <f t="shared" ref="B2700:D2700" si="5433">VLOOKUP($A2700,[8]Movilidad!$A$1:$O$192,B$1,0)</f>
        <v>#N/A</v>
      </c>
      <c r="C2700" s="38" t="e">
        <f t="shared" si="5433"/>
        <v>#N/A</v>
      </c>
      <c r="D2700" s="39" t="e">
        <f t="shared" si="5433"/>
        <v>#N/A</v>
      </c>
      <c r="E2700" s="16" t="e">
        <f t="shared" si="1"/>
        <v>#N/A</v>
      </c>
      <c r="F2700" s="16" t="e">
        <f t="shared" ref="F2700:K2700" si="5434">VLOOKUP($A2700,[8]Movilidad!$A$1:$O$192,F$1,0)</f>
        <v>#N/A</v>
      </c>
      <c r="G2700" s="39" t="e">
        <f t="shared" si="5434"/>
        <v>#N/A</v>
      </c>
      <c r="H2700" s="16" t="e">
        <f t="shared" si="5434"/>
        <v>#N/A</v>
      </c>
      <c r="I2700" s="16" t="e">
        <f t="shared" si="5434"/>
        <v>#N/A</v>
      </c>
      <c r="J2700" s="40" t="e">
        <f t="shared" si="5434"/>
        <v>#N/A</v>
      </c>
      <c r="K2700" s="16" t="e">
        <f t="shared" si="5434"/>
        <v>#N/A</v>
      </c>
      <c r="L2700" s="40" t="e">
        <f t="shared" si="4837"/>
        <v>#N/A</v>
      </c>
      <c r="M2700" s="16" t="e">
        <f t="shared" si="4838"/>
        <v>#N/A</v>
      </c>
      <c r="N2700" s="16" t="e">
        <f t="shared" si="4839"/>
        <v>#N/A</v>
      </c>
      <c r="O2700" s="16" t="s">
        <v>72</v>
      </c>
      <c r="P2700" s="16" t="str">
        <f t="shared" si="6"/>
        <v/>
      </c>
      <c r="Q2700" s="41" t="e">
        <f t="shared" si="4840"/>
        <v>#N/A</v>
      </c>
      <c r="R2700" s="44"/>
      <c r="S2700" s="44"/>
      <c r="T2700" s="43"/>
      <c r="U2700" s="43" t="str">
        <f t="shared" si="8"/>
        <v>No</v>
      </c>
      <c r="V2700" s="25"/>
      <c r="W2700" s="25"/>
      <c r="X2700" s="25"/>
      <c r="Y2700" s="25"/>
      <c r="Z2700" s="25"/>
    </row>
    <row r="2701" spans="1:26" ht="15.75" customHeight="1" x14ac:dyDescent="0.25">
      <c r="A2701" s="25">
        <v>2699</v>
      </c>
      <c r="B2701" s="37" t="e">
        <f t="shared" ref="B2701:D2701" si="5435">VLOOKUP($A2701,[8]Movilidad!$A$1:$O$192,B$1,0)</f>
        <v>#N/A</v>
      </c>
      <c r="C2701" s="38" t="e">
        <f t="shared" si="5435"/>
        <v>#N/A</v>
      </c>
      <c r="D2701" s="39" t="e">
        <f t="shared" si="5435"/>
        <v>#N/A</v>
      </c>
      <c r="E2701" s="16" t="e">
        <f t="shared" si="1"/>
        <v>#N/A</v>
      </c>
      <c r="F2701" s="16" t="e">
        <f t="shared" ref="F2701:K2701" si="5436">VLOOKUP($A2701,[8]Movilidad!$A$1:$O$192,F$1,0)</f>
        <v>#N/A</v>
      </c>
      <c r="G2701" s="39" t="e">
        <f t="shared" si="5436"/>
        <v>#N/A</v>
      </c>
      <c r="H2701" s="16" t="e">
        <f t="shared" si="5436"/>
        <v>#N/A</v>
      </c>
      <c r="I2701" s="16" t="e">
        <f t="shared" si="5436"/>
        <v>#N/A</v>
      </c>
      <c r="J2701" s="40" t="e">
        <f t="shared" si="5436"/>
        <v>#N/A</v>
      </c>
      <c r="K2701" s="16" t="e">
        <f t="shared" si="5436"/>
        <v>#N/A</v>
      </c>
      <c r="L2701" s="40" t="e">
        <f t="shared" si="4837"/>
        <v>#N/A</v>
      </c>
      <c r="M2701" s="16" t="e">
        <f t="shared" si="4838"/>
        <v>#N/A</v>
      </c>
      <c r="N2701" s="16" t="e">
        <f t="shared" si="4839"/>
        <v>#N/A</v>
      </c>
      <c r="O2701" s="16" t="s">
        <v>72</v>
      </c>
      <c r="P2701" s="16" t="str">
        <f t="shared" si="6"/>
        <v/>
      </c>
      <c r="Q2701" s="41" t="e">
        <f t="shared" si="4840"/>
        <v>#N/A</v>
      </c>
      <c r="R2701" s="44"/>
      <c r="S2701" s="44"/>
      <c r="T2701" s="43"/>
      <c r="U2701" s="43" t="str">
        <f t="shared" si="8"/>
        <v>No</v>
      </c>
      <c r="V2701" s="25"/>
      <c r="W2701" s="25"/>
      <c r="X2701" s="25"/>
      <c r="Y2701" s="25"/>
      <c r="Z2701" s="25"/>
    </row>
    <row r="2702" spans="1:26" ht="15.75" customHeight="1" x14ac:dyDescent="0.25">
      <c r="A2702" s="25">
        <v>2700</v>
      </c>
      <c r="B2702" s="37" t="e">
        <f t="shared" ref="B2702:D2702" si="5437">VLOOKUP($A2702,[8]Movilidad!$A$1:$O$192,B$1,0)</f>
        <v>#N/A</v>
      </c>
      <c r="C2702" s="38" t="e">
        <f t="shared" si="5437"/>
        <v>#N/A</v>
      </c>
      <c r="D2702" s="39" t="e">
        <f t="shared" si="5437"/>
        <v>#N/A</v>
      </c>
      <c r="E2702" s="16" t="e">
        <f t="shared" si="1"/>
        <v>#N/A</v>
      </c>
      <c r="F2702" s="16" t="e">
        <f t="shared" ref="F2702:K2702" si="5438">VLOOKUP($A2702,[8]Movilidad!$A$1:$O$192,F$1,0)</f>
        <v>#N/A</v>
      </c>
      <c r="G2702" s="39" t="e">
        <f t="shared" si="5438"/>
        <v>#N/A</v>
      </c>
      <c r="H2702" s="16" t="e">
        <f t="shared" si="5438"/>
        <v>#N/A</v>
      </c>
      <c r="I2702" s="16" t="e">
        <f t="shared" si="5438"/>
        <v>#N/A</v>
      </c>
      <c r="J2702" s="40" t="e">
        <f t="shared" si="5438"/>
        <v>#N/A</v>
      </c>
      <c r="K2702" s="16" t="e">
        <f t="shared" si="5438"/>
        <v>#N/A</v>
      </c>
      <c r="L2702" s="40" t="e">
        <f t="shared" si="4837"/>
        <v>#N/A</v>
      </c>
      <c r="M2702" s="16" t="e">
        <f t="shared" si="4838"/>
        <v>#N/A</v>
      </c>
      <c r="N2702" s="16" t="e">
        <f t="shared" si="4839"/>
        <v>#N/A</v>
      </c>
      <c r="O2702" s="16" t="s">
        <v>72</v>
      </c>
      <c r="P2702" s="16" t="str">
        <f t="shared" si="6"/>
        <v/>
      </c>
      <c r="Q2702" s="41" t="e">
        <f t="shared" si="4840"/>
        <v>#N/A</v>
      </c>
      <c r="R2702" s="44"/>
      <c r="S2702" s="44"/>
      <c r="T2702" s="43"/>
      <c r="U2702" s="43" t="str">
        <f t="shared" si="8"/>
        <v>No</v>
      </c>
      <c r="V2702" s="25"/>
      <c r="W2702" s="25"/>
      <c r="X2702" s="25"/>
      <c r="Y2702" s="25"/>
      <c r="Z2702" s="25"/>
    </row>
    <row r="2703" spans="1:26" ht="15.75" customHeight="1" x14ac:dyDescent="0.25">
      <c r="A2703" s="25">
        <v>2701</v>
      </c>
      <c r="B2703" s="37" t="e">
        <f t="shared" ref="B2703:D2703" si="5439">VLOOKUP($A2703,[9]Hacienda!$A$1:$O$285,B$1,0)</f>
        <v>#N/A</v>
      </c>
      <c r="C2703" s="38" t="e">
        <f t="shared" si="5439"/>
        <v>#N/A</v>
      </c>
      <c r="D2703" s="39" t="e">
        <f t="shared" si="5439"/>
        <v>#N/A</v>
      </c>
      <c r="E2703" s="16" t="e">
        <f t="shared" si="1"/>
        <v>#N/A</v>
      </c>
      <c r="F2703" s="16" t="e">
        <f t="shared" ref="F2703:K2703" si="5440">VLOOKUP($A2703,[9]Hacienda!$A$1:$O$285,F$1,0)</f>
        <v>#N/A</v>
      </c>
      <c r="G2703" s="39" t="e">
        <f t="shared" si="5440"/>
        <v>#N/A</v>
      </c>
      <c r="H2703" s="16" t="e">
        <f t="shared" si="5440"/>
        <v>#N/A</v>
      </c>
      <c r="I2703" s="16" t="e">
        <f t="shared" si="5440"/>
        <v>#N/A</v>
      </c>
      <c r="J2703" s="40" t="e">
        <f t="shared" si="5440"/>
        <v>#N/A</v>
      </c>
      <c r="K2703" s="16" t="e">
        <f t="shared" si="5440"/>
        <v>#N/A</v>
      </c>
      <c r="L2703" s="40" t="e">
        <f t="shared" ref="L2703:L3002" si="5441">VLOOKUP($A2703,[9]Hacienda!$A$1:$O$285,13,0)</f>
        <v>#N/A</v>
      </c>
      <c r="M2703" s="16" t="e">
        <f t="shared" ref="M2703:M3002" si="5442">VLOOKUP($A2703,[9]Hacienda!$A$1:$O$285,14,0)</f>
        <v>#N/A</v>
      </c>
      <c r="N2703" s="16" t="e">
        <f t="shared" ref="N2703:N3002" si="5443">VLOOKUP($A2703,[9]Hacienda!$A$1:$O$285,15,0)</f>
        <v>#N/A</v>
      </c>
      <c r="O2703" s="16" t="s">
        <v>73</v>
      </c>
      <c r="P2703" s="16" t="str">
        <f t="shared" si="6"/>
        <v/>
      </c>
      <c r="Q2703" s="41" t="e">
        <f t="shared" ref="Q2703:Q3002" si="5444">VLOOKUP($A2703,[9]Hacienda!$A$1:$O$280,12,0)</f>
        <v>#N/A</v>
      </c>
      <c r="R2703" s="44"/>
      <c r="S2703" s="44"/>
      <c r="T2703" s="43"/>
      <c r="U2703" s="43" t="str">
        <f t="shared" si="8"/>
        <v>No</v>
      </c>
      <c r="V2703" s="25"/>
      <c r="W2703" s="25"/>
      <c r="X2703" s="25"/>
      <c r="Y2703" s="25"/>
      <c r="Z2703" s="25"/>
    </row>
    <row r="2704" spans="1:26" ht="15.75" customHeight="1" x14ac:dyDescent="0.25">
      <c r="A2704" s="25">
        <v>2702</v>
      </c>
      <c r="B2704" s="37" t="e">
        <f t="shared" ref="B2704:D2704" si="5445">VLOOKUP($A2704,[9]Hacienda!$A$1:$O$285,B$1,0)</f>
        <v>#N/A</v>
      </c>
      <c r="C2704" s="38" t="e">
        <f t="shared" si="5445"/>
        <v>#N/A</v>
      </c>
      <c r="D2704" s="39" t="e">
        <f t="shared" si="5445"/>
        <v>#N/A</v>
      </c>
      <c r="E2704" s="16" t="e">
        <f t="shared" si="1"/>
        <v>#N/A</v>
      </c>
      <c r="F2704" s="16" t="e">
        <f t="shared" ref="F2704:K2704" si="5446">VLOOKUP($A2704,[9]Hacienda!$A$1:$O$285,F$1,0)</f>
        <v>#N/A</v>
      </c>
      <c r="G2704" s="39" t="e">
        <f t="shared" si="5446"/>
        <v>#N/A</v>
      </c>
      <c r="H2704" s="16" t="e">
        <f t="shared" si="5446"/>
        <v>#N/A</v>
      </c>
      <c r="I2704" s="16" t="e">
        <f t="shared" si="5446"/>
        <v>#N/A</v>
      </c>
      <c r="J2704" s="40" t="e">
        <f t="shared" si="5446"/>
        <v>#N/A</v>
      </c>
      <c r="K2704" s="16" t="e">
        <f t="shared" si="5446"/>
        <v>#N/A</v>
      </c>
      <c r="L2704" s="40" t="e">
        <f t="shared" si="5441"/>
        <v>#N/A</v>
      </c>
      <c r="M2704" s="16" t="e">
        <f t="shared" si="5442"/>
        <v>#N/A</v>
      </c>
      <c r="N2704" s="16" t="e">
        <f t="shared" si="5443"/>
        <v>#N/A</v>
      </c>
      <c r="O2704" s="16" t="s">
        <v>73</v>
      </c>
      <c r="P2704" s="16" t="str">
        <f t="shared" si="6"/>
        <v/>
      </c>
      <c r="Q2704" s="41" t="e">
        <f t="shared" si="5444"/>
        <v>#N/A</v>
      </c>
      <c r="R2704" s="44"/>
      <c r="S2704" s="44"/>
      <c r="T2704" s="43"/>
      <c r="U2704" s="43" t="str">
        <f t="shared" si="8"/>
        <v>No</v>
      </c>
      <c r="V2704" s="25"/>
      <c r="W2704" s="25"/>
      <c r="X2704" s="25"/>
      <c r="Y2704" s="25"/>
      <c r="Z2704" s="25"/>
    </row>
    <row r="2705" spans="1:26" ht="15.75" customHeight="1" x14ac:dyDescent="0.25">
      <c r="A2705" s="25">
        <v>2703</v>
      </c>
      <c r="B2705" s="37" t="e">
        <f t="shared" ref="B2705:D2705" si="5447">VLOOKUP($A2705,[9]Hacienda!$A$1:$O$285,B$1,0)</f>
        <v>#N/A</v>
      </c>
      <c r="C2705" s="38" t="e">
        <f t="shared" si="5447"/>
        <v>#N/A</v>
      </c>
      <c r="D2705" s="39" t="e">
        <f t="shared" si="5447"/>
        <v>#N/A</v>
      </c>
      <c r="E2705" s="16" t="e">
        <f t="shared" si="1"/>
        <v>#N/A</v>
      </c>
      <c r="F2705" s="16" t="e">
        <f t="shared" ref="F2705:K2705" si="5448">VLOOKUP($A2705,[9]Hacienda!$A$1:$O$285,F$1,0)</f>
        <v>#N/A</v>
      </c>
      <c r="G2705" s="39" t="e">
        <f t="shared" si="5448"/>
        <v>#N/A</v>
      </c>
      <c r="H2705" s="16" t="e">
        <f t="shared" si="5448"/>
        <v>#N/A</v>
      </c>
      <c r="I2705" s="16" t="e">
        <f t="shared" si="5448"/>
        <v>#N/A</v>
      </c>
      <c r="J2705" s="40" t="e">
        <f t="shared" si="5448"/>
        <v>#N/A</v>
      </c>
      <c r="K2705" s="16" t="e">
        <f t="shared" si="5448"/>
        <v>#N/A</v>
      </c>
      <c r="L2705" s="40" t="e">
        <f t="shared" si="5441"/>
        <v>#N/A</v>
      </c>
      <c r="M2705" s="16" t="e">
        <f t="shared" si="5442"/>
        <v>#N/A</v>
      </c>
      <c r="N2705" s="16" t="e">
        <f t="shared" si="5443"/>
        <v>#N/A</v>
      </c>
      <c r="O2705" s="16" t="s">
        <v>73</v>
      </c>
      <c r="P2705" s="16" t="str">
        <f t="shared" si="6"/>
        <v/>
      </c>
      <c r="Q2705" s="48" t="e">
        <f t="shared" si="5444"/>
        <v>#N/A</v>
      </c>
      <c r="R2705" s="44"/>
      <c r="S2705" s="44"/>
      <c r="T2705" s="43"/>
      <c r="U2705" s="43" t="str">
        <f t="shared" si="8"/>
        <v>No</v>
      </c>
      <c r="V2705" s="25"/>
      <c r="W2705" s="25"/>
      <c r="X2705" s="25"/>
      <c r="Y2705" s="25"/>
      <c r="Z2705" s="25"/>
    </row>
    <row r="2706" spans="1:26" ht="15.75" customHeight="1" x14ac:dyDescent="0.25">
      <c r="A2706" s="25">
        <v>2704</v>
      </c>
      <c r="B2706" s="37" t="e">
        <f t="shared" ref="B2706:D2706" si="5449">VLOOKUP($A2706,[9]Hacienda!$A$1:$O$285,B$1,0)</f>
        <v>#N/A</v>
      </c>
      <c r="C2706" s="38" t="e">
        <f t="shared" si="5449"/>
        <v>#N/A</v>
      </c>
      <c r="D2706" s="39" t="e">
        <f t="shared" si="5449"/>
        <v>#N/A</v>
      </c>
      <c r="E2706" s="16" t="e">
        <f t="shared" si="1"/>
        <v>#N/A</v>
      </c>
      <c r="F2706" s="16" t="e">
        <f t="shared" ref="F2706:K2706" si="5450">VLOOKUP($A2706,[9]Hacienda!$A$1:$O$285,F$1,0)</f>
        <v>#N/A</v>
      </c>
      <c r="G2706" s="39" t="e">
        <f t="shared" si="5450"/>
        <v>#N/A</v>
      </c>
      <c r="H2706" s="16" t="e">
        <f t="shared" si="5450"/>
        <v>#N/A</v>
      </c>
      <c r="I2706" s="16" t="e">
        <f t="shared" si="5450"/>
        <v>#N/A</v>
      </c>
      <c r="J2706" s="40" t="e">
        <f t="shared" si="5450"/>
        <v>#N/A</v>
      </c>
      <c r="K2706" s="16" t="e">
        <f t="shared" si="5450"/>
        <v>#N/A</v>
      </c>
      <c r="L2706" s="40" t="e">
        <f t="shared" si="5441"/>
        <v>#N/A</v>
      </c>
      <c r="M2706" s="16" t="e">
        <f t="shared" si="5442"/>
        <v>#N/A</v>
      </c>
      <c r="N2706" s="16" t="e">
        <f t="shared" si="5443"/>
        <v>#N/A</v>
      </c>
      <c r="O2706" s="16" t="s">
        <v>73</v>
      </c>
      <c r="P2706" s="16" t="str">
        <f t="shared" si="6"/>
        <v/>
      </c>
      <c r="Q2706" s="41" t="e">
        <f t="shared" si="5444"/>
        <v>#N/A</v>
      </c>
      <c r="R2706" s="44"/>
      <c r="S2706" s="44"/>
      <c r="T2706" s="43"/>
      <c r="U2706" s="43" t="str">
        <f t="shared" si="8"/>
        <v>No</v>
      </c>
      <c r="V2706" s="25"/>
      <c r="W2706" s="25"/>
      <c r="X2706" s="25"/>
      <c r="Y2706" s="25"/>
      <c r="Z2706" s="25"/>
    </row>
    <row r="2707" spans="1:26" ht="15.75" customHeight="1" x14ac:dyDescent="0.25">
      <c r="A2707" s="25">
        <v>2705</v>
      </c>
      <c r="B2707" s="37" t="e">
        <f t="shared" ref="B2707:D2707" si="5451">VLOOKUP($A2707,[9]Hacienda!$A$1:$O$285,B$1,0)</f>
        <v>#N/A</v>
      </c>
      <c r="C2707" s="38" t="e">
        <f t="shared" si="5451"/>
        <v>#N/A</v>
      </c>
      <c r="D2707" s="39" t="e">
        <f t="shared" si="5451"/>
        <v>#N/A</v>
      </c>
      <c r="E2707" s="16" t="e">
        <f t="shared" si="1"/>
        <v>#N/A</v>
      </c>
      <c r="F2707" s="16" t="e">
        <f t="shared" ref="F2707:K2707" si="5452">VLOOKUP($A2707,[9]Hacienda!$A$1:$O$285,F$1,0)</f>
        <v>#N/A</v>
      </c>
      <c r="G2707" s="39" t="e">
        <f t="shared" si="5452"/>
        <v>#N/A</v>
      </c>
      <c r="H2707" s="16" t="e">
        <f t="shared" si="5452"/>
        <v>#N/A</v>
      </c>
      <c r="I2707" s="16" t="e">
        <f t="shared" si="5452"/>
        <v>#N/A</v>
      </c>
      <c r="J2707" s="40" t="e">
        <f t="shared" si="5452"/>
        <v>#N/A</v>
      </c>
      <c r="K2707" s="16" t="e">
        <f t="shared" si="5452"/>
        <v>#N/A</v>
      </c>
      <c r="L2707" s="40" t="e">
        <f t="shared" si="5441"/>
        <v>#N/A</v>
      </c>
      <c r="M2707" s="16" t="e">
        <f t="shared" si="5442"/>
        <v>#N/A</v>
      </c>
      <c r="N2707" s="16" t="e">
        <f t="shared" si="5443"/>
        <v>#N/A</v>
      </c>
      <c r="O2707" s="16" t="s">
        <v>73</v>
      </c>
      <c r="P2707" s="16" t="str">
        <f t="shared" si="6"/>
        <v/>
      </c>
      <c r="Q2707" s="48" t="e">
        <f t="shared" si="5444"/>
        <v>#N/A</v>
      </c>
      <c r="R2707" s="44"/>
      <c r="S2707" s="44"/>
      <c r="T2707" s="43"/>
      <c r="U2707" s="43" t="str">
        <f t="shared" si="8"/>
        <v>No</v>
      </c>
      <c r="V2707" s="25"/>
      <c r="W2707" s="25"/>
      <c r="X2707" s="25"/>
      <c r="Y2707" s="25"/>
      <c r="Z2707" s="25"/>
    </row>
    <row r="2708" spans="1:26" ht="15.75" customHeight="1" x14ac:dyDescent="0.25">
      <c r="A2708" s="25">
        <v>2706</v>
      </c>
      <c r="B2708" s="37" t="e">
        <f t="shared" ref="B2708:D2708" si="5453">VLOOKUP($A2708,[9]Hacienda!$A$1:$O$285,B$1,0)</f>
        <v>#N/A</v>
      </c>
      <c r="C2708" s="38" t="e">
        <f t="shared" si="5453"/>
        <v>#N/A</v>
      </c>
      <c r="D2708" s="39" t="e">
        <f t="shared" si="5453"/>
        <v>#N/A</v>
      </c>
      <c r="E2708" s="16" t="e">
        <f t="shared" si="1"/>
        <v>#N/A</v>
      </c>
      <c r="F2708" s="16" t="e">
        <f t="shared" ref="F2708:K2708" si="5454">VLOOKUP($A2708,[9]Hacienda!$A$1:$O$285,F$1,0)</f>
        <v>#N/A</v>
      </c>
      <c r="G2708" s="39" t="e">
        <f t="shared" si="5454"/>
        <v>#N/A</v>
      </c>
      <c r="H2708" s="16" t="e">
        <f t="shared" si="5454"/>
        <v>#N/A</v>
      </c>
      <c r="I2708" s="16" t="e">
        <f t="shared" si="5454"/>
        <v>#N/A</v>
      </c>
      <c r="J2708" s="40" t="e">
        <f t="shared" si="5454"/>
        <v>#N/A</v>
      </c>
      <c r="K2708" s="16" t="e">
        <f t="shared" si="5454"/>
        <v>#N/A</v>
      </c>
      <c r="L2708" s="40" t="e">
        <f t="shared" si="5441"/>
        <v>#N/A</v>
      </c>
      <c r="M2708" s="16" t="e">
        <f t="shared" si="5442"/>
        <v>#N/A</v>
      </c>
      <c r="N2708" s="16" t="e">
        <f t="shared" si="5443"/>
        <v>#N/A</v>
      </c>
      <c r="O2708" s="16" t="s">
        <v>73</v>
      </c>
      <c r="P2708" s="16" t="str">
        <f t="shared" si="6"/>
        <v/>
      </c>
      <c r="Q2708" s="41" t="e">
        <f t="shared" si="5444"/>
        <v>#N/A</v>
      </c>
      <c r="R2708" s="44"/>
      <c r="S2708" s="44"/>
      <c r="T2708" s="43"/>
      <c r="U2708" s="43" t="str">
        <f t="shared" si="8"/>
        <v>No</v>
      </c>
      <c r="V2708" s="25"/>
      <c r="W2708" s="25"/>
      <c r="X2708" s="25"/>
      <c r="Y2708" s="25"/>
      <c r="Z2708" s="25"/>
    </row>
    <row r="2709" spans="1:26" ht="15.75" customHeight="1" x14ac:dyDescent="0.25">
      <c r="A2709" s="25">
        <v>2707</v>
      </c>
      <c r="B2709" s="37" t="e">
        <f t="shared" ref="B2709:D2709" si="5455">VLOOKUP($A2709,[9]Hacienda!$A$1:$O$285,B$1,0)</f>
        <v>#N/A</v>
      </c>
      <c r="C2709" s="38" t="e">
        <f t="shared" si="5455"/>
        <v>#N/A</v>
      </c>
      <c r="D2709" s="39" t="e">
        <f t="shared" si="5455"/>
        <v>#N/A</v>
      </c>
      <c r="E2709" s="16" t="e">
        <f t="shared" si="1"/>
        <v>#N/A</v>
      </c>
      <c r="F2709" s="16" t="e">
        <f t="shared" ref="F2709:K2709" si="5456">VLOOKUP($A2709,[9]Hacienda!$A$1:$O$285,F$1,0)</f>
        <v>#N/A</v>
      </c>
      <c r="G2709" s="39" t="e">
        <f t="shared" si="5456"/>
        <v>#N/A</v>
      </c>
      <c r="H2709" s="16" t="e">
        <f t="shared" si="5456"/>
        <v>#N/A</v>
      </c>
      <c r="I2709" s="16" t="e">
        <f t="shared" si="5456"/>
        <v>#N/A</v>
      </c>
      <c r="J2709" s="40" t="e">
        <f t="shared" si="5456"/>
        <v>#N/A</v>
      </c>
      <c r="K2709" s="16" t="e">
        <f t="shared" si="5456"/>
        <v>#N/A</v>
      </c>
      <c r="L2709" s="40" t="e">
        <f t="shared" si="5441"/>
        <v>#N/A</v>
      </c>
      <c r="M2709" s="16" t="e">
        <f t="shared" si="5442"/>
        <v>#N/A</v>
      </c>
      <c r="N2709" s="16" t="e">
        <f t="shared" si="5443"/>
        <v>#N/A</v>
      </c>
      <c r="O2709" s="16" t="s">
        <v>73</v>
      </c>
      <c r="P2709" s="16" t="str">
        <f t="shared" si="6"/>
        <v/>
      </c>
      <c r="Q2709" s="41" t="e">
        <f t="shared" si="5444"/>
        <v>#N/A</v>
      </c>
      <c r="R2709" s="44"/>
      <c r="S2709" s="44"/>
      <c r="T2709" s="43"/>
      <c r="U2709" s="43" t="str">
        <f t="shared" si="8"/>
        <v>No</v>
      </c>
      <c r="V2709" s="25"/>
      <c r="W2709" s="25"/>
      <c r="X2709" s="25"/>
      <c r="Y2709" s="25"/>
      <c r="Z2709" s="25"/>
    </row>
    <row r="2710" spans="1:26" ht="15.75" customHeight="1" x14ac:dyDescent="0.25">
      <c r="A2710" s="25">
        <v>2708</v>
      </c>
      <c r="B2710" s="37" t="e">
        <f t="shared" ref="B2710:D2710" si="5457">VLOOKUP($A2710,[9]Hacienda!$A$1:$O$285,B$1,0)</f>
        <v>#N/A</v>
      </c>
      <c r="C2710" s="38" t="e">
        <f t="shared" si="5457"/>
        <v>#N/A</v>
      </c>
      <c r="D2710" s="39" t="e">
        <f t="shared" si="5457"/>
        <v>#N/A</v>
      </c>
      <c r="E2710" s="16" t="e">
        <f t="shared" si="1"/>
        <v>#N/A</v>
      </c>
      <c r="F2710" s="16" t="e">
        <f t="shared" ref="F2710:K2710" si="5458">VLOOKUP($A2710,[9]Hacienda!$A$1:$O$285,F$1,0)</f>
        <v>#N/A</v>
      </c>
      <c r="G2710" s="39" t="e">
        <f t="shared" si="5458"/>
        <v>#N/A</v>
      </c>
      <c r="H2710" s="16" t="e">
        <f t="shared" si="5458"/>
        <v>#N/A</v>
      </c>
      <c r="I2710" s="16" t="e">
        <f t="shared" si="5458"/>
        <v>#N/A</v>
      </c>
      <c r="J2710" s="40" t="e">
        <f t="shared" si="5458"/>
        <v>#N/A</v>
      </c>
      <c r="K2710" s="16" t="e">
        <f t="shared" si="5458"/>
        <v>#N/A</v>
      </c>
      <c r="L2710" s="40" t="e">
        <f t="shared" si="5441"/>
        <v>#N/A</v>
      </c>
      <c r="M2710" s="16" t="e">
        <f t="shared" si="5442"/>
        <v>#N/A</v>
      </c>
      <c r="N2710" s="16" t="e">
        <f t="shared" si="5443"/>
        <v>#N/A</v>
      </c>
      <c r="O2710" s="16" t="s">
        <v>73</v>
      </c>
      <c r="P2710" s="16" t="str">
        <f t="shared" si="6"/>
        <v/>
      </c>
      <c r="Q2710" s="41" t="e">
        <f t="shared" si="5444"/>
        <v>#N/A</v>
      </c>
      <c r="R2710" s="44"/>
      <c r="S2710" s="44"/>
      <c r="T2710" s="43"/>
      <c r="U2710" s="43" t="str">
        <f t="shared" si="8"/>
        <v>No</v>
      </c>
      <c r="V2710" s="25"/>
      <c r="W2710" s="25"/>
      <c r="X2710" s="25"/>
      <c r="Y2710" s="25"/>
      <c r="Z2710" s="25"/>
    </row>
    <row r="2711" spans="1:26" ht="15.75" customHeight="1" x14ac:dyDescent="0.25">
      <c r="A2711" s="25">
        <v>2709</v>
      </c>
      <c r="B2711" s="37" t="e">
        <f t="shared" ref="B2711:D2711" si="5459">VLOOKUP($A2711,[9]Hacienda!$A$1:$O$285,B$1,0)</f>
        <v>#N/A</v>
      </c>
      <c r="C2711" s="38" t="e">
        <f t="shared" si="5459"/>
        <v>#N/A</v>
      </c>
      <c r="D2711" s="39" t="e">
        <f t="shared" si="5459"/>
        <v>#N/A</v>
      </c>
      <c r="E2711" s="16" t="e">
        <f t="shared" si="1"/>
        <v>#N/A</v>
      </c>
      <c r="F2711" s="16" t="e">
        <f t="shared" ref="F2711:K2711" si="5460">VLOOKUP($A2711,[9]Hacienda!$A$1:$O$285,F$1,0)</f>
        <v>#N/A</v>
      </c>
      <c r="G2711" s="39" t="e">
        <f t="shared" si="5460"/>
        <v>#N/A</v>
      </c>
      <c r="H2711" s="16" t="e">
        <f t="shared" si="5460"/>
        <v>#N/A</v>
      </c>
      <c r="I2711" s="16" t="e">
        <f t="shared" si="5460"/>
        <v>#N/A</v>
      </c>
      <c r="J2711" s="40" t="e">
        <f t="shared" si="5460"/>
        <v>#N/A</v>
      </c>
      <c r="K2711" s="16" t="e">
        <f t="shared" si="5460"/>
        <v>#N/A</v>
      </c>
      <c r="L2711" s="40" t="e">
        <f t="shared" si="5441"/>
        <v>#N/A</v>
      </c>
      <c r="M2711" s="16" t="e">
        <f t="shared" si="5442"/>
        <v>#N/A</v>
      </c>
      <c r="N2711" s="16" t="e">
        <f t="shared" si="5443"/>
        <v>#N/A</v>
      </c>
      <c r="O2711" s="16" t="s">
        <v>73</v>
      </c>
      <c r="P2711" s="16" t="str">
        <f t="shared" si="6"/>
        <v/>
      </c>
      <c r="Q2711" s="41" t="e">
        <f t="shared" si="5444"/>
        <v>#N/A</v>
      </c>
      <c r="R2711" s="44"/>
      <c r="S2711" s="44"/>
      <c r="T2711" s="43"/>
      <c r="U2711" s="43" t="str">
        <f t="shared" si="8"/>
        <v>No</v>
      </c>
      <c r="V2711" s="25"/>
      <c r="W2711" s="25"/>
      <c r="X2711" s="25"/>
      <c r="Y2711" s="25"/>
      <c r="Z2711" s="25"/>
    </row>
    <row r="2712" spans="1:26" ht="15.75" customHeight="1" x14ac:dyDescent="0.25">
      <c r="A2712" s="25">
        <v>2710</v>
      </c>
      <c r="B2712" s="37" t="e">
        <f t="shared" ref="B2712:D2712" si="5461">VLOOKUP($A2712,[9]Hacienda!$A$1:$O$285,B$1,0)</f>
        <v>#N/A</v>
      </c>
      <c r="C2712" s="38" t="e">
        <f t="shared" si="5461"/>
        <v>#N/A</v>
      </c>
      <c r="D2712" s="39" t="e">
        <f t="shared" si="5461"/>
        <v>#N/A</v>
      </c>
      <c r="E2712" s="16" t="e">
        <f t="shared" si="1"/>
        <v>#N/A</v>
      </c>
      <c r="F2712" s="16" t="e">
        <f t="shared" ref="F2712:K2712" si="5462">VLOOKUP($A2712,[9]Hacienda!$A$1:$O$285,F$1,0)</f>
        <v>#N/A</v>
      </c>
      <c r="G2712" s="39" t="e">
        <f t="shared" si="5462"/>
        <v>#N/A</v>
      </c>
      <c r="H2712" s="16" t="e">
        <f t="shared" si="5462"/>
        <v>#N/A</v>
      </c>
      <c r="I2712" s="16" t="e">
        <f t="shared" si="5462"/>
        <v>#N/A</v>
      </c>
      <c r="J2712" s="40" t="e">
        <f t="shared" si="5462"/>
        <v>#N/A</v>
      </c>
      <c r="K2712" s="16" t="e">
        <f t="shared" si="5462"/>
        <v>#N/A</v>
      </c>
      <c r="L2712" s="40" t="e">
        <f t="shared" si="5441"/>
        <v>#N/A</v>
      </c>
      <c r="M2712" s="16" t="e">
        <f t="shared" si="5442"/>
        <v>#N/A</v>
      </c>
      <c r="N2712" s="16" t="e">
        <f t="shared" si="5443"/>
        <v>#N/A</v>
      </c>
      <c r="O2712" s="16" t="s">
        <v>73</v>
      </c>
      <c r="P2712" s="16" t="str">
        <f t="shared" si="6"/>
        <v/>
      </c>
      <c r="Q2712" s="41" t="e">
        <f t="shared" si="5444"/>
        <v>#N/A</v>
      </c>
      <c r="R2712" s="44"/>
      <c r="S2712" s="44"/>
      <c r="T2712" s="43"/>
      <c r="U2712" s="43" t="str">
        <f t="shared" si="8"/>
        <v>No</v>
      </c>
      <c r="V2712" s="25"/>
      <c r="W2712" s="25"/>
      <c r="X2712" s="25"/>
      <c r="Y2712" s="25"/>
      <c r="Z2712" s="25"/>
    </row>
    <row r="2713" spans="1:26" ht="15.75" customHeight="1" x14ac:dyDescent="0.25">
      <c r="A2713" s="25">
        <v>2711</v>
      </c>
      <c r="B2713" s="37" t="e">
        <f t="shared" ref="B2713:D2713" si="5463">VLOOKUP($A2713,[9]Hacienda!$A$1:$O$285,B$1,0)</f>
        <v>#N/A</v>
      </c>
      <c r="C2713" s="38" t="e">
        <f t="shared" si="5463"/>
        <v>#N/A</v>
      </c>
      <c r="D2713" s="39" t="e">
        <f t="shared" si="5463"/>
        <v>#N/A</v>
      </c>
      <c r="E2713" s="16" t="e">
        <f t="shared" si="1"/>
        <v>#N/A</v>
      </c>
      <c r="F2713" s="16" t="e">
        <f t="shared" ref="F2713:K2713" si="5464">VLOOKUP($A2713,[9]Hacienda!$A$1:$O$285,F$1,0)</f>
        <v>#N/A</v>
      </c>
      <c r="G2713" s="39" t="e">
        <f t="shared" si="5464"/>
        <v>#N/A</v>
      </c>
      <c r="H2713" s="16" t="e">
        <f t="shared" si="5464"/>
        <v>#N/A</v>
      </c>
      <c r="I2713" s="16" t="e">
        <f t="shared" si="5464"/>
        <v>#N/A</v>
      </c>
      <c r="J2713" s="40" t="e">
        <f t="shared" si="5464"/>
        <v>#N/A</v>
      </c>
      <c r="K2713" s="16" t="e">
        <f t="shared" si="5464"/>
        <v>#N/A</v>
      </c>
      <c r="L2713" s="40" t="e">
        <f t="shared" si="5441"/>
        <v>#N/A</v>
      </c>
      <c r="M2713" s="16" t="e">
        <f t="shared" si="5442"/>
        <v>#N/A</v>
      </c>
      <c r="N2713" s="16" t="e">
        <f t="shared" si="5443"/>
        <v>#N/A</v>
      </c>
      <c r="O2713" s="16" t="s">
        <v>73</v>
      </c>
      <c r="P2713" s="16" t="str">
        <f t="shared" si="6"/>
        <v/>
      </c>
      <c r="Q2713" s="41" t="e">
        <f t="shared" si="5444"/>
        <v>#N/A</v>
      </c>
      <c r="R2713" s="44"/>
      <c r="S2713" s="44"/>
      <c r="T2713" s="43"/>
      <c r="U2713" s="43" t="str">
        <f t="shared" si="8"/>
        <v>No</v>
      </c>
      <c r="V2713" s="25"/>
      <c r="W2713" s="25"/>
      <c r="X2713" s="25"/>
      <c r="Y2713" s="25"/>
      <c r="Z2713" s="25"/>
    </row>
    <row r="2714" spans="1:26" ht="15.75" customHeight="1" x14ac:dyDescent="0.25">
      <c r="A2714" s="25">
        <v>2712</v>
      </c>
      <c r="B2714" s="37" t="e">
        <f t="shared" ref="B2714:D2714" si="5465">VLOOKUP($A2714,[9]Hacienda!$A$1:$O$285,B$1,0)</f>
        <v>#N/A</v>
      </c>
      <c r="C2714" s="38" t="e">
        <f t="shared" si="5465"/>
        <v>#N/A</v>
      </c>
      <c r="D2714" s="39" t="e">
        <f t="shared" si="5465"/>
        <v>#N/A</v>
      </c>
      <c r="E2714" s="16" t="e">
        <f t="shared" si="1"/>
        <v>#N/A</v>
      </c>
      <c r="F2714" s="16" t="e">
        <f t="shared" ref="F2714:K2714" si="5466">VLOOKUP($A2714,[9]Hacienda!$A$1:$O$285,F$1,0)</f>
        <v>#N/A</v>
      </c>
      <c r="G2714" s="39" t="e">
        <f t="shared" si="5466"/>
        <v>#N/A</v>
      </c>
      <c r="H2714" s="16" t="e">
        <f t="shared" si="5466"/>
        <v>#N/A</v>
      </c>
      <c r="I2714" s="16" t="e">
        <f t="shared" si="5466"/>
        <v>#N/A</v>
      </c>
      <c r="J2714" s="40" t="e">
        <f t="shared" si="5466"/>
        <v>#N/A</v>
      </c>
      <c r="K2714" s="16" t="e">
        <f t="shared" si="5466"/>
        <v>#N/A</v>
      </c>
      <c r="L2714" s="40" t="e">
        <f t="shared" si="5441"/>
        <v>#N/A</v>
      </c>
      <c r="M2714" s="16" t="e">
        <f t="shared" si="5442"/>
        <v>#N/A</v>
      </c>
      <c r="N2714" s="16" t="e">
        <f t="shared" si="5443"/>
        <v>#N/A</v>
      </c>
      <c r="O2714" s="16" t="s">
        <v>73</v>
      </c>
      <c r="P2714" s="16" t="str">
        <f t="shared" si="6"/>
        <v/>
      </c>
      <c r="Q2714" s="41" t="e">
        <f t="shared" si="5444"/>
        <v>#N/A</v>
      </c>
      <c r="R2714" s="44"/>
      <c r="S2714" s="44"/>
      <c r="T2714" s="43"/>
      <c r="U2714" s="43" t="str">
        <f t="shared" si="8"/>
        <v>No</v>
      </c>
      <c r="V2714" s="25"/>
      <c r="W2714" s="25"/>
      <c r="X2714" s="25"/>
      <c r="Y2714" s="25"/>
      <c r="Z2714" s="25"/>
    </row>
    <row r="2715" spans="1:26" ht="15.75" customHeight="1" x14ac:dyDescent="0.25">
      <c r="A2715" s="25">
        <v>2713</v>
      </c>
      <c r="B2715" s="37" t="e">
        <f t="shared" ref="B2715:D2715" si="5467">VLOOKUP($A2715,[9]Hacienda!$A$1:$O$285,B$1,0)</f>
        <v>#N/A</v>
      </c>
      <c r="C2715" s="38" t="e">
        <f t="shared" si="5467"/>
        <v>#N/A</v>
      </c>
      <c r="D2715" s="39" t="e">
        <f t="shared" si="5467"/>
        <v>#N/A</v>
      </c>
      <c r="E2715" s="16" t="e">
        <f t="shared" si="1"/>
        <v>#N/A</v>
      </c>
      <c r="F2715" s="16" t="e">
        <f t="shared" ref="F2715:K2715" si="5468">VLOOKUP($A2715,[9]Hacienda!$A$1:$O$285,F$1,0)</f>
        <v>#N/A</v>
      </c>
      <c r="G2715" s="39" t="e">
        <f t="shared" si="5468"/>
        <v>#N/A</v>
      </c>
      <c r="H2715" s="16" t="e">
        <f t="shared" si="5468"/>
        <v>#N/A</v>
      </c>
      <c r="I2715" s="16" t="e">
        <f t="shared" si="5468"/>
        <v>#N/A</v>
      </c>
      <c r="J2715" s="40" t="e">
        <f t="shared" si="5468"/>
        <v>#N/A</v>
      </c>
      <c r="K2715" s="16" t="e">
        <f t="shared" si="5468"/>
        <v>#N/A</v>
      </c>
      <c r="L2715" s="40" t="e">
        <f t="shared" si="5441"/>
        <v>#N/A</v>
      </c>
      <c r="M2715" s="16" t="e">
        <f t="shared" si="5442"/>
        <v>#N/A</v>
      </c>
      <c r="N2715" s="16" t="e">
        <f t="shared" si="5443"/>
        <v>#N/A</v>
      </c>
      <c r="O2715" s="16" t="s">
        <v>73</v>
      </c>
      <c r="P2715" s="16" t="str">
        <f t="shared" si="6"/>
        <v/>
      </c>
      <c r="Q2715" s="41" t="e">
        <f t="shared" si="5444"/>
        <v>#N/A</v>
      </c>
      <c r="R2715" s="44"/>
      <c r="S2715" s="44"/>
      <c r="T2715" s="43"/>
      <c r="U2715" s="43" t="str">
        <f t="shared" si="8"/>
        <v>No</v>
      </c>
      <c r="V2715" s="25"/>
      <c r="W2715" s="25"/>
      <c r="X2715" s="25"/>
      <c r="Y2715" s="25"/>
      <c r="Z2715" s="25"/>
    </row>
    <row r="2716" spans="1:26" ht="15.75" customHeight="1" x14ac:dyDescent="0.25">
      <c r="A2716" s="25">
        <v>2714</v>
      </c>
      <c r="B2716" s="37" t="e">
        <f t="shared" ref="B2716:D2716" si="5469">VLOOKUP($A2716,[9]Hacienda!$A$1:$O$285,B$1,0)</f>
        <v>#N/A</v>
      </c>
      <c r="C2716" s="38" t="e">
        <f t="shared" si="5469"/>
        <v>#N/A</v>
      </c>
      <c r="D2716" s="39" t="e">
        <f t="shared" si="5469"/>
        <v>#N/A</v>
      </c>
      <c r="E2716" s="16" t="e">
        <f t="shared" si="1"/>
        <v>#N/A</v>
      </c>
      <c r="F2716" s="16" t="e">
        <f t="shared" ref="F2716:K2716" si="5470">VLOOKUP($A2716,[9]Hacienda!$A$1:$O$285,F$1,0)</f>
        <v>#N/A</v>
      </c>
      <c r="G2716" s="39" t="e">
        <f t="shared" si="5470"/>
        <v>#N/A</v>
      </c>
      <c r="H2716" s="16" t="e">
        <f t="shared" si="5470"/>
        <v>#N/A</v>
      </c>
      <c r="I2716" s="16" t="e">
        <f t="shared" si="5470"/>
        <v>#N/A</v>
      </c>
      <c r="J2716" s="40" t="e">
        <f t="shared" si="5470"/>
        <v>#N/A</v>
      </c>
      <c r="K2716" s="16" t="e">
        <f t="shared" si="5470"/>
        <v>#N/A</v>
      </c>
      <c r="L2716" s="40" t="e">
        <f t="shared" si="5441"/>
        <v>#N/A</v>
      </c>
      <c r="M2716" s="16" t="e">
        <f t="shared" si="5442"/>
        <v>#N/A</v>
      </c>
      <c r="N2716" s="16" t="e">
        <f t="shared" si="5443"/>
        <v>#N/A</v>
      </c>
      <c r="O2716" s="16" t="s">
        <v>73</v>
      </c>
      <c r="P2716" s="16" t="str">
        <f t="shared" si="6"/>
        <v/>
      </c>
      <c r="Q2716" s="41" t="e">
        <f t="shared" si="5444"/>
        <v>#N/A</v>
      </c>
      <c r="R2716" s="44"/>
      <c r="S2716" s="44"/>
      <c r="T2716" s="43"/>
      <c r="U2716" s="43" t="str">
        <f t="shared" si="8"/>
        <v>No</v>
      </c>
      <c r="V2716" s="25"/>
      <c r="W2716" s="25"/>
      <c r="X2716" s="25"/>
      <c r="Y2716" s="25"/>
      <c r="Z2716" s="25"/>
    </row>
    <row r="2717" spans="1:26" ht="15.75" customHeight="1" x14ac:dyDescent="0.25">
      <c r="A2717" s="25">
        <v>2715</v>
      </c>
      <c r="B2717" s="37" t="e">
        <f t="shared" ref="B2717:D2717" si="5471">VLOOKUP($A2717,[9]Hacienda!$A$1:$O$285,B$1,0)</f>
        <v>#N/A</v>
      </c>
      <c r="C2717" s="38" t="e">
        <f t="shared" si="5471"/>
        <v>#N/A</v>
      </c>
      <c r="D2717" s="39" t="e">
        <f t="shared" si="5471"/>
        <v>#N/A</v>
      </c>
      <c r="E2717" s="16" t="e">
        <f t="shared" si="1"/>
        <v>#N/A</v>
      </c>
      <c r="F2717" s="16" t="e">
        <f t="shared" ref="F2717:K2717" si="5472">VLOOKUP($A2717,[9]Hacienda!$A$1:$O$285,F$1,0)</f>
        <v>#N/A</v>
      </c>
      <c r="G2717" s="39" t="e">
        <f t="shared" si="5472"/>
        <v>#N/A</v>
      </c>
      <c r="H2717" s="16" t="e">
        <f t="shared" si="5472"/>
        <v>#N/A</v>
      </c>
      <c r="I2717" s="16" t="e">
        <f t="shared" si="5472"/>
        <v>#N/A</v>
      </c>
      <c r="J2717" s="40" t="e">
        <f t="shared" si="5472"/>
        <v>#N/A</v>
      </c>
      <c r="K2717" s="16" t="e">
        <f t="shared" si="5472"/>
        <v>#N/A</v>
      </c>
      <c r="L2717" s="40" t="e">
        <f t="shared" si="5441"/>
        <v>#N/A</v>
      </c>
      <c r="M2717" s="16" t="e">
        <f t="shared" si="5442"/>
        <v>#N/A</v>
      </c>
      <c r="N2717" s="16" t="e">
        <f t="shared" si="5443"/>
        <v>#N/A</v>
      </c>
      <c r="O2717" s="16" t="s">
        <v>73</v>
      </c>
      <c r="P2717" s="16" t="str">
        <f t="shared" si="6"/>
        <v/>
      </c>
      <c r="Q2717" s="41" t="e">
        <f t="shared" si="5444"/>
        <v>#N/A</v>
      </c>
      <c r="R2717" s="44"/>
      <c r="S2717" s="44"/>
      <c r="T2717" s="43"/>
      <c r="U2717" s="43" t="str">
        <f t="shared" si="8"/>
        <v>No</v>
      </c>
      <c r="V2717" s="25"/>
      <c r="W2717" s="25"/>
      <c r="X2717" s="25"/>
      <c r="Y2717" s="25"/>
      <c r="Z2717" s="25"/>
    </row>
    <row r="2718" spans="1:26" ht="15.75" customHeight="1" x14ac:dyDescent="0.25">
      <c r="A2718" s="25">
        <v>2716</v>
      </c>
      <c r="B2718" s="37" t="e">
        <f t="shared" ref="B2718:D2718" si="5473">VLOOKUP($A2718,[9]Hacienda!$A$1:$O$285,B$1,0)</f>
        <v>#N/A</v>
      </c>
      <c r="C2718" s="38" t="e">
        <f t="shared" si="5473"/>
        <v>#N/A</v>
      </c>
      <c r="D2718" s="39" t="e">
        <f t="shared" si="5473"/>
        <v>#N/A</v>
      </c>
      <c r="E2718" s="16" t="e">
        <f t="shared" si="1"/>
        <v>#N/A</v>
      </c>
      <c r="F2718" s="16" t="e">
        <f t="shared" ref="F2718:K2718" si="5474">VLOOKUP($A2718,[9]Hacienda!$A$1:$O$285,F$1,0)</f>
        <v>#N/A</v>
      </c>
      <c r="G2718" s="39" t="e">
        <f t="shared" si="5474"/>
        <v>#N/A</v>
      </c>
      <c r="H2718" s="16" t="e">
        <f t="shared" si="5474"/>
        <v>#N/A</v>
      </c>
      <c r="I2718" s="16" t="e">
        <f t="shared" si="5474"/>
        <v>#N/A</v>
      </c>
      <c r="J2718" s="40" t="e">
        <f t="shared" si="5474"/>
        <v>#N/A</v>
      </c>
      <c r="K2718" s="16" t="e">
        <f t="shared" si="5474"/>
        <v>#N/A</v>
      </c>
      <c r="L2718" s="40" t="e">
        <f t="shared" si="5441"/>
        <v>#N/A</v>
      </c>
      <c r="M2718" s="16" t="e">
        <f t="shared" si="5442"/>
        <v>#N/A</v>
      </c>
      <c r="N2718" s="16" t="e">
        <f t="shared" si="5443"/>
        <v>#N/A</v>
      </c>
      <c r="O2718" s="16" t="s">
        <v>73</v>
      </c>
      <c r="P2718" s="16" t="str">
        <f t="shared" si="6"/>
        <v/>
      </c>
      <c r="Q2718" s="41" t="e">
        <f t="shared" si="5444"/>
        <v>#N/A</v>
      </c>
      <c r="R2718" s="44"/>
      <c r="S2718" s="44"/>
      <c r="T2718" s="43"/>
      <c r="U2718" s="43" t="str">
        <f t="shared" si="8"/>
        <v>No</v>
      </c>
      <c r="V2718" s="25"/>
      <c r="W2718" s="25"/>
      <c r="X2718" s="25"/>
      <c r="Y2718" s="25"/>
      <c r="Z2718" s="25"/>
    </row>
    <row r="2719" spans="1:26" ht="15.75" customHeight="1" x14ac:dyDescent="0.25">
      <c r="A2719" s="25">
        <v>2717</v>
      </c>
      <c r="B2719" s="37" t="e">
        <f t="shared" ref="B2719:D2719" si="5475">VLOOKUP($A2719,[9]Hacienda!$A$1:$O$285,B$1,0)</f>
        <v>#N/A</v>
      </c>
      <c r="C2719" s="38" t="e">
        <f t="shared" si="5475"/>
        <v>#N/A</v>
      </c>
      <c r="D2719" s="39" t="e">
        <f t="shared" si="5475"/>
        <v>#N/A</v>
      </c>
      <c r="E2719" s="16" t="e">
        <f t="shared" si="1"/>
        <v>#N/A</v>
      </c>
      <c r="F2719" s="16" t="e">
        <f t="shared" ref="F2719:K2719" si="5476">VLOOKUP($A2719,[9]Hacienda!$A$1:$O$285,F$1,0)</f>
        <v>#N/A</v>
      </c>
      <c r="G2719" s="39" t="e">
        <f t="shared" si="5476"/>
        <v>#N/A</v>
      </c>
      <c r="H2719" s="16" t="e">
        <f t="shared" si="5476"/>
        <v>#N/A</v>
      </c>
      <c r="I2719" s="16" t="e">
        <f t="shared" si="5476"/>
        <v>#N/A</v>
      </c>
      <c r="J2719" s="40" t="e">
        <f t="shared" si="5476"/>
        <v>#N/A</v>
      </c>
      <c r="K2719" s="16" t="e">
        <f t="shared" si="5476"/>
        <v>#N/A</v>
      </c>
      <c r="L2719" s="40" t="e">
        <f t="shared" si="5441"/>
        <v>#N/A</v>
      </c>
      <c r="M2719" s="16" t="e">
        <f t="shared" si="5442"/>
        <v>#N/A</v>
      </c>
      <c r="N2719" s="16" t="e">
        <f t="shared" si="5443"/>
        <v>#N/A</v>
      </c>
      <c r="O2719" s="16" t="s">
        <v>73</v>
      </c>
      <c r="P2719" s="16" t="str">
        <f t="shared" si="6"/>
        <v/>
      </c>
      <c r="Q2719" s="41" t="e">
        <f t="shared" si="5444"/>
        <v>#N/A</v>
      </c>
      <c r="R2719" s="44"/>
      <c r="S2719" s="44"/>
      <c r="T2719" s="43"/>
      <c r="U2719" s="43" t="str">
        <f t="shared" si="8"/>
        <v>No</v>
      </c>
      <c r="V2719" s="25"/>
      <c r="W2719" s="25"/>
      <c r="X2719" s="25"/>
      <c r="Y2719" s="25"/>
      <c r="Z2719" s="25"/>
    </row>
    <row r="2720" spans="1:26" ht="15.75" customHeight="1" x14ac:dyDescent="0.25">
      <c r="A2720" s="25">
        <v>2718</v>
      </c>
      <c r="B2720" s="37" t="e">
        <f t="shared" ref="B2720:D2720" si="5477">VLOOKUP($A2720,[9]Hacienda!$A$1:$O$285,B$1,0)</f>
        <v>#N/A</v>
      </c>
      <c r="C2720" s="38" t="e">
        <f t="shared" si="5477"/>
        <v>#N/A</v>
      </c>
      <c r="D2720" s="39" t="e">
        <f t="shared" si="5477"/>
        <v>#N/A</v>
      </c>
      <c r="E2720" s="16" t="e">
        <f t="shared" si="1"/>
        <v>#N/A</v>
      </c>
      <c r="F2720" s="16" t="e">
        <f t="shared" ref="F2720:K2720" si="5478">VLOOKUP($A2720,[9]Hacienda!$A$1:$O$285,F$1,0)</f>
        <v>#N/A</v>
      </c>
      <c r="G2720" s="39" t="e">
        <f t="shared" si="5478"/>
        <v>#N/A</v>
      </c>
      <c r="H2720" s="16" t="e">
        <f t="shared" si="5478"/>
        <v>#N/A</v>
      </c>
      <c r="I2720" s="16" t="e">
        <f t="shared" si="5478"/>
        <v>#N/A</v>
      </c>
      <c r="J2720" s="40" t="e">
        <f t="shared" si="5478"/>
        <v>#N/A</v>
      </c>
      <c r="K2720" s="16" t="e">
        <f t="shared" si="5478"/>
        <v>#N/A</v>
      </c>
      <c r="L2720" s="40" t="e">
        <f t="shared" si="5441"/>
        <v>#N/A</v>
      </c>
      <c r="M2720" s="16" t="e">
        <f t="shared" si="5442"/>
        <v>#N/A</v>
      </c>
      <c r="N2720" s="16" t="e">
        <f t="shared" si="5443"/>
        <v>#N/A</v>
      </c>
      <c r="O2720" s="16" t="s">
        <v>73</v>
      </c>
      <c r="P2720" s="16" t="str">
        <f t="shared" si="6"/>
        <v/>
      </c>
      <c r="Q2720" s="41" t="e">
        <f t="shared" si="5444"/>
        <v>#N/A</v>
      </c>
      <c r="R2720" s="44"/>
      <c r="S2720" s="44"/>
      <c r="T2720" s="43"/>
      <c r="U2720" s="43" t="str">
        <f t="shared" si="8"/>
        <v>No</v>
      </c>
      <c r="V2720" s="25"/>
      <c r="W2720" s="25"/>
      <c r="X2720" s="25"/>
      <c r="Y2720" s="25"/>
      <c r="Z2720" s="25"/>
    </row>
    <row r="2721" spans="1:26" ht="15.75" customHeight="1" x14ac:dyDescent="0.25">
      <c r="A2721" s="25">
        <v>2719</v>
      </c>
      <c r="B2721" s="37" t="e">
        <f t="shared" ref="B2721:D2721" si="5479">VLOOKUP($A2721,[9]Hacienda!$A$1:$O$285,B$1,0)</f>
        <v>#N/A</v>
      </c>
      <c r="C2721" s="38" t="e">
        <f t="shared" si="5479"/>
        <v>#N/A</v>
      </c>
      <c r="D2721" s="39" t="e">
        <f t="shared" si="5479"/>
        <v>#N/A</v>
      </c>
      <c r="E2721" s="16" t="e">
        <f t="shared" si="1"/>
        <v>#N/A</v>
      </c>
      <c r="F2721" s="16" t="e">
        <f t="shared" ref="F2721:K2721" si="5480">VLOOKUP($A2721,[9]Hacienda!$A$1:$O$285,F$1,0)</f>
        <v>#N/A</v>
      </c>
      <c r="G2721" s="39" t="e">
        <f t="shared" si="5480"/>
        <v>#N/A</v>
      </c>
      <c r="H2721" s="16" t="e">
        <f t="shared" si="5480"/>
        <v>#N/A</v>
      </c>
      <c r="I2721" s="16" t="e">
        <f t="shared" si="5480"/>
        <v>#N/A</v>
      </c>
      <c r="J2721" s="40" t="e">
        <f t="shared" si="5480"/>
        <v>#N/A</v>
      </c>
      <c r="K2721" s="16" t="e">
        <f t="shared" si="5480"/>
        <v>#N/A</v>
      </c>
      <c r="L2721" s="40" t="e">
        <f t="shared" si="5441"/>
        <v>#N/A</v>
      </c>
      <c r="M2721" s="16" t="e">
        <f t="shared" si="5442"/>
        <v>#N/A</v>
      </c>
      <c r="N2721" s="16" t="e">
        <f t="shared" si="5443"/>
        <v>#N/A</v>
      </c>
      <c r="O2721" s="16" t="s">
        <v>73</v>
      </c>
      <c r="P2721" s="16" t="str">
        <f t="shared" si="6"/>
        <v/>
      </c>
      <c r="Q2721" s="41" t="e">
        <f t="shared" si="5444"/>
        <v>#N/A</v>
      </c>
      <c r="R2721" s="44"/>
      <c r="S2721" s="44"/>
      <c r="T2721" s="43"/>
      <c r="U2721" s="43" t="str">
        <f t="shared" si="8"/>
        <v>No</v>
      </c>
      <c r="V2721" s="25"/>
      <c r="W2721" s="25"/>
      <c r="X2721" s="25"/>
      <c r="Y2721" s="25"/>
      <c r="Z2721" s="25"/>
    </row>
    <row r="2722" spans="1:26" ht="15.75" customHeight="1" x14ac:dyDescent="0.25">
      <c r="A2722" s="25">
        <v>2720</v>
      </c>
      <c r="B2722" s="37" t="e">
        <f t="shared" ref="B2722:D2722" si="5481">VLOOKUP($A2722,[9]Hacienda!$A$1:$O$285,B$1,0)</f>
        <v>#N/A</v>
      </c>
      <c r="C2722" s="38" t="e">
        <f t="shared" si="5481"/>
        <v>#N/A</v>
      </c>
      <c r="D2722" s="39" t="e">
        <f t="shared" si="5481"/>
        <v>#N/A</v>
      </c>
      <c r="E2722" s="16" t="e">
        <f t="shared" si="1"/>
        <v>#N/A</v>
      </c>
      <c r="F2722" s="16" t="e">
        <f t="shared" ref="F2722:K2722" si="5482">VLOOKUP($A2722,[9]Hacienda!$A$1:$O$285,F$1,0)</f>
        <v>#N/A</v>
      </c>
      <c r="G2722" s="39" t="e">
        <f t="shared" si="5482"/>
        <v>#N/A</v>
      </c>
      <c r="H2722" s="16" t="e">
        <f t="shared" si="5482"/>
        <v>#N/A</v>
      </c>
      <c r="I2722" s="16" t="e">
        <f t="shared" si="5482"/>
        <v>#N/A</v>
      </c>
      <c r="J2722" s="40" t="e">
        <f t="shared" si="5482"/>
        <v>#N/A</v>
      </c>
      <c r="K2722" s="16" t="e">
        <f t="shared" si="5482"/>
        <v>#N/A</v>
      </c>
      <c r="L2722" s="40" t="e">
        <f t="shared" si="5441"/>
        <v>#N/A</v>
      </c>
      <c r="M2722" s="16" t="e">
        <f t="shared" si="5442"/>
        <v>#N/A</v>
      </c>
      <c r="N2722" s="16" t="e">
        <f t="shared" si="5443"/>
        <v>#N/A</v>
      </c>
      <c r="O2722" s="16" t="s">
        <v>73</v>
      </c>
      <c r="P2722" s="16" t="str">
        <f t="shared" si="6"/>
        <v/>
      </c>
      <c r="Q2722" s="41" t="e">
        <f t="shared" si="5444"/>
        <v>#N/A</v>
      </c>
      <c r="R2722" s="44"/>
      <c r="S2722" s="44"/>
      <c r="T2722" s="43"/>
      <c r="U2722" s="43" t="str">
        <f t="shared" si="8"/>
        <v>No</v>
      </c>
      <c r="V2722" s="25"/>
      <c r="W2722" s="25"/>
      <c r="X2722" s="25"/>
      <c r="Y2722" s="25"/>
      <c r="Z2722" s="25"/>
    </row>
    <row r="2723" spans="1:26" ht="15.75" customHeight="1" x14ac:dyDescent="0.25">
      <c r="A2723" s="25">
        <v>2721</v>
      </c>
      <c r="B2723" s="37" t="e">
        <f t="shared" ref="B2723:D2723" si="5483">VLOOKUP($A2723,[9]Hacienda!$A$1:$O$285,B$1,0)</f>
        <v>#N/A</v>
      </c>
      <c r="C2723" s="38" t="e">
        <f t="shared" si="5483"/>
        <v>#N/A</v>
      </c>
      <c r="D2723" s="39" t="e">
        <f t="shared" si="5483"/>
        <v>#N/A</v>
      </c>
      <c r="E2723" s="16" t="e">
        <f t="shared" si="1"/>
        <v>#N/A</v>
      </c>
      <c r="F2723" s="16" t="e">
        <f t="shared" ref="F2723:K2723" si="5484">VLOOKUP($A2723,[9]Hacienda!$A$1:$O$285,F$1,0)</f>
        <v>#N/A</v>
      </c>
      <c r="G2723" s="39" t="e">
        <f t="shared" si="5484"/>
        <v>#N/A</v>
      </c>
      <c r="H2723" s="16" t="e">
        <f t="shared" si="5484"/>
        <v>#N/A</v>
      </c>
      <c r="I2723" s="16" t="e">
        <f t="shared" si="5484"/>
        <v>#N/A</v>
      </c>
      <c r="J2723" s="40" t="e">
        <f t="shared" si="5484"/>
        <v>#N/A</v>
      </c>
      <c r="K2723" s="16" t="e">
        <f t="shared" si="5484"/>
        <v>#N/A</v>
      </c>
      <c r="L2723" s="40" t="e">
        <f t="shared" si="5441"/>
        <v>#N/A</v>
      </c>
      <c r="M2723" s="16" t="e">
        <f t="shared" si="5442"/>
        <v>#N/A</v>
      </c>
      <c r="N2723" s="16" t="e">
        <f t="shared" si="5443"/>
        <v>#N/A</v>
      </c>
      <c r="O2723" s="16" t="s">
        <v>73</v>
      </c>
      <c r="P2723" s="16" t="str">
        <f t="shared" si="6"/>
        <v/>
      </c>
      <c r="Q2723" s="41" t="e">
        <f t="shared" si="5444"/>
        <v>#N/A</v>
      </c>
      <c r="R2723" s="44"/>
      <c r="S2723" s="44"/>
      <c r="T2723" s="43"/>
      <c r="U2723" s="43" t="str">
        <f t="shared" si="8"/>
        <v>No</v>
      </c>
      <c r="V2723" s="25"/>
      <c r="W2723" s="25"/>
      <c r="X2723" s="25"/>
      <c r="Y2723" s="25"/>
      <c r="Z2723" s="25"/>
    </row>
    <row r="2724" spans="1:26" ht="15.75" customHeight="1" x14ac:dyDescent="0.25">
      <c r="A2724" s="25">
        <v>2722</v>
      </c>
      <c r="B2724" s="37" t="e">
        <f t="shared" ref="B2724:D2724" si="5485">VLOOKUP($A2724,[9]Hacienda!$A$1:$O$285,B$1,0)</f>
        <v>#N/A</v>
      </c>
      <c r="C2724" s="38" t="e">
        <f t="shared" si="5485"/>
        <v>#N/A</v>
      </c>
      <c r="D2724" s="39" t="e">
        <f t="shared" si="5485"/>
        <v>#N/A</v>
      </c>
      <c r="E2724" s="16" t="e">
        <f t="shared" si="1"/>
        <v>#N/A</v>
      </c>
      <c r="F2724" s="16" t="e">
        <f t="shared" ref="F2724:K2724" si="5486">VLOOKUP($A2724,[9]Hacienda!$A$1:$O$285,F$1,0)</f>
        <v>#N/A</v>
      </c>
      <c r="G2724" s="39" t="e">
        <f t="shared" si="5486"/>
        <v>#N/A</v>
      </c>
      <c r="H2724" s="16" t="e">
        <f t="shared" si="5486"/>
        <v>#N/A</v>
      </c>
      <c r="I2724" s="16" t="e">
        <f t="shared" si="5486"/>
        <v>#N/A</v>
      </c>
      <c r="J2724" s="40" t="e">
        <f t="shared" si="5486"/>
        <v>#N/A</v>
      </c>
      <c r="K2724" s="16" t="e">
        <f t="shared" si="5486"/>
        <v>#N/A</v>
      </c>
      <c r="L2724" s="40" t="e">
        <f t="shared" si="5441"/>
        <v>#N/A</v>
      </c>
      <c r="M2724" s="16" t="e">
        <f t="shared" si="5442"/>
        <v>#N/A</v>
      </c>
      <c r="N2724" s="16" t="e">
        <f t="shared" si="5443"/>
        <v>#N/A</v>
      </c>
      <c r="O2724" s="16" t="s">
        <v>73</v>
      </c>
      <c r="P2724" s="16" t="str">
        <f t="shared" si="6"/>
        <v/>
      </c>
      <c r="Q2724" s="41" t="e">
        <f t="shared" si="5444"/>
        <v>#N/A</v>
      </c>
      <c r="R2724" s="44"/>
      <c r="S2724" s="44"/>
      <c r="T2724" s="43"/>
      <c r="U2724" s="43" t="str">
        <f t="shared" si="8"/>
        <v>No</v>
      </c>
      <c r="V2724" s="25"/>
      <c r="W2724" s="25"/>
      <c r="X2724" s="25"/>
      <c r="Y2724" s="25"/>
      <c r="Z2724" s="25"/>
    </row>
    <row r="2725" spans="1:26" ht="15.75" customHeight="1" x14ac:dyDescent="0.25">
      <c r="A2725" s="25">
        <v>2723</v>
      </c>
      <c r="B2725" s="37" t="e">
        <f t="shared" ref="B2725:D2725" si="5487">VLOOKUP($A2725,[9]Hacienda!$A$1:$O$285,B$1,0)</f>
        <v>#N/A</v>
      </c>
      <c r="C2725" s="38" t="e">
        <f t="shared" si="5487"/>
        <v>#N/A</v>
      </c>
      <c r="D2725" s="39" t="e">
        <f t="shared" si="5487"/>
        <v>#N/A</v>
      </c>
      <c r="E2725" s="16" t="e">
        <f t="shared" si="1"/>
        <v>#N/A</v>
      </c>
      <c r="F2725" s="16" t="e">
        <f t="shared" ref="F2725:K2725" si="5488">VLOOKUP($A2725,[9]Hacienda!$A$1:$O$285,F$1,0)</f>
        <v>#N/A</v>
      </c>
      <c r="G2725" s="39" t="e">
        <f t="shared" si="5488"/>
        <v>#N/A</v>
      </c>
      <c r="H2725" s="16" t="e">
        <f t="shared" si="5488"/>
        <v>#N/A</v>
      </c>
      <c r="I2725" s="16" t="e">
        <f t="shared" si="5488"/>
        <v>#N/A</v>
      </c>
      <c r="J2725" s="40" t="e">
        <f t="shared" si="5488"/>
        <v>#N/A</v>
      </c>
      <c r="K2725" s="16" t="e">
        <f t="shared" si="5488"/>
        <v>#N/A</v>
      </c>
      <c r="L2725" s="40" t="e">
        <f t="shared" si="5441"/>
        <v>#N/A</v>
      </c>
      <c r="M2725" s="16" t="e">
        <f t="shared" si="5442"/>
        <v>#N/A</v>
      </c>
      <c r="N2725" s="16" t="e">
        <f t="shared" si="5443"/>
        <v>#N/A</v>
      </c>
      <c r="O2725" s="16" t="s">
        <v>73</v>
      </c>
      <c r="P2725" s="16" t="str">
        <f t="shared" si="6"/>
        <v/>
      </c>
      <c r="Q2725" s="41" t="e">
        <f t="shared" si="5444"/>
        <v>#N/A</v>
      </c>
      <c r="R2725" s="44"/>
      <c r="S2725" s="44"/>
      <c r="T2725" s="43"/>
      <c r="U2725" s="43" t="str">
        <f t="shared" si="8"/>
        <v>No</v>
      </c>
      <c r="V2725" s="25"/>
      <c r="W2725" s="25"/>
      <c r="X2725" s="25"/>
      <c r="Y2725" s="25"/>
      <c r="Z2725" s="25"/>
    </row>
    <row r="2726" spans="1:26" ht="15.75" customHeight="1" x14ac:dyDescent="0.25">
      <c r="A2726" s="25">
        <v>2724</v>
      </c>
      <c r="B2726" s="37" t="e">
        <f t="shared" ref="B2726:D2726" si="5489">VLOOKUP($A2726,[9]Hacienda!$A$1:$O$285,B$1,0)</f>
        <v>#N/A</v>
      </c>
      <c r="C2726" s="38" t="e">
        <f t="shared" si="5489"/>
        <v>#N/A</v>
      </c>
      <c r="D2726" s="39" t="e">
        <f t="shared" si="5489"/>
        <v>#N/A</v>
      </c>
      <c r="E2726" s="16" t="e">
        <f t="shared" si="1"/>
        <v>#N/A</v>
      </c>
      <c r="F2726" s="16" t="e">
        <f t="shared" ref="F2726:K2726" si="5490">VLOOKUP($A2726,[9]Hacienda!$A$1:$O$285,F$1,0)</f>
        <v>#N/A</v>
      </c>
      <c r="G2726" s="39" t="e">
        <f t="shared" si="5490"/>
        <v>#N/A</v>
      </c>
      <c r="H2726" s="16" t="e">
        <f t="shared" si="5490"/>
        <v>#N/A</v>
      </c>
      <c r="I2726" s="16" t="e">
        <f t="shared" si="5490"/>
        <v>#N/A</v>
      </c>
      <c r="J2726" s="40" t="e">
        <f t="shared" si="5490"/>
        <v>#N/A</v>
      </c>
      <c r="K2726" s="16" t="e">
        <f t="shared" si="5490"/>
        <v>#N/A</v>
      </c>
      <c r="L2726" s="40" t="e">
        <f t="shared" si="5441"/>
        <v>#N/A</v>
      </c>
      <c r="M2726" s="16" t="e">
        <f t="shared" si="5442"/>
        <v>#N/A</v>
      </c>
      <c r="N2726" s="16" t="e">
        <f t="shared" si="5443"/>
        <v>#N/A</v>
      </c>
      <c r="O2726" s="16" t="s">
        <v>73</v>
      </c>
      <c r="P2726" s="16" t="str">
        <f t="shared" si="6"/>
        <v/>
      </c>
      <c r="Q2726" s="41" t="e">
        <f t="shared" si="5444"/>
        <v>#N/A</v>
      </c>
      <c r="R2726" s="44"/>
      <c r="S2726" s="44"/>
      <c r="T2726" s="43"/>
      <c r="U2726" s="43" t="str">
        <f t="shared" si="8"/>
        <v>No</v>
      </c>
      <c r="V2726" s="25"/>
      <c r="W2726" s="25"/>
      <c r="X2726" s="25"/>
      <c r="Y2726" s="25"/>
      <c r="Z2726" s="25"/>
    </row>
    <row r="2727" spans="1:26" ht="15.75" customHeight="1" x14ac:dyDescent="0.25">
      <c r="A2727" s="25">
        <v>2725</v>
      </c>
      <c r="B2727" s="37" t="e">
        <f t="shared" ref="B2727:D2727" si="5491">VLOOKUP($A2727,[9]Hacienda!$A$1:$O$285,B$1,0)</f>
        <v>#N/A</v>
      </c>
      <c r="C2727" s="38" t="e">
        <f t="shared" si="5491"/>
        <v>#N/A</v>
      </c>
      <c r="D2727" s="39" t="e">
        <f t="shared" si="5491"/>
        <v>#N/A</v>
      </c>
      <c r="E2727" s="16" t="e">
        <f t="shared" si="1"/>
        <v>#N/A</v>
      </c>
      <c r="F2727" s="16" t="e">
        <f t="shared" ref="F2727:K2727" si="5492">VLOOKUP($A2727,[9]Hacienda!$A$1:$O$285,F$1,0)</f>
        <v>#N/A</v>
      </c>
      <c r="G2727" s="39" t="e">
        <f t="shared" si="5492"/>
        <v>#N/A</v>
      </c>
      <c r="H2727" s="16" t="e">
        <f t="shared" si="5492"/>
        <v>#N/A</v>
      </c>
      <c r="I2727" s="16" t="e">
        <f t="shared" si="5492"/>
        <v>#N/A</v>
      </c>
      <c r="J2727" s="40" t="e">
        <f t="shared" si="5492"/>
        <v>#N/A</v>
      </c>
      <c r="K2727" s="16" t="e">
        <f t="shared" si="5492"/>
        <v>#N/A</v>
      </c>
      <c r="L2727" s="40" t="e">
        <f t="shared" si="5441"/>
        <v>#N/A</v>
      </c>
      <c r="M2727" s="16" t="e">
        <f t="shared" si="5442"/>
        <v>#N/A</v>
      </c>
      <c r="N2727" s="16" t="e">
        <f t="shared" si="5443"/>
        <v>#N/A</v>
      </c>
      <c r="O2727" s="16" t="s">
        <v>73</v>
      </c>
      <c r="P2727" s="16" t="str">
        <f t="shared" si="6"/>
        <v/>
      </c>
      <c r="Q2727" s="41" t="e">
        <f t="shared" si="5444"/>
        <v>#N/A</v>
      </c>
      <c r="R2727" s="44"/>
      <c r="S2727" s="44"/>
      <c r="T2727" s="43"/>
      <c r="U2727" s="43" t="str">
        <f t="shared" si="8"/>
        <v>No</v>
      </c>
      <c r="V2727" s="25"/>
      <c r="W2727" s="25"/>
      <c r="X2727" s="25"/>
      <c r="Y2727" s="25"/>
      <c r="Z2727" s="25"/>
    </row>
    <row r="2728" spans="1:26" ht="15.75" customHeight="1" x14ac:dyDescent="0.25">
      <c r="A2728" s="25">
        <v>2726</v>
      </c>
      <c r="B2728" s="37" t="e">
        <f t="shared" ref="B2728:D2728" si="5493">VLOOKUP($A2728,[9]Hacienda!$A$1:$O$285,B$1,0)</f>
        <v>#N/A</v>
      </c>
      <c r="C2728" s="38" t="e">
        <f t="shared" si="5493"/>
        <v>#N/A</v>
      </c>
      <c r="D2728" s="39" t="e">
        <f t="shared" si="5493"/>
        <v>#N/A</v>
      </c>
      <c r="E2728" s="16" t="e">
        <f t="shared" si="1"/>
        <v>#N/A</v>
      </c>
      <c r="F2728" s="16" t="e">
        <f t="shared" ref="F2728:K2728" si="5494">VLOOKUP($A2728,[9]Hacienda!$A$1:$O$285,F$1,0)</f>
        <v>#N/A</v>
      </c>
      <c r="G2728" s="39" t="e">
        <f t="shared" si="5494"/>
        <v>#N/A</v>
      </c>
      <c r="H2728" s="16" t="e">
        <f t="shared" si="5494"/>
        <v>#N/A</v>
      </c>
      <c r="I2728" s="16" t="e">
        <f t="shared" si="5494"/>
        <v>#N/A</v>
      </c>
      <c r="J2728" s="40" t="e">
        <f t="shared" si="5494"/>
        <v>#N/A</v>
      </c>
      <c r="K2728" s="16" t="e">
        <f t="shared" si="5494"/>
        <v>#N/A</v>
      </c>
      <c r="L2728" s="40" t="e">
        <f t="shared" si="5441"/>
        <v>#N/A</v>
      </c>
      <c r="M2728" s="16" t="e">
        <f t="shared" si="5442"/>
        <v>#N/A</v>
      </c>
      <c r="N2728" s="16" t="e">
        <f t="shared" si="5443"/>
        <v>#N/A</v>
      </c>
      <c r="O2728" s="16" t="s">
        <v>73</v>
      </c>
      <c r="P2728" s="16" t="str">
        <f t="shared" si="6"/>
        <v/>
      </c>
      <c r="Q2728" s="41" t="e">
        <f t="shared" si="5444"/>
        <v>#N/A</v>
      </c>
      <c r="R2728" s="44"/>
      <c r="S2728" s="44"/>
      <c r="T2728" s="43"/>
      <c r="U2728" s="43" t="str">
        <f t="shared" si="8"/>
        <v>No</v>
      </c>
      <c r="V2728" s="25"/>
      <c r="W2728" s="25"/>
      <c r="X2728" s="25"/>
      <c r="Y2728" s="25"/>
      <c r="Z2728" s="25"/>
    </row>
    <row r="2729" spans="1:26" ht="15.75" customHeight="1" x14ac:dyDescent="0.25">
      <c r="A2729" s="25">
        <v>2727</v>
      </c>
      <c r="B2729" s="37" t="e">
        <f t="shared" ref="B2729:D2729" si="5495">VLOOKUP($A2729,[9]Hacienda!$A$1:$O$285,B$1,0)</f>
        <v>#N/A</v>
      </c>
      <c r="C2729" s="38" t="e">
        <f t="shared" si="5495"/>
        <v>#N/A</v>
      </c>
      <c r="D2729" s="39" t="e">
        <f t="shared" si="5495"/>
        <v>#N/A</v>
      </c>
      <c r="E2729" s="16" t="e">
        <f t="shared" si="1"/>
        <v>#N/A</v>
      </c>
      <c r="F2729" s="16" t="e">
        <f t="shared" ref="F2729:K2729" si="5496">VLOOKUP($A2729,[9]Hacienda!$A$1:$O$285,F$1,0)</f>
        <v>#N/A</v>
      </c>
      <c r="G2729" s="39" t="e">
        <f t="shared" si="5496"/>
        <v>#N/A</v>
      </c>
      <c r="H2729" s="16" t="e">
        <f t="shared" si="5496"/>
        <v>#N/A</v>
      </c>
      <c r="I2729" s="16" t="e">
        <f t="shared" si="5496"/>
        <v>#N/A</v>
      </c>
      <c r="J2729" s="40" t="e">
        <f t="shared" si="5496"/>
        <v>#N/A</v>
      </c>
      <c r="K2729" s="16" t="e">
        <f t="shared" si="5496"/>
        <v>#N/A</v>
      </c>
      <c r="L2729" s="40" t="e">
        <f t="shared" si="5441"/>
        <v>#N/A</v>
      </c>
      <c r="M2729" s="16" t="e">
        <f t="shared" si="5442"/>
        <v>#N/A</v>
      </c>
      <c r="N2729" s="16" t="e">
        <f t="shared" si="5443"/>
        <v>#N/A</v>
      </c>
      <c r="O2729" s="16" t="s">
        <v>73</v>
      </c>
      <c r="P2729" s="16" t="str">
        <f t="shared" si="6"/>
        <v/>
      </c>
      <c r="Q2729" s="41" t="e">
        <f t="shared" si="5444"/>
        <v>#N/A</v>
      </c>
      <c r="R2729" s="44"/>
      <c r="S2729" s="44"/>
      <c r="T2729" s="43"/>
      <c r="U2729" s="43" t="str">
        <f t="shared" si="8"/>
        <v>No</v>
      </c>
      <c r="V2729" s="25"/>
      <c r="W2729" s="25"/>
      <c r="X2729" s="25"/>
      <c r="Y2729" s="25"/>
      <c r="Z2729" s="25"/>
    </row>
    <row r="2730" spans="1:26" ht="15.75" customHeight="1" x14ac:dyDescent="0.25">
      <c r="A2730" s="25">
        <v>2728</v>
      </c>
      <c r="B2730" s="37" t="e">
        <f t="shared" ref="B2730:D2730" si="5497">VLOOKUP($A2730,[9]Hacienda!$A$1:$O$285,B$1,0)</f>
        <v>#N/A</v>
      </c>
      <c r="C2730" s="38" t="e">
        <f t="shared" si="5497"/>
        <v>#N/A</v>
      </c>
      <c r="D2730" s="39" t="e">
        <f t="shared" si="5497"/>
        <v>#N/A</v>
      </c>
      <c r="E2730" s="16" t="e">
        <f t="shared" si="1"/>
        <v>#N/A</v>
      </c>
      <c r="F2730" s="16" t="e">
        <f t="shared" ref="F2730:K2730" si="5498">VLOOKUP($A2730,[9]Hacienda!$A$1:$O$285,F$1,0)</f>
        <v>#N/A</v>
      </c>
      <c r="G2730" s="39" t="e">
        <f t="shared" si="5498"/>
        <v>#N/A</v>
      </c>
      <c r="H2730" s="16" t="e">
        <f t="shared" si="5498"/>
        <v>#N/A</v>
      </c>
      <c r="I2730" s="16" t="e">
        <f t="shared" si="5498"/>
        <v>#N/A</v>
      </c>
      <c r="J2730" s="40" t="e">
        <f t="shared" si="5498"/>
        <v>#N/A</v>
      </c>
      <c r="K2730" s="16" t="e">
        <f t="shared" si="5498"/>
        <v>#N/A</v>
      </c>
      <c r="L2730" s="40" t="e">
        <f t="shared" si="5441"/>
        <v>#N/A</v>
      </c>
      <c r="M2730" s="16" t="e">
        <f t="shared" si="5442"/>
        <v>#N/A</v>
      </c>
      <c r="N2730" s="16" t="e">
        <f t="shared" si="5443"/>
        <v>#N/A</v>
      </c>
      <c r="O2730" s="16" t="s">
        <v>73</v>
      </c>
      <c r="P2730" s="16" t="str">
        <f t="shared" si="6"/>
        <v/>
      </c>
      <c r="Q2730" s="41" t="e">
        <f t="shared" si="5444"/>
        <v>#N/A</v>
      </c>
      <c r="R2730" s="44"/>
      <c r="S2730" s="44"/>
      <c r="T2730" s="43"/>
      <c r="U2730" s="43" t="str">
        <f t="shared" si="8"/>
        <v>No</v>
      </c>
      <c r="V2730" s="25"/>
      <c r="W2730" s="25"/>
      <c r="X2730" s="25"/>
      <c r="Y2730" s="25"/>
      <c r="Z2730" s="25"/>
    </row>
    <row r="2731" spans="1:26" ht="15.75" customHeight="1" x14ac:dyDescent="0.25">
      <c r="A2731" s="25">
        <v>2729</v>
      </c>
      <c r="B2731" s="37" t="e">
        <f t="shared" ref="B2731:D2731" si="5499">VLOOKUP($A2731,[9]Hacienda!$A$1:$O$285,B$1,0)</f>
        <v>#N/A</v>
      </c>
      <c r="C2731" s="38" t="e">
        <f t="shared" si="5499"/>
        <v>#N/A</v>
      </c>
      <c r="D2731" s="39" t="e">
        <f t="shared" si="5499"/>
        <v>#N/A</v>
      </c>
      <c r="E2731" s="16" t="e">
        <f t="shared" si="1"/>
        <v>#N/A</v>
      </c>
      <c r="F2731" s="16" t="e">
        <f t="shared" ref="F2731:K2731" si="5500">VLOOKUP($A2731,[9]Hacienda!$A$1:$O$285,F$1,0)</f>
        <v>#N/A</v>
      </c>
      <c r="G2731" s="39" t="e">
        <f t="shared" si="5500"/>
        <v>#N/A</v>
      </c>
      <c r="H2731" s="16" t="e">
        <f t="shared" si="5500"/>
        <v>#N/A</v>
      </c>
      <c r="I2731" s="16" t="e">
        <f t="shared" si="5500"/>
        <v>#N/A</v>
      </c>
      <c r="J2731" s="40" t="e">
        <f t="shared" si="5500"/>
        <v>#N/A</v>
      </c>
      <c r="K2731" s="16" t="e">
        <f t="shared" si="5500"/>
        <v>#N/A</v>
      </c>
      <c r="L2731" s="40" t="e">
        <f t="shared" si="5441"/>
        <v>#N/A</v>
      </c>
      <c r="M2731" s="16" t="e">
        <f t="shared" si="5442"/>
        <v>#N/A</v>
      </c>
      <c r="N2731" s="16" t="e">
        <f t="shared" si="5443"/>
        <v>#N/A</v>
      </c>
      <c r="O2731" s="16" t="s">
        <v>73</v>
      </c>
      <c r="P2731" s="16" t="str">
        <f t="shared" si="6"/>
        <v/>
      </c>
      <c r="Q2731" s="41" t="e">
        <f t="shared" si="5444"/>
        <v>#N/A</v>
      </c>
      <c r="R2731" s="44"/>
      <c r="S2731" s="44"/>
      <c r="T2731" s="43"/>
      <c r="U2731" s="43" t="str">
        <f t="shared" si="8"/>
        <v>No</v>
      </c>
      <c r="V2731" s="25"/>
      <c r="W2731" s="25"/>
      <c r="X2731" s="25"/>
      <c r="Y2731" s="25"/>
      <c r="Z2731" s="25"/>
    </row>
    <row r="2732" spans="1:26" ht="15.75" customHeight="1" x14ac:dyDescent="0.25">
      <c r="A2732" s="25">
        <v>2730</v>
      </c>
      <c r="B2732" s="37" t="e">
        <f t="shared" ref="B2732:D2732" si="5501">VLOOKUP($A2732,[9]Hacienda!$A$1:$O$285,B$1,0)</f>
        <v>#N/A</v>
      </c>
      <c r="C2732" s="38" t="e">
        <f t="shared" si="5501"/>
        <v>#N/A</v>
      </c>
      <c r="D2732" s="39" t="e">
        <f t="shared" si="5501"/>
        <v>#N/A</v>
      </c>
      <c r="E2732" s="16" t="e">
        <f t="shared" si="1"/>
        <v>#N/A</v>
      </c>
      <c r="F2732" s="16" t="e">
        <f t="shared" ref="F2732:K2732" si="5502">VLOOKUP($A2732,[9]Hacienda!$A$1:$O$285,F$1,0)</f>
        <v>#N/A</v>
      </c>
      <c r="G2732" s="39" t="e">
        <f t="shared" si="5502"/>
        <v>#N/A</v>
      </c>
      <c r="H2732" s="16" t="e">
        <f t="shared" si="5502"/>
        <v>#N/A</v>
      </c>
      <c r="I2732" s="16" t="e">
        <f t="shared" si="5502"/>
        <v>#N/A</v>
      </c>
      <c r="J2732" s="40" t="e">
        <f t="shared" si="5502"/>
        <v>#N/A</v>
      </c>
      <c r="K2732" s="16" t="e">
        <f t="shared" si="5502"/>
        <v>#N/A</v>
      </c>
      <c r="L2732" s="40" t="e">
        <f t="shared" si="5441"/>
        <v>#N/A</v>
      </c>
      <c r="M2732" s="16" t="e">
        <f t="shared" si="5442"/>
        <v>#N/A</v>
      </c>
      <c r="N2732" s="16" t="e">
        <f t="shared" si="5443"/>
        <v>#N/A</v>
      </c>
      <c r="O2732" s="16" t="s">
        <v>73</v>
      </c>
      <c r="P2732" s="16" t="str">
        <f t="shared" si="6"/>
        <v/>
      </c>
      <c r="Q2732" s="41" t="e">
        <f t="shared" si="5444"/>
        <v>#N/A</v>
      </c>
      <c r="R2732" s="44"/>
      <c r="S2732" s="44"/>
      <c r="T2732" s="43"/>
      <c r="U2732" s="43" t="str">
        <f t="shared" si="8"/>
        <v>No</v>
      </c>
      <c r="V2732" s="25"/>
      <c r="W2732" s="25"/>
      <c r="X2732" s="25"/>
      <c r="Y2732" s="25"/>
      <c r="Z2732" s="25"/>
    </row>
    <row r="2733" spans="1:26" ht="15.75" customHeight="1" x14ac:dyDescent="0.25">
      <c r="A2733" s="25">
        <v>2731</v>
      </c>
      <c r="B2733" s="37" t="e">
        <f t="shared" ref="B2733:D2733" si="5503">VLOOKUP($A2733,[9]Hacienda!$A$1:$O$285,B$1,0)</f>
        <v>#N/A</v>
      </c>
      <c r="C2733" s="38" t="e">
        <f t="shared" si="5503"/>
        <v>#N/A</v>
      </c>
      <c r="D2733" s="39" t="e">
        <f t="shared" si="5503"/>
        <v>#N/A</v>
      </c>
      <c r="E2733" s="16" t="e">
        <f t="shared" si="1"/>
        <v>#N/A</v>
      </c>
      <c r="F2733" s="16" t="e">
        <f t="shared" ref="F2733:K2733" si="5504">VLOOKUP($A2733,[9]Hacienda!$A$1:$O$285,F$1,0)</f>
        <v>#N/A</v>
      </c>
      <c r="G2733" s="39" t="e">
        <f t="shared" si="5504"/>
        <v>#N/A</v>
      </c>
      <c r="H2733" s="16" t="e">
        <f t="shared" si="5504"/>
        <v>#N/A</v>
      </c>
      <c r="I2733" s="16" t="e">
        <f t="shared" si="5504"/>
        <v>#N/A</v>
      </c>
      <c r="J2733" s="40" t="e">
        <f t="shared" si="5504"/>
        <v>#N/A</v>
      </c>
      <c r="K2733" s="16" t="e">
        <f t="shared" si="5504"/>
        <v>#N/A</v>
      </c>
      <c r="L2733" s="40" t="e">
        <f t="shared" si="5441"/>
        <v>#N/A</v>
      </c>
      <c r="M2733" s="16" t="e">
        <f t="shared" si="5442"/>
        <v>#N/A</v>
      </c>
      <c r="N2733" s="16" t="e">
        <f t="shared" si="5443"/>
        <v>#N/A</v>
      </c>
      <c r="O2733" s="16" t="s">
        <v>73</v>
      </c>
      <c r="P2733" s="16" t="str">
        <f t="shared" si="6"/>
        <v/>
      </c>
      <c r="Q2733" s="41" t="e">
        <f t="shared" si="5444"/>
        <v>#N/A</v>
      </c>
      <c r="R2733" s="44"/>
      <c r="S2733" s="44"/>
      <c r="T2733" s="43"/>
      <c r="U2733" s="43" t="str">
        <f t="shared" si="8"/>
        <v>No</v>
      </c>
      <c r="V2733" s="25"/>
      <c r="W2733" s="25"/>
      <c r="X2733" s="25"/>
      <c r="Y2733" s="25"/>
      <c r="Z2733" s="25"/>
    </row>
    <row r="2734" spans="1:26" ht="15.75" customHeight="1" x14ac:dyDescent="0.25">
      <c r="A2734" s="25">
        <v>2732</v>
      </c>
      <c r="B2734" s="37" t="e">
        <f t="shared" ref="B2734:D2734" si="5505">VLOOKUP($A2734,[9]Hacienda!$A$1:$O$285,B$1,0)</f>
        <v>#N/A</v>
      </c>
      <c r="C2734" s="38" t="e">
        <f t="shared" si="5505"/>
        <v>#N/A</v>
      </c>
      <c r="D2734" s="39" t="e">
        <f t="shared" si="5505"/>
        <v>#N/A</v>
      </c>
      <c r="E2734" s="16" t="e">
        <f t="shared" si="1"/>
        <v>#N/A</v>
      </c>
      <c r="F2734" s="16" t="e">
        <f t="shared" ref="F2734:K2734" si="5506">VLOOKUP($A2734,[9]Hacienda!$A$1:$O$285,F$1,0)</f>
        <v>#N/A</v>
      </c>
      <c r="G2734" s="39" t="e">
        <f t="shared" si="5506"/>
        <v>#N/A</v>
      </c>
      <c r="H2734" s="16" t="e">
        <f t="shared" si="5506"/>
        <v>#N/A</v>
      </c>
      <c r="I2734" s="16" t="e">
        <f t="shared" si="5506"/>
        <v>#N/A</v>
      </c>
      <c r="J2734" s="40" t="e">
        <f t="shared" si="5506"/>
        <v>#N/A</v>
      </c>
      <c r="K2734" s="16" t="e">
        <f t="shared" si="5506"/>
        <v>#N/A</v>
      </c>
      <c r="L2734" s="40" t="e">
        <f t="shared" si="5441"/>
        <v>#N/A</v>
      </c>
      <c r="M2734" s="16" t="e">
        <f t="shared" si="5442"/>
        <v>#N/A</v>
      </c>
      <c r="N2734" s="16" t="e">
        <f t="shared" si="5443"/>
        <v>#N/A</v>
      </c>
      <c r="O2734" s="16" t="s">
        <v>73</v>
      </c>
      <c r="P2734" s="16" t="str">
        <f t="shared" si="6"/>
        <v/>
      </c>
      <c r="Q2734" s="41" t="e">
        <f t="shared" si="5444"/>
        <v>#N/A</v>
      </c>
      <c r="R2734" s="44"/>
      <c r="S2734" s="44"/>
      <c r="T2734" s="43"/>
      <c r="U2734" s="43" t="str">
        <f t="shared" si="8"/>
        <v>No</v>
      </c>
      <c r="V2734" s="25"/>
      <c r="W2734" s="25"/>
      <c r="X2734" s="25"/>
      <c r="Y2734" s="25"/>
      <c r="Z2734" s="25"/>
    </row>
    <row r="2735" spans="1:26" ht="15.75" customHeight="1" x14ac:dyDescent="0.25">
      <c r="A2735" s="25">
        <v>2733</v>
      </c>
      <c r="B2735" s="37" t="e">
        <f t="shared" ref="B2735:D2735" si="5507">VLOOKUP($A2735,[9]Hacienda!$A$1:$O$285,B$1,0)</f>
        <v>#N/A</v>
      </c>
      <c r="C2735" s="38" t="e">
        <f t="shared" si="5507"/>
        <v>#N/A</v>
      </c>
      <c r="D2735" s="39" t="e">
        <f t="shared" si="5507"/>
        <v>#N/A</v>
      </c>
      <c r="E2735" s="16" t="e">
        <f t="shared" si="1"/>
        <v>#N/A</v>
      </c>
      <c r="F2735" s="16" t="e">
        <f t="shared" ref="F2735:K2735" si="5508">VLOOKUP($A2735,[9]Hacienda!$A$1:$O$285,F$1,0)</f>
        <v>#N/A</v>
      </c>
      <c r="G2735" s="39" t="e">
        <f t="shared" si="5508"/>
        <v>#N/A</v>
      </c>
      <c r="H2735" s="16" t="e">
        <f t="shared" si="5508"/>
        <v>#N/A</v>
      </c>
      <c r="I2735" s="16" t="e">
        <f t="shared" si="5508"/>
        <v>#N/A</v>
      </c>
      <c r="J2735" s="40" t="e">
        <f t="shared" si="5508"/>
        <v>#N/A</v>
      </c>
      <c r="K2735" s="16" t="e">
        <f t="shared" si="5508"/>
        <v>#N/A</v>
      </c>
      <c r="L2735" s="40" t="e">
        <f t="shared" si="5441"/>
        <v>#N/A</v>
      </c>
      <c r="M2735" s="16" t="e">
        <f t="shared" si="5442"/>
        <v>#N/A</v>
      </c>
      <c r="N2735" s="16" t="e">
        <f t="shared" si="5443"/>
        <v>#N/A</v>
      </c>
      <c r="O2735" s="16" t="s">
        <v>73</v>
      </c>
      <c r="P2735" s="16" t="str">
        <f t="shared" si="6"/>
        <v/>
      </c>
      <c r="Q2735" s="41" t="e">
        <f t="shared" si="5444"/>
        <v>#N/A</v>
      </c>
      <c r="R2735" s="44"/>
      <c r="S2735" s="44"/>
      <c r="T2735" s="43"/>
      <c r="U2735" s="43" t="str">
        <f t="shared" si="8"/>
        <v>No</v>
      </c>
      <c r="V2735" s="25"/>
      <c r="W2735" s="25"/>
      <c r="X2735" s="25"/>
      <c r="Y2735" s="25"/>
      <c r="Z2735" s="25"/>
    </row>
    <row r="2736" spans="1:26" ht="15.75" customHeight="1" x14ac:dyDescent="0.25">
      <c r="A2736" s="25">
        <v>2734</v>
      </c>
      <c r="B2736" s="37" t="e">
        <f t="shared" ref="B2736:D2736" si="5509">VLOOKUP($A2736,[9]Hacienda!$A$1:$O$285,B$1,0)</f>
        <v>#N/A</v>
      </c>
      <c r="C2736" s="38" t="e">
        <f t="shared" si="5509"/>
        <v>#N/A</v>
      </c>
      <c r="D2736" s="39" t="e">
        <f t="shared" si="5509"/>
        <v>#N/A</v>
      </c>
      <c r="E2736" s="16" t="e">
        <f t="shared" si="1"/>
        <v>#N/A</v>
      </c>
      <c r="F2736" s="16" t="e">
        <f t="shared" ref="F2736:K2736" si="5510">VLOOKUP($A2736,[9]Hacienda!$A$1:$O$285,F$1,0)</f>
        <v>#N/A</v>
      </c>
      <c r="G2736" s="39" t="e">
        <f t="shared" si="5510"/>
        <v>#N/A</v>
      </c>
      <c r="H2736" s="16" t="e">
        <f t="shared" si="5510"/>
        <v>#N/A</v>
      </c>
      <c r="I2736" s="16" t="e">
        <f t="shared" si="5510"/>
        <v>#N/A</v>
      </c>
      <c r="J2736" s="40" t="e">
        <f t="shared" si="5510"/>
        <v>#N/A</v>
      </c>
      <c r="K2736" s="16" t="e">
        <f t="shared" si="5510"/>
        <v>#N/A</v>
      </c>
      <c r="L2736" s="40" t="e">
        <f t="shared" si="5441"/>
        <v>#N/A</v>
      </c>
      <c r="M2736" s="16" t="e">
        <f t="shared" si="5442"/>
        <v>#N/A</v>
      </c>
      <c r="N2736" s="16" t="e">
        <f t="shared" si="5443"/>
        <v>#N/A</v>
      </c>
      <c r="O2736" s="16" t="s">
        <v>73</v>
      </c>
      <c r="P2736" s="16" t="str">
        <f t="shared" si="6"/>
        <v/>
      </c>
      <c r="Q2736" s="41" t="e">
        <f t="shared" si="5444"/>
        <v>#N/A</v>
      </c>
      <c r="R2736" s="44"/>
      <c r="S2736" s="44"/>
      <c r="T2736" s="43"/>
      <c r="U2736" s="43" t="str">
        <f t="shared" si="8"/>
        <v>No</v>
      </c>
      <c r="V2736" s="25"/>
      <c r="W2736" s="25"/>
      <c r="X2736" s="25"/>
      <c r="Y2736" s="25"/>
      <c r="Z2736" s="25"/>
    </row>
    <row r="2737" spans="1:26" ht="15.75" customHeight="1" x14ac:dyDescent="0.25">
      <c r="A2737" s="25">
        <v>2735</v>
      </c>
      <c r="B2737" s="37" t="e">
        <f t="shared" ref="B2737:D2737" si="5511">VLOOKUP($A2737,[9]Hacienda!$A$1:$O$285,B$1,0)</f>
        <v>#N/A</v>
      </c>
      <c r="C2737" s="38" t="e">
        <f t="shared" si="5511"/>
        <v>#N/A</v>
      </c>
      <c r="D2737" s="39" t="e">
        <f t="shared" si="5511"/>
        <v>#N/A</v>
      </c>
      <c r="E2737" s="16" t="e">
        <f t="shared" si="1"/>
        <v>#N/A</v>
      </c>
      <c r="F2737" s="16" t="e">
        <f t="shared" ref="F2737:K2737" si="5512">VLOOKUP($A2737,[9]Hacienda!$A$1:$O$285,F$1,0)</f>
        <v>#N/A</v>
      </c>
      <c r="G2737" s="39" t="e">
        <f t="shared" si="5512"/>
        <v>#N/A</v>
      </c>
      <c r="H2737" s="16" t="e">
        <f t="shared" si="5512"/>
        <v>#N/A</v>
      </c>
      <c r="I2737" s="16" t="e">
        <f t="shared" si="5512"/>
        <v>#N/A</v>
      </c>
      <c r="J2737" s="40" t="e">
        <f t="shared" si="5512"/>
        <v>#N/A</v>
      </c>
      <c r="K2737" s="16" t="e">
        <f t="shared" si="5512"/>
        <v>#N/A</v>
      </c>
      <c r="L2737" s="40" t="e">
        <f t="shared" si="5441"/>
        <v>#N/A</v>
      </c>
      <c r="M2737" s="16" t="e">
        <f t="shared" si="5442"/>
        <v>#N/A</v>
      </c>
      <c r="N2737" s="16" t="e">
        <f t="shared" si="5443"/>
        <v>#N/A</v>
      </c>
      <c r="O2737" s="16" t="s">
        <v>73</v>
      </c>
      <c r="P2737" s="16" t="str">
        <f t="shared" si="6"/>
        <v/>
      </c>
      <c r="Q2737" s="41" t="e">
        <f t="shared" si="5444"/>
        <v>#N/A</v>
      </c>
      <c r="R2737" s="44"/>
      <c r="S2737" s="44"/>
      <c r="T2737" s="43"/>
      <c r="U2737" s="43" t="str">
        <f t="shared" si="8"/>
        <v>No</v>
      </c>
      <c r="V2737" s="25"/>
      <c r="W2737" s="25"/>
      <c r="X2737" s="25"/>
      <c r="Y2737" s="25"/>
      <c r="Z2737" s="25"/>
    </row>
    <row r="2738" spans="1:26" ht="15.75" customHeight="1" x14ac:dyDescent="0.25">
      <c r="A2738" s="25">
        <v>2736</v>
      </c>
      <c r="B2738" s="37" t="e">
        <f t="shared" ref="B2738:D2738" si="5513">VLOOKUP($A2738,[9]Hacienda!$A$1:$O$285,B$1,0)</f>
        <v>#N/A</v>
      </c>
      <c r="C2738" s="38" t="e">
        <f t="shared" si="5513"/>
        <v>#N/A</v>
      </c>
      <c r="D2738" s="39" t="e">
        <f t="shared" si="5513"/>
        <v>#N/A</v>
      </c>
      <c r="E2738" s="16" t="e">
        <f t="shared" si="1"/>
        <v>#N/A</v>
      </c>
      <c r="F2738" s="16" t="e">
        <f t="shared" ref="F2738:K2738" si="5514">VLOOKUP($A2738,[9]Hacienda!$A$1:$O$285,F$1,0)</f>
        <v>#N/A</v>
      </c>
      <c r="G2738" s="39" t="e">
        <f t="shared" si="5514"/>
        <v>#N/A</v>
      </c>
      <c r="H2738" s="16" t="e">
        <f t="shared" si="5514"/>
        <v>#N/A</v>
      </c>
      <c r="I2738" s="16" t="e">
        <f t="shared" si="5514"/>
        <v>#N/A</v>
      </c>
      <c r="J2738" s="40" t="e">
        <f t="shared" si="5514"/>
        <v>#N/A</v>
      </c>
      <c r="K2738" s="16" t="e">
        <f t="shared" si="5514"/>
        <v>#N/A</v>
      </c>
      <c r="L2738" s="40" t="e">
        <f t="shared" si="5441"/>
        <v>#N/A</v>
      </c>
      <c r="M2738" s="16" t="e">
        <f t="shared" si="5442"/>
        <v>#N/A</v>
      </c>
      <c r="N2738" s="16" t="e">
        <f t="shared" si="5443"/>
        <v>#N/A</v>
      </c>
      <c r="O2738" s="16" t="s">
        <v>73</v>
      </c>
      <c r="P2738" s="16" t="str">
        <f t="shared" si="6"/>
        <v/>
      </c>
      <c r="Q2738" s="41" t="e">
        <f t="shared" si="5444"/>
        <v>#N/A</v>
      </c>
      <c r="R2738" s="44"/>
      <c r="S2738" s="44"/>
      <c r="T2738" s="43"/>
      <c r="U2738" s="43" t="str">
        <f t="shared" si="8"/>
        <v>No</v>
      </c>
      <c r="V2738" s="25"/>
      <c r="W2738" s="25"/>
      <c r="X2738" s="25"/>
      <c r="Y2738" s="25"/>
      <c r="Z2738" s="25"/>
    </row>
    <row r="2739" spans="1:26" ht="15.75" customHeight="1" x14ac:dyDescent="0.25">
      <c r="A2739" s="25">
        <v>2737</v>
      </c>
      <c r="B2739" s="37" t="e">
        <f t="shared" ref="B2739:D2739" si="5515">VLOOKUP($A2739,[9]Hacienda!$A$1:$O$285,B$1,0)</f>
        <v>#N/A</v>
      </c>
      <c r="C2739" s="38" t="e">
        <f t="shared" si="5515"/>
        <v>#N/A</v>
      </c>
      <c r="D2739" s="39" t="e">
        <f t="shared" si="5515"/>
        <v>#N/A</v>
      </c>
      <c r="E2739" s="16" t="e">
        <f t="shared" si="1"/>
        <v>#N/A</v>
      </c>
      <c r="F2739" s="16" t="e">
        <f t="shared" ref="F2739:K2739" si="5516">VLOOKUP($A2739,[9]Hacienda!$A$1:$O$285,F$1,0)</f>
        <v>#N/A</v>
      </c>
      <c r="G2739" s="39" t="e">
        <f t="shared" si="5516"/>
        <v>#N/A</v>
      </c>
      <c r="H2739" s="16" t="e">
        <f t="shared" si="5516"/>
        <v>#N/A</v>
      </c>
      <c r="I2739" s="16" t="e">
        <f t="shared" si="5516"/>
        <v>#N/A</v>
      </c>
      <c r="J2739" s="40" t="e">
        <f t="shared" si="5516"/>
        <v>#N/A</v>
      </c>
      <c r="K2739" s="16" t="e">
        <f t="shared" si="5516"/>
        <v>#N/A</v>
      </c>
      <c r="L2739" s="40" t="e">
        <f t="shared" si="5441"/>
        <v>#N/A</v>
      </c>
      <c r="M2739" s="16" t="e">
        <f t="shared" si="5442"/>
        <v>#N/A</v>
      </c>
      <c r="N2739" s="16" t="e">
        <f t="shared" si="5443"/>
        <v>#N/A</v>
      </c>
      <c r="O2739" s="16" t="s">
        <v>73</v>
      </c>
      <c r="P2739" s="16" t="str">
        <f t="shared" si="6"/>
        <v/>
      </c>
      <c r="Q2739" s="41" t="e">
        <f t="shared" si="5444"/>
        <v>#N/A</v>
      </c>
      <c r="R2739" s="44"/>
      <c r="S2739" s="44"/>
      <c r="T2739" s="43"/>
      <c r="U2739" s="43" t="str">
        <f t="shared" si="8"/>
        <v>No</v>
      </c>
      <c r="V2739" s="25"/>
      <c r="W2739" s="25"/>
      <c r="X2739" s="25"/>
      <c r="Y2739" s="25"/>
      <c r="Z2739" s="25"/>
    </row>
    <row r="2740" spans="1:26" ht="15.75" customHeight="1" x14ac:dyDescent="0.25">
      <c r="A2740" s="25">
        <v>2738</v>
      </c>
      <c r="B2740" s="37" t="e">
        <f t="shared" ref="B2740:D2740" si="5517">VLOOKUP($A2740,[9]Hacienda!$A$1:$O$285,B$1,0)</f>
        <v>#N/A</v>
      </c>
      <c r="C2740" s="38" t="e">
        <f t="shared" si="5517"/>
        <v>#N/A</v>
      </c>
      <c r="D2740" s="39" t="e">
        <f t="shared" si="5517"/>
        <v>#N/A</v>
      </c>
      <c r="E2740" s="16" t="e">
        <f t="shared" si="1"/>
        <v>#N/A</v>
      </c>
      <c r="F2740" s="16" t="e">
        <f t="shared" ref="F2740:K2740" si="5518">VLOOKUP($A2740,[9]Hacienda!$A$1:$O$285,F$1,0)</f>
        <v>#N/A</v>
      </c>
      <c r="G2740" s="39" t="e">
        <f t="shared" si="5518"/>
        <v>#N/A</v>
      </c>
      <c r="H2740" s="16" t="e">
        <f t="shared" si="5518"/>
        <v>#N/A</v>
      </c>
      <c r="I2740" s="16" t="e">
        <f t="shared" si="5518"/>
        <v>#N/A</v>
      </c>
      <c r="J2740" s="40" t="e">
        <f t="shared" si="5518"/>
        <v>#N/A</v>
      </c>
      <c r="K2740" s="16" t="e">
        <f t="shared" si="5518"/>
        <v>#N/A</v>
      </c>
      <c r="L2740" s="40" t="e">
        <f t="shared" si="5441"/>
        <v>#N/A</v>
      </c>
      <c r="M2740" s="16" t="e">
        <f t="shared" si="5442"/>
        <v>#N/A</v>
      </c>
      <c r="N2740" s="16" t="e">
        <f t="shared" si="5443"/>
        <v>#N/A</v>
      </c>
      <c r="O2740" s="16" t="s">
        <v>73</v>
      </c>
      <c r="P2740" s="16" t="str">
        <f t="shared" si="6"/>
        <v/>
      </c>
      <c r="Q2740" s="41" t="e">
        <f t="shared" si="5444"/>
        <v>#N/A</v>
      </c>
      <c r="R2740" s="44"/>
      <c r="S2740" s="44"/>
      <c r="T2740" s="43"/>
      <c r="U2740" s="43" t="str">
        <f t="shared" si="8"/>
        <v>No</v>
      </c>
      <c r="V2740" s="25"/>
      <c r="W2740" s="25"/>
      <c r="X2740" s="25"/>
      <c r="Y2740" s="25"/>
      <c r="Z2740" s="25"/>
    </row>
    <row r="2741" spans="1:26" ht="15.75" customHeight="1" x14ac:dyDescent="0.25">
      <c r="A2741" s="25">
        <v>2739</v>
      </c>
      <c r="B2741" s="37" t="e">
        <f t="shared" ref="B2741:D2741" si="5519">VLOOKUP($A2741,[9]Hacienda!$A$1:$O$285,B$1,0)</f>
        <v>#N/A</v>
      </c>
      <c r="C2741" s="38" t="e">
        <f t="shared" si="5519"/>
        <v>#N/A</v>
      </c>
      <c r="D2741" s="39" t="e">
        <f t="shared" si="5519"/>
        <v>#N/A</v>
      </c>
      <c r="E2741" s="16" t="e">
        <f t="shared" si="1"/>
        <v>#N/A</v>
      </c>
      <c r="F2741" s="16" t="e">
        <f t="shared" ref="F2741:K2741" si="5520">VLOOKUP($A2741,[9]Hacienda!$A$1:$O$285,F$1,0)</f>
        <v>#N/A</v>
      </c>
      <c r="G2741" s="39" t="e">
        <f t="shared" si="5520"/>
        <v>#N/A</v>
      </c>
      <c r="H2741" s="16" t="e">
        <f t="shared" si="5520"/>
        <v>#N/A</v>
      </c>
      <c r="I2741" s="16" t="e">
        <f t="shared" si="5520"/>
        <v>#N/A</v>
      </c>
      <c r="J2741" s="40" t="e">
        <f t="shared" si="5520"/>
        <v>#N/A</v>
      </c>
      <c r="K2741" s="16" t="e">
        <f t="shared" si="5520"/>
        <v>#N/A</v>
      </c>
      <c r="L2741" s="40" t="e">
        <f t="shared" si="5441"/>
        <v>#N/A</v>
      </c>
      <c r="M2741" s="16" t="e">
        <f t="shared" si="5442"/>
        <v>#N/A</v>
      </c>
      <c r="N2741" s="16" t="e">
        <f t="shared" si="5443"/>
        <v>#N/A</v>
      </c>
      <c r="O2741" s="16" t="s">
        <v>73</v>
      </c>
      <c r="P2741" s="16" t="str">
        <f t="shared" si="6"/>
        <v/>
      </c>
      <c r="Q2741" s="41" t="e">
        <f t="shared" si="5444"/>
        <v>#N/A</v>
      </c>
      <c r="R2741" s="44"/>
      <c r="S2741" s="44"/>
      <c r="T2741" s="43"/>
      <c r="U2741" s="43" t="str">
        <f t="shared" si="8"/>
        <v>No</v>
      </c>
      <c r="V2741" s="25"/>
      <c r="W2741" s="25"/>
      <c r="X2741" s="25"/>
      <c r="Y2741" s="25"/>
      <c r="Z2741" s="25"/>
    </row>
    <row r="2742" spans="1:26" ht="15.75" customHeight="1" x14ac:dyDescent="0.25">
      <c r="A2742" s="25">
        <v>2740</v>
      </c>
      <c r="B2742" s="37" t="e">
        <f t="shared" ref="B2742:D2742" si="5521">VLOOKUP($A2742,[9]Hacienda!$A$1:$O$285,B$1,0)</f>
        <v>#N/A</v>
      </c>
      <c r="C2742" s="38" t="e">
        <f t="shared" si="5521"/>
        <v>#N/A</v>
      </c>
      <c r="D2742" s="39" t="e">
        <f t="shared" si="5521"/>
        <v>#N/A</v>
      </c>
      <c r="E2742" s="16" t="e">
        <f t="shared" si="1"/>
        <v>#N/A</v>
      </c>
      <c r="F2742" s="16" t="e">
        <f t="shared" ref="F2742:K2742" si="5522">VLOOKUP($A2742,[9]Hacienda!$A$1:$O$285,F$1,0)</f>
        <v>#N/A</v>
      </c>
      <c r="G2742" s="39" t="e">
        <f t="shared" si="5522"/>
        <v>#N/A</v>
      </c>
      <c r="H2742" s="16" t="e">
        <f t="shared" si="5522"/>
        <v>#N/A</v>
      </c>
      <c r="I2742" s="16" t="e">
        <f t="shared" si="5522"/>
        <v>#N/A</v>
      </c>
      <c r="J2742" s="40" t="e">
        <f t="shared" si="5522"/>
        <v>#N/A</v>
      </c>
      <c r="K2742" s="16" t="e">
        <f t="shared" si="5522"/>
        <v>#N/A</v>
      </c>
      <c r="L2742" s="40" t="e">
        <f t="shared" si="5441"/>
        <v>#N/A</v>
      </c>
      <c r="M2742" s="16" t="e">
        <f t="shared" si="5442"/>
        <v>#N/A</v>
      </c>
      <c r="N2742" s="16" t="e">
        <f t="shared" si="5443"/>
        <v>#N/A</v>
      </c>
      <c r="O2742" s="16" t="s">
        <v>73</v>
      </c>
      <c r="P2742" s="16" t="str">
        <f t="shared" si="6"/>
        <v/>
      </c>
      <c r="Q2742" s="41" t="e">
        <f t="shared" si="5444"/>
        <v>#N/A</v>
      </c>
      <c r="R2742" s="44"/>
      <c r="S2742" s="44"/>
      <c r="T2742" s="43"/>
      <c r="U2742" s="43" t="str">
        <f t="shared" si="8"/>
        <v>No</v>
      </c>
      <c r="V2742" s="25"/>
      <c r="W2742" s="25"/>
      <c r="X2742" s="25"/>
      <c r="Y2742" s="25"/>
      <c r="Z2742" s="25"/>
    </row>
    <row r="2743" spans="1:26" ht="15.75" customHeight="1" x14ac:dyDescent="0.25">
      <c r="A2743" s="25">
        <v>2741</v>
      </c>
      <c r="B2743" s="37" t="e">
        <f t="shared" ref="B2743:D2743" si="5523">VLOOKUP($A2743,[9]Hacienda!$A$1:$O$285,B$1,0)</f>
        <v>#N/A</v>
      </c>
      <c r="C2743" s="38" t="e">
        <f t="shared" si="5523"/>
        <v>#N/A</v>
      </c>
      <c r="D2743" s="39" t="e">
        <f t="shared" si="5523"/>
        <v>#N/A</v>
      </c>
      <c r="E2743" s="16" t="e">
        <f t="shared" si="1"/>
        <v>#N/A</v>
      </c>
      <c r="F2743" s="16" t="e">
        <f t="shared" ref="F2743:K2743" si="5524">VLOOKUP($A2743,[9]Hacienda!$A$1:$O$285,F$1,0)</f>
        <v>#N/A</v>
      </c>
      <c r="G2743" s="39" t="e">
        <f t="shared" si="5524"/>
        <v>#N/A</v>
      </c>
      <c r="H2743" s="16" t="e">
        <f t="shared" si="5524"/>
        <v>#N/A</v>
      </c>
      <c r="I2743" s="16" t="e">
        <f t="shared" si="5524"/>
        <v>#N/A</v>
      </c>
      <c r="J2743" s="40" t="e">
        <f t="shared" si="5524"/>
        <v>#N/A</v>
      </c>
      <c r="K2743" s="16" t="e">
        <f t="shared" si="5524"/>
        <v>#N/A</v>
      </c>
      <c r="L2743" s="40" t="e">
        <f t="shared" si="5441"/>
        <v>#N/A</v>
      </c>
      <c r="M2743" s="16" t="e">
        <f t="shared" si="5442"/>
        <v>#N/A</v>
      </c>
      <c r="N2743" s="16" t="e">
        <f t="shared" si="5443"/>
        <v>#N/A</v>
      </c>
      <c r="O2743" s="16" t="s">
        <v>73</v>
      </c>
      <c r="P2743" s="16" t="str">
        <f t="shared" si="6"/>
        <v/>
      </c>
      <c r="Q2743" s="41" t="e">
        <f t="shared" si="5444"/>
        <v>#N/A</v>
      </c>
      <c r="R2743" s="44"/>
      <c r="S2743" s="44"/>
      <c r="T2743" s="43"/>
      <c r="U2743" s="43" t="str">
        <f t="shared" si="8"/>
        <v>No</v>
      </c>
      <c r="V2743" s="25"/>
      <c r="W2743" s="25"/>
      <c r="X2743" s="25"/>
      <c r="Y2743" s="25"/>
      <c r="Z2743" s="25"/>
    </row>
    <row r="2744" spans="1:26" ht="15.75" customHeight="1" x14ac:dyDescent="0.25">
      <c r="A2744" s="25">
        <v>2742</v>
      </c>
      <c r="B2744" s="37" t="e">
        <f t="shared" ref="B2744:D2744" si="5525">VLOOKUP($A2744,[9]Hacienda!$A$1:$O$285,B$1,0)</f>
        <v>#N/A</v>
      </c>
      <c r="C2744" s="38" t="e">
        <f t="shared" si="5525"/>
        <v>#N/A</v>
      </c>
      <c r="D2744" s="39" t="e">
        <f t="shared" si="5525"/>
        <v>#N/A</v>
      </c>
      <c r="E2744" s="16" t="e">
        <f t="shared" si="1"/>
        <v>#N/A</v>
      </c>
      <c r="F2744" s="16" t="e">
        <f t="shared" ref="F2744:K2744" si="5526">VLOOKUP($A2744,[9]Hacienda!$A$1:$O$285,F$1,0)</f>
        <v>#N/A</v>
      </c>
      <c r="G2744" s="39" t="e">
        <f t="shared" si="5526"/>
        <v>#N/A</v>
      </c>
      <c r="H2744" s="16" t="e">
        <f t="shared" si="5526"/>
        <v>#N/A</v>
      </c>
      <c r="I2744" s="16" t="e">
        <f t="shared" si="5526"/>
        <v>#N/A</v>
      </c>
      <c r="J2744" s="40" t="e">
        <f t="shared" si="5526"/>
        <v>#N/A</v>
      </c>
      <c r="K2744" s="16" t="e">
        <f t="shared" si="5526"/>
        <v>#N/A</v>
      </c>
      <c r="L2744" s="40" t="e">
        <f t="shared" si="5441"/>
        <v>#N/A</v>
      </c>
      <c r="M2744" s="16" t="e">
        <f t="shared" si="5442"/>
        <v>#N/A</v>
      </c>
      <c r="N2744" s="16" t="e">
        <f t="shared" si="5443"/>
        <v>#N/A</v>
      </c>
      <c r="O2744" s="16" t="s">
        <v>73</v>
      </c>
      <c r="P2744" s="16" t="str">
        <f t="shared" si="6"/>
        <v/>
      </c>
      <c r="Q2744" s="41" t="e">
        <f t="shared" si="5444"/>
        <v>#N/A</v>
      </c>
      <c r="R2744" s="44"/>
      <c r="S2744" s="44"/>
      <c r="T2744" s="43"/>
      <c r="U2744" s="43" t="str">
        <f t="shared" si="8"/>
        <v>No</v>
      </c>
      <c r="V2744" s="25"/>
      <c r="W2744" s="25"/>
      <c r="X2744" s="25"/>
      <c r="Y2744" s="25"/>
      <c r="Z2744" s="25"/>
    </row>
    <row r="2745" spans="1:26" ht="15.75" customHeight="1" x14ac:dyDescent="0.25">
      <c r="A2745" s="25">
        <v>2743</v>
      </c>
      <c r="B2745" s="37" t="e">
        <f t="shared" ref="B2745:D2745" si="5527">VLOOKUP($A2745,[9]Hacienda!$A$1:$O$285,B$1,0)</f>
        <v>#N/A</v>
      </c>
      <c r="C2745" s="38" t="e">
        <f t="shared" si="5527"/>
        <v>#N/A</v>
      </c>
      <c r="D2745" s="39" t="e">
        <f t="shared" si="5527"/>
        <v>#N/A</v>
      </c>
      <c r="E2745" s="16" t="e">
        <f t="shared" si="1"/>
        <v>#N/A</v>
      </c>
      <c r="F2745" s="16" t="e">
        <f t="shared" ref="F2745:K2745" si="5528">VLOOKUP($A2745,[9]Hacienda!$A$1:$O$285,F$1,0)</f>
        <v>#N/A</v>
      </c>
      <c r="G2745" s="39" t="e">
        <f t="shared" si="5528"/>
        <v>#N/A</v>
      </c>
      <c r="H2745" s="16" t="e">
        <f t="shared" si="5528"/>
        <v>#N/A</v>
      </c>
      <c r="I2745" s="16" t="e">
        <f t="shared" si="5528"/>
        <v>#N/A</v>
      </c>
      <c r="J2745" s="40" t="e">
        <f t="shared" si="5528"/>
        <v>#N/A</v>
      </c>
      <c r="K2745" s="16" t="e">
        <f t="shared" si="5528"/>
        <v>#N/A</v>
      </c>
      <c r="L2745" s="40" t="e">
        <f t="shared" si="5441"/>
        <v>#N/A</v>
      </c>
      <c r="M2745" s="16" t="e">
        <f t="shared" si="5442"/>
        <v>#N/A</v>
      </c>
      <c r="N2745" s="16" t="e">
        <f t="shared" si="5443"/>
        <v>#N/A</v>
      </c>
      <c r="O2745" s="16" t="s">
        <v>73</v>
      </c>
      <c r="P2745" s="16" t="str">
        <f t="shared" si="6"/>
        <v/>
      </c>
      <c r="Q2745" s="41" t="e">
        <f t="shared" si="5444"/>
        <v>#N/A</v>
      </c>
      <c r="R2745" s="44"/>
      <c r="S2745" s="44"/>
      <c r="T2745" s="43"/>
      <c r="U2745" s="43" t="str">
        <f t="shared" si="8"/>
        <v>No</v>
      </c>
      <c r="V2745" s="25"/>
      <c r="W2745" s="25"/>
      <c r="X2745" s="25"/>
      <c r="Y2745" s="25"/>
      <c r="Z2745" s="25"/>
    </row>
    <row r="2746" spans="1:26" ht="15.75" customHeight="1" x14ac:dyDescent="0.25">
      <c r="A2746" s="25">
        <v>2744</v>
      </c>
      <c r="B2746" s="37" t="e">
        <f t="shared" ref="B2746:D2746" si="5529">VLOOKUP($A2746,[9]Hacienda!$A$1:$O$285,B$1,0)</f>
        <v>#N/A</v>
      </c>
      <c r="C2746" s="38" t="e">
        <f t="shared" si="5529"/>
        <v>#N/A</v>
      </c>
      <c r="D2746" s="39" t="e">
        <f t="shared" si="5529"/>
        <v>#N/A</v>
      </c>
      <c r="E2746" s="16" t="e">
        <f t="shared" si="1"/>
        <v>#N/A</v>
      </c>
      <c r="F2746" s="16" t="e">
        <f t="shared" ref="F2746:K2746" si="5530">VLOOKUP($A2746,[9]Hacienda!$A$1:$O$285,F$1,0)</f>
        <v>#N/A</v>
      </c>
      <c r="G2746" s="39" t="e">
        <f t="shared" si="5530"/>
        <v>#N/A</v>
      </c>
      <c r="H2746" s="16" t="e">
        <f t="shared" si="5530"/>
        <v>#N/A</v>
      </c>
      <c r="I2746" s="16" t="e">
        <f t="shared" si="5530"/>
        <v>#N/A</v>
      </c>
      <c r="J2746" s="40" t="e">
        <f t="shared" si="5530"/>
        <v>#N/A</v>
      </c>
      <c r="K2746" s="16" t="e">
        <f t="shared" si="5530"/>
        <v>#N/A</v>
      </c>
      <c r="L2746" s="40" t="e">
        <f t="shared" si="5441"/>
        <v>#N/A</v>
      </c>
      <c r="M2746" s="16" t="e">
        <f t="shared" si="5442"/>
        <v>#N/A</v>
      </c>
      <c r="N2746" s="16" t="e">
        <f t="shared" si="5443"/>
        <v>#N/A</v>
      </c>
      <c r="O2746" s="16" t="s">
        <v>73</v>
      </c>
      <c r="P2746" s="16" t="str">
        <f t="shared" si="6"/>
        <v/>
      </c>
      <c r="Q2746" s="41" t="e">
        <f t="shared" si="5444"/>
        <v>#N/A</v>
      </c>
      <c r="R2746" s="44"/>
      <c r="S2746" s="44"/>
      <c r="T2746" s="43"/>
      <c r="U2746" s="43" t="str">
        <f t="shared" si="8"/>
        <v>No</v>
      </c>
      <c r="V2746" s="25"/>
      <c r="W2746" s="25"/>
      <c r="X2746" s="25"/>
      <c r="Y2746" s="25"/>
      <c r="Z2746" s="25"/>
    </row>
    <row r="2747" spans="1:26" ht="15.75" customHeight="1" x14ac:dyDescent="0.25">
      <c r="A2747" s="25">
        <v>2745</v>
      </c>
      <c r="B2747" s="37" t="e">
        <f t="shared" ref="B2747:D2747" si="5531">VLOOKUP($A2747,[9]Hacienda!$A$1:$O$285,B$1,0)</f>
        <v>#N/A</v>
      </c>
      <c r="C2747" s="38" t="e">
        <f t="shared" si="5531"/>
        <v>#N/A</v>
      </c>
      <c r="D2747" s="39" t="e">
        <f t="shared" si="5531"/>
        <v>#N/A</v>
      </c>
      <c r="E2747" s="16" t="e">
        <f t="shared" si="1"/>
        <v>#N/A</v>
      </c>
      <c r="F2747" s="16" t="e">
        <f t="shared" ref="F2747:K2747" si="5532">VLOOKUP($A2747,[9]Hacienda!$A$1:$O$285,F$1,0)</f>
        <v>#N/A</v>
      </c>
      <c r="G2747" s="39" t="e">
        <f t="shared" si="5532"/>
        <v>#N/A</v>
      </c>
      <c r="H2747" s="16" t="e">
        <f t="shared" si="5532"/>
        <v>#N/A</v>
      </c>
      <c r="I2747" s="16" t="e">
        <f t="shared" si="5532"/>
        <v>#N/A</v>
      </c>
      <c r="J2747" s="40" t="e">
        <f t="shared" si="5532"/>
        <v>#N/A</v>
      </c>
      <c r="K2747" s="16" t="e">
        <f t="shared" si="5532"/>
        <v>#N/A</v>
      </c>
      <c r="L2747" s="40" t="e">
        <f t="shared" si="5441"/>
        <v>#N/A</v>
      </c>
      <c r="M2747" s="16" t="e">
        <f t="shared" si="5442"/>
        <v>#N/A</v>
      </c>
      <c r="N2747" s="16" t="e">
        <f t="shared" si="5443"/>
        <v>#N/A</v>
      </c>
      <c r="O2747" s="16" t="s">
        <v>73</v>
      </c>
      <c r="P2747" s="16" t="str">
        <f t="shared" si="6"/>
        <v/>
      </c>
      <c r="Q2747" s="41" t="e">
        <f t="shared" si="5444"/>
        <v>#N/A</v>
      </c>
      <c r="R2747" s="44"/>
      <c r="S2747" s="44"/>
      <c r="T2747" s="43"/>
      <c r="U2747" s="43" t="str">
        <f t="shared" si="8"/>
        <v>No</v>
      </c>
      <c r="V2747" s="25"/>
      <c r="W2747" s="25"/>
      <c r="X2747" s="25"/>
      <c r="Y2747" s="25"/>
      <c r="Z2747" s="25"/>
    </row>
    <row r="2748" spans="1:26" ht="15.75" customHeight="1" x14ac:dyDescent="0.25">
      <c r="A2748" s="25">
        <v>2746</v>
      </c>
      <c r="B2748" s="37" t="e">
        <f t="shared" ref="B2748:D2748" si="5533">VLOOKUP($A2748,[9]Hacienda!$A$1:$O$285,B$1,0)</f>
        <v>#N/A</v>
      </c>
      <c r="C2748" s="38" t="e">
        <f t="shared" si="5533"/>
        <v>#N/A</v>
      </c>
      <c r="D2748" s="39" t="e">
        <f t="shared" si="5533"/>
        <v>#N/A</v>
      </c>
      <c r="E2748" s="16" t="e">
        <f t="shared" si="1"/>
        <v>#N/A</v>
      </c>
      <c r="F2748" s="16" t="e">
        <f t="shared" ref="F2748:K2748" si="5534">VLOOKUP($A2748,[9]Hacienda!$A$1:$O$285,F$1,0)</f>
        <v>#N/A</v>
      </c>
      <c r="G2748" s="39" t="e">
        <f t="shared" si="5534"/>
        <v>#N/A</v>
      </c>
      <c r="H2748" s="16" t="e">
        <f t="shared" si="5534"/>
        <v>#N/A</v>
      </c>
      <c r="I2748" s="16" t="e">
        <f t="shared" si="5534"/>
        <v>#N/A</v>
      </c>
      <c r="J2748" s="40" t="e">
        <f t="shared" si="5534"/>
        <v>#N/A</v>
      </c>
      <c r="K2748" s="16" t="e">
        <f t="shared" si="5534"/>
        <v>#N/A</v>
      </c>
      <c r="L2748" s="40" t="e">
        <f t="shared" si="5441"/>
        <v>#N/A</v>
      </c>
      <c r="M2748" s="16" t="e">
        <f t="shared" si="5442"/>
        <v>#N/A</v>
      </c>
      <c r="N2748" s="16" t="e">
        <f t="shared" si="5443"/>
        <v>#N/A</v>
      </c>
      <c r="O2748" s="16" t="s">
        <v>73</v>
      </c>
      <c r="P2748" s="16" t="str">
        <f t="shared" si="6"/>
        <v/>
      </c>
      <c r="Q2748" s="41" t="e">
        <f t="shared" si="5444"/>
        <v>#N/A</v>
      </c>
      <c r="R2748" s="44"/>
      <c r="S2748" s="44"/>
      <c r="T2748" s="43"/>
      <c r="U2748" s="43" t="str">
        <f t="shared" si="8"/>
        <v>No</v>
      </c>
      <c r="V2748" s="25"/>
      <c r="W2748" s="25"/>
      <c r="X2748" s="25"/>
      <c r="Y2748" s="25"/>
      <c r="Z2748" s="25"/>
    </row>
    <row r="2749" spans="1:26" ht="15.75" customHeight="1" x14ac:dyDescent="0.25">
      <c r="A2749" s="25">
        <v>2747</v>
      </c>
      <c r="B2749" s="37" t="e">
        <f t="shared" ref="B2749:D2749" si="5535">VLOOKUP($A2749,[9]Hacienda!$A$1:$O$285,B$1,0)</f>
        <v>#N/A</v>
      </c>
      <c r="C2749" s="38" t="e">
        <f t="shared" si="5535"/>
        <v>#N/A</v>
      </c>
      <c r="D2749" s="39" t="e">
        <f t="shared" si="5535"/>
        <v>#N/A</v>
      </c>
      <c r="E2749" s="16" t="e">
        <f t="shared" si="1"/>
        <v>#N/A</v>
      </c>
      <c r="F2749" s="16" t="e">
        <f t="shared" ref="F2749:K2749" si="5536">VLOOKUP($A2749,[9]Hacienda!$A$1:$O$285,F$1,0)</f>
        <v>#N/A</v>
      </c>
      <c r="G2749" s="39" t="e">
        <f t="shared" si="5536"/>
        <v>#N/A</v>
      </c>
      <c r="H2749" s="16" t="e">
        <f t="shared" si="5536"/>
        <v>#N/A</v>
      </c>
      <c r="I2749" s="16" t="e">
        <f t="shared" si="5536"/>
        <v>#N/A</v>
      </c>
      <c r="J2749" s="40" t="e">
        <f t="shared" si="5536"/>
        <v>#N/A</v>
      </c>
      <c r="K2749" s="16" t="e">
        <f t="shared" si="5536"/>
        <v>#N/A</v>
      </c>
      <c r="L2749" s="40" t="e">
        <f t="shared" si="5441"/>
        <v>#N/A</v>
      </c>
      <c r="M2749" s="16" t="e">
        <f t="shared" si="5442"/>
        <v>#N/A</v>
      </c>
      <c r="N2749" s="16" t="e">
        <f t="shared" si="5443"/>
        <v>#N/A</v>
      </c>
      <c r="O2749" s="16" t="s">
        <v>73</v>
      </c>
      <c r="P2749" s="16" t="str">
        <f t="shared" si="6"/>
        <v/>
      </c>
      <c r="Q2749" s="41" t="e">
        <f t="shared" si="5444"/>
        <v>#N/A</v>
      </c>
      <c r="R2749" s="44"/>
      <c r="S2749" s="44"/>
      <c r="T2749" s="43"/>
      <c r="U2749" s="43" t="str">
        <f t="shared" si="8"/>
        <v>No</v>
      </c>
      <c r="V2749" s="25"/>
      <c r="W2749" s="25"/>
      <c r="X2749" s="25"/>
      <c r="Y2749" s="25"/>
      <c r="Z2749" s="25"/>
    </row>
    <row r="2750" spans="1:26" ht="15.75" customHeight="1" x14ac:dyDescent="0.25">
      <c r="A2750" s="25">
        <v>2748</v>
      </c>
      <c r="B2750" s="37" t="e">
        <f t="shared" ref="B2750:D2750" si="5537">VLOOKUP($A2750,[9]Hacienda!$A$1:$O$285,B$1,0)</f>
        <v>#N/A</v>
      </c>
      <c r="C2750" s="38" t="e">
        <f t="shared" si="5537"/>
        <v>#N/A</v>
      </c>
      <c r="D2750" s="39" t="e">
        <f t="shared" si="5537"/>
        <v>#N/A</v>
      </c>
      <c r="E2750" s="16" t="e">
        <f t="shared" si="1"/>
        <v>#N/A</v>
      </c>
      <c r="F2750" s="16" t="e">
        <f t="shared" ref="F2750:K2750" si="5538">VLOOKUP($A2750,[9]Hacienda!$A$1:$O$285,F$1,0)</f>
        <v>#N/A</v>
      </c>
      <c r="G2750" s="39" t="e">
        <f t="shared" si="5538"/>
        <v>#N/A</v>
      </c>
      <c r="H2750" s="16" t="e">
        <f t="shared" si="5538"/>
        <v>#N/A</v>
      </c>
      <c r="I2750" s="16" t="e">
        <f t="shared" si="5538"/>
        <v>#N/A</v>
      </c>
      <c r="J2750" s="40" t="e">
        <f t="shared" si="5538"/>
        <v>#N/A</v>
      </c>
      <c r="K2750" s="16" t="e">
        <f t="shared" si="5538"/>
        <v>#N/A</v>
      </c>
      <c r="L2750" s="40" t="e">
        <f t="shared" si="5441"/>
        <v>#N/A</v>
      </c>
      <c r="M2750" s="16" t="e">
        <f t="shared" si="5442"/>
        <v>#N/A</v>
      </c>
      <c r="N2750" s="16" t="e">
        <f t="shared" si="5443"/>
        <v>#N/A</v>
      </c>
      <c r="O2750" s="16" t="s">
        <v>73</v>
      </c>
      <c r="P2750" s="16" t="str">
        <f t="shared" si="6"/>
        <v/>
      </c>
      <c r="Q2750" s="41" t="e">
        <f t="shared" si="5444"/>
        <v>#N/A</v>
      </c>
      <c r="R2750" s="44"/>
      <c r="S2750" s="44"/>
      <c r="T2750" s="43"/>
      <c r="U2750" s="43" t="str">
        <f t="shared" si="8"/>
        <v>No</v>
      </c>
      <c r="V2750" s="25"/>
      <c r="W2750" s="25"/>
      <c r="X2750" s="25"/>
      <c r="Y2750" s="25"/>
      <c r="Z2750" s="25"/>
    </row>
    <row r="2751" spans="1:26" ht="15.75" customHeight="1" x14ac:dyDescent="0.25">
      <c r="A2751" s="25">
        <v>2749</v>
      </c>
      <c r="B2751" s="37" t="e">
        <f t="shared" ref="B2751:D2751" si="5539">VLOOKUP($A2751,[9]Hacienda!$A$1:$O$285,B$1,0)</f>
        <v>#N/A</v>
      </c>
      <c r="C2751" s="38" t="e">
        <f t="shared" si="5539"/>
        <v>#N/A</v>
      </c>
      <c r="D2751" s="39" t="e">
        <f t="shared" si="5539"/>
        <v>#N/A</v>
      </c>
      <c r="E2751" s="16" t="e">
        <f t="shared" si="1"/>
        <v>#N/A</v>
      </c>
      <c r="F2751" s="16" t="e">
        <f t="shared" ref="F2751:K2751" si="5540">VLOOKUP($A2751,[9]Hacienda!$A$1:$O$285,F$1,0)</f>
        <v>#N/A</v>
      </c>
      <c r="G2751" s="39" t="e">
        <f t="shared" si="5540"/>
        <v>#N/A</v>
      </c>
      <c r="H2751" s="16" t="e">
        <f t="shared" si="5540"/>
        <v>#N/A</v>
      </c>
      <c r="I2751" s="16" t="e">
        <f t="shared" si="5540"/>
        <v>#N/A</v>
      </c>
      <c r="J2751" s="40" t="e">
        <f t="shared" si="5540"/>
        <v>#N/A</v>
      </c>
      <c r="K2751" s="16" t="e">
        <f t="shared" si="5540"/>
        <v>#N/A</v>
      </c>
      <c r="L2751" s="40" t="e">
        <f t="shared" si="5441"/>
        <v>#N/A</v>
      </c>
      <c r="M2751" s="16" t="e">
        <f t="shared" si="5442"/>
        <v>#N/A</v>
      </c>
      <c r="N2751" s="16" t="e">
        <f t="shared" si="5443"/>
        <v>#N/A</v>
      </c>
      <c r="O2751" s="16" t="s">
        <v>73</v>
      </c>
      <c r="P2751" s="16" t="str">
        <f t="shared" si="6"/>
        <v/>
      </c>
      <c r="Q2751" s="41" t="e">
        <f t="shared" si="5444"/>
        <v>#N/A</v>
      </c>
      <c r="R2751" s="44"/>
      <c r="S2751" s="44"/>
      <c r="T2751" s="43"/>
      <c r="U2751" s="43" t="str">
        <f t="shared" si="8"/>
        <v>No</v>
      </c>
      <c r="V2751" s="25"/>
      <c r="W2751" s="25"/>
      <c r="X2751" s="25"/>
      <c r="Y2751" s="25"/>
      <c r="Z2751" s="25"/>
    </row>
    <row r="2752" spans="1:26" ht="15.75" customHeight="1" x14ac:dyDescent="0.25">
      <c r="A2752" s="25">
        <v>2750</v>
      </c>
      <c r="B2752" s="37" t="e">
        <f t="shared" ref="B2752:D2752" si="5541">VLOOKUP($A2752,[9]Hacienda!$A$1:$O$285,B$1,0)</f>
        <v>#N/A</v>
      </c>
      <c r="C2752" s="38" t="e">
        <f t="shared" si="5541"/>
        <v>#N/A</v>
      </c>
      <c r="D2752" s="39" t="e">
        <f t="shared" si="5541"/>
        <v>#N/A</v>
      </c>
      <c r="E2752" s="16" t="e">
        <f t="shared" si="1"/>
        <v>#N/A</v>
      </c>
      <c r="F2752" s="16" t="e">
        <f t="shared" ref="F2752:K2752" si="5542">VLOOKUP($A2752,[9]Hacienda!$A$1:$O$285,F$1,0)</f>
        <v>#N/A</v>
      </c>
      <c r="G2752" s="39" t="e">
        <f t="shared" si="5542"/>
        <v>#N/A</v>
      </c>
      <c r="H2752" s="16" t="e">
        <f t="shared" si="5542"/>
        <v>#N/A</v>
      </c>
      <c r="I2752" s="16" t="e">
        <f t="shared" si="5542"/>
        <v>#N/A</v>
      </c>
      <c r="J2752" s="40" t="e">
        <f t="shared" si="5542"/>
        <v>#N/A</v>
      </c>
      <c r="K2752" s="16" t="e">
        <f t="shared" si="5542"/>
        <v>#N/A</v>
      </c>
      <c r="L2752" s="40" t="e">
        <f t="shared" si="5441"/>
        <v>#N/A</v>
      </c>
      <c r="M2752" s="16" t="e">
        <f t="shared" si="5442"/>
        <v>#N/A</v>
      </c>
      <c r="N2752" s="16" t="e">
        <f t="shared" si="5443"/>
        <v>#N/A</v>
      </c>
      <c r="O2752" s="16" t="s">
        <v>73</v>
      </c>
      <c r="P2752" s="16" t="str">
        <f t="shared" si="6"/>
        <v/>
      </c>
      <c r="Q2752" s="41" t="e">
        <f t="shared" si="5444"/>
        <v>#N/A</v>
      </c>
      <c r="R2752" s="44"/>
      <c r="S2752" s="44"/>
      <c r="T2752" s="43"/>
      <c r="U2752" s="43" t="str">
        <f t="shared" si="8"/>
        <v>No</v>
      </c>
      <c r="V2752" s="25"/>
      <c r="W2752" s="25"/>
      <c r="X2752" s="25"/>
      <c r="Y2752" s="25"/>
      <c r="Z2752" s="25"/>
    </row>
    <row r="2753" spans="1:26" ht="15.75" customHeight="1" x14ac:dyDescent="0.25">
      <c r="A2753" s="25">
        <v>2751</v>
      </c>
      <c r="B2753" s="37" t="e">
        <f t="shared" ref="B2753:D2753" si="5543">VLOOKUP($A2753,[9]Hacienda!$A$1:$O$285,B$1,0)</f>
        <v>#N/A</v>
      </c>
      <c r="C2753" s="38" t="e">
        <f t="shared" si="5543"/>
        <v>#N/A</v>
      </c>
      <c r="D2753" s="39" t="e">
        <f t="shared" si="5543"/>
        <v>#N/A</v>
      </c>
      <c r="E2753" s="16" t="e">
        <f t="shared" si="1"/>
        <v>#N/A</v>
      </c>
      <c r="F2753" s="16" t="e">
        <f t="shared" ref="F2753:K2753" si="5544">VLOOKUP($A2753,[9]Hacienda!$A$1:$O$285,F$1,0)</f>
        <v>#N/A</v>
      </c>
      <c r="G2753" s="39" t="e">
        <f t="shared" si="5544"/>
        <v>#N/A</v>
      </c>
      <c r="H2753" s="16" t="e">
        <f t="shared" si="5544"/>
        <v>#N/A</v>
      </c>
      <c r="I2753" s="16" t="e">
        <f t="shared" si="5544"/>
        <v>#N/A</v>
      </c>
      <c r="J2753" s="40" t="e">
        <f t="shared" si="5544"/>
        <v>#N/A</v>
      </c>
      <c r="K2753" s="16" t="e">
        <f t="shared" si="5544"/>
        <v>#N/A</v>
      </c>
      <c r="L2753" s="40" t="e">
        <f t="shared" si="5441"/>
        <v>#N/A</v>
      </c>
      <c r="M2753" s="16" t="e">
        <f t="shared" si="5442"/>
        <v>#N/A</v>
      </c>
      <c r="N2753" s="16" t="e">
        <f t="shared" si="5443"/>
        <v>#N/A</v>
      </c>
      <c r="O2753" s="16" t="s">
        <v>73</v>
      </c>
      <c r="P2753" s="16" t="str">
        <f t="shared" si="6"/>
        <v/>
      </c>
      <c r="Q2753" s="41" t="e">
        <f t="shared" si="5444"/>
        <v>#N/A</v>
      </c>
      <c r="R2753" s="44"/>
      <c r="S2753" s="44"/>
      <c r="T2753" s="43"/>
      <c r="U2753" s="43" t="str">
        <f t="shared" si="8"/>
        <v>No</v>
      </c>
      <c r="V2753" s="25"/>
      <c r="W2753" s="25"/>
      <c r="X2753" s="25"/>
      <c r="Y2753" s="25"/>
      <c r="Z2753" s="25"/>
    </row>
    <row r="2754" spans="1:26" ht="15.75" customHeight="1" x14ac:dyDescent="0.25">
      <c r="A2754" s="25">
        <v>2752</v>
      </c>
      <c r="B2754" s="37" t="e">
        <f t="shared" ref="B2754:D2754" si="5545">VLOOKUP($A2754,[9]Hacienda!$A$1:$O$285,B$1,0)</f>
        <v>#N/A</v>
      </c>
      <c r="C2754" s="38" t="e">
        <f t="shared" si="5545"/>
        <v>#N/A</v>
      </c>
      <c r="D2754" s="39" t="e">
        <f t="shared" si="5545"/>
        <v>#N/A</v>
      </c>
      <c r="E2754" s="16" t="e">
        <f t="shared" si="1"/>
        <v>#N/A</v>
      </c>
      <c r="F2754" s="16" t="e">
        <f t="shared" ref="F2754:K2754" si="5546">VLOOKUP($A2754,[9]Hacienda!$A$1:$O$285,F$1,0)</f>
        <v>#N/A</v>
      </c>
      <c r="G2754" s="39" t="e">
        <f t="shared" si="5546"/>
        <v>#N/A</v>
      </c>
      <c r="H2754" s="16" t="e">
        <f t="shared" si="5546"/>
        <v>#N/A</v>
      </c>
      <c r="I2754" s="16" t="e">
        <f t="shared" si="5546"/>
        <v>#N/A</v>
      </c>
      <c r="J2754" s="40" t="e">
        <f t="shared" si="5546"/>
        <v>#N/A</v>
      </c>
      <c r="K2754" s="16" t="e">
        <f t="shared" si="5546"/>
        <v>#N/A</v>
      </c>
      <c r="L2754" s="40" t="e">
        <f t="shared" si="5441"/>
        <v>#N/A</v>
      </c>
      <c r="M2754" s="16" t="e">
        <f t="shared" si="5442"/>
        <v>#N/A</v>
      </c>
      <c r="N2754" s="16" t="e">
        <f t="shared" si="5443"/>
        <v>#N/A</v>
      </c>
      <c r="O2754" s="16" t="s">
        <v>73</v>
      </c>
      <c r="P2754" s="16" t="str">
        <f t="shared" si="6"/>
        <v/>
      </c>
      <c r="Q2754" s="41" t="e">
        <f t="shared" si="5444"/>
        <v>#N/A</v>
      </c>
      <c r="R2754" s="44"/>
      <c r="S2754" s="44"/>
      <c r="T2754" s="43"/>
      <c r="U2754" s="43" t="str">
        <f t="shared" si="8"/>
        <v>No</v>
      </c>
      <c r="V2754" s="25"/>
      <c r="W2754" s="25"/>
      <c r="X2754" s="25"/>
      <c r="Y2754" s="25"/>
      <c r="Z2754" s="25"/>
    </row>
    <row r="2755" spans="1:26" ht="15.75" customHeight="1" x14ac:dyDescent="0.25">
      <c r="A2755" s="25">
        <v>2753</v>
      </c>
      <c r="B2755" s="37" t="e">
        <f t="shared" ref="B2755:D2755" si="5547">VLOOKUP($A2755,[9]Hacienda!$A$1:$O$285,B$1,0)</f>
        <v>#N/A</v>
      </c>
      <c r="C2755" s="38" t="e">
        <f t="shared" si="5547"/>
        <v>#N/A</v>
      </c>
      <c r="D2755" s="39" t="e">
        <f t="shared" si="5547"/>
        <v>#N/A</v>
      </c>
      <c r="E2755" s="16" t="e">
        <f t="shared" si="1"/>
        <v>#N/A</v>
      </c>
      <c r="F2755" s="16" t="e">
        <f t="shared" ref="F2755:K2755" si="5548">VLOOKUP($A2755,[9]Hacienda!$A$1:$O$285,F$1,0)</f>
        <v>#N/A</v>
      </c>
      <c r="G2755" s="39" t="e">
        <f t="shared" si="5548"/>
        <v>#N/A</v>
      </c>
      <c r="H2755" s="16" t="e">
        <f t="shared" si="5548"/>
        <v>#N/A</v>
      </c>
      <c r="I2755" s="16" t="e">
        <f t="shared" si="5548"/>
        <v>#N/A</v>
      </c>
      <c r="J2755" s="40" t="e">
        <f t="shared" si="5548"/>
        <v>#N/A</v>
      </c>
      <c r="K2755" s="16" t="e">
        <f t="shared" si="5548"/>
        <v>#N/A</v>
      </c>
      <c r="L2755" s="40" t="e">
        <f t="shared" si="5441"/>
        <v>#N/A</v>
      </c>
      <c r="M2755" s="16" t="e">
        <f t="shared" si="5442"/>
        <v>#N/A</v>
      </c>
      <c r="N2755" s="16" t="e">
        <f t="shared" si="5443"/>
        <v>#N/A</v>
      </c>
      <c r="O2755" s="16" t="s">
        <v>73</v>
      </c>
      <c r="P2755" s="16" t="str">
        <f t="shared" si="6"/>
        <v/>
      </c>
      <c r="Q2755" s="41" t="e">
        <f t="shared" si="5444"/>
        <v>#N/A</v>
      </c>
      <c r="R2755" s="44"/>
      <c r="S2755" s="44"/>
      <c r="T2755" s="43"/>
      <c r="U2755" s="43" t="str">
        <f t="shared" si="8"/>
        <v>No</v>
      </c>
      <c r="V2755" s="25"/>
      <c r="W2755" s="25"/>
      <c r="X2755" s="25"/>
      <c r="Y2755" s="25"/>
      <c r="Z2755" s="25"/>
    </row>
    <row r="2756" spans="1:26" ht="15.75" customHeight="1" x14ac:dyDescent="0.25">
      <c r="A2756" s="25">
        <v>2754</v>
      </c>
      <c r="B2756" s="37" t="e">
        <f t="shared" ref="B2756:D2756" si="5549">VLOOKUP($A2756,[9]Hacienda!$A$1:$O$285,B$1,0)</f>
        <v>#N/A</v>
      </c>
      <c r="C2756" s="38" t="e">
        <f t="shared" si="5549"/>
        <v>#N/A</v>
      </c>
      <c r="D2756" s="39" t="e">
        <f t="shared" si="5549"/>
        <v>#N/A</v>
      </c>
      <c r="E2756" s="16" t="e">
        <f t="shared" si="1"/>
        <v>#N/A</v>
      </c>
      <c r="F2756" s="16" t="e">
        <f t="shared" ref="F2756:K2756" si="5550">VLOOKUP($A2756,[9]Hacienda!$A$1:$O$285,F$1,0)</f>
        <v>#N/A</v>
      </c>
      <c r="G2756" s="39" t="e">
        <f t="shared" si="5550"/>
        <v>#N/A</v>
      </c>
      <c r="H2756" s="16" t="e">
        <f t="shared" si="5550"/>
        <v>#N/A</v>
      </c>
      <c r="I2756" s="16" t="e">
        <f t="shared" si="5550"/>
        <v>#N/A</v>
      </c>
      <c r="J2756" s="40" t="e">
        <f t="shared" si="5550"/>
        <v>#N/A</v>
      </c>
      <c r="K2756" s="16" t="e">
        <f t="shared" si="5550"/>
        <v>#N/A</v>
      </c>
      <c r="L2756" s="40" t="e">
        <f t="shared" si="5441"/>
        <v>#N/A</v>
      </c>
      <c r="M2756" s="16" t="e">
        <f t="shared" si="5442"/>
        <v>#N/A</v>
      </c>
      <c r="N2756" s="16" t="e">
        <f t="shared" si="5443"/>
        <v>#N/A</v>
      </c>
      <c r="O2756" s="16" t="s">
        <v>73</v>
      </c>
      <c r="P2756" s="16" t="str">
        <f t="shared" si="6"/>
        <v/>
      </c>
      <c r="Q2756" s="41" t="e">
        <f t="shared" si="5444"/>
        <v>#N/A</v>
      </c>
      <c r="R2756" s="44"/>
      <c r="S2756" s="44"/>
      <c r="T2756" s="43"/>
      <c r="U2756" s="43" t="str">
        <f t="shared" si="8"/>
        <v>No</v>
      </c>
      <c r="V2756" s="25"/>
      <c r="W2756" s="25"/>
      <c r="X2756" s="25"/>
      <c r="Y2756" s="25"/>
      <c r="Z2756" s="25"/>
    </row>
    <row r="2757" spans="1:26" ht="15.75" customHeight="1" x14ac:dyDescent="0.25">
      <c r="A2757" s="25">
        <v>2755</v>
      </c>
      <c r="B2757" s="37" t="e">
        <f t="shared" ref="B2757:D2757" si="5551">VLOOKUP($A2757,[9]Hacienda!$A$1:$O$285,B$1,0)</f>
        <v>#N/A</v>
      </c>
      <c r="C2757" s="38" t="e">
        <f t="shared" si="5551"/>
        <v>#N/A</v>
      </c>
      <c r="D2757" s="39" t="e">
        <f t="shared" si="5551"/>
        <v>#N/A</v>
      </c>
      <c r="E2757" s="16" t="e">
        <f t="shared" si="1"/>
        <v>#N/A</v>
      </c>
      <c r="F2757" s="16" t="e">
        <f t="shared" ref="F2757:K2757" si="5552">VLOOKUP($A2757,[9]Hacienda!$A$1:$O$285,F$1,0)</f>
        <v>#N/A</v>
      </c>
      <c r="G2757" s="39" t="e">
        <f t="shared" si="5552"/>
        <v>#N/A</v>
      </c>
      <c r="H2757" s="16" t="e">
        <f t="shared" si="5552"/>
        <v>#N/A</v>
      </c>
      <c r="I2757" s="16" t="e">
        <f t="shared" si="5552"/>
        <v>#N/A</v>
      </c>
      <c r="J2757" s="40" t="e">
        <f t="shared" si="5552"/>
        <v>#N/A</v>
      </c>
      <c r="K2757" s="16" t="e">
        <f t="shared" si="5552"/>
        <v>#N/A</v>
      </c>
      <c r="L2757" s="40" t="e">
        <f t="shared" si="5441"/>
        <v>#N/A</v>
      </c>
      <c r="M2757" s="16" t="e">
        <f t="shared" si="5442"/>
        <v>#N/A</v>
      </c>
      <c r="N2757" s="16" t="e">
        <f t="shared" si="5443"/>
        <v>#N/A</v>
      </c>
      <c r="O2757" s="16" t="s">
        <v>73</v>
      </c>
      <c r="P2757" s="16" t="str">
        <f t="shared" si="6"/>
        <v/>
      </c>
      <c r="Q2757" s="41" t="e">
        <f t="shared" si="5444"/>
        <v>#N/A</v>
      </c>
      <c r="R2757" s="44"/>
      <c r="S2757" s="44"/>
      <c r="T2757" s="43"/>
      <c r="U2757" s="43" t="str">
        <f t="shared" si="8"/>
        <v>No</v>
      </c>
      <c r="V2757" s="25"/>
      <c r="W2757" s="25"/>
      <c r="X2757" s="25"/>
      <c r="Y2757" s="25"/>
      <c r="Z2757" s="25"/>
    </row>
    <row r="2758" spans="1:26" ht="15.75" customHeight="1" x14ac:dyDescent="0.25">
      <c r="A2758" s="25">
        <v>2756</v>
      </c>
      <c r="B2758" s="37" t="e">
        <f t="shared" ref="B2758:D2758" si="5553">VLOOKUP($A2758,[9]Hacienda!$A$1:$O$285,B$1,0)</f>
        <v>#N/A</v>
      </c>
      <c r="C2758" s="38" t="e">
        <f t="shared" si="5553"/>
        <v>#N/A</v>
      </c>
      <c r="D2758" s="39" t="e">
        <f t="shared" si="5553"/>
        <v>#N/A</v>
      </c>
      <c r="E2758" s="16" t="e">
        <f t="shared" si="1"/>
        <v>#N/A</v>
      </c>
      <c r="F2758" s="16" t="e">
        <f t="shared" ref="F2758:K2758" si="5554">VLOOKUP($A2758,[9]Hacienda!$A$1:$O$285,F$1,0)</f>
        <v>#N/A</v>
      </c>
      <c r="G2758" s="39" t="e">
        <f t="shared" si="5554"/>
        <v>#N/A</v>
      </c>
      <c r="H2758" s="16" t="e">
        <f t="shared" si="5554"/>
        <v>#N/A</v>
      </c>
      <c r="I2758" s="16" t="e">
        <f t="shared" si="5554"/>
        <v>#N/A</v>
      </c>
      <c r="J2758" s="40" t="e">
        <f t="shared" si="5554"/>
        <v>#N/A</v>
      </c>
      <c r="K2758" s="16" t="e">
        <f t="shared" si="5554"/>
        <v>#N/A</v>
      </c>
      <c r="L2758" s="40" t="e">
        <f t="shared" si="5441"/>
        <v>#N/A</v>
      </c>
      <c r="M2758" s="16" t="e">
        <f t="shared" si="5442"/>
        <v>#N/A</v>
      </c>
      <c r="N2758" s="16" t="e">
        <f t="shared" si="5443"/>
        <v>#N/A</v>
      </c>
      <c r="O2758" s="16" t="s">
        <v>73</v>
      </c>
      <c r="P2758" s="16" t="str">
        <f t="shared" si="6"/>
        <v/>
      </c>
      <c r="Q2758" s="41" t="e">
        <f t="shared" si="5444"/>
        <v>#N/A</v>
      </c>
      <c r="R2758" s="44"/>
      <c r="S2758" s="44"/>
      <c r="T2758" s="43"/>
      <c r="U2758" s="43" t="str">
        <f t="shared" si="8"/>
        <v>No</v>
      </c>
      <c r="V2758" s="25"/>
      <c r="W2758" s="25"/>
      <c r="X2758" s="25"/>
      <c r="Y2758" s="25"/>
      <c r="Z2758" s="25"/>
    </row>
    <row r="2759" spans="1:26" ht="15.75" customHeight="1" x14ac:dyDescent="0.25">
      <c r="A2759" s="25">
        <v>2757</v>
      </c>
      <c r="B2759" s="37" t="e">
        <f t="shared" ref="B2759:D2759" si="5555">VLOOKUP($A2759,[9]Hacienda!$A$1:$O$285,B$1,0)</f>
        <v>#N/A</v>
      </c>
      <c r="C2759" s="38" t="e">
        <f t="shared" si="5555"/>
        <v>#N/A</v>
      </c>
      <c r="D2759" s="39" t="e">
        <f t="shared" si="5555"/>
        <v>#N/A</v>
      </c>
      <c r="E2759" s="16" t="e">
        <f t="shared" si="1"/>
        <v>#N/A</v>
      </c>
      <c r="F2759" s="16" t="e">
        <f t="shared" ref="F2759:K2759" si="5556">VLOOKUP($A2759,[9]Hacienda!$A$1:$O$285,F$1,0)</f>
        <v>#N/A</v>
      </c>
      <c r="G2759" s="39" t="e">
        <f t="shared" si="5556"/>
        <v>#N/A</v>
      </c>
      <c r="H2759" s="16" t="e">
        <f t="shared" si="5556"/>
        <v>#N/A</v>
      </c>
      <c r="I2759" s="16" t="e">
        <f t="shared" si="5556"/>
        <v>#N/A</v>
      </c>
      <c r="J2759" s="40" t="e">
        <f t="shared" si="5556"/>
        <v>#N/A</v>
      </c>
      <c r="K2759" s="16" t="e">
        <f t="shared" si="5556"/>
        <v>#N/A</v>
      </c>
      <c r="L2759" s="40" t="e">
        <f t="shared" si="5441"/>
        <v>#N/A</v>
      </c>
      <c r="M2759" s="16" t="e">
        <f t="shared" si="5442"/>
        <v>#N/A</v>
      </c>
      <c r="N2759" s="16" t="e">
        <f t="shared" si="5443"/>
        <v>#N/A</v>
      </c>
      <c r="O2759" s="16" t="s">
        <v>73</v>
      </c>
      <c r="P2759" s="16" t="str">
        <f t="shared" si="6"/>
        <v/>
      </c>
      <c r="Q2759" s="41" t="e">
        <f t="shared" si="5444"/>
        <v>#N/A</v>
      </c>
      <c r="R2759" s="44"/>
      <c r="S2759" s="44"/>
      <c r="T2759" s="43"/>
      <c r="U2759" s="43" t="str">
        <f t="shared" si="8"/>
        <v>No</v>
      </c>
      <c r="V2759" s="25"/>
      <c r="W2759" s="25"/>
      <c r="X2759" s="25"/>
      <c r="Y2759" s="25"/>
      <c r="Z2759" s="25"/>
    </row>
    <row r="2760" spans="1:26" ht="15.75" customHeight="1" x14ac:dyDescent="0.25">
      <c r="A2760" s="25">
        <v>2758</v>
      </c>
      <c r="B2760" s="37" t="e">
        <f t="shared" ref="B2760:D2760" si="5557">VLOOKUP($A2760,[9]Hacienda!$A$1:$O$285,B$1,0)</f>
        <v>#N/A</v>
      </c>
      <c r="C2760" s="38" t="e">
        <f t="shared" si="5557"/>
        <v>#N/A</v>
      </c>
      <c r="D2760" s="39" t="e">
        <f t="shared" si="5557"/>
        <v>#N/A</v>
      </c>
      <c r="E2760" s="16" t="e">
        <f t="shared" si="1"/>
        <v>#N/A</v>
      </c>
      <c r="F2760" s="16" t="e">
        <f t="shared" ref="F2760:K2760" si="5558">VLOOKUP($A2760,[9]Hacienda!$A$1:$O$285,F$1,0)</f>
        <v>#N/A</v>
      </c>
      <c r="G2760" s="39" t="e">
        <f t="shared" si="5558"/>
        <v>#N/A</v>
      </c>
      <c r="H2760" s="16" t="e">
        <f t="shared" si="5558"/>
        <v>#N/A</v>
      </c>
      <c r="I2760" s="16" t="e">
        <f t="shared" si="5558"/>
        <v>#N/A</v>
      </c>
      <c r="J2760" s="40" t="e">
        <f t="shared" si="5558"/>
        <v>#N/A</v>
      </c>
      <c r="K2760" s="16" t="e">
        <f t="shared" si="5558"/>
        <v>#N/A</v>
      </c>
      <c r="L2760" s="40" t="e">
        <f t="shared" si="5441"/>
        <v>#N/A</v>
      </c>
      <c r="M2760" s="16" t="e">
        <f t="shared" si="5442"/>
        <v>#N/A</v>
      </c>
      <c r="N2760" s="16" t="e">
        <f t="shared" si="5443"/>
        <v>#N/A</v>
      </c>
      <c r="O2760" s="16" t="s">
        <v>73</v>
      </c>
      <c r="P2760" s="16" t="str">
        <f t="shared" si="6"/>
        <v/>
      </c>
      <c r="Q2760" s="41" t="e">
        <f t="shared" si="5444"/>
        <v>#N/A</v>
      </c>
      <c r="R2760" s="44"/>
      <c r="S2760" s="44"/>
      <c r="T2760" s="43"/>
      <c r="U2760" s="43" t="str">
        <f t="shared" si="8"/>
        <v>No</v>
      </c>
      <c r="V2760" s="25"/>
      <c r="W2760" s="25"/>
      <c r="X2760" s="25"/>
      <c r="Y2760" s="25"/>
      <c r="Z2760" s="25"/>
    </row>
    <row r="2761" spans="1:26" ht="15.75" customHeight="1" x14ac:dyDescent="0.25">
      <c r="A2761" s="25">
        <v>2759</v>
      </c>
      <c r="B2761" s="37" t="e">
        <f t="shared" ref="B2761:D2761" si="5559">VLOOKUP($A2761,[9]Hacienda!$A$1:$O$285,B$1,0)</f>
        <v>#N/A</v>
      </c>
      <c r="C2761" s="38" t="e">
        <f t="shared" si="5559"/>
        <v>#N/A</v>
      </c>
      <c r="D2761" s="39" t="e">
        <f t="shared" si="5559"/>
        <v>#N/A</v>
      </c>
      <c r="E2761" s="16" t="e">
        <f t="shared" si="1"/>
        <v>#N/A</v>
      </c>
      <c r="F2761" s="16" t="e">
        <f t="shared" ref="F2761:K2761" si="5560">VLOOKUP($A2761,[9]Hacienda!$A$1:$O$285,F$1,0)</f>
        <v>#N/A</v>
      </c>
      <c r="G2761" s="39" t="e">
        <f t="shared" si="5560"/>
        <v>#N/A</v>
      </c>
      <c r="H2761" s="16" t="e">
        <f t="shared" si="5560"/>
        <v>#N/A</v>
      </c>
      <c r="I2761" s="16" t="e">
        <f t="shared" si="5560"/>
        <v>#N/A</v>
      </c>
      <c r="J2761" s="40" t="e">
        <f t="shared" si="5560"/>
        <v>#N/A</v>
      </c>
      <c r="K2761" s="16" t="e">
        <f t="shared" si="5560"/>
        <v>#N/A</v>
      </c>
      <c r="L2761" s="40" t="e">
        <f t="shared" si="5441"/>
        <v>#N/A</v>
      </c>
      <c r="M2761" s="16" t="e">
        <f t="shared" si="5442"/>
        <v>#N/A</v>
      </c>
      <c r="N2761" s="16" t="e">
        <f t="shared" si="5443"/>
        <v>#N/A</v>
      </c>
      <c r="O2761" s="16" t="s">
        <v>73</v>
      </c>
      <c r="P2761" s="16" t="str">
        <f t="shared" si="6"/>
        <v/>
      </c>
      <c r="Q2761" s="41" t="e">
        <f t="shared" si="5444"/>
        <v>#N/A</v>
      </c>
      <c r="R2761" s="44"/>
      <c r="S2761" s="44"/>
      <c r="T2761" s="43"/>
      <c r="U2761" s="43" t="str">
        <f t="shared" si="8"/>
        <v>No</v>
      </c>
      <c r="V2761" s="25"/>
      <c r="W2761" s="25"/>
      <c r="X2761" s="25"/>
      <c r="Y2761" s="25"/>
      <c r="Z2761" s="25"/>
    </row>
    <row r="2762" spans="1:26" ht="15.75" customHeight="1" x14ac:dyDescent="0.25">
      <c r="A2762" s="25">
        <v>2760</v>
      </c>
      <c r="B2762" s="37" t="e">
        <f t="shared" ref="B2762:D2762" si="5561">VLOOKUP($A2762,[9]Hacienda!$A$1:$O$285,B$1,0)</f>
        <v>#N/A</v>
      </c>
      <c r="C2762" s="38" t="e">
        <f t="shared" si="5561"/>
        <v>#N/A</v>
      </c>
      <c r="D2762" s="39" t="e">
        <f t="shared" si="5561"/>
        <v>#N/A</v>
      </c>
      <c r="E2762" s="16" t="e">
        <f t="shared" si="1"/>
        <v>#N/A</v>
      </c>
      <c r="F2762" s="16" t="e">
        <f t="shared" ref="F2762:K2762" si="5562">VLOOKUP($A2762,[9]Hacienda!$A$1:$O$285,F$1,0)</f>
        <v>#N/A</v>
      </c>
      <c r="G2762" s="39" t="e">
        <f t="shared" si="5562"/>
        <v>#N/A</v>
      </c>
      <c r="H2762" s="16" t="e">
        <f t="shared" si="5562"/>
        <v>#N/A</v>
      </c>
      <c r="I2762" s="16" t="e">
        <f t="shared" si="5562"/>
        <v>#N/A</v>
      </c>
      <c r="J2762" s="40" t="e">
        <f t="shared" si="5562"/>
        <v>#N/A</v>
      </c>
      <c r="K2762" s="16" t="e">
        <f t="shared" si="5562"/>
        <v>#N/A</v>
      </c>
      <c r="L2762" s="40" t="e">
        <f t="shared" si="5441"/>
        <v>#N/A</v>
      </c>
      <c r="M2762" s="16" t="e">
        <f t="shared" si="5442"/>
        <v>#N/A</v>
      </c>
      <c r="N2762" s="16" t="e">
        <f t="shared" si="5443"/>
        <v>#N/A</v>
      </c>
      <c r="O2762" s="16" t="s">
        <v>73</v>
      </c>
      <c r="P2762" s="16" t="str">
        <f t="shared" si="6"/>
        <v/>
      </c>
      <c r="Q2762" s="41" t="e">
        <f t="shared" si="5444"/>
        <v>#N/A</v>
      </c>
      <c r="R2762" s="44"/>
      <c r="S2762" s="44"/>
      <c r="T2762" s="43"/>
      <c r="U2762" s="43" t="str">
        <f t="shared" si="8"/>
        <v>No</v>
      </c>
      <c r="V2762" s="25"/>
      <c r="W2762" s="25"/>
      <c r="X2762" s="25"/>
      <c r="Y2762" s="25"/>
      <c r="Z2762" s="25"/>
    </row>
    <row r="2763" spans="1:26" ht="15.75" customHeight="1" x14ac:dyDescent="0.25">
      <c r="A2763" s="25">
        <v>2761</v>
      </c>
      <c r="B2763" s="37" t="e">
        <f t="shared" ref="B2763:D2763" si="5563">VLOOKUP($A2763,[9]Hacienda!$A$1:$O$285,B$1,0)</f>
        <v>#N/A</v>
      </c>
      <c r="C2763" s="38" t="e">
        <f t="shared" si="5563"/>
        <v>#N/A</v>
      </c>
      <c r="D2763" s="39" t="e">
        <f t="shared" si="5563"/>
        <v>#N/A</v>
      </c>
      <c r="E2763" s="16" t="e">
        <f t="shared" si="1"/>
        <v>#N/A</v>
      </c>
      <c r="F2763" s="16" t="e">
        <f t="shared" ref="F2763:K2763" si="5564">VLOOKUP($A2763,[9]Hacienda!$A$1:$O$285,F$1,0)</f>
        <v>#N/A</v>
      </c>
      <c r="G2763" s="39" t="e">
        <f t="shared" si="5564"/>
        <v>#N/A</v>
      </c>
      <c r="H2763" s="16" t="e">
        <f t="shared" si="5564"/>
        <v>#N/A</v>
      </c>
      <c r="I2763" s="16" t="e">
        <f t="shared" si="5564"/>
        <v>#N/A</v>
      </c>
      <c r="J2763" s="40" t="e">
        <f t="shared" si="5564"/>
        <v>#N/A</v>
      </c>
      <c r="K2763" s="16" t="e">
        <f t="shared" si="5564"/>
        <v>#N/A</v>
      </c>
      <c r="L2763" s="40" t="e">
        <f t="shared" si="5441"/>
        <v>#N/A</v>
      </c>
      <c r="M2763" s="16" t="e">
        <f t="shared" si="5442"/>
        <v>#N/A</v>
      </c>
      <c r="N2763" s="16" t="e">
        <f t="shared" si="5443"/>
        <v>#N/A</v>
      </c>
      <c r="O2763" s="16" t="s">
        <v>73</v>
      </c>
      <c r="P2763" s="16" t="str">
        <f t="shared" si="6"/>
        <v/>
      </c>
      <c r="Q2763" s="41" t="e">
        <f t="shared" si="5444"/>
        <v>#N/A</v>
      </c>
      <c r="R2763" s="44"/>
      <c r="S2763" s="44"/>
      <c r="T2763" s="43"/>
      <c r="U2763" s="43" t="str">
        <f t="shared" si="8"/>
        <v>No</v>
      </c>
      <c r="V2763" s="25"/>
      <c r="W2763" s="25"/>
      <c r="X2763" s="25"/>
      <c r="Y2763" s="25"/>
      <c r="Z2763" s="25"/>
    </row>
    <row r="2764" spans="1:26" ht="15.75" customHeight="1" x14ac:dyDescent="0.25">
      <c r="A2764" s="25">
        <v>2762</v>
      </c>
      <c r="B2764" s="37" t="e">
        <f t="shared" ref="B2764:D2764" si="5565">VLOOKUP($A2764,[9]Hacienda!$A$1:$O$285,B$1,0)</f>
        <v>#N/A</v>
      </c>
      <c r="C2764" s="38" t="e">
        <f t="shared" si="5565"/>
        <v>#N/A</v>
      </c>
      <c r="D2764" s="39" t="e">
        <f t="shared" si="5565"/>
        <v>#N/A</v>
      </c>
      <c r="E2764" s="16" t="e">
        <f t="shared" si="1"/>
        <v>#N/A</v>
      </c>
      <c r="F2764" s="16" t="e">
        <f t="shared" ref="F2764:K2764" si="5566">VLOOKUP($A2764,[9]Hacienda!$A$1:$O$285,F$1,0)</f>
        <v>#N/A</v>
      </c>
      <c r="G2764" s="39" t="e">
        <f t="shared" si="5566"/>
        <v>#N/A</v>
      </c>
      <c r="H2764" s="16" t="e">
        <f t="shared" si="5566"/>
        <v>#N/A</v>
      </c>
      <c r="I2764" s="16" t="e">
        <f t="shared" si="5566"/>
        <v>#N/A</v>
      </c>
      <c r="J2764" s="40" t="e">
        <f t="shared" si="5566"/>
        <v>#N/A</v>
      </c>
      <c r="K2764" s="16" t="e">
        <f t="shared" si="5566"/>
        <v>#N/A</v>
      </c>
      <c r="L2764" s="40" t="e">
        <f t="shared" si="5441"/>
        <v>#N/A</v>
      </c>
      <c r="M2764" s="16" t="e">
        <f t="shared" si="5442"/>
        <v>#N/A</v>
      </c>
      <c r="N2764" s="16" t="e">
        <f t="shared" si="5443"/>
        <v>#N/A</v>
      </c>
      <c r="O2764" s="16" t="s">
        <v>73</v>
      </c>
      <c r="P2764" s="16" t="str">
        <f t="shared" si="6"/>
        <v/>
      </c>
      <c r="Q2764" s="41" t="e">
        <f t="shared" si="5444"/>
        <v>#N/A</v>
      </c>
      <c r="R2764" s="44"/>
      <c r="S2764" s="44"/>
      <c r="T2764" s="43"/>
      <c r="U2764" s="43" t="str">
        <f t="shared" si="8"/>
        <v>No</v>
      </c>
      <c r="V2764" s="25"/>
      <c r="W2764" s="25"/>
      <c r="X2764" s="25"/>
      <c r="Y2764" s="25"/>
      <c r="Z2764" s="25"/>
    </row>
    <row r="2765" spans="1:26" ht="15.75" customHeight="1" x14ac:dyDescent="0.25">
      <c r="A2765" s="25">
        <v>2763</v>
      </c>
      <c r="B2765" s="37" t="e">
        <f t="shared" ref="B2765:D2765" si="5567">VLOOKUP($A2765,[9]Hacienda!$A$1:$O$285,B$1,0)</f>
        <v>#N/A</v>
      </c>
      <c r="C2765" s="38" t="e">
        <f t="shared" si="5567"/>
        <v>#N/A</v>
      </c>
      <c r="D2765" s="39" t="e">
        <f t="shared" si="5567"/>
        <v>#N/A</v>
      </c>
      <c r="E2765" s="16" t="e">
        <f t="shared" si="1"/>
        <v>#N/A</v>
      </c>
      <c r="F2765" s="16" t="e">
        <f t="shared" ref="F2765:K2765" si="5568">VLOOKUP($A2765,[9]Hacienda!$A$1:$O$285,F$1,0)</f>
        <v>#N/A</v>
      </c>
      <c r="G2765" s="39" t="e">
        <f t="shared" si="5568"/>
        <v>#N/A</v>
      </c>
      <c r="H2765" s="16" t="e">
        <f t="shared" si="5568"/>
        <v>#N/A</v>
      </c>
      <c r="I2765" s="16" t="e">
        <f t="shared" si="5568"/>
        <v>#N/A</v>
      </c>
      <c r="J2765" s="40" t="e">
        <f t="shared" si="5568"/>
        <v>#N/A</v>
      </c>
      <c r="K2765" s="16" t="e">
        <f t="shared" si="5568"/>
        <v>#N/A</v>
      </c>
      <c r="L2765" s="40" t="e">
        <f t="shared" si="5441"/>
        <v>#N/A</v>
      </c>
      <c r="M2765" s="16" t="e">
        <f t="shared" si="5442"/>
        <v>#N/A</v>
      </c>
      <c r="N2765" s="16" t="e">
        <f t="shared" si="5443"/>
        <v>#N/A</v>
      </c>
      <c r="O2765" s="16" t="s">
        <v>73</v>
      </c>
      <c r="P2765" s="16" t="str">
        <f t="shared" si="6"/>
        <v/>
      </c>
      <c r="Q2765" s="41" t="e">
        <f t="shared" si="5444"/>
        <v>#N/A</v>
      </c>
      <c r="R2765" s="44"/>
      <c r="S2765" s="44"/>
      <c r="T2765" s="43"/>
      <c r="U2765" s="43" t="str">
        <f t="shared" si="8"/>
        <v>No</v>
      </c>
      <c r="V2765" s="25"/>
      <c r="W2765" s="25"/>
      <c r="X2765" s="25"/>
      <c r="Y2765" s="25"/>
      <c r="Z2765" s="25"/>
    </row>
    <row r="2766" spans="1:26" ht="15.75" customHeight="1" x14ac:dyDescent="0.25">
      <c r="A2766" s="25">
        <v>2764</v>
      </c>
      <c r="B2766" s="37" t="e">
        <f t="shared" ref="B2766:D2766" si="5569">VLOOKUP($A2766,[9]Hacienda!$A$1:$O$285,B$1,0)</f>
        <v>#N/A</v>
      </c>
      <c r="C2766" s="38" t="e">
        <f t="shared" si="5569"/>
        <v>#N/A</v>
      </c>
      <c r="D2766" s="39" t="e">
        <f t="shared" si="5569"/>
        <v>#N/A</v>
      </c>
      <c r="E2766" s="16" t="e">
        <f t="shared" si="1"/>
        <v>#N/A</v>
      </c>
      <c r="F2766" s="16" t="e">
        <f t="shared" ref="F2766:K2766" si="5570">VLOOKUP($A2766,[9]Hacienda!$A$1:$O$285,F$1,0)</f>
        <v>#N/A</v>
      </c>
      <c r="G2766" s="39" t="e">
        <f t="shared" si="5570"/>
        <v>#N/A</v>
      </c>
      <c r="H2766" s="16" t="e">
        <f t="shared" si="5570"/>
        <v>#N/A</v>
      </c>
      <c r="I2766" s="16" t="e">
        <f t="shared" si="5570"/>
        <v>#N/A</v>
      </c>
      <c r="J2766" s="40" t="e">
        <f t="shared" si="5570"/>
        <v>#N/A</v>
      </c>
      <c r="K2766" s="16" t="e">
        <f t="shared" si="5570"/>
        <v>#N/A</v>
      </c>
      <c r="L2766" s="40" t="e">
        <f t="shared" si="5441"/>
        <v>#N/A</v>
      </c>
      <c r="M2766" s="16" t="e">
        <f t="shared" si="5442"/>
        <v>#N/A</v>
      </c>
      <c r="N2766" s="16" t="e">
        <f t="shared" si="5443"/>
        <v>#N/A</v>
      </c>
      <c r="O2766" s="16" t="s">
        <v>73</v>
      </c>
      <c r="P2766" s="16" t="str">
        <f t="shared" si="6"/>
        <v/>
      </c>
      <c r="Q2766" s="41" t="e">
        <f t="shared" si="5444"/>
        <v>#N/A</v>
      </c>
      <c r="R2766" s="44"/>
      <c r="S2766" s="44"/>
      <c r="T2766" s="43"/>
      <c r="U2766" s="43" t="str">
        <f t="shared" si="8"/>
        <v>No</v>
      </c>
      <c r="V2766" s="25"/>
      <c r="W2766" s="25"/>
      <c r="X2766" s="25"/>
      <c r="Y2766" s="25"/>
      <c r="Z2766" s="25"/>
    </row>
    <row r="2767" spans="1:26" ht="15.75" customHeight="1" x14ac:dyDescent="0.25">
      <c r="A2767" s="25">
        <v>2765</v>
      </c>
      <c r="B2767" s="37" t="e">
        <f t="shared" ref="B2767:D2767" si="5571">VLOOKUP($A2767,[9]Hacienda!$A$1:$O$285,B$1,0)</f>
        <v>#N/A</v>
      </c>
      <c r="C2767" s="38" t="e">
        <f t="shared" si="5571"/>
        <v>#N/A</v>
      </c>
      <c r="D2767" s="39" t="e">
        <f t="shared" si="5571"/>
        <v>#N/A</v>
      </c>
      <c r="E2767" s="16" t="e">
        <f t="shared" si="1"/>
        <v>#N/A</v>
      </c>
      <c r="F2767" s="16" t="e">
        <f t="shared" ref="F2767:K2767" si="5572">VLOOKUP($A2767,[9]Hacienda!$A$1:$O$285,F$1,0)</f>
        <v>#N/A</v>
      </c>
      <c r="G2767" s="39" t="e">
        <f t="shared" si="5572"/>
        <v>#N/A</v>
      </c>
      <c r="H2767" s="16" t="e">
        <f t="shared" si="5572"/>
        <v>#N/A</v>
      </c>
      <c r="I2767" s="16" t="e">
        <f t="shared" si="5572"/>
        <v>#N/A</v>
      </c>
      <c r="J2767" s="40" t="e">
        <f t="shared" si="5572"/>
        <v>#N/A</v>
      </c>
      <c r="K2767" s="16" t="e">
        <f t="shared" si="5572"/>
        <v>#N/A</v>
      </c>
      <c r="L2767" s="40" t="e">
        <f t="shared" si="5441"/>
        <v>#N/A</v>
      </c>
      <c r="M2767" s="16" t="e">
        <f t="shared" si="5442"/>
        <v>#N/A</v>
      </c>
      <c r="N2767" s="16" t="e">
        <f t="shared" si="5443"/>
        <v>#N/A</v>
      </c>
      <c r="O2767" s="16" t="s">
        <v>73</v>
      </c>
      <c r="P2767" s="16" t="str">
        <f t="shared" si="6"/>
        <v/>
      </c>
      <c r="Q2767" s="41" t="e">
        <f t="shared" si="5444"/>
        <v>#N/A</v>
      </c>
      <c r="R2767" s="44"/>
      <c r="S2767" s="44"/>
      <c r="T2767" s="43"/>
      <c r="U2767" s="43" t="str">
        <f t="shared" si="8"/>
        <v>No</v>
      </c>
      <c r="V2767" s="25"/>
      <c r="W2767" s="25"/>
      <c r="X2767" s="25"/>
      <c r="Y2767" s="25"/>
      <c r="Z2767" s="25"/>
    </row>
    <row r="2768" spans="1:26" ht="15.75" customHeight="1" x14ac:dyDescent="0.25">
      <c r="A2768" s="25">
        <v>2766</v>
      </c>
      <c r="B2768" s="37" t="e">
        <f t="shared" ref="B2768:D2768" si="5573">VLOOKUP($A2768,[9]Hacienda!$A$1:$O$285,B$1,0)</f>
        <v>#N/A</v>
      </c>
      <c r="C2768" s="38" t="e">
        <f t="shared" si="5573"/>
        <v>#N/A</v>
      </c>
      <c r="D2768" s="39" t="e">
        <f t="shared" si="5573"/>
        <v>#N/A</v>
      </c>
      <c r="E2768" s="16" t="e">
        <f t="shared" si="1"/>
        <v>#N/A</v>
      </c>
      <c r="F2768" s="16" t="e">
        <f t="shared" ref="F2768:K2768" si="5574">VLOOKUP($A2768,[9]Hacienda!$A$1:$O$285,F$1,0)</f>
        <v>#N/A</v>
      </c>
      <c r="G2768" s="39" t="e">
        <f t="shared" si="5574"/>
        <v>#N/A</v>
      </c>
      <c r="H2768" s="16" t="e">
        <f t="shared" si="5574"/>
        <v>#N/A</v>
      </c>
      <c r="I2768" s="16" t="e">
        <f t="shared" si="5574"/>
        <v>#N/A</v>
      </c>
      <c r="J2768" s="40" t="e">
        <f t="shared" si="5574"/>
        <v>#N/A</v>
      </c>
      <c r="K2768" s="16" t="e">
        <f t="shared" si="5574"/>
        <v>#N/A</v>
      </c>
      <c r="L2768" s="40" t="e">
        <f t="shared" si="5441"/>
        <v>#N/A</v>
      </c>
      <c r="M2768" s="16" t="e">
        <f t="shared" si="5442"/>
        <v>#N/A</v>
      </c>
      <c r="N2768" s="16" t="e">
        <f t="shared" si="5443"/>
        <v>#N/A</v>
      </c>
      <c r="O2768" s="16" t="s">
        <v>73</v>
      </c>
      <c r="P2768" s="16" t="str">
        <f t="shared" si="6"/>
        <v/>
      </c>
      <c r="Q2768" s="41" t="e">
        <f t="shared" si="5444"/>
        <v>#N/A</v>
      </c>
      <c r="R2768" s="44"/>
      <c r="S2768" s="44"/>
      <c r="T2768" s="43"/>
      <c r="U2768" s="43" t="str">
        <f t="shared" si="8"/>
        <v>No</v>
      </c>
      <c r="V2768" s="25"/>
      <c r="W2768" s="25"/>
      <c r="X2768" s="25"/>
      <c r="Y2768" s="25"/>
      <c r="Z2768" s="25"/>
    </row>
    <row r="2769" spans="1:26" ht="15.75" customHeight="1" x14ac:dyDescent="0.25">
      <c r="A2769" s="25">
        <v>2767</v>
      </c>
      <c r="B2769" s="37" t="e">
        <f t="shared" ref="B2769:D2769" si="5575">VLOOKUP($A2769,[9]Hacienda!$A$1:$O$285,B$1,0)</f>
        <v>#N/A</v>
      </c>
      <c r="C2769" s="38" t="e">
        <f t="shared" si="5575"/>
        <v>#N/A</v>
      </c>
      <c r="D2769" s="39" t="e">
        <f t="shared" si="5575"/>
        <v>#N/A</v>
      </c>
      <c r="E2769" s="16" t="e">
        <f t="shared" si="1"/>
        <v>#N/A</v>
      </c>
      <c r="F2769" s="16" t="e">
        <f t="shared" ref="F2769:K2769" si="5576">VLOOKUP($A2769,[9]Hacienda!$A$1:$O$285,F$1,0)</f>
        <v>#N/A</v>
      </c>
      <c r="G2769" s="39" t="e">
        <f t="shared" si="5576"/>
        <v>#N/A</v>
      </c>
      <c r="H2769" s="16" t="e">
        <f t="shared" si="5576"/>
        <v>#N/A</v>
      </c>
      <c r="I2769" s="16" t="e">
        <f t="shared" si="5576"/>
        <v>#N/A</v>
      </c>
      <c r="J2769" s="40" t="e">
        <f t="shared" si="5576"/>
        <v>#N/A</v>
      </c>
      <c r="K2769" s="16" t="e">
        <f t="shared" si="5576"/>
        <v>#N/A</v>
      </c>
      <c r="L2769" s="40" t="e">
        <f t="shared" si="5441"/>
        <v>#N/A</v>
      </c>
      <c r="M2769" s="16" t="e">
        <f t="shared" si="5442"/>
        <v>#N/A</v>
      </c>
      <c r="N2769" s="16" t="e">
        <f t="shared" si="5443"/>
        <v>#N/A</v>
      </c>
      <c r="O2769" s="16" t="s">
        <v>73</v>
      </c>
      <c r="P2769" s="16" t="str">
        <f t="shared" si="6"/>
        <v/>
      </c>
      <c r="Q2769" s="41" t="e">
        <f t="shared" si="5444"/>
        <v>#N/A</v>
      </c>
      <c r="R2769" s="44"/>
      <c r="S2769" s="44"/>
      <c r="T2769" s="43"/>
      <c r="U2769" s="43" t="str">
        <f t="shared" si="8"/>
        <v>No</v>
      </c>
      <c r="V2769" s="25"/>
      <c r="W2769" s="25"/>
      <c r="X2769" s="25"/>
      <c r="Y2769" s="25"/>
      <c r="Z2769" s="25"/>
    </row>
    <row r="2770" spans="1:26" ht="15.75" customHeight="1" x14ac:dyDescent="0.25">
      <c r="A2770" s="25">
        <v>2768</v>
      </c>
      <c r="B2770" s="37" t="e">
        <f t="shared" ref="B2770:D2770" si="5577">VLOOKUP($A2770,[9]Hacienda!$A$1:$O$285,B$1,0)</f>
        <v>#N/A</v>
      </c>
      <c r="C2770" s="38" t="e">
        <f t="shared" si="5577"/>
        <v>#N/A</v>
      </c>
      <c r="D2770" s="39" t="e">
        <f t="shared" si="5577"/>
        <v>#N/A</v>
      </c>
      <c r="E2770" s="16" t="e">
        <f t="shared" si="1"/>
        <v>#N/A</v>
      </c>
      <c r="F2770" s="16" t="e">
        <f t="shared" ref="F2770:K2770" si="5578">VLOOKUP($A2770,[9]Hacienda!$A$1:$O$285,F$1,0)</f>
        <v>#N/A</v>
      </c>
      <c r="G2770" s="39" t="e">
        <f t="shared" si="5578"/>
        <v>#N/A</v>
      </c>
      <c r="H2770" s="16" t="e">
        <f t="shared" si="5578"/>
        <v>#N/A</v>
      </c>
      <c r="I2770" s="16" t="e">
        <f t="shared" si="5578"/>
        <v>#N/A</v>
      </c>
      <c r="J2770" s="40" t="e">
        <f t="shared" si="5578"/>
        <v>#N/A</v>
      </c>
      <c r="K2770" s="16" t="e">
        <f t="shared" si="5578"/>
        <v>#N/A</v>
      </c>
      <c r="L2770" s="40" t="e">
        <f t="shared" si="5441"/>
        <v>#N/A</v>
      </c>
      <c r="M2770" s="16" t="e">
        <f t="shared" si="5442"/>
        <v>#N/A</v>
      </c>
      <c r="N2770" s="16" t="e">
        <f t="shared" si="5443"/>
        <v>#N/A</v>
      </c>
      <c r="O2770" s="16" t="s">
        <v>73</v>
      </c>
      <c r="P2770" s="16" t="str">
        <f t="shared" si="6"/>
        <v/>
      </c>
      <c r="Q2770" s="41" t="e">
        <f t="shared" si="5444"/>
        <v>#N/A</v>
      </c>
      <c r="R2770" s="44"/>
      <c r="S2770" s="44"/>
      <c r="T2770" s="43"/>
      <c r="U2770" s="43" t="str">
        <f t="shared" si="8"/>
        <v>No</v>
      </c>
      <c r="V2770" s="25"/>
      <c r="W2770" s="25"/>
      <c r="X2770" s="25"/>
      <c r="Y2770" s="25"/>
      <c r="Z2770" s="25"/>
    </row>
    <row r="2771" spans="1:26" ht="15.75" customHeight="1" x14ac:dyDescent="0.25">
      <c r="A2771" s="25">
        <v>2769</v>
      </c>
      <c r="B2771" s="37" t="e">
        <f t="shared" ref="B2771:D2771" si="5579">VLOOKUP($A2771,[9]Hacienda!$A$1:$O$285,B$1,0)</f>
        <v>#N/A</v>
      </c>
      <c r="C2771" s="38" t="e">
        <f t="shared" si="5579"/>
        <v>#N/A</v>
      </c>
      <c r="D2771" s="39" t="e">
        <f t="shared" si="5579"/>
        <v>#N/A</v>
      </c>
      <c r="E2771" s="16" t="e">
        <f t="shared" si="1"/>
        <v>#N/A</v>
      </c>
      <c r="F2771" s="16" t="e">
        <f t="shared" ref="F2771:K2771" si="5580">VLOOKUP($A2771,[9]Hacienda!$A$1:$O$285,F$1,0)</f>
        <v>#N/A</v>
      </c>
      <c r="G2771" s="39" t="e">
        <f t="shared" si="5580"/>
        <v>#N/A</v>
      </c>
      <c r="H2771" s="16" t="e">
        <f t="shared" si="5580"/>
        <v>#N/A</v>
      </c>
      <c r="I2771" s="16" t="e">
        <f t="shared" si="5580"/>
        <v>#N/A</v>
      </c>
      <c r="J2771" s="40" t="e">
        <f t="shared" si="5580"/>
        <v>#N/A</v>
      </c>
      <c r="K2771" s="16" t="e">
        <f t="shared" si="5580"/>
        <v>#N/A</v>
      </c>
      <c r="L2771" s="40" t="e">
        <f t="shared" si="5441"/>
        <v>#N/A</v>
      </c>
      <c r="M2771" s="16" t="e">
        <f t="shared" si="5442"/>
        <v>#N/A</v>
      </c>
      <c r="N2771" s="16" t="e">
        <f t="shared" si="5443"/>
        <v>#N/A</v>
      </c>
      <c r="O2771" s="16" t="s">
        <v>73</v>
      </c>
      <c r="P2771" s="16" t="str">
        <f t="shared" si="6"/>
        <v/>
      </c>
      <c r="Q2771" s="41" t="e">
        <f t="shared" si="5444"/>
        <v>#N/A</v>
      </c>
      <c r="R2771" s="44"/>
      <c r="S2771" s="44"/>
      <c r="T2771" s="43"/>
      <c r="U2771" s="43" t="str">
        <f t="shared" si="8"/>
        <v>No</v>
      </c>
      <c r="V2771" s="25"/>
      <c r="W2771" s="25"/>
      <c r="X2771" s="25"/>
      <c r="Y2771" s="25"/>
      <c r="Z2771" s="25"/>
    </row>
    <row r="2772" spans="1:26" ht="15.75" customHeight="1" x14ac:dyDescent="0.25">
      <c r="A2772" s="25">
        <v>2770</v>
      </c>
      <c r="B2772" s="37" t="e">
        <f t="shared" ref="B2772:D2772" si="5581">VLOOKUP($A2772,[9]Hacienda!$A$1:$O$285,B$1,0)</f>
        <v>#N/A</v>
      </c>
      <c r="C2772" s="38" t="e">
        <f t="shared" si="5581"/>
        <v>#N/A</v>
      </c>
      <c r="D2772" s="39" t="e">
        <f t="shared" si="5581"/>
        <v>#N/A</v>
      </c>
      <c r="E2772" s="16" t="e">
        <f t="shared" si="1"/>
        <v>#N/A</v>
      </c>
      <c r="F2772" s="16" t="e">
        <f t="shared" ref="F2772:K2772" si="5582">VLOOKUP($A2772,[9]Hacienda!$A$1:$O$285,F$1,0)</f>
        <v>#N/A</v>
      </c>
      <c r="G2772" s="39" t="e">
        <f t="shared" si="5582"/>
        <v>#N/A</v>
      </c>
      <c r="H2772" s="16" t="e">
        <f t="shared" si="5582"/>
        <v>#N/A</v>
      </c>
      <c r="I2772" s="16" t="e">
        <f t="shared" si="5582"/>
        <v>#N/A</v>
      </c>
      <c r="J2772" s="40" t="e">
        <f t="shared" si="5582"/>
        <v>#N/A</v>
      </c>
      <c r="K2772" s="16" t="e">
        <f t="shared" si="5582"/>
        <v>#N/A</v>
      </c>
      <c r="L2772" s="40" t="e">
        <f t="shared" si="5441"/>
        <v>#N/A</v>
      </c>
      <c r="M2772" s="16" t="e">
        <f t="shared" si="5442"/>
        <v>#N/A</v>
      </c>
      <c r="N2772" s="16" t="e">
        <f t="shared" si="5443"/>
        <v>#N/A</v>
      </c>
      <c r="O2772" s="16" t="s">
        <v>73</v>
      </c>
      <c r="P2772" s="16" t="str">
        <f t="shared" si="6"/>
        <v/>
      </c>
      <c r="Q2772" s="41" t="e">
        <f t="shared" si="5444"/>
        <v>#N/A</v>
      </c>
      <c r="R2772" s="44"/>
      <c r="S2772" s="44"/>
      <c r="T2772" s="43"/>
      <c r="U2772" s="43" t="str">
        <f t="shared" si="8"/>
        <v>No</v>
      </c>
      <c r="V2772" s="25"/>
      <c r="W2772" s="25"/>
      <c r="X2772" s="25"/>
      <c r="Y2772" s="25"/>
      <c r="Z2772" s="25"/>
    </row>
    <row r="2773" spans="1:26" ht="15.75" customHeight="1" x14ac:dyDescent="0.25">
      <c r="A2773" s="25">
        <v>2771</v>
      </c>
      <c r="B2773" s="37" t="e">
        <f t="shared" ref="B2773:D2773" si="5583">VLOOKUP($A2773,[9]Hacienda!$A$1:$O$285,B$1,0)</f>
        <v>#N/A</v>
      </c>
      <c r="C2773" s="38" t="e">
        <f t="shared" si="5583"/>
        <v>#N/A</v>
      </c>
      <c r="D2773" s="39" t="e">
        <f t="shared" si="5583"/>
        <v>#N/A</v>
      </c>
      <c r="E2773" s="16" t="e">
        <f t="shared" si="1"/>
        <v>#N/A</v>
      </c>
      <c r="F2773" s="16" t="e">
        <f t="shared" ref="F2773:K2773" si="5584">VLOOKUP($A2773,[9]Hacienda!$A$1:$O$285,F$1,0)</f>
        <v>#N/A</v>
      </c>
      <c r="G2773" s="39" t="e">
        <f t="shared" si="5584"/>
        <v>#N/A</v>
      </c>
      <c r="H2773" s="16" t="e">
        <f t="shared" si="5584"/>
        <v>#N/A</v>
      </c>
      <c r="I2773" s="16" t="e">
        <f t="shared" si="5584"/>
        <v>#N/A</v>
      </c>
      <c r="J2773" s="40" t="e">
        <f t="shared" si="5584"/>
        <v>#N/A</v>
      </c>
      <c r="K2773" s="16" t="e">
        <f t="shared" si="5584"/>
        <v>#N/A</v>
      </c>
      <c r="L2773" s="40" t="e">
        <f t="shared" si="5441"/>
        <v>#N/A</v>
      </c>
      <c r="M2773" s="16" t="e">
        <f t="shared" si="5442"/>
        <v>#N/A</v>
      </c>
      <c r="N2773" s="16" t="e">
        <f t="shared" si="5443"/>
        <v>#N/A</v>
      </c>
      <c r="O2773" s="16" t="s">
        <v>73</v>
      </c>
      <c r="P2773" s="16" t="str">
        <f t="shared" si="6"/>
        <v/>
      </c>
      <c r="Q2773" s="41" t="e">
        <f t="shared" si="5444"/>
        <v>#N/A</v>
      </c>
      <c r="R2773" s="44"/>
      <c r="S2773" s="44"/>
      <c r="T2773" s="43"/>
      <c r="U2773" s="43" t="str">
        <f t="shared" si="8"/>
        <v>No</v>
      </c>
      <c r="V2773" s="25"/>
      <c r="W2773" s="25"/>
      <c r="X2773" s="25"/>
      <c r="Y2773" s="25"/>
      <c r="Z2773" s="25"/>
    </row>
    <row r="2774" spans="1:26" ht="15.75" customHeight="1" x14ac:dyDescent="0.25">
      <c r="A2774" s="25">
        <v>2772</v>
      </c>
      <c r="B2774" s="37" t="e">
        <f t="shared" ref="B2774:D2774" si="5585">VLOOKUP($A2774,[9]Hacienda!$A$1:$O$285,B$1,0)</f>
        <v>#N/A</v>
      </c>
      <c r="C2774" s="38" t="e">
        <f t="shared" si="5585"/>
        <v>#N/A</v>
      </c>
      <c r="D2774" s="39" t="e">
        <f t="shared" si="5585"/>
        <v>#N/A</v>
      </c>
      <c r="E2774" s="16" t="e">
        <f t="shared" si="1"/>
        <v>#N/A</v>
      </c>
      <c r="F2774" s="16" t="e">
        <f t="shared" ref="F2774:K2774" si="5586">VLOOKUP($A2774,[9]Hacienda!$A$1:$O$285,F$1,0)</f>
        <v>#N/A</v>
      </c>
      <c r="G2774" s="39" t="e">
        <f t="shared" si="5586"/>
        <v>#N/A</v>
      </c>
      <c r="H2774" s="16" t="e">
        <f t="shared" si="5586"/>
        <v>#N/A</v>
      </c>
      <c r="I2774" s="16" t="e">
        <f t="shared" si="5586"/>
        <v>#N/A</v>
      </c>
      <c r="J2774" s="40" t="e">
        <f t="shared" si="5586"/>
        <v>#N/A</v>
      </c>
      <c r="K2774" s="16" t="e">
        <f t="shared" si="5586"/>
        <v>#N/A</v>
      </c>
      <c r="L2774" s="40" t="e">
        <f t="shared" si="5441"/>
        <v>#N/A</v>
      </c>
      <c r="M2774" s="16" t="e">
        <f t="shared" si="5442"/>
        <v>#N/A</v>
      </c>
      <c r="N2774" s="16" t="e">
        <f t="shared" si="5443"/>
        <v>#N/A</v>
      </c>
      <c r="O2774" s="16" t="s">
        <v>73</v>
      </c>
      <c r="P2774" s="16" t="str">
        <f t="shared" si="6"/>
        <v/>
      </c>
      <c r="Q2774" s="41" t="e">
        <f t="shared" si="5444"/>
        <v>#N/A</v>
      </c>
      <c r="R2774" s="44"/>
      <c r="S2774" s="44"/>
      <c r="T2774" s="43"/>
      <c r="U2774" s="43" t="str">
        <f t="shared" si="8"/>
        <v>No</v>
      </c>
      <c r="V2774" s="25"/>
      <c r="W2774" s="25"/>
      <c r="X2774" s="25"/>
      <c r="Y2774" s="25"/>
      <c r="Z2774" s="25"/>
    </row>
    <row r="2775" spans="1:26" ht="15.75" customHeight="1" x14ac:dyDescent="0.25">
      <c r="A2775" s="25">
        <v>2773</v>
      </c>
      <c r="B2775" s="37" t="e">
        <f t="shared" ref="B2775:D2775" si="5587">VLOOKUP($A2775,[9]Hacienda!$A$1:$O$285,B$1,0)</f>
        <v>#N/A</v>
      </c>
      <c r="C2775" s="38" t="e">
        <f t="shared" si="5587"/>
        <v>#N/A</v>
      </c>
      <c r="D2775" s="39" t="e">
        <f t="shared" si="5587"/>
        <v>#N/A</v>
      </c>
      <c r="E2775" s="16" t="e">
        <f t="shared" si="1"/>
        <v>#N/A</v>
      </c>
      <c r="F2775" s="16" t="e">
        <f t="shared" ref="F2775:K2775" si="5588">VLOOKUP($A2775,[9]Hacienda!$A$1:$O$285,F$1,0)</f>
        <v>#N/A</v>
      </c>
      <c r="G2775" s="39" t="e">
        <f t="shared" si="5588"/>
        <v>#N/A</v>
      </c>
      <c r="H2775" s="16" t="e">
        <f t="shared" si="5588"/>
        <v>#N/A</v>
      </c>
      <c r="I2775" s="16" t="e">
        <f t="shared" si="5588"/>
        <v>#N/A</v>
      </c>
      <c r="J2775" s="40" t="e">
        <f t="shared" si="5588"/>
        <v>#N/A</v>
      </c>
      <c r="K2775" s="16" t="e">
        <f t="shared" si="5588"/>
        <v>#N/A</v>
      </c>
      <c r="L2775" s="40" t="e">
        <f t="shared" si="5441"/>
        <v>#N/A</v>
      </c>
      <c r="M2775" s="16" t="e">
        <f t="shared" si="5442"/>
        <v>#N/A</v>
      </c>
      <c r="N2775" s="16" t="e">
        <f t="shared" si="5443"/>
        <v>#N/A</v>
      </c>
      <c r="O2775" s="16" t="s">
        <v>73</v>
      </c>
      <c r="P2775" s="16" t="str">
        <f t="shared" si="6"/>
        <v/>
      </c>
      <c r="Q2775" s="41" t="e">
        <f t="shared" si="5444"/>
        <v>#N/A</v>
      </c>
      <c r="R2775" s="44"/>
      <c r="S2775" s="44"/>
      <c r="T2775" s="43"/>
      <c r="U2775" s="43" t="str">
        <f t="shared" si="8"/>
        <v>No</v>
      </c>
      <c r="V2775" s="25"/>
      <c r="W2775" s="25"/>
      <c r="X2775" s="25"/>
      <c r="Y2775" s="25"/>
      <c r="Z2775" s="25"/>
    </row>
    <row r="2776" spans="1:26" ht="15.75" customHeight="1" x14ac:dyDescent="0.25">
      <c r="A2776" s="25">
        <v>2774</v>
      </c>
      <c r="B2776" s="37" t="e">
        <f t="shared" ref="B2776:D2776" si="5589">VLOOKUP($A2776,[9]Hacienda!$A$1:$O$285,B$1,0)</f>
        <v>#N/A</v>
      </c>
      <c r="C2776" s="38" t="e">
        <f t="shared" si="5589"/>
        <v>#N/A</v>
      </c>
      <c r="D2776" s="39" t="e">
        <f t="shared" si="5589"/>
        <v>#N/A</v>
      </c>
      <c r="E2776" s="16" t="e">
        <f t="shared" si="1"/>
        <v>#N/A</v>
      </c>
      <c r="F2776" s="16" t="e">
        <f t="shared" ref="F2776:K2776" si="5590">VLOOKUP($A2776,[9]Hacienda!$A$1:$O$285,F$1,0)</f>
        <v>#N/A</v>
      </c>
      <c r="G2776" s="39" t="e">
        <f t="shared" si="5590"/>
        <v>#N/A</v>
      </c>
      <c r="H2776" s="16" t="e">
        <f t="shared" si="5590"/>
        <v>#N/A</v>
      </c>
      <c r="I2776" s="16" t="e">
        <f t="shared" si="5590"/>
        <v>#N/A</v>
      </c>
      <c r="J2776" s="40" t="e">
        <f t="shared" si="5590"/>
        <v>#N/A</v>
      </c>
      <c r="K2776" s="16" t="e">
        <f t="shared" si="5590"/>
        <v>#N/A</v>
      </c>
      <c r="L2776" s="40" t="e">
        <f t="shared" si="5441"/>
        <v>#N/A</v>
      </c>
      <c r="M2776" s="16" t="e">
        <f t="shared" si="5442"/>
        <v>#N/A</v>
      </c>
      <c r="N2776" s="16" t="e">
        <f t="shared" si="5443"/>
        <v>#N/A</v>
      </c>
      <c r="O2776" s="16" t="s">
        <v>73</v>
      </c>
      <c r="P2776" s="16" t="str">
        <f t="shared" si="6"/>
        <v/>
      </c>
      <c r="Q2776" s="41" t="e">
        <f t="shared" si="5444"/>
        <v>#N/A</v>
      </c>
      <c r="R2776" s="44"/>
      <c r="S2776" s="44"/>
      <c r="T2776" s="43"/>
      <c r="U2776" s="43" t="str">
        <f t="shared" si="8"/>
        <v>No</v>
      </c>
      <c r="V2776" s="25"/>
      <c r="W2776" s="25"/>
      <c r="X2776" s="25"/>
      <c r="Y2776" s="25"/>
      <c r="Z2776" s="25"/>
    </row>
    <row r="2777" spans="1:26" ht="15.75" customHeight="1" x14ac:dyDescent="0.25">
      <c r="A2777" s="25">
        <v>2775</v>
      </c>
      <c r="B2777" s="37" t="e">
        <f t="shared" ref="B2777:D2777" si="5591">VLOOKUP($A2777,[9]Hacienda!$A$1:$O$285,B$1,0)</f>
        <v>#N/A</v>
      </c>
      <c r="C2777" s="38" t="e">
        <f t="shared" si="5591"/>
        <v>#N/A</v>
      </c>
      <c r="D2777" s="39" t="e">
        <f t="shared" si="5591"/>
        <v>#N/A</v>
      </c>
      <c r="E2777" s="16" t="e">
        <f t="shared" si="1"/>
        <v>#N/A</v>
      </c>
      <c r="F2777" s="16" t="e">
        <f t="shared" ref="F2777:K2777" si="5592">VLOOKUP($A2777,[9]Hacienda!$A$1:$O$285,F$1,0)</f>
        <v>#N/A</v>
      </c>
      <c r="G2777" s="39" t="e">
        <f t="shared" si="5592"/>
        <v>#N/A</v>
      </c>
      <c r="H2777" s="16" t="e">
        <f t="shared" si="5592"/>
        <v>#N/A</v>
      </c>
      <c r="I2777" s="16" t="e">
        <f t="shared" si="5592"/>
        <v>#N/A</v>
      </c>
      <c r="J2777" s="40" t="e">
        <f t="shared" si="5592"/>
        <v>#N/A</v>
      </c>
      <c r="K2777" s="16" t="e">
        <f t="shared" si="5592"/>
        <v>#N/A</v>
      </c>
      <c r="L2777" s="40" t="e">
        <f t="shared" si="5441"/>
        <v>#N/A</v>
      </c>
      <c r="M2777" s="16" t="e">
        <f t="shared" si="5442"/>
        <v>#N/A</v>
      </c>
      <c r="N2777" s="16" t="e">
        <f t="shared" si="5443"/>
        <v>#N/A</v>
      </c>
      <c r="O2777" s="16" t="s">
        <v>73</v>
      </c>
      <c r="P2777" s="16" t="str">
        <f t="shared" si="6"/>
        <v/>
      </c>
      <c r="Q2777" s="41" t="e">
        <f t="shared" si="5444"/>
        <v>#N/A</v>
      </c>
      <c r="R2777" s="44"/>
      <c r="S2777" s="44"/>
      <c r="T2777" s="43"/>
      <c r="U2777" s="43" t="str">
        <f t="shared" si="8"/>
        <v>No</v>
      </c>
      <c r="V2777" s="25"/>
      <c r="W2777" s="25"/>
      <c r="X2777" s="25"/>
      <c r="Y2777" s="25"/>
      <c r="Z2777" s="25"/>
    </row>
    <row r="2778" spans="1:26" ht="15.75" customHeight="1" x14ac:dyDescent="0.25">
      <c r="A2778" s="25">
        <v>2776</v>
      </c>
      <c r="B2778" s="37" t="e">
        <f t="shared" ref="B2778:D2778" si="5593">VLOOKUP($A2778,[9]Hacienda!$A$1:$O$285,B$1,0)</f>
        <v>#N/A</v>
      </c>
      <c r="C2778" s="38" t="e">
        <f t="shared" si="5593"/>
        <v>#N/A</v>
      </c>
      <c r="D2778" s="39" t="e">
        <f t="shared" si="5593"/>
        <v>#N/A</v>
      </c>
      <c r="E2778" s="16" t="e">
        <f t="shared" si="1"/>
        <v>#N/A</v>
      </c>
      <c r="F2778" s="16" t="e">
        <f t="shared" ref="F2778:K2778" si="5594">VLOOKUP($A2778,[9]Hacienda!$A$1:$O$285,F$1,0)</f>
        <v>#N/A</v>
      </c>
      <c r="G2778" s="39" t="e">
        <f t="shared" si="5594"/>
        <v>#N/A</v>
      </c>
      <c r="H2778" s="16" t="e">
        <f t="shared" si="5594"/>
        <v>#N/A</v>
      </c>
      <c r="I2778" s="16" t="e">
        <f t="shared" si="5594"/>
        <v>#N/A</v>
      </c>
      <c r="J2778" s="40" t="e">
        <f t="shared" si="5594"/>
        <v>#N/A</v>
      </c>
      <c r="K2778" s="16" t="e">
        <f t="shared" si="5594"/>
        <v>#N/A</v>
      </c>
      <c r="L2778" s="40" t="e">
        <f t="shared" si="5441"/>
        <v>#N/A</v>
      </c>
      <c r="M2778" s="16" t="e">
        <f t="shared" si="5442"/>
        <v>#N/A</v>
      </c>
      <c r="N2778" s="16" t="e">
        <f t="shared" si="5443"/>
        <v>#N/A</v>
      </c>
      <c r="O2778" s="16" t="s">
        <v>73</v>
      </c>
      <c r="P2778" s="16" t="str">
        <f t="shared" si="6"/>
        <v/>
      </c>
      <c r="Q2778" s="41" t="e">
        <f t="shared" si="5444"/>
        <v>#N/A</v>
      </c>
      <c r="R2778" s="44"/>
      <c r="S2778" s="44"/>
      <c r="T2778" s="43"/>
      <c r="U2778" s="43" t="str">
        <f t="shared" si="8"/>
        <v>No</v>
      </c>
      <c r="V2778" s="25"/>
      <c r="W2778" s="25"/>
      <c r="X2778" s="25"/>
      <c r="Y2778" s="25"/>
      <c r="Z2778" s="25"/>
    </row>
    <row r="2779" spans="1:26" ht="15.75" customHeight="1" x14ac:dyDescent="0.25">
      <c r="A2779" s="25">
        <v>2777</v>
      </c>
      <c r="B2779" s="37" t="e">
        <f t="shared" ref="B2779:D2779" si="5595">VLOOKUP($A2779,[9]Hacienda!$A$1:$O$285,B$1,0)</f>
        <v>#N/A</v>
      </c>
      <c r="C2779" s="38" t="e">
        <f t="shared" si="5595"/>
        <v>#N/A</v>
      </c>
      <c r="D2779" s="39" t="e">
        <f t="shared" si="5595"/>
        <v>#N/A</v>
      </c>
      <c r="E2779" s="16" t="e">
        <f t="shared" si="1"/>
        <v>#N/A</v>
      </c>
      <c r="F2779" s="16" t="e">
        <f t="shared" ref="F2779:K2779" si="5596">VLOOKUP($A2779,[9]Hacienda!$A$1:$O$285,F$1,0)</f>
        <v>#N/A</v>
      </c>
      <c r="G2779" s="39" t="e">
        <f t="shared" si="5596"/>
        <v>#N/A</v>
      </c>
      <c r="H2779" s="16" t="e">
        <f t="shared" si="5596"/>
        <v>#N/A</v>
      </c>
      <c r="I2779" s="16" t="e">
        <f t="shared" si="5596"/>
        <v>#N/A</v>
      </c>
      <c r="J2779" s="40" t="e">
        <f t="shared" si="5596"/>
        <v>#N/A</v>
      </c>
      <c r="K2779" s="16" t="e">
        <f t="shared" si="5596"/>
        <v>#N/A</v>
      </c>
      <c r="L2779" s="40" t="e">
        <f t="shared" si="5441"/>
        <v>#N/A</v>
      </c>
      <c r="M2779" s="16" t="e">
        <f t="shared" si="5442"/>
        <v>#N/A</v>
      </c>
      <c r="N2779" s="16" t="e">
        <f t="shared" si="5443"/>
        <v>#N/A</v>
      </c>
      <c r="O2779" s="16" t="s">
        <v>73</v>
      </c>
      <c r="P2779" s="16" t="str">
        <f t="shared" si="6"/>
        <v/>
      </c>
      <c r="Q2779" s="41" t="e">
        <f t="shared" si="5444"/>
        <v>#N/A</v>
      </c>
      <c r="R2779" s="44"/>
      <c r="S2779" s="44"/>
      <c r="T2779" s="43"/>
      <c r="U2779" s="43" t="str">
        <f t="shared" si="8"/>
        <v>No</v>
      </c>
      <c r="V2779" s="25"/>
      <c r="W2779" s="25"/>
      <c r="X2779" s="25"/>
      <c r="Y2779" s="25"/>
      <c r="Z2779" s="25"/>
    </row>
    <row r="2780" spans="1:26" ht="15.75" customHeight="1" x14ac:dyDescent="0.25">
      <c r="A2780" s="25">
        <v>2778</v>
      </c>
      <c r="B2780" s="37" t="e">
        <f t="shared" ref="B2780:D2780" si="5597">VLOOKUP($A2780,[9]Hacienda!$A$1:$O$285,B$1,0)</f>
        <v>#N/A</v>
      </c>
      <c r="C2780" s="38" t="e">
        <f t="shared" si="5597"/>
        <v>#N/A</v>
      </c>
      <c r="D2780" s="39" t="e">
        <f t="shared" si="5597"/>
        <v>#N/A</v>
      </c>
      <c r="E2780" s="16" t="e">
        <f t="shared" si="1"/>
        <v>#N/A</v>
      </c>
      <c r="F2780" s="16" t="e">
        <f t="shared" ref="F2780:K2780" si="5598">VLOOKUP($A2780,[9]Hacienda!$A$1:$O$285,F$1,0)</f>
        <v>#N/A</v>
      </c>
      <c r="G2780" s="39" t="e">
        <f t="shared" si="5598"/>
        <v>#N/A</v>
      </c>
      <c r="H2780" s="16" t="e">
        <f t="shared" si="5598"/>
        <v>#N/A</v>
      </c>
      <c r="I2780" s="16" t="e">
        <f t="shared" si="5598"/>
        <v>#N/A</v>
      </c>
      <c r="J2780" s="40" t="e">
        <f t="shared" si="5598"/>
        <v>#N/A</v>
      </c>
      <c r="K2780" s="16" t="e">
        <f t="shared" si="5598"/>
        <v>#N/A</v>
      </c>
      <c r="L2780" s="40" t="e">
        <f t="shared" si="5441"/>
        <v>#N/A</v>
      </c>
      <c r="M2780" s="16" t="e">
        <f t="shared" si="5442"/>
        <v>#N/A</v>
      </c>
      <c r="N2780" s="16" t="e">
        <f t="shared" si="5443"/>
        <v>#N/A</v>
      </c>
      <c r="O2780" s="16" t="s">
        <v>73</v>
      </c>
      <c r="P2780" s="16" t="str">
        <f t="shared" si="6"/>
        <v/>
      </c>
      <c r="Q2780" s="41" t="e">
        <f t="shared" si="5444"/>
        <v>#N/A</v>
      </c>
      <c r="R2780" s="44"/>
      <c r="S2780" s="44"/>
      <c r="T2780" s="43"/>
      <c r="U2780" s="43" t="str">
        <f t="shared" si="8"/>
        <v>No</v>
      </c>
      <c r="V2780" s="25"/>
      <c r="W2780" s="25"/>
      <c r="X2780" s="25"/>
      <c r="Y2780" s="25"/>
      <c r="Z2780" s="25"/>
    </row>
    <row r="2781" spans="1:26" ht="15.75" customHeight="1" x14ac:dyDescent="0.25">
      <c r="A2781" s="25">
        <v>2779</v>
      </c>
      <c r="B2781" s="37" t="e">
        <f t="shared" ref="B2781:D2781" si="5599">VLOOKUP($A2781,[9]Hacienda!$A$1:$O$285,B$1,0)</f>
        <v>#N/A</v>
      </c>
      <c r="C2781" s="38" t="e">
        <f t="shared" si="5599"/>
        <v>#N/A</v>
      </c>
      <c r="D2781" s="39" t="e">
        <f t="shared" si="5599"/>
        <v>#N/A</v>
      </c>
      <c r="E2781" s="16" t="e">
        <f t="shared" si="1"/>
        <v>#N/A</v>
      </c>
      <c r="F2781" s="16" t="e">
        <f t="shared" ref="F2781:K2781" si="5600">VLOOKUP($A2781,[9]Hacienda!$A$1:$O$285,F$1,0)</f>
        <v>#N/A</v>
      </c>
      <c r="G2781" s="39" t="e">
        <f t="shared" si="5600"/>
        <v>#N/A</v>
      </c>
      <c r="H2781" s="16" t="e">
        <f t="shared" si="5600"/>
        <v>#N/A</v>
      </c>
      <c r="I2781" s="16" t="e">
        <f t="shared" si="5600"/>
        <v>#N/A</v>
      </c>
      <c r="J2781" s="40" t="e">
        <f t="shared" si="5600"/>
        <v>#N/A</v>
      </c>
      <c r="K2781" s="16" t="e">
        <f t="shared" si="5600"/>
        <v>#N/A</v>
      </c>
      <c r="L2781" s="40" t="e">
        <f t="shared" si="5441"/>
        <v>#N/A</v>
      </c>
      <c r="M2781" s="16" t="e">
        <f t="shared" si="5442"/>
        <v>#N/A</v>
      </c>
      <c r="N2781" s="16" t="e">
        <f t="shared" si="5443"/>
        <v>#N/A</v>
      </c>
      <c r="O2781" s="16" t="s">
        <v>73</v>
      </c>
      <c r="P2781" s="16" t="str">
        <f t="shared" si="6"/>
        <v/>
      </c>
      <c r="Q2781" s="41" t="e">
        <f t="shared" si="5444"/>
        <v>#N/A</v>
      </c>
      <c r="R2781" s="44"/>
      <c r="S2781" s="44"/>
      <c r="T2781" s="43"/>
      <c r="U2781" s="43" t="str">
        <f t="shared" si="8"/>
        <v>No</v>
      </c>
      <c r="V2781" s="25"/>
      <c r="W2781" s="25"/>
      <c r="X2781" s="25"/>
      <c r="Y2781" s="25"/>
      <c r="Z2781" s="25"/>
    </row>
    <row r="2782" spans="1:26" ht="15.75" customHeight="1" x14ac:dyDescent="0.25">
      <c r="A2782" s="25">
        <v>2780</v>
      </c>
      <c r="B2782" s="37" t="e">
        <f t="shared" ref="B2782:D2782" si="5601">VLOOKUP($A2782,[9]Hacienda!$A$1:$O$285,B$1,0)</f>
        <v>#N/A</v>
      </c>
      <c r="C2782" s="38" t="e">
        <f t="shared" si="5601"/>
        <v>#N/A</v>
      </c>
      <c r="D2782" s="39" t="e">
        <f t="shared" si="5601"/>
        <v>#N/A</v>
      </c>
      <c r="E2782" s="16" t="e">
        <f t="shared" si="1"/>
        <v>#N/A</v>
      </c>
      <c r="F2782" s="16" t="e">
        <f t="shared" ref="F2782:K2782" si="5602">VLOOKUP($A2782,[9]Hacienda!$A$1:$O$285,F$1,0)</f>
        <v>#N/A</v>
      </c>
      <c r="G2782" s="39" t="e">
        <f t="shared" si="5602"/>
        <v>#N/A</v>
      </c>
      <c r="H2782" s="16" t="e">
        <f t="shared" si="5602"/>
        <v>#N/A</v>
      </c>
      <c r="I2782" s="16" t="e">
        <f t="shared" si="5602"/>
        <v>#N/A</v>
      </c>
      <c r="J2782" s="40" t="e">
        <f t="shared" si="5602"/>
        <v>#N/A</v>
      </c>
      <c r="K2782" s="16" t="e">
        <f t="shared" si="5602"/>
        <v>#N/A</v>
      </c>
      <c r="L2782" s="40" t="e">
        <f t="shared" si="5441"/>
        <v>#N/A</v>
      </c>
      <c r="M2782" s="16" t="e">
        <f t="shared" si="5442"/>
        <v>#N/A</v>
      </c>
      <c r="N2782" s="16" t="e">
        <f t="shared" si="5443"/>
        <v>#N/A</v>
      </c>
      <c r="O2782" s="16" t="s">
        <v>73</v>
      </c>
      <c r="P2782" s="16" t="str">
        <f t="shared" si="6"/>
        <v/>
      </c>
      <c r="Q2782" s="41" t="e">
        <f t="shared" si="5444"/>
        <v>#N/A</v>
      </c>
      <c r="R2782" s="44"/>
      <c r="S2782" s="44"/>
      <c r="T2782" s="43"/>
      <c r="U2782" s="43" t="str">
        <f t="shared" si="8"/>
        <v>No</v>
      </c>
      <c r="V2782" s="25"/>
      <c r="W2782" s="25"/>
      <c r="X2782" s="25"/>
      <c r="Y2782" s="25"/>
      <c r="Z2782" s="25"/>
    </row>
    <row r="2783" spans="1:26" ht="15.75" customHeight="1" x14ac:dyDescent="0.25">
      <c r="A2783" s="25">
        <v>2781</v>
      </c>
      <c r="B2783" s="37" t="e">
        <f t="shared" ref="B2783:D2783" si="5603">VLOOKUP($A2783,[9]Hacienda!$A$1:$O$285,B$1,0)</f>
        <v>#N/A</v>
      </c>
      <c r="C2783" s="38" t="e">
        <f t="shared" si="5603"/>
        <v>#N/A</v>
      </c>
      <c r="D2783" s="39" t="e">
        <f t="shared" si="5603"/>
        <v>#N/A</v>
      </c>
      <c r="E2783" s="16" t="e">
        <f t="shared" si="1"/>
        <v>#N/A</v>
      </c>
      <c r="F2783" s="16" t="e">
        <f t="shared" ref="F2783:K2783" si="5604">VLOOKUP($A2783,[9]Hacienda!$A$1:$O$285,F$1,0)</f>
        <v>#N/A</v>
      </c>
      <c r="G2783" s="39" t="e">
        <f t="shared" si="5604"/>
        <v>#N/A</v>
      </c>
      <c r="H2783" s="16" t="e">
        <f t="shared" si="5604"/>
        <v>#N/A</v>
      </c>
      <c r="I2783" s="16" t="e">
        <f t="shared" si="5604"/>
        <v>#N/A</v>
      </c>
      <c r="J2783" s="40" t="e">
        <f t="shared" si="5604"/>
        <v>#N/A</v>
      </c>
      <c r="K2783" s="16" t="e">
        <f t="shared" si="5604"/>
        <v>#N/A</v>
      </c>
      <c r="L2783" s="40" t="e">
        <f t="shared" si="5441"/>
        <v>#N/A</v>
      </c>
      <c r="M2783" s="16" t="e">
        <f t="shared" si="5442"/>
        <v>#N/A</v>
      </c>
      <c r="N2783" s="16" t="e">
        <f t="shared" si="5443"/>
        <v>#N/A</v>
      </c>
      <c r="O2783" s="16" t="s">
        <v>73</v>
      </c>
      <c r="P2783" s="16" t="str">
        <f t="shared" si="6"/>
        <v/>
      </c>
      <c r="Q2783" s="41" t="e">
        <f t="shared" si="5444"/>
        <v>#N/A</v>
      </c>
      <c r="R2783" s="44"/>
      <c r="S2783" s="44"/>
      <c r="T2783" s="43"/>
      <c r="U2783" s="43" t="str">
        <f t="shared" si="8"/>
        <v>No</v>
      </c>
      <c r="V2783" s="25"/>
      <c r="W2783" s="25"/>
      <c r="X2783" s="25"/>
      <c r="Y2783" s="25"/>
      <c r="Z2783" s="25"/>
    </row>
    <row r="2784" spans="1:26" ht="15.75" customHeight="1" x14ac:dyDescent="0.25">
      <c r="A2784" s="25">
        <v>2782</v>
      </c>
      <c r="B2784" s="37" t="e">
        <f t="shared" ref="B2784:D2784" si="5605">VLOOKUP($A2784,[9]Hacienda!$A$1:$O$285,B$1,0)</f>
        <v>#N/A</v>
      </c>
      <c r="C2784" s="38" t="e">
        <f t="shared" si="5605"/>
        <v>#N/A</v>
      </c>
      <c r="D2784" s="39" t="e">
        <f t="shared" si="5605"/>
        <v>#N/A</v>
      </c>
      <c r="E2784" s="16" t="e">
        <f t="shared" si="1"/>
        <v>#N/A</v>
      </c>
      <c r="F2784" s="16" t="e">
        <f t="shared" ref="F2784:K2784" si="5606">VLOOKUP($A2784,[9]Hacienda!$A$1:$O$285,F$1,0)</f>
        <v>#N/A</v>
      </c>
      <c r="G2784" s="39" t="e">
        <f t="shared" si="5606"/>
        <v>#N/A</v>
      </c>
      <c r="H2784" s="16" t="e">
        <f t="shared" si="5606"/>
        <v>#N/A</v>
      </c>
      <c r="I2784" s="16" t="e">
        <f t="shared" si="5606"/>
        <v>#N/A</v>
      </c>
      <c r="J2784" s="40" t="e">
        <f t="shared" si="5606"/>
        <v>#N/A</v>
      </c>
      <c r="K2784" s="16" t="e">
        <f t="shared" si="5606"/>
        <v>#N/A</v>
      </c>
      <c r="L2784" s="40" t="e">
        <f t="shared" si="5441"/>
        <v>#N/A</v>
      </c>
      <c r="M2784" s="16" t="e">
        <f t="shared" si="5442"/>
        <v>#N/A</v>
      </c>
      <c r="N2784" s="16" t="e">
        <f t="shared" si="5443"/>
        <v>#N/A</v>
      </c>
      <c r="O2784" s="16" t="s">
        <v>73</v>
      </c>
      <c r="P2784" s="16" t="str">
        <f t="shared" si="6"/>
        <v/>
      </c>
      <c r="Q2784" s="41" t="e">
        <f t="shared" si="5444"/>
        <v>#N/A</v>
      </c>
      <c r="R2784" s="44"/>
      <c r="S2784" s="44"/>
      <c r="T2784" s="43"/>
      <c r="U2784" s="43" t="str">
        <f t="shared" si="8"/>
        <v>No</v>
      </c>
      <c r="V2784" s="25"/>
      <c r="W2784" s="25"/>
      <c r="X2784" s="25"/>
      <c r="Y2784" s="25"/>
      <c r="Z2784" s="25"/>
    </row>
    <row r="2785" spans="1:26" ht="15.75" customHeight="1" x14ac:dyDescent="0.25">
      <c r="A2785" s="25">
        <v>2783</v>
      </c>
      <c r="B2785" s="37" t="e">
        <f t="shared" ref="B2785:D2785" si="5607">VLOOKUP($A2785,[9]Hacienda!$A$1:$O$285,B$1,0)</f>
        <v>#N/A</v>
      </c>
      <c r="C2785" s="38" t="e">
        <f t="shared" si="5607"/>
        <v>#N/A</v>
      </c>
      <c r="D2785" s="39" t="e">
        <f t="shared" si="5607"/>
        <v>#N/A</v>
      </c>
      <c r="E2785" s="16" t="e">
        <f t="shared" si="1"/>
        <v>#N/A</v>
      </c>
      <c r="F2785" s="16" t="e">
        <f t="shared" ref="F2785:K2785" si="5608">VLOOKUP($A2785,[9]Hacienda!$A$1:$O$285,F$1,0)</f>
        <v>#N/A</v>
      </c>
      <c r="G2785" s="39" t="e">
        <f t="shared" si="5608"/>
        <v>#N/A</v>
      </c>
      <c r="H2785" s="16" t="e">
        <f t="shared" si="5608"/>
        <v>#N/A</v>
      </c>
      <c r="I2785" s="16" t="e">
        <f t="shared" si="5608"/>
        <v>#N/A</v>
      </c>
      <c r="J2785" s="40" t="e">
        <f t="shared" si="5608"/>
        <v>#N/A</v>
      </c>
      <c r="K2785" s="16" t="e">
        <f t="shared" si="5608"/>
        <v>#N/A</v>
      </c>
      <c r="L2785" s="40" t="e">
        <f t="shared" si="5441"/>
        <v>#N/A</v>
      </c>
      <c r="M2785" s="16" t="e">
        <f t="shared" si="5442"/>
        <v>#N/A</v>
      </c>
      <c r="N2785" s="16" t="e">
        <f t="shared" si="5443"/>
        <v>#N/A</v>
      </c>
      <c r="O2785" s="16" t="s">
        <v>73</v>
      </c>
      <c r="P2785" s="16" t="str">
        <f t="shared" si="6"/>
        <v/>
      </c>
      <c r="Q2785" s="41" t="e">
        <f t="shared" si="5444"/>
        <v>#N/A</v>
      </c>
      <c r="R2785" s="44"/>
      <c r="S2785" s="44"/>
      <c r="T2785" s="43"/>
      <c r="U2785" s="43" t="str">
        <f t="shared" si="8"/>
        <v>No</v>
      </c>
      <c r="V2785" s="25"/>
      <c r="W2785" s="25"/>
      <c r="X2785" s="25"/>
      <c r="Y2785" s="25"/>
      <c r="Z2785" s="25"/>
    </row>
    <row r="2786" spans="1:26" ht="15.75" customHeight="1" x14ac:dyDescent="0.25">
      <c r="A2786" s="25">
        <v>2784</v>
      </c>
      <c r="B2786" s="37" t="e">
        <f t="shared" ref="B2786:D2786" si="5609">VLOOKUP($A2786,[9]Hacienda!$A$1:$O$285,B$1,0)</f>
        <v>#N/A</v>
      </c>
      <c r="C2786" s="38" t="e">
        <f t="shared" si="5609"/>
        <v>#N/A</v>
      </c>
      <c r="D2786" s="39" t="e">
        <f t="shared" si="5609"/>
        <v>#N/A</v>
      </c>
      <c r="E2786" s="16" t="e">
        <f t="shared" si="1"/>
        <v>#N/A</v>
      </c>
      <c r="F2786" s="16" t="e">
        <f t="shared" ref="F2786:K2786" si="5610">VLOOKUP($A2786,[9]Hacienda!$A$1:$O$285,F$1,0)</f>
        <v>#N/A</v>
      </c>
      <c r="G2786" s="39" t="e">
        <f t="shared" si="5610"/>
        <v>#N/A</v>
      </c>
      <c r="H2786" s="16" t="e">
        <f t="shared" si="5610"/>
        <v>#N/A</v>
      </c>
      <c r="I2786" s="16" t="e">
        <f t="shared" si="5610"/>
        <v>#N/A</v>
      </c>
      <c r="J2786" s="40" t="e">
        <f t="shared" si="5610"/>
        <v>#N/A</v>
      </c>
      <c r="K2786" s="16" t="e">
        <f t="shared" si="5610"/>
        <v>#N/A</v>
      </c>
      <c r="L2786" s="40" t="e">
        <f t="shared" si="5441"/>
        <v>#N/A</v>
      </c>
      <c r="M2786" s="16" t="e">
        <f t="shared" si="5442"/>
        <v>#N/A</v>
      </c>
      <c r="N2786" s="16" t="e">
        <f t="shared" si="5443"/>
        <v>#N/A</v>
      </c>
      <c r="O2786" s="16" t="s">
        <v>73</v>
      </c>
      <c r="P2786" s="16" t="str">
        <f t="shared" si="6"/>
        <v/>
      </c>
      <c r="Q2786" s="41" t="e">
        <f t="shared" si="5444"/>
        <v>#N/A</v>
      </c>
      <c r="R2786" s="44"/>
      <c r="S2786" s="44"/>
      <c r="T2786" s="43"/>
      <c r="U2786" s="43" t="str">
        <f t="shared" si="8"/>
        <v>No</v>
      </c>
      <c r="V2786" s="25"/>
      <c r="W2786" s="25"/>
      <c r="X2786" s="25"/>
      <c r="Y2786" s="25"/>
      <c r="Z2786" s="25"/>
    </row>
    <row r="2787" spans="1:26" ht="15.75" customHeight="1" x14ac:dyDescent="0.25">
      <c r="A2787" s="25">
        <v>2785</v>
      </c>
      <c r="B2787" s="37" t="e">
        <f t="shared" ref="B2787:D2787" si="5611">VLOOKUP($A2787,[9]Hacienda!$A$1:$O$285,B$1,0)</f>
        <v>#N/A</v>
      </c>
      <c r="C2787" s="38" t="e">
        <f t="shared" si="5611"/>
        <v>#N/A</v>
      </c>
      <c r="D2787" s="39" t="e">
        <f t="shared" si="5611"/>
        <v>#N/A</v>
      </c>
      <c r="E2787" s="16" t="e">
        <f t="shared" si="1"/>
        <v>#N/A</v>
      </c>
      <c r="F2787" s="16" t="e">
        <f t="shared" ref="F2787:K2787" si="5612">VLOOKUP($A2787,[9]Hacienda!$A$1:$O$285,F$1,0)</f>
        <v>#N/A</v>
      </c>
      <c r="G2787" s="39" t="e">
        <f t="shared" si="5612"/>
        <v>#N/A</v>
      </c>
      <c r="H2787" s="16" t="e">
        <f t="shared" si="5612"/>
        <v>#N/A</v>
      </c>
      <c r="I2787" s="16" t="e">
        <f t="shared" si="5612"/>
        <v>#N/A</v>
      </c>
      <c r="J2787" s="40" t="e">
        <f t="shared" si="5612"/>
        <v>#N/A</v>
      </c>
      <c r="K2787" s="16" t="e">
        <f t="shared" si="5612"/>
        <v>#N/A</v>
      </c>
      <c r="L2787" s="40" t="e">
        <f t="shared" si="5441"/>
        <v>#N/A</v>
      </c>
      <c r="M2787" s="16" t="e">
        <f t="shared" si="5442"/>
        <v>#N/A</v>
      </c>
      <c r="N2787" s="16" t="e">
        <f t="shared" si="5443"/>
        <v>#N/A</v>
      </c>
      <c r="O2787" s="16" t="s">
        <v>73</v>
      </c>
      <c r="P2787" s="16" t="str">
        <f t="shared" si="6"/>
        <v/>
      </c>
      <c r="Q2787" s="41" t="e">
        <f t="shared" si="5444"/>
        <v>#N/A</v>
      </c>
      <c r="R2787" s="44"/>
      <c r="S2787" s="44"/>
      <c r="T2787" s="43"/>
      <c r="U2787" s="43" t="str">
        <f t="shared" si="8"/>
        <v>No</v>
      </c>
      <c r="V2787" s="25"/>
      <c r="W2787" s="25"/>
      <c r="X2787" s="25"/>
      <c r="Y2787" s="25"/>
      <c r="Z2787" s="25"/>
    </row>
    <row r="2788" spans="1:26" ht="15.75" customHeight="1" x14ac:dyDescent="0.25">
      <c r="A2788" s="25">
        <v>2786</v>
      </c>
      <c r="B2788" s="37" t="e">
        <f t="shared" ref="B2788:D2788" si="5613">VLOOKUP($A2788,[9]Hacienda!$A$1:$O$285,B$1,0)</f>
        <v>#N/A</v>
      </c>
      <c r="C2788" s="38" t="e">
        <f t="shared" si="5613"/>
        <v>#N/A</v>
      </c>
      <c r="D2788" s="39" t="e">
        <f t="shared" si="5613"/>
        <v>#N/A</v>
      </c>
      <c r="E2788" s="16" t="e">
        <f t="shared" si="1"/>
        <v>#N/A</v>
      </c>
      <c r="F2788" s="16" t="e">
        <f t="shared" ref="F2788:K2788" si="5614">VLOOKUP($A2788,[9]Hacienda!$A$1:$O$285,F$1,0)</f>
        <v>#N/A</v>
      </c>
      <c r="G2788" s="39" t="e">
        <f t="shared" si="5614"/>
        <v>#N/A</v>
      </c>
      <c r="H2788" s="16" t="e">
        <f t="shared" si="5614"/>
        <v>#N/A</v>
      </c>
      <c r="I2788" s="16" t="e">
        <f t="shared" si="5614"/>
        <v>#N/A</v>
      </c>
      <c r="J2788" s="40" t="e">
        <f t="shared" si="5614"/>
        <v>#N/A</v>
      </c>
      <c r="K2788" s="16" t="e">
        <f t="shared" si="5614"/>
        <v>#N/A</v>
      </c>
      <c r="L2788" s="40" t="e">
        <f t="shared" si="5441"/>
        <v>#N/A</v>
      </c>
      <c r="M2788" s="16" t="e">
        <f t="shared" si="5442"/>
        <v>#N/A</v>
      </c>
      <c r="N2788" s="16" t="e">
        <f t="shared" si="5443"/>
        <v>#N/A</v>
      </c>
      <c r="O2788" s="16" t="s">
        <v>73</v>
      </c>
      <c r="P2788" s="16" t="str">
        <f t="shared" si="6"/>
        <v/>
      </c>
      <c r="Q2788" s="41" t="e">
        <f t="shared" si="5444"/>
        <v>#N/A</v>
      </c>
      <c r="R2788" s="44"/>
      <c r="S2788" s="44"/>
      <c r="T2788" s="43"/>
      <c r="U2788" s="43" t="str">
        <f t="shared" si="8"/>
        <v>No</v>
      </c>
      <c r="V2788" s="25"/>
      <c r="W2788" s="25"/>
      <c r="X2788" s="25"/>
      <c r="Y2788" s="25"/>
      <c r="Z2788" s="25"/>
    </row>
    <row r="2789" spans="1:26" ht="15.75" customHeight="1" x14ac:dyDescent="0.25">
      <c r="A2789" s="25">
        <v>2787</v>
      </c>
      <c r="B2789" s="37" t="e">
        <f t="shared" ref="B2789:D2789" si="5615">VLOOKUP($A2789,[9]Hacienda!$A$1:$O$285,B$1,0)</f>
        <v>#N/A</v>
      </c>
      <c r="C2789" s="38" t="e">
        <f t="shared" si="5615"/>
        <v>#N/A</v>
      </c>
      <c r="D2789" s="39" t="e">
        <f t="shared" si="5615"/>
        <v>#N/A</v>
      </c>
      <c r="E2789" s="16" t="e">
        <f t="shared" si="1"/>
        <v>#N/A</v>
      </c>
      <c r="F2789" s="16" t="e">
        <f t="shared" ref="F2789:K2789" si="5616">VLOOKUP($A2789,[9]Hacienda!$A$1:$O$285,F$1,0)</f>
        <v>#N/A</v>
      </c>
      <c r="G2789" s="39" t="e">
        <f t="shared" si="5616"/>
        <v>#N/A</v>
      </c>
      <c r="H2789" s="16" t="e">
        <f t="shared" si="5616"/>
        <v>#N/A</v>
      </c>
      <c r="I2789" s="16" t="e">
        <f t="shared" si="5616"/>
        <v>#N/A</v>
      </c>
      <c r="J2789" s="40" t="e">
        <f t="shared" si="5616"/>
        <v>#N/A</v>
      </c>
      <c r="K2789" s="16" t="e">
        <f t="shared" si="5616"/>
        <v>#N/A</v>
      </c>
      <c r="L2789" s="40" t="e">
        <f t="shared" si="5441"/>
        <v>#N/A</v>
      </c>
      <c r="M2789" s="16" t="e">
        <f t="shared" si="5442"/>
        <v>#N/A</v>
      </c>
      <c r="N2789" s="16" t="e">
        <f t="shared" si="5443"/>
        <v>#N/A</v>
      </c>
      <c r="O2789" s="16" t="s">
        <v>73</v>
      </c>
      <c r="P2789" s="16" t="str">
        <f t="shared" si="6"/>
        <v/>
      </c>
      <c r="Q2789" s="41" t="e">
        <f t="shared" si="5444"/>
        <v>#N/A</v>
      </c>
      <c r="R2789" s="44"/>
      <c r="S2789" s="44"/>
      <c r="T2789" s="43"/>
      <c r="U2789" s="43" t="str">
        <f t="shared" si="8"/>
        <v>No</v>
      </c>
      <c r="V2789" s="25"/>
      <c r="W2789" s="25"/>
      <c r="X2789" s="25"/>
      <c r="Y2789" s="25"/>
      <c r="Z2789" s="25"/>
    </row>
    <row r="2790" spans="1:26" ht="15.75" customHeight="1" x14ac:dyDescent="0.25">
      <c r="A2790" s="25">
        <v>2788</v>
      </c>
      <c r="B2790" s="37" t="e">
        <f t="shared" ref="B2790:D2790" si="5617">VLOOKUP($A2790,[9]Hacienda!$A$1:$O$285,B$1,0)</f>
        <v>#N/A</v>
      </c>
      <c r="C2790" s="38" t="e">
        <f t="shared" si="5617"/>
        <v>#N/A</v>
      </c>
      <c r="D2790" s="39" t="e">
        <f t="shared" si="5617"/>
        <v>#N/A</v>
      </c>
      <c r="E2790" s="16" t="e">
        <f t="shared" si="1"/>
        <v>#N/A</v>
      </c>
      <c r="F2790" s="16" t="e">
        <f t="shared" ref="F2790:K2790" si="5618">VLOOKUP($A2790,[9]Hacienda!$A$1:$O$285,F$1,0)</f>
        <v>#N/A</v>
      </c>
      <c r="G2790" s="39" t="e">
        <f t="shared" si="5618"/>
        <v>#N/A</v>
      </c>
      <c r="H2790" s="16" t="e">
        <f t="shared" si="5618"/>
        <v>#N/A</v>
      </c>
      <c r="I2790" s="16" t="e">
        <f t="shared" si="5618"/>
        <v>#N/A</v>
      </c>
      <c r="J2790" s="40" t="e">
        <f t="shared" si="5618"/>
        <v>#N/A</v>
      </c>
      <c r="K2790" s="16" t="e">
        <f t="shared" si="5618"/>
        <v>#N/A</v>
      </c>
      <c r="L2790" s="40" t="e">
        <f t="shared" si="5441"/>
        <v>#N/A</v>
      </c>
      <c r="M2790" s="16" t="e">
        <f t="shared" si="5442"/>
        <v>#N/A</v>
      </c>
      <c r="N2790" s="16" t="e">
        <f t="shared" si="5443"/>
        <v>#N/A</v>
      </c>
      <c r="O2790" s="16" t="s">
        <v>73</v>
      </c>
      <c r="P2790" s="16" t="str">
        <f t="shared" si="6"/>
        <v/>
      </c>
      <c r="Q2790" s="41" t="e">
        <f t="shared" si="5444"/>
        <v>#N/A</v>
      </c>
      <c r="R2790" s="44"/>
      <c r="S2790" s="44"/>
      <c r="T2790" s="43"/>
      <c r="U2790" s="43" t="str">
        <f t="shared" si="8"/>
        <v>No</v>
      </c>
      <c r="V2790" s="25"/>
      <c r="W2790" s="25"/>
      <c r="X2790" s="25"/>
      <c r="Y2790" s="25"/>
      <c r="Z2790" s="25"/>
    </row>
    <row r="2791" spans="1:26" ht="15.75" customHeight="1" x14ac:dyDescent="0.25">
      <c r="A2791" s="25">
        <v>2789</v>
      </c>
      <c r="B2791" s="37" t="e">
        <f t="shared" ref="B2791:D2791" si="5619">VLOOKUP($A2791,[9]Hacienda!$A$1:$O$285,B$1,0)</f>
        <v>#N/A</v>
      </c>
      <c r="C2791" s="38" t="e">
        <f t="shared" si="5619"/>
        <v>#N/A</v>
      </c>
      <c r="D2791" s="39" t="e">
        <f t="shared" si="5619"/>
        <v>#N/A</v>
      </c>
      <c r="E2791" s="16" t="e">
        <f t="shared" si="1"/>
        <v>#N/A</v>
      </c>
      <c r="F2791" s="16" t="e">
        <f t="shared" ref="F2791:K2791" si="5620">VLOOKUP($A2791,[9]Hacienda!$A$1:$O$285,F$1,0)</f>
        <v>#N/A</v>
      </c>
      <c r="G2791" s="39" t="e">
        <f t="shared" si="5620"/>
        <v>#N/A</v>
      </c>
      <c r="H2791" s="16" t="e">
        <f t="shared" si="5620"/>
        <v>#N/A</v>
      </c>
      <c r="I2791" s="16" t="e">
        <f t="shared" si="5620"/>
        <v>#N/A</v>
      </c>
      <c r="J2791" s="40" t="e">
        <f t="shared" si="5620"/>
        <v>#N/A</v>
      </c>
      <c r="K2791" s="16" t="e">
        <f t="shared" si="5620"/>
        <v>#N/A</v>
      </c>
      <c r="L2791" s="40" t="e">
        <f t="shared" si="5441"/>
        <v>#N/A</v>
      </c>
      <c r="M2791" s="16" t="e">
        <f t="shared" si="5442"/>
        <v>#N/A</v>
      </c>
      <c r="N2791" s="16" t="e">
        <f t="shared" si="5443"/>
        <v>#N/A</v>
      </c>
      <c r="O2791" s="16" t="s">
        <v>73</v>
      </c>
      <c r="P2791" s="16" t="str">
        <f t="shared" si="6"/>
        <v/>
      </c>
      <c r="Q2791" s="41" t="e">
        <f t="shared" si="5444"/>
        <v>#N/A</v>
      </c>
      <c r="R2791" s="44"/>
      <c r="S2791" s="44"/>
      <c r="T2791" s="43"/>
      <c r="U2791" s="43" t="str">
        <f t="shared" si="8"/>
        <v>No</v>
      </c>
      <c r="V2791" s="25"/>
      <c r="W2791" s="25"/>
      <c r="X2791" s="25"/>
      <c r="Y2791" s="25"/>
      <c r="Z2791" s="25"/>
    </row>
    <row r="2792" spans="1:26" ht="15.75" customHeight="1" x14ac:dyDescent="0.25">
      <c r="A2792" s="25">
        <v>2790</v>
      </c>
      <c r="B2792" s="37" t="e">
        <f t="shared" ref="B2792:D2792" si="5621">VLOOKUP($A2792,[9]Hacienda!$A$1:$O$285,B$1,0)</f>
        <v>#N/A</v>
      </c>
      <c r="C2792" s="38" t="e">
        <f t="shared" si="5621"/>
        <v>#N/A</v>
      </c>
      <c r="D2792" s="39" t="e">
        <f t="shared" si="5621"/>
        <v>#N/A</v>
      </c>
      <c r="E2792" s="16" t="e">
        <f t="shared" si="1"/>
        <v>#N/A</v>
      </c>
      <c r="F2792" s="16" t="e">
        <f t="shared" ref="F2792:K2792" si="5622">VLOOKUP($A2792,[9]Hacienda!$A$1:$O$285,F$1,0)</f>
        <v>#N/A</v>
      </c>
      <c r="G2792" s="39" t="e">
        <f t="shared" si="5622"/>
        <v>#N/A</v>
      </c>
      <c r="H2792" s="16" t="e">
        <f t="shared" si="5622"/>
        <v>#N/A</v>
      </c>
      <c r="I2792" s="16" t="e">
        <f t="shared" si="5622"/>
        <v>#N/A</v>
      </c>
      <c r="J2792" s="40" t="e">
        <f t="shared" si="5622"/>
        <v>#N/A</v>
      </c>
      <c r="K2792" s="16" t="e">
        <f t="shared" si="5622"/>
        <v>#N/A</v>
      </c>
      <c r="L2792" s="40" t="e">
        <f t="shared" si="5441"/>
        <v>#N/A</v>
      </c>
      <c r="M2792" s="16" t="e">
        <f t="shared" si="5442"/>
        <v>#N/A</v>
      </c>
      <c r="N2792" s="16" t="e">
        <f t="shared" si="5443"/>
        <v>#N/A</v>
      </c>
      <c r="O2792" s="16" t="s">
        <v>73</v>
      </c>
      <c r="P2792" s="16" t="str">
        <f t="shared" si="6"/>
        <v/>
      </c>
      <c r="Q2792" s="41" t="e">
        <f t="shared" si="5444"/>
        <v>#N/A</v>
      </c>
      <c r="R2792" s="44"/>
      <c r="S2792" s="44"/>
      <c r="T2792" s="43"/>
      <c r="U2792" s="43" t="str">
        <f t="shared" si="8"/>
        <v>No</v>
      </c>
      <c r="V2792" s="25"/>
      <c r="W2792" s="25"/>
      <c r="X2792" s="25"/>
      <c r="Y2792" s="25"/>
      <c r="Z2792" s="25"/>
    </row>
    <row r="2793" spans="1:26" ht="15.75" customHeight="1" x14ac:dyDescent="0.25">
      <c r="A2793" s="25">
        <v>2791</v>
      </c>
      <c r="B2793" s="37" t="e">
        <f t="shared" ref="B2793:D2793" si="5623">VLOOKUP($A2793,[9]Hacienda!$A$1:$O$285,B$1,0)</f>
        <v>#N/A</v>
      </c>
      <c r="C2793" s="38" t="e">
        <f t="shared" si="5623"/>
        <v>#N/A</v>
      </c>
      <c r="D2793" s="39" t="e">
        <f t="shared" si="5623"/>
        <v>#N/A</v>
      </c>
      <c r="E2793" s="16" t="e">
        <f t="shared" si="1"/>
        <v>#N/A</v>
      </c>
      <c r="F2793" s="16" t="e">
        <f t="shared" ref="F2793:K2793" si="5624">VLOOKUP($A2793,[9]Hacienda!$A$1:$O$285,F$1,0)</f>
        <v>#N/A</v>
      </c>
      <c r="G2793" s="39" t="e">
        <f t="shared" si="5624"/>
        <v>#N/A</v>
      </c>
      <c r="H2793" s="16" t="e">
        <f t="shared" si="5624"/>
        <v>#N/A</v>
      </c>
      <c r="I2793" s="16" t="e">
        <f t="shared" si="5624"/>
        <v>#N/A</v>
      </c>
      <c r="J2793" s="40" t="e">
        <f t="shared" si="5624"/>
        <v>#N/A</v>
      </c>
      <c r="K2793" s="16" t="e">
        <f t="shared" si="5624"/>
        <v>#N/A</v>
      </c>
      <c r="L2793" s="40" t="e">
        <f t="shared" si="5441"/>
        <v>#N/A</v>
      </c>
      <c r="M2793" s="16" t="e">
        <f t="shared" si="5442"/>
        <v>#N/A</v>
      </c>
      <c r="N2793" s="16" t="e">
        <f t="shared" si="5443"/>
        <v>#N/A</v>
      </c>
      <c r="O2793" s="16" t="s">
        <v>73</v>
      </c>
      <c r="P2793" s="16" t="str">
        <f t="shared" si="6"/>
        <v/>
      </c>
      <c r="Q2793" s="41" t="e">
        <f t="shared" si="5444"/>
        <v>#N/A</v>
      </c>
      <c r="R2793" s="44"/>
      <c r="S2793" s="44"/>
      <c r="T2793" s="43"/>
      <c r="U2793" s="43" t="str">
        <f t="shared" si="8"/>
        <v>No</v>
      </c>
      <c r="V2793" s="25"/>
      <c r="W2793" s="25"/>
      <c r="X2793" s="25"/>
      <c r="Y2793" s="25"/>
      <c r="Z2793" s="25"/>
    </row>
    <row r="2794" spans="1:26" ht="15.75" customHeight="1" x14ac:dyDescent="0.25">
      <c r="A2794" s="25">
        <v>2792</v>
      </c>
      <c r="B2794" s="37" t="e">
        <f t="shared" ref="B2794:D2794" si="5625">VLOOKUP($A2794,[9]Hacienda!$A$1:$O$285,B$1,0)</f>
        <v>#N/A</v>
      </c>
      <c r="C2794" s="38" t="e">
        <f t="shared" si="5625"/>
        <v>#N/A</v>
      </c>
      <c r="D2794" s="39" t="e">
        <f t="shared" si="5625"/>
        <v>#N/A</v>
      </c>
      <c r="E2794" s="16" t="e">
        <f t="shared" si="1"/>
        <v>#N/A</v>
      </c>
      <c r="F2794" s="16" t="e">
        <f t="shared" ref="F2794:K2794" si="5626">VLOOKUP($A2794,[9]Hacienda!$A$1:$O$285,F$1,0)</f>
        <v>#N/A</v>
      </c>
      <c r="G2794" s="39" t="e">
        <f t="shared" si="5626"/>
        <v>#N/A</v>
      </c>
      <c r="H2794" s="16" t="e">
        <f t="shared" si="5626"/>
        <v>#N/A</v>
      </c>
      <c r="I2794" s="16" t="e">
        <f t="shared" si="5626"/>
        <v>#N/A</v>
      </c>
      <c r="J2794" s="40" t="e">
        <f t="shared" si="5626"/>
        <v>#N/A</v>
      </c>
      <c r="K2794" s="16" t="e">
        <f t="shared" si="5626"/>
        <v>#N/A</v>
      </c>
      <c r="L2794" s="40" t="e">
        <f t="shared" si="5441"/>
        <v>#N/A</v>
      </c>
      <c r="M2794" s="16" t="e">
        <f t="shared" si="5442"/>
        <v>#N/A</v>
      </c>
      <c r="N2794" s="16" t="e">
        <f t="shared" si="5443"/>
        <v>#N/A</v>
      </c>
      <c r="O2794" s="16" t="s">
        <v>73</v>
      </c>
      <c r="P2794" s="16" t="str">
        <f t="shared" si="6"/>
        <v/>
      </c>
      <c r="Q2794" s="41" t="e">
        <f t="shared" si="5444"/>
        <v>#N/A</v>
      </c>
      <c r="R2794" s="44"/>
      <c r="S2794" s="44"/>
      <c r="T2794" s="43"/>
      <c r="U2794" s="43" t="str">
        <f t="shared" si="8"/>
        <v>No</v>
      </c>
      <c r="V2794" s="25"/>
      <c r="W2794" s="25"/>
      <c r="X2794" s="25"/>
      <c r="Y2794" s="25"/>
      <c r="Z2794" s="25"/>
    </row>
    <row r="2795" spans="1:26" ht="15.75" customHeight="1" x14ac:dyDescent="0.25">
      <c r="A2795" s="25">
        <v>2793</v>
      </c>
      <c r="B2795" s="37" t="e">
        <f t="shared" ref="B2795:D2795" si="5627">VLOOKUP($A2795,[9]Hacienda!$A$1:$O$285,B$1,0)</f>
        <v>#N/A</v>
      </c>
      <c r="C2795" s="38" t="e">
        <f t="shared" si="5627"/>
        <v>#N/A</v>
      </c>
      <c r="D2795" s="39" t="e">
        <f t="shared" si="5627"/>
        <v>#N/A</v>
      </c>
      <c r="E2795" s="16" t="e">
        <f t="shared" si="1"/>
        <v>#N/A</v>
      </c>
      <c r="F2795" s="16" t="e">
        <f t="shared" ref="F2795:K2795" si="5628">VLOOKUP($A2795,[9]Hacienda!$A$1:$O$285,F$1,0)</f>
        <v>#N/A</v>
      </c>
      <c r="G2795" s="39" t="e">
        <f t="shared" si="5628"/>
        <v>#N/A</v>
      </c>
      <c r="H2795" s="16" t="e">
        <f t="shared" si="5628"/>
        <v>#N/A</v>
      </c>
      <c r="I2795" s="16" t="e">
        <f t="shared" si="5628"/>
        <v>#N/A</v>
      </c>
      <c r="J2795" s="40" t="e">
        <f t="shared" si="5628"/>
        <v>#N/A</v>
      </c>
      <c r="K2795" s="16" t="e">
        <f t="shared" si="5628"/>
        <v>#N/A</v>
      </c>
      <c r="L2795" s="40" t="e">
        <f t="shared" si="5441"/>
        <v>#N/A</v>
      </c>
      <c r="M2795" s="16" t="e">
        <f t="shared" si="5442"/>
        <v>#N/A</v>
      </c>
      <c r="N2795" s="16" t="e">
        <f t="shared" si="5443"/>
        <v>#N/A</v>
      </c>
      <c r="O2795" s="16" t="s">
        <v>73</v>
      </c>
      <c r="P2795" s="16" t="str">
        <f t="shared" si="6"/>
        <v/>
      </c>
      <c r="Q2795" s="41" t="e">
        <f t="shared" si="5444"/>
        <v>#N/A</v>
      </c>
      <c r="R2795" s="44"/>
      <c r="S2795" s="44"/>
      <c r="T2795" s="43"/>
      <c r="U2795" s="43" t="str">
        <f t="shared" si="8"/>
        <v>No</v>
      </c>
      <c r="V2795" s="25"/>
      <c r="W2795" s="25"/>
      <c r="X2795" s="25"/>
      <c r="Y2795" s="25"/>
      <c r="Z2795" s="25"/>
    </row>
    <row r="2796" spans="1:26" ht="15.75" customHeight="1" x14ac:dyDescent="0.25">
      <c r="A2796" s="25">
        <v>2794</v>
      </c>
      <c r="B2796" s="37" t="e">
        <f t="shared" ref="B2796:D2796" si="5629">VLOOKUP($A2796,[9]Hacienda!$A$1:$O$285,B$1,0)</f>
        <v>#N/A</v>
      </c>
      <c r="C2796" s="38" t="e">
        <f t="shared" si="5629"/>
        <v>#N/A</v>
      </c>
      <c r="D2796" s="39" t="e">
        <f t="shared" si="5629"/>
        <v>#N/A</v>
      </c>
      <c r="E2796" s="16" t="e">
        <f t="shared" si="1"/>
        <v>#N/A</v>
      </c>
      <c r="F2796" s="16" t="e">
        <f t="shared" ref="F2796:K2796" si="5630">VLOOKUP($A2796,[9]Hacienda!$A$1:$O$285,F$1,0)</f>
        <v>#N/A</v>
      </c>
      <c r="G2796" s="39" t="e">
        <f t="shared" si="5630"/>
        <v>#N/A</v>
      </c>
      <c r="H2796" s="16" t="e">
        <f t="shared" si="5630"/>
        <v>#N/A</v>
      </c>
      <c r="I2796" s="16" t="e">
        <f t="shared" si="5630"/>
        <v>#N/A</v>
      </c>
      <c r="J2796" s="40" t="e">
        <f t="shared" si="5630"/>
        <v>#N/A</v>
      </c>
      <c r="K2796" s="16" t="e">
        <f t="shared" si="5630"/>
        <v>#N/A</v>
      </c>
      <c r="L2796" s="40" t="e">
        <f t="shared" si="5441"/>
        <v>#N/A</v>
      </c>
      <c r="M2796" s="16" t="e">
        <f t="shared" si="5442"/>
        <v>#N/A</v>
      </c>
      <c r="N2796" s="16" t="e">
        <f t="shared" si="5443"/>
        <v>#N/A</v>
      </c>
      <c r="O2796" s="16" t="s">
        <v>73</v>
      </c>
      <c r="P2796" s="16" t="str">
        <f t="shared" si="6"/>
        <v/>
      </c>
      <c r="Q2796" s="41" t="e">
        <f t="shared" si="5444"/>
        <v>#N/A</v>
      </c>
      <c r="R2796" s="44"/>
      <c r="S2796" s="44"/>
      <c r="T2796" s="43"/>
      <c r="U2796" s="43" t="str">
        <f t="shared" si="8"/>
        <v>No</v>
      </c>
      <c r="V2796" s="25"/>
      <c r="W2796" s="25"/>
      <c r="X2796" s="25"/>
      <c r="Y2796" s="25"/>
      <c r="Z2796" s="25"/>
    </row>
    <row r="2797" spans="1:26" ht="15.75" customHeight="1" x14ac:dyDescent="0.25">
      <c r="A2797" s="25">
        <v>2795</v>
      </c>
      <c r="B2797" s="37" t="e">
        <f t="shared" ref="B2797:D2797" si="5631">VLOOKUP($A2797,[9]Hacienda!$A$1:$O$285,B$1,0)</f>
        <v>#N/A</v>
      </c>
      <c r="C2797" s="38" t="e">
        <f t="shared" si="5631"/>
        <v>#N/A</v>
      </c>
      <c r="D2797" s="39" t="e">
        <f t="shared" si="5631"/>
        <v>#N/A</v>
      </c>
      <c r="E2797" s="16" t="e">
        <f t="shared" si="1"/>
        <v>#N/A</v>
      </c>
      <c r="F2797" s="16" t="e">
        <f t="shared" ref="F2797:K2797" si="5632">VLOOKUP($A2797,[9]Hacienda!$A$1:$O$285,F$1,0)</f>
        <v>#N/A</v>
      </c>
      <c r="G2797" s="39" t="e">
        <f t="shared" si="5632"/>
        <v>#N/A</v>
      </c>
      <c r="H2797" s="16" t="e">
        <f t="shared" si="5632"/>
        <v>#N/A</v>
      </c>
      <c r="I2797" s="16" t="e">
        <f t="shared" si="5632"/>
        <v>#N/A</v>
      </c>
      <c r="J2797" s="40" t="e">
        <f t="shared" si="5632"/>
        <v>#N/A</v>
      </c>
      <c r="K2797" s="16" t="e">
        <f t="shared" si="5632"/>
        <v>#N/A</v>
      </c>
      <c r="L2797" s="40" t="e">
        <f t="shared" si="5441"/>
        <v>#N/A</v>
      </c>
      <c r="M2797" s="16" t="e">
        <f t="shared" si="5442"/>
        <v>#N/A</v>
      </c>
      <c r="N2797" s="16" t="e">
        <f t="shared" si="5443"/>
        <v>#N/A</v>
      </c>
      <c r="O2797" s="16" t="s">
        <v>73</v>
      </c>
      <c r="P2797" s="16" t="str">
        <f t="shared" si="6"/>
        <v/>
      </c>
      <c r="Q2797" s="41" t="e">
        <f t="shared" si="5444"/>
        <v>#N/A</v>
      </c>
      <c r="R2797" s="44"/>
      <c r="S2797" s="44"/>
      <c r="T2797" s="43"/>
      <c r="U2797" s="43" t="str">
        <f t="shared" si="8"/>
        <v>No</v>
      </c>
      <c r="V2797" s="25"/>
      <c r="W2797" s="25"/>
      <c r="X2797" s="25"/>
      <c r="Y2797" s="25"/>
      <c r="Z2797" s="25"/>
    </row>
    <row r="2798" spans="1:26" ht="15.75" customHeight="1" x14ac:dyDescent="0.25">
      <c r="A2798" s="25">
        <v>2796</v>
      </c>
      <c r="B2798" s="37" t="e">
        <f t="shared" ref="B2798:D2798" si="5633">VLOOKUP($A2798,[9]Hacienda!$A$1:$O$285,B$1,0)</f>
        <v>#N/A</v>
      </c>
      <c r="C2798" s="38" t="e">
        <f t="shared" si="5633"/>
        <v>#N/A</v>
      </c>
      <c r="D2798" s="39" t="e">
        <f t="shared" si="5633"/>
        <v>#N/A</v>
      </c>
      <c r="E2798" s="16" t="e">
        <f t="shared" si="1"/>
        <v>#N/A</v>
      </c>
      <c r="F2798" s="16" t="e">
        <f t="shared" ref="F2798:K2798" si="5634">VLOOKUP($A2798,[9]Hacienda!$A$1:$O$285,F$1,0)</f>
        <v>#N/A</v>
      </c>
      <c r="G2798" s="39" t="e">
        <f t="shared" si="5634"/>
        <v>#N/A</v>
      </c>
      <c r="H2798" s="16" t="e">
        <f t="shared" si="5634"/>
        <v>#N/A</v>
      </c>
      <c r="I2798" s="16" t="e">
        <f t="shared" si="5634"/>
        <v>#N/A</v>
      </c>
      <c r="J2798" s="40" t="e">
        <f t="shared" si="5634"/>
        <v>#N/A</v>
      </c>
      <c r="K2798" s="16" t="e">
        <f t="shared" si="5634"/>
        <v>#N/A</v>
      </c>
      <c r="L2798" s="40" t="e">
        <f t="shared" si="5441"/>
        <v>#N/A</v>
      </c>
      <c r="M2798" s="16" t="e">
        <f t="shared" si="5442"/>
        <v>#N/A</v>
      </c>
      <c r="N2798" s="16" t="e">
        <f t="shared" si="5443"/>
        <v>#N/A</v>
      </c>
      <c r="O2798" s="16" t="s">
        <v>73</v>
      </c>
      <c r="P2798" s="16" t="str">
        <f t="shared" si="6"/>
        <v/>
      </c>
      <c r="Q2798" s="41" t="e">
        <f t="shared" si="5444"/>
        <v>#N/A</v>
      </c>
      <c r="R2798" s="44"/>
      <c r="S2798" s="44"/>
      <c r="T2798" s="43"/>
      <c r="U2798" s="43" t="str">
        <f t="shared" si="8"/>
        <v>No</v>
      </c>
      <c r="V2798" s="25"/>
      <c r="W2798" s="25"/>
      <c r="X2798" s="25"/>
      <c r="Y2798" s="25"/>
      <c r="Z2798" s="25"/>
    </row>
    <row r="2799" spans="1:26" ht="15.75" customHeight="1" x14ac:dyDescent="0.25">
      <c r="A2799" s="25">
        <v>2797</v>
      </c>
      <c r="B2799" s="37" t="e">
        <f t="shared" ref="B2799:D2799" si="5635">VLOOKUP($A2799,[9]Hacienda!$A$1:$O$285,B$1,0)</f>
        <v>#N/A</v>
      </c>
      <c r="C2799" s="38" t="e">
        <f t="shared" si="5635"/>
        <v>#N/A</v>
      </c>
      <c r="D2799" s="39" t="e">
        <f t="shared" si="5635"/>
        <v>#N/A</v>
      </c>
      <c r="E2799" s="16" t="e">
        <f t="shared" si="1"/>
        <v>#N/A</v>
      </c>
      <c r="F2799" s="16" t="e">
        <f t="shared" ref="F2799:K2799" si="5636">VLOOKUP($A2799,[9]Hacienda!$A$1:$O$285,F$1,0)</f>
        <v>#N/A</v>
      </c>
      <c r="G2799" s="39" t="e">
        <f t="shared" si="5636"/>
        <v>#N/A</v>
      </c>
      <c r="H2799" s="16" t="e">
        <f t="shared" si="5636"/>
        <v>#N/A</v>
      </c>
      <c r="I2799" s="16" t="e">
        <f t="shared" si="5636"/>
        <v>#N/A</v>
      </c>
      <c r="J2799" s="40" t="e">
        <f t="shared" si="5636"/>
        <v>#N/A</v>
      </c>
      <c r="K2799" s="16" t="e">
        <f t="shared" si="5636"/>
        <v>#N/A</v>
      </c>
      <c r="L2799" s="40" t="e">
        <f t="shared" si="5441"/>
        <v>#N/A</v>
      </c>
      <c r="M2799" s="16" t="e">
        <f t="shared" si="5442"/>
        <v>#N/A</v>
      </c>
      <c r="N2799" s="16" t="e">
        <f t="shared" si="5443"/>
        <v>#N/A</v>
      </c>
      <c r="O2799" s="16" t="s">
        <v>73</v>
      </c>
      <c r="P2799" s="16" t="str">
        <f t="shared" si="6"/>
        <v/>
      </c>
      <c r="Q2799" s="41" t="e">
        <f t="shared" si="5444"/>
        <v>#N/A</v>
      </c>
      <c r="R2799" s="44"/>
      <c r="S2799" s="44"/>
      <c r="T2799" s="43"/>
      <c r="U2799" s="43" t="str">
        <f t="shared" si="8"/>
        <v>No</v>
      </c>
      <c r="V2799" s="25"/>
      <c r="W2799" s="25"/>
      <c r="X2799" s="25"/>
      <c r="Y2799" s="25"/>
      <c r="Z2799" s="25"/>
    </row>
    <row r="2800" spans="1:26" ht="15.75" customHeight="1" x14ac:dyDescent="0.25">
      <c r="A2800" s="25">
        <v>2798</v>
      </c>
      <c r="B2800" s="37" t="e">
        <f t="shared" ref="B2800:D2800" si="5637">VLOOKUP($A2800,[9]Hacienda!$A$1:$O$285,B$1,0)</f>
        <v>#N/A</v>
      </c>
      <c r="C2800" s="38" t="e">
        <f t="shared" si="5637"/>
        <v>#N/A</v>
      </c>
      <c r="D2800" s="39" t="e">
        <f t="shared" si="5637"/>
        <v>#N/A</v>
      </c>
      <c r="E2800" s="16" t="e">
        <f t="shared" si="1"/>
        <v>#N/A</v>
      </c>
      <c r="F2800" s="16" t="e">
        <f t="shared" ref="F2800:K2800" si="5638">VLOOKUP($A2800,[9]Hacienda!$A$1:$O$285,F$1,0)</f>
        <v>#N/A</v>
      </c>
      <c r="G2800" s="39" t="e">
        <f t="shared" si="5638"/>
        <v>#N/A</v>
      </c>
      <c r="H2800" s="16" t="e">
        <f t="shared" si="5638"/>
        <v>#N/A</v>
      </c>
      <c r="I2800" s="16" t="e">
        <f t="shared" si="5638"/>
        <v>#N/A</v>
      </c>
      <c r="J2800" s="40" t="e">
        <f t="shared" si="5638"/>
        <v>#N/A</v>
      </c>
      <c r="K2800" s="16" t="e">
        <f t="shared" si="5638"/>
        <v>#N/A</v>
      </c>
      <c r="L2800" s="40" t="e">
        <f t="shared" si="5441"/>
        <v>#N/A</v>
      </c>
      <c r="M2800" s="16" t="e">
        <f t="shared" si="5442"/>
        <v>#N/A</v>
      </c>
      <c r="N2800" s="16" t="e">
        <f t="shared" si="5443"/>
        <v>#N/A</v>
      </c>
      <c r="O2800" s="16" t="s">
        <v>73</v>
      </c>
      <c r="P2800" s="16" t="str">
        <f t="shared" si="6"/>
        <v/>
      </c>
      <c r="Q2800" s="41" t="e">
        <f t="shared" si="5444"/>
        <v>#N/A</v>
      </c>
      <c r="R2800" s="44"/>
      <c r="S2800" s="44"/>
      <c r="T2800" s="43"/>
      <c r="U2800" s="43" t="str">
        <f t="shared" si="8"/>
        <v>No</v>
      </c>
      <c r="V2800" s="25"/>
      <c r="W2800" s="25"/>
      <c r="X2800" s="25"/>
      <c r="Y2800" s="25"/>
      <c r="Z2800" s="25"/>
    </row>
    <row r="2801" spans="1:26" ht="15.75" customHeight="1" x14ac:dyDescent="0.25">
      <c r="A2801" s="25">
        <v>2799</v>
      </c>
      <c r="B2801" s="37" t="e">
        <f t="shared" ref="B2801:D2801" si="5639">VLOOKUP($A2801,[9]Hacienda!$A$1:$O$285,B$1,0)</f>
        <v>#N/A</v>
      </c>
      <c r="C2801" s="38" t="e">
        <f t="shared" si="5639"/>
        <v>#N/A</v>
      </c>
      <c r="D2801" s="39" t="e">
        <f t="shared" si="5639"/>
        <v>#N/A</v>
      </c>
      <c r="E2801" s="16" t="e">
        <f t="shared" si="1"/>
        <v>#N/A</v>
      </c>
      <c r="F2801" s="16" t="e">
        <f t="shared" ref="F2801:K2801" si="5640">VLOOKUP($A2801,[9]Hacienda!$A$1:$O$285,F$1,0)</f>
        <v>#N/A</v>
      </c>
      <c r="G2801" s="39" t="e">
        <f t="shared" si="5640"/>
        <v>#N/A</v>
      </c>
      <c r="H2801" s="16" t="e">
        <f t="shared" si="5640"/>
        <v>#N/A</v>
      </c>
      <c r="I2801" s="16" t="e">
        <f t="shared" si="5640"/>
        <v>#N/A</v>
      </c>
      <c r="J2801" s="40" t="e">
        <f t="shared" si="5640"/>
        <v>#N/A</v>
      </c>
      <c r="K2801" s="16" t="e">
        <f t="shared" si="5640"/>
        <v>#N/A</v>
      </c>
      <c r="L2801" s="40" t="e">
        <f t="shared" si="5441"/>
        <v>#N/A</v>
      </c>
      <c r="M2801" s="16" t="e">
        <f t="shared" si="5442"/>
        <v>#N/A</v>
      </c>
      <c r="N2801" s="16" t="e">
        <f t="shared" si="5443"/>
        <v>#N/A</v>
      </c>
      <c r="O2801" s="16" t="s">
        <v>73</v>
      </c>
      <c r="P2801" s="16" t="str">
        <f t="shared" si="6"/>
        <v/>
      </c>
      <c r="Q2801" s="41" t="e">
        <f t="shared" si="5444"/>
        <v>#N/A</v>
      </c>
      <c r="R2801" s="44"/>
      <c r="S2801" s="44"/>
      <c r="T2801" s="43"/>
      <c r="U2801" s="43" t="str">
        <f t="shared" si="8"/>
        <v>No</v>
      </c>
      <c r="V2801" s="25"/>
      <c r="W2801" s="25"/>
      <c r="X2801" s="25"/>
      <c r="Y2801" s="25"/>
      <c r="Z2801" s="25"/>
    </row>
    <row r="2802" spans="1:26" ht="15.75" customHeight="1" x14ac:dyDescent="0.25">
      <c r="A2802" s="25">
        <v>2800</v>
      </c>
      <c r="B2802" s="37" t="e">
        <f t="shared" ref="B2802:D2802" si="5641">VLOOKUP($A2802,[9]Hacienda!$A$1:$O$285,B$1,0)</f>
        <v>#N/A</v>
      </c>
      <c r="C2802" s="38" t="e">
        <f t="shared" si="5641"/>
        <v>#N/A</v>
      </c>
      <c r="D2802" s="39" t="e">
        <f t="shared" si="5641"/>
        <v>#N/A</v>
      </c>
      <c r="E2802" s="16" t="e">
        <f t="shared" si="1"/>
        <v>#N/A</v>
      </c>
      <c r="F2802" s="16" t="e">
        <f t="shared" ref="F2802:K2802" si="5642">VLOOKUP($A2802,[9]Hacienda!$A$1:$O$285,F$1,0)</f>
        <v>#N/A</v>
      </c>
      <c r="G2802" s="39" t="e">
        <f t="shared" si="5642"/>
        <v>#N/A</v>
      </c>
      <c r="H2802" s="16" t="e">
        <f t="shared" si="5642"/>
        <v>#N/A</v>
      </c>
      <c r="I2802" s="16" t="e">
        <f t="shared" si="5642"/>
        <v>#N/A</v>
      </c>
      <c r="J2802" s="40" t="e">
        <f t="shared" si="5642"/>
        <v>#N/A</v>
      </c>
      <c r="K2802" s="16" t="e">
        <f t="shared" si="5642"/>
        <v>#N/A</v>
      </c>
      <c r="L2802" s="40" t="e">
        <f t="shared" si="5441"/>
        <v>#N/A</v>
      </c>
      <c r="M2802" s="16" t="e">
        <f t="shared" si="5442"/>
        <v>#N/A</v>
      </c>
      <c r="N2802" s="16" t="e">
        <f t="shared" si="5443"/>
        <v>#N/A</v>
      </c>
      <c r="O2802" s="16" t="s">
        <v>73</v>
      </c>
      <c r="P2802" s="16" t="str">
        <f t="shared" si="6"/>
        <v/>
      </c>
      <c r="Q2802" s="41" t="e">
        <f t="shared" si="5444"/>
        <v>#N/A</v>
      </c>
      <c r="R2802" s="44"/>
      <c r="S2802" s="44"/>
      <c r="T2802" s="43"/>
      <c r="U2802" s="43" t="str">
        <f t="shared" si="8"/>
        <v>No</v>
      </c>
      <c r="V2802" s="25"/>
      <c r="W2802" s="25"/>
      <c r="X2802" s="25"/>
      <c r="Y2802" s="25"/>
      <c r="Z2802" s="25"/>
    </row>
    <row r="2803" spans="1:26" ht="15.75" customHeight="1" x14ac:dyDescent="0.25">
      <c r="A2803" s="25">
        <v>2801</v>
      </c>
      <c r="B2803" s="37" t="e">
        <f t="shared" ref="B2803:D2803" si="5643">VLOOKUP($A2803,[9]Hacienda!$A$1:$O$285,B$1,0)</f>
        <v>#N/A</v>
      </c>
      <c r="C2803" s="38" t="e">
        <f t="shared" si="5643"/>
        <v>#N/A</v>
      </c>
      <c r="D2803" s="39" t="e">
        <f t="shared" si="5643"/>
        <v>#N/A</v>
      </c>
      <c r="E2803" s="16" t="e">
        <f t="shared" si="1"/>
        <v>#N/A</v>
      </c>
      <c r="F2803" s="16" t="e">
        <f t="shared" ref="F2803:K2803" si="5644">VLOOKUP($A2803,[9]Hacienda!$A$1:$O$285,F$1,0)</f>
        <v>#N/A</v>
      </c>
      <c r="G2803" s="39" t="e">
        <f t="shared" si="5644"/>
        <v>#N/A</v>
      </c>
      <c r="H2803" s="16" t="e">
        <f t="shared" si="5644"/>
        <v>#N/A</v>
      </c>
      <c r="I2803" s="16" t="e">
        <f t="shared" si="5644"/>
        <v>#N/A</v>
      </c>
      <c r="J2803" s="40" t="e">
        <f t="shared" si="5644"/>
        <v>#N/A</v>
      </c>
      <c r="K2803" s="16" t="e">
        <f t="shared" si="5644"/>
        <v>#N/A</v>
      </c>
      <c r="L2803" s="40" t="e">
        <f t="shared" si="5441"/>
        <v>#N/A</v>
      </c>
      <c r="M2803" s="16" t="e">
        <f t="shared" si="5442"/>
        <v>#N/A</v>
      </c>
      <c r="N2803" s="16" t="e">
        <f t="shared" si="5443"/>
        <v>#N/A</v>
      </c>
      <c r="O2803" s="16" t="s">
        <v>73</v>
      </c>
      <c r="P2803" s="16" t="str">
        <f t="shared" si="6"/>
        <v/>
      </c>
      <c r="Q2803" s="41" t="e">
        <f t="shared" si="5444"/>
        <v>#N/A</v>
      </c>
      <c r="R2803" s="44"/>
      <c r="S2803" s="44"/>
      <c r="T2803" s="43"/>
      <c r="U2803" s="43" t="str">
        <f t="shared" si="8"/>
        <v>No</v>
      </c>
      <c r="V2803" s="25"/>
      <c r="W2803" s="25"/>
      <c r="X2803" s="25"/>
      <c r="Y2803" s="25"/>
      <c r="Z2803" s="25"/>
    </row>
    <row r="2804" spans="1:26" ht="15.75" customHeight="1" x14ac:dyDescent="0.25">
      <c r="A2804" s="25">
        <v>2802</v>
      </c>
      <c r="B2804" s="37" t="e">
        <f t="shared" ref="B2804:D2804" si="5645">VLOOKUP($A2804,[9]Hacienda!$A$1:$O$285,B$1,0)</f>
        <v>#N/A</v>
      </c>
      <c r="C2804" s="38" t="e">
        <f t="shared" si="5645"/>
        <v>#N/A</v>
      </c>
      <c r="D2804" s="39" t="e">
        <f t="shared" si="5645"/>
        <v>#N/A</v>
      </c>
      <c r="E2804" s="16" t="e">
        <f t="shared" si="1"/>
        <v>#N/A</v>
      </c>
      <c r="F2804" s="16" t="e">
        <f t="shared" ref="F2804:K2804" si="5646">VLOOKUP($A2804,[9]Hacienda!$A$1:$O$285,F$1,0)</f>
        <v>#N/A</v>
      </c>
      <c r="G2804" s="39" t="e">
        <f t="shared" si="5646"/>
        <v>#N/A</v>
      </c>
      <c r="H2804" s="16" t="e">
        <f t="shared" si="5646"/>
        <v>#N/A</v>
      </c>
      <c r="I2804" s="16" t="e">
        <f t="shared" si="5646"/>
        <v>#N/A</v>
      </c>
      <c r="J2804" s="40" t="e">
        <f t="shared" si="5646"/>
        <v>#N/A</v>
      </c>
      <c r="K2804" s="16" t="e">
        <f t="shared" si="5646"/>
        <v>#N/A</v>
      </c>
      <c r="L2804" s="40" t="e">
        <f t="shared" si="5441"/>
        <v>#N/A</v>
      </c>
      <c r="M2804" s="16" t="e">
        <f t="shared" si="5442"/>
        <v>#N/A</v>
      </c>
      <c r="N2804" s="16" t="e">
        <f t="shared" si="5443"/>
        <v>#N/A</v>
      </c>
      <c r="O2804" s="16" t="s">
        <v>73</v>
      </c>
      <c r="P2804" s="16" t="str">
        <f t="shared" si="6"/>
        <v/>
      </c>
      <c r="Q2804" s="41" t="e">
        <f t="shared" si="5444"/>
        <v>#N/A</v>
      </c>
      <c r="R2804" s="44"/>
      <c r="S2804" s="44"/>
      <c r="T2804" s="43"/>
      <c r="U2804" s="43" t="str">
        <f t="shared" si="8"/>
        <v>No</v>
      </c>
      <c r="V2804" s="25"/>
      <c r="W2804" s="25"/>
      <c r="X2804" s="25"/>
      <c r="Y2804" s="25"/>
      <c r="Z2804" s="25"/>
    </row>
    <row r="2805" spans="1:26" ht="15.75" customHeight="1" x14ac:dyDescent="0.25">
      <c r="A2805" s="25">
        <v>2803</v>
      </c>
      <c r="B2805" s="37" t="e">
        <f t="shared" ref="B2805:D2805" si="5647">VLOOKUP($A2805,[9]Hacienda!$A$1:$O$285,B$1,0)</f>
        <v>#N/A</v>
      </c>
      <c r="C2805" s="38" t="e">
        <f t="shared" si="5647"/>
        <v>#N/A</v>
      </c>
      <c r="D2805" s="39" t="e">
        <f t="shared" si="5647"/>
        <v>#N/A</v>
      </c>
      <c r="E2805" s="16" t="e">
        <f t="shared" si="1"/>
        <v>#N/A</v>
      </c>
      <c r="F2805" s="16" t="e">
        <f t="shared" ref="F2805:K2805" si="5648">VLOOKUP($A2805,[9]Hacienda!$A$1:$O$285,F$1,0)</f>
        <v>#N/A</v>
      </c>
      <c r="G2805" s="39" t="e">
        <f t="shared" si="5648"/>
        <v>#N/A</v>
      </c>
      <c r="H2805" s="16" t="e">
        <f t="shared" si="5648"/>
        <v>#N/A</v>
      </c>
      <c r="I2805" s="16" t="e">
        <f t="shared" si="5648"/>
        <v>#N/A</v>
      </c>
      <c r="J2805" s="40" t="e">
        <f t="shared" si="5648"/>
        <v>#N/A</v>
      </c>
      <c r="K2805" s="16" t="e">
        <f t="shared" si="5648"/>
        <v>#N/A</v>
      </c>
      <c r="L2805" s="40" t="e">
        <f t="shared" si="5441"/>
        <v>#N/A</v>
      </c>
      <c r="M2805" s="16" t="e">
        <f t="shared" si="5442"/>
        <v>#N/A</v>
      </c>
      <c r="N2805" s="16" t="e">
        <f t="shared" si="5443"/>
        <v>#N/A</v>
      </c>
      <c r="O2805" s="16" t="s">
        <v>73</v>
      </c>
      <c r="P2805" s="16" t="str">
        <f t="shared" si="6"/>
        <v/>
      </c>
      <c r="Q2805" s="41" t="e">
        <f t="shared" si="5444"/>
        <v>#N/A</v>
      </c>
      <c r="R2805" s="44"/>
      <c r="S2805" s="44"/>
      <c r="T2805" s="43"/>
      <c r="U2805" s="43" t="str">
        <f t="shared" si="8"/>
        <v>No</v>
      </c>
      <c r="V2805" s="25"/>
      <c r="W2805" s="25"/>
      <c r="X2805" s="25"/>
      <c r="Y2805" s="25"/>
      <c r="Z2805" s="25"/>
    </row>
    <row r="2806" spans="1:26" ht="15.75" customHeight="1" x14ac:dyDescent="0.25">
      <c r="A2806" s="25">
        <v>2804</v>
      </c>
      <c r="B2806" s="37" t="e">
        <f t="shared" ref="B2806:D2806" si="5649">VLOOKUP($A2806,[9]Hacienda!$A$1:$O$285,B$1,0)</f>
        <v>#N/A</v>
      </c>
      <c r="C2806" s="38" t="e">
        <f t="shared" si="5649"/>
        <v>#N/A</v>
      </c>
      <c r="D2806" s="39" t="e">
        <f t="shared" si="5649"/>
        <v>#N/A</v>
      </c>
      <c r="E2806" s="16" t="e">
        <f t="shared" si="1"/>
        <v>#N/A</v>
      </c>
      <c r="F2806" s="16" t="e">
        <f t="shared" ref="F2806:K2806" si="5650">VLOOKUP($A2806,[9]Hacienda!$A$1:$O$285,F$1,0)</f>
        <v>#N/A</v>
      </c>
      <c r="G2806" s="39" t="e">
        <f t="shared" si="5650"/>
        <v>#N/A</v>
      </c>
      <c r="H2806" s="16" t="e">
        <f t="shared" si="5650"/>
        <v>#N/A</v>
      </c>
      <c r="I2806" s="16" t="e">
        <f t="shared" si="5650"/>
        <v>#N/A</v>
      </c>
      <c r="J2806" s="40" t="e">
        <f t="shared" si="5650"/>
        <v>#N/A</v>
      </c>
      <c r="K2806" s="16" t="e">
        <f t="shared" si="5650"/>
        <v>#N/A</v>
      </c>
      <c r="L2806" s="40" t="e">
        <f t="shared" si="5441"/>
        <v>#N/A</v>
      </c>
      <c r="M2806" s="16" t="e">
        <f t="shared" si="5442"/>
        <v>#N/A</v>
      </c>
      <c r="N2806" s="16" t="e">
        <f t="shared" si="5443"/>
        <v>#N/A</v>
      </c>
      <c r="O2806" s="16" t="s">
        <v>73</v>
      </c>
      <c r="P2806" s="16" t="str">
        <f t="shared" si="6"/>
        <v/>
      </c>
      <c r="Q2806" s="41" t="e">
        <f t="shared" si="5444"/>
        <v>#N/A</v>
      </c>
      <c r="R2806" s="44"/>
      <c r="S2806" s="44"/>
      <c r="T2806" s="43"/>
      <c r="U2806" s="43" t="str">
        <f t="shared" si="8"/>
        <v>No</v>
      </c>
      <c r="V2806" s="25"/>
      <c r="W2806" s="25"/>
      <c r="X2806" s="25"/>
      <c r="Y2806" s="25"/>
      <c r="Z2806" s="25"/>
    </row>
    <row r="2807" spans="1:26" ht="15.75" customHeight="1" x14ac:dyDescent="0.25">
      <c r="A2807" s="25">
        <v>2805</v>
      </c>
      <c r="B2807" s="37" t="e">
        <f t="shared" ref="B2807:D2807" si="5651">VLOOKUP($A2807,[9]Hacienda!$A$1:$O$285,B$1,0)</f>
        <v>#N/A</v>
      </c>
      <c r="C2807" s="38" t="e">
        <f t="shared" si="5651"/>
        <v>#N/A</v>
      </c>
      <c r="D2807" s="39" t="e">
        <f t="shared" si="5651"/>
        <v>#N/A</v>
      </c>
      <c r="E2807" s="16" t="e">
        <f t="shared" si="1"/>
        <v>#N/A</v>
      </c>
      <c r="F2807" s="16" t="e">
        <f t="shared" ref="F2807:K2807" si="5652">VLOOKUP($A2807,[9]Hacienda!$A$1:$O$285,F$1,0)</f>
        <v>#N/A</v>
      </c>
      <c r="G2807" s="39" t="e">
        <f t="shared" si="5652"/>
        <v>#N/A</v>
      </c>
      <c r="H2807" s="16" t="e">
        <f t="shared" si="5652"/>
        <v>#N/A</v>
      </c>
      <c r="I2807" s="16" t="e">
        <f t="shared" si="5652"/>
        <v>#N/A</v>
      </c>
      <c r="J2807" s="40" t="e">
        <f t="shared" si="5652"/>
        <v>#N/A</v>
      </c>
      <c r="K2807" s="16" t="e">
        <f t="shared" si="5652"/>
        <v>#N/A</v>
      </c>
      <c r="L2807" s="40" t="e">
        <f t="shared" si="5441"/>
        <v>#N/A</v>
      </c>
      <c r="M2807" s="16" t="e">
        <f t="shared" si="5442"/>
        <v>#N/A</v>
      </c>
      <c r="N2807" s="16" t="e">
        <f t="shared" si="5443"/>
        <v>#N/A</v>
      </c>
      <c r="O2807" s="16" t="s">
        <v>73</v>
      </c>
      <c r="P2807" s="16" t="str">
        <f t="shared" si="6"/>
        <v/>
      </c>
      <c r="Q2807" s="41" t="e">
        <f t="shared" si="5444"/>
        <v>#N/A</v>
      </c>
      <c r="R2807" s="44"/>
      <c r="S2807" s="44"/>
      <c r="T2807" s="43"/>
      <c r="U2807" s="43" t="str">
        <f t="shared" si="8"/>
        <v>No</v>
      </c>
      <c r="V2807" s="25"/>
      <c r="W2807" s="25"/>
      <c r="X2807" s="25"/>
      <c r="Y2807" s="25"/>
      <c r="Z2807" s="25"/>
    </row>
    <row r="2808" spans="1:26" ht="15.75" customHeight="1" x14ac:dyDescent="0.25">
      <c r="A2808" s="25">
        <v>2806</v>
      </c>
      <c r="B2808" s="37" t="e">
        <f t="shared" ref="B2808:D2808" si="5653">VLOOKUP($A2808,[9]Hacienda!$A$1:$O$285,B$1,0)</f>
        <v>#N/A</v>
      </c>
      <c r="C2808" s="38" t="e">
        <f t="shared" si="5653"/>
        <v>#N/A</v>
      </c>
      <c r="D2808" s="39" t="e">
        <f t="shared" si="5653"/>
        <v>#N/A</v>
      </c>
      <c r="E2808" s="16" t="e">
        <f t="shared" si="1"/>
        <v>#N/A</v>
      </c>
      <c r="F2808" s="16" t="e">
        <f t="shared" ref="F2808:K2808" si="5654">VLOOKUP($A2808,[9]Hacienda!$A$1:$O$285,F$1,0)</f>
        <v>#N/A</v>
      </c>
      <c r="G2808" s="39" t="e">
        <f t="shared" si="5654"/>
        <v>#N/A</v>
      </c>
      <c r="H2808" s="16" t="e">
        <f t="shared" si="5654"/>
        <v>#N/A</v>
      </c>
      <c r="I2808" s="16" t="e">
        <f t="shared" si="5654"/>
        <v>#N/A</v>
      </c>
      <c r="J2808" s="40" t="e">
        <f t="shared" si="5654"/>
        <v>#N/A</v>
      </c>
      <c r="K2808" s="16" t="e">
        <f t="shared" si="5654"/>
        <v>#N/A</v>
      </c>
      <c r="L2808" s="40" t="e">
        <f t="shared" si="5441"/>
        <v>#N/A</v>
      </c>
      <c r="M2808" s="16" t="e">
        <f t="shared" si="5442"/>
        <v>#N/A</v>
      </c>
      <c r="N2808" s="16" t="e">
        <f t="shared" si="5443"/>
        <v>#N/A</v>
      </c>
      <c r="O2808" s="16" t="s">
        <v>73</v>
      </c>
      <c r="P2808" s="16" t="str">
        <f t="shared" si="6"/>
        <v/>
      </c>
      <c r="Q2808" s="41" t="e">
        <f t="shared" si="5444"/>
        <v>#N/A</v>
      </c>
      <c r="R2808" s="44"/>
      <c r="S2808" s="44"/>
      <c r="T2808" s="43"/>
      <c r="U2808" s="43" t="str">
        <f t="shared" si="8"/>
        <v>No</v>
      </c>
      <c r="V2808" s="25"/>
      <c r="W2808" s="25"/>
      <c r="X2808" s="25"/>
      <c r="Y2808" s="25"/>
      <c r="Z2808" s="25"/>
    </row>
    <row r="2809" spans="1:26" ht="15.75" customHeight="1" x14ac:dyDescent="0.25">
      <c r="A2809" s="25">
        <v>2807</v>
      </c>
      <c r="B2809" s="37" t="e">
        <f t="shared" ref="B2809:D2809" si="5655">VLOOKUP($A2809,[9]Hacienda!$A$1:$O$285,B$1,0)</f>
        <v>#N/A</v>
      </c>
      <c r="C2809" s="38" t="e">
        <f t="shared" si="5655"/>
        <v>#N/A</v>
      </c>
      <c r="D2809" s="39" t="e">
        <f t="shared" si="5655"/>
        <v>#N/A</v>
      </c>
      <c r="E2809" s="16" t="e">
        <f t="shared" si="1"/>
        <v>#N/A</v>
      </c>
      <c r="F2809" s="16" t="e">
        <f t="shared" ref="F2809:K2809" si="5656">VLOOKUP($A2809,[9]Hacienda!$A$1:$O$285,F$1,0)</f>
        <v>#N/A</v>
      </c>
      <c r="G2809" s="39" t="e">
        <f t="shared" si="5656"/>
        <v>#N/A</v>
      </c>
      <c r="H2809" s="16" t="e">
        <f t="shared" si="5656"/>
        <v>#N/A</v>
      </c>
      <c r="I2809" s="16" t="e">
        <f t="shared" si="5656"/>
        <v>#N/A</v>
      </c>
      <c r="J2809" s="40" t="e">
        <f t="shared" si="5656"/>
        <v>#N/A</v>
      </c>
      <c r="K2809" s="16" t="e">
        <f t="shared" si="5656"/>
        <v>#N/A</v>
      </c>
      <c r="L2809" s="40" t="e">
        <f t="shared" si="5441"/>
        <v>#N/A</v>
      </c>
      <c r="M2809" s="16" t="e">
        <f t="shared" si="5442"/>
        <v>#N/A</v>
      </c>
      <c r="N2809" s="16" t="e">
        <f t="shared" si="5443"/>
        <v>#N/A</v>
      </c>
      <c r="O2809" s="16" t="s">
        <v>73</v>
      </c>
      <c r="P2809" s="16" t="str">
        <f t="shared" si="6"/>
        <v/>
      </c>
      <c r="Q2809" s="41" t="e">
        <f t="shared" si="5444"/>
        <v>#N/A</v>
      </c>
      <c r="R2809" s="44"/>
      <c r="S2809" s="44"/>
      <c r="T2809" s="43"/>
      <c r="U2809" s="43" t="str">
        <f t="shared" si="8"/>
        <v>No</v>
      </c>
      <c r="V2809" s="25"/>
      <c r="W2809" s="25"/>
      <c r="X2809" s="25"/>
      <c r="Y2809" s="25"/>
      <c r="Z2809" s="25"/>
    </row>
    <row r="2810" spans="1:26" ht="15.75" customHeight="1" x14ac:dyDescent="0.25">
      <c r="A2810" s="25">
        <v>2808</v>
      </c>
      <c r="B2810" s="37" t="e">
        <f t="shared" ref="B2810:D2810" si="5657">VLOOKUP($A2810,[9]Hacienda!$A$1:$O$285,B$1,0)</f>
        <v>#N/A</v>
      </c>
      <c r="C2810" s="38" t="e">
        <f t="shared" si="5657"/>
        <v>#N/A</v>
      </c>
      <c r="D2810" s="39" t="e">
        <f t="shared" si="5657"/>
        <v>#N/A</v>
      </c>
      <c r="E2810" s="16" t="e">
        <f t="shared" si="1"/>
        <v>#N/A</v>
      </c>
      <c r="F2810" s="16" t="e">
        <f t="shared" ref="F2810:K2810" si="5658">VLOOKUP($A2810,[9]Hacienda!$A$1:$O$285,F$1,0)</f>
        <v>#N/A</v>
      </c>
      <c r="G2810" s="39" t="e">
        <f t="shared" si="5658"/>
        <v>#N/A</v>
      </c>
      <c r="H2810" s="16" t="e">
        <f t="shared" si="5658"/>
        <v>#N/A</v>
      </c>
      <c r="I2810" s="16" t="e">
        <f t="shared" si="5658"/>
        <v>#N/A</v>
      </c>
      <c r="J2810" s="40" t="e">
        <f t="shared" si="5658"/>
        <v>#N/A</v>
      </c>
      <c r="K2810" s="16" t="e">
        <f t="shared" si="5658"/>
        <v>#N/A</v>
      </c>
      <c r="L2810" s="40" t="e">
        <f t="shared" si="5441"/>
        <v>#N/A</v>
      </c>
      <c r="M2810" s="16" t="e">
        <f t="shared" si="5442"/>
        <v>#N/A</v>
      </c>
      <c r="N2810" s="16" t="e">
        <f t="shared" si="5443"/>
        <v>#N/A</v>
      </c>
      <c r="O2810" s="16" t="s">
        <v>73</v>
      </c>
      <c r="P2810" s="16" t="str">
        <f t="shared" si="6"/>
        <v/>
      </c>
      <c r="Q2810" s="41" t="e">
        <f t="shared" si="5444"/>
        <v>#N/A</v>
      </c>
      <c r="R2810" s="44"/>
      <c r="S2810" s="44"/>
      <c r="T2810" s="43"/>
      <c r="U2810" s="43" t="str">
        <f t="shared" si="8"/>
        <v>No</v>
      </c>
      <c r="V2810" s="25"/>
      <c r="W2810" s="25"/>
      <c r="X2810" s="25"/>
      <c r="Y2810" s="25"/>
      <c r="Z2810" s="25"/>
    </row>
    <row r="2811" spans="1:26" ht="15.75" customHeight="1" x14ac:dyDescent="0.25">
      <c r="A2811" s="25">
        <v>2809</v>
      </c>
      <c r="B2811" s="37" t="e">
        <f t="shared" ref="B2811:D2811" si="5659">VLOOKUP($A2811,[9]Hacienda!$A$1:$O$285,B$1,0)</f>
        <v>#N/A</v>
      </c>
      <c r="C2811" s="38" t="e">
        <f t="shared" si="5659"/>
        <v>#N/A</v>
      </c>
      <c r="D2811" s="39" t="e">
        <f t="shared" si="5659"/>
        <v>#N/A</v>
      </c>
      <c r="E2811" s="16" t="e">
        <f t="shared" si="1"/>
        <v>#N/A</v>
      </c>
      <c r="F2811" s="16" t="e">
        <f t="shared" ref="F2811:K2811" si="5660">VLOOKUP($A2811,[9]Hacienda!$A$1:$O$285,F$1,0)</f>
        <v>#N/A</v>
      </c>
      <c r="G2811" s="39" t="e">
        <f t="shared" si="5660"/>
        <v>#N/A</v>
      </c>
      <c r="H2811" s="16" t="e">
        <f t="shared" si="5660"/>
        <v>#N/A</v>
      </c>
      <c r="I2811" s="16" t="e">
        <f t="shared" si="5660"/>
        <v>#N/A</v>
      </c>
      <c r="J2811" s="40" t="e">
        <f t="shared" si="5660"/>
        <v>#N/A</v>
      </c>
      <c r="K2811" s="16" t="e">
        <f t="shared" si="5660"/>
        <v>#N/A</v>
      </c>
      <c r="L2811" s="40" t="e">
        <f t="shared" si="5441"/>
        <v>#N/A</v>
      </c>
      <c r="M2811" s="16" t="e">
        <f t="shared" si="5442"/>
        <v>#N/A</v>
      </c>
      <c r="N2811" s="16" t="e">
        <f t="shared" si="5443"/>
        <v>#N/A</v>
      </c>
      <c r="O2811" s="16" t="s">
        <v>73</v>
      </c>
      <c r="P2811" s="16" t="str">
        <f t="shared" si="6"/>
        <v/>
      </c>
      <c r="Q2811" s="41" t="e">
        <f t="shared" si="5444"/>
        <v>#N/A</v>
      </c>
      <c r="R2811" s="44"/>
      <c r="S2811" s="44"/>
      <c r="T2811" s="43"/>
      <c r="U2811" s="43" t="str">
        <f t="shared" si="8"/>
        <v>No</v>
      </c>
      <c r="V2811" s="25"/>
      <c r="W2811" s="25"/>
      <c r="X2811" s="25"/>
      <c r="Y2811" s="25"/>
      <c r="Z2811" s="25"/>
    </row>
    <row r="2812" spans="1:26" ht="15.75" customHeight="1" x14ac:dyDescent="0.25">
      <c r="A2812" s="25">
        <v>2810</v>
      </c>
      <c r="B2812" s="37" t="e">
        <f t="shared" ref="B2812:D2812" si="5661">VLOOKUP($A2812,[9]Hacienda!$A$1:$O$285,B$1,0)</f>
        <v>#N/A</v>
      </c>
      <c r="C2812" s="38" t="e">
        <f t="shared" si="5661"/>
        <v>#N/A</v>
      </c>
      <c r="D2812" s="39" t="e">
        <f t="shared" si="5661"/>
        <v>#N/A</v>
      </c>
      <c r="E2812" s="16" t="e">
        <f t="shared" si="1"/>
        <v>#N/A</v>
      </c>
      <c r="F2812" s="16" t="e">
        <f t="shared" ref="F2812:K2812" si="5662">VLOOKUP($A2812,[9]Hacienda!$A$1:$O$285,F$1,0)</f>
        <v>#N/A</v>
      </c>
      <c r="G2812" s="39" t="e">
        <f t="shared" si="5662"/>
        <v>#N/A</v>
      </c>
      <c r="H2812" s="16" t="e">
        <f t="shared" si="5662"/>
        <v>#N/A</v>
      </c>
      <c r="I2812" s="16" t="e">
        <f t="shared" si="5662"/>
        <v>#N/A</v>
      </c>
      <c r="J2812" s="40" t="e">
        <f t="shared" si="5662"/>
        <v>#N/A</v>
      </c>
      <c r="K2812" s="16" t="e">
        <f t="shared" si="5662"/>
        <v>#N/A</v>
      </c>
      <c r="L2812" s="40" t="e">
        <f t="shared" si="5441"/>
        <v>#N/A</v>
      </c>
      <c r="M2812" s="16" t="e">
        <f t="shared" si="5442"/>
        <v>#N/A</v>
      </c>
      <c r="N2812" s="16" t="e">
        <f t="shared" si="5443"/>
        <v>#N/A</v>
      </c>
      <c r="O2812" s="16" t="s">
        <v>73</v>
      </c>
      <c r="P2812" s="16" t="str">
        <f t="shared" si="6"/>
        <v/>
      </c>
      <c r="Q2812" s="41" t="e">
        <f t="shared" si="5444"/>
        <v>#N/A</v>
      </c>
      <c r="R2812" s="44"/>
      <c r="S2812" s="44"/>
      <c r="T2812" s="43"/>
      <c r="U2812" s="43" t="str">
        <f t="shared" si="8"/>
        <v>No</v>
      </c>
      <c r="V2812" s="25"/>
      <c r="W2812" s="25"/>
      <c r="X2812" s="25"/>
      <c r="Y2812" s="25"/>
      <c r="Z2812" s="25"/>
    </row>
    <row r="2813" spans="1:26" ht="15.75" customHeight="1" x14ac:dyDescent="0.25">
      <c r="A2813" s="25">
        <v>2811</v>
      </c>
      <c r="B2813" s="37" t="e">
        <f t="shared" ref="B2813:D2813" si="5663">VLOOKUP($A2813,[9]Hacienda!$A$1:$O$285,B$1,0)</f>
        <v>#N/A</v>
      </c>
      <c r="C2813" s="38" t="e">
        <f t="shared" si="5663"/>
        <v>#N/A</v>
      </c>
      <c r="D2813" s="39" t="e">
        <f t="shared" si="5663"/>
        <v>#N/A</v>
      </c>
      <c r="E2813" s="16" t="e">
        <f t="shared" si="1"/>
        <v>#N/A</v>
      </c>
      <c r="F2813" s="16" t="e">
        <f t="shared" ref="F2813:K2813" si="5664">VLOOKUP($A2813,[9]Hacienda!$A$1:$O$285,F$1,0)</f>
        <v>#N/A</v>
      </c>
      <c r="G2813" s="39" t="e">
        <f t="shared" si="5664"/>
        <v>#N/A</v>
      </c>
      <c r="H2813" s="16" t="e">
        <f t="shared" si="5664"/>
        <v>#N/A</v>
      </c>
      <c r="I2813" s="16" t="e">
        <f t="shared" si="5664"/>
        <v>#N/A</v>
      </c>
      <c r="J2813" s="40" t="e">
        <f t="shared" si="5664"/>
        <v>#N/A</v>
      </c>
      <c r="K2813" s="16" t="e">
        <f t="shared" si="5664"/>
        <v>#N/A</v>
      </c>
      <c r="L2813" s="40" t="e">
        <f t="shared" si="5441"/>
        <v>#N/A</v>
      </c>
      <c r="M2813" s="16" t="e">
        <f t="shared" si="5442"/>
        <v>#N/A</v>
      </c>
      <c r="N2813" s="16" t="e">
        <f t="shared" si="5443"/>
        <v>#N/A</v>
      </c>
      <c r="O2813" s="16" t="s">
        <v>73</v>
      </c>
      <c r="P2813" s="16" t="str">
        <f t="shared" si="6"/>
        <v/>
      </c>
      <c r="Q2813" s="41" t="e">
        <f t="shared" si="5444"/>
        <v>#N/A</v>
      </c>
      <c r="R2813" s="44"/>
      <c r="S2813" s="44"/>
      <c r="T2813" s="43"/>
      <c r="U2813" s="43" t="str">
        <f t="shared" si="8"/>
        <v>No</v>
      </c>
      <c r="V2813" s="25"/>
      <c r="W2813" s="25"/>
      <c r="X2813" s="25"/>
      <c r="Y2813" s="25"/>
      <c r="Z2813" s="25"/>
    </row>
    <row r="2814" spans="1:26" ht="15.75" customHeight="1" x14ac:dyDescent="0.25">
      <c r="A2814" s="25">
        <v>2812</v>
      </c>
      <c r="B2814" s="37" t="e">
        <f t="shared" ref="B2814:D2814" si="5665">VLOOKUP($A2814,[9]Hacienda!$A$1:$O$285,B$1,0)</f>
        <v>#N/A</v>
      </c>
      <c r="C2814" s="38" t="e">
        <f t="shared" si="5665"/>
        <v>#N/A</v>
      </c>
      <c r="D2814" s="39" t="e">
        <f t="shared" si="5665"/>
        <v>#N/A</v>
      </c>
      <c r="E2814" s="16" t="e">
        <f t="shared" si="1"/>
        <v>#N/A</v>
      </c>
      <c r="F2814" s="16" t="e">
        <f t="shared" ref="F2814:K2814" si="5666">VLOOKUP($A2814,[9]Hacienda!$A$1:$O$285,F$1,0)</f>
        <v>#N/A</v>
      </c>
      <c r="G2814" s="39" t="e">
        <f t="shared" si="5666"/>
        <v>#N/A</v>
      </c>
      <c r="H2814" s="16" t="e">
        <f t="shared" si="5666"/>
        <v>#N/A</v>
      </c>
      <c r="I2814" s="16" t="e">
        <f t="shared" si="5666"/>
        <v>#N/A</v>
      </c>
      <c r="J2814" s="40" t="e">
        <f t="shared" si="5666"/>
        <v>#N/A</v>
      </c>
      <c r="K2814" s="16" t="e">
        <f t="shared" si="5666"/>
        <v>#N/A</v>
      </c>
      <c r="L2814" s="40" t="e">
        <f t="shared" si="5441"/>
        <v>#N/A</v>
      </c>
      <c r="M2814" s="16" t="e">
        <f t="shared" si="5442"/>
        <v>#N/A</v>
      </c>
      <c r="N2814" s="16" t="e">
        <f t="shared" si="5443"/>
        <v>#N/A</v>
      </c>
      <c r="O2814" s="16" t="s">
        <v>73</v>
      </c>
      <c r="P2814" s="16" t="str">
        <f t="shared" si="6"/>
        <v/>
      </c>
      <c r="Q2814" s="41" t="e">
        <f t="shared" si="5444"/>
        <v>#N/A</v>
      </c>
      <c r="R2814" s="44"/>
      <c r="S2814" s="44"/>
      <c r="T2814" s="43"/>
      <c r="U2814" s="43" t="str">
        <f t="shared" si="8"/>
        <v>No</v>
      </c>
      <c r="V2814" s="25"/>
      <c r="W2814" s="25"/>
      <c r="X2814" s="25"/>
      <c r="Y2814" s="25"/>
      <c r="Z2814" s="25"/>
    </row>
    <row r="2815" spans="1:26" ht="15.75" customHeight="1" x14ac:dyDescent="0.25">
      <c r="A2815" s="25">
        <v>2813</v>
      </c>
      <c r="B2815" s="37" t="e">
        <f t="shared" ref="B2815:D2815" si="5667">VLOOKUP($A2815,[9]Hacienda!$A$1:$O$285,B$1,0)</f>
        <v>#N/A</v>
      </c>
      <c r="C2815" s="38" t="e">
        <f t="shared" si="5667"/>
        <v>#N/A</v>
      </c>
      <c r="D2815" s="39" t="e">
        <f t="shared" si="5667"/>
        <v>#N/A</v>
      </c>
      <c r="E2815" s="16" t="e">
        <f t="shared" si="1"/>
        <v>#N/A</v>
      </c>
      <c r="F2815" s="16" t="e">
        <f t="shared" ref="F2815:K2815" si="5668">VLOOKUP($A2815,[9]Hacienda!$A$1:$O$285,F$1,0)</f>
        <v>#N/A</v>
      </c>
      <c r="G2815" s="39" t="e">
        <f t="shared" si="5668"/>
        <v>#N/A</v>
      </c>
      <c r="H2815" s="16" t="e">
        <f t="shared" si="5668"/>
        <v>#N/A</v>
      </c>
      <c r="I2815" s="16" t="e">
        <f t="shared" si="5668"/>
        <v>#N/A</v>
      </c>
      <c r="J2815" s="40" t="e">
        <f t="shared" si="5668"/>
        <v>#N/A</v>
      </c>
      <c r="K2815" s="16" t="e">
        <f t="shared" si="5668"/>
        <v>#N/A</v>
      </c>
      <c r="L2815" s="40" t="e">
        <f t="shared" si="5441"/>
        <v>#N/A</v>
      </c>
      <c r="M2815" s="16" t="e">
        <f t="shared" si="5442"/>
        <v>#N/A</v>
      </c>
      <c r="N2815" s="16" t="e">
        <f t="shared" si="5443"/>
        <v>#N/A</v>
      </c>
      <c r="O2815" s="16" t="s">
        <v>73</v>
      </c>
      <c r="P2815" s="16" t="str">
        <f t="shared" si="6"/>
        <v/>
      </c>
      <c r="Q2815" s="41" t="e">
        <f t="shared" si="5444"/>
        <v>#N/A</v>
      </c>
      <c r="R2815" s="44"/>
      <c r="S2815" s="44"/>
      <c r="T2815" s="43"/>
      <c r="U2815" s="43" t="str">
        <f t="shared" si="8"/>
        <v>No</v>
      </c>
      <c r="V2815" s="25"/>
      <c r="W2815" s="25"/>
      <c r="X2815" s="25"/>
      <c r="Y2815" s="25"/>
      <c r="Z2815" s="25"/>
    </row>
    <row r="2816" spans="1:26" ht="15.75" customHeight="1" x14ac:dyDescent="0.25">
      <c r="A2816" s="25">
        <v>2814</v>
      </c>
      <c r="B2816" s="37" t="e">
        <f t="shared" ref="B2816:D2816" si="5669">VLOOKUP($A2816,[9]Hacienda!$A$1:$O$285,B$1,0)</f>
        <v>#N/A</v>
      </c>
      <c r="C2816" s="38" t="e">
        <f t="shared" si="5669"/>
        <v>#N/A</v>
      </c>
      <c r="D2816" s="39" t="e">
        <f t="shared" si="5669"/>
        <v>#N/A</v>
      </c>
      <c r="E2816" s="16" t="e">
        <f t="shared" si="1"/>
        <v>#N/A</v>
      </c>
      <c r="F2816" s="16" t="e">
        <f t="shared" ref="F2816:K2816" si="5670">VLOOKUP($A2816,[9]Hacienda!$A$1:$O$285,F$1,0)</f>
        <v>#N/A</v>
      </c>
      <c r="G2816" s="39" t="e">
        <f t="shared" si="5670"/>
        <v>#N/A</v>
      </c>
      <c r="H2816" s="16" t="e">
        <f t="shared" si="5670"/>
        <v>#N/A</v>
      </c>
      <c r="I2816" s="16" t="e">
        <f t="shared" si="5670"/>
        <v>#N/A</v>
      </c>
      <c r="J2816" s="40" t="e">
        <f t="shared" si="5670"/>
        <v>#N/A</v>
      </c>
      <c r="K2816" s="16" t="e">
        <f t="shared" si="5670"/>
        <v>#N/A</v>
      </c>
      <c r="L2816" s="40" t="e">
        <f t="shared" si="5441"/>
        <v>#N/A</v>
      </c>
      <c r="M2816" s="16" t="e">
        <f t="shared" si="5442"/>
        <v>#N/A</v>
      </c>
      <c r="N2816" s="16" t="e">
        <f t="shared" si="5443"/>
        <v>#N/A</v>
      </c>
      <c r="O2816" s="16" t="s">
        <v>73</v>
      </c>
      <c r="P2816" s="16" t="str">
        <f t="shared" si="6"/>
        <v/>
      </c>
      <c r="Q2816" s="41" t="e">
        <f t="shared" si="5444"/>
        <v>#N/A</v>
      </c>
      <c r="R2816" s="44"/>
      <c r="S2816" s="44"/>
      <c r="T2816" s="43"/>
      <c r="U2816" s="43" t="str">
        <f t="shared" si="8"/>
        <v>No</v>
      </c>
      <c r="V2816" s="25"/>
      <c r="W2816" s="25"/>
      <c r="X2816" s="25"/>
      <c r="Y2816" s="25"/>
      <c r="Z2816" s="25"/>
    </row>
    <row r="2817" spans="1:26" ht="15.75" customHeight="1" x14ac:dyDescent="0.25">
      <c r="A2817" s="25">
        <v>2815</v>
      </c>
      <c r="B2817" s="37" t="e">
        <f t="shared" ref="B2817:D2817" si="5671">VLOOKUP($A2817,[9]Hacienda!$A$1:$O$285,B$1,0)</f>
        <v>#N/A</v>
      </c>
      <c r="C2817" s="38" t="e">
        <f t="shared" si="5671"/>
        <v>#N/A</v>
      </c>
      <c r="D2817" s="39" t="e">
        <f t="shared" si="5671"/>
        <v>#N/A</v>
      </c>
      <c r="E2817" s="16" t="e">
        <f t="shared" si="1"/>
        <v>#N/A</v>
      </c>
      <c r="F2817" s="16" t="e">
        <f t="shared" ref="F2817:K2817" si="5672">VLOOKUP($A2817,[9]Hacienda!$A$1:$O$285,F$1,0)</f>
        <v>#N/A</v>
      </c>
      <c r="G2817" s="39" t="e">
        <f t="shared" si="5672"/>
        <v>#N/A</v>
      </c>
      <c r="H2817" s="16" t="e">
        <f t="shared" si="5672"/>
        <v>#N/A</v>
      </c>
      <c r="I2817" s="16" t="e">
        <f t="shared" si="5672"/>
        <v>#N/A</v>
      </c>
      <c r="J2817" s="40" t="e">
        <f t="shared" si="5672"/>
        <v>#N/A</v>
      </c>
      <c r="K2817" s="16" t="e">
        <f t="shared" si="5672"/>
        <v>#N/A</v>
      </c>
      <c r="L2817" s="40" t="e">
        <f t="shared" si="5441"/>
        <v>#N/A</v>
      </c>
      <c r="M2817" s="16" t="e">
        <f t="shared" si="5442"/>
        <v>#N/A</v>
      </c>
      <c r="N2817" s="16" t="e">
        <f t="shared" si="5443"/>
        <v>#N/A</v>
      </c>
      <c r="O2817" s="16" t="s">
        <v>73</v>
      </c>
      <c r="P2817" s="16" t="str">
        <f t="shared" si="6"/>
        <v/>
      </c>
      <c r="Q2817" s="41" t="e">
        <f t="shared" si="5444"/>
        <v>#N/A</v>
      </c>
      <c r="R2817" s="44"/>
      <c r="S2817" s="44"/>
      <c r="T2817" s="43"/>
      <c r="U2817" s="43" t="str">
        <f t="shared" si="8"/>
        <v>No</v>
      </c>
      <c r="V2817" s="25"/>
      <c r="W2817" s="25"/>
      <c r="X2817" s="25"/>
      <c r="Y2817" s="25"/>
      <c r="Z2817" s="25"/>
    </row>
    <row r="2818" spans="1:26" ht="15.75" customHeight="1" x14ac:dyDescent="0.25">
      <c r="A2818" s="25">
        <v>2816</v>
      </c>
      <c r="B2818" s="37" t="e">
        <f t="shared" ref="B2818:D2818" si="5673">VLOOKUP($A2818,[9]Hacienda!$A$1:$O$285,B$1,0)</f>
        <v>#N/A</v>
      </c>
      <c r="C2818" s="38" t="e">
        <f t="shared" si="5673"/>
        <v>#N/A</v>
      </c>
      <c r="D2818" s="39" t="e">
        <f t="shared" si="5673"/>
        <v>#N/A</v>
      </c>
      <c r="E2818" s="16" t="e">
        <f t="shared" si="1"/>
        <v>#N/A</v>
      </c>
      <c r="F2818" s="16" t="e">
        <f t="shared" ref="F2818:K2818" si="5674">VLOOKUP($A2818,[9]Hacienda!$A$1:$O$285,F$1,0)</f>
        <v>#N/A</v>
      </c>
      <c r="G2818" s="39" t="e">
        <f t="shared" si="5674"/>
        <v>#N/A</v>
      </c>
      <c r="H2818" s="16" t="e">
        <f t="shared" si="5674"/>
        <v>#N/A</v>
      </c>
      <c r="I2818" s="16" t="e">
        <f t="shared" si="5674"/>
        <v>#N/A</v>
      </c>
      <c r="J2818" s="40" t="e">
        <f t="shared" si="5674"/>
        <v>#N/A</v>
      </c>
      <c r="K2818" s="16" t="e">
        <f t="shared" si="5674"/>
        <v>#N/A</v>
      </c>
      <c r="L2818" s="40" t="e">
        <f t="shared" si="5441"/>
        <v>#N/A</v>
      </c>
      <c r="M2818" s="16" t="e">
        <f t="shared" si="5442"/>
        <v>#N/A</v>
      </c>
      <c r="N2818" s="16" t="e">
        <f t="shared" si="5443"/>
        <v>#N/A</v>
      </c>
      <c r="O2818" s="16" t="s">
        <v>73</v>
      </c>
      <c r="P2818" s="16" t="str">
        <f t="shared" si="6"/>
        <v/>
      </c>
      <c r="Q2818" s="41" t="e">
        <f t="shared" si="5444"/>
        <v>#N/A</v>
      </c>
      <c r="R2818" s="44"/>
      <c r="S2818" s="44"/>
      <c r="T2818" s="43"/>
      <c r="U2818" s="43" t="str">
        <f t="shared" si="8"/>
        <v>No</v>
      </c>
      <c r="V2818" s="25"/>
      <c r="W2818" s="25"/>
      <c r="X2818" s="25"/>
      <c r="Y2818" s="25"/>
      <c r="Z2818" s="25"/>
    </row>
    <row r="2819" spans="1:26" ht="15.75" customHeight="1" x14ac:dyDescent="0.25">
      <c r="A2819" s="25">
        <v>2817</v>
      </c>
      <c r="B2819" s="37" t="e">
        <f t="shared" ref="B2819:D2819" si="5675">VLOOKUP($A2819,[9]Hacienda!$A$1:$O$285,B$1,0)</f>
        <v>#N/A</v>
      </c>
      <c r="C2819" s="38" t="e">
        <f t="shared" si="5675"/>
        <v>#N/A</v>
      </c>
      <c r="D2819" s="39" t="e">
        <f t="shared" si="5675"/>
        <v>#N/A</v>
      </c>
      <c r="E2819" s="16" t="e">
        <f t="shared" si="1"/>
        <v>#N/A</v>
      </c>
      <c r="F2819" s="16" t="e">
        <f t="shared" ref="F2819:K2819" si="5676">VLOOKUP($A2819,[9]Hacienda!$A$1:$O$285,F$1,0)</f>
        <v>#N/A</v>
      </c>
      <c r="G2819" s="39" t="e">
        <f t="shared" si="5676"/>
        <v>#N/A</v>
      </c>
      <c r="H2819" s="16" t="e">
        <f t="shared" si="5676"/>
        <v>#N/A</v>
      </c>
      <c r="I2819" s="16" t="e">
        <f t="shared" si="5676"/>
        <v>#N/A</v>
      </c>
      <c r="J2819" s="40" t="e">
        <f t="shared" si="5676"/>
        <v>#N/A</v>
      </c>
      <c r="K2819" s="16" t="e">
        <f t="shared" si="5676"/>
        <v>#N/A</v>
      </c>
      <c r="L2819" s="40" t="e">
        <f t="shared" si="5441"/>
        <v>#N/A</v>
      </c>
      <c r="M2819" s="16" t="e">
        <f t="shared" si="5442"/>
        <v>#N/A</v>
      </c>
      <c r="N2819" s="16" t="e">
        <f t="shared" si="5443"/>
        <v>#N/A</v>
      </c>
      <c r="O2819" s="16" t="s">
        <v>73</v>
      </c>
      <c r="P2819" s="16" t="str">
        <f t="shared" si="6"/>
        <v/>
      </c>
      <c r="Q2819" s="41" t="e">
        <f t="shared" si="5444"/>
        <v>#N/A</v>
      </c>
      <c r="R2819" s="44"/>
      <c r="S2819" s="44"/>
      <c r="T2819" s="43"/>
      <c r="U2819" s="43" t="str">
        <f t="shared" si="8"/>
        <v>No</v>
      </c>
      <c r="V2819" s="25"/>
      <c r="W2819" s="25"/>
      <c r="X2819" s="25"/>
      <c r="Y2819" s="25"/>
      <c r="Z2819" s="25"/>
    </row>
    <row r="2820" spans="1:26" ht="15.75" customHeight="1" x14ac:dyDescent="0.25">
      <c r="A2820" s="25">
        <v>2818</v>
      </c>
      <c r="B2820" s="37" t="e">
        <f t="shared" ref="B2820:D2820" si="5677">VLOOKUP($A2820,[9]Hacienda!$A$1:$O$285,B$1,0)</f>
        <v>#N/A</v>
      </c>
      <c r="C2820" s="38" t="e">
        <f t="shared" si="5677"/>
        <v>#N/A</v>
      </c>
      <c r="D2820" s="39" t="e">
        <f t="shared" si="5677"/>
        <v>#N/A</v>
      </c>
      <c r="E2820" s="16" t="e">
        <f t="shared" si="1"/>
        <v>#N/A</v>
      </c>
      <c r="F2820" s="16" t="e">
        <f t="shared" ref="F2820:K2820" si="5678">VLOOKUP($A2820,[9]Hacienda!$A$1:$O$285,F$1,0)</f>
        <v>#N/A</v>
      </c>
      <c r="G2820" s="39" t="e">
        <f t="shared" si="5678"/>
        <v>#N/A</v>
      </c>
      <c r="H2820" s="16" t="e">
        <f t="shared" si="5678"/>
        <v>#N/A</v>
      </c>
      <c r="I2820" s="16" t="e">
        <f t="shared" si="5678"/>
        <v>#N/A</v>
      </c>
      <c r="J2820" s="40" t="e">
        <f t="shared" si="5678"/>
        <v>#N/A</v>
      </c>
      <c r="K2820" s="16" t="e">
        <f t="shared" si="5678"/>
        <v>#N/A</v>
      </c>
      <c r="L2820" s="40" t="e">
        <f t="shared" si="5441"/>
        <v>#N/A</v>
      </c>
      <c r="M2820" s="16" t="e">
        <f t="shared" si="5442"/>
        <v>#N/A</v>
      </c>
      <c r="N2820" s="16" t="e">
        <f t="shared" si="5443"/>
        <v>#N/A</v>
      </c>
      <c r="O2820" s="16" t="s">
        <v>73</v>
      </c>
      <c r="P2820" s="16" t="str">
        <f t="shared" si="6"/>
        <v/>
      </c>
      <c r="Q2820" s="41" t="e">
        <f t="shared" si="5444"/>
        <v>#N/A</v>
      </c>
      <c r="R2820" s="44"/>
      <c r="S2820" s="44"/>
      <c r="T2820" s="43"/>
      <c r="U2820" s="43" t="str">
        <f t="shared" si="8"/>
        <v>No</v>
      </c>
      <c r="V2820" s="25"/>
      <c r="W2820" s="25"/>
      <c r="X2820" s="25"/>
      <c r="Y2820" s="25"/>
      <c r="Z2820" s="25"/>
    </row>
    <row r="2821" spans="1:26" ht="15.75" customHeight="1" x14ac:dyDescent="0.25">
      <c r="A2821" s="25">
        <v>2819</v>
      </c>
      <c r="B2821" s="37" t="e">
        <f t="shared" ref="B2821:D2821" si="5679">VLOOKUP($A2821,[9]Hacienda!$A$1:$O$285,B$1,0)</f>
        <v>#N/A</v>
      </c>
      <c r="C2821" s="38" t="e">
        <f t="shared" si="5679"/>
        <v>#N/A</v>
      </c>
      <c r="D2821" s="39" t="e">
        <f t="shared" si="5679"/>
        <v>#N/A</v>
      </c>
      <c r="E2821" s="16" t="e">
        <f t="shared" si="1"/>
        <v>#N/A</v>
      </c>
      <c r="F2821" s="16" t="e">
        <f t="shared" ref="F2821:K2821" si="5680">VLOOKUP($A2821,[9]Hacienda!$A$1:$O$285,F$1,0)</f>
        <v>#N/A</v>
      </c>
      <c r="G2821" s="39" t="e">
        <f t="shared" si="5680"/>
        <v>#N/A</v>
      </c>
      <c r="H2821" s="16" t="e">
        <f t="shared" si="5680"/>
        <v>#N/A</v>
      </c>
      <c r="I2821" s="16" t="e">
        <f t="shared" si="5680"/>
        <v>#N/A</v>
      </c>
      <c r="J2821" s="40" t="e">
        <f t="shared" si="5680"/>
        <v>#N/A</v>
      </c>
      <c r="K2821" s="16" t="e">
        <f t="shared" si="5680"/>
        <v>#N/A</v>
      </c>
      <c r="L2821" s="40" t="e">
        <f t="shared" si="5441"/>
        <v>#N/A</v>
      </c>
      <c r="M2821" s="16" t="e">
        <f t="shared" si="5442"/>
        <v>#N/A</v>
      </c>
      <c r="N2821" s="16" t="e">
        <f t="shared" si="5443"/>
        <v>#N/A</v>
      </c>
      <c r="O2821" s="16" t="s">
        <v>73</v>
      </c>
      <c r="P2821" s="16" t="str">
        <f t="shared" si="6"/>
        <v/>
      </c>
      <c r="Q2821" s="41" t="e">
        <f t="shared" si="5444"/>
        <v>#N/A</v>
      </c>
      <c r="R2821" s="44"/>
      <c r="S2821" s="44"/>
      <c r="T2821" s="43"/>
      <c r="U2821" s="43" t="str">
        <f t="shared" si="8"/>
        <v>No</v>
      </c>
      <c r="V2821" s="25"/>
      <c r="W2821" s="25"/>
      <c r="X2821" s="25"/>
      <c r="Y2821" s="25"/>
      <c r="Z2821" s="25"/>
    </row>
    <row r="2822" spans="1:26" ht="15.75" customHeight="1" x14ac:dyDescent="0.25">
      <c r="A2822" s="25">
        <v>2820</v>
      </c>
      <c r="B2822" s="37" t="e">
        <f t="shared" ref="B2822:D2822" si="5681">VLOOKUP($A2822,[9]Hacienda!$A$1:$O$285,B$1,0)</f>
        <v>#N/A</v>
      </c>
      <c r="C2822" s="38" t="e">
        <f t="shared" si="5681"/>
        <v>#N/A</v>
      </c>
      <c r="D2822" s="39" t="e">
        <f t="shared" si="5681"/>
        <v>#N/A</v>
      </c>
      <c r="E2822" s="16" t="e">
        <f t="shared" si="1"/>
        <v>#N/A</v>
      </c>
      <c r="F2822" s="16" t="e">
        <f t="shared" ref="F2822:K2822" si="5682">VLOOKUP($A2822,[9]Hacienda!$A$1:$O$285,F$1,0)</f>
        <v>#N/A</v>
      </c>
      <c r="G2822" s="39" t="e">
        <f t="shared" si="5682"/>
        <v>#N/A</v>
      </c>
      <c r="H2822" s="16" t="e">
        <f t="shared" si="5682"/>
        <v>#N/A</v>
      </c>
      <c r="I2822" s="16" t="e">
        <f t="shared" si="5682"/>
        <v>#N/A</v>
      </c>
      <c r="J2822" s="40" t="e">
        <f t="shared" si="5682"/>
        <v>#N/A</v>
      </c>
      <c r="K2822" s="16" t="e">
        <f t="shared" si="5682"/>
        <v>#N/A</v>
      </c>
      <c r="L2822" s="40" t="e">
        <f t="shared" si="5441"/>
        <v>#N/A</v>
      </c>
      <c r="M2822" s="16" t="e">
        <f t="shared" si="5442"/>
        <v>#N/A</v>
      </c>
      <c r="N2822" s="16" t="e">
        <f t="shared" si="5443"/>
        <v>#N/A</v>
      </c>
      <c r="O2822" s="16" t="s">
        <v>73</v>
      </c>
      <c r="P2822" s="16" t="str">
        <f t="shared" si="6"/>
        <v/>
      </c>
      <c r="Q2822" s="41" t="e">
        <f t="shared" si="5444"/>
        <v>#N/A</v>
      </c>
      <c r="R2822" s="44"/>
      <c r="S2822" s="44"/>
      <c r="T2822" s="43"/>
      <c r="U2822" s="43" t="str">
        <f t="shared" si="8"/>
        <v>No</v>
      </c>
      <c r="V2822" s="25"/>
      <c r="W2822" s="25"/>
      <c r="X2822" s="25"/>
      <c r="Y2822" s="25"/>
      <c r="Z2822" s="25"/>
    </row>
    <row r="2823" spans="1:26" ht="15.75" customHeight="1" x14ac:dyDescent="0.25">
      <c r="A2823" s="25">
        <v>2821</v>
      </c>
      <c r="B2823" s="37" t="e">
        <f t="shared" ref="B2823:D2823" si="5683">VLOOKUP($A2823,[9]Hacienda!$A$1:$O$285,B$1,0)</f>
        <v>#N/A</v>
      </c>
      <c r="C2823" s="38" t="e">
        <f t="shared" si="5683"/>
        <v>#N/A</v>
      </c>
      <c r="D2823" s="39" t="e">
        <f t="shared" si="5683"/>
        <v>#N/A</v>
      </c>
      <c r="E2823" s="16" t="e">
        <f t="shared" si="1"/>
        <v>#N/A</v>
      </c>
      <c r="F2823" s="16" t="e">
        <f t="shared" ref="F2823:K2823" si="5684">VLOOKUP($A2823,[9]Hacienda!$A$1:$O$285,F$1,0)</f>
        <v>#N/A</v>
      </c>
      <c r="G2823" s="39" t="e">
        <f t="shared" si="5684"/>
        <v>#N/A</v>
      </c>
      <c r="H2823" s="16" t="e">
        <f t="shared" si="5684"/>
        <v>#N/A</v>
      </c>
      <c r="I2823" s="16" t="e">
        <f t="shared" si="5684"/>
        <v>#N/A</v>
      </c>
      <c r="J2823" s="40" t="e">
        <f t="shared" si="5684"/>
        <v>#N/A</v>
      </c>
      <c r="K2823" s="16" t="e">
        <f t="shared" si="5684"/>
        <v>#N/A</v>
      </c>
      <c r="L2823" s="40" t="e">
        <f t="shared" si="5441"/>
        <v>#N/A</v>
      </c>
      <c r="M2823" s="16" t="e">
        <f t="shared" si="5442"/>
        <v>#N/A</v>
      </c>
      <c r="N2823" s="16" t="e">
        <f t="shared" si="5443"/>
        <v>#N/A</v>
      </c>
      <c r="O2823" s="16" t="s">
        <v>73</v>
      </c>
      <c r="P2823" s="16" t="str">
        <f t="shared" si="6"/>
        <v/>
      </c>
      <c r="Q2823" s="41" t="e">
        <f t="shared" si="5444"/>
        <v>#N/A</v>
      </c>
      <c r="R2823" s="44"/>
      <c r="S2823" s="44"/>
      <c r="T2823" s="43"/>
      <c r="U2823" s="43" t="str">
        <f t="shared" si="8"/>
        <v>No</v>
      </c>
      <c r="V2823" s="25"/>
      <c r="W2823" s="25"/>
      <c r="X2823" s="25"/>
      <c r="Y2823" s="25"/>
      <c r="Z2823" s="25"/>
    </row>
    <row r="2824" spans="1:26" ht="15.75" customHeight="1" x14ac:dyDescent="0.25">
      <c r="A2824" s="25">
        <v>2822</v>
      </c>
      <c r="B2824" s="37" t="e">
        <f t="shared" ref="B2824:D2824" si="5685">VLOOKUP($A2824,[9]Hacienda!$A$1:$O$285,B$1,0)</f>
        <v>#N/A</v>
      </c>
      <c r="C2824" s="38" t="e">
        <f t="shared" si="5685"/>
        <v>#N/A</v>
      </c>
      <c r="D2824" s="39" t="e">
        <f t="shared" si="5685"/>
        <v>#N/A</v>
      </c>
      <c r="E2824" s="16" t="e">
        <f t="shared" si="1"/>
        <v>#N/A</v>
      </c>
      <c r="F2824" s="16" t="e">
        <f t="shared" ref="F2824:K2824" si="5686">VLOOKUP($A2824,[9]Hacienda!$A$1:$O$285,F$1,0)</f>
        <v>#N/A</v>
      </c>
      <c r="G2824" s="39" t="e">
        <f t="shared" si="5686"/>
        <v>#N/A</v>
      </c>
      <c r="H2824" s="16" t="e">
        <f t="shared" si="5686"/>
        <v>#N/A</v>
      </c>
      <c r="I2824" s="16" t="e">
        <f t="shared" si="5686"/>
        <v>#N/A</v>
      </c>
      <c r="J2824" s="40" t="e">
        <f t="shared" si="5686"/>
        <v>#N/A</v>
      </c>
      <c r="K2824" s="16" t="e">
        <f t="shared" si="5686"/>
        <v>#N/A</v>
      </c>
      <c r="L2824" s="40" t="e">
        <f t="shared" si="5441"/>
        <v>#N/A</v>
      </c>
      <c r="M2824" s="16" t="e">
        <f t="shared" si="5442"/>
        <v>#N/A</v>
      </c>
      <c r="N2824" s="16" t="e">
        <f t="shared" si="5443"/>
        <v>#N/A</v>
      </c>
      <c r="O2824" s="16" t="s">
        <v>73</v>
      </c>
      <c r="P2824" s="16" t="str">
        <f t="shared" si="6"/>
        <v/>
      </c>
      <c r="Q2824" s="41" t="e">
        <f t="shared" si="5444"/>
        <v>#N/A</v>
      </c>
      <c r="R2824" s="44"/>
      <c r="S2824" s="44"/>
      <c r="T2824" s="43"/>
      <c r="U2824" s="43" t="str">
        <f t="shared" si="8"/>
        <v>No</v>
      </c>
      <c r="V2824" s="25"/>
      <c r="W2824" s="25"/>
      <c r="X2824" s="25"/>
      <c r="Y2824" s="25"/>
      <c r="Z2824" s="25"/>
    </row>
    <row r="2825" spans="1:26" ht="15.75" customHeight="1" x14ac:dyDescent="0.25">
      <c r="A2825" s="25">
        <v>2823</v>
      </c>
      <c r="B2825" s="37" t="e">
        <f t="shared" ref="B2825:D2825" si="5687">VLOOKUP($A2825,[9]Hacienda!$A$1:$O$285,B$1,0)</f>
        <v>#N/A</v>
      </c>
      <c r="C2825" s="38" t="e">
        <f t="shared" si="5687"/>
        <v>#N/A</v>
      </c>
      <c r="D2825" s="39" t="e">
        <f t="shared" si="5687"/>
        <v>#N/A</v>
      </c>
      <c r="E2825" s="16" t="e">
        <f t="shared" si="1"/>
        <v>#N/A</v>
      </c>
      <c r="F2825" s="16" t="e">
        <f t="shared" ref="F2825:K2825" si="5688">VLOOKUP($A2825,[9]Hacienda!$A$1:$O$285,F$1,0)</f>
        <v>#N/A</v>
      </c>
      <c r="G2825" s="39" t="e">
        <f t="shared" si="5688"/>
        <v>#N/A</v>
      </c>
      <c r="H2825" s="16" t="e">
        <f t="shared" si="5688"/>
        <v>#N/A</v>
      </c>
      <c r="I2825" s="16" t="e">
        <f t="shared" si="5688"/>
        <v>#N/A</v>
      </c>
      <c r="J2825" s="40" t="e">
        <f t="shared" si="5688"/>
        <v>#N/A</v>
      </c>
      <c r="K2825" s="16" t="e">
        <f t="shared" si="5688"/>
        <v>#N/A</v>
      </c>
      <c r="L2825" s="40" t="e">
        <f t="shared" si="5441"/>
        <v>#N/A</v>
      </c>
      <c r="M2825" s="16" t="e">
        <f t="shared" si="5442"/>
        <v>#N/A</v>
      </c>
      <c r="N2825" s="16" t="e">
        <f t="shared" si="5443"/>
        <v>#N/A</v>
      </c>
      <c r="O2825" s="16" t="s">
        <v>73</v>
      </c>
      <c r="P2825" s="16" t="str">
        <f t="shared" si="6"/>
        <v/>
      </c>
      <c r="Q2825" s="41" t="e">
        <f t="shared" si="5444"/>
        <v>#N/A</v>
      </c>
      <c r="R2825" s="44"/>
      <c r="S2825" s="44"/>
      <c r="T2825" s="43"/>
      <c r="U2825" s="43" t="str">
        <f t="shared" si="8"/>
        <v>No</v>
      </c>
      <c r="V2825" s="25"/>
      <c r="W2825" s="25"/>
      <c r="X2825" s="25"/>
      <c r="Y2825" s="25"/>
      <c r="Z2825" s="25"/>
    </row>
    <row r="2826" spans="1:26" ht="15.75" customHeight="1" x14ac:dyDescent="0.25">
      <c r="A2826" s="25">
        <v>2824</v>
      </c>
      <c r="B2826" s="37" t="e">
        <f t="shared" ref="B2826:D2826" si="5689">VLOOKUP($A2826,[9]Hacienda!$A$1:$O$285,B$1,0)</f>
        <v>#N/A</v>
      </c>
      <c r="C2826" s="38" t="e">
        <f t="shared" si="5689"/>
        <v>#N/A</v>
      </c>
      <c r="D2826" s="39" t="e">
        <f t="shared" si="5689"/>
        <v>#N/A</v>
      </c>
      <c r="E2826" s="16" t="e">
        <f t="shared" si="1"/>
        <v>#N/A</v>
      </c>
      <c r="F2826" s="16" t="e">
        <f t="shared" ref="F2826:K2826" si="5690">VLOOKUP($A2826,[9]Hacienda!$A$1:$O$285,F$1,0)</f>
        <v>#N/A</v>
      </c>
      <c r="G2826" s="39" t="e">
        <f t="shared" si="5690"/>
        <v>#N/A</v>
      </c>
      <c r="H2826" s="16" t="e">
        <f t="shared" si="5690"/>
        <v>#N/A</v>
      </c>
      <c r="I2826" s="16" t="e">
        <f t="shared" si="5690"/>
        <v>#N/A</v>
      </c>
      <c r="J2826" s="40" t="e">
        <f t="shared" si="5690"/>
        <v>#N/A</v>
      </c>
      <c r="K2826" s="16" t="e">
        <f t="shared" si="5690"/>
        <v>#N/A</v>
      </c>
      <c r="L2826" s="40" t="e">
        <f t="shared" si="5441"/>
        <v>#N/A</v>
      </c>
      <c r="M2826" s="16" t="e">
        <f t="shared" si="5442"/>
        <v>#N/A</v>
      </c>
      <c r="N2826" s="16" t="e">
        <f t="shared" si="5443"/>
        <v>#N/A</v>
      </c>
      <c r="O2826" s="16" t="s">
        <v>73</v>
      </c>
      <c r="P2826" s="16" t="str">
        <f t="shared" si="6"/>
        <v/>
      </c>
      <c r="Q2826" s="41" t="e">
        <f t="shared" si="5444"/>
        <v>#N/A</v>
      </c>
      <c r="R2826" s="44"/>
      <c r="S2826" s="44"/>
      <c r="T2826" s="43"/>
      <c r="U2826" s="43" t="str">
        <f t="shared" si="8"/>
        <v>No</v>
      </c>
      <c r="V2826" s="25"/>
      <c r="W2826" s="25"/>
      <c r="X2826" s="25"/>
      <c r="Y2826" s="25"/>
      <c r="Z2826" s="25"/>
    </row>
    <row r="2827" spans="1:26" ht="15.75" customHeight="1" x14ac:dyDescent="0.25">
      <c r="A2827" s="25">
        <v>2825</v>
      </c>
      <c r="B2827" s="37" t="e">
        <f t="shared" ref="B2827:D2827" si="5691">VLOOKUP($A2827,[9]Hacienda!$A$1:$O$285,B$1,0)</f>
        <v>#N/A</v>
      </c>
      <c r="C2827" s="38" t="e">
        <f t="shared" si="5691"/>
        <v>#N/A</v>
      </c>
      <c r="D2827" s="39" t="e">
        <f t="shared" si="5691"/>
        <v>#N/A</v>
      </c>
      <c r="E2827" s="16" t="e">
        <f t="shared" si="1"/>
        <v>#N/A</v>
      </c>
      <c r="F2827" s="16" t="e">
        <f t="shared" ref="F2827:K2827" si="5692">VLOOKUP($A2827,[9]Hacienda!$A$1:$O$285,F$1,0)</f>
        <v>#N/A</v>
      </c>
      <c r="G2827" s="39" t="e">
        <f t="shared" si="5692"/>
        <v>#N/A</v>
      </c>
      <c r="H2827" s="16" t="e">
        <f t="shared" si="5692"/>
        <v>#N/A</v>
      </c>
      <c r="I2827" s="16" t="e">
        <f t="shared" si="5692"/>
        <v>#N/A</v>
      </c>
      <c r="J2827" s="40" t="e">
        <f t="shared" si="5692"/>
        <v>#N/A</v>
      </c>
      <c r="K2827" s="16" t="e">
        <f t="shared" si="5692"/>
        <v>#N/A</v>
      </c>
      <c r="L2827" s="40" t="e">
        <f t="shared" si="5441"/>
        <v>#N/A</v>
      </c>
      <c r="M2827" s="16" t="e">
        <f t="shared" si="5442"/>
        <v>#N/A</v>
      </c>
      <c r="N2827" s="16" t="e">
        <f t="shared" si="5443"/>
        <v>#N/A</v>
      </c>
      <c r="O2827" s="16" t="s">
        <v>73</v>
      </c>
      <c r="P2827" s="16" t="str">
        <f t="shared" si="6"/>
        <v/>
      </c>
      <c r="Q2827" s="41" t="e">
        <f t="shared" si="5444"/>
        <v>#N/A</v>
      </c>
      <c r="R2827" s="44"/>
      <c r="S2827" s="44"/>
      <c r="T2827" s="43"/>
      <c r="U2827" s="43" t="str">
        <f t="shared" si="8"/>
        <v>No</v>
      </c>
      <c r="V2827" s="25"/>
      <c r="W2827" s="25"/>
      <c r="X2827" s="25"/>
      <c r="Y2827" s="25"/>
      <c r="Z2827" s="25"/>
    </row>
    <row r="2828" spans="1:26" ht="15.75" customHeight="1" x14ac:dyDescent="0.25">
      <c r="A2828" s="25">
        <v>2826</v>
      </c>
      <c r="B2828" s="37" t="e">
        <f t="shared" ref="B2828:D2828" si="5693">VLOOKUP($A2828,[9]Hacienda!$A$1:$O$285,B$1,0)</f>
        <v>#N/A</v>
      </c>
      <c r="C2828" s="38" t="e">
        <f t="shared" si="5693"/>
        <v>#N/A</v>
      </c>
      <c r="D2828" s="39" t="e">
        <f t="shared" si="5693"/>
        <v>#N/A</v>
      </c>
      <c r="E2828" s="16" t="e">
        <f t="shared" si="1"/>
        <v>#N/A</v>
      </c>
      <c r="F2828" s="16" t="e">
        <f t="shared" ref="F2828:K2828" si="5694">VLOOKUP($A2828,[9]Hacienda!$A$1:$O$285,F$1,0)</f>
        <v>#N/A</v>
      </c>
      <c r="G2828" s="39" t="e">
        <f t="shared" si="5694"/>
        <v>#N/A</v>
      </c>
      <c r="H2828" s="16" t="e">
        <f t="shared" si="5694"/>
        <v>#N/A</v>
      </c>
      <c r="I2828" s="16" t="e">
        <f t="shared" si="5694"/>
        <v>#N/A</v>
      </c>
      <c r="J2828" s="40" t="e">
        <f t="shared" si="5694"/>
        <v>#N/A</v>
      </c>
      <c r="K2828" s="16" t="e">
        <f t="shared" si="5694"/>
        <v>#N/A</v>
      </c>
      <c r="L2828" s="40" t="e">
        <f t="shared" si="5441"/>
        <v>#N/A</v>
      </c>
      <c r="M2828" s="16" t="e">
        <f t="shared" si="5442"/>
        <v>#N/A</v>
      </c>
      <c r="N2828" s="16" t="e">
        <f t="shared" si="5443"/>
        <v>#N/A</v>
      </c>
      <c r="O2828" s="16" t="s">
        <v>73</v>
      </c>
      <c r="P2828" s="16" t="str">
        <f t="shared" si="6"/>
        <v/>
      </c>
      <c r="Q2828" s="41" t="e">
        <f t="shared" si="5444"/>
        <v>#N/A</v>
      </c>
      <c r="R2828" s="44"/>
      <c r="S2828" s="44"/>
      <c r="T2828" s="43"/>
      <c r="U2828" s="43" t="str">
        <f t="shared" si="8"/>
        <v>No</v>
      </c>
      <c r="V2828" s="25"/>
      <c r="W2828" s="25"/>
      <c r="X2828" s="25"/>
      <c r="Y2828" s="25"/>
      <c r="Z2828" s="25"/>
    </row>
    <row r="2829" spans="1:26" ht="15.75" customHeight="1" x14ac:dyDescent="0.25">
      <c r="A2829" s="25">
        <v>2827</v>
      </c>
      <c r="B2829" s="37" t="e">
        <f t="shared" ref="B2829:D2829" si="5695">VLOOKUP($A2829,[9]Hacienda!$A$1:$O$285,B$1,0)</f>
        <v>#N/A</v>
      </c>
      <c r="C2829" s="38" t="e">
        <f t="shared" si="5695"/>
        <v>#N/A</v>
      </c>
      <c r="D2829" s="39" t="e">
        <f t="shared" si="5695"/>
        <v>#N/A</v>
      </c>
      <c r="E2829" s="16" t="e">
        <f t="shared" si="1"/>
        <v>#N/A</v>
      </c>
      <c r="F2829" s="16" t="e">
        <f t="shared" ref="F2829:K2829" si="5696">VLOOKUP($A2829,[9]Hacienda!$A$1:$O$285,F$1,0)</f>
        <v>#N/A</v>
      </c>
      <c r="G2829" s="39" t="e">
        <f t="shared" si="5696"/>
        <v>#N/A</v>
      </c>
      <c r="H2829" s="16" t="e">
        <f t="shared" si="5696"/>
        <v>#N/A</v>
      </c>
      <c r="I2829" s="16" t="e">
        <f t="shared" si="5696"/>
        <v>#N/A</v>
      </c>
      <c r="J2829" s="40" t="e">
        <f t="shared" si="5696"/>
        <v>#N/A</v>
      </c>
      <c r="K2829" s="16" t="e">
        <f t="shared" si="5696"/>
        <v>#N/A</v>
      </c>
      <c r="L2829" s="40" t="e">
        <f t="shared" si="5441"/>
        <v>#N/A</v>
      </c>
      <c r="M2829" s="16" t="e">
        <f t="shared" si="5442"/>
        <v>#N/A</v>
      </c>
      <c r="N2829" s="16" t="e">
        <f t="shared" si="5443"/>
        <v>#N/A</v>
      </c>
      <c r="O2829" s="16" t="s">
        <v>73</v>
      </c>
      <c r="P2829" s="16" t="str">
        <f t="shared" si="6"/>
        <v/>
      </c>
      <c r="Q2829" s="41" t="e">
        <f t="shared" si="5444"/>
        <v>#N/A</v>
      </c>
      <c r="R2829" s="44"/>
      <c r="S2829" s="44"/>
      <c r="T2829" s="43"/>
      <c r="U2829" s="43" t="str">
        <f t="shared" si="8"/>
        <v>No</v>
      </c>
      <c r="V2829" s="25"/>
      <c r="W2829" s="25"/>
      <c r="X2829" s="25"/>
      <c r="Y2829" s="25"/>
      <c r="Z2829" s="25"/>
    </row>
    <row r="2830" spans="1:26" ht="15.75" customHeight="1" x14ac:dyDescent="0.25">
      <c r="A2830" s="25">
        <v>2828</v>
      </c>
      <c r="B2830" s="37" t="e">
        <f t="shared" ref="B2830:D2830" si="5697">VLOOKUP($A2830,[9]Hacienda!$A$1:$O$285,B$1,0)</f>
        <v>#N/A</v>
      </c>
      <c r="C2830" s="38" t="e">
        <f t="shared" si="5697"/>
        <v>#N/A</v>
      </c>
      <c r="D2830" s="39" t="e">
        <f t="shared" si="5697"/>
        <v>#N/A</v>
      </c>
      <c r="E2830" s="16" t="e">
        <f t="shared" si="1"/>
        <v>#N/A</v>
      </c>
      <c r="F2830" s="16" t="e">
        <f t="shared" ref="F2830:K2830" si="5698">VLOOKUP($A2830,[9]Hacienda!$A$1:$O$285,F$1,0)</f>
        <v>#N/A</v>
      </c>
      <c r="G2830" s="39" t="e">
        <f t="shared" si="5698"/>
        <v>#N/A</v>
      </c>
      <c r="H2830" s="16" t="e">
        <f t="shared" si="5698"/>
        <v>#N/A</v>
      </c>
      <c r="I2830" s="16" t="e">
        <f t="shared" si="5698"/>
        <v>#N/A</v>
      </c>
      <c r="J2830" s="40" t="e">
        <f t="shared" si="5698"/>
        <v>#N/A</v>
      </c>
      <c r="K2830" s="16" t="e">
        <f t="shared" si="5698"/>
        <v>#N/A</v>
      </c>
      <c r="L2830" s="40" t="e">
        <f t="shared" si="5441"/>
        <v>#N/A</v>
      </c>
      <c r="M2830" s="16" t="e">
        <f t="shared" si="5442"/>
        <v>#N/A</v>
      </c>
      <c r="N2830" s="16" t="e">
        <f t="shared" si="5443"/>
        <v>#N/A</v>
      </c>
      <c r="O2830" s="16" t="s">
        <v>73</v>
      </c>
      <c r="P2830" s="16" t="str">
        <f t="shared" si="6"/>
        <v/>
      </c>
      <c r="Q2830" s="41" t="e">
        <f t="shared" si="5444"/>
        <v>#N/A</v>
      </c>
      <c r="R2830" s="44"/>
      <c r="S2830" s="44"/>
      <c r="T2830" s="43"/>
      <c r="U2830" s="43" t="str">
        <f t="shared" si="8"/>
        <v>No</v>
      </c>
      <c r="V2830" s="25"/>
      <c r="W2830" s="25"/>
      <c r="X2830" s="25"/>
      <c r="Y2830" s="25"/>
      <c r="Z2830" s="25"/>
    </row>
    <row r="2831" spans="1:26" ht="15.75" customHeight="1" x14ac:dyDescent="0.25">
      <c r="A2831" s="25">
        <v>2829</v>
      </c>
      <c r="B2831" s="37" t="e">
        <f t="shared" ref="B2831:D2831" si="5699">VLOOKUP($A2831,[9]Hacienda!$A$1:$O$285,B$1,0)</f>
        <v>#N/A</v>
      </c>
      <c r="C2831" s="38" t="e">
        <f t="shared" si="5699"/>
        <v>#N/A</v>
      </c>
      <c r="D2831" s="39" t="e">
        <f t="shared" si="5699"/>
        <v>#N/A</v>
      </c>
      <c r="E2831" s="16" t="e">
        <f t="shared" si="1"/>
        <v>#N/A</v>
      </c>
      <c r="F2831" s="16" t="e">
        <f t="shared" ref="F2831:K2831" si="5700">VLOOKUP($A2831,[9]Hacienda!$A$1:$O$285,F$1,0)</f>
        <v>#N/A</v>
      </c>
      <c r="G2831" s="39" t="e">
        <f t="shared" si="5700"/>
        <v>#N/A</v>
      </c>
      <c r="H2831" s="16" t="e">
        <f t="shared" si="5700"/>
        <v>#N/A</v>
      </c>
      <c r="I2831" s="16" t="e">
        <f t="shared" si="5700"/>
        <v>#N/A</v>
      </c>
      <c r="J2831" s="40" t="e">
        <f t="shared" si="5700"/>
        <v>#N/A</v>
      </c>
      <c r="K2831" s="16" t="e">
        <f t="shared" si="5700"/>
        <v>#N/A</v>
      </c>
      <c r="L2831" s="40" t="e">
        <f t="shared" si="5441"/>
        <v>#N/A</v>
      </c>
      <c r="M2831" s="16" t="e">
        <f t="shared" si="5442"/>
        <v>#N/A</v>
      </c>
      <c r="N2831" s="16" t="e">
        <f t="shared" si="5443"/>
        <v>#N/A</v>
      </c>
      <c r="O2831" s="16" t="s">
        <v>73</v>
      </c>
      <c r="P2831" s="16" t="str">
        <f t="shared" si="6"/>
        <v/>
      </c>
      <c r="Q2831" s="41" t="e">
        <f t="shared" si="5444"/>
        <v>#N/A</v>
      </c>
      <c r="R2831" s="44"/>
      <c r="S2831" s="44"/>
      <c r="T2831" s="43"/>
      <c r="U2831" s="43" t="str">
        <f t="shared" si="8"/>
        <v>No</v>
      </c>
      <c r="V2831" s="25"/>
      <c r="W2831" s="25"/>
      <c r="X2831" s="25"/>
      <c r="Y2831" s="25"/>
      <c r="Z2831" s="25"/>
    </row>
    <row r="2832" spans="1:26" ht="15.75" customHeight="1" x14ac:dyDescent="0.25">
      <c r="A2832" s="25">
        <v>2830</v>
      </c>
      <c r="B2832" s="37" t="e">
        <f t="shared" ref="B2832:D2832" si="5701">VLOOKUP($A2832,[9]Hacienda!$A$1:$O$285,B$1,0)</f>
        <v>#N/A</v>
      </c>
      <c r="C2832" s="38" t="e">
        <f t="shared" si="5701"/>
        <v>#N/A</v>
      </c>
      <c r="D2832" s="39" t="e">
        <f t="shared" si="5701"/>
        <v>#N/A</v>
      </c>
      <c r="E2832" s="16" t="e">
        <f t="shared" si="1"/>
        <v>#N/A</v>
      </c>
      <c r="F2832" s="16" t="e">
        <f t="shared" ref="F2832:K2832" si="5702">VLOOKUP($A2832,[9]Hacienda!$A$1:$O$285,F$1,0)</f>
        <v>#N/A</v>
      </c>
      <c r="G2832" s="39" t="e">
        <f t="shared" si="5702"/>
        <v>#N/A</v>
      </c>
      <c r="H2832" s="16" t="e">
        <f t="shared" si="5702"/>
        <v>#N/A</v>
      </c>
      <c r="I2832" s="16" t="e">
        <f t="shared" si="5702"/>
        <v>#N/A</v>
      </c>
      <c r="J2832" s="40" t="e">
        <f t="shared" si="5702"/>
        <v>#N/A</v>
      </c>
      <c r="K2832" s="16" t="e">
        <f t="shared" si="5702"/>
        <v>#N/A</v>
      </c>
      <c r="L2832" s="40" t="e">
        <f t="shared" si="5441"/>
        <v>#N/A</v>
      </c>
      <c r="M2832" s="16" t="e">
        <f t="shared" si="5442"/>
        <v>#N/A</v>
      </c>
      <c r="N2832" s="16" t="e">
        <f t="shared" si="5443"/>
        <v>#N/A</v>
      </c>
      <c r="O2832" s="16" t="s">
        <v>73</v>
      </c>
      <c r="P2832" s="16" t="str">
        <f t="shared" si="6"/>
        <v/>
      </c>
      <c r="Q2832" s="41" t="e">
        <f t="shared" si="5444"/>
        <v>#N/A</v>
      </c>
      <c r="R2832" s="44"/>
      <c r="S2832" s="44"/>
      <c r="T2832" s="43"/>
      <c r="U2832" s="43" t="str">
        <f t="shared" si="8"/>
        <v>No</v>
      </c>
      <c r="V2832" s="25"/>
      <c r="W2832" s="25"/>
      <c r="X2832" s="25"/>
      <c r="Y2832" s="25"/>
      <c r="Z2832" s="25"/>
    </row>
    <row r="2833" spans="1:26" ht="15.75" customHeight="1" x14ac:dyDescent="0.25">
      <c r="A2833" s="25">
        <v>2831</v>
      </c>
      <c r="B2833" s="37" t="e">
        <f t="shared" ref="B2833:D2833" si="5703">VLOOKUP($A2833,[9]Hacienda!$A$1:$O$285,B$1,0)</f>
        <v>#N/A</v>
      </c>
      <c r="C2833" s="38" t="e">
        <f t="shared" si="5703"/>
        <v>#N/A</v>
      </c>
      <c r="D2833" s="39" t="e">
        <f t="shared" si="5703"/>
        <v>#N/A</v>
      </c>
      <c r="E2833" s="16" t="e">
        <f t="shared" si="1"/>
        <v>#N/A</v>
      </c>
      <c r="F2833" s="16" t="e">
        <f t="shared" ref="F2833:K2833" si="5704">VLOOKUP($A2833,[9]Hacienda!$A$1:$O$285,F$1,0)</f>
        <v>#N/A</v>
      </c>
      <c r="G2833" s="39" t="e">
        <f t="shared" si="5704"/>
        <v>#N/A</v>
      </c>
      <c r="H2833" s="16" t="e">
        <f t="shared" si="5704"/>
        <v>#N/A</v>
      </c>
      <c r="I2833" s="16" t="e">
        <f t="shared" si="5704"/>
        <v>#N/A</v>
      </c>
      <c r="J2833" s="40" t="e">
        <f t="shared" si="5704"/>
        <v>#N/A</v>
      </c>
      <c r="K2833" s="16" t="e">
        <f t="shared" si="5704"/>
        <v>#N/A</v>
      </c>
      <c r="L2833" s="40" t="e">
        <f t="shared" si="5441"/>
        <v>#N/A</v>
      </c>
      <c r="M2833" s="16" t="e">
        <f t="shared" si="5442"/>
        <v>#N/A</v>
      </c>
      <c r="N2833" s="16" t="e">
        <f t="shared" si="5443"/>
        <v>#N/A</v>
      </c>
      <c r="O2833" s="16" t="s">
        <v>73</v>
      </c>
      <c r="P2833" s="16" t="str">
        <f t="shared" si="6"/>
        <v/>
      </c>
      <c r="Q2833" s="41" t="e">
        <f t="shared" si="5444"/>
        <v>#N/A</v>
      </c>
      <c r="R2833" s="44"/>
      <c r="S2833" s="44"/>
      <c r="T2833" s="43"/>
      <c r="U2833" s="43" t="str">
        <f t="shared" si="8"/>
        <v>No</v>
      </c>
      <c r="V2833" s="25"/>
      <c r="W2833" s="25"/>
      <c r="X2833" s="25"/>
      <c r="Y2833" s="25"/>
      <c r="Z2833" s="25"/>
    </row>
    <row r="2834" spans="1:26" ht="15.75" customHeight="1" x14ac:dyDescent="0.25">
      <c r="A2834" s="25">
        <v>2832</v>
      </c>
      <c r="B2834" s="37" t="e">
        <f t="shared" ref="B2834:D2834" si="5705">VLOOKUP($A2834,[9]Hacienda!$A$1:$O$285,B$1,0)</f>
        <v>#N/A</v>
      </c>
      <c r="C2834" s="38" t="e">
        <f t="shared" si="5705"/>
        <v>#N/A</v>
      </c>
      <c r="D2834" s="39" t="e">
        <f t="shared" si="5705"/>
        <v>#N/A</v>
      </c>
      <c r="E2834" s="16" t="e">
        <f t="shared" si="1"/>
        <v>#N/A</v>
      </c>
      <c r="F2834" s="16" t="e">
        <f t="shared" ref="F2834:K2834" si="5706">VLOOKUP($A2834,[9]Hacienda!$A$1:$O$285,F$1,0)</f>
        <v>#N/A</v>
      </c>
      <c r="G2834" s="39" t="e">
        <f t="shared" si="5706"/>
        <v>#N/A</v>
      </c>
      <c r="H2834" s="16" t="e">
        <f t="shared" si="5706"/>
        <v>#N/A</v>
      </c>
      <c r="I2834" s="16" t="e">
        <f t="shared" si="5706"/>
        <v>#N/A</v>
      </c>
      <c r="J2834" s="40" t="e">
        <f t="shared" si="5706"/>
        <v>#N/A</v>
      </c>
      <c r="K2834" s="16" t="e">
        <f t="shared" si="5706"/>
        <v>#N/A</v>
      </c>
      <c r="L2834" s="40" t="e">
        <f t="shared" si="5441"/>
        <v>#N/A</v>
      </c>
      <c r="M2834" s="16" t="e">
        <f t="shared" si="5442"/>
        <v>#N/A</v>
      </c>
      <c r="N2834" s="16" t="e">
        <f t="shared" si="5443"/>
        <v>#N/A</v>
      </c>
      <c r="O2834" s="16" t="s">
        <v>73</v>
      </c>
      <c r="P2834" s="16" t="str">
        <f t="shared" si="6"/>
        <v/>
      </c>
      <c r="Q2834" s="41" t="e">
        <f t="shared" si="5444"/>
        <v>#N/A</v>
      </c>
      <c r="R2834" s="44"/>
      <c r="S2834" s="44"/>
      <c r="T2834" s="43"/>
      <c r="U2834" s="43" t="str">
        <f t="shared" si="8"/>
        <v>No</v>
      </c>
      <c r="V2834" s="25"/>
      <c r="W2834" s="25"/>
      <c r="X2834" s="25"/>
      <c r="Y2834" s="25"/>
      <c r="Z2834" s="25"/>
    </row>
    <row r="2835" spans="1:26" ht="15.75" customHeight="1" x14ac:dyDescent="0.25">
      <c r="A2835" s="25">
        <v>2833</v>
      </c>
      <c r="B2835" s="37" t="e">
        <f t="shared" ref="B2835:D2835" si="5707">VLOOKUP($A2835,[9]Hacienda!$A$1:$O$285,B$1,0)</f>
        <v>#N/A</v>
      </c>
      <c r="C2835" s="38" t="e">
        <f t="shared" si="5707"/>
        <v>#N/A</v>
      </c>
      <c r="D2835" s="39" t="e">
        <f t="shared" si="5707"/>
        <v>#N/A</v>
      </c>
      <c r="E2835" s="16" t="e">
        <f t="shared" si="1"/>
        <v>#N/A</v>
      </c>
      <c r="F2835" s="16" t="e">
        <f t="shared" ref="F2835:K2835" si="5708">VLOOKUP($A2835,[9]Hacienda!$A$1:$O$285,F$1,0)</f>
        <v>#N/A</v>
      </c>
      <c r="G2835" s="39" t="e">
        <f t="shared" si="5708"/>
        <v>#N/A</v>
      </c>
      <c r="H2835" s="16" t="e">
        <f t="shared" si="5708"/>
        <v>#N/A</v>
      </c>
      <c r="I2835" s="16" t="e">
        <f t="shared" si="5708"/>
        <v>#N/A</v>
      </c>
      <c r="J2835" s="40" t="e">
        <f t="shared" si="5708"/>
        <v>#N/A</v>
      </c>
      <c r="K2835" s="16" t="e">
        <f t="shared" si="5708"/>
        <v>#N/A</v>
      </c>
      <c r="L2835" s="40" t="e">
        <f t="shared" si="5441"/>
        <v>#N/A</v>
      </c>
      <c r="M2835" s="16" t="e">
        <f t="shared" si="5442"/>
        <v>#N/A</v>
      </c>
      <c r="N2835" s="16" t="e">
        <f t="shared" si="5443"/>
        <v>#N/A</v>
      </c>
      <c r="O2835" s="16" t="s">
        <v>73</v>
      </c>
      <c r="P2835" s="16" t="str">
        <f t="shared" si="6"/>
        <v/>
      </c>
      <c r="Q2835" s="41" t="e">
        <f t="shared" si="5444"/>
        <v>#N/A</v>
      </c>
      <c r="R2835" s="44"/>
      <c r="S2835" s="44"/>
      <c r="T2835" s="43"/>
      <c r="U2835" s="43" t="str">
        <f t="shared" si="8"/>
        <v>No</v>
      </c>
      <c r="V2835" s="25"/>
      <c r="W2835" s="25"/>
      <c r="X2835" s="25"/>
      <c r="Y2835" s="25"/>
      <c r="Z2835" s="25"/>
    </row>
    <row r="2836" spans="1:26" ht="15.75" customHeight="1" x14ac:dyDescent="0.25">
      <c r="A2836" s="25">
        <v>2834</v>
      </c>
      <c r="B2836" s="37" t="e">
        <f t="shared" ref="B2836:D2836" si="5709">VLOOKUP($A2836,[9]Hacienda!$A$1:$O$285,B$1,0)</f>
        <v>#N/A</v>
      </c>
      <c r="C2836" s="38" t="e">
        <f t="shared" si="5709"/>
        <v>#N/A</v>
      </c>
      <c r="D2836" s="39" t="e">
        <f t="shared" si="5709"/>
        <v>#N/A</v>
      </c>
      <c r="E2836" s="16" t="e">
        <f t="shared" si="1"/>
        <v>#N/A</v>
      </c>
      <c r="F2836" s="16" t="e">
        <f t="shared" ref="F2836:K2836" si="5710">VLOOKUP($A2836,[9]Hacienda!$A$1:$O$285,F$1,0)</f>
        <v>#N/A</v>
      </c>
      <c r="G2836" s="39" t="e">
        <f t="shared" si="5710"/>
        <v>#N/A</v>
      </c>
      <c r="H2836" s="16" t="e">
        <f t="shared" si="5710"/>
        <v>#N/A</v>
      </c>
      <c r="I2836" s="16" t="e">
        <f t="shared" si="5710"/>
        <v>#N/A</v>
      </c>
      <c r="J2836" s="40" t="e">
        <f t="shared" si="5710"/>
        <v>#N/A</v>
      </c>
      <c r="K2836" s="16" t="e">
        <f t="shared" si="5710"/>
        <v>#N/A</v>
      </c>
      <c r="L2836" s="40" t="e">
        <f t="shared" si="5441"/>
        <v>#N/A</v>
      </c>
      <c r="M2836" s="16" t="e">
        <f t="shared" si="5442"/>
        <v>#N/A</v>
      </c>
      <c r="N2836" s="16" t="e">
        <f t="shared" si="5443"/>
        <v>#N/A</v>
      </c>
      <c r="O2836" s="16" t="s">
        <v>73</v>
      </c>
      <c r="P2836" s="16" t="str">
        <f t="shared" si="6"/>
        <v/>
      </c>
      <c r="Q2836" s="41" t="e">
        <f t="shared" si="5444"/>
        <v>#N/A</v>
      </c>
      <c r="R2836" s="44"/>
      <c r="S2836" s="44"/>
      <c r="T2836" s="43"/>
      <c r="U2836" s="43" t="str">
        <f t="shared" si="8"/>
        <v>No</v>
      </c>
      <c r="V2836" s="25"/>
      <c r="W2836" s="25"/>
      <c r="X2836" s="25"/>
      <c r="Y2836" s="25"/>
      <c r="Z2836" s="25"/>
    </row>
    <row r="2837" spans="1:26" ht="15.75" customHeight="1" x14ac:dyDescent="0.25">
      <c r="A2837" s="25">
        <v>2835</v>
      </c>
      <c r="B2837" s="37" t="e">
        <f t="shared" ref="B2837:D2837" si="5711">VLOOKUP($A2837,[9]Hacienda!$A$1:$O$285,B$1,0)</f>
        <v>#N/A</v>
      </c>
      <c r="C2837" s="38" t="e">
        <f t="shared" si="5711"/>
        <v>#N/A</v>
      </c>
      <c r="D2837" s="39" t="e">
        <f t="shared" si="5711"/>
        <v>#N/A</v>
      </c>
      <c r="E2837" s="16" t="e">
        <f t="shared" si="1"/>
        <v>#N/A</v>
      </c>
      <c r="F2837" s="16" t="e">
        <f t="shared" ref="F2837:K2837" si="5712">VLOOKUP($A2837,[9]Hacienda!$A$1:$O$285,F$1,0)</f>
        <v>#N/A</v>
      </c>
      <c r="G2837" s="39" t="e">
        <f t="shared" si="5712"/>
        <v>#N/A</v>
      </c>
      <c r="H2837" s="16" t="e">
        <f t="shared" si="5712"/>
        <v>#N/A</v>
      </c>
      <c r="I2837" s="16" t="e">
        <f t="shared" si="5712"/>
        <v>#N/A</v>
      </c>
      <c r="J2837" s="40" t="e">
        <f t="shared" si="5712"/>
        <v>#N/A</v>
      </c>
      <c r="K2837" s="16" t="e">
        <f t="shared" si="5712"/>
        <v>#N/A</v>
      </c>
      <c r="L2837" s="40" t="e">
        <f t="shared" si="5441"/>
        <v>#N/A</v>
      </c>
      <c r="M2837" s="16" t="e">
        <f t="shared" si="5442"/>
        <v>#N/A</v>
      </c>
      <c r="N2837" s="16" t="e">
        <f t="shared" si="5443"/>
        <v>#N/A</v>
      </c>
      <c r="O2837" s="16" t="s">
        <v>73</v>
      </c>
      <c r="P2837" s="16" t="str">
        <f t="shared" si="6"/>
        <v/>
      </c>
      <c r="Q2837" s="41" t="e">
        <f t="shared" si="5444"/>
        <v>#N/A</v>
      </c>
      <c r="R2837" s="44"/>
      <c r="S2837" s="44"/>
      <c r="T2837" s="43"/>
      <c r="U2837" s="43" t="str">
        <f t="shared" si="8"/>
        <v>No</v>
      </c>
      <c r="V2837" s="25"/>
      <c r="W2837" s="25"/>
      <c r="X2837" s="25"/>
      <c r="Y2837" s="25"/>
      <c r="Z2837" s="25"/>
    </row>
    <row r="2838" spans="1:26" ht="15.75" customHeight="1" x14ac:dyDescent="0.25">
      <c r="A2838" s="25">
        <v>2836</v>
      </c>
      <c r="B2838" s="37" t="e">
        <f t="shared" ref="B2838:D2838" si="5713">VLOOKUP($A2838,[9]Hacienda!$A$1:$O$285,B$1,0)</f>
        <v>#N/A</v>
      </c>
      <c r="C2838" s="38" t="e">
        <f t="shared" si="5713"/>
        <v>#N/A</v>
      </c>
      <c r="D2838" s="39" t="e">
        <f t="shared" si="5713"/>
        <v>#N/A</v>
      </c>
      <c r="E2838" s="16" t="e">
        <f t="shared" si="1"/>
        <v>#N/A</v>
      </c>
      <c r="F2838" s="16" t="e">
        <f t="shared" ref="F2838:K2838" si="5714">VLOOKUP($A2838,[9]Hacienda!$A$1:$O$285,F$1,0)</f>
        <v>#N/A</v>
      </c>
      <c r="G2838" s="39" t="e">
        <f t="shared" si="5714"/>
        <v>#N/A</v>
      </c>
      <c r="H2838" s="16" t="e">
        <f t="shared" si="5714"/>
        <v>#N/A</v>
      </c>
      <c r="I2838" s="16" t="e">
        <f t="shared" si="5714"/>
        <v>#N/A</v>
      </c>
      <c r="J2838" s="40" t="e">
        <f t="shared" si="5714"/>
        <v>#N/A</v>
      </c>
      <c r="K2838" s="16" t="e">
        <f t="shared" si="5714"/>
        <v>#N/A</v>
      </c>
      <c r="L2838" s="40" t="e">
        <f t="shared" si="5441"/>
        <v>#N/A</v>
      </c>
      <c r="M2838" s="16" t="e">
        <f t="shared" si="5442"/>
        <v>#N/A</v>
      </c>
      <c r="N2838" s="16" t="e">
        <f t="shared" si="5443"/>
        <v>#N/A</v>
      </c>
      <c r="O2838" s="16" t="s">
        <v>73</v>
      </c>
      <c r="P2838" s="16" t="str">
        <f t="shared" si="6"/>
        <v/>
      </c>
      <c r="Q2838" s="41" t="e">
        <f t="shared" si="5444"/>
        <v>#N/A</v>
      </c>
      <c r="R2838" s="44"/>
      <c r="S2838" s="44"/>
      <c r="T2838" s="43"/>
      <c r="U2838" s="43" t="str">
        <f t="shared" si="8"/>
        <v>No</v>
      </c>
      <c r="V2838" s="25"/>
      <c r="W2838" s="25"/>
      <c r="X2838" s="25"/>
      <c r="Y2838" s="25"/>
      <c r="Z2838" s="25"/>
    </row>
    <row r="2839" spans="1:26" ht="15.75" customHeight="1" x14ac:dyDescent="0.25">
      <c r="A2839" s="25">
        <v>2837</v>
      </c>
      <c r="B2839" s="37" t="e">
        <f t="shared" ref="B2839:D2839" si="5715">VLOOKUP($A2839,[9]Hacienda!$A$1:$O$285,B$1,0)</f>
        <v>#N/A</v>
      </c>
      <c r="C2839" s="38" t="e">
        <f t="shared" si="5715"/>
        <v>#N/A</v>
      </c>
      <c r="D2839" s="39" t="e">
        <f t="shared" si="5715"/>
        <v>#N/A</v>
      </c>
      <c r="E2839" s="16" t="e">
        <f t="shared" si="1"/>
        <v>#N/A</v>
      </c>
      <c r="F2839" s="16" t="e">
        <f t="shared" ref="F2839:K2839" si="5716">VLOOKUP($A2839,[9]Hacienda!$A$1:$O$285,F$1,0)</f>
        <v>#N/A</v>
      </c>
      <c r="G2839" s="39" t="e">
        <f t="shared" si="5716"/>
        <v>#N/A</v>
      </c>
      <c r="H2839" s="16" t="e">
        <f t="shared" si="5716"/>
        <v>#N/A</v>
      </c>
      <c r="I2839" s="16" t="e">
        <f t="shared" si="5716"/>
        <v>#N/A</v>
      </c>
      <c r="J2839" s="40" t="e">
        <f t="shared" si="5716"/>
        <v>#N/A</v>
      </c>
      <c r="K2839" s="16" t="e">
        <f t="shared" si="5716"/>
        <v>#N/A</v>
      </c>
      <c r="L2839" s="40" t="e">
        <f t="shared" si="5441"/>
        <v>#N/A</v>
      </c>
      <c r="M2839" s="16" t="e">
        <f t="shared" si="5442"/>
        <v>#N/A</v>
      </c>
      <c r="N2839" s="16" t="e">
        <f t="shared" si="5443"/>
        <v>#N/A</v>
      </c>
      <c r="O2839" s="16" t="s">
        <v>73</v>
      </c>
      <c r="P2839" s="16" t="str">
        <f t="shared" si="6"/>
        <v/>
      </c>
      <c r="Q2839" s="41" t="e">
        <f t="shared" si="5444"/>
        <v>#N/A</v>
      </c>
      <c r="R2839" s="44"/>
      <c r="S2839" s="44"/>
      <c r="T2839" s="43"/>
      <c r="U2839" s="43" t="str">
        <f t="shared" si="8"/>
        <v>No</v>
      </c>
      <c r="V2839" s="25"/>
      <c r="W2839" s="25"/>
      <c r="X2839" s="25"/>
      <c r="Y2839" s="25"/>
      <c r="Z2839" s="25"/>
    </row>
    <row r="2840" spans="1:26" ht="15.75" customHeight="1" x14ac:dyDescent="0.25">
      <c r="A2840" s="25">
        <v>2838</v>
      </c>
      <c r="B2840" s="37" t="e">
        <f t="shared" ref="B2840:D2840" si="5717">VLOOKUP($A2840,[9]Hacienda!$A$1:$O$285,B$1,0)</f>
        <v>#N/A</v>
      </c>
      <c r="C2840" s="38" t="e">
        <f t="shared" si="5717"/>
        <v>#N/A</v>
      </c>
      <c r="D2840" s="39" t="e">
        <f t="shared" si="5717"/>
        <v>#N/A</v>
      </c>
      <c r="E2840" s="16" t="e">
        <f t="shared" si="1"/>
        <v>#N/A</v>
      </c>
      <c r="F2840" s="16" t="e">
        <f t="shared" ref="F2840:K2840" si="5718">VLOOKUP($A2840,[9]Hacienda!$A$1:$O$285,F$1,0)</f>
        <v>#N/A</v>
      </c>
      <c r="G2840" s="39" t="e">
        <f t="shared" si="5718"/>
        <v>#N/A</v>
      </c>
      <c r="H2840" s="16" t="e">
        <f t="shared" si="5718"/>
        <v>#N/A</v>
      </c>
      <c r="I2840" s="16" t="e">
        <f t="shared" si="5718"/>
        <v>#N/A</v>
      </c>
      <c r="J2840" s="40" t="e">
        <f t="shared" si="5718"/>
        <v>#N/A</v>
      </c>
      <c r="K2840" s="16" t="e">
        <f t="shared" si="5718"/>
        <v>#N/A</v>
      </c>
      <c r="L2840" s="40" t="e">
        <f t="shared" si="5441"/>
        <v>#N/A</v>
      </c>
      <c r="M2840" s="16" t="e">
        <f t="shared" si="5442"/>
        <v>#N/A</v>
      </c>
      <c r="N2840" s="16" t="e">
        <f t="shared" si="5443"/>
        <v>#N/A</v>
      </c>
      <c r="O2840" s="16" t="s">
        <v>73</v>
      </c>
      <c r="P2840" s="16" t="str">
        <f t="shared" si="6"/>
        <v/>
      </c>
      <c r="Q2840" s="41" t="e">
        <f t="shared" si="5444"/>
        <v>#N/A</v>
      </c>
      <c r="R2840" s="44"/>
      <c r="S2840" s="44"/>
      <c r="T2840" s="43"/>
      <c r="U2840" s="43" t="str">
        <f t="shared" si="8"/>
        <v>No</v>
      </c>
      <c r="V2840" s="25"/>
      <c r="W2840" s="25"/>
      <c r="X2840" s="25"/>
      <c r="Y2840" s="25"/>
      <c r="Z2840" s="25"/>
    </row>
    <row r="2841" spans="1:26" ht="15.75" customHeight="1" x14ac:dyDescent="0.25">
      <c r="A2841" s="25">
        <v>2839</v>
      </c>
      <c r="B2841" s="37" t="e">
        <f t="shared" ref="B2841:D2841" si="5719">VLOOKUP($A2841,[9]Hacienda!$A$1:$O$285,B$1,0)</f>
        <v>#N/A</v>
      </c>
      <c r="C2841" s="38" t="e">
        <f t="shared" si="5719"/>
        <v>#N/A</v>
      </c>
      <c r="D2841" s="39" t="e">
        <f t="shared" si="5719"/>
        <v>#N/A</v>
      </c>
      <c r="E2841" s="16" t="e">
        <f t="shared" si="1"/>
        <v>#N/A</v>
      </c>
      <c r="F2841" s="16" t="e">
        <f t="shared" ref="F2841:K2841" si="5720">VLOOKUP($A2841,[9]Hacienda!$A$1:$O$285,F$1,0)</f>
        <v>#N/A</v>
      </c>
      <c r="G2841" s="39" t="e">
        <f t="shared" si="5720"/>
        <v>#N/A</v>
      </c>
      <c r="H2841" s="16" t="e">
        <f t="shared" si="5720"/>
        <v>#N/A</v>
      </c>
      <c r="I2841" s="16" t="e">
        <f t="shared" si="5720"/>
        <v>#N/A</v>
      </c>
      <c r="J2841" s="40" t="e">
        <f t="shared" si="5720"/>
        <v>#N/A</v>
      </c>
      <c r="K2841" s="16" t="e">
        <f t="shared" si="5720"/>
        <v>#N/A</v>
      </c>
      <c r="L2841" s="40" t="e">
        <f t="shared" si="5441"/>
        <v>#N/A</v>
      </c>
      <c r="M2841" s="16" t="e">
        <f t="shared" si="5442"/>
        <v>#N/A</v>
      </c>
      <c r="N2841" s="16" t="e">
        <f t="shared" si="5443"/>
        <v>#N/A</v>
      </c>
      <c r="O2841" s="16" t="s">
        <v>73</v>
      </c>
      <c r="P2841" s="16" t="str">
        <f t="shared" si="6"/>
        <v/>
      </c>
      <c r="Q2841" s="41" t="e">
        <f t="shared" si="5444"/>
        <v>#N/A</v>
      </c>
      <c r="R2841" s="44"/>
      <c r="S2841" s="44"/>
      <c r="T2841" s="43"/>
      <c r="U2841" s="43" t="str">
        <f t="shared" si="8"/>
        <v>No</v>
      </c>
      <c r="V2841" s="25"/>
      <c r="W2841" s="25"/>
      <c r="X2841" s="25"/>
      <c r="Y2841" s="25"/>
      <c r="Z2841" s="25"/>
    </row>
    <row r="2842" spans="1:26" ht="15.75" customHeight="1" x14ac:dyDescent="0.25">
      <c r="A2842" s="25">
        <v>2840</v>
      </c>
      <c r="B2842" s="37" t="e">
        <f t="shared" ref="B2842:D2842" si="5721">VLOOKUP($A2842,[9]Hacienda!$A$1:$O$285,B$1,0)</f>
        <v>#N/A</v>
      </c>
      <c r="C2842" s="38" t="e">
        <f t="shared" si="5721"/>
        <v>#N/A</v>
      </c>
      <c r="D2842" s="39" t="e">
        <f t="shared" si="5721"/>
        <v>#N/A</v>
      </c>
      <c r="E2842" s="16" t="e">
        <f t="shared" si="1"/>
        <v>#N/A</v>
      </c>
      <c r="F2842" s="16" t="e">
        <f t="shared" ref="F2842:K2842" si="5722">VLOOKUP($A2842,[9]Hacienda!$A$1:$O$285,F$1,0)</f>
        <v>#N/A</v>
      </c>
      <c r="G2842" s="39" t="e">
        <f t="shared" si="5722"/>
        <v>#N/A</v>
      </c>
      <c r="H2842" s="16" t="e">
        <f t="shared" si="5722"/>
        <v>#N/A</v>
      </c>
      <c r="I2842" s="16" t="e">
        <f t="shared" si="5722"/>
        <v>#N/A</v>
      </c>
      <c r="J2842" s="40" t="e">
        <f t="shared" si="5722"/>
        <v>#N/A</v>
      </c>
      <c r="K2842" s="16" t="e">
        <f t="shared" si="5722"/>
        <v>#N/A</v>
      </c>
      <c r="L2842" s="40" t="e">
        <f t="shared" si="5441"/>
        <v>#N/A</v>
      </c>
      <c r="M2842" s="16" t="e">
        <f t="shared" si="5442"/>
        <v>#N/A</v>
      </c>
      <c r="N2842" s="16" t="e">
        <f t="shared" si="5443"/>
        <v>#N/A</v>
      </c>
      <c r="O2842" s="16" t="s">
        <v>73</v>
      </c>
      <c r="P2842" s="16" t="str">
        <f t="shared" si="6"/>
        <v/>
      </c>
      <c r="Q2842" s="41" t="e">
        <f t="shared" si="5444"/>
        <v>#N/A</v>
      </c>
      <c r="R2842" s="44"/>
      <c r="S2842" s="44"/>
      <c r="T2842" s="43"/>
      <c r="U2842" s="43" t="str">
        <f t="shared" si="8"/>
        <v>No</v>
      </c>
      <c r="V2842" s="25"/>
      <c r="W2842" s="25"/>
      <c r="X2842" s="25"/>
      <c r="Y2842" s="25"/>
      <c r="Z2842" s="25"/>
    </row>
    <row r="2843" spans="1:26" ht="15.75" customHeight="1" x14ac:dyDescent="0.25">
      <c r="A2843" s="25">
        <v>2841</v>
      </c>
      <c r="B2843" s="37" t="e">
        <f t="shared" ref="B2843:D2843" si="5723">VLOOKUP($A2843,[9]Hacienda!$A$1:$O$285,B$1,0)</f>
        <v>#N/A</v>
      </c>
      <c r="C2843" s="38" t="e">
        <f t="shared" si="5723"/>
        <v>#N/A</v>
      </c>
      <c r="D2843" s="39" t="e">
        <f t="shared" si="5723"/>
        <v>#N/A</v>
      </c>
      <c r="E2843" s="16" t="e">
        <f t="shared" si="1"/>
        <v>#N/A</v>
      </c>
      <c r="F2843" s="16" t="e">
        <f t="shared" ref="F2843:K2843" si="5724">VLOOKUP($A2843,[9]Hacienda!$A$1:$O$285,F$1,0)</f>
        <v>#N/A</v>
      </c>
      <c r="G2843" s="39" t="e">
        <f t="shared" si="5724"/>
        <v>#N/A</v>
      </c>
      <c r="H2843" s="16" t="e">
        <f t="shared" si="5724"/>
        <v>#N/A</v>
      </c>
      <c r="I2843" s="16" t="e">
        <f t="shared" si="5724"/>
        <v>#N/A</v>
      </c>
      <c r="J2843" s="40" t="e">
        <f t="shared" si="5724"/>
        <v>#N/A</v>
      </c>
      <c r="K2843" s="16" t="e">
        <f t="shared" si="5724"/>
        <v>#N/A</v>
      </c>
      <c r="L2843" s="40" t="e">
        <f t="shared" si="5441"/>
        <v>#N/A</v>
      </c>
      <c r="M2843" s="16" t="e">
        <f t="shared" si="5442"/>
        <v>#N/A</v>
      </c>
      <c r="N2843" s="16" t="e">
        <f t="shared" si="5443"/>
        <v>#N/A</v>
      </c>
      <c r="O2843" s="16" t="s">
        <v>73</v>
      </c>
      <c r="P2843" s="16" t="str">
        <f t="shared" si="6"/>
        <v/>
      </c>
      <c r="Q2843" s="41" t="e">
        <f t="shared" si="5444"/>
        <v>#N/A</v>
      </c>
      <c r="R2843" s="44"/>
      <c r="S2843" s="44"/>
      <c r="T2843" s="43"/>
      <c r="U2843" s="43" t="str">
        <f t="shared" si="8"/>
        <v>No</v>
      </c>
      <c r="V2843" s="25"/>
      <c r="W2843" s="25"/>
      <c r="X2843" s="25"/>
      <c r="Y2843" s="25"/>
      <c r="Z2843" s="25"/>
    </row>
    <row r="2844" spans="1:26" ht="15.75" customHeight="1" x14ac:dyDescent="0.25">
      <c r="A2844" s="25">
        <v>2842</v>
      </c>
      <c r="B2844" s="37" t="e">
        <f t="shared" ref="B2844:D2844" si="5725">VLOOKUP($A2844,[9]Hacienda!$A$1:$O$285,B$1,0)</f>
        <v>#N/A</v>
      </c>
      <c r="C2844" s="38" t="e">
        <f t="shared" si="5725"/>
        <v>#N/A</v>
      </c>
      <c r="D2844" s="39" t="e">
        <f t="shared" si="5725"/>
        <v>#N/A</v>
      </c>
      <c r="E2844" s="16" t="e">
        <f t="shared" si="1"/>
        <v>#N/A</v>
      </c>
      <c r="F2844" s="16" t="e">
        <f t="shared" ref="F2844:K2844" si="5726">VLOOKUP($A2844,[9]Hacienda!$A$1:$O$285,F$1,0)</f>
        <v>#N/A</v>
      </c>
      <c r="G2844" s="39" t="e">
        <f t="shared" si="5726"/>
        <v>#N/A</v>
      </c>
      <c r="H2844" s="16" t="e">
        <f t="shared" si="5726"/>
        <v>#N/A</v>
      </c>
      <c r="I2844" s="16" t="e">
        <f t="shared" si="5726"/>
        <v>#N/A</v>
      </c>
      <c r="J2844" s="40" t="e">
        <f t="shared" si="5726"/>
        <v>#N/A</v>
      </c>
      <c r="K2844" s="16" t="e">
        <f t="shared" si="5726"/>
        <v>#N/A</v>
      </c>
      <c r="L2844" s="40" t="e">
        <f t="shared" si="5441"/>
        <v>#N/A</v>
      </c>
      <c r="M2844" s="16" t="e">
        <f t="shared" si="5442"/>
        <v>#N/A</v>
      </c>
      <c r="N2844" s="16" t="e">
        <f t="shared" si="5443"/>
        <v>#N/A</v>
      </c>
      <c r="O2844" s="16" t="s">
        <v>73</v>
      </c>
      <c r="P2844" s="16" t="str">
        <f t="shared" si="6"/>
        <v/>
      </c>
      <c r="Q2844" s="41" t="e">
        <f t="shared" si="5444"/>
        <v>#N/A</v>
      </c>
      <c r="R2844" s="44"/>
      <c r="S2844" s="44"/>
      <c r="T2844" s="43"/>
      <c r="U2844" s="43" t="str">
        <f t="shared" si="8"/>
        <v>No</v>
      </c>
      <c r="V2844" s="25"/>
      <c r="W2844" s="25"/>
      <c r="X2844" s="25"/>
      <c r="Y2844" s="25"/>
      <c r="Z2844" s="25"/>
    </row>
    <row r="2845" spans="1:26" ht="15.75" customHeight="1" x14ac:dyDescent="0.25">
      <c r="A2845" s="25">
        <v>2843</v>
      </c>
      <c r="B2845" s="37" t="e">
        <f t="shared" ref="B2845:D2845" si="5727">VLOOKUP($A2845,[9]Hacienda!$A$1:$O$285,B$1,0)</f>
        <v>#N/A</v>
      </c>
      <c r="C2845" s="38" t="e">
        <f t="shared" si="5727"/>
        <v>#N/A</v>
      </c>
      <c r="D2845" s="39" t="e">
        <f t="shared" si="5727"/>
        <v>#N/A</v>
      </c>
      <c r="E2845" s="16" t="e">
        <f t="shared" si="1"/>
        <v>#N/A</v>
      </c>
      <c r="F2845" s="16" t="e">
        <f t="shared" ref="F2845:K2845" si="5728">VLOOKUP($A2845,[9]Hacienda!$A$1:$O$285,F$1,0)</f>
        <v>#N/A</v>
      </c>
      <c r="G2845" s="39" t="e">
        <f t="shared" si="5728"/>
        <v>#N/A</v>
      </c>
      <c r="H2845" s="16" t="e">
        <f t="shared" si="5728"/>
        <v>#N/A</v>
      </c>
      <c r="I2845" s="16" t="e">
        <f t="shared" si="5728"/>
        <v>#N/A</v>
      </c>
      <c r="J2845" s="40" t="e">
        <f t="shared" si="5728"/>
        <v>#N/A</v>
      </c>
      <c r="K2845" s="16" t="e">
        <f t="shared" si="5728"/>
        <v>#N/A</v>
      </c>
      <c r="L2845" s="40" t="e">
        <f t="shared" si="5441"/>
        <v>#N/A</v>
      </c>
      <c r="M2845" s="16" t="e">
        <f t="shared" si="5442"/>
        <v>#N/A</v>
      </c>
      <c r="N2845" s="16" t="e">
        <f t="shared" si="5443"/>
        <v>#N/A</v>
      </c>
      <c r="O2845" s="16" t="s">
        <v>73</v>
      </c>
      <c r="P2845" s="16" t="str">
        <f t="shared" si="6"/>
        <v/>
      </c>
      <c r="Q2845" s="41" t="e">
        <f t="shared" si="5444"/>
        <v>#N/A</v>
      </c>
      <c r="R2845" s="44"/>
      <c r="S2845" s="44"/>
      <c r="T2845" s="43"/>
      <c r="U2845" s="43" t="str">
        <f t="shared" si="8"/>
        <v>No</v>
      </c>
      <c r="V2845" s="25"/>
      <c r="W2845" s="25"/>
      <c r="X2845" s="25"/>
      <c r="Y2845" s="25"/>
      <c r="Z2845" s="25"/>
    </row>
    <row r="2846" spans="1:26" ht="15.75" customHeight="1" x14ac:dyDescent="0.25">
      <c r="A2846" s="25">
        <v>2844</v>
      </c>
      <c r="B2846" s="37" t="e">
        <f t="shared" ref="B2846:D2846" si="5729">VLOOKUP($A2846,[9]Hacienda!$A$1:$O$285,B$1,0)</f>
        <v>#N/A</v>
      </c>
      <c r="C2846" s="38" t="e">
        <f t="shared" si="5729"/>
        <v>#N/A</v>
      </c>
      <c r="D2846" s="39" t="e">
        <f t="shared" si="5729"/>
        <v>#N/A</v>
      </c>
      <c r="E2846" s="16" t="e">
        <f t="shared" si="1"/>
        <v>#N/A</v>
      </c>
      <c r="F2846" s="16" t="e">
        <f t="shared" ref="F2846:K2846" si="5730">VLOOKUP($A2846,[9]Hacienda!$A$1:$O$285,F$1,0)</f>
        <v>#N/A</v>
      </c>
      <c r="G2846" s="39" t="e">
        <f t="shared" si="5730"/>
        <v>#N/A</v>
      </c>
      <c r="H2846" s="16" t="e">
        <f t="shared" si="5730"/>
        <v>#N/A</v>
      </c>
      <c r="I2846" s="16" t="e">
        <f t="shared" si="5730"/>
        <v>#N/A</v>
      </c>
      <c r="J2846" s="40" t="e">
        <f t="shared" si="5730"/>
        <v>#N/A</v>
      </c>
      <c r="K2846" s="16" t="e">
        <f t="shared" si="5730"/>
        <v>#N/A</v>
      </c>
      <c r="L2846" s="40" t="e">
        <f t="shared" si="5441"/>
        <v>#N/A</v>
      </c>
      <c r="M2846" s="16" t="e">
        <f t="shared" si="5442"/>
        <v>#N/A</v>
      </c>
      <c r="N2846" s="16" t="e">
        <f t="shared" si="5443"/>
        <v>#N/A</v>
      </c>
      <c r="O2846" s="16" t="s">
        <v>73</v>
      </c>
      <c r="P2846" s="16" t="str">
        <f t="shared" si="6"/>
        <v/>
      </c>
      <c r="Q2846" s="41" t="e">
        <f t="shared" si="5444"/>
        <v>#N/A</v>
      </c>
      <c r="R2846" s="44"/>
      <c r="S2846" s="44"/>
      <c r="T2846" s="43"/>
      <c r="U2846" s="43" t="str">
        <f t="shared" si="8"/>
        <v>No</v>
      </c>
      <c r="V2846" s="25"/>
      <c r="W2846" s="25"/>
      <c r="X2846" s="25"/>
      <c r="Y2846" s="25"/>
      <c r="Z2846" s="25"/>
    </row>
    <row r="2847" spans="1:26" ht="15.75" customHeight="1" x14ac:dyDescent="0.25">
      <c r="A2847" s="25">
        <v>2845</v>
      </c>
      <c r="B2847" s="37" t="e">
        <f t="shared" ref="B2847:D2847" si="5731">VLOOKUP($A2847,[9]Hacienda!$A$1:$O$285,B$1,0)</f>
        <v>#N/A</v>
      </c>
      <c r="C2847" s="38" t="e">
        <f t="shared" si="5731"/>
        <v>#N/A</v>
      </c>
      <c r="D2847" s="39" t="e">
        <f t="shared" si="5731"/>
        <v>#N/A</v>
      </c>
      <c r="E2847" s="16" t="e">
        <f t="shared" si="1"/>
        <v>#N/A</v>
      </c>
      <c r="F2847" s="16" t="e">
        <f t="shared" ref="F2847:K2847" si="5732">VLOOKUP($A2847,[9]Hacienda!$A$1:$O$285,F$1,0)</f>
        <v>#N/A</v>
      </c>
      <c r="G2847" s="39" t="e">
        <f t="shared" si="5732"/>
        <v>#N/A</v>
      </c>
      <c r="H2847" s="16" t="e">
        <f t="shared" si="5732"/>
        <v>#N/A</v>
      </c>
      <c r="I2847" s="16" t="e">
        <f t="shared" si="5732"/>
        <v>#N/A</v>
      </c>
      <c r="J2847" s="40" t="e">
        <f t="shared" si="5732"/>
        <v>#N/A</v>
      </c>
      <c r="K2847" s="16" t="e">
        <f t="shared" si="5732"/>
        <v>#N/A</v>
      </c>
      <c r="L2847" s="40" t="e">
        <f t="shared" si="5441"/>
        <v>#N/A</v>
      </c>
      <c r="M2847" s="16" t="e">
        <f t="shared" si="5442"/>
        <v>#N/A</v>
      </c>
      <c r="N2847" s="16" t="e">
        <f t="shared" si="5443"/>
        <v>#N/A</v>
      </c>
      <c r="O2847" s="16" t="s">
        <v>73</v>
      </c>
      <c r="P2847" s="16" t="str">
        <f t="shared" si="6"/>
        <v/>
      </c>
      <c r="Q2847" s="41" t="e">
        <f t="shared" si="5444"/>
        <v>#N/A</v>
      </c>
      <c r="R2847" s="44"/>
      <c r="S2847" s="44"/>
      <c r="T2847" s="43"/>
      <c r="U2847" s="43" t="str">
        <f t="shared" si="8"/>
        <v>No</v>
      </c>
      <c r="V2847" s="25"/>
      <c r="W2847" s="25"/>
      <c r="X2847" s="25"/>
      <c r="Y2847" s="25"/>
      <c r="Z2847" s="25"/>
    </row>
    <row r="2848" spans="1:26" ht="15.75" customHeight="1" x14ac:dyDescent="0.25">
      <c r="A2848" s="25">
        <v>2846</v>
      </c>
      <c r="B2848" s="37" t="e">
        <f t="shared" ref="B2848:D2848" si="5733">VLOOKUP($A2848,[9]Hacienda!$A$1:$O$285,B$1,0)</f>
        <v>#N/A</v>
      </c>
      <c r="C2848" s="38" t="e">
        <f t="shared" si="5733"/>
        <v>#N/A</v>
      </c>
      <c r="D2848" s="39" t="e">
        <f t="shared" si="5733"/>
        <v>#N/A</v>
      </c>
      <c r="E2848" s="16" t="e">
        <f t="shared" si="1"/>
        <v>#N/A</v>
      </c>
      <c r="F2848" s="16" t="e">
        <f t="shared" ref="F2848:K2848" si="5734">VLOOKUP($A2848,[9]Hacienda!$A$1:$O$285,F$1,0)</f>
        <v>#N/A</v>
      </c>
      <c r="G2848" s="39" t="e">
        <f t="shared" si="5734"/>
        <v>#N/A</v>
      </c>
      <c r="H2848" s="16" t="e">
        <f t="shared" si="5734"/>
        <v>#N/A</v>
      </c>
      <c r="I2848" s="16" t="e">
        <f t="shared" si="5734"/>
        <v>#N/A</v>
      </c>
      <c r="J2848" s="40" t="e">
        <f t="shared" si="5734"/>
        <v>#N/A</v>
      </c>
      <c r="K2848" s="16" t="e">
        <f t="shared" si="5734"/>
        <v>#N/A</v>
      </c>
      <c r="L2848" s="40" t="e">
        <f t="shared" si="5441"/>
        <v>#N/A</v>
      </c>
      <c r="M2848" s="16" t="e">
        <f t="shared" si="5442"/>
        <v>#N/A</v>
      </c>
      <c r="N2848" s="16" t="e">
        <f t="shared" si="5443"/>
        <v>#N/A</v>
      </c>
      <c r="O2848" s="16" t="s">
        <v>73</v>
      </c>
      <c r="P2848" s="16" t="str">
        <f t="shared" si="6"/>
        <v/>
      </c>
      <c r="Q2848" s="41" t="e">
        <f t="shared" si="5444"/>
        <v>#N/A</v>
      </c>
      <c r="R2848" s="44"/>
      <c r="S2848" s="44"/>
      <c r="T2848" s="43"/>
      <c r="U2848" s="43" t="str">
        <f t="shared" si="8"/>
        <v>No</v>
      </c>
      <c r="V2848" s="25"/>
      <c r="W2848" s="25"/>
      <c r="X2848" s="25"/>
      <c r="Y2848" s="25"/>
      <c r="Z2848" s="25"/>
    </row>
    <row r="2849" spans="1:26" ht="15.75" customHeight="1" x14ac:dyDescent="0.25">
      <c r="A2849" s="25">
        <v>2847</v>
      </c>
      <c r="B2849" s="37" t="e">
        <f t="shared" ref="B2849:D2849" si="5735">VLOOKUP($A2849,[9]Hacienda!$A$1:$O$285,B$1,0)</f>
        <v>#N/A</v>
      </c>
      <c r="C2849" s="38" t="e">
        <f t="shared" si="5735"/>
        <v>#N/A</v>
      </c>
      <c r="D2849" s="39" t="e">
        <f t="shared" si="5735"/>
        <v>#N/A</v>
      </c>
      <c r="E2849" s="16" t="e">
        <f t="shared" si="1"/>
        <v>#N/A</v>
      </c>
      <c r="F2849" s="16" t="e">
        <f t="shared" ref="F2849:K2849" si="5736">VLOOKUP($A2849,[9]Hacienda!$A$1:$O$285,F$1,0)</f>
        <v>#N/A</v>
      </c>
      <c r="G2849" s="39" t="e">
        <f t="shared" si="5736"/>
        <v>#N/A</v>
      </c>
      <c r="H2849" s="16" t="e">
        <f t="shared" si="5736"/>
        <v>#N/A</v>
      </c>
      <c r="I2849" s="16" t="e">
        <f t="shared" si="5736"/>
        <v>#N/A</v>
      </c>
      <c r="J2849" s="40" t="e">
        <f t="shared" si="5736"/>
        <v>#N/A</v>
      </c>
      <c r="K2849" s="16" t="e">
        <f t="shared" si="5736"/>
        <v>#N/A</v>
      </c>
      <c r="L2849" s="40" t="e">
        <f t="shared" si="5441"/>
        <v>#N/A</v>
      </c>
      <c r="M2849" s="16" t="e">
        <f t="shared" si="5442"/>
        <v>#N/A</v>
      </c>
      <c r="N2849" s="16" t="e">
        <f t="shared" si="5443"/>
        <v>#N/A</v>
      </c>
      <c r="O2849" s="16" t="s">
        <v>73</v>
      </c>
      <c r="P2849" s="16" t="str">
        <f t="shared" si="6"/>
        <v/>
      </c>
      <c r="Q2849" s="41" t="e">
        <f t="shared" si="5444"/>
        <v>#N/A</v>
      </c>
      <c r="R2849" s="44"/>
      <c r="S2849" s="44"/>
      <c r="T2849" s="43"/>
      <c r="U2849" s="43" t="str">
        <f t="shared" si="8"/>
        <v>No</v>
      </c>
      <c r="V2849" s="25"/>
      <c r="W2849" s="25"/>
      <c r="X2849" s="25"/>
      <c r="Y2849" s="25"/>
      <c r="Z2849" s="25"/>
    </row>
    <row r="2850" spans="1:26" ht="15.75" customHeight="1" x14ac:dyDescent="0.25">
      <c r="A2850" s="25">
        <v>2848</v>
      </c>
      <c r="B2850" s="37" t="e">
        <f t="shared" ref="B2850:D2850" si="5737">VLOOKUP($A2850,[9]Hacienda!$A$1:$O$285,B$1,0)</f>
        <v>#N/A</v>
      </c>
      <c r="C2850" s="38" t="e">
        <f t="shared" si="5737"/>
        <v>#N/A</v>
      </c>
      <c r="D2850" s="39" t="e">
        <f t="shared" si="5737"/>
        <v>#N/A</v>
      </c>
      <c r="E2850" s="16" t="e">
        <f t="shared" si="1"/>
        <v>#N/A</v>
      </c>
      <c r="F2850" s="16" t="e">
        <f t="shared" ref="F2850:K2850" si="5738">VLOOKUP($A2850,[9]Hacienda!$A$1:$O$285,F$1,0)</f>
        <v>#N/A</v>
      </c>
      <c r="G2850" s="39" t="e">
        <f t="shared" si="5738"/>
        <v>#N/A</v>
      </c>
      <c r="H2850" s="16" t="e">
        <f t="shared" si="5738"/>
        <v>#N/A</v>
      </c>
      <c r="I2850" s="16" t="e">
        <f t="shared" si="5738"/>
        <v>#N/A</v>
      </c>
      <c r="J2850" s="40" t="e">
        <f t="shared" si="5738"/>
        <v>#N/A</v>
      </c>
      <c r="K2850" s="16" t="e">
        <f t="shared" si="5738"/>
        <v>#N/A</v>
      </c>
      <c r="L2850" s="40" t="e">
        <f t="shared" si="5441"/>
        <v>#N/A</v>
      </c>
      <c r="M2850" s="16" t="e">
        <f t="shared" si="5442"/>
        <v>#N/A</v>
      </c>
      <c r="N2850" s="16" t="e">
        <f t="shared" si="5443"/>
        <v>#N/A</v>
      </c>
      <c r="O2850" s="16" t="s">
        <v>73</v>
      </c>
      <c r="P2850" s="16" t="str">
        <f t="shared" si="6"/>
        <v/>
      </c>
      <c r="Q2850" s="41" t="e">
        <f t="shared" si="5444"/>
        <v>#N/A</v>
      </c>
      <c r="R2850" s="44"/>
      <c r="S2850" s="44"/>
      <c r="T2850" s="43"/>
      <c r="U2850" s="43" t="str">
        <f t="shared" si="8"/>
        <v>No</v>
      </c>
      <c r="V2850" s="25"/>
      <c r="W2850" s="25"/>
      <c r="X2850" s="25"/>
      <c r="Y2850" s="25"/>
      <c r="Z2850" s="25"/>
    </row>
    <row r="2851" spans="1:26" ht="15.75" customHeight="1" x14ac:dyDescent="0.25">
      <c r="A2851" s="25">
        <v>2849</v>
      </c>
      <c r="B2851" s="37" t="e">
        <f t="shared" ref="B2851:D2851" si="5739">VLOOKUP($A2851,[9]Hacienda!$A$1:$O$285,B$1,0)</f>
        <v>#N/A</v>
      </c>
      <c r="C2851" s="38" t="e">
        <f t="shared" si="5739"/>
        <v>#N/A</v>
      </c>
      <c r="D2851" s="39" t="e">
        <f t="shared" si="5739"/>
        <v>#N/A</v>
      </c>
      <c r="E2851" s="16" t="e">
        <f t="shared" si="1"/>
        <v>#N/A</v>
      </c>
      <c r="F2851" s="16" t="e">
        <f t="shared" ref="F2851:K2851" si="5740">VLOOKUP($A2851,[9]Hacienda!$A$1:$O$285,F$1,0)</f>
        <v>#N/A</v>
      </c>
      <c r="G2851" s="39" t="e">
        <f t="shared" si="5740"/>
        <v>#N/A</v>
      </c>
      <c r="H2851" s="16" t="e">
        <f t="shared" si="5740"/>
        <v>#N/A</v>
      </c>
      <c r="I2851" s="16" t="e">
        <f t="shared" si="5740"/>
        <v>#N/A</v>
      </c>
      <c r="J2851" s="40" t="e">
        <f t="shared" si="5740"/>
        <v>#N/A</v>
      </c>
      <c r="K2851" s="16" t="e">
        <f t="shared" si="5740"/>
        <v>#N/A</v>
      </c>
      <c r="L2851" s="40" t="e">
        <f t="shared" si="5441"/>
        <v>#N/A</v>
      </c>
      <c r="M2851" s="16" t="e">
        <f t="shared" si="5442"/>
        <v>#N/A</v>
      </c>
      <c r="N2851" s="16" t="e">
        <f t="shared" si="5443"/>
        <v>#N/A</v>
      </c>
      <c r="O2851" s="16" t="s">
        <v>73</v>
      </c>
      <c r="P2851" s="16" t="str">
        <f t="shared" si="6"/>
        <v/>
      </c>
      <c r="Q2851" s="41" t="e">
        <f t="shared" si="5444"/>
        <v>#N/A</v>
      </c>
      <c r="R2851" s="44"/>
      <c r="S2851" s="44"/>
      <c r="T2851" s="43"/>
      <c r="U2851" s="43" t="str">
        <f t="shared" si="8"/>
        <v>No</v>
      </c>
      <c r="V2851" s="25"/>
      <c r="W2851" s="25"/>
      <c r="X2851" s="25"/>
      <c r="Y2851" s="25"/>
      <c r="Z2851" s="25"/>
    </row>
    <row r="2852" spans="1:26" ht="15.75" customHeight="1" x14ac:dyDescent="0.25">
      <c r="A2852" s="25">
        <v>2850</v>
      </c>
      <c r="B2852" s="37" t="e">
        <f t="shared" ref="B2852:D2852" si="5741">VLOOKUP($A2852,[9]Hacienda!$A$1:$O$285,B$1,0)</f>
        <v>#N/A</v>
      </c>
      <c r="C2852" s="38" t="e">
        <f t="shared" si="5741"/>
        <v>#N/A</v>
      </c>
      <c r="D2852" s="39" t="e">
        <f t="shared" si="5741"/>
        <v>#N/A</v>
      </c>
      <c r="E2852" s="16" t="e">
        <f t="shared" si="1"/>
        <v>#N/A</v>
      </c>
      <c r="F2852" s="16" t="e">
        <f t="shared" ref="F2852:K2852" si="5742">VLOOKUP($A2852,[9]Hacienda!$A$1:$O$285,F$1,0)</f>
        <v>#N/A</v>
      </c>
      <c r="G2852" s="39" t="e">
        <f t="shared" si="5742"/>
        <v>#N/A</v>
      </c>
      <c r="H2852" s="16" t="e">
        <f t="shared" si="5742"/>
        <v>#N/A</v>
      </c>
      <c r="I2852" s="16" t="e">
        <f t="shared" si="5742"/>
        <v>#N/A</v>
      </c>
      <c r="J2852" s="40" t="e">
        <f t="shared" si="5742"/>
        <v>#N/A</v>
      </c>
      <c r="K2852" s="16" t="e">
        <f t="shared" si="5742"/>
        <v>#N/A</v>
      </c>
      <c r="L2852" s="40" t="e">
        <f t="shared" si="5441"/>
        <v>#N/A</v>
      </c>
      <c r="M2852" s="16" t="e">
        <f t="shared" si="5442"/>
        <v>#N/A</v>
      </c>
      <c r="N2852" s="16" t="e">
        <f t="shared" si="5443"/>
        <v>#N/A</v>
      </c>
      <c r="O2852" s="16" t="s">
        <v>73</v>
      </c>
      <c r="P2852" s="16" t="str">
        <f t="shared" si="6"/>
        <v/>
      </c>
      <c r="Q2852" s="41" t="e">
        <f t="shared" si="5444"/>
        <v>#N/A</v>
      </c>
      <c r="R2852" s="44"/>
      <c r="S2852" s="44"/>
      <c r="T2852" s="43"/>
      <c r="U2852" s="43" t="str">
        <f t="shared" si="8"/>
        <v>No</v>
      </c>
      <c r="V2852" s="25"/>
      <c r="W2852" s="25"/>
      <c r="X2852" s="25"/>
      <c r="Y2852" s="25"/>
      <c r="Z2852" s="25"/>
    </row>
    <row r="2853" spans="1:26" ht="15.75" customHeight="1" x14ac:dyDescent="0.25">
      <c r="A2853" s="25">
        <v>2851</v>
      </c>
      <c r="B2853" s="37" t="e">
        <f t="shared" ref="B2853:D2853" si="5743">VLOOKUP($A2853,[9]Hacienda!$A$1:$O$285,B$1,0)</f>
        <v>#N/A</v>
      </c>
      <c r="C2853" s="38" t="e">
        <f t="shared" si="5743"/>
        <v>#N/A</v>
      </c>
      <c r="D2853" s="39" t="e">
        <f t="shared" si="5743"/>
        <v>#N/A</v>
      </c>
      <c r="E2853" s="16" t="e">
        <f t="shared" si="1"/>
        <v>#N/A</v>
      </c>
      <c r="F2853" s="16" t="e">
        <f t="shared" ref="F2853:K2853" si="5744">VLOOKUP($A2853,[9]Hacienda!$A$1:$O$285,F$1,0)</f>
        <v>#N/A</v>
      </c>
      <c r="G2853" s="39" t="e">
        <f t="shared" si="5744"/>
        <v>#N/A</v>
      </c>
      <c r="H2853" s="16" t="e">
        <f t="shared" si="5744"/>
        <v>#N/A</v>
      </c>
      <c r="I2853" s="16" t="e">
        <f t="shared" si="5744"/>
        <v>#N/A</v>
      </c>
      <c r="J2853" s="40" t="e">
        <f t="shared" si="5744"/>
        <v>#N/A</v>
      </c>
      <c r="K2853" s="16" t="e">
        <f t="shared" si="5744"/>
        <v>#N/A</v>
      </c>
      <c r="L2853" s="40" t="e">
        <f t="shared" si="5441"/>
        <v>#N/A</v>
      </c>
      <c r="M2853" s="16" t="e">
        <f t="shared" si="5442"/>
        <v>#N/A</v>
      </c>
      <c r="N2853" s="16" t="e">
        <f t="shared" si="5443"/>
        <v>#N/A</v>
      </c>
      <c r="O2853" s="16" t="s">
        <v>73</v>
      </c>
      <c r="P2853" s="16" t="str">
        <f t="shared" si="6"/>
        <v/>
      </c>
      <c r="Q2853" s="41" t="e">
        <f t="shared" si="5444"/>
        <v>#N/A</v>
      </c>
      <c r="R2853" s="44"/>
      <c r="S2853" s="44"/>
      <c r="T2853" s="43"/>
      <c r="U2853" s="43" t="str">
        <f t="shared" si="8"/>
        <v>No</v>
      </c>
      <c r="V2853" s="25"/>
      <c r="W2853" s="25"/>
      <c r="X2853" s="25"/>
      <c r="Y2853" s="25"/>
      <c r="Z2853" s="25"/>
    </row>
    <row r="2854" spans="1:26" ht="15.75" customHeight="1" x14ac:dyDescent="0.25">
      <c r="A2854" s="25">
        <v>2852</v>
      </c>
      <c r="B2854" s="37" t="e">
        <f t="shared" ref="B2854:D2854" si="5745">VLOOKUP($A2854,[9]Hacienda!$A$1:$O$285,B$1,0)</f>
        <v>#N/A</v>
      </c>
      <c r="C2854" s="38" t="e">
        <f t="shared" si="5745"/>
        <v>#N/A</v>
      </c>
      <c r="D2854" s="39" t="e">
        <f t="shared" si="5745"/>
        <v>#N/A</v>
      </c>
      <c r="E2854" s="16" t="e">
        <f t="shared" si="1"/>
        <v>#N/A</v>
      </c>
      <c r="F2854" s="16" t="e">
        <f t="shared" ref="F2854:K2854" si="5746">VLOOKUP($A2854,[9]Hacienda!$A$1:$O$285,F$1,0)</f>
        <v>#N/A</v>
      </c>
      <c r="G2854" s="39" t="e">
        <f t="shared" si="5746"/>
        <v>#N/A</v>
      </c>
      <c r="H2854" s="16" t="e">
        <f t="shared" si="5746"/>
        <v>#N/A</v>
      </c>
      <c r="I2854" s="16" t="e">
        <f t="shared" si="5746"/>
        <v>#N/A</v>
      </c>
      <c r="J2854" s="40" t="e">
        <f t="shared" si="5746"/>
        <v>#N/A</v>
      </c>
      <c r="K2854" s="16" t="e">
        <f t="shared" si="5746"/>
        <v>#N/A</v>
      </c>
      <c r="L2854" s="40" t="e">
        <f t="shared" si="5441"/>
        <v>#N/A</v>
      </c>
      <c r="M2854" s="16" t="e">
        <f t="shared" si="5442"/>
        <v>#N/A</v>
      </c>
      <c r="N2854" s="16" t="e">
        <f t="shared" si="5443"/>
        <v>#N/A</v>
      </c>
      <c r="O2854" s="16" t="s">
        <v>73</v>
      </c>
      <c r="P2854" s="16" t="str">
        <f t="shared" si="6"/>
        <v/>
      </c>
      <c r="Q2854" s="41" t="e">
        <f t="shared" si="5444"/>
        <v>#N/A</v>
      </c>
      <c r="R2854" s="44"/>
      <c r="S2854" s="44"/>
      <c r="T2854" s="43"/>
      <c r="U2854" s="43" t="str">
        <f t="shared" si="8"/>
        <v>No</v>
      </c>
      <c r="V2854" s="25"/>
      <c r="W2854" s="25"/>
      <c r="X2854" s="25"/>
      <c r="Y2854" s="25"/>
      <c r="Z2854" s="25"/>
    </row>
    <row r="2855" spans="1:26" ht="15.75" customHeight="1" x14ac:dyDescent="0.25">
      <c r="A2855" s="25">
        <v>2853</v>
      </c>
      <c r="B2855" s="37" t="e">
        <f t="shared" ref="B2855:D2855" si="5747">VLOOKUP($A2855,[9]Hacienda!$A$1:$O$285,B$1,0)</f>
        <v>#N/A</v>
      </c>
      <c r="C2855" s="38" t="e">
        <f t="shared" si="5747"/>
        <v>#N/A</v>
      </c>
      <c r="D2855" s="39" t="e">
        <f t="shared" si="5747"/>
        <v>#N/A</v>
      </c>
      <c r="E2855" s="16" t="e">
        <f t="shared" si="1"/>
        <v>#N/A</v>
      </c>
      <c r="F2855" s="16" t="e">
        <f t="shared" ref="F2855:K2855" si="5748">VLOOKUP($A2855,[9]Hacienda!$A$1:$O$285,F$1,0)</f>
        <v>#N/A</v>
      </c>
      <c r="G2855" s="39" t="e">
        <f t="shared" si="5748"/>
        <v>#N/A</v>
      </c>
      <c r="H2855" s="16" t="e">
        <f t="shared" si="5748"/>
        <v>#N/A</v>
      </c>
      <c r="I2855" s="16" t="e">
        <f t="shared" si="5748"/>
        <v>#N/A</v>
      </c>
      <c r="J2855" s="40" t="e">
        <f t="shared" si="5748"/>
        <v>#N/A</v>
      </c>
      <c r="K2855" s="16" t="e">
        <f t="shared" si="5748"/>
        <v>#N/A</v>
      </c>
      <c r="L2855" s="40" t="e">
        <f t="shared" si="5441"/>
        <v>#N/A</v>
      </c>
      <c r="M2855" s="16" t="e">
        <f t="shared" si="5442"/>
        <v>#N/A</v>
      </c>
      <c r="N2855" s="16" t="e">
        <f t="shared" si="5443"/>
        <v>#N/A</v>
      </c>
      <c r="O2855" s="16" t="s">
        <v>73</v>
      </c>
      <c r="P2855" s="16" t="str">
        <f t="shared" si="6"/>
        <v/>
      </c>
      <c r="Q2855" s="41" t="e">
        <f t="shared" si="5444"/>
        <v>#N/A</v>
      </c>
      <c r="R2855" s="44"/>
      <c r="S2855" s="44"/>
      <c r="T2855" s="43"/>
      <c r="U2855" s="43" t="str">
        <f t="shared" si="8"/>
        <v>No</v>
      </c>
      <c r="V2855" s="25"/>
      <c r="W2855" s="25"/>
      <c r="X2855" s="25"/>
      <c r="Y2855" s="25"/>
      <c r="Z2855" s="25"/>
    </row>
    <row r="2856" spans="1:26" ht="15.75" customHeight="1" x14ac:dyDescent="0.25">
      <c r="A2856" s="25">
        <v>2854</v>
      </c>
      <c r="B2856" s="37" t="e">
        <f t="shared" ref="B2856:D2856" si="5749">VLOOKUP($A2856,[9]Hacienda!$A$1:$O$285,B$1,0)</f>
        <v>#N/A</v>
      </c>
      <c r="C2856" s="38" t="e">
        <f t="shared" si="5749"/>
        <v>#N/A</v>
      </c>
      <c r="D2856" s="39" t="e">
        <f t="shared" si="5749"/>
        <v>#N/A</v>
      </c>
      <c r="E2856" s="16" t="e">
        <f t="shared" si="1"/>
        <v>#N/A</v>
      </c>
      <c r="F2856" s="16" t="e">
        <f t="shared" ref="F2856:K2856" si="5750">VLOOKUP($A2856,[9]Hacienda!$A$1:$O$285,F$1,0)</f>
        <v>#N/A</v>
      </c>
      <c r="G2856" s="39" t="e">
        <f t="shared" si="5750"/>
        <v>#N/A</v>
      </c>
      <c r="H2856" s="16" t="e">
        <f t="shared" si="5750"/>
        <v>#N/A</v>
      </c>
      <c r="I2856" s="16" t="e">
        <f t="shared" si="5750"/>
        <v>#N/A</v>
      </c>
      <c r="J2856" s="40" t="e">
        <f t="shared" si="5750"/>
        <v>#N/A</v>
      </c>
      <c r="K2856" s="16" t="e">
        <f t="shared" si="5750"/>
        <v>#N/A</v>
      </c>
      <c r="L2856" s="40" t="e">
        <f t="shared" si="5441"/>
        <v>#N/A</v>
      </c>
      <c r="M2856" s="16" t="e">
        <f t="shared" si="5442"/>
        <v>#N/A</v>
      </c>
      <c r="N2856" s="16" t="e">
        <f t="shared" si="5443"/>
        <v>#N/A</v>
      </c>
      <c r="O2856" s="16" t="s">
        <v>73</v>
      </c>
      <c r="P2856" s="16" t="str">
        <f t="shared" si="6"/>
        <v/>
      </c>
      <c r="Q2856" s="41" t="e">
        <f t="shared" si="5444"/>
        <v>#N/A</v>
      </c>
      <c r="R2856" s="44"/>
      <c r="S2856" s="44"/>
      <c r="T2856" s="43"/>
      <c r="U2856" s="43" t="str">
        <f t="shared" si="8"/>
        <v>No</v>
      </c>
      <c r="V2856" s="25"/>
      <c r="W2856" s="25"/>
      <c r="X2856" s="25"/>
      <c r="Y2856" s="25"/>
      <c r="Z2856" s="25"/>
    </row>
    <row r="2857" spans="1:26" ht="15.75" customHeight="1" x14ac:dyDescent="0.25">
      <c r="A2857" s="25">
        <v>2855</v>
      </c>
      <c r="B2857" s="37" t="e">
        <f t="shared" ref="B2857:D2857" si="5751">VLOOKUP($A2857,[9]Hacienda!$A$1:$O$285,B$1,0)</f>
        <v>#N/A</v>
      </c>
      <c r="C2857" s="38" t="e">
        <f t="shared" si="5751"/>
        <v>#N/A</v>
      </c>
      <c r="D2857" s="39" t="e">
        <f t="shared" si="5751"/>
        <v>#N/A</v>
      </c>
      <c r="E2857" s="16" t="e">
        <f t="shared" si="1"/>
        <v>#N/A</v>
      </c>
      <c r="F2857" s="16" t="e">
        <f t="shared" ref="F2857:K2857" si="5752">VLOOKUP($A2857,[9]Hacienda!$A$1:$O$285,F$1,0)</f>
        <v>#N/A</v>
      </c>
      <c r="G2857" s="39" t="e">
        <f t="shared" si="5752"/>
        <v>#N/A</v>
      </c>
      <c r="H2857" s="16" t="e">
        <f t="shared" si="5752"/>
        <v>#N/A</v>
      </c>
      <c r="I2857" s="16" t="e">
        <f t="shared" si="5752"/>
        <v>#N/A</v>
      </c>
      <c r="J2857" s="40" t="e">
        <f t="shared" si="5752"/>
        <v>#N/A</v>
      </c>
      <c r="K2857" s="16" t="e">
        <f t="shared" si="5752"/>
        <v>#N/A</v>
      </c>
      <c r="L2857" s="40" t="e">
        <f t="shared" si="5441"/>
        <v>#N/A</v>
      </c>
      <c r="M2857" s="16" t="e">
        <f t="shared" si="5442"/>
        <v>#N/A</v>
      </c>
      <c r="N2857" s="16" t="e">
        <f t="shared" si="5443"/>
        <v>#N/A</v>
      </c>
      <c r="O2857" s="16" t="s">
        <v>73</v>
      </c>
      <c r="P2857" s="16" t="str">
        <f t="shared" si="6"/>
        <v/>
      </c>
      <c r="Q2857" s="41" t="e">
        <f t="shared" si="5444"/>
        <v>#N/A</v>
      </c>
      <c r="R2857" s="44"/>
      <c r="S2857" s="44"/>
      <c r="T2857" s="43"/>
      <c r="U2857" s="43" t="str">
        <f t="shared" si="8"/>
        <v>No</v>
      </c>
      <c r="V2857" s="25"/>
      <c r="W2857" s="25"/>
      <c r="X2857" s="25"/>
      <c r="Y2857" s="25"/>
      <c r="Z2857" s="25"/>
    </row>
    <row r="2858" spans="1:26" ht="15.75" customHeight="1" x14ac:dyDescent="0.25">
      <c r="A2858" s="25">
        <v>2856</v>
      </c>
      <c r="B2858" s="37" t="e">
        <f t="shared" ref="B2858:D2858" si="5753">VLOOKUP($A2858,[9]Hacienda!$A$1:$O$285,B$1,0)</f>
        <v>#N/A</v>
      </c>
      <c r="C2858" s="38" t="e">
        <f t="shared" si="5753"/>
        <v>#N/A</v>
      </c>
      <c r="D2858" s="39" t="e">
        <f t="shared" si="5753"/>
        <v>#N/A</v>
      </c>
      <c r="E2858" s="16" t="e">
        <f t="shared" si="1"/>
        <v>#N/A</v>
      </c>
      <c r="F2858" s="16" t="e">
        <f t="shared" ref="F2858:K2858" si="5754">VLOOKUP($A2858,[9]Hacienda!$A$1:$O$285,F$1,0)</f>
        <v>#N/A</v>
      </c>
      <c r="G2858" s="39" t="e">
        <f t="shared" si="5754"/>
        <v>#N/A</v>
      </c>
      <c r="H2858" s="16" t="e">
        <f t="shared" si="5754"/>
        <v>#N/A</v>
      </c>
      <c r="I2858" s="16" t="e">
        <f t="shared" si="5754"/>
        <v>#N/A</v>
      </c>
      <c r="J2858" s="40" t="e">
        <f t="shared" si="5754"/>
        <v>#N/A</v>
      </c>
      <c r="K2858" s="16" t="e">
        <f t="shared" si="5754"/>
        <v>#N/A</v>
      </c>
      <c r="L2858" s="40" t="e">
        <f t="shared" si="5441"/>
        <v>#N/A</v>
      </c>
      <c r="M2858" s="16" t="e">
        <f t="shared" si="5442"/>
        <v>#N/A</v>
      </c>
      <c r="N2858" s="16" t="e">
        <f t="shared" si="5443"/>
        <v>#N/A</v>
      </c>
      <c r="O2858" s="16" t="s">
        <v>73</v>
      </c>
      <c r="P2858" s="16" t="str">
        <f t="shared" si="6"/>
        <v/>
      </c>
      <c r="Q2858" s="41" t="e">
        <f t="shared" si="5444"/>
        <v>#N/A</v>
      </c>
      <c r="R2858" s="44"/>
      <c r="S2858" s="44"/>
      <c r="T2858" s="43"/>
      <c r="U2858" s="43" t="str">
        <f t="shared" si="8"/>
        <v>No</v>
      </c>
      <c r="V2858" s="25"/>
      <c r="W2858" s="25"/>
      <c r="X2858" s="25"/>
      <c r="Y2858" s="25"/>
      <c r="Z2858" s="25"/>
    </row>
    <row r="2859" spans="1:26" ht="15.75" customHeight="1" x14ac:dyDescent="0.25">
      <c r="A2859" s="25">
        <v>2857</v>
      </c>
      <c r="B2859" s="37" t="e">
        <f t="shared" ref="B2859:D2859" si="5755">VLOOKUP($A2859,[9]Hacienda!$A$1:$O$285,B$1,0)</f>
        <v>#N/A</v>
      </c>
      <c r="C2859" s="38" t="e">
        <f t="shared" si="5755"/>
        <v>#N/A</v>
      </c>
      <c r="D2859" s="39" t="e">
        <f t="shared" si="5755"/>
        <v>#N/A</v>
      </c>
      <c r="E2859" s="16" t="e">
        <f t="shared" si="1"/>
        <v>#N/A</v>
      </c>
      <c r="F2859" s="16" t="e">
        <f t="shared" ref="F2859:K2859" si="5756">VLOOKUP($A2859,[9]Hacienda!$A$1:$O$285,F$1,0)</f>
        <v>#N/A</v>
      </c>
      <c r="G2859" s="39" t="e">
        <f t="shared" si="5756"/>
        <v>#N/A</v>
      </c>
      <c r="H2859" s="16" t="e">
        <f t="shared" si="5756"/>
        <v>#N/A</v>
      </c>
      <c r="I2859" s="16" t="e">
        <f t="shared" si="5756"/>
        <v>#N/A</v>
      </c>
      <c r="J2859" s="40" t="e">
        <f t="shared" si="5756"/>
        <v>#N/A</v>
      </c>
      <c r="K2859" s="16" t="e">
        <f t="shared" si="5756"/>
        <v>#N/A</v>
      </c>
      <c r="L2859" s="40" t="e">
        <f t="shared" si="5441"/>
        <v>#N/A</v>
      </c>
      <c r="M2859" s="16" t="e">
        <f t="shared" si="5442"/>
        <v>#N/A</v>
      </c>
      <c r="N2859" s="16" t="e">
        <f t="shared" si="5443"/>
        <v>#N/A</v>
      </c>
      <c r="O2859" s="16" t="s">
        <v>73</v>
      </c>
      <c r="P2859" s="16" t="str">
        <f t="shared" si="6"/>
        <v/>
      </c>
      <c r="Q2859" s="41" t="e">
        <f t="shared" si="5444"/>
        <v>#N/A</v>
      </c>
      <c r="R2859" s="44"/>
      <c r="S2859" s="44"/>
      <c r="T2859" s="43"/>
      <c r="U2859" s="43" t="str">
        <f t="shared" si="8"/>
        <v>No</v>
      </c>
      <c r="V2859" s="25"/>
      <c r="W2859" s="25"/>
      <c r="X2859" s="25"/>
      <c r="Y2859" s="25"/>
      <c r="Z2859" s="25"/>
    </row>
    <row r="2860" spans="1:26" ht="15.75" customHeight="1" x14ac:dyDescent="0.25">
      <c r="A2860" s="25">
        <v>2858</v>
      </c>
      <c r="B2860" s="37" t="e">
        <f t="shared" ref="B2860:D2860" si="5757">VLOOKUP($A2860,[9]Hacienda!$A$1:$O$285,B$1,0)</f>
        <v>#N/A</v>
      </c>
      <c r="C2860" s="38" t="e">
        <f t="shared" si="5757"/>
        <v>#N/A</v>
      </c>
      <c r="D2860" s="39" t="e">
        <f t="shared" si="5757"/>
        <v>#N/A</v>
      </c>
      <c r="E2860" s="16" t="e">
        <f t="shared" si="1"/>
        <v>#N/A</v>
      </c>
      <c r="F2860" s="16" t="e">
        <f t="shared" ref="F2860:K2860" si="5758">VLOOKUP($A2860,[9]Hacienda!$A$1:$O$285,F$1,0)</f>
        <v>#N/A</v>
      </c>
      <c r="G2860" s="39" t="e">
        <f t="shared" si="5758"/>
        <v>#N/A</v>
      </c>
      <c r="H2860" s="16" t="e">
        <f t="shared" si="5758"/>
        <v>#N/A</v>
      </c>
      <c r="I2860" s="16" t="e">
        <f t="shared" si="5758"/>
        <v>#N/A</v>
      </c>
      <c r="J2860" s="40" t="e">
        <f t="shared" si="5758"/>
        <v>#N/A</v>
      </c>
      <c r="K2860" s="16" t="e">
        <f t="shared" si="5758"/>
        <v>#N/A</v>
      </c>
      <c r="L2860" s="40" t="e">
        <f t="shared" si="5441"/>
        <v>#N/A</v>
      </c>
      <c r="M2860" s="16" t="e">
        <f t="shared" si="5442"/>
        <v>#N/A</v>
      </c>
      <c r="N2860" s="16" t="e">
        <f t="shared" si="5443"/>
        <v>#N/A</v>
      </c>
      <c r="O2860" s="16" t="s">
        <v>73</v>
      </c>
      <c r="P2860" s="16" t="str">
        <f t="shared" si="6"/>
        <v/>
      </c>
      <c r="Q2860" s="41" t="e">
        <f t="shared" si="5444"/>
        <v>#N/A</v>
      </c>
      <c r="R2860" s="44"/>
      <c r="S2860" s="44"/>
      <c r="T2860" s="43"/>
      <c r="U2860" s="43" t="str">
        <f t="shared" si="8"/>
        <v>No</v>
      </c>
      <c r="V2860" s="25"/>
      <c r="W2860" s="25"/>
      <c r="X2860" s="25"/>
      <c r="Y2860" s="25"/>
      <c r="Z2860" s="25"/>
    </row>
    <row r="2861" spans="1:26" ht="15.75" customHeight="1" x14ac:dyDescent="0.25">
      <c r="A2861" s="25">
        <v>2859</v>
      </c>
      <c r="B2861" s="37" t="e">
        <f t="shared" ref="B2861:D2861" si="5759">VLOOKUP($A2861,[9]Hacienda!$A$1:$O$285,B$1,0)</f>
        <v>#N/A</v>
      </c>
      <c r="C2861" s="38" t="e">
        <f t="shared" si="5759"/>
        <v>#N/A</v>
      </c>
      <c r="D2861" s="39" t="e">
        <f t="shared" si="5759"/>
        <v>#N/A</v>
      </c>
      <c r="E2861" s="16" t="e">
        <f t="shared" si="1"/>
        <v>#N/A</v>
      </c>
      <c r="F2861" s="16" t="e">
        <f t="shared" ref="F2861:K2861" si="5760">VLOOKUP($A2861,[9]Hacienda!$A$1:$O$285,F$1,0)</f>
        <v>#N/A</v>
      </c>
      <c r="G2861" s="39" t="e">
        <f t="shared" si="5760"/>
        <v>#N/A</v>
      </c>
      <c r="H2861" s="16" t="e">
        <f t="shared" si="5760"/>
        <v>#N/A</v>
      </c>
      <c r="I2861" s="16" t="e">
        <f t="shared" si="5760"/>
        <v>#N/A</v>
      </c>
      <c r="J2861" s="40" t="e">
        <f t="shared" si="5760"/>
        <v>#N/A</v>
      </c>
      <c r="K2861" s="16" t="e">
        <f t="shared" si="5760"/>
        <v>#N/A</v>
      </c>
      <c r="L2861" s="40" t="e">
        <f t="shared" si="5441"/>
        <v>#N/A</v>
      </c>
      <c r="M2861" s="16" t="e">
        <f t="shared" si="5442"/>
        <v>#N/A</v>
      </c>
      <c r="N2861" s="16" t="e">
        <f t="shared" si="5443"/>
        <v>#N/A</v>
      </c>
      <c r="O2861" s="16" t="s">
        <v>73</v>
      </c>
      <c r="P2861" s="16" t="str">
        <f t="shared" si="6"/>
        <v/>
      </c>
      <c r="Q2861" s="41" t="e">
        <f t="shared" si="5444"/>
        <v>#N/A</v>
      </c>
      <c r="R2861" s="44"/>
      <c r="S2861" s="44"/>
      <c r="T2861" s="43"/>
      <c r="U2861" s="43" t="str">
        <f t="shared" si="8"/>
        <v>No</v>
      </c>
      <c r="V2861" s="25"/>
      <c r="W2861" s="25"/>
      <c r="X2861" s="25"/>
      <c r="Y2861" s="25"/>
      <c r="Z2861" s="25"/>
    </row>
    <row r="2862" spans="1:26" ht="15.75" customHeight="1" x14ac:dyDescent="0.25">
      <c r="A2862" s="25">
        <v>2860</v>
      </c>
      <c r="B2862" s="37" t="e">
        <f t="shared" ref="B2862:D2862" si="5761">VLOOKUP($A2862,[9]Hacienda!$A$1:$O$285,B$1,0)</f>
        <v>#N/A</v>
      </c>
      <c r="C2862" s="38" t="e">
        <f t="shared" si="5761"/>
        <v>#N/A</v>
      </c>
      <c r="D2862" s="39" t="e">
        <f t="shared" si="5761"/>
        <v>#N/A</v>
      </c>
      <c r="E2862" s="16" t="e">
        <f t="shared" si="1"/>
        <v>#N/A</v>
      </c>
      <c r="F2862" s="16" t="e">
        <f t="shared" ref="F2862:K2862" si="5762">VLOOKUP($A2862,[9]Hacienda!$A$1:$O$285,F$1,0)</f>
        <v>#N/A</v>
      </c>
      <c r="G2862" s="39" t="e">
        <f t="shared" si="5762"/>
        <v>#N/A</v>
      </c>
      <c r="H2862" s="16" t="e">
        <f t="shared" si="5762"/>
        <v>#N/A</v>
      </c>
      <c r="I2862" s="16" t="e">
        <f t="shared" si="5762"/>
        <v>#N/A</v>
      </c>
      <c r="J2862" s="40" t="e">
        <f t="shared" si="5762"/>
        <v>#N/A</v>
      </c>
      <c r="K2862" s="16" t="e">
        <f t="shared" si="5762"/>
        <v>#N/A</v>
      </c>
      <c r="L2862" s="40" t="e">
        <f t="shared" si="5441"/>
        <v>#N/A</v>
      </c>
      <c r="M2862" s="16" t="e">
        <f t="shared" si="5442"/>
        <v>#N/A</v>
      </c>
      <c r="N2862" s="16" t="e">
        <f t="shared" si="5443"/>
        <v>#N/A</v>
      </c>
      <c r="O2862" s="16" t="s">
        <v>73</v>
      </c>
      <c r="P2862" s="16" t="str">
        <f t="shared" si="6"/>
        <v/>
      </c>
      <c r="Q2862" s="41" t="e">
        <f t="shared" si="5444"/>
        <v>#N/A</v>
      </c>
      <c r="R2862" s="44"/>
      <c r="S2862" s="44"/>
      <c r="T2862" s="43"/>
      <c r="U2862" s="43" t="str">
        <f t="shared" si="8"/>
        <v>No</v>
      </c>
      <c r="V2862" s="25"/>
      <c r="W2862" s="25"/>
      <c r="X2862" s="25"/>
      <c r="Y2862" s="25"/>
      <c r="Z2862" s="25"/>
    </row>
    <row r="2863" spans="1:26" ht="15.75" customHeight="1" x14ac:dyDescent="0.25">
      <c r="A2863" s="25">
        <v>2861</v>
      </c>
      <c r="B2863" s="37" t="e">
        <f t="shared" ref="B2863:D2863" si="5763">VLOOKUP($A2863,[9]Hacienda!$A$1:$O$285,B$1,0)</f>
        <v>#N/A</v>
      </c>
      <c r="C2863" s="38" t="e">
        <f t="shared" si="5763"/>
        <v>#N/A</v>
      </c>
      <c r="D2863" s="39" t="e">
        <f t="shared" si="5763"/>
        <v>#N/A</v>
      </c>
      <c r="E2863" s="16" t="e">
        <f t="shared" si="1"/>
        <v>#N/A</v>
      </c>
      <c r="F2863" s="16" t="e">
        <f t="shared" ref="F2863:K2863" si="5764">VLOOKUP($A2863,[9]Hacienda!$A$1:$O$285,F$1,0)</f>
        <v>#N/A</v>
      </c>
      <c r="G2863" s="39" t="e">
        <f t="shared" si="5764"/>
        <v>#N/A</v>
      </c>
      <c r="H2863" s="16" t="e">
        <f t="shared" si="5764"/>
        <v>#N/A</v>
      </c>
      <c r="I2863" s="16" t="e">
        <f t="shared" si="5764"/>
        <v>#N/A</v>
      </c>
      <c r="J2863" s="40" t="e">
        <f t="shared" si="5764"/>
        <v>#N/A</v>
      </c>
      <c r="K2863" s="16" t="e">
        <f t="shared" si="5764"/>
        <v>#N/A</v>
      </c>
      <c r="L2863" s="40" t="e">
        <f t="shared" si="5441"/>
        <v>#N/A</v>
      </c>
      <c r="M2863" s="16" t="e">
        <f t="shared" si="5442"/>
        <v>#N/A</v>
      </c>
      <c r="N2863" s="16" t="e">
        <f t="shared" si="5443"/>
        <v>#N/A</v>
      </c>
      <c r="O2863" s="16" t="s">
        <v>73</v>
      </c>
      <c r="P2863" s="16" t="str">
        <f t="shared" si="6"/>
        <v/>
      </c>
      <c r="Q2863" s="41" t="e">
        <f t="shared" si="5444"/>
        <v>#N/A</v>
      </c>
      <c r="R2863" s="44"/>
      <c r="S2863" s="44"/>
      <c r="T2863" s="43"/>
      <c r="U2863" s="43" t="str">
        <f t="shared" si="8"/>
        <v>No</v>
      </c>
      <c r="V2863" s="25"/>
      <c r="W2863" s="25"/>
      <c r="X2863" s="25"/>
      <c r="Y2863" s="25"/>
      <c r="Z2863" s="25"/>
    </row>
    <row r="2864" spans="1:26" ht="15.75" customHeight="1" x14ac:dyDescent="0.25">
      <c r="A2864" s="25">
        <v>2862</v>
      </c>
      <c r="B2864" s="37" t="e">
        <f t="shared" ref="B2864:D2864" si="5765">VLOOKUP($A2864,[9]Hacienda!$A$1:$O$285,B$1,0)</f>
        <v>#N/A</v>
      </c>
      <c r="C2864" s="38" t="e">
        <f t="shared" si="5765"/>
        <v>#N/A</v>
      </c>
      <c r="D2864" s="39" t="e">
        <f t="shared" si="5765"/>
        <v>#N/A</v>
      </c>
      <c r="E2864" s="16" t="e">
        <f t="shared" si="1"/>
        <v>#N/A</v>
      </c>
      <c r="F2864" s="16" t="e">
        <f t="shared" ref="F2864:K2864" si="5766">VLOOKUP($A2864,[9]Hacienda!$A$1:$O$285,F$1,0)</f>
        <v>#N/A</v>
      </c>
      <c r="G2864" s="39" t="e">
        <f t="shared" si="5766"/>
        <v>#N/A</v>
      </c>
      <c r="H2864" s="16" t="e">
        <f t="shared" si="5766"/>
        <v>#N/A</v>
      </c>
      <c r="I2864" s="16" t="e">
        <f t="shared" si="5766"/>
        <v>#N/A</v>
      </c>
      <c r="J2864" s="40" t="e">
        <f t="shared" si="5766"/>
        <v>#N/A</v>
      </c>
      <c r="K2864" s="16" t="e">
        <f t="shared" si="5766"/>
        <v>#N/A</v>
      </c>
      <c r="L2864" s="40" t="e">
        <f t="shared" si="5441"/>
        <v>#N/A</v>
      </c>
      <c r="M2864" s="16" t="e">
        <f t="shared" si="5442"/>
        <v>#N/A</v>
      </c>
      <c r="N2864" s="16" t="e">
        <f t="shared" si="5443"/>
        <v>#N/A</v>
      </c>
      <c r="O2864" s="16" t="s">
        <v>73</v>
      </c>
      <c r="P2864" s="16" t="str">
        <f t="shared" si="6"/>
        <v/>
      </c>
      <c r="Q2864" s="41" t="e">
        <f t="shared" si="5444"/>
        <v>#N/A</v>
      </c>
      <c r="R2864" s="44"/>
      <c r="S2864" s="44"/>
      <c r="T2864" s="43"/>
      <c r="U2864" s="43" t="str">
        <f t="shared" si="8"/>
        <v>No</v>
      </c>
      <c r="V2864" s="25"/>
      <c r="W2864" s="25"/>
      <c r="X2864" s="25"/>
      <c r="Y2864" s="25"/>
      <c r="Z2864" s="25"/>
    </row>
    <row r="2865" spans="1:26" ht="15.75" customHeight="1" x14ac:dyDescent="0.25">
      <c r="A2865" s="25">
        <v>2863</v>
      </c>
      <c r="B2865" s="37" t="e">
        <f t="shared" ref="B2865:D2865" si="5767">VLOOKUP($A2865,[9]Hacienda!$A$1:$O$285,B$1,0)</f>
        <v>#N/A</v>
      </c>
      <c r="C2865" s="38" t="e">
        <f t="shared" si="5767"/>
        <v>#N/A</v>
      </c>
      <c r="D2865" s="39" t="e">
        <f t="shared" si="5767"/>
        <v>#N/A</v>
      </c>
      <c r="E2865" s="16" t="e">
        <f t="shared" si="1"/>
        <v>#N/A</v>
      </c>
      <c r="F2865" s="16" t="e">
        <f t="shared" ref="F2865:K2865" si="5768">VLOOKUP($A2865,[9]Hacienda!$A$1:$O$285,F$1,0)</f>
        <v>#N/A</v>
      </c>
      <c r="G2865" s="39" t="e">
        <f t="shared" si="5768"/>
        <v>#N/A</v>
      </c>
      <c r="H2865" s="16" t="e">
        <f t="shared" si="5768"/>
        <v>#N/A</v>
      </c>
      <c r="I2865" s="16" t="e">
        <f t="shared" si="5768"/>
        <v>#N/A</v>
      </c>
      <c r="J2865" s="40" t="e">
        <f t="shared" si="5768"/>
        <v>#N/A</v>
      </c>
      <c r="K2865" s="16" t="e">
        <f t="shared" si="5768"/>
        <v>#N/A</v>
      </c>
      <c r="L2865" s="40" t="e">
        <f t="shared" si="5441"/>
        <v>#N/A</v>
      </c>
      <c r="M2865" s="16" t="e">
        <f t="shared" si="5442"/>
        <v>#N/A</v>
      </c>
      <c r="N2865" s="16" t="e">
        <f t="shared" si="5443"/>
        <v>#N/A</v>
      </c>
      <c r="O2865" s="16" t="s">
        <v>73</v>
      </c>
      <c r="P2865" s="16" t="str">
        <f t="shared" si="6"/>
        <v/>
      </c>
      <c r="Q2865" s="41" t="e">
        <f t="shared" si="5444"/>
        <v>#N/A</v>
      </c>
      <c r="R2865" s="44"/>
      <c r="S2865" s="44"/>
      <c r="T2865" s="43"/>
      <c r="U2865" s="43" t="str">
        <f t="shared" si="8"/>
        <v>No</v>
      </c>
      <c r="V2865" s="25"/>
      <c r="W2865" s="25"/>
      <c r="X2865" s="25"/>
      <c r="Y2865" s="25"/>
      <c r="Z2865" s="25"/>
    </row>
    <row r="2866" spans="1:26" ht="15.75" customHeight="1" x14ac:dyDescent="0.25">
      <c r="A2866" s="25">
        <v>2864</v>
      </c>
      <c r="B2866" s="37" t="e">
        <f t="shared" ref="B2866:D2866" si="5769">VLOOKUP($A2866,[9]Hacienda!$A$1:$O$285,B$1,0)</f>
        <v>#N/A</v>
      </c>
      <c r="C2866" s="38" t="e">
        <f t="shared" si="5769"/>
        <v>#N/A</v>
      </c>
      <c r="D2866" s="39" t="e">
        <f t="shared" si="5769"/>
        <v>#N/A</v>
      </c>
      <c r="E2866" s="16" t="e">
        <f t="shared" si="1"/>
        <v>#N/A</v>
      </c>
      <c r="F2866" s="16" t="e">
        <f t="shared" ref="F2866:K2866" si="5770">VLOOKUP($A2866,[9]Hacienda!$A$1:$O$285,F$1,0)</f>
        <v>#N/A</v>
      </c>
      <c r="G2866" s="39" t="e">
        <f t="shared" si="5770"/>
        <v>#N/A</v>
      </c>
      <c r="H2866" s="16" t="e">
        <f t="shared" si="5770"/>
        <v>#N/A</v>
      </c>
      <c r="I2866" s="16" t="e">
        <f t="shared" si="5770"/>
        <v>#N/A</v>
      </c>
      <c r="J2866" s="40" t="e">
        <f t="shared" si="5770"/>
        <v>#N/A</v>
      </c>
      <c r="K2866" s="16" t="e">
        <f t="shared" si="5770"/>
        <v>#N/A</v>
      </c>
      <c r="L2866" s="40" t="e">
        <f t="shared" si="5441"/>
        <v>#N/A</v>
      </c>
      <c r="M2866" s="16" t="e">
        <f t="shared" si="5442"/>
        <v>#N/A</v>
      </c>
      <c r="N2866" s="16" t="e">
        <f t="shared" si="5443"/>
        <v>#N/A</v>
      </c>
      <c r="O2866" s="16" t="s">
        <v>73</v>
      </c>
      <c r="P2866" s="16" t="str">
        <f t="shared" si="6"/>
        <v/>
      </c>
      <c r="Q2866" s="41" t="e">
        <f t="shared" si="5444"/>
        <v>#N/A</v>
      </c>
      <c r="R2866" s="44"/>
      <c r="S2866" s="44"/>
      <c r="T2866" s="43"/>
      <c r="U2866" s="43" t="str">
        <f t="shared" si="8"/>
        <v>No</v>
      </c>
      <c r="V2866" s="25"/>
      <c r="W2866" s="25"/>
      <c r="X2866" s="25"/>
      <c r="Y2866" s="25"/>
      <c r="Z2866" s="25"/>
    </row>
    <row r="2867" spans="1:26" ht="15.75" customHeight="1" x14ac:dyDescent="0.25">
      <c r="A2867" s="25">
        <v>2865</v>
      </c>
      <c r="B2867" s="37" t="e">
        <f t="shared" ref="B2867:D2867" si="5771">VLOOKUP($A2867,[9]Hacienda!$A$1:$O$285,B$1,0)</f>
        <v>#N/A</v>
      </c>
      <c r="C2867" s="38" t="e">
        <f t="shared" si="5771"/>
        <v>#N/A</v>
      </c>
      <c r="D2867" s="39" t="e">
        <f t="shared" si="5771"/>
        <v>#N/A</v>
      </c>
      <c r="E2867" s="16" t="e">
        <f t="shared" si="1"/>
        <v>#N/A</v>
      </c>
      <c r="F2867" s="16" t="e">
        <f t="shared" ref="F2867:K2867" si="5772">VLOOKUP($A2867,[9]Hacienda!$A$1:$O$285,F$1,0)</f>
        <v>#N/A</v>
      </c>
      <c r="G2867" s="39" t="e">
        <f t="shared" si="5772"/>
        <v>#N/A</v>
      </c>
      <c r="H2867" s="16" t="e">
        <f t="shared" si="5772"/>
        <v>#N/A</v>
      </c>
      <c r="I2867" s="16" t="e">
        <f t="shared" si="5772"/>
        <v>#N/A</v>
      </c>
      <c r="J2867" s="40" t="e">
        <f t="shared" si="5772"/>
        <v>#N/A</v>
      </c>
      <c r="K2867" s="16" t="e">
        <f t="shared" si="5772"/>
        <v>#N/A</v>
      </c>
      <c r="L2867" s="40" t="e">
        <f t="shared" si="5441"/>
        <v>#N/A</v>
      </c>
      <c r="M2867" s="16" t="e">
        <f t="shared" si="5442"/>
        <v>#N/A</v>
      </c>
      <c r="N2867" s="16" t="e">
        <f t="shared" si="5443"/>
        <v>#N/A</v>
      </c>
      <c r="O2867" s="16" t="s">
        <v>73</v>
      </c>
      <c r="P2867" s="16" t="str">
        <f t="shared" si="6"/>
        <v/>
      </c>
      <c r="Q2867" s="41" t="e">
        <f t="shared" si="5444"/>
        <v>#N/A</v>
      </c>
      <c r="R2867" s="44"/>
      <c r="S2867" s="44"/>
      <c r="T2867" s="43"/>
      <c r="U2867" s="43" t="str">
        <f t="shared" si="8"/>
        <v>No</v>
      </c>
      <c r="V2867" s="25"/>
      <c r="W2867" s="25"/>
      <c r="X2867" s="25"/>
      <c r="Y2867" s="25"/>
      <c r="Z2867" s="25"/>
    </row>
    <row r="2868" spans="1:26" ht="15.75" customHeight="1" x14ac:dyDescent="0.25">
      <c r="A2868" s="25">
        <v>2866</v>
      </c>
      <c r="B2868" s="37" t="e">
        <f t="shared" ref="B2868:D2868" si="5773">VLOOKUP($A2868,[9]Hacienda!$A$1:$O$285,B$1,0)</f>
        <v>#N/A</v>
      </c>
      <c r="C2868" s="38" t="e">
        <f t="shared" si="5773"/>
        <v>#N/A</v>
      </c>
      <c r="D2868" s="39" t="e">
        <f t="shared" si="5773"/>
        <v>#N/A</v>
      </c>
      <c r="E2868" s="16" t="e">
        <f t="shared" si="1"/>
        <v>#N/A</v>
      </c>
      <c r="F2868" s="16" t="e">
        <f t="shared" ref="F2868:K2868" si="5774">VLOOKUP($A2868,[9]Hacienda!$A$1:$O$285,F$1,0)</f>
        <v>#N/A</v>
      </c>
      <c r="G2868" s="39" t="e">
        <f t="shared" si="5774"/>
        <v>#N/A</v>
      </c>
      <c r="H2868" s="16" t="e">
        <f t="shared" si="5774"/>
        <v>#N/A</v>
      </c>
      <c r="I2868" s="16" t="e">
        <f t="shared" si="5774"/>
        <v>#N/A</v>
      </c>
      <c r="J2868" s="40" t="e">
        <f t="shared" si="5774"/>
        <v>#N/A</v>
      </c>
      <c r="K2868" s="16" t="e">
        <f t="shared" si="5774"/>
        <v>#N/A</v>
      </c>
      <c r="L2868" s="40" t="e">
        <f t="shared" si="5441"/>
        <v>#N/A</v>
      </c>
      <c r="M2868" s="16" t="e">
        <f t="shared" si="5442"/>
        <v>#N/A</v>
      </c>
      <c r="N2868" s="16" t="e">
        <f t="shared" si="5443"/>
        <v>#N/A</v>
      </c>
      <c r="O2868" s="16" t="s">
        <v>73</v>
      </c>
      <c r="P2868" s="16" t="str">
        <f t="shared" si="6"/>
        <v/>
      </c>
      <c r="Q2868" s="41" t="e">
        <f t="shared" si="5444"/>
        <v>#N/A</v>
      </c>
      <c r="R2868" s="44"/>
      <c r="S2868" s="44"/>
      <c r="T2868" s="43"/>
      <c r="U2868" s="43" t="str">
        <f t="shared" si="8"/>
        <v>No</v>
      </c>
      <c r="V2868" s="25"/>
      <c r="W2868" s="25"/>
      <c r="X2868" s="25"/>
      <c r="Y2868" s="25"/>
      <c r="Z2868" s="25"/>
    </row>
    <row r="2869" spans="1:26" ht="15.75" customHeight="1" x14ac:dyDescent="0.25">
      <c r="A2869" s="25">
        <v>2867</v>
      </c>
      <c r="B2869" s="37" t="e">
        <f t="shared" ref="B2869:D2869" si="5775">VLOOKUP($A2869,[9]Hacienda!$A$1:$O$285,B$1,0)</f>
        <v>#N/A</v>
      </c>
      <c r="C2869" s="38" t="e">
        <f t="shared" si="5775"/>
        <v>#N/A</v>
      </c>
      <c r="D2869" s="39" t="e">
        <f t="shared" si="5775"/>
        <v>#N/A</v>
      </c>
      <c r="E2869" s="16" t="e">
        <f t="shared" si="1"/>
        <v>#N/A</v>
      </c>
      <c r="F2869" s="16" t="e">
        <f t="shared" ref="F2869:K2869" si="5776">VLOOKUP($A2869,[9]Hacienda!$A$1:$O$285,F$1,0)</f>
        <v>#N/A</v>
      </c>
      <c r="G2869" s="39" t="e">
        <f t="shared" si="5776"/>
        <v>#N/A</v>
      </c>
      <c r="H2869" s="16" t="e">
        <f t="shared" si="5776"/>
        <v>#N/A</v>
      </c>
      <c r="I2869" s="16" t="e">
        <f t="shared" si="5776"/>
        <v>#N/A</v>
      </c>
      <c r="J2869" s="40" t="e">
        <f t="shared" si="5776"/>
        <v>#N/A</v>
      </c>
      <c r="K2869" s="16" t="e">
        <f t="shared" si="5776"/>
        <v>#N/A</v>
      </c>
      <c r="L2869" s="40" t="e">
        <f t="shared" si="5441"/>
        <v>#N/A</v>
      </c>
      <c r="M2869" s="16" t="e">
        <f t="shared" si="5442"/>
        <v>#N/A</v>
      </c>
      <c r="N2869" s="16" t="e">
        <f t="shared" si="5443"/>
        <v>#N/A</v>
      </c>
      <c r="O2869" s="16" t="s">
        <v>73</v>
      </c>
      <c r="P2869" s="16" t="str">
        <f t="shared" si="6"/>
        <v/>
      </c>
      <c r="Q2869" s="41" t="e">
        <f t="shared" si="5444"/>
        <v>#N/A</v>
      </c>
      <c r="R2869" s="44"/>
      <c r="S2869" s="44"/>
      <c r="T2869" s="43"/>
      <c r="U2869" s="43" t="str">
        <f t="shared" si="8"/>
        <v>No</v>
      </c>
      <c r="V2869" s="25"/>
      <c r="W2869" s="25"/>
      <c r="X2869" s="25"/>
      <c r="Y2869" s="25"/>
      <c r="Z2869" s="25"/>
    </row>
    <row r="2870" spans="1:26" ht="15.75" customHeight="1" x14ac:dyDescent="0.25">
      <c r="A2870" s="25">
        <v>2868</v>
      </c>
      <c r="B2870" s="37" t="e">
        <f t="shared" ref="B2870:D2870" si="5777">VLOOKUP($A2870,[9]Hacienda!$A$1:$O$285,B$1,0)</f>
        <v>#N/A</v>
      </c>
      <c r="C2870" s="38" t="e">
        <f t="shared" si="5777"/>
        <v>#N/A</v>
      </c>
      <c r="D2870" s="39" t="e">
        <f t="shared" si="5777"/>
        <v>#N/A</v>
      </c>
      <c r="E2870" s="16" t="e">
        <f t="shared" si="1"/>
        <v>#N/A</v>
      </c>
      <c r="F2870" s="16" t="e">
        <f t="shared" ref="F2870:K2870" si="5778">VLOOKUP($A2870,[9]Hacienda!$A$1:$O$285,F$1,0)</f>
        <v>#N/A</v>
      </c>
      <c r="G2870" s="39" t="e">
        <f t="shared" si="5778"/>
        <v>#N/A</v>
      </c>
      <c r="H2870" s="16" t="e">
        <f t="shared" si="5778"/>
        <v>#N/A</v>
      </c>
      <c r="I2870" s="16" t="e">
        <f t="shared" si="5778"/>
        <v>#N/A</v>
      </c>
      <c r="J2870" s="40" t="e">
        <f t="shared" si="5778"/>
        <v>#N/A</v>
      </c>
      <c r="K2870" s="16" t="e">
        <f t="shared" si="5778"/>
        <v>#N/A</v>
      </c>
      <c r="L2870" s="40" t="e">
        <f t="shared" si="5441"/>
        <v>#N/A</v>
      </c>
      <c r="M2870" s="16" t="e">
        <f t="shared" si="5442"/>
        <v>#N/A</v>
      </c>
      <c r="N2870" s="16" t="e">
        <f t="shared" si="5443"/>
        <v>#N/A</v>
      </c>
      <c r="O2870" s="16" t="s">
        <v>73</v>
      </c>
      <c r="P2870" s="16" t="str">
        <f t="shared" si="6"/>
        <v/>
      </c>
      <c r="Q2870" s="41" t="e">
        <f t="shared" si="5444"/>
        <v>#N/A</v>
      </c>
      <c r="R2870" s="44"/>
      <c r="S2870" s="44"/>
      <c r="T2870" s="43"/>
      <c r="U2870" s="43" t="str">
        <f t="shared" si="8"/>
        <v>No</v>
      </c>
      <c r="V2870" s="25"/>
      <c r="W2870" s="25"/>
      <c r="X2870" s="25"/>
      <c r="Y2870" s="25"/>
      <c r="Z2870" s="25"/>
    </row>
    <row r="2871" spans="1:26" ht="15.75" customHeight="1" x14ac:dyDescent="0.25">
      <c r="A2871" s="25">
        <v>2869</v>
      </c>
      <c r="B2871" s="37" t="e">
        <f t="shared" ref="B2871:D2871" si="5779">VLOOKUP($A2871,[9]Hacienda!$A$1:$O$285,B$1,0)</f>
        <v>#N/A</v>
      </c>
      <c r="C2871" s="38" t="e">
        <f t="shared" si="5779"/>
        <v>#N/A</v>
      </c>
      <c r="D2871" s="39" t="e">
        <f t="shared" si="5779"/>
        <v>#N/A</v>
      </c>
      <c r="E2871" s="16" t="e">
        <f t="shared" si="1"/>
        <v>#N/A</v>
      </c>
      <c r="F2871" s="16" t="e">
        <f t="shared" ref="F2871:K2871" si="5780">VLOOKUP($A2871,[9]Hacienda!$A$1:$O$285,F$1,0)</f>
        <v>#N/A</v>
      </c>
      <c r="G2871" s="39" t="e">
        <f t="shared" si="5780"/>
        <v>#N/A</v>
      </c>
      <c r="H2871" s="16" t="e">
        <f t="shared" si="5780"/>
        <v>#N/A</v>
      </c>
      <c r="I2871" s="16" t="e">
        <f t="shared" si="5780"/>
        <v>#N/A</v>
      </c>
      <c r="J2871" s="40" t="e">
        <f t="shared" si="5780"/>
        <v>#N/A</v>
      </c>
      <c r="K2871" s="16" t="e">
        <f t="shared" si="5780"/>
        <v>#N/A</v>
      </c>
      <c r="L2871" s="40" t="e">
        <f t="shared" si="5441"/>
        <v>#N/A</v>
      </c>
      <c r="M2871" s="16" t="e">
        <f t="shared" si="5442"/>
        <v>#N/A</v>
      </c>
      <c r="N2871" s="16" t="e">
        <f t="shared" si="5443"/>
        <v>#N/A</v>
      </c>
      <c r="O2871" s="16" t="s">
        <v>73</v>
      </c>
      <c r="P2871" s="16" t="str">
        <f t="shared" si="6"/>
        <v/>
      </c>
      <c r="Q2871" s="41" t="e">
        <f t="shared" si="5444"/>
        <v>#N/A</v>
      </c>
      <c r="R2871" s="44"/>
      <c r="S2871" s="44"/>
      <c r="T2871" s="43"/>
      <c r="U2871" s="43" t="str">
        <f t="shared" si="8"/>
        <v>No</v>
      </c>
      <c r="V2871" s="25"/>
      <c r="W2871" s="25"/>
      <c r="X2871" s="25"/>
      <c r="Y2871" s="25"/>
      <c r="Z2871" s="25"/>
    </row>
    <row r="2872" spans="1:26" ht="15.75" customHeight="1" x14ac:dyDescent="0.25">
      <c r="A2872" s="25">
        <v>2870</v>
      </c>
      <c r="B2872" s="37" t="e">
        <f t="shared" ref="B2872:D2872" si="5781">VLOOKUP($A2872,[9]Hacienda!$A$1:$O$285,B$1,0)</f>
        <v>#N/A</v>
      </c>
      <c r="C2872" s="38" t="e">
        <f t="shared" si="5781"/>
        <v>#N/A</v>
      </c>
      <c r="D2872" s="39" t="e">
        <f t="shared" si="5781"/>
        <v>#N/A</v>
      </c>
      <c r="E2872" s="16" t="e">
        <f t="shared" si="1"/>
        <v>#N/A</v>
      </c>
      <c r="F2872" s="16" t="e">
        <f t="shared" ref="F2872:K2872" si="5782">VLOOKUP($A2872,[9]Hacienda!$A$1:$O$285,F$1,0)</f>
        <v>#N/A</v>
      </c>
      <c r="G2872" s="39" t="e">
        <f t="shared" si="5782"/>
        <v>#N/A</v>
      </c>
      <c r="H2872" s="16" t="e">
        <f t="shared" si="5782"/>
        <v>#N/A</v>
      </c>
      <c r="I2872" s="16" t="e">
        <f t="shared" si="5782"/>
        <v>#N/A</v>
      </c>
      <c r="J2872" s="40" t="e">
        <f t="shared" si="5782"/>
        <v>#N/A</v>
      </c>
      <c r="K2872" s="16" t="e">
        <f t="shared" si="5782"/>
        <v>#N/A</v>
      </c>
      <c r="L2872" s="40" t="e">
        <f t="shared" si="5441"/>
        <v>#N/A</v>
      </c>
      <c r="M2872" s="16" t="e">
        <f t="shared" si="5442"/>
        <v>#N/A</v>
      </c>
      <c r="N2872" s="16" t="e">
        <f t="shared" si="5443"/>
        <v>#N/A</v>
      </c>
      <c r="O2872" s="16" t="s">
        <v>73</v>
      </c>
      <c r="P2872" s="16" t="str">
        <f t="shared" si="6"/>
        <v/>
      </c>
      <c r="Q2872" s="41" t="e">
        <f t="shared" si="5444"/>
        <v>#N/A</v>
      </c>
      <c r="R2872" s="44"/>
      <c r="S2872" s="44"/>
      <c r="T2872" s="43"/>
      <c r="U2872" s="43" t="str">
        <f t="shared" si="8"/>
        <v>No</v>
      </c>
      <c r="V2872" s="25"/>
      <c r="W2872" s="25"/>
      <c r="X2872" s="25"/>
      <c r="Y2872" s="25"/>
      <c r="Z2872" s="25"/>
    </row>
    <row r="2873" spans="1:26" ht="15.75" customHeight="1" x14ac:dyDescent="0.25">
      <c r="A2873" s="25">
        <v>2871</v>
      </c>
      <c r="B2873" s="37" t="e">
        <f t="shared" ref="B2873:D2873" si="5783">VLOOKUP($A2873,[9]Hacienda!$A$1:$O$285,B$1,0)</f>
        <v>#N/A</v>
      </c>
      <c r="C2873" s="38" t="e">
        <f t="shared" si="5783"/>
        <v>#N/A</v>
      </c>
      <c r="D2873" s="39" t="e">
        <f t="shared" si="5783"/>
        <v>#N/A</v>
      </c>
      <c r="E2873" s="16" t="e">
        <f t="shared" si="1"/>
        <v>#N/A</v>
      </c>
      <c r="F2873" s="16" t="e">
        <f t="shared" ref="F2873:K2873" si="5784">VLOOKUP($A2873,[9]Hacienda!$A$1:$O$285,F$1,0)</f>
        <v>#N/A</v>
      </c>
      <c r="G2873" s="39" t="e">
        <f t="shared" si="5784"/>
        <v>#N/A</v>
      </c>
      <c r="H2873" s="16" t="e">
        <f t="shared" si="5784"/>
        <v>#N/A</v>
      </c>
      <c r="I2873" s="16" t="e">
        <f t="shared" si="5784"/>
        <v>#N/A</v>
      </c>
      <c r="J2873" s="40" t="e">
        <f t="shared" si="5784"/>
        <v>#N/A</v>
      </c>
      <c r="K2873" s="16" t="e">
        <f t="shared" si="5784"/>
        <v>#N/A</v>
      </c>
      <c r="L2873" s="40" t="e">
        <f t="shared" si="5441"/>
        <v>#N/A</v>
      </c>
      <c r="M2873" s="16" t="e">
        <f t="shared" si="5442"/>
        <v>#N/A</v>
      </c>
      <c r="N2873" s="16" t="e">
        <f t="shared" si="5443"/>
        <v>#N/A</v>
      </c>
      <c r="O2873" s="16" t="s">
        <v>73</v>
      </c>
      <c r="P2873" s="16" t="str">
        <f t="shared" si="6"/>
        <v/>
      </c>
      <c r="Q2873" s="41" t="e">
        <f t="shared" si="5444"/>
        <v>#N/A</v>
      </c>
      <c r="R2873" s="44"/>
      <c r="S2873" s="44"/>
      <c r="T2873" s="43"/>
      <c r="U2873" s="43" t="str">
        <f t="shared" si="8"/>
        <v>No</v>
      </c>
      <c r="V2873" s="25"/>
      <c r="W2873" s="25"/>
      <c r="X2873" s="25"/>
      <c r="Y2873" s="25"/>
      <c r="Z2873" s="25"/>
    </row>
    <row r="2874" spans="1:26" ht="15.75" customHeight="1" x14ac:dyDescent="0.25">
      <c r="A2874" s="25">
        <v>2872</v>
      </c>
      <c r="B2874" s="37" t="e">
        <f t="shared" ref="B2874:D2874" si="5785">VLOOKUP($A2874,[9]Hacienda!$A$1:$O$285,B$1,0)</f>
        <v>#N/A</v>
      </c>
      <c r="C2874" s="38" t="e">
        <f t="shared" si="5785"/>
        <v>#N/A</v>
      </c>
      <c r="D2874" s="39" t="e">
        <f t="shared" si="5785"/>
        <v>#N/A</v>
      </c>
      <c r="E2874" s="16" t="e">
        <f t="shared" si="1"/>
        <v>#N/A</v>
      </c>
      <c r="F2874" s="16" t="e">
        <f t="shared" ref="F2874:K2874" si="5786">VLOOKUP($A2874,[9]Hacienda!$A$1:$O$285,F$1,0)</f>
        <v>#N/A</v>
      </c>
      <c r="G2874" s="39" t="e">
        <f t="shared" si="5786"/>
        <v>#N/A</v>
      </c>
      <c r="H2874" s="16" t="e">
        <f t="shared" si="5786"/>
        <v>#N/A</v>
      </c>
      <c r="I2874" s="16" t="e">
        <f t="shared" si="5786"/>
        <v>#N/A</v>
      </c>
      <c r="J2874" s="40" t="e">
        <f t="shared" si="5786"/>
        <v>#N/A</v>
      </c>
      <c r="K2874" s="16" t="e">
        <f t="shared" si="5786"/>
        <v>#N/A</v>
      </c>
      <c r="L2874" s="40" t="e">
        <f t="shared" si="5441"/>
        <v>#N/A</v>
      </c>
      <c r="M2874" s="16" t="e">
        <f t="shared" si="5442"/>
        <v>#N/A</v>
      </c>
      <c r="N2874" s="16" t="e">
        <f t="shared" si="5443"/>
        <v>#N/A</v>
      </c>
      <c r="O2874" s="16" t="s">
        <v>73</v>
      </c>
      <c r="P2874" s="16" t="str">
        <f t="shared" si="6"/>
        <v/>
      </c>
      <c r="Q2874" s="41" t="e">
        <f t="shared" si="5444"/>
        <v>#N/A</v>
      </c>
      <c r="R2874" s="44"/>
      <c r="S2874" s="44"/>
      <c r="T2874" s="43"/>
      <c r="U2874" s="43" t="str">
        <f t="shared" si="8"/>
        <v>No</v>
      </c>
      <c r="V2874" s="25"/>
      <c r="W2874" s="25"/>
      <c r="X2874" s="25"/>
      <c r="Y2874" s="25"/>
      <c r="Z2874" s="25"/>
    </row>
    <row r="2875" spans="1:26" ht="15.75" customHeight="1" x14ac:dyDescent="0.25">
      <c r="A2875" s="25">
        <v>2873</v>
      </c>
      <c r="B2875" s="37" t="e">
        <f t="shared" ref="B2875:D2875" si="5787">VLOOKUP($A2875,[9]Hacienda!$A$1:$O$285,B$1,0)</f>
        <v>#N/A</v>
      </c>
      <c r="C2875" s="38" t="e">
        <f t="shared" si="5787"/>
        <v>#N/A</v>
      </c>
      <c r="D2875" s="39" t="e">
        <f t="shared" si="5787"/>
        <v>#N/A</v>
      </c>
      <c r="E2875" s="16" t="e">
        <f t="shared" si="1"/>
        <v>#N/A</v>
      </c>
      <c r="F2875" s="16" t="e">
        <f t="shared" ref="F2875:K2875" si="5788">VLOOKUP($A2875,[9]Hacienda!$A$1:$O$285,F$1,0)</f>
        <v>#N/A</v>
      </c>
      <c r="G2875" s="39" t="e">
        <f t="shared" si="5788"/>
        <v>#N/A</v>
      </c>
      <c r="H2875" s="16" t="e">
        <f t="shared" si="5788"/>
        <v>#N/A</v>
      </c>
      <c r="I2875" s="16" t="e">
        <f t="shared" si="5788"/>
        <v>#N/A</v>
      </c>
      <c r="J2875" s="40" t="e">
        <f t="shared" si="5788"/>
        <v>#N/A</v>
      </c>
      <c r="K2875" s="16" t="e">
        <f t="shared" si="5788"/>
        <v>#N/A</v>
      </c>
      <c r="L2875" s="40" t="e">
        <f t="shared" si="5441"/>
        <v>#N/A</v>
      </c>
      <c r="M2875" s="16" t="e">
        <f t="shared" si="5442"/>
        <v>#N/A</v>
      </c>
      <c r="N2875" s="16" t="e">
        <f t="shared" si="5443"/>
        <v>#N/A</v>
      </c>
      <c r="O2875" s="16" t="s">
        <v>73</v>
      </c>
      <c r="P2875" s="16" t="str">
        <f t="shared" si="6"/>
        <v/>
      </c>
      <c r="Q2875" s="41" t="e">
        <f t="shared" si="5444"/>
        <v>#N/A</v>
      </c>
      <c r="R2875" s="44"/>
      <c r="S2875" s="44"/>
      <c r="T2875" s="43"/>
      <c r="U2875" s="43" t="str">
        <f t="shared" si="8"/>
        <v>No</v>
      </c>
      <c r="V2875" s="25"/>
      <c r="W2875" s="25"/>
      <c r="X2875" s="25"/>
      <c r="Y2875" s="25"/>
      <c r="Z2875" s="25"/>
    </row>
    <row r="2876" spans="1:26" ht="15.75" customHeight="1" x14ac:dyDescent="0.25">
      <c r="A2876" s="25">
        <v>2874</v>
      </c>
      <c r="B2876" s="37" t="e">
        <f t="shared" ref="B2876:D2876" si="5789">VLOOKUP($A2876,[9]Hacienda!$A$1:$O$285,B$1,0)</f>
        <v>#N/A</v>
      </c>
      <c r="C2876" s="38" t="e">
        <f t="shared" si="5789"/>
        <v>#N/A</v>
      </c>
      <c r="D2876" s="39" t="e">
        <f t="shared" si="5789"/>
        <v>#N/A</v>
      </c>
      <c r="E2876" s="16" t="e">
        <f t="shared" si="1"/>
        <v>#N/A</v>
      </c>
      <c r="F2876" s="16" t="e">
        <f t="shared" ref="F2876:K2876" si="5790">VLOOKUP($A2876,[9]Hacienda!$A$1:$O$285,F$1,0)</f>
        <v>#N/A</v>
      </c>
      <c r="G2876" s="39" t="e">
        <f t="shared" si="5790"/>
        <v>#N/A</v>
      </c>
      <c r="H2876" s="16" t="e">
        <f t="shared" si="5790"/>
        <v>#N/A</v>
      </c>
      <c r="I2876" s="16" t="e">
        <f t="shared" si="5790"/>
        <v>#N/A</v>
      </c>
      <c r="J2876" s="40" t="e">
        <f t="shared" si="5790"/>
        <v>#N/A</v>
      </c>
      <c r="K2876" s="16" t="e">
        <f t="shared" si="5790"/>
        <v>#N/A</v>
      </c>
      <c r="L2876" s="40" t="e">
        <f t="shared" si="5441"/>
        <v>#N/A</v>
      </c>
      <c r="M2876" s="16" t="e">
        <f t="shared" si="5442"/>
        <v>#N/A</v>
      </c>
      <c r="N2876" s="16" t="e">
        <f t="shared" si="5443"/>
        <v>#N/A</v>
      </c>
      <c r="O2876" s="16" t="s">
        <v>73</v>
      </c>
      <c r="P2876" s="16" t="str">
        <f t="shared" si="6"/>
        <v/>
      </c>
      <c r="Q2876" s="41" t="e">
        <f t="shared" si="5444"/>
        <v>#N/A</v>
      </c>
      <c r="R2876" s="44"/>
      <c r="S2876" s="44"/>
      <c r="T2876" s="43"/>
      <c r="U2876" s="43" t="str">
        <f t="shared" si="8"/>
        <v>No</v>
      </c>
      <c r="V2876" s="25"/>
      <c r="W2876" s="25"/>
      <c r="X2876" s="25"/>
      <c r="Y2876" s="25"/>
      <c r="Z2876" s="25"/>
    </row>
    <row r="2877" spans="1:26" ht="15.75" customHeight="1" x14ac:dyDescent="0.25">
      <c r="A2877" s="25">
        <v>2875</v>
      </c>
      <c r="B2877" s="37" t="e">
        <f t="shared" ref="B2877:D2877" si="5791">VLOOKUP($A2877,[9]Hacienda!$A$1:$O$285,B$1,0)</f>
        <v>#N/A</v>
      </c>
      <c r="C2877" s="38" t="e">
        <f t="shared" si="5791"/>
        <v>#N/A</v>
      </c>
      <c r="D2877" s="39" t="e">
        <f t="shared" si="5791"/>
        <v>#N/A</v>
      </c>
      <c r="E2877" s="16" t="e">
        <f t="shared" si="1"/>
        <v>#N/A</v>
      </c>
      <c r="F2877" s="16" t="e">
        <f t="shared" ref="F2877:K2877" si="5792">VLOOKUP($A2877,[9]Hacienda!$A$1:$O$285,F$1,0)</f>
        <v>#N/A</v>
      </c>
      <c r="G2877" s="39" t="e">
        <f t="shared" si="5792"/>
        <v>#N/A</v>
      </c>
      <c r="H2877" s="16" t="e">
        <f t="shared" si="5792"/>
        <v>#N/A</v>
      </c>
      <c r="I2877" s="16" t="e">
        <f t="shared" si="5792"/>
        <v>#N/A</v>
      </c>
      <c r="J2877" s="40" t="e">
        <f t="shared" si="5792"/>
        <v>#N/A</v>
      </c>
      <c r="K2877" s="16" t="e">
        <f t="shared" si="5792"/>
        <v>#N/A</v>
      </c>
      <c r="L2877" s="40" t="e">
        <f t="shared" si="5441"/>
        <v>#N/A</v>
      </c>
      <c r="M2877" s="16" t="e">
        <f t="shared" si="5442"/>
        <v>#N/A</v>
      </c>
      <c r="N2877" s="16" t="e">
        <f t="shared" si="5443"/>
        <v>#N/A</v>
      </c>
      <c r="O2877" s="16" t="s">
        <v>73</v>
      </c>
      <c r="P2877" s="16" t="str">
        <f t="shared" si="6"/>
        <v/>
      </c>
      <c r="Q2877" s="41" t="e">
        <f t="shared" si="5444"/>
        <v>#N/A</v>
      </c>
      <c r="R2877" s="44"/>
      <c r="S2877" s="44"/>
      <c r="T2877" s="43"/>
      <c r="U2877" s="43" t="str">
        <f t="shared" si="8"/>
        <v>No</v>
      </c>
      <c r="V2877" s="25"/>
      <c r="W2877" s="25"/>
      <c r="X2877" s="25"/>
      <c r="Y2877" s="25"/>
      <c r="Z2877" s="25"/>
    </row>
    <row r="2878" spans="1:26" ht="15.75" customHeight="1" x14ac:dyDescent="0.25">
      <c r="A2878" s="25">
        <v>2876</v>
      </c>
      <c r="B2878" s="37" t="e">
        <f t="shared" ref="B2878:D2878" si="5793">VLOOKUP($A2878,[9]Hacienda!$A$1:$O$285,B$1,0)</f>
        <v>#N/A</v>
      </c>
      <c r="C2878" s="38" t="e">
        <f t="shared" si="5793"/>
        <v>#N/A</v>
      </c>
      <c r="D2878" s="39" t="e">
        <f t="shared" si="5793"/>
        <v>#N/A</v>
      </c>
      <c r="E2878" s="16" t="e">
        <f t="shared" si="1"/>
        <v>#N/A</v>
      </c>
      <c r="F2878" s="16" t="e">
        <f t="shared" ref="F2878:K2878" si="5794">VLOOKUP($A2878,[9]Hacienda!$A$1:$O$285,F$1,0)</f>
        <v>#N/A</v>
      </c>
      <c r="G2878" s="39" t="e">
        <f t="shared" si="5794"/>
        <v>#N/A</v>
      </c>
      <c r="H2878" s="16" t="e">
        <f t="shared" si="5794"/>
        <v>#N/A</v>
      </c>
      <c r="I2878" s="16" t="e">
        <f t="shared" si="5794"/>
        <v>#N/A</v>
      </c>
      <c r="J2878" s="40" t="e">
        <f t="shared" si="5794"/>
        <v>#N/A</v>
      </c>
      <c r="K2878" s="16" t="e">
        <f t="shared" si="5794"/>
        <v>#N/A</v>
      </c>
      <c r="L2878" s="40" t="e">
        <f t="shared" si="5441"/>
        <v>#N/A</v>
      </c>
      <c r="M2878" s="16" t="e">
        <f t="shared" si="5442"/>
        <v>#N/A</v>
      </c>
      <c r="N2878" s="16" t="e">
        <f t="shared" si="5443"/>
        <v>#N/A</v>
      </c>
      <c r="O2878" s="16" t="s">
        <v>73</v>
      </c>
      <c r="P2878" s="16" t="str">
        <f t="shared" si="6"/>
        <v/>
      </c>
      <c r="Q2878" s="41" t="e">
        <f t="shared" si="5444"/>
        <v>#N/A</v>
      </c>
      <c r="R2878" s="44"/>
      <c r="S2878" s="44"/>
      <c r="T2878" s="43"/>
      <c r="U2878" s="43" t="str">
        <f t="shared" si="8"/>
        <v>No</v>
      </c>
      <c r="V2878" s="25"/>
      <c r="W2878" s="25"/>
      <c r="X2878" s="25"/>
      <c r="Y2878" s="25"/>
      <c r="Z2878" s="25"/>
    </row>
    <row r="2879" spans="1:26" ht="15.75" customHeight="1" x14ac:dyDescent="0.25">
      <c r="A2879" s="25">
        <v>2877</v>
      </c>
      <c r="B2879" s="37" t="e">
        <f t="shared" ref="B2879:D2879" si="5795">VLOOKUP($A2879,[9]Hacienda!$A$1:$O$285,B$1,0)</f>
        <v>#N/A</v>
      </c>
      <c r="C2879" s="38" t="e">
        <f t="shared" si="5795"/>
        <v>#N/A</v>
      </c>
      <c r="D2879" s="39" t="e">
        <f t="shared" si="5795"/>
        <v>#N/A</v>
      </c>
      <c r="E2879" s="16" t="e">
        <f t="shared" si="1"/>
        <v>#N/A</v>
      </c>
      <c r="F2879" s="16" t="e">
        <f t="shared" ref="F2879:K2879" si="5796">VLOOKUP($A2879,[9]Hacienda!$A$1:$O$285,F$1,0)</f>
        <v>#N/A</v>
      </c>
      <c r="G2879" s="39" t="e">
        <f t="shared" si="5796"/>
        <v>#N/A</v>
      </c>
      <c r="H2879" s="16" t="e">
        <f t="shared" si="5796"/>
        <v>#N/A</v>
      </c>
      <c r="I2879" s="16" t="e">
        <f t="shared" si="5796"/>
        <v>#N/A</v>
      </c>
      <c r="J2879" s="40" t="e">
        <f t="shared" si="5796"/>
        <v>#N/A</v>
      </c>
      <c r="K2879" s="16" t="e">
        <f t="shared" si="5796"/>
        <v>#N/A</v>
      </c>
      <c r="L2879" s="40" t="e">
        <f t="shared" si="5441"/>
        <v>#N/A</v>
      </c>
      <c r="M2879" s="16" t="e">
        <f t="shared" si="5442"/>
        <v>#N/A</v>
      </c>
      <c r="N2879" s="16" t="e">
        <f t="shared" si="5443"/>
        <v>#N/A</v>
      </c>
      <c r="O2879" s="16" t="s">
        <v>73</v>
      </c>
      <c r="P2879" s="16" t="str">
        <f t="shared" si="6"/>
        <v/>
      </c>
      <c r="Q2879" s="41" t="e">
        <f t="shared" si="5444"/>
        <v>#N/A</v>
      </c>
      <c r="R2879" s="44"/>
      <c r="S2879" s="44"/>
      <c r="T2879" s="43"/>
      <c r="U2879" s="43" t="str">
        <f t="shared" si="8"/>
        <v>No</v>
      </c>
      <c r="V2879" s="25"/>
      <c r="W2879" s="25"/>
      <c r="X2879" s="25"/>
      <c r="Y2879" s="25"/>
      <c r="Z2879" s="25"/>
    </row>
    <row r="2880" spans="1:26" ht="15.75" customHeight="1" x14ac:dyDescent="0.25">
      <c r="A2880" s="25">
        <v>2878</v>
      </c>
      <c r="B2880" s="37" t="e">
        <f t="shared" ref="B2880:D2880" si="5797">VLOOKUP($A2880,[9]Hacienda!$A$1:$O$285,B$1,0)</f>
        <v>#N/A</v>
      </c>
      <c r="C2880" s="38" t="e">
        <f t="shared" si="5797"/>
        <v>#N/A</v>
      </c>
      <c r="D2880" s="39" t="e">
        <f t="shared" si="5797"/>
        <v>#N/A</v>
      </c>
      <c r="E2880" s="16" t="e">
        <f t="shared" si="1"/>
        <v>#N/A</v>
      </c>
      <c r="F2880" s="16" t="e">
        <f t="shared" ref="F2880:K2880" si="5798">VLOOKUP($A2880,[9]Hacienda!$A$1:$O$285,F$1,0)</f>
        <v>#N/A</v>
      </c>
      <c r="G2880" s="39" t="e">
        <f t="shared" si="5798"/>
        <v>#N/A</v>
      </c>
      <c r="H2880" s="16" t="e">
        <f t="shared" si="5798"/>
        <v>#N/A</v>
      </c>
      <c r="I2880" s="16" t="e">
        <f t="shared" si="5798"/>
        <v>#N/A</v>
      </c>
      <c r="J2880" s="40" t="e">
        <f t="shared" si="5798"/>
        <v>#N/A</v>
      </c>
      <c r="K2880" s="16" t="e">
        <f t="shared" si="5798"/>
        <v>#N/A</v>
      </c>
      <c r="L2880" s="40" t="e">
        <f t="shared" si="5441"/>
        <v>#N/A</v>
      </c>
      <c r="M2880" s="16" t="e">
        <f t="shared" si="5442"/>
        <v>#N/A</v>
      </c>
      <c r="N2880" s="16" t="e">
        <f t="shared" si="5443"/>
        <v>#N/A</v>
      </c>
      <c r="O2880" s="16" t="s">
        <v>73</v>
      </c>
      <c r="P2880" s="16" t="str">
        <f t="shared" si="6"/>
        <v/>
      </c>
      <c r="Q2880" s="41" t="e">
        <f t="shared" si="5444"/>
        <v>#N/A</v>
      </c>
      <c r="R2880" s="44"/>
      <c r="S2880" s="44"/>
      <c r="T2880" s="43"/>
      <c r="U2880" s="43" t="str">
        <f t="shared" si="8"/>
        <v>No</v>
      </c>
      <c r="V2880" s="25"/>
      <c r="W2880" s="25"/>
      <c r="X2880" s="25"/>
      <c r="Y2880" s="25"/>
      <c r="Z2880" s="25"/>
    </row>
    <row r="2881" spans="1:26" ht="15.75" customHeight="1" x14ac:dyDescent="0.25">
      <c r="A2881" s="25">
        <v>2879</v>
      </c>
      <c r="B2881" s="37" t="e">
        <f t="shared" ref="B2881:D2881" si="5799">VLOOKUP($A2881,[9]Hacienda!$A$1:$O$285,B$1,0)</f>
        <v>#N/A</v>
      </c>
      <c r="C2881" s="38" t="e">
        <f t="shared" si="5799"/>
        <v>#N/A</v>
      </c>
      <c r="D2881" s="39" t="e">
        <f t="shared" si="5799"/>
        <v>#N/A</v>
      </c>
      <c r="E2881" s="16" t="e">
        <f t="shared" si="1"/>
        <v>#N/A</v>
      </c>
      <c r="F2881" s="16" t="e">
        <f t="shared" ref="F2881:K2881" si="5800">VLOOKUP($A2881,[9]Hacienda!$A$1:$O$285,F$1,0)</f>
        <v>#N/A</v>
      </c>
      <c r="G2881" s="39" t="e">
        <f t="shared" si="5800"/>
        <v>#N/A</v>
      </c>
      <c r="H2881" s="16" t="e">
        <f t="shared" si="5800"/>
        <v>#N/A</v>
      </c>
      <c r="I2881" s="16" t="e">
        <f t="shared" si="5800"/>
        <v>#N/A</v>
      </c>
      <c r="J2881" s="40" t="e">
        <f t="shared" si="5800"/>
        <v>#N/A</v>
      </c>
      <c r="K2881" s="16" t="e">
        <f t="shared" si="5800"/>
        <v>#N/A</v>
      </c>
      <c r="L2881" s="40" t="e">
        <f t="shared" si="5441"/>
        <v>#N/A</v>
      </c>
      <c r="M2881" s="16" t="e">
        <f t="shared" si="5442"/>
        <v>#N/A</v>
      </c>
      <c r="N2881" s="16" t="e">
        <f t="shared" si="5443"/>
        <v>#N/A</v>
      </c>
      <c r="O2881" s="16" t="s">
        <v>73</v>
      </c>
      <c r="P2881" s="16" t="str">
        <f t="shared" si="6"/>
        <v/>
      </c>
      <c r="Q2881" s="41" t="e">
        <f t="shared" si="5444"/>
        <v>#N/A</v>
      </c>
      <c r="R2881" s="44"/>
      <c r="S2881" s="44"/>
      <c r="T2881" s="43"/>
      <c r="U2881" s="43" t="str">
        <f t="shared" si="8"/>
        <v>No</v>
      </c>
      <c r="V2881" s="25"/>
      <c r="W2881" s="25"/>
      <c r="X2881" s="25"/>
      <c r="Y2881" s="25"/>
      <c r="Z2881" s="25"/>
    </row>
    <row r="2882" spans="1:26" ht="15.75" customHeight="1" x14ac:dyDescent="0.25">
      <c r="A2882" s="25">
        <v>2880</v>
      </c>
      <c r="B2882" s="37" t="e">
        <f t="shared" ref="B2882:D2882" si="5801">VLOOKUP($A2882,[9]Hacienda!$A$1:$O$285,B$1,0)</f>
        <v>#N/A</v>
      </c>
      <c r="C2882" s="38" t="e">
        <f t="shared" si="5801"/>
        <v>#N/A</v>
      </c>
      <c r="D2882" s="39" t="e">
        <f t="shared" si="5801"/>
        <v>#N/A</v>
      </c>
      <c r="E2882" s="16" t="e">
        <f t="shared" si="1"/>
        <v>#N/A</v>
      </c>
      <c r="F2882" s="16" t="e">
        <f t="shared" ref="F2882:K2882" si="5802">VLOOKUP($A2882,[9]Hacienda!$A$1:$O$285,F$1,0)</f>
        <v>#N/A</v>
      </c>
      <c r="G2882" s="39" t="e">
        <f t="shared" si="5802"/>
        <v>#N/A</v>
      </c>
      <c r="H2882" s="16" t="e">
        <f t="shared" si="5802"/>
        <v>#N/A</v>
      </c>
      <c r="I2882" s="16" t="e">
        <f t="shared" si="5802"/>
        <v>#N/A</v>
      </c>
      <c r="J2882" s="40" t="e">
        <f t="shared" si="5802"/>
        <v>#N/A</v>
      </c>
      <c r="K2882" s="16" t="e">
        <f t="shared" si="5802"/>
        <v>#N/A</v>
      </c>
      <c r="L2882" s="40" t="e">
        <f t="shared" si="5441"/>
        <v>#N/A</v>
      </c>
      <c r="M2882" s="16" t="e">
        <f t="shared" si="5442"/>
        <v>#N/A</v>
      </c>
      <c r="N2882" s="16" t="e">
        <f t="shared" si="5443"/>
        <v>#N/A</v>
      </c>
      <c r="O2882" s="16" t="s">
        <v>73</v>
      </c>
      <c r="P2882" s="16" t="str">
        <f t="shared" si="6"/>
        <v/>
      </c>
      <c r="Q2882" s="41" t="e">
        <f t="shared" si="5444"/>
        <v>#N/A</v>
      </c>
      <c r="R2882" s="44"/>
      <c r="S2882" s="44"/>
      <c r="T2882" s="43"/>
      <c r="U2882" s="43" t="str">
        <f t="shared" si="8"/>
        <v>No</v>
      </c>
      <c r="V2882" s="25"/>
      <c r="W2882" s="25"/>
      <c r="X2882" s="25"/>
      <c r="Y2882" s="25"/>
      <c r="Z2882" s="25"/>
    </row>
    <row r="2883" spans="1:26" ht="15.75" customHeight="1" x14ac:dyDescent="0.25">
      <c r="A2883" s="25">
        <v>2881</v>
      </c>
      <c r="B2883" s="37" t="e">
        <f t="shared" ref="B2883:D2883" si="5803">VLOOKUP($A2883,[9]Hacienda!$A$1:$O$285,B$1,0)</f>
        <v>#N/A</v>
      </c>
      <c r="C2883" s="38" t="e">
        <f t="shared" si="5803"/>
        <v>#N/A</v>
      </c>
      <c r="D2883" s="39" t="e">
        <f t="shared" si="5803"/>
        <v>#N/A</v>
      </c>
      <c r="E2883" s="16" t="e">
        <f t="shared" si="1"/>
        <v>#N/A</v>
      </c>
      <c r="F2883" s="16" t="e">
        <f t="shared" ref="F2883:K2883" si="5804">VLOOKUP($A2883,[9]Hacienda!$A$1:$O$285,F$1,0)</f>
        <v>#N/A</v>
      </c>
      <c r="G2883" s="39" t="e">
        <f t="shared" si="5804"/>
        <v>#N/A</v>
      </c>
      <c r="H2883" s="16" t="e">
        <f t="shared" si="5804"/>
        <v>#N/A</v>
      </c>
      <c r="I2883" s="16" t="e">
        <f t="shared" si="5804"/>
        <v>#N/A</v>
      </c>
      <c r="J2883" s="40" t="e">
        <f t="shared" si="5804"/>
        <v>#N/A</v>
      </c>
      <c r="K2883" s="16" t="e">
        <f t="shared" si="5804"/>
        <v>#N/A</v>
      </c>
      <c r="L2883" s="40" t="e">
        <f t="shared" si="5441"/>
        <v>#N/A</v>
      </c>
      <c r="M2883" s="16" t="e">
        <f t="shared" si="5442"/>
        <v>#N/A</v>
      </c>
      <c r="N2883" s="16" t="e">
        <f t="shared" si="5443"/>
        <v>#N/A</v>
      </c>
      <c r="O2883" s="16" t="s">
        <v>73</v>
      </c>
      <c r="P2883" s="16" t="str">
        <f t="shared" si="6"/>
        <v/>
      </c>
      <c r="Q2883" s="41" t="e">
        <f t="shared" si="5444"/>
        <v>#N/A</v>
      </c>
      <c r="R2883" s="44"/>
      <c r="S2883" s="44"/>
      <c r="T2883" s="43"/>
      <c r="U2883" s="43" t="str">
        <f t="shared" si="8"/>
        <v>No</v>
      </c>
      <c r="V2883" s="25"/>
      <c r="W2883" s="25"/>
      <c r="X2883" s="25"/>
      <c r="Y2883" s="25"/>
      <c r="Z2883" s="25"/>
    </row>
    <row r="2884" spans="1:26" ht="15.75" customHeight="1" x14ac:dyDescent="0.25">
      <c r="A2884" s="25">
        <v>2882</v>
      </c>
      <c r="B2884" s="37" t="e">
        <f t="shared" ref="B2884:D2884" si="5805">VLOOKUP($A2884,[9]Hacienda!$A$1:$O$285,B$1,0)</f>
        <v>#N/A</v>
      </c>
      <c r="C2884" s="38" t="e">
        <f t="shared" si="5805"/>
        <v>#N/A</v>
      </c>
      <c r="D2884" s="39" t="e">
        <f t="shared" si="5805"/>
        <v>#N/A</v>
      </c>
      <c r="E2884" s="16" t="e">
        <f t="shared" si="1"/>
        <v>#N/A</v>
      </c>
      <c r="F2884" s="16" t="e">
        <f t="shared" ref="F2884:K2884" si="5806">VLOOKUP($A2884,[9]Hacienda!$A$1:$O$285,F$1,0)</f>
        <v>#N/A</v>
      </c>
      <c r="G2884" s="39" t="e">
        <f t="shared" si="5806"/>
        <v>#N/A</v>
      </c>
      <c r="H2884" s="16" t="e">
        <f t="shared" si="5806"/>
        <v>#N/A</v>
      </c>
      <c r="I2884" s="16" t="e">
        <f t="shared" si="5806"/>
        <v>#N/A</v>
      </c>
      <c r="J2884" s="40" t="e">
        <f t="shared" si="5806"/>
        <v>#N/A</v>
      </c>
      <c r="K2884" s="16" t="e">
        <f t="shared" si="5806"/>
        <v>#N/A</v>
      </c>
      <c r="L2884" s="40" t="e">
        <f t="shared" si="5441"/>
        <v>#N/A</v>
      </c>
      <c r="M2884" s="16" t="e">
        <f t="shared" si="5442"/>
        <v>#N/A</v>
      </c>
      <c r="N2884" s="16" t="e">
        <f t="shared" si="5443"/>
        <v>#N/A</v>
      </c>
      <c r="O2884" s="16" t="s">
        <v>73</v>
      </c>
      <c r="P2884" s="16" t="str">
        <f t="shared" si="6"/>
        <v/>
      </c>
      <c r="Q2884" s="41" t="e">
        <f t="shared" si="5444"/>
        <v>#N/A</v>
      </c>
      <c r="R2884" s="44"/>
      <c r="S2884" s="44"/>
      <c r="T2884" s="43"/>
      <c r="U2884" s="43" t="str">
        <f t="shared" si="8"/>
        <v>No</v>
      </c>
      <c r="V2884" s="25"/>
      <c r="W2884" s="25"/>
      <c r="X2884" s="25"/>
      <c r="Y2884" s="25"/>
      <c r="Z2884" s="25"/>
    </row>
    <row r="2885" spans="1:26" ht="15.75" customHeight="1" x14ac:dyDescent="0.25">
      <c r="A2885" s="25">
        <v>2883</v>
      </c>
      <c r="B2885" s="37" t="e">
        <f t="shared" ref="B2885:D2885" si="5807">VLOOKUP($A2885,[9]Hacienda!$A$1:$O$285,B$1,0)</f>
        <v>#N/A</v>
      </c>
      <c r="C2885" s="38" t="e">
        <f t="shared" si="5807"/>
        <v>#N/A</v>
      </c>
      <c r="D2885" s="39" t="e">
        <f t="shared" si="5807"/>
        <v>#N/A</v>
      </c>
      <c r="E2885" s="16" t="e">
        <f t="shared" si="1"/>
        <v>#N/A</v>
      </c>
      <c r="F2885" s="16" t="e">
        <f t="shared" ref="F2885:K2885" si="5808">VLOOKUP($A2885,[9]Hacienda!$A$1:$O$285,F$1,0)</f>
        <v>#N/A</v>
      </c>
      <c r="G2885" s="39" t="e">
        <f t="shared" si="5808"/>
        <v>#N/A</v>
      </c>
      <c r="H2885" s="16" t="e">
        <f t="shared" si="5808"/>
        <v>#N/A</v>
      </c>
      <c r="I2885" s="16" t="e">
        <f t="shared" si="5808"/>
        <v>#N/A</v>
      </c>
      <c r="J2885" s="40" t="e">
        <f t="shared" si="5808"/>
        <v>#N/A</v>
      </c>
      <c r="K2885" s="16" t="e">
        <f t="shared" si="5808"/>
        <v>#N/A</v>
      </c>
      <c r="L2885" s="40" t="e">
        <f t="shared" si="5441"/>
        <v>#N/A</v>
      </c>
      <c r="M2885" s="16" t="e">
        <f t="shared" si="5442"/>
        <v>#N/A</v>
      </c>
      <c r="N2885" s="16" t="e">
        <f t="shared" si="5443"/>
        <v>#N/A</v>
      </c>
      <c r="O2885" s="16" t="s">
        <v>73</v>
      </c>
      <c r="P2885" s="16" t="str">
        <f t="shared" si="6"/>
        <v/>
      </c>
      <c r="Q2885" s="41" t="e">
        <f t="shared" si="5444"/>
        <v>#N/A</v>
      </c>
      <c r="R2885" s="44"/>
      <c r="S2885" s="44"/>
      <c r="T2885" s="43"/>
      <c r="U2885" s="43" t="str">
        <f t="shared" si="8"/>
        <v>No</v>
      </c>
      <c r="V2885" s="25"/>
      <c r="W2885" s="25"/>
      <c r="X2885" s="25"/>
      <c r="Y2885" s="25"/>
      <c r="Z2885" s="25"/>
    </row>
    <row r="2886" spans="1:26" ht="15.75" customHeight="1" x14ac:dyDescent="0.25">
      <c r="A2886" s="25">
        <v>2884</v>
      </c>
      <c r="B2886" s="37" t="e">
        <f t="shared" ref="B2886:D2886" si="5809">VLOOKUP($A2886,[9]Hacienda!$A$1:$O$285,B$1,0)</f>
        <v>#N/A</v>
      </c>
      <c r="C2886" s="38" t="e">
        <f t="shared" si="5809"/>
        <v>#N/A</v>
      </c>
      <c r="D2886" s="39" t="e">
        <f t="shared" si="5809"/>
        <v>#N/A</v>
      </c>
      <c r="E2886" s="16" t="e">
        <f t="shared" si="1"/>
        <v>#N/A</v>
      </c>
      <c r="F2886" s="16" t="e">
        <f t="shared" ref="F2886:K2886" si="5810">VLOOKUP($A2886,[9]Hacienda!$A$1:$O$285,F$1,0)</f>
        <v>#N/A</v>
      </c>
      <c r="G2886" s="39" t="e">
        <f t="shared" si="5810"/>
        <v>#N/A</v>
      </c>
      <c r="H2886" s="16" t="e">
        <f t="shared" si="5810"/>
        <v>#N/A</v>
      </c>
      <c r="I2886" s="16" t="e">
        <f t="shared" si="5810"/>
        <v>#N/A</v>
      </c>
      <c r="J2886" s="40" t="e">
        <f t="shared" si="5810"/>
        <v>#N/A</v>
      </c>
      <c r="K2886" s="16" t="e">
        <f t="shared" si="5810"/>
        <v>#N/A</v>
      </c>
      <c r="L2886" s="40" t="e">
        <f t="shared" si="5441"/>
        <v>#N/A</v>
      </c>
      <c r="M2886" s="16" t="e">
        <f t="shared" si="5442"/>
        <v>#N/A</v>
      </c>
      <c r="N2886" s="16" t="e">
        <f t="shared" si="5443"/>
        <v>#N/A</v>
      </c>
      <c r="O2886" s="16" t="s">
        <v>73</v>
      </c>
      <c r="P2886" s="16" t="str">
        <f t="shared" si="6"/>
        <v/>
      </c>
      <c r="Q2886" s="41" t="e">
        <f t="shared" si="5444"/>
        <v>#N/A</v>
      </c>
      <c r="R2886" s="44"/>
      <c r="S2886" s="44"/>
      <c r="T2886" s="43"/>
      <c r="U2886" s="43" t="str">
        <f t="shared" si="8"/>
        <v>No</v>
      </c>
      <c r="V2886" s="25"/>
      <c r="W2886" s="25"/>
      <c r="X2886" s="25"/>
      <c r="Y2886" s="25"/>
      <c r="Z2886" s="25"/>
    </row>
    <row r="2887" spans="1:26" ht="15.75" customHeight="1" x14ac:dyDescent="0.25">
      <c r="A2887" s="25">
        <v>2885</v>
      </c>
      <c r="B2887" s="37" t="e">
        <f t="shared" ref="B2887:D2887" si="5811">VLOOKUP($A2887,[9]Hacienda!$A$1:$O$285,B$1,0)</f>
        <v>#N/A</v>
      </c>
      <c r="C2887" s="38" t="e">
        <f t="shared" si="5811"/>
        <v>#N/A</v>
      </c>
      <c r="D2887" s="39" t="e">
        <f t="shared" si="5811"/>
        <v>#N/A</v>
      </c>
      <c r="E2887" s="16" t="e">
        <f t="shared" si="1"/>
        <v>#N/A</v>
      </c>
      <c r="F2887" s="16" t="e">
        <f t="shared" ref="F2887:K2887" si="5812">VLOOKUP($A2887,[9]Hacienda!$A$1:$O$285,F$1,0)</f>
        <v>#N/A</v>
      </c>
      <c r="G2887" s="39" t="e">
        <f t="shared" si="5812"/>
        <v>#N/A</v>
      </c>
      <c r="H2887" s="16" t="e">
        <f t="shared" si="5812"/>
        <v>#N/A</v>
      </c>
      <c r="I2887" s="16" t="e">
        <f t="shared" si="5812"/>
        <v>#N/A</v>
      </c>
      <c r="J2887" s="40" t="e">
        <f t="shared" si="5812"/>
        <v>#N/A</v>
      </c>
      <c r="K2887" s="16" t="e">
        <f t="shared" si="5812"/>
        <v>#N/A</v>
      </c>
      <c r="L2887" s="40" t="e">
        <f t="shared" si="5441"/>
        <v>#N/A</v>
      </c>
      <c r="M2887" s="16" t="e">
        <f t="shared" si="5442"/>
        <v>#N/A</v>
      </c>
      <c r="N2887" s="16" t="e">
        <f t="shared" si="5443"/>
        <v>#N/A</v>
      </c>
      <c r="O2887" s="16" t="s">
        <v>73</v>
      </c>
      <c r="P2887" s="16" t="str">
        <f t="shared" si="6"/>
        <v/>
      </c>
      <c r="Q2887" s="41" t="e">
        <f t="shared" si="5444"/>
        <v>#N/A</v>
      </c>
      <c r="R2887" s="44"/>
      <c r="S2887" s="44"/>
      <c r="T2887" s="43"/>
      <c r="U2887" s="43" t="str">
        <f t="shared" si="8"/>
        <v>No</v>
      </c>
      <c r="V2887" s="25"/>
      <c r="W2887" s="25"/>
      <c r="X2887" s="25"/>
      <c r="Y2887" s="25"/>
      <c r="Z2887" s="25"/>
    </row>
    <row r="2888" spans="1:26" ht="15.75" customHeight="1" x14ac:dyDescent="0.25">
      <c r="A2888" s="25">
        <v>2886</v>
      </c>
      <c r="B2888" s="37" t="e">
        <f t="shared" ref="B2888:D2888" si="5813">VLOOKUP($A2888,[9]Hacienda!$A$1:$O$285,B$1,0)</f>
        <v>#N/A</v>
      </c>
      <c r="C2888" s="38" t="e">
        <f t="shared" si="5813"/>
        <v>#N/A</v>
      </c>
      <c r="D2888" s="39" t="e">
        <f t="shared" si="5813"/>
        <v>#N/A</v>
      </c>
      <c r="E2888" s="16" t="e">
        <f t="shared" si="1"/>
        <v>#N/A</v>
      </c>
      <c r="F2888" s="16" t="e">
        <f t="shared" ref="F2888:K2888" si="5814">VLOOKUP($A2888,[9]Hacienda!$A$1:$O$285,F$1,0)</f>
        <v>#N/A</v>
      </c>
      <c r="G2888" s="39" t="e">
        <f t="shared" si="5814"/>
        <v>#N/A</v>
      </c>
      <c r="H2888" s="16" t="e">
        <f t="shared" si="5814"/>
        <v>#N/A</v>
      </c>
      <c r="I2888" s="16" t="e">
        <f t="shared" si="5814"/>
        <v>#N/A</v>
      </c>
      <c r="J2888" s="40" t="e">
        <f t="shared" si="5814"/>
        <v>#N/A</v>
      </c>
      <c r="K2888" s="16" t="e">
        <f t="shared" si="5814"/>
        <v>#N/A</v>
      </c>
      <c r="L2888" s="40" t="e">
        <f t="shared" si="5441"/>
        <v>#N/A</v>
      </c>
      <c r="M2888" s="16" t="e">
        <f t="shared" si="5442"/>
        <v>#N/A</v>
      </c>
      <c r="N2888" s="16" t="e">
        <f t="shared" si="5443"/>
        <v>#N/A</v>
      </c>
      <c r="O2888" s="16" t="s">
        <v>73</v>
      </c>
      <c r="P2888" s="16" t="str">
        <f t="shared" si="6"/>
        <v/>
      </c>
      <c r="Q2888" s="41" t="e">
        <f t="shared" si="5444"/>
        <v>#N/A</v>
      </c>
      <c r="R2888" s="44"/>
      <c r="S2888" s="44"/>
      <c r="T2888" s="43"/>
      <c r="U2888" s="43" t="str">
        <f t="shared" si="8"/>
        <v>No</v>
      </c>
      <c r="V2888" s="25"/>
      <c r="W2888" s="25"/>
      <c r="X2888" s="25"/>
      <c r="Y2888" s="25"/>
      <c r="Z2888" s="25"/>
    </row>
    <row r="2889" spans="1:26" ht="15.75" customHeight="1" x14ac:dyDescent="0.25">
      <c r="A2889" s="25">
        <v>2887</v>
      </c>
      <c r="B2889" s="37" t="e">
        <f t="shared" ref="B2889:D2889" si="5815">VLOOKUP($A2889,[9]Hacienda!$A$1:$O$285,B$1,0)</f>
        <v>#N/A</v>
      </c>
      <c r="C2889" s="38" t="e">
        <f t="shared" si="5815"/>
        <v>#N/A</v>
      </c>
      <c r="D2889" s="39" t="e">
        <f t="shared" si="5815"/>
        <v>#N/A</v>
      </c>
      <c r="E2889" s="16" t="e">
        <f t="shared" si="1"/>
        <v>#N/A</v>
      </c>
      <c r="F2889" s="16" t="e">
        <f t="shared" ref="F2889:K2889" si="5816">VLOOKUP($A2889,[9]Hacienda!$A$1:$O$285,F$1,0)</f>
        <v>#N/A</v>
      </c>
      <c r="G2889" s="39" t="e">
        <f t="shared" si="5816"/>
        <v>#N/A</v>
      </c>
      <c r="H2889" s="16" t="e">
        <f t="shared" si="5816"/>
        <v>#N/A</v>
      </c>
      <c r="I2889" s="16" t="e">
        <f t="shared" si="5816"/>
        <v>#N/A</v>
      </c>
      <c r="J2889" s="40" t="e">
        <f t="shared" si="5816"/>
        <v>#N/A</v>
      </c>
      <c r="K2889" s="16" t="e">
        <f t="shared" si="5816"/>
        <v>#N/A</v>
      </c>
      <c r="L2889" s="40" t="e">
        <f t="shared" si="5441"/>
        <v>#N/A</v>
      </c>
      <c r="M2889" s="16" t="e">
        <f t="shared" si="5442"/>
        <v>#N/A</v>
      </c>
      <c r="N2889" s="16" t="e">
        <f t="shared" si="5443"/>
        <v>#N/A</v>
      </c>
      <c r="O2889" s="16" t="s">
        <v>73</v>
      </c>
      <c r="P2889" s="16" t="str">
        <f t="shared" si="6"/>
        <v/>
      </c>
      <c r="Q2889" s="41" t="e">
        <f t="shared" si="5444"/>
        <v>#N/A</v>
      </c>
      <c r="R2889" s="44"/>
      <c r="S2889" s="44"/>
      <c r="T2889" s="43"/>
      <c r="U2889" s="43" t="str">
        <f t="shared" si="8"/>
        <v>No</v>
      </c>
      <c r="V2889" s="25"/>
      <c r="W2889" s="25"/>
      <c r="X2889" s="25"/>
      <c r="Y2889" s="25"/>
      <c r="Z2889" s="25"/>
    </row>
    <row r="2890" spans="1:26" ht="15.75" customHeight="1" x14ac:dyDescent="0.25">
      <c r="A2890" s="25">
        <v>2888</v>
      </c>
      <c r="B2890" s="37" t="e">
        <f t="shared" ref="B2890:D2890" si="5817">VLOOKUP($A2890,[9]Hacienda!$A$1:$O$285,B$1,0)</f>
        <v>#N/A</v>
      </c>
      <c r="C2890" s="38" t="e">
        <f t="shared" si="5817"/>
        <v>#N/A</v>
      </c>
      <c r="D2890" s="39" t="e">
        <f t="shared" si="5817"/>
        <v>#N/A</v>
      </c>
      <c r="E2890" s="16" t="e">
        <f t="shared" si="1"/>
        <v>#N/A</v>
      </c>
      <c r="F2890" s="16" t="e">
        <f t="shared" ref="F2890:K2890" si="5818">VLOOKUP($A2890,[9]Hacienda!$A$1:$O$285,F$1,0)</f>
        <v>#N/A</v>
      </c>
      <c r="G2890" s="39" t="e">
        <f t="shared" si="5818"/>
        <v>#N/A</v>
      </c>
      <c r="H2890" s="16" t="e">
        <f t="shared" si="5818"/>
        <v>#N/A</v>
      </c>
      <c r="I2890" s="16" t="e">
        <f t="shared" si="5818"/>
        <v>#N/A</v>
      </c>
      <c r="J2890" s="40" t="e">
        <f t="shared" si="5818"/>
        <v>#N/A</v>
      </c>
      <c r="K2890" s="16" t="e">
        <f t="shared" si="5818"/>
        <v>#N/A</v>
      </c>
      <c r="L2890" s="40" t="e">
        <f t="shared" si="5441"/>
        <v>#N/A</v>
      </c>
      <c r="M2890" s="16" t="e">
        <f t="shared" si="5442"/>
        <v>#N/A</v>
      </c>
      <c r="N2890" s="16" t="e">
        <f t="shared" si="5443"/>
        <v>#N/A</v>
      </c>
      <c r="O2890" s="16" t="s">
        <v>73</v>
      </c>
      <c r="P2890" s="16" t="str">
        <f t="shared" si="6"/>
        <v/>
      </c>
      <c r="Q2890" s="41" t="e">
        <f t="shared" si="5444"/>
        <v>#N/A</v>
      </c>
      <c r="R2890" s="44"/>
      <c r="S2890" s="44"/>
      <c r="T2890" s="43"/>
      <c r="U2890" s="43" t="str">
        <f t="shared" si="8"/>
        <v>No</v>
      </c>
      <c r="V2890" s="25"/>
      <c r="W2890" s="25"/>
      <c r="X2890" s="25"/>
      <c r="Y2890" s="25"/>
      <c r="Z2890" s="25"/>
    </row>
    <row r="2891" spans="1:26" ht="15.75" customHeight="1" x14ac:dyDescent="0.25">
      <c r="A2891" s="25">
        <v>2889</v>
      </c>
      <c r="B2891" s="37" t="e">
        <f t="shared" ref="B2891:D2891" si="5819">VLOOKUP($A2891,[9]Hacienda!$A$1:$O$285,B$1,0)</f>
        <v>#N/A</v>
      </c>
      <c r="C2891" s="38" t="e">
        <f t="shared" si="5819"/>
        <v>#N/A</v>
      </c>
      <c r="D2891" s="39" t="e">
        <f t="shared" si="5819"/>
        <v>#N/A</v>
      </c>
      <c r="E2891" s="16" t="e">
        <f t="shared" si="1"/>
        <v>#N/A</v>
      </c>
      <c r="F2891" s="16" t="e">
        <f t="shared" ref="F2891:K2891" si="5820">VLOOKUP($A2891,[9]Hacienda!$A$1:$O$285,F$1,0)</f>
        <v>#N/A</v>
      </c>
      <c r="G2891" s="39" t="e">
        <f t="shared" si="5820"/>
        <v>#N/A</v>
      </c>
      <c r="H2891" s="16" t="e">
        <f t="shared" si="5820"/>
        <v>#N/A</v>
      </c>
      <c r="I2891" s="16" t="e">
        <f t="shared" si="5820"/>
        <v>#N/A</v>
      </c>
      <c r="J2891" s="40" t="e">
        <f t="shared" si="5820"/>
        <v>#N/A</v>
      </c>
      <c r="K2891" s="16" t="e">
        <f t="shared" si="5820"/>
        <v>#N/A</v>
      </c>
      <c r="L2891" s="40" t="e">
        <f t="shared" si="5441"/>
        <v>#N/A</v>
      </c>
      <c r="M2891" s="16" t="e">
        <f t="shared" si="5442"/>
        <v>#N/A</v>
      </c>
      <c r="N2891" s="16" t="e">
        <f t="shared" si="5443"/>
        <v>#N/A</v>
      </c>
      <c r="O2891" s="16" t="s">
        <v>73</v>
      </c>
      <c r="P2891" s="16" t="str">
        <f t="shared" si="6"/>
        <v/>
      </c>
      <c r="Q2891" s="41" t="e">
        <f t="shared" si="5444"/>
        <v>#N/A</v>
      </c>
      <c r="R2891" s="44"/>
      <c r="S2891" s="44"/>
      <c r="T2891" s="43"/>
      <c r="U2891" s="43" t="str">
        <f t="shared" si="8"/>
        <v>No</v>
      </c>
      <c r="V2891" s="25"/>
      <c r="W2891" s="25"/>
      <c r="X2891" s="25"/>
      <c r="Y2891" s="25"/>
      <c r="Z2891" s="25"/>
    </row>
    <row r="2892" spans="1:26" ht="15.75" customHeight="1" x14ac:dyDescent="0.25">
      <c r="A2892" s="25">
        <v>2890</v>
      </c>
      <c r="B2892" s="37" t="e">
        <f t="shared" ref="B2892:D2892" si="5821">VLOOKUP($A2892,[9]Hacienda!$A$1:$O$285,B$1,0)</f>
        <v>#N/A</v>
      </c>
      <c r="C2892" s="38" t="e">
        <f t="shared" si="5821"/>
        <v>#N/A</v>
      </c>
      <c r="D2892" s="39" t="e">
        <f t="shared" si="5821"/>
        <v>#N/A</v>
      </c>
      <c r="E2892" s="16" t="e">
        <f t="shared" si="1"/>
        <v>#N/A</v>
      </c>
      <c r="F2892" s="16" t="e">
        <f t="shared" ref="F2892:K2892" si="5822">VLOOKUP($A2892,[9]Hacienda!$A$1:$O$285,F$1,0)</f>
        <v>#N/A</v>
      </c>
      <c r="G2892" s="39" t="e">
        <f t="shared" si="5822"/>
        <v>#N/A</v>
      </c>
      <c r="H2892" s="16" t="e">
        <f t="shared" si="5822"/>
        <v>#N/A</v>
      </c>
      <c r="I2892" s="16" t="e">
        <f t="shared" si="5822"/>
        <v>#N/A</v>
      </c>
      <c r="J2892" s="40" t="e">
        <f t="shared" si="5822"/>
        <v>#N/A</v>
      </c>
      <c r="K2892" s="16" t="e">
        <f t="shared" si="5822"/>
        <v>#N/A</v>
      </c>
      <c r="L2892" s="40" t="e">
        <f t="shared" si="5441"/>
        <v>#N/A</v>
      </c>
      <c r="M2892" s="16" t="e">
        <f t="shared" si="5442"/>
        <v>#N/A</v>
      </c>
      <c r="N2892" s="16" t="e">
        <f t="shared" si="5443"/>
        <v>#N/A</v>
      </c>
      <c r="O2892" s="16" t="s">
        <v>73</v>
      </c>
      <c r="P2892" s="16" t="str">
        <f t="shared" si="6"/>
        <v/>
      </c>
      <c r="Q2892" s="41" t="e">
        <f t="shared" si="5444"/>
        <v>#N/A</v>
      </c>
      <c r="R2892" s="44"/>
      <c r="S2892" s="44"/>
      <c r="T2892" s="43"/>
      <c r="U2892" s="43" t="str">
        <f t="shared" si="8"/>
        <v>No</v>
      </c>
      <c r="V2892" s="25"/>
      <c r="W2892" s="25"/>
      <c r="X2892" s="25"/>
      <c r="Y2892" s="25"/>
      <c r="Z2892" s="25"/>
    </row>
    <row r="2893" spans="1:26" ht="15.75" customHeight="1" x14ac:dyDescent="0.25">
      <c r="A2893" s="25">
        <v>2891</v>
      </c>
      <c r="B2893" s="37" t="e">
        <f t="shared" ref="B2893:D2893" si="5823">VLOOKUP($A2893,[9]Hacienda!$A$1:$O$285,B$1,0)</f>
        <v>#N/A</v>
      </c>
      <c r="C2893" s="38" t="e">
        <f t="shared" si="5823"/>
        <v>#N/A</v>
      </c>
      <c r="D2893" s="39" t="e">
        <f t="shared" si="5823"/>
        <v>#N/A</v>
      </c>
      <c r="E2893" s="16" t="e">
        <f t="shared" si="1"/>
        <v>#N/A</v>
      </c>
      <c r="F2893" s="16" t="e">
        <f t="shared" ref="F2893:K2893" si="5824">VLOOKUP($A2893,[9]Hacienda!$A$1:$O$285,F$1,0)</f>
        <v>#N/A</v>
      </c>
      <c r="G2893" s="39" t="e">
        <f t="shared" si="5824"/>
        <v>#N/A</v>
      </c>
      <c r="H2893" s="16" t="e">
        <f t="shared" si="5824"/>
        <v>#N/A</v>
      </c>
      <c r="I2893" s="16" t="e">
        <f t="shared" si="5824"/>
        <v>#N/A</v>
      </c>
      <c r="J2893" s="40" t="e">
        <f t="shared" si="5824"/>
        <v>#N/A</v>
      </c>
      <c r="K2893" s="16" t="e">
        <f t="shared" si="5824"/>
        <v>#N/A</v>
      </c>
      <c r="L2893" s="40" t="e">
        <f t="shared" si="5441"/>
        <v>#N/A</v>
      </c>
      <c r="M2893" s="16" t="e">
        <f t="shared" si="5442"/>
        <v>#N/A</v>
      </c>
      <c r="N2893" s="16" t="e">
        <f t="shared" si="5443"/>
        <v>#N/A</v>
      </c>
      <c r="O2893" s="16" t="s">
        <v>73</v>
      </c>
      <c r="P2893" s="16" t="str">
        <f t="shared" si="6"/>
        <v/>
      </c>
      <c r="Q2893" s="41" t="e">
        <f t="shared" si="5444"/>
        <v>#N/A</v>
      </c>
      <c r="R2893" s="44"/>
      <c r="S2893" s="44"/>
      <c r="T2893" s="43"/>
      <c r="U2893" s="43" t="str">
        <f t="shared" si="8"/>
        <v>No</v>
      </c>
      <c r="V2893" s="25"/>
      <c r="W2893" s="25"/>
      <c r="X2893" s="25"/>
      <c r="Y2893" s="25"/>
      <c r="Z2893" s="25"/>
    </row>
    <row r="2894" spans="1:26" ht="15.75" customHeight="1" x14ac:dyDescent="0.25">
      <c r="A2894" s="25">
        <v>2892</v>
      </c>
      <c r="B2894" s="37" t="e">
        <f t="shared" ref="B2894:D2894" si="5825">VLOOKUP($A2894,[9]Hacienda!$A$1:$O$285,B$1,0)</f>
        <v>#N/A</v>
      </c>
      <c r="C2894" s="38" t="e">
        <f t="shared" si="5825"/>
        <v>#N/A</v>
      </c>
      <c r="D2894" s="39" t="e">
        <f t="shared" si="5825"/>
        <v>#N/A</v>
      </c>
      <c r="E2894" s="16" t="e">
        <f t="shared" si="1"/>
        <v>#N/A</v>
      </c>
      <c r="F2894" s="16" t="e">
        <f t="shared" ref="F2894:K2894" si="5826">VLOOKUP($A2894,[9]Hacienda!$A$1:$O$285,F$1,0)</f>
        <v>#N/A</v>
      </c>
      <c r="G2894" s="39" t="e">
        <f t="shared" si="5826"/>
        <v>#N/A</v>
      </c>
      <c r="H2894" s="16" t="e">
        <f t="shared" si="5826"/>
        <v>#N/A</v>
      </c>
      <c r="I2894" s="16" t="e">
        <f t="shared" si="5826"/>
        <v>#N/A</v>
      </c>
      <c r="J2894" s="40" t="e">
        <f t="shared" si="5826"/>
        <v>#N/A</v>
      </c>
      <c r="K2894" s="16" t="e">
        <f t="shared" si="5826"/>
        <v>#N/A</v>
      </c>
      <c r="L2894" s="40" t="e">
        <f t="shared" si="5441"/>
        <v>#N/A</v>
      </c>
      <c r="M2894" s="16" t="e">
        <f t="shared" si="5442"/>
        <v>#N/A</v>
      </c>
      <c r="N2894" s="16" t="e">
        <f t="shared" si="5443"/>
        <v>#N/A</v>
      </c>
      <c r="O2894" s="16" t="s">
        <v>73</v>
      </c>
      <c r="P2894" s="16" t="str">
        <f t="shared" si="6"/>
        <v/>
      </c>
      <c r="Q2894" s="41" t="e">
        <f t="shared" si="5444"/>
        <v>#N/A</v>
      </c>
      <c r="R2894" s="44"/>
      <c r="S2894" s="44"/>
      <c r="T2894" s="43"/>
      <c r="U2894" s="43" t="str">
        <f t="shared" si="8"/>
        <v>No</v>
      </c>
      <c r="V2894" s="25"/>
      <c r="W2894" s="25"/>
      <c r="X2894" s="25"/>
      <c r="Y2894" s="25"/>
      <c r="Z2894" s="25"/>
    </row>
    <row r="2895" spans="1:26" ht="15.75" customHeight="1" x14ac:dyDescent="0.25">
      <c r="A2895" s="25">
        <v>2893</v>
      </c>
      <c r="B2895" s="37" t="e">
        <f t="shared" ref="B2895:D2895" si="5827">VLOOKUP($A2895,[9]Hacienda!$A$1:$O$285,B$1,0)</f>
        <v>#N/A</v>
      </c>
      <c r="C2895" s="38" t="e">
        <f t="shared" si="5827"/>
        <v>#N/A</v>
      </c>
      <c r="D2895" s="39" t="e">
        <f t="shared" si="5827"/>
        <v>#N/A</v>
      </c>
      <c r="E2895" s="16" t="e">
        <f t="shared" si="1"/>
        <v>#N/A</v>
      </c>
      <c r="F2895" s="16" t="e">
        <f t="shared" ref="F2895:K2895" si="5828">VLOOKUP($A2895,[9]Hacienda!$A$1:$O$285,F$1,0)</f>
        <v>#N/A</v>
      </c>
      <c r="G2895" s="39" t="e">
        <f t="shared" si="5828"/>
        <v>#N/A</v>
      </c>
      <c r="H2895" s="16" t="e">
        <f t="shared" si="5828"/>
        <v>#N/A</v>
      </c>
      <c r="I2895" s="16" t="e">
        <f t="shared" si="5828"/>
        <v>#N/A</v>
      </c>
      <c r="J2895" s="40" t="e">
        <f t="shared" si="5828"/>
        <v>#N/A</v>
      </c>
      <c r="K2895" s="16" t="e">
        <f t="shared" si="5828"/>
        <v>#N/A</v>
      </c>
      <c r="L2895" s="40" t="e">
        <f t="shared" si="5441"/>
        <v>#N/A</v>
      </c>
      <c r="M2895" s="16" t="e">
        <f t="shared" si="5442"/>
        <v>#N/A</v>
      </c>
      <c r="N2895" s="16" t="e">
        <f t="shared" si="5443"/>
        <v>#N/A</v>
      </c>
      <c r="O2895" s="16" t="s">
        <v>73</v>
      </c>
      <c r="P2895" s="16" t="str">
        <f t="shared" si="6"/>
        <v/>
      </c>
      <c r="Q2895" s="41" t="e">
        <f t="shared" si="5444"/>
        <v>#N/A</v>
      </c>
      <c r="R2895" s="44"/>
      <c r="S2895" s="44"/>
      <c r="T2895" s="43"/>
      <c r="U2895" s="43" t="str">
        <f t="shared" si="8"/>
        <v>No</v>
      </c>
      <c r="V2895" s="25"/>
      <c r="W2895" s="25"/>
      <c r="X2895" s="25"/>
      <c r="Y2895" s="25"/>
      <c r="Z2895" s="25"/>
    </row>
    <row r="2896" spans="1:26" ht="15.75" customHeight="1" x14ac:dyDescent="0.25">
      <c r="A2896" s="25">
        <v>2894</v>
      </c>
      <c r="B2896" s="37" t="e">
        <f t="shared" ref="B2896:D2896" si="5829">VLOOKUP($A2896,[9]Hacienda!$A$1:$O$285,B$1,0)</f>
        <v>#N/A</v>
      </c>
      <c r="C2896" s="38" t="e">
        <f t="shared" si="5829"/>
        <v>#N/A</v>
      </c>
      <c r="D2896" s="39" t="e">
        <f t="shared" si="5829"/>
        <v>#N/A</v>
      </c>
      <c r="E2896" s="16" t="e">
        <f t="shared" si="1"/>
        <v>#N/A</v>
      </c>
      <c r="F2896" s="16" t="e">
        <f t="shared" ref="F2896:K2896" si="5830">VLOOKUP($A2896,[9]Hacienda!$A$1:$O$285,F$1,0)</f>
        <v>#N/A</v>
      </c>
      <c r="G2896" s="39" t="e">
        <f t="shared" si="5830"/>
        <v>#N/A</v>
      </c>
      <c r="H2896" s="16" t="e">
        <f t="shared" si="5830"/>
        <v>#N/A</v>
      </c>
      <c r="I2896" s="16" t="e">
        <f t="shared" si="5830"/>
        <v>#N/A</v>
      </c>
      <c r="J2896" s="40" t="e">
        <f t="shared" si="5830"/>
        <v>#N/A</v>
      </c>
      <c r="K2896" s="16" t="e">
        <f t="shared" si="5830"/>
        <v>#N/A</v>
      </c>
      <c r="L2896" s="40" t="e">
        <f t="shared" si="5441"/>
        <v>#N/A</v>
      </c>
      <c r="M2896" s="16" t="e">
        <f t="shared" si="5442"/>
        <v>#N/A</v>
      </c>
      <c r="N2896" s="16" t="e">
        <f t="shared" si="5443"/>
        <v>#N/A</v>
      </c>
      <c r="O2896" s="16" t="s">
        <v>73</v>
      </c>
      <c r="P2896" s="16" t="str">
        <f t="shared" si="6"/>
        <v/>
      </c>
      <c r="Q2896" s="41" t="e">
        <f t="shared" si="5444"/>
        <v>#N/A</v>
      </c>
      <c r="R2896" s="44"/>
      <c r="S2896" s="44"/>
      <c r="T2896" s="43"/>
      <c r="U2896" s="43" t="str">
        <f t="shared" si="8"/>
        <v>No</v>
      </c>
      <c r="V2896" s="25"/>
      <c r="W2896" s="25"/>
      <c r="X2896" s="25"/>
      <c r="Y2896" s="25"/>
      <c r="Z2896" s="25"/>
    </row>
    <row r="2897" spans="1:26" ht="15.75" customHeight="1" x14ac:dyDescent="0.25">
      <c r="A2897" s="25">
        <v>2895</v>
      </c>
      <c r="B2897" s="37" t="e">
        <f t="shared" ref="B2897:D2897" si="5831">VLOOKUP($A2897,[9]Hacienda!$A$1:$O$285,B$1,0)</f>
        <v>#N/A</v>
      </c>
      <c r="C2897" s="38" t="e">
        <f t="shared" si="5831"/>
        <v>#N/A</v>
      </c>
      <c r="D2897" s="39" t="e">
        <f t="shared" si="5831"/>
        <v>#N/A</v>
      </c>
      <c r="E2897" s="16" t="e">
        <f t="shared" si="1"/>
        <v>#N/A</v>
      </c>
      <c r="F2897" s="16" t="e">
        <f t="shared" ref="F2897:K2897" si="5832">VLOOKUP($A2897,[9]Hacienda!$A$1:$O$285,F$1,0)</f>
        <v>#N/A</v>
      </c>
      <c r="G2897" s="39" t="e">
        <f t="shared" si="5832"/>
        <v>#N/A</v>
      </c>
      <c r="H2897" s="16" t="e">
        <f t="shared" si="5832"/>
        <v>#N/A</v>
      </c>
      <c r="I2897" s="16" t="e">
        <f t="shared" si="5832"/>
        <v>#N/A</v>
      </c>
      <c r="J2897" s="40" t="e">
        <f t="shared" si="5832"/>
        <v>#N/A</v>
      </c>
      <c r="K2897" s="16" t="e">
        <f t="shared" si="5832"/>
        <v>#N/A</v>
      </c>
      <c r="L2897" s="40" t="e">
        <f t="shared" si="5441"/>
        <v>#N/A</v>
      </c>
      <c r="M2897" s="16" t="e">
        <f t="shared" si="5442"/>
        <v>#N/A</v>
      </c>
      <c r="N2897" s="16" t="e">
        <f t="shared" si="5443"/>
        <v>#N/A</v>
      </c>
      <c r="O2897" s="16" t="s">
        <v>73</v>
      </c>
      <c r="P2897" s="16" t="str">
        <f t="shared" si="6"/>
        <v/>
      </c>
      <c r="Q2897" s="41" t="e">
        <f t="shared" si="5444"/>
        <v>#N/A</v>
      </c>
      <c r="R2897" s="44"/>
      <c r="S2897" s="44"/>
      <c r="T2897" s="43"/>
      <c r="U2897" s="43" t="str">
        <f t="shared" si="8"/>
        <v>No</v>
      </c>
      <c r="V2897" s="25"/>
      <c r="W2897" s="25"/>
      <c r="X2897" s="25"/>
      <c r="Y2897" s="25"/>
      <c r="Z2897" s="25"/>
    </row>
    <row r="2898" spans="1:26" ht="15.75" customHeight="1" x14ac:dyDescent="0.25">
      <c r="A2898" s="25">
        <v>2896</v>
      </c>
      <c r="B2898" s="37" t="e">
        <f t="shared" ref="B2898:D2898" si="5833">VLOOKUP($A2898,[9]Hacienda!$A$1:$O$285,B$1,0)</f>
        <v>#N/A</v>
      </c>
      <c r="C2898" s="38" t="e">
        <f t="shared" si="5833"/>
        <v>#N/A</v>
      </c>
      <c r="D2898" s="39" t="e">
        <f t="shared" si="5833"/>
        <v>#N/A</v>
      </c>
      <c r="E2898" s="16" t="e">
        <f t="shared" si="1"/>
        <v>#N/A</v>
      </c>
      <c r="F2898" s="16" t="e">
        <f t="shared" ref="F2898:K2898" si="5834">VLOOKUP($A2898,[9]Hacienda!$A$1:$O$285,F$1,0)</f>
        <v>#N/A</v>
      </c>
      <c r="G2898" s="39" t="e">
        <f t="shared" si="5834"/>
        <v>#N/A</v>
      </c>
      <c r="H2898" s="16" t="e">
        <f t="shared" si="5834"/>
        <v>#N/A</v>
      </c>
      <c r="I2898" s="16" t="e">
        <f t="shared" si="5834"/>
        <v>#N/A</v>
      </c>
      <c r="J2898" s="40" t="e">
        <f t="shared" si="5834"/>
        <v>#N/A</v>
      </c>
      <c r="K2898" s="16" t="e">
        <f t="shared" si="5834"/>
        <v>#N/A</v>
      </c>
      <c r="L2898" s="40" t="e">
        <f t="shared" si="5441"/>
        <v>#N/A</v>
      </c>
      <c r="M2898" s="16" t="e">
        <f t="shared" si="5442"/>
        <v>#N/A</v>
      </c>
      <c r="N2898" s="16" t="e">
        <f t="shared" si="5443"/>
        <v>#N/A</v>
      </c>
      <c r="O2898" s="16" t="s">
        <v>73</v>
      </c>
      <c r="P2898" s="16" t="str">
        <f t="shared" si="6"/>
        <v/>
      </c>
      <c r="Q2898" s="41" t="e">
        <f t="shared" si="5444"/>
        <v>#N/A</v>
      </c>
      <c r="R2898" s="44"/>
      <c r="S2898" s="44"/>
      <c r="T2898" s="43"/>
      <c r="U2898" s="43" t="str">
        <f t="shared" si="8"/>
        <v>No</v>
      </c>
      <c r="V2898" s="25"/>
      <c r="W2898" s="25"/>
      <c r="X2898" s="25"/>
      <c r="Y2898" s="25"/>
      <c r="Z2898" s="25"/>
    </row>
    <row r="2899" spans="1:26" ht="15.75" customHeight="1" x14ac:dyDescent="0.25">
      <c r="A2899" s="25">
        <v>2897</v>
      </c>
      <c r="B2899" s="37" t="e">
        <f t="shared" ref="B2899:D2899" si="5835">VLOOKUP($A2899,[9]Hacienda!$A$1:$O$285,B$1,0)</f>
        <v>#N/A</v>
      </c>
      <c r="C2899" s="38" t="e">
        <f t="shared" si="5835"/>
        <v>#N/A</v>
      </c>
      <c r="D2899" s="39" t="e">
        <f t="shared" si="5835"/>
        <v>#N/A</v>
      </c>
      <c r="E2899" s="16" t="e">
        <f t="shared" si="1"/>
        <v>#N/A</v>
      </c>
      <c r="F2899" s="16" t="e">
        <f t="shared" ref="F2899:K2899" si="5836">VLOOKUP($A2899,[9]Hacienda!$A$1:$O$285,F$1,0)</f>
        <v>#N/A</v>
      </c>
      <c r="G2899" s="39" t="e">
        <f t="shared" si="5836"/>
        <v>#N/A</v>
      </c>
      <c r="H2899" s="16" t="e">
        <f t="shared" si="5836"/>
        <v>#N/A</v>
      </c>
      <c r="I2899" s="16" t="e">
        <f t="shared" si="5836"/>
        <v>#N/A</v>
      </c>
      <c r="J2899" s="40" t="e">
        <f t="shared" si="5836"/>
        <v>#N/A</v>
      </c>
      <c r="K2899" s="16" t="e">
        <f t="shared" si="5836"/>
        <v>#N/A</v>
      </c>
      <c r="L2899" s="40" t="e">
        <f t="shared" si="5441"/>
        <v>#N/A</v>
      </c>
      <c r="M2899" s="16" t="e">
        <f t="shared" si="5442"/>
        <v>#N/A</v>
      </c>
      <c r="N2899" s="16" t="e">
        <f t="shared" si="5443"/>
        <v>#N/A</v>
      </c>
      <c r="O2899" s="16" t="s">
        <v>73</v>
      </c>
      <c r="P2899" s="16" t="str">
        <f t="shared" si="6"/>
        <v/>
      </c>
      <c r="Q2899" s="41" t="e">
        <f t="shared" si="5444"/>
        <v>#N/A</v>
      </c>
      <c r="R2899" s="44"/>
      <c r="S2899" s="44"/>
      <c r="T2899" s="43"/>
      <c r="U2899" s="43" t="str">
        <f t="shared" si="8"/>
        <v>No</v>
      </c>
      <c r="V2899" s="25"/>
      <c r="W2899" s="25"/>
      <c r="X2899" s="25"/>
      <c r="Y2899" s="25"/>
      <c r="Z2899" s="25"/>
    </row>
    <row r="2900" spans="1:26" ht="15.75" customHeight="1" x14ac:dyDescent="0.25">
      <c r="A2900" s="25">
        <v>2898</v>
      </c>
      <c r="B2900" s="37" t="e">
        <f t="shared" ref="B2900:D2900" si="5837">VLOOKUP($A2900,[9]Hacienda!$A$1:$O$285,B$1,0)</f>
        <v>#N/A</v>
      </c>
      <c r="C2900" s="38" t="e">
        <f t="shared" si="5837"/>
        <v>#N/A</v>
      </c>
      <c r="D2900" s="39" t="e">
        <f t="shared" si="5837"/>
        <v>#N/A</v>
      </c>
      <c r="E2900" s="16" t="e">
        <f t="shared" si="1"/>
        <v>#N/A</v>
      </c>
      <c r="F2900" s="16" t="e">
        <f t="shared" ref="F2900:K2900" si="5838">VLOOKUP($A2900,[9]Hacienda!$A$1:$O$285,F$1,0)</f>
        <v>#N/A</v>
      </c>
      <c r="G2900" s="39" t="e">
        <f t="shared" si="5838"/>
        <v>#N/A</v>
      </c>
      <c r="H2900" s="16" t="e">
        <f t="shared" si="5838"/>
        <v>#N/A</v>
      </c>
      <c r="I2900" s="16" t="e">
        <f t="shared" si="5838"/>
        <v>#N/A</v>
      </c>
      <c r="J2900" s="40" t="e">
        <f t="shared" si="5838"/>
        <v>#N/A</v>
      </c>
      <c r="K2900" s="16" t="e">
        <f t="shared" si="5838"/>
        <v>#N/A</v>
      </c>
      <c r="L2900" s="40" t="e">
        <f t="shared" si="5441"/>
        <v>#N/A</v>
      </c>
      <c r="M2900" s="16" t="e">
        <f t="shared" si="5442"/>
        <v>#N/A</v>
      </c>
      <c r="N2900" s="16" t="e">
        <f t="shared" si="5443"/>
        <v>#N/A</v>
      </c>
      <c r="O2900" s="16" t="s">
        <v>73</v>
      </c>
      <c r="P2900" s="16" t="str">
        <f t="shared" si="6"/>
        <v/>
      </c>
      <c r="Q2900" s="41" t="e">
        <f t="shared" si="5444"/>
        <v>#N/A</v>
      </c>
      <c r="R2900" s="44"/>
      <c r="S2900" s="44"/>
      <c r="T2900" s="43"/>
      <c r="U2900" s="43" t="str">
        <f t="shared" si="8"/>
        <v>No</v>
      </c>
      <c r="V2900" s="25"/>
      <c r="W2900" s="25"/>
      <c r="X2900" s="25"/>
      <c r="Y2900" s="25"/>
      <c r="Z2900" s="25"/>
    </row>
    <row r="2901" spans="1:26" ht="15.75" customHeight="1" x14ac:dyDescent="0.25">
      <c r="A2901" s="25">
        <v>2899</v>
      </c>
      <c r="B2901" s="37" t="e">
        <f t="shared" ref="B2901:D2901" si="5839">VLOOKUP($A2901,[9]Hacienda!$A$1:$O$285,B$1,0)</f>
        <v>#N/A</v>
      </c>
      <c r="C2901" s="38" t="e">
        <f t="shared" si="5839"/>
        <v>#N/A</v>
      </c>
      <c r="D2901" s="39" t="e">
        <f t="shared" si="5839"/>
        <v>#N/A</v>
      </c>
      <c r="E2901" s="16" t="e">
        <f t="shared" si="1"/>
        <v>#N/A</v>
      </c>
      <c r="F2901" s="16" t="e">
        <f t="shared" ref="F2901:K2901" si="5840">VLOOKUP($A2901,[9]Hacienda!$A$1:$O$285,F$1,0)</f>
        <v>#N/A</v>
      </c>
      <c r="G2901" s="39" t="e">
        <f t="shared" si="5840"/>
        <v>#N/A</v>
      </c>
      <c r="H2901" s="16" t="e">
        <f t="shared" si="5840"/>
        <v>#N/A</v>
      </c>
      <c r="I2901" s="16" t="e">
        <f t="shared" si="5840"/>
        <v>#N/A</v>
      </c>
      <c r="J2901" s="40" t="e">
        <f t="shared" si="5840"/>
        <v>#N/A</v>
      </c>
      <c r="K2901" s="16" t="e">
        <f t="shared" si="5840"/>
        <v>#N/A</v>
      </c>
      <c r="L2901" s="40" t="e">
        <f t="shared" si="5441"/>
        <v>#N/A</v>
      </c>
      <c r="M2901" s="16" t="e">
        <f t="shared" si="5442"/>
        <v>#N/A</v>
      </c>
      <c r="N2901" s="16" t="e">
        <f t="shared" si="5443"/>
        <v>#N/A</v>
      </c>
      <c r="O2901" s="16" t="s">
        <v>73</v>
      </c>
      <c r="P2901" s="16" t="str">
        <f t="shared" si="6"/>
        <v/>
      </c>
      <c r="Q2901" s="41" t="e">
        <f t="shared" si="5444"/>
        <v>#N/A</v>
      </c>
      <c r="R2901" s="44"/>
      <c r="S2901" s="44"/>
      <c r="T2901" s="43"/>
      <c r="U2901" s="43" t="str">
        <f t="shared" si="8"/>
        <v>No</v>
      </c>
      <c r="V2901" s="25"/>
      <c r="W2901" s="25"/>
      <c r="X2901" s="25"/>
      <c r="Y2901" s="25"/>
      <c r="Z2901" s="25"/>
    </row>
    <row r="2902" spans="1:26" ht="15.75" customHeight="1" x14ac:dyDescent="0.25">
      <c r="A2902" s="25">
        <v>2900</v>
      </c>
      <c r="B2902" s="37" t="e">
        <f t="shared" ref="B2902:D2902" si="5841">VLOOKUP($A2902,[9]Hacienda!$A$1:$O$285,B$1,0)</f>
        <v>#N/A</v>
      </c>
      <c r="C2902" s="38" t="e">
        <f t="shared" si="5841"/>
        <v>#N/A</v>
      </c>
      <c r="D2902" s="39" t="e">
        <f t="shared" si="5841"/>
        <v>#N/A</v>
      </c>
      <c r="E2902" s="16" t="e">
        <f t="shared" si="1"/>
        <v>#N/A</v>
      </c>
      <c r="F2902" s="16" t="e">
        <f t="shared" ref="F2902:K2902" si="5842">VLOOKUP($A2902,[9]Hacienda!$A$1:$O$285,F$1,0)</f>
        <v>#N/A</v>
      </c>
      <c r="G2902" s="39" t="e">
        <f t="shared" si="5842"/>
        <v>#N/A</v>
      </c>
      <c r="H2902" s="16" t="e">
        <f t="shared" si="5842"/>
        <v>#N/A</v>
      </c>
      <c r="I2902" s="16" t="e">
        <f t="shared" si="5842"/>
        <v>#N/A</v>
      </c>
      <c r="J2902" s="40" t="e">
        <f t="shared" si="5842"/>
        <v>#N/A</v>
      </c>
      <c r="K2902" s="16" t="e">
        <f t="shared" si="5842"/>
        <v>#N/A</v>
      </c>
      <c r="L2902" s="40" t="e">
        <f t="shared" si="5441"/>
        <v>#N/A</v>
      </c>
      <c r="M2902" s="16" t="e">
        <f t="shared" si="5442"/>
        <v>#N/A</v>
      </c>
      <c r="N2902" s="16" t="e">
        <f t="shared" si="5443"/>
        <v>#N/A</v>
      </c>
      <c r="O2902" s="16" t="s">
        <v>73</v>
      </c>
      <c r="P2902" s="16" t="str">
        <f t="shared" si="6"/>
        <v/>
      </c>
      <c r="Q2902" s="41" t="e">
        <f t="shared" si="5444"/>
        <v>#N/A</v>
      </c>
      <c r="R2902" s="44"/>
      <c r="S2902" s="44"/>
      <c r="T2902" s="43"/>
      <c r="U2902" s="43" t="str">
        <f t="shared" si="8"/>
        <v>No</v>
      </c>
      <c r="V2902" s="25"/>
      <c r="W2902" s="25"/>
      <c r="X2902" s="25"/>
      <c r="Y2902" s="25"/>
      <c r="Z2902" s="25"/>
    </row>
    <row r="2903" spans="1:26" ht="15.75" customHeight="1" x14ac:dyDescent="0.25">
      <c r="A2903" s="25">
        <v>2901</v>
      </c>
      <c r="B2903" s="37" t="e">
        <f t="shared" ref="B2903:D2903" si="5843">VLOOKUP($A2903,[9]Hacienda!$A$1:$O$285,B$1,0)</f>
        <v>#N/A</v>
      </c>
      <c r="C2903" s="38" t="e">
        <f t="shared" si="5843"/>
        <v>#N/A</v>
      </c>
      <c r="D2903" s="39" t="e">
        <f t="shared" si="5843"/>
        <v>#N/A</v>
      </c>
      <c r="E2903" s="16" t="e">
        <f t="shared" si="1"/>
        <v>#N/A</v>
      </c>
      <c r="F2903" s="16" t="e">
        <f t="shared" ref="F2903:K2903" si="5844">VLOOKUP($A2903,[9]Hacienda!$A$1:$O$285,F$1,0)</f>
        <v>#N/A</v>
      </c>
      <c r="G2903" s="39" t="e">
        <f t="shared" si="5844"/>
        <v>#N/A</v>
      </c>
      <c r="H2903" s="16" t="e">
        <f t="shared" si="5844"/>
        <v>#N/A</v>
      </c>
      <c r="I2903" s="16" t="e">
        <f t="shared" si="5844"/>
        <v>#N/A</v>
      </c>
      <c r="J2903" s="40" t="e">
        <f t="shared" si="5844"/>
        <v>#N/A</v>
      </c>
      <c r="K2903" s="16" t="e">
        <f t="shared" si="5844"/>
        <v>#N/A</v>
      </c>
      <c r="L2903" s="40" t="e">
        <f t="shared" si="5441"/>
        <v>#N/A</v>
      </c>
      <c r="M2903" s="16" t="e">
        <f t="shared" si="5442"/>
        <v>#N/A</v>
      </c>
      <c r="N2903" s="16" t="e">
        <f t="shared" si="5443"/>
        <v>#N/A</v>
      </c>
      <c r="O2903" s="16" t="s">
        <v>73</v>
      </c>
      <c r="P2903" s="16" t="str">
        <f t="shared" si="6"/>
        <v/>
      </c>
      <c r="Q2903" s="41" t="e">
        <f t="shared" si="5444"/>
        <v>#N/A</v>
      </c>
      <c r="R2903" s="44"/>
      <c r="S2903" s="44"/>
      <c r="T2903" s="43"/>
      <c r="U2903" s="43" t="str">
        <f t="shared" si="8"/>
        <v>No</v>
      </c>
      <c r="V2903" s="25"/>
      <c r="W2903" s="25"/>
      <c r="X2903" s="25"/>
      <c r="Y2903" s="25"/>
      <c r="Z2903" s="25"/>
    </row>
    <row r="2904" spans="1:26" ht="15.75" customHeight="1" x14ac:dyDescent="0.25">
      <c r="A2904" s="25">
        <v>2902</v>
      </c>
      <c r="B2904" s="37" t="e">
        <f t="shared" ref="B2904:D2904" si="5845">VLOOKUP($A2904,[9]Hacienda!$A$1:$O$285,B$1,0)</f>
        <v>#N/A</v>
      </c>
      <c r="C2904" s="38" t="e">
        <f t="shared" si="5845"/>
        <v>#N/A</v>
      </c>
      <c r="D2904" s="39" t="e">
        <f t="shared" si="5845"/>
        <v>#N/A</v>
      </c>
      <c r="E2904" s="16" t="e">
        <f t="shared" si="1"/>
        <v>#N/A</v>
      </c>
      <c r="F2904" s="16" t="e">
        <f t="shared" ref="F2904:K2904" si="5846">VLOOKUP($A2904,[9]Hacienda!$A$1:$O$285,F$1,0)</f>
        <v>#N/A</v>
      </c>
      <c r="G2904" s="39" t="e">
        <f t="shared" si="5846"/>
        <v>#N/A</v>
      </c>
      <c r="H2904" s="16" t="e">
        <f t="shared" si="5846"/>
        <v>#N/A</v>
      </c>
      <c r="I2904" s="16" t="e">
        <f t="shared" si="5846"/>
        <v>#N/A</v>
      </c>
      <c r="J2904" s="40" t="e">
        <f t="shared" si="5846"/>
        <v>#N/A</v>
      </c>
      <c r="K2904" s="16" t="e">
        <f t="shared" si="5846"/>
        <v>#N/A</v>
      </c>
      <c r="L2904" s="40" t="e">
        <f t="shared" si="5441"/>
        <v>#N/A</v>
      </c>
      <c r="M2904" s="16" t="e">
        <f t="shared" si="5442"/>
        <v>#N/A</v>
      </c>
      <c r="N2904" s="16" t="e">
        <f t="shared" si="5443"/>
        <v>#N/A</v>
      </c>
      <c r="O2904" s="16" t="s">
        <v>73</v>
      </c>
      <c r="P2904" s="16" t="str">
        <f t="shared" si="6"/>
        <v/>
      </c>
      <c r="Q2904" s="41" t="e">
        <f t="shared" si="5444"/>
        <v>#N/A</v>
      </c>
      <c r="R2904" s="44"/>
      <c r="S2904" s="44"/>
      <c r="T2904" s="43"/>
      <c r="U2904" s="43" t="str">
        <f t="shared" si="8"/>
        <v>No</v>
      </c>
      <c r="V2904" s="25"/>
      <c r="W2904" s="25"/>
      <c r="X2904" s="25"/>
      <c r="Y2904" s="25"/>
      <c r="Z2904" s="25"/>
    </row>
    <row r="2905" spans="1:26" ht="15.75" customHeight="1" x14ac:dyDescent="0.25">
      <c r="A2905" s="25">
        <v>2903</v>
      </c>
      <c r="B2905" s="37" t="e">
        <f t="shared" ref="B2905:D2905" si="5847">VLOOKUP($A2905,[9]Hacienda!$A$1:$O$285,B$1,0)</f>
        <v>#N/A</v>
      </c>
      <c r="C2905" s="38" t="e">
        <f t="shared" si="5847"/>
        <v>#N/A</v>
      </c>
      <c r="D2905" s="39" t="e">
        <f t="shared" si="5847"/>
        <v>#N/A</v>
      </c>
      <c r="E2905" s="16" t="e">
        <f t="shared" si="1"/>
        <v>#N/A</v>
      </c>
      <c r="F2905" s="16" t="e">
        <f t="shared" ref="F2905:K2905" si="5848">VLOOKUP($A2905,[9]Hacienda!$A$1:$O$285,F$1,0)</f>
        <v>#N/A</v>
      </c>
      <c r="G2905" s="39" t="e">
        <f t="shared" si="5848"/>
        <v>#N/A</v>
      </c>
      <c r="H2905" s="16" t="e">
        <f t="shared" si="5848"/>
        <v>#N/A</v>
      </c>
      <c r="I2905" s="16" t="e">
        <f t="shared" si="5848"/>
        <v>#N/A</v>
      </c>
      <c r="J2905" s="40" t="e">
        <f t="shared" si="5848"/>
        <v>#N/A</v>
      </c>
      <c r="K2905" s="16" t="e">
        <f t="shared" si="5848"/>
        <v>#N/A</v>
      </c>
      <c r="L2905" s="40" t="e">
        <f t="shared" si="5441"/>
        <v>#N/A</v>
      </c>
      <c r="M2905" s="16" t="e">
        <f t="shared" si="5442"/>
        <v>#N/A</v>
      </c>
      <c r="N2905" s="16" t="e">
        <f t="shared" si="5443"/>
        <v>#N/A</v>
      </c>
      <c r="O2905" s="16" t="s">
        <v>73</v>
      </c>
      <c r="P2905" s="16" t="str">
        <f t="shared" si="6"/>
        <v/>
      </c>
      <c r="Q2905" s="41" t="e">
        <f t="shared" si="5444"/>
        <v>#N/A</v>
      </c>
      <c r="R2905" s="44"/>
      <c r="S2905" s="44"/>
      <c r="T2905" s="43"/>
      <c r="U2905" s="43" t="str">
        <f t="shared" si="8"/>
        <v>No</v>
      </c>
      <c r="V2905" s="25"/>
      <c r="W2905" s="25"/>
      <c r="X2905" s="25"/>
      <c r="Y2905" s="25"/>
      <c r="Z2905" s="25"/>
    </row>
    <row r="2906" spans="1:26" ht="15.75" customHeight="1" x14ac:dyDescent="0.25">
      <c r="A2906" s="25">
        <v>2904</v>
      </c>
      <c r="B2906" s="37" t="e">
        <f t="shared" ref="B2906:D2906" si="5849">VLOOKUP($A2906,[9]Hacienda!$A$1:$O$285,B$1,0)</f>
        <v>#N/A</v>
      </c>
      <c r="C2906" s="38" t="e">
        <f t="shared" si="5849"/>
        <v>#N/A</v>
      </c>
      <c r="D2906" s="39" t="e">
        <f t="shared" si="5849"/>
        <v>#N/A</v>
      </c>
      <c r="E2906" s="16" t="e">
        <f t="shared" si="1"/>
        <v>#N/A</v>
      </c>
      <c r="F2906" s="16" t="e">
        <f t="shared" ref="F2906:K2906" si="5850">VLOOKUP($A2906,[9]Hacienda!$A$1:$O$285,F$1,0)</f>
        <v>#N/A</v>
      </c>
      <c r="G2906" s="39" t="e">
        <f t="shared" si="5850"/>
        <v>#N/A</v>
      </c>
      <c r="H2906" s="16" t="e">
        <f t="shared" si="5850"/>
        <v>#N/A</v>
      </c>
      <c r="I2906" s="16" t="e">
        <f t="shared" si="5850"/>
        <v>#N/A</v>
      </c>
      <c r="J2906" s="40" t="e">
        <f t="shared" si="5850"/>
        <v>#N/A</v>
      </c>
      <c r="K2906" s="16" t="e">
        <f t="shared" si="5850"/>
        <v>#N/A</v>
      </c>
      <c r="L2906" s="40" t="e">
        <f t="shared" si="5441"/>
        <v>#N/A</v>
      </c>
      <c r="M2906" s="16" t="e">
        <f t="shared" si="5442"/>
        <v>#N/A</v>
      </c>
      <c r="N2906" s="16" t="e">
        <f t="shared" si="5443"/>
        <v>#N/A</v>
      </c>
      <c r="O2906" s="16" t="s">
        <v>73</v>
      </c>
      <c r="P2906" s="16" t="str">
        <f t="shared" si="6"/>
        <v/>
      </c>
      <c r="Q2906" s="41" t="e">
        <f t="shared" si="5444"/>
        <v>#N/A</v>
      </c>
      <c r="R2906" s="44"/>
      <c r="S2906" s="44"/>
      <c r="T2906" s="43"/>
      <c r="U2906" s="43" t="str">
        <f t="shared" si="8"/>
        <v>No</v>
      </c>
      <c r="V2906" s="25"/>
      <c r="W2906" s="25"/>
      <c r="X2906" s="25"/>
      <c r="Y2906" s="25"/>
      <c r="Z2906" s="25"/>
    </row>
    <row r="2907" spans="1:26" ht="15.75" customHeight="1" x14ac:dyDescent="0.25">
      <c r="A2907" s="25">
        <v>2905</v>
      </c>
      <c r="B2907" s="37" t="e">
        <f t="shared" ref="B2907:D2907" si="5851">VLOOKUP($A2907,[9]Hacienda!$A$1:$O$285,B$1,0)</f>
        <v>#N/A</v>
      </c>
      <c r="C2907" s="38" t="e">
        <f t="shared" si="5851"/>
        <v>#N/A</v>
      </c>
      <c r="D2907" s="39" t="e">
        <f t="shared" si="5851"/>
        <v>#N/A</v>
      </c>
      <c r="E2907" s="16" t="e">
        <f t="shared" si="1"/>
        <v>#N/A</v>
      </c>
      <c r="F2907" s="16" t="e">
        <f t="shared" ref="F2907:K2907" si="5852">VLOOKUP($A2907,[9]Hacienda!$A$1:$O$285,F$1,0)</f>
        <v>#N/A</v>
      </c>
      <c r="G2907" s="39" t="e">
        <f t="shared" si="5852"/>
        <v>#N/A</v>
      </c>
      <c r="H2907" s="16" t="e">
        <f t="shared" si="5852"/>
        <v>#N/A</v>
      </c>
      <c r="I2907" s="16" t="e">
        <f t="shared" si="5852"/>
        <v>#N/A</v>
      </c>
      <c r="J2907" s="40" t="e">
        <f t="shared" si="5852"/>
        <v>#N/A</v>
      </c>
      <c r="K2907" s="16" t="e">
        <f t="shared" si="5852"/>
        <v>#N/A</v>
      </c>
      <c r="L2907" s="40" t="e">
        <f t="shared" si="5441"/>
        <v>#N/A</v>
      </c>
      <c r="M2907" s="16" t="e">
        <f t="shared" si="5442"/>
        <v>#N/A</v>
      </c>
      <c r="N2907" s="16" t="e">
        <f t="shared" si="5443"/>
        <v>#N/A</v>
      </c>
      <c r="O2907" s="16" t="s">
        <v>73</v>
      </c>
      <c r="P2907" s="16" t="str">
        <f t="shared" si="6"/>
        <v/>
      </c>
      <c r="Q2907" s="41" t="e">
        <f t="shared" si="5444"/>
        <v>#N/A</v>
      </c>
      <c r="R2907" s="44"/>
      <c r="S2907" s="44"/>
      <c r="T2907" s="43"/>
      <c r="U2907" s="43" t="str">
        <f t="shared" si="8"/>
        <v>No</v>
      </c>
      <c r="V2907" s="25"/>
      <c r="W2907" s="25"/>
      <c r="X2907" s="25"/>
      <c r="Y2907" s="25"/>
      <c r="Z2907" s="25"/>
    </row>
    <row r="2908" spans="1:26" ht="15.75" customHeight="1" x14ac:dyDescent="0.25">
      <c r="A2908" s="25">
        <v>2906</v>
      </c>
      <c r="B2908" s="37" t="e">
        <f t="shared" ref="B2908:D2908" si="5853">VLOOKUP($A2908,[9]Hacienda!$A$1:$O$285,B$1,0)</f>
        <v>#N/A</v>
      </c>
      <c r="C2908" s="38" t="e">
        <f t="shared" si="5853"/>
        <v>#N/A</v>
      </c>
      <c r="D2908" s="39" t="e">
        <f t="shared" si="5853"/>
        <v>#N/A</v>
      </c>
      <c r="E2908" s="16" t="e">
        <f t="shared" si="1"/>
        <v>#N/A</v>
      </c>
      <c r="F2908" s="16" t="e">
        <f t="shared" ref="F2908:K2908" si="5854">VLOOKUP($A2908,[9]Hacienda!$A$1:$O$285,F$1,0)</f>
        <v>#N/A</v>
      </c>
      <c r="G2908" s="39" t="e">
        <f t="shared" si="5854"/>
        <v>#N/A</v>
      </c>
      <c r="H2908" s="16" t="e">
        <f t="shared" si="5854"/>
        <v>#N/A</v>
      </c>
      <c r="I2908" s="16" t="e">
        <f t="shared" si="5854"/>
        <v>#N/A</v>
      </c>
      <c r="J2908" s="40" t="e">
        <f t="shared" si="5854"/>
        <v>#N/A</v>
      </c>
      <c r="K2908" s="16" t="e">
        <f t="shared" si="5854"/>
        <v>#N/A</v>
      </c>
      <c r="L2908" s="40" t="e">
        <f t="shared" si="5441"/>
        <v>#N/A</v>
      </c>
      <c r="M2908" s="16" t="e">
        <f t="shared" si="5442"/>
        <v>#N/A</v>
      </c>
      <c r="N2908" s="16" t="e">
        <f t="shared" si="5443"/>
        <v>#N/A</v>
      </c>
      <c r="O2908" s="16" t="s">
        <v>73</v>
      </c>
      <c r="P2908" s="16" t="str">
        <f t="shared" si="6"/>
        <v/>
      </c>
      <c r="Q2908" s="41" t="e">
        <f t="shared" si="5444"/>
        <v>#N/A</v>
      </c>
      <c r="R2908" s="44"/>
      <c r="S2908" s="44"/>
      <c r="T2908" s="43"/>
      <c r="U2908" s="43" t="str">
        <f t="shared" si="8"/>
        <v>No</v>
      </c>
      <c r="V2908" s="25"/>
      <c r="W2908" s="25"/>
      <c r="X2908" s="25"/>
      <c r="Y2908" s="25"/>
      <c r="Z2908" s="25"/>
    </row>
    <row r="2909" spans="1:26" ht="15.75" customHeight="1" x14ac:dyDescent="0.25">
      <c r="A2909" s="25">
        <v>2907</v>
      </c>
      <c r="B2909" s="37" t="e">
        <f t="shared" ref="B2909:D2909" si="5855">VLOOKUP($A2909,[9]Hacienda!$A$1:$O$285,B$1,0)</f>
        <v>#N/A</v>
      </c>
      <c r="C2909" s="38" t="e">
        <f t="shared" si="5855"/>
        <v>#N/A</v>
      </c>
      <c r="D2909" s="39" t="e">
        <f t="shared" si="5855"/>
        <v>#N/A</v>
      </c>
      <c r="E2909" s="16" t="e">
        <f t="shared" si="1"/>
        <v>#N/A</v>
      </c>
      <c r="F2909" s="16" t="e">
        <f t="shared" ref="F2909:K2909" si="5856">VLOOKUP($A2909,[9]Hacienda!$A$1:$O$285,F$1,0)</f>
        <v>#N/A</v>
      </c>
      <c r="G2909" s="39" t="e">
        <f t="shared" si="5856"/>
        <v>#N/A</v>
      </c>
      <c r="H2909" s="16" t="e">
        <f t="shared" si="5856"/>
        <v>#N/A</v>
      </c>
      <c r="I2909" s="16" t="e">
        <f t="shared" si="5856"/>
        <v>#N/A</v>
      </c>
      <c r="J2909" s="40" t="e">
        <f t="shared" si="5856"/>
        <v>#N/A</v>
      </c>
      <c r="K2909" s="16" t="e">
        <f t="shared" si="5856"/>
        <v>#N/A</v>
      </c>
      <c r="L2909" s="40" t="e">
        <f t="shared" si="5441"/>
        <v>#N/A</v>
      </c>
      <c r="M2909" s="16" t="e">
        <f t="shared" si="5442"/>
        <v>#N/A</v>
      </c>
      <c r="N2909" s="16" t="e">
        <f t="shared" si="5443"/>
        <v>#N/A</v>
      </c>
      <c r="O2909" s="16" t="s">
        <v>73</v>
      </c>
      <c r="P2909" s="16" t="str">
        <f t="shared" si="6"/>
        <v/>
      </c>
      <c r="Q2909" s="41" t="e">
        <f t="shared" si="5444"/>
        <v>#N/A</v>
      </c>
      <c r="R2909" s="44"/>
      <c r="S2909" s="44"/>
      <c r="T2909" s="43"/>
      <c r="U2909" s="43" t="str">
        <f t="shared" si="8"/>
        <v>No</v>
      </c>
      <c r="V2909" s="25"/>
      <c r="W2909" s="25"/>
      <c r="X2909" s="25"/>
      <c r="Y2909" s="25"/>
      <c r="Z2909" s="25"/>
    </row>
    <row r="2910" spans="1:26" ht="15.75" customHeight="1" x14ac:dyDescent="0.25">
      <c r="A2910" s="25">
        <v>2908</v>
      </c>
      <c r="B2910" s="37" t="e">
        <f t="shared" ref="B2910:D2910" si="5857">VLOOKUP($A2910,[9]Hacienda!$A$1:$O$285,B$1,0)</f>
        <v>#N/A</v>
      </c>
      <c r="C2910" s="38" t="e">
        <f t="shared" si="5857"/>
        <v>#N/A</v>
      </c>
      <c r="D2910" s="39" t="e">
        <f t="shared" si="5857"/>
        <v>#N/A</v>
      </c>
      <c r="E2910" s="16" t="e">
        <f t="shared" si="1"/>
        <v>#N/A</v>
      </c>
      <c r="F2910" s="16" t="e">
        <f t="shared" ref="F2910:K2910" si="5858">VLOOKUP($A2910,[9]Hacienda!$A$1:$O$285,F$1,0)</f>
        <v>#N/A</v>
      </c>
      <c r="G2910" s="39" t="e">
        <f t="shared" si="5858"/>
        <v>#N/A</v>
      </c>
      <c r="H2910" s="16" t="e">
        <f t="shared" si="5858"/>
        <v>#N/A</v>
      </c>
      <c r="I2910" s="16" t="e">
        <f t="shared" si="5858"/>
        <v>#N/A</v>
      </c>
      <c r="J2910" s="40" t="e">
        <f t="shared" si="5858"/>
        <v>#N/A</v>
      </c>
      <c r="K2910" s="16" t="e">
        <f t="shared" si="5858"/>
        <v>#N/A</v>
      </c>
      <c r="L2910" s="40" t="e">
        <f t="shared" si="5441"/>
        <v>#N/A</v>
      </c>
      <c r="M2910" s="16" t="e">
        <f t="shared" si="5442"/>
        <v>#N/A</v>
      </c>
      <c r="N2910" s="16" t="e">
        <f t="shared" si="5443"/>
        <v>#N/A</v>
      </c>
      <c r="O2910" s="16" t="s">
        <v>73</v>
      </c>
      <c r="P2910" s="16" t="str">
        <f t="shared" si="6"/>
        <v/>
      </c>
      <c r="Q2910" s="41" t="e">
        <f t="shared" si="5444"/>
        <v>#N/A</v>
      </c>
      <c r="R2910" s="44"/>
      <c r="S2910" s="44"/>
      <c r="T2910" s="43"/>
      <c r="U2910" s="43" t="str">
        <f t="shared" si="8"/>
        <v>No</v>
      </c>
      <c r="V2910" s="25"/>
      <c r="W2910" s="25"/>
      <c r="X2910" s="25"/>
      <c r="Y2910" s="25"/>
      <c r="Z2910" s="25"/>
    </row>
    <row r="2911" spans="1:26" ht="15.75" customHeight="1" x14ac:dyDescent="0.25">
      <c r="A2911" s="25">
        <v>2909</v>
      </c>
      <c r="B2911" s="37" t="e">
        <f t="shared" ref="B2911:D2911" si="5859">VLOOKUP($A2911,[9]Hacienda!$A$1:$O$285,B$1,0)</f>
        <v>#N/A</v>
      </c>
      <c r="C2911" s="38" t="e">
        <f t="shared" si="5859"/>
        <v>#N/A</v>
      </c>
      <c r="D2911" s="39" t="e">
        <f t="shared" si="5859"/>
        <v>#N/A</v>
      </c>
      <c r="E2911" s="16" t="e">
        <f t="shared" si="1"/>
        <v>#N/A</v>
      </c>
      <c r="F2911" s="16" t="e">
        <f t="shared" ref="F2911:K2911" si="5860">VLOOKUP($A2911,[9]Hacienda!$A$1:$O$285,F$1,0)</f>
        <v>#N/A</v>
      </c>
      <c r="G2911" s="39" t="e">
        <f t="shared" si="5860"/>
        <v>#N/A</v>
      </c>
      <c r="H2911" s="16" t="e">
        <f t="shared" si="5860"/>
        <v>#N/A</v>
      </c>
      <c r="I2911" s="16" t="e">
        <f t="shared" si="5860"/>
        <v>#N/A</v>
      </c>
      <c r="J2911" s="40" t="e">
        <f t="shared" si="5860"/>
        <v>#N/A</v>
      </c>
      <c r="K2911" s="16" t="e">
        <f t="shared" si="5860"/>
        <v>#N/A</v>
      </c>
      <c r="L2911" s="40" t="e">
        <f t="shared" si="5441"/>
        <v>#N/A</v>
      </c>
      <c r="M2911" s="16" t="e">
        <f t="shared" si="5442"/>
        <v>#N/A</v>
      </c>
      <c r="N2911" s="16" t="e">
        <f t="shared" si="5443"/>
        <v>#N/A</v>
      </c>
      <c r="O2911" s="16" t="s">
        <v>73</v>
      </c>
      <c r="P2911" s="16" t="str">
        <f t="shared" si="6"/>
        <v/>
      </c>
      <c r="Q2911" s="41" t="e">
        <f t="shared" si="5444"/>
        <v>#N/A</v>
      </c>
      <c r="R2911" s="44"/>
      <c r="S2911" s="44"/>
      <c r="T2911" s="43"/>
      <c r="U2911" s="43" t="str">
        <f t="shared" si="8"/>
        <v>No</v>
      </c>
      <c r="V2911" s="25"/>
      <c r="W2911" s="25"/>
      <c r="X2911" s="25"/>
      <c r="Y2911" s="25"/>
      <c r="Z2911" s="25"/>
    </row>
    <row r="2912" spans="1:26" ht="15.75" customHeight="1" x14ac:dyDescent="0.25">
      <c r="A2912" s="25">
        <v>2910</v>
      </c>
      <c r="B2912" s="37" t="e">
        <f t="shared" ref="B2912:D2912" si="5861">VLOOKUP($A2912,[9]Hacienda!$A$1:$O$285,B$1,0)</f>
        <v>#N/A</v>
      </c>
      <c r="C2912" s="38" t="e">
        <f t="shared" si="5861"/>
        <v>#N/A</v>
      </c>
      <c r="D2912" s="39" t="e">
        <f t="shared" si="5861"/>
        <v>#N/A</v>
      </c>
      <c r="E2912" s="16" t="e">
        <f t="shared" si="1"/>
        <v>#N/A</v>
      </c>
      <c r="F2912" s="16" t="e">
        <f t="shared" ref="F2912:K2912" si="5862">VLOOKUP($A2912,[9]Hacienda!$A$1:$O$285,F$1,0)</f>
        <v>#N/A</v>
      </c>
      <c r="G2912" s="39" t="e">
        <f t="shared" si="5862"/>
        <v>#N/A</v>
      </c>
      <c r="H2912" s="16" t="e">
        <f t="shared" si="5862"/>
        <v>#N/A</v>
      </c>
      <c r="I2912" s="16" t="e">
        <f t="shared" si="5862"/>
        <v>#N/A</v>
      </c>
      <c r="J2912" s="40" t="e">
        <f t="shared" si="5862"/>
        <v>#N/A</v>
      </c>
      <c r="K2912" s="16" t="e">
        <f t="shared" si="5862"/>
        <v>#N/A</v>
      </c>
      <c r="L2912" s="40" t="e">
        <f t="shared" si="5441"/>
        <v>#N/A</v>
      </c>
      <c r="M2912" s="16" t="e">
        <f t="shared" si="5442"/>
        <v>#N/A</v>
      </c>
      <c r="N2912" s="16" t="e">
        <f t="shared" si="5443"/>
        <v>#N/A</v>
      </c>
      <c r="O2912" s="16" t="s">
        <v>73</v>
      </c>
      <c r="P2912" s="16" t="str">
        <f t="shared" si="6"/>
        <v/>
      </c>
      <c r="Q2912" s="41" t="e">
        <f t="shared" si="5444"/>
        <v>#N/A</v>
      </c>
      <c r="R2912" s="44"/>
      <c r="S2912" s="44"/>
      <c r="T2912" s="43"/>
      <c r="U2912" s="43" t="str">
        <f t="shared" si="8"/>
        <v>No</v>
      </c>
      <c r="V2912" s="25"/>
      <c r="W2912" s="25"/>
      <c r="X2912" s="25"/>
      <c r="Y2912" s="25"/>
      <c r="Z2912" s="25"/>
    </row>
    <row r="2913" spans="1:26" ht="15.75" customHeight="1" x14ac:dyDescent="0.25">
      <c r="A2913" s="25">
        <v>2911</v>
      </c>
      <c r="B2913" s="37" t="e">
        <f t="shared" ref="B2913:D2913" si="5863">VLOOKUP($A2913,[9]Hacienda!$A$1:$O$285,B$1,0)</f>
        <v>#N/A</v>
      </c>
      <c r="C2913" s="38" t="e">
        <f t="shared" si="5863"/>
        <v>#N/A</v>
      </c>
      <c r="D2913" s="39" t="e">
        <f t="shared" si="5863"/>
        <v>#N/A</v>
      </c>
      <c r="E2913" s="16" t="e">
        <f t="shared" si="1"/>
        <v>#N/A</v>
      </c>
      <c r="F2913" s="16" t="e">
        <f t="shared" ref="F2913:K2913" si="5864">VLOOKUP($A2913,[9]Hacienda!$A$1:$O$285,F$1,0)</f>
        <v>#N/A</v>
      </c>
      <c r="G2913" s="39" t="e">
        <f t="shared" si="5864"/>
        <v>#N/A</v>
      </c>
      <c r="H2913" s="16" t="e">
        <f t="shared" si="5864"/>
        <v>#N/A</v>
      </c>
      <c r="I2913" s="16" t="e">
        <f t="shared" si="5864"/>
        <v>#N/A</v>
      </c>
      <c r="J2913" s="40" t="e">
        <f t="shared" si="5864"/>
        <v>#N/A</v>
      </c>
      <c r="K2913" s="16" t="e">
        <f t="shared" si="5864"/>
        <v>#N/A</v>
      </c>
      <c r="L2913" s="40" t="e">
        <f t="shared" si="5441"/>
        <v>#N/A</v>
      </c>
      <c r="M2913" s="16" t="e">
        <f t="shared" si="5442"/>
        <v>#N/A</v>
      </c>
      <c r="N2913" s="16" t="e">
        <f t="shared" si="5443"/>
        <v>#N/A</v>
      </c>
      <c r="O2913" s="16" t="s">
        <v>73</v>
      </c>
      <c r="P2913" s="16" t="str">
        <f t="shared" si="6"/>
        <v/>
      </c>
      <c r="Q2913" s="41" t="e">
        <f t="shared" si="5444"/>
        <v>#N/A</v>
      </c>
      <c r="R2913" s="44"/>
      <c r="S2913" s="44"/>
      <c r="T2913" s="43"/>
      <c r="U2913" s="43" t="str">
        <f t="shared" si="8"/>
        <v>No</v>
      </c>
      <c r="V2913" s="25"/>
      <c r="W2913" s="25"/>
      <c r="X2913" s="25"/>
      <c r="Y2913" s="25"/>
      <c r="Z2913" s="25"/>
    </row>
    <row r="2914" spans="1:26" ht="15.75" customHeight="1" x14ac:dyDescent="0.25">
      <c r="A2914" s="25">
        <v>2912</v>
      </c>
      <c r="B2914" s="37" t="e">
        <f t="shared" ref="B2914:D2914" si="5865">VLOOKUP($A2914,[9]Hacienda!$A$1:$O$285,B$1,0)</f>
        <v>#N/A</v>
      </c>
      <c r="C2914" s="38" t="e">
        <f t="shared" si="5865"/>
        <v>#N/A</v>
      </c>
      <c r="D2914" s="39" t="e">
        <f t="shared" si="5865"/>
        <v>#N/A</v>
      </c>
      <c r="E2914" s="16" t="e">
        <f t="shared" si="1"/>
        <v>#N/A</v>
      </c>
      <c r="F2914" s="16" t="e">
        <f t="shared" ref="F2914:K2914" si="5866">VLOOKUP($A2914,[9]Hacienda!$A$1:$O$285,F$1,0)</f>
        <v>#N/A</v>
      </c>
      <c r="G2914" s="39" t="e">
        <f t="shared" si="5866"/>
        <v>#N/A</v>
      </c>
      <c r="H2914" s="16" t="e">
        <f t="shared" si="5866"/>
        <v>#N/A</v>
      </c>
      <c r="I2914" s="16" t="e">
        <f t="shared" si="5866"/>
        <v>#N/A</v>
      </c>
      <c r="J2914" s="40" t="e">
        <f t="shared" si="5866"/>
        <v>#N/A</v>
      </c>
      <c r="K2914" s="16" t="e">
        <f t="shared" si="5866"/>
        <v>#N/A</v>
      </c>
      <c r="L2914" s="40" t="e">
        <f t="shared" si="5441"/>
        <v>#N/A</v>
      </c>
      <c r="M2914" s="16" t="e">
        <f t="shared" si="5442"/>
        <v>#N/A</v>
      </c>
      <c r="N2914" s="16" t="e">
        <f t="shared" si="5443"/>
        <v>#N/A</v>
      </c>
      <c r="O2914" s="16" t="s">
        <v>73</v>
      </c>
      <c r="P2914" s="16" t="str">
        <f t="shared" si="6"/>
        <v/>
      </c>
      <c r="Q2914" s="41" t="e">
        <f t="shared" si="5444"/>
        <v>#N/A</v>
      </c>
      <c r="R2914" s="44"/>
      <c r="S2914" s="44"/>
      <c r="T2914" s="43"/>
      <c r="U2914" s="43" t="str">
        <f t="shared" si="8"/>
        <v>No</v>
      </c>
      <c r="V2914" s="25"/>
      <c r="W2914" s="25"/>
      <c r="X2914" s="25"/>
      <c r="Y2914" s="25"/>
      <c r="Z2914" s="25"/>
    </row>
    <row r="2915" spans="1:26" ht="15.75" customHeight="1" x14ac:dyDescent="0.25">
      <c r="A2915" s="25">
        <v>2913</v>
      </c>
      <c r="B2915" s="37" t="e">
        <f t="shared" ref="B2915:D2915" si="5867">VLOOKUP($A2915,[9]Hacienda!$A$1:$O$285,B$1,0)</f>
        <v>#N/A</v>
      </c>
      <c r="C2915" s="38" t="e">
        <f t="shared" si="5867"/>
        <v>#N/A</v>
      </c>
      <c r="D2915" s="39" t="e">
        <f t="shared" si="5867"/>
        <v>#N/A</v>
      </c>
      <c r="E2915" s="16" t="e">
        <f t="shared" si="1"/>
        <v>#N/A</v>
      </c>
      <c r="F2915" s="16" t="e">
        <f t="shared" ref="F2915:K2915" si="5868">VLOOKUP($A2915,[9]Hacienda!$A$1:$O$285,F$1,0)</f>
        <v>#N/A</v>
      </c>
      <c r="G2915" s="39" t="e">
        <f t="shared" si="5868"/>
        <v>#N/A</v>
      </c>
      <c r="H2915" s="16" t="e">
        <f t="shared" si="5868"/>
        <v>#N/A</v>
      </c>
      <c r="I2915" s="16" t="e">
        <f t="shared" si="5868"/>
        <v>#N/A</v>
      </c>
      <c r="J2915" s="40" t="e">
        <f t="shared" si="5868"/>
        <v>#N/A</v>
      </c>
      <c r="K2915" s="16" t="e">
        <f t="shared" si="5868"/>
        <v>#N/A</v>
      </c>
      <c r="L2915" s="40" t="e">
        <f t="shared" si="5441"/>
        <v>#N/A</v>
      </c>
      <c r="M2915" s="16" t="e">
        <f t="shared" si="5442"/>
        <v>#N/A</v>
      </c>
      <c r="N2915" s="16" t="e">
        <f t="shared" si="5443"/>
        <v>#N/A</v>
      </c>
      <c r="O2915" s="16" t="s">
        <v>73</v>
      </c>
      <c r="P2915" s="16" t="str">
        <f t="shared" si="6"/>
        <v/>
      </c>
      <c r="Q2915" s="41" t="e">
        <f t="shared" si="5444"/>
        <v>#N/A</v>
      </c>
      <c r="R2915" s="44"/>
      <c r="S2915" s="44"/>
      <c r="T2915" s="43"/>
      <c r="U2915" s="43" t="str">
        <f t="shared" si="8"/>
        <v>No</v>
      </c>
      <c r="V2915" s="25"/>
      <c r="W2915" s="25"/>
      <c r="X2915" s="25"/>
      <c r="Y2915" s="25"/>
      <c r="Z2915" s="25"/>
    </row>
    <row r="2916" spans="1:26" ht="15.75" customHeight="1" x14ac:dyDescent="0.25">
      <c r="A2916" s="25">
        <v>2914</v>
      </c>
      <c r="B2916" s="37" t="e">
        <f t="shared" ref="B2916:D2916" si="5869">VLOOKUP($A2916,[9]Hacienda!$A$1:$O$285,B$1,0)</f>
        <v>#N/A</v>
      </c>
      <c r="C2916" s="38" t="e">
        <f t="shared" si="5869"/>
        <v>#N/A</v>
      </c>
      <c r="D2916" s="39" t="e">
        <f t="shared" si="5869"/>
        <v>#N/A</v>
      </c>
      <c r="E2916" s="16" t="e">
        <f t="shared" si="1"/>
        <v>#N/A</v>
      </c>
      <c r="F2916" s="16" t="e">
        <f t="shared" ref="F2916:K2916" si="5870">VLOOKUP($A2916,[9]Hacienda!$A$1:$O$285,F$1,0)</f>
        <v>#N/A</v>
      </c>
      <c r="G2916" s="39" t="e">
        <f t="shared" si="5870"/>
        <v>#N/A</v>
      </c>
      <c r="H2916" s="16" t="e">
        <f t="shared" si="5870"/>
        <v>#N/A</v>
      </c>
      <c r="I2916" s="16" t="e">
        <f t="shared" si="5870"/>
        <v>#N/A</v>
      </c>
      <c r="J2916" s="40" t="e">
        <f t="shared" si="5870"/>
        <v>#N/A</v>
      </c>
      <c r="K2916" s="16" t="e">
        <f t="shared" si="5870"/>
        <v>#N/A</v>
      </c>
      <c r="L2916" s="40" t="e">
        <f t="shared" si="5441"/>
        <v>#N/A</v>
      </c>
      <c r="M2916" s="16" t="e">
        <f t="shared" si="5442"/>
        <v>#N/A</v>
      </c>
      <c r="N2916" s="16" t="e">
        <f t="shared" si="5443"/>
        <v>#N/A</v>
      </c>
      <c r="O2916" s="16" t="s">
        <v>73</v>
      </c>
      <c r="P2916" s="16" t="str">
        <f t="shared" si="6"/>
        <v/>
      </c>
      <c r="Q2916" s="41" t="e">
        <f t="shared" si="5444"/>
        <v>#N/A</v>
      </c>
      <c r="R2916" s="44"/>
      <c r="S2916" s="44"/>
      <c r="T2916" s="43"/>
      <c r="U2916" s="43" t="str">
        <f t="shared" si="8"/>
        <v>No</v>
      </c>
      <c r="V2916" s="25"/>
      <c r="W2916" s="25"/>
      <c r="X2916" s="25"/>
      <c r="Y2916" s="25"/>
      <c r="Z2916" s="25"/>
    </row>
    <row r="2917" spans="1:26" ht="15.75" customHeight="1" x14ac:dyDescent="0.25">
      <c r="A2917" s="25">
        <v>2915</v>
      </c>
      <c r="B2917" s="37" t="e">
        <f t="shared" ref="B2917:D2917" si="5871">VLOOKUP($A2917,[9]Hacienda!$A$1:$O$285,B$1,0)</f>
        <v>#N/A</v>
      </c>
      <c r="C2917" s="38" t="e">
        <f t="shared" si="5871"/>
        <v>#N/A</v>
      </c>
      <c r="D2917" s="39" t="e">
        <f t="shared" si="5871"/>
        <v>#N/A</v>
      </c>
      <c r="E2917" s="16" t="e">
        <f t="shared" si="1"/>
        <v>#N/A</v>
      </c>
      <c r="F2917" s="16" t="e">
        <f t="shared" ref="F2917:K2917" si="5872">VLOOKUP($A2917,[9]Hacienda!$A$1:$O$285,F$1,0)</f>
        <v>#N/A</v>
      </c>
      <c r="G2917" s="39" t="e">
        <f t="shared" si="5872"/>
        <v>#N/A</v>
      </c>
      <c r="H2917" s="16" t="e">
        <f t="shared" si="5872"/>
        <v>#N/A</v>
      </c>
      <c r="I2917" s="16" t="e">
        <f t="shared" si="5872"/>
        <v>#N/A</v>
      </c>
      <c r="J2917" s="40" t="e">
        <f t="shared" si="5872"/>
        <v>#N/A</v>
      </c>
      <c r="K2917" s="16" t="e">
        <f t="shared" si="5872"/>
        <v>#N/A</v>
      </c>
      <c r="L2917" s="40" t="e">
        <f t="shared" si="5441"/>
        <v>#N/A</v>
      </c>
      <c r="M2917" s="16" t="e">
        <f t="shared" si="5442"/>
        <v>#N/A</v>
      </c>
      <c r="N2917" s="16" t="e">
        <f t="shared" si="5443"/>
        <v>#N/A</v>
      </c>
      <c r="O2917" s="16" t="s">
        <v>73</v>
      </c>
      <c r="P2917" s="16" t="str">
        <f t="shared" si="6"/>
        <v/>
      </c>
      <c r="Q2917" s="41" t="e">
        <f t="shared" si="5444"/>
        <v>#N/A</v>
      </c>
      <c r="R2917" s="44"/>
      <c r="S2917" s="44"/>
      <c r="T2917" s="43"/>
      <c r="U2917" s="43" t="str">
        <f t="shared" si="8"/>
        <v>No</v>
      </c>
      <c r="V2917" s="25"/>
      <c r="W2917" s="25"/>
      <c r="X2917" s="25"/>
      <c r="Y2917" s="25"/>
      <c r="Z2917" s="25"/>
    </row>
    <row r="2918" spans="1:26" ht="15.75" customHeight="1" x14ac:dyDescent="0.25">
      <c r="A2918" s="25">
        <v>2916</v>
      </c>
      <c r="B2918" s="37" t="e">
        <f t="shared" ref="B2918:D2918" si="5873">VLOOKUP($A2918,[9]Hacienda!$A$1:$O$285,B$1,0)</f>
        <v>#N/A</v>
      </c>
      <c r="C2918" s="38" t="e">
        <f t="shared" si="5873"/>
        <v>#N/A</v>
      </c>
      <c r="D2918" s="39" t="e">
        <f t="shared" si="5873"/>
        <v>#N/A</v>
      </c>
      <c r="E2918" s="16" t="e">
        <f t="shared" si="1"/>
        <v>#N/A</v>
      </c>
      <c r="F2918" s="16" t="e">
        <f t="shared" ref="F2918:K2918" si="5874">VLOOKUP($A2918,[9]Hacienda!$A$1:$O$285,F$1,0)</f>
        <v>#N/A</v>
      </c>
      <c r="G2918" s="39" t="e">
        <f t="shared" si="5874"/>
        <v>#N/A</v>
      </c>
      <c r="H2918" s="16" t="e">
        <f t="shared" si="5874"/>
        <v>#N/A</v>
      </c>
      <c r="I2918" s="16" t="e">
        <f t="shared" si="5874"/>
        <v>#N/A</v>
      </c>
      <c r="J2918" s="40" t="e">
        <f t="shared" si="5874"/>
        <v>#N/A</v>
      </c>
      <c r="K2918" s="16" t="e">
        <f t="shared" si="5874"/>
        <v>#N/A</v>
      </c>
      <c r="L2918" s="40" t="e">
        <f t="shared" si="5441"/>
        <v>#N/A</v>
      </c>
      <c r="M2918" s="16" t="e">
        <f t="shared" si="5442"/>
        <v>#N/A</v>
      </c>
      <c r="N2918" s="16" t="e">
        <f t="shared" si="5443"/>
        <v>#N/A</v>
      </c>
      <c r="O2918" s="16" t="s">
        <v>73</v>
      </c>
      <c r="P2918" s="16" t="str">
        <f t="shared" si="6"/>
        <v/>
      </c>
      <c r="Q2918" s="41" t="e">
        <f t="shared" si="5444"/>
        <v>#N/A</v>
      </c>
      <c r="R2918" s="44"/>
      <c r="S2918" s="44"/>
      <c r="T2918" s="43"/>
      <c r="U2918" s="43" t="str">
        <f t="shared" si="8"/>
        <v>No</v>
      </c>
      <c r="V2918" s="25"/>
      <c r="W2918" s="25"/>
      <c r="X2918" s="25"/>
      <c r="Y2918" s="25"/>
      <c r="Z2918" s="25"/>
    </row>
    <row r="2919" spans="1:26" ht="15.75" customHeight="1" x14ac:dyDescent="0.25">
      <c r="A2919" s="25">
        <v>2917</v>
      </c>
      <c r="B2919" s="37" t="e">
        <f t="shared" ref="B2919:D2919" si="5875">VLOOKUP($A2919,[9]Hacienda!$A$1:$O$285,B$1,0)</f>
        <v>#N/A</v>
      </c>
      <c r="C2919" s="38" t="e">
        <f t="shared" si="5875"/>
        <v>#N/A</v>
      </c>
      <c r="D2919" s="39" t="e">
        <f t="shared" si="5875"/>
        <v>#N/A</v>
      </c>
      <c r="E2919" s="16" t="e">
        <f t="shared" si="1"/>
        <v>#N/A</v>
      </c>
      <c r="F2919" s="16" t="e">
        <f t="shared" ref="F2919:K2919" si="5876">VLOOKUP($A2919,[9]Hacienda!$A$1:$O$285,F$1,0)</f>
        <v>#N/A</v>
      </c>
      <c r="G2919" s="39" t="e">
        <f t="shared" si="5876"/>
        <v>#N/A</v>
      </c>
      <c r="H2919" s="16" t="e">
        <f t="shared" si="5876"/>
        <v>#N/A</v>
      </c>
      <c r="I2919" s="16" t="e">
        <f t="shared" si="5876"/>
        <v>#N/A</v>
      </c>
      <c r="J2919" s="40" t="e">
        <f t="shared" si="5876"/>
        <v>#N/A</v>
      </c>
      <c r="K2919" s="16" t="e">
        <f t="shared" si="5876"/>
        <v>#N/A</v>
      </c>
      <c r="L2919" s="40" t="e">
        <f t="shared" si="5441"/>
        <v>#N/A</v>
      </c>
      <c r="M2919" s="16" t="e">
        <f t="shared" si="5442"/>
        <v>#N/A</v>
      </c>
      <c r="N2919" s="16" t="e">
        <f t="shared" si="5443"/>
        <v>#N/A</v>
      </c>
      <c r="O2919" s="16" t="s">
        <v>73</v>
      </c>
      <c r="P2919" s="16" t="str">
        <f t="shared" si="6"/>
        <v/>
      </c>
      <c r="Q2919" s="41" t="e">
        <f t="shared" si="5444"/>
        <v>#N/A</v>
      </c>
      <c r="R2919" s="44"/>
      <c r="S2919" s="44"/>
      <c r="T2919" s="43"/>
      <c r="U2919" s="43" t="str">
        <f t="shared" si="8"/>
        <v>No</v>
      </c>
      <c r="V2919" s="25"/>
      <c r="W2919" s="25"/>
      <c r="X2919" s="25"/>
      <c r="Y2919" s="25"/>
      <c r="Z2919" s="25"/>
    </row>
    <row r="2920" spans="1:26" ht="15.75" customHeight="1" x14ac:dyDescent="0.25">
      <c r="A2920" s="25">
        <v>2918</v>
      </c>
      <c r="B2920" s="37" t="e">
        <f t="shared" ref="B2920:D2920" si="5877">VLOOKUP($A2920,[9]Hacienda!$A$1:$O$285,B$1,0)</f>
        <v>#N/A</v>
      </c>
      <c r="C2920" s="38" t="e">
        <f t="shared" si="5877"/>
        <v>#N/A</v>
      </c>
      <c r="D2920" s="39" t="e">
        <f t="shared" si="5877"/>
        <v>#N/A</v>
      </c>
      <c r="E2920" s="16" t="e">
        <f t="shared" si="1"/>
        <v>#N/A</v>
      </c>
      <c r="F2920" s="16" t="e">
        <f t="shared" ref="F2920:K2920" si="5878">VLOOKUP($A2920,[9]Hacienda!$A$1:$O$285,F$1,0)</f>
        <v>#N/A</v>
      </c>
      <c r="G2920" s="39" t="e">
        <f t="shared" si="5878"/>
        <v>#N/A</v>
      </c>
      <c r="H2920" s="16" t="e">
        <f t="shared" si="5878"/>
        <v>#N/A</v>
      </c>
      <c r="I2920" s="16" t="e">
        <f t="shared" si="5878"/>
        <v>#N/A</v>
      </c>
      <c r="J2920" s="40" t="e">
        <f t="shared" si="5878"/>
        <v>#N/A</v>
      </c>
      <c r="K2920" s="16" t="e">
        <f t="shared" si="5878"/>
        <v>#N/A</v>
      </c>
      <c r="L2920" s="40" t="e">
        <f t="shared" si="5441"/>
        <v>#N/A</v>
      </c>
      <c r="M2920" s="16" t="e">
        <f t="shared" si="5442"/>
        <v>#N/A</v>
      </c>
      <c r="N2920" s="16" t="e">
        <f t="shared" si="5443"/>
        <v>#N/A</v>
      </c>
      <c r="O2920" s="16" t="s">
        <v>73</v>
      </c>
      <c r="P2920" s="16" t="str">
        <f t="shared" si="6"/>
        <v/>
      </c>
      <c r="Q2920" s="41" t="e">
        <f t="shared" si="5444"/>
        <v>#N/A</v>
      </c>
      <c r="R2920" s="44"/>
      <c r="S2920" s="44"/>
      <c r="T2920" s="43"/>
      <c r="U2920" s="43" t="str">
        <f t="shared" si="8"/>
        <v>No</v>
      </c>
      <c r="V2920" s="25"/>
      <c r="W2920" s="25"/>
      <c r="X2920" s="25"/>
      <c r="Y2920" s="25"/>
      <c r="Z2920" s="25"/>
    </row>
    <row r="2921" spans="1:26" ht="15.75" customHeight="1" x14ac:dyDescent="0.25">
      <c r="A2921" s="25">
        <v>2919</v>
      </c>
      <c r="B2921" s="37" t="e">
        <f t="shared" ref="B2921:D2921" si="5879">VLOOKUP($A2921,[9]Hacienda!$A$1:$O$285,B$1,0)</f>
        <v>#N/A</v>
      </c>
      <c r="C2921" s="38" t="e">
        <f t="shared" si="5879"/>
        <v>#N/A</v>
      </c>
      <c r="D2921" s="39" t="e">
        <f t="shared" si="5879"/>
        <v>#N/A</v>
      </c>
      <c r="E2921" s="16" t="e">
        <f t="shared" si="1"/>
        <v>#N/A</v>
      </c>
      <c r="F2921" s="16" t="e">
        <f t="shared" ref="F2921:K2921" si="5880">VLOOKUP($A2921,[9]Hacienda!$A$1:$O$285,F$1,0)</f>
        <v>#N/A</v>
      </c>
      <c r="G2921" s="39" t="e">
        <f t="shared" si="5880"/>
        <v>#N/A</v>
      </c>
      <c r="H2921" s="16" t="e">
        <f t="shared" si="5880"/>
        <v>#N/A</v>
      </c>
      <c r="I2921" s="16" t="e">
        <f t="shared" si="5880"/>
        <v>#N/A</v>
      </c>
      <c r="J2921" s="40" t="e">
        <f t="shared" si="5880"/>
        <v>#N/A</v>
      </c>
      <c r="K2921" s="16" t="e">
        <f t="shared" si="5880"/>
        <v>#N/A</v>
      </c>
      <c r="L2921" s="40" t="e">
        <f t="shared" si="5441"/>
        <v>#N/A</v>
      </c>
      <c r="M2921" s="16" t="e">
        <f t="shared" si="5442"/>
        <v>#N/A</v>
      </c>
      <c r="N2921" s="16" t="e">
        <f t="shared" si="5443"/>
        <v>#N/A</v>
      </c>
      <c r="O2921" s="16" t="s">
        <v>73</v>
      </c>
      <c r="P2921" s="16" t="str">
        <f t="shared" si="6"/>
        <v/>
      </c>
      <c r="Q2921" s="41" t="e">
        <f t="shared" si="5444"/>
        <v>#N/A</v>
      </c>
      <c r="R2921" s="44"/>
      <c r="S2921" s="44"/>
      <c r="T2921" s="43"/>
      <c r="U2921" s="43" t="str">
        <f t="shared" si="8"/>
        <v>No</v>
      </c>
      <c r="V2921" s="25"/>
      <c r="W2921" s="25"/>
      <c r="X2921" s="25"/>
      <c r="Y2921" s="25"/>
      <c r="Z2921" s="25"/>
    </row>
    <row r="2922" spans="1:26" ht="15.75" customHeight="1" x14ac:dyDescent="0.25">
      <c r="A2922" s="25">
        <v>2920</v>
      </c>
      <c r="B2922" s="37" t="e">
        <f t="shared" ref="B2922:D2922" si="5881">VLOOKUP($A2922,[9]Hacienda!$A$1:$O$285,B$1,0)</f>
        <v>#N/A</v>
      </c>
      <c r="C2922" s="38" t="e">
        <f t="shared" si="5881"/>
        <v>#N/A</v>
      </c>
      <c r="D2922" s="39" t="e">
        <f t="shared" si="5881"/>
        <v>#N/A</v>
      </c>
      <c r="E2922" s="16" t="e">
        <f t="shared" si="1"/>
        <v>#N/A</v>
      </c>
      <c r="F2922" s="16" t="e">
        <f t="shared" ref="F2922:K2922" si="5882">VLOOKUP($A2922,[9]Hacienda!$A$1:$O$285,F$1,0)</f>
        <v>#N/A</v>
      </c>
      <c r="G2922" s="39" t="e">
        <f t="shared" si="5882"/>
        <v>#N/A</v>
      </c>
      <c r="H2922" s="16" t="e">
        <f t="shared" si="5882"/>
        <v>#N/A</v>
      </c>
      <c r="I2922" s="16" t="e">
        <f t="shared" si="5882"/>
        <v>#N/A</v>
      </c>
      <c r="J2922" s="40" t="e">
        <f t="shared" si="5882"/>
        <v>#N/A</v>
      </c>
      <c r="K2922" s="16" t="e">
        <f t="shared" si="5882"/>
        <v>#N/A</v>
      </c>
      <c r="L2922" s="40" t="e">
        <f t="shared" si="5441"/>
        <v>#N/A</v>
      </c>
      <c r="M2922" s="16" t="e">
        <f t="shared" si="5442"/>
        <v>#N/A</v>
      </c>
      <c r="N2922" s="16" t="e">
        <f t="shared" si="5443"/>
        <v>#N/A</v>
      </c>
      <c r="O2922" s="16" t="s">
        <v>73</v>
      </c>
      <c r="P2922" s="16" t="str">
        <f t="shared" si="6"/>
        <v/>
      </c>
      <c r="Q2922" s="41" t="e">
        <f t="shared" si="5444"/>
        <v>#N/A</v>
      </c>
      <c r="R2922" s="44"/>
      <c r="S2922" s="44"/>
      <c r="T2922" s="43"/>
      <c r="U2922" s="43" t="str">
        <f t="shared" si="8"/>
        <v>No</v>
      </c>
      <c r="V2922" s="25"/>
      <c r="W2922" s="25"/>
      <c r="X2922" s="25"/>
      <c r="Y2922" s="25"/>
      <c r="Z2922" s="25"/>
    </row>
    <row r="2923" spans="1:26" ht="15.75" customHeight="1" x14ac:dyDescent="0.25">
      <c r="A2923" s="25">
        <v>2921</v>
      </c>
      <c r="B2923" s="37" t="e">
        <f t="shared" ref="B2923:D2923" si="5883">VLOOKUP($A2923,[9]Hacienda!$A$1:$O$285,B$1,0)</f>
        <v>#N/A</v>
      </c>
      <c r="C2923" s="38" t="e">
        <f t="shared" si="5883"/>
        <v>#N/A</v>
      </c>
      <c r="D2923" s="39" t="e">
        <f t="shared" si="5883"/>
        <v>#N/A</v>
      </c>
      <c r="E2923" s="16" t="e">
        <f t="shared" si="1"/>
        <v>#N/A</v>
      </c>
      <c r="F2923" s="16" t="e">
        <f t="shared" ref="F2923:K2923" si="5884">VLOOKUP($A2923,[9]Hacienda!$A$1:$O$285,F$1,0)</f>
        <v>#N/A</v>
      </c>
      <c r="G2923" s="39" t="e">
        <f t="shared" si="5884"/>
        <v>#N/A</v>
      </c>
      <c r="H2923" s="16" t="e">
        <f t="shared" si="5884"/>
        <v>#N/A</v>
      </c>
      <c r="I2923" s="16" t="e">
        <f t="shared" si="5884"/>
        <v>#N/A</v>
      </c>
      <c r="J2923" s="40" t="e">
        <f t="shared" si="5884"/>
        <v>#N/A</v>
      </c>
      <c r="K2923" s="16" t="e">
        <f t="shared" si="5884"/>
        <v>#N/A</v>
      </c>
      <c r="L2923" s="40" t="e">
        <f t="shared" si="5441"/>
        <v>#N/A</v>
      </c>
      <c r="M2923" s="16" t="e">
        <f t="shared" si="5442"/>
        <v>#N/A</v>
      </c>
      <c r="N2923" s="16" t="e">
        <f t="shared" si="5443"/>
        <v>#N/A</v>
      </c>
      <c r="O2923" s="16" t="s">
        <v>73</v>
      </c>
      <c r="P2923" s="16" t="str">
        <f t="shared" si="6"/>
        <v/>
      </c>
      <c r="Q2923" s="41" t="e">
        <f t="shared" si="5444"/>
        <v>#N/A</v>
      </c>
      <c r="R2923" s="44"/>
      <c r="S2923" s="44"/>
      <c r="T2923" s="43"/>
      <c r="U2923" s="43" t="str">
        <f t="shared" si="8"/>
        <v>No</v>
      </c>
      <c r="V2923" s="25"/>
      <c r="W2923" s="25"/>
      <c r="X2923" s="25"/>
      <c r="Y2923" s="25"/>
      <c r="Z2923" s="25"/>
    </row>
    <row r="2924" spans="1:26" ht="15.75" customHeight="1" x14ac:dyDescent="0.25">
      <c r="A2924" s="25">
        <v>2922</v>
      </c>
      <c r="B2924" s="37" t="e">
        <f t="shared" ref="B2924:D2924" si="5885">VLOOKUP($A2924,[9]Hacienda!$A$1:$O$285,B$1,0)</f>
        <v>#N/A</v>
      </c>
      <c r="C2924" s="38" t="e">
        <f t="shared" si="5885"/>
        <v>#N/A</v>
      </c>
      <c r="D2924" s="39" t="e">
        <f t="shared" si="5885"/>
        <v>#N/A</v>
      </c>
      <c r="E2924" s="16" t="e">
        <f t="shared" si="1"/>
        <v>#N/A</v>
      </c>
      <c r="F2924" s="16" t="e">
        <f t="shared" ref="F2924:K2924" si="5886">VLOOKUP($A2924,[9]Hacienda!$A$1:$O$285,F$1,0)</f>
        <v>#N/A</v>
      </c>
      <c r="G2924" s="39" t="e">
        <f t="shared" si="5886"/>
        <v>#N/A</v>
      </c>
      <c r="H2924" s="16" t="e">
        <f t="shared" si="5886"/>
        <v>#N/A</v>
      </c>
      <c r="I2924" s="16" t="e">
        <f t="shared" si="5886"/>
        <v>#N/A</v>
      </c>
      <c r="J2924" s="40" t="e">
        <f t="shared" si="5886"/>
        <v>#N/A</v>
      </c>
      <c r="K2924" s="16" t="e">
        <f t="shared" si="5886"/>
        <v>#N/A</v>
      </c>
      <c r="L2924" s="40" t="e">
        <f t="shared" si="5441"/>
        <v>#N/A</v>
      </c>
      <c r="M2924" s="16" t="e">
        <f t="shared" si="5442"/>
        <v>#N/A</v>
      </c>
      <c r="N2924" s="16" t="e">
        <f t="shared" si="5443"/>
        <v>#N/A</v>
      </c>
      <c r="O2924" s="16" t="s">
        <v>73</v>
      </c>
      <c r="P2924" s="16" t="str">
        <f t="shared" si="6"/>
        <v/>
      </c>
      <c r="Q2924" s="41" t="e">
        <f t="shared" si="5444"/>
        <v>#N/A</v>
      </c>
      <c r="R2924" s="44"/>
      <c r="S2924" s="44"/>
      <c r="T2924" s="43"/>
      <c r="U2924" s="43" t="str">
        <f t="shared" si="8"/>
        <v>No</v>
      </c>
      <c r="V2924" s="25"/>
      <c r="W2924" s="25"/>
      <c r="X2924" s="25"/>
      <c r="Y2924" s="25"/>
      <c r="Z2924" s="25"/>
    </row>
    <row r="2925" spans="1:26" ht="15.75" customHeight="1" x14ac:dyDescent="0.25">
      <c r="A2925" s="25">
        <v>2923</v>
      </c>
      <c r="B2925" s="37" t="e">
        <f t="shared" ref="B2925:D2925" si="5887">VLOOKUP($A2925,[9]Hacienda!$A$1:$O$285,B$1,0)</f>
        <v>#N/A</v>
      </c>
      <c r="C2925" s="38" t="e">
        <f t="shared" si="5887"/>
        <v>#N/A</v>
      </c>
      <c r="D2925" s="39" t="e">
        <f t="shared" si="5887"/>
        <v>#N/A</v>
      </c>
      <c r="E2925" s="16" t="e">
        <f t="shared" si="1"/>
        <v>#N/A</v>
      </c>
      <c r="F2925" s="16" t="e">
        <f t="shared" ref="F2925:K2925" si="5888">VLOOKUP($A2925,[9]Hacienda!$A$1:$O$285,F$1,0)</f>
        <v>#N/A</v>
      </c>
      <c r="G2925" s="39" t="e">
        <f t="shared" si="5888"/>
        <v>#N/A</v>
      </c>
      <c r="H2925" s="16" t="e">
        <f t="shared" si="5888"/>
        <v>#N/A</v>
      </c>
      <c r="I2925" s="16" t="e">
        <f t="shared" si="5888"/>
        <v>#N/A</v>
      </c>
      <c r="J2925" s="40" t="e">
        <f t="shared" si="5888"/>
        <v>#N/A</v>
      </c>
      <c r="K2925" s="16" t="e">
        <f t="shared" si="5888"/>
        <v>#N/A</v>
      </c>
      <c r="L2925" s="40" t="e">
        <f t="shared" si="5441"/>
        <v>#N/A</v>
      </c>
      <c r="M2925" s="16" t="e">
        <f t="shared" si="5442"/>
        <v>#N/A</v>
      </c>
      <c r="N2925" s="16" t="e">
        <f t="shared" si="5443"/>
        <v>#N/A</v>
      </c>
      <c r="O2925" s="16" t="s">
        <v>73</v>
      </c>
      <c r="P2925" s="16" t="str">
        <f t="shared" si="6"/>
        <v/>
      </c>
      <c r="Q2925" s="41" t="e">
        <f t="shared" si="5444"/>
        <v>#N/A</v>
      </c>
      <c r="R2925" s="44"/>
      <c r="S2925" s="44"/>
      <c r="T2925" s="43"/>
      <c r="U2925" s="43" t="str">
        <f t="shared" si="8"/>
        <v>No</v>
      </c>
      <c r="V2925" s="25"/>
      <c r="W2925" s="25"/>
      <c r="X2925" s="25"/>
      <c r="Y2925" s="25"/>
      <c r="Z2925" s="25"/>
    </row>
    <row r="2926" spans="1:26" ht="15.75" customHeight="1" x14ac:dyDescent="0.25">
      <c r="A2926" s="25">
        <v>2924</v>
      </c>
      <c r="B2926" s="37" t="e">
        <f t="shared" ref="B2926:D2926" si="5889">VLOOKUP($A2926,[9]Hacienda!$A$1:$O$285,B$1,0)</f>
        <v>#N/A</v>
      </c>
      <c r="C2926" s="38" t="e">
        <f t="shared" si="5889"/>
        <v>#N/A</v>
      </c>
      <c r="D2926" s="39" t="e">
        <f t="shared" si="5889"/>
        <v>#N/A</v>
      </c>
      <c r="E2926" s="16" t="e">
        <f t="shared" si="1"/>
        <v>#N/A</v>
      </c>
      <c r="F2926" s="16" t="e">
        <f t="shared" ref="F2926:K2926" si="5890">VLOOKUP($A2926,[9]Hacienda!$A$1:$O$285,F$1,0)</f>
        <v>#N/A</v>
      </c>
      <c r="G2926" s="39" t="e">
        <f t="shared" si="5890"/>
        <v>#N/A</v>
      </c>
      <c r="H2926" s="16" t="e">
        <f t="shared" si="5890"/>
        <v>#N/A</v>
      </c>
      <c r="I2926" s="16" t="e">
        <f t="shared" si="5890"/>
        <v>#N/A</v>
      </c>
      <c r="J2926" s="40" t="e">
        <f t="shared" si="5890"/>
        <v>#N/A</v>
      </c>
      <c r="K2926" s="16" t="e">
        <f t="shared" si="5890"/>
        <v>#N/A</v>
      </c>
      <c r="L2926" s="40" t="e">
        <f t="shared" si="5441"/>
        <v>#N/A</v>
      </c>
      <c r="M2926" s="16" t="e">
        <f t="shared" si="5442"/>
        <v>#N/A</v>
      </c>
      <c r="N2926" s="16" t="e">
        <f t="shared" si="5443"/>
        <v>#N/A</v>
      </c>
      <c r="O2926" s="16" t="s">
        <v>73</v>
      </c>
      <c r="P2926" s="16" t="str">
        <f t="shared" si="6"/>
        <v/>
      </c>
      <c r="Q2926" s="41" t="e">
        <f t="shared" si="5444"/>
        <v>#N/A</v>
      </c>
      <c r="R2926" s="44"/>
      <c r="S2926" s="44"/>
      <c r="T2926" s="43"/>
      <c r="U2926" s="43" t="str">
        <f t="shared" si="8"/>
        <v>No</v>
      </c>
      <c r="V2926" s="25"/>
      <c r="W2926" s="25"/>
      <c r="X2926" s="25"/>
      <c r="Y2926" s="25"/>
      <c r="Z2926" s="25"/>
    </row>
    <row r="2927" spans="1:26" ht="15.75" customHeight="1" x14ac:dyDescent="0.25">
      <c r="A2927" s="25">
        <v>2925</v>
      </c>
      <c r="B2927" s="37" t="e">
        <f t="shared" ref="B2927:D2927" si="5891">VLOOKUP($A2927,[9]Hacienda!$A$1:$O$285,B$1,0)</f>
        <v>#N/A</v>
      </c>
      <c r="C2927" s="38" t="e">
        <f t="shared" si="5891"/>
        <v>#N/A</v>
      </c>
      <c r="D2927" s="39" t="e">
        <f t="shared" si="5891"/>
        <v>#N/A</v>
      </c>
      <c r="E2927" s="16" t="e">
        <f t="shared" si="1"/>
        <v>#N/A</v>
      </c>
      <c r="F2927" s="16" t="e">
        <f t="shared" ref="F2927:K2927" si="5892">VLOOKUP($A2927,[9]Hacienda!$A$1:$O$285,F$1,0)</f>
        <v>#N/A</v>
      </c>
      <c r="G2927" s="39" t="e">
        <f t="shared" si="5892"/>
        <v>#N/A</v>
      </c>
      <c r="H2927" s="16" t="e">
        <f t="shared" si="5892"/>
        <v>#N/A</v>
      </c>
      <c r="I2927" s="16" t="e">
        <f t="shared" si="5892"/>
        <v>#N/A</v>
      </c>
      <c r="J2927" s="40" t="e">
        <f t="shared" si="5892"/>
        <v>#N/A</v>
      </c>
      <c r="K2927" s="16" t="e">
        <f t="shared" si="5892"/>
        <v>#N/A</v>
      </c>
      <c r="L2927" s="40" t="e">
        <f t="shared" si="5441"/>
        <v>#N/A</v>
      </c>
      <c r="M2927" s="16" t="e">
        <f t="shared" si="5442"/>
        <v>#N/A</v>
      </c>
      <c r="N2927" s="16" t="e">
        <f t="shared" si="5443"/>
        <v>#N/A</v>
      </c>
      <c r="O2927" s="16" t="s">
        <v>73</v>
      </c>
      <c r="P2927" s="16" t="str">
        <f t="shared" si="6"/>
        <v/>
      </c>
      <c r="Q2927" s="41" t="e">
        <f t="shared" si="5444"/>
        <v>#N/A</v>
      </c>
      <c r="R2927" s="44"/>
      <c r="S2927" s="44"/>
      <c r="T2927" s="43"/>
      <c r="U2927" s="43" t="str">
        <f t="shared" si="8"/>
        <v>No</v>
      </c>
      <c r="V2927" s="25"/>
      <c r="W2927" s="25"/>
      <c r="X2927" s="25"/>
      <c r="Y2927" s="25"/>
      <c r="Z2927" s="25"/>
    </row>
    <row r="2928" spans="1:26" ht="15.75" customHeight="1" x14ac:dyDescent="0.25">
      <c r="A2928" s="25">
        <v>2926</v>
      </c>
      <c r="B2928" s="37" t="e">
        <f t="shared" ref="B2928:D2928" si="5893">VLOOKUP($A2928,[9]Hacienda!$A$1:$O$285,B$1,0)</f>
        <v>#N/A</v>
      </c>
      <c r="C2928" s="38" t="e">
        <f t="shared" si="5893"/>
        <v>#N/A</v>
      </c>
      <c r="D2928" s="39" t="e">
        <f t="shared" si="5893"/>
        <v>#N/A</v>
      </c>
      <c r="E2928" s="16" t="e">
        <f t="shared" si="1"/>
        <v>#N/A</v>
      </c>
      <c r="F2928" s="16" t="e">
        <f t="shared" ref="F2928:K2928" si="5894">VLOOKUP($A2928,[9]Hacienda!$A$1:$O$285,F$1,0)</f>
        <v>#N/A</v>
      </c>
      <c r="G2928" s="39" t="e">
        <f t="shared" si="5894"/>
        <v>#N/A</v>
      </c>
      <c r="H2928" s="16" t="e">
        <f t="shared" si="5894"/>
        <v>#N/A</v>
      </c>
      <c r="I2928" s="16" t="e">
        <f t="shared" si="5894"/>
        <v>#N/A</v>
      </c>
      <c r="J2928" s="40" t="e">
        <f t="shared" si="5894"/>
        <v>#N/A</v>
      </c>
      <c r="K2928" s="16" t="e">
        <f t="shared" si="5894"/>
        <v>#N/A</v>
      </c>
      <c r="L2928" s="40" t="e">
        <f t="shared" si="5441"/>
        <v>#N/A</v>
      </c>
      <c r="M2928" s="16" t="e">
        <f t="shared" si="5442"/>
        <v>#N/A</v>
      </c>
      <c r="N2928" s="16" t="e">
        <f t="shared" si="5443"/>
        <v>#N/A</v>
      </c>
      <c r="O2928" s="16" t="s">
        <v>73</v>
      </c>
      <c r="P2928" s="16" t="str">
        <f t="shared" si="6"/>
        <v/>
      </c>
      <c r="Q2928" s="41" t="e">
        <f t="shared" si="5444"/>
        <v>#N/A</v>
      </c>
      <c r="R2928" s="44"/>
      <c r="S2928" s="44"/>
      <c r="T2928" s="43"/>
      <c r="U2928" s="43" t="str">
        <f t="shared" si="8"/>
        <v>No</v>
      </c>
      <c r="V2928" s="25"/>
      <c r="W2928" s="25"/>
      <c r="X2928" s="25"/>
      <c r="Y2928" s="25"/>
      <c r="Z2928" s="25"/>
    </row>
    <row r="2929" spans="1:26" ht="15.75" customHeight="1" x14ac:dyDescent="0.25">
      <c r="A2929" s="25">
        <v>2927</v>
      </c>
      <c r="B2929" s="37" t="e">
        <f t="shared" ref="B2929:D2929" si="5895">VLOOKUP($A2929,[9]Hacienda!$A$1:$O$285,B$1,0)</f>
        <v>#N/A</v>
      </c>
      <c r="C2929" s="38" t="e">
        <f t="shared" si="5895"/>
        <v>#N/A</v>
      </c>
      <c r="D2929" s="39" t="e">
        <f t="shared" si="5895"/>
        <v>#N/A</v>
      </c>
      <c r="E2929" s="16" t="e">
        <f t="shared" si="1"/>
        <v>#N/A</v>
      </c>
      <c r="F2929" s="16" t="e">
        <f t="shared" ref="F2929:K2929" si="5896">VLOOKUP($A2929,[9]Hacienda!$A$1:$O$285,F$1,0)</f>
        <v>#N/A</v>
      </c>
      <c r="G2929" s="39" t="e">
        <f t="shared" si="5896"/>
        <v>#N/A</v>
      </c>
      <c r="H2929" s="16" t="e">
        <f t="shared" si="5896"/>
        <v>#N/A</v>
      </c>
      <c r="I2929" s="16" t="e">
        <f t="shared" si="5896"/>
        <v>#N/A</v>
      </c>
      <c r="J2929" s="40" t="e">
        <f t="shared" si="5896"/>
        <v>#N/A</v>
      </c>
      <c r="K2929" s="16" t="e">
        <f t="shared" si="5896"/>
        <v>#N/A</v>
      </c>
      <c r="L2929" s="40" t="e">
        <f t="shared" si="5441"/>
        <v>#N/A</v>
      </c>
      <c r="M2929" s="16" t="e">
        <f t="shared" si="5442"/>
        <v>#N/A</v>
      </c>
      <c r="N2929" s="16" t="e">
        <f t="shared" si="5443"/>
        <v>#N/A</v>
      </c>
      <c r="O2929" s="16" t="s">
        <v>73</v>
      </c>
      <c r="P2929" s="16" t="str">
        <f t="shared" si="6"/>
        <v/>
      </c>
      <c r="Q2929" s="41" t="e">
        <f t="shared" si="5444"/>
        <v>#N/A</v>
      </c>
      <c r="R2929" s="44"/>
      <c r="S2929" s="44"/>
      <c r="T2929" s="43"/>
      <c r="U2929" s="43" t="str">
        <f t="shared" si="8"/>
        <v>No</v>
      </c>
      <c r="V2929" s="25"/>
      <c r="W2929" s="25"/>
      <c r="X2929" s="25"/>
      <c r="Y2929" s="25"/>
      <c r="Z2929" s="25"/>
    </row>
    <row r="2930" spans="1:26" ht="15.75" customHeight="1" x14ac:dyDescent="0.25">
      <c r="A2930" s="25">
        <v>2928</v>
      </c>
      <c r="B2930" s="37" t="e">
        <f t="shared" ref="B2930:D2930" si="5897">VLOOKUP($A2930,[9]Hacienda!$A$1:$O$285,B$1,0)</f>
        <v>#N/A</v>
      </c>
      <c r="C2930" s="38" t="e">
        <f t="shared" si="5897"/>
        <v>#N/A</v>
      </c>
      <c r="D2930" s="39" t="e">
        <f t="shared" si="5897"/>
        <v>#N/A</v>
      </c>
      <c r="E2930" s="16" t="e">
        <f t="shared" si="1"/>
        <v>#N/A</v>
      </c>
      <c r="F2930" s="16" t="e">
        <f t="shared" ref="F2930:K2930" si="5898">VLOOKUP($A2930,[9]Hacienda!$A$1:$O$285,F$1,0)</f>
        <v>#N/A</v>
      </c>
      <c r="G2930" s="39" t="e">
        <f t="shared" si="5898"/>
        <v>#N/A</v>
      </c>
      <c r="H2930" s="16" t="e">
        <f t="shared" si="5898"/>
        <v>#N/A</v>
      </c>
      <c r="I2930" s="16" t="e">
        <f t="shared" si="5898"/>
        <v>#N/A</v>
      </c>
      <c r="J2930" s="40" t="e">
        <f t="shared" si="5898"/>
        <v>#N/A</v>
      </c>
      <c r="K2930" s="16" t="e">
        <f t="shared" si="5898"/>
        <v>#N/A</v>
      </c>
      <c r="L2930" s="40" t="e">
        <f t="shared" si="5441"/>
        <v>#N/A</v>
      </c>
      <c r="M2930" s="16" t="e">
        <f t="shared" si="5442"/>
        <v>#N/A</v>
      </c>
      <c r="N2930" s="16" t="e">
        <f t="shared" si="5443"/>
        <v>#N/A</v>
      </c>
      <c r="O2930" s="16" t="s">
        <v>73</v>
      </c>
      <c r="P2930" s="16" t="str">
        <f t="shared" si="6"/>
        <v/>
      </c>
      <c r="Q2930" s="41" t="e">
        <f t="shared" si="5444"/>
        <v>#N/A</v>
      </c>
      <c r="R2930" s="44"/>
      <c r="S2930" s="44"/>
      <c r="T2930" s="43"/>
      <c r="U2930" s="43" t="str">
        <f t="shared" si="8"/>
        <v>No</v>
      </c>
      <c r="V2930" s="25"/>
      <c r="W2930" s="25"/>
      <c r="X2930" s="25"/>
      <c r="Y2930" s="25"/>
      <c r="Z2930" s="25"/>
    </row>
    <row r="2931" spans="1:26" ht="15.75" customHeight="1" x14ac:dyDescent="0.25">
      <c r="A2931" s="25">
        <v>2929</v>
      </c>
      <c r="B2931" s="37" t="e">
        <f t="shared" ref="B2931:D2931" si="5899">VLOOKUP($A2931,[9]Hacienda!$A$1:$O$285,B$1,0)</f>
        <v>#N/A</v>
      </c>
      <c r="C2931" s="38" t="e">
        <f t="shared" si="5899"/>
        <v>#N/A</v>
      </c>
      <c r="D2931" s="39" t="e">
        <f t="shared" si="5899"/>
        <v>#N/A</v>
      </c>
      <c r="E2931" s="16" t="e">
        <f t="shared" si="1"/>
        <v>#N/A</v>
      </c>
      <c r="F2931" s="16" t="e">
        <f t="shared" ref="F2931:K2931" si="5900">VLOOKUP($A2931,[9]Hacienda!$A$1:$O$285,F$1,0)</f>
        <v>#N/A</v>
      </c>
      <c r="G2931" s="39" t="e">
        <f t="shared" si="5900"/>
        <v>#N/A</v>
      </c>
      <c r="H2931" s="16" t="e">
        <f t="shared" si="5900"/>
        <v>#N/A</v>
      </c>
      <c r="I2931" s="16" t="e">
        <f t="shared" si="5900"/>
        <v>#N/A</v>
      </c>
      <c r="J2931" s="40" t="e">
        <f t="shared" si="5900"/>
        <v>#N/A</v>
      </c>
      <c r="K2931" s="16" t="e">
        <f t="shared" si="5900"/>
        <v>#N/A</v>
      </c>
      <c r="L2931" s="40" t="e">
        <f t="shared" si="5441"/>
        <v>#N/A</v>
      </c>
      <c r="M2931" s="16" t="e">
        <f t="shared" si="5442"/>
        <v>#N/A</v>
      </c>
      <c r="N2931" s="16" t="e">
        <f t="shared" si="5443"/>
        <v>#N/A</v>
      </c>
      <c r="O2931" s="16" t="s">
        <v>73</v>
      </c>
      <c r="P2931" s="16" t="str">
        <f t="shared" si="6"/>
        <v/>
      </c>
      <c r="Q2931" s="41" t="e">
        <f t="shared" si="5444"/>
        <v>#N/A</v>
      </c>
      <c r="R2931" s="44"/>
      <c r="S2931" s="44"/>
      <c r="T2931" s="43"/>
      <c r="U2931" s="43" t="str">
        <f t="shared" si="8"/>
        <v>No</v>
      </c>
      <c r="V2931" s="25"/>
      <c r="W2931" s="25"/>
      <c r="X2931" s="25"/>
      <c r="Y2931" s="25"/>
      <c r="Z2931" s="25"/>
    </row>
    <row r="2932" spans="1:26" ht="15.75" customHeight="1" x14ac:dyDescent="0.25">
      <c r="A2932" s="25">
        <v>2930</v>
      </c>
      <c r="B2932" s="37" t="e">
        <f t="shared" ref="B2932:D2932" si="5901">VLOOKUP($A2932,[9]Hacienda!$A$1:$O$285,B$1,0)</f>
        <v>#N/A</v>
      </c>
      <c r="C2932" s="38" t="e">
        <f t="shared" si="5901"/>
        <v>#N/A</v>
      </c>
      <c r="D2932" s="39" t="e">
        <f t="shared" si="5901"/>
        <v>#N/A</v>
      </c>
      <c r="E2932" s="16" t="e">
        <f t="shared" si="1"/>
        <v>#N/A</v>
      </c>
      <c r="F2932" s="16" t="e">
        <f t="shared" ref="F2932:K2932" si="5902">VLOOKUP($A2932,[9]Hacienda!$A$1:$O$285,F$1,0)</f>
        <v>#N/A</v>
      </c>
      <c r="G2932" s="39" t="e">
        <f t="shared" si="5902"/>
        <v>#N/A</v>
      </c>
      <c r="H2932" s="16" t="e">
        <f t="shared" si="5902"/>
        <v>#N/A</v>
      </c>
      <c r="I2932" s="16" t="e">
        <f t="shared" si="5902"/>
        <v>#N/A</v>
      </c>
      <c r="J2932" s="40" t="e">
        <f t="shared" si="5902"/>
        <v>#N/A</v>
      </c>
      <c r="K2932" s="16" t="e">
        <f t="shared" si="5902"/>
        <v>#N/A</v>
      </c>
      <c r="L2932" s="40" t="e">
        <f t="shared" si="5441"/>
        <v>#N/A</v>
      </c>
      <c r="M2932" s="16" t="e">
        <f t="shared" si="5442"/>
        <v>#N/A</v>
      </c>
      <c r="N2932" s="16" t="e">
        <f t="shared" si="5443"/>
        <v>#N/A</v>
      </c>
      <c r="O2932" s="16" t="s">
        <v>73</v>
      </c>
      <c r="P2932" s="16" t="str">
        <f t="shared" si="6"/>
        <v/>
      </c>
      <c r="Q2932" s="41" t="e">
        <f t="shared" si="5444"/>
        <v>#N/A</v>
      </c>
      <c r="R2932" s="44"/>
      <c r="S2932" s="44"/>
      <c r="T2932" s="43"/>
      <c r="U2932" s="43" t="str">
        <f t="shared" si="8"/>
        <v>No</v>
      </c>
      <c r="V2932" s="25"/>
      <c r="W2932" s="25"/>
      <c r="X2932" s="25"/>
      <c r="Y2932" s="25"/>
      <c r="Z2932" s="25"/>
    </row>
    <row r="2933" spans="1:26" ht="15.75" customHeight="1" x14ac:dyDescent="0.25">
      <c r="A2933" s="25">
        <v>2931</v>
      </c>
      <c r="B2933" s="37" t="e">
        <f t="shared" ref="B2933:D2933" si="5903">VLOOKUP($A2933,[9]Hacienda!$A$1:$O$285,B$1,0)</f>
        <v>#N/A</v>
      </c>
      <c r="C2933" s="38" t="e">
        <f t="shared" si="5903"/>
        <v>#N/A</v>
      </c>
      <c r="D2933" s="39" t="e">
        <f t="shared" si="5903"/>
        <v>#N/A</v>
      </c>
      <c r="E2933" s="16" t="e">
        <f t="shared" si="1"/>
        <v>#N/A</v>
      </c>
      <c r="F2933" s="16" t="e">
        <f t="shared" ref="F2933:K2933" si="5904">VLOOKUP($A2933,[9]Hacienda!$A$1:$O$285,F$1,0)</f>
        <v>#N/A</v>
      </c>
      <c r="G2933" s="39" t="e">
        <f t="shared" si="5904"/>
        <v>#N/A</v>
      </c>
      <c r="H2933" s="16" t="e">
        <f t="shared" si="5904"/>
        <v>#N/A</v>
      </c>
      <c r="I2933" s="16" t="e">
        <f t="shared" si="5904"/>
        <v>#N/A</v>
      </c>
      <c r="J2933" s="40" t="e">
        <f t="shared" si="5904"/>
        <v>#N/A</v>
      </c>
      <c r="K2933" s="16" t="e">
        <f t="shared" si="5904"/>
        <v>#N/A</v>
      </c>
      <c r="L2933" s="40" t="e">
        <f t="shared" si="5441"/>
        <v>#N/A</v>
      </c>
      <c r="M2933" s="16" t="e">
        <f t="shared" si="5442"/>
        <v>#N/A</v>
      </c>
      <c r="N2933" s="16" t="e">
        <f t="shared" si="5443"/>
        <v>#N/A</v>
      </c>
      <c r="O2933" s="16" t="s">
        <v>73</v>
      </c>
      <c r="P2933" s="16" t="str">
        <f t="shared" si="6"/>
        <v/>
      </c>
      <c r="Q2933" s="41" t="e">
        <f t="shared" si="5444"/>
        <v>#N/A</v>
      </c>
      <c r="R2933" s="44"/>
      <c r="S2933" s="44"/>
      <c r="T2933" s="43"/>
      <c r="U2933" s="43" t="str">
        <f t="shared" si="8"/>
        <v>No</v>
      </c>
      <c r="V2933" s="25"/>
      <c r="W2933" s="25"/>
      <c r="X2933" s="25"/>
      <c r="Y2933" s="25"/>
      <c r="Z2933" s="25"/>
    </row>
    <row r="2934" spans="1:26" ht="15.75" customHeight="1" x14ac:dyDescent="0.25">
      <c r="A2934" s="25">
        <v>2932</v>
      </c>
      <c r="B2934" s="37" t="e">
        <f t="shared" ref="B2934:D2934" si="5905">VLOOKUP($A2934,[9]Hacienda!$A$1:$O$285,B$1,0)</f>
        <v>#N/A</v>
      </c>
      <c r="C2934" s="38" t="e">
        <f t="shared" si="5905"/>
        <v>#N/A</v>
      </c>
      <c r="D2934" s="39" t="e">
        <f t="shared" si="5905"/>
        <v>#N/A</v>
      </c>
      <c r="E2934" s="16" t="e">
        <f t="shared" si="1"/>
        <v>#N/A</v>
      </c>
      <c r="F2934" s="16" t="e">
        <f t="shared" ref="F2934:K2934" si="5906">VLOOKUP($A2934,[9]Hacienda!$A$1:$O$285,F$1,0)</f>
        <v>#N/A</v>
      </c>
      <c r="G2934" s="39" t="e">
        <f t="shared" si="5906"/>
        <v>#N/A</v>
      </c>
      <c r="H2934" s="16" t="e">
        <f t="shared" si="5906"/>
        <v>#N/A</v>
      </c>
      <c r="I2934" s="16" t="e">
        <f t="shared" si="5906"/>
        <v>#N/A</v>
      </c>
      <c r="J2934" s="40" t="e">
        <f t="shared" si="5906"/>
        <v>#N/A</v>
      </c>
      <c r="K2934" s="16" t="e">
        <f t="shared" si="5906"/>
        <v>#N/A</v>
      </c>
      <c r="L2934" s="40" t="e">
        <f t="shared" si="5441"/>
        <v>#N/A</v>
      </c>
      <c r="M2934" s="16" t="e">
        <f t="shared" si="5442"/>
        <v>#N/A</v>
      </c>
      <c r="N2934" s="16" t="e">
        <f t="shared" si="5443"/>
        <v>#N/A</v>
      </c>
      <c r="O2934" s="16" t="s">
        <v>73</v>
      </c>
      <c r="P2934" s="16" t="str">
        <f t="shared" si="6"/>
        <v/>
      </c>
      <c r="Q2934" s="41" t="e">
        <f t="shared" si="5444"/>
        <v>#N/A</v>
      </c>
      <c r="R2934" s="44"/>
      <c r="S2934" s="44"/>
      <c r="T2934" s="43"/>
      <c r="U2934" s="43" t="str">
        <f t="shared" si="8"/>
        <v>No</v>
      </c>
      <c r="V2934" s="25"/>
      <c r="W2934" s="25"/>
      <c r="X2934" s="25"/>
      <c r="Y2934" s="25"/>
      <c r="Z2934" s="25"/>
    </row>
    <row r="2935" spans="1:26" ht="15.75" customHeight="1" x14ac:dyDescent="0.25">
      <c r="A2935" s="25">
        <v>2933</v>
      </c>
      <c r="B2935" s="37" t="e">
        <f t="shared" ref="B2935:D2935" si="5907">VLOOKUP($A2935,[9]Hacienda!$A$1:$O$285,B$1,0)</f>
        <v>#N/A</v>
      </c>
      <c r="C2935" s="38" t="e">
        <f t="shared" si="5907"/>
        <v>#N/A</v>
      </c>
      <c r="D2935" s="39" t="e">
        <f t="shared" si="5907"/>
        <v>#N/A</v>
      </c>
      <c r="E2935" s="16" t="e">
        <f t="shared" si="1"/>
        <v>#N/A</v>
      </c>
      <c r="F2935" s="16" t="e">
        <f t="shared" ref="F2935:K2935" si="5908">VLOOKUP($A2935,[9]Hacienda!$A$1:$O$285,F$1,0)</f>
        <v>#N/A</v>
      </c>
      <c r="G2935" s="39" t="e">
        <f t="shared" si="5908"/>
        <v>#N/A</v>
      </c>
      <c r="H2935" s="16" t="e">
        <f t="shared" si="5908"/>
        <v>#N/A</v>
      </c>
      <c r="I2935" s="16" t="e">
        <f t="shared" si="5908"/>
        <v>#N/A</v>
      </c>
      <c r="J2935" s="40" t="e">
        <f t="shared" si="5908"/>
        <v>#N/A</v>
      </c>
      <c r="K2935" s="16" t="e">
        <f t="shared" si="5908"/>
        <v>#N/A</v>
      </c>
      <c r="L2935" s="40" t="e">
        <f t="shared" si="5441"/>
        <v>#N/A</v>
      </c>
      <c r="M2935" s="16" t="e">
        <f t="shared" si="5442"/>
        <v>#N/A</v>
      </c>
      <c r="N2935" s="16" t="e">
        <f t="shared" si="5443"/>
        <v>#N/A</v>
      </c>
      <c r="O2935" s="16" t="s">
        <v>73</v>
      </c>
      <c r="P2935" s="16" t="str">
        <f t="shared" si="6"/>
        <v/>
      </c>
      <c r="Q2935" s="41" t="e">
        <f t="shared" si="5444"/>
        <v>#N/A</v>
      </c>
      <c r="R2935" s="44"/>
      <c r="S2935" s="44"/>
      <c r="T2935" s="43"/>
      <c r="U2935" s="43" t="str">
        <f t="shared" si="8"/>
        <v>No</v>
      </c>
      <c r="V2935" s="25"/>
      <c r="W2935" s="25"/>
      <c r="X2935" s="25"/>
      <c r="Y2935" s="25"/>
      <c r="Z2935" s="25"/>
    </row>
    <row r="2936" spans="1:26" ht="15.75" customHeight="1" x14ac:dyDescent="0.25">
      <c r="A2936" s="25">
        <v>2934</v>
      </c>
      <c r="B2936" s="37" t="e">
        <f t="shared" ref="B2936:D2936" si="5909">VLOOKUP($A2936,[9]Hacienda!$A$1:$O$285,B$1,0)</f>
        <v>#N/A</v>
      </c>
      <c r="C2936" s="38" t="e">
        <f t="shared" si="5909"/>
        <v>#N/A</v>
      </c>
      <c r="D2936" s="39" t="e">
        <f t="shared" si="5909"/>
        <v>#N/A</v>
      </c>
      <c r="E2936" s="16" t="e">
        <f t="shared" si="1"/>
        <v>#N/A</v>
      </c>
      <c r="F2936" s="16" t="e">
        <f t="shared" ref="F2936:K2936" si="5910">VLOOKUP($A2936,[9]Hacienda!$A$1:$O$285,F$1,0)</f>
        <v>#N/A</v>
      </c>
      <c r="G2936" s="39" t="e">
        <f t="shared" si="5910"/>
        <v>#N/A</v>
      </c>
      <c r="H2936" s="16" t="e">
        <f t="shared" si="5910"/>
        <v>#N/A</v>
      </c>
      <c r="I2936" s="16" t="e">
        <f t="shared" si="5910"/>
        <v>#N/A</v>
      </c>
      <c r="J2936" s="40" t="e">
        <f t="shared" si="5910"/>
        <v>#N/A</v>
      </c>
      <c r="K2936" s="16" t="e">
        <f t="shared" si="5910"/>
        <v>#N/A</v>
      </c>
      <c r="L2936" s="40" t="e">
        <f t="shared" si="5441"/>
        <v>#N/A</v>
      </c>
      <c r="M2936" s="16" t="e">
        <f t="shared" si="5442"/>
        <v>#N/A</v>
      </c>
      <c r="N2936" s="16" t="e">
        <f t="shared" si="5443"/>
        <v>#N/A</v>
      </c>
      <c r="O2936" s="16" t="s">
        <v>73</v>
      </c>
      <c r="P2936" s="16" t="str">
        <f t="shared" si="6"/>
        <v/>
      </c>
      <c r="Q2936" s="41" t="e">
        <f t="shared" si="5444"/>
        <v>#N/A</v>
      </c>
      <c r="R2936" s="44"/>
      <c r="S2936" s="44"/>
      <c r="T2936" s="43"/>
      <c r="U2936" s="43" t="str">
        <f t="shared" si="8"/>
        <v>No</v>
      </c>
      <c r="V2936" s="25"/>
      <c r="W2936" s="25"/>
      <c r="X2936" s="25"/>
      <c r="Y2936" s="25"/>
      <c r="Z2936" s="25"/>
    </row>
    <row r="2937" spans="1:26" ht="15.75" customHeight="1" x14ac:dyDescent="0.25">
      <c r="A2937" s="25">
        <v>2935</v>
      </c>
      <c r="B2937" s="37" t="e">
        <f t="shared" ref="B2937:D2937" si="5911">VLOOKUP($A2937,[9]Hacienda!$A$1:$O$285,B$1,0)</f>
        <v>#N/A</v>
      </c>
      <c r="C2937" s="38" t="e">
        <f t="shared" si="5911"/>
        <v>#N/A</v>
      </c>
      <c r="D2937" s="39" t="e">
        <f t="shared" si="5911"/>
        <v>#N/A</v>
      </c>
      <c r="E2937" s="16" t="e">
        <f t="shared" si="1"/>
        <v>#N/A</v>
      </c>
      <c r="F2937" s="16" t="e">
        <f t="shared" ref="F2937:K2937" si="5912">VLOOKUP($A2937,[9]Hacienda!$A$1:$O$285,F$1,0)</f>
        <v>#N/A</v>
      </c>
      <c r="G2937" s="39" t="e">
        <f t="shared" si="5912"/>
        <v>#N/A</v>
      </c>
      <c r="H2937" s="16" t="e">
        <f t="shared" si="5912"/>
        <v>#N/A</v>
      </c>
      <c r="I2937" s="16" t="e">
        <f t="shared" si="5912"/>
        <v>#N/A</v>
      </c>
      <c r="J2937" s="40" t="e">
        <f t="shared" si="5912"/>
        <v>#N/A</v>
      </c>
      <c r="K2937" s="16" t="e">
        <f t="shared" si="5912"/>
        <v>#N/A</v>
      </c>
      <c r="L2937" s="40" t="e">
        <f t="shared" si="5441"/>
        <v>#N/A</v>
      </c>
      <c r="M2937" s="16" t="e">
        <f t="shared" si="5442"/>
        <v>#N/A</v>
      </c>
      <c r="N2937" s="16" t="e">
        <f t="shared" si="5443"/>
        <v>#N/A</v>
      </c>
      <c r="O2937" s="16" t="s">
        <v>73</v>
      </c>
      <c r="P2937" s="16" t="str">
        <f t="shared" si="6"/>
        <v/>
      </c>
      <c r="Q2937" s="41" t="e">
        <f t="shared" si="5444"/>
        <v>#N/A</v>
      </c>
      <c r="R2937" s="44"/>
      <c r="S2937" s="44"/>
      <c r="T2937" s="43"/>
      <c r="U2937" s="43" t="str">
        <f t="shared" si="8"/>
        <v>No</v>
      </c>
      <c r="V2937" s="25"/>
      <c r="W2937" s="25"/>
      <c r="X2937" s="25"/>
      <c r="Y2937" s="25"/>
      <c r="Z2937" s="25"/>
    </row>
    <row r="2938" spans="1:26" ht="15.75" customHeight="1" x14ac:dyDescent="0.25">
      <c r="A2938" s="25">
        <v>2936</v>
      </c>
      <c r="B2938" s="37" t="e">
        <f t="shared" ref="B2938:D2938" si="5913">VLOOKUP($A2938,[9]Hacienda!$A$1:$O$285,B$1,0)</f>
        <v>#N/A</v>
      </c>
      <c r="C2938" s="38" t="e">
        <f t="shared" si="5913"/>
        <v>#N/A</v>
      </c>
      <c r="D2938" s="39" t="e">
        <f t="shared" si="5913"/>
        <v>#N/A</v>
      </c>
      <c r="E2938" s="16" t="e">
        <f t="shared" si="1"/>
        <v>#N/A</v>
      </c>
      <c r="F2938" s="16" t="e">
        <f t="shared" ref="F2938:K2938" si="5914">VLOOKUP($A2938,[9]Hacienda!$A$1:$O$285,F$1,0)</f>
        <v>#N/A</v>
      </c>
      <c r="G2938" s="39" t="e">
        <f t="shared" si="5914"/>
        <v>#N/A</v>
      </c>
      <c r="H2938" s="16" t="e">
        <f t="shared" si="5914"/>
        <v>#N/A</v>
      </c>
      <c r="I2938" s="16" t="e">
        <f t="shared" si="5914"/>
        <v>#N/A</v>
      </c>
      <c r="J2938" s="40" t="e">
        <f t="shared" si="5914"/>
        <v>#N/A</v>
      </c>
      <c r="K2938" s="16" t="e">
        <f t="shared" si="5914"/>
        <v>#N/A</v>
      </c>
      <c r="L2938" s="40" t="e">
        <f t="shared" si="5441"/>
        <v>#N/A</v>
      </c>
      <c r="M2938" s="16" t="e">
        <f t="shared" si="5442"/>
        <v>#N/A</v>
      </c>
      <c r="N2938" s="16" t="e">
        <f t="shared" si="5443"/>
        <v>#N/A</v>
      </c>
      <c r="O2938" s="16" t="s">
        <v>73</v>
      </c>
      <c r="P2938" s="16" t="str">
        <f t="shared" si="6"/>
        <v/>
      </c>
      <c r="Q2938" s="41" t="e">
        <f t="shared" si="5444"/>
        <v>#N/A</v>
      </c>
      <c r="R2938" s="44"/>
      <c r="S2938" s="44"/>
      <c r="T2938" s="43"/>
      <c r="U2938" s="43" t="str">
        <f t="shared" si="8"/>
        <v>No</v>
      </c>
      <c r="V2938" s="25"/>
      <c r="W2938" s="25"/>
      <c r="X2938" s="25"/>
      <c r="Y2938" s="25"/>
      <c r="Z2938" s="25"/>
    </row>
    <row r="2939" spans="1:26" ht="15.75" customHeight="1" x14ac:dyDescent="0.25">
      <c r="A2939" s="25">
        <v>2937</v>
      </c>
      <c r="B2939" s="37" t="e">
        <f t="shared" ref="B2939:D2939" si="5915">VLOOKUP($A2939,[9]Hacienda!$A$1:$O$285,B$1,0)</f>
        <v>#N/A</v>
      </c>
      <c r="C2939" s="38" t="e">
        <f t="shared" si="5915"/>
        <v>#N/A</v>
      </c>
      <c r="D2939" s="39" t="e">
        <f t="shared" si="5915"/>
        <v>#N/A</v>
      </c>
      <c r="E2939" s="16" t="e">
        <f t="shared" si="1"/>
        <v>#N/A</v>
      </c>
      <c r="F2939" s="16" t="e">
        <f t="shared" ref="F2939:K2939" si="5916">VLOOKUP($A2939,[9]Hacienda!$A$1:$O$285,F$1,0)</f>
        <v>#N/A</v>
      </c>
      <c r="G2939" s="39" t="e">
        <f t="shared" si="5916"/>
        <v>#N/A</v>
      </c>
      <c r="H2939" s="16" t="e">
        <f t="shared" si="5916"/>
        <v>#N/A</v>
      </c>
      <c r="I2939" s="16" t="e">
        <f t="shared" si="5916"/>
        <v>#N/A</v>
      </c>
      <c r="J2939" s="40" t="e">
        <f t="shared" si="5916"/>
        <v>#N/A</v>
      </c>
      <c r="K2939" s="16" t="e">
        <f t="shared" si="5916"/>
        <v>#N/A</v>
      </c>
      <c r="L2939" s="40" t="e">
        <f t="shared" si="5441"/>
        <v>#N/A</v>
      </c>
      <c r="M2939" s="16" t="e">
        <f t="shared" si="5442"/>
        <v>#N/A</v>
      </c>
      <c r="N2939" s="16" t="e">
        <f t="shared" si="5443"/>
        <v>#N/A</v>
      </c>
      <c r="O2939" s="16" t="s">
        <v>73</v>
      </c>
      <c r="P2939" s="16" t="str">
        <f t="shared" si="6"/>
        <v/>
      </c>
      <c r="Q2939" s="41" t="e">
        <f t="shared" si="5444"/>
        <v>#N/A</v>
      </c>
      <c r="R2939" s="44"/>
      <c r="S2939" s="44"/>
      <c r="T2939" s="43"/>
      <c r="U2939" s="43" t="str">
        <f t="shared" si="8"/>
        <v>No</v>
      </c>
      <c r="V2939" s="25"/>
      <c r="W2939" s="25"/>
      <c r="X2939" s="25"/>
      <c r="Y2939" s="25"/>
      <c r="Z2939" s="25"/>
    </row>
    <row r="2940" spans="1:26" ht="15.75" customHeight="1" x14ac:dyDescent="0.25">
      <c r="A2940" s="25">
        <v>2938</v>
      </c>
      <c r="B2940" s="37" t="e">
        <f t="shared" ref="B2940:D2940" si="5917">VLOOKUP($A2940,[9]Hacienda!$A$1:$O$285,B$1,0)</f>
        <v>#N/A</v>
      </c>
      <c r="C2940" s="38" t="e">
        <f t="shared" si="5917"/>
        <v>#N/A</v>
      </c>
      <c r="D2940" s="39" t="e">
        <f t="shared" si="5917"/>
        <v>#N/A</v>
      </c>
      <c r="E2940" s="16" t="e">
        <f t="shared" si="1"/>
        <v>#N/A</v>
      </c>
      <c r="F2940" s="16" t="e">
        <f t="shared" ref="F2940:K2940" si="5918">VLOOKUP($A2940,[9]Hacienda!$A$1:$O$285,F$1,0)</f>
        <v>#N/A</v>
      </c>
      <c r="G2940" s="39" t="e">
        <f t="shared" si="5918"/>
        <v>#N/A</v>
      </c>
      <c r="H2940" s="16" t="e">
        <f t="shared" si="5918"/>
        <v>#N/A</v>
      </c>
      <c r="I2940" s="16" t="e">
        <f t="shared" si="5918"/>
        <v>#N/A</v>
      </c>
      <c r="J2940" s="40" t="e">
        <f t="shared" si="5918"/>
        <v>#N/A</v>
      </c>
      <c r="K2940" s="16" t="e">
        <f t="shared" si="5918"/>
        <v>#N/A</v>
      </c>
      <c r="L2940" s="40" t="e">
        <f t="shared" si="5441"/>
        <v>#N/A</v>
      </c>
      <c r="M2940" s="16" t="e">
        <f t="shared" si="5442"/>
        <v>#N/A</v>
      </c>
      <c r="N2940" s="16" t="e">
        <f t="shared" si="5443"/>
        <v>#N/A</v>
      </c>
      <c r="O2940" s="16" t="s">
        <v>73</v>
      </c>
      <c r="P2940" s="16" t="str">
        <f t="shared" si="6"/>
        <v/>
      </c>
      <c r="Q2940" s="41" t="e">
        <f t="shared" si="5444"/>
        <v>#N/A</v>
      </c>
      <c r="R2940" s="44"/>
      <c r="S2940" s="44"/>
      <c r="T2940" s="43"/>
      <c r="U2940" s="43" t="str">
        <f t="shared" si="8"/>
        <v>No</v>
      </c>
      <c r="V2940" s="25"/>
      <c r="W2940" s="25"/>
      <c r="X2940" s="25"/>
      <c r="Y2940" s="25"/>
      <c r="Z2940" s="25"/>
    </row>
    <row r="2941" spans="1:26" ht="15.75" customHeight="1" x14ac:dyDescent="0.25">
      <c r="A2941" s="25">
        <v>2939</v>
      </c>
      <c r="B2941" s="37" t="e">
        <f t="shared" ref="B2941:D2941" si="5919">VLOOKUP($A2941,[9]Hacienda!$A$1:$O$285,B$1,0)</f>
        <v>#N/A</v>
      </c>
      <c r="C2941" s="38" t="e">
        <f t="shared" si="5919"/>
        <v>#N/A</v>
      </c>
      <c r="D2941" s="39" t="e">
        <f t="shared" si="5919"/>
        <v>#N/A</v>
      </c>
      <c r="E2941" s="16" t="e">
        <f t="shared" si="1"/>
        <v>#N/A</v>
      </c>
      <c r="F2941" s="16" t="e">
        <f t="shared" ref="F2941:K2941" si="5920">VLOOKUP($A2941,[9]Hacienda!$A$1:$O$285,F$1,0)</f>
        <v>#N/A</v>
      </c>
      <c r="G2941" s="39" t="e">
        <f t="shared" si="5920"/>
        <v>#N/A</v>
      </c>
      <c r="H2941" s="16" t="e">
        <f t="shared" si="5920"/>
        <v>#N/A</v>
      </c>
      <c r="I2941" s="16" t="e">
        <f t="shared" si="5920"/>
        <v>#N/A</v>
      </c>
      <c r="J2941" s="40" t="e">
        <f t="shared" si="5920"/>
        <v>#N/A</v>
      </c>
      <c r="K2941" s="16" t="e">
        <f t="shared" si="5920"/>
        <v>#N/A</v>
      </c>
      <c r="L2941" s="40" t="e">
        <f t="shared" si="5441"/>
        <v>#N/A</v>
      </c>
      <c r="M2941" s="16" t="e">
        <f t="shared" si="5442"/>
        <v>#N/A</v>
      </c>
      <c r="N2941" s="16" t="e">
        <f t="shared" si="5443"/>
        <v>#N/A</v>
      </c>
      <c r="O2941" s="16" t="s">
        <v>73</v>
      </c>
      <c r="P2941" s="16" t="str">
        <f t="shared" si="6"/>
        <v/>
      </c>
      <c r="Q2941" s="41" t="e">
        <f t="shared" si="5444"/>
        <v>#N/A</v>
      </c>
      <c r="R2941" s="44"/>
      <c r="S2941" s="44"/>
      <c r="T2941" s="43"/>
      <c r="U2941" s="43" t="str">
        <f t="shared" si="8"/>
        <v>No</v>
      </c>
      <c r="V2941" s="25"/>
      <c r="W2941" s="25"/>
      <c r="X2941" s="25"/>
      <c r="Y2941" s="25"/>
      <c r="Z2941" s="25"/>
    </row>
    <row r="2942" spans="1:26" ht="15.75" customHeight="1" x14ac:dyDescent="0.25">
      <c r="A2942" s="25">
        <v>2940</v>
      </c>
      <c r="B2942" s="37" t="e">
        <f t="shared" ref="B2942:D2942" si="5921">VLOOKUP($A2942,[9]Hacienda!$A$1:$O$285,B$1,0)</f>
        <v>#N/A</v>
      </c>
      <c r="C2942" s="38" t="e">
        <f t="shared" si="5921"/>
        <v>#N/A</v>
      </c>
      <c r="D2942" s="39" t="e">
        <f t="shared" si="5921"/>
        <v>#N/A</v>
      </c>
      <c r="E2942" s="16" t="e">
        <f t="shared" si="1"/>
        <v>#N/A</v>
      </c>
      <c r="F2942" s="16" t="e">
        <f t="shared" ref="F2942:K2942" si="5922">VLOOKUP($A2942,[9]Hacienda!$A$1:$O$285,F$1,0)</f>
        <v>#N/A</v>
      </c>
      <c r="G2942" s="39" t="e">
        <f t="shared" si="5922"/>
        <v>#N/A</v>
      </c>
      <c r="H2942" s="16" t="e">
        <f t="shared" si="5922"/>
        <v>#N/A</v>
      </c>
      <c r="I2942" s="16" t="e">
        <f t="shared" si="5922"/>
        <v>#N/A</v>
      </c>
      <c r="J2942" s="40" t="e">
        <f t="shared" si="5922"/>
        <v>#N/A</v>
      </c>
      <c r="K2942" s="16" t="e">
        <f t="shared" si="5922"/>
        <v>#N/A</v>
      </c>
      <c r="L2942" s="40" t="e">
        <f t="shared" si="5441"/>
        <v>#N/A</v>
      </c>
      <c r="M2942" s="16" t="e">
        <f t="shared" si="5442"/>
        <v>#N/A</v>
      </c>
      <c r="N2942" s="16" t="e">
        <f t="shared" si="5443"/>
        <v>#N/A</v>
      </c>
      <c r="O2942" s="16" t="s">
        <v>73</v>
      </c>
      <c r="P2942" s="16" t="str">
        <f t="shared" si="6"/>
        <v/>
      </c>
      <c r="Q2942" s="41" t="e">
        <f t="shared" si="5444"/>
        <v>#N/A</v>
      </c>
      <c r="R2942" s="44"/>
      <c r="S2942" s="44"/>
      <c r="T2942" s="43"/>
      <c r="U2942" s="43" t="str">
        <f t="shared" si="8"/>
        <v>No</v>
      </c>
      <c r="V2942" s="25"/>
      <c r="W2942" s="25"/>
      <c r="X2942" s="25"/>
      <c r="Y2942" s="25"/>
      <c r="Z2942" s="25"/>
    </row>
    <row r="2943" spans="1:26" ht="15.75" customHeight="1" x14ac:dyDescent="0.25">
      <c r="A2943" s="25">
        <v>2941</v>
      </c>
      <c r="B2943" s="37" t="e">
        <f t="shared" ref="B2943:D2943" si="5923">VLOOKUP($A2943,[9]Hacienda!$A$1:$O$285,B$1,0)</f>
        <v>#N/A</v>
      </c>
      <c r="C2943" s="38" t="e">
        <f t="shared" si="5923"/>
        <v>#N/A</v>
      </c>
      <c r="D2943" s="39" t="e">
        <f t="shared" si="5923"/>
        <v>#N/A</v>
      </c>
      <c r="E2943" s="16" t="e">
        <f t="shared" si="1"/>
        <v>#N/A</v>
      </c>
      <c r="F2943" s="16" t="e">
        <f t="shared" ref="F2943:K2943" si="5924">VLOOKUP($A2943,[9]Hacienda!$A$1:$O$285,F$1,0)</f>
        <v>#N/A</v>
      </c>
      <c r="G2943" s="39" t="e">
        <f t="shared" si="5924"/>
        <v>#N/A</v>
      </c>
      <c r="H2943" s="16" t="e">
        <f t="shared" si="5924"/>
        <v>#N/A</v>
      </c>
      <c r="I2943" s="16" t="e">
        <f t="shared" si="5924"/>
        <v>#N/A</v>
      </c>
      <c r="J2943" s="40" t="e">
        <f t="shared" si="5924"/>
        <v>#N/A</v>
      </c>
      <c r="K2943" s="16" t="e">
        <f t="shared" si="5924"/>
        <v>#N/A</v>
      </c>
      <c r="L2943" s="40" t="e">
        <f t="shared" si="5441"/>
        <v>#N/A</v>
      </c>
      <c r="M2943" s="16" t="e">
        <f t="shared" si="5442"/>
        <v>#N/A</v>
      </c>
      <c r="N2943" s="16" t="e">
        <f t="shared" si="5443"/>
        <v>#N/A</v>
      </c>
      <c r="O2943" s="16" t="s">
        <v>73</v>
      </c>
      <c r="P2943" s="16" t="str">
        <f t="shared" si="6"/>
        <v/>
      </c>
      <c r="Q2943" s="41" t="e">
        <f t="shared" si="5444"/>
        <v>#N/A</v>
      </c>
      <c r="R2943" s="44"/>
      <c r="S2943" s="44"/>
      <c r="T2943" s="43"/>
      <c r="U2943" s="43" t="str">
        <f t="shared" si="8"/>
        <v>No</v>
      </c>
      <c r="V2943" s="25"/>
      <c r="W2943" s="25"/>
      <c r="X2943" s="25"/>
      <c r="Y2943" s="25"/>
      <c r="Z2943" s="25"/>
    </row>
    <row r="2944" spans="1:26" ht="15.75" customHeight="1" x14ac:dyDescent="0.25">
      <c r="A2944" s="25">
        <v>2942</v>
      </c>
      <c r="B2944" s="37" t="e">
        <f t="shared" ref="B2944:D2944" si="5925">VLOOKUP($A2944,[9]Hacienda!$A$1:$O$285,B$1,0)</f>
        <v>#N/A</v>
      </c>
      <c r="C2944" s="38" t="e">
        <f t="shared" si="5925"/>
        <v>#N/A</v>
      </c>
      <c r="D2944" s="39" t="e">
        <f t="shared" si="5925"/>
        <v>#N/A</v>
      </c>
      <c r="E2944" s="16" t="e">
        <f t="shared" si="1"/>
        <v>#N/A</v>
      </c>
      <c r="F2944" s="16" t="e">
        <f t="shared" ref="F2944:K2944" si="5926">VLOOKUP($A2944,[9]Hacienda!$A$1:$O$285,F$1,0)</f>
        <v>#N/A</v>
      </c>
      <c r="G2944" s="39" t="e">
        <f t="shared" si="5926"/>
        <v>#N/A</v>
      </c>
      <c r="H2944" s="16" t="e">
        <f t="shared" si="5926"/>
        <v>#N/A</v>
      </c>
      <c r="I2944" s="16" t="e">
        <f t="shared" si="5926"/>
        <v>#N/A</v>
      </c>
      <c r="J2944" s="40" t="e">
        <f t="shared" si="5926"/>
        <v>#N/A</v>
      </c>
      <c r="K2944" s="16" t="e">
        <f t="shared" si="5926"/>
        <v>#N/A</v>
      </c>
      <c r="L2944" s="40" t="e">
        <f t="shared" si="5441"/>
        <v>#N/A</v>
      </c>
      <c r="M2944" s="16" t="e">
        <f t="shared" si="5442"/>
        <v>#N/A</v>
      </c>
      <c r="N2944" s="16" t="e">
        <f t="shared" si="5443"/>
        <v>#N/A</v>
      </c>
      <c r="O2944" s="16" t="s">
        <v>73</v>
      </c>
      <c r="P2944" s="16" t="str">
        <f t="shared" si="6"/>
        <v/>
      </c>
      <c r="Q2944" s="41" t="e">
        <f t="shared" si="5444"/>
        <v>#N/A</v>
      </c>
      <c r="R2944" s="44"/>
      <c r="S2944" s="44"/>
      <c r="T2944" s="43"/>
      <c r="U2944" s="43" t="str">
        <f t="shared" si="8"/>
        <v>No</v>
      </c>
      <c r="V2944" s="25"/>
      <c r="W2944" s="25"/>
      <c r="X2944" s="25"/>
      <c r="Y2944" s="25"/>
      <c r="Z2944" s="25"/>
    </row>
    <row r="2945" spans="1:26" ht="15.75" customHeight="1" x14ac:dyDescent="0.25">
      <c r="A2945" s="25">
        <v>2943</v>
      </c>
      <c r="B2945" s="37" t="e">
        <f t="shared" ref="B2945:D2945" si="5927">VLOOKUP($A2945,[9]Hacienda!$A$1:$O$285,B$1,0)</f>
        <v>#N/A</v>
      </c>
      <c r="C2945" s="38" t="e">
        <f t="shared" si="5927"/>
        <v>#N/A</v>
      </c>
      <c r="D2945" s="39" t="e">
        <f t="shared" si="5927"/>
        <v>#N/A</v>
      </c>
      <c r="E2945" s="16" t="e">
        <f t="shared" si="1"/>
        <v>#N/A</v>
      </c>
      <c r="F2945" s="16" t="e">
        <f t="shared" ref="F2945:K2945" si="5928">VLOOKUP($A2945,[9]Hacienda!$A$1:$O$285,F$1,0)</f>
        <v>#N/A</v>
      </c>
      <c r="G2945" s="39" t="e">
        <f t="shared" si="5928"/>
        <v>#N/A</v>
      </c>
      <c r="H2945" s="16" t="e">
        <f t="shared" si="5928"/>
        <v>#N/A</v>
      </c>
      <c r="I2945" s="16" t="e">
        <f t="shared" si="5928"/>
        <v>#N/A</v>
      </c>
      <c r="J2945" s="40" t="e">
        <f t="shared" si="5928"/>
        <v>#N/A</v>
      </c>
      <c r="K2945" s="16" t="e">
        <f t="shared" si="5928"/>
        <v>#N/A</v>
      </c>
      <c r="L2945" s="40" t="e">
        <f t="shared" si="5441"/>
        <v>#N/A</v>
      </c>
      <c r="M2945" s="16" t="e">
        <f t="shared" si="5442"/>
        <v>#N/A</v>
      </c>
      <c r="N2945" s="16" t="e">
        <f t="shared" si="5443"/>
        <v>#N/A</v>
      </c>
      <c r="O2945" s="16" t="s">
        <v>73</v>
      </c>
      <c r="P2945" s="16" t="str">
        <f t="shared" si="6"/>
        <v/>
      </c>
      <c r="Q2945" s="41" t="e">
        <f t="shared" si="5444"/>
        <v>#N/A</v>
      </c>
      <c r="R2945" s="44"/>
      <c r="S2945" s="44"/>
      <c r="T2945" s="43"/>
      <c r="U2945" s="43" t="str">
        <f t="shared" si="8"/>
        <v>No</v>
      </c>
      <c r="V2945" s="25"/>
      <c r="W2945" s="25"/>
      <c r="X2945" s="25"/>
      <c r="Y2945" s="25"/>
      <c r="Z2945" s="25"/>
    </row>
    <row r="2946" spans="1:26" ht="15.75" customHeight="1" x14ac:dyDescent="0.25">
      <c r="A2946" s="25">
        <v>2944</v>
      </c>
      <c r="B2946" s="37" t="e">
        <f t="shared" ref="B2946:D2946" si="5929">VLOOKUP($A2946,[9]Hacienda!$A$1:$O$285,B$1,0)</f>
        <v>#N/A</v>
      </c>
      <c r="C2946" s="38" t="e">
        <f t="shared" si="5929"/>
        <v>#N/A</v>
      </c>
      <c r="D2946" s="39" t="e">
        <f t="shared" si="5929"/>
        <v>#N/A</v>
      </c>
      <c r="E2946" s="16" t="e">
        <f t="shared" si="1"/>
        <v>#N/A</v>
      </c>
      <c r="F2946" s="16" t="e">
        <f t="shared" ref="F2946:K2946" si="5930">VLOOKUP($A2946,[9]Hacienda!$A$1:$O$285,F$1,0)</f>
        <v>#N/A</v>
      </c>
      <c r="G2946" s="39" t="e">
        <f t="shared" si="5930"/>
        <v>#N/A</v>
      </c>
      <c r="H2946" s="16" t="e">
        <f t="shared" si="5930"/>
        <v>#N/A</v>
      </c>
      <c r="I2946" s="16" t="e">
        <f t="shared" si="5930"/>
        <v>#N/A</v>
      </c>
      <c r="J2946" s="40" t="e">
        <f t="shared" si="5930"/>
        <v>#N/A</v>
      </c>
      <c r="K2946" s="16" t="e">
        <f t="shared" si="5930"/>
        <v>#N/A</v>
      </c>
      <c r="L2946" s="40" t="e">
        <f t="shared" si="5441"/>
        <v>#N/A</v>
      </c>
      <c r="M2946" s="16" t="e">
        <f t="shared" si="5442"/>
        <v>#N/A</v>
      </c>
      <c r="N2946" s="16" t="e">
        <f t="shared" si="5443"/>
        <v>#N/A</v>
      </c>
      <c r="O2946" s="16" t="s">
        <v>73</v>
      </c>
      <c r="P2946" s="16" t="str">
        <f t="shared" si="6"/>
        <v/>
      </c>
      <c r="Q2946" s="41" t="e">
        <f t="shared" si="5444"/>
        <v>#N/A</v>
      </c>
      <c r="R2946" s="44"/>
      <c r="S2946" s="44"/>
      <c r="T2946" s="43"/>
      <c r="U2946" s="43" t="str">
        <f t="shared" si="8"/>
        <v>No</v>
      </c>
      <c r="V2946" s="25"/>
      <c r="W2946" s="25"/>
      <c r="X2946" s="25"/>
      <c r="Y2946" s="25"/>
      <c r="Z2946" s="25"/>
    </row>
    <row r="2947" spans="1:26" ht="15.75" customHeight="1" x14ac:dyDescent="0.25">
      <c r="A2947" s="25">
        <v>2945</v>
      </c>
      <c r="B2947" s="37" t="e">
        <f t="shared" ref="B2947:D2947" si="5931">VLOOKUP($A2947,[9]Hacienda!$A$1:$O$285,B$1,0)</f>
        <v>#N/A</v>
      </c>
      <c r="C2947" s="38" t="e">
        <f t="shared" si="5931"/>
        <v>#N/A</v>
      </c>
      <c r="D2947" s="39" t="e">
        <f t="shared" si="5931"/>
        <v>#N/A</v>
      </c>
      <c r="E2947" s="16" t="e">
        <f t="shared" si="1"/>
        <v>#N/A</v>
      </c>
      <c r="F2947" s="16" t="e">
        <f t="shared" ref="F2947:K2947" si="5932">VLOOKUP($A2947,[9]Hacienda!$A$1:$O$285,F$1,0)</f>
        <v>#N/A</v>
      </c>
      <c r="G2947" s="39" t="e">
        <f t="shared" si="5932"/>
        <v>#N/A</v>
      </c>
      <c r="H2947" s="16" t="e">
        <f t="shared" si="5932"/>
        <v>#N/A</v>
      </c>
      <c r="I2947" s="16" t="e">
        <f t="shared" si="5932"/>
        <v>#N/A</v>
      </c>
      <c r="J2947" s="40" t="e">
        <f t="shared" si="5932"/>
        <v>#N/A</v>
      </c>
      <c r="K2947" s="16" t="e">
        <f t="shared" si="5932"/>
        <v>#N/A</v>
      </c>
      <c r="L2947" s="40" t="e">
        <f t="shared" si="5441"/>
        <v>#N/A</v>
      </c>
      <c r="M2947" s="16" t="e">
        <f t="shared" si="5442"/>
        <v>#N/A</v>
      </c>
      <c r="N2947" s="16" t="e">
        <f t="shared" si="5443"/>
        <v>#N/A</v>
      </c>
      <c r="O2947" s="16" t="s">
        <v>73</v>
      </c>
      <c r="P2947" s="16" t="str">
        <f t="shared" si="6"/>
        <v/>
      </c>
      <c r="Q2947" s="41" t="e">
        <f t="shared" si="5444"/>
        <v>#N/A</v>
      </c>
      <c r="R2947" s="44"/>
      <c r="S2947" s="44"/>
      <c r="T2947" s="43"/>
      <c r="U2947" s="43" t="str">
        <f t="shared" si="8"/>
        <v>No</v>
      </c>
      <c r="V2947" s="25"/>
      <c r="W2947" s="25"/>
      <c r="X2947" s="25"/>
      <c r="Y2947" s="25"/>
      <c r="Z2947" s="25"/>
    </row>
    <row r="2948" spans="1:26" ht="15.75" customHeight="1" x14ac:dyDescent="0.25">
      <c r="A2948" s="25">
        <v>2946</v>
      </c>
      <c r="B2948" s="37" t="e">
        <f t="shared" ref="B2948:D2948" si="5933">VLOOKUP($A2948,[9]Hacienda!$A$1:$O$285,B$1,0)</f>
        <v>#N/A</v>
      </c>
      <c r="C2948" s="38" t="e">
        <f t="shared" si="5933"/>
        <v>#N/A</v>
      </c>
      <c r="D2948" s="39" t="e">
        <f t="shared" si="5933"/>
        <v>#N/A</v>
      </c>
      <c r="E2948" s="16" t="e">
        <f t="shared" si="1"/>
        <v>#N/A</v>
      </c>
      <c r="F2948" s="16" t="e">
        <f t="shared" ref="F2948:K2948" si="5934">VLOOKUP($A2948,[9]Hacienda!$A$1:$O$285,F$1,0)</f>
        <v>#N/A</v>
      </c>
      <c r="G2948" s="39" t="e">
        <f t="shared" si="5934"/>
        <v>#N/A</v>
      </c>
      <c r="H2948" s="16" t="e">
        <f t="shared" si="5934"/>
        <v>#N/A</v>
      </c>
      <c r="I2948" s="16" t="e">
        <f t="shared" si="5934"/>
        <v>#N/A</v>
      </c>
      <c r="J2948" s="40" t="e">
        <f t="shared" si="5934"/>
        <v>#N/A</v>
      </c>
      <c r="K2948" s="16" t="e">
        <f t="shared" si="5934"/>
        <v>#N/A</v>
      </c>
      <c r="L2948" s="40" t="e">
        <f t="shared" si="5441"/>
        <v>#N/A</v>
      </c>
      <c r="M2948" s="16" t="e">
        <f t="shared" si="5442"/>
        <v>#N/A</v>
      </c>
      <c r="N2948" s="16" t="e">
        <f t="shared" si="5443"/>
        <v>#N/A</v>
      </c>
      <c r="O2948" s="16" t="s">
        <v>73</v>
      </c>
      <c r="P2948" s="16" t="str">
        <f t="shared" si="6"/>
        <v/>
      </c>
      <c r="Q2948" s="41" t="e">
        <f t="shared" si="5444"/>
        <v>#N/A</v>
      </c>
      <c r="R2948" s="44"/>
      <c r="S2948" s="44"/>
      <c r="T2948" s="43"/>
      <c r="U2948" s="43" t="str">
        <f t="shared" si="8"/>
        <v>No</v>
      </c>
      <c r="V2948" s="25"/>
      <c r="W2948" s="25"/>
      <c r="X2948" s="25"/>
      <c r="Y2948" s="25"/>
      <c r="Z2948" s="25"/>
    </row>
    <row r="2949" spans="1:26" ht="15.75" customHeight="1" x14ac:dyDescent="0.25">
      <c r="A2949" s="25">
        <v>2947</v>
      </c>
      <c r="B2949" s="37" t="e">
        <f t="shared" ref="B2949:D2949" si="5935">VLOOKUP($A2949,[9]Hacienda!$A$1:$O$285,B$1,0)</f>
        <v>#N/A</v>
      </c>
      <c r="C2949" s="38" t="e">
        <f t="shared" si="5935"/>
        <v>#N/A</v>
      </c>
      <c r="D2949" s="39" t="e">
        <f t="shared" si="5935"/>
        <v>#N/A</v>
      </c>
      <c r="E2949" s="16" t="e">
        <f t="shared" si="1"/>
        <v>#N/A</v>
      </c>
      <c r="F2949" s="16" t="e">
        <f t="shared" ref="F2949:K2949" si="5936">VLOOKUP($A2949,[9]Hacienda!$A$1:$O$285,F$1,0)</f>
        <v>#N/A</v>
      </c>
      <c r="G2949" s="39" t="e">
        <f t="shared" si="5936"/>
        <v>#N/A</v>
      </c>
      <c r="H2949" s="16" t="e">
        <f t="shared" si="5936"/>
        <v>#N/A</v>
      </c>
      <c r="I2949" s="16" t="e">
        <f t="shared" si="5936"/>
        <v>#N/A</v>
      </c>
      <c r="J2949" s="40" t="e">
        <f t="shared" si="5936"/>
        <v>#N/A</v>
      </c>
      <c r="K2949" s="16" t="e">
        <f t="shared" si="5936"/>
        <v>#N/A</v>
      </c>
      <c r="L2949" s="40" t="e">
        <f t="shared" si="5441"/>
        <v>#N/A</v>
      </c>
      <c r="M2949" s="16" t="e">
        <f t="shared" si="5442"/>
        <v>#N/A</v>
      </c>
      <c r="N2949" s="16" t="e">
        <f t="shared" si="5443"/>
        <v>#N/A</v>
      </c>
      <c r="O2949" s="16" t="s">
        <v>73</v>
      </c>
      <c r="P2949" s="16" t="str">
        <f t="shared" si="6"/>
        <v/>
      </c>
      <c r="Q2949" s="41" t="e">
        <f t="shared" si="5444"/>
        <v>#N/A</v>
      </c>
      <c r="R2949" s="44"/>
      <c r="S2949" s="44"/>
      <c r="T2949" s="43"/>
      <c r="U2949" s="43" t="str">
        <f t="shared" si="8"/>
        <v>No</v>
      </c>
      <c r="V2949" s="25"/>
      <c r="W2949" s="25"/>
      <c r="X2949" s="25"/>
      <c r="Y2949" s="25"/>
      <c r="Z2949" s="25"/>
    </row>
    <row r="2950" spans="1:26" ht="15.75" customHeight="1" x14ac:dyDescent="0.25">
      <c r="A2950" s="25">
        <v>2948</v>
      </c>
      <c r="B2950" s="37" t="e">
        <f t="shared" ref="B2950:D2950" si="5937">VLOOKUP($A2950,[9]Hacienda!$A$1:$O$285,B$1,0)</f>
        <v>#N/A</v>
      </c>
      <c r="C2950" s="38" t="e">
        <f t="shared" si="5937"/>
        <v>#N/A</v>
      </c>
      <c r="D2950" s="39" t="e">
        <f t="shared" si="5937"/>
        <v>#N/A</v>
      </c>
      <c r="E2950" s="16" t="e">
        <f t="shared" si="1"/>
        <v>#N/A</v>
      </c>
      <c r="F2950" s="16" t="e">
        <f t="shared" ref="F2950:K2950" si="5938">VLOOKUP($A2950,[9]Hacienda!$A$1:$O$285,F$1,0)</f>
        <v>#N/A</v>
      </c>
      <c r="G2950" s="39" t="e">
        <f t="shared" si="5938"/>
        <v>#N/A</v>
      </c>
      <c r="H2950" s="16" t="e">
        <f t="shared" si="5938"/>
        <v>#N/A</v>
      </c>
      <c r="I2950" s="16" t="e">
        <f t="shared" si="5938"/>
        <v>#N/A</v>
      </c>
      <c r="J2950" s="40" t="e">
        <f t="shared" si="5938"/>
        <v>#N/A</v>
      </c>
      <c r="K2950" s="16" t="e">
        <f t="shared" si="5938"/>
        <v>#N/A</v>
      </c>
      <c r="L2950" s="40" t="e">
        <f t="shared" si="5441"/>
        <v>#N/A</v>
      </c>
      <c r="M2950" s="16" t="e">
        <f t="shared" si="5442"/>
        <v>#N/A</v>
      </c>
      <c r="N2950" s="16" t="e">
        <f t="shared" si="5443"/>
        <v>#N/A</v>
      </c>
      <c r="O2950" s="16" t="s">
        <v>73</v>
      </c>
      <c r="P2950" s="16" t="str">
        <f t="shared" si="6"/>
        <v/>
      </c>
      <c r="Q2950" s="41" t="e">
        <f t="shared" si="5444"/>
        <v>#N/A</v>
      </c>
      <c r="R2950" s="44"/>
      <c r="S2950" s="44"/>
      <c r="T2950" s="43"/>
      <c r="U2950" s="43" t="str">
        <f t="shared" si="8"/>
        <v>No</v>
      </c>
      <c r="V2950" s="25"/>
      <c r="W2950" s="25"/>
      <c r="X2950" s="25"/>
      <c r="Y2950" s="25"/>
      <c r="Z2950" s="25"/>
    </row>
    <row r="2951" spans="1:26" ht="15.75" customHeight="1" x14ac:dyDescent="0.25">
      <c r="A2951" s="25">
        <v>2949</v>
      </c>
      <c r="B2951" s="37" t="e">
        <f t="shared" ref="B2951:D2951" si="5939">VLOOKUP($A2951,[9]Hacienda!$A$1:$O$285,B$1,0)</f>
        <v>#N/A</v>
      </c>
      <c r="C2951" s="38" t="e">
        <f t="shared" si="5939"/>
        <v>#N/A</v>
      </c>
      <c r="D2951" s="39" t="e">
        <f t="shared" si="5939"/>
        <v>#N/A</v>
      </c>
      <c r="E2951" s="16" t="e">
        <f t="shared" si="1"/>
        <v>#N/A</v>
      </c>
      <c r="F2951" s="16" t="e">
        <f t="shared" ref="F2951:K2951" si="5940">VLOOKUP($A2951,[9]Hacienda!$A$1:$O$285,F$1,0)</f>
        <v>#N/A</v>
      </c>
      <c r="G2951" s="39" t="e">
        <f t="shared" si="5940"/>
        <v>#N/A</v>
      </c>
      <c r="H2951" s="16" t="e">
        <f t="shared" si="5940"/>
        <v>#N/A</v>
      </c>
      <c r="I2951" s="16" t="e">
        <f t="shared" si="5940"/>
        <v>#N/A</v>
      </c>
      <c r="J2951" s="40" t="e">
        <f t="shared" si="5940"/>
        <v>#N/A</v>
      </c>
      <c r="K2951" s="16" t="e">
        <f t="shared" si="5940"/>
        <v>#N/A</v>
      </c>
      <c r="L2951" s="40" t="e">
        <f t="shared" si="5441"/>
        <v>#N/A</v>
      </c>
      <c r="M2951" s="16" t="e">
        <f t="shared" si="5442"/>
        <v>#N/A</v>
      </c>
      <c r="N2951" s="16" t="e">
        <f t="shared" si="5443"/>
        <v>#N/A</v>
      </c>
      <c r="O2951" s="16" t="s">
        <v>73</v>
      </c>
      <c r="P2951" s="16" t="str">
        <f t="shared" si="6"/>
        <v/>
      </c>
      <c r="Q2951" s="41" t="e">
        <f t="shared" si="5444"/>
        <v>#N/A</v>
      </c>
      <c r="R2951" s="44"/>
      <c r="S2951" s="44"/>
      <c r="T2951" s="43"/>
      <c r="U2951" s="43" t="str">
        <f t="shared" si="8"/>
        <v>No</v>
      </c>
      <c r="V2951" s="25"/>
      <c r="W2951" s="25"/>
      <c r="X2951" s="25"/>
      <c r="Y2951" s="25"/>
      <c r="Z2951" s="25"/>
    </row>
    <row r="2952" spans="1:26" ht="15.75" customHeight="1" x14ac:dyDescent="0.25">
      <c r="A2952" s="25">
        <v>2950</v>
      </c>
      <c r="B2952" s="37" t="e">
        <f t="shared" ref="B2952:D2952" si="5941">VLOOKUP($A2952,[9]Hacienda!$A$1:$O$285,B$1,0)</f>
        <v>#N/A</v>
      </c>
      <c r="C2952" s="38" t="e">
        <f t="shared" si="5941"/>
        <v>#N/A</v>
      </c>
      <c r="D2952" s="39" t="e">
        <f t="shared" si="5941"/>
        <v>#N/A</v>
      </c>
      <c r="E2952" s="16" t="e">
        <f t="shared" si="1"/>
        <v>#N/A</v>
      </c>
      <c r="F2952" s="16" t="e">
        <f t="shared" ref="F2952:K2952" si="5942">VLOOKUP($A2952,[9]Hacienda!$A$1:$O$285,F$1,0)</f>
        <v>#N/A</v>
      </c>
      <c r="G2952" s="39" t="e">
        <f t="shared" si="5942"/>
        <v>#N/A</v>
      </c>
      <c r="H2952" s="16" t="e">
        <f t="shared" si="5942"/>
        <v>#N/A</v>
      </c>
      <c r="I2952" s="16" t="e">
        <f t="shared" si="5942"/>
        <v>#N/A</v>
      </c>
      <c r="J2952" s="40" t="e">
        <f t="shared" si="5942"/>
        <v>#N/A</v>
      </c>
      <c r="K2952" s="16" t="e">
        <f t="shared" si="5942"/>
        <v>#N/A</v>
      </c>
      <c r="L2952" s="40" t="e">
        <f t="shared" si="5441"/>
        <v>#N/A</v>
      </c>
      <c r="M2952" s="16" t="e">
        <f t="shared" si="5442"/>
        <v>#N/A</v>
      </c>
      <c r="N2952" s="16" t="e">
        <f t="shared" si="5443"/>
        <v>#N/A</v>
      </c>
      <c r="O2952" s="16" t="s">
        <v>73</v>
      </c>
      <c r="P2952" s="16" t="str">
        <f t="shared" si="6"/>
        <v/>
      </c>
      <c r="Q2952" s="41" t="e">
        <f t="shared" si="5444"/>
        <v>#N/A</v>
      </c>
      <c r="R2952" s="44"/>
      <c r="S2952" s="44"/>
      <c r="T2952" s="43"/>
      <c r="U2952" s="43" t="str">
        <f t="shared" si="8"/>
        <v>No</v>
      </c>
      <c r="V2952" s="25"/>
      <c r="W2952" s="25"/>
      <c r="X2952" s="25"/>
      <c r="Y2952" s="25"/>
      <c r="Z2952" s="25"/>
    </row>
    <row r="2953" spans="1:26" ht="15.75" customHeight="1" x14ac:dyDescent="0.25">
      <c r="A2953" s="25">
        <v>2951</v>
      </c>
      <c r="B2953" s="37" t="e">
        <f t="shared" ref="B2953:D2953" si="5943">VLOOKUP($A2953,[9]Hacienda!$A$1:$O$285,B$1,0)</f>
        <v>#N/A</v>
      </c>
      <c r="C2953" s="38" t="e">
        <f t="shared" si="5943"/>
        <v>#N/A</v>
      </c>
      <c r="D2953" s="39" t="e">
        <f t="shared" si="5943"/>
        <v>#N/A</v>
      </c>
      <c r="E2953" s="16" t="e">
        <f t="shared" si="1"/>
        <v>#N/A</v>
      </c>
      <c r="F2953" s="16" t="e">
        <f t="shared" ref="F2953:K2953" si="5944">VLOOKUP($A2953,[9]Hacienda!$A$1:$O$285,F$1,0)</f>
        <v>#N/A</v>
      </c>
      <c r="G2953" s="39" t="e">
        <f t="shared" si="5944"/>
        <v>#N/A</v>
      </c>
      <c r="H2953" s="16" t="e">
        <f t="shared" si="5944"/>
        <v>#N/A</v>
      </c>
      <c r="I2953" s="16" t="e">
        <f t="shared" si="5944"/>
        <v>#N/A</v>
      </c>
      <c r="J2953" s="40" t="e">
        <f t="shared" si="5944"/>
        <v>#N/A</v>
      </c>
      <c r="K2953" s="16" t="e">
        <f t="shared" si="5944"/>
        <v>#N/A</v>
      </c>
      <c r="L2953" s="40" t="e">
        <f t="shared" si="5441"/>
        <v>#N/A</v>
      </c>
      <c r="M2953" s="16" t="e">
        <f t="shared" si="5442"/>
        <v>#N/A</v>
      </c>
      <c r="N2953" s="16" t="e">
        <f t="shared" si="5443"/>
        <v>#N/A</v>
      </c>
      <c r="O2953" s="16" t="s">
        <v>73</v>
      </c>
      <c r="P2953" s="16" t="str">
        <f t="shared" si="6"/>
        <v/>
      </c>
      <c r="Q2953" s="41" t="e">
        <f t="shared" si="5444"/>
        <v>#N/A</v>
      </c>
      <c r="R2953" s="44"/>
      <c r="S2953" s="44"/>
      <c r="T2953" s="43"/>
      <c r="U2953" s="43" t="str">
        <f t="shared" si="8"/>
        <v>No</v>
      </c>
      <c r="V2953" s="25"/>
      <c r="W2953" s="25"/>
      <c r="X2953" s="25"/>
      <c r="Y2953" s="25"/>
      <c r="Z2953" s="25"/>
    </row>
    <row r="2954" spans="1:26" ht="15.75" customHeight="1" x14ac:dyDescent="0.25">
      <c r="A2954" s="25">
        <v>2952</v>
      </c>
      <c r="B2954" s="37" t="e">
        <f t="shared" ref="B2954:D2954" si="5945">VLOOKUP($A2954,[9]Hacienda!$A$1:$O$285,B$1,0)</f>
        <v>#N/A</v>
      </c>
      <c r="C2954" s="38" t="e">
        <f t="shared" si="5945"/>
        <v>#N/A</v>
      </c>
      <c r="D2954" s="39" t="e">
        <f t="shared" si="5945"/>
        <v>#N/A</v>
      </c>
      <c r="E2954" s="16" t="e">
        <f t="shared" si="1"/>
        <v>#N/A</v>
      </c>
      <c r="F2954" s="16" t="e">
        <f t="shared" ref="F2954:K2954" si="5946">VLOOKUP($A2954,[9]Hacienda!$A$1:$O$285,F$1,0)</f>
        <v>#N/A</v>
      </c>
      <c r="G2954" s="39" t="e">
        <f t="shared" si="5946"/>
        <v>#N/A</v>
      </c>
      <c r="H2954" s="16" t="e">
        <f t="shared" si="5946"/>
        <v>#N/A</v>
      </c>
      <c r="I2954" s="16" t="e">
        <f t="shared" si="5946"/>
        <v>#N/A</v>
      </c>
      <c r="J2954" s="40" t="e">
        <f t="shared" si="5946"/>
        <v>#N/A</v>
      </c>
      <c r="K2954" s="16" t="e">
        <f t="shared" si="5946"/>
        <v>#N/A</v>
      </c>
      <c r="L2954" s="40" t="e">
        <f t="shared" si="5441"/>
        <v>#N/A</v>
      </c>
      <c r="M2954" s="16" t="e">
        <f t="shared" si="5442"/>
        <v>#N/A</v>
      </c>
      <c r="N2954" s="16" t="e">
        <f t="shared" si="5443"/>
        <v>#N/A</v>
      </c>
      <c r="O2954" s="16" t="s">
        <v>73</v>
      </c>
      <c r="P2954" s="16" t="str">
        <f t="shared" si="6"/>
        <v/>
      </c>
      <c r="Q2954" s="41" t="e">
        <f t="shared" si="5444"/>
        <v>#N/A</v>
      </c>
      <c r="R2954" s="44"/>
      <c r="S2954" s="44"/>
      <c r="T2954" s="43"/>
      <c r="U2954" s="43" t="str">
        <f t="shared" si="8"/>
        <v>No</v>
      </c>
      <c r="V2954" s="25"/>
      <c r="W2954" s="25"/>
      <c r="X2954" s="25"/>
      <c r="Y2954" s="25"/>
      <c r="Z2954" s="25"/>
    </row>
    <row r="2955" spans="1:26" ht="15.75" customHeight="1" x14ac:dyDescent="0.25">
      <c r="A2955" s="25">
        <v>2953</v>
      </c>
      <c r="B2955" s="37" t="e">
        <f t="shared" ref="B2955:D2955" si="5947">VLOOKUP($A2955,[9]Hacienda!$A$1:$O$285,B$1,0)</f>
        <v>#N/A</v>
      </c>
      <c r="C2955" s="38" t="e">
        <f t="shared" si="5947"/>
        <v>#N/A</v>
      </c>
      <c r="D2955" s="39" t="e">
        <f t="shared" si="5947"/>
        <v>#N/A</v>
      </c>
      <c r="E2955" s="16" t="e">
        <f t="shared" si="1"/>
        <v>#N/A</v>
      </c>
      <c r="F2955" s="16" t="e">
        <f t="shared" ref="F2955:K2955" si="5948">VLOOKUP($A2955,[9]Hacienda!$A$1:$O$285,F$1,0)</f>
        <v>#N/A</v>
      </c>
      <c r="G2955" s="39" t="e">
        <f t="shared" si="5948"/>
        <v>#N/A</v>
      </c>
      <c r="H2955" s="16" t="e">
        <f t="shared" si="5948"/>
        <v>#N/A</v>
      </c>
      <c r="I2955" s="16" t="e">
        <f t="shared" si="5948"/>
        <v>#N/A</v>
      </c>
      <c r="J2955" s="40" t="e">
        <f t="shared" si="5948"/>
        <v>#N/A</v>
      </c>
      <c r="K2955" s="16" t="e">
        <f t="shared" si="5948"/>
        <v>#N/A</v>
      </c>
      <c r="L2955" s="40" t="e">
        <f t="shared" si="5441"/>
        <v>#N/A</v>
      </c>
      <c r="M2955" s="16" t="e">
        <f t="shared" si="5442"/>
        <v>#N/A</v>
      </c>
      <c r="N2955" s="16" t="e">
        <f t="shared" si="5443"/>
        <v>#N/A</v>
      </c>
      <c r="O2955" s="16" t="s">
        <v>73</v>
      </c>
      <c r="P2955" s="16" t="str">
        <f t="shared" si="6"/>
        <v/>
      </c>
      <c r="Q2955" s="41" t="e">
        <f t="shared" si="5444"/>
        <v>#N/A</v>
      </c>
      <c r="R2955" s="44"/>
      <c r="S2955" s="44"/>
      <c r="T2955" s="43"/>
      <c r="U2955" s="43" t="str">
        <f t="shared" si="8"/>
        <v>No</v>
      </c>
      <c r="V2955" s="25"/>
      <c r="W2955" s="25"/>
      <c r="X2955" s="25"/>
      <c r="Y2955" s="25"/>
      <c r="Z2955" s="25"/>
    </row>
    <row r="2956" spans="1:26" ht="15.75" customHeight="1" x14ac:dyDescent="0.25">
      <c r="A2956" s="25">
        <v>2954</v>
      </c>
      <c r="B2956" s="37" t="e">
        <f t="shared" ref="B2956:D2956" si="5949">VLOOKUP($A2956,[9]Hacienda!$A$1:$O$285,B$1,0)</f>
        <v>#N/A</v>
      </c>
      <c r="C2956" s="38" t="e">
        <f t="shared" si="5949"/>
        <v>#N/A</v>
      </c>
      <c r="D2956" s="39" t="e">
        <f t="shared" si="5949"/>
        <v>#N/A</v>
      </c>
      <c r="E2956" s="16" t="e">
        <f t="shared" si="1"/>
        <v>#N/A</v>
      </c>
      <c r="F2956" s="16" t="e">
        <f t="shared" ref="F2956:K2956" si="5950">VLOOKUP($A2956,[9]Hacienda!$A$1:$O$285,F$1,0)</f>
        <v>#N/A</v>
      </c>
      <c r="G2956" s="39" t="e">
        <f t="shared" si="5950"/>
        <v>#N/A</v>
      </c>
      <c r="H2956" s="16" t="e">
        <f t="shared" si="5950"/>
        <v>#N/A</v>
      </c>
      <c r="I2956" s="16" t="e">
        <f t="shared" si="5950"/>
        <v>#N/A</v>
      </c>
      <c r="J2956" s="40" t="e">
        <f t="shared" si="5950"/>
        <v>#N/A</v>
      </c>
      <c r="K2956" s="16" t="e">
        <f t="shared" si="5950"/>
        <v>#N/A</v>
      </c>
      <c r="L2956" s="40" t="e">
        <f t="shared" si="5441"/>
        <v>#N/A</v>
      </c>
      <c r="M2956" s="16" t="e">
        <f t="shared" si="5442"/>
        <v>#N/A</v>
      </c>
      <c r="N2956" s="16" t="e">
        <f t="shared" si="5443"/>
        <v>#N/A</v>
      </c>
      <c r="O2956" s="16" t="s">
        <v>73</v>
      </c>
      <c r="P2956" s="16" t="str">
        <f t="shared" si="6"/>
        <v/>
      </c>
      <c r="Q2956" s="41" t="e">
        <f t="shared" si="5444"/>
        <v>#N/A</v>
      </c>
      <c r="R2956" s="44"/>
      <c r="S2956" s="44"/>
      <c r="T2956" s="43"/>
      <c r="U2956" s="43" t="str">
        <f t="shared" si="8"/>
        <v>No</v>
      </c>
      <c r="V2956" s="25"/>
      <c r="W2956" s="25"/>
      <c r="X2956" s="25"/>
      <c r="Y2956" s="25"/>
      <c r="Z2956" s="25"/>
    </row>
    <row r="2957" spans="1:26" ht="15.75" customHeight="1" x14ac:dyDescent="0.25">
      <c r="A2957" s="25">
        <v>2955</v>
      </c>
      <c r="B2957" s="37" t="e">
        <f t="shared" ref="B2957:D2957" si="5951">VLOOKUP($A2957,[9]Hacienda!$A$1:$O$285,B$1,0)</f>
        <v>#N/A</v>
      </c>
      <c r="C2957" s="38" t="e">
        <f t="shared" si="5951"/>
        <v>#N/A</v>
      </c>
      <c r="D2957" s="39" t="e">
        <f t="shared" si="5951"/>
        <v>#N/A</v>
      </c>
      <c r="E2957" s="16" t="e">
        <f t="shared" si="1"/>
        <v>#N/A</v>
      </c>
      <c r="F2957" s="16" t="e">
        <f t="shared" ref="F2957:K2957" si="5952">VLOOKUP($A2957,[9]Hacienda!$A$1:$O$285,F$1,0)</f>
        <v>#N/A</v>
      </c>
      <c r="G2957" s="39" t="e">
        <f t="shared" si="5952"/>
        <v>#N/A</v>
      </c>
      <c r="H2957" s="16" t="e">
        <f t="shared" si="5952"/>
        <v>#N/A</v>
      </c>
      <c r="I2957" s="16" t="e">
        <f t="shared" si="5952"/>
        <v>#N/A</v>
      </c>
      <c r="J2957" s="40" t="e">
        <f t="shared" si="5952"/>
        <v>#N/A</v>
      </c>
      <c r="K2957" s="16" t="e">
        <f t="shared" si="5952"/>
        <v>#N/A</v>
      </c>
      <c r="L2957" s="40" t="e">
        <f t="shared" si="5441"/>
        <v>#N/A</v>
      </c>
      <c r="M2957" s="16" t="e">
        <f t="shared" si="5442"/>
        <v>#N/A</v>
      </c>
      <c r="N2957" s="16" t="e">
        <f t="shared" si="5443"/>
        <v>#N/A</v>
      </c>
      <c r="O2957" s="16" t="s">
        <v>73</v>
      </c>
      <c r="P2957" s="16" t="str">
        <f t="shared" si="6"/>
        <v/>
      </c>
      <c r="Q2957" s="41" t="e">
        <f t="shared" si="5444"/>
        <v>#N/A</v>
      </c>
      <c r="R2957" s="44"/>
      <c r="S2957" s="44"/>
      <c r="T2957" s="43"/>
      <c r="U2957" s="43" t="str">
        <f t="shared" si="8"/>
        <v>No</v>
      </c>
      <c r="V2957" s="25"/>
      <c r="W2957" s="25"/>
      <c r="X2957" s="25"/>
      <c r="Y2957" s="25"/>
      <c r="Z2957" s="25"/>
    </row>
    <row r="2958" spans="1:26" ht="15.75" customHeight="1" x14ac:dyDescent="0.25">
      <c r="A2958" s="25">
        <v>2956</v>
      </c>
      <c r="B2958" s="37" t="e">
        <f t="shared" ref="B2958:D2958" si="5953">VLOOKUP($A2958,[9]Hacienda!$A$1:$O$285,B$1,0)</f>
        <v>#N/A</v>
      </c>
      <c r="C2958" s="38" t="e">
        <f t="shared" si="5953"/>
        <v>#N/A</v>
      </c>
      <c r="D2958" s="39" t="e">
        <f t="shared" si="5953"/>
        <v>#N/A</v>
      </c>
      <c r="E2958" s="16" t="e">
        <f t="shared" si="1"/>
        <v>#N/A</v>
      </c>
      <c r="F2958" s="16" t="e">
        <f t="shared" ref="F2958:K2958" si="5954">VLOOKUP($A2958,[9]Hacienda!$A$1:$O$285,F$1,0)</f>
        <v>#N/A</v>
      </c>
      <c r="G2958" s="39" t="e">
        <f t="shared" si="5954"/>
        <v>#N/A</v>
      </c>
      <c r="H2958" s="16" t="e">
        <f t="shared" si="5954"/>
        <v>#N/A</v>
      </c>
      <c r="I2958" s="16" t="e">
        <f t="shared" si="5954"/>
        <v>#N/A</v>
      </c>
      <c r="J2958" s="40" t="e">
        <f t="shared" si="5954"/>
        <v>#N/A</v>
      </c>
      <c r="K2958" s="16" t="e">
        <f t="shared" si="5954"/>
        <v>#N/A</v>
      </c>
      <c r="L2958" s="40" t="e">
        <f t="shared" si="5441"/>
        <v>#N/A</v>
      </c>
      <c r="M2958" s="16" t="e">
        <f t="shared" si="5442"/>
        <v>#N/A</v>
      </c>
      <c r="N2958" s="16" t="e">
        <f t="shared" si="5443"/>
        <v>#N/A</v>
      </c>
      <c r="O2958" s="16" t="s">
        <v>73</v>
      </c>
      <c r="P2958" s="16" t="str">
        <f t="shared" si="6"/>
        <v/>
      </c>
      <c r="Q2958" s="41" t="e">
        <f t="shared" si="5444"/>
        <v>#N/A</v>
      </c>
      <c r="R2958" s="44"/>
      <c r="S2958" s="44"/>
      <c r="T2958" s="43"/>
      <c r="U2958" s="43" t="str">
        <f t="shared" si="8"/>
        <v>No</v>
      </c>
      <c r="V2958" s="25"/>
      <c r="W2958" s="25"/>
      <c r="X2958" s="25"/>
      <c r="Y2958" s="25"/>
      <c r="Z2958" s="25"/>
    </row>
    <row r="2959" spans="1:26" ht="15.75" customHeight="1" x14ac:dyDescent="0.25">
      <c r="A2959" s="25">
        <v>2957</v>
      </c>
      <c r="B2959" s="37" t="e">
        <f t="shared" ref="B2959:D2959" si="5955">VLOOKUP($A2959,[9]Hacienda!$A$1:$O$285,B$1,0)</f>
        <v>#N/A</v>
      </c>
      <c r="C2959" s="38" t="e">
        <f t="shared" si="5955"/>
        <v>#N/A</v>
      </c>
      <c r="D2959" s="39" t="e">
        <f t="shared" si="5955"/>
        <v>#N/A</v>
      </c>
      <c r="E2959" s="16" t="e">
        <f t="shared" si="1"/>
        <v>#N/A</v>
      </c>
      <c r="F2959" s="16" t="e">
        <f t="shared" ref="F2959:K2959" si="5956">VLOOKUP($A2959,[9]Hacienda!$A$1:$O$285,F$1,0)</f>
        <v>#N/A</v>
      </c>
      <c r="G2959" s="39" t="e">
        <f t="shared" si="5956"/>
        <v>#N/A</v>
      </c>
      <c r="H2959" s="16" t="e">
        <f t="shared" si="5956"/>
        <v>#N/A</v>
      </c>
      <c r="I2959" s="16" t="e">
        <f t="shared" si="5956"/>
        <v>#N/A</v>
      </c>
      <c r="J2959" s="40" t="e">
        <f t="shared" si="5956"/>
        <v>#N/A</v>
      </c>
      <c r="K2959" s="16" t="e">
        <f t="shared" si="5956"/>
        <v>#N/A</v>
      </c>
      <c r="L2959" s="40" t="e">
        <f t="shared" si="5441"/>
        <v>#N/A</v>
      </c>
      <c r="M2959" s="16" t="e">
        <f t="shared" si="5442"/>
        <v>#N/A</v>
      </c>
      <c r="N2959" s="16" t="e">
        <f t="shared" si="5443"/>
        <v>#N/A</v>
      </c>
      <c r="O2959" s="16" t="s">
        <v>73</v>
      </c>
      <c r="P2959" s="16" t="str">
        <f t="shared" si="6"/>
        <v/>
      </c>
      <c r="Q2959" s="41" t="e">
        <f t="shared" si="5444"/>
        <v>#N/A</v>
      </c>
      <c r="R2959" s="44"/>
      <c r="S2959" s="44"/>
      <c r="T2959" s="43"/>
      <c r="U2959" s="43" t="str">
        <f t="shared" si="8"/>
        <v>No</v>
      </c>
      <c r="V2959" s="25"/>
      <c r="W2959" s="25"/>
      <c r="X2959" s="25"/>
      <c r="Y2959" s="25"/>
      <c r="Z2959" s="25"/>
    </row>
    <row r="2960" spans="1:26" ht="15.75" customHeight="1" x14ac:dyDescent="0.25">
      <c r="A2960" s="25">
        <v>2958</v>
      </c>
      <c r="B2960" s="37" t="e">
        <f t="shared" ref="B2960:D2960" si="5957">VLOOKUP($A2960,[9]Hacienda!$A$1:$O$285,B$1,0)</f>
        <v>#N/A</v>
      </c>
      <c r="C2960" s="38" t="e">
        <f t="shared" si="5957"/>
        <v>#N/A</v>
      </c>
      <c r="D2960" s="39" t="e">
        <f t="shared" si="5957"/>
        <v>#N/A</v>
      </c>
      <c r="E2960" s="16" t="e">
        <f t="shared" si="1"/>
        <v>#N/A</v>
      </c>
      <c r="F2960" s="16" t="e">
        <f t="shared" ref="F2960:K2960" si="5958">VLOOKUP($A2960,[9]Hacienda!$A$1:$O$285,F$1,0)</f>
        <v>#N/A</v>
      </c>
      <c r="G2960" s="39" t="e">
        <f t="shared" si="5958"/>
        <v>#N/A</v>
      </c>
      <c r="H2960" s="16" t="e">
        <f t="shared" si="5958"/>
        <v>#N/A</v>
      </c>
      <c r="I2960" s="16" t="e">
        <f t="shared" si="5958"/>
        <v>#N/A</v>
      </c>
      <c r="J2960" s="40" t="e">
        <f t="shared" si="5958"/>
        <v>#N/A</v>
      </c>
      <c r="K2960" s="16" t="e">
        <f t="shared" si="5958"/>
        <v>#N/A</v>
      </c>
      <c r="L2960" s="40" t="e">
        <f t="shared" si="5441"/>
        <v>#N/A</v>
      </c>
      <c r="M2960" s="16" t="e">
        <f t="shared" si="5442"/>
        <v>#N/A</v>
      </c>
      <c r="N2960" s="16" t="e">
        <f t="shared" si="5443"/>
        <v>#N/A</v>
      </c>
      <c r="O2960" s="16" t="s">
        <v>73</v>
      </c>
      <c r="P2960" s="16" t="str">
        <f t="shared" si="6"/>
        <v/>
      </c>
      <c r="Q2960" s="41" t="e">
        <f t="shared" si="5444"/>
        <v>#N/A</v>
      </c>
      <c r="R2960" s="44"/>
      <c r="S2960" s="44"/>
      <c r="T2960" s="43"/>
      <c r="U2960" s="43" t="str">
        <f t="shared" si="8"/>
        <v>No</v>
      </c>
      <c r="V2960" s="25"/>
      <c r="W2960" s="25"/>
      <c r="X2960" s="25"/>
      <c r="Y2960" s="25"/>
      <c r="Z2960" s="25"/>
    </row>
    <row r="2961" spans="1:26" ht="15.75" customHeight="1" x14ac:dyDescent="0.25">
      <c r="A2961" s="25">
        <v>2959</v>
      </c>
      <c r="B2961" s="37" t="e">
        <f t="shared" ref="B2961:D2961" si="5959">VLOOKUP($A2961,[9]Hacienda!$A$1:$O$285,B$1,0)</f>
        <v>#N/A</v>
      </c>
      <c r="C2961" s="38" t="e">
        <f t="shared" si="5959"/>
        <v>#N/A</v>
      </c>
      <c r="D2961" s="39" t="e">
        <f t="shared" si="5959"/>
        <v>#N/A</v>
      </c>
      <c r="E2961" s="16" t="e">
        <f t="shared" si="1"/>
        <v>#N/A</v>
      </c>
      <c r="F2961" s="16" t="e">
        <f t="shared" ref="F2961:K2961" si="5960">VLOOKUP($A2961,[9]Hacienda!$A$1:$O$285,F$1,0)</f>
        <v>#N/A</v>
      </c>
      <c r="G2961" s="39" t="e">
        <f t="shared" si="5960"/>
        <v>#N/A</v>
      </c>
      <c r="H2961" s="16" t="e">
        <f t="shared" si="5960"/>
        <v>#N/A</v>
      </c>
      <c r="I2961" s="16" t="e">
        <f t="shared" si="5960"/>
        <v>#N/A</v>
      </c>
      <c r="J2961" s="40" t="e">
        <f t="shared" si="5960"/>
        <v>#N/A</v>
      </c>
      <c r="K2961" s="16" t="e">
        <f t="shared" si="5960"/>
        <v>#N/A</v>
      </c>
      <c r="L2961" s="40" t="e">
        <f t="shared" si="5441"/>
        <v>#N/A</v>
      </c>
      <c r="M2961" s="16" t="e">
        <f t="shared" si="5442"/>
        <v>#N/A</v>
      </c>
      <c r="N2961" s="16" t="e">
        <f t="shared" si="5443"/>
        <v>#N/A</v>
      </c>
      <c r="O2961" s="16" t="s">
        <v>73</v>
      </c>
      <c r="P2961" s="16" t="str">
        <f t="shared" si="6"/>
        <v/>
      </c>
      <c r="Q2961" s="41" t="e">
        <f t="shared" si="5444"/>
        <v>#N/A</v>
      </c>
      <c r="R2961" s="44"/>
      <c r="S2961" s="44"/>
      <c r="T2961" s="43"/>
      <c r="U2961" s="43" t="str">
        <f t="shared" si="8"/>
        <v>No</v>
      </c>
      <c r="V2961" s="25"/>
      <c r="W2961" s="25"/>
      <c r="X2961" s="25"/>
      <c r="Y2961" s="25"/>
      <c r="Z2961" s="25"/>
    </row>
    <row r="2962" spans="1:26" ht="15.75" customHeight="1" x14ac:dyDescent="0.25">
      <c r="A2962" s="25">
        <v>2960</v>
      </c>
      <c r="B2962" s="37" t="e">
        <f t="shared" ref="B2962:D2962" si="5961">VLOOKUP($A2962,[9]Hacienda!$A$1:$O$285,B$1,0)</f>
        <v>#N/A</v>
      </c>
      <c r="C2962" s="38" t="e">
        <f t="shared" si="5961"/>
        <v>#N/A</v>
      </c>
      <c r="D2962" s="39" t="e">
        <f t="shared" si="5961"/>
        <v>#N/A</v>
      </c>
      <c r="E2962" s="16" t="e">
        <f t="shared" si="1"/>
        <v>#N/A</v>
      </c>
      <c r="F2962" s="16" t="e">
        <f t="shared" ref="F2962:K2962" si="5962">VLOOKUP($A2962,[9]Hacienda!$A$1:$O$285,F$1,0)</f>
        <v>#N/A</v>
      </c>
      <c r="G2962" s="39" t="e">
        <f t="shared" si="5962"/>
        <v>#N/A</v>
      </c>
      <c r="H2962" s="16" t="e">
        <f t="shared" si="5962"/>
        <v>#N/A</v>
      </c>
      <c r="I2962" s="16" t="e">
        <f t="shared" si="5962"/>
        <v>#N/A</v>
      </c>
      <c r="J2962" s="40" t="e">
        <f t="shared" si="5962"/>
        <v>#N/A</v>
      </c>
      <c r="K2962" s="16" t="e">
        <f t="shared" si="5962"/>
        <v>#N/A</v>
      </c>
      <c r="L2962" s="40" t="e">
        <f t="shared" si="5441"/>
        <v>#N/A</v>
      </c>
      <c r="M2962" s="16" t="e">
        <f t="shared" si="5442"/>
        <v>#N/A</v>
      </c>
      <c r="N2962" s="16" t="e">
        <f t="shared" si="5443"/>
        <v>#N/A</v>
      </c>
      <c r="O2962" s="16" t="s">
        <v>73</v>
      </c>
      <c r="P2962" s="16" t="str">
        <f t="shared" si="6"/>
        <v/>
      </c>
      <c r="Q2962" s="41" t="e">
        <f t="shared" si="5444"/>
        <v>#N/A</v>
      </c>
      <c r="R2962" s="44"/>
      <c r="S2962" s="44"/>
      <c r="T2962" s="43"/>
      <c r="U2962" s="43" t="str">
        <f t="shared" si="8"/>
        <v>No</v>
      </c>
      <c r="V2962" s="25"/>
      <c r="W2962" s="25"/>
      <c r="X2962" s="25"/>
      <c r="Y2962" s="25"/>
      <c r="Z2962" s="25"/>
    </row>
    <row r="2963" spans="1:26" ht="15.75" customHeight="1" x14ac:dyDescent="0.25">
      <c r="A2963" s="25">
        <v>2961</v>
      </c>
      <c r="B2963" s="37" t="e">
        <f t="shared" ref="B2963:D2963" si="5963">VLOOKUP($A2963,[9]Hacienda!$A$1:$O$285,B$1,0)</f>
        <v>#N/A</v>
      </c>
      <c r="C2963" s="38" t="e">
        <f t="shared" si="5963"/>
        <v>#N/A</v>
      </c>
      <c r="D2963" s="39" t="e">
        <f t="shared" si="5963"/>
        <v>#N/A</v>
      </c>
      <c r="E2963" s="16" t="e">
        <f t="shared" si="1"/>
        <v>#N/A</v>
      </c>
      <c r="F2963" s="16" t="e">
        <f t="shared" ref="F2963:K2963" si="5964">VLOOKUP($A2963,[9]Hacienda!$A$1:$O$285,F$1,0)</f>
        <v>#N/A</v>
      </c>
      <c r="G2963" s="39" t="e">
        <f t="shared" si="5964"/>
        <v>#N/A</v>
      </c>
      <c r="H2963" s="16" t="e">
        <f t="shared" si="5964"/>
        <v>#N/A</v>
      </c>
      <c r="I2963" s="16" t="e">
        <f t="shared" si="5964"/>
        <v>#N/A</v>
      </c>
      <c r="J2963" s="40" t="e">
        <f t="shared" si="5964"/>
        <v>#N/A</v>
      </c>
      <c r="K2963" s="16" t="e">
        <f t="shared" si="5964"/>
        <v>#N/A</v>
      </c>
      <c r="L2963" s="40" t="e">
        <f t="shared" si="5441"/>
        <v>#N/A</v>
      </c>
      <c r="M2963" s="16" t="e">
        <f t="shared" si="5442"/>
        <v>#N/A</v>
      </c>
      <c r="N2963" s="16" t="e">
        <f t="shared" si="5443"/>
        <v>#N/A</v>
      </c>
      <c r="O2963" s="16" t="s">
        <v>73</v>
      </c>
      <c r="P2963" s="16" t="str">
        <f t="shared" si="6"/>
        <v/>
      </c>
      <c r="Q2963" s="41" t="e">
        <f t="shared" si="5444"/>
        <v>#N/A</v>
      </c>
      <c r="R2963" s="44"/>
      <c r="S2963" s="44"/>
      <c r="T2963" s="43"/>
      <c r="U2963" s="43" t="str">
        <f t="shared" si="8"/>
        <v>No</v>
      </c>
      <c r="V2963" s="25"/>
      <c r="W2963" s="25"/>
      <c r="X2963" s="25"/>
      <c r="Y2963" s="25"/>
      <c r="Z2963" s="25"/>
    </row>
    <row r="2964" spans="1:26" ht="15.75" customHeight="1" x14ac:dyDescent="0.25">
      <c r="A2964" s="25">
        <v>2962</v>
      </c>
      <c r="B2964" s="37" t="e">
        <f t="shared" ref="B2964:D2964" si="5965">VLOOKUP($A2964,[9]Hacienda!$A$1:$O$285,B$1,0)</f>
        <v>#N/A</v>
      </c>
      <c r="C2964" s="38" t="e">
        <f t="shared" si="5965"/>
        <v>#N/A</v>
      </c>
      <c r="D2964" s="39" t="e">
        <f t="shared" si="5965"/>
        <v>#N/A</v>
      </c>
      <c r="E2964" s="16" t="e">
        <f t="shared" si="1"/>
        <v>#N/A</v>
      </c>
      <c r="F2964" s="16" t="e">
        <f t="shared" ref="F2964:K2964" si="5966">VLOOKUP($A2964,[9]Hacienda!$A$1:$O$285,F$1,0)</f>
        <v>#N/A</v>
      </c>
      <c r="G2964" s="39" t="e">
        <f t="shared" si="5966"/>
        <v>#N/A</v>
      </c>
      <c r="H2964" s="16" t="e">
        <f t="shared" si="5966"/>
        <v>#N/A</v>
      </c>
      <c r="I2964" s="16" t="e">
        <f t="shared" si="5966"/>
        <v>#N/A</v>
      </c>
      <c r="J2964" s="40" t="e">
        <f t="shared" si="5966"/>
        <v>#N/A</v>
      </c>
      <c r="K2964" s="16" t="e">
        <f t="shared" si="5966"/>
        <v>#N/A</v>
      </c>
      <c r="L2964" s="40" t="e">
        <f t="shared" si="5441"/>
        <v>#N/A</v>
      </c>
      <c r="M2964" s="16" t="e">
        <f t="shared" si="5442"/>
        <v>#N/A</v>
      </c>
      <c r="N2964" s="16" t="e">
        <f t="shared" si="5443"/>
        <v>#N/A</v>
      </c>
      <c r="O2964" s="16" t="s">
        <v>73</v>
      </c>
      <c r="P2964" s="16" t="str">
        <f t="shared" si="6"/>
        <v/>
      </c>
      <c r="Q2964" s="41" t="e">
        <f t="shared" si="5444"/>
        <v>#N/A</v>
      </c>
      <c r="R2964" s="44"/>
      <c r="S2964" s="44"/>
      <c r="T2964" s="43"/>
      <c r="U2964" s="43" t="str">
        <f t="shared" si="8"/>
        <v>No</v>
      </c>
      <c r="V2964" s="25"/>
      <c r="W2964" s="25"/>
      <c r="X2964" s="25"/>
      <c r="Y2964" s="25"/>
      <c r="Z2964" s="25"/>
    </row>
    <row r="2965" spans="1:26" ht="15.75" customHeight="1" x14ac:dyDescent="0.25">
      <c r="A2965" s="25">
        <v>2963</v>
      </c>
      <c r="B2965" s="37" t="e">
        <f t="shared" ref="B2965:D2965" si="5967">VLOOKUP($A2965,[9]Hacienda!$A$1:$O$285,B$1,0)</f>
        <v>#N/A</v>
      </c>
      <c r="C2965" s="38" t="e">
        <f t="shared" si="5967"/>
        <v>#N/A</v>
      </c>
      <c r="D2965" s="39" t="e">
        <f t="shared" si="5967"/>
        <v>#N/A</v>
      </c>
      <c r="E2965" s="16" t="e">
        <f t="shared" si="1"/>
        <v>#N/A</v>
      </c>
      <c r="F2965" s="16" t="e">
        <f t="shared" ref="F2965:K2965" si="5968">VLOOKUP($A2965,[9]Hacienda!$A$1:$O$285,F$1,0)</f>
        <v>#N/A</v>
      </c>
      <c r="G2965" s="39" t="e">
        <f t="shared" si="5968"/>
        <v>#N/A</v>
      </c>
      <c r="H2965" s="16" t="e">
        <f t="shared" si="5968"/>
        <v>#N/A</v>
      </c>
      <c r="I2965" s="16" t="e">
        <f t="shared" si="5968"/>
        <v>#N/A</v>
      </c>
      <c r="J2965" s="40" t="e">
        <f t="shared" si="5968"/>
        <v>#N/A</v>
      </c>
      <c r="K2965" s="16" t="e">
        <f t="shared" si="5968"/>
        <v>#N/A</v>
      </c>
      <c r="L2965" s="40" t="e">
        <f t="shared" si="5441"/>
        <v>#N/A</v>
      </c>
      <c r="M2965" s="16" t="e">
        <f t="shared" si="5442"/>
        <v>#N/A</v>
      </c>
      <c r="N2965" s="16" t="e">
        <f t="shared" si="5443"/>
        <v>#N/A</v>
      </c>
      <c r="O2965" s="16" t="s">
        <v>73</v>
      </c>
      <c r="P2965" s="16" t="str">
        <f t="shared" si="6"/>
        <v/>
      </c>
      <c r="Q2965" s="41" t="e">
        <f t="shared" si="5444"/>
        <v>#N/A</v>
      </c>
      <c r="R2965" s="44"/>
      <c r="S2965" s="44"/>
      <c r="T2965" s="43"/>
      <c r="U2965" s="43" t="str">
        <f t="shared" si="8"/>
        <v>No</v>
      </c>
      <c r="V2965" s="25"/>
      <c r="W2965" s="25"/>
      <c r="X2965" s="25"/>
      <c r="Y2965" s="25"/>
      <c r="Z2965" s="25"/>
    </row>
    <row r="2966" spans="1:26" ht="15.75" customHeight="1" x14ac:dyDescent="0.25">
      <c r="A2966" s="25">
        <v>2964</v>
      </c>
      <c r="B2966" s="37" t="e">
        <f t="shared" ref="B2966:D2966" si="5969">VLOOKUP($A2966,[9]Hacienda!$A$1:$O$285,B$1,0)</f>
        <v>#N/A</v>
      </c>
      <c r="C2966" s="38" t="e">
        <f t="shared" si="5969"/>
        <v>#N/A</v>
      </c>
      <c r="D2966" s="39" t="e">
        <f t="shared" si="5969"/>
        <v>#N/A</v>
      </c>
      <c r="E2966" s="16" t="e">
        <f t="shared" si="1"/>
        <v>#N/A</v>
      </c>
      <c r="F2966" s="16" t="e">
        <f t="shared" ref="F2966:K2966" si="5970">VLOOKUP($A2966,[9]Hacienda!$A$1:$O$285,F$1,0)</f>
        <v>#N/A</v>
      </c>
      <c r="G2966" s="39" t="e">
        <f t="shared" si="5970"/>
        <v>#N/A</v>
      </c>
      <c r="H2966" s="16" t="e">
        <f t="shared" si="5970"/>
        <v>#N/A</v>
      </c>
      <c r="I2966" s="16" t="e">
        <f t="shared" si="5970"/>
        <v>#N/A</v>
      </c>
      <c r="J2966" s="40" t="e">
        <f t="shared" si="5970"/>
        <v>#N/A</v>
      </c>
      <c r="K2966" s="16" t="e">
        <f t="shared" si="5970"/>
        <v>#N/A</v>
      </c>
      <c r="L2966" s="40" t="e">
        <f t="shared" si="5441"/>
        <v>#N/A</v>
      </c>
      <c r="M2966" s="16" t="e">
        <f t="shared" si="5442"/>
        <v>#N/A</v>
      </c>
      <c r="N2966" s="16" t="e">
        <f t="shared" si="5443"/>
        <v>#N/A</v>
      </c>
      <c r="O2966" s="16" t="s">
        <v>73</v>
      </c>
      <c r="P2966" s="16" t="str">
        <f t="shared" si="6"/>
        <v/>
      </c>
      <c r="Q2966" s="41" t="e">
        <f t="shared" si="5444"/>
        <v>#N/A</v>
      </c>
      <c r="R2966" s="44"/>
      <c r="S2966" s="44"/>
      <c r="T2966" s="43"/>
      <c r="U2966" s="43" t="str">
        <f t="shared" si="8"/>
        <v>No</v>
      </c>
      <c r="V2966" s="25"/>
      <c r="W2966" s="25"/>
      <c r="X2966" s="25"/>
      <c r="Y2966" s="25"/>
      <c r="Z2966" s="25"/>
    </row>
    <row r="2967" spans="1:26" ht="15.75" customHeight="1" x14ac:dyDescent="0.25">
      <c r="A2967" s="25">
        <v>2965</v>
      </c>
      <c r="B2967" s="37" t="e">
        <f t="shared" ref="B2967:D2967" si="5971">VLOOKUP($A2967,[9]Hacienda!$A$1:$O$285,B$1,0)</f>
        <v>#N/A</v>
      </c>
      <c r="C2967" s="38" t="e">
        <f t="shared" si="5971"/>
        <v>#N/A</v>
      </c>
      <c r="D2967" s="39" t="e">
        <f t="shared" si="5971"/>
        <v>#N/A</v>
      </c>
      <c r="E2967" s="16" t="e">
        <f t="shared" si="1"/>
        <v>#N/A</v>
      </c>
      <c r="F2967" s="16" t="e">
        <f t="shared" ref="F2967:K2967" si="5972">VLOOKUP($A2967,[9]Hacienda!$A$1:$O$285,F$1,0)</f>
        <v>#N/A</v>
      </c>
      <c r="G2967" s="39" t="e">
        <f t="shared" si="5972"/>
        <v>#N/A</v>
      </c>
      <c r="H2967" s="16" t="e">
        <f t="shared" si="5972"/>
        <v>#N/A</v>
      </c>
      <c r="I2967" s="16" t="e">
        <f t="shared" si="5972"/>
        <v>#N/A</v>
      </c>
      <c r="J2967" s="40" t="e">
        <f t="shared" si="5972"/>
        <v>#N/A</v>
      </c>
      <c r="K2967" s="16" t="e">
        <f t="shared" si="5972"/>
        <v>#N/A</v>
      </c>
      <c r="L2967" s="40" t="e">
        <f t="shared" si="5441"/>
        <v>#N/A</v>
      </c>
      <c r="M2967" s="16" t="e">
        <f t="shared" si="5442"/>
        <v>#N/A</v>
      </c>
      <c r="N2967" s="16" t="e">
        <f t="shared" si="5443"/>
        <v>#N/A</v>
      </c>
      <c r="O2967" s="16" t="s">
        <v>73</v>
      </c>
      <c r="P2967" s="16" t="str">
        <f t="shared" si="6"/>
        <v/>
      </c>
      <c r="Q2967" s="41" t="e">
        <f t="shared" si="5444"/>
        <v>#N/A</v>
      </c>
      <c r="R2967" s="44"/>
      <c r="S2967" s="44"/>
      <c r="T2967" s="43"/>
      <c r="U2967" s="43" t="str">
        <f t="shared" si="8"/>
        <v>No</v>
      </c>
      <c r="V2967" s="25"/>
      <c r="W2967" s="25"/>
      <c r="X2967" s="25"/>
      <c r="Y2967" s="25"/>
      <c r="Z2967" s="25"/>
    </row>
    <row r="2968" spans="1:26" ht="15.75" customHeight="1" x14ac:dyDescent="0.25">
      <c r="A2968" s="25">
        <v>2966</v>
      </c>
      <c r="B2968" s="37" t="e">
        <f t="shared" ref="B2968:D2968" si="5973">VLOOKUP($A2968,[9]Hacienda!$A$1:$O$285,B$1,0)</f>
        <v>#N/A</v>
      </c>
      <c r="C2968" s="38" t="e">
        <f t="shared" si="5973"/>
        <v>#N/A</v>
      </c>
      <c r="D2968" s="39" t="e">
        <f t="shared" si="5973"/>
        <v>#N/A</v>
      </c>
      <c r="E2968" s="16" t="e">
        <f t="shared" si="1"/>
        <v>#N/A</v>
      </c>
      <c r="F2968" s="16" t="e">
        <f t="shared" ref="F2968:K2968" si="5974">VLOOKUP($A2968,[9]Hacienda!$A$1:$O$285,F$1,0)</f>
        <v>#N/A</v>
      </c>
      <c r="G2968" s="39" t="e">
        <f t="shared" si="5974"/>
        <v>#N/A</v>
      </c>
      <c r="H2968" s="16" t="e">
        <f t="shared" si="5974"/>
        <v>#N/A</v>
      </c>
      <c r="I2968" s="16" t="e">
        <f t="shared" si="5974"/>
        <v>#N/A</v>
      </c>
      <c r="J2968" s="40" t="e">
        <f t="shared" si="5974"/>
        <v>#N/A</v>
      </c>
      <c r="K2968" s="16" t="e">
        <f t="shared" si="5974"/>
        <v>#N/A</v>
      </c>
      <c r="L2968" s="40" t="e">
        <f t="shared" si="5441"/>
        <v>#N/A</v>
      </c>
      <c r="M2968" s="16" t="e">
        <f t="shared" si="5442"/>
        <v>#N/A</v>
      </c>
      <c r="N2968" s="16" t="e">
        <f t="shared" si="5443"/>
        <v>#N/A</v>
      </c>
      <c r="O2968" s="16" t="s">
        <v>73</v>
      </c>
      <c r="P2968" s="16" t="str">
        <f t="shared" si="6"/>
        <v/>
      </c>
      <c r="Q2968" s="41" t="e">
        <f t="shared" si="5444"/>
        <v>#N/A</v>
      </c>
      <c r="R2968" s="44"/>
      <c r="S2968" s="44"/>
      <c r="T2968" s="43"/>
      <c r="U2968" s="43" t="str">
        <f t="shared" si="8"/>
        <v>No</v>
      </c>
      <c r="V2968" s="25"/>
      <c r="W2968" s="25"/>
      <c r="X2968" s="25"/>
      <c r="Y2968" s="25"/>
      <c r="Z2968" s="25"/>
    </row>
    <row r="2969" spans="1:26" ht="15.75" customHeight="1" x14ac:dyDescent="0.25">
      <c r="A2969" s="25">
        <v>2967</v>
      </c>
      <c r="B2969" s="37" t="e">
        <f t="shared" ref="B2969:D2969" si="5975">VLOOKUP($A2969,[9]Hacienda!$A$1:$O$285,B$1,0)</f>
        <v>#N/A</v>
      </c>
      <c r="C2969" s="38" t="e">
        <f t="shared" si="5975"/>
        <v>#N/A</v>
      </c>
      <c r="D2969" s="39" t="e">
        <f t="shared" si="5975"/>
        <v>#N/A</v>
      </c>
      <c r="E2969" s="16" t="e">
        <f t="shared" si="1"/>
        <v>#N/A</v>
      </c>
      <c r="F2969" s="16" t="e">
        <f t="shared" ref="F2969:K2969" si="5976">VLOOKUP($A2969,[9]Hacienda!$A$1:$O$285,F$1,0)</f>
        <v>#N/A</v>
      </c>
      <c r="G2969" s="39" t="e">
        <f t="shared" si="5976"/>
        <v>#N/A</v>
      </c>
      <c r="H2969" s="16" t="e">
        <f t="shared" si="5976"/>
        <v>#N/A</v>
      </c>
      <c r="I2969" s="16" t="e">
        <f t="shared" si="5976"/>
        <v>#N/A</v>
      </c>
      <c r="J2969" s="40" t="e">
        <f t="shared" si="5976"/>
        <v>#N/A</v>
      </c>
      <c r="K2969" s="16" t="e">
        <f t="shared" si="5976"/>
        <v>#N/A</v>
      </c>
      <c r="L2969" s="40" t="e">
        <f t="shared" si="5441"/>
        <v>#N/A</v>
      </c>
      <c r="M2969" s="16" t="e">
        <f t="shared" si="5442"/>
        <v>#N/A</v>
      </c>
      <c r="N2969" s="16" t="e">
        <f t="shared" si="5443"/>
        <v>#N/A</v>
      </c>
      <c r="O2969" s="16" t="s">
        <v>73</v>
      </c>
      <c r="P2969" s="16" t="str">
        <f t="shared" si="6"/>
        <v/>
      </c>
      <c r="Q2969" s="41" t="e">
        <f t="shared" si="5444"/>
        <v>#N/A</v>
      </c>
      <c r="R2969" s="44"/>
      <c r="S2969" s="44"/>
      <c r="T2969" s="43"/>
      <c r="U2969" s="43" t="str">
        <f t="shared" si="8"/>
        <v>No</v>
      </c>
      <c r="V2969" s="25"/>
      <c r="W2969" s="25"/>
      <c r="X2969" s="25"/>
      <c r="Y2969" s="25"/>
      <c r="Z2969" s="25"/>
    </row>
    <row r="2970" spans="1:26" ht="15.75" customHeight="1" x14ac:dyDescent="0.25">
      <c r="A2970" s="25">
        <v>2968</v>
      </c>
      <c r="B2970" s="37" t="e">
        <f t="shared" ref="B2970:D2970" si="5977">VLOOKUP($A2970,[9]Hacienda!$A$1:$O$285,B$1,0)</f>
        <v>#N/A</v>
      </c>
      <c r="C2970" s="38" t="e">
        <f t="shared" si="5977"/>
        <v>#N/A</v>
      </c>
      <c r="D2970" s="39" t="e">
        <f t="shared" si="5977"/>
        <v>#N/A</v>
      </c>
      <c r="E2970" s="16" t="e">
        <f t="shared" si="1"/>
        <v>#N/A</v>
      </c>
      <c r="F2970" s="16" t="e">
        <f t="shared" ref="F2970:K2970" si="5978">VLOOKUP($A2970,[9]Hacienda!$A$1:$O$285,F$1,0)</f>
        <v>#N/A</v>
      </c>
      <c r="G2970" s="39" t="e">
        <f t="shared" si="5978"/>
        <v>#N/A</v>
      </c>
      <c r="H2970" s="16" t="e">
        <f t="shared" si="5978"/>
        <v>#N/A</v>
      </c>
      <c r="I2970" s="16" t="e">
        <f t="shared" si="5978"/>
        <v>#N/A</v>
      </c>
      <c r="J2970" s="40" t="e">
        <f t="shared" si="5978"/>
        <v>#N/A</v>
      </c>
      <c r="K2970" s="16" t="e">
        <f t="shared" si="5978"/>
        <v>#N/A</v>
      </c>
      <c r="L2970" s="40" t="e">
        <f t="shared" si="5441"/>
        <v>#N/A</v>
      </c>
      <c r="M2970" s="16" t="e">
        <f t="shared" si="5442"/>
        <v>#N/A</v>
      </c>
      <c r="N2970" s="16" t="e">
        <f t="shared" si="5443"/>
        <v>#N/A</v>
      </c>
      <c r="O2970" s="16" t="s">
        <v>73</v>
      </c>
      <c r="P2970" s="16" t="str">
        <f t="shared" si="6"/>
        <v/>
      </c>
      <c r="Q2970" s="41" t="e">
        <f t="shared" si="5444"/>
        <v>#N/A</v>
      </c>
      <c r="R2970" s="44"/>
      <c r="S2970" s="44"/>
      <c r="T2970" s="43"/>
      <c r="U2970" s="43" t="str">
        <f t="shared" si="8"/>
        <v>No</v>
      </c>
      <c r="V2970" s="25"/>
      <c r="W2970" s="25"/>
      <c r="X2970" s="25"/>
      <c r="Y2970" s="25"/>
      <c r="Z2970" s="25"/>
    </row>
    <row r="2971" spans="1:26" ht="15.75" customHeight="1" x14ac:dyDescent="0.25">
      <c r="A2971" s="25">
        <v>2969</v>
      </c>
      <c r="B2971" s="37" t="e">
        <f t="shared" ref="B2971:D2971" si="5979">VLOOKUP($A2971,[9]Hacienda!$A$1:$O$285,B$1,0)</f>
        <v>#N/A</v>
      </c>
      <c r="C2971" s="38" t="e">
        <f t="shared" si="5979"/>
        <v>#N/A</v>
      </c>
      <c r="D2971" s="39" t="e">
        <f t="shared" si="5979"/>
        <v>#N/A</v>
      </c>
      <c r="E2971" s="16" t="e">
        <f t="shared" si="1"/>
        <v>#N/A</v>
      </c>
      <c r="F2971" s="16" t="e">
        <f t="shared" ref="F2971:K2971" si="5980">VLOOKUP($A2971,[9]Hacienda!$A$1:$O$285,F$1,0)</f>
        <v>#N/A</v>
      </c>
      <c r="G2971" s="39" t="e">
        <f t="shared" si="5980"/>
        <v>#N/A</v>
      </c>
      <c r="H2971" s="16" t="e">
        <f t="shared" si="5980"/>
        <v>#N/A</v>
      </c>
      <c r="I2971" s="16" t="e">
        <f t="shared" si="5980"/>
        <v>#N/A</v>
      </c>
      <c r="J2971" s="40" t="e">
        <f t="shared" si="5980"/>
        <v>#N/A</v>
      </c>
      <c r="K2971" s="16" t="e">
        <f t="shared" si="5980"/>
        <v>#N/A</v>
      </c>
      <c r="L2971" s="40" t="e">
        <f t="shared" si="5441"/>
        <v>#N/A</v>
      </c>
      <c r="M2971" s="16" t="e">
        <f t="shared" si="5442"/>
        <v>#N/A</v>
      </c>
      <c r="N2971" s="16" t="e">
        <f t="shared" si="5443"/>
        <v>#N/A</v>
      </c>
      <c r="O2971" s="16" t="s">
        <v>73</v>
      </c>
      <c r="P2971" s="16" t="str">
        <f t="shared" si="6"/>
        <v/>
      </c>
      <c r="Q2971" s="41" t="e">
        <f t="shared" si="5444"/>
        <v>#N/A</v>
      </c>
      <c r="R2971" s="44"/>
      <c r="S2971" s="44"/>
      <c r="T2971" s="43"/>
      <c r="U2971" s="43" t="str">
        <f t="shared" si="8"/>
        <v>No</v>
      </c>
      <c r="V2971" s="25"/>
      <c r="W2971" s="25"/>
      <c r="X2971" s="25"/>
      <c r="Y2971" s="25"/>
      <c r="Z2971" s="25"/>
    </row>
    <row r="2972" spans="1:26" ht="15.75" customHeight="1" x14ac:dyDescent="0.25">
      <c r="A2972" s="25">
        <v>2970</v>
      </c>
      <c r="B2972" s="37" t="e">
        <f t="shared" ref="B2972:D2972" si="5981">VLOOKUP($A2972,[9]Hacienda!$A$1:$O$285,B$1,0)</f>
        <v>#N/A</v>
      </c>
      <c r="C2972" s="38" t="e">
        <f t="shared" si="5981"/>
        <v>#N/A</v>
      </c>
      <c r="D2972" s="39" t="e">
        <f t="shared" si="5981"/>
        <v>#N/A</v>
      </c>
      <c r="E2972" s="16" t="e">
        <f t="shared" si="1"/>
        <v>#N/A</v>
      </c>
      <c r="F2972" s="16" t="e">
        <f t="shared" ref="F2972:K2972" si="5982">VLOOKUP($A2972,[9]Hacienda!$A$1:$O$285,F$1,0)</f>
        <v>#N/A</v>
      </c>
      <c r="G2972" s="39" t="e">
        <f t="shared" si="5982"/>
        <v>#N/A</v>
      </c>
      <c r="H2972" s="16" t="e">
        <f t="shared" si="5982"/>
        <v>#N/A</v>
      </c>
      <c r="I2972" s="16" t="e">
        <f t="shared" si="5982"/>
        <v>#N/A</v>
      </c>
      <c r="J2972" s="40" t="e">
        <f t="shared" si="5982"/>
        <v>#N/A</v>
      </c>
      <c r="K2972" s="16" t="e">
        <f t="shared" si="5982"/>
        <v>#N/A</v>
      </c>
      <c r="L2972" s="40" t="e">
        <f t="shared" si="5441"/>
        <v>#N/A</v>
      </c>
      <c r="M2972" s="16" t="e">
        <f t="shared" si="5442"/>
        <v>#N/A</v>
      </c>
      <c r="N2972" s="16" t="e">
        <f t="shared" si="5443"/>
        <v>#N/A</v>
      </c>
      <c r="O2972" s="16" t="s">
        <v>73</v>
      </c>
      <c r="P2972" s="16" t="str">
        <f t="shared" si="6"/>
        <v/>
      </c>
      <c r="Q2972" s="41" t="e">
        <f t="shared" si="5444"/>
        <v>#N/A</v>
      </c>
      <c r="R2972" s="44"/>
      <c r="S2972" s="44"/>
      <c r="T2972" s="43"/>
      <c r="U2972" s="43" t="str">
        <f t="shared" si="8"/>
        <v>No</v>
      </c>
      <c r="V2972" s="25"/>
      <c r="W2972" s="25"/>
      <c r="X2972" s="25"/>
      <c r="Y2972" s="25"/>
      <c r="Z2972" s="25"/>
    </row>
    <row r="2973" spans="1:26" ht="15.75" customHeight="1" x14ac:dyDescent="0.25">
      <c r="A2973" s="25">
        <v>2971</v>
      </c>
      <c r="B2973" s="37" t="e">
        <f t="shared" ref="B2973:D2973" si="5983">VLOOKUP($A2973,[9]Hacienda!$A$1:$O$285,B$1,0)</f>
        <v>#N/A</v>
      </c>
      <c r="C2973" s="38" t="e">
        <f t="shared" si="5983"/>
        <v>#N/A</v>
      </c>
      <c r="D2973" s="39" t="e">
        <f t="shared" si="5983"/>
        <v>#N/A</v>
      </c>
      <c r="E2973" s="16" t="e">
        <f t="shared" si="1"/>
        <v>#N/A</v>
      </c>
      <c r="F2973" s="16" t="e">
        <f t="shared" ref="F2973:K2973" si="5984">VLOOKUP($A2973,[9]Hacienda!$A$1:$O$285,F$1,0)</f>
        <v>#N/A</v>
      </c>
      <c r="G2973" s="39" t="e">
        <f t="shared" si="5984"/>
        <v>#N/A</v>
      </c>
      <c r="H2973" s="16" t="e">
        <f t="shared" si="5984"/>
        <v>#N/A</v>
      </c>
      <c r="I2973" s="16" t="e">
        <f t="shared" si="5984"/>
        <v>#N/A</v>
      </c>
      <c r="J2973" s="40" t="e">
        <f t="shared" si="5984"/>
        <v>#N/A</v>
      </c>
      <c r="K2973" s="16" t="e">
        <f t="shared" si="5984"/>
        <v>#N/A</v>
      </c>
      <c r="L2973" s="40" t="e">
        <f t="shared" si="5441"/>
        <v>#N/A</v>
      </c>
      <c r="M2973" s="16" t="e">
        <f t="shared" si="5442"/>
        <v>#N/A</v>
      </c>
      <c r="N2973" s="16" t="e">
        <f t="shared" si="5443"/>
        <v>#N/A</v>
      </c>
      <c r="O2973" s="16" t="s">
        <v>73</v>
      </c>
      <c r="P2973" s="16" t="str">
        <f t="shared" si="6"/>
        <v/>
      </c>
      <c r="Q2973" s="41" t="e">
        <f t="shared" si="5444"/>
        <v>#N/A</v>
      </c>
      <c r="R2973" s="44"/>
      <c r="S2973" s="44"/>
      <c r="T2973" s="43"/>
      <c r="U2973" s="43" t="str">
        <f t="shared" si="8"/>
        <v>No</v>
      </c>
      <c r="V2973" s="25"/>
      <c r="W2973" s="25"/>
      <c r="X2973" s="25"/>
      <c r="Y2973" s="25"/>
      <c r="Z2973" s="25"/>
    </row>
    <row r="2974" spans="1:26" ht="15.75" customHeight="1" x14ac:dyDescent="0.25">
      <c r="A2974" s="25">
        <v>2972</v>
      </c>
      <c r="B2974" s="37" t="e">
        <f t="shared" ref="B2974:D2974" si="5985">VLOOKUP($A2974,[9]Hacienda!$A$1:$O$285,B$1,0)</f>
        <v>#N/A</v>
      </c>
      <c r="C2974" s="38" t="e">
        <f t="shared" si="5985"/>
        <v>#N/A</v>
      </c>
      <c r="D2974" s="39" t="e">
        <f t="shared" si="5985"/>
        <v>#N/A</v>
      </c>
      <c r="E2974" s="16" t="e">
        <f t="shared" si="1"/>
        <v>#N/A</v>
      </c>
      <c r="F2974" s="16" t="e">
        <f t="shared" ref="F2974:K2974" si="5986">VLOOKUP($A2974,[9]Hacienda!$A$1:$O$285,F$1,0)</f>
        <v>#N/A</v>
      </c>
      <c r="G2974" s="39" t="e">
        <f t="shared" si="5986"/>
        <v>#N/A</v>
      </c>
      <c r="H2974" s="16" t="e">
        <f t="shared" si="5986"/>
        <v>#N/A</v>
      </c>
      <c r="I2974" s="16" t="e">
        <f t="shared" si="5986"/>
        <v>#N/A</v>
      </c>
      <c r="J2974" s="40" t="e">
        <f t="shared" si="5986"/>
        <v>#N/A</v>
      </c>
      <c r="K2974" s="16" t="e">
        <f t="shared" si="5986"/>
        <v>#N/A</v>
      </c>
      <c r="L2974" s="40" t="e">
        <f t="shared" si="5441"/>
        <v>#N/A</v>
      </c>
      <c r="M2974" s="16" t="e">
        <f t="shared" si="5442"/>
        <v>#N/A</v>
      </c>
      <c r="N2974" s="16" t="e">
        <f t="shared" si="5443"/>
        <v>#N/A</v>
      </c>
      <c r="O2974" s="16" t="s">
        <v>73</v>
      </c>
      <c r="P2974" s="16" t="str">
        <f t="shared" si="6"/>
        <v/>
      </c>
      <c r="Q2974" s="41" t="e">
        <f t="shared" si="5444"/>
        <v>#N/A</v>
      </c>
      <c r="R2974" s="44"/>
      <c r="S2974" s="44"/>
      <c r="T2974" s="43"/>
      <c r="U2974" s="43" t="str">
        <f t="shared" si="8"/>
        <v>No</v>
      </c>
      <c r="V2974" s="25"/>
      <c r="W2974" s="25"/>
      <c r="X2974" s="25"/>
      <c r="Y2974" s="25"/>
      <c r="Z2974" s="25"/>
    </row>
    <row r="2975" spans="1:26" ht="15.75" customHeight="1" x14ac:dyDescent="0.25">
      <c r="A2975" s="25">
        <v>2973</v>
      </c>
      <c r="B2975" s="37" t="e">
        <f t="shared" ref="B2975:D2975" si="5987">VLOOKUP($A2975,[9]Hacienda!$A$1:$O$285,B$1,0)</f>
        <v>#N/A</v>
      </c>
      <c r="C2975" s="38" t="e">
        <f t="shared" si="5987"/>
        <v>#N/A</v>
      </c>
      <c r="D2975" s="39" t="e">
        <f t="shared" si="5987"/>
        <v>#N/A</v>
      </c>
      <c r="E2975" s="16" t="e">
        <f t="shared" si="1"/>
        <v>#N/A</v>
      </c>
      <c r="F2975" s="16" t="e">
        <f t="shared" ref="F2975:K2975" si="5988">VLOOKUP($A2975,[9]Hacienda!$A$1:$O$285,F$1,0)</f>
        <v>#N/A</v>
      </c>
      <c r="G2975" s="39" t="e">
        <f t="shared" si="5988"/>
        <v>#N/A</v>
      </c>
      <c r="H2975" s="16" t="e">
        <f t="shared" si="5988"/>
        <v>#N/A</v>
      </c>
      <c r="I2975" s="16" t="e">
        <f t="shared" si="5988"/>
        <v>#N/A</v>
      </c>
      <c r="J2975" s="40" t="e">
        <f t="shared" si="5988"/>
        <v>#N/A</v>
      </c>
      <c r="K2975" s="16" t="e">
        <f t="shared" si="5988"/>
        <v>#N/A</v>
      </c>
      <c r="L2975" s="40" t="e">
        <f t="shared" si="5441"/>
        <v>#N/A</v>
      </c>
      <c r="M2975" s="16" t="e">
        <f t="shared" si="5442"/>
        <v>#N/A</v>
      </c>
      <c r="N2975" s="16" t="e">
        <f t="shared" si="5443"/>
        <v>#N/A</v>
      </c>
      <c r="O2975" s="16" t="s">
        <v>73</v>
      </c>
      <c r="P2975" s="16" t="str">
        <f t="shared" si="6"/>
        <v/>
      </c>
      <c r="Q2975" s="41" t="e">
        <f t="shared" si="5444"/>
        <v>#N/A</v>
      </c>
      <c r="R2975" s="44"/>
      <c r="S2975" s="44"/>
      <c r="T2975" s="43"/>
      <c r="U2975" s="43" t="str">
        <f t="shared" si="8"/>
        <v>No</v>
      </c>
      <c r="V2975" s="25"/>
      <c r="W2975" s="25"/>
      <c r="X2975" s="25"/>
      <c r="Y2975" s="25"/>
      <c r="Z2975" s="25"/>
    </row>
    <row r="2976" spans="1:26" ht="15.75" customHeight="1" x14ac:dyDescent="0.25">
      <c r="A2976" s="25">
        <v>2974</v>
      </c>
      <c r="B2976" s="37" t="e">
        <f t="shared" ref="B2976:D2976" si="5989">VLOOKUP($A2976,[9]Hacienda!$A$1:$O$285,B$1,0)</f>
        <v>#N/A</v>
      </c>
      <c r="C2976" s="38" t="e">
        <f t="shared" si="5989"/>
        <v>#N/A</v>
      </c>
      <c r="D2976" s="39" t="e">
        <f t="shared" si="5989"/>
        <v>#N/A</v>
      </c>
      <c r="E2976" s="16" t="e">
        <f t="shared" si="1"/>
        <v>#N/A</v>
      </c>
      <c r="F2976" s="16" t="e">
        <f t="shared" ref="F2976:K2976" si="5990">VLOOKUP($A2976,[9]Hacienda!$A$1:$O$285,F$1,0)</f>
        <v>#N/A</v>
      </c>
      <c r="G2976" s="39" t="e">
        <f t="shared" si="5990"/>
        <v>#N/A</v>
      </c>
      <c r="H2976" s="16" t="e">
        <f t="shared" si="5990"/>
        <v>#N/A</v>
      </c>
      <c r="I2976" s="16" t="e">
        <f t="shared" si="5990"/>
        <v>#N/A</v>
      </c>
      <c r="J2976" s="40" t="e">
        <f t="shared" si="5990"/>
        <v>#N/A</v>
      </c>
      <c r="K2976" s="16" t="e">
        <f t="shared" si="5990"/>
        <v>#N/A</v>
      </c>
      <c r="L2976" s="40" t="e">
        <f t="shared" si="5441"/>
        <v>#N/A</v>
      </c>
      <c r="M2976" s="16" t="e">
        <f t="shared" si="5442"/>
        <v>#N/A</v>
      </c>
      <c r="N2976" s="16" t="e">
        <f t="shared" si="5443"/>
        <v>#N/A</v>
      </c>
      <c r="O2976" s="16" t="s">
        <v>73</v>
      </c>
      <c r="P2976" s="16" t="str">
        <f t="shared" si="6"/>
        <v/>
      </c>
      <c r="Q2976" s="41" t="e">
        <f t="shared" si="5444"/>
        <v>#N/A</v>
      </c>
      <c r="R2976" s="44"/>
      <c r="S2976" s="44"/>
      <c r="T2976" s="43"/>
      <c r="U2976" s="43" t="str">
        <f t="shared" si="8"/>
        <v>No</v>
      </c>
      <c r="V2976" s="25"/>
      <c r="W2976" s="25"/>
      <c r="X2976" s="25"/>
      <c r="Y2976" s="25"/>
      <c r="Z2976" s="25"/>
    </row>
    <row r="2977" spans="1:26" ht="15.75" customHeight="1" x14ac:dyDescent="0.25">
      <c r="A2977" s="25">
        <v>2975</v>
      </c>
      <c r="B2977" s="37" t="e">
        <f t="shared" ref="B2977:D2977" si="5991">VLOOKUP($A2977,[9]Hacienda!$A$1:$O$285,B$1,0)</f>
        <v>#N/A</v>
      </c>
      <c r="C2977" s="38" t="e">
        <f t="shared" si="5991"/>
        <v>#N/A</v>
      </c>
      <c r="D2977" s="39" t="e">
        <f t="shared" si="5991"/>
        <v>#N/A</v>
      </c>
      <c r="E2977" s="16" t="e">
        <f t="shared" si="1"/>
        <v>#N/A</v>
      </c>
      <c r="F2977" s="16" t="e">
        <f t="shared" ref="F2977:K2977" si="5992">VLOOKUP($A2977,[9]Hacienda!$A$1:$O$285,F$1,0)</f>
        <v>#N/A</v>
      </c>
      <c r="G2977" s="39" t="e">
        <f t="shared" si="5992"/>
        <v>#N/A</v>
      </c>
      <c r="H2977" s="16" t="e">
        <f t="shared" si="5992"/>
        <v>#N/A</v>
      </c>
      <c r="I2977" s="16" t="e">
        <f t="shared" si="5992"/>
        <v>#N/A</v>
      </c>
      <c r="J2977" s="40" t="e">
        <f t="shared" si="5992"/>
        <v>#N/A</v>
      </c>
      <c r="K2977" s="16" t="e">
        <f t="shared" si="5992"/>
        <v>#N/A</v>
      </c>
      <c r="L2977" s="40" t="e">
        <f t="shared" si="5441"/>
        <v>#N/A</v>
      </c>
      <c r="M2977" s="16" t="e">
        <f t="shared" si="5442"/>
        <v>#N/A</v>
      </c>
      <c r="N2977" s="16" t="e">
        <f t="shared" si="5443"/>
        <v>#N/A</v>
      </c>
      <c r="O2977" s="16" t="s">
        <v>73</v>
      </c>
      <c r="P2977" s="16" t="str">
        <f t="shared" si="6"/>
        <v/>
      </c>
      <c r="Q2977" s="41" t="e">
        <f t="shared" si="5444"/>
        <v>#N/A</v>
      </c>
      <c r="R2977" s="44"/>
      <c r="S2977" s="44"/>
      <c r="T2977" s="43"/>
      <c r="U2977" s="43" t="str">
        <f t="shared" si="8"/>
        <v>No</v>
      </c>
      <c r="V2977" s="25"/>
      <c r="W2977" s="25"/>
      <c r="X2977" s="25"/>
      <c r="Y2977" s="25"/>
      <c r="Z2977" s="25"/>
    </row>
    <row r="2978" spans="1:26" ht="15.75" customHeight="1" x14ac:dyDescent="0.25">
      <c r="A2978" s="25">
        <v>2976</v>
      </c>
      <c r="B2978" s="37" t="e">
        <f t="shared" ref="B2978:D2978" si="5993">VLOOKUP($A2978,[9]Hacienda!$A$1:$O$285,B$1,0)</f>
        <v>#N/A</v>
      </c>
      <c r="C2978" s="38" t="e">
        <f t="shared" si="5993"/>
        <v>#N/A</v>
      </c>
      <c r="D2978" s="39" t="e">
        <f t="shared" si="5993"/>
        <v>#N/A</v>
      </c>
      <c r="E2978" s="16" t="e">
        <f t="shared" si="1"/>
        <v>#N/A</v>
      </c>
      <c r="F2978" s="16" t="e">
        <f t="shared" ref="F2978:K2978" si="5994">VLOOKUP($A2978,[9]Hacienda!$A$1:$O$285,F$1,0)</f>
        <v>#N/A</v>
      </c>
      <c r="G2978" s="39" t="e">
        <f t="shared" si="5994"/>
        <v>#N/A</v>
      </c>
      <c r="H2978" s="16" t="e">
        <f t="shared" si="5994"/>
        <v>#N/A</v>
      </c>
      <c r="I2978" s="16" t="e">
        <f t="shared" si="5994"/>
        <v>#N/A</v>
      </c>
      <c r="J2978" s="40" t="e">
        <f t="shared" si="5994"/>
        <v>#N/A</v>
      </c>
      <c r="K2978" s="16" t="e">
        <f t="shared" si="5994"/>
        <v>#N/A</v>
      </c>
      <c r="L2978" s="40" t="e">
        <f t="shared" si="5441"/>
        <v>#N/A</v>
      </c>
      <c r="M2978" s="16" t="e">
        <f t="shared" si="5442"/>
        <v>#N/A</v>
      </c>
      <c r="N2978" s="16" t="e">
        <f t="shared" si="5443"/>
        <v>#N/A</v>
      </c>
      <c r="O2978" s="16" t="s">
        <v>73</v>
      </c>
      <c r="P2978" s="16" t="str">
        <f t="shared" si="6"/>
        <v/>
      </c>
      <c r="Q2978" s="41" t="e">
        <f t="shared" si="5444"/>
        <v>#N/A</v>
      </c>
      <c r="R2978" s="44"/>
      <c r="S2978" s="44"/>
      <c r="T2978" s="43"/>
      <c r="U2978" s="43" t="str">
        <f t="shared" si="8"/>
        <v>No</v>
      </c>
      <c r="V2978" s="25"/>
      <c r="W2978" s="25"/>
      <c r="X2978" s="25"/>
      <c r="Y2978" s="25"/>
      <c r="Z2978" s="25"/>
    </row>
    <row r="2979" spans="1:26" ht="15.75" customHeight="1" x14ac:dyDescent="0.25">
      <c r="A2979" s="25">
        <v>2977</v>
      </c>
      <c r="B2979" s="37" t="e">
        <f t="shared" ref="B2979:D2979" si="5995">VLOOKUP($A2979,[9]Hacienda!$A$1:$O$285,B$1,0)</f>
        <v>#N/A</v>
      </c>
      <c r="C2979" s="38" t="e">
        <f t="shared" si="5995"/>
        <v>#N/A</v>
      </c>
      <c r="D2979" s="39" t="e">
        <f t="shared" si="5995"/>
        <v>#N/A</v>
      </c>
      <c r="E2979" s="16" t="e">
        <f t="shared" si="1"/>
        <v>#N/A</v>
      </c>
      <c r="F2979" s="16" t="e">
        <f t="shared" ref="F2979:K2979" si="5996">VLOOKUP($A2979,[9]Hacienda!$A$1:$O$285,F$1,0)</f>
        <v>#N/A</v>
      </c>
      <c r="G2979" s="39" t="e">
        <f t="shared" si="5996"/>
        <v>#N/A</v>
      </c>
      <c r="H2979" s="16" t="e">
        <f t="shared" si="5996"/>
        <v>#N/A</v>
      </c>
      <c r="I2979" s="16" t="e">
        <f t="shared" si="5996"/>
        <v>#N/A</v>
      </c>
      <c r="J2979" s="40" t="e">
        <f t="shared" si="5996"/>
        <v>#N/A</v>
      </c>
      <c r="K2979" s="16" t="e">
        <f t="shared" si="5996"/>
        <v>#N/A</v>
      </c>
      <c r="L2979" s="40" t="e">
        <f t="shared" si="5441"/>
        <v>#N/A</v>
      </c>
      <c r="M2979" s="16" t="e">
        <f t="shared" si="5442"/>
        <v>#N/A</v>
      </c>
      <c r="N2979" s="16" t="e">
        <f t="shared" si="5443"/>
        <v>#N/A</v>
      </c>
      <c r="O2979" s="16" t="s">
        <v>73</v>
      </c>
      <c r="P2979" s="16" t="str">
        <f t="shared" si="6"/>
        <v/>
      </c>
      <c r="Q2979" s="41" t="e">
        <f t="shared" si="5444"/>
        <v>#N/A</v>
      </c>
      <c r="R2979" s="44"/>
      <c r="S2979" s="44"/>
      <c r="T2979" s="43"/>
      <c r="U2979" s="43" t="str">
        <f t="shared" si="8"/>
        <v>No</v>
      </c>
      <c r="V2979" s="25"/>
      <c r="W2979" s="25"/>
      <c r="X2979" s="25"/>
      <c r="Y2979" s="25"/>
      <c r="Z2979" s="25"/>
    </row>
    <row r="2980" spans="1:26" ht="15.75" customHeight="1" x14ac:dyDescent="0.25">
      <c r="A2980" s="25">
        <v>2978</v>
      </c>
      <c r="B2980" s="37" t="e">
        <f t="shared" ref="B2980:D2980" si="5997">VLOOKUP($A2980,[9]Hacienda!$A$1:$O$285,B$1,0)</f>
        <v>#N/A</v>
      </c>
      <c r="C2980" s="38" t="e">
        <f t="shared" si="5997"/>
        <v>#N/A</v>
      </c>
      <c r="D2980" s="39" t="e">
        <f t="shared" si="5997"/>
        <v>#N/A</v>
      </c>
      <c r="E2980" s="16" t="e">
        <f t="shared" si="1"/>
        <v>#N/A</v>
      </c>
      <c r="F2980" s="16" t="e">
        <f t="shared" ref="F2980:K2980" si="5998">VLOOKUP($A2980,[9]Hacienda!$A$1:$O$285,F$1,0)</f>
        <v>#N/A</v>
      </c>
      <c r="G2980" s="39" t="e">
        <f t="shared" si="5998"/>
        <v>#N/A</v>
      </c>
      <c r="H2980" s="16" t="e">
        <f t="shared" si="5998"/>
        <v>#N/A</v>
      </c>
      <c r="I2980" s="16" t="e">
        <f t="shared" si="5998"/>
        <v>#N/A</v>
      </c>
      <c r="J2980" s="40" t="e">
        <f t="shared" si="5998"/>
        <v>#N/A</v>
      </c>
      <c r="K2980" s="16" t="e">
        <f t="shared" si="5998"/>
        <v>#N/A</v>
      </c>
      <c r="L2980" s="40" t="e">
        <f t="shared" si="5441"/>
        <v>#N/A</v>
      </c>
      <c r="M2980" s="16" t="e">
        <f t="shared" si="5442"/>
        <v>#N/A</v>
      </c>
      <c r="N2980" s="16" t="e">
        <f t="shared" si="5443"/>
        <v>#N/A</v>
      </c>
      <c r="O2980" s="16" t="s">
        <v>73</v>
      </c>
      <c r="P2980" s="16" t="str">
        <f t="shared" si="6"/>
        <v/>
      </c>
      <c r="Q2980" s="41" t="e">
        <f t="shared" si="5444"/>
        <v>#N/A</v>
      </c>
      <c r="R2980" s="44"/>
      <c r="S2980" s="44"/>
      <c r="T2980" s="43"/>
      <c r="U2980" s="43" t="str">
        <f t="shared" si="8"/>
        <v>No</v>
      </c>
      <c r="V2980" s="25"/>
      <c r="W2980" s="25"/>
      <c r="X2980" s="25"/>
      <c r="Y2980" s="25"/>
      <c r="Z2980" s="25"/>
    </row>
    <row r="2981" spans="1:26" ht="15.75" customHeight="1" x14ac:dyDescent="0.25">
      <c r="A2981" s="25">
        <v>2979</v>
      </c>
      <c r="B2981" s="37" t="e">
        <f t="shared" ref="B2981:D2981" si="5999">VLOOKUP($A2981,[9]Hacienda!$A$1:$O$285,B$1,0)</f>
        <v>#N/A</v>
      </c>
      <c r="C2981" s="38" t="e">
        <f t="shared" si="5999"/>
        <v>#N/A</v>
      </c>
      <c r="D2981" s="39" t="e">
        <f t="shared" si="5999"/>
        <v>#N/A</v>
      </c>
      <c r="E2981" s="16" t="e">
        <f t="shared" si="1"/>
        <v>#N/A</v>
      </c>
      <c r="F2981" s="16" t="e">
        <f t="shared" ref="F2981:K2981" si="6000">VLOOKUP($A2981,[9]Hacienda!$A$1:$O$285,F$1,0)</f>
        <v>#N/A</v>
      </c>
      <c r="G2981" s="39" t="e">
        <f t="shared" si="6000"/>
        <v>#N/A</v>
      </c>
      <c r="H2981" s="16" t="e">
        <f t="shared" si="6000"/>
        <v>#N/A</v>
      </c>
      <c r="I2981" s="16" t="e">
        <f t="shared" si="6000"/>
        <v>#N/A</v>
      </c>
      <c r="J2981" s="40" t="e">
        <f t="shared" si="6000"/>
        <v>#N/A</v>
      </c>
      <c r="K2981" s="16" t="e">
        <f t="shared" si="6000"/>
        <v>#N/A</v>
      </c>
      <c r="L2981" s="40" t="e">
        <f t="shared" si="5441"/>
        <v>#N/A</v>
      </c>
      <c r="M2981" s="16" t="e">
        <f t="shared" si="5442"/>
        <v>#N/A</v>
      </c>
      <c r="N2981" s="16" t="e">
        <f t="shared" si="5443"/>
        <v>#N/A</v>
      </c>
      <c r="O2981" s="16" t="s">
        <v>73</v>
      </c>
      <c r="P2981" s="16" t="str">
        <f t="shared" si="6"/>
        <v/>
      </c>
      <c r="Q2981" s="41" t="e">
        <f t="shared" si="5444"/>
        <v>#N/A</v>
      </c>
      <c r="R2981" s="44"/>
      <c r="S2981" s="44"/>
      <c r="T2981" s="43"/>
      <c r="U2981" s="43" t="str">
        <f t="shared" si="8"/>
        <v>No</v>
      </c>
      <c r="V2981" s="25"/>
      <c r="W2981" s="25"/>
      <c r="X2981" s="25"/>
      <c r="Y2981" s="25"/>
      <c r="Z2981" s="25"/>
    </row>
    <row r="2982" spans="1:26" ht="15.75" customHeight="1" x14ac:dyDescent="0.25">
      <c r="A2982" s="25">
        <v>2980</v>
      </c>
      <c r="B2982" s="37" t="e">
        <f t="shared" ref="B2982:D2982" si="6001">VLOOKUP($A2982,[9]Hacienda!$A$1:$O$285,B$1,0)</f>
        <v>#N/A</v>
      </c>
      <c r="C2982" s="38" t="e">
        <f t="shared" si="6001"/>
        <v>#N/A</v>
      </c>
      <c r="D2982" s="39" t="e">
        <f t="shared" si="6001"/>
        <v>#N/A</v>
      </c>
      <c r="E2982" s="16" t="e">
        <f t="shared" si="1"/>
        <v>#N/A</v>
      </c>
      <c r="F2982" s="16" t="e">
        <f t="shared" ref="F2982:K2982" si="6002">VLOOKUP($A2982,[9]Hacienda!$A$1:$O$285,F$1,0)</f>
        <v>#N/A</v>
      </c>
      <c r="G2982" s="39" t="e">
        <f t="shared" si="6002"/>
        <v>#N/A</v>
      </c>
      <c r="H2982" s="16" t="e">
        <f t="shared" si="6002"/>
        <v>#N/A</v>
      </c>
      <c r="I2982" s="16" t="e">
        <f t="shared" si="6002"/>
        <v>#N/A</v>
      </c>
      <c r="J2982" s="40" t="e">
        <f t="shared" si="6002"/>
        <v>#N/A</v>
      </c>
      <c r="K2982" s="16" t="e">
        <f t="shared" si="6002"/>
        <v>#N/A</v>
      </c>
      <c r="L2982" s="40" t="e">
        <f t="shared" si="5441"/>
        <v>#N/A</v>
      </c>
      <c r="M2982" s="16" t="e">
        <f t="shared" si="5442"/>
        <v>#N/A</v>
      </c>
      <c r="N2982" s="16" t="e">
        <f t="shared" si="5443"/>
        <v>#N/A</v>
      </c>
      <c r="O2982" s="16" t="s">
        <v>73</v>
      </c>
      <c r="P2982" s="16" t="str">
        <f t="shared" si="6"/>
        <v/>
      </c>
      <c r="Q2982" s="41" t="e">
        <f t="shared" si="5444"/>
        <v>#N/A</v>
      </c>
      <c r="R2982" s="44"/>
      <c r="S2982" s="44"/>
      <c r="T2982" s="43"/>
      <c r="U2982" s="43" t="str">
        <f t="shared" si="8"/>
        <v>No</v>
      </c>
      <c r="V2982" s="25"/>
      <c r="W2982" s="25"/>
      <c r="X2982" s="25"/>
      <c r="Y2982" s="25"/>
      <c r="Z2982" s="25"/>
    </row>
    <row r="2983" spans="1:26" ht="15.75" customHeight="1" x14ac:dyDescent="0.25">
      <c r="A2983" s="25">
        <v>2981</v>
      </c>
      <c r="B2983" s="37" t="e">
        <f t="shared" ref="B2983:D2983" si="6003">VLOOKUP($A2983,[9]Hacienda!$A$1:$O$285,B$1,0)</f>
        <v>#N/A</v>
      </c>
      <c r="C2983" s="38" t="e">
        <f t="shared" si="6003"/>
        <v>#N/A</v>
      </c>
      <c r="D2983" s="39" t="e">
        <f t="shared" si="6003"/>
        <v>#N/A</v>
      </c>
      <c r="E2983" s="16" t="e">
        <f t="shared" si="1"/>
        <v>#N/A</v>
      </c>
      <c r="F2983" s="16" t="e">
        <f t="shared" ref="F2983:K2983" si="6004">VLOOKUP($A2983,[9]Hacienda!$A$1:$O$285,F$1,0)</f>
        <v>#N/A</v>
      </c>
      <c r="G2983" s="39" t="e">
        <f t="shared" si="6004"/>
        <v>#N/A</v>
      </c>
      <c r="H2983" s="16" t="e">
        <f t="shared" si="6004"/>
        <v>#N/A</v>
      </c>
      <c r="I2983" s="16" t="e">
        <f t="shared" si="6004"/>
        <v>#N/A</v>
      </c>
      <c r="J2983" s="40" t="e">
        <f t="shared" si="6004"/>
        <v>#N/A</v>
      </c>
      <c r="K2983" s="16" t="e">
        <f t="shared" si="6004"/>
        <v>#N/A</v>
      </c>
      <c r="L2983" s="40" t="e">
        <f t="shared" si="5441"/>
        <v>#N/A</v>
      </c>
      <c r="M2983" s="16" t="e">
        <f t="shared" si="5442"/>
        <v>#N/A</v>
      </c>
      <c r="N2983" s="16" t="e">
        <f t="shared" si="5443"/>
        <v>#N/A</v>
      </c>
      <c r="O2983" s="16" t="s">
        <v>73</v>
      </c>
      <c r="P2983" s="16" t="str">
        <f t="shared" si="6"/>
        <v/>
      </c>
      <c r="Q2983" s="41" t="e">
        <f t="shared" si="5444"/>
        <v>#N/A</v>
      </c>
      <c r="R2983" s="44"/>
      <c r="S2983" s="44"/>
      <c r="T2983" s="43"/>
      <c r="U2983" s="43" t="str">
        <f t="shared" si="8"/>
        <v>No</v>
      </c>
      <c r="V2983" s="25"/>
      <c r="W2983" s="25"/>
      <c r="X2983" s="25"/>
      <c r="Y2983" s="25"/>
      <c r="Z2983" s="25"/>
    </row>
    <row r="2984" spans="1:26" ht="15.75" customHeight="1" x14ac:dyDescent="0.25">
      <c r="A2984" s="25">
        <v>2982</v>
      </c>
      <c r="B2984" s="37" t="e">
        <f t="shared" ref="B2984:D2984" si="6005">VLOOKUP($A2984,[9]Hacienda!$A$1:$O$285,B$1,0)</f>
        <v>#N/A</v>
      </c>
      <c r="C2984" s="38" t="e">
        <f t="shared" si="6005"/>
        <v>#N/A</v>
      </c>
      <c r="D2984" s="39" t="e">
        <f t="shared" si="6005"/>
        <v>#N/A</v>
      </c>
      <c r="E2984" s="16" t="e">
        <f t="shared" si="1"/>
        <v>#N/A</v>
      </c>
      <c r="F2984" s="16" t="e">
        <f t="shared" ref="F2984:K2984" si="6006">VLOOKUP($A2984,[9]Hacienda!$A$1:$O$285,F$1,0)</f>
        <v>#N/A</v>
      </c>
      <c r="G2984" s="39" t="e">
        <f t="shared" si="6006"/>
        <v>#N/A</v>
      </c>
      <c r="H2984" s="16" t="e">
        <f t="shared" si="6006"/>
        <v>#N/A</v>
      </c>
      <c r="I2984" s="16" t="e">
        <f t="shared" si="6006"/>
        <v>#N/A</v>
      </c>
      <c r="J2984" s="40" t="e">
        <f t="shared" si="6006"/>
        <v>#N/A</v>
      </c>
      <c r="K2984" s="16" t="e">
        <f t="shared" si="6006"/>
        <v>#N/A</v>
      </c>
      <c r="L2984" s="40" t="e">
        <f t="shared" si="5441"/>
        <v>#N/A</v>
      </c>
      <c r="M2984" s="16" t="e">
        <f t="shared" si="5442"/>
        <v>#N/A</v>
      </c>
      <c r="N2984" s="16" t="e">
        <f t="shared" si="5443"/>
        <v>#N/A</v>
      </c>
      <c r="O2984" s="16" t="s">
        <v>73</v>
      </c>
      <c r="P2984" s="16" t="str">
        <f t="shared" si="6"/>
        <v/>
      </c>
      <c r="Q2984" s="41" t="e">
        <f t="shared" si="5444"/>
        <v>#N/A</v>
      </c>
      <c r="R2984" s="44"/>
      <c r="S2984" s="44"/>
      <c r="T2984" s="43"/>
      <c r="U2984" s="43" t="str">
        <f t="shared" si="8"/>
        <v>No</v>
      </c>
      <c r="V2984" s="25"/>
      <c r="W2984" s="25"/>
      <c r="X2984" s="25"/>
      <c r="Y2984" s="25"/>
      <c r="Z2984" s="25"/>
    </row>
    <row r="2985" spans="1:26" ht="15.75" customHeight="1" x14ac:dyDescent="0.25">
      <c r="A2985" s="25">
        <v>2983</v>
      </c>
      <c r="B2985" s="37" t="e">
        <f t="shared" ref="B2985:D2985" si="6007">VLOOKUP($A2985,[9]Hacienda!$A$1:$O$285,B$1,0)</f>
        <v>#N/A</v>
      </c>
      <c r="C2985" s="38" t="e">
        <f t="shared" si="6007"/>
        <v>#N/A</v>
      </c>
      <c r="D2985" s="39" t="e">
        <f t="shared" si="6007"/>
        <v>#N/A</v>
      </c>
      <c r="E2985" s="16" t="e">
        <f t="shared" si="1"/>
        <v>#N/A</v>
      </c>
      <c r="F2985" s="16" t="e">
        <f t="shared" ref="F2985:K2985" si="6008">VLOOKUP($A2985,[9]Hacienda!$A$1:$O$285,F$1,0)</f>
        <v>#N/A</v>
      </c>
      <c r="G2985" s="39" t="e">
        <f t="shared" si="6008"/>
        <v>#N/A</v>
      </c>
      <c r="H2985" s="16" t="e">
        <f t="shared" si="6008"/>
        <v>#N/A</v>
      </c>
      <c r="I2985" s="16" t="e">
        <f t="shared" si="6008"/>
        <v>#N/A</v>
      </c>
      <c r="J2985" s="40" t="e">
        <f t="shared" si="6008"/>
        <v>#N/A</v>
      </c>
      <c r="K2985" s="16" t="e">
        <f t="shared" si="6008"/>
        <v>#N/A</v>
      </c>
      <c r="L2985" s="40" t="e">
        <f t="shared" si="5441"/>
        <v>#N/A</v>
      </c>
      <c r="M2985" s="16" t="e">
        <f t="shared" si="5442"/>
        <v>#N/A</v>
      </c>
      <c r="N2985" s="16" t="e">
        <f t="shared" si="5443"/>
        <v>#N/A</v>
      </c>
      <c r="O2985" s="16" t="s">
        <v>73</v>
      </c>
      <c r="P2985" s="16" t="str">
        <f t="shared" si="6"/>
        <v/>
      </c>
      <c r="Q2985" s="41" t="e">
        <f t="shared" si="5444"/>
        <v>#N/A</v>
      </c>
      <c r="R2985" s="44"/>
      <c r="S2985" s="44"/>
      <c r="T2985" s="43"/>
      <c r="U2985" s="43" t="str">
        <f t="shared" si="8"/>
        <v>No</v>
      </c>
      <c r="V2985" s="25"/>
      <c r="W2985" s="25"/>
      <c r="X2985" s="25"/>
      <c r="Y2985" s="25"/>
      <c r="Z2985" s="25"/>
    </row>
    <row r="2986" spans="1:26" ht="15.75" customHeight="1" x14ac:dyDescent="0.25">
      <c r="A2986" s="25">
        <v>2984</v>
      </c>
      <c r="B2986" s="37" t="e">
        <f t="shared" ref="B2986:D2986" si="6009">VLOOKUP($A2986,[9]Hacienda!$A$1:$O$285,B$1,0)</f>
        <v>#N/A</v>
      </c>
      <c r="C2986" s="38" t="e">
        <f t="shared" si="6009"/>
        <v>#N/A</v>
      </c>
      <c r="D2986" s="39" t="e">
        <f t="shared" si="6009"/>
        <v>#N/A</v>
      </c>
      <c r="E2986" s="16" t="e">
        <f t="shared" si="1"/>
        <v>#N/A</v>
      </c>
      <c r="F2986" s="16" t="e">
        <f t="shared" ref="F2986:K2986" si="6010">VLOOKUP($A2986,[9]Hacienda!$A$1:$O$285,F$1,0)</f>
        <v>#N/A</v>
      </c>
      <c r="G2986" s="39" t="e">
        <f t="shared" si="6010"/>
        <v>#N/A</v>
      </c>
      <c r="H2986" s="16" t="e">
        <f t="shared" si="6010"/>
        <v>#N/A</v>
      </c>
      <c r="I2986" s="16" t="e">
        <f t="shared" si="6010"/>
        <v>#N/A</v>
      </c>
      <c r="J2986" s="40" t="e">
        <f t="shared" si="6010"/>
        <v>#N/A</v>
      </c>
      <c r="K2986" s="16" t="e">
        <f t="shared" si="6010"/>
        <v>#N/A</v>
      </c>
      <c r="L2986" s="40" t="e">
        <f t="shared" si="5441"/>
        <v>#N/A</v>
      </c>
      <c r="M2986" s="16" t="e">
        <f t="shared" si="5442"/>
        <v>#N/A</v>
      </c>
      <c r="N2986" s="16" t="e">
        <f t="shared" si="5443"/>
        <v>#N/A</v>
      </c>
      <c r="O2986" s="16" t="s">
        <v>73</v>
      </c>
      <c r="P2986" s="16" t="str">
        <f t="shared" si="6"/>
        <v/>
      </c>
      <c r="Q2986" s="41" t="e">
        <f t="shared" si="5444"/>
        <v>#N/A</v>
      </c>
      <c r="R2986" s="44"/>
      <c r="S2986" s="44"/>
      <c r="T2986" s="43"/>
      <c r="U2986" s="43" t="str">
        <f t="shared" si="8"/>
        <v>No</v>
      </c>
      <c r="V2986" s="25"/>
      <c r="W2986" s="25"/>
      <c r="X2986" s="25"/>
      <c r="Y2986" s="25"/>
      <c r="Z2986" s="25"/>
    </row>
    <row r="2987" spans="1:26" ht="15.75" customHeight="1" x14ac:dyDescent="0.25">
      <c r="A2987" s="25">
        <v>2985</v>
      </c>
      <c r="B2987" s="37" t="e">
        <f t="shared" ref="B2987:D2987" si="6011">VLOOKUP($A2987,[9]Hacienda!$A$1:$O$285,B$1,0)</f>
        <v>#N/A</v>
      </c>
      <c r="C2987" s="38" t="e">
        <f t="shared" si="6011"/>
        <v>#N/A</v>
      </c>
      <c r="D2987" s="39" t="e">
        <f t="shared" si="6011"/>
        <v>#N/A</v>
      </c>
      <c r="E2987" s="16" t="e">
        <f t="shared" si="1"/>
        <v>#N/A</v>
      </c>
      <c r="F2987" s="16" t="e">
        <f t="shared" ref="F2987:K2987" si="6012">VLOOKUP($A2987,[9]Hacienda!$A$1:$O$285,F$1,0)</f>
        <v>#N/A</v>
      </c>
      <c r="G2987" s="39" t="e">
        <f t="shared" si="6012"/>
        <v>#N/A</v>
      </c>
      <c r="H2987" s="16" t="e">
        <f t="shared" si="6012"/>
        <v>#N/A</v>
      </c>
      <c r="I2987" s="16" t="e">
        <f t="shared" si="6012"/>
        <v>#N/A</v>
      </c>
      <c r="J2987" s="40" t="e">
        <f t="shared" si="6012"/>
        <v>#N/A</v>
      </c>
      <c r="K2987" s="16" t="e">
        <f t="shared" si="6012"/>
        <v>#N/A</v>
      </c>
      <c r="L2987" s="40" t="e">
        <f t="shared" si="5441"/>
        <v>#N/A</v>
      </c>
      <c r="M2987" s="16" t="e">
        <f t="shared" si="5442"/>
        <v>#N/A</v>
      </c>
      <c r="N2987" s="16" t="e">
        <f t="shared" si="5443"/>
        <v>#N/A</v>
      </c>
      <c r="O2987" s="16" t="s">
        <v>73</v>
      </c>
      <c r="P2987" s="16" t="str">
        <f t="shared" si="6"/>
        <v/>
      </c>
      <c r="Q2987" s="41" t="e">
        <f t="shared" si="5444"/>
        <v>#N/A</v>
      </c>
      <c r="R2987" s="44"/>
      <c r="S2987" s="44"/>
      <c r="T2987" s="43"/>
      <c r="U2987" s="43" t="str">
        <f t="shared" si="8"/>
        <v>No</v>
      </c>
      <c r="V2987" s="25"/>
      <c r="W2987" s="25"/>
      <c r="X2987" s="25"/>
      <c r="Y2987" s="25"/>
      <c r="Z2987" s="25"/>
    </row>
    <row r="2988" spans="1:26" ht="15.75" customHeight="1" x14ac:dyDescent="0.25">
      <c r="A2988" s="25">
        <v>2986</v>
      </c>
      <c r="B2988" s="37" t="e">
        <f t="shared" ref="B2988:D2988" si="6013">VLOOKUP($A2988,[9]Hacienda!$A$1:$O$285,B$1,0)</f>
        <v>#N/A</v>
      </c>
      <c r="C2988" s="38" t="e">
        <f t="shared" si="6013"/>
        <v>#N/A</v>
      </c>
      <c r="D2988" s="39" t="e">
        <f t="shared" si="6013"/>
        <v>#N/A</v>
      </c>
      <c r="E2988" s="16" t="e">
        <f t="shared" si="1"/>
        <v>#N/A</v>
      </c>
      <c r="F2988" s="16" t="e">
        <f t="shared" ref="F2988:K2988" si="6014">VLOOKUP($A2988,[9]Hacienda!$A$1:$O$285,F$1,0)</f>
        <v>#N/A</v>
      </c>
      <c r="G2988" s="39" t="e">
        <f t="shared" si="6014"/>
        <v>#N/A</v>
      </c>
      <c r="H2988" s="16" t="e">
        <f t="shared" si="6014"/>
        <v>#N/A</v>
      </c>
      <c r="I2988" s="16" t="e">
        <f t="shared" si="6014"/>
        <v>#N/A</v>
      </c>
      <c r="J2988" s="40" t="e">
        <f t="shared" si="6014"/>
        <v>#N/A</v>
      </c>
      <c r="K2988" s="16" t="e">
        <f t="shared" si="6014"/>
        <v>#N/A</v>
      </c>
      <c r="L2988" s="40" t="e">
        <f t="shared" si="5441"/>
        <v>#N/A</v>
      </c>
      <c r="M2988" s="16" t="e">
        <f t="shared" si="5442"/>
        <v>#N/A</v>
      </c>
      <c r="N2988" s="16" t="e">
        <f t="shared" si="5443"/>
        <v>#N/A</v>
      </c>
      <c r="O2988" s="16" t="s">
        <v>73</v>
      </c>
      <c r="P2988" s="16" t="str">
        <f t="shared" si="6"/>
        <v/>
      </c>
      <c r="Q2988" s="41" t="e">
        <f t="shared" si="5444"/>
        <v>#N/A</v>
      </c>
      <c r="R2988" s="44"/>
      <c r="S2988" s="44"/>
      <c r="T2988" s="43"/>
      <c r="U2988" s="43" t="str">
        <f t="shared" si="8"/>
        <v>No</v>
      </c>
      <c r="V2988" s="25"/>
      <c r="W2988" s="25"/>
      <c r="X2988" s="25"/>
      <c r="Y2988" s="25"/>
      <c r="Z2988" s="25"/>
    </row>
    <row r="2989" spans="1:26" ht="15.75" customHeight="1" x14ac:dyDescent="0.25">
      <c r="A2989" s="25">
        <v>2987</v>
      </c>
      <c r="B2989" s="37" t="e">
        <f t="shared" ref="B2989:D2989" si="6015">VLOOKUP($A2989,[9]Hacienda!$A$1:$O$285,B$1,0)</f>
        <v>#N/A</v>
      </c>
      <c r="C2989" s="38" t="e">
        <f t="shared" si="6015"/>
        <v>#N/A</v>
      </c>
      <c r="D2989" s="39" t="e">
        <f t="shared" si="6015"/>
        <v>#N/A</v>
      </c>
      <c r="E2989" s="16" t="e">
        <f t="shared" si="1"/>
        <v>#N/A</v>
      </c>
      <c r="F2989" s="16" t="e">
        <f t="shared" ref="F2989:K2989" si="6016">VLOOKUP($A2989,[9]Hacienda!$A$1:$O$285,F$1,0)</f>
        <v>#N/A</v>
      </c>
      <c r="G2989" s="39" t="e">
        <f t="shared" si="6016"/>
        <v>#N/A</v>
      </c>
      <c r="H2989" s="16" t="e">
        <f t="shared" si="6016"/>
        <v>#N/A</v>
      </c>
      <c r="I2989" s="16" t="e">
        <f t="shared" si="6016"/>
        <v>#N/A</v>
      </c>
      <c r="J2989" s="40" t="e">
        <f t="shared" si="6016"/>
        <v>#N/A</v>
      </c>
      <c r="K2989" s="16" t="e">
        <f t="shared" si="6016"/>
        <v>#N/A</v>
      </c>
      <c r="L2989" s="40" t="e">
        <f t="shared" si="5441"/>
        <v>#N/A</v>
      </c>
      <c r="M2989" s="16" t="e">
        <f t="shared" si="5442"/>
        <v>#N/A</v>
      </c>
      <c r="N2989" s="16" t="e">
        <f t="shared" si="5443"/>
        <v>#N/A</v>
      </c>
      <c r="O2989" s="16" t="s">
        <v>73</v>
      </c>
      <c r="P2989" s="16" t="str">
        <f t="shared" si="6"/>
        <v/>
      </c>
      <c r="Q2989" s="41" t="e">
        <f t="shared" si="5444"/>
        <v>#N/A</v>
      </c>
      <c r="R2989" s="44"/>
      <c r="S2989" s="44"/>
      <c r="T2989" s="43"/>
      <c r="U2989" s="43" t="str">
        <f t="shared" si="8"/>
        <v>No</v>
      </c>
      <c r="V2989" s="25"/>
      <c r="W2989" s="25"/>
      <c r="X2989" s="25"/>
      <c r="Y2989" s="25"/>
      <c r="Z2989" s="25"/>
    </row>
    <row r="2990" spans="1:26" ht="15.75" customHeight="1" x14ac:dyDescent="0.25">
      <c r="A2990" s="25">
        <v>2988</v>
      </c>
      <c r="B2990" s="37" t="e">
        <f t="shared" ref="B2990:D2990" si="6017">VLOOKUP($A2990,[9]Hacienda!$A$1:$O$285,B$1,0)</f>
        <v>#N/A</v>
      </c>
      <c r="C2990" s="38" t="e">
        <f t="shared" si="6017"/>
        <v>#N/A</v>
      </c>
      <c r="D2990" s="39" t="e">
        <f t="shared" si="6017"/>
        <v>#N/A</v>
      </c>
      <c r="E2990" s="16" t="e">
        <f t="shared" si="1"/>
        <v>#N/A</v>
      </c>
      <c r="F2990" s="16" t="e">
        <f t="shared" ref="F2990:K2990" si="6018">VLOOKUP($A2990,[9]Hacienda!$A$1:$O$285,F$1,0)</f>
        <v>#N/A</v>
      </c>
      <c r="G2990" s="39" t="e">
        <f t="shared" si="6018"/>
        <v>#N/A</v>
      </c>
      <c r="H2990" s="16" t="e">
        <f t="shared" si="6018"/>
        <v>#N/A</v>
      </c>
      <c r="I2990" s="16" t="e">
        <f t="shared" si="6018"/>
        <v>#N/A</v>
      </c>
      <c r="J2990" s="40" t="e">
        <f t="shared" si="6018"/>
        <v>#N/A</v>
      </c>
      <c r="K2990" s="16" t="e">
        <f t="shared" si="6018"/>
        <v>#N/A</v>
      </c>
      <c r="L2990" s="40" t="e">
        <f t="shared" si="5441"/>
        <v>#N/A</v>
      </c>
      <c r="M2990" s="16" t="e">
        <f t="shared" si="5442"/>
        <v>#N/A</v>
      </c>
      <c r="N2990" s="16" t="e">
        <f t="shared" si="5443"/>
        <v>#N/A</v>
      </c>
      <c r="O2990" s="16" t="s">
        <v>73</v>
      </c>
      <c r="P2990" s="16" t="str">
        <f t="shared" si="6"/>
        <v/>
      </c>
      <c r="Q2990" s="41" t="e">
        <f t="shared" si="5444"/>
        <v>#N/A</v>
      </c>
      <c r="R2990" s="44"/>
      <c r="S2990" s="44"/>
      <c r="T2990" s="43"/>
      <c r="U2990" s="43" t="str">
        <f t="shared" si="8"/>
        <v>No</v>
      </c>
      <c r="V2990" s="25"/>
      <c r="W2990" s="25"/>
      <c r="X2990" s="25"/>
      <c r="Y2990" s="25"/>
      <c r="Z2990" s="25"/>
    </row>
    <row r="2991" spans="1:26" ht="15.75" customHeight="1" x14ac:dyDescent="0.25">
      <c r="A2991" s="25">
        <v>2989</v>
      </c>
      <c r="B2991" s="37" t="e">
        <f t="shared" ref="B2991:D2991" si="6019">VLOOKUP($A2991,[9]Hacienda!$A$1:$O$285,B$1,0)</f>
        <v>#N/A</v>
      </c>
      <c r="C2991" s="38" t="e">
        <f t="shared" si="6019"/>
        <v>#N/A</v>
      </c>
      <c r="D2991" s="39" t="e">
        <f t="shared" si="6019"/>
        <v>#N/A</v>
      </c>
      <c r="E2991" s="16" t="e">
        <f t="shared" si="1"/>
        <v>#N/A</v>
      </c>
      <c r="F2991" s="16" t="e">
        <f t="shared" ref="F2991:K2991" si="6020">VLOOKUP($A2991,[9]Hacienda!$A$1:$O$285,F$1,0)</f>
        <v>#N/A</v>
      </c>
      <c r="G2991" s="39" t="e">
        <f t="shared" si="6020"/>
        <v>#N/A</v>
      </c>
      <c r="H2991" s="16" t="e">
        <f t="shared" si="6020"/>
        <v>#N/A</v>
      </c>
      <c r="I2991" s="16" t="e">
        <f t="shared" si="6020"/>
        <v>#N/A</v>
      </c>
      <c r="J2991" s="40" t="e">
        <f t="shared" si="6020"/>
        <v>#N/A</v>
      </c>
      <c r="K2991" s="16" t="e">
        <f t="shared" si="6020"/>
        <v>#N/A</v>
      </c>
      <c r="L2991" s="40" t="e">
        <f t="shared" si="5441"/>
        <v>#N/A</v>
      </c>
      <c r="M2991" s="16" t="e">
        <f t="shared" si="5442"/>
        <v>#N/A</v>
      </c>
      <c r="N2991" s="16" t="e">
        <f t="shared" si="5443"/>
        <v>#N/A</v>
      </c>
      <c r="O2991" s="16" t="s">
        <v>73</v>
      </c>
      <c r="P2991" s="16" t="str">
        <f t="shared" si="6"/>
        <v/>
      </c>
      <c r="Q2991" s="41" t="e">
        <f t="shared" si="5444"/>
        <v>#N/A</v>
      </c>
      <c r="R2991" s="44"/>
      <c r="S2991" s="44"/>
      <c r="T2991" s="43"/>
      <c r="U2991" s="43" t="str">
        <f t="shared" si="8"/>
        <v>No</v>
      </c>
      <c r="V2991" s="25"/>
      <c r="W2991" s="25"/>
      <c r="X2991" s="25"/>
      <c r="Y2991" s="25"/>
      <c r="Z2991" s="25"/>
    </row>
    <row r="2992" spans="1:26" ht="15.75" customHeight="1" x14ac:dyDescent="0.25">
      <c r="A2992" s="25">
        <v>2990</v>
      </c>
      <c r="B2992" s="37" t="e">
        <f t="shared" ref="B2992:D2992" si="6021">VLOOKUP($A2992,[9]Hacienda!$A$1:$O$285,B$1,0)</f>
        <v>#N/A</v>
      </c>
      <c r="C2992" s="38" t="e">
        <f t="shared" si="6021"/>
        <v>#N/A</v>
      </c>
      <c r="D2992" s="39" t="e">
        <f t="shared" si="6021"/>
        <v>#N/A</v>
      </c>
      <c r="E2992" s="16" t="e">
        <f t="shared" si="1"/>
        <v>#N/A</v>
      </c>
      <c r="F2992" s="16" t="e">
        <f t="shared" ref="F2992:K2992" si="6022">VLOOKUP($A2992,[9]Hacienda!$A$1:$O$285,F$1,0)</f>
        <v>#N/A</v>
      </c>
      <c r="G2992" s="39" t="e">
        <f t="shared" si="6022"/>
        <v>#N/A</v>
      </c>
      <c r="H2992" s="16" t="e">
        <f t="shared" si="6022"/>
        <v>#N/A</v>
      </c>
      <c r="I2992" s="16" t="e">
        <f t="shared" si="6022"/>
        <v>#N/A</v>
      </c>
      <c r="J2992" s="40" t="e">
        <f t="shared" si="6022"/>
        <v>#N/A</v>
      </c>
      <c r="K2992" s="16" t="e">
        <f t="shared" si="6022"/>
        <v>#N/A</v>
      </c>
      <c r="L2992" s="40" t="e">
        <f t="shared" si="5441"/>
        <v>#N/A</v>
      </c>
      <c r="M2992" s="16" t="e">
        <f t="shared" si="5442"/>
        <v>#N/A</v>
      </c>
      <c r="N2992" s="16" t="e">
        <f t="shared" si="5443"/>
        <v>#N/A</v>
      </c>
      <c r="O2992" s="16" t="s">
        <v>73</v>
      </c>
      <c r="P2992" s="16" t="str">
        <f t="shared" si="6"/>
        <v/>
      </c>
      <c r="Q2992" s="41" t="e">
        <f t="shared" si="5444"/>
        <v>#N/A</v>
      </c>
      <c r="R2992" s="44"/>
      <c r="S2992" s="44"/>
      <c r="T2992" s="43"/>
      <c r="U2992" s="43" t="str">
        <f t="shared" si="8"/>
        <v>No</v>
      </c>
      <c r="V2992" s="25"/>
      <c r="W2992" s="25"/>
      <c r="X2992" s="25"/>
      <c r="Y2992" s="25"/>
      <c r="Z2992" s="25"/>
    </row>
    <row r="2993" spans="1:26" ht="15.75" customHeight="1" x14ac:dyDescent="0.25">
      <c r="A2993" s="25">
        <v>2991</v>
      </c>
      <c r="B2993" s="37" t="e">
        <f t="shared" ref="B2993:D2993" si="6023">VLOOKUP($A2993,[9]Hacienda!$A$1:$O$285,B$1,0)</f>
        <v>#N/A</v>
      </c>
      <c r="C2993" s="38" t="e">
        <f t="shared" si="6023"/>
        <v>#N/A</v>
      </c>
      <c r="D2993" s="39" t="e">
        <f t="shared" si="6023"/>
        <v>#N/A</v>
      </c>
      <c r="E2993" s="16" t="e">
        <f t="shared" si="1"/>
        <v>#N/A</v>
      </c>
      <c r="F2993" s="16" t="e">
        <f t="shared" ref="F2993:K2993" si="6024">VLOOKUP($A2993,[9]Hacienda!$A$1:$O$285,F$1,0)</f>
        <v>#N/A</v>
      </c>
      <c r="G2993" s="39" t="e">
        <f t="shared" si="6024"/>
        <v>#N/A</v>
      </c>
      <c r="H2993" s="16" t="e">
        <f t="shared" si="6024"/>
        <v>#N/A</v>
      </c>
      <c r="I2993" s="16" t="e">
        <f t="shared" si="6024"/>
        <v>#N/A</v>
      </c>
      <c r="J2993" s="40" t="e">
        <f t="shared" si="6024"/>
        <v>#N/A</v>
      </c>
      <c r="K2993" s="16" t="e">
        <f t="shared" si="6024"/>
        <v>#N/A</v>
      </c>
      <c r="L2993" s="40" t="e">
        <f t="shared" si="5441"/>
        <v>#N/A</v>
      </c>
      <c r="M2993" s="16" t="e">
        <f t="shared" si="5442"/>
        <v>#N/A</v>
      </c>
      <c r="N2993" s="16" t="e">
        <f t="shared" si="5443"/>
        <v>#N/A</v>
      </c>
      <c r="O2993" s="16" t="s">
        <v>73</v>
      </c>
      <c r="P2993" s="16" t="str">
        <f t="shared" si="6"/>
        <v/>
      </c>
      <c r="Q2993" s="41" t="e">
        <f t="shared" si="5444"/>
        <v>#N/A</v>
      </c>
      <c r="R2993" s="44"/>
      <c r="S2993" s="44"/>
      <c r="T2993" s="43"/>
      <c r="U2993" s="43" t="str">
        <f t="shared" si="8"/>
        <v>No</v>
      </c>
      <c r="V2993" s="25"/>
      <c r="W2993" s="25"/>
      <c r="X2993" s="25"/>
      <c r="Y2993" s="25"/>
      <c r="Z2993" s="25"/>
    </row>
    <row r="2994" spans="1:26" ht="15.75" customHeight="1" x14ac:dyDescent="0.25">
      <c r="A2994" s="25">
        <v>2992</v>
      </c>
      <c r="B2994" s="37" t="e">
        <f t="shared" ref="B2994:D2994" si="6025">VLOOKUP($A2994,[9]Hacienda!$A$1:$O$285,B$1,0)</f>
        <v>#N/A</v>
      </c>
      <c r="C2994" s="38" t="e">
        <f t="shared" si="6025"/>
        <v>#N/A</v>
      </c>
      <c r="D2994" s="39" t="e">
        <f t="shared" si="6025"/>
        <v>#N/A</v>
      </c>
      <c r="E2994" s="16" t="e">
        <f t="shared" si="1"/>
        <v>#N/A</v>
      </c>
      <c r="F2994" s="16" t="e">
        <f t="shared" ref="F2994:K2994" si="6026">VLOOKUP($A2994,[9]Hacienda!$A$1:$O$285,F$1,0)</f>
        <v>#N/A</v>
      </c>
      <c r="G2994" s="39" t="e">
        <f t="shared" si="6026"/>
        <v>#N/A</v>
      </c>
      <c r="H2994" s="16" t="e">
        <f t="shared" si="6026"/>
        <v>#N/A</v>
      </c>
      <c r="I2994" s="16" t="e">
        <f t="shared" si="6026"/>
        <v>#N/A</v>
      </c>
      <c r="J2994" s="40" t="e">
        <f t="shared" si="6026"/>
        <v>#N/A</v>
      </c>
      <c r="K2994" s="16" t="e">
        <f t="shared" si="6026"/>
        <v>#N/A</v>
      </c>
      <c r="L2994" s="40" t="e">
        <f t="shared" si="5441"/>
        <v>#N/A</v>
      </c>
      <c r="M2994" s="16" t="e">
        <f t="shared" si="5442"/>
        <v>#N/A</v>
      </c>
      <c r="N2994" s="16" t="e">
        <f t="shared" si="5443"/>
        <v>#N/A</v>
      </c>
      <c r="O2994" s="16" t="s">
        <v>73</v>
      </c>
      <c r="P2994" s="16" t="str">
        <f t="shared" si="6"/>
        <v/>
      </c>
      <c r="Q2994" s="41" t="e">
        <f t="shared" si="5444"/>
        <v>#N/A</v>
      </c>
      <c r="R2994" s="44"/>
      <c r="S2994" s="44"/>
      <c r="T2994" s="43"/>
      <c r="U2994" s="43" t="str">
        <f t="shared" si="8"/>
        <v>No</v>
      </c>
      <c r="V2994" s="25"/>
      <c r="W2994" s="25"/>
      <c r="X2994" s="25"/>
      <c r="Y2994" s="25"/>
      <c r="Z2994" s="25"/>
    </row>
    <row r="2995" spans="1:26" ht="15.75" customHeight="1" x14ac:dyDescent="0.25">
      <c r="A2995" s="25">
        <v>2993</v>
      </c>
      <c r="B2995" s="37" t="e">
        <f t="shared" ref="B2995:D2995" si="6027">VLOOKUP($A2995,[9]Hacienda!$A$1:$O$285,B$1,0)</f>
        <v>#N/A</v>
      </c>
      <c r="C2995" s="38" t="e">
        <f t="shared" si="6027"/>
        <v>#N/A</v>
      </c>
      <c r="D2995" s="39" t="e">
        <f t="shared" si="6027"/>
        <v>#N/A</v>
      </c>
      <c r="E2995" s="16" t="e">
        <f t="shared" si="1"/>
        <v>#N/A</v>
      </c>
      <c r="F2995" s="16" t="e">
        <f t="shared" ref="F2995:K2995" si="6028">VLOOKUP($A2995,[9]Hacienda!$A$1:$O$285,F$1,0)</f>
        <v>#N/A</v>
      </c>
      <c r="G2995" s="39" t="e">
        <f t="shared" si="6028"/>
        <v>#N/A</v>
      </c>
      <c r="H2995" s="16" t="e">
        <f t="shared" si="6028"/>
        <v>#N/A</v>
      </c>
      <c r="I2995" s="16" t="e">
        <f t="shared" si="6028"/>
        <v>#N/A</v>
      </c>
      <c r="J2995" s="40" t="e">
        <f t="shared" si="6028"/>
        <v>#N/A</v>
      </c>
      <c r="K2995" s="16" t="e">
        <f t="shared" si="6028"/>
        <v>#N/A</v>
      </c>
      <c r="L2995" s="40" t="e">
        <f t="shared" si="5441"/>
        <v>#N/A</v>
      </c>
      <c r="M2995" s="16" t="e">
        <f t="shared" si="5442"/>
        <v>#N/A</v>
      </c>
      <c r="N2995" s="16" t="e">
        <f t="shared" si="5443"/>
        <v>#N/A</v>
      </c>
      <c r="O2995" s="16" t="s">
        <v>73</v>
      </c>
      <c r="P2995" s="16" t="str">
        <f t="shared" si="6"/>
        <v/>
      </c>
      <c r="Q2995" s="41" t="e">
        <f t="shared" si="5444"/>
        <v>#N/A</v>
      </c>
      <c r="R2995" s="44"/>
      <c r="S2995" s="44"/>
      <c r="T2995" s="43"/>
      <c r="U2995" s="43" t="str">
        <f t="shared" si="8"/>
        <v>No</v>
      </c>
      <c r="V2995" s="25"/>
      <c r="W2995" s="25"/>
      <c r="X2995" s="25"/>
      <c r="Y2995" s="25"/>
      <c r="Z2995" s="25"/>
    </row>
    <row r="2996" spans="1:26" ht="15.75" customHeight="1" x14ac:dyDescent="0.25">
      <c r="A2996" s="25">
        <v>2994</v>
      </c>
      <c r="B2996" s="37" t="e">
        <f t="shared" ref="B2996:D2996" si="6029">VLOOKUP($A2996,[9]Hacienda!$A$1:$O$285,B$1,0)</f>
        <v>#N/A</v>
      </c>
      <c r="C2996" s="38" t="e">
        <f t="shared" si="6029"/>
        <v>#N/A</v>
      </c>
      <c r="D2996" s="39" t="e">
        <f t="shared" si="6029"/>
        <v>#N/A</v>
      </c>
      <c r="E2996" s="16" t="e">
        <f t="shared" si="1"/>
        <v>#N/A</v>
      </c>
      <c r="F2996" s="16" t="e">
        <f t="shared" ref="F2996:K2996" si="6030">VLOOKUP($A2996,[9]Hacienda!$A$1:$O$285,F$1,0)</f>
        <v>#N/A</v>
      </c>
      <c r="G2996" s="39" t="e">
        <f t="shared" si="6030"/>
        <v>#N/A</v>
      </c>
      <c r="H2996" s="16" t="e">
        <f t="shared" si="6030"/>
        <v>#N/A</v>
      </c>
      <c r="I2996" s="16" t="e">
        <f t="shared" si="6030"/>
        <v>#N/A</v>
      </c>
      <c r="J2996" s="40" t="e">
        <f t="shared" si="6030"/>
        <v>#N/A</v>
      </c>
      <c r="K2996" s="16" t="e">
        <f t="shared" si="6030"/>
        <v>#N/A</v>
      </c>
      <c r="L2996" s="40" t="e">
        <f t="shared" si="5441"/>
        <v>#N/A</v>
      </c>
      <c r="M2996" s="16" t="e">
        <f t="shared" si="5442"/>
        <v>#N/A</v>
      </c>
      <c r="N2996" s="16" t="e">
        <f t="shared" si="5443"/>
        <v>#N/A</v>
      </c>
      <c r="O2996" s="16" t="s">
        <v>73</v>
      </c>
      <c r="P2996" s="16" t="str">
        <f t="shared" si="6"/>
        <v/>
      </c>
      <c r="Q2996" s="41" t="e">
        <f t="shared" si="5444"/>
        <v>#N/A</v>
      </c>
      <c r="R2996" s="44"/>
      <c r="S2996" s="44"/>
      <c r="T2996" s="43"/>
      <c r="U2996" s="43" t="str">
        <f t="shared" si="8"/>
        <v>No</v>
      </c>
      <c r="V2996" s="25"/>
      <c r="W2996" s="25"/>
      <c r="X2996" s="25"/>
      <c r="Y2996" s="25"/>
      <c r="Z2996" s="25"/>
    </row>
    <row r="2997" spans="1:26" ht="15.75" customHeight="1" x14ac:dyDescent="0.25">
      <c r="A2997" s="25">
        <v>2995</v>
      </c>
      <c r="B2997" s="37" t="e">
        <f t="shared" ref="B2997:D2997" si="6031">VLOOKUP($A2997,[9]Hacienda!$A$1:$O$285,B$1,0)</f>
        <v>#N/A</v>
      </c>
      <c r="C2997" s="38" t="e">
        <f t="shared" si="6031"/>
        <v>#N/A</v>
      </c>
      <c r="D2997" s="39" t="e">
        <f t="shared" si="6031"/>
        <v>#N/A</v>
      </c>
      <c r="E2997" s="16" t="e">
        <f t="shared" si="1"/>
        <v>#N/A</v>
      </c>
      <c r="F2997" s="16" t="e">
        <f t="shared" ref="F2997:K2997" si="6032">VLOOKUP($A2997,[9]Hacienda!$A$1:$O$285,F$1,0)</f>
        <v>#N/A</v>
      </c>
      <c r="G2997" s="39" t="e">
        <f t="shared" si="6032"/>
        <v>#N/A</v>
      </c>
      <c r="H2997" s="16" t="e">
        <f t="shared" si="6032"/>
        <v>#N/A</v>
      </c>
      <c r="I2997" s="16" t="e">
        <f t="shared" si="6032"/>
        <v>#N/A</v>
      </c>
      <c r="J2997" s="40" t="e">
        <f t="shared" si="6032"/>
        <v>#N/A</v>
      </c>
      <c r="K2997" s="16" t="e">
        <f t="shared" si="6032"/>
        <v>#N/A</v>
      </c>
      <c r="L2997" s="40" t="e">
        <f t="shared" si="5441"/>
        <v>#N/A</v>
      </c>
      <c r="M2997" s="16" t="e">
        <f t="shared" si="5442"/>
        <v>#N/A</v>
      </c>
      <c r="N2997" s="16" t="e">
        <f t="shared" si="5443"/>
        <v>#N/A</v>
      </c>
      <c r="O2997" s="16" t="s">
        <v>73</v>
      </c>
      <c r="P2997" s="16" t="str">
        <f t="shared" si="6"/>
        <v/>
      </c>
      <c r="Q2997" s="41" t="e">
        <f t="shared" si="5444"/>
        <v>#N/A</v>
      </c>
      <c r="R2997" s="44"/>
      <c r="S2997" s="44"/>
      <c r="T2997" s="43"/>
      <c r="U2997" s="43" t="str">
        <f t="shared" si="8"/>
        <v>No</v>
      </c>
      <c r="V2997" s="25"/>
      <c r="W2997" s="25"/>
      <c r="X2997" s="25"/>
      <c r="Y2997" s="25"/>
      <c r="Z2997" s="25"/>
    </row>
    <row r="2998" spans="1:26" ht="15.75" customHeight="1" x14ac:dyDescent="0.25">
      <c r="A2998" s="25">
        <v>2996</v>
      </c>
      <c r="B2998" s="37" t="e">
        <f t="shared" ref="B2998:D2998" si="6033">VLOOKUP($A2998,[9]Hacienda!$A$1:$O$285,B$1,0)</f>
        <v>#N/A</v>
      </c>
      <c r="C2998" s="38" t="e">
        <f t="shared" si="6033"/>
        <v>#N/A</v>
      </c>
      <c r="D2998" s="39" t="e">
        <f t="shared" si="6033"/>
        <v>#N/A</v>
      </c>
      <c r="E2998" s="16" t="e">
        <f t="shared" si="1"/>
        <v>#N/A</v>
      </c>
      <c r="F2998" s="16" t="e">
        <f t="shared" ref="F2998:K2998" si="6034">VLOOKUP($A2998,[9]Hacienda!$A$1:$O$285,F$1,0)</f>
        <v>#N/A</v>
      </c>
      <c r="G2998" s="39" t="e">
        <f t="shared" si="6034"/>
        <v>#N/A</v>
      </c>
      <c r="H2998" s="16" t="e">
        <f t="shared" si="6034"/>
        <v>#N/A</v>
      </c>
      <c r="I2998" s="16" t="e">
        <f t="shared" si="6034"/>
        <v>#N/A</v>
      </c>
      <c r="J2998" s="40" t="e">
        <f t="shared" si="6034"/>
        <v>#N/A</v>
      </c>
      <c r="K2998" s="16" t="e">
        <f t="shared" si="6034"/>
        <v>#N/A</v>
      </c>
      <c r="L2998" s="40" t="e">
        <f t="shared" si="5441"/>
        <v>#N/A</v>
      </c>
      <c r="M2998" s="16" t="e">
        <f t="shared" si="5442"/>
        <v>#N/A</v>
      </c>
      <c r="N2998" s="16" t="e">
        <f t="shared" si="5443"/>
        <v>#N/A</v>
      </c>
      <c r="O2998" s="16" t="s">
        <v>73</v>
      </c>
      <c r="P2998" s="16" t="str">
        <f t="shared" si="6"/>
        <v/>
      </c>
      <c r="Q2998" s="41" t="e">
        <f t="shared" si="5444"/>
        <v>#N/A</v>
      </c>
      <c r="R2998" s="44"/>
      <c r="S2998" s="44"/>
      <c r="T2998" s="43"/>
      <c r="U2998" s="43" t="str">
        <f t="shared" si="8"/>
        <v>No</v>
      </c>
      <c r="V2998" s="25"/>
      <c r="W2998" s="25"/>
      <c r="X2998" s="25"/>
      <c r="Y2998" s="25"/>
      <c r="Z2998" s="25"/>
    </row>
    <row r="2999" spans="1:26" ht="15.75" customHeight="1" x14ac:dyDescent="0.25">
      <c r="A2999" s="25">
        <v>2997</v>
      </c>
      <c r="B2999" s="37" t="e">
        <f t="shared" ref="B2999:D2999" si="6035">VLOOKUP($A2999,[9]Hacienda!$A$1:$O$285,B$1,0)</f>
        <v>#N/A</v>
      </c>
      <c r="C2999" s="38" t="e">
        <f t="shared" si="6035"/>
        <v>#N/A</v>
      </c>
      <c r="D2999" s="39" t="e">
        <f t="shared" si="6035"/>
        <v>#N/A</v>
      </c>
      <c r="E2999" s="16" t="e">
        <f t="shared" si="1"/>
        <v>#N/A</v>
      </c>
      <c r="F2999" s="16" t="e">
        <f t="shared" ref="F2999:K2999" si="6036">VLOOKUP($A2999,[9]Hacienda!$A$1:$O$285,F$1,0)</f>
        <v>#N/A</v>
      </c>
      <c r="G2999" s="39" t="e">
        <f t="shared" si="6036"/>
        <v>#N/A</v>
      </c>
      <c r="H2999" s="16" t="e">
        <f t="shared" si="6036"/>
        <v>#N/A</v>
      </c>
      <c r="I2999" s="16" t="e">
        <f t="shared" si="6036"/>
        <v>#N/A</v>
      </c>
      <c r="J2999" s="40" t="e">
        <f t="shared" si="6036"/>
        <v>#N/A</v>
      </c>
      <c r="K2999" s="16" t="e">
        <f t="shared" si="6036"/>
        <v>#N/A</v>
      </c>
      <c r="L2999" s="40" t="e">
        <f t="shared" si="5441"/>
        <v>#N/A</v>
      </c>
      <c r="M2999" s="16" t="e">
        <f t="shared" si="5442"/>
        <v>#N/A</v>
      </c>
      <c r="N2999" s="16" t="e">
        <f t="shared" si="5443"/>
        <v>#N/A</v>
      </c>
      <c r="O2999" s="16" t="s">
        <v>73</v>
      </c>
      <c r="P2999" s="16" t="str">
        <f t="shared" si="6"/>
        <v/>
      </c>
      <c r="Q2999" s="41" t="e">
        <f t="shared" si="5444"/>
        <v>#N/A</v>
      </c>
      <c r="R2999" s="44"/>
      <c r="S2999" s="44"/>
      <c r="T2999" s="43"/>
      <c r="U2999" s="43" t="str">
        <f t="shared" si="8"/>
        <v>No</v>
      </c>
      <c r="V2999" s="25"/>
      <c r="W2999" s="25"/>
      <c r="X2999" s="25"/>
      <c r="Y2999" s="25"/>
      <c r="Z2999" s="25"/>
    </row>
    <row r="3000" spans="1:26" ht="15.75" customHeight="1" x14ac:dyDescent="0.25">
      <c r="A3000" s="25">
        <v>2998</v>
      </c>
      <c r="B3000" s="37" t="e">
        <f t="shared" ref="B3000:D3000" si="6037">VLOOKUP($A3000,[9]Hacienda!$A$1:$O$285,B$1,0)</f>
        <v>#N/A</v>
      </c>
      <c r="C3000" s="38" t="e">
        <f t="shared" si="6037"/>
        <v>#N/A</v>
      </c>
      <c r="D3000" s="39" t="e">
        <f t="shared" si="6037"/>
        <v>#N/A</v>
      </c>
      <c r="E3000" s="16" t="e">
        <f t="shared" si="1"/>
        <v>#N/A</v>
      </c>
      <c r="F3000" s="16" t="e">
        <f t="shared" ref="F3000:K3000" si="6038">VLOOKUP($A3000,[9]Hacienda!$A$1:$O$285,F$1,0)</f>
        <v>#N/A</v>
      </c>
      <c r="G3000" s="39" t="e">
        <f t="shared" si="6038"/>
        <v>#N/A</v>
      </c>
      <c r="H3000" s="16" t="e">
        <f t="shared" si="6038"/>
        <v>#N/A</v>
      </c>
      <c r="I3000" s="16" t="e">
        <f t="shared" si="6038"/>
        <v>#N/A</v>
      </c>
      <c r="J3000" s="40" t="e">
        <f t="shared" si="6038"/>
        <v>#N/A</v>
      </c>
      <c r="K3000" s="16" t="e">
        <f t="shared" si="6038"/>
        <v>#N/A</v>
      </c>
      <c r="L3000" s="40" t="e">
        <f t="shared" si="5441"/>
        <v>#N/A</v>
      </c>
      <c r="M3000" s="16" t="e">
        <f t="shared" si="5442"/>
        <v>#N/A</v>
      </c>
      <c r="N3000" s="16" t="e">
        <f t="shared" si="5443"/>
        <v>#N/A</v>
      </c>
      <c r="O3000" s="16" t="s">
        <v>73</v>
      </c>
      <c r="P3000" s="16" t="str">
        <f t="shared" si="6"/>
        <v/>
      </c>
      <c r="Q3000" s="41" t="e">
        <f t="shared" si="5444"/>
        <v>#N/A</v>
      </c>
      <c r="R3000" s="44"/>
      <c r="S3000" s="44"/>
      <c r="T3000" s="43"/>
      <c r="U3000" s="43" t="str">
        <f t="shared" si="8"/>
        <v>No</v>
      </c>
      <c r="V3000" s="25"/>
      <c r="W3000" s="25"/>
      <c r="X3000" s="25"/>
      <c r="Y3000" s="25"/>
      <c r="Z3000" s="25"/>
    </row>
    <row r="3001" spans="1:26" ht="15.75" customHeight="1" x14ac:dyDescent="0.25">
      <c r="A3001" s="25">
        <v>2999</v>
      </c>
      <c r="B3001" s="37" t="e">
        <f t="shared" ref="B3001:D3001" si="6039">VLOOKUP($A3001,[9]Hacienda!$A$1:$O$285,B$1,0)</f>
        <v>#N/A</v>
      </c>
      <c r="C3001" s="38" t="e">
        <f t="shared" si="6039"/>
        <v>#N/A</v>
      </c>
      <c r="D3001" s="39" t="e">
        <f t="shared" si="6039"/>
        <v>#N/A</v>
      </c>
      <c r="E3001" s="16" t="e">
        <f t="shared" si="1"/>
        <v>#N/A</v>
      </c>
      <c r="F3001" s="16" t="e">
        <f t="shared" ref="F3001:K3001" si="6040">VLOOKUP($A3001,[9]Hacienda!$A$1:$O$285,F$1,0)</f>
        <v>#N/A</v>
      </c>
      <c r="G3001" s="39" t="e">
        <f t="shared" si="6040"/>
        <v>#N/A</v>
      </c>
      <c r="H3001" s="16" t="e">
        <f t="shared" si="6040"/>
        <v>#N/A</v>
      </c>
      <c r="I3001" s="16" t="e">
        <f t="shared" si="6040"/>
        <v>#N/A</v>
      </c>
      <c r="J3001" s="40" t="e">
        <f t="shared" si="6040"/>
        <v>#N/A</v>
      </c>
      <c r="K3001" s="16" t="e">
        <f t="shared" si="6040"/>
        <v>#N/A</v>
      </c>
      <c r="L3001" s="40" t="e">
        <f t="shared" si="5441"/>
        <v>#N/A</v>
      </c>
      <c r="M3001" s="16" t="e">
        <f t="shared" si="5442"/>
        <v>#N/A</v>
      </c>
      <c r="N3001" s="16" t="e">
        <f t="shared" si="5443"/>
        <v>#N/A</v>
      </c>
      <c r="O3001" s="16" t="s">
        <v>73</v>
      </c>
      <c r="P3001" s="16" t="str">
        <f t="shared" si="6"/>
        <v/>
      </c>
      <c r="Q3001" s="41" t="e">
        <f t="shared" si="5444"/>
        <v>#N/A</v>
      </c>
      <c r="R3001" s="44"/>
      <c r="S3001" s="44"/>
      <c r="T3001" s="43"/>
      <c r="U3001" s="43" t="str">
        <f t="shared" si="8"/>
        <v>No</v>
      </c>
      <c r="V3001" s="25"/>
      <c r="W3001" s="25"/>
      <c r="X3001" s="25"/>
      <c r="Y3001" s="25"/>
      <c r="Z3001" s="25"/>
    </row>
    <row r="3002" spans="1:26" ht="15.75" customHeight="1" x14ac:dyDescent="0.25">
      <c r="A3002" s="25">
        <v>3000</v>
      </c>
      <c r="B3002" s="37" t="e">
        <f t="shared" ref="B3002:D3002" si="6041">VLOOKUP($A3002,[9]Hacienda!$A$1:$O$285,B$1,0)</f>
        <v>#N/A</v>
      </c>
      <c r="C3002" s="38" t="e">
        <f t="shared" si="6041"/>
        <v>#N/A</v>
      </c>
      <c r="D3002" s="39" t="e">
        <f t="shared" si="6041"/>
        <v>#N/A</v>
      </c>
      <c r="E3002" s="16" t="e">
        <f t="shared" si="1"/>
        <v>#N/A</v>
      </c>
      <c r="F3002" s="16" t="e">
        <f t="shared" ref="F3002:K3002" si="6042">VLOOKUP($A3002,[9]Hacienda!$A$1:$O$285,F$1,0)</f>
        <v>#N/A</v>
      </c>
      <c r="G3002" s="39" t="e">
        <f t="shared" si="6042"/>
        <v>#N/A</v>
      </c>
      <c r="H3002" s="16" t="e">
        <f t="shared" si="6042"/>
        <v>#N/A</v>
      </c>
      <c r="I3002" s="16" t="e">
        <f t="shared" si="6042"/>
        <v>#N/A</v>
      </c>
      <c r="J3002" s="40" t="e">
        <f t="shared" si="6042"/>
        <v>#N/A</v>
      </c>
      <c r="K3002" s="16" t="e">
        <f t="shared" si="6042"/>
        <v>#N/A</v>
      </c>
      <c r="L3002" s="40" t="e">
        <f t="shared" si="5441"/>
        <v>#N/A</v>
      </c>
      <c r="M3002" s="16" t="e">
        <f t="shared" si="5442"/>
        <v>#N/A</v>
      </c>
      <c r="N3002" s="16" t="e">
        <f t="shared" si="5443"/>
        <v>#N/A</v>
      </c>
      <c r="O3002" s="16" t="s">
        <v>73</v>
      </c>
      <c r="P3002" s="16" t="str">
        <f t="shared" si="6"/>
        <v/>
      </c>
      <c r="Q3002" s="41" t="e">
        <f t="shared" si="5444"/>
        <v>#N/A</v>
      </c>
      <c r="R3002" s="44"/>
      <c r="S3002" s="44"/>
      <c r="T3002" s="43"/>
      <c r="U3002" s="43" t="str">
        <f t="shared" si="8"/>
        <v>No</v>
      </c>
      <c r="V3002" s="25"/>
      <c r="W3002" s="25"/>
      <c r="X3002" s="25"/>
      <c r="Y3002" s="25"/>
      <c r="Z3002" s="25"/>
    </row>
    <row r="3003" spans="1:26" ht="15.75" customHeight="1" x14ac:dyDescent="0.25">
      <c r="A3003" s="25">
        <v>3001</v>
      </c>
      <c r="B3003" s="37" t="e">
        <f t="shared" ref="B3003:D3003" si="6043">VLOOKUP($A3003,[10]Mujer!$A$1:$O$279,B$1,0)</f>
        <v>#N/A</v>
      </c>
      <c r="C3003" s="38" t="e">
        <f t="shared" si="6043"/>
        <v>#N/A</v>
      </c>
      <c r="D3003" s="39" t="e">
        <f t="shared" si="6043"/>
        <v>#N/A</v>
      </c>
      <c r="E3003" s="16" t="e">
        <f t="shared" si="1"/>
        <v>#N/A</v>
      </c>
      <c r="F3003" s="16" t="e">
        <f t="shared" ref="F3003:K3003" si="6044">VLOOKUP($A3003,[10]Mujer!$A$1:$O$279,F$1,0)</f>
        <v>#N/A</v>
      </c>
      <c r="G3003" s="39" t="e">
        <f t="shared" si="6044"/>
        <v>#N/A</v>
      </c>
      <c r="H3003" s="16" t="e">
        <f t="shared" si="6044"/>
        <v>#N/A</v>
      </c>
      <c r="I3003" s="16" t="e">
        <f t="shared" si="6044"/>
        <v>#N/A</v>
      </c>
      <c r="J3003" s="40" t="e">
        <f t="shared" si="6044"/>
        <v>#N/A</v>
      </c>
      <c r="K3003" s="16" t="e">
        <f t="shared" si="6044"/>
        <v>#N/A</v>
      </c>
      <c r="L3003" s="40" t="e">
        <f t="shared" ref="L3003:L3302" si="6045">VLOOKUP($A3003,[10]Mujer!$A$1:$O$279,13,0)</f>
        <v>#N/A</v>
      </c>
      <c r="M3003" s="16" t="e">
        <f t="shared" ref="M3003:M3302" si="6046">VLOOKUP($A3003,[10]Mujer!$A$1:$O$279,14,0)</f>
        <v>#N/A</v>
      </c>
      <c r="N3003" s="16" t="e">
        <f t="shared" ref="N3003:N3302" si="6047">VLOOKUP($A3003,[10]Mujer!$A$1:$O$279,15,0)</f>
        <v>#N/A</v>
      </c>
      <c r="O3003" s="16" t="s">
        <v>74</v>
      </c>
      <c r="P3003" s="16" t="str">
        <f t="shared" si="6"/>
        <v/>
      </c>
      <c r="Q3003" s="41" t="e">
        <f t="shared" ref="Q3003:Q3302" si="6048">VLOOKUP($A3003,[10]Mujer!$A$1:$O$274,12,0)</f>
        <v>#N/A</v>
      </c>
      <c r="R3003" s="44"/>
      <c r="S3003" s="44"/>
      <c r="T3003" s="43"/>
      <c r="U3003" s="43" t="str">
        <f t="shared" si="8"/>
        <v>No</v>
      </c>
      <c r="V3003" s="25"/>
      <c r="W3003" s="25"/>
      <c r="X3003" s="25"/>
      <c r="Y3003" s="25"/>
      <c r="Z3003" s="25"/>
    </row>
    <row r="3004" spans="1:26" ht="15.75" customHeight="1" x14ac:dyDescent="0.25">
      <c r="A3004" s="25">
        <v>3002</v>
      </c>
      <c r="B3004" s="37" t="e">
        <f t="shared" ref="B3004:D3004" si="6049">VLOOKUP($A3004,[10]Mujer!$A$1:$O$279,B$1,0)</f>
        <v>#N/A</v>
      </c>
      <c r="C3004" s="38" t="e">
        <f t="shared" si="6049"/>
        <v>#N/A</v>
      </c>
      <c r="D3004" s="39" t="e">
        <f t="shared" si="6049"/>
        <v>#N/A</v>
      </c>
      <c r="E3004" s="16" t="e">
        <f t="shared" si="1"/>
        <v>#N/A</v>
      </c>
      <c r="F3004" s="16" t="e">
        <f t="shared" ref="F3004:K3004" si="6050">VLOOKUP($A3004,[10]Mujer!$A$1:$O$279,F$1,0)</f>
        <v>#N/A</v>
      </c>
      <c r="G3004" s="39" t="e">
        <f t="shared" si="6050"/>
        <v>#N/A</v>
      </c>
      <c r="H3004" s="16" t="e">
        <f t="shared" si="6050"/>
        <v>#N/A</v>
      </c>
      <c r="I3004" s="16" t="e">
        <f t="shared" si="6050"/>
        <v>#N/A</v>
      </c>
      <c r="J3004" s="40" t="e">
        <f t="shared" si="6050"/>
        <v>#N/A</v>
      </c>
      <c r="K3004" s="16" t="e">
        <f t="shared" si="6050"/>
        <v>#N/A</v>
      </c>
      <c r="L3004" s="40" t="e">
        <f t="shared" si="6045"/>
        <v>#N/A</v>
      </c>
      <c r="M3004" s="16" t="e">
        <f t="shared" si="6046"/>
        <v>#N/A</v>
      </c>
      <c r="N3004" s="16" t="e">
        <f t="shared" si="6047"/>
        <v>#N/A</v>
      </c>
      <c r="O3004" s="16" t="s">
        <v>74</v>
      </c>
      <c r="P3004" s="16" t="str">
        <f t="shared" si="6"/>
        <v/>
      </c>
      <c r="Q3004" s="41" t="e">
        <f t="shared" si="6048"/>
        <v>#N/A</v>
      </c>
      <c r="R3004" s="44"/>
      <c r="S3004" s="44"/>
      <c r="T3004" s="43"/>
      <c r="U3004" s="43" t="str">
        <f t="shared" si="8"/>
        <v>No</v>
      </c>
      <c r="V3004" s="25"/>
      <c r="W3004" s="25"/>
      <c r="X3004" s="25"/>
      <c r="Y3004" s="25"/>
      <c r="Z3004" s="25"/>
    </row>
    <row r="3005" spans="1:26" ht="15.75" customHeight="1" x14ac:dyDescent="0.25">
      <c r="A3005" s="25">
        <v>3003</v>
      </c>
      <c r="B3005" s="37" t="e">
        <f t="shared" ref="B3005:D3005" si="6051">VLOOKUP($A3005,[10]Mujer!$A$1:$O$279,B$1,0)</f>
        <v>#N/A</v>
      </c>
      <c r="C3005" s="38" t="e">
        <f t="shared" si="6051"/>
        <v>#N/A</v>
      </c>
      <c r="D3005" s="39" t="e">
        <f t="shared" si="6051"/>
        <v>#N/A</v>
      </c>
      <c r="E3005" s="16" t="e">
        <f t="shared" si="1"/>
        <v>#N/A</v>
      </c>
      <c r="F3005" s="16" t="e">
        <f t="shared" ref="F3005:K3005" si="6052">VLOOKUP($A3005,[10]Mujer!$A$1:$O$279,F$1,0)</f>
        <v>#N/A</v>
      </c>
      <c r="G3005" s="39" t="e">
        <f t="shared" si="6052"/>
        <v>#N/A</v>
      </c>
      <c r="H3005" s="16" t="e">
        <f t="shared" si="6052"/>
        <v>#N/A</v>
      </c>
      <c r="I3005" s="16" t="e">
        <f t="shared" si="6052"/>
        <v>#N/A</v>
      </c>
      <c r="J3005" s="40" t="e">
        <f t="shared" si="6052"/>
        <v>#N/A</v>
      </c>
      <c r="K3005" s="16" t="e">
        <f t="shared" si="6052"/>
        <v>#N/A</v>
      </c>
      <c r="L3005" s="40" t="e">
        <f t="shared" si="6045"/>
        <v>#N/A</v>
      </c>
      <c r="M3005" s="16" t="e">
        <f t="shared" si="6046"/>
        <v>#N/A</v>
      </c>
      <c r="N3005" s="16" t="e">
        <f t="shared" si="6047"/>
        <v>#N/A</v>
      </c>
      <c r="O3005" s="16" t="s">
        <v>74</v>
      </c>
      <c r="P3005" s="16" t="str">
        <f t="shared" si="6"/>
        <v/>
      </c>
      <c r="Q3005" s="41" t="e">
        <f t="shared" si="6048"/>
        <v>#N/A</v>
      </c>
      <c r="R3005" s="44"/>
      <c r="S3005" s="44"/>
      <c r="T3005" s="43"/>
      <c r="U3005" s="43" t="str">
        <f t="shared" si="8"/>
        <v>No</v>
      </c>
      <c r="V3005" s="25"/>
      <c r="W3005" s="25"/>
      <c r="X3005" s="25"/>
      <c r="Y3005" s="25"/>
      <c r="Z3005" s="25"/>
    </row>
    <row r="3006" spans="1:26" ht="15.75" customHeight="1" x14ac:dyDescent="0.25">
      <c r="A3006" s="25">
        <v>3004</v>
      </c>
      <c r="B3006" s="37" t="e">
        <f t="shared" ref="B3006:D3006" si="6053">VLOOKUP($A3006,[10]Mujer!$A$1:$O$279,B$1,0)</f>
        <v>#N/A</v>
      </c>
      <c r="C3006" s="38" t="e">
        <f t="shared" si="6053"/>
        <v>#N/A</v>
      </c>
      <c r="D3006" s="39" t="e">
        <f t="shared" si="6053"/>
        <v>#N/A</v>
      </c>
      <c r="E3006" s="16" t="e">
        <f t="shared" si="1"/>
        <v>#N/A</v>
      </c>
      <c r="F3006" s="16" t="e">
        <f t="shared" ref="F3006:K3006" si="6054">VLOOKUP($A3006,[10]Mujer!$A$1:$O$279,F$1,0)</f>
        <v>#N/A</v>
      </c>
      <c r="G3006" s="39" t="e">
        <f t="shared" si="6054"/>
        <v>#N/A</v>
      </c>
      <c r="H3006" s="16" t="e">
        <f t="shared" si="6054"/>
        <v>#N/A</v>
      </c>
      <c r="I3006" s="16" t="e">
        <f t="shared" si="6054"/>
        <v>#N/A</v>
      </c>
      <c r="J3006" s="40" t="e">
        <f t="shared" si="6054"/>
        <v>#N/A</v>
      </c>
      <c r="K3006" s="16" t="e">
        <f t="shared" si="6054"/>
        <v>#N/A</v>
      </c>
      <c r="L3006" s="40" t="e">
        <f t="shared" si="6045"/>
        <v>#N/A</v>
      </c>
      <c r="M3006" s="16" t="e">
        <f t="shared" si="6046"/>
        <v>#N/A</v>
      </c>
      <c r="N3006" s="16" t="e">
        <f t="shared" si="6047"/>
        <v>#N/A</v>
      </c>
      <c r="O3006" s="16" t="s">
        <v>74</v>
      </c>
      <c r="P3006" s="16" t="str">
        <f t="shared" si="6"/>
        <v/>
      </c>
      <c r="Q3006" s="41" t="e">
        <f t="shared" si="6048"/>
        <v>#N/A</v>
      </c>
      <c r="R3006" s="44"/>
      <c r="S3006" s="44"/>
      <c r="T3006" s="43"/>
      <c r="U3006" s="43" t="str">
        <f t="shared" si="8"/>
        <v>No</v>
      </c>
      <c r="V3006" s="25"/>
      <c r="W3006" s="25"/>
      <c r="X3006" s="25"/>
      <c r="Y3006" s="25"/>
      <c r="Z3006" s="25"/>
    </row>
    <row r="3007" spans="1:26" ht="15.75" customHeight="1" x14ac:dyDescent="0.25">
      <c r="A3007" s="25">
        <v>3005</v>
      </c>
      <c r="B3007" s="37" t="e">
        <f t="shared" ref="B3007:D3007" si="6055">VLOOKUP($A3007,[10]Mujer!$A$1:$O$279,B$1,0)</f>
        <v>#N/A</v>
      </c>
      <c r="C3007" s="38" t="e">
        <f t="shared" si="6055"/>
        <v>#N/A</v>
      </c>
      <c r="D3007" s="39" t="e">
        <f t="shared" si="6055"/>
        <v>#N/A</v>
      </c>
      <c r="E3007" s="16" t="e">
        <f t="shared" si="1"/>
        <v>#N/A</v>
      </c>
      <c r="F3007" s="16" t="e">
        <f t="shared" ref="F3007:K3007" si="6056">VLOOKUP($A3007,[10]Mujer!$A$1:$O$279,F$1,0)</f>
        <v>#N/A</v>
      </c>
      <c r="G3007" s="39" t="e">
        <f t="shared" si="6056"/>
        <v>#N/A</v>
      </c>
      <c r="H3007" s="16" t="e">
        <f t="shared" si="6056"/>
        <v>#N/A</v>
      </c>
      <c r="I3007" s="16" t="e">
        <f t="shared" si="6056"/>
        <v>#N/A</v>
      </c>
      <c r="J3007" s="40" t="e">
        <f t="shared" si="6056"/>
        <v>#N/A</v>
      </c>
      <c r="K3007" s="16" t="e">
        <f t="shared" si="6056"/>
        <v>#N/A</v>
      </c>
      <c r="L3007" s="40" t="e">
        <f t="shared" si="6045"/>
        <v>#N/A</v>
      </c>
      <c r="M3007" s="16" t="e">
        <f t="shared" si="6046"/>
        <v>#N/A</v>
      </c>
      <c r="N3007" s="16" t="e">
        <f t="shared" si="6047"/>
        <v>#N/A</v>
      </c>
      <c r="O3007" s="16" t="s">
        <v>74</v>
      </c>
      <c r="P3007" s="16" t="str">
        <f t="shared" si="6"/>
        <v/>
      </c>
      <c r="Q3007" s="41" t="e">
        <f t="shared" si="6048"/>
        <v>#N/A</v>
      </c>
      <c r="R3007" s="44"/>
      <c r="S3007" s="44"/>
      <c r="T3007" s="43"/>
      <c r="U3007" s="43" t="str">
        <f t="shared" si="8"/>
        <v>No</v>
      </c>
      <c r="V3007" s="25"/>
      <c r="W3007" s="25"/>
      <c r="X3007" s="25"/>
      <c r="Y3007" s="25"/>
      <c r="Z3007" s="25"/>
    </row>
    <row r="3008" spans="1:26" ht="15.75" customHeight="1" x14ac:dyDescent="0.25">
      <c r="A3008" s="25">
        <v>3006</v>
      </c>
      <c r="B3008" s="37" t="e">
        <f t="shared" ref="B3008:D3008" si="6057">VLOOKUP($A3008,[10]Mujer!$A$1:$O$279,B$1,0)</f>
        <v>#N/A</v>
      </c>
      <c r="C3008" s="38" t="e">
        <f t="shared" si="6057"/>
        <v>#N/A</v>
      </c>
      <c r="D3008" s="39" t="e">
        <f t="shared" si="6057"/>
        <v>#N/A</v>
      </c>
      <c r="E3008" s="16" t="e">
        <f t="shared" si="1"/>
        <v>#N/A</v>
      </c>
      <c r="F3008" s="16" t="e">
        <f t="shared" ref="F3008:K3008" si="6058">VLOOKUP($A3008,[10]Mujer!$A$1:$O$279,F$1,0)</f>
        <v>#N/A</v>
      </c>
      <c r="G3008" s="39" t="e">
        <f t="shared" si="6058"/>
        <v>#N/A</v>
      </c>
      <c r="H3008" s="16" t="e">
        <f t="shared" si="6058"/>
        <v>#N/A</v>
      </c>
      <c r="I3008" s="16" t="e">
        <f t="shared" si="6058"/>
        <v>#N/A</v>
      </c>
      <c r="J3008" s="40" t="e">
        <f t="shared" si="6058"/>
        <v>#N/A</v>
      </c>
      <c r="K3008" s="16" t="e">
        <f t="shared" si="6058"/>
        <v>#N/A</v>
      </c>
      <c r="L3008" s="40" t="e">
        <f t="shared" si="6045"/>
        <v>#N/A</v>
      </c>
      <c r="M3008" s="16" t="e">
        <f t="shared" si="6046"/>
        <v>#N/A</v>
      </c>
      <c r="N3008" s="16" t="e">
        <f t="shared" si="6047"/>
        <v>#N/A</v>
      </c>
      <c r="O3008" s="16" t="s">
        <v>74</v>
      </c>
      <c r="P3008" s="16" t="str">
        <f t="shared" si="6"/>
        <v/>
      </c>
      <c r="Q3008" s="41" t="e">
        <f t="shared" si="6048"/>
        <v>#N/A</v>
      </c>
      <c r="R3008" s="44"/>
      <c r="S3008" s="44"/>
      <c r="T3008" s="43"/>
      <c r="U3008" s="43" t="str">
        <f t="shared" si="8"/>
        <v>No</v>
      </c>
      <c r="V3008" s="25"/>
      <c r="W3008" s="25"/>
      <c r="X3008" s="25"/>
      <c r="Y3008" s="25"/>
      <c r="Z3008" s="25"/>
    </row>
    <row r="3009" spans="1:26" ht="15.75" customHeight="1" x14ac:dyDescent="0.25">
      <c r="A3009" s="25">
        <v>3007</v>
      </c>
      <c r="B3009" s="37" t="e">
        <f t="shared" ref="B3009:D3009" si="6059">VLOOKUP($A3009,[10]Mujer!$A$1:$O$279,B$1,0)</f>
        <v>#N/A</v>
      </c>
      <c r="C3009" s="38" t="e">
        <f t="shared" si="6059"/>
        <v>#N/A</v>
      </c>
      <c r="D3009" s="39" t="e">
        <f t="shared" si="6059"/>
        <v>#N/A</v>
      </c>
      <c r="E3009" s="16" t="e">
        <f t="shared" si="1"/>
        <v>#N/A</v>
      </c>
      <c r="F3009" s="16" t="e">
        <f t="shared" ref="F3009:K3009" si="6060">VLOOKUP($A3009,[10]Mujer!$A$1:$O$279,F$1,0)</f>
        <v>#N/A</v>
      </c>
      <c r="G3009" s="39" t="e">
        <f t="shared" si="6060"/>
        <v>#N/A</v>
      </c>
      <c r="H3009" s="16" t="e">
        <f t="shared" si="6060"/>
        <v>#N/A</v>
      </c>
      <c r="I3009" s="16" t="e">
        <f t="shared" si="6060"/>
        <v>#N/A</v>
      </c>
      <c r="J3009" s="40" t="e">
        <f t="shared" si="6060"/>
        <v>#N/A</v>
      </c>
      <c r="K3009" s="16" t="e">
        <f t="shared" si="6060"/>
        <v>#N/A</v>
      </c>
      <c r="L3009" s="40" t="e">
        <f t="shared" si="6045"/>
        <v>#N/A</v>
      </c>
      <c r="M3009" s="16" t="e">
        <f t="shared" si="6046"/>
        <v>#N/A</v>
      </c>
      <c r="N3009" s="16" t="e">
        <f t="shared" si="6047"/>
        <v>#N/A</v>
      </c>
      <c r="O3009" s="16" t="s">
        <v>74</v>
      </c>
      <c r="P3009" s="16" t="str">
        <f t="shared" si="6"/>
        <v/>
      </c>
      <c r="Q3009" s="41" t="e">
        <f t="shared" si="6048"/>
        <v>#N/A</v>
      </c>
      <c r="R3009" s="44"/>
      <c r="S3009" s="44"/>
      <c r="T3009" s="43"/>
      <c r="U3009" s="43" t="str">
        <f t="shared" si="8"/>
        <v>No</v>
      </c>
      <c r="V3009" s="25"/>
      <c r="W3009" s="25"/>
      <c r="X3009" s="25"/>
      <c r="Y3009" s="25"/>
      <c r="Z3009" s="25"/>
    </row>
    <row r="3010" spans="1:26" ht="15.75" customHeight="1" x14ac:dyDescent="0.25">
      <c r="A3010" s="25">
        <v>3008</v>
      </c>
      <c r="B3010" s="37" t="e">
        <f t="shared" ref="B3010:D3010" si="6061">VLOOKUP($A3010,[10]Mujer!$A$1:$O$279,B$1,0)</f>
        <v>#N/A</v>
      </c>
      <c r="C3010" s="38" t="e">
        <f t="shared" si="6061"/>
        <v>#N/A</v>
      </c>
      <c r="D3010" s="39" t="e">
        <f t="shared" si="6061"/>
        <v>#N/A</v>
      </c>
      <c r="E3010" s="16" t="e">
        <f t="shared" si="1"/>
        <v>#N/A</v>
      </c>
      <c r="F3010" s="16" t="e">
        <f t="shared" ref="F3010:K3010" si="6062">VLOOKUP($A3010,[10]Mujer!$A$1:$O$279,F$1,0)</f>
        <v>#N/A</v>
      </c>
      <c r="G3010" s="39" t="e">
        <f t="shared" si="6062"/>
        <v>#N/A</v>
      </c>
      <c r="H3010" s="16" t="e">
        <f t="shared" si="6062"/>
        <v>#N/A</v>
      </c>
      <c r="I3010" s="16" t="e">
        <f t="shared" si="6062"/>
        <v>#N/A</v>
      </c>
      <c r="J3010" s="40" t="e">
        <f t="shared" si="6062"/>
        <v>#N/A</v>
      </c>
      <c r="K3010" s="16" t="e">
        <f t="shared" si="6062"/>
        <v>#N/A</v>
      </c>
      <c r="L3010" s="40" t="e">
        <f t="shared" si="6045"/>
        <v>#N/A</v>
      </c>
      <c r="M3010" s="16" t="e">
        <f t="shared" si="6046"/>
        <v>#N/A</v>
      </c>
      <c r="N3010" s="16" t="e">
        <f t="shared" si="6047"/>
        <v>#N/A</v>
      </c>
      <c r="O3010" s="16" t="s">
        <v>74</v>
      </c>
      <c r="P3010" s="16" t="str">
        <f t="shared" si="6"/>
        <v/>
      </c>
      <c r="Q3010" s="41" t="e">
        <f t="shared" si="6048"/>
        <v>#N/A</v>
      </c>
      <c r="R3010" s="44"/>
      <c r="S3010" s="44"/>
      <c r="T3010" s="43"/>
      <c r="U3010" s="43" t="str">
        <f t="shared" si="8"/>
        <v>No</v>
      </c>
      <c r="V3010" s="25"/>
      <c r="W3010" s="25"/>
      <c r="X3010" s="25"/>
      <c r="Y3010" s="25"/>
      <c r="Z3010" s="25"/>
    </row>
    <row r="3011" spans="1:26" ht="15.75" customHeight="1" x14ac:dyDescent="0.25">
      <c r="A3011" s="25">
        <v>3009</v>
      </c>
      <c r="B3011" s="37" t="e">
        <f t="shared" ref="B3011:D3011" si="6063">VLOOKUP($A3011,[10]Mujer!$A$1:$O$279,B$1,0)</f>
        <v>#N/A</v>
      </c>
      <c r="C3011" s="38" t="e">
        <f t="shared" si="6063"/>
        <v>#N/A</v>
      </c>
      <c r="D3011" s="39" t="e">
        <f t="shared" si="6063"/>
        <v>#N/A</v>
      </c>
      <c r="E3011" s="16" t="e">
        <f t="shared" si="1"/>
        <v>#N/A</v>
      </c>
      <c r="F3011" s="16" t="e">
        <f t="shared" ref="F3011:K3011" si="6064">VLOOKUP($A3011,[10]Mujer!$A$1:$O$279,F$1,0)</f>
        <v>#N/A</v>
      </c>
      <c r="G3011" s="39" t="e">
        <f t="shared" si="6064"/>
        <v>#N/A</v>
      </c>
      <c r="H3011" s="16" t="e">
        <f t="shared" si="6064"/>
        <v>#N/A</v>
      </c>
      <c r="I3011" s="16" t="e">
        <f t="shared" si="6064"/>
        <v>#N/A</v>
      </c>
      <c r="J3011" s="40" t="e">
        <f t="shared" si="6064"/>
        <v>#N/A</v>
      </c>
      <c r="K3011" s="16" t="e">
        <f t="shared" si="6064"/>
        <v>#N/A</v>
      </c>
      <c r="L3011" s="40" t="e">
        <f t="shared" si="6045"/>
        <v>#N/A</v>
      </c>
      <c r="M3011" s="16" t="e">
        <f t="shared" si="6046"/>
        <v>#N/A</v>
      </c>
      <c r="N3011" s="16" t="e">
        <f t="shared" si="6047"/>
        <v>#N/A</v>
      </c>
      <c r="O3011" s="16" t="s">
        <v>74</v>
      </c>
      <c r="P3011" s="16" t="str">
        <f t="shared" si="6"/>
        <v/>
      </c>
      <c r="Q3011" s="41" t="e">
        <f t="shared" si="6048"/>
        <v>#N/A</v>
      </c>
      <c r="R3011" s="44"/>
      <c r="S3011" s="44"/>
      <c r="T3011" s="43"/>
      <c r="U3011" s="43" t="str">
        <f t="shared" si="8"/>
        <v>No</v>
      </c>
      <c r="V3011" s="25"/>
      <c r="W3011" s="25"/>
      <c r="X3011" s="25"/>
      <c r="Y3011" s="25"/>
      <c r="Z3011" s="25"/>
    </row>
    <row r="3012" spans="1:26" ht="15.75" customHeight="1" x14ac:dyDescent="0.25">
      <c r="A3012" s="25">
        <v>3010</v>
      </c>
      <c r="B3012" s="37" t="e">
        <f t="shared" ref="B3012:D3012" si="6065">VLOOKUP($A3012,[10]Mujer!$A$1:$O$279,B$1,0)</f>
        <v>#N/A</v>
      </c>
      <c r="C3012" s="38" t="e">
        <f t="shared" si="6065"/>
        <v>#N/A</v>
      </c>
      <c r="D3012" s="39" t="e">
        <f t="shared" si="6065"/>
        <v>#N/A</v>
      </c>
      <c r="E3012" s="16" t="e">
        <f t="shared" si="1"/>
        <v>#N/A</v>
      </c>
      <c r="F3012" s="16" t="e">
        <f t="shared" ref="F3012:K3012" si="6066">VLOOKUP($A3012,[10]Mujer!$A$1:$O$279,F$1,0)</f>
        <v>#N/A</v>
      </c>
      <c r="G3012" s="39" t="e">
        <f t="shared" si="6066"/>
        <v>#N/A</v>
      </c>
      <c r="H3012" s="16" t="e">
        <f t="shared" si="6066"/>
        <v>#N/A</v>
      </c>
      <c r="I3012" s="16" t="e">
        <f t="shared" si="6066"/>
        <v>#N/A</v>
      </c>
      <c r="J3012" s="40" t="e">
        <f t="shared" si="6066"/>
        <v>#N/A</v>
      </c>
      <c r="K3012" s="16" t="e">
        <f t="shared" si="6066"/>
        <v>#N/A</v>
      </c>
      <c r="L3012" s="40" t="e">
        <f t="shared" si="6045"/>
        <v>#N/A</v>
      </c>
      <c r="M3012" s="16" t="e">
        <f t="shared" si="6046"/>
        <v>#N/A</v>
      </c>
      <c r="N3012" s="16" t="e">
        <f t="shared" si="6047"/>
        <v>#N/A</v>
      </c>
      <c r="O3012" s="16" t="s">
        <v>74</v>
      </c>
      <c r="P3012" s="16" t="str">
        <f t="shared" si="6"/>
        <v/>
      </c>
      <c r="Q3012" s="41" t="e">
        <f t="shared" si="6048"/>
        <v>#N/A</v>
      </c>
      <c r="R3012" s="44"/>
      <c r="S3012" s="44"/>
      <c r="T3012" s="43"/>
      <c r="U3012" s="43" t="str">
        <f t="shared" si="8"/>
        <v>No</v>
      </c>
      <c r="V3012" s="25"/>
      <c r="W3012" s="25"/>
      <c r="X3012" s="25"/>
      <c r="Y3012" s="25"/>
      <c r="Z3012" s="25"/>
    </row>
    <row r="3013" spans="1:26" ht="15.75" customHeight="1" x14ac:dyDescent="0.25">
      <c r="A3013" s="25">
        <v>3011</v>
      </c>
      <c r="B3013" s="37" t="e">
        <f t="shared" ref="B3013:D3013" si="6067">VLOOKUP($A3013,[10]Mujer!$A$1:$O$279,B$1,0)</f>
        <v>#N/A</v>
      </c>
      <c r="C3013" s="38" t="e">
        <f t="shared" si="6067"/>
        <v>#N/A</v>
      </c>
      <c r="D3013" s="39" t="e">
        <f t="shared" si="6067"/>
        <v>#N/A</v>
      </c>
      <c r="E3013" s="16" t="e">
        <f t="shared" si="1"/>
        <v>#N/A</v>
      </c>
      <c r="F3013" s="16" t="e">
        <f t="shared" ref="F3013:K3013" si="6068">VLOOKUP($A3013,[10]Mujer!$A$1:$O$279,F$1,0)</f>
        <v>#N/A</v>
      </c>
      <c r="G3013" s="39" t="e">
        <f t="shared" si="6068"/>
        <v>#N/A</v>
      </c>
      <c r="H3013" s="16" t="e">
        <f t="shared" si="6068"/>
        <v>#N/A</v>
      </c>
      <c r="I3013" s="16" t="e">
        <f t="shared" si="6068"/>
        <v>#N/A</v>
      </c>
      <c r="J3013" s="40" t="e">
        <f t="shared" si="6068"/>
        <v>#N/A</v>
      </c>
      <c r="K3013" s="16" t="e">
        <f t="shared" si="6068"/>
        <v>#N/A</v>
      </c>
      <c r="L3013" s="40" t="e">
        <f t="shared" si="6045"/>
        <v>#N/A</v>
      </c>
      <c r="M3013" s="16" t="e">
        <f t="shared" si="6046"/>
        <v>#N/A</v>
      </c>
      <c r="N3013" s="16" t="e">
        <f t="shared" si="6047"/>
        <v>#N/A</v>
      </c>
      <c r="O3013" s="16" t="s">
        <v>74</v>
      </c>
      <c r="P3013" s="16" t="str">
        <f t="shared" si="6"/>
        <v/>
      </c>
      <c r="Q3013" s="41" t="e">
        <f t="shared" si="6048"/>
        <v>#N/A</v>
      </c>
      <c r="R3013" s="44"/>
      <c r="S3013" s="44"/>
      <c r="T3013" s="43"/>
      <c r="U3013" s="43" t="str">
        <f t="shared" si="8"/>
        <v>No</v>
      </c>
      <c r="V3013" s="25"/>
      <c r="W3013" s="25"/>
      <c r="X3013" s="25"/>
      <c r="Y3013" s="25"/>
      <c r="Z3013" s="25"/>
    </row>
    <row r="3014" spans="1:26" ht="15.75" customHeight="1" x14ac:dyDescent="0.25">
      <c r="A3014" s="25">
        <v>3012</v>
      </c>
      <c r="B3014" s="37" t="e">
        <f t="shared" ref="B3014:D3014" si="6069">VLOOKUP($A3014,[10]Mujer!$A$1:$O$279,B$1,0)</f>
        <v>#N/A</v>
      </c>
      <c r="C3014" s="38" t="e">
        <f t="shared" si="6069"/>
        <v>#N/A</v>
      </c>
      <c r="D3014" s="39" t="e">
        <f t="shared" si="6069"/>
        <v>#N/A</v>
      </c>
      <c r="E3014" s="16" t="e">
        <f t="shared" si="1"/>
        <v>#N/A</v>
      </c>
      <c r="F3014" s="16" t="e">
        <f t="shared" ref="F3014:K3014" si="6070">VLOOKUP($A3014,[10]Mujer!$A$1:$O$279,F$1,0)</f>
        <v>#N/A</v>
      </c>
      <c r="G3014" s="39" t="e">
        <f t="shared" si="6070"/>
        <v>#N/A</v>
      </c>
      <c r="H3014" s="16" t="e">
        <f t="shared" si="6070"/>
        <v>#N/A</v>
      </c>
      <c r="I3014" s="16" t="e">
        <f t="shared" si="6070"/>
        <v>#N/A</v>
      </c>
      <c r="J3014" s="40" t="e">
        <f t="shared" si="6070"/>
        <v>#N/A</v>
      </c>
      <c r="K3014" s="16" t="e">
        <f t="shared" si="6070"/>
        <v>#N/A</v>
      </c>
      <c r="L3014" s="40" t="e">
        <f t="shared" si="6045"/>
        <v>#N/A</v>
      </c>
      <c r="M3014" s="16" t="e">
        <f t="shared" si="6046"/>
        <v>#N/A</v>
      </c>
      <c r="N3014" s="16" t="e">
        <f t="shared" si="6047"/>
        <v>#N/A</v>
      </c>
      <c r="O3014" s="16" t="s">
        <v>74</v>
      </c>
      <c r="P3014" s="16" t="str">
        <f t="shared" si="6"/>
        <v/>
      </c>
      <c r="Q3014" s="41" t="e">
        <f t="shared" si="6048"/>
        <v>#N/A</v>
      </c>
      <c r="R3014" s="44"/>
      <c r="S3014" s="44"/>
      <c r="T3014" s="43"/>
      <c r="U3014" s="43" t="str">
        <f t="shared" si="8"/>
        <v>No</v>
      </c>
      <c r="V3014" s="25"/>
      <c r="W3014" s="25"/>
      <c r="X3014" s="25"/>
      <c r="Y3014" s="25"/>
      <c r="Z3014" s="25"/>
    </row>
    <row r="3015" spans="1:26" ht="15.75" customHeight="1" x14ac:dyDescent="0.25">
      <c r="A3015" s="25">
        <v>3013</v>
      </c>
      <c r="B3015" s="37" t="e">
        <f t="shared" ref="B3015:D3015" si="6071">VLOOKUP($A3015,[10]Mujer!$A$1:$O$279,B$1,0)</f>
        <v>#N/A</v>
      </c>
      <c r="C3015" s="38" t="e">
        <f t="shared" si="6071"/>
        <v>#N/A</v>
      </c>
      <c r="D3015" s="39" t="e">
        <f t="shared" si="6071"/>
        <v>#N/A</v>
      </c>
      <c r="E3015" s="16" t="e">
        <f t="shared" si="1"/>
        <v>#N/A</v>
      </c>
      <c r="F3015" s="16" t="e">
        <f t="shared" ref="F3015:K3015" si="6072">VLOOKUP($A3015,[10]Mujer!$A$1:$O$279,F$1,0)</f>
        <v>#N/A</v>
      </c>
      <c r="G3015" s="39" t="e">
        <f t="shared" si="6072"/>
        <v>#N/A</v>
      </c>
      <c r="H3015" s="16" t="e">
        <f t="shared" si="6072"/>
        <v>#N/A</v>
      </c>
      <c r="I3015" s="16" t="e">
        <f t="shared" si="6072"/>
        <v>#N/A</v>
      </c>
      <c r="J3015" s="40" t="e">
        <f t="shared" si="6072"/>
        <v>#N/A</v>
      </c>
      <c r="K3015" s="16" t="e">
        <f t="shared" si="6072"/>
        <v>#N/A</v>
      </c>
      <c r="L3015" s="40" t="e">
        <f t="shared" si="6045"/>
        <v>#N/A</v>
      </c>
      <c r="M3015" s="16" t="e">
        <f t="shared" si="6046"/>
        <v>#N/A</v>
      </c>
      <c r="N3015" s="16" t="e">
        <f t="shared" si="6047"/>
        <v>#N/A</v>
      </c>
      <c r="O3015" s="16" t="s">
        <v>74</v>
      </c>
      <c r="P3015" s="16" t="str">
        <f t="shared" si="6"/>
        <v/>
      </c>
      <c r="Q3015" s="41" t="e">
        <f t="shared" si="6048"/>
        <v>#N/A</v>
      </c>
      <c r="R3015" s="44"/>
      <c r="S3015" s="44"/>
      <c r="T3015" s="43"/>
      <c r="U3015" s="43" t="str">
        <f t="shared" si="8"/>
        <v>No</v>
      </c>
      <c r="V3015" s="25"/>
      <c r="W3015" s="25"/>
      <c r="X3015" s="25"/>
      <c r="Y3015" s="25"/>
      <c r="Z3015" s="25"/>
    </row>
    <row r="3016" spans="1:26" ht="15.75" customHeight="1" x14ac:dyDescent="0.25">
      <c r="A3016" s="25">
        <v>3014</v>
      </c>
      <c r="B3016" s="37" t="e">
        <f t="shared" ref="B3016:D3016" si="6073">VLOOKUP($A3016,[10]Mujer!$A$1:$O$279,B$1,0)</f>
        <v>#N/A</v>
      </c>
      <c r="C3016" s="38" t="e">
        <f t="shared" si="6073"/>
        <v>#N/A</v>
      </c>
      <c r="D3016" s="39" t="e">
        <f t="shared" si="6073"/>
        <v>#N/A</v>
      </c>
      <c r="E3016" s="16" t="e">
        <f t="shared" si="1"/>
        <v>#N/A</v>
      </c>
      <c r="F3016" s="16" t="e">
        <f t="shared" ref="F3016:K3016" si="6074">VLOOKUP($A3016,[10]Mujer!$A$1:$O$279,F$1,0)</f>
        <v>#N/A</v>
      </c>
      <c r="G3016" s="39" t="e">
        <f t="shared" si="6074"/>
        <v>#N/A</v>
      </c>
      <c r="H3016" s="16" t="e">
        <f t="shared" si="6074"/>
        <v>#N/A</v>
      </c>
      <c r="I3016" s="16" t="e">
        <f t="shared" si="6074"/>
        <v>#N/A</v>
      </c>
      <c r="J3016" s="40" t="e">
        <f t="shared" si="6074"/>
        <v>#N/A</v>
      </c>
      <c r="K3016" s="16" t="e">
        <f t="shared" si="6074"/>
        <v>#N/A</v>
      </c>
      <c r="L3016" s="40" t="e">
        <f t="shared" si="6045"/>
        <v>#N/A</v>
      </c>
      <c r="M3016" s="16" t="e">
        <f t="shared" si="6046"/>
        <v>#N/A</v>
      </c>
      <c r="N3016" s="16" t="e">
        <f t="shared" si="6047"/>
        <v>#N/A</v>
      </c>
      <c r="O3016" s="16" t="s">
        <v>74</v>
      </c>
      <c r="P3016" s="16" t="str">
        <f t="shared" si="6"/>
        <v/>
      </c>
      <c r="Q3016" s="41" t="e">
        <f t="shared" si="6048"/>
        <v>#N/A</v>
      </c>
      <c r="R3016" s="44"/>
      <c r="S3016" s="44"/>
      <c r="T3016" s="43"/>
      <c r="U3016" s="43" t="str">
        <f t="shared" si="8"/>
        <v>No</v>
      </c>
      <c r="V3016" s="25"/>
      <c r="W3016" s="25"/>
      <c r="X3016" s="25"/>
      <c r="Y3016" s="25"/>
      <c r="Z3016" s="25"/>
    </row>
    <row r="3017" spans="1:26" ht="15.75" customHeight="1" x14ac:dyDescent="0.25">
      <c r="A3017" s="25">
        <v>3015</v>
      </c>
      <c r="B3017" s="37" t="e">
        <f t="shared" ref="B3017:D3017" si="6075">VLOOKUP($A3017,[10]Mujer!$A$1:$O$279,B$1,0)</f>
        <v>#N/A</v>
      </c>
      <c r="C3017" s="38" t="e">
        <f t="shared" si="6075"/>
        <v>#N/A</v>
      </c>
      <c r="D3017" s="39" t="e">
        <f t="shared" si="6075"/>
        <v>#N/A</v>
      </c>
      <c r="E3017" s="16" t="e">
        <f t="shared" si="1"/>
        <v>#N/A</v>
      </c>
      <c r="F3017" s="16" t="e">
        <f t="shared" ref="F3017:K3017" si="6076">VLOOKUP($A3017,[10]Mujer!$A$1:$O$279,F$1,0)</f>
        <v>#N/A</v>
      </c>
      <c r="G3017" s="39" t="e">
        <f t="shared" si="6076"/>
        <v>#N/A</v>
      </c>
      <c r="H3017" s="16" t="e">
        <f t="shared" si="6076"/>
        <v>#N/A</v>
      </c>
      <c r="I3017" s="16" t="e">
        <f t="shared" si="6076"/>
        <v>#N/A</v>
      </c>
      <c r="J3017" s="40" t="e">
        <f t="shared" si="6076"/>
        <v>#N/A</v>
      </c>
      <c r="K3017" s="16" t="e">
        <f t="shared" si="6076"/>
        <v>#N/A</v>
      </c>
      <c r="L3017" s="40" t="e">
        <f t="shared" si="6045"/>
        <v>#N/A</v>
      </c>
      <c r="M3017" s="16" t="e">
        <f t="shared" si="6046"/>
        <v>#N/A</v>
      </c>
      <c r="N3017" s="16" t="e">
        <f t="shared" si="6047"/>
        <v>#N/A</v>
      </c>
      <c r="O3017" s="16" t="s">
        <v>74</v>
      </c>
      <c r="P3017" s="16" t="str">
        <f t="shared" si="6"/>
        <v/>
      </c>
      <c r="Q3017" s="41" t="e">
        <f t="shared" si="6048"/>
        <v>#N/A</v>
      </c>
      <c r="R3017" s="44"/>
      <c r="S3017" s="44"/>
      <c r="T3017" s="43"/>
      <c r="U3017" s="43" t="str">
        <f t="shared" si="8"/>
        <v>No</v>
      </c>
      <c r="V3017" s="25"/>
      <c r="W3017" s="25"/>
      <c r="X3017" s="25"/>
      <c r="Y3017" s="25"/>
      <c r="Z3017" s="25"/>
    </row>
    <row r="3018" spans="1:26" ht="15.75" customHeight="1" x14ac:dyDescent="0.25">
      <c r="A3018" s="25">
        <v>3016</v>
      </c>
      <c r="B3018" s="37" t="e">
        <f t="shared" ref="B3018:D3018" si="6077">VLOOKUP($A3018,[10]Mujer!$A$1:$O$279,B$1,0)</f>
        <v>#N/A</v>
      </c>
      <c r="C3018" s="38" t="e">
        <f t="shared" si="6077"/>
        <v>#N/A</v>
      </c>
      <c r="D3018" s="39" t="e">
        <f t="shared" si="6077"/>
        <v>#N/A</v>
      </c>
      <c r="E3018" s="16" t="e">
        <f t="shared" si="1"/>
        <v>#N/A</v>
      </c>
      <c r="F3018" s="16" t="e">
        <f t="shared" ref="F3018:K3018" si="6078">VLOOKUP($A3018,[10]Mujer!$A$1:$O$279,F$1,0)</f>
        <v>#N/A</v>
      </c>
      <c r="G3018" s="39" t="e">
        <f t="shared" si="6078"/>
        <v>#N/A</v>
      </c>
      <c r="H3018" s="16" t="e">
        <f t="shared" si="6078"/>
        <v>#N/A</v>
      </c>
      <c r="I3018" s="16" t="e">
        <f t="shared" si="6078"/>
        <v>#N/A</v>
      </c>
      <c r="J3018" s="40" t="e">
        <f t="shared" si="6078"/>
        <v>#N/A</v>
      </c>
      <c r="K3018" s="16" t="e">
        <f t="shared" si="6078"/>
        <v>#N/A</v>
      </c>
      <c r="L3018" s="40" t="e">
        <f t="shared" si="6045"/>
        <v>#N/A</v>
      </c>
      <c r="M3018" s="16" t="e">
        <f t="shared" si="6046"/>
        <v>#N/A</v>
      </c>
      <c r="N3018" s="16" t="e">
        <f t="shared" si="6047"/>
        <v>#N/A</v>
      </c>
      <c r="O3018" s="16" t="s">
        <v>74</v>
      </c>
      <c r="P3018" s="16" t="str">
        <f t="shared" si="6"/>
        <v/>
      </c>
      <c r="Q3018" s="41" t="e">
        <f t="shared" si="6048"/>
        <v>#N/A</v>
      </c>
      <c r="R3018" s="44"/>
      <c r="S3018" s="44"/>
      <c r="T3018" s="43"/>
      <c r="U3018" s="43" t="str">
        <f t="shared" si="8"/>
        <v>No</v>
      </c>
      <c r="V3018" s="25"/>
      <c r="W3018" s="25"/>
      <c r="X3018" s="25"/>
      <c r="Y3018" s="25"/>
      <c r="Z3018" s="25"/>
    </row>
    <row r="3019" spans="1:26" ht="15.75" customHeight="1" x14ac:dyDescent="0.25">
      <c r="A3019" s="25">
        <v>3017</v>
      </c>
      <c r="B3019" s="37" t="e">
        <f t="shared" ref="B3019:D3019" si="6079">VLOOKUP($A3019,[10]Mujer!$A$1:$O$279,B$1,0)</f>
        <v>#N/A</v>
      </c>
      <c r="C3019" s="38" t="e">
        <f t="shared" si="6079"/>
        <v>#N/A</v>
      </c>
      <c r="D3019" s="39" t="e">
        <f t="shared" si="6079"/>
        <v>#N/A</v>
      </c>
      <c r="E3019" s="16" t="e">
        <f t="shared" si="1"/>
        <v>#N/A</v>
      </c>
      <c r="F3019" s="16" t="e">
        <f t="shared" ref="F3019:K3019" si="6080">VLOOKUP($A3019,[10]Mujer!$A$1:$O$279,F$1,0)</f>
        <v>#N/A</v>
      </c>
      <c r="G3019" s="39" t="e">
        <f t="shared" si="6080"/>
        <v>#N/A</v>
      </c>
      <c r="H3019" s="16" t="e">
        <f t="shared" si="6080"/>
        <v>#N/A</v>
      </c>
      <c r="I3019" s="16" t="e">
        <f t="shared" si="6080"/>
        <v>#N/A</v>
      </c>
      <c r="J3019" s="40" t="e">
        <f t="shared" si="6080"/>
        <v>#N/A</v>
      </c>
      <c r="K3019" s="16" t="e">
        <f t="shared" si="6080"/>
        <v>#N/A</v>
      </c>
      <c r="L3019" s="40" t="e">
        <f t="shared" si="6045"/>
        <v>#N/A</v>
      </c>
      <c r="M3019" s="16" t="e">
        <f t="shared" si="6046"/>
        <v>#N/A</v>
      </c>
      <c r="N3019" s="16" t="e">
        <f t="shared" si="6047"/>
        <v>#N/A</v>
      </c>
      <c r="O3019" s="16" t="s">
        <v>74</v>
      </c>
      <c r="P3019" s="16" t="str">
        <f t="shared" si="6"/>
        <v/>
      </c>
      <c r="Q3019" s="41" t="e">
        <f t="shared" si="6048"/>
        <v>#N/A</v>
      </c>
      <c r="R3019" s="44"/>
      <c r="S3019" s="44"/>
      <c r="T3019" s="43"/>
      <c r="U3019" s="43" t="str">
        <f t="shared" si="8"/>
        <v>No</v>
      </c>
      <c r="V3019" s="25"/>
      <c r="W3019" s="25"/>
      <c r="X3019" s="25"/>
      <c r="Y3019" s="25"/>
      <c r="Z3019" s="25"/>
    </row>
    <row r="3020" spans="1:26" ht="15.75" customHeight="1" x14ac:dyDescent="0.25">
      <c r="A3020" s="25">
        <v>3018</v>
      </c>
      <c r="B3020" s="37" t="e">
        <f t="shared" ref="B3020:D3020" si="6081">VLOOKUP($A3020,[10]Mujer!$A$1:$O$279,B$1,0)</f>
        <v>#N/A</v>
      </c>
      <c r="C3020" s="38" t="e">
        <f t="shared" si="6081"/>
        <v>#N/A</v>
      </c>
      <c r="D3020" s="39" t="e">
        <f t="shared" si="6081"/>
        <v>#N/A</v>
      </c>
      <c r="E3020" s="16" t="e">
        <f t="shared" si="1"/>
        <v>#N/A</v>
      </c>
      <c r="F3020" s="16" t="e">
        <f t="shared" ref="F3020:K3020" si="6082">VLOOKUP($A3020,[10]Mujer!$A$1:$O$279,F$1,0)</f>
        <v>#N/A</v>
      </c>
      <c r="G3020" s="39" t="e">
        <f t="shared" si="6082"/>
        <v>#N/A</v>
      </c>
      <c r="H3020" s="16" t="e">
        <f t="shared" si="6082"/>
        <v>#N/A</v>
      </c>
      <c r="I3020" s="16" t="e">
        <f t="shared" si="6082"/>
        <v>#N/A</v>
      </c>
      <c r="J3020" s="40" t="e">
        <f t="shared" si="6082"/>
        <v>#N/A</v>
      </c>
      <c r="K3020" s="16" t="e">
        <f t="shared" si="6082"/>
        <v>#N/A</v>
      </c>
      <c r="L3020" s="40" t="e">
        <f t="shared" si="6045"/>
        <v>#N/A</v>
      </c>
      <c r="M3020" s="16" t="e">
        <f t="shared" si="6046"/>
        <v>#N/A</v>
      </c>
      <c r="N3020" s="16" t="e">
        <f t="shared" si="6047"/>
        <v>#N/A</v>
      </c>
      <c r="O3020" s="16" t="s">
        <v>74</v>
      </c>
      <c r="P3020" s="16" t="str">
        <f t="shared" si="6"/>
        <v/>
      </c>
      <c r="Q3020" s="41" t="e">
        <f t="shared" si="6048"/>
        <v>#N/A</v>
      </c>
      <c r="R3020" s="44"/>
      <c r="S3020" s="44"/>
      <c r="T3020" s="43"/>
      <c r="U3020" s="43" t="str">
        <f t="shared" si="8"/>
        <v>No</v>
      </c>
      <c r="V3020" s="25"/>
      <c r="W3020" s="25"/>
      <c r="X3020" s="25"/>
      <c r="Y3020" s="25"/>
      <c r="Z3020" s="25"/>
    </row>
    <row r="3021" spans="1:26" ht="15.75" customHeight="1" x14ac:dyDescent="0.25">
      <c r="A3021" s="25">
        <v>3019</v>
      </c>
      <c r="B3021" s="37" t="e">
        <f t="shared" ref="B3021:D3021" si="6083">VLOOKUP($A3021,[10]Mujer!$A$1:$O$279,B$1,0)</f>
        <v>#N/A</v>
      </c>
      <c r="C3021" s="38" t="e">
        <f t="shared" si="6083"/>
        <v>#N/A</v>
      </c>
      <c r="D3021" s="39" t="e">
        <f t="shared" si="6083"/>
        <v>#N/A</v>
      </c>
      <c r="E3021" s="16" t="e">
        <f t="shared" si="1"/>
        <v>#N/A</v>
      </c>
      <c r="F3021" s="16" t="e">
        <f t="shared" ref="F3021:K3021" si="6084">VLOOKUP($A3021,[10]Mujer!$A$1:$O$279,F$1,0)</f>
        <v>#N/A</v>
      </c>
      <c r="G3021" s="39" t="e">
        <f t="shared" si="6084"/>
        <v>#N/A</v>
      </c>
      <c r="H3021" s="16" t="e">
        <f t="shared" si="6084"/>
        <v>#N/A</v>
      </c>
      <c r="I3021" s="16" t="e">
        <f t="shared" si="6084"/>
        <v>#N/A</v>
      </c>
      <c r="J3021" s="40" t="e">
        <f t="shared" si="6084"/>
        <v>#N/A</v>
      </c>
      <c r="K3021" s="16" t="e">
        <f t="shared" si="6084"/>
        <v>#N/A</v>
      </c>
      <c r="L3021" s="40" t="e">
        <f t="shared" si="6045"/>
        <v>#N/A</v>
      </c>
      <c r="M3021" s="16" t="e">
        <f t="shared" si="6046"/>
        <v>#N/A</v>
      </c>
      <c r="N3021" s="16" t="e">
        <f t="shared" si="6047"/>
        <v>#N/A</v>
      </c>
      <c r="O3021" s="16" t="s">
        <v>74</v>
      </c>
      <c r="P3021" s="16" t="str">
        <f t="shared" si="6"/>
        <v/>
      </c>
      <c r="Q3021" s="41" t="e">
        <f t="shared" si="6048"/>
        <v>#N/A</v>
      </c>
      <c r="R3021" s="44"/>
      <c r="S3021" s="44"/>
      <c r="T3021" s="43"/>
      <c r="U3021" s="43" t="str">
        <f t="shared" si="8"/>
        <v>No</v>
      </c>
      <c r="V3021" s="25"/>
      <c r="W3021" s="25"/>
      <c r="X3021" s="25"/>
      <c r="Y3021" s="25"/>
      <c r="Z3021" s="25"/>
    </row>
    <row r="3022" spans="1:26" ht="15.75" customHeight="1" x14ac:dyDescent="0.25">
      <c r="A3022" s="25">
        <v>3020</v>
      </c>
      <c r="B3022" s="37" t="e">
        <f t="shared" ref="B3022:D3022" si="6085">VLOOKUP($A3022,[10]Mujer!$A$1:$O$279,B$1,0)</f>
        <v>#N/A</v>
      </c>
      <c r="C3022" s="38" t="e">
        <f t="shared" si="6085"/>
        <v>#N/A</v>
      </c>
      <c r="D3022" s="39" t="e">
        <f t="shared" si="6085"/>
        <v>#N/A</v>
      </c>
      <c r="E3022" s="16" t="e">
        <f t="shared" si="1"/>
        <v>#N/A</v>
      </c>
      <c r="F3022" s="16" t="e">
        <f t="shared" ref="F3022:K3022" si="6086">VLOOKUP($A3022,[10]Mujer!$A$1:$O$279,F$1,0)</f>
        <v>#N/A</v>
      </c>
      <c r="G3022" s="39" t="e">
        <f t="shared" si="6086"/>
        <v>#N/A</v>
      </c>
      <c r="H3022" s="16" t="e">
        <f t="shared" si="6086"/>
        <v>#N/A</v>
      </c>
      <c r="I3022" s="16" t="e">
        <f t="shared" si="6086"/>
        <v>#N/A</v>
      </c>
      <c r="J3022" s="40" t="e">
        <f t="shared" si="6086"/>
        <v>#N/A</v>
      </c>
      <c r="K3022" s="16" t="e">
        <f t="shared" si="6086"/>
        <v>#N/A</v>
      </c>
      <c r="L3022" s="40" t="e">
        <f t="shared" si="6045"/>
        <v>#N/A</v>
      </c>
      <c r="M3022" s="16" t="e">
        <f t="shared" si="6046"/>
        <v>#N/A</v>
      </c>
      <c r="N3022" s="16" t="e">
        <f t="shared" si="6047"/>
        <v>#N/A</v>
      </c>
      <c r="O3022" s="16" t="s">
        <v>74</v>
      </c>
      <c r="P3022" s="16" t="str">
        <f t="shared" si="6"/>
        <v/>
      </c>
      <c r="Q3022" s="41" t="e">
        <f t="shared" si="6048"/>
        <v>#N/A</v>
      </c>
      <c r="R3022" s="44"/>
      <c r="S3022" s="44"/>
      <c r="T3022" s="43"/>
      <c r="U3022" s="43" t="str">
        <f t="shared" si="8"/>
        <v>No</v>
      </c>
      <c r="V3022" s="25"/>
      <c r="W3022" s="25"/>
      <c r="X3022" s="25"/>
      <c r="Y3022" s="25"/>
      <c r="Z3022" s="25"/>
    </row>
    <row r="3023" spans="1:26" ht="15.75" customHeight="1" x14ac:dyDescent="0.25">
      <c r="A3023" s="25">
        <v>3021</v>
      </c>
      <c r="B3023" s="37" t="e">
        <f t="shared" ref="B3023:D3023" si="6087">VLOOKUP($A3023,[10]Mujer!$A$1:$O$279,B$1,0)</f>
        <v>#N/A</v>
      </c>
      <c r="C3023" s="38" t="e">
        <f t="shared" si="6087"/>
        <v>#N/A</v>
      </c>
      <c r="D3023" s="39" t="e">
        <f t="shared" si="6087"/>
        <v>#N/A</v>
      </c>
      <c r="E3023" s="16" t="e">
        <f t="shared" si="1"/>
        <v>#N/A</v>
      </c>
      <c r="F3023" s="16" t="e">
        <f t="shared" ref="F3023:K3023" si="6088">VLOOKUP($A3023,[10]Mujer!$A$1:$O$279,F$1,0)</f>
        <v>#N/A</v>
      </c>
      <c r="G3023" s="39" t="e">
        <f t="shared" si="6088"/>
        <v>#N/A</v>
      </c>
      <c r="H3023" s="16" t="e">
        <f t="shared" si="6088"/>
        <v>#N/A</v>
      </c>
      <c r="I3023" s="16" t="e">
        <f t="shared" si="6088"/>
        <v>#N/A</v>
      </c>
      <c r="J3023" s="40" t="e">
        <f t="shared" si="6088"/>
        <v>#N/A</v>
      </c>
      <c r="K3023" s="16" t="e">
        <f t="shared" si="6088"/>
        <v>#N/A</v>
      </c>
      <c r="L3023" s="40" t="e">
        <f t="shared" si="6045"/>
        <v>#N/A</v>
      </c>
      <c r="M3023" s="16" t="e">
        <f t="shared" si="6046"/>
        <v>#N/A</v>
      </c>
      <c r="N3023" s="16" t="e">
        <f t="shared" si="6047"/>
        <v>#N/A</v>
      </c>
      <c r="O3023" s="16" t="s">
        <v>74</v>
      </c>
      <c r="P3023" s="16" t="str">
        <f t="shared" si="6"/>
        <v/>
      </c>
      <c r="Q3023" s="41" t="e">
        <f t="shared" si="6048"/>
        <v>#N/A</v>
      </c>
      <c r="R3023" s="44"/>
      <c r="S3023" s="44"/>
      <c r="T3023" s="43"/>
      <c r="U3023" s="43" t="str">
        <f t="shared" si="8"/>
        <v>No</v>
      </c>
      <c r="V3023" s="25"/>
      <c r="W3023" s="25"/>
      <c r="X3023" s="25"/>
      <c r="Y3023" s="25"/>
      <c r="Z3023" s="25"/>
    </row>
    <row r="3024" spans="1:26" ht="15.75" customHeight="1" x14ac:dyDescent="0.25">
      <c r="A3024" s="25">
        <v>3022</v>
      </c>
      <c r="B3024" s="37" t="e">
        <f t="shared" ref="B3024:D3024" si="6089">VLOOKUP($A3024,[10]Mujer!$A$1:$O$279,B$1,0)</f>
        <v>#N/A</v>
      </c>
      <c r="C3024" s="38" t="e">
        <f t="shared" si="6089"/>
        <v>#N/A</v>
      </c>
      <c r="D3024" s="39" t="e">
        <f t="shared" si="6089"/>
        <v>#N/A</v>
      </c>
      <c r="E3024" s="16" t="e">
        <f t="shared" si="1"/>
        <v>#N/A</v>
      </c>
      <c r="F3024" s="16" t="e">
        <f t="shared" ref="F3024:K3024" si="6090">VLOOKUP($A3024,[10]Mujer!$A$1:$O$279,F$1,0)</f>
        <v>#N/A</v>
      </c>
      <c r="G3024" s="39" t="e">
        <f t="shared" si="6090"/>
        <v>#N/A</v>
      </c>
      <c r="H3024" s="16" t="e">
        <f t="shared" si="6090"/>
        <v>#N/A</v>
      </c>
      <c r="I3024" s="16" t="e">
        <f t="shared" si="6090"/>
        <v>#N/A</v>
      </c>
      <c r="J3024" s="40" t="e">
        <f t="shared" si="6090"/>
        <v>#N/A</v>
      </c>
      <c r="K3024" s="16" t="e">
        <f t="shared" si="6090"/>
        <v>#N/A</v>
      </c>
      <c r="L3024" s="40" t="e">
        <f t="shared" si="6045"/>
        <v>#N/A</v>
      </c>
      <c r="M3024" s="16" t="e">
        <f t="shared" si="6046"/>
        <v>#N/A</v>
      </c>
      <c r="N3024" s="16" t="e">
        <f t="shared" si="6047"/>
        <v>#N/A</v>
      </c>
      <c r="O3024" s="16" t="s">
        <v>74</v>
      </c>
      <c r="P3024" s="16" t="str">
        <f t="shared" si="6"/>
        <v/>
      </c>
      <c r="Q3024" s="41" t="e">
        <f t="shared" si="6048"/>
        <v>#N/A</v>
      </c>
      <c r="R3024" s="44"/>
      <c r="S3024" s="44"/>
      <c r="T3024" s="43"/>
      <c r="U3024" s="43" t="str">
        <f t="shared" si="8"/>
        <v>No</v>
      </c>
      <c r="V3024" s="25"/>
      <c r="W3024" s="25"/>
      <c r="X3024" s="25"/>
      <c r="Y3024" s="25"/>
      <c r="Z3024" s="25"/>
    </row>
    <row r="3025" spans="1:26" ht="15.75" customHeight="1" x14ac:dyDescent="0.25">
      <c r="A3025" s="25">
        <v>3023</v>
      </c>
      <c r="B3025" s="37" t="e">
        <f t="shared" ref="B3025:D3025" si="6091">VLOOKUP($A3025,[10]Mujer!$A$1:$O$279,B$1,0)</f>
        <v>#N/A</v>
      </c>
      <c r="C3025" s="38" t="e">
        <f t="shared" si="6091"/>
        <v>#N/A</v>
      </c>
      <c r="D3025" s="39" t="e">
        <f t="shared" si="6091"/>
        <v>#N/A</v>
      </c>
      <c r="E3025" s="16" t="e">
        <f t="shared" si="1"/>
        <v>#N/A</v>
      </c>
      <c r="F3025" s="16" t="e">
        <f t="shared" ref="F3025:K3025" si="6092">VLOOKUP($A3025,[10]Mujer!$A$1:$O$279,F$1,0)</f>
        <v>#N/A</v>
      </c>
      <c r="G3025" s="39" t="e">
        <f t="shared" si="6092"/>
        <v>#N/A</v>
      </c>
      <c r="H3025" s="16" t="e">
        <f t="shared" si="6092"/>
        <v>#N/A</v>
      </c>
      <c r="I3025" s="16" t="e">
        <f t="shared" si="6092"/>
        <v>#N/A</v>
      </c>
      <c r="J3025" s="40" t="e">
        <f t="shared" si="6092"/>
        <v>#N/A</v>
      </c>
      <c r="K3025" s="16" t="e">
        <f t="shared" si="6092"/>
        <v>#N/A</v>
      </c>
      <c r="L3025" s="40" t="e">
        <f t="shared" si="6045"/>
        <v>#N/A</v>
      </c>
      <c r="M3025" s="16" t="e">
        <f t="shared" si="6046"/>
        <v>#N/A</v>
      </c>
      <c r="N3025" s="16" t="e">
        <f t="shared" si="6047"/>
        <v>#N/A</v>
      </c>
      <c r="O3025" s="16" t="s">
        <v>74</v>
      </c>
      <c r="P3025" s="16" t="str">
        <f t="shared" si="6"/>
        <v/>
      </c>
      <c r="Q3025" s="41" t="e">
        <f t="shared" si="6048"/>
        <v>#N/A</v>
      </c>
      <c r="R3025" s="44"/>
      <c r="S3025" s="44"/>
      <c r="T3025" s="43"/>
      <c r="U3025" s="43" t="str">
        <f t="shared" si="8"/>
        <v>No</v>
      </c>
      <c r="V3025" s="25"/>
      <c r="W3025" s="25"/>
      <c r="X3025" s="25"/>
      <c r="Y3025" s="25"/>
      <c r="Z3025" s="25"/>
    </row>
    <row r="3026" spans="1:26" ht="15.75" customHeight="1" x14ac:dyDescent="0.25">
      <c r="A3026" s="25">
        <v>3024</v>
      </c>
      <c r="B3026" s="37" t="e">
        <f t="shared" ref="B3026:D3026" si="6093">VLOOKUP($A3026,[10]Mujer!$A$1:$O$279,B$1,0)</f>
        <v>#N/A</v>
      </c>
      <c r="C3026" s="38" t="e">
        <f t="shared" si="6093"/>
        <v>#N/A</v>
      </c>
      <c r="D3026" s="39" t="e">
        <f t="shared" si="6093"/>
        <v>#N/A</v>
      </c>
      <c r="E3026" s="16" t="e">
        <f t="shared" si="1"/>
        <v>#N/A</v>
      </c>
      <c r="F3026" s="16" t="e">
        <f t="shared" ref="F3026:K3026" si="6094">VLOOKUP($A3026,[10]Mujer!$A$1:$O$279,F$1,0)</f>
        <v>#N/A</v>
      </c>
      <c r="G3026" s="39" t="e">
        <f t="shared" si="6094"/>
        <v>#N/A</v>
      </c>
      <c r="H3026" s="16" t="e">
        <f t="shared" si="6094"/>
        <v>#N/A</v>
      </c>
      <c r="I3026" s="16" t="e">
        <f t="shared" si="6094"/>
        <v>#N/A</v>
      </c>
      <c r="J3026" s="40" t="e">
        <f t="shared" si="6094"/>
        <v>#N/A</v>
      </c>
      <c r="K3026" s="16" t="e">
        <f t="shared" si="6094"/>
        <v>#N/A</v>
      </c>
      <c r="L3026" s="40" t="e">
        <f t="shared" si="6045"/>
        <v>#N/A</v>
      </c>
      <c r="M3026" s="16" t="e">
        <f t="shared" si="6046"/>
        <v>#N/A</v>
      </c>
      <c r="N3026" s="16" t="e">
        <f t="shared" si="6047"/>
        <v>#N/A</v>
      </c>
      <c r="O3026" s="16" t="s">
        <v>74</v>
      </c>
      <c r="P3026" s="16" t="str">
        <f t="shared" si="6"/>
        <v/>
      </c>
      <c r="Q3026" s="41" t="e">
        <f t="shared" si="6048"/>
        <v>#N/A</v>
      </c>
      <c r="R3026" s="44"/>
      <c r="S3026" s="44"/>
      <c r="T3026" s="43"/>
      <c r="U3026" s="43" t="str">
        <f t="shared" si="8"/>
        <v>No</v>
      </c>
      <c r="V3026" s="25"/>
      <c r="W3026" s="25"/>
      <c r="X3026" s="25"/>
      <c r="Y3026" s="25"/>
      <c r="Z3026" s="25"/>
    </row>
    <row r="3027" spans="1:26" ht="15.75" customHeight="1" x14ac:dyDescent="0.25">
      <c r="A3027" s="25">
        <v>3025</v>
      </c>
      <c r="B3027" s="37" t="e">
        <f t="shared" ref="B3027:D3027" si="6095">VLOOKUP($A3027,[10]Mujer!$A$1:$O$279,B$1,0)</f>
        <v>#N/A</v>
      </c>
      <c r="C3027" s="38" t="e">
        <f t="shared" si="6095"/>
        <v>#N/A</v>
      </c>
      <c r="D3027" s="39" t="e">
        <f t="shared" si="6095"/>
        <v>#N/A</v>
      </c>
      <c r="E3027" s="16" t="e">
        <f t="shared" si="1"/>
        <v>#N/A</v>
      </c>
      <c r="F3027" s="16" t="e">
        <f t="shared" ref="F3027:K3027" si="6096">VLOOKUP($A3027,[10]Mujer!$A$1:$O$279,F$1,0)</f>
        <v>#N/A</v>
      </c>
      <c r="G3027" s="39" t="e">
        <f t="shared" si="6096"/>
        <v>#N/A</v>
      </c>
      <c r="H3027" s="16" t="e">
        <f t="shared" si="6096"/>
        <v>#N/A</v>
      </c>
      <c r="I3027" s="16" t="e">
        <f t="shared" si="6096"/>
        <v>#N/A</v>
      </c>
      <c r="J3027" s="40" t="e">
        <f t="shared" si="6096"/>
        <v>#N/A</v>
      </c>
      <c r="K3027" s="16" t="e">
        <f t="shared" si="6096"/>
        <v>#N/A</v>
      </c>
      <c r="L3027" s="40" t="e">
        <f t="shared" si="6045"/>
        <v>#N/A</v>
      </c>
      <c r="M3027" s="16" t="e">
        <f t="shared" si="6046"/>
        <v>#N/A</v>
      </c>
      <c r="N3027" s="16" t="e">
        <f t="shared" si="6047"/>
        <v>#N/A</v>
      </c>
      <c r="O3027" s="16" t="s">
        <v>74</v>
      </c>
      <c r="P3027" s="16" t="str">
        <f t="shared" si="6"/>
        <v/>
      </c>
      <c r="Q3027" s="41" t="e">
        <f t="shared" si="6048"/>
        <v>#N/A</v>
      </c>
      <c r="R3027" s="44"/>
      <c r="S3027" s="44"/>
      <c r="T3027" s="43"/>
      <c r="U3027" s="43" t="str">
        <f t="shared" si="8"/>
        <v>No</v>
      </c>
      <c r="V3027" s="25"/>
      <c r="W3027" s="25"/>
      <c r="X3027" s="25"/>
      <c r="Y3027" s="25"/>
      <c r="Z3027" s="25"/>
    </row>
    <row r="3028" spans="1:26" ht="15.75" customHeight="1" x14ac:dyDescent="0.25">
      <c r="A3028" s="25">
        <v>3026</v>
      </c>
      <c r="B3028" s="37" t="e">
        <f t="shared" ref="B3028:D3028" si="6097">VLOOKUP($A3028,[10]Mujer!$A$1:$O$279,B$1,0)</f>
        <v>#N/A</v>
      </c>
      <c r="C3028" s="38" t="e">
        <f t="shared" si="6097"/>
        <v>#N/A</v>
      </c>
      <c r="D3028" s="39" t="e">
        <f t="shared" si="6097"/>
        <v>#N/A</v>
      </c>
      <c r="E3028" s="16" t="e">
        <f t="shared" si="1"/>
        <v>#N/A</v>
      </c>
      <c r="F3028" s="16" t="e">
        <f t="shared" ref="F3028:K3028" si="6098">VLOOKUP($A3028,[10]Mujer!$A$1:$O$279,F$1,0)</f>
        <v>#N/A</v>
      </c>
      <c r="G3028" s="39" t="e">
        <f t="shared" si="6098"/>
        <v>#N/A</v>
      </c>
      <c r="H3028" s="16" t="e">
        <f t="shared" si="6098"/>
        <v>#N/A</v>
      </c>
      <c r="I3028" s="16" t="e">
        <f t="shared" si="6098"/>
        <v>#N/A</v>
      </c>
      <c r="J3028" s="40" t="e">
        <f t="shared" si="6098"/>
        <v>#N/A</v>
      </c>
      <c r="K3028" s="16" t="e">
        <f t="shared" si="6098"/>
        <v>#N/A</v>
      </c>
      <c r="L3028" s="40" t="e">
        <f t="shared" si="6045"/>
        <v>#N/A</v>
      </c>
      <c r="M3028" s="16" t="e">
        <f t="shared" si="6046"/>
        <v>#N/A</v>
      </c>
      <c r="N3028" s="16" t="e">
        <f t="shared" si="6047"/>
        <v>#N/A</v>
      </c>
      <c r="O3028" s="16" t="s">
        <v>74</v>
      </c>
      <c r="P3028" s="16" t="str">
        <f t="shared" si="6"/>
        <v/>
      </c>
      <c r="Q3028" s="41" t="e">
        <f t="shared" si="6048"/>
        <v>#N/A</v>
      </c>
      <c r="R3028" s="44"/>
      <c r="S3028" s="44"/>
      <c r="T3028" s="43"/>
      <c r="U3028" s="43" t="str">
        <f t="shared" si="8"/>
        <v>No</v>
      </c>
      <c r="V3028" s="25"/>
      <c r="W3028" s="25"/>
      <c r="X3028" s="25"/>
      <c r="Y3028" s="25"/>
      <c r="Z3028" s="25"/>
    </row>
    <row r="3029" spans="1:26" ht="15.75" customHeight="1" x14ac:dyDescent="0.25">
      <c r="A3029" s="25">
        <v>3027</v>
      </c>
      <c r="B3029" s="37" t="e">
        <f t="shared" ref="B3029:D3029" si="6099">VLOOKUP($A3029,[10]Mujer!$A$1:$O$279,B$1,0)</f>
        <v>#N/A</v>
      </c>
      <c r="C3029" s="38" t="e">
        <f t="shared" si="6099"/>
        <v>#N/A</v>
      </c>
      <c r="D3029" s="39" t="e">
        <f t="shared" si="6099"/>
        <v>#N/A</v>
      </c>
      <c r="E3029" s="16" t="e">
        <f t="shared" si="1"/>
        <v>#N/A</v>
      </c>
      <c r="F3029" s="16" t="e">
        <f t="shared" ref="F3029:K3029" si="6100">VLOOKUP($A3029,[10]Mujer!$A$1:$O$279,F$1,0)</f>
        <v>#N/A</v>
      </c>
      <c r="G3029" s="39" t="e">
        <f t="shared" si="6100"/>
        <v>#N/A</v>
      </c>
      <c r="H3029" s="16" t="e">
        <f t="shared" si="6100"/>
        <v>#N/A</v>
      </c>
      <c r="I3029" s="16" t="e">
        <f t="shared" si="6100"/>
        <v>#N/A</v>
      </c>
      <c r="J3029" s="40" t="e">
        <f t="shared" si="6100"/>
        <v>#N/A</v>
      </c>
      <c r="K3029" s="16" t="e">
        <f t="shared" si="6100"/>
        <v>#N/A</v>
      </c>
      <c r="L3029" s="40" t="e">
        <f t="shared" si="6045"/>
        <v>#N/A</v>
      </c>
      <c r="M3029" s="16" t="e">
        <f t="shared" si="6046"/>
        <v>#N/A</v>
      </c>
      <c r="N3029" s="16" t="e">
        <f t="shared" si="6047"/>
        <v>#N/A</v>
      </c>
      <c r="O3029" s="16" t="s">
        <v>74</v>
      </c>
      <c r="P3029" s="16" t="str">
        <f t="shared" si="6"/>
        <v/>
      </c>
      <c r="Q3029" s="41" t="e">
        <f t="shared" si="6048"/>
        <v>#N/A</v>
      </c>
      <c r="R3029" s="44"/>
      <c r="S3029" s="44"/>
      <c r="T3029" s="43"/>
      <c r="U3029" s="43" t="str">
        <f t="shared" si="8"/>
        <v>No</v>
      </c>
      <c r="V3029" s="25"/>
      <c r="W3029" s="25"/>
      <c r="X3029" s="25"/>
      <c r="Y3029" s="25"/>
      <c r="Z3029" s="25"/>
    </row>
    <row r="3030" spans="1:26" ht="15.75" customHeight="1" x14ac:dyDescent="0.25">
      <c r="A3030" s="25">
        <v>3028</v>
      </c>
      <c r="B3030" s="37" t="e">
        <f t="shared" ref="B3030:D3030" si="6101">VLOOKUP($A3030,[10]Mujer!$A$1:$O$279,B$1,0)</f>
        <v>#N/A</v>
      </c>
      <c r="C3030" s="38" t="e">
        <f t="shared" si="6101"/>
        <v>#N/A</v>
      </c>
      <c r="D3030" s="39" t="e">
        <f t="shared" si="6101"/>
        <v>#N/A</v>
      </c>
      <c r="E3030" s="16" t="e">
        <f t="shared" si="1"/>
        <v>#N/A</v>
      </c>
      <c r="F3030" s="16" t="e">
        <f t="shared" ref="F3030:K3030" si="6102">VLOOKUP($A3030,[10]Mujer!$A$1:$O$279,F$1,0)</f>
        <v>#N/A</v>
      </c>
      <c r="G3030" s="39" t="e">
        <f t="shared" si="6102"/>
        <v>#N/A</v>
      </c>
      <c r="H3030" s="16" t="e">
        <f t="shared" si="6102"/>
        <v>#N/A</v>
      </c>
      <c r="I3030" s="16" t="e">
        <f t="shared" si="6102"/>
        <v>#N/A</v>
      </c>
      <c r="J3030" s="40" t="e">
        <f t="shared" si="6102"/>
        <v>#N/A</v>
      </c>
      <c r="K3030" s="16" t="e">
        <f t="shared" si="6102"/>
        <v>#N/A</v>
      </c>
      <c r="L3030" s="40" t="e">
        <f t="shared" si="6045"/>
        <v>#N/A</v>
      </c>
      <c r="M3030" s="16" t="e">
        <f t="shared" si="6046"/>
        <v>#N/A</v>
      </c>
      <c r="N3030" s="16" t="e">
        <f t="shared" si="6047"/>
        <v>#N/A</v>
      </c>
      <c r="O3030" s="16" t="s">
        <v>74</v>
      </c>
      <c r="P3030" s="16" t="str">
        <f t="shared" si="6"/>
        <v/>
      </c>
      <c r="Q3030" s="41" t="e">
        <f t="shared" si="6048"/>
        <v>#N/A</v>
      </c>
      <c r="R3030" s="44"/>
      <c r="S3030" s="44"/>
      <c r="T3030" s="43"/>
      <c r="U3030" s="43" t="str">
        <f t="shared" si="8"/>
        <v>No</v>
      </c>
      <c r="V3030" s="25"/>
      <c r="W3030" s="25"/>
      <c r="X3030" s="25"/>
      <c r="Y3030" s="25"/>
      <c r="Z3030" s="25"/>
    </row>
    <row r="3031" spans="1:26" ht="15.75" customHeight="1" x14ac:dyDescent="0.25">
      <c r="A3031" s="25">
        <v>3029</v>
      </c>
      <c r="B3031" s="37" t="e">
        <f t="shared" ref="B3031:D3031" si="6103">VLOOKUP($A3031,[10]Mujer!$A$1:$O$279,B$1,0)</f>
        <v>#N/A</v>
      </c>
      <c r="C3031" s="38" t="e">
        <f t="shared" si="6103"/>
        <v>#N/A</v>
      </c>
      <c r="D3031" s="39" t="e">
        <f t="shared" si="6103"/>
        <v>#N/A</v>
      </c>
      <c r="E3031" s="16" t="e">
        <f t="shared" si="1"/>
        <v>#N/A</v>
      </c>
      <c r="F3031" s="16" t="e">
        <f t="shared" ref="F3031:K3031" si="6104">VLOOKUP($A3031,[10]Mujer!$A$1:$O$279,F$1,0)</f>
        <v>#N/A</v>
      </c>
      <c r="G3031" s="39" t="e">
        <f t="shared" si="6104"/>
        <v>#N/A</v>
      </c>
      <c r="H3031" s="16" t="e">
        <f t="shared" si="6104"/>
        <v>#N/A</v>
      </c>
      <c r="I3031" s="16" t="e">
        <f t="shared" si="6104"/>
        <v>#N/A</v>
      </c>
      <c r="J3031" s="40" t="e">
        <f t="shared" si="6104"/>
        <v>#N/A</v>
      </c>
      <c r="K3031" s="16" t="e">
        <f t="shared" si="6104"/>
        <v>#N/A</v>
      </c>
      <c r="L3031" s="40" t="e">
        <f t="shared" si="6045"/>
        <v>#N/A</v>
      </c>
      <c r="M3031" s="16" t="e">
        <f t="shared" si="6046"/>
        <v>#N/A</v>
      </c>
      <c r="N3031" s="16" t="e">
        <f t="shared" si="6047"/>
        <v>#N/A</v>
      </c>
      <c r="O3031" s="16" t="s">
        <v>74</v>
      </c>
      <c r="P3031" s="16" t="str">
        <f t="shared" si="6"/>
        <v/>
      </c>
      <c r="Q3031" s="41" t="e">
        <f t="shared" si="6048"/>
        <v>#N/A</v>
      </c>
      <c r="R3031" s="44"/>
      <c r="S3031" s="44"/>
      <c r="T3031" s="43"/>
      <c r="U3031" s="43" t="str">
        <f t="shared" si="8"/>
        <v>No</v>
      </c>
      <c r="V3031" s="25"/>
      <c r="W3031" s="25"/>
      <c r="X3031" s="25"/>
      <c r="Y3031" s="25"/>
      <c r="Z3031" s="25"/>
    </row>
    <row r="3032" spans="1:26" ht="15.75" customHeight="1" x14ac:dyDescent="0.25">
      <c r="A3032" s="25">
        <v>3030</v>
      </c>
      <c r="B3032" s="37" t="e">
        <f t="shared" ref="B3032:D3032" si="6105">VLOOKUP($A3032,[10]Mujer!$A$1:$O$279,B$1,0)</f>
        <v>#N/A</v>
      </c>
      <c r="C3032" s="38" t="e">
        <f t="shared" si="6105"/>
        <v>#N/A</v>
      </c>
      <c r="D3032" s="39" t="e">
        <f t="shared" si="6105"/>
        <v>#N/A</v>
      </c>
      <c r="E3032" s="16" t="e">
        <f t="shared" si="1"/>
        <v>#N/A</v>
      </c>
      <c r="F3032" s="16" t="e">
        <f t="shared" ref="F3032:K3032" si="6106">VLOOKUP($A3032,[10]Mujer!$A$1:$O$279,F$1,0)</f>
        <v>#N/A</v>
      </c>
      <c r="G3032" s="39" t="e">
        <f t="shared" si="6106"/>
        <v>#N/A</v>
      </c>
      <c r="H3032" s="16" t="e">
        <f t="shared" si="6106"/>
        <v>#N/A</v>
      </c>
      <c r="I3032" s="16" t="e">
        <f t="shared" si="6106"/>
        <v>#N/A</v>
      </c>
      <c r="J3032" s="40" t="e">
        <f t="shared" si="6106"/>
        <v>#N/A</v>
      </c>
      <c r="K3032" s="16" t="e">
        <f t="shared" si="6106"/>
        <v>#N/A</v>
      </c>
      <c r="L3032" s="40" t="e">
        <f t="shared" si="6045"/>
        <v>#N/A</v>
      </c>
      <c r="M3032" s="16" t="e">
        <f t="shared" si="6046"/>
        <v>#N/A</v>
      </c>
      <c r="N3032" s="16" t="e">
        <f t="shared" si="6047"/>
        <v>#N/A</v>
      </c>
      <c r="O3032" s="16" t="s">
        <v>74</v>
      </c>
      <c r="P3032" s="16" t="str">
        <f t="shared" si="6"/>
        <v/>
      </c>
      <c r="Q3032" s="41" t="e">
        <f t="shared" si="6048"/>
        <v>#N/A</v>
      </c>
      <c r="R3032" s="44"/>
      <c r="S3032" s="44"/>
      <c r="T3032" s="43"/>
      <c r="U3032" s="43" t="str">
        <f t="shared" si="8"/>
        <v>No</v>
      </c>
      <c r="V3032" s="25"/>
      <c r="W3032" s="25"/>
      <c r="X3032" s="25"/>
      <c r="Y3032" s="25"/>
      <c r="Z3032" s="25"/>
    </row>
    <row r="3033" spans="1:26" ht="15.75" customHeight="1" x14ac:dyDescent="0.25">
      <c r="A3033" s="25">
        <v>3031</v>
      </c>
      <c r="B3033" s="37" t="e">
        <f t="shared" ref="B3033:D3033" si="6107">VLOOKUP($A3033,[10]Mujer!$A$1:$O$279,B$1,0)</f>
        <v>#N/A</v>
      </c>
      <c r="C3033" s="38" t="e">
        <f t="shared" si="6107"/>
        <v>#N/A</v>
      </c>
      <c r="D3033" s="39" t="e">
        <f t="shared" si="6107"/>
        <v>#N/A</v>
      </c>
      <c r="E3033" s="16" t="e">
        <f t="shared" si="1"/>
        <v>#N/A</v>
      </c>
      <c r="F3033" s="16" t="e">
        <f t="shared" ref="F3033:K3033" si="6108">VLOOKUP($A3033,[10]Mujer!$A$1:$O$279,F$1,0)</f>
        <v>#N/A</v>
      </c>
      <c r="G3033" s="39" t="e">
        <f t="shared" si="6108"/>
        <v>#N/A</v>
      </c>
      <c r="H3033" s="16" t="e">
        <f t="shared" si="6108"/>
        <v>#N/A</v>
      </c>
      <c r="I3033" s="16" t="e">
        <f t="shared" si="6108"/>
        <v>#N/A</v>
      </c>
      <c r="J3033" s="40" t="e">
        <f t="shared" si="6108"/>
        <v>#N/A</v>
      </c>
      <c r="K3033" s="16" t="e">
        <f t="shared" si="6108"/>
        <v>#N/A</v>
      </c>
      <c r="L3033" s="40" t="e">
        <f t="shared" si="6045"/>
        <v>#N/A</v>
      </c>
      <c r="M3033" s="16" t="e">
        <f t="shared" si="6046"/>
        <v>#N/A</v>
      </c>
      <c r="N3033" s="16" t="e">
        <f t="shared" si="6047"/>
        <v>#N/A</v>
      </c>
      <c r="O3033" s="16" t="s">
        <v>74</v>
      </c>
      <c r="P3033" s="16" t="str">
        <f t="shared" si="6"/>
        <v/>
      </c>
      <c r="Q3033" s="41" t="e">
        <f t="shared" si="6048"/>
        <v>#N/A</v>
      </c>
      <c r="R3033" s="44"/>
      <c r="S3033" s="44"/>
      <c r="T3033" s="43"/>
      <c r="U3033" s="43" t="str">
        <f t="shared" si="8"/>
        <v>No</v>
      </c>
      <c r="V3033" s="25"/>
      <c r="W3033" s="25"/>
      <c r="X3033" s="25"/>
      <c r="Y3033" s="25"/>
      <c r="Z3033" s="25"/>
    </row>
    <row r="3034" spans="1:26" ht="15.75" customHeight="1" x14ac:dyDescent="0.25">
      <c r="A3034" s="25">
        <v>3032</v>
      </c>
      <c r="B3034" s="37" t="e">
        <f t="shared" ref="B3034:D3034" si="6109">VLOOKUP($A3034,[10]Mujer!$A$1:$O$279,B$1,0)</f>
        <v>#N/A</v>
      </c>
      <c r="C3034" s="38" t="e">
        <f t="shared" si="6109"/>
        <v>#N/A</v>
      </c>
      <c r="D3034" s="39" t="e">
        <f t="shared" si="6109"/>
        <v>#N/A</v>
      </c>
      <c r="E3034" s="16" t="e">
        <f t="shared" si="1"/>
        <v>#N/A</v>
      </c>
      <c r="F3034" s="16" t="e">
        <f t="shared" ref="F3034:K3034" si="6110">VLOOKUP($A3034,[10]Mujer!$A$1:$O$279,F$1,0)</f>
        <v>#N/A</v>
      </c>
      <c r="G3034" s="39" t="e">
        <f t="shared" si="6110"/>
        <v>#N/A</v>
      </c>
      <c r="H3034" s="16" t="e">
        <f t="shared" si="6110"/>
        <v>#N/A</v>
      </c>
      <c r="I3034" s="16" t="e">
        <f t="shared" si="6110"/>
        <v>#N/A</v>
      </c>
      <c r="J3034" s="40" t="e">
        <f t="shared" si="6110"/>
        <v>#N/A</v>
      </c>
      <c r="K3034" s="16" t="e">
        <f t="shared" si="6110"/>
        <v>#N/A</v>
      </c>
      <c r="L3034" s="40" t="e">
        <f t="shared" si="6045"/>
        <v>#N/A</v>
      </c>
      <c r="M3034" s="16" t="e">
        <f t="shared" si="6046"/>
        <v>#N/A</v>
      </c>
      <c r="N3034" s="16" t="e">
        <f t="shared" si="6047"/>
        <v>#N/A</v>
      </c>
      <c r="O3034" s="16" t="s">
        <v>74</v>
      </c>
      <c r="P3034" s="16" t="str">
        <f t="shared" si="6"/>
        <v/>
      </c>
      <c r="Q3034" s="41" t="e">
        <f t="shared" si="6048"/>
        <v>#N/A</v>
      </c>
      <c r="R3034" s="44"/>
      <c r="S3034" s="44"/>
      <c r="T3034" s="43"/>
      <c r="U3034" s="43" t="str">
        <f t="shared" si="8"/>
        <v>No</v>
      </c>
      <c r="V3034" s="25"/>
      <c r="W3034" s="25"/>
      <c r="X3034" s="25"/>
      <c r="Y3034" s="25"/>
      <c r="Z3034" s="25"/>
    </row>
    <row r="3035" spans="1:26" ht="15.75" customHeight="1" x14ac:dyDescent="0.25">
      <c r="A3035" s="25">
        <v>3033</v>
      </c>
      <c r="B3035" s="37" t="e">
        <f t="shared" ref="B3035:D3035" si="6111">VLOOKUP($A3035,[10]Mujer!$A$1:$O$279,B$1,0)</f>
        <v>#N/A</v>
      </c>
      <c r="C3035" s="38" t="e">
        <f t="shared" si="6111"/>
        <v>#N/A</v>
      </c>
      <c r="D3035" s="39" t="e">
        <f t="shared" si="6111"/>
        <v>#N/A</v>
      </c>
      <c r="E3035" s="16" t="e">
        <f t="shared" si="1"/>
        <v>#N/A</v>
      </c>
      <c r="F3035" s="16" t="e">
        <f t="shared" ref="F3035:K3035" si="6112">VLOOKUP($A3035,[10]Mujer!$A$1:$O$279,F$1,0)</f>
        <v>#N/A</v>
      </c>
      <c r="G3035" s="39" t="e">
        <f t="shared" si="6112"/>
        <v>#N/A</v>
      </c>
      <c r="H3035" s="16" t="e">
        <f t="shared" si="6112"/>
        <v>#N/A</v>
      </c>
      <c r="I3035" s="16" t="e">
        <f t="shared" si="6112"/>
        <v>#N/A</v>
      </c>
      <c r="J3035" s="40" t="e">
        <f t="shared" si="6112"/>
        <v>#N/A</v>
      </c>
      <c r="K3035" s="16" t="e">
        <f t="shared" si="6112"/>
        <v>#N/A</v>
      </c>
      <c r="L3035" s="40" t="e">
        <f t="shared" si="6045"/>
        <v>#N/A</v>
      </c>
      <c r="M3035" s="16" t="e">
        <f t="shared" si="6046"/>
        <v>#N/A</v>
      </c>
      <c r="N3035" s="16" t="e">
        <f t="shared" si="6047"/>
        <v>#N/A</v>
      </c>
      <c r="O3035" s="16" t="s">
        <v>74</v>
      </c>
      <c r="P3035" s="16" t="str">
        <f t="shared" si="6"/>
        <v/>
      </c>
      <c r="Q3035" s="41" t="e">
        <f t="shared" si="6048"/>
        <v>#N/A</v>
      </c>
      <c r="R3035" s="44"/>
      <c r="S3035" s="44"/>
      <c r="T3035" s="43"/>
      <c r="U3035" s="43" t="str">
        <f t="shared" si="8"/>
        <v>No</v>
      </c>
      <c r="V3035" s="25"/>
      <c r="W3035" s="25"/>
      <c r="X3035" s="25"/>
      <c r="Y3035" s="25"/>
      <c r="Z3035" s="25"/>
    </row>
    <row r="3036" spans="1:26" ht="15.75" customHeight="1" x14ac:dyDescent="0.25">
      <c r="A3036" s="25">
        <v>3034</v>
      </c>
      <c r="B3036" s="37" t="e">
        <f t="shared" ref="B3036:D3036" si="6113">VLOOKUP($A3036,[10]Mujer!$A$1:$O$279,B$1,0)</f>
        <v>#N/A</v>
      </c>
      <c r="C3036" s="38" t="e">
        <f t="shared" si="6113"/>
        <v>#N/A</v>
      </c>
      <c r="D3036" s="39" t="e">
        <f t="shared" si="6113"/>
        <v>#N/A</v>
      </c>
      <c r="E3036" s="16" t="e">
        <f t="shared" si="1"/>
        <v>#N/A</v>
      </c>
      <c r="F3036" s="16" t="e">
        <f t="shared" ref="F3036:K3036" si="6114">VLOOKUP($A3036,[10]Mujer!$A$1:$O$279,F$1,0)</f>
        <v>#N/A</v>
      </c>
      <c r="G3036" s="39" t="e">
        <f t="shared" si="6114"/>
        <v>#N/A</v>
      </c>
      <c r="H3036" s="16" t="e">
        <f t="shared" si="6114"/>
        <v>#N/A</v>
      </c>
      <c r="I3036" s="16" t="e">
        <f t="shared" si="6114"/>
        <v>#N/A</v>
      </c>
      <c r="J3036" s="40" t="e">
        <f t="shared" si="6114"/>
        <v>#N/A</v>
      </c>
      <c r="K3036" s="16" t="e">
        <f t="shared" si="6114"/>
        <v>#N/A</v>
      </c>
      <c r="L3036" s="40" t="e">
        <f t="shared" si="6045"/>
        <v>#N/A</v>
      </c>
      <c r="M3036" s="16" t="e">
        <f t="shared" si="6046"/>
        <v>#N/A</v>
      </c>
      <c r="N3036" s="16" t="e">
        <f t="shared" si="6047"/>
        <v>#N/A</v>
      </c>
      <c r="O3036" s="16" t="s">
        <v>74</v>
      </c>
      <c r="P3036" s="16" t="str">
        <f t="shared" si="6"/>
        <v/>
      </c>
      <c r="Q3036" s="41" t="e">
        <f t="shared" si="6048"/>
        <v>#N/A</v>
      </c>
      <c r="R3036" s="44"/>
      <c r="S3036" s="44"/>
      <c r="T3036" s="43"/>
      <c r="U3036" s="43" t="str">
        <f t="shared" si="8"/>
        <v>No</v>
      </c>
      <c r="V3036" s="25"/>
      <c r="W3036" s="25"/>
      <c r="X3036" s="25"/>
      <c r="Y3036" s="25"/>
      <c r="Z3036" s="25"/>
    </row>
    <row r="3037" spans="1:26" ht="15.75" customHeight="1" x14ac:dyDescent="0.25">
      <c r="A3037" s="25">
        <v>3035</v>
      </c>
      <c r="B3037" s="37" t="e">
        <f t="shared" ref="B3037:D3037" si="6115">VLOOKUP($A3037,[10]Mujer!$A$1:$O$279,B$1,0)</f>
        <v>#N/A</v>
      </c>
      <c r="C3037" s="38" t="e">
        <f t="shared" si="6115"/>
        <v>#N/A</v>
      </c>
      <c r="D3037" s="39" t="e">
        <f t="shared" si="6115"/>
        <v>#N/A</v>
      </c>
      <c r="E3037" s="16" t="e">
        <f t="shared" si="1"/>
        <v>#N/A</v>
      </c>
      <c r="F3037" s="16" t="e">
        <f t="shared" ref="F3037:K3037" si="6116">VLOOKUP($A3037,[10]Mujer!$A$1:$O$279,F$1,0)</f>
        <v>#N/A</v>
      </c>
      <c r="G3037" s="39" t="e">
        <f t="shared" si="6116"/>
        <v>#N/A</v>
      </c>
      <c r="H3037" s="16" t="e">
        <f t="shared" si="6116"/>
        <v>#N/A</v>
      </c>
      <c r="I3037" s="16" t="e">
        <f t="shared" si="6116"/>
        <v>#N/A</v>
      </c>
      <c r="J3037" s="40" t="e">
        <f t="shared" si="6116"/>
        <v>#N/A</v>
      </c>
      <c r="K3037" s="16" t="e">
        <f t="shared" si="6116"/>
        <v>#N/A</v>
      </c>
      <c r="L3037" s="40" t="e">
        <f t="shared" si="6045"/>
        <v>#N/A</v>
      </c>
      <c r="M3037" s="16" t="e">
        <f t="shared" si="6046"/>
        <v>#N/A</v>
      </c>
      <c r="N3037" s="16" t="e">
        <f t="shared" si="6047"/>
        <v>#N/A</v>
      </c>
      <c r="O3037" s="16" t="s">
        <v>74</v>
      </c>
      <c r="P3037" s="16" t="str">
        <f t="shared" si="6"/>
        <v/>
      </c>
      <c r="Q3037" s="41" t="e">
        <f t="shared" si="6048"/>
        <v>#N/A</v>
      </c>
      <c r="R3037" s="44"/>
      <c r="S3037" s="44"/>
      <c r="T3037" s="43"/>
      <c r="U3037" s="43" t="str">
        <f t="shared" si="8"/>
        <v>No</v>
      </c>
      <c r="V3037" s="25"/>
      <c r="W3037" s="25"/>
      <c r="X3037" s="25"/>
      <c r="Y3037" s="25"/>
      <c r="Z3037" s="25"/>
    </row>
    <row r="3038" spans="1:26" ht="15.75" customHeight="1" x14ac:dyDescent="0.25">
      <c r="A3038" s="25">
        <v>3036</v>
      </c>
      <c r="B3038" s="37" t="e">
        <f t="shared" ref="B3038:D3038" si="6117">VLOOKUP($A3038,[10]Mujer!$A$1:$O$279,B$1,0)</f>
        <v>#N/A</v>
      </c>
      <c r="C3038" s="38" t="e">
        <f t="shared" si="6117"/>
        <v>#N/A</v>
      </c>
      <c r="D3038" s="39" t="e">
        <f t="shared" si="6117"/>
        <v>#N/A</v>
      </c>
      <c r="E3038" s="16" t="e">
        <f t="shared" si="1"/>
        <v>#N/A</v>
      </c>
      <c r="F3038" s="16" t="e">
        <f t="shared" ref="F3038:K3038" si="6118">VLOOKUP($A3038,[10]Mujer!$A$1:$O$279,F$1,0)</f>
        <v>#N/A</v>
      </c>
      <c r="G3038" s="39" t="e">
        <f t="shared" si="6118"/>
        <v>#N/A</v>
      </c>
      <c r="H3038" s="16" t="e">
        <f t="shared" si="6118"/>
        <v>#N/A</v>
      </c>
      <c r="I3038" s="16" t="e">
        <f t="shared" si="6118"/>
        <v>#N/A</v>
      </c>
      <c r="J3038" s="40" t="e">
        <f t="shared" si="6118"/>
        <v>#N/A</v>
      </c>
      <c r="K3038" s="16" t="e">
        <f t="shared" si="6118"/>
        <v>#N/A</v>
      </c>
      <c r="L3038" s="40" t="e">
        <f t="shared" si="6045"/>
        <v>#N/A</v>
      </c>
      <c r="M3038" s="16" t="e">
        <f t="shared" si="6046"/>
        <v>#N/A</v>
      </c>
      <c r="N3038" s="16" t="e">
        <f t="shared" si="6047"/>
        <v>#N/A</v>
      </c>
      <c r="O3038" s="16" t="s">
        <v>74</v>
      </c>
      <c r="P3038" s="16" t="str">
        <f t="shared" si="6"/>
        <v/>
      </c>
      <c r="Q3038" s="41" t="e">
        <f t="shared" si="6048"/>
        <v>#N/A</v>
      </c>
      <c r="R3038" s="44"/>
      <c r="S3038" s="44"/>
      <c r="T3038" s="43"/>
      <c r="U3038" s="43" t="str">
        <f t="shared" si="8"/>
        <v>No</v>
      </c>
      <c r="V3038" s="25"/>
      <c r="W3038" s="25"/>
      <c r="X3038" s="25"/>
      <c r="Y3038" s="25"/>
      <c r="Z3038" s="25"/>
    </row>
    <row r="3039" spans="1:26" ht="15.75" customHeight="1" x14ac:dyDescent="0.25">
      <c r="A3039" s="25">
        <v>3037</v>
      </c>
      <c r="B3039" s="37" t="e">
        <f t="shared" ref="B3039:D3039" si="6119">VLOOKUP($A3039,[10]Mujer!$A$1:$O$279,B$1,0)</f>
        <v>#N/A</v>
      </c>
      <c r="C3039" s="38" t="e">
        <f t="shared" si="6119"/>
        <v>#N/A</v>
      </c>
      <c r="D3039" s="39" t="e">
        <f t="shared" si="6119"/>
        <v>#N/A</v>
      </c>
      <c r="E3039" s="16" t="e">
        <f t="shared" si="1"/>
        <v>#N/A</v>
      </c>
      <c r="F3039" s="16" t="e">
        <f t="shared" ref="F3039:K3039" si="6120">VLOOKUP($A3039,[10]Mujer!$A$1:$O$279,F$1,0)</f>
        <v>#N/A</v>
      </c>
      <c r="G3039" s="39" t="e">
        <f t="shared" si="6120"/>
        <v>#N/A</v>
      </c>
      <c r="H3039" s="16" t="e">
        <f t="shared" si="6120"/>
        <v>#N/A</v>
      </c>
      <c r="I3039" s="16" t="e">
        <f t="shared" si="6120"/>
        <v>#N/A</v>
      </c>
      <c r="J3039" s="40" t="e">
        <f t="shared" si="6120"/>
        <v>#N/A</v>
      </c>
      <c r="K3039" s="16" t="e">
        <f t="shared" si="6120"/>
        <v>#N/A</v>
      </c>
      <c r="L3039" s="40" t="e">
        <f t="shared" si="6045"/>
        <v>#N/A</v>
      </c>
      <c r="M3039" s="16" t="e">
        <f t="shared" si="6046"/>
        <v>#N/A</v>
      </c>
      <c r="N3039" s="16" t="e">
        <f t="shared" si="6047"/>
        <v>#N/A</v>
      </c>
      <c r="O3039" s="16" t="s">
        <v>74</v>
      </c>
      <c r="P3039" s="16" t="str">
        <f t="shared" si="6"/>
        <v/>
      </c>
      <c r="Q3039" s="41" t="e">
        <f t="shared" si="6048"/>
        <v>#N/A</v>
      </c>
      <c r="R3039" s="44"/>
      <c r="S3039" s="44"/>
      <c r="T3039" s="43"/>
      <c r="U3039" s="43" t="str">
        <f t="shared" si="8"/>
        <v>No</v>
      </c>
      <c r="V3039" s="25"/>
      <c r="W3039" s="25"/>
      <c r="X3039" s="25"/>
      <c r="Y3039" s="25"/>
      <c r="Z3039" s="25"/>
    </row>
    <row r="3040" spans="1:26" ht="15.75" customHeight="1" x14ac:dyDescent="0.25">
      <c r="A3040" s="25">
        <v>3038</v>
      </c>
      <c r="B3040" s="37" t="e">
        <f t="shared" ref="B3040:D3040" si="6121">VLOOKUP($A3040,[10]Mujer!$A$1:$O$279,B$1,0)</f>
        <v>#N/A</v>
      </c>
      <c r="C3040" s="38" t="e">
        <f t="shared" si="6121"/>
        <v>#N/A</v>
      </c>
      <c r="D3040" s="39" t="e">
        <f t="shared" si="6121"/>
        <v>#N/A</v>
      </c>
      <c r="E3040" s="16" t="e">
        <f t="shared" si="1"/>
        <v>#N/A</v>
      </c>
      <c r="F3040" s="16" t="e">
        <f t="shared" ref="F3040:K3040" si="6122">VLOOKUP($A3040,[10]Mujer!$A$1:$O$279,F$1,0)</f>
        <v>#N/A</v>
      </c>
      <c r="G3040" s="39" t="e">
        <f t="shared" si="6122"/>
        <v>#N/A</v>
      </c>
      <c r="H3040" s="16" t="e">
        <f t="shared" si="6122"/>
        <v>#N/A</v>
      </c>
      <c r="I3040" s="16" t="e">
        <f t="shared" si="6122"/>
        <v>#N/A</v>
      </c>
      <c r="J3040" s="40" t="e">
        <f t="shared" si="6122"/>
        <v>#N/A</v>
      </c>
      <c r="K3040" s="16" t="e">
        <f t="shared" si="6122"/>
        <v>#N/A</v>
      </c>
      <c r="L3040" s="40" t="e">
        <f t="shared" si="6045"/>
        <v>#N/A</v>
      </c>
      <c r="M3040" s="16" t="e">
        <f t="shared" si="6046"/>
        <v>#N/A</v>
      </c>
      <c r="N3040" s="16" t="e">
        <f t="shared" si="6047"/>
        <v>#N/A</v>
      </c>
      <c r="O3040" s="16" t="s">
        <v>74</v>
      </c>
      <c r="P3040" s="16" t="str">
        <f t="shared" si="6"/>
        <v/>
      </c>
      <c r="Q3040" s="41" t="e">
        <f t="shared" si="6048"/>
        <v>#N/A</v>
      </c>
      <c r="R3040" s="44"/>
      <c r="S3040" s="44"/>
      <c r="T3040" s="43"/>
      <c r="U3040" s="43" t="str">
        <f t="shared" si="8"/>
        <v>No</v>
      </c>
      <c r="V3040" s="25"/>
      <c r="W3040" s="25"/>
      <c r="X3040" s="25"/>
      <c r="Y3040" s="25"/>
      <c r="Z3040" s="25"/>
    </row>
    <row r="3041" spans="1:26" ht="15.75" customHeight="1" x14ac:dyDescent="0.25">
      <c r="A3041" s="25">
        <v>3039</v>
      </c>
      <c r="B3041" s="37" t="e">
        <f t="shared" ref="B3041:D3041" si="6123">VLOOKUP($A3041,[10]Mujer!$A$1:$O$279,B$1,0)</f>
        <v>#N/A</v>
      </c>
      <c r="C3041" s="38" t="e">
        <f t="shared" si="6123"/>
        <v>#N/A</v>
      </c>
      <c r="D3041" s="39" t="e">
        <f t="shared" si="6123"/>
        <v>#N/A</v>
      </c>
      <c r="E3041" s="16" t="e">
        <f t="shared" si="1"/>
        <v>#N/A</v>
      </c>
      <c r="F3041" s="16" t="e">
        <f t="shared" ref="F3041:K3041" si="6124">VLOOKUP($A3041,[10]Mujer!$A$1:$O$279,F$1,0)</f>
        <v>#N/A</v>
      </c>
      <c r="G3041" s="39" t="e">
        <f t="shared" si="6124"/>
        <v>#N/A</v>
      </c>
      <c r="H3041" s="16" t="e">
        <f t="shared" si="6124"/>
        <v>#N/A</v>
      </c>
      <c r="I3041" s="16" t="e">
        <f t="shared" si="6124"/>
        <v>#N/A</v>
      </c>
      <c r="J3041" s="40" t="e">
        <f t="shared" si="6124"/>
        <v>#N/A</v>
      </c>
      <c r="K3041" s="16" t="e">
        <f t="shared" si="6124"/>
        <v>#N/A</v>
      </c>
      <c r="L3041" s="40" t="e">
        <f t="shared" si="6045"/>
        <v>#N/A</v>
      </c>
      <c r="M3041" s="16" t="e">
        <f t="shared" si="6046"/>
        <v>#N/A</v>
      </c>
      <c r="N3041" s="16" t="e">
        <f t="shared" si="6047"/>
        <v>#N/A</v>
      </c>
      <c r="O3041" s="16" t="s">
        <v>74</v>
      </c>
      <c r="P3041" s="16" t="str">
        <f t="shared" si="6"/>
        <v/>
      </c>
      <c r="Q3041" s="41" t="e">
        <f t="shared" si="6048"/>
        <v>#N/A</v>
      </c>
      <c r="R3041" s="44"/>
      <c r="S3041" s="44"/>
      <c r="T3041" s="43"/>
      <c r="U3041" s="43" t="str">
        <f t="shared" si="8"/>
        <v>No</v>
      </c>
      <c r="V3041" s="25"/>
      <c r="W3041" s="25"/>
      <c r="X3041" s="25"/>
      <c r="Y3041" s="25"/>
      <c r="Z3041" s="25"/>
    </row>
    <row r="3042" spans="1:26" ht="15.75" customHeight="1" x14ac:dyDescent="0.25">
      <c r="A3042" s="25">
        <v>3040</v>
      </c>
      <c r="B3042" s="37" t="e">
        <f t="shared" ref="B3042:D3042" si="6125">VLOOKUP($A3042,[10]Mujer!$A$1:$O$279,B$1,0)</f>
        <v>#N/A</v>
      </c>
      <c r="C3042" s="38" t="e">
        <f t="shared" si="6125"/>
        <v>#N/A</v>
      </c>
      <c r="D3042" s="39" t="e">
        <f t="shared" si="6125"/>
        <v>#N/A</v>
      </c>
      <c r="E3042" s="16" t="e">
        <f t="shared" si="1"/>
        <v>#N/A</v>
      </c>
      <c r="F3042" s="16" t="e">
        <f t="shared" ref="F3042:K3042" si="6126">VLOOKUP($A3042,[10]Mujer!$A$1:$O$279,F$1,0)</f>
        <v>#N/A</v>
      </c>
      <c r="G3042" s="39" t="e">
        <f t="shared" si="6126"/>
        <v>#N/A</v>
      </c>
      <c r="H3042" s="16" t="e">
        <f t="shared" si="6126"/>
        <v>#N/A</v>
      </c>
      <c r="I3042" s="16" t="e">
        <f t="shared" si="6126"/>
        <v>#N/A</v>
      </c>
      <c r="J3042" s="40" t="e">
        <f t="shared" si="6126"/>
        <v>#N/A</v>
      </c>
      <c r="K3042" s="16" t="e">
        <f t="shared" si="6126"/>
        <v>#N/A</v>
      </c>
      <c r="L3042" s="40" t="e">
        <f t="shared" si="6045"/>
        <v>#N/A</v>
      </c>
      <c r="M3042" s="16" t="e">
        <f t="shared" si="6046"/>
        <v>#N/A</v>
      </c>
      <c r="N3042" s="16" t="e">
        <f t="shared" si="6047"/>
        <v>#N/A</v>
      </c>
      <c r="O3042" s="16" t="s">
        <v>74</v>
      </c>
      <c r="P3042" s="16" t="str">
        <f t="shared" si="6"/>
        <v/>
      </c>
      <c r="Q3042" s="41" t="e">
        <f t="shared" si="6048"/>
        <v>#N/A</v>
      </c>
      <c r="R3042" s="44"/>
      <c r="S3042" s="44"/>
      <c r="T3042" s="43"/>
      <c r="U3042" s="43" t="str">
        <f t="shared" si="8"/>
        <v>No</v>
      </c>
      <c r="V3042" s="25"/>
      <c r="W3042" s="25"/>
      <c r="X3042" s="25"/>
      <c r="Y3042" s="25"/>
      <c r="Z3042" s="25"/>
    </row>
    <row r="3043" spans="1:26" ht="15.75" customHeight="1" x14ac:dyDescent="0.25">
      <c r="A3043" s="25">
        <v>3041</v>
      </c>
      <c r="B3043" s="37" t="e">
        <f t="shared" ref="B3043:D3043" si="6127">VLOOKUP($A3043,[10]Mujer!$A$1:$O$279,B$1,0)</f>
        <v>#N/A</v>
      </c>
      <c r="C3043" s="38" t="e">
        <f t="shared" si="6127"/>
        <v>#N/A</v>
      </c>
      <c r="D3043" s="39" t="e">
        <f t="shared" si="6127"/>
        <v>#N/A</v>
      </c>
      <c r="E3043" s="16" t="e">
        <f t="shared" si="1"/>
        <v>#N/A</v>
      </c>
      <c r="F3043" s="16" t="e">
        <f t="shared" ref="F3043:K3043" si="6128">VLOOKUP($A3043,[10]Mujer!$A$1:$O$279,F$1,0)</f>
        <v>#N/A</v>
      </c>
      <c r="G3043" s="39" t="e">
        <f t="shared" si="6128"/>
        <v>#N/A</v>
      </c>
      <c r="H3043" s="16" t="e">
        <f t="shared" si="6128"/>
        <v>#N/A</v>
      </c>
      <c r="I3043" s="16" t="e">
        <f t="shared" si="6128"/>
        <v>#N/A</v>
      </c>
      <c r="J3043" s="40" t="e">
        <f t="shared" si="6128"/>
        <v>#N/A</v>
      </c>
      <c r="K3043" s="16" t="e">
        <f t="shared" si="6128"/>
        <v>#N/A</v>
      </c>
      <c r="L3043" s="40" t="e">
        <f t="shared" si="6045"/>
        <v>#N/A</v>
      </c>
      <c r="M3043" s="16" t="e">
        <f t="shared" si="6046"/>
        <v>#N/A</v>
      </c>
      <c r="N3043" s="16" t="e">
        <f t="shared" si="6047"/>
        <v>#N/A</v>
      </c>
      <c r="O3043" s="16" t="s">
        <v>74</v>
      </c>
      <c r="P3043" s="16" t="str">
        <f t="shared" si="6"/>
        <v/>
      </c>
      <c r="Q3043" s="41" t="e">
        <f t="shared" si="6048"/>
        <v>#N/A</v>
      </c>
      <c r="R3043" s="44"/>
      <c r="S3043" s="44"/>
      <c r="T3043" s="43"/>
      <c r="U3043" s="43" t="str">
        <f t="shared" si="8"/>
        <v>No</v>
      </c>
      <c r="V3043" s="25"/>
      <c r="W3043" s="25"/>
      <c r="X3043" s="25"/>
      <c r="Y3043" s="25"/>
      <c r="Z3043" s="25"/>
    </row>
    <row r="3044" spans="1:26" ht="15.75" customHeight="1" x14ac:dyDescent="0.25">
      <c r="A3044" s="25">
        <v>3042</v>
      </c>
      <c r="B3044" s="37" t="e">
        <f t="shared" ref="B3044:D3044" si="6129">VLOOKUP($A3044,[10]Mujer!$A$1:$O$279,B$1,0)</f>
        <v>#N/A</v>
      </c>
      <c r="C3044" s="38" t="e">
        <f t="shared" si="6129"/>
        <v>#N/A</v>
      </c>
      <c r="D3044" s="39" t="e">
        <f t="shared" si="6129"/>
        <v>#N/A</v>
      </c>
      <c r="E3044" s="16" t="e">
        <f t="shared" si="1"/>
        <v>#N/A</v>
      </c>
      <c r="F3044" s="16" t="e">
        <f t="shared" ref="F3044:K3044" si="6130">VLOOKUP($A3044,[10]Mujer!$A$1:$O$279,F$1,0)</f>
        <v>#N/A</v>
      </c>
      <c r="G3044" s="39" t="e">
        <f t="shared" si="6130"/>
        <v>#N/A</v>
      </c>
      <c r="H3044" s="16" t="e">
        <f t="shared" si="6130"/>
        <v>#N/A</v>
      </c>
      <c r="I3044" s="16" t="e">
        <f t="shared" si="6130"/>
        <v>#N/A</v>
      </c>
      <c r="J3044" s="40" t="e">
        <f t="shared" si="6130"/>
        <v>#N/A</v>
      </c>
      <c r="K3044" s="16" t="e">
        <f t="shared" si="6130"/>
        <v>#N/A</v>
      </c>
      <c r="L3044" s="40" t="e">
        <f t="shared" si="6045"/>
        <v>#N/A</v>
      </c>
      <c r="M3044" s="16" t="e">
        <f t="shared" si="6046"/>
        <v>#N/A</v>
      </c>
      <c r="N3044" s="16" t="e">
        <f t="shared" si="6047"/>
        <v>#N/A</v>
      </c>
      <c r="O3044" s="16" t="s">
        <v>74</v>
      </c>
      <c r="P3044" s="16" t="str">
        <f t="shared" si="6"/>
        <v/>
      </c>
      <c r="Q3044" s="41" t="e">
        <f t="shared" si="6048"/>
        <v>#N/A</v>
      </c>
      <c r="R3044" s="44"/>
      <c r="S3044" s="44"/>
      <c r="T3044" s="43"/>
      <c r="U3044" s="43" t="str">
        <f t="shared" si="8"/>
        <v>No</v>
      </c>
      <c r="V3044" s="25"/>
      <c r="W3044" s="25"/>
      <c r="X3044" s="25"/>
      <c r="Y3044" s="25"/>
      <c r="Z3044" s="25"/>
    </row>
    <row r="3045" spans="1:26" ht="15.75" customHeight="1" x14ac:dyDescent="0.25">
      <c r="A3045" s="25">
        <v>3043</v>
      </c>
      <c r="B3045" s="37" t="e">
        <f t="shared" ref="B3045:D3045" si="6131">VLOOKUP($A3045,[10]Mujer!$A$1:$O$279,B$1,0)</f>
        <v>#N/A</v>
      </c>
      <c r="C3045" s="38" t="e">
        <f t="shared" si="6131"/>
        <v>#N/A</v>
      </c>
      <c r="D3045" s="39" t="e">
        <f t="shared" si="6131"/>
        <v>#N/A</v>
      </c>
      <c r="E3045" s="16" t="e">
        <f t="shared" si="1"/>
        <v>#N/A</v>
      </c>
      <c r="F3045" s="16" t="e">
        <f t="shared" ref="F3045:K3045" si="6132">VLOOKUP($A3045,[10]Mujer!$A$1:$O$279,F$1,0)</f>
        <v>#N/A</v>
      </c>
      <c r="G3045" s="39" t="e">
        <f t="shared" si="6132"/>
        <v>#N/A</v>
      </c>
      <c r="H3045" s="16" t="e">
        <f t="shared" si="6132"/>
        <v>#N/A</v>
      </c>
      <c r="I3045" s="16" t="e">
        <f t="shared" si="6132"/>
        <v>#N/A</v>
      </c>
      <c r="J3045" s="40" t="e">
        <f t="shared" si="6132"/>
        <v>#N/A</v>
      </c>
      <c r="K3045" s="16" t="e">
        <f t="shared" si="6132"/>
        <v>#N/A</v>
      </c>
      <c r="L3045" s="40" t="e">
        <f t="shared" si="6045"/>
        <v>#N/A</v>
      </c>
      <c r="M3045" s="16" t="e">
        <f t="shared" si="6046"/>
        <v>#N/A</v>
      </c>
      <c r="N3045" s="16" t="e">
        <f t="shared" si="6047"/>
        <v>#N/A</v>
      </c>
      <c r="O3045" s="16" t="s">
        <v>74</v>
      </c>
      <c r="P3045" s="16" t="str">
        <f t="shared" si="6"/>
        <v/>
      </c>
      <c r="Q3045" s="41" t="e">
        <f t="shared" si="6048"/>
        <v>#N/A</v>
      </c>
      <c r="R3045" s="44"/>
      <c r="S3045" s="44"/>
      <c r="T3045" s="43"/>
      <c r="U3045" s="43" t="str">
        <f t="shared" si="8"/>
        <v>No</v>
      </c>
      <c r="V3045" s="25"/>
      <c r="W3045" s="25"/>
      <c r="X3045" s="25"/>
      <c r="Y3045" s="25"/>
      <c r="Z3045" s="25"/>
    </row>
    <row r="3046" spans="1:26" ht="15.75" customHeight="1" x14ac:dyDescent="0.25">
      <c r="A3046" s="25">
        <v>3044</v>
      </c>
      <c r="B3046" s="37" t="e">
        <f t="shared" ref="B3046:D3046" si="6133">VLOOKUP($A3046,[10]Mujer!$A$1:$O$279,B$1,0)</f>
        <v>#N/A</v>
      </c>
      <c r="C3046" s="38" t="e">
        <f t="shared" si="6133"/>
        <v>#N/A</v>
      </c>
      <c r="D3046" s="39" t="e">
        <f t="shared" si="6133"/>
        <v>#N/A</v>
      </c>
      <c r="E3046" s="16" t="e">
        <f t="shared" si="1"/>
        <v>#N/A</v>
      </c>
      <c r="F3046" s="16" t="e">
        <f t="shared" ref="F3046:K3046" si="6134">VLOOKUP($A3046,[10]Mujer!$A$1:$O$279,F$1,0)</f>
        <v>#N/A</v>
      </c>
      <c r="G3046" s="39" t="e">
        <f t="shared" si="6134"/>
        <v>#N/A</v>
      </c>
      <c r="H3046" s="16" t="e">
        <f t="shared" si="6134"/>
        <v>#N/A</v>
      </c>
      <c r="I3046" s="16" t="e">
        <f t="shared" si="6134"/>
        <v>#N/A</v>
      </c>
      <c r="J3046" s="40" t="e">
        <f t="shared" si="6134"/>
        <v>#N/A</v>
      </c>
      <c r="K3046" s="16" t="e">
        <f t="shared" si="6134"/>
        <v>#N/A</v>
      </c>
      <c r="L3046" s="40" t="e">
        <f t="shared" si="6045"/>
        <v>#N/A</v>
      </c>
      <c r="M3046" s="16" t="e">
        <f t="shared" si="6046"/>
        <v>#N/A</v>
      </c>
      <c r="N3046" s="16" t="e">
        <f t="shared" si="6047"/>
        <v>#N/A</v>
      </c>
      <c r="O3046" s="16" t="s">
        <v>74</v>
      </c>
      <c r="P3046" s="16" t="str">
        <f t="shared" si="6"/>
        <v/>
      </c>
      <c r="Q3046" s="41" t="e">
        <f t="shared" si="6048"/>
        <v>#N/A</v>
      </c>
      <c r="R3046" s="44"/>
      <c r="S3046" s="44"/>
      <c r="T3046" s="43"/>
      <c r="U3046" s="43" t="str">
        <f t="shared" si="8"/>
        <v>No</v>
      </c>
      <c r="V3046" s="25"/>
      <c r="W3046" s="25"/>
      <c r="X3046" s="25"/>
      <c r="Y3046" s="25"/>
      <c r="Z3046" s="25"/>
    </row>
    <row r="3047" spans="1:26" ht="15.75" customHeight="1" x14ac:dyDescent="0.25">
      <c r="A3047" s="25">
        <v>3045</v>
      </c>
      <c r="B3047" s="37" t="e">
        <f t="shared" ref="B3047:D3047" si="6135">VLOOKUP($A3047,[10]Mujer!$A$1:$O$279,B$1,0)</f>
        <v>#N/A</v>
      </c>
      <c r="C3047" s="38" t="e">
        <f t="shared" si="6135"/>
        <v>#N/A</v>
      </c>
      <c r="D3047" s="39" t="e">
        <f t="shared" si="6135"/>
        <v>#N/A</v>
      </c>
      <c r="E3047" s="16" t="e">
        <f t="shared" si="1"/>
        <v>#N/A</v>
      </c>
      <c r="F3047" s="16" t="e">
        <f t="shared" ref="F3047:K3047" si="6136">VLOOKUP($A3047,[10]Mujer!$A$1:$O$279,F$1,0)</f>
        <v>#N/A</v>
      </c>
      <c r="G3047" s="39" t="e">
        <f t="shared" si="6136"/>
        <v>#N/A</v>
      </c>
      <c r="H3047" s="16" t="e">
        <f t="shared" si="6136"/>
        <v>#N/A</v>
      </c>
      <c r="I3047" s="16" t="e">
        <f t="shared" si="6136"/>
        <v>#N/A</v>
      </c>
      <c r="J3047" s="40" t="e">
        <f t="shared" si="6136"/>
        <v>#N/A</v>
      </c>
      <c r="K3047" s="16" t="e">
        <f t="shared" si="6136"/>
        <v>#N/A</v>
      </c>
      <c r="L3047" s="40" t="e">
        <f t="shared" si="6045"/>
        <v>#N/A</v>
      </c>
      <c r="M3047" s="16" t="e">
        <f t="shared" si="6046"/>
        <v>#N/A</v>
      </c>
      <c r="N3047" s="16" t="e">
        <f t="shared" si="6047"/>
        <v>#N/A</v>
      </c>
      <c r="O3047" s="16" t="s">
        <v>74</v>
      </c>
      <c r="P3047" s="16" t="str">
        <f t="shared" si="6"/>
        <v/>
      </c>
      <c r="Q3047" s="41" t="e">
        <f t="shared" si="6048"/>
        <v>#N/A</v>
      </c>
      <c r="R3047" s="44"/>
      <c r="S3047" s="44"/>
      <c r="T3047" s="43"/>
      <c r="U3047" s="43" t="str">
        <f t="shared" si="8"/>
        <v>No</v>
      </c>
      <c r="V3047" s="25"/>
      <c r="W3047" s="25"/>
      <c r="X3047" s="25"/>
      <c r="Y3047" s="25"/>
      <c r="Z3047" s="25"/>
    </row>
    <row r="3048" spans="1:26" ht="15.75" customHeight="1" x14ac:dyDescent="0.25">
      <c r="A3048" s="25">
        <v>3046</v>
      </c>
      <c r="B3048" s="37" t="e">
        <f t="shared" ref="B3048:D3048" si="6137">VLOOKUP($A3048,[10]Mujer!$A$1:$O$279,B$1,0)</f>
        <v>#N/A</v>
      </c>
      <c r="C3048" s="38" t="e">
        <f t="shared" si="6137"/>
        <v>#N/A</v>
      </c>
      <c r="D3048" s="39" t="e">
        <f t="shared" si="6137"/>
        <v>#N/A</v>
      </c>
      <c r="E3048" s="16" t="e">
        <f t="shared" si="1"/>
        <v>#N/A</v>
      </c>
      <c r="F3048" s="16" t="e">
        <f t="shared" ref="F3048:K3048" si="6138">VLOOKUP($A3048,[10]Mujer!$A$1:$O$279,F$1,0)</f>
        <v>#N/A</v>
      </c>
      <c r="G3048" s="39" t="e">
        <f t="shared" si="6138"/>
        <v>#N/A</v>
      </c>
      <c r="H3048" s="16" t="e">
        <f t="shared" si="6138"/>
        <v>#N/A</v>
      </c>
      <c r="I3048" s="16" t="e">
        <f t="shared" si="6138"/>
        <v>#N/A</v>
      </c>
      <c r="J3048" s="40" t="e">
        <f t="shared" si="6138"/>
        <v>#N/A</v>
      </c>
      <c r="K3048" s="16" t="e">
        <f t="shared" si="6138"/>
        <v>#N/A</v>
      </c>
      <c r="L3048" s="40" t="e">
        <f t="shared" si="6045"/>
        <v>#N/A</v>
      </c>
      <c r="M3048" s="16" t="e">
        <f t="shared" si="6046"/>
        <v>#N/A</v>
      </c>
      <c r="N3048" s="16" t="e">
        <f t="shared" si="6047"/>
        <v>#N/A</v>
      </c>
      <c r="O3048" s="16" t="s">
        <v>74</v>
      </c>
      <c r="P3048" s="16" t="str">
        <f t="shared" si="6"/>
        <v/>
      </c>
      <c r="Q3048" s="41" t="e">
        <f t="shared" si="6048"/>
        <v>#N/A</v>
      </c>
      <c r="R3048" s="44"/>
      <c r="S3048" s="44"/>
      <c r="T3048" s="43"/>
      <c r="U3048" s="43" t="str">
        <f t="shared" si="8"/>
        <v>No</v>
      </c>
      <c r="V3048" s="25"/>
      <c r="W3048" s="25"/>
      <c r="X3048" s="25"/>
      <c r="Y3048" s="25"/>
      <c r="Z3048" s="25"/>
    </row>
    <row r="3049" spans="1:26" ht="15.75" customHeight="1" x14ac:dyDescent="0.25">
      <c r="A3049" s="25">
        <v>3047</v>
      </c>
      <c r="B3049" s="37" t="e">
        <f t="shared" ref="B3049:D3049" si="6139">VLOOKUP($A3049,[10]Mujer!$A$1:$O$279,B$1,0)</f>
        <v>#N/A</v>
      </c>
      <c r="C3049" s="38" t="e">
        <f t="shared" si="6139"/>
        <v>#N/A</v>
      </c>
      <c r="D3049" s="39" t="e">
        <f t="shared" si="6139"/>
        <v>#N/A</v>
      </c>
      <c r="E3049" s="16" t="e">
        <f t="shared" si="1"/>
        <v>#N/A</v>
      </c>
      <c r="F3049" s="16" t="e">
        <f t="shared" ref="F3049:K3049" si="6140">VLOOKUP($A3049,[10]Mujer!$A$1:$O$279,F$1,0)</f>
        <v>#N/A</v>
      </c>
      <c r="G3049" s="39" t="e">
        <f t="shared" si="6140"/>
        <v>#N/A</v>
      </c>
      <c r="H3049" s="16" t="e">
        <f t="shared" si="6140"/>
        <v>#N/A</v>
      </c>
      <c r="I3049" s="16" t="e">
        <f t="shared" si="6140"/>
        <v>#N/A</v>
      </c>
      <c r="J3049" s="40" t="e">
        <f t="shared" si="6140"/>
        <v>#N/A</v>
      </c>
      <c r="K3049" s="16" t="e">
        <f t="shared" si="6140"/>
        <v>#N/A</v>
      </c>
      <c r="L3049" s="40" t="e">
        <f t="shared" si="6045"/>
        <v>#N/A</v>
      </c>
      <c r="M3049" s="16" t="e">
        <f t="shared" si="6046"/>
        <v>#N/A</v>
      </c>
      <c r="N3049" s="16" t="e">
        <f t="shared" si="6047"/>
        <v>#N/A</v>
      </c>
      <c r="O3049" s="16" t="s">
        <v>74</v>
      </c>
      <c r="P3049" s="16" t="str">
        <f t="shared" si="6"/>
        <v/>
      </c>
      <c r="Q3049" s="41" t="e">
        <f t="shared" si="6048"/>
        <v>#N/A</v>
      </c>
      <c r="R3049" s="44"/>
      <c r="S3049" s="44"/>
      <c r="T3049" s="43"/>
      <c r="U3049" s="43" t="str">
        <f t="shared" si="8"/>
        <v>No</v>
      </c>
      <c r="V3049" s="25"/>
      <c r="W3049" s="25"/>
      <c r="X3049" s="25"/>
      <c r="Y3049" s="25"/>
      <c r="Z3049" s="25"/>
    </row>
    <row r="3050" spans="1:26" ht="15.75" customHeight="1" x14ac:dyDescent="0.25">
      <c r="A3050" s="25">
        <v>3048</v>
      </c>
      <c r="B3050" s="37" t="e">
        <f t="shared" ref="B3050:D3050" si="6141">VLOOKUP($A3050,[10]Mujer!$A$1:$O$279,B$1,0)</f>
        <v>#N/A</v>
      </c>
      <c r="C3050" s="38" t="e">
        <f t="shared" si="6141"/>
        <v>#N/A</v>
      </c>
      <c r="D3050" s="39" t="e">
        <f t="shared" si="6141"/>
        <v>#N/A</v>
      </c>
      <c r="E3050" s="16" t="e">
        <f t="shared" si="1"/>
        <v>#N/A</v>
      </c>
      <c r="F3050" s="16" t="e">
        <f t="shared" ref="F3050:K3050" si="6142">VLOOKUP($A3050,[10]Mujer!$A$1:$O$279,F$1,0)</f>
        <v>#N/A</v>
      </c>
      <c r="G3050" s="39" t="e">
        <f t="shared" si="6142"/>
        <v>#N/A</v>
      </c>
      <c r="H3050" s="16" t="e">
        <f t="shared" si="6142"/>
        <v>#N/A</v>
      </c>
      <c r="I3050" s="16" t="e">
        <f t="shared" si="6142"/>
        <v>#N/A</v>
      </c>
      <c r="J3050" s="40" t="e">
        <f t="shared" si="6142"/>
        <v>#N/A</v>
      </c>
      <c r="K3050" s="16" t="e">
        <f t="shared" si="6142"/>
        <v>#N/A</v>
      </c>
      <c r="L3050" s="40" t="e">
        <f t="shared" si="6045"/>
        <v>#N/A</v>
      </c>
      <c r="M3050" s="16" t="e">
        <f t="shared" si="6046"/>
        <v>#N/A</v>
      </c>
      <c r="N3050" s="16" t="e">
        <f t="shared" si="6047"/>
        <v>#N/A</v>
      </c>
      <c r="O3050" s="16" t="s">
        <v>74</v>
      </c>
      <c r="P3050" s="16" t="str">
        <f t="shared" si="6"/>
        <v/>
      </c>
      <c r="Q3050" s="41" t="e">
        <f t="shared" si="6048"/>
        <v>#N/A</v>
      </c>
      <c r="R3050" s="44"/>
      <c r="S3050" s="44"/>
      <c r="T3050" s="43"/>
      <c r="U3050" s="43" t="str">
        <f t="shared" si="8"/>
        <v>No</v>
      </c>
      <c r="V3050" s="25"/>
      <c r="W3050" s="25"/>
      <c r="X3050" s="25"/>
      <c r="Y3050" s="25"/>
      <c r="Z3050" s="25"/>
    </row>
    <row r="3051" spans="1:26" ht="15.75" customHeight="1" x14ac:dyDescent="0.25">
      <c r="A3051" s="25">
        <v>3049</v>
      </c>
      <c r="B3051" s="37" t="e">
        <f t="shared" ref="B3051:D3051" si="6143">VLOOKUP($A3051,[10]Mujer!$A$1:$O$279,B$1,0)</f>
        <v>#N/A</v>
      </c>
      <c r="C3051" s="38" t="e">
        <f t="shared" si="6143"/>
        <v>#N/A</v>
      </c>
      <c r="D3051" s="39" t="e">
        <f t="shared" si="6143"/>
        <v>#N/A</v>
      </c>
      <c r="E3051" s="16" t="e">
        <f t="shared" si="1"/>
        <v>#N/A</v>
      </c>
      <c r="F3051" s="16" t="e">
        <f t="shared" ref="F3051:K3051" si="6144">VLOOKUP($A3051,[10]Mujer!$A$1:$O$279,F$1,0)</f>
        <v>#N/A</v>
      </c>
      <c r="G3051" s="39" t="e">
        <f t="shared" si="6144"/>
        <v>#N/A</v>
      </c>
      <c r="H3051" s="16" t="e">
        <f t="shared" si="6144"/>
        <v>#N/A</v>
      </c>
      <c r="I3051" s="16" t="e">
        <f t="shared" si="6144"/>
        <v>#N/A</v>
      </c>
      <c r="J3051" s="40" t="e">
        <f t="shared" si="6144"/>
        <v>#N/A</v>
      </c>
      <c r="K3051" s="16" t="e">
        <f t="shared" si="6144"/>
        <v>#N/A</v>
      </c>
      <c r="L3051" s="40" t="e">
        <f t="shared" si="6045"/>
        <v>#N/A</v>
      </c>
      <c r="M3051" s="16" t="e">
        <f t="shared" si="6046"/>
        <v>#N/A</v>
      </c>
      <c r="N3051" s="16" t="e">
        <f t="shared" si="6047"/>
        <v>#N/A</v>
      </c>
      <c r="O3051" s="16" t="s">
        <v>74</v>
      </c>
      <c r="P3051" s="16" t="str">
        <f t="shared" si="6"/>
        <v/>
      </c>
      <c r="Q3051" s="41" t="e">
        <f t="shared" si="6048"/>
        <v>#N/A</v>
      </c>
      <c r="R3051" s="44"/>
      <c r="S3051" s="44"/>
      <c r="T3051" s="43"/>
      <c r="U3051" s="43" t="str">
        <f t="shared" si="8"/>
        <v>No</v>
      </c>
      <c r="V3051" s="25"/>
      <c r="W3051" s="25"/>
      <c r="X3051" s="25"/>
      <c r="Y3051" s="25"/>
      <c r="Z3051" s="25"/>
    </row>
    <row r="3052" spans="1:26" ht="15.75" customHeight="1" x14ac:dyDescent="0.25">
      <c r="A3052" s="25">
        <v>3050</v>
      </c>
      <c r="B3052" s="37" t="e">
        <f t="shared" ref="B3052:D3052" si="6145">VLOOKUP($A3052,[10]Mujer!$A$1:$O$279,B$1,0)</f>
        <v>#N/A</v>
      </c>
      <c r="C3052" s="38" t="e">
        <f t="shared" si="6145"/>
        <v>#N/A</v>
      </c>
      <c r="D3052" s="39" t="e">
        <f t="shared" si="6145"/>
        <v>#N/A</v>
      </c>
      <c r="E3052" s="16" t="e">
        <f t="shared" si="1"/>
        <v>#N/A</v>
      </c>
      <c r="F3052" s="16" t="e">
        <f t="shared" ref="F3052:K3052" si="6146">VLOOKUP($A3052,[10]Mujer!$A$1:$O$279,F$1,0)</f>
        <v>#N/A</v>
      </c>
      <c r="G3052" s="39" t="e">
        <f t="shared" si="6146"/>
        <v>#N/A</v>
      </c>
      <c r="H3052" s="16" t="e">
        <f t="shared" si="6146"/>
        <v>#N/A</v>
      </c>
      <c r="I3052" s="16" t="e">
        <f t="shared" si="6146"/>
        <v>#N/A</v>
      </c>
      <c r="J3052" s="40" t="e">
        <f t="shared" si="6146"/>
        <v>#N/A</v>
      </c>
      <c r="K3052" s="16" t="e">
        <f t="shared" si="6146"/>
        <v>#N/A</v>
      </c>
      <c r="L3052" s="40" t="e">
        <f t="shared" si="6045"/>
        <v>#N/A</v>
      </c>
      <c r="M3052" s="16" t="e">
        <f t="shared" si="6046"/>
        <v>#N/A</v>
      </c>
      <c r="N3052" s="16" t="e">
        <f t="shared" si="6047"/>
        <v>#N/A</v>
      </c>
      <c r="O3052" s="16" t="s">
        <v>74</v>
      </c>
      <c r="P3052" s="16" t="str">
        <f t="shared" si="6"/>
        <v/>
      </c>
      <c r="Q3052" s="41" t="e">
        <f t="shared" si="6048"/>
        <v>#N/A</v>
      </c>
      <c r="R3052" s="44"/>
      <c r="S3052" s="44"/>
      <c r="T3052" s="43"/>
      <c r="U3052" s="43" t="str">
        <f t="shared" si="8"/>
        <v>No</v>
      </c>
      <c r="V3052" s="25"/>
      <c r="W3052" s="25"/>
      <c r="X3052" s="25"/>
      <c r="Y3052" s="25"/>
      <c r="Z3052" s="25"/>
    </row>
    <row r="3053" spans="1:26" ht="15.75" customHeight="1" x14ac:dyDescent="0.25">
      <c r="A3053" s="25">
        <v>3051</v>
      </c>
      <c r="B3053" s="37" t="e">
        <f t="shared" ref="B3053:D3053" si="6147">VLOOKUP($A3053,[10]Mujer!$A$1:$O$279,B$1,0)</f>
        <v>#N/A</v>
      </c>
      <c r="C3053" s="38" t="e">
        <f t="shared" si="6147"/>
        <v>#N/A</v>
      </c>
      <c r="D3053" s="39" t="e">
        <f t="shared" si="6147"/>
        <v>#N/A</v>
      </c>
      <c r="E3053" s="16" t="e">
        <f t="shared" si="1"/>
        <v>#N/A</v>
      </c>
      <c r="F3053" s="16" t="e">
        <f t="shared" ref="F3053:K3053" si="6148">VLOOKUP($A3053,[10]Mujer!$A$1:$O$279,F$1,0)</f>
        <v>#N/A</v>
      </c>
      <c r="G3053" s="39" t="e">
        <f t="shared" si="6148"/>
        <v>#N/A</v>
      </c>
      <c r="H3053" s="16" t="e">
        <f t="shared" si="6148"/>
        <v>#N/A</v>
      </c>
      <c r="I3053" s="16" t="e">
        <f t="shared" si="6148"/>
        <v>#N/A</v>
      </c>
      <c r="J3053" s="40" t="e">
        <f t="shared" si="6148"/>
        <v>#N/A</v>
      </c>
      <c r="K3053" s="16" t="e">
        <f t="shared" si="6148"/>
        <v>#N/A</v>
      </c>
      <c r="L3053" s="40" t="e">
        <f t="shared" si="6045"/>
        <v>#N/A</v>
      </c>
      <c r="M3053" s="16" t="e">
        <f t="shared" si="6046"/>
        <v>#N/A</v>
      </c>
      <c r="N3053" s="16" t="e">
        <f t="shared" si="6047"/>
        <v>#N/A</v>
      </c>
      <c r="O3053" s="16" t="s">
        <v>74</v>
      </c>
      <c r="P3053" s="16" t="str">
        <f t="shared" si="6"/>
        <v/>
      </c>
      <c r="Q3053" s="41" t="e">
        <f t="shared" si="6048"/>
        <v>#N/A</v>
      </c>
      <c r="R3053" s="44"/>
      <c r="S3053" s="44"/>
      <c r="T3053" s="43"/>
      <c r="U3053" s="43" t="str">
        <f t="shared" si="8"/>
        <v>No</v>
      </c>
      <c r="V3053" s="25"/>
      <c r="W3053" s="25"/>
      <c r="X3053" s="25"/>
      <c r="Y3053" s="25"/>
      <c r="Z3053" s="25"/>
    </row>
    <row r="3054" spans="1:26" ht="15.75" customHeight="1" x14ac:dyDescent="0.25">
      <c r="A3054" s="25">
        <v>3052</v>
      </c>
      <c r="B3054" s="37" t="e">
        <f t="shared" ref="B3054:D3054" si="6149">VLOOKUP($A3054,[10]Mujer!$A$1:$O$279,B$1,0)</f>
        <v>#N/A</v>
      </c>
      <c r="C3054" s="38" t="e">
        <f t="shared" si="6149"/>
        <v>#N/A</v>
      </c>
      <c r="D3054" s="39" t="e">
        <f t="shared" si="6149"/>
        <v>#N/A</v>
      </c>
      <c r="E3054" s="16" t="e">
        <f t="shared" si="1"/>
        <v>#N/A</v>
      </c>
      <c r="F3054" s="16" t="e">
        <f t="shared" ref="F3054:K3054" si="6150">VLOOKUP($A3054,[10]Mujer!$A$1:$O$279,F$1,0)</f>
        <v>#N/A</v>
      </c>
      <c r="G3054" s="39" t="e">
        <f t="shared" si="6150"/>
        <v>#N/A</v>
      </c>
      <c r="H3054" s="16" t="e">
        <f t="shared" si="6150"/>
        <v>#N/A</v>
      </c>
      <c r="I3054" s="16" t="e">
        <f t="shared" si="6150"/>
        <v>#N/A</v>
      </c>
      <c r="J3054" s="40" t="e">
        <f t="shared" si="6150"/>
        <v>#N/A</v>
      </c>
      <c r="K3054" s="16" t="e">
        <f t="shared" si="6150"/>
        <v>#N/A</v>
      </c>
      <c r="L3054" s="40" t="e">
        <f t="shared" si="6045"/>
        <v>#N/A</v>
      </c>
      <c r="M3054" s="16" t="e">
        <f t="shared" si="6046"/>
        <v>#N/A</v>
      </c>
      <c r="N3054" s="16" t="e">
        <f t="shared" si="6047"/>
        <v>#N/A</v>
      </c>
      <c r="O3054" s="16" t="s">
        <v>74</v>
      </c>
      <c r="P3054" s="16" t="str">
        <f t="shared" si="6"/>
        <v/>
      </c>
      <c r="Q3054" s="41" t="e">
        <f t="shared" si="6048"/>
        <v>#N/A</v>
      </c>
      <c r="R3054" s="44"/>
      <c r="S3054" s="44"/>
      <c r="T3054" s="43"/>
      <c r="U3054" s="43" t="str">
        <f t="shared" si="8"/>
        <v>No</v>
      </c>
      <c r="V3054" s="25"/>
      <c r="W3054" s="25"/>
      <c r="X3054" s="25"/>
      <c r="Y3054" s="25"/>
      <c r="Z3054" s="25"/>
    </row>
    <row r="3055" spans="1:26" ht="15.75" customHeight="1" x14ac:dyDescent="0.25">
      <c r="A3055" s="25">
        <v>3053</v>
      </c>
      <c r="B3055" s="37" t="e">
        <f t="shared" ref="B3055:D3055" si="6151">VLOOKUP($A3055,[10]Mujer!$A$1:$O$279,B$1,0)</f>
        <v>#N/A</v>
      </c>
      <c r="C3055" s="38" t="e">
        <f t="shared" si="6151"/>
        <v>#N/A</v>
      </c>
      <c r="D3055" s="39" t="e">
        <f t="shared" si="6151"/>
        <v>#N/A</v>
      </c>
      <c r="E3055" s="16" t="e">
        <f t="shared" si="1"/>
        <v>#N/A</v>
      </c>
      <c r="F3055" s="16" t="e">
        <f t="shared" ref="F3055:K3055" si="6152">VLOOKUP($A3055,[10]Mujer!$A$1:$O$279,F$1,0)</f>
        <v>#N/A</v>
      </c>
      <c r="G3055" s="39" t="e">
        <f t="shared" si="6152"/>
        <v>#N/A</v>
      </c>
      <c r="H3055" s="16" t="e">
        <f t="shared" si="6152"/>
        <v>#N/A</v>
      </c>
      <c r="I3055" s="16" t="e">
        <f t="shared" si="6152"/>
        <v>#N/A</v>
      </c>
      <c r="J3055" s="40" t="e">
        <f t="shared" si="6152"/>
        <v>#N/A</v>
      </c>
      <c r="K3055" s="16" t="e">
        <f t="shared" si="6152"/>
        <v>#N/A</v>
      </c>
      <c r="L3055" s="40" t="e">
        <f t="shared" si="6045"/>
        <v>#N/A</v>
      </c>
      <c r="M3055" s="16" t="e">
        <f t="shared" si="6046"/>
        <v>#N/A</v>
      </c>
      <c r="N3055" s="16" t="e">
        <f t="shared" si="6047"/>
        <v>#N/A</v>
      </c>
      <c r="O3055" s="16" t="s">
        <v>74</v>
      </c>
      <c r="P3055" s="16" t="str">
        <f t="shared" si="6"/>
        <v/>
      </c>
      <c r="Q3055" s="41" t="e">
        <f t="shared" si="6048"/>
        <v>#N/A</v>
      </c>
      <c r="R3055" s="44"/>
      <c r="S3055" s="44"/>
      <c r="T3055" s="43"/>
      <c r="U3055" s="43" t="str">
        <f t="shared" si="8"/>
        <v>No</v>
      </c>
      <c r="V3055" s="25"/>
      <c r="W3055" s="25"/>
      <c r="X3055" s="25"/>
      <c r="Y3055" s="25"/>
      <c r="Z3055" s="25"/>
    </row>
    <row r="3056" spans="1:26" ht="15.75" customHeight="1" x14ac:dyDescent="0.25">
      <c r="A3056" s="25">
        <v>3054</v>
      </c>
      <c r="B3056" s="37" t="e">
        <f t="shared" ref="B3056:D3056" si="6153">VLOOKUP($A3056,[10]Mujer!$A$1:$O$279,B$1,0)</f>
        <v>#N/A</v>
      </c>
      <c r="C3056" s="38" t="e">
        <f t="shared" si="6153"/>
        <v>#N/A</v>
      </c>
      <c r="D3056" s="39" t="e">
        <f t="shared" si="6153"/>
        <v>#N/A</v>
      </c>
      <c r="E3056" s="16" t="e">
        <f t="shared" si="1"/>
        <v>#N/A</v>
      </c>
      <c r="F3056" s="16" t="e">
        <f t="shared" ref="F3056:K3056" si="6154">VLOOKUP($A3056,[10]Mujer!$A$1:$O$279,F$1,0)</f>
        <v>#N/A</v>
      </c>
      <c r="G3056" s="39" t="e">
        <f t="shared" si="6154"/>
        <v>#N/A</v>
      </c>
      <c r="H3056" s="16" t="e">
        <f t="shared" si="6154"/>
        <v>#N/A</v>
      </c>
      <c r="I3056" s="16" t="e">
        <f t="shared" si="6154"/>
        <v>#N/A</v>
      </c>
      <c r="J3056" s="40" t="e">
        <f t="shared" si="6154"/>
        <v>#N/A</v>
      </c>
      <c r="K3056" s="16" t="e">
        <f t="shared" si="6154"/>
        <v>#N/A</v>
      </c>
      <c r="L3056" s="40" t="e">
        <f t="shared" si="6045"/>
        <v>#N/A</v>
      </c>
      <c r="M3056" s="16" t="e">
        <f t="shared" si="6046"/>
        <v>#N/A</v>
      </c>
      <c r="N3056" s="16" t="e">
        <f t="shared" si="6047"/>
        <v>#N/A</v>
      </c>
      <c r="O3056" s="16" t="s">
        <v>74</v>
      </c>
      <c r="P3056" s="16" t="str">
        <f t="shared" si="6"/>
        <v/>
      </c>
      <c r="Q3056" s="41" t="e">
        <f t="shared" si="6048"/>
        <v>#N/A</v>
      </c>
      <c r="R3056" s="44"/>
      <c r="S3056" s="44"/>
      <c r="T3056" s="43"/>
      <c r="U3056" s="43" t="str">
        <f t="shared" si="8"/>
        <v>No</v>
      </c>
      <c r="V3056" s="25"/>
      <c r="W3056" s="25"/>
      <c r="X3056" s="25"/>
      <c r="Y3056" s="25"/>
      <c r="Z3056" s="25"/>
    </row>
    <row r="3057" spans="1:26" ht="15.75" customHeight="1" x14ac:dyDescent="0.25">
      <c r="A3057" s="25">
        <v>3055</v>
      </c>
      <c r="B3057" s="37" t="e">
        <f t="shared" ref="B3057:D3057" si="6155">VLOOKUP($A3057,[10]Mujer!$A$1:$O$279,B$1,0)</f>
        <v>#N/A</v>
      </c>
      <c r="C3057" s="38" t="e">
        <f t="shared" si="6155"/>
        <v>#N/A</v>
      </c>
      <c r="D3057" s="39" t="e">
        <f t="shared" si="6155"/>
        <v>#N/A</v>
      </c>
      <c r="E3057" s="16" t="e">
        <f t="shared" si="1"/>
        <v>#N/A</v>
      </c>
      <c r="F3057" s="16" t="e">
        <f t="shared" ref="F3057:K3057" si="6156">VLOOKUP($A3057,[10]Mujer!$A$1:$O$279,F$1,0)</f>
        <v>#N/A</v>
      </c>
      <c r="G3057" s="39" t="e">
        <f t="shared" si="6156"/>
        <v>#N/A</v>
      </c>
      <c r="H3057" s="16" t="e">
        <f t="shared" si="6156"/>
        <v>#N/A</v>
      </c>
      <c r="I3057" s="16" t="e">
        <f t="shared" si="6156"/>
        <v>#N/A</v>
      </c>
      <c r="J3057" s="40" t="e">
        <f t="shared" si="6156"/>
        <v>#N/A</v>
      </c>
      <c r="K3057" s="16" t="e">
        <f t="shared" si="6156"/>
        <v>#N/A</v>
      </c>
      <c r="L3057" s="40" t="e">
        <f t="shared" si="6045"/>
        <v>#N/A</v>
      </c>
      <c r="M3057" s="16" t="e">
        <f t="shared" si="6046"/>
        <v>#N/A</v>
      </c>
      <c r="N3057" s="16" t="e">
        <f t="shared" si="6047"/>
        <v>#N/A</v>
      </c>
      <c r="O3057" s="16" t="s">
        <v>74</v>
      </c>
      <c r="P3057" s="16" t="str">
        <f t="shared" si="6"/>
        <v/>
      </c>
      <c r="Q3057" s="41" t="e">
        <f t="shared" si="6048"/>
        <v>#N/A</v>
      </c>
      <c r="R3057" s="44"/>
      <c r="S3057" s="44"/>
      <c r="T3057" s="43"/>
      <c r="U3057" s="43" t="str">
        <f t="shared" si="8"/>
        <v>No</v>
      </c>
      <c r="V3057" s="25"/>
      <c r="W3057" s="25"/>
      <c r="X3057" s="25"/>
      <c r="Y3057" s="25"/>
      <c r="Z3057" s="25"/>
    </row>
    <row r="3058" spans="1:26" ht="15.75" customHeight="1" x14ac:dyDescent="0.25">
      <c r="A3058" s="25">
        <v>3056</v>
      </c>
      <c r="B3058" s="37" t="e">
        <f t="shared" ref="B3058:D3058" si="6157">VLOOKUP($A3058,[10]Mujer!$A$1:$O$279,B$1,0)</f>
        <v>#N/A</v>
      </c>
      <c r="C3058" s="38" t="e">
        <f t="shared" si="6157"/>
        <v>#N/A</v>
      </c>
      <c r="D3058" s="39" t="e">
        <f t="shared" si="6157"/>
        <v>#N/A</v>
      </c>
      <c r="E3058" s="16" t="e">
        <f t="shared" si="1"/>
        <v>#N/A</v>
      </c>
      <c r="F3058" s="16" t="e">
        <f t="shared" ref="F3058:K3058" si="6158">VLOOKUP($A3058,[10]Mujer!$A$1:$O$279,F$1,0)</f>
        <v>#N/A</v>
      </c>
      <c r="G3058" s="39" t="e">
        <f t="shared" si="6158"/>
        <v>#N/A</v>
      </c>
      <c r="H3058" s="16" t="e">
        <f t="shared" si="6158"/>
        <v>#N/A</v>
      </c>
      <c r="I3058" s="16" t="e">
        <f t="shared" si="6158"/>
        <v>#N/A</v>
      </c>
      <c r="J3058" s="40" t="e">
        <f t="shared" si="6158"/>
        <v>#N/A</v>
      </c>
      <c r="K3058" s="16" t="e">
        <f t="shared" si="6158"/>
        <v>#N/A</v>
      </c>
      <c r="L3058" s="40" t="e">
        <f t="shared" si="6045"/>
        <v>#N/A</v>
      </c>
      <c r="M3058" s="16" t="e">
        <f t="shared" si="6046"/>
        <v>#N/A</v>
      </c>
      <c r="N3058" s="16" t="e">
        <f t="shared" si="6047"/>
        <v>#N/A</v>
      </c>
      <c r="O3058" s="16" t="s">
        <v>74</v>
      </c>
      <c r="P3058" s="16" t="str">
        <f t="shared" si="6"/>
        <v/>
      </c>
      <c r="Q3058" s="41" t="e">
        <f t="shared" si="6048"/>
        <v>#N/A</v>
      </c>
      <c r="R3058" s="44"/>
      <c r="S3058" s="44"/>
      <c r="T3058" s="43"/>
      <c r="U3058" s="43" t="str">
        <f t="shared" si="8"/>
        <v>No</v>
      </c>
      <c r="V3058" s="25"/>
      <c r="W3058" s="25"/>
      <c r="X3058" s="25"/>
      <c r="Y3058" s="25"/>
      <c r="Z3058" s="25"/>
    </row>
    <row r="3059" spans="1:26" ht="15.75" customHeight="1" x14ac:dyDescent="0.25">
      <c r="A3059" s="25">
        <v>3057</v>
      </c>
      <c r="B3059" s="37" t="e">
        <f t="shared" ref="B3059:D3059" si="6159">VLOOKUP($A3059,[10]Mujer!$A$1:$O$279,B$1,0)</f>
        <v>#N/A</v>
      </c>
      <c r="C3059" s="38" t="e">
        <f t="shared" si="6159"/>
        <v>#N/A</v>
      </c>
      <c r="D3059" s="39" t="e">
        <f t="shared" si="6159"/>
        <v>#N/A</v>
      </c>
      <c r="E3059" s="16" t="e">
        <f t="shared" si="1"/>
        <v>#N/A</v>
      </c>
      <c r="F3059" s="16" t="e">
        <f t="shared" ref="F3059:K3059" si="6160">VLOOKUP($A3059,[10]Mujer!$A$1:$O$279,F$1,0)</f>
        <v>#N/A</v>
      </c>
      <c r="G3059" s="39" t="e">
        <f t="shared" si="6160"/>
        <v>#N/A</v>
      </c>
      <c r="H3059" s="16" t="e">
        <f t="shared" si="6160"/>
        <v>#N/A</v>
      </c>
      <c r="I3059" s="16" t="e">
        <f t="shared" si="6160"/>
        <v>#N/A</v>
      </c>
      <c r="J3059" s="40" t="e">
        <f t="shared" si="6160"/>
        <v>#N/A</v>
      </c>
      <c r="K3059" s="16" t="e">
        <f t="shared" si="6160"/>
        <v>#N/A</v>
      </c>
      <c r="L3059" s="40" t="e">
        <f t="shared" si="6045"/>
        <v>#N/A</v>
      </c>
      <c r="M3059" s="16" t="e">
        <f t="shared" si="6046"/>
        <v>#N/A</v>
      </c>
      <c r="N3059" s="16" t="e">
        <f t="shared" si="6047"/>
        <v>#N/A</v>
      </c>
      <c r="O3059" s="16" t="s">
        <v>74</v>
      </c>
      <c r="P3059" s="16" t="str">
        <f t="shared" si="6"/>
        <v/>
      </c>
      <c r="Q3059" s="41" t="e">
        <f t="shared" si="6048"/>
        <v>#N/A</v>
      </c>
      <c r="R3059" s="44"/>
      <c r="S3059" s="44"/>
      <c r="T3059" s="43"/>
      <c r="U3059" s="43" t="str">
        <f t="shared" si="8"/>
        <v>No</v>
      </c>
      <c r="V3059" s="25"/>
      <c r="W3059" s="25"/>
      <c r="X3059" s="25"/>
      <c r="Y3059" s="25"/>
      <c r="Z3059" s="25"/>
    </row>
    <row r="3060" spans="1:26" ht="15.75" customHeight="1" x14ac:dyDescent="0.25">
      <c r="A3060" s="25">
        <v>3058</v>
      </c>
      <c r="B3060" s="37" t="e">
        <f t="shared" ref="B3060:D3060" si="6161">VLOOKUP($A3060,[10]Mujer!$A$1:$O$279,B$1,0)</f>
        <v>#N/A</v>
      </c>
      <c r="C3060" s="38" t="e">
        <f t="shared" si="6161"/>
        <v>#N/A</v>
      </c>
      <c r="D3060" s="39" t="e">
        <f t="shared" si="6161"/>
        <v>#N/A</v>
      </c>
      <c r="E3060" s="16" t="e">
        <f t="shared" si="1"/>
        <v>#N/A</v>
      </c>
      <c r="F3060" s="16" t="e">
        <f t="shared" ref="F3060:K3060" si="6162">VLOOKUP($A3060,[10]Mujer!$A$1:$O$279,F$1,0)</f>
        <v>#N/A</v>
      </c>
      <c r="G3060" s="39" t="e">
        <f t="shared" si="6162"/>
        <v>#N/A</v>
      </c>
      <c r="H3060" s="16" t="e">
        <f t="shared" si="6162"/>
        <v>#N/A</v>
      </c>
      <c r="I3060" s="16" t="e">
        <f t="shared" si="6162"/>
        <v>#N/A</v>
      </c>
      <c r="J3060" s="40" t="e">
        <f t="shared" si="6162"/>
        <v>#N/A</v>
      </c>
      <c r="K3060" s="16" t="e">
        <f t="shared" si="6162"/>
        <v>#N/A</v>
      </c>
      <c r="L3060" s="40" t="e">
        <f t="shared" si="6045"/>
        <v>#N/A</v>
      </c>
      <c r="M3060" s="16" t="e">
        <f t="shared" si="6046"/>
        <v>#N/A</v>
      </c>
      <c r="N3060" s="16" t="e">
        <f t="shared" si="6047"/>
        <v>#N/A</v>
      </c>
      <c r="O3060" s="16" t="s">
        <v>74</v>
      </c>
      <c r="P3060" s="16" t="str">
        <f t="shared" si="6"/>
        <v/>
      </c>
      <c r="Q3060" s="41" t="e">
        <f t="shared" si="6048"/>
        <v>#N/A</v>
      </c>
      <c r="R3060" s="44"/>
      <c r="S3060" s="44"/>
      <c r="T3060" s="43"/>
      <c r="U3060" s="43" t="str">
        <f t="shared" si="8"/>
        <v>No</v>
      </c>
      <c r="V3060" s="25"/>
      <c r="W3060" s="25"/>
      <c r="X3060" s="25"/>
      <c r="Y3060" s="25"/>
      <c r="Z3060" s="25"/>
    </row>
    <row r="3061" spans="1:26" ht="15.75" customHeight="1" x14ac:dyDescent="0.25">
      <c r="A3061" s="25">
        <v>3059</v>
      </c>
      <c r="B3061" s="37" t="e">
        <f t="shared" ref="B3061:D3061" si="6163">VLOOKUP($A3061,[10]Mujer!$A$1:$O$279,B$1,0)</f>
        <v>#N/A</v>
      </c>
      <c r="C3061" s="38" t="e">
        <f t="shared" si="6163"/>
        <v>#N/A</v>
      </c>
      <c r="D3061" s="39" t="e">
        <f t="shared" si="6163"/>
        <v>#N/A</v>
      </c>
      <c r="E3061" s="16" t="e">
        <f t="shared" si="1"/>
        <v>#N/A</v>
      </c>
      <c r="F3061" s="16" t="e">
        <f t="shared" ref="F3061:K3061" si="6164">VLOOKUP($A3061,[10]Mujer!$A$1:$O$279,F$1,0)</f>
        <v>#N/A</v>
      </c>
      <c r="G3061" s="39" t="e">
        <f t="shared" si="6164"/>
        <v>#N/A</v>
      </c>
      <c r="H3061" s="16" t="e">
        <f t="shared" si="6164"/>
        <v>#N/A</v>
      </c>
      <c r="I3061" s="16" t="e">
        <f t="shared" si="6164"/>
        <v>#N/A</v>
      </c>
      <c r="J3061" s="40" t="e">
        <f t="shared" si="6164"/>
        <v>#N/A</v>
      </c>
      <c r="K3061" s="16" t="e">
        <f t="shared" si="6164"/>
        <v>#N/A</v>
      </c>
      <c r="L3061" s="40" t="e">
        <f t="shared" si="6045"/>
        <v>#N/A</v>
      </c>
      <c r="M3061" s="16" t="e">
        <f t="shared" si="6046"/>
        <v>#N/A</v>
      </c>
      <c r="N3061" s="16" t="e">
        <f t="shared" si="6047"/>
        <v>#N/A</v>
      </c>
      <c r="O3061" s="16" t="s">
        <v>74</v>
      </c>
      <c r="P3061" s="16" t="str">
        <f t="shared" si="6"/>
        <v/>
      </c>
      <c r="Q3061" s="41" t="e">
        <f t="shared" si="6048"/>
        <v>#N/A</v>
      </c>
      <c r="R3061" s="44"/>
      <c r="S3061" s="44"/>
      <c r="T3061" s="43"/>
      <c r="U3061" s="43" t="str">
        <f t="shared" si="8"/>
        <v>No</v>
      </c>
      <c r="V3061" s="25"/>
      <c r="W3061" s="25"/>
      <c r="X3061" s="25"/>
      <c r="Y3061" s="25"/>
      <c r="Z3061" s="25"/>
    </row>
    <row r="3062" spans="1:26" ht="15.75" customHeight="1" x14ac:dyDescent="0.25">
      <c r="A3062" s="25">
        <v>3060</v>
      </c>
      <c r="B3062" s="37" t="e">
        <f t="shared" ref="B3062:D3062" si="6165">VLOOKUP($A3062,[10]Mujer!$A$1:$O$279,B$1,0)</f>
        <v>#N/A</v>
      </c>
      <c r="C3062" s="38" t="e">
        <f t="shared" si="6165"/>
        <v>#N/A</v>
      </c>
      <c r="D3062" s="39" t="e">
        <f t="shared" si="6165"/>
        <v>#N/A</v>
      </c>
      <c r="E3062" s="16" t="e">
        <f t="shared" si="1"/>
        <v>#N/A</v>
      </c>
      <c r="F3062" s="16" t="e">
        <f t="shared" ref="F3062:K3062" si="6166">VLOOKUP($A3062,[10]Mujer!$A$1:$O$279,F$1,0)</f>
        <v>#N/A</v>
      </c>
      <c r="G3062" s="39" t="e">
        <f t="shared" si="6166"/>
        <v>#N/A</v>
      </c>
      <c r="H3062" s="16" t="e">
        <f t="shared" si="6166"/>
        <v>#N/A</v>
      </c>
      <c r="I3062" s="16" t="e">
        <f t="shared" si="6166"/>
        <v>#N/A</v>
      </c>
      <c r="J3062" s="40" t="e">
        <f t="shared" si="6166"/>
        <v>#N/A</v>
      </c>
      <c r="K3062" s="16" t="e">
        <f t="shared" si="6166"/>
        <v>#N/A</v>
      </c>
      <c r="L3062" s="40" t="e">
        <f t="shared" si="6045"/>
        <v>#N/A</v>
      </c>
      <c r="M3062" s="16" t="e">
        <f t="shared" si="6046"/>
        <v>#N/A</v>
      </c>
      <c r="N3062" s="16" t="e">
        <f t="shared" si="6047"/>
        <v>#N/A</v>
      </c>
      <c r="O3062" s="16" t="s">
        <v>74</v>
      </c>
      <c r="P3062" s="16" t="str">
        <f t="shared" si="6"/>
        <v/>
      </c>
      <c r="Q3062" s="41" t="e">
        <f t="shared" si="6048"/>
        <v>#N/A</v>
      </c>
      <c r="R3062" s="44"/>
      <c r="S3062" s="44"/>
      <c r="T3062" s="43"/>
      <c r="U3062" s="43" t="str">
        <f t="shared" si="8"/>
        <v>No</v>
      </c>
      <c r="V3062" s="25"/>
      <c r="W3062" s="25"/>
      <c r="X3062" s="25"/>
      <c r="Y3062" s="25"/>
      <c r="Z3062" s="25"/>
    </row>
    <row r="3063" spans="1:26" ht="15.75" customHeight="1" x14ac:dyDescent="0.25">
      <c r="A3063" s="25">
        <v>3061</v>
      </c>
      <c r="B3063" s="37" t="e">
        <f t="shared" ref="B3063:D3063" si="6167">VLOOKUP($A3063,[10]Mujer!$A$1:$O$279,B$1,0)</f>
        <v>#N/A</v>
      </c>
      <c r="C3063" s="38" t="e">
        <f t="shared" si="6167"/>
        <v>#N/A</v>
      </c>
      <c r="D3063" s="39" t="e">
        <f t="shared" si="6167"/>
        <v>#N/A</v>
      </c>
      <c r="E3063" s="16" t="e">
        <f t="shared" si="1"/>
        <v>#N/A</v>
      </c>
      <c r="F3063" s="16" t="e">
        <f t="shared" ref="F3063:K3063" si="6168">VLOOKUP($A3063,[10]Mujer!$A$1:$O$279,F$1,0)</f>
        <v>#N/A</v>
      </c>
      <c r="G3063" s="39" t="e">
        <f t="shared" si="6168"/>
        <v>#N/A</v>
      </c>
      <c r="H3063" s="16" t="e">
        <f t="shared" si="6168"/>
        <v>#N/A</v>
      </c>
      <c r="I3063" s="16" t="e">
        <f t="shared" si="6168"/>
        <v>#N/A</v>
      </c>
      <c r="J3063" s="40" t="e">
        <f t="shared" si="6168"/>
        <v>#N/A</v>
      </c>
      <c r="K3063" s="16" t="e">
        <f t="shared" si="6168"/>
        <v>#N/A</v>
      </c>
      <c r="L3063" s="40" t="e">
        <f t="shared" si="6045"/>
        <v>#N/A</v>
      </c>
      <c r="M3063" s="16" t="e">
        <f t="shared" si="6046"/>
        <v>#N/A</v>
      </c>
      <c r="N3063" s="16" t="e">
        <f t="shared" si="6047"/>
        <v>#N/A</v>
      </c>
      <c r="O3063" s="16" t="s">
        <v>74</v>
      </c>
      <c r="P3063" s="16" t="str">
        <f t="shared" si="6"/>
        <v/>
      </c>
      <c r="Q3063" s="41" t="e">
        <f t="shared" si="6048"/>
        <v>#N/A</v>
      </c>
      <c r="R3063" s="44"/>
      <c r="S3063" s="44"/>
      <c r="T3063" s="43"/>
      <c r="U3063" s="43" t="str">
        <f t="shared" si="8"/>
        <v>No</v>
      </c>
      <c r="V3063" s="25"/>
      <c r="W3063" s="25"/>
      <c r="X3063" s="25"/>
      <c r="Y3063" s="25"/>
      <c r="Z3063" s="25"/>
    </row>
    <row r="3064" spans="1:26" ht="15.75" customHeight="1" x14ac:dyDescent="0.25">
      <c r="A3064" s="25">
        <v>3062</v>
      </c>
      <c r="B3064" s="37" t="e">
        <f t="shared" ref="B3064:D3064" si="6169">VLOOKUP($A3064,[10]Mujer!$A$1:$O$279,B$1,0)</f>
        <v>#N/A</v>
      </c>
      <c r="C3064" s="38" t="e">
        <f t="shared" si="6169"/>
        <v>#N/A</v>
      </c>
      <c r="D3064" s="39" t="e">
        <f t="shared" si="6169"/>
        <v>#N/A</v>
      </c>
      <c r="E3064" s="16" t="e">
        <f t="shared" si="1"/>
        <v>#N/A</v>
      </c>
      <c r="F3064" s="16" t="e">
        <f t="shared" ref="F3064:K3064" si="6170">VLOOKUP($A3064,[10]Mujer!$A$1:$O$279,F$1,0)</f>
        <v>#N/A</v>
      </c>
      <c r="G3064" s="39" t="e">
        <f t="shared" si="6170"/>
        <v>#N/A</v>
      </c>
      <c r="H3064" s="16" t="e">
        <f t="shared" si="6170"/>
        <v>#N/A</v>
      </c>
      <c r="I3064" s="16" t="e">
        <f t="shared" si="6170"/>
        <v>#N/A</v>
      </c>
      <c r="J3064" s="40" t="e">
        <f t="shared" si="6170"/>
        <v>#N/A</v>
      </c>
      <c r="K3064" s="16" t="e">
        <f t="shared" si="6170"/>
        <v>#N/A</v>
      </c>
      <c r="L3064" s="40" t="e">
        <f t="shared" si="6045"/>
        <v>#N/A</v>
      </c>
      <c r="M3064" s="16" t="e">
        <f t="shared" si="6046"/>
        <v>#N/A</v>
      </c>
      <c r="N3064" s="16" t="e">
        <f t="shared" si="6047"/>
        <v>#N/A</v>
      </c>
      <c r="O3064" s="16" t="s">
        <v>74</v>
      </c>
      <c r="P3064" s="16" t="str">
        <f t="shared" si="6"/>
        <v/>
      </c>
      <c r="Q3064" s="41" t="e">
        <f t="shared" si="6048"/>
        <v>#N/A</v>
      </c>
      <c r="R3064" s="44"/>
      <c r="S3064" s="44"/>
      <c r="T3064" s="43"/>
      <c r="U3064" s="43" t="str">
        <f t="shared" si="8"/>
        <v>No</v>
      </c>
      <c r="V3064" s="25"/>
      <c r="W3064" s="25"/>
      <c r="X3064" s="25"/>
      <c r="Y3064" s="25"/>
      <c r="Z3064" s="25"/>
    </row>
    <row r="3065" spans="1:26" ht="15.75" customHeight="1" x14ac:dyDescent="0.25">
      <c r="A3065" s="25">
        <v>3063</v>
      </c>
      <c r="B3065" s="37" t="e">
        <f t="shared" ref="B3065:D3065" si="6171">VLOOKUP($A3065,[10]Mujer!$A$1:$O$279,B$1,0)</f>
        <v>#N/A</v>
      </c>
      <c r="C3065" s="38" t="e">
        <f t="shared" si="6171"/>
        <v>#N/A</v>
      </c>
      <c r="D3065" s="39" t="e">
        <f t="shared" si="6171"/>
        <v>#N/A</v>
      </c>
      <c r="E3065" s="16" t="e">
        <f t="shared" si="1"/>
        <v>#N/A</v>
      </c>
      <c r="F3065" s="16" t="e">
        <f t="shared" ref="F3065:K3065" si="6172">VLOOKUP($A3065,[10]Mujer!$A$1:$O$279,F$1,0)</f>
        <v>#N/A</v>
      </c>
      <c r="G3065" s="39" t="e">
        <f t="shared" si="6172"/>
        <v>#N/A</v>
      </c>
      <c r="H3065" s="16" t="e">
        <f t="shared" si="6172"/>
        <v>#N/A</v>
      </c>
      <c r="I3065" s="16" t="e">
        <f t="shared" si="6172"/>
        <v>#N/A</v>
      </c>
      <c r="J3065" s="40" t="e">
        <f t="shared" si="6172"/>
        <v>#N/A</v>
      </c>
      <c r="K3065" s="16" t="e">
        <f t="shared" si="6172"/>
        <v>#N/A</v>
      </c>
      <c r="L3065" s="40" t="e">
        <f t="shared" si="6045"/>
        <v>#N/A</v>
      </c>
      <c r="M3065" s="16" t="e">
        <f t="shared" si="6046"/>
        <v>#N/A</v>
      </c>
      <c r="N3065" s="16" t="e">
        <f t="shared" si="6047"/>
        <v>#N/A</v>
      </c>
      <c r="O3065" s="16" t="s">
        <v>74</v>
      </c>
      <c r="P3065" s="16" t="str">
        <f t="shared" si="6"/>
        <v/>
      </c>
      <c r="Q3065" s="41" t="e">
        <f t="shared" si="6048"/>
        <v>#N/A</v>
      </c>
      <c r="R3065" s="44"/>
      <c r="S3065" s="44"/>
      <c r="T3065" s="43"/>
      <c r="U3065" s="43" t="str">
        <f t="shared" si="8"/>
        <v>No</v>
      </c>
      <c r="V3065" s="25"/>
      <c r="W3065" s="25"/>
      <c r="X3065" s="25"/>
      <c r="Y3065" s="25"/>
      <c r="Z3065" s="25"/>
    </row>
    <row r="3066" spans="1:26" ht="15.75" customHeight="1" x14ac:dyDescent="0.25">
      <c r="A3066" s="25">
        <v>3064</v>
      </c>
      <c r="B3066" s="37" t="e">
        <f t="shared" ref="B3066:D3066" si="6173">VLOOKUP($A3066,[10]Mujer!$A$1:$O$279,B$1,0)</f>
        <v>#N/A</v>
      </c>
      <c r="C3066" s="38" t="e">
        <f t="shared" si="6173"/>
        <v>#N/A</v>
      </c>
      <c r="D3066" s="39" t="e">
        <f t="shared" si="6173"/>
        <v>#N/A</v>
      </c>
      <c r="E3066" s="16" t="e">
        <f t="shared" si="1"/>
        <v>#N/A</v>
      </c>
      <c r="F3066" s="16" t="e">
        <f t="shared" ref="F3066:K3066" si="6174">VLOOKUP($A3066,[10]Mujer!$A$1:$O$279,F$1,0)</f>
        <v>#N/A</v>
      </c>
      <c r="G3066" s="39" t="e">
        <f t="shared" si="6174"/>
        <v>#N/A</v>
      </c>
      <c r="H3066" s="16" t="e">
        <f t="shared" si="6174"/>
        <v>#N/A</v>
      </c>
      <c r="I3066" s="16" t="e">
        <f t="shared" si="6174"/>
        <v>#N/A</v>
      </c>
      <c r="J3066" s="40" t="e">
        <f t="shared" si="6174"/>
        <v>#N/A</v>
      </c>
      <c r="K3066" s="16" t="e">
        <f t="shared" si="6174"/>
        <v>#N/A</v>
      </c>
      <c r="L3066" s="40" t="e">
        <f t="shared" si="6045"/>
        <v>#N/A</v>
      </c>
      <c r="M3066" s="16" t="e">
        <f t="shared" si="6046"/>
        <v>#N/A</v>
      </c>
      <c r="N3066" s="16" t="e">
        <f t="shared" si="6047"/>
        <v>#N/A</v>
      </c>
      <c r="O3066" s="16" t="s">
        <v>74</v>
      </c>
      <c r="P3066" s="16" t="str">
        <f t="shared" si="6"/>
        <v/>
      </c>
      <c r="Q3066" s="41" t="e">
        <f t="shared" si="6048"/>
        <v>#N/A</v>
      </c>
      <c r="R3066" s="44"/>
      <c r="S3066" s="44"/>
      <c r="T3066" s="43"/>
      <c r="U3066" s="43" t="str">
        <f t="shared" si="8"/>
        <v>No</v>
      </c>
      <c r="V3066" s="25"/>
      <c r="W3066" s="25"/>
      <c r="X3066" s="25"/>
      <c r="Y3066" s="25"/>
      <c r="Z3066" s="25"/>
    </row>
    <row r="3067" spans="1:26" ht="15.75" customHeight="1" x14ac:dyDescent="0.25">
      <c r="A3067" s="25">
        <v>3065</v>
      </c>
      <c r="B3067" s="37" t="e">
        <f t="shared" ref="B3067:D3067" si="6175">VLOOKUP($A3067,[10]Mujer!$A$1:$O$279,B$1,0)</f>
        <v>#N/A</v>
      </c>
      <c r="C3067" s="38" t="e">
        <f t="shared" si="6175"/>
        <v>#N/A</v>
      </c>
      <c r="D3067" s="39" t="e">
        <f t="shared" si="6175"/>
        <v>#N/A</v>
      </c>
      <c r="E3067" s="16" t="e">
        <f t="shared" si="1"/>
        <v>#N/A</v>
      </c>
      <c r="F3067" s="16" t="e">
        <f t="shared" ref="F3067:K3067" si="6176">VLOOKUP($A3067,[10]Mujer!$A$1:$O$279,F$1,0)</f>
        <v>#N/A</v>
      </c>
      <c r="G3067" s="39" t="e">
        <f t="shared" si="6176"/>
        <v>#N/A</v>
      </c>
      <c r="H3067" s="16" t="e">
        <f t="shared" si="6176"/>
        <v>#N/A</v>
      </c>
      <c r="I3067" s="16" t="e">
        <f t="shared" si="6176"/>
        <v>#N/A</v>
      </c>
      <c r="J3067" s="40" t="e">
        <f t="shared" si="6176"/>
        <v>#N/A</v>
      </c>
      <c r="K3067" s="16" t="e">
        <f t="shared" si="6176"/>
        <v>#N/A</v>
      </c>
      <c r="L3067" s="40" t="e">
        <f t="shared" si="6045"/>
        <v>#N/A</v>
      </c>
      <c r="M3067" s="16" t="e">
        <f t="shared" si="6046"/>
        <v>#N/A</v>
      </c>
      <c r="N3067" s="16" t="e">
        <f t="shared" si="6047"/>
        <v>#N/A</v>
      </c>
      <c r="O3067" s="16" t="s">
        <v>74</v>
      </c>
      <c r="P3067" s="16" t="str">
        <f t="shared" si="6"/>
        <v/>
      </c>
      <c r="Q3067" s="41" t="e">
        <f t="shared" si="6048"/>
        <v>#N/A</v>
      </c>
      <c r="R3067" s="44"/>
      <c r="S3067" s="44"/>
      <c r="T3067" s="43"/>
      <c r="U3067" s="43" t="str">
        <f t="shared" si="8"/>
        <v>No</v>
      </c>
      <c r="V3067" s="25"/>
      <c r="W3067" s="25"/>
      <c r="X3067" s="25"/>
      <c r="Y3067" s="25"/>
      <c r="Z3067" s="25"/>
    </row>
    <row r="3068" spans="1:26" ht="15.75" customHeight="1" x14ac:dyDescent="0.25">
      <c r="A3068" s="25">
        <v>3066</v>
      </c>
      <c r="B3068" s="37" t="e">
        <f t="shared" ref="B3068:D3068" si="6177">VLOOKUP($A3068,[10]Mujer!$A$1:$O$279,B$1,0)</f>
        <v>#N/A</v>
      </c>
      <c r="C3068" s="38" t="e">
        <f t="shared" si="6177"/>
        <v>#N/A</v>
      </c>
      <c r="D3068" s="39" t="e">
        <f t="shared" si="6177"/>
        <v>#N/A</v>
      </c>
      <c r="E3068" s="16" t="e">
        <f t="shared" si="1"/>
        <v>#N/A</v>
      </c>
      <c r="F3068" s="16" t="e">
        <f t="shared" ref="F3068:K3068" si="6178">VLOOKUP($A3068,[10]Mujer!$A$1:$O$279,F$1,0)</f>
        <v>#N/A</v>
      </c>
      <c r="G3068" s="39" t="e">
        <f t="shared" si="6178"/>
        <v>#N/A</v>
      </c>
      <c r="H3068" s="16" t="e">
        <f t="shared" si="6178"/>
        <v>#N/A</v>
      </c>
      <c r="I3068" s="16" t="e">
        <f t="shared" si="6178"/>
        <v>#N/A</v>
      </c>
      <c r="J3068" s="40" t="e">
        <f t="shared" si="6178"/>
        <v>#N/A</v>
      </c>
      <c r="K3068" s="16" t="e">
        <f t="shared" si="6178"/>
        <v>#N/A</v>
      </c>
      <c r="L3068" s="40" t="e">
        <f t="shared" si="6045"/>
        <v>#N/A</v>
      </c>
      <c r="M3068" s="16" t="e">
        <f t="shared" si="6046"/>
        <v>#N/A</v>
      </c>
      <c r="N3068" s="16" t="e">
        <f t="shared" si="6047"/>
        <v>#N/A</v>
      </c>
      <c r="O3068" s="16" t="s">
        <v>74</v>
      </c>
      <c r="P3068" s="16" t="str">
        <f t="shared" si="6"/>
        <v/>
      </c>
      <c r="Q3068" s="41" t="e">
        <f t="shared" si="6048"/>
        <v>#N/A</v>
      </c>
      <c r="R3068" s="44"/>
      <c r="S3068" s="44"/>
      <c r="T3068" s="43"/>
      <c r="U3068" s="43" t="str">
        <f t="shared" si="8"/>
        <v>No</v>
      </c>
      <c r="V3068" s="25"/>
      <c r="W3068" s="25"/>
      <c r="X3068" s="25"/>
      <c r="Y3068" s="25"/>
      <c r="Z3068" s="25"/>
    </row>
    <row r="3069" spans="1:26" ht="15.75" customHeight="1" x14ac:dyDescent="0.25">
      <c r="A3069" s="25">
        <v>3067</v>
      </c>
      <c r="B3069" s="37" t="e">
        <f t="shared" ref="B3069:D3069" si="6179">VLOOKUP($A3069,[10]Mujer!$A$1:$O$279,B$1,0)</f>
        <v>#N/A</v>
      </c>
      <c r="C3069" s="38" t="e">
        <f t="shared" si="6179"/>
        <v>#N/A</v>
      </c>
      <c r="D3069" s="39" t="e">
        <f t="shared" si="6179"/>
        <v>#N/A</v>
      </c>
      <c r="E3069" s="16" t="e">
        <f t="shared" si="1"/>
        <v>#N/A</v>
      </c>
      <c r="F3069" s="16" t="e">
        <f t="shared" ref="F3069:K3069" si="6180">VLOOKUP($A3069,[10]Mujer!$A$1:$O$279,F$1,0)</f>
        <v>#N/A</v>
      </c>
      <c r="G3069" s="39" t="e">
        <f t="shared" si="6180"/>
        <v>#N/A</v>
      </c>
      <c r="H3069" s="16" t="e">
        <f t="shared" si="6180"/>
        <v>#N/A</v>
      </c>
      <c r="I3069" s="16" t="e">
        <f t="shared" si="6180"/>
        <v>#N/A</v>
      </c>
      <c r="J3069" s="40" t="e">
        <f t="shared" si="6180"/>
        <v>#N/A</v>
      </c>
      <c r="K3069" s="16" t="e">
        <f t="shared" si="6180"/>
        <v>#N/A</v>
      </c>
      <c r="L3069" s="40" t="e">
        <f t="shared" si="6045"/>
        <v>#N/A</v>
      </c>
      <c r="M3069" s="16" t="e">
        <f t="shared" si="6046"/>
        <v>#N/A</v>
      </c>
      <c r="N3069" s="16" t="e">
        <f t="shared" si="6047"/>
        <v>#N/A</v>
      </c>
      <c r="O3069" s="16" t="s">
        <v>74</v>
      </c>
      <c r="P3069" s="16" t="str">
        <f t="shared" si="6"/>
        <v/>
      </c>
      <c r="Q3069" s="41" t="e">
        <f t="shared" si="6048"/>
        <v>#N/A</v>
      </c>
      <c r="R3069" s="44"/>
      <c r="S3069" s="44"/>
      <c r="T3069" s="43"/>
      <c r="U3069" s="43" t="str">
        <f t="shared" si="8"/>
        <v>No</v>
      </c>
      <c r="V3069" s="25"/>
      <c r="W3069" s="25"/>
      <c r="X3069" s="25"/>
      <c r="Y3069" s="25"/>
      <c r="Z3069" s="25"/>
    </row>
    <row r="3070" spans="1:26" ht="15.75" customHeight="1" x14ac:dyDescent="0.25">
      <c r="A3070" s="25">
        <v>3068</v>
      </c>
      <c r="B3070" s="37" t="e">
        <f t="shared" ref="B3070:D3070" si="6181">VLOOKUP($A3070,[10]Mujer!$A$1:$O$279,B$1,0)</f>
        <v>#N/A</v>
      </c>
      <c r="C3070" s="38" t="e">
        <f t="shared" si="6181"/>
        <v>#N/A</v>
      </c>
      <c r="D3070" s="39" t="e">
        <f t="shared" si="6181"/>
        <v>#N/A</v>
      </c>
      <c r="E3070" s="16" t="e">
        <f t="shared" si="1"/>
        <v>#N/A</v>
      </c>
      <c r="F3070" s="16" t="e">
        <f t="shared" ref="F3070:K3070" si="6182">VLOOKUP($A3070,[10]Mujer!$A$1:$O$279,F$1,0)</f>
        <v>#N/A</v>
      </c>
      <c r="G3070" s="39" t="e">
        <f t="shared" si="6182"/>
        <v>#N/A</v>
      </c>
      <c r="H3070" s="16" t="e">
        <f t="shared" si="6182"/>
        <v>#N/A</v>
      </c>
      <c r="I3070" s="16" t="e">
        <f t="shared" si="6182"/>
        <v>#N/A</v>
      </c>
      <c r="J3070" s="40" t="e">
        <f t="shared" si="6182"/>
        <v>#N/A</v>
      </c>
      <c r="K3070" s="16" t="e">
        <f t="shared" si="6182"/>
        <v>#N/A</v>
      </c>
      <c r="L3070" s="40" t="e">
        <f t="shared" si="6045"/>
        <v>#N/A</v>
      </c>
      <c r="M3070" s="16" t="e">
        <f t="shared" si="6046"/>
        <v>#N/A</v>
      </c>
      <c r="N3070" s="16" t="e">
        <f t="shared" si="6047"/>
        <v>#N/A</v>
      </c>
      <c r="O3070" s="16" t="s">
        <v>74</v>
      </c>
      <c r="P3070" s="16" t="str">
        <f t="shared" si="6"/>
        <v/>
      </c>
      <c r="Q3070" s="41" t="e">
        <f t="shared" si="6048"/>
        <v>#N/A</v>
      </c>
      <c r="R3070" s="44"/>
      <c r="S3070" s="44"/>
      <c r="T3070" s="43"/>
      <c r="U3070" s="43" t="str">
        <f t="shared" si="8"/>
        <v>No</v>
      </c>
      <c r="V3070" s="25"/>
      <c r="W3070" s="25"/>
      <c r="X3070" s="25"/>
      <c r="Y3070" s="25"/>
      <c r="Z3070" s="25"/>
    </row>
    <row r="3071" spans="1:26" ht="15.75" customHeight="1" x14ac:dyDescent="0.25">
      <c r="A3071" s="25">
        <v>3069</v>
      </c>
      <c r="B3071" s="37" t="e">
        <f t="shared" ref="B3071:D3071" si="6183">VLOOKUP($A3071,[10]Mujer!$A$1:$O$279,B$1,0)</f>
        <v>#N/A</v>
      </c>
      <c r="C3071" s="38" t="e">
        <f t="shared" si="6183"/>
        <v>#N/A</v>
      </c>
      <c r="D3071" s="39" t="e">
        <f t="shared" si="6183"/>
        <v>#N/A</v>
      </c>
      <c r="E3071" s="16" t="e">
        <f t="shared" si="1"/>
        <v>#N/A</v>
      </c>
      <c r="F3071" s="16" t="e">
        <f t="shared" ref="F3071:K3071" si="6184">VLOOKUP($A3071,[10]Mujer!$A$1:$O$279,F$1,0)</f>
        <v>#N/A</v>
      </c>
      <c r="G3071" s="39" t="e">
        <f t="shared" si="6184"/>
        <v>#N/A</v>
      </c>
      <c r="H3071" s="16" t="e">
        <f t="shared" si="6184"/>
        <v>#N/A</v>
      </c>
      <c r="I3071" s="16" t="e">
        <f t="shared" si="6184"/>
        <v>#N/A</v>
      </c>
      <c r="J3071" s="40" t="e">
        <f t="shared" si="6184"/>
        <v>#N/A</v>
      </c>
      <c r="K3071" s="16" t="e">
        <f t="shared" si="6184"/>
        <v>#N/A</v>
      </c>
      <c r="L3071" s="40" t="e">
        <f t="shared" si="6045"/>
        <v>#N/A</v>
      </c>
      <c r="M3071" s="16" t="e">
        <f t="shared" si="6046"/>
        <v>#N/A</v>
      </c>
      <c r="N3071" s="16" t="e">
        <f t="shared" si="6047"/>
        <v>#N/A</v>
      </c>
      <c r="O3071" s="16" t="s">
        <v>74</v>
      </c>
      <c r="P3071" s="16" t="str">
        <f t="shared" si="6"/>
        <v/>
      </c>
      <c r="Q3071" s="41" t="e">
        <f t="shared" si="6048"/>
        <v>#N/A</v>
      </c>
      <c r="R3071" s="44"/>
      <c r="S3071" s="44"/>
      <c r="T3071" s="43"/>
      <c r="U3071" s="43" t="str">
        <f t="shared" si="8"/>
        <v>No</v>
      </c>
      <c r="V3071" s="25"/>
      <c r="W3071" s="25"/>
      <c r="X3071" s="25"/>
      <c r="Y3071" s="25"/>
      <c r="Z3071" s="25"/>
    </row>
    <row r="3072" spans="1:26" ht="15.75" customHeight="1" x14ac:dyDescent="0.25">
      <c r="A3072" s="25">
        <v>3070</v>
      </c>
      <c r="B3072" s="37" t="e">
        <f t="shared" ref="B3072:D3072" si="6185">VLOOKUP($A3072,[10]Mujer!$A$1:$O$279,B$1,0)</f>
        <v>#N/A</v>
      </c>
      <c r="C3072" s="38" t="e">
        <f t="shared" si="6185"/>
        <v>#N/A</v>
      </c>
      <c r="D3072" s="39" t="e">
        <f t="shared" si="6185"/>
        <v>#N/A</v>
      </c>
      <c r="E3072" s="16" t="e">
        <f t="shared" si="1"/>
        <v>#N/A</v>
      </c>
      <c r="F3072" s="16" t="e">
        <f t="shared" ref="F3072:K3072" si="6186">VLOOKUP($A3072,[10]Mujer!$A$1:$O$279,F$1,0)</f>
        <v>#N/A</v>
      </c>
      <c r="G3072" s="39" t="e">
        <f t="shared" si="6186"/>
        <v>#N/A</v>
      </c>
      <c r="H3072" s="16" t="e">
        <f t="shared" si="6186"/>
        <v>#N/A</v>
      </c>
      <c r="I3072" s="16" t="e">
        <f t="shared" si="6186"/>
        <v>#N/A</v>
      </c>
      <c r="J3072" s="40" t="e">
        <f t="shared" si="6186"/>
        <v>#N/A</v>
      </c>
      <c r="K3072" s="16" t="e">
        <f t="shared" si="6186"/>
        <v>#N/A</v>
      </c>
      <c r="L3072" s="40" t="e">
        <f t="shared" si="6045"/>
        <v>#N/A</v>
      </c>
      <c r="M3072" s="16" t="e">
        <f t="shared" si="6046"/>
        <v>#N/A</v>
      </c>
      <c r="N3072" s="16" t="e">
        <f t="shared" si="6047"/>
        <v>#N/A</v>
      </c>
      <c r="O3072" s="16" t="s">
        <v>74</v>
      </c>
      <c r="P3072" s="16" t="str">
        <f t="shared" si="6"/>
        <v/>
      </c>
      <c r="Q3072" s="41" t="e">
        <f t="shared" si="6048"/>
        <v>#N/A</v>
      </c>
      <c r="R3072" s="44"/>
      <c r="S3072" s="44"/>
      <c r="T3072" s="43"/>
      <c r="U3072" s="43" t="str">
        <f t="shared" si="8"/>
        <v>No</v>
      </c>
      <c r="V3072" s="25"/>
      <c r="W3072" s="25"/>
      <c r="X3072" s="25"/>
      <c r="Y3072" s="25"/>
      <c r="Z3072" s="25"/>
    </row>
    <row r="3073" spans="1:26" ht="15.75" customHeight="1" x14ac:dyDescent="0.25">
      <c r="A3073" s="25">
        <v>3071</v>
      </c>
      <c r="B3073" s="37" t="e">
        <f t="shared" ref="B3073:D3073" si="6187">VLOOKUP($A3073,[10]Mujer!$A$1:$O$279,B$1,0)</f>
        <v>#N/A</v>
      </c>
      <c r="C3073" s="38" t="e">
        <f t="shared" si="6187"/>
        <v>#N/A</v>
      </c>
      <c r="D3073" s="39" t="e">
        <f t="shared" si="6187"/>
        <v>#N/A</v>
      </c>
      <c r="E3073" s="16" t="e">
        <f t="shared" si="1"/>
        <v>#N/A</v>
      </c>
      <c r="F3073" s="16" t="e">
        <f t="shared" ref="F3073:K3073" si="6188">VLOOKUP($A3073,[10]Mujer!$A$1:$O$279,F$1,0)</f>
        <v>#N/A</v>
      </c>
      <c r="G3073" s="39" t="e">
        <f t="shared" si="6188"/>
        <v>#N/A</v>
      </c>
      <c r="H3073" s="16" t="e">
        <f t="shared" si="6188"/>
        <v>#N/A</v>
      </c>
      <c r="I3073" s="16" t="e">
        <f t="shared" si="6188"/>
        <v>#N/A</v>
      </c>
      <c r="J3073" s="40" t="e">
        <f t="shared" si="6188"/>
        <v>#N/A</v>
      </c>
      <c r="K3073" s="16" t="e">
        <f t="shared" si="6188"/>
        <v>#N/A</v>
      </c>
      <c r="L3073" s="40" t="e">
        <f t="shared" si="6045"/>
        <v>#N/A</v>
      </c>
      <c r="M3073" s="16" t="e">
        <f t="shared" si="6046"/>
        <v>#N/A</v>
      </c>
      <c r="N3073" s="16" t="e">
        <f t="shared" si="6047"/>
        <v>#N/A</v>
      </c>
      <c r="O3073" s="16" t="s">
        <v>74</v>
      </c>
      <c r="P3073" s="16" t="str">
        <f t="shared" si="6"/>
        <v/>
      </c>
      <c r="Q3073" s="41" t="e">
        <f t="shared" si="6048"/>
        <v>#N/A</v>
      </c>
      <c r="R3073" s="44"/>
      <c r="S3073" s="44"/>
      <c r="T3073" s="43"/>
      <c r="U3073" s="43" t="str">
        <f t="shared" si="8"/>
        <v>No</v>
      </c>
      <c r="V3073" s="25"/>
      <c r="W3073" s="25"/>
      <c r="X3073" s="25"/>
      <c r="Y3073" s="25"/>
      <c r="Z3073" s="25"/>
    </row>
    <row r="3074" spans="1:26" ht="15.75" customHeight="1" x14ac:dyDescent="0.25">
      <c r="A3074" s="25">
        <v>3072</v>
      </c>
      <c r="B3074" s="37" t="e">
        <f t="shared" ref="B3074:D3074" si="6189">VLOOKUP($A3074,[10]Mujer!$A$1:$O$279,B$1,0)</f>
        <v>#N/A</v>
      </c>
      <c r="C3074" s="38" t="e">
        <f t="shared" si="6189"/>
        <v>#N/A</v>
      </c>
      <c r="D3074" s="39" t="e">
        <f t="shared" si="6189"/>
        <v>#N/A</v>
      </c>
      <c r="E3074" s="16" t="e">
        <f t="shared" si="1"/>
        <v>#N/A</v>
      </c>
      <c r="F3074" s="16" t="e">
        <f t="shared" ref="F3074:K3074" si="6190">VLOOKUP($A3074,[10]Mujer!$A$1:$O$279,F$1,0)</f>
        <v>#N/A</v>
      </c>
      <c r="G3074" s="39" t="e">
        <f t="shared" si="6190"/>
        <v>#N/A</v>
      </c>
      <c r="H3074" s="16" t="e">
        <f t="shared" si="6190"/>
        <v>#N/A</v>
      </c>
      <c r="I3074" s="16" t="e">
        <f t="shared" si="6190"/>
        <v>#N/A</v>
      </c>
      <c r="J3074" s="40" t="e">
        <f t="shared" si="6190"/>
        <v>#N/A</v>
      </c>
      <c r="K3074" s="16" t="e">
        <f t="shared" si="6190"/>
        <v>#N/A</v>
      </c>
      <c r="L3074" s="40" t="e">
        <f t="shared" si="6045"/>
        <v>#N/A</v>
      </c>
      <c r="M3074" s="16" t="e">
        <f t="shared" si="6046"/>
        <v>#N/A</v>
      </c>
      <c r="N3074" s="16" t="e">
        <f t="shared" si="6047"/>
        <v>#N/A</v>
      </c>
      <c r="O3074" s="16" t="s">
        <v>74</v>
      </c>
      <c r="P3074" s="16" t="str">
        <f t="shared" si="6"/>
        <v/>
      </c>
      <c r="Q3074" s="41" t="e">
        <f t="shared" si="6048"/>
        <v>#N/A</v>
      </c>
      <c r="R3074" s="44"/>
      <c r="S3074" s="44"/>
      <c r="T3074" s="43"/>
      <c r="U3074" s="43" t="str">
        <f t="shared" si="8"/>
        <v>No</v>
      </c>
      <c r="V3074" s="25"/>
      <c r="W3074" s="25"/>
      <c r="X3074" s="25"/>
      <c r="Y3074" s="25"/>
      <c r="Z3074" s="25"/>
    </row>
    <row r="3075" spans="1:26" ht="15.75" customHeight="1" x14ac:dyDescent="0.25">
      <c r="A3075" s="25">
        <v>3073</v>
      </c>
      <c r="B3075" s="37" t="e">
        <f t="shared" ref="B3075:D3075" si="6191">VLOOKUP($A3075,[10]Mujer!$A$1:$O$279,B$1,0)</f>
        <v>#N/A</v>
      </c>
      <c r="C3075" s="38" t="e">
        <f t="shared" si="6191"/>
        <v>#N/A</v>
      </c>
      <c r="D3075" s="39" t="e">
        <f t="shared" si="6191"/>
        <v>#N/A</v>
      </c>
      <c r="E3075" s="16" t="e">
        <f t="shared" si="1"/>
        <v>#N/A</v>
      </c>
      <c r="F3075" s="16" t="e">
        <f t="shared" ref="F3075:K3075" si="6192">VLOOKUP($A3075,[10]Mujer!$A$1:$O$279,F$1,0)</f>
        <v>#N/A</v>
      </c>
      <c r="G3075" s="39" t="e">
        <f t="shared" si="6192"/>
        <v>#N/A</v>
      </c>
      <c r="H3075" s="16" t="e">
        <f t="shared" si="6192"/>
        <v>#N/A</v>
      </c>
      <c r="I3075" s="16" t="e">
        <f t="shared" si="6192"/>
        <v>#N/A</v>
      </c>
      <c r="J3075" s="40" t="e">
        <f t="shared" si="6192"/>
        <v>#N/A</v>
      </c>
      <c r="K3075" s="16" t="e">
        <f t="shared" si="6192"/>
        <v>#N/A</v>
      </c>
      <c r="L3075" s="40" t="e">
        <f t="shared" si="6045"/>
        <v>#N/A</v>
      </c>
      <c r="M3075" s="16" t="e">
        <f t="shared" si="6046"/>
        <v>#N/A</v>
      </c>
      <c r="N3075" s="16" t="e">
        <f t="shared" si="6047"/>
        <v>#N/A</v>
      </c>
      <c r="O3075" s="16" t="s">
        <v>74</v>
      </c>
      <c r="P3075" s="16" t="str">
        <f t="shared" si="6"/>
        <v/>
      </c>
      <c r="Q3075" s="41" t="e">
        <f t="shared" si="6048"/>
        <v>#N/A</v>
      </c>
      <c r="R3075" s="44"/>
      <c r="S3075" s="44"/>
      <c r="T3075" s="43"/>
      <c r="U3075" s="43" t="str">
        <f t="shared" si="8"/>
        <v>No</v>
      </c>
      <c r="V3075" s="25"/>
      <c r="W3075" s="25"/>
      <c r="X3075" s="25"/>
      <c r="Y3075" s="25"/>
      <c r="Z3075" s="25"/>
    </row>
    <row r="3076" spans="1:26" ht="15.75" customHeight="1" x14ac:dyDescent="0.25">
      <c r="A3076" s="25">
        <v>3074</v>
      </c>
      <c r="B3076" s="37" t="e">
        <f t="shared" ref="B3076:D3076" si="6193">VLOOKUP($A3076,[10]Mujer!$A$1:$O$279,B$1,0)</f>
        <v>#N/A</v>
      </c>
      <c r="C3076" s="38" t="e">
        <f t="shared" si="6193"/>
        <v>#N/A</v>
      </c>
      <c r="D3076" s="39" t="e">
        <f t="shared" si="6193"/>
        <v>#N/A</v>
      </c>
      <c r="E3076" s="16" t="e">
        <f t="shared" si="1"/>
        <v>#N/A</v>
      </c>
      <c r="F3076" s="16" t="e">
        <f t="shared" ref="F3076:K3076" si="6194">VLOOKUP($A3076,[10]Mujer!$A$1:$O$279,F$1,0)</f>
        <v>#N/A</v>
      </c>
      <c r="G3076" s="39" t="e">
        <f t="shared" si="6194"/>
        <v>#N/A</v>
      </c>
      <c r="H3076" s="16" t="e">
        <f t="shared" si="6194"/>
        <v>#N/A</v>
      </c>
      <c r="I3076" s="16" t="e">
        <f t="shared" si="6194"/>
        <v>#N/A</v>
      </c>
      <c r="J3076" s="40" t="e">
        <f t="shared" si="6194"/>
        <v>#N/A</v>
      </c>
      <c r="K3076" s="16" t="e">
        <f t="shared" si="6194"/>
        <v>#N/A</v>
      </c>
      <c r="L3076" s="40" t="e">
        <f t="shared" si="6045"/>
        <v>#N/A</v>
      </c>
      <c r="M3076" s="16" t="e">
        <f t="shared" si="6046"/>
        <v>#N/A</v>
      </c>
      <c r="N3076" s="16" t="e">
        <f t="shared" si="6047"/>
        <v>#N/A</v>
      </c>
      <c r="O3076" s="16" t="s">
        <v>74</v>
      </c>
      <c r="P3076" s="16" t="str">
        <f t="shared" si="6"/>
        <v/>
      </c>
      <c r="Q3076" s="41" t="e">
        <f t="shared" si="6048"/>
        <v>#N/A</v>
      </c>
      <c r="R3076" s="44"/>
      <c r="S3076" s="44"/>
      <c r="T3076" s="43"/>
      <c r="U3076" s="43" t="str">
        <f t="shared" si="8"/>
        <v>No</v>
      </c>
      <c r="V3076" s="25"/>
      <c r="W3076" s="25"/>
      <c r="X3076" s="25"/>
      <c r="Y3076" s="25"/>
      <c r="Z3076" s="25"/>
    </row>
    <row r="3077" spans="1:26" ht="15.75" customHeight="1" x14ac:dyDescent="0.25">
      <c r="A3077" s="25">
        <v>3075</v>
      </c>
      <c r="B3077" s="37" t="e">
        <f t="shared" ref="B3077:D3077" si="6195">VLOOKUP($A3077,[10]Mujer!$A$1:$O$279,B$1,0)</f>
        <v>#N/A</v>
      </c>
      <c r="C3077" s="38" t="e">
        <f t="shared" si="6195"/>
        <v>#N/A</v>
      </c>
      <c r="D3077" s="39" t="e">
        <f t="shared" si="6195"/>
        <v>#N/A</v>
      </c>
      <c r="E3077" s="16" t="e">
        <f t="shared" si="1"/>
        <v>#N/A</v>
      </c>
      <c r="F3077" s="16" t="e">
        <f t="shared" ref="F3077:K3077" si="6196">VLOOKUP($A3077,[10]Mujer!$A$1:$O$279,F$1,0)</f>
        <v>#N/A</v>
      </c>
      <c r="G3077" s="39" t="e">
        <f t="shared" si="6196"/>
        <v>#N/A</v>
      </c>
      <c r="H3077" s="16" t="e">
        <f t="shared" si="6196"/>
        <v>#N/A</v>
      </c>
      <c r="I3077" s="16" t="e">
        <f t="shared" si="6196"/>
        <v>#N/A</v>
      </c>
      <c r="J3077" s="40" t="e">
        <f t="shared" si="6196"/>
        <v>#N/A</v>
      </c>
      <c r="K3077" s="16" t="e">
        <f t="shared" si="6196"/>
        <v>#N/A</v>
      </c>
      <c r="L3077" s="40" t="e">
        <f t="shared" si="6045"/>
        <v>#N/A</v>
      </c>
      <c r="M3077" s="16" t="e">
        <f t="shared" si="6046"/>
        <v>#N/A</v>
      </c>
      <c r="N3077" s="16" t="e">
        <f t="shared" si="6047"/>
        <v>#N/A</v>
      </c>
      <c r="O3077" s="16" t="s">
        <v>74</v>
      </c>
      <c r="P3077" s="16" t="str">
        <f t="shared" si="6"/>
        <v/>
      </c>
      <c r="Q3077" s="41" t="e">
        <f t="shared" si="6048"/>
        <v>#N/A</v>
      </c>
      <c r="R3077" s="44"/>
      <c r="S3077" s="44"/>
      <c r="T3077" s="43"/>
      <c r="U3077" s="43" t="str">
        <f t="shared" si="8"/>
        <v>No</v>
      </c>
      <c r="V3077" s="25"/>
      <c r="W3077" s="25"/>
      <c r="X3077" s="25"/>
      <c r="Y3077" s="25"/>
      <c r="Z3077" s="25"/>
    </row>
    <row r="3078" spans="1:26" ht="15.75" customHeight="1" x14ac:dyDescent="0.25">
      <c r="A3078" s="25">
        <v>3076</v>
      </c>
      <c r="B3078" s="37" t="e">
        <f t="shared" ref="B3078:D3078" si="6197">VLOOKUP($A3078,[10]Mujer!$A$1:$O$279,B$1,0)</f>
        <v>#N/A</v>
      </c>
      <c r="C3078" s="38" t="e">
        <f t="shared" si="6197"/>
        <v>#N/A</v>
      </c>
      <c r="D3078" s="39" t="e">
        <f t="shared" si="6197"/>
        <v>#N/A</v>
      </c>
      <c r="E3078" s="16" t="e">
        <f t="shared" si="1"/>
        <v>#N/A</v>
      </c>
      <c r="F3078" s="16" t="e">
        <f t="shared" ref="F3078:K3078" si="6198">VLOOKUP($A3078,[10]Mujer!$A$1:$O$279,F$1,0)</f>
        <v>#N/A</v>
      </c>
      <c r="G3078" s="39" t="e">
        <f t="shared" si="6198"/>
        <v>#N/A</v>
      </c>
      <c r="H3078" s="16" t="e">
        <f t="shared" si="6198"/>
        <v>#N/A</v>
      </c>
      <c r="I3078" s="16" t="e">
        <f t="shared" si="6198"/>
        <v>#N/A</v>
      </c>
      <c r="J3078" s="40" t="e">
        <f t="shared" si="6198"/>
        <v>#N/A</v>
      </c>
      <c r="K3078" s="16" t="e">
        <f t="shared" si="6198"/>
        <v>#N/A</v>
      </c>
      <c r="L3078" s="40" t="e">
        <f t="shared" si="6045"/>
        <v>#N/A</v>
      </c>
      <c r="M3078" s="16" t="e">
        <f t="shared" si="6046"/>
        <v>#N/A</v>
      </c>
      <c r="N3078" s="16" t="e">
        <f t="shared" si="6047"/>
        <v>#N/A</v>
      </c>
      <c r="O3078" s="16" t="s">
        <v>74</v>
      </c>
      <c r="P3078" s="16" t="str">
        <f t="shared" si="6"/>
        <v/>
      </c>
      <c r="Q3078" s="41" t="e">
        <f t="shared" si="6048"/>
        <v>#N/A</v>
      </c>
      <c r="R3078" s="44"/>
      <c r="S3078" s="44"/>
      <c r="T3078" s="43"/>
      <c r="U3078" s="43" t="str">
        <f t="shared" si="8"/>
        <v>No</v>
      </c>
      <c r="V3078" s="25"/>
      <c r="W3078" s="25"/>
      <c r="X3078" s="25"/>
      <c r="Y3078" s="25"/>
      <c r="Z3078" s="25"/>
    </row>
    <row r="3079" spans="1:26" ht="15.75" customHeight="1" x14ac:dyDescent="0.25">
      <c r="A3079" s="25">
        <v>3077</v>
      </c>
      <c r="B3079" s="37" t="e">
        <f t="shared" ref="B3079:D3079" si="6199">VLOOKUP($A3079,[10]Mujer!$A$1:$O$279,B$1,0)</f>
        <v>#N/A</v>
      </c>
      <c r="C3079" s="38" t="e">
        <f t="shared" si="6199"/>
        <v>#N/A</v>
      </c>
      <c r="D3079" s="39" t="e">
        <f t="shared" si="6199"/>
        <v>#N/A</v>
      </c>
      <c r="E3079" s="16" t="e">
        <f t="shared" si="1"/>
        <v>#N/A</v>
      </c>
      <c r="F3079" s="16" t="e">
        <f t="shared" ref="F3079:K3079" si="6200">VLOOKUP($A3079,[10]Mujer!$A$1:$O$279,F$1,0)</f>
        <v>#N/A</v>
      </c>
      <c r="G3079" s="39" t="e">
        <f t="shared" si="6200"/>
        <v>#N/A</v>
      </c>
      <c r="H3079" s="16" t="e">
        <f t="shared" si="6200"/>
        <v>#N/A</v>
      </c>
      <c r="I3079" s="16" t="e">
        <f t="shared" si="6200"/>
        <v>#N/A</v>
      </c>
      <c r="J3079" s="40" t="e">
        <f t="shared" si="6200"/>
        <v>#N/A</v>
      </c>
      <c r="K3079" s="16" t="e">
        <f t="shared" si="6200"/>
        <v>#N/A</v>
      </c>
      <c r="L3079" s="40" t="e">
        <f t="shared" si="6045"/>
        <v>#N/A</v>
      </c>
      <c r="M3079" s="16" t="e">
        <f t="shared" si="6046"/>
        <v>#N/A</v>
      </c>
      <c r="N3079" s="16" t="e">
        <f t="shared" si="6047"/>
        <v>#N/A</v>
      </c>
      <c r="O3079" s="16" t="s">
        <v>74</v>
      </c>
      <c r="P3079" s="16" t="str">
        <f t="shared" si="6"/>
        <v/>
      </c>
      <c r="Q3079" s="41" t="e">
        <f t="shared" si="6048"/>
        <v>#N/A</v>
      </c>
      <c r="R3079" s="44"/>
      <c r="S3079" s="44"/>
      <c r="T3079" s="43"/>
      <c r="U3079" s="43" t="str">
        <f t="shared" si="8"/>
        <v>No</v>
      </c>
      <c r="V3079" s="25"/>
      <c r="W3079" s="25"/>
      <c r="X3079" s="25"/>
      <c r="Y3079" s="25"/>
      <c r="Z3079" s="25"/>
    </row>
    <row r="3080" spans="1:26" ht="15.75" customHeight="1" x14ac:dyDescent="0.25">
      <c r="A3080" s="25">
        <v>3078</v>
      </c>
      <c r="B3080" s="37" t="e">
        <f t="shared" ref="B3080:D3080" si="6201">VLOOKUP($A3080,[10]Mujer!$A$1:$O$279,B$1,0)</f>
        <v>#N/A</v>
      </c>
      <c r="C3080" s="38" t="e">
        <f t="shared" si="6201"/>
        <v>#N/A</v>
      </c>
      <c r="D3080" s="39" t="e">
        <f t="shared" si="6201"/>
        <v>#N/A</v>
      </c>
      <c r="E3080" s="16" t="e">
        <f t="shared" si="1"/>
        <v>#N/A</v>
      </c>
      <c r="F3080" s="16" t="e">
        <f t="shared" ref="F3080:K3080" si="6202">VLOOKUP($A3080,[10]Mujer!$A$1:$O$279,F$1,0)</f>
        <v>#N/A</v>
      </c>
      <c r="G3080" s="39" t="e">
        <f t="shared" si="6202"/>
        <v>#N/A</v>
      </c>
      <c r="H3080" s="16" t="e">
        <f t="shared" si="6202"/>
        <v>#N/A</v>
      </c>
      <c r="I3080" s="16" t="e">
        <f t="shared" si="6202"/>
        <v>#N/A</v>
      </c>
      <c r="J3080" s="40" t="e">
        <f t="shared" si="6202"/>
        <v>#N/A</v>
      </c>
      <c r="K3080" s="16" t="e">
        <f t="shared" si="6202"/>
        <v>#N/A</v>
      </c>
      <c r="L3080" s="40" t="e">
        <f t="shared" si="6045"/>
        <v>#N/A</v>
      </c>
      <c r="M3080" s="16" t="e">
        <f t="shared" si="6046"/>
        <v>#N/A</v>
      </c>
      <c r="N3080" s="16" t="e">
        <f t="shared" si="6047"/>
        <v>#N/A</v>
      </c>
      <c r="O3080" s="16" t="s">
        <v>74</v>
      </c>
      <c r="P3080" s="16" t="str">
        <f t="shared" si="6"/>
        <v/>
      </c>
      <c r="Q3080" s="41" t="e">
        <f t="shared" si="6048"/>
        <v>#N/A</v>
      </c>
      <c r="R3080" s="44"/>
      <c r="S3080" s="44"/>
      <c r="T3080" s="43"/>
      <c r="U3080" s="43" t="str">
        <f t="shared" si="8"/>
        <v>No</v>
      </c>
      <c r="V3080" s="25"/>
      <c r="W3080" s="25"/>
      <c r="X3080" s="25"/>
      <c r="Y3080" s="25"/>
      <c r="Z3080" s="25"/>
    </row>
    <row r="3081" spans="1:26" ht="15.75" customHeight="1" x14ac:dyDescent="0.25">
      <c r="A3081" s="25">
        <v>3079</v>
      </c>
      <c r="B3081" s="37" t="e">
        <f t="shared" ref="B3081:D3081" si="6203">VLOOKUP($A3081,[10]Mujer!$A$1:$O$279,B$1,0)</f>
        <v>#N/A</v>
      </c>
      <c r="C3081" s="38" t="e">
        <f t="shared" si="6203"/>
        <v>#N/A</v>
      </c>
      <c r="D3081" s="39" t="e">
        <f t="shared" si="6203"/>
        <v>#N/A</v>
      </c>
      <c r="E3081" s="16" t="e">
        <f t="shared" si="1"/>
        <v>#N/A</v>
      </c>
      <c r="F3081" s="16" t="e">
        <f t="shared" ref="F3081:K3081" si="6204">VLOOKUP($A3081,[10]Mujer!$A$1:$O$279,F$1,0)</f>
        <v>#N/A</v>
      </c>
      <c r="G3081" s="39" t="e">
        <f t="shared" si="6204"/>
        <v>#N/A</v>
      </c>
      <c r="H3081" s="16" t="e">
        <f t="shared" si="6204"/>
        <v>#N/A</v>
      </c>
      <c r="I3081" s="16" t="e">
        <f t="shared" si="6204"/>
        <v>#N/A</v>
      </c>
      <c r="J3081" s="40" t="e">
        <f t="shared" si="6204"/>
        <v>#N/A</v>
      </c>
      <c r="K3081" s="16" t="e">
        <f t="shared" si="6204"/>
        <v>#N/A</v>
      </c>
      <c r="L3081" s="40" t="e">
        <f t="shared" si="6045"/>
        <v>#N/A</v>
      </c>
      <c r="M3081" s="16" t="e">
        <f t="shared" si="6046"/>
        <v>#N/A</v>
      </c>
      <c r="N3081" s="16" t="e">
        <f t="shared" si="6047"/>
        <v>#N/A</v>
      </c>
      <c r="O3081" s="16" t="s">
        <v>74</v>
      </c>
      <c r="P3081" s="16" t="str">
        <f t="shared" si="6"/>
        <v/>
      </c>
      <c r="Q3081" s="41" t="e">
        <f t="shared" si="6048"/>
        <v>#N/A</v>
      </c>
      <c r="R3081" s="44"/>
      <c r="S3081" s="44"/>
      <c r="T3081" s="43"/>
      <c r="U3081" s="43" t="str">
        <f t="shared" si="8"/>
        <v>No</v>
      </c>
      <c r="V3081" s="25"/>
      <c r="W3081" s="25"/>
      <c r="X3081" s="25"/>
      <c r="Y3081" s="25"/>
      <c r="Z3081" s="25"/>
    </row>
    <row r="3082" spans="1:26" ht="15.75" customHeight="1" x14ac:dyDescent="0.25">
      <c r="A3082" s="25">
        <v>3080</v>
      </c>
      <c r="B3082" s="37" t="e">
        <f t="shared" ref="B3082:D3082" si="6205">VLOOKUP($A3082,[10]Mujer!$A$1:$O$279,B$1,0)</f>
        <v>#N/A</v>
      </c>
      <c r="C3082" s="38" t="e">
        <f t="shared" si="6205"/>
        <v>#N/A</v>
      </c>
      <c r="D3082" s="39" t="e">
        <f t="shared" si="6205"/>
        <v>#N/A</v>
      </c>
      <c r="E3082" s="16" t="e">
        <f t="shared" si="1"/>
        <v>#N/A</v>
      </c>
      <c r="F3082" s="16" t="e">
        <f t="shared" ref="F3082:K3082" si="6206">VLOOKUP($A3082,[10]Mujer!$A$1:$O$279,F$1,0)</f>
        <v>#N/A</v>
      </c>
      <c r="G3082" s="39" t="e">
        <f t="shared" si="6206"/>
        <v>#N/A</v>
      </c>
      <c r="H3082" s="16" t="e">
        <f t="shared" si="6206"/>
        <v>#N/A</v>
      </c>
      <c r="I3082" s="16" t="e">
        <f t="shared" si="6206"/>
        <v>#N/A</v>
      </c>
      <c r="J3082" s="40" t="e">
        <f t="shared" si="6206"/>
        <v>#N/A</v>
      </c>
      <c r="K3082" s="16" t="e">
        <f t="shared" si="6206"/>
        <v>#N/A</v>
      </c>
      <c r="L3082" s="40" t="e">
        <f t="shared" si="6045"/>
        <v>#N/A</v>
      </c>
      <c r="M3082" s="16" t="e">
        <f t="shared" si="6046"/>
        <v>#N/A</v>
      </c>
      <c r="N3082" s="16" t="e">
        <f t="shared" si="6047"/>
        <v>#N/A</v>
      </c>
      <c r="O3082" s="16" t="s">
        <v>74</v>
      </c>
      <c r="P3082" s="16" t="str">
        <f t="shared" si="6"/>
        <v/>
      </c>
      <c r="Q3082" s="41" t="e">
        <f t="shared" si="6048"/>
        <v>#N/A</v>
      </c>
      <c r="R3082" s="44"/>
      <c r="S3082" s="44"/>
      <c r="T3082" s="43"/>
      <c r="U3082" s="43" t="str">
        <f t="shared" si="8"/>
        <v>No</v>
      </c>
      <c r="V3082" s="25"/>
      <c r="W3082" s="25"/>
      <c r="X3082" s="25"/>
      <c r="Y3082" s="25"/>
      <c r="Z3082" s="25"/>
    </row>
    <row r="3083" spans="1:26" ht="15.75" customHeight="1" x14ac:dyDescent="0.25">
      <c r="A3083" s="25">
        <v>3081</v>
      </c>
      <c r="B3083" s="37" t="e">
        <f t="shared" ref="B3083:D3083" si="6207">VLOOKUP($A3083,[10]Mujer!$A$1:$O$279,B$1,0)</f>
        <v>#N/A</v>
      </c>
      <c r="C3083" s="38" t="e">
        <f t="shared" si="6207"/>
        <v>#N/A</v>
      </c>
      <c r="D3083" s="39" t="e">
        <f t="shared" si="6207"/>
        <v>#N/A</v>
      </c>
      <c r="E3083" s="16" t="e">
        <f t="shared" si="1"/>
        <v>#N/A</v>
      </c>
      <c r="F3083" s="16" t="e">
        <f t="shared" ref="F3083:K3083" si="6208">VLOOKUP($A3083,[10]Mujer!$A$1:$O$279,F$1,0)</f>
        <v>#N/A</v>
      </c>
      <c r="G3083" s="39" t="e">
        <f t="shared" si="6208"/>
        <v>#N/A</v>
      </c>
      <c r="H3083" s="16" t="e">
        <f t="shared" si="6208"/>
        <v>#N/A</v>
      </c>
      <c r="I3083" s="16" t="e">
        <f t="shared" si="6208"/>
        <v>#N/A</v>
      </c>
      <c r="J3083" s="40" t="e">
        <f t="shared" si="6208"/>
        <v>#N/A</v>
      </c>
      <c r="K3083" s="16" t="e">
        <f t="shared" si="6208"/>
        <v>#N/A</v>
      </c>
      <c r="L3083" s="40" t="e">
        <f t="shared" si="6045"/>
        <v>#N/A</v>
      </c>
      <c r="M3083" s="16" t="e">
        <f t="shared" si="6046"/>
        <v>#N/A</v>
      </c>
      <c r="N3083" s="16" t="e">
        <f t="shared" si="6047"/>
        <v>#N/A</v>
      </c>
      <c r="O3083" s="16" t="s">
        <v>74</v>
      </c>
      <c r="P3083" s="16" t="str">
        <f t="shared" si="6"/>
        <v/>
      </c>
      <c r="Q3083" s="41" t="e">
        <f t="shared" si="6048"/>
        <v>#N/A</v>
      </c>
      <c r="R3083" s="44"/>
      <c r="S3083" s="44"/>
      <c r="T3083" s="43"/>
      <c r="U3083" s="43" t="str">
        <f t="shared" si="8"/>
        <v>No</v>
      </c>
      <c r="V3083" s="25"/>
      <c r="W3083" s="25"/>
      <c r="X3083" s="25"/>
      <c r="Y3083" s="25"/>
      <c r="Z3083" s="25"/>
    </row>
    <row r="3084" spans="1:26" ht="15.75" customHeight="1" x14ac:dyDescent="0.25">
      <c r="A3084" s="25">
        <v>3082</v>
      </c>
      <c r="B3084" s="37" t="e">
        <f t="shared" ref="B3084:D3084" si="6209">VLOOKUP($A3084,[10]Mujer!$A$1:$O$279,B$1,0)</f>
        <v>#N/A</v>
      </c>
      <c r="C3084" s="38" t="e">
        <f t="shared" si="6209"/>
        <v>#N/A</v>
      </c>
      <c r="D3084" s="39" t="e">
        <f t="shared" si="6209"/>
        <v>#N/A</v>
      </c>
      <c r="E3084" s="16" t="e">
        <f t="shared" si="1"/>
        <v>#N/A</v>
      </c>
      <c r="F3084" s="16" t="e">
        <f t="shared" ref="F3084:K3084" si="6210">VLOOKUP($A3084,[10]Mujer!$A$1:$O$279,F$1,0)</f>
        <v>#N/A</v>
      </c>
      <c r="G3084" s="39" t="e">
        <f t="shared" si="6210"/>
        <v>#N/A</v>
      </c>
      <c r="H3084" s="16" t="e">
        <f t="shared" si="6210"/>
        <v>#N/A</v>
      </c>
      <c r="I3084" s="16" t="e">
        <f t="shared" si="6210"/>
        <v>#N/A</v>
      </c>
      <c r="J3084" s="40" t="e">
        <f t="shared" si="6210"/>
        <v>#N/A</v>
      </c>
      <c r="K3084" s="16" t="e">
        <f t="shared" si="6210"/>
        <v>#N/A</v>
      </c>
      <c r="L3084" s="40" t="e">
        <f t="shared" si="6045"/>
        <v>#N/A</v>
      </c>
      <c r="M3084" s="16" t="e">
        <f t="shared" si="6046"/>
        <v>#N/A</v>
      </c>
      <c r="N3084" s="16" t="e">
        <f t="shared" si="6047"/>
        <v>#N/A</v>
      </c>
      <c r="O3084" s="16" t="s">
        <v>74</v>
      </c>
      <c r="P3084" s="16" t="str">
        <f t="shared" si="6"/>
        <v/>
      </c>
      <c r="Q3084" s="41" t="e">
        <f t="shared" si="6048"/>
        <v>#N/A</v>
      </c>
      <c r="R3084" s="44"/>
      <c r="S3084" s="44"/>
      <c r="T3084" s="43"/>
      <c r="U3084" s="43" t="str">
        <f t="shared" si="8"/>
        <v>No</v>
      </c>
      <c r="V3084" s="25"/>
      <c r="W3084" s="25"/>
      <c r="X3084" s="25"/>
      <c r="Y3084" s="25"/>
      <c r="Z3084" s="25"/>
    </row>
    <row r="3085" spans="1:26" ht="15.75" customHeight="1" x14ac:dyDescent="0.25">
      <c r="A3085" s="25">
        <v>3083</v>
      </c>
      <c r="B3085" s="37" t="e">
        <f t="shared" ref="B3085:D3085" si="6211">VLOOKUP($A3085,[10]Mujer!$A$1:$O$279,B$1,0)</f>
        <v>#N/A</v>
      </c>
      <c r="C3085" s="38" t="e">
        <f t="shared" si="6211"/>
        <v>#N/A</v>
      </c>
      <c r="D3085" s="39" t="e">
        <f t="shared" si="6211"/>
        <v>#N/A</v>
      </c>
      <c r="E3085" s="16" t="e">
        <f t="shared" si="1"/>
        <v>#N/A</v>
      </c>
      <c r="F3085" s="16" t="e">
        <f t="shared" ref="F3085:K3085" si="6212">VLOOKUP($A3085,[10]Mujer!$A$1:$O$279,F$1,0)</f>
        <v>#N/A</v>
      </c>
      <c r="G3085" s="39" t="e">
        <f t="shared" si="6212"/>
        <v>#N/A</v>
      </c>
      <c r="H3085" s="16" t="e">
        <f t="shared" si="6212"/>
        <v>#N/A</v>
      </c>
      <c r="I3085" s="16" t="e">
        <f t="shared" si="6212"/>
        <v>#N/A</v>
      </c>
      <c r="J3085" s="40" t="e">
        <f t="shared" si="6212"/>
        <v>#N/A</v>
      </c>
      <c r="K3085" s="16" t="e">
        <f t="shared" si="6212"/>
        <v>#N/A</v>
      </c>
      <c r="L3085" s="40" t="e">
        <f t="shared" si="6045"/>
        <v>#N/A</v>
      </c>
      <c r="M3085" s="16" t="e">
        <f t="shared" si="6046"/>
        <v>#N/A</v>
      </c>
      <c r="N3085" s="16" t="e">
        <f t="shared" si="6047"/>
        <v>#N/A</v>
      </c>
      <c r="O3085" s="16" t="s">
        <v>74</v>
      </c>
      <c r="P3085" s="16" t="str">
        <f t="shared" si="6"/>
        <v/>
      </c>
      <c r="Q3085" s="41" t="e">
        <f t="shared" si="6048"/>
        <v>#N/A</v>
      </c>
      <c r="R3085" s="44"/>
      <c r="S3085" s="44"/>
      <c r="T3085" s="43"/>
      <c r="U3085" s="43" t="str">
        <f t="shared" si="8"/>
        <v>No</v>
      </c>
      <c r="V3085" s="25"/>
      <c r="W3085" s="25"/>
      <c r="X3085" s="25"/>
      <c r="Y3085" s="25"/>
      <c r="Z3085" s="25"/>
    </row>
    <row r="3086" spans="1:26" ht="15.75" customHeight="1" x14ac:dyDescent="0.25">
      <c r="A3086" s="25">
        <v>3084</v>
      </c>
      <c r="B3086" s="37" t="e">
        <f t="shared" ref="B3086:D3086" si="6213">VLOOKUP($A3086,[10]Mujer!$A$1:$O$279,B$1,0)</f>
        <v>#N/A</v>
      </c>
      <c r="C3086" s="38" t="e">
        <f t="shared" si="6213"/>
        <v>#N/A</v>
      </c>
      <c r="D3086" s="39" t="e">
        <f t="shared" si="6213"/>
        <v>#N/A</v>
      </c>
      <c r="E3086" s="16" t="e">
        <f t="shared" si="1"/>
        <v>#N/A</v>
      </c>
      <c r="F3086" s="16" t="e">
        <f t="shared" ref="F3086:K3086" si="6214">VLOOKUP($A3086,[10]Mujer!$A$1:$O$279,F$1,0)</f>
        <v>#N/A</v>
      </c>
      <c r="G3086" s="39" t="e">
        <f t="shared" si="6214"/>
        <v>#N/A</v>
      </c>
      <c r="H3086" s="16" t="e">
        <f t="shared" si="6214"/>
        <v>#N/A</v>
      </c>
      <c r="I3086" s="16" t="e">
        <f t="shared" si="6214"/>
        <v>#N/A</v>
      </c>
      <c r="J3086" s="40" t="e">
        <f t="shared" si="6214"/>
        <v>#N/A</v>
      </c>
      <c r="K3086" s="16" t="e">
        <f t="shared" si="6214"/>
        <v>#N/A</v>
      </c>
      <c r="L3086" s="40" t="e">
        <f t="shared" si="6045"/>
        <v>#N/A</v>
      </c>
      <c r="M3086" s="16" t="e">
        <f t="shared" si="6046"/>
        <v>#N/A</v>
      </c>
      <c r="N3086" s="16" t="e">
        <f t="shared" si="6047"/>
        <v>#N/A</v>
      </c>
      <c r="O3086" s="16" t="s">
        <v>74</v>
      </c>
      <c r="P3086" s="16" t="str">
        <f t="shared" si="6"/>
        <v/>
      </c>
      <c r="Q3086" s="41" t="e">
        <f t="shared" si="6048"/>
        <v>#N/A</v>
      </c>
      <c r="R3086" s="44"/>
      <c r="S3086" s="44"/>
      <c r="T3086" s="43"/>
      <c r="U3086" s="43" t="str">
        <f t="shared" si="8"/>
        <v>No</v>
      </c>
      <c r="V3086" s="25"/>
      <c r="W3086" s="25"/>
      <c r="X3086" s="25"/>
      <c r="Y3086" s="25"/>
      <c r="Z3086" s="25"/>
    </row>
    <row r="3087" spans="1:26" ht="15.75" customHeight="1" x14ac:dyDescent="0.25">
      <c r="A3087" s="25">
        <v>3085</v>
      </c>
      <c r="B3087" s="37" t="e">
        <f t="shared" ref="B3087:D3087" si="6215">VLOOKUP($A3087,[10]Mujer!$A$1:$O$279,B$1,0)</f>
        <v>#N/A</v>
      </c>
      <c r="C3087" s="38" t="e">
        <f t="shared" si="6215"/>
        <v>#N/A</v>
      </c>
      <c r="D3087" s="39" t="e">
        <f t="shared" si="6215"/>
        <v>#N/A</v>
      </c>
      <c r="E3087" s="16" t="e">
        <f t="shared" si="1"/>
        <v>#N/A</v>
      </c>
      <c r="F3087" s="16" t="e">
        <f t="shared" ref="F3087:K3087" si="6216">VLOOKUP($A3087,[10]Mujer!$A$1:$O$279,F$1,0)</f>
        <v>#N/A</v>
      </c>
      <c r="G3087" s="39" t="e">
        <f t="shared" si="6216"/>
        <v>#N/A</v>
      </c>
      <c r="H3087" s="16" t="e">
        <f t="shared" si="6216"/>
        <v>#N/A</v>
      </c>
      <c r="I3087" s="16" t="e">
        <f t="shared" si="6216"/>
        <v>#N/A</v>
      </c>
      <c r="J3087" s="40" t="e">
        <f t="shared" si="6216"/>
        <v>#N/A</v>
      </c>
      <c r="K3087" s="16" t="e">
        <f t="shared" si="6216"/>
        <v>#N/A</v>
      </c>
      <c r="L3087" s="40" t="e">
        <f t="shared" si="6045"/>
        <v>#N/A</v>
      </c>
      <c r="M3087" s="16" t="e">
        <f t="shared" si="6046"/>
        <v>#N/A</v>
      </c>
      <c r="N3087" s="16" t="e">
        <f t="shared" si="6047"/>
        <v>#N/A</v>
      </c>
      <c r="O3087" s="16" t="s">
        <v>74</v>
      </c>
      <c r="P3087" s="16" t="str">
        <f t="shared" si="6"/>
        <v/>
      </c>
      <c r="Q3087" s="41" t="e">
        <f t="shared" si="6048"/>
        <v>#N/A</v>
      </c>
      <c r="R3087" s="44"/>
      <c r="S3087" s="44"/>
      <c r="T3087" s="43"/>
      <c r="U3087" s="43" t="str">
        <f t="shared" si="8"/>
        <v>No</v>
      </c>
      <c r="V3087" s="25"/>
      <c r="W3087" s="25"/>
      <c r="X3087" s="25"/>
      <c r="Y3087" s="25"/>
      <c r="Z3087" s="25"/>
    </row>
    <row r="3088" spans="1:26" ht="15.75" customHeight="1" x14ac:dyDescent="0.25">
      <c r="A3088" s="25">
        <v>3086</v>
      </c>
      <c r="B3088" s="37" t="e">
        <f t="shared" ref="B3088:D3088" si="6217">VLOOKUP($A3088,[10]Mujer!$A$1:$O$279,B$1,0)</f>
        <v>#N/A</v>
      </c>
      <c r="C3088" s="38" t="e">
        <f t="shared" si="6217"/>
        <v>#N/A</v>
      </c>
      <c r="D3088" s="39" t="e">
        <f t="shared" si="6217"/>
        <v>#N/A</v>
      </c>
      <c r="E3088" s="16" t="e">
        <f t="shared" si="1"/>
        <v>#N/A</v>
      </c>
      <c r="F3088" s="16" t="e">
        <f t="shared" ref="F3088:K3088" si="6218">VLOOKUP($A3088,[10]Mujer!$A$1:$O$279,F$1,0)</f>
        <v>#N/A</v>
      </c>
      <c r="G3088" s="39" t="e">
        <f t="shared" si="6218"/>
        <v>#N/A</v>
      </c>
      <c r="H3088" s="16" t="e">
        <f t="shared" si="6218"/>
        <v>#N/A</v>
      </c>
      <c r="I3088" s="16" t="e">
        <f t="shared" si="6218"/>
        <v>#N/A</v>
      </c>
      <c r="J3088" s="40" t="e">
        <f t="shared" si="6218"/>
        <v>#N/A</v>
      </c>
      <c r="K3088" s="16" t="e">
        <f t="shared" si="6218"/>
        <v>#N/A</v>
      </c>
      <c r="L3088" s="40" t="e">
        <f t="shared" si="6045"/>
        <v>#N/A</v>
      </c>
      <c r="M3088" s="16" t="e">
        <f t="shared" si="6046"/>
        <v>#N/A</v>
      </c>
      <c r="N3088" s="16" t="e">
        <f t="shared" si="6047"/>
        <v>#N/A</v>
      </c>
      <c r="O3088" s="16" t="s">
        <v>74</v>
      </c>
      <c r="P3088" s="16" t="str">
        <f t="shared" si="6"/>
        <v/>
      </c>
      <c r="Q3088" s="41" t="e">
        <f t="shared" si="6048"/>
        <v>#N/A</v>
      </c>
      <c r="R3088" s="44"/>
      <c r="S3088" s="44"/>
      <c r="T3088" s="43"/>
      <c r="U3088" s="43" t="str">
        <f t="shared" si="8"/>
        <v>No</v>
      </c>
      <c r="V3088" s="25"/>
      <c r="W3088" s="25"/>
      <c r="X3088" s="25"/>
      <c r="Y3088" s="25"/>
      <c r="Z3088" s="25"/>
    </row>
    <row r="3089" spans="1:26" ht="15.75" customHeight="1" x14ac:dyDescent="0.25">
      <c r="A3089" s="25">
        <v>3087</v>
      </c>
      <c r="B3089" s="37" t="e">
        <f t="shared" ref="B3089:D3089" si="6219">VLOOKUP($A3089,[10]Mujer!$A$1:$O$279,B$1,0)</f>
        <v>#N/A</v>
      </c>
      <c r="C3089" s="38" t="e">
        <f t="shared" si="6219"/>
        <v>#N/A</v>
      </c>
      <c r="D3089" s="39" t="e">
        <f t="shared" si="6219"/>
        <v>#N/A</v>
      </c>
      <c r="E3089" s="16" t="e">
        <f t="shared" si="1"/>
        <v>#N/A</v>
      </c>
      <c r="F3089" s="16" t="e">
        <f t="shared" ref="F3089:K3089" si="6220">VLOOKUP($A3089,[10]Mujer!$A$1:$O$279,F$1,0)</f>
        <v>#N/A</v>
      </c>
      <c r="G3089" s="39" t="e">
        <f t="shared" si="6220"/>
        <v>#N/A</v>
      </c>
      <c r="H3089" s="16" t="e">
        <f t="shared" si="6220"/>
        <v>#N/A</v>
      </c>
      <c r="I3089" s="16" t="e">
        <f t="shared" si="6220"/>
        <v>#N/A</v>
      </c>
      <c r="J3089" s="40" t="e">
        <f t="shared" si="6220"/>
        <v>#N/A</v>
      </c>
      <c r="K3089" s="16" t="e">
        <f t="shared" si="6220"/>
        <v>#N/A</v>
      </c>
      <c r="L3089" s="40" t="e">
        <f t="shared" si="6045"/>
        <v>#N/A</v>
      </c>
      <c r="M3089" s="16" t="e">
        <f t="shared" si="6046"/>
        <v>#N/A</v>
      </c>
      <c r="N3089" s="16" t="e">
        <f t="shared" si="6047"/>
        <v>#N/A</v>
      </c>
      <c r="O3089" s="16" t="s">
        <v>74</v>
      </c>
      <c r="P3089" s="16" t="str">
        <f t="shared" si="6"/>
        <v/>
      </c>
      <c r="Q3089" s="41" t="e">
        <f t="shared" si="6048"/>
        <v>#N/A</v>
      </c>
      <c r="R3089" s="44"/>
      <c r="S3089" s="44"/>
      <c r="T3089" s="43"/>
      <c r="U3089" s="43" t="str">
        <f t="shared" si="8"/>
        <v>No</v>
      </c>
      <c r="V3089" s="25"/>
      <c r="W3089" s="25"/>
      <c r="X3089" s="25"/>
      <c r="Y3089" s="25"/>
      <c r="Z3089" s="25"/>
    </row>
    <row r="3090" spans="1:26" ht="15.75" customHeight="1" x14ac:dyDescent="0.25">
      <c r="A3090" s="25">
        <v>3088</v>
      </c>
      <c r="B3090" s="37" t="e">
        <f t="shared" ref="B3090:D3090" si="6221">VLOOKUP($A3090,[10]Mujer!$A$1:$O$279,B$1,0)</f>
        <v>#N/A</v>
      </c>
      <c r="C3090" s="38" t="e">
        <f t="shared" si="6221"/>
        <v>#N/A</v>
      </c>
      <c r="D3090" s="39" t="e">
        <f t="shared" si="6221"/>
        <v>#N/A</v>
      </c>
      <c r="E3090" s="16" t="e">
        <f t="shared" si="1"/>
        <v>#N/A</v>
      </c>
      <c r="F3090" s="16" t="e">
        <f t="shared" ref="F3090:K3090" si="6222">VLOOKUP($A3090,[10]Mujer!$A$1:$O$279,F$1,0)</f>
        <v>#N/A</v>
      </c>
      <c r="G3090" s="39" t="e">
        <f t="shared" si="6222"/>
        <v>#N/A</v>
      </c>
      <c r="H3090" s="16" t="e">
        <f t="shared" si="6222"/>
        <v>#N/A</v>
      </c>
      <c r="I3090" s="16" t="e">
        <f t="shared" si="6222"/>
        <v>#N/A</v>
      </c>
      <c r="J3090" s="40" t="e">
        <f t="shared" si="6222"/>
        <v>#N/A</v>
      </c>
      <c r="K3090" s="16" t="e">
        <f t="shared" si="6222"/>
        <v>#N/A</v>
      </c>
      <c r="L3090" s="40" t="e">
        <f t="shared" si="6045"/>
        <v>#N/A</v>
      </c>
      <c r="M3090" s="16" t="e">
        <f t="shared" si="6046"/>
        <v>#N/A</v>
      </c>
      <c r="N3090" s="16" t="e">
        <f t="shared" si="6047"/>
        <v>#N/A</v>
      </c>
      <c r="O3090" s="16" t="s">
        <v>74</v>
      </c>
      <c r="P3090" s="16" t="str">
        <f t="shared" si="6"/>
        <v/>
      </c>
      <c r="Q3090" s="41" t="e">
        <f t="shared" si="6048"/>
        <v>#N/A</v>
      </c>
      <c r="R3090" s="44"/>
      <c r="S3090" s="44"/>
      <c r="T3090" s="43"/>
      <c r="U3090" s="43" t="str">
        <f t="shared" si="8"/>
        <v>No</v>
      </c>
      <c r="V3090" s="25"/>
      <c r="W3090" s="25"/>
      <c r="X3090" s="25"/>
      <c r="Y3090" s="25"/>
      <c r="Z3090" s="25"/>
    </row>
    <row r="3091" spans="1:26" ht="15.75" customHeight="1" x14ac:dyDescent="0.25">
      <c r="A3091" s="25">
        <v>3089</v>
      </c>
      <c r="B3091" s="37" t="e">
        <f t="shared" ref="B3091:D3091" si="6223">VLOOKUP($A3091,[10]Mujer!$A$1:$O$279,B$1,0)</f>
        <v>#N/A</v>
      </c>
      <c r="C3091" s="38" t="e">
        <f t="shared" si="6223"/>
        <v>#N/A</v>
      </c>
      <c r="D3091" s="39" t="e">
        <f t="shared" si="6223"/>
        <v>#N/A</v>
      </c>
      <c r="E3091" s="16" t="e">
        <f t="shared" si="1"/>
        <v>#N/A</v>
      </c>
      <c r="F3091" s="16" t="e">
        <f t="shared" ref="F3091:K3091" si="6224">VLOOKUP($A3091,[10]Mujer!$A$1:$O$279,F$1,0)</f>
        <v>#N/A</v>
      </c>
      <c r="G3091" s="39" t="e">
        <f t="shared" si="6224"/>
        <v>#N/A</v>
      </c>
      <c r="H3091" s="16" t="e">
        <f t="shared" si="6224"/>
        <v>#N/A</v>
      </c>
      <c r="I3091" s="16" t="e">
        <f t="shared" si="6224"/>
        <v>#N/A</v>
      </c>
      <c r="J3091" s="40" t="e">
        <f t="shared" si="6224"/>
        <v>#N/A</v>
      </c>
      <c r="K3091" s="16" t="e">
        <f t="shared" si="6224"/>
        <v>#N/A</v>
      </c>
      <c r="L3091" s="40" t="e">
        <f t="shared" si="6045"/>
        <v>#N/A</v>
      </c>
      <c r="M3091" s="16" t="e">
        <f t="shared" si="6046"/>
        <v>#N/A</v>
      </c>
      <c r="N3091" s="16" t="e">
        <f t="shared" si="6047"/>
        <v>#N/A</v>
      </c>
      <c r="O3091" s="16" t="s">
        <v>74</v>
      </c>
      <c r="P3091" s="16" t="str">
        <f t="shared" si="6"/>
        <v/>
      </c>
      <c r="Q3091" s="41" t="e">
        <f t="shared" si="6048"/>
        <v>#N/A</v>
      </c>
      <c r="R3091" s="44"/>
      <c r="S3091" s="44"/>
      <c r="T3091" s="43"/>
      <c r="U3091" s="43" t="str">
        <f t="shared" si="8"/>
        <v>No</v>
      </c>
      <c r="V3091" s="25"/>
      <c r="W3091" s="25"/>
      <c r="X3091" s="25"/>
      <c r="Y3091" s="25"/>
      <c r="Z3091" s="25"/>
    </row>
    <row r="3092" spans="1:26" ht="15.75" customHeight="1" x14ac:dyDescent="0.25">
      <c r="A3092" s="25">
        <v>3090</v>
      </c>
      <c r="B3092" s="37" t="e">
        <f t="shared" ref="B3092:D3092" si="6225">VLOOKUP($A3092,[10]Mujer!$A$1:$O$279,B$1,0)</f>
        <v>#N/A</v>
      </c>
      <c r="C3092" s="38" t="e">
        <f t="shared" si="6225"/>
        <v>#N/A</v>
      </c>
      <c r="D3092" s="39" t="e">
        <f t="shared" si="6225"/>
        <v>#N/A</v>
      </c>
      <c r="E3092" s="16" t="e">
        <f t="shared" si="1"/>
        <v>#N/A</v>
      </c>
      <c r="F3092" s="16" t="e">
        <f t="shared" ref="F3092:K3092" si="6226">VLOOKUP($A3092,[10]Mujer!$A$1:$O$279,F$1,0)</f>
        <v>#N/A</v>
      </c>
      <c r="G3092" s="39" t="e">
        <f t="shared" si="6226"/>
        <v>#N/A</v>
      </c>
      <c r="H3092" s="16" t="e">
        <f t="shared" si="6226"/>
        <v>#N/A</v>
      </c>
      <c r="I3092" s="16" t="e">
        <f t="shared" si="6226"/>
        <v>#N/A</v>
      </c>
      <c r="J3092" s="40" t="e">
        <f t="shared" si="6226"/>
        <v>#N/A</v>
      </c>
      <c r="K3092" s="16" t="e">
        <f t="shared" si="6226"/>
        <v>#N/A</v>
      </c>
      <c r="L3092" s="40" t="e">
        <f t="shared" si="6045"/>
        <v>#N/A</v>
      </c>
      <c r="M3092" s="16" t="e">
        <f t="shared" si="6046"/>
        <v>#N/A</v>
      </c>
      <c r="N3092" s="16" t="e">
        <f t="shared" si="6047"/>
        <v>#N/A</v>
      </c>
      <c r="O3092" s="16" t="s">
        <v>74</v>
      </c>
      <c r="P3092" s="16" t="str">
        <f t="shared" si="6"/>
        <v/>
      </c>
      <c r="Q3092" s="41" t="e">
        <f t="shared" si="6048"/>
        <v>#N/A</v>
      </c>
      <c r="R3092" s="44"/>
      <c r="S3092" s="44"/>
      <c r="T3092" s="43"/>
      <c r="U3092" s="43" t="str">
        <f t="shared" si="8"/>
        <v>No</v>
      </c>
      <c r="V3092" s="25"/>
      <c r="W3092" s="25"/>
      <c r="X3092" s="25"/>
      <c r="Y3092" s="25"/>
      <c r="Z3092" s="25"/>
    </row>
    <row r="3093" spans="1:26" ht="15.75" customHeight="1" x14ac:dyDescent="0.25">
      <c r="A3093" s="25">
        <v>3091</v>
      </c>
      <c r="B3093" s="37" t="e">
        <f t="shared" ref="B3093:D3093" si="6227">VLOOKUP($A3093,[10]Mujer!$A$1:$O$279,B$1,0)</f>
        <v>#N/A</v>
      </c>
      <c r="C3093" s="38" t="e">
        <f t="shared" si="6227"/>
        <v>#N/A</v>
      </c>
      <c r="D3093" s="39" t="e">
        <f t="shared" si="6227"/>
        <v>#N/A</v>
      </c>
      <c r="E3093" s="16" t="e">
        <f t="shared" si="1"/>
        <v>#N/A</v>
      </c>
      <c r="F3093" s="16" t="e">
        <f t="shared" ref="F3093:K3093" si="6228">VLOOKUP($A3093,[10]Mujer!$A$1:$O$279,F$1,0)</f>
        <v>#N/A</v>
      </c>
      <c r="G3093" s="39" t="e">
        <f t="shared" si="6228"/>
        <v>#N/A</v>
      </c>
      <c r="H3093" s="16" t="e">
        <f t="shared" si="6228"/>
        <v>#N/A</v>
      </c>
      <c r="I3093" s="16" t="e">
        <f t="shared" si="6228"/>
        <v>#N/A</v>
      </c>
      <c r="J3093" s="40" t="e">
        <f t="shared" si="6228"/>
        <v>#N/A</v>
      </c>
      <c r="K3093" s="16" t="e">
        <f t="shared" si="6228"/>
        <v>#N/A</v>
      </c>
      <c r="L3093" s="40" t="e">
        <f t="shared" si="6045"/>
        <v>#N/A</v>
      </c>
      <c r="M3093" s="16" t="e">
        <f t="shared" si="6046"/>
        <v>#N/A</v>
      </c>
      <c r="N3093" s="16" t="e">
        <f t="shared" si="6047"/>
        <v>#N/A</v>
      </c>
      <c r="O3093" s="16" t="s">
        <v>74</v>
      </c>
      <c r="P3093" s="16" t="str">
        <f t="shared" si="6"/>
        <v/>
      </c>
      <c r="Q3093" s="41" t="e">
        <f t="shared" si="6048"/>
        <v>#N/A</v>
      </c>
      <c r="R3093" s="44"/>
      <c r="S3093" s="44"/>
      <c r="T3093" s="43"/>
      <c r="U3093" s="43" t="str">
        <f t="shared" si="8"/>
        <v>No</v>
      </c>
      <c r="V3093" s="25"/>
      <c r="W3093" s="25"/>
      <c r="X3093" s="25"/>
      <c r="Y3093" s="25"/>
      <c r="Z3093" s="25"/>
    </row>
    <row r="3094" spans="1:26" ht="15.75" customHeight="1" x14ac:dyDescent="0.25">
      <c r="A3094" s="25">
        <v>3092</v>
      </c>
      <c r="B3094" s="37" t="e">
        <f t="shared" ref="B3094:D3094" si="6229">VLOOKUP($A3094,[10]Mujer!$A$1:$O$279,B$1,0)</f>
        <v>#N/A</v>
      </c>
      <c r="C3094" s="38" t="e">
        <f t="shared" si="6229"/>
        <v>#N/A</v>
      </c>
      <c r="D3094" s="39" t="e">
        <f t="shared" si="6229"/>
        <v>#N/A</v>
      </c>
      <c r="E3094" s="16" t="e">
        <f t="shared" si="1"/>
        <v>#N/A</v>
      </c>
      <c r="F3094" s="16" t="e">
        <f t="shared" ref="F3094:K3094" si="6230">VLOOKUP($A3094,[10]Mujer!$A$1:$O$279,F$1,0)</f>
        <v>#N/A</v>
      </c>
      <c r="G3094" s="39" t="e">
        <f t="shared" si="6230"/>
        <v>#N/A</v>
      </c>
      <c r="H3094" s="16" t="e">
        <f t="shared" si="6230"/>
        <v>#N/A</v>
      </c>
      <c r="I3094" s="16" t="e">
        <f t="shared" si="6230"/>
        <v>#N/A</v>
      </c>
      <c r="J3094" s="40" t="e">
        <f t="shared" si="6230"/>
        <v>#N/A</v>
      </c>
      <c r="K3094" s="16" t="e">
        <f t="shared" si="6230"/>
        <v>#N/A</v>
      </c>
      <c r="L3094" s="40" t="e">
        <f t="shared" si="6045"/>
        <v>#N/A</v>
      </c>
      <c r="M3094" s="16" t="e">
        <f t="shared" si="6046"/>
        <v>#N/A</v>
      </c>
      <c r="N3094" s="16" t="e">
        <f t="shared" si="6047"/>
        <v>#N/A</v>
      </c>
      <c r="O3094" s="16" t="s">
        <v>74</v>
      </c>
      <c r="P3094" s="16" t="str">
        <f t="shared" si="6"/>
        <v/>
      </c>
      <c r="Q3094" s="41" t="e">
        <f t="shared" si="6048"/>
        <v>#N/A</v>
      </c>
      <c r="R3094" s="44"/>
      <c r="S3094" s="44"/>
      <c r="T3094" s="43"/>
      <c r="U3094" s="43" t="str">
        <f t="shared" si="8"/>
        <v>No</v>
      </c>
      <c r="V3094" s="25"/>
      <c r="W3094" s="25"/>
      <c r="X3094" s="25"/>
      <c r="Y3094" s="25"/>
      <c r="Z3094" s="25"/>
    </row>
    <row r="3095" spans="1:26" ht="15.75" customHeight="1" x14ac:dyDescent="0.25">
      <c r="A3095" s="25">
        <v>3093</v>
      </c>
      <c r="B3095" s="37" t="e">
        <f t="shared" ref="B3095:D3095" si="6231">VLOOKUP($A3095,[10]Mujer!$A$1:$O$279,B$1,0)</f>
        <v>#N/A</v>
      </c>
      <c r="C3095" s="38" t="e">
        <f t="shared" si="6231"/>
        <v>#N/A</v>
      </c>
      <c r="D3095" s="39" t="e">
        <f t="shared" si="6231"/>
        <v>#N/A</v>
      </c>
      <c r="E3095" s="16" t="e">
        <f t="shared" si="1"/>
        <v>#N/A</v>
      </c>
      <c r="F3095" s="16" t="e">
        <f t="shared" ref="F3095:K3095" si="6232">VLOOKUP($A3095,[10]Mujer!$A$1:$O$279,F$1,0)</f>
        <v>#N/A</v>
      </c>
      <c r="G3095" s="39" t="e">
        <f t="shared" si="6232"/>
        <v>#N/A</v>
      </c>
      <c r="H3095" s="16" t="e">
        <f t="shared" si="6232"/>
        <v>#N/A</v>
      </c>
      <c r="I3095" s="16" t="e">
        <f t="shared" si="6232"/>
        <v>#N/A</v>
      </c>
      <c r="J3095" s="40" t="e">
        <f t="shared" si="6232"/>
        <v>#N/A</v>
      </c>
      <c r="K3095" s="16" t="e">
        <f t="shared" si="6232"/>
        <v>#N/A</v>
      </c>
      <c r="L3095" s="40" t="e">
        <f t="shared" si="6045"/>
        <v>#N/A</v>
      </c>
      <c r="M3095" s="16" t="e">
        <f t="shared" si="6046"/>
        <v>#N/A</v>
      </c>
      <c r="N3095" s="16" t="e">
        <f t="shared" si="6047"/>
        <v>#N/A</v>
      </c>
      <c r="O3095" s="16" t="s">
        <v>74</v>
      </c>
      <c r="P3095" s="16" t="str">
        <f t="shared" si="6"/>
        <v/>
      </c>
      <c r="Q3095" s="41" t="e">
        <f t="shared" si="6048"/>
        <v>#N/A</v>
      </c>
      <c r="R3095" s="44"/>
      <c r="S3095" s="44"/>
      <c r="T3095" s="43"/>
      <c r="U3095" s="43" t="str">
        <f t="shared" si="8"/>
        <v>No</v>
      </c>
      <c r="V3095" s="25"/>
      <c r="W3095" s="25"/>
      <c r="X3095" s="25"/>
      <c r="Y3095" s="25"/>
      <c r="Z3095" s="25"/>
    </row>
    <row r="3096" spans="1:26" ht="15.75" customHeight="1" x14ac:dyDescent="0.25">
      <c r="A3096" s="25">
        <v>3094</v>
      </c>
      <c r="B3096" s="37" t="e">
        <f t="shared" ref="B3096:D3096" si="6233">VLOOKUP($A3096,[10]Mujer!$A$1:$O$279,B$1,0)</f>
        <v>#N/A</v>
      </c>
      <c r="C3096" s="38" t="e">
        <f t="shared" si="6233"/>
        <v>#N/A</v>
      </c>
      <c r="D3096" s="39" t="e">
        <f t="shared" si="6233"/>
        <v>#N/A</v>
      </c>
      <c r="E3096" s="16" t="e">
        <f t="shared" si="1"/>
        <v>#N/A</v>
      </c>
      <c r="F3096" s="16" t="e">
        <f t="shared" ref="F3096:K3096" si="6234">VLOOKUP($A3096,[10]Mujer!$A$1:$O$279,F$1,0)</f>
        <v>#N/A</v>
      </c>
      <c r="G3096" s="39" t="e">
        <f t="shared" si="6234"/>
        <v>#N/A</v>
      </c>
      <c r="H3096" s="16" t="e">
        <f t="shared" si="6234"/>
        <v>#N/A</v>
      </c>
      <c r="I3096" s="16" t="e">
        <f t="shared" si="6234"/>
        <v>#N/A</v>
      </c>
      <c r="J3096" s="40" t="e">
        <f t="shared" si="6234"/>
        <v>#N/A</v>
      </c>
      <c r="K3096" s="16" t="e">
        <f t="shared" si="6234"/>
        <v>#N/A</v>
      </c>
      <c r="L3096" s="40" t="e">
        <f t="shared" si="6045"/>
        <v>#N/A</v>
      </c>
      <c r="M3096" s="16" t="e">
        <f t="shared" si="6046"/>
        <v>#N/A</v>
      </c>
      <c r="N3096" s="16" t="e">
        <f t="shared" si="6047"/>
        <v>#N/A</v>
      </c>
      <c r="O3096" s="16" t="s">
        <v>74</v>
      </c>
      <c r="P3096" s="16" t="str">
        <f t="shared" si="6"/>
        <v/>
      </c>
      <c r="Q3096" s="41" t="e">
        <f t="shared" si="6048"/>
        <v>#N/A</v>
      </c>
      <c r="R3096" s="44"/>
      <c r="S3096" s="44"/>
      <c r="T3096" s="43"/>
      <c r="U3096" s="43" t="str">
        <f t="shared" si="8"/>
        <v>No</v>
      </c>
      <c r="V3096" s="25"/>
      <c r="W3096" s="25"/>
      <c r="X3096" s="25"/>
      <c r="Y3096" s="25"/>
      <c r="Z3096" s="25"/>
    </row>
    <row r="3097" spans="1:26" ht="15.75" customHeight="1" x14ac:dyDescent="0.25">
      <c r="A3097" s="25">
        <v>3095</v>
      </c>
      <c r="B3097" s="37" t="e">
        <f t="shared" ref="B3097:D3097" si="6235">VLOOKUP($A3097,[10]Mujer!$A$1:$O$279,B$1,0)</f>
        <v>#N/A</v>
      </c>
      <c r="C3097" s="38" t="e">
        <f t="shared" si="6235"/>
        <v>#N/A</v>
      </c>
      <c r="D3097" s="39" t="e">
        <f t="shared" si="6235"/>
        <v>#N/A</v>
      </c>
      <c r="E3097" s="16" t="e">
        <f t="shared" si="1"/>
        <v>#N/A</v>
      </c>
      <c r="F3097" s="16" t="e">
        <f t="shared" ref="F3097:K3097" si="6236">VLOOKUP($A3097,[10]Mujer!$A$1:$O$279,F$1,0)</f>
        <v>#N/A</v>
      </c>
      <c r="G3097" s="39" t="e">
        <f t="shared" si="6236"/>
        <v>#N/A</v>
      </c>
      <c r="H3097" s="16" t="e">
        <f t="shared" si="6236"/>
        <v>#N/A</v>
      </c>
      <c r="I3097" s="16" t="e">
        <f t="shared" si="6236"/>
        <v>#N/A</v>
      </c>
      <c r="J3097" s="40" t="e">
        <f t="shared" si="6236"/>
        <v>#N/A</v>
      </c>
      <c r="K3097" s="16" t="e">
        <f t="shared" si="6236"/>
        <v>#N/A</v>
      </c>
      <c r="L3097" s="40" t="e">
        <f t="shared" si="6045"/>
        <v>#N/A</v>
      </c>
      <c r="M3097" s="16" t="e">
        <f t="shared" si="6046"/>
        <v>#N/A</v>
      </c>
      <c r="N3097" s="16" t="e">
        <f t="shared" si="6047"/>
        <v>#N/A</v>
      </c>
      <c r="O3097" s="16" t="s">
        <v>74</v>
      </c>
      <c r="P3097" s="16" t="str">
        <f t="shared" si="6"/>
        <v/>
      </c>
      <c r="Q3097" s="41" t="e">
        <f t="shared" si="6048"/>
        <v>#N/A</v>
      </c>
      <c r="R3097" s="44"/>
      <c r="S3097" s="44"/>
      <c r="T3097" s="43"/>
      <c r="U3097" s="43" t="str">
        <f t="shared" si="8"/>
        <v>No</v>
      </c>
      <c r="V3097" s="25"/>
      <c r="W3097" s="25"/>
      <c r="X3097" s="25"/>
      <c r="Y3097" s="25"/>
      <c r="Z3097" s="25"/>
    </row>
    <row r="3098" spans="1:26" ht="15.75" customHeight="1" x14ac:dyDescent="0.25">
      <c r="A3098" s="25">
        <v>3096</v>
      </c>
      <c r="B3098" s="37" t="e">
        <f t="shared" ref="B3098:D3098" si="6237">VLOOKUP($A3098,[10]Mujer!$A$1:$O$279,B$1,0)</f>
        <v>#N/A</v>
      </c>
      <c r="C3098" s="38" t="e">
        <f t="shared" si="6237"/>
        <v>#N/A</v>
      </c>
      <c r="D3098" s="39" t="e">
        <f t="shared" si="6237"/>
        <v>#N/A</v>
      </c>
      <c r="E3098" s="16" t="e">
        <f t="shared" si="1"/>
        <v>#N/A</v>
      </c>
      <c r="F3098" s="16" t="e">
        <f t="shared" ref="F3098:K3098" si="6238">VLOOKUP($A3098,[10]Mujer!$A$1:$O$279,F$1,0)</f>
        <v>#N/A</v>
      </c>
      <c r="G3098" s="39" t="e">
        <f t="shared" si="6238"/>
        <v>#N/A</v>
      </c>
      <c r="H3098" s="16" t="e">
        <f t="shared" si="6238"/>
        <v>#N/A</v>
      </c>
      <c r="I3098" s="16" t="e">
        <f t="shared" si="6238"/>
        <v>#N/A</v>
      </c>
      <c r="J3098" s="40" t="e">
        <f t="shared" si="6238"/>
        <v>#N/A</v>
      </c>
      <c r="K3098" s="16" t="e">
        <f t="shared" si="6238"/>
        <v>#N/A</v>
      </c>
      <c r="L3098" s="40" t="e">
        <f t="shared" si="6045"/>
        <v>#N/A</v>
      </c>
      <c r="M3098" s="16" t="e">
        <f t="shared" si="6046"/>
        <v>#N/A</v>
      </c>
      <c r="N3098" s="16" t="e">
        <f t="shared" si="6047"/>
        <v>#N/A</v>
      </c>
      <c r="O3098" s="16" t="s">
        <v>74</v>
      </c>
      <c r="P3098" s="16" t="str">
        <f t="shared" si="6"/>
        <v/>
      </c>
      <c r="Q3098" s="41" t="e">
        <f t="shared" si="6048"/>
        <v>#N/A</v>
      </c>
      <c r="R3098" s="44"/>
      <c r="S3098" s="44"/>
      <c r="T3098" s="43"/>
      <c r="U3098" s="43" t="str">
        <f t="shared" si="8"/>
        <v>No</v>
      </c>
      <c r="V3098" s="25"/>
      <c r="W3098" s="25"/>
      <c r="X3098" s="25"/>
      <c r="Y3098" s="25"/>
      <c r="Z3098" s="25"/>
    </row>
    <row r="3099" spans="1:26" ht="15.75" customHeight="1" x14ac:dyDescent="0.25">
      <c r="A3099" s="25">
        <v>3097</v>
      </c>
      <c r="B3099" s="37" t="e">
        <f t="shared" ref="B3099:D3099" si="6239">VLOOKUP($A3099,[10]Mujer!$A$1:$O$279,B$1,0)</f>
        <v>#N/A</v>
      </c>
      <c r="C3099" s="38" t="e">
        <f t="shared" si="6239"/>
        <v>#N/A</v>
      </c>
      <c r="D3099" s="39" t="e">
        <f t="shared" si="6239"/>
        <v>#N/A</v>
      </c>
      <c r="E3099" s="16" t="e">
        <f t="shared" si="1"/>
        <v>#N/A</v>
      </c>
      <c r="F3099" s="16" t="e">
        <f t="shared" ref="F3099:K3099" si="6240">VLOOKUP($A3099,[10]Mujer!$A$1:$O$279,F$1,0)</f>
        <v>#N/A</v>
      </c>
      <c r="G3099" s="39" t="e">
        <f t="shared" si="6240"/>
        <v>#N/A</v>
      </c>
      <c r="H3099" s="16" t="e">
        <f t="shared" si="6240"/>
        <v>#N/A</v>
      </c>
      <c r="I3099" s="16" t="e">
        <f t="shared" si="6240"/>
        <v>#N/A</v>
      </c>
      <c r="J3099" s="40" t="e">
        <f t="shared" si="6240"/>
        <v>#N/A</v>
      </c>
      <c r="K3099" s="16" t="e">
        <f t="shared" si="6240"/>
        <v>#N/A</v>
      </c>
      <c r="L3099" s="40" t="e">
        <f t="shared" si="6045"/>
        <v>#N/A</v>
      </c>
      <c r="M3099" s="16" t="e">
        <f t="shared" si="6046"/>
        <v>#N/A</v>
      </c>
      <c r="N3099" s="16" t="e">
        <f t="shared" si="6047"/>
        <v>#N/A</v>
      </c>
      <c r="O3099" s="16" t="s">
        <v>74</v>
      </c>
      <c r="P3099" s="16" t="str">
        <f t="shared" si="6"/>
        <v/>
      </c>
      <c r="Q3099" s="41" t="e">
        <f t="shared" si="6048"/>
        <v>#N/A</v>
      </c>
      <c r="R3099" s="44"/>
      <c r="S3099" s="44"/>
      <c r="T3099" s="43"/>
      <c r="U3099" s="43" t="str">
        <f t="shared" si="8"/>
        <v>No</v>
      </c>
      <c r="V3099" s="25"/>
      <c r="W3099" s="25"/>
      <c r="X3099" s="25"/>
      <c r="Y3099" s="25"/>
      <c r="Z3099" s="25"/>
    </row>
    <row r="3100" spans="1:26" ht="15.75" customHeight="1" x14ac:dyDescent="0.25">
      <c r="A3100" s="25">
        <v>3098</v>
      </c>
      <c r="B3100" s="37" t="e">
        <f t="shared" ref="B3100:D3100" si="6241">VLOOKUP($A3100,[10]Mujer!$A$1:$O$279,B$1,0)</f>
        <v>#N/A</v>
      </c>
      <c r="C3100" s="38" t="e">
        <f t="shared" si="6241"/>
        <v>#N/A</v>
      </c>
      <c r="D3100" s="39" t="e">
        <f t="shared" si="6241"/>
        <v>#N/A</v>
      </c>
      <c r="E3100" s="16" t="e">
        <f t="shared" si="1"/>
        <v>#N/A</v>
      </c>
      <c r="F3100" s="16" t="e">
        <f t="shared" ref="F3100:K3100" si="6242">VLOOKUP($A3100,[10]Mujer!$A$1:$O$279,F$1,0)</f>
        <v>#N/A</v>
      </c>
      <c r="G3100" s="39" t="e">
        <f t="shared" si="6242"/>
        <v>#N/A</v>
      </c>
      <c r="H3100" s="16" t="e">
        <f t="shared" si="6242"/>
        <v>#N/A</v>
      </c>
      <c r="I3100" s="16" t="e">
        <f t="shared" si="6242"/>
        <v>#N/A</v>
      </c>
      <c r="J3100" s="40" t="e">
        <f t="shared" si="6242"/>
        <v>#N/A</v>
      </c>
      <c r="K3100" s="16" t="e">
        <f t="shared" si="6242"/>
        <v>#N/A</v>
      </c>
      <c r="L3100" s="40" t="e">
        <f t="shared" si="6045"/>
        <v>#N/A</v>
      </c>
      <c r="M3100" s="16" t="e">
        <f t="shared" si="6046"/>
        <v>#N/A</v>
      </c>
      <c r="N3100" s="16" t="e">
        <f t="shared" si="6047"/>
        <v>#N/A</v>
      </c>
      <c r="O3100" s="16" t="s">
        <v>74</v>
      </c>
      <c r="P3100" s="16" t="str">
        <f t="shared" si="6"/>
        <v/>
      </c>
      <c r="Q3100" s="41" t="e">
        <f t="shared" si="6048"/>
        <v>#N/A</v>
      </c>
      <c r="R3100" s="44"/>
      <c r="S3100" s="44"/>
      <c r="T3100" s="43"/>
      <c r="U3100" s="43" t="str">
        <f t="shared" si="8"/>
        <v>No</v>
      </c>
      <c r="V3100" s="25"/>
      <c r="W3100" s="25"/>
      <c r="X3100" s="25"/>
      <c r="Y3100" s="25"/>
      <c r="Z3100" s="25"/>
    </row>
    <row r="3101" spans="1:26" ht="15.75" customHeight="1" x14ac:dyDescent="0.25">
      <c r="A3101" s="25">
        <v>3099</v>
      </c>
      <c r="B3101" s="37" t="e">
        <f t="shared" ref="B3101:D3101" si="6243">VLOOKUP($A3101,[10]Mujer!$A$1:$O$279,B$1,0)</f>
        <v>#N/A</v>
      </c>
      <c r="C3101" s="38" t="e">
        <f t="shared" si="6243"/>
        <v>#N/A</v>
      </c>
      <c r="D3101" s="39" t="e">
        <f t="shared" si="6243"/>
        <v>#N/A</v>
      </c>
      <c r="E3101" s="16" t="e">
        <f t="shared" si="1"/>
        <v>#N/A</v>
      </c>
      <c r="F3101" s="16" t="e">
        <f t="shared" ref="F3101:K3101" si="6244">VLOOKUP($A3101,[10]Mujer!$A$1:$O$279,F$1,0)</f>
        <v>#N/A</v>
      </c>
      <c r="G3101" s="39" t="e">
        <f t="shared" si="6244"/>
        <v>#N/A</v>
      </c>
      <c r="H3101" s="16" t="e">
        <f t="shared" si="6244"/>
        <v>#N/A</v>
      </c>
      <c r="I3101" s="16" t="e">
        <f t="shared" si="6244"/>
        <v>#N/A</v>
      </c>
      <c r="J3101" s="40" t="e">
        <f t="shared" si="6244"/>
        <v>#N/A</v>
      </c>
      <c r="K3101" s="16" t="e">
        <f t="shared" si="6244"/>
        <v>#N/A</v>
      </c>
      <c r="L3101" s="40" t="e">
        <f t="shared" si="6045"/>
        <v>#N/A</v>
      </c>
      <c r="M3101" s="16" t="e">
        <f t="shared" si="6046"/>
        <v>#N/A</v>
      </c>
      <c r="N3101" s="16" t="e">
        <f t="shared" si="6047"/>
        <v>#N/A</v>
      </c>
      <c r="O3101" s="16" t="s">
        <v>74</v>
      </c>
      <c r="P3101" s="16" t="str">
        <f t="shared" si="6"/>
        <v/>
      </c>
      <c r="Q3101" s="41" t="e">
        <f t="shared" si="6048"/>
        <v>#N/A</v>
      </c>
      <c r="R3101" s="44"/>
      <c r="S3101" s="44"/>
      <c r="T3101" s="43"/>
      <c r="U3101" s="43" t="str">
        <f t="shared" si="8"/>
        <v>No</v>
      </c>
      <c r="V3101" s="25"/>
      <c r="W3101" s="25"/>
      <c r="X3101" s="25"/>
      <c r="Y3101" s="25"/>
      <c r="Z3101" s="25"/>
    </row>
    <row r="3102" spans="1:26" ht="15.75" customHeight="1" x14ac:dyDescent="0.25">
      <c r="A3102" s="25">
        <v>3100</v>
      </c>
      <c r="B3102" s="37" t="e">
        <f t="shared" ref="B3102:D3102" si="6245">VLOOKUP($A3102,[10]Mujer!$A$1:$O$279,B$1,0)</f>
        <v>#N/A</v>
      </c>
      <c r="C3102" s="38" t="e">
        <f t="shared" si="6245"/>
        <v>#N/A</v>
      </c>
      <c r="D3102" s="39" t="e">
        <f t="shared" si="6245"/>
        <v>#N/A</v>
      </c>
      <c r="E3102" s="16" t="e">
        <f t="shared" si="1"/>
        <v>#N/A</v>
      </c>
      <c r="F3102" s="16" t="e">
        <f t="shared" ref="F3102:K3102" si="6246">VLOOKUP($A3102,[10]Mujer!$A$1:$O$279,F$1,0)</f>
        <v>#N/A</v>
      </c>
      <c r="G3102" s="39" t="e">
        <f t="shared" si="6246"/>
        <v>#N/A</v>
      </c>
      <c r="H3102" s="16" t="e">
        <f t="shared" si="6246"/>
        <v>#N/A</v>
      </c>
      <c r="I3102" s="16" t="e">
        <f t="shared" si="6246"/>
        <v>#N/A</v>
      </c>
      <c r="J3102" s="40" t="e">
        <f t="shared" si="6246"/>
        <v>#N/A</v>
      </c>
      <c r="K3102" s="16" t="e">
        <f t="shared" si="6246"/>
        <v>#N/A</v>
      </c>
      <c r="L3102" s="40" t="e">
        <f t="shared" si="6045"/>
        <v>#N/A</v>
      </c>
      <c r="M3102" s="16" t="e">
        <f t="shared" si="6046"/>
        <v>#N/A</v>
      </c>
      <c r="N3102" s="16" t="e">
        <f t="shared" si="6047"/>
        <v>#N/A</v>
      </c>
      <c r="O3102" s="16" t="s">
        <v>74</v>
      </c>
      <c r="P3102" s="16" t="str">
        <f t="shared" si="6"/>
        <v/>
      </c>
      <c r="Q3102" s="41" t="e">
        <f t="shared" si="6048"/>
        <v>#N/A</v>
      </c>
      <c r="R3102" s="44"/>
      <c r="S3102" s="44"/>
      <c r="T3102" s="43"/>
      <c r="U3102" s="43" t="str">
        <f t="shared" si="8"/>
        <v>No</v>
      </c>
      <c r="V3102" s="25"/>
      <c r="W3102" s="25"/>
      <c r="X3102" s="25"/>
      <c r="Y3102" s="25"/>
      <c r="Z3102" s="25"/>
    </row>
    <row r="3103" spans="1:26" ht="15.75" customHeight="1" x14ac:dyDescent="0.25">
      <c r="A3103" s="25">
        <v>3101</v>
      </c>
      <c r="B3103" s="37" t="e">
        <f t="shared" ref="B3103:D3103" si="6247">VLOOKUP($A3103,[10]Mujer!$A$1:$O$279,B$1,0)</f>
        <v>#N/A</v>
      </c>
      <c r="C3103" s="38" t="e">
        <f t="shared" si="6247"/>
        <v>#N/A</v>
      </c>
      <c r="D3103" s="39" t="e">
        <f t="shared" si="6247"/>
        <v>#N/A</v>
      </c>
      <c r="E3103" s="16" t="e">
        <f t="shared" si="1"/>
        <v>#N/A</v>
      </c>
      <c r="F3103" s="16" t="e">
        <f t="shared" ref="F3103:K3103" si="6248">VLOOKUP($A3103,[10]Mujer!$A$1:$O$279,F$1,0)</f>
        <v>#N/A</v>
      </c>
      <c r="G3103" s="39" t="e">
        <f t="shared" si="6248"/>
        <v>#N/A</v>
      </c>
      <c r="H3103" s="16" t="e">
        <f t="shared" si="6248"/>
        <v>#N/A</v>
      </c>
      <c r="I3103" s="16" t="e">
        <f t="shared" si="6248"/>
        <v>#N/A</v>
      </c>
      <c r="J3103" s="40" t="e">
        <f t="shared" si="6248"/>
        <v>#N/A</v>
      </c>
      <c r="K3103" s="16" t="e">
        <f t="shared" si="6248"/>
        <v>#N/A</v>
      </c>
      <c r="L3103" s="40" t="e">
        <f t="shared" si="6045"/>
        <v>#N/A</v>
      </c>
      <c r="M3103" s="16" t="e">
        <f t="shared" si="6046"/>
        <v>#N/A</v>
      </c>
      <c r="N3103" s="16" t="e">
        <f t="shared" si="6047"/>
        <v>#N/A</v>
      </c>
      <c r="O3103" s="16" t="s">
        <v>74</v>
      </c>
      <c r="P3103" s="16" t="str">
        <f t="shared" si="6"/>
        <v/>
      </c>
      <c r="Q3103" s="41" t="e">
        <f t="shared" si="6048"/>
        <v>#N/A</v>
      </c>
      <c r="R3103" s="44"/>
      <c r="S3103" s="44"/>
      <c r="T3103" s="43"/>
      <c r="U3103" s="43" t="str">
        <f t="shared" si="8"/>
        <v>No</v>
      </c>
      <c r="V3103" s="25"/>
      <c r="W3103" s="25"/>
      <c r="X3103" s="25"/>
      <c r="Y3103" s="25"/>
      <c r="Z3103" s="25"/>
    </row>
    <row r="3104" spans="1:26" ht="15.75" customHeight="1" x14ac:dyDescent="0.25">
      <c r="A3104" s="25">
        <v>3102</v>
      </c>
      <c r="B3104" s="37" t="e">
        <f t="shared" ref="B3104:D3104" si="6249">VLOOKUP($A3104,[10]Mujer!$A$1:$O$279,B$1,0)</f>
        <v>#N/A</v>
      </c>
      <c r="C3104" s="38" t="e">
        <f t="shared" si="6249"/>
        <v>#N/A</v>
      </c>
      <c r="D3104" s="39" t="e">
        <f t="shared" si="6249"/>
        <v>#N/A</v>
      </c>
      <c r="E3104" s="16" t="e">
        <f t="shared" si="1"/>
        <v>#N/A</v>
      </c>
      <c r="F3104" s="16" t="e">
        <f t="shared" ref="F3104:K3104" si="6250">VLOOKUP($A3104,[10]Mujer!$A$1:$O$279,F$1,0)</f>
        <v>#N/A</v>
      </c>
      <c r="G3104" s="39" t="e">
        <f t="shared" si="6250"/>
        <v>#N/A</v>
      </c>
      <c r="H3104" s="16" t="e">
        <f t="shared" si="6250"/>
        <v>#N/A</v>
      </c>
      <c r="I3104" s="16" t="e">
        <f t="shared" si="6250"/>
        <v>#N/A</v>
      </c>
      <c r="J3104" s="40" t="e">
        <f t="shared" si="6250"/>
        <v>#N/A</v>
      </c>
      <c r="K3104" s="16" t="e">
        <f t="shared" si="6250"/>
        <v>#N/A</v>
      </c>
      <c r="L3104" s="40" t="e">
        <f t="shared" si="6045"/>
        <v>#N/A</v>
      </c>
      <c r="M3104" s="16" t="e">
        <f t="shared" si="6046"/>
        <v>#N/A</v>
      </c>
      <c r="N3104" s="16" t="e">
        <f t="shared" si="6047"/>
        <v>#N/A</v>
      </c>
      <c r="O3104" s="16" t="s">
        <v>74</v>
      </c>
      <c r="P3104" s="16" t="str">
        <f t="shared" si="6"/>
        <v/>
      </c>
      <c r="Q3104" s="41" t="e">
        <f t="shared" si="6048"/>
        <v>#N/A</v>
      </c>
      <c r="R3104" s="44"/>
      <c r="S3104" s="44"/>
      <c r="T3104" s="43"/>
      <c r="U3104" s="43" t="str">
        <f t="shared" si="8"/>
        <v>No</v>
      </c>
      <c r="V3104" s="25"/>
      <c r="W3104" s="25"/>
      <c r="X3104" s="25"/>
      <c r="Y3104" s="25"/>
      <c r="Z3104" s="25"/>
    </row>
    <row r="3105" spans="1:26" ht="15.75" customHeight="1" x14ac:dyDescent="0.25">
      <c r="A3105" s="25">
        <v>3103</v>
      </c>
      <c r="B3105" s="37" t="e">
        <f t="shared" ref="B3105:D3105" si="6251">VLOOKUP($A3105,[10]Mujer!$A$1:$O$279,B$1,0)</f>
        <v>#N/A</v>
      </c>
      <c r="C3105" s="38" t="e">
        <f t="shared" si="6251"/>
        <v>#N/A</v>
      </c>
      <c r="D3105" s="39" t="e">
        <f t="shared" si="6251"/>
        <v>#N/A</v>
      </c>
      <c r="E3105" s="16" t="e">
        <f t="shared" si="1"/>
        <v>#N/A</v>
      </c>
      <c r="F3105" s="16" t="e">
        <f t="shared" ref="F3105:K3105" si="6252">VLOOKUP($A3105,[10]Mujer!$A$1:$O$279,F$1,0)</f>
        <v>#N/A</v>
      </c>
      <c r="G3105" s="39" t="e">
        <f t="shared" si="6252"/>
        <v>#N/A</v>
      </c>
      <c r="H3105" s="16" t="e">
        <f t="shared" si="6252"/>
        <v>#N/A</v>
      </c>
      <c r="I3105" s="16" t="e">
        <f t="shared" si="6252"/>
        <v>#N/A</v>
      </c>
      <c r="J3105" s="40" t="e">
        <f t="shared" si="6252"/>
        <v>#N/A</v>
      </c>
      <c r="K3105" s="16" t="e">
        <f t="shared" si="6252"/>
        <v>#N/A</v>
      </c>
      <c r="L3105" s="40" t="e">
        <f t="shared" si="6045"/>
        <v>#N/A</v>
      </c>
      <c r="M3105" s="16" t="e">
        <f t="shared" si="6046"/>
        <v>#N/A</v>
      </c>
      <c r="N3105" s="16" t="e">
        <f t="shared" si="6047"/>
        <v>#N/A</v>
      </c>
      <c r="O3105" s="16" t="s">
        <v>74</v>
      </c>
      <c r="P3105" s="16" t="str">
        <f t="shared" si="6"/>
        <v/>
      </c>
      <c r="Q3105" s="41" t="e">
        <f t="shared" si="6048"/>
        <v>#N/A</v>
      </c>
      <c r="R3105" s="44"/>
      <c r="S3105" s="44"/>
      <c r="T3105" s="43"/>
      <c r="U3105" s="43" t="str">
        <f t="shared" si="8"/>
        <v>No</v>
      </c>
      <c r="V3105" s="25"/>
      <c r="W3105" s="25"/>
      <c r="X3105" s="25"/>
      <c r="Y3105" s="25"/>
      <c r="Z3105" s="25"/>
    </row>
    <row r="3106" spans="1:26" ht="15.75" customHeight="1" x14ac:dyDescent="0.25">
      <c r="A3106" s="25">
        <v>3104</v>
      </c>
      <c r="B3106" s="37" t="e">
        <f t="shared" ref="B3106:D3106" si="6253">VLOOKUP($A3106,[10]Mujer!$A$1:$O$279,B$1,0)</f>
        <v>#N/A</v>
      </c>
      <c r="C3106" s="38" t="e">
        <f t="shared" si="6253"/>
        <v>#N/A</v>
      </c>
      <c r="D3106" s="39" t="e">
        <f t="shared" si="6253"/>
        <v>#N/A</v>
      </c>
      <c r="E3106" s="16" t="e">
        <f t="shared" si="1"/>
        <v>#N/A</v>
      </c>
      <c r="F3106" s="16" t="e">
        <f t="shared" ref="F3106:K3106" si="6254">VLOOKUP($A3106,[10]Mujer!$A$1:$O$279,F$1,0)</f>
        <v>#N/A</v>
      </c>
      <c r="G3106" s="39" t="e">
        <f t="shared" si="6254"/>
        <v>#N/A</v>
      </c>
      <c r="H3106" s="16" t="e">
        <f t="shared" si="6254"/>
        <v>#N/A</v>
      </c>
      <c r="I3106" s="16" t="e">
        <f t="shared" si="6254"/>
        <v>#N/A</v>
      </c>
      <c r="J3106" s="40" t="e">
        <f t="shared" si="6254"/>
        <v>#N/A</v>
      </c>
      <c r="K3106" s="16" t="e">
        <f t="shared" si="6254"/>
        <v>#N/A</v>
      </c>
      <c r="L3106" s="40" t="e">
        <f t="shared" si="6045"/>
        <v>#N/A</v>
      </c>
      <c r="M3106" s="16" t="e">
        <f t="shared" si="6046"/>
        <v>#N/A</v>
      </c>
      <c r="N3106" s="16" t="e">
        <f t="shared" si="6047"/>
        <v>#N/A</v>
      </c>
      <c r="O3106" s="16" t="s">
        <v>74</v>
      </c>
      <c r="P3106" s="16" t="str">
        <f t="shared" si="6"/>
        <v/>
      </c>
      <c r="Q3106" s="41" t="e">
        <f t="shared" si="6048"/>
        <v>#N/A</v>
      </c>
      <c r="R3106" s="44"/>
      <c r="S3106" s="44"/>
      <c r="T3106" s="43"/>
      <c r="U3106" s="43" t="str">
        <f t="shared" si="8"/>
        <v>No</v>
      </c>
      <c r="V3106" s="25"/>
      <c r="W3106" s="25"/>
      <c r="X3106" s="25"/>
      <c r="Y3106" s="25"/>
      <c r="Z3106" s="25"/>
    </row>
    <row r="3107" spans="1:26" ht="15.75" customHeight="1" x14ac:dyDescent="0.25">
      <c r="A3107" s="25">
        <v>3105</v>
      </c>
      <c r="B3107" s="37" t="e">
        <f t="shared" ref="B3107:D3107" si="6255">VLOOKUP($A3107,[10]Mujer!$A$1:$O$279,B$1,0)</f>
        <v>#N/A</v>
      </c>
      <c r="C3107" s="38" t="e">
        <f t="shared" si="6255"/>
        <v>#N/A</v>
      </c>
      <c r="D3107" s="39" t="e">
        <f t="shared" si="6255"/>
        <v>#N/A</v>
      </c>
      <c r="E3107" s="16" t="e">
        <f t="shared" si="1"/>
        <v>#N/A</v>
      </c>
      <c r="F3107" s="16" t="e">
        <f t="shared" ref="F3107:K3107" si="6256">VLOOKUP($A3107,[10]Mujer!$A$1:$O$279,F$1,0)</f>
        <v>#N/A</v>
      </c>
      <c r="G3107" s="39" t="e">
        <f t="shared" si="6256"/>
        <v>#N/A</v>
      </c>
      <c r="H3107" s="16" t="e">
        <f t="shared" si="6256"/>
        <v>#N/A</v>
      </c>
      <c r="I3107" s="16" t="e">
        <f t="shared" si="6256"/>
        <v>#N/A</v>
      </c>
      <c r="J3107" s="40" t="e">
        <f t="shared" si="6256"/>
        <v>#N/A</v>
      </c>
      <c r="K3107" s="16" t="e">
        <f t="shared" si="6256"/>
        <v>#N/A</v>
      </c>
      <c r="L3107" s="40" t="e">
        <f t="shared" si="6045"/>
        <v>#N/A</v>
      </c>
      <c r="M3107" s="16" t="e">
        <f t="shared" si="6046"/>
        <v>#N/A</v>
      </c>
      <c r="N3107" s="16" t="e">
        <f t="shared" si="6047"/>
        <v>#N/A</v>
      </c>
      <c r="O3107" s="16" t="s">
        <v>74</v>
      </c>
      <c r="P3107" s="16" t="str">
        <f t="shared" si="6"/>
        <v/>
      </c>
      <c r="Q3107" s="41" t="e">
        <f t="shared" si="6048"/>
        <v>#N/A</v>
      </c>
      <c r="R3107" s="44"/>
      <c r="S3107" s="44"/>
      <c r="T3107" s="43"/>
      <c r="U3107" s="43" t="str">
        <f t="shared" si="8"/>
        <v>No</v>
      </c>
      <c r="V3107" s="25"/>
      <c r="W3107" s="25"/>
      <c r="X3107" s="25"/>
      <c r="Y3107" s="25"/>
      <c r="Z3107" s="25"/>
    </row>
    <row r="3108" spans="1:26" ht="15.75" customHeight="1" x14ac:dyDescent="0.25">
      <c r="A3108" s="25">
        <v>3106</v>
      </c>
      <c r="B3108" s="37" t="e">
        <f t="shared" ref="B3108:D3108" si="6257">VLOOKUP($A3108,[10]Mujer!$A$1:$O$279,B$1,0)</f>
        <v>#N/A</v>
      </c>
      <c r="C3108" s="38" t="e">
        <f t="shared" si="6257"/>
        <v>#N/A</v>
      </c>
      <c r="D3108" s="39" t="e">
        <f t="shared" si="6257"/>
        <v>#N/A</v>
      </c>
      <c r="E3108" s="16" t="e">
        <f t="shared" si="1"/>
        <v>#N/A</v>
      </c>
      <c r="F3108" s="16" t="e">
        <f t="shared" ref="F3108:K3108" si="6258">VLOOKUP($A3108,[10]Mujer!$A$1:$O$279,F$1,0)</f>
        <v>#N/A</v>
      </c>
      <c r="G3108" s="39" t="e">
        <f t="shared" si="6258"/>
        <v>#N/A</v>
      </c>
      <c r="H3108" s="16" t="e">
        <f t="shared" si="6258"/>
        <v>#N/A</v>
      </c>
      <c r="I3108" s="16" t="e">
        <f t="shared" si="6258"/>
        <v>#N/A</v>
      </c>
      <c r="J3108" s="40" t="e">
        <f t="shared" si="6258"/>
        <v>#N/A</v>
      </c>
      <c r="K3108" s="16" t="e">
        <f t="shared" si="6258"/>
        <v>#N/A</v>
      </c>
      <c r="L3108" s="40" t="e">
        <f t="shared" si="6045"/>
        <v>#N/A</v>
      </c>
      <c r="M3108" s="16" t="e">
        <f t="shared" si="6046"/>
        <v>#N/A</v>
      </c>
      <c r="N3108" s="16" t="e">
        <f t="shared" si="6047"/>
        <v>#N/A</v>
      </c>
      <c r="O3108" s="16" t="s">
        <v>74</v>
      </c>
      <c r="P3108" s="16" t="str">
        <f t="shared" si="6"/>
        <v/>
      </c>
      <c r="Q3108" s="41" t="e">
        <f t="shared" si="6048"/>
        <v>#N/A</v>
      </c>
      <c r="R3108" s="44"/>
      <c r="S3108" s="44"/>
      <c r="T3108" s="43"/>
      <c r="U3108" s="43" t="str">
        <f t="shared" si="8"/>
        <v>No</v>
      </c>
      <c r="V3108" s="25"/>
      <c r="W3108" s="25"/>
      <c r="X3108" s="25"/>
      <c r="Y3108" s="25"/>
      <c r="Z3108" s="25"/>
    </row>
    <row r="3109" spans="1:26" ht="15.75" customHeight="1" x14ac:dyDescent="0.25">
      <c r="A3109" s="25">
        <v>3107</v>
      </c>
      <c r="B3109" s="37" t="e">
        <f t="shared" ref="B3109:D3109" si="6259">VLOOKUP($A3109,[10]Mujer!$A$1:$O$279,B$1,0)</f>
        <v>#N/A</v>
      </c>
      <c r="C3109" s="38" t="e">
        <f t="shared" si="6259"/>
        <v>#N/A</v>
      </c>
      <c r="D3109" s="39" t="e">
        <f t="shared" si="6259"/>
        <v>#N/A</v>
      </c>
      <c r="E3109" s="16" t="e">
        <f t="shared" si="1"/>
        <v>#N/A</v>
      </c>
      <c r="F3109" s="16" t="e">
        <f t="shared" ref="F3109:K3109" si="6260">VLOOKUP($A3109,[10]Mujer!$A$1:$O$279,F$1,0)</f>
        <v>#N/A</v>
      </c>
      <c r="G3109" s="39" t="e">
        <f t="shared" si="6260"/>
        <v>#N/A</v>
      </c>
      <c r="H3109" s="16" t="e">
        <f t="shared" si="6260"/>
        <v>#N/A</v>
      </c>
      <c r="I3109" s="16" t="e">
        <f t="shared" si="6260"/>
        <v>#N/A</v>
      </c>
      <c r="J3109" s="40" t="e">
        <f t="shared" si="6260"/>
        <v>#N/A</v>
      </c>
      <c r="K3109" s="16" t="e">
        <f t="shared" si="6260"/>
        <v>#N/A</v>
      </c>
      <c r="L3109" s="40" t="e">
        <f t="shared" si="6045"/>
        <v>#N/A</v>
      </c>
      <c r="M3109" s="16" t="e">
        <f t="shared" si="6046"/>
        <v>#N/A</v>
      </c>
      <c r="N3109" s="16" t="e">
        <f t="shared" si="6047"/>
        <v>#N/A</v>
      </c>
      <c r="O3109" s="16" t="s">
        <v>74</v>
      </c>
      <c r="P3109" s="16" t="str">
        <f t="shared" si="6"/>
        <v/>
      </c>
      <c r="Q3109" s="41" t="e">
        <f t="shared" si="6048"/>
        <v>#N/A</v>
      </c>
      <c r="R3109" s="44"/>
      <c r="S3109" s="44"/>
      <c r="T3109" s="43"/>
      <c r="U3109" s="43" t="str">
        <f t="shared" si="8"/>
        <v>No</v>
      </c>
      <c r="V3109" s="25"/>
      <c r="W3109" s="25"/>
      <c r="X3109" s="25"/>
      <c r="Y3109" s="25"/>
      <c r="Z3109" s="25"/>
    </row>
    <row r="3110" spans="1:26" ht="15.75" customHeight="1" x14ac:dyDescent="0.25">
      <c r="A3110" s="25">
        <v>3108</v>
      </c>
      <c r="B3110" s="37" t="e">
        <f t="shared" ref="B3110:D3110" si="6261">VLOOKUP($A3110,[10]Mujer!$A$1:$O$279,B$1,0)</f>
        <v>#N/A</v>
      </c>
      <c r="C3110" s="38" t="e">
        <f t="shared" si="6261"/>
        <v>#N/A</v>
      </c>
      <c r="D3110" s="39" t="e">
        <f t="shared" si="6261"/>
        <v>#N/A</v>
      </c>
      <c r="E3110" s="16" t="e">
        <f t="shared" si="1"/>
        <v>#N/A</v>
      </c>
      <c r="F3110" s="16" t="e">
        <f t="shared" ref="F3110:K3110" si="6262">VLOOKUP($A3110,[10]Mujer!$A$1:$O$279,F$1,0)</f>
        <v>#N/A</v>
      </c>
      <c r="G3110" s="39" t="e">
        <f t="shared" si="6262"/>
        <v>#N/A</v>
      </c>
      <c r="H3110" s="16" t="e">
        <f t="shared" si="6262"/>
        <v>#N/A</v>
      </c>
      <c r="I3110" s="16" t="e">
        <f t="shared" si="6262"/>
        <v>#N/A</v>
      </c>
      <c r="J3110" s="40" t="e">
        <f t="shared" si="6262"/>
        <v>#N/A</v>
      </c>
      <c r="K3110" s="16" t="e">
        <f t="shared" si="6262"/>
        <v>#N/A</v>
      </c>
      <c r="L3110" s="40" t="e">
        <f t="shared" si="6045"/>
        <v>#N/A</v>
      </c>
      <c r="M3110" s="16" t="e">
        <f t="shared" si="6046"/>
        <v>#N/A</v>
      </c>
      <c r="N3110" s="16" t="e">
        <f t="shared" si="6047"/>
        <v>#N/A</v>
      </c>
      <c r="O3110" s="16" t="s">
        <v>74</v>
      </c>
      <c r="P3110" s="16" t="str">
        <f t="shared" si="6"/>
        <v/>
      </c>
      <c r="Q3110" s="41" t="e">
        <f t="shared" si="6048"/>
        <v>#N/A</v>
      </c>
      <c r="R3110" s="44"/>
      <c r="S3110" s="44"/>
      <c r="T3110" s="43"/>
      <c r="U3110" s="43" t="str">
        <f t="shared" si="8"/>
        <v>No</v>
      </c>
      <c r="V3110" s="25"/>
      <c r="W3110" s="25"/>
      <c r="X3110" s="25"/>
      <c r="Y3110" s="25"/>
      <c r="Z3110" s="25"/>
    </row>
    <row r="3111" spans="1:26" ht="15.75" customHeight="1" x14ac:dyDescent="0.25">
      <c r="A3111" s="25">
        <v>3109</v>
      </c>
      <c r="B3111" s="37" t="e">
        <f t="shared" ref="B3111:D3111" si="6263">VLOOKUP($A3111,[10]Mujer!$A$1:$O$279,B$1,0)</f>
        <v>#N/A</v>
      </c>
      <c r="C3111" s="38" t="e">
        <f t="shared" si="6263"/>
        <v>#N/A</v>
      </c>
      <c r="D3111" s="39" t="e">
        <f t="shared" si="6263"/>
        <v>#N/A</v>
      </c>
      <c r="E3111" s="16" t="e">
        <f t="shared" si="1"/>
        <v>#N/A</v>
      </c>
      <c r="F3111" s="16" t="e">
        <f t="shared" ref="F3111:K3111" si="6264">VLOOKUP($A3111,[10]Mujer!$A$1:$O$279,F$1,0)</f>
        <v>#N/A</v>
      </c>
      <c r="G3111" s="39" t="e">
        <f t="shared" si="6264"/>
        <v>#N/A</v>
      </c>
      <c r="H3111" s="16" t="e">
        <f t="shared" si="6264"/>
        <v>#N/A</v>
      </c>
      <c r="I3111" s="16" t="e">
        <f t="shared" si="6264"/>
        <v>#N/A</v>
      </c>
      <c r="J3111" s="40" t="e">
        <f t="shared" si="6264"/>
        <v>#N/A</v>
      </c>
      <c r="K3111" s="16" t="e">
        <f t="shared" si="6264"/>
        <v>#N/A</v>
      </c>
      <c r="L3111" s="40" t="e">
        <f t="shared" si="6045"/>
        <v>#N/A</v>
      </c>
      <c r="M3111" s="16" t="e">
        <f t="shared" si="6046"/>
        <v>#N/A</v>
      </c>
      <c r="N3111" s="16" t="e">
        <f t="shared" si="6047"/>
        <v>#N/A</v>
      </c>
      <c r="O3111" s="16" t="s">
        <v>74</v>
      </c>
      <c r="P3111" s="16" t="str">
        <f t="shared" si="6"/>
        <v/>
      </c>
      <c r="Q3111" s="41" t="e">
        <f t="shared" si="6048"/>
        <v>#N/A</v>
      </c>
      <c r="R3111" s="44"/>
      <c r="S3111" s="44"/>
      <c r="T3111" s="43"/>
      <c r="U3111" s="43" t="str">
        <f t="shared" si="8"/>
        <v>No</v>
      </c>
      <c r="V3111" s="25"/>
      <c r="W3111" s="25"/>
      <c r="X3111" s="25"/>
      <c r="Y3111" s="25"/>
      <c r="Z3111" s="25"/>
    </row>
    <row r="3112" spans="1:26" ht="15.75" customHeight="1" x14ac:dyDescent="0.25">
      <c r="A3112" s="25">
        <v>3110</v>
      </c>
      <c r="B3112" s="37" t="e">
        <f t="shared" ref="B3112:D3112" si="6265">VLOOKUP($A3112,[10]Mujer!$A$1:$O$279,B$1,0)</f>
        <v>#N/A</v>
      </c>
      <c r="C3112" s="38" t="e">
        <f t="shared" si="6265"/>
        <v>#N/A</v>
      </c>
      <c r="D3112" s="39" t="e">
        <f t="shared" si="6265"/>
        <v>#N/A</v>
      </c>
      <c r="E3112" s="16" t="e">
        <f t="shared" si="1"/>
        <v>#N/A</v>
      </c>
      <c r="F3112" s="16" t="e">
        <f t="shared" ref="F3112:K3112" si="6266">VLOOKUP($A3112,[10]Mujer!$A$1:$O$279,F$1,0)</f>
        <v>#N/A</v>
      </c>
      <c r="G3112" s="39" t="e">
        <f t="shared" si="6266"/>
        <v>#N/A</v>
      </c>
      <c r="H3112" s="16" t="e">
        <f t="shared" si="6266"/>
        <v>#N/A</v>
      </c>
      <c r="I3112" s="16" t="e">
        <f t="shared" si="6266"/>
        <v>#N/A</v>
      </c>
      <c r="J3112" s="40" t="e">
        <f t="shared" si="6266"/>
        <v>#N/A</v>
      </c>
      <c r="K3112" s="16" t="e">
        <f t="shared" si="6266"/>
        <v>#N/A</v>
      </c>
      <c r="L3112" s="40" t="e">
        <f t="shared" si="6045"/>
        <v>#N/A</v>
      </c>
      <c r="M3112" s="16" t="e">
        <f t="shared" si="6046"/>
        <v>#N/A</v>
      </c>
      <c r="N3112" s="16" t="e">
        <f t="shared" si="6047"/>
        <v>#N/A</v>
      </c>
      <c r="O3112" s="16" t="s">
        <v>74</v>
      </c>
      <c r="P3112" s="16" t="str">
        <f t="shared" si="6"/>
        <v/>
      </c>
      <c r="Q3112" s="41" t="e">
        <f t="shared" si="6048"/>
        <v>#N/A</v>
      </c>
      <c r="R3112" s="44"/>
      <c r="S3112" s="44"/>
      <c r="T3112" s="43"/>
      <c r="U3112" s="43" t="str">
        <f t="shared" si="8"/>
        <v>No</v>
      </c>
      <c r="V3112" s="25"/>
      <c r="W3112" s="25"/>
      <c r="X3112" s="25"/>
      <c r="Y3112" s="25"/>
      <c r="Z3112" s="25"/>
    </row>
    <row r="3113" spans="1:26" ht="15.75" customHeight="1" x14ac:dyDescent="0.25">
      <c r="A3113" s="25">
        <v>3111</v>
      </c>
      <c r="B3113" s="37" t="e">
        <f t="shared" ref="B3113:D3113" si="6267">VLOOKUP($A3113,[10]Mujer!$A$1:$O$279,B$1,0)</f>
        <v>#N/A</v>
      </c>
      <c r="C3113" s="38" t="e">
        <f t="shared" si="6267"/>
        <v>#N/A</v>
      </c>
      <c r="D3113" s="39" t="e">
        <f t="shared" si="6267"/>
        <v>#N/A</v>
      </c>
      <c r="E3113" s="16" t="e">
        <f t="shared" si="1"/>
        <v>#N/A</v>
      </c>
      <c r="F3113" s="16" t="e">
        <f t="shared" ref="F3113:K3113" si="6268">VLOOKUP($A3113,[10]Mujer!$A$1:$O$279,F$1,0)</f>
        <v>#N/A</v>
      </c>
      <c r="G3113" s="39" t="e">
        <f t="shared" si="6268"/>
        <v>#N/A</v>
      </c>
      <c r="H3113" s="16" t="e">
        <f t="shared" si="6268"/>
        <v>#N/A</v>
      </c>
      <c r="I3113" s="16" t="e">
        <f t="shared" si="6268"/>
        <v>#N/A</v>
      </c>
      <c r="J3113" s="40" t="e">
        <f t="shared" si="6268"/>
        <v>#N/A</v>
      </c>
      <c r="K3113" s="16" t="e">
        <f t="shared" si="6268"/>
        <v>#N/A</v>
      </c>
      <c r="L3113" s="40" t="e">
        <f t="shared" si="6045"/>
        <v>#N/A</v>
      </c>
      <c r="M3113" s="16" t="e">
        <f t="shared" si="6046"/>
        <v>#N/A</v>
      </c>
      <c r="N3113" s="16" t="e">
        <f t="shared" si="6047"/>
        <v>#N/A</v>
      </c>
      <c r="O3113" s="16" t="s">
        <v>74</v>
      </c>
      <c r="P3113" s="16" t="str">
        <f t="shared" si="6"/>
        <v/>
      </c>
      <c r="Q3113" s="41" t="e">
        <f t="shared" si="6048"/>
        <v>#N/A</v>
      </c>
      <c r="R3113" s="44"/>
      <c r="S3113" s="44"/>
      <c r="T3113" s="43"/>
      <c r="U3113" s="43" t="str">
        <f t="shared" si="8"/>
        <v>No</v>
      </c>
      <c r="V3113" s="25"/>
      <c r="W3113" s="25"/>
      <c r="X3113" s="25"/>
      <c r="Y3113" s="25"/>
      <c r="Z3113" s="25"/>
    </row>
    <row r="3114" spans="1:26" ht="15.75" customHeight="1" x14ac:dyDescent="0.25">
      <c r="A3114" s="25">
        <v>3112</v>
      </c>
      <c r="B3114" s="37" t="e">
        <f t="shared" ref="B3114:D3114" si="6269">VLOOKUP($A3114,[10]Mujer!$A$1:$O$279,B$1,0)</f>
        <v>#N/A</v>
      </c>
      <c r="C3114" s="38" t="e">
        <f t="shared" si="6269"/>
        <v>#N/A</v>
      </c>
      <c r="D3114" s="39" t="e">
        <f t="shared" si="6269"/>
        <v>#N/A</v>
      </c>
      <c r="E3114" s="16" t="e">
        <f t="shared" si="1"/>
        <v>#N/A</v>
      </c>
      <c r="F3114" s="16" t="e">
        <f t="shared" ref="F3114:K3114" si="6270">VLOOKUP($A3114,[10]Mujer!$A$1:$O$279,F$1,0)</f>
        <v>#N/A</v>
      </c>
      <c r="G3114" s="39" t="e">
        <f t="shared" si="6270"/>
        <v>#N/A</v>
      </c>
      <c r="H3114" s="16" t="e">
        <f t="shared" si="6270"/>
        <v>#N/A</v>
      </c>
      <c r="I3114" s="16" t="e">
        <f t="shared" si="6270"/>
        <v>#N/A</v>
      </c>
      <c r="J3114" s="40" t="e">
        <f t="shared" si="6270"/>
        <v>#N/A</v>
      </c>
      <c r="K3114" s="16" t="e">
        <f t="shared" si="6270"/>
        <v>#N/A</v>
      </c>
      <c r="L3114" s="40" t="e">
        <f t="shared" si="6045"/>
        <v>#N/A</v>
      </c>
      <c r="M3114" s="16" t="e">
        <f t="shared" si="6046"/>
        <v>#N/A</v>
      </c>
      <c r="N3114" s="16" t="e">
        <f t="shared" si="6047"/>
        <v>#N/A</v>
      </c>
      <c r="O3114" s="16" t="s">
        <v>74</v>
      </c>
      <c r="P3114" s="16" t="str">
        <f t="shared" si="6"/>
        <v/>
      </c>
      <c r="Q3114" s="41" t="e">
        <f t="shared" si="6048"/>
        <v>#N/A</v>
      </c>
      <c r="R3114" s="44"/>
      <c r="S3114" s="44"/>
      <c r="T3114" s="43"/>
      <c r="U3114" s="43" t="str">
        <f t="shared" si="8"/>
        <v>No</v>
      </c>
      <c r="V3114" s="25"/>
      <c r="W3114" s="25"/>
      <c r="X3114" s="25"/>
      <c r="Y3114" s="25"/>
      <c r="Z3114" s="25"/>
    </row>
    <row r="3115" spans="1:26" ht="15.75" customHeight="1" x14ac:dyDescent="0.25">
      <c r="A3115" s="25">
        <v>3113</v>
      </c>
      <c r="B3115" s="37" t="e">
        <f t="shared" ref="B3115:D3115" si="6271">VLOOKUP($A3115,[10]Mujer!$A$1:$O$279,B$1,0)</f>
        <v>#N/A</v>
      </c>
      <c r="C3115" s="38" t="e">
        <f t="shared" si="6271"/>
        <v>#N/A</v>
      </c>
      <c r="D3115" s="39" t="e">
        <f t="shared" si="6271"/>
        <v>#N/A</v>
      </c>
      <c r="E3115" s="16" t="e">
        <f t="shared" si="1"/>
        <v>#N/A</v>
      </c>
      <c r="F3115" s="16" t="e">
        <f t="shared" ref="F3115:K3115" si="6272">VLOOKUP($A3115,[10]Mujer!$A$1:$O$279,F$1,0)</f>
        <v>#N/A</v>
      </c>
      <c r="G3115" s="39" t="e">
        <f t="shared" si="6272"/>
        <v>#N/A</v>
      </c>
      <c r="H3115" s="16" t="e">
        <f t="shared" si="6272"/>
        <v>#N/A</v>
      </c>
      <c r="I3115" s="16" t="e">
        <f t="shared" si="6272"/>
        <v>#N/A</v>
      </c>
      <c r="J3115" s="40" t="e">
        <f t="shared" si="6272"/>
        <v>#N/A</v>
      </c>
      <c r="K3115" s="16" t="e">
        <f t="shared" si="6272"/>
        <v>#N/A</v>
      </c>
      <c r="L3115" s="40" t="e">
        <f t="shared" si="6045"/>
        <v>#N/A</v>
      </c>
      <c r="M3115" s="16" t="e">
        <f t="shared" si="6046"/>
        <v>#N/A</v>
      </c>
      <c r="N3115" s="16" t="e">
        <f t="shared" si="6047"/>
        <v>#N/A</v>
      </c>
      <c r="O3115" s="16" t="s">
        <v>74</v>
      </c>
      <c r="P3115" s="16" t="str">
        <f t="shared" si="6"/>
        <v/>
      </c>
      <c r="Q3115" s="41" t="e">
        <f t="shared" si="6048"/>
        <v>#N/A</v>
      </c>
      <c r="R3115" s="44"/>
      <c r="S3115" s="44"/>
      <c r="T3115" s="43"/>
      <c r="U3115" s="43" t="str">
        <f t="shared" si="8"/>
        <v>No</v>
      </c>
      <c r="V3115" s="25"/>
      <c r="W3115" s="25"/>
      <c r="X3115" s="25"/>
      <c r="Y3115" s="25"/>
      <c r="Z3115" s="25"/>
    </row>
    <row r="3116" spans="1:26" ht="15.75" customHeight="1" x14ac:dyDescent="0.25">
      <c r="A3116" s="25">
        <v>3114</v>
      </c>
      <c r="B3116" s="37" t="e">
        <f t="shared" ref="B3116:D3116" si="6273">VLOOKUP($A3116,[10]Mujer!$A$1:$O$279,B$1,0)</f>
        <v>#N/A</v>
      </c>
      <c r="C3116" s="38" t="e">
        <f t="shared" si="6273"/>
        <v>#N/A</v>
      </c>
      <c r="D3116" s="39" t="e">
        <f t="shared" si="6273"/>
        <v>#N/A</v>
      </c>
      <c r="E3116" s="16" t="e">
        <f t="shared" si="1"/>
        <v>#N/A</v>
      </c>
      <c r="F3116" s="16" t="e">
        <f t="shared" ref="F3116:K3116" si="6274">VLOOKUP($A3116,[10]Mujer!$A$1:$O$279,F$1,0)</f>
        <v>#N/A</v>
      </c>
      <c r="G3116" s="39" t="e">
        <f t="shared" si="6274"/>
        <v>#N/A</v>
      </c>
      <c r="H3116" s="16" t="e">
        <f t="shared" si="6274"/>
        <v>#N/A</v>
      </c>
      <c r="I3116" s="16" t="e">
        <f t="shared" si="6274"/>
        <v>#N/A</v>
      </c>
      <c r="J3116" s="40" t="e">
        <f t="shared" si="6274"/>
        <v>#N/A</v>
      </c>
      <c r="K3116" s="16" t="e">
        <f t="shared" si="6274"/>
        <v>#N/A</v>
      </c>
      <c r="L3116" s="40" t="e">
        <f t="shared" si="6045"/>
        <v>#N/A</v>
      </c>
      <c r="M3116" s="16" t="e">
        <f t="shared" si="6046"/>
        <v>#N/A</v>
      </c>
      <c r="N3116" s="16" t="e">
        <f t="shared" si="6047"/>
        <v>#N/A</v>
      </c>
      <c r="O3116" s="16" t="s">
        <v>74</v>
      </c>
      <c r="P3116" s="16" t="str">
        <f t="shared" si="6"/>
        <v/>
      </c>
      <c r="Q3116" s="41" t="e">
        <f t="shared" si="6048"/>
        <v>#N/A</v>
      </c>
      <c r="R3116" s="44"/>
      <c r="S3116" s="44"/>
      <c r="T3116" s="43"/>
      <c r="U3116" s="43" t="str">
        <f t="shared" si="8"/>
        <v>No</v>
      </c>
      <c r="V3116" s="25"/>
      <c r="W3116" s="25"/>
      <c r="X3116" s="25"/>
      <c r="Y3116" s="25"/>
      <c r="Z3116" s="25"/>
    </row>
    <row r="3117" spans="1:26" ht="15.75" customHeight="1" x14ac:dyDescent="0.25">
      <c r="A3117" s="25">
        <v>3115</v>
      </c>
      <c r="B3117" s="37" t="e">
        <f t="shared" ref="B3117:D3117" si="6275">VLOOKUP($A3117,[10]Mujer!$A$1:$O$279,B$1,0)</f>
        <v>#N/A</v>
      </c>
      <c r="C3117" s="38" t="e">
        <f t="shared" si="6275"/>
        <v>#N/A</v>
      </c>
      <c r="D3117" s="39" t="e">
        <f t="shared" si="6275"/>
        <v>#N/A</v>
      </c>
      <c r="E3117" s="16" t="e">
        <f t="shared" si="1"/>
        <v>#N/A</v>
      </c>
      <c r="F3117" s="16" t="e">
        <f t="shared" ref="F3117:K3117" si="6276">VLOOKUP($A3117,[10]Mujer!$A$1:$O$279,F$1,0)</f>
        <v>#N/A</v>
      </c>
      <c r="G3117" s="39" t="e">
        <f t="shared" si="6276"/>
        <v>#N/A</v>
      </c>
      <c r="H3117" s="16" t="e">
        <f t="shared" si="6276"/>
        <v>#N/A</v>
      </c>
      <c r="I3117" s="16" t="e">
        <f t="shared" si="6276"/>
        <v>#N/A</v>
      </c>
      <c r="J3117" s="40" t="e">
        <f t="shared" si="6276"/>
        <v>#N/A</v>
      </c>
      <c r="K3117" s="16" t="e">
        <f t="shared" si="6276"/>
        <v>#N/A</v>
      </c>
      <c r="L3117" s="40" t="e">
        <f t="shared" si="6045"/>
        <v>#N/A</v>
      </c>
      <c r="M3117" s="16" t="e">
        <f t="shared" si="6046"/>
        <v>#N/A</v>
      </c>
      <c r="N3117" s="16" t="e">
        <f t="shared" si="6047"/>
        <v>#N/A</v>
      </c>
      <c r="O3117" s="16" t="s">
        <v>74</v>
      </c>
      <c r="P3117" s="16" t="str">
        <f t="shared" si="6"/>
        <v/>
      </c>
      <c r="Q3117" s="41" t="e">
        <f t="shared" si="6048"/>
        <v>#N/A</v>
      </c>
      <c r="R3117" s="44"/>
      <c r="S3117" s="44"/>
      <c r="T3117" s="43"/>
      <c r="U3117" s="43" t="str">
        <f t="shared" si="8"/>
        <v>No</v>
      </c>
      <c r="V3117" s="25"/>
      <c r="W3117" s="25"/>
      <c r="X3117" s="25"/>
      <c r="Y3117" s="25"/>
      <c r="Z3117" s="25"/>
    </row>
    <row r="3118" spans="1:26" ht="15.75" customHeight="1" x14ac:dyDescent="0.25">
      <c r="A3118" s="25">
        <v>3116</v>
      </c>
      <c r="B3118" s="37" t="e">
        <f t="shared" ref="B3118:D3118" si="6277">VLOOKUP($A3118,[10]Mujer!$A$1:$O$279,B$1,0)</f>
        <v>#N/A</v>
      </c>
      <c r="C3118" s="38" t="e">
        <f t="shared" si="6277"/>
        <v>#N/A</v>
      </c>
      <c r="D3118" s="39" t="e">
        <f t="shared" si="6277"/>
        <v>#N/A</v>
      </c>
      <c r="E3118" s="16" t="e">
        <f t="shared" si="1"/>
        <v>#N/A</v>
      </c>
      <c r="F3118" s="16" t="e">
        <f t="shared" ref="F3118:K3118" si="6278">VLOOKUP($A3118,[10]Mujer!$A$1:$O$279,F$1,0)</f>
        <v>#N/A</v>
      </c>
      <c r="G3118" s="39" t="e">
        <f t="shared" si="6278"/>
        <v>#N/A</v>
      </c>
      <c r="H3118" s="16" t="e">
        <f t="shared" si="6278"/>
        <v>#N/A</v>
      </c>
      <c r="I3118" s="16" t="e">
        <f t="shared" si="6278"/>
        <v>#N/A</v>
      </c>
      <c r="J3118" s="40" t="e">
        <f t="shared" si="6278"/>
        <v>#N/A</v>
      </c>
      <c r="K3118" s="16" t="e">
        <f t="shared" si="6278"/>
        <v>#N/A</v>
      </c>
      <c r="L3118" s="40" t="e">
        <f t="shared" si="6045"/>
        <v>#N/A</v>
      </c>
      <c r="M3118" s="16" t="e">
        <f t="shared" si="6046"/>
        <v>#N/A</v>
      </c>
      <c r="N3118" s="16" t="e">
        <f t="shared" si="6047"/>
        <v>#N/A</v>
      </c>
      <c r="O3118" s="16" t="s">
        <v>74</v>
      </c>
      <c r="P3118" s="16" t="str">
        <f t="shared" si="6"/>
        <v/>
      </c>
      <c r="Q3118" s="41" t="e">
        <f t="shared" si="6048"/>
        <v>#N/A</v>
      </c>
      <c r="R3118" s="44"/>
      <c r="S3118" s="44"/>
      <c r="T3118" s="43"/>
      <c r="U3118" s="43" t="str">
        <f t="shared" si="8"/>
        <v>No</v>
      </c>
      <c r="V3118" s="25"/>
      <c r="W3118" s="25"/>
      <c r="X3118" s="25"/>
      <c r="Y3118" s="25"/>
      <c r="Z3118" s="25"/>
    </row>
    <row r="3119" spans="1:26" ht="15.75" customHeight="1" x14ac:dyDescent="0.25">
      <c r="A3119" s="25">
        <v>3117</v>
      </c>
      <c r="B3119" s="37" t="e">
        <f t="shared" ref="B3119:D3119" si="6279">VLOOKUP($A3119,[10]Mujer!$A$1:$O$279,B$1,0)</f>
        <v>#N/A</v>
      </c>
      <c r="C3119" s="38" t="e">
        <f t="shared" si="6279"/>
        <v>#N/A</v>
      </c>
      <c r="D3119" s="39" t="e">
        <f t="shared" si="6279"/>
        <v>#N/A</v>
      </c>
      <c r="E3119" s="16" t="e">
        <f t="shared" si="1"/>
        <v>#N/A</v>
      </c>
      <c r="F3119" s="16" t="e">
        <f t="shared" ref="F3119:K3119" si="6280">VLOOKUP($A3119,[10]Mujer!$A$1:$O$279,F$1,0)</f>
        <v>#N/A</v>
      </c>
      <c r="G3119" s="39" t="e">
        <f t="shared" si="6280"/>
        <v>#N/A</v>
      </c>
      <c r="H3119" s="16" t="e">
        <f t="shared" si="6280"/>
        <v>#N/A</v>
      </c>
      <c r="I3119" s="16" t="e">
        <f t="shared" si="6280"/>
        <v>#N/A</v>
      </c>
      <c r="J3119" s="40" t="e">
        <f t="shared" si="6280"/>
        <v>#N/A</v>
      </c>
      <c r="K3119" s="16" t="e">
        <f t="shared" si="6280"/>
        <v>#N/A</v>
      </c>
      <c r="L3119" s="40" t="e">
        <f t="shared" si="6045"/>
        <v>#N/A</v>
      </c>
      <c r="M3119" s="16" t="e">
        <f t="shared" si="6046"/>
        <v>#N/A</v>
      </c>
      <c r="N3119" s="16" t="e">
        <f t="shared" si="6047"/>
        <v>#N/A</v>
      </c>
      <c r="O3119" s="16" t="s">
        <v>74</v>
      </c>
      <c r="P3119" s="16" t="str">
        <f t="shared" si="6"/>
        <v/>
      </c>
      <c r="Q3119" s="41" t="e">
        <f t="shared" si="6048"/>
        <v>#N/A</v>
      </c>
      <c r="R3119" s="44"/>
      <c r="S3119" s="44"/>
      <c r="T3119" s="43"/>
      <c r="U3119" s="43" t="str">
        <f t="shared" si="8"/>
        <v>No</v>
      </c>
      <c r="V3119" s="25"/>
      <c r="W3119" s="25"/>
      <c r="X3119" s="25"/>
      <c r="Y3119" s="25"/>
      <c r="Z3119" s="25"/>
    </row>
    <row r="3120" spans="1:26" ht="15.75" customHeight="1" x14ac:dyDescent="0.25">
      <c r="A3120" s="25">
        <v>3118</v>
      </c>
      <c r="B3120" s="37" t="e">
        <f t="shared" ref="B3120:D3120" si="6281">VLOOKUP($A3120,[10]Mujer!$A$1:$O$279,B$1,0)</f>
        <v>#N/A</v>
      </c>
      <c r="C3120" s="38" t="e">
        <f t="shared" si="6281"/>
        <v>#N/A</v>
      </c>
      <c r="D3120" s="39" t="e">
        <f t="shared" si="6281"/>
        <v>#N/A</v>
      </c>
      <c r="E3120" s="16" t="e">
        <f t="shared" si="1"/>
        <v>#N/A</v>
      </c>
      <c r="F3120" s="16" t="e">
        <f t="shared" ref="F3120:K3120" si="6282">VLOOKUP($A3120,[10]Mujer!$A$1:$O$279,F$1,0)</f>
        <v>#N/A</v>
      </c>
      <c r="G3120" s="39" t="e">
        <f t="shared" si="6282"/>
        <v>#N/A</v>
      </c>
      <c r="H3120" s="16" t="e">
        <f t="shared" si="6282"/>
        <v>#N/A</v>
      </c>
      <c r="I3120" s="16" t="e">
        <f t="shared" si="6282"/>
        <v>#N/A</v>
      </c>
      <c r="J3120" s="40" t="e">
        <f t="shared" si="6282"/>
        <v>#N/A</v>
      </c>
      <c r="K3120" s="16" t="e">
        <f t="shared" si="6282"/>
        <v>#N/A</v>
      </c>
      <c r="L3120" s="40" t="e">
        <f t="shared" si="6045"/>
        <v>#N/A</v>
      </c>
      <c r="M3120" s="16" t="e">
        <f t="shared" si="6046"/>
        <v>#N/A</v>
      </c>
      <c r="N3120" s="16" t="e">
        <f t="shared" si="6047"/>
        <v>#N/A</v>
      </c>
      <c r="O3120" s="16" t="s">
        <v>74</v>
      </c>
      <c r="P3120" s="16" t="str">
        <f t="shared" si="6"/>
        <v/>
      </c>
      <c r="Q3120" s="41" t="e">
        <f t="shared" si="6048"/>
        <v>#N/A</v>
      </c>
      <c r="R3120" s="44"/>
      <c r="S3120" s="44"/>
      <c r="T3120" s="43"/>
      <c r="U3120" s="43" t="str">
        <f t="shared" si="8"/>
        <v>No</v>
      </c>
      <c r="V3120" s="25"/>
      <c r="W3120" s="25"/>
      <c r="X3120" s="25"/>
      <c r="Y3120" s="25"/>
      <c r="Z3120" s="25"/>
    </row>
    <row r="3121" spans="1:26" ht="15.75" customHeight="1" x14ac:dyDescent="0.25">
      <c r="A3121" s="25">
        <v>3119</v>
      </c>
      <c r="B3121" s="37" t="e">
        <f t="shared" ref="B3121:D3121" si="6283">VLOOKUP($A3121,[10]Mujer!$A$1:$O$279,B$1,0)</f>
        <v>#N/A</v>
      </c>
      <c r="C3121" s="38" t="e">
        <f t="shared" si="6283"/>
        <v>#N/A</v>
      </c>
      <c r="D3121" s="39" t="e">
        <f t="shared" si="6283"/>
        <v>#N/A</v>
      </c>
      <c r="E3121" s="16" t="e">
        <f t="shared" si="1"/>
        <v>#N/A</v>
      </c>
      <c r="F3121" s="16" t="e">
        <f t="shared" ref="F3121:K3121" si="6284">VLOOKUP($A3121,[10]Mujer!$A$1:$O$279,F$1,0)</f>
        <v>#N/A</v>
      </c>
      <c r="G3121" s="39" t="e">
        <f t="shared" si="6284"/>
        <v>#N/A</v>
      </c>
      <c r="H3121" s="16" t="e">
        <f t="shared" si="6284"/>
        <v>#N/A</v>
      </c>
      <c r="I3121" s="16" t="e">
        <f t="shared" si="6284"/>
        <v>#N/A</v>
      </c>
      <c r="J3121" s="40" t="e">
        <f t="shared" si="6284"/>
        <v>#N/A</v>
      </c>
      <c r="K3121" s="16" t="e">
        <f t="shared" si="6284"/>
        <v>#N/A</v>
      </c>
      <c r="L3121" s="40" t="e">
        <f t="shared" si="6045"/>
        <v>#N/A</v>
      </c>
      <c r="M3121" s="16" t="e">
        <f t="shared" si="6046"/>
        <v>#N/A</v>
      </c>
      <c r="N3121" s="16" t="e">
        <f t="shared" si="6047"/>
        <v>#N/A</v>
      </c>
      <c r="O3121" s="16" t="s">
        <v>74</v>
      </c>
      <c r="P3121" s="16" t="str">
        <f t="shared" si="6"/>
        <v/>
      </c>
      <c r="Q3121" s="41" t="e">
        <f t="shared" si="6048"/>
        <v>#N/A</v>
      </c>
      <c r="R3121" s="44"/>
      <c r="S3121" s="44"/>
      <c r="T3121" s="43"/>
      <c r="U3121" s="43" t="str">
        <f t="shared" si="8"/>
        <v>No</v>
      </c>
      <c r="V3121" s="25"/>
      <c r="W3121" s="25"/>
      <c r="X3121" s="25"/>
      <c r="Y3121" s="25"/>
      <c r="Z3121" s="25"/>
    </row>
    <row r="3122" spans="1:26" ht="15.75" customHeight="1" x14ac:dyDescent="0.25">
      <c r="A3122" s="25">
        <v>3120</v>
      </c>
      <c r="B3122" s="37" t="e">
        <f t="shared" ref="B3122:D3122" si="6285">VLOOKUP($A3122,[10]Mujer!$A$1:$O$279,B$1,0)</f>
        <v>#N/A</v>
      </c>
      <c r="C3122" s="38" t="e">
        <f t="shared" si="6285"/>
        <v>#N/A</v>
      </c>
      <c r="D3122" s="39" t="e">
        <f t="shared" si="6285"/>
        <v>#N/A</v>
      </c>
      <c r="E3122" s="16" t="e">
        <f t="shared" si="1"/>
        <v>#N/A</v>
      </c>
      <c r="F3122" s="16" t="e">
        <f t="shared" ref="F3122:K3122" si="6286">VLOOKUP($A3122,[10]Mujer!$A$1:$O$279,F$1,0)</f>
        <v>#N/A</v>
      </c>
      <c r="G3122" s="39" t="e">
        <f t="shared" si="6286"/>
        <v>#N/A</v>
      </c>
      <c r="H3122" s="16" t="e">
        <f t="shared" si="6286"/>
        <v>#N/A</v>
      </c>
      <c r="I3122" s="16" t="e">
        <f t="shared" si="6286"/>
        <v>#N/A</v>
      </c>
      <c r="J3122" s="40" t="e">
        <f t="shared" si="6286"/>
        <v>#N/A</v>
      </c>
      <c r="K3122" s="16" t="e">
        <f t="shared" si="6286"/>
        <v>#N/A</v>
      </c>
      <c r="L3122" s="40" t="e">
        <f t="shared" si="6045"/>
        <v>#N/A</v>
      </c>
      <c r="M3122" s="16" t="e">
        <f t="shared" si="6046"/>
        <v>#N/A</v>
      </c>
      <c r="N3122" s="16" t="e">
        <f t="shared" si="6047"/>
        <v>#N/A</v>
      </c>
      <c r="O3122" s="16" t="s">
        <v>74</v>
      </c>
      <c r="P3122" s="16" t="str">
        <f t="shared" si="6"/>
        <v/>
      </c>
      <c r="Q3122" s="41" t="e">
        <f t="shared" si="6048"/>
        <v>#N/A</v>
      </c>
      <c r="R3122" s="44"/>
      <c r="S3122" s="44"/>
      <c r="T3122" s="43"/>
      <c r="U3122" s="43" t="str">
        <f t="shared" si="8"/>
        <v>No</v>
      </c>
      <c r="V3122" s="25"/>
      <c r="W3122" s="25"/>
      <c r="X3122" s="25"/>
      <c r="Y3122" s="25"/>
      <c r="Z3122" s="25"/>
    </row>
    <row r="3123" spans="1:26" ht="15.75" customHeight="1" x14ac:dyDescent="0.25">
      <c r="A3123" s="25">
        <v>3121</v>
      </c>
      <c r="B3123" s="37" t="e">
        <f t="shared" ref="B3123:D3123" si="6287">VLOOKUP($A3123,[10]Mujer!$A$1:$O$279,B$1,0)</f>
        <v>#N/A</v>
      </c>
      <c r="C3123" s="38" t="e">
        <f t="shared" si="6287"/>
        <v>#N/A</v>
      </c>
      <c r="D3123" s="39" t="e">
        <f t="shared" si="6287"/>
        <v>#N/A</v>
      </c>
      <c r="E3123" s="16" t="e">
        <f t="shared" si="1"/>
        <v>#N/A</v>
      </c>
      <c r="F3123" s="16" t="e">
        <f t="shared" ref="F3123:K3123" si="6288">VLOOKUP($A3123,[10]Mujer!$A$1:$O$279,F$1,0)</f>
        <v>#N/A</v>
      </c>
      <c r="G3123" s="39" t="e">
        <f t="shared" si="6288"/>
        <v>#N/A</v>
      </c>
      <c r="H3123" s="16" t="e">
        <f t="shared" si="6288"/>
        <v>#N/A</v>
      </c>
      <c r="I3123" s="16" t="e">
        <f t="shared" si="6288"/>
        <v>#N/A</v>
      </c>
      <c r="J3123" s="40" t="e">
        <f t="shared" si="6288"/>
        <v>#N/A</v>
      </c>
      <c r="K3123" s="16" t="e">
        <f t="shared" si="6288"/>
        <v>#N/A</v>
      </c>
      <c r="L3123" s="40" t="e">
        <f t="shared" si="6045"/>
        <v>#N/A</v>
      </c>
      <c r="M3123" s="16" t="e">
        <f t="shared" si="6046"/>
        <v>#N/A</v>
      </c>
      <c r="N3123" s="16" t="e">
        <f t="shared" si="6047"/>
        <v>#N/A</v>
      </c>
      <c r="O3123" s="16" t="s">
        <v>74</v>
      </c>
      <c r="P3123" s="16" t="str">
        <f t="shared" si="6"/>
        <v/>
      </c>
      <c r="Q3123" s="41" t="e">
        <f t="shared" si="6048"/>
        <v>#N/A</v>
      </c>
      <c r="R3123" s="44"/>
      <c r="S3123" s="44"/>
      <c r="T3123" s="43"/>
      <c r="U3123" s="43" t="str">
        <f t="shared" si="8"/>
        <v>No</v>
      </c>
      <c r="V3123" s="25"/>
      <c r="W3123" s="25"/>
      <c r="X3123" s="25"/>
      <c r="Y3123" s="25"/>
      <c r="Z3123" s="25"/>
    </row>
    <row r="3124" spans="1:26" ht="15.75" customHeight="1" x14ac:dyDescent="0.25">
      <c r="A3124" s="25">
        <v>3122</v>
      </c>
      <c r="B3124" s="37" t="e">
        <f t="shared" ref="B3124:D3124" si="6289">VLOOKUP($A3124,[10]Mujer!$A$1:$O$279,B$1,0)</f>
        <v>#N/A</v>
      </c>
      <c r="C3124" s="38" t="e">
        <f t="shared" si="6289"/>
        <v>#N/A</v>
      </c>
      <c r="D3124" s="39" t="e">
        <f t="shared" si="6289"/>
        <v>#N/A</v>
      </c>
      <c r="E3124" s="16" t="e">
        <f t="shared" si="1"/>
        <v>#N/A</v>
      </c>
      <c r="F3124" s="16" t="e">
        <f t="shared" ref="F3124:K3124" si="6290">VLOOKUP($A3124,[10]Mujer!$A$1:$O$279,F$1,0)</f>
        <v>#N/A</v>
      </c>
      <c r="G3124" s="39" t="e">
        <f t="shared" si="6290"/>
        <v>#N/A</v>
      </c>
      <c r="H3124" s="16" t="e">
        <f t="shared" si="6290"/>
        <v>#N/A</v>
      </c>
      <c r="I3124" s="16" t="e">
        <f t="shared" si="6290"/>
        <v>#N/A</v>
      </c>
      <c r="J3124" s="40" t="e">
        <f t="shared" si="6290"/>
        <v>#N/A</v>
      </c>
      <c r="K3124" s="16" t="e">
        <f t="shared" si="6290"/>
        <v>#N/A</v>
      </c>
      <c r="L3124" s="40" t="e">
        <f t="shared" si="6045"/>
        <v>#N/A</v>
      </c>
      <c r="M3124" s="16" t="e">
        <f t="shared" si="6046"/>
        <v>#N/A</v>
      </c>
      <c r="N3124" s="16" t="e">
        <f t="shared" si="6047"/>
        <v>#N/A</v>
      </c>
      <c r="O3124" s="16" t="s">
        <v>74</v>
      </c>
      <c r="P3124" s="16" t="str">
        <f t="shared" si="6"/>
        <v/>
      </c>
      <c r="Q3124" s="41" t="e">
        <f t="shared" si="6048"/>
        <v>#N/A</v>
      </c>
      <c r="R3124" s="44"/>
      <c r="S3124" s="44"/>
      <c r="T3124" s="43"/>
      <c r="U3124" s="43" t="str">
        <f t="shared" si="8"/>
        <v>No</v>
      </c>
      <c r="V3124" s="25"/>
      <c r="W3124" s="25"/>
      <c r="X3124" s="25"/>
      <c r="Y3124" s="25"/>
      <c r="Z3124" s="25"/>
    </row>
    <row r="3125" spans="1:26" ht="15.75" customHeight="1" x14ac:dyDescent="0.25">
      <c r="A3125" s="25">
        <v>3123</v>
      </c>
      <c r="B3125" s="37" t="e">
        <f t="shared" ref="B3125:D3125" si="6291">VLOOKUP($A3125,[10]Mujer!$A$1:$O$279,B$1,0)</f>
        <v>#N/A</v>
      </c>
      <c r="C3125" s="38" t="e">
        <f t="shared" si="6291"/>
        <v>#N/A</v>
      </c>
      <c r="D3125" s="39" t="e">
        <f t="shared" si="6291"/>
        <v>#N/A</v>
      </c>
      <c r="E3125" s="16" t="e">
        <f t="shared" si="1"/>
        <v>#N/A</v>
      </c>
      <c r="F3125" s="16" t="e">
        <f t="shared" ref="F3125:K3125" si="6292">VLOOKUP($A3125,[10]Mujer!$A$1:$O$279,F$1,0)</f>
        <v>#N/A</v>
      </c>
      <c r="G3125" s="39" t="e">
        <f t="shared" si="6292"/>
        <v>#N/A</v>
      </c>
      <c r="H3125" s="16" t="e">
        <f t="shared" si="6292"/>
        <v>#N/A</v>
      </c>
      <c r="I3125" s="16" t="e">
        <f t="shared" si="6292"/>
        <v>#N/A</v>
      </c>
      <c r="J3125" s="40" t="e">
        <f t="shared" si="6292"/>
        <v>#N/A</v>
      </c>
      <c r="K3125" s="16" t="e">
        <f t="shared" si="6292"/>
        <v>#N/A</v>
      </c>
      <c r="L3125" s="40" t="e">
        <f t="shared" si="6045"/>
        <v>#N/A</v>
      </c>
      <c r="M3125" s="16" t="e">
        <f t="shared" si="6046"/>
        <v>#N/A</v>
      </c>
      <c r="N3125" s="16" t="e">
        <f t="shared" si="6047"/>
        <v>#N/A</v>
      </c>
      <c r="O3125" s="16" t="s">
        <v>74</v>
      </c>
      <c r="P3125" s="16" t="str">
        <f t="shared" si="6"/>
        <v/>
      </c>
      <c r="Q3125" s="41" t="e">
        <f t="shared" si="6048"/>
        <v>#N/A</v>
      </c>
      <c r="R3125" s="44"/>
      <c r="S3125" s="44"/>
      <c r="T3125" s="43"/>
      <c r="U3125" s="43" t="str">
        <f t="shared" si="8"/>
        <v>No</v>
      </c>
      <c r="V3125" s="25"/>
      <c r="W3125" s="25"/>
      <c r="X3125" s="25"/>
      <c r="Y3125" s="25"/>
      <c r="Z3125" s="25"/>
    </row>
    <row r="3126" spans="1:26" ht="15.75" customHeight="1" x14ac:dyDescent="0.25">
      <c r="A3126" s="25">
        <v>3124</v>
      </c>
      <c r="B3126" s="37" t="e">
        <f t="shared" ref="B3126:D3126" si="6293">VLOOKUP($A3126,[10]Mujer!$A$1:$O$279,B$1,0)</f>
        <v>#N/A</v>
      </c>
      <c r="C3126" s="38" t="e">
        <f t="shared" si="6293"/>
        <v>#N/A</v>
      </c>
      <c r="D3126" s="39" t="e">
        <f t="shared" si="6293"/>
        <v>#N/A</v>
      </c>
      <c r="E3126" s="16" t="e">
        <f t="shared" si="1"/>
        <v>#N/A</v>
      </c>
      <c r="F3126" s="16" t="e">
        <f t="shared" ref="F3126:K3126" si="6294">VLOOKUP($A3126,[10]Mujer!$A$1:$O$279,F$1,0)</f>
        <v>#N/A</v>
      </c>
      <c r="G3126" s="39" t="e">
        <f t="shared" si="6294"/>
        <v>#N/A</v>
      </c>
      <c r="H3126" s="16" t="e">
        <f t="shared" si="6294"/>
        <v>#N/A</v>
      </c>
      <c r="I3126" s="16" t="e">
        <f t="shared" si="6294"/>
        <v>#N/A</v>
      </c>
      <c r="J3126" s="40" t="e">
        <f t="shared" si="6294"/>
        <v>#N/A</v>
      </c>
      <c r="K3126" s="16" t="e">
        <f t="shared" si="6294"/>
        <v>#N/A</v>
      </c>
      <c r="L3126" s="40" t="e">
        <f t="shared" si="6045"/>
        <v>#N/A</v>
      </c>
      <c r="M3126" s="16" t="e">
        <f t="shared" si="6046"/>
        <v>#N/A</v>
      </c>
      <c r="N3126" s="16" t="e">
        <f t="shared" si="6047"/>
        <v>#N/A</v>
      </c>
      <c r="O3126" s="16" t="s">
        <v>74</v>
      </c>
      <c r="P3126" s="16" t="str">
        <f t="shared" si="6"/>
        <v/>
      </c>
      <c r="Q3126" s="41" t="e">
        <f t="shared" si="6048"/>
        <v>#N/A</v>
      </c>
      <c r="R3126" s="44"/>
      <c r="S3126" s="44"/>
      <c r="T3126" s="43"/>
      <c r="U3126" s="43" t="str">
        <f t="shared" si="8"/>
        <v>No</v>
      </c>
      <c r="V3126" s="25"/>
      <c r="W3126" s="25"/>
      <c r="X3126" s="25"/>
      <c r="Y3126" s="25"/>
      <c r="Z3126" s="25"/>
    </row>
    <row r="3127" spans="1:26" ht="15.75" customHeight="1" x14ac:dyDescent="0.25">
      <c r="A3127" s="25">
        <v>3125</v>
      </c>
      <c r="B3127" s="37" t="e">
        <f t="shared" ref="B3127:D3127" si="6295">VLOOKUP($A3127,[10]Mujer!$A$1:$O$279,B$1,0)</f>
        <v>#N/A</v>
      </c>
      <c r="C3127" s="38" t="e">
        <f t="shared" si="6295"/>
        <v>#N/A</v>
      </c>
      <c r="D3127" s="39" t="e">
        <f t="shared" si="6295"/>
        <v>#N/A</v>
      </c>
      <c r="E3127" s="16" t="e">
        <f t="shared" si="1"/>
        <v>#N/A</v>
      </c>
      <c r="F3127" s="16" t="e">
        <f t="shared" ref="F3127:K3127" si="6296">VLOOKUP($A3127,[10]Mujer!$A$1:$O$279,F$1,0)</f>
        <v>#N/A</v>
      </c>
      <c r="G3127" s="39" t="e">
        <f t="shared" si="6296"/>
        <v>#N/A</v>
      </c>
      <c r="H3127" s="16" t="e">
        <f t="shared" si="6296"/>
        <v>#N/A</v>
      </c>
      <c r="I3127" s="16" t="e">
        <f t="shared" si="6296"/>
        <v>#N/A</v>
      </c>
      <c r="J3127" s="40" t="e">
        <f t="shared" si="6296"/>
        <v>#N/A</v>
      </c>
      <c r="K3127" s="16" t="e">
        <f t="shared" si="6296"/>
        <v>#N/A</v>
      </c>
      <c r="L3127" s="40" t="e">
        <f t="shared" si="6045"/>
        <v>#N/A</v>
      </c>
      <c r="M3127" s="16" t="e">
        <f t="shared" si="6046"/>
        <v>#N/A</v>
      </c>
      <c r="N3127" s="16" t="e">
        <f t="shared" si="6047"/>
        <v>#N/A</v>
      </c>
      <c r="O3127" s="16" t="s">
        <v>74</v>
      </c>
      <c r="P3127" s="16" t="str">
        <f t="shared" si="6"/>
        <v/>
      </c>
      <c r="Q3127" s="41" t="e">
        <f t="shared" si="6048"/>
        <v>#N/A</v>
      </c>
      <c r="R3127" s="44"/>
      <c r="S3127" s="44"/>
      <c r="T3127" s="43"/>
      <c r="U3127" s="43" t="str">
        <f t="shared" si="8"/>
        <v>No</v>
      </c>
      <c r="V3127" s="25"/>
      <c r="W3127" s="25"/>
      <c r="X3127" s="25"/>
      <c r="Y3127" s="25"/>
      <c r="Z3127" s="25"/>
    </row>
    <row r="3128" spans="1:26" ht="15.75" customHeight="1" x14ac:dyDescent="0.25">
      <c r="A3128" s="25">
        <v>3126</v>
      </c>
      <c r="B3128" s="37" t="e">
        <f t="shared" ref="B3128:D3128" si="6297">VLOOKUP($A3128,[10]Mujer!$A$1:$O$279,B$1,0)</f>
        <v>#N/A</v>
      </c>
      <c r="C3128" s="38" t="e">
        <f t="shared" si="6297"/>
        <v>#N/A</v>
      </c>
      <c r="D3128" s="39" t="e">
        <f t="shared" si="6297"/>
        <v>#N/A</v>
      </c>
      <c r="E3128" s="16" t="e">
        <f t="shared" si="1"/>
        <v>#N/A</v>
      </c>
      <c r="F3128" s="16" t="e">
        <f t="shared" ref="F3128:K3128" si="6298">VLOOKUP($A3128,[10]Mujer!$A$1:$O$279,F$1,0)</f>
        <v>#N/A</v>
      </c>
      <c r="G3128" s="39" t="e">
        <f t="shared" si="6298"/>
        <v>#N/A</v>
      </c>
      <c r="H3128" s="16" t="e">
        <f t="shared" si="6298"/>
        <v>#N/A</v>
      </c>
      <c r="I3128" s="16" t="e">
        <f t="shared" si="6298"/>
        <v>#N/A</v>
      </c>
      <c r="J3128" s="40" t="e">
        <f t="shared" si="6298"/>
        <v>#N/A</v>
      </c>
      <c r="K3128" s="16" t="e">
        <f t="shared" si="6298"/>
        <v>#N/A</v>
      </c>
      <c r="L3128" s="40" t="e">
        <f t="shared" si="6045"/>
        <v>#N/A</v>
      </c>
      <c r="M3128" s="16" t="e">
        <f t="shared" si="6046"/>
        <v>#N/A</v>
      </c>
      <c r="N3128" s="16" t="e">
        <f t="shared" si="6047"/>
        <v>#N/A</v>
      </c>
      <c r="O3128" s="16" t="s">
        <v>74</v>
      </c>
      <c r="P3128" s="16" t="str">
        <f t="shared" si="6"/>
        <v/>
      </c>
      <c r="Q3128" s="41" t="e">
        <f t="shared" si="6048"/>
        <v>#N/A</v>
      </c>
      <c r="R3128" s="44"/>
      <c r="S3128" s="44"/>
      <c r="T3128" s="43"/>
      <c r="U3128" s="43" t="str">
        <f t="shared" si="8"/>
        <v>No</v>
      </c>
      <c r="V3128" s="25"/>
      <c r="W3128" s="25"/>
      <c r="X3128" s="25"/>
      <c r="Y3128" s="25"/>
      <c r="Z3128" s="25"/>
    </row>
    <row r="3129" spans="1:26" ht="15.75" customHeight="1" x14ac:dyDescent="0.25">
      <c r="A3129" s="25">
        <v>3127</v>
      </c>
      <c r="B3129" s="37" t="e">
        <f t="shared" ref="B3129:D3129" si="6299">VLOOKUP($A3129,[10]Mujer!$A$1:$O$279,B$1,0)</f>
        <v>#N/A</v>
      </c>
      <c r="C3129" s="38" t="e">
        <f t="shared" si="6299"/>
        <v>#N/A</v>
      </c>
      <c r="D3129" s="39" t="e">
        <f t="shared" si="6299"/>
        <v>#N/A</v>
      </c>
      <c r="E3129" s="16" t="e">
        <f t="shared" si="1"/>
        <v>#N/A</v>
      </c>
      <c r="F3129" s="16" t="e">
        <f t="shared" ref="F3129:K3129" si="6300">VLOOKUP($A3129,[10]Mujer!$A$1:$O$279,F$1,0)</f>
        <v>#N/A</v>
      </c>
      <c r="G3129" s="39" t="e">
        <f t="shared" si="6300"/>
        <v>#N/A</v>
      </c>
      <c r="H3129" s="16" t="e">
        <f t="shared" si="6300"/>
        <v>#N/A</v>
      </c>
      <c r="I3129" s="16" t="e">
        <f t="shared" si="6300"/>
        <v>#N/A</v>
      </c>
      <c r="J3129" s="40" t="e">
        <f t="shared" si="6300"/>
        <v>#N/A</v>
      </c>
      <c r="K3129" s="16" t="e">
        <f t="shared" si="6300"/>
        <v>#N/A</v>
      </c>
      <c r="L3129" s="40" t="e">
        <f t="shared" si="6045"/>
        <v>#N/A</v>
      </c>
      <c r="M3129" s="16" t="e">
        <f t="shared" si="6046"/>
        <v>#N/A</v>
      </c>
      <c r="N3129" s="16" t="e">
        <f t="shared" si="6047"/>
        <v>#N/A</v>
      </c>
      <c r="O3129" s="16" t="s">
        <v>74</v>
      </c>
      <c r="P3129" s="16" t="str">
        <f t="shared" si="6"/>
        <v/>
      </c>
      <c r="Q3129" s="41" t="e">
        <f t="shared" si="6048"/>
        <v>#N/A</v>
      </c>
      <c r="R3129" s="44"/>
      <c r="S3129" s="44"/>
      <c r="T3129" s="43"/>
      <c r="U3129" s="43" t="str">
        <f t="shared" si="8"/>
        <v>No</v>
      </c>
      <c r="V3129" s="25"/>
      <c r="W3129" s="25"/>
      <c r="X3129" s="25"/>
      <c r="Y3129" s="25"/>
      <c r="Z3129" s="25"/>
    </row>
    <row r="3130" spans="1:26" ht="15.75" customHeight="1" x14ac:dyDescent="0.25">
      <c r="A3130" s="25">
        <v>3128</v>
      </c>
      <c r="B3130" s="37" t="e">
        <f t="shared" ref="B3130:D3130" si="6301">VLOOKUP($A3130,[10]Mujer!$A$1:$O$279,B$1,0)</f>
        <v>#N/A</v>
      </c>
      <c r="C3130" s="38" t="e">
        <f t="shared" si="6301"/>
        <v>#N/A</v>
      </c>
      <c r="D3130" s="39" t="e">
        <f t="shared" si="6301"/>
        <v>#N/A</v>
      </c>
      <c r="E3130" s="16" t="e">
        <f t="shared" si="1"/>
        <v>#N/A</v>
      </c>
      <c r="F3130" s="16" t="e">
        <f t="shared" ref="F3130:K3130" si="6302">VLOOKUP($A3130,[10]Mujer!$A$1:$O$279,F$1,0)</f>
        <v>#N/A</v>
      </c>
      <c r="G3130" s="39" t="e">
        <f t="shared" si="6302"/>
        <v>#N/A</v>
      </c>
      <c r="H3130" s="16" t="e">
        <f t="shared" si="6302"/>
        <v>#N/A</v>
      </c>
      <c r="I3130" s="16" t="e">
        <f t="shared" si="6302"/>
        <v>#N/A</v>
      </c>
      <c r="J3130" s="40" t="e">
        <f t="shared" si="6302"/>
        <v>#N/A</v>
      </c>
      <c r="K3130" s="16" t="e">
        <f t="shared" si="6302"/>
        <v>#N/A</v>
      </c>
      <c r="L3130" s="40" t="e">
        <f t="shared" si="6045"/>
        <v>#N/A</v>
      </c>
      <c r="M3130" s="16" t="e">
        <f t="shared" si="6046"/>
        <v>#N/A</v>
      </c>
      <c r="N3130" s="16" t="e">
        <f t="shared" si="6047"/>
        <v>#N/A</v>
      </c>
      <c r="O3130" s="16" t="s">
        <v>74</v>
      </c>
      <c r="P3130" s="16" t="str">
        <f t="shared" si="6"/>
        <v/>
      </c>
      <c r="Q3130" s="41" t="e">
        <f t="shared" si="6048"/>
        <v>#N/A</v>
      </c>
      <c r="R3130" s="44"/>
      <c r="S3130" s="44"/>
      <c r="T3130" s="43"/>
      <c r="U3130" s="43" t="str">
        <f t="shared" si="8"/>
        <v>No</v>
      </c>
      <c r="V3130" s="25"/>
      <c r="W3130" s="25"/>
      <c r="X3130" s="25"/>
      <c r="Y3130" s="25"/>
      <c r="Z3130" s="25"/>
    </row>
    <row r="3131" spans="1:26" ht="15.75" customHeight="1" x14ac:dyDescent="0.25">
      <c r="A3131" s="25">
        <v>3129</v>
      </c>
      <c r="B3131" s="37" t="e">
        <f t="shared" ref="B3131:D3131" si="6303">VLOOKUP($A3131,[10]Mujer!$A$1:$O$279,B$1,0)</f>
        <v>#N/A</v>
      </c>
      <c r="C3131" s="38" t="e">
        <f t="shared" si="6303"/>
        <v>#N/A</v>
      </c>
      <c r="D3131" s="39" t="e">
        <f t="shared" si="6303"/>
        <v>#N/A</v>
      </c>
      <c r="E3131" s="16" t="e">
        <f t="shared" si="1"/>
        <v>#N/A</v>
      </c>
      <c r="F3131" s="16" t="e">
        <f t="shared" ref="F3131:K3131" si="6304">VLOOKUP($A3131,[10]Mujer!$A$1:$O$279,F$1,0)</f>
        <v>#N/A</v>
      </c>
      <c r="G3131" s="39" t="e">
        <f t="shared" si="6304"/>
        <v>#N/A</v>
      </c>
      <c r="H3131" s="16" t="e">
        <f t="shared" si="6304"/>
        <v>#N/A</v>
      </c>
      <c r="I3131" s="16" t="e">
        <f t="shared" si="6304"/>
        <v>#N/A</v>
      </c>
      <c r="J3131" s="40" t="e">
        <f t="shared" si="6304"/>
        <v>#N/A</v>
      </c>
      <c r="K3131" s="16" t="e">
        <f t="shared" si="6304"/>
        <v>#N/A</v>
      </c>
      <c r="L3131" s="40" t="e">
        <f t="shared" si="6045"/>
        <v>#N/A</v>
      </c>
      <c r="M3131" s="16" t="e">
        <f t="shared" si="6046"/>
        <v>#N/A</v>
      </c>
      <c r="N3131" s="16" t="e">
        <f t="shared" si="6047"/>
        <v>#N/A</v>
      </c>
      <c r="O3131" s="16" t="s">
        <v>74</v>
      </c>
      <c r="P3131" s="16" t="str">
        <f t="shared" si="6"/>
        <v/>
      </c>
      <c r="Q3131" s="41" t="e">
        <f t="shared" si="6048"/>
        <v>#N/A</v>
      </c>
      <c r="R3131" s="44"/>
      <c r="S3131" s="44"/>
      <c r="T3131" s="43"/>
      <c r="U3131" s="43" t="str">
        <f t="shared" si="8"/>
        <v>No</v>
      </c>
      <c r="V3131" s="25"/>
      <c r="W3131" s="25"/>
      <c r="X3131" s="25"/>
      <c r="Y3131" s="25"/>
      <c r="Z3131" s="25"/>
    </row>
    <row r="3132" spans="1:26" ht="15.75" customHeight="1" x14ac:dyDescent="0.25">
      <c r="A3132" s="25">
        <v>3130</v>
      </c>
      <c r="B3132" s="37" t="e">
        <f t="shared" ref="B3132:D3132" si="6305">VLOOKUP($A3132,[10]Mujer!$A$1:$O$279,B$1,0)</f>
        <v>#N/A</v>
      </c>
      <c r="C3132" s="38" t="e">
        <f t="shared" si="6305"/>
        <v>#N/A</v>
      </c>
      <c r="D3132" s="39" t="e">
        <f t="shared" si="6305"/>
        <v>#N/A</v>
      </c>
      <c r="E3132" s="16" t="e">
        <f t="shared" si="1"/>
        <v>#N/A</v>
      </c>
      <c r="F3132" s="16" t="e">
        <f t="shared" ref="F3132:K3132" si="6306">VLOOKUP($A3132,[10]Mujer!$A$1:$O$279,F$1,0)</f>
        <v>#N/A</v>
      </c>
      <c r="G3132" s="39" t="e">
        <f t="shared" si="6306"/>
        <v>#N/A</v>
      </c>
      <c r="H3132" s="16" t="e">
        <f t="shared" si="6306"/>
        <v>#N/A</v>
      </c>
      <c r="I3132" s="16" t="e">
        <f t="shared" si="6306"/>
        <v>#N/A</v>
      </c>
      <c r="J3132" s="40" t="e">
        <f t="shared" si="6306"/>
        <v>#N/A</v>
      </c>
      <c r="K3132" s="16" t="e">
        <f t="shared" si="6306"/>
        <v>#N/A</v>
      </c>
      <c r="L3132" s="40" t="e">
        <f t="shared" si="6045"/>
        <v>#N/A</v>
      </c>
      <c r="M3132" s="16" t="e">
        <f t="shared" si="6046"/>
        <v>#N/A</v>
      </c>
      <c r="N3132" s="16" t="e">
        <f t="shared" si="6047"/>
        <v>#N/A</v>
      </c>
      <c r="O3132" s="16" t="s">
        <v>74</v>
      </c>
      <c r="P3132" s="16" t="str">
        <f t="shared" si="6"/>
        <v/>
      </c>
      <c r="Q3132" s="41" t="e">
        <f t="shared" si="6048"/>
        <v>#N/A</v>
      </c>
      <c r="R3132" s="44"/>
      <c r="S3132" s="44"/>
      <c r="T3132" s="43"/>
      <c r="U3132" s="43" t="str">
        <f t="shared" si="8"/>
        <v>No</v>
      </c>
      <c r="V3132" s="25"/>
      <c r="W3132" s="25"/>
      <c r="X3132" s="25"/>
      <c r="Y3132" s="25"/>
      <c r="Z3132" s="25"/>
    </row>
    <row r="3133" spans="1:26" ht="15.75" customHeight="1" x14ac:dyDescent="0.25">
      <c r="A3133" s="25">
        <v>3131</v>
      </c>
      <c r="B3133" s="37" t="e">
        <f t="shared" ref="B3133:D3133" si="6307">VLOOKUP($A3133,[10]Mujer!$A$1:$O$279,B$1,0)</f>
        <v>#N/A</v>
      </c>
      <c r="C3133" s="38" t="e">
        <f t="shared" si="6307"/>
        <v>#N/A</v>
      </c>
      <c r="D3133" s="39" t="e">
        <f t="shared" si="6307"/>
        <v>#N/A</v>
      </c>
      <c r="E3133" s="16" t="e">
        <f t="shared" si="1"/>
        <v>#N/A</v>
      </c>
      <c r="F3133" s="16" t="e">
        <f t="shared" ref="F3133:K3133" si="6308">VLOOKUP($A3133,[10]Mujer!$A$1:$O$279,F$1,0)</f>
        <v>#N/A</v>
      </c>
      <c r="G3133" s="39" t="e">
        <f t="shared" si="6308"/>
        <v>#N/A</v>
      </c>
      <c r="H3133" s="16" t="e">
        <f t="shared" si="6308"/>
        <v>#N/A</v>
      </c>
      <c r="I3133" s="16" t="e">
        <f t="shared" si="6308"/>
        <v>#N/A</v>
      </c>
      <c r="J3133" s="40" t="e">
        <f t="shared" si="6308"/>
        <v>#N/A</v>
      </c>
      <c r="K3133" s="16" t="e">
        <f t="shared" si="6308"/>
        <v>#N/A</v>
      </c>
      <c r="L3133" s="40" t="e">
        <f t="shared" si="6045"/>
        <v>#N/A</v>
      </c>
      <c r="M3133" s="16" t="e">
        <f t="shared" si="6046"/>
        <v>#N/A</v>
      </c>
      <c r="N3133" s="16" t="e">
        <f t="shared" si="6047"/>
        <v>#N/A</v>
      </c>
      <c r="O3133" s="16" t="s">
        <v>74</v>
      </c>
      <c r="P3133" s="16" t="str">
        <f t="shared" si="6"/>
        <v/>
      </c>
      <c r="Q3133" s="41" t="e">
        <f t="shared" si="6048"/>
        <v>#N/A</v>
      </c>
      <c r="R3133" s="44"/>
      <c r="S3133" s="44"/>
      <c r="T3133" s="43"/>
      <c r="U3133" s="43" t="str">
        <f t="shared" si="8"/>
        <v>No</v>
      </c>
      <c r="V3133" s="25"/>
      <c r="W3133" s="25"/>
      <c r="X3133" s="25"/>
      <c r="Y3133" s="25"/>
      <c r="Z3133" s="25"/>
    </row>
    <row r="3134" spans="1:26" ht="15.75" customHeight="1" x14ac:dyDescent="0.25">
      <c r="A3134" s="25">
        <v>3132</v>
      </c>
      <c r="B3134" s="37" t="e">
        <f t="shared" ref="B3134:D3134" si="6309">VLOOKUP($A3134,[10]Mujer!$A$1:$O$279,B$1,0)</f>
        <v>#N/A</v>
      </c>
      <c r="C3134" s="38" t="e">
        <f t="shared" si="6309"/>
        <v>#N/A</v>
      </c>
      <c r="D3134" s="39" t="e">
        <f t="shared" si="6309"/>
        <v>#N/A</v>
      </c>
      <c r="E3134" s="16" t="e">
        <f t="shared" si="1"/>
        <v>#N/A</v>
      </c>
      <c r="F3134" s="16" t="e">
        <f t="shared" ref="F3134:K3134" si="6310">VLOOKUP($A3134,[10]Mujer!$A$1:$O$279,F$1,0)</f>
        <v>#N/A</v>
      </c>
      <c r="G3134" s="39" t="e">
        <f t="shared" si="6310"/>
        <v>#N/A</v>
      </c>
      <c r="H3134" s="16" t="e">
        <f t="shared" si="6310"/>
        <v>#N/A</v>
      </c>
      <c r="I3134" s="16" t="e">
        <f t="shared" si="6310"/>
        <v>#N/A</v>
      </c>
      <c r="J3134" s="40" t="e">
        <f t="shared" si="6310"/>
        <v>#N/A</v>
      </c>
      <c r="K3134" s="16" t="e">
        <f t="shared" si="6310"/>
        <v>#N/A</v>
      </c>
      <c r="L3134" s="40" t="e">
        <f t="shared" si="6045"/>
        <v>#N/A</v>
      </c>
      <c r="M3134" s="16" t="e">
        <f t="shared" si="6046"/>
        <v>#N/A</v>
      </c>
      <c r="N3134" s="16" t="e">
        <f t="shared" si="6047"/>
        <v>#N/A</v>
      </c>
      <c r="O3134" s="16" t="s">
        <v>74</v>
      </c>
      <c r="P3134" s="16" t="str">
        <f t="shared" si="6"/>
        <v/>
      </c>
      <c r="Q3134" s="41" t="e">
        <f t="shared" si="6048"/>
        <v>#N/A</v>
      </c>
      <c r="R3134" s="44"/>
      <c r="S3134" s="44"/>
      <c r="T3134" s="43"/>
      <c r="U3134" s="43" t="str">
        <f t="shared" si="8"/>
        <v>No</v>
      </c>
      <c r="V3134" s="25"/>
      <c r="W3134" s="25"/>
      <c r="X3134" s="25"/>
      <c r="Y3134" s="25"/>
      <c r="Z3134" s="25"/>
    </row>
    <row r="3135" spans="1:26" ht="15.75" customHeight="1" x14ac:dyDescent="0.25">
      <c r="A3135" s="25">
        <v>3133</v>
      </c>
      <c r="B3135" s="37" t="e">
        <f t="shared" ref="B3135:D3135" si="6311">VLOOKUP($A3135,[10]Mujer!$A$1:$O$279,B$1,0)</f>
        <v>#N/A</v>
      </c>
      <c r="C3135" s="38" t="e">
        <f t="shared" si="6311"/>
        <v>#N/A</v>
      </c>
      <c r="D3135" s="39" t="e">
        <f t="shared" si="6311"/>
        <v>#N/A</v>
      </c>
      <c r="E3135" s="16" t="e">
        <f t="shared" si="1"/>
        <v>#N/A</v>
      </c>
      <c r="F3135" s="16" t="e">
        <f t="shared" ref="F3135:K3135" si="6312">VLOOKUP($A3135,[10]Mujer!$A$1:$O$279,F$1,0)</f>
        <v>#N/A</v>
      </c>
      <c r="G3135" s="39" t="e">
        <f t="shared" si="6312"/>
        <v>#N/A</v>
      </c>
      <c r="H3135" s="16" t="e">
        <f t="shared" si="6312"/>
        <v>#N/A</v>
      </c>
      <c r="I3135" s="16" t="e">
        <f t="shared" si="6312"/>
        <v>#N/A</v>
      </c>
      <c r="J3135" s="40" t="e">
        <f t="shared" si="6312"/>
        <v>#N/A</v>
      </c>
      <c r="K3135" s="16" t="e">
        <f t="shared" si="6312"/>
        <v>#N/A</v>
      </c>
      <c r="L3135" s="40" t="e">
        <f t="shared" si="6045"/>
        <v>#N/A</v>
      </c>
      <c r="M3135" s="16" t="e">
        <f t="shared" si="6046"/>
        <v>#N/A</v>
      </c>
      <c r="N3135" s="16" t="e">
        <f t="shared" si="6047"/>
        <v>#N/A</v>
      </c>
      <c r="O3135" s="16" t="s">
        <v>74</v>
      </c>
      <c r="P3135" s="16" t="str">
        <f t="shared" si="6"/>
        <v/>
      </c>
      <c r="Q3135" s="41" t="e">
        <f t="shared" si="6048"/>
        <v>#N/A</v>
      </c>
      <c r="R3135" s="44"/>
      <c r="S3135" s="44"/>
      <c r="T3135" s="43"/>
      <c r="U3135" s="43" t="str">
        <f t="shared" si="8"/>
        <v>No</v>
      </c>
      <c r="V3135" s="25"/>
      <c r="W3135" s="25"/>
      <c r="X3135" s="25"/>
      <c r="Y3135" s="25"/>
      <c r="Z3135" s="25"/>
    </row>
    <row r="3136" spans="1:26" ht="15.75" customHeight="1" x14ac:dyDescent="0.25">
      <c r="A3136" s="25">
        <v>3134</v>
      </c>
      <c r="B3136" s="37" t="e">
        <f t="shared" ref="B3136:D3136" si="6313">VLOOKUP($A3136,[10]Mujer!$A$1:$O$279,B$1,0)</f>
        <v>#N/A</v>
      </c>
      <c r="C3136" s="38" t="e">
        <f t="shared" si="6313"/>
        <v>#N/A</v>
      </c>
      <c r="D3136" s="39" t="e">
        <f t="shared" si="6313"/>
        <v>#N/A</v>
      </c>
      <c r="E3136" s="16" t="e">
        <f t="shared" si="1"/>
        <v>#N/A</v>
      </c>
      <c r="F3136" s="16" t="e">
        <f t="shared" ref="F3136:K3136" si="6314">VLOOKUP($A3136,[10]Mujer!$A$1:$O$279,F$1,0)</f>
        <v>#N/A</v>
      </c>
      <c r="G3136" s="39" t="e">
        <f t="shared" si="6314"/>
        <v>#N/A</v>
      </c>
      <c r="H3136" s="16" t="e">
        <f t="shared" si="6314"/>
        <v>#N/A</v>
      </c>
      <c r="I3136" s="16" t="e">
        <f t="shared" si="6314"/>
        <v>#N/A</v>
      </c>
      <c r="J3136" s="40" t="e">
        <f t="shared" si="6314"/>
        <v>#N/A</v>
      </c>
      <c r="K3136" s="16" t="e">
        <f t="shared" si="6314"/>
        <v>#N/A</v>
      </c>
      <c r="L3136" s="40" t="e">
        <f t="shared" si="6045"/>
        <v>#N/A</v>
      </c>
      <c r="M3136" s="16" t="e">
        <f t="shared" si="6046"/>
        <v>#N/A</v>
      </c>
      <c r="N3136" s="16" t="e">
        <f t="shared" si="6047"/>
        <v>#N/A</v>
      </c>
      <c r="O3136" s="16" t="s">
        <v>74</v>
      </c>
      <c r="P3136" s="16" t="str">
        <f t="shared" si="6"/>
        <v/>
      </c>
      <c r="Q3136" s="41" t="e">
        <f t="shared" si="6048"/>
        <v>#N/A</v>
      </c>
      <c r="R3136" s="44"/>
      <c r="S3136" s="44"/>
      <c r="T3136" s="43"/>
      <c r="U3136" s="43" t="str">
        <f t="shared" si="8"/>
        <v>No</v>
      </c>
      <c r="V3136" s="25"/>
      <c r="W3136" s="25"/>
      <c r="X3136" s="25"/>
      <c r="Y3136" s="25"/>
      <c r="Z3136" s="25"/>
    </row>
    <row r="3137" spans="1:26" ht="15.75" customHeight="1" x14ac:dyDescent="0.25">
      <c r="A3137" s="25">
        <v>3135</v>
      </c>
      <c r="B3137" s="37" t="e">
        <f t="shared" ref="B3137:D3137" si="6315">VLOOKUP($A3137,[10]Mujer!$A$1:$O$279,B$1,0)</f>
        <v>#N/A</v>
      </c>
      <c r="C3137" s="38" t="e">
        <f t="shared" si="6315"/>
        <v>#N/A</v>
      </c>
      <c r="D3137" s="39" t="e">
        <f t="shared" si="6315"/>
        <v>#N/A</v>
      </c>
      <c r="E3137" s="16" t="e">
        <f t="shared" si="1"/>
        <v>#N/A</v>
      </c>
      <c r="F3137" s="16" t="e">
        <f t="shared" ref="F3137:K3137" si="6316">VLOOKUP($A3137,[10]Mujer!$A$1:$O$279,F$1,0)</f>
        <v>#N/A</v>
      </c>
      <c r="G3137" s="39" t="e">
        <f t="shared" si="6316"/>
        <v>#N/A</v>
      </c>
      <c r="H3137" s="16" t="e">
        <f t="shared" si="6316"/>
        <v>#N/A</v>
      </c>
      <c r="I3137" s="16" t="e">
        <f t="shared" si="6316"/>
        <v>#N/A</v>
      </c>
      <c r="J3137" s="40" t="e">
        <f t="shared" si="6316"/>
        <v>#N/A</v>
      </c>
      <c r="K3137" s="16" t="e">
        <f t="shared" si="6316"/>
        <v>#N/A</v>
      </c>
      <c r="L3137" s="40" t="e">
        <f t="shared" si="6045"/>
        <v>#N/A</v>
      </c>
      <c r="M3137" s="16" t="e">
        <f t="shared" si="6046"/>
        <v>#N/A</v>
      </c>
      <c r="N3137" s="16" t="e">
        <f t="shared" si="6047"/>
        <v>#N/A</v>
      </c>
      <c r="O3137" s="16" t="s">
        <v>74</v>
      </c>
      <c r="P3137" s="16" t="str">
        <f t="shared" si="6"/>
        <v/>
      </c>
      <c r="Q3137" s="41" t="e">
        <f t="shared" si="6048"/>
        <v>#N/A</v>
      </c>
      <c r="R3137" s="44"/>
      <c r="S3137" s="44"/>
      <c r="T3137" s="43"/>
      <c r="U3137" s="43" t="str">
        <f t="shared" si="8"/>
        <v>No</v>
      </c>
      <c r="V3137" s="25"/>
      <c r="W3137" s="25"/>
      <c r="X3137" s="25"/>
      <c r="Y3137" s="25"/>
      <c r="Z3137" s="25"/>
    </row>
    <row r="3138" spans="1:26" ht="15.75" customHeight="1" x14ac:dyDescent="0.25">
      <c r="A3138" s="25">
        <v>3136</v>
      </c>
      <c r="B3138" s="37" t="e">
        <f t="shared" ref="B3138:D3138" si="6317">VLOOKUP($A3138,[10]Mujer!$A$1:$O$279,B$1,0)</f>
        <v>#N/A</v>
      </c>
      <c r="C3138" s="38" t="e">
        <f t="shared" si="6317"/>
        <v>#N/A</v>
      </c>
      <c r="D3138" s="39" t="e">
        <f t="shared" si="6317"/>
        <v>#N/A</v>
      </c>
      <c r="E3138" s="16" t="e">
        <f t="shared" si="1"/>
        <v>#N/A</v>
      </c>
      <c r="F3138" s="16" t="e">
        <f t="shared" ref="F3138:K3138" si="6318">VLOOKUP($A3138,[10]Mujer!$A$1:$O$279,F$1,0)</f>
        <v>#N/A</v>
      </c>
      <c r="G3138" s="39" t="e">
        <f t="shared" si="6318"/>
        <v>#N/A</v>
      </c>
      <c r="H3138" s="16" t="e">
        <f t="shared" si="6318"/>
        <v>#N/A</v>
      </c>
      <c r="I3138" s="16" t="e">
        <f t="shared" si="6318"/>
        <v>#N/A</v>
      </c>
      <c r="J3138" s="40" t="e">
        <f t="shared" si="6318"/>
        <v>#N/A</v>
      </c>
      <c r="K3138" s="16" t="e">
        <f t="shared" si="6318"/>
        <v>#N/A</v>
      </c>
      <c r="L3138" s="40" t="e">
        <f t="shared" si="6045"/>
        <v>#N/A</v>
      </c>
      <c r="M3138" s="16" t="e">
        <f t="shared" si="6046"/>
        <v>#N/A</v>
      </c>
      <c r="N3138" s="16" t="e">
        <f t="shared" si="6047"/>
        <v>#N/A</v>
      </c>
      <c r="O3138" s="16" t="s">
        <v>74</v>
      </c>
      <c r="P3138" s="16" t="str">
        <f t="shared" si="6"/>
        <v/>
      </c>
      <c r="Q3138" s="41" t="e">
        <f t="shared" si="6048"/>
        <v>#N/A</v>
      </c>
      <c r="R3138" s="44"/>
      <c r="S3138" s="44"/>
      <c r="T3138" s="43"/>
      <c r="U3138" s="43" t="str">
        <f t="shared" si="8"/>
        <v>No</v>
      </c>
      <c r="V3138" s="25"/>
      <c r="W3138" s="25"/>
      <c r="X3138" s="25"/>
      <c r="Y3138" s="25"/>
      <c r="Z3138" s="25"/>
    </row>
    <row r="3139" spans="1:26" ht="15.75" customHeight="1" x14ac:dyDescent="0.25">
      <c r="A3139" s="25">
        <v>3137</v>
      </c>
      <c r="B3139" s="37" t="e">
        <f t="shared" ref="B3139:D3139" si="6319">VLOOKUP($A3139,[10]Mujer!$A$1:$O$279,B$1,0)</f>
        <v>#N/A</v>
      </c>
      <c r="C3139" s="38" t="e">
        <f t="shared" si="6319"/>
        <v>#N/A</v>
      </c>
      <c r="D3139" s="39" t="e">
        <f t="shared" si="6319"/>
        <v>#N/A</v>
      </c>
      <c r="E3139" s="16" t="e">
        <f t="shared" si="1"/>
        <v>#N/A</v>
      </c>
      <c r="F3139" s="16" t="e">
        <f t="shared" ref="F3139:K3139" si="6320">VLOOKUP($A3139,[10]Mujer!$A$1:$O$279,F$1,0)</f>
        <v>#N/A</v>
      </c>
      <c r="G3139" s="39" t="e">
        <f t="shared" si="6320"/>
        <v>#N/A</v>
      </c>
      <c r="H3139" s="16" t="e">
        <f t="shared" si="6320"/>
        <v>#N/A</v>
      </c>
      <c r="I3139" s="16" t="e">
        <f t="shared" si="6320"/>
        <v>#N/A</v>
      </c>
      <c r="J3139" s="40" t="e">
        <f t="shared" si="6320"/>
        <v>#N/A</v>
      </c>
      <c r="K3139" s="16" t="e">
        <f t="shared" si="6320"/>
        <v>#N/A</v>
      </c>
      <c r="L3139" s="40" t="e">
        <f t="shared" si="6045"/>
        <v>#N/A</v>
      </c>
      <c r="M3139" s="16" t="e">
        <f t="shared" si="6046"/>
        <v>#N/A</v>
      </c>
      <c r="N3139" s="16" t="e">
        <f t="shared" si="6047"/>
        <v>#N/A</v>
      </c>
      <c r="O3139" s="16" t="s">
        <v>74</v>
      </c>
      <c r="P3139" s="16" t="str">
        <f t="shared" si="6"/>
        <v/>
      </c>
      <c r="Q3139" s="41" t="e">
        <f t="shared" si="6048"/>
        <v>#N/A</v>
      </c>
      <c r="R3139" s="44"/>
      <c r="S3139" s="44"/>
      <c r="T3139" s="43"/>
      <c r="U3139" s="43" t="str">
        <f t="shared" si="8"/>
        <v>No</v>
      </c>
      <c r="V3139" s="25"/>
      <c r="W3139" s="25"/>
      <c r="X3139" s="25"/>
      <c r="Y3139" s="25"/>
      <c r="Z3139" s="25"/>
    </row>
    <row r="3140" spans="1:26" ht="15.75" customHeight="1" x14ac:dyDescent="0.25">
      <c r="A3140" s="25">
        <v>3138</v>
      </c>
      <c r="B3140" s="37" t="e">
        <f t="shared" ref="B3140:D3140" si="6321">VLOOKUP($A3140,[10]Mujer!$A$1:$O$279,B$1,0)</f>
        <v>#N/A</v>
      </c>
      <c r="C3140" s="38" t="e">
        <f t="shared" si="6321"/>
        <v>#N/A</v>
      </c>
      <c r="D3140" s="39" t="e">
        <f t="shared" si="6321"/>
        <v>#N/A</v>
      </c>
      <c r="E3140" s="16" t="e">
        <f t="shared" si="1"/>
        <v>#N/A</v>
      </c>
      <c r="F3140" s="16" t="e">
        <f t="shared" ref="F3140:K3140" si="6322">VLOOKUP($A3140,[10]Mujer!$A$1:$O$279,F$1,0)</f>
        <v>#N/A</v>
      </c>
      <c r="G3140" s="39" t="e">
        <f t="shared" si="6322"/>
        <v>#N/A</v>
      </c>
      <c r="H3140" s="16" t="e">
        <f t="shared" si="6322"/>
        <v>#N/A</v>
      </c>
      <c r="I3140" s="16" t="e">
        <f t="shared" si="6322"/>
        <v>#N/A</v>
      </c>
      <c r="J3140" s="40" t="e">
        <f t="shared" si="6322"/>
        <v>#N/A</v>
      </c>
      <c r="K3140" s="16" t="e">
        <f t="shared" si="6322"/>
        <v>#N/A</v>
      </c>
      <c r="L3140" s="40" t="e">
        <f t="shared" si="6045"/>
        <v>#N/A</v>
      </c>
      <c r="M3140" s="16" t="e">
        <f t="shared" si="6046"/>
        <v>#N/A</v>
      </c>
      <c r="N3140" s="16" t="e">
        <f t="shared" si="6047"/>
        <v>#N/A</v>
      </c>
      <c r="O3140" s="16" t="s">
        <v>74</v>
      </c>
      <c r="P3140" s="16" t="str">
        <f t="shared" si="6"/>
        <v/>
      </c>
      <c r="Q3140" s="41" t="e">
        <f t="shared" si="6048"/>
        <v>#N/A</v>
      </c>
      <c r="R3140" s="44"/>
      <c r="S3140" s="44"/>
      <c r="T3140" s="43"/>
      <c r="U3140" s="43" t="str">
        <f t="shared" si="8"/>
        <v>No</v>
      </c>
      <c r="V3140" s="25"/>
      <c r="W3140" s="25"/>
      <c r="X3140" s="25"/>
      <c r="Y3140" s="25"/>
      <c r="Z3140" s="25"/>
    </row>
    <row r="3141" spans="1:26" ht="15.75" customHeight="1" x14ac:dyDescent="0.25">
      <c r="A3141" s="25">
        <v>3139</v>
      </c>
      <c r="B3141" s="37" t="e">
        <f t="shared" ref="B3141:D3141" si="6323">VLOOKUP($A3141,[10]Mujer!$A$1:$O$279,B$1,0)</f>
        <v>#N/A</v>
      </c>
      <c r="C3141" s="38" t="e">
        <f t="shared" si="6323"/>
        <v>#N/A</v>
      </c>
      <c r="D3141" s="39" t="e">
        <f t="shared" si="6323"/>
        <v>#N/A</v>
      </c>
      <c r="E3141" s="16" t="e">
        <f t="shared" si="1"/>
        <v>#N/A</v>
      </c>
      <c r="F3141" s="16" t="e">
        <f t="shared" ref="F3141:K3141" si="6324">VLOOKUP($A3141,[10]Mujer!$A$1:$O$279,F$1,0)</f>
        <v>#N/A</v>
      </c>
      <c r="G3141" s="39" t="e">
        <f t="shared" si="6324"/>
        <v>#N/A</v>
      </c>
      <c r="H3141" s="16" t="e">
        <f t="shared" si="6324"/>
        <v>#N/A</v>
      </c>
      <c r="I3141" s="16" t="e">
        <f t="shared" si="6324"/>
        <v>#N/A</v>
      </c>
      <c r="J3141" s="40" t="e">
        <f t="shared" si="6324"/>
        <v>#N/A</v>
      </c>
      <c r="K3141" s="16" t="e">
        <f t="shared" si="6324"/>
        <v>#N/A</v>
      </c>
      <c r="L3141" s="40" t="e">
        <f t="shared" si="6045"/>
        <v>#N/A</v>
      </c>
      <c r="M3141" s="16" t="e">
        <f t="shared" si="6046"/>
        <v>#N/A</v>
      </c>
      <c r="N3141" s="16" t="e">
        <f t="shared" si="6047"/>
        <v>#N/A</v>
      </c>
      <c r="O3141" s="16" t="s">
        <v>74</v>
      </c>
      <c r="P3141" s="16" t="str">
        <f t="shared" si="6"/>
        <v/>
      </c>
      <c r="Q3141" s="41" t="e">
        <f t="shared" si="6048"/>
        <v>#N/A</v>
      </c>
      <c r="R3141" s="44"/>
      <c r="S3141" s="44"/>
      <c r="T3141" s="43"/>
      <c r="U3141" s="43" t="str">
        <f t="shared" si="8"/>
        <v>No</v>
      </c>
      <c r="V3141" s="25"/>
      <c r="W3141" s="25"/>
      <c r="X3141" s="25"/>
      <c r="Y3141" s="25"/>
      <c r="Z3141" s="25"/>
    </row>
    <row r="3142" spans="1:26" ht="15.75" customHeight="1" x14ac:dyDescent="0.25">
      <c r="A3142" s="25">
        <v>3140</v>
      </c>
      <c r="B3142" s="37" t="e">
        <f t="shared" ref="B3142:D3142" si="6325">VLOOKUP($A3142,[10]Mujer!$A$1:$O$279,B$1,0)</f>
        <v>#N/A</v>
      </c>
      <c r="C3142" s="38" t="e">
        <f t="shared" si="6325"/>
        <v>#N/A</v>
      </c>
      <c r="D3142" s="39" t="e">
        <f t="shared" si="6325"/>
        <v>#N/A</v>
      </c>
      <c r="E3142" s="16" t="e">
        <f t="shared" si="1"/>
        <v>#N/A</v>
      </c>
      <c r="F3142" s="16" t="e">
        <f t="shared" ref="F3142:K3142" si="6326">VLOOKUP($A3142,[10]Mujer!$A$1:$O$279,F$1,0)</f>
        <v>#N/A</v>
      </c>
      <c r="G3142" s="39" t="e">
        <f t="shared" si="6326"/>
        <v>#N/A</v>
      </c>
      <c r="H3142" s="16" t="e">
        <f t="shared" si="6326"/>
        <v>#N/A</v>
      </c>
      <c r="I3142" s="16" t="e">
        <f t="shared" si="6326"/>
        <v>#N/A</v>
      </c>
      <c r="J3142" s="40" t="e">
        <f t="shared" si="6326"/>
        <v>#N/A</v>
      </c>
      <c r="K3142" s="16" t="e">
        <f t="shared" si="6326"/>
        <v>#N/A</v>
      </c>
      <c r="L3142" s="40" t="e">
        <f t="shared" si="6045"/>
        <v>#N/A</v>
      </c>
      <c r="M3142" s="16" t="e">
        <f t="shared" si="6046"/>
        <v>#N/A</v>
      </c>
      <c r="N3142" s="16" t="e">
        <f t="shared" si="6047"/>
        <v>#N/A</v>
      </c>
      <c r="O3142" s="16" t="s">
        <v>74</v>
      </c>
      <c r="P3142" s="16" t="str">
        <f t="shared" si="6"/>
        <v/>
      </c>
      <c r="Q3142" s="41" t="e">
        <f t="shared" si="6048"/>
        <v>#N/A</v>
      </c>
      <c r="R3142" s="44"/>
      <c r="S3142" s="44"/>
      <c r="T3142" s="43"/>
      <c r="U3142" s="43" t="str">
        <f t="shared" si="8"/>
        <v>No</v>
      </c>
      <c r="V3142" s="25"/>
      <c r="W3142" s="25"/>
      <c r="X3142" s="25"/>
      <c r="Y3142" s="25"/>
      <c r="Z3142" s="25"/>
    </row>
    <row r="3143" spans="1:26" ht="15.75" customHeight="1" x14ac:dyDescent="0.25">
      <c r="A3143" s="25">
        <v>3141</v>
      </c>
      <c r="B3143" s="37" t="e">
        <f t="shared" ref="B3143:D3143" si="6327">VLOOKUP($A3143,[10]Mujer!$A$1:$O$279,B$1,0)</f>
        <v>#N/A</v>
      </c>
      <c r="C3143" s="38" t="e">
        <f t="shared" si="6327"/>
        <v>#N/A</v>
      </c>
      <c r="D3143" s="39" t="e">
        <f t="shared" si="6327"/>
        <v>#N/A</v>
      </c>
      <c r="E3143" s="16" t="e">
        <f t="shared" si="1"/>
        <v>#N/A</v>
      </c>
      <c r="F3143" s="16" t="e">
        <f t="shared" ref="F3143:K3143" si="6328">VLOOKUP($A3143,[10]Mujer!$A$1:$O$279,F$1,0)</f>
        <v>#N/A</v>
      </c>
      <c r="G3143" s="39" t="e">
        <f t="shared" si="6328"/>
        <v>#N/A</v>
      </c>
      <c r="H3143" s="16" t="e">
        <f t="shared" si="6328"/>
        <v>#N/A</v>
      </c>
      <c r="I3143" s="16" t="e">
        <f t="shared" si="6328"/>
        <v>#N/A</v>
      </c>
      <c r="J3143" s="40" t="e">
        <f t="shared" si="6328"/>
        <v>#N/A</v>
      </c>
      <c r="K3143" s="16" t="e">
        <f t="shared" si="6328"/>
        <v>#N/A</v>
      </c>
      <c r="L3143" s="40" t="e">
        <f t="shared" si="6045"/>
        <v>#N/A</v>
      </c>
      <c r="M3143" s="16" t="e">
        <f t="shared" si="6046"/>
        <v>#N/A</v>
      </c>
      <c r="N3143" s="16" t="e">
        <f t="shared" si="6047"/>
        <v>#N/A</v>
      </c>
      <c r="O3143" s="16" t="s">
        <v>74</v>
      </c>
      <c r="P3143" s="16" t="str">
        <f t="shared" si="6"/>
        <v/>
      </c>
      <c r="Q3143" s="41" t="e">
        <f t="shared" si="6048"/>
        <v>#N/A</v>
      </c>
      <c r="R3143" s="44"/>
      <c r="S3143" s="44"/>
      <c r="T3143" s="43"/>
      <c r="U3143" s="43" t="str">
        <f t="shared" si="8"/>
        <v>No</v>
      </c>
      <c r="V3143" s="25"/>
      <c r="W3143" s="25"/>
      <c r="X3143" s="25"/>
      <c r="Y3143" s="25"/>
      <c r="Z3143" s="25"/>
    </row>
    <row r="3144" spans="1:26" ht="15.75" customHeight="1" x14ac:dyDescent="0.25">
      <c r="A3144" s="25">
        <v>3142</v>
      </c>
      <c r="B3144" s="37" t="e">
        <f t="shared" ref="B3144:D3144" si="6329">VLOOKUP($A3144,[10]Mujer!$A$1:$O$279,B$1,0)</f>
        <v>#N/A</v>
      </c>
      <c r="C3144" s="38" t="e">
        <f t="shared" si="6329"/>
        <v>#N/A</v>
      </c>
      <c r="D3144" s="39" t="e">
        <f t="shared" si="6329"/>
        <v>#N/A</v>
      </c>
      <c r="E3144" s="16" t="e">
        <f t="shared" si="1"/>
        <v>#N/A</v>
      </c>
      <c r="F3144" s="16" t="e">
        <f t="shared" ref="F3144:K3144" si="6330">VLOOKUP($A3144,[10]Mujer!$A$1:$O$279,F$1,0)</f>
        <v>#N/A</v>
      </c>
      <c r="G3144" s="39" t="e">
        <f t="shared" si="6330"/>
        <v>#N/A</v>
      </c>
      <c r="H3144" s="16" t="e">
        <f t="shared" si="6330"/>
        <v>#N/A</v>
      </c>
      <c r="I3144" s="16" t="e">
        <f t="shared" si="6330"/>
        <v>#N/A</v>
      </c>
      <c r="J3144" s="40" t="e">
        <f t="shared" si="6330"/>
        <v>#N/A</v>
      </c>
      <c r="K3144" s="16" t="e">
        <f t="shared" si="6330"/>
        <v>#N/A</v>
      </c>
      <c r="L3144" s="40" t="e">
        <f t="shared" si="6045"/>
        <v>#N/A</v>
      </c>
      <c r="M3144" s="16" t="e">
        <f t="shared" si="6046"/>
        <v>#N/A</v>
      </c>
      <c r="N3144" s="16" t="e">
        <f t="shared" si="6047"/>
        <v>#N/A</v>
      </c>
      <c r="O3144" s="16" t="s">
        <v>74</v>
      </c>
      <c r="P3144" s="16" t="str">
        <f t="shared" si="6"/>
        <v/>
      </c>
      <c r="Q3144" s="41" t="e">
        <f t="shared" si="6048"/>
        <v>#N/A</v>
      </c>
      <c r="R3144" s="44"/>
      <c r="S3144" s="44"/>
      <c r="T3144" s="43"/>
      <c r="U3144" s="43" t="str">
        <f t="shared" si="8"/>
        <v>No</v>
      </c>
      <c r="V3144" s="25"/>
      <c r="W3144" s="25"/>
      <c r="X3144" s="25"/>
      <c r="Y3144" s="25"/>
      <c r="Z3144" s="25"/>
    </row>
    <row r="3145" spans="1:26" ht="15.75" customHeight="1" x14ac:dyDescent="0.25">
      <c r="A3145" s="25">
        <v>3143</v>
      </c>
      <c r="B3145" s="37" t="e">
        <f t="shared" ref="B3145:D3145" si="6331">VLOOKUP($A3145,[10]Mujer!$A$1:$O$279,B$1,0)</f>
        <v>#N/A</v>
      </c>
      <c r="C3145" s="38" t="e">
        <f t="shared" si="6331"/>
        <v>#N/A</v>
      </c>
      <c r="D3145" s="39" t="e">
        <f t="shared" si="6331"/>
        <v>#N/A</v>
      </c>
      <c r="E3145" s="16" t="e">
        <f t="shared" si="1"/>
        <v>#N/A</v>
      </c>
      <c r="F3145" s="16" t="e">
        <f t="shared" ref="F3145:K3145" si="6332">VLOOKUP($A3145,[10]Mujer!$A$1:$O$279,F$1,0)</f>
        <v>#N/A</v>
      </c>
      <c r="G3145" s="39" t="e">
        <f t="shared" si="6332"/>
        <v>#N/A</v>
      </c>
      <c r="H3145" s="16" t="e">
        <f t="shared" si="6332"/>
        <v>#N/A</v>
      </c>
      <c r="I3145" s="16" t="e">
        <f t="shared" si="6332"/>
        <v>#N/A</v>
      </c>
      <c r="J3145" s="40" t="e">
        <f t="shared" si="6332"/>
        <v>#N/A</v>
      </c>
      <c r="K3145" s="16" t="e">
        <f t="shared" si="6332"/>
        <v>#N/A</v>
      </c>
      <c r="L3145" s="40" t="e">
        <f t="shared" si="6045"/>
        <v>#N/A</v>
      </c>
      <c r="M3145" s="16" t="e">
        <f t="shared" si="6046"/>
        <v>#N/A</v>
      </c>
      <c r="N3145" s="16" t="e">
        <f t="shared" si="6047"/>
        <v>#N/A</v>
      </c>
      <c r="O3145" s="16" t="s">
        <v>74</v>
      </c>
      <c r="P3145" s="16" t="str">
        <f t="shared" si="6"/>
        <v/>
      </c>
      <c r="Q3145" s="41" t="e">
        <f t="shared" si="6048"/>
        <v>#N/A</v>
      </c>
      <c r="R3145" s="44"/>
      <c r="S3145" s="44"/>
      <c r="T3145" s="43"/>
      <c r="U3145" s="43" t="str">
        <f t="shared" si="8"/>
        <v>No</v>
      </c>
      <c r="V3145" s="25"/>
      <c r="W3145" s="25"/>
      <c r="X3145" s="25"/>
      <c r="Y3145" s="25"/>
      <c r="Z3145" s="25"/>
    </row>
    <row r="3146" spans="1:26" ht="15.75" customHeight="1" x14ac:dyDescent="0.25">
      <c r="A3146" s="25">
        <v>3144</v>
      </c>
      <c r="B3146" s="37" t="e">
        <f t="shared" ref="B3146:D3146" si="6333">VLOOKUP($A3146,[10]Mujer!$A$1:$O$279,B$1,0)</f>
        <v>#N/A</v>
      </c>
      <c r="C3146" s="38" t="e">
        <f t="shared" si="6333"/>
        <v>#N/A</v>
      </c>
      <c r="D3146" s="39" t="e">
        <f t="shared" si="6333"/>
        <v>#N/A</v>
      </c>
      <c r="E3146" s="16" t="e">
        <f t="shared" si="1"/>
        <v>#N/A</v>
      </c>
      <c r="F3146" s="16" t="e">
        <f t="shared" ref="F3146:K3146" si="6334">VLOOKUP($A3146,[10]Mujer!$A$1:$O$279,F$1,0)</f>
        <v>#N/A</v>
      </c>
      <c r="G3146" s="39" t="e">
        <f t="shared" si="6334"/>
        <v>#N/A</v>
      </c>
      <c r="H3146" s="16" t="e">
        <f t="shared" si="6334"/>
        <v>#N/A</v>
      </c>
      <c r="I3146" s="16" t="e">
        <f t="shared" si="6334"/>
        <v>#N/A</v>
      </c>
      <c r="J3146" s="40" t="e">
        <f t="shared" si="6334"/>
        <v>#N/A</v>
      </c>
      <c r="K3146" s="16" t="e">
        <f t="shared" si="6334"/>
        <v>#N/A</v>
      </c>
      <c r="L3146" s="40" t="e">
        <f t="shared" si="6045"/>
        <v>#N/A</v>
      </c>
      <c r="M3146" s="16" t="e">
        <f t="shared" si="6046"/>
        <v>#N/A</v>
      </c>
      <c r="N3146" s="16" t="e">
        <f t="shared" si="6047"/>
        <v>#N/A</v>
      </c>
      <c r="O3146" s="16" t="s">
        <v>74</v>
      </c>
      <c r="P3146" s="16" t="str">
        <f t="shared" si="6"/>
        <v/>
      </c>
      <c r="Q3146" s="41" t="e">
        <f t="shared" si="6048"/>
        <v>#N/A</v>
      </c>
      <c r="R3146" s="44"/>
      <c r="S3146" s="44"/>
      <c r="T3146" s="43"/>
      <c r="U3146" s="43" t="str">
        <f t="shared" si="8"/>
        <v>No</v>
      </c>
      <c r="V3146" s="25"/>
      <c r="W3146" s="25"/>
      <c r="X3146" s="25"/>
      <c r="Y3146" s="25"/>
      <c r="Z3146" s="25"/>
    </row>
    <row r="3147" spans="1:26" ht="15.75" customHeight="1" x14ac:dyDescent="0.25">
      <c r="A3147" s="25">
        <v>3145</v>
      </c>
      <c r="B3147" s="37" t="e">
        <f t="shared" ref="B3147:D3147" si="6335">VLOOKUP($A3147,[10]Mujer!$A$1:$O$279,B$1,0)</f>
        <v>#N/A</v>
      </c>
      <c r="C3147" s="38" t="e">
        <f t="shared" si="6335"/>
        <v>#N/A</v>
      </c>
      <c r="D3147" s="39" t="e">
        <f t="shared" si="6335"/>
        <v>#N/A</v>
      </c>
      <c r="E3147" s="16" t="e">
        <f t="shared" si="1"/>
        <v>#N/A</v>
      </c>
      <c r="F3147" s="16" t="e">
        <f t="shared" ref="F3147:K3147" si="6336">VLOOKUP($A3147,[10]Mujer!$A$1:$O$279,F$1,0)</f>
        <v>#N/A</v>
      </c>
      <c r="G3147" s="39" t="e">
        <f t="shared" si="6336"/>
        <v>#N/A</v>
      </c>
      <c r="H3147" s="16" t="e">
        <f t="shared" si="6336"/>
        <v>#N/A</v>
      </c>
      <c r="I3147" s="16" t="e">
        <f t="shared" si="6336"/>
        <v>#N/A</v>
      </c>
      <c r="J3147" s="40" t="e">
        <f t="shared" si="6336"/>
        <v>#N/A</v>
      </c>
      <c r="K3147" s="16" t="e">
        <f t="shared" si="6336"/>
        <v>#N/A</v>
      </c>
      <c r="L3147" s="40" t="e">
        <f t="shared" si="6045"/>
        <v>#N/A</v>
      </c>
      <c r="M3147" s="16" t="e">
        <f t="shared" si="6046"/>
        <v>#N/A</v>
      </c>
      <c r="N3147" s="16" t="e">
        <f t="shared" si="6047"/>
        <v>#N/A</v>
      </c>
      <c r="O3147" s="16" t="s">
        <v>74</v>
      </c>
      <c r="P3147" s="16" t="str">
        <f t="shared" si="6"/>
        <v/>
      </c>
      <c r="Q3147" s="41" t="e">
        <f t="shared" si="6048"/>
        <v>#N/A</v>
      </c>
      <c r="R3147" s="44"/>
      <c r="S3147" s="44"/>
      <c r="T3147" s="43"/>
      <c r="U3147" s="43" t="str">
        <f t="shared" si="8"/>
        <v>No</v>
      </c>
      <c r="V3147" s="25"/>
      <c r="W3147" s="25"/>
      <c r="X3147" s="25"/>
      <c r="Y3147" s="25"/>
      <c r="Z3147" s="25"/>
    </row>
    <row r="3148" spans="1:26" ht="15.75" customHeight="1" x14ac:dyDescent="0.25">
      <c r="A3148" s="25">
        <v>3146</v>
      </c>
      <c r="B3148" s="37" t="e">
        <f t="shared" ref="B3148:D3148" si="6337">VLOOKUP($A3148,[10]Mujer!$A$1:$O$279,B$1,0)</f>
        <v>#N/A</v>
      </c>
      <c r="C3148" s="38" t="e">
        <f t="shared" si="6337"/>
        <v>#N/A</v>
      </c>
      <c r="D3148" s="39" t="e">
        <f t="shared" si="6337"/>
        <v>#N/A</v>
      </c>
      <c r="E3148" s="16" t="e">
        <f t="shared" si="1"/>
        <v>#N/A</v>
      </c>
      <c r="F3148" s="16" t="e">
        <f t="shared" ref="F3148:K3148" si="6338">VLOOKUP($A3148,[10]Mujer!$A$1:$O$279,F$1,0)</f>
        <v>#N/A</v>
      </c>
      <c r="G3148" s="39" t="e">
        <f t="shared" si="6338"/>
        <v>#N/A</v>
      </c>
      <c r="H3148" s="16" t="e">
        <f t="shared" si="6338"/>
        <v>#N/A</v>
      </c>
      <c r="I3148" s="16" t="e">
        <f t="shared" si="6338"/>
        <v>#N/A</v>
      </c>
      <c r="J3148" s="40" t="e">
        <f t="shared" si="6338"/>
        <v>#N/A</v>
      </c>
      <c r="K3148" s="16" t="e">
        <f t="shared" si="6338"/>
        <v>#N/A</v>
      </c>
      <c r="L3148" s="40" t="e">
        <f t="shared" si="6045"/>
        <v>#N/A</v>
      </c>
      <c r="M3148" s="16" t="e">
        <f t="shared" si="6046"/>
        <v>#N/A</v>
      </c>
      <c r="N3148" s="16" t="e">
        <f t="shared" si="6047"/>
        <v>#N/A</v>
      </c>
      <c r="O3148" s="16" t="s">
        <v>74</v>
      </c>
      <c r="P3148" s="16" t="str">
        <f t="shared" si="6"/>
        <v/>
      </c>
      <c r="Q3148" s="41" t="e">
        <f t="shared" si="6048"/>
        <v>#N/A</v>
      </c>
      <c r="R3148" s="44"/>
      <c r="S3148" s="44"/>
      <c r="T3148" s="43"/>
      <c r="U3148" s="43" t="str">
        <f t="shared" si="8"/>
        <v>No</v>
      </c>
      <c r="V3148" s="25"/>
      <c r="W3148" s="25"/>
      <c r="X3148" s="25"/>
      <c r="Y3148" s="25"/>
      <c r="Z3148" s="25"/>
    </row>
    <row r="3149" spans="1:26" ht="15.75" customHeight="1" x14ac:dyDescent="0.25">
      <c r="A3149" s="25">
        <v>3147</v>
      </c>
      <c r="B3149" s="37" t="e">
        <f t="shared" ref="B3149:D3149" si="6339">VLOOKUP($A3149,[10]Mujer!$A$1:$O$279,B$1,0)</f>
        <v>#N/A</v>
      </c>
      <c r="C3149" s="38" t="e">
        <f t="shared" si="6339"/>
        <v>#N/A</v>
      </c>
      <c r="D3149" s="39" t="e">
        <f t="shared" si="6339"/>
        <v>#N/A</v>
      </c>
      <c r="E3149" s="16" t="e">
        <f t="shared" si="1"/>
        <v>#N/A</v>
      </c>
      <c r="F3149" s="16" t="e">
        <f t="shared" ref="F3149:K3149" si="6340">VLOOKUP($A3149,[10]Mujer!$A$1:$O$279,F$1,0)</f>
        <v>#N/A</v>
      </c>
      <c r="G3149" s="39" t="e">
        <f t="shared" si="6340"/>
        <v>#N/A</v>
      </c>
      <c r="H3149" s="16" t="e">
        <f t="shared" si="6340"/>
        <v>#N/A</v>
      </c>
      <c r="I3149" s="16" t="e">
        <f t="shared" si="6340"/>
        <v>#N/A</v>
      </c>
      <c r="J3149" s="40" t="e">
        <f t="shared" si="6340"/>
        <v>#N/A</v>
      </c>
      <c r="K3149" s="16" t="e">
        <f t="shared" si="6340"/>
        <v>#N/A</v>
      </c>
      <c r="L3149" s="40" t="e">
        <f t="shared" si="6045"/>
        <v>#N/A</v>
      </c>
      <c r="M3149" s="16" t="e">
        <f t="shared" si="6046"/>
        <v>#N/A</v>
      </c>
      <c r="N3149" s="16" t="e">
        <f t="shared" si="6047"/>
        <v>#N/A</v>
      </c>
      <c r="O3149" s="16" t="s">
        <v>74</v>
      </c>
      <c r="P3149" s="16" t="str">
        <f t="shared" si="6"/>
        <v/>
      </c>
      <c r="Q3149" s="41" t="e">
        <f t="shared" si="6048"/>
        <v>#N/A</v>
      </c>
      <c r="R3149" s="44"/>
      <c r="S3149" s="44"/>
      <c r="T3149" s="43"/>
      <c r="U3149" s="43" t="str">
        <f t="shared" si="8"/>
        <v>No</v>
      </c>
      <c r="V3149" s="25"/>
      <c r="W3149" s="25"/>
      <c r="X3149" s="25"/>
      <c r="Y3149" s="25"/>
      <c r="Z3149" s="25"/>
    </row>
    <row r="3150" spans="1:26" ht="15.75" customHeight="1" x14ac:dyDescent="0.25">
      <c r="A3150" s="25">
        <v>3148</v>
      </c>
      <c r="B3150" s="37" t="e">
        <f t="shared" ref="B3150:D3150" si="6341">VLOOKUP($A3150,[10]Mujer!$A$1:$O$279,B$1,0)</f>
        <v>#N/A</v>
      </c>
      <c r="C3150" s="38" t="e">
        <f t="shared" si="6341"/>
        <v>#N/A</v>
      </c>
      <c r="D3150" s="39" t="e">
        <f t="shared" si="6341"/>
        <v>#N/A</v>
      </c>
      <c r="E3150" s="16" t="e">
        <f t="shared" si="1"/>
        <v>#N/A</v>
      </c>
      <c r="F3150" s="16" t="e">
        <f t="shared" ref="F3150:K3150" si="6342">VLOOKUP($A3150,[10]Mujer!$A$1:$O$279,F$1,0)</f>
        <v>#N/A</v>
      </c>
      <c r="G3150" s="39" t="e">
        <f t="shared" si="6342"/>
        <v>#N/A</v>
      </c>
      <c r="H3150" s="16" t="e">
        <f t="shared" si="6342"/>
        <v>#N/A</v>
      </c>
      <c r="I3150" s="16" t="e">
        <f t="shared" si="6342"/>
        <v>#N/A</v>
      </c>
      <c r="J3150" s="40" t="e">
        <f t="shared" si="6342"/>
        <v>#N/A</v>
      </c>
      <c r="K3150" s="16" t="e">
        <f t="shared" si="6342"/>
        <v>#N/A</v>
      </c>
      <c r="L3150" s="40" t="e">
        <f t="shared" si="6045"/>
        <v>#N/A</v>
      </c>
      <c r="M3150" s="16" t="e">
        <f t="shared" si="6046"/>
        <v>#N/A</v>
      </c>
      <c r="N3150" s="16" t="e">
        <f t="shared" si="6047"/>
        <v>#N/A</v>
      </c>
      <c r="O3150" s="16" t="s">
        <v>74</v>
      </c>
      <c r="P3150" s="16" t="str">
        <f t="shared" si="6"/>
        <v/>
      </c>
      <c r="Q3150" s="41" t="e">
        <f t="shared" si="6048"/>
        <v>#N/A</v>
      </c>
      <c r="R3150" s="44"/>
      <c r="S3150" s="44"/>
      <c r="T3150" s="43"/>
      <c r="U3150" s="43" t="str">
        <f t="shared" si="8"/>
        <v>No</v>
      </c>
      <c r="V3150" s="25"/>
      <c r="W3150" s="25"/>
      <c r="X3150" s="25"/>
      <c r="Y3150" s="25"/>
      <c r="Z3150" s="25"/>
    </row>
    <row r="3151" spans="1:26" ht="15.75" customHeight="1" x14ac:dyDescent="0.25">
      <c r="A3151" s="25">
        <v>3149</v>
      </c>
      <c r="B3151" s="37" t="e">
        <f t="shared" ref="B3151:D3151" si="6343">VLOOKUP($A3151,[10]Mujer!$A$1:$O$279,B$1,0)</f>
        <v>#N/A</v>
      </c>
      <c r="C3151" s="38" t="e">
        <f t="shared" si="6343"/>
        <v>#N/A</v>
      </c>
      <c r="D3151" s="39" t="e">
        <f t="shared" si="6343"/>
        <v>#N/A</v>
      </c>
      <c r="E3151" s="16" t="e">
        <f t="shared" si="1"/>
        <v>#N/A</v>
      </c>
      <c r="F3151" s="16" t="e">
        <f t="shared" ref="F3151:K3151" si="6344">VLOOKUP($A3151,[10]Mujer!$A$1:$O$279,F$1,0)</f>
        <v>#N/A</v>
      </c>
      <c r="G3151" s="39" t="e">
        <f t="shared" si="6344"/>
        <v>#N/A</v>
      </c>
      <c r="H3151" s="16" t="e">
        <f t="shared" si="6344"/>
        <v>#N/A</v>
      </c>
      <c r="I3151" s="16" t="e">
        <f t="shared" si="6344"/>
        <v>#N/A</v>
      </c>
      <c r="J3151" s="40" t="e">
        <f t="shared" si="6344"/>
        <v>#N/A</v>
      </c>
      <c r="K3151" s="16" t="e">
        <f t="shared" si="6344"/>
        <v>#N/A</v>
      </c>
      <c r="L3151" s="40" t="e">
        <f t="shared" si="6045"/>
        <v>#N/A</v>
      </c>
      <c r="M3151" s="16" t="e">
        <f t="shared" si="6046"/>
        <v>#N/A</v>
      </c>
      <c r="N3151" s="16" t="e">
        <f t="shared" si="6047"/>
        <v>#N/A</v>
      </c>
      <c r="O3151" s="16" t="s">
        <v>74</v>
      </c>
      <c r="P3151" s="16" t="str">
        <f t="shared" si="6"/>
        <v/>
      </c>
      <c r="Q3151" s="41" t="e">
        <f t="shared" si="6048"/>
        <v>#N/A</v>
      </c>
      <c r="R3151" s="44"/>
      <c r="S3151" s="44"/>
      <c r="T3151" s="43"/>
      <c r="U3151" s="43" t="str">
        <f t="shared" si="8"/>
        <v>No</v>
      </c>
      <c r="V3151" s="25"/>
      <c r="W3151" s="25"/>
      <c r="X3151" s="25"/>
      <c r="Y3151" s="25"/>
      <c r="Z3151" s="25"/>
    </row>
    <row r="3152" spans="1:26" ht="15.75" customHeight="1" x14ac:dyDescent="0.25">
      <c r="A3152" s="25">
        <v>3150</v>
      </c>
      <c r="B3152" s="37" t="e">
        <f t="shared" ref="B3152:D3152" si="6345">VLOOKUP($A3152,[10]Mujer!$A$1:$O$279,B$1,0)</f>
        <v>#N/A</v>
      </c>
      <c r="C3152" s="38" t="e">
        <f t="shared" si="6345"/>
        <v>#N/A</v>
      </c>
      <c r="D3152" s="39" t="e">
        <f t="shared" si="6345"/>
        <v>#N/A</v>
      </c>
      <c r="E3152" s="16" t="e">
        <f t="shared" si="1"/>
        <v>#N/A</v>
      </c>
      <c r="F3152" s="16" t="e">
        <f t="shared" ref="F3152:K3152" si="6346">VLOOKUP($A3152,[10]Mujer!$A$1:$O$279,F$1,0)</f>
        <v>#N/A</v>
      </c>
      <c r="G3152" s="39" t="e">
        <f t="shared" si="6346"/>
        <v>#N/A</v>
      </c>
      <c r="H3152" s="16" t="e">
        <f t="shared" si="6346"/>
        <v>#N/A</v>
      </c>
      <c r="I3152" s="16" t="e">
        <f t="shared" si="6346"/>
        <v>#N/A</v>
      </c>
      <c r="J3152" s="40" t="e">
        <f t="shared" si="6346"/>
        <v>#N/A</v>
      </c>
      <c r="K3152" s="16" t="e">
        <f t="shared" si="6346"/>
        <v>#N/A</v>
      </c>
      <c r="L3152" s="40" t="e">
        <f t="shared" si="6045"/>
        <v>#N/A</v>
      </c>
      <c r="M3152" s="16" t="e">
        <f t="shared" si="6046"/>
        <v>#N/A</v>
      </c>
      <c r="N3152" s="16" t="e">
        <f t="shared" si="6047"/>
        <v>#N/A</v>
      </c>
      <c r="O3152" s="16" t="s">
        <v>74</v>
      </c>
      <c r="P3152" s="16" t="str">
        <f t="shared" si="6"/>
        <v/>
      </c>
      <c r="Q3152" s="41" t="e">
        <f t="shared" si="6048"/>
        <v>#N/A</v>
      </c>
      <c r="R3152" s="44"/>
      <c r="S3152" s="44"/>
      <c r="T3152" s="43"/>
      <c r="U3152" s="43" t="str">
        <f t="shared" si="8"/>
        <v>No</v>
      </c>
      <c r="V3152" s="25"/>
      <c r="W3152" s="25"/>
      <c r="X3152" s="25"/>
      <c r="Y3152" s="25"/>
      <c r="Z3152" s="25"/>
    </row>
    <row r="3153" spans="1:26" ht="15.75" customHeight="1" x14ac:dyDescent="0.25">
      <c r="A3153" s="25">
        <v>3151</v>
      </c>
      <c r="B3153" s="37" t="e">
        <f t="shared" ref="B3153:D3153" si="6347">VLOOKUP($A3153,[10]Mujer!$A$1:$O$279,B$1,0)</f>
        <v>#N/A</v>
      </c>
      <c r="C3153" s="38" t="e">
        <f t="shared" si="6347"/>
        <v>#N/A</v>
      </c>
      <c r="D3153" s="39" t="e">
        <f t="shared" si="6347"/>
        <v>#N/A</v>
      </c>
      <c r="E3153" s="16" t="e">
        <f t="shared" si="1"/>
        <v>#N/A</v>
      </c>
      <c r="F3153" s="16" t="e">
        <f t="shared" ref="F3153:K3153" si="6348">VLOOKUP($A3153,[10]Mujer!$A$1:$O$279,F$1,0)</f>
        <v>#N/A</v>
      </c>
      <c r="G3153" s="39" t="e">
        <f t="shared" si="6348"/>
        <v>#N/A</v>
      </c>
      <c r="H3153" s="16" t="e">
        <f t="shared" si="6348"/>
        <v>#N/A</v>
      </c>
      <c r="I3153" s="16" t="e">
        <f t="shared" si="6348"/>
        <v>#N/A</v>
      </c>
      <c r="J3153" s="40" t="e">
        <f t="shared" si="6348"/>
        <v>#N/A</v>
      </c>
      <c r="K3153" s="16" t="e">
        <f t="shared" si="6348"/>
        <v>#N/A</v>
      </c>
      <c r="L3153" s="40" t="e">
        <f t="shared" si="6045"/>
        <v>#N/A</v>
      </c>
      <c r="M3153" s="16" t="e">
        <f t="shared" si="6046"/>
        <v>#N/A</v>
      </c>
      <c r="N3153" s="16" t="e">
        <f t="shared" si="6047"/>
        <v>#N/A</v>
      </c>
      <c r="O3153" s="16" t="s">
        <v>74</v>
      </c>
      <c r="P3153" s="16" t="str">
        <f t="shared" si="6"/>
        <v/>
      </c>
      <c r="Q3153" s="41" t="e">
        <f t="shared" si="6048"/>
        <v>#N/A</v>
      </c>
      <c r="R3153" s="44"/>
      <c r="S3153" s="44"/>
      <c r="T3153" s="43"/>
      <c r="U3153" s="43" t="str">
        <f t="shared" si="8"/>
        <v>No</v>
      </c>
      <c r="V3153" s="25"/>
      <c r="W3153" s="25"/>
      <c r="X3153" s="25"/>
      <c r="Y3153" s="25"/>
      <c r="Z3153" s="25"/>
    </row>
    <row r="3154" spans="1:26" ht="15.75" customHeight="1" x14ac:dyDescent="0.25">
      <c r="A3154" s="25">
        <v>3152</v>
      </c>
      <c r="B3154" s="37" t="e">
        <f t="shared" ref="B3154:D3154" si="6349">VLOOKUP($A3154,[10]Mujer!$A$1:$O$279,B$1,0)</f>
        <v>#N/A</v>
      </c>
      <c r="C3154" s="38" t="e">
        <f t="shared" si="6349"/>
        <v>#N/A</v>
      </c>
      <c r="D3154" s="39" t="e">
        <f t="shared" si="6349"/>
        <v>#N/A</v>
      </c>
      <c r="E3154" s="16" t="e">
        <f t="shared" si="1"/>
        <v>#N/A</v>
      </c>
      <c r="F3154" s="16" t="e">
        <f t="shared" ref="F3154:K3154" si="6350">VLOOKUP($A3154,[10]Mujer!$A$1:$O$279,F$1,0)</f>
        <v>#N/A</v>
      </c>
      <c r="G3154" s="39" t="e">
        <f t="shared" si="6350"/>
        <v>#N/A</v>
      </c>
      <c r="H3154" s="16" t="e">
        <f t="shared" si="6350"/>
        <v>#N/A</v>
      </c>
      <c r="I3154" s="16" t="e">
        <f t="shared" si="6350"/>
        <v>#N/A</v>
      </c>
      <c r="J3154" s="40" t="e">
        <f t="shared" si="6350"/>
        <v>#N/A</v>
      </c>
      <c r="K3154" s="16" t="e">
        <f t="shared" si="6350"/>
        <v>#N/A</v>
      </c>
      <c r="L3154" s="40" t="e">
        <f t="shared" si="6045"/>
        <v>#N/A</v>
      </c>
      <c r="M3154" s="16" t="e">
        <f t="shared" si="6046"/>
        <v>#N/A</v>
      </c>
      <c r="N3154" s="16" t="e">
        <f t="shared" si="6047"/>
        <v>#N/A</v>
      </c>
      <c r="O3154" s="16" t="s">
        <v>74</v>
      </c>
      <c r="P3154" s="16" t="str">
        <f t="shared" si="6"/>
        <v/>
      </c>
      <c r="Q3154" s="41" t="e">
        <f t="shared" si="6048"/>
        <v>#N/A</v>
      </c>
      <c r="R3154" s="44"/>
      <c r="S3154" s="44"/>
      <c r="T3154" s="43"/>
      <c r="U3154" s="43" t="str">
        <f t="shared" si="8"/>
        <v>No</v>
      </c>
      <c r="V3154" s="25"/>
      <c r="W3154" s="25"/>
      <c r="X3154" s="25"/>
      <c r="Y3154" s="25"/>
      <c r="Z3154" s="25"/>
    </row>
    <row r="3155" spans="1:26" ht="15.75" customHeight="1" x14ac:dyDescent="0.25">
      <c r="A3155" s="25">
        <v>3153</v>
      </c>
      <c r="B3155" s="37" t="e">
        <f t="shared" ref="B3155:D3155" si="6351">VLOOKUP($A3155,[10]Mujer!$A$1:$O$279,B$1,0)</f>
        <v>#N/A</v>
      </c>
      <c r="C3155" s="38" t="e">
        <f t="shared" si="6351"/>
        <v>#N/A</v>
      </c>
      <c r="D3155" s="39" t="e">
        <f t="shared" si="6351"/>
        <v>#N/A</v>
      </c>
      <c r="E3155" s="16" t="e">
        <f t="shared" si="1"/>
        <v>#N/A</v>
      </c>
      <c r="F3155" s="16" t="e">
        <f t="shared" ref="F3155:K3155" si="6352">VLOOKUP($A3155,[10]Mujer!$A$1:$O$279,F$1,0)</f>
        <v>#N/A</v>
      </c>
      <c r="G3155" s="39" t="e">
        <f t="shared" si="6352"/>
        <v>#N/A</v>
      </c>
      <c r="H3155" s="16" t="e">
        <f t="shared" si="6352"/>
        <v>#N/A</v>
      </c>
      <c r="I3155" s="16" t="e">
        <f t="shared" si="6352"/>
        <v>#N/A</v>
      </c>
      <c r="J3155" s="40" t="e">
        <f t="shared" si="6352"/>
        <v>#N/A</v>
      </c>
      <c r="K3155" s="16" t="e">
        <f t="shared" si="6352"/>
        <v>#N/A</v>
      </c>
      <c r="L3155" s="40" t="e">
        <f t="shared" si="6045"/>
        <v>#N/A</v>
      </c>
      <c r="M3155" s="16" t="e">
        <f t="shared" si="6046"/>
        <v>#N/A</v>
      </c>
      <c r="N3155" s="16" t="e">
        <f t="shared" si="6047"/>
        <v>#N/A</v>
      </c>
      <c r="O3155" s="16" t="s">
        <v>74</v>
      </c>
      <c r="P3155" s="16" t="str">
        <f t="shared" si="6"/>
        <v/>
      </c>
      <c r="Q3155" s="41" t="e">
        <f t="shared" si="6048"/>
        <v>#N/A</v>
      </c>
      <c r="R3155" s="44"/>
      <c r="S3155" s="44"/>
      <c r="T3155" s="43"/>
      <c r="U3155" s="43" t="str">
        <f t="shared" si="8"/>
        <v>No</v>
      </c>
      <c r="V3155" s="25"/>
      <c r="W3155" s="25"/>
      <c r="X3155" s="25"/>
      <c r="Y3155" s="25"/>
      <c r="Z3155" s="25"/>
    </row>
    <row r="3156" spans="1:26" ht="15.75" customHeight="1" x14ac:dyDescent="0.25">
      <c r="A3156" s="25">
        <v>3154</v>
      </c>
      <c r="B3156" s="37" t="e">
        <f t="shared" ref="B3156:D3156" si="6353">VLOOKUP($A3156,[10]Mujer!$A$1:$O$279,B$1,0)</f>
        <v>#N/A</v>
      </c>
      <c r="C3156" s="38" t="e">
        <f t="shared" si="6353"/>
        <v>#N/A</v>
      </c>
      <c r="D3156" s="39" t="e">
        <f t="shared" si="6353"/>
        <v>#N/A</v>
      </c>
      <c r="E3156" s="16" t="e">
        <f t="shared" si="1"/>
        <v>#N/A</v>
      </c>
      <c r="F3156" s="16" t="e">
        <f t="shared" ref="F3156:K3156" si="6354">VLOOKUP($A3156,[10]Mujer!$A$1:$O$279,F$1,0)</f>
        <v>#N/A</v>
      </c>
      <c r="G3156" s="39" t="e">
        <f t="shared" si="6354"/>
        <v>#N/A</v>
      </c>
      <c r="H3156" s="16" t="e">
        <f t="shared" si="6354"/>
        <v>#N/A</v>
      </c>
      <c r="I3156" s="16" t="e">
        <f t="shared" si="6354"/>
        <v>#N/A</v>
      </c>
      <c r="J3156" s="40" t="e">
        <f t="shared" si="6354"/>
        <v>#N/A</v>
      </c>
      <c r="K3156" s="16" t="e">
        <f t="shared" si="6354"/>
        <v>#N/A</v>
      </c>
      <c r="L3156" s="40" t="e">
        <f t="shared" si="6045"/>
        <v>#N/A</v>
      </c>
      <c r="M3156" s="16" t="e">
        <f t="shared" si="6046"/>
        <v>#N/A</v>
      </c>
      <c r="N3156" s="16" t="e">
        <f t="shared" si="6047"/>
        <v>#N/A</v>
      </c>
      <c r="O3156" s="16" t="s">
        <v>74</v>
      </c>
      <c r="P3156" s="16" t="str">
        <f t="shared" si="6"/>
        <v/>
      </c>
      <c r="Q3156" s="41" t="e">
        <f t="shared" si="6048"/>
        <v>#N/A</v>
      </c>
      <c r="R3156" s="44"/>
      <c r="S3156" s="44"/>
      <c r="T3156" s="43"/>
      <c r="U3156" s="43" t="str">
        <f t="shared" si="8"/>
        <v>No</v>
      </c>
      <c r="V3156" s="25"/>
      <c r="W3156" s="25"/>
      <c r="X3156" s="25"/>
      <c r="Y3156" s="25"/>
      <c r="Z3156" s="25"/>
    </row>
    <row r="3157" spans="1:26" ht="15.75" customHeight="1" x14ac:dyDescent="0.25">
      <c r="A3157" s="25">
        <v>3155</v>
      </c>
      <c r="B3157" s="37" t="e">
        <f t="shared" ref="B3157:D3157" si="6355">VLOOKUP($A3157,[10]Mujer!$A$1:$O$279,B$1,0)</f>
        <v>#N/A</v>
      </c>
      <c r="C3157" s="38" t="e">
        <f t="shared" si="6355"/>
        <v>#N/A</v>
      </c>
      <c r="D3157" s="39" t="e">
        <f t="shared" si="6355"/>
        <v>#N/A</v>
      </c>
      <c r="E3157" s="16" t="e">
        <f t="shared" si="1"/>
        <v>#N/A</v>
      </c>
      <c r="F3157" s="16" t="e">
        <f t="shared" ref="F3157:K3157" si="6356">VLOOKUP($A3157,[10]Mujer!$A$1:$O$279,F$1,0)</f>
        <v>#N/A</v>
      </c>
      <c r="G3157" s="39" t="e">
        <f t="shared" si="6356"/>
        <v>#N/A</v>
      </c>
      <c r="H3157" s="16" t="e">
        <f t="shared" si="6356"/>
        <v>#N/A</v>
      </c>
      <c r="I3157" s="16" t="e">
        <f t="shared" si="6356"/>
        <v>#N/A</v>
      </c>
      <c r="J3157" s="40" t="e">
        <f t="shared" si="6356"/>
        <v>#N/A</v>
      </c>
      <c r="K3157" s="16" t="e">
        <f t="shared" si="6356"/>
        <v>#N/A</v>
      </c>
      <c r="L3157" s="40" t="e">
        <f t="shared" si="6045"/>
        <v>#N/A</v>
      </c>
      <c r="M3157" s="16" t="e">
        <f t="shared" si="6046"/>
        <v>#N/A</v>
      </c>
      <c r="N3157" s="16" t="e">
        <f t="shared" si="6047"/>
        <v>#N/A</v>
      </c>
      <c r="O3157" s="16" t="s">
        <v>74</v>
      </c>
      <c r="P3157" s="16" t="str">
        <f t="shared" si="6"/>
        <v/>
      </c>
      <c r="Q3157" s="41" t="e">
        <f t="shared" si="6048"/>
        <v>#N/A</v>
      </c>
      <c r="R3157" s="44"/>
      <c r="S3157" s="44"/>
      <c r="T3157" s="43"/>
      <c r="U3157" s="43" t="str">
        <f t="shared" si="8"/>
        <v>No</v>
      </c>
      <c r="V3157" s="25"/>
      <c r="W3157" s="25"/>
      <c r="X3157" s="25"/>
      <c r="Y3157" s="25"/>
      <c r="Z3157" s="25"/>
    </row>
    <row r="3158" spans="1:26" ht="15.75" customHeight="1" x14ac:dyDescent="0.25">
      <c r="A3158" s="25">
        <v>3156</v>
      </c>
      <c r="B3158" s="37" t="e">
        <f t="shared" ref="B3158:D3158" si="6357">VLOOKUP($A3158,[10]Mujer!$A$1:$O$279,B$1,0)</f>
        <v>#N/A</v>
      </c>
      <c r="C3158" s="38" t="e">
        <f t="shared" si="6357"/>
        <v>#N/A</v>
      </c>
      <c r="D3158" s="39" t="e">
        <f t="shared" si="6357"/>
        <v>#N/A</v>
      </c>
      <c r="E3158" s="16" t="e">
        <f t="shared" si="1"/>
        <v>#N/A</v>
      </c>
      <c r="F3158" s="16" t="e">
        <f t="shared" ref="F3158:K3158" si="6358">VLOOKUP($A3158,[10]Mujer!$A$1:$O$279,F$1,0)</f>
        <v>#N/A</v>
      </c>
      <c r="G3158" s="39" t="e">
        <f t="shared" si="6358"/>
        <v>#N/A</v>
      </c>
      <c r="H3158" s="16" t="e">
        <f t="shared" si="6358"/>
        <v>#N/A</v>
      </c>
      <c r="I3158" s="16" t="e">
        <f t="shared" si="6358"/>
        <v>#N/A</v>
      </c>
      <c r="J3158" s="40" t="e">
        <f t="shared" si="6358"/>
        <v>#N/A</v>
      </c>
      <c r="K3158" s="16" t="e">
        <f t="shared" si="6358"/>
        <v>#N/A</v>
      </c>
      <c r="L3158" s="40" t="e">
        <f t="shared" si="6045"/>
        <v>#N/A</v>
      </c>
      <c r="M3158" s="16" t="e">
        <f t="shared" si="6046"/>
        <v>#N/A</v>
      </c>
      <c r="N3158" s="16" t="e">
        <f t="shared" si="6047"/>
        <v>#N/A</v>
      </c>
      <c r="O3158" s="16" t="s">
        <v>74</v>
      </c>
      <c r="P3158" s="16" t="str">
        <f t="shared" si="6"/>
        <v/>
      </c>
      <c r="Q3158" s="41" t="e">
        <f t="shared" si="6048"/>
        <v>#N/A</v>
      </c>
      <c r="R3158" s="44"/>
      <c r="S3158" s="44"/>
      <c r="T3158" s="43"/>
      <c r="U3158" s="43" t="str">
        <f t="shared" si="8"/>
        <v>No</v>
      </c>
      <c r="V3158" s="25"/>
      <c r="W3158" s="25"/>
      <c r="X3158" s="25"/>
      <c r="Y3158" s="25"/>
      <c r="Z3158" s="25"/>
    </row>
    <row r="3159" spans="1:26" ht="15.75" customHeight="1" x14ac:dyDescent="0.25">
      <c r="A3159" s="25">
        <v>3157</v>
      </c>
      <c r="B3159" s="37" t="e">
        <f t="shared" ref="B3159:D3159" si="6359">VLOOKUP($A3159,[10]Mujer!$A$1:$O$279,B$1,0)</f>
        <v>#N/A</v>
      </c>
      <c r="C3159" s="38" t="e">
        <f t="shared" si="6359"/>
        <v>#N/A</v>
      </c>
      <c r="D3159" s="39" t="e">
        <f t="shared" si="6359"/>
        <v>#N/A</v>
      </c>
      <c r="E3159" s="16" t="e">
        <f t="shared" si="1"/>
        <v>#N/A</v>
      </c>
      <c r="F3159" s="16" t="e">
        <f t="shared" ref="F3159:K3159" si="6360">VLOOKUP($A3159,[10]Mujer!$A$1:$O$279,F$1,0)</f>
        <v>#N/A</v>
      </c>
      <c r="G3159" s="39" t="e">
        <f t="shared" si="6360"/>
        <v>#N/A</v>
      </c>
      <c r="H3159" s="16" t="e">
        <f t="shared" si="6360"/>
        <v>#N/A</v>
      </c>
      <c r="I3159" s="16" t="e">
        <f t="shared" si="6360"/>
        <v>#N/A</v>
      </c>
      <c r="J3159" s="40" t="e">
        <f t="shared" si="6360"/>
        <v>#N/A</v>
      </c>
      <c r="K3159" s="16" t="e">
        <f t="shared" si="6360"/>
        <v>#N/A</v>
      </c>
      <c r="L3159" s="40" t="e">
        <f t="shared" si="6045"/>
        <v>#N/A</v>
      </c>
      <c r="M3159" s="16" t="e">
        <f t="shared" si="6046"/>
        <v>#N/A</v>
      </c>
      <c r="N3159" s="16" t="e">
        <f t="shared" si="6047"/>
        <v>#N/A</v>
      </c>
      <c r="O3159" s="16" t="s">
        <v>74</v>
      </c>
      <c r="P3159" s="16" t="str">
        <f t="shared" si="6"/>
        <v/>
      </c>
      <c r="Q3159" s="41" t="e">
        <f t="shared" si="6048"/>
        <v>#N/A</v>
      </c>
      <c r="R3159" s="44"/>
      <c r="S3159" s="44"/>
      <c r="T3159" s="43"/>
      <c r="U3159" s="43" t="str">
        <f t="shared" si="8"/>
        <v>No</v>
      </c>
      <c r="V3159" s="25"/>
      <c r="W3159" s="25"/>
      <c r="X3159" s="25"/>
      <c r="Y3159" s="25"/>
      <c r="Z3159" s="25"/>
    </row>
    <row r="3160" spans="1:26" ht="15.75" customHeight="1" x14ac:dyDescent="0.25">
      <c r="A3160" s="25">
        <v>3158</v>
      </c>
      <c r="B3160" s="37" t="e">
        <f t="shared" ref="B3160:D3160" si="6361">VLOOKUP($A3160,[10]Mujer!$A$1:$O$279,B$1,0)</f>
        <v>#N/A</v>
      </c>
      <c r="C3160" s="38" t="e">
        <f t="shared" si="6361"/>
        <v>#N/A</v>
      </c>
      <c r="D3160" s="39" t="e">
        <f t="shared" si="6361"/>
        <v>#N/A</v>
      </c>
      <c r="E3160" s="16" t="e">
        <f t="shared" si="1"/>
        <v>#N/A</v>
      </c>
      <c r="F3160" s="16" t="e">
        <f t="shared" ref="F3160:K3160" si="6362">VLOOKUP($A3160,[10]Mujer!$A$1:$O$279,F$1,0)</f>
        <v>#N/A</v>
      </c>
      <c r="G3160" s="39" t="e">
        <f t="shared" si="6362"/>
        <v>#N/A</v>
      </c>
      <c r="H3160" s="16" t="e">
        <f t="shared" si="6362"/>
        <v>#N/A</v>
      </c>
      <c r="I3160" s="16" t="e">
        <f t="shared" si="6362"/>
        <v>#N/A</v>
      </c>
      <c r="J3160" s="40" t="e">
        <f t="shared" si="6362"/>
        <v>#N/A</v>
      </c>
      <c r="K3160" s="16" t="e">
        <f t="shared" si="6362"/>
        <v>#N/A</v>
      </c>
      <c r="L3160" s="40" t="e">
        <f t="shared" si="6045"/>
        <v>#N/A</v>
      </c>
      <c r="M3160" s="16" t="e">
        <f t="shared" si="6046"/>
        <v>#N/A</v>
      </c>
      <c r="N3160" s="16" t="e">
        <f t="shared" si="6047"/>
        <v>#N/A</v>
      </c>
      <c r="O3160" s="16" t="s">
        <v>74</v>
      </c>
      <c r="P3160" s="16" t="str">
        <f t="shared" si="6"/>
        <v/>
      </c>
      <c r="Q3160" s="41" t="e">
        <f t="shared" si="6048"/>
        <v>#N/A</v>
      </c>
      <c r="R3160" s="44"/>
      <c r="S3160" s="44"/>
      <c r="T3160" s="43"/>
      <c r="U3160" s="43" t="str">
        <f t="shared" si="8"/>
        <v>No</v>
      </c>
      <c r="V3160" s="25"/>
      <c r="W3160" s="25"/>
      <c r="X3160" s="25"/>
      <c r="Y3160" s="25"/>
      <c r="Z3160" s="25"/>
    </row>
    <row r="3161" spans="1:26" ht="15.75" customHeight="1" x14ac:dyDescent="0.25">
      <c r="A3161" s="25">
        <v>3159</v>
      </c>
      <c r="B3161" s="37" t="e">
        <f t="shared" ref="B3161:D3161" si="6363">VLOOKUP($A3161,[10]Mujer!$A$1:$O$279,B$1,0)</f>
        <v>#N/A</v>
      </c>
      <c r="C3161" s="38" t="e">
        <f t="shared" si="6363"/>
        <v>#N/A</v>
      </c>
      <c r="D3161" s="39" t="e">
        <f t="shared" si="6363"/>
        <v>#N/A</v>
      </c>
      <c r="E3161" s="16" t="e">
        <f t="shared" si="1"/>
        <v>#N/A</v>
      </c>
      <c r="F3161" s="16" t="e">
        <f t="shared" ref="F3161:K3161" si="6364">VLOOKUP($A3161,[10]Mujer!$A$1:$O$279,F$1,0)</f>
        <v>#N/A</v>
      </c>
      <c r="G3161" s="39" t="e">
        <f t="shared" si="6364"/>
        <v>#N/A</v>
      </c>
      <c r="H3161" s="16" t="e">
        <f t="shared" si="6364"/>
        <v>#N/A</v>
      </c>
      <c r="I3161" s="16" t="e">
        <f t="shared" si="6364"/>
        <v>#N/A</v>
      </c>
      <c r="J3161" s="40" t="e">
        <f t="shared" si="6364"/>
        <v>#N/A</v>
      </c>
      <c r="K3161" s="16" t="e">
        <f t="shared" si="6364"/>
        <v>#N/A</v>
      </c>
      <c r="L3161" s="40" t="e">
        <f t="shared" si="6045"/>
        <v>#N/A</v>
      </c>
      <c r="M3161" s="16" t="e">
        <f t="shared" si="6046"/>
        <v>#N/A</v>
      </c>
      <c r="N3161" s="16" t="e">
        <f t="shared" si="6047"/>
        <v>#N/A</v>
      </c>
      <c r="O3161" s="16" t="s">
        <v>74</v>
      </c>
      <c r="P3161" s="16" t="str">
        <f t="shared" si="6"/>
        <v/>
      </c>
      <c r="Q3161" s="41" t="e">
        <f t="shared" si="6048"/>
        <v>#N/A</v>
      </c>
      <c r="R3161" s="44"/>
      <c r="S3161" s="44"/>
      <c r="T3161" s="43"/>
      <c r="U3161" s="43" t="str">
        <f t="shared" si="8"/>
        <v>No</v>
      </c>
      <c r="V3161" s="25"/>
      <c r="W3161" s="25"/>
      <c r="X3161" s="25"/>
      <c r="Y3161" s="25"/>
      <c r="Z3161" s="25"/>
    </row>
    <row r="3162" spans="1:26" ht="15.75" customHeight="1" x14ac:dyDescent="0.25">
      <c r="A3162" s="25">
        <v>3160</v>
      </c>
      <c r="B3162" s="37" t="e">
        <f t="shared" ref="B3162:D3162" si="6365">VLOOKUP($A3162,[10]Mujer!$A$1:$O$279,B$1,0)</f>
        <v>#N/A</v>
      </c>
      <c r="C3162" s="38" t="e">
        <f t="shared" si="6365"/>
        <v>#N/A</v>
      </c>
      <c r="D3162" s="39" t="e">
        <f t="shared" si="6365"/>
        <v>#N/A</v>
      </c>
      <c r="E3162" s="16" t="e">
        <f t="shared" si="1"/>
        <v>#N/A</v>
      </c>
      <c r="F3162" s="16" t="e">
        <f t="shared" ref="F3162:K3162" si="6366">VLOOKUP($A3162,[10]Mujer!$A$1:$O$279,F$1,0)</f>
        <v>#N/A</v>
      </c>
      <c r="G3162" s="39" t="e">
        <f t="shared" si="6366"/>
        <v>#N/A</v>
      </c>
      <c r="H3162" s="16" t="e">
        <f t="shared" si="6366"/>
        <v>#N/A</v>
      </c>
      <c r="I3162" s="16" t="e">
        <f t="shared" si="6366"/>
        <v>#N/A</v>
      </c>
      <c r="J3162" s="40" t="e">
        <f t="shared" si="6366"/>
        <v>#N/A</v>
      </c>
      <c r="K3162" s="16" t="e">
        <f t="shared" si="6366"/>
        <v>#N/A</v>
      </c>
      <c r="L3162" s="40" t="e">
        <f t="shared" si="6045"/>
        <v>#N/A</v>
      </c>
      <c r="M3162" s="16" t="e">
        <f t="shared" si="6046"/>
        <v>#N/A</v>
      </c>
      <c r="N3162" s="16" t="e">
        <f t="shared" si="6047"/>
        <v>#N/A</v>
      </c>
      <c r="O3162" s="16" t="s">
        <v>74</v>
      </c>
      <c r="P3162" s="16" t="str">
        <f t="shared" si="6"/>
        <v/>
      </c>
      <c r="Q3162" s="41" t="e">
        <f t="shared" si="6048"/>
        <v>#N/A</v>
      </c>
      <c r="R3162" s="44"/>
      <c r="S3162" s="44"/>
      <c r="T3162" s="43"/>
      <c r="U3162" s="43" t="str">
        <f t="shared" si="8"/>
        <v>No</v>
      </c>
      <c r="V3162" s="25"/>
      <c r="W3162" s="25"/>
      <c r="X3162" s="25"/>
      <c r="Y3162" s="25"/>
      <c r="Z3162" s="25"/>
    </row>
    <row r="3163" spans="1:26" ht="15.75" customHeight="1" x14ac:dyDescent="0.25">
      <c r="A3163" s="25">
        <v>3161</v>
      </c>
      <c r="B3163" s="37" t="e">
        <f t="shared" ref="B3163:D3163" si="6367">VLOOKUP($A3163,[10]Mujer!$A$1:$O$279,B$1,0)</f>
        <v>#N/A</v>
      </c>
      <c r="C3163" s="38" t="e">
        <f t="shared" si="6367"/>
        <v>#N/A</v>
      </c>
      <c r="D3163" s="39" t="e">
        <f t="shared" si="6367"/>
        <v>#N/A</v>
      </c>
      <c r="E3163" s="16" t="e">
        <f t="shared" si="1"/>
        <v>#N/A</v>
      </c>
      <c r="F3163" s="16" t="e">
        <f t="shared" ref="F3163:K3163" si="6368">VLOOKUP($A3163,[10]Mujer!$A$1:$O$279,F$1,0)</f>
        <v>#N/A</v>
      </c>
      <c r="G3163" s="39" t="e">
        <f t="shared" si="6368"/>
        <v>#N/A</v>
      </c>
      <c r="H3163" s="16" t="e">
        <f t="shared" si="6368"/>
        <v>#N/A</v>
      </c>
      <c r="I3163" s="16" t="e">
        <f t="shared" si="6368"/>
        <v>#N/A</v>
      </c>
      <c r="J3163" s="40" t="e">
        <f t="shared" si="6368"/>
        <v>#N/A</v>
      </c>
      <c r="K3163" s="16" t="e">
        <f t="shared" si="6368"/>
        <v>#N/A</v>
      </c>
      <c r="L3163" s="40" t="e">
        <f t="shared" si="6045"/>
        <v>#N/A</v>
      </c>
      <c r="M3163" s="16" t="e">
        <f t="shared" si="6046"/>
        <v>#N/A</v>
      </c>
      <c r="N3163" s="16" t="e">
        <f t="shared" si="6047"/>
        <v>#N/A</v>
      </c>
      <c r="O3163" s="16" t="s">
        <v>74</v>
      </c>
      <c r="P3163" s="16" t="str">
        <f t="shared" si="6"/>
        <v/>
      </c>
      <c r="Q3163" s="41" t="e">
        <f t="shared" si="6048"/>
        <v>#N/A</v>
      </c>
      <c r="R3163" s="44"/>
      <c r="S3163" s="44"/>
      <c r="T3163" s="43"/>
      <c r="U3163" s="43" t="str">
        <f t="shared" si="8"/>
        <v>No</v>
      </c>
      <c r="V3163" s="25"/>
      <c r="W3163" s="25"/>
      <c r="X3163" s="25"/>
      <c r="Y3163" s="25"/>
      <c r="Z3163" s="25"/>
    </row>
    <row r="3164" spans="1:26" ht="15.75" customHeight="1" x14ac:dyDescent="0.25">
      <c r="A3164" s="25">
        <v>3162</v>
      </c>
      <c r="B3164" s="37" t="e">
        <f t="shared" ref="B3164:D3164" si="6369">VLOOKUP($A3164,[10]Mujer!$A$1:$O$279,B$1,0)</f>
        <v>#N/A</v>
      </c>
      <c r="C3164" s="38" t="e">
        <f t="shared" si="6369"/>
        <v>#N/A</v>
      </c>
      <c r="D3164" s="39" t="e">
        <f t="shared" si="6369"/>
        <v>#N/A</v>
      </c>
      <c r="E3164" s="16" t="e">
        <f t="shared" si="1"/>
        <v>#N/A</v>
      </c>
      <c r="F3164" s="16" t="e">
        <f t="shared" ref="F3164:K3164" si="6370">VLOOKUP($A3164,[10]Mujer!$A$1:$O$279,F$1,0)</f>
        <v>#N/A</v>
      </c>
      <c r="G3164" s="39" t="e">
        <f t="shared" si="6370"/>
        <v>#N/A</v>
      </c>
      <c r="H3164" s="16" t="e">
        <f t="shared" si="6370"/>
        <v>#N/A</v>
      </c>
      <c r="I3164" s="16" t="e">
        <f t="shared" si="6370"/>
        <v>#N/A</v>
      </c>
      <c r="J3164" s="40" t="e">
        <f t="shared" si="6370"/>
        <v>#N/A</v>
      </c>
      <c r="K3164" s="16" t="e">
        <f t="shared" si="6370"/>
        <v>#N/A</v>
      </c>
      <c r="L3164" s="40" t="e">
        <f t="shared" si="6045"/>
        <v>#N/A</v>
      </c>
      <c r="M3164" s="16" t="e">
        <f t="shared" si="6046"/>
        <v>#N/A</v>
      </c>
      <c r="N3164" s="16" t="e">
        <f t="shared" si="6047"/>
        <v>#N/A</v>
      </c>
      <c r="O3164" s="16" t="s">
        <v>74</v>
      </c>
      <c r="P3164" s="16" t="str">
        <f t="shared" si="6"/>
        <v/>
      </c>
      <c r="Q3164" s="41" t="e">
        <f t="shared" si="6048"/>
        <v>#N/A</v>
      </c>
      <c r="R3164" s="44"/>
      <c r="S3164" s="44"/>
      <c r="T3164" s="43"/>
      <c r="U3164" s="43" t="str">
        <f t="shared" si="8"/>
        <v>No</v>
      </c>
      <c r="V3164" s="25"/>
      <c r="W3164" s="25"/>
      <c r="X3164" s="25"/>
      <c r="Y3164" s="25"/>
      <c r="Z3164" s="25"/>
    </row>
    <row r="3165" spans="1:26" ht="15.75" customHeight="1" x14ac:dyDescent="0.25">
      <c r="A3165" s="25">
        <v>3163</v>
      </c>
      <c r="B3165" s="37" t="e">
        <f t="shared" ref="B3165:D3165" si="6371">VLOOKUP($A3165,[10]Mujer!$A$1:$O$279,B$1,0)</f>
        <v>#N/A</v>
      </c>
      <c r="C3165" s="38" t="e">
        <f t="shared" si="6371"/>
        <v>#N/A</v>
      </c>
      <c r="D3165" s="39" t="e">
        <f t="shared" si="6371"/>
        <v>#N/A</v>
      </c>
      <c r="E3165" s="16" t="e">
        <f t="shared" si="1"/>
        <v>#N/A</v>
      </c>
      <c r="F3165" s="16" t="e">
        <f t="shared" ref="F3165:K3165" si="6372">VLOOKUP($A3165,[10]Mujer!$A$1:$O$279,F$1,0)</f>
        <v>#N/A</v>
      </c>
      <c r="G3165" s="39" t="e">
        <f t="shared" si="6372"/>
        <v>#N/A</v>
      </c>
      <c r="H3165" s="16" t="e">
        <f t="shared" si="6372"/>
        <v>#N/A</v>
      </c>
      <c r="I3165" s="16" t="e">
        <f t="shared" si="6372"/>
        <v>#N/A</v>
      </c>
      <c r="J3165" s="40" t="e">
        <f t="shared" si="6372"/>
        <v>#N/A</v>
      </c>
      <c r="K3165" s="16" t="e">
        <f t="shared" si="6372"/>
        <v>#N/A</v>
      </c>
      <c r="L3165" s="40" t="e">
        <f t="shared" si="6045"/>
        <v>#N/A</v>
      </c>
      <c r="M3165" s="16" t="e">
        <f t="shared" si="6046"/>
        <v>#N/A</v>
      </c>
      <c r="N3165" s="16" t="e">
        <f t="shared" si="6047"/>
        <v>#N/A</v>
      </c>
      <c r="O3165" s="16" t="s">
        <v>74</v>
      </c>
      <c r="P3165" s="16" t="str">
        <f t="shared" si="6"/>
        <v/>
      </c>
      <c r="Q3165" s="41" t="e">
        <f t="shared" si="6048"/>
        <v>#N/A</v>
      </c>
      <c r="R3165" s="44"/>
      <c r="S3165" s="44"/>
      <c r="T3165" s="43"/>
      <c r="U3165" s="43" t="str">
        <f t="shared" si="8"/>
        <v>No</v>
      </c>
      <c r="V3165" s="25"/>
      <c r="W3165" s="25"/>
      <c r="X3165" s="25"/>
      <c r="Y3165" s="25"/>
      <c r="Z3165" s="25"/>
    </row>
    <row r="3166" spans="1:26" ht="15.75" customHeight="1" x14ac:dyDescent="0.25">
      <c r="A3166" s="25">
        <v>3164</v>
      </c>
      <c r="B3166" s="37" t="e">
        <f t="shared" ref="B3166:D3166" si="6373">VLOOKUP($A3166,[10]Mujer!$A$1:$O$279,B$1,0)</f>
        <v>#N/A</v>
      </c>
      <c r="C3166" s="38" t="e">
        <f t="shared" si="6373"/>
        <v>#N/A</v>
      </c>
      <c r="D3166" s="39" t="e">
        <f t="shared" si="6373"/>
        <v>#N/A</v>
      </c>
      <c r="E3166" s="16" t="e">
        <f t="shared" si="1"/>
        <v>#N/A</v>
      </c>
      <c r="F3166" s="16" t="e">
        <f t="shared" ref="F3166:K3166" si="6374">VLOOKUP($A3166,[10]Mujer!$A$1:$O$279,F$1,0)</f>
        <v>#N/A</v>
      </c>
      <c r="G3166" s="39" t="e">
        <f t="shared" si="6374"/>
        <v>#N/A</v>
      </c>
      <c r="H3166" s="16" t="e">
        <f t="shared" si="6374"/>
        <v>#N/A</v>
      </c>
      <c r="I3166" s="16" t="e">
        <f t="shared" si="6374"/>
        <v>#N/A</v>
      </c>
      <c r="J3166" s="40" t="e">
        <f t="shared" si="6374"/>
        <v>#N/A</v>
      </c>
      <c r="K3166" s="16" t="e">
        <f t="shared" si="6374"/>
        <v>#N/A</v>
      </c>
      <c r="L3166" s="40" t="e">
        <f t="shared" si="6045"/>
        <v>#N/A</v>
      </c>
      <c r="M3166" s="16" t="e">
        <f t="shared" si="6046"/>
        <v>#N/A</v>
      </c>
      <c r="N3166" s="16" t="e">
        <f t="shared" si="6047"/>
        <v>#N/A</v>
      </c>
      <c r="O3166" s="16" t="s">
        <v>74</v>
      </c>
      <c r="P3166" s="16" t="str">
        <f t="shared" si="6"/>
        <v/>
      </c>
      <c r="Q3166" s="41" t="e">
        <f t="shared" si="6048"/>
        <v>#N/A</v>
      </c>
      <c r="R3166" s="44"/>
      <c r="S3166" s="44"/>
      <c r="T3166" s="43"/>
      <c r="U3166" s="43" t="str">
        <f t="shared" si="8"/>
        <v>No</v>
      </c>
      <c r="V3166" s="25"/>
      <c r="W3166" s="25"/>
      <c r="X3166" s="25"/>
      <c r="Y3166" s="25"/>
      <c r="Z3166" s="25"/>
    </row>
    <row r="3167" spans="1:26" ht="15.75" customHeight="1" x14ac:dyDescent="0.25">
      <c r="A3167" s="25">
        <v>3165</v>
      </c>
      <c r="B3167" s="37" t="e">
        <f t="shared" ref="B3167:D3167" si="6375">VLOOKUP($A3167,[10]Mujer!$A$1:$O$279,B$1,0)</f>
        <v>#N/A</v>
      </c>
      <c r="C3167" s="38" t="e">
        <f t="shared" si="6375"/>
        <v>#N/A</v>
      </c>
      <c r="D3167" s="39" t="e">
        <f t="shared" si="6375"/>
        <v>#N/A</v>
      </c>
      <c r="E3167" s="16" t="e">
        <f t="shared" si="1"/>
        <v>#N/A</v>
      </c>
      <c r="F3167" s="16" t="e">
        <f t="shared" ref="F3167:K3167" si="6376">VLOOKUP($A3167,[10]Mujer!$A$1:$O$279,F$1,0)</f>
        <v>#N/A</v>
      </c>
      <c r="G3167" s="39" t="e">
        <f t="shared" si="6376"/>
        <v>#N/A</v>
      </c>
      <c r="H3167" s="16" t="e">
        <f t="shared" si="6376"/>
        <v>#N/A</v>
      </c>
      <c r="I3167" s="16" t="e">
        <f t="shared" si="6376"/>
        <v>#N/A</v>
      </c>
      <c r="J3167" s="40" t="e">
        <f t="shared" si="6376"/>
        <v>#N/A</v>
      </c>
      <c r="K3167" s="16" t="e">
        <f t="shared" si="6376"/>
        <v>#N/A</v>
      </c>
      <c r="L3167" s="40" t="e">
        <f t="shared" si="6045"/>
        <v>#N/A</v>
      </c>
      <c r="M3167" s="16" t="e">
        <f t="shared" si="6046"/>
        <v>#N/A</v>
      </c>
      <c r="N3167" s="16" t="e">
        <f t="shared" si="6047"/>
        <v>#N/A</v>
      </c>
      <c r="O3167" s="16" t="s">
        <v>74</v>
      </c>
      <c r="P3167" s="16" t="str">
        <f t="shared" si="6"/>
        <v/>
      </c>
      <c r="Q3167" s="41" t="e">
        <f t="shared" si="6048"/>
        <v>#N/A</v>
      </c>
      <c r="R3167" s="44"/>
      <c r="S3167" s="44"/>
      <c r="T3167" s="43"/>
      <c r="U3167" s="43" t="str">
        <f t="shared" si="8"/>
        <v>No</v>
      </c>
      <c r="V3167" s="25"/>
      <c r="W3167" s="25"/>
      <c r="X3167" s="25"/>
      <c r="Y3167" s="25"/>
      <c r="Z3167" s="25"/>
    </row>
    <row r="3168" spans="1:26" ht="15.75" customHeight="1" x14ac:dyDescent="0.25">
      <c r="A3168" s="25">
        <v>3166</v>
      </c>
      <c r="B3168" s="37" t="e">
        <f t="shared" ref="B3168:D3168" si="6377">VLOOKUP($A3168,[10]Mujer!$A$1:$O$279,B$1,0)</f>
        <v>#N/A</v>
      </c>
      <c r="C3168" s="38" t="e">
        <f t="shared" si="6377"/>
        <v>#N/A</v>
      </c>
      <c r="D3168" s="39" t="e">
        <f t="shared" si="6377"/>
        <v>#N/A</v>
      </c>
      <c r="E3168" s="16" t="e">
        <f t="shared" si="1"/>
        <v>#N/A</v>
      </c>
      <c r="F3168" s="16" t="e">
        <f t="shared" ref="F3168:K3168" si="6378">VLOOKUP($A3168,[10]Mujer!$A$1:$O$279,F$1,0)</f>
        <v>#N/A</v>
      </c>
      <c r="G3168" s="39" t="e">
        <f t="shared" si="6378"/>
        <v>#N/A</v>
      </c>
      <c r="H3168" s="16" t="e">
        <f t="shared" si="6378"/>
        <v>#N/A</v>
      </c>
      <c r="I3168" s="16" t="e">
        <f t="shared" si="6378"/>
        <v>#N/A</v>
      </c>
      <c r="J3168" s="40" t="e">
        <f t="shared" si="6378"/>
        <v>#N/A</v>
      </c>
      <c r="K3168" s="16" t="e">
        <f t="shared" si="6378"/>
        <v>#N/A</v>
      </c>
      <c r="L3168" s="40" t="e">
        <f t="shared" si="6045"/>
        <v>#N/A</v>
      </c>
      <c r="M3168" s="16" t="e">
        <f t="shared" si="6046"/>
        <v>#N/A</v>
      </c>
      <c r="N3168" s="16" t="e">
        <f t="shared" si="6047"/>
        <v>#N/A</v>
      </c>
      <c r="O3168" s="16" t="s">
        <v>74</v>
      </c>
      <c r="P3168" s="16" t="str">
        <f t="shared" si="6"/>
        <v/>
      </c>
      <c r="Q3168" s="41" t="e">
        <f t="shared" si="6048"/>
        <v>#N/A</v>
      </c>
      <c r="R3168" s="44"/>
      <c r="S3168" s="44"/>
      <c r="T3168" s="43"/>
      <c r="U3168" s="43" t="str">
        <f t="shared" si="8"/>
        <v>No</v>
      </c>
      <c r="V3168" s="25"/>
      <c r="W3168" s="25"/>
      <c r="X3168" s="25"/>
      <c r="Y3168" s="25"/>
      <c r="Z3168" s="25"/>
    </row>
    <row r="3169" spans="1:26" ht="15.75" customHeight="1" x14ac:dyDescent="0.25">
      <c r="A3169" s="25">
        <v>3167</v>
      </c>
      <c r="B3169" s="37" t="e">
        <f t="shared" ref="B3169:D3169" si="6379">VLOOKUP($A3169,[10]Mujer!$A$1:$O$279,B$1,0)</f>
        <v>#N/A</v>
      </c>
      <c r="C3169" s="38" t="e">
        <f t="shared" si="6379"/>
        <v>#N/A</v>
      </c>
      <c r="D3169" s="39" t="e">
        <f t="shared" si="6379"/>
        <v>#N/A</v>
      </c>
      <c r="E3169" s="16" t="e">
        <f t="shared" si="1"/>
        <v>#N/A</v>
      </c>
      <c r="F3169" s="16" t="e">
        <f t="shared" ref="F3169:K3169" si="6380">VLOOKUP($A3169,[10]Mujer!$A$1:$O$279,F$1,0)</f>
        <v>#N/A</v>
      </c>
      <c r="G3169" s="39" t="e">
        <f t="shared" si="6380"/>
        <v>#N/A</v>
      </c>
      <c r="H3169" s="16" t="e">
        <f t="shared" si="6380"/>
        <v>#N/A</v>
      </c>
      <c r="I3169" s="16" t="e">
        <f t="shared" si="6380"/>
        <v>#N/A</v>
      </c>
      <c r="J3169" s="40" t="e">
        <f t="shared" si="6380"/>
        <v>#N/A</v>
      </c>
      <c r="K3169" s="16" t="e">
        <f t="shared" si="6380"/>
        <v>#N/A</v>
      </c>
      <c r="L3169" s="40" t="e">
        <f t="shared" si="6045"/>
        <v>#N/A</v>
      </c>
      <c r="M3169" s="16" t="e">
        <f t="shared" si="6046"/>
        <v>#N/A</v>
      </c>
      <c r="N3169" s="16" t="e">
        <f t="shared" si="6047"/>
        <v>#N/A</v>
      </c>
      <c r="O3169" s="16" t="s">
        <v>74</v>
      </c>
      <c r="P3169" s="16" t="str">
        <f t="shared" si="6"/>
        <v/>
      </c>
      <c r="Q3169" s="41" t="e">
        <f t="shared" si="6048"/>
        <v>#N/A</v>
      </c>
      <c r="R3169" s="44"/>
      <c r="S3169" s="44"/>
      <c r="T3169" s="43"/>
      <c r="U3169" s="43" t="str">
        <f t="shared" si="8"/>
        <v>No</v>
      </c>
      <c r="V3169" s="25"/>
      <c r="W3169" s="25"/>
      <c r="X3169" s="25"/>
      <c r="Y3169" s="25"/>
      <c r="Z3169" s="25"/>
    </row>
    <row r="3170" spans="1:26" ht="15.75" customHeight="1" x14ac:dyDescent="0.25">
      <c r="A3170" s="25">
        <v>3168</v>
      </c>
      <c r="B3170" s="37" t="e">
        <f t="shared" ref="B3170:D3170" si="6381">VLOOKUP($A3170,[10]Mujer!$A$1:$O$279,B$1,0)</f>
        <v>#N/A</v>
      </c>
      <c r="C3170" s="38" t="e">
        <f t="shared" si="6381"/>
        <v>#N/A</v>
      </c>
      <c r="D3170" s="39" t="e">
        <f t="shared" si="6381"/>
        <v>#N/A</v>
      </c>
      <c r="E3170" s="16" t="e">
        <f t="shared" si="1"/>
        <v>#N/A</v>
      </c>
      <c r="F3170" s="16" t="e">
        <f t="shared" ref="F3170:K3170" si="6382">VLOOKUP($A3170,[10]Mujer!$A$1:$O$279,F$1,0)</f>
        <v>#N/A</v>
      </c>
      <c r="G3170" s="39" t="e">
        <f t="shared" si="6382"/>
        <v>#N/A</v>
      </c>
      <c r="H3170" s="16" t="e">
        <f t="shared" si="6382"/>
        <v>#N/A</v>
      </c>
      <c r="I3170" s="16" t="e">
        <f t="shared" si="6382"/>
        <v>#N/A</v>
      </c>
      <c r="J3170" s="40" t="e">
        <f t="shared" si="6382"/>
        <v>#N/A</v>
      </c>
      <c r="K3170" s="16" t="e">
        <f t="shared" si="6382"/>
        <v>#N/A</v>
      </c>
      <c r="L3170" s="40" t="e">
        <f t="shared" si="6045"/>
        <v>#N/A</v>
      </c>
      <c r="M3170" s="16" t="e">
        <f t="shared" si="6046"/>
        <v>#N/A</v>
      </c>
      <c r="N3170" s="16" t="e">
        <f t="shared" si="6047"/>
        <v>#N/A</v>
      </c>
      <c r="O3170" s="16" t="s">
        <v>74</v>
      </c>
      <c r="P3170" s="16" t="str">
        <f t="shared" si="6"/>
        <v/>
      </c>
      <c r="Q3170" s="41" t="e">
        <f t="shared" si="6048"/>
        <v>#N/A</v>
      </c>
      <c r="R3170" s="44"/>
      <c r="S3170" s="44"/>
      <c r="T3170" s="43"/>
      <c r="U3170" s="43" t="str">
        <f t="shared" si="8"/>
        <v>No</v>
      </c>
      <c r="V3170" s="25"/>
      <c r="W3170" s="25"/>
      <c r="X3170" s="25"/>
      <c r="Y3170" s="25"/>
      <c r="Z3170" s="25"/>
    </row>
    <row r="3171" spans="1:26" ht="15.75" customHeight="1" x14ac:dyDescent="0.25">
      <c r="A3171" s="25">
        <v>3169</v>
      </c>
      <c r="B3171" s="37" t="e">
        <f t="shared" ref="B3171:D3171" si="6383">VLOOKUP($A3171,[10]Mujer!$A$1:$O$279,B$1,0)</f>
        <v>#N/A</v>
      </c>
      <c r="C3171" s="38" t="e">
        <f t="shared" si="6383"/>
        <v>#N/A</v>
      </c>
      <c r="D3171" s="39" t="e">
        <f t="shared" si="6383"/>
        <v>#N/A</v>
      </c>
      <c r="E3171" s="16" t="e">
        <f t="shared" si="1"/>
        <v>#N/A</v>
      </c>
      <c r="F3171" s="16" t="e">
        <f t="shared" ref="F3171:K3171" si="6384">VLOOKUP($A3171,[10]Mujer!$A$1:$O$279,F$1,0)</f>
        <v>#N/A</v>
      </c>
      <c r="G3171" s="39" t="e">
        <f t="shared" si="6384"/>
        <v>#N/A</v>
      </c>
      <c r="H3171" s="16" t="e">
        <f t="shared" si="6384"/>
        <v>#N/A</v>
      </c>
      <c r="I3171" s="16" t="e">
        <f t="shared" si="6384"/>
        <v>#N/A</v>
      </c>
      <c r="J3171" s="40" t="e">
        <f t="shared" si="6384"/>
        <v>#N/A</v>
      </c>
      <c r="K3171" s="16" t="e">
        <f t="shared" si="6384"/>
        <v>#N/A</v>
      </c>
      <c r="L3171" s="40" t="e">
        <f t="shared" si="6045"/>
        <v>#N/A</v>
      </c>
      <c r="M3171" s="16" t="e">
        <f t="shared" si="6046"/>
        <v>#N/A</v>
      </c>
      <c r="N3171" s="16" t="e">
        <f t="shared" si="6047"/>
        <v>#N/A</v>
      </c>
      <c r="O3171" s="16" t="s">
        <v>74</v>
      </c>
      <c r="P3171" s="16" t="str">
        <f t="shared" si="6"/>
        <v/>
      </c>
      <c r="Q3171" s="41" t="e">
        <f t="shared" si="6048"/>
        <v>#N/A</v>
      </c>
      <c r="R3171" s="44"/>
      <c r="S3171" s="44"/>
      <c r="T3171" s="43"/>
      <c r="U3171" s="43" t="str">
        <f t="shared" si="8"/>
        <v>No</v>
      </c>
      <c r="V3171" s="25"/>
      <c r="W3171" s="25"/>
      <c r="X3171" s="25"/>
      <c r="Y3171" s="25"/>
      <c r="Z3171" s="25"/>
    </row>
    <row r="3172" spans="1:26" ht="15.75" customHeight="1" x14ac:dyDescent="0.25">
      <c r="A3172" s="25">
        <v>3170</v>
      </c>
      <c r="B3172" s="37" t="e">
        <f t="shared" ref="B3172:D3172" si="6385">VLOOKUP($A3172,[10]Mujer!$A$1:$O$279,B$1,0)</f>
        <v>#N/A</v>
      </c>
      <c r="C3172" s="38" t="e">
        <f t="shared" si="6385"/>
        <v>#N/A</v>
      </c>
      <c r="D3172" s="39" t="e">
        <f t="shared" si="6385"/>
        <v>#N/A</v>
      </c>
      <c r="E3172" s="16" t="e">
        <f t="shared" si="1"/>
        <v>#N/A</v>
      </c>
      <c r="F3172" s="16" t="e">
        <f t="shared" ref="F3172:K3172" si="6386">VLOOKUP($A3172,[10]Mujer!$A$1:$O$279,F$1,0)</f>
        <v>#N/A</v>
      </c>
      <c r="G3172" s="39" t="e">
        <f t="shared" si="6386"/>
        <v>#N/A</v>
      </c>
      <c r="H3172" s="16" t="e">
        <f t="shared" si="6386"/>
        <v>#N/A</v>
      </c>
      <c r="I3172" s="16" t="e">
        <f t="shared" si="6386"/>
        <v>#N/A</v>
      </c>
      <c r="J3172" s="40" t="e">
        <f t="shared" si="6386"/>
        <v>#N/A</v>
      </c>
      <c r="K3172" s="16" t="e">
        <f t="shared" si="6386"/>
        <v>#N/A</v>
      </c>
      <c r="L3172" s="40" t="e">
        <f t="shared" si="6045"/>
        <v>#N/A</v>
      </c>
      <c r="M3172" s="16" t="e">
        <f t="shared" si="6046"/>
        <v>#N/A</v>
      </c>
      <c r="N3172" s="16" t="e">
        <f t="shared" si="6047"/>
        <v>#N/A</v>
      </c>
      <c r="O3172" s="16" t="s">
        <v>74</v>
      </c>
      <c r="P3172" s="16" t="str">
        <f t="shared" si="6"/>
        <v/>
      </c>
      <c r="Q3172" s="41" t="e">
        <f t="shared" si="6048"/>
        <v>#N/A</v>
      </c>
      <c r="R3172" s="44"/>
      <c r="S3172" s="44"/>
      <c r="T3172" s="43"/>
      <c r="U3172" s="43" t="str">
        <f t="shared" si="8"/>
        <v>No</v>
      </c>
      <c r="V3172" s="25"/>
      <c r="W3172" s="25"/>
      <c r="X3172" s="25"/>
      <c r="Y3172" s="25"/>
      <c r="Z3172" s="25"/>
    </row>
    <row r="3173" spans="1:26" ht="15.75" customHeight="1" x14ac:dyDescent="0.25">
      <c r="A3173" s="25">
        <v>3171</v>
      </c>
      <c r="B3173" s="37" t="e">
        <f t="shared" ref="B3173:D3173" si="6387">VLOOKUP($A3173,[10]Mujer!$A$1:$O$279,B$1,0)</f>
        <v>#N/A</v>
      </c>
      <c r="C3173" s="38" t="e">
        <f t="shared" si="6387"/>
        <v>#N/A</v>
      </c>
      <c r="D3173" s="39" t="e">
        <f t="shared" si="6387"/>
        <v>#N/A</v>
      </c>
      <c r="E3173" s="16" t="e">
        <f t="shared" si="1"/>
        <v>#N/A</v>
      </c>
      <c r="F3173" s="16" t="e">
        <f t="shared" ref="F3173:K3173" si="6388">VLOOKUP($A3173,[10]Mujer!$A$1:$O$279,F$1,0)</f>
        <v>#N/A</v>
      </c>
      <c r="G3173" s="39" t="e">
        <f t="shared" si="6388"/>
        <v>#N/A</v>
      </c>
      <c r="H3173" s="16" t="e">
        <f t="shared" si="6388"/>
        <v>#N/A</v>
      </c>
      <c r="I3173" s="16" t="e">
        <f t="shared" si="6388"/>
        <v>#N/A</v>
      </c>
      <c r="J3173" s="40" t="e">
        <f t="shared" si="6388"/>
        <v>#N/A</v>
      </c>
      <c r="K3173" s="16" t="e">
        <f t="shared" si="6388"/>
        <v>#N/A</v>
      </c>
      <c r="L3173" s="40" t="e">
        <f t="shared" si="6045"/>
        <v>#N/A</v>
      </c>
      <c r="M3173" s="16" t="e">
        <f t="shared" si="6046"/>
        <v>#N/A</v>
      </c>
      <c r="N3173" s="16" t="e">
        <f t="shared" si="6047"/>
        <v>#N/A</v>
      </c>
      <c r="O3173" s="16" t="s">
        <v>74</v>
      </c>
      <c r="P3173" s="16" t="str">
        <f t="shared" si="6"/>
        <v/>
      </c>
      <c r="Q3173" s="41" t="e">
        <f t="shared" si="6048"/>
        <v>#N/A</v>
      </c>
      <c r="R3173" s="44"/>
      <c r="S3173" s="44"/>
      <c r="T3173" s="43"/>
      <c r="U3173" s="43" t="str">
        <f t="shared" si="8"/>
        <v>No</v>
      </c>
      <c r="V3173" s="25"/>
      <c r="W3173" s="25"/>
      <c r="X3173" s="25"/>
      <c r="Y3173" s="25"/>
      <c r="Z3173" s="25"/>
    </row>
    <row r="3174" spans="1:26" ht="15.75" customHeight="1" x14ac:dyDescent="0.25">
      <c r="A3174" s="25">
        <v>3172</v>
      </c>
      <c r="B3174" s="37" t="e">
        <f t="shared" ref="B3174:D3174" si="6389">VLOOKUP($A3174,[10]Mujer!$A$1:$O$279,B$1,0)</f>
        <v>#N/A</v>
      </c>
      <c r="C3174" s="38" t="e">
        <f t="shared" si="6389"/>
        <v>#N/A</v>
      </c>
      <c r="D3174" s="39" t="e">
        <f t="shared" si="6389"/>
        <v>#N/A</v>
      </c>
      <c r="E3174" s="16" t="e">
        <f t="shared" si="1"/>
        <v>#N/A</v>
      </c>
      <c r="F3174" s="16" t="e">
        <f t="shared" ref="F3174:K3174" si="6390">VLOOKUP($A3174,[10]Mujer!$A$1:$O$279,F$1,0)</f>
        <v>#N/A</v>
      </c>
      <c r="G3174" s="39" t="e">
        <f t="shared" si="6390"/>
        <v>#N/A</v>
      </c>
      <c r="H3174" s="16" t="e">
        <f t="shared" si="6390"/>
        <v>#N/A</v>
      </c>
      <c r="I3174" s="16" t="e">
        <f t="shared" si="6390"/>
        <v>#N/A</v>
      </c>
      <c r="J3174" s="40" t="e">
        <f t="shared" si="6390"/>
        <v>#N/A</v>
      </c>
      <c r="K3174" s="16" t="e">
        <f t="shared" si="6390"/>
        <v>#N/A</v>
      </c>
      <c r="L3174" s="40" t="e">
        <f t="shared" si="6045"/>
        <v>#N/A</v>
      </c>
      <c r="M3174" s="16" t="e">
        <f t="shared" si="6046"/>
        <v>#N/A</v>
      </c>
      <c r="N3174" s="16" t="e">
        <f t="shared" si="6047"/>
        <v>#N/A</v>
      </c>
      <c r="O3174" s="16" t="s">
        <v>74</v>
      </c>
      <c r="P3174" s="16" t="str">
        <f t="shared" si="6"/>
        <v/>
      </c>
      <c r="Q3174" s="41" t="e">
        <f t="shared" si="6048"/>
        <v>#N/A</v>
      </c>
      <c r="R3174" s="44"/>
      <c r="S3174" s="44"/>
      <c r="T3174" s="43"/>
      <c r="U3174" s="43" t="str">
        <f t="shared" si="8"/>
        <v>No</v>
      </c>
      <c r="V3174" s="25"/>
      <c r="W3174" s="25"/>
      <c r="X3174" s="25"/>
      <c r="Y3174" s="25"/>
      <c r="Z3174" s="25"/>
    </row>
    <row r="3175" spans="1:26" ht="15.75" customHeight="1" x14ac:dyDescent="0.25">
      <c r="A3175" s="25">
        <v>3173</v>
      </c>
      <c r="B3175" s="37" t="e">
        <f t="shared" ref="B3175:D3175" si="6391">VLOOKUP($A3175,[10]Mujer!$A$1:$O$279,B$1,0)</f>
        <v>#N/A</v>
      </c>
      <c r="C3175" s="38" t="e">
        <f t="shared" si="6391"/>
        <v>#N/A</v>
      </c>
      <c r="D3175" s="39" t="e">
        <f t="shared" si="6391"/>
        <v>#N/A</v>
      </c>
      <c r="E3175" s="16" t="e">
        <f t="shared" si="1"/>
        <v>#N/A</v>
      </c>
      <c r="F3175" s="16" t="e">
        <f t="shared" ref="F3175:K3175" si="6392">VLOOKUP($A3175,[10]Mujer!$A$1:$O$279,F$1,0)</f>
        <v>#N/A</v>
      </c>
      <c r="G3175" s="39" t="e">
        <f t="shared" si="6392"/>
        <v>#N/A</v>
      </c>
      <c r="H3175" s="16" t="e">
        <f t="shared" si="6392"/>
        <v>#N/A</v>
      </c>
      <c r="I3175" s="16" t="e">
        <f t="shared" si="6392"/>
        <v>#N/A</v>
      </c>
      <c r="J3175" s="40" t="e">
        <f t="shared" si="6392"/>
        <v>#N/A</v>
      </c>
      <c r="K3175" s="16" t="e">
        <f t="shared" si="6392"/>
        <v>#N/A</v>
      </c>
      <c r="L3175" s="40" t="e">
        <f t="shared" si="6045"/>
        <v>#N/A</v>
      </c>
      <c r="M3175" s="16" t="e">
        <f t="shared" si="6046"/>
        <v>#N/A</v>
      </c>
      <c r="N3175" s="16" t="e">
        <f t="shared" si="6047"/>
        <v>#N/A</v>
      </c>
      <c r="O3175" s="16" t="s">
        <v>74</v>
      </c>
      <c r="P3175" s="16" t="str">
        <f t="shared" si="6"/>
        <v/>
      </c>
      <c r="Q3175" s="41" t="e">
        <f t="shared" si="6048"/>
        <v>#N/A</v>
      </c>
      <c r="R3175" s="44"/>
      <c r="S3175" s="44"/>
      <c r="T3175" s="43"/>
      <c r="U3175" s="43" t="str">
        <f t="shared" si="8"/>
        <v>No</v>
      </c>
      <c r="V3175" s="25"/>
      <c r="W3175" s="25"/>
      <c r="X3175" s="25"/>
      <c r="Y3175" s="25"/>
      <c r="Z3175" s="25"/>
    </row>
    <row r="3176" spans="1:26" ht="15.75" customHeight="1" x14ac:dyDescent="0.25">
      <c r="A3176" s="25">
        <v>3174</v>
      </c>
      <c r="B3176" s="37" t="e">
        <f t="shared" ref="B3176:D3176" si="6393">VLOOKUP($A3176,[10]Mujer!$A$1:$O$279,B$1,0)</f>
        <v>#N/A</v>
      </c>
      <c r="C3176" s="38" t="e">
        <f t="shared" si="6393"/>
        <v>#N/A</v>
      </c>
      <c r="D3176" s="39" t="e">
        <f t="shared" si="6393"/>
        <v>#N/A</v>
      </c>
      <c r="E3176" s="16" t="e">
        <f t="shared" si="1"/>
        <v>#N/A</v>
      </c>
      <c r="F3176" s="16" t="e">
        <f t="shared" ref="F3176:K3176" si="6394">VLOOKUP($A3176,[10]Mujer!$A$1:$O$279,F$1,0)</f>
        <v>#N/A</v>
      </c>
      <c r="G3176" s="39" t="e">
        <f t="shared" si="6394"/>
        <v>#N/A</v>
      </c>
      <c r="H3176" s="16" t="e">
        <f t="shared" si="6394"/>
        <v>#N/A</v>
      </c>
      <c r="I3176" s="16" t="e">
        <f t="shared" si="6394"/>
        <v>#N/A</v>
      </c>
      <c r="J3176" s="40" t="e">
        <f t="shared" si="6394"/>
        <v>#N/A</v>
      </c>
      <c r="K3176" s="16" t="e">
        <f t="shared" si="6394"/>
        <v>#N/A</v>
      </c>
      <c r="L3176" s="40" t="e">
        <f t="shared" si="6045"/>
        <v>#N/A</v>
      </c>
      <c r="M3176" s="16" t="e">
        <f t="shared" si="6046"/>
        <v>#N/A</v>
      </c>
      <c r="N3176" s="16" t="e">
        <f t="shared" si="6047"/>
        <v>#N/A</v>
      </c>
      <c r="O3176" s="16" t="s">
        <v>74</v>
      </c>
      <c r="P3176" s="16" t="str">
        <f t="shared" si="6"/>
        <v/>
      </c>
      <c r="Q3176" s="41" t="e">
        <f t="shared" si="6048"/>
        <v>#N/A</v>
      </c>
      <c r="R3176" s="44"/>
      <c r="S3176" s="44"/>
      <c r="T3176" s="43"/>
      <c r="U3176" s="43" t="str">
        <f t="shared" si="8"/>
        <v>No</v>
      </c>
      <c r="V3176" s="25"/>
      <c r="W3176" s="25"/>
      <c r="X3176" s="25"/>
      <c r="Y3176" s="25"/>
      <c r="Z3176" s="25"/>
    </row>
    <row r="3177" spans="1:26" ht="15.75" customHeight="1" x14ac:dyDescent="0.25">
      <c r="A3177" s="25">
        <v>3175</v>
      </c>
      <c r="B3177" s="37" t="e">
        <f t="shared" ref="B3177:D3177" si="6395">VLOOKUP($A3177,[10]Mujer!$A$1:$O$279,B$1,0)</f>
        <v>#N/A</v>
      </c>
      <c r="C3177" s="38" t="e">
        <f t="shared" si="6395"/>
        <v>#N/A</v>
      </c>
      <c r="D3177" s="39" t="e">
        <f t="shared" si="6395"/>
        <v>#N/A</v>
      </c>
      <c r="E3177" s="16" t="e">
        <f t="shared" si="1"/>
        <v>#N/A</v>
      </c>
      <c r="F3177" s="16" t="e">
        <f t="shared" ref="F3177:K3177" si="6396">VLOOKUP($A3177,[10]Mujer!$A$1:$O$279,F$1,0)</f>
        <v>#N/A</v>
      </c>
      <c r="G3177" s="39" t="e">
        <f t="shared" si="6396"/>
        <v>#N/A</v>
      </c>
      <c r="H3177" s="16" t="e">
        <f t="shared" si="6396"/>
        <v>#N/A</v>
      </c>
      <c r="I3177" s="16" t="e">
        <f t="shared" si="6396"/>
        <v>#N/A</v>
      </c>
      <c r="J3177" s="40" t="e">
        <f t="shared" si="6396"/>
        <v>#N/A</v>
      </c>
      <c r="K3177" s="16" t="e">
        <f t="shared" si="6396"/>
        <v>#N/A</v>
      </c>
      <c r="L3177" s="40" t="e">
        <f t="shared" si="6045"/>
        <v>#N/A</v>
      </c>
      <c r="M3177" s="16" t="e">
        <f t="shared" si="6046"/>
        <v>#N/A</v>
      </c>
      <c r="N3177" s="16" t="e">
        <f t="shared" si="6047"/>
        <v>#N/A</v>
      </c>
      <c r="O3177" s="16" t="s">
        <v>74</v>
      </c>
      <c r="P3177" s="16" t="str">
        <f t="shared" si="6"/>
        <v/>
      </c>
      <c r="Q3177" s="41" t="e">
        <f t="shared" si="6048"/>
        <v>#N/A</v>
      </c>
      <c r="R3177" s="44"/>
      <c r="S3177" s="44"/>
      <c r="T3177" s="43"/>
      <c r="U3177" s="43" t="str">
        <f t="shared" si="8"/>
        <v>No</v>
      </c>
      <c r="V3177" s="25"/>
      <c r="W3177" s="25"/>
      <c r="X3177" s="25"/>
      <c r="Y3177" s="25"/>
      <c r="Z3177" s="25"/>
    </row>
    <row r="3178" spans="1:26" ht="15.75" customHeight="1" x14ac:dyDescent="0.25">
      <c r="A3178" s="25">
        <v>3176</v>
      </c>
      <c r="B3178" s="37" t="e">
        <f t="shared" ref="B3178:D3178" si="6397">VLOOKUP($A3178,[10]Mujer!$A$1:$O$279,B$1,0)</f>
        <v>#N/A</v>
      </c>
      <c r="C3178" s="38" t="e">
        <f t="shared" si="6397"/>
        <v>#N/A</v>
      </c>
      <c r="D3178" s="39" t="e">
        <f t="shared" si="6397"/>
        <v>#N/A</v>
      </c>
      <c r="E3178" s="16" t="e">
        <f t="shared" si="1"/>
        <v>#N/A</v>
      </c>
      <c r="F3178" s="16" t="e">
        <f t="shared" ref="F3178:K3178" si="6398">VLOOKUP($A3178,[10]Mujer!$A$1:$O$279,F$1,0)</f>
        <v>#N/A</v>
      </c>
      <c r="G3178" s="39" t="e">
        <f t="shared" si="6398"/>
        <v>#N/A</v>
      </c>
      <c r="H3178" s="16" t="e">
        <f t="shared" si="6398"/>
        <v>#N/A</v>
      </c>
      <c r="I3178" s="16" t="e">
        <f t="shared" si="6398"/>
        <v>#N/A</v>
      </c>
      <c r="J3178" s="40" t="e">
        <f t="shared" si="6398"/>
        <v>#N/A</v>
      </c>
      <c r="K3178" s="16" t="e">
        <f t="shared" si="6398"/>
        <v>#N/A</v>
      </c>
      <c r="L3178" s="40" t="e">
        <f t="shared" si="6045"/>
        <v>#N/A</v>
      </c>
      <c r="M3178" s="16" t="e">
        <f t="shared" si="6046"/>
        <v>#N/A</v>
      </c>
      <c r="N3178" s="16" t="e">
        <f t="shared" si="6047"/>
        <v>#N/A</v>
      </c>
      <c r="O3178" s="16" t="s">
        <v>74</v>
      </c>
      <c r="P3178" s="16" t="str">
        <f t="shared" si="6"/>
        <v/>
      </c>
      <c r="Q3178" s="41" t="e">
        <f t="shared" si="6048"/>
        <v>#N/A</v>
      </c>
      <c r="R3178" s="44"/>
      <c r="S3178" s="44"/>
      <c r="T3178" s="43"/>
      <c r="U3178" s="43" t="str">
        <f t="shared" si="8"/>
        <v>No</v>
      </c>
      <c r="V3178" s="25"/>
      <c r="W3178" s="25"/>
      <c r="X3178" s="25"/>
      <c r="Y3178" s="25"/>
      <c r="Z3178" s="25"/>
    </row>
    <row r="3179" spans="1:26" ht="15.75" customHeight="1" x14ac:dyDescent="0.25">
      <c r="A3179" s="25">
        <v>3177</v>
      </c>
      <c r="B3179" s="37" t="e">
        <f t="shared" ref="B3179:D3179" si="6399">VLOOKUP($A3179,[10]Mujer!$A$1:$O$279,B$1,0)</f>
        <v>#N/A</v>
      </c>
      <c r="C3179" s="38" t="e">
        <f t="shared" si="6399"/>
        <v>#N/A</v>
      </c>
      <c r="D3179" s="39" t="e">
        <f t="shared" si="6399"/>
        <v>#N/A</v>
      </c>
      <c r="E3179" s="16" t="e">
        <f t="shared" si="1"/>
        <v>#N/A</v>
      </c>
      <c r="F3179" s="16" t="e">
        <f t="shared" ref="F3179:K3179" si="6400">VLOOKUP($A3179,[10]Mujer!$A$1:$O$279,F$1,0)</f>
        <v>#N/A</v>
      </c>
      <c r="G3179" s="39" t="e">
        <f t="shared" si="6400"/>
        <v>#N/A</v>
      </c>
      <c r="H3179" s="16" t="e">
        <f t="shared" si="6400"/>
        <v>#N/A</v>
      </c>
      <c r="I3179" s="16" t="e">
        <f t="shared" si="6400"/>
        <v>#N/A</v>
      </c>
      <c r="J3179" s="40" t="e">
        <f t="shared" si="6400"/>
        <v>#N/A</v>
      </c>
      <c r="K3179" s="16" t="e">
        <f t="shared" si="6400"/>
        <v>#N/A</v>
      </c>
      <c r="L3179" s="40" t="e">
        <f t="shared" si="6045"/>
        <v>#N/A</v>
      </c>
      <c r="M3179" s="16" t="e">
        <f t="shared" si="6046"/>
        <v>#N/A</v>
      </c>
      <c r="N3179" s="16" t="e">
        <f t="shared" si="6047"/>
        <v>#N/A</v>
      </c>
      <c r="O3179" s="16" t="s">
        <v>74</v>
      </c>
      <c r="P3179" s="16" t="str">
        <f t="shared" si="6"/>
        <v/>
      </c>
      <c r="Q3179" s="41" t="e">
        <f t="shared" si="6048"/>
        <v>#N/A</v>
      </c>
      <c r="R3179" s="44"/>
      <c r="S3179" s="44"/>
      <c r="T3179" s="43"/>
      <c r="U3179" s="43" t="str">
        <f t="shared" si="8"/>
        <v>No</v>
      </c>
      <c r="V3179" s="25"/>
      <c r="W3179" s="25"/>
      <c r="X3179" s="25"/>
      <c r="Y3179" s="25"/>
      <c r="Z3179" s="25"/>
    </row>
    <row r="3180" spans="1:26" ht="15.75" customHeight="1" x14ac:dyDescent="0.25">
      <c r="A3180" s="25">
        <v>3178</v>
      </c>
      <c r="B3180" s="37" t="e">
        <f t="shared" ref="B3180:D3180" si="6401">VLOOKUP($A3180,[10]Mujer!$A$1:$O$279,B$1,0)</f>
        <v>#N/A</v>
      </c>
      <c r="C3180" s="38" t="e">
        <f t="shared" si="6401"/>
        <v>#N/A</v>
      </c>
      <c r="D3180" s="39" t="e">
        <f t="shared" si="6401"/>
        <v>#N/A</v>
      </c>
      <c r="E3180" s="16" t="e">
        <f t="shared" si="1"/>
        <v>#N/A</v>
      </c>
      <c r="F3180" s="16" t="e">
        <f t="shared" ref="F3180:K3180" si="6402">VLOOKUP($A3180,[10]Mujer!$A$1:$O$279,F$1,0)</f>
        <v>#N/A</v>
      </c>
      <c r="G3180" s="39" t="e">
        <f t="shared" si="6402"/>
        <v>#N/A</v>
      </c>
      <c r="H3180" s="16" t="e">
        <f t="shared" si="6402"/>
        <v>#N/A</v>
      </c>
      <c r="I3180" s="16" t="e">
        <f t="shared" si="6402"/>
        <v>#N/A</v>
      </c>
      <c r="J3180" s="40" t="e">
        <f t="shared" si="6402"/>
        <v>#N/A</v>
      </c>
      <c r="K3180" s="16" t="e">
        <f t="shared" si="6402"/>
        <v>#N/A</v>
      </c>
      <c r="L3180" s="40" t="e">
        <f t="shared" si="6045"/>
        <v>#N/A</v>
      </c>
      <c r="M3180" s="16" t="e">
        <f t="shared" si="6046"/>
        <v>#N/A</v>
      </c>
      <c r="N3180" s="16" t="e">
        <f t="shared" si="6047"/>
        <v>#N/A</v>
      </c>
      <c r="O3180" s="16" t="s">
        <v>74</v>
      </c>
      <c r="P3180" s="16" t="str">
        <f t="shared" si="6"/>
        <v/>
      </c>
      <c r="Q3180" s="41" t="e">
        <f t="shared" si="6048"/>
        <v>#N/A</v>
      </c>
      <c r="R3180" s="44"/>
      <c r="S3180" s="44"/>
      <c r="T3180" s="43"/>
      <c r="U3180" s="43" t="str">
        <f t="shared" si="8"/>
        <v>No</v>
      </c>
      <c r="V3180" s="25"/>
      <c r="W3180" s="25"/>
      <c r="X3180" s="25"/>
      <c r="Y3180" s="25"/>
      <c r="Z3180" s="25"/>
    </row>
    <row r="3181" spans="1:26" ht="15.75" customHeight="1" x14ac:dyDescent="0.25">
      <c r="A3181" s="25">
        <v>3179</v>
      </c>
      <c r="B3181" s="37" t="e">
        <f t="shared" ref="B3181:D3181" si="6403">VLOOKUP($A3181,[10]Mujer!$A$1:$O$279,B$1,0)</f>
        <v>#N/A</v>
      </c>
      <c r="C3181" s="38" t="e">
        <f t="shared" si="6403"/>
        <v>#N/A</v>
      </c>
      <c r="D3181" s="39" t="e">
        <f t="shared" si="6403"/>
        <v>#N/A</v>
      </c>
      <c r="E3181" s="16" t="e">
        <f t="shared" si="1"/>
        <v>#N/A</v>
      </c>
      <c r="F3181" s="16" t="e">
        <f t="shared" ref="F3181:K3181" si="6404">VLOOKUP($A3181,[10]Mujer!$A$1:$O$279,F$1,0)</f>
        <v>#N/A</v>
      </c>
      <c r="G3181" s="39" t="e">
        <f t="shared" si="6404"/>
        <v>#N/A</v>
      </c>
      <c r="H3181" s="16" t="e">
        <f t="shared" si="6404"/>
        <v>#N/A</v>
      </c>
      <c r="I3181" s="16" t="e">
        <f t="shared" si="6404"/>
        <v>#N/A</v>
      </c>
      <c r="J3181" s="40" t="e">
        <f t="shared" si="6404"/>
        <v>#N/A</v>
      </c>
      <c r="K3181" s="16" t="e">
        <f t="shared" si="6404"/>
        <v>#N/A</v>
      </c>
      <c r="L3181" s="40" t="e">
        <f t="shared" si="6045"/>
        <v>#N/A</v>
      </c>
      <c r="M3181" s="16" t="e">
        <f t="shared" si="6046"/>
        <v>#N/A</v>
      </c>
      <c r="N3181" s="16" t="e">
        <f t="shared" si="6047"/>
        <v>#N/A</v>
      </c>
      <c r="O3181" s="16" t="s">
        <v>74</v>
      </c>
      <c r="P3181" s="16" t="str">
        <f t="shared" si="6"/>
        <v/>
      </c>
      <c r="Q3181" s="41" t="e">
        <f t="shared" si="6048"/>
        <v>#N/A</v>
      </c>
      <c r="R3181" s="44"/>
      <c r="S3181" s="44"/>
      <c r="T3181" s="43"/>
      <c r="U3181" s="43" t="str">
        <f t="shared" si="8"/>
        <v>No</v>
      </c>
      <c r="V3181" s="25"/>
      <c r="W3181" s="25"/>
      <c r="X3181" s="25"/>
      <c r="Y3181" s="25"/>
      <c r="Z3181" s="25"/>
    </row>
    <row r="3182" spans="1:26" ht="15.75" customHeight="1" x14ac:dyDescent="0.25">
      <c r="A3182" s="25">
        <v>3180</v>
      </c>
      <c r="B3182" s="37" t="e">
        <f t="shared" ref="B3182:D3182" si="6405">VLOOKUP($A3182,[10]Mujer!$A$1:$O$279,B$1,0)</f>
        <v>#N/A</v>
      </c>
      <c r="C3182" s="38" t="e">
        <f t="shared" si="6405"/>
        <v>#N/A</v>
      </c>
      <c r="D3182" s="39" t="e">
        <f t="shared" si="6405"/>
        <v>#N/A</v>
      </c>
      <c r="E3182" s="16" t="e">
        <f t="shared" si="1"/>
        <v>#N/A</v>
      </c>
      <c r="F3182" s="16" t="e">
        <f t="shared" ref="F3182:K3182" si="6406">VLOOKUP($A3182,[10]Mujer!$A$1:$O$279,F$1,0)</f>
        <v>#N/A</v>
      </c>
      <c r="G3182" s="39" t="e">
        <f t="shared" si="6406"/>
        <v>#N/A</v>
      </c>
      <c r="H3182" s="16" t="e">
        <f t="shared" si="6406"/>
        <v>#N/A</v>
      </c>
      <c r="I3182" s="16" t="e">
        <f t="shared" si="6406"/>
        <v>#N/A</v>
      </c>
      <c r="J3182" s="40" t="e">
        <f t="shared" si="6406"/>
        <v>#N/A</v>
      </c>
      <c r="K3182" s="16" t="e">
        <f t="shared" si="6406"/>
        <v>#N/A</v>
      </c>
      <c r="L3182" s="40" t="e">
        <f t="shared" si="6045"/>
        <v>#N/A</v>
      </c>
      <c r="M3182" s="16" t="e">
        <f t="shared" si="6046"/>
        <v>#N/A</v>
      </c>
      <c r="N3182" s="16" t="e">
        <f t="shared" si="6047"/>
        <v>#N/A</v>
      </c>
      <c r="O3182" s="16" t="s">
        <v>74</v>
      </c>
      <c r="P3182" s="16" t="str">
        <f t="shared" si="6"/>
        <v/>
      </c>
      <c r="Q3182" s="41" t="e">
        <f t="shared" si="6048"/>
        <v>#N/A</v>
      </c>
      <c r="R3182" s="44"/>
      <c r="S3182" s="44"/>
      <c r="T3182" s="43"/>
      <c r="U3182" s="43" t="str">
        <f t="shared" si="8"/>
        <v>No</v>
      </c>
      <c r="V3182" s="25"/>
      <c r="W3182" s="25"/>
      <c r="X3182" s="25"/>
      <c r="Y3182" s="25"/>
      <c r="Z3182" s="25"/>
    </row>
    <row r="3183" spans="1:26" ht="15.75" customHeight="1" x14ac:dyDescent="0.25">
      <c r="A3183" s="25">
        <v>3181</v>
      </c>
      <c r="B3183" s="37" t="e">
        <f t="shared" ref="B3183:D3183" si="6407">VLOOKUP($A3183,[10]Mujer!$A$1:$O$279,B$1,0)</f>
        <v>#N/A</v>
      </c>
      <c r="C3183" s="38" t="e">
        <f t="shared" si="6407"/>
        <v>#N/A</v>
      </c>
      <c r="D3183" s="39" t="e">
        <f t="shared" si="6407"/>
        <v>#N/A</v>
      </c>
      <c r="E3183" s="16" t="e">
        <f t="shared" si="1"/>
        <v>#N/A</v>
      </c>
      <c r="F3183" s="16" t="e">
        <f t="shared" ref="F3183:K3183" si="6408">VLOOKUP($A3183,[10]Mujer!$A$1:$O$279,F$1,0)</f>
        <v>#N/A</v>
      </c>
      <c r="G3183" s="39" t="e">
        <f t="shared" si="6408"/>
        <v>#N/A</v>
      </c>
      <c r="H3183" s="16" t="e">
        <f t="shared" si="6408"/>
        <v>#N/A</v>
      </c>
      <c r="I3183" s="16" t="e">
        <f t="shared" si="6408"/>
        <v>#N/A</v>
      </c>
      <c r="J3183" s="40" t="e">
        <f t="shared" si="6408"/>
        <v>#N/A</v>
      </c>
      <c r="K3183" s="16" t="e">
        <f t="shared" si="6408"/>
        <v>#N/A</v>
      </c>
      <c r="L3183" s="40" t="e">
        <f t="shared" si="6045"/>
        <v>#N/A</v>
      </c>
      <c r="M3183" s="16" t="e">
        <f t="shared" si="6046"/>
        <v>#N/A</v>
      </c>
      <c r="N3183" s="16" t="e">
        <f t="shared" si="6047"/>
        <v>#N/A</v>
      </c>
      <c r="O3183" s="16" t="s">
        <v>74</v>
      </c>
      <c r="P3183" s="16" t="str">
        <f t="shared" si="6"/>
        <v/>
      </c>
      <c r="Q3183" s="41" t="e">
        <f t="shared" si="6048"/>
        <v>#N/A</v>
      </c>
      <c r="R3183" s="44"/>
      <c r="S3183" s="44"/>
      <c r="T3183" s="43"/>
      <c r="U3183" s="43" t="str">
        <f t="shared" si="8"/>
        <v>No</v>
      </c>
      <c r="V3183" s="25"/>
      <c r="W3183" s="25"/>
      <c r="X3183" s="25"/>
      <c r="Y3183" s="25"/>
      <c r="Z3183" s="25"/>
    </row>
    <row r="3184" spans="1:26" ht="15.75" customHeight="1" x14ac:dyDescent="0.25">
      <c r="A3184" s="25">
        <v>3182</v>
      </c>
      <c r="B3184" s="37" t="e">
        <f t="shared" ref="B3184:D3184" si="6409">VLOOKUP($A3184,[10]Mujer!$A$1:$O$279,B$1,0)</f>
        <v>#N/A</v>
      </c>
      <c r="C3184" s="38" t="e">
        <f t="shared" si="6409"/>
        <v>#N/A</v>
      </c>
      <c r="D3184" s="39" t="e">
        <f t="shared" si="6409"/>
        <v>#N/A</v>
      </c>
      <c r="E3184" s="16" t="e">
        <f t="shared" si="1"/>
        <v>#N/A</v>
      </c>
      <c r="F3184" s="16" t="e">
        <f t="shared" ref="F3184:K3184" si="6410">VLOOKUP($A3184,[10]Mujer!$A$1:$O$279,F$1,0)</f>
        <v>#N/A</v>
      </c>
      <c r="G3184" s="39" t="e">
        <f t="shared" si="6410"/>
        <v>#N/A</v>
      </c>
      <c r="H3184" s="16" t="e">
        <f t="shared" si="6410"/>
        <v>#N/A</v>
      </c>
      <c r="I3184" s="16" t="e">
        <f t="shared" si="6410"/>
        <v>#N/A</v>
      </c>
      <c r="J3184" s="40" t="e">
        <f t="shared" si="6410"/>
        <v>#N/A</v>
      </c>
      <c r="K3184" s="16" t="e">
        <f t="shared" si="6410"/>
        <v>#N/A</v>
      </c>
      <c r="L3184" s="40" t="e">
        <f t="shared" si="6045"/>
        <v>#N/A</v>
      </c>
      <c r="M3184" s="16" t="e">
        <f t="shared" si="6046"/>
        <v>#N/A</v>
      </c>
      <c r="N3184" s="16" t="e">
        <f t="shared" si="6047"/>
        <v>#N/A</v>
      </c>
      <c r="O3184" s="16" t="s">
        <v>74</v>
      </c>
      <c r="P3184" s="16" t="str">
        <f t="shared" si="6"/>
        <v/>
      </c>
      <c r="Q3184" s="41" t="e">
        <f t="shared" si="6048"/>
        <v>#N/A</v>
      </c>
      <c r="R3184" s="44"/>
      <c r="S3184" s="44"/>
      <c r="T3184" s="43"/>
      <c r="U3184" s="43" t="str">
        <f t="shared" si="8"/>
        <v>No</v>
      </c>
      <c r="V3184" s="25"/>
      <c r="W3184" s="25"/>
      <c r="X3184" s="25"/>
      <c r="Y3184" s="25"/>
      <c r="Z3184" s="25"/>
    </row>
    <row r="3185" spans="1:26" ht="15.75" customHeight="1" x14ac:dyDescent="0.25">
      <c r="A3185" s="25">
        <v>3183</v>
      </c>
      <c r="B3185" s="37" t="e">
        <f t="shared" ref="B3185:D3185" si="6411">VLOOKUP($A3185,[10]Mujer!$A$1:$O$279,B$1,0)</f>
        <v>#N/A</v>
      </c>
      <c r="C3185" s="38" t="e">
        <f t="shared" si="6411"/>
        <v>#N/A</v>
      </c>
      <c r="D3185" s="39" t="e">
        <f t="shared" si="6411"/>
        <v>#N/A</v>
      </c>
      <c r="E3185" s="16" t="e">
        <f t="shared" si="1"/>
        <v>#N/A</v>
      </c>
      <c r="F3185" s="16" t="e">
        <f t="shared" ref="F3185:K3185" si="6412">VLOOKUP($A3185,[10]Mujer!$A$1:$O$279,F$1,0)</f>
        <v>#N/A</v>
      </c>
      <c r="G3185" s="39" t="e">
        <f t="shared" si="6412"/>
        <v>#N/A</v>
      </c>
      <c r="H3185" s="16" t="e">
        <f t="shared" si="6412"/>
        <v>#N/A</v>
      </c>
      <c r="I3185" s="16" t="e">
        <f t="shared" si="6412"/>
        <v>#N/A</v>
      </c>
      <c r="J3185" s="40" t="e">
        <f t="shared" si="6412"/>
        <v>#N/A</v>
      </c>
      <c r="K3185" s="16" t="e">
        <f t="shared" si="6412"/>
        <v>#N/A</v>
      </c>
      <c r="L3185" s="40" t="e">
        <f t="shared" si="6045"/>
        <v>#N/A</v>
      </c>
      <c r="M3185" s="16" t="e">
        <f t="shared" si="6046"/>
        <v>#N/A</v>
      </c>
      <c r="N3185" s="16" t="e">
        <f t="shared" si="6047"/>
        <v>#N/A</v>
      </c>
      <c r="O3185" s="16" t="s">
        <v>74</v>
      </c>
      <c r="P3185" s="16" t="str">
        <f t="shared" si="6"/>
        <v/>
      </c>
      <c r="Q3185" s="41" t="e">
        <f t="shared" si="6048"/>
        <v>#N/A</v>
      </c>
      <c r="R3185" s="44"/>
      <c r="S3185" s="44"/>
      <c r="T3185" s="43"/>
      <c r="U3185" s="43" t="str">
        <f t="shared" si="8"/>
        <v>No</v>
      </c>
      <c r="V3185" s="25"/>
      <c r="W3185" s="25"/>
      <c r="X3185" s="25"/>
      <c r="Y3185" s="25"/>
      <c r="Z3185" s="25"/>
    </row>
    <row r="3186" spans="1:26" ht="15.75" customHeight="1" x14ac:dyDescent="0.25">
      <c r="A3186" s="25">
        <v>3184</v>
      </c>
      <c r="B3186" s="37" t="e">
        <f t="shared" ref="B3186:D3186" si="6413">VLOOKUP($A3186,[10]Mujer!$A$1:$O$279,B$1,0)</f>
        <v>#N/A</v>
      </c>
      <c r="C3186" s="38" t="e">
        <f t="shared" si="6413"/>
        <v>#N/A</v>
      </c>
      <c r="D3186" s="39" t="e">
        <f t="shared" si="6413"/>
        <v>#N/A</v>
      </c>
      <c r="E3186" s="16" t="e">
        <f t="shared" si="1"/>
        <v>#N/A</v>
      </c>
      <c r="F3186" s="16" t="e">
        <f t="shared" ref="F3186:K3186" si="6414">VLOOKUP($A3186,[10]Mujer!$A$1:$O$279,F$1,0)</f>
        <v>#N/A</v>
      </c>
      <c r="G3186" s="39" t="e">
        <f t="shared" si="6414"/>
        <v>#N/A</v>
      </c>
      <c r="H3186" s="16" t="e">
        <f t="shared" si="6414"/>
        <v>#N/A</v>
      </c>
      <c r="I3186" s="16" t="e">
        <f t="shared" si="6414"/>
        <v>#N/A</v>
      </c>
      <c r="J3186" s="40" t="e">
        <f t="shared" si="6414"/>
        <v>#N/A</v>
      </c>
      <c r="K3186" s="16" t="e">
        <f t="shared" si="6414"/>
        <v>#N/A</v>
      </c>
      <c r="L3186" s="40" t="e">
        <f t="shared" si="6045"/>
        <v>#N/A</v>
      </c>
      <c r="M3186" s="16" t="e">
        <f t="shared" si="6046"/>
        <v>#N/A</v>
      </c>
      <c r="N3186" s="16" t="e">
        <f t="shared" si="6047"/>
        <v>#N/A</v>
      </c>
      <c r="O3186" s="16" t="s">
        <v>74</v>
      </c>
      <c r="P3186" s="16" t="str">
        <f t="shared" si="6"/>
        <v/>
      </c>
      <c r="Q3186" s="41" t="e">
        <f t="shared" si="6048"/>
        <v>#N/A</v>
      </c>
      <c r="R3186" s="44"/>
      <c r="S3186" s="44"/>
      <c r="T3186" s="43"/>
      <c r="U3186" s="43" t="str">
        <f t="shared" si="8"/>
        <v>No</v>
      </c>
      <c r="V3186" s="25"/>
      <c r="W3186" s="25"/>
      <c r="X3186" s="25"/>
      <c r="Y3186" s="25"/>
      <c r="Z3186" s="25"/>
    </row>
    <row r="3187" spans="1:26" ht="15.75" customHeight="1" x14ac:dyDescent="0.25">
      <c r="A3187" s="25">
        <v>3185</v>
      </c>
      <c r="B3187" s="37" t="e">
        <f t="shared" ref="B3187:D3187" si="6415">VLOOKUP($A3187,[10]Mujer!$A$1:$O$279,B$1,0)</f>
        <v>#N/A</v>
      </c>
      <c r="C3187" s="38" t="e">
        <f t="shared" si="6415"/>
        <v>#N/A</v>
      </c>
      <c r="D3187" s="39" t="e">
        <f t="shared" si="6415"/>
        <v>#N/A</v>
      </c>
      <c r="E3187" s="16" t="e">
        <f t="shared" si="1"/>
        <v>#N/A</v>
      </c>
      <c r="F3187" s="16" t="e">
        <f t="shared" ref="F3187:K3187" si="6416">VLOOKUP($A3187,[10]Mujer!$A$1:$O$279,F$1,0)</f>
        <v>#N/A</v>
      </c>
      <c r="G3187" s="39" t="e">
        <f t="shared" si="6416"/>
        <v>#N/A</v>
      </c>
      <c r="H3187" s="16" t="e">
        <f t="shared" si="6416"/>
        <v>#N/A</v>
      </c>
      <c r="I3187" s="16" t="e">
        <f t="shared" si="6416"/>
        <v>#N/A</v>
      </c>
      <c r="J3187" s="40" t="e">
        <f t="shared" si="6416"/>
        <v>#N/A</v>
      </c>
      <c r="K3187" s="16" t="e">
        <f t="shared" si="6416"/>
        <v>#N/A</v>
      </c>
      <c r="L3187" s="40" t="e">
        <f t="shared" si="6045"/>
        <v>#N/A</v>
      </c>
      <c r="M3187" s="16" t="e">
        <f t="shared" si="6046"/>
        <v>#N/A</v>
      </c>
      <c r="N3187" s="16" t="e">
        <f t="shared" si="6047"/>
        <v>#N/A</v>
      </c>
      <c r="O3187" s="16" t="s">
        <v>74</v>
      </c>
      <c r="P3187" s="16" t="str">
        <f t="shared" si="6"/>
        <v/>
      </c>
      <c r="Q3187" s="41" t="e">
        <f t="shared" si="6048"/>
        <v>#N/A</v>
      </c>
      <c r="R3187" s="44"/>
      <c r="S3187" s="44"/>
      <c r="T3187" s="43"/>
      <c r="U3187" s="43" t="str">
        <f t="shared" si="8"/>
        <v>No</v>
      </c>
      <c r="V3187" s="25"/>
      <c r="W3187" s="25"/>
      <c r="X3187" s="25"/>
      <c r="Y3187" s="25"/>
      <c r="Z3187" s="25"/>
    </row>
    <row r="3188" spans="1:26" ht="15.75" customHeight="1" x14ac:dyDescent="0.25">
      <c r="A3188" s="25">
        <v>3186</v>
      </c>
      <c r="B3188" s="37" t="e">
        <f t="shared" ref="B3188:D3188" si="6417">VLOOKUP($A3188,[10]Mujer!$A$1:$O$279,B$1,0)</f>
        <v>#N/A</v>
      </c>
      <c r="C3188" s="38" t="e">
        <f t="shared" si="6417"/>
        <v>#N/A</v>
      </c>
      <c r="D3188" s="39" t="e">
        <f t="shared" si="6417"/>
        <v>#N/A</v>
      </c>
      <c r="E3188" s="16" t="e">
        <f t="shared" si="1"/>
        <v>#N/A</v>
      </c>
      <c r="F3188" s="16" t="e">
        <f t="shared" ref="F3188:K3188" si="6418">VLOOKUP($A3188,[10]Mujer!$A$1:$O$279,F$1,0)</f>
        <v>#N/A</v>
      </c>
      <c r="G3188" s="39" t="e">
        <f t="shared" si="6418"/>
        <v>#N/A</v>
      </c>
      <c r="H3188" s="16" t="e">
        <f t="shared" si="6418"/>
        <v>#N/A</v>
      </c>
      <c r="I3188" s="16" t="e">
        <f t="shared" si="6418"/>
        <v>#N/A</v>
      </c>
      <c r="J3188" s="40" t="e">
        <f t="shared" si="6418"/>
        <v>#N/A</v>
      </c>
      <c r="K3188" s="16" t="e">
        <f t="shared" si="6418"/>
        <v>#N/A</v>
      </c>
      <c r="L3188" s="40" t="e">
        <f t="shared" si="6045"/>
        <v>#N/A</v>
      </c>
      <c r="M3188" s="16" t="e">
        <f t="shared" si="6046"/>
        <v>#N/A</v>
      </c>
      <c r="N3188" s="16" t="e">
        <f t="shared" si="6047"/>
        <v>#N/A</v>
      </c>
      <c r="O3188" s="16" t="s">
        <v>74</v>
      </c>
      <c r="P3188" s="16" t="str">
        <f t="shared" si="6"/>
        <v/>
      </c>
      <c r="Q3188" s="41" t="e">
        <f t="shared" si="6048"/>
        <v>#N/A</v>
      </c>
      <c r="R3188" s="44"/>
      <c r="S3188" s="44"/>
      <c r="T3188" s="43"/>
      <c r="U3188" s="43" t="str">
        <f t="shared" si="8"/>
        <v>No</v>
      </c>
      <c r="V3188" s="25"/>
      <c r="W3188" s="25"/>
      <c r="X3188" s="25"/>
      <c r="Y3188" s="25"/>
      <c r="Z3188" s="25"/>
    </row>
    <row r="3189" spans="1:26" ht="15.75" customHeight="1" x14ac:dyDescent="0.25">
      <c r="A3189" s="25">
        <v>3187</v>
      </c>
      <c r="B3189" s="37" t="e">
        <f t="shared" ref="B3189:D3189" si="6419">VLOOKUP($A3189,[10]Mujer!$A$1:$O$279,B$1,0)</f>
        <v>#N/A</v>
      </c>
      <c r="C3189" s="38" t="e">
        <f t="shared" si="6419"/>
        <v>#N/A</v>
      </c>
      <c r="D3189" s="39" t="e">
        <f t="shared" si="6419"/>
        <v>#N/A</v>
      </c>
      <c r="E3189" s="16" t="e">
        <f t="shared" si="1"/>
        <v>#N/A</v>
      </c>
      <c r="F3189" s="16" t="e">
        <f t="shared" ref="F3189:K3189" si="6420">VLOOKUP($A3189,[10]Mujer!$A$1:$O$279,F$1,0)</f>
        <v>#N/A</v>
      </c>
      <c r="G3189" s="39" t="e">
        <f t="shared" si="6420"/>
        <v>#N/A</v>
      </c>
      <c r="H3189" s="16" t="e">
        <f t="shared" si="6420"/>
        <v>#N/A</v>
      </c>
      <c r="I3189" s="16" t="e">
        <f t="shared" si="6420"/>
        <v>#N/A</v>
      </c>
      <c r="J3189" s="40" t="e">
        <f t="shared" si="6420"/>
        <v>#N/A</v>
      </c>
      <c r="K3189" s="16" t="e">
        <f t="shared" si="6420"/>
        <v>#N/A</v>
      </c>
      <c r="L3189" s="40" t="e">
        <f t="shared" si="6045"/>
        <v>#N/A</v>
      </c>
      <c r="M3189" s="16" t="e">
        <f t="shared" si="6046"/>
        <v>#N/A</v>
      </c>
      <c r="N3189" s="16" t="e">
        <f t="shared" si="6047"/>
        <v>#N/A</v>
      </c>
      <c r="O3189" s="16" t="s">
        <v>74</v>
      </c>
      <c r="P3189" s="16" t="str">
        <f t="shared" si="6"/>
        <v/>
      </c>
      <c r="Q3189" s="41" t="e">
        <f t="shared" si="6048"/>
        <v>#N/A</v>
      </c>
      <c r="R3189" s="44"/>
      <c r="S3189" s="44"/>
      <c r="T3189" s="43"/>
      <c r="U3189" s="43" t="str">
        <f t="shared" si="8"/>
        <v>No</v>
      </c>
      <c r="V3189" s="25"/>
      <c r="W3189" s="25"/>
      <c r="X3189" s="25"/>
      <c r="Y3189" s="25"/>
      <c r="Z3189" s="25"/>
    </row>
    <row r="3190" spans="1:26" ht="15.75" customHeight="1" x14ac:dyDescent="0.25">
      <c r="A3190" s="25">
        <v>3188</v>
      </c>
      <c r="B3190" s="37" t="e">
        <f t="shared" ref="B3190:D3190" si="6421">VLOOKUP($A3190,[10]Mujer!$A$1:$O$279,B$1,0)</f>
        <v>#N/A</v>
      </c>
      <c r="C3190" s="38" t="e">
        <f t="shared" si="6421"/>
        <v>#N/A</v>
      </c>
      <c r="D3190" s="39" t="e">
        <f t="shared" si="6421"/>
        <v>#N/A</v>
      </c>
      <c r="E3190" s="16" t="e">
        <f t="shared" si="1"/>
        <v>#N/A</v>
      </c>
      <c r="F3190" s="16" t="e">
        <f t="shared" ref="F3190:K3190" si="6422">VLOOKUP($A3190,[10]Mujer!$A$1:$O$279,F$1,0)</f>
        <v>#N/A</v>
      </c>
      <c r="G3190" s="39" t="e">
        <f t="shared" si="6422"/>
        <v>#N/A</v>
      </c>
      <c r="H3190" s="16" t="e">
        <f t="shared" si="6422"/>
        <v>#N/A</v>
      </c>
      <c r="I3190" s="16" t="e">
        <f t="shared" si="6422"/>
        <v>#N/A</v>
      </c>
      <c r="J3190" s="40" t="e">
        <f t="shared" si="6422"/>
        <v>#N/A</v>
      </c>
      <c r="K3190" s="16" t="e">
        <f t="shared" si="6422"/>
        <v>#N/A</v>
      </c>
      <c r="L3190" s="40" t="e">
        <f t="shared" si="6045"/>
        <v>#N/A</v>
      </c>
      <c r="M3190" s="16" t="e">
        <f t="shared" si="6046"/>
        <v>#N/A</v>
      </c>
      <c r="N3190" s="16" t="e">
        <f t="shared" si="6047"/>
        <v>#N/A</v>
      </c>
      <c r="O3190" s="16" t="s">
        <v>74</v>
      </c>
      <c r="P3190" s="16" t="str">
        <f t="shared" si="6"/>
        <v/>
      </c>
      <c r="Q3190" s="41" t="e">
        <f t="shared" si="6048"/>
        <v>#N/A</v>
      </c>
      <c r="R3190" s="44"/>
      <c r="S3190" s="44"/>
      <c r="T3190" s="43"/>
      <c r="U3190" s="43" t="str">
        <f t="shared" si="8"/>
        <v>No</v>
      </c>
      <c r="V3190" s="25"/>
      <c r="W3190" s="25"/>
      <c r="X3190" s="25"/>
      <c r="Y3190" s="25"/>
      <c r="Z3190" s="25"/>
    </row>
    <row r="3191" spans="1:26" ht="15.75" customHeight="1" x14ac:dyDescent="0.25">
      <c r="A3191" s="25">
        <v>3189</v>
      </c>
      <c r="B3191" s="37" t="e">
        <f t="shared" ref="B3191:D3191" si="6423">VLOOKUP($A3191,[10]Mujer!$A$1:$O$279,B$1,0)</f>
        <v>#N/A</v>
      </c>
      <c r="C3191" s="38" t="e">
        <f t="shared" si="6423"/>
        <v>#N/A</v>
      </c>
      <c r="D3191" s="39" t="e">
        <f t="shared" si="6423"/>
        <v>#N/A</v>
      </c>
      <c r="E3191" s="16" t="e">
        <f t="shared" si="1"/>
        <v>#N/A</v>
      </c>
      <c r="F3191" s="16" t="e">
        <f t="shared" ref="F3191:K3191" si="6424">VLOOKUP($A3191,[10]Mujer!$A$1:$O$279,F$1,0)</f>
        <v>#N/A</v>
      </c>
      <c r="G3191" s="39" t="e">
        <f t="shared" si="6424"/>
        <v>#N/A</v>
      </c>
      <c r="H3191" s="16" t="e">
        <f t="shared" si="6424"/>
        <v>#N/A</v>
      </c>
      <c r="I3191" s="16" t="e">
        <f t="shared" si="6424"/>
        <v>#N/A</v>
      </c>
      <c r="J3191" s="40" t="e">
        <f t="shared" si="6424"/>
        <v>#N/A</v>
      </c>
      <c r="K3191" s="16" t="e">
        <f t="shared" si="6424"/>
        <v>#N/A</v>
      </c>
      <c r="L3191" s="40" t="e">
        <f t="shared" si="6045"/>
        <v>#N/A</v>
      </c>
      <c r="M3191" s="16" t="e">
        <f t="shared" si="6046"/>
        <v>#N/A</v>
      </c>
      <c r="N3191" s="16" t="e">
        <f t="shared" si="6047"/>
        <v>#N/A</v>
      </c>
      <c r="O3191" s="16" t="s">
        <v>74</v>
      </c>
      <c r="P3191" s="16" t="str">
        <f t="shared" si="6"/>
        <v/>
      </c>
      <c r="Q3191" s="41" t="e">
        <f t="shared" si="6048"/>
        <v>#N/A</v>
      </c>
      <c r="R3191" s="44"/>
      <c r="S3191" s="44"/>
      <c r="T3191" s="43"/>
      <c r="U3191" s="43" t="str">
        <f t="shared" si="8"/>
        <v>No</v>
      </c>
      <c r="V3191" s="25"/>
      <c r="W3191" s="25"/>
      <c r="X3191" s="25"/>
      <c r="Y3191" s="25"/>
      <c r="Z3191" s="25"/>
    </row>
    <row r="3192" spans="1:26" ht="15.75" customHeight="1" x14ac:dyDescent="0.25">
      <c r="A3192" s="25">
        <v>3190</v>
      </c>
      <c r="B3192" s="37" t="e">
        <f t="shared" ref="B3192:D3192" si="6425">VLOOKUP($A3192,[10]Mujer!$A$1:$O$279,B$1,0)</f>
        <v>#N/A</v>
      </c>
      <c r="C3192" s="38" t="e">
        <f t="shared" si="6425"/>
        <v>#N/A</v>
      </c>
      <c r="D3192" s="39" t="e">
        <f t="shared" si="6425"/>
        <v>#N/A</v>
      </c>
      <c r="E3192" s="16" t="e">
        <f t="shared" si="1"/>
        <v>#N/A</v>
      </c>
      <c r="F3192" s="16" t="e">
        <f t="shared" ref="F3192:K3192" si="6426">VLOOKUP($A3192,[10]Mujer!$A$1:$O$279,F$1,0)</f>
        <v>#N/A</v>
      </c>
      <c r="G3192" s="39" t="e">
        <f t="shared" si="6426"/>
        <v>#N/A</v>
      </c>
      <c r="H3192" s="16" t="e">
        <f t="shared" si="6426"/>
        <v>#N/A</v>
      </c>
      <c r="I3192" s="16" t="e">
        <f t="shared" si="6426"/>
        <v>#N/A</v>
      </c>
      <c r="J3192" s="40" t="e">
        <f t="shared" si="6426"/>
        <v>#N/A</v>
      </c>
      <c r="K3192" s="16" t="e">
        <f t="shared" si="6426"/>
        <v>#N/A</v>
      </c>
      <c r="L3192" s="40" t="e">
        <f t="shared" si="6045"/>
        <v>#N/A</v>
      </c>
      <c r="M3192" s="16" t="e">
        <f t="shared" si="6046"/>
        <v>#N/A</v>
      </c>
      <c r="N3192" s="16" t="e">
        <f t="shared" si="6047"/>
        <v>#N/A</v>
      </c>
      <c r="O3192" s="16" t="s">
        <v>74</v>
      </c>
      <c r="P3192" s="16" t="str">
        <f t="shared" si="6"/>
        <v/>
      </c>
      <c r="Q3192" s="41" t="e">
        <f t="shared" si="6048"/>
        <v>#N/A</v>
      </c>
      <c r="R3192" s="44"/>
      <c r="S3192" s="44"/>
      <c r="T3192" s="43"/>
      <c r="U3192" s="43" t="str">
        <f t="shared" si="8"/>
        <v>No</v>
      </c>
      <c r="V3192" s="25"/>
      <c r="W3192" s="25"/>
      <c r="X3192" s="25"/>
      <c r="Y3192" s="25"/>
      <c r="Z3192" s="25"/>
    </row>
    <row r="3193" spans="1:26" ht="15.75" customHeight="1" x14ac:dyDescent="0.25">
      <c r="A3193" s="25">
        <v>3191</v>
      </c>
      <c r="B3193" s="37" t="e">
        <f t="shared" ref="B3193:D3193" si="6427">VLOOKUP($A3193,[10]Mujer!$A$1:$O$279,B$1,0)</f>
        <v>#N/A</v>
      </c>
      <c r="C3193" s="38" t="e">
        <f t="shared" si="6427"/>
        <v>#N/A</v>
      </c>
      <c r="D3193" s="39" t="e">
        <f t="shared" si="6427"/>
        <v>#N/A</v>
      </c>
      <c r="E3193" s="16" t="e">
        <f t="shared" si="1"/>
        <v>#N/A</v>
      </c>
      <c r="F3193" s="16" t="e">
        <f t="shared" ref="F3193:K3193" si="6428">VLOOKUP($A3193,[10]Mujer!$A$1:$O$279,F$1,0)</f>
        <v>#N/A</v>
      </c>
      <c r="G3193" s="39" t="e">
        <f t="shared" si="6428"/>
        <v>#N/A</v>
      </c>
      <c r="H3193" s="16" t="e">
        <f t="shared" si="6428"/>
        <v>#N/A</v>
      </c>
      <c r="I3193" s="16" t="e">
        <f t="shared" si="6428"/>
        <v>#N/A</v>
      </c>
      <c r="J3193" s="40" t="e">
        <f t="shared" si="6428"/>
        <v>#N/A</v>
      </c>
      <c r="K3193" s="16" t="e">
        <f t="shared" si="6428"/>
        <v>#N/A</v>
      </c>
      <c r="L3193" s="40" t="e">
        <f t="shared" si="6045"/>
        <v>#N/A</v>
      </c>
      <c r="M3193" s="16" t="e">
        <f t="shared" si="6046"/>
        <v>#N/A</v>
      </c>
      <c r="N3193" s="16" t="e">
        <f t="shared" si="6047"/>
        <v>#N/A</v>
      </c>
      <c r="O3193" s="16" t="s">
        <v>74</v>
      </c>
      <c r="P3193" s="16" t="str">
        <f t="shared" si="6"/>
        <v/>
      </c>
      <c r="Q3193" s="41" t="e">
        <f t="shared" si="6048"/>
        <v>#N/A</v>
      </c>
      <c r="R3193" s="44"/>
      <c r="S3193" s="44"/>
      <c r="T3193" s="43"/>
      <c r="U3193" s="43" t="str">
        <f t="shared" si="8"/>
        <v>No</v>
      </c>
      <c r="V3193" s="25"/>
      <c r="W3193" s="25"/>
      <c r="X3193" s="25"/>
      <c r="Y3193" s="25"/>
      <c r="Z3193" s="25"/>
    </row>
    <row r="3194" spans="1:26" ht="15.75" customHeight="1" x14ac:dyDescent="0.25">
      <c r="A3194" s="25">
        <v>3192</v>
      </c>
      <c r="B3194" s="37" t="e">
        <f t="shared" ref="B3194:D3194" si="6429">VLOOKUP($A3194,[10]Mujer!$A$1:$O$279,B$1,0)</f>
        <v>#N/A</v>
      </c>
      <c r="C3194" s="38" t="e">
        <f t="shared" si="6429"/>
        <v>#N/A</v>
      </c>
      <c r="D3194" s="39" t="e">
        <f t="shared" si="6429"/>
        <v>#N/A</v>
      </c>
      <c r="E3194" s="16" t="e">
        <f t="shared" si="1"/>
        <v>#N/A</v>
      </c>
      <c r="F3194" s="16" t="e">
        <f t="shared" ref="F3194:K3194" si="6430">VLOOKUP($A3194,[10]Mujer!$A$1:$O$279,F$1,0)</f>
        <v>#N/A</v>
      </c>
      <c r="G3194" s="39" t="e">
        <f t="shared" si="6430"/>
        <v>#N/A</v>
      </c>
      <c r="H3194" s="16" t="e">
        <f t="shared" si="6430"/>
        <v>#N/A</v>
      </c>
      <c r="I3194" s="16" t="e">
        <f t="shared" si="6430"/>
        <v>#N/A</v>
      </c>
      <c r="J3194" s="40" t="e">
        <f t="shared" si="6430"/>
        <v>#N/A</v>
      </c>
      <c r="K3194" s="16" t="e">
        <f t="shared" si="6430"/>
        <v>#N/A</v>
      </c>
      <c r="L3194" s="40" t="e">
        <f t="shared" si="6045"/>
        <v>#N/A</v>
      </c>
      <c r="M3194" s="16" t="e">
        <f t="shared" si="6046"/>
        <v>#N/A</v>
      </c>
      <c r="N3194" s="16" t="e">
        <f t="shared" si="6047"/>
        <v>#N/A</v>
      </c>
      <c r="O3194" s="16" t="s">
        <v>74</v>
      </c>
      <c r="P3194" s="16" t="str">
        <f t="shared" si="6"/>
        <v/>
      </c>
      <c r="Q3194" s="41" t="e">
        <f t="shared" si="6048"/>
        <v>#N/A</v>
      </c>
      <c r="R3194" s="44"/>
      <c r="S3194" s="44"/>
      <c r="T3194" s="43"/>
      <c r="U3194" s="43" t="str">
        <f t="shared" si="8"/>
        <v>No</v>
      </c>
      <c r="V3194" s="25"/>
      <c r="W3194" s="25"/>
      <c r="X3194" s="25"/>
      <c r="Y3194" s="25"/>
      <c r="Z3194" s="25"/>
    </row>
    <row r="3195" spans="1:26" ht="15.75" customHeight="1" x14ac:dyDescent="0.25">
      <c r="A3195" s="25">
        <v>3193</v>
      </c>
      <c r="B3195" s="37" t="e">
        <f t="shared" ref="B3195:D3195" si="6431">VLOOKUP($A3195,[10]Mujer!$A$1:$O$279,B$1,0)</f>
        <v>#N/A</v>
      </c>
      <c r="C3195" s="38" t="e">
        <f t="shared" si="6431"/>
        <v>#N/A</v>
      </c>
      <c r="D3195" s="39" t="e">
        <f t="shared" si="6431"/>
        <v>#N/A</v>
      </c>
      <c r="E3195" s="16" t="e">
        <f t="shared" si="1"/>
        <v>#N/A</v>
      </c>
      <c r="F3195" s="16" t="e">
        <f t="shared" ref="F3195:K3195" si="6432">VLOOKUP($A3195,[10]Mujer!$A$1:$O$279,F$1,0)</f>
        <v>#N/A</v>
      </c>
      <c r="G3195" s="39" t="e">
        <f t="shared" si="6432"/>
        <v>#N/A</v>
      </c>
      <c r="H3195" s="16" t="e">
        <f t="shared" si="6432"/>
        <v>#N/A</v>
      </c>
      <c r="I3195" s="16" t="e">
        <f t="shared" si="6432"/>
        <v>#N/A</v>
      </c>
      <c r="J3195" s="40" t="e">
        <f t="shared" si="6432"/>
        <v>#N/A</v>
      </c>
      <c r="K3195" s="16" t="e">
        <f t="shared" si="6432"/>
        <v>#N/A</v>
      </c>
      <c r="L3195" s="40" t="e">
        <f t="shared" si="6045"/>
        <v>#N/A</v>
      </c>
      <c r="M3195" s="16" t="e">
        <f t="shared" si="6046"/>
        <v>#N/A</v>
      </c>
      <c r="N3195" s="16" t="e">
        <f t="shared" si="6047"/>
        <v>#N/A</v>
      </c>
      <c r="O3195" s="16" t="s">
        <v>74</v>
      </c>
      <c r="P3195" s="16" t="str">
        <f t="shared" si="6"/>
        <v/>
      </c>
      <c r="Q3195" s="41" t="e">
        <f t="shared" si="6048"/>
        <v>#N/A</v>
      </c>
      <c r="R3195" s="44"/>
      <c r="S3195" s="44"/>
      <c r="T3195" s="43"/>
      <c r="U3195" s="43" t="str">
        <f t="shared" si="8"/>
        <v>No</v>
      </c>
      <c r="V3195" s="25"/>
      <c r="W3195" s="25"/>
      <c r="X3195" s="25"/>
      <c r="Y3195" s="25"/>
      <c r="Z3195" s="25"/>
    </row>
    <row r="3196" spans="1:26" ht="15.75" customHeight="1" x14ac:dyDescent="0.25">
      <c r="A3196" s="25">
        <v>3194</v>
      </c>
      <c r="B3196" s="37" t="e">
        <f t="shared" ref="B3196:D3196" si="6433">VLOOKUP($A3196,[10]Mujer!$A$1:$O$279,B$1,0)</f>
        <v>#N/A</v>
      </c>
      <c r="C3196" s="38" t="e">
        <f t="shared" si="6433"/>
        <v>#N/A</v>
      </c>
      <c r="D3196" s="39" t="e">
        <f t="shared" si="6433"/>
        <v>#N/A</v>
      </c>
      <c r="E3196" s="16" t="e">
        <f t="shared" si="1"/>
        <v>#N/A</v>
      </c>
      <c r="F3196" s="16" t="e">
        <f t="shared" ref="F3196:K3196" si="6434">VLOOKUP($A3196,[10]Mujer!$A$1:$O$279,F$1,0)</f>
        <v>#N/A</v>
      </c>
      <c r="G3196" s="39" t="e">
        <f t="shared" si="6434"/>
        <v>#N/A</v>
      </c>
      <c r="H3196" s="16" t="e">
        <f t="shared" si="6434"/>
        <v>#N/A</v>
      </c>
      <c r="I3196" s="16" t="e">
        <f t="shared" si="6434"/>
        <v>#N/A</v>
      </c>
      <c r="J3196" s="40" t="e">
        <f t="shared" si="6434"/>
        <v>#N/A</v>
      </c>
      <c r="K3196" s="16" t="e">
        <f t="shared" si="6434"/>
        <v>#N/A</v>
      </c>
      <c r="L3196" s="40" t="e">
        <f t="shared" si="6045"/>
        <v>#N/A</v>
      </c>
      <c r="M3196" s="16" t="e">
        <f t="shared" si="6046"/>
        <v>#N/A</v>
      </c>
      <c r="N3196" s="16" t="e">
        <f t="shared" si="6047"/>
        <v>#N/A</v>
      </c>
      <c r="O3196" s="16" t="s">
        <v>74</v>
      </c>
      <c r="P3196" s="16" t="str">
        <f t="shared" si="6"/>
        <v/>
      </c>
      <c r="Q3196" s="41" t="e">
        <f t="shared" si="6048"/>
        <v>#N/A</v>
      </c>
      <c r="R3196" s="44"/>
      <c r="S3196" s="44"/>
      <c r="T3196" s="43"/>
      <c r="U3196" s="43" t="str">
        <f t="shared" si="8"/>
        <v>No</v>
      </c>
      <c r="V3196" s="25"/>
      <c r="W3196" s="25"/>
      <c r="X3196" s="25"/>
      <c r="Y3196" s="25"/>
      <c r="Z3196" s="25"/>
    </row>
    <row r="3197" spans="1:26" ht="15.75" customHeight="1" x14ac:dyDescent="0.25">
      <c r="A3197" s="25">
        <v>3195</v>
      </c>
      <c r="B3197" s="37" t="e">
        <f t="shared" ref="B3197:D3197" si="6435">VLOOKUP($A3197,[10]Mujer!$A$1:$O$279,B$1,0)</f>
        <v>#N/A</v>
      </c>
      <c r="C3197" s="38" t="e">
        <f t="shared" si="6435"/>
        <v>#N/A</v>
      </c>
      <c r="D3197" s="39" t="e">
        <f t="shared" si="6435"/>
        <v>#N/A</v>
      </c>
      <c r="E3197" s="16" t="e">
        <f t="shared" si="1"/>
        <v>#N/A</v>
      </c>
      <c r="F3197" s="16" t="e">
        <f t="shared" ref="F3197:K3197" si="6436">VLOOKUP($A3197,[10]Mujer!$A$1:$O$279,F$1,0)</f>
        <v>#N/A</v>
      </c>
      <c r="G3197" s="39" t="e">
        <f t="shared" si="6436"/>
        <v>#N/A</v>
      </c>
      <c r="H3197" s="16" t="e">
        <f t="shared" si="6436"/>
        <v>#N/A</v>
      </c>
      <c r="I3197" s="16" t="e">
        <f t="shared" si="6436"/>
        <v>#N/A</v>
      </c>
      <c r="J3197" s="40" t="e">
        <f t="shared" si="6436"/>
        <v>#N/A</v>
      </c>
      <c r="K3197" s="16" t="e">
        <f t="shared" si="6436"/>
        <v>#N/A</v>
      </c>
      <c r="L3197" s="40" t="e">
        <f t="shared" si="6045"/>
        <v>#N/A</v>
      </c>
      <c r="M3197" s="16" t="e">
        <f t="shared" si="6046"/>
        <v>#N/A</v>
      </c>
      <c r="N3197" s="16" t="e">
        <f t="shared" si="6047"/>
        <v>#N/A</v>
      </c>
      <c r="O3197" s="16" t="s">
        <v>74</v>
      </c>
      <c r="P3197" s="16" t="str">
        <f t="shared" si="6"/>
        <v/>
      </c>
      <c r="Q3197" s="41" t="e">
        <f t="shared" si="6048"/>
        <v>#N/A</v>
      </c>
      <c r="R3197" s="44"/>
      <c r="S3197" s="44"/>
      <c r="T3197" s="43"/>
      <c r="U3197" s="43" t="str">
        <f t="shared" si="8"/>
        <v>No</v>
      </c>
      <c r="V3197" s="25"/>
      <c r="W3197" s="25"/>
      <c r="X3197" s="25"/>
      <c r="Y3197" s="25"/>
      <c r="Z3197" s="25"/>
    </row>
    <row r="3198" spans="1:26" ht="15.75" customHeight="1" x14ac:dyDescent="0.25">
      <c r="A3198" s="25">
        <v>3196</v>
      </c>
      <c r="B3198" s="37" t="e">
        <f t="shared" ref="B3198:D3198" si="6437">VLOOKUP($A3198,[10]Mujer!$A$1:$O$279,B$1,0)</f>
        <v>#N/A</v>
      </c>
      <c r="C3198" s="38" t="e">
        <f t="shared" si="6437"/>
        <v>#N/A</v>
      </c>
      <c r="D3198" s="39" t="e">
        <f t="shared" si="6437"/>
        <v>#N/A</v>
      </c>
      <c r="E3198" s="16" t="e">
        <f t="shared" si="1"/>
        <v>#N/A</v>
      </c>
      <c r="F3198" s="16" t="e">
        <f t="shared" ref="F3198:K3198" si="6438">VLOOKUP($A3198,[10]Mujer!$A$1:$O$279,F$1,0)</f>
        <v>#N/A</v>
      </c>
      <c r="G3198" s="39" t="e">
        <f t="shared" si="6438"/>
        <v>#N/A</v>
      </c>
      <c r="H3198" s="16" t="e">
        <f t="shared" si="6438"/>
        <v>#N/A</v>
      </c>
      <c r="I3198" s="16" t="e">
        <f t="shared" si="6438"/>
        <v>#N/A</v>
      </c>
      <c r="J3198" s="40" t="e">
        <f t="shared" si="6438"/>
        <v>#N/A</v>
      </c>
      <c r="K3198" s="16" t="e">
        <f t="shared" si="6438"/>
        <v>#N/A</v>
      </c>
      <c r="L3198" s="40" t="e">
        <f t="shared" si="6045"/>
        <v>#N/A</v>
      </c>
      <c r="M3198" s="16" t="e">
        <f t="shared" si="6046"/>
        <v>#N/A</v>
      </c>
      <c r="N3198" s="16" t="e">
        <f t="shared" si="6047"/>
        <v>#N/A</v>
      </c>
      <c r="O3198" s="16" t="s">
        <v>74</v>
      </c>
      <c r="P3198" s="16" t="str">
        <f t="shared" si="6"/>
        <v/>
      </c>
      <c r="Q3198" s="41" t="e">
        <f t="shared" si="6048"/>
        <v>#N/A</v>
      </c>
      <c r="R3198" s="44"/>
      <c r="S3198" s="44"/>
      <c r="T3198" s="43"/>
      <c r="U3198" s="43" t="str">
        <f t="shared" si="8"/>
        <v>No</v>
      </c>
      <c r="V3198" s="25"/>
      <c r="W3198" s="25"/>
      <c r="X3198" s="25"/>
      <c r="Y3198" s="25"/>
      <c r="Z3198" s="25"/>
    </row>
    <row r="3199" spans="1:26" ht="15.75" customHeight="1" x14ac:dyDescent="0.25">
      <c r="A3199" s="25">
        <v>3197</v>
      </c>
      <c r="B3199" s="37" t="e">
        <f t="shared" ref="B3199:D3199" si="6439">VLOOKUP($A3199,[10]Mujer!$A$1:$O$279,B$1,0)</f>
        <v>#N/A</v>
      </c>
      <c r="C3199" s="38" t="e">
        <f t="shared" si="6439"/>
        <v>#N/A</v>
      </c>
      <c r="D3199" s="39" t="e">
        <f t="shared" si="6439"/>
        <v>#N/A</v>
      </c>
      <c r="E3199" s="16" t="e">
        <f t="shared" si="1"/>
        <v>#N/A</v>
      </c>
      <c r="F3199" s="16" t="e">
        <f t="shared" ref="F3199:K3199" si="6440">VLOOKUP($A3199,[10]Mujer!$A$1:$O$279,F$1,0)</f>
        <v>#N/A</v>
      </c>
      <c r="G3199" s="39" t="e">
        <f t="shared" si="6440"/>
        <v>#N/A</v>
      </c>
      <c r="H3199" s="16" t="e">
        <f t="shared" si="6440"/>
        <v>#N/A</v>
      </c>
      <c r="I3199" s="16" t="e">
        <f t="shared" si="6440"/>
        <v>#N/A</v>
      </c>
      <c r="J3199" s="40" t="e">
        <f t="shared" si="6440"/>
        <v>#N/A</v>
      </c>
      <c r="K3199" s="16" t="e">
        <f t="shared" si="6440"/>
        <v>#N/A</v>
      </c>
      <c r="L3199" s="40" t="e">
        <f t="shared" si="6045"/>
        <v>#N/A</v>
      </c>
      <c r="M3199" s="16" t="e">
        <f t="shared" si="6046"/>
        <v>#N/A</v>
      </c>
      <c r="N3199" s="16" t="e">
        <f t="shared" si="6047"/>
        <v>#N/A</v>
      </c>
      <c r="O3199" s="16" t="s">
        <v>74</v>
      </c>
      <c r="P3199" s="16" t="str">
        <f t="shared" si="6"/>
        <v/>
      </c>
      <c r="Q3199" s="41" t="e">
        <f t="shared" si="6048"/>
        <v>#N/A</v>
      </c>
      <c r="R3199" s="44"/>
      <c r="S3199" s="44"/>
      <c r="T3199" s="43"/>
      <c r="U3199" s="43" t="str">
        <f t="shared" si="8"/>
        <v>No</v>
      </c>
      <c r="V3199" s="25"/>
      <c r="W3199" s="25"/>
      <c r="X3199" s="25"/>
      <c r="Y3199" s="25"/>
      <c r="Z3199" s="25"/>
    </row>
    <row r="3200" spans="1:26" ht="15.75" customHeight="1" x14ac:dyDescent="0.25">
      <c r="A3200" s="25">
        <v>3198</v>
      </c>
      <c r="B3200" s="37" t="e">
        <f t="shared" ref="B3200:D3200" si="6441">VLOOKUP($A3200,[10]Mujer!$A$1:$O$279,B$1,0)</f>
        <v>#N/A</v>
      </c>
      <c r="C3200" s="38" t="e">
        <f t="shared" si="6441"/>
        <v>#N/A</v>
      </c>
      <c r="D3200" s="39" t="e">
        <f t="shared" si="6441"/>
        <v>#N/A</v>
      </c>
      <c r="E3200" s="16" t="e">
        <f t="shared" si="1"/>
        <v>#N/A</v>
      </c>
      <c r="F3200" s="16" t="e">
        <f t="shared" ref="F3200:K3200" si="6442">VLOOKUP($A3200,[10]Mujer!$A$1:$O$279,F$1,0)</f>
        <v>#N/A</v>
      </c>
      <c r="G3200" s="39" t="e">
        <f t="shared" si="6442"/>
        <v>#N/A</v>
      </c>
      <c r="H3200" s="16" t="e">
        <f t="shared" si="6442"/>
        <v>#N/A</v>
      </c>
      <c r="I3200" s="16" t="e">
        <f t="shared" si="6442"/>
        <v>#N/A</v>
      </c>
      <c r="J3200" s="40" t="e">
        <f t="shared" si="6442"/>
        <v>#N/A</v>
      </c>
      <c r="K3200" s="16" t="e">
        <f t="shared" si="6442"/>
        <v>#N/A</v>
      </c>
      <c r="L3200" s="40" t="e">
        <f t="shared" si="6045"/>
        <v>#N/A</v>
      </c>
      <c r="M3200" s="16" t="e">
        <f t="shared" si="6046"/>
        <v>#N/A</v>
      </c>
      <c r="N3200" s="16" t="e">
        <f t="shared" si="6047"/>
        <v>#N/A</v>
      </c>
      <c r="O3200" s="16" t="s">
        <v>74</v>
      </c>
      <c r="P3200" s="16" t="str">
        <f t="shared" si="6"/>
        <v/>
      </c>
      <c r="Q3200" s="41" t="e">
        <f t="shared" si="6048"/>
        <v>#N/A</v>
      </c>
      <c r="R3200" s="44"/>
      <c r="S3200" s="44"/>
      <c r="T3200" s="43"/>
      <c r="U3200" s="43" t="str">
        <f t="shared" si="8"/>
        <v>No</v>
      </c>
      <c r="V3200" s="25"/>
      <c r="W3200" s="25"/>
      <c r="X3200" s="25"/>
      <c r="Y3200" s="25"/>
      <c r="Z3200" s="25"/>
    </row>
    <row r="3201" spans="1:26" ht="15.75" customHeight="1" x14ac:dyDescent="0.25">
      <c r="A3201" s="25">
        <v>3199</v>
      </c>
      <c r="B3201" s="37" t="e">
        <f t="shared" ref="B3201:D3201" si="6443">VLOOKUP($A3201,[10]Mujer!$A$1:$O$279,B$1,0)</f>
        <v>#N/A</v>
      </c>
      <c r="C3201" s="38" t="e">
        <f t="shared" si="6443"/>
        <v>#N/A</v>
      </c>
      <c r="D3201" s="39" t="e">
        <f t="shared" si="6443"/>
        <v>#N/A</v>
      </c>
      <c r="E3201" s="16" t="e">
        <f t="shared" si="1"/>
        <v>#N/A</v>
      </c>
      <c r="F3201" s="16" t="e">
        <f t="shared" ref="F3201:K3201" si="6444">VLOOKUP($A3201,[10]Mujer!$A$1:$O$279,F$1,0)</f>
        <v>#N/A</v>
      </c>
      <c r="G3201" s="39" t="e">
        <f t="shared" si="6444"/>
        <v>#N/A</v>
      </c>
      <c r="H3201" s="16" t="e">
        <f t="shared" si="6444"/>
        <v>#N/A</v>
      </c>
      <c r="I3201" s="16" t="e">
        <f t="shared" si="6444"/>
        <v>#N/A</v>
      </c>
      <c r="J3201" s="40" t="e">
        <f t="shared" si="6444"/>
        <v>#N/A</v>
      </c>
      <c r="K3201" s="16" t="e">
        <f t="shared" si="6444"/>
        <v>#N/A</v>
      </c>
      <c r="L3201" s="40" t="e">
        <f t="shared" si="6045"/>
        <v>#N/A</v>
      </c>
      <c r="M3201" s="16" t="e">
        <f t="shared" si="6046"/>
        <v>#N/A</v>
      </c>
      <c r="N3201" s="16" t="e">
        <f t="shared" si="6047"/>
        <v>#N/A</v>
      </c>
      <c r="O3201" s="16" t="s">
        <v>74</v>
      </c>
      <c r="P3201" s="16" t="str">
        <f t="shared" si="6"/>
        <v/>
      </c>
      <c r="Q3201" s="41" t="e">
        <f t="shared" si="6048"/>
        <v>#N/A</v>
      </c>
      <c r="R3201" s="44"/>
      <c r="S3201" s="44"/>
      <c r="T3201" s="43"/>
      <c r="U3201" s="43" t="str">
        <f t="shared" si="8"/>
        <v>No</v>
      </c>
      <c r="V3201" s="25"/>
      <c r="W3201" s="25"/>
      <c r="X3201" s="25"/>
      <c r="Y3201" s="25"/>
      <c r="Z3201" s="25"/>
    </row>
    <row r="3202" spans="1:26" ht="15.75" customHeight="1" x14ac:dyDescent="0.25">
      <c r="A3202" s="25">
        <v>3200</v>
      </c>
      <c r="B3202" s="37" t="e">
        <f t="shared" ref="B3202:D3202" si="6445">VLOOKUP($A3202,[10]Mujer!$A$1:$O$279,B$1,0)</f>
        <v>#N/A</v>
      </c>
      <c r="C3202" s="38" t="e">
        <f t="shared" si="6445"/>
        <v>#N/A</v>
      </c>
      <c r="D3202" s="39" t="e">
        <f t="shared" si="6445"/>
        <v>#N/A</v>
      </c>
      <c r="E3202" s="16" t="e">
        <f t="shared" si="1"/>
        <v>#N/A</v>
      </c>
      <c r="F3202" s="16" t="e">
        <f t="shared" ref="F3202:K3202" si="6446">VLOOKUP($A3202,[10]Mujer!$A$1:$O$279,F$1,0)</f>
        <v>#N/A</v>
      </c>
      <c r="G3202" s="39" t="e">
        <f t="shared" si="6446"/>
        <v>#N/A</v>
      </c>
      <c r="H3202" s="16" t="e">
        <f t="shared" si="6446"/>
        <v>#N/A</v>
      </c>
      <c r="I3202" s="16" t="e">
        <f t="shared" si="6446"/>
        <v>#N/A</v>
      </c>
      <c r="J3202" s="40" t="e">
        <f t="shared" si="6446"/>
        <v>#N/A</v>
      </c>
      <c r="K3202" s="16" t="e">
        <f t="shared" si="6446"/>
        <v>#N/A</v>
      </c>
      <c r="L3202" s="40" t="e">
        <f t="shared" si="6045"/>
        <v>#N/A</v>
      </c>
      <c r="M3202" s="16" t="e">
        <f t="shared" si="6046"/>
        <v>#N/A</v>
      </c>
      <c r="N3202" s="16" t="e">
        <f t="shared" si="6047"/>
        <v>#N/A</v>
      </c>
      <c r="O3202" s="16" t="s">
        <v>74</v>
      </c>
      <c r="P3202" s="16" t="str">
        <f t="shared" si="6"/>
        <v/>
      </c>
      <c r="Q3202" s="41" t="e">
        <f t="shared" si="6048"/>
        <v>#N/A</v>
      </c>
      <c r="R3202" s="44"/>
      <c r="S3202" s="44"/>
      <c r="T3202" s="43"/>
      <c r="U3202" s="43" t="str">
        <f t="shared" si="8"/>
        <v>No</v>
      </c>
      <c r="V3202" s="25"/>
      <c r="W3202" s="25"/>
      <c r="X3202" s="25"/>
      <c r="Y3202" s="25"/>
      <c r="Z3202" s="25"/>
    </row>
    <row r="3203" spans="1:26" ht="15.75" customHeight="1" x14ac:dyDescent="0.25">
      <c r="A3203" s="25">
        <v>3201</v>
      </c>
      <c r="B3203" s="37" t="e">
        <f t="shared" ref="B3203:D3203" si="6447">VLOOKUP($A3203,[10]Mujer!$A$1:$O$279,B$1,0)</f>
        <v>#N/A</v>
      </c>
      <c r="C3203" s="38" t="e">
        <f t="shared" si="6447"/>
        <v>#N/A</v>
      </c>
      <c r="D3203" s="39" t="e">
        <f t="shared" si="6447"/>
        <v>#N/A</v>
      </c>
      <c r="E3203" s="16" t="e">
        <f t="shared" si="1"/>
        <v>#N/A</v>
      </c>
      <c r="F3203" s="16" t="e">
        <f t="shared" ref="F3203:K3203" si="6448">VLOOKUP($A3203,[10]Mujer!$A$1:$O$279,F$1,0)</f>
        <v>#N/A</v>
      </c>
      <c r="G3203" s="39" t="e">
        <f t="shared" si="6448"/>
        <v>#N/A</v>
      </c>
      <c r="H3203" s="16" t="e">
        <f t="shared" si="6448"/>
        <v>#N/A</v>
      </c>
      <c r="I3203" s="16" t="e">
        <f t="shared" si="6448"/>
        <v>#N/A</v>
      </c>
      <c r="J3203" s="40" t="e">
        <f t="shared" si="6448"/>
        <v>#N/A</v>
      </c>
      <c r="K3203" s="16" t="e">
        <f t="shared" si="6448"/>
        <v>#N/A</v>
      </c>
      <c r="L3203" s="40" t="e">
        <f t="shared" si="6045"/>
        <v>#N/A</v>
      </c>
      <c r="M3203" s="16" t="e">
        <f t="shared" si="6046"/>
        <v>#N/A</v>
      </c>
      <c r="N3203" s="16" t="e">
        <f t="shared" si="6047"/>
        <v>#N/A</v>
      </c>
      <c r="O3203" s="16" t="s">
        <v>74</v>
      </c>
      <c r="P3203" s="16" t="str">
        <f t="shared" si="6"/>
        <v/>
      </c>
      <c r="Q3203" s="41" t="e">
        <f t="shared" si="6048"/>
        <v>#N/A</v>
      </c>
      <c r="R3203" s="44"/>
      <c r="S3203" s="44"/>
      <c r="T3203" s="43"/>
      <c r="U3203" s="43" t="str">
        <f t="shared" si="8"/>
        <v>No</v>
      </c>
      <c r="V3203" s="25"/>
      <c r="W3203" s="25"/>
      <c r="X3203" s="25"/>
      <c r="Y3203" s="25"/>
      <c r="Z3203" s="25"/>
    </row>
    <row r="3204" spans="1:26" ht="15.75" customHeight="1" x14ac:dyDescent="0.25">
      <c r="A3204" s="25">
        <v>3202</v>
      </c>
      <c r="B3204" s="37" t="e">
        <f t="shared" ref="B3204:D3204" si="6449">VLOOKUP($A3204,[10]Mujer!$A$1:$O$279,B$1,0)</f>
        <v>#N/A</v>
      </c>
      <c r="C3204" s="38" t="e">
        <f t="shared" si="6449"/>
        <v>#N/A</v>
      </c>
      <c r="D3204" s="39" t="e">
        <f t="shared" si="6449"/>
        <v>#N/A</v>
      </c>
      <c r="E3204" s="16" t="e">
        <f t="shared" si="1"/>
        <v>#N/A</v>
      </c>
      <c r="F3204" s="16" t="e">
        <f t="shared" ref="F3204:K3204" si="6450">VLOOKUP($A3204,[10]Mujer!$A$1:$O$279,F$1,0)</f>
        <v>#N/A</v>
      </c>
      <c r="G3204" s="39" t="e">
        <f t="shared" si="6450"/>
        <v>#N/A</v>
      </c>
      <c r="H3204" s="16" t="e">
        <f t="shared" si="6450"/>
        <v>#N/A</v>
      </c>
      <c r="I3204" s="16" t="e">
        <f t="shared" si="6450"/>
        <v>#N/A</v>
      </c>
      <c r="J3204" s="40" t="e">
        <f t="shared" si="6450"/>
        <v>#N/A</v>
      </c>
      <c r="K3204" s="16" t="e">
        <f t="shared" si="6450"/>
        <v>#N/A</v>
      </c>
      <c r="L3204" s="40" t="e">
        <f t="shared" si="6045"/>
        <v>#N/A</v>
      </c>
      <c r="M3204" s="16" t="e">
        <f t="shared" si="6046"/>
        <v>#N/A</v>
      </c>
      <c r="N3204" s="16" t="e">
        <f t="shared" si="6047"/>
        <v>#N/A</v>
      </c>
      <c r="O3204" s="16" t="s">
        <v>74</v>
      </c>
      <c r="P3204" s="16" t="str">
        <f t="shared" si="6"/>
        <v/>
      </c>
      <c r="Q3204" s="41" t="e">
        <f t="shared" si="6048"/>
        <v>#N/A</v>
      </c>
      <c r="R3204" s="44"/>
      <c r="S3204" s="44"/>
      <c r="T3204" s="43"/>
      <c r="U3204" s="43" t="str">
        <f t="shared" si="8"/>
        <v>No</v>
      </c>
      <c r="V3204" s="25"/>
      <c r="W3204" s="25"/>
      <c r="X3204" s="25"/>
      <c r="Y3204" s="25"/>
      <c r="Z3204" s="25"/>
    </row>
    <row r="3205" spans="1:26" ht="15.75" customHeight="1" x14ac:dyDescent="0.25">
      <c r="A3205" s="25">
        <v>3203</v>
      </c>
      <c r="B3205" s="37" t="e">
        <f t="shared" ref="B3205:D3205" si="6451">VLOOKUP($A3205,[10]Mujer!$A$1:$O$279,B$1,0)</f>
        <v>#N/A</v>
      </c>
      <c r="C3205" s="38" t="e">
        <f t="shared" si="6451"/>
        <v>#N/A</v>
      </c>
      <c r="D3205" s="39" t="e">
        <f t="shared" si="6451"/>
        <v>#N/A</v>
      </c>
      <c r="E3205" s="16" t="e">
        <f t="shared" si="1"/>
        <v>#N/A</v>
      </c>
      <c r="F3205" s="16" t="e">
        <f t="shared" ref="F3205:K3205" si="6452">VLOOKUP($A3205,[10]Mujer!$A$1:$O$279,F$1,0)</f>
        <v>#N/A</v>
      </c>
      <c r="G3205" s="39" t="e">
        <f t="shared" si="6452"/>
        <v>#N/A</v>
      </c>
      <c r="H3205" s="16" t="e">
        <f t="shared" si="6452"/>
        <v>#N/A</v>
      </c>
      <c r="I3205" s="16" t="e">
        <f t="shared" si="6452"/>
        <v>#N/A</v>
      </c>
      <c r="J3205" s="40" t="e">
        <f t="shared" si="6452"/>
        <v>#N/A</v>
      </c>
      <c r="K3205" s="16" t="e">
        <f t="shared" si="6452"/>
        <v>#N/A</v>
      </c>
      <c r="L3205" s="40" t="e">
        <f t="shared" si="6045"/>
        <v>#N/A</v>
      </c>
      <c r="M3205" s="16" t="e">
        <f t="shared" si="6046"/>
        <v>#N/A</v>
      </c>
      <c r="N3205" s="16" t="e">
        <f t="shared" si="6047"/>
        <v>#N/A</v>
      </c>
      <c r="O3205" s="16" t="s">
        <v>74</v>
      </c>
      <c r="P3205" s="16" t="str">
        <f t="shared" si="6"/>
        <v/>
      </c>
      <c r="Q3205" s="41" t="e">
        <f t="shared" si="6048"/>
        <v>#N/A</v>
      </c>
      <c r="R3205" s="44"/>
      <c r="S3205" s="44"/>
      <c r="T3205" s="43"/>
      <c r="U3205" s="43" t="str">
        <f t="shared" si="8"/>
        <v>No</v>
      </c>
      <c r="V3205" s="25"/>
      <c r="W3205" s="25"/>
      <c r="X3205" s="25"/>
      <c r="Y3205" s="25"/>
      <c r="Z3205" s="25"/>
    </row>
    <row r="3206" spans="1:26" ht="15.75" customHeight="1" x14ac:dyDescent="0.25">
      <c r="A3206" s="25">
        <v>3204</v>
      </c>
      <c r="B3206" s="37" t="e">
        <f t="shared" ref="B3206:D3206" si="6453">VLOOKUP($A3206,[10]Mujer!$A$1:$O$279,B$1,0)</f>
        <v>#N/A</v>
      </c>
      <c r="C3206" s="38" t="e">
        <f t="shared" si="6453"/>
        <v>#N/A</v>
      </c>
      <c r="D3206" s="39" t="e">
        <f t="shared" si="6453"/>
        <v>#N/A</v>
      </c>
      <c r="E3206" s="16" t="e">
        <f t="shared" si="1"/>
        <v>#N/A</v>
      </c>
      <c r="F3206" s="16" t="e">
        <f t="shared" ref="F3206:K3206" si="6454">VLOOKUP($A3206,[10]Mujer!$A$1:$O$279,F$1,0)</f>
        <v>#N/A</v>
      </c>
      <c r="G3206" s="39" t="e">
        <f t="shared" si="6454"/>
        <v>#N/A</v>
      </c>
      <c r="H3206" s="16" t="e">
        <f t="shared" si="6454"/>
        <v>#N/A</v>
      </c>
      <c r="I3206" s="16" t="e">
        <f t="shared" si="6454"/>
        <v>#N/A</v>
      </c>
      <c r="J3206" s="40" t="e">
        <f t="shared" si="6454"/>
        <v>#N/A</v>
      </c>
      <c r="K3206" s="16" t="e">
        <f t="shared" si="6454"/>
        <v>#N/A</v>
      </c>
      <c r="L3206" s="40" t="e">
        <f t="shared" si="6045"/>
        <v>#N/A</v>
      </c>
      <c r="M3206" s="16" t="e">
        <f t="shared" si="6046"/>
        <v>#N/A</v>
      </c>
      <c r="N3206" s="16" t="e">
        <f t="shared" si="6047"/>
        <v>#N/A</v>
      </c>
      <c r="O3206" s="16" t="s">
        <v>74</v>
      </c>
      <c r="P3206" s="16" t="str">
        <f t="shared" si="6"/>
        <v/>
      </c>
      <c r="Q3206" s="41" t="e">
        <f t="shared" si="6048"/>
        <v>#N/A</v>
      </c>
      <c r="R3206" s="44"/>
      <c r="S3206" s="44"/>
      <c r="T3206" s="43"/>
      <c r="U3206" s="43" t="str">
        <f t="shared" si="8"/>
        <v>No</v>
      </c>
      <c r="V3206" s="25"/>
      <c r="W3206" s="25"/>
      <c r="X3206" s="25"/>
      <c r="Y3206" s="25"/>
      <c r="Z3206" s="25"/>
    </row>
    <row r="3207" spans="1:26" ht="15.75" customHeight="1" x14ac:dyDescent="0.25">
      <c r="A3207" s="25">
        <v>3205</v>
      </c>
      <c r="B3207" s="37" t="e">
        <f t="shared" ref="B3207:D3207" si="6455">VLOOKUP($A3207,[10]Mujer!$A$1:$O$279,B$1,0)</f>
        <v>#N/A</v>
      </c>
      <c r="C3207" s="38" t="e">
        <f t="shared" si="6455"/>
        <v>#N/A</v>
      </c>
      <c r="D3207" s="39" t="e">
        <f t="shared" si="6455"/>
        <v>#N/A</v>
      </c>
      <c r="E3207" s="16" t="e">
        <f t="shared" si="1"/>
        <v>#N/A</v>
      </c>
      <c r="F3207" s="16" t="e">
        <f t="shared" ref="F3207:K3207" si="6456">VLOOKUP($A3207,[10]Mujer!$A$1:$O$279,F$1,0)</f>
        <v>#N/A</v>
      </c>
      <c r="G3207" s="39" t="e">
        <f t="shared" si="6456"/>
        <v>#N/A</v>
      </c>
      <c r="H3207" s="16" t="e">
        <f t="shared" si="6456"/>
        <v>#N/A</v>
      </c>
      <c r="I3207" s="16" t="e">
        <f t="shared" si="6456"/>
        <v>#N/A</v>
      </c>
      <c r="J3207" s="40" t="e">
        <f t="shared" si="6456"/>
        <v>#N/A</v>
      </c>
      <c r="K3207" s="16" t="e">
        <f t="shared" si="6456"/>
        <v>#N/A</v>
      </c>
      <c r="L3207" s="40" t="e">
        <f t="shared" si="6045"/>
        <v>#N/A</v>
      </c>
      <c r="M3207" s="16" t="e">
        <f t="shared" si="6046"/>
        <v>#N/A</v>
      </c>
      <c r="N3207" s="16" t="e">
        <f t="shared" si="6047"/>
        <v>#N/A</v>
      </c>
      <c r="O3207" s="16" t="s">
        <v>74</v>
      </c>
      <c r="P3207" s="16" t="str">
        <f t="shared" si="6"/>
        <v/>
      </c>
      <c r="Q3207" s="41" t="e">
        <f t="shared" si="6048"/>
        <v>#N/A</v>
      </c>
      <c r="R3207" s="44"/>
      <c r="S3207" s="44"/>
      <c r="T3207" s="43"/>
      <c r="U3207" s="43" t="str">
        <f t="shared" si="8"/>
        <v>No</v>
      </c>
      <c r="V3207" s="25"/>
      <c r="W3207" s="25"/>
      <c r="X3207" s="25"/>
      <c r="Y3207" s="25"/>
      <c r="Z3207" s="25"/>
    </row>
    <row r="3208" spans="1:26" ht="15.75" customHeight="1" x14ac:dyDescent="0.25">
      <c r="A3208" s="25">
        <v>3206</v>
      </c>
      <c r="B3208" s="37" t="e">
        <f t="shared" ref="B3208:D3208" si="6457">VLOOKUP($A3208,[10]Mujer!$A$1:$O$279,B$1,0)</f>
        <v>#N/A</v>
      </c>
      <c r="C3208" s="38" t="e">
        <f t="shared" si="6457"/>
        <v>#N/A</v>
      </c>
      <c r="D3208" s="39" t="e">
        <f t="shared" si="6457"/>
        <v>#N/A</v>
      </c>
      <c r="E3208" s="16" t="e">
        <f t="shared" si="1"/>
        <v>#N/A</v>
      </c>
      <c r="F3208" s="16" t="e">
        <f t="shared" ref="F3208:K3208" si="6458">VLOOKUP($A3208,[10]Mujer!$A$1:$O$279,F$1,0)</f>
        <v>#N/A</v>
      </c>
      <c r="G3208" s="39" t="e">
        <f t="shared" si="6458"/>
        <v>#N/A</v>
      </c>
      <c r="H3208" s="16" t="e">
        <f t="shared" si="6458"/>
        <v>#N/A</v>
      </c>
      <c r="I3208" s="16" t="e">
        <f t="shared" si="6458"/>
        <v>#N/A</v>
      </c>
      <c r="J3208" s="40" t="e">
        <f t="shared" si="6458"/>
        <v>#N/A</v>
      </c>
      <c r="K3208" s="16" t="e">
        <f t="shared" si="6458"/>
        <v>#N/A</v>
      </c>
      <c r="L3208" s="40" t="e">
        <f t="shared" si="6045"/>
        <v>#N/A</v>
      </c>
      <c r="M3208" s="16" t="e">
        <f t="shared" si="6046"/>
        <v>#N/A</v>
      </c>
      <c r="N3208" s="16" t="e">
        <f t="shared" si="6047"/>
        <v>#N/A</v>
      </c>
      <c r="O3208" s="16" t="s">
        <v>74</v>
      </c>
      <c r="P3208" s="16" t="str">
        <f t="shared" si="6"/>
        <v/>
      </c>
      <c r="Q3208" s="41" t="e">
        <f t="shared" si="6048"/>
        <v>#N/A</v>
      </c>
      <c r="R3208" s="44"/>
      <c r="S3208" s="44"/>
      <c r="T3208" s="43"/>
      <c r="U3208" s="43" t="str">
        <f t="shared" si="8"/>
        <v>No</v>
      </c>
      <c r="V3208" s="25"/>
      <c r="W3208" s="25"/>
      <c r="X3208" s="25"/>
      <c r="Y3208" s="25"/>
      <c r="Z3208" s="25"/>
    </row>
    <row r="3209" spans="1:26" ht="15.75" customHeight="1" x14ac:dyDescent="0.25">
      <c r="A3209" s="25">
        <v>3207</v>
      </c>
      <c r="B3209" s="37" t="e">
        <f t="shared" ref="B3209:D3209" si="6459">VLOOKUP($A3209,[10]Mujer!$A$1:$O$279,B$1,0)</f>
        <v>#N/A</v>
      </c>
      <c r="C3209" s="38" t="e">
        <f t="shared" si="6459"/>
        <v>#N/A</v>
      </c>
      <c r="D3209" s="39" t="e">
        <f t="shared" si="6459"/>
        <v>#N/A</v>
      </c>
      <c r="E3209" s="16" t="e">
        <f t="shared" si="1"/>
        <v>#N/A</v>
      </c>
      <c r="F3209" s="16" t="e">
        <f t="shared" ref="F3209:K3209" si="6460">VLOOKUP($A3209,[10]Mujer!$A$1:$O$279,F$1,0)</f>
        <v>#N/A</v>
      </c>
      <c r="G3209" s="39" t="e">
        <f t="shared" si="6460"/>
        <v>#N/A</v>
      </c>
      <c r="H3209" s="16" t="e">
        <f t="shared" si="6460"/>
        <v>#N/A</v>
      </c>
      <c r="I3209" s="16" t="e">
        <f t="shared" si="6460"/>
        <v>#N/A</v>
      </c>
      <c r="J3209" s="40" t="e">
        <f t="shared" si="6460"/>
        <v>#N/A</v>
      </c>
      <c r="K3209" s="16" t="e">
        <f t="shared" si="6460"/>
        <v>#N/A</v>
      </c>
      <c r="L3209" s="40" t="e">
        <f t="shared" si="6045"/>
        <v>#N/A</v>
      </c>
      <c r="M3209" s="16" t="e">
        <f t="shared" si="6046"/>
        <v>#N/A</v>
      </c>
      <c r="N3209" s="16" t="e">
        <f t="shared" si="6047"/>
        <v>#N/A</v>
      </c>
      <c r="O3209" s="16" t="s">
        <v>74</v>
      </c>
      <c r="P3209" s="16" t="str">
        <f t="shared" si="6"/>
        <v/>
      </c>
      <c r="Q3209" s="41" t="e">
        <f t="shared" si="6048"/>
        <v>#N/A</v>
      </c>
      <c r="R3209" s="44"/>
      <c r="S3209" s="44"/>
      <c r="T3209" s="43"/>
      <c r="U3209" s="43" t="str">
        <f t="shared" si="8"/>
        <v>No</v>
      </c>
      <c r="V3209" s="25"/>
      <c r="W3209" s="25"/>
      <c r="X3209" s="25"/>
      <c r="Y3209" s="25"/>
      <c r="Z3209" s="25"/>
    </row>
    <row r="3210" spans="1:26" ht="15.75" customHeight="1" x14ac:dyDescent="0.25">
      <c r="A3210" s="25">
        <v>3208</v>
      </c>
      <c r="B3210" s="37" t="e">
        <f t="shared" ref="B3210:D3210" si="6461">VLOOKUP($A3210,[10]Mujer!$A$1:$O$279,B$1,0)</f>
        <v>#N/A</v>
      </c>
      <c r="C3210" s="38" t="e">
        <f t="shared" si="6461"/>
        <v>#N/A</v>
      </c>
      <c r="D3210" s="39" t="e">
        <f t="shared" si="6461"/>
        <v>#N/A</v>
      </c>
      <c r="E3210" s="16" t="e">
        <f t="shared" si="1"/>
        <v>#N/A</v>
      </c>
      <c r="F3210" s="16" t="e">
        <f t="shared" ref="F3210:K3210" si="6462">VLOOKUP($A3210,[10]Mujer!$A$1:$O$279,F$1,0)</f>
        <v>#N/A</v>
      </c>
      <c r="G3210" s="39" t="e">
        <f t="shared" si="6462"/>
        <v>#N/A</v>
      </c>
      <c r="H3210" s="16" t="e">
        <f t="shared" si="6462"/>
        <v>#N/A</v>
      </c>
      <c r="I3210" s="16" t="e">
        <f t="shared" si="6462"/>
        <v>#N/A</v>
      </c>
      <c r="J3210" s="40" t="e">
        <f t="shared" si="6462"/>
        <v>#N/A</v>
      </c>
      <c r="K3210" s="16" t="e">
        <f t="shared" si="6462"/>
        <v>#N/A</v>
      </c>
      <c r="L3210" s="40" t="e">
        <f t="shared" si="6045"/>
        <v>#N/A</v>
      </c>
      <c r="M3210" s="16" t="e">
        <f t="shared" si="6046"/>
        <v>#N/A</v>
      </c>
      <c r="N3210" s="16" t="e">
        <f t="shared" si="6047"/>
        <v>#N/A</v>
      </c>
      <c r="O3210" s="16" t="s">
        <v>74</v>
      </c>
      <c r="P3210" s="16" t="str">
        <f t="shared" si="6"/>
        <v/>
      </c>
      <c r="Q3210" s="41" t="e">
        <f t="shared" si="6048"/>
        <v>#N/A</v>
      </c>
      <c r="R3210" s="44"/>
      <c r="S3210" s="44"/>
      <c r="T3210" s="43"/>
      <c r="U3210" s="43" t="str">
        <f t="shared" si="8"/>
        <v>No</v>
      </c>
      <c r="V3210" s="25"/>
      <c r="W3210" s="25"/>
      <c r="X3210" s="25"/>
      <c r="Y3210" s="25"/>
      <c r="Z3210" s="25"/>
    </row>
    <row r="3211" spans="1:26" ht="15.75" customHeight="1" x14ac:dyDescent="0.25">
      <c r="A3211" s="25">
        <v>3209</v>
      </c>
      <c r="B3211" s="37" t="e">
        <f t="shared" ref="B3211:D3211" si="6463">VLOOKUP($A3211,[10]Mujer!$A$1:$O$279,B$1,0)</f>
        <v>#N/A</v>
      </c>
      <c r="C3211" s="38" t="e">
        <f t="shared" si="6463"/>
        <v>#N/A</v>
      </c>
      <c r="D3211" s="39" t="e">
        <f t="shared" si="6463"/>
        <v>#N/A</v>
      </c>
      <c r="E3211" s="16" t="e">
        <f t="shared" si="1"/>
        <v>#N/A</v>
      </c>
      <c r="F3211" s="16" t="e">
        <f t="shared" ref="F3211:K3211" si="6464">VLOOKUP($A3211,[10]Mujer!$A$1:$O$279,F$1,0)</f>
        <v>#N/A</v>
      </c>
      <c r="G3211" s="39" t="e">
        <f t="shared" si="6464"/>
        <v>#N/A</v>
      </c>
      <c r="H3211" s="16" t="e">
        <f t="shared" si="6464"/>
        <v>#N/A</v>
      </c>
      <c r="I3211" s="16" t="e">
        <f t="shared" si="6464"/>
        <v>#N/A</v>
      </c>
      <c r="J3211" s="40" t="e">
        <f t="shared" si="6464"/>
        <v>#N/A</v>
      </c>
      <c r="K3211" s="16" t="e">
        <f t="shared" si="6464"/>
        <v>#N/A</v>
      </c>
      <c r="L3211" s="40" t="e">
        <f t="shared" si="6045"/>
        <v>#N/A</v>
      </c>
      <c r="M3211" s="16" t="e">
        <f t="shared" si="6046"/>
        <v>#N/A</v>
      </c>
      <c r="N3211" s="16" t="e">
        <f t="shared" si="6047"/>
        <v>#N/A</v>
      </c>
      <c r="O3211" s="16" t="s">
        <v>74</v>
      </c>
      <c r="P3211" s="16" t="str">
        <f t="shared" si="6"/>
        <v/>
      </c>
      <c r="Q3211" s="41" t="e">
        <f t="shared" si="6048"/>
        <v>#N/A</v>
      </c>
      <c r="R3211" s="44"/>
      <c r="S3211" s="44"/>
      <c r="T3211" s="43"/>
      <c r="U3211" s="43" t="str">
        <f t="shared" si="8"/>
        <v>No</v>
      </c>
      <c r="V3211" s="25"/>
      <c r="W3211" s="25"/>
      <c r="X3211" s="25"/>
      <c r="Y3211" s="25"/>
      <c r="Z3211" s="25"/>
    </row>
    <row r="3212" spans="1:26" ht="15.75" customHeight="1" x14ac:dyDescent="0.25">
      <c r="A3212" s="25">
        <v>3210</v>
      </c>
      <c r="B3212" s="37" t="e">
        <f t="shared" ref="B3212:D3212" si="6465">VLOOKUP($A3212,[10]Mujer!$A$1:$O$279,B$1,0)</f>
        <v>#N/A</v>
      </c>
      <c r="C3212" s="38" t="e">
        <f t="shared" si="6465"/>
        <v>#N/A</v>
      </c>
      <c r="D3212" s="39" t="e">
        <f t="shared" si="6465"/>
        <v>#N/A</v>
      </c>
      <c r="E3212" s="16" t="e">
        <f t="shared" si="1"/>
        <v>#N/A</v>
      </c>
      <c r="F3212" s="16" t="e">
        <f t="shared" ref="F3212:K3212" si="6466">VLOOKUP($A3212,[10]Mujer!$A$1:$O$279,F$1,0)</f>
        <v>#N/A</v>
      </c>
      <c r="G3212" s="39" t="e">
        <f t="shared" si="6466"/>
        <v>#N/A</v>
      </c>
      <c r="H3212" s="16" t="e">
        <f t="shared" si="6466"/>
        <v>#N/A</v>
      </c>
      <c r="I3212" s="16" t="e">
        <f t="shared" si="6466"/>
        <v>#N/A</v>
      </c>
      <c r="J3212" s="40" t="e">
        <f t="shared" si="6466"/>
        <v>#N/A</v>
      </c>
      <c r="K3212" s="16" t="e">
        <f t="shared" si="6466"/>
        <v>#N/A</v>
      </c>
      <c r="L3212" s="40" t="e">
        <f t="shared" si="6045"/>
        <v>#N/A</v>
      </c>
      <c r="M3212" s="16" t="e">
        <f t="shared" si="6046"/>
        <v>#N/A</v>
      </c>
      <c r="N3212" s="16" t="e">
        <f t="shared" si="6047"/>
        <v>#N/A</v>
      </c>
      <c r="O3212" s="16" t="s">
        <v>74</v>
      </c>
      <c r="P3212" s="16" t="str">
        <f t="shared" si="6"/>
        <v/>
      </c>
      <c r="Q3212" s="41" t="e">
        <f t="shared" si="6048"/>
        <v>#N/A</v>
      </c>
      <c r="R3212" s="44"/>
      <c r="S3212" s="44"/>
      <c r="T3212" s="43"/>
      <c r="U3212" s="43" t="str">
        <f t="shared" si="8"/>
        <v>No</v>
      </c>
      <c r="V3212" s="25"/>
      <c r="W3212" s="25"/>
      <c r="X3212" s="25"/>
      <c r="Y3212" s="25"/>
      <c r="Z3212" s="25"/>
    </row>
    <row r="3213" spans="1:26" ht="15.75" customHeight="1" x14ac:dyDescent="0.25">
      <c r="A3213" s="25">
        <v>3211</v>
      </c>
      <c r="B3213" s="37" t="e">
        <f t="shared" ref="B3213:D3213" si="6467">VLOOKUP($A3213,[10]Mujer!$A$1:$O$279,B$1,0)</f>
        <v>#N/A</v>
      </c>
      <c r="C3213" s="38" t="e">
        <f t="shared" si="6467"/>
        <v>#N/A</v>
      </c>
      <c r="D3213" s="39" t="e">
        <f t="shared" si="6467"/>
        <v>#N/A</v>
      </c>
      <c r="E3213" s="16" t="e">
        <f t="shared" si="1"/>
        <v>#N/A</v>
      </c>
      <c r="F3213" s="16" t="e">
        <f t="shared" ref="F3213:K3213" si="6468">VLOOKUP($A3213,[10]Mujer!$A$1:$O$279,F$1,0)</f>
        <v>#N/A</v>
      </c>
      <c r="G3213" s="39" t="e">
        <f t="shared" si="6468"/>
        <v>#N/A</v>
      </c>
      <c r="H3213" s="16" t="e">
        <f t="shared" si="6468"/>
        <v>#N/A</v>
      </c>
      <c r="I3213" s="16" t="e">
        <f t="shared" si="6468"/>
        <v>#N/A</v>
      </c>
      <c r="J3213" s="40" t="e">
        <f t="shared" si="6468"/>
        <v>#N/A</v>
      </c>
      <c r="K3213" s="16" t="e">
        <f t="shared" si="6468"/>
        <v>#N/A</v>
      </c>
      <c r="L3213" s="40" t="e">
        <f t="shared" si="6045"/>
        <v>#N/A</v>
      </c>
      <c r="M3213" s="16" t="e">
        <f t="shared" si="6046"/>
        <v>#N/A</v>
      </c>
      <c r="N3213" s="16" t="e">
        <f t="shared" si="6047"/>
        <v>#N/A</v>
      </c>
      <c r="O3213" s="16" t="s">
        <v>74</v>
      </c>
      <c r="P3213" s="16" t="str">
        <f t="shared" si="6"/>
        <v/>
      </c>
      <c r="Q3213" s="41" t="e">
        <f t="shared" si="6048"/>
        <v>#N/A</v>
      </c>
      <c r="R3213" s="44"/>
      <c r="S3213" s="44"/>
      <c r="T3213" s="43"/>
      <c r="U3213" s="43" t="str">
        <f t="shared" si="8"/>
        <v>No</v>
      </c>
      <c r="V3213" s="25"/>
      <c r="W3213" s="25"/>
      <c r="X3213" s="25"/>
      <c r="Y3213" s="25"/>
      <c r="Z3213" s="25"/>
    </row>
    <row r="3214" spans="1:26" ht="15.75" customHeight="1" x14ac:dyDescent="0.25">
      <c r="A3214" s="25">
        <v>3212</v>
      </c>
      <c r="B3214" s="37" t="e">
        <f t="shared" ref="B3214:D3214" si="6469">VLOOKUP($A3214,[10]Mujer!$A$1:$O$279,B$1,0)</f>
        <v>#N/A</v>
      </c>
      <c r="C3214" s="38" t="e">
        <f t="shared" si="6469"/>
        <v>#N/A</v>
      </c>
      <c r="D3214" s="39" t="e">
        <f t="shared" si="6469"/>
        <v>#N/A</v>
      </c>
      <c r="E3214" s="16" t="e">
        <f t="shared" si="1"/>
        <v>#N/A</v>
      </c>
      <c r="F3214" s="16" t="e">
        <f t="shared" ref="F3214:K3214" si="6470">VLOOKUP($A3214,[10]Mujer!$A$1:$O$279,F$1,0)</f>
        <v>#N/A</v>
      </c>
      <c r="G3214" s="39" t="e">
        <f t="shared" si="6470"/>
        <v>#N/A</v>
      </c>
      <c r="H3214" s="16" t="e">
        <f t="shared" si="6470"/>
        <v>#N/A</v>
      </c>
      <c r="I3214" s="16" t="e">
        <f t="shared" si="6470"/>
        <v>#N/A</v>
      </c>
      <c r="J3214" s="40" t="e">
        <f t="shared" si="6470"/>
        <v>#N/A</v>
      </c>
      <c r="K3214" s="16" t="e">
        <f t="shared" si="6470"/>
        <v>#N/A</v>
      </c>
      <c r="L3214" s="40" t="e">
        <f t="shared" si="6045"/>
        <v>#N/A</v>
      </c>
      <c r="M3214" s="16" t="e">
        <f t="shared" si="6046"/>
        <v>#N/A</v>
      </c>
      <c r="N3214" s="16" t="e">
        <f t="shared" si="6047"/>
        <v>#N/A</v>
      </c>
      <c r="O3214" s="16" t="s">
        <v>74</v>
      </c>
      <c r="P3214" s="16" t="str">
        <f t="shared" si="6"/>
        <v/>
      </c>
      <c r="Q3214" s="41" t="e">
        <f t="shared" si="6048"/>
        <v>#N/A</v>
      </c>
      <c r="R3214" s="44"/>
      <c r="S3214" s="44"/>
      <c r="T3214" s="43"/>
      <c r="U3214" s="43" t="str">
        <f t="shared" si="8"/>
        <v>No</v>
      </c>
      <c r="V3214" s="25"/>
      <c r="W3214" s="25"/>
      <c r="X3214" s="25"/>
      <c r="Y3214" s="25"/>
      <c r="Z3214" s="25"/>
    </row>
    <row r="3215" spans="1:26" ht="15.75" customHeight="1" x14ac:dyDescent="0.25">
      <c r="A3215" s="25">
        <v>3213</v>
      </c>
      <c r="B3215" s="37" t="e">
        <f t="shared" ref="B3215:D3215" si="6471">VLOOKUP($A3215,[10]Mujer!$A$1:$O$279,B$1,0)</f>
        <v>#N/A</v>
      </c>
      <c r="C3215" s="38" t="e">
        <f t="shared" si="6471"/>
        <v>#N/A</v>
      </c>
      <c r="D3215" s="39" t="e">
        <f t="shared" si="6471"/>
        <v>#N/A</v>
      </c>
      <c r="E3215" s="16" t="e">
        <f t="shared" si="1"/>
        <v>#N/A</v>
      </c>
      <c r="F3215" s="16" t="e">
        <f t="shared" ref="F3215:K3215" si="6472">VLOOKUP($A3215,[10]Mujer!$A$1:$O$279,F$1,0)</f>
        <v>#N/A</v>
      </c>
      <c r="G3215" s="39" t="e">
        <f t="shared" si="6472"/>
        <v>#N/A</v>
      </c>
      <c r="H3215" s="16" t="e">
        <f t="shared" si="6472"/>
        <v>#N/A</v>
      </c>
      <c r="I3215" s="16" t="e">
        <f t="shared" si="6472"/>
        <v>#N/A</v>
      </c>
      <c r="J3215" s="40" t="e">
        <f t="shared" si="6472"/>
        <v>#N/A</v>
      </c>
      <c r="K3215" s="16" t="e">
        <f t="shared" si="6472"/>
        <v>#N/A</v>
      </c>
      <c r="L3215" s="40" t="e">
        <f t="shared" si="6045"/>
        <v>#N/A</v>
      </c>
      <c r="M3215" s="16" t="e">
        <f t="shared" si="6046"/>
        <v>#N/A</v>
      </c>
      <c r="N3215" s="16" t="e">
        <f t="shared" si="6047"/>
        <v>#N/A</v>
      </c>
      <c r="O3215" s="16" t="s">
        <v>74</v>
      </c>
      <c r="P3215" s="16" t="str">
        <f t="shared" si="6"/>
        <v/>
      </c>
      <c r="Q3215" s="41" t="e">
        <f t="shared" si="6048"/>
        <v>#N/A</v>
      </c>
      <c r="R3215" s="44"/>
      <c r="S3215" s="44"/>
      <c r="T3215" s="43"/>
      <c r="U3215" s="43" t="str">
        <f t="shared" si="8"/>
        <v>No</v>
      </c>
      <c r="V3215" s="25"/>
      <c r="W3215" s="25"/>
      <c r="X3215" s="25"/>
      <c r="Y3215" s="25"/>
      <c r="Z3215" s="25"/>
    </row>
    <row r="3216" spans="1:26" ht="15.75" customHeight="1" x14ac:dyDescent="0.25">
      <c r="A3216" s="25">
        <v>3214</v>
      </c>
      <c r="B3216" s="37" t="e">
        <f t="shared" ref="B3216:D3216" si="6473">VLOOKUP($A3216,[10]Mujer!$A$1:$O$279,B$1,0)</f>
        <v>#N/A</v>
      </c>
      <c r="C3216" s="38" t="e">
        <f t="shared" si="6473"/>
        <v>#N/A</v>
      </c>
      <c r="D3216" s="39" t="e">
        <f t="shared" si="6473"/>
        <v>#N/A</v>
      </c>
      <c r="E3216" s="16" t="e">
        <f t="shared" si="1"/>
        <v>#N/A</v>
      </c>
      <c r="F3216" s="16" t="e">
        <f t="shared" ref="F3216:K3216" si="6474">VLOOKUP($A3216,[10]Mujer!$A$1:$O$279,F$1,0)</f>
        <v>#N/A</v>
      </c>
      <c r="G3216" s="39" t="e">
        <f t="shared" si="6474"/>
        <v>#N/A</v>
      </c>
      <c r="H3216" s="16" t="e">
        <f t="shared" si="6474"/>
        <v>#N/A</v>
      </c>
      <c r="I3216" s="16" t="e">
        <f t="shared" si="6474"/>
        <v>#N/A</v>
      </c>
      <c r="J3216" s="40" t="e">
        <f t="shared" si="6474"/>
        <v>#N/A</v>
      </c>
      <c r="K3216" s="16" t="e">
        <f t="shared" si="6474"/>
        <v>#N/A</v>
      </c>
      <c r="L3216" s="40" t="e">
        <f t="shared" si="6045"/>
        <v>#N/A</v>
      </c>
      <c r="M3216" s="16" t="e">
        <f t="shared" si="6046"/>
        <v>#N/A</v>
      </c>
      <c r="N3216" s="16" t="e">
        <f t="shared" si="6047"/>
        <v>#N/A</v>
      </c>
      <c r="O3216" s="16" t="s">
        <v>74</v>
      </c>
      <c r="P3216" s="16" t="str">
        <f t="shared" si="6"/>
        <v/>
      </c>
      <c r="Q3216" s="41" t="e">
        <f t="shared" si="6048"/>
        <v>#N/A</v>
      </c>
      <c r="R3216" s="44"/>
      <c r="S3216" s="44"/>
      <c r="T3216" s="43"/>
      <c r="U3216" s="43" t="str">
        <f t="shared" si="8"/>
        <v>No</v>
      </c>
      <c r="V3216" s="25"/>
      <c r="W3216" s="25"/>
      <c r="X3216" s="25"/>
      <c r="Y3216" s="25"/>
      <c r="Z3216" s="25"/>
    </row>
    <row r="3217" spans="1:26" ht="15.75" customHeight="1" x14ac:dyDescent="0.25">
      <c r="A3217" s="25">
        <v>3215</v>
      </c>
      <c r="B3217" s="37" t="e">
        <f t="shared" ref="B3217:D3217" si="6475">VLOOKUP($A3217,[10]Mujer!$A$1:$O$279,B$1,0)</f>
        <v>#N/A</v>
      </c>
      <c r="C3217" s="38" t="e">
        <f t="shared" si="6475"/>
        <v>#N/A</v>
      </c>
      <c r="D3217" s="39" t="e">
        <f t="shared" si="6475"/>
        <v>#N/A</v>
      </c>
      <c r="E3217" s="16" t="e">
        <f t="shared" si="1"/>
        <v>#N/A</v>
      </c>
      <c r="F3217" s="16" t="e">
        <f t="shared" ref="F3217:K3217" si="6476">VLOOKUP($A3217,[10]Mujer!$A$1:$O$279,F$1,0)</f>
        <v>#N/A</v>
      </c>
      <c r="G3217" s="39" t="e">
        <f t="shared" si="6476"/>
        <v>#N/A</v>
      </c>
      <c r="H3217" s="16" t="e">
        <f t="shared" si="6476"/>
        <v>#N/A</v>
      </c>
      <c r="I3217" s="16" t="e">
        <f t="shared" si="6476"/>
        <v>#N/A</v>
      </c>
      <c r="J3217" s="40" t="e">
        <f t="shared" si="6476"/>
        <v>#N/A</v>
      </c>
      <c r="K3217" s="16" t="e">
        <f t="shared" si="6476"/>
        <v>#N/A</v>
      </c>
      <c r="L3217" s="40" t="e">
        <f t="shared" si="6045"/>
        <v>#N/A</v>
      </c>
      <c r="M3217" s="16" t="e">
        <f t="shared" si="6046"/>
        <v>#N/A</v>
      </c>
      <c r="N3217" s="16" t="e">
        <f t="shared" si="6047"/>
        <v>#N/A</v>
      </c>
      <c r="O3217" s="16" t="s">
        <v>74</v>
      </c>
      <c r="P3217" s="16" t="str">
        <f t="shared" si="6"/>
        <v/>
      </c>
      <c r="Q3217" s="41" t="e">
        <f t="shared" si="6048"/>
        <v>#N/A</v>
      </c>
      <c r="R3217" s="44"/>
      <c r="S3217" s="44"/>
      <c r="T3217" s="43"/>
      <c r="U3217" s="43" t="str">
        <f t="shared" si="8"/>
        <v>No</v>
      </c>
      <c r="V3217" s="25"/>
      <c r="W3217" s="25"/>
      <c r="X3217" s="25"/>
      <c r="Y3217" s="25"/>
      <c r="Z3217" s="25"/>
    </row>
    <row r="3218" spans="1:26" ht="15.75" customHeight="1" x14ac:dyDescent="0.25">
      <c r="A3218" s="25">
        <v>3216</v>
      </c>
      <c r="B3218" s="37" t="e">
        <f t="shared" ref="B3218:D3218" si="6477">VLOOKUP($A3218,[10]Mujer!$A$1:$O$279,B$1,0)</f>
        <v>#N/A</v>
      </c>
      <c r="C3218" s="38" t="e">
        <f t="shared" si="6477"/>
        <v>#N/A</v>
      </c>
      <c r="D3218" s="39" t="e">
        <f t="shared" si="6477"/>
        <v>#N/A</v>
      </c>
      <c r="E3218" s="16" t="e">
        <f t="shared" si="1"/>
        <v>#N/A</v>
      </c>
      <c r="F3218" s="16" t="e">
        <f t="shared" ref="F3218:K3218" si="6478">VLOOKUP($A3218,[10]Mujer!$A$1:$O$279,F$1,0)</f>
        <v>#N/A</v>
      </c>
      <c r="G3218" s="39" t="e">
        <f t="shared" si="6478"/>
        <v>#N/A</v>
      </c>
      <c r="H3218" s="16" t="e">
        <f t="shared" si="6478"/>
        <v>#N/A</v>
      </c>
      <c r="I3218" s="16" t="e">
        <f t="shared" si="6478"/>
        <v>#N/A</v>
      </c>
      <c r="J3218" s="40" t="e">
        <f t="shared" si="6478"/>
        <v>#N/A</v>
      </c>
      <c r="K3218" s="16" t="e">
        <f t="shared" si="6478"/>
        <v>#N/A</v>
      </c>
      <c r="L3218" s="40" t="e">
        <f t="shared" si="6045"/>
        <v>#N/A</v>
      </c>
      <c r="M3218" s="16" t="e">
        <f t="shared" si="6046"/>
        <v>#N/A</v>
      </c>
      <c r="N3218" s="16" t="e">
        <f t="shared" si="6047"/>
        <v>#N/A</v>
      </c>
      <c r="O3218" s="16" t="s">
        <v>74</v>
      </c>
      <c r="P3218" s="16" t="str">
        <f t="shared" si="6"/>
        <v/>
      </c>
      <c r="Q3218" s="41" t="e">
        <f t="shared" si="6048"/>
        <v>#N/A</v>
      </c>
      <c r="R3218" s="44"/>
      <c r="S3218" s="44"/>
      <c r="T3218" s="43"/>
      <c r="U3218" s="43" t="str">
        <f t="shared" si="8"/>
        <v>No</v>
      </c>
      <c r="V3218" s="25"/>
      <c r="W3218" s="25"/>
      <c r="X3218" s="25"/>
      <c r="Y3218" s="25"/>
      <c r="Z3218" s="25"/>
    </row>
    <row r="3219" spans="1:26" ht="15.75" customHeight="1" x14ac:dyDescent="0.25">
      <c r="A3219" s="25">
        <v>3217</v>
      </c>
      <c r="B3219" s="37" t="e">
        <f t="shared" ref="B3219:D3219" si="6479">VLOOKUP($A3219,[10]Mujer!$A$1:$O$279,B$1,0)</f>
        <v>#N/A</v>
      </c>
      <c r="C3219" s="38" t="e">
        <f t="shared" si="6479"/>
        <v>#N/A</v>
      </c>
      <c r="D3219" s="39" t="e">
        <f t="shared" si="6479"/>
        <v>#N/A</v>
      </c>
      <c r="E3219" s="16" t="e">
        <f t="shared" si="1"/>
        <v>#N/A</v>
      </c>
      <c r="F3219" s="16" t="e">
        <f t="shared" ref="F3219:K3219" si="6480">VLOOKUP($A3219,[10]Mujer!$A$1:$O$279,F$1,0)</f>
        <v>#N/A</v>
      </c>
      <c r="G3219" s="39" t="e">
        <f t="shared" si="6480"/>
        <v>#N/A</v>
      </c>
      <c r="H3219" s="16" t="e">
        <f t="shared" si="6480"/>
        <v>#N/A</v>
      </c>
      <c r="I3219" s="16" t="e">
        <f t="shared" si="6480"/>
        <v>#N/A</v>
      </c>
      <c r="J3219" s="40" t="e">
        <f t="shared" si="6480"/>
        <v>#N/A</v>
      </c>
      <c r="K3219" s="16" t="e">
        <f t="shared" si="6480"/>
        <v>#N/A</v>
      </c>
      <c r="L3219" s="40" t="e">
        <f t="shared" si="6045"/>
        <v>#N/A</v>
      </c>
      <c r="M3219" s="16" t="e">
        <f t="shared" si="6046"/>
        <v>#N/A</v>
      </c>
      <c r="N3219" s="16" t="e">
        <f t="shared" si="6047"/>
        <v>#N/A</v>
      </c>
      <c r="O3219" s="16" t="s">
        <v>74</v>
      </c>
      <c r="P3219" s="16" t="str">
        <f t="shared" si="6"/>
        <v/>
      </c>
      <c r="Q3219" s="41" t="e">
        <f t="shared" si="6048"/>
        <v>#N/A</v>
      </c>
      <c r="R3219" s="44"/>
      <c r="S3219" s="44"/>
      <c r="T3219" s="43"/>
      <c r="U3219" s="43" t="str">
        <f t="shared" si="8"/>
        <v>No</v>
      </c>
      <c r="V3219" s="25"/>
      <c r="W3219" s="25"/>
      <c r="X3219" s="25"/>
      <c r="Y3219" s="25"/>
      <c r="Z3219" s="25"/>
    </row>
    <row r="3220" spans="1:26" ht="15.75" customHeight="1" x14ac:dyDescent="0.25">
      <c r="A3220" s="25">
        <v>3218</v>
      </c>
      <c r="B3220" s="37" t="e">
        <f t="shared" ref="B3220:D3220" si="6481">VLOOKUP($A3220,[10]Mujer!$A$1:$O$279,B$1,0)</f>
        <v>#N/A</v>
      </c>
      <c r="C3220" s="38" t="e">
        <f t="shared" si="6481"/>
        <v>#N/A</v>
      </c>
      <c r="D3220" s="39" t="e">
        <f t="shared" si="6481"/>
        <v>#N/A</v>
      </c>
      <c r="E3220" s="16" t="e">
        <f t="shared" si="1"/>
        <v>#N/A</v>
      </c>
      <c r="F3220" s="16" t="e">
        <f t="shared" ref="F3220:K3220" si="6482">VLOOKUP($A3220,[10]Mujer!$A$1:$O$279,F$1,0)</f>
        <v>#N/A</v>
      </c>
      <c r="G3220" s="39" t="e">
        <f t="shared" si="6482"/>
        <v>#N/A</v>
      </c>
      <c r="H3220" s="16" t="e">
        <f t="shared" si="6482"/>
        <v>#N/A</v>
      </c>
      <c r="I3220" s="16" t="e">
        <f t="shared" si="6482"/>
        <v>#N/A</v>
      </c>
      <c r="J3220" s="40" t="e">
        <f t="shared" si="6482"/>
        <v>#N/A</v>
      </c>
      <c r="K3220" s="16" t="e">
        <f t="shared" si="6482"/>
        <v>#N/A</v>
      </c>
      <c r="L3220" s="40" t="e">
        <f t="shared" si="6045"/>
        <v>#N/A</v>
      </c>
      <c r="M3220" s="16" t="e">
        <f t="shared" si="6046"/>
        <v>#N/A</v>
      </c>
      <c r="N3220" s="16" t="e">
        <f t="shared" si="6047"/>
        <v>#N/A</v>
      </c>
      <c r="O3220" s="16" t="s">
        <v>74</v>
      </c>
      <c r="P3220" s="16" t="str">
        <f t="shared" si="6"/>
        <v/>
      </c>
      <c r="Q3220" s="41" t="e">
        <f t="shared" si="6048"/>
        <v>#N/A</v>
      </c>
      <c r="R3220" s="44"/>
      <c r="S3220" s="44"/>
      <c r="T3220" s="43"/>
      <c r="U3220" s="43" t="str">
        <f t="shared" si="8"/>
        <v>No</v>
      </c>
      <c r="V3220" s="25"/>
      <c r="W3220" s="25"/>
      <c r="X3220" s="25"/>
      <c r="Y3220" s="25"/>
      <c r="Z3220" s="25"/>
    </row>
    <row r="3221" spans="1:26" ht="15.75" customHeight="1" x14ac:dyDescent="0.25">
      <c r="A3221" s="25">
        <v>3219</v>
      </c>
      <c r="B3221" s="37" t="e">
        <f t="shared" ref="B3221:D3221" si="6483">VLOOKUP($A3221,[10]Mujer!$A$1:$O$279,B$1,0)</f>
        <v>#N/A</v>
      </c>
      <c r="C3221" s="38" t="e">
        <f t="shared" si="6483"/>
        <v>#N/A</v>
      </c>
      <c r="D3221" s="39" t="e">
        <f t="shared" si="6483"/>
        <v>#N/A</v>
      </c>
      <c r="E3221" s="16" t="e">
        <f t="shared" si="1"/>
        <v>#N/A</v>
      </c>
      <c r="F3221" s="16" t="e">
        <f t="shared" ref="F3221:K3221" si="6484">VLOOKUP($A3221,[10]Mujer!$A$1:$O$279,F$1,0)</f>
        <v>#N/A</v>
      </c>
      <c r="G3221" s="39" t="e">
        <f t="shared" si="6484"/>
        <v>#N/A</v>
      </c>
      <c r="H3221" s="16" t="e">
        <f t="shared" si="6484"/>
        <v>#N/A</v>
      </c>
      <c r="I3221" s="16" t="e">
        <f t="shared" si="6484"/>
        <v>#N/A</v>
      </c>
      <c r="J3221" s="40" t="e">
        <f t="shared" si="6484"/>
        <v>#N/A</v>
      </c>
      <c r="K3221" s="16" t="e">
        <f t="shared" si="6484"/>
        <v>#N/A</v>
      </c>
      <c r="L3221" s="40" t="e">
        <f t="shared" si="6045"/>
        <v>#N/A</v>
      </c>
      <c r="M3221" s="16" t="e">
        <f t="shared" si="6046"/>
        <v>#N/A</v>
      </c>
      <c r="N3221" s="16" t="e">
        <f t="shared" si="6047"/>
        <v>#N/A</v>
      </c>
      <c r="O3221" s="16" t="s">
        <v>74</v>
      </c>
      <c r="P3221" s="16" t="str">
        <f t="shared" si="6"/>
        <v/>
      </c>
      <c r="Q3221" s="41" t="e">
        <f t="shared" si="6048"/>
        <v>#N/A</v>
      </c>
      <c r="R3221" s="44"/>
      <c r="S3221" s="44"/>
      <c r="T3221" s="43"/>
      <c r="U3221" s="43" t="str">
        <f t="shared" si="8"/>
        <v>No</v>
      </c>
      <c r="V3221" s="25"/>
      <c r="W3221" s="25"/>
      <c r="X3221" s="25"/>
      <c r="Y3221" s="25"/>
      <c r="Z3221" s="25"/>
    </row>
    <row r="3222" spans="1:26" ht="15.75" customHeight="1" x14ac:dyDescent="0.25">
      <c r="A3222" s="25">
        <v>3220</v>
      </c>
      <c r="B3222" s="37" t="e">
        <f t="shared" ref="B3222:D3222" si="6485">VLOOKUP($A3222,[10]Mujer!$A$1:$O$279,B$1,0)</f>
        <v>#N/A</v>
      </c>
      <c r="C3222" s="38" t="e">
        <f t="shared" si="6485"/>
        <v>#N/A</v>
      </c>
      <c r="D3222" s="39" t="e">
        <f t="shared" si="6485"/>
        <v>#N/A</v>
      </c>
      <c r="E3222" s="16" t="e">
        <f t="shared" si="1"/>
        <v>#N/A</v>
      </c>
      <c r="F3222" s="16" t="e">
        <f t="shared" ref="F3222:K3222" si="6486">VLOOKUP($A3222,[10]Mujer!$A$1:$O$279,F$1,0)</f>
        <v>#N/A</v>
      </c>
      <c r="G3222" s="39" t="e">
        <f t="shared" si="6486"/>
        <v>#N/A</v>
      </c>
      <c r="H3222" s="16" t="e">
        <f t="shared" si="6486"/>
        <v>#N/A</v>
      </c>
      <c r="I3222" s="16" t="e">
        <f t="shared" si="6486"/>
        <v>#N/A</v>
      </c>
      <c r="J3222" s="40" t="e">
        <f t="shared" si="6486"/>
        <v>#N/A</v>
      </c>
      <c r="K3222" s="16" t="e">
        <f t="shared" si="6486"/>
        <v>#N/A</v>
      </c>
      <c r="L3222" s="40" t="e">
        <f t="shared" si="6045"/>
        <v>#N/A</v>
      </c>
      <c r="M3222" s="16" t="e">
        <f t="shared" si="6046"/>
        <v>#N/A</v>
      </c>
      <c r="N3222" s="16" t="e">
        <f t="shared" si="6047"/>
        <v>#N/A</v>
      </c>
      <c r="O3222" s="16" t="s">
        <v>74</v>
      </c>
      <c r="P3222" s="16" t="str">
        <f t="shared" si="6"/>
        <v/>
      </c>
      <c r="Q3222" s="41" t="e">
        <f t="shared" si="6048"/>
        <v>#N/A</v>
      </c>
      <c r="R3222" s="44"/>
      <c r="S3222" s="44"/>
      <c r="T3222" s="43"/>
      <c r="U3222" s="43" t="str">
        <f t="shared" si="8"/>
        <v>No</v>
      </c>
      <c r="V3222" s="25"/>
      <c r="W3222" s="25"/>
      <c r="X3222" s="25"/>
      <c r="Y3222" s="25"/>
      <c r="Z3222" s="25"/>
    </row>
    <row r="3223" spans="1:26" ht="15.75" customHeight="1" x14ac:dyDescent="0.25">
      <c r="A3223" s="25">
        <v>3221</v>
      </c>
      <c r="B3223" s="37" t="e">
        <f t="shared" ref="B3223:D3223" si="6487">VLOOKUP($A3223,[10]Mujer!$A$1:$O$279,B$1,0)</f>
        <v>#N/A</v>
      </c>
      <c r="C3223" s="38" t="e">
        <f t="shared" si="6487"/>
        <v>#N/A</v>
      </c>
      <c r="D3223" s="39" t="e">
        <f t="shared" si="6487"/>
        <v>#N/A</v>
      </c>
      <c r="E3223" s="16" t="e">
        <f t="shared" si="1"/>
        <v>#N/A</v>
      </c>
      <c r="F3223" s="16" t="e">
        <f t="shared" ref="F3223:K3223" si="6488">VLOOKUP($A3223,[10]Mujer!$A$1:$O$279,F$1,0)</f>
        <v>#N/A</v>
      </c>
      <c r="G3223" s="39" t="e">
        <f t="shared" si="6488"/>
        <v>#N/A</v>
      </c>
      <c r="H3223" s="16" t="e">
        <f t="shared" si="6488"/>
        <v>#N/A</v>
      </c>
      <c r="I3223" s="16" t="e">
        <f t="shared" si="6488"/>
        <v>#N/A</v>
      </c>
      <c r="J3223" s="40" t="e">
        <f t="shared" si="6488"/>
        <v>#N/A</v>
      </c>
      <c r="K3223" s="16" t="e">
        <f t="shared" si="6488"/>
        <v>#N/A</v>
      </c>
      <c r="L3223" s="40" t="e">
        <f t="shared" si="6045"/>
        <v>#N/A</v>
      </c>
      <c r="M3223" s="16" t="e">
        <f t="shared" si="6046"/>
        <v>#N/A</v>
      </c>
      <c r="N3223" s="16" t="e">
        <f t="shared" si="6047"/>
        <v>#N/A</v>
      </c>
      <c r="O3223" s="16" t="s">
        <v>74</v>
      </c>
      <c r="P3223" s="16" t="str">
        <f t="shared" si="6"/>
        <v/>
      </c>
      <c r="Q3223" s="41" t="e">
        <f t="shared" si="6048"/>
        <v>#N/A</v>
      </c>
      <c r="R3223" s="44"/>
      <c r="S3223" s="44"/>
      <c r="T3223" s="43"/>
      <c r="U3223" s="43" t="str">
        <f t="shared" si="8"/>
        <v>No</v>
      </c>
      <c r="V3223" s="25"/>
      <c r="W3223" s="25"/>
      <c r="X3223" s="25"/>
      <c r="Y3223" s="25"/>
      <c r="Z3223" s="25"/>
    </row>
    <row r="3224" spans="1:26" ht="15.75" customHeight="1" x14ac:dyDescent="0.25">
      <c r="A3224" s="25">
        <v>3222</v>
      </c>
      <c r="B3224" s="37" t="e">
        <f t="shared" ref="B3224:D3224" si="6489">VLOOKUP($A3224,[10]Mujer!$A$1:$O$279,B$1,0)</f>
        <v>#N/A</v>
      </c>
      <c r="C3224" s="38" t="e">
        <f t="shared" si="6489"/>
        <v>#N/A</v>
      </c>
      <c r="D3224" s="39" t="e">
        <f t="shared" si="6489"/>
        <v>#N/A</v>
      </c>
      <c r="E3224" s="16" t="e">
        <f t="shared" si="1"/>
        <v>#N/A</v>
      </c>
      <c r="F3224" s="16" t="e">
        <f t="shared" ref="F3224:K3224" si="6490">VLOOKUP($A3224,[10]Mujer!$A$1:$O$279,F$1,0)</f>
        <v>#N/A</v>
      </c>
      <c r="G3224" s="39" t="e">
        <f t="shared" si="6490"/>
        <v>#N/A</v>
      </c>
      <c r="H3224" s="16" t="e">
        <f t="shared" si="6490"/>
        <v>#N/A</v>
      </c>
      <c r="I3224" s="16" t="e">
        <f t="shared" si="6490"/>
        <v>#N/A</v>
      </c>
      <c r="J3224" s="40" t="e">
        <f t="shared" si="6490"/>
        <v>#N/A</v>
      </c>
      <c r="K3224" s="16" t="e">
        <f t="shared" si="6490"/>
        <v>#N/A</v>
      </c>
      <c r="L3224" s="40" t="e">
        <f t="shared" si="6045"/>
        <v>#N/A</v>
      </c>
      <c r="M3224" s="16" t="e">
        <f t="shared" si="6046"/>
        <v>#N/A</v>
      </c>
      <c r="N3224" s="16" t="e">
        <f t="shared" si="6047"/>
        <v>#N/A</v>
      </c>
      <c r="O3224" s="16" t="s">
        <v>74</v>
      </c>
      <c r="P3224" s="16" t="str">
        <f t="shared" si="6"/>
        <v/>
      </c>
      <c r="Q3224" s="41" t="e">
        <f t="shared" si="6048"/>
        <v>#N/A</v>
      </c>
      <c r="R3224" s="44"/>
      <c r="S3224" s="44"/>
      <c r="T3224" s="43"/>
      <c r="U3224" s="43" t="str">
        <f t="shared" si="8"/>
        <v>No</v>
      </c>
      <c r="V3224" s="25"/>
      <c r="W3224" s="25"/>
      <c r="X3224" s="25"/>
      <c r="Y3224" s="25"/>
      <c r="Z3224" s="25"/>
    </row>
    <row r="3225" spans="1:26" ht="15.75" customHeight="1" x14ac:dyDescent="0.25">
      <c r="A3225" s="25">
        <v>3223</v>
      </c>
      <c r="B3225" s="37" t="e">
        <f t="shared" ref="B3225:D3225" si="6491">VLOOKUP($A3225,[10]Mujer!$A$1:$O$279,B$1,0)</f>
        <v>#N/A</v>
      </c>
      <c r="C3225" s="38" t="e">
        <f t="shared" si="6491"/>
        <v>#N/A</v>
      </c>
      <c r="D3225" s="39" t="e">
        <f t="shared" si="6491"/>
        <v>#N/A</v>
      </c>
      <c r="E3225" s="16" t="e">
        <f t="shared" si="1"/>
        <v>#N/A</v>
      </c>
      <c r="F3225" s="16" t="e">
        <f t="shared" ref="F3225:K3225" si="6492">VLOOKUP($A3225,[10]Mujer!$A$1:$O$279,F$1,0)</f>
        <v>#N/A</v>
      </c>
      <c r="G3225" s="39" t="e">
        <f t="shared" si="6492"/>
        <v>#N/A</v>
      </c>
      <c r="H3225" s="16" t="e">
        <f t="shared" si="6492"/>
        <v>#N/A</v>
      </c>
      <c r="I3225" s="16" t="e">
        <f t="shared" si="6492"/>
        <v>#N/A</v>
      </c>
      <c r="J3225" s="40" t="e">
        <f t="shared" si="6492"/>
        <v>#N/A</v>
      </c>
      <c r="K3225" s="16" t="e">
        <f t="shared" si="6492"/>
        <v>#N/A</v>
      </c>
      <c r="L3225" s="40" t="e">
        <f t="shared" si="6045"/>
        <v>#N/A</v>
      </c>
      <c r="M3225" s="16" t="e">
        <f t="shared" si="6046"/>
        <v>#N/A</v>
      </c>
      <c r="N3225" s="16" t="e">
        <f t="shared" si="6047"/>
        <v>#N/A</v>
      </c>
      <c r="O3225" s="16" t="s">
        <v>74</v>
      </c>
      <c r="P3225" s="16" t="str">
        <f t="shared" si="6"/>
        <v/>
      </c>
      <c r="Q3225" s="41" t="e">
        <f t="shared" si="6048"/>
        <v>#N/A</v>
      </c>
      <c r="R3225" s="44"/>
      <c r="S3225" s="44"/>
      <c r="T3225" s="43"/>
      <c r="U3225" s="43" t="str">
        <f t="shared" si="8"/>
        <v>No</v>
      </c>
      <c r="V3225" s="25"/>
      <c r="W3225" s="25"/>
      <c r="X3225" s="25"/>
      <c r="Y3225" s="25"/>
      <c r="Z3225" s="25"/>
    </row>
    <row r="3226" spans="1:26" ht="15.75" customHeight="1" x14ac:dyDescent="0.25">
      <c r="A3226" s="25">
        <v>3224</v>
      </c>
      <c r="B3226" s="37" t="e">
        <f t="shared" ref="B3226:D3226" si="6493">VLOOKUP($A3226,[10]Mujer!$A$1:$O$279,B$1,0)</f>
        <v>#N/A</v>
      </c>
      <c r="C3226" s="38" t="e">
        <f t="shared" si="6493"/>
        <v>#N/A</v>
      </c>
      <c r="D3226" s="39" t="e">
        <f t="shared" si="6493"/>
        <v>#N/A</v>
      </c>
      <c r="E3226" s="16" t="e">
        <f t="shared" si="1"/>
        <v>#N/A</v>
      </c>
      <c r="F3226" s="16" t="e">
        <f t="shared" ref="F3226:K3226" si="6494">VLOOKUP($A3226,[10]Mujer!$A$1:$O$279,F$1,0)</f>
        <v>#N/A</v>
      </c>
      <c r="G3226" s="39" t="e">
        <f t="shared" si="6494"/>
        <v>#N/A</v>
      </c>
      <c r="H3226" s="16" t="e">
        <f t="shared" si="6494"/>
        <v>#N/A</v>
      </c>
      <c r="I3226" s="16" t="e">
        <f t="shared" si="6494"/>
        <v>#N/A</v>
      </c>
      <c r="J3226" s="40" t="e">
        <f t="shared" si="6494"/>
        <v>#N/A</v>
      </c>
      <c r="K3226" s="16" t="e">
        <f t="shared" si="6494"/>
        <v>#N/A</v>
      </c>
      <c r="L3226" s="40" t="e">
        <f t="shared" si="6045"/>
        <v>#N/A</v>
      </c>
      <c r="M3226" s="16" t="e">
        <f t="shared" si="6046"/>
        <v>#N/A</v>
      </c>
      <c r="N3226" s="16" t="e">
        <f t="shared" si="6047"/>
        <v>#N/A</v>
      </c>
      <c r="O3226" s="16" t="s">
        <v>74</v>
      </c>
      <c r="P3226" s="16" t="str">
        <f t="shared" si="6"/>
        <v/>
      </c>
      <c r="Q3226" s="41" t="e">
        <f t="shared" si="6048"/>
        <v>#N/A</v>
      </c>
      <c r="R3226" s="44"/>
      <c r="S3226" s="44"/>
      <c r="T3226" s="43"/>
      <c r="U3226" s="43" t="str">
        <f t="shared" si="8"/>
        <v>No</v>
      </c>
      <c r="V3226" s="25"/>
      <c r="W3226" s="25"/>
      <c r="X3226" s="25"/>
      <c r="Y3226" s="25"/>
      <c r="Z3226" s="25"/>
    </row>
    <row r="3227" spans="1:26" ht="15.75" customHeight="1" x14ac:dyDescent="0.25">
      <c r="A3227" s="25">
        <v>3225</v>
      </c>
      <c r="B3227" s="37" t="e">
        <f t="shared" ref="B3227:D3227" si="6495">VLOOKUP($A3227,[10]Mujer!$A$1:$O$279,B$1,0)</f>
        <v>#N/A</v>
      </c>
      <c r="C3227" s="38" t="e">
        <f t="shared" si="6495"/>
        <v>#N/A</v>
      </c>
      <c r="D3227" s="39" t="e">
        <f t="shared" si="6495"/>
        <v>#N/A</v>
      </c>
      <c r="E3227" s="16" t="e">
        <f t="shared" si="1"/>
        <v>#N/A</v>
      </c>
      <c r="F3227" s="16" t="e">
        <f t="shared" ref="F3227:K3227" si="6496">VLOOKUP($A3227,[10]Mujer!$A$1:$O$279,F$1,0)</f>
        <v>#N/A</v>
      </c>
      <c r="G3227" s="39" t="e">
        <f t="shared" si="6496"/>
        <v>#N/A</v>
      </c>
      <c r="H3227" s="16" t="e">
        <f t="shared" si="6496"/>
        <v>#N/A</v>
      </c>
      <c r="I3227" s="16" t="e">
        <f t="shared" si="6496"/>
        <v>#N/A</v>
      </c>
      <c r="J3227" s="40" t="e">
        <f t="shared" si="6496"/>
        <v>#N/A</v>
      </c>
      <c r="K3227" s="16" t="e">
        <f t="shared" si="6496"/>
        <v>#N/A</v>
      </c>
      <c r="L3227" s="40" t="e">
        <f t="shared" si="6045"/>
        <v>#N/A</v>
      </c>
      <c r="M3227" s="16" t="e">
        <f t="shared" si="6046"/>
        <v>#N/A</v>
      </c>
      <c r="N3227" s="16" t="e">
        <f t="shared" si="6047"/>
        <v>#N/A</v>
      </c>
      <c r="O3227" s="16" t="s">
        <v>74</v>
      </c>
      <c r="P3227" s="16" t="str">
        <f t="shared" si="6"/>
        <v/>
      </c>
      <c r="Q3227" s="41" t="e">
        <f t="shared" si="6048"/>
        <v>#N/A</v>
      </c>
      <c r="R3227" s="44"/>
      <c r="S3227" s="44"/>
      <c r="T3227" s="43"/>
      <c r="U3227" s="43" t="str">
        <f t="shared" si="8"/>
        <v>No</v>
      </c>
      <c r="V3227" s="25"/>
      <c r="W3227" s="25"/>
      <c r="X3227" s="25"/>
      <c r="Y3227" s="25"/>
      <c r="Z3227" s="25"/>
    </row>
    <row r="3228" spans="1:26" ht="15.75" customHeight="1" x14ac:dyDescent="0.25">
      <c r="A3228" s="25">
        <v>3226</v>
      </c>
      <c r="B3228" s="37" t="e">
        <f t="shared" ref="B3228:D3228" si="6497">VLOOKUP($A3228,[10]Mujer!$A$1:$O$279,B$1,0)</f>
        <v>#N/A</v>
      </c>
      <c r="C3228" s="38" t="e">
        <f t="shared" si="6497"/>
        <v>#N/A</v>
      </c>
      <c r="D3228" s="39" t="e">
        <f t="shared" si="6497"/>
        <v>#N/A</v>
      </c>
      <c r="E3228" s="16" t="e">
        <f t="shared" si="1"/>
        <v>#N/A</v>
      </c>
      <c r="F3228" s="16" t="e">
        <f t="shared" ref="F3228:K3228" si="6498">VLOOKUP($A3228,[10]Mujer!$A$1:$O$279,F$1,0)</f>
        <v>#N/A</v>
      </c>
      <c r="G3228" s="39" t="e">
        <f t="shared" si="6498"/>
        <v>#N/A</v>
      </c>
      <c r="H3228" s="16" t="e">
        <f t="shared" si="6498"/>
        <v>#N/A</v>
      </c>
      <c r="I3228" s="16" t="e">
        <f t="shared" si="6498"/>
        <v>#N/A</v>
      </c>
      <c r="J3228" s="40" t="e">
        <f t="shared" si="6498"/>
        <v>#N/A</v>
      </c>
      <c r="K3228" s="16" t="e">
        <f t="shared" si="6498"/>
        <v>#N/A</v>
      </c>
      <c r="L3228" s="40" t="e">
        <f t="shared" si="6045"/>
        <v>#N/A</v>
      </c>
      <c r="M3228" s="16" t="e">
        <f t="shared" si="6046"/>
        <v>#N/A</v>
      </c>
      <c r="N3228" s="16" t="e">
        <f t="shared" si="6047"/>
        <v>#N/A</v>
      </c>
      <c r="O3228" s="16" t="s">
        <v>74</v>
      </c>
      <c r="P3228" s="16" t="str">
        <f t="shared" si="6"/>
        <v/>
      </c>
      <c r="Q3228" s="41" t="e">
        <f t="shared" si="6048"/>
        <v>#N/A</v>
      </c>
      <c r="R3228" s="44"/>
      <c r="S3228" s="44"/>
      <c r="T3228" s="43"/>
      <c r="U3228" s="43" t="str">
        <f t="shared" si="8"/>
        <v>No</v>
      </c>
      <c r="V3228" s="25"/>
      <c r="W3228" s="25"/>
      <c r="X3228" s="25"/>
      <c r="Y3228" s="25"/>
      <c r="Z3228" s="25"/>
    </row>
    <row r="3229" spans="1:26" ht="15.75" customHeight="1" x14ac:dyDescent="0.25">
      <c r="A3229" s="25">
        <v>3227</v>
      </c>
      <c r="B3229" s="37" t="e">
        <f t="shared" ref="B3229:D3229" si="6499">VLOOKUP($A3229,[10]Mujer!$A$1:$O$279,B$1,0)</f>
        <v>#N/A</v>
      </c>
      <c r="C3229" s="38" t="e">
        <f t="shared" si="6499"/>
        <v>#N/A</v>
      </c>
      <c r="D3229" s="39" t="e">
        <f t="shared" si="6499"/>
        <v>#N/A</v>
      </c>
      <c r="E3229" s="16" t="e">
        <f t="shared" si="1"/>
        <v>#N/A</v>
      </c>
      <c r="F3229" s="16" t="e">
        <f t="shared" ref="F3229:K3229" si="6500">VLOOKUP($A3229,[10]Mujer!$A$1:$O$279,F$1,0)</f>
        <v>#N/A</v>
      </c>
      <c r="G3229" s="39" t="e">
        <f t="shared" si="6500"/>
        <v>#N/A</v>
      </c>
      <c r="H3229" s="16" t="e">
        <f t="shared" si="6500"/>
        <v>#N/A</v>
      </c>
      <c r="I3229" s="16" t="e">
        <f t="shared" si="6500"/>
        <v>#N/A</v>
      </c>
      <c r="J3229" s="40" t="e">
        <f t="shared" si="6500"/>
        <v>#N/A</v>
      </c>
      <c r="K3229" s="16" t="e">
        <f t="shared" si="6500"/>
        <v>#N/A</v>
      </c>
      <c r="L3229" s="40" t="e">
        <f t="shared" si="6045"/>
        <v>#N/A</v>
      </c>
      <c r="M3229" s="16" t="e">
        <f t="shared" si="6046"/>
        <v>#N/A</v>
      </c>
      <c r="N3229" s="16" t="e">
        <f t="shared" si="6047"/>
        <v>#N/A</v>
      </c>
      <c r="O3229" s="16" t="s">
        <v>74</v>
      </c>
      <c r="P3229" s="16" t="str">
        <f t="shared" si="6"/>
        <v/>
      </c>
      <c r="Q3229" s="41" t="e">
        <f t="shared" si="6048"/>
        <v>#N/A</v>
      </c>
      <c r="R3229" s="44"/>
      <c r="S3229" s="44"/>
      <c r="T3229" s="43"/>
      <c r="U3229" s="43" t="str">
        <f t="shared" si="8"/>
        <v>No</v>
      </c>
      <c r="V3229" s="25"/>
      <c r="W3229" s="25"/>
      <c r="X3229" s="25"/>
      <c r="Y3229" s="25"/>
      <c r="Z3229" s="25"/>
    </row>
    <row r="3230" spans="1:26" ht="15.75" customHeight="1" x14ac:dyDescent="0.25">
      <c r="A3230" s="25">
        <v>3228</v>
      </c>
      <c r="B3230" s="37" t="e">
        <f t="shared" ref="B3230:D3230" si="6501">VLOOKUP($A3230,[10]Mujer!$A$1:$O$279,B$1,0)</f>
        <v>#N/A</v>
      </c>
      <c r="C3230" s="38" t="e">
        <f t="shared" si="6501"/>
        <v>#N/A</v>
      </c>
      <c r="D3230" s="39" t="e">
        <f t="shared" si="6501"/>
        <v>#N/A</v>
      </c>
      <c r="E3230" s="16" t="e">
        <f t="shared" si="1"/>
        <v>#N/A</v>
      </c>
      <c r="F3230" s="16" t="e">
        <f t="shared" ref="F3230:K3230" si="6502">VLOOKUP($A3230,[10]Mujer!$A$1:$O$279,F$1,0)</f>
        <v>#N/A</v>
      </c>
      <c r="G3230" s="39" t="e">
        <f t="shared" si="6502"/>
        <v>#N/A</v>
      </c>
      <c r="H3230" s="16" t="e">
        <f t="shared" si="6502"/>
        <v>#N/A</v>
      </c>
      <c r="I3230" s="16" t="e">
        <f t="shared" si="6502"/>
        <v>#N/A</v>
      </c>
      <c r="J3230" s="40" t="e">
        <f t="shared" si="6502"/>
        <v>#N/A</v>
      </c>
      <c r="K3230" s="16" t="e">
        <f t="shared" si="6502"/>
        <v>#N/A</v>
      </c>
      <c r="L3230" s="40" t="e">
        <f t="shared" si="6045"/>
        <v>#N/A</v>
      </c>
      <c r="M3230" s="16" t="e">
        <f t="shared" si="6046"/>
        <v>#N/A</v>
      </c>
      <c r="N3230" s="16" t="e">
        <f t="shared" si="6047"/>
        <v>#N/A</v>
      </c>
      <c r="O3230" s="16" t="s">
        <v>74</v>
      </c>
      <c r="P3230" s="16" t="str">
        <f t="shared" si="6"/>
        <v/>
      </c>
      <c r="Q3230" s="41" t="e">
        <f t="shared" si="6048"/>
        <v>#N/A</v>
      </c>
      <c r="R3230" s="44"/>
      <c r="S3230" s="44"/>
      <c r="T3230" s="43"/>
      <c r="U3230" s="43" t="str">
        <f t="shared" si="8"/>
        <v>No</v>
      </c>
      <c r="V3230" s="25"/>
      <c r="W3230" s="25"/>
      <c r="X3230" s="25"/>
      <c r="Y3230" s="25"/>
      <c r="Z3230" s="25"/>
    </row>
    <row r="3231" spans="1:26" ht="15.75" customHeight="1" x14ac:dyDescent="0.25">
      <c r="A3231" s="25">
        <v>3229</v>
      </c>
      <c r="B3231" s="37" t="e">
        <f t="shared" ref="B3231:D3231" si="6503">VLOOKUP($A3231,[10]Mujer!$A$1:$O$279,B$1,0)</f>
        <v>#N/A</v>
      </c>
      <c r="C3231" s="38" t="e">
        <f t="shared" si="6503"/>
        <v>#N/A</v>
      </c>
      <c r="D3231" s="39" t="e">
        <f t="shared" si="6503"/>
        <v>#N/A</v>
      </c>
      <c r="E3231" s="16" t="e">
        <f t="shared" si="1"/>
        <v>#N/A</v>
      </c>
      <c r="F3231" s="16" t="e">
        <f t="shared" ref="F3231:K3231" si="6504">VLOOKUP($A3231,[10]Mujer!$A$1:$O$279,F$1,0)</f>
        <v>#N/A</v>
      </c>
      <c r="G3231" s="39" t="e">
        <f t="shared" si="6504"/>
        <v>#N/A</v>
      </c>
      <c r="H3231" s="16" t="e">
        <f t="shared" si="6504"/>
        <v>#N/A</v>
      </c>
      <c r="I3231" s="16" t="e">
        <f t="shared" si="6504"/>
        <v>#N/A</v>
      </c>
      <c r="J3231" s="40" t="e">
        <f t="shared" si="6504"/>
        <v>#N/A</v>
      </c>
      <c r="K3231" s="16" t="e">
        <f t="shared" si="6504"/>
        <v>#N/A</v>
      </c>
      <c r="L3231" s="40" t="e">
        <f t="shared" si="6045"/>
        <v>#N/A</v>
      </c>
      <c r="M3231" s="16" t="e">
        <f t="shared" si="6046"/>
        <v>#N/A</v>
      </c>
      <c r="N3231" s="16" t="e">
        <f t="shared" si="6047"/>
        <v>#N/A</v>
      </c>
      <c r="O3231" s="16" t="s">
        <v>74</v>
      </c>
      <c r="P3231" s="16" t="str">
        <f t="shared" si="6"/>
        <v/>
      </c>
      <c r="Q3231" s="41" t="e">
        <f t="shared" si="6048"/>
        <v>#N/A</v>
      </c>
      <c r="R3231" s="44"/>
      <c r="S3231" s="44"/>
      <c r="T3231" s="43"/>
      <c r="U3231" s="43" t="str">
        <f t="shared" si="8"/>
        <v>No</v>
      </c>
      <c r="V3231" s="25"/>
      <c r="W3231" s="25"/>
      <c r="X3231" s="25"/>
      <c r="Y3231" s="25"/>
      <c r="Z3231" s="25"/>
    </row>
    <row r="3232" spans="1:26" ht="15.75" customHeight="1" x14ac:dyDescent="0.25">
      <c r="A3232" s="25">
        <v>3230</v>
      </c>
      <c r="B3232" s="37" t="e">
        <f t="shared" ref="B3232:D3232" si="6505">VLOOKUP($A3232,[10]Mujer!$A$1:$O$279,B$1,0)</f>
        <v>#N/A</v>
      </c>
      <c r="C3232" s="38" t="e">
        <f t="shared" si="6505"/>
        <v>#N/A</v>
      </c>
      <c r="D3232" s="39" t="e">
        <f t="shared" si="6505"/>
        <v>#N/A</v>
      </c>
      <c r="E3232" s="16" t="e">
        <f t="shared" si="1"/>
        <v>#N/A</v>
      </c>
      <c r="F3232" s="16" t="e">
        <f t="shared" ref="F3232:K3232" si="6506">VLOOKUP($A3232,[10]Mujer!$A$1:$O$279,F$1,0)</f>
        <v>#N/A</v>
      </c>
      <c r="G3232" s="39" t="e">
        <f t="shared" si="6506"/>
        <v>#N/A</v>
      </c>
      <c r="H3232" s="16" t="e">
        <f t="shared" si="6506"/>
        <v>#N/A</v>
      </c>
      <c r="I3232" s="16" t="e">
        <f t="shared" si="6506"/>
        <v>#N/A</v>
      </c>
      <c r="J3232" s="40" t="e">
        <f t="shared" si="6506"/>
        <v>#N/A</v>
      </c>
      <c r="K3232" s="16" t="e">
        <f t="shared" si="6506"/>
        <v>#N/A</v>
      </c>
      <c r="L3232" s="40" t="e">
        <f t="shared" si="6045"/>
        <v>#N/A</v>
      </c>
      <c r="M3232" s="16" t="e">
        <f t="shared" si="6046"/>
        <v>#N/A</v>
      </c>
      <c r="N3232" s="16" t="e">
        <f t="shared" si="6047"/>
        <v>#N/A</v>
      </c>
      <c r="O3232" s="16" t="s">
        <v>74</v>
      </c>
      <c r="P3232" s="16" t="str">
        <f t="shared" si="6"/>
        <v/>
      </c>
      <c r="Q3232" s="41" t="e">
        <f t="shared" si="6048"/>
        <v>#N/A</v>
      </c>
      <c r="R3232" s="44"/>
      <c r="S3232" s="44"/>
      <c r="T3232" s="43"/>
      <c r="U3232" s="43" t="str">
        <f t="shared" si="8"/>
        <v>No</v>
      </c>
      <c r="V3232" s="25"/>
      <c r="W3232" s="25"/>
      <c r="X3232" s="25"/>
      <c r="Y3232" s="25"/>
      <c r="Z3232" s="25"/>
    </row>
    <row r="3233" spans="1:26" ht="15.75" customHeight="1" x14ac:dyDescent="0.25">
      <c r="A3233" s="25">
        <v>3231</v>
      </c>
      <c r="B3233" s="37" t="e">
        <f t="shared" ref="B3233:D3233" si="6507">VLOOKUP($A3233,[10]Mujer!$A$1:$O$279,B$1,0)</f>
        <v>#N/A</v>
      </c>
      <c r="C3233" s="38" t="e">
        <f t="shared" si="6507"/>
        <v>#N/A</v>
      </c>
      <c r="D3233" s="39" t="e">
        <f t="shared" si="6507"/>
        <v>#N/A</v>
      </c>
      <c r="E3233" s="16" t="e">
        <f t="shared" si="1"/>
        <v>#N/A</v>
      </c>
      <c r="F3233" s="16" t="e">
        <f t="shared" ref="F3233:K3233" si="6508">VLOOKUP($A3233,[10]Mujer!$A$1:$O$279,F$1,0)</f>
        <v>#N/A</v>
      </c>
      <c r="G3233" s="39" t="e">
        <f t="shared" si="6508"/>
        <v>#N/A</v>
      </c>
      <c r="H3233" s="16" t="e">
        <f t="shared" si="6508"/>
        <v>#N/A</v>
      </c>
      <c r="I3233" s="16" t="e">
        <f t="shared" si="6508"/>
        <v>#N/A</v>
      </c>
      <c r="J3233" s="40" t="e">
        <f t="shared" si="6508"/>
        <v>#N/A</v>
      </c>
      <c r="K3233" s="16" t="e">
        <f t="shared" si="6508"/>
        <v>#N/A</v>
      </c>
      <c r="L3233" s="40" t="e">
        <f t="shared" si="6045"/>
        <v>#N/A</v>
      </c>
      <c r="M3233" s="16" t="e">
        <f t="shared" si="6046"/>
        <v>#N/A</v>
      </c>
      <c r="N3233" s="16" t="e">
        <f t="shared" si="6047"/>
        <v>#N/A</v>
      </c>
      <c r="O3233" s="16" t="s">
        <v>74</v>
      </c>
      <c r="P3233" s="16" t="str">
        <f t="shared" si="6"/>
        <v/>
      </c>
      <c r="Q3233" s="41" t="e">
        <f t="shared" si="6048"/>
        <v>#N/A</v>
      </c>
      <c r="R3233" s="44"/>
      <c r="S3233" s="44"/>
      <c r="T3233" s="43"/>
      <c r="U3233" s="43" t="str">
        <f t="shared" si="8"/>
        <v>No</v>
      </c>
      <c r="V3233" s="25"/>
      <c r="W3233" s="25"/>
      <c r="X3233" s="25"/>
      <c r="Y3233" s="25"/>
      <c r="Z3233" s="25"/>
    </row>
    <row r="3234" spans="1:26" ht="15.75" customHeight="1" x14ac:dyDescent="0.25">
      <c r="A3234" s="25">
        <v>3232</v>
      </c>
      <c r="B3234" s="37" t="e">
        <f t="shared" ref="B3234:D3234" si="6509">VLOOKUP($A3234,[10]Mujer!$A$1:$O$279,B$1,0)</f>
        <v>#N/A</v>
      </c>
      <c r="C3234" s="38" t="e">
        <f t="shared" si="6509"/>
        <v>#N/A</v>
      </c>
      <c r="D3234" s="39" t="e">
        <f t="shared" si="6509"/>
        <v>#N/A</v>
      </c>
      <c r="E3234" s="16" t="e">
        <f t="shared" si="1"/>
        <v>#N/A</v>
      </c>
      <c r="F3234" s="16" t="e">
        <f t="shared" ref="F3234:K3234" si="6510">VLOOKUP($A3234,[10]Mujer!$A$1:$O$279,F$1,0)</f>
        <v>#N/A</v>
      </c>
      <c r="G3234" s="39" t="e">
        <f t="shared" si="6510"/>
        <v>#N/A</v>
      </c>
      <c r="H3234" s="16" t="e">
        <f t="shared" si="6510"/>
        <v>#N/A</v>
      </c>
      <c r="I3234" s="16" t="e">
        <f t="shared" si="6510"/>
        <v>#N/A</v>
      </c>
      <c r="J3234" s="40" t="e">
        <f t="shared" si="6510"/>
        <v>#N/A</v>
      </c>
      <c r="K3234" s="16" t="e">
        <f t="shared" si="6510"/>
        <v>#N/A</v>
      </c>
      <c r="L3234" s="40" t="e">
        <f t="shared" si="6045"/>
        <v>#N/A</v>
      </c>
      <c r="M3234" s="16" t="e">
        <f t="shared" si="6046"/>
        <v>#N/A</v>
      </c>
      <c r="N3234" s="16" t="e">
        <f t="shared" si="6047"/>
        <v>#N/A</v>
      </c>
      <c r="O3234" s="16" t="s">
        <v>74</v>
      </c>
      <c r="P3234" s="16" t="str">
        <f t="shared" si="6"/>
        <v/>
      </c>
      <c r="Q3234" s="41" t="e">
        <f t="shared" si="6048"/>
        <v>#N/A</v>
      </c>
      <c r="R3234" s="44"/>
      <c r="S3234" s="44"/>
      <c r="T3234" s="43"/>
      <c r="U3234" s="43" t="str">
        <f t="shared" si="8"/>
        <v>No</v>
      </c>
      <c r="V3234" s="25"/>
      <c r="W3234" s="25"/>
      <c r="X3234" s="25"/>
      <c r="Y3234" s="25"/>
      <c r="Z3234" s="25"/>
    </row>
    <row r="3235" spans="1:26" ht="15.75" customHeight="1" x14ac:dyDescent="0.25">
      <c r="A3235" s="25">
        <v>3233</v>
      </c>
      <c r="B3235" s="37" t="e">
        <f t="shared" ref="B3235:D3235" si="6511">VLOOKUP($A3235,[10]Mujer!$A$1:$O$279,B$1,0)</f>
        <v>#N/A</v>
      </c>
      <c r="C3235" s="38" t="e">
        <f t="shared" si="6511"/>
        <v>#N/A</v>
      </c>
      <c r="D3235" s="39" t="e">
        <f t="shared" si="6511"/>
        <v>#N/A</v>
      </c>
      <c r="E3235" s="16" t="e">
        <f t="shared" si="1"/>
        <v>#N/A</v>
      </c>
      <c r="F3235" s="16" t="e">
        <f t="shared" ref="F3235:K3235" si="6512">VLOOKUP($A3235,[10]Mujer!$A$1:$O$279,F$1,0)</f>
        <v>#N/A</v>
      </c>
      <c r="G3235" s="39" t="e">
        <f t="shared" si="6512"/>
        <v>#N/A</v>
      </c>
      <c r="H3235" s="16" t="e">
        <f t="shared" si="6512"/>
        <v>#N/A</v>
      </c>
      <c r="I3235" s="16" t="e">
        <f t="shared" si="6512"/>
        <v>#N/A</v>
      </c>
      <c r="J3235" s="40" t="e">
        <f t="shared" si="6512"/>
        <v>#N/A</v>
      </c>
      <c r="K3235" s="16" t="e">
        <f t="shared" si="6512"/>
        <v>#N/A</v>
      </c>
      <c r="L3235" s="40" t="e">
        <f t="shared" si="6045"/>
        <v>#N/A</v>
      </c>
      <c r="M3235" s="16" t="e">
        <f t="shared" si="6046"/>
        <v>#N/A</v>
      </c>
      <c r="N3235" s="16" t="e">
        <f t="shared" si="6047"/>
        <v>#N/A</v>
      </c>
      <c r="O3235" s="16" t="s">
        <v>74</v>
      </c>
      <c r="P3235" s="16" t="str">
        <f t="shared" si="6"/>
        <v/>
      </c>
      <c r="Q3235" s="41" t="e">
        <f t="shared" si="6048"/>
        <v>#N/A</v>
      </c>
      <c r="R3235" s="44"/>
      <c r="S3235" s="44"/>
      <c r="T3235" s="43"/>
      <c r="U3235" s="43" t="str">
        <f t="shared" si="8"/>
        <v>No</v>
      </c>
      <c r="V3235" s="25"/>
      <c r="W3235" s="25"/>
      <c r="X3235" s="25"/>
      <c r="Y3235" s="25"/>
      <c r="Z3235" s="25"/>
    </row>
    <row r="3236" spans="1:26" ht="15.75" customHeight="1" x14ac:dyDescent="0.25">
      <c r="A3236" s="25">
        <v>3234</v>
      </c>
      <c r="B3236" s="37" t="e">
        <f t="shared" ref="B3236:D3236" si="6513">VLOOKUP($A3236,[10]Mujer!$A$1:$O$279,B$1,0)</f>
        <v>#N/A</v>
      </c>
      <c r="C3236" s="38" t="e">
        <f t="shared" si="6513"/>
        <v>#N/A</v>
      </c>
      <c r="D3236" s="39" t="e">
        <f t="shared" si="6513"/>
        <v>#N/A</v>
      </c>
      <c r="E3236" s="16" t="e">
        <f t="shared" si="1"/>
        <v>#N/A</v>
      </c>
      <c r="F3236" s="16" t="e">
        <f t="shared" ref="F3236:K3236" si="6514">VLOOKUP($A3236,[10]Mujer!$A$1:$O$279,F$1,0)</f>
        <v>#N/A</v>
      </c>
      <c r="G3236" s="39" t="e">
        <f t="shared" si="6514"/>
        <v>#N/A</v>
      </c>
      <c r="H3236" s="16" t="e">
        <f t="shared" si="6514"/>
        <v>#N/A</v>
      </c>
      <c r="I3236" s="16" t="e">
        <f t="shared" si="6514"/>
        <v>#N/A</v>
      </c>
      <c r="J3236" s="40" t="e">
        <f t="shared" si="6514"/>
        <v>#N/A</v>
      </c>
      <c r="K3236" s="16" t="e">
        <f t="shared" si="6514"/>
        <v>#N/A</v>
      </c>
      <c r="L3236" s="40" t="e">
        <f t="shared" si="6045"/>
        <v>#N/A</v>
      </c>
      <c r="M3236" s="16" t="e">
        <f t="shared" si="6046"/>
        <v>#N/A</v>
      </c>
      <c r="N3236" s="16" t="e">
        <f t="shared" si="6047"/>
        <v>#N/A</v>
      </c>
      <c r="O3236" s="16" t="s">
        <v>74</v>
      </c>
      <c r="P3236" s="16" t="str">
        <f t="shared" si="6"/>
        <v/>
      </c>
      <c r="Q3236" s="41" t="e">
        <f t="shared" si="6048"/>
        <v>#N/A</v>
      </c>
      <c r="R3236" s="44"/>
      <c r="S3236" s="44"/>
      <c r="T3236" s="43"/>
      <c r="U3236" s="43" t="str">
        <f t="shared" si="8"/>
        <v>No</v>
      </c>
      <c r="V3236" s="25"/>
      <c r="W3236" s="25"/>
      <c r="X3236" s="25"/>
      <c r="Y3236" s="25"/>
      <c r="Z3236" s="25"/>
    </row>
    <row r="3237" spans="1:26" ht="15.75" customHeight="1" x14ac:dyDescent="0.25">
      <c r="A3237" s="25">
        <v>3235</v>
      </c>
      <c r="B3237" s="37" t="e">
        <f t="shared" ref="B3237:D3237" si="6515">VLOOKUP($A3237,[10]Mujer!$A$1:$O$279,B$1,0)</f>
        <v>#N/A</v>
      </c>
      <c r="C3237" s="38" t="e">
        <f t="shared" si="6515"/>
        <v>#N/A</v>
      </c>
      <c r="D3237" s="39" t="e">
        <f t="shared" si="6515"/>
        <v>#N/A</v>
      </c>
      <c r="E3237" s="16" t="e">
        <f t="shared" si="1"/>
        <v>#N/A</v>
      </c>
      <c r="F3237" s="16" t="e">
        <f t="shared" ref="F3237:K3237" si="6516">VLOOKUP($A3237,[10]Mujer!$A$1:$O$279,F$1,0)</f>
        <v>#N/A</v>
      </c>
      <c r="G3237" s="39" t="e">
        <f t="shared" si="6516"/>
        <v>#N/A</v>
      </c>
      <c r="H3237" s="16" t="e">
        <f t="shared" si="6516"/>
        <v>#N/A</v>
      </c>
      <c r="I3237" s="16" t="e">
        <f t="shared" si="6516"/>
        <v>#N/A</v>
      </c>
      <c r="J3237" s="40" t="e">
        <f t="shared" si="6516"/>
        <v>#N/A</v>
      </c>
      <c r="K3237" s="16" t="e">
        <f t="shared" si="6516"/>
        <v>#N/A</v>
      </c>
      <c r="L3237" s="40" t="e">
        <f t="shared" si="6045"/>
        <v>#N/A</v>
      </c>
      <c r="M3237" s="16" t="e">
        <f t="shared" si="6046"/>
        <v>#N/A</v>
      </c>
      <c r="N3237" s="16" t="e">
        <f t="shared" si="6047"/>
        <v>#N/A</v>
      </c>
      <c r="O3237" s="16" t="s">
        <v>74</v>
      </c>
      <c r="P3237" s="16" t="str">
        <f t="shared" si="6"/>
        <v/>
      </c>
      <c r="Q3237" s="41" t="e">
        <f t="shared" si="6048"/>
        <v>#N/A</v>
      </c>
      <c r="R3237" s="44"/>
      <c r="S3237" s="44"/>
      <c r="T3237" s="43"/>
      <c r="U3237" s="43" t="str">
        <f t="shared" si="8"/>
        <v>No</v>
      </c>
      <c r="V3237" s="25"/>
      <c r="W3237" s="25"/>
      <c r="X3237" s="25"/>
      <c r="Y3237" s="25"/>
      <c r="Z3237" s="25"/>
    </row>
    <row r="3238" spans="1:26" ht="15.75" customHeight="1" x14ac:dyDescent="0.25">
      <c r="A3238" s="25">
        <v>3236</v>
      </c>
      <c r="B3238" s="37" t="e">
        <f t="shared" ref="B3238:D3238" si="6517">VLOOKUP($A3238,[10]Mujer!$A$1:$O$279,B$1,0)</f>
        <v>#N/A</v>
      </c>
      <c r="C3238" s="38" t="e">
        <f t="shared" si="6517"/>
        <v>#N/A</v>
      </c>
      <c r="D3238" s="39" t="e">
        <f t="shared" si="6517"/>
        <v>#N/A</v>
      </c>
      <c r="E3238" s="16" t="e">
        <f t="shared" si="1"/>
        <v>#N/A</v>
      </c>
      <c r="F3238" s="16" t="e">
        <f t="shared" ref="F3238:K3238" si="6518">VLOOKUP($A3238,[10]Mujer!$A$1:$O$279,F$1,0)</f>
        <v>#N/A</v>
      </c>
      <c r="G3238" s="39" t="e">
        <f t="shared" si="6518"/>
        <v>#N/A</v>
      </c>
      <c r="H3238" s="16" t="e">
        <f t="shared" si="6518"/>
        <v>#N/A</v>
      </c>
      <c r="I3238" s="16" t="e">
        <f t="shared" si="6518"/>
        <v>#N/A</v>
      </c>
      <c r="J3238" s="40" t="e">
        <f t="shared" si="6518"/>
        <v>#N/A</v>
      </c>
      <c r="K3238" s="16" t="e">
        <f t="shared" si="6518"/>
        <v>#N/A</v>
      </c>
      <c r="L3238" s="40" t="e">
        <f t="shared" si="6045"/>
        <v>#N/A</v>
      </c>
      <c r="M3238" s="16" t="e">
        <f t="shared" si="6046"/>
        <v>#N/A</v>
      </c>
      <c r="N3238" s="16" t="e">
        <f t="shared" si="6047"/>
        <v>#N/A</v>
      </c>
      <c r="O3238" s="16" t="s">
        <v>74</v>
      </c>
      <c r="P3238" s="16" t="str">
        <f t="shared" si="6"/>
        <v/>
      </c>
      <c r="Q3238" s="41" t="e">
        <f t="shared" si="6048"/>
        <v>#N/A</v>
      </c>
      <c r="R3238" s="44"/>
      <c r="S3238" s="44"/>
      <c r="T3238" s="43"/>
      <c r="U3238" s="43" t="str">
        <f t="shared" si="8"/>
        <v>No</v>
      </c>
      <c r="V3238" s="25"/>
      <c r="W3238" s="25"/>
      <c r="X3238" s="25"/>
      <c r="Y3238" s="25"/>
      <c r="Z3238" s="25"/>
    </row>
    <row r="3239" spans="1:26" ht="15.75" customHeight="1" x14ac:dyDescent="0.25">
      <c r="A3239" s="25">
        <v>3237</v>
      </c>
      <c r="B3239" s="37" t="e">
        <f t="shared" ref="B3239:D3239" si="6519">VLOOKUP($A3239,[10]Mujer!$A$1:$O$279,B$1,0)</f>
        <v>#N/A</v>
      </c>
      <c r="C3239" s="38" t="e">
        <f t="shared" si="6519"/>
        <v>#N/A</v>
      </c>
      <c r="D3239" s="39" t="e">
        <f t="shared" si="6519"/>
        <v>#N/A</v>
      </c>
      <c r="E3239" s="16" t="e">
        <f t="shared" si="1"/>
        <v>#N/A</v>
      </c>
      <c r="F3239" s="16" t="e">
        <f t="shared" ref="F3239:K3239" si="6520">VLOOKUP($A3239,[10]Mujer!$A$1:$O$279,F$1,0)</f>
        <v>#N/A</v>
      </c>
      <c r="G3239" s="39" t="e">
        <f t="shared" si="6520"/>
        <v>#N/A</v>
      </c>
      <c r="H3239" s="16" t="e">
        <f t="shared" si="6520"/>
        <v>#N/A</v>
      </c>
      <c r="I3239" s="16" t="e">
        <f t="shared" si="6520"/>
        <v>#N/A</v>
      </c>
      <c r="J3239" s="40" t="e">
        <f t="shared" si="6520"/>
        <v>#N/A</v>
      </c>
      <c r="K3239" s="16" t="e">
        <f t="shared" si="6520"/>
        <v>#N/A</v>
      </c>
      <c r="L3239" s="40" t="e">
        <f t="shared" si="6045"/>
        <v>#N/A</v>
      </c>
      <c r="M3239" s="16" t="e">
        <f t="shared" si="6046"/>
        <v>#N/A</v>
      </c>
      <c r="N3239" s="16" t="e">
        <f t="shared" si="6047"/>
        <v>#N/A</v>
      </c>
      <c r="O3239" s="16" t="s">
        <v>74</v>
      </c>
      <c r="P3239" s="16" t="str">
        <f t="shared" si="6"/>
        <v/>
      </c>
      <c r="Q3239" s="41" t="e">
        <f t="shared" si="6048"/>
        <v>#N/A</v>
      </c>
      <c r="R3239" s="44"/>
      <c r="S3239" s="44"/>
      <c r="T3239" s="43"/>
      <c r="U3239" s="43" t="str">
        <f t="shared" si="8"/>
        <v>No</v>
      </c>
      <c r="V3239" s="25"/>
      <c r="W3239" s="25"/>
      <c r="X3239" s="25"/>
      <c r="Y3239" s="25"/>
      <c r="Z3239" s="25"/>
    </row>
    <row r="3240" spans="1:26" ht="15.75" customHeight="1" x14ac:dyDescent="0.25">
      <c r="A3240" s="25">
        <v>3238</v>
      </c>
      <c r="B3240" s="37" t="e">
        <f t="shared" ref="B3240:D3240" si="6521">VLOOKUP($A3240,[10]Mujer!$A$1:$O$279,B$1,0)</f>
        <v>#N/A</v>
      </c>
      <c r="C3240" s="38" t="e">
        <f t="shared" si="6521"/>
        <v>#N/A</v>
      </c>
      <c r="D3240" s="39" t="e">
        <f t="shared" si="6521"/>
        <v>#N/A</v>
      </c>
      <c r="E3240" s="16" t="e">
        <f t="shared" si="1"/>
        <v>#N/A</v>
      </c>
      <c r="F3240" s="16" t="e">
        <f t="shared" ref="F3240:K3240" si="6522">VLOOKUP($A3240,[10]Mujer!$A$1:$O$279,F$1,0)</f>
        <v>#N/A</v>
      </c>
      <c r="G3240" s="39" t="e">
        <f t="shared" si="6522"/>
        <v>#N/A</v>
      </c>
      <c r="H3240" s="16" t="e">
        <f t="shared" si="6522"/>
        <v>#N/A</v>
      </c>
      <c r="I3240" s="16" t="e">
        <f t="shared" si="6522"/>
        <v>#N/A</v>
      </c>
      <c r="J3240" s="40" t="e">
        <f t="shared" si="6522"/>
        <v>#N/A</v>
      </c>
      <c r="K3240" s="16" t="e">
        <f t="shared" si="6522"/>
        <v>#N/A</v>
      </c>
      <c r="L3240" s="40" t="e">
        <f t="shared" si="6045"/>
        <v>#N/A</v>
      </c>
      <c r="M3240" s="16" t="e">
        <f t="shared" si="6046"/>
        <v>#N/A</v>
      </c>
      <c r="N3240" s="16" t="e">
        <f t="shared" si="6047"/>
        <v>#N/A</v>
      </c>
      <c r="O3240" s="16" t="s">
        <v>74</v>
      </c>
      <c r="P3240" s="16" t="str">
        <f t="shared" si="6"/>
        <v/>
      </c>
      <c r="Q3240" s="41" t="e">
        <f t="shared" si="6048"/>
        <v>#N/A</v>
      </c>
      <c r="R3240" s="44"/>
      <c r="S3240" s="44"/>
      <c r="T3240" s="43"/>
      <c r="U3240" s="43" t="str">
        <f t="shared" si="8"/>
        <v>No</v>
      </c>
      <c r="V3240" s="25"/>
      <c r="W3240" s="25"/>
      <c r="X3240" s="25"/>
      <c r="Y3240" s="25"/>
      <c r="Z3240" s="25"/>
    </row>
    <row r="3241" spans="1:26" ht="15.75" customHeight="1" x14ac:dyDescent="0.25">
      <c r="A3241" s="25">
        <v>3239</v>
      </c>
      <c r="B3241" s="37" t="e">
        <f t="shared" ref="B3241:D3241" si="6523">VLOOKUP($A3241,[10]Mujer!$A$1:$O$279,B$1,0)</f>
        <v>#N/A</v>
      </c>
      <c r="C3241" s="38" t="e">
        <f t="shared" si="6523"/>
        <v>#N/A</v>
      </c>
      <c r="D3241" s="39" t="e">
        <f t="shared" si="6523"/>
        <v>#N/A</v>
      </c>
      <c r="E3241" s="16" t="e">
        <f t="shared" si="1"/>
        <v>#N/A</v>
      </c>
      <c r="F3241" s="16" t="e">
        <f t="shared" ref="F3241:K3241" si="6524">VLOOKUP($A3241,[10]Mujer!$A$1:$O$279,F$1,0)</f>
        <v>#N/A</v>
      </c>
      <c r="G3241" s="39" t="e">
        <f t="shared" si="6524"/>
        <v>#N/A</v>
      </c>
      <c r="H3241" s="16" t="e">
        <f t="shared" si="6524"/>
        <v>#N/A</v>
      </c>
      <c r="I3241" s="16" t="e">
        <f t="shared" si="6524"/>
        <v>#N/A</v>
      </c>
      <c r="J3241" s="40" t="e">
        <f t="shared" si="6524"/>
        <v>#N/A</v>
      </c>
      <c r="K3241" s="16" t="e">
        <f t="shared" si="6524"/>
        <v>#N/A</v>
      </c>
      <c r="L3241" s="40" t="e">
        <f t="shared" si="6045"/>
        <v>#N/A</v>
      </c>
      <c r="M3241" s="16" t="e">
        <f t="shared" si="6046"/>
        <v>#N/A</v>
      </c>
      <c r="N3241" s="16" t="e">
        <f t="shared" si="6047"/>
        <v>#N/A</v>
      </c>
      <c r="O3241" s="16" t="s">
        <v>74</v>
      </c>
      <c r="P3241" s="16" t="str">
        <f t="shared" si="6"/>
        <v/>
      </c>
      <c r="Q3241" s="41" t="e">
        <f t="shared" si="6048"/>
        <v>#N/A</v>
      </c>
      <c r="R3241" s="44"/>
      <c r="S3241" s="44"/>
      <c r="T3241" s="43"/>
      <c r="U3241" s="43" t="str">
        <f t="shared" si="8"/>
        <v>No</v>
      </c>
      <c r="V3241" s="25"/>
      <c r="W3241" s="25"/>
      <c r="X3241" s="25"/>
      <c r="Y3241" s="25"/>
      <c r="Z3241" s="25"/>
    </row>
    <row r="3242" spans="1:26" ht="15.75" customHeight="1" x14ac:dyDescent="0.25">
      <c r="A3242" s="25">
        <v>3240</v>
      </c>
      <c r="B3242" s="37" t="e">
        <f t="shared" ref="B3242:D3242" si="6525">VLOOKUP($A3242,[10]Mujer!$A$1:$O$279,B$1,0)</f>
        <v>#N/A</v>
      </c>
      <c r="C3242" s="38" t="e">
        <f t="shared" si="6525"/>
        <v>#N/A</v>
      </c>
      <c r="D3242" s="39" t="e">
        <f t="shared" si="6525"/>
        <v>#N/A</v>
      </c>
      <c r="E3242" s="16" t="e">
        <f t="shared" si="1"/>
        <v>#N/A</v>
      </c>
      <c r="F3242" s="16" t="e">
        <f t="shared" ref="F3242:K3242" si="6526">VLOOKUP($A3242,[10]Mujer!$A$1:$O$279,F$1,0)</f>
        <v>#N/A</v>
      </c>
      <c r="G3242" s="39" t="e">
        <f t="shared" si="6526"/>
        <v>#N/A</v>
      </c>
      <c r="H3242" s="16" t="e">
        <f t="shared" si="6526"/>
        <v>#N/A</v>
      </c>
      <c r="I3242" s="16" t="e">
        <f t="shared" si="6526"/>
        <v>#N/A</v>
      </c>
      <c r="J3242" s="40" t="e">
        <f t="shared" si="6526"/>
        <v>#N/A</v>
      </c>
      <c r="K3242" s="16" t="e">
        <f t="shared" si="6526"/>
        <v>#N/A</v>
      </c>
      <c r="L3242" s="40" t="e">
        <f t="shared" si="6045"/>
        <v>#N/A</v>
      </c>
      <c r="M3242" s="16" t="e">
        <f t="shared" si="6046"/>
        <v>#N/A</v>
      </c>
      <c r="N3242" s="16" t="e">
        <f t="shared" si="6047"/>
        <v>#N/A</v>
      </c>
      <c r="O3242" s="16" t="s">
        <v>74</v>
      </c>
      <c r="P3242" s="16" t="str">
        <f t="shared" si="6"/>
        <v/>
      </c>
      <c r="Q3242" s="41" t="e">
        <f t="shared" si="6048"/>
        <v>#N/A</v>
      </c>
      <c r="R3242" s="44"/>
      <c r="S3242" s="44"/>
      <c r="T3242" s="43"/>
      <c r="U3242" s="43" t="str">
        <f t="shared" si="8"/>
        <v>No</v>
      </c>
      <c r="V3242" s="25"/>
      <c r="W3242" s="25"/>
      <c r="X3242" s="25"/>
      <c r="Y3242" s="25"/>
      <c r="Z3242" s="25"/>
    </row>
    <row r="3243" spans="1:26" ht="15.75" customHeight="1" x14ac:dyDescent="0.25">
      <c r="A3243" s="25">
        <v>3241</v>
      </c>
      <c r="B3243" s="37" t="e">
        <f t="shared" ref="B3243:D3243" si="6527">VLOOKUP($A3243,[10]Mujer!$A$1:$O$279,B$1,0)</f>
        <v>#N/A</v>
      </c>
      <c r="C3243" s="38" t="e">
        <f t="shared" si="6527"/>
        <v>#N/A</v>
      </c>
      <c r="D3243" s="39" t="e">
        <f t="shared" si="6527"/>
        <v>#N/A</v>
      </c>
      <c r="E3243" s="16" t="e">
        <f t="shared" si="1"/>
        <v>#N/A</v>
      </c>
      <c r="F3243" s="16" t="e">
        <f t="shared" ref="F3243:K3243" si="6528">VLOOKUP($A3243,[10]Mujer!$A$1:$O$279,F$1,0)</f>
        <v>#N/A</v>
      </c>
      <c r="G3243" s="39" t="e">
        <f t="shared" si="6528"/>
        <v>#N/A</v>
      </c>
      <c r="H3243" s="16" t="e">
        <f t="shared" si="6528"/>
        <v>#N/A</v>
      </c>
      <c r="I3243" s="16" t="e">
        <f t="shared" si="6528"/>
        <v>#N/A</v>
      </c>
      <c r="J3243" s="40" t="e">
        <f t="shared" si="6528"/>
        <v>#N/A</v>
      </c>
      <c r="K3243" s="16" t="e">
        <f t="shared" si="6528"/>
        <v>#N/A</v>
      </c>
      <c r="L3243" s="40" t="e">
        <f t="shared" si="6045"/>
        <v>#N/A</v>
      </c>
      <c r="M3243" s="16" t="e">
        <f t="shared" si="6046"/>
        <v>#N/A</v>
      </c>
      <c r="N3243" s="16" t="e">
        <f t="shared" si="6047"/>
        <v>#N/A</v>
      </c>
      <c r="O3243" s="16" t="s">
        <v>74</v>
      </c>
      <c r="P3243" s="16" t="str">
        <f t="shared" si="6"/>
        <v/>
      </c>
      <c r="Q3243" s="41" t="e">
        <f t="shared" si="6048"/>
        <v>#N/A</v>
      </c>
      <c r="R3243" s="44"/>
      <c r="S3243" s="44"/>
      <c r="T3243" s="43"/>
      <c r="U3243" s="43" t="str">
        <f t="shared" si="8"/>
        <v>No</v>
      </c>
      <c r="V3243" s="25"/>
      <c r="W3243" s="25"/>
      <c r="X3243" s="25"/>
      <c r="Y3243" s="25"/>
      <c r="Z3243" s="25"/>
    </row>
    <row r="3244" spans="1:26" ht="15.75" customHeight="1" x14ac:dyDescent="0.25">
      <c r="A3244" s="25">
        <v>3242</v>
      </c>
      <c r="B3244" s="37" t="e">
        <f t="shared" ref="B3244:D3244" si="6529">VLOOKUP($A3244,[10]Mujer!$A$1:$O$279,B$1,0)</f>
        <v>#N/A</v>
      </c>
      <c r="C3244" s="38" t="e">
        <f t="shared" si="6529"/>
        <v>#N/A</v>
      </c>
      <c r="D3244" s="39" t="e">
        <f t="shared" si="6529"/>
        <v>#N/A</v>
      </c>
      <c r="E3244" s="16" t="e">
        <f t="shared" si="1"/>
        <v>#N/A</v>
      </c>
      <c r="F3244" s="16" t="e">
        <f t="shared" ref="F3244:K3244" si="6530">VLOOKUP($A3244,[10]Mujer!$A$1:$O$279,F$1,0)</f>
        <v>#N/A</v>
      </c>
      <c r="G3244" s="39" t="e">
        <f t="shared" si="6530"/>
        <v>#N/A</v>
      </c>
      <c r="H3244" s="16" t="e">
        <f t="shared" si="6530"/>
        <v>#N/A</v>
      </c>
      <c r="I3244" s="16" t="e">
        <f t="shared" si="6530"/>
        <v>#N/A</v>
      </c>
      <c r="J3244" s="40" t="e">
        <f t="shared" si="6530"/>
        <v>#N/A</v>
      </c>
      <c r="K3244" s="16" t="e">
        <f t="shared" si="6530"/>
        <v>#N/A</v>
      </c>
      <c r="L3244" s="40" t="e">
        <f t="shared" si="6045"/>
        <v>#N/A</v>
      </c>
      <c r="M3244" s="16" t="e">
        <f t="shared" si="6046"/>
        <v>#N/A</v>
      </c>
      <c r="N3244" s="16" t="e">
        <f t="shared" si="6047"/>
        <v>#N/A</v>
      </c>
      <c r="O3244" s="16" t="s">
        <v>74</v>
      </c>
      <c r="P3244" s="16" t="str">
        <f t="shared" si="6"/>
        <v/>
      </c>
      <c r="Q3244" s="41" t="e">
        <f t="shared" si="6048"/>
        <v>#N/A</v>
      </c>
      <c r="R3244" s="44"/>
      <c r="S3244" s="44"/>
      <c r="T3244" s="43"/>
      <c r="U3244" s="43" t="str">
        <f t="shared" si="8"/>
        <v>No</v>
      </c>
      <c r="V3244" s="25"/>
      <c r="W3244" s="25"/>
      <c r="X3244" s="25"/>
      <c r="Y3244" s="25"/>
      <c r="Z3244" s="25"/>
    </row>
    <row r="3245" spans="1:26" ht="15.75" customHeight="1" x14ac:dyDescent="0.25">
      <c r="A3245" s="25">
        <v>3243</v>
      </c>
      <c r="B3245" s="37" t="e">
        <f t="shared" ref="B3245:D3245" si="6531">VLOOKUP($A3245,[10]Mujer!$A$1:$O$279,B$1,0)</f>
        <v>#N/A</v>
      </c>
      <c r="C3245" s="38" t="e">
        <f t="shared" si="6531"/>
        <v>#N/A</v>
      </c>
      <c r="D3245" s="39" t="e">
        <f t="shared" si="6531"/>
        <v>#N/A</v>
      </c>
      <c r="E3245" s="16" t="e">
        <f t="shared" si="1"/>
        <v>#N/A</v>
      </c>
      <c r="F3245" s="16" t="e">
        <f t="shared" ref="F3245:K3245" si="6532">VLOOKUP($A3245,[10]Mujer!$A$1:$O$279,F$1,0)</f>
        <v>#N/A</v>
      </c>
      <c r="G3245" s="39" t="e">
        <f t="shared" si="6532"/>
        <v>#N/A</v>
      </c>
      <c r="H3245" s="16" t="e">
        <f t="shared" si="6532"/>
        <v>#N/A</v>
      </c>
      <c r="I3245" s="16" t="e">
        <f t="shared" si="6532"/>
        <v>#N/A</v>
      </c>
      <c r="J3245" s="40" t="e">
        <f t="shared" si="6532"/>
        <v>#N/A</v>
      </c>
      <c r="K3245" s="16" t="e">
        <f t="shared" si="6532"/>
        <v>#N/A</v>
      </c>
      <c r="L3245" s="40" t="e">
        <f t="shared" si="6045"/>
        <v>#N/A</v>
      </c>
      <c r="M3245" s="16" t="e">
        <f t="shared" si="6046"/>
        <v>#N/A</v>
      </c>
      <c r="N3245" s="16" t="e">
        <f t="shared" si="6047"/>
        <v>#N/A</v>
      </c>
      <c r="O3245" s="16" t="s">
        <v>74</v>
      </c>
      <c r="P3245" s="16" t="str">
        <f t="shared" si="6"/>
        <v/>
      </c>
      <c r="Q3245" s="41" t="e">
        <f t="shared" si="6048"/>
        <v>#N/A</v>
      </c>
      <c r="R3245" s="44"/>
      <c r="S3245" s="44"/>
      <c r="T3245" s="43"/>
      <c r="U3245" s="43" t="str">
        <f t="shared" si="8"/>
        <v>No</v>
      </c>
      <c r="V3245" s="25"/>
      <c r="W3245" s="25"/>
      <c r="X3245" s="25"/>
      <c r="Y3245" s="25"/>
      <c r="Z3245" s="25"/>
    </row>
    <row r="3246" spans="1:26" ht="15.75" customHeight="1" x14ac:dyDescent="0.25">
      <c r="A3246" s="25">
        <v>3244</v>
      </c>
      <c r="B3246" s="37" t="e">
        <f t="shared" ref="B3246:D3246" si="6533">VLOOKUP($A3246,[10]Mujer!$A$1:$O$279,B$1,0)</f>
        <v>#N/A</v>
      </c>
      <c r="C3246" s="38" t="e">
        <f t="shared" si="6533"/>
        <v>#N/A</v>
      </c>
      <c r="D3246" s="39" t="e">
        <f t="shared" si="6533"/>
        <v>#N/A</v>
      </c>
      <c r="E3246" s="16" t="e">
        <f t="shared" si="1"/>
        <v>#N/A</v>
      </c>
      <c r="F3246" s="16" t="e">
        <f t="shared" ref="F3246:K3246" si="6534">VLOOKUP($A3246,[10]Mujer!$A$1:$O$279,F$1,0)</f>
        <v>#N/A</v>
      </c>
      <c r="G3246" s="39" t="e">
        <f t="shared" si="6534"/>
        <v>#N/A</v>
      </c>
      <c r="H3246" s="16" t="e">
        <f t="shared" si="6534"/>
        <v>#N/A</v>
      </c>
      <c r="I3246" s="16" t="e">
        <f t="shared" si="6534"/>
        <v>#N/A</v>
      </c>
      <c r="J3246" s="40" t="e">
        <f t="shared" si="6534"/>
        <v>#N/A</v>
      </c>
      <c r="K3246" s="16" t="e">
        <f t="shared" si="6534"/>
        <v>#N/A</v>
      </c>
      <c r="L3246" s="40" t="e">
        <f t="shared" si="6045"/>
        <v>#N/A</v>
      </c>
      <c r="M3246" s="16" t="e">
        <f t="shared" si="6046"/>
        <v>#N/A</v>
      </c>
      <c r="N3246" s="16" t="e">
        <f t="shared" si="6047"/>
        <v>#N/A</v>
      </c>
      <c r="O3246" s="16" t="s">
        <v>74</v>
      </c>
      <c r="P3246" s="16" t="str">
        <f t="shared" si="6"/>
        <v/>
      </c>
      <c r="Q3246" s="41" t="e">
        <f t="shared" si="6048"/>
        <v>#N/A</v>
      </c>
      <c r="R3246" s="44"/>
      <c r="S3246" s="44"/>
      <c r="T3246" s="43"/>
      <c r="U3246" s="43" t="str">
        <f t="shared" si="8"/>
        <v>No</v>
      </c>
      <c r="V3246" s="25"/>
      <c r="W3246" s="25"/>
      <c r="X3246" s="25"/>
      <c r="Y3246" s="25"/>
      <c r="Z3246" s="25"/>
    </row>
    <row r="3247" spans="1:26" ht="15.75" customHeight="1" x14ac:dyDescent="0.25">
      <c r="A3247" s="25">
        <v>3245</v>
      </c>
      <c r="B3247" s="37" t="e">
        <f t="shared" ref="B3247:D3247" si="6535">VLOOKUP($A3247,[10]Mujer!$A$1:$O$279,B$1,0)</f>
        <v>#N/A</v>
      </c>
      <c r="C3247" s="38" t="e">
        <f t="shared" si="6535"/>
        <v>#N/A</v>
      </c>
      <c r="D3247" s="39" t="e">
        <f t="shared" si="6535"/>
        <v>#N/A</v>
      </c>
      <c r="E3247" s="16" t="e">
        <f t="shared" si="1"/>
        <v>#N/A</v>
      </c>
      <c r="F3247" s="16" t="e">
        <f t="shared" ref="F3247:K3247" si="6536">VLOOKUP($A3247,[10]Mujer!$A$1:$O$279,F$1,0)</f>
        <v>#N/A</v>
      </c>
      <c r="G3247" s="39" t="e">
        <f t="shared" si="6536"/>
        <v>#N/A</v>
      </c>
      <c r="H3247" s="16" t="e">
        <f t="shared" si="6536"/>
        <v>#N/A</v>
      </c>
      <c r="I3247" s="16" t="e">
        <f t="shared" si="6536"/>
        <v>#N/A</v>
      </c>
      <c r="J3247" s="40" t="e">
        <f t="shared" si="6536"/>
        <v>#N/A</v>
      </c>
      <c r="K3247" s="16" t="e">
        <f t="shared" si="6536"/>
        <v>#N/A</v>
      </c>
      <c r="L3247" s="40" t="e">
        <f t="shared" si="6045"/>
        <v>#N/A</v>
      </c>
      <c r="M3247" s="16" t="e">
        <f t="shared" si="6046"/>
        <v>#N/A</v>
      </c>
      <c r="N3247" s="16" t="e">
        <f t="shared" si="6047"/>
        <v>#N/A</v>
      </c>
      <c r="O3247" s="16" t="s">
        <v>74</v>
      </c>
      <c r="P3247" s="16" t="str">
        <f t="shared" si="6"/>
        <v/>
      </c>
      <c r="Q3247" s="41" t="e">
        <f t="shared" si="6048"/>
        <v>#N/A</v>
      </c>
      <c r="R3247" s="44"/>
      <c r="S3247" s="44"/>
      <c r="T3247" s="43"/>
      <c r="U3247" s="43" t="str">
        <f t="shared" si="8"/>
        <v>No</v>
      </c>
      <c r="V3247" s="25"/>
      <c r="W3247" s="25"/>
      <c r="X3247" s="25"/>
      <c r="Y3247" s="25"/>
      <c r="Z3247" s="25"/>
    </row>
    <row r="3248" spans="1:26" ht="15.75" customHeight="1" x14ac:dyDescent="0.25">
      <c r="A3248" s="25">
        <v>3246</v>
      </c>
      <c r="B3248" s="37" t="e">
        <f t="shared" ref="B3248:D3248" si="6537">VLOOKUP($A3248,[10]Mujer!$A$1:$O$279,B$1,0)</f>
        <v>#N/A</v>
      </c>
      <c r="C3248" s="38" t="e">
        <f t="shared" si="6537"/>
        <v>#N/A</v>
      </c>
      <c r="D3248" s="39" t="e">
        <f t="shared" si="6537"/>
        <v>#N/A</v>
      </c>
      <c r="E3248" s="16" t="e">
        <f t="shared" si="1"/>
        <v>#N/A</v>
      </c>
      <c r="F3248" s="16" t="e">
        <f t="shared" ref="F3248:K3248" si="6538">VLOOKUP($A3248,[10]Mujer!$A$1:$O$279,F$1,0)</f>
        <v>#N/A</v>
      </c>
      <c r="G3248" s="39" t="e">
        <f t="shared" si="6538"/>
        <v>#N/A</v>
      </c>
      <c r="H3248" s="16" t="e">
        <f t="shared" si="6538"/>
        <v>#N/A</v>
      </c>
      <c r="I3248" s="16" t="e">
        <f t="shared" si="6538"/>
        <v>#N/A</v>
      </c>
      <c r="J3248" s="40" t="e">
        <f t="shared" si="6538"/>
        <v>#N/A</v>
      </c>
      <c r="K3248" s="16" t="e">
        <f t="shared" si="6538"/>
        <v>#N/A</v>
      </c>
      <c r="L3248" s="40" t="e">
        <f t="shared" si="6045"/>
        <v>#N/A</v>
      </c>
      <c r="M3248" s="16" t="e">
        <f t="shared" si="6046"/>
        <v>#N/A</v>
      </c>
      <c r="N3248" s="16" t="e">
        <f t="shared" si="6047"/>
        <v>#N/A</v>
      </c>
      <c r="O3248" s="16" t="s">
        <v>74</v>
      </c>
      <c r="P3248" s="16" t="str">
        <f t="shared" si="6"/>
        <v/>
      </c>
      <c r="Q3248" s="41" t="e">
        <f t="shared" si="6048"/>
        <v>#N/A</v>
      </c>
      <c r="R3248" s="44"/>
      <c r="S3248" s="44"/>
      <c r="T3248" s="43"/>
      <c r="U3248" s="43" t="str">
        <f t="shared" si="8"/>
        <v>No</v>
      </c>
      <c r="V3248" s="25"/>
      <c r="W3248" s="25"/>
      <c r="X3248" s="25"/>
      <c r="Y3248" s="25"/>
      <c r="Z3248" s="25"/>
    </row>
    <row r="3249" spans="1:26" ht="15.75" customHeight="1" x14ac:dyDescent="0.25">
      <c r="A3249" s="25">
        <v>3247</v>
      </c>
      <c r="B3249" s="37" t="e">
        <f t="shared" ref="B3249:D3249" si="6539">VLOOKUP($A3249,[10]Mujer!$A$1:$O$279,B$1,0)</f>
        <v>#N/A</v>
      </c>
      <c r="C3249" s="38" t="e">
        <f t="shared" si="6539"/>
        <v>#N/A</v>
      </c>
      <c r="D3249" s="39" t="e">
        <f t="shared" si="6539"/>
        <v>#N/A</v>
      </c>
      <c r="E3249" s="16" t="e">
        <f t="shared" si="1"/>
        <v>#N/A</v>
      </c>
      <c r="F3249" s="16" t="e">
        <f t="shared" ref="F3249:K3249" si="6540">VLOOKUP($A3249,[10]Mujer!$A$1:$O$279,F$1,0)</f>
        <v>#N/A</v>
      </c>
      <c r="G3249" s="39" t="e">
        <f t="shared" si="6540"/>
        <v>#N/A</v>
      </c>
      <c r="H3249" s="16" t="e">
        <f t="shared" si="6540"/>
        <v>#N/A</v>
      </c>
      <c r="I3249" s="16" t="e">
        <f t="shared" si="6540"/>
        <v>#N/A</v>
      </c>
      <c r="J3249" s="40" t="e">
        <f t="shared" si="6540"/>
        <v>#N/A</v>
      </c>
      <c r="K3249" s="16" t="e">
        <f t="shared" si="6540"/>
        <v>#N/A</v>
      </c>
      <c r="L3249" s="40" t="e">
        <f t="shared" si="6045"/>
        <v>#N/A</v>
      </c>
      <c r="M3249" s="16" t="e">
        <f t="shared" si="6046"/>
        <v>#N/A</v>
      </c>
      <c r="N3249" s="16" t="e">
        <f t="shared" si="6047"/>
        <v>#N/A</v>
      </c>
      <c r="O3249" s="16" t="s">
        <v>74</v>
      </c>
      <c r="P3249" s="16" t="str">
        <f t="shared" si="6"/>
        <v/>
      </c>
      <c r="Q3249" s="41" t="e">
        <f t="shared" si="6048"/>
        <v>#N/A</v>
      </c>
      <c r="R3249" s="44"/>
      <c r="S3249" s="44"/>
      <c r="T3249" s="43"/>
      <c r="U3249" s="43" t="str">
        <f t="shared" si="8"/>
        <v>No</v>
      </c>
      <c r="V3249" s="25"/>
      <c r="W3249" s="25"/>
      <c r="X3249" s="25"/>
      <c r="Y3249" s="25"/>
      <c r="Z3249" s="25"/>
    </row>
    <row r="3250" spans="1:26" ht="15.75" customHeight="1" x14ac:dyDescent="0.25">
      <c r="A3250" s="25">
        <v>3248</v>
      </c>
      <c r="B3250" s="37" t="e">
        <f t="shared" ref="B3250:D3250" si="6541">VLOOKUP($A3250,[10]Mujer!$A$1:$O$279,B$1,0)</f>
        <v>#N/A</v>
      </c>
      <c r="C3250" s="38" t="e">
        <f t="shared" si="6541"/>
        <v>#N/A</v>
      </c>
      <c r="D3250" s="39" t="e">
        <f t="shared" si="6541"/>
        <v>#N/A</v>
      </c>
      <c r="E3250" s="16" t="e">
        <f t="shared" si="1"/>
        <v>#N/A</v>
      </c>
      <c r="F3250" s="16" t="e">
        <f t="shared" ref="F3250:K3250" si="6542">VLOOKUP($A3250,[10]Mujer!$A$1:$O$279,F$1,0)</f>
        <v>#N/A</v>
      </c>
      <c r="G3250" s="39" t="e">
        <f t="shared" si="6542"/>
        <v>#N/A</v>
      </c>
      <c r="H3250" s="16" t="e">
        <f t="shared" si="6542"/>
        <v>#N/A</v>
      </c>
      <c r="I3250" s="16" t="e">
        <f t="shared" si="6542"/>
        <v>#N/A</v>
      </c>
      <c r="J3250" s="40" t="e">
        <f t="shared" si="6542"/>
        <v>#N/A</v>
      </c>
      <c r="K3250" s="16" t="e">
        <f t="shared" si="6542"/>
        <v>#N/A</v>
      </c>
      <c r="L3250" s="40" t="e">
        <f t="shared" si="6045"/>
        <v>#N/A</v>
      </c>
      <c r="M3250" s="16" t="e">
        <f t="shared" si="6046"/>
        <v>#N/A</v>
      </c>
      <c r="N3250" s="16" t="e">
        <f t="shared" si="6047"/>
        <v>#N/A</v>
      </c>
      <c r="O3250" s="16" t="s">
        <v>74</v>
      </c>
      <c r="P3250" s="16" t="str">
        <f t="shared" si="6"/>
        <v/>
      </c>
      <c r="Q3250" s="41" t="e">
        <f t="shared" si="6048"/>
        <v>#N/A</v>
      </c>
      <c r="R3250" s="44"/>
      <c r="S3250" s="44"/>
      <c r="T3250" s="43"/>
      <c r="U3250" s="43" t="str">
        <f t="shared" si="8"/>
        <v>No</v>
      </c>
      <c r="V3250" s="25"/>
      <c r="W3250" s="25"/>
      <c r="X3250" s="25"/>
      <c r="Y3250" s="25"/>
      <c r="Z3250" s="25"/>
    </row>
    <row r="3251" spans="1:26" ht="15.75" customHeight="1" x14ac:dyDescent="0.25">
      <c r="A3251" s="25">
        <v>3249</v>
      </c>
      <c r="B3251" s="37" t="e">
        <f t="shared" ref="B3251:D3251" si="6543">VLOOKUP($A3251,[10]Mujer!$A$1:$O$279,B$1,0)</f>
        <v>#N/A</v>
      </c>
      <c r="C3251" s="38" t="e">
        <f t="shared" si="6543"/>
        <v>#N/A</v>
      </c>
      <c r="D3251" s="39" t="e">
        <f t="shared" si="6543"/>
        <v>#N/A</v>
      </c>
      <c r="E3251" s="16" t="e">
        <f t="shared" si="1"/>
        <v>#N/A</v>
      </c>
      <c r="F3251" s="16" t="e">
        <f t="shared" ref="F3251:K3251" si="6544">VLOOKUP($A3251,[10]Mujer!$A$1:$O$279,F$1,0)</f>
        <v>#N/A</v>
      </c>
      <c r="G3251" s="39" t="e">
        <f t="shared" si="6544"/>
        <v>#N/A</v>
      </c>
      <c r="H3251" s="16" t="e">
        <f t="shared" si="6544"/>
        <v>#N/A</v>
      </c>
      <c r="I3251" s="16" t="e">
        <f t="shared" si="6544"/>
        <v>#N/A</v>
      </c>
      <c r="J3251" s="40" t="e">
        <f t="shared" si="6544"/>
        <v>#N/A</v>
      </c>
      <c r="K3251" s="16" t="e">
        <f t="shared" si="6544"/>
        <v>#N/A</v>
      </c>
      <c r="L3251" s="40" t="e">
        <f t="shared" si="6045"/>
        <v>#N/A</v>
      </c>
      <c r="M3251" s="16" t="e">
        <f t="shared" si="6046"/>
        <v>#N/A</v>
      </c>
      <c r="N3251" s="16" t="e">
        <f t="shared" si="6047"/>
        <v>#N/A</v>
      </c>
      <c r="O3251" s="16" t="s">
        <v>74</v>
      </c>
      <c r="P3251" s="16" t="str">
        <f t="shared" si="6"/>
        <v/>
      </c>
      <c r="Q3251" s="41" t="e">
        <f t="shared" si="6048"/>
        <v>#N/A</v>
      </c>
      <c r="R3251" s="44"/>
      <c r="S3251" s="44"/>
      <c r="T3251" s="43"/>
      <c r="U3251" s="43" t="str">
        <f t="shared" si="8"/>
        <v>No</v>
      </c>
      <c r="V3251" s="25"/>
      <c r="W3251" s="25"/>
      <c r="X3251" s="25"/>
      <c r="Y3251" s="25"/>
      <c r="Z3251" s="25"/>
    </row>
    <row r="3252" spans="1:26" ht="15.75" customHeight="1" x14ac:dyDescent="0.25">
      <c r="A3252" s="25">
        <v>3250</v>
      </c>
      <c r="B3252" s="37" t="e">
        <f t="shared" ref="B3252:D3252" si="6545">VLOOKUP($A3252,[10]Mujer!$A$1:$O$279,B$1,0)</f>
        <v>#N/A</v>
      </c>
      <c r="C3252" s="38" t="e">
        <f t="shared" si="6545"/>
        <v>#N/A</v>
      </c>
      <c r="D3252" s="39" t="e">
        <f t="shared" si="6545"/>
        <v>#N/A</v>
      </c>
      <c r="E3252" s="16" t="e">
        <f t="shared" si="1"/>
        <v>#N/A</v>
      </c>
      <c r="F3252" s="16" t="e">
        <f t="shared" ref="F3252:K3252" si="6546">VLOOKUP($A3252,[10]Mujer!$A$1:$O$279,F$1,0)</f>
        <v>#N/A</v>
      </c>
      <c r="G3252" s="39" t="e">
        <f t="shared" si="6546"/>
        <v>#N/A</v>
      </c>
      <c r="H3252" s="16" t="e">
        <f t="shared" si="6546"/>
        <v>#N/A</v>
      </c>
      <c r="I3252" s="16" t="e">
        <f t="shared" si="6546"/>
        <v>#N/A</v>
      </c>
      <c r="J3252" s="40" t="e">
        <f t="shared" si="6546"/>
        <v>#N/A</v>
      </c>
      <c r="K3252" s="16" t="e">
        <f t="shared" si="6546"/>
        <v>#N/A</v>
      </c>
      <c r="L3252" s="40" t="e">
        <f t="shared" si="6045"/>
        <v>#N/A</v>
      </c>
      <c r="M3252" s="16" t="e">
        <f t="shared" si="6046"/>
        <v>#N/A</v>
      </c>
      <c r="N3252" s="16" t="e">
        <f t="shared" si="6047"/>
        <v>#N/A</v>
      </c>
      <c r="O3252" s="16" t="s">
        <v>74</v>
      </c>
      <c r="P3252" s="16" t="str">
        <f t="shared" si="6"/>
        <v/>
      </c>
      <c r="Q3252" s="41" t="e">
        <f t="shared" si="6048"/>
        <v>#N/A</v>
      </c>
      <c r="R3252" s="44"/>
      <c r="S3252" s="44"/>
      <c r="T3252" s="43"/>
      <c r="U3252" s="43" t="str">
        <f t="shared" si="8"/>
        <v>No</v>
      </c>
      <c r="V3252" s="25"/>
      <c r="W3252" s="25"/>
      <c r="X3252" s="25"/>
      <c r="Y3252" s="25"/>
      <c r="Z3252" s="25"/>
    </row>
    <row r="3253" spans="1:26" ht="15.75" customHeight="1" x14ac:dyDescent="0.25">
      <c r="A3253" s="25">
        <v>3251</v>
      </c>
      <c r="B3253" s="37" t="e">
        <f t="shared" ref="B3253:D3253" si="6547">VLOOKUP($A3253,[10]Mujer!$A$1:$O$279,B$1,0)</f>
        <v>#N/A</v>
      </c>
      <c r="C3253" s="38" t="e">
        <f t="shared" si="6547"/>
        <v>#N/A</v>
      </c>
      <c r="D3253" s="39" t="e">
        <f t="shared" si="6547"/>
        <v>#N/A</v>
      </c>
      <c r="E3253" s="16" t="e">
        <f t="shared" si="1"/>
        <v>#N/A</v>
      </c>
      <c r="F3253" s="16" t="e">
        <f t="shared" ref="F3253:K3253" si="6548">VLOOKUP($A3253,[10]Mujer!$A$1:$O$279,F$1,0)</f>
        <v>#N/A</v>
      </c>
      <c r="G3253" s="39" t="e">
        <f t="shared" si="6548"/>
        <v>#N/A</v>
      </c>
      <c r="H3253" s="16" t="e">
        <f t="shared" si="6548"/>
        <v>#N/A</v>
      </c>
      <c r="I3253" s="16" t="e">
        <f t="shared" si="6548"/>
        <v>#N/A</v>
      </c>
      <c r="J3253" s="40" t="e">
        <f t="shared" si="6548"/>
        <v>#N/A</v>
      </c>
      <c r="K3253" s="16" t="e">
        <f t="shared" si="6548"/>
        <v>#N/A</v>
      </c>
      <c r="L3253" s="40" t="e">
        <f t="shared" si="6045"/>
        <v>#N/A</v>
      </c>
      <c r="M3253" s="16" t="e">
        <f t="shared" si="6046"/>
        <v>#N/A</v>
      </c>
      <c r="N3253" s="16" t="e">
        <f t="shared" si="6047"/>
        <v>#N/A</v>
      </c>
      <c r="O3253" s="16" t="s">
        <v>74</v>
      </c>
      <c r="P3253" s="16" t="str">
        <f t="shared" si="6"/>
        <v/>
      </c>
      <c r="Q3253" s="41" t="e">
        <f t="shared" si="6048"/>
        <v>#N/A</v>
      </c>
      <c r="R3253" s="44"/>
      <c r="S3253" s="44"/>
      <c r="T3253" s="43"/>
      <c r="U3253" s="43" t="str">
        <f t="shared" si="8"/>
        <v>No</v>
      </c>
      <c r="V3253" s="25"/>
      <c r="W3253" s="25"/>
      <c r="X3253" s="25"/>
      <c r="Y3253" s="25"/>
      <c r="Z3253" s="25"/>
    </row>
    <row r="3254" spans="1:26" ht="15.75" customHeight="1" x14ac:dyDescent="0.25">
      <c r="A3254" s="25">
        <v>3252</v>
      </c>
      <c r="B3254" s="37" t="e">
        <f t="shared" ref="B3254:D3254" si="6549">VLOOKUP($A3254,[10]Mujer!$A$1:$O$279,B$1,0)</f>
        <v>#N/A</v>
      </c>
      <c r="C3254" s="38" t="e">
        <f t="shared" si="6549"/>
        <v>#N/A</v>
      </c>
      <c r="D3254" s="39" t="e">
        <f t="shared" si="6549"/>
        <v>#N/A</v>
      </c>
      <c r="E3254" s="16" t="e">
        <f t="shared" si="1"/>
        <v>#N/A</v>
      </c>
      <c r="F3254" s="16" t="e">
        <f t="shared" ref="F3254:K3254" si="6550">VLOOKUP($A3254,[10]Mujer!$A$1:$O$279,F$1,0)</f>
        <v>#N/A</v>
      </c>
      <c r="G3254" s="39" t="e">
        <f t="shared" si="6550"/>
        <v>#N/A</v>
      </c>
      <c r="H3254" s="16" t="e">
        <f t="shared" si="6550"/>
        <v>#N/A</v>
      </c>
      <c r="I3254" s="16" t="e">
        <f t="shared" si="6550"/>
        <v>#N/A</v>
      </c>
      <c r="J3254" s="40" t="e">
        <f t="shared" si="6550"/>
        <v>#N/A</v>
      </c>
      <c r="K3254" s="16" t="e">
        <f t="shared" si="6550"/>
        <v>#N/A</v>
      </c>
      <c r="L3254" s="40" t="e">
        <f t="shared" si="6045"/>
        <v>#N/A</v>
      </c>
      <c r="M3254" s="16" t="e">
        <f t="shared" si="6046"/>
        <v>#N/A</v>
      </c>
      <c r="N3254" s="16" t="e">
        <f t="shared" si="6047"/>
        <v>#N/A</v>
      </c>
      <c r="O3254" s="16" t="s">
        <v>74</v>
      </c>
      <c r="P3254" s="16" t="str">
        <f t="shared" si="6"/>
        <v/>
      </c>
      <c r="Q3254" s="41" t="e">
        <f t="shared" si="6048"/>
        <v>#N/A</v>
      </c>
      <c r="R3254" s="44"/>
      <c r="S3254" s="44"/>
      <c r="T3254" s="43"/>
      <c r="U3254" s="43" t="str">
        <f t="shared" si="8"/>
        <v>No</v>
      </c>
      <c r="V3254" s="25"/>
      <c r="W3254" s="25"/>
      <c r="X3254" s="25"/>
      <c r="Y3254" s="25"/>
      <c r="Z3254" s="25"/>
    </row>
    <row r="3255" spans="1:26" ht="15.75" customHeight="1" x14ac:dyDescent="0.25">
      <c r="A3255" s="25">
        <v>3253</v>
      </c>
      <c r="B3255" s="37" t="e">
        <f t="shared" ref="B3255:D3255" si="6551">VLOOKUP($A3255,[10]Mujer!$A$1:$O$279,B$1,0)</f>
        <v>#N/A</v>
      </c>
      <c r="C3255" s="38" t="e">
        <f t="shared" si="6551"/>
        <v>#N/A</v>
      </c>
      <c r="D3255" s="39" t="e">
        <f t="shared" si="6551"/>
        <v>#N/A</v>
      </c>
      <c r="E3255" s="16" t="e">
        <f t="shared" si="1"/>
        <v>#N/A</v>
      </c>
      <c r="F3255" s="16" t="e">
        <f t="shared" ref="F3255:K3255" si="6552">VLOOKUP($A3255,[10]Mujer!$A$1:$O$279,F$1,0)</f>
        <v>#N/A</v>
      </c>
      <c r="G3255" s="39" t="e">
        <f t="shared" si="6552"/>
        <v>#N/A</v>
      </c>
      <c r="H3255" s="16" t="e">
        <f t="shared" si="6552"/>
        <v>#N/A</v>
      </c>
      <c r="I3255" s="16" t="e">
        <f t="shared" si="6552"/>
        <v>#N/A</v>
      </c>
      <c r="J3255" s="40" t="e">
        <f t="shared" si="6552"/>
        <v>#N/A</v>
      </c>
      <c r="K3255" s="16" t="e">
        <f t="shared" si="6552"/>
        <v>#N/A</v>
      </c>
      <c r="L3255" s="40" t="e">
        <f t="shared" si="6045"/>
        <v>#N/A</v>
      </c>
      <c r="M3255" s="16" t="e">
        <f t="shared" si="6046"/>
        <v>#N/A</v>
      </c>
      <c r="N3255" s="16" t="e">
        <f t="shared" si="6047"/>
        <v>#N/A</v>
      </c>
      <c r="O3255" s="16" t="s">
        <v>74</v>
      </c>
      <c r="P3255" s="16" t="str">
        <f t="shared" si="6"/>
        <v/>
      </c>
      <c r="Q3255" s="41" t="e">
        <f t="shared" si="6048"/>
        <v>#N/A</v>
      </c>
      <c r="R3255" s="44"/>
      <c r="S3255" s="44"/>
      <c r="T3255" s="43"/>
      <c r="U3255" s="43" t="str">
        <f t="shared" si="8"/>
        <v>No</v>
      </c>
      <c r="V3255" s="25"/>
      <c r="W3255" s="25"/>
      <c r="X3255" s="25"/>
      <c r="Y3255" s="25"/>
      <c r="Z3255" s="25"/>
    </row>
    <row r="3256" spans="1:26" ht="15.75" customHeight="1" x14ac:dyDescent="0.25">
      <c r="A3256" s="25">
        <v>3254</v>
      </c>
      <c r="B3256" s="37" t="e">
        <f t="shared" ref="B3256:D3256" si="6553">VLOOKUP($A3256,[10]Mujer!$A$1:$O$279,B$1,0)</f>
        <v>#N/A</v>
      </c>
      <c r="C3256" s="38" t="e">
        <f t="shared" si="6553"/>
        <v>#N/A</v>
      </c>
      <c r="D3256" s="39" t="e">
        <f t="shared" si="6553"/>
        <v>#N/A</v>
      </c>
      <c r="E3256" s="16" t="e">
        <f t="shared" si="1"/>
        <v>#N/A</v>
      </c>
      <c r="F3256" s="16" t="e">
        <f t="shared" ref="F3256:K3256" si="6554">VLOOKUP($A3256,[10]Mujer!$A$1:$O$279,F$1,0)</f>
        <v>#N/A</v>
      </c>
      <c r="G3256" s="39" t="e">
        <f t="shared" si="6554"/>
        <v>#N/A</v>
      </c>
      <c r="H3256" s="16" t="e">
        <f t="shared" si="6554"/>
        <v>#N/A</v>
      </c>
      <c r="I3256" s="16" t="e">
        <f t="shared" si="6554"/>
        <v>#N/A</v>
      </c>
      <c r="J3256" s="40" t="e">
        <f t="shared" si="6554"/>
        <v>#N/A</v>
      </c>
      <c r="K3256" s="16" t="e">
        <f t="shared" si="6554"/>
        <v>#N/A</v>
      </c>
      <c r="L3256" s="40" t="e">
        <f t="shared" si="6045"/>
        <v>#N/A</v>
      </c>
      <c r="M3256" s="16" t="e">
        <f t="shared" si="6046"/>
        <v>#N/A</v>
      </c>
      <c r="N3256" s="16" t="e">
        <f t="shared" si="6047"/>
        <v>#N/A</v>
      </c>
      <c r="O3256" s="16" t="s">
        <v>74</v>
      </c>
      <c r="P3256" s="16" t="str">
        <f t="shared" si="6"/>
        <v/>
      </c>
      <c r="Q3256" s="41" t="e">
        <f t="shared" si="6048"/>
        <v>#N/A</v>
      </c>
      <c r="R3256" s="44"/>
      <c r="S3256" s="44"/>
      <c r="T3256" s="43"/>
      <c r="U3256" s="43" t="str">
        <f t="shared" si="8"/>
        <v>No</v>
      </c>
      <c r="V3256" s="25"/>
      <c r="W3256" s="25"/>
      <c r="X3256" s="25"/>
      <c r="Y3256" s="25"/>
      <c r="Z3256" s="25"/>
    </row>
    <row r="3257" spans="1:26" ht="15.75" customHeight="1" x14ac:dyDescent="0.25">
      <c r="A3257" s="25">
        <v>3255</v>
      </c>
      <c r="B3257" s="37" t="e">
        <f t="shared" ref="B3257:D3257" si="6555">VLOOKUP($A3257,[10]Mujer!$A$1:$O$279,B$1,0)</f>
        <v>#N/A</v>
      </c>
      <c r="C3257" s="38" t="e">
        <f t="shared" si="6555"/>
        <v>#N/A</v>
      </c>
      <c r="D3257" s="39" t="e">
        <f t="shared" si="6555"/>
        <v>#N/A</v>
      </c>
      <c r="E3257" s="16" t="e">
        <f t="shared" si="1"/>
        <v>#N/A</v>
      </c>
      <c r="F3257" s="16" t="e">
        <f t="shared" ref="F3257:K3257" si="6556">VLOOKUP($A3257,[10]Mujer!$A$1:$O$279,F$1,0)</f>
        <v>#N/A</v>
      </c>
      <c r="G3257" s="39" t="e">
        <f t="shared" si="6556"/>
        <v>#N/A</v>
      </c>
      <c r="H3257" s="16" t="e">
        <f t="shared" si="6556"/>
        <v>#N/A</v>
      </c>
      <c r="I3257" s="16" t="e">
        <f t="shared" si="6556"/>
        <v>#N/A</v>
      </c>
      <c r="J3257" s="40" t="e">
        <f t="shared" si="6556"/>
        <v>#N/A</v>
      </c>
      <c r="K3257" s="16" t="e">
        <f t="shared" si="6556"/>
        <v>#N/A</v>
      </c>
      <c r="L3257" s="40" t="e">
        <f t="shared" si="6045"/>
        <v>#N/A</v>
      </c>
      <c r="M3257" s="16" t="e">
        <f t="shared" si="6046"/>
        <v>#N/A</v>
      </c>
      <c r="N3257" s="16" t="e">
        <f t="shared" si="6047"/>
        <v>#N/A</v>
      </c>
      <c r="O3257" s="16" t="s">
        <v>74</v>
      </c>
      <c r="P3257" s="16" t="str">
        <f t="shared" si="6"/>
        <v/>
      </c>
      <c r="Q3257" s="41" t="e">
        <f t="shared" si="6048"/>
        <v>#N/A</v>
      </c>
      <c r="R3257" s="44"/>
      <c r="S3257" s="44"/>
      <c r="T3257" s="43"/>
      <c r="U3257" s="43" t="str">
        <f t="shared" si="8"/>
        <v>No</v>
      </c>
      <c r="V3257" s="25"/>
      <c r="W3257" s="25"/>
      <c r="X3257" s="25"/>
      <c r="Y3257" s="25"/>
      <c r="Z3257" s="25"/>
    </row>
    <row r="3258" spans="1:26" ht="15.75" customHeight="1" x14ac:dyDescent="0.25">
      <c r="A3258" s="25">
        <v>3256</v>
      </c>
      <c r="B3258" s="37" t="e">
        <f t="shared" ref="B3258:D3258" si="6557">VLOOKUP($A3258,[10]Mujer!$A$1:$O$279,B$1,0)</f>
        <v>#N/A</v>
      </c>
      <c r="C3258" s="38" t="e">
        <f t="shared" si="6557"/>
        <v>#N/A</v>
      </c>
      <c r="D3258" s="39" t="e">
        <f t="shared" si="6557"/>
        <v>#N/A</v>
      </c>
      <c r="E3258" s="16" t="e">
        <f t="shared" si="1"/>
        <v>#N/A</v>
      </c>
      <c r="F3258" s="16" t="e">
        <f t="shared" ref="F3258:K3258" si="6558">VLOOKUP($A3258,[10]Mujer!$A$1:$O$279,F$1,0)</f>
        <v>#N/A</v>
      </c>
      <c r="G3258" s="39" t="e">
        <f t="shared" si="6558"/>
        <v>#N/A</v>
      </c>
      <c r="H3258" s="16" t="e">
        <f t="shared" si="6558"/>
        <v>#N/A</v>
      </c>
      <c r="I3258" s="16" t="e">
        <f t="shared" si="6558"/>
        <v>#N/A</v>
      </c>
      <c r="J3258" s="40" t="e">
        <f t="shared" si="6558"/>
        <v>#N/A</v>
      </c>
      <c r="K3258" s="16" t="e">
        <f t="shared" si="6558"/>
        <v>#N/A</v>
      </c>
      <c r="L3258" s="40" t="e">
        <f t="shared" si="6045"/>
        <v>#N/A</v>
      </c>
      <c r="M3258" s="16" t="e">
        <f t="shared" si="6046"/>
        <v>#N/A</v>
      </c>
      <c r="N3258" s="16" t="e">
        <f t="shared" si="6047"/>
        <v>#N/A</v>
      </c>
      <c r="O3258" s="16" t="s">
        <v>74</v>
      </c>
      <c r="P3258" s="16" t="str">
        <f t="shared" si="6"/>
        <v/>
      </c>
      <c r="Q3258" s="41" t="e">
        <f t="shared" si="6048"/>
        <v>#N/A</v>
      </c>
      <c r="R3258" s="44"/>
      <c r="S3258" s="44"/>
      <c r="T3258" s="43"/>
      <c r="U3258" s="43" t="str">
        <f t="shared" si="8"/>
        <v>No</v>
      </c>
      <c r="V3258" s="25"/>
      <c r="W3258" s="25"/>
      <c r="X3258" s="25"/>
      <c r="Y3258" s="25"/>
      <c r="Z3258" s="25"/>
    </row>
    <row r="3259" spans="1:26" ht="15.75" customHeight="1" x14ac:dyDescent="0.25">
      <c r="A3259" s="25">
        <v>3257</v>
      </c>
      <c r="B3259" s="37" t="e">
        <f t="shared" ref="B3259:D3259" si="6559">VLOOKUP($A3259,[10]Mujer!$A$1:$O$279,B$1,0)</f>
        <v>#N/A</v>
      </c>
      <c r="C3259" s="38" t="e">
        <f t="shared" si="6559"/>
        <v>#N/A</v>
      </c>
      <c r="D3259" s="39" t="e">
        <f t="shared" si="6559"/>
        <v>#N/A</v>
      </c>
      <c r="E3259" s="16" t="e">
        <f t="shared" si="1"/>
        <v>#N/A</v>
      </c>
      <c r="F3259" s="16" t="e">
        <f t="shared" ref="F3259:K3259" si="6560">VLOOKUP($A3259,[10]Mujer!$A$1:$O$279,F$1,0)</f>
        <v>#N/A</v>
      </c>
      <c r="G3259" s="39" t="e">
        <f t="shared" si="6560"/>
        <v>#N/A</v>
      </c>
      <c r="H3259" s="16" t="e">
        <f t="shared" si="6560"/>
        <v>#N/A</v>
      </c>
      <c r="I3259" s="16" t="e">
        <f t="shared" si="6560"/>
        <v>#N/A</v>
      </c>
      <c r="J3259" s="40" t="e">
        <f t="shared" si="6560"/>
        <v>#N/A</v>
      </c>
      <c r="K3259" s="16" t="e">
        <f t="shared" si="6560"/>
        <v>#N/A</v>
      </c>
      <c r="L3259" s="40" t="e">
        <f t="shared" si="6045"/>
        <v>#N/A</v>
      </c>
      <c r="M3259" s="16" t="e">
        <f t="shared" si="6046"/>
        <v>#N/A</v>
      </c>
      <c r="N3259" s="16" t="e">
        <f t="shared" si="6047"/>
        <v>#N/A</v>
      </c>
      <c r="O3259" s="16" t="s">
        <v>74</v>
      </c>
      <c r="P3259" s="16" t="str">
        <f t="shared" si="6"/>
        <v/>
      </c>
      <c r="Q3259" s="41" t="e">
        <f t="shared" si="6048"/>
        <v>#N/A</v>
      </c>
      <c r="R3259" s="44"/>
      <c r="S3259" s="44"/>
      <c r="T3259" s="43"/>
      <c r="U3259" s="43" t="str">
        <f t="shared" si="8"/>
        <v>No</v>
      </c>
      <c r="V3259" s="25"/>
      <c r="W3259" s="25"/>
      <c r="X3259" s="25"/>
      <c r="Y3259" s="25"/>
      <c r="Z3259" s="25"/>
    </row>
    <row r="3260" spans="1:26" ht="15.75" customHeight="1" x14ac:dyDescent="0.25">
      <c r="A3260" s="25">
        <v>3258</v>
      </c>
      <c r="B3260" s="37" t="e">
        <f t="shared" ref="B3260:D3260" si="6561">VLOOKUP($A3260,[10]Mujer!$A$1:$O$279,B$1,0)</f>
        <v>#N/A</v>
      </c>
      <c r="C3260" s="38" t="e">
        <f t="shared" si="6561"/>
        <v>#N/A</v>
      </c>
      <c r="D3260" s="39" t="e">
        <f t="shared" si="6561"/>
        <v>#N/A</v>
      </c>
      <c r="E3260" s="16" t="e">
        <f t="shared" si="1"/>
        <v>#N/A</v>
      </c>
      <c r="F3260" s="16" t="e">
        <f t="shared" ref="F3260:K3260" si="6562">VLOOKUP($A3260,[10]Mujer!$A$1:$O$279,F$1,0)</f>
        <v>#N/A</v>
      </c>
      <c r="G3260" s="39" t="e">
        <f t="shared" si="6562"/>
        <v>#N/A</v>
      </c>
      <c r="H3260" s="16" t="e">
        <f t="shared" si="6562"/>
        <v>#N/A</v>
      </c>
      <c r="I3260" s="16" t="e">
        <f t="shared" si="6562"/>
        <v>#N/A</v>
      </c>
      <c r="J3260" s="40" t="e">
        <f t="shared" si="6562"/>
        <v>#N/A</v>
      </c>
      <c r="K3260" s="16" t="e">
        <f t="shared" si="6562"/>
        <v>#N/A</v>
      </c>
      <c r="L3260" s="40" t="e">
        <f t="shared" si="6045"/>
        <v>#N/A</v>
      </c>
      <c r="M3260" s="16" t="e">
        <f t="shared" si="6046"/>
        <v>#N/A</v>
      </c>
      <c r="N3260" s="16" t="e">
        <f t="shared" si="6047"/>
        <v>#N/A</v>
      </c>
      <c r="O3260" s="16" t="s">
        <v>74</v>
      </c>
      <c r="P3260" s="16" t="str">
        <f t="shared" si="6"/>
        <v/>
      </c>
      <c r="Q3260" s="41" t="e">
        <f t="shared" si="6048"/>
        <v>#N/A</v>
      </c>
      <c r="R3260" s="44"/>
      <c r="S3260" s="44"/>
      <c r="T3260" s="43"/>
      <c r="U3260" s="43" t="str">
        <f t="shared" si="8"/>
        <v>No</v>
      </c>
      <c r="V3260" s="25"/>
      <c r="W3260" s="25"/>
      <c r="X3260" s="25"/>
      <c r="Y3260" s="25"/>
      <c r="Z3260" s="25"/>
    </row>
    <row r="3261" spans="1:26" ht="15.75" customHeight="1" x14ac:dyDescent="0.25">
      <c r="A3261" s="25">
        <v>3259</v>
      </c>
      <c r="B3261" s="37" t="e">
        <f t="shared" ref="B3261:D3261" si="6563">VLOOKUP($A3261,[10]Mujer!$A$1:$O$279,B$1,0)</f>
        <v>#N/A</v>
      </c>
      <c r="C3261" s="38" t="e">
        <f t="shared" si="6563"/>
        <v>#N/A</v>
      </c>
      <c r="D3261" s="39" t="e">
        <f t="shared" si="6563"/>
        <v>#N/A</v>
      </c>
      <c r="E3261" s="16" t="e">
        <f t="shared" si="1"/>
        <v>#N/A</v>
      </c>
      <c r="F3261" s="16" t="e">
        <f t="shared" ref="F3261:K3261" si="6564">VLOOKUP($A3261,[10]Mujer!$A$1:$O$279,F$1,0)</f>
        <v>#N/A</v>
      </c>
      <c r="G3261" s="39" t="e">
        <f t="shared" si="6564"/>
        <v>#N/A</v>
      </c>
      <c r="H3261" s="16" t="e">
        <f t="shared" si="6564"/>
        <v>#N/A</v>
      </c>
      <c r="I3261" s="16" t="e">
        <f t="shared" si="6564"/>
        <v>#N/A</v>
      </c>
      <c r="J3261" s="40" t="e">
        <f t="shared" si="6564"/>
        <v>#N/A</v>
      </c>
      <c r="K3261" s="16" t="e">
        <f t="shared" si="6564"/>
        <v>#N/A</v>
      </c>
      <c r="L3261" s="40" t="e">
        <f t="shared" si="6045"/>
        <v>#N/A</v>
      </c>
      <c r="M3261" s="16" t="e">
        <f t="shared" si="6046"/>
        <v>#N/A</v>
      </c>
      <c r="N3261" s="16" t="e">
        <f t="shared" si="6047"/>
        <v>#N/A</v>
      </c>
      <c r="O3261" s="16" t="s">
        <v>74</v>
      </c>
      <c r="P3261" s="16" t="str">
        <f t="shared" si="6"/>
        <v/>
      </c>
      <c r="Q3261" s="41" t="e">
        <f t="shared" si="6048"/>
        <v>#N/A</v>
      </c>
      <c r="R3261" s="44"/>
      <c r="S3261" s="44"/>
      <c r="T3261" s="43"/>
      <c r="U3261" s="43" t="str">
        <f t="shared" si="8"/>
        <v>No</v>
      </c>
      <c r="V3261" s="25"/>
      <c r="W3261" s="25"/>
      <c r="X3261" s="25"/>
      <c r="Y3261" s="25"/>
      <c r="Z3261" s="25"/>
    </row>
    <row r="3262" spans="1:26" ht="15.75" customHeight="1" x14ac:dyDescent="0.25">
      <c r="A3262" s="25">
        <v>3260</v>
      </c>
      <c r="B3262" s="37" t="e">
        <f t="shared" ref="B3262:D3262" si="6565">VLOOKUP($A3262,[10]Mujer!$A$1:$O$279,B$1,0)</f>
        <v>#N/A</v>
      </c>
      <c r="C3262" s="38" t="e">
        <f t="shared" si="6565"/>
        <v>#N/A</v>
      </c>
      <c r="D3262" s="39" t="e">
        <f t="shared" si="6565"/>
        <v>#N/A</v>
      </c>
      <c r="E3262" s="16" t="e">
        <f t="shared" si="1"/>
        <v>#N/A</v>
      </c>
      <c r="F3262" s="16" t="e">
        <f t="shared" ref="F3262:K3262" si="6566">VLOOKUP($A3262,[10]Mujer!$A$1:$O$279,F$1,0)</f>
        <v>#N/A</v>
      </c>
      <c r="G3262" s="39" t="e">
        <f t="shared" si="6566"/>
        <v>#N/A</v>
      </c>
      <c r="H3262" s="16" t="e">
        <f t="shared" si="6566"/>
        <v>#N/A</v>
      </c>
      <c r="I3262" s="16" t="e">
        <f t="shared" si="6566"/>
        <v>#N/A</v>
      </c>
      <c r="J3262" s="40" t="e">
        <f t="shared" si="6566"/>
        <v>#N/A</v>
      </c>
      <c r="K3262" s="16" t="e">
        <f t="shared" si="6566"/>
        <v>#N/A</v>
      </c>
      <c r="L3262" s="40" t="e">
        <f t="shared" si="6045"/>
        <v>#N/A</v>
      </c>
      <c r="M3262" s="16" t="e">
        <f t="shared" si="6046"/>
        <v>#N/A</v>
      </c>
      <c r="N3262" s="16" t="e">
        <f t="shared" si="6047"/>
        <v>#N/A</v>
      </c>
      <c r="O3262" s="16" t="s">
        <v>74</v>
      </c>
      <c r="P3262" s="16" t="str">
        <f t="shared" si="6"/>
        <v/>
      </c>
      <c r="Q3262" s="41" t="e">
        <f t="shared" si="6048"/>
        <v>#N/A</v>
      </c>
      <c r="R3262" s="44"/>
      <c r="S3262" s="44"/>
      <c r="T3262" s="43"/>
      <c r="U3262" s="43" t="str">
        <f t="shared" si="8"/>
        <v>No</v>
      </c>
      <c r="V3262" s="25"/>
      <c r="W3262" s="25"/>
      <c r="X3262" s="25"/>
      <c r="Y3262" s="25"/>
      <c r="Z3262" s="25"/>
    </row>
    <row r="3263" spans="1:26" ht="15.75" customHeight="1" x14ac:dyDescent="0.25">
      <c r="A3263" s="25">
        <v>3261</v>
      </c>
      <c r="B3263" s="37" t="e">
        <f t="shared" ref="B3263:D3263" si="6567">VLOOKUP($A3263,[10]Mujer!$A$1:$O$279,B$1,0)</f>
        <v>#N/A</v>
      </c>
      <c r="C3263" s="38" t="e">
        <f t="shared" si="6567"/>
        <v>#N/A</v>
      </c>
      <c r="D3263" s="39" t="e">
        <f t="shared" si="6567"/>
        <v>#N/A</v>
      </c>
      <c r="E3263" s="16" t="e">
        <f t="shared" si="1"/>
        <v>#N/A</v>
      </c>
      <c r="F3263" s="16" t="e">
        <f t="shared" ref="F3263:K3263" si="6568">VLOOKUP($A3263,[10]Mujer!$A$1:$O$279,F$1,0)</f>
        <v>#N/A</v>
      </c>
      <c r="G3263" s="39" t="e">
        <f t="shared" si="6568"/>
        <v>#N/A</v>
      </c>
      <c r="H3263" s="16" t="e">
        <f t="shared" si="6568"/>
        <v>#N/A</v>
      </c>
      <c r="I3263" s="16" t="e">
        <f t="shared" si="6568"/>
        <v>#N/A</v>
      </c>
      <c r="J3263" s="40" t="e">
        <f t="shared" si="6568"/>
        <v>#N/A</v>
      </c>
      <c r="K3263" s="16" t="e">
        <f t="shared" si="6568"/>
        <v>#N/A</v>
      </c>
      <c r="L3263" s="40" t="e">
        <f t="shared" si="6045"/>
        <v>#N/A</v>
      </c>
      <c r="M3263" s="16" t="e">
        <f t="shared" si="6046"/>
        <v>#N/A</v>
      </c>
      <c r="N3263" s="16" t="e">
        <f t="shared" si="6047"/>
        <v>#N/A</v>
      </c>
      <c r="O3263" s="16" t="s">
        <v>74</v>
      </c>
      <c r="P3263" s="16" t="str">
        <f t="shared" si="6"/>
        <v/>
      </c>
      <c r="Q3263" s="41" t="e">
        <f t="shared" si="6048"/>
        <v>#N/A</v>
      </c>
      <c r="R3263" s="44"/>
      <c r="S3263" s="44"/>
      <c r="T3263" s="43"/>
      <c r="U3263" s="43" t="str">
        <f t="shared" si="8"/>
        <v>No</v>
      </c>
      <c r="V3263" s="25"/>
      <c r="W3263" s="25"/>
      <c r="X3263" s="25"/>
      <c r="Y3263" s="25"/>
      <c r="Z3263" s="25"/>
    </row>
    <row r="3264" spans="1:26" ht="15.75" customHeight="1" x14ac:dyDescent="0.25">
      <c r="A3264" s="25">
        <v>3262</v>
      </c>
      <c r="B3264" s="37" t="e">
        <f t="shared" ref="B3264:D3264" si="6569">VLOOKUP($A3264,[10]Mujer!$A$1:$O$279,B$1,0)</f>
        <v>#N/A</v>
      </c>
      <c r="C3264" s="38" t="e">
        <f t="shared" si="6569"/>
        <v>#N/A</v>
      </c>
      <c r="D3264" s="39" t="e">
        <f t="shared" si="6569"/>
        <v>#N/A</v>
      </c>
      <c r="E3264" s="16" t="e">
        <f t="shared" si="1"/>
        <v>#N/A</v>
      </c>
      <c r="F3264" s="16" t="e">
        <f t="shared" ref="F3264:K3264" si="6570">VLOOKUP($A3264,[10]Mujer!$A$1:$O$279,F$1,0)</f>
        <v>#N/A</v>
      </c>
      <c r="G3264" s="39" t="e">
        <f t="shared" si="6570"/>
        <v>#N/A</v>
      </c>
      <c r="H3264" s="16" t="e">
        <f t="shared" si="6570"/>
        <v>#N/A</v>
      </c>
      <c r="I3264" s="16" t="e">
        <f t="shared" si="6570"/>
        <v>#N/A</v>
      </c>
      <c r="J3264" s="40" t="e">
        <f t="shared" si="6570"/>
        <v>#N/A</v>
      </c>
      <c r="K3264" s="16" t="e">
        <f t="shared" si="6570"/>
        <v>#N/A</v>
      </c>
      <c r="L3264" s="40" t="e">
        <f t="shared" si="6045"/>
        <v>#N/A</v>
      </c>
      <c r="M3264" s="16" t="e">
        <f t="shared" si="6046"/>
        <v>#N/A</v>
      </c>
      <c r="N3264" s="16" t="e">
        <f t="shared" si="6047"/>
        <v>#N/A</v>
      </c>
      <c r="O3264" s="16" t="s">
        <v>74</v>
      </c>
      <c r="P3264" s="16" t="str">
        <f t="shared" si="6"/>
        <v/>
      </c>
      <c r="Q3264" s="41" t="e">
        <f t="shared" si="6048"/>
        <v>#N/A</v>
      </c>
      <c r="R3264" s="44"/>
      <c r="S3264" s="44"/>
      <c r="T3264" s="43"/>
      <c r="U3264" s="43" t="str">
        <f t="shared" si="8"/>
        <v>No</v>
      </c>
      <c r="V3264" s="25"/>
      <c r="W3264" s="25"/>
      <c r="X3264" s="25"/>
      <c r="Y3264" s="25"/>
      <c r="Z3264" s="25"/>
    </row>
    <row r="3265" spans="1:26" ht="15.75" customHeight="1" x14ac:dyDescent="0.25">
      <c r="A3265" s="25">
        <v>3263</v>
      </c>
      <c r="B3265" s="37" t="e">
        <f t="shared" ref="B3265:D3265" si="6571">VLOOKUP($A3265,[10]Mujer!$A$1:$O$279,B$1,0)</f>
        <v>#N/A</v>
      </c>
      <c r="C3265" s="38" t="e">
        <f t="shared" si="6571"/>
        <v>#N/A</v>
      </c>
      <c r="D3265" s="39" t="e">
        <f t="shared" si="6571"/>
        <v>#N/A</v>
      </c>
      <c r="E3265" s="16" t="e">
        <f t="shared" si="1"/>
        <v>#N/A</v>
      </c>
      <c r="F3265" s="16" t="e">
        <f t="shared" ref="F3265:K3265" si="6572">VLOOKUP($A3265,[10]Mujer!$A$1:$O$279,F$1,0)</f>
        <v>#N/A</v>
      </c>
      <c r="G3265" s="39" t="e">
        <f t="shared" si="6572"/>
        <v>#N/A</v>
      </c>
      <c r="H3265" s="16" t="e">
        <f t="shared" si="6572"/>
        <v>#N/A</v>
      </c>
      <c r="I3265" s="16" t="e">
        <f t="shared" si="6572"/>
        <v>#N/A</v>
      </c>
      <c r="J3265" s="40" t="e">
        <f t="shared" si="6572"/>
        <v>#N/A</v>
      </c>
      <c r="K3265" s="16" t="e">
        <f t="shared" si="6572"/>
        <v>#N/A</v>
      </c>
      <c r="L3265" s="40" t="e">
        <f t="shared" si="6045"/>
        <v>#N/A</v>
      </c>
      <c r="M3265" s="16" t="e">
        <f t="shared" si="6046"/>
        <v>#N/A</v>
      </c>
      <c r="N3265" s="16" t="e">
        <f t="shared" si="6047"/>
        <v>#N/A</v>
      </c>
      <c r="O3265" s="16" t="s">
        <v>74</v>
      </c>
      <c r="P3265" s="16" t="str">
        <f t="shared" si="6"/>
        <v/>
      </c>
      <c r="Q3265" s="41" t="e">
        <f t="shared" si="6048"/>
        <v>#N/A</v>
      </c>
      <c r="R3265" s="44"/>
      <c r="S3265" s="44"/>
      <c r="T3265" s="43"/>
      <c r="U3265" s="43" t="str">
        <f t="shared" si="8"/>
        <v>No</v>
      </c>
      <c r="V3265" s="25"/>
      <c r="W3265" s="25"/>
      <c r="X3265" s="25"/>
      <c r="Y3265" s="25"/>
      <c r="Z3265" s="25"/>
    </row>
    <row r="3266" spans="1:26" ht="15.75" customHeight="1" x14ac:dyDescent="0.25">
      <c r="A3266" s="25">
        <v>3264</v>
      </c>
      <c r="B3266" s="37" t="e">
        <f t="shared" ref="B3266:D3266" si="6573">VLOOKUP($A3266,[10]Mujer!$A$1:$O$279,B$1,0)</f>
        <v>#N/A</v>
      </c>
      <c r="C3266" s="38" t="e">
        <f t="shared" si="6573"/>
        <v>#N/A</v>
      </c>
      <c r="D3266" s="39" t="e">
        <f t="shared" si="6573"/>
        <v>#N/A</v>
      </c>
      <c r="E3266" s="16" t="e">
        <f t="shared" si="1"/>
        <v>#N/A</v>
      </c>
      <c r="F3266" s="16" t="e">
        <f t="shared" ref="F3266:K3266" si="6574">VLOOKUP($A3266,[10]Mujer!$A$1:$O$279,F$1,0)</f>
        <v>#N/A</v>
      </c>
      <c r="G3266" s="39" t="e">
        <f t="shared" si="6574"/>
        <v>#N/A</v>
      </c>
      <c r="H3266" s="16" t="e">
        <f t="shared" si="6574"/>
        <v>#N/A</v>
      </c>
      <c r="I3266" s="16" t="e">
        <f t="shared" si="6574"/>
        <v>#N/A</v>
      </c>
      <c r="J3266" s="40" t="e">
        <f t="shared" si="6574"/>
        <v>#N/A</v>
      </c>
      <c r="K3266" s="16" t="e">
        <f t="shared" si="6574"/>
        <v>#N/A</v>
      </c>
      <c r="L3266" s="40" t="e">
        <f t="shared" si="6045"/>
        <v>#N/A</v>
      </c>
      <c r="M3266" s="16" t="e">
        <f t="shared" si="6046"/>
        <v>#N/A</v>
      </c>
      <c r="N3266" s="16" t="e">
        <f t="shared" si="6047"/>
        <v>#N/A</v>
      </c>
      <c r="O3266" s="16" t="s">
        <v>74</v>
      </c>
      <c r="P3266" s="16" t="str">
        <f t="shared" si="6"/>
        <v/>
      </c>
      <c r="Q3266" s="41" t="e">
        <f t="shared" si="6048"/>
        <v>#N/A</v>
      </c>
      <c r="R3266" s="44"/>
      <c r="S3266" s="44"/>
      <c r="T3266" s="43"/>
      <c r="U3266" s="43" t="str">
        <f t="shared" si="8"/>
        <v>No</v>
      </c>
      <c r="V3266" s="25"/>
      <c r="W3266" s="25"/>
      <c r="X3266" s="25"/>
      <c r="Y3266" s="25"/>
      <c r="Z3266" s="25"/>
    </row>
    <row r="3267" spans="1:26" ht="15.75" customHeight="1" x14ac:dyDescent="0.25">
      <c r="A3267" s="25">
        <v>3265</v>
      </c>
      <c r="B3267" s="37" t="e">
        <f t="shared" ref="B3267:D3267" si="6575">VLOOKUP($A3267,[10]Mujer!$A$1:$O$279,B$1,0)</f>
        <v>#N/A</v>
      </c>
      <c r="C3267" s="38" t="e">
        <f t="shared" si="6575"/>
        <v>#N/A</v>
      </c>
      <c r="D3267" s="39" t="e">
        <f t="shared" si="6575"/>
        <v>#N/A</v>
      </c>
      <c r="E3267" s="16" t="e">
        <f t="shared" si="1"/>
        <v>#N/A</v>
      </c>
      <c r="F3267" s="16" t="e">
        <f t="shared" ref="F3267:K3267" si="6576">VLOOKUP($A3267,[10]Mujer!$A$1:$O$279,F$1,0)</f>
        <v>#N/A</v>
      </c>
      <c r="G3267" s="39" t="e">
        <f t="shared" si="6576"/>
        <v>#N/A</v>
      </c>
      <c r="H3267" s="16" t="e">
        <f t="shared" si="6576"/>
        <v>#N/A</v>
      </c>
      <c r="I3267" s="16" t="e">
        <f t="shared" si="6576"/>
        <v>#N/A</v>
      </c>
      <c r="J3267" s="40" t="e">
        <f t="shared" si="6576"/>
        <v>#N/A</v>
      </c>
      <c r="K3267" s="16" t="e">
        <f t="shared" si="6576"/>
        <v>#N/A</v>
      </c>
      <c r="L3267" s="40" t="e">
        <f t="shared" si="6045"/>
        <v>#N/A</v>
      </c>
      <c r="M3267" s="16" t="e">
        <f t="shared" si="6046"/>
        <v>#N/A</v>
      </c>
      <c r="N3267" s="16" t="e">
        <f t="shared" si="6047"/>
        <v>#N/A</v>
      </c>
      <c r="O3267" s="16" t="s">
        <v>74</v>
      </c>
      <c r="P3267" s="16" t="str">
        <f t="shared" si="6"/>
        <v/>
      </c>
      <c r="Q3267" s="41" t="e">
        <f t="shared" si="6048"/>
        <v>#N/A</v>
      </c>
      <c r="R3267" s="44"/>
      <c r="S3267" s="44"/>
      <c r="T3267" s="43"/>
      <c r="U3267" s="43" t="str">
        <f t="shared" si="8"/>
        <v>No</v>
      </c>
      <c r="V3267" s="25"/>
      <c r="W3267" s="25"/>
      <c r="X3267" s="25"/>
      <c r="Y3267" s="25"/>
      <c r="Z3267" s="25"/>
    </row>
    <row r="3268" spans="1:26" ht="15.75" customHeight="1" x14ac:dyDescent="0.25">
      <c r="A3268" s="25">
        <v>3266</v>
      </c>
      <c r="B3268" s="37" t="e">
        <f t="shared" ref="B3268:D3268" si="6577">VLOOKUP($A3268,[10]Mujer!$A$1:$O$279,B$1,0)</f>
        <v>#N/A</v>
      </c>
      <c r="C3268" s="38" t="e">
        <f t="shared" si="6577"/>
        <v>#N/A</v>
      </c>
      <c r="D3268" s="39" t="e">
        <f t="shared" si="6577"/>
        <v>#N/A</v>
      </c>
      <c r="E3268" s="16" t="e">
        <f t="shared" si="1"/>
        <v>#N/A</v>
      </c>
      <c r="F3268" s="16" t="e">
        <f t="shared" ref="F3268:K3268" si="6578">VLOOKUP($A3268,[10]Mujer!$A$1:$O$279,F$1,0)</f>
        <v>#N/A</v>
      </c>
      <c r="G3268" s="39" t="e">
        <f t="shared" si="6578"/>
        <v>#N/A</v>
      </c>
      <c r="H3268" s="16" t="e">
        <f t="shared" si="6578"/>
        <v>#N/A</v>
      </c>
      <c r="I3268" s="16" t="e">
        <f t="shared" si="6578"/>
        <v>#N/A</v>
      </c>
      <c r="J3268" s="40" t="e">
        <f t="shared" si="6578"/>
        <v>#N/A</v>
      </c>
      <c r="K3268" s="16" t="e">
        <f t="shared" si="6578"/>
        <v>#N/A</v>
      </c>
      <c r="L3268" s="40" t="e">
        <f t="shared" si="6045"/>
        <v>#N/A</v>
      </c>
      <c r="M3268" s="16" t="e">
        <f t="shared" si="6046"/>
        <v>#N/A</v>
      </c>
      <c r="N3268" s="16" t="e">
        <f t="shared" si="6047"/>
        <v>#N/A</v>
      </c>
      <c r="O3268" s="16" t="s">
        <v>74</v>
      </c>
      <c r="P3268" s="16" t="str">
        <f t="shared" si="6"/>
        <v/>
      </c>
      <c r="Q3268" s="41" t="e">
        <f t="shared" si="6048"/>
        <v>#N/A</v>
      </c>
      <c r="R3268" s="44"/>
      <c r="S3268" s="44"/>
      <c r="T3268" s="43"/>
      <c r="U3268" s="43" t="str">
        <f t="shared" si="8"/>
        <v>No</v>
      </c>
      <c r="V3268" s="25"/>
      <c r="W3268" s="25"/>
      <c r="X3268" s="25"/>
      <c r="Y3268" s="25"/>
      <c r="Z3268" s="25"/>
    </row>
    <row r="3269" spans="1:26" ht="15.75" customHeight="1" x14ac:dyDescent="0.25">
      <c r="A3269" s="25">
        <v>3267</v>
      </c>
      <c r="B3269" s="37" t="e">
        <f t="shared" ref="B3269:D3269" si="6579">VLOOKUP($A3269,[10]Mujer!$A$1:$O$279,B$1,0)</f>
        <v>#N/A</v>
      </c>
      <c r="C3269" s="38" t="e">
        <f t="shared" si="6579"/>
        <v>#N/A</v>
      </c>
      <c r="D3269" s="39" t="e">
        <f t="shared" si="6579"/>
        <v>#N/A</v>
      </c>
      <c r="E3269" s="16" t="e">
        <f t="shared" si="1"/>
        <v>#N/A</v>
      </c>
      <c r="F3269" s="16" t="e">
        <f t="shared" ref="F3269:K3269" si="6580">VLOOKUP($A3269,[10]Mujer!$A$1:$O$279,F$1,0)</f>
        <v>#N/A</v>
      </c>
      <c r="G3269" s="39" t="e">
        <f t="shared" si="6580"/>
        <v>#N/A</v>
      </c>
      <c r="H3269" s="16" t="e">
        <f t="shared" si="6580"/>
        <v>#N/A</v>
      </c>
      <c r="I3269" s="16" t="e">
        <f t="shared" si="6580"/>
        <v>#N/A</v>
      </c>
      <c r="J3269" s="40" t="e">
        <f t="shared" si="6580"/>
        <v>#N/A</v>
      </c>
      <c r="K3269" s="16" t="e">
        <f t="shared" si="6580"/>
        <v>#N/A</v>
      </c>
      <c r="L3269" s="40" t="e">
        <f t="shared" si="6045"/>
        <v>#N/A</v>
      </c>
      <c r="M3269" s="16" t="e">
        <f t="shared" si="6046"/>
        <v>#N/A</v>
      </c>
      <c r="N3269" s="16" t="e">
        <f t="shared" si="6047"/>
        <v>#N/A</v>
      </c>
      <c r="O3269" s="16" t="s">
        <v>74</v>
      </c>
      <c r="P3269" s="16" t="str">
        <f t="shared" si="6"/>
        <v/>
      </c>
      <c r="Q3269" s="41" t="e">
        <f t="shared" si="6048"/>
        <v>#N/A</v>
      </c>
      <c r="R3269" s="44"/>
      <c r="S3269" s="44"/>
      <c r="T3269" s="43"/>
      <c r="U3269" s="43" t="str">
        <f t="shared" si="8"/>
        <v>No</v>
      </c>
      <c r="V3269" s="25"/>
      <c r="W3269" s="25"/>
      <c r="X3269" s="25"/>
      <c r="Y3269" s="25"/>
      <c r="Z3269" s="25"/>
    </row>
    <row r="3270" spans="1:26" ht="15.75" customHeight="1" x14ac:dyDescent="0.25">
      <c r="A3270" s="25">
        <v>3268</v>
      </c>
      <c r="B3270" s="37" t="e">
        <f t="shared" ref="B3270:D3270" si="6581">VLOOKUP($A3270,[10]Mujer!$A$1:$O$279,B$1,0)</f>
        <v>#N/A</v>
      </c>
      <c r="C3270" s="38" t="e">
        <f t="shared" si="6581"/>
        <v>#N/A</v>
      </c>
      <c r="D3270" s="39" t="e">
        <f t="shared" si="6581"/>
        <v>#N/A</v>
      </c>
      <c r="E3270" s="16" t="e">
        <f t="shared" si="1"/>
        <v>#N/A</v>
      </c>
      <c r="F3270" s="16" t="e">
        <f t="shared" ref="F3270:K3270" si="6582">VLOOKUP($A3270,[10]Mujer!$A$1:$O$279,F$1,0)</f>
        <v>#N/A</v>
      </c>
      <c r="G3270" s="39" t="e">
        <f t="shared" si="6582"/>
        <v>#N/A</v>
      </c>
      <c r="H3270" s="16" t="e">
        <f t="shared" si="6582"/>
        <v>#N/A</v>
      </c>
      <c r="I3270" s="16" t="e">
        <f t="shared" si="6582"/>
        <v>#N/A</v>
      </c>
      <c r="J3270" s="40" t="e">
        <f t="shared" si="6582"/>
        <v>#N/A</v>
      </c>
      <c r="K3270" s="16" t="e">
        <f t="shared" si="6582"/>
        <v>#N/A</v>
      </c>
      <c r="L3270" s="40" t="e">
        <f t="shared" si="6045"/>
        <v>#N/A</v>
      </c>
      <c r="M3270" s="16" t="e">
        <f t="shared" si="6046"/>
        <v>#N/A</v>
      </c>
      <c r="N3270" s="16" t="e">
        <f t="shared" si="6047"/>
        <v>#N/A</v>
      </c>
      <c r="O3270" s="16" t="s">
        <v>74</v>
      </c>
      <c r="P3270" s="16" t="str">
        <f t="shared" si="6"/>
        <v/>
      </c>
      <c r="Q3270" s="41" t="e">
        <f t="shared" si="6048"/>
        <v>#N/A</v>
      </c>
      <c r="R3270" s="44"/>
      <c r="S3270" s="44"/>
      <c r="T3270" s="43"/>
      <c r="U3270" s="43" t="str">
        <f t="shared" si="8"/>
        <v>No</v>
      </c>
      <c r="V3270" s="25"/>
      <c r="W3270" s="25"/>
      <c r="X3270" s="25"/>
      <c r="Y3270" s="25"/>
      <c r="Z3270" s="25"/>
    </row>
    <row r="3271" spans="1:26" ht="15.75" customHeight="1" x14ac:dyDescent="0.25">
      <c r="A3271" s="25">
        <v>3269</v>
      </c>
      <c r="B3271" s="37" t="e">
        <f t="shared" ref="B3271:D3271" si="6583">VLOOKUP($A3271,[10]Mujer!$A$1:$O$279,B$1,0)</f>
        <v>#N/A</v>
      </c>
      <c r="C3271" s="38" t="e">
        <f t="shared" si="6583"/>
        <v>#N/A</v>
      </c>
      <c r="D3271" s="39" t="e">
        <f t="shared" si="6583"/>
        <v>#N/A</v>
      </c>
      <c r="E3271" s="16" t="e">
        <f t="shared" si="1"/>
        <v>#N/A</v>
      </c>
      <c r="F3271" s="16" t="e">
        <f t="shared" ref="F3271:K3271" si="6584">VLOOKUP($A3271,[10]Mujer!$A$1:$O$279,F$1,0)</f>
        <v>#N/A</v>
      </c>
      <c r="G3271" s="39" t="e">
        <f t="shared" si="6584"/>
        <v>#N/A</v>
      </c>
      <c r="H3271" s="16" t="e">
        <f t="shared" si="6584"/>
        <v>#N/A</v>
      </c>
      <c r="I3271" s="16" t="e">
        <f t="shared" si="6584"/>
        <v>#N/A</v>
      </c>
      <c r="J3271" s="40" t="e">
        <f t="shared" si="6584"/>
        <v>#N/A</v>
      </c>
      <c r="K3271" s="16" t="e">
        <f t="shared" si="6584"/>
        <v>#N/A</v>
      </c>
      <c r="L3271" s="40" t="e">
        <f t="shared" si="6045"/>
        <v>#N/A</v>
      </c>
      <c r="M3271" s="16" t="e">
        <f t="shared" si="6046"/>
        <v>#N/A</v>
      </c>
      <c r="N3271" s="16" t="e">
        <f t="shared" si="6047"/>
        <v>#N/A</v>
      </c>
      <c r="O3271" s="16" t="s">
        <v>74</v>
      </c>
      <c r="P3271" s="16" t="str">
        <f t="shared" si="6"/>
        <v/>
      </c>
      <c r="Q3271" s="41" t="e">
        <f t="shared" si="6048"/>
        <v>#N/A</v>
      </c>
      <c r="R3271" s="44"/>
      <c r="S3271" s="44"/>
      <c r="T3271" s="43"/>
      <c r="U3271" s="43" t="str">
        <f t="shared" si="8"/>
        <v>No</v>
      </c>
      <c r="V3271" s="25"/>
      <c r="W3271" s="25"/>
      <c r="X3271" s="25"/>
      <c r="Y3271" s="25"/>
      <c r="Z3271" s="25"/>
    </row>
    <row r="3272" spans="1:26" ht="15.75" customHeight="1" x14ac:dyDescent="0.25">
      <c r="A3272" s="25">
        <v>3270</v>
      </c>
      <c r="B3272" s="37" t="e">
        <f t="shared" ref="B3272:D3272" si="6585">VLOOKUP($A3272,[10]Mujer!$A$1:$O$279,B$1,0)</f>
        <v>#N/A</v>
      </c>
      <c r="C3272" s="38" t="e">
        <f t="shared" si="6585"/>
        <v>#N/A</v>
      </c>
      <c r="D3272" s="39" t="e">
        <f t="shared" si="6585"/>
        <v>#N/A</v>
      </c>
      <c r="E3272" s="16" t="e">
        <f t="shared" si="1"/>
        <v>#N/A</v>
      </c>
      <c r="F3272" s="16" t="e">
        <f t="shared" ref="F3272:K3272" si="6586">VLOOKUP($A3272,[10]Mujer!$A$1:$O$279,F$1,0)</f>
        <v>#N/A</v>
      </c>
      <c r="G3272" s="39" t="e">
        <f t="shared" si="6586"/>
        <v>#N/A</v>
      </c>
      <c r="H3272" s="16" t="e">
        <f t="shared" si="6586"/>
        <v>#N/A</v>
      </c>
      <c r="I3272" s="16" t="e">
        <f t="shared" si="6586"/>
        <v>#N/A</v>
      </c>
      <c r="J3272" s="40" t="e">
        <f t="shared" si="6586"/>
        <v>#N/A</v>
      </c>
      <c r="K3272" s="16" t="e">
        <f t="shared" si="6586"/>
        <v>#N/A</v>
      </c>
      <c r="L3272" s="40" t="e">
        <f t="shared" si="6045"/>
        <v>#N/A</v>
      </c>
      <c r="M3272" s="16" t="e">
        <f t="shared" si="6046"/>
        <v>#N/A</v>
      </c>
      <c r="N3272" s="16" t="e">
        <f t="shared" si="6047"/>
        <v>#N/A</v>
      </c>
      <c r="O3272" s="16" t="s">
        <v>74</v>
      </c>
      <c r="P3272" s="16" t="str">
        <f t="shared" si="6"/>
        <v/>
      </c>
      <c r="Q3272" s="41" t="e">
        <f t="shared" si="6048"/>
        <v>#N/A</v>
      </c>
      <c r="R3272" s="44"/>
      <c r="S3272" s="44"/>
      <c r="T3272" s="43"/>
      <c r="U3272" s="43" t="str">
        <f t="shared" si="8"/>
        <v>No</v>
      </c>
      <c r="V3272" s="25"/>
      <c r="W3272" s="25"/>
      <c r="X3272" s="25"/>
      <c r="Y3272" s="25"/>
      <c r="Z3272" s="25"/>
    </row>
    <row r="3273" spans="1:26" ht="15.75" customHeight="1" x14ac:dyDescent="0.25">
      <c r="A3273" s="25">
        <v>3271</v>
      </c>
      <c r="B3273" s="37" t="e">
        <f t="shared" ref="B3273:D3273" si="6587">VLOOKUP($A3273,[10]Mujer!$A$1:$O$279,B$1,0)</f>
        <v>#N/A</v>
      </c>
      <c r="C3273" s="38" t="e">
        <f t="shared" si="6587"/>
        <v>#N/A</v>
      </c>
      <c r="D3273" s="39" t="e">
        <f t="shared" si="6587"/>
        <v>#N/A</v>
      </c>
      <c r="E3273" s="16" t="e">
        <f t="shared" si="1"/>
        <v>#N/A</v>
      </c>
      <c r="F3273" s="16" t="e">
        <f t="shared" ref="F3273:K3273" si="6588">VLOOKUP($A3273,[10]Mujer!$A$1:$O$279,F$1,0)</f>
        <v>#N/A</v>
      </c>
      <c r="G3273" s="39" t="e">
        <f t="shared" si="6588"/>
        <v>#N/A</v>
      </c>
      <c r="H3273" s="16" t="e">
        <f t="shared" si="6588"/>
        <v>#N/A</v>
      </c>
      <c r="I3273" s="16" t="e">
        <f t="shared" si="6588"/>
        <v>#N/A</v>
      </c>
      <c r="J3273" s="40" t="e">
        <f t="shared" si="6588"/>
        <v>#N/A</v>
      </c>
      <c r="K3273" s="16" t="e">
        <f t="shared" si="6588"/>
        <v>#N/A</v>
      </c>
      <c r="L3273" s="40" t="e">
        <f t="shared" si="6045"/>
        <v>#N/A</v>
      </c>
      <c r="M3273" s="16" t="e">
        <f t="shared" si="6046"/>
        <v>#N/A</v>
      </c>
      <c r="N3273" s="16" t="e">
        <f t="shared" si="6047"/>
        <v>#N/A</v>
      </c>
      <c r="O3273" s="16" t="s">
        <v>74</v>
      </c>
      <c r="P3273" s="16" t="str">
        <f t="shared" si="6"/>
        <v/>
      </c>
      <c r="Q3273" s="41" t="e">
        <f t="shared" si="6048"/>
        <v>#N/A</v>
      </c>
      <c r="R3273" s="44"/>
      <c r="S3273" s="44"/>
      <c r="T3273" s="43"/>
      <c r="U3273" s="43" t="str">
        <f t="shared" si="8"/>
        <v>No</v>
      </c>
      <c r="V3273" s="25"/>
      <c r="W3273" s="25"/>
      <c r="X3273" s="25"/>
      <c r="Y3273" s="25"/>
      <c r="Z3273" s="25"/>
    </row>
    <row r="3274" spans="1:26" ht="15.75" customHeight="1" x14ac:dyDescent="0.25">
      <c r="A3274" s="25">
        <v>3272</v>
      </c>
      <c r="B3274" s="37" t="e">
        <f t="shared" ref="B3274:D3274" si="6589">VLOOKUP($A3274,[10]Mujer!$A$1:$O$279,B$1,0)</f>
        <v>#N/A</v>
      </c>
      <c r="C3274" s="38" t="e">
        <f t="shared" si="6589"/>
        <v>#N/A</v>
      </c>
      <c r="D3274" s="39" t="e">
        <f t="shared" si="6589"/>
        <v>#N/A</v>
      </c>
      <c r="E3274" s="16" t="e">
        <f t="shared" si="1"/>
        <v>#N/A</v>
      </c>
      <c r="F3274" s="16" t="e">
        <f t="shared" ref="F3274:K3274" si="6590">VLOOKUP($A3274,[10]Mujer!$A$1:$O$279,F$1,0)</f>
        <v>#N/A</v>
      </c>
      <c r="G3274" s="39" t="e">
        <f t="shared" si="6590"/>
        <v>#N/A</v>
      </c>
      <c r="H3274" s="16" t="e">
        <f t="shared" si="6590"/>
        <v>#N/A</v>
      </c>
      <c r="I3274" s="16" t="e">
        <f t="shared" si="6590"/>
        <v>#N/A</v>
      </c>
      <c r="J3274" s="40" t="e">
        <f t="shared" si="6590"/>
        <v>#N/A</v>
      </c>
      <c r="K3274" s="16" t="e">
        <f t="shared" si="6590"/>
        <v>#N/A</v>
      </c>
      <c r="L3274" s="40" t="e">
        <f t="shared" si="6045"/>
        <v>#N/A</v>
      </c>
      <c r="M3274" s="16" t="e">
        <f t="shared" si="6046"/>
        <v>#N/A</v>
      </c>
      <c r="N3274" s="16" t="e">
        <f t="shared" si="6047"/>
        <v>#N/A</v>
      </c>
      <c r="O3274" s="16" t="s">
        <v>74</v>
      </c>
      <c r="P3274" s="16" t="str">
        <f t="shared" si="6"/>
        <v/>
      </c>
      <c r="Q3274" s="41" t="e">
        <f t="shared" si="6048"/>
        <v>#N/A</v>
      </c>
      <c r="R3274" s="44"/>
      <c r="S3274" s="44"/>
      <c r="T3274" s="43"/>
      <c r="U3274" s="43" t="str">
        <f t="shared" si="8"/>
        <v>No</v>
      </c>
      <c r="V3274" s="25"/>
      <c r="W3274" s="25"/>
      <c r="X3274" s="25"/>
      <c r="Y3274" s="25"/>
      <c r="Z3274" s="25"/>
    </row>
    <row r="3275" spans="1:26" ht="15.75" customHeight="1" x14ac:dyDescent="0.25">
      <c r="A3275" s="25">
        <v>3273</v>
      </c>
      <c r="B3275" s="37" t="e">
        <f t="shared" ref="B3275:D3275" si="6591">VLOOKUP($A3275,[10]Mujer!$A$1:$O$279,B$1,0)</f>
        <v>#N/A</v>
      </c>
      <c r="C3275" s="38" t="e">
        <f t="shared" si="6591"/>
        <v>#N/A</v>
      </c>
      <c r="D3275" s="39" t="e">
        <f t="shared" si="6591"/>
        <v>#N/A</v>
      </c>
      <c r="E3275" s="16" t="e">
        <f t="shared" si="1"/>
        <v>#N/A</v>
      </c>
      <c r="F3275" s="16" t="e">
        <f t="shared" ref="F3275:K3275" si="6592">VLOOKUP($A3275,[10]Mujer!$A$1:$O$279,F$1,0)</f>
        <v>#N/A</v>
      </c>
      <c r="G3275" s="39" t="e">
        <f t="shared" si="6592"/>
        <v>#N/A</v>
      </c>
      <c r="H3275" s="16" t="e">
        <f t="shared" si="6592"/>
        <v>#N/A</v>
      </c>
      <c r="I3275" s="16" t="e">
        <f t="shared" si="6592"/>
        <v>#N/A</v>
      </c>
      <c r="J3275" s="40" t="e">
        <f t="shared" si="6592"/>
        <v>#N/A</v>
      </c>
      <c r="K3275" s="16" t="e">
        <f t="shared" si="6592"/>
        <v>#N/A</v>
      </c>
      <c r="L3275" s="40" t="e">
        <f t="shared" si="6045"/>
        <v>#N/A</v>
      </c>
      <c r="M3275" s="16" t="e">
        <f t="shared" si="6046"/>
        <v>#N/A</v>
      </c>
      <c r="N3275" s="16" t="e">
        <f t="shared" si="6047"/>
        <v>#N/A</v>
      </c>
      <c r="O3275" s="16" t="s">
        <v>74</v>
      </c>
      <c r="P3275" s="16" t="str">
        <f t="shared" si="6"/>
        <v/>
      </c>
      <c r="Q3275" s="41" t="e">
        <f t="shared" si="6048"/>
        <v>#N/A</v>
      </c>
      <c r="R3275" s="44"/>
      <c r="S3275" s="44"/>
      <c r="T3275" s="43"/>
      <c r="U3275" s="43" t="str">
        <f t="shared" si="8"/>
        <v>No</v>
      </c>
      <c r="V3275" s="25"/>
      <c r="W3275" s="25"/>
      <c r="X3275" s="25"/>
      <c r="Y3275" s="25"/>
      <c r="Z3275" s="25"/>
    </row>
    <row r="3276" spans="1:26" ht="15.75" customHeight="1" x14ac:dyDescent="0.25">
      <c r="A3276" s="25">
        <v>3274</v>
      </c>
      <c r="B3276" s="37" t="e">
        <f t="shared" ref="B3276:D3276" si="6593">VLOOKUP($A3276,[10]Mujer!$A$1:$O$279,B$1,0)</f>
        <v>#N/A</v>
      </c>
      <c r="C3276" s="38" t="e">
        <f t="shared" si="6593"/>
        <v>#N/A</v>
      </c>
      <c r="D3276" s="39" t="e">
        <f t="shared" si="6593"/>
        <v>#N/A</v>
      </c>
      <c r="E3276" s="16" t="e">
        <f t="shared" si="1"/>
        <v>#N/A</v>
      </c>
      <c r="F3276" s="16" t="e">
        <f t="shared" ref="F3276:K3276" si="6594">VLOOKUP($A3276,[10]Mujer!$A$1:$O$279,F$1,0)</f>
        <v>#N/A</v>
      </c>
      <c r="G3276" s="39" t="e">
        <f t="shared" si="6594"/>
        <v>#N/A</v>
      </c>
      <c r="H3276" s="16" t="e">
        <f t="shared" si="6594"/>
        <v>#N/A</v>
      </c>
      <c r="I3276" s="16" t="e">
        <f t="shared" si="6594"/>
        <v>#N/A</v>
      </c>
      <c r="J3276" s="40" t="e">
        <f t="shared" si="6594"/>
        <v>#N/A</v>
      </c>
      <c r="K3276" s="16" t="e">
        <f t="shared" si="6594"/>
        <v>#N/A</v>
      </c>
      <c r="L3276" s="40" t="e">
        <f t="shared" si="6045"/>
        <v>#N/A</v>
      </c>
      <c r="M3276" s="16" t="e">
        <f t="shared" si="6046"/>
        <v>#N/A</v>
      </c>
      <c r="N3276" s="16" t="e">
        <f t="shared" si="6047"/>
        <v>#N/A</v>
      </c>
      <c r="O3276" s="16" t="s">
        <v>74</v>
      </c>
      <c r="P3276" s="16" t="str">
        <f t="shared" si="6"/>
        <v/>
      </c>
      <c r="Q3276" s="41" t="e">
        <f t="shared" si="6048"/>
        <v>#N/A</v>
      </c>
      <c r="R3276" s="44"/>
      <c r="S3276" s="44"/>
      <c r="T3276" s="43"/>
      <c r="U3276" s="43" t="str">
        <f t="shared" si="8"/>
        <v>No</v>
      </c>
      <c r="V3276" s="25"/>
      <c r="W3276" s="25"/>
      <c r="X3276" s="25"/>
      <c r="Y3276" s="25"/>
      <c r="Z3276" s="25"/>
    </row>
    <row r="3277" spans="1:26" ht="15.75" customHeight="1" x14ac:dyDescent="0.25">
      <c r="A3277" s="25">
        <v>3275</v>
      </c>
      <c r="B3277" s="37" t="e">
        <f t="shared" ref="B3277:D3277" si="6595">VLOOKUP($A3277,[10]Mujer!$A$1:$O$279,B$1,0)</f>
        <v>#N/A</v>
      </c>
      <c r="C3277" s="38" t="e">
        <f t="shared" si="6595"/>
        <v>#N/A</v>
      </c>
      <c r="D3277" s="39" t="e">
        <f t="shared" si="6595"/>
        <v>#N/A</v>
      </c>
      <c r="E3277" s="16" t="e">
        <f t="shared" si="1"/>
        <v>#N/A</v>
      </c>
      <c r="F3277" s="16" t="e">
        <f t="shared" ref="F3277:K3277" si="6596">VLOOKUP($A3277,[10]Mujer!$A$1:$O$279,F$1,0)</f>
        <v>#N/A</v>
      </c>
      <c r="G3277" s="39" t="e">
        <f t="shared" si="6596"/>
        <v>#N/A</v>
      </c>
      <c r="H3277" s="16" t="e">
        <f t="shared" si="6596"/>
        <v>#N/A</v>
      </c>
      <c r="I3277" s="16" t="e">
        <f t="shared" si="6596"/>
        <v>#N/A</v>
      </c>
      <c r="J3277" s="40" t="e">
        <f t="shared" si="6596"/>
        <v>#N/A</v>
      </c>
      <c r="K3277" s="16" t="e">
        <f t="shared" si="6596"/>
        <v>#N/A</v>
      </c>
      <c r="L3277" s="40" t="e">
        <f t="shared" si="6045"/>
        <v>#N/A</v>
      </c>
      <c r="M3277" s="16" t="e">
        <f t="shared" si="6046"/>
        <v>#N/A</v>
      </c>
      <c r="N3277" s="16" t="e">
        <f t="shared" si="6047"/>
        <v>#N/A</v>
      </c>
      <c r="O3277" s="16" t="s">
        <v>74</v>
      </c>
      <c r="P3277" s="16" t="str">
        <f t="shared" si="6"/>
        <v/>
      </c>
      <c r="Q3277" s="41" t="e">
        <f t="shared" si="6048"/>
        <v>#N/A</v>
      </c>
      <c r="R3277" s="44"/>
      <c r="S3277" s="44"/>
      <c r="T3277" s="43"/>
      <c r="U3277" s="43" t="str">
        <f t="shared" si="8"/>
        <v>No</v>
      </c>
      <c r="V3277" s="25"/>
      <c r="W3277" s="25"/>
      <c r="X3277" s="25"/>
      <c r="Y3277" s="25"/>
      <c r="Z3277" s="25"/>
    </row>
    <row r="3278" spans="1:26" ht="15.75" customHeight="1" x14ac:dyDescent="0.25">
      <c r="A3278" s="25">
        <v>3276</v>
      </c>
      <c r="B3278" s="37" t="e">
        <f t="shared" ref="B3278:D3278" si="6597">VLOOKUP($A3278,[10]Mujer!$A$1:$O$279,B$1,0)</f>
        <v>#N/A</v>
      </c>
      <c r="C3278" s="38" t="e">
        <f t="shared" si="6597"/>
        <v>#N/A</v>
      </c>
      <c r="D3278" s="39" t="e">
        <f t="shared" si="6597"/>
        <v>#N/A</v>
      </c>
      <c r="E3278" s="16" t="e">
        <f t="shared" si="1"/>
        <v>#N/A</v>
      </c>
      <c r="F3278" s="16" t="e">
        <f t="shared" ref="F3278:K3278" si="6598">VLOOKUP($A3278,[10]Mujer!$A$1:$O$279,F$1,0)</f>
        <v>#N/A</v>
      </c>
      <c r="G3278" s="39" t="e">
        <f t="shared" si="6598"/>
        <v>#N/A</v>
      </c>
      <c r="H3278" s="16" t="e">
        <f t="shared" si="6598"/>
        <v>#N/A</v>
      </c>
      <c r="I3278" s="16" t="e">
        <f t="shared" si="6598"/>
        <v>#N/A</v>
      </c>
      <c r="J3278" s="40" t="e">
        <f t="shared" si="6598"/>
        <v>#N/A</v>
      </c>
      <c r="K3278" s="16" t="e">
        <f t="shared" si="6598"/>
        <v>#N/A</v>
      </c>
      <c r="L3278" s="40" t="e">
        <f t="shared" si="6045"/>
        <v>#N/A</v>
      </c>
      <c r="M3278" s="16" t="e">
        <f t="shared" si="6046"/>
        <v>#N/A</v>
      </c>
      <c r="N3278" s="16" t="e">
        <f t="shared" si="6047"/>
        <v>#N/A</v>
      </c>
      <c r="O3278" s="16" t="s">
        <v>74</v>
      </c>
      <c r="P3278" s="16" t="str">
        <f t="shared" si="6"/>
        <v/>
      </c>
      <c r="Q3278" s="41" t="e">
        <f t="shared" si="6048"/>
        <v>#N/A</v>
      </c>
      <c r="R3278" s="44"/>
      <c r="S3278" s="44"/>
      <c r="T3278" s="43"/>
      <c r="U3278" s="43" t="str">
        <f t="shared" si="8"/>
        <v>No</v>
      </c>
      <c r="V3278" s="25"/>
      <c r="W3278" s="25"/>
      <c r="X3278" s="25"/>
      <c r="Y3278" s="25"/>
      <c r="Z3278" s="25"/>
    </row>
    <row r="3279" spans="1:26" ht="15.75" customHeight="1" x14ac:dyDescent="0.25">
      <c r="A3279" s="25">
        <v>3277</v>
      </c>
      <c r="B3279" s="37" t="e">
        <f t="shared" ref="B3279:D3279" si="6599">VLOOKUP($A3279,[10]Mujer!$A$1:$O$279,B$1,0)</f>
        <v>#N/A</v>
      </c>
      <c r="C3279" s="38" t="e">
        <f t="shared" si="6599"/>
        <v>#N/A</v>
      </c>
      <c r="D3279" s="39" t="e">
        <f t="shared" si="6599"/>
        <v>#N/A</v>
      </c>
      <c r="E3279" s="16" t="e">
        <f t="shared" si="1"/>
        <v>#N/A</v>
      </c>
      <c r="F3279" s="16" t="e">
        <f t="shared" ref="F3279:K3279" si="6600">VLOOKUP($A3279,[10]Mujer!$A$1:$O$279,F$1,0)</f>
        <v>#N/A</v>
      </c>
      <c r="G3279" s="39" t="e">
        <f t="shared" si="6600"/>
        <v>#N/A</v>
      </c>
      <c r="H3279" s="16" t="e">
        <f t="shared" si="6600"/>
        <v>#N/A</v>
      </c>
      <c r="I3279" s="16" t="e">
        <f t="shared" si="6600"/>
        <v>#N/A</v>
      </c>
      <c r="J3279" s="40" t="e">
        <f t="shared" si="6600"/>
        <v>#N/A</v>
      </c>
      <c r="K3279" s="16" t="e">
        <f t="shared" si="6600"/>
        <v>#N/A</v>
      </c>
      <c r="L3279" s="40" t="e">
        <f t="shared" si="6045"/>
        <v>#N/A</v>
      </c>
      <c r="M3279" s="16" t="e">
        <f t="shared" si="6046"/>
        <v>#N/A</v>
      </c>
      <c r="N3279" s="16" t="e">
        <f t="shared" si="6047"/>
        <v>#N/A</v>
      </c>
      <c r="O3279" s="16" t="s">
        <v>74</v>
      </c>
      <c r="P3279" s="16" t="str">
        <f t="shared" si="6"/>
        <v/>
      </c>
      <c r="Q3279" s="41" t="e">
        <f t="shared" si="6048"/>
        <v>#N/A</v>
      </c>
      <c r="R3279" s="44"/>
      <c r="S3279" s="44"/>
      <c r="T3279" s="43"/>
      <c r="U3279" s="43" t="str">
        <f t="shared" si="8"/>
        <v>No</v>
      </c>
      <c r="V3279" s="25"/>
      <c r="W3279" s="25"/>
      <c r="X3279" s="25"/>
      <c r="Y3279" s="25"/>
      <c r="Z3279" s="25"/>
    </row>
    <row r="3280" spans="1:26" ht="15.75" customHeight="1" x14ac:dyDescent="0.25">
      <c r="A3280" s="25">
        <v>3278</v>
      </c>
      <c r="B3280" s="37" t="e">
        <f t="shared" ref="B3280:D3280" si="6601">VLOOKUP($A3280,[10]Mujer!$A$1:$O$279,B$1,0)</f>
        <v>#N/A</v>
      </c>
      <c r="C3280" s="38" t="e">
        <f t="shared" si="6601"/>
        <v>#N/A</v>
      </c>
      <c r="D3280" s="39" t="e">
        <f t="shared" si="6601"/>
        <v>#N/A</v>
      </c>
      <c r="E3280" s="16" t="e">
        <f t="shared" si="1"/>
        <v>#N/A</v>
      </c>
      <c r="F3280" s="16" t="e">
        <f t="shared" ref="F3280:K3280" si="6602">VLOOKUP($A3280,[10]Mujer!$A$1:$O$279,F$1,0)</f>
        <v>#N/A</v>
      </c>
      <c r="G3280" s="39" t="e">
        <f t="shared" si="6602"/>
        <v>#N/A</v>
      </c>
      <c r="H3280" s="16" t="e">
        <f t="shared" si="6602"/>
        <v>#N/A</v>
      </c>
      <c r="I3280" s="16" t="e">
        <f t="shared" si="6602"/>
        <v>#N/A</v>
      </c>
      <c r="J3280" s="40" t="e">
        <f t="shared" si="6602"/>
        <v>#N/A</v>
      </c>
      <c r="K3280" s="16" t="e">
        <f t="shared" si="6602"/>
        <v>#N/A</v>
      </c>
      <c r="L3280" s="40" t="e">
        <f t="shared" si="6045"/>
        <v>#N/A</v>
      </c>
      <c r="M3280" s="16" t="e">
        <f t="shared" si="6046"/>
        <v>#N/A</v>
      </c>
      <c r="N3280" s="16" t="e">
        <f t="shared" si="6047"/>
        <v>#N/A</v>
      </c>
      <c r="O3280" s="16" t="s">
        <v>74</v>
      </c>
      <c r="P3280" s="16" t="str">
        <f t="shared" si="6"/>
        <v/>
      </c>
      <c r="Q3280" s="41" t="e">
        <f t="shared" si="6048"/>
        <v>#N/A</v>
      </c>
      <c r="R3280" s="44"/>
      <c r="S3280" s="44"/>
      <c r="T3280" s="43"/>
      <c r="U3280" s="43" t="str">
        <f t="shared" si="8"/>
        <v>No</v>
      </c>
      <c r="V3280" s="25"/>
      <c r="W3280" s="25"/>
      <c r="X3280" s="25"/>
      <c r="Y3280" s="25"/>
      <c r="Z3280" s="25"/>
    </row>
    <row r="3281" spans="1:26" ht="15.75" customHeight="1" x14ac:dyDescent="0.25">
      <c r="A3281" s="25">
        <v>3279</v>
      </c>
      <c r="B3281" s="37" t="e">
        <f t="shared" ref="B3281:D3281" si="6603">VLOOKUP($A3281,[10]Mujer!$A$1:$O$279,B$1,0)</f>
        <v>#N/A</v>
      </c>
      <c r="C3281" s="38" t="e">
        <f t="shared" si="6603"/>
        <v>#N/A</v>
      </c>
      <c r="D3281" s="39" t="e">
        <f t="shared" si="6603"/>
        <v>#N/A</v>
      </c>
      <c r="E3281" s="16" t="e">
        <f t="shared" si="1"/>
        <v>#N/A</v>
      </c>
      <c r="F3281" s="16" t="e">
        <f t="shared" ref="F3281:K3281" si="6604">VLOOKUP($A3281,[10]Mujer!$A$1:$O$279,F$1,0)</f>
        <v>#N/A</v>
      </c>
      <c r="G3281" s="39" t="e">
        <f t="shared" si="6604"/>
        <v>#N/A</v>
      </c>
      <c r="H3281" s="16" t="e">
        <f t="shared" si="6604"/>
        <v>#N/A</v>
      </c>
      <c r="I3281" s="16" t="e">
        <f t="shared" si="6604"/>
        <v>#N/A</v>
      </c>
      <c r="J3281" s="40" t="e">
        <f t="shared" si="6604"/>
        <v>#N/A</v>
      </c>
      <c r="K3281" s="16" t="e">
        <f t="shared" si="6604"/>
        <v>#N/A</v>
      </c>
      <c r="L3281" s="40" t="e">
        <f t="shared" si="6045"/>
        <v>#N/A</v>
      </c>
      <c r="M3281" s="16" t="e">
        <f t="shared" si="6046"/>
        <v>#N/A</v>
      </c>
      <c r="N3281" s="16" t="e">
        <f t="shared" si="6047"/>
        <v>#N/A</v>
      </c>
      <c r="O3281" s="16" t="s">
        <v>74</v>
      </c>
      <c r="P3281" s="16" t="str">
        <f t="shared" si="6"/>
        <v/>
      </c>
      <c r="Q3281" s="41" t="e">
        <f t="shared" si="6048"/>
        <v>#N/A</v>
      </c>
      <c r="R3281" s="44"/>
      <c r="S3281" s="44"/>
      <c r="T3281" s="43"/>
      <c r="U3281" s="43" t="str">
        <f t="shared" si="8"/>
        <v>No</v>
      </c>
      <c r="V3281" s="25"/>
      <c r="W3281" s="25"/>
      <c r="X3281" s="25"/>
      <c r="Y3281" s="25"/>
      <c r="Z3281" s="25"/>
    </row>
    <row r="3282" spans="1:26" ht="15.75" customHeight="1" x14ac:dyDescent="0.25">
      <c r="A3282" s="25">
        <v>3280</v>
      </c>
      <c r="B3282" s="37" t="e">
        <f t="shared" ref="B3282:D3282" si="6605">VLOOKUP($A3282,[10]Mujer!$A$1:$O$279,B$1,0)</f>
        <v>#N/A</v>
      </c>
      <c r="C3282" s="38" t="e">
        <f t="shared" si="6605"/>
        <v>#N/A</v>
      </c>
      <c r="D3282" s="39" t="e">
        <f t="shared" si="6605"/>
        <v>#N/A</v>
      </c>
      <c r="E3282" s="16" t="e">
        <f t="shared" si="1"/>
        <v>#N/A</v>
      </c>
      <c r="F3282" s="16" t="e">
        <f t="shared" ref="F3282:K3282" si="6606">VLOOKUP($A3282,[10]Mujer!$A$1:$O$279,F$1,0)</f>
        <v>#N/A</v>
      </c>
      <c r="G3282" s="39" t="e">
        <f t="shared" si="6606"/>
        <v>#N/A</v>
      </c>
      <c r="H3282" s="16" t="e">
        <f t="shared" si="6606"/>
        <v>#N/A</v>
      </c>
      <c r="I3282" s="16" t="e">
        <f t="shared" si="6606"/>
        <v>#N/A</v>
      </c>
      <c r="J3282" s="40" t="e">
        <f t="shared" si="6606"/>
        <v>#N/A</v>
      </c>
      <c r="K3282" s="16" t="e">
        <f t="shared" si="6606"/>
        <v>#N/A</v>
      </c>
      <c r="L3282" s="40" t="e">
        <f t="shared" si="6045"/>
        <v>#N/A</v>
      </c>
      <c r="M3282" s="16" t="e">
        <f t="shared" si="6046"/>
        <v>#N/A</v>
      </c>
      <c r="N3282" s="16" t="e">
        <f t="shared" si="6047"/>
        <v>#N/A</v>
      </c>
      <c r="O3282" s="16" t="s">
        <v>74</v>
      </c>
      <c r="P3282" s="16" t="str">
        <f t="shared" si="6"/>
        <v/>
      </c>
      <c r="Q3282" s="41" t="e">
        <f t="shared" si="6048"/>
        <v>#N/A</v>
      </c>
      <c r="R3282" s="44"/>
      <c r="S3282" s="44"/>
      <c r="T3282" s="43"/>
      <c r="U3282" s="43" t="str">
        <f t="shared" si="8"/>
        <v>No</v>
      </c>
      <c r="V3282" s="25"/>
      <c r="W3282" s="25"/>
      <c r="X3282" s="25"/>
      <c r="Y3282" s="25"/>
      <c r="Z3282" s="25"/>
    </row>
    <row r="3283" spans="1:26" ht="15.75" customHeight="1" x14ac:dyDescent="0.25">
      <c r="A3283" s="25">
        <v>3281</v>
      </c>
      <c r="B3283" s="37" t="e">
        <f t="shared" ref="B3283:D3283" si="6607">VLOOKUP($A3283,[10]Mujer!$A$1:$O$279,B$1,0)</f>
        <v>#N/A</v>
      </c>
      <c r="C3283" s="38" t="e">
        <f t="shared" si="6607"/>
        <v>#N/A</v>
      </c>
      <c r="D3283" s="39" t="e">
        <f t="shared" si="6607"/>
        <v>#N/A</v>
      </c>
      <c r="E3283" s="16" t="e">
        <f t="shared" si="1"/>
        <v>#N/A</v>
      </c>
      <c r="F3283" s="16" t="e">
        <f t="shared" ref="F3283:K3283" si="6608">VLOOKUP($A3283,[10]Mujer!$A$1:$O$279,F$1,0)</f>
        <v>#N/A</v>
      </c>
      <c r="G3283" s="39" t="e">
        <f t="shared" si="6608"/>
        <v>#N/A</v>
      </c>
      <c r="H3283" s="16" t="e">
        <f t="shared" si="6608"/>
        <v>#N/A</v>
      </c>
      <c r="I3283" s="16" t="e">
        <f t="shared" si="6608"/>
        <v>#N/A</v>
      </c>
      <c r="J3283" s="40" t="e">
        <f t="shared" si="6608"/>
        <v>#N/A</v>
      </c>
      <c r="K3283" s="16" t="e">
        <f t="shared" si="6608"/>
        <v>#N/A</v>
      </c>
      <c r="L3283" s="40" t="e">
        <f t="shared" si="6045"/>
        <v>#N/A</v>
      </c>
      <c r="M3283" s="16" t="e">
        <f t="shared" si="6046"/>
        <v>#N/A</v>
      </c>
      <c r="N3283" s="16" t="e">
        <f t="shared" si="6047"/>
        <v>#N/A</v>
      </c>
      <c r="O3283" s="16" t="s">
        <v>74</v>
      </c>
      <c r="P3283" s="16" t="str">
        <f t="shared" si="6"/>
        <v/>
      </c>
      <c r="Q3283" s="41" t="e">
        <f t="shared" si="6048"/>
        <v>#N/A</v>
      </c>
      <c r="R3283" s="44"/>
      <c r="S3283" s="44"/>
      <c r="T3283" s="43"/>
      <c r="U3283" s="43" t="str">
        <f t="shared" si="8"/>
        <v>No</v>
      </c>
      <c r="V3283" s="25"/>
      <c r="W3283" s="25"/>
      <c r="X3283" s="25"/>
      <c r="Y3283" s="25"/>
      <c r="Z3283" s="25"/>
    </row>
    <row r="3284" spans="1:26" ht="15.75" customHeight="1" x14ac:dyDescent="0.25">
      <c r="A3284" s="25">
        <v>3282</v>
      </c>
      <c r="B3284" s="37" t="e">
        <f t="shared" ref="B3284:D3284" si="6609">VLOOKUP($A3284,[10]Mujer!$A$1:$O$279,B$1,0)</f>
        <v>#N/A</v>
      </c>
      <c r="C3284" s="38" t="e">
        <f t="shared" si="6609"/>
        <v>#N/A</v>
      </c>
      <c r="D3284" s="39" t="e">
        <f t="shared" si="6609"/>
        <v>#N/A</v>
      </c>
      <c r="E3284" s="16" t="e">
        <f t="shared" si="1"/>
        <v>#N/A</v>
      </c>
      <c r="F3284" s="16" t="e">
        <f t="shared" ref="F3284:K3284" si="6610">VLOOKUP($A3284,[10]Mujer!$A$1:$O$279,F$1,0)</f>
        <v>#N/A</v>
      </c>
      <c r="G3284" s="39" t="e">
        <f t="shared" si="6610"/>
        <v>#N/A</v>
      </c>
      <c r="H3284" s="16" t="e">
        <f t="shared" si="6610"/>
        <v>#N/A</v>
      </c>
      <c r="I3284" s="16" t="e">
        <f t="shared" si="6610"/>
        <v>#N/A</v>
      </c>
      <c r="J3284" s="40" t="e">
        <f t="shared" si="6610"/>
        <v>#N/A</v>
      </c>
      <c r="K3284" s="16" t="e">
        <f t="shared" si="6610"/>
        <v>#N/A</v>
      </c>
      <c r="L3284" s="40" t="e">
        <f t="shared" si="6045"/>
        <v>#N/A</v>
      </c>
      <c r="M3284" s="16" t="e">
        <f t="shared" si="6046"/>
        <v>#N/A</v>
      </c>
      <c r="N3284" s="16" t="e">
        <f t="shared" si="6047"/>
        <v>#N/A</v>
      </c>
      <c r="O3284" s="16" t="s">
        <v>74</v>
      </c>
      <c r="P3284" s="16" t="str">
        <f t="shared" si="6"/>
        <v/>
      </c>
      <c r="Q3284" s="41" t="e">
        <f t="shared" si="6048"/>
        <v>#N/A</v>
      </c>
      <c r="R3284" s="44"/>
      <c r="S3284" s="44"/>
      <c r="T3284" s="43"/>
      <c r="U3284" s="43" t="str">
        <f t="shared" si="8"/>
        <v>No</v>
      </c>
      <c r="V3284" s="25"/>
      <c r="W3284" s="25"/>
      <c r="X3284" s="25"/>
      <c r="Y3284" s="25"/>
      <c r="Z3284" s="25"/>
    </row>
    <row r="3285" spans="1:26" ht="15.75" customHeight="1" x14ac:dyDescent="0.25">
      <c r="A3285" s="25">
        <v>3283</v>
      </c>
      <c r="B3285" s="37" t="e">
        <f t="shared" ref="B3285:D3285" si="6611">VLOOKUP($A3285,[10]Mujer!$A$1:$O$279,B$1,0)</f>
        <v>#N/A</v>
      </c>
      <c r="C3285" s="38" t="e">
        <f t="shared" si="6611"/>
        <v>#N/A</v>
      </c>
      <c r="D3285" s="39" t="e">
        <f t="shared" si="6611"/>
        <v>#N/A</v>
      </c>
      <c r="E3285" s="16" t="e">
        <f t="shared" si="1"/>
        <v>#N/A</v>
      </c>
      <c r="F3285" s="16" t="e">
        <f t="shared" ref="F3285:K3285" si="6612">VLOOKUP($A3285,[10]Mujer!$A$1:$O$279,F$1,0)</f>
        <v>#N/A</v>
      </c>
      <c r="G3285" s="39" t="e">
        <f t="shared" si="6612"/>
        <v>#N/A</v>
      </c>
      <c r="H3285" s="16" t="e">
        <f t="shared" si="6612"/>
        <v>#N/A</v>
      </c>
      <c r="I3285" s="16" t="e">
        <f t="shared" si="6612"/>
        <v>#N/A</v>
      </c>
      <c r="J3285" s="40" t="e">
        <f t="shared" si="6612"/>
        <v>#N/A</v>
      </c>
      <c r="K3285" s="16" t="e">
        <f t="shared" si="6612"/>
        <v>#N/A</v>
      </c>
      <c r="L3285" s="40" t="e">
        <f t="shared" si="6045"/>
        <v>#N/A</v>
      </c>
      <c r="M3285" s="16" t="e">
        <f t="shared" si="6046"/>
        <v>#N/A</v>
      </c>
      <c r="N3285" s="16" t="e">
        <f t="shared" si="6047"/>
        <v>#N/A</v>
      </c>
      <c r="O3285" s="16" t="s">
        <v>74</v>
      </c>
      <c r="P3285" s="16" t="str">
        <f t="shared" si="6"/>
        <v/>
      </c>
      <c r="Q3285" s="41" t="e">
        <f t="shared" si="6048"/>
        <v>#N/A</v>
      </c>
      <c r="R3285" s="44"/>
      <c r="S3285" s="44"/>
      <c r="T3285" s="43"/>
      <c r="U3285" s="43" t="str">
        <f t="shared" si="8"/>
        <v>No</v>
      </c>
      <c r="V3285" s="25"/>
      <c r="W3285" s="25"/>
      <c r="X3285" s="25"/>
      <c r="Y3285" s="25"/>
      <c r="Z3285" s="25"/>
    </row>
    <row r="3286" spans="1:26" ht="15.75" customHeight="1" x14ac:dyDescent="0.25">
      <c r="A3286" s="25">
        <v>3284</v>
      </c>
      <c r="B3286" s="37" t="e">
        <f t="shared" ref="B3286:D3286" si="6613">VLOOKUP($A3286,[10]Mujer!$A$1:$O$279,B$1,0)</f>
        <v>#N/A</v>
      </c>
      <c r="C3286" s="38" t="e">
        <f t="shared" si="6613"/>
        <v>#N/A</v>
      </c>
      <c r="D3286" s="39" t="e">
        <f t="shared" si="6613"/>
        <v>#N/A</v>
      </c>
      <c r="E3286" s="16" t="e">
        <f t="shared" si="1"/>
        <v>#N/A</v>
      </c>
      <c r="F3286" s="16" t="e">
        <f t="shared" ref="F3286:K3286" si="6614">VLOOKUP($A3286,[10]Mujer!$A$1:$O$279,F$1,0)</f>
        <v>#N/A</v>
      </c>
      <c r="G3286" s="39" t="e">
        <f t="shared" si="6614"/>
        <v>#N/A</v>
      </c>
      <c r="H3286" s="16" t="e">
        <f t="shared" si="6614"/>
        <v>#N/A</v>
      </c>
      <c r="I3286" s="16" t="e">
        <f t="shared" si="6614"/>
        <v>#N/A</v>
      </c>
      <c r="J3286" s="40" t="e">
        <f t="shared" si="6614"/>
        <v>#N/A</v>
      </c>
      <c r="K3286" s="16" t="e">
        <f t="shared" si="6614"/>
        <v>#N/A</v>
      </c>
      <c r="L3286" s="40" t="e">
        <f t="shared" si="6045"/>
        <v>#N/A</v>
      </c>
      <c r="M3286" s="16" t="e">
        <f t="shared" si="6046"/>
        <v>#N/A</v>
      </c>
      <c r="N3286" s="16" t="e">
        <f t="shared" si="6047"/>
        <v>#N/A</v>
      </c>
      <c r="O3286" s="16" t="s">
        <v>74</v>
      </c>
      <c r="P3286" s="16" t="str">
        <f t="shared" si="6"/>
        <v/>
      </c>
      <c r="Q3286" s="41" t="e">
        <f t="shared" si="6048"/>
        <v>#N/A</v>
      </c>
      <c r="R3286" s="44"/>
      <c r="S3286" s="44"/>
      <c r="T3286" s="43"/>
      <c r="U3286" s="43" t="str">
        <f t="shared" si="8"/>
        <v>No</v>
      </c>
      <c r="V3286" s="25"/>
      <c r="W3286" s="25"/>
      <c r="X3286" s="25"/>
      <c r="Y3286" s="25"/>
      <c r="Z3286" s="25"/>
    </row>
    <row r="3287" spans="1:26" ht="15.75" customHeight="1" x14ac:dyDescent="0.25">
      <c r="A3287" s="25">
        <v>3285</v>
      </c>
      <c r="B3287" s="37" t="e">
        <f t="shared" ref="B3287:D3287" si="6615">VLOOKUP($A3287,[10]Mujer!$A$1:$O$279,B$1,0)</f>
        <v>#N/A</v>
      </c>
      <c r="C3287" s="38" t="e">
        <f t="shared" si="6615"/>
        <v>#N/A</v>
      </c>
      <c r="D3287" s="39" t="e">
        <f t="shared" si="6615"/>
        <v>#N/A</v>
      </c>
      <c r="E3287" s="16" t="e">
        <f t="shared" si="1"/>
        <v>#N/A</v>
      </c>
      <c r="F3287" s="16" t="e">
        <f t="shared" ref="F3287:K3287" si="6616">VLOOKUP($A3287,[10]Mujer!$A$1:$O$279,F$1,0)</f>
        <v>#N/A</v>
      </c>
      <c r="G3287" s="39" t="e">
        <f t="shared" si="6616"/>
        <v>#N/A</v>
      </c>
      <c r="H3287" s="16" t="e">
        <f t="shared" si="6616"/>
        <v>#N/A</v>
      </c>
      <c r="I3287" s="16" t="e">
        <f t="shared" si="6616"/>
        <v>#N/A</v>
      </c>
      <c r="J3287" s="40" t="e">
        <f t="shared" si="6616"/>
        <v>#N/A</v>
      </c>
      <c r="K3287" s="16" t="e">
        <f t="shared" si="6616"/>
        <v>#N/A</v>
      </c>
      <c r="L3287" s="40" t="e">
        <f t="shared" si="6045"/>
        <v>#N/A</v>
      </c>
      <c r="M3287" s="16" t="e">
        <f t="shared" si="6046"/>
        <v>#N/A</v>
      </c>
      <c r="N3287" s="16" t="e">
        <f t="shared" si="6047"/>
        <v>#N/A</v>
      </c>
      <c r="O3287" s="16" t="s">
        <v>74</v>
      </c>
      <c r="P3287" s="16" t="str">
        <f t="shared" si="6"/>
        <v/>
      </c>
      <c r="Q3287" s="41" t="e">
        <f t="shared" si="6048"/>
        <v>#N/A</v>
      </c>
      <c r="R3287" s="44"/>
      <c r="S3287" s="44"/>
      <c r="T3287" s="43"/>
      <c r="U3287" s="43" t="str">
        <f t="shared" si="8"/>
        <v>No</v>
      </c>
      <c r="V3287" s="25"/>
      <c r="W3287" s="25"/>
      <c r="X3287" s="25"/>
      <c r="Y3287" s="25"/>
      <c r="Z3287" s="25"/>
    </row>
    <row r="3288" spans="1:26" ht="15.75" customHeight="1" x14ac:dyDescent="0.25">
      <c r="A3288" s="25">
        <v>3286</v>
      </c>
      <c r="B3288" s="37" t="e">
        <f t="shared" ref="B3288:D3288" si="6617">VLOOKUP($A3288,[10]Mujer!$A$1:$O$279,B$1,0)</f>
        <v>#N/A</v>
      </c>
      <c r="C3288" s="38" t="e">
        <f t="shared" si="6617"/>
        <v>#N/A</v>
      </c>
      <c r="D3288" s="39" t="e">
        <f t="shared" si="6617"/>
        <v>#N/A</v>
      </c>
      <c r="E3288" s="16" t="e">
        <f t="shared" si="1"/>
        <v>#N/A</v>
      </c>
      <c r="F3288" s="16" t="e">
        <f t="shared" ref="F3288:K3288" si="6618">VLOOKUP($A3288,[10]Mujer!$A$1:$O$279,F$1,0)</f>
        <v>#N/A</v>
      </c>
      <c r="G3288" s="39" t="e">
        <f t="shared" si="6618"/>
        <v>#N/A</v>
      </c>
      <c r="H3288" s="16" t="e">
        <f t="shared" si="6618"/>
        <v>#N/A</v>
      </c>
      <c r="I3288" s="16" t="e">
        <f t="shared" si="6618"/>
        <v>#N/A</v>
      </c>
      <c r="J3288" s="40" t="e">
        <f t="shared" si="6618"/>
        <v>#N/A</v>
      </c>
      <c r="K3288" s="16" t="e">
        <f t="shared" si="6618"/>
        <v>#N/A</v>
      </c>
      <c r="L3288" s="40" t="e">
        <f t="shared" si="6045"/>
        <v>#N/A</v>
      </c>
      <c r="M3288" s="16" t="e">
        <f t="shared" si="6046"/>
        <v>#N/A</v>
      </c>
      <c r="N3288" s="16" t="e">
        <f t="shared" si="6047"/>
        <v>#N/A</v>
      </c>
      <c r="O3288" s="16" t="s">
        <v>74</v>
      </c>
      <c r="P3288" s="16" t="str">
        <f t="shared" si="6"/>
        <v/>
      </c>
      <c r="Q3288" s="41" t="e">
        <f t="shared" si="6048"/>
        <v>#N/A</v>
      </c>
      <c r="R3288" s="44"/>
      <c r="S3288" s="44"/>
      <c r="T3288" s="43"/>
      <c r="U3288" s="43" t="str">
        <f t="shared" si="8"/>
        <v>No</v>
      </c>
      <c r="V3288" s="25"/>
      <c r="W3288" s="25"/>
      <c r="X3288" s="25"/>
      <c r="Y3288" s="25"/>
      <c r="Z3288" s="25"/>
    </row>
    <row r="3289" spans="1:26" ht="15.75" customHeight="1" x14ac:dyDescent="0.25">
      <c r="A3289" s="25">
        <v>3287</v>
      </c>
      <c r="B3289" s="37" t="e">
        <f t="shared" ref="B3289:D3289" si="6619">VLOOKUP($A3289,[10]Mujer!$A$1:$O$279,B$1,0)</f>
        <v>#N/A</v>
      </c>
      <c r="C3289" s="38" t="e">
        <f t="shared" si="6619"/>
        <v>#N/A</v>
      </c>
      <c r="D3289" s="39" t="e">
        <f t="shared" si="6619"/>
        <v>#N/A</v>
      </c>
      <c r="E3289" s="16" t="e">
        <f t="shared" si="1"/>
        <v>#N/A</v>
      </c>
      <c r="F3289" s="16" t="e">
        <f t="shared" ref="F3289:K3289" si="6620">VLOOKUP($A3289,[10]Mujer!$A$1:$O$279,F$1,0)</f>
        <v>#N/A</v>
      </c>
      <c r="G3289" s="39" t="e">
        <f t="shared" si="6620"/>
        <v>#N/A</v>
      </c>
      <c r="H3289" s="16" t="e">
        <f t="shared" si="6620"/>
        <v>#N/A</v>
      </c>
      <c r="I3289" s="16" t="e">
        <f t="shared" si="6620"/>
        <v>#N/A</v>
      </c>
      <c r="J3289" s="40" t="e">
        <f t="shared" si="6620"/>
        <v>#N/A</v>
      </c>
      <c r="K3289" s="16" t="e">
        <f t="shared" si="6620"/>
        <v>#N/A</v>
      </c>
      <c r="L3289" s="40" t="e">
        <f t="shared" si="6045"/>
        <v>#N/A</v>
      </c>
      <c r="M3289" s="16" t="e">
        <f t="shared" si="6046"/>
        <v>#N/A</v>
      </c>
      <c r="N3289" s="16" t="e">
        <f t="shared" si="6047"/>
        <v>#N/A</v>
      </c>
      <c r="O3289" s="16" t="s">
        <v>74</v>
      </c>
      <c r="P3289" s="16" t="str">
        <f t="shared" si="6"/>
        <v/>
      </c>
      <c r="Q3289" s="41" t="e">
        <f t="shared" si="6048"/>
        <v>#N/A</v>
      </c>
      <c r="R3289" s="44"/>
      <c r="S3289" s="44"/>
      <c r="T3289" s="43"/>
      <c r="U3289" s="43" t="str">
        <f t="shared" si="8"/>
        <v>No</v>
      </c>
      <c r="V3289" s="25"/>
      <c r="W3289" s="25"/>
      <c r="X3289" s="25"/>
      <c r="Y3289" s="25"/>
      <c r="Z3289" s="25"/>
    </row>
    <row r="3290" spans="1:26" ht="15.75" customHeight="1" x14ac:dyDescent="0.25">
      <c r="A3290" s="25">
        <v>3288</v>
      </c>
      <c r="B3290" s="37" t="e">
        <f t="shared" ref="B3290:D3290" si="6621">VLOOKUP($A3290,[10]Mujer!$A$1:$O$279,B$1,0)</f>
        <v>#N/A</v>
      </c>
      <c r="C3290" s="38" t="e">
        <f t="shared" si="6621"/>
        <v>#N/A</v>
      </c>
      <c r="D3290" s="39" t="e">
        <f t="shared" si="6621"/>
        <v>#N/A</v>
      </c>
      <c r="E3290" s="16" t="e">
        <f t="shared" si="1"/>
        <v>#N/A</v>
      </c>
      <c r="F3290" s="16" t="e">
        <f t="shared" ref="F3290:K3290" si="6622">VLOOKUP($A3290,[10]Mujer!$A$1:$O$279,F$1,0)</f>
        <v>#N/A</v>
      </c>
      <c r="G3290" s="39" t="e">
        <f t="shared" si="6622"/>
        <v>#N/A</v>
      </c>
      <c r="H3290" s="16" t="e">
        <f t="shared" si="6622"/>
        <v>#N/A</v>
      </c>
      <c r="I3290" s="16" t="e">
        <f t="shared" si="6622"/>
        <v>#N/A</v>
      </c>
      <c r="J3290" s="40" t="e">
        <f t="shared" si="6622"/>
        <v>#N/A</v>
      </c>
      <c r="K3290" s="16" t="e">
        <f t="shared" si="6622"/>
        <v>#N/A</v>
      </c>
      <c r="L3290" s="40" t="e">
        <f t="shared" si="6045"/>
        <v>#N/A</v>
      </c>
      <c r="M3290" s="16" t="e">
        <f t="shared" si="6046"/>
        <v>#N/A</v>
      </c>
      <c r="N3290" s="16" t="e">
        <f t="shared" si="6047"/>
        <v>#N/A</v>
      </c>
      <c r="O3290" s="16" t="s">
        <v>74</v>
      </c>
      <c r="P3290" s="16" t="str">
        <f t="shared" si="6"/>
        <v/>
      </c>
      <c r="Q3290" s="41" t="e">
        <f t="shared" si="6048"/>
        <v>#N/A</v>
      </c>
      <c r="R3290" s="44"/>
      <c r="S3290" s="44"/>
      <c r="T3290" s="43"/>
      <c r="U3290" s="43" t="str">
        <f t="shared" si="8"/>
        <v>No</v>
      </c>
      <c r="V3290" s="25"/>
      <c r="W3290" s="25"/>
      <c r="X3290" s="25"/>
      <c r="Y3290" s="25"/>
      <c r="Z3290" s="25"/>
    </row>
    <row r="3291" spans="1:26" ht="15.75" customHeight="1" x14ac:dyDescent="0.25">
      <c r="A3291" s="25">
        <v>3289</v>
      </c>
      <c r="B3291" s="37" t="e">
        <f t="shared" ref="B3291:D3291" si="6623">VLOOKUP($A3291,[10]Mujer!$A$1:$O$279,B$1,0)</f>
        <v>#N/A</v>
      </c>
      <c r="C3291" s="38" t="e">
        <f t="shared" si="6623"/>
        <v>#N/A</v>
      </c>
      <c r="D3291" s="39" t="e">
        <f t="shared" si="6623"/>
        <v>#N/A</v>
      </c>
      <c r="E3291" s="16" t="e">
        <f t="shared" si="1"/>
        <v>#N/A</v>
      </c>
      <c r="F3291" s="16" t="e">
        <f t="shared" ref="F3291:K3291" si="6624">VLOOKUP($A3291,[10]Mujer!$A$1:$O$279,F$1,0)</f>
        <v>#N/A</v>
      </c>
      <c r="G3291" s="39" t="e">
        <f t="shared" si="6624"/>
        <v>#N/A</v>
      </c>
      <c r="H3291" s="16" t="e">
        <f t="shared" si="6624"/>
        <v>#N/A</v>
      </c>
      <c r="I3291" s="16" t="e">
        <f t="shared" si="6624"/>
        <v>#N/A</v>
      </c>
      <c r="J3291" s="40" t="e">
        <f t="shared" si="6624"/>
        <v>#N/A</v>
      </c>
      <c r="K3291" s="16" t="e">
        <f t="shared" si="6624"/>
        <v>#N/A</v>
      </c>
      <c r="L3291" s="40" t="e">
        <f t="shared" si="6045"/>
        <v>#N/A</v>
      </c>
      <c r="M3291" s="16" t="e">
        <f t="shared" si="6046"/>
        <v>#N/A</v>
      </c>
      <c r="N3291" s="16" t="e">
        <f t="shared" si="6047"/>
        <v>#N/A</v>
      </c>
      <c r="O3291" s="16" t="s">
        <v>74</v>
      </c>
      <c r="P3291" s="16" t="str">
        <f t="shared" si="6"/>
        <v/>
      </c>
      <c r="Q3291" s="41" t="e">
        <f t="shared" si="6048"/>
        <v>#N/A</v>
      </c>
      <c r="R3291" s="44"/>
      <c r="S3291" s="44"/>
      <c r="T3291" s="43"/>
      <c r="U3291" s="43" t="str">
        <f t="shared" si="8"/>
        <v>No</v>
      </c>
      <c r="V3291" s="25"/>
      <c r="W3291" s="25"/>
      <c r="X3291" s="25"/>
      <c r="Y3291" s="25"/>
      <c r="Z3291" s="25"/>
    </row>
    <row r="3292" spans="1:26" ht="15.75" customHeight="1" x14ac:dyDescent="0.25">
      <c r="A3292" s="25">
        <v>3290</v>
      </c>
      <c r="B3292" s="37" t="e">
        <f t="shared" ref="B3292:D3292" si="6625">VLOOKUP($A3292,[10]Mujer!$A$1:$O$279,B$1,0)</f>
        <v>#N/A</v>
      </c>
      <c r="C3292" s="38" t="e">
        <f t="shared" si="6625"/>
        <v>#N/A</v>
      </c>
      <c r="D3292" s="39" t="e">
        <f t="shared" si="6625"/>
        <v>#N/A</v>
      </c>
      <c r="E3292" s="16" t="e">
        <f t="shared" si="1"/>
        <v>#N/A</v>
      </c>
      <c r="F3292" s="16" t="e">
        <f t="shared" ref="F3292:K3292" si="6626">VLOOKUP($A3292,[10]Mujer!$A$1:$O$279,F$1,0)</f>
        <v>#N/A</v>
      </c>
      <c r="G3292" s="39" t="e">
        <f t="shared" si="6626"/>
        <v>#N/A</v>
      </c>
      <c r="H3292" s="16" t="e">
        <f t="shared" si="6626"/>
        <v>#N/A</v>
      </c>
      <c r="I3292" s="16" t="e">
        <f t="shared" si="6626"/>
        <v>#N/A</v>
      </c>
      <c r="J3292" s="40" t="e">
        <f t="shared" si="6626"/>
        <v>#N/A</v>
      </c>
      <c r="K3292" s="16" t="e">
        <f t="shared" si="6626"/>
        <v>#N/A</v>
      </c>
      <c r="L3292" s="40" t="e">
        <f t="shared" si="6045"/>
        <v>#N/A</v>
      </c>
      <c r="M3292" s="16" t="e">
        <f t="shared" si="6046"/>
        <v>#N/A</v>
      </c>
      <c r="N3292" s="16" t="e">
        <f t="shared" si="6047"/>
        <v>#N/A</v>
      </c>
      <c r="O3292" s="16" t="s">
        <v>74</v>
      </c>
      <c r="P3292" s="16" t="str">
        <f t="shared" si="6"/>
        <v/>
      </c>
      <c r="Q3292" s="41" t="e">
        <f t="shared" si="6048"/>
        <v>#N/A</v>
      </c>
      <c r="R3292" s="44"/>
      <c r="S3292" s="44"/>
      <c r="T3292" s="43"/>
      <c r="U3292" s="43" t="str">
        <f t="shared" si="8"/>
        <v>No</v>
      </c>
      <c r="V3292" s="25"/>
      <c r="W3292" s="25"/>
      <c r="X3292" s="25"/>
      <c r="Y3292" s="25"/>
      <c r="Z3292" s="25"/>
    </row>
    <row r="3293" spans="1:26" ht="15.75" customHeight="1" x14ac:dyDescent="0.25">
      <c r="A3293" s="25">
        <v>3291</v>
      </c>
      <c r="B3293" s="37" t="e">
        <f t="shared" ref="B3293:D3293" si="6627">VLOOKUP($A3293,[10]Mujer!$A$1:$O$279,B$1,0)</f>
        <v>#N/A</v>
      </c>
      <c r="C3293" s="38" t="e">
        <f t="shared" si="6627"/>
        <v>#N/A</v>
      </c>
      <c r="D3293" s="39" t="e">
        <f t="shared" si="6627"/>
        <v>#N/A</v>
      </c>
      <c r="E3293" s="16" t="e">
        <f t="shared" si="1"/>
        <v>#N/A</v>
      </c>
      <c r="F3293" s="16" t="e">
        <f t="shared" ref="F3293:K3293" si="6628">VLOOKUP($A3293,[10]Mujer!$A$1:$O$279,F$1,0)</f>
        <v>#N/A</v>
      </c>
      <c r="G3293" s="39" t="e">
        <f t="shared" si="6628"/>
        <v>#N/A</v>
      </c>
      <c r="H3293" s="16" t="e">
        <f t="shared" si="6628"/>
        <v>#N/A</v>
      </c>
      <c r="I3293" s="16" t="e">
        <f t="shared" si="6628"/>
        <v>#N/A</v>
      </c>
      <c r="J3293" s="40" t="e">
        <f t="shared" si="6628"/>
        <v>#N/A</v>
      </c>
      <c r="K3293" s="16" t="e">
        <f t="shared" si="6628"/>
        <v>#N/A</v>
      </c>
      <c r="L3293" s="40" t="e">
        <f t="shared" si="6045"/>
        <v>#N/A</v>
      </c>
      <c r="M3293" s="16" t="e">
        <f t="shared" si="6046"/>
        <v>#N/A</v>
      </c>
      <c r="N3293" s="16" t="e">
        <f t="shared" si="6047"/>
        <v>#N/A</v>
      </c>
      <c r="O3293" s="16" t="s">
        <v>74</v>
      </c>
      <c r="P3293" s="16" t="str">
        <f t="shared" si="6"/>
        <v/>
      </c>
      <c r="Q3293" s="41" t="e">
        <f t="shared" si="6048"/>
        <v>#N/A</v>
      </c>
      <c r="R3293" s="44"/>
      <c r="S3293" s="44"/>
      <c r="T3293" s="43"/>
      <c r="U3293" s="43" t="str">
        <f t="shared" si="8"/>
        <v>No</v>
      </c>
      <c r="V3293" s="25"/>
      <c r="W3293" s="25"/>
      <c r="X3293" s="25"/>
      <c r="Y3293" s="25"/>
      <c r="Z3293" s="25"/>
    </row>
    <row r="3294" spans="1:26" ht="15.75" customHeight="1" x14ac:dyDescent="0.25">
      <c r="A3294" s="25">
        <v>3292</v>
      </c>
      <c r="B3294" s="37" t="e">
        <f t="shared" ref="B3294:D3294" si="6629">VLOOKUP($A3294,[10]Mujer!$A$1:$O$279,B$1,0)</f>
        <v>#N/A</v>
      </c>
      <c r="C3294" s="38" t="e">
        <f t="shared" si="6629"/>
        <v>#N/A</v>
      </c>
      <c r="D3294" s="39" t="e">
        <f t="shared" si="6629"/>
        <v>#N/A</v>
      </c>
      <c r="E3294" s="16" t="e">
        <f t="shared" si="1"/>
        <v>#N/A</v>
      </c>
      <c r="F3294" s="16" t="e">
        <f t="shared" ref="F3294:K3294" si="6630">VLOOKUP($A3294,[10]Mujer!$A$1:$O$279,F$1,0)</f>
        <v>#N/A</v>
      </c>
      <c r="G3294" s="39" t="e">
        <f t="shared" si="6630"/>
        <v>#N/A</v>
      </c>
      <c r="H3294" s="16" t="e">
        <f t="shared" si="6630"/>
        <v>#N/A</v>
      </c>
      <c r="I3294" s="16" t="e">
        <f t="shared" si="6630"/>
        <v>#N/A</v>
      </c>
      <c r="J3294" s="40" t="e">
        <f t="shared" si="6630"/>
        <v>#N/A</v>
      </c>
      <c r="K3294" s="16" t="e">
        <f t="shared" si="6630"/>
        <v>#N/A</v>
      </c>
      <c r="L3294" s="40" t="e">
        <f t="shared" si="6045"/>
        <v>#N/A</v>
      </c>
      <c r="M3294" s="16" t="e">
        <f t="shared" si="6046"/>
        <v>#N/A</v>
      </c>
      <c r="N3294" s="16" t="e">
        <f t="shared" si="6047"/>
        <v>#N/A</v>
      </c>
      <c r="O3294" s="16" t="s">
        <v>74</v>
      </c>
      <c r="P3294" s="16" t="str">
        <f t="shared" si="6"/>
        <v/>
      </c>
      <c r="Q3294" s="41" t="e">
        <f t="shared" si="6048"/>
        <v>#N/A</v>
      </c>
      <c r="R3294" s="44"/>
      <c r="S3294" s="44"/>
      <c r="T3294" s="43"/>
      <c r="U3294" s="43" t="str">
        <f t="shared" si="8"/>
        <v>No</v>
      </c>
      <c r="V3294" s="25"/>
      <c r="W3294" s="25"/>
      <c r="X3294" s="25"/>
      <c r="Y3294" s="25"/>
      <c r="Z3294" s="25"/>
    </row>
    <row r="3295" spans="1:26" ht="15.75" customHeight="1" x14ac:dyDescent="0.25">
      <c r="A3295" s="25">
        <v>3293</v>
      </c>
      <c r="B3295" s="37" t="e">
        <f t="shared" ref="B3295:D3295" si="6631">VLOOKUP($A3295,[10]Mujer!$A$1:$O$279,B$1,0)</f>
        <v>#N/A</v>
      </c>
      <c r="C3295" s="38" t="e">
        <f t="shared" si="6631"/>
        <v>#N/A</v>
      </c>
      <c r="D3295" s="39" t="e">
        <f t="shared" si="6631"/>
        <v>#N/A</v>
      </c>
      <c r="E3295" s="16" t="e">
        <f t="shared" si="1"/>
        <v>#N/A</v>
      </c>
      <c r="F3295" s="16" t="e">
        <f t="shared" ref="F3295:K3295" si="6632">VLOOKUP($A3295,[10]Mujer!$A$1:$O$279,F$1,0)</f>
        <v>#N/A</v>
      </c>
      <c r="G3295" s="39" t="e">
        <f t="shared" si="6632"/>
        <v>#N/A</v>
      </c>
      <c r="H3295" s="16" t="e">
        <f t="shared" si="6632"/>
        <v>#N/A</v>
      </c>
      <c r="I3295" s="16" t="e">
        <f t="shared" si="6632"/>
        <v>#N/A</v>
      </c>
      <c r="J3295" s="40" t="e">
        <f t="shared" si="6632"/>
        <v>#N/A</v>
      </c>
      <c r="K3295" s="16" t="e">
        <f t="shared" si="6632"/>
        <v>#N/A</v>
      </c>
      <c r="L3295" s="40" t="e">
        <f t="shared" si="6045"/>
        <v>#N/A</v>
      </c>
      <c r="M3295" s="16" t="e">
        <f t="shared" si="6046"/>
        <v>#N/A</v>
      </c>
      <c r="N3295" s="16" t="e">
        <f t="shared" si="6047"/>
        <v>#N/A</v>
      </c>
      <c r="O3295" s="16" t="s">
        <v>74</v>
      </c>
      <c r="P3295" s="16" t="str">
        <f t="shared" si="6"/>
        <v/>
      </c>
      <c r="Q3295" s="41" t="e">
        <f t="shared" si="6048"/>
        <v>#N/A</v>
      </c>
      <c r="R3295" s="44"/>
      <c r="S3295" s="44"/>
      <c r="T3295" s="43"/>
      <c r="U3295" s="43" t="str">
        <f t="shared" si="8"/>
        <v>No</v>
      </c>
      <c r="V3295" s="25"/>
      <c r="W3295" s="25"/>
      <c r="X3295" s="25"/>
      <c r="Y3295" s="25"/>
      <c r="Z3295" s="25"/>
    </row>
    <row r="3296" spans="1:26" ht="15.75" customHeight="1" x14ac:dyDescent="0.25">
      <c r="A3296" s="25">
        <v>3294</v>
      </c>
      <c r="B3296" s="37" t="e">
        <f t="shared" ref="B3296:D3296" si="6633">VLOOKUP($A3296,[10]Mujer!$A$1:$O$279,B$1,0)</f>
        <v>#N/A</v>
      </c>
      <c r="C3296" s="38" t="e">
        <f t="shared" si="6633"/>
        <v>#N/A</v>
      </c>
      <c r="D3296" s="39" t="e">
        <f t="shared" si="6633"/>
        <v>#N/A</v>
      </c>
      <c r="E3296" s="16" t="e">
        <f t="shared" si="1"/>
        <v>#N/A</v>
      </c>
      <c r="F3296" s="16" t="e">
        <f t="shared" ref="F3296:K3296" si="6634">VLOOKUP($A3296,[10]Mujer!$A$1:$O$279,F$1,0)</f>
        <v>#N/A</v>
      </c>
      <c r="G3296" s="39" t="e">
        <f t="shared" si="6634"/>
        <v>#N/A</v>
      </c>
      <c r="H3296" s="16" t="e">
        <f t="shared" si="6634"/>
        <v>#N/A</v>
      </c>
      <c r="I3296" s="16" t="e">
        <f t="shared" si="6634"/>
        <v>#N/A</v>
      </c>
      <c r="J3296" s="40" t="e">
        <f t="shared" si="6634"/>
        <v>#N/A</v>
      </c>
      <c r="K3296" s="16" t="e">
        <f t="shared" si="6634"/>
        <v>#N/A</v>
      </c>
      <c r="L3296" s="40" t="e">
        <f t="shared" si="6045"/>
        <v>#N/A</v>
      </c>
      <c r="M3296" s="16" t="e">
        <f t="shared" si="6046"/>
        <v>#N/A</v>
      </c>
      <c r="N3296" s="16" t="e">
        <f t="shared" si="6047"/>
        <v>#N/A</v>
      </c>
      <c r="O3296" s="16" t="s">
        <v>74</v>
      </c>
      <c r="P3296" s="16" t="str">
        <f t="shared" si="6"/>
        <v/>
      </c>
      <c r="Q3296" s="41" t="e">
        <f t="shared" si="6048"/>
        <v>#N/A</v>
      </c>
      <c r="R3296" s="44"/>
      <c r="S3296" s="44"/>
      <c r="T3296" s="43"/>
      <c r="U3296" s="43" t="str">
        <f t="shared" si="8"/>
        <v>No</v>
      </c>
      <c r="V3296" s="25"/>
      <c r="W3296" s="25"/>
      <c r="X3296" s="25"/>
      <c r="Y3296" s="25"/>
      <c r="Z3296" s="25"/>
    </row>
    <row r="3297" spans="1:26" ht="15.75" customHeight="1" x14ac:dyDescent="0.25">
      <c r="A3297" s="25">
        <v>3295</v>
      </c>
      <c r="B3297" s="37" t="e">
        <f t="shared" ref="B3297:D3297" si="6635">VLOOKUP($A3297,[10]Mujer!$A$1:$O$279,B$1,0)</f>
        <v>#N/A</v>
      </c>
      <c r="C3297" s="38" t="e">
        <f t="shared" si="6635"/>
        <v>#N/A</v>
      </c>
      <c r="D3297" s="39" t="e">
        <f t="shared" si="6635"/>
        <v>#N/A</v>
      </c>
      <c r="E3297" s="16" t="e">
        <f t="shared" si="1"/>
        <v>#N/A</v>
      </c>
      <c r="F3297" s="16" t="e">
        <f t="shared" ref="F3297:K3297" si="6636">VLOOKUP($A3297,[10]Mujer!$A$1:$O$279,F$1,0)</f>
        <v>#N/A</v>
      </c>
      <c r="G3297" s="39" t="e">
        <f t="shared" si="6636"/>
        <v>#N/A</v>
      </c>
      <c r="H3297" s="16" t="e">
        <f t="shared" si="6636"/>
        <v>#N/A</v>
      </c>
      <c r="I3297" s="16" t="e">
        <f t="shared" si="6636"/>
        <v>#N/A</v>
      </c>
      <c r="J3297" s="40" t="e">
        <f t="shared" si="6636"/>
        <v>#N/A</v>
      </c>
      <c r="K3297" s="16" t="e">
        <f t="shared" si="6636"/>
        <v>#N/A</v>
      </c>
      <c r="L3297" s="40" t="e">
        <f t="shared" si="6045"/>
        <v>#N/A</v>
      </c>
      <c r="M3297" s="16" t="e">
        <f t="shared" si="6046"/>
        <v>#N/A</v>
      </c>
      <c r="N3297" s="16" t="e">
        <f t="shared" si="6047"/>
        <v>#N/A</v>
      </c>
      <c r="O3297" s="16" t="s">
        <v>74</v>
      </c>
      <c r="P3297" s="16" t="str">
        <f t="shared" si="6"/>
        <v/>
      </c>
      <c r="Q3297" s="41" t="e">
        <f t="shared" si="6048"/>
        <v>#N/A</v>
      </c>
      <c r="R3297" s="44"/>
      <c r="S3297" s="44"/>
      <c r="T3297" s="43"/>
      <c r="U3297" s="43" t="str">
        <f t="shared" si="8"/>
        <v>No</v>
      </c>
      <c r="V3297" s="25"/>
      <c r="W3297" s="25"/>
      <c r="X3297" s="25"/>
      <c r="Y3297" s="25"/>
      <c r="Z3297" s="25"/>
    </row>
    <row r="3298" spans="1:26" ht="15.75" customHeight="1" x14ac:dyDescent="0.25">
      <c r="A3298" s="25">
        <v>3296</v>
      </c>
      <c r="B3298" s="37" t="e">
        <f t="shared" ref="B3298:D3298" si="6637">VLOOKUP($A3298,[10]Mujer!$A$1:$O$279,B$1,0)</f>
        <v>#N/A</v>
      </c>
      <c r="C3298" s="38" t="e">
        <f t="shared" si="6637"/>
        <v>#N/A</v>
      </c>
      <c r="D3298" s="39" t="e">
        <f t="shared" si="6637"/>
        <v>#N/A</v>
      </c>
      <c r="E3298" s="16" t="e">
        <f t="shared" si="1"/>
        <v>#N/A</v>
      </c>
      <c r="F3298" s="16" t="e">
        <f t="shared" ref="F3298:K3298" si="6638">VLOOKUP($A3298,[10]Mujer!$A$1:$O$279,F$1,0)</f>
        <v>#N/A</v>
      </c>
      <c r="G3298" s="39" t="e">
        <f t="shared" si="6638"/>
        <v>#N/A</v>
      </c>
      <c r="H3298" s="16" t="e">
        <f t="shared" si="6638"/>
        <v>#N/A</v>
      </c>
      <c r="I3298" s="16" t="e">
        <f t="shared" si="6638"/>
        <v>#N/A</v>
      </c>
      <c r="J3298" s="40" t="e">
        <f t="shared" si="6638"/>
        <v>#N/A</v>
      </c>
      <c r="K3298" s="16" t="e">
        <f t="shared" si="6638"/>
        <v>#N/A</v>
      </c>
      <c r="L3298" s="40" t="e">
        <f t="shared" si="6045"/>
        <v>#N/A</v>
      </c>
      <c r="M3298" s="16" t="e">
        <f t="shared" si="6046"/>
        <v>#N/A</v>
      </c>
      <c r="N3298" s="16" t="e">
        <f t="shared" si="6047"/>
        <v>#N/A</v>
      </c>
      <c r="O3298" s="16" t="s">
        <v>74</v>
      </c>
      <c r="P3298" s="16" t="str">
        <f t="shared" si="6"/>
        <v/>
      </c>
      <c r="Q3298" s="41" t="e">
        <f t="shared" si="6048"/>
        <v>#N/A</v>
      </c>
      <c r="R3298" s="44"/>
      <c r="S3298" s="44"/>
      <c r="T3298" s="43"/>
      <c r="U3298" s="43" t="str">
        <f t="shared" si="8"/>
        <v>No</v>
      </c>
      <c r="V3298" s="25"/>
      <c r="W3298" s="25"/>
      <c r="X3298" s="25"/>
      <c r="Y3298" s="25"/>
      <c r="Z3298" s="25"/>
    </row>
    <row r="3299" spans="1:26" ht="15.75" customHeight="1" x14ac:dyDescent="0.25">
      <c r="A3299" s="25">
        <v>3297</v>
      </c>
      <c r="B3299" s="37" t="e">
        <f t="shared" ref="B3299:D3299" si="6639">VLOOKUP($A3299,[10]Mujer!$A$1:$O$279,B$1,0)</f>
        <v>#N/A</v>
      </c>
      <c r="C3299" s="38" t="e">
        <f t="shared" si="6639"/>
        <v>#N/A</v>
      </c>
      <c r="D3299" s="39" t="e">
        <f t="shared" si="6639"/>
        <v>#N/A</v>
      </c>
      <c r="E3299" s="16" t="e">
        <f t="shared" si="1"/>
        <v>#N/A</v>
      </c>
      <c r="F3299" s="16" t="e">
        <f t="shared" ref="F3299:K3299" si="6640">VLOOKUP($A3299,[10]Mujer!$A$1:$O$279,F$1,0)</f>
        <v>#N/A</v>
      </c>
      <c r="G3299" s="39" t="e">
        <f t="shared" si="6640"/>
        <v>#N/A</v>
      </c>
      <c r="H3299" s="16" t="e">
        <f t="shared" si="6640"/>
        <v>#N/A</v>
      </c>
      <c r="I3299" s="16" t="e">
        <f t="shared" si="6640"/>
        <v>#N/A</v>
      </c>
      <c r="J3299" s="40" t="e">
        <f t="shared" si="6640"/>
        <v>#N/A</v>
      </c>
      <c r="K3299" s="16" t="e">
        <f t="shared" si="6640"/>
        <v>#N/A</v>
      </c>
      <c r="L3299" s="40" t="e">
        <f t="shared" si="6045"/>
        <v>#N/A</v>
      </c>
      <c r="M3299" s="16" t="e">
        <f t="shared" si="6046"/>
        <v>#N/A</v>
      </c>
      <c r="N3299" s="16" t="e">
        <f t="shared" si="6047"/>
        <v>#N/A</v>
      </c>
      <c r="O3299" s="16" t="s">
        <v>74</v>
      </c>
      <c r="P3299" s="16" t="str">
        <f t="shared" si="6"/>
        <v/>
      </c>
      <c r="Q3299" s="41" t="e">
        <f t="shared" si="6048"/>
        <v>#N/A</v>
      </c>
      <c r="R3299" s="44"/>
      <c r="S3299" s="44"/>
      <c r="T3299" s="43"/>
      <c r="U3299" s="43" t="str">
        <f t="shared" si="8"/>
        <v>No</v>
      </c>
      <c r="V3299" s="25"/>
      <c r="W3299" s="25"/>
      <c r="X3299" s="25"/>
      <c r="Y3299" s="25"/>
      <c r="Z3299" s="25"/>
    </row>
    <row r="3300" spans="1:26" ht="15.75" customHeight="1" x14ac:dyDescent="0.25">
      <c r="A3300" s="25">
        <v>3298</v>
      </c>
      <c r="B3300" s="37" t="e">
        <f t="shared" ref="B3300:D3300" si="6641">VLOOKUP($A3300,[10]Mujer!$A$1:$O$279,B$1,0)</f>
        <v>#N/A</v>
      </c>
      <c r="C3300" s="38" t="e">
        <f t="shared" si="6641"/>
        <v>#N/A</v>
      </c>
      <c r="D3300" s="39" t="e">
        <f t="shared" si="6641"/>
        <v>#N/A</v>
      </c>
      <c r="E3300" s="16" t="e">
        <f t="shared" si="1"/>
        <v>#N/A</v>
      </c>
      <c r="F3300" s="16" t="e">
        <f t="shared" ref="F3300:K3300" si="6642">VLOOKUP($A3300,[10]Mujer!$A$1:$O$279,F$1,0)</f>
        <v>#N/A</v>
      </c>
      <c r="G3300" s="39" t="e">
        <f t="shared" si="6642"/>
        <v>#N/A</v>
      </c>
      <c r="H3300" s="16" t="e">
        <f t="shared" si="6642"/>
        <v>#N/A</v>
      </c>
      <c r="I3300" s="16" t="e">
        <f t="shared" si="6642"/>
        <v>#N/A</v>
      </c>
      <c r="J3300" s="40" t="e">
        <f t="shared" si="6642"/>
        <v>#N/A</v>
      </c>
      <c r="K3300" s="16" t="e">
        <f t="shared" si="6642"/>
        <v>#N/A</v>
      </c>
      <c r="L3300" s="40" t="e">
        <f t="shared" si="6045"/>
        <v>#N/A</v>
      </c>
      <c r="M3300" s="16" t="e">
        <f t="shared" si="6046"/>
        <v>#N/A</v>
      </c>
      <c r="N3300" s="16" t="e">
        <f t="shared" si="6047"/>
        <v>#N/A</v>
      </c>
      <c r="O3300" s="16" t="s">
        <v>74</v>
      </c>
      <c r="P3300" s="16" t="str">
        <f t="shared" si="6"/>
        <v/>
      </c>
      <c r="Q3300" s="41" t="e">
        <f t="shared" si="6048"/>
        <v>#N/A</v>
      </c>
      <c r="R3300" s="44"/>
      <c r="S3300" s="44"/>
      <c r="T3300" s="43"/>
      <c r="U3300" s="43" t="str">
        <f t="shared" si="8"/>
        <v>No</v>
      </c>
      <c r="V3300" s="25"/>
      <c r="W3300" s="25"/>
      <c r="X3300" s="25"/>
      <c r="Y3300" s="25"/>
      <c r="Z3300" s="25"/>
    </row>
    <row r="3301" spans="1:26" ht="15.75" customHeight="1" x14ac:dyDescent="0.25">
      <c r="A3301" s="25">
        <v>3299</v>
      </c>
      <c r="B3301" s="37" t="e">
        <f t="shared" ref="B3301:D3301" si="6643">VLOOKUP($A3301,[10]Mujer!$A$1:$O$279,B$1,0)</f>
        <v>#N/A</v>
      </c>
      <c r="C3301" s="38" t="e">
        <f t="shared" si="6643"/>
        <v>#N/A</v>
      </c>
      <c r="D3301" s="39" t="e">
        <f t="shared" si="6643"/>
        <v>#N/A</v>
      </c>
      <c r="E3301" s="16" t="e">
        <f t="shared" si="1"/>
        <v>#N/A</v>
      </c>
      <c r="F3301" s="16" t="e">
        <f t="shared" ref="F3301:K3301" si="6644">VLOOKUP($A3301,[10]Mujer!$A$1:$O$279,F$1,0)</f>
        <v>#N/A</v>
      </c>
      <c r="G3301" s="39" t="e">
        <f t="shared" si="6644"/>
        <v>#N/A</v>
      </c>
      <c r="H3301" s="16" t="e">
        <f t="shared" si="6644"/>
        <v>#N/A</v>
      </c>
      <c r="I3301" s="16" t="e">
        <f t="shared" si="6644"/>
        <v>#N/A</v>
      </c>
      <c r="J3301" s="40" t="e">
        <f t="shared" si="6644"/>
        <v>#N/A</v>
      </c>
      <c r="K3301" s="16" t="e">
        <f t="shared" si="6644"/>
        <v>#N/A</v>
      </c>
      <c r="L3301" s="40" t="e">
        <f t="shared" si="6045"/>
        <v>#N/A</v>
      </c>
      <c r="M3301" s="16" t="e">
        <f t="shared" si="6046"/>
        <v>#N/A</v>
      </c>
      <c r="N3301" s="16" t="e">
        <f t="shared" si="6047"/>
        <v>#N/A</v>
      </c>
      <c r="O3301" s="16" t="s">
        <v>74</v>
      </c>
      <c r="P3301" s="16" t="str">
        <f t="shared" si="6"/>
        <v/>
      </c>
      <c r="Q3301" s="41" t="e">
        <f t="shared" si="6048"/>
        <v>#N/A</v>
      </c>
      <c r="R3301" s="44"/>
      <c r="S3301" s="44"/>
      <c r="T3301" s="43"/>
      <c r="U3301" s="43" t="str">
        <f t="shared" si="8"/>
        <v>No</v>
      </c>
      <c r="V3301" s="25"/>
      <c r="W3301" s="25"/>
      <c r="X3301" s="25"/>
      <c r="Y3301" s="25"/>
      <c r="Z3301" s="25"/>
    </row>
    <row r="3302" spans="1:26" ht="15.75" customHeight="1" x14ac:dyDescent="0.25">
      <c r="A3302" s="25">
        <v>3300</v>
      </c>
      <c r="B3302" s="37" t="e">
        <f t="shared" ref="B3302:D3302" si="6645">VLOOKUP($A3302,[10]Mujer!$A$1:$O$279,B$1,0)</f>
        <v>#N/A</v>
      </c>
      <c r="C3302" s="38" t="e">
        <f t="shared" si="6645"/>
        <v>#N/A</v>
      </c>
      <c r="D3302" s="39" t="e">
        <f t="shared" si="6645"/>
        <v>#N/A</v>
      </c>
      <c r="E3302" s="16" t="e">
        <f t="shared" si="1"/>
        <v>#N/A</v>
      </c>
      <c r="F3302" s="16" t="e">
        <f t="shared" ref="F3302:K3302" si="6646">VLOOKUP($A3302,[10]Mujer!$A$1:$O$279,F$1,0)</f>
        <v>#N/A</v>
      </c>
      <c r="G3302" s="39" t="e">
        <f t="shared" si="6646"/>
        <v>#N/A</v>
      </c>
      <c r="H3302" s="16" t="e">
        <f t="shared" si="6646"/>
        <v>#N/A</v>
      </c>
      <c r="I3302" s="16" t="e">
        <f t="shared" si="6646"/>
        <v>#N/A</v>
      </c>
      <c r="J3302" s="40" t="e">
        <f t="shared" si="6646"/>
        <v>#N/A</v>
      </c>
      <c r="K3302" s="16" t="e">
        <f t="shared" si="6646"/>
        <v>#N/A</v>
      </c>
      <c r="L3302" s="40" t="e">
        <f t="shared" si="6045"/>
        <v>#N/A</v>
      </c>
      <c r="M3302" s="16" t="e">
        <f t="shared" si="6046"/>
        <v>#N/A</v>
      </c>
      <c r="N3302" s="16" t="e">
        <f t="shared" si="6047"/>
        <v>#N/A</v>
      </c>
      <c r="O3302" s="16" t="s">
        <v>74</v>
      </c>
      <c r="P3302" s="16" t="str">
        <f t="shared" si="6"/>
        <v/>
      </c>
      <c r="Q3302" s="41" t="e">
        <f t="shared" si="6048"/>
        <v>#N/A</v>
      </c>
      <c r="R3302" s="44"/>
      <c r="S3302" s="44"/>
      <c r="T3302" s="43"/>
      <c r="U3302" s="43" t="str">
        <f t="shared" si="8"/>
        <v>No</v>
      </c>
      <c r="V3302" s="25"/>
      <c r="W3302" s="25"/>
      <c r="X3302" s="25"/>
      <c r="Y3302" s="25"/>
      <c r="Z3302" s="25"/>
    </row>
    <row r="3303" spans="1:26" ht="15.75" customHeight="1" x14ac:dyDescent="0.25">
      <c r="A3303" s="25">
        <v>3301</v>
      </c>
      <c r="B3303" s="37" t="e">
        <f t="shared" ref="B3303:D3303" si="6647">VLOOKUP($A3303,[11]Planeación!$A$1:$O$253,B$1,0)</f>
        <v>#N/A</v>
      </c>
      <c r="C3303" s="38" t="e">
        <f t="shared" si="6647"/>
        <v>#N/A</v>
      </c>
      <c r="D3303" s="39" t="e">
        <f t="shared" si="6647"/>
        <v>#N/A</v>
      </c>
      <c r="E3303" s="16" t="e">
        <f t="shared" si="1"/>
        <v>#N/A</v>
      </c>
      <c r="F3303" s="16" t="e">
        <f t="shared" ref="F3303:K3303" si="6648">VLOOKUP($A3303,[11]Planeación!$A$1:$O$253,F$1,0)</f>
        <v>#N/A</v>
      </c>
      <c r="G3303" s="39" t="e">
        <f t="shared" si="6648"/>
        <v>#N/A</v>
      </c>
      <c r="H3303" s="16" t="e">
        <f t="shared" si="6648"/>
        <v>#N/A</v>
      </c>
      <c r="I3303" s="16" t="e">
        <f t="shared" si="6648"/>
        <v>#N/A</v>
      </c>
      <c r="J3303" s="40" t="e">
        <f t="shared" si="6648"/>
        <v>#N/A</v>
      </c>
      <c r="K3303" s="16" t="e">
        <f t="shared" si="6648"/>
        <v>#N/A</v>
      </c>
      <c r="L3303" s="40" t="e">
        <f t="shared" ref="L3303:L3602" si="6649">VLOOKUP($A3303,[11]Planeación!$A$1:$O$253,13,0)</f>
        <v>#N/A</v>
      </c>
      <c r="M3303" s="16" t="e">
        <f t="shared" ref="M3303:M3602" si="6650">VLOOKUP($A3303,[11]Planeación!$A$1:$O$253,14,0)</f>
        <v>#N/A</v>
      </c>
      <c r="N3303" s="16" t="e">
        <f t="shared" ref="N3303:N3602" si="6651">VLOOKUP($A3303,[11]Planeación!$A$1:$O$253,15,0)</f>
        <v>#N/A</v>
      </c>
      <c r="O3303" s="16" t="s">
        <v>75</v>
      </c>
      <c r="P3303" s="16" t="str">
        <f t="shared" si="6"/>
        <v/>
      </c>
      <c r="Q3303" s="41" t="e">
        <f t="shared" ref="Q3303:Q3602" si="6652">VLOOKUP($A3303,[11]Planeación!$A$1:$O$253,12,0)</f>
        <v>#N/A</v>
      </c>
      <c r="R3303" s="44"/>
      <c r="S3303" s="44"/>
      <c r="T3303" s="43"/>
      <c r="U3303" s="43" t="str">
        <f t="shared" si="8"/>
        <v>No</v>
      </c>
      <c r="V3303" s="25"/>
      <c r="W3303" s="25"/>
      <c r="X3303" s="25"/>
      <c r="Y3303" s="25"/>
      <c r="Z3303" s="25"/>
    </row>
    <row r="3304" spans="1:26" ht="15.75" customHeight="1" x14ac:dyDescent="0.25">
      <c r="A3304" s="25">
        <v>3302</v>
      </c>
      <c r="B3304" s="37" t="e">
        <f t="shared" ref="B3304:D3304" si="6653">VLOOKUP($A3304,[11]Planeación!$A$1:$O$253,B$1,0)</f>
        <v>#N/A</v>
      </c>
      <c r="C3304" s="38" t="e">
        <f t="shared" si="6653"/>
        <v>#N/A</v>
      </c>
      <c r="D3304" s="39" t="e">
        <f t="shared" si="6653"/>
        <v>#N/A</v>
      </c>
      <c r="E3304" s="16" t="e">
        <f t="shared" si="1"/>
        <v>#N/A</v>
      </c>
      <c r="F3304" s="16" t="e">
        <f t="shared" ref="F3304:K3304" si="6654">VLOOKUP($A3304,[11]Planeación!$A$1:$O$253,F$1,0)</f>
        <v>#N/A</v>
      </c>
      <c r="G3304" s="39" t="e">
        <f t="shared" si="6654"/>
        <v>#N/A</v>
      </c>
      <c r="H3304" s="16" t="e">
        <f t="shared" si="6654"/>
        <v>#N/A</v>
      </c>
      <c r="I3304" s="16" t="e">
        <f t="shared" si="6654"/>
        <v>#N/A</v>
      </c>
      <c r="J3304" s="40" t="e">
        <f t="shared" si="6654"/>
        <v>#N/A</v>
      </c>
      <c r="K3304" s="16" t="e">
        <f t="shared" si="6654"/>
        <v>#N/A</v>
      </c>
      <c r="L3304" s="40" t="e">
        <f t="shared" si="6649"/>
        <v>#N/A</v>
      </c>
      <c r="M3304" s="16" t="e">
        <f t="shared" si="6650"/>
        <v>#N/A</v>
      </c>
      <c r="N3304" s="16" t="e">
        <f t="shared" si="6651"/>
        <v>#N/A</v>
      </c>
      <c r="O3304" s="16" t="s">
        <v>75</v>
      </c>
      <c r="P3304" s="16" t="str">
        <f t="shared" si="6"/>
        <v/>
      </c>
      <c r="Q3304" s="41" t="e">
        <f t="shared" si="6652"/>
        <v>#N/A</v>
      </c>
      <c r="R3304" s="44"/>
      <c r="S3304" s="44"/>
      <c r="T3304" s="43"/>
      <c r="U3304" s="43" t="str">
        <f t="shared" si="8"/>
        <v>No</v>
      </c>
      <c r="V3304" s="25"/>
      <c r="W3304" s="25"/>
      <c r="X3304" s="25"/>
      <c r="Y3304" s="25"/>
      <c r="Z3304" s="25"/>
    </row>
    <row r="3305" spans="1:26" ht="15.75" customHeight="1" x14ac:dyDescent="0.25">
      <c r="A3305" s="25">
        <v>3303</v>
      </c>
      <c r="B3305" s="37" t="e">
        <f t="shared" ref="B3305:D3305" si="6655">VLOOKUP($A3305,[11]Planeación!$A$1:$O$253,B$1,0)</f>
        <v>#N/A</v>
      </c>
      <c r="C3305" s="38" t="e">
        <f t="shared" si="6655"/>
        <v>#N/A</v>
      </c>
      <c r="D3305" s="39" t="e">
        <f t="shared" si="6655"/>
        <v>#N/A</v>
      </c>
      <c r="E3305" s="16" t="e">
        <f t="shared" si="1"/>
        <v>#N/A</v>
      </c>
      <c r="F3305" s="16" t="e">
        <f t="shared" ref="F3305:K3305" si="6656">VLOOKUP($A3305,[11]Planeación!$A$1:$O$253,F$1,0)</f>
        <v>#N/A</v>
      </c>
      <c r="G3305" s="39" t="e">
        <f t="shared" si="6656"/>
        <v>#N/A</v>
      </c>
      <c r="H3305" s="16" t="e">
        <f t="shared" si="6656"/>
        <v>#N/A</v>
      </c>
      <c r="I3305" s="16" t="e">
        <f t="shared" si="6656"/>
        <v>#N/A</v>
      </c>
      <c r="J3305" s="40" t="e">
        <f t="shared" si="6656"/>
        <v>#N/A</v>
      </c>
      <c r="K3305" s="16" t="e">
        <f t="shared" si="6656"/>
        <v>#N/A</v>
      </c>
      <c r="L3305" s="40" t="e">
        <f t="shared" si="6649"/>
        <v>#N/A</v>
      </c>
      <c r="M3305" s="16" t="e">
        <f t="shared" si="6650"/>
        <v>#N/A</v>
      </c>
      <c r="N3305" s="16" t="e">
        <f t="shared" si="6651"/>
        <v>#N/A</v>
      </c>
      <c r="O3305" s="16" t="s">
        <v>75</v>
      </c>
      <c r="P3305" s="16" t="str">
        <f t="shared" si="6"/>
        <v/>
      </c>
      <c r="Q3305" s="41" t="e">
        <f t="shared" si="6652"/>
        <v>#N/A</v>
      </c>
      <c r="R3305" s="44"/>
      <c r="S3305" s="44"/>
      <c r="T3305" s="43"/>
      <c r="U3305" s="43" t="str">
        <f t="shared" si="8"/>
        <v>No</v>
      </c>
      <c r="V3305" s="25"/>
      <c r="W3305" s="25"/>
      <c r="X3305" s="25"/>
      <c r="Y3305" s="25"/>
      <c r="Z3305" s="25"/>
    </row>
    <row r="3306" spans="1:26" ht="15.75" customHeight="1" x14ac:dyDescent="0.25">
      <c r="A3306" s="25">
        <v>3304</v>
      </c>
      <c r="B3306" s="37" t="e">
        <f t="shared" ref="B3306:D3306" si="6657">VLOOKUP($A3306,[11]Planeación!$A$1:$O$253,B$1,0)</f>
        <v>#N/A</v>
      </c>
      <c r="C3306" s="38" t="e">
        <f t="shared" si="6657"/>
        <v>#N/A</v>
      </c>
      <c r="D3306" s="39" t="e">
        <f t="shared" si="6657"/>
        <v>#N/A</v>
      </c>
      <c r="E3306" s="16" t="e">
        <f t="shared" si="1"/>
        <v>#N/A</v>
      </c>
      <c r="F3306" s="16" t="e">
        <f t="shared" ref="F3306:K3306" si="6658">VLOOKUP($A3306,[11]Planeación!$A$1:$O$253,F$1,0)</f>
        <v>#N/A</v>
      </c>
      <c r="G3306" s="39" t="e">
        <f t="shared" si="6658"/>
        <v>#N/A</v>
      </c>
      <c r="H3306" s="16" t="e">
        <f t="shared" si="6658"/>
        <v>#N/A</v>
      </c>
      <c r="I3306" s="16" t="e">
        <f t="shared" si="6658"/>
        <v>#N/A</v>
      </c>
      <c r="J3306" s="40" t="e">
        <f t="shared" si="6658"/>
        <v>#N/A</v>
      </c>
      <c r="K3306" s="16" t="e">
        <f t="shared" si="6658"/>
        <v>#N/A</v>
      </c>
      <c r="L3306" s="40" t="e">
        <f t="shared" si="6649"/>
        <v>#N/A</v>
      </c>
      <c r="M3306" s="16" t="e">
        <f t="shared" si="6650"/>
        <v>#N/A</v>
      </c>
      <c r="N3306" s="16" t="e">
        <f t="shared" si="6651"/>
        <v>#N/A</v>
      </c>
      <c r="O3306" s="16" t="s">
        <v>75</v>
      </c>
      <c r="P3306" s="16" t="str">
        <f t="shared" si="6"/>
        <v/>
      </c>
      <c r="Q3306" s="41" t="e">
        <f t="shared" si="6652"/>
        <v>#N/A</v>
      </c>
      <c r="R3306" s="44"/>
      <c r="S3306" s="44"/>
      <c r="T3306" s="43"/>
      <c r="U3306" s="43" t="str">
        <f t="shared" si="8"/>
        <v>No</v>
      </c>
      <c r="V3306" s="25"/>
      <c r="W3306" s="25"/>
      <c r="X3306" s="25"/>
      <c r="Y3306" s="25"/>
      <c r="Z3306" s="25"/>
    </row>
    <row r="3307" spans="1:26" ht="15.75" customHeight="1" x14ac:dyDescent="0.25">
      <c r="A3307" s="25">
        <v>3305</v>
      </c>
      <c r="B3307" s="37" t="e">
        <f t="shared" ref="B3307:D3307" si="6659">VLOOKUP($A3307,[11]Planeación!$A$1:$O$253,B$1,0)</f>
        <v>#N/A</v>
      </c>
      <c r="C3307" s="38" t="e">
        <f t="shared" si="6659"/>
        <v>#N/A</v>
      </c>
      <c r="D3307" s="39" t="e">
        <f t="shared" si="6659"/>
        <v>#N/A</v>
      </c>
      <c r="E3307" s="16" t="e">
        <f t="shared" si="1"/>
        <v>#N/A</v>
      </c>
      <c r="F3307" s="16" t="e">
        <f t="shared" ref="F3307:K3307" si="6660">VLOOKUP($A3307,[11]Planeación!$A$1:$O$253,F$1,0)</f>
        <v>#N/A</v>
      </c>
      <c r="G3307" s="39" t="e">
        <f t="shared" si="6660"/>
        <v>#N/A</v>
      </c>
      <c r="H3307" s="16" t="e">
        <f t="shared" si="6660"/>
        <v>#N/A</v>
      </c>
      <c r="I3307" s="16" t="e">
        <f t="shared" si="6660"/>
        <v>#N/A</v>
      </c>
      <c r="J3307" s="40" t="e">
        <f t="shared" si="6660"/>
        <v>#N/A</v>
      </c>
      <c r="K3307" s="16" t="e">
        <f t="shared" si="6660"/>
        <v>#N/A</v>
      </c>
      <c r="L3307" s="40" t="e">
        <f t="shared" si="6649"/>
        <v>#N/A</v>
      </c>
      <c r="M3307" s="16" t="e">
        <f t="shared" si="6650"/>
        <v>#N/A</v>
      </c>
      <c r="N3307" s="16" t="e">
        <f t="shared" si="6651"/>
        <v>#N/A</v>
      </c>
      <c r="O3307" s="16" t="s">
        <v>75</v>
      </c>
      <c r="P3307" s="16" t="str">
        <f t="shared" si="6"/>
        <v/>
      </c>
      <c r="Q3307" s="41" t="e">
        <f t="shared" si="6652"/>
        <v>#N/A</v>
      </c>
      <c r="R3307" s="44"/>
      <c r="S3307" s="44"/>
      <c r="T3307" s="43"/>
      <c r="U3307" s="43" t="str">
        <f t="shared" si="8"/>
        <v>No</v>
      </c>
      <c r="V3307" s="25"/>
      <c r="W3307" s="25"/>
      <c r="X3307" s="25"/>
      <c r="Y3307" s="25"/>
      <c r="Z3307" s="25"/>
    </row>
    <row r="3308" spans="1:26" ht="15.75" customHeight="1" x14ac:dyDescent="0.25">
      <c r="A3308" s="25">
        <v>3306</v>
      </c>
      <c r="B3308" s="37" t="e">
        <f t="shared" ref="B3308:D3308" si="6661">VLOOKUP($A3308,[11]Planeación!$A$1:$O$253,B$1,0)</f>
        <v>#N/A</v>
      </c>
      <c r="C3308" s="38" t="e">
        <f t="shared" si="6661"/>
        <v>#N/A</v>
      </c>
      <c r="D3308" s="39" t="e">
        <f t="shared" si="6661"/>
        <v>#N/A</v>
      </c>
      <c r="E3308" s="16" t="e">
        <f t="shared" si="1"/>
        <v>#N/A</v>
      </c>
      <c r="F3308" s="16" t="e">
        <f t="shared" ref="F3308:K3308" si="6662">VLOOKUP($A3308,[11]Planeación!$A$1:$O$253,F$1,0)</f>
        <v>#N/A</v>
      </c>
      <c r="G3308" s="39" t="e">
        <f t="shared" si="6662"/>
        <v>#N/A</v>
      </c>
      <c r="H3308" s="16" t="e">
        <f t="shared" si="6662"/>
        <v>#N/A</v>
      </c>
      <c r="I3308" s="16" t="e">
        <f t="shared" si="6662"/>
        <v>#N/A</v>
      </c>
      <c r="J3308" s="40" t="e">
        <f t="shared" si="6662"/>
        <v>#N/A</v>
      </c>
      <c r="K3308" s="16" t="e">
        <f t="shared" si="6662"/>
        <v>#N/A</v>
      </c>
      <c r="L3308" s="40" t="e">
        <f t="shared" si="6649"/>
        <v>#N/A</v>
      </c>
      <c r="M3308" s="16" t="e">
        <f t="shared" si="6650"/>
        <v>#N/A</v>
      </c>
      <c r="N3308" s="16" t="e">
        <f t="shared" si="6651"/>
        <v>#N/A</v>
      </c>
      <c r="O3308" s="16" t="s">
        <v>75</v>
      </c>
      <c r="P3308" s="16" t="str">
        <f t="shared" si="6"/>
        <v/>
      </c>
      <c r="Q3308" s="41" t="e">
        <f t="shared" si="6652"/>
        <v>#N/A</v>
      </c>
      <c r="R3308" s="44"/>
      <c r="S3308" s="44"/>
      <c r="T3308" s="43"/>
      <c r="U3308" s="43" t="str">
        <f t="shared" si="8"/>
        <v>No</v>
      </c>
      <c r="V3308" s="25"/>
      <c r="W3308" s="25"/>
      <c r="X3308" s="25"/>
      <c r="Y3308" s="25"/>
      <c r="Z3308" s="25"/>
    </row>
    <row r="3309" spans="1:26" ht="15.75" customHeight="1" x14ac:dyDescent="0.25">
      <c r="A3309" s="25">
        <v>3307</v>
      </c>
      <c r="B3309" s="37" t="e">
        <f t="shared" ref="B3309:D3309" si="6663">VLOOKUP($A3309,[11]Planeación!$A$1:$O$253,B$1,0)</f>
        <v>#N/A</v>
      </c>
      <c r="C3309" s="38" t="e">
        <f t="shared" si="6663"/>
        <v>#N/A</v>
      </c>
      <c r="D3309" s="39" t="e">
        <f t="shared" si="6663"/>
        <v>#N/A</v>
      </c>
      <c r="E3309" s="16" t="e">
        <f t="shared" si="1"/>
        <v>#N/A</v>
      </c>
      <c r="F3309" s="16" t="e">
        <f t="shared" ref="F3309:K3309" si="6664">VLOOKUP($A3309,[11]Planeación!$A$1:$O$253,F$1,0)</f>
        <v>#N/A</v>
      </c>
      <c r="G3309" s="39" t="e">
        <f t="shared" si="6664"/>
        <v>#N/A</v>
      </c>
      <c r="H3309" s="16" t="e">
        <f t="shared" si="6664"/>
        <v>#N/A</v>
      </c>
      <c r="I3309" s="16" t="e">
        <f t="shared" si="6664"/>
        <v>#N/A</v>
      </c>
      <c r="J3309" s="40" t="e">
        <f t="shared" si="6664"/>
        <v>#N/A</v>
      </c>
      <c r="K3309" s="16" t="e">
        <f t="shared" si="6664"/>
        <v>#N/A</v>
      </c>
      <c r="L3309" s="40" t="e">
        <f t="shared" si="6649"/>
        <v>#N/A</v>
      </c>
      <c r="M3309" s="16" t="e">
        <f t="shared" si="6650"/>
        <v>#N/A</v>
      </c>
      <c r="N3309" s="16" t="e">
        <f t="shared" si="6651"/>
        <v>#N/A</v>
      </c>
      <c r="O3309" s="16" t="s">
        <v>75</v>
      </c>
      <c r="P3309" s="16" t="str">
        <f t="shared" si="6"/>
        <v/>
      </c>
      <c r="Q3309" s="41" t="e">
        <f t="shared" si="6652"/>
        <v>#N/A</v>
      </c>
      <c r="R3309" s="44"/>
      <c r="S3309" s="44"/>
      <c r="T3309" s="43"/>
      <c r="U3309" s="43" t="str">
        <f t="shared" si="8"/>
        <v>No</v>
      </c>
      <c r="V3309" s="25"/>
      <c r="W3309" s="25"/>
      <c r="X3309" s="25"/>
      <c r="Y3309" s="25"/>
      <c r="Z3309" s="25"/>
    </row>
    <row r="3310" spans="1:26" ht="15.75" customHeight="1" x14ac:dyDescent="0.25">
      <c r="A3310" s="25">
        <v>3308</v>
      </c>
      <c r="B3310" s="37" t="e">
        <f t="shared" ref="B3310:D3310" si="6665">VLOOKUP($A3310,[11]Planeación!$A$1:$O$253,B$1,0)</f>
        <v>#N/A</v>
      </c>
      <c r="C3310" s="38" t="e">
        <f t="shared" si="6665"/>
        <v>#N/A</v>
      </c>
      <c r="D3310" s="39" t="e">
        <f t="shared" si="6665"/>
        <v>#N/A</v>
      </c>
      <c r="E3310" s="16" t="e">
        <f t="shared" si="1"/>
        <v>#N/A</v>
      </c>
      <c r="F3310" s="16" t="e">
        <f t="shared" ref="F3310:K3310" si="6666">VLOOKUP($A3310,[11]Planeación!$A$1:$O$253,F$1,0)</f>
        <v>#N/A</v>
      </c>
      <c r="G3310" s="39" t="e">
        <f t="shared" si="6666"/>
        <v>#N/A</v>
      </c>
      <c r="H3310" s="16" t="e">
        <f t="shared" si="6666"/>
        <v>#N/A</v>
      </c>
      <c r="I3310" s="16" t="e">
        <f t="shared" si="6666"/>
        <v>#N/A</v>
      </c>
      <c r="J3310" s="40" t="e">
        <f t="shared" si="6666"/>
        <v>#N/A</v>
      </c>
      <c r="K3310" s="16" t="e">
        <f t="shared" si="6666"/>
        <v>#N/A</v>
      </c>
      <c r="L3310" s="40" t="e">
        <f t="shared" si="6649"/>
        <v>#N/A</v>
      </c>
      <c r="M3310" s="16" t="e">
        <f t="shared" si="6650"/>
        <v>#N/A</v>
      </c>
      <c r="N3310" s="16" t="e">
        <f t="shared" si="6651"/>
        <v>#N/A</v>
      </c>
      <c r="O3310" s="16" t="s">
        <v>75</v>
      </c>
      <c r="P3310" s="16" t="str">
        <f t="shared" si="6"/>
        <v/>
      </c>
      <c r="Q3310" s="41" t="e">
        <f t="shared" si="6652"/>
        <v>#N/A</v>
      </c>
      <c r="R3310" s="44"/>
      <c r="S3310" s="44"/>
      <c r="T3310" s="43"/>
      <c r="U3310" s="43" t="str">
        <f t="shared" si="8"/>
        <v>No</v>
      </c>
      <c r="V3310" s="25"/>
      <c r="W3310" s="25"/>
      <c r="X3310" s="25"/>
      <c r="Y3310" s="25"/>
      <c r="Z3310" s="25"/>
    </row>
    <row r="3311" spans="1:26" ht="15.75" customHeight="1" x14ac:dyDescent="0.25">
      <c r="A3311" s="25">
        <v>3309</v>
      </c>
      <c r="B3311" s="37" t="e">
        <f t="shared" ref="B3311:D3311" si="6667">VLOOKUP($A3311,[11]Planeación!$A$1:$O$253,B$1,0)</f>
        <v>#N/A</v>
      </c>
      <c r="C3311" s="38" t="e">
        <f t="shared" si="6667"/>
        <v>#N/A</v>
      </c>
      <c r="D3311" s="39" t="e">
        <f t="shared" si="6667"/>
        <v>#N/A</v>
      </c>
      <c r="E3311" s="16" t="e">
        <f t="shared" si="1"/>
        <v>#N/A</v>
      </c>
      <c r="F3311" s="16" t="e">
        <f t="shared" ref="F3311:K3311" si="6668">VLOOKUP($A3311,[11]Planeación!$A$1:$O$253,F$1,0)</f>
        <v>#N/A</v>
      </c>
      <c r="G3311" s="39" t="e">
        <f t="shared" si="6668"/>
        <v>#N/A</v>
      </c>
      <c r="H3311" s="16" t="e">
        <f t="shared" si="6668"/>
        <v>#N/A</v>
      </c>
      <c r="I3311" s="16" t="e">
        <f t="shared" si="6668"/>
        <v>#N/A</v>
      </c>
      <c r="J3311" s="40" t="e">
        <f t="shared" si="6668"/>
        <v>#N/A</v>
      </c>
      <c r="K3311" s="16" t="e">
        <f t="shared" si="6668"/>
        <v>#N/A</v>
      </c>
      <c r="L3311" s="40" t="e">
        <f t="shared" si="6649"/>
        <v>#N/A</v>
      </c>
      <c r="M3311" s="16" t="e">
        <f t="shared" si="6650"/>
        <v>#N/A</v>
      </c>
      <c r="N3311" s="16" t="e">
        <f t="shared" si="6651"/>
        <v>#N/A</v>
      </c>
      <c r="O3311" s="16" t="s">
        <v>75</v>
      </c>
      <c r="P3311" s="16" t="str">
        <f t="shared" si="6"/>
        <v/>
      </c>
      <c r="Q3311" s="41" t="e">
        <f t="shared" si="6652"/>
        <v>#N/A</v>
      </c>
      <c r="R3311" s="44"/>
      <c r="S3311" s="44"/>
      <c r="T3311" s="43"/>
      <c r="U3311" s="43" t="str">
        <f t="shared" si="8"/>
        <v>No</v>
      </c>
      <c r="V3311" s="25"/>
      <c r="W3311" s="25"/>
      <c r="X3311" s="25"/>
      <c r="Y3311" s="25"/>
      <c r="Z3311" s="25"/>
    </row>
    <row r="3312" spans="1:26" ht="15.75" customHeight="1" x14ac:dyDescent="0.25">
      <c r="A3312" s="25">
        <v>3310</v>
      </c>
      <c r="B3312" s="37" t="e">
        <f t="shared" ref="B3312:D3312" si="6669">VLOOKUP($A3312,[11]Planeación!$A$1:$O$253,B$1,0)</f>
        <v>#N/A</v>
      </c>
      <c r="C3312" s="38" t="e">
        <f t="shared" si="6669"/>
        <v>#N/A</v>
      </c>
      <c r="D3312" s="39" t="e">
        <f t="shared" si="6669"/>
        <v>#N/A</v>
      </c>
      <c r="E3312" s="16" t="e">
        <f t="shared" si="1"/>
        <v>#N/A</v>
      </c>
      <c r="F3312" s="16" t="e">
        <f t="shared" ref="F3312:K3312" si="6670">VLOOKUP($A3312,[11]Planeación!$A$1:$O$253,F$1,0)</f>
        <v>#N/A</v>
      </c>
      <c r="G3312" s="39" t="e">
        <f t="shared" si="6670"/>
        <v>#N/A</v>
      </c>
      <c r="H3312" s="16" t="e">
        <f t="shared" si="6670"/>
        <v>#N/A</v>
      </c>
      <c r="I3312" s="16" t="e">
        <f t="shared" si="6670"/>
        <v>#N/A</v>
      </c>
      <c r="J3312" s="40" t="e">
        <f t="shared" si="6670"/>
        <v>#N/A</v>
      </c>
      <c r="K3312" s="16" t="e">
        <f t="shared" si="6670"/>
        <v>#N/A</v>
      </c>
      <c r="L3312" s="40" t="e">
        <f t="shared" si="6649"/>
        <v>#N/A</v>
      </c>
      <c r="M3312" s="16" t="e">
        <f t="shared" si="6650"/>
        <v>#N/A</v>
      </c>
      <c r="N3312" s="16" t="e">
        <f t="shared" si="6651"/>
        <v>#N/A</v>
      </c>
      <c r="O3312" s="16" t="s">
        <v>75</v>
      </c>
      <c r="P3312" s="16" t="str">
        <f t="shared" si="6"/>
        <v/>
      </c>
      <c r="Q3312" s="41" t="e">
        <f t="shared" si="6652"/>
        <v>#N/A</v>
      </c>
      <c r="R3312" s="44"/>
      <c r="S3312" s="44"/>
      <c r="T3312" s="43"/>
      <c r="U3312" s="43" t="str">
        <f t="shared" si="8"/>
        <v>No</v>
      </c>
      <c r="V3312" s="25"/>
      <c r="W3312" s="25"/>
      <c r="X3312" s="25"/>
      <c r="Y3312" s="25"/>
      <c r="Z3312" s="25"/>
    </row>
    <row r="3313" spans="1:26" ht="15.75" customHeight="1" x14ac:dyDescent="0.25">
      <c r="A3313" s="25">
        <v>3311</v>
      </c>
      <c r="B3313" s="37" t="e">
        <f t="shared" ref="B3313:D3313" si="6671">VLOOKUP($A3313,[11]Planeación!$A$1:$O$253,B$1,0)</f>
        <v>#N/A</v>
      </c>
      <c r="C3313" s="38" t="e">
        <f t="shared" si="6671"/>
        <v>#N/A</v>
      </c>
      <c r="D3313" s="39" t="e">
        <f t="shared" si="6671"/>
        <v>#N/A</v>
      </c>
      <c r="E3313" s="16" t="e">
        <f t="shared" si="1"/>
        <v>#N/A</v>
      </c>
      <c r="F3313" s="16" t="e">
        <f t="shared" ref="F3313:K3313" si="6672">VLOOKUP($A3313,[11]Planeación!$A$1:$O$253,F$1,0)</f>
        <v>#N/A</v>
      </c>
      <c r="G3313" s="39" t="e">
        <f t="shared" si="6672"/>
        <v>#N/A</v>
      </c>
      <c r="H3313" s="16" t="e">
        <f t="shared" si="6672"/>
        <v>#N/A</v>
      </c>
      <c r="I3313" s="16" t="e">
        <f t="shared" si="6672"/>
        <v>#N/A</v>
      </c>
      <c r="J3313" s="40" t="e">
        <f t="shared" si="6672"/>
        <v>#N/A</v>
      </c>
      <c r="K3313" s="16" t="e">
        <f t="shared" si="6672"/>
        <v>#N/A</v>
      </c>
      <c r="L3313" s="40" t="e">
        <f t="shared" si="6649"/>
        <v>#N/A</v>
      </c>
      <c r="M3313" s="16" t="e">
        <f t="shared" si="6650"/>
        <v>#N/A</v>
      </c>
      <c r="N3313" s="16" t="e">
        <f t="shared" si="6651"/>
        <v>#N/A</v>
      </c>
      <c r="O3313" s="16" t="s">
        <v>75</v>
      </c>
      <c r="P3313" s="16" t="str">
        <f t="shared" si="6"/>
        <v/>
      </c>
      <c r="Q3313" s="41" t="e">
        <f t="shared" si="6652"/>
        <v>#N/A</v>
      </c>
      <c r="R3313" s="44"/>
      <c r="S3313" s="44"/>
      <c r="T3313" s="43"/>
      <c r="U3313" s="43" t="str">
        <f t="shared" si="8"/>
        <v>No</v>
      </c>
      <c r="V3313" s="25"/>
      <c r="W3313" s="25"/>
      <c r="X3313" s="25"/>
      <c r="Y3313" s="25"/>
      <c r="Z3313" s="25"/>
    </row>
    <row r="3314" spans="1:26" ht="15.75" customHeight="1" x14ac:dyDescent="0.25">
      <c r="A3314" s="25">
        <v>3312</v>
      </c>
      <c r="B3314" s="37" t="e">
        <f t="shared" ref="B3314:D3314" si="6673">VLOOKUP($A3314,[11]Planeación!$A$1:$O$253,B$1,0)</f>
        <v>#N/A</v>
      </c>
      <c r="C3314" s="38" t="e">
        <f t="shared" si="6673"/>
        <v>#N/A</v>
      </c>
      <c r="D3314" s="39" t="e">
        <f t="shared" si="6673"/>
        <v>#N/A</v>
      </c>
      <c r="E3314" s="16" t="e">
        <f t="shared" si="1"/>
        <v>#N/A</v>
      </c>
      <c r="F3314" s="16" t="e">
        <f t="shared" ref="F3314:K3314" si="6674">VLOOKUP($A3314,[11]Planeación!$A$1:$O$253,F$1,0)</f>
        <v>#N/A</v>
      </c>
      <c r="G3314" s="39" t="e">
        <f t="shared" si="6674"/>
        <v>#N/A</v>
      </c>
      <c r="H3314" s="16" t="e">
        <f t="shared" si="6674"/>
        <v>#N/A</v>
      </c>
      <c r="I3314" s="16" t="e">
        <f t="shared" si="6674"/>
        <v>#N/A</v>
      </c>
      <c r="J3314" s="40" t="e">
        <f t="shared" si="6674"/>
        <v>#N/A</v>
      </c>
      <c r="K3314" s="16" t="e">
        <f t="shared" si="6674"/>
        <v>#N/A</v>
      </c>
      <c r="L3314" s="40" t="e">
        <f t="shared" si="6649"/>
        <v>#N/A</v>
      </c>
      <c r="M3314" s="16" t="e">
        <f t="shared" si="6650"/>
        <v>#N/A</v>
      </c>
      <c r="N3314" s="16" t="e">
        <f t="shared" si="6651"/>
        <v>#N/A</v>
      </c>
      <c r="O3314" s="16" t="s">
        <v>75</v>
      </c>
      <c r="P3314" s="16" t="str">
        <f t="shared" si="6"/>
        <v/>
      </c>
      <c r="Q3314" s="41" t="e">
        <f t="shared" si="6652"/>
        <v>#N/A</v>
      </c>
      <c r="R3314" s="44"/>
      <c r="S3314" s="44"/>
      <c r="T3314" s="43"/>
      <c r="U3314" s="43" t="str">
        <f t="shared" si="8"/>
        <v>No</v>
      </c>
      <c r="V3314" s="25"/>
      <c r="W3314" s="25"/>
      <c r="X3314" s="25"/>
      <c r="Y3314" s="25"/>
      <c r="Z3314" s="25"/>
    </row>
    <row r="3315" spans="1:26" ht="15.75" customHeight="1" x14ac:dyDescent="0.25">
      <c r="A3315" s="25">
        <v>3313</v>
      </c>
      <c r="B3315" s="37" t="e">
        <f t="shared" ref="B3315:D3315" si="6675">VLOOKUP($A3315,[11]Planeación!$A$1:$O$253,B$1,0)</f>
        <v>#N/A</v>
      </c>
      <c r="C3315" s="38" t="e">
        <f t="shared" si="6675"/>
        <v>#N/A</v>
      </c>
      <c r="D3315" s="39" t="e">
        <f t="shared" si="6675"/>
        <v>#N/A</v>
      </c>
      <c r="E3315" s="16" t="e">
        <f t="shared" si="1"/>
        <v>#N/A</v>
      </c>
      <c r="F3315" s="16" t="e">
        <f t="shared" ref="F3315:K3315" si="6676">VLOOKUP($A3315,[11]Planeación!$A$1:$O$253,F$1,0)</f>
        <v>#N/A</v>
      </c>
      <c r="G3315" s="39" t="e">
        <f t="shared" si="6676"/>
        <v>#N/A</v>
      </c>
      <c r="H3315" s="16" t="e">
        <f t="shared" si="6676"/>
        <v>#N/A</v>
      </c>
      <c r="I3315" s="16" t="e">
        <f t="shared" si="6676"/>
        <v>#N/A</v>
      </c>
      <c r="J3315" s="40" t="e">
        <f t="shared" si="6676"/>
        <v>#N/A</v>
      </c>
      <c r="K3315" s="16" t="e">
        <f t="shared" si="6676"/>
        <v>#N/A</v>
      </c>
      <c r="L3315" s="40" t="e">
        <f t="shared" si="6649"/>
        <v>#N/A</v>
      </c>
      <c r="M3315" s="16" t="e">
        <f t="shared" si="6650"/>
        <v>#N/A</v>
      </c>
      <c r="N3315" s="16" t="e">
        <f t="shared" si="6651"/>
        <v>#N/A</v>
      </c>
      <c r="O3315" s="16" t="s">
        <v>75</v>
      </c>
      <c r="P3315" s="16" t="str">
        <f t="shared" si="6"/>
        <v/>
      </c>
      <c r="Q3315" s="41" t="e">
        <f t="shared" si="6652"/>
        <v>#N/A</v>
      </c>
      <c r="R3315" s="44"/>
      <c r="S3315" s="44"/>
      <c r="T3315" s="43"/>
      <c r="U3315" s="43" t="str">
        <f t="shared" si="8"/>
        <v>No</v>
      </c>
      <c r="V3315" s="25"/>
      <c r="W3315" s="25"/>
      <c r="X3315" s="25"/>
      <c r="Y3315" s="25"/>
      <c r="Z3315" s="25"/>
    </row>
    <row r="3316" spans="1:26" ht="15.75" customHeight="1" x14ac:dyDescent="0.25">
      <c r="A3316" s="25">
        <v>3314</v>
      </c>
      <c r="B3316" s="37" t="e">
        <f t="shared" ref="B3316:D3316" si="6677">VLOOKUP($A3316,[11]Planeación!$A$1:$O$253,B$1,0)</f>
        <v>#N/A</v>
      </c>
      <c r="C3316" s="38" t="e">
        <f t="shared" si="6677"/>
        <v>#N/A</v>
      </c>
      <c r="D3316" s="39" t="e">
        <f t="shared" si="6677"/>
        <v>#N/A</v>
      </c>
      <c r="E3316" s="16" t="e">
        <f t="shared" si="1"/>
        <v>#N/A</v>
      </c>
      <c r="F3316" s="16" t="e">
        <f t="shared" ref="F3316:K3316" si="6678">VLOOKUP($A3316,[11]Planeación!$A$1:$O$253,F$1,0)</f>
        <v>#N/A</v>
      </c>
      <c r="G3316" s="39" t="e">
        <f t="shared" si="6678"/>
        <v>#N/A</v>
      </c>
      <c r="H3316" s="16" t="e">
        <f t="shared" si="6678"/>
        <v>#N/A</v>
      </c>
      <c r="I3316" s="16" t="e">
        <f t="shared" si="6678"/>
        <v>#N/A</v>
      </c>
      <c r="J3316" s="40" t="e">
        <f t="shared" si="6678"/>
        <v>#N/A</v>
      </c>
      <c r="K3316" s="16" t="e">
        <f t="shared" si="6678"/>
        <v>#N/A</v>
      </c>
      <c r="L3316" s="40" t="e">
        <f t="shared" si="6649"/>
        <v>#N/A</v>
      </c>
      <c r="M3316" s="16" t="e">
        <f t="shared" si="6650"/>
        <v>#N/A</v>
      </c>
      <c r="N3316" s="16" t="e">
        <f t="shared" si="6651"/>
        <v>#N/A</v>
      </c>
      <c r="O3316" s="16" t="s">
        <v>75</v>
      </c>
      <c r="P3316" s="16" t="str">
        <f t="shared" si="6"/>
        <v/>
      </c>
      <c r="Q3316" s="41" t="e">
        <f t="shared" si="6652"/>
        <v>#N/A</v>
      </c>
      <c r="R3316" s="44"/>
      <c r="S3316" s="44"/>
      <c r="T3316" s="43"/>
      <c r="U3316" s="43" t="str">
        <f t="shared" si="8"/>
        <v>No</v>
      </c>
      <c r="V3316" s="25"/>
      <c r="W3316" s="25"/>
      <c r="X3316" s="25"/>
      <c r="Y3316" s="25"/>
      <c r="Z3316" s="25"/>
    </row>
    <row r="3317" spans="1:26" ht="15.75" customHeight="1" x14ac:dyDescent="0.25">
      <c r="A3317" s="25">
        <v>3315</v>
      </c>
      <c r="B3317" s="37" t="e">
        <f t="shared" ref="B3317:D3317" si="6679">VLOOKUP($A3317,[11]Planeación!$A$1:$O$253,B$1,0)</f>
        <v>#N/A</v>
      </c>
      <c r="C3317" s="38" t="e">
        <f t="shared" si="6679"/>
        <v>#N/A</v>
      </c>
      <c r="D3317" s="39" t="e">
        <f t="shared" si="6679"/>
        <v>#N/A</v>
      </c>
      <c r="E3317" s="16" t="e">
        <f t="shared" si="1"/>
        <v>#N/A</v>
      </c>
      <c r="F3317" s="16" t="e">
        <f t="shared" ref="F3317:K3317" si="6680">VLOOKUP($A3317,[11]Planeación!$A$1:$O$253,F$1,0)</f>
        <v>#N/A</v>
      </c>
      <c r="G3317" s="39" t="e">
        <f t="shared" si="6680"/>
        <v>#N/A</v>
      </c>
      <c r="H3317" s="16" t="e">
        <f t="shared" si="6680"/>
        <v>#N/A</v>
      </c>
      <c r="I3317" s="16" t="e">
        <f t="shared" si="6680"/>
        <v>#N/A</v>
      </c>
      <c r="J3317" s="40" t="e">
        <f t="shared" si="6680"/>
        <v>#N/A</v>
      </c>
      <c r="K3317" s="16" t="e">
        <f t="shared" si="6680"/>
        <v>#N/A</v>
      </c>
      <c r="L3317" s="40" t="e">
        <f t="shared" si="6649"/>
        <v>#N/A</v>
      </c>
      <c r="M3317" s="16" t="e">
        <f t="shared" si="6650"/>
        <v>#N/A</v>
      </c>
      <c r="N3317" s="16" t="e">
        <f t="shared" si="6651"/>
        <v>#N/A</v>
      </c>
      <c r="O3317" s="16" t="s">
        <v>75</v>
      </c>
      <c r="P3317" s="16" t="str">
        <f t="shared" si="6"/>
        <v/>
      </c>
      <c r="Q3317" s="41" t="e">
        <f t="shared" si="6652"/>
        <v>#N/A</v>
      </c>
      <c r="R3317" s="44"/>
      <c r="S3317" s="44"/>
      <c r="T3317" s="43"/>
      <c r="U3317" s="43" t="str">
        <f t="shared" si="8"/>
        <v>No</v>
      </c>
      <c r="V3317" s="25"/>
      <c r="W3317" s="25"/>
      <c r="X3317" s="25"/>
      <c r="Y3317" s="25"/>
      <c r="Z3317" s="25"/>
    </row>
    <row r="3318" spans="1:26" ht="15.75" customHeight="1" x14ac:dyDescent="0.25">
      <c r="A3318" s="25">
        <v>3316</v>
      </c>
      <c r="B3318" s="37" t="e">
        <f t="shared" ref="B3318:D3318" si="6681">VLOOKUP($A3318,[11]Planeación!$A$1:$O$253,B$1,0)</f>
        <v>#N/A</v>
      </c>
      <c r="C3318" s="38" t="e">
        <f t="shared" si="6681"/>
        <v>#N/A</v>
      </c>
      <c r="D3318" s="39" t="e">
        <f t="shared" si="6681"/>
        <v>#N/A</v>
      </c>
      <c r="E3318" s="16" t="e">
        <f t="shared" si="1"/>
        <v>#N/A</v>
      </c>
      <c r="F3318" s="16" t="e">
        <f t="shared" ref="F3318:K3318" si="6682">VLOOKUP($A3318,[11]Planeación!$A$1:$O$253,F$1,0)</f>
        <v>#N/A</v>
      </c>
      <c r="G3318" s="39" t="e">
        <f t="shared" si="6682"/>
        <v>#N/A</v>
      </c>
      <c r="H3318" s="16" t="e">
        <f t="shared" si="6682"/>
        <v>#N/A</v>
      </c>
      <c r="I3318" s="16" t="e">
        <f t="shared" si="6682"/>
        <v>#N/A</v>
      </c>
      <c r="J3318" s="40" t="e">
        <f t="shared" si="6682"/>
        <v>#N/A</v>
      </c>
      <c r="K3318" s="16" t="e">
        <f t="shared" si="6682"/>
        <v>#N/A</v>
      </c>
      <c r="L3318" s="40" t="e">
        <f t="shared" si="6649"/>
        <v>#N/A</v>
      </c>
      <c r="M3318" s="16" t="e">
        <f t="shared" si="6650"/>
        <v>#N/A</v>
      </c>
      <c r="N3318" s="16" t="e">
        <f t="shared" si="6651"/>
        <v>#N/A</v>
      </c>
      <c r="O3318" s="16" t="s">
        <v>75</v>
      </c>
      <c r="P3318" s="16" t="str">
        <f t="shared" si="6"/>
        <v/>
      </c>
      <c r="Q3318" s="41" t="e">
        <f t="shared" si="6652"/>
        <v>#N/A</v>
      </c>
      <c r="R3318" s="44"/>
      <c r="S3318" s="44"/>
      <c r="T3318" s="43"/>
      <c r="U3318" s="43" t="str">
        <f t="shared" si="8"/>
        <v>No</v>
      </c>
      <c r="V3318" s="25"/>
      <c r="W3318" s="25"/>
      <c r="X3318" s="25"/>
      <c r="Y3318" s="25"/>
      <c r="Z3318" s="25"/>
    </row>
    <row r="3319" spans="1:26" ht="15.75" customHeight="1" x14ac:dyDescent="0.25">
      <c r="A3319" s="25">
        <v>3317</v>
      </c>
      <c r="B3319" s="37" t="e">
        <f t="shared" ref="B3319:D3319" si="6683">VLOOKUP($A3319,[11]Planeación!$A$1:$O$253,B$1,0)</f>
        <v>#N/A</v>
      </c>
      <c r="C3319" s="38" t="e">
        <f t="shared" si="6683"/>
        <v>#N/A</v>
      </c>
      <c r="D3319" s="39" t="e">
        <f t="shared" si="6683"/>
        <v>#N/A</v>
      </c>
      <c r="E3319" s="16" t="e">
        <f t="shared" si="1"/>
        <v>#N/A</v>
      </c>
      <c r="F3319" s="16" t="e">
        <f t="shared" ref="F3319:K3319" si="6684">VLOOKUP($A3319,[11]Planeación!$A$1:$O$253,F$1,0)</f>
        <v>#N/A</v>
      </c>
      <c r="G3319" s="39" t="e">
        <f t="shared" si="6684"/>
        <v>#N/A</v>
      </c>
      <c r="H3319" s="16" t="e">
        <f t="shared" si="6684"/>
        <v>#N/A</v>
      </c>
      <c r="I3319" s="16" t="e">
        <f t="shared" si="6684"/>
        <v>#N/A</v>
      </c>
      <c r="J3319" s="40" t="e">
        <f t="shared" si="6684"/>
        <v>#N/A</v>
      </c>
      <c r="K3319" s="16" t="e">
        <f t="shared" si="6684"/>
        <v>#N/A</v>
      </c>
      <c r="L3319" s="40" t="e">
        <f t="shared" si="6649"/>
        <v>#N/A</v>
      </c>
      <c r="M3319" s="16" t="e">
        <f t="shared" si="6650"/>
        <v>#N/A</v>
      </c>
      <c r="N3319" s="16" t="e">
        <f t="shared" si="6651"/>
        <v>#N/A</v>
      </c>
      <c r="O3319" s="16" t="s">
        <v>75</v>
      </c>
      <c r="P3319" s="16" t="str">
        <f t="shared" si="6"/>
        <v/>
      </c>
      <c r="Q3319" s="41" t="e">
        <f t="shared" si="6652"/>
        <v>#N/A</v>
      </c>
      <c r="R3319" s="44"/>
      <c r="S3319" s="44"/>
      <c r="T3319" s="43"/>
      <c r="U3319" s="43" t="str">
        <f t="shared" si="8"/>
        <v>No</v>
      </c>
      <c r="V3319" s="25"/>
      <c r="W3319" s="25"/>
      <c r="X3319" s="25"/>
      <c r="Y3319" s="25"/>
      <c r="Z3319" s="25"/>
    </row>
    <row r="3320" spans="1:26" ht="15.75" customHeight="1" x14ac:dyDescent="0.25">
      <c r="A3320" s="25">
        <v>3318</v>
      </c>
      <c r="B3320" s="37" t="e">
        <f t="shared" ref="B3320:D3320" si="6685">VLOOKUP($A3320,[11]Planeación!$A$1:$O$253,B$1,0)</f>
        <v>#N/A</v>
      </c>
      <c r="C3320" s="38" t="e">
        <f t="shared" si="6685"/>
        <v>#N/A</v>
      </c>
      <c r="D3320" s="39" t="e">
        <f t="shared" si="6685"/>
        <v>#N/A</v>
      </c>
      <c r="E3320" s="16" t="e">
        <f t="shared" si="1"/>
        <v>#N/A</v>
      </c>
      <c r="F3320" s="16" t="e">
        <f t="shared" ref="F3320:K3320" si="6686">VLOOKUP($A3320,[11]Planeación!$A$1:$O$253,F$1,0)</f>
        <v>#N/A</v>
      </c>
      <c r="G3320" s="39" t="e">
        <f t="shared" si="6686"/>
        <v>#N/A</v>
      </c>
      <c r="H3320" s="16" t="e">
        <f t="shared" si="6686"/>
        <v>#N/A</v>
      </c>
      <c r="I3320" s="16" t="e">
        <f t="shared" si="6686"/>
        <v>#N/A</v>
      </c>
      <c r="J3320" s="40" t="e">
        <f t="shared" si="6686"/>
        <v>#N/A</v>
      </c>
      <c r="K3320" s="16" t="e">
        <f t="shared" si="6686"/>
        <v>#N/A</v>
      </c>
      <c r="L3320" s="40" t="e">
        <f t="shared" si="6649"/>
        <v>#N/A</v>
      </c>
      <c r="M3320" s="16" t="e">
        <f t="shared" si="6650"/>
        <v>#N/A</v>
      </c>
      <c r="N3320" s="16" t="e">
        <f t="shared" si="6651"/>
        <v>#N/A</v>
      </c>
      <c r="O3320" s="16" t="s">
        <v>75</v>
      </c>
      <c r="P3320" s="16" t="str">
        <f t="shared" si="6"/>
        <v/>
      </c>
      <c r="Q3320" s="41" t="e">
        <f t="shared" si="6652"/>
        <v>#N/A</v>
      </c>
      <c r="R3320" s="44"/>
      <c r="S3320" s="44"/>
      <c r="T3320" s="43"/>
      <c r="U3320" s="43" t="str">
        <f t="shared" si="8"/>
        <v>No</v>
      </c>
      <c r="V3320" s="25"/>
      <c r="W3320" s="25"/>
      <c r="X3320" s="25"/>
      <c r="Y3320" s="25"/>
      <c r="Z3320" s="25"/>
    </row>
    <row r="3321" spans="1:26" ht="15.75" customHeight="1" x14ac:dyDescent="0.25">
      <c r="A3321" s="25">
        <v>3319</v>
      </c>
      <c r="B3321" s="37" t="e">
        <f t="shared" ref="B3321:D3321" si="6687">VLOOKUP($A3321,[11]Planeación!$A$1:$O$253,B$1,0)</f>
        <v>#N/A</v>
      </c>
      <c r="C3321" s="38" t="e">
        <f t="shared" si="6687"/>
        <v>#N/A</v>
      </c>
      <c r="D3321" s="39" t="e">
        <f t="shared" si="6687"/>
        <v>#N/A</v>
      </c>
      <c r="E3321" s="16" t="e">
        <f t="shared" si="1"/>
        <v>#N/A</v>
      </c>
      <c r="F3321" s="16" t="e">
        <f t="shared" ref="F3321:K3321" si="6688">VLOOKUP($A3321,[11]Planeación!$A$1:$O$253,F$1,0)</f>
        <v>#N/A</v>
      </c>
      <c r="G3321" s="39" t="e">
        <f t="shared" si="6688"/>
        <v>#N/A</v>
      </c>
      <c r="H3321" s="16" t="e">
        <f t="shared" si="6688"/>
        <v>#N/A</v>
      </c>
      <c r="I3321" s="16" t="e">
        <f t="shared" si="6688"/>
        <v>#N/A</v>
      </c>
      <c r="J3321" s="40" t="e">
        <f t="shared" si="6688"/>
        <v>#N/A</v>
      </c>
      <c r="K3321" s="16" t="e">
        <f t="shared" si="6688"/>
        <v>#N/A</v>
      </c>
      <c r="L3321" s="40" t="e">
        <f t="shared" si="6649"/>
        <v>#N/A</v>
      </c>
      <c r="M3321" s="16" t="e">
        <f t="shared" si="6650"/>
        <v>#N/A</v>
      </c>
      <c r="N3321" s="16" t="e">
        <f t="shared" si="6651"/>
        <v>#N/A</v>
      </c>
      <c r="O3321" s="16" t="s">
        <v>75</v>
      </c>
      <c r="P3321" s="16" t="str">
        <f t="shared" si="6"/>
        <v/>
      </c>
      <c r="Q3321" s="41" t="e">
        <f t="shared" si="6652"/>
        <v>#N/A</v>
      </c>
      <c r="R3321" s="44"/>
      <c r="S3321" s="44"/>
      <c r="T3321" s="43"/>
      <c r="U3321" s="43" t="str">
        <f t="shared" si="8"/>
        <v>No</v>
      </c>
      <c r="V3321" s="25"/>
      <c r="W3321" s="25"/>
      <c r="X3321" s="25"/>
      <c r="Y3321" s="25"/>
      <c r="Z3321" s="25"/>
    </row>
    <row r="3322" spans="1:26" ht="15.75" customHeight="1" x14ac:dyDescent="0.25">
      <c r="A3322" s="25">
        <v>3320</v>
      </c>
      <c r="B3322" s="37" t="e">
        <f t="shared" ref="B3322:D3322" si="6689">VLOOKUP($A3322,[11]Planeación!$A$1:$O$253,B$1,0)</f>
        <v>#N/A</v>
      </c>
      <c r="C3322" s="38" t="e">
        <f t="shared" si="6689"/>
        <v>#N/A</v>
      </c>
      <c r="D3322" s="39" t="e">
        <f t="shared" si="6689"/>
        <v>#N/A</v>
      </c>
      <c r="E3322" s="16" t="e">
        <f t="shared" si="1"/>
        <v>#N/A</v>
      </c>
      <c r="F3322" s="16" t="e">
        <f t="shared" ref="F3322:K3322" si="6690">VLOOKUP($A3322,[11]Planeación!$A$1:$O$253,F$1,0)</f>
        <v>#N/A</v>
      </c>
      <c r="G3322" s="39" t="e">
        <f t="shared" si="6690"/>
        <v>#N/A</v>
      </c>
      <c r="H3322" s="16" t="e">
        <f t="shared" si="6690"/>
        <v>#N/A</v>
      </c>
      <c r="I3322" s="16" t="e">
        <f t="shared" si="6690"/>
        <v>#N/A</v>
      </c>
      <c r="J3322" s="40" t="e">
        <f t="shared" si="6690"/>
        <v>#N/A</v>
      </c>
      <c r="K3322" s="16" t="e">
        <f t="shared" si="6690"/>
        <v>#N/A</v>
      </c>
      <c r="L3322" s="40" t="e">
        <f t="shared" si="6649"/>
        <v>#N/A</v>
      </c>
      <c r="M3322" s="16" t="e">
        <f t="shared" si="6650"/>
        <v>#N/A</v>
      </c>
      <c r="N3322" s="16" t="e">
        <f t="shared" si="6651"/>
        <v>#N/A</v>
      </c>
      <c r="O3322" s="16" t="s">
        <v>75</v>
      </c>
      <c r="P3322" s="16" t="str">
        <f t="shared" si="6"/>
        <v/>
      </c>
      <c r="Q3322" s="41" t="e">
        <f t="shared" si="6652"/>
        <v>#N/A</v>
      </c>
      <c r="R3322" s="44"/>
      <c r="S3322" s="44"/>
      <c r="T3322" s="43"/>
      <c r="U3322" s="43" t="str">
        <f t="shared" si="8"/>
        <v>No</v>
      </c>
      <c r="V3322" s="25"/>
      <c r="W3322" s="25"/>
      <c r="X3322" s="25"/>
      <c r="Y3322" s="25"/>
      <c r="Z3322" s="25"/>
    </row>
    <row r="3323" spans="1:26" ht="15.75" customHeight="1" x14ac:dyDescent="0.25">
      <c r="A3323" s="25">
        <v>3321</v>
      </c>
      <c r="B3323" s="37" t="e">
        <f t="shared" ref="B3323:D3323" si="6691">VLOOKUP($A3323,[11]Planeación!$A$1:$O$253,B$1,0)</f>
        <v>#N/A</v>
      </c>
      <c r="C3323" s="38" t="e">
        <f t="shared" si="6691"/>
        <v>#N/A</v>
      </c>
      <c r="D3323" s="39" t="e">
        <f t="shared" si="6691"/>
        <v>#N/A</v>
      </c>
      <c r="E3323" s="16" t="e">
        <f t="shared" si="1"/>
        <v>#N/A</v>
      </c>
      <c r="F3323" s="16" t="e">
        <f t="shared" ref="F3323:K3323" si="6692">VLOOKUP($A3323,[11]Planeación!$A$1:$O$253,F$1,0)</f>
        <v>#N/A</v>
      </c>
      <c r="G3323" s="39" t="e">
        <f t="shared" si="6692"/>
        <v>#N/A</v>
      </c>
      <c r="H3323" s="16" t="e">
        <f t="shared" si="6692"/>
        <v>#N/A</v>
      </c>
      <c r="I3323" s="16" t="e">
        <f t="shared" si="6692"/>
        <v>#N/A</v>
      </c>
      <c r="J3323" s="40" t="e">
        <f t="shared" si="6692"/>
        <v>#N/A</v>
      </c>
      <c r="K3323" s="16" t="e">
        <f t="shared" si="6692"/>
        <v>#N/A</v>
      </c>
      <c r="L3323" s="40" t="e">
        <f t="shared" si="6649"/>
        <v>#N/A</v>
      </c>
      <c r="M3323" s="16" t="e">
        <f t="shared" si="6650"/>
        <v>#N/A</v>
      </c>
      <c r="N3323" s="16" t="e">
        <f t="shared" si="6651"/>
        <v>#N/A</v>
      </c>
      <c r="O3323" s="16" t="s">
        <v>75</v>
      </c>
      <c r="P3323" s="16" t="str">
        <f t="shared" si="6"/>
        <v/>
      </c>
      <c r="Q3323" s="41" t="e">
        <f t="shared" si="6652"/>
        <v>#N/A</v>
      </c>
      <c r="R3323" s="44"/>
      <c r="S3323" s="44"/>
      <c r="T3323" s="43"/>
      <c r="U3323" s="43" t="str">
        <f t="shared" si="8"/>
        <v>No</v>
      </c>
      <c r="V3323" s="25"/>
      <c r="W3323" s="25"/>
      <c r="X3323" s="25"/>
      <c r="Y3323" s="25"/>
      <c r="Z3323" s="25"/>
    </row>
    <row r="3324" spans="1:26" ht="15.75" customHeight="1" x14ac:dyDescent="0.25">
      <c r="A3324" s="25">
        <v>3322</v>
      </c>
      <c r="B3324" s="37" t="e">
        <f t="shared" ref="B3324:D3324" si="6693">VLOOKUP($A3324,[11]Planeación!$A$1:$O$253,B$1,0)</f>
        <v>#N/A</v>
      </c>
      <c r="C3324" s="38" t="e">
        <f t="shared" si="6693"/>
        <v>#N/A</v>
      </c>
      <c r="D3324" s="39" t="e">
        <f t="shared" si="6693"/>
        <v>#N/A</v>
      </c>
      <c r="E3324" s="16" t="e">
        <f t="shared" si="1"/>
        <v>#N/A</v>
      </c>
      <c r="F3324" s="16" t="e">
        <f t="shared" ref="F3324:K3324" si="6694">VLOOKUP($A3324,[11]Planeación!$A$1:$O$253,F$1,0)</f>
        <v>#N/A</v>
      </c>
      <c r="G3324" s="39" t="e">
        <f t="shared" si="6694"/>
        <v>#N/A</v>
      </c>
      <c r="H3324" s="16" t="e">
        <f t="shared" si="6694"/>
        <v>#N/A</v>
      </c>
      <c r="I3324" s="16" t="e">
        <f t="shared" si="6694"/>
        <v>#N/A</v>
      </c>
      <c r="J3324" s="40" t="e">
        <f t="shared" si="6694"/>
        <v>#N/A</v>
      </c>
      <c r="K3324" s="16" t="e">
        <f t="shared" si="6694"/>
        <v>#N/A</v>
      </c>
      <c r="L3324" s="40" t="e">
        <f t="shared" si="6649"/>
        <v>#N/A</v>
      </c>
      <c r="M3324" s="16" t="e">
        <f t="shared" si="6650"/>
        <v>#N/A</v>
      </c>
      <c r="N3324" s="16" t="e">
        <f t="shared" si="6651"/>
        <v>#N/A</v>
      </c>
      <c r="O3324" s="16" t="s">
        <v>75</v>
      </c>
      <c r="P3324" s="16" t="str">
        <f t="shared" si="6"/>
        <v/>
      </c>
      <c r="Q3324" s="41" t="e">
        <f t="shared" si="6652"/>
        <v>#N/A</v>
      </c>
      <c r="R3324" s="44"/>
      <c r="S3324" s="44"/>
      <c r="T3324" s="43"/>
      <c r="U3324" s="43" t="str">
        <f t="shared" si="8"/>
        <v>No</v>
      </c>
      <c r="V3324" s="25"/>
      <c r="W3324" s="25"/>
      <c r="X3324" s="25"/>
      <c r="Y3324" s="25"/>
      <c r="Z3324" s="25"/>
    </row>
    <row r="3325" spans="1:26" ht="15.75" customHeight="1" x14ac:dyDescent="0.25">
      <c r="A3325" s="25">
        <v>3323</v>
      </c>
      <c r="B3325" s="37" t="e">
        <f t="shared" ref="B3325:D3325" si="6695">VLOOKUP($A3325,[11]Planeación!$A$1:$O$253,B$1,0)</f>
        <v>#N/A</v>
      </c>
      <c r="C3325" s="38" t="e">
        <f t="shared" si="6695"/>
        <v>#N/A</v>
      </c>
      <c r="D3325" s="39" t="e">
        <f t="shared" si="6695"/>
        <v>#N/A</v>
      </c>
      <c r="E3325" s="16" t="e">
        <f t="shared" si="1"/>
        <v>#N/A</v>
      </c>
      <c r="F3325" s="16" t="e">
        <f t="shared" ref="F3325:K3325" si="6696">VLOOKUP($A3325,[11]Planeación!$A$1:$O$253,F$1,0)</f>
        <v>#N/A</v>
      </c>
      <c r="G3325" s="39" t="e">
        <f t="shared" si="6696"/>
        <v>#N/A</v>
      </c>
      <c r="H3325" s="16" t="e">
        <f t="shared" si="6696"/>
        <v>#N/A</v>
      </c>
      <c r="I3325" s="16" t="e">
        <f t="shared" si="6696"/>
        <v>#N/A</v>
      </c>
      <c r="J3325" s="40" t="e">
        <f t="shared" si="6696"/>
        <v>#N/A</v>
      </c>
      <c r="K3325" s="16" t="e">
        <f t="shared" si="6696"/>
        <v>#N/A</v>
      </c>
      <c r="L3325" s="40" t="e">
        <f t="shared" si="6649"/>
        <v>#N/A</v>
      </c>
      <c r="M3325" s="16" t="e">
        <f t="shared" si="6650"/>
        <v>#N/A</v>
      </c>
      <c r="N3325" s="16" t="e">
        <f t="shared" si="6651"/>
        <v>#N/A</v>
      </c>
      <c r="O3325" s="16" t="s">
        <v>75</v>
      </c>
      <c r="P3325" s="16" t="str">
        <f t="shared" si="6"/>
        <v/>
      </c>
      <c r="Q3325" s="41" t="e">
        <f t="shared" si="6652"/>
        <v>#N/A</v>
      </c>
      <c r="R3325" s="44"/>
      <c r="S3325" s="44"/>
      <c r="T3325" s="43"/>
      <c r="U3325" s="43" t="str">
        <f t="shared" si="8"/>
        <v>No</v>
      </c>
      <c r="V3325" s="25"/>
      <c r="W3325" s="25"/>
      <c r="X3325" s="25"/>
      <c r="Y3325" s="25"/>
      <c r="Z3325" s="25"/>
    </row>
    <row r="3326" spans="1:26" ht="15.75" customHeight="1" x14ac:dyDescent="0.25">
      <c r="A3326" s="25">
        <v>3324</v>
      </c>
      <c r="B3326" s="37" t="e">
        <f t="shared" ref="B3326:D3326" si="6697">VLOOKUP($A3326,[11]Planeación!$A$1:$O$253,B$1,0)</f>
        <v>#N/A</v>
      </c>
      <c r="C3326" s="38" t="e">
        <f t="shared" si="6697"/>
        <v>#N/A</v>
      </c>
      <c r="D3326" s="39" t="e">
        <f t="shared" si="6697"/>
        <v>#N/A</v>
      </c>
      <c r="E3326" s="16" t="e">
        <f t="shared" si="1"/>
        <v>#N/A</v>
      </c>
      <c r="F3326" s="16" t="e">
        <f t="shared" ref="F3326:K3326" si="6698">VLOOKUP($A3326,[11]Planeación!$A$1:$O$253,F$1,0)</f>
        <v>#N/A</v>
      </c>
      <c r="G3326" s="39" t="e">
        <f t="shared" si="6698"/>
        <v>#N/A</v>
      </c>
      <c r="H3326" s="16" t="e">
        <f t="shared" si="6698"/>
        <v>#N/A</v>
      </c>
      <c r="I3326" s="16" t="e">
        <f t="shared" si="6698"/>
        <v>#N/A</v>
      </c>
      <c r="J3326" s="40" t="e">
        <f t="shared" si="6698"/>
        <v>#N/A</v>
      </c>
      <c r="K3326" s="16" t="e">
        <f t="shared" si="6698"/>
        <v>#N/A</v>
      </c>
      <c r="L3326" s="40" t="e">
        <f t="shared" si="6649"/>
        <v>#N/A</v>
      </c>
      <c r="M3326" s="16" t="e">
        <f t="shared" si="6650"/>
        <v>#N/A</v>
      </c>
      <c r="N3326" s="16" t="e">
        <f t="shared" si="6651"/>
        <v>#N/A</v>
      </c>
      <c r="O3326" s="16" t="s">
        <v>75</v>
      </c>
      <c r="P3326" s="16" t="str">
        <f t="shared" si="6"/>
        <v/>
      </c>
      <c r="Q3326" s="41" t="e">
        <f t="shared" si="6652"/>
        <v>#N/A</v>
      </c>
      <c r="R3326" s="44"/>
      <c r="S3326" s="44"/>
      <c r="T3326" s="43"/>
      <c r="U3326" s="43" t="str">
        <f t="shared" si="8"/>
        <v>No</v>
      </c>
      <c r="V3326" s="25"/>
      <c r="W3326" s="25"/>
      <c r="X3326" s="25"/>
      <c r="Y3326" s="25"/>
      <c r="Z3326" s="25"/>
    </row>
    <row r="3327" spans="1:26" ht="15.75" customHeight="1" x14ac:dyDescent="0.25">
      <c r="A3327" s="25">
        <v>3325</v>
      </c>
      <c r="B3327" s="37" t="e">
        <f t="shared" ref="B3327:D3327" si="6699">VLOOKUP($A3327,[11]Planeación!$A$1:$O$253,B$1,0)</f>
        <v>#N/A</v>
      </c>
      <c r="C3327" s="38" t="e">
        <f t="shared" si="6699"/>
        <v>#N/A</v>
      </c>
      <c r="D3327" s="39" t="e">
        <f t="shared" si="6699"/>
        <v>#N/A</v>
      </c>
      <c r="E3327" s="16" t="e">
        <f t="shared" si="1"/>
        <v>#N/A</v>
      </c>
      <c r="F3327" s="16" t="e">
        <f t="shared" ref="F3327:K3327" si="6700">VLOOKUP($A3327,[11]Planeación!$A$1:$O$253,F$1,0)</f>
        <v>#N/A</v>
      </c>
      <c r="G3327" s="39" t="e">
        <f t="shared" si="6700"/>
        <v>#N/A</v>
      </c>
      <c r="H3327" s="16" t="e">
        <f t="shared" si="6700"/>
        <v>#N/A</v>
      </c>
      <c r="I3327" s="16" t="e">
        <f t="shared" si="6700"/>
        <v>#N/A</v>
      </c>
      <c r="J3327" s="40" t="e">
        <f t="shared" si="6700"/>
        <v>#N/A</v>
      </c>
      <c r="K3327" s="16" t="e">
        <f t="shared" si="6700"/>
        <v>#N/A</v>
      </c>
      <c r="L3327" s="40" t="e">
        <f t="shared" si="6649"/>
        <v>#N/A</v>
      </c>
      <c r="M3327" s="16" t="e">
        <f t="shared" si="6650"/>
        <v>#N/A</v>
      </c>
      <c r="N3327" s="16" t="e">
        <f t="shared" si="6651"/>
        <v>#N/A</v>
      </c>
      <c r="O3327" s="16" t="s">
        <v>75</v>
      </c>
      <c r="P3327" s="16" t="str">
        <f t="shared" si="6"/>
        <v/>
      </c>
      <c r="Q3327" s="41" t="e">
        <f t="shared" si="6652"/>
        <v>#N/A</v>
      </c>
      <c r="R3327" s="44"/>
      <c r="S3327" s="44"/>
      <c r="T3327" s="43"/>
      <c r="U3327" s="43" t="str">
        <f t="shared" si="8"/>
        <v>No</v>
      </c>
      <c r="V3327" s="25"/>
      <c r="W3327" s="25"/>
      <c r="X3327" s="25"/>
      <c r="Y3327" s="25"/>
      <c r="Z3327" s="25"/>
    </row>
    <row r="3328" spans="1:26" ht="15.75" customHeight="1" x14ac:dyDescent="0.25">
      <c r="A3328" s="25">
        <v>3326</v>
      </c>
      <c r="B3328" s="37" t="e">
        <f t="shared" ref="B3328:D3328" si="6701">VLOOKUP($A3328,[11]Planeación!$A$1:$O$253,B$1,0)</f>
        <v>#N/A</v>
      </c>
      <c r="C3328" s="38" t="e">
        <f t="shared" si="6701"/>
        <v>#N/A</v>
      </c>
      <c r="D3328" s="39" t="e">
        <f t="shared" si="6701"/>
        <v>#N/A</v>
      </c>
      <c r="E3328" s="16" t="e">
        <f t="shared" si="1"/>
        <v>#N/A</v>
      </c>
      <c r="F3328" s="16" t="e">
        <f t="shared" ref="F3328:K3328" si="6702">VLOOKUP($A3328,[11]Planeación!$A$1:$O$253,F$1,0)</f>
        <v>#N/A</v>
      </c>
      <c r="G3328" s="39" t="e">
        <f t="shared" si="6702"/>
        <v>#N/A</v>
      </c>
      <c r="H3328" s="16" t="e">
        <f t="shared" si="6702"/>
        <v>#N/A</v>
      </c>
      <c r="I3328" s="16" t="e">
        <f t="shared" si="6702"/>
        <v>#N/A</v>
      </c>
      <c r="J3328" s="40" t="e">
        <f t="shared" si="6702"/>
        <v>#N/A</v>
      </c>
      <c r="K3328" s="16" t="e">
        <f t="shared" si="6702"/>
        <v>#N/A</v>
      </c>
      <c r="L3328" s="40" t="e">
        <f t="shared" si="6649"/>
        <v>#N/A</v>
      </c>
      <c r="M3328" s="16" t="e">
        <f t="shared" si="6650"/>
        <v>#N/A</v>
      </c>
      <c r="N3328" s="16" t="e">
        <f t="shared" si="6651"/>
        <v>#N/A</v>
      </c>
      <c r="O3328" s="16" t="s">
        <v>75</v>
      </c>
      <c r="P3328" s="16" t="str">
        <f t="shared" si="6"/>
        <v/>
      </c>
      <c r="Q3328" s="41" t="e">
        <f t="shared" si="6652"/>
        <v>#N/A</v>
      </c>
      <c r="R3328" s="44"/>
      <c r="S3328" s="44"/>
      <c r="T3328" s="43"/>
      <c r="U3328" s="43" t="str">
        <f t="shared" si="8"/>
        <v>No</v>
      </c>
      <c r="V3328" s="25"/>
      <c r="W3328" s="25"/>
      <c r="X3328" s="25"/>
      <c r="Y3328" s="25"/>
      <c r="Z3328" s="25"/>
    </row>
    <row r="3329" spans="1:26" ht="15.75" customHeight="1" x14ac:dyDescent="0.25">
      <c r="A3329" s="25">
        <v>3327</v>
      </c>
      <c r="B3329" s="37" t="e">
        <f t="shared" ref="B3329:D3329" si="6703">VLOOKUP($A3329,[11]Planeación!$A$1:$O$253,B$1,0)</f>
        <v>#N/A</v>
      </c>
      <c r="C3329" s="38" t="e">
        <f t="shared" si="6703"/>
        <v>#N/A</v>
      </c>
      <c r="D3329" s="39" t="e">
        <f t="shared" si="6703"/>
        <v>#N/A</v>
      </c>
      <c r="E3329" s="16" t="e">
        <f t="shared" si="1"/>
        <v>#N/A</v>
      </c>
      <c r="F3329" s="16" t="e">
        <f t="shared" ref="F3329:K3329" si="6704">VLOOKUP($A3329,[11]Planeación!$A$1:$O$253,F$1,0)</f>
        <v>#N/A</v>
      </c>
      <c r="G3329" s="39" t="e">
        <f t="shared" si="6704"/>
        <v>#N/A</v>
      </c>
      <c r="H3329" s="16" t="e">
        <f t="shared" si="6704"/>
        <v>#N/A</v>
      </c>
      <c r="I3329" s="16" t="e">
        <f t="shared" si="6704"/>
        <v>#N/A</v>
      </c>
      <c r="J3329" s="40" t="e">
        <f t="shared" si="6704"/>
        <v>#N/A</v>
      </c>
      <c r="K3329" s="16" t="e">
        <f t="shared" si="6704"/>
        <v>#N/A</v>
      </c>
      <c r="L3329" s="40" t="e">
        <f t="shared" si="6649"/>
        <v>#N/A</v>
      </c>
      <c r="M3329" s="16" t="e">
        <f t="shared" si="6650"/>
        <v>#N/A</v>
      </c>
      <c r="N3329" s="16" t="e">
        <f t="shared" si="6651"/>
        <v>#N/A</v>
      </c>
      <c r="O3329" s="16" t="s">
        <v>75</v>
      </c>
      <c r="P3329" s="16" t="str">
        <f t="shared" si="6"/>
        <v/>
      </c>
      <c r="Q3329" s="41" t="e">
        <f t="shared" si="6652"/>
        <v>#N/A</v>
      </c>
      <c r="R3329" s="44"/>
      <c r="S3329" s="44"/>
      <c r="T3329" s="43"/>
      <c r="U3329" s="43" t="str">
        <f t="shared" si="8"/>
        <v>No</v>
      </c>
      <c r="V3329" s="25"/>
      <c r="W3329" s="25"/>
      <c r="X3329" s="25"/>
      <c r="Y3329" s="25"/>
      <c r="Z3329" s="25"/>
    </row>
    <row r="3330" spans="1:26" ht="15.75" customHeight="1" x14ac:dyDescent="0.25">
      <c r="A3330" s="25">
        <v>3328</v>
      </c>
      <c r="B3330" s="37" t="e">
        <f t="shared" ref="B3330:D3330" si="6705">VLOOKUP($A3330,[11]Planeación!$A$1:$O$253,B$1,0)</f>
        <v>#N/A</v>
      </c>
      <c r="C3330" s="38" t="e">
        <f t="shared" si="6705"/>
        <v>#N/A</v>
      </c>
      <c r="D3330" s="39" t="e">
        <f t="shared" si="6705"/>
        <v>#N/A</v>
      </c>
      <c r="E3330" s="16" t="e">
        <f t="shared" si="1"/>
        <v>#N/A</v>
      </c>
      <c r="F3330" s="16" t="e">
        <f t="shared" ref="F3330:K3330" si="6706">VLOOKUP($A3330,[11]Planeación!$A$1:$O$253,F$1,0)</f>
        <v>#N/A</v>
      </c>
      <c r="G3330" s="39" t="e">
        <f t="shared" si="6706"/>
        <v>#N/A</v>
      </c>
      <c r="H3330" s="16" t="e">
        <f t="shared" si="6706"/>
        <v>#N/A</v>
      </c>
      <c r="I3330" s="16" t="e">
        <f t="shared" si="6706"/>
        <v>#N/A</v>
      </c>
      <c r="J3330" s="40" t="e">
        <f t="shared" si="6706"/>
        <v>#N/A</v>
      </c>
      <c r="K3330" s="16" t="e">
        <f t="shared" si="6706"/>
        <v>#N/A</v>
      </c>
      <c r="L3330" s="40" t="e">
        <f t="shared" si="6649"/>
        <v>#N/A</v>
      </c>
      <c r="M3330" s="16" t="e">
        <f t="shared" si="6650"/>
        <v>#N/A</v>
      </c>
      <c r="N3330" s="16" t="e">
        <f t="shared" si="6651"/>
        <v>#N/A</v>
      </c>
      <c r="O3330" s="16" t="s">
        <v>75</v>
      </c>
      <c r="P3330" s="16" t="str">
        <f t="shared" si="6"/>
        <v/>
      </c>
      <c r="Q3330" s="41" t="e">
        <f t="shared" si="6652"/>
        <v>#N/A</v>
      </c>
      <c r="R3330" s="44"/>
      <c r="S3330" s="44"/>
      <c r="T3330" s="43"/>
      <c r="U3330" s="43" t="str">
        <f t="shared" si="8"/>
        <v>No</v>
      </c>
      <c r="V3330" s="25"/>
      <c r="W3330" s="25"/>
      <c r="X3330" s="25"/>
      <c r="Y3330" s="25"/>
      <c r="Z3330" s="25"/>
    </row>
    <row r="3331" spans="1:26" ht="15.75" customHeight="1" x14ac:dyDescent="0.25">
      <c r="A3331" s="25">
        <v>3329</v>
      </c>
      <c r="B3331" s="37" t="e">
        <f t="shared" ref="B3331:D3331" si="6707">VLOOKUP($A3331,[11]Planeación!$A$1:$O$253,B$1,0)</f>
        <v>#N/A</v>
      </c>
      <c r="C3331" s="38" t="e">
        <f t="shared" si="6707"/>
        <v>#N/A</v>
      </c>
      <c r="D3331" s="39" t="e">
        <f t="shared" si="6707"/>
        <v>#N/A</v>
      </c>
      <c r="E3331" s="16" t="e">
        <f t="shared" si="1"/>
        <v>#N/A</v>
      </c>
      <c r="F3331" s="16" t="e">
        <f t="shared" ref="F3331:K3331" si="6708">VLOOKUP($A3331,[11]Planeación!$A$1:$O$253,F$1,0)</f>
        <v>#N/A</v>
      </c>
      <c r="G3331" s="39" t="e">
        <f t="shared" si="6708"/>
        <v>#N/A</v>
      </c>
      <c r="H3331" s="16" t="e">
        <f t="shared" si="6708"/>
        <v>#N/A</v>
      </c>
      <c r="I3331" s="16" t="e">
        <f t="shared" si="6708"/>
        <v>#N/A</v>
      </c>
      <c r="J3331" s="40" t="e">
        <f t="shared" si="6708"/>
        <v>#N/A</v>
      </c>
      <c r="K3331" s="16" t="e">
        <f t="shared" si="6708"/>
        <v>#N/A</v>
      </c>
      <c r="L3331" s="40" t="e">
        <f t="shared" si="6649"/>
        <v>#N/A</v>
      </c>
      <c r="M3331" s="16" t="e">
        <f t="shared" si="6650"/>
        <v>#N/A</v>
      </c>
      <c r="N3331" s="16" t="e">
        <f t="shared" si="6651"/>
        <v>#N/A</v>
      </c>
      <c r="O3331" s="16" t="s">
        <v>75</v>
      </c>
      <c r="P3331" s="16" t="str">
        <f t="shared" si="6"/>
        <v/>
      </c>
      <c r="Q3331" s="41" t="e">
        <f t="shared" si="6652"/>
        <v>#N/A</v>
      </c>
      <c r="R3331" s="44"/>
      <c r="S3331" s="44"/>
      <c r="T3331" s="43"/>
      <c r="U3331" s="43" t="str">
        <f t="shared" si="8"/>
        <v>No</v>
      </c>
      <c r="V3331" s="25"/>
      <c r="W3331" s="25"/>
      <c r="X3331" s="25"/>
      <c r="Y3331" s="25"/>
      <c r="Z3331" s="25"/>
    </row>
    <row r="3332" spans="1:26" ht="15.75" customHeight="1" x14ac:dyDescent="0.25">
      <c r="A3332" s="25">
        <v>3330</v>
      </c>
      <c r="B3332" s="37" t="e">
        <f t="shared" ref="B3332:D3332" si="6709">VLOOKUP($A3332,[11]Planeación!$A$1:$O$253,B$1,0)</f>
        <v>#N/A</v>
      </c>
      <c r="C3332" s="38" t="e">
        <f t="shared" si="6709"/>
        <v>#N/A</v>
      </c>
      <c r="D3332" s="39" t="e">
        <f t="shared" si="6709"/>
        <v>#N/A</v>
      </c>
      <c r="E3332" s="16" t="e">
        <f t="shared" si="1"/>
        <v>#N/A</v>
      </c>
      <c r="F3332" s="16" t="e">
        <f t="shared" ref="F3332:K3332" si="6710">VLOOKUP($A3332,[11]Planeación!$A$1:$O$253,F$1,0)</f>
        <v>#N/A</v>
      </c>
      <c r="G3332" s="39" t="e">
        <f t="shared" si="6710"/>
        <v>#N/A</v>
      </c>
      <c r="H3332" s="16" t="e">
        <f t="shared" si="6710"/>
        <v>#N/A</v>
      </c>
      <c r="I3332" s="16" t="e">
        <f t="shared" si="6710"/>
        <v>#N/A</v>
      </c>
      <c r="J3332" s="40" t="e">
        <f t="shared" si="6710"/>
        <v>#N/A</v>
      </c>
      <c r="K3332" s="16" t="e">
        <f t="shared" si="6710"/>
        <v>#N/A</v>
      </c>
      <c r="L3332" s="40" t="e">
        <f t="shared" si="6649"/>
        <v>#N/A</v>
      </c>
      <c r="M3332" s="16" t="e">
        <f t="shared" si="6650"/>
        <v>#N/A</v>
      </c>
      <c r="N3332" s="16" t="e">
        <f t="shared" si="6651"/>
        <v>#N/A</v>
      </c>
      <c r="O3332" s="16" t="s">
        <v>75</v>
      </c>
      <c r="P3332" s="16" t="str">
        <f t="shared" si="6"/>
        <v/>
      </c>
      <c r="Q3332" s="41" t="e">
        <f t="shared" si="6652"/>
        <v>#N/A</v>
      </c>
      <c r="R3332" s="44"/>
      <c r="S3332" s="44"/>
      <c r="T3332" s="43"/>
      <c r="U3332" s="43" t="str">
        <f t="shared" si="8"/>
        <v>No</v>
      </c>
      <c r="V3332" s="25"/>
      <c r="W3332" s="25"/>
      <c r="X3332" s="25"/>
      <c r="Y3332" s="25"/>
      <c r="Z3332" s="25"/>
    </row>
    <row r="3333" spans="1:26" ht="15.75" customHeight="1" x14ac:dyDescent="0.25">
      <c r="A3333" s="25">
        <v>3331</v>
      </c>
      <c r="B3333" s="37" t="e">
        <f t="shared" ref="B3333:D3333" si="6711">VLOOKUP($A3333,[11]Planeación!$A$1:$O$253,B$1,0)</f>
        <v>#N/A</v>
      </c>
      <c r="C3333" s="38" t="e">
        <f t="shared" si="6711"/>
        <v>#N/A</v>
      </c>
      <c r="D3333" s="39" t="e">
        <f t="shared" si="6711"/>
        <v>#N/A</v>
      </c>
      <c r="E3333" s="16" t="e">
        <f t="shared" si="1"/>
        <v>#N/A</v>
      </c>
      <c r="F3333" s="16" t="e">
        <f t="shared" ref="F3333:K3333" si="6712">VLOOKUP($A3333,[11]Planeación!$A$1:$O$253,F$1,0)</f>
        <v>#N/A</v>
      </c>
      <c r="G3333" s="39" t="e">
        <f t="shared" si="6712"/>
        <v>#N/A</v>
      </c>
      <c r="H3333" s="16" t="e">
        <f t="shared" si="6712"/>
        <v>#N/A</v>
      </c>
      <c r="I3333" s="16" t="e">
        <f t="shared" si="6712"/>
        <v>#N/A</v>
      </c>
      <c r="J3333" s="40" t="e">
        <f t="shared" si="6712"/>
        <v>#N/A</v>
      </c>
      <c r="K3333" s="16" t="e">
        <f t="shared" si="6712"/>
        <v>#N/A</v>
      </c>
      <c r="L3333" s="40" t="e">
        <f t="shared" si="6649"/>
        <v>#N/A</v>
      </c>
      <c r="M3333" s="16" t="e">
        <f t="shared" si="6650"/>
        <v>#N/A</v>
      </c>
      <c r="N3333" s="16" t="e">
        <f t="shared" si="6651"/>
        <v>#N/A</v>
      </c>
      <c r="O3333" s="16" t="s">
        <v>75</v>
      </c>
      <c r="P3333" s="16" t="str">
        <f t="shared" si="6"/>
        <v/>
      </c>
      <c r="Q3333" s="41" t="e">
        <f t="shared" si="6652"/>
        <v>#N/A</v>
      </c>
      <c r="R3333" s="44"/>
      <c r="S3333" s="44"/>
      <c r="T3333" s="43"/>
      <c r="U3333" s="43" t="str">
        <f t="shared" si="8"/>
        <v>No</v>
      </c>
      <c r="V3333" s="25"/>
      <c r="W3333" s="25"/>
      <c r="X3333" s="25"/>
      <c r="Y3333" s="25"/>
      <c r="Z3333" s="25"/>
    </row>
    <row r="3334" spans="1:26" ht="15.75" customHeight="1" x14ac:dyDescent="0.25">
      <c r="A3334" s="25">
        <v>3332</v>
      </c>
      <c r="B3334" s="37" t="e">
        <f t="shared" ref="B3334:D3334" si="6713">VLOOKUP($A3334,[11]Planeación!$A$1:$O$253,B$1,0)</f>
        <v>#N/A</v>
      </c>
      <c r="C3334" s="38" t="e">
        <f t="shared" si="6713"/>
        <v>#N/A</v>
      </c>
      <c r="D3334" s="39" t="e">
        <f t="shared" si="6713"/>
        <v>#N/A</v>
      </c>
      <c r="E3334" s="16" t="e">
        <f t="shared" si="1"/>
        <v>#N/A</v>
      </c>
      <c r="F3334" s="16" t="e">
        <f t="shared" ref="F3334:K3334" si="6714">VLOOKUP($A3334,[11]Planeación!$A$1:$O$253,F$1,0)</f>
        <v>#N/A</v>
      </c>
      <c r="G3334" s="39" t="e">
        <f t="shared" si="6714"/>
        <v>#N/A</v>
      </c>
      <c r="H3334" s="16" t="e">
        <f t="shared" si="6714"/>
        <v>#N/A</v>
      </c>
      <c r="I3334" s="16" t="e">
        <f t="shared" si="6714"/>
        <v>#N/A</v>
      </c>
      <c r="J3334" s="40" t="e">
        <f t="shared" si="6714"/>
        <v>#N/A</v>
      </c>
      <c r="K3334" s="16" t="e">
        <f t="shared" si="6714"/>
        <v>#N/A</v>
      </c>
      <c r="L3334" s="40" t="e">
        <f t="shared" si="6649"/>
        <v>#N/A</v>
      </c>
      <c r="M3334" s="16" t="e">
        <f t="shared" si="6650"/>
        <v>#N/A</v>
      </c>
      <c r="N3334" s="16" t="e">
        <f t="shared" si="6651"/>
        <v>#N/A</v>
      </c>
      <c r="O3334" s="16" t="s">
        <v>75</v>
      </c>
      <c r="P3334" s="16" t="str">
        <f t="shared" si="6"/>
        <v/>
      </c>
      <c r="Q3334" s="41" t="e">
        <f t="shared" si="6652"/>
        <v>#N/A</v>
      </c>
      <c r="R3334" s="44"/>
      <c r="S3334" s="44"/>
      <c r="T3334" s="43"/>
      <c r="U3334" s="43" t="str">
        <f t="shared" si="8"/>
        <v>No</v>
      </c>
      <c r="V3334" s="25"/>
      <c r="W3334" s="25"/>
      <c r="X3334" s="25"/>
      <c r="Y3334" s="25"/>
      <c r="Z3334" s="25"/>
    </row>
    <row r="3335" spans="1:26" ht="15.75" customHeight="1" x14ac:dyDescent="0.25">
      <c r="A3335" s="25">
        <v>3333</v>
      </c>
      <c r="B3335" s="37" t="e">
        <f t="shared" ref="B3335:D3335" si="6715">VLOOKUP($A3335,[11]Planeación!$A$1:$O$253,B$1,0)</f>
        <v>#N/A</v>
      </c>
      <c r="C3335" s="38" t="e">
        <f t="shared" si="6715"/>
        <v>#N/A</v>
      </c>
      <c r="D3335" s="39" t="e">
        <f t="shared" si="6715"/>
        <v>#N/A</v>
      </c>
      <c r="E3335" s="16" t="e">
        <f t="shared" si="1"/>
        <v>#N/A</v>
      </c>
      <c r="F3335" s="16" t="e">
        <f t="shared" ref="F3335:K3335" si="6716">VLOOKUP($A3335,[11]Planeación!$A$1:$O$253,F$1,0)</f>
        <v>#N/A</v>
      </c>
      <c r="G3335" s="39" t="e">
        <f t="shared" si="6716"/>
        <v>#N/A</v>
      </c>
      <c r="H3335" s="16" t="e">
        <f t="shared" si="6716"/>
        <v>#N/A</v>
      </c>
      <c r="I3335" s="16" t="e">
        <f t="shared" si="6716"/>
        <v>#N/A</v>
      </c>
      <c r="J3335" s="40" t="e">
        <f t="shared" si="6716"/>
        <v>#N/A</v>
      </c>
      <c r="K3335" s="16" t="e">
        <f t="shared" si="6716"/>
        <v>#N/A</v>
      </c>
      <c r="L3335" s="40" t="e">
        <f t="shared" si="6649"/>
        <v>#N/A</v>
      </c>
      <c r="M3335" s="16" t="e">
        <f t="shared" si="6650"/>
        <v>#N/A</v>
      </c>
      <c r="N3335" s="16" t="e">
        <f t="shared" si="6651"/>
        <v>#N/A</v>
      </c>
      <c r="O3335" s="16" t="s">
        <v>75</v>
      </c>
      <c r="P3335" s="16" t="str">
        <f t="shared" si="6"/>
        <v/>
      </c>
      <c r="Q3335" s="41" t="e">
        <f t="shared" si="6652"/>
        <v>#N/A</v>
      </c>
      <c r="R3335" s="44"/>
      <c r="S3335" s="44"/>
      <c r="T3335" s="43"/>
      <c r="U3335" s="43" t="str">
        <f t="shared" si="8"/>
        <v>No</v>
      </c>
      <c r="V3335" s="25"/>
      <c r="W3335" s="25"/>
      <c r="X3335" s="25"/>
      <c r="Y3335" s="25"/>
      <c r="Z3335" s="25"/>
    </row>
    <row r="3336" spans="1:26" ht="15.75" customHeight="1" x14ac:dyDescent="0.25">
      <c r="A3336" s="25">
        <v>3334</v>
      </c>
      <c r="B3336" s="37" t="e">
        <f t="shared" ref="B3336:D3336" si="6717">VLOOKUP($A3336,[11]Planeación!$A$1:$O$253,B$1,0)</f>
        <v>#N/A</v>
      </c>
      <c r="C3336" s="38" t="e">
        <f t="shared" si="6717"/>
        <v>#N/A</v>
      </c>
      <c r="D3336" s="39" t="e">
        <f t="shared" si="6717"/>
        <v>#N/A</v>
      </c>
      <c r="E3336" s="16" t="e">
        <f t="shared" si="1"/>
        <v>#N/A</v>
      </c>
      <c r="F3336" s="16" t="e">
        <f t="shared" ref="F3336:K3336" si="6718">VLOOKUP($A3336,[11]Planeación!$A$1:$O$253,F$1,0)</f>
        <v>#N/A</v>
      </c>
      <c r="G3336" s="39" t="e">
        <f t="shared" si="6718"/>
        <v>#N/A</v>
      </c>
      <c r="H3336" s="16" t="e">
        <f t="shared" si="6718"/>
        <v>#N/A</v>
      </c>
      <c r="I3336" s="16" t="e">
        <f t="shared" si="6718"/>
        <v>#N/A</v>
      </c>
      <c r="J3336" s="40" t="e">
        <f t="shared" si="6718"/>
        <v>#N/A</v>
      </c>
      <c r="K3336" s="16" t="e">
        <f t="shared" si="6718"/>
        <v>#N/A</v>
      </c>
      <c r="L3336" s="40" t="e">
        <f t="shared" si="6649"/>
        <v>#N/A</v>
      </c>
      <c r="M3336" s="16" t="e">
        <f t="shared" si="6650"/>
        <v>#N/A</v>
      </c>
      <c r="N3336" s="16" t="e">
        <f t="shared" si="6651"/>
        <v>#N/A</v>
      </c>
      <c r="O3336" s="16" t="s">
        <v>75</v>
      </c>
      <c r="P3336" s="16" t="str">
        <f t="shared" si="6"/>
        <v/>
      </c>
      <c r="Q3336" s="41" t="e">
        <f t="shared" si="6652"/>
        <v>#N/A</v>
      </c>
      <c r="R3336" s="44"/>
      <c r="S3336" s="44"/>
      <c r="T3336" s="43"/>
      <c r="U3336" s="43" t="str">
        <f t="shared" si="8"/>
        <v>No</v>
      </c>
      <c r="V3336" s="25"/>
      <c r="W3336" s="25"/>
      <c r="X3336" s="25"/>
      <c r="Y3336" s="25"/>
      <c r="Z3336" s="25"/>
    </row>
    <row r="3337" spans="1:26" ht="15.75" customHeight="1" x14ac:dyDescent="0.25">
      <c r="A3337" s="25">
        <v>3335</v>
      </c>
      <c r="B3337" s="37" t="e">
        <f t="shared" ref="B3337:D3337" si="6719">VLOOKUP($A3337,[11]Planeación!$A$1:$O$253,B$1,0)</f>
        <v>#N/A</v>
      </c>
      <c r="C3337" s="38" t="e">
        <f t="shared" si="6719"/>
        <v>#N/A</v>
      </c>
      <c r="D3337" s="39" t="e">
        <f t="shared" si="6719"/>
        <v>#N/A</v>
      </c>
      <c r="E3337" s="16" t="e">
        <f t="shared" si="1"/>
        <v>#N/A</v>
      </c>
      <c r="F3337" s="16" t="e">
        <f t="shared" ref="F3337:K3337" si="6720">VLOOKUP($A3337,[11]Planeación!$A$1:$O$253,F$1,0)</f>
        <v>#N/A</v>
      </c>
      <c r="G3337" s="39" t="e">
        <f t="shared" si="6720"/>
        <v>#N/A</v>
      </c>
      <c r="H3337" s="16" t="e">
        <f t="shared" si="6720"/>
        <v>#N/A</v>
      </c>
      <c r="I3337" s="16" t="e">
        <f t="shared" si="6720"/>
        <v>#N/A</v>
      </c>
      <c r="J3337" s="40" t="e">
        <f t="shared" si="6720"/>
        <v>#N/A</v>
      </c>
      <c r="K3337" s="16" t="e">
        <f t="shared" si="6720"/>
        <v>#N/A</v>
      </c>
      <c r="L3337" s="40" t="e">
        <f t="shared" si="6649"/>
        <v>#N/A</v>
      </c>
      <c r="M3337" s="16" t="e">
        <f t="shared" si="6650"/>
        <v>#N/A</v>
      </c>
      <c r="N3337" s="16" t="e">
        <f t="shared" si="6651"/>
        <v>#N/A</v>
      </c>
      <c r="O3337" s="16" t="s">
        <v>75</v>
      </c>
      <c r="P3337" s="16" t="str">
        <f t="shared" si="6"/>
        <v/>
      </c>
      <c r="Q3337" s="41" t="e">
        <f t="shared" si="6652"/>
        <v>#N/A</v>
      </c>
      <c r="R3337" s="44"/>
      <c r="S3337" s="44"/>
      <c r="T3337" s="43"/>
      <c r="U3337" s="43" t="str">
        <f t="shared" si="8"/>
        <v>No</v>
      </c>
      <c r="V3337" s="25"/>
      <c r="W3337" s="25"/>
      <c r="X3337" s="25"/>
      <c r="Y3337" s="25"/>
      <c r="Z3337" s="25"/>
    </row>
    <row r="3338" spans="1:26" ht="15.75" customHeight="1" x14ac:dyDescent="0.25">
      <c r="A3338" s="25">
        <v>3336</v>
      </c>
      <c r="B3338" s="37" t="e">
        <f t="shared" ref="B3338:D3338" si="6721">VLOOKUP($A3338,[11]Planeación!$A$1:$O$253,B$1,0)</f>
        <v>#N/A</v>
      </c>
      <c r="C3338" s="38" t="e">
        <f t="shared" si="6721"/>
        <v>#N/A</v>
      </c>
      <c r="D3338" s="39" t="e">
        <f t="shared" si="6721"/>
        <v>#N/A</v>
      </c>
      <c r="E3338" s="16" t="e">
        <f t="shared" si="1"/>
        <v>#N/A</v>
      </c>
      <c r="F3338" s="16" t="e">
        <f t="shared" ref="F3338:K3338" si="6722">VLOOKUP($A3338,[11]Planeación!$A$1:$O$253,F$1,0)</f>
        <v>#N/A</v>
      </c>
      <c r="G3338" s="39" t="e">
        <f t="shared" si="6722"/>
        <v>#N/A</v>
      </c>
      <c r="H3338" s="16" t="e">
        <f t="shared" si="6722"/>
        <v>#N/A</v>
      </c>
      <c r="I3338" s="16" t="e">
        <f t="shared" si="6722"/>
        <v>#N/A</v>
      </c>
      <c r="J3338" s="40" t="e">
        <f t="shared" si="6722"/>
        <v>#N/A</v>
      </c>
      <c r="K3338" s="16" t="e">
        <f t="shared" si="6722"/>
        <v>#N/A</v>
      </c>
      <c r="L3338" s="40" t="e">
        <f t="shared" si="6649"/>
        <v>#N/A</v>
      </c>
      <c r="M3338" s="16" t="e">
        <f t="shared" si="6650"/>
        <v>#N/A</v>
      </c>
      <c r="N3338" s="16" t="e">
        <f t="shared" si="6651"/>
        <v>#N/A</v>
      </c>
      <c r="O3338" s="16" t="s">
        <v>75</v>
      </c>
      <c r="P3338" s="16" t="str">
        <f t="shared" si="6"/>
        <v/>
      </c>
      <c r="Q3338" s="41" t="e">
        <f t="shared" si="6652"/>
        <v>#N/A</v>
      </c>
      <c r="R3338" s="44"/>
      <c r="S3338" s="44"/>
      <c r="T3338" s="43"/>
      <c r="U3338" s="43" t="str">
        <f t="shared" si="8"/>
        <v>No</v>
      </c>
      <c r="V3338" s="25"/>
      <c r="W3338" s="25"/>
      <c r="X3338" s="25"/>
      <c r="Y3338" s="25"/>
      <c r="Z3338" s="25"/>
    </row>
    <row r="3339" spans="1:26" ht="15.75" customHeight="1" x14ac:dyDescent="0.25">
      <c r="A3339" s="25">
        <v>3337</v>
      </c>
      <c r="B3339" s="37" t="e">
        <f t="shared" ref="B3339:D3339" si="6723">VLOOKUP($A3339,[11]Planeación!$A$1:$O$253,B$1,0)</f>
        <v>#N/A</v>
      </c>
      <c r="C3339" s="38" t="e">
        <f t="shared" si="6723"/>
        <v>#N/A</v>
      </c>
      <c r="D3339" s="39" t="e">
        <f t="shared" si="6723"/>
        <v>#N/A</v>
      </c>
      <c r="E3339" s="16" t="e">
        <f t="shared" si="1"/>
        <v>#N/A</v>
      </c>
      <c r="F3339" s="16" t="e">
        <f t="shared" ref="F3339:K3339" si="6724">VLOOKUP($A3339,[11]Planeación!$A$1:$O$253,F$1,0)</f>
        <v>#N/A</v>
      </c>
      <c r="G3339" s="39" t="e">
        <f t="shared" si="6724"/>
        <v>#N/A</v>
      </c>
      <c r="H3339" s="16" t="e">
        <f t="shared" si="6724"/>
        <v>#N/A</v>
      </c>
      <c r="I3339" s="16" t="e">
        <f t="shared" si="6724"/>
        <v>#N/A</v>
      </c>
      <c r="J3339" s="40" t="e">
        <f t="shared" si="6724"/>
        <v>#N/A</v>
      </c>
      <c r="K3339" s="16" t="e">
        <f t="shared" si="6724"/>
        <v>#N/A</v>
      </c>
      <c r="L3339" s="40" t="e">
        <f t="shared" si="6649"/>
        <v>#N/A</v>
      </c>
      <c r="M3339" s="16" t="e">
        <f t="shared" si="6650"/>
        <v>#N/A</v>
      </c>
      <c r="N3339" s="16" t="e">
        <f t="shared" si="6651"/>
        <v>#N/A</v>
      </c>
      <c r="O3339" s="16" t="s">
        <v>75</v>
      </c>
      <c r="P3339" s="16" t="str">
        <f t="shared" si="6"/>
        <v/>
      </c>
      <c r="Q3339" s="41" t="e">
        <f t="shared" si="6652"/>
        <v>#N/A</v>
      </c>
      <c r="R3339" s="44"/>
      <c r="S3339" s="44"/>
      <c r="T3339" s="43"/>
      <c r="U3339" s="43" t="str">
        <f t="shared" si="8"/>
        <v>No</v>
      </c>
      <c r="V3339" s="25"/>
      <c r="W3339" s="25"/>
      <c r="X3339" s="25"/>
      <c r="Y3339" s="25"/>
      <c r="Z3339" s="25"/>
    </row>
    <row r="3340" spans="1:26" ht="15.75" customHeight="1" x14ac:dyDescent="0.25">
      <c r="A3340" s="25">
        <v>3338</v>
      </c>
      <c r="B3340" s="37" t="e">
        <f t="shared" ref="B3340:D3340" si="6725">VLOOKUP($A3340,[11]Planeación!$A$1:$O$253,B$1,0)</f>
        <v>#N/A</v>
      </c>
      <c r="C3340" s="38" t="e">
        <f t="shared" si="6725"/>
        <v>#N/A</v>
      </c>
      <c r="D3340" s="39" t="e">
        <f t="shared" si="6725"/>
        <v>#N/A</v>
      </c>
      <c r="E3340" s="16" t="e">
        <f t="shared" si="1"/>
        <v>#N/A</v>
      </c>
      <c r="F3340" s="16" t="e">
        <f t="shared" ref="F3340:K3340" si="6726">VLOOKUP($A3340,[11]Planeación!$A$1:$O$253,F$1,0)</f>
        <v>#N/A</v>
      </c>
      <c r="G3340" s="39" t="e">
        <f t="shared" si="6726"/>
        <v>#N/A</v>
      </c>
      <c r="H3340" s="16" t="e">
        <f t="shared" si="6726"/>
        <v>#N/A</v>
      </c>
      <c r="I3340" s="16" t="e">
        <f t="shared" si="6726"/>
        <v>#N/A</v>
      </c>
      <c r="J3340" s="40" t="e">
        <f t="shared" si="6726"/>
        <v>#N/A</v>
      </c>
      <c r="K3340" s="16" t="e">
        <f t="shared" si="6726"/>
        <v>#N/A</v>
      </c>
      <c r="L3340" s="40" t="e">
        <f t="shared" si="6649"/>
        <v>#N/A</v>
      </c>
      <c r="M3340" s="16" t="e">
        <f t="shared" si="6650"/>
        <v>#N/A</v>
      </c>
      <c r="N3340" s="16" t="e">
        <f t="shared" si="6651"/>
        <v>#N/A</v>
      </c>
      <c r="O3340" s="16" t="s">
        <v>75</v>
      </c>
      <c r="P3340" s="16" t="str">
        <f t="shared" si="6"/>
        <v/>
      </c>
      <c r="Q3340" s="41" t="e">
        <f t="shared" si="6652"/>
        <v>#N/A</v>
      </c>
      <c r="R3340" s="44"/>
      <c r="S3340" s="44"/>
      <c r="T3340" s="43"/>
      <c r="U3340" s="43" t="str">
        <f t="shared" si="8"/>
        <v>No</v>
      </c>
      <c r="V3340" s="25"/>
      <c r="W3340" s="25"/>
      <c r="X3340" s="25"/>
      <c r="Y3340" s="25"/>
      <c r="Z3340" s="25"/>
    </row>
    <row r="3341" spans="1:26" ht="15.75" customHeight="1" x14ac:dyDescent="0.25">
      <c r="A3341" s="25">
        <v>3339</v>
      </c>
      <c r="B3341" s="37" t="e">
        <f t="shared" ref="B3341:D3341" si="6727">VLOOKUP($A3341,[11]Planeación!$A$1:$O$253,B$1,0)</f>
        <v>#N/A</v>
      </c>
      <c r="C3341" s="38" t="e">
        <f t="shared" si="6727"/>
        <v>#N/A</v>
      </c>
      <c r="D3341" s="39" t="e">
        <f t="shared" si="6727"/>
        <v>#N/A</v>
      </c>
      <c r="E3341" s="16" t="e">
        <f t="shared" si="1"/>
        <v>#N/A</v>
      </c>
      <c r="F3341" s="16" t="e">
        <f t="shared" ref="F3341:K3341" si="6728">VLOOKUP($A3341,[11]Planeación!$A$1:$O$253,F$1,0)</f>
        <v>#N/A</v>
      </c>
      <c r="G3341" s="39" t="e">
        <f t="shared" si="6728"/>
        <v>#N/A</v>
      </c>
      <c r="H3341" s="16" t="e">
        <f t="shared" si="6728"/>
        <v>#N/A</v>
      </c>
      <c r="I3341" s="16" t="e">
        <f t="shared" si="6728"/>
        <v>#N/A</v>
      </c>
      <c r="J3341" s="40" t="e">
        <f t="shared" si="6728"/>
        <v>#N/A</v>
      </c>
      <c r="K3341" s="16" t="e">
        <f t="shared" si="6728"/>
        <v>#N/A</v>
      </c>
      <c r="L3341" s="40" t="e">
        <f t="shared" si="6649"/>
        <v>#N/A</v>
      </c>
      <c r="M3341" s="16" t="e">
        <f t="shared" si="6650"/>
        <v>#N/A</v>
      </c>
      <c r="N3341" s="16" t="e">
        <f t="shared" si="6651"/>
        <v>#N/A</v>
      </c>
      <c r="O3341" s="16" t="s">
        <v>75</v>
      </c>
      <c r="P3341" s="16" t="str">
        <f t="shared" si="6"/>
        <v/>
      </c>
      <c r="Q3341" s="41" t="e">
        <f t="shared" si="6652"/>
        <v>#N/A</v>
      </c>
      <c r="R3341" s="44"/>
      <c r="S3341" s="44"/>
      <c r="T3341" s="43"/>
      <c r="U3341" s="43" t="str">
        <f t="shared" si="8"/>
        <v>No</v>
      </c>
      <c r="V3341" s="25"/>
      <c r="W3341" s="25"/>
      <c r="X3341" s="25"/>
      <c r="Y3341" s="25"/>
      <c r="Z3341" s="25"/>
    </row>
    <row r="3342" spans="1:26" ht="15.75" customHeight="1" x14ac:dyDescent="0.25">
      <c r="A3342" s="25">
        <v>3340</v>
      </c>
      <c r="B3342" s="37" t="e">
        <f t="shared" ref="B3342:D3342" si="6729">VLOOKUP($A3342,[11]Planeación!$A$1:$O$253,B$1,0)</f>
        <v>#N/A</v>
      </c>
      <c r="C3342" s="38" t="e">
        <f t="shared" si="6729"/>
        <v>#N/A</v>
      </c>
      <c r="D3342" s="39" t="e">
        <f t="shared" si="6729"/>
        <v>#N/A</v>
      </c>
      <c r="E3342" s="16" t="e">
        <f t="shared" si="1"/>
        <v>#N/A</v>
      </c>
      <c r="F3342" s="16" t="e">
        <f t="shared" ref="F3342:K3342" si="6730">VLOOKUP($A3342,[11]Planeación!$A$1:$O$253,F$1,0)</f>
        <v>#N/A</v>
      </c>
      <c r="G3342" s="39" t="e">
        <f t="shared" si="6730"/>
        <v>#N/A</v>
      </c>
      <c r="H3342" s="16" t="e">
        <f t="shared" si="6730"/>
        <v>#N/A</v>
      </c>
      <c r="I3342" s="16" t="e">
        <f t="shared" si="6730"/>
        <v>#N/A</v>
      </c>
      <c r="J3342" s="40" t="e">
        <f t="shared" si="6730"/>
        <v>#N/A</v>
      </c>
      <c r="K3342" s="16" t="e">
        <f t="shared" si="6730"/>
        <v>#N/A</v>
      </c>
      <c r="L3342" s="40" t="e">
        <f t="shared" si="6649"/>
        <v>#N/A</v>
      </c>
      <c r="M3342" s="16" t="e">
        <f t="shared" si="6650"/>
        <v>#N/A</v>
      </c>
      <c r="N3342" s="16" t="e">
        <f t="shared" si="6651"/>
        <v>#N/A</v>
      </c>
      <c r="O3342" s="16" t="s">
        <v>75</v>
      </c>
      <c r="P3342" s="16" t="str">
        <f t="shared" si="6"/>
        <v/>
      </c>
      <c r="Q3342" s="41" t="e">
        <f t="shared" si="6652"/>
        <v>#N/A</v>
      </c>
      <c r="R3342" s="44"/>
      <c r="S3342" s="44"/>
      <c r="T3342" s="43"/>
      <c r="U3342" s="43" t="str">
        <f t="shared" si="8"/>
        <v>No</v>
      </c>
      <c r="V3342" s="25"/>
      <c r="W3342" s="25"/>
      <c r="X3342" s="25"/>
      <c r="Y3342" s="25"/>
      <c r="Z3342" s="25"/>
    </row>
    <row r="3343" spans="1:26" ht="15.75" customHeight="1" x14ac:dyDescent="0.25">
      <c r="A3343" s="25">
        <v>3341</v>
      </c>
      <c r="B3343" s="37" t="e">
        <f t="shared" ref="B3343:D3343" si="6731">VLOOKUP($A3343,[11]Planeación!$A$1:$O$253,B$1,0)</f>
        <v>#N/A</v>
      </c>
      <c r="C3343" s="38" t="e">
        <f t="shared" si="6731"/>
        <v>#N/A</v>
      </c>
      <c r="D3343" s="39" t="e">
        <f t="shared" si="6731"/>
        <v>#N/A</v>
      </c>
      <c r="E3343" s="16" t="e">
        <f t="shared" si="1"/>
        <v>#N/A</v>
      </c>
      <c r="F3343" s="16" t="e">
        <f t="shared" ref="F3343:K3343" si="6732">VLOOKUP($A3343,[11]Planeación!$A$1:$O$253,F$1,0)</f>
        <v>#N/A</v>
      </c>
      <c r="G3343" s="39" t="e">
        <f t="shared" si="6732"/>
        <v>#N/A</v>
      </c>
      <c r="H3343" s="16" t="e">
        <f t="shared" si="6732"/>
        <v>#N/A</v>
      </c>
      <c r="I3343" s="16" t="e">
        <f t="shared" si="6732"/>
        <v>#N/A</v>
      </c>
      <c r="J3343" s="40" t="e">
        <f t="shared" si="6732"/>
        <v>#N/A</v>
      </c>
      <c r="K3343" s="16" t="e">
        <f t="shared" si="6732"/>
        <v>#N/A</v>
      </c>
      <c r="L3343" s="40" t="e">
        <f t="shared" si="6649"/>
        <v>#N/A</v>
      </c>
      <c r="M3343" s="16" t="e">
        <f t="shared" si="6650"/>
        <v>#N/A</v>
      </c>
      <c r="N3343" s="16" t="e">
        <f t="shared" si="6651"/>
        <v>#N/A</v>
      </c>
      <c r="O3343" s="16" t="s">
        <v>75</v>
      </c>
      <c r="P3343" s="16" t="str">
        <f t="shared" si="6"/>
        <v/>
      </c>
      <c r="Q3343" s="41" t="e">
        <f t="shared" si="6652"/>
        <v>#N/A</v>
      </c>
      <c r="R3343" s="44"/>
      <c r="S3343" s="44"/>
      <c r="T3343" s="43"/>
      <c r="U3343" s="43" t="str">
        <f t="shared" si="8"/>
        <v>No</v>
      </c>
      <c r="V3343" s="25"/>
      <c r="W3343" s="25"/>
      <c r="X3343" s="25"/>
      <c r="Y3343" s="25"/>
      <c r="Z3343" s="25"/>
    </row>
    <row r="3344" spans="1:26" ht="15.75" customHeight="1" x14ac:dyDescent="0.25">
      <c r="A3344" s="25">
        <v>3342</v>
      </c>
      <c r="B3344" s="37" t="e">
        <f t="shared" ref="B3344:D3344" si="6733">VLOOKUP($A3344,[11]Planeación!$A$1:$O$253,B$1,0)</f>
        <v>#N/A</v>
      </c>
      <c r="C3344" s="38" t="e">
        <f t="shared" si="6733"/>
        <v>#N/A</v>
      </c>
      <c r="D3344" s="39" t="e">
        <f t="shared" si="6733"/>
        <v>#N/A</v>
      </c>
      <c r="E3344" s="16" t="e">
        <f t="shared" si="1"/>
        <v>#N/A</v>
      </c>
      <c r="F3344" s="16" t="e">
        <f t="shared" ref="F3344:K3344" si="6734">VLOOKUP($A3344,[11]Planeación!$A$1:$O$253,F$1,0)</f>
        <v>#N/A</v>
      </c>
      <c r="G3344" s="39" t="e">
        <f t="shared" si="6734"/>
        <v>#N/A</v>
      </c>
      <c r="H3344" s="16" t="e">
        <f t="shared" si="6734"/>
        <v>#N/A</v>
      </c>
      <c r="I3344" s="16" t="e">
        <f t="shared" si="6734"/>
        <v>#N/A</v>
      </c>
      <c r="J3344" s="40" t="e">
        <f t="shared" si="6734"/>
        <v>#N/A</v>
      </c>
      <c r="K3344" s="16" t="e">
        <f t="shared" si="6734"/>
        <v>#N/A</v>
      </c>
      <c r="L3344" s="40" t="e">
        <f t="shared" si="6649"/>
        <v>#N/A</v>
      </c>
      <c r="M3344" s="16" t="e">
        <f t="shared" si="6650"/>
        <v>#N/A</v>
      </c>
      <c r="N3344" s="16" t="e">
        <f t="shared" si="6651"/>
        <v>#N/A</v>
      </c>
      <c r="O3344" s="16" t="s">
        <v>75</v>
      </c>
      <c r="P3344" s="16" t="str">
        <f t="shared" si="6"/>
        <v/>
      </c>
      <c r="Q3344" s="41" t="e">
        <f t="shared" si="6652"/>
        <v>#N/A</v>
      </c>
      <c r="R3344" s="44"/>
      <c r="S3344" s="44"/>
      <c r="T3344" s="43"/>
      <c r="U3344" s="43" t="str">
        <f t="shared" si="8"/>
        <v>No</v>
      </c>
      <c r="V3344" s="25"/>
      <c r="W3344" s="25"/>
      <c r="X3344" s="25"/>
      <c r="Y3344" s="25"/>
      <c r="Z3344" s="25"/>
    </row>
    <row r="3345" spans="1:26" ht="15.75" customHeight="1" x14ac:dyDescent="0.25">
      <c r="A3345" s="25">
        <v>3343</v>
      </c>
      <c r="B3345" s="37" t="e">
        <f t="shared" ref="B3345:D3345" si="6735">VLOOKUP($A3345,[11]Planeación!$A$1:$O$253,B$1,0)</f>
        <v>#N/A</v>
      </c>
      <c r="C3345" s="38" t="e">
        <f t="shared" si="6735"/>
        <v>#N/A</v>
      </c>
      <c r="D3345" s="39" t="e">
        <f t="shared" si="6735"/>
        <v>#N/A</v>
      </c>
      <c r="E3345" s="16" t="e">
        <f t="shared" si="1"/>
        <v>#N/A</v>
      </c>
      <c r="F3345" s="16" t="e">
        <f t="shared" ref="F3345:K3345" si="6736">VLOOKUP($A3345,[11]Planeación!$A$1:$O$253,F$1,0)</f>
        <v>#N/A</v>
      </c>
      <c r="G3345" s="39" t="e">
        <f t="shared" si="6736"/>
        <v>#N/A</v>
      </c>
      <c r="H3345" s="16" t="e">
        <f t="shared" si="6736"/>
        <v>#N/A</v>
      </c>
      <c r="I3345" s="16" t="e">
        <f t="shared" si="6736"/>
        <v>#N/A</v>
      </c>
      <c r="J3345" s="40" t="e">
        <f t="shared" si="6736"/>
        <v>#N/A</v>
      </c>
      <c r="K3345" s="16" t="e">
        <f t="shared" si="6736"/>
        <v>#N/A</v>
      </c>
      <c r="L3345" s="40" t="e">
        <f t="shared" si="6649"/>
        <v>#N/A</v>
      </c>
      <c r="M3345" s="16" t="e">
        <f t="shared" si="6650"/>
        <v>#N/A</v>
      </c>
      <c r="N3345" s="16" t="e">
        <f t="shared" si="6651"/>
        <v>#N/A</v>
      </c>
      <c r="O3345" s="16" t="s">
        <v>75</v>
      </c>
      <c r="P3345" s="16" t="str">
        <f t="shared" si="6"/>
        <v/>
      </c>
      <c r="Q3345" s="41" t="e">
        <f t="shared" si="6652"/>
        <v>#N/A</v>
      </c>
      <c r="R3345" s="44"/>
      <c r="S3345" s="44"/>
      <c r="T3345" s="43"/>
      <c r="U3345" s="43" t="str">
        <f t="shared" si="8"/>
        <v>No</v>
      </c>
      <c r="V3345" s="25"/>
      <c r="W3345" s="25"/>
      <c r="X3345" s="25"/>
      <c r="Y3345" s="25"/>
      <c r="Z3345" s="25"/>
    </row>
    <row r="3346" spans="1:26" ht="15.75" customHeight="1" x14ac:dyDescent="0.25">
      <c r="A3346" s="25">
        <v>3344</v>
      </c>
      <c r="B3346" s="37" t="e">
        <f t="shared" ref="B3346:D3346" si="6737">VLOOKUP($A3346,[11]Planeación!$A$1:$O$253,B$1,0)</f>
        <v>#N/A</v>
      </c>
      <c r="C3346" s="38" t="e">
        <f t="shared" si="6737"/>
        <v>#N/A</v>
      </c>
      <c r="D3346" s="39" t="e">
        <f t="shared" si="6737"/>
        <v>#N/A</v>
      </c>
      <c r="E3346" s="16" t="e">
        <f t="shared" si="1"/>
        <v>#N/A</v>
      </c>
      <c r="F3346" s="16" t="e">
        <f t="shared" ref="F3346:K3346" si="6738">VLOOKUP($A3346,[11]Planeación!$A$1:$O$253,F$1,0)</f>
        <v>#N/A</v>
      </c>
      <c r="G3346" s="39" t="e">
        <f t="shared" si="6738"/>
        <v>#N/A</v>
      </c>
      <c r="H3346" s="16" t="e">
        <f t="shared" si="6738"/>
        <v>#N/A</v>
      </c>
      <c r="I3346" s="16" t="e">
        <f t="shared" si="6738"/>
        <v>#N/A</v>
      </c>
      <c r="J3346" s="40" t="e">
        <f t="shared" si="6738"/>
        <v>#N/A</v>
      </c>
      <c r="K3346" s="16" t="e">
        <f t="shared" si="6738"/>
        <v>#N/A</v>
      </c>
      <c r="L3346" s="40" t="e">
        <f t="shared" si="6649"/>
        <v>#N/A</v>
      </c>
      <c r="M3346" s="16" t="e">
        <f t="shared" si="6650"/>
        <v>#N/A</v>
      </c>
      <c r="N3346" s="16" t="e">
        <f t="shared" si="6651"/>
        <v>#N/A</v>
      </c>
      <c r="O3346" s="16" t="s">
        <v>75</v>
      </c>
      <c r="P3346" s="16" t="str">
        <f t="shared" si="6"/>
        <v/>
      </c>
      <c r="Q3346" s="41" t="e">
        <f t="shared" si="6652"/>
        <v>#N/A</v>
      </c>
      <c r="R3346" s="44"/>
      <c r="S3346" s="44"/>
      <c r="T3346" s="43"/>
      <c r="U3346" s="43" t="str">
        <f t="shared" si="8"/>
        <v>No</v>
      </c>
      <c r="V3346" s="25"/>
      <c r="W3346" s="25"/>
      <c r="X3346" s="25"/>
      <c r="Y3346" s="25"/>
      <c r="Z3346" s="25"/>
    </row>
    <row r="3347" spans="1:26" ht="15.75" customHeight="1" x14ac:dyDescent="0.25">
      <c r="A3347" s="25">
        <v>3345</v>
      </c>
      <c r="B3347" s="37" t="e">
        <f t="shared" ref="B3347:D3347" si="6739">VLOOKUP($A3347,[11]Planeación!$A$1:$O$253,B$1,0)</f>
        <v>#N/A</v>
      </c>
      <c r="C3347" s="38" t="e">
        <f t="shared" si="6739"/>
        <v>#N/A</v>
      </c>
      <c r="D3347" s="39" t="e">
        <f t="shared" si="6739"/>
        <v>#N/A</v>
      </c>
      <c r="E3347" s="16" t="e">
        <f t="shared" si="1"/>
        <v>#N/A</v>
      </c>
      <c r="F3347" s="16" t="e">
        <f t="shared" ref="F3347:K3347" si="6740">VLOOKUP($A3347,[11]Planeación!$A$1:$O$253,F$1,0)</f>
        <v>#N/A</v>
      </c>
      <c r="G3347" s="39" t="e">
        <f t="shared" si="6740"/>
        <v>#N/A</v>
      </c>
      <c r="H3347" s="16" t="e">
        <f t="shared" si="6740"/>
        <v>#N/A</v>
      </c>
      <c r="I3347" s="16" t="e">
        <f t="shared" si="6740"/>
        <v>#N/A</v>
      </c>
      <c r="J3347" s="40" t="e">
        <f t="shared" si="6740"/>
        <v>#N/A</v>
      </c>
      <c r="K3347" s="16" t="e">
        <f t="shared" si="6740"/>
        <v>#N/A</v>
      </c>
      <c r="L3347" s="40" t="e">
        <f t="shared" si="6649"/>
        <v>#N/A</v>
      </c>
      <c r="M3347" s="16" t="e">
        <f t="shared" si="6650"/>
        <v>#N/A</v>
      </c>
      <c r="N3347" s="16" t="e">
        <f t="shared" si="6651"/>
        <v>#N/A</v>
      </c>
      <c r="O3347" s="16" t="s">
        <v>75</v>
      </c>
      <c r="P3347" s="16" t="str">
        <f t="shared" si="6"/>
        <v/>
      </c>
      <c r="Q3347" s="41" t="e">
        <f t="shared" si="6652"/>
        <v>#N/A</v>
      </c>
      <c r="R3347" s="44"/>
      <c r="S3347" s="44"/>
      <c r="T3347" s="43"/>
      <c r="U3347" s="43" t="str">
        <f t="shared" si="8"/>
        <v>No</v>
      </c>
      <c r="V3347" s="25"/>
      <c r="W3347" s="25"/>
      <c r="X3347" s="25"/>
      <c r="Y3347" s="25"/>
      <c r="Z3347" s="25"/>
    </row>
    <row r="3348" spans="1:26" ht="15.75" customHeight="1" x14ac:dyDescent="0.25">
      <c r="A3348" s="25">
        <v>3346</v>
      </c>
      <c r="B3348" s="37" t="e">
        <f t="shared" ref="B3348:D3348" si="6741">VLOOKUP($A3348,[11]Planeación!$A$1:$O$253,B$1,0)</f>
        <v>#N/A</v>
      </c>
      <c r="C3348" s="38" t="e">
        <f t="shared" si="6741"/>
        <v>#N/A</v>
      </c>
      <c r="D3348" s="39" t="e">
        <f t="shared" si="6741"/>
        <v>#N/A</v>
      </c>
      <c r="E3348" s="16" t="e">
        <f t="shared" si="1"/>
        <v>#N/A</v>
      </c>
      <c r="F3348" s="16" t="e">
        <f t="shared" ref="F3348:K3348" si="6742">VLOOKUP($A3348,[11]Planeación!$A$1:$O$253,F$1,0)</f>
        <v>#N/A</v>
      </c>
      <c r="G3348" s="39" t="e">
        <f t="shared" si="6742"/>
        <v>#N/A</v>
      </c>
      <c r="H3348" s="16" t="e">
        <f t="shared" si="6742"/>
        <v>#N/A</v>
      </c>
      <c r="I3348" s="16" t="e">
        <f t="shared" si="6742"/>
        <v>#N/A</v>
      </c>
      <c r="J3348" s="40" t="e">
        <f t="shared" si="6742"/>
        <v>#N/A</v>
      </c>
      <c r="K3348" s="16" t="e">
        <f t="shared" si="6742"/>
        <v>#N/A</v>
      </c>
      <c r="L3348" s="40" t="e">
        <f t="shared" si="6649"/>
        <v>#N/A</v>
      </c>
      <c r="M3348" s="16" t="e">
        <f t="shared" si="6650"/>
        <v>#N/A</v>
      </c>
      <c r="N3348" s="16" t="e">
        <f t="shared" si="6651"/>
        <v>#N/A</v>
      </c>
      <c r="O3348" s="16" t="s">
        <v>75</v>
      </c>
      <c r="P3348" s="16" t="str">
        <f t="shared" si="6"/>
        <v/>
      </c>
      <c r="Q3348" s="41" t="e">
        <f t="shared" si="6652"/>
        <v>#N/A</v>
      </c>
      <c r="R3348" s="44"/>
      <c r="S3348" s="44"/>
      <c r="T3348" s="43"/>
      <c r="U3348" s="43" t="str">
        <f t="shared" si="8"/>
        <v>No</v>
      </c>
      <c r="V3348" s="25"/>
      <c r="W3348" s="25"/>
      <c r="X3348" s="25"/>
      <c r="Y3348" s="25"/>
      <c r="Z3348" s="25"/>
    </row>
    <row r="3349" spans="1:26" ht="15.75" customHeight="1" x14ac:dyDescent="0.25">
      <c r="A3349" s="25">
        <v>3347</v>
      </c>
      <c r="B3349" s="37" t="e">
        <f t="shared" ref="B3349:D3349" si="6743">VLOOKUP($A3349,[11]Planeación!$A$1:$O$253,B$1,0)</f>
        <v>#N/A</v>
      </c>
      <c r="C3349" s="38" t="e">
        <f t="shared" si="6743"/>
        <v>#N/A</v>
      </c>
      <c r="D3349" s="39" t="e">
        <f t="shared" si="6743"/>
        <v>#N/A</v>
      </c>
      <c r="E3349" s="16" t="e">
        <f t="shared" si="1"/>
        <v>#N/A</v>
      </c>
      <c r="F3349" s="16" t="e">
        <f t="shared" ref="F3349:K3349" si="6744">VLOOKUP($A3349,[11]Planeación!$A$1:$O$253,F$1,0)</f>
        <v>#N/A</v>
      </c>
      <c r="G3349" s="39" t="e">
        <f t="shared" si="6744"/>
        <v>#N/A</v>
      </c>
      <c r="H3349" s="16" t="e">
        <f t="shared" si="6744"/>
        <v>#N/A</v>
      </c>
      <c r="I3349" s="16" t="e">
        <f t="shared" si="6744"/>
        <v>#N/A</v>
      </c>
      <c r="J3349" s="40" t="e">
        <f t="shared" si="6744"/>
        <v>#N/A</v>
      </c>
      <c r="K3349" s="16" t="e">
        <f t="shared" si="6744"/>
        <v>#N/A</v>
      </c>
      <c r="L3349" s="40" t="e">
        <f t="shared" si="6649"/>
        <v>#N/A</v>
      </c>
      <c r="M3349" s="16" t="e">
        <f t="shared" si="6650"/>
        <v>#N/A</v>
      </c>
      <c r="N3349" s="16" t="e">
        <f t="shared" si="6651"/>
        <v>#N/A</v>
      </c>
      <c r="O3349" s="16" t="s">
        <v>75</v>
      </c>
      <c r="P3349" s="16" t="str">
        <f t="shared" si="6"/>
        <v/>
      </c>
      <c r="Q3349" s="41" t="e">
        <f t="shared" si="6652"/>
        <v>#N/A</v>
      </c>
      <c r="R3349" s="44"/>
      <c r="S3349" s="44"/>
      <c r="T3349" s="43"/>
      <c r="U3349" s="43" t="str">
        <f t="shared" si="8"/>
        <v>No</v>
      </c>
      <c r="V3349" s="25"/>
      <c r="W3349" s="25"/>
      <c r="X3349" s="25"/>
      <c r="Y3349" s="25"/>
      <c r="Z3349" s="25"/>
    </row>
    <row r="3350" spans="1:26" ht="15.75" customHeight="1" x14ac:dyDescent="0.25">
      <c r="A3350" s="25">
        <v>3348</v>
      </c>
      <c r="B3350" s="37" t="e">
        <f t="shared" ref="B3350:D3350" si="6745">VLOOKUP($A3350,[11]Planeación!$A$1:$O$253,B$1,0)</f>
        <v>#N/A</v>
      </c>
      <c r="C3350" s="38" t="e">
        <f t="shared" si="6745"/>
        <v>#N/A</v>
      </c>
      <c r="D3350" s="39" t="e">
        <f t="shared" si="6745"/>
        <v>#N/A</v>
      </c>
      <c r="E3350" s="16" t="e">
        <f t="shared" si="1"/>
        <v>#N/A</v>
      </c>
      <c r="F3350" s="16" t="e">
        <f t="shared" ref="F3350:K3350" si="6746">VLOOKUP($A3350,[11]Planeación!$A$1:$O$253,F$1,0)</f>
        <v>#N/A</v>
      </c>
      <c r="G3350" s="39" t="e">
        <f t="shared" si="6746"/>
        <v>#N/A</v>
      </c>
      <c r="H3350" s="16" t="e">
        <f t="shared" si="6746"/>
        <v>#N/A</v>
      </c>
      <c r="I3350" s="16" t="e">
        <f t="shared" si="6746"/>
        <v>#N/A</v>
      </c>
      <c r="J3350" s="40" t="e">
        <f t="shared" si="6746"/>
        <v>#N/A</v>
      </c>
      <c r="K3350" s="16" t="e">
        <f t="shared" si="6746"/>
        <v>#N/A</v>
      </c>
      <c r="L3350" s="40" t="e">
        <f t="shared" si="6649"/>
        <v>#N/A</v>
      </c>
      <c r="M3350" s="16" t="e">
        <f t="shared" si="6650"/>
        <v>#N/A</v>
      </c>
      <c r="N3350" s="16" t="e">
        <f t="shared" si="6651"/>
        <v>#N/A</v>
      </c>
      <c r="O3350" s="16" t="s">
        <v>75</v>
      </c>
      <c r="P3350" s="16" t="str">
        <f t="shared" si="6"/>
        <v/>
      </c>
      <c r="Q3350" s="41" t="e">
        <f t="shared" si="6652"/>
        <v>#N/A</v>
      </c>
      <c r="R3350" s="44"/>
      <c r="S3350" s="44"/>
      <c r="T3350" s="43"/>
      <c r="U3350" s="43" t="str">
        <f t="shared" si="8"/>
        <v>No</v>
      </c>
      <c r="V3350" s="25"/>
      <c r="W3350" s="25"/>
      <c r="X3350" s="25"/>
      <c r="Y3350" s="25"/>
      <c r="Z3350" s="25"/>
    </row>
    <row r="3351" spans="1:26" ht="15.75" customHeight="1" x14ac:dyDescent="0.25">
      <c r="A3351" s="25">
        <v>3349</v>
      </c>
      <c r="B3351" s="37" t="e">
        <f t="shared" ref="B3351:D3351" si="6747">VLOOKUP($A3351,[11]Planeación!$A$1:$O$253,B$1,0)</f>
        <v>#N/A</v>
      </c>
      <c r="C3351" s="38" t="e">
        <f t="shared" si="6747"/>
        <v>#N/A</v>
      </c>
      <c r="D3351" s="39" t="e">
        <f t="shared" si="6747"/>
        <v>#N/A</v>
      </c>
      <c r="E3351" s="16" t="e">
        <f t="shared" si="1"/>
        <v>#N/A</v>
      </c>
      <c r="F3351" s="16" t="e">
        <f t="shared" ref="F3351:K3351" si="6748">VLOOKUP($A3351,[11]Planeación!$A$1:$O$253,F$1,0)</f>
        <v>#N/A</v>
      </c>
      <c r="G3351" s="39" t="e">
        <f t="shared" si="6748"/>
        <v>#N/A</v>
      </c>
      <c r="H3351" s="16" t="e">
        <f t="shared" si="6748"/>
        <v>#N/A</v>
      </c>
      <c r="I3351" s="16" t="e">
        <f t="shared" si="6748"/>
        <v>#N/A</v>
      </c>
      <c r="J3351" s="40" t="e">
        <f t="shared" si="6748"/>
        <v>#N/A</v>
      </c>
      <c r="K3351" s="16" t="e">
        <f t="shared" si="6748"/>
        <v>#N/A</v>
      </c>
      <c r="L3351" s="40" t="e">
        <f t="shared" si="6649"/>
        <v>#N/A</v>
      </c>
      <c r="M3351" s="16" t="e">
        <f t="shared" si="6650"/>
        <v>#N/A</v>
      </c>
      <c r="N3351" s="16" t="e">
        <f t="shared" si="6651"/>
        <v>#N/A</v>
      </c>
      <c r="O3351" s="16" t="s">
        <v>75</v>
      </c>
      <c r="P3351" s="16" t="str">
        <f t="shared" si="6"/>
        <v/>
      </c>
      <c r="Q3351" s="41" t="e">
        <f t="shared" si="6652"/>
        <v>#N/A</v>
      </c>
      <c r="R3351" s="44"/>
      <c r="S3351" s="44"/>
      <c r="T3351" s="43"/>
      <c r="U3351" s="43" t="str">
        <f t="shared" si="8"/>
        <v>No</v>
      </c>
      <c r="V3351" s="25"/>
      <c r="W3351" s="25"/>
      <c r="X3351" s="25"/>
      <c r="Y3351" s="25"/>
      <c r="Z3351" s="25"/>
    </row>
    <row r="3352" spans="1:26" ht="15.75" customHeight="1" x14ac:dyDescent="0.25">
      <c r="A3352" s="25">
        <v>3350</v>
      </c>
      <c r="B3352" s="37" t="e">
        <f t="shared" ref="B3352:D3352" si="6749">VLOOKUP($A3352,[11]Planeación!$A$1:$O$253,B$1,0)</f>
        <v>#N/A</v>
      </c>
      <c r="C3352" s="38" t="e">
        <f t="shared" si="6749"/>
        <v>#N/A</v>
      </c>
      <c r="D3352" s="39" t="e">
        <f t="shared" si="6749"/>
        <v>#N/A</v>
      </c>
      <c r="E3352" s="16" t="e">
        <f t="shared" si="1"/>
        <v>#N/A</v>
      </c>
      <c r="F3352" s="16" t="e">
        <f t="shared" ref="F3352:K3352" si="6750">VLOOKUP($A3352,[11]Planeación!$A$1:$O$253,F$1,0)</f>
        <v>#N/A</v>
      </c>
      <c r="G3352" s="39" t="e">
        <f t="shared" si="6750"/>
        <v>#N/A</v>
      </c>
      <c r="H3352" s="16" t="e">
        <f t="shared" si="6750"/>
        <v>#N/A</v>
      </c>
      <c r="I3352" s="16" t="e">
        <f t="shared" si="6750"/>
        <v>#N/A</v>
      </c>
      <c r="J3352" s="40" t="e">
        <f t="shared" si="6750"/>
        <v>#N/A</v>
      </c>
      <c r="K3352" s="16" t="e">
        <f t="shared" si="6750"/>
        <v>#N/A</v>
      </c>
      <c r="L3352" s="40" t="e">
        <f t="shared" si="6649"/>
        <v>#N/A</v>
      </c>
      <c r="M3352" s="16" t="e">
        <f t="shared" si="6650"/>
        <v>#N/A</v>
      </c>
      <c r="N3352" s="16" t="e">
        <f t="shared" si="6651"/>
        <v>#N/A</v>
      </c>
      <c r="O3352" s="16" t="s">
        <v>75</v>
      </c>
      <c r="P3352" s="16" t="str">
        <f t="shared" si="6"/>
        <v/>
      </c>
      <c r="Q3352" s="41" t="e">
        <f t="shared" si="6652"/>
        <v>#N/A</v>
      </c>
      <c r="R3352" s="44"/>
      <c r="S3352" s="44"/>
      <c r="T3352" s="43"/>
      <c r="U3352" s="43" t="str">
        <f t="shared" si="8"/>
        <v>No</v>
      </c>
      <c r="V3352" s="25"/>
      <c r="W3352" s="25"/>
      <c r="X3352" s="25"/>
      <c r="Y3352" s="25"/>
      <c r="Z3352" s="25"/>
    </row>
    <row r="3353" spans="1:26" ht="15.75" customHeight="1" x14ac:dyDescent="0.25">
      <c r="A3353" s="25">
        <v>3351</v>
      </c>
      <c r="B3353" s="37" t="e">
        <f t="shared" ref="B3353:D3353" si="6751">VLOOKUP($A3353,[11]Planeación!$A$1:$O$253,B$1,0)</f>
        <v>#N/A</v>
      </c>
      <c r="C3353" s="38" t="e">
        <f t="shared" si="6751"/>
        <v>#N/A</v>
      </c>
      <c r="D3353" s="39" t="e">
        <f t="shared" si="6751"/>
        <v>#N/A</v>
      </c>
      <c r="E3353" s="16" t="e">
        <f t="shared" si="1"/>
        <v>#N/A</v>
      </c>
      <c r="F3353" s="16" t="e">
        <f t="shared" ref="F3353:K3353" si="6752">VLOOKUP($A3353,[11]Planeación!$A$1:$O$253,F$1,0)</f>
        <v>#N/A</v>
      </c>
      <c r="G3353" s="39" t="e">
        <f t="shared" si="6752"/>
        <v>#N/A</v>
      </c>
      <c r="H3353" s="16" t="e">
        <f t="shared" si="6752"/>
        <v>#N/A</v>
      </c>
      <c r="I3353" s="16" t="e">
        <f t="shared" si="6752"/>
        <v>#N/A</v>
      </c>
      <c r="J3353" s="40" t="e">
        <f t="shared" si="6752"/>
        <v>#N/A</v>
      </c>
      <c r="K3353" s="16" t="e">
        <f t="shared" si="6752"/>
        <v>#N/A</v>
      </c>
      <c r="L3353" s="40" t="e">
        <f t="shared" si="6649"/>
        <v>#N/A</v>
      </c>
      <c r="M3353" s="16" t="e">
        <f t="shared" si="6650"/>
        <v>#N/A</v>
      </c>
      <c r="N3353" s="16" t="e">
        <f t="shared" si="6651"/>
        <v>#N/A</v>
      </c>
      <c r="O3353" s="16" t="s">
        <v>75</v>
      </c>
      <c r="P3353" s="16" t="str">
        <f t="shared" si="6"/>
        <v/>
      </c>
      <c r="Q3353" s="41" t="e">
        <f t="shared" si="6652"/>
        <v>#N/A</v>
      </c>
      <c r="R3353" s="44"/>
      <c r="S3353" s="44"/>
      <c r="T3353" s="43"/>
      <c r="U3353" s="43" t="str">
        <f t="shared" si="8"/>
        <v>No</v>
      </c>
      <c r="V3353" s="25"/>
      <c r="W3353" s="25"/>
      <c r="X3353" s="25"/>
      <c r="Y3353" s="25"/>
      <c r="Z3353" s="25"/>
    </row>
    <row r="3354" spans="1:26" ht="15.75" customHeight="1" x14ac:dyDescent="0.25">
      <c r="A3354" s="25">
        <v>3352</v>
      </c>
      <c r="B3354" s="37" t="e">
        <f t="shared" ref="B3354:D3354" si="6753">VLOOKUP($A3354,[11]Planeación!$A$1:$O$253,B$1,0)</f>
        <v>#N/A</v>
      </c>
      <c r="C3354" s="38" t="e">
        <f t="shared" si="6753"/>
        <v>#N/A</v>
      </c>
      <c r="D3354" s="39" t="e">
        <f t="shared" si="6753"/>
        <v>#N/A</v>
      </c>
      <c r="E3354" s="16" t="e">
        <f t="shared" si="1"/>
        <v>#N/A</v>
      </c>
      <c r="F3354" s="16" t="e">
        <f t="shared" ref="F3354:K3354" si="6754">VLOOKUP($A3354,[11]Planeación!$A$1:$O$253,F$1,0)</f>
        <v>#N/A</v>
      </c>
      <c r="G3354" s="39" t="e">
        <f t="shared" si="6754"/>
        <v>#N/A</v>
      </c>
      <c r="H3354" s="16" t="e">
        <f t="shared" si="6754"/>
        <v>#N/A</v>
      </c>
      <c r="I3354" s="16" t="e">
        <f t="shared" si="6754"/>
        <v>#N/A</v>
      </c>
      <c r="J3354" s="40" t="e">
        <f t="shared" si="6754"/>
        <v>#N/A</v>
      </c>
      <c r="K3354" s="16" t="e">
        <f t="shared" si="6754"/>
        <v>#N/A</v>
      </c>
      <c r="L3354" s="40" t="e">
        <f t="shared" si="6649"/>
        <v>#N/A</v>
      </c>
      <c r="M3354" s="16" t="e">
        <f t="shared" si="6650"/>
        <v>#N/A</v>
      </c>
      <c r="N3354" s="16" t="e">
        <f t="shared" si="6651"/>
        <v>#N/A</v>
      </c>
      <c r="O3354" s="16" t="s">
        <v>75</v>
      </c>
      <c r="P3354" s="16" t="str">
        <f t="shared" si="6"/>
        <v/>
      </c>
      <c r="Q3354" s="41" t="e">
        <f t="shared" si="6652"/>
        <v>#N/A</v>
      </c>
      <c r="R3354" s="44"/>
      <c r="S3354" s="44"/>
      <c r="T3354" s="43"/>
      <c r="U3354" s="43" t="str">
        <f t="shared" si="8"/>
        <v>No</v>
      </c>
      <c r="V3354" s="25"/>
      <c r="W3354" s="25"/>
      <c r="X3354" s="25"/>
      <c r="Y3354" s="25"/>
      <c r="Z3354" s="25"/>
    </row>
    <row r="3355" spans="1:26" ht="15.75" customHeight="1" x14ac:dyDescent="0.25">
      <c r="A3355" s="25">
        <v>3353</v>
      </c>
      <c r="B3355" s="37" t="e">
        <f t="shared" ref="B3355:D3355" si="6755">VLOOKUP($A3355,[11]Planeación!$A$1:$O$253,B$1,0)</f>
        <v>#N/A</v>
      </c>
      <c r="C3355" s="38" t="e">
        <f t="shared" si="6755"/>
        <v>#N/A</v>
      </c>
      <c r="D3355" s="39" t="e">
        <f t="shared" si="6755"/>
        <v>#N/A</v>
      </c>
      <c r="E3355" s="16" t="e">
        <f t="shared" si="1"/>
        <v>#N/A</v>
      </c>
      <c r="F3355" s="16" t="e">
        <f t="shared" ref="F3355:K3355" si="6756">VLOOKUP($A3355,[11]Planeación!$A$1:$O$253,F$1,0)</f>
        <v>#N/A</v>
      </c>
      <c r="G3355" s="39" t="e">
        <f t="shared" si="6756"/>
        <v>#N/A</v>
      </c>
      <c r="H3355" s="16" t="e">
        <f t="shared" si="6756"/>
        <v>#N/A</v>
      </c>
      <c r="I3355" s="16" t="e">
        <f t="shared" si="6756"/>
        <v>#N/A</v>
      </c>
      <c r="J3355" s="40" t="e">
        <f t="shared" si="6756"/>
        <v>#N/A</v>
      </c>
      <c r="K3355" s="16" t="e">
        <f t="shared" si="6756"/>
        <v>#N/A</v>
      </c>
      <c r="L3355" s="40" t="e">
        <f t="shared" si="6649"/>
        <v>#N/A</v>
      </c>
      <c r="M3355" s="16" t="e">
        <f t="shared" si="6650"/>
        <v>#N/A</v>
      </c>
      <c r="N3355" s="16" t="e">
        <f t="shared" si="6651"/>
        <v>#N/A</v>
      </c>
      <c r="O3355" s="16" t="s">
        <v>75</v>
      </c>
      <c r="P3355" s="16" t="str">
        <f t="shared" si="6"/>
        <v/>
      </c>
      <c r="Q3355" s="41" t="e">
        <f t="shared" si="6652"/>
        <v>#N/A</v>
      </c>
      <c r="R3355" s="44"/>
      <c r="S3355" s="44"/>
      <c r="T3355" s="43"/>
      <c r="U3355" s="43" t="str">
        <f t="shared" si="8"/>
        <v>No</v>
      </c>
      <c r="V3355" s="25"/>
      <c r="W3355" s="25"/>
      <c r="X3355" s="25"/>
      <c r="Y3355" s="25"/>
      <c r="Z3355" s="25"/>
    </row>
    <row r="3356" spans="1:26" ht="15.75" customHeight="1" x14ac:dyDescent="0.25">
      <c r="A3356" s="25">
        <v>3354</v>
      </c>
      <c r="B3356" s="37" t="e">
        <f t="shared" ref="B3356:D3356" si="6757">VLOOKUP($A3356,[11]Planeación!$A$1:$O$253,B$1,0)</f>
        <v>#N/A</v>
      </c>
      <c r="C3356" s="38" t="e">
        <f t="shared" si="6757"/>
        <v>#N/A</v>
      </c>
      <c r="D3356" s="39" t="e">
        <f t="shared" si="6757"/>
        <v>#N/A</v>
      </c>
      <c r="E3356" s="16" t="e">
        <f t="shared" si="1"/>
        <v>#N/A</v>
      </c>
      <c r="F3356" s="16" t="e">
        <f t="shared" ref="F3356:K3356" si="6758">VLOOKUP($A3356,[11]Planeación!$A$1:$O$253,F$1,0)</f>
        <v>#N/A</v>
      </c>
      <c r="G3356" s="39" t="e">
        <f t="shared" si="6758"/>
        <v>#N/A</v>
      </c>
      <c r="H3356" s="16" t="e">
        <f t="shared" si="6758"/>
        <v>#N/A</v>
      </c>
      <c r="I3356" s="16" t="e">
        <f t="shared" si="6758"/>
        <v>#N/A</v>
      </c>
      <c r="J3356" s="40" t="e">
        <f t="shared" si="6758"/>
        <v>#N/A</v>
      </c>
      <c r="K3356" s="16" t="e">
        <f t="shared" si="6758"/>
        <v>#N/A</v>
      </c>
      <c r="L3356" s="40" t="e">
        <f t="shared" si="6649"/>
        <v>#N/A</v>
      </c>
      <c r="M3356" s="16" t="e">
        <f t="shared" si="6650"/>
        <v>#N/A</v>
      </c>
      <c r="N3356" s="16" t="e">
        <f t="shared" si="6651"/>
        <v>#N/A</v>
      </c>
      <c r="O3356" s="16" t="s">
        <v>75</v>
      </c>
      <c r="P3356" s="16" t="str">
        <f t="shared" si="6"/>
        <v/>
      </c>
      <c r="Q3356" s="41" t="e">
        <f t="shared" si="6652"/>
        <v>#N/A</v>
      </c>
      <c r="R3356" s="44"/>
      <c r="S3356" s="44"/>
      <c r="T3356" s="43"/>
      <c r="U3356" s="43" t="str">
        <f t="shared" si="8"/>
        <v>No</v>
      </c>
      <c r="V3356" s="25"/>
      <c r="W3356" s="25"/>
      <c r="X3356" s="25"/>
      <c r="Y3356" s="25"/>
      <c r="Z3356" s="25"/>
    </row>
    <row r="3357" spans="1:26" ht="15.75" customHeight="1" x14ac:dyDescent="0.25">
      <c r="A3357" s="25">
        <v>3355</v>
      </c>
      <c r="B3357" s="37" t="e">
        <f t="shared" ref="B3357:D3357" si="6759">VLOOKUP($A3357,[11]Planeación!$A$1:$O$253,B$1,0)</f>
        <v>#N/A</v>
      </c>
      <c r="C3357" s="38" t="e">
        <f t="shared" si="6759"/>
        <v>#N/A</v>
      </c>
      <c r="D3357" s="39" t="e">
        <f t="shared" si="6759"/>
        <v>#N/A</v>
      </c>
      <c r="E3357" s="16" t="e">
        <f t="shared" si="1"/>
        <v>#N/A</v>
      </c>
      <c r="F3357" s="16" t="e">
        <f t="shared" ref="F3357:K3357" si="6760">VLOOKUP($A3357,[11]Planeación!$A$1:$O$253,F$1,0)</f>
        <v>#N/A</v>
      </c>
      <c r="G3357" s="39" t="e">
        <f t="shared" si="6760"/>
        <v>#N/A</v>
      </c>
      <c r="H3357" s="16" t="e">
        <f t="shared" si="6760"/>
        <v>#N/A</v>
      </c>
      <c r="I3357" s="16" t="e">
        <f t="shared" si="6760"/>
        <v>#N/A</v>
      </c>
      <c r="J3357" s="40" t="e">
        <f t="shared" si="6760"/>
        <v>#N/A</v>
      </c>
      <c r="K3357" s="16" t="e">
        <f t="shared" si="6760"/>
        <v>#N/A</v>
      </c>
      <c r="L3357" s="40" t="e">
        <f t="shared" si="6649"/>
        <v>#N/A</v>
      </c>
      <c r="M3357" s="16" t="e">
        <f t="shared" si="6650"/>
        <v>#N/A</v>
      </c>
      <c r="N3357" s="16" t="e">
        <f t="shared" si="6651"/>
        <v>#N/A</v>
      </c>
      <c r="O3357" s="16" t="s">
        <v>75</v>
      </c>
      <c r="P3357" s="16" t="str">
        <f t="shared" si="6"/>
        <v/>
      </c>
      <c r="Q3357" s="41" t="e">
        <f t="shared" si="6652"/>
        <v>#N/A</v>
      </c>
      <c r="R3357" s="44"/>
      <c r="S3357" s="44"/>
      <c r="T3357" s="43"/>
      <c r="U3357" s="43" t="str">
        <f t="shared" si="8"/>
        <v>No</v>
      </c>
      <c r="V3357" s="25"/>
      <c r="W3357" s="25"/>
      <c r="X3357" s="25"/>
      <c r="Y3357" s="25"/>
      <c r="Z3357" s="25"/>
    </row>
    <row r="3358" spans="1:26" ht="15.75" customHeight="1" x14ac:dyDescent="0.25">
      <c r="A3358" s="25">
        <v>3356</v>
      </c>
      <c r="B3358" s="37" t="e">
        <f t="shared" ref="B3358:D3358" si="6761">VLOOKUP($A3358,[11]Planeación!$A$1:$O$253,B$1,0)</f>
        <v>#N/A</v>
      </c>
      <c r="C3358" s="38" t="e">
        <f t="shared" si="6761"/>
        <v>#N/A</v>
      </c>
      <c r="D3358" s="39" t="e">
        <f t="shared" si="6761"/>
        <v>#N/A</v>
      </c>
      <c r="E3358" s="16" t="e">
        <f t="shared" si="1"/>
        <v>#N/A</v>
      </c>
      <c r="F3358" s="16" t="e">
        <f t="shared" ref="F3358:K3358" si="6762">VLOOKUP($A3358,[11]Planeación!$A$1:$O$253,F$1,0)</f>
        <v>#N/A</v>
      </c>
      <c r="G3358" s="39" t="e">
        <f t="shared" si="6762"/>
        <v>#N/A</v>
      </c>
      <c r="H3358" s="16" t="e">
        <f t="shared" si="6762"/>
        <v>#N/A</v>
      </c>
      <c r="I3358" s="16" t="e">
        <f t="shared" si="6762"/>
        <v>#N/A</v>
      </c>
      <c r="J3358" s="40" t="e">
        <f t="shared" si="6762"/>
        <v>#N/A</v>
      </c>
      <c r="K3358" s="16" t="e">
        <f t="shared" si="6762"/>
        <v>#N/A</v>
      </c>
      <c r="L3358" s="40" t="e">
        <f t="shared" si="6649"/>
        <v>#N/A</v>
      </c>
      <c r="M3358" s="16" t="e">
        <f t="shared" si="6650"/>
        <v>#N/A</v>
      </c>
      <c r="N3358" s="16" t="e">
        <f t="shared" si="6651"/>
        <v>#N/A</v>
      </c>
      <c r="O3358" s="16" t="s">
        <v>75</v>
      </c>
      <c r="P3358" s="16" t="str">
        <f t="shared" si="6"/>
        <v/>
      </c>
      <c r="Q3358" s="41" t="e">
        <f t="shared" si="6652"/>
        <v>#N/A</v>
      </c>
      <c r="R3358" s="44"/>
      <c r="S3358" s="44"/>
      <c r="T3358" s="43"/>
      <c r="U3358" s="43" t="str">
        <f t="shared" si="8"/>
        <v>No</v>
      </c>
      <c r="V3358" s="25"/>
      <c r="W3358" s="25"/>
      <c r="X3358" s="25"/>
      <c r="Y3358" s="25"/>
      <c r="Z3358" s="25"/>
    </row>
    <row r="3359" spans="1:26" ht="15.75" customHeight="1" x14ac:dyDescent="0.25">
      <c r="A3359" s="25">
        <v>3357</v>
      </c>
      <c r="B3359" s="37" t="e">
        <f t="shared" ref="B3359:D3359" si="6763">VLOOKUP($A3359,[11]Planeación!$A$1:$O$253,B$1,0)</f>
        <v>#N/A</v>
      </c>
      <c r="C3359" s="38" t="e">
        <f t="shared" si="6763"/>
        <v>#N/A</v>
      </c>
      <c r="D3359" s="39" t="e">
        <f t="shared" si="6763"/>
        <v>#N/A</v>
      </c>
      <c r="E3359" s="16" t="e">
        <f t="shared" si="1"/>
        <v>#N/A</v>
      </c>
      <c r="F3359" s="16" t="e">
        <f t="shared" ref="F3359:K3359" si="6764">VLOOKUP($A3359,[11]Planeación!$A$1:$O$253,F$1,0)</f>
        <v>#N/A</v>
      </c>
      <c r="G3359" s="39" t="e">
        <f t="shared" si="6764"/>
        <v>#N/A</v>
      </c>
      <c r="H3359" s="16" t="e">
        <f t="shared" si="6764"/>
        <v>#N/A</v>
      </c>
      <c r="I3359" s="16" t="e">
        <f t="shared" si="6764"/>
        <v>#N/A</v>
      </c>
      <c r="J3359" s="40" t="e">
        <f t="shared" si="6764"/>
        <v>#N/A</v>
      </c>
      <c r="K3359" s="16" t="e">
        <f t="shared" si="6764"/>
        <v>#N/A</v>
      </c>
      <c r="L3359" s="40" t="e">
        <f t="shared" si="6649"/>
        <v>#N/A</v>
      </c>
      <c r="M3359" s="16" t="e">
        <f t="shared" si="6650"/>
        <v>#N/A</v>
      </c>
      <c r="N3359" s="16" t="e">
        <f t="shared" si="6651"/>
        <v>#N/A</v>
      </c>
      <c r="O3359" s="16" t="s">
        <v>75</v>
      </c>
      <c r="P3359" s="16" t="str">
        <f t="shared" si="6"/>
        <v/>
      </c>
      <c r="Q3359" s="41" t="e">
        <f t="shared" si="6652"/>
        <v>#N/A</v>
      </c>
      <c r="R3359" s="44"/>
      <c r="S3359" s="44"/>
      <c r="T3359" s="43"/>
      <c r="U3359" s="43" t="str">
        <f t="shared" si="8"/>
        <v>No</v>
      </c>
      <c r="V3359" s="25"/>
      <c r="W3359" s="25"/>
      <c r="X3359" s="25"/>
      <c r="Y3359" s="25"/>
      <c r="Z3359" s="25"/>
    </row>
    <row r="3360" spans="1:26" ht="15.75" customHeight="1" x14ac:dyDescent="0.25">
      <c r="A3360" s="25">
        <v>3358</v>
      </c>
      <c r="B3360" s="37" t="e">
        <f t="shared" ref="B3360:D3360" si="6765">VLOOKUP($A3360,[11]Planeación!$A$1:$O$253,B$1,0)</f>
        <v>#N/A</v>
      </c>
      <c r="C3360" s="38" t="e">
        <f t="shared" si="6765"/>
        <v>#N/A</v>
      </c>
      <c r="D3360" s="39" t="e">
        <f t="shared" si="6765"/>
        <v>#N/A</v>
      </c>
      <c r="E3360" s="16" t="e">
        <f t="shared" si="1"/>
        <v>#N/A</v>
      </c>
      <c r="F3360" s="16" t="e">
        <f t="shared" ref="F3360:K3360" si="6766">VLOOKUP($A3360,[11]Planeación!$A$1:$O$253,F$1,0)</f>
        <v>#N/A</v>
      </c>
      <c r="G3360" s="39" t="e">
        <f t="shared" si="6766"/>
        <v>#N/A</v>
      </c>
      <c r="H3360" s="16" t="e">
        <f t="shared" si="6766"/>
        <v>#N/A</v>
      </c>
      <c r="I3360" s="16" t="e">
        <f t="shared" si="6766"/>
        <v>#N/A</v>
      </c>
      <c r="J3360" s="40" t="e">
        <f t="shared" si="6766"/>
        <v>#N/A</v>
      </c>
      <c r="K3360" s="16" t="e">
        <f t="shared" si="6766"/>
        <v>#N/A</v>
      </c>
      <c r="L3360" s="40" t="e">
        <f t="shared" si="6649"/>
        <v>#N/A</v>
      </c>
      <c r="M3360" s="16" t="e">
        <f t="shared" si="6650"/>
        <v>#N/A</v>
      </c>
      <c r="N3360" s="16" t="e">
        <f t="shared" si="6651"/>
        <v>#N/A</v>
      </c>
      <c r="O3360" s="16" t="s">
        <v>75</v>
      </c>
      <c r="P3360" s="16" t="str">
        <f t="shared" si="6"/>
        <v/>
      </c>
      <c r="Q3360" s="41" t="e">
        <f t="shared" si="6652"/>
        <v>#N/A</v>
      </c>
      <c r="R3360" s="44"/>
      <c r="S3360" s="44"/>
      <c r="T3360" s="43"/>
      <c r="U3360" s="43" t="str">
        <f t="shared" si="8"/>
        <v>No</v>
      </c>
      <c r="V3360" s="25"/>
      <c r="W3360" s="25"/>
      <c r="X3360" s="25"/>
      <c r="Y3360" s="25"/>
      <c r="Z3360" s="25"/>
    </row>
    <row r="3361" spans="1:26" ht="15.75" customHeight="1" x14ac:dyDescent="0.25">
      <c r="A3361" s="25">
        <v>3359</v>
      </c>
      <c r="B3361" s="37" t="e">
        <f t="shared" ref="B3361:D3361" si="6767">VLOOKUP($A3361,[11]Planeación!$A$1:$O$253,B$1,0)</f>
        <v>#N/A</v>
      </c>
      <c r="C3361" s="38" t="e">
        <f t="shared" si="6767"/>
        <v>#N/A</v>
      </c>
      <c r="D3361" s="39" t="e">
        <f t="shared" si="6767"/>
        <v>#N/A</v>
      </c>
      <c r="E3361" s="16" t="e">
        <f t="shared" si="1"/>
        <v>#N/A</v>
      </c>
      <c r="F3361" s="16" t="e">
        <f t="shared" ref="F3361:K3361" si="6768">VLOOKUP($A3361,[11]Planeación!$A$1:$O$253,F$1,0)</f>
        <v>#N/A</v>
      </c>
      <c r="G3361" s="39" t="e">
        <f t="shared" si="6768"/>
        <v>#N/A</v>
      </c>
      <c r="H3361" s="16" t="e">
        <f t="shared" si="6768"/>
        <v>#N/A</v>
      </c>
      <c r="I3361" s="16" t="e">
        <f t="shared" si="6768"/>
        <v>#N/A</v>
      </c>
      <c r="J3361" s="40" t="e">
        <f t="shared" si="6768"/>
        <v>#N/A</v>
      </c>
      <c r="K3361" s="16" t="e">
        <f t="shared" si="6768"/>
        <v>#N/A</v>
      </c>
      <c r="L3361" s="40" t="e">
        <f t="shared" si="6649"/>
        <v>#N/A</v>
      </c>
      <c r="M3361" s="16" t="e">
        <f t="shared" si="6650"/>
        <v>#N/A</v>
      </c>
      <c r="N3361" s="16" t="e">
        <f t="shared" si="6651"/>
        <v>#N/A</v>
      </c>
      <c r="O3361" s="16" t="s">
        <v>75</v>
      </c>
      <c r="P3361" s="16" t="str">
        <f t="shared" si="6"/>
        <v/>
      </c>
      <c r="Q3361" s="41" t="e">
        <f t="shared" si="6652"/>
        <v>#N/A</v>
      </c>
      <c r="R3361" s="44"/>
      <c r="S3361" s="44"/>
      <c r="T3361" s="43"/>
      <c r="U3361" s="43" t="str">
        <f t="shared" si="8"/>
        <v>No</v>
      </c>
      <c r="V3361" s="25"/>
      <c r="W3361" s="25"/>
      <c r="X3361" s="25"/>
      <c r="Y3361" s="25"/>
      <c r="Z3361" s="25"/>
    </row>
    <row r="3362" spans="1:26" ht="15.75" customHeight="1" x14ac:dyDescent="0.25">
      <c r="A3362" s="25">
        <v>3360</v>
      </c>
      <c r="B3362" s="37" t="e">
        <f t="shared" ref="B3362:D3362" si="6769">VLOOKUP($A3362,[11]Planeación!$A$1:$O$253,B$1,0)</f>
        <v>#N/A</v>
      </c>
      <c r="C3362" s="38" t="e">
        <f t="shared" si="6769"/>
        <v>#N/A</v>
      </c>
      <c r="D3362" s="39" t="e">
        <f t="shared" si="6769"/>
        <v>#N/A</v>
      </c>
      <c r="E3362" s="16" t="e">
        <f t="shared" si="1"/>
        <v>#N/A</v>
      </c>
      <c r="F3362" s="16" t="e">
        <f t="shared" ref="F3362:K3362" si="6770">VLOOKUP($A3362,[11]Planeación!$A$1:$O$253,F$1,0)</f>
        <v>#N/A</v>
      </c>
      <c r="G3362" s="39" t="e">
        <f t="shared" si="6770"/>
        <v>#N/A</v>
      </c>
      <c r="H3362" s="16" t="e">
        <f t="shared" si="6770"/>
        <v>#N/A</v>
      </c>
      <c r="I3362" s="16" t="e">
        <f t="shared" si="6770"/>
        <v>#N/A</v>
      </c>
      <c r="J3362" s="40" t="e">
        <f t="shared" si="6770"/>
        <v>#N/A</v>
      </c>
      <c r="K3362" s="16" t="e">
        <f t="shared" si="6770"/>
        <v>#N/A</v>
      </c>
      <c r="L3362" s="40" t="e">
        <f t="shared" si="6649"/>
        <v>#N/A</v>
      </c>
      <c r="M3362" s="16" t="e">
        <f t="shared" si="6650"/>
        <v>#N/A</v>
      </c>
      <c r="N3362" s="16" t="e">
        <f t="shared" si="6651"/>
        <v>#N/A</v>
      </c>
      <c r="O3362" s="16" t="s">
        <v>75</v>
      </c>
      <c r="P3362" s="16" t="str">
        <f t="shared" si="6"/>
        <v/>
      </c>
      <c r="Q3362" s="41" t="e">
        <f t="shared" si="6652"/>
        <v>#N/A</v>
      </c>
      <c r="R3362" s="44"/>
      <c r="S3362" s="44"/>
      <c r="T3362" s="43"/>
      <c r="U3362" s="43" t="str">
        <f t="shared" si="8"/>
        <v>No</v>
      </c>
      <c r="V3362" s="25"/>
      <c r="W3362" s="25"/>
      <c r="X3362" s="25"/>
      <c r="Y3362" s="25"/>
      <c r="Z3362" s="25"/>
    </row>
    <row r="3363" spans="1:26" ht="15.75" customHeight="1" x14ac:dyDescent="0.25">
      <c r="A3363" s="25">
        <v>3361</v>
      </c>
      <c r="B3363" s="37" t="e">
        <f t="shared" ref="B3363:D3363" si="6771">VLOOKUP($A3363,[11]Planeación!$A$1:$O$253,B$1,0)</f>
        <v>#N/A</v>
      </c>
      <c r="C3363" s="38" t="e">
        <f t="shared" si="6771"/>
        <v>#N/A</v>
      </c>
      <c r="D3363" s="39" t="e">
        <f t="shared" si="6771"/>
        <v>#N/A</v>
      </c>
      <c r="E3363" s="16" t="e">
        <f t="shared" si="1"/>
        <v>#N/A</v>
      </c>
      <c r="F3363" s="16" t="e">
        <f t="shared" ref="F3363:K3363" si="6772">VLOOKUP($A3363,[11]Planeación!$A$1:$O$253,F$1,0)</f>
        <v>#N/A</v>
      </c>
      <c r="G3363" s="39" t="e">
        <f t="shared" si="6772"/>
        <v>#N/A</v>
      </c>
      <c r="H3363" s="16" t="e">
        <f t="shared" si="6772"/>
        <v>#N/A</v>
      </c>
      <c r="I3363" s="16" t="e">
        <f t="shared" si="6772"/>
        <v>#N/A</v>
      </c>
      <c r="J3363" s="40" t="e">
        <f t="shared" si="6772"/>
        <v>#N/A</v>
      </c>
      <c r="K3363" s="16" t="e">
        <f t="shared" si="6772"/>
        <v>#N/A</v>
      </c>
      <c r="L3363" s="40" t="e">
        <f t="shared" si="6649"/>
        <v>#N/A</v>
      </c>
      <c r="M3363" s="16" t="e">
        <f t="shared" si="6650"/>
        <v>#N/A</v>
      </c>
      <c r="N3363" s="16" t="e">
        <f t="shared" si="6651"/>
        <v>#N/A</v>
      </c>
      <c r="O3363" s="16" t="s">
        <v>75</v>
      </c>
      <c r="P3363" s="16" t="str">
        <f t="shared" si="6"/>
        <v/>
      </c>
      <c r="Q3363" s="41" t="e">
        <f t="shared" si="6652"/>
        <v>#N/A</v>
      </c>
      <c r="R3363" s="44"/>
      <c r="S3363" s="44"/>
      <c r="T3363" s="43"/>
      <c r="U3363" s="43" t="str">
        <f t="shared" si="8"/>
        <v>No</v>
      </c>
      <c r="V3363" s="25"/>
      <c r="W3363" s="25"/>
      <c r="X3363" s="25"/>
      <c r="Y3363" s="25"/>
      <c r="Z3363" s="25"/>
    </row>
    <row r="3364" spans="1:26" ht="15.75" customHeight="1" x14ac:dyDescent="0.25">
      <c r="A3364" s="25">
        <v>3362</v>
      </c>
      <c r="B3364" s="37" t="e">
        <f t="shared" ref="B3364:D3364" si="6773">VLOOKUP($A3364,[11]Planeación!$A$1:$O$253,B$1,0)</f>
        <v>#N/A</v>
      </c>
      <c r="C3364" s="38" t="e">
        <f t="shared" si="6773"/>
        <v>#N/A</v>
      </c>
      <c r="D3364" s="39" t="e">
        <f t="shared" si="6773"/>
        <v>#N/A</v>
      </c>
      <c r="E3364" s="16" t="e">
        <f t="shared" si="1"/>
        <v>#N/A</v>
      </c>
      <c r="F3364" s="16" t="e">
        <f t="shared" ref="F3364:K3364" si="6774">VLOOKUP($A3364,[11]Planeación!$A$1:$O$253,F$1,0)</f>
        <v>#N/A</v>
      </c>
      <c r="G3364" s="39" t="e">
        <f t="shared" si="6774"/>
        <v>#N/A</v>
      </c>
      <c r="H3364" s="16" t="e">
        <f t="shared" si="6774"/>
        <v>#N/A</v>
      </c>
      <c r="I3364" s="16" t="e">
        <f t="shared" si="6774"/>
        <v>#N/A</v>
      </c>
      <c r="J3364" s="40" t="e">
        <f t="shared" si="6774"/>
        <v>#N/A</v>
      </c>
      <c r="K3364" s="16" t="e">
        <f t="shared" si="6774"/>
        <v>#N/A</v>
      </c>
      <c r="L3364" s="40" t="e">
        <f t="shared" si="6649"/>
        <v>#N/A</v>
      </c>
      <c r="M3364" s="16" t="e">
        <f t="shared" si="6650"/>
        <v>#N/A</v>
      </c>
      <c r="N3364" s="16" t="e">
        <f t="shared" si="6651"/>
        <v>#N/A</v>
      </c>
      <c r="O3364" s="16" t="s">
        <v>75</v>
      </c>
      <c r="P3364" s="16" t="str">
        <f t="shared" si="6"/>
        <v/>
      </c>
      <c r="Q3364" s="41" t="e">
        <f t="shared" si="6652"/>
        <v>#N/A</v>
      </c>
      <c r="R3364" s="44"/>
      <c r="S3364" s="44"/>
      <c r="T3364" s="43"/>
      <c r="U3364" s="43" t="str">
        <f t="shared" si="8"/>
        <v>No</v>
      </c>
      <c r="V3364" s="25"/>
      <c r="W3364" s="25"/>
      <c r="X3364" s="25"/>
      <c r="Y3364" s="25"/>
      <c r="Z3364" s="25"/>
    </row>
    <row r="3365" spans="1:26" ht="15.75" customHeight="1" x14ac:dyDescent="0.25">
      <c r="A3365" s="25">
        <v>3363</v>
      </c>
      <c r="B3365" s="37" t="e">
        <f t="shared" ref="B3365:D3365" si="6775">VLOOKUP($A3365,[11]Planeación!$A$1:$O$253,B$1,0)</f>
        <v>#N/A</v>
      </c>
      <c r="C3365" s="38" t="e">
        <f t="shared" si="6775"/>
        <v>#N/A</v>
      </c>
      <c r="D3365" s="39" t="e">
        <f t="shared" si="6775"/>
        <v>#N/A</v>
      </c>
      <c r="E3365" s="16" t="e">
        <f t="shared" si="1"/>
        <v>#N/A</v>
      </c>
      <c r="F3365" s="16" t="e">
        <f t="shared" ref="F3365:K3365" si="6776">VLOOKUP($A3365,[11]Planeación!$A$1:$O$253,F$1,0)</f>
        <v>#N/A</v>
      </c>
      <c r="G3365" s="39" t="e">
        <f t="shared" si="6776"/>
        <v>#N/A</v>
      </c>
      <c r="H3365" s="16" t="e">
        <f t="shared" si="6776"/>
        <v>#N/A</v>
      </c>
      <c r="I3365" s="16" t="e">
        <f t="shared" si="6776"/>
        <v>#N/A</v>
      </c>
      <c r="J3365" s="40" t="e">
        <f t="shared" si="6776"/>
        <v>#N/A</v>
      </c>
      <c r="K3365" s="16" t="e">
        <f t="shared" si="6776"/>
        <v>#N/A</v>
      </c>
      <c r="L3365" s="40" t="e">
        <f t="shared" si="6649"/>
        <v>#N/A</v>
      </c>
      <c r="M3365" s="16" t="e">
        <f t="shared" si="6650"/>
        <v>#N/A</v>
      </c>
      <c r="N3365" s="16" t="e">
        <f t="shared" si="6651"/>
        <v>#N/A</v>
      </c>
      <c r="O3365" s="16" t="s">
        <v>75</v>
      </c>
      <c r="P3365" s="16" t="str">
        <f t="shared" si="6"/>
        <v/>
      </c>
      <c r="Q3365" s="41" t="e">
        <f t="shared" si="6652"/>
        <v>#N/A</v>
      </c>
      <c r="R3365" s="44"/>
      <c r="S3365" s="44"/>
      <c r="T3365" s="43"/>
      <c r="U3365" s="43" t="str">
        <f t="shared" si="8"/>
        <v>No</v>
      </c>
      <c r="V3365" s="25"/>
      <c r="W3365" s="25"/>
      <c r="X3365" s="25"/>
      <c r="Y3365" s="25"/>
      <c r="Z3365" s="25"/>
    </row>
    <row r="3366" spans="1:26" ht="15.75" customHeight="1" x14ac:dyDescent="0.25">
      <c r="A3366" s="25">
        <v>3364</v>
      </c>
      <c r="B3366" s="37" t="e">
        <f t="shared" ref="B3366:D3366" si="6777">VLOOKUP($A3366,[11]Planeación!$A$1:$O$253,B$1,0)</f>
        <v>#N/A</v>
      </c>
      <c r="C3366" s="38" t="e">
        <f t="shared" si="6777"/>
        <v>#N/A</v>
      </c>
      <c r="D3366" s="39" t="e">
        <f t="shared" si="6777"/>
        <v>#N/A</v>
      </c>
      <c r="E3366" s="16" t="e">
        <f t="shared" si="1"/>
        <v>#N/A</v>
      </c>
      <c r="F3366" s="16" t="e">
        <f t="shared" ref="F3366:K3366" si="6778">VLOOKUP($A3366,[11]Planeación!$A$1:$O$253,F$1,0)</f>
        <v>#N/A</v>
      </c>
      <c r="G3366" s="39" t="e">
        <f t="shared" si="6778"/>
        <v>#N/A</v>
      </c>
      <c r="H3366" s="16" t="e">
        <f t="shared" si="6778"/>
        <v>#N/A</v>
      </c>
      <c r="I3366" s="16" t="e">
        <f t="shared" si="6778"/>
        <v>#N/A</v>
      </c>
      <c r="J3366" s="40" t="e">
        <f t="shared" si="6778"/>
        <v>#N/A</v>
      </c>
      <c r="K3366" s="16" t="e">
        <f t="shared" si="6778"/>
        <v>#N/A</v>
      </c>
      <c r="L3366" s="40" t="e">
        <f t="shared" si="6649"/>
        <v>#N/A</v>
      </c>
      <c r="M3366" s="16" t="e">
        <f t="shared" si="6650"/>
        <v>#N/A</v>
      </c>
      <c r="N3366" s="16" t="e">
        <f t="shared" si="6651"/>
        <v>#N/A</v>
      </c>
      <c r="O3366" s="16" t="s">
        <v>75</v>
      </c>
      <c r="P3366" s="16" t="str">
        <f t="shared" si="6"/>
        <v/>
      </c>
      <c r="Q3366" s="41" t="e">
        <f t="shared" si="6652"/>
        <v>#N/A</v>
      </c>
      <c r="R3366" s="44"/>
      <c r="S3366" s="44"/>
      <c r="T3366" s="43"/>
      <c r="U3366" s="43" t="str">
        <f t="shared" si="8"/>
        <v>No</v>
      </c>
      <c r="V3366" s="25"/>
      <c r="W3366" s="25"/>
      <c r="X3366" s="25"/>
      <c r="Y3366" s="25"/>
      <c r="Z3366" s="25"/>
    </row>
    <row r="3367" spans="1:26" ht="15.75" customHeight="1" x14ac:dyDescent="0.25">
      <c r="A3367" s="25">
        <v>3365</v>
      </c>
      <c r="B3367" s="37" t="e">
        <f t="shared" ref="B3367:D3367" si="6779">VLOOKUP($A3367,[11]Planeación!$A$1:$O$253,B$1,0)</f>
        <v>#N/A</v>
      </c>
      <c r="C3367" s="38" t="e">
        <f t="shared" si="6779"/>
        <v>#N/A</v>
      </c>
      <c r="D3367" s="39" t="e">
        <f t="shared" si="6779"/>
        <v>#N/A</v>
      </c>
      <c r="E3367" s="16" t="e">
        <f t="shared" si="1"/>
        <v>#N/A</v>
      </c>
      <c r="F3367" s="16" t="e">
        <f t="shared" ref="F3367:K3367" si="6780">VLOOKUP($A3367,[11]Planeación!$A$1:$O$253,F$1,0)</f>
        <v>#N/A</v>
      </c>
      <c r="G3367" s="39" t="e">
        <f t="shared" si="6780"/>
        <v>#N/A</v>
      </c>
      <c r="H3367" s="16" t="e">
        <f t="shared" si="6780"/>
        <v>#N/A</v>
      </c>
      <c r="I3367" s="16" t="e">
        <f t="shared" si="6780"/>
        <v>#N/A</v>
      </c>
      <c r="J3367" s="40" t="e">
        <f t="shared" si="6780"/>
        <v>#N/A</v>
      </c>
      <c r="K3367" s="16" t="e">
        <f t="shared" si="6780"/>
        <v>#N/A</v>
      </c>
      <c r="L3367" s="40" t="e">
        <f t="shared" si="6649"/>
        <v>#N/A</v>
      </c>
      <c r="M3367" s="16" t="e">
        <f t="shared" si="6650"/>
        <v>#N/A</v>
      </c>
      <c r="N3367" s="16" t="e">
        <f t="shared" si="6651"/>
        <v>#N/A</v>
      </c>
      <c r="O3367" s="16" t="s">
        <v>75</v>
      </c>
      <c r="P3367" s="16" t="str">
        <f t="shared" si="6"/>
        <v/>
      </c>
      <c r="Q3367" s="41" t="e">
        <f t="shared" si="6652"/>
        <v>#N/A</v>
      </c>
      <c r="R3367" s="44"/>
      <c r="S3367" s="44"/>
      <c r="T3367" s="43"/>
      <c r="U3367" s="43" t="str">
        <f t="shared" si="8"/>
        <v>No</v>
      </c>
      <c r="V3367" s="25"/>
      <c r="W3367" s="25"/>
      <c r="X3367" s="25"/>
      <c r="Y3367" s="25"/>
      <c r="Z3367" s="25"/>
    </row>
    <row r="3368" spans="1:26" ht="15.75" customHeight="1" x14ac:dyDescent="0.25">
      <c r="A3368" s="25">
        <v>3366</v>
      </c>
      <c r="B3368" s="37" t="e">
        <f t="shared" ref="B3368:D3368" si="6781">VLOOKUP($A3368,[11]Planeación!$A$1:$O$253,B$1,0)</f>
        <v>#N/A</v>
      </c>
      <c r="C3368" s="38" t="e">
        <f t="shared" si="6781"/>
        <v>#N/A</v>
      </c>
      <c r="D3368" s="39" t="e">
        <f t="shared" si="6781"/>
        <v>#N/A</v>
      </c>
      <c r="E3368" s="16" t="e">
        <f t="shared" si="1"/>
        <v>#N/A</v>
      </c>
      <c r="F3368" s="16" t="e">
        <f t="shared" ref="F3368:K3368" si="6782">VLOOKUP($A3368,[11]Planeación!$A$1:$O$253,F$1,0)</f>
        <v>#N/A</v>
      </c>
      <c r="G3368" s="39" t="e">
        <f t="shared" si="6782"/>
        <v>#N/A</v>
      </c>
      <c r="H3368" s="16" t="e">
        <f t="shared" si="6782"/>
        <v>#N/A</v>
      </c>
      <c r="I3368" s="16" t="e">
        <f t="shared" si="6782"/>
        <v>#N/A</v>
      </c>
      <c r="J3368" s="40" t="e">
        <f t="shared" si="6782"/>
        <v>#N/A</v>
      </c>
      <c r="K3368" s="16" t="e">
        <f t="shared" si="6782"/>
        <v>#N/A</v>
      </c>
      <c r="L3368" s="40" t="e">
        <f t="shared" si="6649"/>
        <v>#N/A</v>
      </c>
      <c r="M3368" s="16" t="e">
        <f t="shared" si="6650"/>
        <v>#N/A</v>
      </c>
      <c r="N3368" s="16" t="e">
        <f t="shared" si="6651"/>
        <v>#N/A</v>
      </c>
      <c r="O3368" s="16" t="s">
        <v>75</v>
      </c>
      <c r="P3368" s="16" t="str">
        <f t="shared" si="6"/>
        <v/>
      </c>
      <c r="Q3368" s="41" t="e">
        <f t="shared" si="6652"/>
        <v>#N/A</v>
      </c>
      <c r="R3368" s="44"/>
      <c r="S3368" s="44"/>
      <c r="T3368" s="43"/>
      <c r="U3368" s="43" t="str">
        <f t="shared" si="8"/>
        <v>No</v>
      </c>
      <c r="V3368" s="25"/>
      <c r="W3368" s="25"/>
      <c r="X3368" s="25"/>
      <c r="Y3368" s="25"/>
      <c r="Z3368" s="25"/>
    </row>
    <row r="3369" spans="1:26" ht="15.75" customHeight="1" x14ac:dyDescent="0.25">
      <c r="A3369" s="25">
        <v>3367</v>
      </c>
      <c r="B3369" s="37" t="e">
        <f t="shared" ref="B3369:D3369" si="6783">VLOOKUP($A3369,[11]Planeación!$A$1:$O$253,B$1,0)</f>
        <v>#N/A</v>
      </c>
      <c r="C3369" s="38" t="e">
        <f t="shared" si="6783"/>
        <v>#N/A</v>
      </c>
      <c r="D3369" s="39" t="e">
        <f t="shared" si="6783"/>
        <v>#N/A</v>
      </c>
      <c r="E3369" s="16" t="e">
        <f t="shared" si="1"/>
        <v>#N/A</v>
      </c>
      <c r="F3369" s="16" t="e">
        <f t="shared" ref="F3369:K3369" si="6784">VLOOKUP($A3369,[11]Planeación!$A$1:$O$253,F$1,0)</f>
        <v>#N/A</v>
      </c>
      <c r="G3369" s="39" t="e">
        <f t="shared" si="6784"/>
        <v>#N/A</v>
      </c>
      <c r="H3369" s="16" t="e">
        <f t="shared" si="6784"/>
        <v>#N/A</v>
      </c>
      <c r="I3369" s="16" t="e">
        <f t="shared" si="6784"/>
        <v>#N/A</v>
      </c>
      <c r="J3369" s="40" t="e">
        <f t="shared" si="6784"/>
        <v>#N/A</v>
      </c>
      <c r="K3369" s="16" t="e">
        <f t="shared" si="6784"/>
        <v>#N/A</v>
      </c>
      <c r="L3369" s="40" t="e">
        <f t="shared" si="6649"/>
        <v>#N/A</v>
      </c>
      <c r="M3369" s="16" t="e">
        <f t="shared" si="6650"/>
        <v>#N/A</v>
      </c>
      <c r="N3369" s="16" t="e">
        <f t="shared" si="6651"/>
        <v>#N/A</v>
      </c>
      <c r="O3369" s="16" t="s">
        <v>75</v>
      </c>
      <c r="P3369" s="16" t="str">
        <f t="shared" si="6"/>
        <v/>
      </c>
      <c r="Q3369" s="41" t="e">
        <f t="shared" si="6652"/>
        <v>#N/A</v>
      </c>
      <c r="R3369" s="44"/>
      <c r="S3369" s="44"/>
      <c r="T3369" s="43"/>
      <c r="U3369" s="43" t="str">
        <f t="shared" si="8"/>
        <v>No</v>
      </c>
      <c r="V3369" s="25"/>
      <c r="W3369" s="25"/>
      <c r="X3369" s="25"/>
      <c r="Y3369" s="25"/>
      <c r="Z3369" s="25"/>
    </row>
    <row r="3370" spans="1:26" ht="15.75" customHeight="1" x14ac:dyDescent="0.25">
      <c r="A3370" s="25">
        <v>3368</v>
      </c>
      <c r="B3370" s="37" t="e">
        <f t="shared" ref="B3370:D3370" si="6785">VLOOKUP($A3370,[11]Planeación!$A$1:$O$253,B$1,0)</f>
        <v>#N/A</v>
      </c>
      <c r="C3370" s="38" t="e">
        <f t="shared" si="6785"/>
        <v>#N/A</v>
      </c>
      <c r="D3370" s="39" t="e">
        <f t="shared" si="6785"/>
        <v>#N/A</v>
      </c>
      <c r="E3370" s="16" t="e">
        <f t="shared" si="1"/>
        <v>#N/A</v>
      </c>
      <c r="F3370" s="16" t="e">
        <f t="shared" ref="F3370:K3370" si="6786">VLOOKUP($A3370,[11]Planeación!$A$1:$O$253,F$1,0)</f>
        <v>#N/A</v>
      </c>
      <c r="G3370" s="39" t="e">
        <f t="shared" si="6786"/>
        <v>#N/A</v>
      </c>
      <c r="H3370" s="16" t="e">
        <f t="shared" si="6786"/>
        <v>#N/A</v>
      </c>
      <c r="I3370" s="16" t="e">
        <f t="shared" si="6786"/>
        <v>#N/A</v>
      </c>
      <c r="J3370" s="40" t="e">
        <f t="shared" si="6786"/>
        <v>#N/A</v>
      </c>
      <c r="K3370" s="16" t="e">
        <f t="shared" si="6786"/>
        <v>#N/A</v>
      </c>
      <c r="L3370" s="40" t="e">
        <f t="shared" si="6649"/>
        <v>#N/A</v>
      </c>
      <c r="M3370" s="16" t="e">
        <f t="shared" si="6650"/>
        <v>#N/A</v>
      </c>
      <c r="N3370" s="16" t="e">
        <f t="shared" si="6651"/>
        <v>#N/A</v>
      </c>
      <c r="O3370" s="16" t="s">
        <v>75</v>
      </c>
      <c r="P3370" s="16" t="str">
        <f t="shared" si="6"/>
        <v/>
      </c>
      <c r="Q3370" s="41" t="e">
        <f t="shared" si="6652"/>
        <v>#N/A</v>
      </c>
      <c r="R3370" s="44"/>
      <c r="S3370" s="44"/>
      <c r="T3370" s="43"/>
      <c r="U3370" s="43" t="str">
        <f t="shared" si="8"/>
        <v>No</v>
      </c>
      <c r="V3370" s="25"/>
      <c r="W3370" s="25"/>
      <c r="X3370" s="25"/>
      <c r="Y3370" s="25"/>
      <c r="Z3370" s="25"/>
    </row>
    <row r="3371" spans="1:26" ht="15.75" customHeight="1" x14ac:dyDescent="0.25">
      <c r="A3371" s="25">
        <v>3369</v>
      </c>
      <c r="B3371" s="37" t="e">
        <f t="shared" ref="B3371:D3371" si="6787">VLOOKUP($A3371,[11]Planeación!$A$1:$O$253,B$1,0)</f>
        <v>#N/A</v>
      </c>
      <c r="C3371" s="38" t="e">
        <f t="shared" si="6787"/>
        <v>#N/A</v>
      </c>
      <c r="D3371" s="39" t="e">
        <f t="shared" si="6787"/>
        <v>#N/A</v>
      </c>
      <c r="E3371" s="16" t="e">
        <f t="shared" si="1"/>
        <v>#N/A</v>
      </c>
      <c r="F3371" s="16" t="e">
        <f t="shared" ref="F3371:K3371" si="6788">VLOOKUP($A3371,[11]Planeación!$A$1:$O$253,F$1,0)</f>
        <v>#N/A</v>
      </c>
      <c r="G3371" s="39" t="e">
        <f t="shared" si="6788"/>
        <v>#N/A</v>
      </c>
      <c r="H3371" s="16" t="e">
        <f t="shared" si="6788"/>
        <v>#N/A</v>
      </c>
      <c r="I3371" s="16" t="e">
        <f t="shared" si="6788"/>
        <v>#N/A</v>
      </c>
      <c r="J3371" s="40" t="e">
        <f t="shared" si="6788"/>
        <v>#N/A</v>
      </c>
      <c r="K3371" s="16" t="e">
        <f t="shared" si="6788"/>
        <v>#N/A</v>
      </c>
      <c r="L3371" s="40" t="e">
        <f t="shared" si="6649"/>
        <v>#N/A</v>
      </c>
      <c r="M3371" s="16" t="e">
        <f t="shared" si="6650"/>
        <v>#N/A</v>
      </c>
      <c r="N3371" s="16" t="e">
        <f t="shared" si="6651"/>
        <v>#N/A</v>
      </c>
      <c r="O3371" s="16" t="s">
        <v>75</v>
      </c>
      <c r="P3371" s="16" t="str">
        <f t="shared" si="6"/>
        <v/>
      </c>
      <c r="Q3371" s="41" t="e">
        <f t="shared" si="6652"/>
        <v>#N/A</v>
      </c>
      <c r="R3371" s="44"/>
      <c r="S3371" s="44"/>
      <c r="T3371" s="43"/>
      <c r="U3371" s="43" t="str">
        <f t="shared" si="8"/>
        <v>No</v>
      </c>
      <c r="V3371" s="25"/>
      <c r="W3371" s="25"/>
      <c r="X3371" s="25"/>
      <c r="Y3371" s="25"/>
      <c r="Z3371" s="25"/>
    </row>
    <row r="3372" spans="1:26" ht="15.75" customHeight="1" x14ac:dyDescent="0.25">
      <c r="A3372" s="25">
        <v>3370</v>
      </c>
      <c r="B3372" s="37" t="e">
        <f t="shared" ref="B3372:D3372" si="6789">VLOOKUP($A3372,[11]Planeación!$A$1:$O$253,B$1,0)</f>
        <v>#N/A</v>
      </c>
      <c r="C3372" s="38" t="e">
        <f t="shared" si="6789"/>
        <v>#N/A</v>
      </c>
      <c r="D3372" s="39" t="e">
        <f t="shared" si="6789"/>
        <v>#N/A</v>
      </c>
      <c r="E3372" s="16" t="e">
        <f t="shared" si="1"/>
        <v>#N/A</v>
      </c>
      <c r="F3372" s="16" t="e">
        <f t="shared" ref="F3372:K3372" si="6790">VLOOKUP($A3372,[11]Planeación!$A$1:$O$253,F$1,0)</f>
        <v>#N/A</v>
      </c>
      <c r="G3372" s="39" t="e">
        <f t="shared" si="6790"/>
        <v>#N/A</v>
      </c>
      <c r="H3372" s="16" t="e">
        <f t="shared" si="6790"/>
        <v>#N/A</v>
      </c>
      <c r="I3372" s="16" t="e">
        <f t="shared" si="6790"/>
        <v>#N/A</v>
      </c>
      <c r="J3372" s="40" t="e">
        <f t="shared" si="6790"/>
        <v>#N/A</v>
      </c>
      <c r="K3372" s="16" t="e">
        <f t="shared" si="6790"/>
        <v>#N/A</v>
      </c>
      <c r="L3372" s="40" t="e">
        <f t="shared" si="6649"/>
        <v>#N/A</v>
      </c>
      <c r="M3372" s="16" t="e">
        <f t="shared" si="6650"/>
        <v>#N/A</v>
      </c>
      <c r="N3372" s="16" t="e">
        <f t="shared" si="6651"/>
        <v>#N/A</v>
      </c>
      <c r="O3372" s="16" t="s">
        <v>75</v>
      </c>
      <c r="P3372" s="16" t="str">
        <f t="shared" si="6"/>
        <v/>
      </c>
      <c r="Q3372" s="41" t="e">
        <f t="shared" si="6652"/>
        <v>#N/A</v>
      </c>
      <c r="R3372" s="44"/>
      <c r="S3372" s="44"/>
      <c r="T3372" s="43"/>
      <c r="U3372" s="43" t="str">
        <f t="shared" si="8"/>
        <v>No</v>
      </c>
      <c r="V3372" s="25"/>
      <c r="W3372" s="25"/>
      <c r="X3372" s="25"/>
      <c r="Y3372" s="25"/>
      <c r="Z3372" s="25"/>
    </row>
    <row r="3373" spans="1:26" ht="15.75" customHeight="1" x14ac:dyDescent="0.25">
      <c r="A3373" s="25">
        <v>3371</v>
      </c>
      <c r="B3373" s="37" t="e">
        <f t="shared" ref="B3373:D3373" si="6791">VLOOKUP($A3373,[11]Planeación!$A$1:$O$253,B$1,0)</f>
        <v>#N/A</v>
      </c>
      <c r="C3373" s="38" t="e">
        <f t="shared" si="6791"/>
        <v>#N/A</v>
      </c>
      <c r="D3373" s="39" t="e">
        <f t="shared" si="6791"/>
        <v>#N/A</v>
      </c>
      <c r="E3373" s="16" t="e">
        <f t="shared" si="1"/>
        <v>#N/A</v>
      </c>
      <c r="F3373" s="16" t="e">
        <f t="shared" ref="F3373:K3373" si="6792">VLOOKUP($A3373,[11]Planeación!$A$1:$O$253,F$1,0)</f>
        <v>#N/A</v>
      </c>
      <c r="G3373" s="39" t="e">
        <f t="shared" si="6792"/>
        <v>#N/A</v>
      </c>
      <c r="H3373" s="16" t="e">
        <f t="shared" si="6792"/>
        <v>#N/A</v>
      </c>
      <c r="I3373" s="16" t="e">
        <f t="shared" si="6792"/>
        <v>#N/A</v>
      </c>
      <c r="J3373" s="40" t="e">
        <f t="shared" si="6792"/>
        <v>#N/A</v>
      </c>
      <c r="K3373" s="16" t="e">
        <f t="shared" si="6792"/>
        <v>#N/A</v>
      </c>
      <c r="L3373" s="40" t="e">
        <f t="shared" si="6649"/>
        <v>#N/A</v>
      </c>
      <c r="M3373" s="16" t="e">
        <f t="shared" si="6650"/>
        <v>#N/A</v>
      </c>
      <c r="N3373" s="16" t="e">
        <f t="shared" si="6651"/>
        <v>#N/A</v>
      </c>
      <c r="O3373" s="16" t="s">
        <v>75</v>
      </c>
      <c r="P3373" s="16" t="str">
        <f t="shared" si="6"/>
        <v/>
      </c>
      <c r="Q3373" s="41" t="e">
        <f t="shared" si="6652"/>
        <v>#N/A</v>
      </c>
      <c r="R3373" s="44"/>
      <c r="S3373" s="44"/>
      <c r="T3373" s="43"/>
      <c r="U3373" s="43" t="str">
        <f t="shared" si="8"/>
        <v>No</v>
      </c>
      <c r="V3373" s="25"/>
      <c r="W3373" s="25"/>
      <c r="X3373" s="25"/>
      <c r="Y3373" s="25"/>
      <c r="Z3373" s="25"/>
    </row>
    <row r="3374" spans="1:26" ht="15.75" customHeight="1" x14ac:dyDescent="0.25">
      <c r="A3374" s="25">
        <v>3372</v>
      </c>
      <c r="B3374" s="37" t="e">
        <f t="shared" ref="B3374:D3374" si="6793">VLOOKUP($A3374,[11]Planeación!$A$1:$O$253,B$1,0)</f>
        <v>#N/A</v>
      </c>
      <c r="C3374" s="38" t="e">
        <f t="shared" si="6793"/>
        <v>#N/A</v>
      </c>
      <c r="D3374" s="39" t="e">
        <f t="shared" si="6793"/>
        <v>#N/A</v>
      </c>
      <c r="E3374" s="16" t="e">
        <f t="shared" si="1"/>
        <v>#N/A</v>
      </c>
      <c r="F3374" s="16" t="e">
        <f t="shared" ref="F3374:K3374" si="6794">VLOOKUP($A3374,[11]Planeación!$A$1:$O$253,F$1,0)</f>
        <v>#N/A</v>
      </c>
      <c r="G3374" s="39" t="e">
        <f t="shared" si="6794"/>
        <v>#N/A</v>
      </c>
      <c r="H3374" s="16" t="e">
        <f t="shared" si="6794"/>
        <v>#N/A</v>
      </c>
      <c r="I3374" s="16" t="e">
        <f t="shared" si="6794"/>
        <v>#N/A</v>
      </c>
      <c r="J3374" s="40" t="e">
        <f t="shared" si="6794"/>
        <v>#N/A</v>
      </c>
      <c r="K3374" s="16" t="e">
        <f t="shared" si="6794"/>
        <v>#N/A</v>
      </c>
      <c r="L3374" s="40" t="e">
        <f t="shared" si="6649"/>
        <v>#N/A</v>
      </c>
      <c r="M3374" s="16" t="e">
        <f t="shared" si="6650"/>
        <v>#N/A</v>
      </c>
      <c r="N3374" s="16" t="e">
        <f t="shared" si="6651"/>
        <v>#N/A</v>
      </c>
      <c r="O3374" s="16" t="s">
        <v>75</v>
      </c>
      <c r="P3374" s="16" t="str">
        <f t="shared" si="6"/>
        <v/>
      </c>
      <c r="Q3374" s="41" t="e">
        <f t="shared" si="6652"/>
        <v>#N/A</v>
      </c>
      <c r="R3374" s="44"/>
      <c r="S3374" s="44"/>
      <c r="T3374" s="43"/>
      <c r="U3374" s="43" t="str">
        <f t="shared" si="8"/>
        <v>No</v>
      </c>
      <c r="V3374" s="25"/>
      <c r="W3374" s="25"/>
      <c r="X3374" s="25"/>
      <c r="Y3374" s="25"/>
      <c r="Z3374" s="25"/>
    </row>
    <row r="3375" spans="1:26" ht="15.75" customHeight="1" x14ac:dyDescent="0.25">
      <c r="A3375" s="25">
        <v>3373</v>
      </c>
      <c r="B3375" s="37" t="e">
        <f t="shared" ref="B3375:D3375" si="6795">VLOOKUP($A3375,[11]Planeación!$A$1:$O$253,B$1,0)</f>
        <v>#N/A</v>
      </c>
      <c r="C3375" s="38" t="e">
        <f t="shared" si="6795"/>
        <v>#N/A</v>
      </c>
      <c r="D3375" s="39" t="e">
        <f t="shared" si="6795"/>
        <v>#N/A</v>
      </c>
      <c r="E3375" s="16" t="e">
        <f t="shared" si="1"/>
        <v>#N/A</v>
      </c>
      <c r="F3375" s="16" t="e">
        <f t="shared" ref="F3375:K3375" si="6796">VLOOKUP($A3375,[11]Planeación!$A$1:$O$253,F$1,0)</f>
        <v>#N/A</v>
      </c>
      <c r="G3375" s="39" t="e">
        <f t="shared" si="6796"/>
        <v>#N/A</v>
      </c>
      <c r="H3375" s="16" t="e">
        <f t="shared" si="6796"/>
        <v>#N/A</v>
      </c>
      <c r="I3375" s="16" t="e">
        <f t="shared" si="6796"/>
        <v>#N/A</v>
      </c>
      <c r="J3375" s="40" t="e">
        <f t="shared" si="6796"/>
        <v>#N/A</v>
      </c>
      <c r="K3375" s="16" t="e">
        <f t="shared" si="6796"/>
        <v>#N/A</v>
      </c>
      <c r="L3375" s="40" t="e">
        <f t="shared" si="6649"/>
        <v>#N/A</v>
      </c>
      <c r="M3375" s="16" t="e">
        <f t="shared" si="6650"/>
        <v>#N/A</v>
      </c>
      <c r="N3375" s="16" t="e">
        <f t="shared" si="6651"/>
        <v>#N/A</v>
      </c>
      <c r="O3375" s="16" t="s">
        <v>75</v>
      </c>
      <c r="P3375" s="16" t="str">
        <f t="shared" si="6"/>
        <v/>
      </c>
      <c r="Q3375" s="41" t="e">
        <f t="shared" si="6652"/>
        <v>#N/A</v>
      </c>
      <c r="R3375" s="44"/>
      <c r="S3375" s="44"/>
      <c r="T3375" s="43"/>
      <c r="U3375" s="43" t="str">
        <f t="shared" si="8"/>
        <v>No</v>
      </c>
      <c r="V3375" s="25"/>
      <c r="W3375" s="25"/>
      <c r="X3375" s="25"/>
      <c r="Y3375" s="25"/>
      <c r="Z3375" s="25"/>
    </row>
    <row r="3376" spans="1:26" ht="15.75" customHeight="1" x14ac:dyDescent="0.25">
      <c r="A3376" s="25">
        <v>3374</v>
      </c>
      <c r="B3376" s="37" t="e">
        <f t="shared" ref="B3376:D3376" si="6797">VLOOKUP($A3376,[11]Planeación!$A$1:$O$253,B$1,0)</f>
        <v>#N/A</v>
      </c>
      <c r="C3376" s="38" t="e">
        <f t="shared" si="6797"/>
        <v>#N/A</v>
      </c>
      <c r="D3376" s="39" t="e">
        <f t="shared" si="6797"/>
        <v>#N/A</v>
      </c>
      <c r="E3376" s="16" t="e">
        <f t="shared" si="1"/>
        <v>#N/A</v>
      </c>
      <c r="F3376" s="16" t="e">
        <f t="shared" ref="F3376:K3376" si="6798">VLOOKUP($A3376,[11]Planeación!$A$1:$O$253,F$1,0)</f>
        <v>#N/A</v>
      </c>
      <c r="G3376" s="39" t="e">
        <f t="shared" si="6798"/>
        <v>#N/A</v>
      </c>
      <c r="H3376" s="16" t="e">
        <f t="shared" si="6798"/>
        <v>#N/A</v>
      </c>
      <c r="I3376" s="16" t="e">
        <f t="shared" si="6798"/>
        <v>#N/A</v>
      </c>
      <c r="J3376" s="40" t="e">
        <f t="shared" si="6798"/>
        <v>#N/A</v>
      </c>
      <c r="K3376" s="16" t="e">
        <f t="shared" si="6798"/>
        <v>#N/A</v>
      </c>
      <c r="L3376" s="40" t="e">
        <f t="shared" si="6649"/>
        <v>#N/A</v>
      </c>
      <c r="M3376" s="16" t="e">
        <f t="shared" si="6650"/>
        <v>#N/A</v>
      </c>
      <c r="N3376" s="16" t="e">
        <f t="shared" si="6651"/>
        <v>#N/A</v>
      </c>
      <c r="O3376" s="16" t="s">
        <v>75</v>
      </c>
      <c r="P3376" s="16" t="str">
        <f t="shared" si="6"/>
        <v/>
      </c>
      <c r="Q3376" s="41" t="e">
        <f t="shared" si="6652"/>
        <v>#N/A</v>
      </c>
      <c r="R3376" s="44"/>
      <c r="S3376" s="44"/>
      <c r="T3376" s="43"/>
      <c r="U3376" s="43" t="str">
        <f t="shared" si="8"/>
        <v>No</v>
      </c>
      <c r="V3376" s="25"/>
      <c r="W3376" s="25"/>
      <c r="X3376" s="25"/>
      <c r="Y3376" s="25"/>
      <c r="Z3376" s="25"/>
    </row>
    <row r="3377" spans="1:26" ht="15.75" customHeight="1" x14ac:dyDescent="0.25">
      <c r="A3377" s="25">
        <v>3375</v>
      </c>
      <c r="B3377" s="37" t="e">
        <f t="shared" ref="B3377:D3377" si="6799">VLOOKUP($A3377,[11]Planeación!$A$1:$O$253,B$1,0)</f>
        <v>#N/A</v>
      </c>
      <c r="C3377" s="38" t="e">
        <f t="shared" si="6799"/>
        <v>#N/A</v>
      </c>
      <c r="D3377" s="39" t="e">
        <f t="shared" si="6799"/>
        <v>#N/A</v>
      </c>
      <c r="E3377" s="16" t="e">
        <f t="shared" si="1"/>
        <v>#N/A</v>
      </c>
      <c r="F3377" s="16" t="e">
        <f t="shared" ref="F3377:K3377" si="6800">VLOOKUP($A3377,[11]Planeación!$A$1:$O$253,F$1,0)</f>
        <v>#N/A</v>
      </c>
      <c r="G3377" s="39" t="e">
        <f t="shared" si="6800"/>
        <v>#N/A</v>
      </c>
      <c r="H3377" s="16" t="e">
        <f t="shared" si="6800"/>
        <v>#N/A</v>
      </c>
      <c r="I3377" s="16" t="e">
        <f t="shared" si="6800"/>
        <v>#N/A</v>
      </c>
      <c r="J3377" s="40" t="e">
        <f t="shared" si="6800"/>
        <v>#N/A</v>
      </c>
      <c r="K3377" s="16" t="e">
        <f t="shared" si="6800"/>
        <v>#N/A</v>
      </c>
      <c r="L3377" s="40" t="e">
        <f t="shared" si="6649"/>
        <v>#N/A</v>
      </c>
      <c r="M3377" s="16" t="e">
        <f t="shared" si="6650"/>
        <v>#N/A</v>
      </c>
      <c r="N3377" s="16" t="e">
        <f t="shared" si="6651"/>
        <v>#N/A</v>
      </c>
      <c r="O3377" s="16" t="s">
        <v>75</v>
      </c>
      <c r="P3377" s="16" t="str">
        <f t="shared" si="6"/>
        <v/>
      </c>
      <c r="Q3377" s="41" t="e">
        <f t="shared" si="6652"/>
        <v>#N/A</v>
      </c>
      <c r="R3377" s="44"/>
      <c r="S3377" s="44"/>
      <c r="T3377" s="43"/>
      <c r="U3377" s="43" t="str">
        <f t="shared" si="8"/>
        <v>No</v>
      </c>
      <c r="V3377" s="25"/>
      <c r="W3377" s="25"/>
      <c r="X3377" s="25"/>
      <c r="Y3377" s="25"/>
      <c r="Z3377" s="25"/>
    </row>
    <row r="3378" spans="1:26" ht="15.75" customHeight="1" x14ac:dyDescent="0.25">
      <c r="A3378" s="25">
        <v>3376</v>
      </c>
      <c r="B3378" s="37" t="e">
        <f t="shared" ref="B3378:D3378" si="6801">VLOOKUP($A3378,[11]Planeación!$A$1:$O$253,B$1,0)</f>
        <v>#N/A</v>
      </c>
      <c r="C3378" s="38" t="e">
        <f t="shared" si="6801"/>
        <v>#N/A</v>
      </c>
      <c r="D3378" s="39" t="e">
        <f t="shared" si="6801"/>
        <v>#N/A</v>
      </c>
      <c r="E3378" s="16" t="e">
        <f t="shared" si="1"/>
        <v>#N/A</v>
      </c>
      <c r="F3378" s="16" t="e">
        <f t="shared" ref="F3378:K3378" si="6802">VLOOKUP($A3378,[11]Planeación!$A$1:$O$253,F$1,0)</f>
        <v>#N/A</v>
      </c>
      <c r="G3378" s="39" t="e">
        <f t="shared" si="6802"/>
        <v>#N/A</v>
      </c>
      <c r="H3378" s="16" t="e">
        <f t="shared" si="6802"/>
        <v>#N/A</v>
      </c>
      <c r="I3378" s="16" t="e">
        <f t="shared" si="6802"/>
        <v>#N/A</v>
      </c>
      <c r="J3378" s="40" t="e">
        <f t="shared" si="6802"/>
        <v>#N/A</v>
      </c>
      <c r="K3378" s="16" t="e">
        <f t="shared" si="6802"/>
        <v>#N/A</v>
      </c>
      <c r="L3378" s="40" t="e">
        <f t="shared" si="6649"/>
        <v>#N/A</v>
      </c>
      <c r="M3378" s="16" t="e">
        <f t="shared" si="6650"/>
        <v>#N/A</v>
      </c>
      <c r="N3378" s="16" t="e">
        <f t="shared" si="6651"/>
        <v>#N/A</v>
      </c>
      <c r="O3378" s="16" t="s">
        <v>75</v>
      </c>
      <c r="P3378" s="16" t="str">
        <f t="shared" si="6"/>
        <v/>
      </c>
      <c r="Q3378" s="41" t="e">
        <f t="shared" si="6652"/>
        <v>#N/A</v>
      </c>
      <c r="R3378" s="44"/>
      <c r="S3378" s="44"/>
      <c r="T3378" s="43"/>
      <c r="U3378" s="43" t="str">
        <f t="shared" si="8"/>
        <v>No</v>
      </c>
      <c r="V3378" s="25"/>
      <c r="W3378" s="25"/>
      <c r="X3378" s="25"/>
      <c r="Y3378" s="25"/>
      <c r="Z3378" s="25"/>
    </row>
    <row r="3379" spans="1:26" ht="15.75" customHeight="1" x14ac:dyDescent="0.25">
      <c r="A3379" s="25">
        <v>3377</v>
      </c>
      <c r="B3379" s="37" t="e">
        <f t="shared" ref="B3379:D3379" si="6803">VLOOKUP($A3379,[11]Planeación!$A$1:$O$253,B$1,0)</f>
        <v>#N/A</v>
      </c>
      <c r="C3379" s="38" t="e">
        <f t="shared" si="6803"/>
        <v>#N/A</v>
      </c>
      <c r="D3379" s="39" t="e">
        <f t="shared" si="6803"/>
        <v>#N/A</v>
      </c>
      <c r="E3379" s="16" t="e">
        <f t="shared" si="1"/>
        <v>#N/A</v>
      </c>
      <c r="F3379" s="16" t="e">
        <f t="shared" ref="F3379:K3379" si="6804">VLOOKUP($A3379,[11]Planeación!$A$1:$O$253,F$1,0)</f>
        <v>#N/A</v>
      </c>
      <c r="G3379" s="39" t="e">
        <f t="shared" si="6804"/>
        <v>#N/A</v>
      </c>
      <c r="H3379" s="16" t="e">
        <f t="shared" si="6804"/>
        <v>#N/A</v>
      </c>
      <c r="I3379" s="16" t="e">
        <f t="shared" si="6804"/>
        <v>#N/A</v>
      </c>
      <c r="J3379" s="40" t="e">
        <f t="shared" si="6804"/>
        <v>#N/A</v>
      </c>
      <c r="K3379" s="16" t="e">
        <f t="shared" si="6804"/>
        <v>#N/A</v>
      </c>
      <c r="L3379" s="40" t="e">
        <f t="shared" si="6649"/>
        <v>#N/A</v>
      </c>
      <c r="M3379" s="16" t="e">
        <f t="shared" si="6650"/>
        <v>#N/A</v>
      </c>
      <c r="N3379" s="16" t="e">
        <f t="shared" si="6651"/>
        <v>#N/A</v>
      </c>
      <c r="O3379" s="16" t="s">
        <v>75</v>
      </c>
      <c r="P3379" s="16" t="str">
        <f t="shared" si="6"/>
        <v/>
      </c>
      <c r="Q3379" s="41" t="e">
        <f t="shared" si="6652"/>
        <v>#N/A</v>
      </c>
      <c r="R3379" s="44"/>
      <c r="S3379" s="44"/>
      <c r="T3379" s="43"/>
      <c r="U3379" s="43" t="str">
        <f t="shared" si="8"/>
        <v>No</v>
      </c>
      <c r="V3379" s="25"/>
      <c r="W3379" s="25"/>
      <c r="X3379" s="25"/>
      <c r="Y3379" s="25"/>
      <c r="Z3379" s="25"/>
    </row>
    <row r="3380" spans="1:26" ht="15.75" customHeight="1" x14ac:dyDescent="0.25">
      <c r="A3380" s="25">
        <v>3378</v>
      </c>
      <c r="B3380" s="37" t="e">
        <f t="shared" ref="B3380:D3380" si="6805">VLOOKUP($A3380,[11]Planeación!$A$1:$O$253,B$1,0)</f>
        <v>#N/A</v>
      </c>
      <c r="C3380" s="38" t="e">
        <f t="shared" si="6805"/>
        <v>#N/A</v>
      </c>
      <c r="D3380" s="39" t="e">
        <f t="shared" si="6805"/>
        <v>#N/A</v>
      </c>
      <c r="E3380" s="16" t="e">
        <f t="shared" si="1"/>
        <v>#N/A</v>
      </c>
      <c r="F3380" s="16" t="e">
        <f t="shared" ref="F3380:K3380" si="6806">VLOOKUP($A3380,[11]Planeación!$A$1:$O$253,F$1,0)</f>
        <v>#N/A</v>
      </c>
      <c r="G3380" s="39" t="e">
        <f t="shared" si="6806"/>
        <v>#N/A</v>
      </c>
      <c r="H3380" s="16" t="e">
        <f t="shared" si="6806"/>
        <v>#N/A</v>
      </c>
      <c r="I3380" s="16" t="e">
        <f t="shared" si="6806"/>
        <v>#N/A</v>
      </c>
      <c r="J3380" s="40" t="e">
        <f t="shared" si="6806"/>
        <v>#N/A</v>
      </c>
      <c r="K3380" s="16" t="e">
        <f t="shared" si="6806"/>
        <v>#N/A</v>
      </c>
      <c r="L3380" s="40" t="e">
        <f t="shared" si="6649"/>
        <v>#N/A</v>
      </c>
      <c r="M3380" s="16" t="e">
        <f t="shared" si="6650"/>
        <v>#N/A</v>
      </c>
      <c r="N3380" s="16" t="e">
        <f t="shared" si="6651"/>
        <v>#N/A</v>
      </c>
      <c r="O3380" s="16" t="s">
        <v>75</v>
      </c>
      <c r="P3380" s="16" t="str">
        <f t="shared" si="6"/>
        <v/>
      </c>
      <c r="Q3380" s="41" t="e">
        <f t="shared" si="6652"/>
        <v>#N/A</v>
      </c>
      <c r="R3380" s="44"/>
      <c r="S3380" s="44"/>
      <c r="T3380" s="43"/>
      <c r="U3380" s="43" t="str">
        <f t="shared" si="8"/>
        <v>No</v>
      </c>
      <c r="V3380" s="25"/>
      <c r="W3380" s="25"/>
      <c r="X3380" s="25"/>
      <c r="Y3380" s="25"/>
      <c r="Z3380" s="25"/>
    </row>
    <row r="3381" spans="1:26" ht="15.75" customHeight="1" x14ac:dyDescent="0.25">
      <c r="A3381" s="25">
        <v>3379</v>
      </c>
      <c r="B3381" s="37" t="e">
        <f t="shared" ref="B3381:D3381" si="6807">VLOOKUP($A3381,[11]Planeación!$A$1:$O$253,B$1,0)</f>
        <v>#N/A</v>
      </c>
      <c r="C3381" s="38" t="e">
        <f t="shared" si="6807"/>
        <v>#N/A</v>
      </c>
      <c r="D3381" s="39" t="e">
        <f t="shared" si="6807"/>
        <v>#N/A</v>
      </c>
      <c r="E3381" s="16" t="e">
        <f t="shared" si="1"/>
        <v>#N/A</v>
      </c>
      <c r="F3381" s="16" t="e">
        <f t="shared" ref="F3381:K3381" si="6808">VLOOKUP($A3381,[11]Planeación!$A$1:$O$253,F$1,0)</f>
        <v>#N/A</v>
      </c>
      <c r="G3381" s="39" t="e">
        <f t="shared" si="6808"/>
        <v>#N/A</v>
      </c>
      <c r="H3381" s="16" t="e">
        <f t="shared" si="6808"/>
        <v>#N/A</v>
      </c>
      <c r="I3381" s="16" t="e">
        <f t="shared" si="6808"/>
        <v>#N/A</v>
      </c>
      <c r="J3381" s="40" t="e">
        <f t="shared" si="6808"/>
        <v>#N/A</v>
      </c>
      <c r="K3381" s="16" t="e">
        <f t="shared" si="6808"/>
        <v>#N/A</v>
      </c>
      <c r="L3381" s="40" t="e">
        <f t="shared" si="6649"/>
        <v>#N/A</v>
      </c>
      <c r="M3381" s="16" t="e">
        <f t="shared" si="6650"/>
        <v>#N/A</v>
      </c>
      <c r="N3381" s="16" t="e">
        <f t="shared" si="6651"/>
        <v>#N/A</v>
      </c>
      <c r="O3381" s="16" t="s">
        <v>75</v>
      </c>
      <c r="P3381" s="16" t="str">
        <f t="shared" si="6"/>
        <v/>
      </c>
      <c r="Q3381" s="41" t="e">
        <f t="shared" si="6652"/>
        <v>#N/A</v>
      </c>
      <c r="R3381" s="44"/>
      <c r="S3381" s="44"/>
      <c r="T3381" s="43"/>
      <c r="U3381" s="43" t="str">
        <f t="shared" si="8"/>
        <v>No</v>
      </c>
      <c r="V3381" s="25"/>
      <c r="W3381" s="25"/>
      <c r="X3381" s="25"/>
      <c r="Y3381" s="25"/>
      <c r="Z3381" s="25"/>
    </row>
    <row r="3382" spans="1:26" ht="15.75" customHeight="1" x14ac:dyDescent="0.25">
      <c r="A3382" s="25">
        <v>3380</v>
      </c>
      <c r="B3382" s="37" t="e">
        <f t="shared" ref="B3382:D3382" si="6809">VLOOKUP($A3382,[11]Planeación!$A$1:$O$253,B$1,0)</f>
        <v>#N/A</v>
      </c>
      <c r="C3382" s="38" t="e">
        <f t="shared" si="6809"/>
        <v>#N/A</v>
      </c>
      <c r="D3382" s="39" t="e">
        <f t="shared" si="6809"/>
        <v>#N/A</v>
      </c>
      <c r="E3382" s="16" t="e">
        <f t="shared" si="1"/>
        <v>#N/A</v>
      </c>
      <c r="F3382" s="16" t="e">
        <f t="shared" ref="F3382:K3382" si="6810">VLOOKUP($A3382,[11]Planeación!$A$1:$O$253,F$1,0)</f>
        <v>#N/A</v>
      </c>
      <c r="G3382" s="39" t="e">
        <f t="shared" si="6810"/>
        <v>#N/A</v>
      </c>
      <c r="H3382" s="16" t="e">
        <f t="shared" si="6810"/>
        <v>#N/A</v>
      </c>
      <c r="I3382" s="16" t="e">
        <f t="shared" si="6810"/>
        <v>#N/A</v>
      </c>
      <c r="J3382" s="40" t="e">
        <f t="shared" si="6810"/>
        <v>#N/A</v>
      </c>
      <c r="K3382" s="16" t="e">
        <f t="shared" si="6810"/>
        <v>#N/A</v>
      </c>
      <c r="L3382" s="40" t="e">
        <f t="shared" si="6649"/>
        <v>#N/A</v>
      </c>
      <c r="M3382" s="16" t="e">
        <f t="shared" si="6650"/>
        <v>#N/A</v>
      </c>
      <c r="N3382" s="16" t="e">
        <f t="shared" si="6651"/>
        <v>#N/A</v>
      </c>
      <c r="O3382" s="16" t="s">
        <v>75</v>
      </c>
      <c r="P3382" s="16" t="str">
        <f t="shared" si="6"/>
        <v/>
      </c>
      <c r="Q3382" s="41" t="e">
        <f t="shared" si="6652"/>
        <v>#N/A</v>
      </c>
      <c r="R3382" s="44"/>
      <c r="S3382" s="44"/>
      <c r="T3382" s="43"/>
      <c r="U3382" s="43" t="str">
        <f t="shared" si="8"/>
        <v>No</v>
      </c>
      <c r="V3382" s="25"/>
      <c r="W3382" s="25"/>
      <c r="X3382" s="25"/>
      <c r="Y3382" s="25"/>
      <c r="Z3382" s="25"/>
    </row>
    <row r="3383" spans="1:26" ht="15.75" customHeight="1" x14ac:dyDescent="0.25">
      <c r="A3383" s="25">
        <v>3381</v>
      </c>
      <c r="B3383" s="37" t="e">
        <f t="shared" ref="B3383:D3383" si="6811">VLOOKUP($A3383,[11]Planeación!$A$1:$O$253,B$1,0)</f>
        <v>#N/A</v>
      </c>
      <c r="C3383" s="38" t="e">
        <f t="shared" si="6811"/>
        <v>#N/A</v>
      </c>
      <c r="D3383" s="39" t="e">
        <f t="shared" si="6811"/>
        <v>#N/A</v>
      </c>
      <c r="E3383" s="16" t="e">
        <f t="shared" si="1"/>
        <v>#N/A</v>
      </c>
      <c r="F3383" s="16" t="e">
        <f t="shared" ref="F3383:K3383" si="6812">VLOOKUP($A3383,[11]Planeación!$A$1:$O$253,F$1,0)</f>
        <v>#N/A</v>
      </c>
      <c r="G3383" s="39" t="e">
        <f t="shared" si="6812"/>
        <v>#N/A</v>
      </c>
      <c r="H3383" s="16" t="e">
        <f t="shared" si="6812"/>
        <v>#N/A</v>
      </c>
      <c r="I3383" s="16" t="e">
        <f t="shared" si="6812"/>
        <v>#N/A</v>
      </c>
      <c r="J3383" s="40" t="e">
        <f t="shared" si="6812"/>
        <v>#N/A</v>
      </c>
      <c r="K3383" s="16" t="e">
        <f t="shared" si="6812"/>
        <v>#N/A</v>
      </c>
      <c r="L3383" s="40" t="e">
        <f t="shared" si="6649"/>
        <v>#N/A</v>
      </c>
      <c r="M3383" s="16" t="e">
        <f t="shared" si="6650"/>
        <v>#N/A</v>
      </c>
      <c r="N3383" s="16" t="e">
        <f t="shared" si="6651"/>
        <v>#N/A</v>
      </c>
      <c r="O3383" s="16" t="s">
        <v>75</v>
      </c>
      <c r="P3383" s="16" t="str">
        <f t="shared" si="6"/>
        <v/>
      </c>
      <c r="Q3383" s="41" t="e">
        <f t="shared" si="6652"/>
        <v>#N/A</v>
      </c>
      <c r="R3383" s="44"/>
      <c r="S3383" s="44"/>
      <c r="T3383" s="43"/>
      <c r="U3383" s="43" t="str">
        <f t="shared" si="8"/>
        <v>No</v>
      </c>
      <c r="V3383" s="25"/>
      <c r="W3383" s="25"/>
      <c r="X3383" s="25"/>
      <c r="Y3383" s="25"/>
      <c r="Z3383" s="25"/>
    </row>
    <row r="3384" spans="1:26" ht="15.75" customHeight="1" x14ac:dyDescent="0.25">
      <c r="A3384" s="25">
        <v>3382</v>
      </c>
      <c r="B3384" s="37" t="e">
        <f t="shared" ref="B3384:D3384" si="6813">VLOOKUP($A3384,[11]Planeación!$A$1:$O$253,B$1,0)</f>
        <v>#N/A</v>
      </c>
      <c r="C3384" s="38" t="e">
        <f t="shared" si="6813"/>
        <v>#N/A</v>
      </c>
      <c r="D3384" s="39" t="e">
        <f t="shared" si="6813"/>
        <v>#N/A</v>
      </c>
      <c r="E3384" s="16" t="e">
        <f t="shared" si="1"/>
        <v>#N/A</v>
      </c>
      <c r="F3384" s="16" t="e">
        <f t="shared" ref="F3384:K3384" si="6814">VLOOKUP($A3384,[11]Planeación!$A$1:$O$253,F$1,0)</f>
        <v>#N/A</v>
      </c>
      <c r="G3384" s="39" t="e">
        <f t="shared" si="6814"/>
        <v>#N/A</v>
      </c>
      <c r="H3384" s="16" t="e">
        <f t="shared" si="6814"/>
        <v>#N/A</v>
      </c>
      <c r="I3384" s="16" t="e">
        <f t="shared" si="6814"/>
        <v>#N/A</v>
      </c>
      <c r="J3384" s="40" t="e">
        <f t="shared" si="6814"/>
        <v>#N/A</v>
      </c>
      <c r="K3384" s="16" t="e">
        <f t="shared" si="6814"/>
        <v>#N/A</v>
      </c>
      <c r="L3384" s="40" t="e">
        <f t="shared" si="6649"/>
        <v>#N/A</v>
      </c>
      <c r="M3384" s="16" t="e">
        <f t="shared" si="6650"/>
        <v>#N/A</v>
      </c>
      <c r="N3384" s="16" t="e">
        <f t="shared" si="6651"/>
        <v>#N/A</v>
      </c>
      <c r="O3384" s="16" t="s">
        <v>75</v>
      </c>
      <c r="P3384" s="16" t="str">
        <f t="shared" si="6"/>
        <v/>
      </c>
      <c r="Q3384" s="41" t="e">
        <f t="shared" si="6652"/>
        <v>#N/A</v>
      </c>
      <c r="R3384" s="44"/>
      <c r="S3384" s="44"/>
      <c r="T3384" s="43"/>
      <c r="U3384" s="43" t="str">
        <f t="shared" si="8"/>
        <v>No</v>
      </c>
      <c r="V3384" s="25"/>
      <c r="W3384" s="25"/>
      <c r="X3384" s="25"/>
      <c r="Y3384" s="25"/>
      <c r="Z3384" s="25"/>
    </row>
    <row r="3385" spans="1:26" ht="15.75" customHeight="1" x14ac:dyDescent="0.25">
      <c r="A3385" s="25">
        <v>3383</v>
      </c>
      <c r="B3385" s="37" t="e">
        <f t="shared" ref="B3385:D3385" si="6815">VLOOKUP($A3385,[11]Planeación!$A$1:$O$253,B$1,0)</f>
        <v>#N/A</v>
      </c>
      <c r="C3385" s="38" t="e">
        <f t="shared" si="6815"/>
        <v>#N/A</v>
      </c>
      <c r="D3385" s="39" t="e">
        <f t="shared" si="6815"/>
        <v>#N/A</v>
      </c>
      <c r="E3385" s="16" t="e">
        <f t="shared" si="1"/>
        <v>#N/A</v>
      </c>
      <c r="F3385" s="16" t="e">
        <f t="shared" ref="F3385:K3385" si="6816">VLOOKUP($A3385,[11]Planeación!$A$1:$O$253,F$1,0)</f>
        <v>#N/A</v>
      </c>
      <c r="G3385" s="39" t="e">
        <f t="shared" si="6816"/>
        <v>#N/A</v>
      </c>
      <c r="H3385" s="16" t="e">
        <f t="shared" si="6816"/>
        <v>#N/A</v>
      </c>
      <c r="I3385" s="16" t="e">
        <f t="shared" si="6816"/>
        <v>#N/A</v>
      </c>
      <c r="J3385" s="40" t="e">
        <f t="shared" si="6816"/>
        <v>#N/A</v>
      </c>
      <c r="K3385" s="16" t="e">
        <f t="shared" si="6816"/>
        <v>#N/A</v>
      </c>
      <c r="L3385" s="40" t="e">
        <f t="shared" si="6649"/>
        <v>#N/A</v>
      </c>
      <c r="M3385" s="16" t="e">
        <f t="shared" si="6650"/>
        <v>#N/A</v>
      </c>
      <c r="N3385" s="16" t="e">
        <f t="shared" si="6651"/>
        <v>#N/A</v>
      </c>
      <c r="O3385" s="16" t="s">
        <v>75</v>
      </c>
      <c r="P3385" s="16" t="str">
        <f t="shared" si="6"/>
        <v/>
      </c>
      <c r="Q3385" s="41" t="e">
        <f t="shared" si="6652"/>
        <v>#N/A</v>
      </c>
      <c r="R3385" s="44"/>
      <c r="S3385" s="44"/>
      <c r="T3385" s="43"/>
      <c r="U3385" s="43" t="str">
        <f t="shared" si="8"/>
        <v>No</v>
      </c>
      <c r="V3385" s="25"/>
      <c r="W3385" s="25"/>
      <c r="X3385" s="25"/>
      <c r="Y3385" s="25"/>
      <c r="Z3385" s="25"/>
    </row>
    <row r="3386" spans="1:26" ht="15.75" customHeight="1" x14ac:dyDescent="0.25">
      <c r="A3386" s="25">
        <v>3384</v>
      </c>
      <c r="B3386" s="37" t="e">
        <f t="shared" ref="B3386:D3386" si="6817">VLOOKUP($A3386,[11]Planeación!$A$1:$O$253,B$1,0)</f>
        <v>#N/A</v>
      </c>
      <c r="C3386" s="38" t="e">
        <f t="shared" si="6817"/>
        <v>#N/A</v>
      </c>
      <c r="D3386" s="39" t="e">
        <f t="shared" si="6817"/>
        <v>#N/A</v>
      </c>
      <c r="E3386" s="16" t="e">
        <f t="shared" si="1"/>
        <v>#N/A</v>
      </c>
      <c r="F3386" s="16" t="e">
        <f t="shared" ref="F3386:K3386" si="6818">VLOOKUP($A3386,[11]Planeación!$A$1:$O$253,F$1,0)</f>
        <v>#N/A</v>
      </c>
      <c r="G3386" s="39" t="e">
        <f t="shared" si="6818"/>
        <v>#N/A</v>
      </c>
      <c r="H3386" s="16" t="e">
        <f t="shared" si="6818"/>
        <v>#N/A</v>
      </c>
      <c r="I3386" s="16" t="e">
        <f t="shared" si="6818"/>
        <v>#N/A</v>
      </c>
      <c r="J3386" s="40" t="e">
        <f t="shared" si="6818"/>
        <v>#N/A</v>
      </c>
      <c r="K3386" s="16" t="e">
        <f t="shared" si="6818"/>
        <v>#N/A</v>
      </c>
      <c r="L3386" s="40" t="e">
        <f t="shared" si="6649"/>
        <v>#N/A</v>
      </c>
      <c r="M3386" s="16" t="e">
        <f t="shared" si="6650"/>
        <v>#N/A</v>
      </c>
      <c r="N3386" s="16" t="e">
        <f t="shared" si="6651"/>
        <v>#N/A</v>
      </c>
      <c r="O3386" s="16" t="s">
        <v>75</v>
      </c>
      <c r="P3386" s="16" t="str">
        <f t="shared" si="6"/>
        <v/>
      </c>
      <c r="Q3386" s="41" t="e">
        <f t="shared" si="6652"/>
        <v>#N/A</v>
      </c>
      <c r="R3386" s="44"/>
      <c r="S3386" s="44"/>
      <c r="T3386" s="43"/>
      <c r="U3386" s="43" t="str">
        <f t="shared" si="8"/>
        <v>No</v>
      </c>
      <c r="V3386" s="25"/>
      <c r="W3386" s="25"/>
      <c r="X3386" s="25"/>
      <c r="Y3386" s="25"/>
      <c r="Z3386" s="25"/>
    </row>
    <row r="3387" spans="1:26" ht="15.75" customHeight="1" x14ac:dyDescent="0.25">
      <c r="A3387" s="25">
        <v>3385</v>
      </c>
      <c r="B3387" s="37" t="e">
        <f t="shared" ref="B3387:D3387" si="6819">VLOOKUP($A3387,[11]Planeación!$A$1:$O$253,B$1,0)</f>
        <v>#N/A</v>
      </c>
      <c r="C3387" s="38" t="e">
        <f t="shared" si="6819"/>
        <v>#N/A</v>
      </c>
      <c r="D3387" s="39" t="e">
        <f t="shared" si="6819"/>
        <v>#N/A</v>
      </c>
      <c r="E3387" s="16" t="e">
        <f t="shared" si="1"/>
        <v>#N/A</v>
      </c>
      <c r="F3387" s="16" t="e">
        <f t="shared" ref="F3387:K3387" si="6820">VLOOKUP($A3387,[11]Planeación!$A$1:$O$253,F$1,0)</f>
        <v>#N/A</v>
      </c>
      <c r="G3387" s="39" t="e">
        <f t="shared" si="6820"/>
        <v>#N/A</v>
      </c>
      <c r="H3387" s="16" t="e">
        <f t="shared" si="6820"/>
        <v>#N/A</v>
      </c>
      <c r="I3387" s="16" t="e">
        <f t="shared" si="6820"/>
        <v>#N/A</v>
      </c>
      <c r="J3387" s="40" t="e">
        <f t="shared" si="6820"/>
        <v>#N/A</v>
      </c>
      <c r="K3387" s="16" t="e">
        <f t="shared" si="6820"/>
        <v>#N/A</v>
      </c>
      <c r="L3387" s="40" t="e">
        <f t="shared" si="6649"/>
        <v>#N/A</v>
      </c>
      <c r="M3387" s="16" t="e">
        <f t="shared" si="6650"/>
        <v>#N/A</v>
      </c>
      <c r="N3387" s="16" t="e">
        <f t="shared" si="6651"/>
        <v>#N/A</v>
      </c>
      <c r="O3387" s="16" t="s">
        <v>75</v>
      </c>
      <c r="P3387" s="16" t="str">
        <f t="shared" si="6"/>
        <v/>
      </c>
      <c r="Q3387" s="41" t="e">
        <f t="shared" si="6652"/>
        <v>#N/A</v>
      </c>
      <c r="R3387" s="44"/>
      <c r="S3387" s="44"/>
      <c r="T3387" s="43"/>
      <c r="U3387" s="43" t="str">
        <f t="shared" si="8"/>
        <v>No</v>
      </c>
      <c r="V3387" s="25"/>
      <c r="W3387" s="25"/>
      <c r="X3387" s="25"/>
      <c r="Y3387" s="25"/>
      <c r="Z3387" s="25"/>
    </row>
    <row r="3388" spans="1:26" ht="15.75" customHeight="1" x14ac:dyDescent="0.25">
      <c r="A3388" s="25">
        <v>3386</v>
      </c>
      <c r="B3388" s="37" t="e">
        <f t="shared" ref="B3388:D3388" si="6821">VLOOKUP($A3388,[11]Planeación!$A$1:$O$253,B$1,0)</f>
        <v>#N/A</v>
      </c>
      <c r="C3388" s="38" t="e">
        <f t="shared" si="6821"/>
        <v>#N/A</v>
      </c>
      <c r="D3388" s="39" t="e">
        <f t="shared" si="6821"/>
        <v>#N/A</v>
      </c>
      <c r="E3388" s="16" t="e">
        <f t="shared" si="1"/>
        <v>#N/A</v>
      </c>
      <c r="F3388" s="16" t="e">
        <f t="shared" ref="F3388:K3388" si="6822">VLOOKUP($A3388,[11]Planeación!$A$1:$O$253,F$1,0)</f>
        <v>#N/A</v>
      </c>
      <c r="G3388" s="39" t="e">
        <f t="shared" si="6822"/>
        <v>#N/A</v>
      </c>
      <c r="H3388" s="16" t="e">
        <f t="shared" si="6822"/>
        <v>#N/A</v>
      </c>
      <c r="I3388" s="16" t="e">
        <f t="shared" si="6822"/>
        <v>#N/A</v>
      </c>
      <c r="J3388" s="40" t="e">
        <f t="shared" si="6822"/>
        <v>#N/A</v>
      </c>
      <c r="K3388" s="16" t="e">
        <f t="shared" si="6822"/>
        <v>#N/A</v>
      </c>
      <c r="L3388" s="40" t="e">
        <f t="shared" si="6649"/>
        <v>#N/A</v>
      </c>
      <c r="M3388" s="16" t="e">
        <f t="shared" si="6650"/>
        <v>#N/A</v>
      </c>
      <c r="N3388" s="16" t="e">
        <f t="shared" si="6651"/>
        <v>#N/A</v>
      </c>
      <c r="O3388" s="16" t="s">
        <v>75</v>
      </c>
      <c r="P3388" s="16" t="str">
        <f t="shared" si="6"/>
        <v/>
      </c>
      <c r="Q3388" s="41" t="e">
        <f t="shared" si="6652"/>
        <v>#N/A</v>
      </c>
      <c r="R3388" s="44"/>
      <c r="S3388" s="44"/>
      <c r="T3388" s="43"/>
      <c r="U3388" s="43" t="str">
        <f t="shared" si="8"/>
        <v>No</v>
      </c>
      <c r="V3388" s="25"/>
      <c r="W3388" s="25"/>
      <c r="X3388" s="25"/>
      <c r="Y3388" s="25"/>
      <c r="Z3388" s="25"/>
    </row>
    <row r="3389" spans="1:26" ht="15.75" customHeight="1" x14ac:dyDescent="0.25">
      <c r="A3389" s="25">
        <v>3387</v>
      </c>
      <c r="B3389" s="37" t="e">
        <f t="shared" ref="B3389:D3389" si="6823">VLOOKUP($A3389,[11]Planeación!$A$1:$O$253,B$1,0)</f>
        <v>#N/A</v>
      </c>
      <c r="C3389" s="38" t="e">
        <f t="shared" si="6823"/>
        <v>#N/A</v>
      </c>
      <c r="D3389" s="39" t="e">
        <f t="shared" si="6823"/>
        <v>#N/A</v>
      </c>
      <c r="E3389" s="16" t="e">
        <f t="shared" si="1"/>
        <v>#N/A</v>
      </c>
      <c r="F3389" s="16" t="e">
        <f t="shared" ref="F3389:K3389" si="6824">VLOOKUP($A3389,[11]Planeación!$A$1:$O$253,F$1,0)</f>
        <v>#N/A</v>
      </c>
      <c r="G3389" s="39" t="e">
        <f t="shared" si="6824"/>
        <v>#N/A</v>
      </c>
      <c r="H3389" s="16" t="e">
        <f t="shared" si="6824"/>
        <v>#N/A</v>
      </c>
      <c r="I3389" s="16" t="e">
        <f t="shared" si="6824"/>
        <v>#N/A</v>
      </c>
      <c r="J3389" s="40" t="e">
        <f t="shared" si="6824"/>
        <v>#N/A</v>
      </c>
      <c r="K3389" s="16" t="e">
        <f t="shared" si="6824"/>
        <v>#N/A</v>
      </c>
      <c r="L3389" s="40" t="e">
        <f t="shared" si="6649"/>
        <v>#N/A</v>
      </c>
      <c r="M3389" s="16" t="e">
        <f t="shared" si="6650"/>
        <v>#N/A</v>
      </c>
      <c r="N3389" s="16" t="e">
        <f t="shared" si="6651"/>
        <v>#N/A</v>
      </c>
      <c r="O3389" s="16" t="s">
        <v>75</v>
      </c>
      <c r="P3389" s="16" t="str">
        <f t="shared" si="6"/>
        <v/>
      </c>
      <c r="Q3389" s="41" t="e">
        <f t="shared" si="6652"/>
        <v>#N/A</v>
      </c>
      <c r="R3389" s="44"/>
      <c r="S3389" s="44"/>
      <c r="T3389" s="43"/>
      <c r="U3389" s="43" t="str">
        <f t="shared" si="8"/>
        <v>No</v>
      </c>
      <c r="V3389" s="25"/>
      <c r="W3389" s="25"/>
      <c r="X3389" s="25"/>
      <c r="Y3389" s="25"/>
      <c r="Z3389" s="25"/>
    </row>
    <row r="3390" spans="1:26" ht="15.75" customHeight="1" x14ac:dyDescent="0.25">
      <c r="A3390" s="25">
        <v>3388</v>
      </c>
      <c r="B3390" s="37" t="e">
        <f t="shared" ref="B3390:D3390" si="6825">VLOOKUP($A3390,[11]Planeación!$A$1:$O$253,B$1,0)</f>
        <v>#N/A</v>
      </c>
      <c r="C3390" s="38" t="e">
        <f t="shared" si="6825"/>
        <v>#N/A</v>
      </c>
      <c r="D3390" s="39" t="e">
        <f t="shared" si="6825"/>
        <v>#N/A</v>
      </c>
      <c r="E3390" s="16" t="e">
        <f t="shared" si="1"/>
        <v>#N/A</v>
      </c>
      <c r="F3390" s="16" t="e">
        <f t="shared" ref="F3390:K3390" si="6826">VLOOKUP($A3390,[11]Planeación!$A$1:$O$253,F$1,0)</f>
        <v>#N/A</v>
      </c>
      <c r="G3390" s="39" t="e">
        <f t="shared" si="6826"/>
        <v>#N/A</v>
      </c>
      <c r="H3390" s="16" t="e">
        <f t="shared" si="6826"/>
        <v>#N/A</v>
      </c>
      <c r="I3390" s="16" t="e">
        <f t="shared" si="6826"/>
        <v>#N/A</v>
      </c>
      <c r="J3390" s="40" t="e">
        <f t="shared" si="6826"/>
        <v>#N/A</v>
      </c>
      <c r="K3390" s="16" t="e">
        <f t="shared" si="6826"/>
        <v>#N/A</v>
      </c>
      <c r="L3390" s="40" t="e">
        <f t="shared" si="6649"/>
        <v>#N/A</v>
      </c>
      <c r="M3390" s="16" t="e">
        <f t="shared" si="6650"/>
        <v>#N/A</v>
      </c>
      <c r="N3390" s="16" t="e">
        <f t="shared" si="6651"/>
        <v>#N/A</v>
      </c>
      <c r="O3390" s="16" t="s">
        <v>75</v>
      </c>
      <c r="P3390" s="16" t="str">
        <f t="shared" si="6"/>
        <v/>
      </c>
      <c r="Q3390" s="41" t="e">
        <f t="shared" si="6652"/>
        <v>#N/A</v>
      </c>
      <c r="R3390" s="44"/>
      <c r="S3390" s="44"/>
      <c r="T3390" s="43"/>
      <c r="U3390" s="43" t="str">
        <f t="shared" si="8"/>
        <v>No</v>
      </c>
      <c r="V3390" s="25"/>
      <c r="W3390" s="25"/>
      <c r="X3390" s="25"/>
      <c r="Y3390" s="25"/>
      <c r="Z3390" s="25"/>
    </row>
    <row r="3391" spans="1:26" ht="15.75" customHeight="1" x14ac:dyDescent="0.25">
      <c r="A3391" s="25">
        <v>3389</v>
      </c>
      <c r="B3391" s="37" t="e">
        <f t="shared" ref="B3391:D3391" si="6827">VLOOKUP($A3391,[11]Planeación!$A$1:$O$253,B$1,0)</f>
        <v>#N/A</v>
      </c>
      <c r="C3391" s="38" t="e">
        <f t="shared" si="6827"/>
        <v>#N/A</v>
      </c>
      <c r="D3391" s="39" t="e">
        <f t="shared" si="6827"/>
        <v>#N/A</v>
      </c>
      <c r="E3391" s="16" t="e">
        <f t="shared" si="1"/>
        <v>#N/A</v>
      </c>
      <c r="F3391" s="16" t="e">
        <f t="shared" ref="F3391:K3391" si="6828">VLOOKUP($A3391,[11]Planeación!$A$1:$O$253,F$1,0)</f>
        <v>#N/A</v>
      </c>
      <c r="G3391" s="39" t="e">
        <f t="shared" si="6828"/>
        <v>#N/A</v>
      </c>
      <c r="H3391" s="16" t="e">
        <f t="shared" si="6828"/>
        <v>#N/A</v>
      </c>
      <c r="I3391" s="16" t="e">
        <f t="shared" si="6828"/>
        <v>#N/A</v>
      </c>
      <c r="J3391" s="40" t="e">
        <f t="shared" si="6828"/>
        <v>#N/A</v>
      </c>
      <c r="K3391" s="16" t="e">
        <f t="shared" si="6828"/>
        <v>#N/A</v>
      </c>
      <c r="L3391" s="40" t="e">
        <f t="shared" si="6649"/>
        <v>#N/A</v>
      </c>
      <c r="M3391" s="16" t="e">
        <f t="shared" si="6650"/>
        <v>#N/A</v>
      </c>
      <c r="N3391" s="16" t="e">
        <f t="shared" si="6651"/>
        <v>#N/A</v>
      </c>
      <c r="O3391" s="16" t="s">
        <v>75</v>
      </c>
      <c r="P3391" s="16" t="str">
        <f t="shared" si="6"/>
        <v/>
      </c>
      <c r="Q3391" s="41" t="e">
        <f t="shared" si="6652"/>
        <v>#N/A</v>
      </c>
      <c r="R3391" s="44"/>
      <c r="S3391" s="44"/>
      <c r="T3391" s="43"/>
      <c r="U3391" s="43" t="str">
        <f t="shared" si="8"/>
        <v>No</v>
      </c>
      <c r="V3391" s="25"/>
      <c r="W3391" s="25"/>
      <c r="X3391" s="25"/>
      <c r="Y3391" s="25"/>
      <c r="Z3391" s="25"/>
    </row>
    <row r="3392" spans="1:26" ht="15.75" customHeight="1" x14ac:dyDescent="0.25">
      <c r="A3392" s="25">
        <v>3390</v>
      </c>
      <c r="B3392" s="37" t="e">
        <f t="shared" ref="B3392:D3392" si="6829">VLOOKUP($A3392,[11]Planeación!$A$1:$O$253,B$1,0)</f>
        <v>#N/A</v>
      </c>
      <c r="C3392" s="38" t="e">
        <f t="shared" si="6829"/>
        <v>#N/A</v>
      </c>
      <c r="D3392" s="39" t="e">
        <f t="shared" si="6829"/>
        <v>#N/A</v>
      </c>
      <c r="E3392" s="16" t="e">
        <f t="shared" si="1"/>
        <v>#N/A</v>
      </c>
      <c r="F3392" s="16" t="e">
        <f t="shared" ref="F3392:K3392" si="6830">VLOOKUP($A3392,[11]Planeación!$A$1:$O$253,F$1,0)</f>
        <v>#N/A</v>
      </c>
      <c r="G3392" s="39" t="e">
        <f t="shared" si="6830"/>
        <v>#N/A</v>
      </c>
      <c r="H3392" s="16" t="e">
        <f t="shared" si="6830"/>
        <v>#N/A</v>
      </c>
      <c r="I3392" s="16" t="e">
        <f t="shared" si="6830"/>
        <v>#N/A</v>
      </c>
      <c r="J3392" s="40" t="e">
        <f t="shared" si="6830"/>
        <v>#N/A</v>
      </c>
      <c r="K3392" s="16" t="e">
        <f t="shared" si="6830"/>
        <v>#N/A</v>
      </c>
      <c r="L3392" s="40" t="e">
        <f t="shared" si="6649"/>
        <v>#N/A</v>
      </c>
      <c r="M3392" s="16" t="e">
        <f t="shared" si="6650"/>
        <v>#N/A</v>
      </c>
      <c r="N3392" s="16" t="e">
        <f t="shared" si="6651"/>
        <v>#N/A</v>
      </c>
      <c r="O3392" s="16" t="s">
        <v>75</v>
      </c>
      <c r="P3392" s="16" t="str">
        <f t="shared" si="6"/>
        <v/>
      </c>
      <c r="Q3392" s="41" t="e">
        <f t="shared" si="6652"/>
        <v>#N/A</v>
      </c>
      <c r="R3392" s="44"/>
      <c r="S3392" s="44"/>
      <c r="T3392" s="43"/>
      <c r="U3392" s="43" t="str">
        <f t="shared" si="8"/>
        <v>No</v>
      </c>
      <c r="V3392" s="25"/>
      <c r="W3392" s="25"/>
      <c r="X3392" s="25"/>
      <c r="Y3392" s="25"/>
      <c r="Z3392" s="25"/>
    </row>
    <row r="3393" spans="1:26" ht="15.75" customHeight="1" x14ac:dyDescent="0.25">
      <c r="A3393" s="25">
        <v>3391</v>
      </c>
      <c r="B3393" s="37" t="e">
        <f t="shared" ref="B3393:D3393" si="6831">VLOOKUP($A3393,[11]Planeación!$A$1:$O$253,B$1,0)</f>
        <v>#N/A</v>
      </c>
      <c r="C3393" s="38" t="e">
        <f t="shared" si="6831"/>
        <v>#N/A</v>
      </c>
      <c r="D3393" s="39" t="e">
        <f t="shared" si="6831"/>
        <v>#N/A</v>
      </c>
      <c r="E3393" s="16" t="e">
        <f t="shared" si="1"/>
        <v>#N/A</v>
      </c>
      <c r="F3393" s="16" t="e">
        <f t="shared" ref="F3393:K3393" si="6832">VLOOKUP($A3393,[11]Planeación!$A$1:$O$253,F$1,0)</f>
        <v>#N/A</v>
      </c>
      <c r="G3393" s="39" t="e">
        <f t="shared" si="6832"/>
        <v>#N/A</v>
      </c>
      <c r="H3393" s="16" t="e">
        <f t="shared" si="6832"/>
        <v>#N/A</v>
      </c>
      <c r="I3393" s="16" t="e">
        <f t="shared" si="6832"/>
        <v>#N/A</v>
      </c>
      <c r="J3393" s="40" t="e">
        <f t="shared" si="6832"/>
        <v>#N/A</v>
      </c>
      <c r="K3393" s="16" t="e">
        <f t="shared" si="6832"/>
        <v>#N/A</v>
      </c>
      <c r="L3393" s="40" t="e">
        <f t="shared" si="6649"/>
        <v>#N/A</v>
      </c>
      <c r="M3393" s="16" t="e">
        <f t="shared" si="6650"/>
        <v>#N/A</v>
      </c>
      <c r="N3393" s="16" t="e">
        <f t="shared" si="6651"/>
        <v>#N/A</v>
      </c>
      <c r="O3393" s="16" t="s">
        <v>75</v>
      </c>
      <c r="P3393" s="16" t="str">
        <f t="shared" si="6"/>
        <v/>
      </c>
      <c r="Q3393" s="41" t="e">
        <f t="shared" si="6652"/>
        <v>#N/A</v>
      </c>
      <c r="R3393" s="44"/>
      <c r="S3393" s="44"/>
      <c r="T3393" s="43"/>
      <c r="U3393" s="43" t="str">
        <f t="shared" si="8"/>
        <v>No</v>
      </c>
      <c r="V3393" s="25"/>
      <c r="W3393" s="25"/>
      <c r="X3393" s="25"/>
      <c r="Y3393" s="25"/>
      <c r="Z3393" s="25"/>
    </row>
    <row r="3394" spans="1:26" ht="15.75" customHeight="1" x14ac:dyDescent="0.25">
      <c r="A3394" s="25">
        <v>3392</v>
      </c>
      <c r="B3394" s="37" t="e">
        <f t="shared" ref="B3394:D3394" si="6833">VLOOKUP($A3394,[11]Planeación!$A$1:$O$253,B$1,0)</f>
        <v>#N/A</v>
      </c>
      <c r="C3394" s="38" t="e">
        <f t="shared" si="6833"/>
        <v>#N/A</v>
      </c>
      <c r="D3394" s="39" t="e">
        <f t="shared" si="6833"/>
        <v>#N/A</v>
      </c>
      <c r="E3394" s="16" t="e">
        <f t="shared" si="1"/>
        <v>#N/A</v>
      </c>
      <c r="F3394" s="16" t="e">
        <f t="shared" ref="F3394:K3394" si="6834">VLOOKUP($A3394,[11]Planeación!$A$1:$O$253,F$1,0)</f>
        <v>#N/A</v>
      </c>
      <c r="G3394" s="39" t="e">
        <f t="shared" si="6834"/>
        <v>#N/A</v>
      </c>
      <c r="H3394" s="16" t="e">
        <f t="shared" si="6834"/>
        <v>#N/A</v>
      </c>
      <c r="I3394" s="16" t="e">
        <f t="shared" si="6834"/>
        <v>#N/A</v>
      </c>
      <c r="J3394" s="40" t="e">
        <f t="shared" si="6834"/>
        <v>#N/A</v>
      </c>
      <c r="K3394" s="16" t="e">
        <f t="shared" si="6834"/>
        <v>#N/A</v>
      </c>
      <c r="L3394" s="40" t="e">
        <f t="shared" si="6649"/>
        <v>#N/A</v>
      </c>
      <c r="M3394" s="16" t="e">
        <f t="shared" si="6650"/>
        <v>#N/A</v>
      </c>
      <c r="N3394" s="16" t="e">
        <f t="shared" si="6651"/>
        <v>#N/A</v>
      </c>
      <c r="O3394" s="16" t="s">
        <v>75</v>
      </c>
      <c r="P3394" s="16" t="str">
        <f t="shared" si="6"/>
        <v/>
      </c>
      <c r="Q3394" s="41" t="e">
        <f t="shared" si="6652"/>
        <v>#N/A</v>
      </c>
      <c r="R3394" s="44"/>
      <c r="S3394" s="44"/>
      <c r="T3394" s="43"/>
      <c r="U3394" s="43" t="str">
        <f t="shared" si="8"/>
        <v>No</v>
      </c>
      <c r="V3394" s="25"/>
      <c r="W3394" s="25"/>
      <c r="X3394" s="25"/>
      <c r="Y3394" s="25"/>
      <c r="Z3394" s="25"/>
    </row>
    <row r="3395" spans="1:26" ht="15.75" customHeight="1" x14ac:dyDescent="0.25">
      <c r="A3395" s="25">
        <v>3393</v>
      </c>
      <c r="B3395" s="37" t="e">
        <f t="shared" ref="B3395:D3395" si="6835">VLOOKUP($A3395,[11]Planeación!$A$1:$O$253,B$1,0)</f>
        <v>#N/A</v>
      </c>
      <c r="C3395" s="38" t="e">
        <f t="shared" si="6835"/>
        <v>#N/A</v>
      </c>
      <c r="D3395" s="39" t="e">
        <f t="shared" si="6835"/>
        <v>#N/A</v>
      </c>
      <c r="E3395" s="16" t="e">
        <f t="shared" si="1"/>
        <v>#N/A</v>
      </c>
      <c r="F3395" s="16" t="e">
        <f t="shared" ref="F3395:K3395" si="6836">VLOOKUP($A3395,[11]Planeación!$A$1:$O$253,F$1,0)</f>
        <v>#N/A</v>
      </c>
      <c r="G3395" s="39" t="e">
        <f t="shared" si="6836"/>
        <v>#N/A</v>
      </c>
      <c r="H3395" s="16" t="e">
        <f t="shared" si="6836"/>
        <v>#N/A</v>
      </c>
      <c r="I3395" s="16" t="e">
        <f t="shared" si="6836"/>
        <v>#N/A</v>
      </c>
      <c r="J3395" s="40" t="e">
        <f t="shared" si="6836"/>
        <v>#N/A</v>
      </c>
      <c r="K3395" s="16" t="e">
        <f t="shared" si="6836"/>
        <v>#N/A</v>
      </c>
      <c r="L3395" s="40" t="e">
        <f t="shared" si="6649"/>
        <v>#N/A</v>
      </c>
      <c r="M3395" s="16" t="e">
        <f t="shared" si="6650"/>
        <v>#N/A</v>
      </c>
      <c r="N3395" s="16" t="e">
        <f t="shared" si="6651"/>
        <v>#N/A</v>
      </c>
      <c r="O3395" s="16" t="s">
        <v>75</v>
      </c>
      <c r="P3395" s="16" t="str">
        <f t="shared" si="6"/>
        <v/>
      </c>
      <c r="Q3395" s="41" t="e">
        <f t="shared" si="6652"/>
        <v>#N/A</v>
      </c>
      <c r="R3395" s="44"/>
      <c r="S3395" s="44"/>
      <c r="T3395" s="43"/>
      <c r="U3395" s="43" t="str">
        <f t="shared" si="8"/>
        <v>No</v>
      </c>
      <c r="V3395" s="25"/>
      <c r="W3395" s="25"/>
      <c r="X3395" s="25"/>
      <c r="Y3395" s="25"/>
      <c r="Z3395" s="25"/>
    </row>
    <row r="3396" spans="1:26" ht="15.75" customHeight="1" x14ac:dyDescent="0.25">
      <c r="A3396" s="25">
        <v>3394</v>
      </c>
      <c r="B3396" s="37" t="e">
        <f t="shared" ref="B3396:D3396" si="6837">VLOOKUP($A3396,[11]Planeación!$A$1:$O$253,B$1,0)</f>
        <v>#N/A</v>
      </c>
      <c r="C3396" s="38" t="e">
        <f t="shared" si="6837"/>
        <v>#N/A</v>
      </c>
      <c r="D3396" s="39" t="e">
        <f t="shared" si="6837"/>
        <v>#N/A</v>
      </c>
      <c r="E3396" s="16" t="e">
        <f t="shared" si="1"/>
        <v>#N/A</v>
      </c>
      <c r="F3396" s="16" t="e">
        <f t="shared" ref="F3396:K3396" si="6838">VLOOKUP($A3396,[11]Planeación!$A$1:$O$253,F$1,0)</f>
        <v>#N/A</v>
      </c>
      <c r="G3396" s="39" t="e">
        <f t="shared" si="6838"/>
        <v>#N/A</v>
      </c>
      <c r="H3396" s="16" t="e">
        <f t="shared" si="6838"/>
        <v>#N/A</v>
      </c>
      <c r="I3396" s="16" t="e">
        <f t="shared" si="6838"/>
        <v>#N/A</v>
      </c>
      <c r="J3396" s="40" t="e">
        <f t="shared" si="6838"/>
        <v>#N/A</v>
      </c>
      <c r="K3396" s="16" t="e">
        <f t="shared" si="6838"/>
        <v>#N/A</v>
      </c>
      <c r="L3396" s="40" t="e">
        <f t="shared" si="6649"/>
        <v>#N/A</v>
      </c>
      <c r="M3396" s="16" t="e">
        <f t="shared" si="6650"/>
        <v>#N/A</v>
      </c>
      <c r="N3396" s="16" t="e">
        <f t="shared" si="6651"/>
        <v>#N/A</v>
      </c>
      <c r="O3396" s="16" t="s">
        <v>75</v>
      </c>
      <c r="P3396" s="16" t="str">
        <f t="shared" si="6"/>
        <v/>
      </c>
      <c r="Q3396" s="41" t="e">
        <f t="shared" si="6652"/>
        <v>#N/A</v>
      </c>
      <c r="R3396" s="44"/>
      <c r="S3396" s="44"/>
      <c r="T3396" s="43"/>
      <c r="U3396" s="43" t="str">
        <f t="shared" si="8"/>
        <v>No</v>
      </c>
      <c r="V3396" s="25"/>
      <c r="W3396" s="25"/>
      <c r="X3396" s="25"/>
      <c r="Y3396" s="25"/>
      <c r="Z3396" s="25"/>
    </row>
    <row r="3397" spans="1:26" ht="15.75" customHeight="1" x14ac:dyDescent="0.25">
      <c r="A3397" s="25">
        <v>3395</v>
      </c>
      <c r="B3397" s="37" t="e">
        <f t="shared" ref="B3397:D3397" si="6839">VLOOKUP($A3397,[11]Planeación!$A$1:$O$253,B$1,0)</f>
        <v>#N/A</v>
      </c>
      <c r="C3397" s="38" t="e">
        <f t="shared" si="6839"/>
        <v>#N/A</v>
      </c>
      <c r="D3397" s="39" t="e">
        <f t="shared" si="6839"/>
        <v>#N/A</v>
      </c>
      <c r="E3397" s="16" t="e">
        <f t="shared" si="1"/>
        <v>#N/A</v>
      </c>
      <c r="F3397" s="16" t="e">
        <f t="shared" ref="F3397:K3397" si="6840">VLOOKUP($A3397,[11]Planeación!$A$1:$O$253,F$1,0)</f>
        <v>#N/A</v>
      </c>
      <c r="G3397" s="39" t="e">
        <f t="shared" si="6840"/>
        <v>#N/A</v>
      </c>
      <c r="H3397" s="16" t="e">
        <f t="shared" si="6840"/>
        <v>#N/A</v>
      </c>
      <c r="I3397" s="16" t="e">
        <f t="shared" si="6840"/>
        <v>#N/A</v>
      </c>
      <c r="J3397" s="40" t="e">
        <f t="shared" si="6840"/>
        <v>#N/A</v>
      </c>
      <c r="K3397" s="16" t="e">
        <f t="shared" si="6840"/>
        <v>#N/A</v>
      </c>
      <c r="L3397" s="40" t="e">
        <f t="shared" si="6649"/>
        <v>#N/A</v>
      </c>
      <c r="M3397" s="16" t="e">
        <f t="shared" si="6650"/>
        <v>#N/A</v>
      </c>
      <c r="N3397" s="16" t="e">
        <f t="shared" si="6651"/>
        <v>#N/A</v>
      </c>
      <c r="O3397" s="16" t="s">
        <v>75</v>
      </c>
      <c r="P3397" s="16" t="str">
        <f t="shared" si="6"/>
        <v/>
      </c>
      <c r="Q3397" s="41" t="e">
        <f t="shared" si="6652"/>
        <v>#N/A</v>
      </c>
      <c r="R3397" s="44"/>
      <c r="S3397" s="44"/>
      <c r="T3397" s="43"/>
      <c r="U3397" s="43" t="str">
        <f t="shared" si="8"/>
        <v>No</v>
      </c>
      <c r="V3397" s="25"/>
      <c r="W3397" s="25"/>
      <c r="X3397" s="25"/>
      <c r="Y3397" s="25"/>
      <c r="Z3397" s="25"/>
    </row>
    <row r="3398" spans="1:26" ht="15.75" customHeight="1" x14ac:dyDescent="0.25">
      <c r="A3398" s="25">
        <v>3396</v>
      </c>
      <c r="B3398" s="37" t="e">
        <f t="shared" ref="B3398:D3398" si="6841">VLOOKUP($A3398,[11]Planeación!$A$1:$O$253,B$1,0)</f>
        <v>#N/A</v>
      </c>
      <c r="C3398" s="38" t="e">
        <f t="shared" si="6841"/>
        <v>#N/A</v>
      </c>
      <c r="D3398" s="39" t="e">
        <f t="shared" si="6841"/>
        <v>#N/A</v>
      </c>
      <c r="E3398" s="16" t="e">
        <f t="shared" si="1"/>
        <v>#N/A</v>
      </c>
      <c r="F3398" s="16" t="e">
        <f t="shared" ref="F3398:K3398" si="6842">VLOOKUP($A3398,[11]Planeación!$A$1:$O$253,F$1,0)</f>
        <v>#N/A</v>
      </c>
      <c r="G3398" s="39" t="e">
        <f t="shared" si="6842"/>
        <v>#N/A</v>
      </c>
      <c r="H3398" s="16" t="e">
        <f t="shared" si="6842"/>
        <v>#N/A</v>
      </c>
      <c r="I3398" s="16" t="e">
        <f t="shared" si="6842"/>
        <v>#N/A</v>
      </c>
      <c r="J3398" s="40" t="e">
        <f t="shared" si="6842"/>
        <v>#N/A</v>
      </c>
      <c r="K3398" s="16" t="e">
        <f t="shared" si="6842"/>
        <v>#N/A</v>
      </c>
      <c r="L3398" s="40" t="e">
        <f t="shared" si="6649"/>
        <v>#N/A</v>
      </c>
      <c r="M3398" s="16" t="e">
        <f t="shared" si="6650"/>
        <v>#N/A</v>
      </c>
      <c r="N3398" s="16" t="e">
        <f t="shared" si="6651"/>
        <v>#N/A</v>
      </c>
      <c r="O3398" s="16" t="s">
        <v>75</v>
      </c>
      <c r="P3398" s="16" t="str">
        <f t="shared" si="6"/>
        <v/>
      </c>
      <c r="Q3398" s="41" t="e">
        <f t="shared" si="6652"/>
        <v>#N/A</v>
      </c>
      <c r="R3398" s="44"/>
      <c r="S3398" s="44"/>
      <c r="T3398" s="43"/>
      <c r="U3398" s="43" t="str">
        <f t="shared" si="8"/>
        <v>No</v>
      </c>
      <c r="V3398" s="25"/>
      <c r="W3398" s="25"/>
      <c r="X3398" s="25"/>
      <c r="Y3398" s="25"/>
      <c r="Z3398" s="25"/>
    </row>
    <row r="3399" spans="1:26" ht="15.75" customHeight="1" x14ac:dyDescent="0.25">
      <c r="A3399" s="25">
        <v>3397</v>
      </c>
      <c r="B3399" s="37" t="e">
        <f t="shared" ref="B3399:D3399" si="6843">VLOOKUP($A3399,[11]Planeación!$A$1:$O$253,B$1,0)</f>
        <v>#N/A</v>
      </c>
      <c r="C3399" s="38" t="e">
        <f t="shared" si="6843"/>
        <v>#N/A</v>
      </c>
      <c r="D3399" s="39" t="e">
        <f t="shared" si="6843"/>
        <v>#N/A</v>
      </c>
      <c r="E3399" s="16" t="e">
        <f t="shared" si="1"/>
        <v>#N/A</v>
      </c>
      <c r="F3399" s="16" t="e">
        <f t="shared" ref="F3399:K3399" si="6844">VLOOKUP($A3399,[11]Planeación!$A$1:$O$253,F$1,0)</f>
        <v>#N/A</v>
      </c>
      <c r="G3399" s="39" t="e">
        <f t="shared" si="6844"/>
        <v>#N/A</v>
      </c>
      <c r="H3399" s="16" t="e">
        <f t="shared" si="6844"/>
        <v>#N/A</v>
      </c>
      <c r="I3399" s="16" t="e">
        <f t="shared" si="6844"/>
        <v>#N/A</v>
      </c>
      <c r="J3399" s="40" t="e">
        <f t="shared" si="6844"/>
        <v>#N/A</v>
      </c>
      <c r="K3399" s="16" t="e">
        <f t="shared" si="6844"/>
        <v>#N/A</v>
      </c>
      <c r="L3399" s="40" t="e">
        <f t="shared" si="6649"/>
        <v>#N/A</v>
      </c>
      <c r="M3399" s="16" t="e">
        <f t="shared" si="6650"/>
        <v>#N/A</v>
      </c>
      <c r="N3399" s="16" t="e">
        <f t="shared" si="6651"/>
        <v>#N/A</v>
      </c>
      <c r="O3399" s="16" t="s">
        <v>75</v>
      </c>
      <c r="P3399" s="16" t="str">
        <f t="shared" si="6"/>
        <v/>
      </c>
      <c r="Q3399" s="41" t="e">
        <f t="shared" si="6652"/>
        <v>#N/A</v>
      </c>
      <c r="R3399" s="44"/>
      <c r="S3399" s="44"/>
      <c r="T3399" s="43"/>
      <c r="U3399" s="43" t="str">
        <f t="shared" si="8"/>
        <v>No</v>
      </c>
      <c r="V3399" s="25"/>
      <c r="W3399" s="25"/>
      <c r="X3399" s="25"/>
      <c r="Y3399" s="25"/>
      <c r="Z3399" s="25"/>
    </row>
    <row r="3400" spans="1:26" ht="15.75" customHeight="1" x14ac:dyDescent="0.25">
      <c r="A3400" s="25">
        <v>3398</v>
      </c>
      <c r="B3400" s="37" t="e">
        <f t="shared" ref="B3400:D3400" si="6845">VLOOKUP($A3400,[11]Planeación!$A$1:$O$253,B$1,0)</f>
        <v>#N/A</v>
      </c>
      <c r="C3400" s="38" t="e">
        <f t="shared" si="6845"/>
        <v>#N/A</v>
      </c>
      <c r="D3400" s="39" t="e">
        <f t="shared" si="6845"/>
        <v>#N/A</v>
      </c>
      <c r="E3400" s="16" t="e">
        <f t="shared" si="1"/>
        <v>#N/A</v>
      </c>
      <c r="F3400" s="16" t="e">
        <f t="shared" ref="F3400:K3400" si="6846">VLOOKUP($A3400,[11]Planeación!$A$1:$O$253,F$1,0)</f>
        <v>#N/A</v>
      </c>
      <c r="G3400" s="39" t="e">
        <f t="shared" si="6846"/>
        <v>#N/A</v>
      </c>
      <c r="H3400" s="16" t="e">
        <f t="shared" si="6846"/>
        <v>#N/A</v>
      </c>
      <c r="I3400" s="16" t="e">
        <f t="shared" si="6846"/>
        <v>#N/A</v>
      </c>
      <c r="J3400" s="40" t="e">
        <f t="shared" si="6846"/>
        <v>#N/A</v>
      </c>
      <c r="K3400" s="16" t="e">
        <f t="shared" si="6846"/>
        <v>#N/A</v>
      </c>
      <c r="L3400" s="40" t="e">
        <f t="shared" si="6649"/>
        <v>#N/A</v>
      </c>
      <c r="M3400" s="16" t="e">
        <f t="shared" si="6650"/>
        <v>#N/A</v>
      </c>
      <c r="N3400" s="16" t="e">
        <f t="shared" si="6651"/>
        <v>#N/A</v>
      </c>
      <c r="O3400" s="16" t="s">
        <v>75</v>
      </c>
      <c r="P3400" s="16" t="str">
        <f t="shared" si="6"/>
        <v/>
      </c>
      <c r="Q3400" s="41" t="e">
        <f t="shared" si="6652"/>
        <v>#N/A</v>
      </c>
      <c r="R3400" s="44"/>
      <c r="S3400" s="44"/>
      <c r="T3400" s="43"/>
      <c r="U3400" s="43" t="str">
        <f t="shared" si="8"/>
        <v>No</v>
      </c>
      <c r="V3400" s="25"/>
      <c r="W3400" s="25"/>
      <c r="X3400" s="25"/>
      <c r="Y3400" s="25"/>
      <c r="Z3400" s="25"/>
    </row>
    <row r="3401" spans="1:26" ht="15.75" customHeight="1" x14ac:dyDescent="0.25">
      <c r="A3401" s="25">
        <v>3399</v>
      </c>
      <c r="B3401" s="37" t="e">
        <f t="shared" ref="B3401:D3401" si="6847">VLOOKUP($A3401,[11]Planeación!$A$1:$O$253,B$1,0)</f>
        <v>#N/A</v>
      </c>
      <c r="C3401" s="38" t="e">
        <f t="shared" si="6847"/>
        <v>#N/A</v>
      </c>
      <c r="D3401" s="39" t="e">
        <f t="shared" si="6847"/>
        <v>#N/A</v>
      </c>
      <c r="E3401" s="16" t="e">
        <f t="shared" si="1"/>
        <v>#N/A</v>
      </c>
      <c r="F3401" s="16" t="e">
        <f t="shared" ref="F3401:K3401" si="6848">VLOOKUP($A3401,[11]Planeación!$A$1:$O$253,F$1,0)</f>
        <v>#N/A</v>
      </c>
      <c r="G3401" s="39" t="e">
        <f t="shared" si="6848"/>
        <v>#N/A</v>
      </c>
      <c r="H3401" s="16" t="e">
        <f t="shared" si="6848"/>
        <v>#N/A</v>
      </c>
      <c r="I3401" s="16" t="e">
        <f t="shared" si="6848"/>
        <v>#N/A</v>
      </c>
      <c r="J3401" s="40" t="e">
        <f t="shared" si="6848"/>
        <v>#N/A</v>
      </c>
      <c r="K3401" s="16" t="e">
        <f t="shared" si="6848"/>
        <v>#N/A</v>
      </c>
      <c r="L3401" s="40" t="e">
        <f t="shared" si="6649"/>
        <v>#N/A</v>
      </c>
      <c r="M3401" s="16" t="e">
        <f t="shared" si="6650"/>
        <v>#N/A</v>
      </c>
      <c r="N3401" s="16" t="e">
        <f t="shared" si="6651"/>
        <v>#N/A</v>
      </c>
      <c r="O3401" s="16" t="s">
        <v>75</v>
      </c>
      <c r="P3401" s="16" t="str">
        <f t="shared" si="6"/>
        <v/>
      </c>
      <c r="Q3401" s="41" t="e">
        <f t="shared" si="6652"/>
        <v>#N/A</v>
      </c>
      <c r="R3401" s="44"/>
      <c r="S3401" s="44"/>
      <c r="T3401" s="43"/>
      <c r="U3401" s="43" t="str">
        <f t="shared" si="8"/>
        <v>No</v>
      </c>
      <c r="V3401" s="25"/>
      <c r="W3401" s="25"/>
      <c r="X3401" s="25"/>
      <c r="Y3401" s="25"/>
      <c r="Z3401" s="25"/>
    </row>
    <row r="3402" spans="1:26" ht="15.75" customHeight="1" x14ac:dyDescent="0.25">
      <c r="A3402" s="25">
        <v>3400</v>
      </c>
      <c r="B3402" s="37" t="e">
        <f t="shared" ref="B3402:D3402" si="6849">VLOOKUP($A3402,[11]Planeación!$A$1:$O$253,B$1,0)</f>
        <v>#N/A</v>
      </c>
      <c r="C3402" s="38" t="e">
        <f t="shared" si="6849"/>
        <v>#N/A</v>
      </c>
      <c r="D3402" s="39" t="e">
        <f t="shared" si="6849"/>
        <v>#N/A</v>
      </c>
      <c r="E3402" s="16" t="e">
        <f t="shared" si="1"/>
        <v>#N/A</v>
      </c>
      <c r="F3402" s="16" t="e">
        <f t="shared" ref="F3402:K3402" si="6850">VLOOKUP($A3402,[11]Planeación!$A$1:$O$253,F$1,0)</f>
        <v>#N/A</v>
      </c>
      <c r="G3402" s="39" t="e">
        <f t="shared" si="6850"/>
        <v>#N/A</v>
      </c>
      <c r="H3402" s="16" t="e">
        <f t="shared" si="6850"/>
        <v>#N/A</v>
      </c>
      <c r="I3402" s="16" t="e">
        <f t="shared" si="6850"/>
        <v>#N/A</v>
      </c>
      <c r="J3402" s="40" t="e">
        <f t="shared" si="6850"/>
        <v>#N/A</v>
      </c>
      <c r="K3402" s="16" t="e">
        <f t="shared" si="6850"/>
        <v>#N/A</v>
      </c>
      <c r="L3402" s="40" t="e">
        <f t="shared" si="6649"/>
        <v>#N/A</v>
      </c>
      <c r="M3402" s="16" t="e">
        <f t="shared" si="6650"/>
        <v>#N/A</v>
      </c>
      <c r="N3402" s="16" t="e">
        <f t="shared" si="6651"/>
        <v>#N/A</v>
      </c>
      <c r="O3402" s="16" t="s">
        <v>75</v>
      </c>
      <c r="P3402" s="16" t="str">
        <f t="shared" si="6"/>
        <v/>
      </c>
      <c r="Q3402" s="41" t="e">
        <f t="shared" si="6652"/>
        <v>#N/A</v>
      </c>
      <c r="R3402" s="44"/>
      <c r="S3402" s="44"/>
      <c r="T3402" s="43"/>
      <c r="U3402" s="43" t="str">
        <f t="shared" si="8"/>
        <v>No</v>
      </c>
      <c r="V3402" s="25"/>
      <c r="W3402" s="25"/>
      <c r="X3402" s="25"/>
      <c r="Y3402" s="25"/>
      <c r="Z3402" s="25"/>
    </row>
    <row r="3403" spans="1:26" ht="15.75" customHeight="1" x14ac:dyDescent="0.25">
      <c r="A3403" s="25">
        <v>3401</v>
      </c>
      <c r="B3403" s="37" t="e">
        <f t="shared" ref="B3403:D3403" si="6851">VLOOKUP($A3403,[11]Planeación!$A$1:$O$253,B$1,0)</f>
        <v>#N/A</v>
      </c>
      <c r="C3403" s="38" t="e">
        <f t="shared" si="6851"/>
        <v>#N/A</v>
      </c>
      <c r="D3403" s="39" t="e">
        <f t="shared" si="6851"/>
        <v>#N/A</v>
      </c>
      <c r="E3403" s="16" t="e">
        <f t="shared" si="1"/>
        <v>#N/A</v>
      </c>
      <c r="F3403" s="16" t="e">
        <f t="shared" ref="F3403:K3403" si="6852">VLOOKUP($A3403,[11]Planeación!$A$1:$O$253,F$1,0)</f>
        <v>#N/A</v>
      </c>
      <c r="G3403" s="39" t="e">
        <f t="shared" si="6852"/>
        <v>#N/A</v>
      </c>
      <c r="H3403" s="16" t="e">
        <f t="shared" si="6852"/>
        <v>#N/A</v>
      </c>
      <c r="I3403" s="16" t="e">
        <f t="shared" si="6852"/>
        <v>#N/A</v>
      </c>
      <c r="J3403" s="40" t="e">
        <f t="shared" si="6852"/>
        <v>#N/A</v>
      </c>
      <c r="K3403" s="16" t="e">
        <f t="shared" si="6852"/>
        <v>#N/A</v>
      </c>
      <c r="L3403" s="40" t="e">
        <f t="shared" si="6649"/>
        <v>#N/A</v>
      </c>
      <c r="M3403" s="16" t="e">
        <f t="shared" si="6650"/>
        <v>#N/A</v>
      </c>
      <c r="N3403" s="16" t="e">
        <f t="shared" si="6651"/>
        <v>#N/A</v>
      </c>
      <c r="O3403" s="16" t="s">
        <v>75</v>
      </c>
      <c r="P3403" s="16" t="str">
        <f t="shared" si="6"/>
        <v/>
      </c>
      <c r="Q3403" s="41" t="e">
        <f t="shared" si="6652"/>
        <v>#N/A</v>
      </c>
      <c r="R3403" s="44"/>
      <c r="S3403" s="44"/>
      <c r="T3403" s="43"/>
      <c r="U3403" s="43" t="str">
        <f t="shared" si="8"/>
        <v>No</v>
      </c>
      <c r="V3403" s="25"/>
      <c r="W3403" s="25"/>
      <c r="X3403" s="25"/>
      <c r="Y3403" s="25"/>
      <c r="Z3403" s="25"/>
    </row>
    <row r="3404" spans="1:26" ht="15.75" customHeight="1" x14ac:dyDescent="0.25">
      <c r="A3404" s="25">
        <v>3402</v>
      </c>
      <c r="B3404" s="37" t="e">
        <f t="shared" ref="B3404:D3404" si="6853">VLOOKUP($A3404,[11]Planeación!$A$1:$O$253,B$1,0)</f>
        <v>#N/A</v>
      </c>
      <c r="C3404" s="38" t="e">
        <f t="shared" si="6853"/>
        <v>#N/A</v>
      </c>
      <c r="D3404" s="39" t="e">
        <f t="shared" si="6853"/>
        <v>#N/A</v>
      </c>
      <c r="E3404" s="16" t="e">
        <f t="shared" si="1"/>
        <v>#N/A</v>
      </c>
      <c r="F3404" s="16" t="e">
        <f t="shared" ref="F3404:K3404" si="6854">VLOOKUP($A3404,[11]Planeación!$A$1:$O$253,F$1,0)</f>
        <v>#N/A</v>
      </c>
      <c r="G3404" s="39" t="e">
        <f t="shared" si="6854"/>
        <v>#N/A</v>
      </c>
      <c r="H3404" s="16" t="e">
        <f t="shared" si="6854"/>
        <v>#N/A</v>
      </c>
      <c r="I3404" s="16" t="e">
        <f t="shared" si="6854"/>
        <v>#N/A</v>
      </c>
      <c r="J3404" s="40" t="e">
        <f t="shared" si="6854"/>
        <v>#N/A</v>
      </c>
      <c r="K3404" s="16" t="e">
        <f t="shared" si="6854"/>
        <v>#N/A</v>
      </c>
      <c r="L3404" s="40" t="e">
        <f t="shared" si="6649"/>
        <v>#N/A</v>
      </c>
      <c r="M3404" s="16" t="e">
        <f t="shared" si="6650"/>
        <v>#N/A</v>
      </c>
      <c r="N3404" s="16" t="e">
        <f t="shared" si="6651"/>
        <v>#N/A</v>
      </c>
      <c r="O3404" s="16" t="s">
        <v>75</v>
      </c>
      <c r="P3404" s="16" t="str">
        <f t="shared" si="6"/>
        <v/>
      </c>
      <c r="Q3404" s="41" t="e">
        <f t="shared" si="6652"/>
        <v>#N/A</v>
      </c>
      <c r="R3404" s="44"/>
      <c r="S3404" s="44"/>
      <c r="T3404" s="43"/>
      <c r="U3404" s="43" t="str">
        <f t="shared" si="8"/>
        <v>No</v>
      </c>
      <c r="V3404" s="25"/>
      <c r="W3404" s="25"/>
      <c r="X3404" s="25"/>
      <c r="Y3404" s="25"/>
      <c r="Z3404" s="25"/>
    </row>
    <row r="3405" spans="1:26" ht="15.75" customHeight="1" x14ac:dyDescent="0.25">
      <c r="A3405" s="25">
        <v>3403</v>
      </c>
      <c r="B3405" s="37" t="e">
        <f t="shared" ref="B3405:D3405" si="6855">VLOOKUP($A3405,[11]Planeación!$A$1:$O$253,B$1,0)</f>
        <v>#N/A</v>
      </c>
      <c r="C3405" s="38" t="e">
        <f t="shared" si="6855"/>
        <v>#N/A</v>
      </c>
      <c r="D3405" s="39" t="e">
        <f t="shared" si="6855"/>
        <v>#N/A</v>
      </c>
      <c r="E3405" s="16" t="e">
        <f t="shared" si="1"/>
        <v>#N/A</v>
      </c>
      <c r="F3405" s="16" t="e">
        <f t="shared" ref="F3405:K3405" si="6856">VLOOKUP($A3405,[11]Planeación!$A$1:$O$253,F$1,0)</f>
        <v>#N/A</v>
      </c>
      <c r="G3405" s="39" t="e">
        <f t="shared" si="6856"/>
        <v>#N/A</v>
      </c>
      <c r="H3405" s="16" t="e">
        <f t="shared" si="6856"/>
        <v>#N/A</v>
      </c>
      <c r="I3405" s="16" t="e">
        <f t="shared" si="6856"/>
        <v>#N/A</v>
      </c>
      <c r="J3405" s="40" t="e">
        <f t="shared" si="6856"/>
        <v>#N/A</v>
      </c>
      <c r="K3405" s="16" t="e">
        <f t="shared" si="6856"/>
        <v>#N/A</v>
      </c>
      <c r="L3405" s="40" t="e">
        <f t="shared" si="6649"/>
        <v>#N/A</v>
      </c>
      <c r="M3405" s="16" t="e">
        <f t="shared" si="6650"/>
        <v>#N/A</v>
      </c>
      <c r="N3405" s="16" t="e">
        <f t="shared" si="6651"/>
        <v>#N/A</v>
      </c>
      <c r="O3405" s="16" t="s">
        <v>75</v>
      </c>
      <c r="P3405" s="16" t="str">
        <f t="shared" si="6"/>
        <v/>
      </c>
      <c r="Q3405" s="41" t="e">
        <f t="shared" si="6652"/>
        <v>#N/A</v>
      </c>
      <c r="R3405" s="44"/>
      <c r="S3405" s="44"/>
      <c r="T3405" s="43"/>
      <c r="U3405" s="43" t="str">
        <f t="shared" si="8"/>
        <v>No</v>
      </c>
      <c r="V3405" s="25"/>
      <c r="W3405" s="25"/>
      <c r="X3405" s="25"/>
      <c r="Y3405" s="25"/>
      <c r="Z3405" s="25"/>
    </row>
    <row r="3406" spans="1:26" ht="15.75" customHeight="1" x14ac:dyDescent="0.25">
      <c r="A3406" s="25">
        <v>3404</v>
      </c>
      <c r="B3406" s="37" t="e">
        <f t="shared" ref="B3406:D3406" si="6857">VLOOKUP($A3406,[11]Planeación!$A$1:$O$253,B$1,0)</f>
        <v>#N/A</v>
      </c>
      <c r="C3406" s="38" t="e">
        <f t="shared" si="6857"/>
        <v>#N/A</v>
      </c>
      <c r="D3406" s="39" t="e">
        <f t="shared" si="6857"/>
        <v>#N/A</v>
      </c>
      <c r="E3406" s="16" t="e">
        <f t="shared" si="1"/>
        <v>#N/A</v>
      </c>
      <c r="F3406" s="16" t="e">
        <f t="shared" ref="F3406:K3406" si="6858">VLOOKUP($A3406,[11]Planeación!$A$1:$O$253,F$1,0)</f>
        <v>#N/A</v>
      </c>
      <c r="G3406" s="39" t="e">
        <f t="shared" si="6858"/>
        <v>#N/A</v>
      </c>
      <c r="H3406" s="16" t="e">
        <f t="shared" si="6858"/>
        <v>#N/A</v>
      </c>
      <c r="I3406" s="16" t="e">
        <f t="shared" si="6858"/>
        <v>#N/A</v>
      </c>
      <c r="J3406" s="40" t="e">
        <f t="shared" si="6858"/>
        <v>#N/A</v>
      </c>
      <c r="K3406" s="16" t="e">
        <f t="shared" si="6858"/>
        <v>#N/A</v>
      </c>
      <c r="L3406" s="40" t="e">
        <f t="shared" si="6649"/>
        <v>#N/A</v>
      </c>
      <c r="M3406" s="16" t="e">
        <f t="shared" si="6650"/>
        <v>#N/A</v>
      </c>
      <c r="N3406" s="16" t="e">
        <f t="shared" si="6651"/>
        <v>#N/A</v>
      </c>
      <c r="O3406" s="16" t="s">
        <v>75</v>
      </c>
      <c r="P3406" s="16" t="str">
        <f t="shared" si="6"/>
        <v/>
      </c>
      <c r="Q3406" s="41" t="e">
        <f t="shared" si="6652"/>
        <v>#N/A</v>
      </c>
      <c r="R3406" s="44"/>
      <c r="S3406" s="44"/>
      <c r="T3406" s="43"/>
      <c r="U3406" s="43" t="str">
        <f t="shared" si="8"/>
        <v>No</v>
      </c>
      <c r="V3406" s="25"/>
      <c r="W3406" s="25"/>
      <c r="X3406" s="25"/>
      <c r="Y3406" s="25"/>
      <c r="Z3406" s="25"/>
    </row>
    <row r="3407" spans="1:26" ht="15.75" customHeight="1" x14ac:dyDescent="0.25">
      <c r="A3407" s="25">
        <v>3405</v>
      </c>
      <c r="B3407" s="37" t="e">
        <f t="shared" ref="B3407:D3407" si="6859">VLOOKUP($A3407,[11]Planeación!$A$1:$O$253,B$1,0)</f>
        <v>#N/A</v>
      </c>
      <c r="C3407" s="38" t="e">
        <f t="shared" si="6859"/>
        <v>#N/A</v>
      </c>
      <c r="D3407" s="39" t="e">
        <f t="shared" si="6859"/>
        <v>#N/A</v>
      </c>
      <c r="E3407" s="16" t="e">
        <f t="shared" si="1"/>
        <v>#N/A</v>
      </c>
      <c r="F3407" s="16" t="e">
        <f t="shared" ref="F3407:K3407" si="6860">VLOOKUP($A3407,[11]Planeación!$A$1:$O$253,F$1,0)</f>
        <v>#N/A</v>
      </c>
      <c r="G3407" s="39" t="e">
        <f t="shared" si="6860"/>
        <v>#N/A</v>
      </c>
      <c r="H3407" s="16" t="e">
        <f t="shared" si="6860"/>
        <v>#N/A</v>
      </c>
      <c r="I3407" s="16" t="e">
        <f t="shared" si="6860"/>
        <v>#N/A</v>
      </c>
      <c r="J3407" s="40" t="e">
        <f t="shared" si="6860"/>
        <v>#N/A</v>
      </c>
      <c r="K3407" s="16" t="e">
        <f t="shared" si="6860"/>
        <v>#N/A</v>
      </c>
      <c r="L3407" s="40" t="e">
        <f t="shared" si="6649"/>
        <v>#N/A</v>
      </c>
      <c r="M3407" s="16" t="e">
        <f t="shared" si="6650"/>
        <v>#N/A</v>
      </c>
      <c r="N3407" s="16" t="e">
        <f t="shared" si="6651"/>
        <v>#N/A</v>
      </c>
      <c r="O3407" s="16" t="s">
        <v>75</v>
      </c>
      <c r="P3407" s="16" t="str">
        <f t="shared" si="6"/>
        <v/>
      </c>
      <c r="Q3407" s="41" t="e">
        <f t="shared" si="6652"/>
        <v>#N/A</v>
      </c>
      <c r="R3407" s="44"/>
      <c r="S3407" s="44"/>
      <c r="T3407" s="43"/>
      <c r="U3407" s="43" t="str">
        <f t="shared" si="8"/>
        <v>No</v>
      </c>
      <c r="V3407" s="25"/>
      <c r="W3407" s="25"/>
      <c r="X3407" s="25"/>
      <c r="Y3407" s="25"/>
      <c r="Z3407" s="25"/>
    </row>
    <row r="3408" spans="1:26" ht="15.75" customHeight="1" x14ac:dyDescent="0.25">
      <c r="A3408" s="25">
        <v>3406</v>
      </c>
      <c r="B3408" s="37" t="e">
        <f t="shared" ref="B3408:D3408" si="6861">VLOOKUP($A3408,[11]Planeación!$A$1:$O$253,B$1,0)</f>
        <v>#N/A</v>
      </c>
      <c r="C3408" s="38" t="e">
        <f t="shared" si="6861"/>
        <v>#N/A</v>
      </c>
      <c r="D3408" s="39" t="e">
        <f t="shared" si="6861"/>
        <v>#N/A</v>
      </c>
      <c r="E3408" s="16" t="e">
        <f t="shared" si="1"/>
        <v>#N/A</v>
      </c>
      <c r="F3408" s="16" t="e">
        <f t="shared" ref="F3408:K3408" si="6862">VLOOKUP($A3408,[11]Planeación!$A$1:$O$253,F$1,0)</f>
        <v>#N/A</v>
      </c>
      <c r="G3408" s="39" t="e">
        <f t="shared" si="6862"/>
        <v>#N/A</v>
      </c>
      <c r="H3408" s="16" t="e">
        <f t="shared" si="6862"/>
        <v>#N/A</v>
      </c>
      <c r="I3408" s="16" t="e">
        <f t="shared" si="6862"/>
        <v>#N/A</v>
      </c>
      <c r="J3408" s="40" t="e">
        <f t="shared" si="6862"/>
        <v>#N/A</v>
      </c>
      <c r="K3408" s="16" t="e">
        <f t="shared" si="6862"/>
        <v>#N/A</v>
      </c>
      <c r="L3408" s="40" t="e">
        <f t="shared" si="6649"/>
        <v>#N/A</v>
      </c>
      <c r="M3408" s="16" t="e">
        <f t="shared" si="6650"/>
        <v>#N/A</v>
      </c>
      <c r="N3408" s="16" t="e">
        <f t="shared" si="6651"/>
        <v>#N/A</v>
      </c>
      <c r="O3408" s="16" t="s">
        <v>75</v>
      </c>
      <c r="P3408" s="16" t="str">
        <f t="shared" si="6"/>
        <v/>
      </c>
      <c r="Q3408" s="41" t="e">
        <f t="shared" si="6652"/>
        <v>#N/A</v>
      </c>
      <c r="R3408" s="44"/>
      <c r="S3408" s="44"/>
      <c r="T3408" s="43"/>
      <c r="U3408" s="43" t="str">
        <f t="shared" si="8"/>
        <v>No</v>
      </c>
      <c r="V3408" s="25"/>
      <c r="W3408" s="25"/>
      <c r="X3408" s="25"/>
      <c r="Y3408" s="25"/>
      <c r="Z3408" s="25"/>
    </row>
    <row r="3409" spans="1:26" ht="15.75" customHeight="1" x14ac:dyDescent="0.25">
      <c r="A3409" s="25">
        <v>3407</v>
      </c>
      <c r="B3409" s="37" t="e">
        <f t="shared" ref="B3409:D3409" si="6863">VLOOKUP($A3409,[11]Planeación!$A$1:$O$253,B$1,0)</f>
        <v>#N/A</v>
      </c>
      <c r="C3409" s="38" t="e">
        <f t="shared" si="6863"/>
        <v>#N/A</v>
      </c>
      <c r="D3409" s="39" t="e">
        <f t="shared" si="6863"/>
        <v>#N/A</v>
      </c>
      <c r="E3409" s="16" t="e">
        <f t="shared" si="1"/>
        <v>#N/A</v>
      </c>
      <c r="F3409" s="16" t="e">
        <f t="shared" ref="F3409:K3409" si="6864">VLOOKUP($A3409,[11]Planeación!$A$1:$O$253,F$1,0)</f>
        <v>#N/A</v>
      </c>
      <c r="G3409" s="39" t="e">
        <f t="shared" si="6864"/>
        <v>#N/A</v>
      </c>
      <c r="H3409" s="16" t="e">
        <f t="shared" si="6864"/>
        <v>#N/A</v>
      </c>
      <c r="I3409" s="16" t="e">
        <f t="shared" si="6864"/>
        <v>#N/A</v>
      </c>
      <c r="J3409" s="40" t="e">
        <f t="shared" si="6864"/>
        <v>#N/A</v>
      </c>
      <c r="K3409" s="16" t="e">
        <f t="shared" si="6864"/>
        <v>#N/A</v>
      </c>
      <c r="L3409" s="40" t="e">
        <f t="shared" si="6649"/>
        <v>#N/A</v>
      </c>
      <c r="M3409" s="16" t="e">
        <f t="shared" si="6650"/>
        <v>#N/A</v>
      </c>
      <c r="N3409" s="16" t="e">
        <f t="shared" si="6651"/>
        <v>#N/A</v>
      </c>
      <c r="O3409" s="16" t="s">
        <v>75</v>
      </c>
      <c r="P3409" s="16" t="str">
        <f t="shared" si="6"/>
        <v/>
      </c>
      <c r="Q3409" s="41" t="e">
        <f t="shared" si="6652"/>
        <v>#N/A</v>
      </c>
      <c r="R3409" s="44"/>
      <c r="S3409" s="44"/>
      <c r="T3409" s="43"/>
      <c r="U3409" s="43" t="str">
        <f t="shared" si="8"/>
        <v>No</v>
      </c>
      <c r="V3409" s="25"/>
      <c r="W3409" s="25"/>
      <c r="X3409" s="25"/>
      <c r="Y3409" s="25"/>
      <c r="Z3409" s="25"/>
    </row>
    <row r="3410" spans="1:26" ht="15.75" customHeight="1" x14ac:dyDescent="0.25">
      <c r="A3410" s="25">
        <v>3408</v>
      </c>
      <c r="B3410" s="37" t="e">
        <f t="shared" ref="B3410:D3410" si="6865">VLOOKUP($A3410,[11]Planeación!$A$1:$O$253,B$1,0)</f>
        <v>#N/A</v>
      </c>
      <c r="C3410" s="38" t="e">
        <f t="shared" si="6865"/>
        <v>#N/A</v>
      </c>
      <c r="D3410" s="39" t="e">
        <f t="shared" si="6865"/>
        <v>#N/A</v>
      </c>
      <c r="E3410" s="16" t="e">
        <f t="shared" si="1"/>
        <v>#N/A</v>
      </c>
      <c r="F3410" s="16" t="e">
        <f t="shared" ref="F3410:K3410" si="6866">VLOOKUP($A3410,[11]Planeación!$A$1:$O$253,F$1,0)</f>
        <v>#N/A</v>
      </c>
      <c r="G3410" s="39" t="e">
        <f t="shared" si="6866"/>
        <v>#N/A</v>
      </c>
      <c r="H3410" s="16" t="e">
        <f t="shared" si="6866"/>
        <v>#N/A</v>
      </c>
      <c r="I3410" s="16" t="e">
        <f t="shared" si="6866"/>
        <v>#N/A</v>
      </c>
      <c r="J3410" s="40" t="e">
        <f t="shared" si="6866"/>
        <v>#N/A</v>
      </c>
      <c r="K3410" s="16" t="e">
        <f t="shared" si="6866"/>
        <v>#N/A</v>
      </c>
      <c r="L3410" s="40" t="e">
        <f t="shared" si="6649"/>
        <v>#N/A</v>
      </c>
      <c r="M3410" s="16" t="e">
        <f t="shared" si="6650"/>
        <v>#N/A</v>
      </c>
      <c r="N3410" s="16" t="e">
        <f t="shared" si="6651"/>
        <v>#N/A</v>
      </c>
      <c r="O3410" s="16" t="s">
        <v>75</v>
      </c>
      <c r="P3410" s="16" t="str">
        <f t="shared" si="6"/>
        <v/>
      </c>
      <c r="Q3410" s="41" t="e">
        <f t="shared" si="6652"/>
        <v>#N/A</v>
      </c>
      <c r="R3410" s="44"/>
      <c r="S3410" s="44"/>
      <c r="T3410" s="43"/>
      <c r="U3410" s="43" t="str">
        <f t="shared" si="8"/>
        <v>No</v>
      </c>
      <c r="V3410" s="25"/>
      <c r="W3410" s="25"/>
      <c r="X3410" s="25"/>
      <c r="Y3410" s="25"/>
      <c r="Z3410" s="25"/>
    </row>
    <row r="3411" spans="1:26" ht="15.75" customHeight="1" x14ac:dyDescent="0.25">
      <c r="A3411" s="25">
        <v>3409</v>
      </c>
      <c r="B3411" s="37" t="e">
        <f t="shared" ref="B3411:D3411" si="6867">VLOOKUP($A3411,[11]Planeación!$A$1:$O$253,B$1,0)</f>
        <v>#N/A</v>
      </c>
      <c r="C3411" s="38" t="e">
        <f t="shared" si="6867"/>
        <v>#N/A</v>
      </c>
      <c r="D3411" s="39" t="e">
        <f t="shared" si="6867"/>
        <v>#N/A</v>
      </c>
      <c r="E3411" s="16" t="e">
        <f t="shared" si="1"/>
        <v>#N/A</v>
      </c>
      <c r="F3411" s="16" t="e">
        <f t="shared" ref="F3411:K3411" si="6868">VLOOKUP($A3411,[11]Planeación!$A$1:$O$253,F$1,0)</f>
        <v>#N/A</v>
      </c>
      <c r="G3411" s="39" t="e">
        <f t="shared" si="6868"/>
        <v>#N/A</v>
      </c>
      <c r="H3411" s="16" t="e">
        <f t="shared" si="6868"/>
        <v>#N/A</v>
      </c>
      <c r="I3411" s="16" t="e">
        <f t="shared" si="6868"/>
        <v>#N/A</v>
      </c>
      <c r="J3411" s="40" t="e">
        <f t="shared" si="6868"/>
        <v>#N/A</v>
      </c>
      <c r="K3411" s="16" t="e">
        <f t="shared" si="6868"/>
        <v>#N/A</v>
      </c>
      <c r="L3411" s="40" t="e">
        <f t="shared" si="6649"/>
        <v>#N/A</v>
      </c>
      <c r="M3411" s="16" t="e">
        <f t="shared" si="6650"/>
        <v>#N/A</v>
      </c>
      <c r="N3411" s="16" t="e">
        <f t="shared" si="6651"/>
        <v>#N/A</v>
      </c>
      <c r="O3411" s="16" t="s">
        <v>75</v>
      </c>
      <c r="P3411" s="16" t="str">
        <f t="shared" si="6"/>
        <v/>
      </c>
      <c r="Q3411" s="41" t="e">
        <f t="shared" si="6652"/>
        <v>#N/A</v>
      </c>
      <c r="R3411" s="44"/>
      <c r="S3411" s="44"/>
      <c r="T3411" s="43"/>
      <c r="U3411" s="43" t="str">
        <f t="shared" si="8"/>
        <v>No</v>
      </c>
      <c r="V3411" s="25"/>
      <c r="W3411" s="25"/>
      <c r="X3411" s="25"/>
      <c r="Y3411" s="25"/>
      <c r="Z3411" s="25"/>
    </row>
    <row r="3412" spans="1:26" ht="15.75" customHeight="1" x14ac:dyDescent="0.25">
      <c r="A3412" s="25">
        <v>3410</v>
      </c>
      <c r="B3412" s="37" t="e">
        <f t="shared" ref="B3412:D3412" si="6869">VLOOKUP($A3412,[11]Planeación!$A$1:$O$253,B$1,0)</f>
        <v>#N/A</v>
      </c>
      <c r="C3412" s="38" t="e">
        <f t="shared" si="6869"/>
        <v>#N/A</v>
      </c>
      <c r="D3412" s="39" t="e">
        <f t="shared" si="6869"/>
        <v>#N/A</v>
      </c>
      <c r="E3412" s="16" t="e">
        <f t="shared" si="1"/>
        <v>#N/A</v>
      </c>
      <c r="F3412" s="16" t="e">
        <f t="shared" ref="F3412:K3412" si="6870">VLOOKUP($A3412,[11]Planeación!$A$1:$O$253,F$1,0)</f>
        <v>#N/A</v>
      </c>
      <c r="G3412" s="39" t="e">
        <f t="shared" si="6870"/>
        <v>#N/A</v>
      </c>
      <c r="H3412" s="16" t="e">
        <f t="shared" si="6870"/>
        <v>#N/A</v>
      </c>
      <c r="I3412" s="16" t="e">
        <f t="shared" si="6870"/>
        <v>#N/A</v>
      </c>
      <c r="J3412" s="40" t="e">
        <f t="shared" si="6870"/>
        <v>#N/A</v>
      </c>
      <c r="K3412" s="16" t="e">
        <f t="shared" si="6870"/>
        <v>#N/A</v>
      </c>
      <c r="L3412" s="40" t="e">
        <f t="shared" si="6649"/>
        <v>#N/A</v>
      </c>
      <c r="M3412" s="16" t="e">
        <f t="shared" si="6650"/>
        <v>#N/A</v>
      </c>
      <c r="N3412" s="16" t="e">
        <f t="shared" si="6651"/>
        <v>#N/A</v>
      </c>
      <c r="O3412" s="16" t="s">
        <v>75</v>
      </c>
      <c r="P3412" s="16" t="str">
        <f t="shared" si="6"/>
        <v/>
      </c>
      <c r="Q3412" s="41" t="e">
        <f t="shared" si="6652"/>
        <v>#N/A</v>
      </c>
      <c r="R3412" s="44"/>
      <c r="S3412" s="44"/>
      <c r="T3412" s="43"/>
      <c r="U3412" s="43" t="str">
        <f t="shared" si="8"/>
        <v>No</v>
      </c>
      <c r="V3412" s="25"/>
      <c r="W3412" s="25"/>
      <c r="X3412" s="25"/>
      <c r="Y3412" s="25"/>
      <c r="Z3412" s="25"/>
    </row>
    <row r="3413" spans="1:26" ht="15.75" customHeight="1" x14ac:dyDescent="0.25">
      <c r="A3413" s="25">
        <v>3411</v>
      </c>
      <c r="B3413" s="37" t="e">
        <f t="shared" ref="B3413:D3413" si="6871">VLOOKUP($A3413,[11]Planeación!$A$1:$O$253,B$1,0)</f>
        <v>#N/A</v>
      </c>
      <c r="C3413" s="38" t="e">
        <f t="shared" si="6871"/>
        <v>#N/A</v>
      </c>
      <c r="D3413" s="39" t="e">
        <f t="shared" si="6871"/>
        <v>#N/A</v>
      </c>
      <c r="E3413" s="16" t="e">
        <f t="shared" si="1"/>
        <v>#N/A</v>
      </c>
      <c r="F3413" s="16" t="e">
        <f t="shared" ref="F3413:K3413" si="6872">VLOOKUP($A3413,[11]Planeación!$A$1:$O$253,F$1,0)</f>
        <v>#N/A</v>
      </c>
      <c r="G3413" s="39" t="e">
        <f t="shared" si="6872"/>
        <v>#N/A</v>
      </c>
      <c r="H3413" s="16" t="e">
        <f t="shared" si="6872"/>
        <v>#N/A</v>
      </c>
      <c r="I3413" s="16" t="e">
        <f t="shared" si="6872"/>
        <v>#N/A</v>
      </c>
      <c r="J3413" s="40" t="e">
        <f t="shared" si="6872"/>
        <v>#N/A</v>
      </c>
      <c r="K3413" s="16" t="e">
        <f t="shared" si="6872"/>
        <v>#N/A</v>
      </c>
      <c r="L3413" s="40" t="e">
        <f t="shared" si="6649"/>
        <v>#N/A</v>
      </c>
      <c r="M3413" s="16" t="e">
        <f t="shared" si="6650"/>
        <v>#N/A</v>
      </c>
      <c r="N3413" s="16" t="e">
        <f t="shared" si="6651"/>
        <v>#N/A</v>
      </c>
      <c r="O3413" s="16" t="s">
        <v>75</v>
      </c>
      <c r="P3413" s="16" t="str">
        <f t="shared" si="6"/>
        <v/>
      </c>
      <c r="Q3413" s="41" t="e">
        <f t="shared" si="6652"/>
        <v>#N/A</v>
      </c>
      <c r="R3413" s="44"/>
      <c r="S3413" s="44"/>
      <c r="T3413" s="43"/>
      <c r="U3413" s="43" t="str">
        <f t="shared" si="8"/>
        <v>No</v>
      </c>
      <c r="V3413" s="25"/>
      <c r="W3413" s="25"/>
      <c r="X3413" s="25"/>
      <c r="Y3413" s="25"/>
      <c r="Z3413" s="25"/>
    </row>
    <row r="3414" spans="1:26" ht="15.75" customHeight="1" x14ac:dyDescent="0.25">
      <c r="A3414" s="25">
        <v>3412</v>
      </c>
      <c r="B3414" s="37" t="e">
        <f t="shared" ref="B3414:D3414" si="6873">VLOOKUP($A3414,[11]Planeación!$A$1:$O$253,B$1,0)</f>
        <v>#N/A</v>
      </c>
      <c r="C3414" s="38" t="e">
        <f t="shared" si="6873"/>
        <v>#N/A</v>
      </c>
      <c r="D3414" s="39" t="e">
        <f t="shared" si="6873"/>
        <v>#N/A</v>
      </c>
      <c r="E3414" s="16" t="e">
        <f t="shared" si="1"/>
        <v>#N/A</v>
      </c>
      <c r="F3414" s="16" t="e">
        <f t="shared" ref="F3414:K3414" si="6874">VLOOKUP($A3414,[11]Planeación!$A$1:$O$253,F$1,0)</f>
        <v>#N/A</v>
      </c>
      <c r="G3414" s="39" t="e">
        <f t="shared" si="6874"/>
        <v>#N/A</v>
      </c>
      <c r="H3414" s="16" t="e">
        <f t="shared" si="6874"/>
        <v>#N/A</v>
      </c>
      <c r="I3414" s="16" t="e">
        <f t="shared" si="6874"/>
        <v>#N/A</v>
      </c>
      <c r="J3414" s="40" t="e">
        <f t="shared" si="6874"/>
        <v>#N/A</v>
      </c>
      <c r="K3414" s="16" t="e">
        <f t="shared" si="6874"/>
        <v>#N/A</v>
      </c>
      <c r="L3414" s="40" t="e">
        <f t="shared" si="6649"/>
        <v>#N/A</v>
      </c>
      <c r="M3414" s="16" t="e">
        <f t="shared" si="6650"/>
        <v>#N/A</v>
      </c>
      <c r="N3414" s="16" t="e">
        <f t="shared" si="6651"/>
        <v>#N/A</v>
      </c>
      <c r="O3414" s="16" t="s">
        <v>75</v>
      </c>
      <c r="P3414" s="16" t="str">
        <f t="shared" si="6"/>
        <v/>
      </c>
      <c r="Q3414" s="41" t="e">
        <f t="shared" si="6652"/>
        <v>#N/A</v>
      </c>
      <c r="R3414" s="44"/>
      <c r="S3414" s="44"/>
      <c r="T3414" s="43"/>
      <c r="U3414" s="43" t="str">
        <f t="shared" si="8"/>
        <v>No</v>
      </c>
      <c r="V3414" s="25"/>
      <c r="W3414" s="25"/>
      <c r="X3414" s="25"/>
      <c r="Y3414" s="25"/>
      <c r="Z3414" s="25"/>
    </row>
    <row r="3415" spans="1:26" ht="15.75" customHeight="1" x14ac:dyDescent="0.25">
      <c r="A3415" s="25">
        <v>3413</v>
      </c>
      <c r="B3415" s="37" t="e">
        <f t="shared" ref="B3415:D3415" si="6875">VLOOKUP($A3415,[11]Planeación!$A$1:$O$253,B$1,0)</f>
        <v>#N/A</v>
      </c>
      <c r="C3415" s="38" t="e">
        <f t="shared" si="6875"/>
        <v>#N/A</v>
      </c>
      <c r="D3415" s="39" t="e">
        <f t="shared" si="6875"/>
        <v>#N/A</v>
      </c>
      <c r="E3415" s="16" t="e">
        <f t="shared" si="1"/>
        <v>#N/A</v>
      </c>
      <c r="F3415" s="16" t="e">
        <f t="shared" ref="F3415:K3415" si="6876">VLOOKUP($A3415,[11]Planeación!$A$1:$O$253,F$1,0)</f>
        <v>#N/A</v>
      </c>
      <c r="G3415" s="39" t="e">
        <f t="shared" si="6876"/>
        <v>#N/A</v>
      </c>
      <c r="H3415" s="16" t="e">
        <f t="shared" si="6876"/>
        <v>#N/A</v>
      </c>
      <c r="I3415" s="16" t="e">
        <f t="shared" si="6876"/>
        <v>#N/A</v>
      </c>
      <c r="J3415" s="40" t="e">
        <f t="shared" si="6876"/>
        <v>#N/A</v>
      </c>
      <c r="K3415" s="16" t="e">
        <f t="shared" si="6876"/>
        <v>#N/A</v>
      </c>
      <c r="L3415" s="40" t="e">
        <f t="shared" si="6649"/>
        <v>#N/A</v>
      </c>
      <c r="M3415" s="16" t="e">
        <f t="shared" si="6650"/>
        <v>#N/A</v>
      </c>
      <c r="N3415" s="16" t="e">
        <f t="shared" si="6651"/>
        <v>#N/A</v>
      </c>
      <c r="O3415" s="16" t="s">
        <v>75</v>
      </c>
      <c r="P3415" s="16" t="str">
        <f t="shared" si="6"/>
        <v/>
      </c>
      <c r="Q3415" s="41" t="e">
        <f t="shared" si="6652"/>
        <v>#N/A</v>
      </c>
      <c r="R3415" s="44"/>
      <c r="S3415" s="44"/>
      <c r="T3415" s="43"/>
      <c r="U3415" s="43" t="str">
        <f t="shared" si="8"/>
        <v>No</v>
      </c>
      <c r="V3415" s="25"/>
      <c r="W3415" s="25"/>
      <c r="X3415" s="25"/>
      <c r="Y3415" s="25"/>
      <c r="Z3415" s="25"/>
    </row>
    <row r="3416" spans="1:26" ht="15.75" customHeight="1" x14ac:dyDescent="0.25">
      <c r="A3416" s="25">
        <v>3414</v>
      </c>
      <c r="B3416" s="37" t="e">
        <f t="shared" ref="B3416:D3416" si="6877">VLOOKUP($A3416,[11]Planeación!$A$1:$O$253,B$1,0)</f>
        <v>#N/A</v>
      </c>
      <c r="C3416" s="38" t="e">
        <f t="shared" si="6877"/>
        <v>#N/A</v>
      </c>
      <c r="D3416" s="39" t="e">
        <f t="shared" si="6877"/>
        <v>#N/A</v>
      </c>
      <c r="E3416" s="16" t="e">
        <f t="shared" si="1"/>
        <v>#N/A</v>
      </c>
      <c r="F3416" s="16" t="e">
        <f t="shared" ref="F3416:K3416" si="6878">VLOOKUP($A3416,[11]Planeación!$A$1:$O$253,F$1,0)</f>
        <v>#N/A</v>
      </c>
      <c r="G3416" s="39" t="e">
        <f t="shared" si="6878"/>
        <v>#N/A</v>
      </c>
      <c r="H3416" s="16" t="e">
        <f t="shared" si="6878"/>
        <v>#N/A</v>
      </c>
      <c r="I3416" s="16" t="e">
        <f t="shared" si="6878"/>
        <v>#N/A</v>
      </c>
      <c r="J3416" s="40" t="e">
        <f t="shared" si="6878"/>
        <v>#N/A</v>
      </c>
      <c r="K3416" s="16" t="e">
        <f t="shared" si="6878"/>
        <v>#N/A</v>
      </c>
      <c r="L3416" s="40" t="e">
        <f t="shared" si="6649"/>
        <v>#N/A</v>
      </c>
      <c r="M3416" s="16" t="e">
        <f t="shared" si="6650"/>
        <v>#N/A</v>
      </c>
      <c r="N3416" s="16" t="e">
        <f t="shared" si="6651"/>
        <v>#N/A</v>
      </c>
      <c r="O3416" s="16" t="s">
        <v>75</v>
      </c>
      <c r="P3416" s="16" t="str">
        <f t="shared" si="6"/>
        <v/>
      </c>
      <c r="Q3416" s="41" t="e">
        <f t="shared" si="6652"/>
        <v>#N/A</v>
      </c>
      <c r="R3416" s="44"/>
      <c r="S3416" s="44"/>
      <c r="T3416" s="43"/>
      <c r="U3416" s="43" t="str">
        <f t="shared" si="8"/>
        <v>No</v>
      </c>
      <c r="V3416" s="25"/>
      <c r="W3416" s="25"/>
      <c r="X3416" s="25"/>
      <c r="Y3416" s="25"/>
      <c r="Z3416" s="25"/>
    </row>
    <row r="3417" spans="1:26" ht="15.75" customHeight="1" x14ac:dyDescent="0.25">
      <c r="A3417" s="25">
        <v>3415</v>
      </c>
      <c r="B3417" s="37" t="e">
        <f t="shared" ref="B3417:D3417" si="6879">VLOOKUP($A3417,[11]Planeación!$A$1:$O$253,B$1,0)</f>
        <v>#N/A</v>
      </c>
      <c r="C3417" s="38" t="e">
        <f t="shared" si="6879"/>
        <v>#N/A</v>
      </c>
      <c r="D3417" s="39" t="e">
        <f t="shared" si="6879"/>
        <v>#N/A</v>
      </c>
      <c r="E3417" s="16" t="e">
        <f t="shared" si="1"/>
        <v>#N/A</v>
      </c>
      <c r="F3417" s="16" t="e">
        <f t="shared" ref="F3417:K3417" si="6880">VLOOKUP($A3417,[11]Planeación!$A$1:$O$253,F$1,0)</f>
        <v>#N/A</v>
      </c>
      <c r="G3417" s="39" t="e">
        <f t="shared" si="6880"/>
        <v>#N/A</v>
      </c>
      <c r="H3417" s="16" t="e">
        <f t="shared" si="6880"/>
        <v>#N/A</v>
      </c>
      <c r="I3417" s="16" t="e">
        <f t="shared" si="6880"/>
        <v>#N/A</v>
      </c>
      <c r="J3417" s="40" t="e">
        <f t="shared" si="6880"/>
        <v>#N/A</v>
      </c>
      <c r="K3417" s="16" t="e">
        <f t="shared" si="6880"/>
        <v>#N/A</v>
      </c>
      <c r="L3417" s="40" t="e">
        <f t="shared" si="6649"/>
        <v>#N/A</v>
      </c>
      <c r="M3417" s="16" t="e">
        <f t="shared" si="6650"/>
        <v>#N/A</v>
      </c>
      <c r="N3417" s="16" t="e">
        <f t="shared" si="6651"/>
        <v>#N/A</v>
      </c>
      <c r="O3417" s="16" t="s">
        <v>75</v>
      </c>
      <c r="P3417" s="16" t="str">
        <f t="shared" si="6"/>
        <v/>
      </c>
      <c r="Q3417" s="41" t="e">
        <f t="shared" si="6652"/>
        <v>#N/A</v>
      </c>
      <c r="R3417" s="44"/>
      <c r="S3417" s="44"/>
      <c r="T3417" s="43"/>
      <c r="U3417" s="43" t="str">
        <f t="shared" si="8"/>
        <v>No</v>
      </c>
      <c r="V3417" s="25"/>
      <c r="W3417" s="25"/>
      <c r="X3417" s="25"/>
      <c r="Y3417" s="25"/>
      <c r="Z3417" s="25"/>
    </row>
    <row r="3418" spans="1:26" ht="15.75" customHeight="1" x14ac:dyDescent="0.25">
      <c r="A3418" s="25">
        <v>3416</v>
      </c>
      <c r="B3418" s="37" t="e">
        <f t="shared" ref="B3418:D3418" si="6881">VLOOKUP($A3418,[11]Planeación!$A$1:$O$253,B$1,0)</f>
        <v>#N/A</v>
      </c>
      <c r="C3418" s="38" t="e">
        <f t="shared" si="6881"/>
        <v>#N/A</v>
      </c>
      <c r="D3418" s="39" t="e">
        <f t="shared" si="6881"/>
        <v>#N/A</v>
      </c>
      <c r="E3418" s="16" t="e">
        <f t="shared" si="1"/>
        <v>#N/A</v>
      </c>
      <c r="F3418" s="16" t="e">
        <f t="shared" ref="F3418:K3418" si="6882">VLOOKUP($A3418,[11]Planeación!$A$1:$O$253,F$1,0)</f>
        <v>#N/A</v>
      </c>
      <c r="G3418" s="39" t="e">
        <f t="shared" si="6882"/>
        <v>#N/A</v>
      </c>
      <c r="H3418" s="16" t="e">
        <f t="shared" si="6882"/>
        <v>#N/A</v>
      </c>
      <c r="I3418" s="16" t="e">
        <f t="shared" si="6882"/>
        <v>#N/A</v>
      </c>
      <c r="J3418" s="40" t="e">
        <f t="shared" si="6882"/>
        <v>#N/A</v>
      </c>
      <c r="K3418" s="16" t="e">
        <f t="shared" si="6882"/>
        <v>#N/A</v>
      </c>
      <c r="L3418" s="40" t="e">
        <f t="shared" si="6649"/>
        <v>#N/A</v>
      </c>
      <c r="M3418" s="16" t="e">
        <f t="shared" si="6650"/>
        <v>#N/A</v>
      </c>
      <c r="N3418" s="16" t="e">
        <f t="shared" si="6651"/>
        <v>#N/A</v>
      </c>
      <c r="O3418" s="16" t="s">
        <v>75</v>
      </c>
      <c r="P3418" s="16" t="str">
        <f t="shared" si="6"/>
        <v/>
      </c>
      <c r="Q3418" s="41" t="e">
        <f t="shared" si="6652"/>
        <v>#N/A</v>
      </c>
      <c r="R3418" s="44"/>
      <c r="S3418" s="44"/>
      <c r="T3418" s="43"/>
      <c r="U3418" s="43" t="str">
        <f t="shared" si="8"/>
        <v>No</v>
      </c>
      <c r="V3418" s="25"/>
      <c r="W3418" s="25"/>
      <c r="X3418" s="25"/>
      <c r="Y3418" s="25"/>
      <c r="Z3418" s="25"/>
    </row>
    <row r="3419" spans="1:26" ht="15.75" customHeight="1" x14ac:dyDescent="0.25">
      <c r="A3419" s="25">
        <v>3417</v>
      </c>
      <c r="B3419" s="37" t="e">
        <f t="shared" ref="B3419:D3419" si="6883">VLOOKUP($A3419,[11]Planeación!$A$1:$O$253,B$1,0)</f>
        <v>#N/A</v>
      </c>
      <c r="C3419" s="38" t="e">
        <f t="shared" si="6883"/>
        <v>#N/A</v>
      </c>
      <c r="D3419" s="39" t="e">
        <f t="shared" si="6883"/>
        <v>#N/A</v>
      </c>
      <c r="E3419" s="16" t="e">
        <f t="shared" si="1"/>
        <v>#N/A</v>
      </c>
      <c r="F3419" s="16" t="e">
        <f t="shared" ref="F3419:K3419" si="6884">VLOOKUP($A3419,[11]Planeación!$A$1:$O$253,F$1,0)</f>
        <v>#N/A</v>
      </c>
      <c r="G3419" s="39" t="e">
        <f t="shared" si="6884"/>
        <v>#N/A</v>
      </c>
      <c r="H3419" s="16" t="e">
        <f t="shared" si="6884"/>
        <v>#N/A</v>
      </c>
      <c r="I3419" s="16" t="e">
        <f t="shared" si="6884"/>
        <v>#N/A</v>
      </c>
      <c r="J3419" s="40" t="e">
        <f t="shared" si="6884"/>
        <v>#N/A</v>
      </c>
      <c r="K3419" s="16" t="e">
        <f t="shared" si="6884"/>
        <v>#N/A</v>
      </c>
      <c r="L3419" s="40" t="e">
        <f t="shared" si="6649"/>
        <v>#N/A</v>
      </c>
      <c r="M3419" s="16" t="e">
        <f t="shared" si="6650"/>
        <v>#N/A</v>
      </c>
      <c r="N3419" s="16" t="e">
        <f t="shared" si="6651"/>
        <v>#N/A</v>
      </c>
      <c r="O3419" s="16" t="s">
        <v>75</v>
      </c>
      <c r="P3419" s="16" t="str">
        <f t="shared" si="6"/>
        <v/>
      </c>
      <c r="Q3419" s="41" t="e">
        <f t="shared" si="6652"/>
        <v>#N/A</v>
      </c>
      <c r="R3419" s="44"/>
      <c r="S3419" s="44"/>
      <c r="T3419" s="43"/>
      <c r="U3419" s="43" t="str">
        <f t="shared" si="8"/>
        <v>No</v>
      </c>
      <c r="V3419" s="25"/>
      <c r="W3419" s="25"/>
      <c r="X3419" s="25"/>
      <c r="Y3419" s="25"/>
      <c r="Z3419" s="25"/>
    </row>
    <row r="3420" spans="1:26" ht="15.75" customHeight="1" x14ac:dyDescent="0.25">
      <c r="A3420" s="25">
        <v>3418</v>
      </c>
      <c r="B3420" s="37" t="e">
        <f t="shared" ref="B3420:D3420" si="6885">VLOOKUP($A3420,[11]Planeación!$A$1:$O$253,B$1,0)</f>
        <v>#N/A</v>
      </c>
      <c r="C3420" s="38" t="e">
        <f t="shared" si="6885"/>
        <v>#N/A</v>
      </c>
      <c r="D3420" s="39" t="e">
        <f t="shared" si="6885"/>
        <v>#N/A</v>
      </c>
      <c r="E3420" s="16" t="e">
        <f t="shared" si="1"/>
        <v>#N/A</v>
      </c>
      <c r="F3420" s="16" t="e">
        <f t="shared" ref="F3420:K3420" si="6886">VLOOKUP($A3420,[11]Planeación!$A$1:$O$253,F$1,0)</f>
        <v>#N/A</v>
      </c>
      <c r="G3420" s="39" t="e">
        <f t="shared" si="6886"/>
        <v>#N/A</v>
      </c>
      <c r="H3420" s="16" t="e">
        <f t="shared" si="6886"/>
        <v>#N/A</v>
      </c>
      <c r="I3420" s="16" t="e">
        <f t="shared" si="6886"/>
        <v>#N/A</v>
      </c>
      <c r="J3420" s="40" t="e">
        <f t="shared" si="6886"/>
        <v>#N/A</v>
      </c>
      <c r="K3420" s="16" t="e">
        <f t="shared" si="6886"/>
        <v>#N/A</v>
      </c>
      <c r="L3420" s="40" t="e">
        <f t="shared" si="6649"/>
        <v>#N/A</v>
      </c>
      <c r="M3420" s="16" t="e">
        <f t="shared" si="6650"/>
        <v>#N/A</v>
      </c>
      <c r="N3420" s="16" t="e">
        <f t="shared" si="6651"/>
        <v>#N/A</v>
      </c>
      <c r="O3420" s="16" t="s">
        <v>75</v>
      </c>
      <c r="P3420" s="16" t="str">
        <f t="shared" si="6"/>
        <v/>
      </c>
      <c r="Q3420" s="41" t="e">
        <f t="shared" si="6652"/>
        <v>#N/A</v>
      </c>
      <c r="R3420" s="44"/>
      <c r="S3420" s="44"/>
      <c r="T3420" s="43"/>
      <c r="U3420" s="43" t="str">
        <f t="shared" si="8"/>
        <v>No</v>
      </c>
      <c r="V3420" s="25"/>
      <c r="W3420" s="25"/>
      <c r="X3420" s="25"/>
      <c r="Y3420" s="25"/>
      <c r="Z3420" s="25"/>
    </row>
    <row r="3421" spans="1:26" ht="15.75" customHeight="1" x14ac:dyDescent="0.25">
      <c r="A3421" s="25">
        <v>3419</v>
      </c>
      <c r="B3421" s="37" t="e">
        <f t="shared" ref="B3421:D3421" si="6887">VLOOKUP($A3421,[11]Planeación!$A$1:$O$253,B$1,0)</f>
        <v>#N/A</v>
      </c>
      <c r="C3421" s="38" t="e">
        <f t="shared" si="6887"/>
        <v>#N/A</v>
      </c>
      <c r="D3421" s="39" t="e">
        <f t="shared" si="6887"/>
        <v>#N/A</v>
      </c>
      <c r="E3421" s="16" t="e">
        <f t="shared" si="1"/>
        <v>#N/A</v>
      </c>
      <c r="F3421" s="16" t="e">
        <f t="shared" ref="F3421:K3421" si="6888">VLOOKUP($A3421,[11]Planeación!$A$1:$O$253,F$1,0)</f>
        <v>#N/A</v>
      </c>
      <c r="G3421" s="39" t="e">
        <f t="shared" si="6888"/>
        <v>#N/A</v>
      </c>
      <c r="H3421" s="16" t="e">
        <f t="shared" si="6888"/>
        <v>#N/A</v>
      </c>
      <c r="I3421" s="16" t="e">
        <f t="shared" si="6888"/>
        <v>#N/A</v>
      </c>
      <c r="J3421" s="40" t="e">
        <f t="shared" si="6888"/>
        <v>#N/A</v>
      </c>
      <c r="K3421" s="16" t="e">
        <f t="shared" si="6888"/>
        <v>#N/A</v>
      </c>
      <c r="L3421" s="40" t="e">
        <f t="shared" si="6649"/>
        <v>#N/A</v>
      </c>
      <c r="M3421" s="16" t="e">
        <f t="shared" si="6650"/>
        <v>#N/A</v>
      </c>
      <c r="N3421" s="16" t="e">
        <f t="shared" si="6651"/>
        <v>#N/A</v>
      </c>
      <c r="O3421" s="16" t="s">
        <v>75</v>
      </c>
      <c r="P3421" s="16" t="str">
        <f t="shared" si="6"/>
        <v/>
      </c>
      <c r="Q3421" s="41" t="e">
        <f t="shared" si="6652"/>
        <v>#N/A</v>
      </c>
      <c r="R3421" s="44"/>
      <c r="S3421" s="44"/>
      <c r="T3421" s="43"/>
      <c r="U3421" s="43" t="str">
        <f t="shared" si="8"/>
        <v>No</v>
      </c>
      <c r="V3421" s="25"/>
      <c r="W3421" s="25"/>
      <c r="X3421" s="25"/>
      <c r="Y3421" s="25"/>
      <c r="Z3421" s="25"/>
    </row>
    <row r="3422" spans="1:26" ht="15.75" customHeight="1" x14ac:dyDescent="0.25">
      <c r="A3422" s="25">
        <v>3420</v>
      </c>
      <c r="B3422" s="37" t="e">
        <f t="shared" ref="B3422:D3422" si="6889">VLOOKUP($A3422,[11]Planeación!$A$1:$O$253,B$1,0)</f>
        <v>#N/A</v>
      </c>
      <c r="C3422" s="38" t="e">
        <f t="shared" si="6889"/>
        <v>#N/A</v>
      </c>
      <c r="D3422" s="39" t="e">
        <f t="shared" si="6889"/>
        <v>#N/A</v>
      </c>
      <c r="E3422" s="16" t="e">
        <f t="shared" si="1"/>
        <v>#N/A</v>
      </c>
      <c r="F3422" s="16" t="e">
        <f t="shared" ref="F3422:K3422" si="6890">VLOOKUP($A3422,[11]Planeación!$A$1:$O$253,F$1,0)</f>
        <v>#N/A</v>
      </c>
      <c r="G3422" s="39" t="e">
        <f t="shared" si="6890"/>
        <v>#N/A</v>
      </c>
      <c r="H3422" s="16" t="e">
        <f t="shared" si="6890"/>
        <v>#N/A</v>
      </c>
      <c r="I3422" s="16" t="e">
        <f t="shared" si="6890"/>
        <v>#N/A</v>
      </c>
      <c r="J3422" s="40" t="e">
        <f t="shared" si="6890"/>
        <v>#N/A</v>
      </c>
      <c r="K3422" s="16" t="e">
        <f t="shared" si="6890"/>
        <v>#N/A</v>
      </c>
      <c r="L3422" s="40" t="e">
        <f t="shared" si="6649"/>
        <v>#N/A</v>
      </c>
      <c r="M3422" s="16" t="e">
        <f t="shared" si="6650"/>
        <v>#N/A</v>
      </c>
      <c r="N3422" s="16" t="e">
        <f t="shared" si="6651"/>
        <v>#N/A</v>
      </c>
      <c r="O3422" s="16" t="s">
        <v>75</v>
      </c>
      <c r="P3422" s="16" t="str">
        <f t="shared" si="6"/>
        <v/>
      </c>
      <c r="Q3422" s="41" t="e">
        <f t="shared" si="6652"/>
        <v>#N/A</v>
      </c>
      <c r="R3422" s="44"/>
      <c r="S3422" s="44"/>
      <c r="T3422" s="43"/>
      <c r="U3422" s="43" t="str">
        <f t="shared" si="8"/>
        <v>No</v>
      </c>
      <c r="V3422" s="25"/>
      <c r="W3422" s="25"/>
      <c r="X3422" s="25"/>
      <c r="Y3422" s="25"/>
      <c r="Z3422" s="25"/>
    </row>
    <row r="3423" spans="1:26" ht="15.75" customHeight="1" x14ac:dyDescent="0.25">
      <c r="A3423" s="25">
        <v>3421</v>
      </c>
      <c r="B3423" s="37" t="e">
        <f t="shared" ref="B3423:D3423" si="6891">VLOOKUP($A3423,[11]Planeación!$A$1:$O$253,B$1,0)</f>
        <v>#N/A</v>
      </c>
      <c r="C3423" s="38" t="e">
        <f t="shared" si="6891"/>
        <v>#N/A</v>
      </c>
      <c r="D3423" s="39" t="e">
        <f t="shared" si="6891"/>
        <v>#N/A</v>
      </c>
      <c r="E3423" s="16" t="e">
        <f t="shared" si="1"/>
        <v>#N/A</v>
      </c>
      <c r="F3423" s="16" t="e">
        <f t="shared" ref="F3423:K3423" si="6892">VLOOKUP($A3423,[11]Planeación!$A$1:$O$253,F$1,0)</f>
        <v>#N/A</v>
      </c>
      <c r="G3423" s="39" t="e">
        <f t="shared" si="6892"/>
        <v>#N/A</v>
      </c>
      <c r="H3423" s="16" t="e">
        <f t="shared" si="6892"/>
        <v>#N/A</v>
      </c>
      <c r="I3423" s="16" t="e">
        <f t="shared" si="6892"/>
        <v>#N/A</v>
      </c>
      <c r="J3423" s="40" t="e">
        <f t="shared" si="6892"/>
        <v>#N/A</v>
      </c>
      <c r="K3423" s="16" t="e">
        <f t="shared" si="6892"/>
        <v>#N/A</v>
      </c>
      <c r="L3423" s="40" t="e">
        <f t="shared" si="6649"/>
        <v>#N/A</v>
      </c>
      <c r="M3423" s="16" t="e">
        <f t="shared" si="6650"/>
        <v>#N/A</v>
      </c>
      <c r="N3423" s="16" t="e">
        <f t="shared" si="6651"/>
        <v>#N/A</v>
      </c>
      <c r="O3423" s="16" t="s">
        <v>75</v>
      </c>
      <c r="P3423" s="16" t="str">
        <f t="shared" si="6"/>
        <v/>
      </c>
      <c r="Q3423" s="41" t="e">
        <f t="shared" si="6652"/>
        <v>#N/A</v>
      </c>
      <c r="R3423" s="44"/>
      <c r="S3423" s="44"/>
      <c r="T3423" s="43"/>
      <c r="U3423" s="43" t="str">
        <f t="shared" si="8"/>
        <v>No</v>
      </c>
      <c r="V3423" s="25"/>
      <c r="W3423" s="25"/>
      <c r="X3423" s="25"/>
      <c r="Y3423" s="25"/>
      <c r="Z3423" s="25"/>
    </row>
    <row r="3424" spans="1:26" ht="15.75" customHeight="1" x14ac:dyDescent="0.25">
      <c r="A3424" s="25">
        <v>3422</v>
      </c>
      <c r="B3424" s="37" t="e">
        <f t="shared" ref="B3424:D3424" si="6893">VLOOKUP($A3424,[11]Planeación!$A$1:$O$253,B$1,0)</f>
        <v>#N/A</v>
      </c>
      <c r="C3424" s="38" t="e">
        <f t="shared" si="6893"/>
        <v>#N/A</v>
      </c>
      <c r="D3424" s="39" t="e">
        <f t="shared" si="6893"/>
        <v>#N/A</v>
      </c>
      <c r="E3424" s="16" t="e">
        <f t="shared" si="1"/>
        <v>#N/A</v>
      </c>
      <c r="F3424" s="16" t="e">
        <f t="shared" ref="F3424:K3424" si="6894">VLOOKUP($A3424,[11]Planeación!$A$1:$O$253,F$1,0)</f>
        <v>#N/A</v>
      </c>
      <c r="G3424" s="39" t="e">
        <f t="shared" si="6894"/>
        <v>#N/A</v>
      </c>
      <c r="H3424" s="16" t="e">
        <f t="shared" si="6894"/>
        <v>#N/A</v>
      </c>
      <c r="I3424" s="16" t="e">
        <f t="shared" si="6894"/>
        <v>#N/A</v>
      </c>
      <c r="J3424" s="40" t="e">
        <f t="shared" si="6894"/>
        <v>#N/A</v>
      </c>
      <c r="K3424" s="16" t="e">
        <f t="shared" si="6894"/>
        <v>#N/A</v>
      </c>
      <c r="L3424" s="40" t="e">
        <f t="shared" si="6649"/>
        <v>#N/A</v>
      </c>
      <c r="M3424" s="16" t="e">
        <f t="shared" si="6650"/>
        <v>#N/A</v>
      </c>
      <c r="N3424" s="16" t="e">
        <f t="shared" si="6651"/>
        <v>#N/A</v>
      </c>
      <c r="O3424" s="16" t="s">
        <v>75</v>
      </c>
      <c r="P3424" s="16" t="str">
        <f t="shared" si="6"/>
        <v/>
      </c>
      <c r="Q3424" s="41" t="e">
        <f t="shared" si="6652"/>
        <v>#N/A</v>
      </c>
      <c r="R3424" s="44"/>
      <c r="S3424" s="44"/>
      <c r="T3424" s="43"/>
      <c r="U3424" s="43" t="str">
        <f t="shared" si="8"/>
        <v>No</v>
      </c>
      <c r="V3424" s="25"/>
      <c r="W3424" s="25"/>
      <c r="X3424" s="25"/>
      <c r="Y3424" s="25"/>
      <c r="Z3424" s="25"/>
    </row>
    <row r="3425" spans="1:26" ht="15.75" customHeight="1" x14ac:dyDescent="0.25">
      <c r="A3425" s="25">
        <v>3423</v>
      </c>
      <c r="B3425" s="37" t="e">
        <f t="shared" ref="B3425:D3425" si="6895">VLOOKUP($A3425,[11]Planeación!$A$1:$O$253,B$1,0)</f>
        <v>#N/A</v>
      </c>
      <c r="C3425" s="38" t="e">
        <f t="shared" si="6895"/>
        <v>#N/A</v>
      </c>
      <c r="D3425" s="39" t="e">
        <f t="shared" si="6895"/>
        <v>#N/A</v>
      </c>
      <c r="E3425" s="16" t="e">
        <f t="shared" si="1"/>
        <v>#N/A</v>
      </c>
      <c r="F3425" s="16" t="e">
        <f t="shared" ref="F3425:K3425" si="6896">VLOOKUP($A3425,[11]Planeación!$A$1:$O$253,F$1,0)</f>
        <v>#N/A</v>
      </c>
      <c r="G3425" s="39" t="e">
        <f t="shared" si="6896"/>
        <v>#N/A</v>
      </c>
      <c r="H3425" s="16" t="e">
        <f t="shared" si="6896"/>
        <v>#N/A</v>
      </c>
      <c r="I3425" s="16" t="e">
        <f t="shared" si="6896"/>
        <v>#N/A</v>
      </c>
      <c r="J3425" s="40" t="e">
        <f t="shared" si="6896"/>
        <v>#N/A</v>
      </c>
      <c r="K3425" s="16" t="e">
        <f t="shared" si="6896"/>
        <v>#N/A</v>
      </c>
      <c r="L3425" s="40" t="e">
        <f t="shared" si="6649"/>
        <v>#N/A</v>
      </c>
      <c r="M3425" s="16" t="e">
        <f t="shared" si="6650"/>
        <v>#N/A</v>
      </c>
      <c r="N3425" s="16" t="e">
        <f t="shared" si="6651"/>
        <v>#N/A</v>
      </c>
      <c r="O3425" s="16" t="s">
        <v>75</v>
      </c>
      <c r="P3425" s="16" t="str">
        <f t="shared" si="6"/>
        <v/>
      </c>
      <c r="Q3425" s="41" t="e">
        <f t="shared" si="6652"/>
        <v>#N/A</v>
      </c>
      <c r="R3425" s="44"/>
      <c r="S3425" s="44"/>
      <c r="T3425" s="43"/>
      <c r="U3425" s="43" t="str">
        <f t="shared" si="8"/>
        <v>No</v>
      </c>
      <c r="V3425" s="25"/>
      <c r="W3425" s="25"/>
      <c r="X3425" s="25"/>
      <c r="Y3425" s="25"/>
      <c r="Z3425" s="25"/>
    </row>
    <row r="3426" spans="1:26" ht="15.75" customHeight="1" x14ac:dyDescent="0.25">
      <c r="A3426" s="25">
        <v>3424</v>
      </c>
      <c r="B3426" s="37" t="e">
        <f t="shared" ref="B3426:D3426" si="6897">VLOOKUP($A3426,[11]Planeación!$A$1:$O$253,B$1,0)</f>
        <v>#N/A</v>
      </c>
      <c r="C3426" s="38" t="e">
        <f t="shared" si="6897"/>
        <v>#N/A</v>
      </c>
      <c r="D3426" s="39" t="e">
        <f t="shared" si="6897"/>
        <v>#N/A</v>
      </c>
      <c r="E3426" s="16" t="e">
        <f t="shared" si="1"/>
        <v>#N/A</v>
      </c>
      <c r="F3426" s="16" t="e">
        <f t="shared" ref="F3426:K3426" si="6898">VLOOKUP($A3426,[11]Planeación!$A$1:$O$253,F$1,0)</f>
        <v>#N/A</v>
      </c>
      <c r="G3426" s="39" t="e">
        <f t="shared" si="6898"/>
        <v>#N/A</v>
      </c>
      <c r="H3426" s="16" t="e">
        <f t="shared" si="6898"/>
        <v>#N/A</v>
      </c>
      <c r="I3426" s="16" t="e">
        <f t="shared" si="6898"/>
        <v>#N/A</v>
      </c>
      <c r="J3426" s="40" t="e">
        <f t="shared" si="6898"/>
        <v>#N/A</v>
      </c>
      <c r="K3426" s="16" t="e">
        <f t="shared" si="6898"/>
        <v>#N/A</v>
      </c>
      <c r="L3426" s="40" t="e">
        <f t="shared" si="6649"/>
        <v>#N/A</v>
      </c>
      <c r="M3426" s="16" t="e">
        <f t="shared" si="6650"/>
        <v>#N/A</v>
      </c>
      <c r="N3426" s="16" t="e">
        <f t="shared" si="6651"/>
        <v>#N/A</v>
      </c>
      <c r="O3426" s="16" t="s">
        <v>75</v>
      </c>
      <c r="P3426" s="16" t="str">
        <f t="shared" si="6"/>
        <v/>
      </c>
      <c r="Q3426" s="41" t="e">
        <f t="shared" si="6652"/>
        <v>#N/A</v>
      </c>
      <c r="R3426" s="44"/>
      <c r="S3426" s="44"/>
      <c r="T3426" s="43"/>
      <c r="U3426" s="43" t="str">
        <f t="shared" si="8"/>
        <v>No</v>
      </c>
      <c r="V3426" s="25"/>
      <c r="W3426" s="25"/>
      <c r="X3426" s="25"/>
      <c r="Y3426" s="25"/>
      <c r="Z3426" s="25"/>
    </row>
    <row r="3427" spans="1:26" ht="15.75" customHeight="1" x14ac:dyDescent="0.25">
      <c r="A3427" s="25">
        <v>3425</v>
      </c>
      <c r="B3427" s="37" t="e">
        <f t="shared" ref="B3427:D3427" si="6899">VLOOKUP($A3427,[11]Planeación!$A$1:$O$253,B$1,0)</f>
        <v>#N/A</v>
      </c>
      <c r="C3427" s="38" t="e">
        <f t="shared" si="6899"/>
        <v>#N/A</v>
      </c>
      <c r="D3427" s="39" t="e">
        <f t="shared" si="6899"/>
        <v>#N/A</v>
      </c>
      <c r="E3427" s="16" t="e">
        <f t="shared" si="1"/>
        <v>#N/A</v>
      </c>
      <c r="F3427" s="16" t="e">
        <f t="shared" ref="F3427:K3427" si="6900">VLOOKUP($A3427,[11]Planeación!$A$1:$O$253,F$1,0)</f>
        <v>#N/A</v>
      </c>
      <c r="G3427" s="39" t="e">
        <f t="shared" si="6900"/>
        <v>#N/A</v>
      </c>
      <c r="H3427" s="16" t="e">
        <f t="shared" si="6900"/>
        <v>#N/A</v>
      </c>
      <c r="I3427" s="16" t="e">
        <f t="shared" si="6900"/>
        <v>#N/A</v>
      </c>
      <c r="J3427" s="40" t="e">
        <f t="shared" si="6900"/>
        <v>#N/A</v>
      </c>
      <c r="K3427" s="16" t="e">
        <f t="shared" si="6900"/>
        <v>#N/A</v>
      </c>
      <c r="L3427" s="40" t="e">
        <f t="shared" si="6649"/>
        <v>#N/A</v>
      </c>
      <c r="M3427" s="16" t="e">
        <f t="shared" si="6650"/>
        <v>#N/A</v>
      </c>
      <c r="N3427" s="16" t="e">
        <f t="shared" si="6651"/>
        <v>#N/A</v>
      </c>
      <c r="O3427" s="16" t="s">
        <v>75</v>
      </c>
      <c r="P3427" s="16" t="str">
        <f t="shared" si="6"/>
        <v/>
      </c>
      <c r="Q3427" s="41" t="e">
        <f t="shared" si="6652"/>
        <v>#N/A</v>
      </c>
      <c r="R3427" s="44"/>
      <c r="S3427" s="44"/>
      <c r="T3427" s="43"/>
      <c r="U3427" s="43" t="str">
        <f t="shared" si="8"/>
        <v>No</v>
      </c>
      <c r="V3427" s="25"/>
      <c r="W3427" s="25"/>
      <c r="X3427" s="25"/>
      <c r="Y3427" s="25"/>
      <c r="Z3427" s="25"/>
    </row>
    <row r="3428" spans="1:26" ht="15.75" customHeight="1" x14ac:dyDescent="0.25">
      <c r="A3428" s="25">
        <v>3426</v>
      </c>
      <c r="B3428" s="37" t="e">
        <f t="shared" ref="B3428:D3428" si="6901">VLOOKUP($A3428,[11]Planeación!$A$1:$O$253,B$1,0)</f>
        <v>#N/A</v>
      </c>
      <c r="C3428" s="38" t="e">
        <f t="shared" si="6901"/>
        <v>#N/A</v>
      </c>
      <c r="D3428" s="39" t="e">
        <f t="shared" si="6901"/>
        <v>#N/A</v>
      </c>
      <c r="E3428" s="16" t="e">
        <f t="shared" si="1"/>
        <v>#N/A</v>
      </c>
      <c r="F3428" s="16" t="e">
        <f t="shared" ref="F3428:K3428" si="6902">VLOOKUP($A3428,[11]Planeación!$A$1:$O$253,F$1,0)</f>
        <v>#N/A</v>
      </c>
      <c r="G3428" s="39" t="e">
        <f t="shared" si="6902"/>
        <v>#N/A</v>
      </c>
      <c r="H3428" s="16" t="e">
        <f t="shared" si="6902"/>
        <v>#N/A</v>
      </c>
      <c r="I3428" s="16" t="e">
        <f t="shared" si="6902"/>
        <v>#N/A</v>
      </c>
      <c r="J3428" s="40" t="e">
        <f t="shared" si="6902"/>
        <v>#N/A</v>
      </c>
      <c r="K3428" s="16" t="e">
        <f t="shared" si="6902"/>
        <v>#N/A</v>
      </c>
      <c r="L3428" s="40" t="e">
        <f t="shared" si="6649"/>
        <v>#N/A</v>
      </c>
      <c r="M3428" s="16" t="e">
        <f t="shared" si="6650"/>
        <v>#N/A</v>
      </c>
      <c r="N3428" s="16" t="e">
        <f t="shared" si="6651"/>
        <v>#N/A</v>
      </c>
      <c r="O3428" s="16" t="s">
        <v>75</v>
      </c>
      <c r="P3428" s="16" t="str">
        <f t="shared" si="6"/>
        <v/>
      </c>
      <c r="Q3428" s="41" t="e">
        <f t="shared" si="6652"/>
        <v>#N/A</v>
      </c>
      <c r="R3428" s="44"/>
      <c r="S3428" s="44"/>
      <c r="T3428" s="43"/>
      <c r="U3428" s="43" t="str">
        <f t="shared" si="8"/>
        <v>No</v>
      </c>
      <c r="V3428" s="25"/>
      <c r="W3428" s="25"/>
      <c r="X3428" s="25"/>
      <c r="Y3428" s="25"/>
      <c r="Z3428" s="25"/>
    </row>
    <row r="3429" spans="1:26" ht="15.75" customHeight="1" x14ac:dyDescent="0.25">
      <c r="A3429" s="25">
        <v>3427</v>
      </c>
      <c r="B3429" s="37" t="e">
        <f t="shared" ref="B3429:D3429" si="6903">VLOOKUP($A3429,[11]Planeación!$A$1:$O$253,B$1,0)</f>
        <v>#N/A</v>
      </c>
      <c r="C3429" s="38" t="e">
        <f t="shared" si="6903"/>
        <v>#N/A</v>
      </c>
      <c r="D3429" s="39" t="e">
        <f t="shared" si="6903"/>
        <v>#N/A</v>
      </c>
      <c r="E3429" s="16" t="e">
        <f t="shared" si="1"/>
        <v>#N/A</v>
      </c>
      <c r="F3429" s="16" t="e">
        <f t="shared" ref="F3429:K3429" si="6904">VLOOKUP($A3429,[11]Planeación!$A$1:$O$253,F$1,0)</f>
        <v>#N/A</v>
      </c>
      <c r="G3429" s="39" t="e">
        <f t="shared" si="6904"/>
        <v>#N/A</v>
      </c>
      <c r="H3429" s="16" t="e">
        <f t="shared" si="6904"/>
        <v>#N/A</v>
      </c>
      <c r="I3429" s="16" t="e">
        <f t="shared" si="6904"/>
        <v>#N/A</v>
      </c>
      <c r="J3429" s="40" t="e">
        <f t="shared" si="6904"/>
        <v>#N/A</v>
      </c>
      <c r="K3429" s="16" t="e">
        <f t="shared" si="6904"/>
        <v>#N/A</v>
      </c>
      <c r="L3429" s="40" t="e">
        <f t="shared" si="6649"/>
        <v>#N/A</v>
      </c>
      <c r="M3429" s="16" t="e">
        <f t="shared" si="6650"/>
        <v>#N/A</v>
      </c>
      <c r="N3429" s="16" t="e">
        <f t="shared" si="6651"/>
        <v>#N/A</v>
      </c>
      <c r="O3429" s="16" t="s">
        <v>75</v>
      </c>
      <c r="P3429" s="16" t="str">
        <f t="shared" si="6"/>
        <v/>
      </c>
      <c r="Q3429" s="41" t="e">
        <f t="shared" si="6652"/>
        <v>#N/A</v>
      </c>
      <c r="R3429" s="44"/>
      <c r="S3429" s="44"/>
      <c r="T3429" s="43"/>
      <c r="U3429" s="43" t="str">
        <f t="shared" si="8"/>
        <v>No</v>
      </c>
      <c r="V3429" s="25"/>
      <c r="W3429" s="25"/>
      <c r="X3429" s="25"/>
      <c r="Y3429" s="25"/>
      <c r="Z3429" s="25"/>
    </row>
    <row r="3430" spans="1:26" ht="15.75" customHeight="1" x14ac:dyDescent="0.25">
      <c r="A3430" s="25">
        <v>3428</v>
      </c>
      <c r="B3430" s="37" t="e">
        <f t="shared" ref="B3430:D3430" si="6905">VLOOKUP($A3430,[11]Planeación!$A$1:$O$253,B$1,0)</f>
        <v>#N/A</v>
      </c>
      <c r="C3430" s="38" t="e">
        <f t="shared" si="6905"/>
        <v>#N/A</v>
      </c>
      <c r="D3430" s="39" t="e">
        <f t="shared" si="6905"/>
        <v>#N/A</v>
      </c>
      <c r="E3430" s="16" t="e">
        <f t="shared" si="1"/>
        <v>#N/A</v>
      </c>
      <c r="F3430" s="16" t="e">
        <f t="shared" ref="F3430:K3430" si="6906">VLOOKUP($A3430,[11]Planeación!$A$1:$O$253,F$1,0)</f>
        <v>#N/A</v>
      </c>
      <c r="G3430" s="39" t="e">
        <f t="shared" si="6906"/>
        <v>#N/A</v>
      </c>
      <c r="H3430" s="16" t="e">
        <f t="shared" si="6906"/>
        <v>#N/A</v>
      </c>
      <c r="I3430" s="16" t="e">
        <f t="shared" si="6906"/>
        <v>#N/A</v>
      </c>
      <c r="J3430" s="40" t="e">
        <f t="shared" si="6906"/>
        <v>#N/A</v>
      </c>
      <c r="K3430" s="16" t="e">
        <f t="shared" si="6906"/>
        <v>#N/A</v>
      </c>
      <c r="L3430" s="40" t="e">
        <f t="shared" si="6649"/>
        <v>#N/A</v>
      </c>
      <c r="M3430" s="16" t="e">
        <f t="shared" si="6650"/>
        <v>#N/A</v>
      </c>
      <c r="N3430" s="16" t="e">
        <f t="shared" si="6651"/>
        <v>#N/A</v>
      </c>
      <c r="O3430" s="16" t="s">
        <v>75</v>
      </c>
      <c r="P3430" s="16" t="str">
        <f t="shared" si="6"/>
        <v/>
      </c>
      <c r="Q3430" s="41" t="e">
        <f t="shared" si="6652"/>
        <v>#N/A</v>
      </c>
      <c r="R3430" s="44"/>
      <c r="S3430" s="44"/>
      <c r="T3430" s="43"/>
      <c r="U3430" s="43" t="str">
        <f t="shared" si="8"/>
        <v>No</v>
      </c>
      <c r="V3430" s="25"/>
      <c r="W3430" s="25"/>
      <c r="X3430" s="25"/>
      <c r="Y3430" s="25"/>
      <c r="Z3430" s="25"/>
    </row>
    <row r="3431" spans="1:26" ht="15.75" customHeight="1" x14ac:dyDescent="0.25">
      <c r="A3431" s="25">
        <v>3429</v>
      </c>
      <c r="B3431" s="37" t="e">
        <f t="shared" ref="B3431:D3431" si="6907">VLOOKUP($A3431,[11]Planeación!$A$1:$O$253,B$1,0)</f>
        <v>#N/A</v>
      </c>
      <c r="C3431" s="38" t="e">
        <f t="shared" si="6907"/>
        <v>#N/A</v>
      </c>
      <c r="D3431" s="39" t="e">
        <f t="shared" si="6907"/>
        <v>#N/A</v>
      </c>
      <c r="E3431" s="16" t="e">
        <f t="shared" si="1"/>
        <v>#N/A</v>
      </c>
      <c r="F3431" s="16" t="e">
        <f t="shared" ref="F3431:K3431" si="6908">VLOOKUP($A3431,[11]Planeación!$A$1:$O$253,F$1,0)</f>
        <v>#N/A</v>
      </c>
      <c r="G3431" s="39" t="e">
        <f t="shared" si="6908"/>
        <v>#N/A</v>
      </c>
      <c r="H3431" s="16" t="e">
        <f t="shared" si="6908"/>
        <v>#N/A</v>
      </c>
      <c r="I3431" s="16" t="e">
        <f t="shared" si="6908"/>
        <v>#N/A</v>
      </c>
      <c r="J3431" s="40" t="e">
        <f t="shared" si="6908"/>
        <v>#N/A</v>
      </c>
      <c r="K3431" s="16" t="e">
        <f t="shared" si="6908"/>
        <v>#N/A</v>
      </c>
      <c r="L3431" s="40" t="e">
        <f t="shared" si="6649"/>
        <v>#N/A</v>
      </c>
      <c r="M3431" s="16" t="e">
        <f t="shared" si="6650"/>
        <v>#N/A</v>
      </c>
      <c r="N3431" s="16" t="e">
        <f t="shared" si="6651"/>
        <v>#N/A</v>
      </c>
      <c r="O3431" s="16" t="s">
        <v>75</v>
      </c>
      <c r="P3431" s="16" t="str">
        <f t="shared" si="6"/>
        <v/>
      </c>
      <c r="Q3431" s="41" t="e">
        <f t="shared" si="6652"/>
        <v>#N/A</v>
      </c>
      <c r="R3431" s="44"/>
      <c r="S3431" s="44"/>
      <c r="T3431" s="43"/>
      <c r="U3431" s="43" t="str">
        <f t="shared" si="8"/>
        <v>No</v>
      </c>
      <c r="V3431" s="25"/>
      <c r="W3431" s="25"/>
      <c r="X3431" s="25"/>
      <c r="Y3431" s="25"/>
      <c r="Z3431" s="25"/>
    </row>
    <row r="3432" spans="1:26" ht="15.75" customHeight="1" x14ac:dyDescent="0.25">
      <c r="A3432" s="25">
        <v>3430</v>
      </c>
      <c r="B3432" s="37" t="e">
        <f t="shared" ref="B3432:D3432" si="6909">VLOOKUP($A3432,[11]Planeación!$A$1:$O$253,B$1,0)</f>
        <v>#N/A</v>
      </c>
      <c r="C3432" s="38" t="e">
        <f t="shared" si="6909"/>
        <v>#N/A</v>
      </c>
      <c r="D3432" s="39" t="e">
        <f t="shared" si="6909"/>
        <v>#N/A</v>
      </c>
      <c r="E3432" s="16" t="e">
        <f t="shared" si="1"/>
        <v>#N/A</v>
      </c>
      <c r="F3432" s="16" t="e">
        <f t="shared" ref="F3432:K3432" si="6910">VLOOKUP($A3432,[11]Planeación!$A$1:$O$253,F$1,0)</f>
        <v>#N/A</v>
      </c>
      <c r="G3432" s="39" t="e">
        <f t="shared" si="6910"/>
        <v>#N/A</v>
      </c>
      <c r="H3432" s="16" t="e">
        <f t="shared" si="6910"/>
        <v>#N/A</v>
      </c>
      <c r="I3432" s="16" t="e">
        <f t="shared" si="6910"/>
        <v>#N/A</v>
      </c>
      <c r="J3432" s="40" t="e">
        <f t="shared" si="6910"/>
        <v>#N/A</v>
      </c>
      <c r="K3432" s="16" t="e">
        <f t="shared" si="6910"/>
        <v>#N/A</v>
      </c>
      <c r="L3432" s="40" t="e">
        <f t="shared" si="6649"/>
        <v>#N/A</v>
      </c>
      <c r="M3432" s="16" t="e">
        <f t="shared" si="6650"/>
        <v>#N/A</v>
      </c>
      <c r="N3432" s="16" t="e">
        <f t="shared" si="6651"/>
        <v>#N/A</v>
      </c>
      <c r="O3432" s="16" t="s">
        <v>75</v>
      </c>
      <c r="P3432" s="16" t="str">
        <f t="shared" si="6"/>
        <v/>
      </c>
      <c r="Q3432" s="41" t="e">
        <f t="shared" si="6652"/>
        <v>#N/A</v>
      </c>
      <c r="R3432" s="44"/>
      <c r="S3432" s="44"/>
      <c r="T3432" s="43"/>
      <c r="U3432" s="43" t="str">
        <f t="shared" si="8"/>
        <v>No</v>
      </c>
      <c r="V3432" s="25"/>
      <c r="W3432" s="25"/>
      <c r="X3432" s="25"/>
      <c r="Y3432" s="25"/>
      <c r="Z3432" s="25"/>
    </row>
    <row r="3433" spans="1:26" ht="15.75" customHeight="1" x14ac:dyDescent="0.25">
      <c r="A3433" s="25">
        <v>3431</v>
      </c>
      <c r="B3433" s="37" t="e">
        <f t="shared" ref="B3433:D3433" si="6911">VLOOKUP($A3433,[11]Planeación!$A$1:$O$253,B$1,0)</f>
        <v>#N/A</v>
      </c>
      <c r="C3433" s="38" t="e">
        <f t="shared" si="6911"/>
        <v>#N/A</v>
      </c>
      <c r="D3433" s="39" t="e">
        <f t="shared" si="6911"/>
        <v>#N/A</v>
      </c>
      <c r="E3433" s="16" t="e">
        <f t="shared" si="1"/>
        <v>#N/A</v>
      </c>
      <c r="F3433" s="16" t="e">
        <f t="shared" ref="F3433:K3433" si="6912">VLOOKUP($A3433,[11]Planeación!$A$1:$O$253,F$1,0)</f>
        <v>#N/A</v>
      </c>
      <c r="G3433" s="39" t="e">
        <f t="shared" si="6912"/>
        <v>#N/A</v>
      </c>
      <c r="H3433" s="16" t="e">
        <f t="shared" si="6912"/>
        <v>#N/A</v>
      </c>
      <c r="I3433" s="16" t="e">
        <f t="shared" si="6912"/>
        <v>#N/A</v>
      </c>
      <c r="J3433" s="40" t="e">
        <f t="shared" si="6912"/>
        <v>#N/A</v>
      </c>
      <c r="K3433" s="16" t="e">
        <f t="shared" si="6912"/>
        <v>#N/A</v>
      </c>
      <c r="L3433" s="40" t="e">
        <f t="shared" si="6649"/>
        <v>#N/A</v>
      </c>
      <c r="M3433" s="16" t="e">
        <f t="shared" si="6650"/>
        <v>#N/A</v>
      </c>
      <c r="N3433" s="16" t="e">
        <f t="shared" si="6651"/>
        <v>#N/A</v>
      </c>
      <c r="O3433" s="16" t="s">
        <v>75</v>
      </c>
      <c r="P3433" s="16" t="str">
        <f t="shared" si="6"/>
        <v/>
      </c>
      <c r="Q3433" s="41" t="e">
        <f t="shared" si="6652"/>
        <v>#N/A</v>
      </c>
      <c r="R3433" s="44"/>
      <c r="S3433" s="44"/>
      <c r="T3433" s="43"/>
      <c r="U3433" s="43" t="str">
        <f t="shared" si="8"/>
        <v>No</v>
      </c>
      <c r="V3433" s="25"/>
      <c r="W3433" s="25"/>
      <c r="X3433" s="25"/>
      <c r="Y3433" s="25"/>
      <c r="Z3433" s="25"/>
    </row>
    <row r="3434" spans="1:26" ht="15.75" customHeight="1" x14ac:dyDescent="0.25">
      <c r="A3434" s="25">
        <v>3432</v>
      </c>
      <c r="B3434" s="37" t="e">
        <f t="shared" ref="B3434:D3434" si="6913">VLOOKUP($A3434,[11]Planeación!$A$1:$O$253,B$1,0)</f>
        <v>#N/A</v>
      </c>
      <c r="C3434" s="38" t="e">
        <f t="shared" si="6913"/>
        <v>#N/A</v>
      </c>
      <c r="D3434" s="39" t="e">
        <f t="shared" si="6913"/>
        <v>#N/A</v>
      </c>
      <c r="E3434" s="16" t="e">
        <f t="shared" si="1"/>
        <v>#N/A</v>
      </c>
      <c r="F3434" s="16" t="e">
        <f t="shared" ref="F3434:K3434" si="6914">VLOOKUP($A3434,[11]Planeación!$A$1:$O$253,F$1,0)</f>
        <v>#N/A</v>
      </c>
      <c r="G3434" s="39" t="e">
        <f t="shared" si="6914"/>
        <v>#N/A</v>
      </c>
      <c r="H3434" s="16" t="e">
        <f t="shared" si="6914"/>
        <v>#N/A</v>
      </c>
      <c r="I3434" s="16" t="e">
        <f t="shared" si="6914"/>
        <v>#N/A</v>
      </c>
      <c r="J3434" s="40" t="e">
        <f t="shared" si="6914"/>
        <v>#N/A</v>
      </c>
      <c r="K3434" s="16" t="e">
        <f t="shared" si="6914"/>
        <v>#N/A</v>
      </c>
      <c r="L3434" s="40" t="e">
        <f t="shared" si="6649"/>
        <v>#N/A</v>
      </c>
      <c r="M3434" s="16" t="e">
        <f t="shared" si="6650"/>
        <v>#N/A</v>
      </c>
      <c r="N3434" s="16" t="e">
        <f t="shared" si="6651"/>
        <v>#N/A</v>
      </c>
      <c r="O3434" s="16" t="s">
        <v>75</v>
      </c>
      <c r="P3434" s="16" t="str">
        <f t="shared" si="6"/>
        <v/>
      </c>
      <c r="Q3434" s="41" t="e">
        <f t="shared" si="6652"/>
        <v>#N/A</v>
      </c>
      <c r="R3434" s="44"/>
      <c r="S3434" s="44"/>
      <c r="T3434" s="43"/>
      <c r="U3434" s="43" t="str">
        <f t="shared" si="8"/>
        <v>No</v>
      </c>
      <c r="V3434" s="25"/>
      <c r="W3434" s="25"/>
      <c r="X3434" s="25"/>
      <c r="Y3434" s="25"/>
      <c r="Z3434" s="25"/>
    </row>
    <row r="3435" spans="1:26" ht="15.75" customHeight="1" x14ac:dyDescent="0.25">
      <c r="A3435" s="25">
        <v>3433</v>
      </c>
      <c r="B3435" s="37" t="e">
        <f t="shared" ref="B3435:D3435" si="6915">VLOOKUP($A3435,[11]Planeación!$A$1:$O$253,B$1,0)</f>
        <v>#N/A</v>
      </c>
      <c r="C3435" s="38" t="e">
        <f t="shared" si="6915"/>
        <v>#N/A</v>
      </c>
      <c r="D3435" s="39" t="e">
        <f t="shared" si="6915"/>
        <v>#N/A</v>
      </c>
      <c r="E3435" s="16" t="e">
        <f t="shared" si="1"/>
        <v>#N/A</v>
      </c>
      <c r="F3435" s="16" t="e">
        <f t="shared" ref="F3435:K3435" si="6916">VLOOKUP($A3435,[11]Planeación!$A$1:$O$253,F$1,0)</f>
        <v>#N/A</v>
      </c>
      <c r="G3435" s="39" t="e">
        <f t="shared" si="6916"/>
        <v>#N/A</v>
      </c>
      <c r="H3435" s="16" t="e">
        <f t="shared" si="6916"/>
        <v>#N/A</v>
      </c>
      <c r="I3435" s="16" t="e">
        <f t="shared" si="6916"/>
        <v>#N/A</v>
      </c>
      <c r="J3435" s="40" t="e">
        <f t="shared" si="6916"/>
        <v>#N/A</v>
      </c>
      <c r="K3435" s="16" t="e">
        <f t="shared" si="6916"/>
        <v>#N/A</v>
      </c>
      <c r="L3435" s="40" t="e">
        <f t="shared" si="6649"/>
        <v>#N/A</v>
      </c>
      <c r="M3435" s="16" t="e">
        <f t="shared" si="6650"/>
        <v>#N/A</v>
      </c>
      <c r="N3435" s="16" t="e">
        <f t="shared" si="6651"/>
        <v>#N/A</v>
      </c>
      <c r="O3435" s="16" t="s">
        <v>75</v>
      </c>
      <c r="P3435" s="16" t="str">
        <f t="shared" si="6"/>
        <v/>
      </c>
      <c r="Q3435" s="41" t="e">
        <f t="shared" si="6652"/>
        <v>#N/A</v>
      </c>
      <c r="R3435" s="44"/>
      <c r="S3435" s="44"/>
      <c r="T3435" s="43"/>
      <c r="U3435" s="43" t="str">
        <f t="shared" si="8"/>
        <v>No</v>
      </c>
      <c r="V3435" s="25"/>
      <c r="W3435" s="25"/>
      <c r="X3435" s="25"/>
      <c r="Y3435" s="25"/>
      <c r="Z3435" s="25"/>
    </row>
    <row r="3436" spans="1:26" ht="15.75" customHeight="1" x14ac:dyDescent="0.25">
      <c r="A3436" s="25">
        <v>3434</v>
      </c>
      <c r="B3436" s="37" t="e">
        <f t="shared" ref="B3436:D3436" si="6917">VLOOKUP($A3436,[11]Planeación!$A$1:$O$253,B$1,0)</f>
        <v>#N/A</v>
      </c>
      <c r="C3436" s="38" t="e">
        <f t="shared" si="6917"/>
        <v>#N/A</v>
      </c>
      <c r="D3436" s="39" t="e">
        <f t="shared" si="6917"/>
        <v>#N/A</v>
      </c>
      <c r="E3436" s="16" t="e">
        <f t="shared" si="1"/>
        <v>#N/A</v>
      </c>
      <c r="F3436" s="16" t="e">
        <f t="shared" ref="F3436:K3436" si="6918">VLOOKUP($A3436,[11]Planeación!$A$1:$O$253,F$1,0)</f>
        <v>#N/A</v>
      </c>
      <c r="G3436" s="39" t="e">
        <f t="shared" si="6918"/>
        <v>#N/A</v>
      </c>
      <c r="H3436" s="16" t="e">
        <f t="shared" si="6918"/>
        <v>#N/A</v>
      </c>
      <c r="I3436" s="16" t="e">
        <f t="shared" si="6918"/>
        <v>#N/A</v>
      </c>
      <c r="J3436" s="40" t="e">
        <f t="shared" si="6918"/>
        <v>#N/A</v>
      </c>
      <c r="K3436" s="16" t="e">
        <f t="shared" si="6918"/>
        <v>#N/A</v>
      </c>
      <c r="L3436" s="40" t="e">
        <f t="shared" si="6649"/>
        <v>#N/A</v>
      </c>
      <c r="M3436" s="16" t="e">
        <f t="shared" si="6650"/>
        <v>#N/A</v>
      </c>
      <c r="N3436" s="16" t="e">
        <f t="shared" si="6651"/>
        <v>#N/A</v>
      </c>
      <c r="O3436" s="16" t="s">
        <v>75</v>
      </c>
      <c r="P3436" s="16" t="str">
        <f t="shared" si="6"/>
        <v/>
      </c>
      <c r="Q3436" s="41" t="e">
        <f t="shared" si="6652"/>
        <v>#N/A</v>
      </c>
      <c r="R3436" s="44"/>
      <c r="S3436" s="44"/>
      <c r="T3436" s="43"/>
      <c r="U3436" s="43" t="str">
        <f t="shared" si="8"/>
        <v>No</v>
      </c>
      <c r="V3436" s="25"/>
      <c r="W3436" s="25"/>
      <c r="X3436" s="25"/>
      <c r="Y3436" s="25"/>
      <c r="Z3436" s="25"/>
    </row>
    <row r="3437" spans="1:26" ht="15.75" customHeight="1" x14ac:dyDescent="0.25">
      <c r="A3437" s="25">
        <v>3435</v>
      </c>
      <c r="B3437" s="37" t="e">
        <f t="shared" ref="B3437:D3437" si="6919">VLOOKUP($A3437,[11]Planeación!$A$1:$O$253,B$1,0)</f>
        <v>#N/A</v>
      </c>
      <c r="C3437" s="38" t="e">
        <f t="shared" si="6919"/>
        <v>#N/A</v>
      </c>
      <c r="D3437" s="39" t="e">
        <f t="shared" si="6919"/>
        <v>#N/A</v>
      </c>
      <c r="E3437" s="16" t="e">
        <f t="shared" si="1"/>
        <v>#N/A</v>
      </c>
      <c r="F3437" s="16" t="e">
        <f t="shared" ref="F3437:K3437" si="6920">VLOOKUP($A3437,[11]Planeación!$A$1:$O$253,F$1,0)</f>
        <v>#N/A</v>
      </c>
      <c r="G3437" s="39" t="e">
        <f t="shared" si="6920"/>
        <v>#N/A</v>
      </c>
      <c r="H3437" s="16" t="e">
        <f t="shared" si="6920"/>
        <v>#N/A</v>
      </c>
      <c r="I3437" s="16" t="e">
        <f t="shared" si="6920"/>
        <v>#N/A</v>
      </c>
      <c r="J3437" s="40" t="e">
        <f t="shared" si="6920"/>
        <v>#N/A</v>
      </c>
      <c r="K3437" s="16" t="e">
        <f t="shared" si="6920"/>
        <v>#N/A</v>
      </c>
      <c r="L3437" s="40" t="e">
        <f t="shared" si="6649"/>
        <v>#N/A</v>
      </c>
      <c r="M3437" s="16" t="e">
        <f t="shared" si="6650"/>
        <v>#N/A</v>
      </c>
      <c r="N3437" s="16" t="e">
        <f t="shared" si="6651"/>
        <v>#N/A</v>
      </c>
      <c r="O3437" s="16" t="s">
        <v>75</v>
      </c>
      <c r="P3437" s="16" t="str">
        <f t="shared" si="6"/>
        <v/>
      </c>
      <c r="Q3437" s="41" t="e">
        <f t="shared" si="6652"/>
        <v>#N/A</v>
      </c>
      <c r="R3437" s="44"/>
      <c r="S3437" s="44"/>
      <c r="T3437" s="43"/>
      <c r="U3437" s="43" t="str">
        <f t="shared" si="8"/>
        <v>No</v>
      </c>
      <c r="V3437" s="25"/>
      <c r="W3437" s="25"/>
      <c r="X3437" s="25"/>
      <c r="Y3437" s="25"/>
      <c r="Z3437" s="25"/>
    </row>
    <row r="3438" spans="1:26" ht="15.75" customHeight="1" x14ac:dyDescent="0.25">
      <c r="A3438" s="25">
        <v>3436</v>
      </c>
      <c r="B3438" s="37" t="e">
        <f t="shared" ref="B3438:D3438" si="6921">VLOOKUP($A3438,[11]Planeación!$A$1:$O$253,B$1,0)</f>
        <v>#N/A</v>
      </c>
      <c r="C3438" s="38" t="e">
        <f t="shared" si="6921"/>
        <v>#N/A</v>
      </c>
      <c r="D3438" s="39" t="e">
        <f t="shared" si="6921"/>
        <v>#N/A</v>
      </c>
      <c r="E3438" s="16" t="e">
        <f t="shared" si="1"/>
        <v>#N/A</v>
      </c>
      <c r="F3438" s="16" t="e">
        <f t="shared" ref="F3438:K3438" si="6922">VLOOKUP($A3438,[11]Planeación!$A$1:$O$253,F$1,0)</f>
        <v>#N/A</v>
      </c>
      <c r="G3438" s="39" t="e">
        <f t="shared" si="6922"/>
        <v>#N/A</v>
      </c>
      <c r="H3438" s="16" t="e">
        <f t="shared" si="6922"/>
        <v>#N/A</v>
      </c>
      <c r="I3438" s="16" t="e">
        <f t="shared" si="6922"/>
        <v>#N/A</v>
      </c>
      <c r="J3438" s="40" t="e">
        <f t="shared" si="6922"/>
        <v>#N/A</v>
      </c>
      <c r="K3438" s="16" t="e">
        <f t="shared" si="6922"/>
        <v>#N/A</v>
      </c>
      <c r="L3438" s="40" t="e">
        <f t="shared" si="6649"/>
        <v>#N/A</v>
      </c>
      <c r="M3438" s="16" t="e">
        <f t="shared" si="6650"/>
        <v>#N/A</v>
      </c>
      <c r="N3438" s="16" t="e">
        <f t="shared" si="6651"/>
        <v>#N/A</v>
      </c>
      <c r="O3438" s="16" t="s">
        <v>75</v>
      </c>
      <c r="P3438" s="16" t="str">
        <f t="shared" si="6"/>
        <v/>
      </c>
      <c r="Q3438" s="41" t="e">
        <f t="shared" si="6652"/>
        <v>#N/A</v>
      </c>
      <c r="R3438" s="44"/>
      <c r="S3438" s="44"/>
      <c r="T3438" s="43"/>
      <c r="U3438" s="43" t="str">
        <f t="shared" si="8"/>
        <v>No</v>
      </c>
      <c r="V3438" s="25"/>
      <c r="W3438" s="25"/>
      <c r="X3438" s="25"/>
      <c r="Y3438" s="25"/>
      <c r="Z3438" s="25"/>
    </row>
    <row r="3439" spans="1:26" ht="15.75" customHeight="1" x14ac:dyDescent="0.25">
      <c r="A3439" s="25">
        <v>3437</v>
      </c>
      <c r="B3439" s="37" t="e">
        <f t="shared" ref="B3439:D3439" si="6923">VLOOKUP($A3439,[11]Planeación!$A$1:$O$253,B$1,0)</f>
        <v>#N/A</v>
      </c>
      <c r="C3439" s="38" t="e">
        <f t="shared" si="6923"/>
        <v>#N/A</v>
      </c>
      <c r="D3439" s="39" t="e">
        <f t="shared" si="6923"/>
        <v>#N/A</v>
      </c>
      <c r="E3439" s="16" t="e">
        <f t="shared" si="1"/>
        <v>#N/A</v>
      </c>
      <c r="F3439" s="16" t="e">
        <f t="shared" ref="F3439:K3439" si="6924">VLOOKUP($A3439,[11]Planeación!$A$1:$O$253,F$1,0)</f>
        <v>#N/A</v>
      </c>
      <c r="G3439" s="39" t="e">
        <f t="shared" si="6924"/>
        <v>#N/A</v>
      </c>
      <c r="H3439" s="16" t="e">
        <f t="shared" si="6924"/>
        <v>#N/A</v>
      </c>
      <c r="I3439" s="16" t="e">
        <f t="shared" si="6924"/>
        <v>#N/A</v>
      </c>
      <c r="J3439" s="40" t="e">
        <f t="shared" si="6924"/>
        <v>#N/A</v>
      </c>
      <c r="K3439" s="16" t="e">
        <f t="shared" si="6924"/>
        <v>#N/A</v>
      </c>
      <c r="L3439" s="40" t="e">
        <f t="shared" si="6649"/>
        <v>#N/A</v>
      </c>
      <c r="M3439" s="16" t="e">
        <f t="shared" si="6650"/>
        <v>#N/A</v>
      </c>
      <c r="N3439" s="16" t="e">
        <f t="shared" si="6651"/>
        <v>#N/A</v>
      </c>
      <c r="O3439" s="16" t="s">
        <v>75</v>
      </c>
      <c r="P3439" s="16" t="str">
        <f t="shared" si="6"/>
        <v/>
      </c>
      <c r="Q3439" s="41" t="e">
        <f t="shared" si="6652"/>
        <v>#N/A</v>
      </c>
      <c r="R3439" s="44"/>
      <c r="S3439" s="44"/>
      <c r="T3439" s="43"/>
      <c r="U3439" s="43" t="str">
        <f t="shared" si="8"/>
        <v>No</v>
      </c>
      <c r="V3439" s="25"/>
      <c r="W3439" s="25"/>
      <c r="X3439" s="25"/>
      <c r="Y3439" s="25"/>
      <c r="Z3439" s="25"/>
    </row>
    <row r="3440" spans="1:26" ht="15.75" customHeight="1" x14ac:dyDescent="0.25">
      <c r="A3440" s="25">
        <v>3438</v>
      </c>
      <c r="B3440" s="37" t="e">
        <f t="shared" ref="B3440:D3440" si="6925">VLOOKUP($A3440,[11]Planeación!$A$1:$O$253,B$1,0)</f>
        <v>#N/A</v>
      </c>
      <c r="C3440" s="38" t="e">
        <f t="shared" si="6925"/>
        <v>#N/A</v>
      </c>
      <c r="D3440" s="39" t="e">
        <f t="shared" si="6925"/>
        <v>#N/A</v>
      </c>
      <c r="E3440" s="16" t="e">
        <f t="shared" si="1"/>
        <v>#N/A</v>
      </c>
      <c r="F3440" s="16" t="e">
        <f t="shared" ref="F3440:K3440" si="6926">VLOOKUP($A3440,[11]Planeación!$A$1:$O$253,F$1,0)</f>
        <v>#N/A</v>
      </c>
      <c r="G3440" s="39" t="e">
        <f t="shared" si="6926"/>
        <v>#N/A</v>
      </c>
      <c r="H3440" s="16" t="e">
        <f t="shared" si="6926"/>
        <v>#N/A</v>
      </c>
      <c r="I3440" s="16" t="e">
        <f t="shared" si="6926"/>
        <v>#N/A</v>
      </c>
      <c r="J3440" s="40" t="e">
        <f t="shared" si="6926"/>
        <v>#N/A</v>
      </c>
      <c r="K3440" s="16" t="e">
        <f t="shared" si="6926"/>
        <v>#N/A</v>
      </c>
      <c r="L3440" s="40" t="e">
        <f t="shared" si="6649"/>
        <v>#N/A</v>
      </c>
      <c r="M3440" s="16" t="e">
        <f t="shared" si="6650"/>
        <v>#N/A</v>
      </c>
      <c r="N3440" s="16" t="e">
        <f t="shared" si="6651"/>
        <v>#N/A</v>
      </c>
      <c r="O3440" s="16" t="s">
        <v>75</v>
      </c>
      <c r="P3440" s="16" t="str">
        <f t="shared" si="6"/>
        <v/>
      </c>
      <c r="Q3440" s="41" t="e">
        <f t="shared" si="6652"/>
        <v>#N/A</v>
      </c>
      <c r="R3440" s="44"/>
      <c r="S3440" s="44"/>
      <c r="T3440" s="43"/>
      <c r="U3440" s="43" t="str">
        <f t="shared" si="8"/>
        <v>No</v>
      </c>
      <c r="V3440" s="25"/>
      <c r="W3440" s="25"/>
      <c r="X3440" s="25"/>
      <c r="Y3440" s="25"/>
      <c r="Z3440" s="25"/>
    </row>
    <row r="3441" spans="1:26" ht="15.75" customHeight="1" x14ac:dyDescent="0.25">
      <c r="A3441" s="25">
        <v>3439</v>
      </c>
      <c r="B3441" s="37" t="e">
        <f t="shared" ref="B3441:D3441" si="6927">VLOOKUP($A3441,[11]Planeación!$A$1:$O$253,B$1,0)</f>
        <v>#N/A</v>
      </c>
      <c r="C3441" s="38" t="e">
        <f t="shared" si="6927"/>
        <v>#N/A</v>
      </c>
      <c r="D3441" s="39" t="e">
        <f t="shared" si="6927"/>
        <v>#N/A</v>
      </c>
      <c r="E3441" s="16" t="e">
        <f t="shared" si="1"/>
        <v>#N/A</v>
      </c>
      <c r="F3441" s="16" t="e">
        <f t="shared" ref="F3441:K3441" si="6928">VLOOKUP($A3441,[11]Planeación!$A$1:$O$253,F$1,0)</f>
        <v>#N/A</v>
      </c>
      <c r="G3441" s="39" t="e">
        <f t="shared" si="6928"/>
        <v>#N/A</v>
      </c>
      <c r="H3441" s="16" t="e">
        <f t="shared" si="6928"/>
        <v>#N/A</v>
      </c>
      <c r="I3441" s="16" t="e">
        <f t="shared" si="6928"/>
        <v>#N/A</v>
      </c>
      <c r="J3441" s="40" t="e">
        <f t="shared" si="6928"/>
        <v>#N/A</v>
      </c>
      <c r="K3441" s="16" t="e">
        <f t="shared" si="6928"/>
        <v>#N/A</v>
      </c>
      <c r="L3441" s="40" t="e">
        <f t="shared" si="6649"/>
        <v>#N/A</v>
      </c>
      <c r="M3441" s="16" t="e">
        <f t="shared" si="6650"/>
        <v>#N/A</v>
      </c>
      <c r="N3441" s="16" t="e">
        <f t="shared" si="6651"/>
        <v>#N/A</v>
      </c>
      <c r="O3441" s="16" t="s">
        <v>75</v>
      </c>
      <c r="P3441" s="16" t="str">
        <f t="shared" si="6"/>
        <v/>
      </c>
      <c r="Q3441" s="41" t="e">
        <f t="shared" si="6652"/>
        <v>#N/A</v>
      </c>
      <c r="R3441" s="44"/>
      <c r="S3441" s="44"/>
      <c r="T3441" s="43"/>
      <c r="U3441" s="43" t="str">
        <f t="shared" si="8"/>
        <v>No</v>
      </c>
      <c r="V3441" s="25"/>
      <c r="W3441" s="25"/>
      <c r="X3441" s="25"/>
      <c r="Y3441" s="25"/>
      <c r="Z3441" s="25"/>
    </row>
    <row r="3442" spans="1:26" ht="15.75" customHeight="1" x14ac:dyDescent="0.25">
      <c r="A3442" s="25">
        <v>3440</v>
      </c>
      <c r="B3442" s="37" t="e">
        <f t="shared" ref="B3442:D3442" si="6929">VLOOKUP($A3442,[11]Planeación!$A$1:$O$253,B$1,0)</f>
        <v>#N/A</v>
      </c>
      <c r="C3442" s="38" t="e">
        <f t="shared" si="6929"/>
        <v>#N/A</v>
      </c>
      <c r="D3442" s="39" t="e">
        <f t="shared" si="6929"/>
        <v>#N/A</v>
      </c>
      <c r="E3442" s="16" t="e">
        <f t="shared" si="1"/>
        <v>#N/A</v>
      </c>
      <c r="F3442" s="16" t="e">
        <f t="shared" ref="F3442:K3442" si="6930">VLOOKUP($A3442,[11]Planeación!$A$1:$O$253,F$1,0)</f>
        <v>#N/A</v>
      </c>
      <c r="G3442" s="39" t="e">
        <f t="shared" si="6930"/>
        <v>#N/A</v>
      </c>
      <c r="H3442" s="16" t="e">
        <f t="shared" si="6930"/>
        <v>#N/A</v>
      </c>
      <c r="I3442" s="16" t="e">
        <f t="shared" si="6930"/>
        <v>#N/A</v>
      </c>
      <c r="J3442" s="40" t="e">
        <f t="shared" si="6930"/>
        <v>#N/A</v>
      </c>
      <c r="K3442" s="16" t="e">
        <f t="shared" si="6930"/>
        <v>#N/A</v>
      </c>
      <c r="L3442" s="40" t="e">
        <f t="shared" si="6649"/>
        <v>#N/A</v>
      </c>
      <c r="M3442" s="16" t="e">
        <f t="shared" si="6650"/>
        <v>#N/A</v>
      </c>
      <c r="N3442" s="16" t="e">
        <f t="shared" si="6651"/>
        <v>#N/A</v>
      </c>
      <c r="O3442" s="16" t="s">
        <v>75</v>
      </c>
      <c r="P3442" s="16" t="str">
        <f t="shared" si="6"/>
        <v/>
      </c>
      <c r="Q3442" s="41" t="e">
        <f t="shared" si="6652"/>
        <v>#N/A</v>
      </c>
      <c r="R3442" s="44"/>
      <c r="S3442" s="44"/>
      <c r="T3442" s="43"/>
      <c r="U3442" s="43" t="str">
        <f t="shared" si="8"/>
        <v>No</v>
      </c>
      <c r="V3442" s="25"/>
      <c r="W3442" s="25"/>
      <c r="X3442" s="25"/>
      <c r="Y3442" s="25"/>
      <c r="Z3442" s="25"/>
    </row>
    <row r="3443" spans="1:26" ht="15.75" customHeight="1" x14ac:dyDescent="0.25">
      <c r="A3443" s="25">
        <v>3441</v>
      </c>
      <c r="B3443" s="37" t="e">
        <f t="shared" ref="B3443:D3443" si="6931">VLOOKUP($A3443,[11]Planeación!$A$1:$O$253,B$1,0)</f>
        <v>#N/A</v>
      </c>
      <c r="C3443" s="38" t="e">
        <f t="shared" si="6931"/>
        <v>#N/A</v>
      </c>
      <c r="D3443" s="39" t="e">
        <f t="shared" si="6931"/>
        <v>#N/A</v>
      </c>
      <c r="E3443" s="16" t="e">
        <f t="shared" si="1"/>
        <v>#N/A</v>
      </c>
      <c r="F3443" s="16" t="e">
        <f t="shared" ref="F3443:K3443" si="6932">VLOOKUP($A3443,[11]Planeación!$A$1:$O$253,F$1,0)</f>
        <v>#N/A</v>
      </c>
      <c r="G3443" s="39" t="e">
        <f t="shared" si="6932"/>
        <v>#N/A</v>
      </c>
      <c r="H3443" s="16" t="e">
        <f t="shared" si="6932"/>
        <v>#N/A</v>
      </c>
      <c r="I3443" s="16" t="e">
        <f t="shared" si="6932"/>
        <v>#N/A</v>
      </c>
      <c r="J3443" s="40" t="e">
        <f t="shared" si="6932"/>
        <v>#N/A</v>
      </c>
      <c r="K3443" s="16" t="e">
        <f t="shared" si="6932"/>
        <v>#N/A</v>
      </c>
      <c r="L3443" s="40" t="e">
        <f t="shared" si="6649"/>
        <v>#N/A</v>
      </c>
      <c r="M3443" s="16" t="e">
        <f t="shared" si="6650"/>
        <v>#N/A</v>
      </c>
      <c r="N3443" s="16" t="e">
        <f t="shared" si="6651"/>
        <v>#N/A</v>
      </c>
      <c r="O3443" s="16" t="s">
        <v>75</v>
      </c>
      <c r="P3443" s="16" t="str">
        <f t="shared" si="6"/>
        <v/>
      </c>
      <c r="Q3443" s="41" t="e">
        <f t="shared" si="6652"/>
        <v>#N/A</v>
      </c>
      <c r="R3443" s="44"/>
      <c r="S3443" s="44"/>
      <c r="T3443" s="43"/>
      <c r="U3443" s="43" t="str">
        <f t="shared" si="8"/>
        <v>No</v>
      </c>
      <c r="V3443" s="25"/>
      <c r="W3443" s="25"/>
      <c r="X3443" s="25"/>
      <c r="Y3443" s="25"/>
      <c r="Z3443" s="25"/>
    </row>
    <row r="3444" spans="1:26" ht="15.75" customHeight="1" x14ac:dyDescent="0.25">
      <c r="A3444" s="25">
        <v>3442</v>
      </c>
      <c r="B3444" s="37" t="e">
        <f t="shared" ref="B3444:D3444" si="6933">VLOOKUP($A3444,[11]Planeación!$A$1:$O$253,B$1,0)</f>
        <v>#N/A</v>
      </c>
      <c r="C3444" s="38" t="e">
        <f t="shared" si="6933"/>
        <v>#N/A</v>
      </c>
      <c r="D3444" s="39" t="e">
        <f t="shared" si="6933"/>
        <v>#N/A</v>
      </c>
      <c r="E3444" s="16" t="e">
        <f t="shared" si="1"/>
        <v>#N/A</v>
      </c>
      <c r="F3444" s="16" t="e">
        <f t="shared" ref="F3444:K3444" si="6934">VLOOKUP($A3444,[11]Planeación!$A$1:$O$253,F$1,0)</f>
        <v>#N/A</v>
      </c>
      <c r="G3444" s="39" t="e">
        <f t="shared" si="6934"/>
        <v>#N/A</v>
      </c>
      <c r="H3444" s="16" t="e">
        <f t="shared" si="6934"/>
        <v>#N/A</v>
      </c>
      <c r="I3444" s="16" t="e">
        <f t="shared" si="6934"/>
        <v>#N/A</v>
      </c>
      <c r="J3444" s="40" t="e">
        <f t="shared" si="6934"/>
        <v>#N/A</v>
      </c>
      <c r="K3444" s="16" t="e">
        <f t="shared" si="6934"/>
        <v>#N/A</v>
      </c>
      <c r="L3444" s="40" t="e">
        <f t="shared" si="6649"/>
        <v>#N/A</v>
      </c>
      <c r="M3444" s="16" t="e">
        <f t="shared" si="6650"/>
        <v>#N/A</v>
      </c>
      <c r="N3444" s="16" t="e">
        <f t="shared" si="6651"/>
        <v>#N/A</v>
      </c>
      <c r="O3444" s="16" t="s">
        <v>75</v>
      </c>
      <c r="P3444" s="16" t="str">
        <f t="shared" si="6"/>
        <v/>
      </c>
      <c r="Q3444" s="41" t="e">
        <f t="shared" si="6652"/>
        <v>#N/A</v>
      </c>
      <c r="R3444" s="44"/>
      <c r="S3444" s="44"/>
      <c r="T3444" s="43"/>
      <c r="U3444" s="43" t="str">
        <f t="shared" si="8"/>
        <v>No</v>
      </c>
      <c r="V3444" s="25"/>
      <c r="W3444" s="25"/>
      <c r="X3444" s="25"/>
      <c r="Y3444" s="25"/>
      <c r="Z3444" s="25"/>
    </row>
    <row r="3445" spans="1:26" ht="15.75" customHeight="1" x14ac:dyDescent="0.25">
      <c r="A3445" s="25">
        <v>3443</v>
      </c>
      <c r="B3445" s="37" t="e">
        <f t="shared" ref="B3445:D3445" si="6935">VLOOKUP($A3445,[11]Planeación!$A$1:$O$253,B$1,0)</f>
        <v>#N/A</v>
      </c>
      <c r="C3445" s="38" t="e">
        <f t="shared" si="6935"/>
        <v>#N/A</v>
      </c>
      <c r="D3445" s="39" t="e">
        <f t="shared" si="6935"/>
        <v>#N/A</v>
      </c>
      <c r="E3445" s="16" t="e">
        <f t="shared" si="1"/>
        <v>#N/A</v>
      </c>
      <c r="F3445" s="16" t="e">
        <f t="shared" ref="F3445:K3445" si="6936">VLOOKUP($A3445,[11]Planeación!$A$1:$O$253,F$1,0)</f>
        <v>#N/A</v>
      </c>
      <c r="G3445" s="39" t="e">
        <f t="shared" si="6936"/>
        <v>#N/A</v>
      </c>
      <c r="H3445" s="16" t="e">
        <f t="shared" si="6936"/>
        <v>#N/A</v>
      </c>
      <c r="I3445" s="16" t="e">
        <f t="shared" si="6936"/>
        <v>#N/A</v>
      </c>
      <c r="J3445" s="40" t="e">
        <f t="shared" si="6936"/>
        <v>#N/A</v>
      </c>
      <c r="K3445" s="16" t="e">
        <f t="shared" si="6936"/>
        <v>#N/A</v>
      </c>
      <c r="L3445" s="40" t="e">
        <f t="shared" si="6649"/>
        <v>#N/A</v>
      </c>
      <c r="M3445" s="16" t="e">
        <f t="shared" si="6650"/>
        <v>#N/A</v>
      </c>
      <c r="N3445" s="16" t="e">
        <f t="shared" si="6651"/>
        <v>#N/A</v>
      </c>
      <c r="O3445" s="16" t="s">
        <v>75</v>
      </c>
      <c r="P3445" s="16" t="str">
        <f t="shared" si="6"/>
        <v/>
      </c>
      <c r="Q3445" s="41" t="e">
        <f t="shared" si="6652"/>
        <v>#N/A</v>
      </c>
      <c r="R3445" s="44"/>
      <c r="S3445" s="44"/>
      <c r="T3445" s="43"/>
      <c r="U3445" s="43" t="str">
        <f t="shared" si="8"/>
        <v>No</v>
      </c>
      <c r="V3445" s="25"/>
      <c r="W3445" s="25"/>
      <c r="X3445" s="25"/>
      <c r="Y3445" s="25"/>
      <c r="Z3445" s="25"/>
    </row>
    <row r="3446" spans="1:26" ht="15.75" customHeight="1" x14ac:dyDescent="0.25">
      <c r="A3446" s="25">
        <v>3444</v>
      </c>
      <c r="B3446" s="37" t="e">
        <f t="shared" ref="B3446:D3446" si="6937">VLOOKUP($A3446,[11]Planeación!$A$1:$O$253,B$1,0)</f>
        <v>#N/A</v>
      </c>
      <c r="C3446" s="38" t="e">
        <f t="shared" si="6937"/>
        <v>#N/A</v>
      </c>
      <c r="D3446" s="39" t="e">
        <f t="shared" si="6937"/>
        <v>#N/A</v>
      </c>
      <c r="E3446" s="16" t="e">
        <f t="shared" si="1"/>
        <v>#N/A</v>
      </c>
      <c r="F3446" s="16" t="e">
        <f t="shared" ref="F3446:K3446" si="6938">VLOOKUP($A3446,[11]Planeación!$A$1:$O$253,F$1,0)</f>
        <v>#N/A</v>
      </c>
      <c r="G3446" s="39" t="e">
        <f t="shared" si="6938"/>
        <v>#N/A</v>
      </c>
      <c r="H3446" s="16" t="e">
        <f t="shared" si="6938"/>
        <v>#N/A</v>
      </c>
      <c r="I3446" s="16" t="e">
        <f t="shared" si="6938"/>
        <v>#N/A</v>
      </c>
      <c r="J3446" s="40" t="e">
        <f t="shared" si="6938"/>
        <v>#N/A</v>
      </c>
      <c r="K3446" s="16" t="e">
        <f t="shared" si="6938"/>
        <v>#N/A</v>
      </c>
      <c r="L3446" s="40" t="e">
        <f t="shared" si="6649"/>
        <v>#N/A</v>
      </c>
      <c r="M3446" s="16" t="e">
        <f t="shared" si="6650"/>
        <v>#N/A</v>
      </c>
      <c r="N3446" s="16" t="e">
        <f t="shared" si="6651"/>
        <v>#N/A</v>
      </c>
      <c r="O3446" s="16" t="s">
        <v>75</v>
      </c>
      <c r="P3446" s="16" t="str">
        <f t="shared" si="6"/>
        <v/>
      </c>
      <c r="Q3446" s="41" t="e">
        <f t="shared" si="6652"/>
        <v>#N/A</v>
      </c>
      <c r="R3446" s="44"/>
      <c r="S3446" s="44"/>
      <c r="T3446" s="43"/>
      <c r="U3446" s="43" t="str">
        <f t="shared" si="8"/>
        <v>No</v>
      </c>
      <c r="V3446" s="25"/>
      <c r="W3446" s="25"/>
      <c r="X3446" s="25"/>
      <c r="Y3446" s="25"/>
      <c r="Z3446" s="25"/>
    </row>
    <row r="3447" spans="1:26" ht="15.75" customHeight="1" x14ac:dyDescent="0.25">
      <c r="A3447" s="25">
        <v>3445</v>
      </c>
      <c r="B3447" s="37" t="e">
        <f t="shared" ref="B3447:D3447" si="6939">VLOOKUP($A3447,[11]Planeación!$A$1:$O$253,B$1,0)</f>
        <v>#N/A</v>
      </c>
      <c r="C3447" s="38" t="e">
        <f t="shared" si="6939"/>
        <v>#N/A</v>
      </c>
      <c r="D3447" s="39" t="e">
        <f t="shared" si="6939"/>
        <v>#N/A</v>
      </c>
      <c r="E3447" s="16" t="e">
        <f t="shared" si="1"/>
        <v>#N/A</v>
      </c>
      <c r="F3447" s="16" t="e">
        <f t="shared" ref="F3447:K3447" si="6940">VLOOKUP($A3447,[11]Planeación!$A$1:$O$253,F$1,0)</f>
        <v>#N/A</v>
      </c>
      <c r="G3447" s="39" t="e">
        <f t="shared" si="6940"/>
        <v>#N/A</v>
      </c>
      <c r="H3447" s="16" t="e">
        <f t="shared" si="6940"/>
        <v>#N/A</v>
      </c>
      <c r="I3447" s="16" t="e">
        <f t="shared" si="6940"/>
        <v>#N/A</v>
      </c>
      <c r="J3447" s="40" t="e">
        <f t="shared" si="6940"/>
        <v>#N/A</v>
      </c>
      <c r="K3447" s="16" t="e">
        <f t="shared" si="6940"/>
        <v>#N/A</v>
      </c>
      <c r="L3447" s="40" t="e">
        <f t="shared" si="6649"/>
        <v>#N/A</v>
      </c>
      <c r="M3447" s="16" t="e">
        <f t="shared" si="6650"/>
        <v>#N/A</v>
      </c>
      <c r="N3447" s="16" t="e">
        <f t="shared" si="6651"/>
        <v>#N/A</v>
      </c>
      <c r="O3447" s="16" t="s">
        <v>75</v>
      </c>
      <c r="P3447" s="16" t="str">
        <f t="shared" si="6"/>
        <v/>
      </c>
      <c r="Q3447" s="41" t="e">
        <f t="shared" si="6652"/>
        <v>#N/A</v>
      </c>
      <c r="R3447" s="44"/>
      <c r="S3447" s="44"/>
      <c r="T3447" s="43"/>
      <c r="U3447" s="43" t="str">
        <f t="shared" si="8"/>
        <v>No</v>
      </c>
      <c r="V3447" s="25"/>
      <c r="W3447" s="25"/>
      <c r="X3447" s="25"/>
      <c r="Y3447" s="25"/>
      <c r="Z3447" s="25"/>
    </row>
    <row r="3448" spans="1:26" ht="15.75" customHeight="1" x14ac:dyDescent="0.25">
      <c r="A3448" s="25">
        <v>3446</v>
      </c>
      <c r="B3448" s="37" t="e">
        <f t="shared" ref="B3448:D3448" si="6941">VLOOKUP($A3448,[11]Planeación!$A$1:$O$253,B$1,0)</f>
        <v>#N/A</v>
      </c>
      <c r="C3448" s="38" t="e">
        <f t="shared" si="6941"/>
        <v>#N/A</v>
      </c>
      <c r="D3448" s="39" t="e">
        <f t="shared" si="6941"/>
        <v>#N/A</v>
      </c>
      <c r="E3448" s="16" t="e">
        <f t="shared" si="1"/>
        <v>#N/A</v>
      </c>
      <c r="F3448" s="16" t="e">
        <f t="shared" ref="F3448:K3448" si="6942">VLOOKUP($A3448,[11]Planeación!$A$1:$O$253,F$1,0)</f>
        <v>#N/A</v>
      </c>
      <c r="G3448" s="39" t="e">
        <f t="shared" si="6942"/>
        <v>#N/A</v>
      </c>
      <c r="H3448" s="16" t="e">
        <f t="shared" si="6942"/>
        <v>#N/A</v>
      </c>
      <c r="I3448" s="16" t="e">
        <f t="shared" si="6942"/>
        <v>#N/A</v>
      </c>
      <c r="J3448" s="40" t="e">
        <f t="shared" si="6942"/>
        <v>#N/A</v>
      </c>
      <c r="K3448" s="16" t="e">
        <f t="shared" si="6942"/>
        <v>#N/A</v>
      </c>
      <c r="L3448" s="40" t="e">
        <f t="shared" si="6649"/>
        <v>#N/A</v>
      </c>
      <c r="M3448" s="16" t="e">
        <f t="shared" si="6650"/>
        <v>#N/A</v>
      </c>
      <c r="N3448" s="16" t="e">
        <f t="shared" si="6651"/>
        <v>#N/A</v>
      </c>
      <c r="O3448" s="16" t="s">
        <v>75</v>
      </c>
      <c r="P3448" s="16" t="str">
        <f t="shared" si="6"/>
        <v/>
      </c>
      <c r="Q3448" s="41" t="e">
        <f t="shared" si="6652"/>
        <v>#N/A</v>
      </c>
      <c r="R3448" s="44"/>
      <c r="S3448" s="44"/>
      <c r="T3448" s="43"/>
      <c r="U3448" s="43" t="str">
        <f t="shared" si="8"/>
        <v>No</v>
      </c>
      <c r="V3448" s="25"/>
      <c r="W3448" s="25"/>
      <c r="X3448" s="25"/>
      <c r="Y3448" s="25"/>
      <c r="Z3448" s="25"/>
    </row>
    <row r="3449" spans="1:26" ht="15.75" customHeight="1" x14ac:dyDescent="0.25">
      <c r="A3449" s="25">
        <v>3447</v>
      </c>
      <c r="B3449" s="37" t="e">
        <f t="shared" ref="B3449:D3449" si="6943">VLOOKUP($A3449,[11]Planeación!$A$1:$O$253,B$1,0)</f>
        <v>#N/A</v>
      </c>
      <c r="C3449" s="38" t="e">
        <f t="shared" si="6943"/>
        <v>#N/A</v>
      </c>
      <c r="D3449" s="39" t="e">
        <f t="shared" si="6943"/>
        <v>#N/A</v>
      </c>
      <c r="E3449" s="16" t="e">
        <f t="shared" si="1"/>
        <v>#N/A</v>
      </c>
      <c r="F3449" s="16" t="e">
        <f t="shared" ref="F3449:K3449" si="6944">VLOOKUP($A3449,[11]Planeación!$A$1:$O$253,F$1,0)</f>
        <v>#N/A</v>
      </c>
      <c r="G3449" s="39" t="e">
        <f t="shared" si="6944"/>
        <v>#N/A</v>
      </c>
      <c r="H3449" s="16" t="e">
        <f t="shared" si="6944"/>
        <v>#N/A</v>
      </c>
      <c r="I3449" s="16" t="e">
        <f t="shared" si="6944"/>
        <v>#N/A</v>
      </c>
      <c r="J3449" s="40" t="e">
        <f t="shared" si="6944"/>
        <v>#N/A</v>
      </c>
      <c r="K3449" s="16" t="e">
        <f t="shared" si="6944"/>
        <v>#N/A</v>
      </c>
      <c r="L3449" s="40" t="e">
        <f t="shared" si="6649"/>
        <v>#N/A</v>
      </c>
      <c r="M3449" s="16" t="e">
        <f t="shared" si="6650"/>
        <v>#N/A</v>
      </c>
      <c r="N3449" s="16" t="e">
        <f t="shared" si="6651"/>
        <v>#N/A</v>
      </c>
      <c r="O3449" s="16" t="s">
        <v>75</v>
      </c>
      <c r="P3449" s="16" t="str">
        <f t="shared" si="6"/>
        <v/>
      </c>
      <c r="Q3449" s="41" t="e">
        <f t="shared" si="6652"/>
        <v>#N/A</v>
      </c>
      <c r="R3449" s="44"/>
      <c r="S3449" s="44"/>
      <c r="T3449" s="43"/>
      <c r="U3449" s="43" t="str">
        <f t="shared" si="8"/>
        <v>No</v>
      </c>
      <c r="V3449" s="25"/>
      <c r="W3449" s="25"/>
      <c r="X3449" s="25"/>
      <c r="Y3449" s="25"/>
      <c r="Z3449" s="25"/>
    </row>
    <row r="3450" spans="1:26" ht="15.75" customHeight="1" x14ac:dyDescent="0.25">
      <c r="A3450" s="25">
        <v>3448</v>
      </c>
      <c r="B3450" s="37" t="e">
        <f t="shared" ref="B3450:D3450" si="6945">VLOOKUP($A3450,[11]Planeación!$A$1:$O$253,B$1,0)</f>
        <v>#N/A</v>
      </c>
      <c r="C3450" s="38" t="e">
        <f t="shared" si="6945"/>
        <v>#N/A</v>
      </c>
      <c r="D3450" s="39" t="e">
        <f t="shared" si="6945"/>
        <v>#N/A</v>
      </c>
      <c r="E3450" s="16" t="e">
        <f t="shared" si="1"/>
        <v>#N/A</v>
      </c>
      <c r="F3450" s="16" t="e">
        <f t="shared" ref="F3450:K3450" si="6946">VLOOKUP($A3450,[11]Planeación!$A$1:$O$253,F$1,0)</f>
        <v>#N/A</v>
      </c>
      <c r="G3450" s="39" t="e">
        <f t="shared" si="6946"/>
        <v>#N/A</v>
      </c>
      <c r="H3450" s="16" t="e">
        <f t="shared" si="6946"/>
        <v>#N/A</v>
      </c>
      <c r="I3450" s="16" t="e">
        <f t="shared" si="6946"/>
        <v>#N/A</v>
      </c>
      <c r="J3450" s="40" t="e">
        <f t="shared" si="6946"/>
        <v>#N/A</v>
      </c>
      <c r="K3450" s="16" t="e">
        <f t="shared" si="6946"/>
        <v>#N/A</v>
      </c>
      <c r="L3450" s="40" t="e">
        <f t="shared" si="6649"/>
        <v>#N/A</v>
      </c>
      <c r="M3450" s="16" t="e">
        <f t="shared" si="6650"/>
        <v>#N/A</v>
      </c>
      <c r="N3450" s="16" t="e">
        <f t="shared" si="6651"/>
        <v>#N/A</v>
      </c>
      <c r="O3450" s="16" t="s">
        <v>75</v>
      </c>
      <c r="P3450" s="16" t="str">
        <f t="shared" si="6"/>
        <v/>
      </c>
      <c r="Q3450" s="41" t="e">
        <f t="shared" si="6652"/>
        <v>#N/A</v>
      </c>
      <c r="R3450" s="44"/>
      <c r="S3450" s="44"/>
      <c r="T3450" s="43"/>
      <c r="U3450" s="43" t="str">
        <f t="shared" si="8"/>
        <v>No</v>
      </c>
      <c r="V3450" s="25"/>
      <c r="W3450" s="25"/>
      <c r="X3450" s="25"/>
      <c r="Y3450" s="25"/>
      <c r="Z3450" s="25"/>
    </row>
    <row r="3451" spans="1:26" ht="15.75" customHeight="1" x14ac:dyDescent="0.25">
      <c r="A3451" s="25">
        <v>3449</v>
      </c>
      <c r="B3451" s="37" t="e">
        <f t="shared" ref="B3451:D3451" si="6947">VLOOKUP($A3451,[11]Planeación!$A$1:$O$253,B$1,0)</f>
        <v>#N/A</v>
      </c>
      <c r="C3451" s="38" t="e">
        <f t="shared" si="6947"/>
        <v>#N/A</v>
      </c>
      <c r="D3451" s="39" t="e">
        <f t="shared" si="6947"/>
        <v>#N/A</v>
      </c>
      <c r="E3451" s="16" t="e">
        <f t="shared" si="1"/>
        <v>#N/A</v>
      </c>
      <c r="F3451" s="16" t="e">
        <f t="shared" ref="F3451:K3451" si="6948">VLOOKUP($A3451,[11]Planeación!$A$1:$O$253,F$1,0)</f>
        <v>#N/A</v>
      </c>
      <c r="G3451" s="39" t="e">
        <f t="shared" si="6948"/>
        <v>#N/A</v>
      </c>
      <c r="H3451" s="16" t="e">
        <f t="shared" si="6948"/>
        <v>#N/A</v>
      </c>
      <c r="I3451" s="16" t="e">
        <f t="shared" si="6948"/>
        <v>#N/A</v>
      </c>
      <c r="J3451" s="40" t="e">
        <f t="shared" si="6948"/>
        <v>#N/A</v>
      </c>
      <c r="K3451" s="16" t="e">
        <f t="shared" si="6948"/>
        <v>#N/A</v>
      </c>
      <c r="L3451" s="40" t="e">
        <f t="shared" si="6649"/>
        <v>#N/A</v>
      </c>
      <c r="M3451" s="16" t="e">
        <f t="shared" si="6650"/>
        <v>#N/A</v>
      </c>
      <c r="N3451" s="16" t="e">
        <f t="shared" si="6651"/>
        <v>#N/A</v>
      </c>
      <c r="O3451" s="16" t="s">
        <v>75</v>
      </c>
      <c r="P3451" s="16" t="str">
        <f t="shared" si="6"/>
        <v/>
      </c>
      <c r="Q3451" s="41" t="e">
        <f t="shared" si="6652"/>
        <v>#N/A</v>
      </c>
      <c r="R3451" s="44"/>
      <c r="S3451" s="44"/>
      <c r="T3451" s="43"/>
      <c r="U3451" s="43" t="str">
        <f t="shared" si="8"/>
        <v>No</v>
      </c>
      <c r="V3451" s="25"/>
      <c r="W3451" s="25"/>
      <c r="X3451" s="25"/>
      <c r="Y3451" s="25"/>
      <c r="Z3451" s="25"/>
    </row>
    <row r="3452" spans="1:26" ht="15.75" customHeight="1" x14ac:dyDescent="0.25">
      <c r="A3452" s="25">
        <v>3450</v>
      </c>
      <c r="B3452" s="37" t="e">
        <f t="shared" ref="B3452:D3452" si="6949">VLOOKUP($A3452,[11]Planeación!$A$1:$O$253,B$1,0)</f>
        <v>#N/A</v>
      </c>
      <c r="C3452" s="38" t="e">
        <f t="shared" si="6949"/>
        <v>#N/A</v>
      </c>
      <c r="D3452" s="39" t="e">
        <f t="shared" si="6949"/>
        <v>#N/A</v>
      </c>
      <c r="E3452" s="16" t="e">
        <f t="shared" si="1"/>
        <v>#N/A</v>
      </c>
      <c r="F3452" s="16" t="e">
        <f t="shared" ref="F3452:K3452" si="6950">VLOOKUP($A3452,[11]Planeación!$A$1:$O$253,F$1,0)</f>
        <v>#N/A</v>
      </c>
      <c r="G3452" s="39" t="e">
        <f t="shared" si="6950"/>
        <v>#N/A</v>
      </c>
      <c r="H3452" s="16" t="e">
        <f t="shared" si="6950"/>
        <v>#N/A</v>
      </c>
      <c r="I3452" s="16" t="e">
        <f t="shared" si="6950"/>
        <v>#N/A</v>
      </c>
      <c r="J3452" s="40" t="e">
        <f t="shared" si="6950"/>
        <v>#N/A</v>
      </c>
      <c r="K3452" s="16" t="e">
        <f t="shared" si="6950"/>
        <v>#N/A</v>
      </c>
      <c r="L3452" s="40" t="e">
        <f t="shared" si="6649"/>
        <v>#N/A</v>
      </c>
      <c r="M3452" s="16" t="e">
        <f t="shared" si="6650"/>
        <v>#N/A</v>
      </c>
      <c r="N3452" s="16" t="e">
        <f t="shared" si="6651"/>
        <v>#N/A</v>
      </c>
      <c r="O3452" s="16" t="s">
        <v>75</v>
      </c>
      <c r="P3452" s="16" t="str">
        <f t="shared" si="6"/>
        <v/>
      </c>
      <c r="Q3452" s="41" t="e">
        <f t="shared" si="6652"/>
        <v>#N/A</v>
      </c>
      <c r="R3452" s="44"/>
      <c r="S3452" s="44"/>
      <c r="T3452" s="43"/>
      <c r="U3452" s="43" t="str">
        <f t="shared" si="8"/>
        <v>No</v>
      </c>
      <c r="V3452" s="25"/>
      <c r="W3452" s="25"/>
      <c r="X3452" s="25"/>
      <c r="Y3452" s="25"/>
      <c r="Z3452" s="25"/>
    </row>
    <row r="3453" spans="1:26" ht="15.75" customHeight="1" x14ac:dyDescent="0.25">
      <c r="A3453" s="25">
        <v>3451</v>
      </c>
      <c r="B3453" s="37" t="e">
        <f t="shared" ref="B3453:D3453" si="6951">VLOOKUP($A3453,[11]Planeación!$A$1:$O$253,B$1,0)</f>
        <v>#N/A</v>
      </c>
      <c r="C3453" s="38" t="e">
        <f t="shared" si="6951"/>
        <v>#N/A</v>
      </c>
      <c r="D3453" s="39" t="e">
        <f t="shared" si="6951"/>
        <v>#N/A</v>
      </c>
      <c r="E3453" s="16" t="e">
        <f t="shared" si="1"/>
        <v>#N/A</v>
      </c>
      <c r="F3453" s="16" t="e">
        <f t="shared" ref="F3453:K3453" si="6952">VLOOKUP($A3453,[11]Planeación!$A$1:$O$253,F$1,0)</f>
        <v>#N/A</v>
      </c>
      <c r="G3453" s="39" t="e">
        <f t="shared" si="6952"/>
        <v>#N/A</v>
      </c>
      <c r="H3453" s="16" t="e">
        <f t="shared" si="6952"/>
        <v>#N/A</v>
      </c>
      <c r="I3453" s="16" t="e">
        <f t="shared" si="6952"/>
        <v>#N/A</v>
      </c>
      <c r="J3453" s="40" t="e">
        <f t="shared" si="6952"/>
        <v>#N/A</v>
      </c>
      <c r="K3453" s="16" t="e">
        <f t="shared" si="6952"/>
        <v>#N/A</v>
      </c>
      <c r="L3453" s="40" t="e">
        <f t="shared" si="6649"/>
        <v>#N/A</v>
      </c>
      <c r="M3453" s="16" t="e">
        <f t="shared" si="6650"/>
        <v>#N/A</v>
      </c>
      <c r="N3453" s="16" t="e">
        <f t="shared" si="6651"/>
        <v>#N/A</v>
      </c>
      <c r="O3453" s="16" t="s">
        <v>75</v>
      </c>
      <c r="P3453" s="16" t="str">
        <f t="shared" si="6"/>
        <v/>
      </c>
      <c r="Q3453" s="41" t="e">
        <f t="shared" si="6652"/>
        <v>#N/A</v>
      </c>
      <c r="R3453" s="44"/>
      <c r="S3453" s="44"/>
      <c r="T3453" s="43"/>
      <c r="U3453" s="43" t="str">
        <f t="shared" si="8"/>
        <v>No</v>
      </c>
      <c r="V3453" s="25"/>
      <c r="W3453" s="25"/>
      <c r="X3453" s="25"/>
      <c r="Y3453" s="25"/>
      <c r="Z3453" s="25"/>
    </row>
    <row r="3454" spans="1:26" ht="15.75" customHeight="1" x14ac:dyDescent="0.25">
      <c r="A3454" s="25">
        <v>3452</v>
      </c>
      <c r="B3454" s="37" t="e">
        <f t="shared" ref="B3454:D3454" si="6953">VLOOKUP($A3454,[11]Planeación!$A$1:$O$253,B$1,0)</f>
        <v>#N/A</v>
      </c>
      <c r="C3454" s="38" t="e">
        <f t="shared" si="6953"/>
        <v>#N/A</v>
      </c>
      <c r="D3454" s="39" t="e">
        <f t="shared" si="6953"/>
        <v>#N/A</v>
      </c>
      <c r="E3454" s="16" t="e">
        <f t="shared" si="1"/>
        <v>#N/A</v>
      </c>
      <c r="F3454" s="16" t="e">
        <f t="shared" ref="F3454:K3454" si="6954">VLOOKUP($A3454,[11]Planeación!$A$1:$O$253,F$1,0)</f>
        <v>#N/A</v>
      </c>
      <c r="G3454" s="39" t="e">
        <f t="shared" si="6954"/>
        <v>#N/A</v>
      </c>
      <c r="H3454" s="16" t="e">
        <f t="shared" si="6954"/>
        <v>#N/A</v>
      </c>
      <c r="I3454" s="16" t="e">
        <f t="shared" si="6954"/>
        <v>#N/A</v>
      </c>
      <c r="J3454" s="40" t="e">
        <f t="shared" si="6954"/>
        <v>#N/A</v>
      </c>
      <c r="K3454" s="16" t="e">
        <f t="shared" si="6954"/>
        <v>#N/A</v>
      </c>
      <c r="L3454" s="40" t="e">
        <f t="shared" si="6649"/>
        <v>#N/A</v>
      </c>
      <c r="M3454" s="16" t="e">
        <f t="shared" si="6650"/>
        <v>#N/A</v>
      </c>
      <c r="N3454" s="16" t="e">
        <f t="shared" si="6651"/>
        <v>#N/A</v>
      </c>
      <c r="O3454" s="16" t="s">
        <v>75</v>
      </c>
      <c r="P3454" s="16" t="str">
        <f t="shared" si="6"/>
        <v/>
      </c>
      <c r="Q3454" s="41" t="e">
        <f t="shared" si="6652"/>
        <v>#N/A</v>
      </c>
      <c r="R3454" s="44"/>
      <c r="S3454" s="44"/>
      <c r="T3454" s="43"/>
      <c r="U3454" s="43" t="str">
        <f t="shared" si="8"/>
        <v>No</v>
      </c>
      <c r="V3454" s="25"/>
      <c r="W3454" s="25"/>
      <c r="X3454" s="25"/>
      <c r="Y3454" s="25"/>
      <c r="Z3454" s="25"/>
    </row>
    <row r="3455" spans="1:26" ht="15.75" customHeight="1" x14ac:dyDescent="0.25">
      <c r="A3455" s="25">
        <v>3453</v>
      </c>
      <c r="B3455" s="37" t="e">
        <f t="shared" ref="B3455:D3455" si="6955">VLOOKUP($A3455,[11]Planeación!$A$1:$O$253,B$1,0)</f>
        <v>#N/A</v>
      </c>
      <c r="C3455" s="38" t="e">
        <f t="shared" si="6955"/>
        <v>#N/A</v>
      </c>
      <c r="D3455" s="39" t="e">
        <f t="shared" si="6955"/>
        <v>#N/A</v>
      </c>
      <c r="E3455" s="16" t="e">
        <f t="shared" si="1"/>
        <v>#N/A</v>
      </c>
      <c r="F3455" s="16" t="e">
        <f t="shared" ref="F3455:K3455" si="6956">VLOOKUP($A3455,[11]Planeación!$A$1:$O$253,F$1,0)</f>
        <v>#N/A</v>
      </c>
      <c r="G3455" s="39" t="e">
        <f t="shared" si="6956"/>
        <v>#N/A</v>
      </c>
      <c r="H3455" s="16" t="e">
        <f t="shared" si="6956"/>
        <v>#N/A</v>
      </c>
      <c r="I3455" s="16" t="e">
        <f t="shared" si="6956"/>
        <v>#N/A</v>
      </c>
      <c r="J3455" s="40" t="e">
        <f t="shared" si="6956"/>
        <v>#N/A</v>
      </c>
      <c r="K3455" s="16" t="e">
        <f t="shared" si="6956"/>
        <v>#N/A</v>
      </c>
      <c r="L3455" s="40" t="e">
        <f t="shared" si="6649"/>
        <v>#N/A</v>
      </c>
      <c r="M3455" s="16" t="e">
        <f t="shared" si="6650"/>
        <v>#N/A</v>
      </c>
      <c r="N3455" s="16" t="e">
        <f t="shared" si="6651"/>
        <v>#N/A</v>
      </c>
      <c r="O3455" s="16" t="s">
        <v>75</v>
      </c>
      <c r="P3455" s="16" t="str">
        <f t="shared" si="6"/>
        <v/>
      </c>
      <c r="Q3455" s="41" t="e">
        <f t="shared" si="6652"/>
        <v>#N/A</v>
      </c>
      <c r="R3455" s="44"/>
      <c r="S3455" s="44"/>
      <c r="T3455" s="43"/>
      <c r="U3455" s="43" t="str">
        <f t="shared" si="8"/>
        <v>No</v>
      </c>
      <c r="V3455" s="25"/>
      <c r="W3455" s="25"/>
      <c r="X3455" s="25"/>
      <c r="Y3455" s="25"/>
      <c r="Z3455" s="25"/>
    </row>
    <row r="3456" spans="1:26" ht="15.75" customHeight="1" x14ac:dyDescent="0.25">
      <c r="A3456" s="25">
        <v>3454</v>
      </c>
      <c r="B3456" s="37" t="e">
        <f t="shared" ref="B3456:D3456" si="6957">VLOOKUP($A3456,[11]Planeación!$A$1:$O$253,B$1,0)</f>
        <v>#N/A</v>
      </c>
      <c r="C3456" s="38" t="e">
        <f t="shared" si="6957"/>
        <v>#N/A</v>
      </c>
      <c r="D3456" s="39" t="e">
        <f t="shared" si="6957"/>
        <v>#N/A</v>
      </c>
      <c r="E3456" s="16" t="e">
        <f t="shared" si="1"/>
        <v>#N/A</v>
      </c>
      <c r="F3456" s="16" t="e">
        <f t="shared" ref="F3456:K3456" si="6958">VLOOKUP($A3456,[11]Planeación!$A$1:$O$253,F$1,0)</f>
        <v>#N/A</v>
      </c>
      <c r="G3456" s="39" t="e">
        <f t="shared" si="6958"/>
        <v>#N/A</v>
      </c>
      <c r="H3456" s="16" t="e">
        <f t="shared" si="6958"/>
        <v>#N/A</v>
      </c>
      <c r="I3456" s="16" t="e">
        <f t="shared" si="6958"/>
        <v>#N/A</v>
      </c>
      <c r="J3456" s="40" t="e">
        <f t="shared" si="6958"/>
        <v>#N/A</v>
      </c>
      <c r="K3456" s="16" t="e">
        <f t="shared" si="6958"/>
        <v>#N/A</v>
      </c>
      <c r="L3456" s="40" t="e">
        <f t="shared" si="6649"/>
        <v>#N/A</v>
      </c>
      <c r="M3456" s="16" t="e">
        <f t="shared" si="6650"/>
        <v>#N/A</v>
      </c>
      <c r="N3456" s="16" t="e">
        <f t="shared" si="6651"/>
        <v>#N/A</v>
      </c>
      <c r="O3456" s="16" t="s">
        <v>75</v>
      </c>
      <c r="P3456" s="16" t="str">
        <f t="shared" si="6"/>
        <v/>
      </c>
      <c r="Q3456" s="41" t="e">
        <f t="shared" si="6652"/>
        <v>#N/A</v>
      </c>
      <c r="R3456" s="44"/>
      <c r="S3456" s="44"/>
      <c r="T3456" s="43"/>
      <c r="U3456" s="43" t="str">
        <f t="shared" si="8"/>
        <v>No</v>
      </c>
      <c r="V3456" s="25"/>
      <c r="W3456" s="25"/>
      <c r="X3456" s="25"/>
      <c r="Y3456" s="25"/>
      <c r="Z3456" s="25"/>
    </row>
    <row r="3457" spans="1:26" ht="15.75" customHeight="1" x14ac:dyDescent="0.25">
      <c r="A3457" s="25">
        <v>3455</v>
      </c>
      <c r="B3457" s="37" t="e">
        <f t="shared" ref="B3457:D3457" si="6959">VLOOKUP($A3457,[11]Planeación!$A$1:$O$253,B$1,0)</f>
        <v>#N/A</v>
      </c>
      <c r="C3457" s="38" t="e">
        <f t="shared" si="6959"/>
        <v>#N/A</v>
      </c>
      <c r="D3457" s="39" t="e">
        <f t="shared" si="6959"/>
        <v>#N/A</v>
      </c>
      <c r="E3457" s="16" t="e">
        <f t="shared" si="1"/>
        <v>#N/A</v>
      </c>
      <c r="F3457" s="16" t="e">
        <f t="shared" ref="F3457:K3457" si="6960">VLOOKUP($A3457,[11]Planeación!$A$1:$O$253,F$1,0)</f>
        <v>#N/A</v>
      </c>
      <c r="G3457" s="39" t="e">
        <f t="shared" si="6960"/>
        <v>#N/A</v>
      </c>
      <c r="H3457" s="16" t="e">
        <f t="shared" si="6960"/>
        <v>#N/A</v>
      </c>
      <c r="I3457" s="16" t="e">
        <f t="shared" si="6960"/>
        <v>#N/A</v>
      </c>
      <c r="J3457" s="40" t="e">
        <f t="shared" si="6960"/>
        <v>#N/A</v>
      </c>
      <c r="K3457" s="16" t="e">
        <f t="shared" si="6960"/>
        <v>#N/A</v>
      </c>
      <c r="L3457" s="40" t="e">
        <f t="shared" si="6649"/>
        <v>#N/A</v>
      </c>
      <c r="M3457" s="16" t="e">
        <f t="shared" si="6650"/>
        <v>#N/A</v>
      </c>
      <c r="N3457" s="16" t="e">
        <f t="shared" si="6651"/>
        <v>#N/A</v>
      </c>
      <c r="O3457" s="16" t="s">
        <v>75</v>
      </c>
      <c r="P3457" s="16" t="str">
        <f t="shared" si="6"/>
        <v/>
      </c>
      <c r="Q3457" s="41" t="e">
        <f t="shared" si="6652"/>
        <v>#N/A</v>
      </c>
      <c r="R3457" s="44"/>
      <c r="S3457" s="44"/>
      <c r="T3457" s="43"/>
      <c r="U3457" s="43" t="str">
        <f t="shared" si="8"/>
        <v>No</v>
      </c>
      <c r="V3457" s="25"/>
      <c r="W3457" s="25"/>
      <c r="X3457" s="25"/>
      <c r="Y3457" s="25"/>
      <c r="Z3457" s="25"/>
    </row>
    <row r="3458" spans="1:26" ht="15.75" customHeight="1" x14ac:dyDescent="0.25">
      <c r="A3458" s="25">
        <v>3456</v>
      </c>
      <c r="B3458" s="37" t="e">
        <f t="shared" ref="B3458:D3458" si="6961">VLOOKUP($A3458,[11]Planeación!$A$1:$O$253,B$1,0)</f>
        <v>#N/A</v>
      </c>
      <c r="C3458" s="38" t="e">
        <f t="shared" si="6961"/>
        <v>#N/A</v>
      </c>
      <c r="D3458" s="39" t="e">
        <f t="shared" si="6961"/>
        <v>#N/A</v>
      </c>
      <c r="E3458" s="16" t="e">
        <f t="shared" si="1"/>
        <v>#N/A</v>
      </c>
      <c r="F3458" s="16" t="e">
        <f t="shared" ref="F3458:K3458" si="6962">VLOOKUP($A3458,[11]Planeación!$A$1:$O$253,F$1,0)</f>
        <v>#N/A</v>
      </c>
      <c r="G3458" s="39" t="e">
        <f t="shared" si="6962"/>
        <v>#N/A</v>
      </c>
      <c r="H3458" s="16" t="e">
        <f t="shared" si="6962"/>
        <v>#N/A</v>
      </c>
      <c r="I3458" s="16" t="e">
        <f t="shared" si="6962"/>
        <v>#N/A</v>
      </c>
      <c r="J3458" s="40" t="e">
        <f t="shared" si="6962"/>
        <v>#N/A</v>
      </c>
      <c r="K3458" s="16" t="e">
        <f t="shared" si="6962"/>
        <v>#N/A</v>
      </c>
      <c r="L3458" s="40" t="e">
        <f t="shared" si="6649"/>
        <v>#N/A</v>
      </c>
      <c r="M3458" s="16" t="e">
        <f t="shared" si="6650"/>
        <v>#N/A</v>
      </c>
      <c r="N3458" s="16" t="e">
        <f t="shared" si="6651"/>
        <v>#N/A</v>
      </c>
      <c r="O3458" s="16" t="s">
        <v>75</v>
      </c>
      <c r="P3458" s="16" t="str">
        <f t="shared" si="6"/>
        <v/>
      </c>
      <c r="Q3458" s="41" t="e">
        <f t="shared" si="6652"/>
        <v>#N/A</v>
      </c>
      <c r="R3458" s="44"/>
      <c r="S3458" s="44"/>
      <c r="T3458" s="43"/>
      <c r="U3458" s="43" t="str">
        <f t="shared" si="8"/>
        <v>No</v>
      </c>
      <c r="V3458" s="25"/>
      <c r="W3458" s="25"/>
      <c r="X3458" s="25"/>
      <c r="Y3458" s="25"/>
      <c r="Z3458" s="25"/>
    </row>
    <row r="3459" spans="1:26" ht="15.75" customHeight="1" x14ac:dyDescent="0.25">
      <c r="A3459" s="25">
        <v>3457</v>
      </c>
      <c r="B3459" s="37" t="e">
        <f t="shared" ref="B3459:D3459" si="6963">VLOOKUP($A3459,[11]Planeación!$A$1:$O$253,B$1,0)</f>
        <v>#N/A</v>
      </c>
      <c r="C3459" s="38" t="e">
        <f t="shared" si="6963"/>
        <v>#N/A</v>
      </c>
      <c r="D3459" s="39" t="e">
        <f t="shared" si="6963"/>
        <v>#N/A</v>
      </c>
      <c r="E3459" s="16" t="e">
        <f t="shared" si="1"/>
        <v>#N/A</v>
      </c>
      <c r="F3459" s="16" t="e">
        <f t="shared" ref="F3459:K3459" si="6964">VLOOKUP($A3459,[11]Planeación!$A$1:$O$253,F$1,0)</f>
        <v>#N/A</v>
      </c>
      <c r="G3459" s="39" t="e">
        <f t="shared" si="6964"/>
        <v>#N/A</v>
      </c>
      <c r="H3459" s="16" t="e">
        <f t="shared" si="6964"/>
        <v>#N/A</v>
      </c>
      <c r="I3459" s="16" t="e">
        <f t="shared" si="6964"/>
        <v>#N/A</v>
      </c>
      <c r="J3459" s="40" t="e">
        <f t="shared" si="6964"/>
        <v>#N/A</v>
      </c>
      <c r="K3459" s="16" t="e">
        <f t="shared" si="6964"/>
        <v>#N/A</v>
      </c>
      <c r="L3459" s="40" t="e">
        <f t="shared" si="6649"/>
        <v>#N/A</v>
      </c>
      <c r="M3459" s="16" t="e">
        <f t="shared" si="6650"/>
        <v>#N/A</v>
      </c>
      <c r="N3459" s="16" t="e">
        <f t="shared" si="6651"/>
        <v>#N/A</v>
      </c>
      <c r="O3459" s="16" t="s">
        <v>75</v>
      </c>
      <c r="P3459" s="16" t="str">
        <f t="shared" si="6"/>
        <v/>
      </c>
      <c r="Q3459" s="41" t="e">
        <f t="shared" si="6652"/>
        <v>#N/A</v>
      </c>
      <c r="R3459" s="44"/>
      <c r="S3459" s="44"/>
      <c r="T3459" s="43"/>
      <c r="U3459" s="43" t="str">
        <f t="shared" si="8"/>
        <v>No</v>
      </c>
      <c r="V3459" s="25"/>
      <c r="W3459" s="25"/>
      <c r="X3459" s="25"/>
      <c r="Y3459" s="25"/>
      <c r="Z3459" s="25"/>
    </row>
    <row r="3460" spans="1:26" ht="15.75" customHeight="1" x14ac:dyDescent="0.25">
      <c r="A3460" s="25">
        <v>3458</v>
      </c>
      <c r="B3460" s="37" t="e">
        <f t="shared" ref="B3460:D3460" si="6965">VLOOKUP($A3460,[11]Planeación!$A$1:$O$253,B$1,0)</f>
        <v>#N/A</v>
      </c>
      <c r="C3460" s="38" t="e">
        <f t="shared" si="6965"/>
        <v>#N/A</v>
      </c>
      <c r="D3460" s="39" t="e">
        <f t="shared" si="6965"/>
        <v>#N/A</v>
      </c>
      <c r="E3460" s="16" t="e">
        <f t="shared" si="1"/>
        <v>#N/A</v>
      </c>
      <c r="F3460" s="16" t="e">
        <f t="shared" ref="F3460:K3460" si="6966">VLOOKUP($A3460,[11]Planeación!$A$1:$O$253,F$1,0)</f>
        <v>#N/A</v>
      </c>
      <c r="G3460" s="39" t="e">
        <f t="shared" si="6966"/>
        <v>#N/A</v>
      </c>
      <c r="H3460" s="16" t="e">
        <f t="shared" si="6966"/>
        <v>#N/A</v>
      </c>
      <c r="I3460" s="16" t="e">
        <f t="shared" si="6966"/>
        <v>#N/A</v>
      </c>
      <c r="J3460" s="40" t="e">
        <f t="shared" si="6966"/>
        <v>#N/A</v>
      </c>
      <c r="K3460" s="16" t="e">
        <f t="shared" si="6966"/>
        <v>#N/A</v>
      </c>
      <c r="L3460" s="40" t="e">
        <f t="shared" si="6649"/>
        <v>#N/A</v>
      </c>
      <c r="M3460" s="16" t="e">
        <f t="shared" si="6650"/>
        <v>#N/A</v>
      </c>
      <c r="N3460" s="16" t="e">
        <f t="shared" si="6651"/>
        <v>#N/A</v>
      </c>
      <c r="O3460" s="16" t="s">
        <v>75</v>
      </c>
      <c r="P3460" s="16" t="str">
        <f t="shared" si="6"/>
        <v/>
      </c>
      <c r="Q3460" s="41" t="e">
        <f t="shared" si="6652"/>
        <v>#N/A</v>
      </c>
      <c r="R3460" s="44"/>
      <c r="S3460" s="44"/>
      <c r="T3460" s="43"/>
      <c r="U3460" s="43" t="str">
        <f t="shared" si="8"/>
        <v>No</v>
      </c>
      <c r="V3460" s="25"/>
      <c r="W3460" s="25"/>
      <c r="X3460" s="25"/>
      <c r="Y3460" s="25"/>
      <c r="Z3460" s="25"/>
    </row>
    <row r="3461" spans="1:26" ht="15.75" customHeight="1" x14ac:dyDescent="0.25">
      <c r="A3461" s="25">
        <v>3459</v>
      </c>
      <c r="B3461" s="37" t="e">
        <f t="shared" ref="B3461:D3461" si="6967">VLOOKUP($A3461,[11]Planeación!$A$1:$O$253,B$1,0)</f>
        <v>#N/A</v>
      </c>
      <c r="C3461" s="38" t="e">
        <f t="shared" si="6967"/>
        <v>#N/A</v>
      </c>
      <c r="D3461" s="39" t="e">
        <f t="shared" si="6967"/>
        <v>#N/A</v>
      </c>
      <c r="E3461" s="16" t="e">
        <f t="shared" si="1"/>
        <v>#N/A</v>
      </c>
      <c r="F3461" s="16" t="e">
        <f t="shared" ref="F3461:K3461" si="6968">VLOOKUP($A3461,[11]Planeación!$A$1:$O$253,F$1,0)</f>
        <v>#N/A</v>
      </c>
      <c r="G3461" s="39" t="e">
        <f t="shared" si="6968"/>
        <v>#N/A</v>
      </c>
      <c r="H3461" s="16" t="e">
        <f t="shared" si="6968"/>
        <v>#N/A</v>
      </c>
      <c r="I3461" s="16" t="e">
        <f t="shared" si="6968"/>
        <v>#N/A</v>
      </c>
      <c r="J3461" s="40" t="e">
        <f t="shared" si="6968"/>
        <v>#N/A</v>
      </c>
      <c r="K3461" s="16" t="e">
        <f t="shared" si="6968"/>
        <v>#N/A</v>
      </c>
      <c r="L3461" s="40" t="e">
        <f t="shared" si="6649"/>
        <v>#N/A</v>
      </c>
      <c r="M3461" s="16" t="e">
        <f t="shared" si="6650"/>
        <v>#N/A</v>
      </c>
      <c r="N3461" s="16" t="e">
        <f t="shared" si="6651"/>
        <v>#N/A</v>
      </c>
      <c r="O3461" s="16" t="s">
        <v>75</v>
      </c>
      <c r="P3461" s="16" t="str">
        <f t="shared" si="6"/>
        <v/>
      </c>
      <c r="Q3461" s="41" t="e">
        <f t="shared" si="6652"/>
        <v>#N/A</v>
      </c>
      <c r="R3461" s="44"/>
      <c r="S3461" s="44"/>
      <c r="T3461" s="43"/>
      <c r="U3461" s="43" t="str">
        <f t="shared" si="8"/>
        <v>No</v>
      </c>
      <c r="V3461" s="25"/>
      <c r="W3461" s="25"/>
      <c r="X3461" s="25"/>
      <c r="Y3461" s="25"/>
      <c r="Z3461" s="25"/>
    </row>
    <row r="3462" spans="1:26" ht="15.75" customHeight="1" x14ac:dyDescent="0.25">
      <c r="A3462" s="25">
        <v>3460</v>
      </c>
      <c r="B3462" s="37" t="e">
        <f t="shared" ref="B3462:D3462" si="6969">VLOOKUP($A3462,[11]Planeación!$A$1:$O$253,B$1,0)</f>
        <v>#N/A</v>
      </c>
      <c r="C3462" s="38" t="e">
        <f t="shared" si="6969"/>
        <v>#N/A</v>
      </c>
      <c r="D3462" s="39" t="e">
        <f t="shared" si="6969"/>
        <v>#N/A</v>
      </c>
      <c r="E3462" s="16" t="e">
        <f t="shared" si="1"/>
        <v>#N/A</v>
      </c>
      <c r="F3462" s="16" t="e">
        <f t="shared" ref="F3462:K3462" si="6970">VLOOKUP($A3462,[11]Planeación!$A$1:$O$253,F$1,0)</f>
        <v>#N/A</v>
      </c>
      <c r="G3462" s="39" t="e">
        <f t="shared" si="6970"/>
        <v>#N/A</v>
      </c>
      <c r="H3462" s="16" t="e">
        <f t="shared" si="6970"/>
        <v>#N/A</v>
      </c>
      <c r="I3462" s="16" t="e">
        <f t="shared" si="6970"/>
        <v>#N/A</v>
      </c>
      <c r="J3462" s="40" t="e">
        <f t="shared" si="6970"/>
        <v>#N/A</v>
      </c>
      <c r="K3462" s="16" t="e">
        <f t="shared" si="6970"/>
        <v>#N/A</v>
      </c>
      <c r="L3462" s="40" t="e">
        <f t="shared" si="6649"/>
        <v>#N/A</v>
      </c>
      <c r="M3462" s="16" t="e">
        <f t="shared" si="6650"/>
        <v>#N/A</v>
      </c>
      <c r="N3462" s="16" t="e">
        <f t="shared" si="6651"/>
        <v>#N/A</v>
      </c>
      <c r="O3462" s="16" t="s">
        <v>75</v>
      </c>
      <c r="P3462" s="16" t="str">
        <f t="shared" si="6"/>
        <v/>
      </c>
      <c r="Q3462" s="41" t="e">
        <f t="shared" si="6652"/>
        <v>#N/A</v>
      </c>
      <c r="R3462" s="44"/>
      <c r="S3462" s="44"/>
      <c r="T3462" s="43"/>
      <c r="U3462" s="43" t="str">
        <f t="shared" si="8"/>
        <v>No</v>
      </c>
      <c r="V3462" s="25"/>
      <c r="W3462" s="25"/>
      <c r="X3462" s="25"/>
      <c r="Y3462" s="25"/>
      <c r="Z3462" s="25"/>
    </row>
    <row r="3463" spans="1:26" ht="15.75" customHeight="1" x14ac:dyDescent="0.25">
      <c r="A3463" s="25">
        <v>3461</v>
      </c>
      <c r="B3463" s="37" t="e">
        <f t="shared" ref="B3463:D3463" si="6971">VLOOKUP($A3463,[11]Planeación!$A$1:$O$253,B$1,0)</f>
        <v>#N/A</v>
      </c>
      <c r="C3463" s="38" t="e">
        <f t="shared" si="6971"/>
        <v>#N/A</v>
      </c>
      <c r="D3463" s="39" t="e">
        <f t="shared" si="6971"/>
        <v>#N/A</v>
      </c>
      <c r="E3463" s="16" t="e">
        <f t="shared" si="1"/>
        <v>#N/A</v>
      </c>
      <c r="F3463" s="16" t="e">
        <f t="shared" ref="F3463:K3463" si="6972">VLOOKUP($A3463,[11]Planeación!$A$1:$O$253,F$1,0)</f>
        <v>#N/A</v>
      </c>
      <c r="G3463" s="39" t="e">
        <f t="shared" si="6972"/>
        <v>#N/A</v>
      </c>
      <c r="H3463" s="16" t="e">
        <f t="shared" si="6972"/>
        <v>#N/A</v>
      </c>
      <c r="I3463" s="16" t="e">
        <f t="shared" si="6972"/>
        <v>#N/A</v>
      </c>
      <c r="J3463" s="40" t="e">
        <f t="shared" si="6972"/>
        <v>#N/A</v>
      </c>
      <c r="K3463" s="16" t="e">
        <f t="shared" si="6972"/>
        <v>#N/A</v>
      </c>
      <c r="L3463" s="40" t="e">
        <f t="shared" si="6649"/>
        <v>#N/A</v>
      </c>
      <c r="M3463" s="16" t="e">
        <f t="shared" si="6650"/>
        <v>#N/A</v>
      </c>
      <c r="N3463" s="16" t="e">
        <f t="shared" si="6651"/>
        <v>#N/A</v>
      </c>
      <c r="O3463" s="16" t="s">
        <v>75</v>
      </c>
      <c r="P3463" s="16" t="str">
        <f t="shared" si="6"/>
        <v/>
      </c>
      <c r="Q3463" s="41" t="e">
        <f t="shared" si="6652"/>
        <v>#N/A</v>
      </c>
      <c r="R3463" s="44"/>
      <c r="S3463" s="44"/>
      <c r="T3463" s="43"/>
      <c r="U3463" s="43" t="str">
        <f t="shared" si="8"/>
        <v>No</v>
      </c>
      <c r="V3463" s="25"/>
      <c r="W3463" s="25"/>
      <c r="X3463" s="25"/>
      <c r="Y3463" s="25"/>
      <c r="Z3463" s="25"/>
    </row>
    <row r="3464" spans="1:26" ht="15.75" customHeight="1" x14ac:dyDescent="0.25">
      <c r="A3464" s="25">
        <v>3462</v>
      </c>
      <c r="B3464" s="37" t="e">
        <f t="shared" ref="B3464:D3464" si="6973">VLOOKUP($A3464,[11]Planeación!$A$1:$O$253,B$1,0)</f>
        <v>#N/A</v>
      </c>
      <c r="C3464" s="38" t="e">
        <f t="shared" si="6973"/>
        <v>#N/A</v>
      </c>
      <c r="D3464" s="39" t="e">
        <f t="shared" si="6973"/>
        <v>#N/A</v>
      </c>
      <c r="E3464" s="16" t="e">
        <f t="shared" si="1"/>
        <v>#N/A</v>
      </c>
      <c r="F3464" s="16" t="e">
        <f t="shared" ref="F3464:K3464" si="6974">VLOOKUP($A3464,[11]Planeación!$A$1:$O$253,F$1,0)</f>
        <v>#N/A</v>
      </c>
      <c r="G3464" s="39" t="e">
        <f t="shared" si="6974"/>
        <v>#N/A</v>
      </c>
      <c r="H3464" s="16" t="e">
        <f t="shared" si="6974"/>
        <v>#N/A</v>
      </c>
      <c r="I3464" s="16" t="e">
        <f t="shared" si="6974"/>
        <v>#N/A</v>
      </c>
      <c r="J3464" s="40" t="e">
        <f t="shared" si="6974"/>
        <v>#N/A</v>
      </c>
      <c r="K3464" s="16" t="e">
        <f t="shared" si="6974"/>
        <v>#N/A</v>
      </c>
      <c r="L3464" s="40" t="e">
        <f t="shared" si="6649"/>
        <v>#N/A</v>
      </c>
      <c r="M3464" s="16" t="e">
        <f t="shared" si="6650"/>
        <v>#N/A</v>
      </c>
      <c r="N3464" s="16" t="e">
        <f t="shared" si="6651"/>
        <v>#N/A</v>
      </c>
      <c r="O3464" s="16" t="s">
        <v>75</v>
      </c>
      <c r="P3464" s="16" t="str">
        <f t="shared" si="6"/>
        <v/>
      </c>
      <c r="Q3464" s="41" t="e">
        <f t="shared" si="6652"/>
        <v>#N/A</v>
      </c>
      <c r="R3464" s="44"/>
      <c r="S3464" s="44"/>
      <c r="T3464" s="43"/>
      <c r="U3464" s="43" t="str">
        <f t="shared" si="8"/>
        <v>No</v>
      </c>
      <c r="V3464" s="25"/>
      <c r="W3464" s="25"/>
      <c r="X3464" s="25"/>
      <c r="Y3464" s="25"/>
      <c r="Z3464" s="25"/>
    </row>
    <row r="3465" spans="1:26" ht="15.75" customHeight="1" x14ac:dyDescent="0.25">
      <c r="A3465" s="25">
        <v>3463</v>
      </c>
      <c r="B3465" s="37" t="e">
        <f t="shared" ref="B3465:D3465" si="6975">VLOOKUP($A3465,[11]Planeación!$A$1:$O$253,B$1,0)</f>
        <v>#N/A</v>
      </c>
      <c r="C3465" s="38" t="e">
        <f t="shared" si="6975"/>
        <v>#N/A</v>
      </c>
      <c r="D3465" s="39" t="e">
        <f t="shared" si="6975"/>
        <v>#N/A</v>
      </c>
      <c r="E3465" s="16" t="e">
        <f t="shared" si="1"/>
        <v>#N/A</v>
      </c>
      <c r="F3465" s="16" t="e">
        <f t="shared" ref="F3465:K3465" si="6976">VLOOKUP($A3465,[11]Planeación!$A$1:$O$253,F$1,0)</f>
        <v>#N/A</v>
      </c>
      <c r="G3465" s="39" t="e">
        <f t="shared" si="6976"/>
        <v>#N/A</v>
      </c>
      <c r="H3465" s="16" t="e">
        <f t="shared" si="6976"/>
        <v>#N/A</v>
      </c>
      <c r="I3465" s="16" t="e">
        <f t="shared" si="6976"/>
        <v>#N/A</v>
      </c>
      <c r="J3465" s="40" t="e">
        <f t="shared" si="6976"/>
        <v>#N/A</v>
      </c>
      <c r="K3465" s="16" t="e">
        <f t="shared" si="6976"/>
        <v>#N/A</v>
      </c>
      <c r="L3465" s="40" t="e">
        <f t="shared" si="6649"/>
        <v>#N/A</v>
      </c>
      <c r="M3465" s="16" t="e">
        <f t="shared" si="6650"/>
        <v>#N/A</v>
      </c>
      <c r="N3465" s="16" t="e">
        <f t="shared" si="6651"/>
        <v>#N/A</v>
      </c>
      <c r="O3465" s="16" t="s">
        <v>75</v>
      </c>
      <c r="P3465" s="16" t="str">
        <f t="shared" si="6"/>
        <v/>
      </c>
      <c r="Q3465" s="41" t="e">
        <f t="shared" si="6652"/>
        <v>#N/A</v>
      </c>
      <c r="R3465" s="44"/>
      <c r="S3465" s="44"/>
      <c r="T3465" s="43"/>
      <c r="U3465" s="43" t="str">
        <f t="shared" si="8"/>
        <v>No</v>
      </c>
      <c r="V3465" s="25"/>
      <c r="W3465" s="25"/>
      <c r="X3465" s="25"/>
      <c r="Y3465" s="25"/>
      <c r="Z3465" s="25"/>
    </row>
    <row r="3466" spans="1:26" ht="15.75" customHeight="1" x14ac:dyDescent="0.25">
      <c r="A3466" s="25">
        <v>3464</v>
      </c>
      <c r="B3466" s="37" t="e">
        <f t="shared" ref="B3466:D3466" si="6977">VLOOKUP($A3466,[11]Planeación!$A$1:$O$253,B$1,0)</f>
        <v>#N/A</v>
      </c>
      <c r="C3466" s="38" t="e">
        <f t="shared" si="6977"/>
        <v>#N/A</v>
      </c>
      <c r="D3466" s="39" t="e">
        <f t="shared" si="6977"/>
        <v>#N/A</v>
      </c>
      <c r="E3466" s="16" t="e">
        <f t="shared" si="1"/>
        <v>#N/A</v>
      </c>
      <c r="F3466" s="16" t="e">
        <f t="shared" ref="F3466:K3466" si="6978">VLOOKUP($A3466,[11]Planeación!$A$1:$O$253,F$1,0)</f>
        <v>#N/A</v>
      </c>
      <c r="G3466" s="39" t="e">
        <f t="shared" si="6978"/>
        <v>#N/A</v>
      </c>
      <c r="H3466" s="16" t="e">
        <f t="shared" si="6978"/>
        <v>#N/A</v>
      </c>
      <c r="I3466" s="16" t="e">
        <f t="shared" si="6978"/>
        <v>#N/A</v>
      </c>
      <c r="J3466" s="40" t="e">
        <f t="shared" si="6978"/>
        <v>#N/A</v>
      </c>
      <c r="K3466" s="16" t="e">
        <f t="shared" si="6978"/>
        <v>#N/A</v>
      </c>
      <c r="L3466" s="40" t="e">
        <f t="shared" si="6649"/>
        <v>#N/A</v>
      </c>
      <c r="M3466" s="16" t="e">
        <f t="shared" si="6650"/>
        <v>#N/A</v>
      </c>
      <c r="N3466" s="16" t="e">
        <f t="shared" si="6651"/>
        <v>#N/A</v>
      </c>
      <c r="O3466" s="16" t="s">
        <v>75</v>
      </c>
      <c r="P3466" s="16" t="str">
        <f t="shared" si="6"/>
        <v/>
      </c>
      <c r="Q3466" s="41" t="e">
        <f t="shared" si="6652"/>
        <v>#N/A</v>
      </c>
      <c r="R3466" s="44"/>
      <c r="S3466" s="44"/>
      <c r="T3466" s="43"/>
      <c r="U3466" s="43" t="str">
        <f t="shared" si="8"/>
        <v>No</v>
      </c>
      <c r="V3466" s="25"/>
      <c r="W3466" s="25"/>
      <c r="X3466" s="25"/>
      <c r="Y3466" s="25"/>
      <c r="Z3466" s="25"/>
    </row>
    <row r="3467" spans="1:26" ht="15.75" customHeight="1" x14ac:dyDescent="0.25">
      <c r="A3467" s="25">
        <v>3465</v>
      </c>
      <c r="B3467" s="37" t="e">
        <f t="shared" ref="B3467:D3467" si="6979">VLOOKUP($A3467,[11]Planeación!$A$1:$O$253,B$1,0)</f>
        <v>#N/A</v>
      </c>
      <c r="C3467" s="38" t="e">
        <f t="shared" si="6979"/>
        <v>#N/A</v>
      </c>
      <c r="D3467" s="39" t="e">
        <f t="shared" si="6979"/>
        <v>#N/A</v>
      </c>
      <c r="E3467" s="16" t="e">
        <f t="shared" si="1"/>
        <v>#N/A</v>
      </c>
      <c r="F3467" s="16" t="e">
        <f t="shared" ref="F3467:K3467" si="6980">VLOOKUP($A3467,[11]Planeación!$A$1:$O$253,F$1,0)</f>
        <v>#N/A</v>
      </c>
      <c r="G3467" s="39" t="e">
        <f t="shared" si="6980"/>
        <v>#N/A</v>
      </c>
      <c r="H3467" s="16" t="e">
        <f t="shared" si="6980"/>
        <v>#N/A</v>
      </c>
      <c r="I3467" s="16" t="e">
        <f t="shared" si="6980"/>
        <v>#N/A</v>
      </c>
      <c r="J3467" s="40" t="e">
        <f t="shared" si="6980"/>
        <v>#N/A</v>
      </c>
      <c r="K3467" s="16" t="e">
        <f t="shared" si="6980"/>
        <v>#N/A</v>
      </c>
      <c r="L3467" s="40" t="e">
        <f t="shared" si="6649"/>
        <v>#N/A</v>
      </c>
      <c r="M3467" s="16" t="e">
        <f t="shared" si="6650"/>
        <v>#N/A</v>
      </c>
      <c r="N3467" s="16" t="e">
        <f t="shared" si="6651"/>
        <v>#N/A</v>
      </c>
      <c r="O3467" s="16" t="s">
        <v>75</v>
      </c>
      <c r="P3467" s="16" t="str">
        <f t="shared" si="6"/>
        <v/>
      </c>
      <c r="Q3467" s="41" t="e">
        <f t="shared" si="6652"/>
        <v>#N/A</v>
      </c>
      <c r="R3467" s="44"/>
      <c r="S3467" s="44"/>
      <c r="T3467" s="43"/>
      <c r="U3467" s="43" t="str">
        <f t="shared" si="8"/>
        <v>No</v>
      </c>
      <c r="V3467" s="25"/>
      <c r="W3467" s="25"/>
      <c r="X3467" s="25"/>
      <c r="Y3467" s="25"/>
      <c r="Z3467" s="25"/>
    </row>
    <row r="3468" spans="1:26" ht="15.75" customHeight="1" x14ac:dyDescent="0.25">
      <c r="A3468" s="25">
        <v>3466</v>
      </c>
      <c r="B3468" s="37" t="e">
        <f t="shared" ref="B3468:D3468" si="6981">VLOOKUP($A3468,[11]Planeación!$A$1:$O$253,B$1,0)</f>
        <v>#N/A</v>
      </c>
      <c r="C3468" s="38" t="e">
        <f t="shared" si="6981"/>
        <v>#N/A</v>
      </c>
      <c r="D3468" s="39" t="e">
        <f t="shared" si="6981"/>
        <v>#N/A</v>
      </c>
      <c r="E3468" s="16" t="e">
        <f t="shared" si="1"/>
        <v>#N/A</v>
      </c>
      <c r="F3468" s="16" t="e">
        <f t="shared" ref="F3468:K3468" si="6982">VLOOKUP($A3468,[11]Planeación!$A$1:$O$253,F$1,0)</f>
        <v>#N/A</v>
      </c>
      <c r="G3468" s="39" t="e">
        <f t="shared" si="6982"/>
        <v>#N/A</v>
      </c>
      <c r="H3468" s="16" t="e">
        <f t="shared" si="6982"/>
        <v>#N/A</v>
      </c>
      <c r="I3468" s="16" t="e">
        <f t="shared" si="6982"/>
        <v>#N/A</v>
      </c>
      <c r="J3468" s="40" t="e">
        <f t="shared" si="6982"/>
        <v>#N/A</v>
      </c>
      <c r="K3468" s="16" t="e">
        <f t="shared" si="6982"/>
        <v>#N/A</v>
      </c>
      <c r="L3468" s="40" t="e">
        <f t="shared" si="6649"/>
        <v>#N/A</v>
      </c>
      <c r="M3468" s="16" t="e">
        <f t="shared" si="6650"/>
        <v>#N/A</v>
      </c>
      <c r="N3468" s="16" t="e">
        <f t="shared" si="6651"/>
        <v>#N/A</v>
      </c>
      <c r="O3468" s="16" t="s">
        <v>75</v>
      </c>
      <c r="P3468" s="16" t="str">
        <f t="shared" si="6"/>
        <v/>
      </c>
      <c r="Q3468" s="41" t="e">
        <f t="shared" si="6652"/>
        <v>#N/A</v>
      </c>
      <c r="R3468" s="44"/>
      <c r="S3468" s="44"/>
      <c r="T3468" s="43"/>
      <c r="U3468" s="43" t="str">
        <f t="shared" si="8"/>
        <v>No</v>
      </c>
      <c r="V3468" s="25"/>
      <c r="W3468" s="25"/>
      <c r="X3468" s="25"/>
      <c r="Y3468" s="25"/>
      <c r="Z3468" s="25"/>
    </row>
    <row r="3469" spans="1:26" ht="15.75" customHeight="1" x14ac:dyDescent="0.25">
      <c r="A3469" s="25">
        <v>3467</v>
      </c>
      <c r="B3469" s="37" t="e">
        <f t="shared" ref="B3469:D3469" si="6983">VLOOKUP($A3469,[11]Planeación!$A$1:$O$253,B$1,0)</f>
        <v>#N/A</v>
      </c>
      <c r="C3469" s="38" t="e">
        <f t="shared" si="6983"/>
        <v>#N/A</v>
      </c>
      <c r="D3469" s="39" t="e">
        <f t="shared" si="6983"/>
        <v>#N/A</v>
      </c>
      <c r="E3469" s="16" t="e">
        <f t="shared" si="1"/>
        <v>#N/A</v>
      </c>
      <c r="F3469" s="16" t="e">
        <f t="shared" ref="F3469:K3469" si="6984">VLOOKUP($A3469,[11]Planeación!$A$1:$O$253,F$1,0)</f>
        <v>#N/A</v>
      </c>
      <c r="G3469" s="39" t="e">
        <f t="shared" si="6984"/>
        <v>#N/A</v>
      </c>
      <c r="H3469" s="16" t="e">
        <f t="shared" si="6984"/>
        <v>#N/A</v>
      </c>
      <c r="I3469" s="16" t="e">
        <f t="shared" si="6984"/>
        <v>#N/A</v>
      </c>
      <c r="J3469" s="40" t="e">
        <f t="shared" si="6984"/>
        <v>#N/A</v>
      </c>
      <c r="K3469" s="16" t="e">
        <f t="shared" si="6984"/>
        <v>#N/A</v>
      </c>
      <c r="L3469" s="40" t="e">
        <f t="shared" si="6649"/>
        <v>#N/A</v>
      </c>
      <c r="M3469" s="16" t="e">
        <f t="shared" si="6650"/>
        <v>#N/A</v>
      </c>
      <c r="N3469" s="16" t="e">
        <f t="shared" si="6651"/>
        <v>#N/A</v>
      </c>
      <c r="O3469" s="16" t="s">
        <v>75</v>
      </c>
      <c r="P3469" s="16" t="str">
        <f t="shared" si="6"/>
        <v/>
      </c>
      <c r="Q3469" s="41" t="e">
        <f t="shared" si="6652"/>
        <v>#N/A</v>
      </c>
      <c r="R3469" s="44"/>
      <c r="S3469" s="44"/>
      <c r="T3469" s="43"/>
      <c r="U3469" s="43" t="str">
        <f t="shared" si="8"/>
        <v>No</v>
      </c>
      <c r="V3469" s="25"/>
      <c r="W3469" s="25"/>
      <c r="X3469" s="25"/>
      <c r="Y3469" s="25"/>
      <c r="Z3469" s="25"/>
    </row>
    <row r="3470" spans="1:26" ht="15.75" customHeight="1" x14ac:dyDescent="0.25">
      <c r="A3470" s="25">
        <v>3468</v>
      </c>
      <c r="B3470" s="37" t="e">
        <f t="shared" ref="B3470:D3470" si="6985">VLOOKUP($A3470,[11]Planeación!$A$1:$O$253,B$1,0)</f>
        <v>#N/A</v>
      </c>
      <c r="C3470" s="38" t="e">
        <f t="shared" si="6985"/>
        <v>#N/A</v>
      </c>
      <c r="D3470" s="39" t="e">
        <f t="shared" si="6985"/>
        <v>#N/A</v>
      </c>
      <c r="E3470" s="16" t="e">
        <f t="shared" si="1"/>
        <v>#N/A</v>
      </c>
      <c r="F3470" s="16" t="e">
        <f t="shared" ref="F3470:K3470" si="6986">VLOOKUP($A3470,[11]Planeación!$A$1:$O$253,F$1,0)</f>
        <v>#N/A</v>
      </c>
      <c r="G3470" s="39" t="e">
        <f t="shared" si="6986"/>
        <v>#N/A</v>
      </c>
      <c r="H3470" s="16" t="e">
        <f t="shared" si="6986"/>
        <v>#N/A</v>
      </c>
      <c r="I3470" s="16" t="e">
        <f t="shared" si="6986"/>
        <v>#N/A</v>
      </c>
      <c r="J3470" s="40" t="e">
        <f t="shared" si="6986"/>
        <v>#N/A</v>
      </c>
      <c r="K3470" s="16" t="e">
        <f t="shared" si="6986"/>
        <v>#N/A</v>
      </c>
      <c r="L3470" s="40" t="e">
        <f t="shared" si="6649"/>
        <v>#N/A</v>
      </c>
      <c r="M3470" s="16" t="e">
        <f t="shared" si="6650"/>
        <v>#N/A</v>
      </c>
      <c r="N3470" s="16" t="e">
        <f t="shared" si="6651"/>
        <v>#N/A</v>
      </c>
      <c r="O3470" s="16" t="s">
        <v>75</v>
      </c>
      <c r="P3470" s="16" t="str">
        <f t="shared" si="6"/>
        <v/>
      </c>
      <c r="Q3470" s="41" t="e">
        <f t="shared" si="6652"/>
        <v>#N/A</v>
      </c>
      <c r="R3470" s="44"/>
      <c r="S3470" s="44"/>
      <c r="T3470" s="43"/>
      <c r="U3470" s="43" t="str">
        <f t="shared" si="8"/>
        <v>No</v>
      </c>
      <c r="V3470" s="25"/>
      <c r="W3470" s="25"/>
      <c r="X3470" s="25"/>
      <c r="Y3470" s="25"/>
      <c r="Z3470" s="25"/>
    </row>
    <row r="3471" spans="1:26" ht="15.75" customHeight="1" x14ac:dyDescent="0.25">
      <c r="A3471" s="25">
        <v>3469</v>
      </c>
      <c r="B3471" s="37" t="e">
        <f t="shared" ref="B3471:D3471" si="6987">VLOOKUP($A3471,[11]Planeación!$A$1:$O$253,B$1,0)</f>
        <v>#N/A</v>
      </c>
      <c r="C3471" s="38" t="e">
        <f t="shared" si="6987"/>
        <v>#N/A</v>
      </c>
      <c r="D3471" s="39" t="e">
        <f t="shared" si="6987"/>
        <v>#N/A</v>
      </c>
      <c r="E3471" s="16" t="e">
        <f t="shared" si="1"/>
        <v>#N/A</v>
      </c>
      <c r="F3471" s="16" t="e">
        <f t="shared" ref="F3471:K3471" si="6988">VLOOKUP($A3471,[11]Planeación!$A$1:$O$253,F$1,0)</f>
        <v>#N/A</v>
      </c>
      <c r="G3471" s="39" t="e">
        <f t="shared" si="6988"/>
        <v>#N/A</v>
      </c>
      <c r="H3471" s="16" t="e">
        <f t="shared" si="6988"/>
        <v>#N/A</v>
      </c>
      <c r="I3471" s="16" t="e">
        <f t="shared" si="6988"/>
        <v>#N/A</v>
      </c>
      <c r="J3471" s="40" t="e">
        <f t="shared" si="6988"/>
        <v>#N/A</v>
      </c>
      <c r="K3471" s="16" t="e">
        <f t="shared" si="6988"/>
        <v>#N/A</v>
      </c>
      <c r="L3471" s="40" t="e">
        <f t="shared" si="6649"/>
        <v>#N/A</v>
      </c>
      <c r="M3471" s="16" t="e">
        <f t="shared" si="6650"/>
        <v>#N/A</v>
      </c>
      <c r="N3471" s="16" t="e">
        <f t="shared" si="6651"/>
        <v>#N/A</v>
      </c>
      <c r="O3471" s="16" t="s">
        <v>75</v>
      </c>
      <c r="P3471" s="16" t="str">
        <f t="shared" si="6"/>
        <v/>
      </c>
      <c r="Q3471" s="41" t="e">
        <f t="shared" si="6652"/>
        <v>#N/A</v>
      </c>
      <c r="R3471" s="44"/>
      <c r="S3471" s="44"/>
      <c r="T3471" s="43"/>
      <c r="U3471" s="43" t="str">
        <f t="shared" si="8"/>
        <v>No</v>
      </c>
      <c r="V3471" s="25"/>
      <c r="W3471" s="25"/>
      <c r="X3471" s="25"/>
      <c r="Y3471" s="25"/>
      <c r="Z3471" s="25"/>
    </row>
    <row r="3472" spans="1:26" ht="15.75" customHeight="1" x14ac:dyDescent="0.25">
      <c r="A3472" s="25">
        <v>3470</v>
      </c>
      <c r="B3472" s="37" t="e">
        <f t="shared" ref="B3472:D3472" si="6989">VLOOKUP($A3472,[11]Planeación!$A$1:$O$253,B$1,0)</f>
        <v>#N/A</v>
      </c>
      <c r="C3472" s="38" t="e">
        <f t="shared" si="6989"/>
        <v>#N/A</v>
      </c>
      <c r="D3472" s="39" t="e">
        <f t="shared" si="6989"/>
        <v>#N/A</v>
      </c>
      <c r="E3472" s="16" t="e">
        <f t="shared" si="1"/>
        <v>#N/A</v>
      </c>
      <c r="F3472" s="16" t="e">
        <f t="shared" ref="F3472:K3472" si="6990">VLOOKUP($A3472,[11]Planeación!$A$1:$O$253,F$1,0)</f>
        <v>#N/A</v>
      </c>
      <c r="G3472" s="39" t="e">
        <f t="shared" si="6990"/>
        <v>#N/A</v>
      </c>
      <c r="H3472" s="16" t="e">
        <f t="shared" si="6990"/>
        <v>#N/A</v>
      </c>
      <c r="I3472" s="16" t="e">
        <f t="shared" si="6990"/>
        <v>#N/A</v>
      </c>
      <c r="J3472" s="40" t="e">
        <f t="shared" si="6990"/>
        <v>#N/A</v>
      </c>
      <c r="K3472" s="16" t="e">
        <f t="shared" si="6990"/>
        <v>#N/A</v>
      </c>
      <c r="L3472" s="40" t="e">
        <f t="shared" si="6649"/>
        <v>#N/A</v>
      </c>
      <c r="M3472" s="16" t="e">
        <f t="shared" si="6650"/>
        <v>#N/A</v>
      </c>
      <c r="N3472" s="16" t="e">
        <f t="shared" si="6651"/>
        <v>#N/A</v>
      </c>
      <c r="O3472" s="16" t="s">
        <v>75</v>
      </c>
      <c r="P3472" s="16" t="str">
        <f t="shared" si="6"/>
        <v/>
      </c>
      <c r="Q3472" s="41" t="e">
        <f t="shared" si="6652"/>
        <v>#N/A</v>
      </c>
      <c r="R3472" s="44"/>
      <c r="S3472" s="44"/>
      <c r="T3472" s="43"/>
      <c r="U3472" s="43" t="str">
        <f t="shared" si="8"/>
        <v>No</v>
      </c>
      <c r="V3472" s="25"/>
      <c r="W3472" s="25"/>
      <c r="X3472" s="25"/>
      <c r="Y3472" s="25"/>
      <c r="Z3472" s="25"/>
    </row>
    <row r="3473" spans="1:26" ht="15.75" customHeight="1" x14ac:dyDescent="0.25">
      <c r="A3473" s="25">
        <v>3471</v>
      </c>
      <c r="B3473" s="37" t="e">
        <f t="shared" ref="B3473:D3473" si="6991">VLOOKUP($A3473,[11]Planeación!$A$1:$O$253,B$1,0)</f>
        <v>#N/A</v>
      </c>
      <c r="C3473" s="38" t="e">
        <f t="shared" si="6991"/>
        <v>#N/A</v>
      </c>
      <c r="D3473" s="39" t="e">
        <f t="shared" si="6991"/>
        <v>#N/A</v>
      </c>
      <c r="E3473" s="16" t="e">
        <f t="shared" si="1"/>
        <v>#N/A</v>
      </c>
      <c r="F3473" s="16" t="e">
        <f t="shared" ref="F3473:K3473" si="6992">VLOOKUP($A3473,[11]Planeación!$A$1:$O$253,F$1,0)</f>
        <v>#N/A</v>
      </c>
      <c r="G3473" s="39" t="e">
        <f t="shared" si="6992"/>
        <v>#N/A</v>
      </c>
      <c r="H3473" s="16" t="e">
        <f t="shared" si="6992"/>
        <v>#N/A</v>
      </c>
      <c r="I3473" s="16" t="e">
        <f t="shared" si="6992"/>
        <v>#N/A</v>
      </c>
      <c r="J3473" s="40" t="e">
        <f t="shared" si="6992"/>
        <v>#N/A</v>
      </c>
      <c r="K3473" s="16" t="e">
        <f t="shared" si="6992"/>
        <v>#N/A</v>
      </c>
      <c r="L3473" s="40" t="e">
        <f t="shared" si="6649"/>
        <v>#N/A</v>
      </c>
      <c r="M3473" s="16" t="e">
        <f t="shared" si="6650"/>
        <v>#N/A</v>
      </c>
      <c r="N3473" s="16" t="e">
        <f t="shared" si="6651"/>
        <v>#N/A</v>
      </c>
      <c r="O3473" s="16" t="s">
        <v>75</v>
      </c>
      <c r="P3473" s="16" t="str">
        <f t="shared" si="6"/>
        <v/>
      </c>
      <c r="Q3473" s="41" t="e">
        <f t="shared" si="6652"/>
        <v>#N/A</v>
      </c>
      <c r="R3473" s="44"/>
      <c r="S3473" s="44"/>
      <c r="T3473" s="43"/>
      <c r="U3473" s="43" t="str">
        <f t="shared" si="8"/>
        <v>No</v>
      </c>
      <c r="V3473" s="25"/>
      <c r="W3473" s="25"/>
      <c r="X3473" s="25"/>
      <c r="Y3473" s="25"/>
      <c r="Z3473" s="25"/>
    </row>
    <row r="3474" spans="1:26" ht="15.75" customHeight="1" x14ac:dyDescent="0.25">
      <c r="A3474" s="25">
        <v>3472</v>
      </c>
      <c r="B3474" s="37" t="e">
        <f t="shared" ref="B3474:D3474" si="6993">VLOOKUP($A3474,[11]Planeación!$A$1:$O$253,B$1,0)</f>
        <v>#N/A</v>
      </c>
      <c r="C3474" s="38" t="e">
        <f t="shared" si="6993"/>
        <v>#N/A</v>
      </c>
      <c r="D3474" s="39" t="e">
        <f t="shared" si="6993"/>
        <v>#N/A</v>
      </c>
      <c r="E3474" s="16" t="e">
        <f t="shared" si="1"/>
        <v>#N/A</v>
      </c>
      <c r="F3474" s="16" t="e">
        <f t="shared" ref="F3474:K3474" si="6994">VLOOKUP($A3474,[11]Planeación!$A$1:$O$253,F$1,0)</f>
        <v>#N/A</v>
      </c>
      <c r="G3474" s="39" t="e">
        <f t="shared" si="6994"/>
        <v>#N/A</v>
      </c>
      <c r="H3474" s="16" t="e">
        <f t="shared" si="6994"/>
        <v>#N/A</v>
      </c>
      <c r="I3474" s="16" t="e">
        <f t="shared" si="6994"/>
        <v>#N/A</v>
      </c>
      <c r="J3474" s="40" t="e">
        <f t="shared" si="6994"/>
        <v>#N/A</v>
      </c>
      <c r="K3474" s="16" t="e">
        <f t="shared" si="6994"/>
        <v>#N/A</v>
      </c>
      <c r="L3474" s="40" t="e">
        <f t="shared" si="6649"/>
        <v>#N/A</v>
      </c>
      <c r="M3474" s="16" t="e">
        <f t="shared" si="6650"/>
        <v>#N/A</v>
      </c>
      <c r="N3474" s="16" t="e">
        <f t="shared" si="6651"/>
        <v>#N/A</v>
      </c>
      <c r="O3474" s="16" t="s">
        <v>75</v>
      </c>
      <c r="P3474" s="16" t="str">
        <f t="shared" si="6"/>
        <v/>
      </c>
      <c r="Q3474" s="41" t="e">
        <f t="shared" si="6652"/>
        <v>#N/A</v>
      </c>
      <c r="R3474" s="44"/>
      <c r="S3474" s="44"/>
      <c r="T3474" s="43"/>
      <c r="U3474" s="43" t="str">
        <f t="shared" si="8"/>
        <v>No</v>
      </c>
      <c r="V3474" s="25"/>
      <c r="W3474" s="25"/>
      <c r="X3474" s="25"/>
      <c r="Y3474" s="25"/>
      <c r="Z3474" s="25"/>
    </row>
    <row r="3475" spans="1:26" ht="15.75" customHeight="1" x14ac:dyDescent="0.25">
      <c r="A3475" s="25">
        <v>3473</v>
      </c>
      <c r="B3475" s="37" t="e">
        <f t="shared" ref="B3475:D3475" si="6995">VLOOKUP($A3475,[11]Planeación!$A$1:$O$253,B$1,0)</f>
        <v>#N/A</v>
      </c>
      <c r="C3475" s="38" t="e">
        <f t="shared" si="6995"/>
        <v>#N/A</v>
      </c>
      <c r="D3475" s="39" t="e">
        <f t="shared" si="6995"/>
        <v>#N/A</v>
      </c>
      <c r="E3475" s="16" t="e">
        <f t="shared" si="1"/>
        <v>#N/A</v>
      </c>
      <c r="F3475" s="16" t="e">
        <f t="shared" ref="F3475:K3475" si="6996">VLOOKUP($A3475,[11]Planeación!$A$1:$O$253,F$1,0)</f>
        <v>#N/A</v>
      </c>
      <c r="G3475" s="39" t="e">
        <f t="shared" si="6996"/>
        <v>#N/A</v>
      </c>
      <c r="H3475" s="16" t="e">
        <f t="shared" si="6996"/>
        <v>#N/A</v>
      </c>
      <c r="I3475" s="16" t="e">
        <f t="shared" si="6996"/>
        <v>#N/A</v>
      </c>
      <c r="J3475" s="40" t="e">
        <f t="shared" si="6996"/>
        <v>#N/A</v>
      </c>
      <c r="K3475" s="16" t="e">
        <f t="shared" si="6996"/>
        <v>#N/A</v>
      </c>
      <c r="L3475" s="40" t="e">
        <f t="shared" si="6649"/>
        <v>#N/A</v>
      </c>
      <c r="M3475" s="16" t="e">
        <f t="shared" si="6650"/>
        <v>#N/A</v>
      </c>
      <c r="N3475" s="16" t="e">
        <f t="shared" si="6651"/>
        <v>#N/A</v>
      </c>
      <c r="O3475" s="16" t="s">
        <v>75</v>
      </c>
      <c r="P3475" s="16" t="str">
        <f t="shared" si="6"/>
        <v/>
      </c>
      <c r="Q3475" s="41" t="e">
        <f t="shared" si="6652"/>
        <v>#N/A</v>
      </c>
      <c r="R3475" s="44"/>
      <c r="S3475" s="44"/>
      <c r="T3475" s="43"/>
      <c r="U3475" s="43" t="str">
        <f t="shared" si="8"/>
        <v>No</v>
      </c>
      <c r="V3475" s="25"/>
      <c r="W3475" s="25"/>
      <c r="X3475" s="25"/>
      <c r="Y3475" s="25"/>
      <c r="Z3475" s="25"/>
    </row>
    <row r="3476" spans="1:26" ht="15.75" customHeight="1" x14ac:dyDescent="0.25">
      <c r="A3476" s="25">
        <v>3474</v>
      </c>
      <c r="B3476" s="37" t="e">
        <f t="shared" ref="B3476:D3476" si="6997">VLOOKUP($A3476,[11]Planeación!$A$1:$O$253,B$1,0)</f>
        <v>#N/A</v>
      </c>
      <c r="C3476" s="38" t="e">
        <f t="shared" si="6997"/>
        <v>#N/A</v>
      </c>
      <c r="D3476" s="39" t="e">
        <f t="shared" si="6997"/>
        <v>#N/A</v>
      </c>
      <c r="E3476" s="16" t="e">
        <f t="shared" si="1"/>
        <v>#N/A</v>
      </c>
      <c r="F3476" s="16" t="e">
        <f t="shared" ref="F3476:K3476" si="6998">VLOOKUP($A3476,[11]Planeación!$A$1:$O$253,F$1,0)</f>
        <v>#N/A</v>
      </c>
      <c r="G3476" s="39" t="e">
        <f t="shared" si="6998"/>
        <v>#N/A</v>
      </c>
      <c r="H3476" s="16" t="e">
        <f t="shared" si="6998"/>
        <v>#N/A</v>
      </c>
      <c r="I3476" s="16" t="e">
        <f t="shared" si="6998"/>
        <v>#N/A</v>
      </c>
      <c r="J3476" s="40" t="e">
        <f t="shared" si="6998"/>
        <v>#N/A</v>
      </c>
      <c r="K3476" s="16" t="e">
        <f t="shared" si="6998"/>
        <v>#N/A</v>
      </c>
      <c r="L3476" s="40" t="e">
        <f t="shared" si="6649"/>
        <v>#N/A</v>
      </c>
      <c r="M3476" s="16" t="e">
        <f t="shared" si="6650"/>
        <v>#N/A</v>
      </c>
      <c r="N3476" s="16" t="e">
        <f t="shared" si="6651"/>
        <v>#N/A</v>
      </c>
      <c r="O3476" s="16" t="s">
        <v>75</v>
      </c>
      <c r="P3476" s="16" t="str">
        <f t="shared" si="6"/>
        <v/>
      </c>
      <c r="Q3476" s="41" t="e">
        <f t="shared" si="6652"/>
        <v>#N/A</v>
      </c>
      <c r="R3476" s="44"/>
      <c r="S3476" s="44"/>
      <c r="T3476" s="43"/>
      <c r="U3476" s="43" t="str">
        <f t="shared" si="8"/>
        <v>No</v>
      </c>
      <c r="V3476" s="25"/>
      <c r="W3476" s="25"/>
      <c r="X3476" s="25"/>
      <c r="Y3476" s="25"/>
      <c r="Z3476" s="25"/>
    </row>
    <row r="3477" spans="1:26" ht="15.75" customHeight="1" x14ac:dyDescent="0.25">
      <c r="A3477" s="25">
        <v>3475</v>
      </c>
      <c r="B3477" s="37" t="e">
        <f t="shared" ref="B3477:D3477" si="6999">VLOOKUP($A3477,[11]Planeación!$A$1:$O$253,B$1,0)</f>
        <v>#N/A</v>
      </c>
      <c r="C3477" s="38" t="e">
        <f t="shared" si="6999"/>
        <v>#N/A</v>
      </c>
      <c r="D3477" s="39" t="e">
        <f t="shared" si="6999"/>
        <v>#N/A</v>
      </c>
      <c r="E3477" s="16" t="e">
        <f t="shared" si="1"/>
        <v>#N/A</v>
      </c>
      <c r="F3477" s="16" t="e">
        <f t="shared" ref="F3477:K3477" si="7000">VLOOKUP($A3477,[11]Planeación!$A$1:$O$253,F$1,0)</f>
        <v>#N/A</v>
      </c>
      <c r="G3477" s="39" t="e">
        <f t="shared" si="7000"/>
        <v>#N/A</v>
      </c>
      <c r="H3477" s="16" t="e">
        <f t="shared" si="7000"/>
        <v>#N/A</v>
      </c>
      <c r="I3477" s="16" t="e">
        <f t="shared" si="7000"/>
        <v>#N/A</v>
      </c>
      <c r="J3477" s="40" t="e">
        <f t="shared" si="7000"/>
        <v>#N/A</v>
      </c>
      <c r="K3477" s="16" t="e">
        <f t="shared" si="7000"/>
        <v>#N/A</v>
      </c>
      <c r="L3477" s="40" t="e">
        <f t="shared" si="6649"/>
        <v>#N/A</v>
      </c>
      <c r="M3477" s="16" t="e">
        <f t="shared" si="6650"/>
        <v>#N/A</v>
      </c>
      <c r="N3477" s="16" t="e">
        <f t="shared" si="6651"/>
        <v>#N/A</v>
      </c>
      <c r="O3477" s="16" t="s">
        <v>75</v>
      </c>
      <c r="P3477" s="16" t="str">
        <f t="shared" si="6"/>
        <v/>
      </c>
      <c r="Q3477" s="41" t="e">
        <f t="shared" si="6652"/>
        <v>#N/A</v>
      </c>
      <c r="R3477" s="44"/>
      <c r="S3477" s="44"/>
      <c r="T3477" s="43"/>
      <c r="U3477" s="43" t="str">
        <f t="shared" si="8"/>
        <v>No</v>
      </c>
      <c r="V3477" s="25"/>
      <c r="W3477" s="25"/>
      <c r="X3477" s="25"/>
      <c r="Y3477" s="25"/>
      <c r="Z3477" s="25"/>
    </row>
    <row r="3478" spans="1:26" ht="15.75" customHeight="1" x14ac:dyDescent="0.25">
      <c r="A3478" s="25">
        <v>3476</v>
      </c>
      <c r="B3478" s="37" t="e">
        <f t="shared" ref="B3478:D3478" si="7001">VLOOKUP($A3478,[11]Planeación!$A$1:$O$253,B$1,0)</f>
        <v>#N/A</v>
      </c>
      <c r="C3478" s="38" t="e">
        <f t="shared" si="7001"/>
        <v>#N/A</v>
      </c>
      <c r="D3478" s="39" t="e">
        <f t="shared" si="7001"/>
        <v>#N/A</v>
      </c>
      <c r="E3478" s="16" t="e">
        <f t="shared" si="1"/>
        <v>#N/A</v>
      </c>
      <c r="F3478" s="16" t="e">
        <f t="shared" ref="F3478:K3478" si="7002">VLOOKUP($A3478,[11]Planeación!$A$1:$O$253,F$1,0)</f>
        <v>#N/A</v>
      </c>
      <c r="G3478" s="39" t="e">
        <f t="shared" si="7002"/>
        <v>#N/A</v>
      </c>
      <c r="H3478" s="16" t="e">
        <f t="shared" si="7002"/>
        <v>#N/A</v>
      </c>
      <c r="I3478" s="16" t="e">
        <f t="shared" si="7002"/>
        <v>#N/A</v>
      </c>
      <c r="J3478" s="40" t="e">
        <f t="shared" si="7002"/>
        <v>#N/A</v>
      </c>
      <c r="K3478" s="16" t="e">
        <f t="shared" si="7002"/>
        <v>#N/A</v>
      </c>
      <c r="L3478" s="40" t="e">
        <f t="shared" si="6649"/>
        <v>#N/A</v>
      </c>
      <c r="M3478" s="16" t="e">
        <f t="shared" si="6650"/>
        <v>#N/A</v>
      </c>
      <c r="N3478" s="16" t="e">
        <f t="shared" si="6651"/>
        <v>#N/A</v>
      </c>
      <c r="O3478" s="16" t="s">
        <v>75</v>
      </c>
      <c r="P3478" s="16" t="str">
        <f t="shared" si="6"/>
        <v/>
      </c>
      <c r="Q3478" s="41" t="e">
        <f t="shared" si="6652"/>
        <v>#N/A</v>
      </c>
      <c r="R3478" s="44"/>
      <c r="S3478" s="44"/>
      <c r="T3478" s="43"/>
      <c r="U3478" s="43" t="str">
        <f t="shared" si="8"/>
        <v>No</v>
      </c>
      <c r="V3478" s="25"/>
      <c r="W3478" s="25"/>
      <c r="X3478" s="25"/>
      <c r="Y3478" s="25"/>
      <c r="Z3478" s="25"/>
    </row>
    <row r="3479" spans="1:26" ht="15.75" customHeight="1" x14ac:dyDescent="0.25">
      <c r="A3479" s="25">
        <v>3477</v>
      </c>
      <c r="B3479" s="37" t="e">
        <f t="shared" ref="B3479:D3479" si="7003">VLOOKUP($A3479,[11]Planeación!$A$1:$O$253,B$1,0)</f>
        <v>#N/A</v>
      </c>
      <c r="C3479" s="38" t="e">
        <f t="shared" si="7003"/>
        <v>#N/A</v>
      </c>
      <c r="D3479" s="39" t="e">
        <f t="shared" si="7003"/>
        <v>#N/A</v>
      </c>
      <c r="E3479" s="16" t="e">
        <f t="shared" si="1"/>
        <v>#N/A</v>
      </c>
      <c r="F3479" s="16" t="e">
        <f t="shared" ref="F3479:K3479" si="7004">VLOOKUP($A3479,[11]Planeación!$A$1:$O$253,F$1,0)</f>
        <v>#N/A</v>
      </c>
      <c r="G3479" s="39" t="e">
        <f t="shared" si="7004"/>
        <v>#N/A</v>
      </c>
      <c r="H3479" s="16" t="e">
        <f t="shared" si="7004"/>
        <v>#N/A</v>
      </c>
      <c r="I3479" s="16" t="e">
        <f t="shared" si="7004"/>
        <v>#N/A</v>
      </c>
      <c r="J3479" s="40" t="e">
        <f t="shared" si="7004"/>
        <v>#N/A</v>
      </c>
      <c r="K3479" s="16" t="e">
        <f t="shared" si="7004"/>
        <v>#N/A</v>
      </c>
      <c r="L3479" s="40" t="e">
        <f t="shared" si="6649"/>
        <v>#N/A</v>
      </c>
      <c r="M3479" s="16" t="e">
        <f t="shared" si="6650"/>
        <v>#N/A</v>
      </c>
      <c r="N3479" s="16" t="e">
        <f t="shared" si="6651"/>
        <v>#N/A</v>
      </c>
      <c r="O3479" s="16" t="s">
        <v>75</v>
      </c>
      <c r="P3479" s="16" t="str">
        <f t="shared" si="6"/>
        <v/>
      </c>
      <c r="Q3479" s="41" t="e">
        <f t="shared" si="6652"/>
        <v>#N/A</v>
      </c>
      <c r="R3479" s="44"/>
      <c r="S3479" s="44"/>
      <c r="T3479" s="43"/>
      <c r="U3479" s="43" t="str">
        <f t="shared" si="8"/>
        <v>No</v>
      </c>
      <c r="V3479" s="25"/>
      <c r="W3479" s="25"/>
      <c r="X3479" s="25"/>
      <c r="Y3479" s="25"/>
      <c r="Z3479" s="25"/>
    </row>
    <row r="3480" spans="1:26" ht="15.75" customHeight="1" x14ac:dyDescent="0.25">
      <c r="A3480" s="25">
        <v>3478</v>
      </c>
      <c r="B3480" s="37" t="e">
        <f t="shared" ref="B3480:D3480" si="7005">VLOOKUP($A3480,[11]Planeación!$A$1:$O$253,B$1,0)</f>
        <v>#N/A</v>
      </c>
      <c r="C3480" s="38" t="e">
        <f t="shared" si="7005"/>
        <v>#N/A</v>
      </c>
      <c r="D3480" s="39" t="e">
        <f t="shared" si="7005"/>
        <v>#N/A</v>
      </c>
      <c r="E3480" s="16" t="e">
        <f t="shared" si="1"/>
        <v>#N/A</v>
      </c>
      <c r="F3480" s="16" t="e">
        <f t="shared" ref="F3480:K3480" si="7006">VLOOKUP($A3480,[11]Planeación!$A$1:$O$253,F$1,0)</f>
        <v>#N/A</v>
      </c>
      <c r="G3480" s="39" t="e">
        <f t="shared" si="7006"/>
        <v>#N/A</v>
      </c>
      <c r="H3480" s="16" t="e">
        <f t="shared" si="7006"/>
        <v>#N/A</v>
      </c>
      <c r="I3480" s="16" t="e">
        <f t="shared" si="7006"/>
        <v>#N/A</v>
      </c>
      <c r="J3480" s="40" t="e">
        <f t="shared" si="7006"/>
        <v>#N/A</v>
      </c>
      <c r="K3480" s="16" t="e">
        <f t="shared" si="7006"/>
        <v>#N/A</v>
      </c>
      <c r="L3480" s="40" t="e">
        <f t="shared" si="6649"/>
        <v>#N/A</v>
      </c>
      <c r="M3480" s="16" t="e">
        <f t="shared" si="6650"/>
        <v>#N/A</v>
      </c>
      <c r="N3480" s="16" t="e">
        <f t="shared" si="6651"/>
        <v>#N/A</v>
      </c>
      <c r="O3480" s="16" t="s">
        <v>75</v>
      </c>
      <c r="P3480" s="16" t="str">
        <f t="shared" si="6"/>
        <v/>
      </c>
      <c r="Q3480" s="41" t="e">
        <f t="shared" si="6652"/>
        <v>#N/A</v>
      </c>
      <c r="R3480" s="44"/>
      <c r="S3480" s="44"/>
      <c r="T3480" s="43"/>
      <c r="U3480" s="43" t="str">
        <f t="shared" si="8"/>
        <v>No</v>
      </c>
      <c r="V3480" s="25"/>
      <c r="W3480" s="25"/>
      <c r="X3480" s="25"/>
      <c r="Y3480" s="25"/>
      <c r="Z3480" s="25"/>
    </row>
    <row r="3481" spans="1:26" ht="15.75" customHeight="1" x14ac:dyDescent="0.25">
      <c r="A3481" s="25">
        <v>3479</v>
      </c>
      <c r="B3481" s="37" t="e">
        <f t="shared" ref="B3481:D3481" si="7007">VLOOKUP($A3481,[11]Planeación!$A$1:$O$253,B$1,0)</f>
        <v>#N/A</v>
      </c>
      <c r="C3481" s="38" t="e">
        <f t="shared" si="7007"/>
        <v>#N/A</v>
      </c>
      <c r="D3481" s="39" t="e">
        <f t="shared" si="7007"/>
        <v>#N/A</v>
      </c>
      <c r="E3481" s="16" t="e">
        <f t="shared" si="1"/>
        <v>#N/A</v>
      </c>
      <c r="F3481" s="16" t="e">
        <f t="shared" ref="F3481:K3481" si="7008">VLOOKUP($A3481,[11]Planeación!$A$1:$O$253,F$1,0)</f>
        <v>#N/A</v>
      </c>
      <c r="G3481" s="39" t="e">
        <f t="shared" si="7008"/>
        <v>#N/A</v>
      </c>
      <c r="H3481" s="16" t="e">
        <f t="shared" si="7008"/>
        <v>#N/A</v>
      </c>
      <c r="I3481" s="16" t="e">
        <f t="shared" si="7008"/>
        <v>#N/A</v>
      </c>
      <c r="J3481" s="40" t="e">
        <f t="shared" si="7008"/>
        <v>#N/A</v>
      </c>
      <c r="K3481" s="16" t="e">
        <f t="shared" si="7008"/>
        <v>#N/A</v>
      </c>
      <c r="L3481" s="40" t="e">
        <f t="shared" si="6649"/>
        <v>#N/A</v>
      </c>
      <c r="M3481" s="16" t="e">
        <f t="shared" si="6650"/>
        <v>#N/A</v>
      </c>
      <c r="N3481" s="16" t="e">
        <f t="shared" si="6651"/>
        <v>#N/A</v>
      </c>
      <c r="O3481" s="16" t="s">
        <v>75</v>
      </c>
      <c r="P3481" s="16" t="str">
        <f t="shared" si="6"/>
        <v/>
      </c>
      <c r="Q3481" s="41" t="e">
        <f t="shared" si="6652"/>
        <v>#N/A</v>
      </c>
      <c r="R3481" s="44"/>
      <c r="S3481" s="44"/>
      <c r="T3481" s="43"/>
      <c r="U3481" s="43" t="str">
        <f t="shared" si="8"/>
        <v>No</v>
      </c>
      <c r="V3481" s="25"/>
      <c r="W3481" s="25"/>
      <c r="X3481" s="25"/>
      <c r="Y3481" s="25"/>
      <c r="Z3481" s="25"/>
    </row>
    <row r="3482" spans="1:26" ht="15.75" customHeight="1" x14ac:dyDescent="0.25">
      <c r="A3482" s="25">
        <v>3480</v>
      </c>
      <c r="B3482" s="37" t="e">
        <f t="shared" ref="B3482:D3482" si="7009">VLOOKUP($A3482,[11]Planeación!$A$1:$O$253,B$1,0)</f>
        <v>#N/A</v>
      </c>
      <c r="C3482" s="38" t="e">
        <f t="shared" si="7009"/>
        <v>#N/A</v>
      </c>
      <c r="D3482" s="39" t="e">
        <f t="shared" si="7009"/>
        <v>#N/A</v>
      </c>
      <c r="E3482" s="16" t="e">
        <f t="shared" si="1"/>
        <v>#N/A</v>
      </c>
      <c r="F3482" s="16" t="e">
        <f t="shared" ref="F3482:K3482" si="7010">VLOOKUP($A3482,[11]Planeación!$A$1:$O$253,F$1,0)</f>
        <v>#N/A</v>
      </c>
      <c r="G3482" s="39" t="e">
        <f t="shared" si="7010"/>
        <v>#N/A</v>
      </c>
      <c r="H3482" s="16" t="e">
        <f t="shared" si="7010"/>
        <v>#N/A</v>
      </c>
      <c r="I3482" s="16" t="e">
        <f t="shared" si="7010"/>
        <v>#N/A</v>
      </c>
      <c r="J3482" s="40" t="e">
        <f t="shared" si="7010"/>
        <v>#N/A</v>
      </c>
      <c r="K3482" s="16" t="e">
        <f t="shared" si="7010"/>
        <v>#N/A</v>
      </c>
      <c r="L3482" s="40" t="e">
        <f t="shared" si="6649"/>
        <v>#N/A</v>
      </c>
      <c r="M3482" s="16" t="e">
        <f t="shared" si="6650"/>
        <v>#N/A</v>
      </c>
      <c r="N3482" s="16" t="e">
        <f t="shared" si="6651"/>
        <v>#N/A</v>
      </c>
      <c r="O3482" s="16" t="s">
        <v>75</v>
      </c>
      <c r="P3482" s="16" t="str">
        <f t="shared" si="6"/>
        <v/>
      </c>
      <c r="Q3482" s="41" t="e">
        <f t="shared" si="6652"/>
        <v>#N/A</v>
      </c>
      <c r="R3482" s="44"/>
      <c r="S3482" s="44"/>
      <c r="T3482" s="43"/>
      <c r="U3482" s="43" t="str">
        <f t="shared" si="8"/>
        <v>No</v>
      </c>
      <c r="V3482" s="25"/>
      <c r="W3482" s="25"/>
      <c r="X3482" s="25"/>
      <c r="Y3482" s="25"/>
      <c r="Z3482" s="25"/>
    </row>
    <row r="3483" spans="1:26" ht="15.75" customHeight="1" x14ac:dyDescent="0.25">
      <c r="A3483" s="25">
        <v>3481</v>
      </c>
      <c r="B3483" s="37" t="e">
        <f t="shared" ref="B3483:D3483" si="7011">VLOOKUP($A3483,[11]Planeación!$A$1:$O$253,B$1,0)</f>
        <v>#N/A</v>
      </c>
      <c r="C3483" s="38" t="e">
        <f t="shared" si="7011"/>
        <v>#N/A</v>
      </c>
      <c r="D3483" s="39" t="e">
        <f t="shared" si="7011"/>
        <v>#N/A</v>
      </c>
      <c r="E3483" s="16" t="e">
        <f t="shared" si="1"/>
        <v>#N/A</v>
      </c>
      <c r="F3483" s="16" t="e">
        <f t="shared" ref="F3483:K3483" si="7012">VLOOKUP($A3483,[11]Planeación!$A$1:$O$253,F$1,0)</f>
        <v>#N/A</v>
      </c>
      <c r="G3483" s="39" t="e">
        <f t="shared" si="7012"/>
        <v>#N/A</v>
      </c>
      <c r="H3483" s="16" t="e">
        <f t="shared" si="7012"/>
        <v>#N/A</v>
      </c>
      <c r="I3483" s="16" t="e">
        <f t="shared" si="7012"/>
        <v>#N/A</v>
      </c>
      <c r="J3483" s="40" t="e">
        <f t="shared" si="7012"/>
        <v>#N/A</v>
      </c>
      <c r="K3483" s="16" t="e">
        <f t="shared" si="7012"/>
        <v>#N/A</v>
      </c>
      <c r="L3483" s="40" t="e">
        <f t="shared" si="6649"/>
        <v>#N/A</v>
      </c>
      <c r="M3483" s="16" t="e">
        <f t="shared" si="6650"/>
        <v>#N/A</v>
      </c>
      <c r="N3483" s="16" t="e">
        <f t="shared" si="6651"/>
        <v>#N/A</v>
      </c>
      <c r="O3483" s="16" t="s">
        <v>75</v>
      </c>
      <c r="P3483" s="16" t="str">
        <f t="shared" si="6"/>
        <v/>
      </c>
      <c r="Q3483" s="41" t="e">
        <f t="shared" si="6652"/>
        <v>#N/A</v>
      </c>
      <c r="R3483" s="44"/>
      <c r="S3483" s="44"/>
      <c r="T3483" s="43"/>
      <c r="U3483" s="43" t="str">
        <f t="shared" si="8"/>
        <v>No</v>
      </c>
      <c r="V3483" s="25"/>
      <c r="W3483" s="25"/>
      <c r="X3483" s="25"/>
      <c r="Y3483" s="25"/>
      <c r="Z3483" s="25"/>
    </row>
    <row r="3484" spans="1:26" ht="15.75" customHeight="1" x14ac:dyDescent="0.25">
      <c r="A3484" s="25">
        <v>3482</v>
      </c>
      <c r="B3484" s="37" t="e">
        <f t="shared" ref="B3484:D3484" si="7013">VLOOKUP($A3484,[11]Planeación!$A$1:$O$253,B$1,0)</f>
        <v>#N/A</v>
      </c>
      <c r="C3484" s="38" t="e">
        <f t="shared" si="7013"/>
        <v>#N/A</v>
      </c>
      <c r="D3484" s="39" t="e">
        <f t="shared" si="7013"/>
        <v>#N/A</v>
      </c>
      <c r="E3484" s="16" t="e">
        <f t="shared" si="1"/>
        <v>#N/A</v>
      </c>
      <c r="F3484" s="16" t="e">
        <f t="shared" ref="F3484:K3484" si="7014">VLOOKUP($A3484,[11]Planeación!$A$1:$O$253,F$1,0)</f>
        <v>#N/A</v>
      </c>
      <c r="G3484" s="39" t="e">
        <f t="shared" si="7014"/>
        <v>#N/A</v>
      </c>
      <c r="H3484" s="16" t="e">
        <f t="shared" si="7014"/>
        <v>#N/A</v>
      </c>
      <c r="I3484" s="16" t="e">
        <f t="shared" si="7014"/>
        <v>#N/A</v>
      </c>
      <c r="J3484" s="40" t="e">
        <f t="shared" si="7014"/>
        <v>#N/A</v>
      </c>
      <c r="K3484" s="16" t="e">
        <f t="shared" si="7014"/>
        <v>#N/A</v>
      </c>
      <c r="L3484" s="40" t="e">
        <f t="shared" si="6649"/>
        <v>#N/A</v>
      </c>
      <c r="M3484" s="16" t="e">
        <f t="shared" si="6650"/>
        <v>#N/A</v>
      </c>
      <c r="N3484" s="16" t="e">
        <f t="shared" si="6651"/>
        <v>#N/A</v>
      </c>
      <c r="O3484" s="16" t="s">
        <v>75</v>
      </c>
      <c r="P3484" s="16" t="str">
        <f t="shared" si="6"/>
        <v/>
      </c>
      <c r="Q3484" s="41" t="e">
        <f t="shared" si="6652"/>
        <v>#N/A</v>
      </c>
      <c r="R3484" s="44"/>
      <c r="S3484" s="44"/>
      <c r="T3484" s="43"/>
      <c r="U3484" s="43" t="str">
        <f t="shared" si="8"/>
        <v>No</v>
      </c>
      <c r="V3484" s="25"/>
      <c r="W3484" s="25"/>
      <c r="X3484" s="25"/>
      <c r="Y3484" s="25"/>
      <c r="Z3484" s="25"/>
    </row>
    <row r="3485" spans="1:26" ht="15.75" customHeight="1" x14ac:dyDescent="0.25">
      <c r="A3485" s="25">
        <v>3483</v>
      </c>
      <c r="B3485" s="37" t="e">
        <f t="shared" ref="B3485:D3485" si="7015">VLOOKUP($A3485,[11]Planeación!$A$1:$O$253,B$1,0)</f>
        <v>#N/A</v>
      </c>
      <c r="C3485" s="38" t="e">
        <f t="shared" si="7015"/>
        <v>#N/A</v>
      </c>
      <c r="D3485" s="39" t="e">
        <f t="shared" si="7015"/>
        <v>#N/A</v>
      </c>
      <c r="E3485" s="16" t="e">
        <f t="shared" si="1"/>
        <v>#N/A</v>
      </c>
      <c r="F3485" s="16" t="e">
        <f t="shared" ref="F3485:K3485" si="7016">VLOOKUP($A3485,[11]Planeación!$A$1:$O$253,F$1,0)</f>
        <v>#N/A</v>
      </c>
      <c r="G3485" s="39" t="e">
        <f t="shared" si="7016"/>
        <v>#N/A</v>
      </c>
      <c r="H3485" s="16" t="e">
        <f t="shared" si="7016"/>
        <v>#N/A</v>
      </c>
      <c r="I3485" s="16" t="e">
        <f t="shared" si="7016"/>
        <v>#N/A</v>
      </c>
      <c r="J3485" s="40" t="e">
        <f t="shared" si="7016"/>
        <v>#N/A</v>
      </c>
      <c r="K3485" s="16" t="e">
        <f t="shared" si="7016"/>
        <v>#N/A</v>
      </c>
      <c r="L3485" s="40" t="e">
        <f t="shared" si="6649"/>
        <v>#N/A</v>
      </c>
      <c r="M3485" s="16" t="e">
        <f t="shared" si="6650"/>
        <v>#N/A</v>
      </c>
      <c r="N3485" s="16" t="e">
        <f t="shared" si="6651"/>
        <v>#N/A</v>
      </c>
      <c r="O3485" s="16" t="s">
        <v>75</v>
      </c>
      <c r="P3485" s="16" t="str">
        <f t="shared" si="6"/>
        <v/>
      </c>
      <c r="Q3485" s="41" t="e">
        <f t="shared" si="6652"/>
        <v>#N/A</v>
      </c>
      <c r="R3485" s="44"/>
      <c r="S3485" s="44"/>
      <c r="T3485" s="43"/>
      <c r="U3485" s="43" t="str">
        <f t="shared" si="8"/>
        <v>No</v>
      </c>
      <c r="V3485" s="25"/>
      <c r="W3485" s="25"/>
      <c r="X3485" s="25"/>
      <c r="Y3485" s="25"/>
      <c r="Z3485" s="25"/>
    </row>
    <row r="3486" spans="1:26" ht="15.75" customHeight="1" x14ac:dyDescent="0.25">
      <c r="A3486" s="25">
        <v>3484</v>
      </c>
      <c r="B3486" s="37" t="e">
        <f t="shared" ref="B3486:D3486" si="7017">VLOOKUP($A3486,[11]Planeación!$A$1:$O$253,B$1,0)</f>
        <v>#N/A</v>
      </c>
      <c r="C3486" s="38" t="e">
        <f t="shared" si="7017"/>
        <v>#N/A</v>
      </c>
      <c r="D3486" s="39" t="e">
        <f t="shared" si="7017"/>
        <v>#N/A</v>
      </c>
      <c r="E3486" s="16" t="e">
        <f t="shared" si="1"/>
        <v>#N/A</v>
      </c>
      <c r="F3486" s="16" t="e">
        <f t="shared" ref="F3486:K3486" si="7018">VLOOKUP($A3486,[11]Planeación!$A$1:$O$253,F$1,0)</f>
        <v>#N/A</v>
      </c>
      <c r="G3486" s="39" t="e">
        <f t="shared" si="7018"/>
        <v>#N/A</v>
      </c>
      <c r="H3486" s="16" t="e">
        <f t="shared" si="7018"/>
        <v>#N/A</v>
      </c>
      <c r="I3486" s="16" t="e">
        <f t="shared" si="7018"/>
        <v>#N/A</v>
      </c>
      <c r="J3486" s="40" t="e">
        <f t="shared" si="7018"/>
        <v>#N/A</v>
      </c>
      <c r="K3486" s="16" t="e">
        <f t="shared" si="7018"/>
        <v>#N/A</v>
      </c>
      <c r="L3486" s="40" t="e">
        <f t="shared" si="6649"/>
        <v>#N/A</v>
      </c>
      <c r="M3486" s="16" t="e">
        <f t="shared" si="6650"/>
        <v>#N/A</v>
      </c>
      <c r="N3486" s="16" t="e">
        <f t="shared" si="6651"/>
        <v>#N/A</v>
      </c>
      <c r="O3486" s="16" t="s">
        <v>75</v>
      </c>
      <c r="P3486" s="16" t="str">
        <f t="shared" si="6"/>
        <v/>
      </c>
      <c r="Q3486" s="41" t="e">
        <f t="shared" si="6652"/>
        <v>#N/A</v>
      </c>
      <c r="R3486" s="44"/>
      <c r="S3486" s="44"/>
      <c r="T3486" s="43"/>
      <c r="U3486" s="43" t="str">
        <f t="shared" si="8"/>
        <v>No</v>
      </c>
      <c r="V3486" s="25"/>
      <c r="W3486" s="25"/>
      <c r="X3486" s="25"/>
      <c r="Y3486" s="25"/>
      <c r="Z3486" s="25"/>
    </row>
    <row r="3487" spans="1:26" ht="15.75" customHeight="1" x14ac:dyDescent="0.25">
      <c r="A3487" s="25">
        <v>3485</v>
      </c>
      <c r="B3487" s="37" t="e">
        <f t="shared" ref="B3487:D3487" si="7019">VLOOKUP($A3487,[11]Planeación!$A$1:$O$253,B$1,0)</f>
        <v>#N/A</v>
      </c>
      <c r="C3487" s="38" t="e">
        <f t="shared" si="7019"/>
        <v>#N/A</v>
      </c>
      <c r="D3487" s="39" t="e">
        <f t="shared" si="7019"/>
        <v>#N/A</v>
      </c>
      <c r="E3487" s="16" t="e">
        <f t="shared" si="1"/>
        <v>#N/A</v>
      </c>
      <c r="F3487" s="16" t="e">
        <f t="shared" ref="F3487:K3487" si="7020">VLOOKUP($A3487,[11]Planeación!$A$1:$O$253,F$1,0)</f>
        <v>#N/A</v>
      </c>
      <c r="G3487" s="39" t="e">
        <f t="shared" si="7020"/>
        <v>#N/A</v>
      </c>
      <c r="H3487" s="16" t="e">
        <f t="shared" si="7020"/>
        <v>#N/A</v>
      </c>
      <c r="I3487" s="16" t="e">
        <f t="shared" si="7020"/>
        <v>#N/A</v>
      </c>
      <c r="J3487" s="40" t="e">
        <f t="shared" si="7020"/>
        <v>#N/A</v>
      </c>
      <c r="K3487" s="16" t="e">
        <f t="shared" si="7020"/>
        <v>#N/A</v>
      </c>
      <c r="L3487" s="40" t="e">
        <f t="shared" si="6649"/>
        <v>#N/A</v>
      </c>
      <c r="M3487" s="16" t="e">
        <f t="shared" si="6650"/>
        <v>#N/A</v>
      </c>
      <c r="N3487" s="16" t="e">
        <f t="shared" si="6651"/>
        <v>#N/A</v>
      </c>
      <c r="O3487" s="16" t="s">
        <v>75</v>
      </c>
      <c r="P3487" s="16" t="str">
        <f t="shared" si="6"/>
        <v/>
      </c>
      <c r="Q3487" s="41" t="e">
        <f t="shared" si="6652"/>
        <v>#N/A</v>
      </c>
      <c r="R3487" s="44"/>
      <c r="S3487" s="44"/>
      <c r="T3487" s="43"/>
      <c r="U3487" s="43" t="str">
        <f t="shared" si="8"/>
        <v>No</v>
      </c>
      <c r="V3487" s="25"/>
      <c r="W3487" s="25"/>
      <c r="X3487" s="25"/>
      <c r="Y3487" s="25"/>
      <c r="Z3487" s="25"/>
    </row>
    <row r="3488" spans="1:26" ht="15.75" customHeight="1" x14ac:dyDescent="0.25">
      <c r="A3488" s="25">
        <v>3486</v>
      </c>
      <c r="B3488" s="37" t="e">
        <f t="shared" ref="B3488:D3488" si="7021">VLOOKUP($A3488,[11]Planeación!$A$1:$O$253,B$1,0)</f>
        <v>#N/A</v>
      </c>
      <c r="C3488" s="38" t="e">
        <f t="shared" si="7021"/>
        <v>#N/A</v>
      </c>
      <c r="D3488" s="39" t="e">
        <f t="shared" si="7021"/>
        <v>#N/A</v>
      </c>
      <c r="E3488" s="16" t="e">
        <f t="shared" si="1"/>
        <v>#N/A</v>
      </c>
      <c r="F3488" s="16" t="e">
        <f t="shared" ref="F3488:K3488" si="7022">VLOOKUP($A3488,[11]Planeación!$A$1:$O$253,F$1,0)</f>
        <v>#N/A</v>
      </c>
      <c r="G3488" s="39" t="e">
        <f t="shared" si="7022"/>
        <v>#N/A</v>
      </c>
      <c r="H3488" s="16" t="e">
        <f t="shared" si="7022"/>
        <v>#N/A</v>
      </c>
      <c r="I3488" s="16" t="e">
        <f t="shared" si="7022"/>
        <v>#N/A</v>
      </c>
      <c r="J3488" s="40" t="e">
        <f t="shared" si="7022"/>
        <v>#N/A</v>
      </c>
      <c r="K3488" s="16" t="e">
        <f t="shared" si="7022"/>
        <v>#N/A</v>
      </c>
      <c r="L3488" s="40" t="e">
        <f t="shared" si="6649"/>
        <v>#N/A</v>
      </c>
      <c r="M3488" s="16" t="e">
        <f t="shared" si="6650"/>
        <v>#N/A</v>
      </c>
      <c r="N3488" s="16" t="e">
        <f t="shared" si="6651"/>
        <v>#N/A</v>
      </c>
      <c r="O3488" s="16" t="s">
        <v>75</v>
      </c>
      <c r="P3488" s="16" t="str">
        <f t="shared" si="6"/>
        <v/>
      </c>
      <c r="Q3488" s="41" t="e">
        <f t="shared" si="6652"/>
        <v>#N/A</v>
      </c>
      <c r="R3488" s="44"/>
      <c r="S3488" s="44"/>
      <c r="T3488" s="43"/>
      <c r="U3488" s="43" t="str">
        <f t="shared" si="8"/>
        <v>No</v>
      </c>
      <c r="V3488" s="25"/>
      <c r="W3488" s="25"/>
      <c r="X3488" s="25"/>
      <c r="Y3488" s="25"/>
      <c r="Z3488" s="25"/>
    </row>
    <row r="3489" spans="1:26" ht="15.75" customHeight="1" x14ac:dyDescent="0.25">
      <c r="A3489" s="25">
        <v>3487</v>
      </c>
      <c r="B3489" s="37" t="e">
        <f t="shared" ref="B3489:D3489" si="7023">VLOOKUP($A3489,[11]Planeación!$A$1:$O$253,B$1,0)</f>
        <v>#N/A</v>
      </c>
      <c r="C3489" s="38" t="e">
        <f t="shared" si="7023"/>
        <v>#N/A</v>
      </c>
      <c r="D3489" s="39" t="e">
        <f t="shared" si="7023"/>
        <v>#N/A</v>
      </c>
      <c r="E3489" s="16" t="e">
        <f t="shared" si="1"/>
        <v>#N/A</v>
      </c>
      <c r="F3489" s="16" t="e">
        <f t="shared" ref="F3489:K3489" si="7024">VLOOKUP($A3489,[11]Planeación!$A$1:$O$253,F$1,0)</f>
        <v>#N/A</v>
      </c>
      <c r="G3489" s="39" t="e">
        <f t="shared" si="7024"/>
        <v>#N/A</v>
      </c>
      <c r="H3489" s="16" t="e">
        <f t="shared" si="7024"/>
        <v>#N/A</v>
      </c>
      <c r="I3489" s="16" t="e">
        <f t="shared" si="7024"/>
        <v>#N/A</v>
      </c>
      <c r="J3489" s="40" t="e">
        <f t="shared" si="7024"/>
        <v>#N/A</v>
      </c>
      <c r="K3489" s="16" t="e">
        <f t="shared" si="7024"/>
        <v>#N/A</v>
      </c>
      <c r="L3489" s="40" t="e">
        <f t="shared" si="6649"/>
        <v>#N/A</v>
      </c>
      <c r="M3489" s="16" t="e">
        <f t="shared" si="6650"/>
        <v>#N/A</v>
      </c>
      <c r="N3489" s="16" t="e">
        <f t="shared" si="6651"/>
        <v>#N/A</v>
      </c>
      <c r="O3489" s="16" t="s">
        <v>75</v>
      </c>
      <c r="P3489" s="16" t="str">
        <f t="shared" si="6"/>
        <v/>
      </c>
      <c r="Q3489" s="41" t="e">
        <f t="shared" si="6652"/>
        <v>#N/A</v>
      </c>
      <c r="R3489" s="44"/>
      <c r="S3489" s="44"/>
      <c r="T3489" s="43"/>
      <c r="U3489" s="43" t="str">
        <f t="shared" si="8"/>
        <v>No</v>
      </c>
      <c r="V3489" s="25"/>
      <c r="W3489" s="25"/>
      <c r="X3489" s="25"/>
      <c r="Y3489" s="25"/>
      <c r="Z3489" s="25"/>
    </row>
    <row r="3490" spans="1:26" ht="15.75" customHeight="1" x14ac:dyDescent="0.25">
      <c r="A3490" s="25">
        <v>3488</v>
      </c>
      <c r="B3490" s="37" t="e">
        <f t="shared" ref="B3490:D3490" si="7025">VLOOKUP($A3490,[11]Planeación!$A$1:$O$253,B$1,0)</f>
        <v>#N/A</v>
      </c>
      <c r="C3490" s="38" t="e">
        <f t="shared" si="7025"/>
        <v>#N/A</v>
      </c>
      <c r="D3490" s="39" t="e">
        <f t="shared" si="7025"/>
        <v>#N/A</v>
      </c>
      <c r="E3490" s="16" t="e">
        <f t="shared" si="1"/>
        <v>#N/A</v>
      </c>
      <c r="F3490" s="16" t="e">
        <f t="shared" ref="F3490:K3490" si="7026">VLOOKUP($A3490,[11]Planeación!$A$1:$O$253,F$1,0)</f>
        <v>#N/A</v>
      </c>
      <c r="G3490" s="39" t="e">
        <f t="shared" si="7026"/>
        <v>#N/A</v>
      </c>
      <c r="H3490" s="16" t="e">
        <f t="shared" si="7026"/>
        <v>#N/A</v>
      </c>
      <c r="I3490" s="16" t="e">
        <f t="shared" si="7026"/>
        <v>#N/A</v>
      </c>
      <c r="J3490" s="40" t="e">
        <f t="shared" si="7026"/>
        <v>#N/A</v>
      </c>
      <c r="K3490" s="16" t="e">
        <f t="shared" si="7026"/>
        <v>#N/A</v>
      </c>
      <c r="L3490" s="40" t="e">
        <f t="shared" si="6649"/>
        <v>#N/A</v>
      </c>
      <c r="M3490" s="16" t="e">
        <f t="shared" si="6650"/>
        <v>#N/A</v>
      </c>
      <c r="N3490" s="16" t="e">
        <f t="shared" si="6651"/>
        <v>#N/A</v>
      </c>
      <c r="O3490" s="16" t="s">
        <v>75</v>
      </c>
      <c r="P3490" s="16" t="str">
        <f t="shared" si="6"/>
        <v/>
      </c>
      <c r="Q3490" s="41" t="e">
        <f t="shared" si="6652"/>
        <v>#N/A</v>
      </c>
      <c r="R3490" s="44"/>
      <c r="S3490" s="44"/>
      <c r="T3490" s="43"/>
      <c r="U3490" s="43" t="str">
        <f t="shared" si="8"/>
        <v>No</v>
      </c>
      <c r="V3490" s="25"/>
      <c r="W3490" s="25"/>
      <c r="X3490" s="25"/>
      <c r="Y3490" s="25"/>
      <c r="Z3490" s="25"/>
    </row>
    <row r="3491" spans="1:26" ht="15.75" customHeight="1" x14ac:dyDescent="0.25">
      <c r="A3491" s="25">
        <v>3489</v>
      </c>
      <c r="B3491" s="37" t="e">
        <f t="shared" ref="B3491:D3491" si="7027">VLOOKUP($A3491,[11]Planeación!$A$1:$O$253,B$1,0)</f>
        <v>#N/A</v>
      </c>
      <c r="C3491" s="38" t="e">
        <f t="shared" si="7027"/>
        <v>#N/A</v>
      </c>
      <c r="D3491" s="39" t="e">
        <f t="shared" si="7027"/>
        <v>#N/A</v>
      </c>
      <c r="E3491" s="16" t="e">
        <f t="shared" si="1"/>
        <v>#N/A</v>
      </c>
      <c r="F3491" s="16" t="e">
        <f t="shared" ref="F3491:K3491" si="7028">VLOOKUP($A3491,[11]Planeación!$A$1:$O$253,F$1,0)</f>
        <v>#N/A</v>
      </c>
      <c r="G3491" s="39" t="e">
        <f t="shared" si="7028"/>
        <v>#N/A</v>
      </c>
      <c r="H3491" s="16" t="e">
        <f t="shared" si="7028"/>
        <v>#N/A</v>
      </c>
      <c r="I3491" s="16" t="e">
        <f t="shared" si="7028"/>
        <v>#N/A</v>
      </c>
      <c r="J3491" s="40" t="e">
        <f t="shared" si="7028"/>
        <v>#N/A</v>
      </c>
      <c r="K3491" s="16" t="e">
        <f t="shared" si="7028"/>
        <v>#N/A</v>
      </c>
      <c r="L3491" s="40" t="e">
        <f t="shared" si="6649"/>
        <v>#N/A</v>
      </c>
      <c r="M3491" s="16" t="e">
        <f t="shared" si="6650"/>
        <v>#N/A</v>
      </c>
      <c r="N3491" s="16" t="e">
        <f t="shared" si="6651"/>
        <v>#N/A</v>
      </c>
      <c r="O3491" s="16" t="s">
        <v>75</v>
      </c>
      <c r="P3491" s="16" t="str">
        <f t="shared" si="6"/>
        <v/>
      </c>
      <c r="Q3491" s="41" t="e">
        <f t="shared" si="6652"/>
        <v>#N/A</v>
      </c>
      <c r="R3491" s="44"/>
      <c r="S3491" s="44"/>
      <c r="T3491" s="43"/>
      <c r="U3491" s="43" t="str">
        <f t="shared" si="8"/>
        <v>No</v>
      </c>
      <c r="V3491" s="25"/>
      <c r="W3491" s="25"/>
      <c r="X3491" s="25"/>
      <c r="Y3491" s="25"/>
      <c r="Z3491" s="25"/>
    </row>
    <row r="3492" spans="1:26" ht="15.75" customHeight="1" x14ac:dyDescent="0.25">
      <c r="A3492" s="25">
        <v>3490</v>
      </c>
      <c r="B3492" s="37" t="e">
        <f t="shared" ref="B3492:D3492" si="7029">VLOOKUP($A3492,[11]Planeación!$A$1:$O$253,B$1,0)</f>
        <v>#N/A</v>
      </c>
      <c r="C3492" s="38" t="e">
        <f t="shared" si="7029"/>
        <v>#N/A</v>
      </c>
      <c r="D3492" s="39" t="e">
        <f t="shared" si="7029"/>
        <v>#N/A</v>
      </c>
      <c r="E3492" s="16" t="e">
        <f t="shared" si="1"/>
        <v>#N/A</v>
      </c>
      <c r="F3492" s="16" t="e">
        <f t="shared" ref="F3492:K3492" si="7030">VLOOKUP($A3492,[11]Planeación!$A$1:$O$253,F$1,0)</f>
        <v>#N/A</v>
      </c>
      <c r="G3492" s="39" t="e">
        <f t="shared" si="7030"/>
        <v>#N/A</v>
      </c>
      <c r="H3492" s="16" t="e">
        <f t="shared" si="7030"/>
        <v>#N/A</v>
      </c>
      <c r="I3492" s="16" t="e">
        <f t="shared" si="7030"/>
        <v>#N/A</v>
      </c>
      <c r="J3492" s="40" t="e">
        <f t="shared" si="7030"/>
        <v>#N/A</v>
      </c>
      <c r="K3492" s="16" t="e">
        <f t="shared" si="7030"/>
        <v>#N/A</v>
      </c>
      <c r="L3492" s="40" t="e">
        <f t="shared" si="6649"/>
        <v>#N/A</v>
      </c>
      <c r="M3492" s="16" t="e">
        <f t="shared" si="6650"/>
        <v>#N/A</v>
      </c>
      <c r="N3492" s="16" t="e">
        <f t="shared" si="6651"/>
        <v>#N/A</v>
      </c>
      <c r="O3492" s="16" t="s">
        <v>75</v>
      </c>
      <c r="P3492" s="16" t="str">
        <f t="shared" si="6"/>
        <v/>
      </c>
      <c r="Q3492" s="41" t="e">
        <f t="shared" si="6652"/>
        <v>#N/A</v>
      </c>
      <c r="R3492" s="44"/>
      <c r="S3492" s="44"/>
      <c r="T3492" s="43"/>
      <c r="U3492" s="43" t="str">
        <f t="shared" si="8"/>
        <v>No</v>
      </c>
      <c r="V3492" s="25"/>
      <c r="W3492" s="25"/>
      <c r="X3492" s="25"/>
      <c r="Y3492" s="25"/>
      <c r="Z3492" s="25"/>
    </row>
    <row r="3493" spans="1:26" ht="15.75" customHeight="1" x14ac:dyDescent="0.25">
      <c r="A3493" s="25">
        <v>3491</v>
      </c>
      <c r="B3493" s="37" t="e">
        <f t="shared" ref="B3493:D3493" si="7031">VLOOKUP($A3493,[11]Planeación!$A$1:$O$253,B$1,0)</f>
        <v>#N/A</v>
      </c>
      <c r="C3493" s="38" t="e">
        <f t="shared" si="7031"/>
        <v>#N/A</v>
      </c>
      <c r="D3493" s="39" t="e">
        <f t="shared" si="7031"/>
        <v>#N/A</v>
      </c>
      <c r="E3493" s="16" t="e">
        <f t="shared" si="1"/>
        <v>#N/A</v>
      </c>
      <c r="F3493" s="16" t="e">
        <f t="shared" ref="F3493:K3493" si="7032">VLOOKUP($A3493,[11]Planeación!$A$1:$O$253,F$1,0)</f>
        <v>#N/A</v>
      </c>
      <c r="G3493" s="39" t="e">
        <f t="shared" si="7032"/>
        <v>#N/A</v>
      </c>
      <c r="H3493" s="16" t="e">
        <f t="shared" si="7032"/>
        <v>#N/A</v>
      </c>
      <c r="I3493" s="16" t="e">
        <f t="shared" si="7032"/>
        <v>#N/A</v>
      </c>
      <c r="J3493" s="40" t="e">
        <f t="shared" si="7032"/>
        <v>#N/A</v>
      </c>
      <c r="K3493" s="16" t="e">
        <f t="shared" si="7032"/>
        <v>#N/A</v>
      </c>
      <c r="L3493" s="40" t="e">
        <f t="shared" si="6649"/>
        <v>#N/A</v>
      </c>
      <c r="M3493" s="16" t="e">
        <f t="shared" si="6650"/>
        <v>#N/A</v>
      </c>
      <c r="N3493" s="16" t="e">
        <f t="shared" si="6651"/>
        <v>#N/A</v>
      </c>
      <c r="O3493" s="16" t="s">
        <v>75</v>
      </c>
      <c r="P3493" s="16" t="str">
        <f t="shared" si="6"/>
        <v/>
      </c>
      <c r="Q3493" s="41" t="e">
        <f t="shared" si="6652"/>
        <v>#N/A</v>
      </c>
      <c r="R3493" s="44"/>
      <c r="S3493" s="44"/>
      <c r="T3493" s="43"/>
      <c r="U3493" s="43" t="str">
        <f t="shared" si="8"/>
        <v>No</v>
      </c>
      <c r="V3493" s="25"/>
      <c r="W3493" s="25"/>
      <c r="X3493" s="25"/>
      <c r="Y3493" s="25"/>
      <c r="Z3493" s="25"/>
    </row>
    <row r="3494" spans="1:26" ht="15.75" customHeight="1" x14ac:dyDescent="0.25">
      <c r="A3494" s="25">
        <v>3492</v>
      </c>
      <c r="B3494" s="37" t="e">
        <f t="shared" ref="B3494:D3494" si="7033">VLOOKUP($A3494,[11]Planeación!$A$1:$O$253,B$1,0)</f>
        <v>#N/A</v>
      </c>
      <c r="C3494" s="38" t="e">
        <f t="shared" si="7033"/>
        <v>#N/A</v>
      </c>
      <c r="D3494" s="39" t="e">
        <f t="shared" si="7033"/>
        <v>#N/A</v>
      </c>
      <c r="E3494" s="16" t="e">
        <f t="shared" si="1"/>
        <v>#N/A</v>
      </c>
      <c r="F3494" s="16" t="e">
        <f t="shared" ref="F3494:K3494" si="7034">VLOOKUP($A3494,[11]Planeación!$A$1:$O$253,F$1,0)</f>
        <v>#N/A</v>
      </c>
      <c r="G3494" s="39" t="e">
        <f t="shared" si="7034"/>
        <v>#N/A</v>
      </c>
      <c r="H3494" s="16" t="e">
        <f t="shared" si="7034"/>
        <v>#N/A</v>
      </c>
      <c r="I3494" s="16" t="e">
        <f t="shared" si="7034"/>
        <v>#N/A</v>
      </c>
      <c r="J3494" s="40" t="e">
        <f t="shared" si="7034"/>
        <v>#N/A</v>
      </c>
      <c r="K3494" s="16" t="e">
        <f t="shared" si="7034"/>
        <v>#N/A</v>
      </c>
      <c r="L3494" s="40" t="e">
        <f t="shared" si="6649"/>
        <v>#N/A</v>
      </c>
      <c r="M3494" s="16" t="e">
        <f t="shared" si="6650"/>
        <v>#N/A</v>
      </c>
      <c r="N3494" s="16" t="e">
        <f t="shared" si="6651"/>
        <v>#N/A</v>
      </c>
      <c r="O3494" s="16" t="s">
        <v>75</v>
      </c>
      <c r="P3494" s="16" t="str">
        <f t="shared" si="6"/>
        <v/>
      </c>
      <c r="Q3494" s="41" t="e">
        <f t="shared" si="6652"/>
        <v>#N/A</v>
      </c>
      <c r="R3494" s="44"/>
      <c r="S3494" s="44"/>
      <c r="T3494" s="43"/>
      <c r="U3494" s="43" t="str">
        <f t="shared" si="8"/>
        <v>No</v>
      </c>
      <c r="V3494" s="25"/>
      <c r="W3494" s="25"/>
      <c r="X3494" s="25"/>
      <c r="Y3494" s="25"/>
      <c r="Z3494" s="25"/>
    </row>
    <row r="3495" spans="1:26" ht="15.75" customHeight="1" x14ac:dyDescent="0.25">
      <c r="A3495" s="25">
        <v>3493</v>
      </c>
      <c r="B3495" s="37" t="e">
        <f t="shared" ref="B3495:D3495" si="7035">VLOOKUP($A3495,[11]Planeación!$A$1:$O$253,B$1,0)</f>
        <v>#N/A</v>
      </c>
      <c r="C3495" s="38" t="e">
        <f t="shared" si="7035"/>
        <v>#N/A</v>
      </c>
      <c r="D3495" s="39" t="e">
        <f t="shared" si="7035"/>
        <v>#N/A</v>
      </c>
      <c r="E3495" s="16" t="e">
        <f t="shared" si="1"/>
        <v>#N/A</v>
      </c>
      <c r="F3495" s="16" t="e">
        <f t="shared" ref="F3495:K3495" si="7036">VLOOKUP($A3495,[11]Planeación!$A$1:$O$253,F$1,0)</f>
        <v>#N/A</v>
      </c>
      <c r="G3495" s="39" t="e">
        <f t="shared" si="7036"/>
        <v>#N/A</v>
      </c>
      <c r="H3495" s="16" t="e">
        <f t="shared" si="7036"/>
        <v>#N/A</v>
      </c>
      <c r="I3495" s="16" t="e">
        <f t="shared" si="7036"/>
        <v>#N/A</v>
      </c>
      <c r="J3495" s="40" t="e">
        <f t="shared" si="7036"/>
        <v>#N/A</v>
      </c>
      <c r="K3495" s="16" t="e">
        <f t="shared" si="7036"/>
        <v>#N/A</v>
      </c>
      <c r="L3495" s="40" t="e">
        <f t="shared" si="6649"/>
        <v>#N/A</v>
      </c>
      <c r="M3495" s="16" t="e">
        <f t="shared" si="6650"/>
        <v>#N/A</v>
      </c>
      <c r="N3495" s="16" t="e">
        <f t="shared" si="6651"/>
        <v>#N/A</v>
      </c>
      <c r="O3495" s="16" t="s">
        <v>75</v>
      </c>
      <c r="P3495" s="16" t="str">
        <f t="shared" si="6"/>
        <v/>
      </c>
      <c r="Q3495" s="41" t="e">
        <f t="shared" si="6652"/>
        <v>#N/A</v>
      </c>
      <c r="R3495" s="44"/>
      <c r="S3495" s="44"/>
      <c r="T3495" s="43"/>
      <c r="U3495" s="43" t="str">
        <f t="shared" si="8"/>
        <v>No</v>
      </c>
      <c r="V3495" s="25"/>
      <c r="W3495" s="25"/>
      <c r="X3495" s="25"/>
      <c r="Y3495" s="25"/>
      <c r="Z3495" s="25"/>
    </row>
    <row r="3496" spans="1:26" ht="15.75" customHeight="1" x14ac:dyDescent="0.25">
      <c r="A3496" s="25">
        <v>3494</v>
      </c>
      <c r="B3496" s="37" t="e">
        <f t="shared" ref="B3496:D3496" si="7037">VLOOKUP($A3496,[11]Planeación!$A$1:$O$253,B$1,0)</f>
        <v>#N/A</v>
      </c>
      <c r="C3496" s="38" t="e">
        <f t="shared" si="7037"/>
        <v>#N/A</v>
      </c>
      <c r="D3496" s="39" t="e">
        <f t="shared" si="7037"/>
        <v>#N/A</v>
      </c>
      <c r="E3496" s="16" t="e">
        <f t="shared" si="1"/>
        <v>#N/A</v>
      </c>
      <c r="F3496" s="16" t="e">
        <f t="shared" ref="F3496:K3496" si="7038">VLOOKUP($A3496,[11]Planeación!$A$1:$O$253,F$1,0)</f>
        <v>#N/A</v>
      </c>
      <c r="G3496" s="39" t="e">
        <f t="shared" si="7038"/>
        <v>#N/A</v>
      </c>
      <c r="H3496" s="16" t="e">
        <f t="shared" si="7038"/>
        <v>#N/A</v>
      </c>
      <c r="I3496" s="16" t="e">
        <f t="shared" si="7038"/>
        <v>#N/A</v>
      </c>
      <c r="J3496" s="40" t="e">
        <f t="shared" si="7038"/>
        <v>#N/A</v>
      </c>
      <c r="K3496" s="16" t="e">
        <f t="shared" si="7038"/>
        <v>#N/A</v>
      </c>
      <c r="L3496" s="40" t="e">
        <f t="shared" si="6649"/>
        <v>#N/A</v>
      </c>
      <c r="M3496" s="16" t="e">
        <f t="shared" si="6650"/>
        <v>#N/A</v>
      </c>
      <c r="N3496" s="16" t="e">
        <f t="shared" si="6651"/>
        <v>#N/A</v>
      </c>
      <c r="O3496" s="16" t="s">
        <v>75</v>
      </c>
      <c r="P3496" s="16" t="str">
        <f t="shared" si="6"/>
        <v/>
      </c>
      <c r="Q3496" s="41" t="e">
        <f t="shared" si="6652"/>
        <v>#N/A</v>
      </c>
      <c r="R3496" s="44"/>
      <c r="S3496" s="44"/>
      <c r="T3496" s="43"/>
      <c r="U3496" s="43" t="str">
        <f t="shared" si="8"/>
        <v>No</v>
      </c>
      <c r="V3496" s="25"/>
      <c r="W3496" s="25"/>
      <c r="X3496" s="25"/>
      <c r="Y3496" s="25"/>
      <c r="Z3496" s="25"/>
    </row>
    <row r="3497" spans="1:26" ht="15.75" customHeight="1" x14ac:dyDescent="0.25">
      <c r="A3497" s="25">
        <v>3495</v>
      </c>
      <c r="B3497" s="37" t="e">
        <f t="shared" ref="B3497:D3497" si="7039">VLOOKUP($A3497,[11]Planeación!$A$1:$O$253,B$1,0)</f>
        <v>#N/A</v>
      </c>
      <c r="C3497" s="38" t="e">
        <f t="shared" si="7039"/>
        <v>#N/A</v>
      </c>
      <c r="D3497" s="39" t="e">
        <f t="shared" si="7039"/>
        <v>#N/A</v>
      </c>
      <c r="E3497" s="16" t="e">
        <f t="shared" si="1"/>
        <v>#N/A</v>
      </c>
      <c r="F3497" s="16" t="e">
        <f t="shared" ref="F3497:K3497" si="7040">VLOOKUP($A3497,[11]Planeación!$A$1:$O$253,F$1,0)</f>
        <v>#N/A</v>
      </c>
      <c r="G3497" s="39" t="e">
        <f t="shared" si="7040"/>
        <v>#N/A</v>
      </c>
      <c r="H3497" s="16" t="e">
        <f t="shared" si="7040"/>
        <v>#N/A</v>
      </c>
      <c r="I3497" s="16" t="e">
        <f t="shared" si="7040"/>
        <v>#N/A</v>
      </c>
      <c r="J3497" s="40" t="e">
        <f t="shared" si="7040"/>
        <v>#N/A</v>
      </c>
      <c r="K3497" s="16" t="e">
        <f t="shared" si="7040"/>
        <v>#N/A</v>
      </c>
      <c r="L3497" s="40" t="e">
        <f t="shared" si="6649"/>
        <v>#N/A</v>
      </c>
      <c r="M3497" s="16" t="e">
        <f t="shared" si="6650"/>
        <v>#N/A</v>
      </c>
      <c r="N3497" s="16" t="e">
        <f t="shared" si="6651"/>
        <v>#N/A</v>
      </c>
      <c r="O3497" s="16" t="s">
        <v>75</v>
      </c>
      <c r="P3497" s="16" t="str">
        <f t="shared" si="6"/>
        <v/>
      </c>
      <c r="Q3497" s="41" t="e">
        <f t="shared" si="6652"/>
        <v>#N/A</v>
      </c>
      <c r="R3497" s="44"/>
      <c r="S3497" s="44"/>
      <c r="T3497" s="43"/>
      <c r="U3497" s="43" t="str">
        <f t="shared" si="8"/>
        <v>No</v>
      </c>
      <c r="V3497" s="25"/>
      <c r="W3497" s="25"/>
      <c r="X3497" s="25"/>
      <c r="Y3497" s="25"/>
      <c r="Z3497" s="25"/>
    </row>
    <row r="3498" spans="1:26" ht="15.75" customHeight="1" x14ac:dyDescent="0.25">
      <c r="A3498" s="25">
        <v>3496</v>
      </c>
      <c r="B3498" s="37" t="e">
        <f t="shared" ref="B3498:D3498" si="7041">VLOOKUP($A3498,[11]Planeación!$A$1:$O$253,B$1,0)</f>
        <v>#N/A</v>
      </c>
      <c r="C3498" s="38" t="e">
        <f t="shared" si="7041"/>
        <v>#N/A</v>
      </c>
      <c r="D3498" s="39" t="e">
        <f t="shared" si="7041"/>
        <v>#N/A</v>
      </c>
      <c r="E3498" s="16" t="e">
        <f t="shared" si="1"/>
        <v>#N/A</v>
      </c>
      <c r="F3498" s="16" t="e">
        <f t="shared" ref="F3498:K3498" si="7042">VLOOKUP($A3498,[11]Planeación!$A$1:$O$253,F$1,0)</f>
        <v>#N/A</v>
      </c>
      <c r="G3498" s="39" t="e">
        <f t="shared" si="7042"/>
        <v>#N/A</v>
      </c>
      <c r="H3498" s="16" t="e">
        <f t="shared" si="7042"/>
        <v>#N/A</v>
      </c>
      <c r="I3498" s="16" t="e">
        <f t="shared" si="7042"/>
        <v>#N/A</v>
      </c>
      <c r="J3498" s="40" t="e">
        <f t="shared" si="7042"/>
        <v>#N/A</v>
      </c>
      <c r="K3498" s="16" t="e">
        <f t="shared" si="7042"/>
        <v>#N/A</v>
      </c>
      <c r="L3498" s="40" t="e">
        <f t="shared" si="6649"/>
        <v>#N/A</v>
      </c>
      <c r="M3498" s="16" t="e">
        <f t="shared" si="6650"/>
        <v>#N/A</v>
      </c>
      <c r="N3498" s="16" t="e">
        <f t="shared" si="6651"/>
        <v>#N/A</v>
      </c>
      <c r="O3498" s="16" t="s">
        <v>75</v>
      </c>
      <c r="P3498" s="16" t="str">
        <f t="shared" si="6"/>
        <v/>
      </c>
      <c r="Q3498" s="41" t="e">
        <f t="shared" si="6652"/>
        <v>#N/A</v>
      </c>
      <c r="R3498" s="44"/>
      <c r="S3498" s="44"/>
      <c r="T3498" s="43"/>
      <c r="U3498" s="43" t="str">
        <f t="shared" si="8"/>
        <v>No</v>
      </c>
      <c r="V3498" s="25"/>
      <c r="W3498" s="25"/>
      <c r="X3498" s="25"/>
      <c r="Y3498" s="25"/>
      <c r="Z3498" s="25"/>
    </row>
    <row r="3499" spans="1:26" ht="15.75" customHeight="1" x14ac:dyDescent="0.25">
      <c r="A3499" s="25">
        <v>3497</v>
      </c>
      <c r="B3499" s="37" t="e">
        <f t="shared" ref="B3499:D3499" si="7043">VLOOKUP($A3499,[11]Planeación!$A$1:$O$253,B$1,0)</f>
        <v>#N/A</v>
      </c>
      <c r="C3499" s="38" t="e">
        <f t="shared" si="7043"/>
        <v>#N/A</v>
      </c>
      <c r="D3499" s="39" t="e">
        <f t="shared" si="7043"/>
        <v>#N/A</v>
      </c>
      <c r="E3499" s="16" t="e">
        <f t="shared" si="1"/>
        <v>#N/A</v>
      </c>
      <c r="F3499" s="16" t="e">
        <f t="shared" ref="F3499:K3499" si="7044">VLOOKUP($A3499,[11]Planeación!$A$1:$O$253,F$1,0)</f>
        <v>#N/A</v>
      </c>
      <c r="G3499" s="39" t="e">
        <f t="shared" si="7044"/>
        <v>#N/A</v>
      </c>
      <c r="H3499" s="16" t="e">
        <f t="shared" si="7044"/>
        <v>#N/A</v>
      </c>
      <c r="I3499" s="16" t="e">
        <f t="shared" si="7044"/>
        <v>#N/A</v>
      </c>
      <c r="J3499" s="40" t="e">
        <f t="shared" si="7044"/>
        <v>#N/A</v>
      </c>
      <c r="K3499" s="16" t="e">
        <f t="shared" si="7044"/>
        <v>#N/A</v>
      </c>
      <c r="L3499" s="40" t="e">
        <f t="shared" si="6649"/>
        <v>#N/A</v>
      </c>
      <c r="M3499" s="16" t="e">
        <f t="shared" si="6650"/>
        <v>#N/A</v>
      </c>
      <c r="N3499" s="16" t="e">
        <f t="shared" si="6651"/>
        <v>#N/A</v>
      </c>
      <c r="O3499" s="16" t="s">
        <v>75</v>
      </c>
      <c r="P3499" s="16" t="str">
        <f t="shared" si="6"/>
        <v/>
      </c>
      <c r="Q3499" s="41" t="e">
        <f t="shared" si="6652"/>
        <v>#N/A</v>
      </c>
      <c r="R3499" s="44"/>
      <c r="S3499" s="44"/>
      <c r="T3499" s="43"/>
      <c r="U3499" s="43" t="str">
        <f t="shared" si="8"/>
        <v>No</v>
      </c>
      <c r="V3499" s="25"/>
      <c r="W3499" s="25"/>
      <c r="X3499" s="25"/>
      <c r="Y3499" s="25"/>
      <c r="Z3499" s="25"/>
    </row>
    <row r="3500" spans="1:26" ht="15.75" customHeight="1" x14ac:dyDescent="0.25">
      <c r="A3500" s="25">
        <v>3498</v>
      </c>
      <c r="B3500" s="37" t="e">
        <f t="shared" ref="B3500:D3500" si="7045">VLOOKUP($A3500,[11]Planeación!$A$1:$O$253,B$1,0)</f>
        <v>#N/A</v>
      </c>
      <c r="C3500" s="38" t="e">
        <f t="shared" si="7045"/>
        <v>#N/A</v>
      </c>
      <c r="D3500" s="39" t="e">
        <f t="shared" si="7045"/>
        <v>#N/A</v>
      </c>
      <c r="E3500" s="16" t="e">
        <f t="shared" si="1"/>
        <v>#N/A</v>
      </c>
      <c r="F3500" s="16" t="e">
        <f t="shared" ref="F3500:K3500" si="7046">VLOOKUP($A3500,[11]Planeación!$A$1:$O$253,F$1,0)</f>
        <v>#N/A</v>
      </c>
      <c r="G3500" s="39" t="e">
        <f t="shared" si="7046"/>
        <v>#N/A</v>
      </c>
      <c r="H3500" s="16" t="e">
        <f t="shared" si="7046"/>
        <v>#N/A</v>
      </c>
      <c r="I3500" s="16" t="e">
        <f t="shared" si="7046"/>
        <v>#N/A</v>
      </c>
      <c r="J3500" s="40" t="e">
        <f t="shared" si="7046"/>
        <v>#N/A</v>
      </c>
      <c r="K3500" s="16" t="e">
        <f t="shared" si="7046"/>
        <v>#N/A</v>
      </c>
      <c r="L3500" s="40" t="e">
        <f t="shared" si="6649"/>
        <v>#N/A</v>
      </c>
      <c r="M3500" s="16" t="e">
        <f t="shared" si="6650"/>
        <v>#N/A</v>
      </c>
      <c r="N3500" s="16" t="e">
        <f t="shared" si="6651"/>
        <v>#N/A</v>
      </c>
      <c r="O3500" s="16" t="s">
        <v>75</v>
      </c>
      <c r="P3500" s="16" t="str">
        <f t="shared" si="6"/>
        <v/>
      </c>
      <c r="Q3500" s="41" t="e">
        <f t="shared" si="6652"/>
        <v>#N/A</v>
      </c>
      <c r="R3500" s="44"/>
      <c r="S3500" s="44"/>
      <c r="T3500" s="43"/>
      <c r="U3500" s="43" t="str">
        <f t="shared" si="8"/>
        <v>No</v>
      </c>
      <c r="V3500" s="25"/>
      <c r="W3500" s="25"/>
      <c r="X3500" s="25"/>
      <c r="Y3500" s="25"/>
      <c r="Z3500" s="25"/>
    </row>
    <row r="3501" spans="1:26" ht="15.75" customHeight="1" x14ac:dyDescent="0.25">
      <c r="A3501" s="25">
        <v>3499</v>
      </c>
      <c r="B3501" s="37" t="e">
        <f t="shared" ref="B3501:D3501" si="7047">VLOOKUP($A3501,[11]Planeación!$A$1:$O$253,B$1,0)</f>
        <v>#N/A</v>
      </c>
      <c r="C3501" s="38" t="e">
        <f t="shared" si="7047"/>
        <v>#N/A</v>
      </c>
      <c r="D3501" s="39" t="e">
        <f t="shared" si="7047"/>
        <v>#N/A</v>
      </c>
      <c r="E3501" s="16" t="e">
        <f t="shared" si="1"/>
        <v>#N/A</v>
      </c>
      <c r="F3501" s="16" t="e">
        <f t="shared" ref="F3501:K3501" si="7048">VLOOKUP($A3501,[11]Planeación!$A$1:$O$253,F$1,0)</f>
        <v>#N/A</v>
      </c>
      <c r="G3501" s="39" t="e">
        <f t="shared" si="7048"/>
        <v>#N/A</v>
      </c>
      <c r="H3501" s="16" t="e">
        <f t="shared" si="7048"/>
        <v>#N/A</v>
      </c>
      <c r="I3501" s="16" t="e">
        <f t="shared" si="7048"/>
        <v>#N/A</v>
      </c>
      <c r="J3501" s="40" t="e">
        <f t="shared" si="7048"/>
        <v>#N/A</v>
      </c>
      <c r="K3501" s="16" t="e">
        <f t="shared" si="7048"/>
        <v>#N/A</v>
      </c>
      <c r="L3501" s="40" t="e">
        <f t="shared" si="6649"/>
        <v>#N/A</v>
      </c>
      <c r="M3501" s="16" t="e">
        <f t="shared" si="6650"/>
        <v>#N/A</v>
      </c>
      <c r="N3501" s="16" t="e">
        <f t="shared" si="6651"/>
        <v>#N/A</v>
      </c>
      <c r="O3501" s="16" t="s">
        <v>75</v>
      </c>
      <c r="P3501" s="16" t="str">
        <f t="shared" si="6"/>
        <v/>
      </c>
      <c r="Q3501" s="41" t="e">
        <f t="shared" si="6652"/>
        <v>#N/A</v>
      </c>
      <c r="R3501" s="44"/>
      <c r="S3501" s="44"/>
      <c r="T3501" s="43"/>
      <c r="U3501" s="43" t="str">
        <f t="shared" si="8"/>
        <v>No</v>
      </c>
      <c r="V3501" s="25"/>
      <c r="W3501" s="25"/>
      <c r="X3501" s="25"/>
      <c r="Y3501" s="25"/>
      <c r="Z3501" s="25"/>
    </row>
    <row r="3502" spans="1:26" ht="15.75" customHeight="1" x14ac:dyDescent="0.25">
      <c r="A3502" s="25">
        <v>3500</v>
      </c>
      <c r="B3502" s="37" t="e">
        <f t="shared" ref="B3502:D3502" si="7049">VLOOKUP($A3502,[11]Planeación!$A$1:$O$253,B$1,0)</f>
        <v>#N/A</v>
      </c>
      <c r="C3502" s="38" t="e">
        <f t="shared" si="7049"/>
        <v>#N/A</v>
      </c>
      <c r="D3502" s="39" t="e">
        <f t="shared" si="7049"/>
        <v>#N/A</v>
      </c>
      <c r="E3502" s="16" t="e">
        <f t="shared" si="1"/>
        <v>#N/A</v>
      </c>
      <c r="F3502" s="16" t="e">
        <f t="shared" ref="F3502:K3502" si="7050">VLOOKUP($A3502,[11]Planeación!$A$1:$O$253,F$1,0)</f>
        <v>#N/A</v>
      </c>
      <c r="G3502" s="39" t="e">
        <f t="shared" si="7050"/>
        <v>#N/A</v>
      </c>
      <c r="H3502" s="16" t="e">
        <f t="shared" si="7050"/>
        <v>#N/A</v>
      </c>
      <c r="I3502" s="16" t="e">
        <f t="shared" si="7050"/>
        <v>#N/A</v>
      </c>
      <c r="J3502" s="40" t="e">
        <f t="shared" si="7050"/>
        <v>#N/A</v>
      </c>
      <c r="K3502" s="16" t="e">
        <f t="shared" si="7050"/>
        <v>#N/A</v>
      </c>
      <c r="L3502" s="40" t="e">
        <f t="shared" si="6649"/>
        <v>#N/A</v>
      </c>
      <c r="M3502" s="16" t="e">
        <f t="shared" si="6650"/>
        <v>#N/A</v>
      </c>
      <c r="N3502" s="16" t="e">
        <f t="shared" si="6651"/>
        <v>#N/A</v>
      </c>
      <c r="O3502" s="16" t="s">
        <v>75</v>
      </c>
      <c r="P3502" s="16" t="str">
        <f t="shared" si="6"/>
        <v/>
      </c>
      <c r="Q3502" s="41" t="e">
        <f t="shared" si="6652"/>
        <v>#N/A</v>
      </c>
      <c r="R3502" s="44"/>
      <c r="S3502" s="44"/>
      <c r="T3502" s="43"/>
      <c r="U3502" s="43" t="str">
        <f t="shared" si="8"/>
        <v>No</v>
      </c>
      <c r="V3502" s="25"/>
      <c r="W3502" s="25"/>
      <c r="X3502" s="25"/>
      <c r="Y3502" s="25"/>
      <c r="Z3502" s="25"/>
    </row>
    <row r="3503" spans="1:26" ht="15.75" customHeight="1" x14ac:dyDescent="0.25">
      <c r="A3503" s="25">
        <v>3501</v>
      </c>
      <c r="B3503" s="37" t="e">
        <f t="shared" ref="B3503:D3503" si="7051">VLOOKUP($A3503,[11]Planeación!$A$1:$O$253,B$1,0)</f>
        <v>#N/A</v>
      </c>
      <c r="C3503" s="38" t="e">
        <f t="shared" si="7051"/>
        <v>#N/A</v>
      </c>
      <c r="D3503" s="39" t="e">
        <f t="shared" si="7051"/>
        <v>#N/A</v>
      </c>
      <c r="E3503" s="16" t="e">
        <f t="shared" si="1"/>
        <v>#N/A</v>
      </c>
      <c r="F3503" s="16" t="e">
        <f t="shared" ref="F3503:K3503" si="7052">VLOOKUP($A3503,[11]Planeación!$A$1:$O$253,F$1,0)</f>
        <v>#N/A</v>
      </c>
      <c r="G3503" s="39" t="e">
        <f t="shared" si="7052"/>
        <v>#N/A</v>
      </c>
      <c r="H3503" s="16" t="e">
        <f t="shared" si="7052"/>
        <v>#N/A</v>
      </c>
      <c r="I3503" s="16" t="e">
        <f t="shared" si="7052"/>
        <v>#N/A</v>
      </c>
      <c r="J3503" s="40" t="e">
        <f t="shared" si="7052"/>
        <v>#N/A</v>
      </c>
      <c r="K3503" s="16" t="e">
        <f t="shared" si="7052"/>
        <v>#N/A</v>
      </c>
      <c r="L3503" s="40" t="e">
        <f t="shared" si="6649"/>
        <v>#N/A</v>
      </c>
      <c r="M3503" s="16" t="e">
        <f t="shared" si="6650"/>
        <v>#N/A</v>
      </c>
      <c r="N3503" s="16" t="e">
        <f t="shared" si="6651"/>
        <v>#N/A</v>
      </c>
      <c r="O3503" s="16" t="s">
        <v>75</v>
      </c>
      <c r="P3503" s="16" t="str">
        <f t="shared" si="6"/>
        <v/>
      </c>
      <c r="Q3503" s="41" t="e">
        <f t="shared" si="6652"/>
        <v>#N/A</v>
      </c>
      <c r="R3503" s="44"/>
      <c r="S3503" s="44"/>
      <c r="T3503" s="43"/>
      <c r="U3503" s="43" t="str">
        <f t="shared" si="8"/>
        <v>No</v>
      </c>
      <c r="V3503" s="25"/>
      <c r="W3503" s="25"/>
      <c r="X3503" s="25"/>
      <c r="Y3503" s="25"/>
      <c r="Z3503" s="25"/>
    </row>
    <row r="3504" spans="1:26" ht="15.75" customHeight="1" x14ac:dyDescent="0.25">
      <c r="A3504" s="25">
        <v>3502</v>
      </c>
      <c r="B3504" s="37" t="e">
        <f t="shared" ref="B3504:D3504" si="7053">VLOOKUP($A3504,[11]Planeación!$A$1:$O$253,B$1,0)</f>
        <v>#N/A</v>
      </c>
      <c r="C3504" s="38" t="e">
        <f t="shared" si="7053"/>
        <v>#N/A</v>
      </c>
      <c r="D3504" s="39" t="e">
        <f t="shared" si="7053"/>
        <v>#N/A</v>
      </c>
      <c r="E3504" s="16" t="e">
        <f t="shared" si="1"/>
        <v>#N/A</v>
      </c>
      <c r="F3504" s="16" t="e">
        <f t="shared" ref="F3504:K3504" si="7054">VLOOKUP($A3504,[11]Planeación!$A$1:$O$253,F$1,0)</f>
        <v>#N/A</v>
      </c>
      <c r="G3504" s="39" t="e">
        <f t="shared" si="7054"/>
        <v>#N/A</v>
      </c>
      <c r="H3504" s="16" t="e">
        <f t="shared" si="7054"/>
        <v>#N/A</v>
      </c>
      <c r="I3504" s="16" t="e">
        <f t="shared" si="7054"/>
        <v>#N/A</v>
      </c>
      <c r="J3504" s="40" t="e">
        <f t="shared" si="7054"/>
        <v>#N/A</v>
      </c>
      <c r="K3504" s="16" t="e">
        <f t="shared" si="7054"/>
        <v>#N/A</v>
      </c>
      <c r="L3504" s="40" t="e">
        <f t="shared" si="6649"/>
        <v>#N/A</v>
      </c>
      <c r="M3504" s="16" t="e">
        <f t="shared" si="6650"/>
        <v>#N/A</v>
      </c>
      <c r="N3504" s="16" t="e">
        <f t="shared" si="6651"/>
        <v>#N/A</v>
      </c>
      <c r="O3504" s="16" t="s">
        <v>75</v>
      </c>
      <c r="P3504" s="16" t="str">
        <f t="shared" si="6"/>
        <v/>
      </c>
      <c r="Q3504" s="41" t="e">
        <f t="shared" si="6652"/>
        <v>#N/A</v>
      </c>
      <c r="R3504" s="44"/>
      <c r="S3504" s="44"/>
      <c r="T3504" s="43"/>
      <c r="U3504" s="43" t="str">
        <f t="shared" si="8"/>
        <v>No</v>
      </c>
      <c r="V3504" s="25"/>
      <c r="W3504" s="25"/>
      <c r="X3504" s="25"/>
      <c r="Y3504" s="25"/>
      <c r="Z3504" s="25"/>
    </row>
    <row r="3505" spans="1:26" ht="15.75" customHeight="1" x14ac:dyDescent="0.25">
      <c r="A3505" s="25">
        <v>3503</v>
      </c>
      <c r="B3505" s="37" t="e">
        <f t="shared" ref="B3505:D3505" si="7055">VLOOKUP($A3505,[11]Planeación!$A$1:$O$253,B$1,0)</f>
        <v>#N/A</v>
      </c>
      <c r="C3505" s="38" t="e">
        <f t="shared" si="7055"/>
        <v>#N/A</v>
      </c>
      <c r="D3505" s="39" t="e">
        <f t="shared" si="7055"/>
        <v>#N/A</v>
      </c>
      <c r="E3505" s="16" t="e">
        <f t="shared" si="1"/>
        <v>#N/A</v>
      </c>
      <c r="F3505" s="16" t="e">
        <f t="shared" ref="F3505:K3505" si="7056">VLOOKUP($A3505,[11]Planeación!$A$1:$O$253,F$1,0)</f>
        <v>#N/A</v>
      </c>
      <c r="G3505" s="39" t="e">
        <f t="shared" si="7056"/>
        <v>#N/A</v>
      </c>
      <c r="H3505" s="16" t="e">
        <f t="shared" si="7056"/>
        <v>#N/A</v>
      </c>
      <c r="I3505" s="16" t="e">
        <f t="shared" si="7056"/>
        <v>#N/A</v>
      </c>
      <c r="J3505" s="40" t="e">
        <f t="shared" si="7056"/>
        <v>#N/A</v>
      </c>
      <c r="K3505" s="16" t="e">
        <f t="shared" si="7056"/>
        <v>#N/A</v>
      </c>
      <c r="L3505" s="40" t="e">
        <f t="shared" si="6649"/>
        <v>#N/A</v>
      </c>
      <c r="M3505" s="16" t="e">
        <f t="shared" si="6650"/>
        <v>#N/A</v>
      </c>
      <c r="N3505" s="16" t="e">
        <f t="shared" si="6651"/>
        <v>#N/A</v>
      </c>
      <c r="O3505" s="16" t="s">
        <v>75</v>
      </c>
      <c r="P3505" s="16" t="str">
        <f t="shared" si="6"/>
        <v/>
      </c>
      <c r="Q3505" s="41" t="e">
        <f t="shared" si="6652"/>
        <v>#N/A</v>
      </c>
      <c r="R3505" s="44"/>
      <c r="S3505" s="44"/>
      <c r="T3505" s="43"/>
      <c r="U3505" s="43" t="str">
        <f t="shared" si="8"/>
        <v>No</v>
      </c>
      <c r="V3505" s="25"/>
      <c r="W3505" s="25"/>
      <c r="X3505" s="25"/>
      <c r="Y3505" s="25"/>
      <c r="Z3505" s="25"/>
    </row>
    <row r="3506" spans="1:26" ht="15.75" customHeight="1" x14ac:dyDescent="0.25">
      <c r="A3506" s="25">
        <v>3504</v>
      </c>
      <c r="B3506" s="37" t="e">
        <f t="shared" ref="B3506:D3506" si="7057">VLOOKUP($A3506,[11]Planeación!$A$1:$O$253,B$1,0)</f>
        <v>#N/A</v>
      </c>
      <c r="C3506" s="38" t="e">
        <f t="shared" si="7057"/>
        <v>#N/A</v>
      </c>
      <c r="D3506" s="39" t="e">
        <f t="shared" si="7057"/>
        <v>#N/A</v>
      </c>
      <c r="E3506" s="16" t="e">
        <f t="shared" si="1"/>
        <v>#N/A</v>
      </c>
      <c r="F3506" s="16" t="e">
        <f t="shared" ref="F3506:K3506" si="7058">VLOOKUP($A3506,[11]Planeación!$A$1:$O$253,F$1,0)</f>
        <v>#N/A</v>
      </c>
      <c r="G3506" s="39" t="e">
        <f t="shared" si="7058"/>
        <v>#N/A</v>
      </c>
      <c r="H3506" s="16" t="e">
        <f t="shared" si="7058"/>
        <v>#N/A</v>
      </c>
      <c r="I3506" s="16" t="e">
        <f t="shared" si="7058"/>
        <v>#N/A</v>
      </c>
      <c r="J3506" s="40" t="e">
        <f t="shared" si="7058"/>
        <v>#N/A</v>
      </c>
      <c r="K3506" s="16" t="e">
        <f t="shared" si="7058"/>
        <v>#N/A</v>
      </c>
      <c r="L3506" s="40" t="e">
        <f t="shared" si="6649"/>
        <v>#N/A</v>
      </c>
      <c r="M3506" s="16" t="e">
        <f t="shared" si="6650"/>
        <v>#N/A</v>
      </c>
      <c r="N3506" s="16" t="e">
        <f t="shared" si="6651"/>
        <v>#N/A</v>
      </c>
      <c r="O3506" s="16" t="s">
        <v>75</v>
      </c>
      <c r="P3506" s="16" t="str">
        <f t="shared" si="6"/>
        <v/>
      </c>
      <c r="Q3506" s="41" t="e">
        <f t="shared" si="6652"/>
        <v>#N/A</v>
      </c>
      <c r="R3506" s="44"/>
      <c r="S3506" s="44"/>
      <c r="T3506" s="43"/>
      <c r="U3506" s="43" t="str">
        <f t="shared" si="8"/>
        <v>No</v>
      </c>
      <c r="V3506" s="25"/>
      <c r="W3506" s="25"/>
      <c r="X3506" s="25"/>
      <c r="Y3506" s="25"/>
      <c r="Z3506" s="25"/>
    </row>
    <row r="3507" spans="1:26" ht="15.75" customHeight="1" x14ac:dyDescent="0.25">
      <c r="A3507" s="25">
        <v>3505</v>
      </c>
      <c r="B3507" s="37" t="e">
        <f t="shared" ref="B3507:D3507" si="7059">VLOOKUP($A3507,[11]Planeación!$A$1:$O$253,B$1,0)</f>
        <v>#N/A</v>
      </c>
      <c r="C3507" s="38" t="e">
        <f t="shared" si="7059"/>
        <v>#N/A</v>
      </c>
      <c r="D3507" s="39" t="e">
        <f t="shared" si="7059"/>
        <v>#N/A</v>
      </c>
      <c r="E3507" s="16" t="e">
        <f t="shared" si="1"/>
        <v>#N/A</v>
      </c>
      <c r="F3507" s="16" t="e">
        <f t="shared" ref="F3507:K3507" si="7060">VLOOKUP($A3507,[11]Planeación!$A$1:$O$253,F$1,0)</f>
        <v>#N/A</v>
      </c>
      <c r="G3507" s="39" t="e">
        <f t="shared" si="7060"/>
        <v>#N/A</v>
      </c>
      <c r="H3507" s="16" t="e">
        <f t="shared" si="7060"/>
        <v>#N/A</v>
      </c>
      <c r="I3507" s="16" t="e">
        <f t="shared" si="7060"/>
        <v>#N/A</v>
      </c>
      <c r="J3507" s="40" t="e">
        <f t="shared" si="7060"/>
        <v>#N/A</v>
      </c>
      <c r="K3507" s="16" t="e">
        <f t="shared" si="7060"/>
        <v>#N/A</v>
      </c>
      <c r="L3507" s="40" t="e">
        <f t="shared" si="6649"/>
        <v>#N/A</v>
      </c>
      <c r="M3507" s="16" t="e">
        <f t="shared" si="6650"/>
        <v>#N/A</v>
      </c>
      <c r="N3507" s="16" t="e">
        <f t="shared" si="6651"/>
        <v>#N/A</v>
      </c>
      <c r="O3507" s="16" t="s">
        <v>75</v>
      </c>
      <c r="P3507" s="16" t="str">
        <f t="shared" si="6"/>
        <v/>
      </c>
      <c r="Q3507" s="41" t="e">
        <f t="shared" si="6652"/>
        <v>#N/A</v>
      </c>
      <c r="R3507" s="44"/>
      <c r="S3507" s="44"/>
      <c r="T3507" s="43"/>
      <c r="U3507" s="43" t="str">
        <f t="shared" si="8"/>
        <v>No</v>
      </c>
      <c r="V3507" s="25"/>
      <c r="W3507" s="25"/>
      <c r="X3507" s="25"/>
      <c r="Y3507" s="25"/>
      <c r="Z3507" s="25"/>
    </row>
    <row r="3508" spans="1:26" ht="15.75" customHeight="1" x14ac:dyDescent="0.25">
      <c r="A3508" s="25">
        <v>3506</v>
      </c>
      <c r="B3508" s="37" t="e">
        <f t="shared" ref="B3508:D3508" si="7061">VLOOKUP($A3508,[11]Planeación!$A$1:$O$253,B$1,0)</f>
        <v>#N/A</v>
      </c>
      <c r="C3508" s="38" t="e">
        <f t="shared" si="7061"/>
        <v>#N/A</v>
      </c>
      <c r="D3508" s="39" t="e">
        <f t="shared" si="7061"/>
        <v>#N/A</v>
      </c>
      <c r="E3508" s="16" t="e">
        <f t="shared" si="1"/>
        <v>#N/A</v>
      </c>
      <c r="F3508" s="16" t="e">
        <f t="shared" ref="F3508:K3508" si="7062">VLOOKUP($A3508,[11]Planeación!$A$1:$O$253,F$1,0)</f>
        <v>#N/A</v>
      </c>
      <c r="G3508" s="39" t="e">
        <f t="shared" si="7062"/>
        <v>#N/A</v>
      </c>
      <c r="H3508" s="16" t="e">
        <f t="shared" si="7062"/>
        <v>#N/A</v>
      </c>
      <c r="I3508" s="16" t="e">
        <f t="shared" si="7062"/>
        <v>#N/A</v>
      </c>
      <c r="J3508" s="40" t="e">
        <f t="shared" si="7062"/>
        <v>#N/A</v>
      </c>
      <c r="K3508" s="16" t="e">
        <f t="shared" si="7062"/>
        <v>#N/A</v>
      </c>
      <c r="L3508" s="40" t="e">
        <f t="shared" si="6649"/>
        <v>#N/A</v>
      </c>
      <c r="M3508" s="16" t="e">
        <f t="shared" si="6650"/>
        <v>#N/A</v>
      </c>
      <c r="N3508" s="16" t="e">
        <f t="shared" si="6651"/>
        <v>#N/A</v>
      </c>
      <c r="O3508" s="16" t="s">
        <v>75</v>
      </c>
      <c r="P3508" s="16" t="str">
        <f t="shared" si="6"/>
        <v/>
      </c>
      <c r="Q3508" s="41" t="e">
        <f t="shared" si="6652"/>
        <v>#N/A</v>
      </c>
      <c r="R3508" s="44"/>
      <c r="S3508" s="44"/>
      <c r="T3508" s="43"/>
      <c r="U3508" s="43" t="str">
        <f t="shared" si="8"/>
        <v>No</v>
      </c>
      <c r="V3508" s="25"/>
      <c r="W3508" s="25"/>
      <c r="X3508" s="25"/>
      <c r="Y3508" s="25"/>
      <c r="Z3508" s="25"/>
    </row>
    <row r="3509" spans="1:26" ht="15.75" customHeight="1" x14ac:dyDescent="0.25">
      <c r="A3509" s="25">
        <v>3507</v>
      </c>
      <c r="B3509" s="37" t="e">
        <f t="shared" ref="B3509:D3509" si="7063">VLOOKUP($A3509,[11]Planeación!$A$1:$O$253,B$1,0)</f>
        <v>#N/A</v>
      </c>
      <c r="C3509" s="38" t="e">
        <f t="shared" si="7063"/>
        <v>#N/A</v>
      </c>
      <c r="D3509" s="39" t="e">
        <f t="shared" si="7063"/>
        <v>#N/A</v>
      </c>
      <c r="E3509" s="16" t="e">
        <f t="shared" si="1"/>
        <v>#N/A</v>
      </c>
      <c r="F3509" s="16" t="e">
        <f t="shared" ref="F3509:K3509" si="7064">VLOOKUP($A3509,[11]Planeación!$A$1:$O$253,F$1,0)</f>
        <v>#N/A</v>
      </c>
      <c r="G3509" s="39" t="e">
        <f t="shared" si="7064"/>
        <v>#N/A</v>
      </c>
      <c r="H3509" s="16" t="e">
        <f t="shared" si="7064"/>
        <v>#N/A</v>
      </c>
      <c r="I3509" s="16" t="e">
        <f t="shared" si="7064"/>
        <v>#N/A</v>
      </c>
      <c r="J3509" s="40" t="e">
        <f t="shared" si="7064"/>
        <v>#N/A</v>
      </c>
      <c r="K3509" s="16" t="e">
        <f t="shared" si="7064"/>
        <v>#N/A</v>
      </c>
      <c r="L3509" s="40" t="e">
        <f t="shared" si="6649"/>
        <v>#N/A</v>
      </c>
      <c r="M3509" s="16" t="e">
        <f t="shared" si="6650"/>
        <v>#N/A</v>
      </c>
      <c r="N3509" s="16" t="e">
        <f t="shared" si="6651"/>
        <v>#N/A</v>
      </c>
      <c r="O3509" s="16" t="s">
        <v>75</v>
      </c>
      <c r="P3509" s="16" t="str">
        <f t="shared" si="6"/>
        <v/>
      </c>
      <c r="Q3509" s="41" t="e">
        <f t="shared" si="6652"/>
        <v>#N/A</v>
      </c>
      <c r="R3509" s="44"/>
      <c r="S3509" s="44"/>
      <c r="T3509" s="43"/>
      <c r="U3509" s="43" t="str">
        <f t="shared" si="8"/>
        <v>No</v>
      </c>
      <c r="V3509" s="25"/>
      <c r="W3509" s="25"/>
      <c r="X3509" s="25"/>
      <c r="Y3509" s="25"/>
      <c r="Z3509" s="25"/>
    </row>
    <row r="3510" spans="1:26" ht="15.75" customHeight="1" x14ac:dyDescent="0.25">
      <c r="A3510" s="25">
        <v>3508</v>
      </c>
      <c r="B3510" s="37" t="e">
        <f t="shared" ref="B3510:D3510" si="7065">VLOOKUP($A3510,[11]Planeación!$A$1:$O$253,B$1,0)</f>
        <v>#N/A</v>
      </c>
      <c r="C3510" s="38" t="e">
        <f t="shared" si="7065"/>
        <v>#N/A</v>
      </c>
      <c r="D3510" s="39" t="e">
        <f t="shared" si="7065"/>
        <v>#N/A</v>
      </c>
      <c r="E3510" s="16" t="e">
        <f t="shared" si="1"/>
        <v>#N/A</v>
      </c>
      <c r="F3510" s="16" t="e">
        <f t="shared" ref="F3510:K3510" si="7066">VLOOKUP($A3510,[11]Planeación!$A$1:$O$253,F$1,0)</f>
        <v>#N/A</v>
      </c>
      <c r="G3510" s="39" t="e">
        <f t="shared" si="7066"/>
        <v>#N/A</v>
      </c>
      <c r="H3510" s="16" t="e">
        <f t="shared" si="7066"/>
        <v>#N/A</v>
      </c>
      <c r="I3510" s="16" t="e">
        <f t="shared" si="7066"/>
        <v>#N/A</v>
      </c>
      <c r="J3510" s="40" t="e">
        <f t="shared" si="7066"/>
        <v>#N/A</v>
      </c>
      <c r="K3510" s="16" t="e">
        <f t="shared" si="7066"/>
        <v>#N/A</v>
      </c>
      <c r="L3510" s="40" t="e">
        <f t="shared" si="6649"/>
        <v>#N/A</v>
      </c>
      <c r="M3510" s="16" t="e">
        <f t="shared" si="6650"/>
        <v>#N/A</v>
      </c>
      <c r="N3510" s="16" t="e">
        <f t="shared" si="6651"/>
        <v>#N/A</v>
      </c>
      <c r="O3510" s="16" t="s">
        <v>75</v>
      </c>
      <c r="P3510" s="16" t="str">
        <f t="shared" si="6"/>
        <v/>
      </c>
      <c r="Q3510" s="41" t="e">
        <f t="shared" si="6652"/>
        <v>#N/A</v>
      </c>
      <c r="R3510" s="44"/>
      <c r="S3510" s="44"/>
      <c r="T3510" s="43"/>
      <c r="U3510" s="43" t="str">
        <f t="shared" si="8"/>
        <v>No</v>
      </c>
      <c r="V3510" s="25"/>
      <c r="W3510" s="25"/>
      <c r="X3510" s="25"/>
      <c r="Y3510" s="25"/>
      <c r="Z3510" s="25"/>
    </row>
    <row r="3511" spans="1:26" ht="15.75" customHeight="1" x14ac:dyDescent="0.25">
      <c r="A3511" s="25">
        <v>3509</v>
      </c>
      <c r="B3511" s="37" t="e">
        <f t="shared" ref="B3511:D3511" si="7067">VLOOKUP($A3511,[11]Planeación!$A$1:$O$253,B$1,0)</f>
        <v>#N/A</v>
      </c>
      <c r="C3511" s="38" t="e">
        <f t="shared" si="7067"/>
        <v>#N/A</v>
      </c>
      <c r="D3511" s="39" t="e">
        <f t="shared" si="7067"/>
        <v>#N/A</v>
      </c>
      <c r="E3511" s="16" t="e">
        <f t="shared" si="1"/>
        <v>#N/A</v>
      </c>
      <c r="F3511" s="16" t="e">
        <f t="shared" ref="F3511:K3511" si="7068">VLOOKUP($A3511,[11]Planeación!$A$1:$O$253,F$1,0)</f>
        <v>#N/A</v>
      </c>
      <c r="G3511" s="39" t="e">
        <f t="shared" si="7068"/>
        <v>#N/A</v>
      </c>
      <c r="H3511" s="16" t="e">
        <f t="shared" si="7068"/>
        <v>#N/A</v>
      </c>
      <c r="I3511" s="16" t="e">
        <f t="shared" si="7068"/>
        <v>#N/A</v>
      </c>
      <c r="J3511" s="40" t="e">
        <f t="shared" si="7068"/>
        <v>#N/A</v>
      </c>
      <c r="K3511" s="16" t="e">
        <f t="shared" si="7068"/>
        <v>#N/A</v>
      </c>
      <c r="L3511" s="40" t="e">
        <f t="shared" si="6649"/>
        <v>#N/A</v>
      </c>
      <c r="M3511" s="16" t="e">
        <f t="shared" si="6650"/>
        <v>#N/A</v>
      </c>
      <c r="N3511" s="16" t="e">
        <f t="shared" si="6651"/>
        <v>#N/A</v>
      </c>
      <c r="O3511" s="16" t="s">
        <v>75</v>
      </c>
      <c r="P3511" s="16" t="str">
        <f t="shared" si="6"/>
        <v/>
      </c>
      <c r="Q3511" s="41" t="e">
        <f t="shared" si="6652"/>
        <v>#N/A</v>
      </c>
      <c r="R3511" s="44"/>
      <c r="S3511" s="44"/>
      <c r="T3511" s="43"/>
      <c r="U3511" s="43" t="str">
        <f t="shared" si="8"/>
        <v>No</v>
      </c>
      <c r="V3511" s="25"/>
      <c r="W3511" s="25"/>
      <c r="X3511" s="25"/>
      <c r="Y3511" s="25"/>
      <c r="Z3511" s="25"/>
    </row>
    <row r="3512" spans="1:26" ht="15.75" customHeight="1" x14ac:dyDescent="0.25">
      <c r="A3512" s="25">
        <v>3510</v>
      </c>
      <c r="B3512" s="37" t="e">
        <f t="shared" ref="B3512:D3512" si="7069">VLOOKUP($A3512,[11]Planeación!$A$1:$O$253,B$1,0)</f>
        <v>#N/A</v>
      </c>
      <c r="C3512" s="38" t="e">
        <f t="shared" si="7069"/>
        <v>#N/A</v>
      </c>
      <c r="D3512" s="39" t="e">
        <f t="shared" si="7069"/>
        <v>#N/A</v>
      </c>
      <c r="E3512" s="16" t="e">
        <f t="shared" si="1"/>
        <v>#N/A</v>
      </c>
      <c r="F3512" s="16" t="e">
        <f t="shared" ref="F3512:K3512" si="7070">VLOOKUP($A3512,[11]Planeación!$A$1:$O$253,F$1,0)</f>
        <v>#N/A</v>
      </c>
      <c r="G3512" s="39" t="e">
        <f t="shared" si="7070"/>
        <v>#N/A</v>
      </c>
      <c r="H3512" s="16" t="e">
        <f t="shared" si="7070"/>
        <v>#N/A</v>
      </c>
      <c r="I3512" s="16" t="e">
        <f t="shared" si="7070"/>
        <v>#N/A</v>
      </c>
      <c r="J3512" s="40" t="e">
        <f t="shared" si="7070"/>
        <v>#N/A</v>
      </c>
      <c r="K3512" s="16" t="e">
        <f t="shared" si="7070"/>
        <v>#N/A</v>
      </c>
      <c r="L3512" s="40" t="e">
        <f t="shared" si="6649"/>
        <v>#N/A</v>
      </c>
      <c r="M3512" s="16" t="e">
        <f t="shared" si="6650"/>
        <v>#N/A</v>
      </c>
      <c r="N3512" s="16" t="e">
        <f t="shared" si="6651"/>
        <v>#N/A</v>
      </c>
      <c r="O3512" s="16" t="s">
        <v>75</v>
      </c>
      <c r="P3512" s="16" t="str">
        <f t="shared" si="6"/>
        <v/>
      </c>
      <c r="Q3512" s="41" t="e">
        <f t="shared" si="6652"/>
        <v>#N/A</v>
      </c>
      <c r="R3512" s="44"/>
      <c r="S3512" s="44"/>
      <c r="T3512" s="43"/>
      <c r="U3512" s="43" t="str">
        <f t="shared" si="8"/>
        <v>No</v>
      </c>
      <c r="V3512" s="25"/>
      <c r="W3512" s="25"/>
      <c r="X3512" s="25"/>
      <c r="Y3512" s="25"/>
      <c r="Z3512" s="25"/>
    </row>
    <row r="3513" spans="1:26" ht="15.75" customHeight="1" x14ac:dyDescent="0.25">
      <c r="A3513" s="25">
        <v>3511</v>
      </c>
      <c r="B3513" s="37" t="e">
        <f t="shared" ref="B3513:D3513" si="7071">VLOOKUP($A3513,[11]Planeación!$A$1:$O$253,B$1,0)</f>
        <v>#N/A</v>
      </c>
      <c r="C3513" s="38" t="e">
        <f t="shared" si="7071"/>
        <v>#N/A</v>
      </c>
      <c r="D3513" s="39" t="e">
        <f t="shared" si="7071"/>
        <v>#N/A</v>
      </c>
      <c r="E3513" s="16" t="e">
        <f t="shared" si="1"/>
        <v>#N/A</v>
      </c>
      <c r="F3513" s="16" t="e">
        <f t="shared" ref="F3513:K3513" si="7072">VLOOKUP($A3513,[11]Planeación!$A$1:$O$253,F$1,0)</f>
        <v>#N/A</v>
      </c>
      <c r="G3513" s="39" t="e">
        <f t="shared" si="7072"/>
        <v>#N/A</v>
      </c>
      <c r="H3513" s="16" t="e">
        <f t="shared" si="7072"/>
        <v>#N/A</v>
      </c>
      <c r="I3513" s="16" t="e">
        <f t="shared" si="7072"/>
        <v>#N/A</v>
      </c>
      <c r="J3513" s="40" t="e">
        <f t="shared" si="7072"/>
        <v>#N/A</v>
      </c>
      <c r="K3513" s="16" t="e">
        <f t="shared" si="7072"/>
        <v>#N/A</v>
      </c>
      <c r="L3513" s="40" t="e">
        <f t="shared" si="6649"/>
        <v>#N/A</v>
      </c>
      <c r="M3513" s="16" t="e">
        <f t="shared" si="6650"/>
        <v>#N/A</v>
      </c>
      <c r="N3513" s="16" t="e">
        <f t="shared" si="6651"/>
        <v>#N/A</v>
      </c>
      <c r="O3513" s="16" t="s">
        <v>75</v>
      </c>
      <c r="P3513" s="16" t="str">
        <f t="shared" si="6"/>
        <v/>
      </c>
      <c r="Q3513" s="41" t="e">
        <f t="shared" si="6652"/>
        <v>#N/A</v>
      </c>
      <c r="R3513" s="44"/>
      <c r="S3513" s="44"/>
      <c r="T3513" s="43"/>
      <c r="U3513" s="43" t="str">
        <f t="shared" si="8"/>
        <v>No</v>
      </c>
      <c r="V3513" s="25"/>
      <c r="W3513" s="25"/>
      <c r="X3513" s="25"/>
      <c r="Y3513" s="25"/>
      <c r="Z3513" s="25"/>
    </row>
    <row r="3514" spans="1:26" ht="15.75" customHeight="1" x14ac:dyDescent="0.25">
      <c r="A3514" s="25">
        <v>3512</v>
      </c>
      <c r="B3514" s="37" t="e">
        <f t="shared" ref="B3514:D3514" si="7073">VLOOKUP($A3514,[11]Planeación!$A$1:$O$253,B$1,0)</f>
        <v>#N/A</v>
      </c>
      <c r="C3514" s="38" t="e">
        <f t="shared" si="7073"/>
        <v>#N/A</v>
      </c>
      <c r="D3514" s="39" t="e">
        <f t="shared" si="7073"/>
        <v>#N/A</v>
      </c>
      <c r="E3514" s="16" t="e">
        <f t="shared" si="1"/>
        <v>#N/A</v>
      </c>
      <c r="F3514" s="16" t="e">
        <f t="shared" ref="F3514:K3514" si="7074">VLOOKUP($A3514,[11]Planeación!$A$1:$O$253,F$1,0)</f>
        <v>#N/A</v>
      </c>
      <c r="G3514" s="39" t="e">
        <f t="shared" si="7074"/>
        <v>#N/A</v>
      </c>
      <c r="H3514" s="16" t="e">
        <f t="shared" si="7074"/>
        <v>#N/A</v>
      </c>
      <c r="I3514" s="16" t="e">
        <f t="shared" si="7074"/>
        <v>#N/A</v>
      </c>
      <c r="J3514" s="40" t="e">
        <f t="shared" si="7074"/>
        <v>#N/A</v>
      </c>
      <c r="K3514" s="16" t="e">
        <f t="shared" si="7074"/>
        <v>#N/A</v>
      </c>
      <c r="L3514" s="40" t="e">
        <f t="shared" si="6649"/>
        <v>#N/A</v>
      </c>
      <c r="M3514" s="16" t="e">
        <f t="shared" si="6650"/>
        <v>#N/A</v>
      </c>
      <c r="N3514" s="16" t="e">
        <f t="shared" si="6651"/>
        <v>#N/A</v>
      </c>
      <c r="O3514" s="16" t="s">
        <v>75</v>
      </c>
      <c r="P3514" s="16" t="str">
        <f t="shared" si="6"/>
        <v/>
      </c>
      <c r="Q3514" s="41" t="e">
        <f t="shared" si="6652"/>
        <v>#N/A</v>
      </c>
      <c r="R3514" s="44"/>
      <c r="S3514" s="44"/>
      <c r="T3514" s="43"/>
      <c r="U3514" s="43" t="str">
        <f t="shared" si="8"/>
        <v>No</v>
      </c>
      <c r="V3514" s="25"/>
      <c r="W3514" s="25"/>
      <c r="X3514" s="25"/>
      <c r="Y3514" s="25"/>
      <c r="Z3514" s="25"/>
    </row>
    <row r="3515" spans="1:26" ht="15.75" customHeight="1" x14ac:dyDescent="0.25">
      <c r="A3515" s="25">
        <v>3513</v>
      </c>
      <c r="B3515" s="37" t="e">
        <f t="shared" ref="B3515:D3515" si="7075">VLOOKUP($A3515,[11]Planeación!$A$1:$O$253,B$1,0)</f>
        <v>#N/A</v>
      </c>
      <c r="C3515" s="38" t="e">
        <f t="shared" si="7075"/>
        <v>#N/A</v>
      </c>
      <c r="D3515" s="39" t="e">
        <f t="shared" si="7075"/>
        <v>#N/A</v>
      </c>
      <c r="E3515" s="16" t="e">
        <f t="shared" si="1"/>
        <v>#N/A</v>
      </c>
      <c r="F3515" s="16" t="e">
        <f t="shared" ref="F3515:K3515" si="7076">VLOOKUP($A3515,[11]Planeación!$A$1:$O$253,F$1,0)</f>
        <v>#N/A</v>
      </c>
      <c r="G3515" s="39" t="e">
        <f t="shared" si="7076"/>
        <v>#N/A</v>
      </c>
      <c r="H3515" s="16" t="e">
        <f t="shared" si="7076"/>
        <v>#N/A</v>
      </c>
      <c r="I3515" s="16" t="e">
        <f t="shared" si="7076"/>
        <v>#N/A</v>
      </c>
      <c r="J3515" s="40" t="e">
        <f t="shared" si="7076"/>
        <v>#N/A</v>
      </c>
      <c r="K3515" s="16" t="e">
        <f t="shared" si="7076"/>
        <v>#N/A</v>
      </c>
      <c r="L3515" s="40" t="e">
        <f t="shared" si="6649"/>
        <v>#N/A</v>
      </c>
      <c r="M3515" s="16" t="e">
        <f t="shared" si="6650"/>
        <v>#N/A</v>
      </c>
      <c r="N3515" s="16" t="e">
        <f t="shared" si="6651"/>
        <v>#N/A</v>
      </c>
      <c r="O3515" s="16" t="s">
        <v>75</v>
      </c>
      <c r="P3515" s="16" t="str">
        <f t="shared" si="6"/>
        <v/>
      </c>
      <c r="Q3515" s="41" t="e">
        <f t="shared" si="6652"/>
        <v>#N/A</v>
      </c>
      <c r="R3515" s="44"/>
      <c r="S3515" s="44"/>
      <c r="T3515" s="43"/>
      <c r="U3515" s="43" t="str">
        <f t="shared" si="8"/>
        <v>No</v>
      </c>
      <c r="V3515" s="25"/>
      <c r="W3515" s="25"/>
      <c r="X3515" s="25"/>
      <c r="Y3515" s="25"/>
      <c r="Z3515" s="25"/>
    </row>
    <row r="3516" spans="1:26" ht="15.75" customHeight="1" x14ac:dyDescent="0.25">
      <c r="A3516" s="25">
        <v>3514</v>
      </c>
      <c r="B3516" s="37" t="e">
        <f t="shared" ref="B3516:D3516" si="7077">VLOOKUP($A3516,[11]Planeación!$A$1:$O$253,B$1,0)</f>
        <v>#N/A</v>
      </c>
      <c r="C3516" s="38" t="e">
        <f t="shared" si="7077"/>
        <v>#N/A</v>
      </c>
      <c r="D3516" s="39" t="e">
        <f t="shared" si="7077"/>
        <v>#N/A</v>
      </c>
      <c r="E3516" s="16" t="e">
        <f t="shared" si="1"/>
        <v>#N/A</v>
      </c>
      <c r="F3516" s="16" t="e">
        <f t="shared" ref="F3516:K3516" si="7078">VLOOKUP($A3516,[11]Planeación!$A$1:$O$253,F$1,0)</f>
        <v>#N/A</v>
      </c>
      <c r="G3516" s="39" t="e">
        <f t="shared" si="7078"/>
        <v>#N/A</v>
      </c>
      <c r="H3516" s="16" t="e">
        <f t="shared" si="7078"/>
        <v>#N/A</v>
      </c>
      <c r="I3516" s="16" t="e">
        <f t="shared" si="7078"/>
        <v>#N/A</v>
      </c>
      <c r="J3516" s="40" t="e">
        <f t="shared" si="7078"/>
        <v>#N/A</v>
      </c>
      <c r="K3516" s="16" t="e">
        <f t="shared" si="7078"/>
        <v>#N/A</v>
      </c>
      <c r="L3516" s="40" t="e">
        <f t="shared" si="6649"/>
        <v>#N/A</v>
      </c>
      <c r="M3516" s="16" t="e">
        <f t="shared" si="6650"/>
        <v>#N/A</v>
      </c>
      <c r="N3516" s="16" t="e">
        <f t="shared" si="6651"/>
        <v>#N/A</v>
      </c>
      <c r="O3516" s="16" t="s">
        <v>75</v>
      </c>
      <c r="P3516" s="16" t="str">
        <f t="shared" si="6"/>
        <v/>
      </c>
      <c r="Q3516" s="41" t="e">
        <f t="shared" si="6652"/>
        <v>#N/A</v>
      </c>
      <c r="R3516" s="44"/>
      <c r="S3516" s="44"/>
      <c r="T3516" s="43"/>
      <c r="U3516" s="43" t="str">
        <f t="shared" si="8"/>
        <v>No</v>
      </c>
      <c r="V3516" s="25"/>
      <c r="W3516" s="25"/>
      <c r="X3516" s="25"/>
      <c r="Y3516" s="25"/>
      <c r="Z3516" s="25"/>
    </row>
    <row r="3517" spans="1:26" ht="15.75" customHeight="1" x14ac:dyDescent="0.25">
      <c r="A3517" s="25">
        <v>3515</v>
      </c>
      <c r="B3517" s="37" t="e">
        <f t="shared" ref="B3517:D3517" si="7079">VLOOKUP($A3517,[11]Planeación!$A$1:$O$253,B$1,0)</f>
        <v>#N/A</v>
      </c>
      <c r="C3517" s="38" t="e">
        <f t="shared" si="7079"/>
        <v>#N/A</v>
      </c>
      <c r="D3517" s="39" t="e">
        <f t="shared" si="7079"/>
        <v>#N/A</v>
      </c>
      <c r="E3517" s="16" t="e">
        <f t="shared" si="1"/>
        <v>#N/A</v>
      </c>
      <c r="F3517" s="16" t="e">
        <f t="shared" ref="F3517:K3517" si="7080">VLOOKUP($A3517,[11]Planeación!$A$1:$O$253,F$1,0)</f>
        <v>#N/A</v>
      </c>
      <c r="G3517" s="39" t="e">
        <f t="shared" si="7080"/>
        <v>#N/A</v>
      </c>
      <c r="H3517" s="16" t="e">
        <f t="shared" si="7080"/>
        <v>#N/A</v>
      </c>
      <c r="I3517" s="16" t="e">
        <f t="shared" si="7080"/>
        <v>#N/A</v>
      </c>
      <c r="J3517" s="40" t="e">
        <f t="shared" si="7080"/>
        <v>#N/A</v>
      </c>
      <c r="K3517" s="16" t="e">
        <f t="shared" si="7080"/>
        <v>#N/A</v>
      </c>
      <c r="L3517" s="40" t="e">
        <f t="shared" si="6649"/>
        <v>#N/A</v>
      </c>
      <c r="M3517" s="16" t="e">
        <f t="shared" si="6650"/>
        <v>#N/A</v>
      </c>
      <c r="N3517" s="16" t="e">
        <f t="shared" si="6651"/>
        <v>#N/A</v>
      </c>
      <c r="O3517" s="16" t="s">
        <v>75</v>
      </c>
      <c r="P3517" s="16" t="str">
        <f t="shared" si="6"/>
        <v/>
      </c>
      <c r="Q3517" s="41" t="e">
        <f t="shared" si="6652"/>
        <v>#N/A</v>
      </c>
      <c r="R3517" s="44"/>
      <c r="S3517" s="44"/>
      <c r="T3517" s="43"/>
      <c r="U3517" s="43" t="str">
        <f t="shared" si="8"/>
        <v>No</v>
      </c>
      <c r="V3517" s="25"/>
      <c r="W3517" s="25"/>
      <c r="X3517" s="25"/>
      <c r="Y3517" s="25"/>
      <c r="Z3517" s="25"/>
    </row>
    <row r="3518" spans="1:26" ht="15.75" customHeight="1" x14ac:dyDescent="0.25">
      <c r="A3518" s="25">
        <v>3516</v>
      </c>
      <c r="B3518" s="37" t="e">
        <f t="shared" ref="B3518:D3518" si="7081">VLOOKUP($A3518,[11]Planeación!$A$1:$O$253,B$1,0)</f>
        <v>#N/A</v>
      </c>
      <c r="C3518" s="38" t="e">
        <f t="shared" si="7081"/>
        <v>#N/A</v>
      </c>
      <c r="D3518" s="39" t="e">
        <f t="shared" si="7081"/>
        <v>#N/A</v>
      </c>
      <c r="E3518" s="16" t="e">
        <f t="shared" si="1"/>
        <v>#N/A</v>
      </c>
      <c r="F3518" s="16" t="e">
        <f t="shared" ref="F3518:K3518" si="7082">VLOOKUP($A3518,[11]Planeación!$A$1:$O$253,F$1,0)</f>
        <v>#N/A</v>
      </c>
      <c r="G3518" s="39" t="e">
        <f t="shared" si="7082"/>
        <v>#N/A</v>
      </c>
      <c r="H3518" s="16" t="e">
        <f t="shared" si="7082"/>
        <v>#N/A</v>
      </c>
      <c r="I3518" s="16" t="e">
        <f t="shared" si="7082"/>
        <v>#N/A</v>
      </c>
      <c r="J3518" s="40" t="e">
        <f t="shared" si="7082"/>
        <v>#N/A</v>
      </c>
      <c r="K3518" s="16" t="e">
        <f t="shared" si="7082"/>
        <v>#N/A</v>
      </c>
      <c r="L3518" s="40" t="e">
        <f t="shared" si="6649"/>
        <v>#N/A</v>
      </c>
      <c r="M3518" s="16" t="e">
        <f t="shared" si="6650"/>
        <v>#N/A</v>
      </c>
      <c r="N3518" s="16" t="e">
        <f t="shared" si="6651"/>
        <v>#N/A</v>
      </c>
      <c r="O3518" s="16" t="s">
        <v>75</v>
      </c>
      <c r="P3518" s="16" t="str">
        <f t="shared" si="6"/>
        <v/>
      </c>
      <c r="Q3518" s="41" t="e">
        <f t="shared" si="6652"/>
        <v>#N/A</v>
      </c>
      <c r="R3518" s="44"/>
      <c r="S3518" s="44"/>
      <c r="T3518" s="43"/>
      <c r="U3518" s="43" t="str">
        <f t="shared" si="8"/>
        <v>No</v>
      </c>
      <c r="V3518" s="25"/>
      <c r="W3518" s="25"/>
      <c r="X3518" s="25"/>
      <c r="Y3518" s="25"/>
      <c r="Z3518" s="25"/>
    </row>
    <row r="3519" spans="1:26" ht="15.75" customHeight="1" x14ac:dyDescent="0.25">
      <c r="A3519" s="25">
        <v>3517</v>
      </c>
      <c r="B3519" s="37" t="e">
        <f t="shared" ref="B3519:D3519" si="7083">VLOOKUP($A3519,[11]Planeación!$A$1:$O$253,B$1,0)</f>
        <v>#N/A</v>
      </c>
      <c r="C3519" s="38" t="e">
        <f t="shared" si="7083"/>
        <v>#N/A</v>
      </c>
      <c r="D3519" s="39" t="e">
        <f t="shared" si="7083"/>
        <v>#N/A</v>
      </c>
      <c r="E3519" s="16" t="e">
        <f t="shared" si="1"/>
        <v>#N/A</v>
      </c>
      <c r="F3519" s="16" t="e">
        <f t="shared" ref="F3519:K3519" si="7084">VLOOKUP($A3519,[11]Planeación!$A$1:$O$253,F$1,0)</f>
        <v>#N/A</v>
      </c>
      <c r="G3519" s="39" t="e">
        <f t="shared" si="7084"/>
        <v>#N/A</v>
      </c>
      <c r="H3519" s="16" t="e">
        <f t="shared" si="7084"/>
        <v>#N/A</v>
      </c>
      <c r="I3519" s="16" t="e">
        <f t="shared" si="7084"/>
        <v>#N/A</v>
      </c>
      <c r="J3519" s="40" t="e">
        <f t="shared" si="7084"/>
        <v>#N/A</v>
      </c>
      <c r="K3519" s="16" t="e">
        <f t="shared" si="7084"/>
        <v>#N/A</v>
      </c>
      <c r="L3519" s="40" t="e">
        <f t="shared" si="6649"/>
        <v>#N/A</v>
      </c>
      <c r="M3519" s="16" t="e">
        <f t="shared" si="6650"/>
        <v>#N/A</v>
      </c>
      <c r="N3519" s="16" t="e">
        <f t="shared" si="6651"/>
        <v>#N/A</v>
      </c>
      <c r="O3519" s="16" t="s">
        <v>75</v>
      </c>
      <c r="P3519" s="16" t="str">
        <f t="shared" si="6"/>
        <v/>
      </c>
      <c r="Q3519" s="41" t="e">
        <f t="shared" si="6652"/>
        <v>#N/A</v>
      </c>
      <c r="R3519" s="44"/>
      <c r="S3519" s="44"/>
      <c r="T3519" s="43"/>
      <c r="U3519" s="43" t="str">
        <f t="shared" si="8"/>
        <v>No</v>
      </c>
      <c r="V3519" s="25"/>
      <c r="W3519" s="25"/>
      <c r="X3519" s="25"/>
      <c r="Y3519" s="25"/>
      <c r="Z3519" s="25"/>
    </row>
    <row r="3520" spans="1:26" ht="15.75" customHeight="1" x14ac:dyDescent="0.25">
      <c r="A3520" s="25">
        <v>3518</v>
      </c>
      <c r="B3520" s="37" t="e">
        <f t="shared" ref="B3520:D3520" si="7085">VLOOKUP($A3520,[11]Planeación!$A$1:$O$253,B$1,0)</f>
        <v>#N/A</v>
      </c>
      <c r="C3520" s="38" t="e">
        <f t="shared" si="7085"/>
        <v>#N/A</v>
      </c>
      <c r="D3520" s="39" t="e">
        <f t="shared" si="7085"/>
        <v>#N/A</v>
      </c>
      <c r="E3520" s="16" t="e">
        <f t="shared" si="1"/>
        <v>#N/A</v>
      </c>
      <c r="F3520" s="16" t="e">
        <f t="shared" ref="F3520:K3520" si="7086">VLOOKUP($A3520,[11]Planeación!$A$1:$O$253,F$1,0)</f>
        <v>#N/A</v>
      </c>
      <c r="G3520" s="39" t="e">
        <f t="shared" si="7086"/>
        <v>#N/A</v>
      </c>
      <c r="H3520" s="16" t="e">
        <f t="shared" si="7086"/>
        <v>#N/A</v>
      </c>
      <c r="I3520" s="16" t="e">
        <f t="shared" si="7086"/>
        <v>#N/A</v>
      </c>
      <c r="J3520" s="40" t="e">
        <f t="shared" si="7086"/>
        <v>#N/A</v>
      </c>
      <c r="K3520" s="16" t="e">
        <f t="shared" si="7086"/>
        <v>#N/A</v>
      </c>
      <c r="L3520" s="40" t="e">
        <f t="shared" si="6649"/>
        <v>#N/A</v>
      </c>
      <c r="M3520" s="16" t="e">
        <f t="shared" si="6650"/>
        <v>#N/A</v>
      </c>
      <c r="N3520" s="16" t="e">
        <f t="shared" si="6651"/>
        <v>#N/A</v>
      </c>
      <c r="O3520" s="16" t="s">
        <v>75</v>
      </c>
      <c r="P3520" s="16" t="str">
        <f t="shared" si="6"/>
        <v/>
      </c>
      <c r="Q3520" s="41" t="e">
        <f t="shared" si="6652"/>
        <v>#N/A</v>
      </c>
      <c r="R3520" s="44"/>
      <c r="S3520" s="44"/>
      <c r="T3520" s="43"/>
      <c r="U3520" s="43" t="str">
        <f t="shared" si="8"/>
        <v>No</v>
      </c>
      <c r="V3520" s="25"/>
      <c r="W3520" s="25"/>
      <c r="X3520" s="25"/>
      <c r="Y3520" s="25"/>
      <c r="Z3520" s="25"/>
    </row>
    <row r="3521" spans="1:26" ht="15.75" customHeight="1" x14ac:dyDescent="0.25">
      <c r="A3521" s="25">
        <v>3519</v>
      </c>
      <c r="B3521" s="37" t="e">
        <f t="shared" ref="B3521:D3521" si="7087">VLOOKUP($A3521,[11]Planeación!$A$1:$O$253,B$1,0)</f>
        <v>#N/A</v>
      </c>
      <c r="C3521" s="38" t="e">
        <f t="shared" si="7087"/>
        <v>#N/A</v>
      </c>
      <c r="D3521" s="39" t="e">
        <f t="shared" si="7087"/>
        <v>#N/A</v>
      </c>
      <c r="E3521" s="16" t="e">
        <f t="shared" si="1"/>
        <v>#N/A</v>
      </c>
      <c r="F3521" s="16" t="e">
        <f t="shared" ref="F3521:K3521" si="7088">VLOOKUP($A3521,[11]Planeación!$A$1:$O$253,F$1,0)</f>
        <v>#N/A</v>
      </c>
      <c r="G3521" s="39" t="e">
        <f t="shared" si="7088"/>
        <v>#N/A</v>
      </c>
      <c r="H3521" s="16" t="e">
        <f t="shared" si="7088"/>
        <v>#N/A</v>
      </c>
      <c r="I3521" s="16" t="e">
        <f t="shared" si="7088"/>
        <v>#N/A</v>
      </c>
      <c r="J3521" s="40" t="e">
        <f t="shared" si="7088"/>
        <v>#N/A</v>
      </c>
      <c r="K3521" s="16" t="e">
        <f t="shared" si="7088"/>
        <v>#N/A</v>
      </c>
      <c r="L3521" s="40" t="e">
        <f t="shared" si="6649"/>
        <v>#N/A</v>
      </c>
      <c r="M3521" s="16" t="e">
        <f t="shared" si="6650"/>
        <v>#N/A</v>
      </c>
      <c r="N3521" s="16" t="e">
        <f t="shared" si="6651"/>
        <v>#N/A</v>
      </c>
      <c r="O3521" s="16" t="s">
        <v>75</v>
      </c>
      <c r="P3521" s="16" t="str">
        <f t="shared" si="6"/>
        <v/>
      </c>
      <c r="Q3521" s="41" t="e">
        <f t="shared" si="6652"/>
        <v>#N/A</v>
      </c>
      <c r="R3521" s="44"/>
      <c r="S3521" s="44"/>
      <c r="T3521" s="43"/>
      <c r="U3521" s="43" t="str">
        <f t="shared" si="8"/>
        <v>No</v>
      </c>
      <c r="V3521" s="25"/>
      <c r="W3521" s="25"/>
      <c r="X3521" s="25"/>
      <c r="Y3521" s="25"/>
      <c r="Z3521" s="25"/>
    </row>
    <row r="3522" spans="1:26" ht="15.75" customHeight="1" x14ac:dyDescent="0.25">
      <c r="A3522" s="25">
        <v>3520</v>
      </c>
      <c r="B3522" s="37" t="e">
        <f t="shared" ref="B3522:D3522" si="7089">VLOOKUP($A3522,[11]Planeación!$A$1:$O$253,B$1,0)</f>
        <v>#N/A</v>
      </c>
      <c r="C3522" s="38" t="e">
        <f t="shared" si="7089"/>
        <v>#N/A</v>
      </c>
      <c r="D3522" s="39" t="e">
        <f t="shared" si="7089"/>
        <v>#N/A</v>
      </c>
      <c r="E3522" s="16" t="e">
        <f t="shared" si="1"/>
        <v>#N/A</v>
      </c>
      <c r="F3522" s="16" t="e">
        <f t="shared" ref="F3522:K3522" si="7090">VLOOKUP($A3522,[11]Planeación!$A$1:$O$253,F$1,0)</f>
        <v>#N/A</v>
      </c>
      <c r="G3522" s="39" t="e">
        <f t="shared" si="7090"/>
        <v>#N/A</v>
      </c>
      <c r="H3522" s="16" t="e">
        <f t="shared" si="7090"/>
        <v>#N/A</v>
      </c>
      <c r="I3522" s="16" t="e">
        <f t="shared" si="7090"/>
        <v>#N/A</v>
      </c>
      <c r="J3522" s="40" t="e">
        <f t="shared" si="7090"/>
        <v>#N/A</v>
      </c>
      <c r="K3522" s="16" t="e">
        <f t="shared" si="7090"/>
        <v>#N/A</v>
      </c>
      <c r="L3522" s="40" t="e">
        <f t="shared" si="6649"/>
        <v>#N/A</v>
      </c>
      <c r="M3522" s="16" t="e">
        <f t="shared" si="6650"/>
        <v>#N/A</v>
      </c>
      <c r="N3522" s="16" t="e">
        <f t="shared" si="6651"/>
        <v>#N/A</v>
      </c>
      <c r="O3522" s="16" t="s">
        <v>75</v>
      </c>
      <c r="P3522" s="16" t="str">
        <f t="shared" si="6"/>
        <v/>
      </c>
      <c r="Q3522" s="41" t="e">
        <f t="shared" si="6652"/>
        <v>#N/A</v>
      </c>
      <c r="R3522" s="44"/>
      <c r="S3522" s="44"/>
      <c r="T3522" s="43"/>
      <c r="U3522" s="43" t="str">
        <f t="shared" si="8"/>
        <v>No</v>
      </c>
      <c r="V3522" s="25"/>
      <c r="W3522" s="25"/>
      <c r="X3522" s="25"/>
      <c r="Y3522" s="25"/>
      <c r="Z3522" s="25"/>
    </row>
    <row r="3523" spans="1:26" ht="15.75" customHeight="1" x14ac:dyDescent="0.25">
      <c r="A3523" s="25">
        <v>3521</v>
      </c>
      <c r="B3523" s="37" t="e">
        <f t="shared" ref="B3523:D3523" si="7091">VLOOKUP($A3523,[11]Planeación!$A$1:$O$253,B$1,0)</f>
        <v>#N/A</v>
      </c>
      <c r="C3523" s="38" t="e">
        <f t="shared" si="7091"/>
        <v>#N/A</v>
      </c>
      <c r="D3523" s="39" t="e">
        <f t="shared" si="7091"/>
        <v>#N/A</v>
      </c>
      <c r="E3523" s="16" t="e">
        <f t="shared" si="1"/>
        <v>#N/A</v>
      </c>
      <c r="F3523" s="16" t="e">
        <f t="shared" ref="F3523:K3523" si="7092">VLOOKUP($A3523,[11]Planeación!$A$1:$O$253,F$1,0)</f>
        <v>#N/A</v>
      </c>
      <c r="G3523" s="39" t="e">
        <f t="shared" si="7092"/>
        <v>#N/A</v>
      </c>
      <c r="H3523" s="16" t="e">
        <f t="shared" si="7092"/>
        <v>#N/A</v>
      </c>
      <c r="I3523" s="16" t="e">
        <f t="shared" si="7092"/>
        <v>#N/A</v>
      </c>
      <c r="J3523" s="40" t="e">
        <f t="shared" si="7092"/>
        <v>#N/A</v>
      </c>
      <c r="K3523" s="16" t="e">
        <f t="shared" si="7092"/>
        <v>#N/A</v>
      </c>
      <c r="L3523" s="40" t="e">
        <f t="shared" si="6649"/>
        <v>#N/A</v>
      </c>
      <c r="M3523" s="16" t="e">
        <f t="shared" si="6650"/>
        <v>#N/A</v>
      </c>
      <c r="N3523" s="16" t="e">
        <f t="shared" si="6651"/>
        <v>#N/A</v>
      </c>
      <c r="O3523" s="16" t="s">
        <v>75</v>
      </c>
      <c r="P3523" s="16" t="str">
        <f t="shared" si="6"/>
        <v/>
      </c>
      <c r="Q3523" s="41" t="e">
        <f t="shared" si="6652"/>
        <v>#N/A</v>
      </c>
      <c r="R3523" s="44"/>
      <c r="S3523" s="44"/>
      <c r="T3523" s="43"/>
      <c r="U3523" s="43" t="str">
        <f t="shared" si="8"/>
        <v>No</v>
      </c>
      <c r="V3523" s="25"/>
      <c r="W3523" s="25"/>
      <c r="X3523" s="25"/>
      <c r="Y3523" s="25"/>
      <c r="Z3523" s="25"/>
    </row>
    <row r="3524" spans="1:26" ht="15.75" customHeight="1" x14ac:dyDescent="0.25">
      <c r="A3524" s="25">
        <v>3522</v>
      </c>
      <c r="B3524" s="37" t="e">
        <f t="shared" ref="B3524:D3524" si="7093">VLOOKUP($A3524,[11]Planeación!$A$1:$O$253,B$1,0)</f>
        <v>#N/A</v>
      </c>
      <c r="C3524" s="38" t="e">
        <f t="shared" si="7093"/>
        <v>#N/A</v>
      </c>
      <c r="D3524" s="39" t="e">
        <f t="shared" si="7093"/>
        <v>#N/A</v>
      </c>
      <c r="E3524" s="16" t="e">
        <f t="shared" si="1"/>
        <v>#N/A</v>
      </c>
      <c r="F3524" s="16" t="e">
        <f t="shared" ref="F3524:K3524" si="7094">VLOOKUP($A3524,[11]Planeación!$A$1:$O$253,F$1,0)</f>
        <v>#N/A</v>
      </c>
      <c r="G3524" s="39" t="e">
        <f t="shared" si="7094"/>
        <v>#N/A</v>
      </c>
      <c r="H3524" s="16" t="e">
        <f t="shared" si="7094"/>
        <v>#N/A</v>
      </c>
      <c r="I3524" s="16" t="e">
        <f t="shared" si="7094"/>
        <v>#N/A</v>
      </c>
      <c r="J3524" s="40" t="e">
        <f t="shared" si="7094"/>
        <v>#N/A</v>
      </c>
      <c r="K3524" s="16" t="e">
        <f t="shared" si="7094"/>
        <v>#N/A</v>
      </c>
      <c r="L3524" s="40" t="e">
        <f t="shared" si="6649"/>
        <v>#N/A</v>
      </c>
      <c r="M3524" s="16" t="e">
        <f t="shared" si="6650"/>
        <v>#N/A</v>
      </c>
      <c r="N3524" s="16" t="e">
        <f t="shared" si="6651"/>
        <v>#N/A</v>
      </c>
      <c r="O3524" s="16" t="s">
        <v>75</v>
      </c>
      <c r="P3524" s="16" t="str">
        <f t="shared" si="6"/>
        <v/>
      </c>
      <c r="Q3524" s="41" t="e">
        <f t="shared" si="6652"/>
        <v>#N/A</v>
      </c>
      <c r="R3524" s="44"/>
      <c r="S3524" s="44"/>
      <c r="T3524" s="43"/>
      <c r="U3524" s="43" t="str">
        <f t="shared" si="8"/>
        <v>No</v>
      </c>
      <c r="V3524" s="25"/>
      <c r="W3524" s="25"/>
      <c r="X3524" s="25"/>
      <c r="Y3524" s="25"/>
      <c r="Z3524" s="25"/>
    </row>
    <row r="3525" spans="1:26" ht="15.75" customHeight="1" x14ac:dyDescent="0.25">
      <c r="A3525" s="25">
        <v>3523</v>
      </c>
      <c r="B3525" s="37" t="e">
        <f t="shared" ref="B3525:D3525" si="7095">VLOOKUP($A3525,[11]Planeación!$A$1:$O$253,B$1,0)</f>
        <v>#N/A</v>
      </c>
      <c r="C3525" s="38" t="e">
        <f t="shared" si="7095"/>
        <v>#N/A</v>
      </c>
      <c r="D3525" s="39" t="e">
        <f t="shared" si="7095"/>
        <v>#N/A</v>
      </c>
      <c r="E3525" s="16" t="e">
        <f t="shared" si="1"/>
        <v>#N/A</v>
      </c>
      <c r="F3525" s="16" t="e">
        <f t="shared" ref="F3525:K3525" si="7096">VLOOKUP($A3525,[11]Planeación!$A$1:$O$253,F$1,0)</f>
        <v>#N/A</v>
      </c>
      <c r="G3525" s="39" t="e">
        <f t="shared" si="7096"/>
        <v>#N/A</v>
      </c>
      <c r="H3525" s="16" t="e">
        <f t="shared" si="7096"/>
        <v>#N/A</v>
      </c>
      <c r="I3525" s="16" t="e">
        <f t="shared" si="7096"/>
        <v>#N/A</v>
      </c>
      <c r="J3525" s="40" t="e">
        <f t="shared" si="7096"/>
        <v>#N/A</v>
      </c>
      <c r="K3525" s="16" t="e">
        <f t="shared" si="7096"/>
        <v>#N/A</v>
      </c>
      <c r="L3525" s="40" t="e">
        <f t="shared" si="6649"/>
        <v>#N/A</v>
      </c>
      <c r="M3525" s="16" t="e">
        <f t="shared" si="6650"/>
        <v>#N/A</v>
      </c>
      <c r="N3525" s="16" t="e">
        <f t="shared" si="6651"/>
        <v>#N/A</v>
      </c>
      <c r="O3525" s="16" t="s">
        <v>75</v>
      </c>
      <c r="P3525" s="16" t="str">
        <f t="shared" si="6"/>
        <v/>
      </c>
      <c r="Q3525" s="41" t="e">
        <f t="shared" si="6652"/>
        <v>#N/A</v>
      </c>
      <c r="R3525" s="44"/>
      <c r="S3525" s="44"/>
      <c r="T3525" s="43"/>
      <c r="U3525" s="43" t="str">
        <f t="shared" si="8"/>
        <v>No</v>
      </c>
      <c r="V3525" s="25"/>
      <c r="W3525" s="25"/>
      <c r="X3525" s="25"/>
      <c r="Y3525" s="25"/>
      <c r="Z3525" s="25"/>
    </row>
    <row r="3526" spans="1:26" ht="15.75" customHeight="1" x14ac:dyDescent="0.25">
      <c r="A3526" s="25">
        <v>3524</v>
      </c>
      <c r="B3526" s="37" t="e">
        <f t="shared" ref="B3526:D3526" si="7097">VLOOKUP($A3526,[11]Planeación!$A$1:$O$253,B$1,0)</f>
        <v>#N/A</v>
      </c>
      <c r="C3526" s="38" t="e">
        <f t="shared" si="7097"/>
        <v>#N/A</v>
      </c>
      <c r="D3526" s="39" t="e">
        <f t="shared" si="7097"/>
        <v>#N/A</v>
      </c>
      <c r="E3526" s="16" t="e">
        <f t="shared" si="1"/>
        <v>#N/A</v>
      </c>
      <c r="F3526" s="16" t="e">
        <f t="shared" ref="F3526:K3526" si="7098">VLOOKUP($A3526,[11]Planeación!$A$1:$O$253,F$1,0)</f>
        <v>#N/A</v>
      </c>
      <c r="G3526" s="39" t="e">
        <f t="shared" si="7098"/>
        <v>#N/A</v>
      </c>
      <c r="H3526" s="16" t="e">
        <f t="shared" si="7098"/>
        <v>#N/A</v>
      </c>
      <c r="I3526" s="16" t="e">
        <f t="shared" si="7098"/>
        <v>#N/A</v>
      </c>
      <c r="J3526" s="40" t="e">
        <f t="shared" si="7098"/>
        <v>#N/A</v>
      </c>
      <c r="K3526" s="16" t="e">
        <f t="shared" si="7098"/>
        <v>#N/A</v>
      </c>
      <c r="L3526" s="40" t="e">
        <f t="shared" si="6649"/>
        <v>#N/A</v>
      </c>
      <c r="M3526" s="16" t="e">
        <f t="shared" si="6650"/>
        <v>#N/A</v>
      </c>
      <c r="N3526" s="16" t="e">
        <f t="shared" si="6651"/>
        <v>#N/A</v>
      </c>
      <c r="O3526" s="16" t="s">
        <v>75</v>
      </c>
      <c r="P3526" s="16" t="str">
        <f t="shared" si="6"/>
        <v/>
      </c>
      <c r="Q3526" s="41" t="e">
        <f t="shared" si="6652"/>
        <v>#N/A</v>
      </c>
      <c r="R3526" s="44"/>
      <c r="S3526" s="44"/>
      <c r="T3526" s="43"/>
      <c r="U3526" s="43" t="str">
        <f t="shared" si="8"/>
        <v>No</v>
      </c>
      <c r="V3526" s="25"/>
      <c r="W3526" s="25"/>
      <c r="X3526" s="25"/>
      <c r="Y3526" s="25"/>
      <c r="Z3526" s="25"/>
    </row>
    <row r="3527" spans="1:26" ht="15.75" customHeight="1" x14ac:dyDescent="0.25">
      <c r="A3527" s="25">
        <v>3525</v>
      </c>
      <c r="B3527" s="37" t="e">
        <f t="shared" ref="B3527:D3527" si="7099">VLOOKUP($A3527,[11]Planeación!$A$1:$O$253,B$1,0)</f>
        <v>#N/A</v>
      </c>
      <c r="C3527" s="38" t="e">
        <f t="shared" si="7099"/>
        <v>#N/A</v>
      </c>
      <c r="D3527" s="39" t="e">
        <f t="shared" si="7099"/>
        <v>#N/A</v>
      </c>
      <c r="E3527" s="16" t="e">
        <f t="shared" si="1"/>
        <v>#N/A</v>
      </c>
      <c r="F3527" s="16" t="e">
        <f t="shared" ref="F3527:K3527" si="7100">VLOOKUP($A3527,[11]Planeación!$A$1:$O$253,F$1,0)</f>
        <v>#N/A</v>
      </c>
      <c r="G3527" s="39" t="e">
        <f t="shared" si="7100"/>
        <v>#N/A</v>
      </c>
      <c r="H3527" s="16" t="e">
        <f t="shared" si="7100"/>
        <v>#N/A</v>
      </c>
      <c r="I3527" s="16" t="e">
        <f t="shared" si="7100"/>
        <v>#N/A</v>
      </c>
      <c r="J3527" s="40" t="e">
        <f t="shared" si="7100"/>
        <v>#N/A</v>
      </c>
      <c r="K3527" s="16" t="e">
        <f t="shared" si="7100"/>
        <v>#N/A</v>
      </c>
      <c r="L3527" s="40" t="e">
        <f t="shared" si="6649"/>
        <v>#N/A</v>
      </c>
      <c r="M3527" s="16" t="e">
        <f t="shared" si="6650"/>
        <v>#N/A</v>
      </c>
      <c r="N3527" s="16" t="e">
        <f t="shared" si="6651"/>
        <v>#N/A</v>
      </c>
      <c r="O3527" s="16" t="s">
        <v>75</v>
      </c>
      <c r="P3527" s="16" t="str">
        <f t="shared" si="6"/>
        <v/>
      </c>
      <c r="Q3527" s="41" t="e">
        <f t="shared" si="6652"/>
        <v>#N/A</v>
      </c>
      <c r="R3527" s="44"/>
      <c r="S3527" s="44"/>
      <c r="T3527" s="43"/>
      <c r="U3527" s="43" t="str">
        <f t="shared" si="8"/>
        <v>No</v>
      </c>
      <c r="V3527" s="25"/>
      <c r="W3527" s="25"/>
      <c r="X3527" s="25"/>
      <c r="Y3527" s="25"/>
      <c r="Z3527" s="25"/>
    </row>
    <row r="3528" spans="1:26" ht="15.75" customHeight="1" x14ac:dyDescent="0.25">
      <c r="A3528" s="25">
        <v>3526</v>
      </c>
      <c r="B3528" s="37" t="e">
        <f t="shared" ref="B3528:D3528" si="7101">VLOOKUP($A3528,[11]Planeación!$A$1:$O$253,B$1,0)</f>
        <v>#N/A</v>
      </c>
      <c r="C3528" s="38" t="e">
        <f t="shared" si="7101"/>
        <v>#N/A</v>
      </c>
      <c r="D3528" s="39" t="e">
        <f t="shared" si="7101"/>
        <v>#N/A</v>
      </c>
      <c r="E3528" s="16" t="e">
        <f t="shared" si="1"/>
        <v>#N/A</v>
      </c>
      <c r="F3528" s="16" t="e">
        <f t="shared" ref="F3528:K3528" si="7102">VLOOKUP($A3528,[11]Planeación!$A$1:$O$253,F$1,0)</f>
        <v>#N/A</v>
      </c>
      <c r="G3528" s="39" t="e">
        <f t="shared" si="7102"/>
        <v>#N/A</v>
      </c>
      <c r="H3528" s="16" t="e">
        <f t="shared" si="7102"/>
        <v>#N/A</v>
      </c>
      <c r="I3528" s="16" t="e">
        <f t="shared" si="7102"/>
        <v>#N/A</v>
      </c>
      <c r="J3528" s="40" t="e">
        <f t="shared" si="7102"/>
        <v>#N/A</v>
      </c>
      <c r="K3528" s="16" t="e">
        <f t="shared" si="7102"/>
        <v>#N/A</v>
      </c>
      <c r="L3528" s="40" t="e">
        <f t="shared" si="6649"/>
        <v>#N/A</v>
      </c>
      <c r="M3528" s="16" t="e">
        <f t="shared" si="6650"/>
        <v>#N/A</v>
      </c>
      <c r="N3528" s="16" t="e">
        <f t="shared" si="6651"/>
        <v>#N/A</v>
      </c>
      <c r="O3528" s="16" t="s">
        <v>75</v>
      </c>
      <c r="P3528" s="16" t="str">
        <f t="shared" si="6"/>
        <v/>
      </c>
      <c r="Q3528" s="41" t="e">
        <f t="shared" si="6652"/>
        <v>#N/A</v>
      </c>
      <c r="R3528" s="44"/>
      <c r="S3528" s="44"/>
      <c r="T3528" s="43"/>
      <c r="U3528" s="43" t="str">
        <f t="shared" si="8"/>
        <v>No</v>
      </c>
      <c r="V3528" s="25"/>
      <c r="W3528" s="25"/>
      <c r="X3528" s="25"/>
      <c r="Y3528" s="25"/>
      <c r="Z3528" s="25"/>
    </row>
    <row r="3529" spans="1:26" ht="15.75" customHeight="1" x14ac:dyDescent="0.25">
      <c r="A3529" s="25">
        <v>3527</v>
      </c>
      <c r="B3529" s="37" t="e">
        <f t="shared" ref="B3529:D3529" si="7103">VLOOKUP($A3529,[11]Planeación!$A$1:$O$253,B$1,0)</f>
        <v>#N/A</v>
      </c>
      <c r="C3529" s="38" t="e">
        <f t="shared" si="7103"/>
        <v>#N/A</v>
      </c>
      <c r="D3529" s="39" t="e">
        <f t="shared" si="7103"/>
        <v>#N/A</v>
      </c>
      <c r="E3529" s="16" t="e">
        <f t="shared" si="1"/>
        <v>#N/A</v>
      </c>
      <c r="F3529" s="16" t="e">
        <f t="shared" ref="F3529:K3529" si="7104">VLOOKUP($A3529,[11]Planeación!$A$1:$O$253,F$1,0)</f>
        <v>#N/A</v>
      </c>
      <c r="G3529" s="39" t="e">
        <f t="shared" si="7104"/>
        <v>#N/A</v>
      </c>
      <c r="H3529" s="16" t="e">
        <f t="shared" si="7104"/>
        <v>#N/A</v>
      </c>
      <c r="I3529" s="16" t="e">
        <f t="shared" si="7104"/>
        <v>#N/A</v>
      </c>
      <c r="J3529" s="40" t="e">
        <f t="shared" si="7104"/>
        <v>#N/A</v>
      </c>
      <c r="K3529" s="16" t="e">
        <f t="shared" si="7104"/>
        <v>#N/A</v>
      </c>
      <c r="L3529" s="40" t="e">
        <f t="shared" si="6649"/>
        <v>#N/A</v>
      </c>
      <c r="M3529" s="16" t="e">
        <f t="shared" si="6650"/>
        <v>#N/A</v>
      </c>
      <c r="N3529" s="16" t="e">
        <f t="shared" si="6651"/>
        <v>#N/A</v>
      </c>
      <c r="O3529" s="16" t="s">
        <v>75</v>
      </c>
      <c r="P3529" s="16" t="str">
        <f t="shared" si="6"/>
        <v/>
      </c>
      <c r="Q3529" s="41" t="e">
        <f t="shared" si="6652"/>
        <v>#N/A</v>
      </c>
      <c r="R3529" s="44"/>
      <c r="S3529" s="44"/>
      <c r="T3529" s="43"/>
      <c r="U3529" s="43" t="str">
        <f t="shared" si="8"/>
        <v>No</v>
      </c>
      <c r="V3529" s="25"/>
      <c r="W3529" s="25"/>
      <c r="X3529" s="25"/>
      <c r="Y3529" s="25"/>
      <c r="Z3529" s="25"/>
    </row>
    <row r="3530" spans="1:26" ht="15.75" customHeight="1" x14ac:dyDescent="0.25">
      <c r="A3530" s="25">
        <v>3528</v>
      </c>
      <c r="B3530" s="37" t="e">
        <f t="shared" ref="B3530:D3530" si="7105">VLOOKUP($A3530,[11]Planeación!$A$1:$O$253,B$1,0)</f>
        <v>#N/A</v>
      </c>
      <c r="C3530" s="38" t="e">
        <f t="shared" si="7105"/>
        <v>#N/A</v>
      </c>
      <c r="D3530" s="39" t="e">
        <f t="shared" si="7105"/>
        <v>#N/A</v>
      </c>
      <c r="E3530" s="16" t="e">
        <f t="shared" si="1"/>
        <v>#N/A</v>
      </c>
      <c r="F3530" s="16" t="e">
        <f t="shared" ref="F3530:K3530" si="7106">VLOOKUP($A3530,[11]Planeación!$A$1:$O$253,F$1,0)</f>
        <v>#N/A</v>
      </c>
      <c r="G3530" s="39" t="e">
        <f t="shared" si="7106"/>
        <v>#N/A</v>
      </c>
      <c r="H3530" s="16" t="e">
        <f t="shared" si="7106"/>
        <v>#N/A</v>
      </c>
      <c r="I3530" s="16" t="e">
        <f t="shared" si="7106"/>
        <v>#N/A</v>
      </c>
      <c r="J3530" s="40" t="e">
        <f t="shared" si="7106"/>
        <v>#N/A</v>
      </c>
      <c r="K3530" s="16" t="e">
        <f t="shared" si="7106"/>
        <v>#N/A</v>
      </c>
      <c r="L3530" s="40" t="e">
        <f t="shared" si="6649"/>
        <v>#N/A</v>
      </c>
      <c r="M3530" s="16" t="e">
        <f t="shared" si="6650"/>
        <v>#N/A</v>
      </c>
      <c r="N3530" s="16" t="e">
        <f t="shared" si="6651"/>
        <v>#N/A</v>
      </c>
      <c r="O3530" s="16" t="s">
        <v>75</v>
      </c>
      <c r="P3530" s="16" t="str">
        <f t="shared" si="6"/>
        <v/>
      </c>
      <c r="Q3530" s="41" t="e">
        <f t="shared" si="6652"/>
        <v>#N/A</v>
      </c>
      <c r="R3530" s="44"/>
      <c r="S3530" s="44"/>
      <c r="T3530" s="43"/>
      <c r="U3530" s="43" t="str">
        <f t="shared" si="8"/>
        <v>No</v>
      </c>
      <c r="V3530" s="25"/>
      <c r="W3530" s="25"/>
      <c r="X3530" s="25"/>
      <c r="Y3530" s="25"/>
      <c r="Z3530" s="25"/>
    </row>
    <row r="3531" spans="1:26" ht="15.75" customHeight="1" x14ac:dyDescent="0.25">
      <c r="A3531" s="25">
        <v>3529</v>
      </c>
      <c r="B3531" s="37" t="e">
        <f t="shared" ref="B3531:D3531" si="7107">VLOOKUP($A3531,[11]Planeación!$A$1:$O$253,B$1,0)</f>
        <v>#N/A</v>
      </c>
      <c r="C3531" s="38" t="e">
        <f t="shared" si="7107"/>
        <v>#N/A</v>
      </c>
      <c r="D3531" s="39" t="e">
        <f t="shared" si="7107"/>
        <v>#N/A</v>
      </c>
      <c r="E3531" s="16" t="e">
        <f t="shared" si="1"/>
        <v>#N/A</v>
      </c>
      <c r="F3531" s="16" t="e">
        <f t="shared" ref="F3531:K3531" si="7108">VLOOKUP($A3531,[11]Planeación!$A$1:$O$253,F$1,0)</f>
        <v>#N/A</v>
      </c>
      <c r="G3531" s="39" t="e">
        <f t="shared" si="7108"/>
        <v>#N/A</v>
      </c>
      <c r="H3531" s="16" t="e">
        <f t="shared" si="7108"/>
        <v>#N/A</v>
      </c>
      <c r="I3531" s="16" t="e">
        <f t="shared" si="7108"/>
        <v>#N/A</v>
      </c>
      <c r="J3531" s="40" t="e">
        <f t="shared" si="7108"/>
        <v>#N/A</v>
      </c>
      <c r="K3531" s="16" t="e">
        <f t="shared" si="7108"/>
        <v>#N/A</v>
      </c>
      <c r="L3531" s="40" t="e">
        <f t="shared" si="6649"/>
        <v>#N/A</v>
      </c>
      <c r="M3531" s="16" t="e">
        <f t="shared" si="6650"/>
        <v>#N/A</v>
      </c>
      <c r="N3531" s="16" t="e">
        <f t="shared" si="6651"/>
        <v>#N/A</v>
      </c>
      <c r="O3531" s="16" t="s">
        <v>75</v>
      </c>
      <c r="P3531" s="16" t="str">
        <f t="shared" si="6"/>
        <v/>
      </c>
      <c r="Q3531" s="41" t="e">
        <f t="shared" si="6652"/>
        <v>#N/A</v>
      </c>
      <c r="R3531" s="44"/>
      <c r="S3531" s="44"/>
      <c r="T3531" s="43"/>
      <c r="U3531" s="43" t="str">
        <f t="shared" si="8"/>
        <v>No</v>
      </c>
      <c r="V3531" s="25"/>
      <c r="W3531" s="25"/>
      <c r="X3531" s="25"/>
      <c r="Y3531" s="25"/>
      <c r="Z3531" s="25"/>
    </row>
    <row r="3532" spans="1:26" ht="15.75" customHeight="1" x14ac:dyDescent="0.25">
      <c r="A3532" s="25">
        <v>3530</v>
      </c>
      <c r="B3532" s="37" t="e">
        <f t="shared" ref="B3532:D3532" si="7109">VLOOKUP($A3532,[11]Planeación!$A$1:$O$253,B$1,0)</f>
        <v>#N/A</v>
      </c>
      <c r="C3532" s="38" t="e">
        <f t="shared" si="7109"/>
        <v>#N/A</v>
      </c>
      <c r="D3532" s="39" t="e">
        <f t="shared" si="7109"/>
        <v>#N/A</v>
      </c>
      <c r="E3532" s="16" t="e">
        <f t="shared" si="1"/>
        <v>#N/A</v>
      </c>
      <c r="F3532" s="16" t="e">
        <f t="shared" ref="F3532:K3532" si="7110">VLOOKUP($A3532,[11]Planeación!$A$1:$O$253,F$1,0)</f>
        <v>#N/A</v>
      </c>
      <c r="G3532" s="39" t="e">
        <f t="shared" si="7110"/>
        <v>#N/A</v>
      </c>
      <c r="H3532" s="16" t="e">
        <f t="shared" si="7110"/>
        <v>#N/A</v>
      </c>
      <c r="I3532" s="16" t="e">
        <f t="shared" si="7110"/>
        <v>#N/A</v>
      </c>
      <c r="J3532" s="40" t="e">
        <f t="shared" si="7110"/>
        <v>#N/A</v>
      </c>
      <c r="K3532" s="16" t="e">
        <f t="shared" si="7110"/>
        <v>#N/A</v>
      </c>
      <c r="L3532" s="40" t="e">
        <f t="shared" si="6649"/>
        <v>#N/A</v>
      </c>
      <c r="M3532" s="16" t="e">
        <f t="shared" si="6650"/>
        <v>#N/A</v>
      </c>
      <c r="N3532" s="16" t="e">
        <f t="shared" si="6651"/>
        <v>#N/A</v>
      </c>
      <c r="O3532" s="16" t="s">
        <v>75</v>
      </c>
      <c r="P3532" s="16" t="str">
        <f t="shared" si="6"/>
        <v/>
      </c>
      <c r="Q3532" s="41" t="e">
        <f t="shared" si="6652"/>
        <v>#N/A</v>
      </c>
      <c r="R3532" s="44"/>
      <c r="S3532" s="44"/>
      <c r="T3532" s="43"/>
      <c r="U3532" s="43" t="str">
        <f t="shared" si="8"/>
        <v>No</v>
      </c>
      <c r="V3532" s="25"/>
      <c r="W3532" s="25"/>
      <c r="X3532" s="25"/>
      <c r="Y3532" s="25"/>
      <c r="Z3532" s="25"/>
    </row>
    <row r="3533" spans="1:26" ht="15.75" customHeight="1" x14ac:dyDescent="0.25">
      <c r="A3533" s="25">
        <v>3531</v>
      </c>
      <c r="B3533" s="37" t="e">
        <f t="shared" ref="B3533:D3533" si="7111">VLOOKUP($A3533,[11]Planeación!$A$1:$O$253,B$1,0)</f>
        <v>#N/A</v>
      </c>
      <c r="C3533" s="38" t="e">
        <f t="shared" si="7111"/>
        <v>#N/A</v>
      </c>
      <c r="D3533" s="39" t="e">
        <f t="shared" si="7111"/>
        <v>#N/A</v>
      </c>
      <c r="E3533" s="16" t="e">
        <f t="shared" si="1"/>
        <v>#N/A</v>
      </c>
      <c r="F3533" s="16" t="e">
        <f t="shared" ref="F3533:K3533" si="7112">VLOOKUP($A3533,[11]Planeación!$A$1:$O$253,F$1,0)</f>
        <v>#N/A</v>
      </c>
      <c r="G3533" s="39" t="e">
        <f t="shared" si="7112"/>
        <v>#N/A</v>
      </c>
      <c r="H3533" s="16" t="e">
        <f t="shared" si="7112"/>
        <v>#N/A</v>
      </c>
      <c r="I3533" s="16" t="e">
        <f t="shared" si="7112"/>
        <v>#N/A</v>
      </c>
      <c r="J3533" s="40" t="e">
        <f t="shared" si="7112"/>
        <v>#N/A</v>
      </c>
      <c r="K3533" s="16" t="e">
        <f t="shared" si="7112"/>
        <v>#N/A</v>
      </c>
      <c r="L3533" s="40" t="e">
        <f t="shared" si="6649"/>
        <v>#N/A</v>
      </c>
      <c r="M3533" s="16" t="e">
        <f t="shared" si="6650"/>
        <v>#N/A</v>
      </c>
      <c r="N3533" s="16" t="e">
        <f t="shared" si="6651"/>
        <v>#N/A</v>
      </c>
      <c r="O3533" s="16" t="s">
        <v>75</v>
      </c>
      <c r="P3533" s="16" t="str">
        <f t="shared" si="6"/>
        <v/>
      </c>
      <c r="Q3533" s="41" t="e">
        <f t="shared" si="6652"/>
        <v>#N/A</v>
      </c>
      <c r="R3533" s="44"/>
      <c r="S3533" s="44"/>
      <c r="T3533" s="43"/>
      <c r="U3533" s="43" t="str">
        <f t="shared" si="8"/>
        <v>No</v>
      </c>
      <c r="V3533" s="25"/>
      <c r="W3533" s="25"/>
      <c r="X3533" s="25"/>
      <c r="Y3533" s="25"/>
      <c r="Z3533" s="25"/>
    </row>
    <row r="3534" spans="1:26" ht="15.75" customHeight="1" x14ac:dyDescent="0.25">
      <c r="A3534" s="25">
        <v>3532</v>
      </c>
      <c r="B3534" s="37" t="e">
        <f t="shared" ref="B3534:D3534" si="7113">VLOOKUP($A3534,[11]Planeación!$A$1:$O$253,B$1,0)</f>
        <v>#N/A</v>
      </c>
      <c r="C3534" s="38" t="e">
        <f t="shared" si="7113"/>
        <v>#N/A</v>
      </c>
      <c r="D3534" s="39" t="e">
        <f t="shared" si="7113"/>
        <v>#N/A</v>
      </c>
      <c r="E3534" s="16" t="e">
        <f t="shared" si="1"/>
        <v>#N/A</v>
      </c>
      <c r="F3534" s="16" t="e">
        <f t="shared" ref="F3534:K3534" si="7114">VLOOKUP($A3534,[11]Planeación!$A$1:$O$253,F$1,0)</f>
        <v>#N/A</v>
      </c>
      <c r="G3534" s="39" t="e">
        <f t="shared" si="7114"/>
        <v>#N/A</v>
      </c>
      <c r="H3534" s="16" t="e">
        <f t="shared" si="7114"/>
        <v>#N/A</v>
      </c>
      <c r="I3534" s="16" t="e">
        <f t="shared" si="7114"/>
        <v>#N/A</v>
      </c>
      <c r="J3534" s="40" t="e">
        <f t="shared" si="7114"/>
        <v>#N/A</v>
      </c>
      <c r="K3534" s="16" t="e">
        <f t="shared" si="7114"/>
        <v>#N/A</v>
      </c>
      <c r="L3534" s="40" t="e">
        <f t="shared" si="6649"/>
        <v>#N/A</v>
      </c>
      <c r="M3534" s="16" t="e">
        <f t="shared" si="6650"/>
        <v>#N/A</v>
      </c>
      <c r="N3534" s="16" t="e">
        <f t="shared" si="6651"/>
        <v>#N/A</v>
      </c>
      <c r="O3534" s="16" t="s">
        <v>75</v>
      </c>
      <c r="P3534" s="16" t="str">
        <f t="shared" si="6"/>
        <v/>
      </c>
      <c r="Q3534" s="41" t="e">
        <f t="shared" si="6652"/>
        <v>#N/A</v>
      </c>
      <c r="R3534" s="44"/>
      <c r="S3534" s="44"/>
      <c r="T3534" s="43"/>
      <c r="U3534" s="43" t="str">
        <f t="shared" si="8"/>
        <v>No</v>
      </c>
      <c r="V3534" s="25"/>
      <c r="W3534" s="25"/>
      <c r="X3534" s="25"/>
      <c r="Y3534" s="25"/>
      <c r="Z3534" s="25"/>
    </row>
    <row r="3535" spans="1:26" ht="15.75" customHeight="1" x14ac:dyDescent="0.25">
      <c r="A3535" s="25">
        <v>3533</v>
      </c>
      <c r="B3535" s="37" t="e">
        <f t="shared" ref="B3535:D3535" si="7115">VLOOKUP($A3535,[11]Planeación!$A$1:$O$253,B$1,0)</f>
        <v>#N/A</v>
      </c>
      <c r="C3535" s="38" t="e">
        <f t="shared" si="7115"/>
        <v>#N/A</v>
      </c>
      <c r="D3535" s="39" t="e">
        <f t="shared" si="7115"/>
        <v>#N/A</v>
      </c>
      <c r="E3535" s="16" t="e">
        <f t="shared" si="1"/>
        <v>#N/A</v>
      </c>
      <c r="F3535" s="16" t="e">
        <f t="shared" ref="F3535:K3535" si="7116">VLOOKUP($A3535,[11]Planeación!$A$1:$O$253,F$1,0)</f>
        <v>#N/A</v>
      </c>
      <c r="G3535" s="39" t="e">
        <f t="shared" si="7116"/>
        <v>#N/A</v>
      </c>
      <c r="H3535" s="16" t="e">
        <f t="shared" si="7116"/>
        <v>#N/A</v>
      </c>
      <c r="I3535" s="16" t="e">
        <f t="shared" si="7116"/>
        <v>#N/A</v>
      </c>
      <c r="J3535" s="40" t="e">
        <f t="shared" si="7116"/>
        <v>#N/A</v>
      </c>
      <c r="K3535" s="16" t="e">
        <f t="shared" si="7116"/>
        <v>#N/A</v>
      </c>
      <c r="L3535" s="40" t="e">
        <f t="shared" si="6649"/>
        <v>#N/A</v>
      </c>
      <c r="M3535" s="16" t="e">
        <f t="shared" si="6650"/>
        <v>#N/A</v>
      </c>
      <c r="N3535" s="16" t="e">
        <f t="shared" si="6651"/>
        <v>#N/A</v>
      </c>
      <c r="O3535" s="16" t="s">
        <v>75</v>
      </c>
      <c r="P3535" s="16" t="str">
        <f t="shared" si="6"/>
        <v/>
      </c>
      <c r="Q3535" s="41" t="e">
        <f t="shared" si="6652"/>
        <v>#N/A</v>
      </c>
      <c r="R3535" s="44"/>
      <c r="S3535" s="44"/>
      <c r="T3535" s="43"/>
      <c r="U3535" s="43" t="str">
        <f t="shared" si="8"/>
        <v>No</v>
      </c>
      <c r="V3535" s="25"/>
      <c r="W3535" s="25"/>
      <c r="X3535" s="25"/>
      <c r="Y3535" s="25"/>
      <c r="Z3535" s="25"/>
    </row>
    <row r="3536" spans="1:26" ht="15.75" customHeight="1" x14ac:dyDescent="0.25">
      <c r="A3536" s="25">
        <v>3534</v>
      </c>
      <c r="B3536" s="37" t="e">
        <f t="shared" ref="B3536:D3536" si="7117">VLOOKUP($A3536,[11]Planeación!$A$1:$O$253,B$1,0)</f>
        <v>#N/A</v>
      </c>
      <c r="C3536" s="38" t="e">
        <f t="shared" si="7117"/>
        <v>#N/A</v>
      </c>
      <c r="D3536" s="39" t="e">
        <f t="shared" si="7117"/>
        <v>#N/A</v>
      </c>
      <c r="E3536" s="16" t="e">
        <f t="shared" si="1"/>
        <v>#N/A</v>
      </c>
      <c r="F3536" s="16" t="e">
        <f t="shared" ref="F3536:K3536" si="7118">VLOOKUP($A3536,[11]Planeación!$A$1:$O$253,F$1,0)</f>
        <v>#N/A</v>
      </c>
      <c r="G3536" s="39" t="e">
        <f t="shared" si="7118"/>
        <v>#N/A</v>
      </c>
      <c r="H3536" s="16" t="e">
        <f t="shared" si="7118"/>
        <v>#N/A</v>
      </c>
      <c r="I3536" s="16" t="e">
        <f t="shared" si="7118"/>
        <v>#N/A</v>
      </c>
      <c r="J3536" s="40" t="e">
        <f t="shared" si="7118"/>
        <v>#N/A</v>
      </c>
      <c r="K3536" s="16" t="e">
        <f t="shared" si="7118"/>
        <v>#N/A</v>
      </c>
      <c r="L3536" s="40" t="e">
        <f t="shared" si="6649"/>
        <v>#N/A</v>
      </c>
      <c r="M3536" s="16" t="e">
        <f t="shared" si="6650"/>
        <v>#N/A</v>
      </c>
      <c r="N3536" s="16" t="e">
        <f t="shared" si="6651"/>
        <v>#N/A</v>
      </c>
      <c r="O3536" s="16" t="s">
        <v>75</v>
      </c>
      <c r="P3536" s="16" t="str">
        <f t="shared" si="6"/>
        <v/>
      </c>
      <c r="Q3536" s="41" t="e">
        <f t="shared" si="6652"/>
        <v>#N/A</v>
      </c>
      <c r="R3536" s="44"/>
      <c r="S3536" s="44"/>
      <c r="T3536" s="43"/>
      <c r="U3536" s="43" t="str">
        <f t="shared" si="8"/>
        <v>No</v>
      </c>
      <c r="V3536" s="25"/>
      <c r="W3536" s="25"/>
      <c r="X3536" s="25"/>
      <c r="Y3536" s="25"/>
      <c r="Z3536" s="25"/>
    </row>
    <row r="3537" spans="1:26" ht="15.75" customHeight="1" x14ac:dyDescent="0.25">
      <c r="A3537" s="25">
        <v>3535</v>
      </c>
      <c r="B3537" s="37" t="e">
        <f t="shared" ref="B3537:D3537" si="7119">VLOOKUP($A3537,[11]Planeación!$A$1:$O$253,B$1,0)</f>
        <v>#N/A</v>
      </c>
      <c r="C3537" s="38" t="e">
        <f t="shared" si="7119"/>
        <v>#N/A</v>
      </c>
      <c r="D3537" s="39" t="e">
        <f t="shared" si="7119"/>
        <v>#N/A</v>
      </c>
      <c r="E3537" s="16" t="e">
        <f t="shared" si="1"/>
        <v>#N/A</v>
      </c>
      <c r="F3537" s="16" t="e">
        <f t="shared" ref="F3537:K3537" si="7120">VLOOKUP($A3537,[11]Planeación!$A$1:$O$253,F$1,0)</f>
        <v>#N/A</v>
      </c>
      <c r="G3537" s="39" t="e">
        <f t="shared" si="7120"/>
        <v>#N/A</v>
      </c>
      <c r="H3537" s="16" t="e">
        <f t="shared" si="7120"/>
        <v>#N/A</v>
      </c>
      <c r="I3537" s="16" t="e">
        <f t="shared" si="7120"/>
        <v>#N/A</v>
      </c>
      <c r="J3537" s="40" t="e">
        <f t="shared" si="7120"/>
        <v>#N/A</v>
      </c>
      <c r="K3537" s="16" t="e">
        <f t="shared" si="7120"/>
        <v>#N/A</v>
      </c>
      <c r="L3537" s="40" t="e">
        <f t="shared" si="6649"/>
        <v>#N/A</v>
      </c>
      <c r="M3537" s="16" t="e">
        <f t="shared" si="6650"/>
        <v>#N/A</v>
      </c>
      <c r="N3537" s="16" t="e">
        <f t="shared" si="6651"/>
        <v>#N/A</v>
      </c>
      <c r="O3537" s="16" t="s">
        <v>75</v>
      </c>
      <c r="P3537" s="16" t="str">
        <f t="shared" si="6"/>
        <v/>
      </c>
      <c r="Q3537" s="41" t="e">
        <f t="shared" si="6652"/>
        <v>#N/A</v>
      </c>
      <c r="R3537" s="44"/>
      <c r="S3537" s="44"/>
      <c r="T3537" s="43"/>
      <c r="U3537" s="43" t="str">
        <f t="shared" si="8"/>
        <v>No</v>
      </c>
      <c r="V3537" s="25"/>
      <c r="W3537" s="25"/>
      <c r="X3537" s="25"/>
      <c r="Y3537" s="25"/>
      <c r="Z3537" s="25"/>
    </row>
    <row r="3538" spans="1:26" ht="15.75" customHeight="1" x14ac:dyDescent="0.25">
      <c r="A3538" s="25">
        <v>3536</v>
      </c>
      <c r="B3538" s="37" t="e">
        <f t="shared" ref="B3538:D3538" si="7121">VLOOKUP($A3538,[11]Planeación!$A$1:$O$253,B$1,0)</f>
        <v>#N/A</v>
      </c>
      <c r="C3538" s="38" t="e">
        <f t="shared" si="7121"/>
        <v>#N/A</v>
      </c>
      <c r="D3538" s="39" t="e">
        <f t="shared" si="7121"/>
        <v>#N/A</v>
      </c>
      <c r="E3538" s="16" t="e">
        <f t="shared" si="1"/>
        <v>#N/A</v>
      </c>
      <c r="F3538" s="16" t="e">
        <f t="shared" ref="F3538:K3538" si="7122">VLOOKUP($A3538,[11]Planeación!$A$1:$O$253,F$1,0)</f>
        <v>#N/A</v>
      </c>
      <c r="G3538" s="39" t="e">
        <f t="shared" si="7122"/>
        <v>#N/A</v>
      </c>
      <c r="H3538" s="16" t="e">
        <f t="shared" si="7122"/>
        <v>#N/A</v>
      </c>
      <c r="I3538" s="16" t="e">
        <f t="shared" si="7122"/>
        <v>#N/A</v>
      </c>
      <c r="J3538" s="40" t="e">
        <f t="shared" si="7122"/>
        <v>#N/A</v>
      </c>
      <c r="K3538" s="16" t="e">
        <f t="shared" si="7122"/>
        <v>#N/A</v>
      </c>
      <c r="L3538" s="40" t="e">
        <f t="shared" si="6649"/>
        <v>#N/A</v>
      </c>
      <c r="M3538" s="16" t="e">
        <f t="shared" si="6650"/>
        <v>#N/A</v>
      </c>
      <c r="N3538" s="16" t="e">
        <f t="shared" si="6651"/>
        <v>#N/A</v>
      </c>
      <c r="O3538" s="16" t="s">
        <v>75</v>
      </c>
      <c r="P3538" s="16" t="str">
        <f t="shared" si="6"/>
        <v/>
      </c>
      <c r="Q3538" s="41" t="e">
        <f t="shared" si="6652"/>
        <v>#N/A</v>
      </c>
      <c r="R3538" s="44"/>
      <c r="S3538" s="44"/>
      <c r="T3538" s="43"/>
      <c r="U3538" s="43" t="str">
        <f t="shared" si="8"/>
        <v>No</v>
      </c>
      <c r="V3538" s="25"/>
      <c r="W3538" s="25"/>
      <c r="X3538" s="25"/>
      <c r="Y3538" s="25"/>
      <c r="Z3538" s="25"/>
    </row>
    <row r="3539" spans="1:26" ht="15.75" customHeight="1" x14ac:dyDescent="0.25">
      <c r="A3539" s="25">
        <v>3537</v>
      </c>
      <c r="B3539" s="37" t="e">
        <f t="shared" ref="B3539:D3539" si="7123">VLOOKUP($A3539,[11]Planeación!$A$1:$O$253,B$1,0)</f>
        <v>#N/A</v>
      </c>
      <c r="C3539" s="38" t="e">
        <f t="shared" si="7123"/>
        <v>#N/A</v>
      </c>
      <c r="D3539" s="39" t="e">
        <f t="shared" si="7123"/>
        <v>#N/A</v>
      </c>
      <c r="E3539" s="16" t="e">
        <f t="shared" si="1"/>
        <v>#N/A</v>
      </c>
      <c r="F3539" s="16" t="e">
        <f t="shared" ref="F3539:K3539" si="7124">VLOOKUP($A3539,[11]Planeación!$A$1:$O$253,F$1,0)</f>
        <v>#N/A</v>
      </c>
      <c r="G3539" s="39" t="e">
        <f t="shared" si="7124"/>
        <v>#N/A</v>
      </c>
      <c r="H3539" s="16" t="e">
        <f t="shared" si="7124"/>
        <v>#N/A</v>
      </c>
      <c r="I3539" s="16" t="e">
        <f t="shared" si="7124"/>
        <v>#N/A</v>
      </c>
      <c r="J3539" s="40" t="e">
        <f t="shared" si="7124"/>
        <v>#N/A</v>
      </c>
      <c r="K3539" s="16" t="e">
        <f t="shared" si="7124"/>
        <v>#N/A</v>
      </c>
      <c r="L3539" s="40" t="e">
        <f t="shared" si="6649"/>
        <v>#N/A</v>
      </c>
      <c r="M3539" s="16" t="e">
        <f t="shared" si="6650"/>
        <v>#N/A</v>
      </c>
      <c r="N3539" s="16" t="e">
        <f t="shared" si="6651"/>
        <v>#N/A</v>
      </c>
      <c r="O3539" s="16" t="s">
        <v>75</v>
      </c>
      <c r="P3539" s="16" t="str">
        <f t="shared" si="6"/>
        <v/>
      </c>
      <c r="Q3539" s="41" t="e">
        <f t="shared" si="6652"/>
        <v>#N/A</v>
      </c>
      <c r="R3539" s="44"/>
      <c r="S3539" s="44"/>
      <c r="T3539" s="43"/>
      <c r="U3539" s="43" t="str">
        <f t="shared" si="8"/>
        <v>No</v>
      </c>
      <c r="V3539" s="25"/>
      <c r="W3539" s="25"/>
      <c r="X3539" s="25"/>
      <c r="Y3539" s="25"/>
      <c r="Z3539" s="25"/>
    </row>
    <row r="3540" spans="1:26" ht="15.75" customHeight="1" x14ac:dyDescent="0.25">
      <c r="A3540" s="25">
        <v>3538</v>
      </c>
      <c r="B3540" s="37" t="e">
        <f t="shared" ref="B3540:D3540" si="7125">VLOOKUP($A3540,[11]Planeación!$A$1:$O$253,B$1,0)</f>
        <v>#N/A</v>
      </c>
      <c r="C3540" s="38" t="e">
        <f t="shared" si="7125"/>
        <v>#N/A</v>
      </c>
      <c r="D3540" s="39" t="e">
        <f t="shared" si="7125"/>
        <v>#N/A</v>
      </c>
      <c r="E3540" s="16" t="e">
        <f t="shared" si="1"/>
        <v>#N/A</v>
      </c>
      <c r="F3540" s="16" t="e">
        <f t="shared" ref="F3540:K3540" si="7126">VLOOKUP($A3540,[11]Planeación!$A$1:$O$253,F$1,0)</f>
        <v>#N/A</v>
      </c>
      <c r="G3540" s="39" t="e">
        <f t="shared" si="7126"/>
        <v>#N/A</v>
      </c>
      <c r="H3540" s="16" t="e">
        <f t="shared" si="7126"/>
        <v>#N/A</v>
      </c>
      <c r="I3540" s="16" t="e">
        <f t="shared" si="7126"/>
        <v>#N/A</v>
      </c>
      <c r="J3540" s="40" t="e">
        <f t="shared" si="7126"/>
        <v>#N/A</v>
      </c>
      <c r="K3540" s="16" t="e">
        <f t="shared" si="7126"/>
        <v>#N/A</v>
      </c>
      <c r="L3540" s="40" t="e">
        <f t="shared" si="6649"/>
        <v>#N/A</v>
      </c>
      <c r="M3540" s="16" t="e">
        <f t="shared" si="6650"/>
        <v>#N/A</v>
      </c>
      <c r="N3540" s="16" t="e">
        <f t="shared" si="6651"/>
        <v>#N/A</v>
      </c>
      <c r="O3540" s="16" t="s">
        <v>75</v>
      </c>
      <c r="P3540" s="16" t="str">
        <f t="shared" si="6"/>
        <v/>
      </c>
      <c r="Q3540" s="41" t="e">
        <f t="shared" si="6652"/>
        <v>#N/A</v>
      </c>
      <c r="R3540" s="44"/>
      <c r="S3540" s="44"/>
      <c r="T3540" s="43"/>
      <c r="U3540" s="43" t="str">
        <f t="shared" si="8"/>
        <v>No</v>
      </c>
      <c r="V3540" s="25"/>
      <c r="W3540" s="25"/>
      <c r="X3540" s="25"/>
      <c r="Y3540" s="25"/>
      <c r="Z3540" s="25"/>
    </row>
    <row r="3541" spans="1:26" ht="15.75" customHeight="1" x14ac:dyDescent="0.25">
      <c r="A3541" s="25">
        <v>3539</v>
      </c>
      <c r="B3541" s="37" t="e">
        <f t="shared" ref="B3541:D3541" si="7127">VLOOKUP($A3541,[11]Planeación!$A$1:$O$253,B$1,0)</f>
        <v>#N/A</v>
      </c>
      <c r="C3541" s="38" t="e">
        <f t="shared" si="7127"/>
        <v>#N/A</v>
      </c>
      <c r="D3541" s="39" t="e">
        <f t="shared" si="7127"/>
        <v>#N/A</v>
      </c>
      <c r="E3541" s="16" t="e">
        <f t="shared" si="1"/>
        <v>#N/A</v>
      </c>
      <c r="F3541" s="16" t="e">
        <f t="shared" ref="F3541:K3541" si="7128">VLOOKUP($A3541,[11]Planeación!$A$1:$O$253,F$1,0)</f>
        <v>#N/A</v>
      </c>
      <c r="G3541" s="39" t="e">
        <f t="shared" si="7128"/>
        <v>#N/A</v>
      </c>
      <c r="H3541" s="16" t="e">
        <f t="shared" si="7128"/>
        <v>#N/A</v>
      </c>
      <c r="I3541" s="16" t="e">
        <f t="shared" si="7128"/>
        <v>#N/A</v>
      </c>
      <c r="J3541" s="40" t="e">
        <f t="shared" si="7128"/>
        <v>#N/A</v>
      </c>
      <c r="K3541" s="16" t="e">
        <f t="shared" si="7128"/>
        <v>#N/A</v>
      </c>
      <c r="L3541" s="40" t="e">
        <f t="shared" si="6649"/>
        <v>#N/A</v>
      </c>
      <c r="M3541" s="16" t="e">
        <f t="shared" si="6650"/>
        <v>#N/A</v>
      </c>
      <c r="N3541" s="16" t="e">
        <f t="shared" si="6651"/>
        <v>#N/A</v>
      </c>
      <c r="O3541" s="16" t="s">
        <v>75</v>
      </c>
      <c r="P3541" s="16" t="str">
        <f t="shared" si="6"/>
        <v/>
      </c>
      <c r="Q3541" s="41" t="e">
        <f t="shared" si="6652"/>
        <v>#N/A</v>
      </c>
      <c r="R3541" s="44"/>
      <c r="S3541" s="44"/>
      <c r="T3541" s="43"/>
      <c r="U3541" s="43" t="str">
        <f t="shared" si="8"/>
        <v>No</v>
      </c>
      <c r="V3541" s="25"/>
      <c r="W3541" s="25"/>
      <c r="X3541" s="25"/>
      <c r="Y3541" s="25"/>
      <c r="Z3541" s="25"/>
    </row>
    <row r="3542" spans="1:26" ht="15.75" customHeight="1" x14ac:dyDescent="0.25">
      <c r="A3542" s="25">
        <v>3540</v>
      </c>
      <c r="B3542" s="37" t="e">
        <f t="shared" ref="B3542:D3542" si="7129">VLOOKUP($A3542,[11]Planeación!$A$1:$O$253,B$1,0)</f>
        <v>#N/A</v>
      </c>
      <c r="C3542" s="38" t="e">
        <f t="shared" si="7129"/>
        <v>#N/A</v>
      </c>
      <c r="D3542" s="39" t="e">
        <f t="shared" si="7129"/>
        <v>#N/A</v>
      </c>
      <c r="E3542" s="16" t="e">
        <f t="shared" si="1"/>
        <v>#N/A</v>
      </c>
      <c r="F3542" s="16" t="e">
        <f t="shared" ref="F3542:K3542" si="7130">VLOOKUP($A3542,[11]Planeación!$A$1:$O$253,F$1,0)</f>
        <v>#N/A</v>
      </c>
      <c r="G3542" s="39" t="e">
        <f t="shared" si="7130"/>
        <v>#N/A</v>
      </c>
      <c r="H3542" s="16" t="e">
        <f t="shared" si="7130"/>
        <v>#N/A</v>
      </c>
      <c r="I3542" s="16" t="e">
        <f t="shared" si="7130"/>
        <v>#N/A</v>
      </c>
      <c r="J3542" s="40" t="e">
        <f t="shared" si="7130"/>
        <v>#N/A</v>
      </c>
      <c r="K3542" s="16" t="e">
        <f t="shared" si="7130"/>
        <v>#N/A</v>
      </c>
      <c r="L3542" s="40" t="e">
        <f t="shared" si="6649"/>
        <v>#N/A</v>
      </c>
      <c r="M3542" s="16" t="e">
        <f t="shared" si="6650"/>
        <v>#N/A</v>
      </c>
      <c r="N3542" s="16" t="e">
        <f t="shared" si="6651"/>
        <v>#N/A</v>
      </c>
      <c r="O3542" s="16" t="s">
        <v>75</v>
      </c>
      <c r="P3542" s="16" t="str">
        <f t="shared" si="6"/>
        <v/>
      </c>
      <c r="Q3542" s="41" t="e">
        <f t="shared" si="6652"/>
        <v>#N/A</v>
      </c>
      <c r="R3542" s="44"/>
      <c r="S3542" s="44"/>
      <c r="T3542" s="43"/>
      <c r="U3542" s="43" t="str">
        <f t="shared" si="8"/>
        <v>No</v>
      </c>
      <c r="V3542" s="25"/>
      <c r="W3542" s="25"/>
      <c r="X3542" s="25"/>
      <c r="Y3542" s="25"/>
      <c r="Z3542" s="25"/>
    </row>
    <row r="3543" spans="1:26" ht="15.75" customHeight="1" x14ac:dyDescent="0.25">
      <c r="A3543" s="25">
        <v>3541</v>
      </c>
      <c r="B3543" s="37" t="e">
        <f t="shared" ref="B3543:D3543" si="7131">VLOOKUP($A3543,[11]Planeación!$A$1:$O$253,B$1,0)</f>
        <v>#N/A</v>
      </c>
      <c r="C3543" s="38" t="e">
        <f t="shared" si="7131"/>
        <v>#N/A</v>
      </c>
      <c r="D3543" s="39" t="e">
        <f t="shared" si="7131"/>
        <v>#N/A</v>
      </c>
      <c r="E3543" s="16" t="e">
        <f t="shared" si="1"/>
        <v>#N/A</v>
      </c>
      <c r="F3543" s="16" t="e">
        <f t="shared" ref="F3543:K3543" si="7132">VLOOKUP($A3543,[11]Planeación!$A$1:$O$253,F$1,0)</f>
        <v>#N/A</v>
      </c>
      <c r="G3543" s="39" t="e">
        <f t="shared" si="7132"/>
        <v>#N/A</v>
      </c>
      <c r="H3543" s="16" t="e">
        <f t="shared" si="7132"/>
        <v>#N/A</v>
      </c>
      <c r="I3543" s="16" t="e">
        <f t="shared" si="7132"/>
        <v>#N/A</v>
      </c>
      <c r="J3543" s="40" t="e">
        <f t="shared" si="7132"/>
        <v>#N/A</v>
      </c>
      <c r="K3543" s="16" t="e">
        <f t="shared" si="7132"/>
        <v>#N/A</v>
      </c>
      <c r="L3543" s="40" t="e">
        <f t="shared" si="6649"/>
        <v>#N/A</v>
      </c>
      <c r="M3543" s="16" t="e">
        <f t="shared" si="6650"/>
        <v>#N/A</v>
      </c>
      <c r="N3543" s="16" t="e">
        <f t="shared" si="6651"/>
        <v>#N/A</v>
      </c>
      <c r="O3543" s="16" t="s">
        <v>75</v>
      </c>
      <c r="P3543" s="16" t="str">
        <f t="shared" si="6"/>
        <v/>
      </c>
      <c r="Q3543" s="41" t="e">
        <f t="shared" si="6652"/>
        <v>#N/A</v>
      </c>
      <c r="R3543" s="44"/>
      <c r="S3543" s="44"/>
      <c r="T3543" s="43"/>
      <c r="U3543" s="43" t="str">
        <f t="shared" si="8"/>
        <v>No</v>
      </c>
      <c r="V3543" s="25"/>
      <c r="W3543" s="25"/>
      <c r="X3543" s="25"/>
      <c r="Y3543" s="25"/>
      <c r="Z3543" s="25"/>
    </row>
    <row r="3544" spans="1:26" ht="15.75" customHeight="1" x14ac:dyDescent="0.25">
      <c r="A3544" s="25">
        <v>3542</v>
      </c>
      <c r="B3544" s="37" t="e">
        <f t="shared" ref="B3544:D3544" si="7133">VLOOKUP($A3544,[11]Planeación!$A$1:$O$253,B$1,0)</f>
        <v>#N/A</v>
      </c>
      <c r="C3544" s="38" t="e">
        <f t="shared" si="7133"/>
        <v>#N/A</v>
      </c>
      <c r="D3544" s="39" t="e">
        <f t="shared" si="7133"/>
        <v>#N/A</v>
      </c>
      <c r="E3544" s="16" t="e">
        <f t="shared" si="1"/>
        <v>#N/A</v>
      </c>
      <c r="F3544" s="16" t="e">
        <f t="shared" ref="F3544:K3544" si="7134">VLOOKUP($A3544,[11]Planeación!$A$1:$O$253,F$1,0)</f>
        <v>#N/A</v>
      </c>
      <c r="G3544" s="39" t="e">
        <f t="shared" si="7134"/>
        <v>#N/A</v>
      </c>
      <c r="H3544" s="16" t="e">
        <f t="shared" si="7134"/>
        <v>#N/A</v>
      </c>
      <c r="I3544" s="16" t="e">
        <f t="shared" si="7134"/>
        <v>#N/A</v>
      </c>
      <c r="J3544" s="40" t="e">
        <f t="shared" si="7134"/>
        <v>#N/A</v>
      </c>
      <c r="K3544" s="16" t="e">
        <f t="shared" si="7134"/>
        <v>#N/A</v>
      </c>
      <c r="L3544" s="40" t="e">
        <f t="shared" si="6649"/>
        <v>#N/A</v>
      </c>
      <c r="M3544" s="16" t="e">
        <f t="shared" si="6650"/>
        <v>#N/A</v>
      </c>
      <c r="N3544" s="16" t="e">
        <f t="shared" si="6651"/>
        <v>#N/A</v>
      </c>
      <c r="O3544" s="16" t="s">
        <v>75</v>
      </c>
      <c r="P3544" s="16" t="str">
        <f t="shared" si="6"/>
        <v/>
      </c>
      <c r="Q3544" s="41" t="e">
        <f t="shared" si="6652"/>
        <v>#N/A</v>
      </c>
      <c r="R3544" s="44"/>
      <c r="S3544" s="44"/>
      <c r="T3544" s="43"/>
      <c r="U3544" s="43" t="str">
        <f t="shared" si="8"/>
        <v>No</v>
      </c>
      <c r="V3544" s="25"/>
      <c r="W3544" s="25"/>
      <c r="X3544" s="25"/>
      <c r="Y3544" s="25"/>
      <c r="Z3544" s="25"/>
    </row>
    <row r="3545" spans="1:26" ht="15.75" customHeight="1" x14ac:dyDescent="0.25">
      <c r="A3545" s="25">
        <v>3543</v>
      </c>
      <c r="B3545" s="37" t="e">
        <f t="shared" ref="B3545:D3545" si="7135">VLOOKUP($A3545,[11]Planeación!$A$1:$O$253,B$1,0)</f>
        <v>#N/A</v>
      </c>
      <c r="C3545" s="38" t="e">
        <f t="shared" si="7135"/>
        <v>#N/A</v>
      </c>
      <c r="D3545" s="39" t="e">
        <f t="shared" si="7135"/>
        <v>#N/A</v>
      </c>
      <c r="E3545" s="16" t="e">
        <f t="shared" si="1"/>
        <v>#N/A</v>
      </c>
      <c r="F3545" s="16" t="e">
        <f t="shared" ref="F3545:K3545" si="7136">VLOOKUP($A3545,[11]Planeación!$A$1:$O$253,F$1,0)</f>
        <v>#N/A</v>
      </c>
      <c r="G3545" s="39" t="e">
        <f t="shared" si="7136"/>
        <v>#N/A</v>
      </c>
      <c r="H3545" s="16" t="e">
        <f t="shared" si="7136"/>
        <v>#N/A</v>
      </c>
      <c r="I3545" s="16" t="e">
        <f t="shared" si="7136"/>
        <v>#N/A</v>
      </c>
      <c r="J3545" s="40" t="e">
        <f t="shared" si="7136"/>
        <v>#N/A</v>
      </c>
      <c r="K3545" s="16" t="e">
        <f t="shared" si="7136"/>
        <v>#N/A</v>
      </c>
      <c r="L3545" s="40" t="e">
        <f t="shared" si="6649"/>
        <v>#N/A</v>
      </c>
      <c r="M3545" s="16" t="e">
        <f t="shared" si="6650"/>
        <v>#N/A</v>
      </c>
      <c r="N3545" s="16" t="e">
        <f t="shared" si="6651"/>
        <v>#N/A</v>
      </c>
      <c r="O3545" s="16" t="s">
        <v>75</v>
      </c>
      <c r="P3545" s="16" t="str">
        <f t="shared" si="6"/>
        <v/>
      </c>
      <c r="Q3545" s="41" t="e">
        <f t="shared" si="6652"/>
        <v>#N/A</v>
      </c>
      <c r="R3545" s="44"/>
      <c r="S3545" s="44"/>
      <c r="T3545" s="43"/>
      <c r="U3545" s="43" t="str">
        <f t="shared" si="8"/>
        <v>No</v>
      </c>
      <c r="V3545" s="25"/>
      <c r="W3545" s="25"/>
      <c r="X3545" s="25"/>
      <c r="Y3545" s="25"/>
      <c r="Z3545" s="25"/>
    </row>
    <row r="3546" spans="1:26" ht="15.75" customHeight="1" x14ac:dyDescent="0.25">
      <c r="A3546" s="25">
        <v>3544</v>
      </c>
      <c r="B3546" s="37" t="e">
        <f t="shared" ref="B3546:D3546" si="7137">VLOOKUP($A3546,[11]Planeación!$A$1:$O$253,B$1,0)</f>
        <v>#N/A</v>
      </c>
      <c r="C3546" s="38" t="e">
        <f t="shared" si="7137"/>
        <v>#N/A</v>
      </c>
      <c r="D3546" s="39" t="e">
        <f t="shared" si="7137"/>
        <v>#N/A</v>
      </c>
      <c r="E3546" s="16" t="e">
        <f t="shared" si="1"/>
        <v>#N/A</v>
      </c>
      <c r="F3546" s="16" t="e">
        <f t="shared" ref="F3546:K3546" si="7138">VLOOKUP($A3546,[11]Planeación!$A$1:$O$253,F$1,0)</f>
        <v>#N/A</v>
      </c>
      <c r="G3546" s="39" t="e">
        <f t="shared" si="7138"/>
        <v>#N/A</v>
      </c>
      <c r="H3546" s="16" t="e">
        <f t="shared" si="7138"/>
        <v>#N/A</v>
      </c>
      <c r="I3546" s="16" t="e">
        <f t="shared" si="7138"/>
        <v>#N/A</v>
      </c>
      <c r="J3546" s="40" t="e">
        <f t="shared" si="7138"/>
        <v>#N/A</v>
      </c>
      <c r="K3546" s="16" t="e">
        <f t="shared" si="7138"/>
        <v>#N/A</v>
      </c>
      <c r="L3546" s="40" t="e">
        <f t="shared" si="6649"/>
        <v>#N/A</v>
      </c>
      <c r="M3546" s="16" t="e">
        <f t="shared" si="6650"/>
        <v>#N/A</v>
      </c>
      <c r="N3546" s="16" t="e">
        <f t="shared" si="6651"/>
        <v>#N/A</v>
      </c>
      <c r="O3546" s="16" t="s">
        <v>75</v>
      </c>
      <c r="P3546" s="16" t="str">
        <f t="shared" si="6"/>
        <v/>
      </c>
      <c r="Q3546" s="41" t="e">
        <f t="shared" si="6652"/>
        <v>#N/A</v>
      </c>
      <c r="R3546" s="44"/>
      <c r="S3546" s="44"/>
      <c r="T3546" s="43"/>
      <c r="U3546" s="43" t="str">
        <f t="shared" si="8"/>
        <v>No</v>
      </c>
      <c r="V3546" s="25"/>
      <c r="W3546" s="25"/>
      <c r="X3546" s="25"/>
      <c r="Y3546" s="25"/>
      <c r="Z3546" s="25"/>
    </row>
    <row r="3547" spans="1:26" ht="15.75" customHeight="1" x14ac:dyDescent="0.25">
      <c r="A3547" s="25">
        <v>3545</v>
      </c>
      <c r="B3547" s="37" t="e">
        <f t="shared" ref="B3547:D3547" si="7139">VLOOKUP($A3547,[11]Planeación!$A$1:$O$253,B$1,0)</f>
        <v>#N/A</v>
      </c>
      <c r="C3547" s="38" t="e">
        <f t="shared" si="7139"/>
        <v>#N/A</v>
      </c>
      <c r="D3547" s="39" t="e">
        <f t="shared" si="7139"/>
        <v>#N/A</v>
      </c>
      <c r="E3547" s="16" t="e">
        <f t="shared" si="1"/>
        <v>#N/A</v>
      </c>
      <c r="F3547" s="16" t="e">
        <f t="shared" ref="F3547:K3547" si="7140">VLOOKUP($A3547,[11]Planeación!$A$1:$O$253,F$1,0)</f>
        <v>#N/A</v>
      </c>
      <c r="G3547" s="39" t="e">
        <f t="shared" si="7140"/>
        <v>#N/A</v>
      </c>
      <c r="H3547" s="16" t="e">
        <f t="shared" si="7140"/>
        <v>#N/A</v>
      </c>
      <c r="I3547" s="16" t="e">
        <f t="shared" si="7140"/>
        <v>#N/A</v>
      </c>
      <c r="J3547" s="40" t="e">
        <f t="shared" si="7140"/>
        <v>#N/A</v>
      </c>
      <c r="K3547" s="16" t="e">
        <f t="shared" si="7140"/>
        <v>#N/A</v>
      </c>
      <c r="L3547" s="40" t="e">
        <f t="shared" si="6649"/>
        <v>#N/A</v>
      </c>
      <c r="M3547" s="16" t="e">
        <f t="shared" si="6650"/>
        <v>#N/A</v>
      </c>
      <c r="N3547" s="16" t="e">
        <f t="shared" si="6651"/>
        <v>#N/A</v>
      </c>
      <c r="O3547" s="16" t="s">
        <v>75</v>
      </c>
      <c r="P3547" s="16" t="str">
        <f t="shared" si="6"/>
        <v/>
      </c>
      <c r="Q3547" s="41" t="e">
        <f t="shared" si="6652"/>
        <v>#N/A</v>
      </c>
      <c r="R3547" s="44"/>
      <c r="S3547" s="44"/>
      <c r="T3547" s="43"/>
      <c r="U3547" s="43" t="str">
        <f t="shared" si="8"/>
        <v>No</v>
      </c>
      <c r="V3547" s="25"/>
      <c r="W3547" s="25"/>
      <c r="X3547" s="25"/>
      <c r="Y3547" s="25"/>
      <c r="Z3547" s="25"/>
    </row>
    <row r="3548" spans="1:26" ht="15.75" customHeight="1" x14ac:dyDescent="0.25">
      <c r="A3548" s="25">
        <v>3546</v>
      </c>
      <c r="B3548" s="37" t="e">
        <f t="shared" ref="B3548:D3548" si="7141">VLOOKUP($A3548,[11]Planeación!$A$1:$O$253,B$1,0)</f>
        <v>#N/A</v>
      </c>
      <c r="C3548" s="38" t="e">
        <f t="shared" si="7141"/>
        <v>#N/A</v>
      </c>
      <c r="D3548" s="39" t="e">
        <f t="shared" si="7141"/>
        <v>#N/A</v>
      </c>
      <c r="E3548" s="16" t="e">
        <f t="shared" si="1"/>
        <v>#N/A</v>
      </c>
      <c r="F3548" s="16" t="e">
        <f t="shared" ref="F3548:K3548" si="7142">VLOOKUP($A3548,[11]Planeación!$A$1:$O$253,F$1,0)</f>
        <v>#N/A</v>
      </c>
      <c r="G3548" s="39" t="e">
        <f t="shared" si="7142"/>
        <v>#N/A</v>
      </c>
      <c r="H3548" s="16" t="e">
        <f t="shared" si="7142"/>
        <v>#N/A</v>
      </c>
      <c r="I3548" s="16" t="e">
        <f t="shared" si="7142"/>
        <v>#N/A</v>
      </c>
      <c r="J3548" s="40" t="e">
        <f t="shared" si="7142"/>
        <v>#N/A</v>
      </c>
      <c r="K3548" s="16" t="e">
        <f t="shared" si="7142"/>
        <v>#N/A</v>
      </c>
      <c r="L3548" s="40" t="e">
        <f t="shared" si="6649"/>
        <v>#N/A</v>
      </c>
      <c r="M3548" s="16" t="e">
        <f t="shared" si="6650"/>
        <v>#N/A</v>
      </c>
      <c r="N3548" s="16" t="e">
        <f t="shared" si="6651"/>
        <v>#N/A</v>
      </c>
      <c r="O3548" s="16" t="s">
        <v>75</v>
      </c>
      <c r="P3548" s="16" t="str">
        <f t="shared" si="6"/>
        <v/>
      </c>
      <c r="Q3548" s="41" t="e">
        <f t="shared" si="6652"/>
        <v>#N/A</v>
      </c>
      <c r="R3548" s="44"/>
      <c r="S3548" s="44"/>
      <c r="T3548" s="43"/>
      <c r="U3548" s="43" t="str">
        <f t="shared" si="8"/>
        <v>No</v>
      </c>
      <c r="V3548" s="25"/>
      <c r="W3548" s="25"/>
      <c r="X3548" s="25"/>
      <c r="Y3548" s="25"/>
      <c r="Z3548" s="25"/>
    </row>
    <row r="3549" spans="1:26" ht="15.75" customHeight="1" x14ac:dyDescent="0.25">
      <c r="A3549" s="25">
        <v>3547</v>
      </c>
      <c r="B3549" s="37" t="e">
        <f t="shared" ref="B3549:D3549" si="7143">VLOOKUP($A3549,[11]Planeación!$A$1:$O$253,B$1,0)</f>
        <v>#N/A</v>
      </c>
      <c r="C3549" s="38" t="e">
        <f t="shared" si="7143"/>
        <v>#N/A</v>
      </c>
      <c r="D3549" s="39" t="e">
        <f t="shared" si="7143"/>
        <v>#N/A</v>
      </c>
      <c r="E3549" s="16" t="e">
        <f t="shared" si="1"/>
        <v>#N/A</v>
      </c>
      <c r="F3549" s="16" t="e">
        <f t="shared" ref="F3549:K3549" si="7144">VLOOKUP($A3549,[11]Planeación!$A$1:$O$253,F$1,0)</f>
        <v>#N/A</v>
      </c>
      <c r="G3549" s="39" t="e">
        <f t="shared" si="7144"/>
        <v>#N/A</v>
      </c>
      <c r="H3549" s="16" t="e">
        <f t="shared" si="7144"/>
        <v>#N/A</v>
      </c>
      <c r="I3549" s="16" t="e">
        <f t="shared" si="7144"/>
        <v>#N/A</v>
      </c>
      <c r="J3549" s="40" t="e">
        <f t="shared" si="7144"/>
        <v>#N/A</v>
      </c>
      <c r="K3549" s="16" t="e">
        <f t="shared" si="7144"/>
        <v>#N/A</v>
      </c>
      <c r="L3549" s="40" t="e">
        <f t="shared" si="6649"/>
        <v>#N/A</v>
      </c>
      <c r="M3549" s="16" t="e">
        <f t="shared" si="6650"/>
        <v>#N/A</v>
      </c>
      <c r="N3549" s="16" t="e">
        <f t="shared" si="6651"/>
        <v>#N/A</v>
      </c>
      <c r="O3549" s="16" t="s">
        <v>75</v>
      </c>
      <c r="P3549" s="16" t="str">
        <f t="shared" si="6"/>
        <v/>
      </c>
      <c r="Q3549" s="41" t="e">
        <f t="shared" si="6652"/>
        <v>#N/A</v>
      </c>
      <c r="R3549" s="44"/>
      <c r="S3549" s="44"/>
      <c r="T3549" s="43"/>
      <c r="U3549" s="43" t="str">
        <f t="shared" si="8"/>
        <v>No</v>
      </c>
      <c r="V3549" s="25"/>
      <c r="W3549" s="25"/>
      <c r="X3549" s="25"/>
      <c r="Y3549" s="25"/>
      <c r="Z3549" s="25"/>
    </row>
    <row r="3550" spans="1:26" ht="15.75" customHeight="1" x14ac:dyDescent="0.25">
      <c r="A3550" s="25">
        <v>3548</v>
      </c>
      <c r="B3550" s="37" t="e">
        <f t="shared" ref="B3550:D3550" si="7145">VLOOKUP($A3550,[11]Planeación!$A$1:$O$253,B$1,0)</f>
        <v>#N/A</v>
      </c>
      <c r="C3550" s="38" t="e">
        <f t="shared" si="7145"/>
        <v>#N/A</v>
      </c>
      <c r="D3550" s="39" t="e">
        <f t="shared" si="7145"/>
        <v>#N/A</v>
      </c>
      <c r="E3550" s="16" t="e">
        <f t="shared" si="1"/>
        <v>#N/A</v>
      </c>
      <c r="F3550" s="16" t="e">
        <f t="shared" ref="F3550:K3550" si="7146">VLOOKUP($A3550,[11]Planeación!$A$1:$O$253,F$1,0)</f>
        <v>#N/A</v>
      </c>
      <c r="G3550" s="39" t="e">
        <f t="shared" si="7146"/>
        <v>#N/A</v>
      </c>
      <c r="H3550" s="16" t="e">
        <f t="shared" si="7146"/>
        <v>#N/A</v>
      </c>
      <c r="I3550" s="16" t="e">
        <f t="shared" si="7146"/>
        <v>#N/A</v>
      </c>
      <c r="J3550" s="40" t="e">
        <f t="shared" si="7146"/>
        <v>#N/A</v>
      </c>
      <c r="K3550" s="16" t="e">
        <f t="shared" si="7146"/>
        <v>#N/A</v>
      </c>
      <c r="L3550" s="40" t="e">
        <f t="shared" si="6649"/>
        <v>#N/A</v>
      </c>
      <c r="M3550" s="16" t="e">
        <f t="shared" si="6650"/>
        <v>#N/A</v>
      </c>
      <c r="N3550" s="16" t="e">
        <f t="shared" si="6651"/>
        <v>#N/A</v>
      </c>
      <c r="O3550" s="16" t="s">
        <v>75</v>
      </c>
      <c r="P3550" s="16" t="str">
        <f t="shared" si="6"/>
        <v/>
      </c>
      <c r="Q3550" s="41" t="e">
        <f t="shared" si="6652"/>
        <v>#N/A</v>
      </c>
      <c r="R3550" s="44"/>
      <c r="S3550" s="44"/>
      <c r="T3550" s="43"/>
      <c r="U3550" s="43" t="str">
        <f t="shared" si="8"/>
        <v>No</v>
      </c>
      <c r="V3550" s="25"/>
      <c r="W3550" s="25"/>
      <c r="X3550" s="25"/>
      <c r="Y3550" s="25"/>
      <c r="Z3550" s="25"/>
    </row>
    <row r="3551" spans="1:26" ht="15.75" customHeight="1" x14ac:dyDescent="0.25">
      <c r="A3551" s="25">
        <v>3549</v>
      </c>
      <c r="B3551" s="37" t="e">
        <f t="shared" ref="B3551:D3551" si="7147">VLOOKUP($A3551,[11]Planeación!$A$1:$O$253,B$1,0)</f>
        <v>#N/A</v>
      </c>
      <c r="C3551" s="38" t="e">
        <f t="shared" si="7147"/>
        <v>#N/A</v>
      </c>
      <c r="D3551" s="39" t="e">
        <f t="shared" si="7147"/>
        <v>#N/A</v>
      </c>
      <c r="E3551" s="16" t="e">
        <f t="shared" si="1"/>
        <v>#N/A</v>
      </c>
      <c r="F3551" s="16" t="e">
        <f t="shared" ref="F3551:K3551" si="7148">VLOOKUP($A3551,[11]Planeación!$A$1:$O$253,F$1,0)</f>
        <v>#N/A</v>
      </c>
      <c r="G3551" s="39" t="e">
        <f t="shared" si="7148"/>
        <v>#N/A</v>
      </c>
      <c r="H3551" s="16" t="e">
        <f t="shared" si="7148"/>
        <v>#N/A</v>
      </c>
      <c r="I3551" s="16" t="e">
        <f t="shared" si="7148"/>
        <v>#N/A</v>
      </c>
      <c r="J3551" s="40" t="e">
        <f t="shared" si="7148"/>
        <v>#N/A</v>
      </c>
      <c r="K3551" s="16" t="e">
        <f t="shared" si="7148"/>
        <v>#N/A</v>
      </c>
      <c r="L3551" s="40" t="e">
        <f t="shared" si="6649"/>
        <v>#N/A</v>
      </c>
      <c r="M3551" s="16" t="e">
        <f t="shared" si="6650"/>
        <v>#N/A</v>
      </c>
      <c r="N3551" s="16" t="e">
        <f t="shared" si="6651"/>
        <v>#N/A</v>
      </c>
      <c r="O3551" s="16" t="s">
        <v>75</v>
      </c>
      <c r="P3551" s="16" t="str">
        <f t="shared" si="6"/>
        <v/>
      </c>
      <c r="Q3551" s="41" t="e">
        <f t="shared" si="6652"/>
        <v>#N/A</v>
      </c>
      <c r="R3551" s="44"/>
      <c r="S3551" s="44"/>
      <c r="T3551" s="43"/>
      <c r="U3551" s="43" t="str">
        <f t="shared" si="8"/>
        <v>No</v>
      </c>
      <c r="V3551" s="25"/>
      <c r="W3551" s="25"/>
      <c r="X3551" s="25"/>
      <c r="Y3551" s="25"/>
      <c r="Z3551" s="25"/>
    </row>
    <row r="3552" spans="1:26" ht="15.75" customHeight="1" x14ac:dyDescent="0.25">
      <c r="A3552" s="25">
        <v>3550</v>
      </c>
      <c r="B3552" s="37" t="e">
        <f t="shared" ref="B3552:D3552" si="7149">VLOOKUP($A3552,[11]Planeación!$A$1:$O$253,B$1,0)</f>
        <v>#N/A</v>
      </c>
      <c r="C3552" s="38" t="e">
        <f t="shared" si="7149"/>
        <v>#N/A</v>
      </c>
      <c r="D3552" s="39" t="e">
        <f t="shared" si="7149"/>
        <v>#N/A</v>
      </c>
      <c r="E3552" s="16" t="e">
        <f t="shared" si="1"/>
        <v>#N/A</v>
      </c>
      <c r="F3552" s="16" t="e">
        <f t="shared" ref="F3552:K3552" si="7150">VLOOKUP($A3552,[11]Planeación!$A$1:$O$253,F$1,0)</f>
        <v>#N/A</v>
      </c>
      <c r="G3552" s="39" t="e">
        <f t="shared" si="7150"/>
        <v>#N/A</v>
      </c>
      <c r="H3552" s="16" t="e">
        <f t="shared" si="7150"/>
        <v>#N/A</v>
      </c>
      <c r="I3552" s="16" t="e">
        <f t="shared" si="7150"/>
        <v>#N/A</v>
      </c>
      <c r="J3552" s="40" t="e">
        <f t="shared" si="7150"/>
        <v>#N/A</v>
      </c>
      <c r="K3552" s="16" t="e">
        <f t="shared" si="7150"/>
        <v>#N/A</v>
      </c>
      <c r="L3552" s="40" t="e">
        <f t="shared" si="6649"/>
        <v>#N/A</v>
      </c>
      <c r="M3552" s="16" t="e">
        <f t="shared" si="6650"/>
        <v>#N/A</v>
      </c>
      <c r="N3552" s="16" t="e">
        <f t="shared" si="6651"/>
        <v>#N/A</v>
      </c>
      <c r="O3552" s="16" t="s">
        <v>75</v>
      </c>
      <c r="P3552" s="16" t="str">
        <f t="shared" si="6"/>
        <v/>
      </c>
      <c r="Q3552" s="41" t="e">
        <f t="shared" si="6652"/>
        <v>#N/A</v>
      </c>
      <c r="R3552" s="44"/>
      <c r="S3552" s="44"/>
      <c r="T3552" s="43"/>
      <c r="U3552" s="43" t="str">
        <f t="shared" si="8"/>
        <v>No</v>
      </c>
      <c r="V3552" s="25"/>
      <c r="W3552" s="25"/>
      <c r="X3552" s="25"/>
      <c r="Y3552" s="25"/>
      <c r="Z3552" s="25"/>
    </row>
    <row r="3553" spans="1:26" ht="15.75" customHeight="1" x14ac:dyDescent="0.25">
      <c r="A3553" s="25">
        <v>3551</v>
      </c>
      <c r="B3553" s="37" t="e">
        <f t="shared" ref="B3553:D3553" si="7151">VLOOKUP($A3553,[11]Planeación!$A$1:$O$253,B$1,0)</f>
        <v>#N/A</v>
      </c>
      <c r="C3553" s="38" t="e">
        <f t="shared" si="7151"/>
        <v>#N/A</v>
      </c>
      <c r="D3553" s="39" t="e">
        <f t="shared" si="7151"/>
        <v>#N/A</v>
      </c>
      <c r="E3553" s="16" t="e">
        <f t="shared" si="1"/>
        <v>#N/A</v>
      </c>
      <c r="F3553" s="16" t="e">
        <f t="shared" ref="F3553:K3553" si="7152">VLOOKUP($A3553,[11]Planeación!$A$1:$O$253,F$1,0)</f>
        <v>#N/A</v>
      </c>
      <c r="G3553" s="39" t="e">
        <f t="shared" si="7152"/>
        <v>#N/A</v>
      </c>
      <c r="H3553" s="16" t="e">
        <f t="shared" si="7152"/>
        <v>#N/A</v>
      </c>
      <c r="I3553" s="16" t="e">
        <f t="shared" si="7152"/>
        <v>#N/A</v>
      </c>
      <c r="J3553" s="40" t="e">
        <f t="shared" si="7152"/>
        <v>#N/A</v>
      </c>
      <c r="K3553" s="16" t="e">
        <f t="shared" si="7152"/>
        <v>#N/A</v>
      </c>
      <c r="L3553" s="40" t="e">
        <f t="shared" si="6649"/>
        <v>#N/A</v>
      </c>
      <c r="M3553" s="16" t="e">
        <f t="shared" si="6650"/>
        <v>#N/A</v>
      </c>
      <c r="N3553" s="16" t="e">
        <f t="shared" si="6651"/>
        <v>#N/A</v>
      </c>
      <c r="O3553" s="16" t="s">
        <v>75</v>
      </c>
      <c r="P3553" s="16" t="str">
        <f t="shared" si="6"/>
        <v/>
      </c>
      <c r="Q3553" s="41" t="e">
        <f t="shared" si="6652"/>
        <v>#N/A</v>
      </c>
      <c r="R3553" s="44"/>
      <c r="S3553" s="44"/>
      <c r="T3553" s="43"/>
      <c r="U3553" s="43" t="str">
        <f t="shared" si="8"/>
        <v>No</v>
      </c>
      <c r="V3553" s="25"/>
      <c r="W3553" s="25"/>
      <c r="X3553" s="25"/>
      <c r="Y3553" s="25"/>
      <c r="Z3553" s="25"/>
    </row>
    <row r="3554" spans="1:26" ht="15.75" customHeight="1" x14ac:dyDescent="0.25">
      <c r="A3554" s="25">
        <v>3552</v>
      </c>
      <c r="B3554" s="37" t="e">
        <f t="shared" ref="B3554:D3554" si="7153">VLOOKUP($A3554,[11]Planeación!$A$1:$O$253,B$1,0)</f>
        <v>#N/A</v>
      </c>
      <c r="C3554" s="38" t="e">
        <f t="shared" si="7153"/>
        <v>#N/A</v>
      </c>
      <c r="D3554" s="39" t="e">
        <f t="shared" si="7153"/>
        <v>#N/A</v>
      </c>
      <c r="E3554" s="16" t="e">
        <f t="shared" si="1"/>
        <v>#N/A</v>
      </c>
      <c r="F3554" s="16" t="e">
        <f t="shared" ref="F3554:K3554" si="7154">VLOOKUP($A3554,[11]Planeación!$A$1:$O$253,F$1,0)</f>
        <v>#N/A</v>
      </c>
      <c r="G3554" s="39" t="e">
        <f t="shared" si="7154"/>
        <v>#N/A</v>
      </c>
      <c r="H3554" s="16" t="e">
        <f t="shared" si="7154"/>
        <v>#N/A</v>
      </c>
      <c r="I3554" s="16" t="e">
        <f t="shared" si="7154"/>
        <v>#N/A</v>
      </c>
      <c r="J3554" s="40" t="e">
        <f t="shared" si="7154"/>
        <v>#N/A</v>
      </c>
      <c r="K3554" s="16" t="e">
        <f t="shared" si="7154"/>
        <v>#N/A</v>
      </c>
      <c r="L3554" s="40" t="e">
        <f t="shared" si="6649"/>
        <v>#N/A</v>
      </c>
      <c r="M3554" s="16" t="e">
        <f t="shared" si="6650"/>
        <v>#N/A</v>
      </c>
      <c r="N3554" s="16" t="e">
        <f t="shared" si="6651"/>
        <v>#N/A</v>
      </c>
      <c r="O3554" s="16" t="s">
        <v>75</v>
      </c>
      <c r="P3554" s="16" t="str">
        <f t="shared" si="6"/>
        <v/>
      </c>
      <c r="Q3554" s="41" t="e">
        <f t="shared" si="6652"/>
        <v>#N/A</v>
      </c>
      <c r="R3554" s="44"/>
      <c r="S3554" s="44"/>
      <c r="T3554" s="43"/>
      <c r="U3554" s="43" t="str">
        <f t="shared" si="8"/>
        <v>No</v>
      </c>
      <c r="V3554" s="25"/>
      <c r="W3554" s="25"/>
      <c r="X3554" s="25"/>
      <c r="Y3554" s="25"/>
      <c r="Z3554" s="25"/>
    </row>
    <row r="3555" spans="1:26" ht="15.75" customHeight="1" x14ac:dyDescent="0.25">
      <c r="A3555" s="25">
        <v>3553</v>
      </c>
      <c r="B3555" s="37" t="e">
        <f t="shared" ref="B3555:D3555" si="7155">VLOOKUP($A3555,[11]Planeación!$A$1:$O$253,B$1,0)</f>
        <v>#N/A</v>
      </c>
      <c r="C3555" s="38" t="e">
        <f t="shared" si="7155"/>
        <v>#N/A</v>
      </c>
      <c r="D3555" s="39" t="e">
        <f t="shared" si="7155"/>
        <v>#N/A</v>
      </c>
      <c r="E3555" s="16" t="e">
        <f t="shared" si="1"/>
        <v>#N/A</v>
      </c>
      <c r="F3555" s="16" t="e">
        <f t="shared" ref="F3555:K3555" si="7156">VLOOKUP($A3555,[11]Planeación!$A$1:$O$253,F$1,0)</f>
        <v>#N/A</v>
      </c>
      <c r="G3555" s="39" t="e">
        <f t="shared" si="7156"/>
        <v>#N/A</v>
      </c>
      <c r="H3555" s="16" t="e">
        <f t="shared" si="7156"/>
        <v>#N/A</v>
      </c>
      <c r="I3555" s="16" t="e">
        <f t="shared" si="7156"/>
        <v>#N/A</v>
      </c>
      <c r="J3555" s="40" t="e">
        <f t="shared" si="7156"/>
        <v>#N/A</v>
      </c>
      <c r="K3555" s="16" t="e">
        <f t="shared" si="7156"/>
        <v>#N/A</v>
      </c>
      <c r="L3555" s="40" t="e">
        <f t="shared" si="6649"/>
        <v>#N/A</v>
      </c>
      <c r="M3555" s="16" t="e">
        <f t="shared" si="6650"/>
        <v>#N/A</v>
      </c>
      <c r="N3555" s="16" t="e">
        <f t="shared" si="6651"/>
        <v>#N/A</v>
      </c>
      <c r="O3555" s="16" t="s">
        <v>75</v>
      </c>
      <c r="P3555" s="16" t="str">
        <f t="shared" si="6"/>
        <v/>
      </c>
      <c r="Q3555" s="41" t="e">
        <f t="shared" si="6652"/>
        <v>#N/A</v>
      </c>
      <c r="R3555" s="44"/>
      <c r="S3555" s="44"/>
      <c r="T3555" s="43"/>
      <c r="U3555" s="43" t="str">
        <f t="shared" si="8"/>
        <v>No</v>
      </c>
      <c r="V3555" s="25"/>
      <c r="W3555" s="25"/>
      <c r="X3555" s="25"/>
      <c r="Y3555" s="25"/>
      <c r="Z3555" s="25"/>
    </row>
    <row r="3556" spans="1:26" ht="15.75" customHeight="1" x14ac:dyDescent="0.25">
      <c r="A3556" s="25">
        <v>3554</v>
      </c>
      <c r="B3556" s="37" t="e">
        <f t="shared" ref="B3556:D3556" si="7157">VLOOKUP($A3556,[11]Planeación!$A$1:$O$253,B$1,0)</f>
        <v>#N/A</v>
      </c>
      <c r="C3556" s="38" t="e">
        <f t="shared" si="7157"/>
        <v>#N/A</v>
      </c>
      <c r="D3556" s="39" t="e">
        <f t="shared" si="7157"/>
        <v>#N/A</v>
      </c>
      <c r="E3556" s="16" t="e">
        <f t="shared" si="1"/>
        <v>#N/A</v>
      </c>
      <c r="F3556" s="16" t="e">
        <f t="shared" ref="F3556:K3556" si="7158">VLOOKUP($A3556,[11]Planeación!$A$1:$O$253,F$1,0)</f>
        <v>#N/A</v>
      </c>
      <c r="G3556" s="39" t="e">
        <f t="shared" si="7158"/>
        <v>#N/A</v>
      </c>
      <c r="H3556" s="16" t="e">
        <f t="shared" si="7158"/>
        <v>#N/A</v>
      </c>
      <c r="I3556" s="16" t="e">
        <f t="shared" si="7158"/>
        <v>#N/A</v>
      </c>
      <c r="J3556" s="40" t="e">
        <f t="shared" si="7158"/>
        <v>#N/A</v>
      </c>
      <c r="K3556" s="16" t="e">
        <f t="shared" si="7158"/>
        <v>#N/A</v>
      </c>
      <c r="L3556" s="40" t="e">
        <f t="shared" si="6649"/>
        <v>#N/A</v>
      </c>
      <c r="M3556" s="16" t="e">
        <f t="shared" si="6650"/>
        <v>#N/A</v>
      </c>
      <c r="N3556" s="16" t="e">
        <f t="shared" si="6651"/>
        <v>#N/A</v>
      </c>
      <c r="O3556" s="16" t="s">
        <v>75</v>
      </c>
      <c r="P3556" s="16" t="str">
        <f t="shared" si="6"/>
        <v/>
      </c>
      <c r="Q3556" s="41" t="e">
        <f t="shared" si="6652"/>
        <v>#N/A</v>
      </c>
      <c r="R3556" s="44"/>
      <c r="S3556" s="44"/>
      <c r="T3556" s="43"/>
      <c r="U3556" s="43" t="str">
        <f t="shared" si="8"/>
        <v>No</v>
      </c>
      <c r="V3556" s="25"/>
      <c r="W3556" s="25"/>
      <c r="X3556" s="25"/>
      <c r="Y3556" s="25"/>
      <c r="Z3556" s="25"/>
    </row>
    <row r="3557" spans="1:26" ht="15.75" customHeight="1" x14ac:dyDescent="0.25">
      <c r="A3557" s="25">
        <v>3555</v>
      </c>
      <c r="B3557" s="37" t="e">
        <f t="shared" ref="B3557:D3557" si="7159">VLOOKUP($A3557,[11]Planeación!$A$1:$O$253,B$1,0)</f>
        <v>#N/A</v>
      </c>
      <c r="C3557" s="38" t="e">
        <f t="shared" si="7159"/>
        <v>#N/A</v>
      </c>
      <c r="D3557" s="39" t="e">
        <f t="shared" si="7159"/>
        <v>#N/A</v>
      </c>
      <c r="E3557" s="16" t="e">
        <f t="shared" si="1"/>
        <v>#N/A</v>
      </c>
      <c r="F3557" s="16" t="e">
        <f t="shared" ref="F3557:K3557" si="7160">VLOOKUP($A3557,[11]Planeación!$A$1:$O$253,F$1,0)</f>
        <v>#N/A</v>
      </c>
      <c r="G3557" s="39" t="e">
        <f t="shared" si="7160"/>
        <v>#N/A</v>
      </c>
      <c r="H3557" s="16" t="e">
        <f t="shared" si="7160"/>
        <v>#N/A</v>
      </c>
      <c r="I3557" s="16" t="e">
        <f t="shared" si="7160"/>
        <v>#N/A</v>
      </c>
      <c r="J3557" s="40" t="e">
        <f t="shared" si="7160"/>
        <v>#N/A</v>
      </c>
      <c r="K3557" s="16" t="e">
        <f t="shared" si="7160"/>
        <v>#N/A</v>
      </c>
      <c r="L3557" s="40" t="e">
        <f t="shared" si="6649"/>
        <v>#N/A</v>
      </c>
      <c r="M3557" s="16" t="e">
        <f t="shared" si="6650"/>
        <v>#N/A</v>
      </c>
      <c r="N3557" s="16" t="e">
        <f t="shared" si="6651"/>
        <v>#N/A</v>
      </c>
      <c r="O3557" s="16" t="s">
        <v>75</v>
      </c>
      <c r="P3557" s="16" t="str">
        <f t="shared" si="6"/>
        <v/>
      </c>
      <c r="Q3557" s="41" t="e">
        <f t="shared" si="6652"/>
        <v>#N/A</v>
      </c>
      <c r="R3557" s="44"/>
      <c r="S3557" s="44"/>
      <c r="T3557" s="43"/>
      <c r="U3557" s="43" t="str">
        <f t="shared" si="8"/>
        <v>No</v>
      </c>
      <c r="V3557" s="25"/>
      <c r="W3557" s="25"/>
      <c r="X3557" s="25"/>
      <c r="Y3557" s="25"/>
      <c r="Z3557" s="25"/>
    </row>
    <row r="3558" spans="1:26" ht="15.75" customHeight="1" x14ac:dyDescent="0.25">
      <c r="A3558" s="25">
        <v>3556</v>
      </c>
      <c r="B3558" s="37" t="e">
        <f t="shared" ref="B3558:D3558" si="7161">VLOOKUP($A3558,[11]Planeación!$A$1:$O$253,B$1,0)</f>
        <v>#N/A</v>
      </c>
      <c r="C3558" s="38" t="e">
        <f t="shared" si="7161"/>
        <v>#N/A</v>
      </c>
      <c r="D3558" s="39" t="e">
        <f t="shared" si="7161"/>
        <v>#N/A</v>
      </c>
      <c r="E3558" s="16" t="e">
        <f t="shared" si="1"/>
        <v>#N/A</v>
      </c>
      <c r="F3558" s="16" t="e">
        <f t="shared" ref="F3558:K3558" si="7162">VLOOKUP($A3558,[11]Planeación!$A$1:$O$253,F$1,0)</f>
        <v>#N/A</v>
      </c>
      <c r="G3558" s="39" t="e">
        <f t="shared" si="7162"/>
        <v>#N/A</v>
      </c>
      <c r="H3558" s="16" t="e">
        <f t="shared" si="7162"/>
        <v>#N/A</v>
      </c>
      <c r="I3558" s="16" t="e">
        <f t="shared" si="7162"/>
        <v>#N/A</v>
      </c>
      <c r="J3558" s="40" t="e">
        <f t="shared" si="7162"/>
        <v>#N/A</v>
      </c>
      <c r="K3558" s="16" t="e">
        <f t="shared" si="7162"/>
        <v>#N/A</v>
      </c>
      <c r="L3558" s="40" t="e">
        <f t="shared" si="6649"/>
        <v>#N/A</v>
      </c>
      <c r="M3558" s="16" t="e">
        <f t="shared" si="6650"/>
        <v>#N/A</v>
      </c>
      <c r="N3558" s="16" t="e">
        <f t="shared" si="6651"/>
        <v>#N/A</v>
      </c>
      <c r="O3558" s="16" t="s">
        <v>75</v>
      </c>
      <c r="P3558" s="16" t="str">
        <f t="shared" si="6"/>
        <v/>
      </c>
      <c r="Q3558" s="41" t="e">
        <f t="shared" si="6652"/>
        <v>#N/A</v>
      </c>
      <c r="R3558" s="44"/>
      <c r="S3558" s="44"/>
      <c r="T3558" s="43"/>
      <c r="U3558" s="43" t="str">
        <f t="shared" si="8"/>
        <v>No</v>
      </c>
      <c r="V3558" s="25"/>
      <c r="W3558" s="25"/>
      <c r="X3558" s="25"/>
      <c r="Y3558" s="25"/>
      <c r="Z3558" s="25"/>
    </row>
    <row r="3559" spans="1:26" ht="15.75" customHeight="1" x14ac:dyDescent="0.25">
      <c r="A3559" s="25">
        <v>3557</v>
      </c>
      <c r="B3559" s="37" t="e">
        <f t="shared" ref="B3559:D3559" si="7163">VLOOKUP($A3559,[11]Planeación!$A$1:$O$253,B$1,0)</f>
        <v>#N/A</v>
      </c>
      <c r="C3559" s="38" t="e">
        <f t="shared" si="7163"/>
        <v>#N/A</v>
      </c>
      <c r="D3559" s="39" t="e">
        <f t="shared" si="7163"/>
        <v>#N/A</v>
      </c>
      <c r="E3559" s="16" t="e">
        <f t="shared" si="1"/>
        <v>#N/A</v>
      </c>
      <c r="F3559" s="16" t="e">
        <f t="shared" ref="F3559:K3559" si="7164">VLOOKUP($A3559,[11]Planeación!$A$1:$O$253,F$1,0)</f>
        <v>#N/A</v>
      </c>
      <c r="G3559" s="39" t="e">
        <f t="shared" si="7164"/>
        <v>#N/A</v>
      </c>
      <c r="H3559" s="16" t="e">
        <f t="shared" si="7164"/>
        <v>#N/A</v>
      </c>
      <c r="I3559" s="16" t="e">
        <f t="shared" si="7164"/>
        <v>#N/A</v>
      </c>
      <c r="J3559" s="40" t="e">
        <f t="shared" si="7164"/>
        <v>#N/A</v>
      </c>
      <c r="K3559" s="16" t="e">
        <f t="shared" si="7164"/>
        <v>#N/A</v>
      </c>
      <c r="L3559" s="40" t="e">
        <f t="shared" si="6649"/>
        <v>#N/A</v>
      </c>
      <c r="M3559" s="16" t="e">
        <f t="shared" si="6650"/>
        <v>#N/A</v>
      </c>
      <c r="N3559" s="16" t="e">
        <f t="shared" si="6651"/>
        <v>#N/A</v>
      </c>
      <c r="O3559" s="16" t="s">
        <v>75</v>
      </c>
      <c r="P3559" s="16" t="str">
        <f t="shared" si="6"/>
        <v/>
      </c>
      <c r="Q3559" s="41" t="e">
        <f t="shared" si="6652"/>
        <v>#N/A</v>
      </c>
      <c r="R3559" s="44"/>
      <c r="S3559" s="44"/>
      <c r="T3559" s="43"/>
      <c r="U3559" s="43" t="str">
        <f t="shared" si="8"/>
        <v>No</v>
      </c>
      <c r="V3559" s="25"/>
      <c r="W3559" s="25"/>
      <c r="X3559" s="25"/>
      <c r="Y3559" s="25"/>
      <c r="Z3559" s="25"/>
    </row>
    <row r="3560" spans="1:26" ht="15.75" customHeight="1" x14ac:dyDescent="0.25">
      <c r="A3560" s="25">
        <v>3558</v>
      </c>
      <c r="B3560" s="37" t="e">
        <f t="shared" ref="B3560:D3560" si="7165">VLOOKUP($A3560,[11]Planeación!$A$1:$O$253,B$1,0)</f>
        <v>#N/A</v>
      </c>
      <c r="C3560" s="38" t="e">
        <f t="shared" si="7165"/>
        <v>#N/A</v>
      </c>
      <c r="D3560" s="39" t="e">
        <f t="shared" si="7165"/>
        <v>#N/A</v>
      </c>
      <c r="E3560" s="16" t="e">
        <f t="shared" si="1"/>
        <v>#N/A</v>
      </c>
      <c r="F3560" s="16" t="e">
        <f t="shared" ref="F3560:K3560" si="7166">VLOOKUP($A3560,[11]Planeación!$A$1:$O$253,F$1,0)</f>
        <v>#N/A</v>
      </c>
      <c r="G3560" s="39" t="e">
        <f t="shared" si="7166"/>
        <v>#N/A</v>
      </c>
      <c r="H3560" s="16" t="e">
        <f t="shared" si="7166"/>
        <v>#N/A</v>
      </c>
      <c r="I3560" s="16" t="e">
        <f t="shared" si="7166"/>
        <v>#N/A</v>
      </c>
      <c r="J3560" s="40" t="e">
        <f t="shared" si="7166"/>
        <v>#N/A</v>
      </c>
      <c r="K3560" s="16" t="e">
        <f t="shared" si="7166"/>
        <v>#N/A</v>
      </c>
      <c r="L3560" s="40" t="e">
        <f t="shared" si="6649"/>
        <v>#N/A</v>
      </c>
      <c r="M3560" s="16" t="e">
        <f t="shared" si="6650"/>
        <v>#N/A</v>
      </c>
      <c r="N3560" s="16" t="e">
        <f t="shared" si="6651"/>
        <v>#N/A</v>
      </c>
      <c r="O3560" s="16" t="s">
        <v>75</v>
      </c>
      <c r="P3560" s="16" t="str">
        <f t="shared" si="6"/>
        <v/>
      </c>
      <c r="Q3560" s="41" t="e">
        <f t="shared" si="6652"/>
        <v>#N/A</v>
      </c>
      <c r="R3560" s="44"/>
      <c r="S3560" s="44"/>
      <c r="T3560" s="43"/>
      <c r="U3560" s="43" t="str">
        <f t="shared" si="8"/>
        <v>No</v>
      </c>
      <c r="V3560" s="25"/>
      <c r="W3560" s="25"/>
      <c r="X3560" s="25"/>
      <c r="Y3560" s="25"/>
      <c r="Z3560" s="25"/>
    </row>
    <row r="3561" spans="1:26" ht="15.75" customHeight="1" x14ac:dyDescent="0.25">
      <c r="A3561" s="25">
        <v>3559</v>
      </c>
      <c r="B3561" s="37" t="e">
        <f t="shared" ref="B3561:D3561" si="7167">VLOOKUP($A3561,[11]Planeación!$A$1:$O$253,B$1,0)</f>
        <v>#N/A</v>
      </c>
      <c r="C3561" s="38" t="e">
        <f t="shared" si="7167"/>
        <v>#N/A</v>
      </c>
      <c r="D3561" s="39" t="e">
        <f t="shared" si="7167"/>
        <v>#N/A</v>
      </c>
      <c r="E3561" s="16" t="e">
        <f t="shared" si="1"/>
        <v>#N/A</v>
      </c>
      <c r="F3561" s="16" t="e">
        <f t="shared" ref="F3561:K3561" si="7168">VLOOKUP($A3561,[11]Planeación!$A$1:$O$253,F$1,0)</f>
        <v>#N/A</v>
      </c>
      <c r="G3561" s="39" t="e">
        <f t="shared" si="7168"/>
        <v>#N/A</v>
      </c>
      <c r="H3561" s="16" t="e">
        <f t="shared" si="7168"/>
        <v>#N/A</v>
      </c>
      <c r="I3561" s="16" t="e">
        <f t="shared" si="7168"/>
        <v>#N/A</v>
      </c>
      <c r="J3561" s="40" t="e">
        <f t="shared" si="7168"/>
        <v>#N/A</v>
      </c>
      <c r="K3561" s="16" t="e">
        <f t="shared" si="7168"/>
        <v>#N/A</v>
      </c>
      <c r="L3561" s="40" t="e">
        <f t="shared" si="6649"/>
        <v>#N/A</v>
      </c>
      <c r="M3561" s="16" t="e">
        <f t="shared" si="6650"/>
        <v>#N/A</v>
      </c>
      <c r="N3561" s="16" t="e">
        <f t="shared" si="6651"/>
        <v>#N/A</v>
      </c>
      <c r="O3561" s="16" t="s">
        <v>75</v>
      </c>
      <c r="P3561" s="16" t="str">
        <f t="shared" si="6"/>
        <v/>
      </c>
      <c r="Q3561" s="41" t="e">
        <f t="shared" si="6652"/>
        <v>#N/A</v>
      </c>
      <c r="R3561" s="44"/>
      <c r="S3561" s="44"/>
      <c r="T3561" s="43"/>
      <c r="U3561" s="43" t="str">
        <f t="shared" si="8"/>
        <v>No</v>
      </c>
      <c r="V3561" s="25"/>
      <c r="W3561" s="25"/>
      <c r="X3561" s="25"/>
      <c r="Y3561" s="25"/>
      <c r="Z3561" s="25"/>
    </row>
    <row r="3562" spans="1:26" ht="15.75" customHeight="1" x14ac:dyDescent="0.25">
      <c r="A3562" s="25">
        <v>3560</v>
      </c>
      <c r="B3562" s="37" t="e">
        <f t="shared" ref="B3562:D3562" si="7169">VLOOKUP($A3562,[11]Planeación!$A$1:$O$253,B$1,0)</f>
        <v>#N/A</v>
      </c>
      <c r="C3562" s="38" t="e">
        <f t="shared" si="7169"/>
        <v>#N/A</v>
      </c>
      <c r="D3562" s="39" t="e">
        <f t="shared" si="7169"/>
        <v>#N/A</v>
      </c>
      <c r="E3562" s="16" t="e">
        <f t="shared" si="1"/>
        <v>#N/A</v>
      </c>
      <c r="F3562" s="16" t="e">
        <f t="shared" ref="F3562:K3562" si="7170">VLOOKUP($A3562,[11]Planeación!$A$1:$O$253,F$1,0)</f>
        <v>#N/A</v>
      </c>
      <c r="G3562" s="39" t="e">
        <f t="shared" si="7170"/>
        <v>#N/A</v>
      </c>
      <c r="H3562" s="16" t="e">
        <f t="shared" si="7170"/>
        <v>#N/A</v>
      </c>
      <c r="I3562" s="16" t="e">
        <f t="shared" si="7170"/>
        <v>#N/A</v>
      </c>
      <c r="J3562" s="40" t="e">
        <f t="shared" si="7170"/>
        <v>#N/A</v>
      </c>
      <c r="K3562" s="16" t="e">
        <f t="shared" si="7170"/>
        <v>#N/A</v>
      </c>
      <c r="L3562" s="40" t="e">
        <f t="shared" si="6649"/>
        <v>#N/A</v>
      </c>
      <c r="M3562" s="16" t="e">
        <f t="shared" si="6650"/>
        <v>#N/A</v>
      </c>
      <c r="N3562" s="16" t="e">
        <f t="shared" si="6651"/>
        <v>#N/A</v>
      </c>
      <c r="O3562" s="16" t="s">
        <v>75</v>
      </c>
      <c r="P3562" s="16" t="str">
        <f t="shared" si="6"/>
        <v/>
      </c>
      <c r="Q3562" s="41" t="e">
        <f t="shared" si="6652"/>
        <v>#N/A</v>
      </c>
      <c r="R3562" s="44"/>
      <c r="S3562" s="44"/>
      <c r="T3562" s="43"/>
      <c r="U3562" s="43" t="str">
        <f t="shared" si="8"/>
        <v>No</v>
      </c>
      <c r="V3562" s="25"/>
      <c r="W3562" s="25"/>
      <c r="X3562" s="25"/>
      <c r="Y3562" s="25"/>
      <c r="Z3562" s="25"/>
    </row>
    <row r="3563" spans="1:26" ht="15.75" customHeight="1" x14ac:dyDescent="0.25">
      <c r="A3563" s="25">
        <v>3561</v>
      </c>
      <c r="B3563" s="37" t="e">
        <f t="shared" ref="B3563:D3563" si="7171">VLOOKUP($A3563,[11]Planeación!$A$1:$O$253,B$1,0)</f>
        <v>#N/A</v>
      </c>
      <c r="C3563" s="38" t="e">
        <f t="shared" si="7171"/>
        <v>#N/A</v>
      </c>
      <c r="D3563" s="39" t="e">
        <f t="shared" si="7171"/>
        <v>#N/A</v>
      </c>
      <c r="E3563" s="16" t="e">
        <f t="shared" si="1"/>
        <v>#N/A</v>
      </c>
      <c r="F3563" s="16" t="e">
        <f t="shared" ref="F3563:K3563" si="7172">VLOOKUP($A3563,[11]Planeación!$A$1:$O$253,F$1,0)</f>
        <v>#N/A</v>
      </c>
      <c r="G3563" s="39" t="e">
        <f t="shared" si="7172"/>
        <v>#N/A</v>
      </c>
      <c r="H3563" s="16" t="e">
        <f t="shared" si="7172"/>
        <v>#N/A</v>
      </c>
      <c r="I3563" s="16" t="e">
        <f t="shared" si="7172"/>
        <v>#N/A</v>
      </c>
      <c r="J3563" s="40" t="e">
        <f t="shared" si="7172"/>
        <v>#N/A</v>
      </c>
      <c r="K3563" s="16" t="e">
        <f t="shared" si="7172"/>
        <v>#N/A</v>
      </c>
      <c r="L3563" s="40" t="e">
        <f t="shared" si="6649"/>
        <v>#N/A</v>
      </c>
      <c r="M3563" s="16" t="e">
        <f t="shared" si="6650"/>
        <v>#N/A</v>
      </c>
      <c r="N3563" s="16" t="e">
        <f t="shared" si="6651"/>
        <v>#N/A</v>
      </c>
      <c r="O3563" s="16" t="s">
        <v>75</v>
      </c>
      <c r="P3563" s="16" t="str">
        <f t="shared" si="6"/>
        <v/>
      </c>
      <c r="Q3563" s="41" t="e">
        <f t="shared" si="6652"/>
        <v>#N/A</v>
      </c>
      <c r="R3563" s="44"/>
      <c r="S3563" s="44"/>
      <c r="T3563" s="43"/>
      <c r="U3563" s="43" t="str">
        <f t="shared" si="8"/>
        <v>No</v>
      </c>
      <c r="V3563" s="25"/>
      <c r="W3563" s="25"/>
      <c r="X3563" s="25"/>
      <c r="Y3563" s="25"/>
      <c r="Z3563" s="25"/>
    </row>
    <row r="3564" spans="1:26" ht="15.75" customHeight="1" x14ac:dyDescent="0.25">
      <c r="A3564" s="25">
        <v>3562</v>
      </c>
      <c r="B3564" s="37" t="e">
        <f t="shared" ref="B3564:D3564" si="7173">VLOOKUP($A3564,[11]Planeación!$A$1:$O$253,B$1,0)</f>
        <v>#N/A</v>
      </c>
      <c r="C3564" s="38" t="e">
        <f t="shared" si="7173"/>
        <v>#N/A</v>
      </c>
      <c r="D3564" s="39" t="e">
        <f t="shared" si="7173"/>
        <v>#N/A</v>
      </c>
      <c r="E3564" s="16" t="e">
        <f t="shared" si="1"/>
        <v>#N/A</v>
      </c>
      <c r="F3564" s="16" t="e">
        <f t="shared" ref="F3564:K3564" si="7174">VLOOKUP($A3564,[11]Planeación!$A$1:$O$253,F$1,0)</f>
        <v>#N/A</v>
      </c>
      <c r="G3564" s="39" t="e">
        <f t="shared" si="7174"/>
        <v>#N/A</v>
      </c>
      <c r="H3564" s="16" t="e">
        <f t="shared" si="7174"/>
        <v>#N/A</v>
      </c>
      <c r="I3564" s="16" t="e">
        <f t="shared" si="7174"/>
        <v>#N/A</v>
      </c>
      <c r="J3564" s="40" t="e">
        <f t="shared" si="7174"/>
        <v>#N/A</v>
      </c>
      <c r="K3564" s="16" t="e">
        <f t="shared" si="7174"/>
        <v>#N/A</v>
      </c>
      <c r="L3564" s="40" t="e">
        <f t="shared" si="6649"/>
        <v>#N/A</v>
      </c>
      <c r="M3564" s="16" t="e">
        <f t="shared" si="6650"/>
        <v>#N/A</v>
      </c>
      <c r="N3564" s="16" t="e">
        <f t="shared" si="6651"/>
        <v>#N/A</v>
      </c>
      <c r="O3564" s="16" t="s">
        <v>75</v>
      </c>
      <c r="P3564" s="16" t="str">
        <f t="shared" si="6"/>
        <v/>
      </c>
      <c r="Q3564" s="41" t="e">
        <f t="shared" si="6652"/>
        <v>#N/A</v>
      </c>
      <c r="R3564" s="44"/>
      <c r="S3564" s="44"/>
      <c r="T3564" s="43"/>
      <c r="U3564" s="43" t="str">
        <f t="shared" si="8"/>
        <v>No</v>
      </c>
      <c r="V3564" s="25"/>
      <c r="W3564" s="25"/>
      <c r="X3564" s="25"/>
      <c r="Y3564" s="25"/>
      <c r="Z3564" s="25"/>
    </row>
    <row r="3565" spans="1:26" ht="15.75" customHeight="1" x14ac:dyDescent="0.25">
      <c r="A3565" s="25">
        <v>3563</v>
      </c>
      <c r="B3565" s="37" t="e">
        <f t="shared" ref="B3565:D3565" si="7175">VLOOKUP($A3565,[11]Planeación!$A$1:$O$253,B$1,0)</f>
        <v>#N/A</v>
      </c>
      <c r="C3565" s="38" t="e">
        <f t="shared" si="7175"/>
        <v>#N/A</v>
      </c>
      <c r="D3565" s="39" t="e">
        <f t="shared" si="7175"/>
        <v>#N/A</v>
      </c>
      <c r="E3565" s="16" t="e">
        <f t="shared" si="1"/>
        <v>#N/A</v>
      </c>
      <c r="F3565" s="16" t="e">
        <f t="shared" ref="F3565:K3565" si="7176">VLOOKUP($A3565,[11]Planeación!$A$1:$O$253,F$1,0)</f>
        <v>#N/A</v>
      </c>
      <c r="G3565" s="39" t="e">
        <f t="shared" si="7176"/>
        <v>#N/A</v>
      </c>
      <c r="H3565" s="16" t="e">
        <f t="shared" si="7176"/>
        <v>#N/A</v>
      </c>
      <c r="I3565" s="16" t="e">
        <f t="shared" si="7176"/>
        <v>#N/A</v>
      </c>
      <c r="J3565" s="40" t="e">
        <f t="shared" si="7176"/>
        <v>#N/A</v>
      </c>
      <c r="K3565" s="16" t="e">
        <f t="shared" si="7176"/>
        <v>#N/A</v>
      </c>
      <c r="L3565" s="40" t="e">
        <f t="shared" si="6649"/>
        <v>#N/A</v>
      </c>
      <c r="M3565" s="16" t="e">
        <f t="shared" si="6650"/>
        <v>#N/A</v>
      </c>
      <c r="N3565" s="16" t="e">
        <f t="shared" si="6651"/>
        <v>#N/A</v>
      </c>
      <c r="O3565" s="16" t="s">
        <v>75</v>
      </c>
      <c r="P3565" s="16" t="str">
        <f t="shared" si="6"/>
        <v/>
      </c>
      <c r="Q3565" s="41" t="e">
        <f t="shared" si="6652"/>
        <v>#N/A</v>
      </c>
      <c r="R3565" s="44"/>
      <c r="S3565" s="44"/>
      <c r="T3565" s="43"/>
      <c r="U3565" s="43" t="str">
        <f t="shared" si="8"/>
        <v>No</v>
      </c>
      <c r="V3565" s="25"/>
      <c r="W3565" s="25"/>
      <c r="X3565" s="25"/>
      <c r="Y3565" s="25"/>
      <c r="Z3565" s="25"/>
    </row>
    <row r="3566" spans="1:26" ht="15.75" customHeight="1" x14ac:dyDescent="0.25">
      <c r="A3566" s="25">
        <v>3564</v>
      </c>
      <c r="B3566" s="37" t="e">
        <f t="shared" ref="B3566:D3566" si="7177">VLOOKUP($A3566,[11]Planeación!$A$1:$O$253,B$1,0)</f>
        <v>#N/A</v>
      </c>
      <c r="C3566" s="38" t="e">
        <f t="shared" si="7177"/>
        <v>#N/A</v>
      </c>
      <c r="D3566" s="39" t="e">
        <f t="shared" si="7177"/>
        <v>#N/A</v>
      </c>
      <c r="E3566" s="16" t="e">
        <f t="shared" si="1"/>
        <v>#N/A</v>
      </c>
      <c r="F3566" s="16" t="e">
        <f t="shared" ref="F3566:K3566" si="7178">VLOOKUP($A3566,[11]Planeación!$A$1:$O$253,F$1,0)</f>
        <v>#N/A</v>
      </c>
      <c r="G3566" s="39" t="e">
        <f t="shared" si="7178"/>
        <v>#N/A</v>
      </c>
      <c r="H3566" s="16" t="e">
        <f t="shared" si="7178"/>
        <v>#N/A</v>
      </c>
      <c r="I3566" s="16" t="e">
        <f t="shared" si="7178"/>
        <v>#N/A</v>
      </c>
      <c r="J3566" s="40" t="e">
        <f t="shared" si="7178"/>
        <v>#N/A</v>
      </c>
      <c r="K3566" s="16" t="e">
        <f t="shared" si="7178"/>
        <v>#N/A</v>
      </c>
      <c r="L3566" s="40" t="e">
        <f t="shared" si="6649"/>
        <v>#N/A</v>
      </c>
      <c r="M3566" s="16" t="e">
        <f t="shared" si="6650"/>
        <v>#N/A</v>
      </c>
      <c r="N3566" s="16" t="e">
        <f t="shared" si="6651"/>
        <v>#N/A</v>
      </c>
      <c r="O3566" s="16" t="s">
        <v>75</v>
      </c>
      <c r="P3566" s="16" t="str">
        <f t="shared" si="6"/>
        <v/>
      </c>
      <c r="Q3566" s="41" t="e">
        <f t="shared" si="6652"/>
        <v>#N/A</v>
      </c>
      <c r="R3566" s="44"/>
      <c r="S3566" s="44"/>
      <c r="T3566" s="43"/>
      <c r="U3566" s="43" t="str">
        <f t="shared" si="8"/>
        <v>No</v>
      </c>
      <c r="V3566" s="25"/>
      <c r="W3566" s="25"/>
      <c r="X3566" s="25"/>
      <c r="Y3566" s="25"/>
      <c r="Z3566" s="25"/>
    </row>
    <row r="3567" spans="1:26" ht="15.75" customHeight="1" x14ac:dyDescent="0.25">
      <c r="A3567" s="25">
        <v>3565</v>
      </c>
      <c r="B3567" s="37" t="e">
        <f t="shared" ref="B3567:D3567" si="7179">VLOOKUP($A3567,[11]Planeación!$A$1:$O$253,B$1,0)</f>
        <v>#N/A</v>
      </c>
      <c r="C3567" s="38" t="e">
        <f t="shared" si="7179"/>
        <v>#N/A</v>
      </c>
      <c r="D3567" s="39" t="e">
        <f t="shared" si="7179"/>
        <v>#N/A</v>
      </c>
      <c r="E3567" s="16" t="e">
        <f t="shared" si="1"/>
        <v>#N/A</v>
      </c>
      <c r="F3567" s="16" t="e">
        <f t="shared" ref="F3567:K3567" si="7180">VLOOKUP($A3567,[11]Planeación!$A$1:$O$253,F$1,0)</f>
        <v>#N/A</v>
      </c>
      <c r="G3567" s="39" t="e">
        <f t="shared" si="7180"/>
        <v>#N/A</v>
      </c>
      <c r="H3567" s="16" t="e">
        <f t="shared" si="7180"/>
        <v>#N/A</v>
      </c>
      <c r="I3567" s="16" t="e">
        <f t="shared" si="7180"/>
        <v>#N/A</v>
      </c>
      <c r="J3567" s="40" t="e">
        <f t="shared" si="7180"/>
        <v>#N/A</v>
      </c>
      <c r="K3567" s="16" t="e">
        <f t="shared" si="7180"/>
        <v>#N/A</v>
      </c>
      <c r="L3567" s="40" t="e">
        <f t="shared" si="6649"/>
        <v>#N/A</v>
      </c>
      <c r="M3567" s="16" t="e">
        <f t="shared" si="6650"/>
        <v>#N/A</v>
      </c>
      <c r="N3567" s="16" t="e">
        <f t="shared" si="6651"/>
        <v>#N/A</v>
      </c>
      <c r="O3567" s="16" t="s">
        <v>75</v>
      </c>
      <c r="P3567" s="16" t="str">
        <f t="shared" si="6"/>
        <v/>
      </c>
      <c r="Q3567" s="41" t="e">
        <f t="shared" si="6652"/>
        <v>#N/A</v>
      </c>
      <c r="R3567" s="44"/>
      <c r="S3567" s="44"/>
      <c r="T3567" s="43"/>
      <c r="U3567" s="43" t="str">
        <f t="shared" si="8"/>
        <v>No</v>
      </c>
      <c r="V3567" s="25"/>
      <c r="W3567" s="25"/>
      <c r="X3567" s="25"/>
      <c r="Y3567" s="25"/>
      <c r="Z3567" s="25"/>
    </row>
    <row r="3568" spans="1:26" ht="15.75" customHeight="1" x14ac:dyDescent="0.25">
      <c r="A3568" s="25">
        <v>3566</v>
      </c>
      <c r="B3568" s="37" t="e">
        <f t="shared" ref="B3568:D3568" si="7181">VLOOKUP($A3568,[11]Planeación!$A$1:$O$253,B$1,0)</f>
        <v>#N/A</v>
      </c>
      <c r="C3568" s="38" t="e">
        <f t="shared" si="7181"/>
        <v>#N/A</v>
      </c>
      <c r="D3568" s="39" t="e">
        <f t="shared" si="7181"/>
        <v>#N/A</v>
      </c>
      <c r="E3568" s="16" t="e">
        <f t="shared" si="1"/>
        <v>#N/A</v>
      </c>
      <c r="F3568" s="16" t="e">
        <f t="shared" ref="F3568:K3568" si="7182">VLOOKUP($A3568,[11]Planeación!$A$1:$O$253,F$1,0)</f>
        <v>#N/A</v>
      </c>
      <c r="G3568" s="39" t="e">
        <f t="shared" si="7182"/>
        <v>#N/A</v>
      </c>
      <c r="H3568" s="16" t="e">
        <f t="shared" si="7182"/>
        <v>#N/A</v>
      </c>
      <c r="I3568" s="16" t="e">
        <f t="shared" si="7182"/>
        <v>#N/A</v>
      </c>
      <c r="J3568" s="40" t="e">
        <f t="shared" si="7182"/>
        <v>#N/A</v>
      </c>
      <c r="K3568" s="16" t="e">
        <f t="shared" si="7182"/>
        <v>#N/A</v>
      </c>
      <c r="L3568" s="40" t="e">
        <f t="shared" si="6649"/>
        <v>#N/A</v>
      </c>
      <c r="M3568" s="16" t="e">
        <f t="shared" si="6650"/>
        <v>#N/A</v>
      </c>
      <c r="N3568" s="16" t="e">
        <f t="shared" si="6651"/>
        <v>#N/A</v>
      </c>
      <c r="O3568" s="16" t="s">
        <v>75</v>
      </c>
      <c r="P3568" s="16" t="str">
        <f t="shared" si="6"/>
        <v/>
      </c>
      <c r="Q3568" s="41" t="e">
        <f t="shared" si="6652"/>
        <v>#N/A</v>
      </c>
      <c r="R3568" s="44"/>
      <c r="S3568" s="44"/>
      <c r="T3568" s="43"/>
      <c r="U3568" s="43" t="str">
        <f t="shared" si="8"/>
        <v>No</v>
      </c>
      <c r="V3568" s="25"/>
      <c r="W3568" s="25"/>
      <c r="X3568" s="25"/>
      <c r="Y3568" s="25"/>
      <c r="Z3568" s="25"/>
    </row>
    <row r="3569" spans="1:26" ht="15.75" customHeight="1" x14ac:dyDescent="0.25">
      <c r="A3569" s="25">
        <v>3567</v>
      </c>
      <c r="B3569" s="37" t="e">
        <f t="shared" ref="B3569:D3569" si="7183">VLOOKUP($A3569,[11]Planeación!$A$1:$O$253,B$1,0)</f>
        <v>#N/A</v>
      </c>
      <c r="C3569" s="38" t="e">
        <f t="shared" si="7183"/>
        <v>#N/A</v>
      </c>
      <c r="D3569" s="39" t="e">
        <f t="shared" si="7183"/>
        <v>#N/A</v>
      </c>
      <c r="E3569" s="16" t="e">
        <f t="shared" si="1"/>
        <v>#N/A</v>
      </c>
      <c r="F3569" s="16" t="e">
        <f t="shared" ref="F3569:K3569" si="7184">VLOOKUP($A3569,[11]Planeación!$A$1:$O$253,F$1,0)</f>
        <v>#N/A</v>
      </c>
      <c r="G3569" s="39" t="e">
        <f t="shared" si="7184"/>
        <v>#N/A</v>
      </c>
      <c r="H3569" s="16" t="e">
        <f t="shared" si="7184"/>
        <v>#N/A</v>
      </c>
      <c r="I3569" s="16" t="e">
        <f t="shared" si="7184"/>
        <v>#N/A</v>
      </c>
      <c r="J3569" s="40" t="e">
        <f t="shared" si="7184"/>
        <v>#N/A</v>
      </c>
      <c r="K3569" s="16" t="e">
        <f t="shared" si="7184"/>
        <v>#N/A</v>
      </c>
      <c r="L3569" s="40" t="e">
        <f t="shared" si="6649"/>
        <v>#N/A</v>
      </c>
      <c r="M3569" s="16" t="e">
        <f t="shared" si="6650"/>
        <v>#N/A</v>
      </c>
      <c r="N3569" s="16" t="e">
        <f t="shared" si="6651"/>
        <v>#N/A</v>
      </c>
      <c r="O3569" s="16" t="s">
        <v>75</v>
      </c>
      <c r="P3569" s="16" t="str">
        <f t="shared" si="6"/>
        <v/>
      </c>
      <c r="Q3569" s="41" t="e">
        <f t="shared" si="6652"/>
        <v>#N/A</v>
      </c>
      <c r="R3569" s="44"/>
      <c r="S3569" s="44"/>
      <c r="T3569" s="43"/>
      <c r="U3569" s="43" t="str">
        <f t="shared" si="8"/>
        <v>No</v>
      </c>
      <c r="V3569" s="25"/>
      <c r="W3569" s="25"/>
      <c r="X3569" s="25"/>
      <c r="Y3569" s="25"/>
      <c r="Z3569" s="25"/>
    </row>
    <row r="3570" spans="1:26" ht="15.75" customHeight="1" x14ac:dyDescent="0.25">
      <c r="A3570" s="25">
        <v>3568</v>
      </c>
      <c r="B3570" s="37" t="e">
        <f t="shared" ref="B3570:D3570" si="7185">VLOOKUP($A3570,[11]Planeación!$A$1:$O$253,B$1,0)</f>
        <v>#N/A</v>
      </c>
      <c r="C3570" s="38" t="e">
        <f t="shared" si="7185"/>
        <v>#N/A</v>
      </c>
      <c r="D3570" s="39" t="e">
        <f t="shared" si="7185"/>
        <v>#N/A</v>
      </c>
      <c r="E3570" s="16" t="e">
        <f t="shared" si="1"/>
        <v>#N/A</v>
      </c>
      <c r="F3570" s="16" t="e">
        <f t="shared" ref="F3570:K3570" si="7186">VLOOKUP($A3570,[11]Planeación!$A$1:$O$253,F$1,0)</f>
        <v>#N/A</v>
      </c>
      <c r="G3570" s="39" t="e">
        <f t="shared" si="7186"/>
        <v>#N/A</v>
      </c>
      <c r="H3570" s="16" t="e">
        <f t="shared" si="7186"/>
        <v>#N/A</v>
      </c>
      <c r="I3570" s="16" t="e">
        <f t="shared" si="7186"/>
        <v>#N/A</v>
      </c>
      <c r="J3570" s="40" t="e">
        <f t="shared" si="7186"/>
        <v>#N/A</v>
      </c>
      <c r="K3570" s="16" t="e">
        <f t="shared" si="7186"/>
        <v>#N/A</v>
      </c>
      <c r="L3570" s="40" t="e">
        <f t="shared" si="6649"/>
        <v>#N/A</v>
      </c>
      <c r="M3570" s="16" t="e">
        <f t="shared" si="6650"/>
        <v>#N/A</v>
      </c>
      <c r="N3570" s="16" t="e">
        <f t="shared" si="6651"/>
        <v>#N/A</v>
      </c>
      <c r="O3570" s="16" t="s">
        <v>75</v>
      </c>
      <c r="P3570" s="16" t="str">
        <f t="shared" si="6"/>
        <v/>
      </c>
      <c r="Q3570" s="41" t="e">
        <f t="shared" si="6652"/>
        <v>#N/A</v>
      </c>
      <c r="R3570" s="44"/>
      <c r="S3570" s="44"/>
      <c r="T3570" s="43"/>
      <c r="U3570" s="43" t="str">
        <f t="shared" si="8"/>
        <v>No</v>
      </c>
      <c r="V3570" s="25"/>
      <c r="W3570" s="25"/>
      <c r="X3570" s="25"/>
      <c r="Y3570" s="25"/>
      <c r="Z3570" s="25"/>
    </row>
    <row r="3571" spans="1:26" ht="15.75" customHeight="1" x14ac:dyDescent="0.25">
      <c r="A3571" s="25">
        <v>3569</v>
      </c>
      <c r="B3571" s="37" t="e">
        <f t="shared" ref="B3571:D3571" si="7187">VLOOKUP($A3571,[11]Planeación!$A$1:$O$253,B$1,0)</f>
        <v>#N/A</v>
      </c>
      <c r="C3571" s="38" t="e">
        <f t="shared" si="7187"/>
        <v>#N/A</v>
      </c>
      <c r="D3571" s="39" t="e">
        <f t="shared" si="7187"/>
        <v>#N/A</v>
      </c>
      <c r="E3571" s="16" t="e">
        <f t="shared" si="1"/>
        <v>#N/A</v>
      </c>
      <c r="F3571" s="16" t="e">
        <f t="shared" ref="F3571:K3571" si="7188">VLOOKUP($A3571,[11]Planeación!$A$1:$O$253,F$1,0)</f>
        <v>#N/A</v>
      </c>
      <c r="G3571" s="39" t="e">
        <f t="shared" si="7188"/>
        <v>#N/A</v>
      </c>
      <c r="H3571" s="16" t="e">
        <f t="shared" si="7188"/>
        <v>#N/A</v>
      </c>
      <c r="I3571" s="16" t="e">
        <f t="shared" si="7188"/>
        <v>#N/A</v>
      </c>
      <c r="J3571" s="40" t="e">
        <f t="shared" si="7188"/>
        <v>#N/A</v>
      </c>
      <c r="K3571" s="16" t="e">
        <f t="shared" si="7188"/>
        <v>#N/A</v>
      </c>
      <c r="L3571" s="40" t="e">
        <f t="shared" si="6649"/>
        <v>#N/A</v>
      </c>
      <c r="M3571" s="16" t="e">
        <f t="shared" si="6650"/>
        <v>#N/A</v>
      </c>
      <c r="N3571" s="16" t="e">
        <f t="shared" si="6651"/>
        <v>#N/A</v>
      </c>
      <c r="O3571" s="16" t="s">
        <v>75</v>
      </c>
      <c r="P3571" s="16" t="str">
        <f t="shared" si="6"/>
        <v/>
      </c>
      <c r="Q3571" s="41" t="e">
        <f t="shared" si="6652"/>
        <v>#N/A</v>
      </c>
      <c r="R3571" s="44"/>
      <c r="S3571" s="44"/>
      <c r="T3571" s="43"/>
      <c r="U3571" s="43" t="str">
        <f t="shared" si="8"/>
        <v>No</v>
      </c>
      <c r="V3571" s="25"/>
      <c r="W3571" s="25"/>
      <c r="X3571" s="25"/>
      <c r="Y3571" s="25"/>
      <c r="Z3571" s="25"/>
    </row>
    <row r="3572" spans="1:26" ht="15.75" customHeight="1" x14ac:dyDescent="0.25">
      <c r="A3572" s="25">
        <v>3570</v>
      </c>
      <c r="B3572" s="37" t="e">
        <f t="shared" ref="B3572:D3572" si="7189">VLOOKUP($A3572,[11]Planeación!$A$1:$O$253,B$1,0)</f>
        <v>#N/A</v>
      </c>
      <c r="C3572" s="38" t="e">
        <f t="shared" si="7189"/>
        <v>#N/A</v>
      </c>
      <c r="D3572" s="39" t="e">
        <f t="shared" si="7189"/>
        <v>#N/A</v>
      </c>
      <c r="E3572" s="16" t="e">
        <f t="shared" si="1"/>
        <v>#N/A</v>
      </c>
      <c r="F3572" s="16" t="e">
        <f t="shared" ref="F3572:K3572" si="7190">VLOOKUP($A3572,[11]Planeación!$A$1:$O$253,F$1,0)</f>
        <v>#N/A</v>
      </c>
      <c r="G3572" s="39" t="e">
        <f t="shared" si="7190"/>
        <v>#N/A</v>
      </c>
      <c r="H3572" s="16" t="e">
        <f t="shared" si="7190"/>
        <v>#N/A</v>
      </c>
      <c r="I3572" s="16" t="e">
        <f t="shared" si="7190"/>
        <v>#N/A</v>
      </c>
      <c r="J3572" s="40" t="e">
        <f t="shared" si="7190"/>
        <v>#N/A</v>
      </c>
      <c r="K3572" s="16" t="e">
        <f t="shared" si="7190"/>
        <v>#N/A</v>
      </c>
      <c r="L3572" s="40" t="e">
        <f t="shared" si="6649"/>
        <v>#N/A</v>
      </c>
      <c r="M3572" s="16" t="e">
        <f t="shared" si="6650"/>
        <v>#N/A</v>
      </c>
      <c r="N3572" s="16" t="e">
        <f t="shared" si="6651"/>
        <v>#N/A</v>
      </c>
      <c r="O3572" s="16" t="s">
        <v>75</v>
      </c>
      <c r="P3572" s="16" t="str">
        <f t="shared" si="6"/>
        <v/>
      </c>
      <c r="Q3572" s="41" t="e">
        <f t="shared" si="6652"/>
        <v>#N/A</v>
      </c>
      <c r="R3572" s="44"/>
      <c r="S3572" s="44"/>
      <c r="T3572" s="43"/>
      <c r="U3572" s="43" t="str">
        <f t="shared" si="8"/>
        <v>No</v>
      </c>
      <c r="V3572" s="25"/>
      <c r="W3572" s="25"/>
      <c r="X3572" s="25"/>
      <c r="Y3572" s="25"/>
      <c r="Z3572" s="25"/>
    </row>
    <row r="3573" spans="1:26" ht="15.75" customHeight="1" x14ac:dyDescent="0.25">
      <c r="A3573" s="25">
        <v>3571</v>
      </c>
      <c r="B3573" s="37" t="e">
        <f t="shared" ref="B3573:D3573" si="7191">VLOOKUP($A3573,[11]Planeación!$A$1:$O$253,B$1,0)</f>
        <v>#N/A</v>
      </c>
      <c r="C3573" s="38" t="e">
        <f t="shared" si="7191"/>
        <v>#N/A</v>
      </c>
      <c r="D3573" s="39" t="e">
        <f t="shared" si="7191"/>
        <v>#N/A</v>
      </c>
      <c r="E3573" s="16" t="e">
        <f t="shared" si="1"/>
        <v>#N/A</v>
      </c>
      <c r="F3573" s="16" t="e">
        <f t="shared" ref="F3573:K3573" si="7192">VLOOKUP($A3573,[11]Planeación!$A$1:$O$253,F$1,0)</f>
        <v>#N/A</v>
      </c>
      <c r="G3573" s="39" t="e">
        <f t="shared" si="7192"/>
        <v>#N/A</v>
      </c>
      <c r="H3573" s="16" t="e">
        <f t="shared" si="7192"/>
        <v>#N/A</v>
      </c>
      <c r="I3573" s="16" t="e">
        <f t="shared" si="7192"/>
        <v>#N/A</v>
      </c>
      <c r="J3573" s="40" t="e">
        <f t="shared" si="7192"/>
        <v>#N/A</v>
      </c>
      <c r="K3573" s="16" t="e">
        <f t="shared" si="7192"/>
        <v>#N/A</v>
      </c>
      <c r="L3573" s="40" t="e">
        <f t="shared" si="6649"/>
        <v>#N/A</v>
      </c>
      <c r="M3573" s="16" t="e">
        <f t="shared" si="6650"/>
        <v>#N/A</v>
      </c>
      <c r="N3573" s="16" t="e">
        <f t="shared" si="6651"/>
        <v>#N/A</v>
      </c>
      <c r="O3573" s="16" t="s">
        <v>75</v>
      </c>
      <c r="P3573" s="16" t="str">
        <f t="shared" si="6"/>
        <v/>
      </c>
      <c r="Q3573" s="41" t="e">
        <f t="shared" si="6652"/>
        <v>#N/A</v>
      </c>
      <c r="R3573" s="44"/>
      <c r="S3573" s="44"/>
      <c r="T3573" s="43"/>
      <c r="U3573" s="43" t="str">
        <f t="shared" si="8"/>
        <v>No</v>
      </c>
      <c r="V3573" s="25"/>
      <c r="W3573" s="25"/>
      <c r="X3573" s="25"/>
      <c r="Y3573" s="25"/>
      <c r="Z3573" s="25"/>
    </row>
    <row r="3574" spans="1:26" ht="15.75" customHeight="1" x14ac:dyDescent="0.25">
      <c r="A3574" s="25">
        <v>3572</v>
      </c>
      <c r="B3574" s="37" t="e">
        <f t="shared" ref="B3574:D3574" si="7193">VLOOKUP($A3574,[11]Planeación!$A$1:$O$253,B$1,0)</f>
        <v>#N/A</v>
      </c>
      <c r="C3574" s="38" t="e">
        <f t="shared" si="7193"/>
        <v>#N/A</v>
      </c>
      <c r="D3574" s="39" t="e">
        <f t="shared" si="7193"/>
        <v>#N/A</v>
      </c>
      <c r="E3574" s="16" t="e">
        <f t="shared" si="1"/>
        <v>#N/A</v>
      </c>
      <c r="F3574" s="16" t="e">
        <f t="shared" ref="F3574:K3574" si="7194">VLOOKUP($A3574,[11]Planeación!$A$1:$O$253,F$1,0)</f>
        <v>#N/A</v>
      </c>
      <c r="G3574" s="39" t="e">
        <f t="shared" si="7194"/>
        <v>#N/A</v>
      </c>
      <c r="H3574" s="16" t="e">
        <f t="shared" si="7194"/>
        <v>#N/A</v>
      </c>
      <c r="I3574" s="16" t="e">
        <f t="shared" si="7194"/>
        <v>#N/A</v>
      </c>
      <c r="J3574" s="40" t="e">
        <f t="shared" si="7194"/>
        <v>#N/A</v>
      </c>
      <c r="K3574" s="16" t="e">
        <f t="shared" si="7194"/>
        <v>#N/A</v>
      </c>
      <c r="L3574" s="40" t="e">
        <f t="shared" si="6649"/>
        <v>#N/A</v>
      </c>
      <c r="M3574" s="16" t="e">
        <f t="shared" si="6650"/>
        <v>#N/A</v>
      </c>
      <c r="N3574" s="16" t="e">
        <f t="shared" si="6651"/>
        <v>#N/A</v>
      </c>
      <c r="O3574" s="16" t="s">
        <v>75</v>
      </c>
      <c r="P3574" s="16" t="str">
        <f t="shared" si="6"/>
        <v/>
      </c>
      <c r="Q3574" s="41" t="e">
        <f t="shared" si="6652"/>
        <v>#N/A</v>
      </c>
      <c r="R3574" s="44"/>
      <c r="S3574" s="44"/>
      <c r="T3574" s="43"/>
      <c r="U3574" s="43" t="str">
        <f t="shared" si="8"/>
        <v>No</v>
      </c>
      <c r="V3574" s="25"/>
      <c r="W3574" s="25"/>
      <c r="X3574" s="25"/>
      <c r="Y3574" s="25"/>
      <c r="Z3574" s="25"/>
    </row>
    <row r="3575" spans="1:26" ht="15.75" customHeight="1" x14ac:dyDescent="0.25">
      <c r="A3575" s="25">
        <v>3573</v>
      </c>
      <c r="B3575" s="37" t="e">
        <f t="shared" ref="B3575:D3575" si="7195">VLOOKUP($A3575,[11]Planeación!$A$1:$O$253,B$1,0)</f>
        <v>#N/A</v>
      </c>
      <c r="C3575" s="38" t="e">
        <f t="shared" si="7195"/>
        <v>#N/A</v>
      </c>
      <c r="D3575" s="39" t="e">
        <f t="shared" si="7195"/>
        <v>#N/A</v>
      </c>
      <c r="E3575" s="16" t="e">
        <f t="shared" si="1"/>
        <v>#N/A</v>
      </c>
      <c r="F3575" s="16" t="e">
        <f t="shared" ref="F3575:K3575" si="7196">VLOOKUP($A3575,[11]Planeación!$A$1:$O$253,F$1,0)</f>
        <v>#N/A</v>
      </c>
      <c r="G3575" s="39" t="e">
        <f t="shared" si="7196"/>
        <v>#N/A</v>
      </c>
      <c r="H3575" s="16" t="e">
        <f t="shared" si="7196"/>
        <v>#N/A</v>
      </c>
      <c r="I3575" s="16" t="e">
        <f t="shared" si="7196"/>
        <v>#N/A</v>
      </c>
      <c r="J3575" s="40" t="e">
        <f t="shared" si="7196"/>
        <v>#N/A</v>
      </c>
      <c r="K3575" s="16" t="e">
        <f t="shared" si="7196"/>
        <v>#N/A</v>
      </c>
      <c r="L3575" s="40" t="e">
        <f t="shared" si="6649"/>
        <v>#N/A</v>
      </c>
      <c r="M3575" s="16" t="e">
        <f t="shared" si="6650"/>
        <v>#N/A</v>
      </c>
      <c r="N3575" s="16" t="e">
        <f t="shared" si="6651"/>
        <v>#N/A</v>
      </c>
      <c r="O3575" s="16" t="s">
        <v>75</v>
      </c>
      <c r="P3575" s="16" t="str">
        <f t="shared" si="6"/>
        <v/>
      </c>
      <c r="Q3575" s="41" t="e">
        <f t="shared" si="6652"/>
        <v>#N/A</v>
      </c>
      <c r="R3575" s="44"/>
      <c r="S3575" s="44"/>
      <c r="T3575" s="43"/>
      <c r="U3575" s="43" t="str">
        <f t="shared" si="8"/>
        <v>No</v>
      </c>
      <c r="V3575" s="25"/>
      <c r="W3575" s="25"/>
      <c r="X3575" s="25"/>
      <c r="Y3575" s="25"/>
      <c r="Z3575" s="25"/>
    </row>
    <row r="3576" spans="1:26" ht="15.75" customHeight="1" x14ac:dyDescent="0.25">
      <c r="A3576" s="25">
        <v>3574</v>
      </c>
      <c r="B3576" s="37" t="e">
        <f t="shared" ref="B3576:D3576" si="7197">VLOOKUP($A3576,[11]Planeación!$A$1:$O$253,B$1,0)</f>
        <v>#N/A</v>
      </c>
      <c r="C3576" s="38" t="e">
        <f t="shared" si="7197"/>
        <v>#N/A</v>
      </c>
      <c r="D3576" s="39" t="e">
        <f t="shared" si="7197"/>
        <v>#N/A</v>
      </c>
      <c r="E3576" s="16" t="e">
        <f t="shared" si="1"/>
        <v>#N/A</v>
      </c>
      <c r="F3576" s="16" t="e">
        <f t="shared" ref="F3576:K3576" si="7198">VLOOKUP($A3576,[11]Planeación!$A$1:$O$253,F$1,0)</f>
        <v>#N/A</v>
      </c>
      <c r="G3576" s="39" t="e">
        <f t="shared" si="7198"/>
        <v>#N/A</v>
      </c>
      <c r="H3576" s="16" t="e">
        <f t="shared" si="7198"/>
        <v>#N/A</v>
      </c>
      <c r="I3576" s="16" t="e">
        <f t="shared" si="7198"/>
        <v>#N/A</v>
      </c>
      <c r="J3576" s="40" t="e">
        <f t="shared" si="7198"/>
        <v>#N/A</v>
      </c>
      <c r="K3576" s="16" t="e">
        <f t="shared" si="7198"/>
        <v>#N/A</v>
      </c>
      <c r="L3576" s="40" t="e">
        <f t="shared" si="6649"/>
        <v>#N/A</v>
      </c>
      <c r="M3576" s="16" t="e">
        <f t="shared" si="6650"/>
        <v>#N/A</v>
      </c>
      <c r="N3576" s="16" t="e">
        <f t="shared" si="6651"/>
        <v>#N/A</v>
      </c>
      <c r="O3576" s="16" t="s">
        <v>75</v>
      </c>
      <c r="P3576" s="16" t="str">
        <f t="shared" si="6"/>
        <v/>
      </c>
      <c r="Q3576" s="41" t="e">
        <f t="shared" si="6652"/>
        <v>#N/A</v>
      </c>
      <c r="R3576" s="44"/>
      <c r="S3576" s="44"/>
      <c r="T3576" s="43"/>
      <c r="U3576" s="43" t="str">
        <f t="shared" si="8"/>
        <v>No</v>
      </c>
      <c r="V3576" s="25"/>
      <c r="W3576" s="25"/>
      <c r="X3576" s="25"/>
      <c r="Y3576" s="25"/>
      <c r="Z3576" s="25"/>
    </row>
    <row r="3577" spans="1:26" ht="15.75" customHeight="1" x14ac:dyDescent="0.25">
      <c r="A3577" s="25">
        <v>3575</v>
      </c>
      <c r="B3577" s="37" t="e">
        <f t="shared" ref="B3577:D3577" si="7199">VLOOKUP($A3577,[11]Planeación!$A$1:$O$253,B$1,0)</f>
        <v>#N/A</v>
      </c>
      <c r="C3577" s="38" t="e">
        <f t="shared" si="7199"/>
        <v>#N/A</v>
      </c>
      <c r="D3577" s="39" t="e">
        <f t="shared" si="7199"/>
        <v>#N/A</v>
      </c>
      <c r="E3577" s="16" t="e">
        <f t="shared" si="1"/>
        <v>#N/A</v>
      </c>
      <c r="F3577" s="16" t="e">
        <f t="shared" ref="F3577:K3577" si="7200">VLOOKUP($A3577,[11]Planeación!$A$1:$O$253,F$1,0)</f>
        <v>#N/A</v>
      </c>
      <c r="G3577" s="39" t="e">
        <f t="shared" si="7200"/>
        <v>#N/A</v>
      </c>
      <c r="H3577" s="16" t="e">
        <f t="shared" si="7200"/>
        <v>#N/A</v>
      </c>
      <c r="I3577" s="16" t="e">
        <f t="shared" si="7200"/>
        <v>#N/A</v>
      </c>
      <c r="J3577" s="40" t="e">
        <f t="shared" si="7200"/>
        <v>#N/A</v>
      </c>
      <c r="K3577" s="16" t="e">
        <f t="shared" si="7200"/>
        <v>#N/A</v>
      </c>
      <c r="L3577" s="40" t="e">
        <f t="shared" si="6649"/>
        <v>#N/A</v>
      </c>
      <c r="M3577" s="16" t="e">
        <f t="shared" si="6650"/>
        <v>#N/A</v>
      </c>
      <c r="N3577" s="16" t="e">
        <f t="shared" si="6651"/>
        <v>#N/A</v>
      </c>
      <c r="O3577" s="16" t="s">
        <v>75</v>
      </c>
      <c r="P3577" s="16" t="str">
        <f t="shared" si="6"/>
        <v/>
      </c>
      <c r="Q3577" s="41" t="e">
        <f t="shared" si="6652"/>
        <v>#N/A</v>
      </c>
      <c r="R3577" s="44"/>
      <c r="S3577" s="44"/>
      <c r="T3577" s="43"/>
      <c r="U3577" s="43" t="str">
        <f t="shared" si="8"/>
        <v>No</v>
      </c>
      <c r="V3577" s="25"/>
      <c r="W3577" s="25"/>
      <c r="X3577" s="25"/>
      <c r="Y3577" s="25"/>
      <c r="Z3577" s="25"/>
    </row>
    <row r="3578" spans="1:26" ht="15.75" customHeight="1" x14ac:dyDescent="0.25">
      <c r="A3578" s="25">
        <v>3576</v>
      </c>
      <c r="B3578" s="37" t="e">
        <f t="shared" ref="B3578:D3578" si="7201">VLOOKUP($A3578,[11]Planeación!$A$1:$O$253,B$1,0)</f>
        <v>#N/A</v>
      </c>
      <c r="C3578" s="38" t="e">
        <f t="shared" si="7201"/>
        <v>#N/A</v>
      </c>
      <c r="D3578" s="39" t="e">
        <f t="shared" si="7201"/>
        <v>#N/A</v>
      </c>
      <c r="E3578" s="16" t="e">
        <f t="shared" si="1"/>
        <v>#N/A</v>
      </c>
      <c r="F3578" s="16" t="e">
        <f t="shared" ref="F3578:K3578" si="7202">VLOOKUP($A3578,[11]Planeación!$A$1:$O$253,F$1,0)</f>
        <v>#N/A</v>
      </c>
      <c r="G3578" s="39" t="e">
        <f t="shared" si="7202"/>
        <v>#N/A</v>
      </c>
      <c r="H3578" s="16" t="e">
        <f t="shared" si="7202"/>
        <v>#N/A</v>
      </c>
      <c r="I3578" s="16" t="e">
        <f t="shared" si="7202"/>
        <v>#N/A</v>
      </c>
      <c r="J3578" s="40" t="e">
        <f t="shared" si="7202"/>
        <v>#N/A</v>
      </c>
      <c r="K3578" s="16" t="e">
        <f t="shared" si="7202"/>
        <v>#N/A</v>
      </c>
      <c r="L3578" s="40" t="e">
        <f t="shared" si="6649"/>
        <v>#N/A</v>
      </c>
      <c r="M3578" s="16" t="e">
        <f t="shared" si="6650"/>
        <v>#N/A</v>
      </c>
      <c r="N3578" s="16" t="e">
        <f t="shared" si="6651"/>
        <v>#N/A</v>
      </c>
      <c r="O3578" s="16" t="s">
        <v>75</v>
      </c>
      <c r="P3578" s="16" t="str">
        <f t="shared" si="6"/>
        <v/>
      </c>
      <c r="Q3578" s="41" t="e">
        <f t="shared" si="6652"/>
        <v>#N/A</v>
      </c>
      <c r="R3578" s="44"/>
      <c r="S3578" s="44"/>
      <c r="T3578" s="43"/>
      <c r="U3578" s="43" t="str">
        <f t="shared" si="8"/>
        <v>No</v>
      </c>
      <c r="V3578" s="25"/>
      <c r="W3578" s="25"/>
      <c r="X3578" s="25"/>
      <c r="Y3578" s="25"/>
      <c r="Z3578" s="25"/>
    </row>
    <row r="3579" spans="1:26" ht="15.75" customHeight="1" x14ac:dyDescent="0.25">
      <c r="A3579" s="25">
        <v>3577</v>
      </c>
      <c r="B3579" s="37" t="e">
        <f t="shared" ref="B3579:D3579" si="7203">VLOOKUP($A3579,[11]Planeación!$A$1:$O$253,B$1,0)</f>
        <v>#N/A</v>
      </c>
      <c r="C3579" s="38" t="e">
        <f t="shared" si="7203"/>
        <v>#N/A</v>
      </c>
      <c r="D3579" s="39" t="e">
        <f t="shared" si="7203"/>
        <v>#N/A</v>
      </c>
      <c r="E3579" s="16" t="e">
        <f t="shared" si="1"/>
        <v>#N/A</v>
      </c>
      <c r="F3579" s="16" t="e">
        <f t="shared" ref="F3579:K3579" si="7204">VLOOKUP($A3579,[11]Planeación!$A$1:$O$253,F$1,0)</f>
        <v>#N/A</v>
      </c>
      <c r="G3579" s="39" t="e">
        <f t="shared" si="7204"/>
        <v>#N/A</v>
      </c>
      <c r="H3579" s="16" t="e">
        <f t="shared" si="7204"/>
        <v>#N/A</v>
      </c>
      <c r="I3579" s="16" t="e">
        <f t="shared" si="7204"/>
        <v>#N/A</v>
      </c>
      <c r="J3579" s="40" t="e">
        <f t="shared" si="7204"/>
        <v>#N/A</v>
      </c>
      <c r="K3579" s="16" t="e">
        <f t="shared" si="7204"/>
        <v>#N/A</v>
      </c>
      <c r="L3579" s="40" t="e">
        <f t="shared" si="6649"/>
        <v>#N/A</v>
      </c>
      <c r="M3579" s="16" t="e">
        <f t="shared" si="6650"/>
        <v>#N/A</v>
      </c>
      <c r="N3579" s="16" t="e">
        <f t="shared" si="6651"/>
        <v>#N/A</v>
      </c>
      <c r="O3579" s="16" t="s">
        <v>75</v>
      </c>
      <c r="P3579" s="16" t="str">
        <f t="shared" si="6"/>
        <v/>
      </c>
      <c r="Q3579" s="41" t="e">
        <f t="shared" si="6652"/>
        <v>#N/A</v>
      </c>
      <c r="R3579" s="44"/>
      <c r="S3579" s="44"/>
      <c r="T3579" s="43"/>
      <c r="U3579" s="43" t="str">
        <f t="shared" si="8"/>
        <v>No</v>
      </c>
      <c r="V3579" s="25"/>
      <c r="W3579" s="25"/>
      <c r="X3579" s="25"/>
      <c r="Y3579" s="25"/>
      <c r="Z3579" s="25"/>
    </row>
    <row r="3580" spans="1:26" ht="15.75" customHeight="1" x14ac:dyDescent="0.25">
      <c r="A3580" s="25">
        <v>3578</v>
      </c>
      <c r="B3580" s="37" t="e">
        <f t="shared" ref="B3580:D3580" si="7205">VLOOKUP($A3580,[11]Planeación!$A$1:$O$253,B$1,0)</f>
        <v>#N/A</v>
      </c>
      <c r="C3580" s="38" t="e">
        <f t="shared" si="7205"/>
        <v>#N/A</v>
      </c>
      <c r="D3580" s="39" t="e">
        <f t="shared" si="7205"/>
        <v>#N/A</v>
      </c>
      <c r="E3580" s="16" t="e">
        <f t="shared" si="1"/>
        <v>#N/A</v>
      </c>
      <c r="F3580" s="16" t="e">
        <f t="shared" ref="F3580:K3580" si="7206">VLOOKUP($A3580,[11]Planeación!$A$1:$O$253,F$1,0)</f>
        <v>#N/A</v>
      </c>
      <c r="G3580" s="39" t="e">
        <f t="shared" si="7206"/>
        <v>#N/A</v>
      </c>
      <c r="H3580" s="16" t="e">
        <f t="shared" si="7206"/>
        <v>#N/A</v>
      </c>
      <c r="I3580" s="16" t="e">
        <f t="shared" si="7206"/>
        <v>#N/A</v>
      </c>
      <c r="J3580" s="40" t="e">
        <f t="shared" si="7206"/>
        <v>#N/A</v>
      </c>
      <c r="K3580" s="16" t="e">
        <f t="shared" si="7206"/>
        <v>#N/A</v>
      </c>
      <c r="L3580" s="40" t="e">
        <f t="shared" si="6649"/>
        <v>#N/A</v>
      </c>
      <c r="M3580" s="16" t="e">
        <f t="shared" si="6650"/>
        <v>#N/A</v>
      </c>
      <c r="N3580" s="16" t="e">
        <f t="shared" si="6651"/>
        <v>#N/A</v>
      </c>
      <c r="O3580" s="16" t="s">
        <v>75</v>
      </c>
      <c r="P3580" s="16" t="str">
        <f t="shared" si="6"/>
        <v/>
      </c>
      <c r="Q3580" s="41" t="e">
        <f t="shared" si="6652"/>
        <v>#N/A</v>
      </c>
      <c r="R3580" s="44"/>
      <c r="S3580" s="44"/>
      <c r="T3580" s="43"/>
      <c r="U3580" s="43" t="str">
        <f t="shared" si="8"/>
        <v>No</v>
      </c>
      <c r="V3580" s="25"/>
      <c r="W3580" s="25"/>
      <c r="X3580" s="25"/>
      <c r="Y3580" s="25"/>
      <c r="Z3580" s="25"/>
    </row>
    <row r="3581" spans="1:26" ht="15.75" customHeight="1" x14ac:dyDescent="0.25">
      <c r="A3581" s="25">
        <v>3579</v>
      </c>
      <c r="B3581" s="37" t="e">
        <f t="shared" ref="B3581:D3581" si="7207">VLOOKUP($A3581,[11]Planeación!$A$1:$O$253,B$1,0)</f>
        <v>#N/A</v>
      </c>
      <c r="C3581" s="38" t="e">
        <f t="shared" si="7207"/>
        <v>#N/A</v>
      </c>
      <c r="D3581" s="39" t="e">
        <f t="shared" si="7207"/>
        <v>#N/A</v>
      </c>
      <c r="E3581" s="16" t="e">
        <f t="shared" si="1"/>
        <v>#N/A</v>
      </c>
      <c r="F3581" s="16" t="e">
        <f t="shared" ref="F3581:K3581" si="7208">VLOOKUP($A3581,[11]Planeación!$A$1:$O$253,F$1,0)</f>
        <v>#N/A</v>
      </c>
      <c r="G3581" s="39" t="e">
        <f t="shared" si="7208"/>
        <v>#N/A</v>
      </c>
      <c r="H3581" s="16" t="e">
        <f t="shared" si="7208"/>
        <v>#N/A</v>
      </c>
      <c r="I3581" s="16" t="e">
        <f t="shared" si="7208"/>
        <v>#N/A</v>
      </c>
      <c r="J3581" s="40" t="e">
        <f t="shared" si="7208"/>
        <v>#N/A</v>
      </c>
      <c r="K3581" s="16" t="e">
        <f t="shared" si="7208"/>
        <v>#N/A</v>
      </c>
      <c r="L3581" s="40" t="e">
        <f t="shared" si="6649"/>
        <v>#N/A</v>
      </c>
      <c r="M3581" s="16" t="e">
        <f t="shared" si="6650"/>
        <v>#N/A</v>
      </c>
      <c r="N3581" s="16" t="e">
        <f t="shared" si="6651"/>
        <v>#N/A</v>
      </c>
      <c r="O3581" s="16" t="s">
        <v>75</v>
      </c>
      <c r="P3581" s="16" t="str">
        <f t="shared" si="6"/>
        <v/>
      </c>
      <c r="Q3581" s="41" t="e">
        <f t="shared" si="6652"/>
        <v>#N/A</v>
      </c>
      <c r="R3581" s="44"/>
      <c r="S3581" s="44"/>
      <c r="T3581" s="43"/>
      <c r="U3581" s="43" t="str">
        <f t="shared" si="8"/>
        <v>No</v>
      </c>
      <c r="V3581" s="25"/>
      <c r="W3581" s="25"/>
      <c r="X3581" s="25"/>
      <c r="Y3581" s="25"/>
      <c r="Z3581" s="25"/>
    </row>
    <row r="3582" spans="1:26" ht="15.75" customHeight="1" x14ac:dyDescent="0.25">
      <c r="A3582" s="25">
        <v>3580</v>
      </c>
      <c r="B3582" s="37" t="e">
        <f t="shared" ref="B3582:D3582" si="7209">VLOOKUP($A3582,[11]Planeación!$A$1:$O$253,B$1,0)</f>
        <v>#N/A</v>
      </c>
      <c r="C3582" s="38" t="e">
        <f t="shared" si="7209"/>
        <v>#N/A</v>
      </c>
      <c r="D3582" s="39" t="e">
        <f t="shared" si="7209"/>
        <v>#N/A</v>
      </c>
      <c r="E3582" s="16" t="e">
        <f t="shared" si="1"/>
        <v>#N/A</v>
      </c>
      <c r="F3582" s="16" t="e">
        <f t="shared" ref="F3582:K3582" si="7210">VLOOKUP($A3582,[11]Planeación!$A$1:$O$253,F$1,0)</f>
        <v>#N/A</v>
      </c>
      <c r="G3582" s="39" t="e">
        <f t="shared" si="7210"/>
        <v>#N/A</v>
      </c>
      <c r="H3582" s="16" t="e">
        <f t="shared" si="7210"/>
        <v>#N/A</v>
      </c>
      <c r="I3582" s="16" t="e">
        <f t="shared" si="7210"/>
        <v>#N/A</v>
      </c>
      <c r="J3582" s="40" t="e">
        <f t="shared" si="7210"/>
        <v>#N/A</v>
      </c>
      <c r="K3582" s="16" t="e">
        <f t="shared" si="7210"/>
        <v>#N/A</v>
      </c>
      <c r="L3582" s="40" t="e">
        <f t="shared" si="6649"/>
        <v>#N/A</v>
      </c>
      <c r="M3582" s="16" t="e">
        <f t="shared" si="6650"/>
        <v>#N/A</v>
      </c>
      <c r="N3582" s="16" t="e">
        <f t="shared" si="6651"/>
        <v>#N/A</v>
      </c>
      <c r="O3582" s="16" t="s">
        <v>75</v>
      </c>
      <c r="P3582" s="16" t="str">
        <f t="shared" si="6"/>
        <v/>
      </c>
      <c r="Q3582" s="41" t="e">
        <f t="shared" si="6652"/>
        <v>#N/A</v>
      </c>
      <c r="R3582" s="44"/>
      <c r="S3582" s="44"/>
      <c r="T3582" s="43"/>
      <c r="U3582" s="43" t="str">
        <f t="shared" si="8"/>
        <v>No</v>
      </c>
      <c r="V3582" s="25"/>
      <c r="W3582" s="25"/>
      <c r="X3582" s="25"/>
      <c r="Y3582" s="25"/>
      <c r="Z3582" s="25"/>
    </row>
    <row r="3583" spans="1:26" ht="15.75" customHeight="1" x14ac:dyDescent="0.25">
      <c r="A3583" s="25">
        <v>3581</v>
      </c>
      <c r="B3583" s="37" t="e">
        <f t="shared" ref="B3583:D3583" si="7211">VLOOKUP($A3583,[11]Planeación!$A$1:$O$253,B$1,0)</f>
        <v>#N/A</v>
      </c>
      <c r="C3583" s="38" t="e">
        <f t="shared" si="7211"/>
        <v>#N/A</v>
      </c>
      <c r="D3583" s="39" t="e">
        <f t="shared" si="7211"/>
        <v>#N/A</v>
      </c>
      <c r="E3583" s="16" t="e">
        <f t="shared" si="1"/>
        <v>#N/A</v>
      </c>
      <c r="F3583" s="16" t="e">
        <f t="shared" ref="F3583:K3583" si="7212">VLOOKUP($A3583,[11]Planeación!$A$1:$O$253,F$1,0)</f>
        <v>#N/A</v>
      </c>
      <c r="G3583" s="39" t="e">
        <f t="shared" si="7212"/>
        <v>#N/A</v>
      </c>
      <c r="H3583" s="16" t="e">
        <f t="shared" si="7212"/>
        <v>#N/A</v>
      </c>
      <c r="I3583" s="16" t="e">
        <f t="shared" si="7212"/>
        <v>#N/A</v>
      </c>
      <c r="J3583" s="40" t="e">
        <f t="shared" si="7212"/>
        <v>#N/A</v>
      </c>
      <c r="K3583" s="16" t="e">
        <f t="shared" si="7212"/>
        <v>#N/A</v>
      </c>
      <c r="L3583" s="40" t="e">
        <f t="shared" si="6649"/>
        <v>#N/A</v>
      </c>
      <c r="M3583" s="16" t="e">
        <f t="shared" si="6650"/>
        <v>#N/A</v>
      </c>
      <c r="N3583" s="16" t="e">
        <f t="shared" si="6651"/>
        <v>#N/A</v>
      </c>
      <c r="O3583" s="16" t="s">
        <v>75</v>
      </c>
      <c r="P3583" s="16" t="str">
        <f t="shared" si="6"/>
        <v/>
      </c>
      <c r="Q3583" s="41" t="e">
        <f t="shared" si="6652"/>
        <v>#N/A</v>
      </c>
      <c r="R3583" s="44"/>
      <c r="S3583" s="44"/>
      <c r="T3583" s="43"/>
      <c r="U3583" s="43" t="str">
        <f t="shared" si="8"/>
        <v>No</v>
      </c>
      <c r="V3583" s="25"/>
      <c r="W3583" s="25"/>
      <c r="X3583" s="25"/>
      <c r="Y3583" s="25"/>
      <c r="Z3583" s="25"/>
    </row>
    <row r="3584" spans="1:26" ht="15.75" customHeight="1" x14ac:dyDescent="0.25">
      <c r="A3584" s="25">
        <v>3582</v>
      </c>
      <c r="B3584" s="37" t="e">
        <f t="shared" ref="B3584:D3584" si="7213">VLOOKUP($A3584,[11]Planeación!$A$1:$O$253,B$1,0)</f>
        <v>#N/A</v>
      </c>
      <c r="C3584" s="38" t="e">
        <f t="shared" si="7213"/>
        <v>#N/A</v>
      </c>
      <c r="D3584" s="39" t="e">
        <f t="shared" si="7213"/>
        <v>#N/A</v>
      </c>
      <c r="E3584" s="16" t="e">
        <f t="shared" si="1"/>
        <v>#N/A</v>
      </c>
      <c r="F3584" s="16" t="e">
        <f t="shared" ref="F3584:K3584" si="7214">VLOOKUP($A3584,[11]Planeación!$A$1:$O$253,F$1,0)</f>
        <v>#N/A</v>
      </c>
      <c r="G3584" s="39" t="e">
        <f t="shared" si="7214"/>
        <v>#N/A</v>
      </c>
      <c r="H3584" s="16" t="e">
        <f t="shared" si="7214"/>
        <v>#N/A</v>
      </c>
      <c r="I3584" s="16" t="e">
        <f t="shared" si="7214"/>
        <v>#N/A</v>
      </c>
      <c r="J3584" s="40" t="e">
        <f t="shared" si="7214"/>
        <v>#N/A</v>
      </c>
      <c r="K3584" s="16" t="e">
        <f t="shared" si="7214"/>
        <v>#N/A</v>
      </c>
      <c r="L3584" s="40" t="e">
        <f t="shared" si="6649"/>
        <v>#N/A</v>
      </c>
      <c r="M3584" s="16" t="e">
        <f t="shared" si="6650"/>
        <v>#N/A</v>
      </c>
      <c r="N3584" s="16" t="e">
        <f t="shared" si="6651"/>
        <v>#N/A</v>
      </c>
      <c r="O3584" s="16" t="s">
        <v>75</v>
      </c>
      <c r="P3584" s="16" t="str">
        <f t="shared" si="6"/>
        <v/>
      </c>
      <c r="Q3584" s="41" t="e">
        <f t="shared" si="6652"/>
        <v>#N/A</v>
      </c>
      <c r="R3584" s="44"/>
      <c r="S3584" s="44"/>
      <c r="T3584" s="43"/>
      <c r="U3584" s="43" t="str">
        <f t="shared" si="8"/>
        <v>No</v>
      </c>
      <c r="V3584" s="25"/>
      <c r="W3584" s="25"/>
      <c r="X3584" s="25"/>
      <c r="Y3584" s="25"/>
      <c r="Z3584" s="25"/>
    </row>
    <row r="3585" spans="1:26" ht="15.75" customHeight="1" x14ac:dyDescent="0.25">
      <c r="A3585" s="25">
        <v>3583</v>
      </c>
      <c r="B3585" s="37" t="e">
        <f t="shared" ref="B3585:D3585" si="7215">VLOOKUP($A3585,[11]Planeación!$A$1:$O$253,B$1,0)</f>
        <v>#N/A</v>
      </c>
      <c r="C3585" s="38" t="e">
        <f t="shared" si="7215"/>
        <v>#N/A</v>
      </c>
      <c r="D3585" s="39" t="e">
        <f t="shared" si="7215"/>
        <v>#N/A</v>
      </c>
      <c r="E3585" s="16" t="e">
        <f t="shared" si="1"/>
        <v>#N/A</v>
      </c>
      <c r="F3585" s="16" t="e">
        <f t="shared" ref="F3585:K3585" si="7216">VLOOKUP($A3585,[11]Planeación!$A$1:$O$253,F$1,0)</f>
        <v>#N/A</v>
      </c>
      <c r="G3585" s="39" t="e">
        <f t="shared" si="7216"/>
        <v>#N/A</v>
      </c>
      <c r="H3585" s="16" t="e">
        <f t="shared" si="7216"/>
        <v>#N/A</v>
      </c>
      <c r="I3585" s="16" t="e">
        <f t="shared" si="7216"/>
        <v>#N/A</v>
      </c>
      <c r="J3585" s="40" t="e">
        <f t="shared" si="7216"/>
        <v>#N/A</v>
      </c>
      <c r="K3585" s="16" t="e">
        <f t="shared" si="7216"/>
        <v>#N/A</v>
      </c>
      <c r="L3585" s="40" t="e">
        <f t="shared" si="6649"/>
        <v>#N/A</v>
      </c>
      <c r="M3585" s="16" t="e">
        <f t="shared" si="6650"/>
        <v>#N/A</v>
      </c>
      <c r="N3585" s="16" t="e">
        <f t="shared" si="6651"/>
        <v>#N/A</v>
      </c>
      <c r="O3585" s="16" t="s">
        <v>75</v>
      </c>
      <c r="P3585" s="16" t="str">
        <f t="shared" si="6"/>
        <v/>
      </c>
      <c r="Q3585" s="41" t="e">
        <f t="shared" si="6652"/>
        <v>#N/A</v>
      </c>
      <c r="R3585" s="44"/>
      <c r="S3585" s="44"/>
      <c r="T3585" s="43"/>
      <c r="U3585" s="43" t="str">
        <f t="shared" si="8"/>
        <v>No</v>
      </c>
      <c r="V3585" s="25"/>
      <c r="W3585" s="25"/>
      <c r="X3585" s="25"/>
      <c r="Y3585" s="25"/>
      <c r="Z3585" s="25"/>
    </row>
    <row r="3586" spans="1:26" ht="15.75" customHeight="1" x14ac:dyDescent="0.25">
      <c r="A3586" s="25">
        <v>3584</v>
      </c>
      <c r="B3586" s="37" t="e">
        <f t="shared" ref="B3586:D3586" si="7217">VLOOKUP($A3586,[11]Planeación!$A$1:$O$253,B$1,0)</f>
        <v>#N/A</v>
      </c>
      <c r="C3586" s="38" t="e">
        <f t="shared" si="7217"/>
        <v>#N/A</v>
      </c>
      <c r="D3586" s="39" t="e">
        <f t="shared" si="7217"/>
        <v>#N/A</v>
      </c>
      <c r="E3586" s="16" t="e">
        <f t="shared" si="1"/>
        <v>#N/A</v>
      </c>
      <c r="F3586" s="16" t="e">
        <f t="shared" ref="F3586:K3586" si="7218">VLOOKUP($A3586,[11]Planeación!$A$1:$O$253,F$1,0)</f>
        <v>#N/A</v>
      </c>
      <c r="G3586" s="39" t="e">
        <f t="shared" si="7218"/>
        <v>#N/A</v>
      </c>
      <c r="H3586" s="16" t="e">
        <f t="shared" si="7218"/>
        <v>#N/A</v>
      </c>
      <c r="I3586" s="16" t="e">
        <f t="shared" si="7218"/>
        <v>#N/A</v>
      </c>
      <c r="J3586" s="40" t="e">
        <f t="shared" si="7218"/>
        <v>#N/A</v>
      </c>
      <c r="K3586" s="16" t="e">
        <f t="shared" si="7218"/>
        <v>#N/A</v>
      </c>
      <c r="L3586" s="40" t="e">
        <f t="shared" si="6649"/>
        <v>#N/A</v>
      </c>
      <c r="M3586" s="16" t="e">
        <f t="shared" si="6650"/>
        <v>#N/A</v>
      </c>
      <c r="N3586" s="16" t="e">
        <f t="shared" si="6651"/>
        <v>#N/A</v>
      </c>
      <c r="O3586" s="16" t="s">
        <v>75</v>
      </c>
      <c r="P3586" s="16" t="str">
        <f t="shared" si="6"/>
        <v/>
      </c>
      <c r="Q3586" s="41" t="e">
        <f t="shared" si="6652"/>
        <v>#N/A</v>
      </c>
      <c r="R3586" s="44"/>
      <c r="S3586" s="44"/>
      <c r="T3586" s="43"/>
      <c r="U3586" s="43" t="str">
        <f t="shared" si="8"/>
        <v>No</v>
      </c>
      <c r="V3586" s="25"/>
      <c r="W3586" s="25"/>
      <c r="X3586" s="25"/>
      <c r="Y3586" s="25"/>
      <c r="Z3586" s="25"/>
    </row>
    <row r="3587" spans="1:26" ht="15.75" customHeight="1" x14ac:dyDescent="0.25">
      <c r="A3587" s="25">
        <v>3585</v>
      </c>
      <c r="B3587" s="37" t="e">
        <f t="shared" ref="B3587:D3587" si="7219">VLOOKUP($A3587,[11]Planeación!$A$1:$O$253,B$1,0)</f>
        <v>#N/A</v>
      </c>
      <c r="C3587" s="38" t="e">
        <f t="shared" si="7219"/>
        <v>#N/A</v>
      </c>
      <c r="D3587" s="39" t="e">
        <f t="shared" si="7219"/>
        <v>#N/A</v>
      </c>
      <c r="E3587" s="16" t="e">
        <f t="shared" si="1"/>
        <v>#N/A</v>
      </c>
      <c r="F3587" s="16" t="e">
        <f t="shared" ref="F3587:K3587" si="7220">VLOOKUP($A3587,[11]Planeación!$A$1:$O$253,F$1,0)</f>
        <v>#N/A</v>
      </c>
      <c r="G3587" s="39" t="e">
        <f t="shared" si="7220"/>
        <v>#N/A</v>
      </c>
      <c r="H3587" s="16" t="e">
        <f t="shared" si="7220"/>
        <v>#N/A</v>
      </c>
      <c r="I3587" s="16" t="e">
        <f t="shared" si="7220"/>
        <v>#N/A</v>
      </c>
      <c r="J3587" s="40" t="e">
        <f t="shared" si="7220"/>
        <v>#N/A</v>
      </c>
      <c r="K3587" s="16" t="e">
        <f t="shared" si="7220"/>
        <v>#N/A</v>
      </c>
      <c r="L3587" s="40" t="e">
        <f t="shared" si="6649"/>
        <v>#N/A</v>
      </c>
      <c r="M3587" s="16" t="e">
        <f t="shared" si="6650"/>
        <v>#N/A</v>
      </c>
      <c r="N3587" s="16" t="e">
        <f t="shared" si="6651"/>
        <v>#N/A</v>
      </c>
      <c r="O3587" s="16" t="s">
        <v>75</v>
      </c>
      <c r="P3587" s="16" t="str">
        <f t="shared" si="6"/>
        <v/>
      </c>
      <c r="Q3587" s="41" t="e">
        <f t="shared" si="6652"/>
        <v>#N/A</v>
      </c>
      <c r="R3587" s="44"/>
      <c r="S3587" s="44"/>
      <c r="T3587" s="43"/>
      <c r="U3587" s="43" t="str">
        <f t="shared" si="8"/>
        <v>No</v>
      </c>
      <c r="V3587" s="25"/>
      <c r="W3587" s="25"/>
      <c r="X3587" s="25"/>
      <c r="Y3587" s="25"/>
      <c r="Z3587" s="25"/>
    </row>
    <row r="3588" spans="1:26" ht="15.75" customHeight="1" x14ac:dyDescent="0.25">
      <c r="A3588" s="25">
        <v>3586</v>
      </c>
      <c r="B3588" s="37" t="e">
        <f t="shared" ref="B3588:D3588" si="7221">VLOOKUP($A3588,[11]Planeación!$A$1:$O$253,B$1,0)</f>
        <v>#N/A</v>
      </c>
      <c r="C3588" s="38" t="e">
        <f t="shared" si="7221"/>
        <v>#N/A</v>
      </c>
      <c r="D3588" s="39" t="e">
        <f t="shared" si="7221"/>
        <v>#N/A</v>
      </c>
      <c r="E3588" s="16" t="e">
        <f t="shared" si="1"/>
        <v>#N/A</v>
      </c>
      <c r="F3588" s="16" t="e">
        <f t="shared" ref="F3588:K3588" si="7222">VLOOKUP($A3588,[11]Planeación!$A$1:$O$253,F$1,0)</f>
        <v>#N/A</v>
      </c>
      <c r="G3588" s="39" t="e">
        <f t="shared" si="7222"/>
        <v>#N/A</v>
      </c>
      <c r="H3588" s="16" t="e">
        <f t="shared" si="7222"/>
        <v>#N/A</v>
      </c>
      <c r="I3588" s="16" t="e">
        <f t="shared" si="7222"/>
        <v>#N/A</v>
      </c>
      <c r="J3588" s="40" t="e">
        <f t="shared" si="7222"/>
        <v>#N/A</v>
      </c>
      <c r="K3588" s="16" t="e">
        <f t="shared" si="7222"/>
        <v>#N/A</v>
      </c>
      <c r="L3588" s="40" t="e">
        <f t="shared" si="6649"/>
        <v>#N/A</v>
      </c>
      <c r="M3588" s="16" t="e">
        <f t="shared" si="6650"/>
        <v>#N/A</v>
      </c>
      <c r="N3588" s="16" t="e">
        <f t="shared" si="6651"/>
        <v>#N/A</v>
      </c>
      <c r="O3588" s="16" t="s">
        <v>75</v>
      </c>
      <c r="P3588" s="16" t="str">
        <f t="shared" si="6"/>
        <v/>
      </c>
      <c r="Q3588" s="41" t="e">
        <f t="shared" si="6652"/>
        <v>#N/A</v>
      </c>
      <c r="R3588" s="44"/>
      <c r="S3588" s="44"/>
      <c r="T3588" s="43"/>
      <c r="U3588" s="43" t="str">
        <f t="shared" si="8"/>
        <v>No</v>
      </c>
      <c r="V3588" s="25"/>
      <c r="W3588" s="25"/>
      <c r="X3588" s="25"/>
      <c r="Y3588" s="25"/>
      <c r="Z3588" s="25"/>
    </row>
    <row r="3589" spans="1:26" ht="15.75" customHeight="1" x14ac:dyDescent="0.25">
      <c r="A3589" s="25">
        <v>3587</v>
      </c>
      <c r="B3589" s="37" t="e">
        <f t="shared" ref="B3589:D3589" si="7223">VLOOKUP($A3589,[11]Planeación!$A$1:$O$253,B$1,0)</f>
        <v>#N/A</v>
      </c>
      <c r="C3589" s="38" t="e">
        <f t="shared" si="7223"/>
        <v>#N/A</v>
      </c>
      <c r="D3589" s="39" t="e">
        <f t="shared" si="7223"/>
        <v>#N/A</v>
      </c>
      <c r="E3589" s="16" t="e">
        <f t="shared" si="1"/>
        <v>#N/A</v>
      </c>
      <c r="F3589" s="16" t="e">
        <f t="shared" ref="F3589:K3589" si="7224">VLOOKUP($A3589,[11]Planeación!$A$1:$O$253,F$1,0)</f>
        <v>#N/A</v>
      </c>
      <c r="G3589" s="39" t="e">
        <f t="shared" si="7224"/>
        <v>#N/A</v>
      </c>
      <c r="H3589" s="16" t="e">
        <f t="shared" si="7224"/>
        <v>#N/A</v>
      </c>
      <c r="I3589" s="16" t="e">
        <f t="shared" si="7224"/>
        <v>#N/A</v>
      </c>
      <c r="J3589" s="40" t="e">
        <f t="shared" si="7224"/>
        <v>#N/A</v>
      </c>
      <c r="K3589" s="16" t="e">
        <f t="shared" si="7224"/>
        <v>#N/A</v>
      </c>
      <c r="L3589" s="40" t="e">
        <f t="shared" si="6649"/>
        <v>#N/A</v>
      </c>
      <c r="M3589" s="16" t="e">
        <f t="shared" si="6650"/>
        <v>#N/A</v>
      </c>
      <c r="N3589" s="16" t="e">
        <f t="shared" si="6651"/>
        <v>#N/A</v>
      </c>
      <c r="O3589" s="16" t="s">
        <v>75</v>
      </c>
      <c r="P3589" s="16" t="str">
        <f t="shared" si="6"/>
        <v/>
      </c>
      <c r="Q3589" s="41" t="e">
        <f t="shared" si="6652"/>
        <v>#N/A</v>
      </c>
      <c r="R3589" s="44"/>
      <c r="S3589" s="44"/>
      <c r="T3589" s="43"/>
      <c r="U3589" s="43" t="str">
        <f t="shared" si="8"/>
        <v>No</v>
      </c>
      <c r="V3589" s="25"/>
      <c r="W3589" s="25"/>
      <c r="X3589" s="25"/>
      <c r="Y3589" s="25"/>
      <c r="Z3589" s="25"/>
    </row>
    <row r="3590" spans="1:26" ht="15.75" customHeight="1" x14ac:dyDescent="0.25">
      <c r="A3590" s="25">
        <v>3588</v>
      </c>
      <c r="B3590" s="37" t="e">
        <f t="shared" ref="B3590:D3590" si="7225">VLOOKUP($A3590,[11]Planeación!$A$1:$O$253,B$1,0)</f>
        <v>#N/A</v>
      </c>
      <c r="C3590" s="38" t="e">
        <f t="shared" si="7225"/>
        <v>#N/A</v>
      </c>
      <c r="D3590" s="39" t="e">
        <f t="shared" si="7225"/>
        <v>#N/A</v>
      </c>
      <c r="E3590" s="16" t="e">
        <f t="shared" si="1"/>
        <v>#N/A</v>
      </c>
      <c r="F3590" s="16" t="e">
        <f t="shared" ref="F3590:K3590" si="7226">VLOOKUP($A3590,[11]Planeación!$A$1:$O$253,F$1,0)</f>
        <v>#N/A</v>
      </c>
      <c r="G3590" s="39" t="e">
        <f t="shared" si="7226"/>
        <v>#N/A</v>
      </c>
      <c r="H3590" s="16" t="e">
        <f t="shared" si="7226"/>
        <v>#N/A</v>
      </c>
      <c r="I3590" s="16" t="e">
        <f t="shared" si="7226"/>
        <v>#N/A</v>
      </c>
      <c r="J3590" s="40" t="e">
        <f t="shared" si="7226"/>
        <v>#N/A</v>
      </c>
      <c r="K3590" s="16" t="e">
        <f t="shared" si="7226"/>
        <v>#N/A</v>
      </c>
      <c r="L3590" s="40" t="e">
        <f t="shared" si="6649"/>
        <v>#N/A</v>
      </c>
      <c r="M3590" s="16" t="e">
        <f t="shared" si="6650"/>
        <v>#N/A</v>
      </c>
      <c r="N3590" s="16" t="e">
        <f t="shared" si="6651"/>
        <v>#N/A</v>
      </c>
      <c r="O3590" s="16" t="s">
        <v>75</v>
      </c>
      <c r="P3590" s="16" t="str">
        <f t="shared" si="6"/>
        <v/>
      </c>
      <c r="Q3590" s="41" t="e">
        <f t="shared" si="6652"/>
        <v>#N/A</v>
      </c>
      <c r="R3590" s="44"/>
      <c r="S3590" s="44"/>
      <c r="T3590" s="43"/>
      <c r="U3590" s="43" t="str">
        <f t="shared" si="8"/>
        <v>No</v>
      </c>
      <c r="V3590" s="25"/>
      <c r="W3590" s="25"/>
      <c r="X3590" s="25"/>
      <c r="Y3590" s="25"/>
      <c r="Z3590" s="25"/>
    </row>
    <row r="3591" spans="1:26" ht="15.75" customHeight="1" x14ac:dyDescent="0.25">
      <c r="A3591" s="25">
        <v>3589</v>
      </c>
      <c r="B3591" s="37" t="e">
        <f t="shared" ref="B3591:D3591" si="7227">VLOOKUP($A3591,[11]Planeación!$A$1:$O$253,B$1,0)</f>
        <v>#N/A</v>
      </c>
      <c r="C3591" s="38" t="e">
        <f t="shared" si="7227"/>
        <v>#N/A</v>
      </c>
      <c r="D3591" s="39" t="e">
        <f t="shared" si="7227"/>
        <v>#N/A</v>
      </c>
      <c r="E3591" s="16" t="e">
        <f t="shared" si="1"/>
        <v>#N/A</v>
      </c>
      <c r="F3591" s="16" t="e">
        <f t="shared" ref="F3591:K3591" si="7228">VLOOKUP($A3591,[11]Planeación!$A$1:$O$253,F$1,0)</f>
        <v>#N/A</v>
      </c>
      <c r="G3591" s="39" t="e">
        <f t="shared" si="7228"/>
        <v>#N/A</v>
      </c>
      <c r="H3591" s="16" t="e">
        <f t="shared" si="7228"/>
        <v>#N/A</v>
      </c>
      <c r="I3591" s="16" t="e">
        <f t="shared" si="7228"/>
        <v>#N/A</v>
      </c>
      <c r="J3591" s="40" t="e">
        <f t="shared" si="7228"/>
        <v>#N/A</v>
      </c>
      <c r="K3591" s="16" t="e">
        <f t="shared" si="7228"/>
        <v>#N/A</v>
      </c>
      <c r="L3591" s="40" t="e">
        <f t="shared" si="6649"/>
        <v>#N/A</v>
      </c>
      <c r="M3591" s="16" t="e">
        <f t="shared" si="6650"/>
        <v>#N/A</v>
      </c>
      <c r="N3591" s="16" t="e">
        <f t="shared" si="6651"/>
        <v>#N/A</v>
      </c>
      <c r="O3591" s="16" t="s">
        <v>75</v>
      </c>
      <c r="P3591" s="16" t="str">
        <f t="shared" si="6"/>
        <v/>
      </c>
      <c r="Q3591" s="41" t="e">
        <f t="shared" si="6652"/>
        <v>#N/A</v>
      </c>
      <c r="R3591" s="44"/>
      <c r="S3591" s="44"/>
      <c r="T3591" s="43"/>
      <c r="U3591" s="43" t="str">
        <f t="shared" si="8"/>
        <v>No</v>
      </c>
      <c r="V3591" s="25"/>
      <c r="W3591" s="25"/>
      <c r="X3591" s="25"/>
      <c r="Y3591" s="25"/>
      <c r="Z3591" s="25"/>
    </row>
    <row r="3592" spans="1:26" ht="15.75" customHeight="1" x14ac:dyDescent="0.25">
      <c r="A3592" s="25">
        <v>3590</v>
      </c>
      <c r="B3592" s="37" t="e">
        <f t="shared" ref="B3592:D3592" si="7229">VLOOKUP($A3592,[11]Planeación!$A$1:$O$253,B$1,0)</f>
        <v>#N/A</v>
      </c>
      <c r="C3592" s="38" t="e">
        <f t="shared" si="7229"/>
        <v>#N/A</v>
      </c>
      <c r="D3592" s="39" t="e">
        <f t="shared" si="7229"/>
        <v>#N/A</v>
      </c>
      <c r="E3592" s="16" t="e">
        <f t="shared" si="1"/>
        <v>#N/A</v>
      </c>
      <c r="F3592" s="16" t="e">
        <f t="shared" ref="F3592:K3592" si="7230">VLOOKUP($A3592,[11]Planeación!$A$1:$O$253,F$1,0)</f>
        <v>#N/A</v>
      </c>
      <c r="G3592" s="39" t="e">
        <f t="shared" si="7230"/>
        <v>#N/A</v>
      </c>
      <c r="H3592" s="16" t="e">
        <f t="shared" si="7230"/>
        <v>#N/A</v>
      </c>
      <c r="I3592" s="16" t="e">
        <f t="shared" si="7230"/>
        <v>#N/A</v>
      </c>
      <c r="J3592" s="40" t="e">
        <f t="shared" si="7230"/>
        <v>#N/A</v>
      </c>
      <c r="K3592" s="16" t="e">
        <f t="shared" si="7230"/>
        <v>#N/A</v>
      </c>
      <c r="L3592" s="40" t="e">
        <f t="shared" si="6649"/>
        <v>#N/A</v>
      </c>
      <c r="M3592" s="16" t="e">
        <f t="shared" si="6650"/>
        <v>#N/A</v>
      </c>
      <c r="N3592" s="16" t="e">
        <f t="shared" si="6651"/>
        <v>#N/A</v>
      </c>
      <c r="O3592" s="16" t="s">
        <v>75</v>
      </c>
      <c r="P3592" s="16" t="str">
        <f t="shared" si="6"/>
        <v/>
      </c>
      <c r="Q3592" s="41" t="e">
        <f t="shared" si="6652"/>
        <v>#N/A</v>
      </c>
      <c r="R3592" s="44"/>
      <c r="S3592" s="44"/>
      <c r="T3592" s="43"/>
      <c r="U3592" s="43" t="str">
        <f t="shared" si="8"/>
        <v>No</v>
      </c>
      <c r="V3592" s="25"/>
      <c r="W3592" s="25"/>
      <c r="X3592" s="25"/>
      <c r="Y3592" s="25"/>
      <c r="Z3592" s="25"/>
    </row>
    <row r="3593" spans="1:26" ht="15.75" customHeight="1" x14ac:dyDescent="0.25">
      <c r="A3593" s="25">
        <v>3591</v>
      </c>
      <c r="B3593" s="37" t="e">
        <f t="shared" ref="B3593:D3593" si="7231">VLOOKUP($A3593,[11]Planeación!$A$1:$O$253,B$1,0)</f>
        <v>#N/A</v>
      </c>
      <c r="C3593" s="38" t="e">
        <f t="shared" si="7231"/>
        <v>#N/A</v>
      </c>
      <c r="D3593" s="39" t="e">
        <f t="shared" si="7231"/>
        <v>#N/A</v>
      </c>
      <c r="E3593" s="16" t="e">
        <f t="shared" si="1"/>
        <v>#N/A</v>
      </c>
      <c r="F3593" s="16" t="e">
        <f t="shared" ref="F3593:K3593" si="7232">VLOOKUP($A3593,[11]Planeación!$A$1:$O$253,F$1,0)</f>
        <v>#N/A</v>
      </c>
      <c r="G3593" s="39" t="e">
        <f t="shared" si="7232"/>
        <v>#N/A</v>
      </c>
      <c r="H3593" s="16" t="e">
        <f t="shared" si="7232"/>
        <v>#N/A</v>
      </c>
      <c r="I3593" s="16" t="e">
        <f t="shared" si="7232"/>
        <v>#N/A</v>
      </c>
      <c r="J3593" s="40" t="e">
        <f t="shared" si="7232"/>
        <v>#N/A</v>
      </c>
      <c r="K3593" s="16" t="e">
        <f t="shared" si="7232"/>
        <v>#N/A</v>
      </c>
      <c r="L3593" s="40" t="e">
        <f t="shared" si="6649"/>
        <v>#N/A</v>
      </c>
      <c r="M3593" s="16" t="e">
        <f t="shared" si="6650"/>
        <v>#N/A</v>
      </c>
      <c r="N3593" s="16" t="e">
        <f t="shared" si="6651"/>
        <v>#N/A</v>
      </c>
      <c r="O3593" s="16" t="s">
        <v>75</v>
      </c>
      <c r="P3593" s="16" t="str">
        <f t="shared" si="6"/>
        <v/>
      </c>
      <c r="Q3593" s="41" t="e">
        <f t="shared" si="6652"/>
        <v>#N/A</v>
      </c>
      <c r="R3593" s="44"/>
      <c r="S3593" s="44"/>
      <c r="T3593" s="43"/>
      <c r="U3593" s="43" t="str">
        <f t="shared" si="8"/>
        <v>No</v>
      </c>
      <c r="V3593" s="25"/>
      <c r="W3593" s="25"/>
      <c r="X3593" s="25"/>
      <c r="Y3593" s="25"/>
      <c r="Z3593" s="25"/>
    </row>
    <row r="3594" spans="1:26" ht="15.75" customHeight="1" x14ac:dyDescent="0.25">
      <c r="A3594" s="25">
        <v>3592</v>
      </c>
      <c r="B3594" s="37" t="e">
        <f t="shared" ref="B3594:D3594" si="7233">VLOOKUP($A3594,[11]Planeación!$A$1:$O$253,B$1,0)</f>
        <v>#N/A</v>
      </c>
      <c r="C3594" s="38" t="e">
        <f t="shared" si="7233"/>
        <v>#N/A</v>
      </c>
      <c r="D3594" s="39" t="e">
        <f t="shared" si="7233"/>
        <v>#N/A</v>
      </c>
      <c r="E3594" s="16" t="e">
        <f t="shared" si="1"/>
        <v>#N/A</v>
      </c>
      <c r="F3594" s="16" t="e">
        <f t="shared" ref="F3594:K3594" si="7234">VLOOKUP($A3594,[11]Planeación!$A$1:$O$253,F$1,0)</f>
        <v>#N/A</v>
      </c>
      <c r="G3594" s="39" t="e">
        <f t="shared" si="7234"/>
        <v>#N/A</v>
      </c>
      <c r="H3594" s="16" t="e">
        <f t="shared" si="7234"/>
        <v>#N/A</v>
      </c>
      <c r="I3594" s="16" t="e">
        <f t="shared" si="7234"/>
        <v>#N/A</v>
      </c>
      <c r="J3594" s="40" t="e">
        <f t="shared" si="7234"/>
        <v>#N/A</v>
      </c>
      <c r="K3594" s="16" t="e">
        <f t="shared" si="7234"/>
        <v>#N/A</v>
      </c>
      <c r="L3594" s="40" t="e">
        <f t="shared" si="6649"/>
        <v>#N/A</v>
      </c>
      <c r="M3594" s="16" t="e">
        <f t="shared" si="6650"/>
        <v>#N/A</v>
      </c>
      <c r="N3594" s="16" t="e">
        <f t="shared" si="6651"/>
        <v>#N/A</v>
      </c>
      <c r="O3594" s="16" t="s">
        <v>75</v>
      </c>
      <c r="P3594" s="16" t="str">
        <f t="shared" si="6"/>
        <v/>
      </c>
      <c r="Q3594" s="41" t="e">
        <f t="shared" si="6652"/>
        <v>#N/A</v>
      </c>
      <c r="R3594" s="44"/>
      <c r="S3594" s="44"/>
      <c r="T3594" s="43"/>
      <c r="U3594" s="43" t="str">
        <f t="shared" si="8"/>
        <v>No</v>
      </c>
      <c r="V3594" s="25"/>
      <c r="W3594" s="25"/>
      <c r="X3594" s="25"/>
      <c r="Y3594" s="25"/>
      <c r="Z3594" s="25"/>
    </row>
    <row r="3595" spans="1:26" ht="15.75" customHeight="1" x14ac:dyDescent="0.25">
      <c r="A3595" s="25">
        <v>3593</v>
      </c>
      <c r="B3595" s="37" t="e">
        <f t="shared" ref="B3595:D3595" si="7235">VLOOKUP($A3595,[11]Planeación!$A$1:$O$253,B$1,0)</f>
        <v>#N/A</v>
      </c>
      <c r="C3595" s="38" t="e">
        <f t="shared" si="7235"/>
        <v>#N/A</v>
      </c>
      <c r="D3595" s="39" t="e">
        <f t="shared" si="7235"/>
        <v>#N/A</v>
      </c>
      <c r="E3595" s="16" t="e">
        <f t="shared" si="1"/>
        <v>#N/A</v>
      </c>
      <c r="F3595" s="16" t="e">
        <f t="shared" ref="F3595:K3595" si="7236">VLOOKUP($A3595,[11]Planeación!$A$1:$O$253,F$1,0)</f>
        <v>#N/A</v>
      </c>
      <c r="G3595" s="39" t="e">
        <f t="shared" si="7236"/>
        <v>#N/A</v>
      </c>
      <c r="H3595" s="16" t="e">
        <f t="shared" si="7236"/>
        <v>#N/A</v>
      </c>
      <c r="I3595" s="16" t="e">
        <f t="shared" si="7236"/>
        <v>#N/A</v>
      </c>
      <c r="J3595" s="40" t="e">
        <f t="shared" si="7236"/>
        <v>#N/A</v>
      </c>
      <c r="K3595" s="16" t="e">
        <f t="shared" si="7236"/>
        <v>#N/A</v>
      </c>
      <c r="L3595" s="40" t="e">
        <f t="shared" si="6649"/>
        <v>#N/A</v>
      </c>
      <c r="M3595" s="16" t="e">
        <f t="shared" si="6650"/>
        <v>#N/A</v>
      </c>
      <c r="N3595" s="16" t="e">
        <f t="shared" si="6651"/>
        <v>#N/A</v>
      </c>
      <c r="O3595" s="16" t="s">
        <v>75</v>
      </c>
      <c r="P3595" s="16" t="str">
        <f t="shared" si="6"/>
        <v/>
      </c>
      <c r="Q3595" s="41" t="e">
        <f t="shared" si="6652"/>
        <v>#N/A</v>
      </c>
      <c r="R3595" s="44"/>
      <c r="S3595" s="44"/>
      <c r="T3595" s="43"/>
      <c r="U3595" s="43" t="str">
        <f t="shared" si="8"/>
        <v>No</v>
      </c>
      <c r="V3595" s="25"/>
      <c r="W3595" s="25"/>
      <c r="X3595" s="25"/>
      <c r="Y3595" s="25"/>
      <c r="Z3595" s="25"/>
    </row>
    <row r="3596" spans="1:26" ht="15.75" customHeight="1" x14ac:dyDescent="0.25">
      <c r="A3596" s="25">
        <v>3594</v>
      </c>
      <c r="B3596" s="37" t="e">
        <f t="shared" ref="B3596:D3596" si="7237">VLOOKUP($A3596,[11]Planeación!$A$1:$O$253,B$1,0)</f>
        <v>#N/A</v>
      </c>
      <c r="C3596" s="38" t="e">
        <f t="shared" si="7237"/>
        <v>#N/A</v>
      </c>
      <c r="D3596" s="39" t="e">
        <f t="shared" si="7237"/>
        <v>#N/A</v>
      </c>
      <c r="E3596" s="16" t="e">
        <f t="shared" si="1"/>
        <v>#N/A</v>
      </c>
      <c r="F3596" s="16" t="e">
        <f t="shared" ref="F3596:K3596" si="7238">VLOOKUP($A3596,[11]Planeación!$A$1:$O$253,F$1,0)</f>
        <v>#N/A</v>
      </c>
      <c r="G3596" s="39" t="e">
        <f t="shared" si="7238"/>
        <v>#N/A</v>
      </c>
      <c r="H3596" s="16" t="e">
        <f t="shared" si="7238"/>
        <v>#N/A</v>
      </c>
      <c r="I3596" s="16" t="e">
        <f t="shared" si="7238"/>
        <v>#N/A</v>
      </c>
      <c r="J3596" s="40" t="e">
        <f t="shared" si="7238"/>
        <v>#N/A</v>
      </c>
      <c r="K3596" s="16" t="e">
        <f t="shared" si="7238"/>
        <v>#N/A</v>
      </c>
      <c r="L3596" s="40" t="e">
        <f t="shared" si="6649"/>
        <v>#N/A</v>
      </c>
      <c r="M3596" s="16" t="e">
        <f t="shared" si="6650"/>
        <v>#N/A</v>
      </c>
      <c r="N3596" s="16" t="e">
        <f t="shared" si="6651"/>
        <v>#N/A</v>
      </c>
      <c r="O3596" s="16" t="s">
        <v>75</v>
      </c>
      <c r="P3596" s="16" t="str">
        <f t="shared" si="6"/>
        <v/>
      </c>
      <c r="Q3596" s="41" t="e">
        <f t="shared" si="6652"/>
        <v>#N/A</v>
      </c>
      <c r="R3596" s="44"/>
      <c r="S3596" s="44"/>
      <c r="T3596" s="43"/>
      <c r="U3596" s="43" t="str">
        <f t="shared" si="8"/>
        <v>No</v>
      </c>
      <c r="V3596" s="25"/>
      <c r="W3596" s="25"/>
      <c r="X3596" s="25"/>
      <c r="Y3596" s="25"/>
      <c r="Z3596" s="25"/>
    </row>
    <row r="3597" spans="1:26" ht="15.75" customHeight="1" x14ac:dyDescent="0.25">
      <c r="A3597" s="25">
        <v>3595</v>
      </c>
      <c r="B3597" s="37" t="e">
        <f t="shared" ref="B3597:D3597" si="7239">VLOOKUP($A3597,[11]Planeación!$A$1:$O$253,B$1,0)</f>
        <v>#N/A</v>
      </c>
      <c r="C3597" s="38" t="e">
        <f t="shared" si="7239"/>
        <v>#N/A</v>
      </c>
      <c r="D3597" s="39" t="e">
        <f t="shared" si="7239"/>
        <v>#N/A</v>
      </c>
      <c r="E3597" s="16" t="e">
        <f t="shared" si="1"/>
        <v>#N/A</v>
      </c>
      <c r="F3597" s="16" t="e">
        <f t="shared" ref="F3597:K3597" si="7240">VLOOKUP($A3597,[11]Planeación!$A$1:$O$253,F$1,0)</f>
        <v>#N/A</v>
      </c>
      <c r="G3597" s="39" t="e">
        <f t="shared" si="7240"/>
        <v>#N/A</v>
      </c>
      <c r="H3597" s="16" t="e">
        <f t="shared" si="7240"/>
        <v>#N/A</v>
      </c>
      <c r="I3597" s="16" t="e">
        <f t="shared" si="7240"/>
        <v>#N/A</v>
      </c>
      <c r="J3597" s="40" t="e">
        <f t="shared" si="7240"/>
        <v>#N/A</v>
      </c>
      <c r="K3597" s="16" t="e">
        <f t="shared" si="7240"/>
        <v>#N/A</v>
      </c>
      <c r="L3597" s="40" t="e">
        <f t="shared" si="6649"/>
        <v>#N/A</v>
      </c>
      <c r="M3597" s="16" t="e">
        <f t="shared" si="6650"/>
        <v>#N/A</v>
      </c>
      <c r="N3597" s="16" t="e">
        <f t="shared" si="6651"/>
        <v>#N/A</v>
      </c>
      <c r="O3597" s="16" t="s">
        <v>75</v>
      </c>
      <c r="P3597" s="16" t="str">
        <f t="shared" si="6"/>
        <v/>
      </c>
      <c r="Q3597" s="41" t="e">
        <f t="shared" si="6652"/>
        <v>#N/A</v>
      </c>
      <c r="R3597" s="44"/>
      <c r="S3597" s="44"/>
      <c r="T3597" s="43"/>
      <c r="U3597" s="43" t="str">
        <f t="shared" si="8"/>
        <v>No</v>
      </c>
      <c r="V3597" s="25"/>
      <c r="W3597" s="25"/>
      <c r="X3597" s="25"/>
      <c r="Y3597" s="25"/>
      <c r="Z3597" s="25"/>
    </row>
    <row r="3598" spans="1:26" ht="15.75" customHeight="1" x14ac:dyDescent="0.25">
      <c r="A3598" s="25">
        <v>3596</v>
      </c>
      <c r="B3598" s="37" t="e">
        <f t="shared" ref="B3598:D3598" si="7241">VLOOKUP($A3598,[11]Planeación!$A$1:$O$253,B$1,0)</f>
        <v>#N/A</v>
      </c>
      <c r="C3598" s="38" t="e">
        <f t="shared" si="7241"/>
        <v>#N/A</v>
      </c>
      <c r="D3598" s="39" t="e">
        <f t="shared" si="7241"/>
        <v>#N/A</v>
      </c>
      <c r="E3598" s="16" t="e">
        <f t="shared" si="1"/>
        <v>#N/A</v>
      </c>
      <c r="F3598" s="16" t="e">
        <f t="shared" ref="F3598:K3598" si="7242">VLOOKUP($A3598,[11]Planeación!$A$1:$O$253,F$1,0)</f>
        <v>#N/A</v>
      </c>
      <c r="G3598" s="39" t="e">
        <f t="shared" si="7242"/>
        <v>#N/A</v>
      </c>
      <c r="H3598" s="16" t="e">
        <f t="shared" si="7242"/>
        <v>#N/A</v>
      </c>
      <c r="I3598" s="16" t="e">
        <f t="shared" si="7242"/>
        <v>#N/A</v>
      </c>
      <c r="J3598" s="40" t="e">
        <f t="shared" si="7242"/>
        <v>#N/A</v>
      </c>
      <c r="K3598" s="16" t="e">
        <f t="shared" si="7242"/>
        <v>#N/A</v>
      </c>
      <c r="L3598" s="40" t="e">
        <f t="shared" si="6649"/>
        <v>#N/A</v>
      </c>
      <c r="M3598" s="16" t="e">
        <f t="shared" si="6650"/>
        <v>#N/A</v>
      </c>
      <c r="N3598" s="16" t="e">
        <f t="shared" si="6651"/>
        <v>#N/A</v>
      </c>
      <c r="O3598" s="16" t="s">
        <v>75</v>
      </c>
      <c r="P3598" s="16" t="str">
        <f t="shared" si="6"/>
        <v/>
      </c>
      <c r="Q3598" s="41" t="e">
        <f t="shared" si="6652"/>
        <v>#N/A</v>
      </c>
      <c r="R3598" s="44"/>
      <c r="S3598" s="44"/>
      <c r="T3598" s="43"/>
      <c r="U3598" s="43" t="str">
        <f t="shared" si="8"/>
        <v>No</v>
      </c>
      <c r="V3598" s="25"/>
      <c r="W3598" s="25"/>
      <c r="X3598" s="25"/>
      <c r="Y3598" s="25"/>
      <c r="Z3598" s="25"/>
    </row>
    <row r="3599" spans="1:26" ht="15.75" customHeight="1" x14ac:dyDescent="0.25">
      <c r="A3599" s="25">
        <v>3597</v>
      </c>
      <c r="B3599" s="37" t="e">
        <f t="shared" ref="B3599:D3599" si="7243">VLOOKUP($A3599,[11]Planeación!$A$1:$O$253,B$1,0)</f>
        <v>#N/A</v>
      </c>
      <c r="C3599" s="38" t="e">
        <f t="shared" si="7243"/>
        <v>#N/A</v>
      </c>
      <c r="D3599" s="39" t="e">
        <f t="shared" si="7243"/>
        <v>#N/A</v>
      </c>
      <c r="E3599" s="16" t="e">
        <f t="shared" si="1"/>
        <v>#N/A</v>
      </c>
      <c r="F3599" s="16" t="e">
        <f t="shared" ref="F3599:K3599" si="7244">VLOOKUP($A3599,[11]Planeación!$A$1:$O$253,F$1,0)</f>
        <v>#N/A</v>
      </c>
      <c r="G3599" s="39" t="e">
        <f t="shared" si="7244"/>
        <v>#N/A</v>
      </c>
      <c r="H3599" s="16" t="e">
        <f t="shared" si="7244"/>
        <v>#N/A</v>
      </c>
      <c r="I3599" s="16" t="e">
        <f t="shared" si="7244"/>
        <v>#N/A</v>
      </c>
      <c r="J3599" s="40" t="e">
        <f t="shared" si="7244"/>
        <v>#N/A</v>
      </c>
      <c r="K3599" s="16" t="e">
        <f t="shared" si="7244"/>
        <v>#N/A</v>
      </c>
      <c r="L3599" s="40" t="e">
        <f t="shared" si="6649"/>
        <v>#N/A</v>
      </c>
      <c r="M3599" s="16" t="e">
        <f t="shared" si="6650"/>
        <v>#N/A</v>
      </c>
      <c r="N3599" s="16" t="e">
        <f t="shared" si="6651"/>
        <v>#N/A</v>
      </c>
      <c r="O3599" s="16" t="s">
        <v>75</v>
      </c>
      <c r="P3599" s="16" t="str">
        <f t="shared" si="6"/>
        <v/>
      </c>
      <c r="Q3599" s="41" t="e">
        <f t="shared" si="6652"/>
        <v>#N/A</v>
      </c>
      <c r="R3599" s="44"/>
      <c r="S3599" s="44"/>
      <c r="T3599" s="43"/>
      <c r="U3599" s="43" t="str">
        <f t="shared" si="8"/>
        <v>No</v>
      </c>
      <c r="V3599" s="25"/>
      <c r="W3599" s="25"/>
      <c r="X3599" s="25"/>
      <c r="Y3599" s="25"/>
      <c r="Z3599" s="25"/>
    </row>
    <row r="3600" spans="1:26" ht="15.75" customHeight="1" x14ac:dyDescent="0.25">
      <c r="A3600" s="25">
        <v>3598</v>
      </c>
      <c r="B3600" s="37" t="e">
        <f t="shared" ref="B3600:D3600" si="7245">VLOOKUP($A3600,[11]Planeación!$A$1:$O$253,B$1,0)</f>
        <v>#N/A</v>
      </c>
      <c r="C3600" s="38" t="e">
        <f t="shared" si="7245"/>
        <v>#N/A</v>
      </c>
      <c r="D3600" s="39" t="e">
        <f t="shared" si="7245"/>
        <v>#N/A</v>
      </c>
      <c r="E3600" s="16" t="e">
        <f t="shared" si="1"/>
        <v>#N/A</v>
      </c>
      <c r="F3600" s="16" t="e">
        <f t="shared" ref="F3600:K3600" si="7246">VLOOKUP($A3600,[11]Planeación!$A$1:$O$253,F$1,0)</f>
        <v>#N/A</v>
      </c>
      <c r="G3600" s="39" t="e">
        <f t="shared" si="7246"/>
        <v>#N/A</v>
      </c>
      <c r="H3600" s="16" t="e">
        <f t="shared" si="7246"/>
        <v>#N/A</v>
      </c>
      <c r="I3600" s="16" t="e">
        <f t="shared" si="7246"/>
        <v>#N/A</v>
      </c>
      <c r="J3600" s="40" t="e">
        <f t="shared" si="7246"/>
        <v>#N/A</v>
      </c>
      <c r="K3600" s="16" t="e">
        <f t="shared" si="7246"/>
        <v>#N/A</v>
      </c>
      <c r="L3600" s="40" t="e">
        <f t="shared" si="6649"/>
        <v>#N/A</v>
      </c>
      <c r="M3600" s="16" t="e">
        <f t="shared" si="6650"/>
        <v>#N/A</v>
      </c>
      <c r="N3600" s="16" t="e">
        <f t="shared" si="6651"/>
        <v>#N/A</v>
      </c>
      <c r="O3600" s="16" t="s">
        <v>75</v>
      </c>
      <c r="P3600" s="16" t="str">
        <f t="shared" si="6"/>
        <v/>
      </c>
      <c r="Q3600" s="41" t="e">
        <f t="shared" si="6652"/>
        <v>#N/A</v>
      </c>
      <c r="R3600" s="44"/>
      <c r="S3600" s="44"/>
      <c r="T3600" s="43"/>
      <c r="U3600" s="43" t="str">
        <f t="shared" si="8"/>
        <v>No</v>
      </c>
      <c r="V3600" s="25"/>
      <c r="W3600" s="25"/>
      <c r="X3600" s="25"/>
      <c r="Y3600" s="25"/>
      <c r="Z3600" s="25"/>
    </row>
    <row r="3601" spans="1:26" ht="15.75" customHeight="1" x14ac:dyDescent="0.25">
      <c r="A3601" s="25">
        <v>3599</v>
      </c>
      <c r="B3601" s="37" t="e">
        <f t="shared" ref="B3601:D3601" si="7247">VLOOKUP($A3601,[11]Planeación!$A$1:$O$253,B$1,0)</f>
        <v>#N/A</v>
      </c>
      <c r="C3601" s="38" t="e">
        <f t="shared" si="7247"/>
        <v>#N/A</v>
      </c>
      <c r="D3601" s="39" t="e">
        <f t="shared" si="7247"/>
        <v>#N/A</v>
      </c>
      <c r="E3601" s="16" t="e">
        <f t="shared" si="1"/>
        <v>#N/A</v>
      </c>
      <c r="F3601" s="16" t="e">
        <f t="shared" ref="F3601:K3601" si="7248">VLOOKUP($A3601,[11]Planeación!$A$1:$O$253,F$1,0)</f>
        <v>#N/A</v>
      </c>
      <c r="G3601" s="39" t="e">
        <f t="shared" si="7248"/>
        <v>#N/A</v>
      </c>
      <c r="H3601" s="16" t="e">
        <f t="shared" si="7248"/>
        <v>#N/A</v>
      </c>
      <c r="I3601" s="16" t="e">
        <f t="shared" si="7248"/>
        <v>#N/A</v>
      </c>
      <c r="J3601" s="40" t="e">
        <f t="shared" si="7248"/>
        <v>#N/A</v>
      </c>
      <c r="K3601" s="16" t="e">
        <f t="shared" si="7248"/>
        <v>#N/A</v>
      </c>
      <c r="L3601" s="40" t="e">
        <f t="shared" si="6649"/>
        <v>#N/A</v>
      </c>
      <c r="M3601" s="16" t="e">
        <f t="shared" si="6650"/>
        <v>#N/A</v>
      </c>
      <c r="N3601" s="16" t="e">
        <f t="shared" si="6651"/>
        <v>#N/A</v>
      </c>
      <c r="O3601" s="16" t="s">
        <v>75</v>
      </c>
      <c r="P3601" s="16" t="str">
        <f t="shared" si="6"/>
        <v/>
      </c>
      <c r="Q3601" s="41" t="e">
        <f t="shared" si="6652"/>
        <v>#N/A</v>
      </c>
      <c r="R3601" s="44"/>
      <c r="S3601" s="44"/>
      <c r="T3601" s="43"/>
      <c r="U3601" s="43" t="str">
        <f t="shared" si="8"/>
        <v>No</v>
      </c>
      <c r="V3601" s="25"/>
      <c r="W3601" s="25"/>
      <c r="X3601" s="25"/>
      <c r="Y3601" s="25"/>
      <c r="Z3601" s="25"/>
    </row>
    <row r="3602" spans="1:26" ht="15.75" customHeight="1" x14ac:dyDescent="0.25">
      <c r="A3602" s="25">
        <v>3600</v>
      </c>
      <c r="B3602" s="37" t="e">
        <f t="shared" ref="B3602:D3602" si="7249">VLOOKUP($A3602,[11]Planeación!$A$1:$O$253,B$1,0)</f>
        <v>#N/A</v>
      </c>
      <c r="C3602" s="38" t="e">
        <f t="shared" si="7249"/>
        <v>#N/A</v>
      </c>
      <c r="D3602" s="39" t="e">
        <f t="shared" si="7249"/>
        <v>#N/A</v>
      </c>
      <c r="E3602" s="16" t="e">
        <f t="shared" si="1"/>
        <v>#N/A</v>
      </c>
      <c r="F3602" s="16" t="e">
        <f t="shared" ref="F3602:K3602" si="7250">VLOOKUP($A3602,[11]Planeación!$A$1:$O$253,F$1,0)</f>
        <v>#N/A</v>
      </c>
      <c r="G3602" s="39" t="e">
        <f t="shared" si="7250"/>
        <v>#N/A</v>
      </c>
      <c r="H3602" s="16" t="e">
        <f t="shared" si="7250"/>
        <v>#N/A</v>
      </c>
      <c r="I3602" s="16" t="e">
        <f t="shared" si="7250"/>
        <v>#N/A</v>
      </c>
      <c r="J3602" s="40" t="e">
        <f t="shared" si="7250"/>
        <v>#N/A</v>
      </c>
      <c r="K3602" s="16" t="e">
        <f t="shared" si="7250"/>
        <v>#N/A</v>
      </c>
      <c r="L3602" s="40" t="e">
        <f t="shared" si="6649"/>
        <v>#N/A</v>
      </c>
      <c r="M3602" s="16" t="e">
        <f t="shared" si="6650"/>
        <v>#N/A</v>
      </c>
      <c r="N3602" s="16" t="e">
        <f t="shared" si="6651"/>
        <v>#N/A</v>
      </c>
      <c r="O3602" s="16" t="s">
        <v>75</v>
      </c>
      <c r="P3602" s="16" t="str">
        <f t="shared" si="6"/>
        <v/>
      </c>
      <c r="Q3602" s="41" t="e">
        <f t="shared" si="6652"/>
        <v>#N/A</v>
      </c>
      <c r="R3602" s="44"/>
      <c r="S3602" s="44"/>
      <c r="T3602" s="43"/>
      <c r="U3602" s="43" t="str">
        <f t="shared" si="8"/>
        <v>No</v>
      </c>
      <c r="V3602" s="25"/>
      <c r="W3602" s="25"/>
      <c r="X3602" s="25"/>
      <c r="Y3602" s="25"/>
      <c r="Z3602" s="25"/>
    </row>
    <row r="3603" spans="1:26" ht="15.75" customHeight="1" x14ac:dyDescent="0.25">
      <c r="A3603" s="25">
        <v>3601</v>
      </c>
      <c r="B3603" s="37" t="e">
        <f t="shared" ref="B3603:D3603" si="7251">VLOOKUP($A3603,[12]Salud!$A$1:$O$277,B$1,0)</f>
        <v>#N/A</v>
      </c>
      <c r="C3603" s="38" t="e">
        <f t="shared" si="7251"/>
        <v>#N/A</v>
      </c>
      <c r="D3603" s="39" t="e">
        <f t="shared" si="7251"/>
        <v>#N/A</v>
      </c>
      <c r="E3603" s="16" t="e">
        <f t="shared" si="1"/>
        <v>#N/A</v>
      </c>
      <c r="F3603" s="16" t="e">
        <f t="shared" ref="F3603:K3603" si="7252">VLOOKUP($A3603,[12]Salud!$A$1:$O$277,F$1,0)</f>
        <v>#N/A</v>
      </c>
      <c r="G3603" s="39" t="e">
        <f t="shared" si="7252"/>
        <v>#N/A</v>
      </c>
      <c r="H3603" s="16" t="e">
        <f t="shared" si="7252"/>
        <v>#N/A</v>
      </c>
      <c r="I3603" s="16" t="e">
        <f t="shared" si="7252"/>
        <v>#N/A</v>
      </c>
      <c r="J3603" s="40" t="e">
        <f t="shared" si="7252"/>
        <v>#N/A</v>
      </c>
      <c r="K3603" s="16" t="e">
        <f t="shared" si="7252"/>
        <v>#N/A</v>
      </c>
      <c r="L3603" s="40" t="e">
        <f t="shared" ref="L3603:L3902" si="7253">VLOOKUP($A3603,[12]Salud!$A$1:$O$277,13,0)</f>
        <v>#N/A</v>
      </c>
      <c r="M3603" s="16" t="e">
        <f t="shared" ref="M3603:M3902" si="7254">VLOOKUP($A3603,[12]Salud!$A$1:$O$277,14,0)</f>
        <v>#N/A</v>
      </c>
      <c r="N3603" s="16" t="e">
        <f t="shared" ref="N3603:N3902" si="7255">VLOOKUP($A3603,[12]Salud!$A$1:$O$277,15,0)</f>
        <v>#N/A</v>
      </c>
      <c r="O3603" s="16" t="s">
        <v>76</v>
      </c>
      <c r="P3603" s="16" t="str">
        <f t="shared" si="6"/>
        <v/>
      </c>
      <c r="Q3603" s="41" t="e">
        <f t="shared" ref="Q3603:Q3902" si="7256">VLOOKUP($A3603,[12]Salud!$A$1:$O$270,12,0)</f>
        <v>#N/A</v>
      </c>
      <c r="R3603" s="44"/>
      <c r="S3603" s="44"/>
      <c r="T3603" s="43"/>
      <c r="U3603" s="43" t="str">
        <f t="shared" si="8"/>
        <v>No</v>
      </c>
      <c r="V3603" s="25"/>
      <c r="W3603" s="25"/>
      <c r="X3603" s="25"/>
      <c r="Y3603" s="25"/>
      <c r="Z3603" s="25"/>
    </row>
    <row r="3604" spans="1:26" ht="15.75" customHeight="1" x14ac:dyDescent="0.25">
      <c r="A3604" s="25">
        <v>3602</v>
      </c>
      <c r="B3604" s="37" t="e">
        <f t="shared" ref="B3604:D3604" si="7257">VLOOKUP($A3604,[12]Salud!$A$1:$O$277,B$1,0)</f>
        <v>#N/A</v>
      </c>
      <c r="C3604" s="38" t="e">
        <f t="shared" si="7257"/>
        <v>#N/A</v>
      </c>
      <c r="D3604" s="39" t="e">
        <f t="shared" si="7257"/>
        <v>#N/A</v>
      </c>
      <c r="E3604" s="16" t="e">
        <f t="shared" si="1"/>
        <v>#N/A</v>
      </c>
      <c r="F3604" s="16" t="e">
        <f t="shared" ref="F3604:K3604" si="7258">VLOOKUP($A3604,[12]Salud!$A$1:$O$277,F$1,0)</f>
        <v>#N/A</v>
      </c>
      <c r="G3604" s="39" t="e">
        <f t="shared" si="7258"/>
        <v>#N/A</v>
      </c>
      <c r="H3604" s="16" t="e">
        <f t="shared" si="7258"/>
        <v>#N/A</v>
      </c>
      <c r="I3604" s="16" t="e">
        <f t="shared" si="7258"/>
        <v>#N/A</v>
      </c>
      <c r="J3604" s="40" t="e">
        <f t="shared" si="7258"/>
        <v>#N/A</v>
      </c>
      <c r="K3604" s="16" t="e">
        <f t="shared" si="7258"/>
        <v>#N/A</v>
      </c>
      <c r="L3604" s="40" t="e">
        <f t="shared" si="7253"/>
        <v>#N/A</v>
      </c>
      <c r="M3604" s="16" t="e">
        <f t="shared" si="7254"/>
        <v>#N/A</v>
      </c>
      <c r="N3604" s="16" t="e">
        <f t="shared" si="7255"/>
        <v>#N/A</v>
      </c>
      <c r="O3604" s="16" t="s">
        <v>76</v>
      </c>
      <c r="P3604" s="16" t="str">
        <f t="shared" si="6"/>
        <v/>
      </c>
      <c r="Q3604" s="41" t="e">
        <f t="shared" si="7256"/>
        <v>#N/A</v>
      </c>
      <c r="R3604" s="44"/>
      <c r="S3604" s="44"/>
      <c r="T3604" s="43"/>
      <c r="U3604" s="43" t="str">
        <f t="shared" si="8"/>
        <v>No</v>
      </c>
      <c r="V3604" s="25"/>
      <c r="W3604" s="25"/>
      <c r="X3604" s="25"/>
      <c r="Y3604" s="25"/>
      <c r="Z3604" s="25"/>
    </row>
    <row r="3605" spans="1:26" ht="15.75" customHeight="1" x14ac:dyDescent="0.25">
      <c r="A3605" s="25">
        <v>3603</v>
      </c>
      <c r="B3605" s="37" t="e">
        <f t="shared" ref="B3605:D3605" si="7259">VLOOKUP($A3605,[12]Salud!$A$1:$O$277,B$1,0)</f>
        <v>#N/A</v>
      </c>
      <c r="C3605" s="38" t="e">
        <f t="shared" si="7259"/>
        <v>#N/A</v>
      </c>
      <c r="D3605" s="39" t="e">
        <f t="shared" si="7259"/>
        <v>#N/A</v>
      </c>
      <c r="E3605" s="16" t="e">
        <f t="shared" si="1"/>
        <v>#N/A</v>
      </c>
      <c r="F3605" s="16" t="e">
        <f t="shared" ref="F3605:K3605" si="7260">VLOOKUP($A3605,[12]Salud!$A$1:$O$277,F$1,0)</f>
        <v>#N/A</v>
      </c>
      <c r="G3605" s="39" t="e">
        <f t="shared" si="7260"/>
        <v>#N/A</v>
      </c>
      <c r="H3605" s="16" t="e">
        <f t="shared" si="7260"/>
        <v>#N/A</v>
      </c>
      <c r="I3605" s="16" t="e">
        <f t="shared" si="7260"/>
        <v>#N/A</v>
      </c>
      <c r="J3605" s="40" t="e">
        <f t="shared" si="7260"/>
        <v>#N/A</v>
      </c>
      <c r="K3605" s="16" t="e">
        <f t="shared" si="7260"/>
        <v>#N/A</v>
      </c>
      <c r="L3605" s="40" t="e">
        <f t="shared" si="7253"/>
        <v>#N/A</v>
      </c>
      <c r="M3605" s="16" t="e">
        <f t="shared" si="7254"/>
        <v>#N/A</v>
      </c>
      <c r="N3605" s="16" t="e">
        <f t="shared" si="7255"/>
        <v>#N/A</v>
      </c>
      <c r="O3605" s="16" t="s">
        <v>76</v>
      </c>
      <c r="P3605" s="16" t="str">
        <f t="shared" si="6"/>
        <v/>
      </c>
      <c r="Q3605" s="41" t="e">
        <f t="shared" si="7256"/>
        <v>#N/A</v>
      </c>
      <c r="R3605" s="44"/>
      <c r="S3605" s="44"/>
      <c r="T3605" s="43"/>
      <c r="U3605" s="43" t="str">
        <f t="shared" si="8"/>
        <v>No</v>
      </c>
      <c r="V3605" s="25"/>
      <c r="W3605" s="25"/>
      <c r="X3605" s="25"/>
      <c r="Y3605" s="25"/>
      <c r="Z3605" s="25"/>
    </row>
    <row r="3606" spans="1:26" ht="15.75" customHeight="1" x14ac:dyDescent="0.25">
      <c r="A3606" s="25">
        <v>3604</v>
      </c>
      <c r="B3606" s="37" t="e">
        <f t="shared" ref="B3606:D3606" si="7261">VLOOKUP($A3606,[12]Salud!$A$1:$O$277,B$1,0)</f>
        <v>#N/A</v>
      </c>
      <c r="C3606" s="38" t="e">
        <f t="shared" si="7261"/>
        <v>#N/A</v>
      </c>
      <c r="D3606" s="39" t="e">
        <f t="shared" si="7261"/>
        <v>#N/A</v>
      </c>
      <c r="E3606" s="16" t="e">
        <f t="shared" si="1"/>
        <v>#N/A</v>
      </c>
      <c r="F3606" s="16" t="e">
        <f t="shared" ref="F3606:K3606" si="7262">VLOOKUP($A3606,[12]Salud!$A$1:$O$277,F$1,0)</f>
        <v>#N/A</v>
      </c>
      <c r="G3606" s="39" t="e">
        <f t="shared" si="7262"/>
        <v>#N/A</v>
      </c>
      <c r="H3606" s="16" t="e">
        <f t="shared" si="7262"/>
        <v>#N/A</v>
      </c>
      <c r="I3606" s="16" t="e">
        <f t="shared" si="7262"/>
        <v>#N/A</v>
      </c>
      <c r="J3606" s="40" t="e">
        <f t="shared" si="7262"/>
        <v>#N/A</v>
      </c>
      <c r="K3606" s="16" t="e">
        <f t="shared" si="7262"/>
        <v>#N/A</v>
      </c>
      <c r="L3606" s="40" t="e">
        <f t="shared" si="7253"/>
        <v>#N/A</v>
      </c>
      <c r="M3606" s="16" t="e">
        <f t="shared" si="7254"/>
        <v>#N/A</v>
      </c>
      <c r="N3606" s="16" t="e">
        <f t="shared" si="7255"/>
        <v>#N/A</v>
      </c>
      <c r="O3606" s="16" t="s">
        <v>76</v>
      </c>
      <c r="P3606" s="16" t="str">
        <f t="shared" si="6"/>
        <v/>
      </c>
      <c r="Q3606" s="41" t="e">
        <f t="shared" si="7256"/>
        <v>#N/A</v>
      </c>
      <c r="R3606" s="44"/>
      <c r="S3606" s="44"/>
      <c r="T3606" s="43"/>
      <c r="U3606" s="43" t="str">
        <f t="shared" si="8"/>
        <v>No</v>
      </c>
      <c r="V3606" s="25"/>
      <c r="W3606" s="25"/>
      <c r="X3606" s="25"/>
      <c r="Y3606" s="25"/>
      <c r="Z3606" s="25"/>
    </row>
    <row r="3607" spans="1:26" ht="15.75" customHeight="1" x14ac:dyDescent="0.25">
      <c r="A3607" s="25">
        <v>3605</v>
      </c>
      <c r="B3607" s="37" t="e">
        <f t="shared" ref="B3607:D3607" si="7263">VLOOKUP($A3607,[12]Salud!$A$1:$O$277,B$1,0)</f>
        <v>#N/A</v>
      </c>
      <c r="C3607" s="38" t="e">
        <f t="shared" si="7263"/>
        <v>#N/A</v>
      </c>
      <c r="D3607" s="39" t="e">
        <f t="shared" si="7263"/>
        <v>#N/A</v>
      </c>
      <c r="E3607" s="16" t="e">
        <f t="shared" si="1"/>
        <v>#N/A</v>
      </c>
      <c r="F3607" s="16" t="e">
        <f t="shared" ref="F3607:K3607" si="7264">VLOOKUP($A3607,[12]Salud!$A$1:$O$277,F$1,0)</f>
        <v>#N/A</v>
      </c>
      <c r="G3607" s="39" t="e">
        <f t="shared" si="7264"/>
        <v>#N/A</v>
      </c>
      <c r="H3607" s="16" t="e">
        <f t="shared" si="7264"/>
        <v>#N/A</v>
      </c>
      <c r="I3607" s="16" t="e">
        <f t="shared" si="7264"/>
        <v>#N/A</v>
      </c>
      <c r="J3607" s="40" t="e">
        <f t="shared" si="7264"/>
        <v>#N/A</v>
      </c>
      <c r="K3607" s="16" t="e">
        <f t="shared" si="7264"/>
        <v>#N/A</v>
      </c>
      <c r="L3607" s="40" t="e">
        <f t="shared" si="7253"/>
        <v>#N/A</v>
      </c>
      <c r="M3607" s="16" t="e">
        <f t="shared" si="7254"/>
        <v>#N/A</v>
      </c>
      <c r="N3607" s="16" t="e">
        <f t="shared" si="7255"/>
        <v>#N/A</v>
      </c>
      <c r="O3607" s="16" t="s">
        <v>76</v>
      </c>
      <c r="P3607" s="16" t="str">
        <f t="shared" si="6"/>
        <v/>
      </c>
      <c r="Q3607" s="41" t="e">
        <f t="shared" si="7256"/>
        <v>#N/A</v>
      </c>
      <c r="R3607" s="44"/>
      <c r="S3607" s="44"/>
      <c r="T3607" s="43"/>
      <c r="U3607" s="43" t="str">
        <f t="shared" si="8"/>
        <v>No</v>
      </c>
      <c r="V3607" s="25"/>
      <c r="W3607" s="25"/>
      <c r="X3607" s="25"/>
      <c r="Y3607" s="25"/>
      <c r="Z3607" s="25"/>
    </row>
    <row r="3608" spans="1:26" ht="15.75" customHeight="1" x14ac:dyDescent="0.25">
      <c r="A3608" s="25">
        <v>3606</v>
      </c>
      <c r="B3608" s="37" t="e">
        <f t="shared" ref="B3608:D3608" si="7265">VLOOKUP($A3608,[12]Salud!$A$1:$O$277,B$1,0)</f>
        <v>#N/A</v>
      </c>
      <c r="C3608" s="38" t="e">
        <f t="shared" si="7265"/>
        <v>#N/A</v>
      </c>
      <c r="D3608" s="39" t="e">
        <f t="shared" si="7265"/>
        <v>#N/A</v>
      </c>
      <c r="E3608" s="16" t="e">
        <f t="shared" si="1"/>
        <v>#N/A</v>
      </c>
      <c r="F3608" s="16" t="e">
        <f t="shared" ref="F3608:K3608" si="7266">VLOOKUP($A3608,[12]Salud!$A$1:$O$277,F$1,0)</f>
        <v>#N/A</v>
      </c>
      <c r="G3608" s="39" t="e">
        <f t="shared" si="7266"/>
        <v>#N/A</v>
      </c>
      <c r="H3608" s="16" t="e">
        <f t="shared" si="7266"/>
        <v>#N/A</v>
      </c>
      <c r="I3608" s="16" t="e">
        <f t="shared" si="7266"/>
        <v>#N/A</v>
      </c>
      <c r="J3608" s="40" t="e">
        <f t="shared" si="7266"/>
        <v>#N/A</v>
      </c>
      <c r="K3608" s="16" t="e">
        <f t="shared" si="7266"/>
        <v>#N/A</v>
      </c>
      <c r="L3608" s="40" t="e">
        <f t="shared" si="7253"/>
        <v>#N/A</v>
      </c>
      <c r="M3608" s="16" t="e">
        <f t="shared" si="7254"/>
        <v>#N/A</v>
      </c>
      <c r="N3608" s="16" t="e">
        <f t="shared" si="7255"/>
        <v>#N/A</v>
      </c>
      <c r="O3608" s="16" t="s">
        <v>76</v>
      </c>
      <c r="P3608" s="16" t="str">
        <f t="shared" si="6"/>
        <v/>
      </c>
      <c r="Q3608" s="41" t="e">
        <f t="shared" si="7256"/>
        <v>#N/A</v>
      </c>
      <c r="R3608" s="44"/>
      <c r="S3608" s="44"/>
      <c r="T3608" s="43"/>
      <c r="U3608" s="43" t="str">
        <f t="shared" si="8"/>
        <v>No</v>
      </c>
      <c r="V3608" s="25"/>
      <c r="W3608" s="25"/>
      <c r="X3608" s="25"/>
      <c r="Y3608" s="25"/>
      <c r="Z3608" s="25"/>
    </row>
    <row r="3609" spans="1:26" ht="15.75" customHeight="1" x14ac:dyDescent="0.25">
      <c r="A3609" s="25">
        <v>3607</v>
      </c>
      <c r="B3609" s="37" t="e">
        <f t="shared" ref="B3609:D3609" si="7267">VLOOKUP($A3609,[12]Salud!$A$1:$O$277,B$1,0)</f>
        <v>#N/A</v>
      </c>
      <c r="C3609" s="38" t="e">
        <f t="shared" si="7267"/>
        <v>#N/A</v>
      </c>
      <c r="D3609" s="39" t="e">
        <f t="shared" si="7267"/>
        <v>#N/A</v>
      </c>
      <c r="E3609" s="16" t="e">
        <f t="shared" si="1"/>
        <v>#N/A</v>
      </c>
      <c r="F3609" s="16" t="e">
        <f t="shared" ref="F3609:K3609" si="7268">VLOOKUP($A3609,[12]Salud!$A$1:$O$277,F$1,0)</f>
        <v>#N/A</v>
      </c>
      <c r="G3609" s="39" t="e">
        <f t="shared" si="7268"/>
        <v>#N/A</v>
      </c>
      <c r="H3609" s="16" t="e">
        <f t="shared" si="7268"/>
        <v>#N/A</v>
      </c>
      <c r="I3609" s="16" t="e">
        <f t="shared" si="7268"/>
        <v>#N/A</v>
      </c>
      <c r="J3609" s="40" t="e">
        <f t="shared" si="7268"/>
        <v>#N/A</v>
      </c>
      <c r="K3609" s="16" t="e">
        <f t="shared" si="7268"/>
        <v>#N/A</v>
      </c>
      <c r="L3609" s="40" t="e">
        <f t="shared" si="7253"/>
        <v>#N/A</v>
      </c>
      <c r="M3609" s="16" t="e">
        <f t="shared" si="7254"/>
        <v>#N/A</v>
      </c>
      <c r="N3609" s="16" t="e">
        <f t="shared" si="7255"/>
        <v>#N/A</v>
      </c>
      <c r="O3609" s="16" t="s">
        <v>76</v>
      </c>
      <c r="P3609" s="16" t="str">
        <f t="shared" si="6"/>
        <v/>
      </c>
      <c r="Q3609" s="41" t="e">
        <f t="shared" si="7256"/>
        <v>#N/A</v>
      </c>
      <c r="R3609" s="44"/>
      <c r="S3609" s="44"/>
      <c r="T3609" s="43"/>
      <c r="U3609" s="43" t="str">
        <f t="shared" si="8"/>
        <v>No</v>
      </c>
      <c r="V3609" s="25"/>
      <c r="W3609" s="25"/>
      <c r="X3609" s="25"/>
      <c r="Y3609" s="25"/>
      <c r="Z3609" s="25"/>
    </row>
    <row r="3610" spans="1:26" ht="15.75" customHeight="1" x14ac:dyDescent="0.25">
      <c r="A3610" s="25">
        <v>3608</v>
      </c>
      <c r="B3610" s="37" t="e">
        <f t="shared" ref="B3610:D3610" si="7269">VLOOKUP($A3610,[12]Salud!$A$1:$O$277,B$1,0)</f>
        <v>#N/A</v>
      </c>
      <c r="C3610" s="38" t="e">
        <f t="shared" si="7269"/>
        <v>#N/A</v>
      </c>
      <c r="D3610" s="39" t="e">
        <f t="shared" si="7269"/>
        <v>#N/A</v>
      </c>
      <c r="E3610" s="16" t="e">
        <f t="shared" si="1"/>
        <v>#N/A</v>
      </c>
      <c r="F3610" s="16" t="e">
        <f t="shared" ref="F3610:K3610" si="7270">VLOOKUP($A3610,[12]Salud!$A$1:$O$277,F$1,0)</f>
        <v>#N/A</v>
      </c>
      <c r="G3610" s="39" t="e">
        <f t="shared" si="7270"/>
        <v>#N/A</v>
      </c>
      <c r="H3610" s="16" t="e">
        <f t="shared" si="7270"/>
        <v>#N/A</v>
      </c>
      <c r="I3610" s="16" t="e">
        <f t="shared" si="7270"/>
        <v>#N/A</v>
      </c>
      <c r="J3610" s="40" t="e">
        <f t="shared" si="7270"/>
        <v>#N/A</v>
      </c>
      <c r="K3610" s="16" t="e">
        <f t="shared" si="7270"/>
        <v>#N/A</v>
      </c>
      <c r="L3610" s="40" t="e">
        <f t="shared" si="7253"/>
        <v>#N/A</v>
      </c>
      <c r="M3610" s="16" t="e">
        <f t="shared" si="7254"/>
        <v>#N/A</v>
      </c>
      <c r="N3610" s="16" t="e">
        <f t="shared" si="7255"/>
        <v>#N/A</v>
      </c>
      <c r="O3610" s="16" t="s">
        <v>76</v>
      </c>
      <c r="P3610" s="16" t="str">
        <f t="shared" si="6"/>
        <v/>
      </c>
      <c r="Q3610" s="41" t="e">
        <f t="shared" si="7256"/>
        <v>#N/A</v>
      </c>
      <c r="R3610" s="44"/>
      <c r="S3610" s="44"/>
      <c r="T3610" s="43"/>
      <c r="U3610" s="43" t="str">
        <f t="shared" si="8"/>
        <v>No</v>
      </c>
      <c r="V3610" s="25"/>
      <c r="W3610" s="25"/>
      <c r="X3610" s="25"/>
      <c r="Y3610" s="25"/>
      <c r="Z3610" s="25"/>
    </row>
    <row r="3611" spans="1:26" ht="15.75" customHeight="1" x14ac:dyDescent="0.25">
      <c r="A3611" s="25">
        <v>3609</v>
      </c>
      <c r="B3611" s="37" t="e">
        <f t="shared" ref="B3611:D3611" si="7271">VLOOKUP($A3611,[12]Salud!$A$1:$O$277,B$1,0)</f>
        <v>#N/A</v>
      </c>
      <c r="C3611" s="38" t="e">
        <f t="shared" si="7271"/>
        <v>#N/A</v>
      </c>
      <c r="D3611" s="39" t="e">
        <f t="shared" si="7271"/>
        <v>#N/A</v>
      </c>
      <c r="E3611" s="16" t="e">
        <f t="shared" si="1"/>
        <v>#N/A</v>
      </c>
      <c r="F3611" s="16" t="e">
        <f t="shared" ref="F3611:K3611" si="7272">VLOOKUP($A3611,[12]Salud!$A$1:$O$277,F$1,0)</f>
        <v>#N/A</v>
      </c>
      <c r="G3611" s="39" t="e">
        <f t="shared" si="7272"/>
        <v>#N/A</v>
      </c>
      <c r="H3611" s="16" t="e">
        <f t="shared" si="7272"/>
        <v>#N/A</v>
      </c>
      <c r="I3611" s="16" t="e">
        <f t="shared" si="7272"/>
        <v>#N/A</v>
      </c>
      <c r="J3611" s="40" t="e">
        <f t="shared" si="7272"/>
        <v>#N/A</v>
      </c>
      <c r="K3611" s="16" t="e">
        <f t="shared" si="7272"/>
        <v>#N/A</v>
      </c>
      <c r="L3611" s="40" t="e">
        <f t="shared" si="7253"/>
        <v>#N/A</v>
      </c>
      <c r="M3611" s="16" t="e">
        <f t="shared" si="7254"/>
        <v>#N/A</v>
      </c>
      <c r="N3611" s="16" t="e">
        <f t="shared" si="7255"/>
        <v>#N/A</v>
      </c>
      <c r="O3611" s="16" t="s">
        <v>76</v>
      </c>
      <c r="P3611" s="16" t="str">
        <f t="shared" si="6"/>
        <v/>
      </c>
      <c r="Q3611" s="41" t="e">
        <f t="shared" si="7256"/>
        <v>#N/A</v>
      </c>
      <c r="R3611" s="44"/>
      <c r="S3611" s="44"/>
      <c r="T3611" s="43"/>
      <c r="U3611" s="43" t="str">
        <f t="shared" si="8"/>
        <v>No</v>
      </c>
      <c r="V3611" s="25"/>
      <c r="W3611" s="25"/>
      <c r="X3611" s="25"/>
      <c r="Y3611" s="25"/>
      <c r="Z3611" s="25"/>
    </row>
    <row r="3612" spans="1:26" ht="15.75" customHeight="1" x14ac:dyDescent="0.25">
      <c r="A3612" s="25">
        <v>3610</v>
      </c>
      <c r="B3612" s="37" t="e">
        <f t="shared" ref="B3612:D3612" si="7273">VLOOKUP($A3612,[12]Salud!$A$1:$O$277,B$1,0)</f>
        <v>#N/A</v>
      </c>
      <c r="C3612" s="38" t="e">
        <f t="shared" si="7273"/>
        <v>#N/A</v>
      </c>
      <c r="D3612" s="39" t="e">
        <f t="shared" si="7273"/>
        <v>#N/A</v>
      </c>
      <c r="E3612" s="16" t="e">
        <f t="shared" si="1"/>
        <v>#N/A</v>
      </c>
      <c r="F3612" s="16" t="e">
        <f t="shared" ref="F3612:K3612" si="7274">VLOOKUP($A3612,[12]Salud!$A$1:$O$277,F$1,0)</f>
        <v>#N/A</v>
      </c>
      <c r="G3612" s="39" t="e">
        <f t="shared" si="7274"/>
        <v>#N/A</v>
      </c>
      <c r="H3612" s="16" t="e">
        <f t="shared" si="7274"/>
        <v>#N/A</v>
      </c>
      <c r="I3612" s="16" t="e">
        <f t="shared" si="7274"/>
        <v>#N/A</v>
      </c>
      <c r="J3612" s="40" t="e">
        <f t="shared" si="7274"/>
        <v>#N/A</v>
      </c>
      <c r="K3612" s="16" t="e">
        <f t="shared" si="7274"/>
        <v>#N/A</v>
      </c>
      <c r="L3612" s="40" t="e">
        <f t="shared" si="7253"/>
        <v>#N/A</v>
      </c>
      <c r="M3612" s="16" t="e">
        <f t="shared" si="7254"/>
        <v>#N/A</v>
      </c>
      <c r="N3612" s="16" t="e">
        <f t="shared" si="7255"/>
        <v>#N/A</v>
      </c>
      <c r="O3612" s="16" t="s">
        <v>76</v>
      </c>
      <c r="P3612" s="16" t="str">
        <f t="shared" si="6"/>
        <v/>
      </c>
      <c r="Q3612" s="41" t="e">
        <f t="shared" si="7256"/>
        <v>#N/A</v>
      </c>
      <c r="R3612" s="44"/>
      <c r="S3612" s="44"/>
      <c r="T3612" s="43"/>
      <c r="U3612" s="43" t="str">
        <f t="shared" si="8"/>
        <v>No</v>
      </c>
      <c r="V3612" s="25"/>
      <c r="W3612" s="25"/>
      <c r="X3612" s="25"/>
      <c r="Y3612" s="25"/>
      <c r="Z3612" s="25"/>
    </row>
    <row r="3613" spans="1:26" ht="15.75" customHeight="1" x14ac:dyDescent="0.25">
      <c r="A3613" s="25">
        <v>3611</v>
      </c>
      <c r="B3613" s="37" t="e">
        <f t="shared" ref="B3613:D3613" si="7275">VLOOKUP($A3613,[12]Salud!$A$1:$O$277,B$1,0)</f>
        <v>#N/A</v>
      </c>
      <c r="C3613" s="38" t="e">
        <f t="shared" si="7275"/>
        <v>#N/A</v>
      </c>
      <c r="D3613" s="39" t="e">
        <f t="shared" si="7275"/>
        <v>#N/A</v>
      </c>
      <c r="E3613" s="16" t="e">
        <f t="shared" si="1"/>
        <v>#N/A</v>
      </c>
      <c r="F3613" s="16" t="e">
        <f t="shared" ref="F3613:K3613" si="7276">VLOOKUP($A3613,[12]Salud!$A$1:$O$277,F$1,0)</f>
        <v>#N/A</v>
      </c>
      <c r="G3613" s="39" t="e">
        <f t="shared" si="7276"/>
        <v>#N/A</v>
      </c>
      <c r="H3613" s="16" t="e">
        <f t="shared" si="7276"/>
        <v>#N/A</v>
      </c>
      <c r="I3613" s="16" t="e">
        <f t="shared" si="7276"/>
        <v>#N/A</v>
      </c>
      <c r="J3613" s="40" t="e">
        <f t="shared" si="7276"/>
        <v>#N/A</v>
      </c>
      <c r="K3613" s="16" t="e">
        <f t="shared" si="7276"/>
        <v>#N/A</v>
      </c>
      <c r="L3613" s="40" t="e">
        <f t="shared" si="7253"/>
        <v>#N/A</v>
      </c>
      <c r="M3613" s="16" t="e">
        <f t="shared" si="7254"/>
        <v>#N/A</v>
      </c>
      <c r="N3613" s="16" t="e">
        <f t="shared" si="7255"/>
        <v>#N/A</v>
      </c>
      <c r="O3613" s="16" t="s">
        <v>76</v>
      </c>
      <c r="P3613" s="16" t="str">
        <f t="shared" si="6"/>
        <v/>
      </c>
      <c r="Q3613" s="41" t="e">
        <f t="shared" si="7256"/>
        <v>#N/A</v>
      </c>
      <c r="R3613" s="44"/>
      <c r="S3613" s="44"/>
      <c r="T3613" s="43"/>
      <c r="U3613" s="43" t="str">
        <f t="shared" si="8"/>
        <v>No</v>
      </c>
      <c r="V3613" s="25"/>
      <c r="W3613" s="25"/>
      <c r="X3613" s="25"/>
      <c r="Y3613" s="25"/>
      <c r="Z3613" s="25"/>
    </row>
    <row r="3614" spans="1:26" ht="15.75" customHeight="1" x14ac:dyDescent="0.25">
      <c r="A3614" s="25">
        <v>3612</v>
      </c>
      <c r="B3614" s="37" t="e">
        <f t="shared" ref="B3614:D3614" si="7277">VLOOKUP($A3614,[12]Salud!$A$1:$O$277,B$1,0)</f>
        <v>#N/A</v>
      </c>
      <c r="C3614" s="38" t="e">
        <f t="shared" si="7277"/>
        <v>#N/A</v>
      </c>
      <c r="D3614" s="39" t="e">
        <f t="shared" si="7277"/>
        <v>#N/A</v>
      </c>
      <c r="E3614" s="16" t="e">
        <f t="shared" si="1"/>
        <v>#N/A</v>
      </c>
      <c r="F3614" s="16" t="e">
        <f t="shared" ref="F3614:K3614" si="7278">VLOOKUP($A3614,[12]Salud!$A$1:$O$277,F$1,0)</f>
        <v>#N/A</v>
      </c>
      <c r="G3614" s="39" t="e">
        <f t="shared" si="7278"/>
        <v>#N/A</v>
      </c>
      <c r="H3614" s="16" t="e">
        <f t="shared" si="7278"/>
        <v>#N/A</v>
      </c>
      <c r="I3614" s="16" t="e">
        <f t="shared" si="7278"/>
        <v>#N/A</v>
      </c>
      <c r="J3614" s="40" t="e">
        <f t="shared" si="7278"/>
        <v>#N/A</v>
      </c>
      <c r="K3614" s="16" t="e">
        <f t="shared" si="7278"/>
        <v>#N/A</v>
      </c>
      <c r="L3614" s="40" t="e">
        <f t="shared" si="7253"/>
        <v>#N/A</v>
      </c>
      <c r="M3614" s="16" t="e">
        <f t="shared" si="7254"/>
        <v>#N/A</v>
      </c>
      <c r="N3614" s="16" t="e">
        <f t="shared" si="7255"/>
        <v>#N/A</v>
      </c>
      <c r="O3614" s="16" t="s">
        <v>76</v>
      </c>
      <c r="P3614" s="16" t="str">
        <f t="shared" si="6"/>
        <v/>
      </c>
      <c r="Q3614" s="41" t="e">
        <f t="shared" si="7256"/>
        <v>#N/A</v>
      </c>
      <c r="R3614" s="44"/>
      <c r="S3614" s="44"/>
      <c r="T3614" s="43"/>
      <c r="U3614" s="43" t="str">
        <f t="shared" si="8"/>
        <v>No</v>
      </c>
      <c r="V3614" s="25"/>
      <c r="W3614" s="25"/>
      <c r="X3614" s="25"/>
      <c r="Y3614" s="25"/>
      <c r="Z3614" s="25"/>
    </row>
    <row r="3615" spans="1:26" ht="15.75" customHeight="1" x14ac:dyDescent="0.25">
      <c r="A3615" s="25">
        <v>3613</v>
      </c>
      <c r="B3615" s="37" t="e">
        <f t="shared" ref="B3615:D3615" si="7279">VLOOKUP($A3615,[12]Salud!$A$1:$O$277,B$1,0)</f>
        <v>#N/A</v>
      </c>
      <c r="C3615" s="38" t="e">
        <f t="shared" si="7279"/>
        <v>#N/A</v>
      </c>
      <c r="D3615" s="39" t="e">
        <f t="shared" si="7279"/>
        <v>#N/A</v>
      </c>
      <c r="E3615" s="16" t="e">
        <f t="shared" si="1"/>
        <v>#N/A</v>
      </c>
      <c r="F3615" s="16" t="e">
        <f t="shared" ref="F3615:K3615" si="7280">VLOOKUP($A3615,[12]Salud!$A$1:$O$277,F$1,0)</f>
        <v>#N/A</v>
      </c>
      <c r="G3615" s="39" t="e">
        <f t="shared" si="7280"/>
        <v>#N/A</v>
      </c>
      <c r="H3615" s="16" t="e">
        <f t="shared" si="7280"/>
        <v>#N/A</v>
      </c>
      <c r="I3615" s="16" t="e">
        <f t="shared" si="7280"/>
        <v>#N/A</v>
      </c>
      <c r="J3615" s="40" t="e">
        <f t="shared" si="7280"/>
        <v>#N/A</v>
      </c>
      <c r="K3615" s="16" t="e">
        <f t="shared" si="7280"/>
        <v>#N/A</v>
      </c>
      <c r="L3615" s="40" t="e">
        <f t="shared" si="7253"/>
        <v>#N/A</v>
      </c>
      <c r="M3615" s="16" t="e">
        <f t="shared" si="7254"/>
        <v>#N/A</v>
      </c>
      <c r="N3615" s="16" t="e">
        <f t="shared" si="7255"/>
        <v>#N/A</v>
      </c>
      <c r="O3615" s="16" t="s">
        <v>76</v>
      </c>
      <c r="P3615" s="16" t="str">
        <f t="shared" si="6"/>
        <v/>
      </c>
      <c r="Q3615" s="41" t="e">
        <f t="shared" si="7256"/>
        <v>#N/A</v>
      </c>
      <c r="R3615" s="44"/>
      <c r="S3615" s="44"/>
      <c r="T3615" s="43"/>
      <c r="U3615" s="43" t="str">
        <f t="shared" si="8"/>
        <v>No</v>
      </c>
      <c r="V3615" s="25"/>
      <c r="W3615" s="25"/>
      <c r="X3615" s="25"/>
      <c r="Y3615" s="25"/>
      <c r="Z3615" s="25"/>
    </row>
    <row r="3616" spans="1:26" ht="15.75" customHeight="1" x14ac:dyDescent="0.25">
      <c r="A3616" s="25">
        <v>3614</v>
      </c>
      <c r="B3616" s="37" t="e">
        <f t="shared" ref="B3616:D3616" si="7281">VLOOKUP($A3616,[12]Salud!$A$1:$O$277,B$1,0)</f>
        <v>#N/A</v>
      </c>
      <c r="C3616" s="38" t="e">
        <f t="shared" si="7281"/>
        <v>#N/A</v>
      </c>
      <c r="D3616" s="39" t="e">
        <f t="shared" si="7281"/>
        <v>#N/A</v>
      </c>
      <c r="E3616" s="16" t="e">
        <f t="shared" si="1"/>
        <v>#N/A</v>
      </c>
      <c r="F3616" s="16" t="e">
        <f t="shared" ref="F3616:K3616" si="7282">VLOOKUP($A3616,[12]Salud!$A$1:$O$277,F$1,0)</f>
        <v>#N/A</v>
      </c>
      <c r="G3616" s="39" t="e">
        <f t="shared" si="7282"/>
        <v>#N/A</v>
      </c>
      <c r="H3616" s="16" t="e">
        <f t="shared" si="7282"/>
        <v>#N/A</v>
      </c>
      <c r="I3616" s="16" t="e">
        <f t="shared" si="7282"/>
        <v>#N/A</v>
      </c>
      <c r="J3616" s="40" t="e">
        <f t="shared" si="7282"/>
        <v>#N/A</v>
      </c>
      <c r="K3616" s="16" t="e">
        <f t="shared" si="7282"/>
        <v>#N/A</v>
      </c>
      <c r="L3616" s="40" t="e">
        <f t="shared" si="7253"/>
        <v>#N/A</v>
      </c>
      <c r="M3616" s="16" t="e">
        <f t="shared" si="7254"/>
        <v>#N/A</v>
      </c>
      <c r="N3616" s="16" t="e">
        <f t="shared" si="7255"/>
        <v>#N/A</v>
      </c>
      <c r="O3616" s="16" t="s">
        <v>76</v>
      </c>
      <c r="P3616" s="16" t="str">
        <f t="shared" si="6"/>
        <v/>
      </c>
      <c r="Q3616" s="41" t="e">
        <f t="shared" si="7256"/>
        <v>#N/A</v>
      </c>
      <c r="R3616" s="44"/>
      <c r="S3616" s="44"/>
      <c r="T3616" s="43"/>
      <c r="U3616" s="43" t="str">
        <f t="shared" si="8"/>
        <v>No</v>
      </c>
      <c r="V3616" s="25"/>
      <c r="W3616" s="25"/>
      <c r="X3616" s="25"/>
      <c r="Y3616" s="25"/>
      <c r="Z3616" s="25"/>
    </row>
    <row r="3617" spans="1:26" ht="15.75" customHeight="1" x14ac:dyDescent="0.25">
      <c r="A3617" s="25">
        <v>3615</v>
      </c>
      <c r="B3617" s="37" t="e">
        <f t="shared" ref="B3617:D3617" si="7283">VLOOKUP($A3617,[12]Salud!$A$1:$O$277,B$1,0)</f>
        <v>#N/A</v>
      </c>
      <c r="C3617" s="38" t="e">
        <f t="shared" si="7283"/>
        <v>#N/A</v>
      </c>
      <c r="D3617" s="39" t="e">
        <f t="shared" si="7283"/>
        <v>#N/A</v>
      </c>
      <c r="E3617" s="16" t="e">
        <f t="shared" si="1"/>
        <v>#N/A</v>
      </c>
      <c r="F3617" s="16" t="e">
        <f t="shared" ref="F3617:K3617" si="7284">VLOOKUP($A3617,[12]Salud!$A$1:$O$277,F$1,0)</f>
        <v>#N/A</v>
      </c>
      <c r="G3617" s="39" t="e">
        <f t="shared" si="7284"/>
        <v>#N/A</v>
      </c>
      <c r="H3617" s="16" t="e">
        <f t="shared" si="7284"/>
        <v>#N/A</v>
      </c>
      <c r="I3617" s="16" t="e">
        <f t="shared" si="7284"/>
        <v>#N/A</v>
      </c>
      <c r="J3617" s="40" t="e">
        <f t="shared" si="7284"/>
        <v>#N/A</v>
      </c>
      <c r="K3617" s="16" t="e">
        <f t="shared" si="7284"/>
        <v>#N/A</v>
      </c>
      <c r="L3617" s="40" t="e">
        <f t="shared" si="7253"/>
        <v>#N/A</v>
      </c>
      <c r="M3617" s="16" t="e">
        <f t="shared" si="7254"/>
        <v>#N/A</v>
      </c>
      <c r="N3617" s="16" t="e">
        <f t="shared" si="7255"/>
        <v>#N/A</v>
      </c>
      <c r="O3617" s="16" t="s">
        <v>76</v>
      </c>
      <c r="P3617" s="16" t="str">
        <f t="shared" si="6"/>
        <v/>
      </c>
      <c r="Q3617" s="41" t="e">
        <f t="shared" si="7256"/>
        <v>#N/A</v>
      </c>
      <c r="R3617" s="44"/>
      <c r="S3617" s="44"/>
      <c r="T3617" s="43"/>
      <c r="U3617" s="43" t="str">
        <f t="shared" si="8"/>
        <v>No</v>
      </c>
      <c r="V3617" s="25"/>
      <c r="W3617" s="25"/>
      <c r="X3617" s="25"/>
      <c r="Y3617" s="25"/>
      <c r="Z3617" s="25"/>
    </row>
    <row r="3618" spans="1:26" ht="15.75" customHeight="1" x14ac:dyDescent="0.25">
      <c r="A3618" s="25">
        <v>3616</v>
      </c>
      <c r="B3618" s="37" t="e">
        <f t="shared" ref="B3618:D3618" si="7285">VLOOKUP($A3618,[12]Salud!$A$1:$O$277,B$1,0)</f>
        <v>#N/A</v>
      </c>
      <c r="C3618" s="38" t="e">
        <f t="shared" si="7285"/>
        <v>#N/A</v>
      </c>
      <c r="D3618" s="39" t="e">
        <f t="shared" si="7285"/>
        <v>#N/A</v>
      </c>
      <c r="E3618" s="16" t="e">
        <f t="shared" si="1"/>
        <v>#N/A</v>
      </c>
      <c r="F3618" s="16" t="e">
        <f t="shared" ref="F3618:K3618" si="7286">VLOOKUP($A3618,[12]Salud!$A$1:$O$277,F$1,0)</f>
        <v>#N/A</v>
      </c>
      <c r="G3618" s="39" t="e">
        <f t="shared" si="7286"/>
        <v>#N/A</v>
      </c>
      <c r="H3618" s="16" t="e">
        <f t="shared" si="7286"/>
        <v>#N/A</v>
      </c>
      <c r="I3618" s="16" t="e">
        <f t="shared" si="7286"/>
        <v>#N/A</v>
      </c>
      <c r="J3618" s="40" t="e">
        <f t="shared" si="7286"/>
        <v>#N/A</v>
      </c>
      <c r="K3618" s="16" t="e">
        <f t="shared" si="7286"/>
        <v>#N/A</v>
      </c>
      <c r="L3618" s="40" t="e">
        <f t="shared" si="7253"/>
        <v>#N/A</v>
      </c>
      <c r="M3618" s="16" t="e">
        <f t="shared" si="7254"/>
        <v>#N/A</v>
      </c>
      <c r="N3618" s="16" t="e">
        <f t="shared" si="7255"/>
        <v>#N/A</v>
      </c>
      <c r="O3618" s="16" t="s">
        <v>76</v>
      </c>
      <c r="P3618" s="16" t="str">
        <f t="shared" si="6"/>
        <v/>
      </c>
      <c r="Q3618" s="41" t="e">
        <f t="shared" si="7256"/>
        <v>#N/A</v>
      </c>
      <c r="R3618" s="44"/>
      <c r="S3618" s="44"/>
      <c r="T3618" s="43"/>
      <c r="U3618" s="43" t="str">
        <f t="shared" si="8"/>
        <v>No</v>
      </c>
      <c r="V3618" s="25"/>
      <c r="W3618" s="25"/>
      <c r="X3618" s="25"/>
      <c r="Y3618" s="25"/>
      <c r="Z3618" s="25"/>
    </row>
    <row r="3619" spans="1:26" ht="15.75" customHeight="1" x14ac:dyDescent="0.25">
      <c r="A3619" s="25">
        <v>3617</v>
      </c>
      <c r="B3619" s="37" t="e">
        <f t="shared" ref="B3619:D3619" si="7287">VLOOKUP($A3619,[12]Salud!$A$1:$O$277,B$1,0)</f>
        <v>#N/A</v>
      </c>
      <c r="C3619" s="38" t="e">
        <f t="shared" si="7287"/>
        <v>#N/A</v>
      </c>
      <c r="D3619" s="39" t="e">
        <f t="shared" si="7287"/>
        <v>#N/A</v>
      </c>
      <c r="E3619" s="16" t="e">
        <f t="shared" si="1"/>
        <v>#N/A</v>
      </c>
      <c r="F3619" s="16" t="e">
        <f t="shared" ref="F3619:K3619" si="7288">VLOOKUP($A3619,[12]Salud!$A$1:$O$277,F$1,0)</f>
        <v>#N/A</v>
      </c>
      <c r="G3619" s="39" t="e">
        <f t="shared" si="7288"/>
        <v>#N/A</v>
      </c>
      <c r="H3619" s="16" t="e">
        <f t="shared" si="7288"/>
        <v>#N/A</v>
      </c>
      <c r="I3619" s="16" t="e">
        <f t="shared" si="7288"/>
        <v>#N/A</v>
      </c>
      <c r="J3619" s="40" t="e">
        <f t="shared" si="7288"/>
        <v>#N/A</v>
      </c>
      <c r="K3619" s="16" t="e">
        <f t="shared" si="7288"/>
        <v>#N/A</v>
      </c>
      <c r="L3619" s="40" t="e">
        <f t="shared" si="7253"/>
        <v>#N/A</v>
      </c>
      <c r="M3619" s="16" t="e">
        <f t="shared" si="7254"/>
        <v>#N/A</v>
      </c>
      <c r="N3619" s="16" t="e">
        <f t="shared" si="7255"/>
        <v>#N/A</v>
      </c>
      <c r="O3619" s="16" t="s">
        <v>76</v>
      </c>
      <c r="P3619" s="16" t="str">
        <f t="shared" si="6"/>
        <v/>
      </c>
      <c r="Q3619" s="41" t="e">
        <f t="shared" si="7256"/>
        <v>#N/A</v>
      </c>
      <c r="R3619" s="44"/>
      <c r="S3619" s="44"/>
      <c r="T3619" s="43"/>
      <c r="U3619" s="43" t="str">
        <f t="shared" si="8"/>
        <v>No</v>
      </c>
      <c r="V3619" s="25"/>
      <c r="W3619" s="25"/>
      <c r="X3619" s="25"/>
      <c r="Y3619" s="25"/>
      <c r="Z3619" s="25"/>
    </row>
    <row r="3620" spans="1:26" ht="15.75" customHeight="1" x14ac:dyDescent="0.25">
      <c r="A3620" s="25">
        <v>3618</v>
      </c>
      <c r="B3620" s="37" t="e">
        <f t="shared" ref="B3620:D3620" si="7289">VLOOKUP($A3620,[12]Salud!$A$1:$O$277,B$1,0)</f>
        <v>#N/A</v>
      </c>
      <c r="C3620" s="38" t="e">
        <f t="shared" si="7289"/>
        <v>#N/A</v>
      </c>
      <c r="D3620" s="39" t="e">
        <f t="shared" si="7289"/>
        <v>#N/A</v>
      </c>
      <c r="E3620" s="16" t="e">
        <f t="shared" si="1"/>
        <v>#N/A</v>
      </c>
      <c r="F3620" s="16" t="e">
        <f t="shared" ref="F3620:K3620" si="7290">VLOOKUP($A3620,[12]Salud!$A$1:$O$277,F$1,0)</f>
        <v>#N/A</v>
      </c>
      <c r="G3620" s="39" t="e">
        <f t="shared" si="7290"/>
        <v>#N/A</v>
      </c>
      <c r="H3620" s="16" t="e">
        <f t="shared" si="7290"/>
        <v>#N/A</v>
      </c>
      <c r="I3620" s="16" t="e">
        <f t="shared" si="7290"/>
        <v>#N/A</v>
      </c>
      <c r="J3620" s="40" t="e">
        <f t="shared" si="7290"/>
        <v>#N/A</v>
      </c>
      <c r="K3620" s="16" t="e">
        <f t="shared" si="7290"/>
        <v>#N/A</v>
      </c>
      <c r="L3620" s="40" t="e">
        <f t="shared" si="7253"/>
        <v>#N/A</v>
      </c>
      <c r="M3620" s="16" t="e">
        <f t="shared" si="7254"/>
        <v>#N/A</v>
      </c>
      <c r="N3620" s="16" t="e">
        <f t="shared" si="7255"/>
        <v>#N/A</v>
      </c>
      <c r="O3620" s="16" t="s">
        <v>76</v>
      </c>
      <c r="P3620" s="16" t="str">
        <f t="shared" si="6"/>
        <v/>
      </c>
      <c r="Q3620" s="41" t="e">
        <f t="shared" si="7256"/>
        <v>#N/A</v>
      </c>
      <c r="R3620" s="44"/>
      <c r="S3620" s="44"/>
      <c r="T3620" s="43"/>
      <c r="U3620" s="43" t="str">
        <f t="shared" si="8"/>
        <v>No</v>
      </c>
      <c r="V3620" s="25"/>
      <c r="W3620" s="25"/>
      <c r="X3620" s="25"/>
      <c r="Y3620" s="25"/>
      <c r="Z3620" s="25"/>
    </row>
    <row r="3621" spans="1:26" ht="15.75" customHeight="1" x14ac:dyDescent="0.25">
      <c r="A3621" s="25">
        <v>3619</v>
      </c>
      <c r="B3621" s="37" t="e">
        <f t="shared" ref="B3621:D3621" si="7291">VLOOKUP($A3621,[12]Salud!$A$1:$O$277,B$1,0)</f>
        <v>#N/A</v>
      </c>
      <c r="C3621" s="38" t="e">
        <f t="shared" si="7291"/>
        <v>#N/A</v>
      </c>
      <c r="D3621" s="39" t="e">
        <f t="shared" si="7291"/>
        <v>#N/A</v>
      </c>
      <c r="E3621" s="16" t="e">
        <f t="shared" si="1"/>
        <v>#N/A</v>
      </c>
      <c r="F3621" s="16" t="e">
        <f t="shared" ref="F3621:K3621" si="7292">VLOOKUP($A3621,[12]Salud!$A$1:$O$277,F$1,0)</f>
        <v>#N/A</v>
      </c>
      <c r="G3621" s="39" t="e">
        <f t="shared" si="7292"/>
        <v>#N/A</v>
      </c>
      <c r="H3621" s="16" t="e">
        <f t="shared" si="7292"/>
        <v>#N/A</v>
      </c>
      <c r="I3621" s="16" t="e">
        <f t="shared" si="7292"/>
        <v>#N/A</v>
      </c>
      <c r="J3621" s="40" t="e">
        <f t="shared" si="7292"/>
        <v>#N/A</v>
      </c>
      <c r="K3621" s="16" t="e">
        <f t="shared" si="7292"/>
        <v>#N/A</v>
      </c>
      <c r="L3621" s="40" t="e">
        <f t="shared" si="7253"/>
        <v>#N/A</v>
      </c>
      <c r="M3621" s="16" t="e">
        <f t="shared" si="7254"/>
        <v>#N/A</v>
      </c>
      <c r="N3621" s="16" t="e">
        <f t="shared" si="7255"/>
        <v>#N/A</v>
      </c>
      <c r="O3621" s="16" t="s">
        <v>76</v>
      </c>
      <c r="P3621" s="16" t="str">
        <f t="shared" si="6"/>
        <v/>
      </c>
      <c r="Q3621" s="41" t="e">
        <f t="shared" si="7256"/>
        <v>#N/A</v>
      </c>
      <c r="R3621" s="44"/>
      <c r="S3621" s="44"/>
      <c r="T3621" s="43"/>
      <c r="U3621" s="43" t="str">
        <f t="shared" si="8"/>
        <v>No</v>
      </c>
      <c r="V3621" s="25"/>
      <c r="W3621" s="25"/>
      <c r="X3621" s="25"/>
      <c r="Y3621" s="25"/>
      <c r="Z3621" s="25"/>
    </row>
    <row r="3622" spans="1:26" ht="15.75" customHeight="1" x14ac:dyDescent="0.25">
      <c r="A3622" s="25">
        <v>3620</v>
      </c>
      <c r="B3622" s="37" t="e">
        <f t="shared" ref="B3622:D3622" si="7293">VLOOKUP($A3622,[12]Salud!$A$1:$O$277,B$1,0)</f>
        <v>#N/A</v>
      </c>
      <c r="C3622" s="38" t="e">
        <f t="shared" si="7293"/>
        <v>#N/A</v>
      </c>
      <c r="D3622" s="39" t="e">
        <f t="shared" si="7293"/>
        <v>#N/A</v>
      </c>
      <c r="E3622" s="16" t="e">
        <f t="shared" si="1"/>
        <v>#N/A</v>
      </c>
      <c r="F3622" s="16" t="e">
        <f t="shared" ref="F3622:K3622" si="7294">VLOOKUP($A3622,[12]Salud!$A$1:$O$277,F$1,0)</f>
        <v>#N/A</v>
      </c>
      <c r="G3622" s="39" t="e">
        <f t="shared" si="7294"/>
        <v>#N/A</v>
      </c>
      <c r="H3622" s="16" t="e">
        <f t="shared" si="7294"/>
        <v>#N/A</v>
      </c>
      <c r="I3622" s="16" t="e">
        <f t="shared" si="7294"/>
        <v>#N/A</v>
      </c>
      <c r="J3622" s="40" t="e">
        <f t="shared" si="7294"/>
        <v>#N/A</v>
      </c>
      <c r="K3622" s="16" t="e">
        <f t="shared" si="7294"/>
        <v>#N/A</v>
      </c>
      <c r="L3622" s="40" t="e">
        <f t="shared" si="7253"/>
        <v>#N/A</v>
      </c>
      <c r="M3622" s="16" t="e">
        <f t="shared" si="7254"/>
        <v>#N/A</v>
      </c>
      <c r="N3622" s="16" t="e">
        <f t="shared" si="7255"/>
        <v>#N/A</v>
      </c>
      <c r="O3622" s="16" t="s">
        <v>76</v>
      </c>
      <c r="P3622" s="16" t="str">
        <f t="shared" si="6"/>
        <v/>
      </c>
      <c r="Q3622" s="41" t="e">
        <f t="shared" si="7256"/>
        <v>#N/A</v>
      </c>
      <c r="R3622" s="44"/>
      <c r="S3622" s="44"/>
      <c r="T3622" s="43"/>
      <c r="U3622" s="43" t="str">
        <f t="shared" si="8"/>
        <v>No</v>
      </c>
      <c r="V3622" s="25"/>
      <c r="W3622" s="25"/>
      <c r="X3622" s="25"/>
      <c r="Y3622" s="25"/>
      <c r="Z3622" s="25"/>
    </row>
    <row r="3623" spans="1:26" ht="15.75" customHeight="1" x14ac:dyDescent="0.25">
      <c r="A3623" s="25">
        <v>3621</v>
      </c>
      <c r="B3623" s="37" t="e">
        <f t="shared" ref="B3623:D3623" si="7295">VLOOKUP($A3623,[12]Salud!$A$1:$O$277,B$1,0)</f>
        <v>#N/A</v>
      </c>
      <c r="C3623" s="38" t="e">
        <f t="shared" si="7295"/>
        <v>#N/A</v>
      </c>
      <c r="D3623" s="39" t="e">
        <f t="shared" si="7295"/>
        <v>#N/A</v>
      </c>
      <c r="E3623" s="16" t="e">
        <f t="shared" si="1"/>
        <v>#N/A</v>
      </c>
      <c r="F3623" s="16" t="e">
        <f t="shared" ref="F3623:K3623" si="7296">VLOOKUP($A3623,[12]Salud!$A$1:$O$277,F$1,0)</f>
        <v>#N/A</v>
      </c>
      <c r="G3623" s="39" t="e">
        <f t="shared" si="7296"/>
        <v>#N/A</v>
      </c>
      <c r="H3623" s="16" t="e">
        <f t="shared" si="7296"/>
        <v>#N/A</v>
      </c>
      <c r="I3623" s="16" t="e">
        <f t="shared" si="7296"/>
        <v>#N/A</v>
      </c>
      <c r="J3623" s="40" t="e">
        <f t="shared" si="7296"/>
        <v>#N/A</v>
      </c>
      <c r="K3623" s="16" t="e">
        <f t="shared" si="7296"/>
        <v>#N/A</v>
      </c>
      <c r="L3623" s="40" t="e">
        <f t="shared" si="7253"/>
        <v>#N/A</v>
      </c>
      <c r="M3623" s="16" t="e">
        <f t="shared" si="7254"/>
        <v>#N/A</v>
      </c>
      <c r="N3623" s="16" t="e">
        <f t="shared" si="7255"/>
        <v>#N/A</v>
      </c>
      <c r="O3623" s="16" t="s">
        <v>76</v>
      </c>
      <c r="P3623" s="16" t="str">
        <f t="shared" si="6"/>
        <v/>
      </c>
      <c r="Q3623" s="41" t="e">
        <f t="shared" si="7256"/>
        <v>#N/A</v>
      </c>
      <c r="R3623" s="44"/>
      <c r="S3623" s="44"/>
      <c r="T3623" s="43"/>
      <c r="U3623" s="43" t="str">
        <f t="shared" si="8"/>
        <v>No</v>
      </c>
      <c r="V3623" s="25"/>
      <c r="W3623" s="25"/>
      <c r="X3623" s="25"/>
      <c r="Y3623" s="25"/>
      <c r="Z3623" s="25"/>
    </row>
    <row r="3624" spans="1:26" ht="15.75" customHeight="1" x14ac:dyDescent="0.25">
      <c r="A3624" s="25">
        <v>3622</v>
      </c>
      <c r="B3624" s="37" t="e">
        <f t="shared" ref="B3624:D3624" si="7297">VLOOKUP($A3624,[12]Salud!$A$1:$O$277,B$1,0)</f>
        <v>#N/A</v>
      </c>
      <c r="C3624" s="38" t="e">
        <f t="shared" si="7297"/>
        <v>#N/A</v>
      </c>
      <c r="D3624" s="39" t="e">
        <f t="shared" si="7297"/>
        <v>#N/A</v>
      </c>
      <c r="E3624" s="16" t="e">
        <f t="shared" si="1"/>
        <v>#N/A</v>
      </c>
      <c r="F3624" s="16" t="e">
        <f t="shared" ref="F3624:K3624" si="7298">VLOOKUP($A3624,[12]Salud!$A$1:$O$277,F$1,0)</f>
        <v>#N/A</v>
      </c>
      <c r="G3624" s="39" t="e">
        <f t="shared" si="7298"/>
        <v>#N/A</v>
      </c>
      <c r="H3624" s="16" t="e">
        <f t="shared" si="7298"/>
        <v>#N/A</v>
      </c>
      <c r="I3624" s="16" t="e">
        <f t="shared" si="7298"/>
        <v>#N/A</v>
      </c>
      <c r="J3624" s="40" t="e">
        <f t="shared" si="7298"/>
        <v>#N/A</v>
      </c>
      <c r="K3624" s="16" t="e">
        <f t="shared" si="7298"/>
        <v>#N/A</v>
      </c>
      <c r="L3624" s="40" t="e">
        <f t="shared" si="7253"/>
        <v>#N/A</v>
      </c>
      <c r="M3624" s="16" t="e">
        <f t="shared" si="7254"/>
        <v>#N/A</v>
      </c>
      <c r="N3624" s="16" t="e">
        <f t="shared" si="7255"/>
        <v>#N/A</v>
      </c>
      <c r="O3624" s="16" t="s">
        <v>76</v>
      </c>
      <c r="P3624" s="16" t="str">
        <f t="shared" si="6"/>
        <v/>
      </c>
      <c r="Q3624" s="41" t="e">
        <f t="shared" si="7256"/>
        <v>#N/A</v>
      </c>
      <c r="R3624" s="44"/>
      <c r="S3624" s="44"/>
      <c r="T3624" s="43"/>
      <c r="U3624" s="43" t="str">
        <f t="shared" si="8"/>
        <v>No</v>
      </c>
      <c r="V3624" s="25"/>
      <c r="W3624" s="25"/>
      <c r="X3624" s="25"/>
      <c r="Y3624" s="25"/>
      <c r="Z3624" s="25"/>
    </row>
    <row r="3625" spans="1:26" ht="15.75" customHeight="1" x14ac:dyDescent="0.25">
      <c r="A3625" s="25">
        <v>3623</v>
      </c>
      <c r="B3625" s="37" t="e">
        <f t="shared" ref="B3625:D3625" si="7299">VLOOKUP($A3625,[12]Salud!$A$1:$O$277,B$1,0)</f>
        <v>#N/A</v>
      </c>
      <c r="C3625" s="38" t="e">
        <f t="shared" si="7299"/>
        <v>#N/A</v>
      </c>
      <c r="D3625" s="39" t="e">
        <f t="shared" si="7299"/>
        <v>#N/A</v>
      </c>
      <c r="E3625" s="16" t="e">
        <f t="shared" si="1"/>
        <v>#N/A</v>
      </c>
      <c r="F3625" s="16" t="e">
        <f t="shared" ref="F3625:K3625" si="7300">VLOOKUP($A3625,[12]Salud!$A$1:$O$277,F$1,0)</f>
        <v>#N/A</v>
      </c>
      <c r="G3625" s="39" t="e">
        <f t="shared" si="7300"/>
        <v>#N/A</v>
      </c>
      <c r="H3625" s="16" t="e">
        <f t="shared" si="7300"/>
        <v>#N/A</v>
      </c>
      <c r="I3625" s="16" t="e">
        <f t="shared" si="7300"/>
        <v>#N/A</v>
      </c>
      <c r="J3625" s="40" t="e">
        <f t="shared" si="7300"/>
        <v>#N/A</v>
      </c>
      <c r="K3625" s="16" t="e">
        <f t="shared" si="7300"/>
        <v>#N/A</v>
      </c>
      <c r="L3625" s="40" t="e">
        <f t="shared" si="7253"/>
        <v>#N/A</v>
      </c>
      <c r="M3625" s="16" t="e">
        <f t="shared" si="7254"/>
        <v>#N/A</v>
      </c>
      <c r="N3625" s="16" t="e">
        <f t="shared" si="7255"/>
        <v>#N/A</v>
      </c>
      <c r="O3625" s="16" t="s">
        <v>76</v>
      </c>
      <c r="P3625" s="16" t="str">
        <f t="shared" si="6"/>
        <v/>
      </c>
      <c r="Q3625" s="41" t="e">
        <f t="shared" si="7256"/>
        <v>#N/A</v>
      </c>
      <c r="R3625" s="44"/>
      <c r="S3625" s="44"/>
      <c r="T3625" s="43"/>
      <c r="U3625" s="43" t="str">
        <f t="shared" si="8"/>
        <v>No</v>
      </c>
      <c r="V3625" s="25"/>
      <c r="W3625" s="25"/>
      <c r="X3625" s="25"/>
      <c r="Y3625" s="25"/>
      <c r="Z3625" s="25"/>
    </row>
    <row r="3626" spans="1:26" ht="15.75" customHeight="1" x14ac:dyDescent="0.25">
      <c r="A3626" s="25">
        <v>3624</v>
      </c>
      <c r="B3626" s="37" t="e">
        <f t="shared" ref="B3626:D3626" si="7301">VLOOKUP($A3626,[12]Salud!$A$1:$O$277,B$1,0)</f>
        <v>#N/A</v>
      </c>
      <c r="C3626" s="38" t="e">
        <f t="shared" si="7301"/>
        <v>#N/A</v>
      </c>
      <c r="D3626" s="39" t="e">
        <f t="shared" si="7301"/>
        <v>#N/A</v>
      </c>
      <c r="E3626" s="16" t="e">
        <f t="shared" si="1"/>
        <v>#N/A</v>
      </c>
      <c r="F3626" s="16" t="e">
        <f t="shared" ref="F3626:K3626" si="7302">VLOOKUP($A3626,[12]Salud!$A$1:$O$277,F$1,0)</f>
        <v>#N/A</v>
      </c>
      <c r="G3626" s="39" t="e">
        <f t="shared" si="7302"/>
        <v>#N/A</v>
      </c>
      <c r="H3626" s="16" t="e">
        <f t="shared" si="7302"/>
        <v>#N/A</v>
      </c>
      <c r="I3626" s="16" t="e">
        <f t="shared" si="7302"/>
        <v>#N/A</v>
      </c>
      <c r="J3626" s="40" t="e">
        <f t="shared" si="7302"/>
        <v>#N/A</v>
      </c>
      <c r="K3626" s="16" t="e">
        <f t="shared" si="7302"/>
        <v>#N/A</v>
      </c>
      <c r="L3626" s="40" t="e">
        <f t="shared" si="7253"/>
        <v>#N/A</v>
      </c>
      <c r="M3626" s="16" t="e">
        <f t="shared" si="7254"/>
        <v>#N/A</v>
      </c>
      <c r="N3626" s="16" t="e">
        <f t="shared" si="7255"/>
        <v>#N/A</v>
      </c>
      <c r="O3626" s="16" t="s">
        <v>76</v>
      </c>
      <c r="P3626" s="16" t="str">
        <f t="shared" si="6"/>
        <v/>
      </c>
      <c r="Q3626" s="41" t="e">
        <f t="shared" si="7256"/>
        <v>#N/A</v>
      </c>
      <c r="R3626" s="44"/>
      <c r="S3626" s="44"/>
      <c r="T3626" s="43"/>
      <c r="U3626" s="43" t="str">
        <f t="shared" si="8"/>
        <v>No</v>
      </c>
      <c r="V3626" s="25"/>
      <c r="W3626" s="25"/>
      <c r="X3626" s="25"/>
      <c r="Y3626" s="25"/>
      <c r="Z3626" s="25"/>
    </row>
    <row r="3627" spans="1:26" ht="15.75" customHeight="1" x14ac:dyDescent="0.25">
      <c r="A3627" s="25">
        <v>3625</v>
      </c>
      <c r="B3627" s="37" t="e">
        <f t="shared" ref="B3627:D3627" si="7303">VLOOKUP($A3627,[12]Salud!$A$1:$O$277,B$1,0)</f>
        <v>#N/A</v>
      </c>
      <c r="C3627" s="38" t="e">
        <f t="shared" si="7303"/>
        <v>#N/A</v>
      </c>
      <c r="D3627" s="39" t="e">
        <f t="shared" si="7303"/>
        <v>#N/A</v>
      </c>
      <c r="E3627" s="16" t="e">
        <f t="shared" si="1"/>
        <v>#N/A</v>
      </c>
      <c r="F3627" s="16" t="e">
        <f t="shared" ref="F3627:K3627" si="7304">VLOOKUP($A3627,[12]Salud!$A$1:$O$277,F$1,0)</f>
        <v>#N/A</v>
      </c>
      <c r="G3627" s="39" t="e">
        <f t="shared" si="7304"/>
        <v>#N/A</v>
      </c>
      <c r="H3627" s="16" t="e">
        <f t="shared" si="7304"/>
        <v>#N/A</v>
      </c>
      <c r="I3627" s="16" t="e">
        <f t="shared" si="7304"/>
        <v>#N/A</v>
      </c>
      <c r="J3627" s="40" t="e">
        <f t="shared" si="7304"/>
        <v>#N/A</v>
      </c>
      <c r="K3627" s="16" t="e">
        <f t="shared" si="7304"/>
        <v>#N/A</v>
      </c>
      <c r="L3627" s="40" t="e">
        <f t="shared" si="7253"/>
        <v>#N/A</v>
      </c>
      <c r="M3627" s="16" t="e">
        <f t="shared" si="7254"/>
        <v>#N/A</v>
      </c>
      <c r="N3627" s="16" t="e">
        <f t="shared" si="7255"/>
        <v>#N/A</v>
      </c>
      <c r="O3627" s="16" t="s">
        <v>76</v>
      </c>
      <c r="P3627" s="16" t="str">
        <f t="shared" si="6"/>
        <v/>
      </c>
      <c r="Q3627" s="41" t="e">
        <f t="shared" si="7256"/>
        <v>#N/A</v>
      </c>
      <c r="R3627" s="44"/>
      <c r="S3627" s="44"/>
      <c r="T3627" s="43"/>
      <c r="U3627" s="43" t="str">
        <f t="shared" si="8"/>
        <v>No</v>
      </c>
      <c r="V3627" s="25"/>
      <c r="W3627" s="25"/>
      <c r="X3627" s="25"/>
      <c r="Y3627" s="25"/>
      <c r="Z3627" s="25"/>
    </row>
    <row r="3628" spans="1:26" ht="15.75" customHeight="1" x14ac:dyDescent="0.25">
      <c r="A3628" s="25">
        <v>3626</v>
      </c>
      <c r="B3628" s="37" t="e">
        <f t="shared" ref="B3628:D3628" si="7305">VLOOKUP($A3628,[12]Salud!$A$1:$O$277,B$1,0)</f>
        <v>#N/A</v>
      </c>
      <c r="C3628" s="38" t="e">
        <f t="shared" si="7305"/>
        <v>#N/A</v>
      </c>
      <c r="D3628" s="39" t="e">
        <f t="shared" si="7305"/>
        <v>#N/A</v>
      </c>
      <c r="E3628" s="16" t="e">
        <f t="shared" si="1"/>
        <v>#N/A</v>
      </c>
      <c r="F3628" s="16" t="e">
        <f t="shared" ref="F3628:K3628" si="7306">VLOOKUP($A3628,[12]Salud!$A$1:$O$277,F$1,0)</f>
        <v>#N/A</v>
      </c>
      <c r="G3628" s="39" t="e">
        <f t="shared" si="7306"/>
        <v>#N/A</v>
      </c>
      <c r="H3628" s="16" t="e">
        <f t="shared" si="7306"/>
        <v>#N/A</v>
      </c>
      <c r="I3628" s="16" t="e">
        <f t="shared" si="7306"/>
        <v>#N/A</v>
      </c>
      <c r="J3628" s="40" t="e">
        <f t="shared" si="7306"/>
        <v>#N/A</v>
      </c>
      <c r="K3628" s="16" t="e">
        <f t="shared" si="7306"/>
        <v>#N/A</v>
      </c>
      <c r="L3628" s="40" t="e">
        <f t="shared" si="7253"/>
        <v>#N/A</v>
      </c>
      <c r="M3628" s="16" t="e">
        <f t="shared" si="7254"/>
        <v>#N/A</v>
      </c>
      <c r="N3628" s="16" t="e">
        <f t="shared" si="7255"/>
        <v>#N/A</v>
      </c>
      <c r="O3628" s="16" t="s">
        <v>76</v>
      </c>
      <c r="P3628" s="16" t="str">
        <f t="shared" si="6"/>
        <v/>
      </c>
      <c r="Q3628" s="41" t="e">
        <f t="shared" si="7256"/>
        <v>#N/A</v>
      </c>
      <c r="R3628" s="44"/>
      <c r="S3628" s="44"/>
      <c r="T3628" s="43"/>
      <c r="U3628" s="43" t="str">
        <f t="shared" si="8"/>
        <v>No</v>
      </c>
      <c r="V3628" s="25"/>
      <c r="W3628" s="25"/>
      <c r="X3628" s="25"/>
      <c r="Y3628" s="25"/>
      <c r="Z3628" s="25"/>
    </row>
    <row r="3629" spans="1:26" ht="15.75" customHeight="1" x14ac:dyDescent="0.25">
      <c r="A3629" s="25">
        <v>3627</v>
      </c>
      <c r="B3629" s="37" t="e">
        <f t="shared" ref="B3629:D3629" si="7307">VLOOKUP($A3629,[12]Salud!$A$1:$O$277,B$1,0)</f>
        <v>#N/A</v>
      </c>
      <c r="C3629" s="38" t="e">
        <f t="shared" si="7307"/>
        <v>#N/A</v>
      </c>
      <c r="D3629" s="39" t="e">
        <f t="shared" si="7307"/>
        <v>#N/A</v>
      </c>
      <c r="E3629" s="16" t="e">
        <f t="shared" si="1"/>
        <v>#N/A</v>
      </c>
      <c r="F3629" s="16" t="e">
        <f t="shared" ref="F3629:K3629" si="7308">VLOOKUP($A3629,[12]Salud!$A$1:$O$277,F$1,0)</f>
        <v>#N/A</v>
      </c>
      <c r="G3629" s="39" t="e">
        <f t="shared" si="7308"/>
        <v>#N/A</v>
      </c>
      <c r="H3629" s="16" t="e">
        <f t="shared" si="7308"/>
        <v>#N/A</v>
      </c>
      <c r="I3629" s="16" t="e">
        <f t="shared" si="7308"/>
        <v>#N/A</v>
      </c>
      <c r="J3629" s="40" t="e">
        <f t="shared" si="7308"/>
        <v>#N/A</v>
      </c>
      <c r="K3629" s="16" t="e">
        <f t="shared" si="7308"/>
        <v>#N/A</v>
      </c>
      <c r="L3629" s="40" t="e">
        <f t="shared" si="7253"/>
        <v>#N/A</v>
      </c>
      <c r="M3629" s="16" t="e">
        <f t="shared" si="7254"/>
        <v>#N/A</v>
      </c>
      <c r="N3629" s="16" t="e">
        <f t="shared" si="7255"/>
        <v>#N/A</v>
      </c>
      <c r="O3629" s="16" t="s">
        <v>76</v>
      </c>
      <c r="P3629" s="16" t="str">
        <f t="shared" si="6"/>
        <v/>
      </c>
      <c r="Q3629" s="41" t="e">
        <f t="shared" si="7256"/>
        <v>#N/A</v>
      </c>
      <c r="R3629" s="44"/>
      <c r="S3629" s="44"/>
      <c r="T3629" s="43"/>
      <c r="U3629" s="43" t="str">
        <f t="shared" si="8"/>
        <v>No</v>
      </c>
      <c r="V3629" s="25"/>
      <c r="W3629" s="25"/>
      <c r="X3629" s="25"/>
      <c r="Y3629" s="25"/>
      <c r="Z3629" s="25"/>
    </row>
    <row r="3630" spans="1:26" ht="15.75" customHeight="1" x14ac:dyDescent="0.25">
      <c r="A3630" s="25">
        <v>3628</v>
      </c>
      <c r="B3630" s="37" t="e">
        <f t="shared" ref="B3630:D3630" si="7309">VLOOKUP($A3630,[12]Salud!$A$1:$O$277,B$1,0)</f>
        <v>#N/A</v>
      </c>
      <c r="C3630" s="38" t="e">
        <f t="shared" si="7309"/>
        <v>#N/A</v>
      </c>
      <c r="D3630" s="39" t="e">
        <f t="shared" si="7309"/>
        <v>#N/A</v>
      </c>
      <c r="E3630" s="16" t="e">
        <f t="shared" si="1"/>
        <v>#N/A</v>
      </c>
      <c r="F3630" s="16" t="e">
        <f t="shared" ref="F3630:K3630" si="7310">VLOOKUP($A3630,[12]Salud!$A$1:$O$277,F$1,0)</f>
        <v>#N/A</v>
      </c>
      <c r="G3630" s="39" t="e">
        <f t="shared" si="7310"/>
        <v>#N/A</v>
      </c>
      <c r="H3630" s="16" t="e">
        <f t="shared" si="7310"/>
        <v>#N/A</v>
      </c>
      <c r="I3630" s="16" t="e">
        <f t="shared" si="7310"/>
        <v>#N/A</v>
      </c>
      <c r="J3630" s="40" t="e">
        <f t="shared" si="7310"/>
        <v>#N/A</v>
      </c>
      <c r="K3630" s="16" t="e">
        <f t="shared" si="7310"/>
        <v>#N/A</v>
      </c>
      <c r="L3630" s="40" t="e">
        <f t="shared" si="7253"/>
        <v>#N/A</v>
      </c>
      <c r="M3630" s="16" t="e">
        <f t="shared" si="7254"/>
        <v>#N/A</v>
      </c>
      <c r="N3630" s="16" t="e">
        <f t="shared" si="7255"/>
        <v>#N/A</v>
      </c>
      <c r="O3630" s="16" t="s">
        <v>76</v>
      </c>
      <c r="P3630" s="16" t="str">
        <f t="shared" si="6"/>
        <v/>
      </c>
      <c r="Q3630" s="41" t="e">
        <f t="shared" si="7256"/>
        <v>#N/A</v>
      </c>
      <c r="R3630" s="44"/>
      <c r="S3630" s="44"/>
      <c r="T3630" s="43"/>
      <c r="U3630" s="43" t="str">
        <f t="shared" si="8"/>
        <v>No</v>
      </c>
      <c r="V3630" s="25"/>
      <c r="W3630" s="25"/>
      <c r="X3630" s="25"/>
      <c r="Y3630" s="25"/>
      <c r="Z3630" s="25"/>
    </row>
    <row r="3631" spans="1:26" ht="15.75" customHeight="1" x14ac:dyDescent="0.25">
      <c r="A3631" s="25">
        <v>3629</v>
      </c>
      <c r="B3631" s="37" t="e">
        <f t="shared" ref="B3631:D3631" si="7311">VLOOKUP($A3631,[12]Salud!$A$1:$O$277,B$1,0)</f>
        <v>#N/A</v>
      </c>
      <c r="C3631" s="38" t="e">
        <f t="shared" si="7311"/>
        <v>#N/A</v>
      </c>
      <c r="D3631" s="39" t="e">
        <f t="shared" si="7311"/>
        <v>#N/A</v>
      </c>
      <c r="E3631" s="16" t="e">
        <f t="shared" si="1"/>
        <v>#N/A</v>
      </c>
      <c r="F3631" s="16" t="e">
        <f t="shared" ref="F3631:K3631" si="7312">VLOOKUP($A3631,[12]Salud!$A$1:$O$277,F$1,0)</f>
        <v>#N/A</v>
      </c>
      <c r="G3631" s="39" t="e">
        <f t="shared" si="7312"/>
        <v>#N/A</v>
      </c>
      <c r="H3631" s="16" t="e">
        <f t="shared" si="7312"/>
        <v>#N/A</v>
      </c>
      <c r="I3631" s="16" t="e">
        <f t="shared" si="7312"/>
        <v>#N/A</v>
      </c>
      <c r="J3631" s="40" t="e">
        <f t="shared" si="7312"/>
        <v>#N/A</v>
      </c>
      <c r="K3631" s="16" t="e">
        <f t="shared" si="7312"/>
        <v>#N/A</v>
      </c>
      <c r="L3631" s="40" t="e">
        <f t="shared" si="7253"/>
        <v>#N/A</v>
      </c>
      <c r="M3631" s="16" t="e">
        <f t="shared" si="7254"/>
        <v>#N/A</v>
      </c>
      <c r="N3631" s="16" t="e">
        <f t="shared" si="7255"/>
        <v>#N/A</v>
      </c>
      <c r="O3631" s="16" t="s">
        <v>76</v>
      </c>
      <c r="P3631" s="16" t="str">
        <f t="shared" si="6"/>
        <v/>
      </c>
      <c r="Q3631" s="41" t="e">
        <f t="shared" si="7256"/>
        <v>#N/A</v>
      </c>
      <c r="R3631" s="44"/>
      <c r="S3631" s="44"/>
      <c r="T3631" s="43"/>
      <c r="U3631" s="43" t="str">
        <f t="shared" si="8"/>
        <v>No</v>
      </c>
      <c r="V3631" s="25"/>
      <c r="W3631" s="25"/>
      <c r="X3631" s="25"/>
      <c r="Y3631" s="25"/>
      <c r="Z3631" s="25"/>
    </row>
    <row r="3632" spans="1:26" ht="15.75" customHeight="1" x14ac:dyDescent="0.25">
      <c r="A3632" s="25">
        <v>3630</v>
      </c>
      <c r="B3632" s="37" t="e">
        <f t="shared" ref="B3632:D3632" si="7313">VLOOKUP($A3632,[12]Salud!$A$1:$O$277,B$1,0)</f>
        <v>#N/A</v>
      </c>
      <c r="C3632" s="38" t="e">
        <f t="shared" si="7313"/>
        <v>#N/A</v>
      </c>
      <c r="D3632" s="39" t="e">
        <f t="shared" si="7313"/>
        <v>#N/A</v>
      </c>
      <c r="E3632" s="16" t="e">
        <f t="shared" si="1"/>
        <v>#N/A</v>
      </c>
      <c r="F3632" s="16" t="e">
        <f t="shared" ref="F3632:K3632" si="7314">VLOOKUP($A3632,[12]Salud!$A$1:$O$277,F$1,0)</f>
        <v>#N/A</v>
      </c>
      <c r="G3632" s="39" t="e">
        <f t="shared" si="7314"/>
        <v>#N/A</v>
      </c>
      <c r="H3632" s="16" t="e">
        <f t="shared" si="7314"/>
        <v>#N/A</v>
      </c>
      <c r="I3632" s="16" t="e">
        <f t="shared" si="7314"/>
        <v>#N/A</v>
      </c>
      <c r="J3632" s="40" t="e">
        <f t="shared" si="7314"/>
        <v>#N/A</v>
      </c>
      <c r="K3632" s="16" t="e">
        <f t="shared" si="7314"/>
        <v>#N/A</v>
      </c>
      <c r="L3632" s="40" t="e">
        <f t="shared" si="7253"/>
        <v>#N/A</v>
      </c>
      <c r="M3632" s="16" t="e">
        <f t="shared" si="7254"/>
        <v>#N/A</v>
      </c>
      <c r="N3632" s="16" t="e">
        <f t="shared" si="7255"/>
        <v>#N/A</v>
      </c>
      <c r="O3632" s="16" t="s">
        <v>76</v>
      </c>
      <c r="P3632" s="16" t="str">
        <f t="shared" si="6"/>
        <v/>
      </c>
      <c r="Q3632" s="41" t="e">
        <f t="shared" si="7256"/>
        <v>#N/A</v>
      </c>
      <c r="R3632" s="44"/>
      <c r="S3632" s="44"/>
      <c r="T3632" s="43"/>
      <c r="U3632" s="43" t="str">
        <f t="shared" si="8"/>
        <v>No</v>
      </c>
      <c r="V3632" s="25"/>
      <c r="W3632" s="25"/>
      <c r="X3632" s="25"/>
      <c r="Y3632" s="25"/>
      <c r="Z3632" s="25"/>
    </row>
    <row r="3633" spans="1:26" ht="15.75" customHeight="1" x14ac:dyDescent="0.25">
      <c r="A3633" s="25">
        <v>3631</v>
      </c>
      <c r="B3633" s="37" t="e">
        <f t="shared" ref="B3633:D3633" si="7315">VLOOKUP($A3633,[12]Salud!$A$1:$O$277,B$1,0)</f>
        <v>#N/A</v>
      </c>
      <c r="C3633" s="38" t="e">
        <f t="shared" si="7315"/>
        <v>#N/A</v>
      </c>
      <c r="D3633" s="39" t="e">
        <f t="shared" si="7315"/>
        <v>#N/A</v>
      </c>
      <c r="E3633" s="16" t="e">
        <f t="shared" si="1"/>
        <v>#N/A</v>
      </c>
      <c r="F3633" s="16" t="e">
        <f t="shared" ref="F3633:K3633" si="7316">VLOOKUP($A3633,[12]Salud!$A$1:$O$277,F$1,0)</f>
        <v>#N/A</v>
      </c>
      <c r="G3633" s="39" t="e">
        <f t="shared" si="7316"/>
        <v>#N/A</v>
      </c>
      <c r="H3633" s="16" t="e">
        <f t="shared" si="7316"/>
        <v>#N/A</v>
      </c>
      <c r="I3633" s="16" t="e">
        <f t="shared" si="7316"/>
        <v>#N/A</v>
      </c>
      <c r="J3633" s="40" t="e">
        <f t="shared" si="7316"/>
        <v>#N/A</v>
      </c>
      <c r="K3633" s="16" t="e">
        <f t="shared" si="7316"/>
        <v>#N/A</v>
      </c>
      <c r="L3633" s="40" t="e">
        <f t="shared" si="7253"/>
        <v>#N/A</v>
      </c>
      <c r="M3633" s="16" t="e">
        <f t="shared" si="7254"/>
        <v>#N/A</v>
      </c>
      <c r="N3633" s="16" t="e">
        <f t="shared" si="7255"/>
        <v>#N/A</v>
      </c>
      <c r="O3633" s="16" t="s">
        <v>76</v>
      </c>
      <c r="P3633" s="16" t="str">
        <f t="shared" si="6"/>
        <v/>
      </c>
      <c r="Q3633" s="41" t="e">
        <f t="shared" si="7256"/>
        <v>#N/A</v>
      </c>
      <c r="R3633" s="44"/>
      <c r="S3633" s="44"/>
      <c r="T3633" s="43"/>
      <c r="U3633" s="43" t="str">
        <f t="shared" si="8"/>
        <v>No</v>
      </c>
      <c r="V3633" s="25"/>
      <c r="W3633" s="25"/>
      <c r="X3633" s="25"/>
      <c r="Y3633" s="25"/>
      <c r="Z3633" s="25"/>
    </row>
    <row r="3634" spans="1:26" ht="15.75" customHeight="1" x14ac:dyDescent="0.25">
      <c r="A3634" s="25">
        <v>3632</v>
      </c>
      <c r="B3634" s="37" t="e">
        <f t="shared" ref="B3634:D3634" si="7317">VLOOKUP($A3634,[12]Salud!$A$1:$O$277,B$1,0)</f>
        <v>#N/A</v>
      </c>
      <c r="C3634" s="38" t="e">
        <f t="shared" si="7317"/>
        <v>#N/A</v>
      </c>
      <c r="D3634" s="39" t="e">
        <f t="shared" si="7317"/>
        <v>#N/A</v>
      </c>
      <c r="E3634" s="16" t="e">
        <f t="shared" si="1"/>
        <v>#N/A</v>
      </c>
      <c r="F3634" s="16" t="e">
        <f t="shared" ref="F3634:K3634" si="7318">VLOOKUP($A3634,[12]Salud!$A$1:$O$277,F$1,0)</f>
        <v>#N/A</v>
      </c>
      <c r="G3634" s="39" t="e">
        <f t="shared" si="7318"/>
        <v>#N/A</v>
      </c>
      <c r="H3634" s="16" t="e">
        <f t="shared" si="7318"/>
        <v>#N/A</v>
      </c>
      <c r="I3634" s="16" t="e">
        <f t="shared" si="7318"/>
        <v>#N/A</v>
      </c>
      <c r="J3634" s="40" t="e">
        <f t="shared" si="7318"/>
        <v>#N/A</v>
      </c>
      <c r="K3634" s="16" t="e">
        <f t="shared" si="7318"/>
        <v>#N/A</v>
      </c>
      <c r="L3634" s="40" t="e">
        <f t="shared" si="7253"/>
        <v>#N/A</v>
      </c>
      <c r="M3634" s="16" t="e">
        <f t="shared" si="7254"/>
        <v>#N/A</v>
      </c>
      <c r="N3634" s="16" t="e">
        <f t="shared" si="7255"/>
        <v>#N/A</v>
      </c>
      <c r="O3634" s="16" t="s">
        <v>76</v>
      </c>
      <c r="P3634" s="16" t="str">
        <f t="shared" si="6"/>
        <v/>
      </c>
      <c r="Q3634" s="41" t="e">
        <f t="shared" si="7256"/>
        <v>#N/A</v>
      </c>
      <c r="R3634" s="44"/>
      <c r="S3634" s="44"/>
      <c r="T3634" s="43"/>
      <c r="U3634" s="43" t="str">
        <f t="shared" si="8"/>
        <v>No</v>
      </c>
      <c r="V3634" s="25"/>
      <c r="W3634" s="25"/>
      <c r="X3634" s="25"/>
      <c r="Y3634" s="25"/>
      <c r="Z3634" s="25"/>
    </row>
    <row r="3635" spans="1:26" ht="15.75" customHeight="1" x14ac:dyDescent="0.25">
      <c r="A3635" s="25">
        <v>3633</v>
      </c>
      <c r="B3635" s="37" t="e">
        <f t="shared" ref="B3635:D3635" si="7319">VLOOKUP($A3635,[12]Salud!$A$1:$O$277,B$1,0)</f>
        <v>#N/A</v>
      </c>
      <c r="C3635" s="38" t="e">
        <f t="shared" si="7319"/>
        <v>#N/A</v>
      </c>
      <c r="D3635" s="39" t="e">
        <f t="shared" si="7319"/>
        <v>#N/A</v>
      </c>
      <c r="E3635" s="16" t="e">
        <f t="shared" si="1"/>
        <v>#N/A</v>
      </c>
      <c r="F3635" s="16" t="e">
        <f t="shared" ref="F3635:K3635" si="7320">VLOOKUP($A3635,[12]Salud!$A$1:$O$277,F$1,0)</f>
        <v>#N/A</v>
      </c>
      <c r="G3635" s="39" t="e">
        <f t="shared" si="7320"/>
        <v>#N/A</v>
      </c>
      <c r="H3635" s="16" t="e">
        <f t="shared" si="7320"/>
        <v>#N/A</v>
      </c>
      <c r="I3635" s="16" t="e">
        <f t="shared" si="7320"/>
        <v>#N/A</v>
      </c>
      <c r="J3635" s="40" t="e">
        <f t="shared" si="7320"/>
        <v>#N/A</v>
      </c>
      <c r="K3635" s="16" t="e">
        <f t="shared" si="7320"/>
        <v>#N/A</v>
      </c>
      <c r="L3635" s="40" t="e">
        <f t="shared" si="7253"/>
        <v>#N/A</v>
      </c>
      <c r="M3635" s="16" t="e">
        <f t="shared" si="7254"/>
        <v>#N/A</v>
      </c>
      <c r="N3635" s="16" t="e">
        <f t="shared" si="7255"/>
        <v>#N/A</v>
      </c>
      <c r="O3635" s="16" t="s">
        <v>76</v>
      </c>
      <c r="P3635" s="16" t="str">
        <f t="shared" si="6"/>
        <v/>
      </c>
      <c r="Q3635" s="41" t="e">
        <f t="shared" si="7256"/>
        <v>#N/A</v>
      </c>
      <c r="R3635" s="44"/>
      <c r="S3635" s="44"/>
      <c r="T3635" s="43"/>
      <c r="U3635" s="43" t="str">
        <f t="shared" si="8"/>
        <v>No</v>
      </c>
      <c r="V3635" s="25"/>
      <c r="W3635" s="25"/>
      <c r="X3635" s="25"/>
      <c r="Y3635" s="25"/>
      <c r="Z3635" s="25"/>
    </row>
    <row r="3636" spans="1:26" ht="15.75" customHeight="1" x14ac:dyDescent="0.25">
      <c r="A3636" s="25">
        <v>3634</v>
      </c>
      <c r="B3636" s="37" t="e">
        <f t="shared" ref="B3636:D3636" si="7321">VLOOKUP($A3636,[12]Salud!$A$1:$O$277,B$1,0)</f>
        <v>#N/A</v>
      </c>
      <c r="C3636" s="38" t="e">
        <f t="shared" si="7321"/>
        <v>#N/A</v>
      </c>
      <c r="D3636" s="39" t="e">
        <f t="shared" si="7321"/>
        <v>#N/A</v>
      </c>
      <c r="E3636" s="16" t="e">
        <f t="shared" si="1"/>
        <v>#N/A</v>
      </c>
      <c r="F3636" s="16" t="e">
        <f t="shared" ref="F3636:K3636" si="7322">VLOOKUP($A3636,[12]Salud!$A$1:$O$277,F$1,0)</f>
        <v>#N/A</v>
      </c>
      <c r="G3636" s="39" t="e">
        <f t="shared" si="7322"/>
        <v>#N/A</v>
      </c>
      <c r="H3636" s="16" t="e">
        <f t="shared" si="7322"/>
        <v>#N/A</v>
      </c>
      <c r="I3636" s="16" t="e">
        <f t="shared" si="7322"/>
        <v>#N/A</v>
      </c>
      <c r="J3636" s="40" t="e">
        <f t="shared" si="7322"/>
        <v>#N/A</v>
      </c>
      <c r="K3636" s="16" t="e">
        <f t="shared" si="7322"/>
        <v>#N/A</v>
      </c>
      <c r="L3636" s="40" t="e">
        <f t="shared" si="7253"/>
        <v>#N/A</v>
      </c>
      <c r="M3636" s="16" t="e">
        <f t="shared" si="7254"/>
        <v>#N/A</v>
      </c>
      <c r="N3636" s="16" t="e">
        <f t="shared" si="7255"/>
        <v>#N/A</v>
      </c>
      <c r="O3636" s="16" t="s">
        <v>76</v>
      </c>
      <c r="P3636" s="16" t="str">
        <f t="shared" si="6"/>
        <v/>
      </c>
      <c r="Q3636" s="41" t="e">
        <f t="shared" si="7256"/>
        <v>#N/A</v>
      </c>
      <c r="R3636" s="44"/>
      <c r="S3636" s="44"/>
      <c r="T3636" s="43"/>
      <c r="U3636" s="43" t="str">
        <f t="shared" si="8"/>
        <v>No</v>
      </c>
      <c r="V3636" s="25"/>
      <c r="W3636" s="25"/>
      <c r="X3636" s="25"/>
      <c r="Y3636" s="25"/>
      <c r="Z3636" s="25"/>
    </row>
    <row r="3637" spans="1:26" ht="15.75" customHeight="1" x14ac:dyDescent="0.25">
      <c r="A3637" s="25">
        <v>3635</v>
      </c>
      <c r="B3637" s="37" t="e">
        <f t="shared" ref="B3637:D3637" si="7323">VLOOKUP($A3637,[12]Salud!$A$1:$O$277,B$1,0)</f>
        <v>#N/A</v>
      </c>
      <c r="C3637" s="38" t="e">
        <f t="shared" si="7323"/>
        <v>#N/A</v>
      </c>
      <c r="D3637" s="39" t="e">
        <f t="shared" si="7323"/>
        <v>#N/A</v>
      </c>
      <c r="E3637" s="16" t="e">
        <f t="shared" si="1"/>
        <v>#N/A</v>
      </c>
      <c r="F3637" s="16" t="e">
        <f t="shared" ref="F3637:K3637" si="7324">VLOOKUP($A3637,[12]Salud!$A$1:$O$277,F$1,0)</f>
        <v>#N/A</v>
      </c>
      <c r="G3637" s="39" t="e">
        <f t="shared" si="7324"/>
        <v>#N/A</v>
      </c>
      <c r="H3637" s="16" t="e">
        <f t="shared" si="7324"/>
        <v>#N/A</v>
      </c>
      <c r="I3637" s="16" t="e">
        <f t="shared" si="7324"/>
        <v>#N/A</v>
      </c>
      <c r="J3637" s="40" t="e">
        <f t="shared" si="7324"/>
        <v>#N/A</v>
      </c>
      <c r="K3637" s="16" t="e">
        <f t="shared" si="7324"/>
        <v>#N/A</v>
      </c>
      <c r="L3637" s="40" t="e">
        <f t="shared" si="7253"/>
        <v>#N/A</v>
      </c>
      <c r="M3637" s="16" t="e">
        <f t="shared" si="7254"/>
        <v>#N/A</v>
      </c>
      <c r="N3637" s="16" t="e">
        <f t="shared" si="7255"/>
        <v>#N/A</v>
      </c>
      <c r="O3637" s="16" t="s">
        <v>76</v>
      </c>
      <c r="P3637" s="16" t="str">
        <f t="shared" si="6"/>
        <v/>
      </c>
      <c r="Q3637" s="41" t="e">
        <f t="shared" si="7256"/>
        <v>#N/A</v>
      </c>
      <c r="R3637" s="44"/>
      <c r="S3637" s="44"/>
      <c r="T3637" s="43"/>
      <c r="U3637" s="43" t="str">
        <f t="shared" si="8"/>
        <v>No</v>
      </c>
      <c r="V3637" s="25"/>
      <c r="W3637" s="25"/>
      <c r="X3637" s="25"/>
      <c r="Y3637" s="25"/>
      <c r="Z3637" s="25"/>
    </row>
    <row r="3638" spans="1:26" ht="15.75" customHeight="1" x14ac:dyDescent="0.25">
      <c r="A3638" s="25">
        <v>3636</v>
      </c>
      <c r="B3638" s="37" t="e">
        <f t="shared" ref="B3638:D3638" si="7325">VLOOKUP($A3638,[12]Salud!$A$1:$O$277,B$1,0)</f>
        <v>#N/A</v>
      </c>
      <c r="C3638" s="38" t="e">
        <f t="shared" si="7325"/>
        <v>#N/A</v>
      </c>
      <c r="D3638" s="39" t="e">
        <f t="shared" si="7325"/>
        <v>#N/A</v>
      </c>
      <c r="E3638" s="16" t="e">
        <f t="shared" si="1"/>
        <v>#N/A</v>
      </c>
      <c r="F3638" s="16" t="e">
        <f t="shared" ref="F3638:K3638" si="7326">VLOOKUP($A3638,[12]Salud!$A$1:$O$277,F$1,0)</f>
        <v>#N/A</v>
      </c>
      <c r="G3638" s="39" t="e">
        <f t="shared" si="7326"/>
        <v>#N/A</v>
      </c>
      <c r="H3638" s="16" t="e">
        <f t="shared" si="7326"/>
        <v>#N/A</v>
      </c>
      <c r="I3638" s="16" t="e">
        <f t="shared" si="7326"/>
        <v>#N/A</v>
      </c>
      <c r="J3638" s="40" t="e">
        <f t="shared" si="7326"/>
        <v>#N/A</v>
      </c>
      <c r="K3638" s="16" t="e">
        <f t="shared" si="7326"/>
        <v>#N/A</v>
      </c>
      <c r="L3638" s="40" t="e">
        <f t="shared" si="7253"/>
        <v>#N/A</v>
      </c>
      <c r="M3638" s="16" t="e">
        <f t="shared" si="7254"/>
        <v>#N/A</v>
      </c>
      <c r="N3638" s="16" t="e">
        <f t="shared" si="7255"/>
        <v>#N/A</v>
      </c>
      <c r="O3638" s="16" t="s">
        <v>76</v>
      </c>
      <c r="P3638" s="16" t="str">
        <f t="shared" si="6"/>
        <v/>
      </c>
      <c r="Q3638" s="41" t="e">
        <f t="shared" si="7256"/>
        <v>#N/A</v>
      </c>
      <c r="R3638" s="44"/>
      <c r="S3638" s="44"/>
      <c r="T3638" s="43"/>
      <c r="U3638" s="43" t="str">
        <f t="shared" si="8"/>
        <v>No</v>
      </c>
      <c r="V3638" s="25"/>
      <c r="W3638" s="25"/>
      <c r="X3638" s="25"/>
      <c r="Y3638" s="25"/>
      <c r="Z3638" s="25"/>
    </row>
    <row r="3639" spans="1:26" ht="15.75" customHeight="1" x14ac:dyDescent="0.25">
      <c r="A3639" s="25">
        <v>3637</v>
      </c>
      <c r="B3639" s="37" t="e">
        <f t="shared" ref="B3639:D3639" si="7327">VLOOKUP($A3639,[12]Salud!$A$1:$O$277,B$1,0)</f>
        <v>#N/A</v>
      </c>
      <c r="C3639" s="38" t="e">
        <f t="shared" si="7327"/>
        <v>#N/A</v>
      </c>
      <c r="D3639" s="39" t="e">
        <f t="shared" si="7327"/>
        <v>#N/A</v>
      </c>
      <c r="E3639" s="16" t="e">
        <f t="shared" si="1"/>
        <v>#N/A</v>
      </c>
      <c r="F3639" s="16" t="e">
        <f t="shared" ref="F3639:K3639" si="7328">VLOOKUP($A3639,[12]Salud!$A$1:$O$277,F$1,0)</f>
        <v>#N/A</v>
      </c>
      <c r="G3639" s="39" t="e">
        <f t="shared" si="7328"/>
        <v>#N/A</v>
      </c>
      <c r="H3639" s="16" t="e">
        <f t="shared" si="7328"/>
        <v>#N/A</v>
      </c>
      <c r="I3639" s="16" t="e">
        <f t="shared" si="7328"/>
        <v>#N/A</v>
      </c>
      <c r="J3639" s="40" t="e">
        <f t="shared" si="7328"/>
        <v>#N/A</v>
      </c>
      <c r="K3639" s="16" t="e">
        <f t="shared" si="7328"/>
        <v>#N/A</v>
      </c>
      <c r="L3639" s="40" t="e">
        <f t="shared" si="7253"/>
        <v>#N/A</v>
      </c>
      <c r="M3639" s="16" t="e">
        <f t="shared" si="7254"/>
        <v>#N/A</v>
      </c>
      <c r="N3639" s="16" t="e">
        <f t="shared" si="7255"/>
        <v>#N/A</v>
      </c>
      <c r="O3639" s="16" t="s">
        <v>76</v>
      </c>
      <c r="P3639" s="16" t="str">
        <f t="shared" si="6"/>
        <v/>
      </c>
      <c r="Q3639" s="41" t="e">
        <f t="shared" si="7256"/>
        <v>#N/A</v>
      </c>
      <c r="R3639" s="44"/>
      <c r="S3639" s="44"/>
      <c r="T3639" s="43"/>
      <c r="U3639" s="43" t="str">
        <f t="shared" si="8"/>
        <v>No</v>
      </c>
      <c r="V3639" s="25"/>
      <c r="W3639" s="25"/>
      <c r="X3639" s="25"/>
      <c r="Y3639" s="25"/>
      <c r="Z3639" s="25"/>
    </row>
    <row r="3640" spans="1:26" ht="15.75" customHeight="1" x14ac:dyDescent="0.25">
      <c r="A3640" s="25">
        <v>3638</v>
      </c>
      <c r="B3640" s="37" t="e">
        <f t="shared" ref="B3640:D3640" si="7329">VLOOKUP($A3640,[12]Salud!$A$1:$O$277,B$1,0)</f>
        <v>#N/A</v>
      </c>
      <c r="C3640" s="38" t="e">
        <f t="shared" si="7329"/>
        <v>#N/A</v>
      </c>
      <c r="D3640" s="39" t="e">
        <f t="shared" si="7329"/>
        <v>#N/A</v>
      </c>
      <c r="E3640" s="16" t="e">
        <f t="shared" si="1"/>
        <v>#N/A</v>
      </c>
      <c r="F3640" s="16" t="e">
        <f t="shared" ref="F3640:K3640" si="7330">VLOOKUP($A3640,[12]Salud!$A$1:$O$277,F$1,0)</f>
        <v>#N/A</v>
      </c>
      <c r="G3640" s="39" t="e">
        <f t="shared" si="7330"/>
        <v>#N/A</v>
      </c>
      <c r="H3640" s="16" t="e">
        <f t="shared" si="7330"/>
        <v>#N/A</v>
      </c>
      <c r="I3640" s="16" t="e">
        <f t="shared" si="7330"/>
        <v>#N/A</v>
      </c>
      <c r="J3640" s="40" t="e">
        <f t="shared" si="7330"/>
        <v>#N/A</v>
      </c>
      <c r="K3640" s="16" t="e">
        <f t="shared" si="7330"/>
        <v>#N/A</v>
      </c>
      <c r="L3640" s="40" t="e">
        <f t="shared" si="7253"/>
        <v>#N/A</v>
      </c>
      <c r="M3640" s="16" t="e">
        <f t="shared" si="7254"/>
        <v>#N/A</v>
      </c>
      <c r="N3640" s="16" t="e">
        <f t="shared" si="7255"/>
        <v>#N/A</v>
      </c>
      <c r="O3640" s="16" t="s">
        <v>76</v>
      </c>
      <c r="P3640" s="16" t="str">
        <f t="shared" si="6"/>
        <v/>
      </c>
      <c r="Q3640" s="41" t="e">
        <f t="shared" si="7256"/>
        <v>#N/A</v>
      </c>
      <c r="R3640" s="44"/>
      <c r="S3640" s="44"/>
      <c r="T3640" s="43"/>
      <c r="U3640" s="43" t="str">
        <f t="shared" si="8"/>
        <v>No</v>
      </c>
      <c r="V3640" s="25"/>
      <c r="W3640" s="25"/>
      <c r="X3640" s="25"/>
      <c r="Y3640" s="25"/>
      <c r="Z3640" s="25"/>
    </row>
    <row r="3641" spans="1:26" ht="15.75" customHeight="1" x14ac:dyDescent="0.25">
      <c r="A3641" s="25">
        <v>3639</v>
      </c>
      <c r="B3641" s="37" t="e">
        <f t="shared" ref="B3641:D3641" si="7331">VLOOKUP($A3641,[12]Salud!$A$1:$O$277,B$1,0)</f>
        <v>#N/A</v>
      </c>
      <c r="C3641" s="38" t="e">
        <f t="shared" si="7331"/>
        <v>#N/A</v>
      </c>
      <c r="D3641" s="39" t="e">
        <f t="shared" si="7331"/>
        <v>#N/A</v>
      </c>
      <c r="E3641" s="16" t="e">
        <f t="shared" si="1"/>
        <v>#N/A</v>
      </c>
      <c r="F3641" s="16" t="e">
        <f t="shared" ref="F3641:K3641" si="7332">VLOOKUP($A3641,[12]Salud!$A$1:$O$277,F$1,0)</f>
        <v>#N/A</v>
      </c>
      <c r="G3641" s="39" t="e">
        <f t="shared" si="7332"/>
        <v>#N/A</v>
      </c>
      <c r="H3641" s="16" t="e">
        <f t="shared" si="7332"/>
        <v>#N/A</v>
      </c>
      <c r="I3641" s="16" t="e">
        <f t="shared" si="7332"/>
        <v>#N/A</v>
      </c>
      <c r="J3641" s="40" t="e">
        <f t="shared" si="7332"/>
        <v>#N/A</v>
      </c>
      <c r="K3641" s="16" t="e">
        <f t="shared" si="7332"/>
        <v>#N/A</v>
      </c>
      <c r="L3641" s="40" t="e">
        <f t="shared" si="7253"/>
        <v>#N/A</v>
      </c>
      <c r="M3641" s="16" t="e">
        <f t="shared" si="7254"/>
        <v>#N/A</v>
      </c>
      <c r="N3641" s="16" t="e">
        <f t="shared" si="7255"/>
        <v>#N/A</v>
      </c>
      <c r="O3641" s="16" t="s">
        <v>76</v>
      </c>
      <c r="P3641" s="16" t="str">
        <f t="shared" si="6"/>
        <v/>
      </c>
      <c r="Q3641" s="41" t="e">
        <f t="shared" si="7256"/>
        <v>#N/A</v>
      </c>
      <c r="R3641" s="44"/>
      <c r="S3641" s="44"/>
      <c r="T3641" s="43"/>
      <c r="U3641" s="43" t="str">
        <f t="shared" si="8"/>
        <v>No</v>
      </c>
      <c r="V3641" s="25"/>
      <c r="W3641" s="25"/>
      <c r="X3641" s="25"/>
      <c r="Y3641" s="25"/>
      <c r="Z3641" s="25"/>
    </row>
    <row r="3642" spans="1:26" ht="15.75" customHeight="1" x14ac:dyDescent="0.25">
      <c r="A3642" s="25">
        <v>3640</v>
      </c>
      <c r="B3642" s="37" t="e">
        <f t="shared" ref="B3642:D3642" si="7333">VLOOKUP($A3642,[12]Salud!$A$1:$O$277,B$1,0)</f>
        <v>#N/A</v>
      </c>
      <c r="C3642" s="38" t="e">
        <f t="shared" si="7333"/>
        <v>#N/A</v>
      </c>
      <c r="D3642" s="39" t="e">
        <f t="shared" si="7333"/>
        <v>#N/A</v>
      </c>
      <c r="E3642" s="16" t="e">
        <f t="shared" si="1"/>
        <v>#N/A</v>
      </c>
      <c r="F3642" s="16" t="e">
        <f t="shared" ref="F3642:K3642" si="7334">VLOOKUP($A3642,[12]Salud!$A$1:$O$277,F$1,0)</f>
        <v>#N/A</v>
      </c>
      <c r="G3642" s="39" t="e">
        <f t="shared" si="7334"/>
        <v>#N/A</v>
      </c>
      <c r="H3642" s="16" t="e">
        <f t="shared" si="7334"/>
        <v>#N/A</v>
      </c>
      <c r="I3642" s="16" t="e">
        <f t="shared" si="7334"/>
        <v>#N/A</v>
      </c>
      <c r="J3642" s="40" t="e">
        <f t="shared" si="7334"/>
        <v>#N/A</v>
      </c>
      <c r="K3642" s="16" t="e">
        <f t="shared" si="7334"/>
        <v>#N/A</v>
      </c>
      <c r="L3642" s="40" t="e">
        <f t="shared" si="7253"/>
        <v>#N/A</v>
      </c>
      <c r="M3642" s="16" t="e">
        <f t="shared" si="7254"/>
        <v>#N/A</v>
      </c>
      <c r="N3642" s="16" t="e">
        <f t="shared" si="7255"/>
        <v>#N/A</v>
      </c>
      <c r="O3642" s="16" t="s">
        <v>76</v>
      </c>
      <c r="P3642" s="16" t="str">
        <f t="shared" si="6"/>
        <v/>
      </c>
      <c r="Q3642" s="41" t="e">
        <f t="shared" si="7256"/>
        <v>#N/A</v>
      </c>
      <c r="R3642" s="44"/>
      <c r="S3642" s="44"/>
      <c r="T3642" s="43"/>
      <c r="U3642" s="43" t="str">
        <f t="shared" si="8"/>
        <v>No</v>
      </c>
      <c r="V3642" s="25"/>
      <c r="W3642" s="25"/>
      <c r="X3642" s="25"/>
      <c r="Y3642" s="25"/>
      <c r="Z3642" s="25"/>
    </row>
    <row r="3643" spans="1:26" ht="15.75" customHeight="1" x14ac:dyDescent="0.25">
      <c r="A3643" s="25">
        <v>3641</v>
      </c>
      <c r="B3643" s="37" t="e">
        <f t="shared" ref="B3643:D3643" si="7335">VLOOKUP($A3643,[12]Salud!$A$1:$O$277,B$1,0)</f>
        <v>#N/A</v>
      </c>
      <c r="C3643" s="38" t="e">
        <f t="shared" si="7335"/>
        <v>#N/A</v>
      </c>
      <c r="D3643" s="39" t="e">
        <f t="shared" si="7335"/>
        <v>#N/A</v>
      </c>
      <c r="E3643" s="16" t="e">
        <f t="shared" si="1"/>
        <v>#N/A</v>
      </c>
      <c r="F3643" s="16" t="e">
        <f t="shared" ref="F3643:K3643" si="7336">VLOOKUP($A3643,[12]Salud!$A$1:$O$277,F$1,0)</f>
        <v>#N/A</v>
      </c>
      <c r="G3643" s="39" t="e">
        <f t="shared" si="7336"/>
        <v>#N/A</v>
      </c>
      <c r="H3643" s="16" t="e">
        <f t="shared" si="7336"/>
        <v>#N/A</v>
      </c>
      <c r="I3643" s="16" t="e">
        <f t="shared" si="7336"/>
        <v>#N/A</v>
      </c>
      <c r="J3643" s="40" t="e">
        <f t="shared" si="7336"/>
        <v>#N/A</v>
      </c>
      <c r="K3643" s="16" t="e">
        <f t="shared" si="7336"/>
        <v>#N/A</v>
      </c>
      <c r="L3643" s="40" t="e">
        <f t="shared" si="7253"/>
        <v>#N/A</v>
      </c>
      <c r="M3643" s="16" t="e">
        <f t="shared" si="7254"/>
        <v>#N/A</v>
      </c>
      <c r="N3643" s="16" t="e">
        <f t="shared" si="7255"/>
        <v>#N/A</v>
      </c>
      <c r="O3643" s="16" t="s">
        <v>76</v>
      </c>
      <c r="P3643" s="16" t="str">
        <f t="shared" si="6"/>
        <v/>
      </c>
      <c r="Q3643" s="41" t="e">
        <f t="shared" si="7256"/>
        <v>#N/A</v>
      </c>
      <c r="R3643" s="44"/>
      <c r="S3643" s="44"/>
      <c r="T3643" s="43"/>
      <c r="U3643" s="43" t="str">
        <f t="shared" si="8"/>
        <v>No</v>
      </c>
      <c r="V3643" s="25"/>
      <c r="W3643" s="25"/>
      <c r="X3643" s="25"/>
      <c r="Y3643" s="25"/>
      <c r="Z3643" s="25"/>
    </row>
    <row r="3644" spans="1:26" ht="15.75" customHeight="1" x14ac:dyDescent="0.25">
      <c r="A3644" s="25">
        <v>3642</v>
      </c>
      <c r="B3644" s="37" t="e">
        <f t="shared" ref="B3644:D3644" si="7337">VLOOKUP($A3644,[12]Salud!$A$1:$O$277,B$1,0)</f>
        <v>#N/A</v>
      </c>
      <c r="C3644" s="38" t="e">
        <f t="shared" si="7337"/>
        <v>#N/A</v>
      </c>
      <c r="D3644" s="39" t="e">
        <f t="shared" si="7337"/>
        <v>#N/A</v>
      </c>
      <c r="E3644" s="16" t="e">
        <f t="shared" si="1"/>
        <v>#N/A</v>
      </c>
      <c r="F3644" s="16" t="e">
        <f t="shared" ref="F3644:K3644" si="7338">VLOOKUP($A3644,[12]Salud!$A$1:$O$277,F$1,0)</f>
        <v>#N/A</v>
      </c>
      <c r="G3644" s="39" t="e">
        <f t="shared" si="7338"/>
        <v>#N/A</v>
      </c>
      <c r="H3644" s="16" t="e">
        <f t="shared" si="7338"/>
        <v>#N/A</v>
      </c>
      <c r="I3644" s="16" t="e">
        <f t="shared" si="7338"/>
        <v>#N/A</v>
      </c>
      <c r="J3644" s="40" t="e">
        <f t="shared" si="7338"/>
        <v>#N/A</v>
      </c>
      <c r="K3644" s="16" t="e">
        <f t="shared" si="7338"/>
        <v>#N/A</v>
      </c>
      <c r="L3644" s="40" t="e">
        <f t="shared" si="7253"/>
        <v>#N/A</v>
      </c>
      <c r="M3644" s="16" t="e">
        <f t="shared" si="7254"/>
        <v>#N/A</v>
      </c>
      <c r="N3644" s="16" t="e">
        <f t="shared" si="7255"/>
        <v>#N/A</v>
      </c>
      <c r="O3644" s="16" t="s">
        <v>76</v>
      </c>
      <c r="P3644" s="16" t="str">
        <f t="shared" si="6"/>
        <v/>
      </c>
      <c r="Q3644" s="41" t="e">
        <f t="shared" si="7256"/>
        <v>#N/A</v>
      </c>
      <c r="R3644" s="44"/>
      <c r="S3644" s="44"/>
      <c r="T3644" s="43"/>
      <c r="U3644" s="43" t="str">
        <f t="shared" si="8"/>
        <v>No</v>
      </c>
      <c r="V3644" s="25"/>
      <c r="W3644" s="25"/>
      <c r="X3644" s="25"/>
      <c r="Y3644" s="25"/>
      <c r="Z3644" s="25"/>
    </row>
    <row r="3645" spans="1:26" ht="15.75" customHeight="1" x14ac:dyDescent="0.25">
      <c r="A3645" s="25">
        <v>3643</v>
      </c>
      <c r="B3645" s="37" t="e">
        <f t="shared" ref="B3645:D3645" si="7339">VLOOKUP($A3645,[12]Salud!$A$1:$O$277,B$1,0)</f>
        <v>#N/A</v>
      </c>
      <c r="C3645" s="38" t="e">
        <f t="shared" si="7339"/>
        <v>#N/A</v>
      </c>
      <c r="D3645" s="39" t="e">
        <f t="shared" si="7339"/>
        <v>#N/A</v>
      </c>
      <c r="E3645" s="16" t="e">
        <f t="shared" si="1"/>
        <v>#N/A</v>
      </c>
      <c r="F3645" s="16" t="e">
        <f t="shared" ref="F3645:K3645" si="7340">VLOOKUP($A3645,[12]Salud!$A$1:$O$277,F$1,0)</f>
        <v>#N/A</v>
      </c>
      <c r="G3645" s="39" t="e">
        <f t="shared" si="7340"/>
        <v>#N/A</v>
      </c>
      <c r="H3645" s="16" t="e">
        <f t="shared" si="7340"/>
        <v>#N/A</v>
      </c>
      <c r="I3645" s="16" t="e">
        <f t="shared" si="7340"/>
        <v>#N/A</v>
      </c>
      <c r="J3645" s="40" t="e">
        <f t="shared" si="7340"/>
        <v>#N/A</v>
      </c>
      <c r="K3645" s="16" t="e">
        <f t="shared" si="7340"/>
        <v>#N/A</v>
      </c>
      <c r="L3645" s="40" t="e">
        <f t="shared" si="7253"/>
        <v>#N/A</v>
      </c>
      <c r="M3645" s="16" t="e">
        <f t="shared" si="7254"/>
        <v>#N/A</v>
      </c>
      <c r="N3645" s="16" t="e">
        <f t="shared" si="7255"/>
        <v>#N/A</v>
      </c>
      <c r="O3645" s="16" t="s">
        <v>76</v>
      </c>
      <c r="P3645" s="16" t="str">
        <f t="shared" si="6"/>
        <v/>
      </c>
      <c r="Q3645" s="41" t="e">
        <f t="shared" si="7256"/>
        <v>#N/A</v>
      </c>
      <c r="R3645" s="44"/>
      <c r="S3645" s="44"/>
      <c r="T3645" s="43"/>
      <c r="U3645" s="43" t="str">
        <f t="shared" si="8"/>
        <v>No</v>
      </c>
      <c r="V3645" s="25"/>
      <c r="W3645" s="25"/>
      <c r="X3645" s="25"/>
      <c r="Y3645" s="25"/>
      <c r="Z3645" s="25"/>
    </row>
    <row r="3646" spans="1:26" ht="15.75" customHeight="1" x14ac:dyDescent="0.25">
      <c r="A3646" s="25">
        <v>3644</v>
      </c>
      <c r="B3646" s="37" t="e">
        <f t="shared" ref="B3646:D3646" si="7341">VLOOKUP($A3646,[12]Salud!$A$1:$O$277,B$1,0)</f>
        <v>#N/A</v>
      </c>
      <c r="C3646" s="38" t="e">
        <f t="shared" si="7341"/>
        <v>#N/A</v>
      </c>
      <c r="D3646" s="39" t="e">
        <f t="shared" si="7341"/>
        <v>#N/A</v>
      </c>
      <c r="E3646" s="16" t="e">
        <f t="shared" si="1"/>
        <v>#N/A</v>
      </c>
      <c r="F3646" s="16" t="e">
        <f t="shared" ref="F3646:K3646" si="7342">VLOOKUP($A3646,[12]Salud!$A$1:$O$277,F$1,0)</f>
        <v>#N/A</v>
      </c>
      <c r="G3646" s="39" t="e">
        <f t="shared" si="7342"/>
        <v>#N/A</v>
      </c>
      <c r="H3646" s="16" t="e">
        <f t="shared" si="7342"/>
        <v>#N/A</v>
      </c>
      <c r="I3646" s="16" t="e">
        <f t="shared" si="7342"/>
        <v>#N/A</v>
      </c>
      <c r="J3646" s="40" t="e">
        <f t="shared" si="7342"/>
        <v>#N/A</v>
      </c>
      <c r="K3646" s="16" t="e">
        <f t="shared" si="7342"/>
        <v>#N/A</v>
      </c>
      <c r="L3646" s="40" t="e">
        <f t="shared" si="7253"/>
        <v>#N/A</v>
      </c>
      <c r="M3646" s="16" t="e">
        <f t="shared" si="7254"/>
        <v>#N/A</v>
      </c>
      <c r="N3646" s="16" t="e">
        <f t="shared" si="7255"/>
        <v>#N/A</v>
      </c>
      <c r="O3646" s="16" t="s">
        <v>76</v>
      </c>
      <c r="P3646" s="16" t="str">
        <f t="shared" si="6"/>
        <v/>
      </c>
      <c r="Q3646" s="41" t="e">
        <f t="shared" si="7256"/>
        <v>#N/A</v>
      </c>
      <c r="R3646" s="44"/>
      <c r="S3646" s="44"/>
      <c r="T3646" s="43"/>
      <c r="U3646" s="43" t="str">
        <f t="shared" si="8"/>
        <v>No</v>
      </c>
      <c r="V3646" s="25"/>
      <c r="W3646" s="25"/>
      <c r="X3646" s="25"/>
      <c r="Y3646" s="25"/>
      <c r="Z3646" s="25"/>
    </row>
    <row r="3647" spans="1:26" ht="15.75" customHeight="1" x14ac:dyDescent="0.25">
      <c r="A3647" s="25">
        <v>3645</v>
      </c>
      <c r="B3647" s="37" t="e">
        <f t="shared" ref="B3647:D3647" si="7343">VLOOKUP($A3647,[12]Salud!$A$1:$O$277,B$1,0)</f>
        <v>#N/A</v>
      </c>
      <c r="C3647" s="38" t="e">
        <f t="shared" si="7343"/>
        <v>#N/A</v>
      </c>
      <c r="D3647" s="39" t="e">
        <f t="shared" si="7343"/>
        <v>#N/A</v>
      </c>
      <c r="E3647" s="16" t="e">
        <f t="shared" si="1"/>
        <v>#N/A</v>
      </c>
      <c r="F3647" s="16" t="e">
        <f t="shared" ref="F3647:K3647" si="7344">VLOOKUP($A3647,[12]Salud!$A$1:$O$277,F$1,0)</f>
        <v>#N/A</v>
      </c>
      <c r="G3647" s="39" t="e">
        <f t="shared" si="7344"/>
        <v>#N/A</v>
      </c>
      <c r="H3647" s="16" t="e">
        <f t="shared" si="7344"/>
        <v>#N/A</v>
      </c>
      <c r="I3647" s="16" t="e">
        <f t="shared" si="7344"/>
        <v>#N/A</v>
      </c>
      <c r="J3647" s="40" t="e">
        <f t="shared" si="7344"/>
        <v>#N/A</v>
      </c>
      <c r="K3647" s="16" t="e">
        <f t="shared" si="7344"/>
        <v>#N/A</v>
      </c>
      <c r="L3647" s="40" t="e">
        <f t="shared" si="7253"/>
        <v>#N/A</v>
      </c>
      <c r="M3647" s="16" t="e">
        <f t="shared" si="7254"/>
        <v>#N/A</v>
      </c>
      <c r="N3647" s="16" t="e">
        <f t="shared" si="7255"/>
        <v>#N/A</v>
      </c>
      <c r="O3647" s="16" t="s">
        <v>76</v>
      </c>
      <c r="P3647" s="16" t="str">
        <f t="shared" si="6"/>
        <v/>
      </c>
      <c r="Q3647" s="41" t="e">
        <f t="shared" si="7256"/>
        <v>#N/A</v>
      </c>
      <c r="R3647" s="44"/>
      <c r="S3647" s="44"/>
      <c r="T3647" s="43"/>
      <c r="U3647" s="43" t="str">
        <f t="shared" si="8"/>
        <v>No</v>
      </c>
      <c r="V3647" s="25"/>
      <c r="W3647" s="25"/>
      <c r="X3647" s="25"/>
      <c r="Y3647" s="25"/>
      <c r="Z3647" s="25"/>
    </row>
    <row r="3648" spans="1:26" ht="15.75" customHeight="1" x14ac:dyDescent="0.25">
      <c r="A3648" s="25">
        <v>3646</v>
      </c>
      <c r="B3648" s="37" t="e">
        <f t="shared" ref="B3648:D3648" si="7345">VLOOKUP($A3648,[12]Salud!$A$1:$O$277,B$1,0)</f>
        <v>#N/A</v>
      </c>
      <c r="C3648" s="38" t="e">
        <f t="shared" si="7345"/>
        <v>#N/A</v>
      </c>
      <c r="D3648" s="39" t="e">
        <f t="shared" si="7345"/>
        <v>#N/A</v>
      </c>
      <c r="E3648" s="16" t="e">
        <f t="shared" si="1"/>
        <v>#N/A</v>
      </c>
      <c r="F3648" s="16" t="e">
        <f t="shared" ref="F3648:K3648" si="7346">VLOOKUP($A3648,[12]Salud!$A$1:$O$277,F$1,0)</f>
        <v>#N/A</v>
      </c>
      <c r="G3648" s="39" t="e">
        <f t="shared" si="7346"/>
        <v>#N/A</v>
      </c>
      <c r="H3648" s="16" t="e">
        <f t="shared" si="7346"/>
        <v>#N/A</v>
      </c>
      <c r="I3648" s="16" t="e">
        <f t="shared" si="7346"/>
        <v>#N/A</v>
      </c>
      <c r="J3648" s="40" t="e">
        <f t="shared" si="7346"/>
        <v>#N/A</v>
      </c>
      <c r="K3648" s="16" t="e">
        <f t="shared" si="7346"/>
        <v>#N/A</v>
      </c>
      <c r="L3648" s="40" t="e">
        <f t="shared" si="7253"/>
        <v>#N/A</v>
      </c>
      <c r="M3648" s="16" t="e">
        <f t="shared" si="7254"/>
        <v>#N/A</v>
      </c>
      <c r="N3648" s="16" t="e">
        <f t="shared" si="7255"/>
        <v>#N/A</v>
      </c>
      <c r="O3648" s="16" t="s">
        <v>76</v>
      </c>
      <c r="P3648" s="16" t="str">
        <f t="shared" si="6"/>
        <v/>
      </c>
      <c r="Q3648" s="41" t="e">
        <f t="shared" si="7256"/>
        <v>#N/A</v>
      </c>
      <c r="R3648" s="44"/>
      <c r="S3648" s="44"/>
      <c r="T3648" s="43"/>
      <c r="U3648" s="43" t="str">
        <f t="shared" si="8"/>
        <v>No</v>
      </c>
      <c r="V3648" s="25"/>
      <c r="W3648" s="25"/>
      <c r="X3648" s="25"/>
      <c r="Y3648" s="25"/>
      <c r="Z3648" s="25"/>
    </row>
    <row r="3649" spans="1:26" ht="15.75" customHeight="1" x14ac:dyDescent="0.25">
      <c r="A3649" s="25">
        <v>3647</v>
      </c>
      <c r="B3649" s="37" t="e">
        <f t="shared" ref="B3649:D3649" si="7347">VLOOKUP($A3649,[12]Salud!$A$1:$O$277,B$1,0)</f>
        <v>#N/A</v>
      </c>
      <c r="C3649" s="38" t="e">
        <f t="shared" si="7347"/>
        <v>#N/A</v>
      </c>
      <c r="D3649" s="39" t="e">
        <f t="shared" si="7347"/>
        <v>#N/A</v>
      </c>
      <c r="E3649" s="16" t="e">
        <f t="shared" si="1"/>
        <v>#N/A</v>
      </c>
      <c r="F3649" s="16" t="e">
        <f t="shared" ref="F3649:K3649" si="7348">VLOOKUP($A3649,[12]Salud!$A$1:$O$277,F$1,0)</f>
        <v>#N/A</v>
      </c>
      <c r="G3649" s="39" t="e">
        <f t="shared" si="7348"/>
        <v>#N/A</v>
      </c>
      <c r="H3649" s="16" t="e">
        <f t="shared" si="7348"/>
        <v>#N/A</v>
      </c>
      <c r="I3649" s="16" t="e">
        <f t="shared" si="7348"/>
        <v>#N/A</v>
      </c>
      <c r="J3649" s="40" t="e">
        <f t="shared" si="7348"/>
        <v>#N/A</v>
      </c>
      <c r="K3649" s="16" t="e">
        <f t="shared" si="7348"/>
        <v>#N/A</v>
      </c>
      <c r="L3649" s="40" t="e">
        <f t="shared" si="7253"/>
        <v>#N/A</v>
      </c>
      <c r="M3649" s="16" t="e">
        <f t="shared" si="7254"/>
        <v>#N/A</v>
      </c>
      <c r="N3649" s="16" t="e">
        <f t="shared" si="7255"/>
        <v>#N/A</v>
      </c>
      <c r="O3649" s="16" t="s">
        <v>76</v>
      </c>
      <c r="P3649" s="16" t="str">
        <f t="shared" si="6"/>
        <v/>
      </c>
      <c r="Q3649" s="41" t="e">
        <f t="shared" si="7256"/>
        <v>#N/A</v>
      </c>
      <c r="R3649" s="44"/>
      <c r="S3649" s="44"/>
      <c r="T3649" s="43"/>
      <c r="U3649" s="43" t="str">
        <f t="shared" si="8"/>
        <v>No</v>
      </c>
      <c r="V3649" s="25"/>
      <c r="W3649" s="25"/>
      <c r="X3649" s="25"/>
      <c r="Y3649" s="25"/>
      <c r="Z3649" s="25"/>
    </row>
    <row r="3650" spans="1:26" ht="15.75" customHeight="1" x14ac:dyDescent="0.25">
      <c r="A3650" s="25">
        <v>3648</v>
      </c>
      <c r="B3650" s="37" t="e">
        <f t="shared" ref="B3650:D3650" si="7349">VLOOKUP($A3650,[12]Salud!$A$1:$O$277,B$1,0)</f>
        <v>#N/A</v>
      </c>
      <c r="C3650" s="38" t="e">
        <f t="shared" si="7349"/>
        <v>#N/A</v>
      </c>
      <c r="D3650" s="39" t="e">
        <f t="shared" si="7349"/>
        <v>#N/A</v>
      </c>
      <c r="E3650" s="16" t="e">
        <f t="shared" si="1"/>
        <v>#N/A</v>
      </c>
      <c r="F3650" s="16" t="e">
        <f t="shared" ref="F3650:K3650" si="7350">VLOOKUP($A3650,[12]Salud!$A$1:$O$277,F$1,0)</f>
        <v>#N/A</v>
      </c>
      <c r="G3650" s="39" t="e">
        <f t="shared" si="7350"/>
        <v>#N/A</v>
      </c>
      <c r="H3650" s="16" t="e">
        <f t="shared" si="7350"/>
        <v>#N/A</v>
      </c>
      <c r="I3650" s="16" t="e">
        <f t="shared" si="7350"/>
        <v>#N/A</v>
      </c>
      <c r="J3650" s="40" t="e">
        <f t="shared" si="7350"/>
        <v>#N/A</v>
      </c>
      <c r="K3650" s="16" t="e">
        <f t="shared" si="7350"/>
        <v>#N/A</v>
      </c>
      <c r="L3650" s="40" t="e">
        <f t="shared" si="7253"/>
        <v>#N/A</v>
      </c>
      <c r="M3650" s="16" t="e">
        <f t="shared" si="7254"/>
        <v>#N/A</v>
      </c>
      <c r="N3650" s="16" t="e">
        <f t="shared" si="7255"/>
        <v>#N/A</v>
      </c>
      <c r="O3650" s="16" t="s">
        <v>76</v>
      </c>
      <c r="P3650" s="16" t="str">
        <f t="shared" si="6"/>
        <v/>
      </c>
      <c r="Q3650" s="41" t="e">
        <f t="shared" si="7256"/>
        <v>#N/A</v>
      </c>
      <c r="R3650" s="44"/>
      <c r="S3650" s="44"/>
      <c r="T3650" s="43"/>
      <c r="U3650" s="43" t="str">
        <f t="shared" si="8"/>
        <v>No</v>
      </c>
      <c r="V3650" s="25"/>
      <c r="W3650" s="25"/>
      <c r="X3650" s="25"/>
      <c r="Y3650" s="25"/>
      <c r="Z3650" s="25"/>
    </row>
    <row r="3651" spans="1:26" ht="15.75" customHeight="1" x14ac:dyDescent="0.25">
      <c r="A3651" s="25">
        <v>3649</v>
      </c>
      <c r="B3651" s="37" t="e">
        <f t="shared" ref="B3651:D3651" si="7351">VLOOKUP($A3651,[12]Salud!$A$1:$O$277,B$1,0)</f>
        <v>#N/A</v>
      </c>
      <c r="C3651" s="38" t="e">
        <f t="shared" si="7351"/>
        <v>#N/A</v>
      </c>
      <c r="D3651" s="39" t="e">
        <f t="shared" si="7351"/>
        <v>#N/A</v>
      </c>
      <c r="E3651" s="16" t="e">
        <f t="shared" si="1"/>
        <v>#N/A</v>
      </c>
      <c r="F3651" s="16" t="e">
        <f t="shared" ref="F3651:K3651" si="7352">VLOOKUP($A3651,[12]Salud!$A$1:$O$277,F$1,0)</f>
        <v>#N/A</v>
      </c>
      <c r="G3651" s="39" t="e">
        <f t="shared" si="7352"/>
        <v>#N/A</v>
      </c>
      <c r="H3651" s="16" t="e">
        <f t="shared" si="7352"/>
        <v>#N/A</v>
      </c>
      <c r="I3651" s="16" t="e">
        <f t="shared" si="7352"/>
        <v>#N/A</v>
      </c>
      <c r="J3651" s="40" t="e">
        <f t="shared" si="7352"/>
        <v>#N/A</v>
      </c>
      <c r="K3651" s="16" t="e">
        <f t="shared" si="7352"/>
        <v>#N/A</v>
      </c>
      <c r="L3651" s="40" t="e">
        <f t="shared" si="7253"/>
        <v>#N/A</v>
      </c>
      <c r="M3651" s="16" t="e">
        <f t="shared" si="7254"/>
        <v>#N/A</v>
      </c>
      <c r="N3651" s="16" t="e">
        <f t="shared" si="7255"/>
        <v>#N/A</v>
      </c>
      <c r="O3651" s="16" t="s">
        <v>76</v>
      </c>
      <c r="P3651" s="16" t="str">
        <f t="shared" si="6"/>
        <v/>
      </c>
      <c r="Q3651" s="41" t="e">
        <f t="shared" si="7256"/>
        <v>#N/A</v>
      </c>
      <c r="R3651" s="44"/>
      <c r="S3651" s="44"/>
      <c r="T3651" s="43"/>
      <c r="U3651" s="43" t="str">
        <f t="shared" si="8"/>
        <v>No</v>
      </c>
      <c r="V3651" s="25"/>
      <c r="W3651" s="25"/>
      <c r="X3651" s="25"/>
      <c r="Y3651" s="25"/>
      <c r="Z3651" s="25"/>
    </row>
    <row r="3652" spans="1:26" ht="15.75" customHeight="1" x14ac:dyDescent="0.25">
      <c r="A3652" s="25">
        <v>3650</v>
      </c>
      <c r="B3652" s="37" t="e">
        <f t="shared" ref="B3652:D3652" si="7353">VLOOKUP($A3652,[12]Salud!$A$1:$O$277,B$1,0)</f>
        <v>#N/A</v>
      </c>
      <c r="C3652" s="38" t="e">
        <f t="shared" si="7353"/>
        <v>#N/A</v>
      </c>
      <c r="D3652" s="39" t="e">
        <f t="shared" si="7353"/>
        <v>#N/A</v>
      </c>
      <c r="E3652" s="16" t="e">
        <f t="shared" si="1"/>
        <v>#N/A</v>
      </c>
      <c r="F3652" s="16" t="e">
        <f t="shared" ref="F3652:K3652" si="7354">VLOOKUP($A3652,[12]Salud!$A$1:$O$277,F$1,0)</f>
        <v>#N/A</v>
      </c>
      <c r="G3652" s="39" t="e">
        <f t="shared" si="7354"/>
        <v>#N/A</v>
      </c>
      <c r="H3652" s="16" t="e">
        <f t="shared" si="7354"/>
        <v>#N/A</v>
      </c>
      <c r="I3652" s="16" t="e">
        <f t="shared" si="7354"/>
        <v>#N/A</v>
      </c>
      <c r="J3652" s="40" t="e">
        <f t="shared" si="7354"/>
        <v>#N/A</v>
      </c>
      <c r="K3652" s="16" t="e">
        <f t="shared" si="7354"/>
        <v>#N/A</v>
      </c>
      <c r="L3652" s="40" t="e">
        <f t="shared" si="7253"/>
        <v>#N/A</v>
      </c>
      <c r="M3652" s="16" t="e">
        <f t="shared" si="7254"/>
        <v>#N/A</v>
      </c>
      <c r="N3652" s="16" t="e">
        <f t="shared" si="7255"/>
        <v>#N/A</v>
      </c>
      <c r="O3652" s="16" t="s">
        <v>76</v>
      </c>
      <c r="P3652" s="16" t="str">
        <f t="shared" si="6"/>
        <v/>
      </c>
      <c r="Q3652" s="41" t="e">
        <f t="shared" si="7256"/>
        <v>#N/A</v>
      </c>
      <c r="R3652" s="44"/>
      <c r="S3652" s="44"/>
      <c r="T3652" s="43"/>
      <c r="U3652" s="43" t="str">
        <f t="shared" si="8"/>
        <v>No</v>
      </c>
      <c r="V3652" s="25"/>
      <c r="W3652" s="25"/>
      <c r="X3652" s="25"/>
      <c r="Y3652" s="25"/>
      <c r="Z3652" s="25"/>
    </row>
    <row r="3653" spans="1:26" ht="15.75" customHeight="1" x14ac:dyDescent="0.25">
      <c r="A3653" s="25">
        <v>3651</v>
      </c>
      <c r="B3653" s="37" t="e">
        <f t="shared" ref="B3653:D3653" si="7355">VLOOKUP($A3653,[12]Salud!$A$1:$O$277,B$1,0)</f>
        <v>#N/A</v>
      </c>
      <c r="C3653" s="38" t="e">
        <f t="shared" si="7355"/>
        <v>#N/A</v>
      </c>
      <c r="D3653" s="39" t="e">
        <f t="shared" si="7355"/>
        <v>#N/A</v>
      </c>
      <c r="E3653" s="16" t="e">
        <f t="shared" si="1"/>
        <v>#N/A</v>
      </c>
      <c r="F3653" s="16" t="e">
        <f t="shared" ref="F3653:K3653" si="7356">VLOOKUP($A3653,[12]Salud!$A$1:$O$277,F$1,0)</f>
        <v>#N/A</v>
      </c>
      <c r="G3653" s="39" t="e">
        <f t="shared" si="7356"/>
        <v>#N/A</v>
      </c>
      <c r="H3653" s="16" t="e">
        <f t="shared" si="7356"/>
        <v>#N/A</v>
      </c>
      <c r="I3653" s="16" t="e">
        <f t="shared" si="7356"/>
        <v>#N/A</v>
      </c>
      <c r="J3653" s="40" t="e">
        <f t="shared" si="7356"/>
        <v>#N/A</v>
      </c>
      <c r="K3653" s="16" t="e">
        <f t="shared" si="7356"/>
        <v>#N/A</v>
      </c>
      <c r="L3653" s="40" t="e">
        <f t="shared" si="7253"/>
        <v>#N/A</v>
      </c>
      <c r="M3653" s="16" t="e">
        <f t="shared" si="7254"/>
        <v>#N/A</v>
      </c>
      <c r="N3653" s="16" t="e">
        <f t="shared" si="7255"/>
        <v>#N/A</v>
      </c>
      <c r="O3653" s="16" t="s">
        <v>76</v>
      </c>
      <c r="P3653" s="16" t="str">
        <f t="shared" si="6"/>
        <v/>
      </c>
      <c r="Q3653" s="41" t="e">
        <f t="shared" si="7256"/>
        <v>#N/A</v>
      </c>
      <c r="R3653" s="44"/>
      <c r="S3653" s="44"/>
      <c r="T3653" s="43"/>
      <c r="U3653" s="43" t="str">
        <f t="shared" si="8"/>
        <v>No</v>
      </c>
      <c r="V3653" s="25"/>
      <c r="W3653" s="25"/>
      <c r="X3653" s="25"/>
      <c r="Y3653" s="25"/>
      <c r="Z3653" s="25"/>
    </row>
    <row r="3654" spans="1:26" ht="15.75" customHeight="1" x14ac:dyDescent="0.25">
      <c r="A3654" s="25">
        <v>3652</v>
      </c>
      <c r="B3654" s="37" t="e">
        <f t="shared" ref="B3654:D3654" si="7357">VLOOKUP($A3654,[12]Salud!$A$1:$O$277,B$1,0)</f>
        <v>#N/A</v>
      </c>
      <c r="C3654" s="38" t="e">
        <f t="shared" si="7357"/>
        <v>#N/A</v>
      </c>
      <c r="D3654" s="39" t="e">
        <f t="shared" si="7357"/>
        <v>#N/A</v>
      </c>
      <c r="E3654" s="16" t="e">
        <f t="shared" si="1"/>
        <v>#N/A</v>
      </c>
      <c r="F3654" s="16" t="e">
        <f t="shared" ref="F3654:K3654" si="7358">VLOOKUP($A3654,[12]Salud!$A$1:$O$277,F$1,0)</f>
        <v>#N/A</v>
      </c>
      <c r="G3654" s="39" t="e">
        <f t="shared" si="7358"/>
        <v>#N/A</v>
      </c>
      <c r="H3654" s="16" t="e">
        <f t="shared" si="7358"/>
        <v>#N/A</v>
      </c>
      <c r="I3654" s="16" t="e">
        <f t="shared" si="7358"/>
        <v>#N/A</v>
      </c>
      <c r="J3654" s="40" t="e">
        <f t="shared" si="7358"/>
        <v>#N/A</v>
      </c>
      <c r="K3654" s="16" t="e">
        <f t="shared" si="7358"/>
        <v>#N/A</v>
      </c>
      <c r="L3654" s="40" t="e">
        <f t="shared" si="7253"/>
        <v>#N/A</v>
      </c>
      <c r="M3654" s="16" t="e">
        <f t="shared" si="7254"/>
        <v>#N/A</v>
      </c>
      <c r="N3654" s="16" t="e">
        <f t="shared" si="7255"/>
        <v>#N/A</v>
      </c>
      <c r="O3654" s="16" t="s">
        <v>76</v>
      </c>
      <c r="P3654" s="16" t="str">
        <f t="shared" si="6"/>
        <v/>
      </c>
      <c r="Q3654" s="41" t="e">
        <f t="shared" si="7256"/>
        <v>#N/A</v>
      </c>
      <c r="R3654" s="44"/>
      <c r="S3654" s="44"/>
      <c r="T3654" s="43"/>
      <c r="U3654" s="43" t="str">
        <f t="shared" si="8"/>
        <v>No</v>
      </c>
      <c r="V3654" s="25"/>
      <c r="W3654" s="25"/>
      <c r="X3654" s="25"/>
      <c r="Y3654" s="25"/>
      <c r="Z3654" s="25"/>
    </row>
    <row r="3655" spans="1:26" ht="15.75" customHeight="1" x14ac:dyDescent="0.25">
      <c r="A3655" s="25">
        <v>3653</v>
      </c>
      <c r="B3655" s="37" t="e">
        <f t="shared" ref="B3655:D3655" si="7359">VLOOKUP($A3655,[12]Salud!$A$1:$O$277,B$1,0)</f>
        <v>#N/A</v>
      </c>
      <c r="C3655" s="38" t="e">
        <f t="shared" si="7359"/>
        <v>#N/A</v>
      </c>
      <c r="D3655" s="39" t="e">
        <f t="shared" si="7359"/>
        <v>#N/A</v>
      </c>
      <c r="E3655" s="16" t="e">
        <f t="shared" si="1"/>
        <v>#N/A</v>
      </c>
      <c r="F3655" s="16" t="e">
        <f t="shared" ref="F3655:K3655" si="7360">VLOOKUP($A3655,[12]Salud!$A$1:$O$277,F$1,0)</f>
        <v>#N/A</v>
      </c>
      <c r="G3655" s="39" t="e">
        <f t="shared" si="7360"/>
        <v>#N/A</v>
      </c>
      <c r="H3655" s="16" t="e">
        <f t="shared" si="7360"/>
        <v>#N/A</v>
      </c>
      <c r="I3655" s="16" t="e">
        <f t="shared" si="7360"/>
        <v>#N/A</v>
      </c>
      <c r="J3655" s="40" t="e">
        <f t="shared" si="7360"/>
        <v>#N/A</v>
      </c>
      <c r="K3655" s="16" t="e">
        <f t="shared" si="7360"/>
        <v>#N/A</v>
      </c>
      <c r="L3655" s="40" t="e">
        <f t="shared" si="7253"/>
        <v>#N/A</v>
      </c>
      <c r="M3655" s="16" t="e">
        <f t="shared" si="7254"/>
        <v>#N/A</v>
      </c>
      <c r="N3655" s="16" t="e">
        <f t="shared" si="7255"/>
        <v>#N/A</v>
      </c>
      <c r="O3655" s="16" t="s">
        <v>76</v>
      </c>
      <c r="P3655" s="16" t="str">
        <f t="shared" si="6"/>
        <v/>
      </c>
      <c r="Q3655" s="41" t="e">
        <f t="shared" si="7256"/>
        <v>#N/A</v>
      </c>
      <c r="R3655" s="44"/>
      <c r="S3655" s="44"/>
      <c r="T3655" s="43"/>
      <c r="U3655" s="43" t="str">
        <f t="shared" si="8"/>
        <v>No</v>
      </c>
      <c r="V3655" s="25"/>
      <c r="W3655" s="25"/>
      <c r="X3655" s="25"/>
      <c r="Y3655" s="25"/>
      <c r="Z3655" s="25"/>
    </row>
    <row r="3656" spans="1:26" ht="15.75" customHeight="1" x14ac:dyDescent="0.25">
      <c r="A3656" s="25">
        <v>3654</v>
      </c>
      <c r="B3656" s="37" t="e">
        <f t="shared" ref="B3656:D3656" si="7361">VLOOKUP($A3656,[12]Salud!$A$1:$O$277,B$1,0)</f>
        <v>#N/A</v>
      </c>
      <c r="C3656" s="38" t="e">
        <f t="shared" si="7361"/>
        <v>#N/A</v>
      </c>
      <c r="D3656" s="39" t="e">
        <f t="shared" si="7361"/>
        <v>#N/A</v>
      </c>
      <c r="E3656" s="16" t="e">
        <f t="shared" si="1"/>
        <v>#N/A</v>
      </c>
      <c r="F3656" s="16" t="e">
        <f t="shared" ref="F3656:K3656" si="7362">VLOOKUP($A3656,[12]Salud!$A$1:$O$277,F$1,0)</f>
        <v>#N/A</v>
      </c>
      <c r="G3656" s="39" t="e">
        <f t="shared" si="7362"/>
        <v>#N/A</v>
      </c>
      <c r="H3656" s="16" t="e">
        <f t="shared" si="7362"/>
        <v>#N/A</v>
      </c>
      <c r="I3656" s="16" t="e">
        <f t="shared" si="7362"/>
        <v>#N/A</v>
      </c>
      <c r="J3656" s="40" t="e">
        <f t="shared" si="7362"/>
        <v>#N/A</v>
      </c>
      <c r="K3656" s="16" t="e">
        <f t="shared" si="7362"/>
        <v>#N/A</v>
      </c>
      <c r="L3656" s="40" t="e">
        <f t="shared" si="7253"/>
        <v>#N/A</v>
      </c>
      <c r="M3656" s="16" t="e">
        <f t="shared" si="7254"/>
        <v>#N/A</v>
      </c>
      <c r="N3656" s="16" t="e">
        <f t="shared" si="7255"/>
        <v>#N/A</v>
      </c>
      <c r="O3656" s="16" t="s">
        <v>76</v>
      </c>
      <c r="P3656" s="16" t="str">
        <f t="shared" si="6"/>
        <v/>
      </c>
      <c r="Q3656" s="41" t="e">
        <f t="shared" si="7256"/>
        <v>#N/A</v>
      </c>
      <c r="R3656" s="44"/>
      <c r="S3656" s="44"/>
      <c r="T3656" s="43"/>
      <c r="U3656" s="43" t="str">
        <f t="shared" si="8"/>
        <v>No</v>
      </c>
      <c r="V3656" s="25"/>
      <c r="W3656" s="25"/>
      <c r="X3656" s="25"/>
      <c r="Y3656" s="25"/>
      <c r="Z3656" s="25"/>
    </row>
    <row r="3657" spans="1:26" ht="15.75" customHeight="1" x14ac:dyDescent="0.25">
      <c r="A3657" s="25">
        <v>3655</v>
      </c>
      <c r="B3657" s="37" t="e">
        <f t="shared" ref="B3657:D3657" si="7363">VLOOKUP($A3657,[12]Salud!$A$1:$O$277,B$1,0)</f>
        <v>#N/A</v>
      </c>
      <c r="C3657" s="38" t="e">
        <f t="shared" si="7363"/>
        <v>#N/A</v>
      </c>
      <c r="D3657" s="39" t="e">
        <f t="shared" si="7363"/>
        <v>#N/A</v>
      </c>
      <c r="E3657" s="16" t="e">
        <f t="shared" si="1"/>
        <v>#N/A</v>
      </c>
      <c r="F3657" s="16" t="e">
        <f t="shared" ref="F3657:K3657" si="7364">VLOOKUP($A3657,[12]Salud!$A$1:$O$277,F$1,0)</f>
        <v>#N/A</v>
      </c>
      <c r="G3657" s="39" t="e">
        <f t="shared" si="7364"/>
        <v>#N/A</v>
      </c>
      <c r="H3657" s="16" t="e">
        <f t="shared" si="7364"/>
        <v>#N/A</v>
      </c>
      <c r="I3657" s="16" t="e">
        <f t="shared" si="7364"/>
        <v>#N/A</v>
      </c>
      <c r="J3657" s="40" t="e">
        <f t="shared" si="7364"/>
        <v>#N/A</v>
      </c>
      <c r="K3657" s="16" t="e">
        <f t="shared" si="7364"/>
        <v>#N/A</v>
      </c>
      <c r="L3657" s="40" t="e">
        <f t="shared" si="7253"/>
        <v>#N/A</v>
      </c>
      <c r="M3657" s="16" t="e">
        <f t="shared" si="7254"/>
        <v>#N/A</v>
      </c>
      <c r="N3657" s="16" t="e">
        <f t="shared" si="7255"/>
        <v>#N/A</v>
      </c>
      <c r="O3657" s="16" t="s">
        <v>76</v>
      </c>
      <c r="P3657" s="16" t="str">
        <f t="shared" si="6"/>
        <v/>
      </c>
      <c r="Q3657" s="41" t="e">
        <f t="shared" si="7256"/>
        <v>#N/A</v>
      </c>
      <c r="R3657" s="44"/>
      <c r="S3657" s="44"/>
      <c r="T3657" s="43"/>
      <c r="U3657" s="43" t="str">
        <f t="shared" si="8"/>
        <v>No</v>
      </c>
      <c r="V3657" s="25"/>
      <c r="W3657" s="25"/>
      <c r="X3657" s="25"/>
      <c r="Y3657" s="25"/>
      <c r="Z3657" s="25"/>
    </row>
    <row r="3658" spans="1:26" ht="15.75" customHeight="1" x14ac:dyDescent="0.25">
      <c r="A3658" s="25">
        <v>3656</v>
      </c>
      <c r="B3658" s="37" t="e">
        <f t="shared" ref="B3658:D3658" si="7365">VLOOKUP($A3658,[12]Salud!$A$1:$O$277,B$1,0)</f>
        <v>#N/A</v>
      </c>
      <c r="C3658" s="38" t="e">
        <f t="shared" si="7365"/>
        <v>#N/A</v>
      </c>
      <c r="D3658" s="39" t="e">
        <f t="shared" si="7365"/>
        <v>#N/A</v>
      </c>
      <c r="E3658" s="16" t="e">
        <f t="shared" si="1"/>
        <v>#N/A</v>
      </c>
      <c r="F3658" s="16" t="e">
        <f t="shared" ref="F3658:K3658" si="7366">VLOOKUP($A3658,[12]Salud!$A$1:$O$277,F$1,0)</f>
        <v>#N/A</v>
      </c>
      <c r="G3658" s="39" t="e">
        <f t="shared" si="7366"/>
        <v>#N/A</v>
      </c>
      <c r="H3658" s="16" t="e">
        <f t="shared" si="7366"/>
        <v>#N/A</v>
      </c>
      <c r="I3658" s="16" t="e">
        <f t="shared" si="7366"/>
        <v>#N/A</v>
      </c>
      <c r="J3658" s="40" t="e">
        <f t="shared" si="7366"/>
        <v>#N/A</v>
      </c>
      <c r="K3658" s="16" t="e">
        <f t="shared" si="7366"/>
        <v>#N/A</v>
      </c>
      <c r="L3658" s="40" t="e">
        <f t="shared" si="7253"/>
        <v>#N/A</v>
      </c>
      <c r="M3658" s="16" t="e">
        <f t="shared" si="7254"/>
        <v>#N/A</v>
      </c>
      <c r="N3658" s="16" t="e">
        <f t="shared" si="7255"/>
        <v>#N/A</v>
      </c>
      <c r="O3658" s="16" t="s">
        <v>76</v>
      </c>
      <c r="P3658" s="16" t="str">
        <f t="shared" si="6"/>
        <v/>
      </c>
      <c r="Q3658" s="41" t="e">
        <f t="shared" si="7256"/>
        <v>#N/A</v>
      </c>
      <c r="R3658" s="44"/>
      <c r="S3658" s="44"/>
      <c r="T3658" s="43"/>
      <c r="U3658" s="43" t="str">
        <f t="shared" si="8"/>
        <v>No</v>
      </c>
      <c r="V3658" s="25"/>
      <c r="W3658" s="25"/>
      <c r="X3658" s="25"/>
      <c r="Y3658" s="25"/>
      <c r="Z3658" s="25"/>
    </row>
    <row r="3659" spans="1:26" ht="15.75" customHeight="1" x14ac:dyDescent="0.25">
      <c r="A3659" s="25">
        <v>3657</v>
      </c>
      <c r="B3659" s="37" t="e">
        <f t="shared" ref="B3659:D3659" si="7367">VLOOKUP($A3659,[12]Salud!$A$1:$O$277,B$1,0)</f>
        <v>#N/A</v>
      </c>
      <c r="C3659" s="38" t="e">
        <f t="shared" si="7367"/>
        <v>#N/A</v>
      </c>
      <c r="D3659" s="39" t="e">
        <f t="shared" si="7367"/>
        <v>#N/A</v>
      </c>
      <c r="E3659" s="16" t="e">
        <f t="shared" si="1"/>
        <v>#N/A</v>
      </c>
      <c r="F3659" s="16" t="e">
        <f t="shared" ref="F3659:K3659" si="7368">VLOOKUP($A3659,[12]Salud!$A$1:$O$277,F$1,0)</f>
        <v>#N/A</v>
      </c>
      <c r="G3659" s="39" t="e">
        <f t="shared" si="7368"/>
        <v>#N/A</v>
      </c>
      <c r="H3659" s="16" t="e">
        <f t="shared" si="7368"/>
        <v>#N/A</v>
      </c>
      <c r="I3659" s="16" t="e">
        <f t="shared" si="7368"/>
        <v>#N/A</v>
      </c>
      <c r="J3659" s="40" t="e">
        <f t="shared" si="7368"/>
        <v>#N/A</v>
      </c>
      <c r="K3659" s="16" t="e">
        <f t="shared" si="7368"/>
        <v>#N/A</v>
      </c>
      <c r="L3659" s="40" t="e">
        <f t="shared" si="7253"/>
        <v>#N/A</v>
      </c>
      <c r="M3659" s="16" t="e">
        <f t="shared" si="7254"/>
        <v>#N/A</v>
      </c>
      <c r="N3659" s="16" t="e">
        <f t="shared" si="7255"/>
        <v>#N/A</v>
      </c>
      <c r="O3659" s="16" t="s">
        <v>76</v>
      </c>
      <c r="P3659" s="16" t="str">
        <f t="shared" si="6"/>
        <v/>
      </c>
      <c r="Q3659" s="41" t="e">
        <f t="shared" si="7256"/>
        <v>#N/A</v>
      </c>
      <c r="R3659" s="44"/>
      <c r="S3659" s="44"/>
      <c r="T3659" s="43"/>
      <c r="U3659" s="43" t="str">
        <f t="shared" si="8"/>
        <v>No</v>
      </c>
      <c r="V3659" s="25"/>
      <c r="W3659" s="25"/>
      <c r="X3659" s="25"/>
      <c r="Y3659" s="25"/>
      <c r="Z3659" s="25"/>
    </row>
    <row r="3660" spans="1:26" ht="15.75" customHeight="1" x14ac:dyDescent="0.25">
      <c r="A3660" s="25">
        <v>3658</v>
      </c>
      <c r="B3660" s="37" t="e">
        <f t="shared" ref="B3660:D3660" si="7369">VLOOKUP($A3660,[12]Salud!$A$1:$O$277,B$1,0)</f>
        <v>#N/A</v>
      </c>
      <c r="C3660" s="38" t="e">
        <f t="shared" si="7369"/>
        <v>#N/A</v>
      </c>
      <c r="D3660" s="39" t="e">
        <f t="shared" si="7369"/>
        <v>#N/A</v>
      </c>
      <c r="E3660" s="16" t="e">
        <f t="shared" si="1"/>
        <v>#N/A</v>
      </c>
      <c r="F3660" s="16" t="e">
        <f t="shared" ref="F3660:K3660" si="7370">VLOOKUP($A3660,[12]Salud!$A$1:$O$277,F$1,0)</f>
        <v>#N/A</v>
      </c>
      <c r="G3660" s="39" t="e">
        <f t="shared" si="7370"/>
        <v>#N/A</v>
      </c>
      <c r="H3660" s="16" t="e">
        <f t="shared" si="7370"/>
        <v>#N/A</v>
      </c>
      <c r="I3660" s="16" t="e">
        <f t="shared" si="7370"/>
        <v>#N/A</v>
      </c>
      <c r="J3660" s="40" t="e">
        <f t="shared" si="7370"/>
        <v>#N/A</v>
      </c>
      <c r="K3660" s="16" t="e">
        <f t="shared" si="7370"/>
        <v>#N/A</v>
      </c>
      <c r="L3660" s="40" t="e">
        <f t="shared" si="7253"/>
        <v>#N/A</v>
      </c>
      <c r="M3660" s="16" t="e">
        <f t="shared" si="7254"/>
        <v>#N/A</v>
      </c>
      <c r="N3660" s="16" t="e">
        <f t="shared" si="7255"/>
        <v>#N/A</v>
      </c>
      <c r="O3660" s="16" t="s">
        <v>76</v>
      </c>
      <c r="P3660" s="16" t="str">
        <f t="shared" si="6"/>
        <v/>
      </c>
      <c r="Q3660" s="41" t="e">
        <f t="shared" si="7256"/>
        <v>#N/A</v>
      </c>
      <c r="R3660" s="44"/>
      <c r="S3660" s="44"/>
      <c r="T3660" s="43"/>
      <c r="U3660" s="43" t="str">
        <f t="shared" si="8"/>
        <v>No</v>
      </c>
      <c r="V3660" s="25"/>
      <c r="W3660" s="25"/>
      <c r="X3660" s="25"/>
      <c r="Y3660" s="25"/>
      <c r="Z3660" s="25"/>
    </row>
    <row r="3661" spans="1:26" ht="15.75" customHeight="1" x14ac:dyDescent="0.25">
      <c r="A3661" s="25">
        <v>3659</v>
      </c>
      <c r="B3661" s="37" t="e">
        <f t="shared" ref="B3661:D3661" si="7371">VLOOKUP($A3661,[12]Salud!$A$1:$O$277,B$1,0)</f>
        <v>#N/A</v>
      </c>
      <c r="C3661" s="38" t="e">
        <f t="shared" si="7371"/>
        <v>#N/A</v>
      </c>
      <c r="D3661" s="39" t="e">
        <f t="shared" si="7371"/>
        <v>#N/A</v>
      </c>
      <c r="E3661" s="16" t="e">
        <f t="shared" si="1"/>
        <v>#N/A</v>
      </c>
      <c r="F3661" s="16" t="e">
        <f t="shared" ref="F3661:K3661" si="7372">VLOOKUP($A3661,[12]Salud!$A$1:$O$277,F$1,0)</f>
        <v>#N/A</v>
      </c>
      <c r="G3661" s="39" t="e">
        <f t="shared" si="7372"/>
        <v>#N/A</v>
      </c>
      <c r="H3661" s="16" t="e">
        <f t="shared" si="7372"/>
        <v>#N/A</v>
      </c>
      <c r="I3661" s="16" t="e">
        <f t="shared" si="7372"/>
        <v>#N/A</v>
      </c>
      <c r="J3661" s="40" t="e">
        <f t="shared" si="7372"/>
        <v>#N/A</v>
      </c>
      <c r="K3661" s="16" t="e">
        <f t="shared" si="7372"/>
        <v>#N/A</v>
      </c>
      <c r="L3661" s="40" t="e">
        <f t="shared" si="7253"/>
        <v>#N/A</v>
      </c>
      <c r="M3661" s="16" t="e">
        <f t="shared" si="7254"/>
        <v>#N/A</v>
      </c>
      <c r="N3661" s="16" t="e">
        <f t="shared" si="7255"/>
        <v>#N/A</v>
      </c>
      <c r="O3661" s="16" t="s">
        <v>76</v>
      </c>
      <c r="P3661" s="16" t="str">
        <f t="shared" si="6"/>
        <v/>
      </c>
      <c r="Q3661" s="41" t="e">
        <f t="shared" si="7256"/>
        <v>#N/A</v>
      </c>
      <c r="R3661" s="44"/>
      <c r="S3661" s="44"/>
      <c r="T3661" s="43"/>
      <c r="U3661" s="43" t="str">
        <f t="shared" si="8"/>
        <v>No</v>
      </c>
      <c r="V3661" s="25"/>
      <c r="W3661" s="25"/>
      <c r="X3661" s="25"/>
      <c r="Y3661" s="25"/>
      <c r="Z3661" s="25"/>
    </row>
    <row r="3662" spans="1:26" ht="15.75" customHeight="1" x14ac:dyDescent="0.25">
      <c r="A3662" s="25">
        <v>3660</v>
      </c>
      <c r="B3662" s="37" t="e">
        <f t="shared" ref="B3662:D3662" si="7373">VLOOKUP($A3662,[12]Salud!$A$1:$O$277,B$1,0)</f>
        <v>#N/A</v>
      </c>
      <c r="C3662" s="38" t="e">
        <f t="shared" si="7373"/>
        <v>#N/A</v>
      </c>
      <c r="D3662" s="39" t="e">
        <f t="shared" si="7373"/>
        <v>#N/A</v>
      </c>
      <c r="E3662" s="16" t="e">
        <f t="shared" si="1"/>
        <v>#N/A</v>
      </c>
      <c r="F3662" s="16" t="e">
        <f t="shared" ref="F3662:K3662" si="7374">VLOOKUP($A3662,[12]Salud!$A$1:$O$277,F$1,0)</f>
        <v>#N/A</v>
      </c>
      <c r="G3662" s="39" t="e">
        <f t="shared" si="7374"/>
        <v>#N/A</v>
      </c>
      <c r="H3662" s="16" t="e">
        <f t="shared" si="7374"/>
        <v>#N/A</v>
      </c>
      <c r="I3662" s="16" t="e">
        <f t="shared" si="7374"/>
        <v>#N/A</v>
      </c>
      <c r="J3662" s="40" t="e">
        <f t="shared" si="7374"/>
        <v>#N/A</v>
      </c>
      <c r="K3662" s="16" t="e">
        <f t="shared" si="7374"/>
        <v>#N/A</v>
      </c>
      <c r="L3662" s="40" t="e">
        <f t="shared" si="7253"/>
        <v>#N/A</v>
      </c>
      <c r="M3662" s="16" t="e">
        <f t="shared" si="7254"/>
        <v>#N/A</v>
      </c>
      <c r="N3662" s="16" t="e">
        <f t="shared" si="7255"/>
        <v>#N/A</v>
      </c>
      <c r="O3662" s="16" t="s">
        <v>76</v>
      </c>
      <c r="P3662" s="16" t="str">
        <f t="shared" si="6"/>
        <v/>
      </c>
      <c r="Q3662" s="41" t="e">
        <f t="shared" si="7256"/>
        <v>#N/A</v>
      </c>
      <c r="R3662" s="44"/>
      <c r="S3662" s="44"/>
      <c r="T3662" s="43"/>
      <c r="U3662" s="43" t="str">
        <f t="shared" si="8"/>
        <v>No</v>
      </c>
      <c r="V3662" s="25"/>
      <c r="W3662" s="25"/>
      <c r="X3662" s="25"/>
      <c r="Y3662" s="25"/>
      <c r="Z3662" s="25"/>
    </row>
    <row r="3663" spans="1:26" ht="15.75" customHeight="1" x14ac:dyDescent="0.25">
      <c r="A3663" s="25">
        <v>3661</v>
      </c>
      <c r="B3663" s="37" t="e">
        <f t="shared" ref="B3663:D3663" si="7375">VLOOKUP($A3663,[12]Salud!$A$1:$O$277,B$1,0)</f>
        <v>#N/A</v>
      </c>
      <c r="C3663" s="38" t="e">
        <f t="shared" si="7375"/>
        <v>#N/A</v>
      </c>
      <c r="D3663" s="39" t="e">
        <f t="shared" si="7375"/>
        <v>#N/A</v>
      </c>
      <c r="E3663" s="16" t="e">
        <f t="shared" si="1"/>
        <v>#N/A</v>
      </c>
      <c r="F3663" s="16" t="e">
        <f t="shared" ref="F3663:K3663" si="7376">VLOOKUP($A3663,[12]Salud!$A$1:$O$277,F$1,0)</f>
        <v>#N/A</v>
      </c>
      <c r="G3663" s="39" t="e">
        <f t="shared" si="7376"/>
        <v>#N/A</v>
      </c>
      <c r="H3663" s="16" t="e">
        <f t="shared" si="7376"/>
        <v>#N/A</v>
      </c>
      <c r="I3663" s="16" t="e">
        <f t="shared" si="7376"/>
        <v>#N/A</v>
      </c>
      <c r="J3663" s="40" t="e">
        <f t="shared" si="7376"/>
        <v>#N/A</v>
      </c>
      <c r="K3663" s="16" t="e">
        <f t="shared" si="7376"/>
        <v>#N/A</v>
      </c>
      <c r="L3663" s="40" t="e">
        <f t="shared" si="7253"/>
        <v>#N/A</v>
      </c>
      <c r="M3663" s="16" t="e">
        <f t="shared" si="7254"/>
        <v>#N/A</v>
      </c>
      <c r="N3663" s="16" t="e">
        <f t="shared" si="7255"/>
        <v>#N/A</v>
      </c>
      <c r="O3663" s="16" t="s">
        <v>76</v>
      </c>
      <c r="P3663" s="16" t="str">
        <f t="shared" si="6"/>
        <v/>
      </c>
      <c r="Q3663" s="41" t="e">
        <f t="shared" si="7256"/>
        <v>#N/A</v>
      </c>
      <c r="R3663" s="44"/>
      <c r="S3663" s="44"/>
      <c r="T3663" s="43"/>
      <c r="U3663" s="43" t="str">
        <f t="shared" si="8"/>
        <v>No</v>
      </c>
      <c r="V3663" s="25"/>
      <c r="W3663" s="25"/>
      <c r="X3663" s="25"/>
      <c r="Y3663" s="25"/>
      <c r="Z3663" s="25"/>
    </row>
    <row r="3664" spans="1:26" ht="15.75" customHeight="1" x14ac:dyDescent="0.25">
      <c r="A3664" s="25">
        <v>3662</v>
      </c>
      <c r="B3664" s="37" t="e">
        <f t="shared" ref="B3664:D3664" si="7377">VLOOKUP($A3664,[12]Salud!$A$1:$O$277,B$1,0)</f>
        <v>#N/A</v>
      </c>
      <c r="C3664" s="38" t="e">
        <f t="shared" si="7377"/>
        <v>#N/A</v>
      </c>
      <c r="D3664" s="39" t="e">
        <f t="shared" si="7377"/>
        <v>#N/A</v>
      </c>
      <c r="E3664" s="16" t="e">
        <f t="shared" si="1"/>
        <v>#N/A</v>
      </c>
      <c r="F3664" s="16" t="e">
        <f t="shared" ref="F3664:K3664" si="7378">VLOOKUP($A3664,[12]Salud!$A$1:$O$277,F$1,0)</f>
        <v>#N/A</v>
      </c>
      <c r="G3664" s="39" t="e">
        <f t="shared" si="7378"/>
        <v>#N/A</v>
      </c>
      <c r="H3664" s="16" t="e">
        <f t="shared" si="7378"/>
        <v>#N/A</v>
      </c>
      <c r="I3664" s="16" t="e">
        <f t="shared" si="7378"/>
        <v>#N/A</v>
      </c>
      <c r="J3664" s="40" t="e">
        <f t="shared" si="7378"/>
        <v>#N/A</v>
      </c>
      <c r="K3664" s="16" t="e">
        <f t="shared" si="7378"/>
        <v>#N/A</v>
      </c>
      <c r="L3664" s="40" t="e">
        <f t="shared" si="7253"/>
        <v>#N/A</v>
      </c>
      <c r="M3664" s="16" t="e">
        <f t="shared" si="7254"/>
        <v>#N/A</v>
      </c>
      <c r="N3664" s="16" t="e">
        <f t="shared" si="7255"/>
        <v>#N/A</v>
      </c>
      <c r="O3664" s="16" t="s">
        <v>76</v>
      </c>
      <c r="P3664" s="16" t="str">
        <f t="shared" si="6"/>
        <v/>
      </c>
      <c r="Q3664" s="41" t="e">
        <f t="shared" si="7256"/>
        <v>#N/A</v>
      </c>
      <c r="R3664" s="44"/>
      <c r="S3664" s="44"/>
      <c r="T3664" s="43"/>
      <c r="U3664" s="43" t="str">
        <f t="shared" si="8"/>
        <v>No</v>
      </c>
      <c r="V3664" s="25"/>
      <c r="W3664" s="25"/>
      <c r="X3664" s="25"/>
      <c r="Y3664" s="25"/>
      <c r="Z3664" s="25"/>
    </row>
    <row r="3665" spans="1:26" ht="15.75" customHeight="1" x14ac:dyDescent="0.25">
      <c r="A3665" s="25">
        <v>3663</v>
      </c>
      <c r="B3665" s="37" t="e">
        <f t="shared" ref="B3665:D3665" si="7379">VLOOKUP($A3665,[12]Salud!$A$1:$O$277,B$1,0)</f>
        <v>#N/A</v>
      </c>
      <c r="C3665" s="38" t="e">
        <f t="shared" si="7379"/>
        <v>#N/A</v>
      </c>
      <c r="D3665" s="39" t="e">
        <f t="shared" si="7379"/>
        <v>#N/A</v>
      </c>
      <c r="E3665" s="16" t="e">
        <f t="shared" si="1"/>
        <v>#N/A</v>
      </c>
      <c r="F3665" s="16" t="e">
        <f t="shared" ref="F3665:K3665" si="7380">VLOOKUP($A3665,[12]Salud!$A$1:$O$277,F$1,0)</f>
        <v>#N/A</v>
      </c>
      <c r="G3665" s="39" t="e">
        <f t="shared" si="7380"/>
        <v>#N/A</v>
      </c>
      <c r="H3665" s="16" t="e">
        <f t="shared" si="7380"/>
        <v>#N/A</v>
      </c>
      <c r="I3665" s="16" t="e">
        <f t="shared" si="7380"/>
        <v>#N/A</v>
      </c>
      <c r="J3665" s="40" t="e">
        <f t="shared" si="7380"/>
        <v>#N/A</v>
      </c>
      <c r="K3665" s="16" t="e">
        <f t="shared" si="7380"/>
        <v>#N/A</v>
      </c>
      <c r="L3665" s="40" t="e">
        <f t="shared" si="7253"/>
        <v>#N/A</v>
      </c>
      <c r="M3665" s="16" t="e">
        <f t="shared" si="7254"/>
        <v>#N/A</v>
      </c>
      <c r="N3665" s="16" t="e">
        <f t="shared" si="7255"/>
        <v>#N/A</v>
      </c>
      <c r="O3665" s="16" t="s">
        <v>76</v>
      </c>
      <c r="P3665" s="16" t="str">
        <f t="shared" si="6"/>
        <v/>
      </c>
      <c r="Q3665" s="41" t="e">
        <f t="shared" si="7256"/>
        <v>#N/A</v>
      </c>
      <c r="R3665" s="44"/>
      <c r="S3665" s="44"/>
      <c r="T3665" s="43"/>
      <c r="U3665" s="43" t="str">
        <f t="shared" si="8"/>
        <v>No</v>
      </c>
      <c r="V3665" s="25"/>
      <c r="W3665" s="25"/>
      <c r="X3665" s="25"/>
      <c r="Y3665" s="25"/>
      <c r="Z3665" s="25"/>
    </row>
    <row r="3666" spans="1:26" ht="15.75" customHeight="1" x14ac:dyDescent="0.25">
      <c r="A3666" s="25">
        <v>3664</v>
      </c>
      <c r="B3666" s="37" t="e">
        <f t="shared" ref="B3666:D3666" si="7381">VLOOKUP($A3666,[12]Salud!$A$1:$O$277,B$1,0)</f>
        <v>#N/A</v>
      </c>
      <c r="C3666" s="38" t="e">
        <f t="shared" si="7381"/>
        <v>#N/A</v>
      </c>
      <c r="D3666" s="39" t="e">
        <f t="shared" si="7381"/>
        <v>#N/A</v>
      </c>
      <c r="E3666" s="16" t="e">
        <f t="shared" si="1"/>
        <v>#N/A</v>
      </c>
      <c r="F3666" s="16" t="e">
        <f t="shared" ref="F3666:K3666" si="7382">VLOOKUP($A3666,[12]Salud!$A$1:$O$277,F$1,0)</f>
        <v>#N/A</v>
      </c>
      <c r="G3666" s="39" t="e">
        <f t="shared" si="7382"/>
        <v>#N/A</v>
      </c>
      <c r="H3666" s="16" t="e">
        <f t="shared" si="7382"/>
        <v>#N/A</v>
      </c>
      <c r="I3666" s="16" t="e">
        <f t="shared" si="7382"/>
        <v>#N/A</v>
      </c>
      <c r="J3666" s="40" t="e">
        <f t="shared" si="7382"/>
        <v>#N/A</v>
      </c>
      <c r="K3666" s="16" t="e">
        <f t="shared" si="7382"/>
        <v>#N/A</v>
      </c>
      <c r="L3666" s="40" t="e">
        <f t="shared" si="7253"/>
        <v>#N/A</v>
      </c>
      <c r="M3666" s="16" t="e">
        <f t="shared" si="7254"/>
        <v>#N/A</v>
      </c>
      <c r="N3666" s="16" t="e">
        <f t="shared" si="7255"/>
        <v>#N/A</v>
      </c>
      <c r="O3666" s="16" t="s">
        <v>76</v>
      </c>
      <c r="P3666" s="16" t="str">
        <f t="shared" si="6"/>
        <v/>
      </c>
      <c r="Q3666" s="41" t="e">
        <f t="shared" si="7256"/>
        <v>#N/A</v>
      </c>
      <c r="R3666" s="44"/>
      <c r="S3666" s="44"/>
      <c r="T3666" s="43"/>
      <c r="U3666" s="43" t="str">
        <f t="shared" si="8"/>
        <v>No</v>
      </c>
      <c r="V3666" s="25"/>
      <c r="W3666" s="25"/>
      <c r="X3666" s="25"/>
      <c r="Y3666" s="25"/>
      <c r="Z3666" s="25"/>
    </row>
    <row r="3667" spans="1:26" ht="15.75" customHeight="1" x14ac:dyDescent="0.25">
      <c r="A3667" s="25">
        <v>3665</v>
      </c>
      <c r="B3667" s="37" t="e">
        <f t="shared" ref="B3667:D3667" si="7383">VLOOKUP($A3667,[12]Salud!$A$1:$O$277,B$1,0)</f>
        <v>#N/A</v>
      </c>
      <c r="C3667" s="38" t="e">
        <f t="shared" si="7383"/>
        <v>#N/A</v>
      </c>
      <c r="D3667" s="39" t="e">
        <f t="shared" si="7383"/>
        <v>#N/A</v>
      </c>
      <c r="E3667" s="16" t="e">
        <f t="shared" si="1"/>
        <v>#N/A</v>
      </c>
      <c r="F3667" s="16" t="e">
        <f t="shared" ref="F3667:K3667" si="7384">VLOOKUP($A3667,[12]Salud!$A$1:$O$277,F$1,0)</f>
        <v>#N/A</v>
      </c>
      <c r="G3667" s="39" t="e">
        <f t="shared" si="7384"/>
        <v>#N/A</v>
      </c>
      <c r="H3667" s="16" t="e">
        <f t="shared" si="7384"/>
        <v>#N/A</v>
      </c>
      <c r="I3667" s="16" t="e">
        <f t="shared" si="7384"/>
        <v>#N/A</v>
      </c>
      <c r="J3667" s="40" t="e">
        <f t="shared" si="7384"/>
        <v>#N/A</v>
      </c>
      <c r="K3667" s="16" t="e">
        <f t="shared" si="7384"/>
        <v>#N/A</v>
      </c>
      <c r="L3667" s="40" t="e">
        <f t="shared" si="7253"/>
        <v>#N/A</v>
      </c>
      <c r="M3667" s="16" t="e">
        <f t="shared" si="7254"/>
        <v>#N/A</v>
      </c>
      <c r="N3667" s="16" t="e">
        <f t="shared" si="7255"/>
        <v>#N/A</v>
      </c>
      <c r="O3667" s="16" t="s">
        <v>76</v>
      </c>
      <c r="P3667" s="16" t="str">
        <f t="shared" si="6"/>
        <v/>
      </c>
      <c r="Q3667" s="41" t="e">
        <f t="shared" si="7256"/>
        <v>#N/A</v>
      </c>
      <c r="R3667" s="44"/>
      <c r="S3667" s="44"/>
      <c r="T3667" s="43"/>
      <c r="U3667" s="43" t="str">
        <f t="shared" si="8"/>
        <v>No</v>
      </c>
      <c r="V3667" s="25"/>
      <c r="W3667" s="25"/>
      <c r="X3667" s="25"/>
      <c r="Y3667" s="25"/>
      <c r="Z3667" s="25"/>
    </row>
    <row r="3668" spans="1:26" ht="15.75" customHeight="1" x14ac:dyDescent="0.25">
      <c r="A3668" s="25">
        <v>3666</v>
      </c>
      <c r="B3668" s="37" t="e">
        <f t="shared" ref="B3668:D3668" si="7385">VLOOKUP($A3668,[12]Salud!$A$1:$O$277,B$1,0)</f>
        <v>#N/A</v>
      </c>
      <c r="C3668" s="38" t="e">
        <f t="shared" si="7385"/>
        <v>#N/A</v>
      </c>
      <c r="D3668" s="39" t="e">
        <f t="shared" si="7385"/>
        <v>#N/A</v>
      </c>
      <c r="E3668" s="16" t="e">
        <f t="shared" si="1"/>
        <v>#N/A</v>
      </c>
      <c r="F3668" s="16" t="e">
        <f t="shared" ref="F3668:K3668" si="7386">VLOOKUP($A3668,[12]Salud!$A$1:$O$277,F$1,0)</f>
        <v>#N/A</v>
      </c>
      <c r="G3668" s="39" t="e">
        <f t="shared" si="7386"/>
        <v>#N/A</v>
      </c>
      <c r="H3668" s="16" t="e">
        <f t="shared" si="7386"/>
        <v>#N/A</v>
      </c>
      <c r="I3668" s="16" t="e">
        <f t="shared" si="7386"/>
        <v>#N/A</v>
      </c>
      <c r="J3668" s="40" t="e">
        <f t="shared" si="7386"/>
        <v>#N/A</v>
      </c>
      <c r="K3668" s="16" t="e">
        <f t="shared" si="7386"/>
        <v>#N/A</v>
      </c>
      <c r="L3668" s="40" t="e">
        <f t="shared" si="7253"/>
        <v>#N/A</v>
      </c>
      <c r="M3668" s="16" t="e">
        <f t="shared" si="7254"/>
        <v>#N/A</v>
      </c>
      <c r="N3668" s="16" t="e">
        <f t="shared" si="7255"/>
        <v>#N/A</v>
      </c>
      <c r="O3668" s="16" t="s">
        <v>76</v>
      </c>
      <c r="P3668" s="16" t="str">
        <f t="shared" si="6"/>
        <v/>
      </c>
      <c r="Q3668" s="41" t="e">
        <f t="shared" si="7256"/>
        <v>#N/A</v>
      </c>
      <c r="R3668" s="44"/>
      <c r="S3668" s="44"/>
      <c r="T3668" s="43"/>
      <c r="U3668" s="43" t="str">
        <f t="shared" si="8"/>
        <v>No</v>
      </c>
      <c r="V3668" s="25"/>
      <c r="W3668" s="25"/>
      <c r="X3668" s="25"/>
      <c r="Y3668" s="25"/>
      <c r="Z3668" s="25"/>
    </row>
    <row r="3669" spans="1:26" ht="15.75" customHeight="1" x14ac:dyDescent="0.25">
      <c r="A3669" s="25">
        <v>3667</v>
      </c>
      <c r="B3669" s="37" t="e">
        <f t="shared" ref="B3669:D3669" si="7387">VLOOKUP($A3669,[12]Salud!$A$1:$O$277,B$1,0)</f>
        <v>#N/A</v>
      </c>
      <c r="C3669" s="38" t="e">
        <f t="shared" si="7387"/>
        <v>#N/A</v>
      </c>
      <c r="D3669" s="39" t="e">
        <f t="shared" si="7387"/>
        <v>#N/A</v>
      </c>
      <c r="E3669" s="16" t="e">
        <f t="shared" si="1"/>
        <v>#N/A</v>
      </c>
      <c r="F3669" s="16" t="e">
        <f t="shared" ref="F3669:K3669" si="7388">VLOOKUP($A3669,[12]Salud!$A$1:$O$277,F$1,0)</f>
        <v>#N/A</v>
      </c>
      <c r="G3669" s="39" t="e">
        <f t="shared" si="7388"/>
        <v>#N/A</v>
      </c>
      <c r="H3669" s="16" t="e">
        <f t="shared" si="7388"/>
        <v>#N/A</v>
      </c>
      <c r="I3669" s="16" t="e">
        <f t="shared" si="7388"/>
        <v>#N/A</v>
      </c>
      <c r="J3669" s="40" t="e">
        <f t="shared" si="7388"/>
        <v>#N/A</v>
      </c>
      <c r="K3669" s="16" t="e">
        <f t="shared" si="7388"/>
        <v>#N/A</v>
      </c>
      <c r="L3669" s="40" t="e">
        <f t="shared" si="7253"/>
        <v>#N/A</v>
      </c>
      <c r="M3669" s="16" t="e">
        <f t="shared" si="7254"/>
        <v>#N/A</v>
      </c>
      <c r="N3669" s="16" t="e">
        <f t="shared" si="7255"/>
        <v>#N/A</v>
      </c>
      <c r="O3669" s="16" t="s">
        <v>76</v>
      </c>
      <c r="P3669" s="16" t="str">
        <f t="shared" si="6"/>
        <v/>
      </c>
      <c r="Q3669" s="41" t="e">
        <f t="shared" si="7256"/>
        <v>#N/A</v>
      </c>
      <c r="R3669" s="44"/>
      <c r="S3669" s="44"/>
      <c r="T3669" s="43"/>
      <c r="U3669" s="43" t="str">
        <f t="shared" si="8"/>
        <v>No</v>
      </c>
      <c r="V3669" s="25"/>
      <c r="W3669" s="25"/>
      <c r="X3669" s="25"/>
      <c r="Y3669" s="25"/>
      <c r="Z3669" s="25"/>
    </row>
    <row r="3670" spans="1:26" ht="15.75" customHeight="1" x14ac:dyDescent="0.25">
      <c r="A3670" s="25">
        <v>3668</v>
      </c>
      <c r="B3670" s="37" t="e">
        <f t="shared" ref="B3670:D3670" si="7389">VLOOKUP($A3670,[12]Salud!$A$1:$O$277,B$1,0)</f>
        <v>#N/A</v>
      </c>
      <c r="C3670" s="38" t="e">
        <f t="shared" si="7389"/>
        <v>#N/A</v>
      </c>
      <c r="D3670" s="39" t="e">
        <f t="shared" si="7389"/>
        <v>#N/A</v>
      </c>
      <c r="E3670" s="16" t="e">
        <f t="shared" si="1"/>
        <v>#N/A</v>
      </c>
      <c r="F3670" s="16" t="e">
        <f t="shared" ref="F3670:K3670" si="7390">VLOOKUP($A3670,[12]Salud!$A$1:$O$277,F$1,0)</f>
        <v>#N/A</v>
      </c>
      <c r="G3670" s="39" t="e">
        <f t="shared" si="7390"/>
        <v>#N/A</v>
      </c>
      <c r="H3670" s="16" t="e">
        <f t="shared" si="7390"/>
        <v>#N/A</v>
      </c>
      <c r="I3670" s="16" t="e">
        <f t="shared" si="7390"/>
        <v>#N/A</v>
      </c>
      <c r="J3670" s="40" t="e">
        <f t="shared" si="7390"/>
        <v>#N/A</v>
      </c>
      <c r="K3670" s="16" t="e">
        <f t="shared" si="7390"/>
        <v>#N/A</v>
      </c>
      <c r="L3670" s="40" t="e">
        <f t="shared" si="7253"/>
        <v>#N/A</v>
      </c>
      <c r="M3670" s="16" t="e">
        <f t="shared" si="7254"/>
        <v>#N/A</v>
      </c>
      <c r="N3670" s="16" t="e">
        <f t="shared" si="7255"/>
        <v>#N/A</v>
      </c>
      <c r="O3670" s="16" t="s">
        <v>76</v>
      </c>
      <c r="P3670" s="16" t="str">
        <f t="shared" si="6"/>
        <v/>
      </c>
      <c r="Q3670" s="41" t="e">
        <f t="shared" si="7256"/>
        <v>#N/A</v>
      </c>
      <c r="R3670" s="44"/>
      <c r="S3670" s="44"/>
      <c r="T3670" s="43"/>
      <c r="U3670" s="43" t="str">
        <f t="shared" si="8"/>
        <v>No</v>
      </c>
      <c r="V3670" s="25"/>
      <c r="W3670" s="25"/>
      <c r="X3670" s="25"/>
      <c r="Y3670" s="25"/>
      <c r="Z3670" s="25"/>
    </row>
    <row r="3671" spans="1:26" ht="15.75" customHeight="1" x14ac:dyDescent="0.25">
      <c r="A3671" s="25">
        <v>3669</v>
      </c>
      <c r="B3671" s="37" t="e">
        <f t="shared" ref="B3671:D3671" si="7391">VLOOKUP($A3671,[12]Salud!$A$1:$O$277,B$1,0)</f>
        <v>#N/A</v>
      </c>
      <c r="C3671" s="38" t="e">
        <f t="shared" si="7391"/>
        <v>#N/A</v>
      </c>
      <c r="D3671" s="39" t="e">
        <f t="shared" si="7391"/>
        <v>#N/A</v>
      </c>
      <c r="E3671" s="16" t="e">
        <f t="shared" si="1"/>
        <v>#N/A</v>
      </c>
      <c r="F3671" s="16" t="e">
        <f t="shared" ref="F3671:K3671" si="7392">VLOOKUP($A3671,[12]Salud!$A$1:$O$277,F$1,0)</f>
        <v>#N/A</v>
      </c>
      <c r="G3671" s="39" t="e">
        <f t="shared" si="7392"/>
        <v>#N/A</v>
      </c>
      <c r="H3671" s="16" t="e">
        <f t="shared" si="7392"/>
        <v>#N/A</v>
      </c>
      <c r="I3671" s="16" t="e">
        <f t="shared" si="7392"/>
        <v>#N/A</v>
      </c>
      <c r="J3671" s="40" t="e">
        <f t="shared" si="7392"/>
        <v>#N/A</v>
      </c>
      <c r="K3671" s="16" t="e">
        <f t="shared" si="7392"/>
        <v>#N/A</v>
      </c>
      <c r="L3671" s="40" t="e">
        <f t="shared" si="7253"/>
        <v>#N/A</v>
      </c>
      <c r="M3671" s="16" t="e">
        <f t="shared" si="7254"/>
        <v>#N/A</v>
      </c>
      <c r="N3671" s="16" t="e">
        <f t="shared" si="7255"/>
        <v>#N/A</v>
      </c>
      <c r="O3671" s="16" t="s">
        <v>76</v>
      </c>
      <c r="P3671" s="16" t="str">
        <f t="shared" si="6"/>
        <v/>
      </c>
      <c r="Q3671" s="41" t="e">
        <f t="shared" si="7256"/>
        <v>#N/A</v>
      </c>
      <c r="R3671" s="44"/>
      <c r="S3671" s="44"/>
      <c r="T3671" s="43"/>
      <c r="U3671" s="43" t="str">
        <f t="shared" si="8"/>
        <v>No</v>
      </c>
      <c r="V3671" s="25"/>
      <c r="W3671" s="25"/>
      <c r="X3671" s="25"/>
      <c r="Y3671" s="25"/>
      <c r="Z3671" s="25"/>
    </row>
    <row r="3672" spans="1:26" ht="15.75" customHeight="1" x14ac:dyDescent="0.25">
      <c r="A3672" s="25">
        <v>3670</v>
      </c>
      <c r="B3672" s="37" t="e">
        <f t="shared" ref="B3672:D3672" si="7393">VLOOKUP($A3672,[12]Salud!$A$1:$O$277,B$1,0)</f>
        <v>#N/A</v>
      </c>
      <c r="C3672" s="38" t="e">
        <f t="shared" si="7393"/>
        <v>#N/A</v>
      </c>
      <c r="D3672" s="39" t="e">
        <f t="shared" si="7393"/>
        <v>#N/A</v>
      </c>
      <c r="E3672" s="16" t="e">
        <f t="shared" si="1"/>
        <v>#N/A</v>
      </c>
      <c r="F3672" s="16" t="e">
        <f t="shared" ref="F3672:K3672" si="7394">VLOOKUP($A3672,[12]Salud!$A$1:$O$277,F$1,0)</f>
        <v>#N/A</v>
      </c>
      <c r="G3672" s="39" t="e">
        <f t="shared" si="7394"/>
        <v>#N/A</v>
      </c>
      <c r="H3672" s="16" t="e">
        <f t="shared" si="7394"/>
        <v>#N/A</v>
      </c>
      <c r="I3672" s="16" t="e">
        <f t="shared" si="7394"/>
        <v>#N/A</v>
      </c>
      <c r="J3672" s="40" t="e">
        <f t="shared" si="7394"/>
        <v>#N/A</v>
      </c>
      <c r="K3672" s="16" t="e">
        <f t="shared" si="7394"/>
        <v>#N/A</v>
      </c>
      <c r="L3672" s="40" t="e">
        <f t="shared" si="7253"/>
        <v>#N/A</v>
      </c>
      <c r="M3672" s="16" t="e">
        <f t="shared" si="7254"/>
        <v>#N/A</v>
      </c>
      <c r="N3672" s="16" t="e">
        <f t="shared" si="7255"/>
        <v>#N/A</v>
      </c>
      <c r="O3672" s="16" t="s">
        <v>76</v>
      </c>
      <c r="P3672" s="16" t="str">
        <f t="shared" si="6"/>
        <v/>
      </c>
      <c r="Q3672" s="41" t="e">
        <f t="shared" si="7256"/>
        <v>#N/A</v>
      </c>
      <c r="R3672" s="44"/>
      <c r="S3672" s="44"/>
      <c r="T3672" s="43"/>
      <c r="U3672" s="43" t="str">
        <f t="shared" si="8"/>
        <v>No</v>
      </c>
      <c r="V3672" s="25"/>
      <c r="W3672" s="25"/>
      <c r="X3672" s="25"/>
      <c r="Y3672" s="25"/>
      <c r="Z3672" s="25"/>
    </row>
    <row r="3673" spans="1:26" ht="15.75" customHeight="1" x14ac:dyDescent="0.25">
      <c r="A3673" s="25">
        <v>3671</v>
      </c>
      <c r="B3673" s="37" t="e">
        <f t="shared" ref="B3673:D3673" si="7395">VLOOKUP($A3673,[12]Salud!$A$1:$O$277,B$1,0)</f>
        <v>#N/A</v>
      </c>
      <c r="C3673" s="38" t="e">
        <f t="shared" si="7395"/>
        <v>#N/A</v>
      </c>
      <c r="D3673" s="39" t="e">
        <f t="shared" si="7395"/>
        <v>#N/A</v>
      </c>
      <c r="E3673" s="16" t="e">
        <f t="shared" si="1"/>
        <v>#N/A</v>
      </c>
      <c r="F3673" s="16" t="e">
        <f t="shared" ref="F3673:K3673" si="7396">VLOOKUP($A3673,[12]Salud!$A$1:$O$277,F$1,0)</f>
        <v>#N/A</v>
      </c>
      <c r="G3673" s="39" t="e">
        <f t="shared" si="7396"/>
        <v>#N/A</v>
      </c>
      <c r="H3673" s="16" t="e">
        <f t="shared" si="7396"/>
        <v>#N/A</v>
      </c>
      <c r="I3673" s="16" t="e">
        <f t="shared" si="7396"/>
        <v>#N/A</v>
      </c>
      <c r="J3673" s="40" t="e">
        <f t="shared" si="7396"/>
        <v>#N/A</v>
      </c>
      <c r="K3673" s="16" t="e">
        <f t="shared" si="7396"/>
        <v>#N/A</v>
      </c>
      <c r="L3673" s="40" t="e">
        <f t="shared" si="7253"/>
        <v>#N/A</v>
      </c>
      <c r="M3673" s="16" t="e">
        <f t="shared" si="7254"/>
        <v>#N/A</v>
      </c>
      <c r="N3673" s="16" t="e">
        <f t="shared" si="7255"/>
        <v>#N/A</v>
      </c>
      <c r="O3673" s="16" t="s">
        <v>76</v>
      </c>
      <c r="P3673" s="16" t="str">
        <f t="shared" si="6"/>
        <v/>
      </c>
      <c r="Q3673" s="41" t="e">
        <f t="shared" si="7256"/>
        <v>#N/A</v>
      </c>
      <c r="R3673" s="44"/>
      <c r="S3673" s="44"/>
      <c r="T3673" s="43"/>
      <c r="U3673" s="43" t="str">
        <f t="shared" si="8"/>
        <v>No</v>
      </c>
      <c r="V3673" s="25"/>
      <c r="W3673" s="25"/>
      <c r="X3673" s="25"/>
      <c r="Y3673" s="25"/>
      <c r="Z3673" s="25"/>
    </row>
    <row r="3674" spans="1:26" ht="15.75" customHeight="1" x14ac:dyDescent="0.25">
      <c r="A3674" s="25">
        <v>3672</v>
      </c>
      <c r="B3674" s="37" t="e">
        <f t="shared" ref="B3674:D3674" si="7397">VLOOKUP($A3674,[12]Salud!$A$1:$O$277,B$1,0)</f>
        <v>#N/A</v>
      </c>
      <c r="C3674" s="38" t="e">
        <f t="shared" si="7397"/>
        <v>#N/A</v>
      </c>
      <c r="D3674" s="39" t="e">
        <f t="shared" si="7397"/>
        <v>#N/A</v>
      </c>
      <c r="E3674" s="16" t="e">
        <f t="shared" si="1"/>
        <v>#N/A</v>
      </c>
      <c r="F3674" s="16" t="e">
        <f t="shared" ref="F3674:K3674" si="7398">VLOOKUP($A3674,[12]Salud!$A$1:$O$277,F$1,0)</f>
        <v>#N/A</v>
      </c>
      <c r="G3674" s="39" t="e">
        <f t="shared" si="7398"/>
        <v>#N/A</v>
      </c>
      <c r="H3674" s="16" t="e">
        <f t="shared" si="7398"/>
        <v>#N/A</v>
      </c>
      <c r="I3674" s="16" t="e">
        <f t="shared" si="7398"/>
        <v>#N/A</v>
      </c>
      <c r="J3674" s="40" t="e">
        <f t="shared" si="7398"/>
        <v>#N/A</v>
      </c>
      <c r="K3674" s="16" t="e">
        <f t="shared" si="7398"/>
        <v>#N/A</v>
      </c>
      <c r="L3674" s="40" t="e">
        <f t="shared" si="7253"/>
        <v>#N/A</v>
      </c>
      <c r="M3674" s="16" t="e">
        <f t="shared" si="7254"/>
        <v>#N/A</v>
      </c>
      <c r="N3674" s="16" t="e">
        <f t="shared" si="7255"/>
        <v>#N/A</v>
      </c>
      <c r="O3674" s="16" t="s">
        <v>76</v>
      </c>
      <c r="P3674" s="16" t="str">
        <f t="shared" si="6"/>
        <v/>
      </c>
      <c r="Q3674" s="41" t="e">
        <f t="shared" si="7256"/>
        <v>#N/A</v>
      </c>
      <c r="R3674" s="44"/>
      <c r="S3674" s="44"/>
      <c r="T3674" s="43"/>
      <c r="U3674" s="43" t="str">
        <f t="shared" si="8"/>
        <v>No</v>
      </c>
      <c r="V3674" s="25"/>
      <c r="W3674" s="25"/>
      <c r="X3674" s="25"/>
      <c r="Y3674" s="25"/>
      <c r="Z3674" s="25"/>
    </row>
    <row r="3675" spans="1:26" ht="15.75" customHeight="1" x14ac:dyDescent="0.25">
      <c r="A3675" s="25">
        <v>3673</v>
      </c>
      <c r="B3675" s="37" t="e">
        <f t="shared" ref="B3675:D3675" si="7399">VLOOKUP($A3675,[12]Salud!$A$1:$O$277,B$1,0)</f>
        <v>#N/A</v>
      </c>
      <c r="C3675" s="38" t="e">
        <f t="shared" si="7399"/>
        <v>#N/A</v>
      </c>
      <c r="D3675" s="39" t="e">
        <f t="shared" si="7399"/>
        <v>#N/A</v>
      </c>
      <c r="E3675" s="16" t="e">
        <f t="shared" si="1"/>
        <v>#N/A</v>
      </c>
      <c r="F3675" s="16" t="e">
        <f t="shared" ref="F3675:K3675" si="7400">VLOOKUP($A3675,[12]Salud!$A$1:$O$277,F$1,0)</f>
        <v>#N/A</v>
      </c>
      <c r="G3675" s="39" t="e">
        <f t="shared" si="7400"/>
        <v>#N/A</v>
      </c>
      <c r="H3675" s="16" t="e">
        <f t="shared" si="7400"/>
        <v>#N/A</v>
      </c>
      <c r="I3675" s="16" t="e">
        <f t="shared" si="7400"/>
        <v>#N/A</v>
      </c>
      <c r="J3675" s="40" t="e">
        <f t="shared" si="7400"/>
        <v>#N/A</v>
      </c>
      <c r="K3675" s="16" t="e">
        <f t="shared" si="7400"/>
        <v>#N/A</v>
      </c>
      <c r="L3675" s="40" t="e">
        <f t="shared" si="7253"/>
        <v>#N/A</v>
      </c>
      <c r="M3675" s="16" t="e">
        <f t="shared" si="7254"/>
        <v>#N/A</v>
      </c>
      <c r="N3675" s="16" t="e">
        <f t="shared" si="7255"/>
        <v>#N/A</v>
      </c>
      <c r="O3675" s="16" t="s">
        <v>76</v>
      </c>
      <c r="P3675" s="16" t="str">
        <f t="shared" si="6"/>
        <v/>
      </c>
      <c r="Q3675" s="41" t="e">
        <f t="shared" si="7256"/>
        <v>#N/A</v>
      </c>
      <c r="R3675" s="44"/>
      <c r="S3675" s="44"/>
      <c r="T3675" s="43"/>
      <c r="U3675" s="43" t="str">
        <f t="shared" si="8"/>
        <v>No</v>
      </c>
      <c r="V3675" s="25"/>
      <c r="W3675" s="25"/>
      <c r="X3675" s="25"/>
      <c r="Y3675" s="25"/>
      <c r="Z3675" s="25"/>
    </row>
    <row r="3676" spans="1:26" ht="15.75" customHeight="1" x14ac:dyDescent="0.25">
      <c r="A3676" s="25">
        <v>3674</v>
      </c>
      <c r="B3676" s="37" t="e">
        <f t="shared" ref="B3676:D3676" si="7401">VLOOKUP($A3676,[12]Salud!$A$1:$O$277,B$1,0)</f>
        <v>#N/A</v>
      </c>
      <c r="C3676" s="38" t="e">
        <f t="shared" si="7401"/>
        <v>#N/A</v>
      </c>
      <c r="D3676" s="39" t="e">
        <f t="shared" si="7401"/>
        <v>#N/A</v>
      </c>
      <c r="E3676" s="16" t="e">
        <f t="shared" si="1"/>
        <v>#N/A</v>
      </c>
      <c r="F3676" s="16" t="e">
        <f t="shared" ref="F3676:K3676" si="7402">VLOOKUP($A3676,[12]Salud!$A$1:$O$277,F$1,0)</f>
        <v>#N/A</v>
      </c>
      <c r="G3676" s="39" t="e">
        <f t="shared" si="7402"/>
        <v>#N/A</v>
      </c>
      <c r="H3676" s="16" t="e">
        <f t="shared" si="7402"/>
        <v>#N/A</v>
      </c>
      <c r="I3676" s="16" t="e">
        <f t="shared" si="7402"/>
        <v>#N/A</v>
      </c>
      <c r="J3676" s="40" t="e">
        <f t="shared" si="7402"/>
        <v>#N/A</v>
      </c>
      <c r="K3676" s="16" t="e">
        <f t="shared" si="7402"/>
        <v>#N/A</v>
      </c>
      <c r="L3676" s="40" t="e">
        <f t="shared" si="7253"/>
        <v>#N/A</v>
      </c>
      <c r="M3676" s="16" t="e">
        <f t="shared" si="7254"/>
        <v>#N/A</v>
      </c>
      <c r="N3676" s="16" t="e">
        <f t="shared" si="7255"/>
        <v>#N/A</v>
      </c>
      <c r="O3676" s="16" t="s">
        <v>76</v>
      </c>
      <c r="P3676" s="16" t="str">
        <f t="shared" si="6"/>
        <v/>
      </c>
      <c r="Q3676" s="41" t="e">
        <f t="shared" si="7256"/>
        <v>#N/A</v>
      </c>
      <c r="R3676" s="44"/>
      <c r="S3676" s="44"/>
      <c r="T3676" s="43"/>
      <c r="U3676" s="43" t="str">
        <f t="shared" si="8"/>
        <v>No</v>
      </c>
      <c r="V3676" s="25"/>
      <c r="W3676" s="25"/>
      <c r="X3676" s="25"/>
      <c r="Y3676" s="25"/>
      <c r="Z3676" s="25"/>
    </row>
    <row r="3677" spans="1:26" ht="15.75" customHeight="1" x14ac:dyDescent="0.25">
      <c r="A3677" s="25">
        <v>3675</v>
      </c>
      <c r="B3677" s="37" t="e">
        <f t="shared" ref="B3677:D3677" si="7403">VLOOKUP($A3677,[12]Salud!$A$1:$O$277,B$1,0)</f>
        <v>#N/A</v>
      </c>
      <c r="C3677" s="38" t="e">
        <f t="shared" si="7403"/>
        <v>#N/A</v>
      </c>
      <c r="D3677" s="39" t="e">
        <f t="shared" si="7403"/>
        <v>#N/A</v>
      </c>
      <c r="E3677" s="16" t="e">
        <f t="shared" si="1"/>
        <v>#N/A</v>
      </c>
      <c r="F3677" s="16" t="e">
        <f t="shared" ref="F3677:K3677" si="7404">VLOOKUP($A3677,[12]Salud!$A$1:$O$277,F$1,0)</f>
        <v>#N/A</v>
      </c>
      <c r="G3677" s="39" t="e">
        <f t="shared" si="7404"/>
        <v>#N/A</v>
      </c>
      <c r="H3677" s="16" t="e">
        <f t="shared" si="7404"/>
        <v>#N/A</v>
      </c>
      <c r="I3677" s="16" t="e">
        <f t="shared" si="7404"/>
        <v>#N/A</v>
      </c>
      <c r="J3677" s="40" t="e">
        <f t="shared" si="7404"/>
        <v>#N/A</v>
      </c>
      <c r="K3677" s="16" t="e">
        <f t="shared" si="7404"/>
        <v>#N/A</v>
      </c>
      <c r="L3677" s="40" t="e">
        <f t="shared" si="7253"/>
        <v>#N/A</v>
      </c>
      <c r="M3677" s="16" t="e">
        <f t="shared" si="7254"/>
        <v>#N/A</v>
      </c>
      <c r="N3677" s="16" t="e">
        <f t="shared" si="7255"/>
        <v>#N/A</v>
      </c>
      <c r="O3677" s="16" t="s">
        <v>76</v>
      </c>
      <c r="P3677" s="16" t="str">
        <f t="shared" si="6"/>
        <v/>
      </c>
      <c r="Q3677" s="41" t="e">
        <f t="shared" si="7256"/>
        <v>#N/A</v>
      </c>
      <c r="R3677" s="44"/>
      <c r="S3677" s="44"/>
      <c r="T3677" s="43"/>
      <c r="U3677" s="43" t="str">
        <f t="shared" si="8"/>
        <v>No</v>
      </c>
      <c r="V3677" s="25"/>
      <c r="W3677" s="25"/>
      <c r="X3677" s="25"/>
      <c r="Y3677" s="25"/>
      <c r="Z3677" s="25"/>
    </row>
    <row r="3678" spans="1:26" ht="15.75" customHeight="1" x14ac:dyDescent="0.25">
      <c r="A3678" s="25">
        <v>3676</v>
      </c>
      <c r="B3678" s="37" t="e">
        <f t="shared" ref="B3678:D3678" si="7405">VLOOKUP($A3678,[12]Salud!$A$1:$O$277,B$1,0)</f>
        <v>#N/A</v>
      </c>
      <c r="C3678" s="38" t="e">
        <f t="shared" si="7405"/>
        <v>#N/A</v>
      </c>
      <c r="D3678" s="39" t="e">
        <f t="shared" si="7405"/>
        <v>#N/A</v>
      </c>
      <c r="E3678" s="16" t="e">
        <f t="shared" si="1"/>
        <v>#N/A</v>
      </c>
      <c r="F3678" s="16" t="e">
        <f t="shared" ref="F3678:K3678" si="7406">VLOOKUP($A3678,[12]Salud!$A$1:$O$277,F$1,0)</f>
        <v>#N/A</v>
      </c>
      <c r="G3678" s="39" t="e">
        <f t="shared" si="7406"/>
        <v>#N/A</v>
      </c>
      <c r="H3678" s="16" t="e">
        <f t="shared" si="7406"/>
        <v>#N/A</v>
      </c>
      <c r="I3678" s="16" t="e">
        <f t="shared" si="7406"/>
        <v>#N/A</v>
      </c>
      <c r="J3678" s="40" t="e">
        <f t="shared" si="7406"/>
        <v>#N/A</v>
      </c>
      <c r="K3678" s="16" t="e">
        <f t="shared" si="7406"/>
        <v>#N/A</v>
      </c>
      <c r="L3678" s="40" t="e">
        <f t="shared" si="7253"/>
        <v>#N/A</v>
      </c>
      <c r="M3678" s="16" t="e">
        <f t="shared" si="7254"/>
        <v>#N/A</v>
      </c>
      <c r="N3678" s="16" t="e">
        <f t="shared" si="7255"/>
        <v>#N/A</v>
      </c>
      <c r="O3678" s="16" t="s">
        <v>76</v>
      </c>
      <c r="P3678" s="16" t="str">
        <f t="shared" si="6"/>
        <v/>
      </c>
      <c r="Q3678" s="41" t="e">
        <f t="shared" si="7256"/>
        <v>#N/A</v>
      </c>
      <c r="R3678" s="44"/>
      <c r="S3678" s="44"/>
      <c r="T3678" s="43"/>
      <c r="U3678" s="43" t="str">
        <f t="shared" si="8"/>
        <v>No</v>
      </c>
      <c r="V3678" s="25"/>
      <c r="W3678" s="25"/>
      <c r="X3678" s="25"/>
      <c r="Y3678" s="25"/>
      <c r="Z3678" s="25"/>
    </row>
    <row r="3679" spans="1:26" ht="15.75" customHeight="1" x14ac:dyDescent="0.25">
      <c r="A3679" s="25">
        <v>3677</v>
      </c>
      <c r="B3679" s="37" t="e">
        <f t="shared" ref="B3679:D3679" si="7407">VLOOKUP($A3679,[12]Salud!$A$1:$O$277,B$1,0)</f>
        <v>#N/A</v>
      </c>
      <c r="C3679" s="38" t="e">
        <f t="shared" si="7407"/>
        <v>#N/A</v>
      </c>
      <c r="D3679" s="39" t="e">
        <f t="shared" si="7407"/>
        <v>#N/A</v>
      </c>
      <c r="E3679" s="16" t="e">
        <f t="shared" si="1"/>
        <v>#N/A</v>
      </c>
      <c r="F3679" s="16" t="e">
        <f t="shared" ref="F3679:K3679" si="7408">VLOOKUP($A3679,[12]Salud!$A$1:$O$277,F$1,0)</f>
        <v>#N/A</v>
      </c>
      <c r="G3679" s="39" t="e">
        <f t="shared" si="7408"/>
        <v>#N/A</v>
      </c>
      <c r="H3679" s="16" t="e">
        <f t="shared" si="7408"/>
        <v>#N/A</v>
      </c>
      <c r="I3679" s="16" t="e">
        <f t="shared" si="7408"/>
        <v>#N/A</v>
      </c>
      <c r="J3679" s="40" t="e">
        <f t="shared" si="7408"/>
        <v>#N/A</v>
      </c>
      <c r="K3679" s="16" t="e">
        <f t="shared" si="7408"/>
        <v>#N/A</v>
      </c>
      <c r="L3679" s="40" t="e">
        <f t="shared" si="7253"/>
        <v>#N/A</v>
      </c>
      <c r="M3679" s="16" t="e">
        <f t="shared" si="7254"/>
        <v>#N/A</v>
      </c>
      <c r="N3679" s="16" t="e">
        <f t="shared" si="7255"/>
        <v>#N/A</v>
      </c>
      <c r="O3679" s="16" t="s">
        <v>76</v>
      </c>
      <c r="P3679" s="16" t="str">
        <f t="shared" si="6"/>
        <v/>
      </c>
      <c r="Q3679" s="41" t="e">
        <f t="shared" si="7256"/>
        <v>#N/A</v>
      </c>
      <c r="R3679" s="44"/>
      <c r="S3679" s="44"/>
      <c r="T3679" s="43"/>
      <c r="U3679" s="43" t="str">
        <f t="shared" si="8"/>
        <v>No</v>
      </c>
      <c r="V3679" s="25"/>
      <c r="W3679" s="25"/>
      <c r="X3679" s="25"/>
      <c r="Y3679" s="25"/>
      <c r="Z3679" s="25"/>
    </row>
    <row r="3680" spans="1:26" ht="15.75" customHeight="1" x14ac:dyDescent="0.25">
      <c r="A3680" s="25">
        <v>3678</v>
      </c>
      <c r="B3680" s="37" t="e">
        <f t="shared" ref="B3680:D3680" si="7409">VLOOKUP($A3680,[12]Salud!$A$1:$O$277,B$1,0)</f>
        <v>#N/A</v>
      </c>
      <c r="C3680" s="38" t="e">
        <f t="shared" si="7409"/>
        <v>#N/A</v>
      </c>
      <c r="D3680" s="39" t="e">
        <f t="shared" si="7409"/>
        <v>#N/A</v>
      </c>
      <c r="E3680" s="16" t="e">
        <f t="shared" si="1"/>
        <v>#N/A</v>
      </c>
      <c r="F3680" s="16" t="e">
        <f t="shared" ref="F3680:K3680" si="7410">VLOOKUP($A3680,[12]Salud!$A$1:$O$277,F$1,0)</f>
        <v>#N/A</v>
      </c>
      <c r="G3680" s="39" t="e">
        <f t="shared" si="7410"/>
        <v>#N/A</v>
      </c>
      <c r="H3680" s="16" t="e">
        <f t="shared" si="7410"/>
        <v>#N/A</v>
      </c>
      <c r="I3680" s="16" t="e">
        <f t="shared" si="7410"/>
        <v>#N/A</v>
      </c>
      <c r="J3680" s="40" t="e">
        <f t="shared" si="7410"/>
        <v>#N/A</v>
      </c>
      <c r="K3680" s="16" t="e">
        <f t="shared" si="7410"/>
        <v>#N/A</v>
      </c>
      <c r="L3680" s="40" t="e">
        <f t="shared" si="7253"/>
        <v>#N/A</v>
      </c>
      <c r="M3680" s="16" t="e">
        <f t="shared" si="7254"/>
        <v>#N/A</v>
      </c>
      <c r="N3680" s="16" t="e">
        <f t="shared" si="7255"/>
        <v>#N/A</v>
      </c>
      <c r="O3680" s="16" t="s">
        <v>76</v>
      </c>
      <c r="P3680" s="16" t="str">
        <f t="shared" si="6"/>
        <v/>
      </c>
      <c r="Q3680" s="41" t="e">
        <f t="shared" si="7256"/>
        <v>#N/A</v>
      </c>
      <c r="R3680" s="44"/>
      <c r="S3680" s="44"/>
      <c r="T3680" s="43"/>
      <c r="U3680" s="43" t="str">
        <f t="shared" si="8"/>
        <v>No</v>
      </c>
      <c r="V3680" s="25"/>
      <c r="W3680" s="25"/>
      <c r="X3680" s="25"/>
      <c r="Y3680" s="25"/>
      <c r="Z3680" s="25"/>
    </row>
    <row r="3681" spans="1:26" ht="15.75" customHeight="1" x14ac:dyDescent="0.25">
      <c r="A3681" s="25">
        <v>3679</v>
      </c>
      <c r="B3681" s="37" t="e">
        <f t="shared" ref="B3681:D3681" si="7411">VLOOKUP($A3681,[12]Salud!$A$1:$O$277,B$1,0)</f>
        <v>#N/A</v>
      </c>
      <c r="C3681" s="38" t="e">
        <f t="shared" si="7411"/>
        <v>#N/A</v>
      </c>
      <c r="D3681" s="39" t="e">
        <f t="shared" si="7411"/>
        <v>#N/A</v>
      </c>
      <c r="E3681" s="16" t="e">
        <f t="shared" si="1"/>
        <v>#N/A</v>
      </c>
      <c r="F3681" s="16" t="e">
        <f t="shared" ref="F3681:K3681" si="7412">VLOOKUP($A3681,[12]Salud!$A$1:$O$277,F$1,0)</f>
        <v>#N/A</v>
      </c>
      <c r="G3681" s="39" t="e">
        <f t="shared" si="7412"/>
        <v>#N/A</v>
      </c>
      <c r="H3681" s="16" t="e">
        <f t="shared" si="7412"/>
        <v>#N/A</v>
      </c>
      <c r="I3681" s="16" t="e">
        <f t="shared" si="7412"/>
        <v>#N/A</v>
      </c>
      <c r="J3681" s="40" t="e">
        <f t="shared" si="7412"/>
        <v>#N/A</v>
      </c>
      <c r="K3681" s="16" t="e">
        <f t="shared" si="7412"/>
        <v>#N/A</v>
      </c>
      <c r="L3681" s="40" t="e">
        <f t="shared" si="7253"/>
        <v>#N/A</v>
      </c>
      <c r="M3681" s="16" t="e">
        <f t="shared" si="7254"/>
        <v>#N/A</v>
      </c>
      <c r="N3681" s="16" t="e">
        <f t="shared" si="7255"/>
        <v>#N/A</v>
      </c>
      <c r="O3681" s="16" t="s">
        <v>76</v>
      </c>
      <c r="P3681" s="16" t="str">
        <f t="shared" si="6"/>
        <v/>
      </c>
      <c r="Q3681" s="41" t="e">
        <f t="shared" si="7256"/>
        <v>#N/A</v>
      </c>
      <c r="R3681" s="44"/>
      <c r="S3681" s="44"/>
      <c r="T3681" s="43"/>
      <c r="U3681" s="43" t="str">
        <f t="shared" si="8"/>
        <v>No</v>
      </c>
      <c r="V3681" s="25"/>
      <c r="W3681" s="25"/>
      <c r="X3681" s="25"/>
      <c r="Y3681" s="25"/>
      <c r="Z3681" s="25"/>
    </row>
    <row r="3682" spans="1:26" ht="15.75" customHeight="1" x14ac:dyDescent="0.25">
      <c r="A3682" s="25">
        <v>3680</v>
      </c>
      <c r="B3682" s="37" t="e">
        <f t="shared" ref="B3682:D3682" si="7413">VLOOKUP($A3682,[12]Salud!$A$1:$O$277,B$1,0)</f>
        <v>#N/A</v>
      </c>
      <c r="C3682" s="38" t="e">
        <f t="shared" si="7413"/>
        <v>#N/A</v>
      </c>
      <c r="D3682" s="39" t="e">
        <f t="shared" si="7413"/>
        <v>#N/A</v>
      </c>
      <c r="E3682" s="16" t="e">
        <f t="shared" si="1"/>
        <v>#N/A</v>
      </c>
      <c r="F3682" s="16" t="e">
        <f t="shared" ref="F3682:K3682" si="7414">VLOOKUP($A3682,[12]Salud!$A$1:$O$277,F$1,0)</f>
        <v>#N/A</v>
      </c>
      <c r="G3682" s="39" t="e">
        <f t="shared" si="7414"/>
        <v>#N/A</v>
      </c>
      <c r="H3682" s="16" t="e">
        <f t="shared" si="7414"/>
        <v>#N/A</v>
      </c>
      <c r="I3682" s="16" t="e">
        <f t="shared" si="7414"/>
        <v>#N/A</v>
      </c>
      <c r="J3682" s="40" t="e">
        <f t="shared" si="7414"/>
        <v>#N/A</v>
      </c>
      <c r="K3682" s="16" t="e">
        <f t="shared" si="7414"/>
        <v>#N/A</v>
      </c>
      <c r="L3682" s="40" t="e">
        <f t="shared" si="7253"/>
        <v>#N/A</v>
      </c>
      <c r="M3682" s="16" t="e">
        <f t="shared" si="7254"/>
        <v>#N/A</v>
      </c>
      <c r="N3682" s="16" t="e">
        <f t="shared" si="7255"/>
        <v>#N/A</v>
      </c>
      <c r="O3682" s="16" t="s">
        <v>76</v>
      </c>
      <c r="P3682" s="16" t="str">
        <f t="shared" si="6"/>
        <v/>
      </c>
      <c r="Q3682" s="41" t="e">
        <f t="shared" si="7256"/>
        <v>#N/A</v>
      </c>
      <c r="R3682" s="44"/>
      <c r="S3682" s="44"/>
      <c r="T3682" s="43"/>
      <c r="U3682" s="43" t="str">
        <f t="shared" si="8"/>
        <v>No</v>
      </c>
      <c r="V3682" s="25"/>
      <c r="W3682" s="25"/>
      <c r="X3682" s="25"/>
      <c r="Y3682" s="25"/>
      <c r="Z3682" s="25"/>
    </row>
    <row r="3683" spans="1:26" ht="15.75" customHeight="1" x14ac:dyDescent="0.25">
      <c r="A3683" s="25">
        <v>3681</v>
      </c>
      <c r="B3683" s="37" t="e">
        <f t="shared" ref="B3683:D3683" si="7415">VLOOKUP($A3683,[12]Salud!$A$1:$O$277,B$1,0)</f>
        <v>#N/A</v>
      </c>
      <c r="C3683" s="38" t="e">
        <f t="shared" si="7415"/>
        <v>#N/A</v>
      </c>
      <c r="D3683" s="39" t="e">
        <f t="shared" si="7415"/>
        <v>#N/A</v>
      </c>
      <c r="E3683" s="16" t="e">
        <f t="shared" si="1"/>
        <v>#N/A</v>
      </c>
      <c r="F3683" s="16" t="e">
        <f t="shared" ref="F3683:K3683" si="7416">VLOOKUP($A3683,[12]Salud!$A$1:$O$277,F$1,0)</f>
        <v>#N/A</v>
      </c>
      <c r="G3683" s="39" t="e">
        <f t="shared" si="7416"/>
        <v>#N/A</v>
      </c>
      <c r="H3683" s="16" t="e">
        <f t="shared" si="7416"/>
        <v>#N/A</v>
      </c>
      <c r="I3683" s="16" t="e">
        <f t="shared" si="7416"/>
        <v>#N/A</v>
      </c>
      <c r="J3683" s="40" t="e">
        <f t="shared" si="7416"/>
        <v>#N/A</v>
      </c>
      <c r="K3683" s="16" t="e">
        <f t="shared" si="7416"/>
        <v>#N/A</v>
      </c>
      <c r="L3683" s="40" t="e">
        <f t="shared" si="7253"/>
        <v>#N/A</v>
      </c>
      <c r="M3683" s="16" t="e">
        <f t="shared" si="7254"/>
        <v>#N/A</v>
      </c>
      <c r="N3683" s="16" t="e">
        <f t="shared" si="7255"/>
        <v>#N/A</v>
      </c>
      <c r="O3683" s="16" t="s">
        <v>76</v>
      </c>
      <c r="P3683" s="16" t="str">
        <f t="shared" si="6"/>
        <v/>
      </c>
      <c r="Q3683" s="41" t="e">
        <f t="shared" si="7256"/>
        <v>#N/A</v>
      </c>
      <c r="R3683" s="44"/>
      <c r="S3683" s="44"/>
      <c r="T3683" s="43"/>
      <c r="U3683" s="43" t="str">
        <f t="shared" si="8"/>
        <v>No</v>
      </c>
      <c r="V3683" s="25"/>
      <c r="W3683" s="25"/>
      <c r="X3683" s="25"/>
      <c r="Y3683" s="25"/>
      <c r="Z3683" s="25"/>
    </row>
    <row r="3684" spans="1:26" ht="15.75" customHeight="1" x14ac:dyDescent="0.25">
      <c r="A3684" s="25">
        <v>3682</v>
      </c>
      <c r="B3684" s="37" t="e">
        <f t="shared" ref="B3684:D3684" si="7417">VLOOKUP($A3684,[12]Salud!$A$1:$O$277,B$1,0)</f>
        <v>#N/A</v>
      </c>
      <c r="C3684" s="38" t="e">
        <f t="shared" si="7417"/>
        <v>#N/A</v>
      </c>
      <c r="D3684" s="39" t="e">
        <f t="shared" si="7417"/>
        <v>#N/A</v>
      </c>
      <c r="E3684" s="16" t="e">
        <f t="shared" si="1"/>
        <v>#N/A</v>
      </c>
      <c r="F3684" s="16" t="e">
        <f t="shared" ref="F3684:K3684" si="7418">VLOOKUP($A3684,[12]Salud!$A$1:$O$277,F$1,0)</f>
        <v>#N/A</v>
      </c>
      <c r="G3684" s="39" t="e">
        <f t="shared" si="7418"/>
        <v>#N/A</v>
      </c>
      <c r="H3684" s="16" t="e">
        <f t="shared" si="7418"/>
        <v>#N/A</v>
      </c>
      <c r="I3684" s="16" t="e">
        <f t="shared" si="7418"/>
        <v>#N/A</v>
      </c>
      <c r="J3684" s="40" t="e">
        <f t="shared" si="7418"/>
        <v>#N/A</v>
      </c>
      <c r="K3684" s="16" t="e">
        <f t="shared" si="7418"/>
        <v>#N/A</v>
      </c>
      <c r="L3684" s="40" t="e">
        <f t="shared" si="7253"/>
        <v>#N/A</v>
      </c>
      <c r="M3684" s="16" t="e">
        <f t="shared" si="7254"/>
        <v>#N/A</v>
      </c>
      <c r="N3684" s="16" t="e">
        <f t="shared" si="7255"/>
        <v>#N/A</v>
      </c>
      <c r="O3684" s="16" t="s">
        <v>76</v>
      </c>
      <c r="P3684" s="16" t="str">
        <f t="shared" si="6"/>
        <v/>
      </c>
      <c r="Q3684" s="41" t="e">
        <f t="shared" si="7256"/>
        <v>#N/A</v>
      </c>
      <c r="R3684" s="44"/>
      <c r="S3684" s="44"/>
      <c r="T3684" s="43"/>
      <c r="U3684" s="43" t="str">
        <f t="shared" si="8"/>
        <v>No</v>
      </c>
      <c r="V3684" s="25"/>
      <c r="W3684" s="25"/>
      <c r="X3684" s="25"/>
      <c r="Y3684" s="25"/>
      <c r="Z3684" s="25"/>
    </row>
    <row r="3685" spans="1:26" ht="15.75" customHeight="1" x14ac:dyDescent="0.25">
      <c r="A3685" s="25">
        <v>3683</v>
      </c>
      <c r="B3685" s="37" t="e">
        <f t="shared" ref="B3685:D3685" si="7419">VLOOKUP($A3685,[12]Salud!$A$1:$O$277,B$1,0)</f>
        <v>#N/A</v>
      </c>
      <c r="C3685" s="38" t="e">
        <f t="shared" si="7419"/>
        <v>#N/A</v>
      </c>
      <c r="D3685" s="39" t="e">
        <f t="shared" si="7419"/>
        <v>#N/A</v>
      </c>
      <c r="E3685" s="16" t="e">
        <f t="shared" si="1"/>
        <v>#N/A</v>
      </c>
      <c r="F3685" s="16" t="e">
        <f t="shared" ref="F3685:K3685" si="7420">VLOOKUP($A3685,[12]Salud!$A$1:$O$277,F$1,0)</f>
        <v>#N/A</v>
      </c>
      <c r="G3685" s="39" t="e">
        <f t="shared" si="7420"/>
        <v>#N/A</v>
      </c>
      <c r="H3685" s="16" t="e">
        <f t="shared" si="7420"/>
        <v>#N/A</v>
      </c>
      <c r="I3685" s="16" t="e">
        <f t="shared" si="7420"/>
        <v>#N/A</v>
      </c>
      <c r="J3685" s="40" t="e">
        <f t="shared" si="7420"/>
        <v>#N/A</v>
      </c>
      <c r="K3685" s="16" t="e">
        <f t="shared" si="7420"/>
        <v>#N/A</v>
      </c>
      <c r="L3685" s="40" t="e">
        <f t="shared" si="7253"/>
        <v>#N/A</v>
      </c>
      <c r="M3685" s="16" t="e">
        <f t="shared" si="7254"/>
        <v>#N/A</v>
      </c>
      <c r="N3685" s="16" t="e">
        <f t="shared" si="7255"/>
        <v>#N/A</v>
      </c>
      <c r="O3685" s="16" t="s">
        <v>76</v>
      </c>
      <c r="P3685" s="16" t="str">
        <f t="shared" si="6"/>
        <v/>
      </c>
      <c r="Q3685" s="41" t="e">
        <f t="shared" si="7256"/>
        <v>#N/A</v>
      </c>
      <c r="R3685" s="44"/>
      <c r="S3685" s="44"/>
      <c r="T3685" s="43"/>
      <c r="U3685" s="43" t="str">
        <f t="shared" si="8"/>
        <v>No</v>
      </c>
      <c r="V3685" s="25"/>
      <c r="W3685" s="25"/>
      <c r="X3685" s="25"/>
      <c r="Y3685" s="25"/>
      <c r="Z3685" s="25"/>
    </row>
    <row r="3686" spans="1:26" ht="15.75" customHeight="1" x14ac:dyDescent="0.25">
      <c r="A3686" s="25">
        <v>3684</v>
      </c>
      <c r="B3686" s="37" t="e">
        <f t="shared" ref="B3686:D3686" si="7421">VLOOKUP($A3686,[12]Salud!$A$1:$O$277,B$1,0)</f>
        <v>#N/A</v>
      </c>
      <c r="C3686" s="38" t="e">
        <f t="shared" si="7421"/>
        <v>#N/A</v>
      </c>
      <c r="D3686" s="39" t="e">
        <f t="shared" si="7421"/>
        <v>#N/A</v>
      </c>
      <c r="E3686" s="16" t="e">
        <f t="shared" si="1"/>
        <v>#N/A</v>
      </c>
      <c r="F3686" s="16" t="e">
        <f t="shared" ref="F3686:K3686" si="7422">VLOOKUP($A3686,[12]Salud!$A$1:$O$277,F$1,0)</f>
        <v>#N/A</v>
      </c>
      <c r="G3686" s="39" t="e">
        <f t="shared" si="7422"/>
        <v>#N/A</v>
      </c>
      <c r="H3686" s="16" t="e">
        <f t="shared" si="7422"/>
        <v>#N/A</v>
      </c>
      <c r="I3686" s="16" t="e">
        <f t="shared" si="7422"/>
        <v>#N/A</v>
      </c>
      <c r="J3686" s="40" t="e">
        <f t="shared" si="7422"/>
        <v>#N/A</v>
      </c>
      <c r="K3686" s="16" t="e">
        <f t="shared" si="7422"/>
        <v>#N/A</v>
      </c>
      <c r="L3686" s="40" t="e">
        <f t="shared" si="7253"/>
        <v>#N/A</v>
      </c>
      <c r="M3686" s="16" t="e">
        <f t="shared" si="7254"/>
        <v>#N/A</v>
      </c>
      <c r="N3686" s="16" t="e">
        <f t="shared" si="7255"/>
        <v>#N/A</v>
      </c>
      <c r="O3686" s="16" t="s">
        <v>76</v>
      </c>
      <c r="P3686" s="16" t="str">
        <f t="shared" si="6"/>
        <v/>
      </c>
      <c r="Q3686" s="41" t="e">
        <f t="shared" si="7256"/>
        <v>#N/A</v>
      </c>
      <c r="R3686" s="44"/>
      <c r="S3686" s="44"/>
      <c r="T3686" s="43"/>
      <c r="U3686" s="43" t="str">
        <f t="shared" si="8"/>
        <v>No</v>
      </c>
      <c r="V3686" s="25"/>
      <c r="W3686" s="25"/>
      <c r="X3686" s="25"/>
      <c r="Y3686" s="25"/>
      <c r="Z3686" s="25"/>
    </row>
    <row r="3687" spans="1:26" ht="15.75" customHeight="1" x14ac:dyDescent="0.25">
      <c r="A3687" s="25">
        <v>3685</v>
      </c>
      <c r="B3687" s="37" t="e">
        <f t="shared" ref="B3687:D3687" si="7423">VLOOKUP($A3687,[12]Salud!$A$1:$O$277,B$1,0)</f>
        <v>#N/A</v>
      </c>
      <c r="C3687" s="38" t="e">
        <f t="shared" si="7423"/>
        <v>#N/A</v>
      </c>
      <c r="D3687" s="39" t="e">
        <f t="shared" si="7423"/>
        <v>#N/A</v>
      </c>
      <c r="E3687" s="16" t="e">
        <f t="shared" si="1"/>
        <v>#N/A</v>
      </c>
      <c r="F3687" s="16" t="e">
        <f t="shared" ref="F3687:K3687" si="7424">VLOOKUP($A3687,[12]Salud!$A$1:$O$277,F$1,0)</f>
        <v>#N/A</v>
      </c>
      <c r="G3687" s="39" t="e">
        <f t="shared" si="7424"/>
        <v>#N/A</v>
      </c>
      <c r="H3687" s="16" t="e">
        <f t="shared" si="7424"/>
        <v>#N/A</v>
      </c>
      <c r="I3687" s="16" t="e">
        <f t="shared" si="7424"/>
        <v>#N/A</v>
      </c>
      <c r="J3687" s="40" t="e">
        <f t="shared" si="7424"/>
        <v>#N/A</v>
      </c>
      <c r="K3687" s="16" t="e">
        <f t="shared" si="7424"/>
        <v>#N/A</v>
      </c>
      <c r="L3687" s="40" t="e">
        <f t="shared" si="7253"/>
        <v>#N/A</v>
      </c>
      <c r="M3687" s="16" t="e">
        <f t="shared" si="7254"/>
        <v>#N/A</v>
      </c>
      <c r="N3687" s="16" t="e">
        <f t="shared" si="7255"/>
        <v>#N/A</v>
      </c>
      <c r="O3687" s="16" t="s">
        <v>76</v>
      </c>
      <c r="P3687" s="16" t="str">
        <f t="shared" si="6"/>
        <v/>
      </c>
      <c r="Q3687" s="41" t="e">
        <f t="shared" si="7256"/>
        <v>#N/A</v>
      </c>
      <c r="R3687" s="44"/>
      <c r="S3687" s="44"/>
      <c r="T3687" s="43"/>
      <c r="U3687" s="43" t="str">
        <f t="shared" si="8"/>
        <v>No</v>
      </c>
      <c r="V3687" s="25"/>
      <c r="W3687" s="25"/>
      <c r="X3687" s="25"/>
      <c r="Y3687" s="25"/>
      <c r="Z3687" s="25"/>
    </row>
    <row r="3688" spans="1:26" ht="15.75" customHeight="1" x14ac:dyDescent="0.25">
      <c r="A3688" s="25">
        <v>3686</v>
      </c>
      <c r="B3688" s="37" t="e">
        <f t="shared" ref="B3688:D3688" si="7425">VLOOKUP($A3688,[12]Salud!$A$1:$O$277,B$1,0)</f>
        <v>#N/A</v>
      </c>
      <c r="C3688" s="38" t="e">
        <f t="shared" si="7425"/>
        <v>#N/A</v>
      </c>
      <c r="D3688" s="39" t="e">
        <f t="shared" si="7425"/>
        <v>#N/A</v>
      </c>
      <c r="E3688" s="16" t="e">
        <f t="shared" si="1"/>
        <v>#N/A</v>
      </c>
      <c r="F3688" s="16" t="e">
        <f t="shared" ref="F3688:K3688" si="7426">VLOOKUP($A3688,[12]Salud!$A$1:$O$277,F$1,0)</f>
        <v>#N/A</v>
      </c>
      <c r="G3688" s="39" t="e">
        <f t="shared" si="7426"/>
        <v>#N/A</v>
      </c>
      <c r="H3688" s="16" t="e">
        <f t="shared" si="7426"/>
        <v>#N/A</v>
      </c>
      <c r="I3688" s="16" t="e">
        <f t="shared" si="7426"/>
        <v>#N/A</v>
      </c>
      <c r="J3688" s="40" t="e">
        <f t="shared" si="7426"/>
        <v>#N/A</v>
      </c>
      <c r="K3688" s="16" t="e">
        <f t="shared" si="7426"/>
        <v>#N/A</v>
      </c>
      <c r="L3688" s="40" t="e">
        <f t="shared" si="7253"/>
        <v>#N/A</v>
      </c>
      <c r="M3688" s="16" t="e">
        <f t="shared" si="7254"/>
        <v>#N/A</v>
      </c>
      <c r="N3688" s="16" t="e">
        <f t="shared" si="7255"/>
        <v>#N/A</v>
      </c>
      <c r="O3688" s="16" t="s">
        <v>76</v>
      </c>
      <c r="P3688" s="16" t="str">
        <f t="shared" si="6"/>
        <v/>
      </c>
      <c r="Q3688" s="41" t="e">
        <f t="shared" si="7256"/>
        <v>#N/A</v>
      </c>
      <c r="R3688" s="44"/>
      <c r="S3688" s="44"/>
      <c r="T3688" s="43"/>
      <c r="U3688" s="43" t="str">
        <f t="shared" si="8"/>
        <v>No</v>
      </c>
      <c r="V3688" s="25"/>
      <c r="W3688" s="25"/>
      <c r="X3688" s="25"/>
      <c r="Y3688" s="25"/>
      <c r="Z3688" s="25"/>
    </row>
    <row r="3689" spans="1:26" ht="15.75" customHeight="1" x14ac:dyDescent="0.25">
      <c r="A3689" s="25">
        <v>3687</v>
      </c>
      <c r="B3689" s="37" t="e">
        <f t="shared" ref="B3689:D3689" si="7427">VLOOKUP($A3689,[12]Salud!$A$1:$O$277,B$1,0)</f>
        <v>#N/A</v>
      </c>
      <c r="C3689" s="38" t="e">
        <f t="shared" si="7427"/>
        <v>#N/A</v>
      </c>
      <c r="D3689" s="39" t="e">
        <f t="shared" si="7427"/>
        <v>#N/A</v>
      </c>
      <c r="E3689" s="16" t="e">
        <f t="shared" si="1"/>
        <v>#N/A</v>
      </c>
      <c r="F3689" s="16" t="e">
        <f t="shared" ref="F3689:K3689" si="7428">VLOOKUP($A3689,[12]Salud!$A$1:$O$277,F$1,0)</f>
        <v>#N/A</v>
      </c>
      <c r="G3689" s="39" t="e">
        <f t="shared" si="7428"/>
        <v>#N/A</v>
      </c>
      <c r="H3689" s="16" t="e">
        <f t="shared" si="7428"/>
        <v>#N/A</v>
      </c>
      <c r="I3689" s="16" t="e">
        <f t="shared" si="7428"/>
        <v>#N/A</v>
      </c>
      <c r="J3689" s="40" t="e">
        <f t="shared" si="7428"/>
        <v>#N/A</v>
      </c>
      <c r="K3689" s="16" t="e">
        <f t="shared" si="7428"/>
        <v>#N/A</v>
      </c>
      <c r="L3689" s="40" t="e">
        <f t="shared" si="7253"/>
        <v>#N/A</v>
      </c>
      <c r="M3689" s="16" t="e">
        <f t="shared" si="7254"/>
        <v>#N/A</v>
      </c>
      <c r="N3689" s="16" t="e">
        <f t="shared" si="7255"/>
        <v>#N/A</v>
      </c>
      <c r="O3689" s="16" t="s">
        <v>76</v>
      </c>
      <c r="P3689" s="16" t="str">
        <f t="shared" si="6"/>
        <v/>
      </c>
      <c r="Q3689" s="41" t="e">
        <f t="shared" si="7256"/>
        <v>#N/A</v>
      </c>
      <c r="R3689" s="44"/>
      <c r="S3689" s="44"/>
      <c r="T3689" s="43"/>
      <c r="U3689" s="43" t="str">
        <f t="shared" si="8"/>
        <v>No</v>
      </c>
      <c r="V3689" s="25"/>
      <c r="W3689" s="25"/>
      <c r="X3689" s="25"/>
      <c r="Y3689" s="25"/>
      <c r="Z3689" s="25"/>
    </row>
    <row r="3690" spans="1:26" ht="15.75" customHeight="1" x14ac:dyDescent="0.25">
      <c r="A3690" s="25">
        <v>3688</v>
      </c>
      <c r="B3690" s="37" t="e">
        <f t="shared" ref="B3690:D3690" si="7429">VLOOKUP($A3690,[12]Salud!$A$1:$O$277,B$1,0)</f>
        <v>#N/A</v>
      </c>
      <c r="C3690" s="38" t="e">
        <f t="shared" si="7429"/>
        <v>#N/A</v>
      </c>
      <c r="D3690" s="39" t="e">
        <f t="shared" si="7429"/>
        <v>#N/A</v>
      </c>
      <c r="E3690" s="16" t="e">
        <f t="shared" si="1"/>
        <v>#N/A</v>
      </c>
      <c r="F3690" s="16" t="e">
        <f t="shared" ref="F3690:K3690" si="7430">VLOOKUP($A3690,[12]Salud!$A$1:$O$277,F$1,0)</f>
        <v>#N/A</v>
      </c>
      <c r="G3690" s="39" t="e">
        <f t="shared" si="7430"/>
        <v>#N/A</v>
      </c>
      <c r="H3690" s="16" t="e">
        <f t="shared" si="7430"/>
        <v>#N/A</v>
      </c>
      <c r="I3690" s="16" t="e">
        <f t="shared" si="7430"/>
        <v>#N/A</v>
      </c>
      <c r="J3690" s="40" t="e">
        <f t="shared" si="7430"/>
        <v>#N/A</v>
      </c>
      <c r="K3690" s="16" t="e">
        <f t="shared" si="7430"/>
        <v>#N/A</v>
      </c>
      <c r="L3690" s="40" t="e">
        <f t="shared" si="7253"/>
        <v>#N/A</v>
      </c>
      <c r="M3690" s="16" t="e">
        <f t="shared" si="7254"/>
        <v>#N/A</v>
      </c>
      <c r="N3690" s="16" t="e">
        <f t="shared" si="7255"/>
        <v>#N/A</v>
      </c>
      <c r="O3690" s="16" t="s">
        <v>76</v>
      </c>
      <c r="P3690" s="16" t="str">
        <f t="shared" si="6"/>
        <v/>
      </c>
      <c r="Q3690" s="41" t="e">
        <f t="shared" si="7256"/>
        <v>#N/A</v>
      </c>
      <c r="R3690" s="44"/>
      <c r="S3690" s="44"/>
      <c r="T3690" s="43"/>
      <c r="U3690" s="43" t="str">
        <f t="shared" si="8"/>
        <v>No</v>
      </c>
      <c r="V3690" s="25"/>
      <c r="W3690" s="25"/>
      <c r="X3690" s="25"/>
      <c r="Y3690" s="25"/>
      <c r="Z3690" s="25"/>
    </row>
    <row r="3691" spans="1:26" ht="15.75" customHeight="1" x14ac:dyDescent="0.25">
      <c r="A3691" s="25">
        <v>3689</v>
      </c>
      <c r="B3691" s="37" t="e">
        <f t="shared" ref="B3691:D3691" si="7431">VLOOKUP($A3691,[12]Salud!$A$1:$O$277,B$1,0)</f>
        <v>#N/A</v>
      </c>
      <c r="C3691" s="38" t="e">
        <f t="shared" si="7431"/>
        <v>#N/A</v>
      </c>
      <c r="D3691" s="39" t="e">
        <f t="shared" si="7431"/>
        <v>#N/A</v>
      </c>
      <c r="E3691" s="16" t="e">
        <f t="shared" si="1"/>
        <v>#N/A</v>
      </c>
      <c r="F3691" s="16" t="e">
        <f t="shared" ref="F3691:K3691" si="7432">VLOOKUP($A3691,[12]Salud!$A$1:$O$277,F$1,0)</f>
        <v>#N/A</v>
      </c>
      <c r="G3691" s="39" t="e">
        <f t="shared" si="7432"/>
        <v>#N/A</v>
      </c>
      <c r="H3691" s="16" t="e">
        <f t="shared" si="7432"/>
        <v>#N/A</v>
      </c>
      <c r="I3691" s="16" t="e">
        <f t="shared" si="7432"/>
        <v>#N/A</v>
      </c>
      <c r="J3691" s="40" t="e">
        <f t="shared" si="7432"/>
        <v>#N/A</v>
      </c>
      <c r="K3691" s="16" t="e">
        <f t="shared" si="7432"/>
        <v>#N/A</v>
      </c>
      <c r="L3691" s="40" t="e">
        <f t="shared" si="7253"/>
        <v>#N/A</v>
      </c>
      <c r="M3691" s="16" t="e">
        <f t="shared" si="7254"/>
        <v>#N/A</v>
      </c>
      <c r="N3691" s="16" t="e">
        <f t="shared" si="7255"/>
        <v>#N/A</v>
      </c>
      <c r="O3691" s="16" t="s">
        <v>76</v>
      </c>
      <c r="P3691" s="16" t="str">
        <f t="shared" si="6"/>
        <v/>
      </c>
      <c r="Q3691" s="41" t="e">
        <f t="shared" si="7256"/>
        <v>#N/A</v>
      </c>
      <c r="R3691" s="44"/>
      <c r="S3691" s="44"/>
      <c r="T3691" s="43"/>
      <c r="U3691" s="43" t="str">
        <f t="shared" si="8"/>
        <v>No</v>
      </c>
      <c r="V3691" s="25"/>
      <c r="W3691" s="25"/>
      <c r="X3691" s="25"/>
      <c r="Y3691" s="25"/>
      <c r="Z3691" s="25"/>
    </row>
    <row r="3692" spans="1:26" ht="15.75" customHeight="1" x14ac:dyDescent="0.25">
      <c r="A3692" s="25">
        <v>3690</v>
      </c>
      <c r="B3692" s="37" t="e">
        <f t="shared" ref="B3692:D3692" si="7433">VLOOKUP($A3692,[12]Salud!$A$1:$O$277,B$1,0)</f>
        <v>#N/A</v>
      </c>
      <c r="C3692" s="38" t="e">
        <f t="shared" si="7433"/>
        <v>#N/A</v>
      </c>
      <c r="D3692" s="39" t="e">
        <f t="shared" si="7433"/>
        <v>#N/A</v>
      </c>
      <c r="E3692" s="16" t="e">
        <f t="shared" si="1"/>
        <v>#N/A</v>
      </c>
      <c r="F3692" s="16" t="e">
        <f t="shared" ref="F3692:K3692" si="7434">VLOOKUP($A3692,[12]Salud!$A$1:$O$277,F$1,0)</f>
        <v>#N/A</v>
      </c>
      <c r="G3692" s="39" t="e">
        <f t="shared" si="7434"/>
        <v>#N/A</v>
      </c>
      <c r="H3692" s="16" t="e">
        <f t="shared" si="7434"/>
        <v>#N/A</v>
      </c>
      <c r="I3692" s="16" t="e">
        <f t="shared" si="7434"/>
        <v>#N/A</v>
      </c>
      <c r="J3692" s="40" t="e">
        <f t="shared" si="7434"/>
        <v>#N/A</v>
      </c>
      <c r="K3692" s="16" t="e">
        <f t="shared" si="7434"/>
        <v>#N/A</v>
      </c>
      <c r="L3692" s="40" t="e">
        <f t="shared" si="7253"/>
        <v>#N/A</v>
      </c>
      <c r="M3692" s="16" t="e">
        <f t="shared" si="7254"/>
        <v>#N/A</v>
      </c>
      <c r="N3692" s="16" t="e">
        <f t="shared" si="7255"/>
        <v>#N/A</v>
      </c>
      <c r="O3692" s="16" t="s">
        <v>76</v>
      </c>
      <c r="P3692" s="16" t="str">
        <f t="shared" si="6"/>
        <v/>
      </c>
      <c r="Q3692" s="41" t="e">
        <f t="shared" si="7256"/>
        <v>#N/A</v>
      </c>
      <c r="R3692" s="44"/>
      <c r="S3692" s="44"/>
      <c r="T3692" s="43"/>
      <c r="U3692" s="43" t="str">
        <f t="shared" si="8"/>
        <v>No</v>
      </c>
      <c r="V3692" s="25"/>
      <c r="W3692" s="25"/>
      <c r="X3692" s="25"/>
      <c r="Y3692" s="25"/>
      <c r="Z3692" s="25"/>
    </row>
    <row r="3693" spans="1:26" ht="15.75" customHeight="1" x14ac:dyDescent="0.25">
      <c r="A3693" s="25">
        <v>3691</v>
      </c>
      <c r="B3693" s="37" t="e">
        <f t="shared" ref="B3693:D3693" si="7435">VLOOKUP($A3693,[12]Salud!$A$1:$O$277,B$1,0)</f>
        <v>#N/A</v>
      </c>
      <c r="C3693" s="38" t="e">
        <f t="shared" si="7435"/>
        <v>#N/A</v>
      </c>
      <c r="D3693" s="39" t="e">
        <f t="shared" si="7435"/>
        <v>#N/A</v>
      </c>
      <c r="E3693" s="16" t="e">
        <f t="shared" si="1"/>
        <v>#N/A</v>
      </c>
      <c r="F3693" s="16" t="e">
        <f t="shared" ref="F3693:K3693" si="7436">VLOOKUP($A3693,[12]Salud!$A$1:$O$277,F$1,0)</f>
        <v>#N/A</v>
      </c>
      <c r="G3693" s="39" t="e">
        <f t="shared" si="7436"/>
        <v>#N/A</v>
      </c>
      <c r="H3693" s="16" t="e">
        <f t="shared" si="7436"/>
        <v>#N/A</v>
      </c>
      <c r="I3693" s="16" t="e">
        <f t="shared" si="7436"/>
        <v>#N/A</v>
      </c>
      <c r="J3693" s="40" t="e">
        <f t="shared" si="7436"/>
        <v>#N/A</v>
      </c>
      <c r="K3693" s="16" t="e">
        <f t="shared" si="7436"/>
        <v>#N/A</v>
      </c>
      <c r="L3693" s="40" t="e">
        <f t="shared" si="7253"/>
        <v>#N/A</v>
      </c>
      <c r="M3693" s="16" t="e">
        <f t="shared" si="7254"/>
        <v>#N/A</v>
      </c>
      <c r="N3693" s="16" t="e">
        <f t="shared" si="7255"/>
        <v>#N/A</v>
      </c>
      <c r="O3693" s="16" t="s">
        <v>76</v>
      </c>
      <c r="P3693" s="16" t="str">
        <f t="shared" si="6"/>
        <v/>
      </c>
      <c r="Q3693" s="41" t="e">
        <f t="shared" si="7256"/>
        <v>#N/A</v>
      </c>
      <c r="R3693" s="44"/>
      <c r="S3693" s="44"/>
      <c r="T3693" s="43"/>
      <c r="U3693" s="43" t="str">
        <f t="shared" si="8"/>
        <v>No</v>
      </c>
      <c r="V3693" s="25"/>
      <c r="W3693" s="25"/>
      <c r="X3693" s="25"/>
      <c r="Y3693" s="25"/>
      <c r="Z3693" s="25"/>
    </row>
    <row r="3694" spans="1:26" ht="15.75" customHeight="1" x14ac:dyDescent="0.25">
      <c r="A3694" s="25">
        <v>3692</v>
      </c>
      <c r="B3694" s="37" t="e">
        <f t="shared" ref="B3694:D3694" si="7437">VLOOKUP($A3694,[12]Salud!$A$1:$O$277,B$1,0)</f>
        <v>#N/A</v>
      </c>
      <c r="C3694" s="38" t="e">
        <f t="shared" si="7437"/>
        <v>#N/A</v>
      </c>
      <c r="D3694" s="39" t="e">
        <f t="shared" si="7437"/>
        <v>#N/A</v>
      </c>
      <c r="E3694" s="16" t="e">
        <f t="shared" si="1"/>
        <v>#N/A</v>
      </c>
      <c r="F3694" s="16" t="e">
        <f t="shared" ref="F3694:K3694" si="7438">VLOOKUP($A3694,[12]Salud!$A$1:$O$277,F$1,0)</f>
        <v>#N/A</v>
      </c>
      <c r="G3694" s="39" t="e">
        <f t="shared" si="7438"/>
        <v>#N/A</v>
      </c>
      <c r="H3694" s="16" t="e">
        <f t="shared" si="7438"/>
        <v>#N/A</v>
      </c>
      <c r="I3694" s="16" t="e">
        <f t="shared" si="7438"/>
        <v>#N/A</v>
      </c>
      <c r="J3694" s="40" t="e">
        <f t="shared" si="7438"/>
        <v>#N/A</v>
      </c>
      <c r="K3694" s="16" t="e">
        <f t="shared" si="7438"/>
        <v>#N/A</v>
      </c>
      <c r="L3694" s="40" t="e">
        <f t="shared" si="7253"/>
        <v>#N/A</v>
      </c>
      <c r="M3694" s="16" t="e">
        <f t="shared" si="7254"/>
        <v>#N/A</v>
      </c>
      <c r="N3694" s="16" t="e">
        <f t="shared" si="7255"/>
        <v>#N/A</v>
      </c>
      <c r="O3694" s="16" t="s">
        <v>76</v>
      </c>
      <c r="P3694" s="16" t="str">
        <f t="shared" si="6"/>
        <v/>
      </c>
      <c r="Q3694" s="41" t="e">
        <f t="shared" si="7256"/>
        <v>#N/A</v>
      </c>
      <c r="R3694" s="44"/>
      <c r="S3694" s="44"/>
      <c r="T3694" s="43"/>
      <c r="U3694" s="43" t="str">
        <f t="shared" si="8"/>
        <v>No</v>
      </c>
      <c r="V3694" s="25"/>
      <c r="W3694" s="25"/>
      <c r="X3694" s="25"/>
      <c r="Y3694" s="25"/>
      <c r="Z3694" s="25"/>
    </row>
    <row r="3695" spans="1:26" ht="15.75" customHeight="1" x14ac:dyDescent="0.25">
      <c r="A3695" s="25">
        <v>3693</v>
      </c>
      <c r="B3695" s="37" t="e">
        <f t="shared" ref="B3695:D3695" si="7439">VLOOKUP($A3695,[12]Salud!$A$1:$O$277,B$1,0)</f>
        <v>#N/A</v>
      </c>
      <c r="C3695" s="38" t="e">
        <f t="shared" si="7439"/>
        <v>#N/A</v>
      </c>
      <c r="D3695" s="39" t="e">
        <f t="shared" si="7439"/>
        <v>#N/A</v>
      </c>
      <c r="E3695" s="16" t="e">
        <f t="shared" si="1"/>
        <v>#N/A</v>
      </c>
      <c r="F3695" s="16" t="e">
        <f t="shared" ref="F3695:K3695" si="7440">VLOOKUP($A3695,[12]Salud!$A$1:$O$277,F$1,0)</f>
        <v>#N/A</v>
      </c>
      <c r="G3695" s="39" t="e">
        <f t="shared" si="7440"/>
        <v>#N/A</v>
      </c>
      <c r="H3695" s="16" t="e">
        <f t="shared" si="7440"/>
        <v>#N/A</v>
      </c>
      <c r="I3695" s="16" t="e">
        <f t="shared" si="7440"/>
        <v>#N/A</v>
      </c>
      <c r="J3695" s="40" t="e">
        <f t="shared" si="7440"/>
        <v>#N/A</v>
      </c>
      <c r="K3695" s="16" t="e">
        <f t="shared" si="7440"/>
        <v>#N/A</v>
      </c>
      <c r="L3695" s="40" t="e">
        <f t="shared" si="7253"/>
        <v>#N/A</v>
      </c>
      <c r="M3695" s="16" t="e">
        <f t="shared" si="7254"/>
        <v>#N/A</v>
      </c>
      <c r="N3695" s="16" t="e">
        <f t="shared" si="7255"/>
        <v>#N/A</v>
      </c>
      <c r="O3695" s="16" t="s">
        <v>76</v>
      </c>
      <c r="P3695" s="16" t="str">
        <f t="shared" si="6"/>
        <v/>
      </c>
      <c r="Q3695" s="41" t="e">
        <f t="shared" si="7256"/>
        <v>#N/A</v>
      </c>
      <c r="R3695" s="44"/>
      <c r="S3695" s="44"/>
      <c r="T3695" s="43"/>
      <c r="U3695" s="43" t="str">
        <f t="shared" si="8"/>
        <v>No</v>
      </c>
      <c r="V3695" s="25"/>
      <c r="W3695" s="25"/>
      <c r="X3695" s="25"/>
      <c r="Y3695" s="25"/>
      <c r="Z3695" s="25"/>
    </row>
    <row r="3696" spans="1:26" ht="15.75" customHeight="1" x14ac:dyDescent="0.25">
      <c r="A3696" s="25">
        <v>3694</v>
      </c>
      <c r="B3696" s="37" t="e">
        <f t="shared" ref="B3696:D3696" si="7441">VLOOKUP($A3696,[12]Salud!$A$1:$O$277,B$1,0)</f>
        <v>#N/A</v>
      </c>
      <c r="C3696" s="38" t="e">
        <f t="shared" si="7441"/>
        <v>#N/A</v>
      </c>
      <c r="D3696" s="39" t="e">
        <f t="shared" si="7441"/>
        <v>#N/A</v>
      </c>
      <c r="E3696" s="16" t="e">
        <f t="shared" si="1"/>
        <v>#N/A</v>
      </c>
      <c r="F3696" s="16" t="e">
        <f t="shared" ref="F3696:K3696" si="7442">VLOOKUP($A3696,[12]Salud!$A$1:$O$277,F$1,0)</f>
        <v>#N/A</v>
      </c>
      <c r="G3696" s="39" t="e">
        <f t="shared" si="7442"/>
        <v>#N/A</v>
      </c>
      <c r="H3696" s="16" t="e">
        <f t="shared" si="7442"/>
        <v>#N/A</v>
      </c>
      <c r="I3696" s="16" t="e">
        <f t="shared" si="7442"/>
        <v>#N/A</v>
      </c>
      <c r="J3696" s="40" t="e">
        <f t="shared" si="7442"/>
        <v>#N/A</v>
      </c>
      <c r="K3696" s="16" t="e">
        <f t="shared" si="7442"/>
        <v>#N/A</v>
      </c>
      <c r="L3696" s="40" t="e">
        <f t="shared" si="7253"/>
        <v>#N/A</v>
      </c>
      <c r="M3696" s="16" t="e">
        <f t="shared" si="7254"/>
        <v>#N/A</v>
      </c>
      <c r="N3696" s="16" t="e">
        <f t="shared" si="7255"/>
        <v>#N/A</v>
      </c>
      <c r="O3696" s="16" t="s">
        <v>76</v>
      </c>
      <c r="P3696" s="16" t="str">
        <f t="shared" si="6"/>
        <v/>
      </c>
      <c r="Q3696" s="41" t="e">
        <f t="shared" si="7256"/>
        <v>#N/A</v>
      </c>
      <c r="R3696" s="44"/>
      <c r="S3696" s="44"/>
      <c r="T3696" s="43"/>
      <c r="U3696" s="43" t="str">
        <f t="shared" si="8"/>
        <v>No</v>
      </c>
      <c r="V3696" s="25"/>
      <c r="W3696" s="25"/>
      <c r="X3696" s="25"/>
      <c r="Y3696" s="25"/>
      <c r="Z3696" s="25"/>
    </row>
    <row r="3697" spans="1:26" ht="15.75" customHeight="1" x14ac:dyDescent="0.25">
      <c r="A3697" s="25">
        <v>3695</v>
      </c>
      <c r="B3697" s="37" t="e">
        <f t="shared" ref="B3697:D3697" si="7443">VLOOKUP($A3697,[12]Salud!$A$1:$O$277,B$1,0)</f>
        <v>#N/A</v>
      </c>
      <c r="C3697" s="38" t="e">
        <f t="shared" si="7443"/>
        <v>#N/A</v>
      </c>
      <c r="D3697" s="39" t="e">
        <f t="shared" si="7443"/>
        <v>#N/A</v>
      </c>
      <c r="E3697" s="16" t="e">
        <f t="shared" si="1"/>
        <v>#N/A</v>
      </c>
      <c r="F3697" s="16" t="e">
        <f t="shared" ref="F3697:K3697" si="7444">VLOOKUP($A3697,[12]Salud!$A$1:$O$277,F$1,0)</f>
        <v>#N/A</v>
      </c>
      <c r="G3697" s="39" t="e">
        <f t="shared" si="7444"/>
        <v>#N/A</v>
      </c>
      <c r="H3697" s="16" t="e">
        <f t="shared" si="7444"/>
        <v>#N/A</v>
      </c>
      <c r="I3697" s="16" t="e">
        <f t="shared" si="7444"/>
        <v>#N/A</v>
      </c>
      <c r="J3697" s="40" t="e">
        <f t="shared" si="7444"/>
        <v>#N/A</v>
      </c>
      <c r="K3697" s="16" t="e">
        <f t="shared" si="7444"/>
        <v>#N/A</v>
      </c>
      <c r="L3697" s="40" t="e">
        <f t="shared" si="7253"/>
        <v>#N/A</v>
      </c>
      <c r="M3697" s="16" t="e">
        <f t="shared" si="7254"/>
        <v>#N/A</v>
      </c>
      <c r="N3697" s="16" t="e">
        <f t="shared" si="7255"/>
        <v>#N/A</v>
      </c>
      <c r="O3697" s="16" t="s">
        <v>76</v>
      </c>
      <c r="P3697" s="16" t="str">
        <f t="shared" si="6"/>
        <v/>
      </c>
      <c r="Q3697" s="41" t="e">
        <f t="shared" si="7256"/>
        <v>#N/A</v>
      </c>
      <c r="R3697" s="44"/>
      <c r="S3697" s="44"/>
      <c r="T3697" s="43"/>
      <c r="U3697" s="43" t="str">
        <f t="shared" si="8"/>
        <v>No</v>
      </c>
      <c r="V3697" s="25"/>
      <c r="W3697" s="25"/>
      <c r="X3697" s="25"/>
      <c r="Y3697" s="25"/>
      <c r="Z3697" s="25"/>
    </row>
    <row r="3698" spans="1:26" ht="15.75" customHeight="1" x14ac:dyDescent="0.25">
      <c r="A3698" s="25">
        <v>3696</v>
      </c>
      <c r="B3698" s="37" t="e">
        <f t="shared" ref="B3698:D3698" si="7445">VLOOKUP($A3698,[12]Salud!$A$1:$O$277,B$1,0)</f>
        <v>#N/A</v>
      </c>
      <c r="C3698" s="38" t="e">
        <f t="shared" si="7445"/>
        <v>#N/A</v>
      </c>
      <c r="D3698" s="39" t="e">
        <f t="shared" si="7445"/>
        <v>#N/A</v>
      </c>
      <c r="E3698" s="16" t="e">
        <f t="shared" si="1"/>
        <v>#N/A</v>
      </c>
      <c r="F3698" s="16" t="e">
        <f t="shared" ref="F3698:K3698" si="7446">VLOOKUP($A3698,[12]Salud!$A$1:$O$277,F$1,0)</f>
        <v>#N/A</v>
      </c>
      <c r="G3698" s="39" t="e">
        <f t="shared" si="7446"/>
        <v>#N/A</v>
      </c>
      <c r="H3698" s="16" t="e">
        <f t="shared" si="7446"/>
        <v>#N/A</v>
      </c>
      <c r="I3698" s="16" t="e">
        <f t="shared" si="7446"/>
        <v>#N/A</v>
      </c>
      <c r="J3698" s="40" t="e">
        <f t="shared" si="7446"/>
        <v>#N/A</v>
      </c>
      <c r="K3698" s="16" t="e">
        <f t="shared" si="7446"/>
        <v>#N/A</v>
      </c>
      <c r="L3698" s="40" t="e">
        <f t="shared" si="7253"/>
        <v>#N/A</v>
      </c>
      <c r="M3698" s="16" t="e">
        <f t="shared" si="7254"/>
        <v>#N/A</v>
      </c>
      <c r="N3698" s="16" t="e">
        <f t="shared" si="7255"/>
        <v>#N/A</v>
      </c>
      <c r="O3698" s="16" t="s">
        <v>76</v>
      </c>
      <c r="P3698" s="16" t="str">
        <f t="shared" si="6"/>
        <v/>
      </c>
      <c r="Q3698" s="41" t="e">
        <f t="shared" si="7256"/>
        <v>#N/A</v>
      </c>
      <c r="R3698" s="44"/>
      <c r="S3698" s="44"/>
      <c r="T3698" s="43"/>
      <c r="U3698" s="43" t="str">
        <f t="shared" si="8"/>
        <v>No</v>
      </c>
      <c r="V3698" s="25"/>
      <c r="W3698" s="25"/>
      <c r="X3698" s="25"/>
      <c r="Y3698" s="25"/>
      <c r="Z3698" s="25"/>
    </row>
    <row r="3699" spans="1:26" ht="15.75" customHeight="1" x14ac:dyDescent="0.25">
      <c r="A3699" s="25">
        <v>3697</v>
      </c>
      <c r="B3699" s="37" t="e">
        <f t="shared" ref="B3699:D3699" si="7447">VLOOKUP($A3699,[12]Salud!$A$1:$O$277,B$1,0)</f>
        <v>#N/A</v>
      </c>
      <c r="C3699" s="38" t="e">
        <f t="shared" si="7447"/>
        <v>#N/A</v>
      </c>
      <c r="D3699" s="39" t="e">
        <f t="shared" si="7447"/>
        <v>#N/A</v>
      </c>
      <c r="E3699" s="16" t="e">
        <f t="shared" si="1"/>
        <v>#N/A</v>
      </c>
      <c r="F3699" s="16" t="e">
        <f t="shared" ref="F3699:K3699" si="7448">VLOOKUP($A3699,[12]Salud!$A$1:$O$277,F$1,0)</f>
        <v>#N/A</v>
      </c>
      <c r="G3699" s="39" t="e">
        <f t="shared" si="7448"/>
        <v>#N/A</v>
      </c>
      <c r="H3699" s="16" t="e">
        <f t="shared" si="7448"/>
        <v>#N/A</v>
      </c>
      <c r="I3699" s="16" t="e">
        <f t="shared" si="7448"/>
        <v>#N/A</v>
      </c>
      <c r="J3699" s="40" t="e">
        <f t="shared" si="7448"/>
        <v>#N/A</v>
      </c>
      <c r="K3699" s="16" t="e">
        <f t="shared" si="7448"/>
        <v>#N/A</v>
      </c>
      <c r="L3699" s="40" t="e">
        <f t="shared" si="7253"/>
        <v>#N/A</v>
      </c>
      <c r="M3699" s="16" t="e">
        <f t="shared" si="7254"/>
        <v>#N/A</v>
      </c>
      <c r="N3699" s="16" t="e">
        <f t="shared" si="7255"/>
        <v>#N/A</v>
      </c>
      <c r="O3699" s="16" t="s">
        <v>76</v>
      </c>
      <c r="P3699" s="16" t="str">
        <f t="shared" si="6"/>
        <v/>
      </c>
      <c r="Q3699" s="41" t="e">
        <f t="shared" si="7256"/>
        <v>#N/A</v>
      </c>
      <c r="R3699" s="44"/>
      <c r="S3699" s="44"/>
      <c r="T3699" s="43"/>
      <c r="U3699" s="43" t="str">
        <f t="shared" si="8"/>
        <v>No</v>
      </c>
      <c r="V3699" s="25"/>
      <c r="W3699" s="25"/>
      <c r="X3699" s="25"/>
      <c r="Y3699" s="25"/>
      <c r="Z3699" s="25"/>
    </row>
    <row r="3700" spans="1:26" ht="15.75" customHeight="1" x14ac:dyDescent="0.25">
      <c r="A3700" s="25">
        <v>3698</v>
      </c>
      <c r="B3700" s="37" t="e">
        <f t="shared" ref="B3700:D3700" si="7449">VLOOKUP($A3700,[12]Salud!$A$1:$O$277,B$1,0)</f>
        <v>#N/A</v>
      </c>
      <c r="C3700" s="38" t="e">
        <f t="shared" si="7449"/>
        <v>#N/A</v>
      </c>
      <c r="D3700" s="39" t="e">
        <f t="shared" si="7449"/>
        <v>#N/A</v>
      </c>
      <c r="E3700" s="16" t="e">
        <f t="shared" si="1"/>
        <v>#N/A</v>
      </c>
      <c r="F3700" s="16" t="e">
        <f t="shared" ref="F3700:K3700" si="7450">VLOOKUP($A3700,[12]Salud!$A$1:$O$277,F$1,0)</f>
        <v>#N/A</v>
      </c>
      <c r="G3700" s="39" t="e">
        <f t="shared" si="7450"/>
        <v>#N/A</v>
      </c>
      <c r="H3700" s="16" t="e">
        <f t="shared" si="7450"/>
        <v>#N/A</v>
      </c>
      <c r="I3700" s="16" t="e">
        <f t="shared" si="7450"/>
        <v>#N/A</v>
      </c>
      <c r="J3700" s="40" t="e">
        <f t="shared" si="7450"/>
        <v>#N/A</v>
      </c>
      <c r="K3700" s="16" t="e">
        <f t="shared" si="7450"/>
        <v>#N/A</v>
      </c>
      <c r="L3700" s="40" t="e">
        <f t="shared" si="7253"/>
        <v>#N/A</v>
      </c>
      <c r="M3700" s="16" t="e">
        <f t="shared" si="7254"/>
        <v>#N/A</v>
      </c>
      <c r="N3700" s="16" t="e">
        <f t="shared" si="7255"/>
        <v>#N/A</v>
      </c>
      <c r="O3700" s="16" t="s">
        <v>76</v>
      </c>
      <c r="P3700" s="16" t="str">
        <f t="shared" si="6"/>
        <v/>
      </c>
      <c r="Q3700" s="41" t="e">
        <f t="shared" si="7256"/>
        <v>#N/A</v>
      </c>
      <c r="R3700" s="44"/>
      <c r="S3700" s="44"/>
      <c r="T3700" s="43"/>
      <c r="U3700" s="43" t="str">
        <f t="shared" si="8"/>
        <v>No</v>
      </c>
      <c r="V3700" s="25"/>
      <c r="W3700" s="25"/>
      <c r="X3700" s="25"/>
      <c r="Y3700" s="25"/>
      <c r="Z3700" s="25"/>
    </row>
    <row r="3701" spans="1:26" ht="15.75" customHeight="1" x14ac:dyDescent="0.25">
      <c r="A3701" s="25">
        <v>3699</v>
      </c>
      <c r="B3701" s="37" t="e">
        <f t="shared" ref="B3701:D3701" si="7451">VLOOKUP($A3701,[12]Salud!$A$1:$O$277,B$1,0)</f>
        <v>#N/A</v>
      </c>
      <c r="C3701" s="38" t="e">
        <f t="shared" si="7451"/>
        <v>#N/A</v>
      </c>
      <c r="D3701" s="39" t="e">
        <f t="shared" si="7451"/>
        <v>#N/A</v>
      </c>
      <c r="E3701" s="16" t="e">
        <f t="shared" si="1"/>
        <v>#N/A</v>
      </c>
      <c r="F3701" s="16" t="e">
        <f t="shared" ref="F3701:K3701" si="7452">VLOOKUP($A3701,[12]Salud!$A$1:$O$277,F$1,0)</f>
        <v>#N/A</v>
      </c>
      <c r="G3701" s="39" t="e">
        <f t="shared" si="7452"/>
        <v>#N/A</v>
      </c>
      <c r="H3701" s="16" t="e">
        <f t="shared" si="7452"/>
        <v>#N/A</v>
      </c>
      <c r="I3701" s="16" t="e">
        <f t="shared" si="7452"/>
        <v>#N/A</v>
      </c>
      <c r="J3701" s="40" t="e">
        <f t="shared" si="7452"/>
        <v>#N/A</v>
      </c>
      <c r="K3701" s="16" t="e">
        <f t="shared" si="7452"/>
        <v>#N/A</v>
      </c>
      <c r="L3701" s="40" t="e">
        <f t="shared" si="7253"/>
        <v>#N/A</v>
      </c>
      <c r="M3701" s="16" t="e">
        <f t="shared" si="7254"/>
        <v>#N/A</v>
      </c>
      <c r="N3701" s="16" t="e">
        <f t="shared" si="7255"/>
        <v>#N/A</v>
      </c>
      <c r="O3701" s="16" t="s">
        <v>76</v>
      </c>
      <c r="P3701" s="16" t="str">
        <f t="shared" si="6"/>
        <v/>
      </c>
      <c r="Q3701" s="41" t="e">
        <f t="shared" si="7256"/>
        <v>#N/A</v>
      </c>
      <c r="R3701" s="44"/>
      <c r="S3701" s="44"/>
      <c r="T3701" s="43"/>
      <c r="U3701" s="43" t="str">
        <f t="shared" si="8"/>
        <v>No</v>
      </c>
      <c r="V3701" s="25"/>
      <c r="W3701" s="25"/>
      <c r="X3701" s="25"/>
      <c r="Y3701" s="25"/>
      <c r="Z3701" s="25"/>
    </row>
    <row r="3702" spans="1:26" ht="15.75" customHeight="1" x14ac:dyDescent="0.25">
      <c r="A3702" s="25">
        <v>3700</v>
      </c>
      <c r="B3702" s="37" t="e">
        <f t="shared" ref="B3702:D3702" si="7453">VLOOKUP($A3702,[12]Salud!$A$1:$O$277,B$1,0)</f>
        <v>#N/A</v>
      </c>
      <c r="C3702" s="38" t="e">
        <f t="shared" si="7453"/>
        <v>#N/A</v>
      </c>
      <c r="D3702" s="39" t="e">
        <f t="shared" si="7453"/>
        <v>#N/A</v>
      </c>
      <c r="E3702" s="16" t="e">
        <f t="shared" si="1"/>
        <v>#N/A</v>
      </c>
      <c r="F3702" s="16" t="e">
        <f t="shared" ref="F3702:K3702" si="7454">VLOOKUP($A3702,[12]Salud!$A$1:$O$277,F$1,0)</f>
        <v>#N/A</v>
      </c>
      <c r="G3702" s="39" t="e">
        <f t="shared" si="7454"/>
        <v>#N/A</v>
      </c>
      <c r="H3702" s="16" t="e">
        <f t="shared" si="7454"/>
        <v>#N/A</v>
      </c>
      <c r="I3702" s="16" t="e">
        <f t="shared" si="7454"/>
        <v>#N/A</v>
      </c>
      <c r="J3702" s="40" t="e">
        <f t="shared" si="7454"/>
        <v>#N/A</v>
      </c>
      <c r="K3702" s="16" t="e">
        <f t="shared" si="7454"/>
        <v>#N/A</v>
      </c>
      <c r="L3702" s="40" t="e">
        <f t="shared" si="7253"/>
        <v>#N/A</v>
      </c>
      <c r="M3702" s="16" t="e">
        <f t="shared" si="7254"/>
        <v>#N/A</v>
      </c>
      <c r="N3702" s="16" t="e">
        <f t="shared" si="7255"/>
        <v>#N/A</v>
      </c>
      <c r="O3702" s="16" t="s">
        <v>76</v>
      </c>
      <c r="P3702" s="16" t="str">
        <f t="shared" si="6"/>
        <v/>
      </c>
      <c r="Q3702" s="41" t="e">
        <f t="shared" si="7256"/>
        <v>#N/A</v>
      </c>
      <c r="R3702" s="44"/>
      <c r="S3702" s="44"/>
      <c r="T3702" s="43"/>
      <c r="U3702" s="43" t="str">
        <f t="shared" si="8"/>
        <v>No</v>
      </c>
      <c r="V3702" s="25"/>
      <c r="W3702" s="25"/>
      <c r="X3702" s="25"/>
      <c r="Y3702" s="25"/>
      <c r="Z3702" s="25"/>
    </row>
    <row r="3703" spans="1:26" ht="15.75" customHeight="1" x14ac:dyDescent="0.25">
      <c r="A3703" s="25">
        <v>3701</v>
      </c>
      <c r="B3703" s="37" t="e">
        <f t="shared" ref="B3703:D3703" si="7455">VLOOKUP($A3703,[12]Salud!$A$1:$O$277,B$1,0)</f>
        <v>#N/A</v>
      </c>
      <c r="C3703" s="38" t="e">
        <f t="shared" si="7455"/>
        <v>#N/A</v>
      </c>
      <c r="D3703" s="39" t="e">
        <f t="shared" si="7455"/>
        <v>#N/A</v>
      </c>
      <c r="E3703" s="16" t="e">
        <f t="shared" si="1"/>
        <v>#N/A</v>
      </c>
      <c r="F3703" s="16" t="e">
        <f t="shared" ref="F3703:K3703" si="7456">VLOOKUP($A3703,[12]Salud!$A$1:$O$277,F$1,0)</f>
        <v>#N/A</v>
      </c>
      <c r="G3703" s="39" t="e">
        <f t="shared" si="7456"/>
        <v>#N/A</v>
      </c>
      <c r="H3703" s="16" t="e">
        <f t="shared" si="7456"/>
        <v>#N/A</v>
      </c>
      <c r="I3703" s="16" t="e">
        <f t="shared" si="7456"/>
        <v>#N/A</v>
      </c>
      <c r="J3703" s="40" t="e">
        <f t="shared" si="7456"/>
        <v>#N/A</v>
      </c>
      <c r="K3703" s="16" t="e">
        <f t="shared" si="7456"/>
        <v>#N/A</v>
      </c>
      <c r="L3703" s="40" t="e">
        <f t="shared" si="7253"/>
        <v>#N/A</v>
      </c>
      <c r="M3703" s="16" t="e">
        <f t="shared" si="7254"/>
        <v>#N/A</v>
      </c>
      <c r="N3703" s="16" t="e">
        <f t="shared" si="7255"/>
        <v>#N/A</v>
      </c>
      <c r="O3703" s="16" t="s">
        <v>76</v>
      </c>
      <c r="P3703" s="16" t="str">
        <f t="shared" si="6"/>
        <v/>
      </c>
      <c r="Q3703" s="41" t="e">
        <f t="shared" si="7256"/>
        <v>#N/A</v>
      </c>
      <c r="R3703" s="44"/>
      <c r="S3703" s="44"/>
      <c r="T3703" s="43"/>
      <c r="U3703" s="43" t="str">
        <f t="shared" si="8"/>
        <v>No</v>
      </c>
      <c r="V3703" s="25"/>
      <c r="W3703" s="25"/>
      <c r="X3703" s="25"/>
      <c r="Y3703" s="25"/>
      <c r="Z3703" s="25"/>
    </row>
    <row r="3704" spans="1:26" ht="15.75" customHeight="1" x14ac:dyDescent="0.25">
      <c r="A3704" s="25">
        <v>3702</v>
      </c>
      <c r="B3704" s="37" t="e">
        <f t="shared" ref="B3704:D3704" si="7457">VLOOKUP($A3704,[12]Salud!$A$1:$O$277,B$1,0)</f>
        <v>#N/A</v>
      </c>
      <c r="C3704" s="38" t="e">
        <f t="shared" si="7457"/>
        <v>#N/A</v>
      </c>
      <c r="D3704" s="39" t="e">
        <f t="shared" si="7457"/>
        <v>#N/A</v>
      </c>
      <c r="E3704" s="16" t="e">
        <f t="shared" si="1"/>
        <v>#N/A</v>
      </c>
      <c r="F3704" s="16" t="e">
        <f t="shared" ref="F3704:K3704" si="7458">VLOOKUP($A3704,[12]Salud!$A$1:$O$277,F$1,0)</f>
        <v>#N/A</v>
      </c>
      <c r="G3704" s="39" t="e">
        <f t="shared" si="7458"/>
        <v>#N/A</v>
      </c>
      <c r="H3704" s="16" t="e">
        <f t="shared" si="7458"/>
        <v>#N/A</v>
      </c>
      <c r="I3704" s="16" t="e">
        <f t="shared" si="7458"/>
        <v>#N/A</v>
      </c>
      <c r="J3704" s="40" t="e">
        <f t="shared" si="7458"/>
        <v>#N/A</v>
      </c>
      <c r="K3704" s="16" t="e">
        <f t="shared" si="7458"/>
        <v>#N/A</v>
      </c>
      <c r="L3704" s="40" t="e">
        <f t="shared" si="7253"/>
        <v>#N/A</v>
      </c>
      <c r="M3704" s="16" t="e">
        <f t="shared" si="7254"/>
        <v>#N/A</v>
      </c>
      <c r="N3704" s="16" t="e">
        <f t="shared" si="7255"/>
        <v>#N/A</v>
      </c>
      <c r="O3704" s="16" t="s">
        <v>76</v>
      </c>
      <c r="P3704" s="16" t="str">
        <f t="shared" si="6"/>
        <v/>
      </c>
      <c r="Q3704" s="41" t="e">
        <f t="shared" si="7256"/>
        <v>#N/A</v>
      </c>
      <c r="R3704" s="44"/>
      <c r="S3704" s="44"/>
      <c r="T3704" s="43"/>
      <c r="U3704" s="43" t="str">
        <f t="shared" si="8"/>
        <v>No</v>
      </c>
      <c r="V3704" s="25"/>
      <c r="W3704" s="25"/>
      <c r="X3704" s="25"/>
      <c r="Y3704" s="25"/>
      <c r="Z3704" s="25"/>
    </row>
    <row r="3705" spans="1:26" ht="15.75" customHeight="1" x14ac:dyDescent="0.25">
      <c r="A3705" s="25">
        <v>3703</v>
      </c>
      <c r="B3705" s="37" t="e">
        <f t="shared" ref="B3705:D3705" si="7459">VLOOKUP($A3705,[12]Salud!$A$1:$O$277,B$1,0)</f>
        <v>#N/A</v>
      </c>
      <c r="C3705" s="38" t="e">
        <f t="shared" si="7459"/>
        <v>#N/A</v>
      </c>
      <c r="D3705" s="39" t="e">
        <f t="shared" si="7459"/>
        <v>#N/A</v>
      </c>
      <c r="E3705" s="16" t="e">
        <f t="shared" si="1"/>
        <v>#N/A</v>
      </c>
      <c r="F3705" s="16" t="e">
        <f t="shared" ref="F3705:K3705" si="7460">VLOOKUP($A3705,[12]Salud!$A$1:$O$277,F$1,0)</f>
        <v>#N/A</v>
      </c>
      <c r="G3705" s="39" t="e">
        <f t="shared" si="7460"/>
        <v>#N/A</v>
      </c>
      <c r="H3705" s="16" t="e">
        <f t="shared" si="7460"/>
        <v>#N/A</v>
      </c>
      <c r="I3705" s="16" t="e">
        <f t="shared" si="7460"/>
        <v>#N/A</v>
      </c>
      <c r="J3705" s="40" t="e">
        <f t="shared" si="7460"/>
        <v>#N/A</v>
      </c>
      <c r="K3705" s="16" t="e">
        <f t="shared" si="7460"/>
        <v>#N/A</v>
      </c>
      <c r="L3705" s="40" t="e">
        <f t="shared" si="7253"/>
        <v>#N/A</v>
      </c>
      <c r="M3705" s="16" t="e">
        <f t="shared" si="7254"/>
        <v>#N/A</v>
      </c>
      <c r="N3705" s="16" t="e">
        <f t="shared" si="7255"/>
        <v>#N/A</v>
      </c>
      <c r="O3705" s="16" t="s">
        <v>76</v>
      </c>
      <c r="P3705" s="16" t="str">
        <f t="shared" si="6"/>
        <v/>
      </c>
      <c r="Q3705" s="41" t="e">
        <f t="shared" si="7256"/>
        <v>#N/A</v>
      </c>
      <c r="R3705" s="44"/>
      <c r="S3705" s="44"/>
      <c r="T3705" s="43"/>
      <c r="U3705" s="43" t="str">
        <f t="shared" si="8"/>
        <v>No</v>
      </c>
      <c r="V3705" s="25"/>
      <c r="W3705" s="25"/>
      <c r="X3705" s="25"/>
      <c r="Y3705" s="25"/>
      <c r="Z3705" s="25"/>
    </row>
    <row r="3706" spans="1:26" ht="15.75" customHeight="1" x14ac:dyDescent="0.25">
      <c r="A3706" s="25">
        <v>3704</v>
      </c>
      <c r="B3706" s="37" t="e">
        <f t="shared" ref="B3706:D3706" si="7461">VLOOKUP($A3706,[12]Salud!$A$1:$O$277,B$1,0)</f>
        <v>#N/A</v>
      </c>
      <c r="C3706" s="38" t="e">
        <f t="shared" si="7461"/>
        <v>#N/A</v>
      </c>
      <c r="D3706" s="39" t="e">
        <f t="shared" si="7461"/>
        <v>#N/A</v>
      </c>
      <c r="E3706" s="16" t="e">
        <f t="shared" si="1"/>
        <v>#N/A</v>
      </c>
      <c r="F3706" s="16" t="e">
        <f t="shared" ref="F3706:K3706" si="7462">VLOOKUP($A3706,[12]Salud!$A$1:$O$277,F$1,0)</f>
        <v>#N/A</v>
      </c>
      <c r="G3706" s="39" t="e">
        <f t="shared" si="7462"/>
        <v>#N/A</v>
      </c>
      <c r="H3706" s="16" t="e">
        <f t="shared" si="7462"/>
        <v>#N/A</v>
      </c>
      <c r="I3706" s="16" t="e">
        <f t="shared" si="7462"/>
        <v>#N/A</v>
      </c>
      <c r="J3706" s="40" t="e">
        <f t="shared" si="7462"/>
        <v>#N/A</v>
      </c>
      <c r="K3706" s="16" t="e">
        <f t="shared" si="7462"/>
        <v>#N/A</v>
      </c>
      <c r="L3706" s="40" t="e">
        <f t="shared" si="7253"/>
        <v>#N/A</v>
      </c>
      <c r="M3706" s="16" t="e">
        <f t="shared" si="7254"/>
        <v>#N/A</v>
      </c>
      <c r="N3706" s="16" t="e">
        <f t="shared" si="7255"/>
        <v>#N/A</v>
      </c>
      <c r="O3706" s="16" t="s">
        <v>76</v>
      </c>
      <c r="P3706" s="16" t="str">
        <f t="shared" si="6"/>
        <v/>
      </c>
      <c r="Q3706" s="41" t="e">
        <f t="shared" si="7256"/>
        <v>#N/A</v>
      </c>
      <c r="R3706" s="44"/>
      <c r="S3706" s="44"/>
      <c r="T3706" s="43"/>
      <c r="U3706" s="43" t="str">
        <f t="shared" si="8"/>
        <v>No</v>
      </c>
      <c r="V3706" s="25"/>
      <c r="W3706" s="25"/>
      <c r="X3706" s="25"/>
      <c r="Y3706" s="25"/>
      <c r="Z3706" s="25"/>
    </row>
    <row r="3707" spans="1:26" ht="15.75" customHeight="1" x14ac:dyDescent="0.25">
      <c r="A3707" s="25">
        <v>3705</v>
      </c>
      <c r="B3707" s="37" t="e">
        <f t="shared" ref="B3707:D3707" si="7463">VLOOKUP($A3707,[12]Salud!$A$1:$O$277,B$1,0)</f>
        <v>#N/A</v>
      </c>
      <c r="C3707" s="38" t="e">
        <f t="shared" si="7463"/>
        <v>#N/A</v>
      </c>
      <c r="D3707" s="39" t="e">
        <f t="shared" si="7463"/>
        <v>#N/A</v>
      </c>
      <c r="E3707" s="16" t="e">
        <f t="shared" si="1"/>
        <v>#N/A</v>
      </c>
      <c r="F3707" s="16" t="e">
        <f t="shared" ref="F3707:K3707" si="7464">VLOOKUP($A3707,[12]Salud!$A$1:$O$277,F$1,0)</f>
        <v>#N/A</v>
      </c>
      <c r="G3707" s="39" t="e">
        <f t="shared" si="7464"/>
        <v>#N/A</v>
      </c>
      <c r="H3707" s="16" t="e">
        <f t="shared" si="7464"/>
        <v>#N/A</v>
      </c>
      <c r="I3707" s="16" t="e">
        <f t="shared" si="7464"/>
        <v>#N/A</v>
      </c>
      <c r="J3707" s="40" t="e">
        <f t="shared" si="7464"/>
        <v>#N/A</v>
      </c>
      <c r="K3707" s="16" t="e">
        <f t="shared" si="7464"/>
        <v>#N/A</v>
      </c>
      <c r="L3707" s="40" t="e">
        <f t="shared" si="7253"/>
        <v>#N/A</v>
      </c>
      <c r="M3707" s="16" t="e">
        <f t="shared" si="7254"/>
        <v>#N/A</v>
      </c>
      <c r="N3707" s="16" t="e">
        <f t="shared" si="7255"/>
        <v>#N/A</v>
      </c>
      <c r="O3707" s="16" t="s">
        <v>76</v>
      </c>
      <c r="P3707" s="16" t="str">
        <f t="shared" si="6"/>
        <v/>
      </c>
      <c r="Q3707" s="41" t="e">
        <f t="shared" si="7256"/>
        <v>#N/A</v>
      </c>
      <c r="R3707" s="44"/>
      <c r="S3707" s="44"/>
      <c r="T3707" s="43"/>
      <c r="U3707" s="43" t="str">
        <f t="shared" si="8"/>
        <v>No</v>
      </c>
      <c r="V3707" s="25"/>
      <c r="W3707" s="25"/>
      <c r="X3707" s="25"/>
      <c r="Y3707" s="25"/>
      <c r="Z3707" s="25"/>
    </row>
    <row r="3708" spans="1:26" ht="15.75" customHeight="1" x14ac:dyDescent="0.25">
      <c r="A3708" s="25">
        <v>3706</v>
      </c>
      <c r="B3708" s="37" t="e">
        <f t="shared" ref="B3708:D3708" si="7465">VLOOKUP($A3708,[12]Salud!$A$1:$O$277,B$1,0)</f>
        <v>#N/A</v>
      </c>
      <c r="C3708" s="38" t="e">
        <f t="shared" si="7465"/>
        <v>#N/A</v>
      </c>
      <c r="D3708" s="39" t="e">
        <f t="shared" si="7465"/>
        <v>#N/A</v>
      </c>
      <c r="E3708" s="16" t="e">
        <f t="shared" si="1"/>
        <v>#N/A</v>
      </c>
      <c r="F3708" s="16" t="e">
        <f t="shared" ref="F3708:K3708" si="7466">VLOOKUP($A3708,[12]Salud!$A$1:$O$277,F$1,0)</f>
        <v>#N/A</v>
      </c>
      <c r="G3708" s="39" t="e">
        <f t="shared" si="7466"/>
        <v>#N/A</v>
      </c>
      <c r="H3708" s="16" t="e">
        <f t="shared" si="7466"/>
        <v>#N/A</v>
      </c>
      <c r="I3708" s="16" t="e">
        <f t="shared" si="7466"/>
        <v>#N/A</v>
      </c>
      <c r="J3708" s="40" t="e">
        <f t="shared" si="7466"/>
        <v>#N/A</v>
      </c>
      <c r="K3708" s="16" t="e">
        <f t="shared" si="7466"/>
        <v>#N/A</v>
      </c>
      <c r="L3708" s="40" t="e">
        <f t="shared" si="7253"/>
        <v>#N/A</v>
      </c>
      <c r="M3708" s="16" t="e">
        <f t="shared" si="7254"/>
        <v>#N/A</v>
      </c>
      <c r="N3708" s="16" t="e">
        <f t="shared" si="7255"/>
        <v>#N/A</v>
      </c>
      <c r="O3708" s="16" t="s">
        <v>76</v>
      </c>
      <c r="P3708" s="16" t="str">
        <f t="shared" si="6"/>
        <v/>
      </c>
      <c r="Q3708" s="41" t="e">
        <f t="shared" si="7256"/>
        <v>#N/A</v>
      </c>
      <c r="R3708" s="44"/>
      <c r="S3708" s="44"/>
      <c r="T3708" s="43"/>
      <c r="U3708" s="43" t="str">
        <f t="shared" si="8"/>
        <v>No</v>
      </c>
      <c r="V3708" s="25"/>
      <c r="W3708" s="25"/>
      <c r="X3708" s="25"/>
      <c r="Y3708" s="25"/>
      <c r="Z3708" s="25"/>
    </row>
    <row r="3709" spans="1:26" ht="15.75" customHeight="1" x14ac:dyDescent="0.25">
      <c r="A3709" s="25">
        <v>3707</v>
      </c>
      <c r="B3709" s="37" t="e">
        <f t="shared" ref="B3709:D3709" si="7467">VLOOKUP($A3709,[12]Salud!$A$1:$O$277,B$1,0)</f>
        <v>#N/A</v>
      </c>
      <c r="C3709" s="38" t="e">
        <f t="shared" si="7467"/>
        <v>#N/A</v>
      </c>
      <c r="D3709" s="39" t="e">
        <f t="shared" si="7467"/>
        <v>#N/A</v>
      </c>
      <c r="E3709" s="16" t="e">
        <f t="shared" si="1"/>
        <v>#N/A</v>
      </c>
      <c r="F3709" s="16" t="e">
        <f t="shared" ref="F3709:K3709" si="7468">VLOOKUP($A3709,[12]Salud!$A$1:$O$277,F$1,0)</f>
        <v>#N/A</v>
      </c>
      <c r="G3709" s="39" t="e">
        <f t="shared" si="7468"/>
        <v>#N/A</v>
      </c>
      <c r="H3709" s="16" t="e">
        <f t="shared" si="7468"/>
        <v>#N/A</v>
      </c>
      <c r="I3709" s="16" t="e">
        <f t="shared" si="7468"/>
        <v>#N/A</v>
      </c>
      <c r="J3709" s="40" t="e">
        <f t="shared" si="7468"/>
        <v>#N/A</v>
      </c>
      <c r="K3709" s="16" t="e">
        <f t="shared" si="7468"/>
        <v>#N/A</v>
      </c>
      <c r="L3709" s="40" t="e">
        <f t="shared" si="7253"/>
        <v>#N/A</v>
      </c>
      <c r="M3709" s="16" t="e">
        <f t="shared" si="7254"/>
        <v>#N/A</v>
      </c>
      <c r="N3709" s="16" t="e">
        <f t="shared" si="7255"/>
        <v>#N/A</v>
      </c>
      <c r="O3709" s="16" t="s">
        <v>76</v>
      </c>
      <c r="P3709" s="16" t="str">
        <f t="shared" si="6"/>
        <v/>
      </c>
      <c r="Q3709" s="41" t="e">
        <f t="shared" si="7256"/>
        <v>#N/A</v>
      </c>
      <c r="R3709" s="44"/>
      <c r="S3709" s="44"/>
      <c r="T3709" s="43"/>
      <c r="U3709" s="43" t="str">
        <f t="shared" si="8"/>
        <v>No</v>
      </c>
      <c r="V3709" s="25"/>
      <c r="W3709" s="25"/>
      <c r="X3709" s="25"/>
      <c r="Y3709" s="25"/>
      <c r="Z3709" s="25"/>
    </row>
    <row r="3710" spans="1:26" ht="15.75" customHeight="1" x14ac:dyDescent="0.25">
      <c r="A3710" s="25">
        <v>3708</v>
      </c>
      <c r="B3710" s="37" t="e">
        <f t="shared" ref="B3710:D3710" si="7469">VLOOKUP($A3710,[12]Salud!$A$1:$O$277,B$1,0)</f>
        <v>#N/A</v>
      </c>
      <c r="C3710" s="38" t="e">
        <f t="shared" si="7469"/>
        <v>#N/A</v>
      </c>
      <c r="D3710" s="39" t="e">
        <f t="shared" si="7469"/>
        <v>#N/A</v>
      </c>
      <c r="E3710" s="16" t="e">
        <f t="shared" si="1"/>
        <v>#N/A</v>
      </c>
      <c r="F3710" s="16" t="e">
        <f t="shared" ref="F3710:K3710" si="7470">VLOOKUP($A3710,[12]Salud!$A$1:$O$277,F$1,0)</f>
        <v>#N/A</v>
      </c>
      <c r="G3710" s="39" t="e">
        <f t="shared" si="7470"/>
        <v>#N/A</v>
      </c>
      <c r="H3710" s="16" t="e">
        <f t="shared" si="7470"/>
        <v>#N/A</v>
      </c>
      <c r="I3710" s="16" t="e">
        <f t="shared" si="7470"/>
        <v>#N/A</v>
      </c>
      <c r="J3710" s="40" t="e">
        <f t="shared" si="7470"/>
        <v>#N/A</v>
      </c>
      <c r="K3710" s="16" t="e">
        <f t="shared" si="7470"/>
        <v>#N/A</v>
      </c>
      <c r="L3710" s="40" t="e">
        <f t="shared" si="7253"/>
        <v>#N/A</v>
      </c>
      <c r="M3710" s="16" t="e">
        <f t="shared" si="7254"/>
        <v>#N/A</v>
      </c>
      <c r="N3710" s="16" t="e">
        <f t="shared" si="7255"/>
        <v>#N/A</v>
      </c>
      <c r="O3710" s="16" t="s">
        <v>76</v>
      </c>
      <c r="P3710" s="16" t="str">
        <f t="shared" si="6"/>
        <v/>
      </c>
      <c r="Q3710" s="41" t="e">
        <f t="shared" si="7256"/>
        <v>#N/A</v>
      </c>
      <c r="R3710" s="44"/>
      <c r="S3710" s="44"/>
      <c r="T3710" s="43"/>
      <c r="U3710" s="43" t="str">
        <f t="shared" si="8"/>
        <v>No</v>
      </c>
      <c r="V3710" s="25"/>
      <c r="W3710" s="25"/>
      <c r="X3710" s="25"/>
      <c r="Y3710" s="25"/>
      <c r="Z3710" s="25"/>
    </row>
    <row r="3711" spans="1:26" ht="15.75" customHeight="1" x14ac:dyDescent="0.25">
      <c r="A3711" s="25">
        <v>3709</v>
      </c>
      <c r="B3711" s="37" t="e">
        <f t="shared" ref="B3711:D3711" si="7471">VLOOKUP($A3711,[12]Salud!$A$1:$O$277,B$1,0)</f>
        <v>#N/A</v>
      </c>
      <c r="C3711" s="38" t="e">
        <f t="shared" si="7471"/>
        <v>#N/A</v>
      </c>
      <c r="D3711" s="39" t="e">
        <f t="shared" si="7471"/>
        <v>#N/A</v>
      </c>
      <c r="E3711" s="16" t="e">
        <f t="shared" si="1"/>
        <v>#N/A</v>
      </c>
      <c r="F3711" s="16" t="e">
        <f t="shared" ref="F3711:K3711" si="7472">VLOOKUP($A3711,[12]Salud!$A$1:$O$277,F$1,0)</f>
        <v>#N/A</v>
      </c>
      <c r="G3711" s="39" t="e">
        <f t="shared" si="7472"/>
        <v>#N/A</v>
      </c>
      <c r="H3711" s="16" t="e">
        <f t="shared" si="7472"/>
        <v>#N/A</v>
      </c>
      <c r="I3711" s="16" t="e">
        <f t="shared" si="7472"/>
        <v>#N/A</v>
      </c>
      <c r="J3711" s="40" t="e">
        <f t="shared" si="7472"/>
        <v>#N/A</v>
      </c>
      <c r="K3711" s="16" t="e">
        <f t="shared" si="7472"/>
        <v>#N/A</v>
      </c>
      <c r="L3711" s="40" t="e">
        <f t="shared" si="7253"/>
        <v>#N/A</v>
      </c>
      <c r="M3711" s="16" t="e">
        <f t="shared" si="7254"/>
        <v>#N/A</v>
      </c>
      <c r="N3711" s="16" t="e">
        <f t="shared" si="7255"/>
        <v>#N/A</v>
      </c>
      <c r="O3711" s="16" t="s">
        <v>76</v>
      </c>
      <c r="P3711" s="16" t="str">
        <f t="shared" si="6"/>
        <v/>
      </c>
      <c r="Q3711" s="41" t="e">
        <f t="shared" si="7256"/>
        <v>#N/A</v>
      </c>
      <c r="R3711" s="44"/>
      <c r="S3711" s="44"/>
      <c r="T3711" s="43"/>
      <c r="U3711" s="43" t="str">
        <f t="shared" si="8"/>
        <v>No</v>
      </c>
      <c r="V3711" s="25"/>
      <c r="W3711" s="25"/>
      <c r="X3711" s="25"/>
      <c r="Y3711" s="25"/>
      <c r="Z3711" s="25"/>
    </row>
    <row r="3712" spans="1:26" ht="15.75" customHeight="1" x14ac:dyDescent="0.25">
      <c r="A3712" s="25">
        <v>3710</v>
      </c>
      <c r="B3712" s="37" t="e">
        <f t="shared" ref="B3712:D3712" si="7473">VLOOKUP($A3712,[12]Salud!$A$1:$O$277,B$1,0)</f>
        <v>#N/A</v>
      </c>
      <c r="C3712" s="38" t="e">
        <f t="shared" si="7473"/>
        <v>#N/A</v>
      </c>
      <c r="D3712" s="39" t="e">
        <f t="shared" si="7473"/>
        <v>#N/A</v>
      </c>
      <c r="E3712" s="16" t="e">
        <f t="shared" si="1"/>
        <v>#N/A</v>
      </c>
      <c r="F3712" s="16" t="e">
        <f t="shared" ref="F3712:K3712" si="7474">VLOOKUP($A3712,[12]Salud!$A$1:$O$277,F$1,0)</f>
        <v>#N/A</v>
      </c>
      <c r="G3712" s="39" t="e">
        <f t="shared" si="7474"/>
        <v>#N/A</v>
      </c>
      <c r="H3712" s="16" t="e">
        <f t="shared" si="7474"/>
        <v>#N/A</v>
      </c>
      <c r="I3712" s="16" t="e">
        <f t="shared" si="7474"/>
        <v>#N/A</v>
      </c>
      <c r="J3712" s="40" t="e">
        <f t="shared" si="7474"/>
        <v>#N/A</v>
      </c>
      <c r="K3712" s="16" t="e">
        <f t="shared" si="7474"/>
        <v>#N/A</v>
      </c>
      <c r="L3712" s="40" t="e">
        <f t="shared" si="7253"/>
        <v>#N/A</v>
      </c>
      <c r="M3712" s="16" t="e">
        <f t="shared" si="7254"/>
        <v>#N/A</v>
      </c>
      <c r="N3712" s="16" t="e">
        <f t="shared" si="7255"/>
        <v>#N/A</v>
      </c>
      <c r="O3712" s="16" t="s">
        <v>76</v>
      </c>
      <c r="P3712" s="16" t="str">
        <f t="shared" si="6"/>
        <v/>
      </c>
      <c r="Q3712" s="41" t="e">
        <f t="shared" si="7256"/>
        <v>#N/A</v>
      </c>
      <c r="R3712" s="44"/>
      <c r="S3712" s="44"/>
      <c r="T3712" s="43"/>
      <c r="U3712" s="43" t="str">
        <f t="shared" si="8"/>
        <v>No</v>
      </c>
      <c r="V3712" s="25"/>
      <c r="W3712" s="25"/>
      <c r="X3712" s="25"/>
      <c r="Y3712" s="25"/>
      <c r="Z3712" s="25"/>
    </row>
    <row r="3713" spans="1:26" ht="15.75" customHeight="1" x14ac:dyDescent="0.25">
      <c r="A3713" s="25">
        <v>3711</v>
      </c>
      <c r="B3713" s="37" t="e">
        <f t="shared" ref="B3713:D3713" si="7475">VLOOKUP($A3713,[12]Salud!$A$1:$O$277,B$1,0)</f>
        <v>#N/A</v>
      </c>
      <c r="C3713" s="38" t="e">
        <f t="shared" si="7475"/>
        <v>#N/A</v>
      </c>
      <c r="D3713" s="39" t="e">
        <f t="shared" si="7475"/>
        <v>#N/A</v>
      </c>
      <c r="E3713" s="16" t="e">
        <f t="shared" si="1"/>
        <v>#N/A</v>
      </c>
      <c r="F3713" s="16" t="e">
        <f t="shared" ref="F3713:K3713" si="7476">VLOOKUP($A3713,[12]Salud!$A$1:$O$277,F$1,0)</f>
        <v>#N/A</v>
      </c>
      <c r="G3713" s="39" t="e">
        <f t="shared" si="7476"/>
        <v>#N/A</v>
      </c>
      <c r="H3713" s="16" t="e">
        <f t="shared" si="7476"/>
        <v>#N/A</v>
      </c>
      <c r="I3713" s="16" t="e">
        <f t="shared" si="7476"/>
        <v>#N/A</v>
      </c>
      <c r="J3713" s="40" t="e">
        <f t="shared" si="7476"/>
        <v>#N/A</v>
      </c>
      <c r="K3713" s="16" t="e">
        <f t="shared" si="7476"/>
        <v>#N/A</v>
      </c>
      <c r="L3713" s="40" t="e">
        <f t="shared" si="7253"/>
        <v>#N/A</v>
      </c>
      <c r="M3713" s="16" t="e">
        <f t="shared" si="7254"/>
        <v>#N/A</v>
      </c>
      <c r="N3713" s="16" t="e">
        <f t="shared" si="7255"/>
        <v>#N/A</v>
      </c>
      <c r="O3713" s="16" t="s">
        <v>76</v>
      </c>
      <c r="P3713" s="16" t="str">
        <f t="shared" si="6"/>
        <v/>
      </c>
      <c r="Q3713" s="41" t="e">
        <f t="shared" si="7256"/>
        <v>#N/A</v>
      </c>
      <c r="R3713" s="44"/>
      <c r="S3713" s="44"/>
      <c r="T3713" s="43"/>
      <c r="U3713" s="43" t="str">
        <f t="shared" si="8"/>
        <v>No</v>
      </c>
      <c r="V3713" s="25"/>
      <c r="W3713" s="25"/>
      <c r="X3713" s="25"/>
      <c r="Y3713" s="25"/>
      <c r="Z3713" s="25"/>
    </row>
    <row r="3714" spans="1:26" ht="15.75" customHeight="1" x14ac:dyDescent="0.25">
      <c r="A3714" s="25">
        <v>3712</v>
      </c>
      <c r="B3714" s="37" t="e">
        <f t="shared" ref="B3714:D3714" si="7477">VLOOKUP($A3714,[12]Salud!$A$1:$O$277,B$1,0)</f>
        <v>#N/A</v>
      </c>
      <c r="C3714" s="38" t="e">
        <f t="shared" si="7477"/>
        <v>#N/A</v>
      </c>
      <c r="D3714" s="39" t="e">
        <f t="shared" si="7477"/>
        <v>#N/A</v>
      </c>
      <c r="E3714" s="16" t="e">
        <f t="shared" si="1"/>
        <v>#N/A</v>
      </c>
      <c r="F3714" s="16" t="e">
        <f t="shared" ref="F3714:K3714" si="7478">VLOOKUP($A3714,[12]Salud!$A$1:$O$277,F$1,0)</f>
        <v>#N/A</v>
      </c>
      <c r="G3714" s="39" t="e">
        <f t="shared" si="7478"/>
        <v>#N/A</v>
      </c>
      <c r="H3714" s="16" t="e">
        <f t="shared" si="7478"/>
        <v>#N/A</v>
      </c>
      <c r="I3714" s="16" t="e">
        <f t="shared" si="7478"/>
        <v>#N/A</v>
      </c>
      <c r="J3714" s="40" t="e">
        <f t="shared" si="7478"/>
        <v>#N/A</v>
      </c>
      <c r="K3714" s="16" t="e">
        <f t="shared" si="7478"/>
        <v>#N/A</v>
      </c>
      <c r="L3714" s="40" t="e">
        <f t="shared" si="7253"/>
        <v>#N/A</v>
      </c>
      <c r="M3714" s="16" t="e">
        <f t="shared" si="7254"/>
        <v>#N/A</v>
      </c>
      <c r="N3714" s="16" t="e">
        <f t="shared" si="7255"/>
        <v>#N/A</v>
      </c>
      <c r="O3714" s="16" t="s">
        <v>76</v>
      </c>
      <c r="P3714" s="16" t="str">
        <f t="shared" si="6"/>
        <v/>
      </c>
      <c r="Q3714" s="41" t="e">
        <f t="shared" si="7256"/>
        <v>#N/A</v>
      </c>
      <c r="R3714" s="44"/>
      <c r="S3714" s="44"/>
      <c r="T3714" s="43"/>
      <c r="U3714" s="43" t="str">
        <f t="shared" si="8"/>
        <v>No</v>
      </c>
      <c r="V3714" s="25"/>
      <c r="W3714" s="25"/>
      <c r="X3714" s="25"/>
      <c r="Y3714" s="25"/>
      <c r="Z3714" s="25"/>
    </row>
    <row r="3715" spans="1:26" ht="15.75" customHeight="1" x14ac:dyDescent="0.25">
      <c r="A3715" s="25">
        <v>3713</v>
      </c>
      <c r="B3715" s="37" t="e">
        <f t="shared" ref="B3715:D3715" si="7479">VLOOKUP($A3715,[12]Salud!$A$1:$O$277,B$1,0)</f>
        <v>#N/A</v>
      </c>
      <c r="C3715" s="38" t="e">
        <f t="shared" si="7479"/>
        <v>#N/A</v>
      </c>
      <c r="D3715" s="39" t="e">
        <f t="shared" si="7479"/>
        <v>#N/A</v>
      </c>
      <c r="E3715" s="16" t="e">
        <f t="shared" si="1"/>
        <v>#N/A</v>
      </c>
      <c r="F3715" s="16" t="e">
        <f t="shared" ref="F3715:K3715" si="7480">VLOOKUP($A3715,[12]Salud!$A$1:$O$277,F$1,0)</f>
        <v>#N/A</v>
      </c>
      <c r="G3715" s="39" t="e">
        <f t="shared" si="7480"/>
        <v>#N/A</v>
      </c>
      <c r="H3715" s="16" t="e">
        <f t="shared" si="7480"/>
        <v>#N/A</v>
      </c>
      <c r="I3715" s="16" t="e">
        <f t="shared" si="7480"/>
        <v>#N/A</v>
      </c>
      <c r="J3715" s="40" t="e">
        <f t="shared" si="7480"/>
        <v>#N/A</v>
      </c>
      <c r="K3715" s="16" t="e">
        <f t="shared" si="7480"/>
        <v>#N/A</v>
      </c>
      <c r="L3715" s="40" t="e">
        <f t="shared" si="7253"/>
        <v>#N/A</v>
      </c>
      <c r="M3715" s="16" t="e">
        <f t="shared" si="7254"/>
        <v>#N/A</v>
      </c>
      <c r="N3715" s="16" t="e">
        <f t="shared" si="7255"/>
        <v>#N/A</v>
      </c>
      <c r="O3715" s="16" t="s">
        <v>76</v>
      </c>
      <c r="P3715" s="16" t="str">
        <f t="shared" si="6"/>
        <v/>
      </c>
      <c r="Q3715" s="41" t="e">
        <f t="shared" si="7256"/>
        <v>#N/A</v>
      </c>
      <c r="R3715" s="44"/>
      <c r="S3715" s="44"/>
      <c r="T3715" s="43"/>
      <c r="U3715" s="43" t="str">
        <f t="shared" si="8"/>
        <v>No</v>
      </c>
      <c r="V3715" s="25"/>
      <c r="W3715" s="25"/>
      <c r="X3715" s="25"/>
      <c r="Y3715" s="25"/>
      <c r="Z3715" s="25"/>
    </row>
    <row r="3716" spans="1:26" ht="15.75" customHeight="1" x14ac:dyDescent="0.25">
      <c r="A3716" s="25">
        <v>3714</v>
      </c>
      <c r="B3716" s="37" t="e">
        <f t="shared" ref="B3716:D3716" si="7481">VLOOKUP($A3716,[12]Salud!$A$1:$O$277,B$1,0)</f>
        <v>#N/A</v>
      </c>
      <c r="C3716" s="38" t="e">
        <f t="shared" si="7481"/>
        <v>#N/A</v>
      </c>
      <c r="D3716" s="39" t="e">
        <f t="shared" si="7481"/>
        <v>#N/A</v>
      </c>
      <c r="E3716" s="16" t="e">
        <f t="shared" si="1"/>
        <v>#N/A</v>
      </c>
      <c r="F3716" s="16" t="e">
        <f t="shared" ref="F3716:K3716" si="7482">VLOOKUP($A3716,[12]Salud!$A$1:$O$277,F$1,0)</f>
        <v>#N/A</v>
      </c>
      <c r="G3716" s="39" t="e">
        <f t="shared" si="7482"/>
        <v>#N/A</v>
      </c>
      <c r="H3716" s="16" t="e">
        <f t="shared" si="7482"/>
        <v>#N/A</v>
      </c>
      <c r="I3716" s="16" t="e">
        <f t="shared" si="7482"/>
        <v>#N/A</v>
      </c>
      <c r="J3716" s="40" t="e">
        <f t="shared" si="7482"/>
        <v>#N/A</v>
      </c>
      <c r="K3716" s="16" t="e">
        <f t="shared" si="7482"/>
        <v>#N/A</v>
      </c>
      <c r="L3716" s="40" t="e">
        <f t="shared" si="7253"/>
        <v>#N/A</v>
      </c>
      <c r="M3716" s="16" t="e">
        <f t="shared" si="7254"/>
        <v>#N/A</v>
      </c>
      <c r="N3716" s="16" t="e">
        <f t="shared" si="7255"/>
        <v>#N/A</v>
      </c>
      <c r="O3716" s="16" t="s">
        <v>76</v>
      </c>
      <c r="P3716" s="16" t="str">
        <f t="shared" si="6"/>
        <v/>
      </c>
      <c r="Q3716" s="41" t="e">
        <f t="shared" si="7256"/>
        <v>#N/A</v>
      </c>
      <c r="R3716" s="44"/>
      <c r="S3716" s="44"/>
      <c r="T3716" s="43"/>
      <c r="U3716" s="43" t="str">
        <f t="shared" si="8"/>
        <v>No</v>
      </c>
      <c r="V3716" s="25"/>
      <c r="W3716" s="25"/>
      <c r="X3716" s="25"/>
      <c r="Y3716" s="25"/>
      <c r="Z3716" s="25"/>
    </row>
    <row r="3717" spans="1:26" ht="15.75" customHeight="1" x14ac:dyDescent="0.25">
      <c r="A3717" s="25">
        <v>3715</v>
      </c>
      <c r="B3717" s="37" t="e">
        <f t="shared" ref="B3717:D3717" si="7483">VLOOKUP($A3717,[12]Salud!$A$1:$O$277,B$1,0)</f>
        <v>#N/A</v>
      </c>
      <c r="C3717" s="38" t="e">
        <f t="shared" si="7483"/>
        <v>#N/A</v>
      </c>
      <c r="D3717" s="39" t="e">
        <f t="shared" si="7483"/>
        <v>#N/A</v>
      </c>
      <c r="E3717" s="16" t="e">
        <f t="shared" si="1"/>
        <v>#N/A</v>
      </c>
      <c r="F3717" s="16" t="e">
        <f t="shared" ref="F3717:K3717" si="7484">VLOOKUP($A3717,[12]Salud!$A$1:$O$277,F$1,0)</f>
        <v>#N/A</v>
      </c>
      <c r="G3717" s="39" t="e">
        <f t="shared" si="7484"/>
        <v>#N/A</v>
      </c>
      <c r="H3717" s="16" t="e">
        <f t="shared" si="7484"/>
        <v>#N/A</v>
      </c>
      <c r="I3717" s="16" t="e">
        <f t="shared" si="7484"/>
        <v>#N/A</v>
      </c>
      <c r="J3717" s="40" t="e">
        <f t="shared" si="7484"/>
        <v>#N/A</v>
      </c>
      <c r="K3717" s="16" t="e">
        <f t="shared" si="7484"/>
        <v>#N/A</v>
      </c>
      <c r="L3717" s="40" t="e">
        <f t="shared" si="7253"/>
        <v>#N/A</v>
      </c>
      <c r="M3717" s="16" t="e">
        <f t="shared" si="7254"/>
        <v>#N/A</v>
      </c>
      <c r="N3717" s="16" t="e">
        <f t="shared" si="7255"/>
        <v>#N/A</v>
      </c>
      <c r="O3717" s="16" t="s">
        <v>76</v>
      </c>
      <c r="P3717" s="16" t="str">
        <f t="shared" si="6"/>
        <v/>
      </c>
      <c r="Q3717" s="41" t="e">
        <f t="shared" si="7256"/>
        <v>#N/A</v>
      </c>
      <c r="R3717" s="44"/>
      <c r="S3717" s="44"/>
      <c r="T3717" s="43"/>
      <c r="U3717" s="43" t="str">
        <f t="shared" si="8"/>
        <v>No</v>
      </c>
      <c r="V3717" s="25"/>
      <c r="W3717" s="25"/>
      <c r="X3717" s="25"/>
      <c r="Y3717" s="25"/>
      <c r="Z3717" s="25"/>
    </row>
    <row r="3718" spans="1:26" ht="15.75" customHeight="1" x14ac:dyDescent="0.25">
      <c r="A3718" s="25">
        <v>3716</v>
      </c>
      <c r="B3718" s="37" t="e">
        <f t="shared" ref="B3718:D3718" si="7485">VLOOKUP($A3718,[12]Salud!$A$1:$O$277,B$1,0)</f>
        <v>#N/A</v>
      </c>
      <c r="C3718" s="38" t="e">
        <f t="shared" si="7485"/>
        <v>#N/A</v>
      </c>
      <c r="D3718" s="39" t="e">
        <f t="shared" si="7485"/>
        <v>#N/A</v>
      </c>
      <c r="E3718" s="16" t="e">
        <f t="shared" si="1"/>
        <v>#N/A</v>
      </c>
      <c r="F3718" s="16" t="e">
        <f t="shared" ref="F3718:K3718" si="7486">VLOOKUP($A3718,[12]Salud!$A$1:$O$277,F$1,0)</f>
        <v>#N/A</v>
      </c>
      <c r="G3718" s="39" t="e">
        <f t="shared" si="7486"/>
        <v>#N/A</v>
      </c>
      <c r="H3718" s="16" t="e">
        <f t="shared" si="7486"/>
        <v>#N/A</v>
      </c>
      <c r="I3718" s="16" t="e">
        <f t="shared" si="7486"/>
        <v>#N/A</v>
      </c>
      <c r="J3718" s="40" t="e">
        <f t="shared" si="7486"/>
        <v>#N/A</v>
      </c>
      <c r="K3718" s="16" t="e">
        <f t="shared" si="7486"/>
        <v>#N/A</v>
      </c>
      <c r="L3718" s="40" t="e">
        <f t="shared" si="7253"/>
        <v>#N/A</v>
      </c>
      <c r="M3718" s="16" t="e">
        <f t="shared" si="7254"/>
        <v>#N/A</v>
      </c>
      <c r="N3718" s="16" t="e">
        <f t="shared" si="7255"/>
        <v>#N/A</v>
      </c>
      <c r="O3718" s="16" t="s">
        <v>76</v>
      </c>
      <c r="P3718" s="16" t="str">
        <f t="shared" si="6"/>
        <v/>
      </c>
      <c r="Q3718" s="41" t="e">
        <f t="shared" si="7256"/>
        <v>#N/A</v>
      </c>
      <c r="R3718" s="44"/>
      <c r="S3718" s="44"/>
      <c r="T3718" s="43"/>
      <c r="U3718" s="43" t="str">
        <f t="shared" si="8"/>
        <v>No</v>
      </c>
      <c r="V3718" s="25"/>
      <c r="W3718" s="25"/>
      <c r="X3718" s="25"/>
      <c r="Y3718" s="25"/>
      <c r="Z3718" s="25"/>
    </row>
    <row r="3719" spans="1:26" ht="15.75" customHeight="1" x14ac:dyDescent="0.25">
      <c r="A3719" s="25">
        <v>3717</v>
      </c>
      <c r="B3719" s="37" t="e">
        <f t="shared" ref="B3719:D3719" si="7487">VLOOKUP($A3719,[12]Salud!$A$1:$O$277,B$1,0)</f>
        <v>#N/A</v>
      </c>
      <c r="C3719" s="38" t="e">
        <f t="shared" si="7487"/>
        <v>#N/A</v>
      </c>
      <c r="D3719" s="39" t="e">
        <f t="shared" si="7487"/>
        <v>#N/A</v>
      </c>
      <c r="E3719" s="16" t="e">
        <f t="shared" si="1"/>
        <v>#N/A</v>
      </c>
      <c r="F3719" s="16" t="e">
        <f t="shared" ref="F3719:K3719" si="7488">VLOOKUP($A3719,[12]Salud!$A$1:$O$277,F$1,0)</f>
        <v>#N/A</v>
      </c>
      <c r="G3719" s="39" t="e">
        <f t="shared" si="7488"/>
        <v>#N/A</v>
      </c>
      <c r="H3719" s="16" t="e">
        <f t="shared" si="7488"/>
        <v>#N/A</v>
      </c>
      <c r="I3719" s="16" t="e">
        <f t="shared" si="7488"/>
        <v>#N/A</v>
      </c>
      <c r="J3719" s="40" t="e">
        <f t="shared" si="7488"/>
        <v>#N/A</v>
      </c>
      <c r="K3719" s="16" t="e">
        <f t="shared" si="7488"/>
        <v>#N/A</v>
      </c>
      <c r="L3719" s="40" t="e">
        <f t="shared" si="7253"/>
        <v>#N/A</v>
      </c>
      <c r="M3719" s="16" t="e">
        <f t="shared" si="7254"/>
        <v>#N/A</v>
      </c>
      <c r="N3719" s="16" t="e">
        <f t="shared" si="7255"/>
        <v>#N/A</v>
      </c>
      <c r="O3719" s="16" t="s">
        <v>76</v>
      </c>
      <c r="P3719" s="16" t="str">
        <f t="shared" si="6"/>
        <v/>
      </c>
      <c r="Q3719" s="41" t="e">
        <f t="shared" si="7256"/>
        <v>#N/A</v>
      </c>
      <c r="R3719" s="44"/>
      <c r="S3719" s="44"/>
      <c r="T3719" s="43"/>
      <c r="U3719" s="43" t="str">
        <f t="shared" si="8"/>
        <v>No</v>
      </c>
      <c r="V3719" s="25"/>
      <c r="W3719" s="25"/>
      <c r="X3719" s="25"/>
      <c r="Y3719" s="25"/>
      <c r="Z3719" s="25"/>
    </row>
    <row r="3720" spans="1:26" ht="15.75" customHeight="1" x14ac:dyDescent="0.25">
      <c r="A3720" s="25">
        <v>3718</v>
      </c>
      <c r="B3720" s="37" t="e">
        <f t="shared" ref="B3720:D3720" si="7489">VLOOKUP($A3720,[12]Salud!$A$1:$O$277,B$1,0)</f>
        <v>#N/A</v>
      </c>
      <c r="C3720" s="38" t="e">
        <f t="shared" si="7489"/>
        <v>#N/A</v>
      </c>
      <c r="D3720" s="39" t="e">
        <f t="shared" si="7489"/>
        <v>#N/A</v>
      </c>
      <c r="E3720" s="16" t="e">
        <f t="shared" si="1"/>
        <v>#N/A</v>
      </c>
      <c r="F3720" s="16" t="e">
        <f t="shared" ref="F3720:K3720" si="7490">VLOOKUP($A3720,[12]Salud!$A$1:$O$277,F$1,0)</f>
        <v>#N/A</v>
      </c>
      <c r="G3720" s="39" t="e">
        <f t="shared" si="7490"/>
        <v>#N/A</v>
      </c>
      <c r="H3720" s="16" t="e">
        <f t="shared" si="7490"/>
        <v>#N/A</v>
      </c>
      <c r="I3720" s="16" t="e">
        <f t="shared" si="7490"/>
        <v>#N/A</v>
      </c>
      <c r="J3720" s="40" t="e">
        <f t="shared" si="7490"/>
        <v>#N/A</v>
      </c>
      <c r="K3720" s="16" t="e">
        <f t="shared" si="7490"/>
        <v>#N/A</v>
      </c>
      <c r="L3720" s="40" t="e">
        <f t="shared" si="7253"/>
        <v>#N/A</v>
      </c>
      <c r="M3720" s="16" t="e">
        <f t="shared" si="7254"/>
        <v>#N/A</v>
      </c>
      <c r="N3720" s="16" t="e">
        <f t="shared" si="7255"/>
        <v>#N/A</v>
      </c>
      <c r="O3720" s="16" t="s">
        <v>76</v>
      </c>
      <c r="P3720" s="16" t="str">
        <f t="shared" si="6"/>
        <v/>
      </c>
      <c r="Q3720" s="41" t="e">
        <f t="shared" si="7256"/>
        <v>#N/A</v>
      </c>
      <c r="R3720" s="44"/>
      <c r="S3720" s="44"/>
      <c r="T3720" s="43"/>
      <c r="U3720" s="43" t="str">
        <f t="shared" si="8"/>
        <v>No</v>
      </c>
      <c r="V3720" s="25"/>
      <c r="W3720" s="25"/>
      <c r="X3720" s="25"/>
      <c r="Y3720" s="25"/>
      <c r="Z3720" s="25"/>
    </row>
    <row r="3721" spans="1:26" ht="15.75" customHeight="1" x14ac:dyDescent="0.25">
      <c r="A3721" s="25">
        <v>3719</v>
      </c>
      <c r="B3721" s="37" t="e">
        <f t="shared" ref="B3721:D3721" si="7491">VLOOKUP($A3721,[12]Salud!$A$1:$O$277,B$1,0)</f>
        <v>#N/A</v>
      </c>
      <c r="C3721" s="38" t="e">
        <f t="shared" si="7491"/>
        <v>#N/A</v>
      </c>
      <c r="D3721" s="39" t="e">
        <f t="shared" si="7491"/>
        <v>#N/A</v>
      </c>
      <c r="E3721" s="16" t="e">
        <f t="shared" si="1"/>
        <v>#N/A</v>
      </c>
      <c r="F3721" s="16" t="e">
        <f t="shared" ref="F3721:K3721" si="7492">VLOOKUP($A3721,[12]Salud!$A$1:$O$277,F$1,0)</f>
        <v>#N/A</v>
      </c>
      <c r="G3721" s="39" t="e">
        <f t="shared" si="7492"/>
        <v>#N/A</v>
      </c>
      <c r="H3721" s="16" t="e">
        <f t="shared" si="7492"/>
        <v>#N/A</v>
      </c>
      <c r="I3721" s="16" t="e">
        <f t="shared" si="7492"/>
        <v>#N/A</v>
      </c>
      <c r="J3721" s="40" t="e">
        <f t="shared" si="7492"/>
        <v>#N/A</v>
      </c>
      <c r="K3721" s="16" t="e">
        <f t="shared" si="7492"/>
        <v>#N/A</v>
      </c>
      <c r="L3721" s="40" t="e">
        <f t="shared" si="7253"/>
        <v>#N/A</v>
      </c>
      <c r="M3721" s="16" t="e">
        <f t="shared" si="7254"/>
        <v>#N/A</v>
      </c>
      <c r="N3721" s="16" t="e">
        <f t="shared" si="7255"/>
        <v>#N/A</v>
      </c>
      <c r="O3721" s="16" t="s">
        <v>76</v>
      </c>
      <c r="P3721" s="16" t="str">
        <f t="shared" si="6"/>
        <v/>
      </c>
      <c r="Q3721" s="41" t="e">
        <f t="shared" si="7256"/>
        <v>#N/A</v>
      </c>
      <c r="R3721" s="44"/>
      <c r="S3721" s="44"/>
      <c r="T3721" s="43"/>
      <c r="U3721" s="43" t="str">
        <f t="shared" si="8"/>
        <v>No</v>
      </c>
      <c r="V3721" s="25"/>
      <c r="W3721" s="25"/>
      <c r="X3721" s="25"/>
      <c r="Y3721" s="25"/>
      <c r="Z3721" s="25"/>
    </row>
    <row r="3722" spans="1:26" ht="15.75" customHeight="1" x14ac:dyDescent="0.25">
      <c r="A3722" s="25">
        <v>3720</v>
      </c>
      <c r="B3722" s="37" t="e">
        <f t="shared" ref="B3722:D3722" si="7493">VLOOKUP($A3722,[12]Salud!$A$1:$O$277,B$1,0)</f>
        <v>#N/A</v>
      </c>
      <c r="C3722" s="38" t="e">
        <f t="shared" si="7493"/>
        <v>#N/A</v>
      </c>
      <c r="D3722" s="39" t="e">
        <f t="shared" si="7493"/>
        <v>#N/A</v>
      </c>
      <c r="E3722" s="16" t="e">
        <f t="shared" si="1"/>
        <v>#N/A</v>
      </c>
      <c r="F3722" s="16" t="e">
        <f t="shared" ref="F3722:K3722" si="7494">VLOOKUP($A3722,[12]Salud!$A$1:$O$277,F$1,0)</f>
        <v>#N/A</v>
      </c>
      <c r="G3722" s="39" t="e">
        <f t="shared" si="7494"/>
        <v>#N/A</v>
      </c>
      <c r="H3722" s="16" t="e">
        <f t="shared" si="7494"/>
        <v>#N/A</v>
      </c>
      <c r="I3722" s="16" t="e">
        <f t="shared" si="7494"/>
        <v>#N/A</v>
      </c>
      <c r="J3722" s="40" t="e">
        <f t="shared" si="7494"/>
        <v>#N/A</v>
      </c>
      <c r="K3722" s="16" t="e">
        <f t="shared" si="7494"/>
        <v>#N/A</v>
      </c>
      <c r="L3722" s="40" t="e">
        <f t="shared" si="7253"/>
        <v>#N/A</v>
      </c>
      <c r="M3722" s="16" t="e">
        <f t="shared" si="7254"/>
        <v>#N/A</v>
      </c>
      <c r="N3722" s="16" t="e">
        <f t="shared" si="7255"/>
        <v>#N/A</v>
      </c>
      <c r="O3722" s="16" t="s">
        <v>76</v>
      </c>
      <c r="P3722" s="16" t="str">
        <f t="shared" si="6"/>
        <v/>
      </c>
      <c r="Q3722" s="41" t="e">
        <f t="shared" si="7256"/>
        <v>#N/A</v>
      </c>
      <c r="R3722" s="44"/>
      <c r="S3722" s="44"/>
      <c r="T3722" s="43"/>
      <c r="U3722" s="43" t="str">
        <f t="shared" si="8"/>
        <v>No</v>
      </c>
      <c r="V3722" s="25"/>
      <c r="W3722" s="25"/>
      <c r="X3722" s="25"/>
      <c r="Y3722" s="25"/>
      <c r="Z3722" s="25"/>
    </row>
    <row r="3723" spans="1:26" ht="15.75" customHeight="1" x14ac:dyDescent="0.25">
      <c r="A3723" s="25">
        <v>3721</v>
      </c>
      <c r="B3723" s="37" t="e">
        <f t="shared" ref="B3723:D3723" si="7495">VLOOKUP($A3723,[12]Salud!$A$1:$O$277,B$1,0)</f>
        <v>#N/A</v>
      </c>
      <c r="C3723" s="38" t="e">
        <f t="shared" si="7495"/>
        <v>#N/A</v>
      </c>
      <c r="D3723" s="39" t="e">
        <f t="shared" si="7495"/>
        <v>#N/A</v>
      </c>
      <c r="E3723" s="16" t="e">
        <f t="shared" si="1"/>
        <v>#N/A</v>
      </c>
      <c r="F3723" s="16" t="e">
        <f t="shared" ref="F3723:K3723" si="7496">VLOOKUP($A3723,[12]Salud!$A$1:$O$277,F$1,0)</f>
        <v>#N/A</v>
      </c>
      <c r="G3723" s="39" t="e">
        <f t="shared" si="7496"/>
        <v>#N/A</v>
      </c>
      <c r="H3723" s="16" t="e">
        <f t="shared" si="7496"/>
        <v>#N/A</v>
      </c>
      <c r="I3723" s="16" t="e">
        <f t="shared" si="7496"/>
        <v>#N/A</v>
      </c>
      <c r="J3723" s="40" t="e">
        <f t="shared" si="7496"/>
        <v>#N/A</v>
      </c>
      <c r="K3723" s="16" t="e">
        <f t="shared" si="7496"/>
        <v>#N/A</v>
      </c>
      <c r="L3723" s="40" t="e">
        <f t="shared" si="7253"/>
        <v>#N/A</v>
      </c>
      <c r="M3723" s="16" t="e">
        <f t="shared" si="7254"/>
        <v>#N/A</v>
      </c>
      <c r="N3723" s="16" t="e">
        <f t="shared" si="7255"/>
        <v>#N/A</v>
      </c>
      <c r="O3723" s="16" t="s">
        <v>76</v>
      </c>
      <c r="P3723" s="16" t="str">
        <f t="shared" si="6"/>
        <v/>
      </c>
      <c r="Q3723" s="41" t="e">
        <f t="shared" si="7256"/>
        <v>#N/A</v>
      </c>
      <c r="R3723" s="44"/>
      <c r="S3723" s="44"/>
      <c r="T3723" s="43"/>
      <c r="U3723" s="43" t="str">
        <f t="shared" si="8"/>
        <v>No</v>
      </c>
      <c r="V3723" s="25"/>
      <c r="W3723" s="25"/>
      <c r="X3723" s="25"/>
      <c r="Y3723" s="25"/>
      <c r="Z3723" s="25"/>
    </row>
    <row r="3724" spans="1:26" ht="15.75" customHeight="1" x14ac:dyDescent="0.25">
      <c r="A3724" s="25">
        <v>3722</v>
      </c>
      <c r="B3724" s="37" t="e">
        <f t="shared" ref="B3724:D3724" si="7497">VLOOKUP($A3724,[12]Salud!$A$1:$O$277,B$1,0)</f>
        <v>#N/A</v>
      </c>
      <c r="C3724" s="38" t="e">
        <f t="shared" si="7497"/>
        <v>#N/A</v>
      </c>
      <c r="D3724" s="39" t="e">
        <f t="shared" si="7497"/>
        <v>#N/A</v>
      </c>
      <c r="E3724" s="16" t="e">
        <f t="shared" si="1"/>
        <v>#N/A</v>
      </c>
      <c r="F3724" s="16" t="e">
        <f t="shared" ref="F3724:K3724" si="7498">VLOOKUP($A3724,[12]Salud!$A$1:$O$277,F$1,0)</f>
        <v>#N/A</v>
      </c>
      <c r="G3724" s="39" t="e">
        <f t="shared" si="7498"/>
        <v>#N/A</v>
      </c>
      <c r="H3724" s="16" t="e">
        <f t="shared" si="7498"/>
        <v>#N/A</v>
      </c>
      <c r="I3724" s="16" t="e">
        <f t="shared" si="7498"/>
        <v>#N/A</v>
      </c>
      <c r="J3724" s="40" t="e">
        <f t="shared" si="7498"/>
        <v>#N/A</v>
      </c>
      <c r="K3724" s="16" t="e">
        <f t="shared" si="7498"/>
        <v>#N/A</v>
      </c>
      <c r="L3724" s="40" t="e">
        <f t="shared" si="7253"/>
        <v>#N/A</v>
      </c>
      <c r="M3724" s="16" t="e">
        <f t="shared" si="7254"/>
        <v>#N/A</v>
      </c>
      <c r="N3724" s="16" t="e">
        <f t="shared" si="7255"/>
        <v>#N/A</v>
      </c>
      <c r="O3724" s="16" t="s">
        <v>76</v>
      </c>
      <c r="P3724" s="16" t="str">
        <f t="shared" si="6"/>
        <v/>
      </c>
      <c r="Q3724" s="41" t="e">
        <f t="shared" si="7256"/>
        <v>#N/A</v>
      </c>
      <c r="R3724" s="44"/>
      <c r="S3724" s="44"/>
      <c r="T3724" s="43"/>
      <c r="U3724" s="43" t="str">
        <f t="shared" si="8"/>
        <v>No</v>
      </c>
      <c r="V3724" s="25"/>
      <c r="W3724" s="25"/>
      <c r="X3724" s="25"/>
      <c r="Y3724" s="25"/>
      <c r="Z3724" s="25"/>
    </row>
    <row r="3725" spans="1:26" ht="15.75" customHeight="1" x14ac:dyDescent="0.25">
      <c r="A3725" s="25">
        <v>3723</v>
      </c>
      <c r="B3725" s="37" t="e">
        <f t="shared" ref="B3725:D3725" si="7499">VLOOKUP($A3725,[12]Salud!$A$1:$O$277,B$1,0)</f>
        <v>#N/A</v>
      </c>
      <c r="C3725" s="38" t="e">
        <f t="shared" si="7499"/>
        <v>#N/A</v>
      </c>
      <c r="D3725" s="39" t="e">
        <f t="shared" si="7499"/>
        <v>#N/A</v>
      </c>
      <c r="E3725" s="16" t="e">
        <f t="shared" si="1"/>
        <v>#N/A</v>
      </c>
      <c r="F3725" s="16" t="e">
        <f t="shared" ref="F3725:K3725" si="7500">VLOOKUP($A3725,[12]Salud!$A$1:$O$277,F$1,0)</f>
        <v>#N/A</v>
      </c>
      <c r="G3725" s="39" t="e">
        <f t="shared" si="7500"/>
        <v>#N/A</v>
      </c>
      <c r="H3725" s="16" t="e">
        <f t="shared" si="7500"/>
        <v>#N/A</v>
      </c>
      <c r="I3725" s="16" t="e">
        <f t="shared" si="7500"/>
        <v>#N/A</v>
      </c>
      <c r="J3725" s="40" t="e">
        <f t="shared" si="7500"/>
        <v>#N/A</v>
      </c>
      <c r="K3725" s="16" t="e">
        <f t="shared" si="7500"/>
        <v>#N/A</v>
      </c>
      <c r="L3725" s="40" t="e">
        <f t="shared" si="7253"/>
        <v>#N/A</v>
      </c>
      <c r="M3725" s="16" t="e">
        <f t="shared" si="7254"/>
        <v>#N/A</v>
      </c>
      <c r="N3725" s="16" t="e">
        <f t="shared" si="7255"/>
        <v>#N/A</v>
      </c>
      <c r="O3725" s="16" t="s">
        <v>76</v>
      </c>
      <c r="P3725" s="16" t="str">
        <f t="shared" si="6"/>
        <v/>
      </c>
      <c r="Q3725" s="41" t="e">
        <f t="shared" si="7256"/>
        <v>#N/A</v>
      </c>
      <c r="R3725" s="44"/>
      <c r="S3725" s="44"/>
      <c r="T3725" s="43"/>
      <c r="U3725" s="43" t="str">
        <f t="shared" si="8"/>
        <v>No</v>
      </c>
      <c r="V3725" s="25"/>
      <c r="W3725" s="25"/>
      <c r="X3725" s="25"/>
      <c r="Y3725" s="25"/>
      <c r="Z3725" s="25"/>
    </row>
    <row r="3726" spans="1:26" ht="15.75" customHeight="1" x14ac:dyDescent="0.25">
      <c r="A3726" s="25">
        <v>3724</v>
      </c>
      <c r="B3726" s="37" t="e">
        <f t="shared" ref="B3726:D3726" si="7501">VLOOKUP($A3726,[12]Salud!$A$1:$O$277,B$1,0)</f>
        <v>#N/A</v>
      </c>
      <c r="C3726" s="38" t="e">
        <f t="shared" si="7501"/>
        <v>#N/A</v>
      </c>
      <c r="D3726" s="39" t="e">
        <f t="shared" si="7501"/>
        <v>#N/A</v>
      </c>
      <c r="E3726" s="16" t="e">
        <f t="shared" si="1"/>
        <v>#N/A</v>
      </c>
      <c r="F3726" s="16" t="e">
        <f t="shared" ref="F3726:K3726" si="7502">VLOOKUP($A3726,[12]Salud!$A$1:$O$277,F$1,0)</f>
        <v>#N/A</v>
      </c>
      <c r="G3726" s="39" t="e">
        <f t="shared" si="7502"/>
        <v>#N/A</v>
      </c>
      <c r="H3726" s="16" t="e">
        <f t="shared" si="7502"/>
        <v>#N/A</v>
      </c>
      <c r="I3726" s="16" t="e">
        <f t="shared" si="7502"/>
        <v>#N/A</v>
      </c>
      <c r="J3726" s="40" t="e">
        <f t="shared" si="7502"/>
        <v>#N/A</v>
      </c>
      <c r="K3726" s="16" t="e">
        <f t="shared" si="7502"/>
        <v>#N/A</v>
      </c>
      <c r="L3726" s="40" t="e">
        <f t="shared" si="7253"/>
        <v>#N/A</v>
      </c>
      <c r="M3726" s="16" t="e">
        <f t="shared" si="7254"/>
        <v>#N/A</v>
      </c>
      <c r="N3726" s="16" t="e">
        <f t="shared" si="7255"/>
        <v>#N/A</v>
      </c>
      <c r="O3726" s="16" t="s">
        <v>76</v>
      </c>
      <c r="P3726" s="16" t="str">
        <f t="shared" si="6"/>
        <v/>
      </c>
      <c r="Q3726" s="41" t="e">
        <f t="shared" si="7256"/>
        <v>#N/A</v>
      </c>
      <c r="R3726" s="44"/>
      <c r="S3726" s="44"/>
      <c r="T3726" s="43"/>
      <c r="U3726" s="43" t="str">
        <f t="shared" si="8"/>
        <v>No</v>
      </c>
      <c r="V3726" s="25"/>
      <c r="W3726" s="25"/>
      <c r="X3726" s="25"/>
      <c r="Y3726" s="25"/>
      <c r="Z3726" s="25"/>
    </row>
    <row r="3727" spans="1:26" ht="15.75" customHeight="1" x14ac:dyDescent="0.25">
      <c r="A3727" s="25">
        <v>3725</v>
      </c>
      <c r="B3727" s="37" t="e">
        <f t="shared" ref="B3727:D3727" si="7503">VLOOKUP($A3727,[12]Salud!$A$1:$O$277,B$1,0)</f>
        <v>#N/A</v>
      </c>
      <c r="C3727" s="38" t="e">
        <f t="shared" si="7503"/>
        <v>#N/A</v>
      </c>
      <c r="D3727" s="39" t="e">
        <f t="shared" si="7503"/>
        <v>#N/A</v>
      </c>
      <c r="E3727" s="16" t="e">
        <f t="shared" si="1"/>
        <v>#N/A</v>
      </c>
      <c r="F3727" s="16" t="e">
        <f t="shared" ref="F3727:K3727" si="7504">VLOOKUP($A3727,[12]Salud!$A$1:$O$277,F$1,0)</f>
        <v>#N/A</v>
      </c>
      <c r="G3727" s="39" t="e">
        <f t="shared" si="7504"/>
        <v>#N/A</v>
      </c>
      <c r="H3727" s="16" t="e">
        <f t="shared" si="7504"/>
        <v>#N/A</v>
      </c>
      <c r="I3727" s="16" t="e">
        <f t="shared" si="7504"/>
        <v>#N/A</v>
      </c>
      <c r="J3727" s="40" t="e">
        <f t="shared" si="7504"/>
        <v>#N/A</v>
      </c>
      <c r="K3727" s="16" t="e">
        <f t="shared" si="7504"/>
        <v>#N/A</v>
      </c>
      <c r="L3727" s="40" t="e">
        <f t="shared" si="7253"/>
        <v>#N/A</v>
      </c>
      <c r="M3727" s="16" t="e">
        <f t="shared" si="7254"/>
        <v>#N/A</v>
      </c>
      <c r="N3727" s="16" t="e">
        <f t="shared" si="7255"/>
        <v>#N/A</v>
      </c>
      <c r="O3727" s="16" t="s">
        <v>76</v>
      </c>
      <c r="P3727" s="16" t="str">
        <f t="shared" si="6"/>
        <v/>
      </c>
      <c r="Q3727" s="41" t="e">
        <f t="shared" si="7256"/>
        <v>#N/A</v>
      </c>
      <c r="R3727" s="44"/>
      <c r="S3727" s="44"/>
      <c r="T3727" s="43"/>
      <c r="U3727" s="43" t="str">
        <f t="shared" si="8"/>
        <v>No</v>
      </c>
      <c r="V3727" s="25"/>
      <c r="W3727" s="25"/>
      <c r="X3727" s="25"/>
      <c r="Y3727" s="25"/>
      <c r="Z3727" s="25"/>
    </row>
    <row r="3728" spans="1:26" ht="15.75" customHeight="1" x14ac:dyDescent="0.25">
      <c r="A3728" s="25">
        <v>3726</v>
      </c>
      <c r="B3728" s="37" t="e">
        <f t="shared" ref="B3728:D3728" si="7505">VLOOKUP($A3728,[12]Salud!$A$1:$O$277,B$1,0)</f>
        <v>#N/A</v>
      </c>
      <c r="C3728" s="38" t="e">
        <f t="shared" si="7505"/>
        <v>#N/A</v>
      </c>
      <c r="D3728" s="39" t="e">
        <f t="shared" si="7505"/>
        <v>#N/A</v>
      </c>
      <c r="E3728" s="16" t="e">
        <f t="shared" si="1"/>
        <v>#N/A</v>
      </c>
      <c r="F3728" s="16" t="e">
        <f t="shared" ref="F3728:K3728" si="7506">VLOOKUP($A3728,[12]Salud!$A$1:$O$277,F$1,0)</f>
        <v>#N/A</v>
      </c>
      <c r="G3728" s="39" t="e">
        <f t="shared" si="7506"/>
        <v>#N/A</v>
      </c>
      <c r="H3728" s="16" t="e">
        <f t="shared" si="7506"/>
        <v>#N/A</v>
      </c>
      <c r="I3728" s="16" t="e">
        <f t="shared" si="7506"/>
        <v>#N/A</v>
      </c>
      <c r="J3728" s="40" t="e">
        <f t="shared" si="7506"/>
        <v>#N/A</v>
      </c>
      <c r="K3728" s="16" t="e">
        <f t="shared" si="7506"/>
        <v>#N/A</v>
      </c>
      <c r="L3728" s="40" t="e">
        <f t="shared" si="7253"/>
        <v>#N/A</v>
      </c>
      <c r="M3728" s="16" t="e">
        <f t="shared" si="7254"/>
        <v>#N/A</v>
      </c>
      <c r="N3728" s="16" t="e">
        <f t="shared" si="7255"/>
        <v>#N/A</v>
      </c>
      <c r="O3728" s="16" t="s">
        <v>76</v>
      </c>
      <c r="P3728" s="16" t="str">
        <f t="shared" si="6"/>
        <v/>
      </c>
      <c r="Q3728" s="41" t="e">
        <f t="shared" si="7256"/>
        <v>#N/A</v>
      </c>
      <c r="R3728" s="44"/>
      <c r="S3728" s="44"/>
      <c r="T3728" s="43"/>
      <c r="U3728" s="43" t="str">
        <f t="shared" si="8"/>
        <v>No</v>
      </c>
      <c r="V3728" s="25"/>
      <c r="W3728" s="25"/>
      <c r="X3728" s="25"/>
      <c r="Y3728" s="25"/>
      <c r="Z3728" s="25"/>
    </row>
    <row r="3729" spans="1:26" ht="15.75" customHeight="1" x14ac:dyDescent="0.25">
      <c r="A3729" s="25">
        <v>3727</v>
      </c>
      <c r="B3729" s="37" t="e">
        <f t="shared" ref="B3729:D3729" si="7507">VLOOKUP($A3729,[12]Salud!$A$1:$O$277,B$1,0)</f>
        <v>#N/A</v>
      </c>
      <c r="C3729" s="38" t="e">
        <f t="shared" si="7507"/>
        <v>#N/A</v>
      </c>
      <c r="D3729" s="39" t="e">
        <f t="shared" si="7507"/>
        <v>#N/A</v>
      </c>
      <c r="E3729" s="16" t="e">
        <f t="shared" si="1"/>
        <v>#N/A</v>
      </c>
      <c r="F3729" s="16" t="e">
        <f t="shared" ref="F3729:K3729" si="7508">VLOOKUP($A3729,[12]Salud!$A$1:$O$277,F$1,0)</f>
        <v>#N/A</v>
      </c>
      <c r="G3729" s="39" t="e">
        <f t="shared" si="7508"/>
        <v>#N/A</v>
      </c>
      <c r="H3729" s="16" t="e">
        <f t="shared" si="7508"/>
        <v>#N/A</v>
      </c>
      <c r="I3729" s="16" t="e">
        <f t="shared" si="7508"/>
        <v>#N/A</v>
      </c>
      <c r="J3729" s="40" t="e">
        <f t="shared" si="7508"/>
        <v>#N/A</v>
      </c>
      <c r="K3729" s="16" t="e">
        <f t="shared" si="7508"/>
        <v>#N/A</v>
      </c>
      <c r="L3729" s="40" t="e">
        <f t="shared" si="7253"/>
        <v>#N/A</v>
      </c>
      <c r="M3729" s="16" t="e">
        <f t="shared" si="7254"/>
        <v>#N/A</v>
      </c>
      <c r="N3729" s="16" t="e">
        <f t="shared" si="7255"/>
        <v>#N/A</v>
      </c>
      <c r="O3729" s="16" t="s">
        <v>76</v>
      </c>
      <c r="P3729" s="16" t="str">
        <f t="shared" si="6"/>
        <v/>
      </c>
      <c r="Q3729" s="41" t="e">
        <f t="shared" si="7256"/>
        <v>#N/A</v>
      </c>
      <c r="R3729" s="44"/>
      <c r="S3729" s="44"/>
      <c r="T3729" s="43"/>
      <c r="U3729" s="43" t="str">
        <f t="shared" si="8"/>
        <v>No</v>
      </c>
      <c r="V3729" s="25"/>
      <c r="W3729" s="25"/>
      <c r="X3729" s="25"/>
      <c r="Y3729" s="25"/>
      <c r="Z3729" s="25"/>
    </row>
    <row r="3730" spans="1:26" ht="15.75" customHeight="1" x14ac:dyDescent="0.25">
      <c r="A3730" s="25">
        <v>3728</v>
      </c>
      <c r="B3730" s="37" t="e">
        <f t="shared" ref="B3730:D3730" si="7509">VLOOKUP($A3730,[12]Salud!$A$1:$O$277,B$1,0)</f>
        <v>#N/A</v>
      </c>
      <c r="C3730" s="38" t="e">
        <f t="shared" si="7509"/>
        <v>#N/A</v>
      </c>
      <c r="D3730" s="39" t="e">
        <f t="shared" si="7509"/>
        <v>#N/A</v>
      </c>
      <c r="E3730" s="16" t="e">
        <f t="shared" si="1"/>
        <v>#N/A</v>
      </c>
      <c r="F3730" s="16" t="e">
        <f t="shared" ref="F3730:K3730" si="7510">VLOOKUP($A3730,[12]Salud!$A$1:$O$277,F$1,0)</f>
        <v>#N/A</v>
      </c>
      <c r="G3730" s="39" t="e">
        <f t="shared" si="7510"/>
        <v>#N/A</v>
      </c>
      <c r="H3730" s="16" t="e">
        <f t="shared" si="7510"/>
        <v>#N/A</v>
      </c>
      <c r="I3730" s="16" t="e">
        <f t="shared" si="7510"/>
        <v>#N/A</v>
      </c>
      <c r="J3730" s="40" t="e">
        <f t="shared" si="7510"/>
        <v>#N/A</v>
      </c>
      <c r="K3730" s="16" t="e">
        <f t="shared" si="7510"/>
        <v>#N/A</v>
      </c>
      <c r="L3730" s="40" t="e">
        <f t="shared" si="7253"/>
        <v>#N/A</v>
      </c>
      <c r="M3730" s="16" t="e">
        <f t="shared" si="7254"/>
        <v>#N/A</v>
      </c>
      <c r="N3730" s="16" t="e">
        <f t="shared" si="7255"/>
        <v>#N/A</v>
      </c>
      <c r="O3730" s="16" t="s">
        <v>76</v>
      </c>
      <c r="P3730" s="16" t="str">
        <f t="shared" si="6"/>
        <v/>
      </c>
      <c r="Q3730" s="41" t="e">
        <f t="shared" si="7256"/>
        <v>#N/A</v>
      </c>
      <c r="R3730" s="44"/>
      <c r="S3730" s="44"/>
      <c r="T3730" s="43"/>
      <c r="U3730" s="43" t="str">
        <f t="shared" si="8"/>
        <v>No</v>
      </c>
      <c r="V3730" s="25"/>
      <c r="W3730" s="25"/>
      <c r="X3730" s="25"/>
      <c r="Y3730" s="25"/>
      <c r="Z3730" s="25"/>
    </row>
    <row r="3731" spans="1:26" ht="15.75" customHeight="1" x14ac:dyDescent="0.25">
      <c r="A3731" s="25">
        <v>3729</v>
      </c>
      <c r="B3731" s="37" t="e">
        <f t="shared" ref="B3731:D3731" si="7511">VLOOKUP($A3731,[12]Salud!$A$1:$O$277,B$1,0)</f>
        <v>#N/A</v>
      </c>
      <c r="C3731" s="38" t="e">
        <f t="shared" si="7511"/>
        <v>#N/A</v>
      </c>
      <c r="D3731" s="39" t="e">
        <f t="shared" si="7511"/>
        <v>#N/A</v>
      </c>
      <c r="E3731" s="16" t="e">
        <f t="shared" si="1"/>
        <v>#N/A</v>
      </c>
      <c r="F3731" s="16" t="e">
        <f t="shared" ref="F3731:K3731" si="7512">VLOOKUP($A3731,[12]Salud!$A$1:$O$277,F$1,0)</f>
        <v>#N/A</v>
      </c>
      <c r="G3731" s="39" t="e">
        <f t="shared" si="7512"/>
        <v>#N/A</v>
      </c>
      <c r="H3731" s="16" t="e">
        <f t="shared" si="7512"/>
        <v>#N/A</v>
      </c>
      <c r="I3731" s="16" t="e">
        <f t="shared" si="7512"/>
        <v>#N/A</v>
      </c>
      <c r="J3731" s="40" t="e">
        <f t="shared" si="7512"/>
        <v>#N/A</v>
      </c>
      <c r="K3731" s="16" t="e">
        <f t="shared" si="7512"/>
        <v>#N/A</v>
      </c>
      <c r="L3731" s="40" t="e">
        <f t="shared" si="7253"/>
        <v>#N/A</v>
      </c>
      <c r="M3731" s="16" t="e">
        <f t="shared" si="7254"/>
        <v>#N/A</v>
      </c>
      <c r="N3731" s="16" t="e">
        <f t="shared" si="7255"/>
        <v>#N/A</v>
      </c>
      <c r="O3731" s="16" t="s">
        <v>76</v>
      </c>
      <c r="P3731" s="16" t="str">
        <f t="shared" si="6"/>
        <v/>
      </c>
      <c r="Q3731" s="41" t="e">
        <f t="shared" si="7256"/>
        <v>#N/A</v>
      </c>
      <c r="R3731" s="44"/>
      <c r="S3731" s="44"/>
      <c r="T3731" s="43"/>
      <c r="U3731" s="43" t="str">
        <f t="shared" si="8"/>
        <v>No</v>
      </c>
      <c r="V3731" s="25"/>
      <c r="W3731" s="25"/>
      <c r="X3731" s="25"/>
      <c r="Y3731" s="25"/>
      <c r="Z3731" s="25"/>
    </row>
    <row r="3732" spans="1:26" ht="15.75" customHeight="1" x14ac:dyDescent="0.25">
      <c r="A3732" s="25">
        <v>3730</v>
      </c>
      <c r="B3732" s="37" t="e">
        <f t="shared" ref="B3732:D3732" si="7513">VLOOKUP($A3732,[12]Salud!$A$1:$O$277,B$1,0)</f>
        <v>#N/A</v>
      </c>
      <c r="C3732" s="38" t="e">
        <f t="shared" si="7513"/>
        <v>#N/A</v>
      </c>
      <c r="D3732" s="39" t="e">
        <f t="shared" si="7513"/>
        <v>#N/A</v>
      </c>
      <c r="E3732" s="16" t="e">
        <f t="shared" si="1"/>
        <v>#N/A</v>
      </c>
      <c r="F3732" s="16" t="e">
        <f t="shared" ref="F3732:K3732" si="7514">VLOOKUP($A3732,[12]Salud!$A$1:$O$277,F$1,0)</f>
        <v>#N/A</v>
      </c>
      <c r="G3732" s="39" t="e">
        <f t="shared" si="7514"/>
        <v>#N/A</v>
      </c>
      <c r="H3732" s="16" t="e">
        <f t="shared" si="7514"/>
        <v>#N/A</v>
      </c>
      <c r="I3732" s="16" t="e">
        <f t="shared" si="7514"/>
        <v>#N/A</v>
      </c>
      <c r="J3732" s="40" t="e">
        <f t="shared" si="7514"/>
        <v>#N/A</v>
      </c>
      <c r="K3732" s="16" t="e">
        <f t="shared" si="7514"/>
        <v>#N/A</v>
      </c>
      <c r="L3732" s="40" t="e">
        <f t="shared" si="7253"/>
        <v>#N/A</v>
      </c>
      <c r="M3732" s="16" t="e">
        <f t="shared" si="7254"/>
        <v>#N/A</v>
      </c>
      <c r="N3732" s="16" t="e">
        <f t="shared" si="7255"/>
        <v>#N/A</v>
      </c>
      <c r="O3732" s="16" t="s">
        <v>76</v>
      </c>
      <c r="P3732" s="16" t="str">
        <f t="shared" si="6"/>
        <v/>
      </c>
      <c r="Q3732" s="41" t="e">
        <f t="shared" si="7256"/>
        <v>#N/A</v>
      </c>
      <c r="R3732" s="44"/>
      <c r="S3732" s="44"/>
      <c r="T3732" s="43"/>
      <c r="U3732" s="43" t="str">
        <f t="shared" si="8"/>
        <v>No</v>
      </c>
      <c r="V3732" s="25"/>
      <c r="W3732" s="25"/>
      <c r="X3732" s="25"/>
      <c r="Y3732" s="25"/>
      <c r="Z3732" s="25"/>
    </row>
    <row r="3733" spans="1:26" ht="15.75" customHeight="1" x14ac:dyDescent="0.25">
      <c r="A3733" s="25">
        <v>3731</v>
      </c>
      <c r="B3733" s="37" t="e">
        <f t="shared" ref="B3733:D3733" si="7515">VLOOKUP($A3733,[12]Salud!$A$1:$O$277,B$1,0)</f>
        <v>#N/A</v>
      </c>
      <c r="C3733" s="38" t="e">
        <f t="shared" si="7515"/>
        <v>#N/A</v>
      </c>
      <c r="D3733" s="39" t="e">
        <f t="shared" si="7515"/>
        <v>#N/A</v>
      </c>
      <c r="E3733" s="16" t="e">
        <f t="shared" si="1"/>
        <v>#N/A</v>
      </c>
      <c r="F3733" s="16" t="e">
        <f t="shared" ref="F3733:K3733" si="7516">VLOOKUP($A3733,[12]Salud!$A$1:$O$277,F$1,0)</f>
        <v>#N/A</v>
      </c>
      <c r="G3733" s="39" t="e">
        <f t="shared" si="7516"/>
        <v>#N/A</v>
      </c>
      <c r="H3733" s="16" t="e">
        <f t="shared" si="7516"/>
        <v>#N/A</v>
      </c>
      <c r="I3733" s="16" t="e">
        <f t="shared" si="7516"/>
        <v>#N/A</v>
      </c>
      <c r="J3733" s="40" t="e">
        <f t="shared" si="7516"/>
        <v>#N/A</v>
      </c>
      <c r="K3733" s="16" t="e">
        <f t="shared" si="7516"/>
        <v>#N/A</v>
      </c>
      <c r="L3733" s="40" t="e">
        <f t="shared" si="7253"/>
        <v>#N/A</v>
      </c>
      <c r="M3733" s="16" t="e">
        <f t="shared" si="7254"/>
        <v>#N/A</v>
      </c>
      <c r="N3733" s="16" t="e">
        <f t="shared" si="7255"/>
        <v>#N/A</v>
      </c>
      <c r="O3733" s="16" t="s">
        <v>76</v>
      </c>
      <c r="P3733" s="16" t="str">
        <f t="shared" si="6"/>
        <v/>
      </c>
      <c r="Q3733" s="41" t="e">
        <f t="shared" si="7256"/>
        <v>#N/A</v>
      </c>
      <c r="R3733" s="44"/>
      <c r="S3733" s="44"/>
      <c r="T3733" s="43"/>
      <c r="U3733" s="43" t="str">
        <f t="shared" si="8"/>
        <v>No</v>
      </c>
      <c r="V3733" s="25"/>
      <c r="W3733" s="25"/>
      <c r="X3733" s="25"/>
      <c r="Y3733" s="25"/>
      <c r="Z3733" s="25"/>
    </row>
    <row r="3734" spans="1:26" ht="15.75" customHeight="1" x14ac:dyDescent="0.25">
      <c r="A3734" s="25">
        <v>3732</v>
      </c>
      <c r="B3734" s="37" t="e">
        <f t="shared" ref="B3734:D3734" si="7517">VLOOKUP($A3734,[12]Salud!$A$1:$O$277,B$1,0)</f>
        <v>#N/A</v>
      </c>
      <c r="C3734" s="38" t="e">
        <f t="shared" si="7517"/>
        <v>#N/A</v>
      </c>
      <c r="D3734" s="39" t="e">
        <f t="shared" si="7517"/>
        <v>#N/A</v>
      </c>
      <c r="E3734" s="16" t="e">
        <f t="shared" si="1"/>
        <v>#N/A</v>
      </c>
      <c r="F3734" s="16" t="e">
        <f t="shared" ref="F3734:K3734" si="7518">VLOOKUP($A3734,[12]Salud!$A$1:$O$277,F$1,0)</f>
        <v>#N/A</v>
      </c>
      <c r="G3734" s="39" t="e">
        <f t="shared" si="7518"/>
        <v>#N/A</v>
      </c>
      <c r="H3734" s="16" t="e">
        <f t="shared" si="7518"/>
        <v>#N/A</v>
      </c>
      <c r="I3734" s="16" t="e">
        <f t="shared" si="7518"/>
        <v>#N/A</v>
      </c>
      <c r="J3734" s="40" t="e">
        <f t="shared" si="7518"/>
        <v>#N/A</v>
      </c>
      <c r="K3734" s="16" t="e">
        <f t="shared" si="7518"/>
        <v>#N/A</v>
      </c>
      <c r="L3734" s="40" t="e">
        <f t="shared" si="7253"/>
        <v>#N/A</v>
      </c>
      <c r="M3734" s="16" t="e">
        <f t="shared" si="7254"/>
        <v>#N/A</v>
      </c>
      <c r="N3734" s="16" t="e">
        <f t="shared" si="7255"/>
        <v>#N/A</v>
      </c>
      <c r="O3734" s="16" t="s">
        <v>76</v>
      </c>
      <c r="P3734" s="16" t="str">
        <f t="shared" si="6"/>
        <v/>
      </c>
      <c r="Q3734" s="41" t="e">
        <f t="shared" si="7256"/>
        <v>#N/A</v>
      </c>
      <c r="R3734" s="44"/>
      <c r="S3734" s="44"/>
      <c r="T3734" s="43"/>
      <c r="U3734" s="43" t="str">
        <f t="shared" si="8"/>
        <v>No</v>
      </c>
      <c r="V3734" s="25"/>
      <c r="W3734" s="25"/>
      <c r="X3734" s="25"/>
      <c r="Y3734" s="25"/>
      <c r="Z3734" s="25"/>
    </row>
    <row r="3735" spans="1:26" ht="15.75" customHeight="1" x14ac:dyDescent="0.25">
      <c r="A3735" s="25">
        <v>3733</v>
      </c>
      <c r="B3735" s="37" t="e">
        <f t="shared" ref="B3735:D3735" si="7519">VLOOKUP($A3735,[12]Salud!$A$1:$O$277,B$1,0)</f>
        <v>#N/A</v>
      </c>
      <c r="C3735" s="38" t="e">
        <f t="shared" si="7519"/>
        <v>#N/A</v>
      </c>
      <c r="D3735" s="39" t="e">
        <f t="shared" si="7519"/>
        <v>#N/A</v>
      </c>
      <c r="E3735" s="16" t="e">
        <f t="shared" si="1"/>
        <v>#N/A</v>
      </c>
      <c r="F3735" s="16" t="e">
        <f t="shared" ref="F3735:K3735" si="7520">VLOOKUP($A3735,[12]Salud!$A$1:$O$277,F$1,0)</f>
        <v>#N/A</v>
      </c>
      <c r="G3735" s="39" t="e">
        <f t="shared" si="7520"/>
        <v>#N/A</v>
      </c>
      <c r="H3735" s="16" t="e">
        <f t="shared" si="7520"/>
        <v>#N/A</v>
      </c>
      <c r="I3735" s="16" t="e">
        <f t="shared" si="7520"/>
        <v>#N/A</v>
      </c>
      <c r="J3735" s="40" t="e">
        <f t="shared" si="7520"/>
        <v>#N/A</v>
      </c>
      <c r="K3735" s="16" t="e">
        <f t="shared" si="7520"/>
        <v>#N/A</v>
      </c>
      <c r="L3735" s="40" t="e">
        <f t="shared" si="7253"/>
        <v>#N/A</v>
      </c>
      <c r="M3735" s="16" t="e">
        <f t="shared" si="7254"/>
        <v>#N/A</v>
      </c>
      <c r="N3735" s="16" t="e">
        <f t="shared" si="7255"/>
        <v>#N/A</v>
      </c>
      <c r="O3735" s="16" t="s">
        <v>76</v>
      </c>
      <c r="P3735" s="16" t="str">
        <f t="shared" si="6"/>
        <v/>
      </c>
      <c r="Q3735" s="41" t="e">
        <f t="shared" si="7256"/>
        <v>#N/A</v>
      </c>
      <c r="R3735" s="44"/>
      <c r="S3735" s="44"/>
      <c r="T3735" s="43"/>
      <c r="U3735" s="43" t="str">
        <f t="shared" si="8"/>
        <v>No</v>
      </c>
      <c r="V3735" s="25"/>
      <c r="W3735" s="25"/>
      <c r="X3735" s="25"/>
      <c r="Y3735" s="25"/>
      <c r="Z3735" s="25"/>
    </row>
    <row r="3736" spans="1:26" ht="15.75" customHeight="1" x14ac:dyDescent="0.25">
      <c r="A3736" s="25">
        <v>3734</v>
      </c>
      <c r="B3736" s="37" t="e">
        <f t="shared" ref="B3736:D3736" si="7521">VLOOKUP($A3736,[12]Salud!$A$1:$O$277,B$1,0)</f>
        <v>#N/A</v>
      </c>
      <c r="C3736" s="38" t="e">
        <f t="shared" si="7521"/>
        <v>#N/A</v>
      </c>
      <c r="D3736" s="39" t="e">
        <f t="shared" si="7521"/>
        <v>#N/A</v>
      </c>
      <c r="E3736" s="16" t="e">
        <f t="shared" si="1"/>
        <v>#N/A</v>
      </c>
      <c r="F3736" s="16" t="e">
        <f t="shared" ref="F3736:K3736" si="7522">VLOOKUP($A3736,[12]Salud!$A$1:$O$277,F$1,0)</f>
        <v>#N/A</v>
      </c>
      <c r="G3736" s="39" t="e">
        <f t="shared" si="7522"/>
        <v>#N/A</v>
      </c>
      <c r="H3736" s="16" t="e">
        <f t="shared" si="7522"/>
        <v>#N/A</v>
      </c>
      <c r="I3736" s="16" t="e">
        <f t="shared" si="7522"/>
        <v>#N/A</v>
      </c>
      <c r="J3736" s="40" t="e">
        <f t="shared" si="7522"/>
        <v>#N/A</v>
      </c>
      <c r="K3736" s="16" t="e">
        <f t="shared" si="7522"/>
        <v>#N/A</v>
      </c>
      <c r="L3736" s="40" t="e">
        <f t="shared" si="7253"/>
        <v>#N/A</v>
      </c>
      <c r="M3736" s="16" t="e">
        <f t="shared" si="7254"/>
        <v>#N/A</v>
      </c>
      <c r="N3736" s="16" t="e">
        <f t="shared" si="7255"/>
        <v>#N/A</v>
      </c>
      <c r="O3736" s="16" t="s">
        <v>76</v>
      </c>
      <c r="P3736" s="16" t="str">
        <f t="shared" si="6"/>
        <v/>
      </c>
      <c r="Q3736" s="41" t="e">
        <f t="shared" si="7256"/>
        <v>#N/A</v>
      </c>
      <c r="R3736" s="44"/>
      <c r="S3736" s="44"/>
      <c r="T3736" s="43"/>
      <c r="U3736" s="43" t="str">
        <f t="shared" si="8"/>
        <v>No</v>
      </c>
      <c r="V3736" s="25"/>
      <c r="W3736" s="25"/>
      <c r="X3736" s="25"/>
      <c r="Y3736" s="25"/>
      <c r="Z3736" s="25"/>
    </row>
    <row r="3737" spans="1:26" ht="15.75" customHeight="1" x14ac:dyDescent="0.25">
      <c r="A3737" s="25">
        <v>3735</v>
      </c>
      <c r="B3737" s="37" t="e">
        <f t="shared" ref="B3737:D3737" si="7523">VLOOKUP($A3737,[12]Salud!$A$1:$O$277,B$1,0)</f>
        <v>#N/A</v>
      </c>
      <c r="C3737" s="38" t="e">
        <f t="shared" si="7523"/>
        <v>#N/A</v>
      </c>
      <c r="D3737" s="39" t="e">
        <f t="shared" si="7523"/>
        <v>#N/A</v>
      </c>
      <c r="E3737" s="16" t="e">
        <f t="shared" si="1"/>
        <v>#N/A</v>
      </c>
      <c r="F3737" s="16" t="e">
        <f t="shared" ref="F3737:K3737" si="7524">VLOOKUP($A3737,[12]Salud!$A$1:$O$277,F$1,0)</f>
        <v>#N/A</v>
      </c>
      <c r="G3737" s="39" t="e">
        <f t="shared" si="7524"/>
        <v>#N/A</v>
      </c>
      <c r="H3737" s="16" t="e">
        <f t="shared" si="7524"/>
        <v>#N/A</v>
      </c>
      <c r="I3737" s="16" t="e">
        <f t="shared" si="7524"/>
        <v>#N/A</v>
      </c>
      <c r="J3737" s="40" t="e">
        <f t="shared" si="7524"/>
        <v>#N/A</v>
      </c>
      <c r="K3737" s="16" t="e">
        <f t="shared" si="7524"/>
        <v>#N/A</v>
      </c>
      <c r="L3737" s="40" t="e">
        <f t="shared" si="7253"/>
        <v>#N/A</v>
      </c>
      <c r="M3737" s="16" t="e">
        <f t="shared" si="7254"/>
        <v>#N/A</v>
      </c>
      <c r="N3737" s="16" t="e">
        <f t="shared" si="7255"/>
        <v>#N/A</v>
      </c>
      <c r="O3737" s="16" t="s">
        <v>76</v>
      </c>
      <c r="P3737" s="16" t="str">
        <f t="shared" si="6"/>
        <v/>
      </c>
      <c r="Q3737" s="41" t="e">
        <f t="shared" si="7256"/>
        <v>#N/A</v>
      </c>
      <c r="R3737" s="44"/>
      <c r="S3737" s="44"/>
      <c r="T3737" s="43"/>
      <c r="U3737" s="43" t="str">
        <f t="shared" si="8"/>
        <v>No</v>
      </c>
      <c r="V3737" s="25"/>
      <c r="W3737" s="25"/>
      <c r="X3737" s="25"/>
      <c r="Y3737" s="25"/>
      <c r="Z3737" s="25"/>
    </row>
    <row r="3738" spans="1:26" ht="15.75" customHeight="1" x14ac:dyDescent="0.25">
      <c r="A3738" s="25">
        <v>3736</v>
      </c>
      <c r="B3738" s="37" t="e">
        <f t="shared" ref="B3738:D3738" si="7525">VLOOKUP($A3738,[12]Salud!$A$1:$O$277,B$1,0)</f>
        <v>#N/A</v>
      </c>
      <c r="C3738" s="38" t="e">
        <f t="shared" si="7525"/>
        <v>#N/A</v>
      </c>
      <c r="D3738" s="39" t="e">
        <f t="shared" si="7525"/>
        <v>#N/A</v>
      </c>
      <c r="E3738" s="16" t="e">
        <f t="shared" si="1"/>
        <v>#N/A</v>
      </c>
      <c r="F3738" s="16" t="e">
        <f t="shared" ref="F3738:K3738" si="7526">VLOOKUP($A3738,[12]Salud!$A$1:$O$277,F$1,0)</f>
        <v>#N/A</v>
      </c>
      <c r="G3738" s="39" t="e">
        <f t="shared" si="7526"/>
        <v>#N/A</v>
      </c>
      <c r="H3738" s="16" t="e">
        <f t="shared" si="7526"/>
        <v>#N/A</v>
      </c>
      <c r="I3738" s="16" t="e">
        <f t="shared" si="7526"/>
        <v>#N/A</v>
      </c>
      <c r="J3738" s="40" t="e">
        <f t="shared" si="7526"/>
        <v>#N/A</v>
      </c>
      <c r="K3738" s="16" t="e">
        <f t="shared" si="7526"/>
        <v>#N/A</v>
      </c>
      <c r="L3738" s="40" t="e">
        <f t="shared" si="7253"/>
        <v>#N/A</v>
      </c>
      <c r="M3738" s="16" t="e">
        <f t="shared" si="7254"/>
        <v>#N/A</v>
      </c>
      <c r="N3738" s="16" t="e">
        <f t="shared" si="7255"/>
        <v>#N/A</v>
      </c>
      <c r="O3738" s="16" t="s">
        <v>76</v>
      </c>
      <c r="P3738" s="16" t="str">
        <f t="shared" si="6"/>
        <v/>
      </c>
      <c r="Q3738" s="41" t="e">
        <f t="shared" si="7256"/>
        <v>#N/A</v>
      </c>
      <c r="R3738" s="44"/>
      <c r="S3738" s="44"/>
      <c r="T3738" s="43"/>
      <c r="U3738" s="43" t="str">
        <f t="shared" si="8"/>
        <v>No</v>
      </c>
      <c r="V3738" s="25"/>
      <c r="W3738" s="25"/>
      <c r="X3738" s="25"/>
      <c r="Y3738" s="25"/>
      <c r="Z3738" s="25"/>
    </row>
    <row r="3739" spans="1:26" ht="15.75" customHeight="1" x14ac:dyDescent="0.25">
      <c r="A3739" s="25">
        <v>3737</v>
      </c>
      <c r="B3739" s="37" t="e">
        <f t="shared" ref="B3739:D3739" si="7527">VLOOKUP($A3739,[12]Salud!$A$1:$O$277,B$1,0)</f>
        <v>#N/A</v>
      </c>
      <c r="C3739" s="38" t="e">
        <f t="shared" si="7527"/>
        <v>#N/A</v>
      </c>
      <c r="D3739" s="39" t="e">
        <f t="shared" si="7527"/>
        <v>#N/A</v>
      </c>
      <c r="E3739" s="16" t="e">
        <f t="shared" si="1"/>
        <v>#N/A</v>
      </c>
      <c r="F3739" s="16" t="e">
        <f t="shared" ref="F3739:K3739" si="7528">VLOOKUP($A3739,[12]Salud!$A$1:$O$277,F$1,0)</f>
        <v>#N/A</v>
      </c>
      <c r="G3739" s="39" t="e">
        <f t="shared" si="7528"/>
        <v>#N/A</v>
      </c>
      <c r="H3739" s="16" t="e">
        <f t="shared" si="7528"/>
        <v>#N/A</v>
      </c>
      <c r="I3739" s="16" t="e">
        <f t="shared" si="7528"/>
        <v>#N/A</v>
      </c>
      <c r="J3739" s="40" t="e">
        <f t="shared" si="7528"/>
        <v>#N/A</v>
      </c>
      <c r="K3739" s="16" t="e">
        <f t="shared" si="7528"/>
        <v>#N/A</v>
      </c>
      <c r="L3739" s="40" t="e">
        <f t="shared" si="7253"/>
        <v>#N/A</v>
      </c>
      <c r="M3739" s="16" t="e">
        <f t="shared" si="7254"/>
        <v>#N/A</v>
      </c>
      <c r="N3739" s="16" t="e">
        <f t="shared" si="7255"/>
        <v>#N/A</v>
      </c>
      <c r="O3739" s="16" t="s">
        <v>76</v>
      </c>
      <c r="P3739" s="16" t="str">
        <f t="shared" si="6"/>
        <v/>
      </c>
      <c r="Q3739" s="41" t="e">
        <f t="shared" si="7256"/>
        <v>#N/A</v>
      </c>
      <c r="R3739" s="44"/>
      <c r="S3739" s="44"/>
      <c r="T3739" s="43"/>
      <c r="U3739" s="43" t="str">
        <f t="shared" si="8"/>
        <v>No</v>
      </c>
      <c r="V3739" s="25"/>
      <c r="W3739" s="25"/>
      <c r="X3739" s="25"/>
      <c r="Y3739" s="25"/>
      <c r="Z3739" s="25"/>
    </row>
    <row r="3740" spans="1:26" ht="15.75" customHeight="1" x14ac:dyDescent="0.25">
      <c r="A3740" s="25">
        <v>3738</v>
      </c>
      <c r="B3740" s="37" t="e">
        <f t="shared" ref="B3740:D3740" si="7529">VLOOKUP($A3740,[12]Salud!$A$1:$O$277,B$1,0)</f>
        <v>#N/A</v>
      </c>
      <c r="C3740" s="38" t="e">
        <f t="shared" si="7529"/>
        <v>#N/A</v>
      </c>
      <c r="D3740" s="39" t="e">
        <f t="shared" si="7529"/>
        <v>#N/A</v>
      </c>
      <c r="E3740" s="16" t="e">
        <f t="shared" si="1"/>
        <v>#N/A</v>
      </c>
      <c r="F3740" s="16" t="e">
        <f t="shared" ref="F3740:K3740" si="7530">VLOOKUP($A3740,[12]Salud!$A$1:$O$277,F$1,0)</f>
        <v>#N/A</v>
      </c>
      <c r="G3740" s="39" t="e">
        <f t="shared" si="7530"/>
        <v>#N/A</v>
      </c>
      <c r="H3740" s="16" t="e">
        <f t="shared" si="7530"/>
        <v>#N/A</v>
      </c>
      <c r="I3740" s="16" t="e">
        <f t="shared" si="7530"/>
        <v>#N/A</v>
      </c>
      <c r="J3740" s="40" t="e">
        <f t="shared" si="7530"/>
        <v>#N/A</v>
      </c>
      <c r="K3740" s="16" t="e">
        <f t="shared" si="7530"/>
        <v>#N/A</v>
      </c>
      <c r="L3740" s="40" t="e">
        <f t="shared" si="7253"/>
        <v>#N/A</v>
      </c>
      <c r="M3740" s="16" t="e">
        <f t="shared" si="7254"/>
        <v>#N/A</v>
      </c>
      <c r="N3740" s="16" t="e">
        <f t="shared" si="7255"/>
        <v>#N/A</v>
      </c>
      <c r="O3740" s="16" t="s">
        <v>76</v>
      </c>
      <c r="P3740" s="16" t="str">
        <f t="shared" si="6"/>
        <v/>
      </c>
      <c r="Q3740" s="41" t="e">
        <f t="shared" si="7256"/>
        <v>#N/A</v>
      </c>
      <c r="R3740" s="44"/>
      <c r="S3740" s="44"/>
      <c r="T3740" s="43"/>
      <c r="U3740" s="43" t="str">
        <f t="shared" si="8"/>
        <v>No</v>
      </c>
      <c r="V3740" s="25"/>
      <c r="W3740" s="25"/>
      <c r="X3740" s="25"/>
      <c r="Y3740" s="25"/>
      <c r="Z3740" s="25"/>
    </row>
    <row r="3741" spans="1:26" ht="15.75" customHeight="1" x14ac:dyDescent="0.25">
      <c r="A3741" s="25">
        <v>3739</v>
      </c>
      <c r="B3741" s="37" t="e">
        <f t="shared" ref="B3741:D3741" si="7531">VLOOKUP($A3741,[12]Salud!$A$1:$O$277,B$1,0)</f>
        <v>#N/A</v>
      </c>
      <c r="C3741" s="38" t="e">
        <f t="shared" si="7531"/>
        <v>#N/A</v>
      </c>
      <c r="D3741" s="39" t="e">
        <f t="shared" si="7531"/>
        <v>#N/A</v>
      </c>
      <c r="E3741" s="16" t="e">
        <f t="shared" si="1"/>
        <v>#N/A</v>
      </c>
      <c r="F3741" s="16" t="e">
        <f t="shared" ref="F3741:K3741" si="7532">VLOOKUP($A3741,[12]Salud!$A$1:$O$277,F$1,0)</f>
        <v>#N/A</v>
      </c>
      <c r="G3741" s="39" t="e">
        <f t="shared" si="7532"/>
        <v>#N/A</v>
      </c>
      <c r="H3741" s="16" t="e">
        <f t="shared" si="7532"/>
        <v>#N/A</v>
      </c>
      <c r="I3741" s="16" t="e">
        <f t="shared" si="7532"/>
        <v>#N/A</v>
      </c>
      <c r="J3741" s="40" t="e">
        <f t="shared" si="7532"/>
        <v>#N/A</v>
      </c>
      <c r="K3741" s="16" t="e">
        <f t="shared" si="7532"/>
        <v>#N/A</v>
      </c>
      <c r="L3741" s="40" t="e">
        <f t="shared" si="7253"/>
        <v>#N/A</v>
      </c>
      <c r="M3741" s="16" t="e">
        <f t="shared" si="7254"/>
        <v>#N/A</v>
      </c>
      <c r="N3741" s="16" t="e">
        <f t="shared" si="7255"/>
        <v>#N/A</v>
      </c>
      <c r="O3741" s="16" t="s">
        <v>76</v>
      </c>
      <c r="P3741" s="16" t="str">
        <f t="shared" si="6"/>
        <v/>
      </c>
      <c r="Q3741" s="41" t="e">
        <f t="shared" si="7256"/>
        <v>#N/A</v>
      </c>
      <c r="R3741" s="44"/>
      <c r="S3741" s="44"/>
      <c r="T3741" s="43"/>
      <c r="U3741" s="43" t="str">
        <f t="shared" si="8"/>
        <v>No</v>
      </c>
      <c r="V3741" s="25"/>
      <c r="W3741" s="25"/>
      <c r="X3741" s="25"/>
      <c r="Y3741" s="25"/>
      <c r="Z3741" s="25"/>
    </row>
    <row r="3742" spans="1:26" ht="15.75" customHeight="1" x14ac:dyDescent="0.25">
      <c r="A3742" s="25">
        <v>3740</v>
      </c>
      <c r="B3742" s="37" t="e">
        <f t="shared" ref="B3742:D3742" si="7533">VLOOKUP($A3742,[12]Salud!$A$1:$O$277,B$1,0)</f>
        <v>#N/A</v>
      </c>
      <c r="C3742" s="38" t="e">
        <f t="shared" si="7533"/>
        <v>#N/A</v>
      </c>
      <c r="D3742" s="39" t="e">
        <f t="shared" si="7533"/>
        <v>#N/A</v>
      </c>
      <c r="E3742" s="16" t="e">
        <f t="shared" si="1"/>
        <v>#N/A</v>
      </c>
      <c r="F3742" s="16" t="e">
        <f t="shared" ref="F3742:K3742" si="7534">VLOOKUP($A3742,[12]Salud!$A$1:$O$277,F$1,0)</f>
        <v>#N/A</v>
      </c>
      <c r="G3742" s="39" t="e">
        <f t="shared" si="7534"/>
        <v>#N/A</v>
      </c>
      <c r="H3742" s="16" t="e">
        <f t="shared" si="7534"/>
        <v>#N/A</v>
      </c>
      <c r="I3742" s="16" t="e">
        <f t="shared" si="7534"/>
        <v>#N/A</v>
      </c>
      <c r="J3742" s="40" t="e">
        <f t="shared" si="7534"/>
        <v>#N/A</v>
      </c>
      <c r="K3742" s="16" t="e">
        <f t="shared" si="7534"/>
        <v>#N/A</v>
      </c>
      <c r="L3742" s="40" t="e">
        <f t="shared" si="7253"/>
        <v>#N/A</v>
      </c>
      <c r="M3742" s="16" t="e">
        <f t="shared" si="7254"/>
        <v>#N/A</v>
      </c>
      <c r="N3742" s="16" t="e">
        <f t="shared" si="7255"/>
        <v>#N/A</v>
      </c>
      <c r="O3742" s="16" t="s">
        <v>76</v>
      </c>
      <c r="P3742" s="16" t="str">
        <f t="shared" si="6"/>
        <v/>
      </c>
      <c r="Q3742" s="41" t="e">
        <f t="shared" si="7256"/>
        <v>#N/A</v>
      </c>
      <c r="R3742" s="44"/>
      <c r="S3742" s="44"/>
      <c r="T3742" s="43"/>
      <c r="U3742" s="43" t="str">
        <f t="shared" si="8"/>
        <v>No</v>
      </c>
      <c r="V3742" s="25"/>
      <c r="W3742" s="25"/>
      <c r="X3742" s="25"/>
      <c r="Y3742" s="25"/>
      <c r="Z3742" s="25"/>
    </row>
    <row r="3743" spans="1:26" ht="15.75" customHeight="1" x14ac:dyDescent="0.25">
      <c r="A3743" s="25">
        <v>3741</v>
      </c>
      <c r="B3743" s="37" t="e">
        <f t="shared" ref="B3743:D3743" si="7535">VLOOKUP($A3743,[12]Salud!$A$1:$O$277,B$1,0)</f>
        <v>#N/A</v>
      </c>
      <c r="C3743" s="38" t="e">
        <f t="shared" si="7535"/>
        <v>#N/A</v>
      </c>
      <c r="D3743" s="39" t="e">
        <f t="shared" si="7535"/>
        <v>#N/A</v>
      </c>
      <c r="E3743" s="16" t="e">
        <f t="shared" si="1"/>
        <v>#N/A</v>
      </c>
      <c r="F3743" s="16" t="e">
        <f t="shared" ref="F3743:K3743" si="7536">VLOOKUP($A3743,[12]Salud!$A$1:$O$277,F$1,0)</f>
        <v>#N/A</v>
      </c>
      <c r="G3743" s="39" t="e">
        <f t="shared" si="7536"/>
        <v>#N/A</v>
      </c>
      <c r="H3743" s="16" t="e">
        <f t="shared" si="7536"/>
        <v>#N/A</v>
      </c>
      <c r="I3743" s="16" t="e">
        <f t="shared" si="7536"/>
        <v>#N/A</v>
      </c>
      <c r="J3743" s="40" t="e">
        <f t="shared" si="7536"/>
        <v>#N/A</v>
      </c>
      <c r="K3743" s="16" t="e">
        <f t="shared" si="7536"/>
        <v>#N/A</v>
      </c>
      <c r="L3743" s="40" t="e">
        <f t="shared" si="7253"/>
        <v>#N/A</v>
      </c>
      <c r="M3743" s="16" t="e">
        <f t="shared" si="7254"/>
        <v>#N/A</v>
      </c>
      <c r="N3743" s="16" t="e">
        <f t="shared" si="7255"/>
        <v>#N/A</v>
      </c>
      <c r="O3743" s="16" t="s">
        <v>76</v>
      </c>
      <c r="P3743" s="16" t="str">
        <f t="shared" si="6"/>
        <v/>
      </c>
      <c r="Q3743" s="41" t="e">
        <f t="shared" si="7256"/>
        <v>#N/A</v>
      </c>
      <c r="R3743" s="44"/>
      <c r="S3743" s="44"/>
      <c r="T3743" s="43"/>
      <c r="U3743" s="43" t="str">
        <f t="shared" si="8"/>
        <v>No</v>
      </c>
      <c r="V3743" s="25"/>
      <c r="W3743" s="25"/>
      <c r="X3743" s="25"/>
      <c r="Y3743" s="25"/>
      <c r="Z3743" s="25"/>
    </row>
    <row r="3744" spans="1:26" ht="15.75" customHeight="1" x14ac:dyDescent="0.25">
      <c r="A3744" s="25">
        <v>3742</v>
      </c>
      <c r="B3744" s="37" t="e">
        <f t="shared" ref="B3744:D3744" si="7537">VLOOKUP($A3744,[12]Salud!$A$1:$O$277,B$1,0)</f>
        <v>#N/A</v>
      </c>
      <c r="C3744" s="38" t="e">
        <f t="shared" si="7537"/>
        <v>#N/A</v>
      </c>
      <c r="D3744" s="39" t="e">
        <f t="shared" si="7537"/>
        <v>#N/A</v>
      </c>
      <c r="E3744" s="16" t="e">
        <f t="shared" si="1"/>
        <v>#N/A</v>
      </c>
      <c r="F3744" s="16" t="e">
        <f t="shared" ref="F3744:K3744" si="7538">VLOOKUP($A3744,[12]Salud!$A$1:$O$277,F$1,0)</f>
        <v>#N/A</v>
      </c>
      <c r="G3744" s="39" t="e">
        <f t="shared" si="7538"/>
        <v>#N/A</v>
      </c>
      <c r="H3744" s="16" t="e">
        <f t="shared" si="7538"/>
        <v>#N/A</v>
      </c>
      <c r="I3744" s="16" t="e">
        <f t="shared" si="7538"/>
        <v>#N/A</v>
      </c>
      <c r="J3744" s="40" t="e">
        <f t="shared" si="7538"/>
        <v>#N/A</v>
      </c>
      <c r="K3744" s="16" t="e">
        <f t="shared" si="7538"/>
        <v>#N/A</v>
      </c>
      <c r="L3744" s="40" t="e">
        <f t="shared" si="7253"/>
        <v>#N/A</v>
      </c>
      <c r="M3744" s="16" t="e">
        <f t="shared" si="7254"/>
        <v>#N/A</v>
      </c>
      <c r="N3744" s="16" t="e">
        <f t="shared" si="7255"/>
        <v>#N/A</v>
      </c>
      <c r="O3744" s="16" t="s">
        <v>76</v>
      </c>
      <c r="P3744" s="16" t="str">
        <f t="shared" si="6"/>
        <v/>
      </c>
      <c r="Q3744" s="41" t="e">
        <f t="shared" si="7256"/>
        <v>#N/A</v>
      </c>
      <c r="R3744" s="44"/>
      <c r="S3744" s="44"/>
      <c r="T3744" s="43"/>
      <c r="U3744" s="43" t="str">
        <f t="shared" si="8"/>
        <v>No</v>
      </c>
      <c r="V3744" s="25"/>
      <c r="W3744" s="25"/>
      <c r="X3744" s="25"/>
      <c r="Y3744" s="25"/>
      <c r="Z3744" s="25"/>
    </row>
    <row r="3745" spans="1:26" ht="15.75" customHeight="1" x14ac:dyDescent="0.25">
      <c r="A3745" s="25">
        <v>3743</v>
      </c>
      <c r="B3745" s="37" t="e">
        <f t="shared" ref="B3745:D3745" si="7539">VLOOKUP($A3745,[12]Salud!$A$1:$O$277,B$1,0)</f>
        <v>#N/A</v>
      </c>
      <c r="C3745" s="38" t="e">
        <f t="shared" si="7539"/>
        <v>#N/A</v>
      </c>
      <c r="D3745" s="39" t="e">
        <f t="shared" si="7539"/>
        <v>#N/A</v>
      </c>
      <c r="E3745" s="16" t="e">
        <f t="shared" si="1"/>
        <v>#N/A</v>
      </c>
      <c r="F3745" s="16" t="e">
        <f t="shared" ref="F3745:K3745" si="7540">VLOOKUP($A3745,[12]Salud!$A$1:$O$277,F$1,0)</f>
        <v>#N/A</v>
      </c>
      <c r="G3745" s="39" t="e">
        <f t="shared" si="7540"/>
        <v>#N/A</v>
      </c>
      <c r="H3745" s="16" t="e">
        <f t="shared" si="7540"/>
        <v>#N/A</v>
      </c>
      <c r="I3745" s="16" t="e">
        <f t="shared" si="7540"/>
        <v>#N/A</v>
      </c>
      <c r="J3745" s="40" t="e">
        <f t="shared" si="7540"/>
        <v>#N/A</v>
      </c>
      <c r="K3745" s="16" t="e">
        <f t="shared" si="7540"/>
        <v>#N/A</v>
      </c>
      <c r="L3745" s="40" t="e">
        <f t="shared" si="7253"/>
        <v>#N/A</v>
      </c>
      <c r="M3745" s="16" t="e">
        <f t="shared" si="7254"/>
        <v>#N/A</v>
      </c>
      <c r="N3745" s="16" t="e">
        <f t="shared" si="7255"/>
        <v>#N/A</v>
      </c>
      <c r="O3745" s="16" t="s">
        <v>76</v>
      </c>
      <c r="P3745" s="16" t="str">
        <f t="shared" si="6"/>
        <v/>
      </c>
      <c r="Q3745" s="41" t="e">
        <f t="shared" si="7256"/>
        <v>#N/A</v>
      </c>
      <c r="R3745" s="44"/>
      <c r="S3745" s="44"/>
      <c r="T3745" s="43"/>
      <c r="U3745" s="43" t="str">
        <f t="shared" si="8"/>
        <v>No</v>
      </c>
      <c r="V3745" s="25"/>
      <c r="W3745" s="25"/>
      <c r="X3745" s="25"/>
      <c r="Y3745" s="25"/>
      <c r="Z3745" s="25"/>
    </row>
    <row r="3746" spans="1:26" ht="15.75" customHeight="1" x14ac:dyDescent="0.25">
      <c r="A3746" s="25">
        <v>3744</v>
      </c>
      <c r="B3746" s="37" t="e">
        <f t="shared" ref="B3746:D3746" si="7541">VLOOKUP($A3746,[12]Salud!$A$1:$O$277,B$1,0)</f>
        <v>#N/A</v>
      </c>
      <c r="C3746" s="38" t="e">
        <f t="shared" si="7541"/>
        <v>#N/A</v>
      </c>
      <c r="D3746" s="39" t="e">
        <f t="shared" si="7541"/>
        <v>#N/A</v>
      </c>
      <c r="E3746" s="16" t="e">
        <f t="shared" si="1"/>
        <v>#N/A</v>
      </c>
      <c r="F3746" s="16" t="e">
        <f t="shared" ref="F3746:K3746" si="7542">VLOOKUP($A3746,[12]Salud!$A$1:$O$277,F$1,0)</f>
        <v>#N/A</v>
      </c>
      <c r="G3746" s="39" t="e">
        <f t="shared" si="7542"/>
        <v>#N/A</v>
      </c>
      <c r="H3746" s="16" t="e">
        <f t="shared" si="7542"/>
        <v>#N/A</v>
      </c>
      <c r="I3746" s="16" t="e">
        <f t="shared" si="7542"/>
        <v>#N/A</v>
      </c>
      <c r="J3746" s="40" t="e">
        <f t="shared" si="7542"/>
        <v>#N/A</v>
      </c>
      <c r="K3746" s="16" t="e">
        <f t="shared" si="7542"/>
        <v>#N/A</v>
      </c>
      <c r="L3746" s="40" t="e">
        <f t="shared" si="7253"/>
        <v>#N/A</v>
      </c>
      <c r="M3746" s="16" t="e">
        <f t="shared" si="7254"/>
        <v>#N/A</v>
      </c>
      <c r="N3746" s="16" t="e">
        <f t="shared" si="7255"/>
        <v>#N/A</v>
      </c>
      <c r="O3746" s="16" t="s">
        <v>76</v>
      </c>
      <c r="P3746" s="16" t="str">
        <f t="shared" si="6"/>
        <v/>
      </c>
      <c r="Q3746" s="41" t="e">
        <f t="shared" si="7256"/>
        <v>#N/A</v>
      </c>
      <c r="R3746" s="44"/>
      <c r="S3746" s="44"/>
      <c r="T3746" s="43"/>
      <c r="U3746" s="43" t="str">
        <f t="shared" si="8"/>
        <v>No</v>
      </c>
      <c r="V3746" s="25"/>
      <c r="W3746" s="25"/>
      <c r="X3746" s="25"/>
      <c r="Y3746" s="25"/>
      <c r="Z3746" s="25"/>
    </row>
    <row r="3747" spans="1:26" ht="15.75" customHeight="1" x14ac:dyDescent="0.25">
      <c r="A3747" s="25">
        <v>3745</v>
      </c>
      <c r="B3747" s="37" t="e">
        <f t="shared" ref="B3747:D3747" si="7543">VLOOKUP($A3747,[12]Salud!$A$1:$O$277,B$1,0)</f>
        <v>#N/A</v>
      </c>
      <c r="C3747" s="38" t="e">
        <f t="shared" si="7543"/>
        <v>#N/A</v>
      </c>
      <c r="D3747" s="39" t="e">
        <f t="shared" si="7543"/>
        <v>#N/A</v>
      </c>
      <c r="E3747" s="16" t="e">
        <f t="shared" si="1"/>
        <v>#N/A</v>
      </c>
      <c r="F3747" s="16" t="e">
        <f t="shared" ref="F3747:K3747" si="7544">VLOOKUP($A3747,[12]Salud!$A$1:$O$277,F$1,0)</f>
        <v>#N/A</v>
      </c>
      <c r="G3747" s="39" t="e">
        <f t="shared" si="7544"/>
        <v>#N/A</v>
      </c>
      <c r="H3747" s="16" t="e">
        <f t="shared" si="7544"/>
        <v>#N/A</v>
      </c>
      <c r="I3747" s="16" t="e">
        <f t="shared" si="7544"/>
        <v>#N/A</v>
      </c>
      <c r="J3747" s="40" t="e">
        <f t="shared" si="7544"/>
        <v>#N/A</v>
      </c>
      <c r="K3747" s="16" t="e">
        <f t="shared" si="7544"/>
        <v>#N/A</v>
      </c>
      <c r="L3747" s="40" t="e">
        <f t="shared" si="7253"/>
        <v>#N/A</v>
      </c>
      <c r="M3747" s="16" t="e">
        <f t="shared" si="7254"/>
        <v>#N/A</v>
      </c>
      <c r="N3747" s="16" t="e">
        <f t="shared" si="7255"/>
        <v>#N/A</v>
      </c>
      <c r="O3747" s="16" t="s">
        <v>76</v>
      </c>
      <c r="P3747" s="16" t="str">
        <f t="shared" si="6"/>
        <v/>
      </c>
      <c r="Q3747" s="41" t="e">
        <f t="shared" si="7256"/>
        <v>#N/A</v>
      </c>
      <c r="R3747" s="44"/>
      <c r="S3747" s="44"/>
      <c r="T3747" s="43"/>
      <c r="U3747" s="43" t="str">
        <f t="shared" si="8"/>
        <v>No</v>
      </c>
      <c r="V3747" s="25"/>
      <c r="W3747" s="25"/>
      <c r="X3747" s="25"/>
      <c r="Y3747" s="25"/>
      <c r="Z3747" s="25"/>
    </row>
    <row r="3748" spans="1:26" ht="15.75" customHeight="1" x14ac:dyDescent="0.25">
      <c r="A3748" s="25">
        <v>3746</v>
      </c>
      <c r="B3748" s="37" t="e">
        <f t="shared" ref="B3748:D3748" si="7545">VLOOKUP($A3748,[12]Salud!$A$1:$O$277,B$1,0)</f>
        <v>#N/A</v>
      </c>
      <c r="C3748" s="38" t="e">
        <f t="shared" si="7545"/>
        <v>#N/A</v>
      </c>
      <c r="D3748" s="39" t="e">
        <f t="shared" si="7545"/>
        <v>#N/A</v>
      </c>
      <c r="E3748" s="16" t="e">
        <f t="shared" si="1"/>
        <v>#N/A</v>
      </c>
      <c r="F3748" s="16" t="e">
        <f t="shared" ref="F3748:K3748" si="7546">VLOOKUP($A3748,[12]Salud!$A$1:$O$277,F$1,0)</f>
        <v>#N/A</v>
      </c>
      <c r="G3748" s="39" t="e">
        <f t="shared" si="7546"/>
        <v>#N/A</v>
      </c>
      <c r="H3748" s="16" t="e">
        <f t="shared" si="7546"/>
        <v>#N/A</v>
      </c>
      <c r="I3748" s="16" t="e">
        <f t="shared" si="7546"/>
        <v>#N/A</v>
      </c>
      <c r="J3748" s="40" t="e">
        <f t="shared" si="7546"/>
        <v>#N/A</v>
      </c>
      <c r="K3748" s="16" t="e">
        <f t="shared" si="7546"/>
        <v>#N/A</v>
      </c>
      <c r="L3748" s="40" t="e">
        <f t="shared" si="7253"/>
        <v>#N/A</v>
      </c>
      <c r="M3748" s="16" t="e">
        <f t="shared" si="7254"/>
        <v>#N/A</v>
      </c>
      <c r="N3748" s="16" t="e">
        <f t="shared" si="7255"/>
        <v>#N/A</v>
      </c>
      <c r="O3748" s="16" t="s">
        <v>76</v>
      </c>
      <c r="P3748" s="16" t="str">
        <f t="shared" si="6"/>
        <v/>
      </c>
      <c r="Q3748" s="41" t="e">
        <f t="shared" si="7256"/>
        <v>#N/A</v>
      </c>
      <c r="R3748" s="44"/>
      <c r="S3748" s="44"/>
      <c r="T3748" s="43"/>
      <c r="U3748" s="43" t="str">
        <f t="shared" si="8"/>
        <v>No</v>
      </c>
      <c r="V3748" s="25"/>
      <c r="W3748" s="25"/>
      <c r="X3748" s="25"/>
      <c r="Y3748" s="25"/>
      <c r="Z3748" s="25"/>
    </row>
    <row r="3749" spans="1:26" ht="15.75" customHeight="1" x14ac:dyDescent="0.25">
      <c r="A3749" s="25">
        <v>3747</v>
      </c>
      <c r="B3749" s="37" t="e">
        <f t="shared" ref="B3749:D3749" si="7547">VLOOKUP($A3749,[12]Salud!$A$1:$O$277,B$1,0)</f>
        <v>#N/A</v>
      </c>
      <c r="C3749" s="38" t="e">
        <f t="shared" si="7547"/>
        <v>#N/A</v>
      </c>
      <c r="D3749" s="39" t="e">
        <f t="shared" si="7547"/>
        <v>#N/A</v>
      </c>
      <c r="E3749" s="16" t="e">
        <f t="shared" si="1"/>
        <v>#N/A</v>
      </c>
      <c r="F3749" s="16" t="e">
        <f t="shared" ref="F3749:K3749" si="7548">VLOOKUP($A3749,[12]Salud!$A$1:$O$277,F$1,0)</f>
        <v>#N/A</v>
      </c>
      <c r="G3749" s="39" t="e">
        <f t="shared" si="7548"/>
        <v>#N/A</v>
      </c>
      <c r="H3749" s="16" t="e">
        <f t="shared" si="7548"/>
        <v>#N/A</v>
      </c>
      <c r="I3749" s="16" t="e">
        <f t="shared" si="7548"/>
        <v>#N/A</v>
      </c>
      <c r="J3749" s="40" t="e">
        <f t="shared" si="7548"/>
        <v>#N/A</v>
      </c>
      <c r="K3749" s="16" t="e">
        <f t="shared" si="7548"/>
        <v>#N/A</v>
      </c>
      <c r="L3749" s="40" t="e">
        <f t="shared" si="7253"/>
        <v>#N/A</v>
      </c>
      <c r="M3749" s="16" t="e">
        <f t="shared" si="7254"/>
        <v>#N/A</v>
      </c>
      <c r="N3749" s="16" t="e">
        <f t="shared" si="7255"/>
        <v>#N/A</v>
      </c>
      <c r="O3749" s="16" t="s">
        <v>76</v>
      </c>
      <c r="P3749" s="16" t="str">
        <f t="shared" si="6"/>
        <v/>
      </c>
      <c r="Q3749" s="41" t="e">
        <f t="shared" si="7256"/>
        <v>#N/A</v>
      </c>
      <c r="R3749" s="44"/>
      <c r="S3749" s="44"/>
      <c r="T3749" s="43"/>
      <c r="U3749" s="43" t="str">
        <f t="shared" si="8"/>
        <v>No</v>
      </c>
      <c r="V3749" s="25"/>
      <c r="W3749" s="25"/>
      <c r="X3749" s="25"/>
      <c r="Y3749" s="25"/>
      <c r="Z3749" s="25"/>
    </row>
    <row r="3750" spans="1:26" ht="15.75" customHeight="1" x14ac:dyDescent="0.25">
      <c r="A3750" s="25">
        <v>3748</v>
      </c>
      <c r="B3750" s="37" t="e">
        <f t="shared" ref="B3750:D3750" si="7549">VLOOKUP($A3750,[12]Salud!$A$1:$O$277,B$1,0)</f>
        <v>#N/A</v>
      </c>
      <c r="C3750" s="38" t="e">
        <f t="shared" si="7549"/>
        <v>#N/A</v>
      </c>
      <c r="D3750" s="39" t="e">
        <f t="shared" si="7549"/>
        <v>#N/A</v>
      </c>
      <c r="E3750" s="16" t="e">
        <f t="shared" si="1"/>
        <v>#N/A</v>
      </c>
      <c r="F3750" s="16" t="e">
        <f t="shared" ref="F3750:K3750" si="7550">VLOOKUP($A3750,[12]Salud!$A$1:$O$277,F$1,0)</f>
        <v>#N/A</v>
      </c>
      <c r="G3750" s="39" t="e">
        <f t="shared" si="7550"/>
        <v>#N/A</v>
      </c>
      <c r="H3750" s="16" t="e">
        <f t="shared" si="7550"/>
        <v>#N/A</v>
      </c>
      <c r="I3750" s="16" t="e">
        <f t="shared" si="7550"/>
        <v>#N/A</v>
      </c>
      <c r="J3750" s="40" t="e">
        <f t="shared" si="7550"/>
        <v>#N/A</v>
      </c>
      <c r="K3750" s="16" t="e">
        <f t="shared" si="7550"/>
        <v>#N/A</v>
      </c>
      <c r="L3750" s="40" t="e">
        <f t="shared" si="7253"/>
        <v>#N/A</v>
      </c>
      <c r="M3750" s="16" t="e">
        <f t="shared" si="7254"/>
        <v>#N/A</v>
      </c>
      <c r="N3750" s="16" t="e">
        <f t="shared" si="7255"/>
        <v>#N/A</v>
      </c>
      <c r="O3750" s="16" t="s">
        <v>76</v>
      </c>
      <c r="P3750" s="16" t="str">
        <f t="shared" si="6"/>
        <v/>
      </c>
      <c r="Q3750" s="41" t="e">
        <f t="shared" si="7256"/>
        <v>#N/A</v>
      </c>
      <c r="R3750" s="44"/>
      <c r="S3750" s="44"/>
      <c r="T3750" s="43"/>
      <c r="U3750" s="43" t="str">
        <f t="shared" si="8"/>
        <v>No</v>
      </c>
      <c r="V3750" s="25"/>
      <c r="W3750" s="25"/>
      <c r="X3750" s="25"/>
      <c r="Y3750" s="25"/>
      <c r="Z3750" s="25"/>
    </row>
    <row r="3751" spans="1:26" ht="15.75" customHeight="1" x14ac:dyDescent="0.25">
      <c r="A3751" s="25">
        <v>3749</v>
      </c>
      <c r="B3751" s="37" t="e">
        <f t="shared" ref="B3751:D3751" si="7551">VLOOKUP($A3751,[12]Salud!$A$1:$O$277,B$1,0)</f>
        <v>#N/A</v>
      </c>
      <c r="C3751" s="38" t="e">
        <f t="shared" si="7551"/>
        <v>#N/A</v>
      </c>
      <c r="D3751" s="39" t="e">
        <f t="shared" si="7551"/>
        <v>#N/A</v>
      </c>
      <c r="E3751" s="16" t="e">
        <f t="shared" si="1"/>
        <v>#N/A</v>
      </c>
      <c r="F3751" s="16" t="e">
        <f t="shared" ref="F3751:K3751" si="7552">VLOOKUP($A3751,[12]Salud!$A$1:$O$277,F$1,0)</f>
        <v>#N/A</v>
      </c>
      <c r="G3751" s="39" t="e">
        <f t="shared" si="7552"/>
        <v>#N/A</v>
      </c>
      <c r="H3751" s="16" t="e">
        <f t="shared" si="7552"/>
        <v>#N/A</v>
      </c>
      <c r="I3751" s="16" t="e">
        <f t="shared" si="7552"/>
        <v>#N/A</v>
      </c>
      <c r="J3751" s="40" t="e">
        <f t="shared" si="7552"/>
        <v>#N/A</v>
      </c>
      <c r="K3751" s="16" t="e">
        <f t="shared" si="7552"/>
        <v>#N/A</v>
      </c>
      <c r="L3751" s="40" t="e">
        <f t="shared" si="7253"/>
        <v>#N/A</v>
      </c>
      <c r="M3751" s="16" t="e">
        <f t="shared" si="7254"/>
        <v>#N/A</v>
      </c>
      <c r="N3751" s="16" t="e">
        <f t="shared" si="7255"/>
        <v>#N/A</v>
      </c>
      <c r="O3751" s="16" t="s">
        <v>76</v>
      </c>
      <c r="P3751" s="16" t="str">
        <f t="shared" si="6"/>
        <v/>
      </c>
      <c r="Q3751" s="41" t="e">
        <f t="shared" si="7256"/>
        <v>#N/A</v>
      </c>
      <c r="R3751" s="44"/>
      <c r="S3751" s="44"/>
      <c r="T3751" s="43"/>
      <c r="U3751" s="43" t="str">
        <f t="shared" si="8"/>
        <v>No</v>
      </c>
      <c r="V3751" s="25"/>
      <c r="W3751" s="25"/>
      <c r="X3751" s="25"/>
      <c r="Y3751" s="25"/>
      <c r="Z3751" s="25"/>
    </row>
    <row r="3752" spans="1:26" ht="15.75" customHeight="1" x14ac:dyDescent="0.25">
      <c r="A3752" s="25">
        <v>3750</v>
      </c>
      <c r="B3752" s="37" t="e">
        <f t="shared" ref="B3752:D3752" si="7553">VLOOKUP($A3752,[12]Salud!$A$1:$O$277,B$1,0)</f>
        <v>#N/A</v>
      </c>
      <c r="C3752" s="38" t="e">
        <f t="shared" si="7553"/>
        <v>#N/A</v>
      </c>
      <c r="D3752" s="39" t="e">
        <f t="shared" si="7553"/>
        <v>#N/A</v>
      </c>
      <c r="E3752" s="16" t="e">
        <f t="shared" si="1"/>
        <v>#N/A</v>
      </c>
      <c r="F3752" s="16" t="e">
        <f t="shared" ref="F3752:K3752" si="7554">VLOOKUP($A3752,[12]Salud!$A$1:$O$277,F$1,0)</f>
        <v>#N/A</v>
      </c>
      <c r="G3752" s="39" t="e">
        <f t="shared" si="7554"/>
        <v>#N/A</v>
      </c>
      <c r="H3752" s="16" t="e">
        <f t="shared" si="7554"/>
        <v>#N/A</v>
      </c>
      <c r="I3752" s="16" t="e">
        <f t="shared" si="7554"/>
        <v>#N/A</v>
      </c>
      <c r="J3752" s="40" t="e">
        <f t="shared" si="7554"/>
        <v>#N/A</v>
      </c>
      <c r="K3752" s="16" t="e">
        <f t="shared" si="7554"/>
        <v>#N/A</v>
      </c>
      <c r="L3752" s="40" t="e">
        <f t="shared" si="7253"/>
        <v>#N/A</v>
      </c>
      <c r="M3752" s="16" t="e">
        <f t="shared" si="7254"/>
        <v>#N/A</v>
      </c>
      <c r="N3752" s="16" t="e">
        <f t="shared" si="7255"/>
        <v>#N/A</v>
      </c>
      <c r="O3752" s="16" t="s">
        <v>76</v>
      </c>
      <c r="P3752" s="16" t="str">
        <f t="shared" si="6"/>
        <v/>
      </c>
      <c r="Q3752" s="41" t="e">
        <f t="shared" si="7256"/>
        <v>#N/A</v>
      </c>
      <c r="R3752" s="44"/>
      <c r="S3752" s="44"/>
      <c r="T3752" s="43"/>
      <c r="U3752" s="43" t="str">
        <f t="shared" si="8"/>
        <v>No</v>
      </c>
      <c r="V3752" s="25"/>
      <c r="W3752" s="25"/>
      <c r="X3752" s="25"/>
      <c r="Y3752" s="25"/>
      <c r="Z3752" s="25"/>
    </row>
    <row r="3753" spans="1:26" ht="15.75" customHeight="1" x14ac:dyDescent="0.25">
      <c r="A3753" s="25">
        <v>3751</v>
      </c>
      <c r="B3753" s="37" t="e">
        <f t="shared" ref="B3753:D3753" si="7555">VLOOKUP($A3753,[12]Salud!$A$1:$O$277,B$1,0)</f>
        <v>#N/A</v>
      </c>
      <c r="C3753" s="38" t="e">
        <f t="shared" si="7555"/>
        <v>#N/A</v>
      </c>
      <c r="D3753" s="39" t="e">
        <f t="shared" si="7555"/>
        <v>#N/A</v>
      </c>
      <c r="E3753" s="16" t="e">
        <f t="shared" si="1"/>
        <v>#N/A</v>
      </c>
      <c r="F3753" s="16" t="e">
        <f t="shared" ref="F3753:K3753" si="7556">VLOOKUP($A3753,[12]Salud!$A$1:$O$277,F$1,0)</f>
        <v>#N/A</v>
      </c>
      <c r="G3753" s="39" t="e">
        <f t="shared" si="7556"/>
        <v>#N/A</v>
      </c>
      <c r="H3753" s="16" t="e">
        <f t="shared" si="7556"/>
        <v>#N/A</v>
      </c>
      <c r="I3753" s="16" t="e">
        <f t="shared" si="7556"/>
        <v>#N/A</v>
      </c>
      <c r="J3753" s="40" t="e">
        <f t="shared" si="7556"/>
        <v>#N/A</v>
      </c>
      <c r="K3753" s="16" t="e">
        <f t="shared" si="7556"/>
        <v>#N/A</v>
      </c>
      <c r="L3753" s="40" t="e">
        <f t="shared" si="7253"/>
        <v>#N/A</v>
      </c>
      <c r="M3753" s="16" t="e">
        <f t="shared" si="7254"/>
        <v>#N/A</v>
      </c>
      <c r="N3753" s="16" t="e">
        <f t="shared" si="7255"/>
        <v>#N/A</v>
      </c>
      <c r="O3753" s="16" t="s">
        <v>76</v>
      </c>
      <c r="P3753" s="16" t="str">
        <f t="shared" si="6"/>
        <v/>
      </c>
      <c r="Q3753" s="41" t="e">
        <f t="shared" si="7256"/>
        <v>#N/A</v>
      </c>
      <c r="R3753" s="44"/>
      <c r="S3753" s="44"/>
      <c r="T3753" s="43"/>
      <c r="U3753" s="43" t="str">
        <f t="shared" si="8"/>
        <v>No</v>
      </c>
      <c r="V3753" s="25"/>
      <c r="W3753" s="25"/>
      <c r="X3753" s="25"/>
      <c r="Y3753" s="25"/>
      <c r="Z3753" s="25"/>
    </row>
    <row r="3754" spans="1:26" ht="15.75" customHeight="1" x14ac:dyDescent="0.25">
      <c r="A3754" s="25">
        <v>3752</v>
      </c>
      <c r="B3754" s="37" t="e">
        <f t="shared" ref="B3754:D3754" si="7557">VLOOKUP($A3754,[12]Salud!$A$1:$O$277,B$1,0)</f>
        <v>#N/A</v>
      </c>
      <c r="C3754" s="38" t="e">
        <f t="shared" si="7557"/>
        <v>#N/A</v>
      </c>
      <c r="D3754" s="39" t="e">
        <f t="shared" si="7557"/>
        <v>#N/A</v>
      </c>
      <c r="E3754" s="16" t="e">
        <f t="shared" si="1"/>
        <v>#N/A</v>
      </c>
      <c r="F3754" s="16" t="e">
        <f t="shared" ref="F3754:K3754" si="7558">VLOOKUP($A3754,[12]Salud!$A$1:$O$277,F$1,0)</f>
        <v>#N/A</v>
      </c>
      <c r="G3754" s="39" t="e">
        <f t="shared" si="7558"/>
        <v>#N/A</v>
      </c>
      <c r="H3754" s="16" t="e">
        <f t="shared" si="7558"/>
        <v>#N/A</v>
      </c>
      <c r="I3754" s="16" t="e">
        <f t="shared" si="7558"/>
        <v>#N/A</v>
      </c>
      <c r="J3754" s="40" t="e">
        <f t="shared" si="7558"/>
        <v>#N/A</v>
      </c>
      <c r="K3754" s="16" t="e">
        <f t="shared" si="7558"/>
        <v>#N/A</v>
      </c>
      <c r="L3754" s="40" t="e">
        <f t="shared" si="7253"/>
        <v>#N/A</v>
      </c>
      <c r="M3754" s="16" t="e">
        <f t="shared" si="7254"/>
        <v>#N/A</v>
      </c>
      <c r="N3754" s="16" t="e">
        <f t="shared" si="7255"/>
        <v>#N/A</v>
      </c>
      <c r="O3754" s="16" t="s">
        <v>76</v>
      </c>
      <c r="P3754" s="16" t="str">
        <f t="shared" si="6"/>
        <v/>
      </c>
      <c r="Q3754" s="41" t="e">
        <f t="shared" si="7256"/>
        <v>#N/A</v>
      </c>
      <c r="R3754" s="44"/>
      <c r="S3754" s="44"/>
      <c r="T3754" s="43"/>
      <c r="U3754" s="43" t="str">
        <f t="shared" si="8"/>
        <v>No</v>
      </c>
      <c r="V3754" s="25"/>
      <c r="W3754" s="25"/>
      <c r="X3754" s="25"/>
      <c r="Y3754" s="25"/>
      <c r="Z3754" s="25"/>
    </row>
    <row r="3755" spans="1:26" ht="15.75" customHeight="1" x14ac:dyDescent="0.25">
      <c r="A3755" s="25">
        <v>3753</v>
      </c>
      <c r="B3755" s="37" t="e">
        <f t="shared" ref="B3755:D3755" si="7559">VLOOKUP($A3755,[12]Salud!$A$1:$O$277,B$1,0)</f>
        <v>#N/A</v>
      </c>
      <c r="C3755" s="38" t="e">
        <f t="shared" si="7559"/>
        <v>#N/A</v>
      </c>
      <c r="D3755" s="39" t="e">
        <f t="shared" si="7559"/>
        <v>#N/A</v>
      </c>
      <c r="E3755" s="16" t="e">
        <f t="shared" si="1"/>
        <v>#N/A</v>
      </c>
      <c r="F3755" s="16" t="e">
        <f t="shared" ref="F3755:K3755" si="7560">VLOOKUP($A3755,[12]Salud!$A$1:$O$277,F$1,0)</f>
        <v>#N/A</v>
      </c>
      <c r="G3755" s="39" t="e">
        <f t="shared" si="7560"/>
        <v>#N/A</v>
      </c>
      <c r="H3755" s="16" t="e">
        <f t="shared" si="7560"/>
        <v>#N/A</v>
      </c>
      <c r="I3755" s="16" t="e">
        <f t="shared" si="7560"/>
        <v>#N/A</v>
      </c>
      <c r="J3755" s="40" t="e">
        <f t="shared" si="7560"/>
        <v>#N/A</v>
      </c>
      <c r="K3755" s="16" t="e">
        <f t="shared" si="7560"/>
        <v>#N/A</v>
      </c>
      <c r="L3755" s="40" t="e">
        <f t="shared" si="7253"/>
        <v>#N/A</v>
      </c>
      <c r="M3755" s="16" t="e">
        <f t="shared" si="7254"/>
        <v>#N/A</v>
      </c>
      <c r="N3755" s="16" t="e">
        <f t="shared" si="7255"/>
        <v>#N/A</v>
      </c>
      <c r="O3755" s="16" t="s">
        <v>76</v>
      </c>
      <c r="P3755" s="16" t="str">
        <f t="shared" si="6"/>
        <v/>
      </c>
      <c r="Q3755" s="41" t="e">
        <f t="shared" si="7256"/>
        <v>#N/A</v>
      </c>
      <c r="R3755" s="44"/>
      <c r="S3755" s="44"/>
      <c r="T3755" s="43"/>
      <c r="U3755" s="43" t="str">
        <f t="shared" si="8"/>
        <v>No</v>
      </c>
      <c r="V3755" s="25"/>
      <c r="W3755" s="25"/>
      <c r="X3755" s="25"/>
      <c r="Y3755" s="25"/>
      <c r="Z3755" s="25"/>
    </row>
    <row r="3756" spans="1:26" ht="15.75" customHeight="1" x14ac:dyDescent="0.25">
      <c r="A3756" s="25">
        <v>3754</v>
      </c>
      <c r="B3756" s="37" t="e">
        <f t="shared" ref="B3756:D3756" si="7561">VLOOKUP($A3756,[12]Salud!$A$1:$O$277,B$1,0)</f>
        <v>#N/A</v>
      </c>
      <c r="C3756" s="38" t="e">
        <f t="shared" si="7561"/>
        <v>#N/A</v>
      </c>
      <c r="D3756" s="39" t="e">
        <f t="shared" si="7561"/>
        <v>#N/A</v>
      </c>
      <c r="E3756" s="16" t="e">
        <f t="shared" si="1"/>
        <v>#N/A</v>
      </c>
      <c r="F3756" s="16" t="e">
        <f t="shared" ref="F3756:K3756" si="7562">VLOOKUP($A3756,[12]Salud!$A$1:$O$277,F$1,0)</f>
        <v>#N/A</v>
      </c>
      <c r="G3756" s="39" t="e">
        <f t="shared" si="7562"/>
        <v>#N/A</v>
      </c>
      <c r="H3756" s="16" t="e">
        <f t="shared" si="7562"/>
        <v>#N/A</v>
      </c>
      <c r="I3756" s="16" t="e">
        <f t="shared" si="7562"/>
        <v>#N/A</v>
      </c>
      <c r="J3756" s="40" t="e">
        <f t="shared" si="7562"/>
        <v>#N/A</v>
      </c>
      <c r="K3756" s="16" t="e">
        <f t="shared" si="7562"/>
        <v>#N/A</v>
      </c>
      <c r="L3756" s="40" t="e">
        <f t="shared" si="7253"/>
        <v>#N/A</v>
      </c>
      <c r="M3756" s="16" t="e">
        <f t="shared" si="7254"/>
        <v>#N/A</v>
      </c>
      <c r="N3756" s="16" t="e">
        <f t="shared" si="7255"/>
        <v>#N/A</v>
      </c>
      <c r="O3756" s="16" t="s">
        <v>76</v>
      </c>
      <c r="P3756" s="16" t="str">
        <f t="shared" si="6"/>
        <v/>
      </c>
      <c r="Q3756" s="41" t="e">
        <f t="shared" si="7256"/>
        <v>#N/A</v>
      </c>
      <c r="R3756" s="44"/>
      <c r="S3756" s="44"/>
      <c r="T3756" s="43"/>
      <c r="U3756" s="43" t="str">
        <f t="shared" si="8"/>
        <v>No</v>
      </c>
      <c r="V3756" s="25"/>
      <c r="W3756" s="25"/>
      <c r="X3756" s="25"/>
      <c r="Y3756" s="25"/>
      <c r="Z3756" s="25"/>
    </row>
    <row r="3757" spans="1:26" ht="15.75" customHeight="1" x14ac:dyDescent="0.25">
      <c r="A3757" s="25">
        <v>3755</v>
      </c>
      <c r="B3757" s="37" t="e">
        <f t="shared" ref="B3757:D3757" si="7563">VLOOKUP($A3757,[12]Salud!$A$1:$O$277,B$1,0)</f>
        <v>#N/A</v>
      </c>
      <c r="C3757" s="38" t="e">
        <f t="shared" si="7563"/>
        <v>#N/A</v>
      </c>
      <c r="D3757" s="39" t="e">
        <f t="shared" si="7563"/>
        <v>#N/A</v>
      </c>
      <c r="E3757" s="16" t="e">
        <f t="shared" si="1"/>
        <v>#N/A</v>
      </c>
      <c r="F3757" s="16" t="e">
        <f t="shared" ref="F3757:K3757" si="7564">VLOOKUP($A3757,[12]Salud!$A$1:$O$277,F$1,0)</f>
        <v>#N/A</v>
      </c>
      <c r="G3757" s="39" t="e">
        <f t="shared" si="7564"/>
        <v>#N/A</v>
      </c>
      <c r="H3757" s="16" t="e">
        <f t="shared" si="7564"/>
        <v>#N/A</v>
      </c>
      <c r="I3757" s="16" t="e">
        <f t="shared" si="7564"/>
        <v>#N/A</v>
      </c>
      <c r="J3757" s="40" t="e">
        <f t="shared" si="7564"/>
        <v>#N/A</v>
      </c>
      <c r="K3757" s="16" t="e">
        <f t="shared" si="7564"/>
        <v>#N/A</v>
      </c>
      <c r="L3757" s="40" t="e">
        <f t="shared" si="7253"/>
        <v>#N/A</v>
      </c>
      <c r="M3757" s="16" t="e">
        <f t="shared" si="7254"/>
        <v>#N/A</v>
      </c>
      <c r="N3757" s="16" t="e">
        <f t="shared" si="7255"/>
        <v>#N/A</v>
      </c>
      <c r="O3757" s="16" t="s">
        <v>76</v>
      </c>
      <c r="P3757" s="16" t="str">
        <f t="shared" si="6"/>
        <v/>
      </c>
      <c r="Q3757" s="41" t="e">
        <f t="shared" si="7256"/>
        <v>#N/A</v>
      </c>
      <c r="R3757" s="44"/>
      <c r="S3757" s="44"/>
      <c r="T3757" s="43"/>
      <c r="U3757" s="43" t="str">
        <f t="shared" si="8"/>
        <v>No</v>
      </c>
      <c r="V3757" s="25"/>
      <c r="W3757" s="25"/>
      <c r="X3757" s="25"/>
      <c r="Y3757" s="25"/>
      <c r="Z3757" s="25"/>
    </row>
    <row r="3758" spans="1:26" ht="15.75" customHeight="1" x14ac:dyDescent="0.25">
      <c r="A3758" s="25">
        <v>3756</v>
      </c>
      <c r="B3758" s="37" t="e">
        <f t="shared" ref="B3758:D3758" si="7565">VLOOKUP($A3758,[12]Salud!$A$1:$O$277,B$1,0)</f>
        <v>#N/A</v>
      </c>
      <c r="C3758" s="38" t="e">
        <f t="shared" si="7565"/>
        <v>#N/A</v>
      </c>
      <c r="D3758" s="39" t="e">
        <f t="shared" si="7565"/>
        <v>#N/A</v>
      </c>
      <c r="E3758" s="16" t="e">
        <f t="shared" si="1"/>
        <v>#N/A</v>
      </c>
      <c r="F3758" s="16" t="e">
        <f t="shared" ref="F3758:K3758" si="7566">VLOOKUP($A3758,[12]Salud!$A$1:$O$277,F$1,0)</f>
        <v>#N/A</v>
      </c>
      <c r="G3758" s="39" t="e">
        <f t="shared" si="7566"/>
        <v>#N/A</v>
      </c>
      <c r="H3758" s="16" t="e">
        <f t="shared" si="7566"/>
        <v>#N/A</v>
      </c>
      <c r="I3758" s="16" t="e">
        <f t="shared" si="7566"/>
        <v>#N/A</v>
      </c>
      <c r="J3758" s="40" t="e">
        <f t="shared" si="7566"/>
        <v>#N/A</v>
      </c>
      <c r="K3758" s="16" t="e">
        <f t="shared" si="7566"/>
        <v>#N/A</v>
      </c>
      <c r="L3758" s="40" t="e">
        <f t="shared" si="7253"/>
        <v>#N/A</v>
      </c>
      <c r="M3758" s="16" t="e">
        <f t="shared" si="7254"/>
        <v>#N/A</v>
      </c>
      <c r="N3758" s="16" t="e">
        <f t="shared" si="7255"/>
        <v>#N/A</v>
      </c>
      <c r="O3758" s="16" t="s">
        <v>76</v>
      </c>
      <c r="P3758" s="16" t="str">
        <f t="shared" si="6"/>
        <v/>
      </c>
      <c r="Q3758" s="41" t="e">
        <f t="shared" si="7256"/>
        <v>#N/A</v>
      </c>
      <c r="R3758" s="44"/>
      <c r="S3758" s="44"/>
      <c r="T3758" s="43"/>
      <c r="U3758" s="43" t="str">
        <f t="shared" si="8"/>
        <v>No</v>
      </c>
      <c r="V3758" s="25"/>
      <c r="W3758" s="25"/>
      <c r="X3758" s="25"/>
      <c r="Y3758" s="25"/>
      <c r="Z3758" s="25"/>
    </row>
    <row r="3759" spans="1:26" ht="15.75" customHeight="1" x14ac:dyDescent="0.25">
      <c r="A3759" s="25">
        <v>3757</v>
      </c>
      <c r="B3759" s="37" t="e">
        <f t="shared" ref="B3759:D3759" si="7567">VLOOKUP($A3759,[12]Salud!$A$1:$O$277,B$1,0)</f>
        <v>#N/A</v>
      </c>
      <c r="C3759" s="38" t="e">
        <f t="shared" si="7567"/>
        <v>#N/A</v>
      </c>
      <c r="D3759" s="39" t="e">
        <f t="shared" si="7567"/>
        <v>#N/A</v>
      </c>
      <c r="E3759" s="16" t="e">
        <f t="shared" si="1"/>
        <v>#N/A</v>
      </c>
      <c r="F3759" s="16" t="e">
        <f t="shared" ref="F3759:K3759" si="7568">VLOOKUP($A3759,[12]Salud!$A$1:$O$277,F$1,0)</f>
        <v>#N/A</v>
      </c>
      <c r="G3759" s="39" t="e">
        <f t="shared" si="7568"/>
        <v>#N/A</v>
      </c>
      <c r="H3759" s="16" t="e">
        <f t="shared" si="7568"/>
        <v>#N/A</v>
      </c>
      <c r="I3759" s="16" t="e">
        <f t="shared" si="7568"/>
        <v>#N/A</v>
      </c>
      <c r="J3759" s="40" t="e">
        <f t="shared" si="7568"/>
        <v>#N/A</v>
      </c>
      <c r="K3759" s="16" t="e">
        <f t="shared" si="7568"/>
        <v>#N/A</v>
      </c>
      <c r="L3759" s="40" t="e">
        <f t="shared" si="7253"/>
        <v>#N/A</v>
      </c>
      <c r="M3759" s="16" t="e">
        <f t="shared" si="7254"/>
        <v>#N/A</v>
      </c>
      <c r="N3759" s="16" t="e">
        <f t="shared" si="7255"/>
        <v>#N/A</v>
      </c>
      <c r="O3759" s="16" t="s">
        <v>76</v>
      </c>
      <c r="P3759" s="16" t="str">
        <f t="shared" si="6"/>
        <v/>
      </c>
      <c r="Q3759" s="41" t="e">
        <f t="shared" si="7256"/>
        <v>#N/A</v>
      </c>
      <c r="R3759" s="44"/>
      <c r="S3759" s="44"/>
      <c r="T3759" s="43"/>
      <c r="U3759" s="43" t="str">
        <f t="shared" si="8"/>
        <v>No</v>
      </c>
      <c r="V3759" s="25"/>
      <c r="W3759" s="25"/>
      <c r="X3759" s="25"/>
      <c r="Y3759" s="25"/>
      <c r="Z3759" s="25"/>
    </row>
    <row r="3760" spans="1:26" ht="15.75" customHeight="1" x14ac:dyDescent="0.25">
      <c r="A3760" s="25">
        <v>3758</v>
      </c>
      <c r="B3760" s="37" t="e">
        <f t="shared" ref="B3760:D3760" si="7569">VLOOKUP($A3760,[12]Salud!$A$1:$O$277,B$1,0)</f>
        <v>#N/A</v>
      </c>
      <c r="C3760" s="38" t="e">
        <f t="shared" si="7569"/>
        <v>#N/A</v>
      </c>
      <c r="D3760" s="39" t="e">
        <f t="shared" si="7569"/>
        <v>#N/A</v>
      </c>
      <c r="E3760" s="16" t="e">
        <f t="shared" si="1"/>
        <v>#N/A</v>
      </c>
      <c r="F3760" s="16" t="e">
        <f t="shared" ref="F3760:K3760" si="7570">VLOOKUP($A3760,[12]Salud!$A$1:$O$277,F$1,0)</f>
        <v>#N/A</v>
      </c>
      <c r="G3760" s="39" t="e">
        <f t="shared" si="7570"/>
        <v>#N/A</v>
      </c>
      <c r="H3760" s="16" t="e">
        <f t="shared" si="7570"/>
        <v>#N/A</v>
      </c>
      <c r="I3760" s="16" t="e">
        <f t="shared" si="7570"/>
        <v>#N/A</v>
      </c>
      <c r="J3760" s="40" t="e">
        <f t="shared" si="7570"/>
        <v>#N/A</v>
      </c>
      <c r="K3760" s="16" t="e">
        <f t="shared" si="7570"/>
        <v>#N/A</v>
      </c>
      <c r="L3760" s="40" t="e">
        <f t="shared" si="7253"/>
        <v>#N/A</v>
      </c>
      <c r="M3760" s="16" t="e">
        <f t="shared" si="7254"/>
        <v>#N/A</v>
      </c>
      <c r="N3760" s="16" t="e">
        <f t="shared" si="7255"/>
        <v>#N/A</v>
      </c>
      <c r="O3760" s="16" t="s">
        <v>76</v>
      </c>
      <c r="P3760" s="16" t="str">
        <f t="shared" si="6"/>
        <v/>
      </c>
      <c r="Q3760" s="41" t="e">
        <f t="shared" si="7256"/>
        <v>#N/A</v>
      </c>
      <c r="R3760" s="44"/>
      <c r="S3760" s="44"/>
      <c r="T3760" s="43"/>
      <c r="U3760" s="43" t="str">
        <f t="shared" si="8"/>
        <v>No</v>
      </c>
      <c r="V3760" s="25"/>
      <c r="W3760" s="25"/>
      <c r="X3760" s="25"/>
      <c r="Y3760" s="25"/>
      <c r="Z3760" s="25"/>
    </row>
    <row r="3761" spans="1:26" ht="15.75" customHeight="1" x14ac:dyDescent="0.25">
      <c r="A3761" s="25">
        <v>3759</v>
      </c>
      <c r="B3761" s="37" t="e">
        <f t="shared" ref="B3761:D3761" si="7571">VLOOKUP($A3761,[12]Salud!$A$1:$O$277,B$1,0)</f>
        <v>#N/A</v>
      </c>
      <c r="C3761" s="38" t="e">
        <f t="shared" si="7571"/>
        <v>#N/A</v>
      </c>
      <c r="D3761" s="39" t="e">
        <f t="shared" si="7571"/>
        <v>#N/A</v>
      </c>
      <c r="E3761" s="16" t="e">
        <f t="shared" si="1"/>
        <v>#N/A</v>
      </c>
      <c r="F3761" s="16" t="e">
        <f t="shared" ref="F3761:K3761" si="7572">VLOOKUP($A3761,[12]Salud!$A$1:$O$277,F$1,0)</f>
        <v>#N/A</v>
      </c>
      <c r="G3761" s="39" t="e">
        <f t="shared" si="7572"/>
        <v>#N/A</v>
      </c>
      <c r="H3761" s="16" t="e">
        <f t="shared" si="7572"/>
        <v>#N/A</v>
      </c>
      <c r="I3761" s="16" t="e">
        <f t="shared" si="7572"/>
        <v>#N/A</v>
      </c>
      <c r="J3761" s="40" t="e">
        <f t="shared" si="7572"/>
        <v>#N/A</v>
      </c>
      <c r="K3761" s="16" t="e">
        <f t="shared" si="7572"/>
        <v>#N/A</v>
      </c>
      <c r="L3761" s="40" t="e">
        <f t="shared" si="7253"/>
        <v>#N/A</v>
      </c>
      <c r="M3761" s="16" t="e">
        <f t="shared" si="7254"/>
        <v>#N/A</v>
      </c>
      <c r="N3761" s="16" t="e">
        <f t="shared" si="7255"/>
        <v>#N/A</v>
      </c>
      <c r="O3761" s="16" t="s">
        <v>76</v>
      </c>
      <c r="P3761" s="16" t="str">
        <f t="shared" si="6"/>
        <v/>
      </c>
      <c r="Q3761" s="41" t="e">
        <f t="shared" si="7256"/>
        <v>#N/A</v>
      </c>
      <c r="R3761" s="44"/>
      <c r="S3761" s="44"/>
      <c r="T3761" s="43"/>
      <c r="U3761" s="43" t="str">
        <f t="shared" si="8"/>
        <v>No</v>
      </c>
      <c r="V3761" s="25"/>
      <c r="W3761" s="25"/>
      <c r="X3761" s="25"/>
      <c r="Y3761" s="25"/>
      <c r="Z3761" s="25"/>
    </row>
    <row r="3762" spans="1:26" ht="15.75" customHeight="1" x14ac:dyDescent="0.25">
      <c r="A3762" s="25">
        <v>3760</v>
      </c>
      <c r="B3762" s="37" t="e">
        <f t="shared" ref="B3762:D3762" si="7573">VLOOKUP($A3762,[12]Salud!$A$1:$O$277,B$1,0)</f>
        <v>#N/A</v>
      </c>
      <c r="C3762" s="38" t="e">
        <f t="shared" si="7573"/>
        <v>#N/A</v>
      </c>
      <c r="D3762" s="39" t="e">
        <f t="shared" si="7573"/>
        <v>#N/A</v>
      </c>
      <c r="E3762" s="16" t="e">
        <f t="shared" si="1"/>
        <v>#N/A</v>
      </c>
      <c r="F3762" s="16" t="e">
        <f t="shared" ref="F3762:K3762" si="7574">VLOOKUP($A3762,[12]Salud!$A$1:$O$277,F$1,0)</f>
        <v>#N/A</v>
      </c>
      <c r="G3762" s="39" t="e">
        <f t="shared" si="7574"/>
        <v>#N/A</v>
      </c>
      <c r="H3762" s="16" t="e">
        <f t="shared" si="7574"/>
        <v>#N/A</v>
      </c>
      <c r="I3762" s="16" t="e">
        <f t="shared" si="7574"/>
        <v>#N/A</v>
      </c>
      <c r="J3762" s="40" t="e">
        <f t="shared" si="7574"/>
        <v>#N/A</v>
      </c>
      <c r="K3762" s="16" t="e">
        <f t="shared" si="7574"/>
        <v>#N/A</v>
      </c>
      <c r="L3762" s="40" t="e">
        <f t="shared" si="7253"/>
        <v>#N/A</v>
      </c>
      <c r="M3762" s="16" t="e">
        <f t="shared" si="7254"/>
        <v>#N/A</v>
      </c>
      <c r="N3762" s="16" t="e">
        <f t="shared" si="7255"/>
        <v>#N/A</v>
      </c>
      <c r="O3762" s="16" t="s">
        <v>76</v>
      </c>
      <c r="P3762" s="16" t="str">
        <f t="shared" si="6"/>
        <v/>
      </c>
      <c r="Q3762" s="41" t="e">
        <f t="shared" si="7256"/>
        <v>#N/A</v>
      </c>
      <c r="R3762" s="44"/>
      <c r="S3762" s="44"/>
      <c r="T3762" s="43"/>
      <c r="U3762" s="43" t="str">
        <f t="shared" si="8"/>
        <v>No</v>
      </c>
      <c r="V3762" s="25"/>
      <c r="W3762" s="25"/>
      <c r="X3762" s="25"/>
      <c r="Y3762" s="25"/>
      <c r="Z3762" s="25"/>
    </row>
    <row r="3763" spans="1:26" ht="15.75" customHeight="1" x14ac:dyDescent="0.25">
      <c r="A3763" s="25">
        <v>3761</v>
      </c>
      <c r="B3763" s="37" t="e">
        <f t="shared" ref="B3763:D3763" si="7575">VLOOKUP($A3763,[12]Salud!$A$1:$O$277,B$1,0)</f>
        <v>#N/A</v>
      </c>
      <c r="C3763" s="38" t="e">
        <f t="shared" si="7575"/>
        <v>#N/A</v>
      </c>
      <c r="D3763" s="39" t="e">
        <f t="shared" si="7575"/>
        <v>#N/A</v>
      </c>
      <c r="E3763" s="16" t="e">
        <f t="shared" si="1"/>
        <v>#N/A</v>
      </c>
      <c r="F3763" s="16" t="e">
        <f t="shared" ref="F3763:K3763" si="7576">VLOOKUP($A3763,[12]Salud!$A$1:$O$277,F$1,0)</f>
        <v>#N/A</v>
      </c>
      <c r="G3763" s="39" t="e">
        <f t="shared" si="7576"/>
        <v>#N/A</v>
      </c>
      <c r="H3763" s="16" t="e">
        <f t="shared" si="7576"/>
        <v>#N/A</v>
      </c>
      <c r="I3763" s="16" t="e">
        <f t="shared" si="7576"/>
        <v>#N/A</v>
      </c>
      <c r="J3763" s="40" t="e">
        <f t="shared" si="7576"/>
        <v>#N/A</v>
      </c>
      <c r="K3763" s="16" t="e">
        <f t="shared" si="7576"/>
        <v>#N/A</v>
      </c>
      <c r="L3763" s="40" t="e">
        <f t="shared" si="7253"/>
        <v>#N/A</v>
      </c>
      <c r="M3763" s="16" t="e">
        <f t="shared" si="7254"/>
        <v>#N/A</v>
      </c>
      <c r="N3763" s="16" t="e">
        <f t="shared" si="7255"/>
        <v>#N/A</v>
      </c>
      <c r="O3763" s="16" t="s">
        <v>76</v>
      </c>
      <c r="P3763" s="16" t="str">
        <f t="shared" si="6"/>
        <v/>
      </c>
      <c r="Q3763" s="41" t="e">
        <f t="shared" si="7256"/>
        <v>#N/A</v>
      </c>
      <c r="R3763" s="44"/>
      <c r="S3763" s="44"/>
      <c r="T3763" s="43"/>
      <c r="U3763" s="43" t="str">
        <f t="shared" si="8"/>
        <v>No</v>
      </c>
      <c r="V3763" s="25"/>
      <c r="W3763" s="25"/>
      <c r="X3763" s="25"/>
      <c r="Y3763" s="25"/>
      <c r="Z3763" s="25"/>
    </row>
    <row r="3764" spans="1:26" ht="15.75" customHeight="1" x14ac:dyDescent="0.25">
      <c r="A3764" s="25">
        <v>3762</v>
      </c>
      <c r="B3764" s="37" t="e">
        <f t="shared" ref="B3764:D3764" si="7577">VLOOKUP($A3764,[12]Salud!$A$1:$O$277,B$1,0)</f>
        <v>#N/A</v>
      </c>
      <c r="C3764" s="38" t="e">
        <f t="shared" si="7577"/>
        <v>#N/A</v>
      </c>
      <c r="D3764" s="39" t="e">
        <f t="shared" si="7577"/>
        <v>#N/A</v>
      </c>
      <c r="E3764" s="16" t="e">
        <f t="shared" si="1"/>
        <v>#N/A</v>
      </c>
      <c r="F3764" s="16" t="e">
        <f t="shared" ref="F3764:K3764" si="7578">VLOOKUP($A3764,[12]Salud!$A$1:$O$277,F$1,0)</f>
        <v>#N/A</v>
      </c>
      <c r="G3764" s="39" t="e">
        <f t="shared" si="7578"/>
        <v>#N/A</v>
      </c>
      <c r="H3764" s="16" t="e">
        <f t="shared" si="7578"/>
        <v>#N/A</v>
      </c>
      <c r="I3764" s="16" t="e">
        <f t="shared" si="7578"/>
        <v>#N/A</v>
      </c>
      <c r="J3764" s="40" t="e">
        <f t="shared" si="7578"/>
        <v>#N/A</v>
      </c>
      <c r="K3764" s="16" t="e">
        <f t="shared" si="7578"/>
        <v>#N/A</v>
      </c>
      <c r="L3764" s="40" t="e">
        <f t="shared" si="7253"/>
        <v>#N/A</v>
      </c>
      <c r="M3764" s="16" t="e">
        <f t="shared" si="7254"/>
        <v>#N/A</v>
      </c>
      <c r="N3764" s="16" t="e">
        <f t="shared" si="7255"/>
        <v>#N/A</v>
      </c>
      <c r="O3764" s="16" t="s">
        <v>76</v>
      </c>
      <c r="P3764" s="16" t="str">
        <f t="shared" si="6"/>
        <v/>
      </c>
      <c r="Q3764" s="41" t="e">
        <f t="shared" si="7256"/>
        <v>#N/A</v>
      </c>
      <c r="R3764" s="44"/>
      <c r="S3764" s="44"/>
      <c r="T3764" s="43"/>
      <c r="U3764" s="43" t="str">
        <f t="shared" si="8"/>
        <v>No</v>
      </c>
      <c r="V3764" s="25"/>
      <c r="W3764" s="25"/>
      <c r="X3764" s="25"/>
      <c r="Y3764" s="25"/>
      <c r="Z3764" s="25"/>
    </row>
    <row r="3765" spans="1:26" ht="15.75" customHeight="1" x14ac:dyDescent="0.25">
      <c r="A3765" s="25">
        <v>3763</v>
      </c>
      <c r="B3765" s="37" t="e">
        <f t="shared" ref="B3765:D3765" si="7579">VLOOKUP($A3765,[12]Salud!$A$1:$O$277,B$1,0)</f>
        <v>#N/A</v>
      </c>
      <c r="C3765" s="38" t="e">
        <f t="shared" si="7579"/>
        <v>#N/A</v>
      </c>
      <c r="D3765" s="39" t="e">
        <f t="shared" si="7579"/>
        <v>#N/A</v>
      </c>
      <c r="E3765" s="16" t="e">
        <f t="shared" si="1"/>
        <v>#N/A</v>
      </c>
      <c r="F3765" s="16" t="e">
        <f t="shared" ref="F3765:K3765" si="7580">VLOOKUP($A3765,[12]Salud!$A$1:$O$277,F$1,0)</f>
        <v>#N/A</v>
      </c>
      <c r="G3765" s="39" t="e">
        <f t="shared" si="7580"/>
        <v>#N/A</v>
      </c>
      <c r="H3765" s="16" t="e">
        <f t="shared" si="7580"/>
        <v>#N/A</v>
      </c>
      <c r="I3765" s="16" t="e">
        <f t="shared" si="7580"/>
        <v>#N/A</v>
      </c>
      <c r="J3765" s="40" t="e">
        <f t="shared" si="7580"/>
        <v>#N/A</v>
      </c>
      <c r="K3765" s="16" t="e">
        <f t="shared" si="7580"/>
        <v>#N/A</v>
      </c>
      <c r="L3765" s="40" t="e">
        <f t="shared" si="7253"/>
        <v>#N/A</v>
      </c>
      <c r="M3765" s="16" t="e">
        <f t="shared" si="7254"/>
        <v>#N/A</v>
      </c>
      <c r="N3765" s="16" t="e">
        <f t="shared" si="7255"/>
        <v>#N/A</v>
      </c>
      <c r="O3765" s="16" t="s">
        <v>76</v>
      </c>
      <c r="P3765" s="16" t="str">
        <f t="shared" si="6"/>
        <v/>
      </c>
      <c r="Q3765" s="41" t="e">
        <f t="shared" si="7256"/>
        <v>#N/A</v>
      </c>
      <c r="R3765" s="44"/>
      <c r="S3765" s="44"/>
      <c r="T3765" s="43"/>
      <c r="U3765" s="43" t="str">
        <f t="shared" si="8"/>
        <v>No</v>
      </c>
      <c r="V3765" s="25"/>
      <c r="W3765" s="25"/>
      <c r="X3765" s="25"/>
      <c r="Y3765" s="25"/>
      <c r="Z3765" s="25"/>
    </row>
    <row r="3766" spans="1:26" ht="15.75" customHeight="1" x14ac:dyDescent="0.25">
      <c r="A3766" s="25">
        <v>3764</v>
      </c>
      <c r="B3766" s="37" t="e">
        <f t="shared" ref="B3766:D3766" si="7581">VLOOKUP($A3766,[12]Salud!$A$1:$O$277,B$1,0)</f>
        <v>#N/A</v>
      </c>
      <c r="C3766" s="38" t="e">
        <f t="shared" si="7581"/>
        <v>#N/A</v>
      </c>
      <c r="D3766" s="39" t="e">
        <f t="shared" si="7581"/>
        <v>#N/A</v>
      </c>
      <c r="E3766" s="16" t="e">
        <f t="shared" si="1"/>
        <v>#N/A</v>
      </c>
      <c r="F3766" s="16" t="e">
        <f t="shared" ref="F3766:K3766" si="7582">VLOOKUP($A3766,[12]Salud!$A$1:$O$277,F$1,0)</f>
        <v>#N/A</v>
      </c>
      <c r="G3766" s="39" t="e">
        <f t="shared" si="7582"/>
        <v>#N/A</v>
      </c>
      <c r="H3766" s="16" t="e">
        <f t="shared" si="7582"/>
        <v>#N/A</v>
      </c>
      <c r="I3766" s="16" t="e">
        <f t="shared" si="7582"/>
        <v>#N/A</v>
      </c>
      <c r="J3766" s="40" t="e">
        <f t="shared" si="7582"/>
        <v>#N/A</v>
      </c>
      <c r="K3766" s="16" t="e">
        <f t="shared" si="7582"/>
        <v>#N/A</v>
      </c>
      <c r="L3766" s="40" t="e">
        <f t="shared" si="7253"/>
        <v>#N/A</v>
      </c>
      <c r="M3766" s="16" t="e">
        <f t="shared" si="7254"/>
        <v>#N/A</v>
      </c>
      <c r="N3766" s="16" t="e">
        <f t="shared" si="7255"/>
        <v>#N/A</v>
      </c>
      <c r="O3766" s="16" t="s">
        <v>76</v>
      </c>
      <c r="P3766" s="16" t="str">
        <f t="shared" si="6"/>
        <v/>
      </c>
      <c r="Q3766" s="41" t="e">
        <f t="shared" si="7256"/>
        <v>#N/A</v>
      </c>
      <c r="R3766" s="44"/>
      <c r="S3766" s="44"/>
      <c r="T3766" s="43"/>
      <c r="U3766" s="43" t="str">
        <f t="shared" si="8"/>
        <v>No</v>
      </c>
      <c r="V3766" s="25"/>
      <c r="W3766" s="25"/>
      <c r="X3766" s="25"/>
      <c r="Y3766" s="25"/>
      <c r="Z3766" s="25"/>
    </row>
    <row r="3767" spans="1:26" ht="15.75" customHeight="1" x14ac:dyDescent="0.25">
      <c r="A3767" s="25">
        <v>3765</v>
      </c>
      <c r="B3767" s="37" t="e">
        <f t="shared" ref="B3767:D3767" si="7583">VLOOKUP($A3767,[12]Salud!$A$1:$O$277,B$1,0)</f>
        <v>#N/A</v>
      </c>
      <c r="C3767" s="38" t="e">
        <f t="shared" si="7583"/>
        <v>#N/A</v>
      </c>
      <c r="D3767" s="39" t="e">
        <f t="shared" si="7583"/>
        <v>#N/A</v>
      </c>
      <c r="E3767" s="16" t="e">
        <f t="shared" si="1"/>
        <v>#N/A</v>
      </c>
      <c r="F3767" s="16" t="e">
        <f t="shared" ref="F3767:K3767" si="7584">VLOOKUP($A3767,[12]Salud!$A$1:$O$277,F$1,0)</f>
        <v>#N/A</v>
      </c>
      <c r="G3767" s="39" t="e">
        <f t="shared" si="7584"/>
        <v>#N/A</v>
      </c>
      <c r="H3767" s="16" t="e">
        <f t="shared" si="7584"/>
        <v>#N/A</v>
      </c>
      <c r="I3767" s="16" t="e">
        <f t="shared" si="7584"/>
        <v>#N/A</v>
      </c>
      <c r="J3767" s="40" t="e">
        <f t="shared" si="7584"/>
        <v>#N/A</v>
      </c>
      <c r="K3767" s="16" t="e">
        <f t="shared" si="7584"/>
        <v>#N/A</v>
      </c>
      <c r="L3767" s="40" t="e">
        <f t="shared" si="7253"/>
        <v>#N/A</v>
      </c>
      <c r="M3767" s="16" t="e">
        <f t="shared" si="7254"/>
        <v>#N/A</v>
      </c>
      <c r="N3767" s="16" t="e">
        <f t="shared" si="7255"/>
        <v>#N/A</v>
      </c>
      <c r="O3767" s="16" t="s">
        <v>76</v>
      </c>
      <c r="P3767" s="16" t="str">
        <f t="shared" si="6"/>
        <v/>
      </c>
      <c r="Q3767" s="41" t="e">
        <f t="shared" si="7256"/>
        <v>#N/A</v>
      </c>
      <c r="R3767" s="44"/>
      <c r="S3767" s="44"/>
      <c r="T3767" s="43"/>
      <c r="U3767" s="43" t="str">
        <f t="shared" si="8"/>
        <v>No</v>
      </c>
      <c r="V3767" s="25"/>
      <c r="W3767" s="25"/>
      <c r="X3767" s="25"/>
      <c r="Y3767" s="25"/>
      <c r="Z3767" s="25"/>
    </row>
    <row r="3768" spans="1:26" ht="15.75" customHeight="1" x14ac:dyDescent="0.25">
      <c r="A3768" s="25">
        <v>3766</v>
      </c>
      <c r="B3768" s="37" t="e">
        <f t="shared" ref="B3768:D3768" si="7585">VLOOKUP($A3768,[12]Salud!$A$1:$O$277,B$1,0)</f>
        <v>#N/A</v>
      </c>
      <c r="C3768" s="38" t="e">
        <f t="shared" si="7585"/>
        <v>#N/A</v>
      </c>
      <c r="D3768" s="39" t="e">
        <f t="shared" si="7585"/>
        <v>#N/A</v>
      </c>
      <c r="E3768" s="16" t="e">
        <f t="shared" si="1"/>
        <v>#N/A</v>
      </c>
      <c r="F3768" s="16" t="e">
        <f t="shared" ref="F3768:K3768" si="7586">VLOOKUP($A3768,[12]Salud!$A$1:$O$277,F$1,0)</f>
        <v>#N/A</v>
      </c>
      <c r="G3768" s="39" t="e">
        <f t="shared" si="7586"/>
        <v>#N/A</v>
      </c>
      <c r="H3768" s="16" t="e">
        <f t="shared" si="7586"/>
        <v>#N/A</v>
      </c>
      <c r="I3768" s="16" t="e">
        <f t="shared" si="7586"/>
        <v>#N/A</v>
      </c>
      <c r="J3768" s="40" t="e">
        <f t="shared" si="7586"/>
        <v>#N/A</v>
      </c>
      <c r="K3768" s="16" t="e">
        <f t="shared" si="7586"/>
        <v>#N/A</v>
      </c>
      <c r="L3768" s="40" t="e">
        <f t="shared" si="7253"/>
        <v>#N/A</v>
      </c>
      <c r="M3768" s="16" t="e">
        <f t="shared" si="7254"/>
        <v>#N/A</v>
      </c>
      <c r="N3768" s="16" t="e">
        <f t="shared" si="7255"/>
        <v>#N/A</v>
      </c>
      <c r="O3768" s="16" t="s">
        <v>76</v>
      </c>
      <c r="P3768" s="16" t="str">
        <f t="shared" si="6"/>
        <v/>
      </c>
      <c r="Q3768" s="41" t="e">
        <f t="shared" si="7256"/>
        <v>#N/A</v>
      </c>
      <c r="R3768" s="44"/>
      <c r="S3768" s="44"/>
      <c r="T3768" s="43"/>
      <c r="U3768" s="43" t="str">
        <f t="shared" si="8"/>
        <v>No</v>
      </c>
      <c r="V3768" s="25"/>
      <c r="W3768" s="25"/>
      <c r="X3768" s="25"/>
      <c r="Y3768" s="25"/>
      <c r="Z3768" s="25"/>
    </row>
    <row r="3769" spans="1:26" ht="15.75" customHeight="1" x14ac:dyDescent="0.25">
      <c r="A3769" s="25">
        <v>3767</v>
      </c>
      <c r="B3769" s="37" t="e">
        <f t="shared" ref="B3769:D3769" si="7587">VLOOKUP($A3769,[12]Salud!$A$1:$O$277,B$1,0)</f>
        <v>#N/A</v>
      </c>
      <c r="C3769" s="38" t="e">
        <f t="shared" si="7587"/>
        <v>#N/A</v>
      </c>
      <c r="D3769" s="39" t="e">
        <f t="shared" si="7587"/>
        <v>#N/A</v>
      </c>
      <c r="E3769" s="16" t="e">
        <f t="shared" si="1"/>
        <v>#N/A</v>
      </c>
      <c r="F3769" s="16" t="e">
        <f t="shared" ref="F3769:K3769" si="7588">VLOOKUP($A3769,[12]Salud!$A$1:$O$277,F$1,0)</f>
        <v>#N/A</v>
      </c>
      <c r="G3769" s="39" t="e">
        <f t="shared" si="7588"/>
        <v>#N/A</v>
      </c>
      <c r="H3769" s="16" t="e">
        <f t="shared" si="7588"/>
        <v>#N/A</v>
      </c>
      <c r="I3769" s="16" t="e">
        <f t="shared" si="7588"/>
        <v>#N/A</v>
      </c>
      <c r="J3769" s="40" t="e">
        <f t="shared" si="7588"/>
        <v>#N/A</v>
      </c>
      <c r="K3769" s="16" t="e">
        <f t="shared" si="7588"/>
        <v>#N/A</v>
      </c>
      <c r="L3769" s="40" t="e">
        <f t="shared" si="7253"/>
        <v>#N/A</v>
      </c>
      <c r="M3769" s="16" t="e">
        <f t="shared" si="7254"/>
        <v>#N/A</v>
      </c>
      <c r="N3769" s="16" t="e">
        <f t="shared" si="7255"/>
        <v>#N/A</v>
      </c>
      <c r="O3769" s="16" t="s">
        <v>76</v>
      </c>
      <c r="P3769" s="16" t="str">
        <f t="shared" si="6"/>
        <v/>
      </c>
      <c r="Q3769" s="41" t="e">
        <f t="shared" si="7256"/>
        <v>#N/A</v>
      </c>
      <c r="R3769" s="44"/>
      <c r="S3769" s="44"/>
      <c r="T3769" s="43"/>
      <c r="U3769" s="43" t="str">
        <f t="shared" si="8"/>
        <v>No</v>
      </c>
      <c r="V3769" s="25"/>
      <c r="W3769" s="25"/>
      <c r="X3769" s="25"/>
      <c r="Y3769" s="25"/>
      <c r="Z3769" s="25"/>
    </row>
    <row r="3770" spans="1:26" ht="15.75" customHeight="1" x14ac:dyDescent="0.25">
      <c r="A3770" s="25">
        <v>3768</v>
      </c>
      <c r="B3770" s="37" t="e">
        <f t="shared" ref="B3770:D3770" si="7589">VLOOKUP($A3770,[12]Salud!$A$1:$O$277,B$1,0)</f>
        <v>#N/A</v>
      </c>
      <c r="C3770" s="38" t="e">
        <f t="shared" si="7589"/>
        <v>#N/A</v>
      </c>
      <c r="D3770" s="39" t="e">
        <f t="shared" si="7589"/>
        <v>#N/A</v>
      </c>
      <c r="E3770" s="16" t="e">
        <f t="shared" si="1"/>
        <v>#N/A</v>
      </c>
      <c r="F3770" s="16" t="e">
        <f t="shared" ref="F3770:K3770" si="7590">VLOOKUP($A3770,[12]Salud!$A$1:$O$277,F$1,0)</f>
        <v>#N/A</v>
      </c>
      <c r="G3770" s="39" t="e">
        <f t="shared" si="7590"/>
        <v>#N/A</v>
      </c>
      <c r="H3770" s="16" t="e">
        <f t="shared" si="7590"/>
        <v>#N/A</v>
      </c>
      <c r="I3770" s="16" t="e">
        <f t="shared" si="7590"/>
        <v>#N/A</v>
      </c>
      <c r="J3770" s="40" t="e">
        <f t="shared" si="7590"/>
        <v>#N/A</v>
      </c>
      <c r="K3770" s="16" t="e">
        <f t="shared" si="7590"/>
        <v>#N/A</v>
      </c>
      <c r="L3770" s="40" t="e">
        <f t="shared" si="7253"/>
        <v>#N/A</v>
      </c>
      <c r="M3770" s="16" t="e">
        <f t="shared" si="7254"/>
        <v>#N/A</v>
      </c>
      <c r="N3770" s="16" t="e">
        <f t="shared" si="7255"/>
        <v>#N/A</v>
      </c>
      <c r="O3770" s="16" t="s">
        <v>76</v>
      </c>
      <c r="P3770" s="16" t="str">
        <f t="shared" si="6"/>
        <v/>
      </c>
      <c r="Q3770" s="41" t="e">
        <f t="shared" si="7256"/>
        <v>#N/A</v>
      </c>
      <c r="R3770" s="44"/>
      <c r="S3770" s="44"/>
      <c r="T3770" s="43"/>
      <c r="U3770" s="43" t="str">
        <f t="shared" si="8"/>
        <v>No</v>
      </c>
      <c r="V3770" s="25"/>
      <c r="W3770" s="25"/>
      <c r="X3770" s="25"/>
      <c r="Y3770" s="25"/>
      <c r="Z3770" s="25"/>
    </row>
    <row r="3771" spans="1:26" ht="15.75" customHeight="1" x14ac:dyDescent="0.25">
      <c r="A3771" s="25">
        <v>3769</v>
      </c>
      <c r="B3771" s="37" t="e">
        <f t="shared" ref="B3771:D3771" si="7591">VLOOKUP($A3771,[12]Salud!$A$1:$O$277,B$1,0)</f>
        <v>#N/A</v>
      </c>
      <c r="C3771" s="38" t="e">
        <f t="shared" si="7591"/>
        <v>#N/A</v>
      </c>
      <c r="D3771" s="39" t="e">
        <f t="shared" si="7591"/>
        <v>#N/A</v>
      </c>
      <c r="E3771" s="16" t="e">
        <f t="shared" si="1"/>
        <v>#N/A</v>
      </c>
      <c r="F3771" s="16" t="e">
        <f t="shared" ref="F3771:K3771" si="7592">VLOOKUP($A3771,[12]Salud!$A$1:$O$277,F$1,0)</f>
        <v>#N/A</v>
      </c>
      <c r="G3771" s="39" t="e">
        <f t="shared" si="7592"/>
        <v>#N/A</v>
      </c>
      <c r="H3771" s="16" t="e">
        <f t="shared" si="7592"/>
        <v>#N/A</v>
      </c>
      <c r="I3771" s="16" t="e">
        <f t="shared" si="7592"/>
        <v>#N/A</v>
      </c>
      <c r="J3771" s="40" t="e">
        <f t="shared" si="7592"/>
        <v>#N/A</v>
      </c>
      <c r="K3771" s="16" t="e">
        <f t="shared" si="7592"/>
        <v>#N/A</v>
      </c>
      <c r="L3771" s="40" t="e">
        <f t="shared" si="7253"/>
        <v>#N/A</v>
      </c>
      <c r="M3771" s="16" t="e">
        <f t="shared" si="7254"/>
        <v>#N/A</v>
      </c>
      <c r="N3771" s="16" t="e">
        <f t="shared" si="7255"/>
        <v>#N/A</v>
      </c>
      <c r="O3771" s="16" t="s">
        <v>76</v>
      </c>
      <c r="P3771" s="16" t="str">
        <f t="shared" si="6"/>
        <v/>
      </c>
      <c r="Q3771" s="41" t="e">
        <f t="shared" si="7256"/>
        <v>#N/A</v>
      </c>
      <c r="R3771" s="44"/>
      <c r="S3771" s="44"/>
      <c r="T3771" s="43"/>
      <c r="U3771" s="43" t="str">
        <f t="shared" si="8"/>
        <v>No</v>
      </c>
      <c r="V3771" s="25"/>
      <c r="W3771" s="25"/>
      <c r="X3771" s="25"/>
      <c r="Y3771" s="25"/>
      <c r="Z3771" s="25"/>
    </row>
    <row r="3772" spans="1:26" ht="15.75" customHeight="1" x14ac:dyDescent="0.25">
      <c r="A3772" s="25">
        <v>3770</v>
      </c>
      <c r="B3772" s="37" t="e">
        <f t="shared" ref="B3772:D3772" si="7593">VLOOKUP($A3772,[12]Salud!$A$1:$O$277,B$1,0)</f>
        <v>#N/A</v>
      </c>
      <c r="C3772" s="38" t="e">
        <f t="shared" si="7593"/>
        <v>#N/A</v>
      </c>
      <c r="D3772" s="39" t="e">
        <f t="shared" si="7593"/>
        <v>#N/A</v>
      </c>
      <c r="E3772" s="16" t="e">
        <f t="shared" si="1"/>
        <v>#N/A</v>
      </c>
      <c r="F3772" s="16" t="e">
        <f t="shared" ref="F3772:K3772" si="7594">VLOOKUP($A3772,[12]Salud!$A$1:$O$277,F$1,0)</f>
        <v>#N/A</v>
      </c>
      <c r="G3772" s="39" t="e">
        <f t="shared" si="7594"/>
        <v>#N/A</v>
      </c>
      <c r="H3772" s="16" t="e">
        <f t="shared" si="7594"/>
        <v>#N/A</v>
      </c>
      <c r="I3772" s="16" t="e">
        <f t="shared" si="7594"/>
        <v>#N/A</v>
      </c>
      <c r="J3772" s="40" t="e">
        <f t="shared" si="7594"/>
        <v>#N/A</v>
      </c>
      <c r="K3772" s="16" t="e">
        <f t="shared" si="7594"/>
        <v>#N/A</v>
      </c>
      <c r="L3772" s="40" t="e">
        <f t="shared" si="7253"/>
        <v>#N/A</v>
      </c>
      <c r="M3772" s="16" t="e">
        <f t="shared" si="7254"/>
        <v>#N/A</v>
      </c>
      <c r="N3772" s="16" t="e">
        <f t="shared" si="7255"/>
        <v>#N/A</v>
      </c>
      <c r="O3772" s="16" t="s">
        <v>76</v>
      </c>
      <c r="P3772" s="16" t="str">
        <f t="shared" si="6"/>
        <v/>
      </c>
      <c r="Q3772" s="41" t="e">
        <f t="shared" si="7256"/>
        <v>#N/A</v>
      </c>
      <c r="R3772" s="44"/>
      <c r="S3772" s="44"/>
      <c r="T3772" s="43"/>
      <c r="U3772" s="43" t="str">
        <f t="shared" si="8"/>
        <v>No</v>
      </c>
      <c r="V3772" s="25"/>
      <c r="W3772" s="25"/>
      <c r="X3772" s="25"/>
      <c r="Y3772" s="25"/>
      <c r="Z3772" s="25"/>
    </row>
    <row r="3773" spans="1:26" ht="15.75" customHeight="1" x14ac:dyDescent="0.25">
      <c r="A3773" s="25">
        <v>3771</v>
      </c>
      <c r="B3773" s="37" t="e">
        <f t="shared" ref="B3773:D3773" si="7595">VLOOKUP($A3773,[12]Salud!$A$1:$O$277,B$1,0)</f>
        <v>#N/A</v>
      </c>
      <c r="C3773" s="38" t="e">
        <f t="shared" si="7595"/>
        <v>#N/A</v>
      </c>
      <c r="D3773" s="39" t="e">
        <f t="shared" si="7595"/>
        <v>#N/A</v>
      </c>
      <c r="E3773" s="16" t="e">
        <f t="shared" si="1"/>
        <v>#N/A</v>
      </c>
      <c r="F3773" s="16" t="e">
        <f t="shared" ref="F3773:K3773" si="7596">VLOOKUP($A3773,[12]Salud!$A$1:$O$277,F$1,0)</f>
        <v>#N/A</v>
      </c>
      <c r="G3773" s="39" t="e">
        <f t="shared" si="7596"/>
        <v>#N/A</v>
      </c>
      <c r="H3773" s="16" t="e">
        <f t="shared" si="7596"/>
        <v>#N/A</v>
      </c>
      <c r="I3773" s="16" t="e">
        <f t="shared" si="7596"/>
        <v>#N/A</v>
      </c>
      <c r="J3773" s="40" t="e">
        <f t="shared" si="7596"/>
        <v>#N/A</v>
      </c>
      <c r="K3773" s="16" t="e">
        <f t="shared" si="7596"/>
        <v>#N/A</v>
      </c>
      <c r="L3773" s="40" t="e">
        <f t="shared" si="7253"/>
        <v>#N/A</v>
      </c>
      <c r="M3773" s="16" t="e">
        <f t="shared" si="7254"/>
        <v>#N/A</v>
      </c>
      <c r="N3773" s="16" t="e">
        <f t="shared" si="7255"/>
        <v>#N/A</v>
      </c>
      <c r="O3773" s="16" t="s">
        <v>76</v>
      </c>
      <c r="P3773" s="16" t="str">
        <f t="shared" si="6"/>
        <v/>
      </c>
      <c r="Q3773" s="41" t="e">
        <f t="shared" si="7256"/>
        <v>#N/A</v>
      </c>
      <c r="R3773" s="44"/>
      <c r="S3773" s="44"/>
      <c r="T3773" s="43"/>
      <c r="U3773" s="43" t="str">
        <f t="shared" si="8"/>
        <v>No</v>
      </c>
      <c r="V3773" s="25"/>
      <c r="W3773" s="25"/>
      <c r="X3773" s="25"/>
      <c r="Y3773" s="25"/>
      <c r="Z3773" s="25"/>
    </row>
    <row r="3774" spans="1:26" ht="15.75" customHeight="1" x14ac:dyDescent="0.25">
      <c r="A3774" s="25">
        <v>3772</v>
      </c>
      <c r="B3774" s="37" t="e">
        <f t="shared" ref="B3774:D3774" si="7597">VLOOKUP($A3774,[12]Salud!$A$1:$O$277,B$1,0)</f>
        <v>#N/A</v>
      </c>
      <c r="C3774" s="38" t="e">
        <f t="shared" si="7597"/>
        <v>#N/A</v>
      </c>
      <c r="D3774" s="39" t="e">
        <f t="shared" si="7597"/>
        <v>#N/A</v>
      </c>
      <c r="E3774" s="16" t="e">
        <f t="shared" si="1"/>
        <v>#N/A</v>
      </c>
      <c r="F3774" s="16" t="e">
        <f t="shared" ref="F3774:K3774" si="7598">VLOOKUP($A3774,[12]Salud!$A$1:$O$277,F$1,0)</f>
        <v>#N/A</v>
      </c>
      <c r="G3774" s="39" t="e">
        <f t="shared" si="7598"/>
        <v>#N/A</v>
      </c>
      <c r="H3774" s="16" t="e">
        <f t="shared" si="7598"/>
        <v>#N/A</v>
      </c>
      <c r="I3774" s="16" t="e">
        <f t="shared" si="7598"/>
        <v>#N/A</v>
      </c>
      <c r="J3774" s="40" t="e">
        <f t="shared" si="7598"/>
        <v>#N/A</v>
      </c>
      <c r="K3774" s="16" t="e">
        <f t="shared" si="7598"/>
        <v>#N/A</v>
      </c>
      <c r="L3774" s="40" t="e">
        <f t="shared" si="7253"/>
        <v>#N/A</v>
      </c>
      <c r="M3774" s="16" t="e">
        <f t="shared" si="7254"/>
        <v>#N/A</v>
      </c>
      <c r="N3774" s="16" t="e">
        <f t="shared" si="7255"/>
        <v>#N/A</v>
      </c>
      <c r="O3774" s="16" t="s">
        <v>76</v>
      </c>
      <c r="P3774" s="16" t="str">
        <f t="shared" si="6"/>
        <v/>
      </c>
      <c r="Q3774" s="41" t="e">
        <f t="shared" si="7256"/>
        <v>#N/A</v>
      </c>
      <c r="R3774" s="44"/>
      <c r="S3774" s="44"/>
      <c r="T3774" s="43"/>
      <c r="U3774" s="43" t="str">
        <f t="shared" si="8"/>
        <v>No</v>
      </c>
      <c r="V3774" s="25"/>
      <c r="W3774" s="25"/>
      <c r="X3774" s="25"/>
      <c r="Y3774" s="25"/>
      <c r="Z3774" s="25"/>
    </row>
    <row r="3775" spans="1:26" ht="15.75" customHeight="1" x14ac:dyDescent="0.25">
      <c r="A3775" s="25">
        <v>3773</v>
      </c>
      <c r="B3775" s="37" t="e">
        <f t="shared" ref="B3775:D3775" si="7599">VLOOKUP($A3775,[12]Salud!$A$1:$O$277,B$1,0)</f>
        <v>#N/A</v>
      </c>
      <c r="C3775" s="38" t="e">
        <f t="shared" si="7599"/>
        <v>#N/A</v>
      </c>
      <c r="D3775" s="39" t="e">
        <f t="shared" si="7599"/>
        <v>#N/A</v>
      </c>
      <c r="E3775" s="16" t="e">
        <f t="shared" si="1"/>
        <v>#N/A</v>
      </c>
      <c r="F3775" s="16" t="e">
        <f t="shared" ref="F3775:K3775" si="7600">VLOOKUP($A3775,[12]Salud!$A$1:$O$277,F$1,0)</f>
        <v>#N/A</v>
      </c>
      <c r="G3775" s="39" t="e">
        <f t="shared" si="7600"/>
        <v>#N/A</v>
      </c>
      <c r="H3775" s="16" t="e">
        <f t="shared" si="7600"/>
        <v>#N/A</v>
      </c>
      <c r="I3775" s="16" t="e">
        <f t="shared" si="7600"/>
        <v>#N/A</v>
      </c>
      <c r="J3775" s="40" t="e">
        <f t="shared" si="7600"/>
        <v>#N/A</v>
      </c>
      <c r="K3775" s="16" t="e">
        <f t="shared" si="7600"/>
        <v>#N/A</v>
      </c>
      <c r="L3775" s="40" t="e">
        <f t="shared" si="7253"/>
        <v>#N/A</v>
      </c>
      <c r="M3775" s="16" t="e">
        <f t="shared" si="7254"/>
        <v>#N/A</v>
      </c>
      <c r="N3775" s="16" t="e">
        <f t="shared" si="7255"/>
        <v>#N/A</v>
      </c>
      <c r="O3775" s="16" t="s">
        <v>76</v>
      </c>
      <c r="P3775" s="16" t="str">
        <f t="shared" si="6"/>
        <v/>
      </c>
      <c r="Q3775" s="41" t="e">
        <f t="shared" si="7256"/>
        <v>#N/A</v>
      </c>
      <c r="R3775" s="44"/>
      <c r="S3775" s="44"/>
      <c r="T3775" s="43"/>
      <c r="U3775" s="43" t="str">
        <f t="shared" si="8"/>
        <v>No</v>
      </c>
      <c r="V3775" s="25"/>
      <c r="W3775" s="25"/>
      <c r="X3775" s="25"/>
      <c r="Y3775" s="25"/>
      <c r="Z3775" s="25"/>
    </row>
    <row r="3776" spans="1:26" ht="15.75" customHeight="1" x14ac:dyDescent="0.25">
      <c r="A3776" s="25">
        <v>3774</v>
      </c>
      <c r="B3776" s="37" t="e">
        <f t="shared" ref="B3776:D3776" si="7601">VLOOKUP($A3776,[12]Salud!$A$1:$O$277,B$1,0)</f>
        <v>#N/A</v>
      </c>
      <c r="C3776" s="38" t="e">
        <f t="shared" si="7601"/>
        <v>#N/A</v>
      </c>
      <c r="D3776" s="39" t="e">
        <f t="shared" si="7601"/>
        <v>#N/A</v>
      </c>
      <c r="E3776" s="16" t="e">
        <f t="shared" si="1"/>
        <v>#N/A</v>
      </c>
      <c r="F3776" s="16" t="e">
        <f t="shared" ref="F3776:K3776" si="7602">VLOOKUP($A3776,[12]Salud!$A$1:$O$277,F$1,0)</f>
        <v>#N/A</v>
      </c>
      <c r="G3776" s="39" t="e">
        <f t="shared" si="7602"/>
        <v>#N/A</v>
      </c>
      <c r="H3776" s="16" t="e">
        <f t="shared" si="7602"/>
        <v>#N/A</v>
      </c>
      <c r="I3776" s="16" t="e">
        <f t="shared" si="7602"/>
        <v>#N/A</v>
      </c>
      <c r="J3776" s="40" t="e">
        <f t="shared" si="7602"/>
        <v>#N/A</v>
      </c>
      <c r="K3776" s="16" t="e">
        <f t="shared" si="7602"/>
        <v>#N/A</v>
      </c>
      <c r="L3776" s="40" t="e">
        <f t="shared" si="7253"/>
        <v>#N/A</v>
      </c>
      <c r="M3776" s="16" t="e">
        <f t="shared" si="7254"/>
        <v>#N/A</v>
      </c>
      <c r="N3776" s="16" t="e">
        <f t="shared" si="7255"/>
        <v>#N/A</v>
      </c>
      <c r="O3776" s="16" t="s">
        <v>76</v>
      </c>
      <c r="P3776" s="16" t="str">
        <f t="shared" si="6"/>
        <v/>
      </c>
      <c r="Q3776" s="41" t="e">
        <f t="shared" si="7256"/>
        <v>#N/A</v>
      </c>
      <c r="R3776" s="44"/>
      <c r="S3776" s="44"/>
      <c r="T3776" s="43"/>
      <c r="U3776" s="43" t="str">
        <f t="shared" si="8"/>
        <v>No</v>
      </c>
      <c r="V3776" s="25"/>
      <c r="W3776" s="25"/>
      <c r="X3776" s="25"/>
      <c r="Y3776" s="25"/>
      <c r="Z3776" s="25"/>
    </row>
    <row r="3777" spans="1:26" ht="15.75" customHeight="1" x14ac:dyDescent="0.25">
      <c r="A3777" s="25">
        <v>3775</v>
      </c>
      <c r="B3777" s="37" t="e">
        <f t="shared" ref="B3777:D3777" si="7603">VLOOKUP($A3777,[12]Salud!$A$1:$O$277,B$1,0)</f>
        <v>#N/A</v>
      </c>
      <c r="C3777" s="38" t="e">
        <f t="shared" si="7603"/>
        <v>#N/A</v>
      </c>
      <c r="D3777" s="39" t="e">
        <f t="shared" si="7603"/>
        <v>#N/A</v>
      </c>
      <c r="E3777" s="16" t="e">
        <f t="shared" si="1"/>
        <v>#N/A</v>
      </c>
      <c r="F3777" s="16" t="e">
        <f t="shared" ref="F3777:K3777" si="7604">VLOOKUP($A3777,[12]Salud!$A$1:$O$277,F$1,0)</f>
        <v>#N/A</v>
      </c>
      <c r="G3777" s="39" t="e">
        <f t="shared" si="7604"/>
        <v>#N/A</v>
      </c>
      <c r="H3777" s="16" t="e">
        <f t="shared" si="7604"/>
        <v>#N/A</v>
      </c>
      <c r="I3777" s="16" t="e">
        <f t="shared" si="7604"/>
        <v>#N/A</v>
      </c>
      <c r="J3777" s="40" t="e">
        <f t="shared" si="7604"/>
        <v>#N/A</v>
      </c>
      <c r="K3777" s="16" t="e">
        <f t="shared" si="7604"/>
        <v>#N/A</v>
      </c>
      <c r="L3777" s="40" t="e">
        <f t="shared" si="7253"/>
        <v>#N/A</v>
      </c>
      <c r="M3777" s="16" t="e">
        <f t="shared" si="7254"/>
        <v>#N/A</v>
      </c>
      <c r="N3777" s="16" t="e">
        <f t="shared" si="7255"/>
        <v>#N/A</v>
      </c>
      <c r="O3777" s="16" t="s">
        <v>76</v>
      </c>
      <c r="P3777" s="16" t="str">
        <f t="shared" si="6"/>
        <v/>
      </c>
      <c r="Q3777" s="41" t="e">
        <f t="shared" si="7256"/>
        <v>#N/A</v>
      </c>
      <c r="R3777" s="44"/>
      <c r="S3777" s="44"/>
      <c r="T3777" s="43"/>
      <c r="U3777" s="43" t="str">
        <f t="shared" si="8"/>
        <v>No</v>
      </c>
      <c r="V3777" s="25"/>
      <c r="W3777" s="25"/>
      <c r="X3777" s="25"/>
      <c r="Y3777" s="25"/>
      <c r="Z3777" s="25"/>
    </row>
    <row r="3778" spans="1:26" ht="15.75" customHeight="1" x14ac:dyDescent="0.25">
      <c r="A3778" s="25">
        <v>3776</v>
      </c>
      <c r="B3778" s="37" t="e">
        <f t="shared" ref="B3778:D3778" si="7605">VLOOKUP($A3778,[12]Salud!$A$1:$O$277,B$1,0)</f>
        <v>#N/A</v>
      </c>
      <c r="C3778" s="38" t="e">
        <f t="shared" si="7605"/>
        <v>#N/A</v>
      </c>
      <c r="D3778" s="39" t="e">
        <f t="shared" si="7605"/>
        <v>#N/A</v>
      </c>
      <c r="E3778" s="16" t="e">
        <f t="shared" si="1"/>
        <v>#N/A</v>
      </c>
      <c r="F3778" s="16" t="e">
        <f t="shared" ref="F3778:K3778" si="7606">VLOOKUP($A3778,[12]Salud!$A$1:$O$277,F$1,0)</f>
        <v>#N/A</v>
      </c>
      <c r="G3778" s="39" t="e">
        <f t="shared" si="7606"/>
        <v>#N/A</v>
      </c>
      <c r="H3778" s="16" t="e">
        <f t="shared" si="7606"/>
        <v>#N/A</v>
      </c>
      <c r="I3778" s="16" t="e">
        <f t="shared" si="7606"/>
        <v>#N/A</v>
      </c>
      <c r="J3778" s="40" t="e">
        <f t="shared" si="7606"/>
        <v>#N/A</v>
      </c>
      <c r="K3778" s="16" t="e">
        <f t="shared" si="7606"/>
        <v>#N/A</v>
      </c>
      <c r="L3778" s="40" t="e">
        <f t="shared" si="7253"/>
        <v>#N/A</v>
      </c>
      <c r="M3778" s="16" t="e">
        <f t="shared" si="7254"/>
        <v>#N/A</v>
      </c>
      <c r="N3778" s="16" t="e">
        <f t="shared" si="7255"/>
        <v>#N/A</v>
      </c>
      <c r="O3778" s="16" t="s">
        <v>76</v>
      </c>
      <c r="P3778" s="16" t="str">
        <f t="shared" si="6"/>
        <v/>
      </c>
      <c r="Q3778" s="41" t="e">
        <f t="shared" si="7256"/>
        <v>#N/A</v>
      </c>
      <c r="R3778" s="44"/>
      <c r="S3778" s="44"/>
      <c r="T3778" s="43"/>
      <c r="U3778" s="43" t="str">
        <f t="shared" si="8"/>
        <v>No</v>
      </c>
      <c r="V3778" s="25"/>
      <c r="W3778" s="25"/>
      <c r="X3778" s="25"/>
      <c r="Y3778" s="25"/>
      <c r="Z3778" s="25"/>
    </row>
    <row r="3779" spans="1:26" ht="15.75" customHeight="1" x14ac:dyDescent="0.25">
      <c r="A3779" s="25">
        <v>3777</v>
      </c>
      <c r="B3779" s="37" t="e">
        <f t="shared" ref="B3779:D3779" si="7607">VLOOKUP($A3779,[12]Salud!$A$1:$O$277,B$1,0)</f>
        <v>#N/A</v>
      </c>
      <c r="C3779" s="38" t="e">
        <f t="shared" si="7607"/>
        <v>#N/A</v>
      </c>
      <c r="D3779" s="39" t="e">
        <f t="shared" si="7607"/>
        <v>#N/A</v>
      </c>
      <c r="E3779" s="16" t="e">
        <f t="shared" si="1"/>
        <v>#N/A</v>
      </c>
      <c r="F3779" s="16" t="e">
        <f t="shared" ref="F3779:K3779" si="7608">VLOOKUP($A3779,[12]Salud!$A$1:$O$277,F$1,0)</f>
        <v>#N/A</v>
      </c>
      <c r="G3779" s="39" t="e">
        <f t="shared" si="7608"/>
        <v>#N/A</v>
      </c>
      <c r="H3779" s="16" t="e">
        <f t="shared" si="7608"/>
        <v>#N/A</v>
      </c>
      <c r="I3779" s="16" t="e">
        <f t="shared" si="7608"/>
        <v>#N/A</v>
      </c>
      <c r="J3779" s="40" t="e">
        <f t="shared" si="7608"/>
        <v>#N/A</v>
      </c>
      <c r="K3779" s="16" t="e">
        <f t="shared" si="7608"/>
        <v>#N/A</v>
      </c>
      <c r="L3779" s="40" t="e">
        <f t="shared" si="7253"/>
        <v>#N/A</v>
      </c>
      <c r="M3779" s="16" t="e">
        <f t="shared" si="7254"/>
        <v>#N/A</v>
      </c>
      <c r="N3779" s="16" t="e">
        <f t="shared" si="7255"/>
        <v>#N/A</v>
      </c>
      <c r="O3779" s="16" t="s">
        <v>76</v>
      </c>
      <c r="P3779" s="16" t="str">
        <f t="shared" si="6"/>
        <v/>
      </c>
      <c r="Q3779" s="41" t="e">
        <f t="shared" si="7256"/>
        <v>#N/A</v>
      </c>
      <c r="R3779" s="44"/>
      <c r="S3779" s="44"/>
      <c r="T3779" s="43"/>
      <c r="U3779" s="43" t="str">
        <f t="shared" si="8"/>
        <v>No</v>
      </c>
      <c r="V3779" s="25"/>
      <c r="W3779" s="25"/>
      <c r="X3779" s="25"/>
      <c r="Y3779" s="25"/>
      <c r="Z3779" s="25"/>
    </row>
    <row r="3780" spans="1:26" ht="15.75" customHeight="1" x14ac:dyDescent="0.25">
      <c r="A3780" s="25">
        <v>3778</v>
      </c>
      <c r="B3780" s="37" t="e">
        <f t="shared" ref="B3780:D3780" si="7609">VLOOKUP($A3780,[12]Salud!$A$1:$O$277,B$1,0)</f>
        <v>#N/A</v>
      </c>
      <c r="C3780" s="38" t="e">
        <f t="shared" si="7609"/>
        <v>#N/A</v>
      </c>
      <c r="D3780" s="39" t="e">
        <f t="shared" si="7609"/>
        <v>#N/A</v>
      </c>
      <c r="E3780" s="16" t="e">
        <f t="shared" si="1"/>
        <v>#N/A</v>
      </c>
      <c r="F3780" s="16" t="e">
        <f t="shared" ref="F3780:K3780" si="7610">VLOOKUP($A3780,[12]Salud!$A$1:$O$277,F$1,0)</f>
        <v>#N/A</v>
      </c>
      <c r="G3780" s="39" t="e">
        <f t="shared" si="7610"/>
        <v>#N/A</v>
      </c>
      <c r="H3780" s="16" t="e">
        <f t="shared" si="7610"/>
        <v>#N/A</v>
      </c>
      <c r="I3780" s="16" t="e">
        <f t="shared" si="7610"/>
        <v>#N/A</v>
      </c>
      <c r="J3780" s="40" t="e">
        <f t="shared" si="7610"/>
        <v>#N/A</v>
      </c>
      <c r="K3780" s="16" t="e">
        <f t="shared" si="7610"/>
        <v>#N/A</v>
      </c>
      <c r="L3780" s="40" t="e">
        <f t="shared" si="7253"/>
        <v>#N/A</v>
      </c>
      <c r="M3780" s="16" t="e">
        <f t="shared" si="7254"/>
        <v>#N/A</v>
      </c>
      <c r="N3780" s="16" t="e">
        <f t="shared" si="7255"/>
        <v>#N/A</v>
      </c>
      <c r="O3780" s="16" t="s">
        <v>76</v>
      </c>
      <c r="P3780" s="16" t="str">
        <f t="shared" si="6"/>
        <v/>
      </c>
      <c r="Q3780" s="41" t="e">
        <f t="shared" si="7256"/>
        <v>#N/A</v>
      </c>
      <c r="R3780" s="44"/>
      <c r="S3780" s="44"/>
      <c r="T3780" s="43"/>
      <c r="U3780" s="43" t="str">
        <f t="shared" si="8"/>
        <v>No</v>
      </c>
      <c r="V3780" s="25"/>
      <c r="W3780" s="25"/>
      <c r="X3780" s="25"/>
      <c r="Y3780" s="25"/>
      <c r="Z3780" s="25"/>
    </row>
    <row r="3781" spans="1:26" ht="15.75" customHeight="1" x14ac:dyDescent="0.25">
      <c r="A3781" s="25">
        <v>3779</v>
      </c>
      <c r="B3781" s="37" t="e">
        <f t="shared" ref="B3781:D3781" si="7611">VLOOKUP($A3781,[12]Salud!$A$1:$O$277,B$1,0)</f>
        <v>#N/A</v>
      </c>
      <c r="C3781" s="38" t="e">
        <f t="shared" si="7611"/>
        <v>#N/A</v>
      </c>
      <c r="D3781" s="39" t="e">
        <f t="shared" si="7611"/>
        <v>#N/A</v>
      </c>
      <c r="E3781" s="16" t="e">
        <f t="shared" si="1"/>
        <v>#N/A</v>
      </c>
      <c r="F3781" s="16" t="e">
        <f t="shared" ref="F3781:K3781" si="7612">VLOOKUP($A3781,[12]Salud!$A$1:$O$277,F$1,0)</f>
        <v>#N/A</v>
      </c>
      <c r="G3781" s="39" t="e">
        <f t="shared" si="7612"/>
        <v>#N/A</v>
      </c>
      <c r="H3781" s="16" t="e">
        <f t="shared" si="7612"/>
        <v>#N/A</v>
      </c>
      <c r="I3781" s="16" t="e">
        <f t="shared" si="7612"/>
        <v>#N/A</v>
      </c>
      <c r="J3781" s="40" t="e">
        <f t="shared" si="7612"/>
        <v>#N/A</v>
      </c>
      <c r="K3781" s="16" t="e">
        <f t="shared" si="7612"/>
        <v>#N/A</v>
      </c>
      <c r="L3781" s="40" t="e">
        <f t="shared" si="7253"/>
        <v>#N/A</v>
      </c>
      <c r="M3781" s="16" t="e">
        <f t="shared" si="7254"/>
        <v>#N/A</v>
      </c>
      <c r="N3781" s="16" t="e">
        <f t="shared" si="7255"/>
        <v>#N/A</v>
      </c>
      <c r="O3781" s="16" t="s">
        <v>76</v>
      </c>
      <c r="P3781" s="16" t="str">
        <f t="shared" si="6"/>
        <v/>
      </c>
      <c r="Q3781" s="41" t="e">
        <f t="shared" si="7256"/>
        <v>#N/A</v>
      </c>
      <c r="R3781" s="44"/>
      <c r="S3781" s="44"/>
      <c r="T3781" s="43"/>
      <c r="U3781" s="43" t="str">
        <f t="shared" si="8"/>
        <v>No</v>
      </c>
      <c r="V3781" s="25"/>
      <c r="W3781" s="25"/>
      <c r="X3781" s="25"/>
      <c r="Y3781" s="25"/>
      <c r="Z3781" s="25"/>
    </row>
    <row r="3782" spans="1:26" ht="15.75" customHeight="1" x14ac:dyDescent="0.25">
      <c r="A3782" s="25">
        <v>3780</v>
      </c>
      <c r="B3782" s="37" t="e">
        <f t="shared" ref="B3782:D3782" si="7613">VLOOKUP($A3782,[12]Salud!$A$1:$O$277,B$1,0)</f>
        <v>#N/A</v>
      </c>
      <c r="C3782" s="38" t="e">
        <f t="shared" si="7613"/>
        <v>#N/A</v>
      </c>
      <c r="D3782" s="39" t="e">
        <f t="shared" si="7613"/>
        <v>#N/A</v>
      </c>
      <c r="E3782" s="16" t="e">
        <f t="shared" si="1"/>
        <v>#N/A</v>
      </c>
      <c r="F3782" s="16" t="e">
        <f t="shared" ref="F3782:K3782" si="7614">VLOOKUP($A3782,[12]Salud!$A$1:$O$277,F$1,0)</f>
        <v>#N/A</v>
      </c>
      <c r="G3782" s="39" t="e">
        <f t="shared" si="7614"/>
        <v>#N/A</v>
      </c>
      <c r="H3782" s="16" t="e">
        <f t="shared" si="7614"/>
        <v>#N/A</v>
      </c>
      <c r="I3782" s="16" t="e">
        <f t="shared" si="7614"/>
        <v>#N/A</v>
      </c>
      <c r="J3782" s="40" t="e">
        <f t="shared" si="7614"/>
        <v>#N/A</v>
      </c>
      <c r="K3782" s="16" t="e">
        <f t="shared" si="7614"/>
        <v>#N/A</v>
      </c>
      <c r="L3782" s="40" t="e">
        <f t="shared" si="7253"/>
        <v>#N/A</v>
      </c>
      <c r="M3782" s="16" t="e">
        <f t="shared" si="7254"/>
        <v>#N/A</v>
      </c>
      <c r="N3782" s="16" t="e">
        <f t="shared" si="7255"/>
        <v>#N/A</v>
      </c>
      <c r="O3782" s="16" t="s">
        <v>76</v>
      </c>
      <c r="P3782" s="16" t="str">
        <f t="shared" si="6"/>
        <v/>
      </c>
      <c r="Q3782" s="41" t="e">
        <f t="shared" si="7256"/>
        <v>#N/A</v>
      </c>
      <c r="R3782" s="44"/>
      <c r="S3782" s="44"/>
      <c r="T3782" s="43"/>
      <c r="U3782" s="43" t="str">
        <f t="shared" si="8"/>
        <v>No</v>
      </c>
      <c r="V3782" s="25"/>
      <c r="W3782" s="25"/>
      <c r="X3782" s="25"/>
      <c r="Y3782" s="25"/>
      <c r="Z3782" s="25"/>
    </row>
    <row r="3783" spans="1:26" ht="15.75" customHeight="1" x14ac:dyDescent="0.25">
      <c r="A3783" s="25">
        <v>3781</v>
      </c>
      <c r="B3783" s="37" t="e">
        <f t="shared" ref="B3783:D3783" si="7615">VLOOKUP($A3783,[12]Salud!$A$1:$O$277,B$1,0)</f>
        <v>#N/A</v>
      </c>
      <c r="C3783" s="38" t="e">
        <f t="shared" si="7615"/>
        <v>#N/A</v>
      </c>
      <c r="D3783" s="39" t="e">
        <f t="shared" si="7615"/>
        <v>#N/A</v>
      </c>
      <c r="E3783" s="16" t="e">
        <f t="shared" si="1"/>
        <v>#N/A</v>
      </c>
      <c r="F3783" s="16" t="e">
        <f t="shared" ref="F3783:K3783" si="7616">VLOOKUP($A3783,[12]Salud!$A$1:$O$277,F$1,0)</f>
        <v>#N/A</v>
      </c>
      <c r="G3783" s="39" t="e">
        <f t="shared" si="7616"/>
        <v>#N/A</v>
      </c>
      <c r="H3783" s="16" t="e">
        <f t="shared" si="7616"/>
        <v>#N/A</v>
      </c>
      <c r="I3783" s="16" t="e">
        <f t="shared" si="7616"/>
        <v>#N/A</v>
      </c>
      <c r="J3783" s="40" t="e">
        <f t="shared" si="7616"/>
        <v>#N/A</v>
      </c>
      <c r="K3783" s="16" t="e">
        <f t="shared" si="7616"/>
        <v>#N/A</v>
      </c>
      <c r="L3783" s="40" t="e">
        <f t="shared" si="7253"/>
        <v>#N/A</v>
      </c>
      <c r="M3783" s="16" t="e">
        <f t="shared" si="7254"/>
        <v>#N/A</v>
      </c>
      <c r="N3783" s="16" t="e">
        <f t="shared" si="7255"/>
        <v>#N/A</v>
      </c>
      <c r="O3783" s="16" t="s">
        <v>76</v>
      </c>
      <c r="P3783" s="16" t="str">
        <f t="shared" si="6"/>
        <v/>
      </c>
      <c r="Q3783" s="41" t="e">
        <f t="shared" si="7256"/>
        <v>#N/A</v>
      </c>
      <c r="R3783" s="44"/>
      <c r="S3783" s="44"/>
      <c r="T3783" s="43"/>
      <c r="U3783" s="43" t="str">
        <f t="shared" si="8"/>
        <v>No</v>
      </c>
      <c r="V3783" s="25"/>
      <c r="W3783" s="25"/>
      <c r="X3783" s="25"/>
      <c r="Y3783" s="25"/>
      <c r="Z3783" s="25"/>
    </row>
    <row r="3784" spans="1:26" ht="15.75" customHeight="1" x14ac:dyDescent="0.25">
      <c r="A3784" s="25">
        <v>3782</v>
      </c>
      <c r="B3784" s="37" t="e">
        <f t="shared" ref="B3784:D3784" si="7617">VLOOKUP($A3784,[12]Salud!$A$1:$O$277,B$1,0)</f>
        <v>#N/A</v>
      </c>
      <c r="C3784" s="38" t="e">
        <f t="shared" si="7617"/>
        <v>#N/A</v>
      </c>
      <c r="D3784" s="39" t="e">
        <f t="shared" si="7617"/>
        <v>#N/A</v>
      </c>
      <c r="E3784" s="16" t="e">
        <f t="shared" si="1"/>
        <v>#N/A</v>
      </c>
      <c r="F3784" s="16" t="e">
        <f t="shared" ref="F3784:K3784" si="7618">VLOOKUP($A3784,[12]Salud!$A$1:$O$277,F$1,0)</f>
        <v>#N/A</v>
      </c>
      <c r="G3784" s="39" t="e">
        <f t="shared" si="7618"/>
        <v>#N/A</v>
      </c>
      <c r="H3784" s="16" t="e">
        <f t="shared" si="7618"/>
        <v>#N/A</v>
      </c>
      <c r="I3784" s="16" t="e">
        <f t="shared" si="7618"/>
        <v>#N/A</v>
      </c>
      <c r="J3784" s="40" t="e">
        <f t="shared" si="7618"/>
        <v>#N/A</v>
      </c>
      <c r="K3784" s="16" t="e">
        <f t="shared" si="7618"/>
        <v>#N/A</v>
      </c>
      <c r="L3784" s="40" t="e">
        <f t="shared" si="7253"/>
        <v>#N/A</v>
      </c>
      <c r="M3784" s="16" t="e">
        <f t="shared" si="7254"/>
        <v>#N/A</v>
      </c>
      <c r="N3784" s="16" t="e">
        <f t="shared" si="7255"/>
        <v>#N/A</v>
      </c>
      <c r="O3784" s="16" t="s">
        <v>76</v>
      </c>
      <c r="P3784" s="16" t="str">
        <f t="shared" si="6"/>
        <v/>
      </c>
      <c r="Q3784" s="41" t="e">
        <f t="shared" si="7256"/>
        <v>#N/A</v>
      </c>
      <c r="R3784" s="44"/>
      <c r="S3784" s="44"/>
      <c r="T3784" s="43"/>
      <c r="U3784" s="43" t="str">
        <f t="shared" si="8"/>
        <v>No</v>
      </c>
      <c r="V3784" s="25"/>
      <c r="W3784" s="25"/>
      <c r="X3784" s="25"/>
      <c r="Y3784" s="25"/>
      <c r="Z3784" s="25"/>
    </row>
    <row r="3785" spans="1:26" ht="15.75" customHeight="1" x14ac:dyDescent="0.25">
      <c r="A3785" s="25">
        <v>3783</v>
      </c>
      <c r="B3785" s="37" t="e">
        <f t="shared" ref="B3785:D3785" si="7619">VLOOKUP($A3785,[12]Salud!$A$1:$O$277,B$1,0)</f>
        <v>#N/A</v>
      </c>
      <c r="C3785" s="38" t="e">
        <f t="shared" si="7619"/>
        <v>#N/A</v>
      </c>
      <c r="D3785" s="39" t="e">
        <f t="shared" si="7619"/>
        <v>#N/A</v>
      </c>
      <c r="E3785" s="16" t="e">
        <f t="shared" si="1"/>
        <v>#N/A</v>
      </c>
      <c r="F3785" s="16" t="e">
        <f t="shared" ref="F3785:K3785" si="7620">VLOOKUP($A3785,[12]Salud!$A$1:$O$277,F$1,0)</f>
        <v>#N/A</v>
      </c>
      <c r="G3785" s="39" t="e">
        <f t="shared" si="7620"/>
        <v>#N/A</v>
      </c>
      <c r="H3785" s="16" t="e">
        <f t="shared" si="7620"/>
        <v>#N/A</v>
      </c>
      <c r="I3785" s="16" t="e">
        <f t="shared" si="7620"/>
        <v>#N/A</v>
      </c>
      <c r="J3785" s="40" t="e">
        <f t="shared" si="7620"/>
        <v>#N/A</v>
      </c>
      <c r="K3785" s="16" t="e">
        <f t="shared" si="7620"/>
        <v>#N/A</v>
      </c>
      <c r="L3785" s="40" t="e">
        <f t="shared" si="7253"/>
        <v>#N/A</v>
      </c>
      <c r="M3785" s="16" t="e">
        <f t="shared" si="7254"/>
        <v>#N/A</v>
      </c>
      <c r="N3785" s="16" t="e">
        <f t="shared" si="7255"/>
        <v>#N/A</v>
      </c>
      <c r="O3785" s="16" t="s">
        <v>76</v>
      </c>
      <c r="P3785" s="16" t="str">
        <f t="shared" si="6"/>
        <v/>
      </c>
      <c r="Q3785" s="41" t="e">
        <f t="shared" si="7256"/>
        <v>#N/A</v>
      </c>
      <c r="R3785" s="44"/>
      <c r="S3785" s="44"/>
      <c r="T3785" s="43"/>
      <c r="U3785" s="43" t="str">
        <f t="shared" si="8"/>
        <v>No</v>
      </c>
      <c r="V3785" s="25"/>
      <c r="W3785" s="25"/>
      <c r="X3785" s="25"/>
      <c r="Y3785" s="25"/>
      <c r="Z3785" s="25"/>
    </row>
    <row r="3786" spans="1:26" ht="15.75" customHeight="1" x14ac:dyDescent="0.25">
      <c r="A3786" s="25">
        <v>3784</v>
      </c>
      <c r="B3786" s="37" t="e">
        <f t="shared" ref="B3786:D3786" si="7621">VLOOKUP($A3786,[12]Salud!$A$1:$O$277,B$1,0)</f>
        <v>#N/A</v>
      </c>
      <c r="C3786" s="38" t="e">
        <f t="shared" si="7621"/>
        <v>#N/A</v>
      </c>
      <c r="D3786" s="39" t="e">
        <f t="shared" si="7621"/>
        <v>#N/A</v>
      </c>
      <c r="E3786" s="16" t="e">
        <f t="shared" si="1"/>
        <v>#N/A</v>
      </c>
      <c r="F3786" s="16" t="e">
        <f t="shared" ref="F3786:K3786" si="7622">VLOOKUP($A3786,[12]Salud!$A$1:$O$277,F$1,0)</f>
        <v>#N/A</v>
      </c>
      <c r="G3786" s="39" t="e">
        <f t="shared" si="7622"/>
        <v>#N/A</v>
      </c>
      <c r="H3786" s="16" t="e">
        <f t="shared" si="7622"/>
        <v>#N/A</v>
      </c>
      <c r="I3786" s="16" t="e">
        <f t="shared" si="7622"/>
        <v>#N/A</v>
      </c>
      <c r="J3786" s="40" t="e">
        <f t="shared" si="7622"/>
        <v>#N/A</v>
      </c>
      <c r="K3786" s="16" t="e">
        <f t="shared" si="7622"/>
        <v>#N/A</v>
      </c>
      <c r="L3786" s="40" t="e">
        <f t="shared" si="7253"/>
        <v>#N/A</v>
      </c>
      <c r="M3786" s="16" t="e">
        <f t="shared" si="7254"/>
        <v>#N/A</v>
      </c>
      <c r="N3786" s="16" t="e">
        <f t="shared" si="7255"/>
        <v>#N/A</v>
      </c>
      <c r="O3786" s="16" t="s">
        <v>76</v>
      </c>
      <c r="P3786" s="16" t="str">
        <f t="shared" si="6"/>
        <v/>
      </c>
      <c r="Q3786" s="41" t="e">
        <f t="shared" si="7256"/>
        <v>#N/A</v>
      </c>
      <c r="R3786" s="44"/>
      <c r="S3786" s="44"/>
      <c r="T3786" s="43"/>
      <c r="U3786" s="43" t="str">
        <f t="shared" si="8"/>
        <v>No</v>
      </c>
      <c r="V3786" s="25"/>
      <c r="W3786" s="25"/>
      <c r="X3786" s="25"/>
      <c r="Y3786" s="25"/>
      <c r="Z3786" s="25"/>
    </row>
    <row r="3787" spans="1:26" ht="15.75" customHeight="1" x14ac:dyDescent="0.25">
      <c r="A3787" s="25">
        <v>3785</v>
      </c>
      <c r="B3787" s="37" t="e">
        <f t="shared" ref="B3787:D3787" si="7623">VLOOKUP($A3787,[12]Salud!$A$1:$O$277,B$1,0)</f>
        <v>#N/A</v>
      </c>
      <c r="C3787" s="38" t="e">
        <f t="shared" si="7623"/>
        <v>#N/A</v>
      </c>
      <c r="D3787" s="39" t="e">
        <f t="shared" si="7623"/>
        <v>#N/A</v>
      </c>
      <c r="E3787" s="16" t="e">
        <f t="shared" si="1"/>
        <v>#N/A</v>
      </c>
      <c r="F3787" s="16" t="e">
        <f t="shared" ref="F3787:K3787" si="7624">VLOOKUP($A3787,[12]Salud!$A$1:$O$277,F$1,0)</f>
        <v>#N/A</v>
      </c>
      <c r="G3787" s="39" t="e">
        <f t="shared" si="7624"/>
        <v>#N/A</v>
      </c>
      <c r="H3787" s="16" t="e">
        <f t="shared" si="7624"/>
        <v>#N/A</v>
      </c>
      <c r="I3787" s="16" t="e">
        <f t="shared" si="7624"/>
        <v>#N/A</v>
      </c>
      <c r="J3787" s="40" t="e">
        <f t="shared" si="7624"/>
        <v>#N/A</v>
      </c>
      <c r="K3787" s="16" t="e">
        <f t="shared" si="7624"/>
        <v>#N/A</v>
      </c>
      <c r="L3787" s="40" t="e">
        <f t="shared" si="7253"/>
        <v>#N/A</v>
      </c>
      <c r="M3787" s="16" t="e">
        <f t="shared" si="7254"/>
        <v>#N/A</v>
      </c>
      <c r="N3787" s="16" t="e">
        <f t="shared" si="7255"/>
        <v>#N/A</v>
      </c>
      <c r="O3787" s="16" t="s">
        <v>76</v>
      </c>
      <c r="P3787" s="16" t="str">
        <f t="shared" si="6"/>
        <v/>
      </c>
      <c r="Q3787" s="41" t="e">
        <f t="shared" si="7256"/>
        <v>#N/A</v>
      </c>
      <c r="R3787" s="44"/>
      <c r="S3787" s="44"/>
      <c r="T3787" s="43"/>
      <c r="U3787" s="43" t="str">
        <f t="shared" si="8"/>
        <v>No</v>
      </c>
      <c r="V3787" s="25"/>
      <c r="W3787" s="25"/>
      <c r="X3787" s="25"/>
      <c r="Y3787" s="25"/>
      <c r="Z3787" s="25"/>
    </row>
    <row r="3788" spans="1:26" ht="15.75" customHeight="1" x14ac:dyDescent="0.25">
      <c r="A3788" s="25">
        <v>3786</v>
      </c>
      <c r="B3788" s="37" t="e">
        <f t="shared" ref="B3788:D3788" si="7625">VLOOKUP($A3788,[12]Salud!$A$1:$O$277,B$1,0)</f>
        <v>#N/A</v>
      </c>
      <c r="C3788" s="38" t="e">
        <f t="shared" si="7625"/>
        <v>#N/A</v>
      </c>
      <c r="D3788" s="39" t="e">
        <f t="shared" si="7625"/>
        <v>#N/A</v>
      </c>
      <c r="E3788" s="16" t="e">
        <f t="shared" si="1"/>
        <v>#N/A</v>
      </c>
      <c r="F3788" s="16" t="e">
        <f t="shared" ref="F3788:K3788" si="7626">VLOOKUP($A3788,[12]Salud!$A$1:$O$277,F$1,0)</f>
        <v>#N/A</v>
      </c>
      <c r="G3788" s="39" t="e">
        <f t="shared" si="7626"/>
        <v>#N/A</v>
      </c>
      <c r="H3788" s="16" t="e">
        <f t="shared" si="7626"/>
        <v>#N/A</v>
      </c>
      <c r="I3788" s="16" t="e">
        <f t="shared" si="7626"/>
        <v>#N/A</v>
      </c>
      <c r="J3788" s="40" t="e">
        <f t="shared" si="7626"/>
        <v>#N/A</v>
      </c>
      <c r="K3788" s="16" t="e">
        <f t="shared" si="7626"/>
        <v>#N/A</v>
      </c>
      <c r="L3788" s="40" t="e">
        <f t="shared" si="7253"/>
        <v>#N/A</v>
      </c>
      <c r="M3788" s="16" t="e">
        <f t="shared" si="7254"/>
        <v>#N/A</v>
      </c>
      <c r="N3788" s="16" t="e">
        <f t="shared" si="7255"/>
        <v>#N/A</v>
      </c>
      <c r="O3788" s="16" t="s">
        <v>76</v>
      </c>
      <c r="P3788" s="16" t="str">
        <f t="shared" si="6"/>
        <v/>
      </c>
      <c r="Q3788" s="41" t="e">
        <f t="shared" si="7256"/>
        <v>#N/A</v>
      </c>
      <c r="R3788" s="44"/>
      <c r="S3788" s="44"/>
      <c r="T3788" s="43"/>
      <c r="U3788" s="43" t="str">
        <f t="shared" si="8"/>
        <v>No</v>
      </c>
      <c r="V3788" s="25"/>
      <c r="W3788" s="25"/>
      <c r="X3788" s="25"/>
      <c r="Y3788" s="25"/>
      <c r="Z3788" s="25"/>
    </row>
    <row r="3789" spans="1:26" ht="15.75" customHeight="1" x14ac:dyDescent="0.25">
      <c r="A3789" s="25">
        <v>3787</v>
      </c>
      <c r="B3789" s="37" t="e">
        <f t="shared" ref="B3789:D3789" si="7627">VLOOKUP($A3789,[12]Salud!$A$1:$O$277,B$1,0)</f>
        <v>#N/A</v>
      </c>
      <c r="C3789" s="38" t="e">
        <f t="shared" si="7627"/>
        <v>#N/A</v>
      </c>
      <c r="D3789" s="39" t="e">
        <f t="shared" si="7627"/>
        <v>#N/A</v>
      </c>
      <c r="E3789" s="16" t="e">
        <f t="shared" si="1"/>
        <v>#N/A</v>
      </c>
      <c r="F3789" s="16" t="e">
        <f t="shared" ref="F3789:K3789" si="7628">VLOOKUP($A3789,[12]Salud!$A$1:$O$277,F$1,0)</f>
        <v>#N/A</v>
      </c>
      <c r="G3789" s="39" t="e">
        <f t="shared" si="7628"/>
        <v>#N/A</v>
      </c>
      <c r="H3789" s="16" t="e">
        <f t="shared" si="7628"/>
        <v>#N/A</v>
      </c>
      <c r="I3789" s="16" t="e">
        <f t="shared" si="7628"/>
        <v>#N/A</v>
      </c>
      <c r="J3789" s="40" t="e">
        <f t="shared" si="7628"/>
        <v>#N/A</v>
      </c>
      <c r="K3789" s="16" t="e">
        <f t="shared" si="7628"/>
        <v>#N/A</v>
      </c>
      <c r="L3789" s="40" t="e">
        <f t="shared" si="7253"/>
        <v>#N/A</v>
      </c>
      <c r="M3789" s="16" t="e">
        <f t="shared" si="7254"/>
        <v>#N/A</v>
      </c>
      <c r="N3789" s="16" t="e">
        <f t="shared" si="7255"/>
        <v>#N/A</v>
      </c>
      <c r="O3789" s="16" t="s">
        <v>76</v>
      </c>
      <c r="P3789" s="16" t="str">
        <f t="shared" si="6"/>
        <v/>
      </c>
      <c r="Q3789" s="41" t="e">
        <f t="shared" si="7256"/>
        <v>#N/A</v>
      </c>
      <c r="R3789" s="44"/>
      <c r="S3789" s="44"/>
      <c r="T3789" s="43"/>
      <c r="U3789" s="43" t="str">
        <f t="shared" si="8"/>
        <v>No</v>
      </c>
      <c r="V3789" s="25"/>
      <c r="W3789" s="25"/>
      <c r="X3789" s="25"/>
      <c r="Y3789" s="25"/>
      <c r="Z3789" s="25"/>
    </row>
    <row r="3790" spans="1:26" ht="15.75" customHeight="1" x14ac:dyDescent="0.25">
      <c r="A3790" s="25">
        <v>3788</v>
      </c>
      <c r="B3790" s="37" t="e">
        <f t="shared" ref="B3790:D3790" si="7629">VLOOKUP($A3790,[12]Salud!$A$1:$O$277,B$1,0)</f>
        <v>#N/A</v>
      </c>
      <c r="C3790" s="38" t="e">
        <f t="shared" si="7629"/>
        <v>#N/A</v>
      </c>
      <c r="D3790" s="39" t="e">
        <f t="shared" si="7629"/>
        <v>#N/A</v>
      </c>
      <c r="E3790" s="16" t="e">
        <f t="shared" si="1"/>
        <v>#N/A</v>
      </c>
      <c r="F3790" s="16" t="e">
        <f t="shared" ref="F3790:K3790" si="7630">VLOOKUP($A3790,[12]Salud!$A$1:$O$277,F$1,0)</f>
        <v>#N/A</v>
      </c>
      <c r="G3790" s="39" t="e">
        <f t="shared" si="7630"/>
        <v>#N/A</v>
      </c>
      <c r="H3790" s="16" t="e">
        <f t="shared" si="7630"/>
        <v>#N/A</v>
      </c>
      <c r="I3790" s="16" t="e">
        <f t="shared" si="7630"/>
        <v>#N/A</v>
      </c>
      <c r="J3790" s="40" t="e">
        <f t="shared" si="7630"/>
        <v>#N/A</v>
      </c>
      <c r="K3790" s="16" t="e">
        <f t="shared" si="7630"/>
        <v>#N/A</v>
      </c>
      <c r="L3790" s="40" t="e">
        <f t="shared" si="7253"/>
        <v>#N/A</v>
      </c>
      <c r="M3790" s="16" t="e">
        <f t="shared" si="7254"/>
        <v>#N/A</v>
      </c>
      <c r="N3790" s="16" t="e">
        <f t="shared" si="7255"/>
        <v>#N/A</v>
      </c>
      <c r="O3790" s="16" t="s">
        <v>76</v>
      </c>
      <c r="P3790" s="16" t="str">
        <f t="shared" si="6"/>
        <v/>
      </c>
      <c r="Q3790" s="41" t="e">
        <f t="shared" si="7256"/>
        <v>#N/A</v>
      </c>
      <c r="R3790" s="44"/>
      <c r="S3790" s="44"/>
      <c r="T3790" s="43"/>
      <c r="U3790" s="43" t="str">
        <f t="shared" si="8"/>
        <v>No</v>
      </c>
      <c r="V3790" s="25"/>
      <c r="W3790" s="25"/>
      <c r="X3790" s="25"/>
      <c r="Y3790" s="25"/>
      <c r="Z3790" s="25"/>
    </row>
    <row r="3791" spans="1:26" ht="15.75" customHeight="1" x14ac:dyDescent="0.25">
      <c r="A3791" s="25">
        <v>3789</v>
      </c>
      <c r="B3791" s="37" t="e">
        <f t="shared" ref="B3791:D3791" si="7631">VLOOKUP($A3791,[12]Salud!$A$1:$O$277,B$1,0)</f>
        <v>#N/A</v>
      </c>
      <c r="C3791" s="38" t="e">
        <f t="shared" si="7631"/>
        <v>#N/A</v>
      </c>
      <c r="D3791" s="39" t="e">
        <f t="shared" si="7631"/>
        <v>#N/A</v>
      </c>
      <c r="E3791" s="16" t="e">
        <f t="shared" si="1"/>
        <v>#N/A</v>
      </c>
      <c r="F3791" s="16" t="e">
        <f t="shared" ref="F3791:K3791" si="7632">VLOOKUP($A3791,[12]Salud!$A$1:$O$277,F$1,0)</f>
        <v>#N/A</v>
      </c>
      <c r="G3791" s="39" t="e">
        <f t="shared" si="7632"/>
        <v>#N/A</v>
      </c>
      <c r="H3791" s="16" t="e">
        <f t="shared" si="7632"/>
        <v>#N/A</v>
      </c>
      <c r="I3791" s="16" t="e">
        <f t="shared" si="7632"/>
        <v>#N/A</v>
      </c>
      <c r="J3791" s="40" t="e">
        <f t="shared" si="7632"/>
        <v>#N/A</v>
      </c>
      <c r="K3791" s="16" t="e">
        <f t="shared" si="7632"/>
        <v>#N/A</v>
      </c>
      <c r="L3791" s="40" t="e">
        <f t="shared" si="7253"/>
        <v>#N/A</v>
      </c>
      <c r="M3791" s="16" t="e">
        <f t="shared" si="7254"/>
        <v>#N/A</v>
      </c>
      <c r="N3791" s="16" t="e">
        <f t="shared" si="7255"/>
        <v>#N/A</v>
      </c>
      <c r="O3791" s="16" t="s">
        <v>76</v>
      </c>
      <c r="P3791" s="16" t="str">
        <f t="shared" si="6"/>
        <v/>
      </c>
      <c r="Q3791" s="41" t="e">
        <f t="shared" si="7256"/>
        <v>#N/A</v>
      </c>
      <c r="R3791" s="44"/>
      <c r="S3791" s="44"/>
      <c r="T3791" s="43"/>
      <c r="U3791" s="43" t="str">
        <f t="shared" si="8"/>
        <v>No</v>
      </c>
      <c r="V3791" s="25"/>
      <c r="W3791" s="25"/>
      <c r="X3791" s="25"/>
      <c r="Y3791" s="25"/>
      <c r="Z3791" s="25"/>
    </row>
    <row r="3792" spans="1:26" ht="15.75" customHeight="1" x14ac:dyDescent="0.25">
      <c r="A3792" s="25">
        <v>3790</v>
      </c>
      <c r="B3792" s="37" t="e">
        <f t="shared" ref="B3792:D3792" si="7633">VLOOKUP($A3792,[12]Salud!$A$1:$O$277,B$1,0)</f>
        <v>#N/A</v>
      </c>
      <c r="C3792" s="38" t="e">
        <f t="shared" si="7633"/>
        <v>#N/A</v>
      </c>
      <c r="D3792" s="39" t="e">
        <f t="shared" si="7633"/>
        <v>#N/A</v>
      </c>
      <c r="E3792" s="16" t="e">
        <f t="shared" si="1"/>
        <v>#N/A</v>
      </c>
      <c r="F3792" s="16" t="e">
        <f t="shared" ref="F3792:K3792" si="7634">VLOOKUP($A3792,[12]Salud!$A$1:$O$277,F$1,0)</f>
        <v>#N/A</v>
      </c>
      <c r="G3792" s="39" t="e">
        <f t="shared" si="7634"/>
        <v>#N/A</v>
      </c>
      <c r="H3792" s="16" t="e">
        <f t="shared" si="7634"/>
        <v>#N/A</v>
      </c>
      <c r="I3792" s="16" t="e">
        <f t="shared" si="7634"/>
        <v>#N/A</v>
      </c>
      <c r="J3792" s="40" t="e">
        <f t="shared" si="7634"/>
        <v>#N/A</v>
      </c>
      <c r="K3792" s="16" t="e">
        <f t="shared" si="7634"/>
        <v>#N/A</v>
      </c>
      <c r="L3792" s="40" t="e">
        <f t="shared" si="7253"/>
        <v>#N/A</v>
      </c>
      <c r="M3792" s="16" t="e">
        <f t="shared" si="7254"/>
        <v>#N/A</v>
      </c>
      <c r="N3792" s="16" t="e">
        <f t="shared" si="7255"/>
        <v>#N/A</v>
      </c>
      <c r="O3792" s="16" t="s">
        <v>76</v>
      </c>
      <c r="P3792" s="16" t="str">
        <f t="shared" si="6"/>
        <v/>
      </c>
      <c r="Q3792" s="41" t="e">
        <f t="shared" si="7256"/>
        <v>#N/A</v>
      </c>
      <c r="R3792" s="44"/>
      <c r="S3792" s="44"/>
      <c r="T3792" s="43"/>
      <c r="U3792" s="43" t="str">
        <f t="shared" si="8"/>
        <v>No</v>
      </c>
      <c r="V3792" s="25"/>
      <c r="W3792" s="25"/>
      <c r="X3792" s="25"/>
      <c r="Y3792" s="25"/>
      <c r="Z3792" s="25"/>
    </row>
    <row r="3793" spans="1:26" ht="15.75" customHeight="1" x14ac:dyDescent="0.25">
      <c r="A3793" s="25">
        <v>3791</v>
      </c>
      <c r="B3793" s="37" t="e">
        <f t="shared" ref="B3793:D3793" si="7635">VLOOKUP($A3793,[12]Salud!$A$1:$O$277,B$1,0)</f>
        <v>#N/A</v>
      </c>
      <c r="C3793" s="38" t="e">
        <f t="shared" si="7635"/>
        <v>#N/A</v>
      </c>
      <c r="D3793" s="39" t="e">
        <f t="shared" si="7635"/>
        <v>#N/A</v>
      </c>
      <c r="E3793" s="16" t="e">
        <f t="shared" si="1"/>
        <v>#N/A</v>
      </c>
      <c r="F3793" s="16" t="e">
        <f t="shared" ref="F3793:K3793" si="7636">VLOOKUP($A3793,[12]Salud!$A$1:$O$277,F$1,0)</f>
        <v>#N/A</v>
      </c>
      <c r="G3793" s="39" t="e">
        <f t="shared" si="7636"/>
        <v>#N/A</v>
      </c>
      <c r="H3793" s="16" t="e">
        <f t="shared" si="7636"/>
        <v>#N/A</v>
      </c>
      <c r="I3793" s="16" t="e">
        <f t="shared" si="7636"/>
        <v>#N/A</v>
      </c>
      <c r="J3793" s="40" t="e">
        <f t="shared" si="7636"/>
        <v>#N/A</v>
      </c>
      <c r="K3793" s="16" t="e">
        <f t="shared" si="7636"/>
        <v>#N/A</v>
      </c>
      <c r="L3793" s="40" t="e">
        <f t="shared" si="7253"/>
        <v>#N/A</v>
      </c>
      <c r="M3793" s="16" t="e">
        <f t="shared" si="7254"/>
        <v>#N/A</v>
      </c>
      <c r="N3793" s="16" t="e">
        <f t="shared" si="7255"/>
        <v>#N/A</v>
      </c>
      <c r="O3793" s="16" t="s">
        <v>76</v>
      </c>
      <c r="P3793" s="16" t="str">
        <f t="shared" si="6"/>
        <v/>
      </c>
      <c r="Q3793" s="41" t="e">
        <f t="shared" si="7256"/>
        <v>#N/A</v>
      </c>
      <c r="R3793" s="44"/>
      <c r="S3793" s="44"/>
      <c r="T3793" s="43"/>
      <c r="U3793" s="43" t="str">
        <f t="shared" si="8"/>
        <v>No</v>
      </c>
      <c r="V3793" s="25"/>
      <c r="W3793" s="25"/>
      <c r="X3793" s="25"/>
      <c r="Y3793" s="25"/>
      <c r="Z3793" s="25"/>
    </row>
    <row r="3794" spans="1:26" ht="15.75" customHeight="1" x14ac:dyDescent="0.25">
      <c r="A3794" s="25">
        <v>3792</v>
      </c>
      <c r="B3794" s="37" t="e">
        <f t="shared" ref="B3794:D3794" si="7637">VLOOKUP($A3794,[12]Salud!$A$1:$O$277,B$1,0)</f>
        <v>#N/A</v>
      </c>
      <c r="C3794" s="38" t="e">
        <f t="shared" si="7637"/>
        <v>#N/A</v>
      </c>
      <c r="D3794" s="39" t="e">
        <f t="shared" si="7637"/>
        <v>#N/A</v>
      </c>
      <c r="E3794" s="16" t="e">
        <f t="shared" si="1"/>
        <v>#N/A</v>
      </c>
      <c r="F3794" s="16" t="e">
        <f t="shared" ref="F3794:K3794" si="7638">VLOOKUP($A3794,[12]Salud!$A$1:$O$277,F$1,0)</f>
        <v>#N/A</v>
      </c>
      <c r="G3794" s="39" t="e">
        <f t="shared" si="7638"/>
        <v>#N/A</v>
      </c>
      <c r="H3794" s="16" t="e">
        <f t="shared" si="7638"/>
        <v>#N/A</v>
      </c>
      <c r="I3794" s="16" t="e">
        <f t="shared" si="7638"/>
        <v>#N/A</v>
      </c>
      <c r="J3794" s="40" t="e">
        <f t="shared" si="7638"/>
        <v>#N/A</v>
      </c>
      <c r="K3794" s="16" t="e">
        <f t="shared" si="7638"/>
        <v>#N/A</v>
      </c>
      <c r="L3794" s="40" t="e">
        <f t="shared" si="7253"/>
        <v>#N/A</v>
      </c>
      <c r="M3794" s="16" t="e">
        <f t="shared" si="7254"/>
        <v>#N/A</v>
      </c>
      <c r="N3794" s="16" t="e">
        <f t="shared" si="7255"/>
        <v>#N/A</v>
      </c>
      <c r="O3794" s="16" t="s">
        <v>76</v>
      </c>
      <c r="P3794" s="16" t="str">
        <f t="shared" si="6"/>
        <v/>
      </c>
      <c r="Q3794" s="41" t="e">
        <f t="shared" si="7256"/>
        <v>#N/A</v>
      </c>
      <c r="R3794" s="44"/>
      <c r="S3794" s="44"/>
      <c r="T3794" s="43"/>
      <c r="U3794" s="43" t="str">
        <f t="shared" si="8"/>
        <v>No</v>
      </c>
      <c r="V3794" s="25"/>
      <c r="W3794" s="25"/>
      <c r="X3794" s="25"/>
      <c r="Y3794" s="25"/>
      <c r="Z3794" s="25"/>
    </row>
    <row r="3795" spans="1:26" ht="15.75" customHeight="1" x14ac:dyDescent="0.25">
      <c r="A3795" s="25">
        <v>3793</v>
      </c>
      <c r="B3795" s="37" t="e">
        <f t="shared" ref="B3795:D3795" si="7639">VLOOKUP($A3795,[12]Salud!$A$1:$O$277,B$1,0)</f>
        <v>#N/A</v>
      </c>
      <c r="C3795" s="38" t="e">
        <f t="shared" si="7639"/>
        <v>#N/A</v>
      </c>
      <c r="D3795" s="39" t="e">
        <f t="shared" si="7639"/>
        <v>#N/A</v>
      </c>
      <c r="E3795" s="16" t="e">
        <f t="shared" si="1"/>
        <v>#N/A</v>
      </c>
      <c r="F3795" s="16" t="e">
        <f t="shared" ref="F3795:K3795" si="7640">VLOOKUP($A3795,[12]Salud!$A$1:$O$277,F$1,0)</f>
        <v>#N/A</v>
      </c>
      <c r="G3795" s="39" t="e">
        <f t="shared" si="7640"/>
        <v>#N/A</v>
      </c>
      <c r="H3795" s="16" t="e">
        <f t="shared" si="7640"/>
        <v>#N/A</v>
      </c>
      <c r="I3795" s="16" t="e">
        <f t="shared" si="7640"/>
        <v>#N/A</v>
      </c>
      <c r="J3795" s="40" t="e">
        <f t="shared" si="7640"/>
        <v>#N/A</v>
      </c>
      <c r="K3795" s="16" t="e">
        <f t="shared" si="7640"/>
        <v>#N/A</v>
      </c>
      <c r="L3795" s="40" t="e">
        <f t="shared" si="7253"/>
        <v>#N/A</v>
      </c>
      <c r="M3795" s="16" t="e">
        <f t="shared" si="7254"/>
        <v>#N/A</v>
      </c>
      <c r="N3795" s="16" t="e">
        <f t="shared" si="7255"/>
        <v>#N/A</v>
      </c>
      <c r="O3795" s="16" t="s">
        <v>76</v>
      </c>
      <c r="P3795" s="16" t="str">
        <f t="shared" si="6"/>
        <v/>
      </c>
      <c r="Q3795" s="41" t="e">
        <f t="shared" si="7256"/>
        <v>#N/A</v>
      </c>
      <c r="R3795" s="44"/>
      <c r="S3795" s="44"/>
      <c r="T3795" s="43"/>
      <c r="U3795" s="43" t="str">
        <f t="shared" si="8"/>
        <v>No</v>
      </c>
      <c r="V3795" s="25"/>
      <c r="W3795" s="25"/>
      <c r="X3795" s="25"/>
      <c r="Y3795" s="25"/>
      <c r="Z3795" s="25"/>
    </row>
    <row r="3796" spans="1:26" ht="15.75" customHeight="1" x14ac:dyDescent="0.25">
      <c r="A3796" s="25">
        <v>3794</v>
      </c>
      <c r="B3796" s="37" t="e">
        <f t="shared" ref="B3796:D3796" si="7641">VLOOKUP($A3796,[12]Salud!$A$1:$O$277,B$1,0)</f>
        <v>#N/A</v>
      </c>
      <c r="C3796" s="38" t="e">
        <f t="shared" si="7641"/>
        <v>#N/A</v>
      </c>
      <c r="D3796" s="39" t="e">
        <f t="shared" si="7641"/>
        <v>#N/A</v>
      </c>
      <c r="E3796" s="16" t="e">
        <f t="shared" si="1"/>
        <v>#N/A</v>
      </c>
      <c r="F3796" s="16" t="e">
        <f t="shared" ref="F3796:K3796" si="7642">VLOOKUP($A3796,[12]Salud!$A$1:$O$277,F$1,0)</f>
        <v>#N/A</v>
      </c>
      <c r="G3796" s="39" t="e">
        <f t="shared" si="7642"/>
        <v>#N/A</v>
      </c>
      <c r="H3796" s="16" t="e">
        <f t="shared" si="7642"/>
        <v>#N/A</v>
      </c>
      <c r="I3796" s="16" t="e">
        <f t="shared" si="7642"/>
        <v>#N/A</v>
      </c>
      <c r="J3796" s="40" t="e">
        <f t="shared" si="7642"/>
        <v>#N/A</v>
      </c>
      <c r="K3796" s="16" t="e">
        <f t="shared" si="7642"/>
        <v>#N/A</v>
      </c>
      <c r="L3796" s="40" t="e">
        <f t="shared" si="7253"/>
        <v>#N/A</v>
      </c>
      <c r="M3796" s="16" t="e">
        <f t="shared" si="7254"/>
        <v>#N/A</v>
      </c>
      <c r="N3796" s="16" t="e">
        <f t="shared" si="7255"/>
        <v>#N/A</v>
      </c>
      <c r="O3796" s="16" t="s">
        <v>76</v>
      </c>
      <c r="P3796" s="16" t="str">
        <f t="shared" si="6"/>
        <v/>
      </c>
      <c r="Q3796" s="41" t="e">
        <f t="shared" si="7256"/>
        <v>#N/A</v>
      </c>
      <c r="R3796" s="44"/>
      <c r="S3796" s="44"/>
      <c r="T3796" s="43"/>
      <c r="U3796" s="43" t="str">
        <f t="shared" si="8"/>
        <v>No</v>
      </c>
      <c r="V3796" s="25"/>
      <c r="W3796" s="25"/>
      <c r="X3796" s="25"/>
      <c r="Y3796" s="25"/>
      <c r="Z3796" s="25"/>
    </row>
    <row r="3797" spans="1:26" ht="15.75" customHeight="1" x14ac:dyDescent="0.25">
      <c r="A3797" s="25">
        <v>3795</v>
      </c>
      <c r="B3797" s="37" t="e">
        <f t="shared" ref="B3797:D3797" si="7643">VLOOKUP($A3797,[12]Salud!$A$1:$O$277,B$1,0)</f>
        <v>#N/A</v>
      </c>
      <c r="C3797" s="38" t="e">
        <f t="shared" si="7643"/>
        <v>#N/A</v>
      </c>
      <c r="D3797" s="39" t="e">
        <f t="shared" si="7643"/>
        <v>#N/A</v>
      </c>
      <c r="E3797" s="16" t="e">
        <f t="shared" si="1"/>
        <v>#N/A</v>
      </c>
      <c r="F3797" s="16" t="e">
        <f t="shared" ref="F3797:K3797" si="7644">VLOOKUP($A3797,[12]Salud!$A$1:$O$277,F$1,0)</f>
        <v>#N/A</v>
      </c>
      <c r="G3797" s="39" t="e">
        <f t="shared" si="7644"/>
        <v>#N/A</v>
      </c>
      <c r="H3797" s="16" t="e">
        <f t="shared" si="7644"/>
        <v>#N/A</v>
      </c>
      <c r="I3797" s="16" t="e">
        <f t="shared" si="7644"/>
        <v>#N/A</v>
      </c>
      <c r="J3797" s="40" t="e">
        <f t="shared" si="7644"/>
        <v>#N/A</v>
      </c>
      <c r="K3797" s="16" t="e">
        <f t="shared" si="7644"/>
        <v>#N/A</v>
      </c>
      <c r="L3797" s="40" t="e">
        <f t="shared" si="7253"/>
        <v>#N/A</v>
      </c>
      <c r="M3797" s="16" t="e">
        <f t="shared" si="7254"/>
        <v>#N/A</v>
      </c>
      <c r="N3797" s="16" t="e">
        <f t="shared" si="7255"/>
        <v>#N/A</v>
      </c>
      <c r="O3797" s="16" t="s">
        <v>76</v>
      </c>
      <c r="P3797" s="16" t="str">
        <f t="shared" si="6"/>
        <v/>
      </c>
      <c r="Q3797" s="41" t="e">
        <f t="shared" si="7256"/>
        <v>#N/A</v>
      </c>
      <c r="R3797" s="44"/>
      <c r="S3797" s="44"/>
      <c r="T3797" s="43"/>
      <c r="U3797" s="43" t="str">
        <f t="shared" si="8"/>
        <v>No</v>
      </c>
      <c r="V3797" s="25"/>
      <c r="W3797" s="25"/>
      <c r="X3797" s="25"/>
      <c r="Y3797" s="25"/>
      <c r="Z3797" s="25"/>
    </row>
    <row r="3798" spans="1:26" ht="15.75" customHeight="1" x14ac:dyDescent="0.25">
      <c r="A3798" s="25">
        <v>3796</v>
      </c>
      <c r="B3798" s="37" t="e">
        <f t="shared" ref="B3798:D3798" si="7645">VLOOKUP($A3798,[12]Salud!$A$1:$O$277,B$1,0)</f>
        <v>#N/A</v>
      </c>
      <c r="C3798" s="38" t="e">
        <f t="shared" si="7645"/>
        <v>#N/A</v>
      </c>
      <c r="D3798" s="39" t="e">
        <f t="shared" si="7645"/>
        <v>#N/A</v>
      </c>
      <c r="E3798" s="16" t="e">
        <f t="shared" si="1"/>
        <v>#N/A</v>
      </c>
      <c r="F3798" s="16" t="e">
        <f t="shared" ref="F3798:K3798" si="7646">VLOOKUP($A3798,[12]Salud!$A$1:$O$277,F$1,0)</f>
        <v>#N/A</v>
      </c>
      <c r="G3798" s="39" t="e">
        <f t="shared" si="7646"/>
        <v>#N/A</v>
      </c>
      <c r="H3798" s="16" t="e">
        <f t="shared" si="7646"/>
        <v>#N/A</v>
      </c>
      <c r="I3798" s="16" t="e">
        <f t="shared" si="7646"/>
        <v>#N/A</v>
      </c>
      <c r="J3798" s="40" t="e">
        <f t="shared" si="7646"/>
        <v>#N/A</v>
      </c>
      <c r="K3798" s="16" t="e">
        <f t="shared" si="7646"/>
        <v>#N/A</v>
      </c>
      <c r="L3798" s="40" t="e">
        <f t="shared" si="7253"/>
        <v>#N/A</v>
      </c>
      <c r="M3798" s="16" t="e">
        <f t="shared" si="7254"/>
        <v>#N/A</v>
      </c>
      <c r="N3798" s="16" t="e">
        <f t="shared" si="7255"/>
        <v>#N/A</v>
      </c>
      <c r="O3798" s="16" t="s">
        <v>76</v>
      </c>
      <c r="P3798" s="16" t="str">
        <f t="shared" si="6"/>
        <v/>
      </c>
      <c r="Q3798" s="41" t="e">
        <f t="shared" si="7256"/>
        <v>#N/A</v>
      </c>
      <c r="R3798" s="44"/>
      <c r="S3798" s="44"/>
      <c r="T3798" s="43"/>
      <c r="U3798" s="43" t="str">
        <f t="shared" si="8"/>
        <v>No</v>
      </c>
      <c r="V3798" s="25"/>
      <c r="W3798" s="25"/>
      <c r="X3798" s="25"/>
      <c r="Y3798" s="25"/>
      <c r="Z3798" s="25"/>
    </row>
    <row r="3799" spans="1:26" ht="15.75" customHeight="1" x14ac:dyDescent="0.25">
      <c r="A3799" s="25">
        <v>3797</v>
      </c>
      <c r="B3799" s="37" t="e">
        <f t="shared" ref="B3799:D3799" si="7647">VLOOKUP($A3799,[12]Salud!$A$1:$O$277,B$1,0)</f>
        <v>#N/A</v>
      </c>
      <c r="C3799" s="38" t="e">
        <f t="shared" si="7647"/>
        <v>#N/A</v>
      </c>
      <c r="D3799" s="39" t="e">
        <f t="shared" si="7647"/>
        <v>#N/A</v>
      </c>
      <c r="E3799" s="16" t="e">
        <f t="shared" si="1"/>
        <v>#N/A</v>
      </c>
      <c r="F3799" s="16" t="e">
        <f t="shared" ref="F3799:K3799" si="7648">VLOOKUP($A3799,[12]Salud!$A$1:$O$277,F$1,0)</f>
        <v>#N/A</v>
      </c>
      <c r="G3799" s="39" t="e">
        <f t="shared" si="7648"/>
        <v>#N/A</v>
      </c>
      <c r="H3799" s="16" t="e">
        <f t="shared" si="7648"/>
        <v>#N/A</v>
      </c>
      <c r="I3799" s="16" t="e">
        <f t="shared" si="7648"/>
        <v>#N/A</v>
      </c>
      <c r="J3799" s="40" t="e">
        <f t="shared" si="7648"/>
        <v>#N/A</v>
      </c>
      <c r="K3799" s="16" t="e">
        <f t="shared" si="7648"/>
        <v>#N/A</v>
      </c>
      <c r="L3799" s="40" t="e">
        <f t="shared" si="7253"/>
        <v>#N/A</v>
      </c>
      <c r="M3799" s="16" t="e">
        <f t="shared" si="7254"/>
        <v>#N/A</v>
      </c>
      <c r="N3799" s="16" t="e">
        <f t="shared" si="7255"/>
        <v>#N/A</v>
      </c>
      <c r="O3799" s="16" t="s">
        <v>76</v>
      </c>
      <c r="P3799" s="16" t="str">
        <f t="shared" si="6"/>
        <v/>
      </c>
      <c r="Q3799" s="41" t="e">
        <f t="shared" si="7256"/>
        <v>#N/A</v>
      </c>
      <c r="R3799" s="44"/>
      <c r="S3799" s="44"/>
      <c r="T3799" s="43"/>
      <c r="U3799" s="43" t="str">
        <f t="shared" si="8"/>
        <v>No</v>
      </c>
      <c r="V3799" s="25"/>
      <c r="W3799" s="25"/>
      <c r="X3799" s="25"/>
      <c r="Y3799" s="25"/>
      <c r="Z3799" s="25"/>
    </row>
    <row r="3800" spans="1:26" ht="15.75" customHeight="1" x14ac:dyDescent="0.25">
      <c r="A3800" s="25">
        <v>3798</v>
      </c>
      <c r="B3800" s="37" t="e">
        <f t="shared" ref="B3800:D3800" si="7649">VLOOKUP($A3800,[12]Salud!$A$1:$O$277,B$1,0)</f>
        <v>#N/A</v>
      </c>
      <c r="C3800" s="38" t="e">
        <f t="shared" si="7649"/>
        <v>#N/A</v>
      </c>
      <c r="D3800" s="39" t="e">
        <f t="shared" si="7649"/>
        <v>#N/A</v>
      </c>
      <c r="E3800" s="16" t="e">
        <f t="shared" si="1"/>
        <v>#N/A</v>
      </c>
      <c r="F3800" s="16" t="e">
        <f t="shared" ref="F3800:K3800" si="7650">VLOOKUP($A3800,[12]Salud!$A$1:$O$277,F$1,0)</f>
        <v>#N/A</v>
      </c>
      <c r="G3800" s="39" t="e">
        <f t="shared" si="7650"/>
        <v>#N/A</v>
      </c>
      <c r="H3800" s="16" t="e">
        <f t="shared" si="7650"/>
        <v>#N/A</v>
      </c>
      <c r="I3800" s="16" t="e">
        <f t="shared" si="7650"/>
        <v>#N/A</v>
      </c>
      <c r="J3800" s="40" t="e">
        <f t="shared" si="7650"/>
        <v>#N/A</v>
      </c>
      <c r="K3800" s="16" t="e">
        <f t="shared" si="7650"/>
        <v>#N/A</v>
      </c>
      <c r="L3800" s="40" t="e">
        <f t="shared" si="7253"/>
        <v>#N/A</v>
      </c>
      <c r="M3800" s="16" t="e">
        <f t="shared" si="7254"/>
        <v>#N/A</v>
      </c>
      <c r="N3800" s="16" t="e">
        <f t="shared" si="7255"/>
        <v>#N/A</v>
      </c>
      <c r="O3800" s="16" t="s">
        <v>76</v>
      </c>
      <c r="P3800" s="16" t="str">
        <f t="shared" si="6"/>
        <v/>
      </c>
      <c r="Q3800" s="41" t="e">
        <f t="shared" si="7256"/>
        <v>#N/A</v>
      </c>
      <c r="R3800" s="44"/>
      <c r="S3800" s="44"/>
      <c r="T3800" s="43"/>
      <c r="U3800" s="43" t="str">
        <f t="shared" si="8"/>
        <v>No</v>
      </c>
      <c r="V3800" s="25"/>
      <c r="W3800" s="25"/>
      <c r="X3800" s="25"/>
      <c r="Y3800" s="25"/>
      <c r="Z3800" s="25"/>
    </row>
    <row r="3801" spans="1:26" ht="15.75" customHeight="1" x14ac:dyDescent="0.25">
      <c r="A3801" s="25">
        <v>3799</v>
      </c>
      <c r="B3801" s="37" t="e">
        <f t="shared" ref="B3801:D3801" si="7651">VLOOKUP($A3801,[12]Salud!$A$1:$O$277,B$1,0)</f>
        <v>#N/A</v>
      </c>
      <c r="C3801" s="38" t="e">
        <f t="shared" si="7651"/>
        <v>#N/A</v>
      </c>
      <c r="D3801" s="39" t="e">
        <f t="shared" si="7651"/>
        <v>#N/A</v>
      </c>
      <c r="E3801" s="16" t="e">
        <f t="shared" si="1"/>
        <v>#N/A</v>
      </c>
      <c r="F3801" s="16" t="e">
        <f t="shared" ref="F3801:K3801" si="7652">VLOOKUP($A3801,[12]Salud!$A$1:$O$277,F$1,0)</f>
        <v>#N/A</v>
      </c>
      <c r="G3801" s="39" t="e">
        <f t="shared" si="7652"/>
        <v>#N/A</v>
      </c>
      <c r="H3801" s="16" t="e">
        <f t="shared" si="7652"/>
        <v>#N/A</v>
      </c>
      <c r="I3801" s="16" t="e">
        <f t="shared" si="7652"/>
        <v>#N/A</v>
      </c>
      <c r="J3801" s="40" t="e">
        <f t="shared" si="7652"/>
        <v>#N/A</v>
      </c>
      <c r="K3801" s="16" t="e">
        <f t="shared" si="7652"/>
        <v>#N/A</v>
      </c>
      <c r="L3801" s="40" t="e">
        <f t="shared" si="7253"/>
        <v>#N/A</v>
      </c>
      <c r="M3801" s="16" t="e">
        <f t="shared" si="7254"/>
        <v>#N/A</v>
      </c>
      <c r="N3801" s="16" t="e">
        <f t="shared" si="7255"/>
        <v>#N/A</v>
      </c>
      <c r="O3801" s="16" t="s">
        <v>76</v>
      </c>
      <c r="P3801" s="16" t="str">
        <f t="shared" si="6"/>
        <v/>
      </c>
      <c r="Q3801" s="41" t="e">
        <f t="shared" si="7256"/>
        <v>#N/A</v>
      </c>
      <c r="R3801" s="44"/>
      <c r="S3801" s="44"/>
      <c r="T3801" s="43"/>
      <c r="U3801" s="43" t="str">
        <f t="shared" si="8"/>
        <v>No</v>
      </c>
      <c r="V3801" s="25"/>
      <c r="W3801" s="25"/>
      <c r="X3801" s="25"/>
      <c r="Y3801" s="25"/>
      <c r="Z3801" s="25"/>
    </row>
    <row r="3802" spans="1:26" ht="15.75" customHeight="1" x14ac:dyDescent="0.25">
      <c r="A3802" s="25">
        <v>3800</v>
      </c>
      <c r="B3802" s="37" t="e">
        <f t="shared" ref="B3802:D3802" si="7653">VLOOKUP($A3802,[12]Salud!$A$1:$O$277,B$1,0)</f>
        <v>#N/A</v>
      </c>
      <c r="C3802" s="38" t="e">
        <f t="shared" si="7653"/>
        <v>#N/A</v>
      </c>
      <c r="D3802" s="39" t="e">
        <f t="shared" si="7653"/>
        <v>#N/A</v>
      </c>
      <c r="E3802" s="16" t="e">
        <f t="shared" si="1"/>
        <v>#N/A</v>
      </c>
      <c r="F3802" s="16" t="e">
        <f t="shared" ref="F3802:K3802" si="7654">VLOOKUP($A3802,[12]Salud!$A$1:$O$277,F$1,0)</f>
        <v>#N/A</v>
      </c>
      <c r="G3802" s="39" t="e">
        <f t="shared" si="7654"/>
        <v>#N/A</v>
      </c>
      <c r="H3802" s="16" t="e">
        <f t="shared" si="7654"/>
        <v>#N/A</v>
      </c>
      <c r="I3802" s="16" t="e">
        <f t="shared" si="7654"/>
        <v>#N/A</v>
      </c>
      <c r="J3802" s="40" t="e">
        <f t="shared" si="7654"/>
        <v>#N/A</v>
      </c>
      <c r="K3802" s="16" t="e">
        <f t="shared" si="7654"/>
        <v>#N/A</v>
      </c>
      <c r="L3802" s="40" t="e">
        <f t="shared" si="7253"/>
        <v>#N/A</v>
      </c>
      <c r="M3802" s="16" t="e">
        <f t="shared" si="7254"/>
        <v>#N/A</v>
      </c>
      <c r="N3802" s="16" t="e">
        <f t="shared" si="7255"/>
        <v>#N/A</v>
      </c>
      <c r="O3802" s="16" t="s">
        <v>76</v>
      </c>
      <c r="P3802" s="16" t="str">
        <f t="shared" si="6"/>
        <v/>
      </c>
      <c r="Q3802" s="41" t="e">
        <f t="shared" si="7256"/>
        <v>#N/A</v>
      </c>
      <c r="R3802" s="44"/>
      <c r="S3802" s="44"/>
      <c r="T3802" s="43"/>
      <c r="U3802" s="43" t="str">
        <f t="shared" si="8"/>
        <v>No</v>
      </c>
      <c r="V3802" s="25"/>
      <c r="W3802" s="25"/>
      <c r="X3802" s="25"/>
      <c r="Y3802" s="25"/>
      <c r="Z3802" s="25"/>
    </row>
    <row r="3803" spans="1:26" ht="15.75" customHeight="1" x14ac:dyDescent="0.25">
      <c r="A3803" s="25">
        <v>3801</v>
      </c>
      <c r="B3803" s="37" t="e">
        <f t="shared" ref="B3803:D3803" si="7655">VLOOKUP($A3803,[12]Salud!$A$1:$O$277,B$1,0)</f>
        <v>#N/A</v>
      </c>
      <c r="C3803" s="38" t="e">
        <f t="shared" si="7655"/>
        <v>#N/A</v>
      </c>
      <c r="D3803" s="39" t="e">
        <f t="shared" si="7655"/>
        <v>#N/A</v>
      </c>
      <c r="E3803" s="16" t="e">
        <f t="shared" si="1"/>
        <v>#N/A</v>
      </c>
      <c r="F3803" s="16" t="e">
        <f t="shared" ref="F3803:K3803" si="7656">VLOOKUP($A3803,[12]Salud!$A$1:$O$277,F$1,0)</f>
        <v>#N/A</v>
      </c>
      <c r="G3803" s="39" t="e">
        <f t="shared" si="7656"/>
        <v>#N/A</v>
      </c>
      <c r="H3803" s="16" t="e">
        <f t="shared" si="7656"/>
        <v>#N/A</v>
      </c>
      <c r="I3803" s="16" t="e">
        <f t="shared" si="7656"/>
        <v>#N/A</v>
      </c>
      <c r="J3803" s="40" t="e">
        <f t="shared" si="7656"/>
        <v>#N/A</v>
      </c>
      <c r="K3803" s="16" t="e">
        <f t="shared" si="7656"/>
        <v>#N/A</v>
      </c>
      <c r="L3803" s="40" t="e">
        <f t="shared" si="7253"/>
        <v>#N/A</v>
      </c>
      <c r="M3803" s="16" t="e">
        <f t="shared" si="7254"/>
        <v>#N/A</v>
      </c>
      <c r="N3803" s="16" t="e">
        <f t="shared" si="7255"/>
        <v>#N/A</v>
      </c>
      <c r="O3803" s="16" t="s">
        <v>76</v>
      </c>
      <c r="P3803" s="16" t="str">
        <f t="shared" si="6"/>
        <v/>
      </c>
      <c r="Q3803" s="41" t="e">
        <f t="shared" si="7256"/>
        <v>#N/A</v>
      </c>
      <c r="R3803" s="44"/>
      <c r="S3803" s="44"/>
      <c r="T3803" s="43"/>
      <c r="U3803" s="43" t="str">
        <f t="shared" si="8"/>
        <v>No</v>
      </c>
      <c r="V3803" s="25"/>
      <c r="W3803" s="25"/>
      <c r="X3803" s="25"/>
      <c r="Y3803" s="25"/>
      <c r="Z3803" s="25"/>
    </row>
    <row r="3804" spans="1:26" ht="15.75" customHeight="1" x14ac:dyDescent="0.25">
      <c r="A3804" s="25">
        <v>3802</v>
      </c>
      <c r="B3804" s="37" t="e">
        <f t="shared" ref="B3804:D3804" si="7657">VLOOKUP($A3804,[12]Salud!$A$1:$O$277,B$1,0)</f>
        <v>#N/A</v>
      </c>
      <c r="C3804" s="38" t="e">
        <f t="shared" si="7657"/>
        <v>#N/A</v>
      </c>
      <c r="D3804" s="39" t="e">
        <f t="shared" si="7657"/>
        <v>#N/A</v>
      </c>
      <c r="E3804" s="16" t="e">
        <f t="shared" si="1"/>
        <v>#N/A</v>
      </c>
      <c r="F3804" s="16" t="e">
        <f t="shared" ref="F3804:K3804" si="7658">VLOOKUP($A3804,[12]Salud!$A$1:$O$277,F$1,0)</f>
        <v>#N/A</v>
      </c>
      <c r="G3804" s="39" t="e">
        <f t="shared" si="7658"/>
        <v>#N/A</v>
      </c>
      <c r="H3804" s="16" t="e">
        <f t="shared" si="7658"/>
        <v>#N/A</v>
      </c>
      <c r="I3804" s="16" t="e">
        <f t="shared" si="7658"/>
        <v>#N/A</v>
      </c>
      <c r="J3804" s="40" t="e">
        <f t="shared" si="7658"/>
        <v>#N/A</v>
      </c>
      <c r="K3804" s="16" t="e">
        <f t="shared" si="7658"/>
        <v>#N/A</v>
      </c>
      <c r="L3804" s="40" t="e">
        <f t="shared" si="7253"/>
        <v>#N/A</v>
      </c>
      <c r="M3804" s="16" t="e">
        <f t="shared" si="7254"/>
        <v>#N/A</v>
      </c>
      <c r="N3804" s="16" t="e">
        <f t="shared" si="7255"/>
        <v>#N/A</v>
      </c>
      <c r="O3804" s="16" t="s">
        <v>76</v>
      </c>
      <c r="P3804" s="16" t="str">
        <f t="shared" si="6"/>
        <v/>
      </c>
      <c r="Q3804" s="41" t="e">
        <f t="shared" si="7256"/>
        <v>#N/A</v>
      </c>
      <c r="R3804" s="44"/>
      <c r="S3804" s="44"/>
      <c r="T3804" s="43"/>
      <c r="U3804" s="43" t="str">
        <f t="shared" si="8"/>
        <v>No</v>
      </c>
      <c r="V3804" s="25"/>
      <c r="W3804" s="25"/>
      <c r="X3804" s="25"/>
      <c r="Y3804" s="25"/>
      <c r="Z3804" s="25"/>
    </row>
    <row r="3805" spans="1:26" ht="15.75" customHeight="1" x14ac:dyDescent="0.25">
      <c r="A3805" s="25">
        <v>3803</v>
      </c>
      <c r="B3805" s="37" t="e">
        <f t="shared" ref="B3805:D3805" si="7659">VLOOKUP($A3805,[12]Salud!$A$1:$O$277,B$1,0)</f>
        <v>#N/A</v>
      </c>
      <c r="C3805" s="38" t="e">
        <f t="shared" si="7659"/>
        <v>#N/A</v>
      </c>
      <c r="D3805" s="39" t="e">
        <f t="shared" si="7659"/>
        <v>#N/A</v>
      </c>
      <c r="E3805" s="16" t="e">
        <f t="shared" si="1"/>
        <v>#N/A</v>
      </c>
      <c r="F3805" s="16" t="e">
        <f t="shared" ref="F3805:K3805" si="7660">VLOOKUP($A3805,[12]Salud!$A$1:$O$277,F$1,0)</f>
        <v>#N/A</v>
      </c>
      <c r="G3805" s="39" t="e">
        <f t="shared" si="7660"/>
        <v>#N/A</v>
      </c>
      <c r="H3805" s="16" t="e">
        <f t="shared" si="7660"/>
        <v>#N/A</v>
      </c>
      <c r="I3805" s="16" t="e">
        <f t="shared" si="7660"/>
        <v>#N/A</v>
      </c>
      <c r="J3805" s="40" t="e">
        <f t="shared" si="7660"/>
        <v>#N/A</v>
      </c>
      <c r="K3805" s="16" t="e">
        <f t="shared" si="7660"/>
        <v>#N/A</v>
      </c>
      <c r="L3805" s="40" t="e">
        <f t="shared" si="7253"/>
        <v>#N/A</v>
      </c>
      <c r="M3805" s="16" t="e">
        <f t="shared" si="7254"/>
        <v>#N/A</v>
      </c>
      <c r="N3805" s="16" t="e">
        <f t="shared" si="7255"/>
        <v>#N/A</v>
      </c>
      <c r="O3805" s="16" t="s">
        <v>76</v>
      </c>
      <c r="P3805" s="16" t="str">
        <f t="shared" si="6"/>
        <v/>
      </c>
      <c r="Q3805" s="41" t="e">
        <f t="shared" si="7256"/>
        <v>#N/A</v>
      </c>
      <c r="R3805" s="44"/>
      <c r="S3805" s="44"/>
      <c r="T3805" s="43"/>
      <c r="U3805" s="43" t="str">
        <f t="shared" si="8"/>
        <v>No</v>
      </c>
      <c r="V3805" s="25"/>
      <c r="W3805" s="25"/>
      <c r="X3805" s="25"/>
      <c r="Y3805" s="25"/>
      <c r="Z3805" s="25"/>
    </row>
    <row r="3806" spans="1:26" ht="15.75" customHeight="1" x14ac:dyDescent="0.25">
      <c r="A3806" s="25">
        <v>3804</v>
      </c>
      <c r="B3806" s="37" t="e">
        <f t="shared" ref="B3806:D3806" si="7661">VLOOKUP($A3806,[12]Salud!$A$1:$O$277,B$1,0)</f>
        <v>#N/A</v>
      </c>
      <c r="C3806" s="38" t="e">
        <f t="shared" si="7661"/>
        <v>#N/A</v>
      </c>
      <c r="D3806" s="39" t="e">
        <f t="shared" si="7661"/>
        <v>#N/A</v>
      </c>
      <c r="E3806" s="16" t="e">
        <f t="shared" si="1"/>
        <v>#N/A</v>
      </c>
      <c r="F3806" s="16" t="e">
        <f t="shared" ref="F3806:K3806" si="7662">VLOOKUP($A3806,[12]Salud!$A$1:$O$277,F$1,0)</f>
        <v>#N/A</v>
      </c>
      <c r="G3806" s="39" t="e">
        <f t="shared" si="7662"/>
        <v>#N/A</v>
      </c>
      <c r="H3806" s="16" t="e">
        <f t="shared" si="7662"/>
        <v>#N/A</v>
      </c>
      <c r="I3806" s="16" t="e">
        <f t="shared" si="7662"/>
        <v>#N/A</v>
      </c>
      <c r="J3806" s="40" t="e">
        <f t="shared" si="7662"/>
        <v>#N/A</v>
      </c>
      <c r="K3806" s="16" t="e">
        <f t="shared" si="7662"/>
        <v>#N/A</v>
      </c>
      <c r="L3806" s="40" t="e">
        <f t="shared" si="7253"/>
        <v>#N/A</v>
      </c>
      <c r="M3806" s="16" t="e">
        <f t="shared" si="7254"/>
        <v>#N/A</v>
      </c>
      <c r="N3806" s="16" t="e">
        <f t="shared" si="7255"/>
        <v>#N/A</v>
      </c>
      <c r="O3806" s="16" t="s">
        <v>76</v>
      </c>
      <c r="P3806" s="16" t="str">
        <f t="shared" si="6"/>
        <v/>
      </c>
      <c r="Q3806" s="41" t="e">
        <f t="shared" si="7256"/>
        <v>#N/A</v>
      </c>
      <c r="R3806" s="44"/>
      <c r="S3806" s="44"/>
      <c r="T3806" s="43"/>
      <c r="U3806" s="43" t="str">
        <f t="shared" si="8"/>
        <v>No</v>
      </c>
      <c r="V3806" s="25"/>
      <c r="W3806" s="25"/>
      <c r="X3806" s="25"/>
      <c r="Y3806" s="25"/>
      <c r="Z3806" s="25"/>
    </row>
    <row r="3807" spans="1:26" ht="15.75" customHeight="1" x14ac:dyDescent="0.25">
      <c r="A3807" s="25">
        <v>3805</v>
      </c>
      <c r="B3807" s="37" t="e">
        <f t="shared" ref="B3807:D3807" si="7663">VLOOKUP($A3807,[12]Salud!$A$1:$O$277,B$1,0)</f>
        <v>#N/A</v>
      </c>
      <c r="C3807" s="38" t="e">
        <f t="shared" si="7663"/>
        <v>#N/A</v>
      </c>
      <c r="D3807" s="39" t="e">
        <f t="shared" si="7663"/>
        <v>#N/A</v>
      </c>
      <c r="E3807" s="16" t="e">
        <f t="shared" si="1"/>
        <v>#N/A</v>
      </c>
      <c r="F3807" s="16" t="e">
        <f t="shared" ref="F3807:K3807" si="7664">VLOOKUP($A3807,[12]Salud!$A$1:$O$277,F$1,0)</f>
        <v>#N/A</v>
      </c>
      <c r="G3807" s="39" t="e">
        <f t="shared" si="7664"/>
        <v>#N/A</v>
      </c>
      <c r="H3807" s="16" t="e">
        <f t="shared" si="7664"/>
        <v>#N/A</v>
      </c>
      <c r="I3807" s="16" t="e">
        <f t="shared" si="7664"/>
        <v>#N/A</v>
      </c>
      <c r="J3807" s="40" t="e">
        <f t="shared" si="7664"/>
        <v>#N/A</v>
      </c>
      <c r="K3807" s="16" t="e">
        <f t="shared" si="7664"/>
        <v>#N/A</v>
      </c>
      <c r="L3807" s="40" t="e">
        <f t="shared" si="7253"/>
        <v>#N/A</v>
      </c>
      <c r="M3807" s="16" t="e">
        <f t="shared" si="7254"/>
        <v>#N/A</v>
      </c>
      <c r="N3807" s="16" t="e">
        <f t="shared" si="7255"/>
        <v>#N/A</v>
      </c>
      <c r="O3807" s="16" t="s">
        <v>76</v>
      </c>
      <c r="P3807" s="16" t="str">
        <f t="shared" si="6"/>
        <v/>
      </c>
      <c r="Q3807" s="41" t="e">
        <f t="shared" si="7256"/>
        <v>#N/A</v>
      </c>
      <c r="R3807" s="44"/>
      <c r="S3807" s="44"/>
      <c r="T3807" s="43"/>
      <c r="U3807" s="43" t="str">
        <f t="shared" si="8"/>
        <v>No</v>
      </c>
      <c r="V3807" s="25"/>
      <c r="W3807" s="25"/>
      <c r="X3807" s="25"/>
      <c r="Y3807" s="25"/>
      <c r="Z3807" s="25"/>
    </row>
    <row r="3808" spans="1:26" ht="15.75" customHeight="1" x14ac:dyDescent="0.25">
      <c r="A3808" s="25">
        <v>3806</v>
      </c>
      <c r="B3808" s="37" t="e">
        <f t="shared" ref="B3808:D3808" si="7665">VLOOKUP($A3808,[12]Salud!$A$1:$O$277,B$1,0)</f>
        <v>#N/A</v>
      </c>
      <c r="C3808" s="38" t="e">
        <f t="shared" si="7665"/>
        <v>#N/A</v>
      </c>
      <c r="D3808" s="39" t="e">
        <f t="shared" si="7665"/>
        <v>#N/A</v>
      </c>
      <c r="E3808" s="16" t="e">
        <f t="shared" si="1"/>
        <v>#N/A</v>
      </c>
      <c r="F3808" s="16" t="e">
        <f t="shared" ref="F3808:K3808" si="7666">VLOOKUP($A3808,[12]Salud!$A$1:$O$277,F$1,0)</f>
        <v>#N/A</v>
      </c>
      <c r="G3808" s="39" t="e">
        <f t="shared" si="7666"/>
        <v>#N/A</v>
      </c>
      <c r="H3808" s="16" t="e">
        <f t="shared" si="7666"/>
        <v>#N/A</v>
      </c>
      <c r="I3808" s="16" t="e">
        <f t="shared" si="7666"/>
        <v>#N/A</v>
      </c>
      <c r="J3808" s="40" t="e">
        <f t="shared" si="7666"/>
        <v>#N/A</v>
      </c>
      <c r="K3808" s="16" t="e">
        <f t="shared" si="7666"/>
        <v>#N/A</v>
      </c>
      <c r="L3808" s="40" t="e">
        <f t="shared" si="7253"/>
        <v>#N/A</v>
      </c>
      <c r="M3808" s="16" t="e">
        <f t="shared" si="7254"/>
        <v>#N/A</v>
      </c>
      <c r="N3808" s="16" t="e">
        <f t="shared" si="7255"/>
        <v>#N/A</v>
      </c>
      <c r="O3808" s="16" t="s">
        <v>76</v>
      </c>
      <c r="P3808" s="16" t="str">
        <f t="shared" si="6"/>
        <v/>
      </c>
      <c r="Q3808" s="41" t="e">
        <f t="shared" si="7256"/>
        <v>#N/A</v>
      </c>
      <c r="R3808" s="44"/>
      <c r="S3808" s="44"/>
      <c r="T3808" s="43"/>
      <c r="U3808" s="43" t="str">
        <f t="shared" si="8"/>
        <v>No</v>
      </c>
      <c r="V3808" s="25"/>
      <c r="W3808" s="25"/>
      <c r="X3808" s="25"/>
      <c r="Y3808" s="25"/>
      <c r="Z3808" s="25"/>
    </row>
    <row r="3809" spans="1:26" ht="15.75" customHeight="1" x14ac:dyDescent="0.25">
      <c r="A3809" s="25">
        <v>3807</v>
      </c>
      <c r="B3809" s="37" t="e">
        <f t="shared" ref="B3809:D3809" si="7667">VLOOKUP($A3809,[12]Salud!$A$1:$O$277,B$1,0)</f>
        <v>#N/A</v>
      </c>
      <c r="C3809" s="38" t="e">
        <f t="shared" si="7667"/>
        <v>#N/A</v>
      </c>
      <c r="D3809" s="39" t="e">
        <f t="shared" si="7667"/>
        <v>#N/A</v>
      </c>
      <c r="E3809" s="16" t="e">
        <f t="shared" si="1"/>
        <v>#N/A</v>
      </c>
      <c r="F3809" s="16" t="e">
        <f t="shared" ref="F3809:K3809" si="7668">VLOOKUP($A3809,[12]Salud!$A$1:$O$277,F$1,0)</f>
        <v>#N/A</v>
      </c>
      <c r="G3809" s="39" t="e">
        <f t="shared" si="7668"/>
        <v>#N/A</v>
      </c>
      <c r="H3809" s="16" t="e">
        <f t="shared" si="7668"/>
        <v>#N/A</v>
      </c>
      <c r="I3809" s="16" t="e">
        <f t="shared" si="7668"/>
        <v>#N/A</v>
      </c>
      <c r="J3809" s="40" t="e">
        <f t="shared" si="7668"/>
        <v>#N/A</v>
      </c>
      <c r="K3809" s="16" t="e">
        <f t="shared" si="7668"/>
        <v>#N/A</v>
      </c>
      <c r="L3809" s="40" t="e">
        <f t="shared" si="7253"/>
        <v>#N/A</v>
      </c>
      <c r="M3809" s="16" t="e">
        <f t="shared" si="7254"/>
        <v>#N/A</v>
      </c>
      <c r="N3809" s="16" t="e">
        <f t="shared" si="7255"/>
        <v>#N/A</v>
      </c>
      <c r="O3809" s="16" t="s">
        <v>76</v>
      </c>
      <c r="P3809" s="16" t="str">
        <f t="shared" si="6"/>
        <v/>
      </c>
      <c r="Q3809" s="41" t="e">
        <f t="shared" si="7256"/>
        <v>#N/A</v>
      </c>
      <c r="R3809" s="44"/>
      <c r="S3809" s="44"/>
      <c r="T3809" s="43"/>
      <c r="U3809" s="43" t="str">
        <f t="shared" si="8"/>
        <v>No</v>
      </c>
      <c r="V3809" s="25"/>
      <c r="W3809" s="25"/>
      <c r="X3809" s="25"/>
      <c r="Y3809" s="25"/>
      <c r="Z3809" s="25"/>
    </row>
    <row r="3810" spans="1:26" ht="15.75" customHeight="1" x14ac:dyDescent="0.25">
      <c r="A3810" s="25">
        <v>3808</v>
      </c>
      <c r="B3810" s="37" t="e">
        <f t="shared" ref="B3810:D3810" si="7669">VLOOKUP($A3810,[12]Salud!$A$1:$O$277,B$1,0)</f>
        <v>#N/A</v>
      </c>
      <c r="C3810" s="38" t="e">
        <f t="shared" si="7669"/>
        <v>#N/A</v>
      </c>
      <c r="D3810" s="39" t="e">
        <f t="shared" si="7669"/>
        <v>#N/A</v>
      </c>
      <c r="E3810" s="16" t="e">
        <f t="shared" si="1"/>
        <v>#N/A</v>
      </c>
      <c r="F3810" s="16" t="e">
        <f t="shared" ref="F3810:K3810" si="7670">VLOOKUP($A3810,[12]Salud!$A$1:$O$277,F$1,0)</f>
        <v>#N/A</v>
      </c>
      <c r="G3810" s="39" t="e">
        <f t="shared" si="7670"/>
        <v>#N/A</v>
      </c>
      <c r="H3810" s="16" t="e">
        <f t="shared" si="7670"/>
        <v>#N/A</v>
      </c>
      <c r="I3810" s="16" t="e">
        <f t="shared" si="7670"/>
        <v>#N/A</v>
      </c>
      <c r="J3810" s="40" t="e">
        <f t="shared" si="7670"/>
        <v>#N/A</v>
      </c>
      <c r="K3810" s="16" t="e">
        <f t="shared" si="7670"/>
        <v>#N/A</v>
      </c>
      <c r="L3810" s="40" t="e">
        <f t="shared" si="7253"/>
        <v>#N/A</v>
      </c>
      <c r="M3810" s="16" t="e">
        <f t="shared" si="7254"/>
        <v>#N/A</v>
      </c>
      <c r="N3810" s="16" t="e">
        <f t="shared" si="7255"/>
        <v>#N/A</v>
      </c>
      <c r="O3810" s="16" t="s">
        <v>76</v>
      </c>
      <c r="P3810" s="16" t="str">
        <f t="shared" si="6"/>
        <v/>
      </c>
      <c r="Q3810" s="41" t="e">
        <f t="shared" si="7256"/>
        <v>#N/A</v>
      </c>
      <c r="R3810" s="44"/>
      <c r="S3810" s="44"/>
      <c r="T3810" s="43"/>
      <c r="U3810" s="43" t="str">
        <f t="shared" si="8"/>
        <v>No</v>
      </c>
      <c r="V3810" s="25"/>
      <c r="W3810" s="25"/>
      <c r="X3810" s="25"/>
      <c r="Y3810" s="25"/>
      <c r="Z3810" s="25"/>
    </row>
    <row r="3811" spans="1:26" ht="15.75" customHeight="1" x14ac:dyDescent="0.25">
      <c r="A3811" s="25">
        <v>3809</v>
      </c>
      <c r="B3811" s="37" t="e">
        <f t="shared" ref="B3811:D3811" si="7671">VLOOKUP($A3811,[12]Salud!$A$1:$O$277,B$1,0)</f>
        <v>#N/A</v>
      </c>
      <c r="C3811" s="38" t="e">
        <f t="shared" si="7671"/>
        <v>#N/A</v>
      </c>
      <c r="D3811" s="39" t="e">
        <f t="shared" si="7671"/>
        <v>#N/A</v>
      </c>
      <c r="E3811" s="16" t="e">
        <f t="shared" si="1"/>
        <v>#N/A</v>
      </c>
      <c r="F3811" s="16" t="e">
        <f t="shared" ref="F3811:K3811" si="7672">VLOOKUP($A3811,[12]Salud!$A$1:$O$277,F$1,0)</f>
        <v>#N/A</v>
      </c>
      <c r="G3811" s="39" t="e">
        <f t="shared" si="7672"/>
        <v>#N/A</v>
      </c>
      <c r="H3811" s="16" t="e">
        <f t="shared" si="7672"/>
        <v>#N/A</v>
      </c>
      <c r="I3811" s="16" t="e">
        <f t="shared" si="7672"/>
        <v>#N/A</v>
      </c>
      <c r="J3811" s="40" t="e">
        <f t="shared" si="7672"/>
        <v>#N/A</v>
      </c>
      <c r="K3811" s="16" t="e">
        <f t="shared" si="7672"/>
        <v>#N/A</v>
      </c>
      <c r="L3811" s="40" t="e">
        <f t="shared" si="7253"/>
        <v>#N/A</v>
      </c>
      <c r="M3811" s="16" t="e">
        <f t="shared" si="7254"/>
        <v>#N/A</v>
      </c>
      <c r="N3811" s="16" t="e">
        <f t="shared" si="7255"/>
        <v>#N/A</v>
      </c>
      <c r="O3811" s="16" t="s">
        <v>76</v>
      </c>
      <c r="P3811" s="16" t="str">
        <f t="shared" si="6"/>
        <v/>
      </c>
      <c r="Q3811" s="41" t="e">
        <f t="shared" si="7256"/>
        <v>#N/A</v>
      </c>
      <c r="R3811" s="44"/>
      <c r="S3811" s="44"/>
      <c r="T3811" s="43"/>
      <c r="U3811" s="43" t="str">
        <f t="shared" si="8"/>
        <v>No</v>
      </c>
      <c r="V3811" s="25"/>
      <c r="W3811" s="25"/>
      <c r="X3811" s="25"/>
      <c r="Y3811" s="25"/>
      <c r="Z3811" s="25"/>
    </row>
    <row r="3812" spans="1:26" ht="15.75" customHeight="1" x14ac:dyDescent="0.25">
      <c r="A3812" s="25">
        <v>3810</v>
      </c>
      <c r="B3812" s="37" t="e">
        <f t="shared" ref="B3812:D3812" si="7673">VLOOKUP($A3812,[12]Salud!$A$1:$O$277,B$1,0)</f>
        <v>#N/A</v>
      </c>
      <c r="C3812" s="38" t="e">
        <f t="shared" si="7673"/>
        <v>#N/A</v>
      </c>
      <c r="D3812" s="39" t="e">
        <f t="shared" si="7673"/>
        <v>#N/A</v>
      </c>
      <c r="E3812" s="16" t="e">
        <f t="shared" si="1"/>
        <v>#N/A</v>
      </c>
      <c r="F3812" s="16" t="e">
        <f t="shared" ref="F3812:K3812" si="7674">VLOOKUP($A3812,[12]Salud!$A$1:$O$277,F$1,0)</f>
        <v>#N/A</v>
      </c>
      <c r="G3812" s="39" t="e">
        <f t="shared" si="7674"/>
        <v>#N/A</v>
      </c>
      <c r="H3812" s="16" t="e">
        <f t="shared" si="7674"/>
        <v>#N/A</v>
      </c>
      <c r="I3812" s="16" t="e">
        <f t="shared" si="7674"/>
        <v>#N/A</v>
      </c>
      <c r="J3812" s="40" t="e">
        <f t="shared" si="7674"/>
        <v>#N/A</v>
      </c>
      <c r="K3812" s="16" t="e">
        <f t="shared" si="7674"/>
        <v>#N/A</v>
      </c>
      <c r="L3812" s="40" t="e">
        <f t="shared" si="7253"/>
        <v>#N/A</v>
      </c>
      <c r="M3812" s="16" t="e">
        <f t="shared" si="7254"/>
        <v>#N/A</v>
      </c>
      <c r="N3812" s="16" t="e">
        <f t="shared" si="7255"/>
        <v>#N/A</v>
      </c>
      <c r="O3812" s="16" t="s">
        <v>76</v>
      </c>
      <c r="P3812" s="16" t="str">
        <f t="shared" si="6"/>
        <v/>
      </c>
      <c r="Q3812" s="41" t="e">
        <f t="shared" si="7256"/>
        <v>#N/A</v>
      </c>
      <c r="R3812" s="44"/>
      <c r="S3812" s="44"/>
      <c r="T3812" s="43"/>
      <c r="U3812" s="43" t="str">
        <f t="shared" si="8"/>
        <v>No</v>
      </c>
      <c r="V3812" s="25"/>
      <c r="W3812" s="25"/>
      <c r="X3812" s="25"/>
      <c r="Y3812" s="25"/>
      <c r="Z3812" s="25"/>
    </row>
    <row r="3813" spans="1:26" ht="15.75" customHeight="1" x14ac:dyDescent="0.25">
      <c r="A3813" s="25">
        <v>3811</v>
      </c>
      <c r="B3813" s="37" t="e">
        <f t="shared" ref="B3813:D3813" si="7675">VLOOKUP($A3813,[12]Salud!$A$1:$O$277,B$1,0)</f>
        <v>#N/A</v>
      </c>
      <c r="C3813" s="38" t="e">
        <f t="shared" si="7675"/>
        <v>#N/A</v>
      </c>
      <c r="D3813" s="39" t="e">
        <f t="shared" si="7675"/>
        <v>#N/A</v>
      </c>
      <c r="E3813" s="16" t="e">
        <f t="shared" si="1"/>
        <v>#N/A</v>
      </c>
      <c r="F3813" s="16" t="e">
        <f t="shared" ref="F3813:K3813" si="7676">VLOOKUP($A3813,[12]Salud!$A$1:$O$277,F$1,0)</f>
        <v>#N/A</v>
      </c>
      <c r="G3813" s="39" t="e">
        <f t="shared" si="7676"/>
        <v>#N/A</v>
      </c>
      <c r="H3813" s="16" t="e">
        <f t="shared" si="7676"/>
        <v>#N/A</v>
      </c>
      <c r="I3813" s="16" t="e">
        <f t="shared" si="7676"/>
        <v>#N/A</v>
      </c>
      <c r="J3813" s="40" t="e">
        <f t="shared" si="7676"/>
        <v>#N/A</v>
      </c>
      <c r="K3813" s="16" t="e">
        <f t="shared" si="7676"/>
        <v>#N/A</v>
      </c>
      <c r="L3813" s="40" t="e">
        <f t="shared" si="7253"/>
        <v>#N/A</v>
      </c>
      <c r="M3813" s="16" t="e">
        <f t="shared" si="7254"/>
        <v>#N/A</v>
      </c>
      <c r="N3813" s="16" t="e">
        <f t="shared" si="7255"/>
        <v>#N/A</v>
      </c>
      <c r="O3813" s="16" t="s">
        <v>76</v>
      </c>
      <c r="P3813" s="16" t="str">
        <f t="shared" si="6"/>
        <v/>
      </c>
      <c r="Q3813" s="41" t="e">
        <f t="shared" si="7256"/>
        <v>#N/A</v>
      </c>
      <c r="R3813" s="44"/>
      <c r="S3813" s="44"/>
      <c r="T3813" s="43"/>
      <c r="U3813" s="43" t="str">
        <f t="shared" si="8"/>
        <v>No</v>
      </c>
      <c r="V3813" s="25"/>
      <c r="W3813" s="25"/>
      <c r="X3813" s="25"/>
      <c r="Y3813" s="25"/>
      <c r="Z3813" s="25"/>
    </row>
    <row r="3814" spans="1:26" ht="15.75" customHeight="1" x14ac:dyDescent="0.25">
      <c r="A3814" s="25">
        <v>3812</v>
      </c>
      <c r="B3814" s="37" t="e">
        <f t="shared" ref="B3814:D3814" si="7677">VLOOKUP($A3814,[12]Salud!$A$1:$O$277,B$1,0)</f>
        <v>#N/A</v>
      </c>
      <c r="C3814" s="38" t="e">
        <f t="shared" si="7677"/>
        <v>#N/A</v>
      </c>
      <c r="D3814" s="39" t="e">
        <f t="shared" si="7677"/>
        <v>#N/A</v>
      </c>
      <c r="E3814" s="16" t="e">
        <f t="shared" si="1"/>
        <v>#N/A</v>
      </c>
      <c r="F3814" s="16" t="e">
        <f t="shared" ref="F3814:K3814" si="7678">VLOOKUP($A3814,[12]Salud!$A$1:$O$277,F$1,0)</f>
        <v>#N/A</v>
      </c>
      <c r="G3814" s="39" t="e">
        <f t="shared" si="7678"/>
        <v>#N/A</v>
      </c>
      <c r="H3814" s="16" t="e">
        <f t="shared" si="7678"/>
        <v>#N/A</v>
      </c>
      <c r="I3814" s="16" t="e">
        <f t="shared" si="7678"/>
        <v>#N/A</v>
      </c>
      <c r="J3814" s="40" t="e">
        <f t="shared" si="7678"/>
        <v>#N/A</v>
      </c>
      <c r="K3814" s="16" t="e">
        <f t="shared" si="7678"/>
        <v>#N/A</v>
      </c>
      <c r="L3814" s="40" t="e">
        <f t="shared" si="7253"/>
        <v>#N/A</v>
      </c>
      <c r="M3814" s="16" t="e">
        <f t="shared" si="7254"/>
        <v>#N/A</v>
      </c>
      <c r="N3814" s="16" t="e">
        <f t="shared" si="7255"/>
        <v>#N/A</v>
      </c>
      <c r="O3814" s="16" t="s">
        <v>76</v>
      </c>
      <c r="P3814" s="16" t="str">
        <f t="shared" si="6"/>
        <v/>
      </c>
      <c r="Q3814" s="41" t="e">
        <f t="shared" si="7256"/>
        <v>#N/A</v>
      </c>
      <c r="R3814" s="44"/>
      <c r="S3814" s="44"/>
      <c r="T3814" s="43"/>
      <c r="U3814" s="43" t="str">
        <f t="shared" si="8"/>
        <v>No</v>
      </c>
      <c r="V3814" s="25"/>
      <c r="W3814" s="25"/>
      <c r="X3814" s="25"/>
      <c r="Y3814" s="25"/>
      <c r="Z3814" s="25"/>
    </row>
    <row r="3815" spans="1:26" ht="15.75" customHeight="1" x14ac:dyDescent="0.25">
      <c r="A3815" s="25">
        <v>3813</v>
      </c>
      <c r="B3815" s="37" t="e">
        <f t="shared" ref="B3815:D3815" si="7679">VLOOKUP($A3815,[12]Salud!$A$1:$O$277,B$1,0)</f>
        <v>#N/A</v>
      </c>
      <c r="C3815" s="38" t="e">
        <f t="shared" si="7679"/>
        <v>#N/A</v>
      </c>
      <c r="D3815" s="39" t="e">
        <f t="shared" si="7679"/>
        <v>#N/A</v>
      </c>
      <c r="E3815" s="16" t="e">
        <f t="shared" si="1"/>
        <v>#N/A</v>
      </c>
      <c r="F3815" s="16" t="e">
        <f t="shared" ref="F3815:K3815" si="7680">VLOOKUP($A3815,[12]Salud!$A$1:$O$277,F$1,0)</f>
        <v>#N/A</v>
      </c>
      <c r="G3815" s="39" t="e">
        <f t="shared" si="7680"/>
        <v>#N/A</v>
      </c>
      <c r="H3815" s="16" t="e">
        <f t="shared" si="7680"/>
        <v>#N/A</v>
      </c>
      <c r="I3815" s="16" t="e">
        <f t="shared" si="7680"/>
        <v>#N/A</v>
      </c>
      <c r="J3815" s="40" t="e">
        <f t="shared" si="7680"/>
        <v>#N/A</v>
      </c>
      <c r="K3815" s="16" t="e">
        <f t="shared" si="7680"/>
        <v>#N/A</v>
      </c>
      <c r="L3815" s="40" t="e">
        <f t="shared" si="7253"/>
        <v>#N/A</v>
      </c>
      <c r="M3815" s="16" t="e">
        <f t="shared" si="7254"/>
        <v>#N/A</v>
      </c>
      <c r="N3815" s="16" t="e">
        <f t="shared" si="7255"/>
        <v>#N/A</v>
      </c>
      <c r="O3815" s="16" t="s">
        <v>76</v>
      </c>
      <c r="P3815" s="16" t="str">
        <f t="shared" si="6"/>
        <v/>
      </c>
      <c r="Q3815" s="41" t="e">
        <f t="shared" si="7256"/>
        <v>#N/A</v>
      </c>
      <c r="R3815" s="44"/>
      <c r="S3815" s="44"/>
      <c r="T3815" s="43"/>
      <c r="U3815" s="43" t="str">
        <f t="shared" si="8"/>
        <v>No</v>
      </c>
      <c r="V3815" s="25"/>
      <c r="W3815" s="25"/>
      <c r="X3815" s="25"/>
      <c r="Y3815" s="25"/>
      <c r="Z3815" s="25"/>
    </row>
    <row r="3816" spans="1:26" ht="15.75" customHeight="1" x14ac:dyDescent="0.25">
      <c r="A3816" s="25">
        <v>3814</v>
      </c>
      <c r="B3816" s="37" t="e">
        <f t="shared" ref="B3816:D3816" si="7681">VLOOKUP($A3816,[12]Salud!$A$1:$O$277,B$1,0)</f>
        <v>#N/A</v>
      </c>
      <c r="C3816" s="38" t="e">
        <f t="shared" si="7681"/>
        <v>#N/A</v>
      </c>
      <c r="D3816" s="39" t="e">
        <f t="shared" si="7681"/>
        <v>#N/A</v>
      </c>
      <c r="E3816" s="16" t="e">
        <f t="shared" si="1"/>
        <v>#N/A</v>
      </c>
      <c r="F3816" s="16" t="e">
        <f t="shared" ref="F3816:K3816" si="7682">VLOOKUP($A3816,[12]Salud!$A$1:$O$277,F$1,0)</f>
        <v>#N/A</v>
      </c>
      <c r="G3816" s="39" t="e">
        <f t="shared" si="7682"/>
        <v>#N/A</v>
      </c>
      <c r="H3816" s="16" t="e">
        <f t="shared" si="7682"/>
        <v>#N/A</v>
      </c>
      <c r="I3816" s="16" t="e">
        <f t="shared" si="7682"/>
        <v>#N/A</v>
      </c>
      <c r="J3816" s="40" t="e">
        <f t="shared" si="7682"/>
        <v>#N/A</v>
      </c>
      <c r="K3816" s="16" t="e">
        <f t="shared" si="7682"/>
        <v>#N/A</v>
      </c>
      <c r="L3816" s="40" t="e">
        <f t="shared" si="7253"/>
        <v>#N/A</v>
      </c>
      <c r="M3816" s="16" t="e">
        <f t="shared" si="7254"/>
        <v>#N/A</v>
      </c>
      <c r="N3816" s="16" t="e">
        <f t="shared" si="7255"/>
        <v>#N/A</v>
      </c>
      <c r="O3816" s="16" t="s">
        <v>76</v>
      </c>
      <c r="P3816" s="16" t="str">
        <f t="shared" si="6"/>
        <v/>
      </c>
      <c r="Q3816" s="41" t="e">
        <f t="shared" si="7256"/>
        <v>#N/A</v>
      </c>
      <c r="R3816" s="44"/>
      <c r="S3816" s="44"/>
      <c r="T3816" s="43"/>
      <c r="U3816" s="43" t="str">
        <f t="shared" si="8"/>
        <v>No</v>
      </c>
      <c r="V3816" s="25"/>
      <c r="W3816" s="25"/>
      <c r="X3816" s="25"/>
      <c r="Y3816" s="25"/>
      <c r="Z3816" s="25"/>
    </row>
    <row r="3817" spans="1:26" ht="15.75" customHeight="1" x14ac:dyDescent="0.25">
      <c r="A3817" s="25">
        <v>3815</v>
      </c>
      <c r="B3817" s="37" t="e">
        <f t="shared" ref="B3817:D3817" si="7683">VLOOKUP($A3817,[12]Salud!$A$1:$O$277,B$1,0)</f>
        <v>#N/A</v>
      </c>
      <c r="C3817" s="38" t="e">
        <f t="shared" si="7683"/>
        <v>#N/A</v>
      </c>
      <c r="D3817" s="39" t="e">
        <f t="shared" si="7683"/>
        <v>#N/A</v>
      </c>
      <c r="E3817" s="16" t="e">
        <f t="shared" si="1"/>
        <v>#N/A</v>
      </c>
      <c r="F3817" s="16" t="e">
        <f t="shared" ref="F3817:K3817" si="7684">VLOOKUP($A3817,[12]Salud!$A$1:$O$277,F$1,0)</f>
        <v>#N/A</v>
      </c>
      <c r="G3817" s="39" t="e">
        <f t="shared" si="7684"/>
        <v>#N/A</v>
      </c>
      <c r="H3817" s="16" t="e">
        <f t="shared" si="7684"/>
        <v>#N/A</v>
      </c>
      <c r="I3817" s="16" t="e">
        <f t="shared" si="7684"/>
        <v>#N/A</v>
      </c>
      <c r="J3817" s="40" t="e">
        <f t="shared" si="7684"/>
        <v>#N/A</v>
      </c>
      <c r="K3817" s="16" t="e">
        <f t="shared" si="7684"/>
        <v>#N/A</v>
      </c>
      <c r="L3817" s="40" t="e">
        <f t="shared" si="7253"/>
        <v>#N/A</v>
      </c>
      <c r="M3817" s="16" t="e">
        <f t="shared" si="7254"/>
        <v>#N/A</v>
      </c>
      <c r="N3817" s="16" t="e">
        <f t="shared" si="7255"/>
        <v>#N/A</v>
      </c>
      <c r="O3817" s="16" t="s">
        <v>76</v>
      </c>
      <c r="P3817" s="16" t="str">
        <f t="shared" si="6"/>
        <v/>
      </c>
      <c r="Q3817" s="41" t="e">
        <f t="shared" si="7256"/>
        <v>#N/A</v>
      </c>
      <c r="R3817" s="44"/>
      <c r="S3817" s="44"/>
      <c r="T3817" s="43"/>
      <c r="U3817" s="43" t="str">
        <f t="shared" si="8"/>
        <v>No</v>
      </c>
      <c r="V3817" s="25"/>
      <c r="W3817" s="25"/>
      <c r="X3817" s="25"/>
      <c r="Y3817" s="25"/>
      <c r="Z3817" s="25"/>
    </row>
    <row r="3818" spans="1:26" ht="15.75" customHeight="1" x14ac:dyDescent="0.25">
      <c r="A3818" s="25">
        <v>3816</v>
      </c>
      <c r="B3818" s="37" t="e">
        <f t="shared" ref="B3818:D3818" si="7685">VLOOKUP($A3818,[12]Salud!$A$1:$O$277,B$1,0)</f>
        <v>#N/A</v>
      </c>
      <c r="C3818" s="38" t="e">
        <f t="shared" si="7685"/>
        <v>#N/A</v>
      </c>
      <c r="D3818" s="39" t="e">
        <f t="shared" si="7685"/>
        <v>#N/A</v>
      </c>
      <c r="E3818" s="16" t="e">
        <f t="shared" si="1"/>
        <v>#N/A</v>
      </c>
      <c r="F3818" s="16" t="e">
        <f t="shared" ref="F3818:K3818" si="7686">VLOOKUP($A3818,[12]Salud!$A$1:$O$277,F$1,0)</f>
        <v>#N/A</v>
      </c>
      <c r="G3818" s="39" t="e">
        <f t="shared" si="7686"/>
        <v>#N/A</v>
      </c>
      <c r="H3818" s="16" t="e">
        <f t="shared" si="7686"/>
        <v>#N/A</v>
      </c>
      <c r="I3818" s="16" t="e">
        <f t="shared" si="7686"/>
        <v>#N/A</v>
      </c>
      <c r="J3818" s="40" t="e">
        <f t="shared" si="7686"/>
        <v>#N/A</v>
      </c>
      <c r="K3818" s="16" t="e">
        <f t="shared" si="7686"/>
        <v>#N/A</v>
      </c>
      <c r="L3818" s="40" t="e">
        <f t="shared" si="7253"/>
        <v>#N/A</v>
      </c>
      <c r="M3818" s="16" t="e">
        <f t="shared" si="7254"/>
        <v>#N/A</v>
      </c>
      <c r="N3818" s="16" t="e">
        <f t="shared" si="7255"/>
        <v>#N/A</v>
      </c>
      <c r="O3818" s="16" t="s">
        <v>76</v>
      </c>
      <c r="P3818" s="16" t="str">
        <f t="shared" si="6"/>
        <v/>
      </c>
      <c r="Q3818" s="41" t="e">
        <f t="shared" si="7256"/>
        <v>#N/A</v>
      </c>
      <c r="R3818" s="44"/>
      <c r="S3818" s="44"/>
      <c r="T3818" s="43"/>
      <c r="U3818" s="43" t="str">
        <f t="shared" si="8"/>
        <v>No</v>
      </c>
      <c r="V3818" s="25"/>
      <c r="W3818" s="25"/>
      <c r="X3818" s="25"/>
      <c r="Y3818" s="25"/>
      <c r="Z3818" s="25"/>
    </row>
    <row r="3819" spans="1:26" ht="15.75" customHeight="1" x14ac:dyDescent="0.25">
      <c r="A3819" s="25">
        <v>3817</v>
      </c>
      <c r="B3819" s="37" t="e">
        <f t="shared" ref="B3819:D3819" si="7687">VLOOKUP($A3819,[12]Salud!$A$1:$O$277,B$1,0)</f>
        <v>#N/A</v>
      </c>
      <c r="C3819" s="38" t="e">
        <f t="shared" si="7687"/>
        <v>#N/A</v>
      </c>
      <c r="D3819" s="39" t="e">
        <f t="shared" si="7687"/>
        <v>#N/A</v>
      </c>
      <c r="E3819" s="16" t="e">
        <f t="shared" si="1"/>
        <v>#N/A</v>
      </c>
      <c r="F3819" s="16" t="e">
        <f t="shared" ref="F3819:K3819" si="7688">VLOOKUP($A3819,[12]Salud!$A$1:$O$277,F$1,0)</f>
        <v>#N/A</v>
      </c>
      <c r="G3819" s="39" t="e">
        <f t="shared" si="7688"/>
        <v>#N/A</v>
      </c>
      <c r="H3819" s="16" t="e">
        <f t="shared" si="7688"/>
        <v>#N/A</v>
      </c>
      <c r="I3819" s="16" t="e">
        <f t="shared" si="7688"/>
        <v>#N/A</v>
      </c>
      <c r="J3819" s="40" t="e">
        <f t="shared" si="7688"/>
        <v>#N/A</v>
      </c>
      <c r="K3819" s="16" t="e">
        <f t="shared" si="7688"/>
        <v>#N/A</v>
      </c>
      <c r="L3819" s="40" t="e">
        <f t="shared" si="7253"/>
        <v>#N/A</v>
      </c>
      <c r="M3819" s="16" t="e">
        <f t="shared" si="7254"/>
        <v>#N/A</v>
      </c>
      <c r="N3819" s="16" t="e">
        <f t="shared" si="7255"/>
        <v>#N/A</v>
      </c>
      <c r="O3819" s="16" t="s">
        <v>76</v>
      </c>
      <c r="P3819" s="16" t="str">
        <f t="shared" si="6"/>
        <v/>
      </c>
      <c r="Q3819" s="41" t="e">
        <f t="shared" si="7256"/>
        <v>#N/A</v>
      </c>
      <c r="R3819" s="44"/>
      <c r="S3819" s="44"/>
      <c r="T3819" s="43"/>
      <c r="U3819" s="43" t="str">
        <f t="shared" si="8"/>
        <v>No</v>
      </c>
      <c r="V3819" s="25"/>
      <c r="W3819" s="25"/>
      <c r="X3819" s="25"/>
      <c r="Y3819" s="25"/>
      <c r="Z3819" s="25"/>
    </row>
    <row r="3820" spans="1:26" ht="15.75" customHeight="1" x14ac:dyDescent="0.25">
      <c r="A3820" s="25">
        <v>3818</v>
      </c>
      <c r="B3820" s="37" t="e">
        <f t="shared" ref="B3820:D3820" si="7689">VLOOKUP($A3820,[12]Salud!$A$1:$O$277,B$1,0)</f>
        <v>#N/A</v>
      </c>
      <c r="C3820" s="38" t="e">
        <f t="shared" si="7689"/>
        <v>#N/A</v>
      </c>
      <c r="D3820" s="39" t="e">
        <f t="shared" si="7689"/>
        <v>#N/A</v>
      </c>
      <c r="E3820" s="16" t="e">
        <f t="shared" si="1"/>
        <v>#N/A</v>
      </c>
      <c r="F3820" s="16" t="e">
        <f t="shared" ref="F3820:K3820" si="7690">VLOOKUP($A3820,[12]Salud!$A$1:$O$277,F$1,0)</f>
        <v>#N/A</v>
      </c>
      <c r="G3820" s="39" t="e">
        <f t="shared" si="7690"/>
        <v>#N/A</v>
      </c>
      <c r="H3820" s="16" t="e">
        <f t="shared" si="7690"/>
        <v>#N/A</v>
      </c>
      <c r="I3820" s="16" t="e">
        <f t="shared" si="7690"/>
        <v>#N/A</v>
      </c>
      <c r="J3820" s="40" t="e">
        <f t="shared" si="7690"/>
        <v>#N/A</v>
      </c>
      <c r="K3820" s="16" t="e">
        <f t="shared" si="7690"/>
        <v>#N/A</v>
      </c>
      <c r="L3820" s="40" t="e">
        <f t="shared" si="7253"/>
        <v>#N/A</v>
      </c>
      <c r="M3820" s="16" t="e">
        <f t="shared" si="7254"/>
        <v>#N/A</v>
      </c>
      <c r="N3820" s="16" t="e">
        <f t="shared" si="7255"/>
        <v>#N/A</v>
      </c>
      <c r="O3820" s="16" t="s">
        <v>76</v>
      </c>
      <c r="P3820" s="16" t="str">
        <f t="shared" si="6"/>
        <v/>
      </c>
      <c r="Q3820" s="41" t="e">
        <f t="shared" si="7256"/>
        <v>#N/A</v>
      </c>
      <c r="R3820" s="44"/>
      <c r="S3820" s="44"/>
      <c r="T3820" s="43"/>
      <c r="U3820" s="43" t="str">
        <f t="shared" si="8"/>
        <v>No</v>
      </c>
      <c r="V3820" s="25"/>
      <c r="W3820" s="25"/>
      <c r="X3820" s="25"/>
      <c r="Y3820" s="25"/>
      <c r="Z3820" s="25"/>
    </row>
    <row r="3821" spans="1:26" ht="15.75" customHeight="1" x14ac:dyDescent="0.25">
      <c r="A3821" s="25">
        <v>3819</v>
      </c>
      <c r="B3821" s="37" t="e">
        <f t="shared" ref="B3821:D3821" si="7691">VLOOKUP($A3821,[12]Salud!$A$1:$O$277,B$1,0)</f>
        <v>#N/A</v>
      </c>
      <c r="C3821" s="38" t="e">
        <f t="shared" si="7691"/>
        <v>#N/A</v>
      </c>
      <c r="D3821" s="39" t="e">
        <f t="shared" si="7691"/>
        <v>#N/A</v>
      </c>
      <c r="E3821" s="16" t="e">
        <f t="shared" si="1"/>
        <v>#N/A</v>
      </c>
      <c r="F3821" s="16" t="e">
        <f t="shared" ref="F3821:K3821" si="7692">VLOOKUP($A3821,[12]Salud!$A$1:$O$277,F$1,0)</f>
        <v>#N/A</v>
      </c>
      <c r="G3821" s="39" t="e">
        <f t="shared" si="7692"/>
        <v>#N/A</v>
      </c>
      <c r="H3821" s="16" t="e">
        <f t="shared" si="7692"/>
        <v>#N/A</v>
      </c>
      <c r="I3821" s="16" t="e">
        <f t="shared" si="7692"/>
        <v>#N/A</v>
      </c>
      <c r="J3821" s="40" t="e">
        <f t="shared" si="7692"/>
        <v>#N/A</v>
      </c>
      <c r="K3821" s="16" t="e">
        <f t="shared" si="7692"/>
        <v>#N/A</v>
      </c>
      <c r="L3821" s="40" t="e">
        <f t="shared" si="7253"/>
        <v>#N/A</v>
      </c>
      <c r="M3821" s="16" t="e">
        <f t="shared" si="7254"/>
        <v>#N/A</v>
      </c>
      <c r="N3821" s="16" t="e">
        <f t="shared" si="7255"/>
        <v>#N/A</v>
      </c>
      <c r="O3821" s="16" t="s">
        <v>76</v>
      </c>
      <c r="P3821" s="16" t="str">
        <f t="shared" si="6"/>
        <v/>
      </c>
      <c r="Q3821" s="41" t="e">
        <f t="shared" si="7256"/>
        <v>#N/A</v>
      </c>
      <c r="R3821" s="44"/>
      <c r="S3821" s="44"/>
      <c r="T3821" s="43"/>
      <c r="U3821" s="43" t="str">
        <f t="shared" si="8"/>
        <v>No</v>
      </c>
      <c r="V3821" s="25"/>
      <c r="W3821" s="25"/>
      <c r="X3821" s="25"/>
      <c r="Y3821" s="25"/>
      <c r="Z3821" s="25"/>
    </row>
    <row r="3822" spans="1:26" ht="15.75" customHeight="1" x14ac:dyDescent="0.25">
      <c r="A3822" s="25">
        <v>3820</v>
      </c>
      <c r="B3822" s="37" t="e">
        <f t="shared" ref="B3822:D3822" si="7693">VLOOKUP($A3822,[12]Salud!$A$1:$O$277,B$1,0)</f>
        <v>#N/A</v>
      </c>
      <c r="C3822" s="38" t="e">
        <f t="shared" si="7693"/>
        <v>#N/A</v>
      </c>
      <c r="D3822" s="39" t="e">
        <f t="shared" si="7693"/>
        <v>#N/A</v>
      </c>
      <c r="E3822" s="16" t="e">
        <f t="shared" si="1"/>
        <v>#N/A</v>
      </c>
      <c r="F3822" s="16" t="e">
        <f t="shared" ref="F3822:K3822" si="7694">VLOOKUP($A3822,[12]Salud!$A$1:$O$277,F$1,0)</f>
        <v>#N/A</v>
      </c>
      <c r="G3822" s="39" t="e">
        <f t="shared" si="7694"/>
        <v>#N/A</v>
      </c>
      <c r="H3822" s="16" t="e">
        <f t="shared" si="7694"/>
        <v>#N/A</v>
      </c>
      <c r="I3822" s="16" t="e">
        <f t="shared" si="7694"/>
        <v>#N/A</v>
      </c>
      <c r="J3822" s="40" t="e">
        <f t="shared" si="7694"/>
        <v>#N/A</v>
      </c>
      <c r="K3822" s="16" t="e">
        <f t="shared" si="7694"/>
        <v>#N/A</v>
      </c>
      <c r="L3822" s="40" t="e">
        <f t="shared" si="7253"/>
        <v>#N/A</v>
      </c>
      <c r="M3822" s="16" t="e">
        <f t="shared" si="7254"/>
        <v>#N/A</v>
      </c>
      <c r="N3822" s="16" t="e">
        <f t="shared" si="7255"/>
        <v>#N/A</v>
      </c>
      <c r="O3822" s="16" t="s">
        <v>76</v>
      </c>
      <c r="P3822" s="16" t="str">
        <f t="shared" si="6"/>
        <v/>
      </c>
      <c r="Q3822" s="41" t="e">
        <f t="shared" si="7256"/>
        <v>#N/A</v>
      </c>
      <c r="R3822" s="44"/>
      <c r="S3822" s="44"/>
      <c r="T3822" s="43"/>
      <c r="U3822" s="43" t="str">
        <f t="shared" si="8"/>
        <v>No</v>
      </c>
      <c r="V3822" s="25"/>
      <c r="W3822" s="25"/>
      <c r="X3822" s="25"/>
      <c r="Y3822" s="25"/>
      <c r="Z3822" s="25"/>
    </row>
    <row r="3823" spans="1:26" ht="15.75" customHeight="1" x14ac:dyDescent="0.25">
      <c r="A3823" s="25">
        <v>3821</v>
      </c>
      <c r="B3823" s="37" t="e">
        <f t="shared" ref="B3823:D3823" si="7695">VLOOKUP($A3823,[12]Salud!$A$1:$O$277,B$1,0)</f>
        <v>#N/A</v>
      </c>
      <c r="C3823" s="38" t="e">
        <f t="shared" si="7695"/>
        <v>#N/A</v>
      </c>
      <c r="D3823" s="39" t="e">
        <f t="shared" si="7695"/>
        <v>#N/A</v>
      </c>
      <c r="E3823" s="16" t="e">
        <f t="shared" si="1"/>
        <v>#N/A</v>
      </c>
      <c r="F3823" s="16" t="e">
        <f t="shared" ref="F3823:K3823" si="7696">VLOOKUP($A3823,[12]Salud!$A$1:$O$277,F$1,0)</f>
        <v>#N/A</v>
      </c>
      <c r="G3823" s="39" t="e">
        <f t="shared" si="7696"/>
        <v>#N/A</v>
      </c>
      <c r="H3823" s="16" t="e">
        <f t="shared" si="7696"/>
        <v>#N/A</v>
      </c>
      <c r="I3823" s="16" t="e">
        <f t="shared" si="7696"/>
        <v>#N/A</v>
      </c>
      <c r="J3823" s="40" t="e">
        <f t="shared" si="7696"/>
        <v>#N/A</v>
      </c>
      <c r="K3823" s="16" t="e">
        <f t="shared" si="7696"/>
        <v>#N/A</v>
      </c>
      <c r="L3823" s="40" t="e">
        <f t="shared" si="7253"/>
        <v>#N/A</v>
      </c>
      <c r="M3823" s="16" t="e">
        <f t="shared" si="7254"/>
        <v>#N/A</v>
      </c>
      <c r="N3823" s="16" t="e">
        <f t="shared" si="7255"/>
        <v>#N/A</v>
      </c>
      <c r="O3823" s="16" t="s">
        <v>76</v>
      </c>
      <c r="P3823" s="16" t="str">
        <f t="shared" si="6"/>
        <v/>
      </c>
      <c r="Q3823" s="41" t="e">
        <f t="shared" si="7256"/>
        <v>#N/A</v>
      </c>
      <c r="R3823" s="44"/>
      <c r="S3823" s="44"/>
      <c r="T3823" s="43"/>
      <c r="U3823" s="43" t="str">
        <f t="shared" si="8"/>
        <v>No</v>
      </c>
      <c r="V3823" s="25"/>
      <c r="W3823" s="25"/>
      <c r="X3823" s="25"/>
      <c r="Y3823" s="25"/>
      <c r="Z3823" s="25"/>
    </row>
    <row r="3824" spans="1:26" ht="15.75" customHeight="1" x14ac:dyDescent="0.25">
      <c r="A3824" s="25">
        <v>3822</v>
      </c>
      <c r="B3824" s="37" t="e">
        <f t="shared" ref="B3824:D3824" si="7697">VLOOKUP($A3824,[12]Salud!$A$1:$O$277,B$1,0)</f>
        <v>#N/A</v>
      </c>
      <c r="C3824" s="38" t="e">
        <f t="shared" si="7697"/>
        <v>#N/A</v>
      </c>
      <c r="D3824" s="39" t="e">
        <f t="shared" si="7697"/>
        <v>#N/A</v>
      </c>
      <c r="E3824" s="16" t="e">
        <f t="shared" si="1"/>
        <v>#N/A</v>
      </c>
      <c r="F3824" s="16" t="e">
        <f t="shared" ref="F3824:K3824" si="7698">VLOOKUP($A3824,[12]Salud!$A$1:$O$277,F$1,0)</f>
        <v>#N/A</v>
      </c>
      <c r="G3824" s="39" t="e">
        <f t="shared" si="7698"/>
        <v>#N/A</v>
      </c>
      <c r="H3824" s="16" t="e">
        <f t="shared" si="7698"/>
        <v>#N/A</v>
      </c>
      <c r="I3824" s="16" t="e">
        <f t="shared" si="7698"/>
        <v>#N/A</v>
      </c>
      <c r="J3824" s="40" t="e">
        <f t="shared" si="7698"/>
        <v>#N/A</v>
      </c>
      <c r="K3824" s="16" t="e">
        <f t="shared" si="7698"/>
        <v>#N/A</v>
      </c>
      <c r="L3824" s="40" t="e">
        <f t="shared" si="7253"/>
        <v>#N/A</v>
      </c>
      <c r="M3824" s="16" t="e">
        <f t="shared" si="7254"/>
        <v>#N/A</v>
      </c>
      <c r="N3824" s="16" t="e">
        <f t="shared" si="7255"/>
        <v>#N/A</v>
      </c>
      <c r="O3824" s="16" t="s">
        <v>76</v>
      </c>
      <c r="P3824" s="16" t="str">
        <f t="shared" si="6"/>
        <v/>
      </c>
      <c r="Q3824" s="41" t="e">
        <f t="shared" si="7256"/>
        <v>#N/A</v>
      </c>
      <c r="R3824" s="44"/>
      <c r="S3824" s="44"/>
      <c r="T3824" s="43"/>
      <c r="U3824" s="43" t="str">
        <f t="shared" si="8"/>
        <v>No</v>
      </c>
      <c r="V3824" s="25"/>
      <c r="W3824" s="25"/>
      <c r="X3824" s="25"/>
      <c r="Y3824" s="25"/>
      <c r="Z3824" s="25"/>
    </row>
    <row r="3825" spans="1:26" ht="15.75" customHeight="1" x14ac:dyDescent="0.25">
      <c r="A3825" s="25">
        <v>3823</v>
      </c>
      <c r="B3825" s="37" t="e">
        <f t="shared" ref="B3825:D3825" si="7699">VLOOKUP($A3825,[12]Salud!$A$1:$O$277,B$1,0)</f>
        <v>#N/A</v>
      </c>
      <c r="C3825" s="38" t="e">
        <f t="shared" si="7699"/>
        <v>#N/A</v>
      </c>
      <c r="D3825" s="39" t="e">
        <f t="shared" si="7699"/>
        <v>#N/A</v>
      </c>
      <c r="E3825" s="16" t="e">
        <f t="shared" si="1"/>
        <v>#N/A</v>
      </c>
      <c r="F3825" s="16" t="e">
        <f t="shared" ref="F3825:K3825" si="7700">VLOOKUP($A3825,[12]Salud!$A$1:$O$277,F$1,0)</f>
        <v>#N/A</v>
      </c>
      <c r="G3825" s="39" t="e">
        <f t="shared" si="7700"/>
        <v>#N/A</v>
      </c>
      <c r="H3825" s="16" t="e">
        <f t="shared" si="7700"/>
        <v>#N/A</v>
      </c>
      <c r="I3825" s="16" t="e">
        <f t="shared" si="7700"/>
        <v>#N/A</v>
      </c>
      <c r="J3825" s="40" t="e">
        <f t="shared" si="7700"/>
        <v>#N/A</v>
      </c>
      <c r="K3825" s="16" t="e">
        <f t="shared" si="7700"/>
        <v>#N/A</v>
      </c>
      <c r="L3825" s="40" t="e">
        <f t="shared" si="7253"/>
        <v>#N/A</v>
      </c>
      <c r="M3825" s="16" t="e">
        <f t="shared" si="7254"/>
        <v>#N/A</v>
      </c>
      <c r="N3825" s="16" t="e">
        <f t="shared" si="7255"/>
        <v>#N/A</v>
      </c>
      <c r="O3825" s="16" t="s">
        <v>76</v>
      </c>
      <c r="P3825" s="16" t="str">
        <f t="shared" si="6"/>
        <v/>
      </c>
      <c r="Q3825" s="41" t="e">
        <f t="shared" si="7256"/>
        <v>#N/A</v>
      </c>
      <c r="R3825" s="44"/>
      <c r="S3825" s="44"/>
      <c r="T3825" s="43"/>
      <c r="U3825" s="43" t="str">
        <f t="shared" si="8"/>
        <v>No</v>
      </c>
      <c r="V3825" s="25"/>
      <c r="W3825" s="25"/>
      <c r="X3825" s="25"/>
      <c r="Y3825" s="25"/>
      <c r="Z3825" s="25"/>
    </row>
    <row r="3826" spans="1:26" ht="15.75" customHeight="1" x14ac:dyDescent="0.25">
      <c r="A3826" s="25">
        <v>3824</v>
      </c>
      <c r="B3826" s="37" t="e">
        <f t="shared" ref="B3826:D3826" si="7701">VLOOKUP($A3826,[12]Salud!$A$1:$O$277,B$1,0)</f>
        <v>#N/A</v>
      </c>
      <c r="C3826" s="38" t="e">
        <f t="shared" si="7701"/>
        <v>#N/A</v>
      </c>
      <c r="D3826" s="39" t="e">
        <f t="shared" si="7701"/>
        <v>#N/A</v>
      </c>
      <c r="E3826" s="16" t="e">
        <f t="shared" si="1"/>
        <v>#N/A</v>
      </c>
      <c r="F3826" s="16" t="e">
        <f t="shared" ref="F3826:K3826" si="7702">VLOOKUP($A3826,[12]Salud!$A$1:$O$277,F$1,0)</f>
        <v>#N/A</v>
      </c>
      <c r="G3826" s="39" t="e">
        <f t="shared" si="7702"/>
        <v>#N/A</v>
      </c>
      <c r="H3826" s="16" t="e">
        <f t="shared" si="7702"/>
        <v>#N/A</v>
      </c>
      <c r="I3826" s="16" t="e">
        <f t="shared" si="7702"/>
        <v>#N/A</v>
      </c>
      <c r="J3826" s="40" t="e">
        <f t="shared" si="7702"/>
        <v>#N/A</v>
      </c>
      <c r="K3826" s="16" t="e">
        <f t="shared" si="7702"/>
        <v>#N/A</v>
      </c>
      <c r="L3826" s="40" t="e">
        <f t="shared" si="7253"/>
        <v>#N/A</v>
      </c>
      <c r="M3826" s="16" t="e">
        <f t="shared" si="7254"/>
        <v>#N/A</v>
      </c>
      <c r="N3826" s="16" t="e">
        <f t="shared" si="7255"/>
        <v>#N/A</v>
      </c>
      <c r="O3826" s="16" t="s">
        <v>76</v>
      </c>
      <c r="P3826" s="16" t="str">
        <f t="shared" si="6"/>
        <v/>
      </c>
      <c r="Q3826" s="41" t="e">
        <f t="shared" si="7256"/>
        <v>#N/A</v>
      </c>
      <c r="R3826" s="44"/>
      <c r="S3826" s="44"/>
      <c r="T3826" s="43"/>
      <c r="U3826" s="43" t="str">
        <f t="shared" si="8"/>
        <v>No</v>
      </c>
      <c r="V3826" s="25"/>
      <c r="W3826" s="25"/>
      <c r="X3826" s="25"/>
      <c r="Y3826" s="25"/>
      <c r="Z3826" s="25"/>
    </row>
    <row r="3827" spans="1:26" ht="15.75" customHeight="1" x14ac:dyDescent="0.25">
      <c r="A3827" s="25">
        <v>3825</v>
      </c>
      <c r="B3827" s="37" t="e">
        <f t="shared" ref="B3827:D3827" si="7703">VLOOKUP($A3827,[12]Salud!$A$1:$O$277,B$1,0)</f>
        <v>#N/A</v>
      </c>
      <c r="C3827" s="38" t="e">
        <f t="shared" si="7703"/>
        <v>#N/A</v>
      </c>
      <c r="D3827" s="39" t="e">
        <f t="shared" si="7703"/>
        <v>#N/A</v>
      </c>
      <c r="E3827" s="16" t="e">
        <f t="shared" si="1"/>
        <v>#N/A</v>
      </c>
      <c r="F3827" s="16" t="e">
        <f t="shared" ref="F3827:K3827" si="7704">VLOOKUP($A3827,[12]Salud!$A$1:$O$277,F$1,0)</f>
        <v>#N/A</v>
      </c>
      <c r="G3827" s="39" t="e">
        <f t="shared" si="7704"/>
        <v>#N/A</v>
      </c>
      <c r="H3827" s="16" t="e">
        <f t="shared" si="7704"/>
        <v>#N/A</v>
      </c>
      <c r="I3827" s="16" t="e">
        <f t="shared" si="7704"/>
        <v>#N/A</v>
      </c>
      <c r="J3827" s="40" t="e">
        <f t="shared" si="7704"/>
        <v>#N/A</v>
      </c>
      <c r="K3827" s="16" t="e">
        <f t="shared" si="7704"/>
        <v>#N/A</v>
      </c>
      <c r="L3827" s="40" t="e">
        <f t="shared" si="7253"/>
        <v>#N/A</v>
      </c>
      <c r="M3827" s="16" t="e">
        <f t="shared" si="7254"/>
        <v>#N/A</v>
      </c>
      <c r="N3827" s="16" t="e">
        <f t="shared" si="7255"/>
        <v>#N/A</v>
      </c>
      <c r="O3827" s="16" t="s">
        <v>76</v>
      </c>
      <c r="P3827" s="16" t="str">
        <f t="shared" si="6"/>
        <v/>
      </c>
      <c r="Q3827" s="41" t="e">
        <f t="shared" si="7256"/>
        <v>#N/A</v>
      </c>
      <c r="R3827" s="44"/>
      <c r="S3827" s="44"/>
      <c r="T3827" s="43"/>
      <c r="U3827" s="43" t="str">
        <f t="shared" si="8"/>
        <v>No</v>
      </c>
      <c r="V3827" s="25"/>
      <c r="W3827" s="25"/>
      <c r="X3827" s="25"/>
      <c r="Y3827" s="25"/>
      <c r="Z3827" s="25"/>
    </row>
    <row r="3828" spans="1:26" ht="15.75" customHeight="1" x14ac:dyDescent="0.25">
      <c r="A3828" s="25">
        <v>3826</v>
      </c>
      <c r="B3828" s="37" t="e">
        <f t="shared" ref="B3828:D3828" si="7705">VLOOKUP($A3828,[12]Salud!$A$1:$O$277,B$1,0)</f>
        <v>#N/A</v>
      </c>
      <c r="C3828" s="38" t="e">
        <f t="shared" si="7705"/>
        <v>#N/A</v>
      </c>
      <c r="D3828" s="39" t="e">
        <f t="shared" si="7705"/>
        <v>#N/A</v>
      </c>
      <c r="E3828" s="16" t="e">
        <f t="shared" si="1"/>
        <v>#N/A</v>
      </c>
      <c r="F3828" s="16" t="e">
        <f t="shared" ref="F3828:K3828" si="7706">VLOOKUP($A3828,[12]Salud!$A$1:$O$277,F$1,0)</f>
        <v>#N/A</v>
      </c>
      <c r="G3828" s="39" t="e">
        <f t="shared" si="7706"/>
        <v>#N/A</v>
      </c>
      <c r="H3828" s="16" t="e">
        <f t="shared" si="7706"/>
        <v>#N/A</v>
      </c>
      <c r="I3828" s="16" t="e">
        <f t="shared" si="7706"/>
        <v>#N/A</v>
      </c>
      <c r="J3828" s="40" t="e">
        <f t="shared" si="7706"/>
        <v>#N/A</v>
      </c>
      <c r="K3828" s="16" t="e">
        <f t="shared" si="7706"/>
        <v>#N/A</v>
      </c>
      <c r="L3828" s="40" t="e">
        <f t="shared" si="7253"/>
        <v>#N/A</v>
      </c>
      <c r="M3828" s="16" t="e">
        <f t="shared" si="7254"/>
        <v>#N/A</v>
      </c>
      <c r="N3828" s="16" t="e">
        <f t="shared" si="7255"/>
        <v>#N/A</v>
      </c>
      <c r="O3828" s="16" t="s">
        <v>76</v>
      </c>
      <c r="P3828" s="16" t="str">
        <f t="shared" si="6"/>
        <v/>
      </c>
      <c r="Q3828" s="41" t="e">
        <f t="shared" si="7256"/>
        <v>#N/A</v>
      </c>
      <c r="R3828" s="44"/>
      <c r="S3828" s="44"/>
      <c r="T3828" s="43"/>
      <c r="U3828" s="43" t="str">
        <f t="shared" si="8"/>
        <v>No</v>
      </c>
      <c r="V3828" s="25"/>
      <c r="W3828" s="25"/>
      <c r="X3828" s="25"/>
      <c r="Y3828" s="25"/>
      <c r="Z3828" s="25"/>
    </row>
    <row r="3829" spans="1:26" ht="15.75" customHeight="1" x14ac:dyDescent="0.25">
      <c r="A3829" s="25">
        <v>3827</v>
      </c>
      <c r="B3829" s="37" t="e">
        <f t="shared" ref="B3829:D3829" si="7707">VLOOKUP($A3829,[12]Salud!$A$1:$O$277,B$1,0)</f>
        <v>#N/A</v>
      </c>
      <c r="C3829" s="38" t="e">
        <f t="shared" si="7707"/>
        <v>#N/A</v>
      </c>
      <c r="D3829" s="39" t="e">
        <f t="shared" si="7707"/>
        <v>#N/A</v>
      </c>
      <c r="E3829" s="16" t="e">
        <f t="shared" si="1"/>
        <v>#N/A</v>
      </c>
      <c r="F3829" s="16" t="e">
        <f t="shared" ref="F3829:K3829" si="7708">VLOOKUP($A3829,[12]Salud!$A$1:$O$277,F$1,0)</f>
        <v>#N/A</v>
      </c>
      <c r="G3829" s="39" t="e">
        <f t="shared" si="7708"/>
        <v>#N/A</v>
      </c>
      <c r="H3829" s="16" t="e">
        <f t="shared" si="7708"/>
        <v>#N/A</v>
      </c>
      <c r="I3829" s="16" t="e">
        <f t="shared" si="7708"/>
        <v>#N/A</v>
      </c>
      <c r="J3829" s="40" t="e">
        <f t="shared" si="7708"/>
        <v>#N/A</v>
      </c>
      <c r="K3829" s="16" t="e">
        <f t="shared" si="7708"/>
        <v>#N/A</v>
      </c>
      <c r="L3829" s="40" t="e">
        <f t="shared" si="7253"/>
        <v>#N/A</v>
      </c>
      <c r="M3829" s="16" t="e">
        <f t="shared" si="7254"/>
        <v>#N/A</v>
      </c>
      <c r="N3829" s="16" t="e">
        <f t="shared" si="7255"/>
        <v>#N/A</v>
      </c>
      <c r="O3829" s="16" t="s">
        <v>76</v>
      </c>
      <c r="P3829" s="16" t="str">
        <f t="shared" si="6"/>
        <v/>
      </c>
      <c r="Q3829" s="41" t="e">
        <f t="shared" si="7256"/>
        <v>#N/A</v>
      </c>
      <c r="R3829" s="44"/>
      <c r="S3829" s="44"/>
      <c r="T3829" s="43"/>
      <c r="U3829" s="43" t="str">
        <f t="shared" si="8"/>
        <v>No</v>
      </c>
      <c r="V3829" s="25"/>
      <c r="W3829" s="25"/>
      <c r="X3829" s="25"/>
      <c r="Y3829" s="25"/>
      <c r="Z3829" s="25"/>
    </row>
    <row r="3830" spans="1:26" ht="15.75" customHeight="1" x14ac:dyDescent="0.25">
      <c r="A3830" s="25">
        <v>3828</v>
      </c>
      <c r="B3830" s="37" t="e">
        <f t="shared" ref="B3830:D3830" si="7709">VLOOKUP($A3830,[12]Salud!$A$1:$O$277,B$1,0)</f>
        <v>#N/A</v>
      </c>
      <c r="C3830" s="38" t="e">
        <f t="shared" si="7709"/>
        <v>#N/A</v>
      </c>
      <c r="D3830" s="39" t="e">
        <f t="shared" si="7709"/>
        <v>#N/A</v>
      </c>
      <c r="E3830" s="16" t="e">
        <f t="shared" si="1"/>
        <v>#N/A</v>
      </c>
      <c r="F3830" s="16" t="e">
        <f t="shared" ref="F3830:K3830" si="7710">VLOOKUP($A3830,[12]Salud!$A$1:$O$277,F$1,0)</f>
        <v>#N/A</v>
      </c>
      <c r="G3830" s="39" t="e">
        <f t="shared" si="7710"/>
        <v>#N/A</v>
      </c>
      <c r="H3830" s="16" t="e">
        <f t="shared" si="7710"/>
        <v>#N/A</v>
      </c>
      <c r="I3830" s="16" t="e">
        <f t="shared" si="7710"/>
        <v>#N/A</v>
      </c>
      <c r="J3830" s="40" t="e">
        <f t="shared" si="7710"/>
        <v>#N/A</v>
      </c>
      <c r="K3830" s="16" t="e">
        <f t="shared" si="7710"/>
        <v>#N/A</v>
      </c>
      <c r="L3830" s="40" t="e">
        <f t="shared" si="7253"/>
        <v>#N/A</v>
      </c>
      <c r="M3830" s="16" t="e">
        <f t="shared" si="7254"/>
        <v>#N/A</v>
      </c>
      <c r="N3830" s="16" t="e">
        <f t="shared" si="7255"/>
        <v>#N/A</v>
      </c>
      <c r="O3830" s="16" t="s">
        <v>76</v>
      </c>
      <c r="P3830" s="16" t="str">
        <f t="shared" si="6"/>
        <v/>
      </c>
      <c r="Q3830" s="41" t="e">
        <f t="shared" si="7256"/>
        <v>#N/A</v>
      </c>
      <c r="R3830" s="44"/>
      <c r="S3830" s="44"/>
      <c r="T3830" s="43"/>
      <c r="U3830" s="43" t="str">
        <f t="shared" si="8"/>
        <v>No</v>
      </c>
      <c r="V3830" s="25"/>
      <c r="W3830" s="25"/>
      <c r="X3830" s="25"/>
      <c r="Y3830" s="25"/>
      <c r="Z3830" s="25"/>
    </row>
    <row r="3831" spans="1:26" ht="15.75" customHeight="1" x14ac:dyDescent="0.25">
      <c r="A3831" s="25">
        <v>3829</v>
      </c>
      <c r="B3831" s="37" t="e">
        <f t="shared" ref="B3831:D3831" si="7711">VLOOKUP($A3831,[12]Salud!$A$1:$O$277,B$1,0)</f>
        <v>#N/A</v>
      </c>
      <c r="C3831" s="38" t="e">
        <f t="shared" si="7711"/>
        <v>#N/A</v>
      </c>
      <c r="D3831" s="39" t="e">
        <f t="shared" si="7711"/>
        <v>#N/A</v>
      </c>
      <c r="E3831" s="16" t="e">
        <f t="shared" si="1"/>
        <v>#N/A</v>
      </c>
      <c r="F3831" s="16" t="e">
        <f t="shared" ref="F3831:K3831" si="7712">VLOOKUP($A3831,[12]Salud!$A$1:$O$277,F$1,0)</f>
        <v>#N/A</v>
      </c>
      <c r="G3831" s="39" t="e">
        <f t="shared" si="7712"/>
        <v>#N/A</v>
      </c>
      <c r="H3831" s="16" t="e">
        <f t="shared" si="7712"/>
        <v>#N/A</v>
      </c>
      <c r="I3831" s="16" t="e">
        <f t="shared" si="7712"/>
        <v>#N/A</v>
      </c>
      <c r="J3831" s="40" t="e">
        <f t="shared" si="7712"/>
        <v>#N/A</v>
      </c>
      <c r="K3831" s="16" t="e">
        <f t="shared" si="7712"/>
        <v>#N/A</v>
      </c>
      <c r="L3831" s="40" t="e">
        <f t="shared" si="7253"/>
        <v>#N/A</v>
      </c>
      <c r="M3831" s="16" t="e">
        <f t="shared" si="7254"/>
        <v>#N/A</v>
      </c>
      <c r="N3831" s="16" t="e">
        <f t="shared" si="7255"/>
        <v>#N/A</v>
      </c>
      <c r="O3831" s="16" t="s">
        <v>76</v>
      </c>
      <c r="P3831" s="16" t="str">
        <f t="shared" si="6"/>
        <v/>
      </c>
      <c r="Q3831" s="41" t="e">
        <f t="shared" si="7256"/>
        <v>#N/A</v>
      </c>
      <c r="R3831" s="44"/>
      <c r="S3831" s="44"/>
      <c r="T3831" s="43"/>
      <c r="U3831" s="43" t="str">
        <f t="shared" si="8"/>
        <v>No</v>
      </c>
      <c r="V3831" s="25"/>
      <c r="W3831" s="25"/>
      <c r="X3831" s="25"/>
      <c r="Y3831" s="25"/>
      <c r="Z3831" s="25"/>
    </row>
    <row r="3832" spans="1:26" ht="15.75" customHeight="1" x14ac:dyDescent="0.25">
      <c r="A3832" s="25">
        <v>3830</v>
      </c>
      <c r="B3832" s="37" t="e">
        <f t="shared" ref="B3832:D3832" si="7713">VLOOKUP($A3832,[12]Salud!$A$1:$O$277,B$1,0)</f>
        <v>#N/A</v>
      </c>
      <c r="C3832" s="38" t="e">
        <f t="shared" si="7713"/>
        <v>#N/A</v>
      </c>
      <c r="D3832" s="39" t="e">
        <f t="shared" si="7713"/>
        <v>#N/A</v>
      </c>
      <c r="E3832" s="16" t="e">
        <f t="shared" si="1"/>
        <v>#N/A</v>
      </c>
      <c r="F3832" s="16" t="e">
        <f t="shared" ref="F3832:K3832" si="7714">VLOOKUP($A3832,[12]Salud!$A$1:$O$277,F$1,0)</f>
        <v>#N/A</v>
      </c>
      <c r="G3832" s="39" t="e">
        <f t="shared" si="7714"/>
        <v>#N/A</v>
      </c>
      <c r="H3832" s="16" t="e">
        <f t="shared" si="7714"/>
        <v>#N/A</v>
      </c>
      <c r="I3832" s="16" t="e">
        <f t="shared" si="7714"/>
        <v>#N/A</v>
      </c>
      <c r="J3832" s="40" t="e">
        <f t="shared" si="7714"/>
        <v>#N/A</v>
      </c>
      <c r="K3832" s="16" t="e">
        <f t="shared" si="7714"/>
        <v>#N/A</v>
      </c>
      <c r="L3832" s="40" t="e">
        <f t="shared" si="7253"/>
        <v>#N/A</v>
      </c>
      <c r="M3832" s="16" t="e">
        <f t="shared" si="7254"/>
        <v>#N/A</v>
      </c>
      <c r="N3832" s="16" t="e">
        <f t="shared" si="7255"/>
        <v>#N/A</v>
      </c>
      <c r="O3832" s="16" t="s">
        <v>76</v>
      </c>
      <c r="P3832" s="16" t="str">
        <f t="shared" si="6"/>
        <v/>
      </c>
      <c r="Q3832" s="41" t="e">
        <f t="shared" si="7256"/>
        <v>#N/A</v>
      </c>
      <c r="R3832" s="44"/>
      <c r="S3832" s="44"/>
      <c r="T3832" s="43"/>
      <c r="U3832" s="43" t="str">
        <f t="shared" si="8"/>
        <v>No</v>
      </c>
      <c r="V3832" s="25"/>
      <c r="W3832" s="25"/>
      <c r="X3832" s="25"/>
      <c r="Y3832" s="25"/>
      <c r="Z3832" s="25"/>
    </row>
    <row r="3833" spans="1:26" ht="15.75" customHeight="1" x14ac:dyDescent="0.25">
      <c r="A3833" s="25">
        <v>3831</v>
      </c>
      <c r="B3833" s="37" t="e">
        <f t="shared" ref="B3833:D3833" si="7715">VLOOKUP($A3833,[12]Salud!$A$1:$O$277,B$1,0)</f>
        <v>#N/A</v>
      </c>
      <c r="C3833" s="38" t="e">
        <f t="shared" si="7715"/>
        <v>#N/A</v>
      </c>
      <c r="D3833" s="39" t="e">
        <f t="shared" si="7715"/>
        <v>#N/A</v>
      </c>
      <c r="E3833" s="16" t="e">
        <f t="shared" si="1"/>
        <v>#N/A</v>
      </c>
      <c r="F3833" s="16" t="e">
        <f t="shared" ref="F3833:K3833" si="7716">VLOOKUP($A3833,[12]Salud!$A$1:$O$277,F$1,0)</f>
        <v>#N/A</v>
      </c>
      <c r="G3833" s="39" t="e">
        <f t="shared" si="7716"/>
        <v>#N/A</v>
      </c>
      <c r="H3833" s="16" t="e">
        <f t="shared" si="7716"/>
        <v>#N/A</v>
      </c>
      <c r="I3833" s="16" t="e">
        <f t="shared" si="7716"/>
        <v>#N/A</v>
      </c>
      <c r="J3833" s="40" t="e">
        <f t="shared" si="7716"/>
        <v>#N/A</v>
      </c>
      <c r="K3833" s="16" t="e">
        <f t="shared" si="7716"/>
        <v>#N/A</v>
      </c>
      <c r="L3833" s="40" t="e">
        <f t="shared" si="7253"/>
        <v>#N/A</v>
      </c>
      <c r="M3833" s="16" t="e">
        <f t="shared" si="7254"/>
        <v>#N/A</v>
      </c>
      <c r="N3833" s="16" t="e">
        <f t="shared" si="7255"/>
        <v>#N/A</v>
      </c>
      <c r="O3833" s="16" t="s">
        <v>76</v>
      </c>
      <c r="P3833" s="16" t="str">
        <f t="shared" si="6"/>
        <v/>
      </c>
      <c r="Q3833" s="41" t="e">
        <f t="shared" si="7256"/>
        <v>#N/A</v>
      </c>
      <c r="R3833" s="44"/>
      <c r="S3833" s="44"/>
      <c r="T3833" s="43"/>
      <c r="U3833" s="43" t="str">
        <f t="shared" si="8"/>
        <v>No</v>
      </c>
      <c r="V3833" s="25"/>
      <c r="W3833" s="25"/>
      <c r="X3833" s="25"/>
      <c r="Y3833" s="25"/>
      <c r="Z3833" s="25"/>
    </row>
    <row r="3834" spans="1:26" ht="15.75" customHeight="1" x14ac:dyDescent="0.25">
      <c r="A3834" s="25">
        <v>3832</v>
      </c>
      <c r="B3834" s="37" t="e">
        <f t="shared" ref="B3834:D3834" si="7717">VLOOKUP($A3834,[12]Salud!$A$1:$O$277,B$1,0)</f>
        <v>#N/A</v>
      </c>
      <c r="C3834" s="38" t="e">
        <f t="shared" si="7717"/>
        <v>#N/A</v>
      </c>
      <c r="D3834" s="39" t="e">
        <f t="shared" si="7717"/>
        <v>#N/A</v>
      </c>
      <c r="E3834" s="16" t="e">
        <f t="shared" si="1"/>
        <v>#N/A</v>
      </c>
      <c r="F3834" s="16" t="e">
        <f t="shared" ref="F3834:K3834" si="7718">VLOOKUP($A3834,[12]Salud!$A$1:$O$277,F$1,0)</f>
        <v>#N/A</v>
      </c>
      <c r="G3834" s="39" t="e">
        <f t="shared" si="7718"/>
        <v>#N/A</v>
      </c>
      <c r="H3834" s="16" t="e">
        <f t="shared" si="7718"/>
        <v>#N/A</v>
      </c>
      <c r="I3834" s="16" t="e">
        <f t="shared" si="7718"/>
        <v>#N/A</v>
      </c>
      <c r="J3834" s="40" t="e">
        <f t="shared" si="7718"/>
        <v>#N/A</v>
      </c>
      <c r="K3834" s="16" t="e">
        <f t="shared" si="7718"/>
        <v>#N/A</v>
      </c>
      <c r="L3834" s="40" t="e">
        <f t="shared" si="7253"/>
        <v>#N/A</v>
      </c>
      <c r="M3834" s="16" t="e">
        <f t="shared" si="7254"/>
        <v>#N/A</v>
      </c>
      <c r="N3834" s="16" t="e">
        <f t="shared" si="7255"/>
        <v>#N/A</v>
      </c>
      <c r="O3834" s="16" t="s">
        <v>76</v>
      </c>
      <c r="P3834" s="16" t="str">
        <f t="shared" si="6"/>
        <v/>
      </c>
      <c r="Q3834" s="41" t="e">
        <f t="shared" si="7256"/>
        <v>#N/A</v>
      </c>
      <c r="R3834" s="44"/>
      <c r="S3834" s="44"/>
      <c r="T3834" s="43"/>
      <c r="U3834" s="43" t="str">
        <f t="shared" si="8"/>
        <v>No</v>
      </c>
      <c r="V3834" s="25"/>
      <c r="W3834" s="25"/>
      <c r="X3834" s="25"/>
      <c r="Y3834" s="25"/>
      <c r="Z3834" s="25"/>
    </row>
    <row r="3835" spans="1:26" ht="15.75" customHeight="1" x14ac:dyDescent="0.25">
      <c r="A3835" s="25">
        <v>3833</v>
      </c>
      <c r="B3835" s="37" t="e">
        <f t="shared" ref="B3835:D3835" si="7719">VLOOKUP($A3835,[12]Salud!$A$1:$O$277,B$1,0)</f>
        <v>#N/A</v>
      </c>
      <c r="C3835" s="38" t="e">
        <f t="shared" si="7719"/>
        <v>#N/A</v>
      </c>
      <c r="D3835" s="39" t="e">
        <f t="shared" si="7719"/>
        <v>#N/A</v>
      </c>
      <c r="E3835" s="16" t="e">
        <f t="shared" si="1"/>
        <v>#N/A</v>
      </c>
      <c r="F3835" s="16" t="e">
        <f t="shared" ref="F3835:K3835" si="7720">VLOOKUP($A3835,[12]Salud!$A$1:$O$277,F$1,0)</f>
        <v>#N/A</v>
      </c>
      <c r="G3835" s="39" t="e">
        <f t="shared" si="7720"/>
        <v>#N/A</v>
      </c>
      <c r="H3835" s="16" t="e">
        <f t="shared" si="7720"/>
        <v>#N/A</v>
      </c>
      <c r="I3835" s="16" t="e">
        <f t="shared" si="7720"/>
        <v>#N/A</v>
      </c>
      <c r="J3835" s="40" t="e">
        <f t="shared" si="7720"/>
        <v>#N/A</v>
      </c>
      <c r="K3835" s="16" t="e">
        <f t="shared" si="7720"/>
        <v>#N/A</v>
      </c>
      <c r="L3835" s="40" t="e">
        <f t="shared" si="7253"/>
        <v>#N/A</v>
      </c>
      <c r="M3835" s="16" t="e">
        <f t="shared" si="7254"/>
        <v>#N/A</v>
      </c>
      <c r="N3835" s="16" t="e">
        <f t="shared" si="7255"/>
        <v>#N/A</v>
      </c>
      <c r="O3835" s="16" t="s">
        <v>76</v>
      </c>
      <c r="P3835" s="16" t="str">
        <f t="shared" si="6"/>
        <v/>
      </c>
      <c r="Q3835" s="41" t="e">
        <f t="shared" si="7256"/>
        <v>#N/A</v>
      </c>
      <c r="R3835" s="44"/>
      <c r="S3835" s="44"/>
      <c r="T3835" s="43"/>
      <c r="U3835" s="43" t="str">
        <f t="shared" si="8"/>
        <v>No</v>
      </c>
      <c r="V3835" s="25"/>
      <c r="W3835" s="25"/>
      <c r="X3835" s="25"/>
      <c r="Y3835" s="25"/>
      <c r="Z3835" s="25"/>
    </row>
    <row r="3836" spans="1:26" ht="15.75" customHeight="1" x14ac:dyDescent="0.25">
      <c r="A3836" s="25">
        <v>3834</v>
      </c>
      <c r="B3836" s="37" t="e">
        <f t="shared" ref="B3836:D3836" si="7721">VLOOKUP($A3836,[12]Salud!$A$1:$O$277,B$1,0)</f>
        <v>#N/A</v>
      </c>
      <c r="C3836" s="38" t="e">
        <f t="shared" si="7721"/>
        <v>#N/A</v>
      </c>
      <c r="D3836" s="39" t="e">
        <f t="shared" si="7721"/>
        <v>#N/A</v>
      </c>
      <c r="E3836" s="16" t="e">
        <f t="shared" si="1"/>
        <v>#N/A</v>
      </c>
      <c r="F3836" s="16" t="e">
        <f t="shared" ref="F3836:K3836" si="7722">VLOOKUP($A3836,[12]Salud!$A$1:$O$277,F$1,0)</f>
        <v>#N/A</v>
      </c>
      <c r="G3836" s="39" t="e">
        <f t="shared" si="7722"/>
        <v>#N/A</v>
      </c>
      <c r="H3836" s="16" t="e">
        <f t="shared" si="7722"/>
        <v>#N/A</v>
      </c>
      <c r="I3836" s="16" t="e">
        <f t="shared" si="7722"/>
        <v>#N/A</v>
      </c>
      <c r="J3836" s="40" t="e">
        <f t="shared" si="7722"/>
        <v>#N/A</v>
      </c>
      <c r="K3836" s="16" t="e">
        <f t="shared" si="7722"/>
        <v>#N/A</v>
      </c>
      <c r="L3836" s="40" t="e">
        <f t="shared" si="7253"/>
        <v>#N/A</v>
      </c>
      <c r="M3836" s="16" t="e">
        <f t="shared" si="7254"/>
        <v>#N/A</v>
      </c>
      <c r="N3836" s="16" t="e">
        <f t="shared" si="7255"/>
        <v>#N/A</v>
      </c>
      <c r="O3836" s="16" t="s">
        <v>76</v>
      </c>
      <c r="P3836" s="16" t="str">
        <f t="shared" si="6"/>
        <v/>
      </c>
      <c r="Q3836" s="41" t="e">
        <f t="shared" si="7256"/>
        <v>#N/A</v>
      </c>
      <c r="R3836" s="44"/>
      <c r="S3836" s="44"/>
      <c r="T3836" s="43"/>
      <c r="U3836" s="43" t="str">
        <f t="shared" si="8"/>
        <v>No</v>
      </c>
      <c r="V3836" s="25"/>
      <c r="W3836" s="25"/>
      <c r="X3836" s="25"/>
      <c r="Y3836" s="25"/>
      <c r="Z3836" s="25"/>
    </row>
    <row r="3837" spans="1:26" ht="15.75" customHeight="1" x14ac:dyDescent="0.25">
      <c r="A3837" s="25">
        <v>3835</v>
      </c>
      <c r="B3837" s="37" t="e">
        <f t="shared" ref="B3837:D3837" si="7723">VLOOKUP($A3837,[12]Salud!$A$1:$O$277,B$1,0)</f>
        <v>#N/A</v>
      </c>
      <c r="C3837" s="38" t="e">
        <f t="shared" si="7723"/>
        <v>#N/A</v>
      </c>
      <c r="D3837" s="39" t="e">
        <f t="shared" si="7723"/>
        <v>#N/A</v>
      </c>
      <c r="E3837" s="16" t="e">
        <f t="shared" si="1"/>
        <v>#N/A</v>
      </c>
      <c r="F3837" s="16" t="e">
        <f t="shared" ref="F3837:K3837" si="7724">VLOOKUP($A3837,[12]Salud!$A$1:$O$277,F$1,0)</f>
        <v>#N/A</v>
      </c>
      <c r="G3837" s="39" t="e">
        <f t="shared" si="7724"/>
        <v>#N/A</v>
      </c>
      <c r="H3837" s="16" t="e">
        <f t="shared" si="7724"/>
        <v>#N/A</v>
      </c>
      <c r="I3837" s="16" t="e">
        <f t="shared" si="7724"/>
        <v>#N/A</v>
      </c>
      <c r="J3837" s="40" t="e">
        <f t="shared" si="7724"/>
        <v>#N/A</v>
      </c>
      <c r="K3837" s="16" t="e">
        <f t="shared" si="7724"/>
        <v>#N/A</v>
      </c>
      <c r="L3837" s="40" t="e">
        <f t="shared" si="7253"/>
        <v>#N/A</v>
      </c>
      <c r="M3837" s="16" t="e">
        <f t="shared" si="7254"/>
        <v>#N/A</v>
      </c>
      <c r="N3837" s="16" t="e">
        <f t="shared" si="7255"/>
        <v>#N/A</v>
      </c>
      <c r="O3837" s="16" t="s">
        <v>76</v>
      </c>
      <c r="P3837" s="16" t="str">
        <f t="shared" si="6"/>
        <v/>
      </c>
      <c r="Q3837" s="41" t="e">
        <f t="shared" si="7256"/>
        <v>#N/A</v>
      </c>
      <c r="R3837" s="44"/>
      <c r="S3837" s="44"/>
      <c r="T3837" s="43"/>
      <c r="U3837" s="43" t="str">
        <f t="shared" si="8"/>
        <v>No</v>
      </c>
      <c r="V3837" s="25"/>
      <c r="W3837" s="25"/>
      <c r="X3837" s="25"/>
      <c r="Y3837" s="25"/>
      <c r="Z3837" s="25"/>
    </row>
    <row r="3838" spans="1:26" ht="15.75" customHeight="1" x14ac:dyDescent="0.25">
      <c r="A3838" s="25">
        <v>3836</v>
      </c>
      <c r="B3838" s="37" t="e">
        <f t="shared" ref="B3838:D3838" si="7725">VLOOKUP($A3838,[12]Salud!$A$1:$O$277,B$1,0)</f>
        <v>#N/A</v>
      </c>
      <c r="C3838" s="38" t="e">
        <f t="shared" si="7725"/>
        <v>#N/A</v>
      </c>
      <c r="D3838" s="39" t="e">
        <f t="shared" si="7725"/>
        <v>#N/A</v>
      </c>
      <c r="E3838" s="16" t="e">
        <f t="shared" si="1"/>
        <v>#N/A</v>
      </c>
      <c r="F3838" s="16" t="e">
        <f t="shared" ref="F3838:K3838" si="7726">VLOOKUP($A3838,[12]Salud!$A$1:$O$277,F$1,0)</f>
        <v>#N/A</v>
      </c>
      <c r="G3838" s="39" t="e">
        <f t="shared" si="7726"/>
        <v>#N/A</v>
      </c>
      <c r="H3838" s="16" t="e">
        <f t="shared" si="7726"/>
        <v>#N/A</v>
      </c>
      <c r="I3838" s="16" t="e">
        <f t="shared" si="7726"/>
        <v>#N/A</v>
      </c>
      <c r="J3838" s="40" t="e">
        <f t="shared" si="7726"/>
        <v>#N/A</v>
      </c>
      <c r="K3838" s="16" t="e">
        <f t="shared" si="7726"/>
        <v>#N/A</v>
      </c>
      <c r="L3838" s="40" t="e">
        <f t="shared" si="7253"/>
        <v>#N/A</v>
      </c>
      <c r="M3838" s="16" t="e">
        <f t="shared" si="7254"/>
        <v>#N/A</v>
      </c>
      <c r="N3838" s="16" t="e">
        <f t="shared" si="7255"/>
        <v>#N/A</v>
      </c>
      <c r="O3838" s="16" t="s">
        <v>76</v>
      </c>
      <c r="P3838" s="16" t="str">
        <f t="shared" si="6"/>
        <v/>
      </c>
      <c r="Q3838" s="41" t="e">
        <f t="shared" si="7256"/>
        <v>#N/A</v>
      </c>
      <c r="R3838" s="44"/>
      <c r="S3838" s="44"/>
      <c r="T3838" s="43"/>
      <c r="U3838" s="43" t="str">
        <f t="shared" si="8"/>
        <v>No</v>
      </c>
      <c r="V3838" s="25"/>
      <c r="W3838" s="25"/>
      <c r="X3838" s="25"/>
      <c r="Y3838" s="25"/>
      <c r="Z3838" s="25"/>
    </row>
    <row r="3839" spans="1:26" ht="15.75" customHeight="1" x14ac:dyDescent="0.25">
      <c r="A3839" s="25">
        <v>3837</v>
      </c>
      <c r="B3839" s="37" t="e">
        <f t="shared" ref="B3839:D3839" si="7727">VLOOKUP($A3839,[12]Salud!$A$1:$O$277,B$1,0)</f>
        <v>#N/A</v>
      </c>
      <c r="C3839" s="38" t="e">
        <f t="shared" si="7727"/>
        <v>#N/A</v>
      </c>
      <c r="D3839" s="39" t="e">
        <f t="shared" si="7727"/>
        <v>#N/A</v>
      </c>
      <c r="E3839" s="16" t="e">
        <f t="shared" si="1"/>
        <v>#N/A</v>
      </c>
      <c r="F3839" s="16" t="e">
        <f t="shared" ref="F3839:K3839" si="7728">VLOOKUP($A3839,[12]Salud!$A$1:$O$277,F$1,0)</f>
        <v>#N/A</v>
      </c>
      <c r="G3839" s="39" t="e">
        <f t="shared" si="7728"/>
        <v>#N/A</v>
      </c>
      <c r="H3839" s="16" t="e">
        <f t="shared" si="7728"/>
        <v>#N/A</v>
      </c>
      <c r="I3839" s="16" t="e">
        <f t="shared" si="7728"/>
        <v>#N/A</v>
      </c>
      <c r="J3839" s="40" t="e">
        <f t="shared" si="7728"/>
        <v>#N/A</v>
      </c>
      <c r="K3839" s="16" t="e">
        <f t="shared" si="7728"/>
        <v>#N/A</v>
      </c>
      <c r="L3839" s="40" t="e">
        <f t="shared" si="7253"/>
        <v>#N/A</v>
      </c>
      <c r="M3839" s="16" t="e">
        <f t="shared" si="7254"/>
        <v>#N/A</v>
      </c>
      <c r="N3839" s="16" t="e">
        <f t="shared" si="7255"/>
        <v>#N/A</v>
      </c>
      <c r="O3839" s="16" t="s">
        <v>76</v>
      </c>
      <c r="P3839" s="16" t="str">
        <f t="shared" si="6"/>
        <v/>
      </c>
      <c r="Q3839" s="41" t="e">
        <f t="shared" si="7256"/>
        <v>#N/A</v>
      </c>
      <c r="R3839" s="44"/>
      <c r="S3839" s="44"/>
      <c r="T3839" s="43"/>
      <c r="U3839" s="43" t="str">
        <f t="shared" si="8"/>
        <v>No</v>
      </c>
      <c r="V3839" s="25"/>
      <c r="W3839" s="25"/>
      <c r="X3839" s="25"/>
      <c r="Y3839" s="25"/>
      <c r="Z3839" s="25"/>
    </row>
    <row r="3840" spans="1:26" ht="15.75" customHeight="1" x14ac:dyDescent="0.25">
      <c r="A3840" s="25">
        <v>3838</v>
      </c>
      <c r="B3840" s="37" t="e">
        <f t="shared" ref="B3840:D3840" si="7729">VLOOKUP($A3840,[12]Salud!$A$1:$O$277,B$1,0)</f>
        <v>#N/A</v>
      </c>
      <c r="C3840" s="38" t="e">
        <f t="shared" si="7729"/>
        <v>#N/A</v>
      </c>
      <c r="D3840" s="39" t="e">
        <f t="shared" si="7729"/>
        <v>#N/A</v>
      </c>
      <c r="E3840" s="16" t="e">
        <f t="shared" si="1"/>
        <v>#N/A</v>
      </c>
      <c r="F3840" s="16" t="e">
        <f t="shared" ref="F3840:K3840" si="7730">VLOOKUP($A3840,[12]Salud!$A$1:$O$277,F$1,0)</f>
        <v>#N/A</v>
      </c>
      <c r="G3840" s="39" t="e">
        <f t="shared" si="7730"/>
        <v>#N/A</v>
      </c>
      <c r="H3840" s="16" t="e">
        <f t="shared" si="7730"/>
        <v>#N/A</v>
      </c>
      <c r="I3840" s="16" t="e">
        <f t="shared" si="7730"/>
        <v>#N/A</v>
      </c>
      <c r="J3840" s="40" t="e">
        <f t="shared" si="7730"/>
        <v>#N/A</v>
      </c>
      <c r="K3840" s="16" t="e">
        <f t="shared" si="7730"/>
        <v>#N/A</v>
      </c>
      <c r="L3840" s="40" t="e">
        <f t="shared" si="7253"/>
        <v>#N/A</v>
      </c>
      <c r="M3840" s="16" t="e">
        <f t="shared" si="7254"/>
        <v>#N/A</v>
      </c>
      <c r="N3840" s="16" t="e">
        <f t="shared" si="7255"/>
        <v>#N/A</v>
      </c>
      <c r="O3840" s="16" t="s">
        <v>76</v>
      </c>
      <c r="P3840" s="16" t="str">
        <f t="shared" si="6"/>
        <v/>
      </c>
      <c r="Q3840" s="41" t="e">
        <f t="shared" si="7256"/>
        <v>#N/A</v>
      </c>
      <c r="R3840" s="44"/>
      <c r="S3840" s="44"/>
      <c r="T3840" s="43"/>
      <c r="U3840" s="43" t="str">
        <f t="shared" si="8"/>
        <v>No</v>
      </c>
      <c r="V3840" s="25"/>
      <c r="W3840" s="25"/>
      <c r="X3840" s="25"/>
      <c r="Y3840" s="25"/>
      <c r="Z3840" s="25"/>
    </row>
    <row r="3841" spans="1:26" ht="15.75" customHeight="1" x14ac:dyDescent="0.25">
      <c r="A3841" s="25">
        <v>3839</v>
      </c>
      <c r="B3841" s="37" t="e">
        <f t="shared" ref="B3841:D3841" si="7731">VLOOKUP($A3841,[12]Salud!$A$1:$O$277,B$1,0)</f>
        <v>#N/A</v>
      </c>
      <c r="C3841" s="38" t="e">
        <f t="shared" si="7731"/>
        <v>#N/A</v>
      </c>
      <c r="D3841" s="39" t="e">
        <f t="shared" si="7731"/>
        <v>#N/A</v>
      </c>
      <c r="E3841" s="16" t="e">
        <f t="shared" si="1"/>
        <v>#N/A</v>
      </c>
      <c r="F3841" s="16" t="e">
        <f t="shared" ref="F3841:K3841" si="7732">VLOOKUP($A3841,[12]Salud!$A$1:$O$277,F$1,0)</f>
        <v>#N/A</v>
      </c>
      <c r="G3841" s="39" t="e">
        <f t="shared" si="7732"/>
        <v>#N/A</v>
      </c>
      <c r="H3841" s="16" t="e">
        <f t="shared" si="7732"/>
        <v>#N/A</v>
      </c>
      <c r="I3841" s="16" t="e">
        <f t="shared" si="7732"/>
        <v>#N/A</v>
      </c>
      <c r="J3841" s="40" t="e">
        <f t="shared" si="7732"/>
        <v>#N/A</v>
      </c>
      <c r="K3841" s="16" t="e">
        <f t="shared" si="7732"/>
        <v>#N/A</v>
      </c>
      <c r="L3841" s="40" t="e">
        <f t="shared" si="7253"/>
        <v>#N/A</v>
      </c>
      <c r="M3841" s="16" t="e">
        <f t="shared" si="7254"/>
        <v>#N/A</v>
      </c>
      <c r="N3841" s="16" t="e">
        <f t="shared" si="7255"/>
        <v>#N/A</v>
      </c>
      <c r="O3841" s="16" t="s">
        <v>76</v>
      </c>
      <c r="P3841" s="16" t="str">
        <f t="shared" si="6"/>
        <v/>
      </c>
      <c r="Q3841" s="41" t="e">
        <f t="shared" si="7256"/>
        <v>#N/A</v>
      </c>
      <c r="R3841" s="44"/>
      <c r="S3841" s="44"/>
      <c r="T3841" s="43"/>
      <c r="U3841" s="43" t="str">
        <f t="shared" si="8"/>
        <v>No</v>
      </c>
      <c r="V3841" s="25"/>
      <c r="W3841" s="25"/>
      <c r="X3841" s="25"/>
      <c r="Y3841" s="25"/>
      <c r="Z3841" s="25"/>
    </row>
    <row r="3842" spans="1:26" ht="15.75" customHeight="1" x14ac:dyDescent="0.25">
      <c r="A3842" s="25">
        <v>3840</v>
      </c>
      <c r="B3842" s="37" t="e">
        <f t="shared" ref="B3842:D3842" si="7733">VLOOKUP($A3842,[12]Salud!$A$1:$O$277,B$1,0)</f>
        <v>#N/A</v>
      </c>
      <c r="C3842" s="38" t="e">
        <f t="shared" si="7733"/>
        <v>#N/A</v>
      </c>
      <c r="D3842" s="39" t="e">
        <f t="shared" si="7733"/>
        <v>#N/A</v>
      </c>
      <c r="E3842" s="16" t="e">
        <f t="shared" si="1"/>
        <v>#N/A</v>
      </c>
      <c r="F3842" s="16" t="e">
        <f t="shared" ref="F3842:K3842" si="7734">VLOOKUP($A3842,[12]Salud!$A$1:$O$277,F$1,0)</f>
        <v>#N/A</v>
      </c>
      <c r="G3842" s="39" t="e">
        <f t="shared" si="7734"/>
        <v>#N/A</v>
      </c>
      <c r="H3842" s="16" t="e">
        <f t="shared" si="7734"/>
        <v>#N/A</v>
      </c>
      <c r="I3842" s="16" t="e">
        <f t="shared" si="7734"/>
        <v>#N/A</v>
      </c>
      <c r="J3842" s="40" t="e">
        <f t="shared" si="7734"/>
        <v>#N/A</v>
      </c>
      <c r="K3842" s="16" t="e">
        <f t="shared" si="7734"/>
        <v>#N/A</v>
      </c>
      <c r="L3842" s="40" t="e">
        <f t="shared" si="7253"/>
        <v>#N/A</v>
      </c>
      <c r="M3842" s="16" t="e">
        <f t="shared" si="7254"/>
        <v>#N/A</v>
      </c>
      <c r="N3842" s="16" t="e">
        <f t="shared" si="7255"/>
        <v>#N/A</v>
      </c>
      <c r="O3842" s="16" t="s">
        <v>76</v>
      </c>
      <c r="P3842" s="16" t="str">
        <f t="shared" si="6"/>
        <v/>
      </c>
      <c r="Q3842" s="41" t="e">
        <f t="shared" si="7256"/>
        <v>#N/A</v>
      </c>
      <c r="R3842" s="44"/>
      <c r="S3842" s="44"/>
      <c r="T3842" s="43"/>
      <c r="U3842" s="43" t="str">
        <f t="shared" si="8"/>
        <v>No</v>
      </c>
      <c r="V3842" s="25"/>
      <c r="W3842" s="25"/>
      <c r="X3842" s="25"/>
      <c r="Y3842" s="25"/>
      <c r="Z3842" s="25"/>
    </row>
    <row r="3843" spans="1:26" ht="15.75" customHeight="1" x14ac:dyDescent="0.25">
      <c r="A3843" s="25">
        <v>3841</v>
      </c>
      <c r="B3843" s="37" t="e">
        <f t="shared" ref="B3843:D3843" si="7735">VLOOKUP($A3843,[12]Salud!$A$1:$O$277,B$1,0)</f>
        <v>#N/A</v>
      </c>
      <c r="C3843" s="38" t="e">
        <f t="shared" si="7735"/>
        <v>#N/A</v>
      </c>
      <c r="D3843" s="39" t="e">
        <f t="shared" si="7735"/>
        <v>#N/A</v>
      </c>
      <c r="E3843" s="16" t="e">
        <f t="shared" si="1"/>
        <v>#N/A</v>
      </c>
      <c r="F3843" s="16" t="e">
        <f t="shared" ref="F3843:K3843" si="7736">VLOOKUP($A3843,[12]Salud!$A$1:$O$277,F$1,0)</f>
        <v>#N/A</v>
      </c>
      <c r="G3843" s="39" t="e">
        <f t="shared" si="7736"/>
        <v>#N/A</v>
      </c>
      <c r="H3843" s="16" t="e">
        <f t="shared" si="7736"/>
        <v>#N/A</v>
      </c>
      <c r="I3843" s="16" t="e">
        <f t="shared" si="7736"/>
        <v>#N/A</v>
      </c>
      <c r="J3843" s="40" t="e">
        <f t="shared" si="7736"/>
        <v>#N/A</v>
      </c>
      <c r="K3843" s="16" t="e">
        <f t="shared" si="7736"/>
        <v>#N/A</v>
      </c>
      <c r="L3843" s="40" t="e">
        <f t="shared" si="7253"/>
        <v>#N/A</v>
      </c>
      <c r="M3843" s="16" t="e">
        <f t="shared" si="7254"/>
        <v>#N/A</v>
      </c>
      <c r="N3843" s="16" t="e">
        <f t="shared" si="7255"/>
        <v>#N/A</v>
      </c>
      <c r="O3843" s="16" t="s">
        <v>76</v>
      </c>
      <c r="P3843" s="16" t="str">
        <f t="shared" si="6"/>
        <v/>
      </c>
      <c r="Q3843" s="41" t="e">
        <f t="shared" si="7256"/>
        <v>#N/A</v>
      </c>
      <c r="R3843" s="44"/>
      <c r="S3843" s="44"/>
      <c r="T3843" s="43"/>
      <c r="U3843" s="43" t="str">
        <f t="shared" si="8"/>
        <v>No</v>
      </c>
      <c r="V3843" s="25"/>
      <c r="W3843" s="25"/>
      <c r="X3843" s="25"/>
      <c r="Y3843" s="25"/>
      <c r="Z3843" s="25"/>
    </row>
    <row r="3844" spans="1:26" ht="15.75" customHeight="1" x14ac:dyDescent="0.25">
      <c r="A3844" s="25">
        <v>3842</v>
      </c>
      <c r="B3844" s="37" t="e">
        <f t="shared" ref="B3844:D3844" si="7737">VLOOKUP($A3844,[12]Salud!$A$1:$O$277,B$1,0)</f>
        <v>#N/A</v>
      </c>
      <c r="C3844" s="38" t="e">
        <f t="shared" si="7737"/>
        <v>#N/A</v>
      </c>
      <c r="D3844" s="39" t="e">
        <f t="shared" si="7737"/>
        <v>#N/A</v>
      </c>
      <c r="E3844" s="16" t="e">
        <f t="shared" si="1"/>
        <v>#N/A</v>
      </c>
      <c r="F3844" s="16" t="e">
        <f t="shared" ref="F3844:K3844" si="7738">VLOOKUP($A3844,[12]Salud!$A$1:$O$277,F$1,0)</f>
        <v>#N/A</v>
      </c>
      <c r="G3844" s="39" t="e">
        <f t="shared" si="7738"/>
        <v>#N/A</v>
      </c>
      <c r="H3844" s="16" t="e">
        <f t="shared" si="7738"/>
        <v>#N/A</v>
      </c>
      <c r="I3844" s="16" t="e">
        <f t="shared" si="7738"/>
        <v>#N/A</v>
      </c>
      <c r="J3844" s="40" t="e">
        <f t="shared" si="7738"/>
        <v>#N/A</v>
      </c>
      <c r="K3844" s="16" t="e">
        <f t="shared" si="7738"/>
        <v>#N/A</v>
      </c>
      <c r="L3844" s="40" t="e">
        <f t="shared" si="7253"/>
        <v>#N/A</v>
      </c>
      <c r="M3844" s="16" t="e">
        <f t="shared" si="7254"/>
        <v>#N/A</v>
      </c>
      <c r="N3844" s="16" t="e">
        <f t="shared" si="7255"/>
        <v>#N/A</v>
      </c>
      <c r="O3844" s="16" t="s">
        <v>76</v>
      </c>
      <c r="P3844" s="16" t="str">
        <f t="shared" si="6"/>
        <v/>
      </c>
      <c r="Q3844" s="41" t="e">
        <f t="shared" si="7256"/>
        <v>#N/A</v>
      </c>
      <c r="R3844" s="44"/>
      <c r="S3844" s="44"/>
      <c r="T3844" s="43"/>
      <c r="U3844" s="43" t="str">
        <f t="shared" si="8"/>
        <v>No</v>
      </c>
      <c r="V3844" s="25"/>
      <c r="W3844" s="25"/>
      <c r="X3844" s="25"/>
      <c r="Y3844" s="25"/>
      <c r="Z3844" s="25"/>
    </row>
    <row r="3845" spans="1:26" ht="15.75" customHeight="1" x14ac:dyDescent="0.25">
      <c r="A3845" s="25">
        <v>3843</v>
      </c>
      <c r="B3845" s="37" t="e">
        <f t="shared" ref="B3845:D3845" si="7739">VLOOKUP($A3845,[12]Salud!$A$1:$O$277,B$1,0)</f>
        <v>#N/A</v>
      </c>
      <c r="C3845" s="38" t="e">
        <f t="shared" si="7739"/>
        <v>#N/A</v>
      </c>
      <c r="D3845" s="39" t="e">
        <f t="shared" si="7739"/>
        <v>#N/A</v>
      </c>
      <c r="E3845" s="16" t="e">
        <f t="shared" si="1"/>
        <v>#N/A</v>
      </c>
      <c r="F3845" s="16" t="e">
        <f t="shared" ref="F3845:K3845" si="7740">VLOOKUP($A3845,[12]Salud!$A$1:$O$277,F$1,0)</f>
        <v>#N/A</v>
      </c>
      <c r="G3845" s="39" t="e">
        <f t="shared" si="7740"/>
        <v>#N/A</v>
      </c>
      <c r="H3845" s="16" t="e">
        <f t="shared" si="7740"/>
        <v>#N/A</v>
      </c>
      <c r="I3845" s="16" t="e">
        <f t="shared" si="7740"/>
        <v>#N/A</v>
      </c>
      <c r="J3845" s="40" t="e">
        <f t="shared" si="7740"/>
        <v>#N/A</v>
      </c>
      <c r="K3845" s="16" t="e">
        <f t="shared" si="7740"/>
        <v>#N/A</v>
      </c>
      <c r="L3845" s="40" t="e">
        <f t="shared" si="7253"/>
        <v>#N/A</v>
      </c>
      <c r="M3845" s="16" t="e">
        <f t="shared" si="7254"/>
        <v>#N/A</v>
      </c>
      <c r="N3845" s="16" t="e">
        <f t="shared" si="7255"/>
        <v>#N/A</v>
      </c>
      <c r="O3845" s="16" t="s">
        <v>76</v>
      </c>
      <c r="P3845" s="16" t="str">
        <f t="shared" si="6"/>
        <v/>
      </c>
      <c r="Q3845" s="41" t="e">
        <f t="shared" si="7256"/>
        <v>#N/A</v>
      </c>
      <c r="R3845" s="44"/>
      <c r="S3845" s="44"/>
      <c r="T3845" s="43"/>
      <c r="U3845" s="43" t="str">
        <f t="shared" si="8"/>
        <v>No</v>
      </c>
      <c r="V3845" s="25"/>
      <c r="W3845" s="25"/>
      <c r="X3845" s="25"/>
      <c r="Y3845" s="25"/>
      <c r="Z3845" s="25"/>
    </row>
    <row r="3846" spans="1:26" ht="15.75" customHeight="1" x14ac:dyDescent="0.25">
      <c r="A3846" s="25">
        <v>3844</v>
      </c>
      <c r="B3846" s="37" t="e">
        <f t="shared" ref="B3846:D3846" si="7741">VLOOKUP($A3846,[12]Salud!$A$1:$O$277,B$1,0)</f>
        <v>#N/A</v>
      </c>
      <c r="C3846" s="38" t="e">
        <f t="shared" si="7741"/>
        <v>#N/A</v>
      </c>
      <c r="D3846" s="39" t="e">
        <f t="shared" si="7741"/>
        <v>#N/A</v>
      </c>
      <c r="E3846" s="16" t="e">
        <f t="shared" si="1"/>
        <v>#N/A</v>
      </c>
      <c r="F3846" s="16" t="e">
        <f t="shared" ref="F3846:K3846" si="7742">VLOOKUP($A3846,[12]Salud!$A$1:$O$277,F$1,0)</f>
        <v>#N/A</v>
      </c>
      <c r="G3846" s="39" t="e">
        <f t="shared" si="7742"/>
        <v>#N/A</v>
      </c>
      <c r="H3846" s="16" t="e">
        <f t="shared" si="7742"/>
        <v>#N/A</v>
      </c>
      <c r="I3846" s="16" t="e">
        <f t="shared" si="7742"/>
        <v>#N/A</v>
      </c>
      <c r="J3846" s="40" t="e">
        <f t="shared" si="7742"/>
        <v>#N/A</v>
      </c>
      <c r="K3846" s="16" t="e">
        <f t="shared" si="7742"/>
        <v>#N/A</v>
      </c>
      <c r="L3846" s="40" t="e">
        <f t="shared" si="7253"/>
        <v>#N/A</v>
      </c>
      <c r="M3846" s="16" t="e">
        <f t="shared" si="7254"/>
        <v>#N/A</v>
      </c>
      <c r="N3846" s="16" t="e">
        <f t="shared" si="7255"/>
        <v>#N/A</v>
      </c>
      <c r="O3846" s="16" t="s">
        <v>76</v>
      </c>
      <c r="P3846" s="16" t="str">
        <f t="shared" si="6"/>
        <v/>
      </c>
      <c r="Q3846" s="41" t="e">
        <f t="shared" si="7256"/>
        <v>#N/A</v>
      </c>
      <c r="R3846" s="44"/>
      <c r="S3846" s="44"/>
      <c r="T3846" s="43"/>
      <c r="U3846" s="43" t="str">
        <f t="shared" si="8"/>
        <v>No</v>
      </c>
      <c r="V3846" s="25"/>
      <c r="W3846" s="25"/>
      <c r="X3846" s="25"/>
      <c r="Y3846" s="25"/>
      <c r="Z3846" s="25"/>
    </row>
    <row r="3847" spans="1:26" ht="15.75" customHeight="1" x14ac:dyDescent="0.25">
      <c r="A3847" s="25">
        <v>3845</v>
      </c>
      <c r="B3847" s="37" t="e">
        <f t="shared" ref="B3847:D3847" si="7743">VLOOKUP($A3847,[12]Salud!$A$1:$O$277,B$1,0)</f>
        <v>#N/A</v>
      </c>
      <c r="C3847" s="38" t="e">
        <f t="shared" si="7743"/>
        <v>#N/A</v>
      </c>
      <c r="D3847" s="39" t="e">
        <f t="shared" si="7743"/>
        <v>#N/A</v>
      </c>
      <c r="E3847" s="16" t="e">
        <f t="shared" si="1"/>
        <v>#N/A</v>
      </c>
      <c r="F3847" s="16" t="e">
        <f t="shared" ref="F3847:K3847" si="7744">VLOOKUP($A3847,[12]Salud!$A$1:$O$277,F$1,0)</f>
        <v>#N/A</v>
      </c>
      <c r="G3847" s="39" t="e">
        <f t="shared" si="7744"/>
        <v>#N/A</v>
      </c>
      <c r="H3847" s="16" t="e">
        <f t="shared" si="7744"/>
        <v>#N/A</v>
      </c>
      <c r="I3847" s="16" t="e">
        <f t="shared" si="7744"/>
        <v>#N/A</v>
      </c>
      <c r="J3847" s="40" t="e">
        <f t="shared" si="7744"/>
        <v>#N/A</v>
      </c>
      <c r="K3847" s="16" t="e">
        <f t="shared" si="7744"/>
        <v>#N/A</v>
      </c>
      <c r="L3847" s="40" t="e">
        <f t="shared" si="7253"/>
        <v>#N/A</v>
      </c>
      <c r="M3847" s="16" t="e">
        <f t="shared" si="7254"/>
        <v>#N/A</v>
      </c>
      <c r="N3847" s="16" t="e">
        <f t="shared" si="7255"/>
        <v>#N/A</v>
      </c>
      <c r="O3847" s="16" t="s">
        <v>76</v>
      </c>
      <c r="P3847" s="16" t="str">
        <f t="shared" si="6"/>
        <v/>
      </c>
      <c r="Q3847" s="41" t="e">
        <f t="shared" si="7256"/>
        <v>#N/A</v>
      </c>
      <c r="R3847" s="44"/>
      <c r="S3847" s="44"/>
      <c r="T3847" s="43"/>
      <c r="U3847" s="43" t="str">
        <f t="shared" si="8"/>
        <v>No</v>
      </c>
      <c r="V3847" s="25"/>
      <c r="W3847" s="25"/>
      <c r="X3847" s="25"/>
      <c r="Y3847" s="25"/>
      <c r="Z3847" s="25"/>
    </row>
    <row r="3848" spans="1:26" ht="15.75" customHeight="1" x14ac:dyDescent="0.25">
      <c r="A3848" s="25">
        <v>3846</v>
      </c>
      <c r="B3848" s="37" t="e">
        <f t="shared" ref="B3848:D3848" si="7745">VLOOKUP($A3848,[12]Salud!$A$1:$O$277,B$1,0)</f>
        <v>#N/A</v>
      </c>
      <c r="C3848" s="38" t="e">
        <f t="shared" si="7745"/>
        <v>#N/A</v>
      </c>
      <c r="D3848" s="39" t="e">
        <f t="shared" si="7745"/>
        <v>#N/A</v>
      </c>
      <c r="E3848" s="16" t="e">
        <f t="shared" si="1"/>
        <v>#N/A</v>
      </c>
      <c r="F3848" s="16" t="e">
        <f t="shared" ref="F3848:K3848" si="7746">VLOOKUP($A3848,[12]Salud!$A$1:$O$277,F$1,0)</f>
        <v>#N/A</v>
      </c>
      <c r="G3848" s="39" t="e">
        <f t="shared" si="7746"/>
        <v>#N/A</v>
      </c>
      <c r="H3848" s="16" t="e">
        <f t="shared" si="7746"/>
        <v>#N/A</v>
      </c>
      <c r="I3848" s="16" t="e">
        <f t="shared" si="7746"/>
        <v>#N/A</v>
      </c>
      <c r="J3848" s="40" t="e">
        <f t="shared" si="7746"/>
        <v>#N/A</v>
      </c>
      <c r="K3848" s="16" t="e">
        <f t="shared" si="7746"/>
        <v>#N/A</v>
      </c>
      <c r="L3848" s="40" t="e">
        <f t="shared" si="7253"/>
        <v>#N/A</v>
      </c>
      <c r="M3848" s="16" t="e">
        <f t="shared" si="7254"/>
        <v>#N/A</v>
      </c>
      <c r="N3848" s="16" t="e">
        <f t="shared" si="7255"/>
        <v>#N/A</v>
      </c>
      <c r="O3848" s="16" t="s">
        <v>76</v>
      </c>
      <c r="P3848" s="16" t="str">
        <f t="shared" si="6"/>
        <v/>
      </c>
      <c r="Q3848" s="41" t="e">
        <f t="shared" si="7256"/>
        <v>#N/A</v>
      </c>
      <c r="R3848" s="44"/>
      <c r="S3848" s="44"/>
      <c r="T3848" s="43"/>
      <c r="U3848" s="43" t="str">
        <f t="shared" si="8"/>
        <v>No</v>
      </c>
      <c r="V3848" s="25"/>
      <c r="W3848" s="25"/>
      <c r="X3848" s="25"/>
      <c r="Y3848" s="25"/>
      <c r="Z3848" s="25"/>
    </row>
    <row r="3849" spans="1:26" ht="15.75" customHeight="1" x14ac:dyDescent="0.25">
      <c r="A3849" s="25">
        <v>3847</v>
      </c>
      <c r="B3849" s="37" t="e">
        <f t="shared" ref="B3849:D3849" si="7747">VLOOKUP($A3849,[12]Salud!$A$1:$O$277,B$1,0)</f>
        <v>#N/A</v>
      </c>
      <c r="C3849" s="38" t="e">
        <f t="shared" si="7747"/>
        <v>#N/A</v>
      </c>
      <c r="D3849" s="39" t="e">
        <f t="shared" si="7747"/>
        <v>#N/A</v>
      </c>
      <c r="E3849" s="16" t="e">
        <f t="shared" si="1"/>
        <v>#N/A</v>
      </c>
      <c r="F3849" s="16" t="e">
        <f t="shared" ref="F3849:K3849" si="7748">VLOOKUP($A3849,[12]Salud!$A$1:$O$277,F$1,0)</f>
        <v>#N/A</v>
      </c>
      <c r="G3849" s="39" t="e">
        <f t="shared" si="7748"/>
        <v>#N/A</v>
      </c>
      <c r="H3849" s="16" t="e">
        <f t="shared" si="7748"/>
        <v>#N/A</v>
      </c>
      <c r="I3849" s="16" t="e">
        <f t="shared" si="7748"/>
        <v>#N/A</v>
      </c>
      <c r="J3849" s="40" t="e">
        <f t="shared" si="7748"/>
        <v>#N/A</v>
      </c>
      <c r="K3849" s="16" t="e">
        <f t="shared" si="7748"/>
        <v>#N/A</v>
      </c>
      <c r="L3849" s="40" t="e">
        <f t="shared" si="7253"/>
        <v>#N/A</v>
      </c>
      <c r="M3849" s="16" t="e">
        <f t="shared" si="7254"/>
        <v>#N/A</v>
      </c>
      <c r="N3849" s="16" t="e">
        <f t="shared" si="7255"/>
        <v>#N/A</v>
      </c>
      <c r="O3849" s="16" t="s">
        <v>76</v>
      </c>
      <c r="P3849" s="16" t="str">
        <f t="shared" si="6"/>
        <v/>
      </c>
      <c r="Q3849" s="41" t="e">
        <f t="shared" si="7256"/>
        <v>#N/A</v>
      </c>
      <c r="R3849" s="44"/>
      <c r="S3849" s="44"/>
      <c r="T3849" s="43"/>
      <c r="U3849" s="43" t="str">
        <f t="shared" si="8"/>
        <v>No</v>
      </c>
      <c r="V3849" s="25"/>
      <c r="W3849" s="25"/>
      <c r="X3849" s="25"/>
      <c r="Y3849" s="25"/>
      <c r="Z3849" s="25"/>
    </row>
    <row r="3850" spans="1:26" ht="15.75" customHeight="1" x14ac:dyDescent="0.25">
      <c r="A3850" s="25">
        <v>3848</v>
      </c>
      <c r="B3850" s="37" t="e">
        <f t="shared" ref="B3850:D3850" si="7749">VLOOKUP($A3850,[12]Salud!$A$1:$O$277,B$1,0)</f>
        <v>#N/A</v>
      </c>
      <c r="C3850" s="38" t="e">
        <f t="shared" si="7749"/>
        <v>#N/A</v>
      </c>
      <c r="D3850" s="39" t="e">
        <f t="shared" si="7749"/>
        <v>#N/A</v>
      </c>
      <c r="E3850" s="16" t="e">
        <f t="shared" si="1"/>
        <v>#N/A</v>
      </c>
      <c r="F3850" s="16" t="e">
        <f t="shared" ref="F3850:K3850" si="7750">VLOOKUP($A3850,[12]Salud!$A$1:$O$277,F$1,0)</f>
        <v>#N/A</v>
      </c>
      <c r="G3850" s="39" t="e">
        <f t="shared" si="7750"/>
        <v>#N/A</v>
      </c>
      <c r="H3850" s="16" t="e">
        <f t="shared" si="7750"/>
        <v>#N/A</v>
      </c>
      <c r="I3850" s="16" t="e">
        <f t="shared" si="7750"/>
        <v>#N/A</v>
      </c>
      <c r="J3850" s="40" t="e">
        <f t="shared" si="7750"/>
        <v>#N/A</v>
      </c>
      <c r="K3850" s="16" t="e">
        <f t="shared" si="7750"/>
        <v>#N/A</v>
      </c>
      <c r="L3850" s="40" t="e">
        <f t="shared" si="7253"/>
        <v>#N/A</v>
      </c>
      <c r="M3850" s="16" t="e">
        <f t="shared" si="7254"/>
        <v>#N/A</v>
      </c>
      <c r="N3850" s="16" t="e">
        <f t="shared" si="7255"/>
        <v>#N/A</v>
      </c>
      <c r="O3850" s="16" t="s">
        <v>76</v>
      </c>
      <c r="P3850" s="16" t="str">
        <f t="shared" si="6"/>
        <v/>
      </c>
      <c r="Q3850" s="41" t="e">
        <f t="shared" si="7256"/>
        <v>#N/A</v>
      </c>
      <c r="R3850" s="44"/>
      <c r="S3850" s="44"/>
      <c r="T3850" s="43"/>
      <c r="U3850" s="43" t="str">
        <f t="shared" si="8"/>
        <v>No</v>
      </c>
      <c r="V3850" s="25"/>
      <c r="W3850" s="25"/>
      <c r="X3850" s="25"/>
      <c r="Y3850" s="25"/>
      <c r="Z3850" s="25"/>
    </row>
    <row r="3851" spans="1:26" ht="15.75" customHeight="1" x14ac:dyDescent="0.25">
      <c r="A3851" s="25">
        <v>3849</v>
      </c>
      <c r="B3851" s="37" t="e">
        <f t="shared" ref="B3851:D3851" si="7751">VLOOKUP($A3851,[12]Salud!$A$1:$O$277,B$1,0)</f>
        <v>#N/A</v>
      </c>
      <c r="C3851" s="38" t="e">
        <f t="shared" si="7751"/>
        <v>#N/A</v>
      </c>
      <c r="D3851" s="39" t="e">
        <f t="shared" si="7751"/>
        <v>#N/A</v>
      </c>
      <c r="E3851" s="16" t="e">
        <f t="shared" si="1"/>
        <v>#N/A</v>
      </c>
      <c r="F3851" s="16" t="e">
        <f t="shared" ref="F3851:K3851" si="7752">VLOOKUP($A3851,[12]Salud!$A$1:$O$277,F$1,0)</f>
        <v>#N/A</v>
      </c>
      <c r="G3851" s="39" t="e">
        <f t="shared" si="7752"/>
        <v>#N/A</v>
      </c>
      <c r="H3851" s="16" t="e">
        <f t="shared" si="7752"/>
        <v>#N/A</v>
      </c>
      <c r="I3851" s="16" t="e">
        <f t="shared" si="7752"/>
        <v>#N/A</v>
      </c>
      <c r="J3851" s="40" t="e">
        <f t="shared" si="7752"/>
        <v>#N/A</v>
      </c>
      <c r="K3851" s="16" t="e">
        <f t="shared" si="7752"/>
        <v>#N/A</v>
      </c>
      <c r="L3851" s="40" t="e">
        <f t="shared" si="7253"/>
        <v>#N/A</v>
      </c>
      <c r="M3851" s="16" t="e">
        <f t="shared" si="7254"/>
        <v>#N/A</v>
      </c>
      <c r="N3851" s="16" t="e">
        <f t="shared" si="7255"/>
        <v>#N/A</v>
      </c>
      <c r="O3851" s="16" t="s">
        <v>76</v>
      </c>
      <c r="P3851" s="16" t="str">
        <f t="shared" si="6"/>
        <v/>
      </c>
      <c r="Q3851" s="41" t="e">
        <f t="shared" si="7256"/>
        <v>#N/A</v>
      </c>
      <c r="R3851" s="44"/>
      <c r="S3851" s="44"/>
      <c r="T3851" s="43"/>
      <c r="U3851" s="43" t="str">
        <f t="shared" si="8"/>
        <v>No</v>
      </c>
      <c r="V3851" s="25"/>
      <c r="W3851" s="25"/>
      <c r="X3851" s="25"/>
      <c r="Y3851" s="25"/>
      <c r="Z3851" s="25"/>
    </row>
    <row r="3852" spans="1:26" ht="15.75" customHeight="1" x14ac:dyDescent="0.25">
      <c r="A3852" s="25">
        <v>3850</v>
      </c>
      <c r="B3852" s="37" t="e">
        <f t="shared" ref="B3852:D3852" si="7753">VLOOKUP($A3852,[12]Salud!$A$1:$O$277,B$1,0)</f>
        <v>#N/A</v>
      </c>
      <c r="C3852" s="38" t="e">
        <f t="shared" si="7753"/>
        <v>#N/A</v>
      </c>
      <c r="D3852" s="39" t="e">
        <f t="shared" si="7753"/>
        <v>#N/A</v>
      </c>
      <c r="E3852" s="16" t="e">
        <f t="shared" si="1"/>
        <v>#N/A</v>
      </c>
      <c r="F3852" s="16" t="e">
        <f t="shared" ref="F3852:K3852" si="7754">VLOOKUP($A3852,[12]Salud!$A$1:$O$277,F$1,0)</f>
        <v>#N/A</v>
      </c>
      <c r="G3852" s="39" t="e">
        <f t="shared" si="7754"/>
        <v>#N/A</v>
      </c>
      <c r="H3852" s="16" t="e">
        <f t="shared" si="7754"/>
        <v>#N/A</v>
      </c>
      <c r="I3852" s="16" t="e">
        <f t="shared" si="7754"/>
        <v>#N/A</v>
      </c>
      <c r="J3852" s="40" t="e">
        <f t="shared" si="7754"/>
        <v>#N/A</v>
      </c>
      <c r="K3852" s="16" t="e">
        <f t="shared" si="7754"/>
        <v>#N/A</v>
      </c>
      <c r="L3852" s="40" t="e">
        <f t="shared" si="7253"/>
        <v>#N/A</v>
      </c>
      <c r="M3852" s="16" t="e">
        <f t="shared" si="7254"/>
        <v>#N/A</v>
      </c>
      <c r="N3852" s="16" t="e">
        <f t="shared" si="7255"/>
        <v>#N/A</v>
      </c>
      <c r="O3852" s="16" t="s">
        <v>76</v>
      </c>
      <c r="P3852" s="16" t="str">
        <f t="shared" si="6"/>
        <v/>
      </c>
      <c r="Q3852" s="41" t="e">
        <f t="shared" si="7256"/>
        <v>#N/A</v>
      </c>
      <c r="R3852" s="44"/>
      <c r="S3852" s="44"/>
      <c r="T3852" s="43"/>
      <c r="U3852" s="43" t="str">
        <f t="shared" si="8"/>
        <v>No</v>
      </c>
      <c r="V3852" s="25"/>
      <c r="W3852" s="25"/>
      <c r="X3852" s="25"/>
      <c r="Y3852" s="25"/>
      <c r="Z3852" s="25"/>
    </row>
    <row r="3853" spans="1:26" ht="15.75" customHeight="1" x14ac:dyDescent="0.25">
      <c r="A3853" s="25">
        <v>3851</v>
      </c>
      <c r="B3853" s="37" t="e">
        <f t="shared" ref="B3853:D3853" si="7755">VLOOKUP($A3853,[12]Salud!$A$1:$O$277,B$1,0)</f>
        <v>#N/A</v>
      </c>
      <c r="C3853" s="38" t="e">
        <f t="shared" si="7755"/>
        <v>#N/A</v>
      </c>
      <c r="D3853" s="39" t="e">
        <f t="shared" si="7755"/>
        <v>#N/A</v>
      </c>
      <c r="E3853" s="16" t="e">
        <f t="shared" si="1"/>
        <v>#N/A</v>
      </c>
      <c r="F3853" s="16" t="e">
        <f t="shared" ref="F3853:K3853" si="7756">VLOOKUP($A3853,[12]Salud!$A$1:$O$277,F$1,0)</f>
        <v>#N/A</v>
      </c>
      <c r="G3853" s="39" t="e">
        <f t="shared" si="7756"/>
        <v>#N/A</v>
      </c>
      <c r="H3853" s="16" t="e">
        <f t="shared" si="7756"/>
        <v>#N/A</v>
      </c>
      <c r="I3853" s="16" t="e">
        <f t="shared" si="7756"/>
        <v>#N/A</v>
      </c>
      <c r="J3853" s="40" t="e">
        <f t="shared" si="7756"/>
        <v>#N/A</v>
      </c>
      <c r="K3853" s="16" t="e">
        <f t="shared" si="7756"/>
        <v>#N/A</v>
      </c>
      <c r="L3853" s="40" t="e">
        <f t="shared" si="7253"/>
        <v>#N/A</v>
      </c>
      <c r="M3853" s="16" t="e">
        <f t="shared" si="7254"/>
        <v>#N/A</v>
      </c>
      <c r="N3853" s="16" t="e">
        <f t="shared" si="7255"/>
        <v>#N/A</v>
      </c>
      <c r="O3853" s="16" t="s">
        <v>76</v>
      </c>
      <c r="P3853" s="16" t="str">
        <f t="shared" si="6"/>
        <v/>
      </c>
      <c r="Q3853" s="41" t="e">
        <f t="shared" si="7256"/>
        <v>#N/A</v>
      </c>
      <c r="R3853" s="44"/>
      <c r="S3853" s="44"/>
      <c r="T3853" s="43"/>
      <c r="U3853" s="43" t="str">
        <f t="shared" si="8"/>
        <v>No</v>
      </c>
      <c r="V3853" s="25"/>
      <c r="W3853" s="25"/>
      <c r="X3853" s="25"/>
      <c r="Y3853" s="25"/>
      <c r="Z3853" s="25"/>
    </row>
    <row r="3854" spans="1:26" ht="15.75" customHeight="1" x14ac:dyDescent="0.25">
      <c r="A3854" s="25">
        <v>3852</v>
      </c>
      <c r="B3854" s="37" t="e">
        <f t="shared" ref="B3854:D3854" si="7757">VLOOKUP($A3854,[12]Salud!$A$1:$O$277,B$1,0)</f>
        <v>#N/A</v>
      </c>
      <c r="C3854" s="38" t="e">
        <f t="shared" si="7757"/>
        <v>#N/A</v>
      </c>
      <c r="D3854" s="39" t="e">
        <f t="shared" si="7757"/>
        <v>#N/A</v>
      </c>
      <c r="E3854" s="16" t="e">
        <f t="shared" si="1"/>
        <v>#N/A</v>
      </c>
      <c r="F3854" s="16" t="e">
        <f t="shared" ref="F3854:K3854" si="7758">VLOOKUP($A3854,[12]Salud!$A$1:$O$277,F$1,0)</f>
        <v>#N/A</v>
      </c>
      <c r="G3854" s="39" t="e">
        <f t="shared" si="7758"/>
        <v>#N/A</v>
      </c>
      <c r="H3854" s="16" t="e">
        <f t="shared" si="7758"/>
        <v>#N/A</v>
      </c>
      <c r="I3854" s="16" t="e">
        <f t="shared" si="7758"/>
        <v>#N/A</v>
      </c>
      <c r="J3854" s="40" t="e">
        <f t="shared" si="7758"/>
        <v>#N/A</v>
      </c>
      <c r="K3854" s="16" t="e">
        <f t="shared" si="7758"/>
        <v>#N/A</v>
      </c>
      <c r="L3854" s="40" t="e">
        <f t="shared" si="7253"/>
        <v>#N/A</v>
      </c>
      <c r="M3854" s="16" t="e">
        <f t="shared" si="7254"/>
        <v>#N/A</v>
      </c>
      <c r="N3854" s="16" t="e">
        <f t="shared" si="7255"/>
        <v>#N/A</v>
      </c>
      <c r="O3854" s="16" t="s">
        <v>76</v>
      </c>
      <c r="P3854" s="16" t="str">
        <f t="shared" si="6"/>
        <v/>
      </c>
      <c r="Q3854" s="41" t="e">
        <f t="shared" si="7256"/>
        <v>#N/A</v>
      </c>
      <c r="R3854" s="44"/>
      <c r="S3854" s="44"/>
      <c r="T3854" s="43"/>
      <c r="U3854" s="43" t="str">
        <f t="shared" si="8"/>
        <v>No</v>
      </c>
      <c r="V3854" s="25"/>
      <c r="W3854" s="25"/>
      <c r="X3854" s="25"/>
      <c r="Y3854" s="25"/>
      <c r="Z3854" s="25"/>
    </row>
    <row r="3855" spans="1:26" ht="15.75" customHeight="1" x14ac:dyDescent="0.25">
      <c r="A3855" s="25">
        <v>3853</v>
      </c>
      <c r="B3855" s="37" t="e">
        <f t="shared" ref="B3855:D3855" si="7759">VLOOKUP($A3855,[12]Salud!$A$1:$O$277,B$1,0)</f>
        <v>#N/A</v>
      </c>
      <c r="C3855" s="38" t="e">
        <f t="shared" si="7759"/>
        <v>#N/A</v>
      </c>
      <c r="D3855" s="39" t="e">
        <f t="shared" si="7759"/>
        <v>#N/A</v>
      </c>
      <c r="E3855" s="16" t="e">
        <f t="shared" si="1"/>
        <v>#N/A</v>
      </c>
      <c r="F3855" s="16" t="e">
        <f t="shared" ref="F3855:K3855" si="7760">VLOOKUP($A3855,[12]Salud!$A$1:$O$277,F$1,0)</f>
        <v>#N/A</v>
      </c>
      <c r="G3855" s="39" t="e">
        <f t="shared" si="7760"/>
        <v>#N/A</v>
      </c>
      <c r="H3855" s="16" t="e">
        <f t="shared" si="7760"/>
        <v>#N/A</v>
      </c>
      <c r="I3855" s="16" t="e">
        <f t="shared" si="7760"/>
        <v>#N/A</v>
      </c>
      <c r="J3855" s="40" t="e">
        <f t="shared" si="7760"/>
        <v>#N/A</v>
      </c>
      <c r="K3855" s="16" t="e">
        <f t="shared" si="7760"/>
        <v>#N/A</v>
      </c>
      <c r="L3855" s="40" t="e">
        <f t="shared" si="7253"/>
        <v>#N/A</v>
      </c>
      <c r="M3855" s="16" t="e">
        <f t="shared" si="7254"/>
        <v>#N/A</v>
      </c>
      <c r="N3855" s="16" t="e">
        <f t="shared" si="7255"/>
        <v>#N/A</v>
      </c>
      <c r="O3855" s="16" t="s">
        <v>76</v>
      </c>
      <c r="P3855" s="16" t="str">
        <f t="shared" si="6"/>
        <v/>
      </c>
      <c r="Q3855" s="41" t="e">
        <f t="shared" si="7256"/>
        <v>#N/A</v>
      </c>
      <c r="R3855" s="44"/>
      <c r="S3855" s="44"/>
      <c r="T3855" s="43"/>
      <c r="U3855" s="43" t="str">
        <f t="shared" si="8"/>
        <v>No</v>
      </c>
      <c r="V3855" s="25"/>
      <c r="W3855" s="25"/>
      <c r="X3855" s="25"/>
      <c r="Y3855" s="25"/>
      <c r="Z3855" s="25"/>
    </row>
    <row r="3856" spans="1:26" ht="15.75" customHeight="1" x14ac:dyDescent="0.25">
      <c r="A3856" s="25">
        <v>3854</v>
      </c>
      <c r="B3856" s="37" t="e">
        <f t="shared" ref="B3856:D3856" si="7761">VLOOKUP($A3856,[12]Salud!$A$1:$O$277,B$1,0)</f>
        <v>#N/A</v>
      </c>
      <c r="C3856" s="38" t="e">
        <f t="shared" si="7761"/>
        <v>#N/A</v>
      </c>
      <c r="D3856" s="39" t="e">
        <f t="shared" si="7761"/>
        <v>#N/A</v>
      </c>
      <c r="E3856" s="16" t="e">
        <f t="shared" si="1"/>
        <v>#N/A</v>
      </c>
      <c r="F3856" s="16" t="e">
        <f t="shared" ref="F3856:K3856" si="7762">VLOOKUP($A3856,[12]Salud!$A$1:$O$277,F$1,0)</f>
        <v>#N/A</v>
      </c>
      <c r="G3856" s="39" t="e">
        <f t="shared" si="7762"/>
        <v>#N/A</v>
      </c>
      <c r="H3856" s="16" t="e">
        <f t="shared" si="7762"/>
        <v>#N/A</v>
      </c>
      <c r="I3856" s="16" t="e">
        <f t="shared" si="7762"/>
        <v>#N/A</v>
      </c>
      <c r="J3856" s="40" t="e">
        <f t="shared" si="7762"/>
        <v>#N/A</v>
      </c>
      <c r="K3856" s="16" t="e">
        <f t="shared" si="7762"/>
        <v>#N/A</v>
      </c>
      <c r="L3856" s="40" t="e">
        <f t="shared" si="7253"/>
        <v>#N/A</v>
      </c>
      <c r="M3856" s="16" t="e">
        <f t="shared" si="7254"/>
        <v>#N/A</v>
      </c>
      <c r="N3856" s="16" t="e">
        <f t="shared" si="7255"/>
        <v>#N/A</v>
      </c>
      <c r="O3856" s="16" t="s">
        <v>76</v>
      </c>
      <c r="P3856" s="16" t="str">
        <f t="shared" si="6"/>
        <v/>
      </c>
      <c r="Q3856" s="41" t="e">
        <f t="shared" si="7256"/>
        <v>#N/A</v>
      </c>
      <c r="R3856" s="44"/>
      <c r="S3856" s="44"/>
      <c r="T3856" s="43"/>
      <c r="U3856" s="43" t="str">
        <f t="shared" si="8"/>
        <v>No</v>
      </c>
      <c r="V3856" s="25"/>
      <c r="W3856" s="25"/>
      <c r="X3856" s="25"/>
      <c r="Y3856" s="25"/>
      <c r="Z3856" s="25"/>
    </row>
    <row r="3857" spans="1:26" ht="15.75" customHeight="1" x14ac:dyDescent="0.25">
      <c r="A3857" s="25">
        <v>3855</v>
      </c>
      <c r="B3857" s="37" t="e">
        <f t="shared" ref="B3857:D3857" si="7763">VLOOKUP($A3857,[12]Salud!$A$1:$O$277,B$1,0)</f>
        <v>#N/A</v>
      </c>
      <c r="C3857" s="38" t="e">
        <f t="shared" si="7763"/>
        <v>#N/A</v>
      </c>
      <c r="D3857" s="39" t="e">
        <f t="shared" si="7763"/>
        <v>#N/A</v>
      </c>
      <c r="E3857" s="16" t="e">
        <f t="shared" si="1"/>
        <v>#N/A</v>
      </c>
      <c r="F3857" s="16" t="e">
        <f t="shared" ref="F3857:K3857" si="7764">VLOOKUP($A3857,[12]Salud!$A$1:$O$277,F$1,0)</f>
        <v>#N/A</v>
      </c>
      <c r="G3857" s="39" t="e">
        <f t="shared" si="7764"/>
        <v>#N/A</v>
      </c>
      <c r="H3857" s="16" t="e">
        <f t="shared" si="7764"/>
        <v>#N/A</v>
      </c>
      <c r="I3857" s="16" t="e">
        <f t="shared" si="7764"/>
        <v>#N/A</v>
      </c>
      <c r="J3857" s="40" t="e">
        <f t="shared" si="7764"/>
        <v>#N/A</v>
      </c>
      <c r="K3857" s="16" t="e">
        <f t="shared" si="7764"/>
        <v>#N/A</v>
      </c>
      <c r="L3857" s="40" t="e">
        <f t="shared" si="7253"/>
        <v>#N/A</v>
      </c>
      <c r="M3857" s="16" t="e">
        <f t="shared" si="7254"/>
        <v>#N/A</v>
      </c>
      <c r="N3857" s="16" t="e">
        <f t="shared" si="7255"/>
        <v>#N/A</v>
      </c>
      <c r="O3857" s="16" t="s">
        <v>76</v>
      </c>
      <c r="P3857" s="16" t="str">
        <f t="shared" si="6"/>
        <v/>
      </c>
      <c r="Q3857" s="41" t="e">
        <f t="shared" si="7256"/>
        <v>#N/A</v>
      </c>
      <c r="R3857" s="44"/>
      <c r="S3857" s="44"/>
      <c r="T3857" s="43"/>
      <c r="U3857" s="43" t="str">
        <f t="shared" si="8"/>
        <v>No</v>
      </c>
      <c r="V3857" s="25"/>
      <c r="W3857" s="25"/>
      <c r="X3857" s="25"/>
      <c r="Y3857" s="25"/>
      <c r="Z3857" s="25"/>
    </row>
    <row r="3858" spans="1:26" ht="15.75" customHeight="1" x14ac:dyDescent="0.25">
      <c r="A3858" s="25">
        <v>3856</v>
      </c>
      <c r="B3858" s="37" t="e">
        <f t="shared" ref="B3858:D3858" si="7765">VLOOKUP($A3858,[12]Salud!$A$1:$O$277,B$1,0)</f>
        <v>#N/A</v>
      </c>
      <c r="C3858" s="38" t="e">
        <f t="shared" si="7765"/>
        <v>#N/A</v>
      </c>
      <c r="D3858" s="39" t="e">
        <f t="shared" si="7765"/>
        <v>#N/A</v>
      </c>
      <c r="E3858" s="16" t="e">
        <f t="shared" si="1"/>
        <v>#N/A</v>
      </c>
      <c r="F3858" s="16" t="e">
        <f t="shared" ref="F3858:K3858" si="7766">VLOOKUP($A3858,[12]Salud!$A$1:$O$277,F$1,0)</f>
        <v>#N/A</v>
      </c>
      <c r="G3858" s="39" t="e">
        <f t="shared" si="7766"/>
        <v>#N/A</v>
      </c>
      <c r="H3858" s="16" t="e">
        <f t="shared" si="7766"/>
        <v>#N/A</v>
      </c>
      <c r="I3858" s="16" t="e">
        <f t="shared" si="7766"/>
        <v>#N/A</v>
      </c>
      <c r="J3858" s="40" t="e">
        <f t="shared" si="7766"/>
        <v>#N/A</v>
      </c>
      <c r="K3858" s="16" t="e">
        <f t="shared" si="7766"/>
        <v>#N/A</v>
      </c>
      <c r="L3858" s="40" t="e">
        <f t="shared" si="7253"/>
        <v>#N/A</v>
      </c>
      <c r="M3858" s="16" t="e">
        <f t="shared" si="7254"/>
        <v>#N/A</v>
      </c>
      <c r="N3858" s="16" t="e">
        <f t="shared" si="7255"/>
        <v>#N/A</v>
      </c>
      <c r="O3858" s="16" t="s">
        <v>76</v>
      </c>
      <c r="P3858" s="16" t="str">
        <f t="shared" si="6"/>
        <v/>
      </c>
      <c r="Q3858" s="41" t="e">
        <f t="shared" si="7256"/>
        <v>#N/A</v>
      </c>
      <c r="R3858" s="44"/>
      <c r="S3858" s="44"/>
      <c r="T3858" s="43"/>
      <c r="U3858" s="43" t="str">
        <f t="shared" si="8"/>
        <v>No</v>
      </c>
      <c r="V3858" s="25"/>
      <c r="W3858" s="25"/>
      <c r="X3858" s="25"/>
      <c r="Y3858" s="25"/>
      <c r="Z3858" s="25"/>
    </row>
    <row r="3859" spans="1:26" ht="15.75" customHeight="1" x14ac:dyDescent="0.25">
      <c r="A3859" s="25">
        <v>3857</v>
      </c>
      <c r="B3859" s="37" t="e">
        <f t="shared" ref="B3859:D3859" si="7767">VLOOKUP($A3859,[12]Salud!$A$1:$O$277,B$1,0)</f>
        <v>#N/A</v>
      </c>
      <c r="C3859" s="38" t="e">
        <f t="shared" si="7767"/>
        <v>#N/A</v>
      </c>
      <c r="D3859" s="39" t="e">
        <f t="shared" si="7767"/>
        <v>#N/A</v>
      </c>
      <c r="E3859" s="16" t="e">
        <f t="shared" si="1"/>
        <v>#N/A</v>
      </c>
      <c r="F3859" s="16" t="e">
        <f t="shared" ref="F3859:K3859" si="7768">VLOOKUP($A3859,[12]Salud!$A$1:$O$277,F$1,0)</f>
        <v>#N/A</v>
      </c>
      <c r="G3859" s="39" t="e">
        <f t="shared" si="7768"/>
        <v>#N/A</v>
      </c>
      <c r="H3859" s="16" t="e">
        <f t="shared" si="7768"/>
        <v>#N/A</v>
      </c>
      <c r="I3859" s="16" t="e">
        <f t="shared" si="7768"/>
        <v>#N/A</v>
      </c>
      <c r="J3859" s="40" t="e">
        <f t="shared" si="7768"/>
        <v>#N/A</v>
      </c>
      <c r="K3859" s="16" t="e">
        <f t="shared" si="7768"/>
        <v>#N/A</v>
      </c>
      <c r="L3859" s="40" t="e">
        <f t="shared" si="7253"/>
        <v>#N/A</v>
      </c>
      <c r="M3859" s="16" t="e">
        <f t="shared" si="7254"/>
        <v>#N/A</v>
      </c>
      <c r="N3859" s="16" t="e">
        <f t="shared" si="7255"/>
        <v>#N/A</v>
      </c>
      <c r="O3859" s="16" t="s">
        <v>76</v>
      </c>
      <c r="P3859" s="16" t="str">
        <f t="shared" si="6"/>
        <v/>
      </c>
      <c r="Q3859" s="41" t="e">
        <f t="shared" si="7256"/>
        <v>#N/A</v>
      </c>
      <c r="R3859" s="44"/>
      <c r="S3859" s="44"/>
      <c r="T3859" s="43"/>
      <c r="U3859" s="43" t="str">
        <f t="shared" si="8"/>
        <v>No</v>
      </c>
      <c r="V3859" s="25"/>
      <c r="W3859" s="25"/>
      <c r="X3859" s="25"/>
      <c r="Y3859" s="25"/>
      <c r="Z3859" s="25"/>
    </row>
    <row r="3860" spans="1:26" ht="15.75" customHeight="1" x14ac:dyDescent="0.25">
      <c r="A3860" s="25">
        <v>3858</v>
      </c>
      <c r="B3860" s="37" t="e">
        <f t="shared" ref="B3860:D3860" si="7769">VLOOKUP($A3860,[12]Salud!$A$1:$O$277,B$1,0)</f>
        <v>#N/A</v>
      </c>
      <c r="C3860" s="38" t="e">
        <f t="shared" si="7769"/>
        <v>#N/A</v>
      </c>
      <c r="D3860" s="39" t="e">
        <f t="shared" si="7769"/>
        <v>#N/A</v>
      </c>
      <c r="E3860" s="16" t="e">
        <f t="shared" si="1"/>
        <v>#N/A</v>
      </c>
      <c r="F3860" s="16" t="e">
        <f t="shared" ref="F3860:K3860" si="7770">VLOOKUP($A3860,[12]Salud!$A$1:$O$277,F$1,0)</f>
        <v>#N/A</v>
      </c>
      <c r="G3860" s="39" t="e">
        <f t="shared" si="7770"/>
        <v>#N/A</v>
      </c>
      <c r="H3860" s="16" t="e">
        <f t="shared" si="7770"/>
        <v>#N/A</v>
      </c>
      <c r="I3860" s="16" t="e">
        <f t="shared" si="7770"/>
        <v>#N/A</v>
      </c>
      <c r="J3860" s="40" t="e">
        <f t="shared" si="7770"/>
        <v>#N/A</v>
      </c>
      <c r="K3860" s="16" t="e">
        <f t="shared" si="7770"/>
        <v>#N/A</v>
      </c>
      <c r="L3860" s="40" t="e">
        <f t="shared" si="7253"/>
        <v>#N/A</v>
      </c>
      <c r="M3860" s="16" t="e">
        <f t="shared" si="7254"/>
        <v>#N/A</v>
      </c>
      <c r="N3860" s="16" t="e">
        <f t="shared" si="7255"/>
        <v>#N/A</v>
      </c>
      <c r="O3860" s="16" t="s">
        <v>76</v>
      </c>
      <c r="P3860" s="16" t="str">
        <f t="shared" si="6"/>
        <v/>
      </c>
      <c r="Q3860" s="41" t="e">
        <f t="shared" si="7256"/>
        <v>#N/A</v>
      </c>
      <c r="R3860" s="44"/>
      <c r="S3860" s="44"/>
      <c r="T3860" s="43"/>
      <c r="U3860" s="43" t="str">
        <f t="shared" si="8"/>
        <v>No</v>
      </c>
      <c r="V3860" s="25"/>
      <c r="W3860" s="25"/>
      <c r="X3860" s="25"/>
      <c r="Y3860" s="25"/>
      <c r="Z3860" s="25"/>
    </row>
    <row r="3861" spans="1:26" ht="15.75" customHeight="1" x14ac:dyDescent="0.25">
      <c r="A3861" s="25">
        <v>3859</v>
      </c>
      <c r="B3861" s="37" t="e">
        <f t="shared" ref="B3861:D3861" si="7771">VLOOKUP($A3861,[12]Salud!$A$1:$O$277,B$1,0)</f>
        <v>#N/A</v>
      </c>
      <c r="C3861" s="38" t="e">
        <f t="shared" si="7771"/>
        <v>#N/A</v>
      </c>
      <c r="D3861" s="39" t="e">
        <f t="shared" si="7771"/>
        <v>#N/A</v>
      </c>
      <c r="E3861" s="16" t="e">
        <f t="shared" si="1"/>
        <v>#N/A</v>
      </c>
      <c r="F3861" s="16" t="e">
        <f t="shared" ref="F3861:K3861" si="7772">VLOOKUP($A3861,[12]Salud!$A$1:$O$277,F$1,0)</f>
        <v>#N/A</v>
      </c>
      <c r="G3861" s="39" t="e">
        <f t="shared" si="7772"/>
        <v>#N/A</v>
      </c>
      <c r="H3861" s="16" t="e">
        <f t="shared" si="7772"/>
        <v>#N/A</v>
      </c>
      <c r="I3861" s="16" t="e">
        <f t="shared" si="7772"/>
        <v>#N/A</v>
      </c>
      <c r="J3861" s="40" t="e">
        <f t="shared" si="7772"/>
        <v>#N/A</v>
      </c>
      <c r="K3861" s="16" t="e">
        <f t="shared" si="7772"/>
        <v>#N/A</v>
      </c>
      <c r="L3861" s="40" t="e">
        <f t="shared" si="7253"/>
        <v>#N/A</v>
      </c>
      <c r="M3861" s="16" t="e">
        <f t="shared" si="7254"/>
        <v>#N/A</v>
      </c>
      <c r="N3861" s="16" t="e">
        <f t="shared" si="7255"/>
        <v>#N/A</v>
      </c>
      <c r="O3861" s="16" t="s">
        <v>76</v>
      </c>
      <c r="P3861" s="16" t="str">
        <f t="shared" si="6"/>
        <v/>
      </c>
      <c r="Q3861" s="41" t="e">
        <f t="shared" si="7256"/>
        <v>#N/A</v>
      </c>
      <c r="R3861" s="44"/>
      <c r="S3861" s="44"/>
      <c r="T3861" s="43"/>
      <c r="U3861" s="43" t="str">
        <f t="shared" si="8"/>
        <v>No</v>
      </c>
      <c r="V3861" s="25"/>
      <c r="W3861" s="25"/>
      <c r="X3861" s="25"/>
      <c r="Y3861" s="25"/>
      <c r="Z3861" s="25"/>
    </row>
    <row r="3862" spans="1:26" ht="15.75" customHeight="1" x14ac:dyDescent="0.25">
      <c r="A3862" s="25">
        <v>3860</v>
      </c>
      <c r="B3862" s="37" t="e">
        <f t="shared" ref="B3862:D3862" si="7773">VLOOKUP($A3862,[12]Salud!$A$1:$O$277,B$1,0)</f>
        <v>#N/A</v>
      </c>
      <c r="C3862" s="38" t="e">
        <f t="shared" si="7773"/>
        <v>#N/A</v>
      </c>
      <c r="D3862" s="39" t="e">
        <f t="shared" si="7773"/>
        <v>#N/A</v>
      </c>
      <c r="E3862" s="16" t="e">
        <f t="shared" si="1"/>
        <v>#N/A</v>
      </c>
      <c r="F3862" s="16" t="e">
        <f t="shared" ref="F3862:K3862" si="7774">VLOOKUP($A3862,[12]Salud!$A$1:$O$277,F$1,0)</f>
        <v>#N/A</v>
      </c>
      <c r="G3862" s="39" t="e">
        <f t="shared" si="7774"/>
        <v>#N/A</v>
      </c>
      <c r="H3862" s="16" t="e">
        <f t="shared" si="7774"/>
        <v>#N/A</v>
      </c>
      <c r="I3862" s="16" t="e">
        <f t="shared" si="7774"/>
        <v>#N/A</v>
      </c>
      <c r="J3862" s="40" t="e">
        <f t="shared" si="7774"/>
        <v>#N/A</v>
      </c>
      <c r="K3862" s="16" t="e">
        <f t="shared" si="7774"/>
        <v>#N/A</v>
      </c>
      <c r="L3862" s="40" t="e">
        <f t="shared" si="7253"/>
        <v>#N/A</v>
      </c>
      <c r="M3862" s="16" t="e">
        <f t="shared" si="7254"/>
        <v>#N/A</v>
      </c>
      <c r="N3862" s="16" t="e">
        <f t="shared" si="7255"/>
        <v>#N/A</v>
      </c>
      <c r="O3862" s="16" t="s">
        <v>76</v>
      </c>
      <c r="P3862" s="16" t="str">
        <f t="shared" si="6"/>
        <v/>
      </c>
      <c r="Q3862" s="41" t="e">
        <f t="shared" si="7256"/>
        <v>#N/A</v>
      </c>
      <c r="R3862" s="44"/>
      <c r="S3862" s="44"/>
      <c r="T3862" s="43"/>
      <c r="U3862" s="43" t="str">
        <f t="shared" si="8"/>
        <v>No</v>
      </c>
      <c r="V3862" s="25"/>
      <c r="W3862" s="25"/>
      <c r="X3862" s="25"/>
      <c r="Y3862" s="25"/>
      <c r="Z3862" s="25"/>
    </row>
    <row r="3863" spans="1:26" ht="15.75" customHeight="1" x14ac:dyDescent="0.25">
      <c r="A3863" s="25">
        <v>3861</v>
      </c>
      <c r="B3863" s="37" t="e">
        <f t="shared" ref="B3863:D3863" si="7775">VLOOKUP($A3863,[12]Salud!$A$1:$O$277,B$1,0)</f>
        <v>#N/A</v>
      </c>
      <c r="C3863" s="38" t="e">
        <f t="shared" si="7775"/>
        <v>#N/A</v>
      </c>
      <c r="D3863" s="39" t="e">
        <f t="shared" si="7775"/>
        <v>#N/A</v>
      </c>
      <c r="E3863" s="16" t="e">
        <f t="shared" si="1"/>
        <v>#N/A</v>
      </c>
      <c r="F3863" s="16" t="e">
        <f t="shared" ref="F3863:K3863" si="7776">VLOOKUP($A3863,[12]Salud!$A$1:$O$277,F$1,0)</f>
        <v>#N/A</v>
      </c>
      <c r="G3863" s="39" t="e">
        <f t="shared" si="7776"/>
        <v>#N/A</v>
      </c>
      <c r="H3863" s="16" t="e">
        <f t="shared" si="7776"/>
        <v>#N/A</v>
      </c>
      <c r="I3863" s="16" t="e">
        <f t="shared" si="7776"/>
        <v>#N/A</v>
      </c>
      <c r="J3863" s="40" t="e">
        <f t="shared" si="7776"/>
        <v>#N/A</v>
      </c>
      <c r="K3863" s="16" t="e">
        <f t="shared" si="7776"/>
        <v>#N/A</v>
      </c>
      <c r="L3863" s="40" t="e">
        <f t="shared" si="7253"/>
        <v>#N/A</v>
      </c>
      <c r="M3863" s="16" t="e">
        <f t="shared" si="7254"/>
        <v>#N/A</v>
      </c>
      <c r="N3863" s="16" t="e">
        <f t="shared" si="7255"/>
        <v>#N/A</v>
      </c>
      <c r="O3863" s="16" t="s">
        <v>76</v>
      </c>
      <c r="P3863" s="16" t="str">
        <f t="shared" si="6"/>
        <v/>
      </c>
      <c r="Q3863" s="41" t="e">
        <f t="shared" si="7256"/>
        <v>#N/A</v>
      </c>
      <c r="R3863" s="44"/>
      <c r="S3863" s="44"/>
      <c r="T3863" s="43"/>
      <c r="U3863" s="43" t="str">
        <f t="shared" si="8"/>
        <v>No</v>
      </c>
      <c r="V3863" s="25"/>
      <c r="W3863" s="25"/>
      <c r="X3863" s="25"/>
      <c r="Y3863" s="25"/>
      <c r="Z3863" s="25"/>
    </row>
    <row r="3864" spans="1:26" ht="15.75" customHeight="1" x14ac:dyDescent="0.25">
      <c r="A3864" s="25">
        <v>3862</v>
      </c>
      <c r="B3864" s="37" t="e">
        <f t="shared" ref="B3864:D3864" si="7777">VLOOKUP($A3864,[12]Salud!$A$1:$O$277,B$1,0)</f>
        <v>#N/A</v>
      </c>
      <c r="C3864" s="38" t="e">
        <f t="shared" si="7777"/>
        <v>#N/A</v>
      </c>
      <c r="D3864" s="39" t="e">
        <f t="shared" si="7777"/>
        <v>#N/A</v>
      </c>
      <c r="E3864" s="16" t="e">
        <f t="shared" si="1"/>
        <v>#N/A</v>
      </c>
      <c r="F3864" s="16" t="e">
        <f t="shared" ref="F3864:K3864" si="7778">VLOOKUP($A3864,[12]Salud!$A$1:$O$277,F$1,0)</f>
        <v>#N/A</v>
      </c>
      <c r="G3864" s="39" t="e">
        <f t="shared" si="7778"/>
        <v>#N/A</v>
      </c>
      <c r="H3864" s="16" t="e">
        <f t="shared" si="7778"/>
        <v>#N/A</v>
      </c>
      <c r="I3864" s="16" t="e">
        <f t="shared" si="7778"/>
        <v>#N/A</v>
      </c>
      <c r="J3864" s="40" t="e">
        <f t="shared" si="7778"/>
        <v>#N/A</v>
      </c>
      <c r="K3864" s="16" t="e">
        <f t="shared" si="7778"/>
        <v>#N/A</v>
      </c>
      <c r="L3864" s="40" t="e">
        <f t="shared" si="7253"/>
        <v>#N/A</v>
      </c>
      <c r="M3864" s="16" t="e">
        <f t="shared" si="7254"/>
        <v>#N/A</v>
      </c>
      <c r="N3864" s="16" t="e">
        <f t="shared" si="7255"/>
        <v>#N/A</v>
      </c>
      <c r="O3864" s="16" t="s">
        <v>76</v>
      </c>
      <c r="P3864" s="16" t="str">
        <f t="shared" si="6"/>
        <v/>
      </c>
      <c r="Q3864" s="41" t="e">
        <f t="shared" si="7256"/>
        <v>#N/A</v>
      </c>
      <c r="R3864" s="44"/>
      <c r="S3864" s="44"/>
      <c r="T3864" s="43"/>
      <c r="U3864" s="43" t="str">
        <f t="shared" si="8"/>
        <v>No</v>
      </c>
      <c r="V3864" s="25"/>
      <c r="W3864" s="25"/>
      <c r="X3864" s="25"/>
      <c r="Y3864" s="25"/>
      <c r="Z3864" s="25"/>
    </row>
    <row r="3865" spans="1:26" ht="15.75" customHeight="1" x14ac:dyDescent="0.25">
      <c r="A3865" s="25">
        <v>3863</v>
      </c>
      <c r="B3865" s="37" t="e">
        <f t="shared" ref="B3865:D3865" si="7779">VLOOKUP($A3865,[12]Salud!$A$1:$O$277,B$1,0)</f>
        <v>#N/A</v>
      </c>
      <c r="C3865" s="38" t="e">
        <f t="shared" si="7779"/>
        <v>#N/A</v>
      </c>
      <c r="D3865" s="39" t="e">
        <f t="shared" si="7779"/>
        <v>#N/A</v>
      </c>
      <c r="E3865" s="16" t="e">
        <f t="shared" si="1"/>
        <v>#N/A</v>
      </c>
      <c r="F3865" s="16" t="e">
        <f t="shared" ref="F3865:K3865" si="7780">VLOOKUP($A3865,[12]Salud!$A$1:$O$277,F$1,0)</f>
        <v>#N/A</v>
      </c>
      <c r="G3865" s="39" t="e">
        <f t="shared" si="7780"/>
        <v>#N/A</v>
      </c>
      <c r="H3865" s="16" t="e">
        <f t="shared" si="7780"/>
        <v>#N/A</v>
      </c>
      <c r="I3865" s="16" t="e">
        <f t="shared" si="7780"/>
        <v>#N/A</v>
      </c>
      <c r="J3865" s="40" t="e">
        <f t="shared" si="7780"/>
        <v>#N/A</v>
      </c>
      <c r="K3865" s="16" t="e">
        <f t="shared" si="7780"/>
        <v>#N/A</v>
      </c>
      <c r="L3865" s="40" t="e">
        <f t="shared" si="7253"/>
        <v>#N/A</v>
      </c>
      <c r="M3865" s="16" t="e">
        <f t="shared" si="7254"/>
        <v>#N/A</v>
      </c>
      <c r="N3865" s="16" t="e">
        <f t="shared" si="7255"/>
        <v>#N/A</v>
      </c>
      <c r="O3865" s="16" t="s">
        <v>76</v>
      </c>
      <c r="P3865" s="16" t="str">
        <f t="shared" si="6"/>
        <v/>
      </c>
      <c r="Q3865" s="41" t="e">
        <f t="shared" si="7256"/>
        <v>#N/A</v>
      </c>
      <c r="R3865" s="44"/>
      <c r="S3865" s="44"/>
      <c r="T3865" s="43"/>
      <c r="U3865" s="43" t="str">
        <f t="shared" si="8"/>
        <v>No</v>
      </c>
      <c r="V3865" s="25"/>
      <c r="W3865" s="25"/>
      <c r="X3865" s="25"/>
      <c r="Y3865" s="25"/>
      <c r="Z3865" s="25"/>
    </row>
    <row r="3866" spans="1:26" ht="15.75" customHeight="1" x14ac:dyDescent="0.25">
      <c r="A3866" s="25">
        <v>3864</v>
      </c>
      <c r="B3866" s="37" t="e">
        <f t="shared" ref="B3866:D3866" si="7781">VLOOKUP($A3866,[12]Salud!$A$1:$O$277,B$1,0)</f>
        <v>#N/A</v>
      </c>
      <c r="C3866" s="38" t="e">
        <f t="shared" si="7781"/>
        <v>#N/A</v>
      </c>
      <c r="D3866" s="39" t="e">
        <f t="shared" si="7781"/>
        <v>#N/A</v>
      </c>
      <c r="E3866" s="16" t="e">
        <f t="shared" si="1"/>
        <v>#N/A</v>
      </c>
      <c r="F3866" s="16" t="e">
        <f t="shared" ref="F3866:K3866" si="7782">VLOOKUP($A3866,[12]Salud!$A$1:$O$277,F$1,0)</f>
        <v>#N/A</v>
      </c>
      <c r="G3866" s="39" t="e">
        <f t="shared" si="7782"/>
        <v>#N/A</v>
      </c>
      <c r="H3866" s="16" t="e">
        <f t="shared" si="7782"/>
        <v>#N/A</v>
      </c>
      <c r="I3866" s="16" t="e">
        <f t="shared" si="7782"/>
        <v>#N/A</v>
      </c>
      <c r="J3866" s="40" t="e">
        <f t="shared" si="7782"/>
        <v>#N/A</v>
      </c>
      <c r="K3866" s="16" t="e">
        <f t="shared" si="7782"/>
        <v>#N/A</v>
      </c>
      <c r="L3866" s="40" t="e">
        <f t="shared" si="7253"/>
        <v>#N/A</v>
      </c>
      <c r="M3866" s="16" t="e">
        <f t="shared" si="7254"/>
        <v>#N/A</v>
      </c>
      <c r="N3866" s="16" t="e">
        <f t="shared" si="7255"/>
        <v>#N/A</v>
      </c>
      <c r="O3866" s="16" t="s">
        <v>76</v>
      </c>
      <c r="P3866" s="16" t="str">
        <f t="shared" si="6"/>
        <v/>
      </c>
      <c r="Q3866" s="41" t="e">
        <f t="shared" si="7256"/>
        <v>#N/A</v>
      </c>
      <c r="R3866" s="44"/>
      <c r="S3866" s="44"/>
      <c r="T3866" s="43"/>
      <c r="U3866" s="43" t="str">
        <f t="shared" si="8"/>
        <v>No</v>
      </c>
      <c r="V3866" s="25"/>
      <c r="W3866" s="25"/>
      <c r="X3866" s="25"/>
      <c r="Y3866" s="25"/>
      <c r="Z3866" s="25"/>
    </row>
    <row r="3867" spans="1:26" ht="15.75" customHeight="1" x14ac:dyDescent="0.25">
      <c r="A3867" s="25">
        <v>3865</v>
      </c>
      <c r="B3867" s="37" t="e">
        <f t="shared" ref="B3867:D3867" si="7783">VLOOKUP($A3867,[12]Salud!$A$1:$O$277,B$1,0)</f>
        <v>#N/A</v>
      </c>
      <c r="C3867" s="38" t="e">
        <f t="shared" si="7783"/>
        <v>#N/A</v>
      </c>
      <c r="D3867" s="39" t="e">
        <f t="shared" si="7783"/>
        <v>#N/A</v>
      </c>
      <c r="E3867" s="16" t="e">
        <f t="shared" si="1"/>
        <v>#N/A</v>
      </c>
      <c r="F3867" s="16" t="e">
        <f t="shared" ref="F3867:K3867" si="7784">VLOOKUP($A3867,[12]Salud!$A$1:$O$277,F$1,0)</f>
        <v>#N/A</v>
      </c>
      <c r="G3867" s="39" t="e">
        <f t="shared" si="7784"/>
        <v>#N/A</v>
      </c>
      <c r="H3867" s="16" t="e">
        <f t="shared" si="7784"/>
        <v>#N/A</v>
      </c>
      <c r="I3867" s="16" t="e">
        <f t="shared" si="7784"/>
        <v>#N/A</v>
      </c>
      <c r="J3867" s="40" t="e">
        <f t="shared" si="7784"/>
        <v>#N/A</v>
      </c>
      <c r="K3867" s="16" t="e">
        <f t="shared" si="7784"/>
        <v>#N/A</v>
      </c>
      <c r="L3867" s="40" t="e">
        <f t="shared" si="7253"/>
        <v>#N/A</v>
      </c>
      <c r="M3867" s="16" t="e">
        <f t="shared" si="7254"/>
        <v>#N/A</v>
      </c>
      <c r="N3867" s="16" t="e">
        <f t="shared" si="7255"/>
        <v>#N/A</v>
      </c>
      <c r="O3867" s="16" t="s">
        <v>76</v>
      </c>
      <c r="P3867" s="16" t="str">
        <f t="shared" si="6"/>
        <v/>
      </c>
      <c r="Q3867" s="41" t="e">
        <f t="shared" si="7256"/>
        <v>#N/A</v>
      </c>
      <c r="R3867" s="44"/>
      <c r="S3867" s="44"/>
      <c r="T3867" s="43"/>
      <c r="U3867" s="43" t="str">
        <f t="shared" si="8"/>
        <v>No</v>
      </c>
      <c r="V3867" s="25"/>
      <c r="W3867" s="25"/>
      <c r="X3867" s="25"/>
      <c r="Y3867" s="25"/>
      <c r="Z3867" s="25"/>
    </row>
    <row r="3868" spans="1:26" ht="15.75" customHeight="1" x14ac:dyDescent="0.25">
      <c r="A3868" s="25">
        <v>3866</v>
      </c>
      <c r="B3868" s="37" t="e">
        <f t="shared" ref="B3868:D3868" si="7785">VLOOKUP($A3868,[12]Salud!$A$1:$O$277,B$1,0)</f>
        <v>#N/A</v>
      </c>
      <c r="C3868" s="38" t="e">
        <f t="shared" si="7785"/>
        <v>#N/A</v>
      </c>
      <c r="D3868" s="39" t="e">
        <f t="shared" si="7785"/>
        <v>#N/A</v>
      </c>
      <c r="E3868" s="16" t="e">
        <f t="shared" si="1"/>
        <v>#N/A</v>
      </c>
      <c r="F3868" s="16" t="e">
        <f t="shared" ref="F3868:K3868" si="7786">VLOOKUP($A3868,[12]Salud!$A$1:$O$277,F$1,0)</f>
        <v>#N/A</v>
      </c>
      <c r="G3868" s="39" t="e">
        <f t="shared" si="7786"/>
        <v>#N/A</v>
      </c>
      <c r="H3868" s="16" t="e">
        <f t="shared" si="7786"/>
        <v>#N/A</v>
      </c>
      <c r="I3868" s="16" t="e">
        <f t="shared" si="7786"/>
        <v>#N/A</v>
      </c>
      <c r="J3868" s="40" t="e">
        <f t="shared" si="7786"/>
        <v>#N/A</v>
      </c>
      <c r="K3868" s="16" t="e">
        <f t="shared" si="7786"/>
        <v>#N/A</v>
      </c>
      <c r="L3868" s="40" t="e">
        <f t="shared" si="7253"/>
        <v>#N/A</v>
      </c>
      <c r="M3868" s="16" t="e">
        <f t="shared" si="7254"/>
        <v>#N/A</v>
      </c>
      <c r="N3868" s="16" t="e">
        <f t="shared" si="7255"/>
        <v>#N/A</v>
      </c>
      <c r="O3868" s="16" t="s">
        <v>76</v>
      </c>
      <c r="P3868" s="16" t="str">
        <f t="shared" si="6"/>
        <v/>
      </c>
      <c r="Q3868" s="41" t="e">
        <f t="shared" si="7256"/>
        <v>#N/A</v>
      </c>
      <c r="R3868" s="44"/>
      <c r="S3868" s="44"/>
      <c r="T3868" s="43"/>
      <c r="U3868" s="43" t="str">
        <f t="shared" si="8"/>
        <v>No</v>
      </c>
      <c r="V3868" s="25"/>
      <c r="W3868" s="25"/>
      <c r="X3868" s="25"/>
      <c r="Y3868" s="25"/>
      <c r="Z3868" s="25"/>
    </row>
    <row r="3869" spans="1:26" ht="15.75" customHeight="1" x14ac:dyDescent="0.25">
      <c r="A3869" s="25">
        <v>3867</v>
      </c>
      <c r="B3869" s="37" t="e">
        <f t="shared" ref="B3869:D3869" si="7787">VLOOKUP($A3869,[12]Salud!$A$1:$O$277,B$1,0)</f>
        <v>#N/A</v>
      </c>
      <c r="C3869" s="38" t="e">
        <f t="shared" si="7787"/>
        <v>#N/A</v>
      </c>
      <c r="D3869" s="39" t="e">
        <f t="shared" si="7787"/>
        <v>#N/A</v>
      </c>
      <c r="E3869" s="16" t="e">
        <f t="shared" si="1"/>
        <v>#N/A</v>
      </c>
      <c r="F3869" s="16" t="e">
        <f t="shared" ref="F3869:K3869" si="7788">VLOOKUP($A3869,[12]Salud!$A$1:$O$277,F$1,0)</f>
        <v>#N/A</v>
      </c>
      <c r="G3869" s="39" t="e">
        <f t="shared" si="7788"/>
        <v>#N/A</v>
      </c>
      <c r="H3869" s="16" t="e">
        <f t="shared" si="7788"/>
        <v>#N/A</v>
      </c>
      <c r="I3869" s="16" t="e">
        <f t="shared" si="7788"/>
        <v>#N/A</v>
      </c>
      <c r="J3869" s="40" t="e">
        <f t="shared" si="7788"/>
        <v>#N/A</v>
      </c>
      <c r="K3869" s="16" t="e">
        <f t="shared" si="7788"/>
        <v>#N/A</v>
      </c>
      <c r="L3869" s="40" t="e">
        <f t="shared" si="7253"/>
        <v>#N/A</v>
      </c>
      <c r="M3869" s="16" t="e">
        <f t="shared" si="7254"/>
        <v>#N/A</v>
      </c>
      <c r="N3869" s="16" t="e">
        <f t="shared" si="7255"/>
        <v>#N/A</v>
      </c>
      <c r="O3869" s="16" t="s">
        <v>76</v>
      </c>
      <c r="P3869" s="16" t="str">
        <f t="shared" si="6"/>
        <v/>
      </c>
      <c r="Q3869" s="41" t="e">
        <f t="shared" si="7256"/>
        <v>#N/A</v>
      </c>
      <c r="R3869" s="44"/>
      <c r="S3869" s="44"/>
      <c r="T3869" s="43"/>
      <c r="U3869" s="43" t="str">
        <f t="shared" si="8"/>
        <v>No</v>
      </c>
      <c r="V3869" s="25"/>
      <c r="W3869" s="25"/>
      <c r="X3869" s="25"/>
      <c r="Y3869" s="25"/>
      <c r="Z3869" s="25"/>
    </row>
    <row r="3870" spans="1:26" ht="15.75" customHeight="1" x14ac:dyDescent="0.25">
      <c r="A3870" s="25">
        <v>3868</v>
      </c>
      <c r="B3870" s="37" t="e">
        <f t="shared" ref="B3870:D3870" si="7789">VLOOKUP($A3870,[12]Salud!$A$1:$O$277,B$1,0)</f>
        <v>#N/A</v>
      </c>
      <c r="C3870" s="38" t="e">
        <f t="shared" si="7789"/>
        <v>#N/A</v>
      </c>
      <c r="D3870" s="39" t="e">
        <f t="shared" si="7789"/>
        <v>#N/A</v>
      </c>
      <c r="E3870" s="16" t="e">
        <f t="shared" si="1"/>
        <v>#N/A</v>
      </c>
      <c r="F3870" s="16" t="e">
        <f t="shared" ref="F3870:K3870" si="7790">VLOOKUP($A3870,[12]Salud!$A$1:$O$277,F$1,0)</f>
        <v>#N/A</v>
      </c>
      <c r="G3870" s="39" t="e">
        <f t="shared" si="7790"/>
        <v>#N/A</v>
      </c>
      <c r="H3870" s="16" t="e">
        <f t="shared" si="7790"/>
        <v>#N/A</v>
      </c>
      <c r="I3870" s="16" t="e">
        <f t="shared" si="7790"/>
        <v>#N/A</v>
      </c>
      <c r="J3870" s="40" t="e">
        <f t="shared" si="7790"/>
        <v>#N/A</v>
      </c>
      <c r="K3870" s="16" t="e">
        <f t="shared" si="7790"/>
        <v>#N/A</v>
      </c>
      <c r="L3870" s="40" t="e">
        <f t="shared" si="7253"/>
        <v>#N/A</v>
      </c>
      <c r="M3870" s="16" t="e">
        <f t="shared" si="7254"/>
        <v>#N/A</v>
      </c>
      <c r="N3870" s="16" t="e">
        <f t="shared" si="7255"/>
        <v>#N/A</v>
      </c>
      <c r="O3870" s="16" t="s">
        <v>76</v>
      </c>
      <c r="P3870" s="16" t="str">
        <f t="shared" si="6"/>
        <v/>
      </c>
      <c r="Q3870" s="41" t="e">
        <f t="shared" si="7256"/>
        <v>#N/A</v>
      </c>
      <c r="R3870" s="44"/>
      <c r="S3870" s="44"/>
      <c r="T3870" s="43"/>
      <c r="U3870" s="43" t="str">
        <f t="shared" si="8"/>
        <v>No</v>
      </c>
      <c r="V3870" s="25"/>
      <c r="W3870" s="25"/>
      <c r="X3870" s="25"/>
      <c r="Y3870" s="25"/>
      <c r="Z3870" s="25"/>
    </row>
    <row r="3871" spans="1:26" ht="15.75" customHeight="1" x14ac:dyDescent="0.25">
      <c r="A3871" s="25">
        <v>3869</v>
      </c>
      <c r="B3871" s="37" t="e">
        <f t="shared" ref="B3871:D3871" si="7791">VLOOKUP($A3871,[12]Salud!$A$1:$O$277,B$1,0)</f>
        <v>#N/A</v>
      </c>
      <c r="C3871" s="38" t="e">
        <f t="shared" si="7791"/>
        <v>#N/A</v>
      </c>
      <c r="D3871" s="39" t="e">
        <f t="shared" si="7791"/>
        <v>#N/A</v>
      </c>
      <c r="E3871" s="16" t="e">
        <f t="shared" si="1"/>
        <v>#N/A</v>
      </c>
      <c r="F3871" s="16" t="e">
        <f t="shared" ref="F3871:K3871" si="7792">VLOOKUP($A3871,[12]Salud!$A$1:$O$277,F$1,0)</f>
        <v>#N/A</v>
      </c>
      <c r="G3871" s="39" t="e">
        <f t="shared" si="7792"/>
        <v>#N/A</v>
      </c>
      <c r="H3871" s="16" t="e">
        <f t="shared" si="7792"/>
        <v>#N/A</v>
      </c>
      <c r="I3871" s="16" t="e">
        <f t="shared" si="7792"/>
        <v>#N/A</v>
      </c>
      <c r="J3871" s="40" t="e">
        <f t="shared" si="7792"/>
        <v>#N/A</v>
      </c>
      <c r="K3871" s="16" t="e">
        <f t="shared" si="7792"/>
        <v>#N/A</v>
      </c>
      <c r="L3871" s="40" t="e">
        <f t="shared" si="7253"/>
        <v>#N/A</v>
      </c>
      <c r="M3871" s="16" t="e">
        <f t="shared" si="7254"/>
        <v>#N/A</v>
      </c>
      <c r="N3871" s="16" t="e">
        <f t="shared" si="7255"/>
        <v>#N/A</v>
      </c>
      <c r="O3871" s="16" t="s">
        <v>76</v>
      </c>
      <c r="P3871" s="16" t="str">
        <f t="shared" si="6"/>
        <v/>
      </c>
      <c r="Q3871" s="41" t="e">
        <f t="shared" si="7256"/>
        <v>#N/A</v>
      </c>
      <c r="R3871" s="44"/>
      <c r="S3871" s="44"/>
      <c r="T3871" s="43"/>
      <c r="U3871" s="43" t="str">
        <f t="shared" si="8"/>
        <v>No</v>
      </c>
      <c r="V3871" s="25"/>
      <c r="W3871" s="25"/>
      <c r="X3871" s="25"/>
      <c r="Y3871" s="25"/>
      <c r="Z3871" s="25"/>
    </row>
    <row r="3872" spans="1:26" ht="15.75" customHeight="1" x14ac:dyDescent="0.25">
      <c r="A3872" s="25">
        <v>3870</v>
      </c>
      <c r="B3872" s="37" t="e">
        <f t="shared" ref="B3872:D3872" si="7793">VLOOKUP($A3872,[12]Salud!$A$1:$O$277,B$1,0)</f>
        <v>#N/A</v>
      </c>
      <c r="C3872" s="38" t="e">
        <f t="shared" si="7793"/>
        <v>#N/A</v>
      </c>
      <c r="D3872" s="39" t="e">
        <f t="shared" si="7793"/>
        <v>#N/A</v>
      </c>
      <c r="E3872" s="16" t="e">
        <f t="shared" si="1"/>
        <v>#N/A</v>
      </c>
      <c r="F3872" s="16" t="e">
        <f t="shared" ref="F3872:K3872" si="7794">VLOOKUP($A3872,[12]Salud!$A$1:$O$277,F$1,0)</f>
        <v>#N/A</v>
      </c>
      <c r="G3872" s="39" t="e">
        <f t="shared" si="7794"/>
        <v>#N/A</v>
      </c>
      <c r="H3872" s="16" t="e">
        <f t="shared" si="7794"/>
        <v>#N/A</v>
      </c>
      <c r="I3872" s="16" t="e">
        <f t="shared" si="7794"/>
        <v>#N/A</v>
      </c>
      <c r="J3872" s="40" t="e">
        <f t="shared" si="7794"/>
        <v>#N/A</v>
      </c>
      <c r="K3872" s="16" t="e">
        <f t="shared" si="7794"/>
        <v>#N/A</v>
      </c>
      <c r="L3872" s="40" t="e">
        <f t="shared" si="7253"/>
        <v>#N/A</v>
      </c>
      <c r="M3872" s="16" t="e">
        <f t="shared" si="7254"/>
        <v>#N/A</v>
      </c>
      <c r="N3872" s="16" t="e">
        <f t="shared" si="7255"/>
        <v>#N/A</v>
      </c>
      <c r="O3872" s="16" t="s">
        <v>76</v>
      </c>
      <c r="P3872" s="16" t="str">
        <f t="shared" si="6"/>
        <v/>
      </c>
      <c r="Q3872" s="41" t="e">
        <f t="shared" si="7256"/>
        <v>#N/A</v>
      </c>
      <c r="R3872" s="44"/>
      <c r="S3872" s="44"/>
      <c r="T3872" s="43"/>
      <c r="U3872" s="43" t="str">
        <f t="shared" si="8"/>
        <v>No</v>
      </c>
      <c r="V3872" s="25"/>
      <c r="W3872" s="25"/>
      <c r="X3872" s="25"/>
      <c r="Y3872" s="25"/>
      <c r="Z3872" s="25"/>
    </row>
    <row r="3873" spans="1:26" ht="15.75" customHeight="1" x14ac:dyDescent="0.25">
      <c r="A3873" s="25">
        <v>3871</v>
      </c>
      <c r="B3873" s="37" t="e">
        <f t="shared" ref="B3873:D3873" si="7795">VLOOKUP($A3873,[12]Salud!$A$1:$O$277,B$1,0)</f>
        <v>#N/A</v>
      </c>
      <c r="C3873" s="38" t="e">
        <f t="shared" si="7795"/>
        <v>#N/A</v>
      </c>
      <c r="D3873" s="39" t="e">
        <f t="shared" si="7795"/>
        <v>#N/A</v>
      </c>
      <c r="E3873" s="16" t="e">
        <f t="shared" si="1"/>
        <v>#N/A</v>
      </c>
      <c r="F3873" s="16" t="e">
        <f t="shared" ref="F3873:K3873" si="7796">VLOOKUP($A3873,[12]Salud!$A$1:$O$277,F$1,0)</f>
        <v>#N/A</v>
      </c>
      <c r="G3873" s="39" t="e">
        <f t="shared" si="7796"/>
        <v>#N/A</v>
      </c>
      <c r="H3873" s="16" t="e">
        <f t="shared" si="7796"/>
        <v>#N/A</v>
      </c>
      <c r="I3873" s="16" t="e">
        <f t="shared" si="7796"/>
        <v>#N/A</v>
      </c>
      <c r="J3873" s="40" t="e">
        <f t="shared" si="7796"/>
        <v>#N/A</v>
      </c>
      <c r="K3873" s="16" t="e">
        <f t="shared" si="7796"/>
        <v>#N/A</v>
      </c>
      <c r="L3873" s="40" t="e">
        <f t="shared" si="7253"/>
        <v>#N/A</v>
      </c>
      <c r="M3873" s="16" t="e">
        <f t="shared" si="7254"/>
        <v>#N/A</v>
      </c>
      <c r="N3873" s="16" t="e">
        <f t="shared" si="7255"/>
        <v>#N/A</v>
      </c>
      <c r="O3873" s="16" t="s">
        <v>76</v>
      </c>
      <c r="P3873" s="16" t="str">
        <f t="shared" si="6"/>
        <v/>
      </c>
      <c r="Q3873" s="41" t="e">
        <f t="shared" si="7256"/>
        <v>#N/A</v>
      </c>
      <c r="R3873" s="44"/>
      <c r="S3873" s="44"/>
      <c r="T3873" s="43"/>
      <c r="U3873" s="43" t="str">
        <f t="shared" si="8"/>
        <v>No</v>
      </c>
      <c r="V3873" s="25"/>
      <c r="W3873" s="25"/>
      <c r="X3873" s="25"/>
      <c r="Y3873" s="25"/>
      <c r="Z3873" s="25"/>
    </row>
    <row r="3874" spans="1:26" ht="15.75" customHeight="1" x14ac:dyDescent="0.25">
      <c r="A3874" s="25">
        <v>3872</v>
      </c>
      <c r="B3874" s="37" t="e">
        <f t="shared" ref="B3874:D3874" si="7797">VLOOKUP($A3874,[12]Salud!$A$1:$O$277,B$1,0)</f>
        <v>#N/A</v>
      </c>
      <c r="C3874" s="38" t="e">
        <f t="shared" si="7797"/>
        <v>#N/A</v>
      </c>
      <c r="D3874" s="39" t="e">
        <f t="shared" si="7797"/>
        <v>#N/A</v>
      </c>
      <c r="E3874" s="16" t="e">
        <f t="shared" si="1"/>
        <v>#N/A</v>
      </c>
      <c r="F3874" s="16" t="e">
        <f t="shared" ref="F3874:K3874" si="7798">VLOOKUP($A3874,[12]Salud!$A$1:$O$277,F$1,0)</f>
        <v>#N/A</v>
      </c>
      <c r="G3874" s="39" t="e">
        <f t="shared" si="7798"/>
        <v>#N/A</v>
      </c>
      <c r="H3874" s="16" t="e">
        <f t="shared" si="7798"/>
        <v>#N/A</v>
      </c>
      <c r="I3874" s="16" t="e">
        <f t="shared" si="7798"/>
        <v>#N/A</v>
      </c>
      <c r="J3874" s="40" t="e">
        <f t="shared" si="7798"/>
        <v>#N/A</v>
      </c>
      <c r="K3874" s="16" t="e">
        <f t="shared" si="7798"/>
        <v>#N/A</v>
      </c>
      <c r="L3874" s="40" t="e">
        <f t="shared" si="7253"/>
        <v>#N/A</v>
      </c>
      <c r="M3874" s="16" t="e">
        <f t="shared" si="7254"/>
        <v>#N/A</v>
      </c>
      <c r="N3874" s="16" t="e">
        <f t="shared" si="7255"/>
        <v>#N/A</v>
      </c>
      <c r="O3874" s="16" t="s">
        <v>76</v>
      </c>
      <c r="P3874" s="16" t="str">
        <f t="shared" si="6"/>
        <v/>
      </c>
      <c r="Q3874" s="41" t="e">
        <f t="shared" si="7256"/>
        <v>#N/A</v>
      </c>
      <c r="R3874" s="44"/>
      <c r="S3874" s="44"/>
      <c r="T3874" s="43"/>
      <c r="U3874" s="43" t="str">
        <f t="shared" si="8"/>
        <v>No</v>
      </c>
      <c r="V3874" s="25"/>
      <c r="W3874" s="25"/>
      <c r="X3874" s="25"/>
      <c r="Y3874" s="25"/>
      <c r="Z3874" s="25"/>
    </row>
    <row r="3875" spans="1:26" ht="15.75" customHeight="1" x14ac:dyDescent="0.25">
      <c r="A3875" s="25">
        <v>3873</v>
      </c>
      <c r="B3875" s="37" t="e">
        <f t="shared" ref="B3875:D3875" si="7799">VLOOKUP($A3875,[12]Salud!$A$1:$O$277,B$1,0)</f>
        <v>#N/A</v>
      </c>
      <c r="C3875" s="38" t="e">
        <f t="shared" si="7799"/>
        <v>#N/A</v>
      </c>
      <c r="D3875" s="39" t="e">
        <f t="shared" si="7799"/>
        <v>#N/A</v>
      </c>
      <c r="E3875" s="16" t="e">
        <f t="shared" si="1"/>
        <v>#N/A</v>
      </c>
      <c r="F3875" s="16" t="e">
        <f t="shared" ref="F3875:K3875" si="7800">VLOOKUP($A3875,[12]Salud!$A$1:$O$277,F$1,0)</f>
        <v>#N/A</v>
      </c>
      <c r="G3875" s="39" t="e">
        <f t="shared" si="7800"/>
        <v>#N/A</v>
      </c>
      <c r="H3875" s="16" t="e">
        <f t="shared" si="7800"/>
        <v>#N/A</v>
      </c>
      <c r="I3875" s="16" t="e">
        <f t="shared" si="7800"/>
        <v>#N/A</v>
      </c>
      <c r="J3875" s="40" t="e">
        <f t="shared" si="7800"/>
        <v>#N/A</v>
      </c>
      <c r="K3875" s="16" t="e">
        <f t="shared" si="7800"/>
        <v>#N/A</v>
      </c>
      <c r="L3875" s="40" t="e">
        <f t="shared" si="7253"/>
        <v>#N/A</v>
      </c>
      <c r="M3875" s="16" t="e">
        <f t="shared" si="7254"/>
        <v>#N/A</v>
      </c>
      <c r="N3875" s="16" t="e">
        <f t="shared" si="7255"/>
        <v>#N/A</v>
      </c>
      <c r="O3875" s="16" t="s">
        <v>76</v>
      </c>
      <c r="P3875" s="16" t="str">
        <f t="shared" si="6"/>
        <v/>
      </c>
      <c r="Q3875" s="41" t="e">
        <f t="shared" si="7256"/>
        <v>#N/A</v>
      </c>
      <c r="R3875" s="44"/>
      <c r="S3875" s="44"/>
      <c r="T3875" s="43"/>
      <c r="U3875" s="43" t="str">
        <f t="shared" si="8"/>
        <v>No</v>
      </c>
      <c r="V3875" s="25"/>
      <c r="W3875" s="25"/>
      <c r="X3875" s="25"/>
      <c r="Y3875" s="25"/>
      <c r="Z3875" s="25"/>
    </row>
    <row r="3876" spans="1:26" ht="15.75" customHeight="1" x14ac:dyDescent="0.25">
      <c r="A3876" s="25">
        <v>3874</v>
      </c>
      <c r="B3876" s="37" t="e">
        <f t="shared" ref="B3876:D3876" si="7801">VLOOKUP($A3876,[12]Salud!$A$1:$O$277,B$1,0)</f>
        <v>#N/A</v>
      </c>
      <c r="C3876" s="38" t="e">
        <f t="shared" si="7801"/>
        <v>#N/A</v>
      </c>
      <c r="D3876" s="39" t="e">
        <f t="shared" si="7801"/>
        <v>#N/A</v>
      </c>
      <c r="E3876" s="16" t="e">
        <f t="shared" si="1"/>
        <v>#N/A</v>
      </c>
      <c r="F3876" s="16" t="e">
        <f t="shared" ref="F3876:K3876" si="7802">VLOOKUP($A3876,[12]Salud!$A$1:$O$277,F$1,0)</f>
        <v>#N/A</v>
      </c>
      <c r="G3876" s="39" t="e">
        <f t="shared" si="7802"/>
        <v>#N/A</v>
      </c>
      <c r="H3876" s="16" t="e">
        <f t="shared" si="7802"/>
        <v>#N/A</v>
      </c>
      <c r="I3876" s="16" t="e">
        <f t="shared" si="7802"/>
        <v>#N/A</v>
      </c>
      <c r="J3876" s="40" t="e">
        <f t="shared" si="7802"/>
        <v>#N/A</v>
      </c>
      <c r="K3876" s="16" t="e">
        <f t="shared" si="7802"/>
        <v>#N/A</v>
      </c>
      <c r="L3876" s="40" t="e">
        <f t="shared" si="7253"/>
        <v>#N/A</v>
      </c>
      <c r="M3876" s="16" t="e">
        <f t="shared" si="7254"/>
        <v>#N/A</v>
      </c>
      <c r="N3876" s="16" t="e">
        <f t="shared" si="7255"/>
        <v>#N/A</v>
      </c>
      <c r="O3876" s="16" t="s">
        <v>76</v>
      </c>
      <c r="P3876" s="16" t="str">
        <f t="shared" si="6"/>
        <v/>
      </c>
      <c r="Q3876" s="41" t="e">
        <f t="shared" si="7256"/>
        <v>#N/A</v>
      </c>
      <c r="R3876" s="44"/>
      <c r="S3876" s="44"/>
      <c r="T3876" s="43"/>
      <c r="U3876" s="43" t="str">
        <f t="shared" si="8"/>
        <v>No</v>
      </c>
      <c r="V3876" s="25"/>
      <c r="W3876" s="25"/>
      <c r="X3876" s="25"/>
      <c r="Y3876" s="25"/>
      <c r="Z3876" s="25"/>
    </row>
    <row r="3877" spans="1:26" ht="15.75" customHeight="1" x14ac:dyDescent="0.25">
      <c r="A3877" s="25">
        <v>3875</v>
      </c>
      <c r="B3877" s="37" t="e">
        <f t="shared" ref="B3877:D3877" si="7803">VLOOKUP($A3877,[12]Salud!$A$1:$O$277,B$1,0)</f>
        <v>#N/A</v>
      </c>
      <c r="C3877" s="38" t="e">
        <f t="shared" si="7803"/>
        <v>#N/A</v>
      </c>
      <c r="D3877" s="39" t="e">
        <f t="shared" si="7803"/>
        <v>#N/A</v>
      </c>
      <c r="E3877" s="16" t="e">
        <f t="shared" si="1"/>
        <v>#N/A</v>
      </c>
      <c r="F3877" s="16" t="e">
        <f t="shared" ref="F3877:K3877" si="7804">VLOOKUP($A3877,[12]Salud!$A$1:$O$277,F$1,0)</f>
        <v>#N/A</v>
      </c>
      <c r="G3877" s="39" t="e">
        <f t="shared" si="7804"/>
        <v>#N/A</v>
      </c>
      <c r="H3877" s="16" t="e">
        <f t="shared" si="7804"/>
        <v>#N/A</v>
      </c>
      <c r="I3877" s="16" t="e">
        <f t="shared" si="7804"/>
        <v>#N/A</v>
      </c>
      <c r="J3877" s="40" t="e">
        <f t="shared" si="7804"/>
        <v>#N/A</v>
      </c>
      <c r="K3877" s="16" t="e">
        <f t="shared" si="7804"/>
        <v>#N/A</v>
      </c>
      <c r="L3877" s="40" t="e">
        <f t="shared" si="7253"/>
        <v>#N/A</v>
      </c>
      <c r="M3877" s="16" t="e">
        <f t="shared" si="7254"/>
        <v>#N/A</v>
      </c>
      <c r="N3877" s="16" t="e">
        <f t="shared" si="7255"/>
        <v>#N/A</v>
      </c>
      <c r="O3877" s="16" t="s">
        <v>76</v>
      </c>
      <c r="P3877" s="16" t="str">
        <f t="shared" si="6"/>
        <v/>
      </c>
      <c r="Q3877" s="41" t="e">
        <f t="shared" si="7256"/>
        <v>#N/A</v>
      </c>
      <c r="R3877" s="44"/>
      <c r="S3877" s="44"/>
      <c r="T3877" s="43"/>
      <c r="U3877" s="43" t="str">
        <f t="shared" si="8"/>
        <v>No</v>
      </c>
      <c r="V3877" s="25"/>
      <c r="W3877" s="25"/>
      <c r="X3877" s="25"/>
      <c r="Y3877" s="25"/>
      <c r="Z3877" s="25"/>
    </row>
    <row r="3878" spans="1:26" ht="15.75" customHeight="1" x14ac:dyDescent="0.25">
      <c r="A3878" s="25">
        <v>3876</v>
      </c>
      <c r="B3878" s="37" t="e">
        <f t="shared" ref="B3878:D3878" si="7805">VLOOKUP($A3878,[12]Salud!$A$1:$O$277,B$1,0)</f>
        <v>#N/A</v>
      </c>
      <c r="C3878" s="38" t="e">
        <f t="shared" si="7805"/>
        <v>#N/A</v>
      </c>
      <c r="D3878" s="39" t="e">
        <f t="shared" si="7805"/>
        <v>#N/A</v>
      </c>
      <c r="E3878" s="16" t="e">
        <f t="shared" si="1"/>
        <v>#N/A</v>
      </c>
      <c r="F3878" s="16" t="e">
        <f t="shared" ref="F3878:K3878" si="7806">VLOOKUP($A3878,[12]Salud!$A$1:$O$277,F$1,0)</f>
        <v>#N/A</v>
      </c>
      <c r="G3878" s="39" t="e">
        <f t="shared" si="7806"/>
        <v>#N/A</v>
      </c>
      <c r="H3878" s="16" t="e">
        <f t="shared" si="7806"/>
        <v>#N/A</v>
      </c>
      <c r="I3878" s="16" t="e">
        <f t="shared" si="7806"/>
        <v>#N/A</v>
      </c>
      <c r="J3878" s="40" t="e">
        <f t="shared" si="7806"/>
        <v>#N/A</v>
      </c>
      <c r="K3878" s="16" t="e">
        <f t="shared" si="7806"/>
        <v>#N/A</v>
      </c>
      <c r="L3878" s="40" t="e">
        <f t="shared" si="7253"/>
        <v>#N/A</v>
      </c>
      <c r="M3878" s="16" t="e">
        <f t="shared" si="7254"/>
        <v>#N/A</v>
      </c>
      <c r="N3878" s="16" t="e">
        <f t="shared" si="7255"/>
        <v>#N/A</v>
      </c>
      <c r="O3878" s="16" t="s">
        <v>76</v>
      </c>
      <c r="P3878" s="16" t="str">
        <f t="shared" si="6"/>
        <v/>
      </c>
      <c r="Q3878" s="41" t="e">
        <f t="shared" si="7256"/>
        <v>#N/A</v>
      </c>
      <c r="R3878" s="44"/>
      <c r="S3878" s="44"/>
      <c r="T3878" s="43"/>
      <c r="U3878" s="43" t="str">
        <f t="shared" si="8"/>
        <v>No</v>
      </c>
      <c r="V3878" s="25"/>
      <c r="W3878" s="25"/>
      <c r="X3878" s="25"/>
      <c r="Y3878" s="25"/>
      <c r="Z3878" s="25"/>
    </row>
    <row r="3879" spans="1:26" ht="15.75" customHeight="1" x14ac:dyDescent="0.25">
      <c r="A3879" s="25">
        <v>3877</v>
      </c>
      <c r="B3879" s="37" t="e">
        <f t="shared" ref="B3879:D3879" si="7807">VLOOKUP($A3879,[12]Salud!$A$1:$O$277,B$1,0)</f>
        <v>#N/A</v>
      </c>
      <c r="C3879" s="38" t="e">
        <f t="shared" si="7807"/>
        <v>#N/A</v>
      </c>
      <c r="D3879" s="39" t="e">
        <f t="shared" si="7807"/>
        <v>#N/A</v>
      </c>
      <c r="E3879" s="16" t="e">
        <f t="shared" si="1"/>
        <v>#N/A</v>
      </c>
      <c r="F3879" s="16" t="e">
        <f t="shared" ref="F3879:K3879" si="7808">VLOOKUP($A3879,[12]Salud!$A$1:$O$277,F$1,0)</f>
        <v>#N/A</v>
      </c>
      <c r="G3879" s="39" t="e">
        <f t="shared" si="7808"/>
        <v>#N/A</v>
      </c>
      <c r="H3879" s="16" t="e">
        <f t="shared" si="7808"/>
        <v>#N/A</v>
      </c>
      <c r="I3879" s="16" t="e">
        <f t="shared" si="7808"/>
        <v>#N/A</v>
      </c>
      <c r="J3879" s="40" t="e">
        <f t="shared" si="7808"/>
        <v>#N/A</v>
      </c>
      <c r="K3879" s="16" t="e">
        <f t="shared" si="7808"/>
        <v>#N/A</v>
      </c>
      <c r="L3879" s="40" t="e">
        <f t="shared" si="7253"/>
        <v>#N/A</v>
      </c>
      <c r="M3879" s="16" t="e">
        <f t="shared" si="7254"/>
        <v>#N/A</v>
      </c>
      <c r="N3879" s="16" t="e">
        <f t="shared" si="7255"/>
        <v>#N/A</v>
      </c>
      <c r="O3879" s="16" t="s">
        <v>76</v>
      </c>
      <c r="P3879" s="16" t="str">
        <f t="shared" si="6"/>
        <v/>
      </c>
      <c r="Q3879" s="41" t="e">
        <f t="shared" si="7256"/>
        <v>#N/A</v>
      </c>
      <c r="R3879" s="44"/>
      <c r="S3879" s="44"/>
      <c r="T3879" s="43"/>
      <c r="U3879" s="43" t="str">
        <f t="shared" si="8"/>
        <v>No</v>
      </c>
      <c r="V3879" s="25"/>
      <c r="W3879" s="25"/>
      <c r="X3879" s="25"/>
      <c r="Y3879" s="25"/>
      <c r="Z3879" s="25"/>
    </row>
    <row r="3880" spans="1:26" ht="15.75" customHeight="1" x14ac:dyDescent="0.25">
      <c r="A3880" s="25">
        <v>3878</v>
      </c>
      <c r="B3880" s="37" t="e">
        <f t="shared" ref="B3880:D3880" si="7809">VLOOKUP($A3880,[12]Salud!$A$1:$O$277,B$1,0)</f>
        <v>#N/A</v>
      </c>
      <c r="C3880" s="38" t="e">
        <f t="shared" si="7809"/>
        <v>#N/A</v>
      </c>
      <c r="D3880" s="39" t="e">
        <f t="shared" si="7809"/>
        <v>#N/A</v>
      </c>
      <c r="E3880" s="16" t="e">
        <f t="shared" si="1"/>
        <v>#N/A</v>
      </c>
      <c r="F3880" s="16" t="e">
        <f t="shared" ref="F3880:K3880" si="7810">VLOOKUP($A3880,[12]Salud!$A$1:$O$277,F$1,0)</f>
        <v>#N/A</v>
      </c>
      <c r="G3880" s="39" t="e">
        <f t="shared" si="7810"/>
        <v>#N/A</v>
      </c>
      <c r="H3880" s="16" t="e">
        <f t="shared" si="7810"/>
        <v>#N/A</v>
      </c>
      <c r="I3880" s="16" t="e">
        <f t="shared" si="7810"/>
        <v>#N/A</v>
      </c>
      <c r="J3880" s="40" t="e">
        <f t="shared" si="7810"/>
        <v>#N/A</v>
      </c>
      <c r="K3880" s="16" t="e">
        <f t="shared" si="7810"/>
        <v>#N/A</v>
      </c>
      <c r="L3880" s="40" t="e">
        <f t="shared" si="7253"/>
        <v>#N/A</v>
      </c>
      <c r="M3880" s="16" t="e">
        <f t="shared" si="7254"/>
        <v>#N/A</v>
      </c>
      <c r="N3880" s="16" t="e">
        <f t="shared" si="7255"/>
        <v>#N/A</v>
      </c>
      <c r="O3880" s="16" t="s">
        <v>76</v>
      </c>
      <c r="P3880" s="16" t="str">
        <f t="shared" si="6"/>
        <v/>
      </c>
      <c r="Q3880" s="41" t="e">
        <f t="shared" si="7256"/>
        <v>#N/A</v>
      </c>
      <c r="R3880" s="44"/>
      <c r="S3880" s="44"/>
      <c r="T3880" s="43"/>
      <c r="U3880" s="43" t="str">
        <f t="shared" si="8"/>
        <v>No</v>
      </c>
      <c r="V3880" s="25"/>
      <c r="W3880" s="25"/>
      <c r="X3880" s="25"/>
      <c r="Y3880" s="25"/>
      <c r="Z3880" s="25"/>
    </row>
    <row r="3881" spans="1:26" ht="15.75" customHeight="1" x14ac:dyDescent="0.25">
      <c r="A3881" s="25">
        <v>3879</v>
      </c>
      <c r="B3881" s="37" t="e">
        <f t="shared" ref="B3881:D3881" si="7811">VLOOKUP($A3881,[12]Salud!$A$1:$O$277,B$1,0)</f>
        <v>#N/A</v>
      </c>
      <c r="C3881" s="38" t="e">
        <f t="shared" si="7811"/>
        <v>#N/A</v>
      </c>
      <c r="D3881" s="39" t="e">
        <f t="shared" si="7811"/>
        <v>#N/A</v>
      </c>
      <c r="E3881" s="16" t="e">
        <f t="shared" si="1"/>
        <v>#N/A</v>
      </c>
      <c r="F3881" s="16" t="e">
        <f t="shared" ref="F3881:K3881" si="7812">VLOOKUP($A3881,[12]Salud!$A$1:$O$277,F$1,0)</f>
        <v>#N/A</v>
      </c>
      <c r="G3881" s="39" t="e">
        <f t="shared" si="7812"/>
        <v>#N/A</v>
      </c>
      <c r="H3881" s="16" t="e">
        <f t="shared" si="7812"/>
        <v>#N/A</v>
      </c>
      <c r="I3881" s="16" t="e">
        <f t="shared" si="7812"/>
        <v>#N/A</v>
      </c>
      <c r="J3881" s="40" t="e">
        <f t="shared" si="7812"/>
        <v>#N/A</v>
      </c>
      <c r="K3881" s="16" t="e">
        <f t="shared" si="7812"/>
        <v>#N/A</v>
      </c>
      <c r="L3881" s="40" t="e">
        <f t="shared" si="7253"/>
        <v>#N/A</v>
      </c>
      <c r="M3881" s="16" t="e">
        <f t="shared" si="7254"/>
        <v>#N/A</v>
      </c>
      <c r="N3881" s="16" t="e">
        <f t="shared" si="7255"/>
        <v>#N/A</v>
      </c>
      <c r="O3881" s="16" t="s">
        <v>76</v>
      </c>
      <c r="P3881" s="16" t="str">
        <f t="shared" si="6"/>
        <v/>
      </c>
      <c r="Q3881" s="41" t="e">
        <f t="shared" si="7256"/>
        <v>#N/A</v>
      </c>
      <c r="R3881" s="44"/>
      <c r="S3881" s="44"/>
      <c r="T3881" s="43"/>
      <c r="U3881" s="43" t="str">
        <f t="shared" si="8"/>
        <v>No</v>
      </c>
      <c r="V3881" s="25"/>
      <c r="W3881" s="25"/>
      <c r="X3881" s="25"/>
      <c r="Y3881" s="25"/>
      <c r="Z3881" s="25"/>
    </row>
    <row r="3882" spans="1:26" ht="15.75" customHeight="1" x14ac:dyDescent="0.25">
      <c r="A3882" s="25">
        <v>3880</v>
      </c>
      <c r="B3882" s="37" t="e">
        <f t="shared" ref="B3882:D3882" si="7813">VLOOKUP($A3882,[12]Salud!$A$1:$O$277,B$1,0)</f>
        <v>#N/A</v>
      </c>
      <c r="C3882" s="38" t="e">
        <f t="shared" si="7813"/>
        <v>#N/A</v>
      </c>
      <c r="D3882" s="39" t="e">
        <f t="shared" si="7813"/>
        <v>#N/A</v>
      </c>
      <c r="E3882" s="16" t="e">
        <f t="shared" si="1"/>
        <v>#N/A</v>
      </c>
      <c r="F3882" s="16" t="e">
        <f t="shared" ref="F3882:K3882" si="7814">VLOOKUP($A3882,[12]Salud!$A$1:$O$277,F$1,0)</f>
        <v>#N/A</v>
      </c>
      <c r="G3882" s="39" t="e">
        <f t="shared" si="7814"/>
        <v>#N/A</v>
      </c>
      <c r="H3882" s="16" t="e">
        <f t="shared" si="7814"/>
        <v>#N/A</v>
      </c>
      <c r="I3882" s="16" t="e">
        <f t="shared" si="7814"/>
        <v>#N/A</v>
      </c>
      <c r="J3882" s="40" t="e">
        <f t="shared" si="7814"/>
        <v>#N/A</v>
      </c>
      <c r="K3882" s="16" t="e">
        <f t="shared" si="7814"/>
        <v>#N/A</v>
      </c>
      <c r="L3882" s="40" t="e">
        <f t="shared" si="7253"/>
        <v>#N/A</v>
      </c>
      <c r="M3882" s="16" t="e">
        <f t="shared" si="7254"/>
        <v>#N/A</v>
      </c>
      <c r="N3882" s="16" t="e">
        <f t="shared" si="7255"/>
        <v>#N/A</v>
      </c>
      <c r="O3882" s="16" t="s">
        <v>76</v>
      </c>
      <c r="P3882" s="16" t="str">
        <f t="shared" si="6"/>
        <v/>
      </c>
      <c r="Q3882" s="41" t="e">
        <f t="shared" si="7256"/>
        <v>#N/A</v>
      </c>
      <c r="R3882" s="44"/>
      <c r="S3882" s="44"/>
      <c r="T3882" s="43"/>
      <c r="U3882" s="43" t="str">
        <f t="shared" si="8"/>
        <v>No</v>
      </c>
      <c r="V3882" s="25"/>
      <c r="W3882" s="25"/>
      <c r="X3882" s="25"/>
      <c r="Y3882" s="25"/>
      <c r="Z3882" s="25"/>
    </row>
    <row r="3883" spans="1:26" ht="15.75" customHeight="1" x14ac:dyDescent="0.25">
      <c r="A3883" s="25">
        <v>3881</v>
      </c>
      <c r="B3883" s="37" t="e">
        <f t="shared" ref="B3883:D3883" si="7815">VLOOKUP($A3883,[12]Salud!$A$1:$O$277,B$1,0)</f>
        <v>#N/A</v>
      </c>
      <c r="C3883" s="38" t="e">
        <f t="shared" si="7815"/>
        <v>#N/A</v>
      </c>
      <c r="D3883" s="39" t="e">
        <f t="shared" si="7815"/>
        <v>#N/A</v>
      </c>
      <c r="E3883" s="16" t="e">
        <f t="shared" si="1"/>
        <v>#N/A</v>
      </c>
      <c r="F3883" s="16" t="e">
        <f t="shared" ref="F3883:K3883" si="7816">VLOOKUP($A3883,[12]Salud!$A$1:$O$277,F$1,0)</f>
        <v>#N/A</v>
      </c>
      <c r="G3883" s="39" t="e">
        <f t="shared" si="7816"/>
        <v>#N/A</v>
      </c>
      <c r="H3883" s="16" t="e">
        <f t="shared" si="7816"/>
        <v>#N/A</v>
      </c>
      <c r="I3883" s="16" t="e">
        <f t="shared" si="7816"/>
        <v>#N/A</v>
      </c>
      <c r="J3883" s="40" t="e">
        <f t="shared" si="7816"/>
        <v>#N/A</v>
      </c>
      <c r="K3883" s="16" t="e">
        <f t="shared" si="7816"/>
        <v>#N/A</v>
      </c>
      <c r="L3883" s="40" t="e">
        <f t="shared" si="7253"/>
        <v>#N/A</v>
      </c>
      <c r="M3883" s="16" t="e">
        <f t="shared" si="7254"/>
        <v>#N/A</v>
      </c>
      <c r="N3883" s="16" t="e">
        <f t="shared" si="7255"/>
        <v>#N/A</v>
      </c>
      <c r="O3883" s="16" t="s">
        <v>76</v>
      </c>
      <c r="P3883" s="16" t="str">
        <f t="shared" si="6"/>
        <v/>
      </c>
      <c r="Q3883" s="41" t="e">
        <f t="shared" si="7256"/>
        <v>#N/A</v>
      </c>
      <c r="R3883" s="44"/>
      <c r="S3883" s="44"/>
      <c r="T3883" s="43"/>
      <c r="U3883" s="43" t="str">
        <f t="shared" si="8"/>
        <v>No</v>
      </c>
      <c r="V3883" s="25"/>
      <c r="W3883" s="25"/>
      <c r="X3883" s="25"/>
      <c r="Y3883" s="25"/>
      <c r="Z3883" s="25"/>
    </row>
    <row r="3884" spans="1:26" ht="15.75" customHeight="1" x14ac:dyDescent="0.25">
      <c r="A3884" s="25">
        <v>3882</v>
      </c>
      <c r="B3884" s="37" t="e">
        <f t="shared" ref="B3884:D3884" si="7817">VLOOKUP($A3884,[12]Salud!$A$1:$O$277,B$1,0)</f>
        <v>#N/A</v>
      </c>
      <c r="C3884" s="38" t="e">
        <f t="shared" si="7817"/>
        <v>#N/A</v>
      </c>
      <c r="D3884" s="39" t="e">
        <f t="shared" si="7817"/>
        <v>#N/A</v>
      </c>
      <c r="E3884" s="16" t="e">
        <f t="shared" si="1"/>
        <v>#N/A</v>
      </c>
      <c r="F3884" s="16" t="e">
        <f t="shared" ref="F3884:K3884" si="7818">VLOOKUP($A3884,[12]Salud!$A$1:$O$277,F$1,0)</f>
        <v>#N/A</v>
      </c>
      <c r="G3884" s="39" t="e">
        <f t="shared" si="7818"/>
        <v>#N/A</v>
      </c>
      <c r="H3884" s="16" t="e">
        <f t="shared" si="7818"/>
        <v>#N/A</v>
      </c>
      <c r="I3884" s="16" t="e">
        <f t="shared" si="7818"/>
        <v>#N/A</v>
      </c>
      <c r="J3884" s="40" t="e">
        <f t="shared" si="7818"/>
        <v>#N/A</v>
      </c>
      <c r="K3884" s="16" t="e">
        <f t="shared" si="7818"/>
        <v>#N/A</v>
      </c>
      <c r="L3884" s="40" t="e">
        <f t="shared" si="7253"/>
        <v>#N/A</v>
      </c>
      <c r="M3884" s="16" t="e">
        <f t="shared" si="7254"/>
        <v>#N/A</v>
      </c>
      <c r="N3884" s="16" t="e">
        <f t="shared" si="7255"/>
        <v>#N/A</v>
      </c>
      <c r="O3884" s="16" t="s">
        <v>76</v>
      </c>
      <c r="P3884" s="16" t="str">
        <f t="shared" si="6"/>
        <v/>
      </c>
      <c r="Q3884" s="41" t="e">
        <f t="shared" si="7256"/>
        <v>#N/A</v>
      </c>
      <c r="R3884" s="44"/>
      <c r="S3884" s="44"/>
      <c r="T3884" s="43"/>
      <c r="U3884" s="43" t="str">
        <f t="shared" si="8"/>
        <v>No</v>
      </c>
      <c r="V3884" s="25"/>
      <c r="W3884" s="25"/>
      <c r="X3884" s="25"/>
      <c r="Y3884" s="25"/>
      <c r="Z3884" s="25"/>
    </row>
    <row r="3885" spans="1:26" ht="15.75" customHeight="1" x14ac:dyDescent="0.25">
      <c r="A3885" s="25">
        <v>3883</v>
      </c>
      <c r="B3885" s="37" t="e">
        <f t="shared" ref="B3885:D3885" si="7819">VLOOKUP($A3885,[12]Salud!$A$1:$O$277,B$1,0)</f>
        <v>#N/A</v>
      </c>
      <c r="C3885" s="38" t="e">
        <f t="shared" si="7819"/>
        <v>#N/A</v>
      </c>
      <c r="D3885" s="39" t="e">
        <f t="shared" si="7819"/>
        <v>#N/A</v>
      </c>
      <c r="E3885" s="16" t="e">
        <f t="shared" si="1"/>
        <v>#N/A</v>
      </c>
      <c r="F3885" s="16" t="e">
        <f t="shared" ref="F3885:K3885" si="7820">VLOOKUP($A3885,[12]Salud!$A$1:$O$277,F$1,0)</f>
        <v>#N/A</v>
      </c>
      <c r="G3885" s="39" t="e">
        <f t="shared" si="7820"/>
        <v>#N/A</v>
      </c>
      <c r="H3885" s="16" t="e">
        <f t="shared" si="7820"/>
        <v>#N/A</v>
      </c>
      <c r="I3885" s="16" t="e">
        <f t="shared" si="7820"/>
        <v>#N/A</v>
      </c>
      <c r="J3885" s="40" t="e">
        <f t="shared" si="7820"/>
        <v>#N/A</v>
      </c>
      <c r="K3885" s="16" t="e">
        <f t="shared" si="7820"/>
        <v>#N/A</v>
      </c>
      <c r="L3885" s="40" t="e">
        <f t="shared" si="7253"/>
        <v>#N/A</v>
      </c>
      <c r="M3885" s="16" t="e">
        <f t="shared" si="7254"/>
        <v>#N/A</v>
      </c>
      <c r="N3885" s="16" t="e">
        <f t="shared" si="7255"/>
        <v>#N/A</v>
      </c>
      <c r="O3885" s="16" t="s">
        <v>76</v>
      </c>
      <c r="P3885" s="16" t="str">
        <f t="shared" si="6"/>
        <v/>
      </c>
      <c r="Q3885" s="41" t="e">
        <f t="shared" si="7256"/>
        <v>#N/A</v>
      </c>
      <c r="R3885" s="44"/>
      <c r="S3885" s="44"/>
      <c r="T3885" s="43"/>
      <c r="U3885" s="43" t="str">
        <f t="shared" si="8"/>
        <v>No</v>
      </c>
      <c r="V3885" s="25"/>
      <c r="W3885" s="25"/>
      <c r="X3885" s="25"/>
      <c r="Y3885" s="25"/>
      <c r="Z3885" s="25"/>
    </row>
    <row r="3886" spans="1:26" ht="15.75" customHeight="1" x14ac:dyDescent="0.25">
      <c r="A3886" s="25">
        <v>3884</v>
      </c>
      <c r="B3886" s="37" t="e">
        <f t="shared" ref="B3886:D3886" si="7821">VLOOKUP($A3886,[12]Salud!$A$1:$O$277,B$1,0)</f>
        <v>#N/A</v>
      </c>
      <c r="C3886" s="38" t="e">
        <f t="shared" si="7821"/>
        <v>#N/A</v>
      </c>
      <c r="D3886" s="39" t="e">
        <f t="shared" si="7821"/>
        <v>#N/A</v>
      </c>
      <c r="E3886" s="16" t="e">
        <f t="shared" si="1"/>
        <v>#N/A</v>
      </c>
      <c r="F3886" s="16" t="e">
        <f t="shared" ref="F3886:K3886" si="7822">VLOOKUP($A3886,[12]Salud!$A$1:$O$277,F$1,0)</f>
        <v>#N/A</v>
      </c>
      <c r="G3886" s="39" t="e">
        <f t="shared" si="7822"/>
        <v>#N/A</v>
      </c>
      <c r="H3886" s="16" t="e">
        <f t="shared" si="7822"/>
        <v>#N/A</v>
      </c>
      <c r="I3886" s="16" t="e">
        <f t="shared" si="7822"/>
        <v>#N/A</v>
      </c>
      <c r="J3886" s="40" t="e">
        <f t="shared" si="7822"/>
        <v>#N/A</v>
      </c>
      <c r="K3886" s="16" t="e">
        <f t="shared" si="7822"/>
        <v>#N/A</v>
      </c>
      <c r="L3886" s="40" t="e">
        <f t="shared" si="7253"/>
        <v>#N/A</v>
      </c>
      <c r="M3886" s="16" t="e">
        <f t="shared" si="7254"/>
        <v>#N/A</v>
      </c>
      <c r="N3886" s="16" t="e">
        <f t="shared" si="7255"/>
        <v>#N/A</v>
      </c>
      <c r="O3886" s="16" t="s">
        <v>76</v>
      </c>
      <c r="P3886" s="16" t="str">
        <f t="shared" si="6"/>
        <v/>
      </c>
      <c r="Q3886" s="41" t="e">
        <f t="shared" si="7256"/>
        <v>#N/A</v>
      </c>
      <c r="R3886" s="44"/>
      <c r="S3886" s="44"/>
      <c r="T3886" s="43"/>
      <c r="U3886" s="43" t="str">
        <f t="shared" si="8"/>
        <v>No</v>
      </c>
      <c r="V3886" s="25"/>
      <c r="W3886" s="25"/>
      <c r="X3886" s="25"/>
      <c r="Y3886" s="25"/>
      <c r="Z3886" s="25"/>
    </row>
    <row r="3887" spans="1:26" ht="15.75" customHeight="1" x14ac:dyDescent="0.25">
      <c r="A3887" s="25">
        <v>3885</v>
      </c>
      <c r="B3887" s="37" t="e">
        <f t="shared" ref="B3887:D3887" si="7823">VLOOKUP($A3887,[12]Salud!$A$1:$O$277,B$1,0)</f>
        <v>#N/A</v>
      </c>
      <c r="C3887" s="38" t="e">
        <f t="shared" si="7823"/>
        <v>#N/A</v>
      </c>
      <c r="D3887" s="39" t="e">
        <f t="shared" si="7823"/>
        <v>#N/A</v>
      </c>
      <c r="E3887" s="16" t="e">
        <f t="shared" si="1"/>
        <v>#N/A</v>
      </c>
      <c r="F3887" s="16" t="e">
        <f t="shared" ref="F3887:K3887" si="7824">VLOOKUP($A3887,[12]Salud!$A$1:$O$277,F$1,0)</f>
        <v>#N/A</v>
      </c>
      <c r="G3887" s="39" t="e">
        <f t="shared" si="7824"/>
        <v>#N/A</v>
      </c>
      <c r="H3887" s="16" t="e">
        <f t="shared" si="7824"/>
        <v>#N/A</v>
      </c>
      <c r="I3887" s="16" t="e">
        <f t="shared" si="7824"/>
        <v>#N/A</v>
      </c>
      <c r="J3887" s="40" t="e">
        <f t="shared" si="7824"/>
        <v>#N/A</v>
      </c>
      <c r="K3887" s="16" t="e">
        <f t="shared" si="7824"/>
        <v>#N/A</v>
      </c>
      <c r="L3887" s="40" t="e">
        <f t="shared" si="7253"/>
        <v>#N/A</v>
      </c>
      <c r="M3887" s="16" t="e">
        <f t="shared" si="7254"/>
        <v>#N/A</v>
      </c>
      <c r="N3887" s="16" t="e">
        <f t="shared" si="7255"/>
        <v>#N/A</v>
      </c>
      <c r="O3887" s="16" t="s">
        <v>76</v>
      </c>
      <c r="P3887" s="16" t="str">
        <f t="shared" si="6"/>
        <v/>
      </c>
      <c r="Q3887" s="41" t="e">
        <f t="shared" si="7256"/>
        <v>#N/A</v>
      </c>
      <c r="R3887" s="44"/>
      <c r="S3887" s="44"/>
      <c r="T3887" s="43"/>
      <c r="U3887" s="43" t="str">
        <f t="shared" si="8"/>
        <v>No</v>
      </c>
      <c r="V3887" s="25"/>
      <c r="W3887" s="25"/>
      <c r="X3887" s="25"/>
      <c r="Y3887" s="25"/>
      <c r="Z3887" s="25"/>
    </row>
    <row r="3888" spans="1:26" ht="15.75" customHeight="1" x14ac:dyDescent="0.25">
      <c r="A3888" s="25">
        <v>3886</v>
      </c>
      <c r="B3888" s="37" t="e">
        <f t="shared" ref="B3888:D3888" si="7825">VLOOKUP($A3888,[12]Salud!$A$1:$O$277,B$1,0)</f>
        <v>#N/A</v>
      </c>
      <c r="C3888" s="38" t="e">
        <f t="shared" si="7825"/>
        <v>#N/A</v>
      </c>
      <c r="D3888" s="39" t="e">
        <f t="shared" si="7825"/>
        <v>#N/A</v>
      </c>
      <c r="E3888" s="16" t="e">
        <f t="shared" si="1"/>
        <v>#N/A</v>
      </c>
      <c r="F3888" s="16" t="e">
        <f t="shared" ref="F3888:K3888" si="7826">VLOOKUP($A3888,[12]Salud!$A$1:$O$277,F$1,0)</f>
        <v>#N/A</v>
      </c>
      <c r="G3888" s="39" t="e">
        <f t="shared" si="7826"/>
        <v>#N/A</v>
      </c>
      <c r="H3888" s="16" t="e">
        <f t="shared" si="7826"/>
        <v>#N/A</v>
      </c>
      <c r="I3888" s="16" t="e">
        <f t="shared" si="7826"/>
        <v>#N/A</v>
      </c>
      <c r="J3888" s="40" t="e">
        <f t="shared" si="7826"/>
        <v>#N/A</v>
      </c>
      <c r="K3888" s="16" t="e">
        <f t="shared" si="7826"/>
        <v>#N/A</v>
      </c>
      <c r="L3888" s="40" t="e">
        <f t="shared" si="7253"/>
        <v>#N/A</v>
      </c>
      <c r="M3888" s="16" t="e">
        <f t="shared" si="7254"/>
        <v>#N/A</v>
      </c>
      <c r="N3888" s="16" t="e">
        <f t="shared" si="7255"/>
        <v>#N/A</v>
      </c>
      <c r="O3888" s="16" t="s">
        <v>76</v>
      </c>
      <c r="P3888" s="16" t="str">
        <f t="shared" si="6"/>
        <v/>
      </c>
      <c r="Q3888" s="41" t="e">
        <f t="shared" si="7256"/>
        <v>#N/A</v>
      </c>
      <c r="R3888" s="44"/>
      <c r="S3888" s="44"/>
      <c r="T3888" s="43"/>
      <c r="U3888" s="43" t="str">
        <f t="shared" si="8"/>
        <v>No</v>
      </c>
      <c r="V3888" s="25"/>
      <c r="W3888" s="25"/>
      <c r="X3888" s="25"/>
      <c r="Y3888" s="25"/>
      <c r="Z3888" s="25"/>
    </row>
    <row r="3889" spans="1:26" ht="15.75" customHeight="1" x14ac:dyDescent="0.25">
      <c r="A3889" s="25">
        <v>3887</v>
      </c>
      <c r="B3889" s="37" t="e">
        <f t="shared" ref="B3889:D3889" si="7827">VLOOKUP($A3889,[12]Salud!$A$1:$O$277,B$1,0)</f>
        <v>#N/A</v>
      </c>
      <c r="C3889" s="38" t="e">
        <f t="shared" si="7827"/>
        <v>#N/A</v>
      </c>
      <c r="D3889" s="39" t="e">
        <f t="shared" si="7827"/>
        <v>#N/A</v>
      </c>
      <c r="E3889" s="16" t="e">
        <f t="shared" si="1"/>
        <v>#N/A</v>
      </c>
      <c r="F3889" s="16" t="e">
        <f t="shared" ref="F3889:K3889" si="7828">VLOOKUP($A3889,[12]Salud!$A$1:$O$277,F$1,0)</f>
        <v>#N/A</v>
      </c>
      <c r="G3889" s="39" t="e">
        <f t="shared" si="7828"/>
        <v>#N/A</v>
      </c>
      <c r="H3889" s="16" t="e">
        <f t="shared" si="7828"/>
        <v>#N/A</v>
      </c>
      <c r="I3889" s="16" t="e">
        <f t="shared" si="7828"/>
        <v>#N/A</v>
      </c>
      <c r="J3889" s="40" t="e">
        <f t="shared" si="7828"/>
        <v>#N/A</v>
      </c>
      <c r="K3889" s="16" t="e">
        <f t="shared" si="7828"/>
        <v>#N/A</v>
      </c>
      <c r="L3889" s="40" t="e">
        <f t="shared" si="7253"/>
        <v>#N/A</v>
      </c>
      <c r="M3889" s="16" t="e">
        <f t="shared" si="7254"/>
        <v>#N/A</v>
      </c>
      <c r="N3889" s="16" t="e">
        <f t="shared" si="7255"/>
        <v>#N/A</v>
      </c>
      <c r="O3889" s="16" t="s">
        <v>76</v>
      </c>
      <c r="P3889" s="16" t="str">
        <f t="shared" si="6"/>
        <v/>
      </c>
      <c r="Q3889" s="41" t="e">
        <f t="shared" si="7256"/>
        <v>#N/A</v>
      </c>
      <c r="R3889" s="44"/>
      <c r="S3889" s="44"/>
      <c r="T3889" s="43"/>
      <c r="U3889" s="43" t="str">
        <f t="shared" si="8"/>
        <v>No</v>
      </c>
      <c r="V3889" s="25"/>
      <c r="W3889" s="25"/>
      <c r="X3889" s="25"/>
      <c r="Y3889" s="25"/>
      <c r="Z3889" s="25"/>
    </row>
    <row r="3890" spans="1:26" ht="15.75" customHeight="1" x14ac:dyDescent="0.25">
      <c r="A3890" s="25">
        <v>3888</v>
      </c>
      <c r="B3890" s="37" t="e">
        <f t="shared" ref="B3890:D3890" si="7829">VLOOKUP($A3890,[12]Salud!$A$1:$O$277,B$1,0)</f>
        <v>#N/A</v>
      </c>
      <c r="C3890" s="38" t="e">
        <f t="shared" si="7829"/>
        <v>#N/A</v>
      </c>
      <c r="D3890" s="39" t="e">
        <f t="shared" si="7829"/>
        <v>#N/A</v>
      </c>
      <c r="E3890" s="16" t="e">
        <f t="shared" si="1"/>
        <v>#N/A</v>
      </c>
      <c r="F3890" s="16" t="e">
        <f t="shared" ref="F3890:K3890" si="7830">VLOOKUP($A3890,[12]Salud!$A$1:$O$277,F$1,0)</f>
        <v>#N/A</v>
      </c>
      <c r="G3890" s="39" t="e">
        <f t="shared" si="7830"/>
        <v>#N/A</v>
      </c>
      <c r="H3890" s="16" t="e">
        <f t="shared" si="7830"/>
        <v>#N/A</v>
      </c>
      <c r="I3890" s="16" t="e">
        <f t="shared" si="7830"/>
        <v>#N/A</v>
      </c>
      <c r="J3890" s="40" t="e">
        <f t="shared" si="7830"/>
        <v>#N/A</v>
      </c>
      <c r="K3890" s="16" t="e">
        <f t="shared" si="7830"/>
        <v>#N/A</v>
      </c>
      <c r="L3890" s="40" t="e">
        <f t="shared" si="7253"/>
        <v>#N/A</v>
      </c>
      <c r="M3890" s="16" t="e">
        <f t="shared" si="7254"/>
        <v>#N/A</v>
      </c>
      <c r="N3890" s="16" t="e">
        <f t="shared" si="7255"/>
        <v>#N/A</v>
      </c>
      <c r="O3890" s="16" t="s">
        <v>76</v>
      </c>
      <c r="P3890" s="16" t="str">
        <f t="shared" si="6"/>
        <v/>
      </c>
      <c r="Q3890" s="41" t="e">
        <f t="shared" si="7256"/>
        <v>#N/A</v>
      </c>
      <c r="R3890" s="44"/>
      <c r="S3890" s="44"/>
      <c r="T3890" s="43"/>
      <c r="U3890" s="43" t="str">
        <f t="shared" si="8"/>
        <v>No</v>
      </c>
      <c r="V3890" s="25"/>
      <c r="W3890" s="25"/>
      <c r="X3890" s="25"/>
      <c r="Y3890" s="25"/>
      <c r="Z3890" s="25"/>
    </row>
    <row r="3891" spans="1:26" ht="15.75" customHeight="1" x14ac:dyDescent="0.25">
      <c r="A3891" s="25">
        <v>3889</v>
      </c>
      <c r="B3891" s="37" t="e">
        <f t="shared" ref="B3891:D3891" si="7831">VLOOKUP($A3891,[12]Salud!$A$1:$O$277,B$1,0)</f>
        <v>#N/A</v>
      </c>
      <c r="C3891" s="38" t="e">
        <f t="shared" si="7831"/>
        <v>#N/A</v>
      </c>
      <c r="D3891" s="39" t="e">
        <f t="shared" si="7831"/>
        <v>#N/A</v>
      </c>
      <c r="E3891" s="16" t="e">
        <f t="shared" si="1"/>
        <v>#N/A</v>
      </c>
      <c r="F3891" s="16" t="e">
        <f t="shared" ref="F3891:K3891" si="7832">VLOOKUP($A3891,[12]Salud!$A$1:$O$277,F$1,0)</f>
        <v>#N/A</v>
      </c>
      <c r="G3891" s="39" t="e">
        <f t="shared" si="7832"/>
        <v>#N/A</v>
      </c>
      <c r="H3891" s="16" t="e">
        <f t="shared" si="7832"/>
        <v>#N/A</v>
      </c>
      <c r="I3891" s="16" t="e">
        <f t="shared" si="7832"/>
        <v>#N/A</v>
      </c>
      <c r="J3891" s="40" t="e">
        <f t="shared" si="7832"/>
        <v>#N/A</v>
      </c>
      <c r="K3891" s="16" t="e">
        <f t="shared" si="7832"/>
        <v>#N/A</v>
      </c>
      <c r="L3891" s="40" t="e">
        <f t="shared" si="7253"/>
        <v>#N/A</v>
      </c>
      <c r="M3891" s="16" t="e">
        <f t="shared" si="7254"/>
        <v>#N/A</v>
      </c>
      <c r="N3891" s="16" t="e">
        <f t="shared" si="7255"/>
        <v>#N/A</v>
      </c>
      <c r="O3891" s="16" t="s">
        <v>76</v>
      </c>
      <c r="P3891" s="16" t="str">
        <f t="shared" si="6"/>
        <v/>
      </c>
      <c r="Q3891" s="41" t="e">
        <f t="shared" si="7256"/>
        <v>#N/A</v>
      </c>
      <c r="R3891" s="44"/>
      <c r="S3891" s="44"/>
      <c r="T3891" s="43"/>
      <c r="U3891" s="43" t="str">
        <f t="shared" si="8"/>
        <v>No</v>
      </c>
      <c r="V3891" s="25"/>
      <c r="W3891" s="25"/>
      <c r="X3891" s="25"/>
      <c r="Y3891" s="25"/>
      <c r="Z3891" s="25"/>
    </row>
    <row r="3892" spans="1:26" ht="15.75" customHeight="1" x14ac:dyDescent="0.25">
      <c r="A3892" s="25">
        <v>3890</v>
      </c>
      <c r="B3892" s="37" t="e">
        <f t="shared" ref="B3892:D3892" si="7833">VLOOKUP($A3892,[12]Salud!$A$1:$O$277,B$1,0)</f>
        <v>#N/A</v>
      </c>
      <c r="C3892" s="38" t="e">
        <f t="shared" si="7833"/>
        <v>#N/A</v>
      </c>
      <c r="D3892" s="39" t="e">
        <f t="shared" si="7833"/>
        <v>#N/A</v>
      </c>
      <c r="E3892" s="16" t="e">
        <f t="shared" si="1"/>
        <v>#N/A</v>
      </c>
      <c r="F3892" s="16" t="e">
        <f t="shared" ref="F3892:K3892" si="7834">VLOOKUP($A3892,[12]Salud!$A$1:$O$277,F$1,0)</f>
        <v>#N/A</v>
      </c>
      <c r="G3892" s="39" t="e">
        <f t="shared" si="7834"/>
        <v>#N/A</v>
      </c>
      <c r="H3892" s="16" t="e">
        <f t="shared" si="7834"/>
        <v>#N/A</v>
      </c>
      <c r="I3892" s="16" t="e">
        <f t="shared" si="7834"/>
        <v>#N/A</v>
      </c>
      <c r="J3892" s="40" t="e">
        <f t="shared" si="7834"/>
        <v>#N/A</v>
      </c>
      <c r="K3892" s="16" t="e">
        <f t="shared" si="7834"/>
        <v>#N/A</v>
      </c>
      <c r="L3892" s="40" t="e">
        <f t="shared" si="7253"/>
        <v>#N/A</v>
      </c>
      <c r="M3892" s="16" t="e">
        <f t="shared" si="7254"/>
        <v>#N/A</v>
      </c>
      <c r="N3892" s="16" t="e">
        <f t="shared" si="7255"/>
        <v>#N/A</v>
      </c>
      <c r="O3892" s="16" t="s">
        <v>76</v>
      </c>
      <c r="P3892" s="16" t="str">
        <f t="shared" si="6"/>
        <v/>
      </c>
      <c r="Q3892" s="41" t="e">
        <f t="shared" si="7256"/>
        <v>#N/A</v>
      </c>
      <c r="R3892" s="44"/>
      <c r="S3892" s="44"/>
      <c r="T3892" s="43"/>
      <c r="U3892" s="43" t="str">
        <f t="shared" si="8"/>
        <v>No</v>
      </c>
      <c r="V3892" s="25"/>
      <c r="W3892" s="25"/>
      <c r="X3892" s="25"/>
      <c r="Y3892" s="25"/>
      <c r="Z3892" s="25"/>
    </row>
    <row r="3893" spans="1:26" ht="15.75" customHeight="1" x14ac:dyDescent="0.25">
      <c r="A3893" s="25">
        <v>3891</v>
      </c>
      <c r="B3893" s="37" t="e">
        <f t="shared" ref="B3893:D3893" si="7835">VLOOKUP($A3893,[12]Salud!$A$1:$O$277,B$1,0)</f>
        <v>#N/A</v>
      </c>
      <c r="C3893" s="38" t="e">
        <f t="shared" si="7835"/>
        <v>#N/A</v>
      </c>
      <c r="D3893" s="39" t="e">
        <f t="shared" si="7835"/>
        <v>#N/A</v>
      </c>
      <c r="E3893" s="16" t="e">
        <f t="shared" si="1"/>
        <v>#N/A</v>
      </c>
      <c r="F3893" s="16" t="e">
        <f t="shared" ref="F3893:K3893" si="7836">VLOOKUP($A3893,[12]Salud!$A$1:$O$277,F$1,0)</f>
        <v>#N/A</v>
      </c>
      <c r="G3893" s="39" t="e">
        <f t="shared" si="7836"/>
        <v>#N/A</v>
      </c>
      <c r="H3893" s="16" t="e">
        <f t="shared" si="7836"/>
        <v>#N/A</v>
      </c>
      <c r="I3893" s="16" t="e">
        <f t="shared" si="7836"/>
        <v>#N/A</v>
      </c>
      <c r="J3893" s="40" t="e">
        <f t="shared" si="7836"/>
        <v>#N/A</v>
      </c>
      <c r="K3893" s="16" t="e">
        <f t="shared" si="7836"/>
        <v>#N/A</v>
      </c>
      <c r="L3893" s="40" t="e">
        <f t="shared" si="7253"/>
        <v>#N/A</v>
      </c>
      <c r="M3893" s="16" t="e">
        <f t="shared" si="7254"/>
        <v>#N/A</v>
      </c>
      <c r="N3893" s="16" t="e">
        <f t="shared" si="7255"/>
        <v>#N/A</v>
      </c>
      <c r="O3893" s="16" t="s">
        <v>76</v>
      </c>
      <c r="P3893" s="16" t="str">
        <f t="shared" si="6"/>
        <v/>
      </c>
      <c r="Q3893" s="41" t="e">
        <f t="shared" si="7256"/>
        <v>#N/A</v>
      </c>
      <c r="R3893" s="44"/>
      <c r="S3893" s="44"/>
      <c r="T3893" s="43"/>
      <c r="U3893" s="43" t="str">
        <f t="shared" si="8"/>
        <v>No</v>
      </c>
      <c r="V3893" s="25"/>
      <c r="W3893" s="25"/>
      <c r="X3893" s="25"/>
      <c r="Y3893" s="25"/>
      <c r="Z3893" s="25"/>
    </row>
    <row r="3894" spans="1:26" ht="15.75" customHeight="1" x14ac:dyDescent="0.25">
      <c r="A3894" s="25">
        <v>3892</v>
      </c>
      <c r="B3894" s="37" t="e">
        <f t="shared" ref="B3894:D3894" si="7837">VLOOKUP($A3894,[12]Salud!$A$1:$O$277,B$1,0)</f>
        <v>#N/A</v>
      </c>
      <c r="C3894" s="38" t="e">
        <f t="shared" si="7837"/>
        <v>#N/A</v>
      </c>
      <c r="D3894" s="39" t="e">
        <f t="shared" si="7837"/>
        <v>#N/A</v>
      </c>
      <c r="E3894" s="16" t="e">
        <f t="shared" si="1"/>
        <v>#N/A</v>
      </c>
      <c r="F3894" s="16" t="e">
        <f t="shared" ref="F3894:K3894" si="7838">VLOOKUP($A3894,[12]Salud!$A$1:$O$277,F$1,0)</f>
        <v>#N/A</v>
      </c>
      <c r="G3894" s="39" t="e">
        <f t="shared" si="7838"/>
        <v>#N/A</v>
      </c>
      <c r="H3894" s="16" t="e">
        <f t="shared" si="7838"/>
        <v>#N/A</v>
      </c>
      <c r="I3894" s="16" t="e">
        <f t="shared" si="7838"/>
        <v>#N/A</v>
      </c>
      <c r="J3894" s="40" t="e">
        <f t="shared" si="7838"/>
        <v>#N/A</v>
      </c>
      <c r="K3894" s="16" t="e">
        <f t="shared" si="7838"/>
        <v>#N/A</v>
      </c>
      <c r="L3894" s="40" t="e">
        <f t="shared" si="7253"/>
        <v>#N/A</v>
      </c>
      <c r="M3894" s="16" t="e">
        <f t="shared" si="7254"/>
        <v>#N/A</v>
      </c>
      <c r="N3894" s="16" t="e">
        <f t="shared" si="7255"/>
        <v>#N/A</v>
      </c>
      <c r="O3894" s="16" t="s">
        <v>76</v>
      </c>
      <c r="P3894" s="16" t="str">
        <f t="shared" si="6"/>
        <v/>
      </c>
      <c r="Q3894" s="41" t="e">
        <f t="shared" si="7256"/>
        <v>#N/A</v>
      </c>
      <c r="R3894" s="44"/>
      <c r="S3894" s="44"/>
      <c r="T3894" s="43"/>
      <c r="U3894" s="43" t="str">
        <f t="shared" si="8"/>
        <v>No</v>
      </c>
      <c r="V3894" s="25"/>
      <c r="W3894" s="25"/>
      <c r="X3894" s="25"/>
      <c r="Y3894" s="25"/>
      <c r="Z3894" s="25"/>
    </row>
    <row r="3895" spans="1:26" ht="15.75" customHeight="1" x14ac:dyDescent="0.25">
      <c r="A3895" s="25">
        <v>3893</v>
      </c>
      <c r="B3895" s="37" t="e">
        <f t="shared" ref="B3895:D3895" si="7839">VLOOKUP($A3895,[12]Salud!$A$1:$O$277,B$1,0)</f>
        <v>#N/A</v>
      </c>
      <c r="C3895" s="38" t="e">
        <f t="shared" si="7839"/>
        <v>#N/A</v>
      </c>
      <c r="D3895" s="39" t="e">
        <f t="shared" si="7839"/>
        <v>#N/A</v>
      </c>
      <c r="E3895" s="16" t="e">
        <f t="shared" si="1"/>
        <v>#N/A</v>
      </c>
      <c r="F3895" s="16" t="e">
        <f t="shared" ref="F3895:K3895" si="7840">VLOOKUP($A3895,[12]Salud!$A$1:$O$277,F$1,0)</f>
        <v>#N/A</v>
      </c>
      <c r="G3895" s="39" t="e">
        <f t="shared" si="7840"/>
        <v>#N/A</v>
      </c>
      <c r="H3895" s="16" t="e">
        <f t="shared" si="7840"/>
        <v>#N/A</v>
      </c>
      <c r="I3895" s="16" t="e">
        <f t="shared" si="7840"/>
        <v>#N/A</v>
      </c>
      <c r="J3895" s="40" t="e">
        <f t="shared" si="7840"/>
        <v>#N/A</v>
      </c>
      <c r="K3895" s="16" t="e">
        <f t="shared" si="7840"/>
        <v>#N/A</v>
      </c>
      <c r="L3895" s="40" t="e">
        <f t="shared" si="7253"/>
        <v>#N/A</v>
      </c>
      <c r="M3895" s="16" t="e">
        <f t="shared" si="7254"/>
        <v>#N/A</v>
      </c>
      <c r="N3895" s="16" t="e">
        <f t="shared" si="7255"/>
        <v>#N/A</v>
      </c>
      <c r="O3895" s="16" t="s">
        <v>76</v>
      </c>
      <c r="P3895" s="16" t="str">
        <f t="shared" si="6"/>
        <v/>
      </c>
      <c r="Q3895" s="41" t="e">
        <f t="shared" si="7256"/>
        <v>#N/A</v>
      </c>
      <c r="R3895" s="44"/>
      <c r="S3895" s="44"/>
      <c r="T3895" s="43"/>
      <c r="U3895" s="43" t="str">
        <f t="shared" si="8"/>
        <v>No</v>
      </c>
      <c r="V3895" s="25"/>
      <c r="W3895" s="25"/>
      <c r="X3895" s="25"/>
      <c r="Y3895" s="25"/>
      <c r="Z3895" s="25"/>
    </row>
    <row r="3896" spans="1:26" ht="15.75" customHeight="1" x14ac:dyDescent="0.25">
      <c r="A3896" s="25">
        <v>3894</v>
      </c>
      <c r="B3896" s="37" t="e">
        <f t="shared" ref="B3896:D3896" si="7841">VLOOKUP($A3896,[12]Salud!$A$1:$O$277,B$1,0)</f>
        <v>#N/A</v>
      </c>
      <c r="C3896" s="38" t="e">
        <f t="shared" si="7841"/>
        <v>#N/A</v>
      </c>
      <c r="D3896" s="39" t="e">
        <f t="shared" si="7841"/>
        <v>#N/A</v>
      </c>
      <c r="E3896" s="16" t="e">
        <f t="shared" si="1"/>
        <v>#N/A</v>
      </c>
      <c r="F3896" s="16" t="e">
        <f t="shared" ref="F3896:K3896" si="7842">VLOOKUP($A3896,[12]Salud!$A$1:$O$277,F$1,0)</f>
        <v>#N/A</v>
      </c>
      <c r="G3896" s="39" t="e">
        <f t="shared" si="7842"/>
        <v>#N/A</v>
      </c>
      <c r="H3896" s="16" t="e">
        <f t="shared" si="7842"/>
        <v>#N/A</v>
      </c>
      <c r="I3896" s="16" t="e">
        <f t="shared" si="7842"/>
        <v>#N/A</v>
      </c>
      <c r="J3896" s="40" t="e">
        <f t="shared" si="7842"/>
        <v>#N/A</v>
      </c>
      <c r="K3896" s="16" t="e">
        <f t="shared" si="7842"/>
        <v>#N/A</v>
      </c>
      <c r="L3896" s="40" t="e">
        <f t="shared" si="7253"/>
        <v>#N/A</v>
      </c>
      <c r="M3896" s="16" t="e">
        <f t="shared" si="7254"/>
        <v>#N/A</v>
      </c>
      <c r="N3896" s="16" t="e">
        <f t="shared" si="7255"/>
        <v>#N/A</v>
      </c>
      <c r="O3896" s="16" t="s">
        <v>76</v>
      </c>
      <c r="P3896" s="16" t="str">
        <f t="shared" si="6"/>
        <v/>
      </c>
      <c r="Q3896" s="41" t="e">
        <f t="shared" si="7256"/>
        <v>#N/A</v>
      </c>
      <c r="R3896" s="44"/>
      <c r="S3896" s="44"/>
      <c r="T3896" s="43"/>
      <c r="U3896" s="43" t="str">
        <f t="shared" si="8"/>
        <v>No</v>
      </c>
      <c r="V3896" s="25"/>
      <c r="W3896" s="25"/>
      <c r="X3896" s="25"/>
      <c r="Y3896" s="25"/>
      <c r="Z3896" s="25"/>
    </row>
    <row r="3897" spans="1:26" ht="15.75" customHeight="1" x14ac:dyDescent="0.25">
      <c r="A3897" s="25">
        <v>3895</v>
      </c>
      <c r="B3897" s="37" t="e">
        <f t="shared" ref="B3897:D3897" si="7843">VLOOKUP($A3897,[12]Salud!$A$1:$O$277,B$1,0)</f>
        <v>#N/A</v>
      </c>
      <c r="C3897" s="38" t="e">
        <f t="shared" si="7843"/>
        <v>#N/A</v>
      </c>
      <c r="D3897" s="39" t="e">
        <f t="shared" si="7843"/>
        <v>#N/A</v>
      </c>
      <c r="E3897" s="16" t="e">
        <f t="shared" si="1"/>
        <v>#N/A</v>
      </c>
      <c r="F3897" s="16" t="e">
        <f t="shared" ref="F3897:K3897" si="7844">VLOOKUP($A3897,[12]Salud!$A$1:$O$277,F$1,0)</f>
        <v>#N/A</v>
      </c>
      <c r="G3897" s="39" t="e">
        <f t="shared" si="7844"/>
        <v>#N/A</v>
      </c>
      <c r="H3897" s="16" t="e">
        <f t="shared" si="7844"/>
        <v>#N/A</v>
      </c>
      <c r="I3897" s="16" t="e">
        <f t="shared" si="7844"/>
        <v>#N/A</v>
      </c>
      <c r="J3897" s="40" t="e">
        <f t="shared" si="7844"/>
        <v>#N/A</v>
      </c>
      <c r="K3897" s="16" t="e">
        <f t="shared" si="7844"/>
        <v>#N/A</v>
      </c>
      <c r="L3897" s="40" t="e">
        <f t="shared" si="7253"/>
        <v>#N/A</v>
      </c>
      <c r="M3897" s="16" t="e">
        <f t="shared" si="7254"/>
        <v>#N/A</v>
      </c>
      <c r="N3897" s="16" t="e">
        <f t="shared" si="7255"/>
        <v>#N/A</v>
      </c>
      <c r="O3897" s="16" t="s">
        <v>76</v>
      </c>
      <c r="P3897" s="16" t="str">
        <f t="shared" si="6"/>
        <v/>
      </c>
      <c r="Q3897" s="41" t="e">
        <f t="shared" si="7256"/>
        <v>#N/A</v>
      </c>
      <c r="R3897" s="44"/>
      <c r="S3897" s="44"/>
      <c r="T3897" s="43"/>
      <c r="U3897" s="43" t="str">
        <f t="shared" si="8"/>
        <v>No</v>
      </c>
      <c r="V3897" s="25"/>
      <c r="W3897" s="25"/>
      <c r="X3897" s="25"/>
      <c r="Y3897" s="25"/>
      <c r="Z3897" s="25"/>
    </row>
    <row r="3898" spans="1:26" ht="15.75" customHeight="1" x14ac:dyDescent="0.25">
      <c r="A3898" s="25">
        <v>3896</v>
      </c>
      <c r="B3898" s="37" t="e">
        <f t="shared" ref="B3898:D3898" si="7845">VLOOKUP($A3898,[12]Salud!$A$1:$O$277,B$1,0)</f>
        <v>#N/A</v>
      </c>
      <c r="C3898" s="38" t="e">
        <f t="shared" si="7845"/>
        <v>#N/A</v>
      </c>
      <c r="D3898" s="39" t="e">
        <f t="shared" si="7845"/>
        <v>#N/A</v>
      </c>
      <c r="E3898" s="16" t="e">
        <f t="shared" si="1"/>
        <v>#N/A</v>
      </c>
      <c r="F3898" s="16" t="e">
        <f t="shared" ref="F3898:K3898" si="7846">VLOOKUP($A3898,[12]Salud!$A$1:$O$277,F$1,0)</f>
        <v>#N/A</v>
      </c>
      <c r="G3898" s="39" t="e">
        <f t="shared" si="7846"/>
        <v>#N/A</v>
      </c>
      <c r="H3898" s="16" t="e">
        <f t="shared" si="7846"/>
        <v>#N/A</v>
      </c>
      <c r="I3898" s="16" t="e">
        <f t="shared" si="7846"/>
        <v>#N/A</v>
      </c>
      <c r="J3898" s="40" t="e">
        <f t="shared" si="7846"/>
        <v>#N/A</v>
      </c>
      <c r="K3898" s="16" t="e">
        <f t="shared" si="7846"/>
        <v>#N/A</v>
      </c>
      <c r="L3898" s="40" t="e">
        <f t="shared" si="7253"/>
        <v>#N/A</v>
      </c>
      <c r="M3898" s="16" t="e">
        <f t="shared" si="7254"/>
        <v>#N/A</v>
      </c>
      <c r="N3898" s="16" t="e">
        <f t="shared" si="7255"/>
        <v>#N/A</v>
      </c>
      <c r="O3898" s="16" t="s">
        <v>76</v>
      </c>
      <c r="P3898" s="16" t="str">
        <f t="shared" si="6"/>
        <v/>
      </c>
      <c r="Q3898" s="41" t="e">
        <f t="shared" si="7256"/>
        <v>#N/A</v>
      </c>
      <c r="R3898" s="44"/>
      <c r="S3898" s="44"/>
      <c r="T3898" s="43"/>
      <c r="U3898" s="43" t="str">
        <f t="shared" si="8"/>
        <v>No</v>
      </c>
      <c r="V3898" s="25"/>
      <c r="W3898" s="25"/>
      <c r="X3898" s="25"/>
      <c r="Y3898" s="25"/>
      <c r="Z3898" s="25"/>
    </row>
    <row r="3899" spans="1:26" ht="15.75" customHeight="1" x14ac:dyDescent="0.25">
      <c r="A3899" s="25">
        <v>3897</v>
      </c>
      <c r="B3899" s="37" t="e">
        <f t="shared" ref="B3899:D3899" si="7847">VLOOKUP($A3899,[12]Salud!$A$1:$O$277,B$1,0)</f>
        <v>#N/A</v>
      </c>
      <c r="C3899" s="38" t="e">
        <f t="shared" si="7847"/>
        <v>#N/A</v>
      </c>
      <c r="D3899" s="39" t="e">
        <f t="shared" si="7847"/>
        <v>#N/A</v>
      </c>
      <c r="E3899" s="16" t="e">
        <f t="shared" si="1"/>
        <v>#N/A</v>
      </c>
      <c r="F3899" s="16" t="e">
        <f t="shared" ref="F3899:K3899" si="7848">VLOOKUP($A3899,[12]Salud!$A$1:$O$277,F$1,0)</f>
        <v>#N/A</v>
      </c>
      <c r="G3899" s="39" t="e">
        <f t="shared" si="7848"/>
        <v>#N/A</v>
      </c>
      <c r="H3899" s="16" t="e">
        <f t="shared" si="7848"/>
        <v>#N/A</v>
      </c>
      <c r="I3899" s="16" t="e">
        <f t="shared" si="7848"/>
        <v>#N/A</v>
      </c>
      <c r="J3899" s="40" t="e">
        <f t="shared" si="7848"/>
        <v>#N/A</v>
      </c>
      <c r="K3899" s="16" t="e">
        <f t="shared" si="7848"/>
        <v>#N/A</v>
      </c>
      <c r="L3899" s="40" t="e">
        <f t="shared" si="7253"/>
        <v>#N/A</v>
      </c>
      <c r="M3899" s="16" t="e">
        <f t="shared" si="7254"/>
        <v>#N/A</v>
      </c>
      <c r="N3899" s="16" t="e">
        <f t="shared" si="7255"/>
        <v>#N/A</v>
      </c>
      <c r="O3899" s="16" t="s">
        <v>76</v>
      </c>
      <c r="P3899" s="16" t="str">
        <f t="shared" si="6"/>
        <v/>
      </c>
      <c r="Q3899" s="41" t="e">
        <f t="shared" si="7256"/>
        <v>#N/A</v>
      </c>
      <c r="R3899" s="44"/>
      <c r="S3899" s="44"/>
      <c r="T3899" s="43"/>
      <c r="U3899" s="43" t="str">
        <f t="shared" si="8"/>
        <v>No</v>
      </c>
      <c r="V3899" s="25"/>
      <c r="W3899" s="25"/>
      <c r="X3899" s="25"/>
      <c r="Y3899" s="25"/>
      <c r="Z3899" s="25"/>
    </row>
    <row r="3900" spans="1:26" ht="15.75" customHeight="1" x14ac:dyDescent="0.25">
      <c r="A3900" s="25">
        <v>3898</v>
      </c>
      <c r="B3900" s="37" t="e">
        <f t="shared" ref="B3900:D3900" si="7849">VLOOKUP($A3900,[12]Salud!$A$1:$O$277,B$1,0)</f>
        <v>#N/A</v>
      </c>
      <c r="C3900" s="38" t="e">
        <f t="shared" si="7849"/>
        <v>#N/A</v>
      </c>
      <c r="D3900" s="39" t="e">
        <f t="shared" si="7849"/>
        <v>#N/A</v>
      </c>
      <c r="E3900" s="16" t="e">
        <f t="shared" si="1"/>
        <v>#N/A</v>
      </c>
      <c r="F3900" s="16" t="e">
        <f t="shared" ref="F3900:K3900" si="7850">VLOOKUP($A3900,[12]Salud!$A$1:$O$277,F$1,0)</f>
        <v>#N/A</v>
      </c>
      <c r="G3900" s="39" t="e">
        <f t="shared" si="7850"/>
        <v>#N/A</v>
      </c>
      <c r="H3900" s="16" t="e">
        <f t="shared" si="7850"/>
        <v>#N/A</v>
      </c>
      <c r="I3900" s="16" t="e">
        <f t="shared" si="7850"/>
        <v>#N/A</v>
      </c>
      <c r="J3900" s="40" t="e">
        <f t="shared" si="7850"/>
        <v>#N/A</v>
      </c>
      <c r="K3900" s="16" t="e">
        <f t="shared" si="7850"/>
        <v>#N/A</v>
      </c>
      <c r="L3900" s="40" t="e">
        <f t="shared" si="7253"/>
        <v>#N/A</v>
      </c>
      <c r="M3900" s="16" t="e">
        <f t="shared" si="7254"/>
        <v>#N/A</v>
      </c>
      <c r="N3900" s="16" t="e">
        <f t="shared" si="7255"/>
        <v>#N/A</v>
      </c>
      <c r="O3900" s="16" t="s">
        <v>76</v>
      </c>
      <c r="P3900" s="16" t="str">
        <f t="shared" si="6"/>
        <v/>
      </c>
      <c r="Q3900" s="41" t="e">
        <f t="shared" si="7256"/>
        <v>#N/A</v>
      </c>
      <c r="R3900" s="44"/>
      <c r="S3900" s="44"/>
      <c r="T3900" s="43"/>
      <c r="U3900" s="43" t="str">
        <f t="shared" si="8"/>
        <v>No</v>
      </c>
      <c r="V3900" s="25"/>
      <c r="W3900" s="25"/>
      <c r="X3900" s="25"/>
      <c r="Y3900" s="25"/>
      <c r="Z3900" s="25"/>
    </row>
    <row r="3901" spans="1:26" ht="15.75" customHeight="1" x14ac:dyDescent="0.25">
      <c r="A3901" s="25">
        <v>3899</v>
      </c>
      <c r="B3901" s="37" t="e">
        <f t="shared" ref="B3901:D3901" si="7851">VLOOKUP($A3901,[12]Salud!$A$1:$O$277,B$1,0)</f>
        <v>#N/A</v>
      </c>
      <c r="C3901" s="38" t="e">
        <f t="shared" si="7851"/>
        <v>#N/A</v>
      </c>
      <c r="D3901" s="39" t="e">
        <f t="shared" si="7851"/>
        <v>#N/A</v>
      </c>
      <c r="E3901" s="16" t="e">
        <f t="shared" si="1"/>
        <v>#N/A</v>
      </c>
      <c r="F3901" s="16" t="e">
        <f t="shared" ref="F3901:K3901" si="7852">VLOOKUP($A3901,[12]Salud!$A$1:$O$277,F$1,0)</f>
        <v>#N/A</v>
      </c>
      <c r="G3901" s="39" t="e">
        <f t="shared" si="7852"/>
        <v>#N/A</v>
      </c>
      <c r="H3901" s="16" t="e">
        <f t="shared" si="7852"/>
        <v>#N/A</v>
      </c>
      <c r="I3901" s="16" t="e">
        <f t="shared" si="7852"/>
        <v>#N/A</v>
      </c>
      <c r="J3901" s="40" t="e">
        <f t="shared" si="7852"/>
        <v>#N/A</v>
      </c>
      <c r="K3901" s="16" t="e">
        <f t="shared" si="7852"/>
        <v>#N/A</v>
      </c>
      <c r="L3901" s="40" t="e">
        <f t="shared" si="7253"/>
        <v>#N/A</v>
      </c>
      <c r="M3901" s="16" t="e">
        <f t="shared" si="7254"/>
        <v>#N/A</v>
      </c>
      <c r="N3901" s="16" t="e">
        <f t="shared" si="7255"/>
        <v>#N/A</v>
      </c>
      <c r="O3901" s="16" t="s">
        <v>76</v>
      </c>
      <c r="P3901" s="16" t="str">
        <f t="shared" si="6"/>
        <v/>
      </c>
      <c r="Q3901" s="41" t="e">
        <f t="shared" si="7256"/>
        <v>#N/A</v>
      </c>
      <c r="R3901" s="44"/>
      <c r="S3901" s="44"/>
      <c r="T3901" s="43"/>
      <c r="U3901" s="43" t="str">
        <f t="shared" si="8"/>
        <v>No</v>
      </c>
      <c r="V3901" s="25"/>
      <c r="W3901" s="25"/>
      <c r="X3901" s="25"/>
      <c r="Y3901" s="25"/>
      <c r="Z3901" s="25"/>
    </row>
    <row r="3902" spans="1:26" ht="15.75" customHeight="1" x14ac:dyDescent="0.25">
      <c r="A3902" s="25">
        <v>3900</v>
      </c>
      <c r="B3902" s="37" t="e">
        <f t="shared" ref="B3902:D3902" si="7853">VLOOKUP($A3902,[12]Salud!$A$1:$O$277,B$1,0)</f>
        <v>#N/A</v>
      </c>
      <c r="C3902" s="38" t="e">
        <f t="shared" si="7853"/>
        <v>#N/A</v>
      </c>
      <c r="D3902" s="39" t="e">
        <f t="shared" si="7853"/>
        <v>#N/A</v>
      </c>
      <c r="E3902" s="16" t="e">
        <f t="shared" si="1"/>
        <v>#N/A</v>
      </c>
      <c r="F3902" s="16" t="e">
        <f t="shared" ref="F3902:K3902" si="7854">VLOOKUP($A3902,[12]Salud!$A$1:$O$277,F$1,0)</f>
        <v>#N/A</v>
      </c>
      <c r="G3902" s="39" t="e">
        <f t="shared" si="7854"/>
        <v>#N/A</v>
      </c>
      <c r="H3902" s="16" t="e">
        <f t="shared" si="7854"/>
        <v>#N/A</v>
      </c>
      <c r="I3902" s="16" t="e">
        <f t="shared" si="7854"/>
        <v>#N/A</v>
      </c>
      <c r="J3902" s="40" t="e">
        <f t="shared" si="7854"/>
        <v>#N/A</v>
      </c>
      <c r="K3902" s="16" t="e">
        <f t="shared" si="7854"/>
        <v>#N/A</v>
      </c>
      <c r="L3902" s="40" t="e">
        <f t="shared" si="7253"/>
        <v>#N/A</v>
      </c>
      <c r="M3902" s="16" t="e">
        <f t="shared" si="7254"/>
        <v>#N/A</v>
      </c>
      <c r="N3902" s="16" t="e">
        <f t="shared" si="7255"/>
        <v>#N/A</v>
      </c>
      <c r="O3902" s="16" t="s">
        <v>76</v>
      </c>
      <c r="P3902" s="16" t="str">
        <f t="shared" si="6"/>
        <v/>
      </c>
      <c r="Q3902" s="41" t="e">
        <f t="shared" si="7256"/>
        <v>#N/A</v>
      </c>
      <c r="R3902" s="44"/>
      <c r="S3902" s="44"/>
      <c r="T3902" s="43"/>
      <c r="U3902" s="43" t="str">
        <f t="shared" si="8"/>
        <v>No</v>
      </c>
      <c r="V3902" s="25"/>
      <c r="W3902" s="25"/>
      <c r="X3902" s="25"/>
      <c r="Y3902" s="25"/>
      <c r="Z3902" s="25"/>
    </row>
    <row r="3903" spans="1:26" ht="15.75" customHeight="1" x14ac:dyDescent="0.25">
      <c r="A3903" s="25">
        <v>3901</v>
      </c>
      <c r="B3903" s="37" t="e">
        <f t="shared" ref="B3903:B4202" si="7855">VLOOKUP($A3903,[13]Seguridad!$A$1:$P$246,2,0)</f>
        <v>#N/A</v>
      </c>
      <c r="C3903" s="38" t="e">
        <f t="shared" ref="C3903:C4202" si="7856">VLOOKUP($A3903,[13]Seguridad!$A$1:$P$246,3,0)</f>
        <v>#N/A</v>
      </c>
      <c r="D3903" s="39" t="e">
        <f t="shared" ref="D3903:D4202" si="7857">VLOOKUP($A3903,[13]Seguridad!$A$1:$P$246,4,0)</f>
        <v>#N/A</v>
      </c>
      <c r="E3903" s="16" t="e">
        <f t="shared" si="1"/>
        <v>#N/A</v>
      </c>
      <c r="F3903" s="16" t="e">
        <f t="shared" ref="F3903:F4202" si="7858">VLOOKUP($A3903,[13]Seguridad!$A$1:$P$246,6,0)</f>
        <v>#N/A</v>
      </c>
      <c r="G3903" s="39" t="e">
        <f t="shared" ref="G3903:G4202" si="7859">VLOOKUP($A3903,[13]Seguridad!$A$1:$P$246,7,0)</f>
        <v>#N/A</v>
      </c>
      <c r="H3903" s="16" t="e">
        <f t="shared" ref="H3903:H4202" si="7860">VLOOKUP($A3903,[13]Seguridad!$A$1:$P$246,8,0)</f>
        <v>#N/A</v>
      </c>
      <c r="I3903" s="16" t="e">
        <f t="shared" ref="I3903:I4202" si="7861">VLOOKUP($A3903,[13]Seguridad!$A$1:$P$246,9,0)</f>
        <v>#N/A</v>
      </c>
      <c r="J3903" s="40" t="e">
        <f t="shared" ref="J3903:J4202" si="7862">VLOOKUP($A3903,[13]Seguridad!$A$1:$P$246,10,0)</f>
        <v>#N/A</v>
      </c>
      <c r="K3903" s="16" t="e">
        <f t="shared" ref="K3903:K4202" si="7863">VLOOKUP($A3903,[13]Seguridad!$A$1:$P$246,11,0)</f>
        <v>#N/A</v>
      </c>
      <c r="L3903" s="40" t="e">
        <f t="shared" ref="L3903:L4202" si="7864">VLOOKUP($A3903,[13]Seguridad!$A$1:$P$246,13,0)</f>
        <v>#N/A</v>
      </c>
      <c r="M3903" s="16" t="e">
        <f t="shared" ref="M3903:M4202" si="7865">VLOOKUP($A3903,[13]Seguridad!$A$1:$P$246,14,0)</f>
        <v>#N/A</v>
      </c>
      <c r="N3903" s="16" t="e">
        <f t="shared" ref="N3903:N4202" si="7866">VLOOKUP($A3903,[13]Seguridad!$A$1:$P$246,15,0)</f>
        <v>#N/A</v>
      </c>
      <c r="O3903" s="16" t="s">
        <v>77</v>
      </c>
      <c r="P3903" s="16" t="str">
        <f t="shared" si="6"/>
        <v/>
      </c>
      <c r="Q3903" s="41" t="e">
        <f t="shared" ref="Q3903:Q4202" si="7867">VLOOKUP($A3903,[13]Seguridad!$A$1:$P$242,12,0)</f>
        <v>#N/A</v>
      </c>
      <c r="R3903" s="44"/>
      <c r="S3903" s="44"/>
      <c r="T3903" s="43"/>
      <c r="U3903" s="43" t="str">
        <f t="shared" si="8"/>
        <v>No</v>
      </c>
      <c r="V3903" s="25"/>
      <c r="W3903" s="25"/>
      <c r="X3903" s="25"/>
      <c r="Y3903" s="25"/>
      <c r="Z3903" s="25"/>
    </row>
    <row r="3904" spans="1:26" ht="15.75" customHeight="1" x14ac:dyDescent="0.25">
      <c r="A3904" s="25">
        <v>3902</v>
      </c>
      <c r="B3904" s="37" t="e">
        <f t="shared" si="7855"/>
        <v>#N/A</v>
      </c>
      <c r="C3904" s="38" t="e">
        <f t="shared" si="7856"/>
        <v>#N/A</v>
      </c>
      <c r="D3904" s="39" t="e">
        <f t="shared" si="7857"/>
        <v>#N/A</v>
      </c>
      <c r="E3904" s="16" t="e">
        <f t="shared" si="1"/>
        <v>#N/A</v>
      </c>
      <c r="F3904" s="16" t="e">
        <f t="shared" si="7858"/>
        <v>#N/A</v>
      </c>
      <c r="G3904" s="39" t="e">
        <f t="shared" si="7859"/>
        <v>#N/A</v>
      </c>
      <c r="H3904" s="16" t="e">
        <f t="shared" si="7860"/>
        <v>#N/A</v>
      </c>
      <c r="I3904" s="16" t="e">
        <f t="shared" si="7861"/>
        <v>#N/A</v>
      </c>
      <c r="J3904" s="40" t="e">
        <f t="shared" si="7862"/>
        <v>#N/A</v>
      </c>
      <c r="K3904" s="16" t="e">
        <f t="shared" si="7863"/>
        <v>#N/A</v>
      </c>
      <c r="L3904" s="40" t="e">
        <f t="shared" si="7864"/>
        <v>#N/A</v>
      </c>
      <c r="M3904" s="16" t="e">
        <f t="shared" si="7865"/>
        <v>#N/A</v>
      </c>
      <c r="N3904" s="16" t="e">
        <f t="shared" si="7866"/>
        <v>#N/A</v>
      </c>
      <c r="O3904" s="16" t="s">
        <v>77</v>
      </c>
      <c r="P3904" s="16" t="str">
        <f t="shared" si="6"/>
        <v/>
      </c>
      <c r="Q3904" s="41" t="e">
        <f t="shared" si="7867"/>
        <v>#N/A</v>
      </c>
      <c r="R3904" s="44"/>
      <c r="S3904" s="44"/>
      <c r="T3904" s="43" t="s">
        <v>90</v>
      </c>
      <c r="U3904" s="43" t="str">
        <f t="shared" si="8"/>
        <v>No</v>
      </c>
      <c r="V3904" s="25"/>
      <c r="W3904" s="25"/>
      <c r="X3904" s="25"/>
      <c r="Y3904" s="25"/>
      <c r="Z3904" s="25"/>
    </row>
    <row r="3905" spans="1:26" ht="15.75" customHeight="1" x14ac:dyDescent="0.25">
      <c r="A3905" s="25">
        <v>3903</v>
      </c>
      <c r="B3905" s="37" t="e">
        <f t="shared" si="7855"/>
        <v>#N/A</v>
      </c>
      <c r="C3905" s="38" t="e">
        <f t="shared" si="7856"/>
        <v>#N/A</v>
      </c>
      <c r="D3905" s="39" t="e">
        <f t="shared" si="7857"/>
        <v>#N/A</v>
      </c>
      <c r="E3905" s="16" t="e">
        <f t="shared" si="1"/>
        <v>#N/A</v>
      </c>
      <c r="F3905" s="16" t="e">
        <f t="shared" si="7858"/>
        <v>#N/A</v>
      </c>
      <c r="G3905" s="39" t="e">
        <f t="shared" si="7859"/>
        <v>#N/A</v>
      </c>
      <c r="H3905" s="16" t="e">
        <f t="shared" si="7860"/>
        <v>#N/A</v>
      </c>
      <c r="I3905" s="16" t="e">
        <f t="shared" si="7861"/>
        <v>#N/A</v>
      </c>
      <c r="J3905" s="40" t="e">
        <f t="shared" si="7862"/>
        <v>#N/A</v>
      </c>
      <c r="K3905" s="16" t="e">
        <f t="shared" si="7863"/>
        <v>#N/A</v>
      </c>
      <c r="L3905" s="40" t="e">
        <f t="shared" si="7864"/>
        <v>#N/A</v>
      </c>
      <c r="M3905" s="16" t="e">
        <f t="shared" si="7865"/>
        <v>#N/A</v>
      </c>
      <c r="N3905" s="16" t="e">
        <f t="shared" si="7866"/>
        <v>#N/A</v>
      </c>
      <c r="O3905" s="16" t="s">
        <v>77</v>
      </c>
      <c r="P3905" s="16" t="str">
        <f t="shared" si="6"/>
        <v/>
      </c>
      <c r="Q3905" s="41" t="e">
        <f t="shared" si="7867"/>
        <v>#N/A</v>
      </c>
      <c r="R3905" s="44"/>
      <c r="S3905" s="44"/>
      <c r="T3905" s="43"/>
      <c r="U3905" s="43" t="str">
        <f t="shared" si="8"/>
        <v>No</v>
      </c>
      <c r="V3905" s="25"/>
      <c r="W3905" s="25"/>
      <c r="X3905" s="25"/>
      <c r="Y3905" s="25"/>
      <c r="Z3905" s="25"/>
    </row>
    <row r="3906" spans="1:26" ht="15.75" customHeight="1" x14ac:dyDescent="0.25">
      <c r="A3906" s="25">
        <v>3904</v>
      </c>
      <c r="B3906" s="37" t="e">
        <f t="shared" si="7855"/>
        <v>#N/A</v>
      </c>
      <c r="C3906" s="38" t="e">
        <f t="shared" si="7856"/>
        <v>#N/A</v>
      </c>
      <c r="D3906" s="39" t="e">
        <f t="shared" si="7857"/>
        <v>#N/A</v>
      </c>
      <c r="E3906" s="16" t="e">
        <f t="shared" si="1"/>
        <v>#N/A</v>
      </c>
      <c r="F3906" s="16" t="e">
        <f t="shared" si="7858"/>
        <v>#N/A</v>
      </c>
      <c r="G3906" s="39" t="e">
        <f t="shared" si="7859"/>
        <v>#N/A</v>
      </c>
      <c r="H3906" s="16" t="e">
        <f t="shared" si="7860"/>
        <v>#N/A</v>
      </c>
      <c r="I3906" s="16" t="e">
        <f t="shared" si="7861"/>
        <v>#N/A</v>
      </c>
      <c r="J3906" s="40" t="e">
        <f t="shared" si="7862"/>
        <v>#N/A</v>
      </c>
      <c r="K3906" s="16" t="e">
        <f t="shared" si="7863"/>
        <v>#N/A</v>
      </c>
      <c r="L3906" s="40" t="e">
        <f t="shared" si="7864"/>
        <v>#N/A</v>
      </c>
      <c r="M3906" s="16" t="e">
        <f t="shared" si="7865"/>
        <v>#N/A</v>
      </c>
      <c r="N3906" s="16" t="e">
        <f t="shared" si="7866"/>
        <v>#N/A</v>
      </c>
      <c r="O3906" s="16" t="s">
        <v>77</v>
      </c>
      <c r="P3906" s="16" t="str">
        <f t="shared" si="6"/>
        <v/>
      </c>
      <c r="Q3906" s="41" t="e">
        <f t="shared" si="7867"/>
        <v>#N/A</v>
      </c>
      <c r="R3906" s="44"/>
      <c r="S3906" s="44"/>
      <c r="T3906" s="43"/>
      <c r="U3906" s="43" t="str">
        <f t="shared" si="8"/>
        <v>No</v>
      </c>
      <c r="V3906" s="25"/>
      <c r="W3906" s="25"/>
      <c r="X3906" s="25"/>
      <c r="Y3906" s="25"/>
      <c r="Z3906" s="25"/>
    </row>
    <row r="3907" spans="1:26" ht="15.75" customHeight="1" x14ac:dyDescent="0.25">
      <c r="A3907" s="25">
        <v>3905</v>
      </c>
      <c r="B3907" s="37" t="e">
        <f t="shared" si="7855"/>
        <v>#N/A</v>
      </c>
      <c r="C3907" s="38" t="e">
        <f t="shared" si="7856"/>
        <v>#N/A</v>
      </c>
      <c r="D3907" s="39" t="e">
        <f t="shared" si="7857"/>
        <v>#N/A</v>
      </c>
      <c r="E3907" s="16" t="e">
        <f t="shared" si="1"/>
        <v>#N/A</v>
      </c>
      <c r="F3907" s="16" t="e">
        <f t="shared" si="7858"/>
        <v>#N/A</v>
      </c>
      <c r="G3907" s="39" t="e">
        <f t="shared" si="7859"/>
        <v>#N/A</v>
      </c>
      <c r="H3907" s="16" t="e">
        <f t="shared" si="7860"/>
        <v>#N/A</v>
      </c>
      <c r="I3907" s="16" t="e">
        <f t="shared" si="7861"/>
        <v>#N/A</v>
      </c>
      <c r="J3907" s="40" t="e">
        <f t="shared" si="7862"/>
        <v>#N/A</v>
      </c>
      <c r="K3907" s="16" t="e">
        <f t="shared" si="7863"/>
        <v>#N/A</v>
      </c>
      <c r="L3907" s="40" t="e">
        <f t="shared" si="7864"/>
        <v>#N/A</v>
      </c>
      <c r="M3907" s="16" t="e">
        <f t="shared" si="7865"/>
        <v>#N/A</v>
      </c>
      <c r="N3907" s="16" t="e">
        <f t="shared" si="7866"/>
        <v>#N/A</v>
      </c>
      <c r="O3907" s="16" t="s">
        <v>77</v>
      </c>
      <c r="P3907" s="16" t="str">
        <f t="shared" si="6"/>
        <v/>
      </c>
      <c r="Q3907" s="41" t="e">
        <f t="shared" si="7867"/>
        <v>#N/A</v>
      </c>
      <c r="R3907" s="44"/>
      <c r="S3907" s="44"/>
      <c r="T3907" s="43"/>
      <c r="U3907" s="43" t="str">
        <f t="shared" si="8"/>
        <v>No</v>
      </c>
      <c r="V3907" s="25"/>
      <c r="W3907" s="25"/>
      <c r="X3907" s="25"/>
      <c r="Y3907" s="25"/>
      <c r="Z3907" s="25"/>
    </row>
    <row r="3908" spans="1:26" ht="15.75" customHeight="1" x14ac:dyDescent="0.25">
      <c r="A3908" s="25">
        <v>3906</v>
      </c>
      <c r="B3908" s="37" t="e">
        <f t="shared" si="7855"/>
        <v>#N/A</v>
      </c>
      <c r="C3908" s="38" t="e">
        <f t="shared" si="7856"/>
        <v>#N/A</v>
      </c>
      <c r="D3908" s="39" t="e">
        <f t="shared" si="7857"/>
        <v>#N/A</v>
      </c>
      <c r="E3908" s="16" t="e">
        <f t="shared" si="1"/>
        <v>#N/A</v>
      </c>
      <c r="F3908" s="16" t="e">
        <f t="shared" si="7858"/>
        <v>#N/A</v>
      </c>
      <c r="G3908" s="39" t="e">
        <f t="shared" si="7859"/>
        <v>#N/A</v>
      </c>
      <c r="H3908" s="16" t="e">
        <f t="shared" si="7860"/>
        <v>#N/A</v>
      </c>
      <c r="I3908" s="16" t="e">
        <f t="shared" si="7861"/>
        <v>#N/A</v>
      </c>
      <c r="J3908" s="40" t="e">
        <f t="shared" si="7862"/>
        <v>#N/A</v>
      </c>
      <c r="K3908" s="16" t="e">
        <f t="shared" si="7863"/>
        <v>#N/A</v>
      </c>
      <c r="L3908" s="40" t="e">
        <f t="shared" si="7864"/>
        <v>#N/A</v>
      </c>
      <c r="M3908" s="16" t="e">
        <f t="shared" si="7865"/>
        <v>#N/A</v>
      </c>
      <c r="N3908" s="16" t="e">
        <f t="shared" si="7866"/>
        <v>#N/A</v>
      </c>
      <c r="O3908" s="16" t="s">
        <v>77</v>
      </c>
      <c r="P3908" s="16" t="str">
        <f t="shared" si="6"/>
        <v/>
      </c>
      <c r="Q3908" s="41" t="e">
        <f t="shared" si="7867"/>
        <v>#N/A</v>
      </c>
      <c r="R3908" s="44"/>
      <c r="S3908" s="44"/>
      <c r="T3908" s="43"/>
      <c r="U3908" s="43" t="str">
        <f t="shared" si="8"/>
        <v>No</v>
      </c>
      <c r="V3908" s="25"/>
      <c r="W3908" s="25"/>
      <c r="X3908" s="25"/>
      <c r="Y3908" s="25"/>
      <c r="Z3908" s="25"/>
    </row>
    <row r="3909" spans="1:26" ht="15.75" customHeight="1" x14ac:dyDescent="0.25">
      <c r="A3909" s="25">
        <v>3907</v>
      </c>
      <c r="B3909" s="37" t="e">
        <f t="shared" si="7855"/>
        <v>#N/A</v>
      </c>
      <c r="C3909" s="38" t="e">
        <f t="shared" si="7856"/>
        <v>#N/A</v>
      </c>
      <c r="D3909" s="39" t="e">
        <f t="shared" si="7857"/>
        <v>#N/A</v>
      </c>
      <c r="E3909" s="16" t="e">
        <f t="shared" si="1"/>
        <v>#N/A</v>
      </c>
      <c r="F3909" s="16" t="e">
        <f t="shared" si="7858"/>
        <v>#N/A</v>
      </c>
      <c r="G3909" s="39" t="e">
        <f t="shared" si="7859"/>
        <v>#N/A</v>
      </c>
      <c r="H3909" s="16" t="e">
        <f t="shared" si="7860"/>
        <v>#N/A</v>
      </c>
      <c r="I3909" s="16" t="e">
        <f t="shared" si="7861"/>
        <v>#N/A</v>
      </c>
      <c r="J3909" s="40" t="e">
        <f t="shared" si="7862"/>
        <v>#N/A</v>
      </c>
      <c r="K3909" s="16" t="e">
        <f t="shared" si="7863"/>
        <v>#N/A</v>
      </c>
      <c r="L3909" s="40" t="e">
        <f t="shared" si="7864"/>
        <v>#N/A</v>
      </c>
      <c r="M3909" s="16" t="e">
        <f t="shared" si="7865"/>
        <v>#N/A</v>
      </c>
      <c r="N3909" s="16" t="e">
        <f t="shared" si="7866"/>
        <v>#N/A</v>
      </c>
      <c r="O3909" s="16" t="s">
        <v>77</v>
      </c>
      <c r="P3909" s="16" t="str">
        <f t="shared" si="6"/>
        <v/>
      </c>
      <c r="Q3909" s="41" t="e">
        <f t="shared" si="7867"/>
        <v>#N/A</v>
      </c>
      <c r="R3909" s="44"/>
      <c r="S3909" s="44"/>
      <c r="T3909" s="43"/>
      <c r="U3909" s="43" t="str">
        <f t="shared" si="8"/>
        <v>No</v>
      </c>
      <c r="V3909" s="25"/>
      <c r="W3909" s="25"/>
      <c r="X3909" s="25"/>
      <c r="Y3909" s="25"/>
      <c r="Z3909" s="25"/>
    </row>
    <row r="3910" spans="1:26" ht="15.75" customHeight="1" x14ac:dyDescent="0.25">
      <c r="A3910" s="25">
        <v>3908</v>
      </c>
      <c r="B3910" s="37" t="e">
        <f t="shared" si="7855"/>
        <v>#N/A</v>
      </c>
      <c r="C3910" s="38" t="e">
        <f t="shared" si="7856"/>
        <v>#N/A</v>
      </c>
      <c r="D3910" s="39" t="e">
        <f t="shared" si="7857"/>
        <v>#N/A</v>
      </c>
      <c r="E3910" s="16" t="e">
        <f t="shared" si="1"/>
        <v>#N/A</v>
      </c>
      <c r="F3910" s="16" t="e">
        <f t="shared" si="7858"/>
        <v>#N/A</v>
      </c>
      <c r="G3910" s="39" t="e">
        <f t="shared" si="7859"/>
        <v>#N/A</v>
      </c>
      <c r="H3910" s="16" t="e">
        <f t="shared" si="7860"/>
        <v>#N/A</v>
      </c>
      <c r="I3910" s="16" t="e">
        <f t="shared" si="7861"/>
        <v>#N/A</v>
      </c>
      <c r="J3910" s="40" t="e">
        <f t="shared" si="7862"/>
        <v>#N/A</v>
      </c>
      <c r="K3910" s="16" t="e">
        <f t="shared" si="7863"/>
        <v>#N/A</v>
      </c>
      <c r="L3910" s="40" t="e">
        <f t="shared" si="7864"/>
        <v>#N/A</v>
      </c>
      <c r="M3910" s="16" t="e">
        <f t="shared" si="7865"/>
        <v>#N/A</v>
      </c>
      <c r="N3910" s="16" t="e">
        <f t="shared" si="7866"/>
        <v>#N/A</v>
      </c>
      <c r="O3910" s="16" t="s">
        <v>77</v>
      </c>
      <c r="P3910" s="16" t="str">
        <f t="shared" si="6"/>
        <v/>
      </c>
      <c r="Q3910" s="41" t="e">
        <f t="shared" si="7867"/>
        <v>#N/A</v>
      </c>
      <c r="R3910" s="44"/>
      <c r="S3910" s="44"/>
      <c r="T3910" s="43"/>
      <c r="U3910" s="43" t="str">
        <f t="shared" si="8"/>
        <v>No</v>
      </c>
      <c r="V3910" s="25"/>
      <c r="W3910" s="25"/>
      <c r="X3910" s="25"/>
      <c r="Y3910" s="25"/>
      <c r="Z3910" s="25"/>
    </row>
    <row r="3911" spans="1:26" ht="15.75" customHeight="1" x14ac:dyDescent="0.25">
      <c r="A3911" s="25">
        <v>3909</v>
      </c>
      <c r="B3911" s="37" t="e">
        <f t="shared" si="7855"/>
        <v>#N/A</v>
      </c>
      <c r="C3911" s="38" t="e">
        <f t="shared" si="7856"/>
        <v>#N/A</v>
      </c>
      <c r="D3911" s="39" t="e">
        <f t="shared" si="7857"/>
        <v>#N/A</v>
      </c>
      <c r="E3911" s="16" t="e">
        <f t="shared" si="1"/>
        <v>#N/A</v>
      </c>
      <c r="F3911" s="16" t="e">
        <f t="shared" si="7858"/>
        <v>#N/A</v>
      </c>
      <c r="G3911" s="39" t="e">
        <f t="shared" si="7859"/>
        <v>#N/A</v>
      </c>
      <c r="H3911" s="16" t="e">
        <f t="shared" si="7860"/>
        <v>#N/A</v>
      </c>
      <c r="I3911" s="16" t="e">
        <f t="shared" si="7861"/>
        <v>#N/A</v>
      </c>
      <c r="J3911" s="40" t="e">
        <f t="shared" si="7862"/>
        <v>#N/A</v>
      </c>
      <c r="K3911" s="16" t="e">
        <f t="shared" si="7863"/>
        <v>#N/A</v>
      </c>
      <c r="L3911" s="40" t="e">
        <f t="shared" si="7864"/>
        <v>#N/A</v>
      </c>
      <c r="M3911" s="16" t="e">
        <f t="shared" si="7865"/>
        <v>#N/A</v>
      </c>
      <c r="N3911" s="16" t="e">
        <f t="shared" si="7866"/>
        <v>#N/A</v>
      </c>
      <c r="O3911" s="16" t="s">
        <v>77</v>
      </c>
      <c r="P3911" s="16" t="str">
        <f t="shared" si="6"/>
        <v/>
      </c>
      <c r="Q3911" s="41" t="e">
        <f t="shared" si="7867"/>
        <v>#N/A</v>
      </c>
      <c r="R3911" s="44"/>
      <c r="S3911" s="44"/>
      <c r="T3911" s="43"/>
      <c r="U3911" s="43" t="str">
        <f t="shared" si="8"/>
        <v>No</v>
      </c>
      <c r="V3911" s="25"/>
      <c r="W3911" s="25"/>
      <c r="X3911" s="25"/>
      <c r="Y3911" s="25"/>
      <c r="Z3911" s="25"/>
    </row>
    <row r="3912" spans="1:26" ht="15.75" customHeight="1" x14ac:dyDescent="0.25">
      <c r="A3912" s="25">
        <v>3910</v>
      </c>
      <c r="B3912" s="37" t="e">
        <f t="shared" si="7855"/>
        <v>#N/A</v>
      </c>
      <c r="C3912" s="38" t="e">
        <f t="shared" si="7856"/>
        <v>#N/A</v>
      </c>
      <c r="D3912" s="39" t="e">
        <f t="shared" si="7857"/>
        <v>#N/A</v>
      </c>
      <c r="E3912" s="16" t="e">
        <f t="shared" si="1"/>
        <v>#N/A</v>
      </c>
      <c r="F3912" s="16" t="e">
        <f t="shared" si="7858"/>
        <v>#N/A</v>
      </c>
      <c r="G3912" s="39" t="e">
        <f t="shared" si="7859"/>
        <v>#N/A</v>
      </c>
      <c r="H3912" s="16" t="e">
        <f t="shared" si="7860"/>
        <v>#N/A</v>
      </c>
      <c r="I3912" s="16" t="e">
        <f t="shared" si="7861"/>
        <v>#N/A</v>
      </c>
      <c r="J3912" s="40" t="e">
        <f t="shared" si="7862"/>
        <v>#N/A</v>
      </c>
      <c r="K3912" s="16" t="e">
        <f t="shared" si="7863"/>
        <v>#N/A</v>
      </c>
      <c r="L3912" s="40" t="e">
        <f t="shared" si="7864"/>
        <v>#N/A</v>
      </c>
      <c r="M3912" s="16" t="e">
        <f t="shared" si="7865"/>
        <v>#N/A</v>
      </c>
      <c r="N3912" s="16" t="e">
        <f t="shared" si="7866"/>
        <v>#N/A</v>
      </c>
      <c r="O3912" s="16" t="s">
        <v>77</v>
      </c>
      <c r="P3912" s="16" t="str">
        <f t="shared" si="6"/>
        <v/>
      </c>
      <c r="Q3912" s="41" t="e">
        <f t="shared" si="7867"/>
        <v>#N/A</v>
      </c>
      <c r="R3912" s="44"/>
      <c r="S3912" s="44"/>
      <c r="T3912" s="43"/>
      <c r="U3912" s="43" t="str">
        <f t="shared" si="8"/>
        <v>No</v>
      </c>
      <c r="V3912" s="25"/>
      <c r="W3912" s="25"/>
      <c r="X3912" s="25"/>
      <c r="Y3912" s="25"/>
      <c r="Z3912" s="25"/>
    </row>
    <row r="3913" spans="1:26" ht="15.75" customHeight="1" x14ac:dyDescent="0.25">
      <c r="A3913" s="25">
        <v>3911</v>
      </c>
      <c r="B3913" s="37" t="e">
        <f t="shared" si="7855"/>
        <v>#N/A</v>
      </c>
      <c r="C3913" s="38" t="e">
        <f t="shared" si="7856"/>
        <v>#N/A</v>
      </c>
      <c r="D3913" s="39" t="e">
        <f t="shared" si="7857"/>
        <v>#N/A</v>
      </c>
      <c r="E3913" s="16" t="e">
        <f t="shared" si="1"/>
        <v>#N/A</v>
      </c>
      <c r="F3913" s="16" t="e">
        <f t="shared" si="7858"/>
        <v>#N/A</v>
      </c>
      <c r="G3913" s="39" t="e">
        <f t="shared" si="7859"/>
        <v>#N/A</v>
      </c>
      <c r="H3913" s="16" t="e">
        <f t="shared" si="7860"/>
        <v>#N/A</v>
      </c>
      <c r="I3913" s="16" t="e">
        <f t="shared" si="7861"/>
        <v>#N/A</v>
      </c>
      <c r="J3913" s="40" t="e">
        <f t="shared" si="7862"/>
        <v>#N/A</v>
      </c>
      <c r="K3913" s="16" t="e">
        <f t="shared" si="7863"/>
        <v>#N/A</v>
      </c>
      <c r="L3913" s="40" t="e">
        <f t="shared" si="7864"/>
        <v>#N/A</v>
      </c>
      <c r="M3913" s="16" t="e">
        <f t="shared" si="7865"/>
        <v>#N/A</v>
      </c>
      <c r="N3913" s="16" t="e">
        <f t="shared" si="7866"/>
        <v>#N/A</v>
      </c>
      <c r="O3913" s="16" t="s">
        <v>77</v>
      </c>
      <c r="P3913" s="16" t="str">
        <f t="shared" si="6"/>
        <v/>
      </c>
      <c r="Q3913" s="41" t="e">
        <f t="shared" si="7867"/>
        <v>#N/A</v>
      </c>
      <c r="R3913" s="44"/>
      <c r="S3913" s="44"/>
      <c r="T3913" s="43"/>
      <c r="U3913" s="43" t="str">
        <f t="shared" si="8"/>
        <v>No</v>
      </c>
      <c r="V3913" s="25"/>
      <c r="W3913" s="25"/>
      <c r="X3913" s="25"/>
      <c r="Y3913" s="25"/>
      <c r="Z3913" s="25"/>
    </row>
    <row r="3914" spans="1:26" ht="15.75" customHeight="1" x14ac:dyDescent="0.25">
      <c r="A3914" s="25">
        <v>3912</v>
      </c>
      <c r="B3914" s="37" t="e">
        <f t="shared" si="7855"/>
        <v>#N/A</v>
      </c>
      <c r="C3914" s="38" t="e">
        <f t="shared" si="7856"/>
        <v>#N/A</v>
      </c>
      <c r="D3914" s="39" t="e">
        <f t="shared" si="7857"/>
        <v>#N/A</v>
      </c>
      <c r="E3914" s="16" t="e">
        <f t="shared" si="1"/>
        <v>#N/A</v>
      </c>
      <c r="F3914" s="16" t="e">
        <f t="shared" si="7858"/>
        <v>#N/A</v>
      </c>
      <c r="G3914" s="39" t="e">
        <f t="shared" si="7859"/>
        <v>#N/A</v>
      </c>
      <c r="H3914" s="16" t="e">
        <f t="shared" si="7860"/>
        <v>#N/A</v>
      </c>
      <c r="I3914" s="16" t="e">
        <f t="shared" si="7861"/>
        <v>#N/A</v>
      </c>
      <c r="J3914" s="40" t="e">
        <f t="shared" si="7862"/>
        <v>#N/A</v>
      </c>
      <c r="K3914" s="16" t="e">
        <f t="shared" si="7863"/>
        <v>#N/A</v>
      </c>
      <c r="L3914" s="40" t="e">
        <f t="shared" si="7864"/>
        <v>#N/A</v>
      </c>
      <c r="M3914" s="16" t="e">
        <f t="shared" si="7865"/>
        <v>#N/A</v>
      </c>
      <c r="N3914" s="16" t="e">
        <f t="shared" si="7866"/>
        <v>#N/A</v>
      </c>
      <c r="O3914" s="16" t="s">
        <v>77</v>
      </c>
      <c r="P3914" s="16" t="str">
        <f t="shared" si="6"/>
        <v/>
      </c>
      <c r="Q3914" s="41" t="e">
        <f t="shared" si="7867"/>
        <v>#N/A</v>
      </c>
      <c r="R3914" s="44"/>
      <c r="S3914" s="44"/>
      <c r="T3914" s="43"/>
      <c r="U3914" s="43" t="str">
        <f t="shared" si="8"/>
        <v>No</v>
      </c>
      <c r="V3914" s="25"/>
      <c r="W3914" s="25"/>
      <c r="X3914" s="25"/>
      <c r="Y3914" s="25"/>
      <c r="Z3914" s="25"/>
    </row>
    <row r="3915" spans="1:26" ht="15.75" customHeight="1" x14ac:dyDescent="0.25">
      <c r="A3915" s="25">
        <v>3913</v>
      </c>
      <c r="B3915" s="37" t="e">
        <f t="shared" si="7855"/>
        <v>#N/A</v>
      </c>
      <c r="C3915" s="38" t="e">
        <f t="shared" si="7856"/>
        <v>#N/A</v>
      </c>
      <c r="D3915" s="39" t="e">
        <f t="shared" si="7857"/>
        <v>#N/A</v>
      </c>
      <c r="E3915" s="16" t="e">
        <f t="shared" si="1"/>
        <v>#N/A</v>
      </c>
      <c r="F3915" s="16" t="e">
        <f t="shared" si="7858"/>
        <v>#N/A</v>
      </c>
      <c r="G3915" s="39" t="e">
        <f t="shared" si="7859"/>
        <v>#N/A</v>
      </c>
      <c r="H3915" s="16" t="e">
        <f t="shared" si="7860"/>
        <v>#N/A</v>
      </c>
      <c r="I3915" s="16" t="e">
        <f t="shared" si="7861"/>
        <v>#N/A</v>
      </c>
      <c r="J3915" s="40" t="e">
        <f t="shared" si="7862"/>
        <v>#N/A</v>
      </c>
      <c r="K3915" s="16" t="e">
        <f t="shared" si="7863"/>
        <v>#N/A</v>
      </c>
      <c r="L3915" s="40" t="e">
        <f t="shared" si="7864"/>
        <v>#N/A</v>
      </c>
      <c r="M3915" s="16" t="e">
        <f t="shared" si="7865"/>
        <v>#N/A</v>
      </c>
      <c r="N3915" s="16" t="e">
        <f t="shared" si="7866"/>
        <v>#N/A</v>
      </c>
      <c r="O3915" s="16" t="s">
        <v>77</v>
      </c>
      <c r="P3915" s="16" t="str">
        <f t="shared" si="6"/>
        <v/>
      </c>
      <c r="Q3915" s="41" t="e">
        <f t="shared" si="7867"/>
        <v>#N/A</v>
      </c>
      <c r="R3915" s="44"/>
      <c r="S3915" s="44"/>
      <c r="T3915" s="43"/>
      <c r="U3915" s="43" t="str">
        <f t="shared" si="8"/>
        <v>No</v>
      </c>
      <c r="V3915" s="25"/>
      <c r="W3915" s="25"/>
      <c r="X3915" s="25"/>
      <c r="Y3915" s="25"/>
      <c r="Z3915" s="25"/>
    </row>
    <row r="3916" spans="1:26" ht="15.75" customHeight="1" x14ac:dyDescent="0.25">
      <c r="A3916" s="25">
        <v>3914</v>
      </c>
      <c r="B3916" s="37" t="e">
        <f t="shared" si="7855"/>
        <v>#N/A</v>
      </c>
      <c r="C3916" s="38" t="e">
        <f t="shared" si="7856"/>
        <v>#N/A</v>
      </c>
      <c r="D3916" s="39" t="e">
        <f t="shared" si="7857"/>
        <v>#N/A</v>
      </c>
      <c r="E3916" s="16" t="e">
        <f t="shared" si="1"/>
        <v>#N/A</v>
      </c>
      <c r="F3916" s="16" t="e">
        <f t="shared" si="7858"/>
        <v>#N/A</v>
      </c>
      <c r="G3916" s="39" t="e">
        <f t="shared" si="7859"/>
        <v>#N/A</v>
      </c>
      <c r="H3916" s="16" t="e">
        <f t="shared" si="7860"/>
        <v>#N/A</v>
      </c>
      <c r="I3916" s="16" t="e">
        <f t="shared" si="7861"/>
        <v>#N/A</v>
      </c>
      <c r="J3916" s="40" t="e">
        <f t="shared" si="7862"/>
        <v>#N/A</v>
      </c>
      <c r="K3916" s="16" t="e">
        <f t="shared" si="7863"/>
        <v>#N/A</v>
      </c>
      <c r="L3916" s="40" t="e">
        <f t="shared" si="7864"/>
        <v>#N/A</v>
      </c>
      <c r="M3916" s="16" t="e">
        <f t="shared" si="7865"/>
        <v>#N/A</v>
      </c>
      <c r="N3916" s="16" t="e">
        <f t="shared" si="7866"/>
        <v>#N/A</v>
      </c>
      <c r="O3916" s="16" t="s">
        <v>77</v>
      </c>
      <c r="P3916" s="16" t="str">
        <f t="shared" si="6"/>
        <v/>
      </c>
      <c r="Q3916" s="41" t="e">
        <f t="shared" si="7867"/>
        <v>#N/A</v>
      </c>
      <c r="R3916" s="44"/>
      <c r="S3916" s="44"/>
      <c r="T3916" s="43"/>
      <c r="U3916" s="43" t="str">
        <f t="shared" si="8"/>
        <v>No</v>
      </c>
      <c r="V3916" s="25"/>
      <c r="W3916" s="25"/>
      <c r="X3916" s="25"/>
      <c r="Y3916" s="25"/>
      <c r="Z3916" s="25"/>
    </row>
    <row r="3917" spans="1:26" ht="15.75" customHeight="1" x14ac:dyDescent="0.25">
      <c r="A3917" s="25">
        <v>3915</v>
      </c>
      <c r="B3917" s="37" t="e">
        <f t="shared" si="7855"/>
        <v>#N/A</v>
      </c>
      <c r="C3917" s="38" t="e">
        <f t="shared" si="7856"/>
        <v>#N/A</v>
      </c>
      <c r="D3917" s="39" t="e">
        <f t="shared" si="7857"/>
        <v>#N/A</v>
      </c>
      <c r="E3917" s="16" t="e">
        <f t="shared" si="1"/>
        <v>#N/A</v>
      </c>
      <c r="F3917" s="16" t="e">
        <f t="shared" si="7858"/>
        <v>#N/A</v>
      </c>
      <c r="G3917" s="39" t="e">
        <f t="shared" si="7859"/>
        <v>#N/A</v>
      </c>
      <c r="H3917" s="16" t="e">
        <f t="shared" si="7860"/>
        <v>#N/A</v>
      </c>
      <c r="I3917" s="16" t="e">
        <f t="shared" si="7861"/>
        <v>#N/A</v>
      </c>
      <c r="J3917" s="40" t="e">
        <f t="shared" si="7862"/>
        <v>#N/A</v>
      </c>
      <c r="K3917" s="16" t="e">
        <f t="shared" si="7863"/>
        <v>#N/A</v>
      </c>
      <c r="L3917" s="40" t="e">
        <f t="shared" si="7864"/>
        <v>#N/A</v>
      </c>
      <c r="M3917" s="16" t="e">
        <f t="shared" si="7865"/>
        <v>#N/A</v>
      </c>
      <c r="N3917" s="16" t="e">
        <f t="shared" si="7866"/>
        <v>#N/A</v>
      </c>
      <c r="O3917" s="16" t="s">
        <v>77</v>
      </c>
      <c r="P3917" s="16" t="str">
        <f t="shared" si="6"/>
        <v/>
      </c>
      <c r="Q3917" s="41" t="e">
        <f t="shared" si="7867"/>
        <v>#N/A</v>
      </c>
      <c r="R3917" s="44"/>
      <c r="S3917" s="44"/>
      <c r="T3917" s="43"/>
      <c r="U3917" s="43" t="str">
        <f t="shared" si="8"/>
        <v>No</v>
      </c>
      <c r="V3917" s="25"/>
      <c r="W3917" s="25"/>
      <c r="X3917" s="25"/>
      <c r="Y3917" s="25"/>
      <c r="Z3917" s="25"/>
    </row>
    <row r="3918" spans="1:26" ht="15.75" customHeight="1" x14ac:dyDescent="0.25">
      <c r="A3918" s="25">
        <v>3916</v>
      </c>
      <c r="B3918" s="37" t="e">
        <f t="shared" si="7855"/>
        <v>#N/A</v>
      </c>
      <c r="C3918" s="38" t="e">
        <f t="shared" si="7856"/>
        <v>#N/A</v>
      </c>
      <c r="D3918" s="39" t="e">
        <f t="shared" si="7857"/>
        <v>#N/A</v>
      </c>
      <c r="E3918" s="16" t="e">
        <f t="shared" si="1"/>
        <v>#N/A</v>
      </c>
      <c r="F3918" s="16" t="e">
        <f t="shared" si="7858"/>
        <v>#N/A</v>
      </c>
      <c r="G3918" s="39" t="e">
        <f t="shared" si="7859"/>
        <v>#N/A</v>
      </c>
      <c r="H3918" s="16" t="e">
        <f t="shared" si="7860"/>
        <v>#N/A</v>
      </c>
      <c r="I3918" s="16" t="e">
        <f t="shared" si="7861"/>
        <v>#N/A</v>
      </c>
      <c r="J3918" s="40" t="e">
        <f t="shared" si="7862"/>
        <v>#N/A</v>
      </c>
      <c r="K3918" s="16" t="e">
        <f t="shared" si="7863"/>
        <v>#N/A</v>
      </c>
      <c r="L3918" s="40" t="e">
        <f t="shared" si="7864"/>
        <v>#N/A</v>
      </c>
      <c r="M3918" s="16" t="e">
        <f t="shared" si="7865"/>
        <v>#N/A</v>
      </c>
      <c r="N3918" s="16" t="e">
        <f t="shared" si="7866"/>
        <v>#N/A</v>
      </c>
      <c r="O3918" s="16" t="s">
        <v>77</v>
      </c>
      <c r="P3918" s="16" t="str">
        <f t="shared" si="6"/>
        <v/>
      </c>
      <c r="Q3918" s="41" t="e">
        <f t="shared" si="7867"/>
        <v>#N/A</v>
      </c>
      <c r="R3918" s="44"/>
      <c r="S3918" s="44"/>
      <c r="T3918" s="43"/>
      <c r="U3918" s="43" t="str">
        <f t="shared" si="8"/>
        <v>No</v>
      </c>
      <c r="V3918" s="25"/>
      <c r="W3918" s="25"/>
      <c r="X3918" s="25"/>
      <c r="Y3918" s="25"/>
      <c r="Z3918" s="25"/>
    </row>
    <row r="3919" spans="1:26" ht="15.75" customHeight="1" x14ac:dyDescent="0.25">
      <c r="A3919" s="25">
        <v>3917</v>
      </c>
      <c r="B3919" s="37" t="e">
        <f t="shared" si="7855"/>
        <v>#N/A</v>
      </c>
      <c r="C3919" s="38" t="e">
        <f t="shared" si="7856"/>
        <v>#N/A</v>
      </c>
      <c r="D3919" s="39" t="e">
        <f t="shared" si="7857"/>
        <v>#N/A</v>
      </c>
      <c r="E3919" s="16" t="e">
        <f t="shared" si="1"/>
        <v>#N/A</v>
      </c>
      <c r="F3919" s="16" t="e">
        <f t="shared" si="7858"/>
        <v>#N/A</v>
      </c>
      <c r="G3919" s="39" t="e">
        <f t="shared" si="7859"/>
        <v>#N/A</v>
      </c>
      <c r="H3919" s="16" t="e">
        <f t="shared" si="7860"/>
        <v>#N/A</v>
      </c>
      <c r="I3919" s="16" t="e">
        <f t="shared" si="7861"/>
        <v>#N/A</v>
      </c>
      <c r="J3919" s="40" t="e">
        <f t="shared" si="7862"/>
        <v>#N/A</v>
      </c>
      <c r="K3919" s="16" t="e">
        <f t="shared" si="7863"/>
        <v>#N/A</v>
      </c>
      <c r="L3919" s="40" t="e">
        <f t="shared" si="7864"/>
        <v>#N/A</v>
      </c>
      <c r="M3919" s="16" t="e">
        <f t="shared" si="7865"/>
        <v>#N/A</v>
      </c>
      <c r="N3919" s="16" t="e">
        <f t="shared" si="7866"/>
        <v>#N/A</v>
      </c>
      <c r="O3919" s="16" t="s">
        <v>77</v>
      </c>
      <c r="P3919" s="16" t="str">
        <f t="shared" si="6"/>
        <v/>
      </c>
      <c r="Q3919" s="41" t="e">
        <f t="shared" si="7867"/>
        <v>#N/A</v>
      </c>
      <c r="R3919" s="44"/>
      <c r="S3919" s="44"/>
      <c r="T3919" s="43"/>
      <c r="U3919" s="43" t="str">
        <f t="shared" si="8"/>
        <v>No</v>
      </c>
      <c r="V3919" s="25"/>
      <c r="W3919" s="25"/>
      <c r="X3919" s="25"/>
      <c r="Y3919" s="25"/>
      <c r="Z3919" s="25"/>
    </row>
    <row r="3920" spans="1:26" ht="15.75" customHeight="1" x14ac:dyDescent="0.25">
      <c r="A3920" s="25">
        <v>3918</v>
      </c>
      <c r="B3920" s="37" t="e">
        <f t="shared" si="7855"/>
        <v>#N/A</v>
      </c>
      <c r="C3920" s="38" t="e">
        <f t="shared" si="7856"/>
        <v>#N/A</v>
      </c>
      <c r="D3920" s="39" t="e">
        <f t="shared" si="7857"/>
        <v>#N/A</v>
      </c>
      <c r="E3920" s="16" t="e">
        <f t="shared" si="1"/>
        <v>#N/A</v>
      </c>
      <c r="F3920" s="16" t="e">
        <f t="shared" si="7858"/>
        <v>#N/A</v>
      </c>
      <c r="G3920" s="39" t="e">
        <f t="shared" si="7859"/>
        <v>#N/A</v>
      </c>
      <c r="H3920" s="16" t="e">
        <f t="shared" si="7860"/>
        <v>#N/A</v>
      </c>
      <c r="I3920" s="16" t="e">
        <f t="shared" si="7861"/>
        <v>#N/A</v>
      </c>
      <c r="J3920" s="40" t="e">
        <f t="shared" si="7862"/>
        <v>#N/A</v>
      </c>
      <c r="K3920" s="16" t="e">
        <f t="shared" si="7863"/>
        <v>#N/A</v>
      </c>
      <c r="L3920" s="40" t="e">
        <f t="shared" si="7864"/>
        <v>#N/A</v>
      </c>
      <c r="M3920" s="16" t="e">
        <f t="shared" si="7865"/>
        <v>#N/A</v>
      </c>
      <c r="N3920" s="16" t="e">
        <f t="shared" si="7866"/>
        <v>#N/A</v>
      </c>
      <c r="O3920" s="16" t="s">
        <v>77</v>
      </c>
      <c r="P3920" s="16" t="str">
        <f t="shared" si="6"/>
        <v/>
      </c>
      <c r="Q3920" s="41" t="e">
        <f t="shared" si="7867"/>
        <v>#N/A</v>
      </c>
      <c r="R3920" s="44"/>
      <c r="S3920" s="44"/>
      <c r="T3920" s="43"/>
      <c r="U3920" s="43" t="str">
        <f t="shared" si="8"/>
        <v>No</v>
      </c>
      <c r="V3920" s="25"/>
      <c r="W3920" s="25"/>
      <c r="X3920" s="25"/>
      <c r="Y3920" s="25"/>
      <c r="Z3920" s="25"/>
    </row>
    <row r="3921" spans="1:26" ht="15.75" customHeight="1" x14ac:dyDescent="0.25">
      <c r="A3921" s="25">
        <v>3919</v>
      </c>
      <c r="B3921" s="37" t="e">
        <f t="shared" si="7855"/>
        <v>#N/A</v>
      </c>
      <c r="C3921" s="38" t="e">
        <f t="shared" si="7856"/>
        <v>#N/A</v>
      </c>
      <c r="D3921" s="39" t="e">
        <f t="shared" si="7857"/>
        <v>#N/A</v>
      </c>
      <c r="E3921" s="16" t="e">
        <f t="shared" si="1"/>
        <v>#N/A</v>
      </c>
      <c r="F3921" s="16" t="e">
        <f t="shared" si="7858"/>
        <v>#N/A</v>
      </c>
      <c r="G3921" s="39" t="e">
        <f t="shared" si="7859"/>
        <v>#N/A</v>
      </c>
      <c r="H3921" s="16" t="e">
        <f t="shared" si="7860"/>
        <v>#N/A</v>
      </c>
      <c r="I3921" s="16" t="e">
        <f t="shared" si="7861"/>
        <v>#N/A</v>
      </c>
      <c r="J3921" s="40" t="e">
        <f t="shared" si="7862"/>
        <v>#N/A</v>
      </c>
      <c r="K3921" s="16" t="e">
        <f t="shared" si="7863"/>
        <v>#N/A</v>
      </c>
      <c r="L3921" s="40" t="e">
        <f t="shared" si="7864"/>
        <v>#N/A</v>
      </c>
      <c r="M3921" s="16" t="e">
        <f t="shared" si="7865"/>
        <v>#N/A</v>
      </c>
      <c r="N3921" s="16" t="e">
        <f t="shared" si="7866"/>
        <v>#N/A</v>
      </c>
      <c r="O3921" s="16" t="s">
        <v>77</v>
      </c>
      <c r="P3921" s="16" t="str">
        <f t="shared" si="6"/>
        <v/>
      </c>
      <c r="Q3921" s="41" t="e">
        <f t="shared" si="7867"/>
        <v>#N/A</v>
      </c>
      <c r="R3921" s="44"/>
      <c r="S3921" s="44"/>
      <c r="T3921" s="43"/>
      <c r="U3921" s="43" t="str">
        <f t="shared" si="8"/>
        <v>No</v>
      </c>
      <c r="V3921" s="25"/>
      <c r="W3921" s="25"/>
      <c r="X3921" s="25"/>
      <c r="Y3921" s="25"/>
      <c r="Z3921" s="25"/>
    </row>
    <row r="3922" spans="1:26" ht="15.75" customHeight="1" x14ac:dyDescent="0.25">
      <c r="A3922" s="25">
        <v>3920</v>
      </c>
      <c r="B3922" s="37" t="e">
        <f t="shared" si="7855"/>
        <v>#N/A</v>
      </c>
      <c r="C3922" s="38" t="e">
        <f t="shared" si="7856"/>
        <v>#N/A</v>
      </c>
      <c r="D3922" s="39" t="e">
        <f t="shared" si="7857"/>
        <v>#N/A</v>
      </c>
      <c r="E3922" s="16" t="e">
        <f t="shared" si="1"/>
        <v>#N/A</v>
      </c>
      <c r="F3922" s="16" t="e">
        <f t="shared" si="7858"/>
        <v>#N/A</v>
      </c>
      <c r="G3922" s="39" t="e">
        <f t="shared" si="7859"/>
        <v>#N/A</v>
      </c>
      <c r="H3922" s="16" t="e">
        <f t="shared" si="7860"/>
        <v>#N/A</v>
      </c>
      <c r="I3922" s="16" t="e">
        <f t="shared" si="7861"/>
        <v>#N/A</v>
      </c>
      <c r="J3922" s="40" t="e">
        <f t="shared" si="7862"/>
        <v>#N/A</v>
      </c>
      <c r="K3922" s="16" t="e">
        <f t="shared" si="7863"/>
        <v>#N/A</v>
      </c>
      <c r="L3922" s="40" t="e">
        <f t="shared" si="7864"/>
        <v>#N/A</v>
      </c>
      <c r="M3922" s="16" t="e">
        <f t="shared" si="7865"/>
        <v>#N/A</v>
      </c>
      <c r="N3922" s="16" t="e">
        <f t="shared" si="7866"/>
        <v>#N/A</v>
      </c>
      <c r="O3922" s="16" t="s">
        <v>77</v>
      </c>
      <c r="P3922" s="16" t="str">
        <f t="shared" si="6"/>
        <v/>
      </c>
      <c r="Q3922" s="41" t="e">
        <f t="shared" si="7867"/>
        <v>#N/A</v>
      </c>
      <c r="R3922" s="44"/>
      <c r="S3922" s="44"/>
      <c r="T3922" s="43"/>
      <c r="U3922" s="43" t="str">
        <f t="shared" si="8"/>
        <v>No</v>
      </c>
      <c r="V3922" s="25"/>
      <c r="W3922" s="25"/>
      <c r="X3922" s="25"/>
      <c r="Y3922" s="25"/>
      <c r="Z3922" s="25"/>
    </row>
    <row r="3923" spans="1:26" ht="15.75" customHeight="1" x14ac:dyDescent="0.25">
      <c r="A3923" s="25">
        <v>3921</v>
      </c>
      <c r="B3923" s="37" t="e">
        <f t="shared" si="7855"/>
        <v>#N/A</v>
      </c>
      <c r="C3923" s="38" t="e">
        <f t="shared" si="7856"/>
        <v>#N/A</v>
      </c>
      <c r="D3923" s="39" t="e">
        <f t="shared" si="7857"/>
        <v>#N/A</v>
      </c>
      <c r="E3923" s="16" t="e">
        <f t="shared" si="1"/>
        <v>#N/A</v>
      </c>
      <c r="F3923" s="16" t="e">
        <f t="shared" si="7858"/>
        <v>#N/A</v>
      </c>
      <c r="G3923" s="39" t="e">
        <f t="shared" si="7859"/>
        <v>#N/A</v>
      </c>
      <c r="H3923" s="16" t="e">
        <f t="shared" si="7860"/>
        <v>#N/A</v>
      </c>
      <c r="I3923" s="16" t="e">
        <f t="shared" si="7861"/>
        <v>#N/A</v>
      </c>
      <c r="J3923" s="40" t="e">
        <f t="shared" si="7862"/>
        <v>#N/A</v>
      </c>
      <c r="K3923" s="16" t="e">
        <f t="shared" si="7863"/>
        <v>#N/A</v>
      </c>
      <c r="L3923" s="40" t="e">
        <f t="shared" si="7864"/>
        <v>#N/A</v>
      </c>
      <c r="M3923" s="16" t="e">
        <f t="shared" si="7865"/>
        <v>#N/A</v>
      </c>
      <c r="N3923" s="16" t="e">
        <f t="shared" si="7866"/>
        <v>#N/A</v>
      </c>
      <c r="O3923" s="16" t="s">
        <v>77</v>
      </c>
      <c r="P3923" s="16" t="str">
        <f t="shared" si="6"/>
        <v/>
      </c>
      <c r="Q3923" s="41" t="e">
        <f t="shared" si="7867"/>
        <v>#N/A</v>
      </c>
      <c r="R3923" s="44"/>
      <c r="S3923" s="44"/>
      <c r="T3923" s="43"/>
      <c r="U3923" s="43" t="str">
        <f t="shared" si="8"/>
        <v>No</v>
      </c>
      <c r="V3923" s="25"/>
      <c r="W3923" s="25"/>
      <c r="X3923" s="25"/>
      <c r="Y3923" s="25"/>
      <c r="Z3923" s="25"/>
    </row>
    <row r="3924" spans="1:26" ht="15.75" customHeight="1" x14ac:dyDescent="0.25">
      <c r="A3924" s="25">
        <v>3922</v>
      </c>
      <c r="B3924" s="37" t="e">
        <f t="shared" si="7855"/>
        <v>#N/A</v>
      </c>
      <c r="C3924" s="38" t="e">
        <f t="shared" si="7856"/>
        <v>#N/A</v>
      </c>
      <c r="D3924" s="39" t="e">
        <f t="shared" si="7857"/>
        <v>#N/A</v>
      </c>
      <c r="E3924" s="16" t="e">
        <f t="shared" si="1"/>
        <v>#N/A</v>
      </c>
      <c r="F3924" s="16" t="e">
        <f t="shared" si="7858"/>
        <v>#N/A</v>
      </c>
      <c r="G3924" s="39" t="e">
        <f t="shared" si="7859"/>
        <v>#N/A</v>
      </c>
      <c r="H3924" s="16" t="e">
        <f t="shared" si="7860"/>
        <v>#N/A</v>
      </c>
      <c r="I3924" s="16" t="e">
        <f t="shared" si="7861"/>
        <v>#N/A</v>
      </c>
      <c r="J3924" s="40" t="e">
        <f t="shared" si="7862"/>
        <v>#N/A</v>
      </c>
      <c r="K3924" s="16" t="e">
        <f t="shared" si="7863"/>
        <v>#N/A</v>
      </c>
      <c r="L3924" s="40" t="e">
        <f t="shared" si="7864"/>
        <v>#N/A</v>
      </c>
      <c r="M3924" s="16" t="e">
        <f t="shared" si="7865"/>
        <v>#N/A</v>
      </c>
      <c r="N3924" s="16" t="e">
        <f t="shared" si="7866"/>
        <v>#N/A</v>
      </c>
      <c r="O3924" s="16" t="s">
        <v>77</v>
      </c>
      <c r="P3924" s="16" t="str">
        <f t="shared" si="6"/>
        <v/>
      </c>
      <c r="Q3924" s="41" t="e">
        <f t="shared" si="7867"/>
        <v>#N/A</v>
      </c>
      <c r="R3924" s="44"/>
      <c r="S3924" s="44"/>
      <c r="T3924" s="43"/>
      <c r="U3924" s="43" t="str">
        <f t="shared" si="8"/>
        <v>No</v>
      </c>
      <c r="V3924" s="25"/>
      <c r="W3924" s="25"/>
      <c r="X3924" s="25"/>
      <c r="Y3924" s="25"/>
      <c r="Z3924" s="25"/>
    </row>
    <row r="3925" spans="1:26" ht="15.75" customHeight="1" x14ac:dyDescent="0.25">
      <c r="A3925" s="25">
        <v>3923</v>
      </c>
      <c r="B3925" s="37" t="e">
        <f t="shared" si="7855"/>
        <v>#N/A</v>
      </c>
      <c r="C3925" s="38" t="e">
        <f t="shared" si="7856"/>
        <v>#N/A</v>
      </c>
      <c r="D3925" s="39" t="e">
        <f t="shared" si="7857"/>
        <v>#N/A</v>
      </c>
      <c r="E3925" s="16" t="e">
        <f t="shared" si="1"/>
        <v>#N/A</v>
      </c>
      <c r="F3925" s="16" t="e">
        <f t="shared" si="7858"/>
        <v>#N/A</v>
      </c>
      <c r="G3925" s="39" t="e">
        <f t="shared" si="7859"/>
        <v>#N/A</v>
      </c>
      <c r="H3925" s="16" t="e">
        <f t="shared" si="7860"/>
        <v>#N/A</v>
      </c>
      <c r="I3925" s="16" t="e">
        <f t="shared" si="7861"/>
        <v>#N/A</v>
      </c>
      <c r="J3925" s="40" t="e">
        <f t="shared" si="7862"/>
        <v>#N/A</v>
      </c>
      <c r="K3925" s="16" t="e">
        <f t="shared" si="7863"/>
        <v>#N/A</v>
      </c>
      <c r="L3925" s="40" t="e">
        <f t="shared" si="7864"/>
        <v>#N/A</v>
      </c>
      <c r="M3925" s="16" t="e">
        <f t="shared" si="7865"/>
        <v>#N/A</v>
      </c>
      <c r="N3925" s="16" t="e">
        <f t="shared" si="7866"/>
        <v>#N/A</v>
      </c>
      <c r="O3925" s="16" t="s">
        <v>77</v>
      </c>
      <c r="P3925" s="16" t="str">
        <f t="shared" si="6"/>
        <v/>
      </c>
      <c r="Q3925" s="41" t="e">
        <f t="shared" si="7867"/>
        <v>#N/A</v>
      </c>
      <c r="R3925" s="44"/>
      <c r="S3925" s="44"/>
      <c r="T3925" s="43"/>
      <c r="U3925" s="43" t="str">
        <f t="shared" si="8"/>
        <v>No</v>
      </c>
      <c r="V3925" s="25"/>
      <c r="W3925" s="25"/>
      <c r="X3925" s="25"/>
      <c r="Y3925" s="25"/>
      <c r="Z3925" s="25"/>
    </row>
    <row r="3926" spans="1:26" ht="15.75" customHeight="1" x14ac:dyDescent="0.25">
      <c r="A3926" s="25">
        <v>3924</v>
      </c>
      <c r="B3926" s="37" t="e">
        <f t="shared" si="7855"/>
        <v>#N/A</v>
      </c>
      <c r="C3926" s="38" t="e">
        <f t="shared" si="7856"/>
        <v>#N/A</v>
      </c>
      <c r="D3926" s="39" t="e">
        <f t="shared" si="7857"/>
        <v>#N/A</v>
      </c>
      <c r="E3926" s="16" t="e">
        <f t="shared" si="1"/>
        <v>#N/A</v>
      </c>
      <c r="F3926" s="16" t="e">
        <f t="shared" si="7858"/>
        <v>#N/A</v>
      </c>
      <c r="G3926" s="39" t="e">
        <f t="shared" si="7859"/>
        <v>#N/A</v>
      </c>
      <c r="H3926" s="16" t="e">
        <f t="shared" si="7860"/>
        <v>#N/A</v>
      </c>
      <c r="I3926" s="16" t="e">
        <f t="shared" si="7861"/>
        <v>#N/A</v>
      </c>
      <c r="J3926" s="40" t="e">
        <f t="shared" si="7862"/>
        <v>#N/A</v>
      </c>
      <c r="K3926" s="16" t="e">
        <f t="shared" si="7863"/>
        <v>#N/A</v>
      </c>
      <c r="L3926" s="40" t="e">
        <f t="shared" si="7864"/>
        <v>#N/A</v>
      </c>
      <c r="M3926" s="16" t="e">
        <f t="shared" si="7865"/>
        <v>#N/A</v>
      </c>
      <c r="N3926" s="16" t="e">
        <f t="shared" si="7866"/>
        <v>#N/A</v>
      </c>
      <c r="O3926" s="16" t="s">
        <v>77</v>
      </c>
      <c r="P3926" s="16" t="str">
        <f t="shared" si="6"/>
        <v/>
      </c>
      <c r="Q3926" s="41" t="e">
        <f t="shared" si="7867"/>
        <v>#N/A</v>
      </c>
      <c r="R3926" s="44"/>
      <c r="S3926" s="44"/>
      <c r="T3926" s="43"/>
      <c r="U3926" s="43" t="str">
        <f t="shared" si="8"/>
        <v>No</v>
      </c>
      <c r="V3926" s="25"/>
      <c r="W3926" s="25"/>
      <c r="X3926" s="25"/>
      <c r="Y3926" s="25"/>
      <c r="Z3926" s="25"/>
    </row>
    <row r="3927" spans="1:26" ht="15.75" customHeight="1" x14ac:dyDescent="0.25">
      <c r="A3927" s="25">
        <v>3925</v>
      </c>
      <c r="B3927" s="37" t="e">
        <f t="shared" si="7855"/>
        <v>#N/A</v>
      </c>
      <c r="C3927" s="38" t="e">
        <f t="shared" si="7856"/>
        <v>#N/A</v>
      </c>
      <c r="D3927" s="39" t="e">
        <f t="shared" si="7857"/>
        <v>#N/A</v>
      </c>
      <c r="E3927" s="16" t="e">
        <f t="shared" si="1"/>
        <v>#N/A</v>
      </c>
      <c r="F3927" s="16" t="e">
        <f t="shared" si="7858"/>
        <v>#N/A</v>
      </c>
      <c r="G3927" s="39" t="e">
        <f t="shared" si="7859"/>
        <v>#N/A</v>
      </c>
      <c r="H3927" s="16" t="e">
        <f t="shared" si="7860"/>
        <v>#N/A</v>
      </c>
      <c r="I3927" s="16" t="e">
        <f t="shared" si="7861"/>
        <v>#N/A</v>
      </c>
      <c r="J3927" s="40" t="e">
        <f t="shared" si="7862"/>
        <v>#N/A</v>
      </c>
      <c r="K3927" s="16" t="e">
        <f t="shared" si="7863"/>
        <v>#N/A</v>
      </c>
      <c r="L3927" s="40" t="e">
        <f t="shared" si="7864"/>
        <v>#N/A</v>
      </c>
      <c r="M3927" s="16" t="e">
        <f t="shared" si="7865"/>
        <v>#N/A</v>
      </c>
      <c r="N3927" s="16" t="e">
        <f t="shared" si="7866"/>
        <v>#N/A</v>
      </c>
      <c r="O3927" s="16" t="s">
        <v>77</v>
      </c>
      <c r="P3927" s="16" t="str">
        <f t="shared" si="6"/>
        <v/>
      </c>
      <c r="Q3927" s="41" t="e">
        <f t="shared" si="7867"/>
        <v>#N/A</v>
      </c>
      <c r="R3927" s="44"/>
      <c r="S3927" s="44"/>
      <c r="T3927" s="43"/>
      <c r="U3927" s="43" t="str">
        <f t="shared" si="8"/>
        <v>No</v>
      </c>
      <c r="V3927" s="25"/>
      <c r="W3927" s="25"/>
      <c r="X3927" s="25"/>
      <c r="Y3927" s="25"/>
      <c r="Z3927" s="25"/>
    </row>
    <row r="3928" spans="1:26" ht="15.75" customHeight="1" x14ac:dyDescent="0.25">
      <c r="A3928" s="25">
        <v>3926</v>
      </c>
      <c r="B3928" s="37" t="e">
        <f t="shared" si="7855"/>
        <v>#N/A</v>
      </c>
      <c r="C3928" s="38" t="e">
        <f t="shared" si="7856"/>
        <v>#N/A</v>
      </c>
      <c r="D3928" s="39" t="e">
        <f t="shared" si="7857"/>
        <v>#N/A</v>
      </c>
      <c r="E3928" s="16" t="e">
        <f t="shared" si="1"/>
        <v>#N/A</v>
      </c>
      <c r="F3928" s="16" t="e">
        <f t="shared" si="7858"/>
        <v>#N/A</v>
      </c>
      <c r="G3928" s="39" t="e">
        <f t="shared" si="7859"/>
        <v>#N/A</v>
      </c>
      <c r="H3928" s="16" t="e">
        <f t="shared" si="7860"/>
        <v>#N/A</v>
      </c>
      <c r="I3928" s="16" t="e">
        <f t="shared" si="7861"/>
        <v>#N/A</v>
      </c>
      <c r="J3928" s="40" t="e">
        <f t="shared" si="7862"/>
        <v>#N/A</v>
      </c>
      <c r="K3928" s="16" t="e">
        <f t="shared" si="7863"/>
        <v>#N/A</v>
      </c>
      <c r="L3928" s="40" t="e">
        <f t="shared" si="7864"/>
        <v>#N/A</v>
      </c>
      <c r="M3928" s="16" t="e">
        <f t="shared" si="7865"/>
        <v>#N/A</v>
      </c>
      <c r="N3928" s="16" t="e">
        <f t="shared" si="7866"/>
        <v>#N/A</v>
      </c>
      <c r="O3928" s="16" t="s">
        <v>77</v>
      </c>
      <c r="P3928" s="16" t="str">
        <f t="shared" si="6"/>
        <v/>
      </c>
      <c r="Q3928" s="41" t="e">
        <f t="shared" si="7867"/>
        <v>#N/A</v>
      </c>
      <c r="R3928" s="44"/>
      <c r="S3928" s="44"/>
      <c r="T3928" s="43"/>
      <c r="U3928" s="43" t="str">
        <f t="shared" si="8"/>
        <v>No</v>
      </c>
      <c r="V3928" s="25"/>
      <c r="W3928" s="25"/>
      <c r="X3928" s="25"/>
      <c r="Y3928" s="25"/>
      <c r="Z3928" s="25"/>
    </row>
    <row r="3929" spans="1:26" ht="15.75" customHeight="1" x14ac:dyDescent="0.25">
      <c r="A3929" s="25">
        <v>3927</v>
      </c>
      <c r="B3929" s="37" t="e">
        <f t="shared" si="7855"/>
        <v>#N/A</v>
      </c>
      <c r="C3929" s="38" t="e">
        <f t="shared" si="7856"/>
        <v>#N/A</v>
      </c>
      <c r="D3929" s="39" t="e">
        <f t="shared" si="7857"/>
        <v>#N/A</v>
      </c>
      <c r="E3929" s="16" t="e">
        <f t="shared" si="1"/>
        <v>#N/A</v>
      </c>
      <c r="F3929" s="16" t="e">
        <f t="shared" si="7858"/>
        <v>#N/A</v>
      </c>
      <c r="G3929" s="39" t="e">
        <f t="shared" si="7859"/>
        <v>#N/A</v>
      </c>
      <c r="H3929" s="16" t="e">
        <f t="shared" si="7860"/>
        <v>#N/A</v>
      </c>
      <c r="I3929" s="16" t="e">
        <f t="shared" si="7861"/>
        <v>#N/A</v>
      </c>
      <c r="J3929" s="40" t="e">
        <f t="shared" si="7862"/>
        <v>#N/A</v>
      </c>
      <c r="K3929" s="16" t="e">
        <f t="shared" si="7863"/>
        <v>#N/A</v>
      </c>
      <c r="L3929" s="40" t="e">
        <f t="shared" si="7864"/>
        <v>#N/A</v>
      </c>
      <c r="M3929" s="16" t="e">
        <f t="shared" si="7865"/>
        <v>#N/A</v>
      </c>
      <c r="N3929" s="16" t="e">
        <f t="shared" si="7866"/>
        <v>#N/A</v>
      </c>
      <c r="O3929" s="16" t="s">
        <v>77</v>
      </c>
      <c r="P3929" s="16" t="str">
        <f t="shared" si="6"/>
        <v/>
      </c>
      <c r="Q3929" s="41" t="e">
        <f t="shared" si="7867"/>
        <v>#N/A</v>
      </c>
      <c r="R3929" s="44"/>
      <c r="S3929" s="44"/>
      <c r="T3929" s="43"/>
      <c r="U3929" s="43" t="str">
        <f t="shared" si="8"/>
        <v>No</v>
      </c>
      <c r="V3929" s="25"/>
      <c r="W3929" s="25"/>
      <c r="X3929" s="25"/>
      <c r="Y3929" s="25"/>
      <c r="Z3929" s="25"/>
    </row>
    <row r="3930" spans="1:26" ht="15.75" customHeight="1" x14ac:dyDescent="0.25">
      <c r="A3930" s="25">
        <v>3928</v>
      </c>
      <c r="B3930" s="37" t="e">
        <f t="shared" si="7855"/>
        <v>#N/A</v>
      </c>
      <c r="C3930" s="38" t="e">
        <f t="shared" si="7856"/>
        <v>#N/A</v>
      </c>
      <c r="D3930" s="39" t="e">
        <f t="shared" si="7857"/>
        <v>#N/A</v>
      </c>
      <c r="E3930" s="16" t="e">
        <f t="shared" si="1"/>
        <v>#N/A</v>
      </c>
      <c r="F3930" s="16" t="e">
        <f t="shared" si="7858"/>
        <v>#N/A</v>
      </c>
      <c r="G3930" s="39" t="e">
        <f t="shared" si="7859"/>
        <v>#N/A</v>
      </c>
      <c r="H3930" s="16" t="e">
        <f t="shared" si="7860"/>
        <v>#N/A</v>
      </c>
      <c r="I3930" s="16" t="e">
        <f t="shared" si="7861"/>
        <v>#N/A</v>
      </c>
      <c r="J3930" s="40" t="e">
        <f t="shared" si="7862"/>
        <v>#N/A</v>
      </c>
      <c r="K3930" s="16" t="e">
        <f t="shared" si="7863"/>
        <v>#N/A</v>
      </c>
      <c r="L3930" s="40" t="e">
        <f t="shared" si="7864"/>
        <v>#N/A</v>
      </c>
      <c r="M3930" s="16" t="e">
        <f t="shared" si="7865"/>
        <v>#N/A</v>
      </c>
      <c r="N3930" s="16" t="e">
        <f t="shared" si="7866"/>
        <v>#N/A</v>
      </c>
      <c r="O3930" s="16" t="s">
        <v>77</v>
      </c>
      <c r="P3930" s="16" t="str">
        <f t="shared" si="6"/>
        <v/>
      </c>
      <c r="Q3930" s="41" t="e">
        <f t="shared" si="7867"/>
        <v>#N/A</v>
      </c>
      <c r="R3930" s="44"/>
      <c r="S3930" s="44"/>
      <c r="T3930" s="43"/>
      <c r="U3930" s="43" t="str">
        <f t="shared" si="8"/>
        <v>No</v>
      </c>
      <c r="V3930" s="25"/>
      <c r="W3930" s="25"/>
      <c r="X3930" s="25"/>
      <c r="Y3930" s="25"/>
      <c r="Z3930" s="25"/>
    </row>
    <row r="3931" spans="1:26" ht="15.75" customHeight="1" x14ac:dyDescent="0.25">
      <c r="A3931" s="25">
        <v>3929</v>
      </c>
      <c r="B3931" s="37" t="e">
        <f t="shared" si="7855"/>
        <v>#N/A</v>
      </c>
      <c r="C3931" s="38" t="e">
        <f t="shared" si="7856"/>
        <v>#N/A</v>
      </c>
      <c r="D3931" s="39" t="e">
        <f t="shared" si="7857"/>
        <v>#N/A</v>
      </c>
      <c r="E3931" s="16" t="e">
        <f t="shared" si="1"/>
        <v>#N/A</v>
      </c>
      <c r="F3931" s="16" t="e">
        <f t="shared" si="7858"/>
        <v>#N/A</v>
      </c>
      <c r="G3931" s="39" t="e">
        <f t="shared" si="7859"/>
        <v>#N/A</v>
      </c>
      <c r="H3931" s="16" t="e">
        <f t="shared" si="7860"/>
        <v>#N/A</v>
      </c>
      <c r="I3931" s="16" t="e">
        <f t="shared" si="7861"/>
        <v>#N/A</v>
      </c>
      <c r="J3931" s="40" t="e">
        <f t="shared" si="7862"/>
        <v>#N/A</v>
      </c>
      <c r="K3931" s="16" t="e">
        <f t="shared" si="7863"/>
        <v>#N/A</v>
      </c>
      <c r="L3931" s="40" t="e">
        <f t="shared" si="7864"/>
        <v>#N/A</v>
      </c>
      <c r="M3931" s="16" t="e">
        <f t="shared" si="7865"/>
        <v>#N/A</v>
      </c>
      <c r="N3931" s="16" t="e">
        <f t="shared" si="7866"/>
        <v>#N/A</v>
      </c>
      <c r="O3931" s="16" t="s">
        <v>77</v>
      </c>
      <c r="P3931" s="16" t="str">
        <f t="shared" si="6"/>
        <v/>
      </c>
      <c r="Q3931" s="41" t="e">
        <f t="shared" si="7867"/>
        <v>#N/A</v>
      </c>
      <c r="R3931" s="44"/>
      <c r="S3931" s="44"/>
      <c r="T3931" s="43"/>
      <c r="U3931" s="43" t="str">
        <f t="shared" si="8"/>
        <v>No</v>
      </c>
      <c r="V3931" s="25"/>
      <c r="W3931" s="25"/>
      <c r="X3931" s="25"/>
      <c r="Y3931" s="25"/>
      <c r="Z3931" s="25"/>
    </row>
    <row r="3932" spans="1:26" ht="15.75" customHeight="1" x14ac:dyDescent="0.25">
      <c r="A3932" s="25">
        <v>3930</v>
      </c>
      <c r="B3932" s="37" t="e">
        <f t="shared" si="7855"/>
        <v>#N/A</v>
      </c>
      <c r="C3932" s="38" t="e">
        <f t="shared" si="7856"/>
        <v>#N/A</v>
      </c>
      <c r="D3932" s="39" t="e">
        <f t="shared" si="7857"/>
        <v>#N/A</v>
      </c>
      <c r="E3932" s="16" t="e">
        <f t="shared" si="1"/>
        <v>#N/A</v>
      </c>
      <c r="F3932" s="16" t="e">
        <f t="shared" si="7858"/>
        <v>#N/A</v>
      </c>
      <c r="G3932" s="39" t="e">
        <f t="shared" si="7859"/>
        <v>#N/A</v>
      </c>
      <c r="H3932" s="16" t="e">
        <f t="shared" si="7860"/>
        <v>#N/A</v>
      </c>
      <c r="I3932" s="16" t="e">
        <f t="shared" si="7861"/>
        <v>#N/A</v>
      </c>
      <c r="J3932" s="40" t="e">
        <f t="shared" si="7862"/>
        <v>#N/A</v>
      </c>
      <c r="K3932" s="16" t="e">
        <f t="shared" si="7863"/>
        <v>#N/A</v>
      </c>
      <c r="L3932" s="40" t="e">
        <f t="shared" si="7864"/>
        <v>#N/A</v>
      </c>
      <c r="M3932" s="16" t="e">
        <f t="shared" si="7865"/>
        <v>#N/A</v>
      </c>
      <c r="N3932" s="16" t="e">
        <f t="shared" si="7866"/>
        <v>#N/A</v>
      </c>
      <c r="O3932" s="16" t="s">
        <v>77</v>
      </c>
      <c r="P3932" s="16" t="str">
        <f t="shared" si="6"/>
        <v/>
      </c>
      <c r="Q3932" s="41" t="e">
        <f t="shared" si="7867"/>
        <v>#N/A</v>
      </c>
      <c r="R3932" s="44"/>
      <c r="S3932" s="44"/>
      <c r="T3932" s="43"/>
      <c r="U3932" s="43" t="str">
        <f t="shared" si="8"/>
        <v>No</v>
      </c>
      <c r="V3932" s="25"/>
      <c r="W3932" s="25"/>
      <c r="X3932" s="25"/>
      <c r="Y3932" s="25"/>
      <c r="Z3932" s="25"/>
    </row>
    <row r="3933" spans="1:26" ht="15.75" customHeight="1" x14ac:dyDescent="0.25">
      <c r="A3933" s="25">
        <v>3931</v>
      </c>
      <c r="B3933" s="37" t="e">
        <f t="shared" si="7855"/>
        <v>#N/A</v>
      </c>
      <c r="C3933" s="38" t="e">
        <f t="shared" si="7856"/>
        <v>#N/A</v>
      </c>
      <c r="D3933" s="39" t="e">
        <f t="shared" si="7857"/>
        <v>#N/A</v>
      </c>
      <c r="E3933" s="16" t="e">
        <f t="shared" si="1"/>
        <v>#N/A</v>
      </c>
      <c r="F3933" s="16" t="e">
        <f t="shared" si="7858"/>
        <v>#N/A</v>
      </c>
      <c r="G3933" s="39" t="e">
        <f t="shared" si="7859"/>
        <v>#N/A</v>
      </c>
      <c r="H3933" s="16" t="e">
        <f t="shared" si="7860"/>
        <v>#N/A</v>
      </c>
      <c r="I3933" s="16" t="e">
        <f t="shared" si="7861"/>
        <v>#N/A</v>
      </c>
      <c r="J3933" s="40" t="e">
        <f t="shared" si="7862"/>
        <v>#N/A</v>
      </c>
      <c r="K3933" s="16" t="e">
        <f t="shared" si="7863"/>
        <v>#N/A</v>
      </c>
      <c r="L3933" s="40" t="e">
        <f t="shared" si="7864"/>
        <v>#N/A</v>
      </c>
      <c r="M3933" s="16" t="e">
        <f t="shared" si="7865"/>
        <v>#N/A</v>
      </c>
      <c r="N3933" s="16" t="e">
        <f t="shared" si="7866"/>
        <v>#N/A</v>
      </c>
      <c r="O3933" s="16" t="s">
        <v>77</v>
      </c>
      <c r="P3933" s="16" t="str">
        <f t="shared" si="6"/>
        <v/>
      </c>
      <c r="Q3933" s="41" t="e">
        <f t="shared" si="7867"/>
        <v>#N/A</v>
      </c>
      <c r="R3933" s="44"/>
      <c r="S3933" s="44"/>
      <c r="T3933" s="43"/>
      <c r="U3933" s="43" t="str">
        <f t="shared" si="8"/>
        <v>No</v>
      </c>
      <c r="V3933" s="25"/>
      <c r="W3933" s="25"/>
      <c r="X3933" s="25"/>
      <c r="Y3933" s="25"/>
      <c r="Z3933" s="25"/>
    </row>
    <row r="3934" spans="1:26" ht="15.75" customHeight="1" x14ac:dyDescent="0.25">
      <c r="A3934" s="25">
        <v>3932</v>
      </c>
      <c r="B3934" s="37" t="e">
        <f t="shared" si="7855"/>
        <v>#N/A</v>
      </c>
      <c r="C3934" s="38" t="e">
        <f t="shared" si="7856"/>
        <v>#N/A</v>
      </c>
      <c r="D3934" s="39" t="e">
        <f t="shared" si="7857"/>
        <v>#N/A</v>
      </c>
      <c r="E3934" s="16" t="e">
        <f t="shared" si="1"/>
        <v>#N/A</v>
      </c>
      <c r="F3934" s="16" t="e">
        <f t="shared" si="7858"/>
        <v>#N/A</v>
      </c>
      <c r="G3934" s="39" t="e">
        <f t="shared" si="7859"/>
        <v>#N/A</v>
      </c>
      <c r="H3934" s="16" t="e">
        <f t="shared" si="7860"/>
        <v>#N/A</v>
      </c>
      <c r="I3934" s="16" t="e">
        <f t="shared" si="7861"/>
        <v>#N/A</v>
      </c>
      <c r="J3934" s="40" t="e">
        <f t="shared" si="7862"/>
        <v>#N/A</v>
      </c>
      <c r="K3934" s="16" t="e">
        <f t="shared" si="7863"/>
        <v>#N/A</v>
      </c>
      <c r="L3934" s="40" t="e">
        <f t="shared" si="7864"/>
        <v>#N/A</v>
      </c>
      <c r="M3934" s="16" t="e">
        <f t="shared" si="7865"/>
        <v>#N/A</v>
      </c>
      <c r="N3934" s="16" t="e">
        <f t="shared" si="7866"/>
        <v>#N/A</v>
      </c>
      <c r="O3934" s="16" t="s">
        <v>77</v>
      </c>
      <c r="P3934" s="16" t="str">
        <f t="shared" si="6"/>
        <v/>
      </c>
      <c r="Q3934" s="41" t="e">
        <f t="shared" si="7867"/>
        <v>#N/A</v>
      </c>
      <c r="R3934" s="44"/>
      <c r="S3934" s="44"/>
      <c r="T3934" s="43"/>
      <c r="U3934" s="43" t="str">
        <f t="shared" si="8"/>
        <v>No</v>
      </c>
      <c r="V3934" s="25"/>
      <c r="W3934" s="25"/>
      <c r="X3934" s="25"/>
      <c r="Y3934" s="25"/>
      <c r="Z3934" s="25"/>
    </row>
    <row r="3935" spans="1:26" ht="15.75" customHeight="1" x14ac:dyDescent="0.25">
      <c r="A3935" s="25">
        <v>3933</v>
      </c>
      <c r="B3935" s="37" t="e">
        <f t="shared" si="7855"/>
        <v>#N/A</v>
      </c>
      <c r="C3935" s="38" t="e">
        <f t="shared" si="7856"/>
        <v>#N/A</v>
      </c>
      <c r="D3935" s="39" t="e">
        <f t="shared" si="7857"/>
        <v>#N/A</v>
      </c>
      <c r="E3935" s="16" t="e">
        <f t="shared" si="1"/>
        <v>#N/A</v>
      </c>
      <c r="F3935" s="16" t="e">
        <f t="shared" si="7858"/>
        <v>#N/A</v>
      </c>
      <c r="G3935" s="39" t="e">
        <f t="shared" si="7859"/>
        <v>#N/A</v>
      </c>
      <c r="H3935" s="16" t="e">
        <f t="shared" si="7860"/>
        <v>#N/A</v>
      </c>
      <c r="I3935" s="16" t="e">
        <f t="shared" si="7861"/>
        <v>#N/A</v>
      </c>
      <c r="J3935" s="40" t="e">
        <f t="shared" si="7862"/>
        <v>#N/A</v>
      </c>
      <c r="K3935" s="16" t="e">
        <f t="shared" si="7863"/>
        <v>#N/A</v>
      </c>
      <c r="L3935" s="40" t="e">
        <f t="shared" si="7864"/>
        <v>#N/A</v>
      </c>
      <c r="M3935" s="16" t="e">
        <f t="shared" si="7865"/>
        <v>#N/A</v>
      </c>
      <c r="N3935" s="16" t="e">
        <f t="shared" si="7866"/>
        <v>#N/A</v>
      </c>
      <c r="O3935" s="16" t="s">
        <v>77</v>
      </c>
      <c r="P3935" s="16" t="str">
        <f t="shared" si="6"/>
        <v/>
      </c>
      <c r="Q3935" s="41" t="e">
        <f t="shared" si="7867"/>
        <v>#N/A</v>
      </c>
      <c r="R3935" s="44"/>
      <c r="S3935" s="44"/>
      <c r="T3935" s="43"/>
      <c r="U3935" s="43" t="str">
        <f t="shared" si="8"/>
        <v>No</v>
      </c>
      <c r="V3935" s="25"/>
      <c r="W3935" s="25"/>
      <c r="X3935" s="25"/>
      <c r="Y3935" s="25"/>
      <c r="Z3935" s="25"/>
    </row>
    <row r="3936" spans="1:26" ht="15.75" customHeight="1" x14ac:dyDescent="0.25">
      <c r="A3936" s="25">
        <v>3934</v>
      </c>
      <c r="B3936" s="37" t="e">
        <f t="shared" si="7855"/>
        <v>#N/A</v>
      </c>
      <c r="C3936" s="38" t="e">
        <f t="shared" si="7856"/>
        <v>#N/A</v>
      </c>
      <c r="D3936" s="39" t="e">
        <f t="shared" si="7857"/>
        <v>#N/A</v>
      </c>
      <c r="E3936" s="16" t="e">
        <f t="shared" si="1"/>
        <v>#N/A</v>
      </c>
      <c r="F3936" s="16" t="e">
        <f t="shared" si="7858"/>
        <v>#N/A</v>
      </c>
      <c r="G3936" s="39" t="e">
        <f t="shared" si="7859"/>
        <v>#N/A</v>
      </c>
      <c r="H3936" s="16" t="e">
        <f t="shared" si="7860"/>
        <v>#N/A</v>
      </c>
      <c r="I3936" s="16" t="e">
        <f t="shared" si="7861"/>
        <v>#N/A</v>
      </c>
      <c r="J3936" s="40" t="e">
        <f t="shared" si="7862"/>
        <v>#N/A</v>
      </c>
      <c r="K3936" s="16" t="e">
        <f t="shared" si="7863"/>
        <v>#N/A</v>
      </c>
      <c r="L3936" s="40" t="e">
        <f t="shared" si="7864"/>
        <v>#N/A</v>
      </c>
      <c r="M3936" s="16" t="e">
        <f t="shared" si="7865"/>
        <v>#N/A</v>
      </c>
      <c r="N3936" s="16" t="e">
        <f t="shared" si="7866"/>
        <v>#N/A</v>
      </c>
      <c r="O3936" s="16" t="s">
        <v>77</v>
      </c>
      <c r="P3936" s="16" t="str">
        <f t="shared" si="6"/>
        <v/>
      </c>
      <c r="Q3936" s="41" t="e">
        <f t="shared" si="7867"/>
        <v>#N/A</v>
      </c>
      <c r="R3936" s="44"/>
      <c r="S3936" s="44"/>
      <c r="T3936" s="43"/>
      <c r="U3936" s="43" t="str">
        <f t="shared" si="8"/>
        <v>No</v>
      </c>
      <c r="V3936" s="25"/>
      <c r="W3936" s="25"/>
      <c r="X3936" s="25"/>
      <c r="Y3936" s="25"/>
      <c r="Z3936" s="25"/>
    </row>
    <row r="3937" spans="1:26" ht="15.75" customHeight="1" x14ac:dyDescent="0.25">
      <c r="A3937" s="25">
        <v>3935</v>
      </c>
      <c r="B3937" s="37" t="e">
        <f t="shared" si="7855"/>
        <v>#N/A</v>
      </c>
      <c r="C3937" s="38" t="e">
        <f t="shared" si="7856"/>
        <v>#N/A</v>
      </c>
      <c r="D3937" s="39" t="e">
        <f t="shared" si="7857"/>
        <v>#N/A</v>
      </c>
      <c r="E3937" s="16" t="e">
        <f t="shared" si="1"/>
        <v>#N/A</v>
      </c>
      <c r="F3937" s="16" t="e">
        <f t="shared" si="7858"/>
        <v>#N/A</v>
      </c>
      <c r="G3937" s="39" t="e">
        <f t="shared" si="7859"/>
        <v>#N/A</v>
      </c>
      <c r="H3937" s="16" t="e">
        <f t="shared" si="7860"/>
        <v>#N/A</v>
      </c>
      <c r="I3937" s="16" t="e">
        <f t="shared" si="7861"/>
        <v>#N/A</v>
      </c>
      <c r="J3937" s="40" t="e">
        <f t="shared" si="7862"/>
        <v>#N/A</v>
      </c>
      <c r="K3937" s="16" t="e">
        <f t="shared" si="7863"/>
        <v>#N/A</v>
      </c>
      <c r="L3937" s="40" t="e">
        <f t="shared" si="7864"/>
        <v>#N/A</v>
      </c>
      <c r="M3937" s="16" t="e">
        <f t="shared" si="7865"/>
        <v>#N/A</v>
      </c>
      <c r="N3937" s="16" t="e">
        <f t="shared" si="7866"/>
        <v>#N/A</v>
      </c>
      <c r="O3937" s="16" t="s">
        <v>77</v>
      </c>
      <c r="P3937" s="16" t="str">
        <f t="shared" si="6"/>
        <v/>
      </c>
      <c r="Q3937" s="41" t="e">
        <f t="shared" si="7867"/>
        <v>#N/A</v>
      </c>
      <c r="R3937" s="44"/>
      <c r="S3937" s="44"/>
      <c r="T3937" s="43"/>
      <c r="U3937" s="43" t="str">
        <f t="shared" si="8"/>
        <v>No</v>
      </c>
      <c r="V3937" s="25"/>
      <c r="W3937" s="25"/>
      <c r="X3937" s="25"/>
      <c r="Y3937" s="25"/>
      <c r="Z3937" s="25"/>
    </row>
    <row r="3938" spans="1:26" ht="15.75" customHeight="1" x14ac:dyDescent="0.25">
      <c r="A3938" s="25">
        <v>3936</v>
      </c>
      <c r="B3938" s="37" t="e">
        <f t="shared" si="7855"/>
        <v>#N/A</v>
      </c>
      <c r="C3938" s="38" t="e">
        <f t="shared" si="7856"/>
        <v>#N/A</v>
      </c>
      <c r="D3938" s="39" t="e">
        <f t="shared" si="7857"/>
        <v>#N/A</v>
      </c>
      <c r="E3938" s="16" t="e">
        <f t="shared" si="1"/>
        <v>#N/A</v>
      </c>
      <c r="F3938" s="16" t="e">
        <f t="shared" si="7858"/>
        <v>#N/A</v>
      </c>
      <c r="G3938" s="39" t="e">
        <f t="shared" si="7859"/>
        <v>#N/A</v>
      </c>
      <c r="H3938" s="16" t="e">
        <f t="shared" si="7860"/>
        <v>#N/A</v>
      </c>
      <c r="I3938" s="16" t="e">
        <f t="shared" si="7861"/>
        <v>#N/A</v>
      </c>
      <c r="J3938" s="40" t="e">
        <f t="shared" si="7862"/>
        <v>#N/A</v>
      </c>
      <c r="K3938" s="16" t="e">
        <f t="shared" si="7863"/>
        <v>#N/A</v>
      </c>
      <c r="L3938" s="40" t="e">
        <f t="shared" si="7864"/>
        <v>#N/A</v>
      </c>
      <c r="M3938" s="16" t="e">
        <f t="shared" si="7865"/>
        <v>#N/A</v>
      </c>
      <c r="N3938" s="16" t="e">
        <f t="shared" si="7866"/>
        <v>#N/A</v>
      </c>
      <c r="O3938" s="16" t="s">
        <v>77</v>
      </c>
      <c r="P3938" s="16" t="str">
        <f t="shared" si="6"/>
        <v/>
      </c>
      <c r="Q3938" s="41" t="e">
        <f t="shared" si="7867"/>
        <v>#N/A</v>
      </c>
      <c r="R3938" s="44"/>
      <c r="S3938" s="44"/>
      <c r="T3938" s="43"/>
      <c r="U3938" s="43" t="str">
        <f t="shared" si="8"/>
        <v>No</v>
      </c>
      <c r="V3938" s="25"/>
      <c r="W3938" s="25"/>
      <c r="X3938" s="25"/>
      <c r="Y3938" s="25"/>
      <c r="Z3938" s="25"/>
    </row>
    <row r="3939" spans="1:26" ht="15.75" customHeight="1" x14ac:dyDescent="0.25">
      <c r="A3939" s="25">
        <v>3937</v>
      </c>
      <c r="B3939" s="37" t="e">
        <f t="shared" si="7855"/>
        <v>#N/A</v>
      </c>
      <c r="C3939" s="38" t="e">
        <f t="shared" si="7856"/>
        <v>#N/A</v>
      </c>
      <c r="D3939" s="39" t="e">
        <f t="shared" si="7857"/>
        <v>#N/A</v>
      </c>
      <c r="E3939" s="16" t="e">
        <f t="shared" si="1"/>
        <v>#N/A</v>
      </c>
      <c r="F3939" s="16" t="e">
        <f t="shared" si="7858"/>
        <v>#N/A</v>
      </c>
      <c r="G3939" s="39" t="e">
        <f t="shared" si="7859"/>
        <v>#N/A</v>
      </c>
      <c r="H3939" s="16" t="e">
        <f t="shared" si="7860"/>
        <v>#N/A</v>
      </c>
      <c r="I3939" s="16" t="e">
        <f t="shared" si="7861"/>
        <v>#N/A</v>
      </c>
      <c r="J3939" s="40" t="e">
        <f t="shared" si="7862"/>
        <v>#N/A</v>
      </c>
      <c r="K3939" s="16" t="e">
        <f t="shared" si="7863"/>
        <v>#N/A</v>
      </c>
      <c r="L3939" s="40" t="e">
        <f t="shared" si="7864"/>
        <v>#N/A</v>
      </c>
      <c r="M3939" s="16" t="e">
        <f t="shared" si="7865"/>
        <v>#N/A</v>
      </c>
      <c r="N3939" s="16" t="e">
        <f t="shared" si="7866"/>
        <v>#N/A</v>
      </c>
      <c r="O3939" s="16" t="s">
        <v>77</v>
      </c>
      <c r="P3939" s="16" t="str">
        <f t="shared" si="6"/>
        <v/>
      </c>
      <c r="Q3939" s="41" t="e">
        <f t="shared" si="7867"/>
        <v>#N/A</v>
      </c>
      <c r="R3939" s="44"/>
      <c r="S3939" s="44"/>
      <c r="T3939" s="43"/>
      <c r="U3939" s="43" t="str">
        <f t="shared" si="8"/>
        <v>No</v>
      </c>
      <c r="V3939" s="25"/>
      <c r="W3939" s="25"/>
      <c r="X3939" s="25"/>
      <c r="Y3939" s="25"/>
      <c r="Z3939" s="25"/>
    </row>
    <row r="3940" spans="1:26" ht="15.75" customHeight="1" x14ac:dyDescent="0.25">
      <c r="A3940" s="25">
        <v>3938</v>
      </c>
      <c r="B3940" s="37" t="e">
        <f t="shared" si="7855"/>
        <v>#N/A</v>
      </c>
      <c r="C3940" s="38" t="e">
        <f t="shared" si="7856"/>
        <v>#N/A</v>
      </c>
      <c r="D3940" s="39" t="e">
        <f t="shared" si="7857"/>
        <v>#N/A</v>
      </c>
      <c r="E3940" s="16" t="e">
        <f t="shared" si="1"/>
        <v>#N/A</v>
      </c>
      <c r="F3940" s="16" t="e">
        <f t="shared" si="7858"/>
        <v>#N/A</v>
      </c>
      <c r="G3940" s="39" t="e">
        <f t="shared" si="7859"/>
        <v>#N/A</v>
      </c>
      <c r="H3940" s="16" t="e">
        <f t="shared" si="7860"/>
        <v>#N/A</v>
      </c>
      <c r="I3940" s="16" t="e">
        <f t="shared" si="7861"/>
        <v>#N/A</v>
      </c>
      <c r="J3940" s="40" t="e">
        <f t="shared" si="7862"/>
        <v>#N/A</v>
      </c>
      <c r="K3940" s="16" t="e">
        <f t="shared" si="7863"/>
        <v>#N/A</v>
      </c>
      <c r="L3940" s="40" t="e">
        <f t="shared" si="7864"/>
        <v>#N/A</v>
      </c>
      <c r="M3940" s="16" t="e">
        <f t="shared" si="7865"/>
        <v>#N/A</v>
      </c>
      <c r="N3940" s="16" t="e">
        <f t="shared" si="7866"/>
        <v>#N/A</v>
      </c>
      <c r="O3940" s="16" t="s">
        <v>77</v>
      </c>
      <c r="P3940" s="16" t="str">
        <f t="shared" si="6"/>
        <v/>
      </c>
      <c r="Q3940" s="41" t="e">
        <f t="shared" si="7867"/>
        <v>#N/A</v>
      </c>
      <c r="R3940" s="44"/>
      <c r="S3940" s="44"/>
      <c r="T3940" s="43"/>
      <c r="U3940" s="43" t="str">
        <f t="shared" si="8"/>
        <v>No</v>
      </c>
      <c r="V3940" s="25"/>
      <c r="W3940" s="25"/>
      <c r="X3940" s="25"/>
      <c r="Y3940" s="25"/>
      <c r="Z3940" s="25"/>
    </row>
    <row r="3941" spans="1:26" ht="15.75" customHeight="1" x14ac:dyDescent="0.25">
      <c r="A3941" s="25">
        <v>3939</v>
      </c>
      <c r="B3941" s="37" t="e">
        <f t="shared" si="7855"/>
        <v>#N/A</v>
      </c>
      <c r="C3941" s="38" t="e">
        <f t="shared" si="7856"/>
        <v>#N/A</v>
      </c>
      <c r="D3941" s="39" t="e">
        <f t="shared" si="7857"/>
        <v>#N/A</v>
      </c>
      <c r="E3941" s="16" t="e">
        <f t="shared" si="1"/>
        <v>#N/A</v>
      </c>
      <c r="F3941" s="16" t="e">
        <f t="shared" si="7858"/>
        <v>#N/A</v>
      </c>
      <c r="G3941" s="39" t="e">
        <f t="shared" si="7859"/>
        <v>#N/A</v>
      </c>
      <c r="H3941" s="16" t="e">
        <f t="shared" si="7860"/>
        <v>#N/A</v>
      </c>
      <c r="I3941" s="16" t="e">
        <f t="shared" si="7861"/>
        <v>#N/A</v>
      </c>
      <c r="J3941" s="40" t="e">
        <f t="shared" si="7862"/>
        <v>#N/A</v>
      </c>
      <c r="K3941" s="16" t="e">
        <f t="shared" si="7863"/>
        <v>#N/A</v>
      </c>
      <c r="L3941" s="40" t="e">
        <f t="shared" si="7864"/>
        <v>#N/A</v>
      </c>
      <c r="M3941" s="16" t="e">
        <f t="shared" si="7865"/>
        <v>#N/A</v>
      </c>
      <c r="N3941" s="16" t="e">
        <f t="shared" si="7866"/>
        <v>#N/A</v>
      </c>
      <c r="O3941" s="16" t="s">
        <v>77</v>
      </c>
      <c r="P3941" s="16" t="str">
        <f t="shared" si="6"/>
        <v/>
      </c>
      <c r="Q3941" s="41" t="e">
        <f t="shared" si="7867"/>
        <v>#N/A</v>
      </c>
      <c r="R3941" s="44"/>
      <c r="S3941" s="44"/>
      <c r="T3941" s="43"/>
      <c r="U3941" s="43" t="str">
        <f t="shared" si="8"/>
        <v>No</v>
      </c>
      <c r="V3941" s="25"/>
      <c r="W3941" s="25"/>
      <c r="X3941" s="25"/>
      <c r="Y3941" s="25"/>
      <c r="Z3941" s="25"/>
    </row>
    <row r="3942" spans="1:26" ht="15.75" customHeight="1" x14ac:dyDescent="0.25">
      <c r="A3942" s="25">
        <v>3940</v>
      </c>
      <c r="B3942" s="37" t="e">
        <f t="shared" si="7855"/>
        <v>#N/A</v>
      </c>
      <c r="C3942" s="38" t="e">
        <f t="shared" si="7856"/>
        <v>#N/A</v>
      </c>
      <c r="D3942" s="39" t="e">
        <f t="shared" si="7857"/>
        <v>#N/A</v>
      </c>
      <c r="E3942" s="16" t="e">
        <f t="shared" si="1"/>
        <v>#N/A</v>
      </c>
      <c r="F3942" s="16" t="e">
        <f t="shared" si="7858"/>
        <v>#N/A</v>
      </c>
      <c r="G3942" s="39" t="e">
        <f t="shared" si="7859"/>
        <v>#N/A</v>
      </c>
      <c r="H3942" s="16" t="e">
        <f t="shared" si="7860"/>
        <v>#N/A</v>
      </c>
      <c r="I3942" s="16" t="e">
        <f t="shared" si="7861"/>
        <v>#N/A</v>
      </c>
      <c r="J3942" s="40" t="e">
        <f t="shared" si="7862"/>
        <v>#N/A</v>
      </c>
      <c r="K3942" s="16" t="e">
        <f t="shared" si="7863"/>
        <v>#N/A</v>
      </c>
      <c r="L3942" s="40" t="e">
        <f t="shared" si="7864"/>
        <v>#N/A</v>
      </c>
      <c r="M3942" s="16" t="e">
        <f t="shared" si="7865"/>
        <v>#N/A</v>
      </c>
      <c r="N3942" s="16" t="e">
        <f t="shared" si="7866"/>
        <v>#N/A</v>
      </c>
      <c r="O3942" s="16" t="s">
        <v>77</v>
      </c>
      <c r="P3942" s="16" t="str">
        <f t="shared" si="6"/>
        <v/>
      </c>
      <c r="Q3942" s="41" t="e">
        <f t="shared" si="7867"/>
        <v>#N/A</v>
      </c>
      <c r="R3942" s="44"/>
      <c r="S3942" s="44"/>
      <c r="T3942" s="43"/>
      <c r="U3942" s="43" t="str">
        <f t="shared" si="8"/>
        <v>No</v>
      </c>
      <c r="V3942" s="25"/>
      <c r="W3942" s="25"/>
      <c r="X3942" s="25"/>
      <c r="Y3942" s="25"/>
      <c r="Z3942" s="25"/>
    </row>
    <row r="3943" spans="1:26" ht="15.75" customHeight="1" x14ac:dyDescent="0.25">
      <c r="A3943" s="25">
        <v>3941</v>
      </c>
      <c r="B3943" s="37" t="e">
        <f t="shared" si="7855"/>
        <v>#N/A</v>
      </c>
      <c r="C3943" s="38" t="e">
        <f t="shared" si="7856"/>
        <v>#N/A</v>
      </c>
      <c r="D3943" s="39" t="e">
        <f t="shared" si="7857"/>
        <v>#N/A</v>
      </c>
      <c r="E3943" s="16" t="e">
        <f t="shared" si="1"/>
        <v>#N/A</v>
      </c>
      <c r="F3943" s="16" t="e">
        <f t="shared" si="7858"/>
        <v>#N/A</v>
      </c>
      <c r="G3943" s="39" t="e">
        <f t="shared" si="7859"/>
        <v>#N/A</v>
      </c>
      <c r="H3943" s="16" t="e">
        <f t="shared" si="7860"/>
        <v>#N/A</v>
      </c>
      <c r="I3943" s="16" t="e">
        <f t="shared" si="7861"/>
        <v>#N/A</v>
      </c>
      <c r="J3943" s="40" t="e">
        <f t="shared" si="7862"/>
        <v>#N/A</v>
      </c>
      <c r="K3943" s="16" t="e">
        <f t="shared" si="7863"/>
        <v>#N/A</v>
      </c>
      <c r="L3943" s="40" t="e">
        <f t="shared" si="7864"/>
        <v>#N/A</v>
      </c>
      <c r="M3943" s="16" t="e">
        <f t="shared" si="7865"/>
        <v>#N/A</v>
      </c>
      <c r="N3943" s="16" t="e">
        <f t="shared" si="7866"/>
        <v>#N/A</v>
      </c>
      <c r="O3943" s="16" t="s">
        <v>77</v>
      </c>
      <c r="P3943" s="16" t="str">
        <f t="shared" si="6"/>
        <v/>
      </c>
      <c r="Q3943" s="41" t="e">
        <f t="shared" si="7867"/>
        <v>#N/A</v>
      </c>
      <c r="R3943" s="44"/>
      <c r="S3943" s="44"/>
      <c r="T3943" s="43"/>
      <c r="U3943" s="43" t="str">
        <f t="shared" si="8"/>
        <v>No</v>
      </c>
      <c r="V3943" s="25"/>
      <c r="W3943" s="25"/>
      <c r="X3943" s="25"/>
      <c r="Y3943" s="25"/>
      <c r="Z3943" s="25"/>
    </row>
    <row r="3944" spans="1:26" ht="15.75" customHeight="1" x14ac:dyDescent="0.25">
      <c r="A3944" s="25">
        <v>3942</v>
      </c>
      <c r="B3944" s="37" t="e">
        <f t="shared" si="7855"/>
        <v>#N/A</v>
      </c>
      <c r="C3944" s="38" t="e">
        <f t="shared" si="7856"/>
        <v>#N/A</v>
      </c>
      <c r="D3944" s="39" t="e">
        <f t="shared" si="7857"/>
        <v>#N/A</v>
      </c>
      <c r="E3944" s="16" t="e">
        <f t="shared" si="1"/>
        <v>#N/A</v>
      </c>
      <c r="F3944" s="16" t="e">
        <f t="shared" si="7858"/>
        <v>#N/A</v>
      </c>
      <c r="G3944" s="39" t="e">
        <f t="shared" si="7859"/>
        <v>#N/A</v>
      </c>
      <c r="H3944" s="16" t="e">
        <f t="shared" si="7860"/>
        <v>#N/A</v>
      </c>
      <c r="I3944" s="16" t="e">
        <f t="shared" si="7861"/>
        <v>#N/A</v>
      </c>
      <c r="J3944" s="40" t="e">
        <f t="shared" si="7862"/>
        <v>#N/A</v>
      </c>
      <c r="K3944" s="16" t="e">
        <f t="shared" si="7863"/>
        <v>#N/A</v>
      </c>
      <c r="L3944" s="40" t="e">
        <f t="shared" si="7864"/>
        <v>#N/A</v>
      </c>
      <c r="M3944" s="16" t="e">
        <f t="shared" si="7865"/>
        <v>#N/A</v>
      </c>
      <c r="N3944" s="16" t="e">
        <f t="shared" si="7866"/>
        <v>#N/A</v>
      </c>
      <c r="O3944" s="16" t="s">
        <v>77</v>
      </c>
      <c r="P3944" s="16" t="str">
        <f t="shared" si="6"/>
        <v/>
      </c>
      <c r="Q3944" s="41" t="e">
        <f t="shared" si="7867"/>
        <v>#N/A</v>
      </c>
      <c r="R3944" s="44"/>
      <c r="S3944" s="44"/>
      <c r="T3944" s="43"/>
      <c r="U3944" s="43" t="str">
        <f t="shared" si="8"/>
        <v>No</v>
      </c>
      <c r="V3944" s="25"/>
      <c r="W3944" s="25"/>
      <c r="X3944" s="25"/>
      <c r="Y3944" s="25"/>
      <c r="Z3944" s="25"/>
    </row>
    <row r="3945" spans="1:26" ht="15.75" customHeight="1" x14ac:dyDescent="0.25">
      <c r="A3945" s="25">
        <v>3943</v>
      </c>
      <c r="B3945" s="37" t="e">
        <f t="shared" si="7855"/>
        <v>#N/A</v>
      </c>
      <c r="C3945" s="38" t="e">
        <f t="shared" si="7856"/>
        <v>#N/A</v>
      </c>
      <c r="D3945" s="39" t="e">
        <f t="shared" si="7857"/>
        <v>#N/A</v>
      </c>
      <c r="E3945" s="16" t="e">
        <f t="shared" si="1"/>
        <v>#N/A</v>
      </c>
      <c r="F3945" s="16" t="e">
        <f t="shared" si="7858"/>
        <v>#N/A</v>
      </c>
      <c r="G3945" s="39" t="e">
        <f t="shared" si="7859"/>
        <v>#N/A</v>
      </c>
      <c r="H3945" s="16" t="e">
        <f t="shared" si="7860"/>
        <v>#N/A</v>
      </c>
      <c r="I3945" s="16" t="e">
        <f t="shared" si="7861"/>
        <v>#N/A</v>
      </c>
      <c r="J3945" s="40" t="e">
        <f t="shared" si="7862"/>
        <v>#N/A</v>
      </c>
      <c r="K3945" s="16" t="e">
        <f t="shared" si="7863"/>
        <v>#N/A</v>
      </c>
      <c r="L3945" s="40" t="e">
        <f t="shared" si="7864"/>
        <v>#N/A</v>
      </c>
      <c r="M3945" s="16" t="e">
        <f t="shared" si="7865"/>
        <v>#N/A</v>
      </c>
      <c r="N3945" s="16" t="e">
        <f t="shared" si="7866"/>
        <v>#N/A</v>
      </c>
      <c r="O3945" s="16" t="s">
        <v>77</v>
      </c>
      <c r="P3945" s="16" t="str">
        <f t="shared" si="6"/>
        <v/>
      </c>
      <c r="Q3945" s="41" t="e">
        <f t="shared" si="7867"/>
        <v>#N/A</v>
      </c>
      <c r="R3945" s="44"/>
      <c r="S3945" s="44"/>
      <c r="T3945" s="43"/>
      <c r="U3945" s="43" t="str">
        <f t="shared" si="8"/>
        <v>No</v>
      </c>
      <c r="V3945" s="25"/>
      <c r="W3945" s="25"/>
      <c r="X3945" s="25"/>
      <c r="Y3945" s="25"/>
      <c r="Z3945" s="25"/>
    </row>
    <row r="3946" spans="1:26" ht="15.75" customHeight="1" x14ac:dyDescent="0.25">
      <c r="A3946" s="25">
        <v>3944</v>
      </c>
      <c r="B3946" s="37" t="e">
        <f t="shared" si="7855"/>
        <v>#N/A</v>
      </c>
      <c r="C3946" s="38" t="e">
        <f t="shared" si="7856"/>
        <v>#N/A</v>
      </c>
      <c r="D3946" s="39" t="e">
        <f t="shared" si="7857"/>
        <v>#N/A</v>
      </c>
      <c r="E3946" s="16" t="e">
        <f t="shared" si="1"/>
        <v>#N/A</v>
      </c>
      <c r="F3946" s="16" t="e">
        <f t="shared" si="7858"/>
        <v>#N/A</v>
      </c>
      <c r="G3946" s="39" t="e">
        <f t="shared" si="7859"/>
        <v>#N/A</v>
      </c>
      <c r="H3946" s="16" t="e">
        <f t="shared" si="7860"/>
        <v>#N/A</v>
      </c>
      <c r="I3946" s="16" t="e">
        <f t="shared" si="7861"/>
        <v>#N/A</v>
      </c>
      <c r="J3946" s="40" t="e">
        <f t="shared" si="7862"/>
        <v>#N/A</v>
      </c>
      <c r="K3946" s="16" t="e">
        <f t="shared" si="7863"/>
        <v>#N/A</v>
      </c>
      <c r="L3946" s="40" t="e">
        <f t="shared" si="7864"/>
        <v>#N/A</v>
      </c>
      <c r="M3946" s="16" t="e">
        <f t="shared" si="7865"/>
        <v>#N/A</v>
      </c>
      <c r="N3946" s="16" t="e">
        <f t="shared" si="7866"/>
        <v>#N/A</v>
      </c>
      <c r="O3946" s="16" t="s">
        <v>77</v>
      </c>
      <c r="P3946" s="16" t="str">
        <f t="shared" si="6"/>
        <v/>
      </c>
      <c r="Q3946" s="41" t="e">
        <f t="shared" si="7867"/>
        <v>#N/A</v>
      </c>
      <c r="R3946" s="44"/>
      <c r="S3946" s="44"/>
      <c r="T3946" s="43"/>
      <c r="U3946" s="43" t="str">
        <f t="shared" si="8"/>
        <v>No</v>
      </c>
      <c r="V3946" s="25"/>
      <c r="W3946" s="25"/>
      <c r="X3946" s="25"/>
      <c r="Y3946" s="25"/>
      <c r="Z3946" s="25"/>
    </row>
    <row r="3947" spans="1:26" ht="15.75" customHeight="1" x14ac:dyDescent="0.25">
      <c r="A3947" s="25">
        <v>3945</v>
      </c>
      <c r="B3947" s="37" t="e">
        <f t="shared" si="7855"/>
        <v>#N/A</v>
      </c>
      <c r="C3947" s="38" t="e">
        <f t="shared" si="7856"/>
        <v>#N/A</v>
      </c>
      <c r="D3947" s="39" t="e">
        <f t="shared" si="7857"/>
        <v>#N/A</v>
      </c>
      <c r="E3947" s="16" t="e">
        <f t="shared" si="1"/>
        <v>#N/A</v>
      </c>
      <c r="F3947" s="16" t="e">
        <f t="shared" si="7858"/>
        <v>#N/A</v>
      </c>
      <c r="G3947" s="39" t="e">
        <f t="shared" si="7859"/>
        <v>#N/A</v>
      </c>
      <c r="H3947" s="16" t="e">
        <f t="shared" si="7860"/>
        <v>#N/A</v>
      </c>
      <c r="I3947" s="16" t="e">
        <f t="shared" si="7861"/>
        <v>#N/A</v>
      </c>
      <c r="J3947" s="40" t="e">
        <f t="shared" si="7862"/>
        <v>#N/A</v>
      </c>
      <c r="K3947" s="16" t="e">
        <f t="shared" si="7863"/>
        <v>#N/A</v>
      </c>
      <c r="L3947" s="40" t="e">
        <f t="shared" si="7864"/>
        <v>#N/A</v>
      </c>
      <c r="M3947" s="16" t="e">
        <f t="shared" si="7865"/>
        <v>#N/A</v>
      </c>
      <c r="N3947" s="16" t="e">
        <f t="shared" si="7866"/>
        <v>#N/A</v>
      </c>
      <c r="O3947" s="16" t="s">
        <v>77</v>
      </c>
      <c r="P3947" s="16" t="str">
        <f t="shared" si="6"/>
        <v/>
      </c>
      <c r="Q3947" s="41" t="e">
        <f t="shared" si="7867"/>
        <v>#N/A</v>
      </c>
      <c r="R3947" s="44"/>
      <c r="S3947" s="44"/>
      <c r="T3947" s="43"/>
      <c r="U3947" s="43" t="str">
        <f t="shared" si="8"/>
        <v>No</v>
      </c>
      <c r="V3947" s="25"/>
      <c r="W3947" s="25"/>
      <c r="X3947" s="25"/>
      <c r="Y3947" s="25"/>
      <c r="Z3947" s="25"/>
    </row>
    <row r="3948" spans="1:26" ht="15.75" customHeight="1" x14ac:dyDescent="0.25">
      <c r="A3948" s="25">
        <v>3946</v>
      </c>
      <c r="B3948" s="37" t="e">
        <f t="shared" si="7855"/>
        <v>#N/A</v>
      </c>
      <c r="C3948" s="38" t="e">
        <f t="shared" si="7856"/>
        <v>#N/A</v>
      </c>
      <c r="D3948" s="39" t="e">
        <f t="shared" si="7857"/>
        <v>#N/A</v>
      </c>
      <c r="E3948" s="16" t="e">
        <f t="shared" si="1"/>
        <v>#N/A</v>
      </c>
      <c r="F3948" s="16" t="e">
        <f t="shared" si="7858"/>
        <v>#N/A</v>
      </c>
      <c r="G3948" s="39" t="e">
        <f t="shared" si="7859"/>
        <v>#N/A</v>
      </c>
      <c r="H3948" s="16" t="e">
        <f t="shared" si="7860"/>
        <v>#N/A</v>
      </c>
      <c r="I3948" s="16" t="e">
        <f t="shared" si="7861"/>
        <v>#N/A</v>
      </c>
      <c r="J3948" s="40" t="e">
        <f t="shared" si="7862"/>
        <v>#N/A</v>
      </c>
      <c r="K3948" s="16" t="e">
        <f t="shared" si="7863"/>
        <v>#N/A</v>
      </c>
      <c r="L3948" s="40" t="e">
        <f t="shared" si="7864"/>
        <v>#N/A</v>
      </c>
      <c r="M3948" s="16" t="e">
        <f t="shared" si="7865"/>
        <v>#N/A</v>
      </c>
      <c r="N3948" s="16" t="e">
        <f t="shared" si="7866"/>
        <v>#N/A</v>
      </c>
      <c r="O3948" s="16" t="s">
        <v>77</v>
      </c>
      <c r="P3948" s="16" t="str">
        <f t="shared" si="6"/>
        <v/>
      </c>
      <c r="Q3948" s="41" t="e">
        <f t="shared" si="7867"/>
        <v>#N/A</v>
      </c>
      <c r="R3948" s="44"/>
      <c r="S3948" s="44"/>
      <c r="T3948" s="43"/>
      <c r="U3948" s="43" t="str">
        <f t="shared" si="8"/>
        <v>No</v>
      </c>
      <c r="V3948" s="25"/>
      <c r="W3948" s="25"/>
      <c r="X3948" s="25"/>
      <c r="Y3948" s="25"/>
      <c r="Z3948" s="25"/>
    </row>
    <row r="3949" spans="1:26" ht="15.75" customHeight="1" x14ac:dyDescent="0.25">
      <c r="A3949" s="25">
        <v>3947</v>
      </c>
      <c r="B3949" s="37" t="e">
        <f t="shared" si="7855"/>
        <v>#N/A</v>
      </c>
      <c r="C3949" s="38" t="e">
        <f t="shared" si="7856"/>
        <v>#N/A</v>
      </c>
      <c r="D3949" s="39" t="e">
        <f t="shared" si="7857"/>
        <v>#N/A</v>
      </c>
      <c r="E3949" s="16" t="e">
        <f t="shared" si="1"/>
        <v>#N/A</v>
      </c>
      <c r="F3949" s="16" t="e">
        <f t="shared" si="7858"/>
        <v>#N/A</v>
      </c>
      <c r="G3949" s="39" t="e">
        <f t="shared" si="7859"/>
        <v>#N/A</v>
      </c>
      <c r="H3949" s="16" t="e">
        <f t="shared" si="7860"/>
        <v>#N/A</v>
      </c>
      <c r="I3949" s="16" t="e">
        <f t="shared" si="7861"/>
        <v>#N/A</v>
      </c>
      <c r="J3949" s="40" t="e">
        <f t="shared" si="7862"/>
        <v>#N/A</v>
      </c>
      <c r="K3949" s="16" t="e">
        <f t="shared" si="7863"/>
        <v>#N/A</v>
      </c>
      <c r="L3949" s="40" t="e">
        <f t="shared" si="7864"/>
        <v>#N/A</v>
      </c>
      <c r="M3949" s="16" t="e">
        <f t="shared" si="7865"/>
        <v>#N/A</v>
      </c>
      <c r="N3949" s="16" t="e">
        <f t="shared" si="7866"/>
        <v>#N/A</v>
      </c>
      <c r="O3949" s="16" t="s">
        <v>77</v>
      </c>
      <c r="P3949" s="16" t="str">
        <f t="shared" si="6"/>
        <v/>
      </c>
      <c r="Q3949" s="41" t="e">
        <f t="shared" si="7867"/>
        <v>#N/A</v>
      </c>
      <c r="R3949" s="44"/>
      <c r="S3949" s="44"/>
      <c r="T3949" s="43"/>
      <c r="U3949" s="43" t="str">
        <f t="shared" si="8"/>
        <v>No</v>
      </c>
      <c r="V3949" s="25"/>
      <c r="W3949" s="25"/>
      <c r="X3949" s="25"/>
      <c r="Y3949" s="25"/>
      <c r="Z3949" s="25"/>
    </row>
    <row r="3950" spans="1:26" ht="15.75" customHeight="1" x14ac:dyDescent="0.25">
      <c r="A3950" s="25">
        <v>3948</v>
      </c>
      <c r="B3950" s="37" t="e">
        <f t="shared" si="7855"/>
        <v>#N/A</v>
      </c>
      <c r="C3950" s="38" t="e">
        <f t="shared" si="7856"/>
        <v>#N/A</v>
      </c>
      <c r="D3950" s="39" t="e">
        <f t="shared" si="7857"/>
        <v>#N/A</v>
      </c>
      <c r="E3950" s="16" t="e">
        <f t="shared" si="1"/>
        <v>#N/A</v>
      </c>
      <c r="F3950" s="16" t="e">
        <f t="shared" si="7858"/>
        <v>#N/A</v>
      </c>
      <c r="G3950" s="39" t="e">
        <f t="shared" si="7859"/>
        <v>#N/A</v>
      </c>
      <c r="H3950" s="16" t="e">
        <f t="shared" si="7860"/>
        <v>#N/A</v>
      </c>
      <c r="I3950" s="16" t="e">
        <f t="shared" si="7861"/>
        <v>#N/A</v>
      </c>
      <c r="J3950" s="40" t="e">
        <f t="shared" si="7862"/>
        <v>#N/A</v>
      </c>
      <c r="K3950" s="16" t="e">
        <f t="shared" si="7863"/>
        <v>#N/A</v>
      </c>
      <c r="L3950" s="40" t="e">
        <f t="shared" si="7864"/>
        <v>#N/A</v>
      </c>
      <c r="M3950" s="16" t="e">
        <f t="shared" si="7865"/>
        <v>#N/A</v>
      </c>
      <c r="N3950" s="16" t="e">
        <f t="shared" si="7866"/>
        <v>#N/A</v>
      </c>
      <c r="O3950" s="16" t="s">
        <v>77</v>
      </c>
      <c r="P3950" s="16" t="str">
        <f t="shared" si="6"/>
        <v/>
      </c>
      <c r="Q3950" s="41" t="e">
        <f t="shared" si="7867"/>
        <v>#N/A</v>
      </c>
      <c r="R3950" s="44"/>
      <c r="S3950" s="44"/>
      <c r="T3950" s="43"/>
      <c r="U3950" s="43" t="str">
        <f t="shared" si="8"/>
        <v>No</v>
      </c>
      <c r="V3950" s="25"/>
      <c r="W3950" s="25"/>
      <c r="X3950" s="25"/>
      <c r="Y3950" s="25"/>
      <c r="Z3950" s="25"/>
    </row>
    <row r="3951" spans="1:26" ht="15.75" customHeight="1" x14ac:dyDescent="0.25">
      <c r="A3951" s="25">
        <v>3949</v>
      </c>
      <c r="B3951" s="37" t="e">
        <f t="shared" si="7855"/>
        <v>#N/A</v>
      </c>
      <c r="C3951" s="38" t="e">
        <f t="shared" si="7856"/>
        <v>#N/A</v>
      </c>
      <c r="D3951" s="39" t="e">
        <f t="shared" si="7857"/>
        <v>#N/A</v>
      </c>
      <c r="E3951" s="16" t="e">
        <f t="shared" si="1"/>
        <v>#N/A</v>
      </c>
      <c r="F3951" s="16" t="e">
        <f t="shared" si="7858"/>
        <v>#N/A</v>
      </c>
      <c r="G3951" s="39" t="e">
        <f t="shared" si="7859"/>
        <v>#N/A</v>
      </c>
      <c r="H3951" s="16" t="e">
        <f t="shared" si="7860"/>
        <v>#N/A</v>
      </c>
      <c r="I3951" s="16" t="e">
        <f t="shared" si="7861"/>
        <v>#N/A</v>
      </c>
      <c r="J3951" s="40" t="e">
        <f t="shared" si="7862"/>
        <v>#N/A</v>
      </c>
      <c r="K3951" s="16" t="e">
        <f t="shared" si="7863"/>
        <v>#N/A</v>
      </c>
      <c r="L3951" s="40" t="e">
        <f t="shared" si="7864"/>
        <v>#N/A</v>
      </c>
      <c r="M3951" s="16" t="e">
        <f t="shared" si="7865"/>
        <v>#N/A</v>
      </c>
      <c r="N3951" s="16" t="e">
        <f t="shared" si="7866"/>
        <v>#N/A</v>
      </c>
      <c r="O3951" s="16" t="s">
        <v>77</v>
      </c>
      <c r="P3951" s="16" t="str">
        <f t="shared" si="6"/>
        <v/>
      </c>
      <c r="Q3951" s="41" t="e">
        <f t="shared" si="7867"/>
        <v>#N/A</v>
      </c>
      <c r="R3951" s="44"/>
      <c r="S3951" s="44"/>
      <c r="T3951" s="43"/>
      <c r="U3951" s="43" t="str">
        <f t="shared" si="8"/>
        <v>No</v>
      </c>
      <c r="V3951" s="25"/>
      <c r="W3951" s="25"/>
      <c r="X3951" s="25"/>
      <c r="Y3951" s="25"/>
      <c r="Z3951" s="25"/>
    </row>
    <row r="3952" spans="1:26" ht="15.75" customHeight="1" x14ac:dyDescent="0.25">
      <c r="A3952" s="25">
        <v>3950</v>
      </c>
      <c r="B3952" s="37" t="e">
        <f t="shared" si="7855"/>
        <v>#N/A</v>
      </c>
      <c r="C3952" s="38" t="e">
        <f t="shared" si="7856"/>
        <v>#N/A</v>
      </c>
      <c r="D3952" s="39" t="e">
        <f t="shared" si="7857"/>
        <v>#N/A</v>
      </c>
      <c r="E3952" s="16" t="e">
        <f t="shared" si="1"/>
        <v>#N/A</v>
      </c>
      <c r="F3952" s="16" t="e">
        <f t="shared" si="7858"/>
        <v>#N/A</v>
      </c>
      <c r="G3952" s="39" t="e">
        <f t="shared" si="7859"/>
        <v>#N/A</v>
      </c>
      <c r="H3952" s="16" t="e">
        <f t="shared" si="7860"/>
        <v>#N/A</v>
      </c>
      <c r="I3952" s="16" t="e">
        <f t="shared" si="7861"/>
        <v>#N/A</v>
      </c>
      <c r="J3952" s="40" t="e">
        <f t="shared" si="7862"/>
        <v>#N/A</v>
      </c>
      <c r="K3952" s="16" t="e">
        <f t="shared" si="7863"/>
        <v>#N/A</v>
      </c>
      <c r="L3952" s="40" t="e">
        <f t="shared" si="7864"/>
        <v>#N/A</v>
      </c>
      <c r="M3952" s="16" t="e">
        <f t="shared" si="7865"/>
        <v>#N/A</v>
      </c>
      <c r="N3952" s="16" t="e">
        <f t="shared" si="7866"/>
        <v>#N/A</v>
      </c>
      <c r="O3952" s="16" t="s">
        <v>77</v>
      </c>
      <c r="P3952" s="16" t="str">
        <f t="shared" si="6"/>
        <v/>
      </c>
      <c r="Q3952" s="41" t="e">
        <f t="shared" si="7867"/>
        <v>#N/A</v>
      </c>
      <c r="R3952" s="44"/>
      <c r="S3952" s="44"/>
      <c r="T3952" s="43"/>
      <c r="U3952" s="43" t="str">
        <f t="shared" si="8"/>
        <v>No</v>
      </c>
      <c r="V3952" s="25"/>
      <c r="W3952" s="25"/>
      <c r="X3952" s="25"/>
      <c r="Y3952" s="25"/>
      <c r="Z3952" s="25"/>
    </row>
    <row r="3953" spans="1:26" ht="15.75" customHeight="1" x14ac:dyDescent="0.25">
      <c r="A3953" s="25">
        <v>3951</v>
      </c>
      <c r="B3953" s="37" t="e">
        <f t="shared" si="7855"/>
        <v>#N/A</v>
      </c>
      <c r="C3953" s="38" t="e">
        <f t="shared" si="7856"/>
        <v>#N/A</v>
      </c>
      <c r="D3953" s="39" t="e">
        <f t="shared" si="7857"/>
        <v>#N/A</v>
      </c>
      <c r="E3953" s="16" t="e">
        <f t="shared" si="1"/>
        <v>#N/A</v>
      </c>
      <c r="F3953" s="16" t="e">
        <f t="shared" si="7858"/>
        <v>#N/A</v>
      </c>
      <c r="G3953" s="39" t="e">
        <f t="shared" si="7859"/>
        <v>#N/A</v>
      </c>
      <c r="H3953" s="16" t="e">
        <f t="shared" si="7860"/>
        <v>#N/A</v>
      </c>
      <c r="I3953" s="16" t="e">
        <f t="shared" si="7861"/>
        <v>#N/A</v>
      </c>
      <c r="J3953" s="40" t="e">
        <f t="shared" si="7862"/>
        <v>#N/A</v>
      </c>
      <c r="K3953" s="16" t="e">
        <f t="shared" si="7863"/>
        <v>#N/A</v>
      </c>
      <c r="L3953" s="40" t="e">
        <f t="shared" si="7864"/>
        <v>#N/A</v>
      </c>
      <c r="M3953" s="16" t="e">
        <f t="shared" si="7865"/>
        <v>#N/A</v>
      </c>
      <c r="N3953" s="16" t="e">
        <f t="shared" si="7866"/>
        <v>#N/A</v>
      </c>
      <c r="O3953" s="16" t="s">
        <v>77</v>
      </c>
      <c r="P3953" s="16" t="str">
        <f t="shared" si="6"/>
        <v/>
      </c>
      <c r="Q3953" s="41" t="e">
        <f t="shared" si="7867"/>
        <v>#N/A</v>
      </c>
      <c r="R3953" s="44"/>
      <c r="S3953" s="44"/>
      <c r="T3953" s="43"/>
      <c r="U3953" s="43" t="str">
        <f t="shared" si="8"/>
        <v>No</v>
      </c>
      <c r="V3953" s="25"/>
      <c r="W3953" s="25"/>
      <c r="X3953" s="25"/>
      <c r="Y3953" s="25"/>
      <c r="Z3953" s="25"/>
    </row>
    <row r="3954" spans="1:26" ht="15.75" customHeight="1" x14ac:dyDescent="0.25">
      <c r="A3954" s="25">
        <v>3952</v>
      </c>
      <c r="B3954" s="37" t="e">
        <f t="shared" si="7855"/>
        <v>#N/A</v>
      </c>
      <c r="C3954" s="38" t="e">
        <f t="shared" si="7856"/>
        <v>#N/A</v>
      </c>
      <c r="D3954" s="39" t="e">
        <f t="shared" si="7857"/>
        <v>#N/A</v>
      </c>
      <c r="E3954" s="16" t="e">
        <f t="shared" si="1"/>
        <v>#N/A</v>
      </c>
      <c r="F3954" s="16" t="e">
        <f t="shared" si="7858"/>
        <v>#N/A</v>
      </c>
      <c r="G3954" s="39" t="e">
        <f t="shared" si="7859"/>
        <v>#N/A</v>
      </c>
      <c r="H3954" s="16" t="e">
        <f t="shared" si="7860"/>
        <v>#N/A</v>
      </c>
      <c r="I3954" s="16" t="e">
        <f t="shared" si="7861"/>
        <v>#N/A</v>
      </c>
      <c r="J3954" s="40" t="e">
        <f t="shared" si="7862"/>
        <v>#N/A</v>
      </c>
      <c r="K3954" s="16" t="e">
        <f t="shared" si="7863"/>
        <v>#N/A</v>
      </c>
      <c r="L3954" s="40" t="e">
        <f t="shared" si="7864"/>
        <v>#N/A</v>
      </c>
      <c r="M3954" s="16" t="e">
        <f t="shared" si="7865"/>
        <v>#N/A</v>
      </c>
      <c r="N3954" s="16" t="e">
        <f t="shared" si="7866"/>
        <v>#N/A</v>
      </c>
      <c r="O3954" s="16" t="s">
        <v>77</v>
      </c>
      <c r="P3954" s="16" t="str">
        <f t="shared" si="6"/>
        <v/>
      </c>
      <c r="Q3954" s="41" t="e">
        <f t="shared" si="7867"/>
        <v>#N/A</v>
      </c>
      <c r="R3954" s="44"/>
      <c r="S3954" s="44"/>
      <c r="T3954" s="43"/>
      <c r="U3954" s="43" t="str">
        <f t="shared" si="8"/>
        <v>No</v>
      </c>
      <c r="V3954" s="25"/>
      <c r="W3954" s="25"/>
      <c r="X3954" s="25"/>
      <c r="Y3954" s="25"/>
      <c r="Z3954" s="25"/>
    </row>
    <row r="3955" spans="1:26" ht="15.75" customHeight="1" x14ac:dyDescent="0.25">
      <c r="A3955" s="25">
        <v>3953</v>
      </c>
      <c r="B3955" s="37" t="e">
        <f t="shared" si="7855"/>
        <v>#N/A</v>
      </c>
      <c r="C3955" s="38" t="e">
        <f t="shared" si="7856"/>
        <v>#N/A</v>
      </c>
      <c r="D3955" s="39" t="e">
        <f t="shared" si="7857"/>
        <v>#N/A</v>
      </c>
      <c r="E3955" s="16" t="e">
        <f t="shared" si="1"/>
        <v>#N/A</v>
      </c>
      <c r="F3955" s="16" t="e">
        <f t="shared" si="7858"/>
        <v>#N/A</v>
      </c>
      <c r="G3955" s="39" t="e">
        <f t="shared" si="7859"/>
        <v>#N/A</v>
      </c>
      <c r="H3955" s="16" t="e">
        <f t="shared" si="7860"/>
        <v>#N/A</v>
      </c>
      <c r="I3955" s="16" t="e">
        <f t="shared" si="7861"/>
        <v>#N/A</v>
      </c>
      <c r="J3955" s="40" t="e">
        <f t="shared" si="7862"/>
        <v>#N/A</v>
      </c>
      <c r="K3955" s="16" t="e">
        <f t="shared" si="7863"/>
        <v>#N/A</v>
      </c>
      <c r="L3955" s="40" t="e">
        <f t="shared" si="7864"/>
        <v>#N/A</v>
      </c>
      <c r="M3955" s="16" t="e">
        <f t="shared" si="7865"/>
        <v>#N/A</v>
      </c>
      <c r="N3955" s="16" t="e">
        <f t="shared" si="7866"/>
        <v>#N/A</v>
      </c>
      <c r="O3955" s="16" t="s">
        <v>77</v>
      </c>
      <c r="P3955" s="16" t="str">
        <f t="shared" si="6"/>
        <v/>
      </c>
      <c r="Q3955" s="41" t="e">
        <f t="shared" si="7867"/>
        <v>#N/A</v>
      </c>
      <c r="R3955" s="44"/>
      <c r="S3955" s="44"/>
      <c r="T3955" s="43"/>
      <c r="U3955" s="43" t="str">
        <f t="shared" si="8"/>
        <v>No</v>
      </c>
      <c r="V3955" s="25"/>
      <c r="W3955" s="25"/>
      <c r="X3955" s="25"/>
      <c r="Y3955" s="25"/>
      <c r="Z3955" s="25"/>
    </row>
    <row r="3956" spans="1:26" ht="15.75" customHeight="1" x14ac:dyDescent="0.25">
      <c r="A3956" s="25">
        <v>3954</v>
      </c>
      <c r="B3956" s="37" t="e">
        <f t="shared" si="7855"/>
        <v>#N/A</v>
      </c>
      <c r="C3956" s="38" t="e">
        <f t="shared" si="7856"/>
        <v>#N/A</v>
      </c>
      <c r="D3956" s="39" t="e">
        <f t="shared" si="7857"/>
        <v>#N/A</v>
      </c>
      <c r="E3956" s="16" t="e">
        <f t="shared" si="1"/>
        <v>#N/A</v>
      </c>
      <c r="F3956" s="16" t="e">
        <f t="shared" si="7858"/>
        <v>#N/A</v>
      </c>
      <c r="G3956" s="39" t="e">
        <f t="shared" si="7859"/>
        <v>#N/A</v>
      </c>
      <c r="H3956" s="16" t="e">
        <f t="shared" si="7860"/>
        <v>#N/A</v>
      </c>
      <c r="I3956" s="16" t="e">
        <f t="shared" si="7861"/>
        <v>#N/A</v>
      </c>
      <c r="J3956" s="40" t="e">
        <f t="shared" si="7862"/>
        <v>#N/A</v>
      </c>
      <c r="K3956" s="16" t="e">
        <f t="shared" si="7863"/>
        <v>#N/A</v>
      </c>
      <c r="L3956" s="40" t="e">
        <f t="shared" si="7864"/>
        <v>#N/A</v>
      </c>
      <c r="M3956" s="16" t="e">
        <f t="shared" si="7865"/>
        <v>#N/A</v>
      </c>
      <c r="N3956" s="16" t="e">
        <f t="shared" si="7866"/>
        <v>#N/A</v>
      </c>
      <c r="O3956" s="16" t="s">
        <v>77</v>
      </c>
      <c r="P3956" s="16" t="str">
        <f t="shared" si="6"/>
        <v/>
      </c>
      <c r="Q3956" s="41" t="e">
        <f t="shared" si="7867"/>
        <v>#N/A</v>
      </c>
      <c r="R3956" s="44"/>
      <c r="S3956" s="44"/>
      <c r="T3956" s="43"/>
      <c r="U3956" s="43" t="str">
        <f t="shared" si="8"/>
        <v>No</v>
      </c>
      <c r="V3956" s="25"/>
      <c r="W3956" s="25"/>
      <c r="X3956" s="25"/>
      <c r="Y3956" s="25"/>
      <c r="Z3956" s="25"/>
    </row>
    <row r="3957" spans="1:26" ht="15.75" customHeight="1" x14ac:dyDescent="0.25">
      <c r="A3957" s="25">
        <v>3955</v>
      </c>
      <c r="B3957" s="37" t="e">
        <f t="shared" si="7855"/>
        <v>#N/A</v>
      </c>
      <c r="C3957" s="38" t="e">
        <f t="shared" si="7856"/>
        <v>#N/A</v>
      </c>
      <c r="D3957" s="39" t="e">
        <f t="shared" si="7857"/>
        <v>#N/A</v>
      </c>
      <c r="E3957" s="16" t="e">
        <f t="shared" si="1"/>
        <v>#N/A</v>
      </c>
      <c r="F3957" s="16" t="e">
        <f t="shared" si="7858"/>
        <v>#N/A</v>
      </c>
      <c r="G3957" s="39" t="e">
        <f t="shared" si="7859"/>
        <v>#N/A</v>
      </c>
      <c r="H3957" s="16" t="e">
        <f t="shared" si="7860"/>
        <v>#N/A</v>
      </c>
      <c r="I3957" s="16" t="e">
        <f t="shared" si="7861"/>
        <v>#N/A</v>
      </c>
      <c r="J3957" s="40" t="e">
        <f t="shared" si="7862"/>
        <v>#N/A</v>
      </c>
      <c r="K3957" s="16" t="e">
        <f t="shared" si="7863"/>
        <v>#N/A</v>
      </c>
      <c r="L3957" s="40" t="e">
        <f t="shared" si="7864"/>
        <v>#N/A</v>
      </c>
      <c r="M3957" s="16" t="e">
        <f t="shared" si="7865"/>
        <v>#N/A</v>
      </c>
      <c r="N3957" s="16" t="e">
        <f t="shared" si="7866"/>
        <v>#N/A</v>
      </c>
      <c r="O3957" s="16" t="s">
        <v>77</v>
      </c>
      <c r="P3957" s="16" t="str">
        <f t="shared" si="6"/>
        <v/>
      </c>
      <c r="Q3957" s="41" t="e">
        <f t="shared" si="7867"/>
        <v>#N/A</v>
      </c>
      <c r="R3957" s="44"/>
      <c r="S3957" s="44"/>
      <c r="T3957" s="43"/>
      <c r="U3957" s="43" t="str">
        <f t="shared" si="8"/>
        <v>No</v>
      </c>
      <c r="V3957" s="25"/>
      <c r="W3957" s="25"/>
      <c r="X3957" s="25"/>
      <c r="Y3957" s="25"/>
      <c r="Z3957" s="25"/>
    </row>
    <row r="3958" spans="1:26" ht="15.75" customHeight="1" x14ac:dyDescent="0.25">
      <c r="A3958" s="25">
        <v>3956</v>
      </c>
      <c r="B3958" s="37" t="e">
        <f t="shared" si="7855"/>
        <v>#N/A</v>
      </c>
      <c r="C3958" s="38" t="e">
        <f t="shared" si="7856"/>
        <v>#N/A</v>
      </c>
      <c r="D3958" s="39" t="e">
        <f t="shared" si="7857"/>
        <v>#N/A</v>
      </c>
      <c r="E3958" s="16" t="e">
        <f t="shared" si="1"/>
        <v>#N/A</v>
      </c>
      <c r="F3958" s="16" t="e">
        <f t="shared" si="7858"/>
        <v>#N/A</v>
      </c>
      <c r="G3958" s="39" t="e">
        <f t="shared" si="7859"/>
        <v>#N/A</v>
      </c>
      <c r="H3958" s="16" t="e">
        <f t="shared" si="7860"/>
        <v>#N/A</v>
      </c>
      <c r="I3958" s="16" t="e">
        <f t="shared" si="7861"/>
        <v>#N/A</v>
      </c>
      <c r="J3958" s="40" t="e">
        <f t="shared" si="7862"/>
        <v>#N/A</v>
      </c>
      <c r="K3958" s="16" t="e">
        <f t="shared" si="7863"/>
        <v>#N/A</v>
      </c>
      <c r="L3958" s="40" t="e">
        <f t="shared" si="7864"/>
        <v>#N/A</v>
      </c>
      <c r="M3958" s="16" t="e">
        <f t="shared" si="7865"/>
        <v>#N/A</v>
      </c>
      <c r="N3958" s="16" t="e">
        <f t="shared" si="7866"/>
        <v>#N/A</v>
      </c>
      <c r="O3958" s="16" t="s">
        <v>77</v>
      </c>
      <c r="P3958" s="16" t="str">
        <f t="shared" si="6"/>
        <v/>
      </c>
      <c r="Q3958" s="41" t="e">
        <f t="shared" si="7867"/>
        <v>#N/A</v>
      </c>
      <c r="R3958" s="44"/>
      <c r="S3958" s="44"/>
      <c r="T3958" s="43"/>
      <c r="U3958" s="43" t="str">
        <f t="shared" si="8"/>
        <v>No</v>
      </c>
      <c r="V3958" s="25"/>
      <c r="W3958" s="25"/>
      <c r="X3958" s="25"/>
      <c r="Y3958" s="25"/>
      <c r="Z3958" s="25"/>
    </row>
    <row r="3959" spans="1:26" ht="15.75" customHeight="1" x14ac:dyDescent="0.25">
      <c r="A3959" s="25">
        <v>3957</v>
      </c>
      <c r="B3959" s="37" t="e">
        <f t="shared" si="7855"/>
        <v>#N/A</v>
      </c>
      <c r="C3959" s="38" t="e">
        <f t="shared" si="7856"/>
        <v>#N/A</v>
      </c>
      <c r="D3959" s="39" t="e">
        <f t="shared" si="7857"/>
        <v>#N/A</v>
      </c>
      <c r="E3959" s="16" t="e">
        <f t="shared" si="1"/>
        <v>#N/A</v>
      </c>
      <c r="F3959" s="16" t="e">
        <f t="shared" si="7858"/>
        <v>#N/A</v>
      </c>
      <c r="G3959" s="39" t="e">
        <f t="shared" si="7859"/>
        <v>#N/A</v>
      </c>
      <c r="H3959" s="16" t="e">
        <f t="shared" si="7860"/>
        <v>#N/A</v>
      </c>
      <c r="I3959" s="16" t="e">
        <f t="shared" si="7861"/>
        <v>#N/A</v>
      </c>
      <c r="J3959" s="40" t="e">
        <f t="shared" si="7862"/>
        <v>#N/A</v>
      </c>
      <c r="K3959" s="16" t="e">
        <f t="shared" si="7863"/>
        <v>#N/A</v>
      </c>
      <c r="L3959" s="40" t="e">
        <f t="shared" si="7864"/>
        <v>#N/A</v>
      </c>
      <c r="M3959" s="16" t="e">
        <f t="shared" si="7865"/>
        <v>#N/A</v>
      </c>
      <c r="N3959" s="16" t="e">
        <f t="shared" si="7866"/>
        <v>#N/A</v>
      </c>
      <c r="O3959" s="16" t="s">
        <v>77</v>
      </c>
      <c r="P3959" s="16" t="str">
        <f t="shared" si="6"/>
        <v/>
      </c>
      <c r="Q3959" s="41" t="e">
        <f t="shared" si="7867"/>
        <v>#N/A</v>
      </c>
      <c r="R3959" s="44"/>
      <c r="S3959" s="44"/>
      <c r="T3959" s="43"/>
      <c r="U3959" s="43" t="str">
        <f t="shared" si="8"/>
        <v>No</v>
      </c>
      <c r="V3959" s="25"/>
      <c r="W3959" s="25"/>
      <c r="X3959" s="25"/>
      <c r="Y3959" s="25"/>
      <c r="Z3959" s="25"/>
    </row>
    <row r="3960" spans="1:26" ht="15.75" customHeight="1" x14ac:dyDescent="0.25">
      <c r="A3960" s="25">
        <v>3958</v>
      </c>
      <c r="B3960" s="37" t="e">
        <f t="shared" si="7855"/>
        <v>#N/A</v>
      </c>
      <c r="C3960" s="38" t="e">
        <f t="shared" si="7856"/>
        <v>#N/A</v>
      </c>
      <c r="D3960" s="39" t="e">
        <f t="shared" si="7857"/>
        <v>#N/A</v>
      </c>
      <c r="E3960" s="16" t="e">
        <f t="shared" si="1"/>
        <v>#N/A</v>
      </c>
      <c r="F3960" s="16" t="e">
        <f t="shared" si="7858"/>
        <v>#N/A</v>
      </c>
      <c r="G3960" s="39" t="e">
        <f t="shared" si="7859"/>
        <v>#N/A</v>
      </c>
      <c r="H3960" s="16" t="e">
        <f t="shared" si="7860"/>
        <v>#N/A</v>
      </c>
      <c r="I3960" s="16" t="e">
        <f t="shared" si="7861"/>
        <v>#N/A</v>
      </c>
      <c r="J3960" s="40" t="e">
        <f t="shared" si="7862"/>
        <v>#N/A</v>
      </c>
      <c r="K3960" s="16" t="e">
        <f t="shared" si="7863"/>
        <v>#N/A</v>
      </c>
      <c r="L3960" s="40" t="e">
        <f t="shared" si="7864"/>
        <v>#N/A</v>
      </c>
      <c r="M3960" s="16" t="e">
        <f t="shared" si="7865"/>
        <v>#N/A</v>
      </c>
      <c r="N3960" s="16" t="e">
        <f t="shared" si="7866"/>
        <v>#N/A</v>
      </c>
      <c r="O3960" s="16" t="s">
        <v>77</v>
      </c>
      <c r="P3960" s="16" t="str">
        <f t="shared" si="6"/>
        <v/>
      </c>
      <c r="Q3960" s="41" t="e">
        <f t="shared" si="7867"/>
        <v>#N/A</v>
      </c>
      <c r="R3960" s="44"/>
      <c r="S3960" s="44"/>
      <c r="T3960" s="43"/>
      <c r="U3960" s="43" t="str">
        <f t="shared" si="8"/>
        <v>No</v>
      </c>
      <c r="V3960" s="25"/>
      <c r="W3960" s="25"/>
      <c r="X3960" s="25"/>
      <c r="Y3960" s="25"/>
      <c r="Z3960" s="25"/>
    </row>
    <row r="3961" spans="1:26" ht="15.75" customHeight="1" x14ac:dyDescent="0.25">
      <c r="A3961" s="25">
        <v>3959</v>
      </c>
      <c r="B3961" s="37" t="e">
        <f t="shared" si="7855"/>
        <v>#N/A</v>
      </c>
      <c r="C3961" s="38" t="e">
        <f t="shared" si="7856"/>
        <v>#N/A</v>
      </c>
      <c r="D3961" s="39" t="e">
        <f t="shared" si="7857"/>
        <v>#N/A</v>
      </c>
      <c r="E3961" s="16" t="e">
        <f t="shared" si="1"/>
        <v>#N/A</v>
      </c>
      <c r="F3961" s="16" t="e">
        <f t="shared" si="7858"/>
        <v>#N/A</v>
      </c>
      <c r="G3961" s="39" t="e">
        <f t="shared" si="7859"/>
        <v>#N/A</v>
      </c>
      <c r="H3961" s="16" t="e">
        <f t="shared" si="7860"/>
        <v>#N/A</v>
      </c>
      <c r="I3961" s="16" t="e">
        <f t="shared" si="7861"/>
        <v>#N/A</v>
      </c>
      <c r="J3961" s="40" t="e">
        <f t="shared" si="7862"/>
        <v>#N/A</v>
      </c>
      <c r="K3961" s="16" t="e">
        <f t="shared" si="7863"/>
        <v>#N/A</v>
      </c>
      <c r="L3961" s="40" t="e">
        <f t="shared" si="7864"/>
        <v>#N/A</v>
      </c>
      <c r="M3961" s="16" t="e">
        <f t="shared" si="7865"/>
        <v>#N/A</v>
      </c>
      <c r="N3961" s="16" t="e">
        <f t="shared" si="7866"/>
        <v>#N/A</v>
      </c>
      <c r="O3961" s="16" t="s">
        <v>77</v>
      </c>
      <c r="P3961" s="16" t="str">
        <f t="shared" si="6"/>
        <v/>
      </c>
      <c r="Q3961" s="41" t="e">
        <f t="shared" si="7867"/>
        <v>#N/A</v>
      </c>
      <c r="R3961" s="44"/>
      <c r="S3961" s="44"/>
      <c r="T3961" s="43"/>
      <c r="U3961" s="43" t="str">
        <f t="shared" si="8"/>
        <v>No</v>
      </c>
      <c r="V3961" s="25"/>
      <c r="W3961" s="25"/>
      <c r="X3961" s="25"/>
      <c r="Y3961" s="25"/>
      <c r="Z3961" s="25"/>
    </row>
    <row r="3962" spans="1:26" ht="15.75" customHeight="1" x14ac:dyDescent="0.25">
      <c r="A3962" s="25">
        <v>3960</v>
      </c>
      <c r="B3962" s="37" t="e">
        <f t="shared" si="7855"/>
        <v>#N/A</v>
      </c>
      <c r="C3962" s="38" t="e">
        <f t="shared" si="7856"/>
        <v>#N/A</v>
      </c>
      <c r="D3962" s="39" t="e">
        <f t="shared" si="7857"/>
        <v>#N/A</v>
      </c>
      <c r="E3962" s="16" t="e">
        <f t="shared" si="1"/>
        <v>#N/A</v>
      </c>
      <c r="F3962" s="16" t="e">
        <f t="shared" si="7858"/>
        <v>#N/A</v>
      </c>
      <c r="G3962" s="39" t="e">
        <f t="shared" si="7859"/>
        <v>#N/A</v>
      </c>
      <c r="H3962" s="16" t="e">
        <f t="shared" si="7860"/>
        <v>#N/A</v>
      </c>
      <c r="I3962" s="16" t="e">
        <f t="shared" si="7861"/>
        <v>#N/A</v>
      </c>
      <c r="J3962" s="40" t="e">
        <f t="shared" si="7862"/>
        <v>#N/A</v>
      </c>
      <c r="K3962" s="16" t="e">
        <f t="shared" si="7863"/>
        <v>#N/A</v>
      </c>
      <c r="L3962" s="40" t="e">
        <f t="shared" si="7864"/>
        <v>#N/A</v>
      </c>
      <c r="M3962" s="16" t="e">
        <f t="shared" si="7865"/>
        <v>#N/A</v>
      </c>
      <c r="N3962" s="16" t="e">
        <f t="shared" si="7866"/>
        <v>#N/A</v>
      </c>
      <c r="O3962" s="16" t="s">
        <v>77</v>
      </c>
      <c r="P3962" s="16" t="str">
        <f t="shared" si="6"/>
        <v/>
      </c>
      <c r="Q3962" s="41" t="e">
        <f t="shared" si="7867"/>
        <v>#N/A</v>
      </c>
      <c r="R3962" s="44"/>
      <c r="S3962" s="44"/>
      <c r="T3962" s="43"/>
      <c r="U3962" s="43" t="str">
        <f t="shared" si="8"/>
        <v>No</v>
      </c>
      <c r="V3962" s="25"/>
      <c r="W3962" s="25"/>
      <c r="X3962" s="25"/>
      <c r="Y3962" s="25"/>
      <c r="Z3962" s="25"/>
    </row>
    <row r="3963" spans="1:26" ht="15.75" customHeight="1" x14ac:dyDescent="0.25">
      <c r="A3963" s="25">
        <v>3961</v>
      </c>
      <c r="B3963" s="37" t="e">
        <f t="shared" si="7855"/>
        <v>#N/A</v>
      </c>
      <c r="C3963" s="38" t="e">
        <f t="shared" si="7856"/>
        <v>#N/A</v>
      </c>
      <c r="D3963" s="39" t="e">
        <f t="shared" si="7857"/>
        <v>#N/A</v>
      </c>
      <c r="E3963" s="16" t="e">
        <f t="shared" si="1"/>
        <v>#N/A</v>
      </c>
      <c r="F3963" s="16" t="e">
        <f t="shared" si="7858"/>
        <v>#N/A</v>
      </c>
      <c r="G3963" s="39" t="e">
        <f t="shared" si="7859"/>
        <v>#N/A</v>
      </c>
      <c r="H3963" s="16" t="e">
        <f t="shared" si="7860"/>
        <v>#N/A</v>
      </c>
      <c r="I3963" s="16" t="e">
        <f t="shared" si="7861"/>
        <v>#N/A</v>
      </c>
      <c r="J3963" s="40" t="e">
        <f t="shared" si="7862"/>
        <v>#N/A</v>
      </c>
      <c r="K3963" s="16" t="e">
        <f t="shared" si="7863"/>
        <v>#N/A</v>
      </c>
      <c r="L3963" s="40" t="e">
        <f t="shared" si="7864"/>
        <v>#N/A</v>
      </c>
      <c r="M3963" s="16" t="e">
        <f t="shared" si="7865"/>
        <v>#N/A</v>
      </c>
      <c r="N3963" s="16" t="e">
        <f t="shared" si="7866"/>
        <v>#N/A</v>
      </c>
      <c r="O3963" s="16" t="s">
        <v>77</v>
      </c>
      <c r="P3963" s="16" t="str">
        <f t="shared" si="6"/>
        <v/>
      </c>
      <c r="Q3963" s="41" t="e">
        <f t="shared" si="7867"/>
        <v>#N/A</v>
      </c>
      <c r="R3963" s="44"/>
      <c r="S3963" s="44"/>
      <c r="T3963" s="43"/>
      <c r="U3963" s="43" t="str">
        <f t="shared" si="8"/>
        <v>No</v>
      </c>
      <c r="V3963" s="25"/>
      <c r="W3963" s="25"/>
      <c r="X3963" s="25"/>
      <c r="Y3963" s="25"/>
      <c r="Z3963" s="25"/>
    </row>
    <row r="3964" spans="1:26" ht="15.75" customHeight="1" x14ac:dyDescent="0.25">
      <c r="A3964" s="25">
        <v>3962</v>
      </c>
      <c r="B3964" s="37" t="e">
        <f t="shared" si="7855"/>
        <v>#N/A</v>
      </c>
      <c r="C3964" s="38" t="e">
        <f t="shared" si="7856"/>
        <v>#N/A</v>
      </c>
      <c r="D3964" s="39" t="e">
        <f t="shared" si="7857"/>
        <v>#N/A</v>
      </c>
      <c r="E3964" s="16" t="e">
        <f t="shared" si="1"/>
        <v>#N/A</v>
      </c>
      <c r="F3964" s="16" t="e">
        <f t="shared" si="7858"/>
        <v>#N/A</v>
      </c>
      <c r="G3964" s="39" t="e">
        <f t="shared" si="7859"/>
        <v>#N/A</v>
      </c>
      <c r="H3964" s="16" t="e">
        <f t="shared" si="7860"/>
        <v>#N/A</v>
      </c>
      <c r="I3964" s="16" t="e">
        <f t="shared" si="7861"/>
        <v>#N/A</v>
      </c>
      <c r="J3964" s="40" t="e">
        <f t="shared" si="7862"/>
        <v>#N/A</v>
      </c>
      <c r="K3964" s="16" t="e">
        <f t="shared" si="7863"/>
        <v>#N/A</v>
      </c>
      <c r="L3964" s="40" t="e">
        <f t="shared" si="7864"/>
        <v>#N/A</v>
      </c>
      <c r="M3964" s="16" t="e">
        <f t="shared" si="7865"/>
        <v>#N/A</v>
      </c>
      <c r="N3964" s="16" t="e">
        <f t="shared" si="7866"/>
        <v>#N/A</v>
      </c>
      <c r="O3964" s="16" t="s">
        <v>77</v>
      </c>
      <c r="P3964" s="16" t="str">
        <f t="shared" si="6"/>
        <v/>
      </c>
      <c r="Q3964" s="41" t="e">
        <f t="shared" si="7867"/>
        <v>#N/A</v>
      </c>
      <c r="R3964" s="44"/>
      <c r="S3964" s="44"/>
      <c r="T3964" s="43"/>
      <c r="U3964" s="43" t="str">
        <f t="shared" si="8"/>
        <v>No</v>
      </c>
      <c r="V3964" s="25"/>
      <c r="W3964" s="25"/>
      <c r="X3964" s="25"/>
      <c r="Y3964" s="25"/>
      <c r="Z3964" s="25"/>
    </row>
    <row r="3965" spans="1:26" ht="15.75" customHeight="1" x14ac:dyDescent="0.25">
      <c r="A3965" s="25">
        <v>3963</v>
      </c>
      <c r="B3965" s="37" t="e">
        <f t="shared" si="7855"/>
        <v>#N/A</v>
      </c>
      <c r="C3965" s="38" t="e">
        <f t="shared" si="7856"/>
        <v>#N/A</v>
      </c>
      <c r="D3965" s="39" t="e">
        <f t="shared" si="7857"/>
        <v>#N/A</v>
      </c>
      <c r="E3965" s="16" t="e">
        <f t="shared" si="1"/>
        <v>#N/A</v>
      </c>
      <c r="F3965" s="16" t="e">
        <f t="shared" si="7858"/>
        <v>#N/A</v>
      </c>
      <c r="G3965" s="39" t="e">
        <f t="shared" si="7859"/>
        <v>#N/A</v>
      </c>
      <c r="H3965" s="16" t="e">
        <f t="shared" si="7860"/>
        <v>#N/A</v>
      </c>
      <c r="I3965" s="16" t="e">
        <f t="shared" si="7861"/>
        <v>#N/A</v>
      </c>
      <c r="J3965" s="40" t="e">
        <f t="shared" si="7862"/>
        <v>#N/A</v>
      </c>
      <c r="K3965" s="16" t="e">
        <f t="shared" si="7863"/>
        <v>#N/A</v>
      </c>
      <c r="L3965" s="40" t="e">
        <f t="shared" si="7864"/>
        <v>#N/A</v>
      </c>
      <c r="M3965" s="16" t="e">
        <f t="shared" si="7865"/>
        <v>#N/A</v>
      </c>
      <c r="N3965" s="16" t="e">
        <f t="shared" si="7866"/>
        <v>#N/A</v>
      </c>
      <c r="O3965" s="16" t="s">
        <v>77</v>
      </c>
      <c r="P3965" s="16" t="str">
        <f t="shared" si="6"/>
        <v/>
      </c>
      <c r="Q3965" s="41" t="e">
        <f t="shared" si="7867"/>
        <v>#N/A</v>
      </c>
      <c r="R3965" s="44"/>
      <c r="S3965" s="44"/>
      <c r="T3965" s="43"/>
      <c r="U3965" s="43" t="str">
        <f t="shared" si="8"/>
        <v>No</v>
      </c>
      <c r="V3965" s="25"/>
      <c r="W3965" s="25"/>
      <c r="X3965" s="25"/>
      <c r="Y3965" s="25"/>
      <c r="Z3965" s="25"/>
    </row>
    <row r="3966" spans="1:26" ht="15.75" customHeight="1" x14ac:dyDescent="0.25">
      <c r="A3966" s="25">
        <v>3964</v>
      </c>
      <c r="B3966" s="37" t="e">
        <f t="shared" si="7855"/>
        <v>#N/A</v>
      </c>
      <c r="C3966" s="38" t="e">
        <f t="shared" si="7856"/>
        <v>#N/A</v>
      </c>
      <c r="D3966" s="39" t="e">
        <f t="shared" si="7857"/>
        <v>#N/A</v>
      </c>
      <c r="E3966" s="16" t="e">
        <f t="shared" si="1"/>
        <v>#N/A</v>
      </c>
      <c r="F3966" s="16" t="e">
        <f t="shared" si="7858"/>
        <v>#N/A</v>
      </c>
      <c r="G3966" s="39" t="e">
        <f t="shared" si="7859"/>
        <v>#N/A</v>
      </c>
      <c r="H3966" s="16" t="e">
        <f t="shared" si="7860"/>
        <v>#N/A</v>
      </c>
      <c r="I3966" s="16" t="e">
        <f t="shared" si="7861"/>
        <v>#N/A</v>
      </c>
      <c r="J3966" s="40" t="e">
        <f t="shared" si="7862"/>
        <v>#N/A</v>
      </c>
      <c r="K3966" s="16" t="e">
        <f t="shared" si="7863"/>
        <v>#N/A</v>
      </c>
      <c r="L3966" s="40" t="e">
        <f t="shared" si="7864"/>
        <v>#N/A</v>
      </c>
      <c r="M3966" s="16" t="e">
        <f t="shared" si="7865"/>
        <v>#N/A</v>
      </c>
      <c r="N3966" s="16" t="e">
        <f t="shared" si="7866"/>
        <v>#N/A</v>
      </c>
      <c r="O3966" s="16" t="s">
        <v>77</v>
      </c>
      <c r="P3966" s="16" t="str">
        <f t="shared" si="6"/>
        <v/>
      </c>
      <c r="Q3966" s="41" t="e">
        <f t="shared" si="7867"/>
        <v>#N/A</v>
      </c>
      <c r="R3966" s="44"/>
      <c r="S3966" s="44"/>
      <c r="T3966" s="43"/>
      <c r="U3966" s="43" t="str">
        <f t="shared" si="8"/>
        <v>No</v>
      </c>
      <c r="V3966" s="25"/>
      <c r="W3966" s="25"/>
      <c r="X3966" s="25"/>
      <c r="Y3966" s="25"/>
      <c r="Z3966" s="25"/>
    </row>
    <row r="3967" spans="1:26" ht="15.75" customHeight="1" x14ac:dyDescent="0.25">
      <c r="A3967" s="25">
        <v>3965</v>
      </c>
      <c r="B3967" s="37" t="e">
        <f t="shared" si="7855"/>
        <v>#N/A</v>
      </c>
      <c r="C3967" s="38" t="e">
        <f t="shared" si="7856"/>
        <v>#N/A</v>
      </c>
      <c r="D3967" s="39" t="e">
        <f t="shared" si="7857"/>
        <v>#N/A</v>
      </c>
      <c r="E3967" s="16" t="e">
        <f t="shared" si="1"/>
        <v>#N/A</v>
      </c>
      <c r="F3967" s="16" t="e">
        <f t="shared" si="7858"/>
        <v>#N/A</v>
      </c>
      <c r="G3967" s="39" t="e">
        <f t="shared" si="7859"/>
        <v>#N/A</v>
      </c>
      <c r="H3967" s="16" t="e">
        <f t="shared" si="7860"/>
        <v>#N/A</v>
      </c>
      <c r="I3967" s="16" t="e">
        <f t="shared" si="7861"/>
        <v>#N/A</v>
      </c>
      <c r="J3967" s="40" t="e">
        <f t="shared" si="7862"/>
        <v>#N/A</v>
      </c>
      <c r="K3967" s="16" t="e">
        <f t="shared" si="7863"/>
        <v>#N/A</v>
      </c>
      <c r="L3967" s="40" t="e">
        <f t="shared" si="7864"/>
        <v>#N/A</v>
      </c>
      <c r="M3967" s="16" t="e">
        <f t="shared" si="7865"/>
        <v>#N/A</v>
      </c>
      <c r="N3967" s="16" t="e">
        <f t="shared" si="7866"/>
        <v>#N/A</v>
      </c>
      <c r="O3967" s="16" t="s">
        <v>77</v>
      </c>
      <c r="P3967" s="16" t="str">
        <f t="shared" si="6"/>
        <v/>
      </c>
      <c r="Q3967" s="41" t="e">
        <f t="shared" si="7867"/>
        <v>#N/A</v>
      </c>
      <c r="R3967" s="44"/>
      <c r="S3967" s="44"/>
      <c r="T3967" s="43"/>
      <c r="U3967" s="43" t="str">
        <f t="shared" si="8"/>
        <v>No</v>
      </c>
      <c r="V3967" s="25"/>
      <c r="W3967" s="25"/>
      <c r="X3967" s="25"/>
      <c r="Y3967" s="25"/>
      <c r="Z3967" s="25"/>
    </row>
    <row r="3968" spans="1:26" ht="15.75" customHeight="1" x14ac:dyDescent="0.25">
      <c r="A3968" s="25">
        <v>3966</v>
      </c>
      <c r="B3968" s="37" t="e">
        <f t="shared" si="7855"/>
        <v>#N/A</v>
      </c>
      <c r="C3968" s="38" t="e">
        <f t="shared" si="7856"/>
        <v>#N/A</v>
      </c>
      <c r="D3968" s="39" t="e">
        <f t="shared" si="7857"/>
        <v>#N/A</v>
      </c>
      <c r="E3968" s="16" t="e">
        <f t="shared" si="1"/>
        <v>#N/A</v>
      </c>
      <c r="F3968" s="16" t="e">
        <f t="shared" si="7858"/>
        <v>#N/A</v>
      </c>
      <c r="G3968" s="39" t="e">
        <f t="shared" si="7859"/>
        <v>#N/A</v>
      </c>
      <c r="H3968" s="16" t="e">
        <f t="shared" si="7860"/>
        <v>#N/A</v>
      </c>
      <c r="I3968" s="16" t="e">
        <f t="shared" si="7861"/>
        <v>#N/A</v>
      </c>
      <c r="J3968" s="40" t="e">
        <f t="shared" si="7862"/>
        <v>#N/A</v>
      </c>
      <c r="K3968" s="16" t="e">
        <f t="shared" si="7863"/>
        <v>#N/A</v>
      </c>
      <c r="L3968" s="40" t="e">
        <f t="shared" si="7864"/>
        <v>#N/A</v>
      </c>
      <c r="M3968" s="16" t="e">
        <f t="shared" si="7865"/>
        <v>#N/A</v>
      </c>
      <c r="N3968" s="16" t="e">
        <f t="shared" si="7866"/>
        <v>#N/A</v>
      </c>
      <c r="O3968" s="16" t="s">
        <v>77</v>
      </c>
      <c r="P3968" s="16" t="str">
        <f t="shared" si="6"/>
        <v/>
      </c>
      <c r="Q3968" s="41" t="e">
        <f t="shared" si="7867"/>
        <v>#N/A</v>
      </c>
      <c r="R3968" s="44"/>
      <c r="S3968" s="44"/>
      <c r="T3968" s="43"/>
      <c r="U3968" s="43" t="str">
        <f t="shared" si="8"/>
        <v>No</v>
      </c>
      <c r="V3968" s="25"/>
      <c r="W3968" s="25"/>
      <c r="X3968" s="25"/>
      <c r="Y3968" s="25"/>
      <c r="Z3968" s="25"/>
    </row>
    <row r="3969" spans="1:26" ht="15.75" customHeight="1" x14ac:dyDescent="0.25">
      <c r="A3969" s="25">
        <v>3967</v>
      </c>
      <c r="B3969" s="37" t="e">
        <f t="shared" si="7855"/>
        <v>#N/A</v>
      </c>
      <c r="C3969" s="38" t="e">
        <f t="shared" si="7856"/>
        <v>#N/A</v>
      </c>
      <c r="D3969" s="39" t="e">
        <f t="shared" si="7857"/>
        <v>#N/A</v>
      </c>
      <c r="E3969" s="16" t="e">
        <f t="shared" si="1"/>
        <v>#N/A</v>
      </c>
      <c r="F3969" s="16" t="e">
        <f t="shared" si="7858"/>
        <v>#N/A</v>
      </c>
      <c r="G3969" s="39" t="e">
        <f t="shared" si="7859"/>
        <v>#N/A</v>
      </c>
      <c r="H3969" s="16" t="e">
        <f t="shared" si="7860"/>
        <v>#N/A</v>
      </c>
      <c r="I3969" s="16" t="e">
        <f t="shared" si="7861"/>
        <v>#N/A</v>
      </c>
      <c r="J3969" s="40" t="e">
        <f t="shared" si="7862"/>
        <v>#N/A</v>
      </c>
      <c r="K3969" s="16" t="e">
        <f t="shared" si="7863"/>
        <v>#N/A</v>
      </c>
      <c r="L3969" s="40" t="e">
        <f t="shared" si="7864"/>
        <v>#N/A</v>
      </c>
      <c r="M3969" s="16" t="e">
        <f t="shared" si="7865"/>
        <v>#N/A</v>
      </c>
      <c r="N3969" s="16" t="e">
        <f t="shared" si="7866"/>
        <v>#N/A</v>
      </c>
      <c r="O3969" s="16" t="s">
        <v>77</v>
      </c>
      <c r="P3969" s="16" t="str">
        <f t="shared" si="6"/>
        <v/>
      </c>
      <c r="Q3969" s="41" t="e">
        <f t="shared" si="7867"/>
        <v>#N/A</v>
      </c>
      <c r="R3969" s="44"/>
      <c r="S3969" s="44"/>
      <c r="T3969" s="43"/>
      <c r="U3969" s="43" t="str">
        <f t="shared" si="8"/>
        <v>No</v>
      </c>
      <c r="V3969" s="25"/>
      <c r="W3969" s="25"/>
      <c r="X3969" s="25"/>
      <c r="Y3969" s="25"/>
      <c r="Z3969" s="25"/>
    </row>
    <row r="3970" spans="1:26" ht="15.75" customHeight="1" x14ac:dyDescent="0.25">
      <c r="A3970" s="25">
        <v>3968</v>
      </c>
      <c r="B3970" s="37" t="e">
        <f t="shared" si="7855"/>
        <v>#N/A</v>
      </c>
      <c r="C3970" s="38" t="e">
        <f t="shared" si="7856"/>
        <v>#N/A</v>
      </c>
      <c r="D3970" s="39" t="e">
        <f t="shared" si="7857"/>
        <v>#N/A</v>
      </c>
      <c r="E3970" s="16" t="e">
        <f t="shared" si="1"/>
        <v>#N/A</v>
      </c>
      <c r="F3970" s="16" t="e">
        <f t="shared" si="7858"/>
        <v>#N/A</v>
      </c>
      <c r="G3970" s="39" t="e">
        <f t="shared" si="7859"/>
        <v>#N/A</v>
      </c>
      <c r="H3970" s="16" t="e">
        <f t="shared" si="7860"/>
        <v>#N/A</v>
      </c>
      <c r="I3970" s="16" t="e">
        <f t="shared" si="7861"/>
        <v>#N/A</v>
      </c>
      <c r="J3970" s="40" t="e">
        <f t="shared" si="7862"/>
        <v>#N/A</v>
      </c>
      <c r="K3970" s="16" t="e">
        <f t="shared" si="7863"/>
        <v>#N/A</v>
      </c>
      <c r="L3970" s="40" t="e">
        <f t="shared" si="7864"/>
        <v>#N/A</v>
      </c>
      <c r="M3970" s="16" t="e">
        <f t="shared" si="7865"/>
        <v>#N/A</v>
      </c>
      <c r="N3970" s="16" t="e">
        <f t="shared" si="7866"/>
        <v>#N/A</v>
      </c>
      <c r="O3970" s="16" t="s">
        <v>77</v>
      </c>
      <c r="P3970" s="16" t="str">
        <f t="shared" si="6"/>
        <v/>
      </c>
      <c r="Q3970" s="41" t="e">
        <f t="shared" si="7867"/>
        <v>#N/A</v>
      </c>
      <c r="R3970" s="44"/>
      <c r="S3970" s="44"/>
      <c r="T3970" s="43"/>
      <c r="U3970" s="43" t="str">
        <f t="shared" si="8"/>
        <v>No</v>
      </c>
      <c r="V3970" s="25"/>
      <c r="W3970" s="25"/>
      <c r="X3970" s="25"/>
      <c r="Y3970" s="25"/>
      <c r="Z3970" s="25"/>
    </row>
    <row r="3971" spans="1:26" ht="15.75" customHeight="1" x14ac:dyDescent="0.25">
      <c r="A3971" s="25">
        <v>3969</v>
      </c>
      <c r="B3971" s="37" t="e">
        <f t="shared" si="7855"/>
        <v>#N/A</v>
      </c>
      <c r="C3971" s="38" t="e">
        <f t="shared" si="7856"/>
        <v>#N/A</v>
      </c>
      <c r="D3971" s="39" t="e">
        <f t="shared" si="7857"/>
        <v>#N/A</v>
      </c>
      <c r="E3971" s="16" t="e">
        <f t="shared" si="1"/>
        <v>#N/A</v>
      </c>
      <c r="F3971" s="16" t="e">
        <f t="shared" si="7858"/>
        <v>#N/A</v>
      </c>
      <c r="G3971" s="39" t="e">
        <f t="shared" si="7859"/>
        <v>#N/A</v>
      </c>
      <c r="H3971" s="16" t="e">
        <f t="shared" si="7860"/>
        <v>#N/A</v>
      </c>
      <c r="I3971" s="16" t="e">
        <f t="shared" si="7861"/>
        <v>#N/A</v>
      </c>
      <c r="J3971" s="40" t="e">
        <f t="shared" si="7862"/>
        <v>#N/A</v>
      </c>
      <c r="K3971" s="16" t="e">
        <f t="shared" si="7863"/>
        <v>#N/A</v>
      </c>
      <c r="L3971" s="40" t="e">
        <f t="shared" si="7864"/>
        <v>#N/A</v>
      </c>
      <c r="M3971" s="16" t="e">
        <f t="shared" si="7865"/>
        <v>#N/A</v>
      </c>
      <c r="N3971" s="16" t="e">
        <f t="shared" si="7866"/>
        <v>#N/A</v>
      </c>
      <c r="O3971" s="16" t="s">
        <v>77</v>
      </c>
      <c r="P3971" s="16" t="str">
        <f t="shared" si="6"/>
        <v/>
      </c>
      <c r="Q3971" s="41" t="e">
        <f t="shared" si="7867"/>
        <v>#N/A</v>
      </c>
      <c r="R3971" s="44"/>
      <c r="S3971" s="44"/>
      <c r="T3971" s="43"/>
      <c r="U3971" s="43" t="str">
        <f t="shared" si="8"/>
        <v>No</v>
      </c>
      <c r="V3971" s="25"/>
      <c r="W3971" s="25"/>
      <c r="X3971" s="25"/>
      <c r="Y3971" s="25"/>
      <c r="Z3971" s="25"/>
    </row>
    <row r="3972" spans="1:26" ht="15.75" customHeight="1" x14ac:dyDescent="0.25">
      <c r="A3972" s="25">
        <v>3970</v>
      </c>
      <c r="B3972" s="37" t="e">
        <f t="shared" si="7855"/>
        <v>#N/A</v>
      </c>
      <c r="C3972" s="38" t="e">
        <f t="shared" si="7856"/>
        <v>#N/A</v>
      </c>
      <c r="D3972" s="39" t="e">
        <f t="shared" si="7857"/>
        <v>#N/A</v>
      </c>
      <c r="E3972" s="16" t="e">
        <f t="shared" si="1"/>
        <v>#N/A</v>
      </c>
      <c r="F3972" s="16" t="e">
        <f t="shared" si="7858"/>
        <v>#N/A</v>
      </c>
      <c r="G3972" s="39" t="e">
        <f t="shared" si="7859"/>
        <v>#N/A</v>
      </c>
      <c r="H3972" s="16" t="e">
        <f t="shared" si="7860"/>
        <v>#N/A</v>
      </c>
      <c r="I3972" s="16" t="e">
        <f t="shared" si="7861"/>
        <v>#N/A</v>
      </c>
      <c r="J3972" s="40" t="e">
        <f t="shared" si="7862"/>
        <v>#N/A</v>
      </c>
      <c r="K3972" s="16" t="e">
        <f t="shared" si="7863"/>
        <v>#N/A</v>
      </c>
      <c r="L3972" s="40" t="e">
        <f t="shared" si="7864"/>
        <v>#N/A</v>
      </c>
      <c r="M3972" s="16" t="e">
        <f t="shared" si="7865"/>
        <v>#N/A</v>
      </c>
      <c r="N3972" s="16" t="e">
        <f t="shared" si="7866"/>
        <v>#N/A</v>
      </c>
      <c r="O3972" s="16" t="s">
        <v>77</v>
      </c>
      <c r="P3972" s="16" t="str">
        <f t="shared" si="6"/>
        <v/>
      </c>
      <c r="Q3972" s="41" t="e">
        <f t="shared" si="7867"/>
        <v>#N/A</v>
      </c>
      <c r="R3972" s="44"/>
      <c r="S3972" s="44"/>
      <c r="T3972" s="43"/>
      <c r="U3972" s="43" t="str">
        <f t="shared" si="8"/>
        <v>No</v>
      </c>
      <c r="V3972" s="25"/>
      <c r="W3972" s="25"/>
      <c r="X3972" s="25"/>
      <c r="Y3972" s="25"/>
      <c r="Z3972" s="25"/>
    </row>
    <row r="3973" spans="1:26" ht="15.75" customHeight="1" x14ac:dyDescent="0.25">
      <c r="A3973" s="25">
        <v>3971</v>
      </c>
      <c r="B3973" s="37" t="e">
        <f t="shared" si="7855"/>
        <v>#N/A</v>
      </c>
      <c r="C3973" s="38" t="e">
        <f t="shared" si="7856"/>
        <v>#N/A</v>
      </c>
      <c r="D3973" s="39" t="e">
        <f t="shared" si="7857"/>
        <v>#N/A</v>
      </c>
      <c r="E3973" s="16" t="e">
        <f t="shared" si="1"/>
        <v>#N/A</v>
      </c>
      <c r="F3973" s="16" t="e">
        <f t="shared" si="7858"/>
        <v>#N/A</v>
      </c>
      <c r="G3973" s="39" t="e">
        <f t="shared" si="7859"/>
        <v>#N/A</v>
      </c>
      <c r="H3973" s="16" t="e">
        <f t="shared" si="7860"/>
        <v>#N/A</v>
      </c>
      <c r="I3973" s="16" t="e">
        <f t="shared" si="7861"/>
        <v>#N/A</v>
      </c>
      <c r="J3973" s="40" t="e">
        <f t="shared" si="7862"/>
        <v>#N/A</v>
      </c>
      <c r="K3973" s="16" t="e">
        <f t="shared" si="7863"/>
        <v>#N/A</v>
      </c>
      <c r="L3973" s="40" t="e">
        <f t="shared" si="7864"/>
        <v>#N/A</v>
      </c>
      <c r="M3973" s="16" t="e">
        <f t="shared" si="7865"/>
        <v>#N/A</v>
      </c>
      <c r="N3973" s="16" t="e">
        <f t="shared" si="7866"/>
        <v>#N/A</v>
      </c>
      <c r="O3973" s="16" t="s">
        <v>77</v>
      </c>
      <c r="P3973" s="16" t="str">
        <f t="shared" si="6"/>
        <v/>
      </c>
      <c r="Q3973" s="41" t="e">
        <f t="shared" si="7867"/>
        <v>#N/A</v>
      </c>
      <c r="R3973" s="44"/>
      <c r="S3973" s="44"/>
      <c r="T3973" s="43"/>
      <c r="U3973" s="43" t="str">
        <f t="shared" si="8"/>
        <v>No</v>
      </c>
      <c r="V3973" s="25"/>
      <c r="W3973" s="25"/>
      <c r="X3973" s="25"/>
      <c r="Y3973" s="25"/>
      <c r="Z3973" s="25"/>
    </row>
    <row r="3974" spans="1:26" ht="15.75" customHeight="1" x14ac:dyDescent="0.25">
      <c r="A3974" s="25">
        <v>3972</v>
      </c>
      <c r="B3974" s="37" t="e">
        <f t="shared" si="7855"/>
        <v>#N/A</v>
      </c>
      <c r="C3974" s="38" t="e">
        <f t="shared" si="7856"/>
        <v>#N/A</v>
      </c>
      <c r="D3974" s="39" t="e">
        <f t="shared" si="7857"/>
        <v>#N/A</v>
      </c>
      <c r="E3974" s="16" t="e">
        <f t="shared" si="1"/>
        <v>#N/A</v>
      </c>
      <c r="F3974" s="16" t="e">
        <f t="shared" si="7858"/>
        <v>#N/A</v>
      </c>
      <c r="G3974" s="39" t="e">
        <f t="shared" si="7859"/>
        <v>#N/A</v>
      </c>
      <c r="H3974" s="16" t="e">
        <f t="shared" si="7860"/>
        <v>#N/A</v>
      </c>
      <c r="I3974" s="16" t="e">
        <f t="shared" si="7861"/>
        <v>#N/A</v>
      </c>
      <c r="J3974" s="40" t="e">
        <f t="shared" si="7862"/>
        <v>#N/A</v>
      </c>
      <c r="K3974" s="16" t="e">
        <f t="shared" si="7863"/>
        <v>#N/A</v>
      </c>
      <c r="L3974" s="40" t="e">
        <f t="shared" si="7864"/>
        <v>#N/A</v>
      </c>
      <c r="M3974" s="16" t="e">
        <f t="shared" si="7865"/>
        <v>#N/A</v>
      </c>
      <c r="N3974" s="16" t="e">
        <f t="shared" si="7866"/>
        <v>#N/A</v>
      </c>
      <c r="O3974" s="16" t="s">
        <v>77</v>
      </c>
      <c r="P3974" s="16" t="str">
        <f t="shared" si="6"/>
        <v/>
      </c>
      <c r="Q3974" s="41" t="e">
        <f t="shared" si="7867"/>
        <v>#N/A</v>
      </c>
      <c r="R3974" s="44"/>
      <c r="S3974" s="44"/>
      <c r="T3974" s="43"/>
      <c r="U3974" s="43" t="str">
        <f t="shared" si="8"/>
        <v>No</v>
      </c>
      <c r="V3974" s="25"/>
      <c r="W3974" s="25"/>
      <c r="X3974" s="25"/>
      <c r="Y3974" s="25"/>
      <c r="Z3974" s="25"/>
    </row>
    <row r="3975" spans="1:26" ht="15.75" customHeight="1" x14ac:dyDescent="0.25">
      <c r="A3975" s="25">
        <v>3973</v>
      </c>
      <c r="B3975" s="37" t="e">
        <f t="shared" si="7855"/>
        <v>#N/A</v>
      </c>
      <c r="C3975" s="38" t="e">
        <f t="shared" si="7856"/>
        <v>#N/A</v>
      </c>
      <c r="D3975" s="39" t="e">
        <f t="shared" si="7857"/>
        <v>#N/A</v>
      </c>
      <c r="E3975" s="16" t="e">
        <f t="shared" si="1"/>
        <v>#N/A</v>
      </c>
      <c r="F3975" s="16" t="e">
        <f t="shared" si="7858"/>
        <v>#N/A</v>
      </c>
      <c r="G3975" s="39" t="e">
        <f t="shared" si="7859"/>
        <v>#N/A</v>
      </c>
      <c r="H3975" s="16" t="e">
        <f t="shared" si="7860"/>
        <v>#N/A</v>
      </c>
      <c r="I3975" s="16" t="e">
        <f t="shared" si="7861"/>
        <v>#N/A</v>
      </c>
      <c r="J3975" s="40" t="e">
        <f t="shared" si="7862"/>
        <v>#N/A</v>
      </c>
      <c r="K3975" s="16" t="e">
        <f t="shared" si="7863"/>
        <v>#N/A</v>
      </c>
      <c r="L3975" s="40" t="e">
        <f t="shared" si="7864"/>
        <v>#N/A</v>
      </c>
      <c r="M3975" s="16" t="e">
        <f t="shared" si="7865"/>
        <v>#N/A</v>
      </c>
      <c r="N3975" s="16" t="e">
        <f t="shared" si="7866"/>
        <v>#N/A</v>
      </c>
      <c r="O3975" s="16" t="s">
        <v>77</v>
      </c>
      <c r="P3975" s="16" t="str">
        <f t="shared" si="6"/>
        <v/>
      </c>
      <c r="Q3975" s="41" t="e">
        <f t="shared" si="7867"/>
        <v>#N/A</v>
      </c>
      <c r="R3975" s="44"/>
      <c r="S3975" s="44"/>
      <c r="T3975" s="43"/>
      <c r="U3975" s="43" t="str">
        <f t="shared" si="8"/>
        <v>No</v>
      </c>
      <c r="V3975" s="25"/>
      <c r="W3975" s="25"/>
      <c r="X3975" s="25"/>
      <c r="Y3975" s="25"/>
      <c r="Z3975" s="25"/>
    </row>
    <row r="3976" spans="1:26" ht="15.75" customHeight="1" x14ac:dyDescent="0.25">
      <c r="A3976" s="25">
        <v>3974</v>
      </c>
      <c r="B3976" s="37" t="e">
        <f t="shared" si="7855"/>
        <v>#N/A</v>
      </c>
      <c r="C3976" s="38" t="e">
        <f t="shared" si="7856"/>
        <v>#N/A</v>
      </c>
      <c r="D3976" s="39" t="e">
        <f t="shared" si="7857"/>
        <v>#N/A</v>
      </c>
      <c r="E3976" s="16" t="e">
        <f t="shared" si="1"/>
        <v>#N/A</v>
      </c>
      <c r="F3976" s="16" t="e">
        <f t="shared" si="7858"/>
        <v>#N/A</v>
      </c>
      <c r="G3976" s="39" t="e">
        <f t="shared" si="7859"/>
        <v>#N/A</v>
      </c>
      <c r="H3976" s="16" t="e">
        <f t="shared" si="7860"/>
        <v>#N/A</v>
      </c>
      <c r="I3976" s="16" t="e">
        <f t="shared" si="7861"/>
        <v>#N/A</v>
      </c>
      <c r="J3976" s="40" t="e">
        <f t="shared" si="7862"/>
        <v>#N/A</v>
      </c>
      <c r="K3976" s="16" t="e">
        <f t="shared" si="7863"/>
        <v>#N/A</v>
      </c>
      <c r="L3976" s="40" t="e">
        <f t="shared" si="7864"/>
        <v>#N/A</v>
      </c>
      <c r="M3976" s="16" t="e">
        <f t="shared" si="7865"/>
        <v>#N/A</v>
      </c>
      <c r="N3976" s="16" t="e">
        <f t="shared" si="7866"/>
        <v>#N/A</v>
      </c>
      <c r="O3976" s="16" t="s">
        <v>77</v>
      </c>
      <c r="P3976" s="16" t="str">
        <f t="shared" si="6"/>
        <v/>
      </c>
      <c r="Q3976" s="41" t="e">
        <f t="shared" si="7867"/>
        <v>#N/A</v>
      </c>
      <c r="R3976" s="44"/>
      <c r="S3976" s="44"/>
      <c r="T3976" s="43"/>
      <c r="U3976" s="43" t="str">
        <f t="shared" si="8"/>
        <v>No</v>
      </c>
      <c r="V3976" s="25"/>
      <c r="W3976" s="25"/>
      <c r="X3976" s="25"/>
      <c r="Y3976" s="25"/>
      <c r="Z3976" s="25"/>
    </row>
    <row r="3977" spans="1:26" ht="15.75" customHeight="1" x14ac:dyDescent="0.25">
      <c r="A3977" s="25">
        <v>3975</v>
      </c>
      <c r="B3977" s="37" t="e">
        <f t="shared" si="7855"/>
        <v>#N/A</v>
      </c>
      <c r="C3977" s="38" t="e">
        <f t="shared" si="7856"/>
        <v>#N/A</v>
      </c>
      <c r="D3977" s="39" t="e">
        <f t="shared" si="7857"/>
        <v>#N/A</v>
      </c>
      <c r="E3977" s="16" t="e">
        <f t="shared" si="1"/>
        <v>#N/A</v>
      </c>
      <c r="F3977" s="16" t="e">
        <f t="shared" si="7858"/>
        <v>#N/A</v>
      </c>
      <c r="G3977" s="39" t="e">
        <f t="shared" si="7859"/>
        <v>#N/A</v>
      </c>
      <c r="H3977" s="16" t="e">
        <f t="shared" si="7860"/>
        <v>#N/A</v>
      </c>
      <c r="I3977" s="16" t="e">
        <f t="shared" si="7861"/>
        <v>#N/A</v>
      </c>
      <c r="J3977" s="40" t="e">
        <f t="shared" si="7862"/>
        <v>#N/A</v>
      </c>
      <c r="K3977" s="16" t="e">
        <f t="shared" si="7863"/>
        <v>#N/A</v>
      </c>
      <c r="L3977" s="40" t="e">
        <f t="shared" si="7864"/>
        <v>#N/A</v>
      </c>
      <c r="M3977" s="16" t="e">
        <f t="shared" si="7865"/>
        <v>#N/A</v>
      </c>
      <c r="N3977" s="16" t="e">
        <f t="shared" si="7866"/>
        <v>#N/A</v>
      </c>
      <c r="O3977" s="16" t="s">
        <v>77</v>
      </c>
      <c r="P3977" s="16" t="str">
        <f t="shared" si="6"/>
        <v/>
      </c>
      <c r="Q3977" s="41" t="e">
        <f t="shared" si="7867"/>
        <v>#N/A</v>
      </c>
      <c r="R3977" s="44"/>
      <c r="S3977" s="44"/>
      <c r="T3977" s="43"/>
      <c r="U3977" s="43" t="str">
        <f t="shared" si="8"/>
        <v>No</v>
      </c>
      <c r="V3977" s="25"/>
      <c r="W3977" s="25"/>
      <c r="X3977" s="25"/>
      <c r="Y3977" s="25"/>
      <c r="Z3977" s="25"/>
    </row>
    <row r="3978" spans="1:26" ht="15.75" customHeight="1" x14ac:dyDescent="0.25">
      <c r="A3978" s="25">
        <v>3976</v>
      </c>
      <c r="B3978" s="37" t="e">
        <f t="shared" si="7855"/>
        <v>#N/A</v>
      </c>
      <c r="C3978" s="38" t="e">
        <f t="shared" si="7856"/>
        <v>#N/A</v>
      </c>
      <c r="D3978" s="39" t="e">
        <f t="shared" si="7857"/>
        <v>#N/A</v>
      </c>
      <c r="E3978" s="16" t="e">
        <f t="shared" si="1"/>
        <v>#N/A</v>
      </c>
      <c r="F3978" s="16" t="e">
        <f t="shared" si="7858"/>
        <v>#N/A</v>
      </c>
      <c r="G3978" s="39" t="e">
        <f t="shared" si="7859"/>
        <v>#N/A</v>
      </c>
      <c r="H3978" s="16" t="e">
        <f t="shared" si="7860"/>
        <v>#N/A</v>
      </c>
      <c r="I3978" s="16" t="e">
        <f t="shared" si="7861"/>
        <v>#N/A</v>
      </c>
      <c r="J3978" s="40" t="e">
        <f t="shared" si="7862"/>
        <v>#N/A</v>
      </c>
      <c r="K3978" s="16" t="e">
        <f t="shared" si="7863"/>
        <v>#N/A</v>
      </c>
      <c r="L3978" s="40" t="e">
        <f t="shared" si="7864"/>
        <v>#N/A</v>
      </c>
      <c r="M3978" s="16" t="e">
        <f t="shared" si="7865"/>
        <v>#N/A</v>
      </c>
      <c r="N3978" s="16" t="e">
        <f t="shared" si="7866"/>
        <v>#N/A</v>
      </c>
      <c r="O3978" s="16" t="s">
        <v>77</v>
      </c>
      <c r="P3978" s="16" t="str">
        <f t="shared" si="6"/>
        <v/>
      </c>
      <c r="Q3978" s="41" t="e">
        <f t="shared" si="7867"/>
        <v>#N/A</v>
      </c>
      <c r="R3978" s="44"/>
      <c r="S3978" s="44"/>
      <c r="T3978" s="43"/>
      <c r="U3978" s="43" t="str">
        <f t="shared" si="8"/>
        <v>No</v>
      </c>
      <c r="V3978" s="25"/>
      <c r="W3978" s="25"/>
      <c r="X3978" s="25"/>
      <c r="Y3978" s="25"/>
      <c r="Z3978" s="25"/>
    </row>
    <row r="3979" spans="1:26" ht="15.75" customHeight="1" x14ac:dyDescent="0.25">
      <c r="A3979" s="25">
        <v>3977</v>
      </c>
      <c r="B3979" s="37" t="e">
        <f t="shared" si="7855"/>
        <v>#N/A</v>
      </c>
      <c r="C3979" s="38" t="e">
        <f t="shared" si="7856"/>
        <v>#N/A</v>
      </c>
      <c r="D3979" s="39" t="e">
        <f t="shared" si="7857"/>
        <v>#N/A</v>
      </c>
      <c r="E3979" s="16" t="e">
        <f t="shared" si="1"/>
        <v>#N/A</v>
      </c>
      <c r="F3979" s="16" t="e">
        <f t="shared" si="7858"/>
        <v>#N/A</v>
      </c>
      <c r="G3979" s="39" t="e">
        <f t="shared" si="7859"/>
        <v>#N/A</v>
      </c>
      <c r="H3979" s="16" t="e">
        <f t="shared" si="7860"/>
        <v>#N/A</v>
      </c>
      <c r="I3979" s="16" t="e">
        <f t="shared" si="7861"/>
        <v>#N/A</v>
      </c>
      <c r="J3979" s="40" t="e">
        <f t="shared" si="7862"/>
        <v>#N/A</v>
      </c>
      <c r="K3979" s="16" t="e">
        <f t="shared" si="7863"/>
        <v>#N/A</v>
      </c>
      <c r="L3979" s="40" t="e">
        <f t="shared" si="7864"/>
        <v>#N/A</v>
      </c>
      <c r="M3979" s="16" t="e">
        <f t="shared" si="7865"/>
        <v>#N/A</v>
      </c>
      <c r="N3979" s="16" t="e">
        <f t="shared" si="7866"/>
        <v>#N/A</v>
      </c>
      <c r="O3979" s="16" t="s">
        <v>77</v>
      </c>
      <c r="P3979" s="16" t="str">
        <f t="shared" si="6"/>
        <v/>
      </c>
      <c r="Q3979" s="41" t="e">
        <f t="shared" si="7867"/>
        <v>#N/A</v>
      </c>
      <c r="R3979" s="44"/>
      <c r="S3979" s="44"/>
      <c r="T3979" s="43"/>
      <c r="U3979" s="43" t="str">
        <f t="shared" si="8"/>
        <v>No</v>
      </c>
      <c r="V3979" s="25"/>
      <c r="W3979" s="25"/>
      <c r="X3979" s="25"/>
      <c r="Y3979" s="25"/>
      <c r="Z3979" s="25"/>
    </row>
    <row r="3980" spans="1:26" ht="15.75" customHeight="1" x14ac:dyDescent="0.25">
      <c r="A3980" s="25">
        <v>3978</v>
      </c>
      <c r="B3980" s="37" t="e">
        <f t="shared" si="7855"/>
        <v>#N/A</v>
      </c>
      <c r="C3980" s="38" t="e">
        <f t="shared" si="7856"/>
        <v>#N/A</v>
      </c>
      <c r="D3980" s="39" t="e">
        <f t="shared" si="7857"/>
        <v>#N/A</v>
      </c>
      <c r="E3980" s="16" t="e">
        <f t="shared" si="1"/>
        <v>#N/A</v>
      </c>
      <c r="F3980" s="16" t="e">
        <f t="shared" si="7858"/>
        <v>#N/A</v>
      </c>
      <c r="G3980" s="39" t="e">
        <f t="shared" si="7859"/>
        <v>#N/A</v>
      </c>
      <c r="H3980" s="16" t="e">
        <f t="shared" si="7860"/>
        <v>#N/A</v>
      </c>
      <c r="I3980" s="16" t="e">
        <f t="shared" si="7861"/>
        <v>#N/A</v>
      </c>
      <c r="J3980" s="40" t="e">
        <f t="shared" si="7862"/>
        <v>#N/A</v>
      </c>
      <c r="K3980" s="16" t="e">
        <f t="shared" si="7863"/>
        <v>#N/A</v>
      </c>
      <c r="L3980" s="40" t="e">
        <f t="shared" si="7864"/>
        <v>#N/A</v>
      </c>
      <c r="M3980" s="16" t="e">
        <f t="shared" si="7865"/>
        <v>#N/A</v>
      </c>
      <c r="N3980" s="16" t="e">
        <f t="shared" si="7866"/>
        <v>#N/A</v>
      </c>
      <c r="O3980" s="16" t="s">
        <v>77</v>
      </c>
      <c r="P3980" s="16" t="str">
        <f t="shared" si="6"/>
        <v/>
      </c>
      <c r="Q3980" s="41" t="e">
        <f t="shared" si="7867"/>
        <v>#N/A</v>
      </c>
      <c r="R3980" s="44"/>
      <c r="S3980" s="44"/>
      <c r="T3980" s="43"/>
      <c r="U3980" s="43" t="str">
        <f t="shared" si="8"/>
        <v>No</v>
      </c>
      <c r="V3980" s="25"/>
      <c r="W3980" s="25"/>
      <c r="X3980" s="25"/>
      <c r="Y3980" s="25"/>
      <c r="Z3980" s="25"/>
    </row>
    <row r="3981" spans="1:26" ht="15.75" customHeight="1" x14ac:dyDescent="0.25">
      <c r="A3981" s="25">
        <v>3979</v>
      </c>
      <c r="B3981" s="37" t="e">
        <f t="shared" si="7855"/>
        <v>#N/A</v>
      </c>
      <c r="C3981" s="38" t="e">
        <f t="shared" si="7856"/>
        <v>#N/A</v>
      </c>
      <c r="D3981" s="39" t="e">
        <f t="shared" si="7857"/>
        <v>#N/A</v>
      </c>
      <c r="E3981" s="16" t="e">
        <f t="shared" si="1"/>
        <v>#N/A</v>
      </c>
      <c r="F3981" s="16" t="e">
        <f t="shared" si="7858"/>
        <v>#N/A</v>
      </c>
      <c r="G3981" s="39" t="e">
        <f t="shared" si="7859"/>
        <v>#N/A</v>
      </c>
      <c r="H3981" s="16" t="e">
        <f t="shared" si="7860"/>
        <v>#N/A</v>
      </c>
      <c r="I3981" s="16" t="e">
        <f t="shared" si="7861"/>
        <v>#N/A</v>
      </c>
      <c r="J3981" s="40" t="e">
        <f t="shared" si="7862"/>
        <v>#N/A</v>
      </c>
      <c r="K3981" s="16" t="e">
        <f t="shared" si="7863"/>
        <v>#N/A</v>
      </c>
      <c r="L3981" s="40" t="e">
        <f t="shared" si="7864"/>
        <v>#N/A</v>
      </c>
      <c r="M3981" s="16" t="e">
        <f t="shared" si="7865"/>
        <v>#N/A</v>
      </c>
      <c r="N3981" s="16" t="e">
        <f t="shared" si="7866"/>
        <v>#N/A</v>
      </c>
      <c r="O3981" s="16" t="s">
        <v>77</v>
      </c>
      <c r="P3981" s="16" t="str">
        <f t="shared" si="6"/>
        <v/>
      </c>
      <c r="Q3981" s="41" t="e">
        <f t="shared" si="7867"/>
        <v>#N/A</v>
      </c>
      <c r="R3981" s="44"/>
      <c r="S3981" s="44"/>
      <c r="T3981" s="43"/>
      <c r="U3981" s="43" t="str">
        <f t="shared" si="8"/>
        <v>No</v>
      </c>
      <c r="V3981" s="25"/>
      <c r="W3981" s="25"/>
      <c r="X3981" s="25"/>
      <c r="Y3981" s="25"/>
      <c r="Z3981" s="25"/>
    </row>
    <row r="3982" spans="1:26" ht="15.75" customHeight="1" x14ac:dyDescent="0.25">
      <c r="A3982" s="25">
        <v>3980</v>
      </c>
      <c r="B3982" s="37" t="e">
        <f t="shared" si="7855"/>
        <v>#N/A</v>
      </c>
      <c r="C3982" s="38" t="e">
        <f t="shared" si="7856"/>
        <v>#N/A</v>
      </c>
      <c r="D3982" s="39" t="e">
        <f t="shared" si="7857"/>
        <v>#N/A</v>
      </c>
      <c r="E3982" s="16" t="e">
        <f t="shared" si="1"/>
        <v>#N/A</v>
      </c>
      <c r="F3982" s="16" t="e">
        <f t="shared" si="7858"/>
        <v>#N/A</v>
      </c>
      <c r="G3982" s="39" t="e">
        <f t="shared" si="7859"/>
        <v>#N/A</v>
      </c>
      <c r="H3982" s="16" t="e">
        <f t="shared" si="7860"/>
        <v>#N/A</v>
      </c>
      <c r="I3982" s="16" t="e">
        <f t="shared" si="7861"/>
        <v>#N/A</v>
      </c>
      <c r="J3982" s="40" t="e">
        <f t="shared" si="7862"/>
        <v>#N/A</v>
      </c>
      <c r="K3982" s="16" t="e">
        <f t="shared" si="7863"/>
        <v>#N/A</v>
      </c>
      <c r="L3982" s="40" t="e">
        <f t="shared" si="7864"/>
        <v>#N/A</v>
      </c>
      <c r="M3982" s="16" t="e">
        <f t="shared" si="7865"/>
        <v>#N/A</v>
      </c>
      <c r="N3982" s="16" t="e">
        <f t="shared" si="7866"/>
        <v>#N/A</v>
      </c>
      <c r="O3982" s="16" t="s">
        <v>77</v>
      </c>
      <c r="P3982" s="16" t="str">
        <f t="shared" si="6"/>
        <v/>
      </c>
      <c r="Q3982" s="41" t="e">
        <f t="shared" si="7867"/>
        <v>#N/A</v>
      </c>
      <c r="R3982" s="44"/>
      <c r="S3982" s="44"/>
      <c r="T3982" s="43"/>
      <c r="U3982" s="43" t="str">
        <f t="shared" si="8"/>
        <v>No</v>
      </c>
      <c r="V3982" s="25"/>
      <c r="W3982" s="25"/>
      <c r="X3982" s="25"/>
      <c r="Y3982" s="25"/>
      <c r="Z3982" s="25"/>
    </row>
    <row r="3983" spans="1:26" ht="15.75" customHeight="1" x14ac:dyDescent="0.25">
      <c r="A3983" s="25">
        <v>3981</v>
      </c>
      <c r="B3983" s="37" t="e">
        <f t="shared" si="7855"/>
        <v>#N/A</v>
      </c>
      <c r="C3983" s="38" t="e">
        <f t="shared" si="7856"/>
        <v>#N/A</v>
      </c>
      <c r="D3983" s="39" t="e">
        <f t="shared" si="7857"/>
        <v>#N/A</v>
      </c>
      <c r="E3983" s="16" t="e">
        <f t="shared" si="1"/>
        <v>#N/A</v>
      </c>
      <c r="F3983" s="16" t="e">
        <f t="shared" si="7858"/>
        <v>#N/A</v>
      </c>
      <c r="G3983" s="39" t="e">
        <f t="shared" si="7859"/>
        <v>#N/A</v>
      </c>
      <c r="H3983" s="16" t="e">
        <f t="shared" si="7860"/>
        <v>#N/A</v>
      </c>
      <c r="I3983" s="16" t="e">
        <f t="shared" si="7861"/>
        <v>#N/A</v>
      </c>
      <c r="J3983" s="40" t="e">
        <f t="shared" si="7862"/>
        <v>#N/A</v>
      </c>
      <c r="K3983" s="16" t="e">
        <f t="shared" si="7863"/>
        <v>#N/A</v>
      </c>
      <c r="L3983" s="40" t="e">
        <f t="shared" si="7864"/>
        <v>#N/A</v>
      </c>
      <c r="M3983" s="16" t="e">
        <f t="shared" si="7865"/>
        <v>#N/A</v>
      </c>
      <c r="N3983" s="16" t="e">
        <f t="shared" si="7866"/>
        <v>#N/A</v>
      </c>
      <c r="O3983" s="16" t="s">
        <v>77</v>
      </c>
      <c r="P3983" s="16" t="str">
        <f t="shared" si="6"/>
        <v/>
      </c>
      <c r="Q3983" s="41" t="e">
        <f t="shared" si="7867"/>
        <v>#N/A</v>
      </c>
      <c r="R3983" s="44"/>
      <c r="S3983" s="44"/>
      <c r="T3983" s="43"/>
      <c r="U3983" s="43" t="str">
        <f t="shared" si="8"/>
        <v>No</v>
      </c>
      <c r="V3983" s="25"/>
      <c r="W3983" s="25"/>
      <c r="X3983" s="25"/>
      <c r="Y3983" s="25"/>
      <c r="Z3983" s="25"/>
    </row>
    <row r="3984" spans="1:26" ht="15.75" customHeight="1" x14ac:dyDescent="0.25">
      <c r="A3984" s="25">
        <v>3982</v>
      </c>
      <c r="B3984" s="37" t="e">
        <f t="shared" si="7855"/>
        <v>#N/A</v>
      </c>
      <c r="C3984" s="38" t="e">
        <f t="shared" si="7856"/>
        <v>#N/A</v>
      </c>
      <c r="D3984" s="39" t="e">
        <f t="shared" si="7857"/>
        <v>#N/A</v>
      </c>
      <c r="E3984" s="16" t="e">
        <f t="shared" si="1"/>
        <v>#N/A</v>
      </c>
      <c r="F3984" s="16" t="e">
        <f t="shared" si="7858"/>
        <v>#N/A</v>
      </c>
      <c r="G3984" s="39" t="e">
        <f t="shared" si="7859"/>
        <v>#N/A</v>
      </c>
      <c r="H3984" s="16" t="e">
        <f t="shared" si="7860"/>
        <v>#N/A</v>
      </c>
      <c r="I3984" s="16" t="e">
        <f t="shared" si="7861"/>
        <v>#N/A</v>
      </c>
      <c r="J3984" s="40" t="e">
        <f t="shared" si="7862"/>
        <v>#N/A</v>
      </c>
      <c r="K3984" s="16" t="e">
        <f t="shared" si="7863"/>
        <v>#N/A</v>
      </c>
      <c r="L3984" s="40" t="e">
        <f t="shared" si="7864"/>
        <v>#N/A</v>
      </c>
      <c r="M3984" s="16" t="e">
        <f t="shared" si="7865"/>
        <v>#N/A</v>
      </c>
      <c r="N3984" s="16" t="e">
        <f t="shared" si="7866"/>
        <v>#N/A</v>
      </c>
      <c r="O3984" s="16" t="s">
        <v>77</v>
      </c>
      <c r="P3984" s="16" t="str">
        <f t="shared" si="6"/>
        <v/>
      </c>
      <c r="Q3984" s="41" t="e">
        <f t="shared" si="7867"/>
        <v>#N/A</v>
      </c>
      <c r="R3984" s="44"/>
      <c r="S3984" s="44"/>
      <c r="T3984" s="43"/>
      <c r="U3984" s="43" t="str">
        <f t="shared" si="8"/>
        <v>No</v>
      </c>
      <c r="V3984" s="25"/>
      <c r="W3984" s="25"/>
      <c r="X3984" s="25"/>
      <c r="Y3984" s="25"/>
      <c r="Z3984" s="25"/>
    </row>
    <row r="3985" spans="1:26" ht="15.75" customHeight="1" x14ac:dyDescent="0.25">
      <c r="A3985" s="25">
        <v>3983</v>
      </c>
      <c r="B3985" s="37" t="e">
        <f t="shared" si="7855"/>
        <v>#N/A</v>
      </c>
      <c r="C3985" s="38" t="e">
        <f t="shared" si="7856"/>
        <v>#N/A</v>
      </c>
      <c r="D3985" s="39" t="e">
        <f t="shared" si="7857"/>
        <v>#N/A</v>
      </c>
      <c r="E3985" s="16" t="e">
        <f t="shared" si="1"/>
        <v>#N/A</v>
      </c>
      <c r="F3985" s="16" t="e">
        <f t="shared" si="7858"/>
        <v>#N/A</v>
      </c>
      <c r="G3985" s="39" t="e">
        <f t="shared" si="7859"/>
        <v>#N/A</v>
      </c>
      <c r="H3985" s="16" t="e">
        <f t="shared" si="7860"/>
        <v>#N/A</v>
      </c>
      <c r="I3985" s="16" t="e">
        <f t="shared" si="7861"/>
        <v>#N/A</v>
      </c>
      <c r="J3985" s="40" t="e">
        <f t="shared" si="7862"/>
        <v>#N/A</v>
      </c>
      <c r="K3985" s="16" t="e">
        <f t="shared" si="7863"/>
        <v>#N/A</v>
      </c>
      <c r="L3985" s="40" t="e">
        <f t="shared" si="7864"/>
        <v>#N/A</v>
      </c>
      <c r="M3985" s="16" t="e">
        <f t="shared" si="7865"/>
        <v>#N/A</v>
      </c>
      <c r="N3985" s="16" t="e">
        <f t="shared" si="7866"/>
        <v>#N/A</v>
      </c>
      <c r="O3985" s="16" t="s">
        <v>77</v>
      </c>
      <c r="P3985" s="16" t="str">
        <f t="shared" si="6"/>
        <v/>
      </c>
      <c r="Q3985" s="41" t="e">
        <f t="shared" si="7867"/>
        <v>#N/A</v>
      </c>
      <c r="R3985" s="44"/>
      <c r="S3985" s="44"/>
      <c r="T3985" s="43"/>
      <c r="U3985" s="43" t="str">
        <f t="shared" si="8"/>
        <v>No</v>
      </c>
      <c r="V3985" s="25"/>
      <c r="W3985" s="25"/>
      <c r="X3985" s="25"/>
      <c r="Y3985" s="25"/>
      <c r="Z3985" s="25"/>
    </row>
    <row r="3986" spans="1:26" ht="15.75" customHeight="1" x14ac:dyDescent="0.25">
      <c r="A3986" s="25">
        <v>3984</v>
      </c>
      <c r="B3986" s="37" t="e">
        <f t="shared" si="7855"/>
        <v>#N/A</v>
      </c>
      <c r="C3986" s="38" t="e">
        <f t="shared" si="7856"/>
        <v>#N/A</v>
      </c>
      <c r="D3986" s="39" t="e">
        <f t="shared" si="7857"/>
        <v>#N/A</v>
      </c>
      <c r="E3986" s="16" t="e">
        <f t="shared" si="1"/>
        <v>#N/A</v>
      </c>
      <c r="F3986" s="16" t="e">
        <f t="shared" si="7858"/>
        <v>#N/A</v>
      </c>
      <c r="G3986" s="39" t="e">
        <f t="shared" si="7859"/>
        <v>#N/A</v>
      </c>
      <c r="H3986" s="16" t="e">
        <f t="shared" si="7860"/>
        <v>#N/A</v>
      </c>
      <c r="I3986" s="16" t="e">
        <f t="shared" si="7861"/>
        <v>#N/A</v>
      </c>
      <c r="J3986" s="40" t="e">
        <f t="shared" si="7862"/>
        <v>#N/A</v>
      </c>
      <c r="K3986" s="16" t="e">
        <f t="shared" si="7863"/>
        <v>#N/A</v>
      </c>
      <c r="L3986" s="40" t="e">
        <f t="shared" si="7864"/>
        <v>#N/A</v>
      </c>
      <c r="M3986" s="16" t="e">
        <f t="shared" si="7865"/>
        <v>#N/A</v>
      </c>
      <c r="N3986" s="16" t="e">
        <f t="shared" si="7866"/>
        <v>#N/A</v>
      </c>
      <c r="O3986" s="16" t="s">
        <v>77</v>
      </c>
      <c r="P3986" s="16" t="str">
        <f t="shared" si="6"/>
        <v/>
      </c>
      <c r="Q3986" s="41" t="e">
        <f t="shared" si="7867"/>
        <v>#N/A</v>
      </c>
      <c r="R3986" s="44"/>
      <c r="S3986" s="44"/>
      <c r="T3986" s="43"/>
      <c r="U3986" s="43" t="str">
        <f t="shared" si="8"/>
        <v>No</v>
      </c>
      <c r="V3986" s="25"/>
      <c r="W3986" s="25"/>
      <c r="X3986" s="25"/>
      <c r="Y3986" s="25"/>
      <c r="Z3986" s="25"/>
    </row>
    <row r="3987" spans="1:26" ht="15.75" customHeight="1" x14ac:dyDescent="0.25">
      <c r="A3987" s="25">
        <v>3985</v>
      </c>
      <c r="B3987" s="37" t="e">
        <f t="shared" si="7855"/>
        <v>#N/A</v>
      </c>
      <c r="C3987" s="38" t="e">
        <f t="shared" si="7856"/>
        <v>#N/A</v>
      </c>
      <c r="D3987" s="39" t="e">
        <f t="shared" si="7857"/>
        <v>#N/A</v>
      </c>
      <c r="E3987" s="16" t="e">
        <f t="shared" si="1"/>
        <v>#N/A</v>
      </c>
      <c r="F3987" s="16" t="e">
        <f t="shared" si="7858"/>
        <v>#N/A</v>
      </c>
      <c r="G3987" s="39" t="e">
        <f t="shared" si="7859"/>
        <v>#N/A</v>
      </c>
      <c r="H3987" s="16" t="e">
        <f t="shared" si="7860"/>
        <v>#N/A</v>
      </c>
      <c r="I3987" s="16" t="e">
        <f t="shared" si="7861"/>
        <v>#N/A</v>
      </c>
      <c r="J3987" s="40" t="e">
        <f t="shared" si="7862"/>
        <v>#N/A</v>
      </c>
      <c r="K3987" s="16" t="e">
        <f t="shared" si="7863"/>
        <v>#N/A</v>
      </c>
      <c r="L3987" s="40" t="e">
        <f t="shared" si="7864"/>
        <v>#N/A</v>
      </c>
      <c r="M3987" s="16" t="e">
        <f t="shared" si="7865"/>
        <v>#N/A</v>
      </c>
      <c r="N3987" s="16" t="e">
        <f t="shared" si="7866"/>
        <v>#N/A</v>
      </c>
      <c r="O3987" s="16" t="s">
        <v>77</v>
      </c>
      <c r="P3987" s="16" t="str">
        <f t="shared" si="6"/>
        <v/>
      </c>
      <c r="Q3987" s="41" t="e">
        <f t="shared" si="7867"/>
        <v>#N/A</v>
      </c>
      <c r="R3987" s="44"/>
      <c r="S3987" s="44"/>
      <c r="T3987" s="43"/>
      <c r="U3987" s="43" t="str">
        <f t="shared" si="8"/>
        <v>No</v>
      </c>
      <c r="V3987" s="25"/>
      <c r="W3987" s="25"/>
      <c r="X3987" s="25"/>
      <c r="Y3987" s="25"/>
      <c r="Z3987" s="25"/>
    </row>
    <row r="3988" spans="1:26" ht="15.75" customHeight="1" x14ac:dyDescent="0.25">
      <c r="A3988" s="25">
        <v>3986</v>
      </c>
      <c r="B3988" s="37" t="e">
        <f t="shared" si="7855"/>
        <v>#N/A</v>
      </c>
      <c r="C3988" s="38" t="e">
        <f t="shared" si="7856"/>
        <v>#N/A</v>
      </c>
      <c r="D3988" s="39" t="e">
        <f t="shared" si="7857"/>
        <v>#N/A</v>
      </c>
      <c r="E3988" s="16" t="e">
        <f t="shared" si="1"/>
        <v>#N/A</v>
      </c>
      <c r="F3988" s="16" t="e">
        <f t="shared" si="7858"/>
        <v>#N/A</v>
      </c>
      <c r="G3988" s="39" t="e">
        <f t="shared" si="7859"/>
        <v>#N/A</v>
      </c>
      <c r="H3988" s="16" t="e">
        <f t="shared" si="7860"/>
        <v>#N/A</v>
      </c>
      <c r="I3988" s="16" t="e">
        <f t="shared" si="7861"/>
        <v>#N/A</v>
      </c>
      <c r="J3988" s="40" t="e">
        <f t="shared" si="7862"/>
        <v>#N/A</v>
      </c>
      <c r="K3988" s="16" t="e">
        <f t="shared" si="7863"/>
        <v>#N/A</v>
      </c>
      <c r="L3988" s="40" t="e">
        <f t="shared" si="7864"/>
        <v>#N/A</v>
      </c>
      <c r="M3988" s="16" t="e">
        <f t="shared" si="7865"/>
        <v>#N/A</v>
      </c>
      <c r="N3988" s="16" t="e">
        <f t="shared" si="7866"/>
        <v>#N/A</v>
      </c>
      <c r="O3988" s="16" t="s">
        <v>77</v>
      </c>
      <c r="P3988" s="16" t="str">
        <f t="shared" si="6"/>
        <v/>
      </c>
      <c r="Q3988" s="41" t="e">
        <f t="shared" si="7867"/>
        <v>#N/A</v>
      </c>
      <c r="R3988" s="44"/>
      <c r="S3988" s="44"/>
      <c r="T3988" s="43"/>
      <c r="U3988" s="43" t="str">
        <f t="shared" si="8"/>
        <v>No</v>
      </c>
      <c r="V3988" s="25"/>
      <c r="W3988" s="25"/>
      <c r="X3988" s="25"/>
      <c r="Y3988" s="25"/>
      <c r="Z3988" s="25"/>
    </row>
    <row r="3989" spans="1:26" ht="15.75" customHeight="1" x14ac:dyDescent="0.25">
      <c r="A3989" s="25">
        <v>3987</v>
      </c>
      <c r="B3989" s="37" t="e">
        <f t="shared" si="7855"/>
        <v>#N/A</v>
      </c>
      <c r="C3989" s="38" t="e">
        <f t="shared" si="7856"/>
        <v>#N/A</v>
      </c>
      <c r="D3989" s="39" t="e">
        <f t="shared" si="7857"/>
        <v>#N/A</v>
      </c>
      <c r="E3989" s="16" t="e">
        <f t="shared" si="1"/>
        <v>#N/A</v>
      </c>
      <c r="F3989" s="16" t="e">
        <f t="shared" si="7858"/>
        <v>#N/A</v>
      </c>
      <c r="G3989" s="39" t="e">
        <f t="shared" si="7859"/>
        <v>#N/A</v>
      </c>
      <c r="H3989" s="16" t="e">
        <f t="shared" si="7860"/>
        <v>#N/A</v>
      </c>
      <c r="I3989" s="16" t="e">
        <f t="shared" si="7861"/>
        <v>#N/A</v>
      </c>
      <c r="J3989" s="40" t="e">
        <f t="shared" si="7862"/>
        <v>#N/A</v>
      </c>
      <c r="K3989" s="16" t="e">
        <f t="shared" si="7863"/>
        <v>#N/A</v>
      </c>
      <c r="L3989" s="40" t="e">
        <f t="shared" si="7864"/>
        <v>#N/A</v>
      </c>
      <c r="M3989" s="16" t="e">
        <f t="shared" si="7865"/>
        <v>#N/A</v>
      </c>
      <c r="N3989" s="16" t="e">
        <f t="shared" si="7866"/>
        <v>#N/A</v>
      </c>
      <c r="O3989" s="16" t="s">
        <v>77</v>
      </c>
      <c r="P3989" s="16" t="str">
        <f t="shared" si="6"/>
        <v/>
      </c>
      <c r="Q3989" s="41" t="e">
        <f t="shared" si="7867"/>
        <v>#N/A</v>
      </c>
      <c r="R3989" s="44"/>
      <c r="S3989" s="44"/>
      <c r="T3989" s="43"/>
      <c r="U3989" s="43" t="str">
        <f t="shared" si="8"/>
        <v>No</v>
      </c>
      <c r="V3989" s="25"/>
      <c r="W3989" s="25"/>
      <c r="X3989" s="25"/>
      <c r="Y3989" s="25"/>
      <c r="Z3989" s="25"/>
    </row>
    <row r="3990" spans="1:26" ht="15.75" customHeight="1" x14ac:dyDescent="0.25">
      <c r="A3990" s="25">
        <v>3988</v>
      </c>
      <c r="B3990" s="37" t="e">
        <f t="shared" si="7855"/>
        <v>#N/A</v>
      </c>
      <c r="C3990" s="38" t="e">
        <f t="shared" si="7856"/>
        <v>#N/A</v>
      </c>
      <c r="D3990" s="39" t="e">
        <f t="shared" si="7857"/>
        <v>#N/A</v>
      </c>
      <c r="E3990" s="16" t="e">
        <f t="shared" si="1"/>
        <v>#N/A</v>
      </c>
      <c r="F3990" s="16" t="e">
        <f t="shared" si="7858"/>
        <v>#N/A</v>
      </c>
      <c r="G3990" s="39" t="e">
        <f t="shared" si="7859"/>
        <v>#N/A</v>
      </c>
      <c r="H3990" s="16" t="e">
        <f t="shared" si="7860"/>
        <v>#N/A</v>
      </c>
      <c r="I3990" s="16" t="e">
        <f t="shared" si="7861"/>
        <v>#N/A</v>
      </c>
      <c r="J3990" s="40" t="e">
        <f t="shared" si="7862"/>
        <v>#N/A</v>
      </c>
      <c r="K3990" s="16" t="e">
        <f t="shared" si="7863"/>
        <v>#N/A</v>
      </c>
      <c r="L3990" s="40" t="e">
        <f t="shared" si="7864"/>
        <v>#N/A</v>
      </c>
      <c r="M3990" s="16" t="e">
        <f t="shared" si="7865"/>
        <v>#N/A</v>
      </c>
      <c r="N3990" s="16" t="e">
        <f t="shared" si="7866"/>
        <v>#N/A</v>
      </c>
      <c r="O3990" s="16" t="s">
        <v>77</v>
      </c>
      <c r="P3990" s="16" t="str">
        <f t="shared" si="6"/>
        <v/>
      </c>
      <c r="Q3990" s="41" t="e">
        <f t="shared" si="7867"/>
        <v>#N/A</v>
      </c>
      <c r="R3990" s="44"/>
      <c r="S3990" s="44"/>
      <c r="T3990" s="43"/>
      <c r="U3990" s="43" t="str">
        <f t="shared" si="8"/>
        <v>No</v>
      </c>
      <c r="V3990" s="25"/>
      <c r="W3990" s="25"/>
      <c r="X3990" s="25"/>
      <c r="Y3990" s="25"/>
      <c r="Z3990" s="25"/>
    </row>
    <row r="3991" spans="1:26" ht="15.75" customHeight="1" x14ac:dyDescent="0.25">
      <c r="A3991" s="25">
        <v>3989</v>
      </c>
      <c r="B3991" s="37" t="e">
        <f t="shared" si="7855"/>
        <v>#N/A</v>
      </c>
      <c r="C3991" s="38" t="e">
        <f t="shared" si="7856"/>
        <v>#N/A</v>
      </c>
      <c r="D3991" s="39" t="e">
        <f t="shared" si="7857"/>
        <v>#N/A</v>
      </c>
      <c r="E3991" s="16" t="e">
        <f t="shared" si="1"/>
        <v>#N/A</v>
      </c>
      <c r="F3991" s="16" t="e">
        <f t="shared" si="7858"/>
        <v>#N/A</v>
      </c>
      <c r="G3991" s="39" t="e">
        <f t="shared" si="7859"/>
        <v>#N/A</v>
      </c>
      <c r="H3991" s="16" t="e">
        <f t="shared" si="7860"/>
        <v>#N/A</v>
      </c>
      <c r="I3991" s="16" t="e">
        <f t="shared" si="7861"/>
        <v>#N/A</v>
      </c>
      <c r="J3991" s="40" t="e">
        <f t="shared" si="7862"/>
        <v>#N/A</v>
      </c>
      <c r="K3991" s="16" t="e">
        <f t="shared" si="7863"/>
        <v>#N/A</v>
      </c>
      <c r="L3991" s="40" t="e">
        <f t="shared" si="7864"/>
        <v>#N/A</v>
      </c>
      <c r="M3991" s="16" t="e">
        <f t="shared" si="7865"/>
        <v>#N/A</v>
      </c>
      <c r="N3991" s="16" t="e">
        <f t="shared" si="7866"/>
        <v>#N/A</v>
      </c>
      <c r="O3991" s="16" t="s">
        <v>77</v>
      </c>
      <c r="P3991" s="16" t="str">
        <f t="shared" si="6"/>
        <v/>
      </c>
      <c r="Q3991" s="41" t="e">
        <f t="shared" si="7867"/>
        <v>#N/A</v>
      </c>
      <c r="R3991" s="44"/>
      <c r="S3991" s="44"/>
      <c r="T3991" s="43"/>
      <c r="U3991" s="43" t="str">
        <f t="shared" si="8"/>
        <v>No</v>
      </c>
      <c r="V3991" s="25"/>
      <c r="W3991" s="25"/>
      <c r="X3991" s="25"/>
      <c r="Y3991" s="25"/>
      <c r="Z3991" s="25"/>
    </row>
    <row r="3992" spans="1:26" ht="15.75" customHeight="1" x14ac:dyDescent="0.25">
      <c r="A3992" s="25">
        <v>3990</v>
      </c>
      <c r="B3992" s="37" t="e">
        <f t="shared" si="7855"/>
        <v>#N/A</v>
      </c>
      <c r="C3992" s="38" t="e">
        <f t="shared" si="7856"/>
        <v>#N/A</v>
      </c>
      <c r="D3992" s="39" t="e">
        <f t="shared" si="7857"/>
        <v>#N/A</v>
      </c>
      <c r="E3992" s="16" t="e">
        <f t="shared" si="1"/>
        <v>#N/A</v>
      </c>
      <c r="F3992" s="16" t="e">
        <f t="shared" si="7858"/>
        <v>#N/A</v>
      </c>
      <c r="G3992" s="39" t="e">
        <f t="shared" si="7859"/>
        <v>#N/A</v>
      </c>
      <c r="H3992" s="16" t="e">
        <f t="shared" si="7860"/>
        <v>#N/A</v>
      </c>
      <c r="I3992" s="16" t="e">
        <f t="shared" si="7861"/>
        <v>#N/A</v>
      </c>
      <c r="J3992" s="40" t="e">
        <f t="shared" si="7862"/>
        <v>#N/A</v>
      </c>
      <c r="K3992" s="16" t="e">
        <f t="shared" si="7863"/>
        <v>#N/A</v>
      </c>
      <c r="L3992" s="40" t="e">
        <f t="shared" si="7864"/>
        <v>#N/A</v>
      </c>
      <c r="M3992" s="16" t="e">
        <f t="shared" si="7865"/>
        <v>#N/A</v>
      </c>
      <c r="N3992" s="16" t="e">
        <f t="shared" si="7866"/>
        <v>#N/A</v>
      </c>
      <c r="O3992" s="16" t="s">
        <v>77</v>
      </c>
      <c r="P3992" s="16" t="str">
        <f t="shared" si="6"/>
        <v/>
      </c>
      <c r="Q3992" s="41" t="e">
        <f t="shared" si="7867"/>
        <v>#N/A</v>
      </c>
      <c r="R3992" s="44"/>
      <c r="S3992" s="44"/>
      <c r="T3992" s="43"/>
      <c r="U3992" s="43" t="str">
        <f t="shared" si="8"/>
        <v>No</v>
      </c>
      <c r="V3992" s="25"/>
      <c r="W3992" s="25"/>
      <c r="X3992" s="25"/>
      <c r="Y3992" s="25"/>
      <c r="Z3992" s="25"/>
    </row>
    <row r="3993" spans="1:26" ht="15.75" customHeight="1" x14ac:dyDescent="0.25">
      <c r="A3993" s="25">
        <v>3991</v>
      </c>
      <c r="B3993" s="37" t="e">
        <f t="shared" si="7855"/>
        <v>#N/A</v>
      </c>
      <c r="C3993" s="38" t="e">
        <f t="shared" si="7856"/>
        <v>#N/A</v>
      </c>
      <c r="D3993" s="39" t="e">
        <f t="shared" si="7857"/>
        <v>#N/A</v>
      </c>
      <c r="E3993" s="16" t="e">
        <f t="shared" si="1"/>
        <v>#N/A</v>
      </c>
      <c r="F3993" s="16" t="e">
        <f t="shared" si="7858"/>
        <v>#N/A</v>
      </c>
      <c r="G3993" s="39" t="e">
        <f t="shared" si="7859"/>
        <v>#N/A</v>
      </c>
      <c r="H3993" s="16" t="e">
        <f t="shared" si="7860"/>
        <v>#N/A</v>
      </c>
      <c r="I3993" s="16" t="e">
        <f t="shared" si="7861"/>
        <v>#N/A</v>
      </c>
      <c r="J3993" s="40" t="e">
        <f t="shared" si="7862"/>
        <v>#N/A</v>
      </c>
      <c r="K3993" s="16" t="e">
        <f t="shared" si="7863"/>
        <v>#N/A</v>
      </c>
      <c r="L3993" s="40" t="e">
        <f t="shared" si="7864"/>
        <v>#N/A</v>
      </c>
      <c r="M3993" s="16" t="e">
        <f t="shared" si="7865"/>
        <v>#N/A</v>
      </c>
      <c r="N3993" s="16" t="e">
        <f t="shared" si="7866"/>
        <v>#N/A</v>
      </c>
      <c r="O3993" s="16" t="s">
        <v>77</v>
      </c>
      <c r="P3993" s="16" t="str">
        <f t="shared" si="6"/>
        <v/>
      </c>
      <c r="Q3993" s="41" t="e">
        <f t="shared" si="7867"/>
        <v>#N/A</v>
      </c>
      <c r="R3993" s="44"/>
      <c r="S3993" s="44"/>
      <c r="T3993" s="43"/>
      <c r="U3993" s="43" t="str">
        <f t="shared" si="8"/>
        <v>No</v>
      </c>
      <c r="V3993" s="25"/>
      <c r="W3993" s="25"/>
      <c r="X3993" s="25"/>
      <c r="Y3993" s="25"/>
      <c r="Z3993" s="25"/>
    </row>
    <row r="3994" spans="1:26" ht="15.75" customHeight="1" x14ac:dyDescent="0.25">
      <c r="A3994" s="25">
        <v>3992</v>
      </c>
      <c r="B3994" s="37" t="e">
        <f t="shared" si="7855"/>
        <v>#N/A</v>
      </c>
      <c r="C3994" s="38" t="e">
        <f t="shared" si="7856"/>
        <v>#N/A</v>
      </c>
      <c r="D3994" s="39" t="e">
        <f t="shared" si="7857"/>
        <v>#N/A</v>
      </c>
      <c r="E3994" s="16" t="e">
        <f t="shared" si="1"/>
        <v>#N/A</v>
      </c>
      <c r="F3994" s="16" t="e">
        <f t="shared" si="7858"/>
        <v>#N/A</v>
      </c>
      <c r="G3994" s="39" t="e">
        <f t="shared" si="7859"/>
        <v>#N/A</v>
      </c>
      <c r="H3994" s="16" t="e">
        <f t="shared" si="7860"/>
        <v>#N/A</v>
      </c>
      <c r="I3994" s="16" t="e">
        <f t="shared" si="7861"/>
        <v>#N/A</v>
      </c>
      <c r="J3994" s="40" t="e">
        <f t="shared" si="7862"/>
        <v>#N/A</v>
      </c>
      <c r="K3994" s="16" t="e">
        <f t="shared" si="7863"/>
        <v>#N/A</v>
      </c>
      <c r="L3994" s="40" t="e">
        <f t="shared" si="7864"/>
        <v>#N/A</v>
      </c>
      <c r="M3994" s="16" t="e">
        <f t="shared" si="7865"/>
        <v>#N/A</v>
      </c>
      <c r="N3994" s="16" t="e">
        <f t="shared" si="7866"/>
        <v>#N/A</v>
      </c>
      <c r="O3994" s="16" t="s">
        <v>77</v>
      </c>
      <c r="P3994" s="16" t="str">
        <f t="shared" si="6"/>
        <v/>
      </c>
      <c r="Q3994" s="41" t="e">
        <f t="shared" si="7867"/>
        <v>#N/A</v>
      </c>
      <c r="R3994" s="44"/>
      <c r="S3994" s="44"/>
      <c r="T3994" s="43"/>
      <c r="U3994" s="43" t="str">
        <f t="shared" si="8"/>
        <v>No</v>
      </c>
      <c r="V3994" s="25"/>
      <c r="W3994" s="25"/>
      <c r="X3994" s="25"/>
      <c r="Y3994" s="25"/>
      <c r="Z3994" s="25"/>
    </row>
    <row r="3995" spans="1:26" ht="15.75" customHeight="1" x14ac:dyDescent="0.25">
      <c r="A3995" s="25">
        <v>3993</v>
      </c>
      <c r="B3995" s="37" t="e">
        <f t="shared" si="7855"/>
        <v>#N/A</v>
      </c>
      <c r="C3995" s="38" t="e">
        <f t="shared" si="7856"/>
        <v>#N/A</v>
      </c>
      <c r="D3995" s="39" t="e">
        <f t="shared" si="7857"/>
        <v>#N/A</v>
      </c>
      <c r="E3995" s="16" t="e">
        <f t="shared" si="1"/>
        <v>#N/A</v>
      </c>
      <c r="F3995" s="16" t="e">
        <f t="shared" si="7858"/>
        <v>#N/A</v>
      </c>
      <c r="G3995" s="39" t="e">
        <f t="shared" si="7859"/>
        <v>#N/A</v>
      </c>
      <c r="H3995" s="16" t="e">
        <f t="shared" si="7860"/>
        <v>#N/A</v>
      </c>
      <c r="I3995" s="16" t="e">
        <f t="shared" si="7861"/>
        <v>#N/A</v>
      </c>
      <c r="J3995" s="40" t="e">
        <f t="shared" si="7862"/>
        <v>#N/A</v>
      </c>
      <c r="K3995" s="16" t="e">
        <f t="shared" si="7863"/>
        <v>#N/A</v>
      </c>
      <c r="L3995" s="40" t="e">
        <f t="shared" si="7864"/>
        <v>#N/A</v>
      </c>
      <c r="M3995" s="16" t="e">
        <f t="shared" si="7865"/>
        <v>#N/A</v>
      </c>
      <c r="N3995" s="16" t="e">
        <f t="shared" si="7866"/>
        <v>#N/A</v>
      </c>
      <c r="O3995" s="16" t="s">
        <v>77</v>
      </c>
      <c r="P3995" s="16" t="str">
        <f t="shared" si="6"/>
        <v/>
      </c>
      <c r="Q3995" s="41" t="e">
        <f t="shared" si="7867"/>
        <v>#N/A</v>
      </c>
      <c r="R3995" s="44"/>
      <c r="S3995" s="44"/>
      <c r="T3995" s="43"/>
      <c r="U3995" s="43" t="str">
        <f t="shared" si="8"/>
        <v>No</v>
      </c>
      <c r="V3995" s="25"/>
      <c r="W3995" s="25"/>
      <c r="X3995" s="25"/>
      <c r="Y3995" s="25"/>
      <c r="Z3995" s="25"/>
    </row>
    <row r="3996" spans="1:26" ht="15.75" customHeight="1" x14ac:dyDescent="0.25">
      <c r="A3996" s="25">
        <v>3994</v>
      </c>
      <c r="B3996" s="37" t="e">
        <f t="shared" si="7855"/>
        <v>#N/A</v>
      </c>
      <c r="C3996" s="38" t="e">
        <f t="shared" si="7856"/>
        <v>#N/A</v>
      </c>
      <c r="D3996" s="39" t="e">
        <f t="shared" si="7857"/>
        <v>#N/A</v>
      </c>
      <c r="E3996" s="16" t="e">
        <f t="shared" si="1"/>
        <v>#N/A</v>
      </c>
      <c r="F3996" s="16" t="e">
        <f t="shared" si="7858"/>
        <v>#N/A</v>
      </c>
      <c r="G3996" s="39" t="e">
        <f t="shared" si="7859"/>
        <v>#N/A</v>
      </c>
      <c r="H3996" s="16" t="e">
        <f t="shared" si="7860"/>
        <v>#N/A</v>
      </c>
      <c r="I3996" s="16" t="e">
        <f t="shared" si="7861"/>
        <v>#N/A</v>
      </c>
      <c r="J3996" s="40" t="e">
        <f t="shared" si="7862"/>
        <v>#N/A</v>
      </c>
      <c r="K3996" s="16" t="e">
        <f t="shared" si="7863"/>
        <v>#N/A</v>
      </c>
      <c r="L3996" s="40" t="e">
        <f t="shared" si="7864"/>
        <v>#N/A</v>
      </c>
      <c r="M3996" s="16" t="e">
        <f t="shared" si="7865"/>
        <v>#N/A</v>
      </c>
      <c r="N3996" s="16" t="e">
        <f t="shared" si="7866"/>
        <v>#N/A</v>
      </c>
      <c r="O3996" s="16" t="s">
        <v>77</v>
      </c>
      <c r="P3996" s="16" t="str">
        <f t="shared" si="6"/>
        <v/>
      </c>
      <c r="Q3996" s="41" t="e">
        <f t="shared" si="7867"/>
        <v>#N/A</v>
      </c>
      <c r="R3996" s="44"/>
      <c r="S3996" s="44"/>
      <c r="T3996" s="43"/>
      <c r="U3996" s="43" t="str">
        <f t="shared" si="8"/>
        <v>No</v>
      </c>
      <c r="V3996" s="25"/>
      <c r="W3996" s="25"/>
      <c r="X3996" s="25"/>
      <c r="Y3996" s="25"/>
      <c r="Z3996" s="25"/>
    </row>
    <row r="3997" spans="1:26" ht="15.75" customHeight="1" x14ac:dyDescent="0.25">
      <c r="A3997" s="25">
        <v>3995</v>
      </c>
      <c r="B3997" s="37" t="e">
        <f t="shared" si="7855"/>
        <v>#N/A</v>
      </c>
      <c r="C3997" s="38" t="e">
        <f t="shared" si="7856"/>
        <v>#N/A</v>
      </c>
      <c r="D3997" s="39" t="e">
        <f t="shared" si="7857"/>
        <v>#N/A</v>
      </c>
      <c r="E3997" s="16" t="e">
        <f t="shared" si="1"/>
        <v>#N/A</v>
      </c>
      <c r="F3997" s="16" t="e">
        <f t="shared" si="7858"/>
        <v>#N/A</v>
      </c>
      <c r="G3997" s="39" t="e">
        <f t="shared" si="7859"/>
        <v>#N/A</v>
      </c>
      <c r="H3997" s="16" t="e">
        <f t="shared" si="7860"/>
        <v>#N/A</v>
      </c>
      <c r="I3997" s="16" t="e">
        <f t="shared" si="7861"/>
        <v>#N/A</v>
      </c>
      <c r="J3997" s="40" t="e">
        <f t="shared" si="7862"/>
        <v>#N/A</v>
      </c>
      <c r="K3997" s="16" t="e">
        <f t="shared" si="7863"/>
        <v>#N/A</v>
      </c>
      <c r="L3997" s="40" t="e">
        <f t="shared" si="7864"/>
        <v>#N/A</v>
      </c>
      <c r="M3997" s="16" t="e">
        <f t="shared" si="7865"/>
        <v>#N/A</v>
      </c>
      <c r="N3997" s="16" t="e">
        <f t="shared" si="7866"/>
        <v>#N/A</v>
      </c>
      <c r="O3997" s="16" t="s">
        <v>77</v>
      </c>
      <c r="P3997" s="16" t="str">
        <f t="shared" si="6"/>
        <v/>
      </c>
      <c r="Q3997" s="41" t="e">
        <f t="shared" si="7867"/>
        <v>#N/A</v>
      </c>
      <c r="R3997" s="44"/>
      <c r="S3997" s="44"/>
      <c r="T3997" s="43"/>
      <c r="U3997" s="43" t="str">
        <f t="shared" si="8"/>
        <v>No</v>
      </c>
      <c r="V3997" s="25"/>
      <c r="W3997" s="25"/>
      <c r="X3997" s="25"/>
      <c r="Y3997" s="25"/>
      <c r="Z3997" s="25"/>
    </row>
    <row r="3998" spans="1:26" ht="15.75" customHeight="1" x14ac:dyDescent="0.25">
      <c r="A3998" s="25">
        <v>3996</v>
      </c>
      <c r="B3998" s="37" t="e">
        <f t="shared" si="7855"/>
        <v>#N/A</v>
      </c>
      <c r="C3998" s="38" t="e">
        <f t="shared" si="7856"/>
        <v>#N/A</v>
      </c>
      <c r="D3998" s="39" t="e">
        <f t="shared" si="7857"/>
        <v>#N/A</v>
      </c>
      <c r="E3998" s="16" t="e">
        <f t="shared" si="1"/>
        <v>#N/A</v>
      </c>
      <c r="F3998" s="16" t="e">
        <f t="shared" si="7858"/>
        <v>#N/A</v>
      </c>
      <c r="G3998" s="39" t="e">
        <f t="shared" si="7859"/>
        <v>#N/A</v>
      </c>
      <c r="H3998" s="16" t="e">
        <f t="shared" si="7860"/>
        <v>#N/A</v>
      </c>
      <c r="I3998" s="16" t="e">
        <f t="shared" si="7861"/>
        <v>#N/A</v>
      </c>
      <c r="J3998" s="40" t="e">
        <f t="shared" si="7862"/>
        <v>#N/A</v>
      </c>
      <c r="K3998" s="16" t="e">
        <f t="shared" si="7863"/>
        <v>#N/A</v>
      </c>
      <c r="L3998" s="40" t="e">
        <f t="shared" si="7864"/>
        <v>#N/A</v>
      </c>
      <c r="M3998" s="16" t="e">
        <f t="shared" si="7865"/>
        <v>#N/A</v>
      </c>
      <c r="N3998" s="16" t="e">
        <f t="shared" si="7866"/>
        <v>#N/A</v>
      </c>
      <c r="O3998" s="16" t="s">
        <v>77</v>
      </c>
      <c r="P3998" s="16" t="str">
        <f t="shared" si="6"/>
        <v/>
      </c>
      <c r="Q3998" s="41" t="e">
        <f t="shared" si="7867"/>
        <v>#N/A</v>
      </c>
      <c r="R3998" s="44"/>
      <c r="S3998" s="44"/>
      <c r="T3998" s="43"/>
      <c r="U3998" s="43" t="str">
        <f t="shared" si="8"/>
        <v>No</v>
      </c>
      <c r="V3998" s="25"/>
      <c r="W3998" s="25"/>
      <c r="X3998" s="25"/>
      <c r="Y3998" s="25"/>
      <c r="Z3998" s="25"/>
    </row>
    <row r="3999" spans="1:26" ht="15.75" customHeight="1" x14ac:dyDescent="0.25">
      <c r="A3999" s="25">
        <v>3997</v>
      </c>
      <c r="B3999" s="37" t="e">
        <f t="shared" si="7855"/>
        <v>#N/A</v>
      </c>
      <c r="C3999" s="38" t="e">
        <f t="shared" si="7856"/>
        <v>#N/A</v>
      </c>
      <c r="D3999" s="39" t="e">
        <f t="shared" si="7857"/>
        <v>#N/A</v>
      </c>
      <c r="E3999" s="16" t="e">
        <f t="shared" si="1"/>
        <v>#N/A</v>
      </c>
      <c r="F3999" s="16" t="e">
        <f t="shared" si="7858"/>
        <v>#N/A</v>
      </c>
      <c r="G3999" s="39" t="e">
        <f t="shared" si="7859"/>
        <v>#N/A</v>
      </c>
      <c r="H3999" s="16" t="e">
        <f t="shared" si="7860"/>
        <v>#N/A</v>
      </c>
      <c r="I3999" s="16" t="e">
        <f t="shared" si="7861"/>
        <v>#N/A</v>
      </c>
      <c r="J3999" s="40" t="e">
        <f t="shared" si="7862"/>
        <v>#N/A</v>
      </c>
      <c r="K3999" s="16" t="e">
        <f t="shared" si="7863"/>
        <v>#N/A</v>
      </c>
      <c r="L3999" s="40" t="e">
        <f t="shared" si="7864"/>
        <v>#N/A</v>
      </c>
      <c r="M3999" s="16" t="e">
        <f t="shared" si="7865"/>
        <v>#N/A</v>
      </c>
      <c r="N3999" s="16" t="e">
        <f t="shared" si="7866"/>
        <v>#N/A</v>
      </c>
      <c r="O3999" s="16" t="s">
        <v>77</v>
      </c>
      <c r="P3999" s="16" t="str">
        <f t="shared" si="6"/>
        <v/>
      </c>
      <c r="Q3999" s="41" t="e">
        <f t="shared" si="7867"/>
        <v>#N/A</v>
      </c>
      <c r="R3999" s="44"/>
      <c r="S3999" s="44"/>
      <c r="T3999" s="43"/>
      <c r="U3999" s="43" t="str">
        <f t="shared" si="8"/>
        <v>No</v>
      </c>
      <c r="V3999" s="25"/>
      <c r="W3999" s="25"/>
      <c r="X3999" s="25"/>
      <c r="Y3999" s="25"/>
      <c r="Z3999" s="25"/>
    </row>
    <row r="4000" spans="1:26" ht="15.75" customHeight="1" x14ac:dyDescent="0.25">
      <c r="A4000" s="25">
        <v>3998</v>
      </c>
      <c r="B4000" s="37" t="e">
        <f t="shared" si="7855"/>
        <v>#N/A</v>
      </c>
      <c r="C4000" s="38" t="e">
        <f t="shared" si="7856"/>
        <v>#N/A</v>
      </c>
      <c r="D4000" s="39" t="e">
        <f t="shared" si="7857"/>
        <v>#N/A</v>
      </c>
      <c r="E4000" s="16" t="e">
        <f t="shared" si="1"/>
        <v>#N/A</v>
      </c>
      <c r="F4000" s="16" t="e">
        <f t="shared" si="7858"/>
        <v>#N/A</v>
      </c>
      <c r="G4000" s="39" t="e">
        <f t="shared" si="7859"/>
        <v>#N/A</v>
      </c>
      <c r="H4000" s="16" t="e">
        <f t="shared" si="7860"/>
        <v>#N/A</v>
      </c>
      <c r="I4000" s="16" t="e">
        <f t="shared" si="7861"/>
        <v>#N/A</v>
      </c>
      <c r="J4000" s="40" t="e">
        <f t="shared" si="7862"/>
        <v>#N/A</v>
      </c>
      <c r="K4000" s="16" t="e">
        <f t="shared" si="7863"/>
        <v>#N/A</v>
      </c>
      <c r="L4000" s="40" t="e">
        <f t="shared" si="7864"/>
        <v>#N/A</v>
      </c>
      <c r="M4000" s="16" t="e">
        <f t="shared" si="7865"/>
        <v>#N/A</v>
      </c>
      <c r="N4000" s="16" t="e">
        <f t="shared" si="7866"/>
        <v>#N/A</v>
      </c>
      <c r="O4000" s="16" t="s">
        <v>77</v>
      </c>
      <c r="P4000" s="16" t="str">
        <f t="shared" si="6"/>
        <v/>
      </c>
      <c r="Q4000" s="41" t="e">
        <f t="shared" si="7867"/>
        <v>#N/A</v>
      </c>
      <c r="R4000" s="44"/>
      <c r="S4000" s="44"/>
      <c r="T4000" s="43"/>
      <c r="U4000" s="43" t="str">
        <f t="shared" si="8"/>
        <v>No</v>
      </c>
      <c r="V4000" s="25"/>
      <c r="W4000" s="25"/>
      <c r="X4000" s="25"/>
      <c r="Y4000" s="25"/>
      <c r="Z4000" s="25"/>
    </row>
    <row r="4001" spans="1:26" ht="15.75" customHeight="1" x14ac:dyDescent="0.25">
      <c r="A4001" s="25">
        <v>3999</v>
      </c>
      <c r="B4001" s="37" t="e">
        <f t="shared" si="7855"/>
        <v>#N/A</v>
      </c>
      <c r="C4001" s="38" t="e">
        <f t="shared" si="7856"/>
        <v>#N/A</v>
      </c>
      <c r="D4001" s="39" t="e">
        <f t="shared" si="7857"/>
        <v>#N/A</v>
      </c>
      <c r="E4001" s="16" t="e">
        <f t="shared" si="1"/>
        <v>#N/A</v>
      </c>
      <c r="F4001" s="16" t="e">
        <f t="shared" si="7858"/>
        <v>#N/A</v>
      </c>
      <c r="G4001" s="39" t="e">
        <f t="shared" si="7859"/>
        <v>#N/A</v>
      </c>
      <c r="H4001" s="16" t="e">
        <f t="shared" si="7860"/>
        <v>#N/A</v>
      </c>
      <c r="I4001" s="16" t="e">
        <f t="shared" si="7861"/>
        <v>#N/A</v>
      </c>
      <c r="J4001" s="40" t="e">
        <f t="shared" si="7862"/>
        <v>#N/A</v>
      </c>
      <c r="K4001" s="16" t="e">
        <f t="shared" si="7863"/>
        <v>#N/A</v>
      </c>
      <c r="L4001" s="40" t="e">
        <f t="shared" si="7864"/>
        <v>#N/A</v>
      </c>
      <c r="M4001" s="16" t="e">
        <f t="shared" si="7865"/>
        <v>#N/A</v>
      </c>
      <c r="N4001" s="16" t="e">
        <f t="shared" si="7866"/>
        <v>#N/A</v>
      </c>
      <c r="O4001" s="16" t="s">
        <v>77</v>
      </c>
      <c r="P4001" s="16" t="str">
        <f t="shared" si="6"/>
        <v/>
      </c>
      <c r="Q4001" s="41" t="e">
        <f t="shared" si="7867"/>
        <v>#N/A</v>
      </c>
      <c r="R4001" s="44"/>
      <c r="S4001" s="44"/>
      <c r="T4001" s="43"/>
      <c r="U4001" s="43" t="str">
        <f t="shared" si="8"/>
        <v>No</v>
      </c>
      <c r="V4001" s="25"/>
      <c r="W4001" s="25"/>
      <c r="X4001" s="25"/>
      <c r="Y4001" s="25"/>
      <c r="Z4001" s="25"/>
    </row>
    <row r="4002" spans="1:26" ht="15.75" customHeight="1" x14ac:dyDescent="0.25">
      <c r="A4002" s="25">
        <v>4000</v>
      </c>
      <c r="B4002" s="37" t="e">
        <f t="shared" si="7855"/>
        <v>#N/A</v>
      </c>
      <c r="C4002" s="38" t="e">
        <f t="shared" si="7856"/>
        <v>#N/A</v>
      </c>
      <c r="D4002" s="39" t="e">
        <f t="shared" si="7857"/>
        <v>#N/A</v>
      </c>
      <c r="E4002" s="16" t="e">
        <f t="shared" si="1"/>
        <v>#N/A</v>
      </c>
      <c r="F4002" s="16" t="e">
        <f t="shared" si="7858"/>
        <v>#N/A</v>
      </c>
      <c r="G4002" s="39" t="e">
        <f t="shared" si="7859"/>
        <v>#N/A</v>
      </c>
      <c r="H4002" s="16" t="e">
        <f t="shared" si="7860"/>
        <v>#N/A</v>
      </c>
      <c r="I4002" s="16" t="e">
        <f t="shared" si="7861"/>
        <v>#N/A</v>
      </c>
      <c r="J4002" s="40" t="e">
        <f t="shared" si="7862"/>
        <v>#N/A</v>
      </c>
      <c r="K4002" s="16" t="e">
        <f t="shared" si="7863"/>
        <v>#N/A</v>
      </c>
      <c r="L4002" s="40" t="e">
        <f t="shared" si="7864"/>
        <v>#N/A</v>
      </c>
      <c r="M4002" s="16" t="e">
        <f t="shared" si="7865"/>
        <v>#N/A</v>
      </c>
      <c r="N4002" s="16" t="e">
        <f t="shared" si="7866"/>
        <v>#N/A</v>
      </c>
      <c r="O4002" s="16" t="s">
        <v>77</v>
      </c>
      <c r="P4002" s="16" t="str">
        <f t="shared" si="6"/>
        <v/>
      </c>
      <c r="Q4002" s="41" t="e">
        <f t="shared" si="7867"/>
        <v>#N/A</v>
      </c>
      <c r="R4002" s="44"/>
      <c r="S4002" s="44"/>
      <c r="T4002" s="43"/>
      <c r="U4002" s="43" t="str">
        <f t="shared" si="8"/>
        <v>No</v>
      </c>
      <c r="V4002" s="25"/>
      <c r="W4002" s="25"/>
      <c r="X4002" s="25"/>
      <c r="Y4002" s="25"/>
      <c r="Z4002" s="25"/>
    </row>
    <row r="4003" spans="1:26" ht="15.75" customHeight="1" x14ac:dyDescent="0.25">
      <c r="A4003" s="25">
        <v>4001</v>
      </c>
      <c r="B4003" s="37" t="e">
        <f t="shared" si="7855"/>
        <v>#N/A</v>
      </c>
      <c r="C4003" s="38" t="e">
        <f t="shared" si="7856"/>
        <v>#N/A</v>
      </c>
      <c r="D4003" s="39" t="e">
        <f t="shared" si="7857"/>
        <v>#N/A</v>
      </c>
      <c r="E4003" s="16" t="e">
        <f t="shared" si="1"/>
        <v>#N/A</v>
      </c>
      <c r="F4003" s="16" t="e">
        <f t="shared" si="7858"/>
        <v>#N/A</v>
      </c>
      <c r="G4003" s="39" t="e">
        <f t="shared" si="7859"/>
        <v>#N/A</v>
      </c>
      <c r="H4003" s="16" t="e">
        <f t="shared" si="7860"/>
        <v>#N/A</v>
      </c>
      <c r="I4003" s="16" t="e">
        <f t="shared" si="7861"/>
        <v>#N/A</v>
      </c>
      <c r="J4003" s="40" t="e">
        <f t="shared" si="7862"/>
        <v>#N/A</v>
      </c>
      <c r="K4003" s="16" t="e">
        <f t="shared" si="7863"/>
        <v>#N/A</v>
      </c>
      <c r="L4003" s="40" t="e">
        <f t="shared" si="7864"/>
        <v>#N/A</v>
      </c>
      <c r="M4003" s="16" t="e">
        <f t="shared" si="7865"/>
        <v>#N/A</v>
      </c>
      <c r="N4003" s="16" t="e">
        <f t="shared" si="7866"/>
        <v>#N/A</v>
      </c>
      <c r="O4003" s="16" t="s">
        <v>77</v>
      </c>
      <c r="P4003" s="16" t="str">
        <f t="shared" si="6"/>
        <v/>
      </c>
      <c r="Q4003" s="41" t="e">
        <f t="shared" si="7867"/>
        <v>#N/A</v>
      </c>
      <c r="R4003" s="44"/>
      <c r="S4003" s="44"/>
      <c r="T4003" s="43"/>
      <c r="U4003" s="43" t="str">
        <f t="shared" si="8"/>
        <v>No</v>
      </c>
      <c r="V4003" s="25"/>
      <c r="W4003" s="25"/>
      <c r="X4003" s="25"/>
      <c r="Y4003" s="25"/>
      <c r="Z4003" s="25"/>
    </row>
    <row r="4004" spans="1:26" ht="15.75" customHeight="1" x14ac:dyDescent="0.25">
      <c r="A4004" s="25">
        <v>4002</v>
      </c>
      <c r="B4004" s="37" t="e">
        <f t="shared" si="7855"/>
        <v>#N/A</v>
      </c>
      <c r="C4004" s="38" t="e">
        <f t="shared" si="7856"/>
        <v>#N/A</v>
      </c>
      <c r="D4004" s="39" t="e">
        <f t="shared" si="7857"/>
        <v>#N/A</v>
      </c>
      <c r="E4004" s="16" t="e">
        <f t="shared" si="1"/>
        <v>#N/A</v>
      </c>
      <c r="F4004" s="16" t="e">
        <f t="shared" si="7858"/>
        <v>#N/A</v>
      </c>
      <c r="G4004" s="39" t="e">
        <f t="shared" si="7859"/>
        <v>#N/A</v>
      </c>
      <c r="H4004" s="16" t="e">
        <f t="shared" si="7860"/>
        <v>#N/A</v>
      </c>
      <c r="I4004" s="16" t="e">
        <f t="shared" si="7861"/>
        <v>#N/A</v>
      </c>
      <c r="J4004" s="40" t="e">
        <f t="shared" si="7862"/>
        <v>#N/A</v>
      </c>
      <c r="K4004" s="16" t="e">
        <f t="shared" si="7863"/>
        <v>#N/A</v>
      </c>
      <c r="L4004" s="40" t="e">
        <f t="shared" si="7864"/>
        <v>#N/A</v>
      </c>
      <c r="M4004" s="16" t="e">
        <f t="shared" si="7865"/>
        <v>#N/A</v>
      </c>
      <c r="N4004" s="16" t="e">
        <f t="shared" si="7866"/>
        <v>#N/A</v>
      </c>
      <c r="O4004" s="16" t="s">
        <v>77</v>
      </c>
      <c r="P4004" s="16" t="str">
        <f t="shared" si="6"/>
        <v/>
      </c>
      <c r="Q4004" s="41" t="e">
        <f t="shared" si="7867"/>
        <v>#N/A</v>
      </c>
      <c r="R4004" s="44"/>
      <c r="S4004" s="44"/>
      <c r="T4004" s="43"/>
      <c r="U4004" s="43" t="str">
        <f t="shared" si="8"/>
        <v>No</v>
      </c>
      <c r="V4004" s="25"/>
      <c r="W4004" s="25"/>
      <c r="X4004" s="25"/>
      <c r="Y4004" s="25"/>
      <c r="Z4004" s="25"/>
    </row>
    <row r="4005" spans="1:26" ht="15.75" customHeight="1" x14ac:dyDescent="0.25">
      <c r="A4005" s="25">
        <v>4003</v>
      </c>
      <c r="B4005" s="37" t="e">
        <f t="shared" si="7855"/>
        <v>#N/A</v>
      </c>
      <c r="C4005" s="38" t="e">
        <f t="shared" si="7856"/>
        <v>#N/A</v>
      </c>
      <c r="D4005" s="39" t="e">
        <f t="shared" si="7857"/>
        <v>#N/A</v>
      </c>
      <c r="E4005" s="16" t="e">
        <f t="shared" si="1"/>
        <v>#N/A</v>
      </c>
      <c r="F4005" s="16" t="e">
        <f t="shared" si="7858"/>
        <v>#N/A</v>
      </c>
      <c r="G4005" s="39" t="e">
        <f t="shared" si="7859"/>
        <v>#N/A</v>
      </c>
      <c r="H4005" s="16" t="e">
        <f t="shared" si="7860"/>
        <v>#N/A</v>
      </c>
      <c r="I4005" s="16" t="e">
        <f t="shared" si="7861"/>
        <v>#N/A</v>
      </c>
      <c r="J4005" s="40" t="e">
        <f t="shared" si="7862"/>
        <v>#N/A</v>
      </c>
      <c r="K4005" s="16" t="e">
        <f t="shared" si="7863"/>
        <v>#N/A</v>
      </c>
      <c r="L4005" s="40" t="e">
        <f t="shared" si="7864"/>
        <v>#N/A</v>
      </c>
      <c r="M4005" s="16" t="e">
        <f t="shared" si="7865"/>
        <v>#N/A</v>
      </c>
      <c r="N4005" s="16" t="e">
        <f t="shared" si="7866"/>
        <v>#N/A</v>
      </c>
      <c r="O4005" s="16" t="s">
        <v>77</v>
      </c>
      <c r="P4005" s="16" t="str">
        <f t="shared" si="6"/>
        <v/>
      </c>
      <c r="Q4005" s="41" t="e">
        <f t="shared" si="7867"/>
        <v>#N/A</v>
      </c>
      <c r="R4005" s="44"/>
      <c r="S4005" s="44"/>
      <c r="T4005" s="43"/>
      <c r="U4005" s="43" t="str">
        <f t="shared" si="8"/>
        <v>No</v>
      </c>
      <c r="V4005" s="25"/>
      <c r="W4005" s="25"/>
      <c r="X4005" s="25"/>
      <c r="Y4005" s="25"/>
      <c r="Z4005" s="25"/>
    </row>
    <row r="4006" spans="1:26" ht="15.75" customHeight="1" x14ac:dyDescent="0.25">
      <c r="A4006" s="25">
        <v>4004</v>
      </c>
      <c r="B4006" s="37" t="e">
        <f t="shared" si="7855"/>
        <v>#N/A</v>
      </c>
      <c r="C4006" s="38" t="e">
        <f t="shared" si="7856"/>
        <v>#N/A</v>
      </c>
      <c r="D4006" s="39" t="e">
        <f t="shared" si="7857"/>
        <v>#N/A</v>
      </c>
      <c r="E4006" s="16" t="e">
        <f t="shared" si="1"/>
        <v>#N/A</v>
      </c>
      <c r="F4006" s="16" t="e">
        <f t="shared" si="7858"/>
        <v>#N/A</v>
      </c>
      <c r="G4006" s="39" t="e">
        <f t="shared" si="7859"/>
        <v>#N/A</v>
      </c>
      <c r="H4006" s="16" t="e">
        <f t="shared" si="7860"/>
        <v>#N/A</v>
      </c>
      <c r="I4006" s="16" t="e">
        <f t="shared" si="7861"/>
        <v>#N/A</v>
      </c>
      <c r="J4006" s="40" t="e">
        <f t="shared" si="7862"/>
        <v>#N/A</v>
      </c>
      <c r="K4006" s="16" t="e">
        <f t="shared" si="7863"/>
        <v>#N/A</v>
      </c>
      <c r="L4006" s="40" t="e">
        <f t="shared" si="7864"/>
        <v>#N/A</v>
      </c>
      <c r="M4006" s="16" t="e">
        <f t="shared" si="7865"/>
        <v>#N/A</v>
      </c>
      <c r="N4006" s="16" t="e">
        <f t="shared" si="7866"/>
        <v>#N/A</v>
      </c>
      <c r="O4006" s="16" t="s">
        <v>77</v>
      </c>
      <c r="P4006" s="16" t="str">
        <f t="shared" si="6"/>
        <v/>
      </c>
      <c r="Q4006" s="41" t="e">
        <f t="shared" si="7867"/>
        <v>#N/A</v>
      </c>
      <c r="R4006" s="44"/>
      <c r="S4006" s="44"/>
      <c r="T4006" s="43"/>
      <c r="U4006" s="43" t="str">
        <f t="shared" si="8"/>
        <v>No</v>
      </c>
      <c r="V4006" s="25"/>
      <c r="W4006" s="25"/>
      <c r="X4006" s="25"/>
      <c r="Y4006" s="25"/>
      <c r="Z4006" s="25"/>
    </row>
    <row r="4007" spans="1:26" ht="15.75" customHeight="1" x14ac:dyDescent="0.25">
      <c r="A4007" s="25">
        <v>4005</v>
      </c>
      <c r="B4007" s="37" t="e">
        <f t="shared" si="7855"/>
        <v>#N/A</v>
      </c>
      <c r="C4007" s="38" t="e">
        <f t="shared" si="7856"/>
        <v>#N/A</v>
      </c>
      <c r="D4007" s="39" t="e">
        <f t="shared" si="7857"/>
        <v>#N/A</v>
      </c>
      <c r="E4007" s="16" t="e">
        <f t="shared" si="1"/>
        <v>#N/A</v>
      </c>
      <c r="F4007" s="16" t="e">
        <f t="shared" si="7858"/>
        <v>#N/A</v>
      </c>
      <c r="G4007" s="39" t="e">
        <f t="shared" si="7859"/>
        <v>#N/A</v>
      </c>
      <c r="H4007" s="16" t="e">
        <f t="shared" si="7860"/>
        <v>#N/A</v>
      </c>
      <c r="I4007" s="16" t="e">
        <f t="shared" si="7861"/>
        <v>#N/A</v>
      </c>
      <c r="J4007" s="40" t="e">
        <f t="shared" si="7862"/>
        <v>#N/A</v>
      </c>
      <c r="K4007" s="16" t="e">
        <f t="shared" si="7863"/>
        <v>#N/A</v>
      </c>
      <c r="L4007" s="40" t="e">
        <f t="shared" si="7864"/>
        <v>#N/A</v>
      </c>
      <c r="M4007" s="16" t="e">
        <f t="shared" si="7865"/>
        <v>#N/A</v>
      </c>
      <c r="N4007" s="16" t="e">
        <f t="shared" si="7866"/>
        <v>#N/A</v>
      </c>
      <c r="O4007" s="16" t="s">
        <v>77</v>
      </c>
      <c r="P4007" s="16" t="str">
        <f t="shared" si="6"/>
        <v/>
      </c>
      <c r="Q4007" s="41" t="e">
        <f t="shared" si="7867"/>
        <v>#N/A</v>
      </c>
      <c r="R4007" s="44"/>
      <c r="S4007" s="44"/>
      <c r="T4007" s="43"/>
      <c r="U4007" s="43" t="str">
        <f t="shared" si="8"/>
        <v>No</v>
      </c>
      <c r="V4007" s="25"/>
      <c r="W4007" s="25"/>
      <c r="X4007" s="25"/>
      <c r="Y4007" s="25"/>
      <c r="Z4007" s="25"/>
    </row>
    <row r="4008" spans="1:26" ht="15.75" customHeight="1" x14ac:dyDescent="0.25">
      <c r="A4008" s="25">
        <v>4006</v>
      </c>
      <c r="B4008" s="37" t="e">
        <f t="shared" si="7855"/>
        <v>#N/A</v>
      </c>
      <c r="C4008" s="38" t="e">
        <f t="shared" si="7856"/>
        <v>#N/A</v>
      </c>
      <c r="D4008" s="39" t="e">
        <f t="shared" si="7857"/>
        <v>#N/A</v>
      </c>
      <c r="E4008" s="16" t="e">
        <f t="shared" si="1"/>
        <v>#N/A</v>
      </c>
      <c r="F4008" s="16" t="e">
        <f t="shared" si="7858"/>
        <v>#N/A</v>
      </c>
      <c r="G4008" s="39" t="e">
        <f t="shared" si="7859"/>
        <v>#N/A</v>
      </c>
      <c r="H4008" s="16" t="e">
        <f t="shared" si="7860"/>
        <v>#N/A</v>
      </c>
      <c r="I4008" s="16" t="e">
        <f t="shared" si="7861"/>
        <v>#N/A</v>
      </c>
      <c r="J4008" s="40" t="e">
        <f t="shared" si="7862"/>
        <v>#N/A</v>
      </c>
      <c r="K4008" s="16" t="e">
        <f t="shared" si="7863"/>
        <v>#N/A</v>
      </c>
      <c r="L4008" s="40" t="e">
        <f t="shared" si="7864"/>
        <v>#N/A</v>
      </c>
      <c r="M4008" s="16" t="e">
        <f t="shared" si="7865"/>
        <v>#N/A</v>
      </c>
      <c r="N4008" s="16" t="e">
        <f t="shared" si="7866"/>
        <v>#N/A</v>
      </c>
      <c r="O4008" s="16" t="s">
        <v>77</v>
      </c>
      <c r="P4008" s="16" t="str">
        <f t="shared" si="6"/>
        <v/>
      </c>
      <c r="Q4008" s="41" t="e">
        <f t="shared" si="7867"/>
        <v>#N/A</v>
      </c>
      <c r="R4008" s="44"/>
      <c r="S4008" s="44"/>
      <c r="T4008" s="43"/>
      <c r="U4008" s="43" t="str">
        <f t="shared" si="8"/>
        <v>No</v>
      </c>
      <c r="V4008" s="25"/>
      <c r="W4008" s="25"/>
      <c r="X4008" s="25"/>
      <c r="Y4008" s="25"/>
      <c r="Z4008" s="25"/>
    </row>
    <row r="4009" spans="1:26" ht="15.75" customHeight="1" x14ac:dyDescent="0.25">
      <c r="A4009" s="25">
        <v>4007</v>
      </c>
      <c r="B4009" s="37" t="e">
        <f t="shared" si="7855"/>
        <v>#N/A</v>
      </c>
      <c r="C4009" s="38" t="e">
        <f t="shared" si="7856"/>
        <v>#N/A</v>
      </c>
      <c r="D4009" s="39" t="e">
        <f t="shared" si="7857"/>
        <v>#N/A</v>
      </c>
      <c r="E4009" s="16" t="e">
        <f t="shared" si="1"/>
        <v>#N/A</v>
      </c>
      <c r="F4009" s="16" t="e">
        <f t="shared" si="7858"/>
        <v>#N/A</v>
      </c>
      <c r="G4009" s="39" t="e">
        <f t="shared" si="7859"/>
        <v>#N/A</v>
      </c>
      <c r="H4009" s="16" t="e">
        <f t="shared" si="7860"/>
        <v>#N/A</v>
      </c>
      <c r="I4009" s="16" t="e">
        <f t="shared" si="7861"/>
        <v>#N/A</v>
      </c>
      <c r="J4009" s="40" t="e">
        <f t="shared" si="7862"/>
        <v>#N/A</v>
      </c>
      <c r="K4009" s="16" t="e">
        <f t="shared" si="7863"/>
        <v>#N/A</v>
      </c>
      <c r="L4009" s="40" t="e">
        <f t="shared" si="7864"/>
        <v>#N/A</v>
      </c>
      <c r="M4009" s="16" t="e">
        <f t="shared" si="7865"/>
        <v>#N/A</v>
      </c>
      <c r="N4009" s="16" t="e">
        <f t="shared" si="7866"/>
        <v>#N/A</v>
      </c>
      <c r="O4009" s="16" t="s">
        <v>77</v>
      </c>
      <c r="P4009" s="16" t="str">
        <f t="shared" si="6"/>
        <v/>
      </c>
      <c r="Q4009" s="41" t="e">
        <f t="shared" si="7867"/>
        <v>#N/A</v>
      </c>
      <c r="R4009" s="44"/>
      <c r="S4009" s="44"/>
      <c r="T4009" s="43"/>
      <c r="U4009" s="43" t="str">
        <f t="shared" si="8"/>
        <v>No</v>
      </c>
      <c r="V4009" s="25"/>
      <c r="W4009" s="25"/>
      <c r="X4009" s="25"/>
      <c r="Y4009" s="25"/>
      <c r="Z4009" s="25"/>
    </row>
    <row r="4010" spans="1:26" ht="15.75" customHeight="1" x14ac:dyDescent="0.25">
      <c r="A4010" s="25">
        <v>4008</v>
      </c>
      <c r="B4010" s="37" t="e">
        <f t="shared" si="7855"/>
        <v>#N/A</v>
      </c>
      <c r="C4010" s="38" t="e">
        <f t="shared" si="7856"/>
        <v>#N/A</v>
      </c>
      <c r="D4010" s="39" t="e">
        <f t="shared" si="7857"/>
        <v>#N/A</v>
      </c>
      <c r="E4010" s="16" t="e">
        <f t="shared" si="1"/>
        <v>#N/A</v>
      </c>
      <c r="F4010" s="16" t="e">
        <f t="shared" si="7858"/>
        <v>#N/A</v>
      </c>
      <c r="G4010" s="39" t="e">
        <f t="shared" si="7859"/>
        <v>#N/A</v>
      </c>
      <c r="H4010" s="16" t="e">
        <f t="shared" si="7860"/>
        <v>#N/A</v>
      </c>
      <c r="I4010" s="16" t="e">
        <f t="shared" si="7861"/>
        <v>#N/A</v>
      </c>
      <c r="J4010" s="40" t="e">
        <f t="shared" si="7862"/>
        <v>#N/A</v>
      </c>
      <c r="K4010" s="16" t="e">
        <f t="shared" si="7863"/>
        <v>#N/A</v>
      </c>
      <c r="L4010" s="40" t="e">
        <f t="shared" si="7864"/>
        <v>#N/A</v>
      </c>
      <c r="M4010" s="16" t="e">
        <f t="shared" si="7865"/>
        <v>#N/A</v>
      </c>
      <c r="N4010" s="16" t="e">
        <f t="shared" si="7866"/>
        <v>#N/A</v>
      </c>
      <c r="O4010" s="16" t="s">
        <v>77</v>
      </c>
      <c r="P4010" s="16" t="str">
        <f t="shared" si="6"/>
        <v/>
      </c>
      <c r="Q4010" s="41" t="e">
        <f t="shared" si="7867"/>
        <v>#N/A</v>
      </c>
      <c r="R4010" s="44"/>
      <c r="S4010" s="44"/>
      <c r="T4010" s="43"/>
      <c r="U4010" s="43" t="str">
        <f t="shared" si="8"/>
        <v>No</v>
      </c>
      <c r="V4010" s="25"/>
      <c r="W4010" s="25"/>
      <c r="X4010" s="25"/>
      <c r="Y4010" s="25"/>
      <c r="Z4010" s="25"/>
    </row>
    <row r="4011" spans="1:26" ht="15.75" customHeight="1" x14ac:dyDescent="0.25">
      <c r="A4011" s="25">
        <v>4009</v>
      </c>
      <c r="B4011" s="37" t="e">
        <f t="shared" si="7855"/>
        <v>#N/A</v>
      </c>
      <c r="C4011" s="38" t="e">
        <f t="shared" si="7856"/>
        <v>#N/A</v>
      </c>
      <c r="D4011" s="39" t="e">
        <f t="shared" si="7857"/>
        <v>#N/A</v>
      </c>
      <c r="E4011" s="16" t="e">
        <f t="shared" si="1"/>
        <v>#N/A</v>
      </c>
      <c r="F4011" s="16" t="e">
        <f t="shared" si="7858"/>
        <v>#N/A</v>
      </c>
      <c r="G4011" s="39" t="e">
        <f t="shared" si="7859"/>
        <v>#N/A</v>
      </c>
      <c r="H4011" s="16" t="e">
        <f t="shared" si="7860"/>
        <v>#N/A</v>
      </c>
      <c r="I4011" s="16" t="e">
        <f t="shared" si="7861"/>
        <v>#N/A</v>
      </c>
      <c r="J4011" s="40" t="e">
        <f t="shared" si="7862"/>
        <v>#N/A</v>
      </c>
      <c r="K4011" s="16" t="e">
        <f t="shared" si="7863"/>
        <v>#N/A</v>
      </c>
      <c r="L4011" s="40" t="e">
        <f t="shared" si="7864"/>
        <v>#N/A</v>
      </c>
      <c r="M4011" s="16" t="e">
        <f t="shared" si="7865"/>
        <v>#N/A</v>
      </c>
      <c r="N4011" s="16" t="e">
        <f t="shared" si="7866"/>
        <v>#N/A</v>
      </c>
      <c r="O4011" s="16" t="s">
        <v>77</v>
      </c>
      <c r="P4011" s="16" t="str">
        <f t="shared" si="6"/>
        <v/>
      </c>
      <c r="Q4011" s="41" t="e">
        <f t="shared" si="7867"/>
        <v>#N/A</v>
      </c>
      <c r="R4011" s="44"/>
      <c r="S4011" s="44"/>
      <c r="T4011" s="43"/>
      <c r="U4011" s="43" t="str">
        <f t="shared" si="8"/>
        <v>No</v>
      </c>
      <c r="V4011" s="25"/>
      <c r="W4011" s="25"/>
      <c r="X4011" s="25"/>
      <c r="Y4011" s="25"/>
      <c r="Z4011" s="25"/>
    </row>
    <row r="4012" spans="1:26" ht="15.75" customHeight="1" x14ac:dyDescent="0.25">
      <c r="A4012" s="25">
        <v>4010</v>
      </c>
      <c r="B4012" s="37" t="e">
        <f t="shared" si="7855"/>
        <v>#N/A</v>
      </c>
      <c r="C4012" s="38" t="e">
        <f t="shared" si="7856"/>
        <v>#N/A</v>
      </c>
      <c r="D4012" s="39" t="e">
        <f t="shared" si="7857"/>
        <v>#N/A</v>
      </c>
      <c r="E4012" s="16" t="e">
        <f t="shared" si="1"/>
        <v>#N/A</v>
      </c>
      <c r="F4012" s="16" t="e">
        <f t="shared" si="7858"/>
        <v>#N/A</v>
      </c>
      <c r="G4012" s="39" t="e">
        <f t="shared" si="7859"/>
        <v>#N/A</v>
      </c>
      <c r="H4012" s="16" t="e">
        <f t="shared" si="7860"/>
        <v>#N/A</v>
      </c>
      <c r="I4012" s="16" t="e">
        <f t="shared" si="7861"/>
        <v>#N/A</v>
      </c>
      <c r="J4012" s="40" t="e">
        <f t="shared" si="7862"/>
        <v>#N/A</v>
      </c>
      <c r="K4012" s="16" t="e">
        <f t="shared" si="7863"/>
        <v>#N/A</v>
      </c>
      <c r="L4012" s="40" t="e">
        <f t="shared" si="7864"/>
        <v>#N/A</v>
      </c>
      <c r="M4012" s="16" t="e">
        <f t="shared" si="7865"/>
        <v>#N/A</v>
      </c>
      <c r="N4012" s="16" t="e">
        <f t="shared" si="7866"/>
        <v>#N/A</v>
      </c>
      <c r="O4012" s="16" t="s">
        <v>77</v>
      </c>
      <c r="P4012" s="16" t="str">
        <f t="shared" si="6"/>
        <v/>
      </c>
      <c r="Q4012" s="41" t="e">
        <f t="shared" si="7867"/>
        <v>#N/A</v>
      </c>
      <c r="R4012" s="44"/>
      <c r="S4012" s="44"/>
      <c r="T4012" s="43"/>
      <c r="U4012" s="43" t="str">
        <f t="shared" si="8"/>
        <v>No</v>
      </c>
      <c r="V4012" s="25"/>
      <c r="W4012" s="25"/>
      <c r="X4012" s="25"/>
      <c r="Y4012" s="25"/>
      <c r="Z4012" s="25"/>
    </row>
    <row r="4013" spans="1:26" ht="15.75" customHeight="1" x14ac:dyDescent="0.25">
      <c r="A4013" s="25">
        <v>4011</v>
      </c>
      <c r="B4013" s="37" t="e">
        <f t="shared" si="7855"/>
        <v>#N/A</v>
      </c>
      <c r="C4013" s="38" t="e">
        <f t="shared" si="7856"/>
        <v>#N/A</v>
      </c>
      <c r="D4013" s="39" t="e">
        <f t="shared" si="7857"/>
        <v>#N/A</v>
      </c>
      <c r="E4013" s="16" t="e">
        <f t="shared" si="1"/>
        <v>#N/A</v>
      </c>
      <c r="F4013" s="16" t="e">
        <f t="shared" si="7858"/>
        <v>#N/A</v>
      </c>
      <c r="G4013" s="39" t="e">
        <f t="shared" si="7859"/>
        <v>#N/A</v>
      </c>
      <c r="H4013" s="16" t="e">
        <f t="shared" si="7860"/>
        <v>#N/A</v>
      </c>
      <c r="I4013" s="16" t="e">
        <f t="shared" si="7861"/>
        <v>#N/A</v>
      </c>
      <c r="J4013" s="40" t="e">
        <f t="shared" si="7862"/>
        <v>#N/A</v>
      </c>
      <c r="K4013" s="16" t="e">
        <f t="shared" si="7863"/>
        <v>#N/A</v>
      </c>
      <c r="L4013" s="40" t="e">
        <f t="shared" si="7864"/>
        <v>#N/A</v>
      </c>
      <c r="M4013" s="16" t="e">
        <f t="shared" si="7865"/>
        <v>#N/A</v>
      </c>
      <c r="N4013" s="16" t="e">
        <f t="shared" si="7866"/>
        <v>#N/A</v>
      </c>
      <c r="O4013" s="16" t="s">
        <v>77</v>
      </c>
      <c r="P4013" s="16" t="str">
        <f t="shared" si="6"/>
        <v/>
      </c>
      <c r="Q4013" s="41" t="e">
        <f t="shared" si="7867"/>
        <v>#N/A</v>
      </c>
      <c r="R4013" s="44"/>
      <c r="S4013" s="44"/>
      <c r="T4013" s="43"/>
      <c r="U4013" s="43" t="str">
        <f t="shared" si="8"/>
        <v>No</v>
      </c>
      <c r="V4013" s="25"/>
      <c r="W4013" s="25"/>
      <c r="X4013" s="25"/>
      <c r="Y4013" s="25"/>
      <c r="Z4013" s="25"/>
    </row>
    <row r="4014" spans="1:26" ht="15.75" customHeight="1" x14ac:dyDescent="0.25">
      <c r="A4014" s="25">
        <v>4012</v>
      </c>
      <c r="B4014" s="37" t="e">
        <f t="shared" si="7855"/>
        <v>#N/A</v>
      </c>
      <c r="C4014" s="38" t="e">
        <f t="shared" si="7856"/>
        <v>#N/A</v>
      </c>
      <c r="D4014" s="39" t="e">
        <f t="shared" si="7857"/>
        <v>#N/A</v>
      </c>
      <c r="E4014" s="16" t="e">
        <f t="shared" si="1"/>
        <v>#N/A</v>
      </c>
      <c r="F4014" s="16" t="e">
        <f t="shared" si="7858"/>
        <v>#N/A</v>
      </c>
      <c r="G4014" s="39" t="e">
        <f t="shared" si="7859"/>
        <v>#N/A</v>
      </c>
      <c r="H4014" s="16" t="e">
        <f t="shared" si="7860"/>
        <v>#N/A</v>
      </c>
      <c r="I4014" s="16" t="e">
        <f t="shared" si="7861"/>
        <v>#N/A</v>
      </c>
      <c r="J4014" s="40" t="e">
        <f t="shared" si="7862"/>
        <v>#N/A</v>
      </c>
      <c r="K4014" s="16" t="e">
        <f t="shared" si="7863"/>
        <v>#N/A</v>
      </c>
      <c r="L4014" s="40" t="e">
        <f t="shared" si="7864"/>
        <v>#N/A</v>
      </c>
      <c r="M4014" s="16" t="e">
        <f t="shared" si="7865"/>
        <v>#N/A</v>
      </c>
      <c r="N4014" s="16" t="e">
        <f t="shared" si="7866"/>
        <v>#N/A</v>
      </c>
      <c r="O4014" s="16" t="s">
        <v>77</v>
      </c>
      <c r="P4014" s="16" t="str">
        <f t="shared" si="6"/>
        <v/>
      </c>
      <c r="Q4014" s="41" t="e">
        <f t="shared" si="7867"/>
        <v>#N/A</v>
      </c>
      <c r="R4014" s="44"/>
      <c r="S4014" s="44"/>
      <c r="T4014" s="43"/>
      <c r="U4014" s="43" t="str">
        <f t="shared" si="8"/>
        <v>No</v>
      </c>
      <c r="V4014" s="25"/>
      <c r="W4014" s="25"/>
      <c r="X4014" s="25"/>
      <c r="Y4014" s="25"/>
      <c r="Z4014" s="25"/>
    </row>
    <row r="4015" spans="1:26" ht="15.75" customHeight="1" x14ac:dyDescent="0.25">
      <c r="A4015" s="25">
        <v>4013</v>
      </c>
      <c r="B4015" s="37" t="e">
        <f t="shared" si="7855"/>
        <v>#N/A</v>
      </c>
      <c r="C4015" s="38" t="e">
        <f t="shared" si="7856"/>
        <v>#N/A</v>
      </c>
      <c r="D4015" s="39" t="e">
        <f t="shared" si="7857"/>
        <v>#N/A</v>
      </c>
      <c r="E4015" s="16" t="e">
        <f t="shared" si="1"/>
        <v>#N/A</v>
      </c>
      <c r="F4015" s="16" t="e">
        <f t="shared" si="7858"/>
        <v>#N/A</v>
      </c>
      <c r="G4015" s="39" t="e">
        <f t="shared" si="7859"/>
        <v>#N/A</v>
      </c>
      <c r="H4015" s="16" t="e">
        <f t="shared" si="7860"/>
        <v>#N/A</v>
      </c>
      <c r="I4015" s="16" t="e">
        <f t="shared" si="7861"/>
        <v>#N/A</v>
      </c>
      <c r="J4015" s="40" t="e">
        <f t="shared" si="7862"/>
        <v>#N/A</v>
      </c>
      <c r="K4015" s="16" t="e">
        <f t="shared" si="7863"/>
        <v>#N/A</v>
      </c>
      <c r="L4015" s="40" t="e">
        <f t="shared" si="7864"/>
        <v>#N/A</v>
      </c>
      <c r="M4015" s="16" t="e">
        <f t="shared" si="7865"/>
        <v>#N/A</v>
      </c>
      <c r="N4015" s="16" t="e">
        <f t="shared" si="7866"/>
        <v>#N/A</v>
      </c>
      <c r="O4015" s="16" t="s">
        <v>77</v>
      </c>
      <c r="P4015" s="16" t="str">
        <f t="shared" si="6"/>
        <v/>
      </c>
      <c r="Q4015" s="41" t="e">
        <f t="shared" si="7867"/>
        <v>#N/A</v>
      </c>
      <c r="R4015" s="44"/>
      <c r="S4015" s="44"/>
      <c r="T4015" s="43"/>
      <c r="U4015" s="43" t="str">
        <f t="shared" si="8"/>
        <v>No</v>
      </c>
      <c r="V4015" s="25"/>
      <c r="W4015" s="25"/>
      <c r="X4015" s="25"/>
      <c r="Y4015" s="25"/>
      <c r="Z4015" s="25"/>
    </row>
    <row r="4016" spans="1:26" ht="15.75" customHeight="1" x14ac:dyDescent="0.25">
      <c r="A4016" s="25">
        <v>4014</v>
      </c>
      <c r="B4016" s="37" t="e">
        <f t="shared" si="7855"/>
        <v>#N/A</v>
      </c>
      <c r="C4016" s="38" t="e">
        <f t="shared" si="7856"/>
        <v>#N/A</v>
      </c>
      <c r="D4016" s="39" t="e">
        <f t="shared" si="7857"/>
        <v>#N/A</v>
      </c>
      <c r="E4016" s="16" t="e">
        <f t="shared" si="1"/>
        <v>#N/A</v>
      </c>
      <c r="F4016" s="16" t="e">
        <f t="shared" si="7858"/>
        <v>#N/A</v>
      </c>
      <c r="G4016" s="39" t="e">
        <f t="shared" si="7859"/>
        <v>#N/A</v>
      </c>
      <c r="H4016" s="16" t="e">
        <f t="shared" si="7860"/>
        <v>#N/A</v>
      </c>
      <c r="I4016" s="16" t="e">
        <f t="shared" si="7861"/>
        <v>#N/A</v>
      </c>
      <c r="J4016" s="40" t="e">
        <f t="shared" si="7862"/>
        <v>#N/A</v>
      </c>
      <c r="K4016" s="16" t="e">
        <f t="shared" si="7863"/>
        <v>#N/A</v>
      </c>
      <c r="L4016" s="40" t="e">
        <f t="shared" si="7864"/>
        <v>#N/A</v>
      </c>
      <c r="M4016" s="16" t="e">
        <f t="shared" si="7865"/>
        <v>#N/A</v>
      </c>
      <c r="N4016" s="16" t="e">
        <f t="shared" si="7866"/>
        <v>#N/A</v>
      </c>
      <c r="O4016" s="16" t="s">
        <v>77</v>
      </c>
      <c r="P4016" s="16" t="str">
        <f t="shared" si="6"/>
        <v/>
      </c>
      <c r="Q4016" s="41" t="e">
        <f t="shared" si="7867"/>
        <v>#N/A</v>
      </c>
      <c r="R4016" s="44"/>
      <c r="S4016" s="44"/>
      <c r="T4016" s="43"/>
      <c r="U4016" s="43" t="str">
        <f t="shared" si="8"/>
        <v>No</v>
      </c>
      <c r="V4016" s="25"/>
      <c r="W4016" s="25"/>
      <c r="X4016" s="25"/>
      <c r="Y4016" s="25"/>
      <c r="Z4016" s="25"/>
    </row>
    <row r="4017" spans="1:26" ht="15.75" customHeight="1" x14ac:dyDescent="0.25">
      <c r="A4017" s="25">
        <v>4015</v>
      </c>
      <c r="B4017" s="37" t="e">
        <f t="shared" si="7855"/>
        <v>#N/A</v>
      </c>
      <c r="C4017" s="38" t="e">
        <f t="shared" si="7856"/>
        <v>#N/A</v>
      </c>
      <c r="D4017" s="39" t="e">
        <f t="shared" si="7857"/>
        <v>#N/A</v>
      </c>
      <c r="E4017" s="16" t="e">
        <f t="shared" si="1"/>
        <v>#N/A</v>
      </c>
      <c r="F4017" s="16" t="e">
        <f t="shared" si="7858"/>
        <v>#N/A</v>
      </c>
      <c r="G4017" s="39" t="e">
        <f t="shared" si="7859"/>
        <v>#N/A</v>
      </c>
      <c r="H4017" s="16" t="e">
        <f t="shared" si="7860"/>
        <v>#N/A</v>
      </c>
      <c r="I4017" s="16" t="e">
        <f t="shared" si="7861"/>
        <v>#N/A</v>
      </c>
      <c r="J4017" s="40" t="e">
        <f t="shared" si="7862"/>
        <v>#N/A</v>
      </c>
      <c r="K4017" s="16" t="e">
        <f t="shared" si="7863"/>
        <v>#N/A</v>
      </c>
      <c r="L4017" s="40" t="e">
        <f t="shared" si="7864"/>
        <v>#N/A</v>
      </c>
      <c r="M4017" s="16" t="e">
        <f t="shared" si="7865"/>
        <v>#N/A</v>
      </c>
      <c r="N4017" s="16" t="e">
        <f t="shared" si="7866"/>
        <v>#N/A</v>
      </c>
      <c r="O4017" s="16" t="s">
        <v>77</v>
      </c>
      <c r="P4017" s="16" t="str">
        <f t="shared" si="6"/>
        <v/>
      </c>
      <c r="Q4017" s="41" t="e">
        <f t="shared" si="7867"/>
        <v>#N/A</v>
      </c>
      <c r="R4017" s="44"/>
      <c r="S4017" s="44"/>
      <c r="T4017" s="43"/>
      <c r="U4017" s="43" t="str">
        <f t="shared" si="8"/>
        <v>No</v>
      </c>
      <c r="V4017" s="25"/>
      <c r="W4017" s="25"/>
      <c r="X4017" s="25"/>
      <c r="Y4017" s="25"/>
      <c r="Z4017" s="25"/>
    </row>
    <row r="4018" spans="1:26" ht="15.75" customHeight="1" x14ac:dyDescent="0.25">
      <c r="A4018" s="25">
        <v>4016</v>
      </c>
      <c r="B4018" s="37" t="e">
        <f t="shared" si="7855"/>
        <v>#N/A</v>
      </c>
      <c r="C4018" s="38" t="e">
        <f t="shared" si="7856"/>
        <v>#N/A</v>
      </c>
      <c r="D4018" s="39" t="e">
        <f t="shared" si="7857"/>
        <v>#N/A</v>
      </c>
      <c r="E4018" s="16" t="e">
        <f t="shared" si="1"/>
        <v>#N/A</v>
      </c>
      <c r="F4018" s="16" t="e">
        <f t="shared" si="7858"/>
        <v>#N/A</v>
      </c>
      <c r="G4018" s="39" t="e">
        <f t="shared" si="7859"/>
        <v>#N/A</v>
      </c>
      <c r="H4018" s="16" t="e">
        <f t="shared" si="7860"/>
        <v>#N/A</v>
      </c>
      <c r="I4018" s="16" t="e">
        <f t="shared" si="7861"/>
        <v>#N/A</v>
      </c>
      <c r="J4018" s="40" t="e">
        <f t="shared" si="7862"/>
        <v>#N/A</v>
      </c>
      <c r="K4018" s="16" t="e">
        <f t="shared" si="7863"/>
        <v>#N/A</v>
      </c>
      <c r="L4018" s="40" t="e">
        <f t="shared" si="7864"/>
        <v>#N/A</v>
      </c>
      <c r="M4018" s="16" t="e">
        <f t="shared" si="7865"/>
        <v>#N/A</v>
      </c>
      <c r="N4018" s="16" t="e">
        <f t="shared" si="7866"/>
        <v>#N/A</v>
      </c>
      <c r="O4018" s="16" t="s">
        <v>77</v>
      </c>
      <c r="P4018" s="16" t="str">
        <f t="shared" si="6"/>
        <v/>
      </c>
      <c r="Q4018" s="41" t="e">
        <f t="shared" si="7867"/>
        <v>#N/A</v>
      </c>
      <c r="R4018" s="44"/>
      <c r="S4018" s="44"/>
      <c r="T4018" s="43"/>
      <c r="U4018" s="43" t="str">
        <f t="shared" si="8"/>
        <v>No</v>
      </c>
      <c r="V4018" s="25"/>
      <c r="W4018" s="25"/>
      <c r="X4018" s="25"/>
      <c r="Y4018" s="25"/>
      <c r="Z4018" s="25"/>
    </row>
    <row r="4019" spans="1:26" ht="15.75" customHeight="1" x14ac:dyDescent="0.25">
      <c r="A4019" s="25">
        <v>4017</v>
      </c>
      <c r="B4019" s="37" t="e">
        <f t="shared" si="7855"/>
        <v>#N/A</v>
      </c>
      <c r="C4019" s="38" t="e">
        <f t="shared" si="7856"/>
        <v>#N/A</v>
      </c>
      <c r="D4019" s="39" t="e">
        <f t="shared" si="7857"/>
        <v>#N/A</v>
      </c>
      <c r="E4019" s="16" t="e">
        <f t="shared" si="1"/>
        <v>#N/A</v>
      </c>
      <c r="F4019" s="16" t="e">
        <f t="shared" si="7858"/>
        <v>#N/A</v>
      </c>
      <c r="G4019" s="39" t="e">
        <f t="shared" si="7859"/>
        <v>#N/A</v>
      </c>
      <c r="H4019" s="16" t="e">
        <f t="shared" si="7860"/>
        <v>#N/A</v>
      </c>
      <c r="I4019" s="16" t="e">
        <f t="shared" si="7861"/>
        <v>#N/A</v>
      </c>
      <c r="J4019" s="40" t="e">
        <f t="shared" si="7862"/>
        <v>#N/A</v>
      </c>
      <c r="K4019" s="16" t="e">
        <f t="shared" si="7863"/>
        <v>#N/A</v>
      </c>
      <c r="L4019" s="40" t="e">
        <f t="shared" si="7864"/>
        <v>#N/A</v>
      </c>
      <c r="M4019" s="16" t="e">
        <f t="shared" si="7865"/>
        <v>#N/A</v>
      </c>
      <c r="N4019" s="16" t="e">
        <f t="shared" si="7866"/>
        <v>#N/A</v>
      </c>
      <c r="O4019" s="16" t="s">
        <v>77</v>
      </c>
      <c r="P4019" s="16" t="str">
        <f t="shared" si="6"/>
        <v/>
      </c>
      <c r="Q4019" s="41" t="e">
        <f t="shared" si="7867"/>
        <v>#N/A</v>
      </c>
      <c r="R4019" s="44"/>
      <c r="S4019" s="44"/>
      <c r="T4019" s="43"/>
      <c r="U4019" s="43" t="str">
        <f t="shared" si="8"/>
        <v>No</v>
      </c>
      <c r="V4019" s="25"/>
      <c r="W4019" s="25"/>
      <c r="X4019" s="25"/>
      <c r="Y4019" s="25"/>
      <c r="Z4019" s="25"/>
    </row>
    <row r="4020" spans="1:26" ht="15.75" customHeight="1" x14ac:dyDescent="0.25">
      <c r="A4020" s="25">
        <v>4018</v>
      </c>
      <c r="B4020" s="37" t="e">
        <f t="shared" si="7855"/>
        <v>#N/A</v>
      </c>
      <c r="C4020" s="38" t="e">
        <f t="shared" si="7856"/>
        <v>#N/A</v>
      </c>
      <c r="D4020" s="39" t="e">
        <f t="shared" si="7857"/>
        <v>#N/A</v>
      </c>
      <c r="E4020" s="16" t="e">
        <f t="shared" si="1"/>
        <v>#N/A</v>
      </c>
      <c r="F4020" s="16" t="e">
        <f t="shared" si="7858"/>
        <v>#N/A</v>
      </c>
      <c r="G4020" s="39" t="e">
        <f t="shared" si="7859"/>
        <v>#N/A</v>
      </c>
      <c r="H4020" s="16" t="e">
        <f t="shared" si="7860"/>
        <v>#N/A</v>
      </c>
      <c r="I4020" s="16" t="e">
        <f t="shared" si="7861"/>
        <v>#N/A</v>
      </c>
      <c r="J4020" s="40" t="e">
        <f t="shared" si="7862"/>
        <v>#N/A</v>
      </c>
      <c r="K4020" s="16" t="e">
        <f t="shared" si="7863"/>
        <v>#N/A</v>
      </c>
      <c r="L4020" s="40" t="e">
        <f t="shared" si="7864"/>
        <v>#N/A</v>
      </c>
      <c r="M4020" s="16" t="e">
        <f t="shared" si="7865"/>
        <v>#N/A</v>
      </c>
      <c r="N4020" s="16" t="e">
        <f t="shared" si="7866"/>
        <v>#N/A</v>
      </c>
      <c r="O4020" s="16" t="s">
        <v>77</v>
      </c>
      <c r="P4020" s="16" t="str">
        <f t="shared" si="6"/>
        <v/>
      </c>
      <c r="Q4020" s="41" t="e">
        <f t="shared" si="7867"/>
        <v>#N/A</v>
      </c>
      <c r="R4020" s="44"/>
      <c r="S4020" s="44"/>
      <c r="T4020" s="43"/>
      <c r="U4020" s="43" t="str">
        <f t="shared" si="8"/>
        <v>No</v>
      </c>
      <c r="V4020" s="25"/>
      <c r="W4020" s="25"/>
      <c r="X4020" s="25"/>
      <c r="Y4020" s="25"/>
      <c r="Z4020" s="25"/>
    </row>
    <row r="4021" spans="1:26" ht="15.75" customHeight="1" x14ac:dyDescent="0.25">
      <c r="A4021" s="25">
        <v>4019</v>
      </c>
      <c r="B4021" s="37" t="e">
        <f t="shared" si="7855"/>
        <v>#N/A</v>
      </c>
      <c r="C4021" s="38" t="e">
        <f t="shared" si="7856"/>
        <v>#N/A</v>
      </c>
      <c r="D4021" s="39" t="e">
        <f t="shared" si="7857"/>
        <v>#N/A</v>
      </c>
      <c r="E4021" s="16" t="e">
        <f t="shared" si="1"/>
        <v>#N/A</v>
      </c>
      <c r="F4021" s="16" t="e">
        <f t="shared" si="7858"/>
        <v>#N/A</v>
      </c>
      <c r="G4021" s="39" t="e">
        <f t="shared" si="7859"/>
        <v>#N/A</v>
      </c>
      <c r="H4021" s="16" t="e">
        <f t="shared" si="7860"/>
        <v>#N/A</v>
      </c>
      <c r="I4021" s="16" t="e">
        <f t="shared" si="7861"/>
        <v>#N/A</v>
      </c>
      <c r="J4021" s="40" t="e">
        <f t="shared" si="7862"/>
        <v>#N/A</v>
      </c>
      <c r="K4021" s="16" t="e">
        <f t="shared" si="7863"/>
        <v>#N/A</v>
      </c>
      <c r="L4021" s="40" t="e">
        <f t="shared" si="7864"/>
        <v>#N/A</v>
      </c>
      <c r="M4021" s="16" t="e">
        <f t="shared" si="7865"/>
        <v>#N/A</v>
      </c>
      <c r="N4021" s="16" t="e">
        <f t="shared" si="7866"/>
        <v>#N/A</v>
      </c>
      <c r="O4021" s="16" t="s">
        <v>77</v>
      </c>
      <c r="P4021" s="16" t="str">
        <f t="shared" si="6"/>
        <v/>
      </c>
      <c r="Q4021" s="41" t="e">
        <f t="shared" si="7867"/>
        <v>#N/A</v>
      </c>
      <c r="R4021" s="44"/>
      <c r="S4021" s="44"/>
      <c r="T4021" s="43"/>
      <c r="U4021" s="43" t="str">
        <f t="shared" si="8"/>
        <v>No</v>
      </c>
      <c r="V4021" s="25"/>
      <c r="W4021" s="25"/>
      <c r="X4021" s="25"/>
      <c r="Y4021" s="25"/>
      <c r="Z4021" s="25"/>
    </row>
    <row r="4022" spans="1:26" ht="15.75" customHeight="1" x14ac:dyDescent="0.25">
      <c r="A4022" s="25">
        <v>4020</v>
      </c>
      <c r="B4022" s="37" t="e">
        <f t="shared" si="7855"/>
        <v>#N/A</v>
      </c>
      <c r="C4022" s="38" t="e">
        <f t="shared" si="7856"/>
        <v>#N/A</v>
      </c>
      <c r="D4022" s="39" t="e">
        <f t="shared" si="7857"/>
        <v>#N/A</v>
      </c>
      <c r="E4022" s="16" t="e">
        <f t="shared" si="1"/>
        <v>#N/A</v>
      </c>
      <c r="F4022" s="16" t="e">
        <f t="shared" si="7858"/>
        <v>#N/A</v>
      </c>
      <c r="G4022" s="39" t="e">
        <f t="shared" si="7859"/>
        <v>#N/A</v>
      </c>
      <c r="H4022" s="16" t="e">
        <f t="shared" si="7860"/>
        <v>#N/A</v>
      </c>
      <c r="I4022" s="16" t="e">
        <f t="shared" si="7861"/>
        <v>#N/A</v>
      </c>
      <c r="J4022" s="40" t="e">
        <f t="shared" si="7862"/>
        <v>#N/A</v>
      </c>
      <c r="K4022" s="16" t="e">
        <f t="shared" si="7863"/>
        <v>#N/A</v>
      </c>
      <c r="L4022" s="40" t="e">
        <f t="shared" si="7864"/>
        <v>#N/A</v>
      </c>
      <c r="M4022" s="16" t="e">
        <f t="shared" si="7865"/>
        <v>#N/A</v>
      </c>
      <c r="N4022" s="16" t="e">
        <f t="shared" si="7866"/>
        <v>#N/A</v>
      </c>
      <c r="O4022" s="16" t="s">
        <v>77</v>
      </c>
      <c r="P4022" s="16" t="str">
        <f t="shared" si="6"/>
        <v/>
      </c>
      <c r="Q4022" s="41" t="e">
        <f t="shared" si="7867"/>
        <v>#N/A</v>
      </c>
      <c r="R4022" s="44"/>
      <c r="S4022" s="44"/>
      <c r="T4022" s="43"/>
      <c r="U4022" s="43" t="str">
        <f t="shared" si="8"/>
        <v>No</v>
      </c>
      <c r="V4022" s="25"/>
      <c r="W4022" s="25"/>
      <c r="X4022" s="25"/>
      <c r="Y4022" s="25"/>
      <c r="Z4022" s="25"/>
    </row>
    <row r="4023" spans="1:26" ht="15.75" customHeight="1" x14ac:dyDescent="0.25">
      <c r="A4023" s="25">
        <v>4021</v>
      </c>
      <c r="B4023" s="37" t="e">
        <f t="shared" si="7855"/>
        <v>#N/A</v>
      </c>
      <c r="C4023" s="38" t="e">
        <f t="shared" si="7856"/>
        <v>#N/A</v>
      </c>
      <c r="D4023" s="39" t="e">
        <f t="shared" si="7857"/>
        <v>#N/A</v>
      </c>
      <c r="E4023" s="16" t="e">
        <f t="shared" si="1"/>
        <v>#N/A</v>
      </c>
      <c r="F4023" s="16" t="e">
        <f t="shared" si="7858"/>
        <v>#N/A</v>
      </c>
      <c r="G4023" s="39" t="e">
        <f t="shared" si="7859"/>
        <v>#N/A</v>
      </c>
      <c r="H4023" s="16" t="e">
        <f t="shared" si="7860"/>
        <v>#N/A</v>
      </c>
      <c r="I4023" s="16" t="e">
        <f t="shared" si="7861"/>
        <v>#N/A</v>
      </c>
      <c r="J4023" s="40" t="e">
        <f t="shared" si="7862"/>
        <v>#N/A</v>
      </c>
      <c r="K4023" s="16" t="e">
        <f t="shared" si="7863"/>
        <v>#N/A</v>
      </c>
      <c r="L4023" s="40" t="e">
        <f t="shared" si="7864"/>
        <v>#N/A</v>
      </c>
      <c r="M4023" s="16" t="e">
        <f t="shared" si="7865"/>
        <v>#N/A</v>
      </c>
      <c r="N4023" s="16" t="e">
        <f t="shared" si="7866"/>
        <v>#N/A</v>
      </c>
      <c r="O4023" s="16" t="s">
        <v>77</v>
      </c>
      <c r="P4023" s="16" t="str">
        <f t="shared" si="6"/>
        <v/>
      </c>
      <c r="Q4023" s="41" t="e">
        <f t="shared" si="7867"/>
        <v>#N/A</v>
      </c>
      <c r="R4023" s="44"/>
      <c r="S4023" s="44"/>
      <c r="T4023" s="43"/>
      <c r="U4023" s="43" t="str">
        <f t="shared" si="8"/>
        <v>No</v>
      </c>
      <c r="V4023" s="25"/>
      <c r="W4023" s="25"/>
      <c r="X4023" s="25"/>
      <c r="Y4023" s="25"/>
      <c r="Z4023" s="25"/>
    </row>
    <row r="4024" spans="1:26" ht="15.75" customHeight="1" x14ac:dyDescent="0.25">
      <c r="A4024" s="25">
        <v>4022</v>
      </c>
      <c r="B4024" s="37" t="e">
        <f t="shared" si="7855"/>
        <v>#N/A</v>
      </c>
      <c r="C4024" s="38" t="e">
        <f t="shared" si="7856"/>
        <v>#N/A</v>
      </c>
      <c r="D4024" s="39" t="e">
        <f t="shared" si="7857"/>
        <v>#N/A</v>
      </c>
      <c r="E4024" s="16" t="e">
        <f t="shared" si="1"/>
        <v>#N/A</v>
      </c>
      <c r="F4024" s="16" t="e">
        <f t="shared" si="7858"/>
        <v>#N/A</v>
      </c>
      <c r="G4024" s="39" t="e">
        <f t="shared" si="7859"/>
        <v>#N/A</v>
      </c>
      <c r="H4024" s="16" t="e">
        <f t="shared" si="7860"/>
        <v>#N/A</v>
      </c>
      <c r="I4024" s="16" t="e">
        <f t="shared" si="7861"/>
        <v>#N/A</v>
      </c>
      <c r="J4024" s="40" t="e">
        <f t="shared" si="7862"/>
        <v>#N/A</v>
      </c>
      <c r="K4024" s="16" t="e">
        <f t="shared" si="7863"/>
        <v>#N/A</v>
      </c>
      <c r="L4024" s="40" t="e">
        <f t="shared" si="7864"/>
        <v>#N/A</v>
      </c>
      <c r="M4024" s="16" t="e">
        <f t="shared" si="7865"/>
        <v>#N/A</v>
      </c>
      <c r="N4024" s="16" t="e">
        <f t="shared" si="7866"/>
        <v>#N/A</v>
      </c>
      <c r="O4024" s="16" t="s">
        <v>77</v>
      </c>
      <c r="P4024" s="16" t="str">
        <f t="shared" si="6"/>
        <v/>
      </c>
      <c r="Q4024" s="41" t="e">
        <f t="shared" si="7867"/>
        <v>#N/A</v>
      </c>
      <c r="R4024" s="44"/>
      <c r="S4024" s="44"/>
      <c r="T4024" s="43"/>
      <c r="U4024" s="43" t="str">
        <f t="shared" si="8"/>
        <v>No</v>
      </c>
      <c r="V4024" s="25"/>
      <c r="W4024" s="25"/>
      <c r="X4024" s="25"/>
      <c r="Y4024" s="25"/>
      <c r="Z4024" s="25"/>
    </row>
    <row r="4025" spans="1:26" ht="15.75" customHeight="1" x14ac:dyDescent="0.25">
      <c r="A4025" s="25">
        <v>4023</v>
      </c>
      <c r="B4025" s="37" t="e">
        <f t="shared" si="7855"/>
        <v>#N/A</v>
      </c>
      <c r="C4025" s="38" t="e">
        <f t="shared" si="7856"/>
        <v>#N/A</v>
      </c>
      <c r="D4025" s="39" t="e">
        <f t="shared" si="7857"/>
        <v>#N/A</v>
      </c>
      <c r="E4025" s="16" t="e">
        <f t="shared" si="1"/>
        <v>#N/A</v>
      </c>
      <c r="F4025" s="16" t="e">
        <f t="shared" si="7858"/>
        <v>#N/A</v>
      </c>
      <c r="G4025" s="39" t="e">
        <f t="shared" si="7859"/>
        <v>#N/A</v>
      </c>
      <c r="H4025" s="16" t="e">
        <f t="shared" si="7860"/>
        <v>#N/A</v>
      </c>
      <c r="I4025" s="16" t="e">
        <f t="shared" si="7861"/>
        <v>#N/A</v>
      </c>
      <c r="J4025" s="40" t="e">
        <f t="shared" si="7862"/>
        <v>#N/A</v>
      </c>
      <c r="K4025" s="16" t="e">
        <f t="shared" si="7863"/>
        <v>#N/A</v>
      </c>
      <c r="L4025" s="40" t="e">
        <f t="shared" si="7864"/>
        <v>#N/A</v>
      </c>
      <c r="M4025" s="16" t="e">
        <f t="shared" si="7865"/>
        <v>#N/A</v>
      </c>
      <c r="N4025" s="16" t="e">
        <f t="shared" si="7866"/>
        <v>#N/A</v>
      </c>
      <c r="O4025" s="16" t="s">
        <v>77</v>
      </c>
      <c r="P4025" s="16" t="str">
        <f t="shared" si="6"/>
        <v/>
      </c>
      <c r="Q4025" s="41" t="e">
        <f t="shared" si="7867"/>
        <v>#N/A</v>
      </c>
      <c r="R4025" s="44"/>
      <c r="S4025" s="44"/>
      <c r="T4025" s="43"/>
      <c r="U4025" s="43" t="str">
        <f t="shared" si="8"/>
        <v>No</v>
      </c>
      <c r="V4025" s="25"/>
      <c r="W4025" s="25"/>
      <c r="X4025" s="25"/>
      <c r="Y4025" s="25"/>
      <c r="Z4025" s="25"/>
    </row>
    <row r="4026" spans="1:26" ht="15.75" customHeight="1" x14ac:dyDescent="0.25">
      <c r="A4026" s="25">
        <v>4024</v>
      </c>
      <c r="B4026" s="37" t="e">
        <f t="shared" si="7855"/>
        <v>#N/A</v>
      </c>
      <c r="C4026" s="38" t="e">
        <f t="shared" si="7856"/>
        <v>#N/A</v>
      </c>
      <c r="D4026" s="39" t="e">
        <f t="shared" si="7857"/>
        <v>#N/A</v>
      </c>
      <c r="E4026" s="16" t="e">
        <f t="shared" si="1"/>
        <v>#N/A</v>
      </c>
      <c r="F4026" s="16" t="e">
        <f t="shared" si="7858"/>
        <v>#N/A</v>
      </c>
      <c r="G4026" s="39" t="e">
        <f t="shared" si="7859"/>
        <v>#N/A</v>
      </c>
      <c r="H4026" s="16" t="e">
        <f t="shared" si="7860"/>
        <v>#N/A</v>
      </c>
      <c r="I4026" s="16" t="e">
        <f t="shared" si="7861"/>
        <v>#N/A</v>
      </c>
      <c r="J4026" s="40" t="e">
        <f t="shared" si="7862"/>
        <v>#N/A</v>
      </c>
      <c r="K4026" s="16" t="e">
        <f t="shared" si="7863"/>
        <v>#N/A</v>
      </c>
      <c r="L4026" s="40" t="e">
        <f t="shared" si="7864"/>
        <v>#N/A</v>
      </c>
      <c r="M4026" s="16" t="e">
        <f t="shared" si="7865"/>
        <v>#N/A</v>
      </c>
      <c r="N4026" s="16" t="e">
        <f t="shared" si="7866"/>
        <v>#N/A</v>
      </c>
      <c r="O4026" s="16" t="s">
        <v>77</v>
      </c>
      <c r="P4026" s="16" t="str">
        <f t="shared" si="6"/>
        <v/>
      </c>
      <c r="Q4026" s="41" t="e">
        <f t="shared" si="7867"/>
        <v>#N/A</v>
      </c>
      <c r="R4026" s="44"/>
      <c r="S4026" s="44"/>
      <c r="T4026" s="43"/>
      <c r="U4026" s="43" t="str">
        <f t="shared" si="8"/>
        <v>No</v>
      </c>
      <c r="V4026" s="25"/>
      <c r="W4026" s="25"/>
      <c r="X4026" s="25"/>
      <c r="Y4026" s="25"/>
      <c r="Z4026" s="25"/>
    </row>
    <row r="4027" spans="1:26" ht="15.75" customHeight="1" x14ac:dyDescent="0.25">
      <c r="A4027" s="25">
        <v>4025</v>
      </c>
      <c r="B4027" s="37" t="e">
        <f t="shared" si="7855"/>
        <v>#N/A</v>
      </c>
      <c r="C4027" s="38" t="e">
        <f t="shared" si="7856"/>
        <v>#N/A</v>
      </c>
      <c r="D4027" s="39" t="e">
        <f t="shared" si="7857"/>
        <v>#N/A</v>
      </c>
      <c r="E4027" s="16" t="e">
        <f t="shared" si="1"/>
        <v>#N/A</v>
      </c>
      <c r="F4027" s="16" t="e">
        <f t="shared" si="7858"/>
        <v>#N/A</v>
      </c>
      <c r="G4027" s="39" t="e">
        <f t="shared" si="7859"/>
        <v>#N/A</v>
      </c>
      <c r="H4027" s="16" t="e">
        <f t="shared" si="7860"/>
        <v>#N/A</v>
      </c>
      <c r="I4027" s="16" t="e">
        <f t="shared" si="7861"/>
        <v>#N/A</v>
      </c>
      <c r="J4027" s="40" t="e">
        <f t="shared" si="7862"/>
        <v>#N/A</v>
      </c>
      <c r="K4027" s="16" t="e">
        <f t="shared" si="7863"/>
        <v>#N/A</v>
      </c>
      <c r="L4027" s="40" t="e">
        <f t="shared" si="7864"/>
        <v>#N/A</v>
      </c>
      <c r="M4027" s="16" t="e">
        <f t="shared" si="7865"/>
        <v>#N/A</v>
      </c>
      <c r="N4027" s="16" t="e">
        <f t="shared" si="7866"/>
        <v>#N/A</v>
      </c>
      <c r="O4027" s="16" t="s">
        <v>77</v>
      </c>
      <c r="P4027" s="16" t="str">
        <f t="shared" si="6"/>
        <v/>
      </c>
      <c r="Q4027" s="41" t="e">
        <f t="shared" si="7867"/>
        <v>#N/A</v>
      </c>
      <c r="R4027" s="44"/>
      <c r="S4027" s="44"/>
      <c r="T4027" s="43"/>
      <c r="U4027" s="43" t="str">
        <f t="shared" si="8"/>
        <v>No</v>
      </c>
      <c r="V4027" s="25"/>
      <c r="W4027" s="25"/>
      <c r="X4027" s="25"/>
      <c r="Y4027" s="25"/>
      <c r="Z4027" s="25"/>
    </row>
    <row r="4028" spans="1:26" ht="15.75" customHeight="1" x14ac:dyDescent="0.25">
      <c r="A4028" s="25">
        <v>4026</v>
      </c>
      <c r="B4028" s="37" t="e">
        <f t="shared" si="7855"/>
        <v>#N/A</v>
      </c>
      <c r="C4028" s="38" t="e">
        <f t="shared" si="7856"/>
        <v>#N/A</v>
      </c>
      <c r="D4028" s="39" t="e">
        <f t="shared" si="7857"/>
        <v>#N/A</v>
      </c>
      <c r="E4028" s="16" t="e">
        <f t="shared" si="1"/>
        <v>#N/A</v>
      </c>
      <c r="F4028" s="16" t="e">
        <f t="shared" si="7858"/>
        <v>#N/A</v>
      </c>
      <c r="G4028" s="39" t="e">
        <f t="shared" si="7859"/>
        <v>#N/A</v>
      </c>
      <c r="H4028" s="16" t="e">
        <f t="shared" si="7860"/>
        <v>#N/A</v>
      </c>
      <c r="I4028" s="16" t="e">
        <f t="shared" si="7861"/>
        <v>#N/A</v>
      </c>
      <c r="J4028" s="40" t="e">
        <f t="shared" si="7862"/>
        <v>#N/A</v>
      </c>
      <c r="K4028" s="16" t="e">
        <f t="shared" si="7863"/>
        <v>#N/A</v>
      </c>
      <c r="L4028" s="40" t="e">
        <f t="shared" si="7864"/>
        <v>#N/A</v>
      </c>
      <c r="M4028" s="16" t="e">
        <f t="shared" si="7865"/>
        <v>#N/A</v>
      </c>
      <c r="N4028" s="16" t="e">
        <f t="shared" si="7866"/>
        <v>#N/A</v>
      </c>
      <c r="O4028" s="16" t="s">
        <v>77</v>
      </c>
      <c r="P4028" s="16" t="str">
        <f t="shared" si="6"/>
        <v/>
      </c>
      <c r="Q4028" s="41" t="e">
        <f t="shared" si="7867"/>
        <v>#N/A</v>
      </c>
      <c r="R4028" s="44"/>
      <c r="S4028" s="44"/>
      <c r="T4028" s="43"/>
      <c r="U4028" s="43" t="str">
        <f t="shared" si="8"/>
        <v>No</v>
      </c>
      <c r="V4028" s="25"/>
      <c r="W4028" s="25"/>
      <c r="X4028" s="25"/>
      <c r="Y4028" s="25"/>
      <c r="Z4028" s="25"/>
    </row>
    <row r="4029" spans="1:26" ht="15.75" customHeight="1" x14ac:dyDescent="0.25">
      <c r="A4029" s="25">
        <v>4027</v>
      </c>
      <c r="B4029" s="37" t="e">
        <f t="shared" si="7855"/>
        <v>#N/A</v>
      </c>
      <c r="C4029" s="38" t="e">
        <f t="shared" si="7856"/>
        <v>#N/A</v>
      </c>
      <c r="D4029" s="39" t="e">
        <f t="shared" si="7857"/>
        <v>#N/A</v>
      </c>
      <c r="E4029" s="16" t="e">
        <f t="shared" si="1"/>
        <v>#N/A</v>
      </c>
      <c r="F4029" s="16" t="e">
        <f t="shared" si="7858"/>
        <v>#N/A</v>
      </c>
      <c r="G4029" s="39" t="e">
        <f t="shared" si="7859"/>
        <v>#N/A</v>
      </c>
      <c r="H4029" s="16" t="e">
        <f t="shared" si="7860"/>
        <v>#N/A</v>
      </c>
      <c r="I4029" s="16" t="e">
        <f t="shared" si="7861"/>
        <v>#N/A</v>
      </c>
      <c r="J4029" s="40" t="e">
        <f t="shared" si="7862"/>
        <v>#N/A</v>
      </c>
      <c r="K4029" s="16" t="e">
        <f t="shared" si="7863"/>
        <v>#N/A</v>
      </c>
      <c r="L4029" s="40" t="e">
        <f t="shared" si="7864"/>
        <v>#N/A</v>
      </c>
      <c r="M4029" s="16" t="e">
        <f t="shared" si="7865"/>
        <v>#N/A</v>
      </c>
      <c r="N4029" s="16" t="e">
        <f t="shared" si="7866"/>
        <v>#N/A</v>
      </c>
      <c r="O4029" s="16" t="s">
        <v>77</v>
      </c>
      <c r="P4029" s="16" t="str">
        <f t="shared" si="6"/>
        <v/>
      </c>
      <c r="Q4029" s="41" t="e">
        <f t="shared" si="7867"/>
        <v>#N/A</v>
      </c>
      <c r="R4029" s="44"/>
      <c r="S4029" s="44"/>
      <c r="T4029" s="43"/>
      <c r="U4029" s="43" t="str">
        <f t="shared" si="8"/>
        <v>No</v>
      </c>
      <c r="V4029" s="25"/>
      <c r="W4029" s="25"/>
      <c r="X4029" s="25"/>
      <c r="Y4029" s="25"/>
      <c r="Z4029" s="25"/>
    </row>
    <row r="4030" spans="1:26" ht="15.75" customHeight="1" x14ac:dyDescent="0.25">
      <c r="A4030" s="25">
        <v>4028</v>
      </c>
      <c r="B4030" s="37" t="e">
        <f t="shared" si="7855"/>
        <v>#N/A</v>
      </c>
      <c r="C4030" s="38" t="e">
        <f t="shared" si="7856"/>
        <v>#N/A</v>
      </c>
      <c r="D4030" s="39" t="e">
        <f t="shared" si="7857"/>
        <v>#N/A</v>
      </c>
      <c r="E4030" s="16" t="e">
        <f t="shared" si="1"/>
        <v>#N/A</v>
      </c>
      <c r="F4030" s="16" t="e">
        <f t="shared" si="7858"/>
        <v>#N/A</v>
      </c>
      <c r="G4030" s="39" t="e">
        <f t="shared" si="7859"/>
        <v>#N/A</v>
      </c>
      <c r="H4030" s="16" t="e">
        <f t="shared" si="7860"/>
        <v>#N/A</v>
      </c>
      <c r="I4030" s="16" t="e">
        <f t="shared" si="7861"/>
        <v>#N/A</v>
      </c>
      <c r="J4030" s="40" t="e">
        <f t="shared" si="7862"/>
        <v>#N/A</v>
      </c>
      <c r="K4030" s="16" t="e">
        <f t="shared" si="7863"/>
        <v>#N/A</v>
      </c>
      <c r="L4030" s="40" t="e">
        <f t="shared" si="7864"/>
        <v>#N/A</v>
      </c>
      <c r="M4030" s="16" t="e">
        <f t="shared" si="7865"/>
        <v>#N/A</v>
      </c>
      <c r="N4030" s="16" t="e">
        <f t="shared" si="7866"/>
        <v>#N/A</v>
      </c>
      <c r="O4030" s="16" t="s">
        <v>77</v>
      </c>
      <c r="P4030" s="16" t="str">
        <f t="shared" si="6"/>
        <v/>
      </c>
      <c r="Q4030" s="41" t="e">
        <f t="shared" si="7867"/>
        <v>#N/A</v>
      </c>
      <c r="R4030" s="44"/>
      <c r="S4030" s="44"/>
      <c r="T4030" s="43"/>
      <c r="U4030" s="43" t="str">
        <f t="shared" si="8"/>
        <v>No</v>
      </c>
      <c r="V4030" s="25"/>
      <c r="W4030" s="25"/>
      <c r="X4030" s="25"/>
      <c r="Y4030" s="25"/>
      <c r="Z4030" s="25"/>
    </row>
    <row r="4031" spans="1:26" ht="15.75" customHeight="1" x14ac:dyDescent="0.25">
      <c r="A4031" s="25">
        <v>4029</v>
      </c>
      <c r="B4031" s="37" t="e">
        <f t="shared" si="7855"/>
        <v>#N/A</v>
      </c>
      <c r="C4031" s="38" t="e">
        <f t="shared" si="7856"/>
        <v>#N/A</v>
      </c>
      <c r="D4031" s="39" t="e">
        <f t="shared" si="7857"/>
        <v>#N/A</v>
      </c>
      <c r="E4031" s="16" t="e">
        <f t="shared" si="1"/>
        <v>#N/A</v>
      </c>
      <c r="F4031" s="16" t="e">
        <f t="shared" si="7858"/>
        <v>#N/A</v>
      </c>
      <c r="G4031" s="39" t="e">
        <f t="shared" si="7859"/>
        <v>#N/A</v>
      </c>
      <c r="H4031" s="16" t="e">
        <f t="shared" si="7860"/>
        <v>#N/A</v>
      </c>
      <c r="I4031" s="16" t="e">
        <f t="shared" si="7861"/>
        <v>#N/A</v>
      </c>
      <c r="J4031" s="40" t="e">
        <f t="shared" si="7862"/>
        <v>#N/A</v>
      </c>
      <c r="K4031" s="16" t="e">
        <f t="shared" si="7863"/>
        <v>#N/A</v>
      </c>
      <c r="L4031" s="40" t="e">
        <f t="shared" si="7864"/>
        <v>#N/A</v>
      </c>
      <c r="M4031" s="16" t="e">
        <f t="shared" si="7865"/>
        <v>#N/A</v>
      </c>
      <c r="N4031" s="16" t="e">
        <f t="shared" si="7866"/>
        <v>#N/A</v>
      </c>
      <c r="O4031" s="16" t="s">
        <v>77</v>
      </c>
      <c r="P4031" s="16" t="str">
        <f t="shared" si="6"/>
        <v/>
      </c>
      <c r="Q4031" s="41" t="e">
        <f t="shared" si="7867"/>
        <v>#N/A</v>
      </c>
      <c r="R4031" s="44"/>
      <c r="S4031" s="44"/>
      <c r="T4031" s="43"/>
      <c r="U4031" s="43" t="str">
        <f t="shared" si="8"/>
        <v>No</v>
      </c>
      <c r="V4031" s="25"/>
      <c r="W4031" s="25"/>
      <c r="X4031" s="25"/>
      <c r="Y4031" s="25"/>
      <c r="Z4031" s="25"/>
    </row>
    <row r="4032" spans="1:26" ht="15.75" customHeight="1" x14ac:dyDescent="0.25">
      <c r="A4032" s="25">
        <v>4030</v>
      </c>
      <c r="B4032" s="37" t="e">
        <f t="shared" si="7855"/>
        <v>#N/A</v>
      </c>
      <c r="C4032" s="38" t="e">
        <f t="shared" si="7856"/>
        <v>#N/A</v>
      </c>
      <c r="D4032" s="39" t="e">
        <f t="shared" si="7857"/>
        <v>#N/A</v>
      </c>
      <c r="E4032" s="16" t="e">
        <f t="shared" si="1"/>
        <v>#N/A</v>
      </c>
      <c r="F4032" s="16" t="e">
        <f t="shared" si="7858"/>
        <v>#N/A</v>
      </c>
      <c r="G4032" s="39" t="e">
        <f t="shared" si="7859"/>
        <v>#N/A</v>
      </c>
      <c r="H4032" s="16" t="e">
        <f t="shared" si="7860"/>
        <v>#N/A</v>
      </c>
      <c r="I4032" s="16" t="e">
        <f t="shared" si="7861"/>
        <v>#N/A</v>
      </c>
      <c r="J4032" s="40" t="e">
        <f t="shared" si="7862"/>
        <v>#N/A</v>
      </c>
      <c r="K4032" s="16" t="e">
        <f t="shared" si="7863"/>
        <v>#N/A</v>
      </c>
      <c r="L4032" s="40" t="e">
        <f t="shared" si="7864"/>
        <v>#N/A</v>
      </c>
      <c r="M4032" s="16" t="e">
        <f t="shared" si="7865"/>
        <v>#N/A</v>
      </c>
      <c r="N4032" s="16" t="e">
        <f t="shared" si="7866"/>
        <v>#N/A</v>
      </c>
      <c r="O4032" s="16" t="s">
        <v>77</v>
      </c>
      <c r="P4032" s="16" t="str">
        <f t="shared" si="6"/>
        <v/>
      </c>
      <c r="Q4032" s="41" t="e">
        <f t="shared" si="7867"/>
        <v>#N/A</v>
      </c>
      <c r="R4032" s="44"/>
      <c r="S4032" s="44"/>
      <c r="T4032" s="43"/>
      <c r="U4032" s="43" t="str">
        <f t="shared" si="8"/>
        <v>No</v>
      </c>
      <c r="V4032" s="25"/>
      <c r="W4032" s="25"/>
      <c r="X4032" s="25"/>
      <c r="Y4032" s="25"/>
      <c r="Z4032" s="25"/>
    </row>
    <row r="4033" spans="1:26" ht="15.75" customHeight="1" x14ac:dyDescent="0.25">
      <c r="A4033" s="25">
        <v>4031</v>
      </c>
      <c r="B4033" s="37" t="e">
        <f t="shared" si="7855"/>
        <v>#N/A</v>
      </c>
      <c r="C4033" s="38" t="e">
        <f t="shared" si="7856"/>
        <v>#N/A</v>
      </c>
      <c r="D4033" s="39" t="e">
        <f t="shared" si="7857"/>
        <v>#N/A</v>
      </c>
      <c r="E4033" s="16" t="e">
        <f t="shared" si="1"/>
        <v>#N/A</v>
      </c>
      <c r="F4033" s="16" t="e">
        <f t="shared" si="7858"/>
        <v>#N/A</v>
      </c>
      <c r="G4033" s="39" t="e">
        <f t="shared" si="7859"/>
        <v>#N/A</v>
      </c>
      <c r="H4033" s="16" t="e">
        <f t="shared" si="7860"/>
        <v>#N/A</v>
      </c>
      <c r="I4033" s="16" t="e">
        <f t="shared" si="7861"/>
        <v>#N/A</v>
      </c>
      <c r="J4033" s="40" t="e">
        <f t="shared" si="7862"/>
        <v>#N/A</v>
      </c>
      <c r="K4033" s="16" t="e">
        <f t="shared" si="7863"/>
        <v>#N/A</v>
      </c>
      <c r="L4033" s="40" t="e">
        <f t="shared" si="7864"/>
        <v>#N/A</v>
      </c>
      <c r="M4033" s="16" t="e">
        <f t="shared" si="7865"/>
        <v>#N/A</v>
      </c>
      <c r="N4033" s="16" t="e">
        <f t="shared" si="7866"/>
        <v>#N/A</v>
      </c>
      <c r="O4033" s="16" t="s">
        <v>77</v>
      </c>
      <c r="P4033" s="16" t="str">
        <f t="shared" si="6"/>
        <v/>
      </c>
      <c r="Q4033" s="41" t="e">
        <f t="shared" si="7867"/>
        <v>#N/A</v>
      </c>
      <c r="R4033" s="44"/>
      <c r="S4033" s="44"/>
      <c r="T4033" s="43"/>
      <c r="U4033" s="43" t="str">
        <f t="shared" si="8"/>
        <v>No</v>
      </c>
      <c r="V4033" s="25"/>
      <c r="W4033" s="25"/>
      <c r="X4033" s="25"/>
      <c r="Y4033" s="25"/>
      <c r="Z4033" s="25"/>
    </row>
    <row r="4034" spans="1:26" ht="15.75" customHeight="1" x14ac:dyDescent="0.25">
      <c r="A4034" s="25">
        <v>4032</v>
      </c>
      <c r="B4034" s="37" t="e">
        <f t="shared" si="7855"/>
        <v>#N/A</v>
      </c>
      <c r="C4034" s="38" t="e">
        <f t="shared" si="7856"/>
        <v>#N/A</v>
      </c>
      <c r="D4034" s="39" t="e">
        <f t="shared" si="7857"/>
        <v>#N/A</v>
      </c>
      <c r="E4034" s="16" t="e">
        <f t="shared" si="1"/>
        <v>#N/A</v>
      </c>
      <c r="F4034" s="16" t="e">
        <f t="shared" si="7858"/>
        <v>#N/A</v>
      </c>
      <c r="G4034" s="39" t="e">
        <f t="shared" si="7859"/>
        <v>#N/A</v>
      </c>
      <c r="H4034" s="16" t="e">
        <f t="shared" si="7860"/>
        <v>#N/A</v>
      </c>
      <c r="I4034" s="16" t="e">
        <f t="shared" si="7861"/>
        <v>#N/A</v>
      </c>
      <c r="J4034" s="40" t="e">
        <f t="shared" si="7862"/>
        <v>#N/A</v>
      </c>
      <c r="K4034" s="16" t="e">
        <f t="shared" si="7863"/>
        <v>#N/A</v>
      </c>
      <c r="L4034" s="40" t="e">
        <f t="shared" si="7864"/>
        <v>#N/A</v>
      </c>
      <c r="M4034" s="16" t="e">
        <f t="shared" si="7865"/>
        <v>#N/A</v>
      </c>
      <c r="N4034" s="16" t="e">
        <f t="shared" si="7866"/>
        <v>#N/A</v>
      </c>
      <c r="O4034" s="16" t="s">
        <v>77</v>
      </c>
      <c r="P4034" s="16" t="str">
        <f t="shared" si="6"/>
        <v/>
      </c>
      <c r="Q4034" s="41" t="e">
        <f t="shared" si="7867"/>
        <v>#N/A</v>
      </c>
      <c r="R4034" s="44"/>
      <c r="S4034" s="44"/>
      <c r="T4034" s="43"/>
      <c r="U4034" s="43" t="str">
        <f t="shared" si="8"/>
        <v>No</v>
      </c>
      <c r="V4034" s="25"/>
      <c r="W4034" s="25"/>
      <c r="X4034" s="25"/>
      <c r="Y4034" s="25"/>
      <c r="Z4034" s="25"/>
    </row>
    <row r="4035" spans="1:26" ht="15.75" customHeight="1" x14ac:dyDescent="0.25">
      <c r="A4035" s="25">
        <v>4033</v>
      </c>
      <c r="B4035" s="37" t="e">
        <f t="shared" si="7855"/>
        <v>#N/A</v>
      </c>
      <c r="C4035" s="38" t="e">
        <f t="shared" si="7856"/>
        <v>#N/A</v>
      </c>
      <c r="D4035" s="39" t="e">
        <f t="shared" si="7857"/>
        <v>#N/A</v>
      </c>
      <c r="E4035" s="16" t="e">
        <f t="shared" si="1"/>
        <v>#N/A</v>
      </c>
      <c r="F4035" s="16" t="e">
        <f t="shared" si="7858"/>
        <v>#N/A</v>
      </c>
      <c r="G4035" s="39" t="e">
        <f t="shared" si="7859"/>
        <v>#N/A</v>
      </c>
      <c r="H4035" s="16" t="e">
        <f t="shared" si="7860"/>
        <v>#N/A</v>
      </c>
      <c r="I4035" s="16" t="e">
        <f t="shared" si="7861"/>
        <v>#N/A</v>
      </c>
      <c r="J4035" s="40" t="e">
        <f t="shared" si="7862"/>
        <v>#N/A</v>
      </c>
      <c r="K4035" s="16" t="e">
        <f t="shared" si="7863"/>
        <v>#N/A</v>
      </c>
      <c r="L4035" s="40" t="e">
        <f t="shared" si="7864"/>
        <v>#N/A</v>
      </c>
      <c r="M4035" s="16" t="e">
        <f t="shared" si="7865"/>
        <v>#N/A</v>
      </c>
      <c r="N4035" s="16" t="e">
        <f t="shared" si="7866"/>
        <v>#N/A</v>
      </c>
      <c r="O4035" s="16" t="s">
        <v>77</v>
      </c>
      <c r="P4035" s="16" t="str">
        <f t="shared" si="6"/>
        <v/>
      </c>
      <c r="Q4035" s="41" t="e">
        <f t="shared" si="7867"/>
        <v>#N/A</v>
      </c>
      <c r="R4035" s="44"/>
      <c r="S4035" s="44"/>
      <c r="T4035" s="43"/>
      <c r="U4035" s="43" t="str">
        <f t="shared" si="8"/>
        <v>No</v>
      </c>
      <c r="V4035" s="25"/>
      <c r="W4035" s="25"/>
      <c r="X4035" s="25"/>
      <c r="Y4035" s="25"/>
      <c r="Z4035" s="25"/>
    </row>
    <row r="4036" spans="1:26" ht="15.75" customHeight="1" x14ac:dyDescent="0.25">
      <c r="A4036" s="25">
        <v>4034</v>
      </c>
      <c r="B4036" s="37" t="e">
        <f t="shared" si="7855"/>
        <v>#N/A</v>
      </c>
      <c r="C4036" s="38" t="e">
        <f t="shared" si="7856"/>
        <v>#N/A</v>
      </c>
      <c r="D4036" s="39" t="e">
        <f t="shared" si="7857"/>
        <v>#N/A</v>
      </c>
      <c r="E4036" s="16" t="e">
        <f t="shared" si="1"/>
        <v>#N/A</v>
      </c>
      <c r="F4036" s="16" t="e">
        <f t="shared" si="7858"/>
        <v>#N/A</v>
      </c>
      <c r="G4036" s="39" t="e">
        <f t="shared" si="7859"/>
        <v>#N/A</v>
      </c>
      <c r="H4036" s="16" t="e">
        <f t="shared" si="7860"/>
        <v>#N/A</v>
      </c>
      <c r="I4036" s="16" t="e">
        <f t="shared" si="7861"/>
        <v>#N/A</v>
      </c>
      <c r="J4036" s="40" t="e">
        <f t="shared" si="7862"/>
        <v>#N/A</v>
      </c>
      <c r="K4036" s="16" t="e">
        <f t="shared" si="7863"/>
        <v>#N/A</v>
      </c>
      <c r="L4036" s="40" t="e">
        <f t="shared" si="7864"/>
        <v>#N/A</v>
      </c>
      <c r="M4036" s="16" t="e">
        <f t="shared" si="7865"/>
        <v>#N/A</v>
      </c>
      <c r="N4036" s="16" t="e">
        <f t="shared" si="7866"/>
        <v>#N/A</v>
      </c>
      <c r="O4036" s="16" t="s">
        <v>77</v>
      </c>
      <c r="P4036" s="16" t="str">
        <f t="shared" si="6"/>
        <v/>
      </c>
      <c r="Q4036" s="41" t="e">
        <f t="shared" si="7867"/>
        <v>#N/A</v>
      </c>
      <c r="R4036" s="44"/>
      <c r="S4036" s="44"/>
      <c r="T4036" s="43"/>
      <c r="U4036" s="43" t="str">
        <f t="shared" si="8"/>
        <v>No</v>
      </c>
      <c r="V4036" s="25"/>
      <c r="W4036" s="25"/>
      <c r="X4036" s="25"/>
      <c r="Y4036" s="25"/>
      <c r="Z4036" s="25"/>
    </row>
    <row r="4037" spans="1:26" ht="15.75" customHeight="1" x14ac:dyDescent="0.25">
      <c r="A4037" s="25">
        <v>4035</v>
      </c>
      <c r="B4037" s="37" t="e">
        <f t="shared" si="7855"/>
        <v>#N/A</v>
      </c>
      <c r="C4037" s="38" t="e">
        <f t="shared" si="7856"/>
        <v>#N/A</v>
      </c>
      <c r="D4037" s="39" t="e">
        <f t="shared" si="7857"/>
        <v>#N/A</v>
      </c>
      <c r="E4037" s="16" t="e">
        <f t="shared" si="1"/>
        <v>#N/A</v>
      </c>
      <c r="F4037" s="16" t="e">
        <f t="shared" si="7858"/>
        <v>#N/A</v>
      </c>
      <c r="G4037" s="39" t="e">
        <f t="shared" si="7859"/>
        <v>#N/A</v>
      </c>
      <c r="H4037" s="16" t="e">
        <f t="shared" si="7860"/>
        <v>#N/A</v>
      </c>
      <c r="I4037" s="16" t="e">
        <f t="shared" si="7861"/>
        <v>#N/A</v>
      </c>
      <c r="J4037" s="40" t="e">
        <f t="shared" si="7862"/>
        <v>#N/A</v>
      </c>
      <c r="K4037" s="16" t="e">
        <f t="shared" si="7863"/>
        <v>#N/A</v>
      </c>
      <c r="L4037" s="40" t="e">
        <f t="shared" si="7864"/>
        <v>#N/A</v>
      </c>
      <c r="M4037" s="16" t="e">
        <f t="shared" si="7865"/>
        <v>#N/A</v>
      </c>
      <c r="N4037" s="16" t="e">
        <f t="shared" si="7866"/>
        <v>#N/A</v>
      </c>
      <c r="O4037" s="16" t="s">
        <v>77</v>
      </c>
      <c r="P4037" s="16" t="str">
        <f t="shared" si="6"/>
        <v/>
      </c>
      <c r="Q4037" s="41" t="e">
        <f t="shared" si="7867"/>
        <v>#N/A</v>
      </c>
      <c r="R4037" s="44"/>
      <c r="S4037" s="44"/>
      <c r="T4037" s="43"/>
      <c r="U4037" s="43" t="str">
        <f t="shared" si="8"/>
        <v>No</v>
      </c>
      <c r="V4037" s="25"/>
      <c r="W4037" s="25"/>
      <c r="X4037" s="25"/>
      <c r="Y4037" s="25"/>
      <c r="Z4037" s="25"/>
    </row>
    <row r="4038" spans="1:26" ht="15.75" customHeight="1" x14ac:dyDescent="0.25">
      <c r="A4038" s="25">
        <v>4036</v>
      </c>
      <c r="B4038" s="37" t="e">
        <f t="shared" si="7855"/>
        <v>#N/A</v>
      </c>
      <c r="C4038" s="38" t="e">
        <f t="shared" si="7856"/>
        <v>#N/A</v>
      </c>
      <c r="D4038" s="39" t="e">
        <f t="shared" si="7857"/>
        <v>#N/A</v>
      </c>
      <c r="E4038" s="16" t="e">
        <f t="shared" si="1"/>
        <v>#N/A</v>
      </c>
      <c r="F4038" s="16" t="e">
        <f t="shared" si="7858"/>
        <v>#N/A</v>
      </c>
      <c r="G4038" s="39" t="e">
        <f t="shared" si="7859"/>
        <v>#N/A</v>
      </c>
      <c r="H4038" s="16" t="e">
        <f t="shared" si="7860"/>
        <v>#N/A</v>
      </c>
      <c r="I4038" s="16" t="e">
        <f t="shared" si="7861"/>
        <v>#N/A</v>
      </c>
      <c r="J4038" s="40" t="e">
        <f t="shared" si="7862"/>
        <v>#N/A</v>
      </c>
      <c r="K4038" s="16" t="e">
        <f t="shared" si="7863"/>
        <v>#N/A</v>
      </c>
      <c r="L4038" s="40" t="e">
        <f t="shared" si="7864"/>
        <v>#N/A</v>
      </c>
      <c r="M4038" s="16" t="e">
        <f t="shared" si="7865"/>
        <v>#N/A</v>
      </c>
      <c r="N4038" s="16" t="e">
        <f t="shared" si="7866"/>
        <v>#N/A</v>
      </c>
      <c r="O4038" s="16" t="s">
        <v>77</v>
      </c>
      <c r="P4038" s="16" t="str">
        <f t="shared" si="6"/>
        <v/>
      </c>
      <c r="Q4038" s="41" t="e">
        <f t="shared" si="7867"/>
        <v>#N/A</v>
      </c>
      <c r="R4038" s="44"/>
      <c r="S4038" s="44"/>
      <c r="T4038" s="43"/>
      <c r="U4038" s="43" t="str">
        <f t="shared" si="8"/>
        <v>No</v>
      </c>
      <c r="V4038" s="25"/>
      <c r="W4038" s="25"/>
      <c r="X4038" s="25"/>
      <c r="Y4038" s="25"/>
      <c r="Z4038" s="25"/>
    </row>
    <row r="4039" spans="1:26" ht="15.75" customHeight="1" x14ac:dyDescent="0.25">
      <c r="A4039" s="25">
        <v>4037</v>
      </c>
      <c r="B4039" s="37" t="e">
        <f t="shared" si="7855"/>
        <v>#N/A</v>
      </c>
      <c r="C4039" s="38" t="e">
        <f t="shared" si="7856"/>
        <v>#N/A</v>
      </c>
      <c r="D4039" s="39" t="e">
        <f t="shared" si="7857"/>
        <v>#N/A</v>
      </c>
      <c r="E4039" s="16" t="e">
        <f t="shared" si="1"/>
        <v>#N/A</v>
      </c>
      <c r="F4039" s="16" t="e">
        <f t="shared" si="7858"/>
        <v>#N/A</v>
      </c>
      <c r="G4039" s="39" t="e">
        <f t="shared" si="7859"/>
        <v>#N/A</v>
      </c>
      <c r="H4039" s="16" t="e">
        <f t="shared" si="7860"/>
        <v>#N/A</v>
      </c>
      <c r="I4039" s="16" t="e">
        <f t="shared" si="7861"/>
        <v>#N/A</v>
      </c>
      <c r="J4039" s="40" t="e">
        <f t="shared" si="7862"/>
        <v>#N/A</v>
      </c>
      <c r="K4039" s="16" t="e">
        <f t="shared" si="7863"/>
        <v>#N/A</v>
      </c>
      <c r="L4039" s="40" t="e">
        <f t="shared" si="7864"/>
        <v>#N/A</v>
      </c>
      <c r="M4039" s="16" t="e">
        <f t="shared" si="7865"/>
        <v>#N/A</v>
      </c>
      <c r="N4039" s="16" t="e">
        <f t="shared" si="7866"/>
        <v>#N/A</v>
      </c>
      <c r="O4039" s="16" t="s">
        <v>77</v>
      </c>
      <c r="P4039" s="16" t="str">
        <f t="shared" si="6"/>
        <v/>
      </c>
      <c r="Q4039" s="41" t="e">
        <f t="shared" si="7867"/>
        <v>#N/A</v>
      </c>
      <c r="R4039" s="44"/>
      <c r="S4039" s="44"/>
      <c r="T4039" s="43"/>
      <c r="U4039" s="43" t="str">
        <f t="shared" si="8"/>
        <v>No</v>
      </c>
      <c r="V4039" s="25"/>
      <c r="W4039" s="25"/>
      <c r="X4039" s="25"/>
      <c r="Y4039" s="25"/>
      <c r="Z4039" s="25"/>
    </row>
    <row r="4040" spans="1:26" ht="15.75" customHeight="1" x14ac:dyDescent="0.25">
      <c r="A4040" s="25">
        <v>4038</v>
      </c>
      <c r="B4040" s="37" t="e">
        <f t="shared" si="7855"/>
        <v>#N/A</v>
      </c>
      <c r="C4040" s="38" t="e">
        <f t="shared" si="7856"/>
        <v>#N/A</v>
      </c>
      <c r="D4040" s="39" t="e">
        <f t="shared" si="7857"/>
        <v>#N/A</v>
      </c>
      <c r="E4040" s="16" t="e">
        <f t="shared" si="1"/>
        <v>#N/A</v>
      </c>
      <c r="F4040" s="16" t="e">
        <f t="shared" si="7858"/>
        <v>#N/A</v>
      </c>
      <c r="G4040" s="39" t="e">
        <f t="shared" si="7859"/>
        <v>#N/A</v>
      </c>
      <c r="H4040" s="16" t="e">
        <f t="shared" si="7860"/>
        <v>#N/A</v>
      </c>
      <c r="I4040" s="16" t="e">
        <f t="shared" si="7861"/>
        <v>#N/A</v>
      </c>
      <c r="J4040" s="40" t="e">
        <f t="shared" si="7862"/>
        <v>#N/A</v>
      </c>
      <c r="K4040" s="16" t="e">
        <f t="shared" si="7863"/>
        <v>#N/A</v>
      </c>
      <c r="L4040" s="40" t="e">
        <f t="shared" si="7864"/>
        <v>#N/A</v>
      </c>
      <c r="M4040" s="16" t="e">
        <f t="shared" si="7865"/>
        <v>#N/A</v>
      </c>
      <c r="N4040" s="16" t="e">
        <f t="shared" si="7866"/>
        <v>#N/A</v>
      </c>
      <c r="O4040" s="16" t="s">
        <v>77</v>
      </c>
      <c r="P4040" s="16" t="str">
        <f t="shared" si="6"/>
        <v/>
      </c>
      <c r="Q4040" s="41" t="e">
        <f t="shared" si="7867"/>
        <v>#N/A</v>
      </c>
      <c r="R4040" s="44"/>
      <c r="S4040" s="44"/>
      <c r="T4040" s="43"/>
      <c r="U4040" s="43" t="str">
        <f t="shared" si="8"/>
        <v>No</v>
      </c>
      <c r="V4040" s="25"/>
      <c r="W4040" s="25"/>
      <c r="X4040" s="25"/>
      <c r="Y4040" s="25"/>
      <c r="Z4040" s="25"/>
    </row>
    <row r="4041" spans="1:26" ht="15.75" customHeight="1" x14ac:dyDescent="0.25">
      <c r="A4041" s="25">
        <v>4039</v>
      </c>
      <c r="B4041" s="37" t="e">
        <f t="shared" si="7855"/>
        <v>#N/A</v>
      </c>
      <c r="C4041" s="38" t="e">
        <f t="shared" si="7856"/>
        <v>#N/A</v>
      </c>
      <c r="D4041" s="39" t="e">
        <f t="shared" si="7857"/>
        <v>#N/A</v>
      </c>
      <c r="E4041" s="16" t="e">
        <f t="shared" si="1"/>
        <v>#N/A</v>
      </c>
      <c r="F4041" s="16" t="e">
        <f t="shared" si="7858"/>
        <v>#N/A</v>
      </c>
      <c r="G4041" s="39" t="e">
        <f t="shared" si="7859"/>
        <v>#N/A</v>
      </c>
      <c r="H4041" s="16" t="e">
        <f t="shared" si="7860"/>
        <v>#N/A</v>
      </c>
      <c r="I4041" s="16" t="e">
        <f t="shared" si="7861"/>
        <v>#N/A</v>
      </c>
      <c r="J4041" s="40" t="e">
        <f t="shared" si="7862"/>
        <v>#N/A</v>
      </c>
      <c r="K4041" s="16" t="e">
        <f t="shared" si="7863"/>
        <v>#N/A</v>
      </c>
      <c r="L4041" s="40" t="e">
        <f t="shared" si="7864"/>
        <v>#N/A</v>
      </c>
      <c r="M4041" s="16" t="e">
        <f t="shared" si="7865"/>
        <v>#N/A</v>
      </c>
      <c r="N4041" s="16" t="e">
        <f t="shared" si="7866"/>
        <v>#N/A</v>
      </c>
      <c r="O4041" s="16" t="s">
        <v>77</v>
      </c>
      <c r="P4041" s="16" t="str">
        <f t="shared" si="6"/>
        <v/>
      </c>
      <c r="Q4041" s="41" t="e">
        <f t="shared" si="7867"/>
        <v>#N/A</v>
      </c>
      <c r="R4041" s="44"/>
      <c r="S4041" s="44"/>
      <c r="T4041" s="43"/>
      <c r="U4041" s="43" t="str">
        <f t="shared" si="8"/>
        <v>No</v>
      </c>
      <c r="V4041" s="25"/>
      <c r="W4041" s="25"/>
      <c r="X4041" s="25"/>
      <c r="Y4041" s="25"/>
      <c r="Z4041" s="25"/>
    </row>
    <row r="4042" spans="1:26" ht="15.75" customHeight="1" x14ac:dyDescent="0.25">
      <c r="A4042" s="25">
        <v>4040</v>
      </c>
      <c r="B4042" s="37" t="e">
        <f t="shared" si="7855"/>
        <v>#N/A</v>
      </c>
      <c r="C4042" s="38" t="e">
        <f t="shared" si="7856"/>
        <v>#N/A</v>
      </c>
      <c r="D4042" s="39" t="e">
        <f t="shared" si="7857"/>
        <v>#N/A</v>
      </c>
      <c r="E4042" s="16" t="e">
        <f t="shared" si="1"/>
        <v>#N/A</v>
      </c>
      <c r="F4042" s="16" t="e">
        <f t="shared" si="7858"/>
        <v>#N/A</v>
      </c>
      <c r="G4042" s="39" t="e">
        <f t="shared" si="7859"/>
        <v>#N/A</v>
      </c>
      <c r="H4042" s="16" t="e">
        <f t="shared" si="7860"/>
        <v>#N/A</v>
      </c>
      <c r="I4042" s="16" t="e">
        <f t="shared" si="7861"/>
        <v>#N/A</v>
      </c>
      <c r="J4042" s="40" t="e">
        <f t="shared" si="7862"/>
        <v>#N/A</v>
      </c>
      <c r="K4042" s="16" t="e">
        <f t="shared" si="7863"/>
        <v>#N/A</v>
      </c>
      <c r="L4042" s="40" t="e">
        <f t="shared" si="7864"/>
        <v>#N/A</v>
      </c>
      <c r="M4042" s="16" t="e">
        <f t="shared" si="7865"/>
        <v>#N/A</v>
      </c>
      <c r="N4042" s="16" t="e">
        <f t="shared" si="7866"/>
        <v>#N/A</v>
      </c>
      <c r="O4042" s="16" t="s">
        <v>77</v>
      </c>
      <c r="P4042" s="16" t="str">
        <f t="shared" si="6"/>
        <v/>
      </c>
      <c r="Q4042" s="41" t="e">
        <f t="shared" si="7867"/>
        <v>#N/A</v>
      </c>
      <c r="R4042" s="44"/>
      <c r="S4042" s="44"/>
      <c r="T4042" s="43"/>
      <c r="U4042" s="43" t="str">
        <f t="shared" si="8"/>
        <v>No</v>
      </c>
      <c r="V4042" s="25"/>
      <c r="W4042" s="25"/>
      <c r="X4042" s="25"/>
      <c r="Y4042" s="25"/>
      <c r="Z4042" s="25"/>
    </row>
    <row r="4043" spans="1:26" ht="15.75" customHeight="1" x14ac:dyDescent="0.25">
      <c r="A4043" s="25">
        <v>4041</v>
      </c>
      <c r="B4043" s="37" t="e">
        <f t="shared" si="7855"/>
        <v>#N/A</v>
      </c>
      <c r="C4043" s="38" t="e">
        <f t="shared" si="7856"/>
        <v>#N/A</v>
      </c>
      <c r="D4043" s="39" t="e">
        <f t="shared" si="7857"/>
        <v>#N/A</v>
      </c>
      <c r="E4043" s="16" t="e">
        <f t="shared" si="1"/>
        <v>#N/A</v>
      </c>
      <c r="F4043" s="16" t="e">
        <f t="shared" si="7858"/>
        <v>#N/A</v>
      </c>
      <c r="G4043" s="39" t="e">
        <f t="shared" si="7859"/>
        <v>#N/A</v>
      </c>
      <c r="H4043" s="16" t="e">
        <f t="shared" si="7860"/>
        <v>#N/A</v>
      </c>
      <c r="I4043" s="16" t="e">
        <f t="shared" si="7861"/>
        <v>#N/A</v>
      </c>
      <c r="J4043" s="40" t="e">
        <f t="shared" si="7862"/>
        <v>#N/A</v>
      </c>
      <c r="K4043" s="16" t="e">
        <f t="shared" si="7863"/>
        <v>#N/A</v>
      </c>
      <c r="L4043" s="40" t="e">
        <f t="shared" si="7864"/>
        <v>#N/A</v>
      </c>
      <c r="M4043" s="16" t="e">
        <f t="shared" si="7865"/>
        <v>#N/A</v>
      </c>
      <c r="N4043" s="16" t="e">
        <f t="shared" si="7866"/>
        <v>#N/A</v>
      </c>
      <c r="O4043" s="16" t="s">
        <v>77</v>
      </c>
      <c r="P4043" s="16" t="str">
        <f t="shared" si="6"/>
        <v/>
      </c>
      <c r="Q4043" s="41" t="e">
        <f t="shared" si="7867"/>
        <v>#N/A</v>
      </c>
      <c r="R4043" s="44"/>
      <c r="S4043" s="44"/>
      <c r="T4043" s="43"/>
      <c r="U4043" s="43" t="str">
        <f t="shared" si="8"/>
        <v>No</v>
      </c>
      <c r="V4043" s="25"/>
      <c r="W4043" s="25"/>
      <c r="X4043" s="25"/>
      <c r="Y4043" s="25"/>
      <c r="Z4043" s="25"/>
    </row>
    <row r="4044" spans="1:26" ht="15.75" customHeight="1" x14ac:dyDescent="0.25">
      <c r="A4044" s="25">
        <v>4042</v>
      </c>
      <c r="B4044" s="37" t="e">
        <f t="shared" si="7855"/>
        <v>#N/A</v>
      </c>
      <c r="C4044" s="38" t="e">
        <f t="shared" si="7856"/>
        <v>#N/A</v>
      </c>
      <c r="D4044" s="39" t="e">
        <f t="shared" si="7857"/>
        <v>#N/A</v>
      </c>
      <c r="E4044" s="16" t="e">
        <f t="shared" si="1"/>
        <v>#N/A</v>
      </c>
      <c r="F4044" s="16" t="e">
        <f t="shared" si="7858"/>
        <v>#N/A</v>
      </c>
      <c r="G4044" s="39" t="e">
        <f t="shared" si="7859"/>
        <v>#N/A</v>
      </c>
      <c r="H4044" s="16" t="e">
        <f t="shared" si="7860"/>
        <v>#N/A</v>
      </c>
      <c r="I4044" s="16" t="e">
        <f t="shared" si="7861"/>
        <v>#N/A</v>
      </c>
      <c r="J4044" s="40" t="e">
        <f t="shared" si="7862"/>
        <v>#N/A</v>
      </c>
      <c r="K4044" s="16" t="e">
        <f t="shared" si="7863"/>
        <v>#N/A</v>
      </c>
      <c r="L4044" s="40" t="e">
        <f t="shared" si="7864"/>
        <v>#N/A</v>
      </c>
      <c r="M4044" s="16" t="e">
        <f t="shared" si="7865"/>
        <v>#N/A</v>
      </c>
      <c r="N4044" s="16" t="e">
        <f t="shared" si="7866"/>
        <v>#N/A</v>
      </c>
      <c r="O4044" s="16" t="s">
        <v>77</v>
      </c>
      <c r="P4044" s="16" t="str">
        <f t="shared" si="6"/>
        <v/>
      </c>
      <c r="Q4044" s="41" t="e">
        <f t="shared" si="7867"/>
        <v>#N/A</v>
      </c>
      <c r="R4044" s="44"/>
      <c r="S4044" s="44"/>
      <c r="T4044" s="43"/>
      <c r="U4044" s="43" t="str">
        <f t="shared" si="8"/>
        <v>No</v>
      </c>
      <c r="V4044" s="25"/>
      <c r="W4044" s="25"/>
      <c r="X4044" s="25"/>
      <c r="Y4044" s="25"/>
      <c r="Z4044" s="25"/>
    </row>
    <row r="4045" spans="1:26" ht="15.75" customHeight="1" x14ac:dyDescent="0.25">
      <c r="A4045" s="25">
        <v>4043</v>
      </c>
      <c r="B4045" s="37" t="e">
        <f t="shared" si="7855"/>
        <v>#N/A</v>
      </c>
      <c r="C4045" s="38" t="e">
        <f t="shared" si="7856"/>
        <v>#N/A</v>
      </c>
      <c r="D4045" s="39" t="e">
        <f t="shared" si="7857"/>
        <v>#N/A</v>
      </c>
      <c r="E4045" s="16" t="e">
        <f t="shared" si="1"/>
        <v>#N/A</v>
      </c>
      <c r="F4045" s="16" t="e">
        <f t="shared" si="7858"/>
        <v>#N/A</v>
      </c>
      <c r="G4045" s="39" t="e">
        <f t="shared" si="7859"/>
        <v>#N/A</v>
      </c>
      <c r="H4045" s="16" t="e">
        <f t="shared" si="7860"/>
        <v>#N/A</v>
      </c>
      <c r="I4045" s="16" t="e">
        <f t="shared" si="7861"/>
        <v>#N/A</v>
      </c>
      <c r="J4045" s="40" t="e">
        <f t="shared" si="7862"/>
        <v>#N/A</v>
      </c>
      <c r="K4045" s="16" t="e">
        <f t="shared" si="7863"/>
        <v>#N/A</v>
      </c>
      <c r="L4045" s="40" t="e">
        <f t="shared" si="7864"/>
        <v>#N/A</v>
      </c>
      <c r="M4045" s="16" t="e">
        <f t="shared" si="7865"/>
        <v>#N/A</v>
      </c>
      <c r="N4045" s="16" t="e">
        <f t="shared" si="7866"/>
        <v>#N/A</v>
      </c>
      <c r="O4045" s="16" t="s">
        <v>77</v>
      </c>
      <c r="P4045" s="16" t="str">
        <f t="shared" si="6"/>
        <v/>
      </c>
      <c r="Q4045" s="41" t="e">
        <f t="shared" si="7867"/>
        <v>#N/A</v>
      </c>
      <c r="R4045" s="44"/>
      <c r="S4045" s="44"/>
      <c r="T4045" s="43"/>
      <c r="U4045" s="43" t="str">
        <f t="shared" si="8"/>
        <v>No</v>
      </c>
      <c r="V4045" s="25"/>
      <c r="W4045" s="25"/>
      <c r="X4045" s="25"/>
      <c r="Y4045" s="25"/>
      <c r="Z4045" s="25"/>
    </row>
    <row r="4046" spans="1:26" ht="15.75" customHeight="1" x14ac:dyDescent="0.25">
      <c r="A4046" s="25">
        <v>4044</v>
      </c>
      <c r="B4046" s="37" t="e">
        <f t="shared" si="7855"/>
        <v>#N/A</v>
      </c>
      <c r="C4046" s="38" t="e">
        <f t="shared" si="7856"/>
        <v>#N/A</v>
      </c>
      <c r="D4046" s="39" t="e">
        <f t="shared" si="7857"/>
        <v>#N/A</v>
      </c>
      <c r="E4046" s="16" t="e">
        <f t="shared" si="1"/>
        <v>#N/A</v>
      </c>
      <c r="F4046" s="16" t="e">
        <f t="shared" si="7858"/>
        <v>#N/A</v>
      </c>
      <c r="G4046" s="39" t="e">
        <f t="shared" si="7859"/>
        <v>#N/A</v>
      </c>
      <c r="H4046" s="16" t="e">
        <f t="shared" si="7860"/>
        <v>#N/A</v>
      </c>
      <c r="I4046" s="16" t="e">
        <f t="shared" si="7861"/>
        <v>#N/A</v>
      </c>
      <c r="J4046" s="40" t="e">
        <f t="shared" si="7862"/>
        <v>#N/A</v>
      </c>
      <c r="K4046" s="16" t="e">
        <f t="shared" si="7863"/>
        <v>#N/A</v>
      </c>
      <c r="L4046" s="40" t="e">
        <f t="shared" si="7864"/>
        <v>#N/A</v>
      </c>
      <c r="M4046" s="16" t="e">
        <f t="shared" si="7865"/>
        <v>#N/A</v>
      </c>
      <c r="N4046" s="16" t="e">
        <f t="shared" si="7866"/>
        <v>#N/A</v>
      </c>
      <c r="O4046" s="16" t="s">
        <v>77</v>
      </c>
      <c r="P4046" s="16" t="str">
        <f t="shared" si="6"/>
        <v/>
      </c>
      <c r="Q4046" s="41" t="e">
        <f t="shared" si="7867"/>
        <v>#N/A</v>
      </c>
      <c r="R4046" s="44"/>
      <c r="S4046" s="44"/>
      <c r="T4046" s="43"/>
      <c r="U4046" s="43" t="str">
        <f t="shared" si="8"/>
        <v>No</v>
      </c>
      <c r="V4046" s="25"/>
      <c r="W4046" s="25"/>
      <c r="X4046" s="25"/>
      <c r="Y4046" s="25"/>
      <c r="Z4046" s="25"/>
    </row>
    <row r="4047" spans="1:26" ht="15.75" customHeight="1" x14ac:dyDescent="0.25">
      <c r="A4047" s="25">
        <v>4045</v>
      </c>
      <c r="B4047" s="37" t="e">
        <f t="shared" si="7855"/>
        <v>#N/A</v>
      </c>
      <c r="C4047" s="38" t="e">
        <f t="shared" si="7856"/>
        <v>#N/A</v>
      </c>
      <c r="D4047" s="39" t="e">
        <f t="shared" si="7857"/>
        <v>#N/A</v>
      </c>
      <c r="E4047" s="16" t="e">
        <f t="shared" si="1"/>
        <v>#N/A</v>
      </c>
      <c r="F4047" s="16" t="e">
        <f t="shared" si="7858"/>
        <v>#N/A</v>
      </c>
      <c r="G4047" s="39" t="e">
        <f t="shared" si="7859"/>
        <v>#N/A</v>
      </c>
      <c r="H4047" s="16" t="e">
        <f t="shared" si="7860"/>
        <v>#N/A</v>
      </c>
      <c r="I4047" s="16" t="e">
        <f t="shared" si="7861"/>
        <v>#N/A</v>
      </c>
      <c r="J4047" s="40" t="e">
        <f t="shared" si="7862"/>
        <v>#N/A</v>
      </c>
      <c r="K4047" s="16" t="e">
        <f t="shared" si="7863"/>
        <v>#N/A</v>
      </c>
      <c r="L4047" s="40" t="e">
        <f t="shared" si="7864"/>
        <v>#N/A</v>
      </c>
      <c r="M4047" s="16" t="e">
        <f t="shared" si="7865"/>
        <v>#N/A</v>
      </c>
      <c r="N4047" s="16" t="e">
        <f t="shared" si="7866"/>
        <v>#N/A</v>
      </c>
      <c r="O4047" s="16" t="s">
        <v>77</v>
      </c>
      <c r="P4047" s="16" t="str">
        <f t="shared" si="6"/>
        <v/>
      </c>
      <c r="Q4047" s="41" t="e">
        <f t="shared" si="7867"/>
        <v>#N/A</v>
      </c>
      <c r="R4047" s="44"/>
      <c r="S4047" s="44"/>
      <c r="T4047" s="43"/>
      <c r="U4047" s="43" t="str">
        <f t="shared" si="8"/>
        <v>No</v>
      </c>
      <c r="V4047" s="25"/>
      <c r="W4047" s="25"/>
      <c r="X4047" s="25"/>
      <c r="Y4047" s="25"/>
      <c r="Z4047" s="25"/>
    </row>
    <row r="4048" spans="1:26" ht="15.75" customHeight="1" x14ac:dyDescent="0.25">
      <c r="A4048" s="25">
        <v>4046</v>
      </c>
      <c r="B4048" s="37" t="e">
        <f t="shared" si="7855"/>
        <v>#N/A</v>
      </c>
      <c r="C4048" s="38" t="e">
        <f t="shared" si="7856"/>
        <v>#N/A</v>
      </c>
      <c r="D4048" s="39" t="e">
        <f t="shared" si="7857"/>
        <v>#N/A</v>
      </c>
      <c r="E4048" s="16" t="e">
        <f t="shared" si="1"/>
        <v>#N/A</v>
      </c>
      <c r="F4048" s="16" t="e">
        <f t="shared" si="7858"/>
        <v>#N/A</v>
      </c>
      <c r="G4048" s="39" t="e">
        <f t="shared" si="7859"/>
        <v>#N/A</v>
      </c>
      <c r="H4048" s="16" t="e">
        <f t="shared" si="7860"/>
        <v>#N/A</v>
      </c>
      <c r="I4048" s="16" t="e">
        <f t="shared" si="7861"/>
        <v>#N/A</v>
      </c>
      <c r="J4048" s="40" t="e">
        <f t="shared" si="7862"/>
        <v>#N/A</v>
      </c>
      <c r="K4048" s="16" t="e">
        <f t="shared" si="7863"/>
        <v>#N/A</v>
      </c>
      <c r="L4048" s="40" t="e">
        <f t="shared" si="7864"/>
        <v>#N/A</v>
      </c>
      <c r="M4048" s="16" t="e">
        <f t="shared" si="7865"/>
        <v>#N/A</v>
      </c>
      <c r="N4048" s="16" t="e">
        <f t="shared" si="7866"/>
        <v>#N/A</v>
      </c>
      <c r="O4048" s="16" t="s">
        <v>77</v>
      </c>
      <c r="P4048" s="16" t="str">
        <f t="shared" si="6"/>
        <v/>
      </c>
      <c r="Q4048" s="41" t="e">
        <f t="shared" si="7867"/>
        <v>#N/A</v>
      </c>
      <c r="R4048" s="44"/>
      <c r="S4048" s="44"/>
      <c r="T4048" s="43"/>
      <c r="U4048" s="43" t="str">
        <f t="shared" si="8"/>
        <v>No</v>
      </c>
      <c r="V4048" s="25"/>
      <c r="W4048" s="25"/>
      <c r="X4048" s="25"/>
      <c r="Y4048" s="25"/>
      <c r="Z4048" s="25"/>
    </row>
    <row r="4049" spans="1:26" ht="15.75" customHeight="1" x14ac:dyDescent="0.25">
      <c r="A4049" s="25">
        <v>4047</v>
      </c>
      <c r="B4049" s="37" t="e">
        <f t="shared" si="7855"/>
        <v>#N/A</v>
      </c>
      <c r="C4049" s="38" t="e">
        <f t="shared" si="7856"/>
        <v>#N/A</v>
      </c>
      <c r="D4049" s="39" t="e">
        <f t="shared" si="7857"/>
        <v>#N/A</v>
      </c>
      <c r="E4049" s="16" t="e">
        <f t="shared" si="1"/>
        <v>#N/A</v>
      </c>
      <c r="F4049" s="16" t="e">
        <f t="shared" si="7858"/>
        <v>#N/A</v>
      </c>
      <c r="G4049" s="39" t="e">
        <f t="shared" si="7859"/>
        <v>#N/A</v>
      </c>
      <c r="H4049" s="16" t="e">
        <f t="shared" si="7860"/>
        <v>#N/A</v>
      </c>
      <c r="I4049" s="16" t="e">
        <f t="shared" si="7861"/>
        <v>#N/A</v>
      </c>
      <c r="J4049" s="40" t="e">
        <f t="shared" si="7862"/>
        <v>#N/A</v>
      </c>
      <c r="K4049" s="16" t="e">
        <f t="shared" si="7863"/>
        <v>#N/A</v>
      </c>
      <c r="L4049" s="40" t="e">
        <f t="shared" si="7864"/>
        <v>#N/A</v>
      </c>
      <c r="M4049" s="16" t="e">
        <f t="shared" si="7865"/>
        <v>#N/A</v>
      </c>
      <c r="N4049" s="16" t="e">
        <f t="shared" si="7866"/>
        <v>#N/A</v>
      </c>
      <c r="O4049" s="16" t="s">
        <v>77</v>
      </c>
      <c r="P4049" s="16" t="str">
        <f t="shared" si="6"/>
        <v/>
      </c>
      <c r="Q4049" s="41" t="e">
        <f t="shared" si="7867"/>
        <v>#N/A</v>
      </c>
      <c r="R4049" s="44"/>
      <c r="S4049" s="44"/>
      <c r="T4049" s="43"/>
      <c r="U4049" s="43" t="str">
        <f t="shared" si="8"/>
        <v>No</v>
      </c>
      <c r="V4049" s="25"/>
      <c r="W4049" s="25"/>
      <c r="X4049" s="25"/>
      <c r="Y4049" s="25"/>
      <c r="Z4049" s="25"/>
    </row>
    <row r="4050" spans="1:26" ht="15.75" customHeight="1" x14ac:dyDescent="0.25">
      <c r="A4050" s="25">
        <v>4048</v>
      </c>
      <c r="B4050" s="37" t="e">
        <f t="shared" si="7855"/>
        <v>#N/A</v>
      </c>
      <c r="C4050" s="38" t="e">
        <f t="shared" si="7856"/>
        <v>#N/A</v>
      </c>
      <c r="D4050" s="39" t="e">
        <f t="shared" si="7857"/>
        <v>#N/A</v>
      </c>
      <c r="E4050" s="16" t="e">
        <f t="shared" si="1"/>
        <v>#N/A</v>
      </c>
      <c r="F4050" s="16" t="e">
        <f t="shared" si="7858"/>
        <v>#N/A</v>
      </c>
      <c r="G4050" s="39" t="e">
        <f t="shared" si="7859"/>
        <v>#N/A</v>
      </c>
      <c r="H4050" s="16" t="e">
        <f t="shared" si="7860"/>
        <v>#N/A</v>
      </c>
      <c r="I4050" s="16" t="e">
        <f t="shared" si="7861"/>
        <v>#N/A</v>
      </c>
      <c r="J4050" s="40" t="e">
        <f t="shared" si="7862"/>
        <v>#N/A</v>
      </c>
      <c r="K4050" s="16" t="e">
        <f t="shared" si="7863"/>
        <v>#N/A</v>
      </c>
      <c r="L4050" s="40" t="e">
        <f t="shared" si="7864"/>
        <v>#N/A</v>
      </c>
      <c r="M4050" s="16" t="e">
        <f t="shared" si="7865"/>
        <v>#N/A</v>
      </c>
      <c r="N4050" s="16" t="e">
        <f t="shared" si="7866"/>
        <v>#N/A</v>
      </c>
      <c r="O4050" s="16" t="s">
        <v>77</v>
      </c>
      <c r="P4050" s="16" t="str">
        <f t="shared" si="6"/>
        <v/>
      </c>
      <c r="Q4050" s="41" t="e">
        <f t="shared" si="7867"/>
        <v>#N/A</v>
      </c>
      <c r="R4050" s="44"/>
      <c r="S4050" s="44"/>
      <c r="T4050" s="43"/>
      <c r="U4050" s="43" t="str">
        <f t="shared" si="8"/>
        <v>No</v>
      </c>
      <c r="V4050" s="25"/>
      <c r="W4050" s="25"/>
      <c r="X4050" s="25"/>
      <c r="Y4050" s="25"/>
      <c r="Z4050" s="25"/>
    </row>
    <row r="4051" spans="1:26" ht="15.75" customHeight="1" x14ac:dyDescent="0.25">
      <c r="A4051" s="25">
        <v>4049</v>
      </c>
      <c r="B4051" s="37" t="e">
        <f t="shared" si="7855"/>
        <v>#N/A</v>
      </c>
      <c r="C4051" s="38" t="e">
        <f t="shared" si="7856"/>
        <v>#N/A</v>
      </c>
      <c r="D4051" s="39" t="e">
        <f t="shared" si="7857"/>
        <v>#N/A</v>
      </c>
      <c r="E4051" s="16" t="e">
        <f t="shared" si="1"/>
        <v>#N/A</v>
      </c>
      <c r="F4051" s="16" t="e">
        <f t="shared" si="7858"/>
        <v>#N/A</v>
      </c>
      <c r="G4051" s="39" t="e">
        <f t="shared" si="7859"/>
        <v>#N/A</v>
      </c>
      <c r="H4051" s="16" t="e">
        <f t="shared" si="7860"/>
        <v>#N/A</v>
      </c>
      <c r="I4051" s="16" t="e">
        <f t="shared" si="7861"/>
        <v>#N/A</v>
      </c>
      <c r="J4051" s="40" t="e">
        <f t="shared" si="7862"/>
        <v>#N/A</v>
      </c>
      <c r="K4051" s="16" t="e">
        <f t="shared" si="7863"/>
        <v>#N/A</v>
      </c>
      <c r="L4051" s="40" t="e">
        <f t="shared" si="7864"/>
        <v>#N/A</v>
      </c>
      <c r="M4051" s="16" t="e">
        <f t="shared" si="7865"/>
        <v>#N/A</v>
      </c>
      <c r="N4051" s="16" t="e">
        <f t="shared" si="7866"/>
        <v>#N/A</v>
      </c>
      <c r="O4051" s="16" t="s">
        <v>77</v>
      </c>
      <c r="P4051" s="16" t="str">
        <f t="shared" si="6"/>
        <v/>
      </c>
      <c r="Q4051" s="41" t="e">
        <f t="shared" si="7867"/>
        <v>#N/A</v>
      </c>
      <c r="R4051" s="44"/>
      <c r="S4051" s="44"/>
      <c r="T4051" s="43"/>
      <c r="U4051" s="43" t="str">
        <f t="shared" si="8"/>
        <v>No</v>
      </c>
      <c r="V4051" s="25"/>
      <c r="W4051" s="25"/>
      <c r="X4051" s="25"/>
      <c r="Y4051" s="25"/>
      <c r="Z4051" s="25"/>
    </row>
    <row r="4052" spans="1:26" ht="15.75" customHeight="1" x14ac:dyDescent="0.25">
      <c r="A4052" s="25">
        <v>4050</v>
      </c>
      <c r="B4052" s="37" t="e">
        <f t="shared" si="7855"/>
        <v>#N/A</v>
      </c>
      <c r="C4052" s="38" t="e">
        <f t="shared" si="7856"/>
        <v>#N/A</v>
      </c>
      <c r="D4052" s="39" t="e">
        <f t="shared" si="7857"/>
        <v>#N/A</v>
      </c>
      <c r="E4052" s="16" t="e">
        <f t="shared" si="1"/>
        <v>#N/A</v>
      </c>
      <c r="F4052" s="16" t="e">
        <f t="shared" si="7858"/>
        <v>#N/A</v>
      </c>
      <c r="G4052" s="39" t="e">
        <f t="shared" si="7859"/>
        <v>#N/A</v>
      </c>
      <c r="H4052" s="16" t="e">
        <f t="shared" si="7860"/>
        <v>#N/A</v>
      </c>
      <c r="I4052" s="16" t="e">
        <f t="shared" si="7861"/>
        <v>#N/A</v>
      </c>
      <c r="J4052" s="40" t="e">
        <f t="shared" si="7862"/>
        <v>#N/A</v>
      </c>
      <c r="K4052" s="16" t="e">
        <f t="shared" si="7863"/>
        <v>#N/A</v>
      </c>
      <c r="L4052" s="40" t="e">
        <f t="shared" si="7864"/>
        <v>#N/A</v>
      </c>
      <c r="M4052" s="16" t="e">
        <f t="shared" si="7865"/>
        <v>#N/A</v>
      </c>
      <c r="N4052" s="16" t="e">
        <f t="shared" si="7866"/>
        <v>#N/A</v>
      </c>
      <c r="O4052" s="16" t="s">
        <v>77</v>
      </c>
      <c r="P4052" s="16" t="str">
        <f t="shared" si="6"/>
        <v/>
      </c>
      <c r="Q4052" s="41" t="e">
        <f t="shared" si="7867"/>
        <v>#N/A</v>
      </c>
      <c r="R4052" s="44"/>
      <c r="S4052" s="44"/>
      <c r="T4052" s="43"/>
      <c r="U4052" s="43" t="str">
        <f t="shared" si="8"/>
        <v>No</v>
      </c>
      <c r="V4052" s="25"/>
      <c r="W4052" s="25"/>
      <c r="X4052" s="25"/>
      <c r="Y4052" s="25"/>
      <c r="Z4052" s="25"/>
    </row>
    <row r="4053" spans="1:26" ht="15.75" customHeight="1" x14ac:dyDescent="0.25">
      <c r="A4053" s="25">
        <v>4051</v>
      </c>
      <c r="B4053" s="37" t="e">
        <f t="shared" si="7855"/>
        <v>#N/A</v>
      </c>
      <c r="C4053" s="38" t="e">
        <f t="shared" si="7856"/>
        <v>#N/A</v>
      </c>
      <c r="D4053" s="39" t="e">
        <f t="shared" si="7857"/>
        <v>#N/A</v>
      </c>
      <c r="E4053" s="16" t="e">
        <f t="shared" si="1"/>
        <v>#N/A</v>
      </c>
      <c r="F4053" s="16" t="e">
        <f t="shared" si="7858"/>
        <v>#N/A</v>
      </c>
      <c r="G4053" s="39" t="e">
        <f t="shared" si="7859"/>
        <v>#N/A</v>
      </c>
      <c r="H4053" s="16" t="e">
        <f t="shared" si="7860"/>
        <v>#N/A</v>
      </c>
      <c r="I4053" s="16" t="e">
        <f t="shared" si="7861"/>
        <v>#N/A</v>
      </c>
      <c r="J4053" s="40" t="e">
        <f t="shared" si="7862"/>
        <v>#N/A</v>
      </c>
      <c r="K4053" s="16" t="e">
        <f t="shared" si="7863"/>
        <v>#N/A</v>
      </c>
      <c r="L4053" s="40" t="e">
        <f t="shared" si="7864"/>
        <v>#N/A</v>
      </c>
      <c r="M4053" s="16" t="e">
        <f t="shared" si="7865"/>
        <v>#N/A</v>
      </c>
      <c r="N4053" s="16" t="e">
        <f t="shared" si="7866"/>
        <v>#N/A</v>
      </c>
      <c r="O4053" s="16" t="s">
        <v>77</v>
      </c>
      <c r="P4053" s="16" t="str">
        <f t="shared" si="6"/>
        <v/>
      </c>
      <c r="Q4053" s="41" t="e">
        <f t="shared" si="7867"/>
        <v>#N/A</v>
      </c>
      <c r="R4053" s="44"/>
      <c r="S4053" s="44"/>
      <c r="T4053" s="43"/>
      <c r="U4053" s="43" t="str">
        <f t="shared" si="8"/>
        <v>No</v>
      </c>
      <c r="V4053" s="25"/>
      <c r="W4053" s="25"/>
      <c r="X4053" s="25"/>
      <c r="Y4053" s="25"/>
      <c r="Z4053" s="25"/>
    </row>
    <row r="4054" spans="1:26" ht="15.75" customHeight="1" x14ac:dyDescent="0.25">
      <c r="A4054" s="25">
        <v>4052</v>
      </c>
      <c r="B4054" s="37" t="e">
        <f t="shared" si="7855"/>
        <v>#N/A</v>
      </c>
      <c r="C4054" s="38" t="e">
        <f t="shared" si="7856"/>
        <v>#N/A</v>
      </c>
      <c r="D4054" s="39" t="e">
        <f t="shared" si="7857"/>
        <v>#N/A</v>
      </c>
      <c r="E4054" s="16" t="e">
        <f t="shared" si="1"/>
        <v>#N/A</v>
      </c>
      <c r="F4054" s="16" t="e">
        <f t="shared" si="7858"/>
        <v>#N/A</v>
      </c>
      <c r="G4054" s="39" t="e">
        <f t="shared" si="7859"/>
        <v>#N/A</v>
      </c>
      <c r="H4054" s="16" t="e">
        <f t="shared" si="7860"/>
        <v>#N/A</v>
      </c>
      <c r="I4054" s="16" t="e">
        <f t="shared" si="7861"/>
        <v>#N/A</v>
      </c>
      <c r="J4054" s="40" t="e">
        <f t="shared" si="7862"/>
        <v>#N/A</v>
      </c>
      <c r="K4054" s="16" t="e">
        <f t="shared" si="7863"/>
        <v>#N/A</v>
      </c>
      <c r="L4054" s="40" t="e">
        <f t="shared" si="7864"/>
        <v>#N/A</v>
      </c>
      <c r="M4054" s="16" t="e">
        <f t="shared" si="7865"/>
        <v>#N/A</v>
      </c>
      <c r="N4054" s="16" t="e">
        <f t="shared" si="7866"/>
        <v>#N/A</v>
      </c>
      <c r="O4054" s="16" t="s">
        <v>77</v>
      </c>
      <c r="P4054" s="16" t="str">
        <f t="shared" si="6"/>
        <v/>
      </c>
      <c r="Q4054" s="41" t="e">
        <f t="shared" si="7867"/>
        <v>#N/A</v>
      </c>
      <c r="R4054" s="44"/>
      <c r="S4054" s="44"/>
      <c r="T4054" s="43"/>
      <c r="U4054" s="43" t="str">
        <f t="shared" si="8"/>
        <v>No</v>
      </c>
      <c r="V4054" s="25"/>
      <c r="W4054" s="25"/>
      <c r="X4054" s="25"/>
      <c r="Y4054" s="25"/>
      <c r="Z4054" s="25"/>
    </row>
    <row r="4055" spans="1:26" ht="15.75" customHeight="1" x14ac:dyDescent="0.25">
      <c r="A4055" s="25">
        <v>4053</v>
      </c>
      <c r="B4055" s="37" t="e">
        <f t="shared" si="7855"/>
        <v>#N/A</v>
      </c>
      <c r="C4055" s="38" t="e">
        <f t="shared" si="7856"/>
        <v>#N/A</v>
      </c>
      <c r="D4055" s="39" t="e">
        <f t="shared" si="7857"/>
        <v>#N/A</v>
      </c>
      <c r="E4055" s="16" t="e">
        <f t="shared" si="1"/>
        <v>#N/A</v>
      </c>
      <c r="F4055" s="16" t="e">
        <f t="shared" si="7858"/>
        <v>#N/A</v>
      </c>
      <c r="G4055" s="39" t="e">
        <f t="shared" si="7859"/>
        <v>#N/A</v>
      </c>
      <c r="H4055" s="16" t="e">
        <f t="shared" si="7860"/>
        <v>#N/A</v>
      </c>
      <c r="I4055" s="16" t="e">
        <f t="shared" si="7861"/>
        <v>#N/A</v>
      </c>
      <c r="J4055" s="40" t="e">
        <f t="shared" si="7862"/>
        <v>#N/A</v>
      </c>
      <c r="K4055" s="16" t="e">
        <f t="shared" si="7863"/>
        <v>#N/A</v>
      </c>
      <c r="L4055" s="40" t="e">
        <f t="shared" si="7864"/>
        <v>#N/A</v>
      </c>
      <c r="M4055" s="16" t="e">
        <f t="shared" si="7865"/>
        <v>#N/A</v>
      </c>
      <c r="N4055" s="16" t="e">
        <f t="shared" si="7866"/>
        <v>#N/A</v>
      </c>
      <c r="O4055" s="16" t="s">
        <v>77</v>
      </c>
      <c r="P4055" s="16" t="str">
        <f t="shared" si="6"/>
        <v/>
      </c>
      <c r="Q4055" s="41" t="e">
        <f t="shared" si="7867"/>
        <v>#N/A</v>
      </c>
      <c r="R4055" s="44"/>
      <c r="S4055" s="44"/>
      <c r="T4055" s="43"/>
      <c r="U4055" s="43" t="str">
        <f t="shared" si="8"/>
        <v>No</v>
      </c>
      <c r="V4055" s="25"/>
      <c r="W4055" s="25"/>
      <c r="X4055" s="25"/>
      <c r="Y4055" s="25"/>
      <c r="Z4055" s="25"/>
    </row>
    <row r="4056" spans="1:26" ht="15.75" customHeight="1" x14ac:dyDescent="0.25">
      <c r="A4056" s="25">
        <v>4054</v>
      </c>
      <c r="B4056" s="37" t="e">
        <f t="shared" si="7855"/>
        <v>#N/A</v>
      </c>
      <c r="C4056" s="38" t="e">
        <f t="shared" si="7856"/>
        <v>#N/A</v>
      </c>
      <c r="D4056" s="39" t="e">
        <f t="shared" si="7857"/>
        <v>#N/A</v>
      </c>
      <c r="E4056" s="16" t="e">
        <f t="shared" si="1"/>
        <v>#N/A</v>
      </c>
      <c r="F4056" s="16" t="e">
        <f t="shared" si="7858"/>
        <v>#N/A</v>
      </c>
      <c r="G4056" s="39" t="e">
        <f t="shared" si="7859"/>
        <v>#N/A</v>
      </c>
      <c r="H4056" s="16" t="e">
        <f t="shared" si="7860"/>
        <v>#N/A</v>
      </c>
      <c r="I4056" s="16" t="e">
        <f t="shared" si="7861"/>
        <v>#N/A</v>
      </c>
      <c r="J4056" s="40" t="e">
        <f t="shared" si="7862"/>
        <v>#N/A</v>
      </c>
      <c r="K4056" s="16" t="e">
        <f t="shared" si="7863"/>
        <v>#N/A</v>
      </c>
      <c r="L4056" s="40" t="e">
        <f t="shared" si="7864"/>
        <v>#N/A</v>
      </c>
      <c r="M4056" s="16" t="e">
        <f t="shared" si="7865"/>
        <v>#N/A</v>
      </c>
      <c r="N4056" s="16" t="e">
        <f t="shared" si="7866"/>
        <v>#N/A</v>
      </c>
      <c r="O4056" s="16" t="s">
        <v>77</v>
      </c>
      <c r="P4056" s="16" t="str">
        <f t="shared" si="6"/>
        <v/>
      </c>
      <c r="Q4056" s="41" t="e">
        <f t="shared" si="7867"/>
        <v>#N/A</v>
      </c>
      <c r="R4056" s="44"/>
      <c r="S4056" s="44"/>
      <c r="T4056" s="43"/>
      <c r="U4056" s="43" t="str">
        <f t="shared" si="8"/>
        <v>No</v>
      </c>
      <c r="V4056" s="25"/>
      <c r="W4056" s="25"/>
      <c r="X4056" s="25"/>
      <c r="Y4056" s="25"/>
      <c r="Z4056" s="25"/>
    </row>
    <row r="4057" spans="1:26" ht="15.75" customHeight="1" x14ac:dyDescent="0.25">
      <c r="A4057" s="25">
        <v>4055</v>
      </c>
      <c r="B4057" s="37" t="e">
        <f t="shared" si="7855"/>
        <v>#N/A</v>
      </c>
      <c r="C4057" s="38" t="e">
        <f t="shared" si="7856"/>
        <v>#N/A</v>
      </c>
      <c r="D4057" s="39" t="e">
        <f t="shared" si="7857"/>
        <v>#N/A</v>
      </c>
      <c r="E4057" s="16" t="e">
        <f t="shared" si="1"/>
        <v>#N/A</v>
      </c>
      <c r="F4057" s="16" t="e">
        <f t="shared" si="7858"/>
        <v>#N/A</v>
      </c>
      <c r="G4057" s="39" t="e">
        <f t="shared" si="7859"/>
        <v>#N/A</v>
      </c>
      <c r="H4057" s="16" t="e">
        <f t="shared" si="7860"/>
        <v>#N/A</v>
      </c>
      <c r="I4057" s="16" t="e">
        <f t="shared" si="7861"/>
        <v>#N/A</v>
      </c>
      <c r="J4057" s="40" t="e">
        <f t="shared" si="7862"/>
        <v>#N/A</v>
      </c>
      <c r="K4057" s="16" t="e">
        <f t="shared" si="7863"/>
        <v>#N/A</v>
      </c>
      <c r="L4057" s="40" t="e">
        <f t="shared" si="7864"/>
        <v>#N/A</v>
      </c>
      <c r="M4057" s="16" t="e">
        <f t="shared" si="7865"/>
        <v>#N/A</v>
      </c>
      <c r="N4057" s="16" t="e">
        <f t="shared" si="7866"/>
        <v>#N/A</v>
      </c>
      <c r="O4057" s="16" t="s">
        <v>77</v>
      </c>
      <c r="P4057" s="16" t="str">
        <f t="shared" si="6"/>
        <v/>
      </c>
      <c r="Q4057" s="41" t="e">
        <f t="shared" si="7867"/>
        <v>#N/A</v>
      </c>
      <c r="R4057" s="44"/>
      <c r="S4057" s="44"/>
      <c r="T4057" s="43"/>
      <c r="U4057" s="43" t="str">
        <f t="shared" si="8"/>
        <v>No</v>
      </c>
      <c r="V4057" s="25"/>
      <c r="W4057" s="25"/>
      <c r="X4057" s="25"/>
      <c r="Y4057" s="25"/>
      <c r="Z4057" s="25"/>
    </row>
    <row r="4058" spans="1:26" ht="15.75" customHeight="1" x14ac:dyDescent="0.25">
      <c r="A4058" s="25">
        <v>4056</v>
      </c>
      <c r="B4058" s="37" t="e">
        <f t="shared" si="7855"/>
        <v>#N/A</v>
      </c>
      <c r="C4058" s="38" t="e">
        <f t="shared" si="7856"/>
        <v>#N/A</v>
      </c>
      <c r="D4058" s="39" t="e">
        <f t="shared" si="7857"/>
        <v>#N/A</v>
      </c>
      <c r="E4058" s="16" t="e">
        <f t="shared" si="1"/>
        <v>#N/A</v>
      </c>
      <c r="F4058" s="16" t="e">
        <f t="shared" si="7858"/>
        <v>#N/A</v>
      </c>
      <c r="G4058" s="39" t="e">
        <f t="shared" si="7859"/>
        <v>#N/A</v>
      </c>
      <c r="H4058" s="16" t="e">
        <f t="shared" si="7860"/>
        <v>#N/A</v>
      </c>
      <c r="I4058" s="16" t="e">
        <f t="shared" si="7861"/>
        <v>#N/A</v>
      </c>
      <c r="J4058" s="40" t="e">
        <f t="shared" si="7862"/>
        <v>#N/A</v>
      </c>
      <c r="K4058" s="16" t="e">
        <f t="shared" si="7863"/>
        <v>#N/A</v>
      </c>
      <c r="L4058" s="40" t="e">
        <f t="shared" si="7864"/>
        <v>#N/A</v>
      </c>
      <c r="M4058" s="16" t="e">
        <f t="shared" si="7865"/>
        <v>#N/A</v>
      </c>
      <c r="N4058" s="16" t="e">
        <f t="shared" si="7866"/>
        <v>#N/A</v>
      </c>
      <c r="O4058" s="16" t="s">
        <v>77</v>
      </c>
      <c r="P4058" s="16" t="str">
        <f t="shared" si="6"/>
        <v/>
      </c>
      <c r="Q4058" s="41" t="e">
        <f t="shared" si="7867"/>
        <v>#N/A</v>
      </c>
      <c r="R4058" s="44"/>
      <c r="S4058" s="44"/>
      <c r="T4058" s="43"/>
      <c r="U4058" s="43" t="str">
        <f t="shared" si="8"/>
        <v>No</v>
      </c>
      <c r="V4058" s="25"/>
      <c r="W4058" s="25"/>
      <c r="X4058" s="25"/>
      <c r="Y4058" s="25"/>
      <c r="Z4058" s="25"/>
    </row>
    <row r="4059" spans="1:26" ht="15.75" customHeight="1" x14ac:dyDescent="0.25">
      <c r="A4059" s="25">
        <v>4057</v>
      </c>
      <c r="B4059" s="37" t="e">
        <f t="shared" si="7855"/>
        <v>#N/A</v>
      </c>
      <c r="C4059" s="38" t="e">
        <f t="shared" si="7856"/>
        <v>#N/A</v>
      </c>
      <c r="D4059" s="39" t="e">
        <f t="shared" si="7857"/>
        <v>#N/A</v>
      </c>
      <c r="E4059" s="16" t="e">
        <f t="shared" si="1"/>
        <v>#N/A</v>
      </c>
      <c r="F4059" s="16" t="e">
        <f t="shared" si="7858"/>
        <v>#N/A</v>
      </c>
      <c r="G4059" s="39" t="e">
        <f t="shared" si="7859"/>
        <v>#N/A</v>
      </c>
      <c r="H4059" s="16" t="e">
        <f t="shared" si="7860"/>
        <v>#N/A</v>
      </c>
      <c r="I4059" s="16" t="e">
        <f t="shared" si="7861"/>
        <v>#N/A</v>
      </c>
      <c r="J4059" s="40" t="e">
        <f t="shared" si="7862"/>
        <v>#N/A</v>
      </c>
      <c r="K4059" s="16" t="e">
        <f t="shared" si="7863"/>
        <v>#N/A</v>
      </c>
      <c r="L4059" s="40" t="e">
        <f t="shared" si="7864"/>
        <v>#N/A</v>
      </c>
      <c r="M4059" s="16" t="e">
        <f t="shared" si="7865"/>
        <v>#N/A</v>
      </c>
      <c r="N4059" s="16" t="e">
        <f t="shared" si="7866"/>
        <v>#N/A</v>
      </c>
      <c r="O4059" s="16" t="s">
        <v>77</v>
      </c>
      <c r="P4059" s="16" t="str">
        <f t="shared" si="6"/>
        <v/>
      </c>
      <c r="Q4059" s="41" t="e">
        <f t="shared" si="7867"/>
        <v>#N/A</v>
      </c>
      <c r="R4059" s="44"/>
      <c r="S4059" s="44"/>
      <c r="T4059" s="43"/>
      <c r="U4059" s="43" t="str">
        <f t="shared" si="8"/>
        <v>No</v>
      </c>
      <c r="V4059" s="25"/>
      <c r="W4059" s="25"/>
      <c r="X4059" s="25"/>
      <c r="Y4059" s="25"/>
      <c r="Z4059" s="25"/>
    </row>
    <row r="4060" spans="1:26" ht="15.75" customHeight="1" x14ac:dyDescent="0.25">
      <c r="A4060" s="25">
        <v>4058</v>
      </c>
      <c r="B4060" s="37" t="e">
        <f t="shared" si="7855"/>
        <v>#N/A</v>
      </c>
      <c r="C4060" s="38" t="e">
        <f t="shared" si="7856"/>
        <v>#N/A</v>
      </c>
      <c r="D4060" s="39" t="e">
        <f t="shared" si="7857"/>
        <v>#N/A</v>
      </c>
      <c r="E4060" s="16" t="e">
        <f t="shared" si="1"/>
        <v>#N/A</v>
      </c>
      <c r="F4060" s="16" t="e">
        <f t="shared" si="7858"/>
        <v>#N/A</v>
      </c>
      <c r="G4060" s="39" t="e">
        <f t="shared" si="7859"/>
        <v>#N/A</v>
      </c>
      <c r="H4060" s="16" t="e">
        <f t="shared" si="7860"/>
        <v>#N/A</v>
      </c>
      <c r="I4060" s="16" t="e">
        <f t="shared" si="7861"/>
        <v>#N/A</v>
      </c>
      <c r="J4060" s="40" t="e">
        <f t="shared" si="7862"/>
        <v>#N/A</v>
      </c>
      <c r="K4060" s="16" t="e">
        <f t="shared" si="7863"/>
        <v>#N/A</v>
      </c>
      <c r="L4060" s="40" t="e">
        <f t="shared" si="7864"/>
        <v>#N/A</v>
      </c>
      <c r="M4060" s="16" t="e">
        <f t="shared" si="7865"/>
        <v>#N/A</v>
      </c>
      <c r="N4060" s="16" t="e">
        <f t="shared" si="7866"/>
        <v>#N/A</v>
      </c>
      <c r="O4060" s="16" t="s">
        <v>77</v>
      </c>
      <c r="P4060" s="16" t="str">
        <f t="shared" si="6"/>
        <v/>
      </c>
      <c r="Q4060" s="41" t="e">
        <f t="shared" si="7867"/>
        <v>#N/A</v>
      </c>
      <c r="R4060" s="44"/>
      <c r="S4060" s="44"/>
      <c r="T4060" s="43"/>
      <c r="U4060" s="43" t="str">
        <f t="shared" si="8"/>
        <v>No</v>
      </c>
      <c r="V4060" s="25"/>
      <c r="W4060" s="25"/>
      <c r="X4060" s="25"/>
      <c r="Y4060" s="25"/>
      <c r="Z4060" s="25"/>
    </row>
    <row r="4061" spans="1:26" ht="15.75" customHeight="1" x14ac:dyDescent="0.25">
      <c r="A4061" s="25">
        <v>4059</v>
      </c>
      <c r="B4061" s="37" t="e">
        <f t="shared" si="7855"/>
        <v>#N/A</v>
      </c>
      <c r="C4061" s="38" t="e">
        <f t="shared" si="7856"/>
        <v>#N/A</v>
      </c>
      <c r="D4061" s="39" t="e">
        <f t="shared" si="7857"/>
        <v>#N/A</v>
      </c>
      <c r="E4061" s="16" t="e">
        <f t="shared" si="1"/>
        <v>#N/A</v>
      </c>
      <c r="F4061" s="16" t="e">
        <f t="shared" si="7858"/>
        <v>#N/A</v>
      </c>
      <c r="G4061" s="39" t="e">
        <f t="shared" si="7859"/>
        <v>#N/A</v>
      </c>
      <c r="H4061" s="16" t="e">
        <f t="shared" si="7860"/>
        <v>#N/A</v>
      </c>
      <c r="I4061" s="16" t="e">
        <f t="shared" si="7861"/>
        <v>#N/A</v>
      </c>
      <c r="J4061" s="40" t="e">
        <f t="shared" si="7862"/>
        <v>#N/A</v>
      </c>
      <c r="K4061" s="16" t="e">
        <f t="shared" si="7863"/>
        <v>#N/A</v>
      </c>
      <c r="L4061" s="40" t="e">
        <f t="shared" si="7864"/>
        <v>#N/A</v>
      </c>
      <c r="M4061" s="16" t="e">
        <f t="shared" si="7865"/>
        <v>#N/A</v>
      </c>
      <c r="N4061" s="16" t="e">
        <f t="shared" si="7866"/>
        <v>#N/A</v>
      </c>
      <c r="O4061" s="16" t="s">
        <v>77</v>
      </c>
      <c r="P4061" s="16" t="str">
        <f t="shared" si="6"/>
        <v/>
      </c>
      <c r="Q4061" s="41" t="e">
        <f t="shared" si="7867"/>
        <v>#N/A</v>
      </c>
      <c r="R4061" s="44"/>
      <c r="S4061" s="44"/>
      <c r="T4061" s="43"/>
      <c r="U4061" s="43" t="str">
        <f t="shared" si="8"/>
        <v>No</v>
      </c>
      <c r="V4061" s="25"/>
      <c r="W4061" s="25"/>
      <c r="X4061" s="25"/>
      <c r="Y4061" s="25"/>
      <c r="Z4061" s="25"/>
    </row>
    <row r="4062" spans="1:26" ht="15.75" customHeight="1" x14ac:dyDescent="0.25">
      <c r="A4062" s="25">
        <v>4060</v>
      </c>
      <c r="B4062" s="37" t="e">
        <f t="shared" si="7855"/>
        <v>#N/A</v>
      </c>
      <c r="C4062" s="38" t="e">
        <f t="shared" si="7856"/>
        <v>#N/A</v>
      </c>
      <c r="D4062" s="39" t="e">
        <f t="shared" si="7857"/>
        <v>#N/A</v>
      </c>
      <c r="E4062" s="16" t="e">
        <f t="shared" si="1"/>
        <v>#N/A</v>
      </c>
      <c r="F4062" s="16" t="e">
        <f t="shared" si="7858"/>
        <v>#N/A</v>
      </c>
      <c r="G4062" s="39" t="e">
        <f t="shared" si="7859"/>
        <v>#N/A</v>
      </c>
      <c r="H4062" s="16" t="e">
        <f t="shared" si="7860"/>
        <v>#N/A</v>
      </c>
      <c r="I4062" s="16" t="e">
        <f t="shared" si="7861"/>
        <v>#N/A</v>
      </c>
      <c r="J4062" s="40" t="e">
        <f t="shared" si="7862"/>
        <v>#N/A</v>
      </c>
      <c r="K4062" s="16" t="e">
        <f t="shared" si="7863"/>
        <v>#N/A</v>
      </c>
      <c r="L4062" s="40" t="e">
        <f t="shared" si="7864"/>
        <v>#N/A</v>
      </c>
      <c r="M4062" s="16" t="e">
        <f t="shared" si="7865"/>
        <v>#N/A</v>
      </c>
      <c r="N4062" s="16" t="e">
        <f t="shared" si="7866"/>
        <v>#N/A</v>
      </c>
      <c r="O4062" s="16" t="s">
        <v>77</v>
      </c>
      <c r="P4062" s="16" t="str">
        <f t="shared" si="6"/>
        <v/>
      </c>
      <c r="Q4062" s="41" t="e">
        <f t="shared" si="7867"/>
        <v>#N/A</v>
      </c>
      <c r="R4062" s="44"/>
      <c r="S4062" s="44"/>
      <c r="T4062" s="43"/>
      <c r="U4062" s="43" t="str">
        <f t="shared" si="8"/>
        <v>No</v>
      </c>
      <c r="V4062" s="25"/>
      <c r="W4062" s="25"/>
      <c r="X4062" s="25"/>
      <c r="Y4062" s="25"/>
      <c r="Z4062" s="25"/>
    </row>
    <row r="4063" spans="1:26" ht="15.75" customHeight="1" x14ac:dyDescent="0.25">
      <c r="A4063" s="25">
        <v>4061</v>
      </c>
      <c r="B4063" s="37" t="e">
        <f t="shared" si="7855"/>
        <v>#N/A</v>
      </c>
      <c r="C4063" s="38" t="e">
        <f t="shared" si="7856"/>
        <v>#N/A</v>
      </c>
      <c r="D4063" s="39" t="e">
        <f t="shared" si="7857"/>
        <v>#N/A</v>
      </c>
      <c r="E4063" s="16" t="e">
        <f t="shared" si="1"/>
        <v>#N/A</v>
      </c>
      <c r="F4063" s="16" t="e">
        <f t="shared" si="7858"/>
        <v>#N/A</v>
      </c>
      <c r="G4063" s="39" t="e">
        <f t="shared" si="7859"/>
        <v>#N/A</v>
      </c>
      <c r="H4063" s="16" t="e">
        <f t="shared" si="7860"/>
        <v>#N/A</v>
      </c>
      <c r="I4063" s="16" t="e">
        <f t="shared" si="7861"/>
        <v>#N/A</v>
      </c>
      <c r="J4063" s="40" t="e">
        <f t="shared" si="7862"/>
        <v>#N/A</v>
      </c>
      <c r="K4063" s="16" t="e">
        <f t="shared" si="7863"/>
        <v>#N/A</v>
      </c>
      <c r="L4063" s="40" t="e">
        <f t="shared" si="7864"/>
        <v>#N/A</v>
      </c>
      <c r="M4063" s="16" t="e">
        <f t="shared" si="7865"/>
        <v>#N/A</v>
      </c>
      <c r="N4063" s="16" t="e">
        <f t="shared" si="7866"/>
        <v>#N/A</v>
      </c>
      <c r="O4063" s="16" t="s">
        <v>77</v>
      </c>
      <c r="P4063" s="16" t="str">
        <f t="shared" si="6"/>
        <v/>
      </c>
      <c r="Q4063" s="41" t="e">
        <f t="shared" si="7867"/>
        <v>#N/A</v>
      </c>
      <c r="R4063" s="44"/>
      <c r="S4063" s="44"/>
      <c r="T4063" s="43"/>
      <c r="U4063" s="43" t="str">
        <f t="shared" si="8"/>
        <v>No</v>
      </c>
      <c r="V4063" s="25"/>
      <c r="W4063" s="25"/>
      <c r="X4063" s="25"/>
      <c r="Y4063" s="25"/>
      <c r="Z4063" s="25"/>
    </row>
    <row r="4064" spans="1:26" ht="15.75" customHeight="1" x14ac:dyDescent="0.25">
      <c r="A4064" s="25">
        <v>4062</v>
      </c>
      <c r="B4064" s="37" t="e">
        <f t="shared" si="7855"/>
        <v>#N/A</v>
      </c>
      <c r="C4064" s="38" t="e">
        <f t="shared" si="7856"/>
        <v>#N/A</v>
      </c>
      <c r="D4064" s="39" t="e">
        <f t="shared" si="7857"/>
        <v>#N/A</v>
      </c>
      <c r="E4064" s="16" t="e">
        <f t="shared" si="1"/>
        <v>#N/A</v>
      </c>
      <c r="F4064" s="16" t="e">
        <f t="shared" si="7858"/>
        <v>#N/A</v>
      </c>
      <c r="G4064" s="39" t="e">
        <f t="shared" si="7859"/>
        <v>#N/A</v>
      </c>
      <c r="H4064" s="16" t="e">
        <f t="shared" si="7860"/>
        <v>#N/A</v>
      </c>
      <c r="I4064" s="16" t="e">
        <f t="shared" si="7861"/>
        <v>#N/A</v>
      </c>
      <c r="J4064" s="40" t="e">
        <f t="shared" si="7862"/>
        <v>#N/A</v>
      </c>
      <c r="K4064" s="16" t="e">
        <f t="shared" si="7863"/>
        <v>#N/A</v>
      </c>
      <c r="L4064" s="40" t="e">
        <f t="shared" si="7864"/>
        <v>#N/A</v>
      </c>
      <c r="M4064" s="16" t="e">
        <f t="shared" si="7865"/>
        <v>#N/A</v>
      </c>
      <c r="N4064" s="16" t="e">
        <f t="shared" si="7866"/>
        <v>#N/A</v>
      </c>
      <c r="O4064" s="16" t="s">
        <v>77</v>
      </c>
      <c r="P4064" s="16" t="str">
        <f t="shared" si="6"/>
        <v/>
      </c>
      <c r="Q4064" s="41" t="e">
        <f t="shared" si="7867"/>
        <v>#N/A</v>
      </c>
      <c r="R4064" s="44"/>
      <c r="S4064" s="44"/>
      <c r="T4064" s="43"/>
      <c r="U4064" s="43" t="str">
        <f t="shared" si="8"/>
        <v>No</v>
      </c>
      <c r="V4064" s="25"/>
      <c r="W4064" s="25"/>
      <c r="X4064" s="25"/>
      <c r="Y4064" s="25"/>
      <c r="Z4064" s="25"/>
    </row>
    <row r="4065" spans="1:26" ht="15.75" customHeight="1" x14ac:dyDescent="0.25">
      <c r="A4065" s="25">
        <v>4063</v>
      </c>
      <c r="B4065" s="37" t="e">
        <f t="shared" si="7855"/>
        <v>#N/A</v>
      </c>
      <c r="C4065" s="38" t="e">
        <f t="shared" si="7856"/>
        <v>#N/A</v>
      </c>
      <c r="D4065" s="39" t="e">
        <f t="shared" si="7857"/>
        <v>#N/A</v>
      </c>
      <c r="E4065" s="16" t="e">
        <f t="shared" si="1"/>
        <v>#N/A</v>
      </c>
      <c r="F4065" s="16" t="e">
        <f t="shared" si="7858"/>
        <v>#N/A</v>
      </c>
      <c r="G4065" s="39" t="e">
        <f t="shared" si="7859"/>
        <v>#N/A</v>
      </c>
      <c r="H4065" s="16" t="e">
        <f t="shared" si="7860"/>
        <v>#N/A</v>
      </c>
      <c r="I4065" s="16" t="e">
        <f t="shared" si="7861"/>
        <v>#N/A</v>
      </c>
      <c r="J4065" s="40" t="e">
        <f t="shared" si="7862"/>
        <v>#N/A</v>
      </c>
      <c r="K4065" s="16" t="e">
        <f t="shared" si="7863"/>
        <v>#N/A</v>
      </c>
      <c r="L4065" s="40" t="e">
        <f t="shared" si="7864"/>
        <v>#N/A</v>
      </c>
      <c r="M4065" s="16" t="e">
        <f t="shared" si="7865"/>
        <v>#N/A</v>
      </c>
      <c r="N4065" s="16" t="e">
        <f t="shared" si="7866"/>
        <v>#N/A</v>
      </c>
      <c r="O4065" s="16" t="s">
        <v>77</v>
      </c>
      <c r="P4065" s="16" t="str">
        <f t="shared" si="6"/>
        <v/>
      </c>
      <c r="Q4065" s="41" t="e">
        <f t="shared" si="7867"/>
        <v>#N/A</v>
      </c>
      <c r="R4065" s="44"/>
      <c r="S4065" s="44"/>
      <c r="T4065" s="43"/>
      <c r="U4065" s="43" t="str">
        <f t="shared" si="8"/>
        <v>No</v>
      </c>
      <c r="V4065" s="25"/>
      <c r="W4065" s="25"/>
      <c r="X4065" s="25"/>
      <c r="Y4065" s="25"/>
      <c r="Z4065" s="25"/>
    </row>
    <row r="4066" spans="1:26" ht="15.75" customHeight="1" x14ac:dyDescent="0.25">
      <c r="A4066" s="25">
        <v>4064</v>
      </c>
      <c r="B4066" s="37" t="e">
        <f t="shared" si="7855"/>
        <v>#N/A</v>
      </c>
      <c r="C4066" s="38" t="e">
        <f t="shared" si="7856"/>
        <v>#N/A</v>
      </c>
      <c r="D4066" s="39" t="e">
        <f t="shared" si="7857"/>
        <v>#N/A</v>
      </c>
      <c r="E4066" s="16" t="e">
        <f t="shared" si="1"/>
        <v>#N/A</v>
      </c>
      <c r="F4066" s="16" t="e">
        <f t="shared" si="7858"/>
        <v>#N/A</v>
      </c>
      <c r="G4066" s="39" t="e">
        <f t="shared" si="7859"/>
        <v>#N/A</v>
      </c>
      <c r="H4066" s="16" t="e">
        <f t="shared" si="7860"/>
        <v>#N/A</v>
      </c>
      <c r="I4066" s="16" t="e">
        <f t="shared" si="7861"/>
        <v>#N/A</v>
      </c>
      <c r="J4066" s="40" t="e">
        <f t="shared" si="7862"/>
        <v>#N/A</v>
      </c>
      <c r="K4066" s="16" t="e">
        <f t="shared" si="7863"/>
        <v>#N/A</v>
      </c>
      <c r="L4066" s="40" t="e">
        <f t="shared" si="7864"/>
        <v>#N/A</v>
      </c>
      <c r="M4066" s="16" t="e">
        <f t="shared" si="7865"/>
        <v>#N/A</v>
      </c>
      <c r="N4066" s="16" t="e">
        <f t="shared" si="7866"/>
        <v>#N/A</v>
      </c>
      <c r="O4066" s="16" t="s">
        <v>77</v>
      </c>
      <c r="P4066" s="16" t="str">
        <f t="shared" si="6"/>
        <v/>
      </c>
      <c r="Q4066" s="41" t="e">
        <f t="shared" si="7867"/>
        <v>#N/A</v>
      </c>
      <c r="R4066" s="44"/>
      <c r="S4066" s="44"/>
      <c r="T4066" s="43"/>
      <c r="U4066" s="43" t="str">
        <f t="shared" si="8"/>
        <v>No</v>
      </c>
      <c r="V4066" s="25"/>
      <c r="W4066" s="25"/>
      <c r="X4066" s="25"/>
      <c r="Y4066" s="25"/>
      <c r="Z4066" s="25"/>
    </row>
    <row r="4067" spans="1:26" ht="15.75" customHeight="1" x14ac:dyDescent="0.25">
      <c r="A4067" s="25">
        <v>4065</v>
      </c>
      <c r="B4067" s="37" t="e">
        <f t="shared" si="7855"/>
        <v>#N/A</v>
      </c>
      <c r="C4067" s="38" t="e">
        <f t="shared" si="7856"/>
        <v>#N/A</v>
      </c>
      <c r="D4067" s="39" t="e">
        <f t="shared" si="7857"/>
        <v>#N/A</v>
      </c>
      <c r="E4067" s="16" t="e">
        <f t="shared" si="1"/>
        <v>#N/A</v>
      </c>
      <c r="F4067" s="16" t="e">
        <f t="shared" si="7858"/>
        <v>#N/A</v>
      </c>
      <c r="G4067" s="39" t="e">
        <f t="shared" si="7859"/>
        <v>#N/A</v>
      </c>
      <c r="H4067" s="16" t="e">
        <f t="shared" si="7860"/>
        <v>#N/A</v>
      </c>
      <c r="I4067" s="16" t="e">
        <f t="shared" si="7861"/>
        <v>#N/A</v>
      </c>
      <c r="J4067" s="40" t="e">
        <f t="shared" si="7862"/>
        <v>#N/A</v>
      </c>
      <c r="K4067" s="16" t="e">
        <f t="shared" si="7863"/>
        <v>#N/A</v>
      </c>
      <c r="L4067" s="40" t="e">
        <f t="shared" si="7864"/>
        <v>#N/A</v>
      </c>
      <c r="M4067" s="16" t="e">
        <f t="shared" si="7865"/>
        <v>#N/A</v>
      </c>
      <c r="N4067" s="16" t="e">
        <f t="shared" si="7866"/>
        <v>#N/A</v>
      </c>
      <c r="O4067" s="16" t="s">
        <v>77</v>
      </c>
      <c r="P4067" s="16" t="str">
        <f t="shared" si="6"/>
        <v/>
      </c>
      <c r="Q4067" s="41" t="e">
        <f t="shared" si="7867"/>
        <v>#N/A</v>
      </c>
      <c r="R4067" s="44"/>
      <c r="S4067" s="44"/>
      <c r="T4067" s="43"/>
      <c r="U4067" s="43" t="str">
        <f t="shared" si="8"/>
        <v>No</v>
      </c>
      <c r="V4067" s="25"/>
      <c r="W4067" s="25"/>
      <c r="X4067" s="25"/>
      <c r="Y4067" s="25"/>
      <c r="Z4067" s="25"/>
    </row>
    <row r="4068" spans="1:26" ht="15.75" customHeight="1" x14ac:dyDescent="0.25">
      <c r="A4068" s="25">
        <v>4066</v>
      </c>
      <c r="B4068" s="37" t="e">
        <f t="shared" si="7855"/>
        <v>#N/A</v>
      </c>
      <c r="C4068" s="38" t="e">
        <f t="shared" si="7856"/>
        <v>#N/A</v>
      </c>
      <c r="D4068" s="39" t="e">
        <f t="shared" si="7857"/>
        <v>#N/A</v>
      </c>
      <c r="E4068" s="16" t="e">
        <f t="shared" si="1"/>
        <v>#N/A</v>
      </c>
      <c r="F4068" s="16" t="e">
        <f t="shared" si="7858"/>
        <v>#N/A</v>
      </c>
      <c r="G4068" s="39" t="e">
        <f t="shared" si="7859"/>
        <v>#N/A</v>
      </c>
      <c r="H4068" s="16" t="e">
        <f t="shared" si="7860"/>
        <v>#N/A</v>
      </c>
      <c r="I4068" s="16" t="e">
        <f t="shared" si="7861"/>
        <v>#N/A</v>
      </c>
      <c r="J4068" s="40" t="e">
        <f t="shared" si="7862"/>
        <v>#N/A</v>
      </c>
      <c r="K4068" s="16" t="e">
        <f t="shared" si="7863"/>
        <v>#N/A</v>
      </c>
      <c r="L4068" s="40" t="e">
        <f t="shared" si="7864"/>
        <v>#N/A</v>
      </c>
      <c r="M4068" s="16" t="e">
        <f t="shared" si="7865"/>
        <v>#N/A</v>
      </c>
      <c r="N4068" s="16" t="e">
        <f t="shared" si="7866"/>
        <v>#N/A</v>
      </c>
      <c r="O4068" s="16" t="s">
        <v>77</v>
      </c>
      <c r="P4068" s="16" t="str">
        <f t="shared" si="6"/>
        <v/>
      </c>
      <c r="Q4068" s="41" t="e">
        <f t="shared" si="7867"/>
        <v>#N/A</v>
      </c>
      <c r="R4068" s="44"/>
      <c r="S4068" s="44"/>
      <c r="T4068" s="43"/>
      <c r="U4068" s="43" t="str">
        <f t="shared" si="8"/>
        <v>No</v>
      </c>
      <c r="V4068" s="25"/>
      <c r="W4068" s="25"/>
      <c r="X4068" s="25"/>
      <c r="Y4068" s="25"/>
      <c r="Z4068" s="25"/>
    </row>
    <row r="4069" spans="1:26" ht="15.75" customHeight="1" x14ac:dyDescent="0.25">
      <c r="A4069" s="25">
        <v>4067</v>
      </c>
      <c r="B4069" s="37" t="e">
        <f t="shared" si="7855"/>
        <v>#N/A</v>
      </c>
      <c r="C4069" s="38" t="e">
        <f t="shared" si="7856"/>
        <v>#N/A</v>
      </c>
      <c r="D4069" s="39" t="e">
        <f t="shared" si="7857"/>
        <v>#N/A</v>
      </c>
      <c r="E4069" s="16" t="e">
        <f t="shared" si="1"/>
        <v>#N/A</v>
      </c>
      <c r="F4069" s="16" t="e">
        <f t="shared" si="7858"/>
        <v>#N/A</v>
      </c>
      <c r="G4069" s="39" t="e">
        <f t="shared" si="7859"/>
        <v>#N/A</v>
      </c>
      <c r="H4069" s="16" t="e">
        <f t="shared" si="7860"/>
        <v>#N/A</v>
      </c>
      <c r="I4069" s="16" t="e">
        <f t="shared" si="7861"/>
        <v>#N/A</v>
      </c>
      <c r="J4069" s="40" t="e">
        <f t="shared" si="7862"/>
        <v>#N/A</v>
      </c>
      <c r="K4069" s="16" t="e">
        <f t="shared" si="7863"/>
        <v>#N/A</v>
      </c>
      <c r="L4069" s="40" t="e">
        <f t="shared" si="7864"/>
        <v>#N/A</v>
      </c>
      <c r="M4069" s="16" t="e">
        <f t="shared" si="7865"/>
        <v>#N/A</v>
      </c>
      <c r="N4069" s="16" t="e">
        <f t="shared" si="7866"/>
        <v>#N/A</v>
      </c>
      <c r="O4069" s="16" t="s">
        <v>77</v>
      </c>
      <c r="P4069" s="16" t="str">
        <f t="shared" si="6"/>
        <v/>
      </c>
      <c r="Q4069" s="41" t="e">
        <f t="shared" si="7867"/>
        <v>#N/A</v>
      </c>
      <c r="R4069" s="44"/>
      <c r="S4069" s="44"/>
      <c r="T4069" s="43"/>
      <c r="U4069" s="43" t="str">
        <f t="shared" si="8"/>
        <v>No</v>
      </c>
      <c r="V4069" s="25"/>
      <c r="W4069" s="25"/>
      <c r="X4069" s="25"/>
      <c r="Y4069" s="25"/>
      <c r="Z4069" s="25"/>
    </row>
    <row r="4070" spans="1:26" ht="15.75" customHeight="1" x14ac:dyDescent="0.25">
      <c r="A4070" s="25">
        <v>4068</v>
      </c>
      <c r="B4070" s="37" t="e">
        <f t="shared" si="7855"/>
        <v>#N/A</v>
      </c>
      <c r="C4070" s="38" t="e">
        <f t="shared" si="7856"/>
        <v>#N/A</v>
      </c>
      <c r="D4070" s="39" t="e">
        <f t="shared" si="7857"/>
        <v>#N/A</v>
      </c>
      <c r="E4070" s="16" t="e">
        <f t="shared" si="1"/>
        <v>#N/A</v>
      </c>
      <c r="F4070" s="16" t="e">
        <f t="shared" si="7858"/>
        <v>#N/A</v>
      </c>
      <c r="G4070" s="39" t="e">
        <f t="shared" si="7859"/>
        <v>#N/A</v>
      </c>
      <c r="H4070" s="16" t="e">
        <f t="shared" si="7860"/>
        <v>#N/A</v>
      </c>
      <c r="I4070" s="16" t="e">
        <f t="shared" si="7861"/>
        <v>#N/A</v>
      </c>
      <c r="J4070" s="40" t="e">
        <f t="shared" si="7862"/>
        <v>#N/A</v>
      </c>
      <c r="K4070" s="16" t="e">
        <f t="shared" si="7863"/>
        <v>#N/A</v>
      </c>
      <c r="L4070" s="40" t="e">
        <f t="shared" si="7864"/>
        <v>#N/A</v>
      </c>
      <c r="M4070" s="16" t="e">
        <f t="shared" si="7865"/>
        <v>#N/A</v>
      </c>
      <c r="N4070" s="16" t="e">
        <f t="shared" si="7866"/>
        <v>#N/A</v>
      </c>
      <c r="O4070" s="16" t="s">
        <v>77</v>
      </c>
      <c r="P4070" s="16" t="str">
        <f t="shared" si="6"/>
        <v/>
      </c>
      <c r="Q4070" s="41" t="e">
        <f t="shared" si="7867"/>
        <v>#N/A</v>
      </c>
      <c r="R4070" s="44"/>
      <c r="S4070" s="44"/>
      <c r="T4070" s="43"/>
      <c r="U4070" s="43" t="str">
        <f t="shared" si="8"/>
        <v>No</v>
      </c>
      <c r="V4070" s="25"/>
      <c r="W4070" s="25"/>
      <c r="X4070" s="25"/>
      <c r="Y4070" s="25"/>
      <c r="Z4070" s="25"/>
    </row>
    <row r="4071" spans="1:26" ht="15.75" customHeight="1" x14ac:dyDescent="0.25">
      <c r="A4071" s="25">
        <v>4069</v>
      </c>
      <c r="B4071" s="37" t="e">
        <f t="shared" si="7855"/>
        <v>#N/A</v>
      </c>
      <c r="C4071" s="38" t="e">
        <f t="shared" si="7856"/>
        <v>#N/A</v>
      </c>
      <c r="D4071" s="39" t="e">
        <f t="shared" si="7857"/>
        <v>#N/A</v>
      </c>
      <c r="E4071" s="16" t="e">
        <f t="shared" si="1"/>
        <v>#N/A</v>
      </c>
      <c r="F4071" s="16" t="e">
        <f t="shared" si="7858"/>
        <v>#N/A</v>
      </c>
      <c r="G4071" s="39" t="e">
        <f t="shared" si="7859"/>
        <v>#N/A</v>
      </c>
      <c r="H4071" s="16" t="e">
        <f t="shared" si="7860"/>
        <v>#N/A</v>
      </c>
      <c r="I4071" s="16" t="e">
        <f t="shared" si="7861"/>
        <v>#N/A</v>
      </c>
      <c r="J4071" s="40" t="e">
        <f t="shared" si="7862"/>
        <v>#N/A</v>
      </c>
      <c r="K4071" s="16" t="e">
        <f t="shared" si="7863"/>
        <v>#N/A</v>
      </c>
      <c r="L4071" s="40" t="e">
        <f t="shared" si="7864"/>
        <v>#N/A</v>
      </c>
      <c r="M4071" s="16" t="e">
        <f t="shared" si="7865"/>
        <v>#N/A</v>
      </c>
      <c r="N4071" s="16" t="e">
        <f t="shared" si="7866"/>
        <v>#N/A</v>
      </c>
      <c r="O4071" s="16" t="s">
        <v>77</v>
      </c>
      <c r="P4071" s="16" t="str">
        <f t="shared" si="6"/>
        <v/>
      </c>
      <c r="Q4071" s="41" t="e">
        <f t="shared" si="7867"/>
        <v>#N/A</v>
      </c>
      <c r="R4071" s="44"/>
      <c r="S4071" s="44"/>
      <c r="T4071" s="43"/>
      <c r="U4071" s="43" t="str">
        <f t="shared" si="8"/>
        <v>No</v>
      </c>
      <c r="V4071" s="25"/>
      <c r="W4071" s="25"/>
      <c r="X4071" s="25"/>
      <c r="Y4071" s="25"/>
      <c r="Z4071" s="25"/>
    </row>
    <row r="4072" spans="1:26" ht="15.75" customHeight="1" x14ac:dyDescent="0.25">
      <c r="A4072" s="25">
        <v>4070</v>
      </c>
      <c r="B4072" s="37" t="e">
        <f t="shared" si="7855"/>
        <v>#N/A</v>
      </c>
      <c r="C4072" s="38" t="e">
        <f t="shared" si="7856"/>
        <v>#N/A</v>
      </c>
      <c r="D4072" s="39" t="e">
        <f t="shared" si="7857"/>
        <v>#N/A</v>
      </c>
      <c r="E4072" s="16" t="e">
        <f t="shared" si="1"/>
        <v>#N/A</v>
      </c>
      <c r="F4072" s="16" t="e">
        <f t="shared" si="7858"/>
        <v>#N/A</v>
      </c>
      <c r="G4072" s="39" t="e">
        <f t="shared" si="7859"/>
        <v>#N/A</v>
      </c>
      <c r="H4072" s="16" t="e">
        <f t="shared" si="7860"/>
        <v>#N/A</v>
      </c>
      <c r="I4072" s="16" t="e">
        <f t="shared" si="7861"/>
        <v>#N/A</v>
      </c>
      <c r="J4072" s="40" t="e">
        <f t="shared" si="7862"/>
        <v>#N/A</v>
      </c>
      <c r="K4072" s="16" t="e">
        <f t="shared" si="7863"/>
        <v>#N/A</v>
      </c>
      <c r="L4072" s="40" t="e">
        <f t="shared" si="7864"/>
        <v>#N/A</v>
      </c>
      <c r="M4072" s="16" t="e">
        <f t="shared" si="7865"/>
        <v>#N/A</v>
      </c>
      <c r="N4072" s="16" t="e">
        <f t="shared" si="7866"/>
        <v>#N/A</v>
      </c>
      <c r="O4072" s="16" t="s">
        <v>77</v>
      </c>
      <c r="P4072" s="16" t="str">
        <f t="shared" si="6"/>
        <v/>
      </c>
      <c r="Q4072" s="41" t="e">
        <f t="shared" si="7867"/>
        <v>#N/A</v>
      </c>
      <c r="R4072" s="44"/>
      <c r="S4072" s="44"/>
      <c r="T4072" s="43"/>
      <c r="U4072" s="43" t="str">
        <f t="shared" si="8"/>
        <v>No</v>
      </c>
      <c r="V4072" s="25"/>
      <c r="W4072" s="25"/>
      <c r="X4072" s="25"/>
      <c r="Y4072" s="25"/>
      <c r="Z4072" s="25"/>
    </row>
    <row r="4073" spans="1:26" ht="15.75" customHeight="1" x14ac:dyDescent="0.25">
      <c r="A4073" s="25">
        <v>4071</v>
      </c>
      <c r="B4073" s="37" t="e">
        <f t="shared" si="7855"/>
        <v>#N/A</v>
      </c>
      <c r="C4073" s="38" t="e">
        <f t="shared" si="7856"/>
        <v>#N/A</v>
      </c>
      <c r="D4073" s="39" t="e">
        <f t="shared" si="7857"/>
        <v>#N/A</v>
      </c>
      <c r="E4073" s="16" t="e">
        <f t="shared" si="1"/>
        <v>#N/A</v>
      </c>
      <c r="F4073" s="16" t="e">
        <f t="shared" si="7858"/>
        <v>#N/A</v>
      </c>
      <c r="G4073" s="39" t="e">
        <f t="shared" si="7859"/>
        <v>#N/A</v>
      </c>
      <c r="H4073" s="16" t="e">
        <f t="shared" si="7860"/>
        <v>#N/A</v>
      </c>
      <c r="I4073" s="16" t="e">
        <f t="shared" si="7861"/>
        <v>#N/A</v>
      </c>
      <c r="J4073" s="40" t="e">
        <f t="shared" si="7862"/>
        <v>#N/A</v>
      </c>
      <c r="K4073" s="16" t="e">
        <f t="shared" si="7863"/>
        <v>#N/A</v>
      </c>
      <c r="L4073" s="40" t="e">
        <f t="shared" si="7864"/>
        <v>#N/A</v>
      </c>
      <c r="M4073" s="16" t="e">
        <f t="shared" si="7865"/>
        <v>#N/A</v>
      </c>
      <c r="N4073" s="16" t="e">
        <f t="shared" si="7866"/>
        <v>#N/A</v>
      </c>
      <c r="O4073" s="16" t="s">
        <v>77</v>
      </c>
      <c r="P4073" s="16" t="str">
        <f t="shared" si="6"/>
        <v/>
      </c>
      <c r="Q4073" s="41" t="e">
        <f t="shared" si="7867"/>
        <v>#N/A</v>
      </c>
      <c r="R4073" s="44"/>
      <c r="S4073" s="44"/>
      <c r="T4073" s="43"/>
      <c r="U4073" s="43" t="str">
        <f t="shared" si="8"/>
        <v>No</v>
      </c>
      <c r="V4073" s="25"/>
      <c r="W4073" s="25"/>
      <c r="X4073" s="25"/>
      <c r="Y4073" s="25"/>
      <c r="Z4073" s="25"/>
    </row>
    <row r="4074" spans="1:26" ht="15.75" customHeight="1" x14ac:dyDescent="0.25">
      <c r="A4074" s="25">
        <v>4072</v>
      </c>
      <c r="B4074" s="37" t="e">
        <f t="shared" si="7855"/>
        <v>#N/A</v>
      </c>
      <c r="C4074" s="38" t="e">
        <f t="shared" si="7856"/>
        <v>#N/A</v>
      </c>
      <c r="D4074" s="39" t="e">
        <f t="shared" si="7857"/>
        <v>#N/A</v>
      </c>
      <c r="E4074" s="16" t="e">
        <f t="shared" si="1"/>
        <v>#N/A</v>
      </c>
      <c r="F4074" s="16" t="e">
        <f t="shared" si="7858"/>
        <v>#N/A</v>
      </c>
      <c r="G4074" s="39" t="e">
        <f t="shared" si="7859"/>
        <v>#N/A</v>
      </c>
      <c r="H4074" s="16" t="e">
        <f t="shared" si="7860"/>
        <v>#N/A</v>
      </c>
      <c r="I4074" s="16" t="e">
        <f t="shared" si="7861"/>
        <v>#N/A</v>
      </c>
      <c r="J4074" s="40" t="e">
        <f t="shared" si="7862"/>
        <v>#N/A</v>
      </c>
      <c r="K4074" s="16" t="e">
        <f t="shared" si="7863"/>
        <v>#N/A</v>
      </c>
      <c r="L4074" s="40" t="e">
        <f t="shared" si="7864"/>
        <v>#N/A</v>
      </c>
      <c r="M4074" s="16" t="e">
        <f t="shared" si="7865"/>
        <v>#N/A</v>
      </c>
      <c r="N4074" s="16" t="e">
        <f t="shared" si="7866"/>
        <v>#N/A</v>
      </c>
      <c r="O4074" s="16" t="s">
        <v>77</v>
      </c>
      <c r="P4074" s="16" t="str">
        <f t="shared" si="6"/>
        <v/>
      </c>
      <c r="Q4074" s="41" t="e">
        <f t="shared" si="7867"/>
        <v>#N/A</v>
      </c>
      <c r="R4074" s="44"/>
      <c r="S4074" s="44"/>
      <c r="T4074" s="43"/>
      <c r="U4074" s="43" t="str">
        <f t="shared" si="8"/>
        <v>No</v>
      </c>
      <c r="V4074" s="25"/>
      <c r="W4074" s="25"/>
      <c r="X4074" s="25"/>
      <c r="Y4074" s="25"/>
      <c r="Z4074" s="25"/>
    </row>
    <row r="4075" spans="1:26" ht="15.75" customHeight="1" x14ac:dyDescent="0.25">
      <c r="A4075" s="25">
        <v>4073</v>
      </c>
      <c r="B4075" s="37" t="e">
        <f t="shared" si="7855"/>
        <v>#N/A</v>
      </c>
      <c r="C4075" s="38" t="e">
        <f t="shared" si="7856"/>
        <v>#N/A</v>
      </c>
      <c r="D4075" s="39" t="e">
        <f t="shared" si="7857"/>
        <v>#N/A</v>
      </c>
      <c r="E4075" s="16" t="e">
        <f t="shared" si="1"/>
        <v>#N/A</v>
      </c>
      <c r="F4075" s="16" t="e">
        <f t="shared" si="7858"/>
        <v>#N/A</v>
      </c>
      <c r="G4075" s="39" t="e">
        <f t="shared" si="7859"/>
        <v>#N/A</v>
      </c>
      <c r="H4075" s="16" t="e">
        <f t="shared" si="7860"/>
        <v>#N/A</v>
      </c>
      <c r="I4075" s="16" t="e">
        <f t="shared" si="7861"/>
        <v>#N/A</v>
      </c>
      <c r="J4075" s="40" t="e">
        <f t="shared" si="7862"/>
        <v>#N/A</v>
      </c>
      <c r="K4075" s="16" t="e">
        <f t="shared" si="7863"/>
        <v>#N/A</v>
      </c>
      <c r="L4075" s="40" t="e">
        <f t="shared" si="7864"/>
        <v>#N/A</v>
      </c>
      <c r="M4075" s="16" t="e">
        <f t="shared" si="7865"/>
        <v>#N/A</v>
      </c>
      <c r="N4075" s="16" t="e">
        <f t="shared" si="7866"/>
        <v>#N/A</v>
      </c>
      <c r="O4075" s="16" t="s">
        <v>77</v>
      </c>
      <c r="P4075" s="16" t="str">
        <f t="shared" si="6"/>
        <v/>
      </c>
      <c r="Q4075" s="41" t="e">
        <f t="shared" si="7867"/>
        <v>#N/A</v>
      </c>
      <c r="R4075" s="44"/>
      <c r="S4075" s="44"/>
      <c r="T4075" s="43"/>
      <c r="U4075" s="43" t="str">
        <f t="shared" si="8"/>
        <v>No</v>
      </c>
      <c r="V4075" s="25"/>
      <c r="W4075" s="25"/>
      <c r="X4075" s="25"/>
      <c r="Y4075" s="25"/>
      <c r="Z4075" s="25"/>
    </row>
    <row r="4076" spans="1:26" ht="15.75" customHeight="1" x14ac:dyDescent="0.25">
      <c r="A4076" s="25">
        <v>4074</v>
      </c>
      <c r="B4076" s="37" t="e">
        <f t="shared" si="7855"/>
        <v>#N/A</v>
      </c>
      <c r="C4076" s="38" t="e">
        <f t="shared" si="7856"/>
        <v>#N/A</v>
      </c>
      <c r="D4076" s="39" t="e">
        <f t="shared" si="7857"/>
        <v>#N/A</v>
      </c>
      <c r="E4076" s="16" t="e">
        <f t="shared" si="1"/>
        <v>#N/A</v>
      </c>
      <c r="F4076" s="16" t="e">
        <f t="shared" si="7858"/>
        <v>#N/A</v>
      </c>
      <c r="G4076" s="39" t="e">
        <f t="shared" si="7859"/>
        <v>#N/A</v>
      </c>
      <c r="H4076" s="16" t="e">
        <f t="shared" si="7860"/>
        <v>#N/A</v>
      </c>
      <c r="I4076" s="16" t="e">
        <f t="shared" si="7861"/>
        <v>#N/A</v>
      </c>
      <c r="J4076" s="40" t="e">
        <f t="shared" si="7862"/>
        <v>#N/A</v>
      </c>
      <c r="K4076" s="16" t="e">
        <f t="shared" si="7863"/>
        <v>#N/A</v>
      </c>
      <c r="L4076" s="40" t="e">
        <f t="shared" si="7864"/>
        <v>#N/A</v>
      </c>
      <c r="M4076" s="16" t="e">
        <f t="shared" si="7865"/>
        <v>#N/A</v>
      </c>
      <c r="N4076" s="16" t="e">
        <f t="shared" si="7866"/>
        <v>#N/A</v>
      </c>
      <c r="O4076" s="16" t="s">
        <v>77</v>
      </c>
      <c r="P4076" s="16" t="str">
        <f t="shared" si="6"/>
        <v/>
      </c>
      <c r="Q4076" s="41" t="e">
        <f t="shared" si="7867"/>
        <v>#N/A</v>
      </c>
      <c r="R4076" s="44"/>
      <c r="S4076" s="44"/>
      <c r="T4076" s="43"/>
      <c r="U4076" s="43" t="str">
        <f t="shared" si="8"/>
        <v>No</v>
      </c>
      <c r="V4076" s="25"/>
      <c r="W4076" s="25"/>
      <c r="X4076" s="25"/>
      <c r="Y4076" s="25"/>
      <c r="Z4076" s="25"/>
    </row>
    <row r="4077" spans="1:26" ht="15.75" customHeight="1" x14ac:dyDescent="0.25">
      <c r="A4077" s="25">
        <v>4075</v>
      </c>
      <c r="B4077" s="37" t="e">
        <f t="shared" si="7855"/>
        <v>#N/A</v>
      </c>
      <c r="C4077" s="38" t="e">
        <f t="shared" si="7856"/>
        <v>#N/A</v>
      </c>
      <c r="D4077" s="39" t="e">
        <f t="shared" si="7857"/>
        <v>#N/A</v>
      </c>
      <c r="E4077" s="16" t="e">
        <f t="shared" si="1"/>
        <v>#N/A</v>
      </c>
      <c r="F4077" s="16" t="e">
        <f t="shared" si="7858"/>
        <v>#N/A</v>
      </c>
      <c r="G4077" s="39" t="e">
        <f t="shared" si="7859"/>
        <v>#N/A</v>
      </c>
      <c r="H4077" s="16" t="e">
        <f t="shared" si="7860"/>
        <v>#N/A</v>
      </c>
      <c r="I4077" s="16" t="e">
        <f t="shared" si="7861"/>
        <v>#N/A</v>
      </c>
      <c r="J4077" s="40" t="e">
        <f t="shared" si="7862"/>
        <v>#N/A</v>
      </c>
      <c r="K4077" s="16" t="e">
        <f t="shared" si="7863"/>
        <v>#N/A</v>
      </c>
      <c r="L4077" s="40" t="e">
        <f t="shared" si="7864"/>
        <v>#N/A</v>
      </c>
      <c r="M4077" s="16" t="e">
        <f t="shared" si="7865"/>
        <v>#N/A</v>
      </c>
      <c r="N4077" s="16" t="e">
        <f t="shared" si="7866"/>
        <v>#N/A</v>
      </c>
      <c r="O4077" s="16" t="s">
        <v>77</v>
      </c>
      <c r="P4077" s="16" t="str">
        <f t="shared" si="6"/>
        <v/>
      </c>
      <c r="Q4077" s="41" t="e">
        <f t="shared" si="7867"/>
        <v>#N/A</v>
      </c>
      <c r="R4077" s="44"/>
      <c r="S4077" s="44"/>
      <c r="T4077" s="43"/>
      <c r="U4077" s="43" t="str">
        <f t="shared" si="8"/>
        <v>No</v>
      </c>
      <c r="V4077" s="25"/>
      <c r="W4077" s="25"/>
      <c r="X4077" s="25"/>
      <c r="Y4077" s="25"/>
      <c r="Z4077" s="25"/>
    </row>
    <row r="4078" spans="1:26" ht="15.75" customHeight="1" x14ac:dyDescent="0.25">
      <c r="A4078" s="25">
        <v>4076</v>
      </c>
      <c r="B4078" s="37" t="e">
        <f t="shared" si="7855"/>
        <v>#N/A</v>
      </c>
      <c r="C4078" s="38" t="e">
        <f t="shared" si="7856"/>
        <v>#N/A</v>
      </c>
      <c r="D4078" s="39" t="e">
        <f t="shared" si="7857"/>
        <v>#N/A</v>
      </c>
      <c r="E4078" s="16" t="e">
        <f t="shared" si="1"/>
        <v>#N/A</v>
      </c>
      <c r="F4078" s="16" t="e">
        <f t="shared" si="7858"/>
        <v>#N/A</v>
      </c>
      <c r="G4078" s="39" t="e">
        <f t="shared" si="7859"/>
        <v>#N/A</v>
      </c>
      <c r="H4078" s="16" t="e">
        <f t="shared" si="7860"/>
        <v>#N/A</v>
      </c>
      <c r="I4078" s="16" t="e">
        <f t="shared" si="7861"/>
        <v>#N/A</v>
      </c>
      <c r="J4078" s="40" t="e">
        <f t="shared" si="7862"/>
        <v>#N/A</v>
      </c>
      <c r="K4078" s="16" t="e">
        <f t="shared" si="7863"/>
        <v>#N/A</v>
      </c>
      <c r="L4078" s="40" t="e">
        <f t="shared" si="7864"/>
        <v>#N/A</v>
      </c>
      <c r="M4078" s="16" t="e">
        <f t="shared" si="7865"/>
        <v>#N/A</v>
      </c>
      <c r="N4078" s="16" t="e">
        <f t="shared" si="7866"/>
        <v>#N/A</v>
      </c>
      <c r="O4078" s="16" t="s">
        <v>77</v>
      </c>
      <c r="P4078" s="16" t="str">
        <f t="shared" si="6"/>
        <v/>
      </c>
      <c r="Q4078" s="41" t="e">
        <f t="shared" si="7867"/>
        <v>#N/A</v>
      </c>
      <c r="R4078" s="44"/>
      <c r="S4078" s="44"/>
      <c r="T4078" s="43"/>
      <c r="U4078" s="43" t="str">
        <f t="shared" si="8"/>
        <v>No</v>
      </c>
      <c r="V4078" s="25"/>
      <c r="W4078" s="25"/>
      <c r="X4078" s="25"/>
      <c r="Y4078" s="25"/>
      <c r="Z4078" s="25"/>
    </row>
    <row r="4079" spans="1:26" ht="15.75" customHeight="1" x14ac:dyDescent="0.25">
      <c r="A4079" s="25">
        <v>4077</v>
      </c>
      <c r="B4079" s="37" t="e">
        <f t="shared" si="7855"/>
        <v>#N/A</v>
      </c>
      <c r="C4079" s="38" t="e">
        <f t="shared" si="7856"/>
        <v>#N/A</v>
      </c>
      <c r="D4079" s="39" t="e">
        <f t="shared" si="7857"/>
        <v>#N/A</v>
      </c>
      <c r="E4079" s="16" t="e">
        <f t="shared" si="1"/>
        <v>#N/A</v>
      </c>
      <c r="F4079" s="16" t="e">
        <f t="shared" si="7858"/>
        <v>#N/A</v>
      </c>
      <c r="G4079" s="39" t="e">
        <f t="shared" si="7859"/>
        <v>#N/A</v>
      </c>
      <c r="H4079" s="16" t="e">
        <f t="shared" si="7860"/>
        <v>#N/A</v>
      </c>
      <c r="I4079" s="16" t="e">
        <f t="shared" si="7861"/>
        <v>#N/A</v>
      </c>
      <c r="J4079" s="40" t="e">
        <f t="shared" si="7862"/>
        <v>#N/A</v>
      </c>
      <c r="K4079" s="16" t="e">
        <f t="shared" si="7863"/>
        <v>#N/A</v>
      </c>
      <c r="L4079" s="40" t="e">
        <f t="shared" si="7864"/>
        <v>#N/A</v>
      </c>
      <c r="M4079" s="16" t="e">
        <f t="shared" si="7865"/>
        <v>#N/A</v>
      </c>
      <c r="N4079" s="16" t="e">
        <f t="shared" si="7866"/>
        <v>#N/A</v>
      </c>
      <c r="O4079" s="16" t="s">
        <v>77</v>
      </c>
      <c r="P4079" s="16" t="str">
        <f t="shared" si="6"/>
        <v/>
      </c>
      <c r="Q4079" s="41" t="e">
        <f t="shared" si="7867"/>
        <v>#N/A</v>
      </c>
      <c r="R4079" s="44"/>
      <c r="S4079" s="44"/>
      <c r="T4079" s="43"/>
      <c r="U4079" s="43" t="str">
        <f t="shared" si="8"/>
        <v>No</v>
      </c>
      <c r="V4079" s="25"/>
      <c r="W4079" s="25"/>
      <c r="X4079" s="25"/>
      <c r="Y4079" s="25"/>
      <c r="Z4079" s="25"/>
    </row>
    <row r="4080" spans="1:26" ht="15.75" customHeight="1" x14ac:dyDescent="0.25">
      <c r="A4080" s="25">
        <v>4078</v>
      </c>
      <c r="B4080" s="37" t="e">
        <f t="shared" si="7855"/>
        <v>#N/A</v>
      </c>
      <c r="C4080" s="38" t="e">
        <f t="shared" si="7856"/>
        <v>#N/A</v>
      </c>
      <c r="D4080" s="39" t="e">
        <f t="shared" si="7857"/>
        <v>#N/A</v>
      </c>
      <c r="E4080" s="16" t="e">
        <f t="shared" si="1"/>
        <v>#N/A</v>
      </c>
      <c r="F4080" s="16" t="e">
        <f t="shared" si="7858"/>
        <v>#N/A</v>
      </c>
      <c r="G4080" s="39" t="e">
        <f t="shared" si="7859"/>
        <v>#N/A</v>
      </c>
      <c r="H4080" s="16" t="e">
        <f t="shared" si="7860"/>
        <v>#N/A</v>
      </c>
      <c r="I4080" s="16" t="e">
        <f t="shared" si="7861"/>
        <v>#N/A</v>
      </c>
      <c r="J4080" s="40" t="e">
        <f t="shared" si="7862"/>
        <v>#N/A</v>
      </c>
      <c r="K4080" s="16" t="e">
        <f t="shared" si="7863"/>
        <v>#N/A</v>
      </c>
      <c r="L4080" s="40" t="e">
        <f t="shared" si="7864"/>
        <v>#N/A</v>
      </c>
      <c r="M4080" s="16" t="e">
        <f t="shared" si="7865"/>
        <v>#N/A</v>
      </c>
      <c r="N4080" s="16" t="e">
        <f t="shared" si="7866"/>
        <v>#N/A</v>
      </c>
      <c r="O4080" s="16" t="s">
        <v>77</v>
      </c>
      <c r="P4080" s="16" t="str">
        <f t="shared" si="6"/>
        <v/>
      </c>
      <c r="Q4080" s="41" t="e">
        <f t="shared" si="7867"/>
        <v>#N/A</v>
      </c>
      <c r="R4080" s="44"/>
      <c r="S4080" s="44"/>
      <c r="T4080" s="43"/>
      <c r="U4080" s="43" t="str">
        <f t="shared" si="8"/>
        <v>No</v>
      </c>
      <c r="V4080" s="25"/>
      <c r="W4080" s="25"/>
      <c r="X4080" s="25"/>
      <c r="Y4080" s="25"/>
      <c r="Z4080" s="25"/>
    </row>
    <row r="4081" spans="1:26" ht="15.75" customHeight="1" x14ac:dyDescent="0.25">
      <c r="A4081" s="25">
        <v>4079</v>
      </c>
      <c r="B4081" s="37" t="e">
        <f t="shared" si="7855"/>
        <v>#N/A</v>
      </c>
      <c r="C4081" s="38" t="e">
        <f t="shared" si="7856"/>
        <v>#N/A</v>
      </c>
      <c r="D4081" s="39" t="e">
        <f t="shared" si="7857"/>
        <v>#N/A</v>
      </c>
      <c r="E4081" s="16" t="e">
        <f t="shared" si="1"/>
        <v>#N/A</v>
      </c>
      <c r="F4081" s="16" t="e">
        <f t="shared" si="7858"/>
        <v>#N/A</v>
      </c>
      <c r="G4081" s="39" t="e">
        <f t="shared" si="7859"/>
        <v>#N/A</v>
      </c>
      <c r="H4081" s="16" t="e">
        <f t="shared" si="7860"/>
        <v>#N/A</v>
      </c>
      <c r="I4081" s="16" t="e">
        <f t="shared" si="7861"/>
        <v>#N/A</v>
      </c>
      <c r="J4081" s="40" t="e">
        <f t="shared" si="7862"/>
        <v>#N/A</v>
      </c>
      <c r="K4081" s="16" t="e">
        <f t="shared" si="7863"/>
        <v>#N/A</v>
      </c>
      <c r="L4081" s="40" t="e">
        <f t="shared" si="7864"/>
        <v>#N/A</v>
      </c>
      <c r="M4081" s="16" t="e">
        <f t="shared" si="7865"/>
        <v>#N/A</v>
      </c>
      <c r="N4081" s="16" t="e">
        <f t="shared" si="7866"/>
        <v>#N/A</v>
      </c>
      <c r="O4081" s="16" t="s">
        <v>77</v>
      </c>
      <c r="P4081" s="16" t="str">
        <f t="shared" si="6"/>
        <v/>
      </c>
      <c r="Q4081" s="41" t="e">
        <f t="shared" si="7867"/>
        <v>#N/A</v>
      </c>
      <c r="R4081" s="44"/>
      <c r="S4081" s="44"/>
      <c r="T4081" s="43"/>
      <c r="U4081" s="43" t="str">
        <f t="shared" si="8"/>
        <v>No</v>
      </c>
      <c r="V4081" s="25"/>
      <c r="W4081" s="25"/>
      <c r="X4081" s="25"/>
      <c r="Y4081" s="25"/>
      <c r="Z4081" s="25"/>
    </row>
    <row r="4082" spans="1:26" ht="15.75" customHeight="1" x14ac:dyDescent="0.25">
      <c r="A4082" s="25">
        <v>4080</v>
      </c>
      <c r="B4082" s="37" t="e">
        <f t="shared" si="7855"/>
        <v>#N/A</v>
      </c>
      <c r="C4082" s="38" t="e">
        <f t="shared" si="7856"/>
        <v>#N/A</v>
      </c>
      <c r="D4082" s="39" t="e">
        <f t="shared" si="7857"/>
        <v>#N/A</v>
      </c>
      <c r="E4082" s="16" t="e">
        <f t="shared" si="1"/>
        <v>#N/A</v>
      </c>
      <c r="F4082" s="16" t="e">
        <f t="shared" si="7858"/>
        <v>#N/A</v>
      </c>
      <c r="G4082" s="39" t="e">
        <f t="shared" si="7859"/>
        <v>#N/A</v>
      </c>
      <c r="H4082" s="16" t="e">
        <f t="shared" si="7860"/>
        <v>#N/A</v>
      </c>
      <c r="I4082" s="16" t="e">
        <f t="shared" si="7861"/>
        <v>#N/A</v>
      </c>
      <c r="J4082" s="40" t="e">
        <f t="shared" si="7862"/>
        <v>#N/A</v>
      </c>
      <c r="K4082" s="16" t="e">
        <f t="shared" si="7863"/>
        <v>#N/A</v>
      </c>
      <c r="L4082" s="40" t="e">
        <f t="shared" si="7864"/>
        <v>#N/A</v>
      </c>
      <c r="M4082" s="16" t="e">
        <f t="shared" si="7865"/>
        <v>#N/A</v>
      </c>
      <c r="N4082" s="16" t="e">
        <f t="shared" si="7866"/>
        <v>#N/A</v>
      </c>
      <c r="O4082" s="16" t="s">
        <v>77</v>
      </c>
      <c r="P4082" s="16" t="str">
        <f t="shared" si="6"/>
        <v/>
      </c>
      <c r="Q4082" s="41" t="e">
        <f t="shared" si="7867"/>
        <v>#N/A</v>
      </c>
      <c r="R4082" s="44"/>
      <c r="S4082" s="44"/>
      <c r="T4082" s="43"/>
      <c r="U4082" s="43" t="str">
        <f t="shared" si="8"/>
        <v>No</v>
      </c>
      <c r="V4082" s="25"/>
      <c r="W4082" s="25"/>
      <c r="X4082" s="25"/>
      <c r="Y4082" s="25"/>
      <c r="Z4082" s="25"/>
    </row>
    <row r="4083" spans="1:26" ht="15.75" customHeight="1" x14ac:dyDescent="0.25">
      <c r="A4083" s="25">
        <v>4081</v>
      </c>
      <c r="B4083" s="37" t="e">
        <f t="shared" si="7855"/>
        <v>#N/A</v>
      </c>
      <c r="C4083" s="38" t="e">
        <f t="shared" si="7856"/>
        <v>#N/A</v>
      </c>
      <c r="D4083" s="39" t="e">
        <f t="shared" si="7857"/>
        <v>#N/A</v>
      </c>
      <c r="E4083" s="16" t="e">
        <f t="shared" si="1"/>
        <v>#N/A</v>
      </c>
      <c r="F4083" s="16" t="e">
        <f t="shared" si="7858"/>
        <v>#N/A</v>
      </c>
      <c r="G4083" s="39" t="e">
        <f t="shared" si="7859"/>
        <v>#N/A</v>
      </c>
      <c r="H4083" s="16" t="e">
        <f t="shared" si="7860"/>
        <v>#N/A</v>
      </c>
      <c r="I4083" s="16" t="e">
        <f t="shared" si="7861"/>
        <v>#N/A</v>
      </c>
      <c r="J4083" s="40" t="e">
        <f t="shared" si="7862"/>
        <v>#N/A</v>
      </c>
      <c r="K4083" s="16" t="e">
        <f t="shared" si="7863"/>
        <v>#N/A</v>
      </c>
      <c r="L4083" s="40" t="e">
        <f t="shared" si="7864"/>
        <v>#N/A</v>
      </c>
      <c r="M4083" s="16" t="e">
        <f t="shared" si="7865"/>
        <v>#N/A</v>
      </c>
      <c r="N4083" s="16" t="e">
        <f t="shared" si="7866"/>
        <v>#N/A</v>
      </c>
      <c r="O4083" s="16" t="s">
        <v>77</v>
      </c>
      <c r="P4083" s="16" t="str">
        <f t="shared" si="6"/>
        <v/>
      </c>
      <c r="Q4083" s="41" t="e">
        <f t="shared" si="7867"/>
        <v>#N/A</v>
      </c>
      <c r="R4083" s="44"/>
      <c r="S4083" s="44"/>
      <c r="T4083" s="43"/>
      <c r="U4083" s="43" t="str">
        <f t="shared" si="8"/>
        <v>No</v>
      </c>
      <c r="V4083" s="25"/>
      <c r="W4083" s="25"/>
      <c r="X4083" s="25"/>
      <c r="Y4083" s="25"/>
      <c r="Z4083" s="25"/>
    </row>
    <row r="4084" spans="1:26" ht="15.75" customHeight="1" x14ac:dyDescent="0.25">
      <c r="A4084" s="25">
        <v>4082</v>
      </c>
      <c r="B4084" s="37" t="e">
        <f t="shared" si="7855"/>
        <v>#N/A</v>
      </c>
      <c r="C4084" s="38" t="e">
        <f t="shared" si="7856"/>
        <v>#N/A</v>
      </c>
      <c r="D4084" s="39" t="e">
        <f t="shared" si="7857"/>
        <v>#N/A</v>
      </c>
      <c r="E4084" s="16" t="e">
        <f t="shared" si="1"/>
        <v>#N/A</v>
      </c>
      <c r="F4084" s="16" t="e">
        <f t="shared" si="7858"/>
        <v>#N/A</v>
      </c>
      <c r="G4084" s="39" t="e">
        <f t="shared" si="7859"/>
        <v>#N/A</v>
      </c>
      <c r="H4084" s="16" t="e">
        <f t="shared" si="7860"/>
        <v>#N/A</v>
      </c>
      <c r="I4084" s="16" t="e">
        <f t="shared" si="7861"/>
        <v>#N/A</v>
      </c>
      <c r="J4084" s="40" t="e">
        <f t="shared" si="7862"/>
        <v>#N/A</v>
      </c>
      <c r="K4084" s="16" t="e">
        <f t="shared" si="7863"/>
        <v>#N/A</v>
      </c>
      <c r="L4084" s="40" t="e">
        <f t="shared" si="7864"/>
        <v>#N/A</v>
      </c>
      <c r="M4084" s="16" t="e">
        <f t="shared" si="7865"/>
        <v>#N/A</v>
      </c>
      <c r="N4084" s="16" t="e">
        <f t="shared" si="7866"/>
        <v>#N/A</v>
      </c>
      <c r="O4084" s="16" t="s">
        <v>77</v>
      </c>
      <c r="P4084" s="16" t="str">
        <f t="shared" si="6"/>
        <v/>
      </c>
      <c r="Q4084" s="41" t="e">
        <f t="shared" si="7867"/>
        <v>#N/A</v>
      </c>
      <c r="R4084" s="44"/>
      <c r="S4084" s="44"/>
      <c r="T4084" s="43"/>
      <c r="U4084" s="43" t="str">
        <f t="shared" si="8"/>
        <v>No</v>
      </c>
      <c r="V4084" s="25"/>
      <c r="W4084" s="25"/>
      <c r="X4084" s="25"/>
      <c r="Y4084" s="25"/>
      <c r="Z4084" s="25"/>
    </row>
    <row r="4085" spans="1:26" ht="15.75" customHeight="1" x14ac:dyDescent="0.25">
      <c r="A4085" s="25">
        <v>4083</v>
      </c>
      <c r="B4085" s="37" t="e">
        <f t="shared" si="7855"/>
        <v>#N/A</v>
      </c>
      <c r="C4085" s="38" t="e">
        <f t="shared" si="7856"/>
        <v>#N/A</v>
      </c>
      <c r="D4085" s="39" t="e">
        <f t="shared" si="7857"/>
        <v>#N/A</v>
      </c>
      <c r="E4085" s="16" t="e">
        <f t="shared" si="1"/>
        <v>#N/A</v>
      </c>
      <c r="F4085" s="16" t="e">
        <f t="shared" si="7858"/>
        <v>#N/A</v>
      </c>
      <c r="G4085" s="39" t="e">
        <f t="shared" si="7859"/>
        <v>#N/A</v>
      </c>
      <c r="H4085" s="16" t="e">
        <f t="shared" si="7860"/>
        <v>#N/A</v>
      </c>
      <c r="I4085" s="16" t="e">
        <f t="shared" si="7861"/>
        <v>#N/A</v>
      </c>
      <c r="J4085" s="40" t="e">
        <f t="shared" si="7862"/>
        <v>#N/A</v>
      </c>
      <c r="K4085" s="16" t="e">
        <f t="shared" si="7863"/>
        <v>#N/A</v>
      </c>
      <c r="L4085" s="40" t="e">
        <f t="shared" si="7864"/>
        <v>#N/A</v>
      </c>
      <c r="M4085" s="16" t="e">
        <f t="shared" si="7865"/>
        <v>#N/A</v>
      </c>
      <c r="N4085" s="16" t="e">
        <f t="shared" si="7866"/>
        <v>#N/A</v>
      </c>
      <c r="O4085" s="16" t="s">
        <v>77</v>
      </c>
      <c r="P4085" s="16" t="str">
        <f t="shared" si="6"/>
        <v/>
      </c>
      <c r="Q4085" s="41" t="e">
        <f t="shared" si="7867"/>
        <v>#N/A</v>
      </c>
      <c r="R4085" s="44"/>
      <c r="S4085" s="44"/>
      <c r="T4085" s="43"/>
      <c r="U4085" s="43" t="str">
        <f t="shared" si="8"/>
        <v>No</v>
      </c>
      <c r="V4085" s="25"/>
      <c r="W4085" s="25"/>
      <c r="X4085" s="25"/>
      <c r="Y4085" s="25"/>
      <c r="Z4085" s="25"/>
    </row>
    <row r="4086" spans="1:26" ht="15.75" customHeight="1" x14ac:dyDescent="0.25">
      <c r="A4086" s="25">
        <v>4084</v>
      </c>
      <c r="B4086" s="37" t="e">
        <f t="shared" si="7855"/>
        <v>#N/A</v>
      </c>
      <c r="C4086" s="38" t="e">
        <f t="shared" si="7856"/>
        <v>#N/A</v>
      </c>
      <c r="D4086" s="39" t="e">
        <f t="shared" si="7857"/>
        <v>#N/A</v>
      </c>
      <c r="E4086" s="16" t="e">
        <f t="shared" si="1"/>
        <v>#N/A</v>
      </c>
      <c r="F4086" s="16" t="e">
        <f t="shared" si="7858"/>
        <v>#N/A</v>
      </c>
      <c r="G4086" s="39" t="e">
        <f t="shared" si="7859"/>
        <v>#N/A</v>
      </c>
      <c r="H4086" s="16" t="e">
        <f t="shared" si="7860"/>
        <v>#N/A</v>
      </c>
      <c r="I4086" s="16" t="e">
        <f t="shared" si="7861"/>
        <v>#N/A</v>
      </c>
      <c r="J4086" s="40" t="e">
        <f t="shared" si="7862"/>
        <v>#N/A</v>
      </c>
      <c r="K4086" s="16" t="e">
        <f t="shared" si="7863"/>
        <v>#N/A</v>
      </c>
      <c r="L4086" s="40" t="e">
        <f t="shared" si="7864"/>
        <v>#N/A</v>
      </c>
      <c r="M4086" s="16" t="e">
        <f t="shared" si="7865"/>
        <v>#N/A</v>
      </c>
      <c r="N4086" s="16" t="e">
        <f t="shared" si="7866"/>
        <v>#N/A</v>
      </c>
      <c r="O4086" s="16" t="s">
        <v>77</v>
      </c>
      <c r="P4086" s="16" t="str">
        <f t="shared" si="6"/>
        <v/>
      </c>
      <c r="Q4086" s="41" t="e">
        <f t="shared" si="7867"/>
        <v>#N/A</v>
      </c>
      <c r="R4086" s="44"/>
      <c r="S4086" s="44"/>
      <c r="T4086" s="43"/>
      <c r="U4086" s="43" t="str">
        <f t="shared" si="8"/>
        <v>No</v>
      </c>
      <c r="V4086" s="25"/>
      <c r="W4086" s="25"/>
      <c r="X4086" s="25"/>
      <c r="Y4086" s="25"/>
      <c r="Z4086" s="25"/>
    </row>
    <row r="4087" spans="1:26" ht="15.75" customHeight="1" x14ac:dyDescent="0.25">
      <c r="A4087" s="25">
        <v>4085</v>
      </c>
      <c r="B4087" s="37" t="e">
        <f t="shared" si="7855"/>
        <v>#N/A</v>
      </c>
      <c r="C4087" s="38" t="e">
        <f t="shared" si="7856"/>
        <v>#N/A</v>
      </c>
      <c r="D4087" s="39" t="e">
        <f t="shared" si="7857"/>
        <v>#N/A</v>
      </c>
      <c r="E4087" s="16" t="e">
        <f t="shared" si="1"/>
        <v>#N/A</v>
      </c>
      <c r="F4087" s="16" t="e">
        <f t="shared" si="7858"/>
        <v>#N/A</v>
      </c>
      <c r="G4087" s="39" t="e">
        <f t="shared" si="7859"/>
        <v>#N/A</v>
      </c>
      <c r="H4087" s="16" t="e">
        <f t="shared" si="7860"/>
        <v>#N/A</v>
      </c>
      <c r="I4087" s="16" t="e">
        <f t="shared" si="7861"/>
        <v>#N/A</v>
      </c>
      <c r="J4087" s="40" t="e">
        <f t="shared" si="7862"/>
        <v>#N/A</v>
      </c>
      <c r="K4087" s="16" t="e">
        <f t="shared" si="7863"/>
        <v>#N/A</v>
      </c>
      <c r="L4087" s="40" t="e">
        <f t="shared" si="7864"/>
        <v>#N/A</v>
      </c>
      <c r="M4087" s="16" t="e">
        <f t="shared" si="7865"/>
        <v>#N/A</v>
      </c>
      <c r="N4087" s="16" t="e">
        <f t="shared" si="7866"/>
        <v>#N/A</v>
      </c>
      <c r="O4087" s="16" t="s">
        <v>77</v>
      </c>
      <c r="P4087" s="16" t="str">
        <f t="shared" si="6"/>
        <v/>
      </c>
      <c r="Q4087" s="41" t="e">
        <f t="shared" si="7867"/>
        <v>#N/A</v>
      </c>
      <c r="R4087" s="44"/>
      <c r="S4087" s="44"/>
      <c r="T4087" s="43"/>
      <c r="U4087" s="43" t="str">
        <f t="shared" si="8"/>
        <v>No</v>
      </c>
      <c r="V4087" s="25"/>
      <c r="W4087" s="25"/>
      <c r="X4087" s="25"/>
      <c r="Y4087" s="25"/>
      <c r="Z4087" s="25"/>
    </row>
    <row r="4088" spans="1:26" ht="15.75" customHeight="1" x14ac:dyDescent="0.25">
      <c r="A4088" s="25">
        <v>4086</v>
      </c>
      <c r="B4088" s="37" t="e">
        <f t="shared" si="7855"/>
        <v>#N/A</v>
      </c>
      <c r="C4088" s="38" t="e">
        <f t="shared" si="7856"/>
        <v>#N/A</v>
      </c>
      <c r="D4088" s="39" t="e">
        <f t="shared" si="7857"/>
        <v>#N/A</v>
      </c>
      <c r="E4088" s="16" t="e">
        <f t="shared" si="1"/>
        <v>#N/A</v>
      </c>
      <c r="F4088" s="16" t="e">
        <f t="shared" si="7858"/>
        <v>#N/A</v>
      </c>
      <c r="G4088" s="39" t="e">
        <f t="shared" si="7859"/>
        <v>#N/A</v>
      </c>
      <c r="H4088" s="16" t="e">
        <f t="shared" si="7860"/>
        <v>#N/A</v>
      </c>
      <c r="I4088" s="16" t="e">
        <f t="shared" si="7861"/>
        <v>#N/A</v>
      </c>
      <c r="J4088" s="40" t="e">
        <f t="shared" si="7862"/>
        <v>#N/A</v>
      </c>
      <c r="K4088" s="16" t="e">
        <f t="shared" si="7863"/>
        <v>#N/A</v>
      </c>
      <c r="L4088" s="40" t="e">
        <f t="shared" si="7864"/>
        <v>#N/A</v>
      </c>
      <c r="M4088" s="16" t="e">
        <f t="shared" si="7865"/>
        <v>#N/A</v>
      </c>
      <c r="N4088" s="16" t="e">
        <f t="shared" si="7866"/>
        <v>#N/A</v>
      </c>
      <c r="O4088" s="16" t="s">
        <v>77</v>
      </c>
      <c r="P4088" s="16" t="str">
        <f t="shared" si="6"/>
        <v/>
      </c>
      <c r="Q4088" s="41" t="e">
        <f t="shared" si="7867"/>
        <v>#N/A</v>
      </c>
      <c r="R4088" s="44"/>
      <c r="S4088" s="44"/>
      <c r="T4088" s="43"/>
      <c r="U4088" s="43" t="str">
        <f t="shared" si="8"/>
        <v>No</v>
      </c>
      <c r="V4088" s="25"/>
      <c r="W4088" s="25"/>
      <c r="X4088" s="25"/>
      <c r="Y4088" s="25"/>
      <c r="Z4088" s="25"/>
    </row>
    <row r="4089" spans="1:26" ht="15.75" customHeight="1" x14ac:dyDescent="0.25">
      <c r="A4089" s="25">
        <v>4087</v>
      </c>
      <c r="B4089" s="37" t="e">
        <f t="shared" si="7855"/>
        <v>#N/A</v>
      </c>
      <c r="C4089" s="38" t="e">
        <f t="shared" si="7856"/>
        <v>#N/A</v>
      </c>
      <c r="D4089" s="39" t="e">
        <f t="shared" si="7857"/>
        <v>#N/A</v>
      </c>
      <c r="E4089" s="16" t="e">
        <f t="shared" si="1"/>
        <v>#N/A</v>
      </c>
      <c r="F4089" s="16" t="e">
        <f t="shared" si="7858"/>
        <v>#N/A</v>
      </c>
      <c r="G4089" s="39" t="e">
        <f t="shared" si="7859"/>
        <v>#N/A</v>
      </c>
      <c r="H4089" s="16" t="e">
        <f t="shared" si="7860"/>
        <v>#N/A</v>
      </c>
      <c r="I4089" s="16" t="e">
        <f t="shared" si="7861"/>
        <v>#N/A</v>
      </c>
      <c r="J4089" s="40" t="e">
        <f t="shared" si="7862"/>
        <v>#N/A</v>
      </c>
      <c r="K4089" s="16" t="e">
        <f t="shared" si="7863"/>
        <v>#N/A</v>
      </c>
      <c r="L4089" s="40" t="e">
        <f t="shared" si="7864"/>
        <v>#N/A</v>
      </c>
      <c r="M4089" s="16" t="e">
        <f t="shared" si="7865"/>
        <v>#N/A</v>
      </c>
      <c r="N4089" s="16" t="e">
        <f t="shared" si="7866"/>
        <v>#N/A</v>
      </c>
      <c r="O4089" s="16" t="s">
        <v>77</v>
      </c>
      <c r="P4089" s="16" t="str">
        <f t="shared" si="6"/>
        <v/>
      </c>
      <c r="Q4089" s="41" t="e">
        <f t="shared" si="7867"/>
        <v>#N/A</v>
      </c>
      <c r="R4089" s="44"/>
      <c r="S4089" s="44"/>
      <c r="T4089" s="43"/>
      <c r="U4089" s="43" t="str">
        <f t="shared" si="8"/>
        <v>No</v>
      </c>
      <c r="V4089" s="25"/>
      <c r="W4089" s="25"/>
      <c r="X4089" s="25"/>
      <c r="Y4089" s="25"/>
      <c r="Z4089" s="25"/>
    </row>
    <row r="4090" spans="1:26" ht="15.75" customHeight="1" x14ac:dyDescent="0.25">
      <c r="A4090" s="25">
        <v>4088</v>
      </c>
      <c r="B4090" s="37" t="e">
        <f t="shared" si="7855"/>
        <v>#N/A</v>
      </c>
      <c r="C4090" s="38" t="e">
        <f t="shared" si="7856"/>
        <v>#N/A</v>
      </c>
      <c r="D4090" s="39" t="e">
        <f t="shared" si="7857"/>
        <v>#N/A</v>
      </c>
      <c r="E4090" s="16" t="e">
        <f t="shared" si="1"/>
        <v>#N/A</v>
      </c>
      <c r="F4090" s="16" t="e">
        <f t="shared" si="7858"/>
        <v>#N/A</v>
      </c>
      <c r="G4090" s="39" t="e">
        <f t="shared" si="7859"/>
        <v>#N/A</v>
      </c>
      <c r="H4090" s="16" t="e">
        <f t="shared" si="7860"/>
        <v>#N/A</v>
      </c>
      <c r="I4090" s="16" t="e">
        <f t="shared" si="7861"/>
        <v>#N/A</v>
      </c>
      <c r="J4090" s="40" t="e">
        <f t="shared" si="7862"/>
        <v>#N/A</v>
      </c>
      <c r="K4090" s="16" t="e">
        <f t="shared" si="7863"/>
        <v>#N/A</v>
      </c>
      <c r="L4090" s="40" t="e">
        <f t="shared" si="7864"/>
        <v>#N/A</v>
      </c>
      <c r="M4090" s="16" t="e">
        <f t="shared" si="7865"/>
        <v>#N/A</v>
      </c>
      <c r="N4090" s="16" t="e">
        <f t="shared" si="7866"/>
        <v>#N/A</v>
      </c>
      <c r="O4090" s="16" t="s">
        <v>77</v>
      </c>
      <c r="P4090" s="16" t="str">
        <f t="shared" si="6"/>
        <v/>
      </c>
      <c r="Q4090" s="41" t="e">
        <f t="shared" si="7867"/>
        <v>#N/A</v>
      </c>
      <c r="R4090" s="44"/>
      <c r="S4090" s="44"/>
      <c r="T4090" s="43"/>
      <c r="U4090" s="43" t="str">
        <f t="shared" si="8"/>
        <v>No</v>
      </c>
      <c r="V4090" s="25"/>
      <c r="W4090" s="25"/>
      <c r="X4090" s="25"/>
      <c r="Y4090" s="25"/>
      <c r="Z4090" s="25"/>
    </row>
    <row r="4091" spans="1:26" ht="15.75" customHeight="1" x14ac:dyDescent="0.25">
      <c r="A4091" s="25">
        <v>4089</v>
      </c>
      <c r="B4091" s="37" t="e">
        <f t="shared" si="7855"/>
        <v>#N/A</v>
      </c>
      <c r="C4091" s="38" t="e">
        <f t="shared" si="7856"/>
        <v>#N/A</v>
      </c>
      <c r="D4091" s="39" t="e">
        <f t="shared" si="7857"/>
        <v>#N/A</v>
      </c>
      <c r="E4091" s="16" t="e">
        <f t="shared" si="1"/>
        <v>#N/A</v>
      </c>
      <c r="F4091" s="16" t="e">
        <f t="shared" si="7858"/>
        <v>#N/A</v>
      </c>
      <c r="G4091" s="39" t="e">
        <f t="shared" si="7859"/>
        <v>#N/A</v>
      </c>
      <c r="H4091" s="16" t="e">
        <f t="shared" si="7860"/>
        <v>#N/A</v>
      </c>
      <c r="I4091" s="16" t="e">
        <f t="shared" si="7861"/>
        <v>#N/A</v>
      </c>
      <c r="J4091" s="40" t="e">
        <f t="shared" si="7862"/>
        <v>#N/A</v>
      </c>
      <c r="K4091" s="16" t="e">
        <f t="shared" si="7863"/>
        <v>#N/A</v>
      </c>
      <c r="L4091" s="40" t="e">
        <f t="shared" si="7864"/>
        <v>#N/A</v>
      </c>
      <c r="M4091" s="16" t="e">
        <f t="shared" si="7865"/>
        <v>#N/A</v>
      </c>
      <c r="N4091" s="16" t="e">
        <f t="shared" si="7866"/>
        <v>#N/A</v>
      </c>
      <c r="O4091" s="16" t="s">
        <v>77</v>
      </c>
      <c r="P4091" s="16" t="str">
        <f t="shared" si="6"/>
        <v/>
      </c>
      <c r="Q4091" s="41" t="e">
        <f t="shared" si="7867"/>
        <v>#N/A</v>
      </c>
      <c r="R4091" s="44"/>
      <c r="S4091" s="44"/>
      <c r="T4091" s="43"/>
      <c r="U4091" s="43" t="str">
        <f t="shared" si="8"/>
        <v>No</v>
      </c>
      <c r="V4091" s="25"/>
      <c r="W4091" s="25"/>
      <c r="X4091" s="25"/>
      <c r="Y4091" s="25"/>
      <c r="Z4091" s="25"/>
    </row>
    <row r="4092" spans="1:26" ht="15.75" customHeight="1" x14ac:dyDescent="0.25">
      <c r="A4092" s="25">
        <v>4090</v>
      </c>
      <c r="B4092" s="37" t="e">
        <f t="shared" si="7855"/>
        <v>#N/A</v>
      </c>
      <c r="C4092" s="38" t="e">
        <f t="shared" si="7856"/>
        <v>#N/A</v>
      </c>
      <c r="D4092" s="39" t="e">
        <f t="shared" si="7857"/>
        <v>#N/A</v>
      </c>
      <c r="E4092" s="16" t="e">
        <f t="shared" si="1"/>
        <v>#N/A</v>
      </c>
      <c r="F4092" s="16" t="e">
        <f t="shared" si="7858"/>
        <v>#N/A</v>
      </c>
      <c r="G4092" s="39" t="e">
        <f t="shared" si="7859"/>
        <v>#N/A</v>
      </c>
      <c r="H4092" s="16" t="e">
        <f t="shared" si="7860"/>
        <v>#N/A</v>
      </c>
      <c r="I4092" s="16" t="e">
        <f t="shared" si="7861"/>
        <v>#N/A</v>
      </c>
      <c r="J4092" s="40" t="e">
        <f t="shared" si="7862"/>
        <v>#N/A</v>
      </c>
      <c r="K4092" s="16" t="e">
        <f t="shared" si="7863"/>
        <v>#N/A</v>
      </c>
      <c r="L4092" s="40" t="e">
        <f t="shared" si="7864"/>
        <v>#N/A</v>
      </c>
      <c r="M4092" s="16" t="e">
        <f t="shared" si="7865"/>
        <v>#N/A</v>
      </c>
      <c r="N4092" s="16" t="e">
        <f t="shared" si="7866"/>
        <v>#N/A</v>
      </c>
      <c r="O4092" s="16" t="s">
        <v>77</v>
      </c>
      <c r="P4092" s="16" t="str">
        <f t="shared" si="6"/>
        <v/>
      </c>
      <c r="Q4092" s="41" t="e">
        <f t="shared" si="7867"/>
        <v>#N/A</v>
      </c>
      <c r="R4092" s="44"/>
      <c r="S4092" s="44"/>
      <c r="T4092" s="43"/>
      <c r="U4092" s="43" t="str">
        <f t="shared" si="8"/>
        <v>No</v>
      </c>
      <c r="V4092" s="25"/>
      <c r="W4092" s="25"/>
      <c r="X4092" s="25"/>
      <c r="Y4092" s="25"/>
      <c r="Z4092" s="25"/>
    </row>
    <row r="4093" spans="1:26" ht="15.75" customHeight="1" x14ac:dyDescent="0.25">
      <c r="A4093" s="25">
        <v>4091</v>
      </c>
      <c r="B4093" s="37" t="e">
        <f t="shared" si="7855"/>
        <v>#N/A</v>
      </c>
      <c r="C4093" s="38" t="e">
        <f t="shared" si="7856"/>
        <v>#N/A</v>
      </c>
      <c r="D4093" s="39" t="e">
        <f t="shared" si="7857"/>
        <v>#N/A</v>
      </c>
      <c r="E4093" s="16" t="e">
        <f t="shared" si="1"/>
        <v>#N/A</v>
      </c>
      <c r="F4093" s="16" t="e">
        <f t="shared" si="7858"/>
        <v>#N/A</v>
      </c>
      <c r="G4093" s="39" t="e">
        <f t="shared" si="7859"/>
        <v>#N/A</v>
      </c>
      <c r="H4093" s="16" t="e">
        <f t="shared" si="7860"/>
        <v>#N/A</v>
      </c>
      <c r="I4093" s="16" t="e">
        <f t="shared" si="7861"/>
        <v>#N/A</v>
      </c>
      <c r="J4093" s="40" t="e">
        <f t="shared" si="7862"/>
        <v>#N/A</v>
      </c>
      <c r="K4093" s="16" t="e">
        <f t="shared" si="7863"/>
        <v>#N/A</v>
      </c>
      <c r="L4093" s="40" t="e">
        <f t="shared" si="7864"/>
        <v>#N/A</v>
      </c>
      <c r="M4093" s="16" t="e">
        <f t="shared" si="7865"/>
        <v>#N/A</v>
      </c>
      <c r="N4093" s="16" t="e">
        <f t="shared" si="7866"/>
        <v>#N/A</v>
      </c>
      <c r="O4093" s="16" t="s">
        <v>77</v>
      </c>
      <c r="P4093" s="16" t="str">
        <f t="shared" si="6"/>
        <v/>
      </c>
      <c r="Q4093" s="41" t="e">
        <f t="shared" si="7867"/>
        <v>#N/A</v>
      </c>
      <c r="R4093" s="44"/>
      <c r="S4093" s="44"/>
      <c r="T4093" s="43"/>
      <c r="U4093" s="43" t="str">
        <f t="shared" si="8"/>
        <v>No</v>
      </c>
      <c r="V4093" s="25"/>
      <c r="W4093" s="25"/>
      <c r="X4093" s="25"/>
      <c r="Y4093" s="25"/>
      <c r="Z4093" s="25"/>
    </row>
    <row r="4094" spans="1:26" ht="15.75" customHeight="1" x14ac:dyDescent="0.25">
      <c r="A4094" s="25">
        <v>4092</v>
      </c>
      <c r="B4094" s="37" t="e">
        <f t="shared" si="7855"/>
        <v>#N/A</v>
      </c>
      <c r="C4094" s="38" t="e">
        <f t="shared" si="7856"/>
        <v>#N/A</v>
      </c>
      <c r="D4094" s="39" t="e">
        <f t="shared" si="7857"/>
        <v>#N/A</v>
      </c>
      <c r="E4094" s="16" t="e">
        <f t="shared" si="1"/>
        <v>#N/A</v>
      </c>
      <c r="F4094" s="16" t="e">
        <f t="shared" si="7858"/>
        <v>#N/A</v>
      </c>
      <c r="G4094" s="39" t="e">
        <f t="shared" si="7859"/>
        <v>#N/A</v>
      </c>
      <c r="H4094" s="16" t="e">
        <f t="shared" si="7860"/>
        <v>#N/A</v>
      </c>
      <c r="I4094" s="16" t="e">
        <f t="shared" si="7861"/>
        <v>#N/A</v>
      </c>
      <c r="J4094" s="40" t="e">
        <f t="shared" si="7862"/>
        <v>#N/A</v>
      </c>
      <c r="K4094" s="16" t="e">
        <f t="shared" si="7863"/>
        <v>#N/A</v>
      </c>
      <c r="L4094" s="40" t="e">
        <f t="shared" si="7864"/>
        <v>#N/A</v>
      </c>
      <c r="M4094" s="16" t="e">
        <f t="shared" si="7865"/>
        <v>#N/A</v>
      </c>
      <c r="N4094" s="16" t="e">
        <f t="shared" si="7866"/>
        <v>#N/A</v>
      </c>
      <c r="O4094" s="16" t="s">
        <v>77</v>
      </c>
      <c r="P4094" s="16" t="str">
        <f t="shared" si="6"/>
        <v/>
      </c>
      <c r="Q4094" s="41" t="e">
        <f t="shared" si="7867"/>
        <v>#N/A</v>
      </c>
      <c r="R4094" s="44"/>
      <c r="S4094" s="44"/>
      <c r="T4094" s="43"/>
      <c r="U4094" s="43" t="str">
        <f t="shared" si="8"/>
        <v>No</v>
      </c>
      <c r="V4094" s="25"/>
      <c r="W4094" s="25"/>
      <c r="X4094" s="25"/>
      <c r="Y4094" s="25"/>
      <c r="Z4094" s="25"/>
    </row>
    <row r="4095" spans="1:26" ht="15.75" customHeight="1" x14ac:dyDescent="0.25">
      <c r="A4095" s="25">
        <v>4093</v>
      </c>
      <c r="B4095" s="37" t="e">
        <f t="shared" si="7855"/>
        <v>#N/A</v>
      </c>
      <c r="C4095" s="38" t="e">
        <f t="shared" si="7856"/>
        <v>#N/A</v>
      </c>
      <c r="D4095" s="39" t="e">
        <f t="shared" si="7857"/>
        <v>#N/A</v>
      </c>
      <c r="E4095" s="16" t="e">
        <f t="shared" si="1"/>
        <v>#N/A</v>
      </c>
      <c r="F4095" s="16" t="e">
        <f t="shared" si="7858"/>
        <v>#N/A</v>
      </c>
      <c r="G4095" s="39" t="e">
        <f t="shared" si="7859"/>
        <v>#N/A</v>
      </c>
      <c r="H4095" s="16" t="e">
        <f t="shared" si="7860"/>
        <v>#N/A</v>
      </c>
      <c r="I4095" s="16" t="e">
        <f t="shared" si="7861"/>
        <v>#N/A</v>
      </c>
      <c r="J4095" s="40" t="e">
        <f t="shared" si="7862"/>
        <v>#N/A</v>
      </c>
      <c r="K4095" s="16" t="e">
        <f t="shared" si="7863"/>
        <v>#N/A</v>
      </c>
      <c r="L4095" s="40" t="e">
        <f t="shared" si="7864"/>
        <v>#N/A</v>
      </c>
      <c r="M4095" s="16" t="e">
        <f t="shared" si="7865"/>
        <v>#N/A</v>
      </c>
      <c r="N4095" s="16" t="e">
        <f t="shared" si="7866"/>
        <v>#N/A</v>
      </c>
      <c r="O4095" s="16" t="s">
        <v>77</v>
      </c>
      <c r="P4095" s="16" t="str">
        <f t="shared" si="6"/>
        <v/>
      </c>
      <c r="Q4095" s="41" t="e">
        <f t="shared" si="7867"/>
        <v>#N/A</v>
      </c>
      <c r="R4095" s="44"/>
      <c r="S4095" s="44"/>
      <c r="T4095" s="43"/>
      <c r="U4095" s="43" t="str">
        <f t="shared" si="8"/>
        <v>No</v>
      </c>
      <c r="V4095" s="25"/>
      <c r="W4095" s="25"/>
      <c r="X4095" s="25"/>
      <c r="Y4095" s="25"/>
      <c r="Z4095" s="25"/>
    </row>
    <row r="4096" spans="1:26" ht="15.75" customHeight="1" x14ac:dyDescent="0.25">
      <c r="A4096" s="25">
        <v>4094</v>
      </c>
      <c r="B4096" s="37" t="e">
        <f t="shared" si="7855"/>
        <v>#N/A</v>
      </c>
      <c r="C4096" s="38" t="e">
        <f t="shared" si="7856"/>
        <v>#N/A</v>
      </c>
      <c r="D4096" s="39" t="e">
        <f t="shared" si="7857"/>
        <v>#N/A</v>
      </c>
      <c r="E4096" s="16" t="e">
        <f t="shared" si="1"/>
        <v>#N/A</v>
      </c>
      <c r="F4096" s="16" t="e">
        <f t="shared" si="7858"/>
        <v>#N/A</v>
      </c>
      <c r="G4096" s="39" t="e">
        <f t="shared" si="7859"/>
        <v>#N/A</v>
      </c>
      <c r="H4096" s="16" t="e">
        <f t="shared" si="7860"/>
        <v>#N/A</v>
      </c>
      <c r="I4096" s="16" t="e">
        <f t="shared" si="7861"/>
        <v>#N/A</v>
      </c>
      <c r="J4096" s="40" t="e">
        <f t="shared" si="7862"/>
        <v>#N/A</v>
      </c>
      <c r="K4096" s="16" t="e">
        <f t="shared" si="7863"/>
        <v>#N/A</v>
      </c>
      <c r="L4096" s="40" t="e">
        <f t="shared" si="7864"/>
        <v>#N/A</v>
      </c>
      <c r="M4096" s="16" t="e">
        <f t="shared" si="7865"/>
        <v>#N/A</v>
      </c>
      <c r="N4096" s="16" t="e">
        <f t="shared" si="7866"/>
        <v>#N/A</v>
      </c>
      <c r="O4096" s="16" t="s">
        <v>77</v>
      </c>
      <c r="P4096" s="16" t="str">
        <f t="shared" si="6"/>
        <v/>
      </c>
      <c r="Q4096" s="41" t="e">
        <f t="shared" si="7867"/>
        <v>#N/A</v>
      </c>
      <c r="R4096" s="44"/>
      <c r="S4096" s="44"/>
      <c r="T4096" s="43"/>
      <c r="U4096" s="43" t="str">
        <f t="shared" si="8"/>
        <v>No</v>
      </c>
      <c r="V4096" s="25"/>
      <c r="W4096" s="25"/>
      <c r="X4096" s="25"/>
      <c r="Y4096" s="25"/>
      <c r="Z4096" s="25"/>
    </row>
    <row r="4097" spans="1:26" ht="15.75" customHeight="1" x14ac:dyDescent="0.25">
      <c r="A4097" s="25">
        <v>4095</v>
      </c>
      <c r="B4097" s="37" t="e">
        <f t="shared" si="7855"/>
        <v>#N/A</v>
      </c>
      <c r="C4097" s="38" t="e">
        <f t="shared" si="7856"/>
        <v>#N/A</v>
      </c>
      <c r="D4097" s="39" t="e">
        <f t="shared" si="7857"/>
        <v>#N/A</v>
      </c>
      <c r="E4097" s="16" t="e">
        <f t="shared" si="1"/>
        <v>#N/A</v>
      </c>
      <c r="F4097" s="16" t="e">
        <f t="shared" si="7858"/>
        <v>#N/A</v>
      </c>
      <c r="G4097" s="39" t="e">
        <f t="shared" si="7859"/>
        <v>#N/A</v>
      </c>
      <c r="H4097" s="16" t="e">
        <f t="shared" si="7860"/>
        <v>#N/A</v>
      </c>
      <c r="I4097" s="16" t="e">
        <f t="shared" si="7861"/>
        <v>#N/A</v>
      </c>
      <c r="J4097" s="40" t="e">
        <f t="shared" si="7862"/>
        <v>#N/A</v>
      </c>
      <c r="K4097" s="16" t="e">
        <f t="shared" si="7863"/>
        <v>#N/A</v>
      </c>
      <c r="L4097" s="40" t="e">
        <f t="shared" si="7864"/>
        <v>#N/A</v>
      </c>
      <c r="M4097" s="16" t="e">
        <f t="shared" si="7865"/>
        <v>#N/A</v>
      </c>
      <c r="N4097" s="16" t="e">
        <f t="shared" si="7866"/>
        <v>#N/A</v>
      </c>
      <c r="O4097" s="16" t="s">
        <v>77</v>
      </c>
      <c r="P4097" s="16" t="str">
        <f t="shared" si="6"/>
        <v/>
      </c>
      <c r="Q4097" s="41" t="e">
        <f t="shared" si="7867"/>
        <v>#N/A</v>
      </c>
      <c r="R4097" s="44"/>
      <c r="S4097" s="44"/>
      <c r="T4097" s="43"/>
      <c r="U4097" s="43" t="str">
        <f t="shared" si="8"/>
        <v>No</v>
      </c>
      <c r="V4097" s="25"/>
      <c r="W4097" s="25"/>
      <c r="X4097" s="25"/>
      <c r="Y4097" s="25"/>
      <c r="Z4097" s="25"/>
    </row>
    <row r="4098" spans="1:26" ht="15.75" customHeight="1" x14ac:dyDescent="0.25">
      <c r="A4098" s="25">
        <v>4096</v>
      </c>
      <c r="B4098" s="37" t="e">
        <f t="shared" si="7855"/>
        <v>#N/A</v>
      </c>
      <c r="C4098" s="38" t="e">
        <f t="shared" si="7856"/>
        <v>#N/A</v>
      </c>
      <c r="D4098" s="39" t="e">
        <f t="shared" si="7857"/>
        <v>#N/A</v>
      </c>
      <c r="E4098" s="16" t="e">
        <f t="shared" si="1"/>
        <v>#N/A</v>
      </c>
      <c r="F4098" s="16" t="e">
        <f t="shared" si="7858"/>
        <v>#N/A</v>
      </c>
      <c r="G4098" s="39" t="e">
        <f t="shared" si="7859"/>
        <v>#N/A</v>
      </c>
      <c r="H4098" s="16" t="e">
        <f t="shared" si="7860"/>
        <v>#N/A</v>
      </c>
      <c r="I4098" s="16" t="e">
        <f t="shared" si="7861"/>
        <v>#N/A</v>
      </c>
      <c r="J4098" s="40" t="e">
        <f t="shared" si="7862"/>
        <v>#N/A</v>
      </c>
      <c r="K4098" s="16" t="e">
        <f t="shared" si="7863"/>
        <v>#N/A</v>
      </c>
      <c r="L4098" s="40" t="e">
        <f t="shared" si="7864"/>
        <v>#N/A</v>
      </c>
      <c r="M4098" s="16" t="e">
        <f t="shared" si="7865"/>
        <v>#N/A</v>
      </c>
      <c r="N4098" s="16" t="e">
        <f t="shared" si="7866"/>
        <v>#N/A</v>
      </c>
      <c r="O4098" s="16" t="s">
        <v>77</v>
      </c>
      <c r="P4098" s="16" t="str">
        <f t="shared" si="6"/>
        <v/>
      </c>
      <c r="Q4098" s="41" t="e">
        <f t="shared" si="7867"/>
        <v>#N/A</v>
      </c>
      <c r="R4098" s="44"/>
      <c r="S4098" s="44"/>
      <c r="T4098" s="43"/>
      <c r="U4098" s="43" t="str">
        <f t="shared" si="8"/>
        <v>No</v>
      </c>
      <c r="V4098" s="25"/>
      <c r="W4098" s="25"/>
      <c r="X4098" s="25"/>
      <c r="Y4098" s="25"/>
      <c r="Z4098" s="25"/>
    </row>
    <row r="4099" spans="1:26" ht="15.75" customHeight="1" x14ac:dyDescent="0.25">
      <c r="A4099" s="25">
        <v>4097</v>
      </c>
      <c r="B4099" s="37" t="e">
        <f t="shared" si="7855"/>
        <v>#N/A</v>
      </c>
      <c r="C4099" s="38" t="e">
        <f t="shared" si="7856"/>
        <v>#N/A</v>
      </c>
      <c r="D4099" s="39" t="e">
        <f t="shared" si="7857"/>
        <v>#N/A</v>
      </c>
      <c r="E4099" s="16" t="e">
        <f t="shared" si="1"/>
        <v>#N/A</v>
      </c>
      <c r="F4099" s="16" t="e">
        <f t="shared" si="7858"/>
        <v>#N/A</v>
      </c>
      <c r="G4099" s="39" t="e">
        <f t="shared" si="7859"/>
        <v>#N/A</v>
      </c>
      <c r="H4099" s="16" t="e">
        <f t="shared" si="7860"/>
        <v>#N/A</v>
      </c>
      <c r="I4099" s="16" t="e">
        <f t="shared" si="7861"/>
        <v>#N/A</v>
      </c>
      <c r="J4099" s="40" t="e">
        <f t="shared" si="7862"/>
        <v>#N/A</v>
      </c>
      <c r="K4099" s="16" t="e">
        <f t="shared" si="7863"/>
        <v>#N/A</v>
      </c>
      <c r="L4099" s="40" t="e">
        <f t="shared" si="7864"/>
        <v>#N/A</v>
      </c>
      <c r="M4099" s="16" t="e">
        <f t="shared" si="7865"/>
        <v>#N/A</v>
      </c>
      <c r="N4099" s="16" t="e">
        <f t="shared" si="7866"/>
        <v>#N/A</v>
      </c>
      <c r="O4099" s="16" t="s">
        <v>77</v>
      </c>
      <c r="P4099" s="16" t="str">
        <f t="shared" si="6"/>
        <v/>
      </c>
      <c r="Q4099" s="41" t="e">
        <f t="shared" si="7867"/>
        <v>#N/A</v>
      </c>
      <c r="R4099" s="44"/>
      <c r="S4099" s="44"/>
      <c r="T4099" s="43"/>
      <c r="U4099" s="43" t="str">
        <f t="shared" si="8"/>
        <v>No</v>
      </c>
      <c r="V4099" s="25"/>
      <c r="W4099" s="25"/>
      <c r="X4099" s="25"/>
      <c r="Y4099" s="25"/>
      <c r="Z4099" s="25"/>
    </row>
    <row r="4100" spans="1:26" ht="15.75" customHeight="1" x14ac:dyDescent="0.25">
      <c r="A4100" s="25">
        <v>4098</v>
      </c>
      <c r="B4100" s="37" t="e">
        <f t="shared" si="7855"/>
        <v>#N/A</v>
      </c>
      <c r="C4100" s="38" t="e">
        <f t="shared" si="7856"/>
        <v>#N/A</v>
      </c>
      <c r="D4100" s="39" t="e">
        <f t="shared" si="7857"/>
        <v>#N/A</v>
      </c>
      <c r="E4100" s="16" t="e">
        <f t="shared" si="1"/>
        <v>#N/A</v>
      </c>
      <c r="F4100" s="16" t="e">
        <f t="shared" si="7858"/>
        <v>#N/A</v>
      </c>
      <c r="G4100" s="39" t="e">
        <f t="shared" si="7859"/>
        <v>#N/A</v>
      </c>
      <c r="H4100" s="16" t="e">
        <f t="shared" si="7860"/>
        <v>#N/A</v>
      </c>
      <c r="I4100" s="16" t="e">
        <f t="shared" si="7861"/>
        <v>#N/A</v>
      </c>
      <c r="J4100" s="40" t="e">
        <f t="shared" si="7862"/>
        <v>#N/A</v>
      </c>
      <c r="K4100" s="16" t="e">
        <f t="shared" si="7863"/>
        <v>#N/A</v>
      </c>
      <c r="L4100" s="40" t="e">
        <f t="shared" si="7864"/>
        <v>#N/A</v>
      </c>
      <c r="M4100" s="16" t="e">
        <f t="shared" si="7865"/>
        <v>#N/A</v>
      </c>
      <c r="N4100" s="16" t="e">
        <f t="shared" si="7866"/>
        <v>#N/A</v>
      </c>
      <c r="O4100" s="16" t="s">
        <v>77</v>
      </c>
      <c r="P4100" s="16" t="str">
        <f t="shared" si="6"/>
        <v/>
      </c>
      <c r="Q4100" s="41" t="e">
        <f t="shared" si="7867"/>
        <v>#N/A</v>
      </c>
      <c r="R4100" s="44"/>
      <c r="S4100" s="44"/>
      <c r="T4100" s="43"/>
      <c r="U4100" s="43" t="str">
        <f t="shared" si="8"/>
        <v>No</v>
      </c>
      <c r="V4100" s="25"/>
      <c r="W4100" s="25"/>
      <c r="X4100" s="25"/>
      <c r="Y4100" s="25"/>
      <c r="Z4100" s="25"/>
    </row>
    <row r="4101" spans="1:26" ht="15.75" customHeight="1" x14ac:dyDescent="0.25">
      <c r="A4101" s="25">
        <v>4099</v>
      </c>
      <c r="B4101" s="37" t="e">
        <f t="shared" si="7855"/>
        <v>#N/A</v>
      </c>
      <c r="C4101" s="38" t="e">
        <f t="shared" si="7856"/>
        <v>#N/A</v>
      </c>
      <c r="D4101" s="39" t="e">
        <f t="shared" si="7857"/>
        <v>#N/A</v>
      </c>
      <c r="E4101" s="16" t="e">
        <f t="shared" si="1"/>
        <v>#N/A</v>
      </c>
      <c r="F4101" s="16" t="e">
        <f t="shared" si="7858"/>
        <v>#N/A</v>
      </c>
      <c r="G4101" s="39" t="e">
        <f t="shared" si="7859"/>
        <v>#N/A</v>
      </c>
      <c r="H4101" s="16" t="e">
        <f t="shared" si="7860"/>
        <v>#N/A</v>
      </c>
      <c r="I4101" s="16" t="e">
        <f t="shared" si="7861"/>
        <v>#N/A</v>
      </c>
      <c r="J4101" s="40" t="e">
        <f t="shared" si="7862"/>
        <v>#N/A</v>
      </c>
      <c r="K4101" s="16" t="e">
        <f t="shared" si="7863"/>
        <v>#N/A</v>
      </c>
      <c r="L4101" s="40" t="e">
        <f t="shared" si="7864"/>
        <v>#N/A</v>
      </c>
      <c r="M4101" s="16" t="e">
        <f t="shared" si="7865"/>
        <v>#N/A</v>
      </c>
      <c r="N4101" s="16" t="e">
        <f t="shared" si="7866"/>
        <v>#N/A</v>
      </c>
      <c r="O4101" s="16" t="s">
        <v>77</v>
      </c>
      <c r="P4101" s="16" t="str">
        <f t="shared" si="6"/>
        <v/>
      </c>
      <c r="Q4101" s="41" t="e">
        <f t="shared" si="7867"/>
        <v>#N/A</v>
      </c>
      <c r="R4101" s="44"/>
      <c r="S4101" s="44"/>
      <c r="T4101" s="43"/>
      <c r="U4101" s="43" t="str">
        <f t="shared" si="8"/>
        <v>No</v>
      </c>
      <c r="V4101" s="25"/>
      <c r="W4101" s="25"/>
      <c r="X4101" s="25"/>
      <c r="Y4101" s="25"/>
      <c r="Z4101" s="25"/>
    </row>
    <row r="4102" spans="1:26" ht="15.75" customHeight="1" x14ac:dyDescent="0.25">
      <c r="A4102" s="25">
        <v>4100</v>
      </c>
      <c r="B4102" s="37" t="e">
        <f t="shared" si="7855"/>
        <v>#N/A</v>
      </c>
      <c r="C4102" s="38" t="e">
        <f t="shared" si="7856"/>
        <v>#N/A</v>
      </c>
      <c r="D4102" s="39" t="e">
        <f t="shared" si="7857"/>
        <v>#N/A</v>
      </c>
      <c r="E4102" s="16" t="e">
        <f t="shared" si="1"/>
        <v>#N/A</v>
      </c>
      <c r="F4102" s="16" t="e">
        <f t="shared" si="7858"/>
        <v>#N/A</v>
      </c>
      <c r="G4102" s="39" t="e">
        <f t="shared" si="7859"/>
        <v>#N/A</v>
      </c>
      <c r="H4102" s="16" t="e">
        <f t="shared" si="7860"/>
        <v>#N/A</v>
      </c>
      <c r="I4102" s="16" t="e">
        <f t="shared" si="7861"/>
        <v>#N/A</v>
      </c>
      <c r="J4102" s="40" t="e">
        <f t="shared" si="7862"/>
        <v>#N/A</v>
      </c>
      <c r="K4102" s="16" t="e">
        <f t="shared" si="7863"/>
        <v>#N/A</v>
      </c>
      <c r="L4102" s="40" t="e">
        <f t="shared" si="7864"/>
        <v>#N/A</v>
      </c>
      <c r="M4102" s="16" t="e">
        <f t="shared" si="7865"/>
        <v>#N/A</v>
      </c>
      <c r="N4102" s="16" t="e">
        <f t="shared" si="7866"/>
        <v>#N/A</v>
      </c>
      <c r="O4102" s="16" t="s">
        <v>77</v>
      </c>
      <c r="P4102" s="16" t="str">
        <f t="shared" si="6"/>
        <v/>
      </c>
      <c r="Q4102" s="41" t="e">
        <f t="shared" si="7867"/>
        <v>#N/A</v>
      </c>
      <c r="R4102" s="44"/>
      <c r="S4102" s="44"/>
      <c r="T4102" s="43"/>
      <c r="U4102" s="43" t="str">
        <f t="shared" si="8"/>
        <v>No</v>
      </c>
      <c r="V4102" s="25"/>
      <c r="W4102" s="25"/>
      <c r="X4102" s="25"/>
      <c r="Y4102" s="25"/>
      <c r="Z4102" s="25"/>
    </row>
    <row r="4103" spans="1:26" ht="15.75" customHeight="1" x14ac:dyDescent="0.25">
      <c r="A4103" s="25">
        <v>4101</v>
      </c>
      <c r="B4103" s="37" t="e">
        <f t="shared" si="7855"/>
        <v>#N/A</v>
      </c>
      <c r="C4103" s="38" t="e">
        <f t="shared" si="7856"/>
        <v>#N/A</v>
      </c>
      <c r="D4103" s="39" t="e">
        <f t="shared" si="7857"/>
        <v>#N/A</v>
      </c>
      <c r="E4103" s="16" t="e">
        <f t="shared" si="1"/>
        <v>#N/A</v>
      </c>
      <c r="F4103" s="16" t="e">
        <f t="shared" si="7858"/>
        <v>#N/A</v>
      </c>
      <c r="G4103" s="39" t="e">
        <f t="shared" si="7859"/>
        <v>#N/A</v>
      </c>
      <c r="H4103" s="16" t="e">
        <f t="shared" si="7860"/>
        <v>#N/A</v>
      </c>
      <c r="I4103" s="16" t="e">
        <f t="shared" si="7861"/>
        <v>#N/A</v>
      </c>
      <c r="J4103" s="40" t="e">
        <f t="shared" si="7862"/>
        <v>#N/A</v>
      </c>
      <c r="K4103" s="16" t="e">
        <f t="shared" si="7863"/>
        <v>#N/A</v>
      </c>
      <c r="L4103" s="40" t="e">
        <f t="shared" si="7864"/>
        <v>#N/A</v>
      </c>
      <c r="M4103" s="16" t="e">
        <f t="shared" si="7865"/>
        <v>#N/A</v>
      </c>
      <c r="N4103" s="16" t="e">
        <f t="shared" si="7866"/>
        <v>#N/A</v>
      </c>
      <c r="O4103" s="16" t="s">
        <v>77</v>
      </c>
      <c r="P4103" s="16" t="str">
        <f t="shared" si="6"/>
        <v/>
      </c>
      <c r="Q4103" s="41" t="e">
        <f t="shared" si="7867"/>
        <v>#N/A</v>
      </c>
      <c r="R4103" s="44"/>
      <c r="S4103" s="44"/>
      <c r="T4103" s="43"/>
      <c r="U4103" s="43" t="str">
        <f t="shared" si="8"/>
        <v>No</v>
      </c>
      <c r="V4103" s="25"/>
      <c r="W4103" s="25"/>
      <c r="X4103" s="25"/>
      <c r="Y4103" s="25"/>
      <c r="Z4103" s="25"/>
    </row>
    <row r="4104" spans="1:26" ht="15.75" customHeight="1" x14ac:dyDescent="0.25">
      <c r="A4104" s="25">
        <v>4102</v>
      </c>
      <c r="B4104" s="37" t="e">
        <f t="shared" si="7855"/>
        <v>#N/A</v>
      </c>
      <c r="C4104" s="38" t="e">
        <f t="shared" si="7856"/>
        <v>#N/A</v>
      </c>
      <c r="D4104" s="39" t="e">
        <f t="shared" si="7857"/>
        <v>#N/A</v>
      </c>
      <c r="E4104" s="16" t="e">
        <f t="shared" si="1"/>
        <v>#N/A</v>
      </c>
      <c r="F4104" s="16" t="e">
        <f t="shared" si="7858"/>
        <v>#N/A</v>
      </c>
      <c r="G4104" s="39" t="e">
        <f t="shared" si="7859"/>
        <v>#N/A</v>
      </c>
      <c r="H4104" s="16" t="e">
        <f t="shared" si="7860"/>
        <v>#N/A</v>
      </c>
      <c r="I4104" s="16" t="e">
        <f t="shared" si="7861"/>
        <v>#N/A</v>
      </c>
      <c r="J4104" s="40" t="e">
        <f t="shared" si="7862"/>
        <v>#N/A</v>
      </c>
      <c r="K4104" s="16" t="e">
        <f t="shared" si="7863"/>
        <v>#N/A</v>
      </c>
      <c r="L4104" s="40" t="e">
        <f t="shared" si="7864"/>
        <v>#N/A</v>
      </c>
      <c r="M4104" s="16" t="e">
        <f t="shared" si="7865"/>
        <v>#N/A</v>
      </c>
      <c r="N4104" s="16" t="e">
        <f t="shared" si="7866"/>
        <v>#N/A</v>
      </c>
      <c r="O4104" s="16" t="s">
        <v>77</v>
      </c>
      <c r="P4104" s="16" t="str">
        <f t="shared" si="6"/>
        <v/>
      </c>
      <c r="Q4104" s="41" t="e">
        <f t="shared" si="7867"/>
        <v>#N/A</v>
      </c>
      <c r="R4104" s="44"/>
      <c r="S4104" s="44"/>
      <c r="T4104" s="43"/>
      <c r="U4104" s="43" t="str">
        <f t="shared" si="8"/>
        <v>No</v>
      </c>
      <c r="V4104" s="25"/>
      <c r="W4104" s="25"/>
      <c r="X4104" s="25"/>
      <c r="Y4104" s="25"/>
      <c r="Z4104" s="25"/>
    </row>
    <row r="4105" spans="1:26" ht="15.75" customHeight="1" x14ac:dyDescent="0.25">
      <c r="A4105" s="25">
        <v>4103</v>
      </c>
      <c r="B4105" s="37" t="e">
        <f t="shared" si="7855"/>
        <v>#N/A</v>
      </c>
      <c r="C4105" s="38" t="e">
        <f t="shared" si="7856"/>
        <v>#N/A</v>
      </c>
      <c r="D4105" s="39" t="e">
        <f t="shared" si="7857"/>
        <v>#N/A</v>
      </c>
      <c r="E4105" s="16" t="e">
        <f t="shared" si="1"/>
        <v>#N/A</v>
      </c>
      <c r="F4105" s="16" t="e">
        <f t="shared" si="7858"/>
        <v>#N/A</v>
      </c>
      <c r="G4105" s="39" t="e">
        <f t="shared" si="7859"/>
        <v>#N/A</v>
      </c>
      <c r="H4105" s="16" t="e">
        <f t="shared" si="7860"/>
        <v>#N/A</v>
      </c>
      <c r="I4105" s="16" t="e">
        <f t="shared" si="7861"/>
        <v>#N/A</v>
      </c>
      <c r="J4105" s="40" t="e">
        <f t="shared" si="7862"/>
        <v>#N/A</v>
      </c>
      <c r="K4105" s="16" t="e">
        <f t="shared" si="7863"/>
        <v>#N/A</v>
      </c>
      <c r="L4105" s="40" t="e">
        <f t="shared" si="7864"/>
        <v>#N/A</v>
      </c>
      <c r="M4105" s="16" t="e">
        <f t="shared" si="7865"/>
        <v>#N/A</v>
      </c>
      <c r="N4105" s="16" t="e">
        <f t="shared" si="7866"/>
        <v>#N/A</v>
      </c>
      <c r="O4105" s="16" t="s">
        <v>77</v>
      </c>
      <c r="P4105" s="16" t="str">
        <f t="shared" si="6"/>
        <v/>
      </c>
      <c r="Q4105" s="41" t="e">
        <f t="shared" si="7867"/>
        <v>#N/A</v>
      </c>
      <c r="R4105" s="44"/>
      <c r="S4105" s="44"/>
      <c r="T4105" s="43"/>
      <c r="U4105" s="43" t="str">
        <f t="shared" si="8"/>
        <v>No</v>
      </c>
      <c r="V4105" s="25"/>
      <c r="W4105" s="25"/>
      <c r="X4105" s="25"/>
      <c r="Y4105" s="25"/>
      <c r="Z4105" s="25"/>
    </row>
    <row r="4106" spans="1:26" ht="15.75" customHeight="1" x14ac:dyDescent="0.25">
      <c r="A4106" s="25">
        <v>4104</v>
      </c>
      <c r="B4106" s="37" t="e">
        <f t="shared" si="7855"/>
        <v>#N/A</v>
      </c>
      <c r="C4106" s="38" t="e">
        <f t="shared" si="7856"/>
        <v>#N/A</v>
      </c>
      <c r="D4106" s="39" t="e">
        <f t="shared" si="7857"/>
        <v>#N/A</v>
      </c>
      <c r="E4106" s="16" t="e">
        <f t="shared" si="1"/>
        <v>#N/A</v>
      </c>
      <c r="F4106" s="16" t="e">
        <f t="shared" si="7858"/>
        <v>#N/A</v>
      </c>
      <c r="G4106" s="39" t="e">
        <f t="shared" si="7859"/>
        <v>#N/A</v>
      </c>
      <c r="H4106" s="16" t="e">
        <f t="shared" si="7860"/>
        <v>#N/A</v>
      </c>
      <c r="I4106" s="16" t="e">
        <f t="shared" si="7861"/>
        <v>#N/A</v>
      </c>
      <c r="J4106" s="40" t="e">
        <f t="shared" si="7862"/>
        <v>#N/A</v>
      </c>
      <c r="K4106" s="16" t="e">
        <f t="shared" si="7863"/>
        <v>#N/A</v>
      </c>
      <c r="L4106" s="40" t="e">
        <f t="shared" si="7864"/>
        <v>#N/A</v>
      </c>
      <c r="M4106" s="16" t="e">
        <f t="shared" si="7865"/>
        <v>#N/A</v>
      </c>
      <c r="N4106" s="16" t="e">
        <f t="shared" si="7866"/>
        <v>#N/A</v>
      </c>
      <c r="O4106" s="16" t="s">
        <v>77</v>
      </c>
      <c r="P4106" s="16" t="str">
        <f t="shared" si="6"/>
        <v/>
      </c>
      <c r="Q4106" s="41" t="e">
        <f t="shared" si="7867"/>
        <v>#N/A</v>
      </c>
      <c r="R4106" s="44"/>
      <c r="S4106" s="44"/>
      <c r="T4106" s="43"/>
      <c r="U4106" s="43" t="str">
        <f t="shared" si="8"/>
        <v>No</v>
      </c>
      <c r="V4106" s="25"/>
      <c r="W4106" s="25"/>
      <c r="X4106" s="25"/>
      <c r="Y4106" s="25"/>
      <c r="Z4106" s="25"/>
    </row>
    <row r="4107" spans="1:26" ht="15.75" customHeight="1" x14ac:dyDescent="0.25">
      <c r="A4107" s="25">
        <v>4105</v>
      </c>
      <c r="B4107" s="37" t="e">
        <f t="shared" si="7855"/>
        <v>#N/A</v>
      </c>
      <c r="C4107" s="38" t="e">
        <f t="shared" si="7856"/>
        <v>#N/A</v>
      </c>
      <c r="D4107" s="39" t="e">
        <f t="shared" si="7857"/>
        <v>#N/A</v>
      </c>
      <c r="E4107" s="16" t="e">
        <f t="shared" si="1"/>
        <v>#N/A</v>
      </c>
      <c r="F4107" s="16" t="e">
        <f t="shared" si="7858"/>
        <v>#N/A</v>
      </c>
      <c r="G4107" s="39" t="e">
        <f t="shared" si="7859"/>
        <v>#N/A</v>
      </c>
      <c r="H4107" s="16" t="e">
        <f t="shared" si="7860"/>
        <v>#N/A</v>
      </c>
      <c r="I4107" s="16" t="e">
        <f t="shared" si="7861"/>
        <v>#N/A</v>
      </c>
      <c r="J4107" s="40" t="e">
        <f t="shared" si="7862"/>
        <v>#N/A</v>
      </c>
      <c r="K4107" s="16" t="e">
        <f t="shared" si="7863"/>
        <v>#N/A</v>
      </c>
      <c r="L4107" s="40" t="e">
        <f t="shared" si="7864"/>
        <v>#N/A</v>
      </c>
      <c r="M4107" s="16" t="e">
        <f t="shared" si="7865"/>
        <v>#N/A</v>
      </c>
      <c r="N4107" s="16" t="e">
        <f t="shared" si="7866"/>
        <v>#N/A</v>
      </c>
      <c r="O4107" s="16" t="s">
        <v>77</v>
      </c>
      <c r="P4107" s="16" t="str">
        <f t="shared" si="6"/>
        <v/>
      </c>
      <c r="Q4107" s="41" t="e">
        <f t="shared" si="7867"/>
        <v>#N/A</v>
      </c>
      <c r="R4107" s="44"/>
      <c r="S4107" s="44"/>
      <c r="T4107" s="43"/>
      <c r="U4107" s="43" t="str">
        <f t="shared" si="8"/>
        <v>No</v>
      </c>
      <c r="V4107" s="25"/>
      <c r="W4107" s="25"/>
      <c r="X4107" s="25"/>
      <c r="Y4107" s="25"/>
      <c r="Z4107" s="25"/>
    </row>
    <row r="4108" spans="1:26" ht="15.75" customHeight="1" x14ac:dyDescent="0.25">
      <c r="A4108" s="25">
        <v>4106</v>
      </c>
      <c r="B4108" s="37" t="e">
        <f t="shared" si="7855"/>
        <v>#N/A</v>
      </c>
      <c r="C4108" s="38" t="e">
        <f t="shared" si="7856"/>
        <v>#N/A</v>
      </c>
      <c r="D4108" s="39" t="e">
        <f t="shared" si="7857"/>
        <v>#N/A</v>
      </c>
      <c r="E4108" s="16" t="e">
        <f t="shared" si="1"/>
        <v>#N/A</v>
      </c>
      <c r="F4108" s="16" t="e">
        <f t="shared" si="7858"/>
        <v>#N/A</v>
      </c>
      <c r="G4108" s="39" t="e">
        <f t="shared" si="7859"/>
        <v>#N/A</v>
      </c>
      <c r="H4108" s="16" t="e">
        <f t="shared" si="7860"/>
        <v>#N/A</v>
      </c>
      <c r="I4108" s="16" t="e">
        <f t="shared" si="7861"/>
        <v>#N/A</v>
      </c>
      <c r="J4108" s="40" t="e">
        <f t="shared" si="7862"/>
        <v>#N/A</v>
      </c>
      <c r="K4108" s="16" t="e">
        <f t="shared" si="7863"/>
        <v>#N/A</v>
      </c>
      <c r="L4108" s="40" t="e">
        <f t="shared" si="7864"/>
        <v>#N/A</v>
      </c>
      <c r="M4108" s="16" t="e">
        <f t="shared" si="7865"/>
        <v>#N/A</v>
      </c>
      <c r="N4108" s="16" t="e">
        <f t="shared" si="7866"/>
        <v>#N/A</v>
      </c>
      <c r="O4108" s="16" t="s">
        <v>77</v>
      </c>
      <c r="P4108" s="16" t="str">
        <f t="shared" si="6"/>
        <v/>
      </c>
      <c r="Q4108" s="41" t="e">
        <f t="shared" si="7867"/>
        <v>#N/A</v>
      </c>
      <c r="R4108" s="44"/>
      <c r="S4108" s="44"/>
      <c r="T4108" s="43"/>
      <c r="U4108" s="43" t="str">
        <f t="shared" si="8"/>
        <v>No</v>
      </c>
      <c r="V4108" s="25"/>
      <c r="W4108" s="25"/>
      <c r="X4108" s="25"/>
      <c r="Y4108" s="25"/>
      <c r="Z4108" s="25"/>
    </row>
    <row r="4109" spans="1:26" ht="15.75" customHeight="1" x14ac:dyDescent="0.25">
      <c r="A4109" s="25">
        <v>4107</v>
      </c>
      <c r="B4109" s="37" t="e">
        <f t="shared" si="7855"/>
        <v>#N/A</v>
      </c>
      <c r="C4109" s="38" t="e">
        <f t="shared" si="7856"/>
        <v>#N/A</v>
      </c>
      <c r="D4109" s="39" t="e">
        <f t="shared" si="7857"/>
        <v>#N/A</v>
      </c>
      <c r="E4109" s="16" t="e">
        <f t="shared" si="1"/>
        <v>#N/A</v>
      </c>
      <c r="F4109" s="16" t="e">
        <f t="shared" si="7858"/>
        <v>#N/A</v>
      </c>
      <c r="G4109" s="39" t="e">
        <f t="shared" si="7859"/>
        <v>#N/A</v>
      </c>
      <c r="H4109" s="16" t="e">
        <f t="shared" si="7860"/>
        <v>#N/A</v>
      </c>
      <c r="I4109" s="16" t="e">
        <f t="shared" si="7861"/>
        <v>#N/A</v>
      </c>
      <c r="J4109" s="40" t="e">
        <f t="shared" si="7862"/>
        <v>#N/A</v>
      </c>
      <c r="K4109" s="16" t="e">
        <f t="shared" si="7863"/>
        <v>#N/A</v>
      </c>
      <c r="L4109" s="40" t="e">
        <f t="shared" si="7864"/>
        <v>#N/A</v>
      </c>
      <c r="M4109" s="16" t="e">
        <f t="shared" si="7865"/>
        <v>#N/A</v>
      </c>
      <c r="N4109" s="16" t="e">
        <f t="shared" si="7866"/>
        <v>#N/A</v>
      </c>
      <c r="O4109" s="16" t="s">
        <v>77</v>
      </c>
      <c r="P4109" s="16" t="str">
        <f t="shared" si="6"/>
        <v/>
      </c>
      <c r="Q4109" s="41" t="e">
        <f t="shared" si="7867"/>
        <v>#N/A</v>
      </c>
      <c r="R4109" s="44"/>
      <c r="S4109" s="44"/>
      <c r="T4109" s="43"/>
      <c r="U4109" s="43" t="str">
        <f t="shared" si="8"/>
        <v>No</v>
      </c>
      <c r="V4109" s="25"/>
      <c r="W4109" s="25"/>
      <c r="X4109" s="25"/>
      <c r="Y4109" s="25"/>
      <c r="Z4109" s="25"/>
    </row>
    <row r="4110" spans="1:26" ht="15.75" customHeight="1" x14ac:dyDescent="0.25">
      <c r="A4110" s="25">
        <v>4108</v>
      </c>
      <c r="B4110" s="37" t="e">
        <f t="shared" si="7855"/>
        <v>#N/A</v>
      </c>
      <c r="C4110" s="38" t="e">
        <f t="shared" si="7856"/>
        <v>#N/A</v>
      </c>
      <c r="D4110" s="39" t="e">
        <f t="shared" si="7857"/>
        <v>#N/A</v>
      </c>
      <c r="E4110" s="16" t="e">
        <f t="shared" si="1"/>
        <v>#N/A</v>
      </c>
      <c r="F4110" s="16" t="e">
        <f t="shared" si="7858"/>
        <v>#N/A</v>
      </c>
      <c r="G4110" s="39" t="e">
        <f t="shared" si="7859"/>
        <v>#N/A</v>
      </c>
      <c r="H4110" s="16" t="e">
        <f t="shared" si="7860"/>
        <v>#N/A</v>
      </c>
      <c r="I4110" s="16" t="e">
        <f t="shared" si="7861"/>
        <v>#N/A</v>
      </c>
      <c r="J4110" s="40" t="e">
        <f t="shared" si="7862"/>
        <v>#N/A</v>
      </c>
      <c r="K4110" s="16" t="e">
        <f t="shared" si="7863"/>
        <v>#N/A</v>
      </c>
      <c r="L4110" s="40" t="e">
        <f t="shared" si="7864"/>
        <v>#N/A</v>
      </c>
      <c r="M4110" s="16" t="e">
        <f t="shared" si="7865"/>
        <v>#N/A</v>
      </c>
      <c r="N4110" s="16" t="e">
        <f t="shared" si="7866"/>
        <v>#N/A</v>
      </c>
      <c r="O4110" s="16" t="s">
        <v>77</v>
      </c>
      <c r="P4110" s="16" t="str">
        <f t="shared" si="6"/>
        <v/>
      </c>
      <c r="Q4110" s="41" t="e">
        <f t="shared" si="7867"/>
        <v>#N/A</v>
      </c>
      <c r="R4110" s="44"/>
      <c r="S4110" s="44"/>
      <c r="T4110" s="43"/>
      <c r="U4110" s="43" t="str">
        <f t="shared" si="8"/>
        <v>No</v>
      </c>
      <c r="V4110" s="25"/>
      <c r="W4110" s="25"/>
      <c r="X4110" s="25"/>
      <c r="Y4110" s="25"/>
      <c r="Z4110" s="25"/>
    </row>
    <row r="4111" spans="1:26" ht="15.75" customHeight="1" x14ac:dyDescent="0.25">
      <c r="A4111" s="25">
        <v>4109</v>
      </c>
      <c r="B4111" s="37" t="e">
        <f t="shared" si="7855"/>
        <v>#N/A</v>
      </c>
      <c r="C4111" s="38" t="e">
        <f t="shared" si="7856"/>
        <v>#N/A</v>
      </c>
      <c r="D4111" s="39" t="e">
        <f t="shared" si="7857"/>
        <v>#N/A</v>
      </c>
      <c r="E4111" s="16" t="e">
        <f t="shared" si="1"/>
        <v>#N/A</v>
      </c>
      <c r="F4111" s="16" t="e">
        <f t="shared" si="7858"/>
        <v>#N/A</v>
      </c>
      <c r="G4111" s="39" t="e">
        <f t="shared" si="7859"/>
        <v>#N/A</v>
      </c>
      <c r="H4111" s="16" t="e">
        <f t="shared" si="7860"/>
        <v>#N/A</v>
      </c>
      <c r="I4111" s="16" t="e">
        <f t="shared" si="7861"/>
        <v>#N/A</v>
      </c>
      <c r="J4111" s="40" t="e">
        <f t="shared" si="7862"/>
        <v>#N/A</v>
      </c>
      <c r="K4111" s="16" t="e">
        <f t="shared" si="7863"/>
        <v>#N/A</v>
      </c>
      <c r="L4111" s="40" t="e">
        <f t="shared" si="7864"/>
        <v>#N/A</v>
      </c>
      <c r="M4111" s="16" t="e">
        <f t="shared" si="7865"/>
        <v>#N/A</v>
      </c>
      <c r="N4111" s="16" t="e">
        <f t="shared" si="7866"/>
        <v>#N/A</v>
      </c>
      <c r="O4111" s="16" t="s">
        <v>77</v>
      </c>
      <c r="P4111" s="16" t="str">
        <f t="shared" si="6"/>
        <v/>
      </c>
      <c r="Q4111" s="41" t="e">
        <f t="shared" si="7867"/>
        <v>#N/A</v>
      </c>
      <c r="R4111" s="44"/>
      <c r="S4111" s="44"/>
      <c r="T4111" s="43"/>
      <c r="U4111" s="43" t="str">
        <f t="shared" si="8"/>
        <v>No</v>
      </c>
      <c r="V4111" s="25"/>
      <c r="W4111" s="25"/>
      <c r="X4111" s="25"/>
      <c r="Y4111" s="25"/>
      <c r="Z4111" s="25"/>
    </row>
    <row r="4112" spans="1:26" ht="15.75" customHeight="1" x14ac:dyDescent="0.25">
      <c r="A4112" s="25">
        <v>4110</v>
      </c>
      <c r="B4112" s="37" t="e">
        <f t="shared" si="7855"/>
        <v>#N/A</v>
      </c>
      <c r="C4112" s="38" t="e">
        <f t="shared" si="7856"/>
        <v>#N/A</v>
      </c>
      <c r="D4112" s="39" t="e">
        <f t="shared" si="7857"/>
        <v>#N/A</v>
      </c>
      <c r="E4112" s="16" t="e">
        <f t="shared" si="1"/>
        <v>#N/A</v>
      </c>
      <c r="F4112" s="16" t="e">
        <f t="shared" si="7858"/>
        <v>#N/A</v>
      </c>
      <c r="G4112" s="39" t="e">
        <f t="shared" si="7859"/>
        <v>#N/A</v>
      </c>
      <c r="H4112" s="16" t="e">
        <f t="shared" si="7860"/>
        <v>#N/A</v>
      </c>
      <c r="I4112" s="16" t="e">
        <f t="shared" si="7861"/>
        <v>#N/A</v>
      </c>
      <c r="J4112" s="40" t="e">
        <f t="shared" si="7862"/>
        <v>#N/A</v>
      </c>
      <c r="K4112" s="16" t="e">
        <f t="shared" si="7863"/>
        <v>#N/A</v>
      </c>
      <c r="L4112" s="40" t="e">
        <f t="shared" si="7864"/>
        <v>#N/A</v>
      </c>
      <c r="M4112" s="16" t="e">
        <f t="shared" si="7865"/>
        <v>#N/A</v>
      </c>
      <c r="N4112" s="16" t="e">
        <f t="shared" si="7866"/>
        <v>#N/A</v>
      </c>
      <c r="O4112" s="16" t="s">
        <v>77</v>
      </c>
      <c r="P4112" s="16" t="str">
        <f t="shared" si="6"/>
        <v/>
      </c>
      <c r="Q4112" s="41" t="e">
        <f t="shared" si="7867"/>
        <v>#N/A</v>
      </c>
      <c r="R4112" s="44"/>
      <c r="S4112" s="44"/>
      <c r="T4112" s="43"/>
      <c r="U4112" s="43" t="str">
        <f t="shared" si="8"/>
        <v>No</v>
      </c>
      <c r="V4112" s="25"/>
      <c r="W4112" s="25"/>
      <c r="X4112" s="25"/>
      <c r="Y4112" s="25"/>
      <c r="Z4112" s="25"/>
    </row>
    <row r="4113" spans="1:26" ht="15.75" customHeight="1" x14ac:dyDescent="0.25">
      <c r="A4113" s="25">
        <v>4111</v>
      </c>
      <c r="B4113" s="37" t="e">
        <f t="shared" si="7855"/>
        <v>#N/A</v>
      </c>
      <c r="C4113" s="38" t="e">
        <f t="shared" si="7856"/>
        <v>#N/A</v>
      </c>
      <c r="D4113" s="39" t="e">
        <f t="shared" si="7857"/>
        <v>#N/A</v>
      </c>
      <c r="E4113" s="16" t="e">
        <f t="shared" si="1"/>
        <v>#N/A</v>
      </c>
      <c r="F4113" s="16" t="e">
        <f t="shared" si="7858"/>
        <v>#N/A</v>
      </c>
      <c r="G4113" s="39" t="e">
        <f t="shared" si="7859"/>
        <v>#N/A</v>
      </c>
      <c r="H4113" s="16" t="e">
        <f t="shared" si="7860"/>
        <v>#N/A</v>
      </c>
      <c r="I4113" s="16" t="e">
        <f t="shared" si="7861"/>
        <v>#N/A</v>
      </c>
      <c r="J4113" s="40" t="e">
        <f t="shared" si="7862"/>
        <v>#N/A</v>
      </c>
      <c r="K4113" s="16" t="e">
        <f t="shared" si="7863"/>
        <v>#N/A</v>
      </c>
      <c r="L4113" s="40" t="e">
        <f t="shared" si="7864"/>
        <v>#N/A</v>
      </c>
      <c r="M4113" s="16" t="e">
        <f t="shared" si="7865"/>
        <v>#N/A</v>
      </c>
      <c r="N4113" s="16" t="e">
        <f t="shared" si="7866"/>
        <v>#N/A</v>
      </c>
      <c r="O4113" s="16" t="s">
        <v>77</v>
      </c>
      <c r="P4113" s="16" t="str">
        <f t="shared" si="6"/>
        <v/>
      </c>
      <c r="Q4113" s="41" t="e">
        <f t="shared" si="7867"/>
        <v>#N/A</v>
      </c>
      <c r="R4113" s="44"/>
      <c r="S4113" s="44"/>
      <c r="T4113" s="43"/>
      <c r="U4113" s="43" t="str">
        <f t="shared" si="8"/>
        <v>No</v>
      </c>
      <c r="V4113" s="25"/>
      <c r="W4113" s="25"/>
      <c r="X4113" s="25"/>
      <c r="Y4113" s="25"/>
      <c r="Z4113" s="25"/>
    </row>
    <row r="4114" spans="1:26" ht="15.75" customHeight="1" x14ac:dyDescent="0.25">
      <c r="A4114" s="25">
        <v>4112</v>
      </c>
      <c r="B4114" s="37" t="e">
        <f t="shared" si="7855"/>
        <v>#N/A</v>
      </c>
      <c r="C4114" s="38" t="e">
        <f t="shared" si="7856"/>
        <v>#N/A</v>
      </c>
      <c r="D4114" s="39" t="e">
        <f t="shared" si="7857"/>
        <v>#N/A</v>
      </c>
      <c r="E4114" s="16" t="e">
        <f t="shared" si="1"/>
        <v>#N/A</v>
      </c>
      <c r="F4114" s="16" t="e">
        <f t="shared" si="7858"/>
        <v>#N/A</v>
      </c>
      <c r="G4114" s="39" t="e">
        <f t="shared" si="7859"/>
        <v>#N/A</v>
      </c>
      <c r="H4114" s="16" t="e">
        <f t="shared" si="7860"/>
        <v>#N/A</v>
      </c>
      <c r="I4114" s="16" t="e">
        <f t="shared" si="7861"/>
        <v>#N/A</v>
      </c>
      <c r="J4114" s="40" t="e">
        <f t="shared" si="7862"/>
        <v>#N/A</v>
      </c>
      <c r="K4114" s="16" t="e">
        <f t="shared" si="7863"/>
        <v>#N/A</v>
      </c>
      <c r="L4114" s="40" t="e">
        <f t="shared" si="7864"/>
        <v>#N/A</v>
      </c>
      <c r="M4114" s="16" t="e">
        <f t="shared" si="7865"/>
        <v>#N/A</v>
      </c>
      <c r="N4114" s="16" t="e">
        <f t="shared" si="7866"/>
        <v>#N/A</v>
      </c>
      <c r="O4114" s="16" t="s">
        <v>77</v>
      </c>
      <c r="P4114" s="16" t="str">
        <f t="shared" si="6"/>
        <v/>
      </c>
      <c r="Q4114" s="41" t="e">
        <f t="shared" si="7867"/>
        <v>#N/A</v>
      </c>
      <c r="R4114" s="44"/>
      <c r="S4114" s="44"/>
      <c r="T4114" s="43"/>
      <c r="U4114" s="43" t="str">
        <f t="shared" si="8"/>
        <v>No</v>
      </c>
      <c r="V4114" s="25"/>
      <c r="W4114" s="25"/>
      <c r="X4114" s="25"/>
      <c r="Y4114" s="25"/>
      <c r="Z4114" s="25"/>
    </row>
    <row r="4115" spans="1:26" ht="15.75" customHeight="1" x14ac:dyDescent="0.25">
      <c r="A4115" s="25">
        <v>4113</v>
      </c>
      <c r="B4115" s="37" t="e">
        <f t="shared" si="7855"/>
        <v>#N/A</v>
      </c>
      <c r="C4115" s="38" t="e">
        <f t="shared" si="7856"/>
        <v>#N/A</v>
      </c>
      <c r="D4115" s="39" t="e">
        <f t="shared" si="7857"/>
        <v>#N/A</v>
      </c>
      <c r="E4115" s="16" t="e">
        <f t="shared" si="1"/>
        <v>#N/A</v>
      </c>
      <c r="F4115" s="16" t="e">
        <f t="shared" si="7858"/>
        <v>#N/A</v>
      </c>
      <c r="G4115" s="39" t="e">
        <f t="shared" si="7859"/>
        <v>#N/A</v>
      </c>
      <c r="H4115" s="16" t="e">
        <f t="shared" si="7860"/>
        <v>#N/A</v>
      </c>
      <c r="I4115" s="16" t="e">
        <f t="shared" si="7861"/>
        <v>#N/A</v>
      </c>
      <c r="J4115" s="40" t="e">
        <f t="shared" si="7862"/>
        <v>#N/A</v>
      </c>
      <c r="K4115" s="16" t="e">
        <f t="shared" si="7863"/>
        <v>#N/A</v>
      </c>
      <c r="L4115" s="40" t="e">
        <f t="shared" si="7864"/>
        <v>#N/A</v>
      </c>
      <c r="M4115" s="16" t="e">
        <f t="shared" si="7865"/>
        <v>#N/A</v>
      </c>
      <c r="N4115" s="16" t="e">
        <f t="shared" si="7866"/>
        <v>#N/A</v>
      </c>
      <c r="O4115" s="16" t="s">
        <v>77</v>
      </c>
      <c r="P4115" s="16" t="str">
        <f t="shared" si="6"/>
        <v/>
      </c>
      <c r="Q4115" s="41" t="e">
        <f t="shared" si="7867"/>
        <v>#N/A</v>
      </c>
      <c r="R4115" s="44"/>
      <c r="S4115" s="44"/>
      <c r="T4115" s="43"/>
      <c r="U4115" s="43" t="str">
        <f t="shared" si="8"/>
        <v>No</v>
      </c>
      <c r="V4115" s="25"/>
      <c r="W4115" s="25"/>
      <c r="X4115" s="25"/>
      <c r="Y4115" s="25"/>
      <c r="Z4115" s="25"/>
    </row>
    <row r="4116" spans="1:26" ht="15.75" customHeight="1" x14ac:dyDescent="0.25">
      <c r="A4116" s="25">
        <v>4114</v>
      </c>
      <c r="B4116" s="37" t="e">
        <f t="shared" si="7855"/>
        <v>#N/A</v>
      </c>
      <c r="C4116" s="38" t="e">
        <f t="shared" si="7856"/>
        <v>#N/A</v>
      </c>
      <c r="D4116" s="39" t="e">
        <f t="shared" si="7857"/>
        <v>#N/A</v>
      </c>
      <c r="E4116" s="16" t="e">
        <f t="shared" si="1"/>
        <v>#N/A</v>
      </c>
      <c r="F4116" s="16" t="e">
        <f t="shared" si="7858"/>
        <v>#N/A</v>
      </c>
      <c r="G4116" s="39" t="e">
        <f t="shared" si="7859"/>
        <v>#N/A</v>
      </c>
      <c r="H4116" s="16" t="e">
        <f t="shared" si="7860"/>
        <v>#N/A</v>
      </c>
      <c r="I4116" s="16" t="e">
        <f t="shared" si="7861"/>
        <v>#N/A</v>
      </c>
      <c r="J4116" s="40" t="e">
        <f t="shared" si="7862"/>
        <v>#N/A</v>
      </c>
      <c r="K4116" s="16" t="e">
        <f t="shared" si="7863"/>
        <v>#N/A</v>
      </c>
      <c r="L4116" s="40" t="e">
        <f t="shared" si="7864"/>
        <v>#N/A</v>
      </c>
      <c r="M4116" s="16" t="e">
        <f t="shared" si="7865"/>
        <v>#N/A</v>
      </c>
      <c r="N4116" s="16" t="e">
        <f t="shared" si="7866"/>
        <v>#N/A</v>
      </c>
      <c r="O4116" s="16" t="s">
        <v>77</v>
      </c>
      <c r="P4116" s="16" t="str">
        <f t="shared" si="6"/>
        <v/>
      </c>
      <c r="Q4116" s="41" t="e">
        <f t="shared" si="7867"/>
        <v>#N/A</v>
      </c>
      <c r="R4116" s="44"/>
      <c r="S4116" s="44"/>
      <c r="T4116" s="43"/>
      <c r="U4116" s="43" t="str">
        <f t="shared" si="8"/>
        <v>No</v>
      </c>
      <c r="V4116" s="25"/>
      <c r="W4116" s="25"/>
      <c r="X4116" s="25"/>
      <c r="Y4116" s="25"/>
      <c r="Z4116" s="25"/>
    </row>
    <row r="4117" spans="1:26" ht="15.75" customHeight="1" x14ac:dyDescent="0.25">
      <c r="A4117" s="25">
        <v>4115</v>
      </c>
      <c r="B4117" s="37" t="e">
        <f t="shared" si="7855"/>
        <v>#N/A</v>
      </c>
      <c r="C4117" s="38" t="e">
        <f t="shared" si="7856"/>
        <v>#N/A</v>
      </c>
      <c r="D4117" s="39" t="e">
        <f t="shared" si="7857"/>
        <v>#N/A</v>
      </c>
      <c r="E4117" s="16" t="e">
        <f t="shared" si="1"/>
        <v>#N/A</v>
      </c>
      <c r="F4117" s="16" t="e">
        <f t="shared" si="7858"/>
        <v>#N/A</v>
      </c>
      <c r="G4117" s="39" t="e">
        <f t="shared" si="7859"/>
        <v>#N/A</v>
      </c>
      <c r="H4117" s="16" t="e">
        <f t="shared" si="7860"/>
        <v>#N/A</v>
      </c>
      <c r="I4117" s="16" t="e">
        <f t="shared" si="7861"/>
        <v>#N/A</v>
      </c>
      <c r="J4117" s="40" t="e">
        <f t="shared" si="7862"/>
        <v>#N/A</v>
      </c>
      <c r="K4117" s="16" t="e">
        <f t="shared" si="7863"/>
        <v>#N/A</v>
      </c>
      <c r="L4117" s="40" t="e">
        <f t="shared" si="7864"/>
        <v>#N/A</v>
      </c>
      <c r="M4117" s="16" t="e">
        <f t="shared" si="7865"/>
        <v>#N/A</v>
      </c>
      <c r="N4117" s="16" t="e">
        <f t="shared" si="7866"/>
        <v>#N/A</v>
      </c>
      <c r="O4117" s="16" t="s">
        <v>77</v>
      </c>
      <c r="P4117" s="16" t="str">
        <f t="shared" si="6"/>
        <v/>
      </c>
      <c r="Q4117" s="41" t="e">
        <f t="shared" si="7867"/>
        <v>#N/A</v>
      </c>
      <c r="R4117" s="44"/>
      <c r="S4117" s="44"/>
      <c r="T4117" s="43"/>
      <c r="U4117" s="43" t="str">
        <f t="shared" si="8"/>
        <v>No</v>
      </c>
      <c r="V4117" s="25"/>
      <c r="W4117" s="25"/>
      <c r="X4117" s="25"/>
      <c r="Y4117" s="25"/>
      <c r="Z4117" s="25"/>
    </row>
    <row r="4118" spans="1:26" ht="15.75" customHeight="1" x14ac:dyDescent="0.25">
      <c r="A4118" s="25">
        <v>4116</v>
      </c>
      <c r="B4118" s="37" t="e">
        <f t="shared" si="7855"/>
        <v>#N/A</v>
      </c>
      <c r="C4118" s="38" t="e">
        <f t="shared" si="7856"/>
        <v>#N/A</v>
      </c>
      <c r="D4118" s="39" t="e">
        <f t="shared" si="7857"/>
        <v>#N/A</v>
      </c>
      <c r="E4118" s="16" t="e">
        <f t="shared" si="1"/>
        <v>#N/A</v>
      </c>
      <c r="F4118" s="16" t="e">
        <f t="shared" si="7858"/>
        <v>#N/A</v>
      </c>
      <c r="G4118" s="39" t="e">
        <f t="shared" si="7859"/>
        <v>#N/A</v>
      </c>
      <c r="H4118" s="16" t="e">
        <f t="shared" si="7860"/>
        <v>#N/A</v>
      </c>
      <c r="I4118" s="16" t="e">
        <f t="shared" si="7861"/>
        <v>#N/A</v>
      </c>
      <c r="J4118" s="40" t="e">
        <f t="shared" si="7862"/>
        <v>#N/A</v>
      </c>
      <c r="K4118" s="16" t="e">
        <f t="shared" si="7863"/>
        <v>#N/A</v>
      </c>
      <c r="L4118" s="40" t="e">
        <f t="shared" si="7864"/>
        <v>#N/A</v>
      </c>
      <c r="M4118" s="16" t="e">
        <f t="shared" si="7865"/>
        <v>#N/A</v>
      </c>
      <c r="N4118" s="16" t="e">
        <f t="shared" si="7866"/>
        <v>#N/A</v>
      </c>
      <c r="O4118" s="16" t="s">
        <v>77</v>
      </c>
      <c r="P4118" s="16" t="str">
        <f t="shared" si="6"/>
        <v/>
      </c>
      <c r="Q4118" s="41" t="e">
        <f t="shared" si="7867"/>
        <v>#N/A</v>
      </c>
      <c r="R4118" s="44"/>
      <c r="S4118" s="44"/>
      <c r="T4118" s="43"/>
      <c r="U4118" s="43" t="str">
        <f t="shared" si="8"/>
        <v>No</v>
      </c>
      <c r="V4118" s="25"/>
      <c r="W4118" s="25"/>
      <c r="X4118" s="25"/>
      <c r="Y4118" s="25"/>
      <c r="Z4118" s="25"/>
    </row>
    <row r="4119" spans="1:26" ht="15.75" customHeight="1" x14ac:dyDescent="0.25">
      <c r="A4119" s="25">
        <v>4117</v>
      </c>
      <c r="B4119" s="37" t="e">
        <f t="shared" si="7855"/>
        <v>#N/A</v>
      </c>
      <c r="C4119" s="38" t="e">
        <f t="shared" si="7856"/>
        <v>#N/A</v>
      </c>
      <c r="D4119" s="39" t="e">
        <f t="shared" si="7857"/>
        <v>#N/A</v>
      </c>
      <c r="E4119" s="16" t="e">
        <f t="shared" si="1"/>
        <v>#N/A</v>
      </c>
      <c r="F4119" s="16" t="e">
        <f t="shared" si="7858"/>
        <v>#N/A</v>
      </c>
      <c r="G4119" s="39" t="e">
        <f t="shared" si="7859"/>
        <v>#N/A</v>
      </c>
      <c r="H4119" s="16" t="e">
        <f t="shared" si="7860"/>
        <v>#N/A</v>
      </c>
      <c r="I4119" s="16" t="e">
        <f t="shared" si="7861"/>
        <v>#N/A</v>
      </c>
      <c r="J4119" s="40" t="e">
        <f t="shared" si="7862"/>
        <v>#N/A</v>
      </c>
      <c r="K4119" s="16" t="e">
        <f t="shared" si="7863"/>
        <v>#N/A</v>
      </c>
      <c r="L4119" s="40" t="e">
        <f t="shared" si="7864"/>
        <v>#N/A</v>
      </c>
      <c r="M4119" s="16" t="e">
        <f t="shared" si="7865"/>
        <v>#N/A</v>
      </c>
      <c r="N4119" s="16" t="e">
        <f t="shared" si="7866"/>
        <v>#N/A</v>
      </c>
      <c r="O4119" s="16" t="s">
        <v>77</v>
      </c>
      <c r="P4119" s="16" t="str">
        <f t="shared" si="6"/>
        <v/>
      </c>
      <c r="Q4119" s="41" t="e">
        <f t="shared" si="7867"/>
        <v>#N/A</v>
      </c>
      <c r="R4119" s="44"/>
      <c r="S4119" s="44"/>
      <c r="T4119" s="43"/>
      <c r="U4119" s="43" t="str">
        <f t="shared" si="8"/>
        <v>No</v>
      </c>
      <c r="V4119" s="25"/>
      <c r="W4119" s="25"/>
      <c r="X4119" s="25"/>
      <c r="Y4119" s="25"/>
      <c r="Z4119" s="25"/>
    </row>
    <row r="4120" spans="1:26" ht="15.75" customHeight="1" x14ac:dyDescent="0.25">
      <c r="A4120" s="25">
        <v>4118</v>
      </c>
      <c r="B4120" s="37" t="e">
        <f t="shared" si="7855"/>
        <v>#N/A</v>
      </c>
      <c r="C4120" s="38" t="e">
        <f t="shared" si="7856"/>
        <v>#N/A</v>
      </c>
      <c r="D4120" s="39" t="e">
        <f t="shared" si="7857"/>
        <v>#N/A</v>
      </c>
      <c r="E4120" s="16" t="e">
        <f t="shared" si="1"/>
        <v>#N/A</v>
      </c>
      <c r="F4120" s="16" t="e">
        <f t="shared" si="7858"/>
        <v>#N/A</v>
      </c>
      <c r="G4120" s="39" t="e">
        <f t="shared" si="7859"/>
        <v>#N/A</v>
      </c>
      <c r="H4120" s="16" t="e">
        <f t="shared" si="7860"/>
        <v>#N/A</v>
      </c>
      <c r="I4120" s="16" t="e">
        <f t="shared" si="7861"/>
        <v>#N/A</v>
      </c>
      <c r="J4120" s="40" t="e">
        <f t="shared" si="7862"/>
        <v>#N/A</v>
      </c>
      <c r="K4120" s="16" t="e">
        <f t="shared" si="7863"/>
        <v>#N/A</v>
      </c>
      <c r="L4120" s="40" t="e">
        <f t="shared" si="7864"/>
        <v>#N/A</v>
      </c>
      <c r="M4120" s="16" t="e">
        <f t="shared" si="7865"/>
        <v>#N/A</v>
      </c>
      <c r="N4120" s="16" t="e">
        <f t="shared" si="7866"/>
        <v>#N/A</v>
      </c>
      <c r="O4120" s="16" t="s">
        <v>77</v>
      </c>
      <c r="P4120" s="16" t="str">
        <f t="shared" si="6"/>
        <v/>
      </c>
      <c r="Q4120" s="41" t="e">
        <f t="shared" si="7867"/>
        <v>#N/A</v>
      </c>
      <c r="R4120" s="44"/>
      <c r="S4120" s="44"/>
      <c r="T4120" s="43"/>
      <c r="U4120" s="43" t="str">
        <f t="shared" si="8"/>
        <v>No</v>
      </c>
      <c r="V4120" s="25"/>
      <c r="W4120" s="25"/>
      <c r="X4120" s="25"/>
      <c r="Y4120" s="25"/>
      <c r="Z4120" s="25"/>
    </row>
    <row r="4121" spans="1:26" ht="15.75" customHeight="1" x14ac:dyDescent="0.25">
      <c r="A4121" s="25">
        <v>4119</v>
      </c>
      <c r="B4121" s="37" t="e">
        <f t="shared" si="7855"/>
        <v>#N/A</v>
      </c>
      <c r="C4121" s="38" t="e">
        <f t="shared" si="7856"/>
        <v>#N/A</v>
      </c>
      <c r="D4121" s="39" t="e">
        <f t="shared" si="7857"/>
        <v>#N/A</v>
      </c>
      <c r="E4121" s="16" t="e">
        <f t="shared" si="1"/>
        <v>#N/A</v>
      </c>
      <c r="F4121" s="16" t="e">
        <f t="shared" si="7858"/>
        <v>#N/A</v>
      </c>
      <c r="G4121" s="39" t="e">
        <f t="shared" si="7859"/>
        <v>#N/A</v>
      </c>
      <c r="H4121" s="16" t="e">
        <f t="shared" si="7860"/>
        <v>#N/A</v>
      </c>
      <c r="I4121" s="16" t="e">
        <f t="shared" si="7861"/>
        <v>#N/A</v>
      </c>
      <c r="J4121" s="40" t="e">
        <f t="shared" si="7862"/>
        <v>#N/A</v>
      </c>
      <c r="K4121" s="16" t="e">
        <f t="shared" si="7863"/>
        <v>#N/A</v>
      </c>
      <c r="L4121" s="40" t="e">
        <f t="shared" si="7864"/>
        <v>#N/A</v>
      </c>
      <c r="M4121" s="16" t="e">
        <f t="shared" si="7865"/>
        <v>#N/A</v>
      </c>
      <c r="N4121" s="16" t="e">
        <f t="shared" si="7866"/>
        <v>#N/A</v>
      </c>
      <c r="O4121" s="16" t="s">
        <v>77</v>
      </c>
      <c r="P4121" s="16" t="str">
        <f t="shared" si="6"/>
        <v/>
      </c>
      <c r="Q4121" s="41" t="e">
        <f t="shared" si="7867"/>
        <v>#N/A</v>
      </c>
      <c r="R4121" s="44"/>
      <c r="S4121" s="44"/>
      <c r="T4121" s="43"/>
      <c r="U4121" s="43" t="str">
        <f t="shared" si="8"/>
        <v>No</v>
      </c>
      <c r="V4121" s="25"/>
      <c r="W4121" s="25"/>
      <c r="X4121" s="25"/>
      <c r="Y4121" s="25"/>
      <c r="Z4121" s="25"/>
    </row>
    <row r="4122" spans="1:26" ht="15.75" customHeight="1" x14ac:dyDescent="0.25">
      <c r="A4122" s="25">
        <v>4120</v>
      </c>
      <c r="B4122" s="37" t="e">
        <f t="shared" si="7855"/>
        <v>#N/A</v>
      </c>
      <c r="C4122" s="38" t="e">
        <f t="shared" si="7856"/>
        <v>#N/A</v>
      </c>
      <c r="D4122" s="39" t="e">
        <f t="shared" si="7857"/>
        <v>#N/A</v>
      </c>
      <c r="E4122" s="16" t="e">
        <f t="shared" si="1"/>
        <v>#N/A</v>
      </c>
      <c r="F4122" s="16" t="e">
        <f t="shared" si="7858"/>
        <v>#N/A</v>
      </c>
      <c r="G4122" s="39" t="e">
        <f t="shared" si="7859"/>
        <v>#N/A</v>
      </c>
      <c r="H4122" s="16" t="e">
        <f t="shared" si="7860"/>
        <v>#N/A</v>
      </c>
      <c r="I4122" s="16" t="e">
        <f t="shared" si="7861"/>
        <v>#N/A</v>
      </c>
      <c r="J4122" s="40" t="e">
        <f t="shared" si="7862"/>
        <v>#N/A</v>
      </c>
      <c r="K4122" s="16" t="e">
        <f t="shared" si="7863"/>
        <v>#N/A</v>
      </c>
      <c r="L4122" s="40" t="e">
        <f t="shared" si="7864"/>
        <v>#N/A</v>
      </c>
      <c r="M4122" s="16" t="e">
        <f t="shared" si="7865"/>
        <v>#N/A</v>
      </c>
      <c r="N4122" s="16" t="e">
        <f t="shared" si="7866"/>
        <v>#N/A</v>
      </c>
      <c r="O4122" s="16" t="s">
        <v>77</v>
      </c>
      <c r="P4122" s="16" t="str">
        <f t="shared" si="6"/>
        <v/>
      </c>
      <c r="Q4122" s="41" t="e">
        <f t="shared" si="7867"/>
        <v>#N/A</v>
      </c>
      <c r="R4122" s="44"/>
      <c r="S4122" s="44"/>
      <c r="T4122" s="43"/>
      <c r="U4122" s="43" t="str">
        <f t="shared" si="8"/>
        <v>No</v>
      </c>
      <c r="V4122" s="25"/>
      <c r="W4122" s="25"/>
      <c r="X4122" s="25"/>
      <c r="Y4122" s="25"/>
      <c r="Z4122" s="25"/>
    </row>
    <row r="4123" spans="1:26" ht="15.75" customHeight="1" x14ac:dyDescent="0.25">
      <c r="A4123" s="25">
        <v>4121</v>
      </c>
      <c r="B4123" s="37" t="e">
        <f t="shared" si="7855"/>
        <v>#N/A</v>
      </c>
      <c r="C4123" s="38" t="e">
        <f t="shared" si="7856"/>
        <v>#N/A</v>
      </c>
      <c r="D4123" s="39" t="e">
        <f t="shared" si="7857"/>
        <v>#N/A</v>
      </c>
      <c r="E4123" s="16" t="e">
        <f t="shared" si="1"/>
        <v>#N/A</v>
      </c>
      <c r="F4123" s="16" t="e">
        <f t="shared" si="7858"/>
        <v>#N/A</v>
      </c>
      <c r="G4123" s="39" t="e">
        <f t="shared" si="7859"/>
        <v>#N/A</v>
      </c>
      <c r="H4123" s="16" t="e">
        <f t="shared" si="7860"/>
        <v>#N/A</v>
      </c>
      <c r="I4123" s="16" t="e">
        <f t="shared" si="7861"/>
        <v>#N/A</v>
      </c>
      <c r="J4123" s="40" t="e">
        <f t="shared" si="7862"/>
        <v>#N/A</v>
      </c>
      <c r="K4123" s="16" t="e">
        <f t="shared" si="7863"/>
        <v>#N/A</v>
      </c>
      <c r="L4123" s="40" t="e">
        <f t="shared" si="7864"/>
        <v>#N/A</v>
      </c>
      <c r="M4123" s="16" t="e">
        <f t="shared" si="7865"/>
        <v>#N/A</v>
      </c>
      <c r="N4123" s="16" t="e">
        <f t="shared" si="7866"/>
        <v>#N/A</v>
      </c>
      <c r="O4123" s="16" t="s">
        <v>77</v>
      </c>
      <c r="P4123" s="16" t="str">
        <f t="shared" si="6"/>
        <v/>
      </c>
      <c r="Q4123" s="41" t="e">
        <f t="shared" si="7867"/>
        <v>#N/A</v>
      </c>
      <c r="R4123" s="44"/>
      <c r="S4123" s="44"/>
      <c r="T4123" s="43"/>
      <c r="U4123" s="43" t="str">
        <f t="shared" si="8"/>
        <v>No</v>
      </c>
      <c r="V4123" s="25"/>
      <c r="W4123" s="25"/>
      <c r="X4123" s="25"/>
      <c r="Y4123" s="25"/>
      <c r="Z4123" s="25"/>
    </row>
    <row r="4124" spans="1:26" ht="15.75" customHeight="1" x14ac:dyDescent="0.25">
      <c r="A4124" s="25">
        <v>4122</v>
      </c>
      <c r="B4124" s="37" t="e">
        <f t="shared" si="7855"/>
        <v>#N/A</v>
      </c>
      <c r="C4124" s="38" t="e">
        <f t="shared" si="7856"/>
        <v>#N/A</v>
      </c>
      <c r="D4124" s="39" t="e">
        <f t="shared" si="7857"/>
        <v>#N/A</v>
      </c>
      <c r="E4124" s="16" t="e">
        <f t="shared" si="1"/>
        <v>#N/A</v>
      </c>
      <c r="F4124" s="16" t="e">
        <f t="shared" si="7858"/>
        <v>#N/A</v>
      </c>
      <c r="G4124" s="39" t="e">
        <f t="shared" si="7859"/>
        <v>#N/A</v>
      </c>
      <c r="H4124" s="16" t="e">
        <f t="shared" si="7860"/>
        <v>#N/A</v>
      </c>
      <c r="I4124" s="16" t="e">
        <f t="shared" si="7861"/>
        <v>#N/A</v>
      </c>
      <c r="J4124" s="40" t="e">
        <f t="shared" si="7862"/>
        <v>#N/A</v>
      </c>
      <c r="K4124" s="16" t="e">
        <f t="shared" si="7863"/>
        <v>#N/A</v>
      </c>
      <c r="L4124" s="40" t="e">
        <f t="shared" si="7864"/>
        <v>#N/A</v>
      </c>
      <c r="M4124" s="16" t="e">
        <f t="shared" si="7865"/>
        <v>#N/A</v>
      </c>
      <c r="N4124" s="16" t="e">
        <f t="shared" si="7866"/>
        <v>#N/A</v>
      </c>
      <c r="O4124" s="16" t="s">
        <v>77</v>
      </c>
      <c r="P4124" s="16" t="str">
        <f t="shared" si="6"/>
        <v/>
      </c>
      <c r="Q4124" s="41" t="e">
        <f t="shared" si="7867"/>
        <v>#N/A</v>
      </c>
      <c r="R4124" s="44"/>
      <c r="S4124" s="44"/>
      <c r="T4124" s="43"/>
      <c r="U4124" s="43" t="str">
        <f t="shared" si="8"/>
        <v>No</v>
      </c>
      <c r="V4124" s="25"/>
      <c r="W4124" s="25"/>
      <c r="X4124" s="25"/>
      <c r="Y4124" s="25"/>
      <c r="Z4124" s="25"/>
    </row>
    <row r="4125" spans="1:26" ht="15.75" customHeight="1" x14ac:dyDescent="0.25">
      <c r="A4125" s="25">
        <v>4123</v>
      </c>
      <c r="B4125" s="37" t="e">
        <f t="shared" si="7855"/>
        <v>#N/A</v>
      </c>
      <c r="C4125" s="38" t="e">
        <f t="shared" si="7856"/>
        <v>#N/A</v>
      </c>
      <c r="D4125" s="39" t="e">
        <f t="shared" si="7857"/>
        <v>#N/A</v>
      </c>
      <c r="E4125" s="16" t="e">
        <f t="shared" si="1"/>
        <v>#N/A</v>
      </c>
      <c r="F4125" s="16" t="e">
        <f t="shared" si="7858"/>
        <v>#N/A</v>
      </c>
      <c r="G4125" s="39" t="e">
        <f t="shared" si="7859"/>
        <v>#N/A</v>
      </c>
      <c r="H4125" s="16" t="e">
        <f t="shared" si="7860"/>
        <v>#N/A</v>
      </c>
      <c r="I4125" s="16" t="e">
        <f t="shared" si="7861"/>
        <v>#N/A</v>
      </c>
      <c r="J4125" s="40" t="e">
        <f t="shared" si="7862"/>
        <v>#N/A</v>
      </c>
      <c r="K4125" s="16" t="e">
        <f t="shared" si="7863"/>
        <v>#N/A</v>
      </c>
      <c r="L4125" s="40" t="e">
        <f t="shared" si="7864"/>
        <v>#N/A</v>
      </c>
      <c r="M4125" s="16" t="e">
        <f t="shared" si="7865"/>
        <v>#N/A</v>
      </c>
      <c r="N4125" s="16" t="e">
        <f t="shared" si="7866"/>
        <v>#N/A</v>
      </c>
      <c r="O4125" s="16" t="s">
        <v>77</v>
      </c>
      <c r="P4125" s="16" t="str">
        <f t="shared" si="6"/>
        <v/>
      </c>
      <c r="Q4125" s="41" t="e">
        <f t="shared" si="7867"/>
        <v>#N/A</v>
      </c>
      <c r="R4125" s="44"/>
      <c r="S4125" s="44"/>
      <c r="T4125" s="43"/>
      <c r="U4125" s="43" t="str">
        <f t="shared" si="8"/>
        <v>No</v>
      </c>
      <c r="V4125" s="25"/>
      <c r="W4125" s="25"/>
      <c r="X4125" s="25"/>
      <c r="Y4125" s="25"/>
      <c r="Z4125" s="25"/>
    </row>
    <row r="4126" spans="1:26" ht="15.75" customHeight="1" x14ac:dyDescent="0.25">
      <c r="A4126" s="25">
        <v>4124</v>
      </c>
      <c r="B4126" s="37" t="e">
        <f t="shared" si="7855"/>
        <v>#N/A</v>
      </c>
      <c r="C4126" s="38" t="e">
        <f t="shared" si="7856"/>
        <v>#N/A</v>
      </c>
      <c r="D4126" s="39" t="e">
        <f t="shared" si="7857"/>
        <v>#N/A</v>
      </c>
      <c r="E4126" s="16" t="e">
        <f t="shared" si="1"/>
        <v>#N/A</v>
      </c>
      <c r="F4126" s="16" t="e">
        <f t="shared" si="7858"/>
        <v>#N/A</v>
      </c>
      <c r="G4126" s="39" t="e">
        <f t="shared" si="7859"/>
        <v>#N/A</v>
      </c>
      <c r="H4126" s="16" t="e">
        <f t="shared" si="7860"/>
        <v>#N/A</v>
      </c>
      <c r="I4126" s="16" t="e">
        <f t="shared" si="7861"/>
        <v>#N/A</v>
      </c>
      <c r="J4126" s="40" t="e">
        <f t="shared" si="7862"/>
        <v>#N/A</v>
      </c>
      <c r="K4126" s="16" t="e">
        <f t="shared" si="7863"/>
        <v>#N/A</v>
      </c>
      <c r="L4126" s="40" t="e">
        <f t="shared" si="7864"/>
        <v>#N/A</v>
      </c>
      <c r="M4126" s="16" t="e">
        <f t="shared" si="7865"/>
        <v>#N/A</v>
      </c>
      <c r="N4126" s="16" t="e">
        <f t="shared" si="7866"/>
        <v>#N/A</v>
      </c>
      <c r="O4126" s="16" t="s">
        <v>77</v>
      </c>
      <c r="P4126" s="16" t="str">
        <f t="shared" si="6"/>
        <v/>
      </c>
      <c r="Q4126" s="41" t="e">
        <f t="shared" si="7867"/>
        <v>#N/A</v>
      </c>
      <c r="R4126" s="44"/>
      <c r="S4126" s="44"/>
      <c r="T4126" s="43"/>
      <c r="U4126" s="43" t="str">
        <f t="shared" si="8"/>
        <v>No</v>
      </c>
      <c r="V4126" s="25"/>
      <c r="W4126" s="25"/>
      <c r="X4126" s="25"/>
      <c r="Y4126" s="25"/>
      <c r="Z4126" s="25"/>
    </row>
    <row r="4127" spans="1:26" ht="15.75" customHeight="1" x14ac:dyDescent="0.25">
      <c r="A4127" s="25">
        <v>4125</v>
      </c>
      <c r="B4127" s="37" t="e">
        <f t="shared" si="7855"/>
        <v>#N/A</v>
      </c>
      <c r="C4127" s="38" t="e">
        <f t="shared" si="7856"/>
        <v>#N/A</v>
      </c>
      <c r="D4127" s="39" t="e">
        <f t="shared" si="7857"/>
        <v>#N/A</v>
      </c>
      <c r="E4127" s="16" t="e">
        <f t="shared" si="1"/>
        <v>#N/A</v>
      </c>
      <c r="F4127" s="16" t="e">
        <f t="shared" si="7858"/>
        <v>#N/A</v>
      </c>
      <c r="G4127" s="39" t="e">
        <f t="shared" si="7859"/>
        <v>#N/A</v>
      </c>
      <c r="H4127" s="16" t="e">
        <f t="shared" si="7860"/>
        <v>#N/A</v>
      </c>
      <c r="I4127" s="16" t="e">
        <f t="shared" si="7861"/>
        <v>#N/A</v>
      </c>
      <c r="J4127" s="40" t="e">
        <f t="shared" si="7862"/>
        <v>#N/A</v>
      </c>
      <c r="K4127" s="16" t="e">
        <f t="shared" si="7863"/>
        <v>#N/A</v>
      </c>
      <c r="L4127" s="40" t="e">
        <f t="shared" si="7864"/>
        <v>#N/A</v>
      </c>
      <c r="M4127" s="16" t="e">
        <f t="shared" si="7865"/>
        <v>#N/A</v>
      </c>
      <c r="N4127" s="16" t="e">
        <f t="shared" si="7866"/>
        <v>#N/A</v>
      </c>
      <c r="O4127" s="16" t="s">
        <v>77</v>
      </c>
      <c r="P4127" s="16" t="str">
        <f t="shared" si="6"/>
        <v/>
      </c>
      <c r="Q4127" s="41" t="e">
        <f t="shared" si="7867"/>
        <v>#N/A</v>
      </c>
      <c r="R4127" s="44"/>
      <c r="S4127" s="44"/>
      <c r="T4127" s="43"/>
      <c r="U4127" s="43" t="str">
        <f t="shared" si="8"/>
        <v>No</v>
      </c>
      <c r="V4127" s="25"/>
      <c r="W4127" s="25"/>
      <c r="X4127" s="25"/>
      <c r="Y4127" s="25"/>
      <c r="Z4127" s="25"/>
    </row>
    <row r="4128" spans="1:26" ht="15.75" customHeight="1" x14ac:dyDescent="0.25">
      <c r="A4128" s="25">
        <v>4126</v>
      </c>
      <c r="B4128" s="37" t="e">
        <f t="shared" si="7855"/>
        <v>#N/A</v>
      </c>
      <c r="C4128" s="38" t="e">
        <f t="shared" si="7856"/>
        <v>#N/A</v>
      </c>
      <c r="D4128" s="39" t="e">
        <f t="shared" si="7857"/>
        <v>#N/A</v>
      </c>
      <c r="E4128" s="16" t="e">
        <f t="shared" si="1"/>
        <v>#N/A</v>
      </c>
      <c r="F4128" s="16" t="e">
        <f t="shared" si="7858"/>
        <v>#N/A</v>
      </c>
      <c r="G4128" s="39" t="e">
        <f t="shared" si="7859"/>
        <v>#N/A</v>
      </c>
      <c r="H4128" s="16" t="e">
        <f t="shared" si="7860"/>
        <v>#N/A</v>
      </c>
      <c r="I4128" s="16" t="e">
        <f t="shared" si="7861"/>
        <v>#N/A</v>
      </c>
      <c r="J4128" s="40" t="e">
        <f t="shared" si="7862"/>
        <v>#N/A</v>
      </c>
      <c r="K4128" s="16" t="e">
        <f t="shared" si="7863"/>
        <v>#N/A</v>
      </c>
      <c r="L4128" s="40" t="e">
        <f t="shared" si="7864"/>
        <v>#N/A</v>
      </c>
      <c r="M4128" s="16" t="e">
        <f t="shared" si="7865"/>
        <v>#N/A</v>
      </c>
      <c r="N4128" s="16" t="e">
        <f t="shared" si="7866"/>
        <v>#N/A</v>
      </c>
      <c r="O4128" s="16" t="s">
        <v>77</v>
      </c>
      <c r="P4128" s="16" t="str">
        <f t="shared" si="6"/>
        <v/>
      </c>
      <c r="Q4128" s="41" t="e">
        <f t="shared" si="7867"/>
        <v>#N/A</v>
      </c>
      <c r="R4128" s="44"/>
      <c r="S4128" s="44"/>
      <c r="T4128" s="43"/>
      <c r="U4128" s="43" t="str">
        <f t="shared" si="8"/>
        <v>No</v>
      </c>
      <c r="V4128" s="25"/>
      <c r="W4128" s="25"/>
      <c r="X4128" s="25"/>
      <c r="Y4128" s="25"/>
      <c r="Z4128" s="25"/>
    </row>
    <row r="4129" spans="1:26" ht="15.75" customHeight="1" x14ac:dyDescent="0.25">
      <c r="A4129" s="25">
        <v>4127</v>
      </c>
      <c r="B4129" s="37" t="e">
        <f t="shared" si="7855"/>
        <v>#N/A</v>
      </c>
      <c r="C4129" s="38" t="e">
        <f t="shared" si="7856"/>
        <v>#N/A</v>
      </c>
      <c r="D4129" s="39" t="e">
        <f t="shared" si="7857"/>
        <v>#N/A</v>
      </c>
      <c r="E4129" s="16" t="e">
        <f t="shared" si="1"/>
        <v>#N/A</v>
      </c>
      <c r="F4129" s="16" t="e">
        <f t="shared" si="7858"/>
        <v>#N/A</v>
      </c>
      <c r="G4129" s="39" t="e">
        <f t="shared" si="7859"/>
        <v>#N/A</v>
      </c>
      <c r="H4129" s="16" t="e">
        <f t="shared" si="7860"/>
        <v>#N/A</v>
      </c>
      <c r="I4129" s="16" t="e">
        <f t="shared" si="7861"/>
        <v>#N/A</v>
      </c>
      <c r="J4129" s="40" t="e">
        <f t="shared" si="7862"/>
        <v>#N/A</v>
      </c>
      <c r="K4129" s="16" t="e">
        <f t="shared" si="7863"/>
        <v>#N/A</v>
      </c>
      <c r="L4129" s="40" t="e">
        <f t="shared" si="7864"/>
        <v>#N/A</v>
      </c>
      <c r="M4129" s="16" t="e">
        <f t="shared" si="7865"/>
        <v>#N/A</v>
      </c>
      <c r="N4129" s="16" t="e">
        <f t="shared" si="7866"/>
        <v>#N/A</v>
      </c>
      <c r="O4129" s="16" t="s">
        <v>77</v>
      </c>
      <c r="P4129" s="16" t="str">
        <f t="shared" si="6"/>
        <v/>
      </c>
      <c r="Q4129" s="41" t="e">
        <f t="shared" si="7867"/>
        <v>#N/A</v>
      </c>
      <c r="R4129" s="44"/>
      <c r="S4129" s="44"/>
      <c r="T4129" s="43"/>
      <c r="U4129" s="43" t="str">
        <f t="shared" si="8"/>
        <v>No</v>
      </c>
      <c r="V4129" s="25"/>
      <c r="W4129" s="25"/>
      <c r="X4129" s="25"/>
      <c r="Y4129" s="25"/>
      <c r="Z4129" s="25"/>
    </row>
    <row r="4130" spans="1:26" ht="15.75" customHeight="1" x14ac:dyDescent="0.25">
      <c r="A4130" s="25">
        <v>4128</v>
      </c>
      <c r="B4130" s="37" t="e">
        <f t="shared" si="7855"/>
        <v>#N/A</v>
      </c>
      <c r="C4130" s="38" t="e">
        <f t="shared" si="7856"/>
        <v>#N/A</v>
      </c>
      <c r="D4130" s="39" t="e">
        <f t="shared" si="7857"/>
        <v>#N/A</v>
      </c>
      <c r="E4130" s="16" t="e">
        <f t="shared" si="1"/>
        <v>#N/A</v>
      </c>
      <c r="F4130" s="16" t="e">
        <f t="shared" si="7858"/>
        <v>#N/A</v>
      </c>
      <c r="G4130" s="39" t="e">
        <f t="shared" si="7859"/>
        <v>#N/A</v>
      </c>
      <c r="H4130" s="16" t="e">
        <f t="shared" si="7860"/>
        <v>#N/A</v>
      </c>
      <c r="I4130" s="16" t="e">
        <f t="shared" si="7861"/>
        <v>#N/A</v>
      </c>
      <c r="J4130" s="40" t="e">
        <f t="shared" si="7862"/>
        <v>#N/A</v>
      </c>
      <c r="K4130" s="16" t="e">
        <f t="shared" si="7863"/>
        <v>#N/A</v>
      </c>
      <c r="L4130" s="40" t="e">
        <f t="shared" si="7864"/>
        <v>#N/A</v>
      </c>
      <c r="M4130" s="16" t="e">
        <f t="shared" si="7865"/>
        <v>#N/A</v>
      </c>
      <c r="N4130" s="16" t="e">
        <f t="shared" si="7866"/>
        <v>#N/A</v>
      </c>
      <c r="O4130" s="16" t="s">
        <v>77</v>
      </c>
      <c r="P4130" s="16" t="str">
        <f t="shared" si="6"/>
        <v/>
      </c>
      <c r="Q4130" s="41" t="e">
        <f t="shared" si="7867"/>
        <v>#N/A</v>
      </c>
      <c r="R4130" s="44"/>
      <c r="S4130" s="44"/>
      <c r="T4130" s="43"/>
      <c r="U4130" s="43" t="str">
        <f t="shared" si="8"/>
        <v>No</v>
      </c>
      <c r="V4130" s="25"/>
      <c r="W4130" s="25"/>
      <c r="X4130" s="25"/>
      <c r="Y4130" s="25"/>
      <c r="Z4130" s="25"/>
    </row>
    <row r="4131" spans="1:26" ht="15.75" customHeight="1" x14ac:dyDescent="0.25">
      <c r="A4131" s="25">
        <v>4129</v>
      </c>
      <c r="B4131" s="37" t="e">
        <f t="shared" si="7855"/>
        <v>#N/A</v>
      </c>
      <c r="C4131" s="38" t="e">
        <f t="shared" si="7856"/>
        <v>#N/A</v>
      </c>
      <c r="D4131" s="39" t="e">
        <f t="shared" si="7857"/>
        <v>#N/A</v>
      </c>
      <c r="E4131" s="16" t="e">
        <f t="shared" si="1"/>
        <v>#N/A</v>
      </c>
      <c r="F4131" s="16" t="e">
        <f t="shared" si="7858"/>
        <v>#N/A</v>
      </c>
      <c r="G4131" s="39" t="e">
        <f t="shared" si="7859"/>
        <v>#N/A</v>
      </c>
      <c r="H4131" s="16" t="e">
        <f t="shared" si="7860"/>
        <v>#N/A</v>
      </c>
      <c r="I4131" s="16" t="e">
        <f t="shared" si="7861"/>
        <v>#N/A</v>
      </c>
      <c r="J4131" s="40" t="e">
        <f t="shared" si="7862"/>
        <v>#N/A</v>
      </c>
      <c r="K4131" s="16" t="e">
        <f t="shared" si="7863"/>
        <v>#N/A</v>
      </c>
      <c r="L4131" s="40" t="e">
        <f t="shared" si="7864"/>
        <v>#N/A</v>
      </c>
      <c r="M4131" s="16" t="e">
        <f t="shared" si="7865"/>
        <v>#N/A</v>
      </c>
      <c r="N4131" s="16" t="e">
        <f t="shared" si="7866"/>
        <v>#N/A</v>
      </c>
      <c r="O4131" s="16" t="s">
        <v>77</v>
      </c>
      <c r="P4131" s="16" t="str">
        <f t="shared" si="6"/>
        <v/>
      </c>
      <c r="Q4131" s="41" t="e">
        <f t="shared" si="7867"/>
        <v>#N/A</v>
      </c>
      <c r="R4131" s="44"/>
      <c r="S4131" s="44"/>
      <c r="T4131" s="43"/>
      <c r="U4131" s="43" t="str">
        <f t="shared" si="8"/>
        <v>No</v>
      </c>
      <c r="V4131" s="25"/>
      <c r="W4131" s="25"/>
      <c r="X4131" s="25"/>
      <c r="Y4131" s="25"/>
      <c r="Z4131" s="25"/>
    </row>
    <row r="4132" spans="1:26" ht="15.75" customHeight="1" x14ac:dyDescent="0.25">
      <c r="A4132" s="25">
        <v>4130</v>
      </c>
      <c r="B4132" s="37" t="e">
        <f t="shared" si="7855"/>
        <v>#N/A</v>
      </c>
      <c r="C4132" s="38" t="e">
        <f t="shared" si="7856"/>
        <v>#N/A</v>
      </c>
      <c r="D4132" s="39" t="e">
        <f t="shared" si="7857"/>
        <v>#N/A</v>
      </c>
      <c r="E4132" s="16" t="e">
        <f t="shared" si="1"/>
        <v>#N/A</v>
      </c>
      <c r="F4132" s="16" t="e">
        <f t="shared" si="7858"/>
        <v>#N/A</v>
      </c>
      <c r="G4132" s="39" t="e">
        <f t="shared" si="7859"/>
        <v>#N/A</v>
      </c>
      <c r="H4132" s="16" t="e">
        <f t="shared" si="7860"/>
        <v>#N/A</v>
      </c>
      <c r="I4132" s="16" t="e">
        <f t="shared" si="7861"/>
        <v>#N/A</v>
      </c>
      <c r="J4132" s="40" t="e">
        <f t="shared" si="7862"/>
        <v>#N/A</v>
      </c>
      <c r="K4132" s="16" t="e">
        <f t="shared" si="7863"/>
        <v>#N/A</v>
      </c>
      <c r="L4132" s="40" t="e">
        <f t="shared" si="7864"/>
        <v>#N/A</v>
      </c>
      <c r="M4132" s="16" t="e">
        <f t="shared" si="7865"/>
        <v>#N/A</v>
      </c>
      <c r="N4132" s="16" t="e">
        <f t="shared" si="7866"/>
        <v>#N/A</v>
      </c>
      <c r="O4132" s="16" t="s">
        <v>77</v>
      </c>
      <c r="P4132" s="16" t="str">
        <f t="shared" si="6"/>
        <v/>
      </c>
      <c r="Q4132" s="41" t="e">
        <f t="shared" si="7867"/>
        <v>#N/A</v>
      </c>
      <c r="R4132" s="44"/>
      <c r="S4132" s="44"/>
      <c r="T4132" s="43"/>
      <c r="U4132" s="43" t="str">
        <f t="shared" si="8"/>
        <v>No</v>
      </c>
      <c r="V4132" s="25"/>
      <c r="W4132" s="25"/>
      <c r="X4132" s="25"/>
      <c r="Y4132" s="25"/>
      <c r="Z4132" s="25"/>
    </row>
    <row r="4133" spans="1:26" ht="15.75" customHeight="1" x14ac:dyDescent="0.25">
      <c r="A4133" s="25">
        <v>4131</v>
      </c>
      <c r="B4133" s="37" t="e">
        <f t="shared" si="7855"/>
        <v>#N/A</v>
      </c>
      <c r="C4133" s="38" t="e">
        <f t="shared" si="7856"/>
        <v>#N/A</v>
      </c>
      <c r="D4133" s="39" t="e">
        <f t="shared" si="7857"/>
        <v>#N/A</v>
      </c>
      <c r="E4133" s="16" t="e">
        <f t="shared" si="1"/>
        <v>#N/A</v>
      </c>
      <c r="F4133" s="16" t="e">
        <f t="shared" si="7858"/>
        <v>#N/A</v>
      </c>
      <c r="G4133" s="39" t="e">
        <f t="shared" si="7859"/>
        <v>#N/A</v>
      </c>
      <c r="H4133" s="16" t="e">
        <f t="shared" si="7860"/>
        <v>#N/A</v>
      </c>
      <c r="I4133" s="16" t="e">
        <f t="shared" si="7861"/>
        <v>#N/A</v>
      </c>
      <c r="J4133" s="40" t="e">
        <f t="shared" si="7862"/>
        <v>#N/A</v>
      </c>
      <c r="K4133" s="16" t="e">
        <f t="shared" si="7863"/>
        <v>#N/A</v>
      </c>
      <c r="L4133" s="40" t="e">
        <f t="shared" si="7864"/>
        <v>#N/A</v>
      </c>
      <c r="M4133" s="16" t="e">
        <f t="shared" si="7865"/>
        <v>#N/A</v>
      </c>
      <c r="N4133" s="16" t="e">
        <f t="shared" si="7866"/>
        <v>#N/A</v>
      </c>
      <c r="O4133" s="16" t="s">
        <v>77</v>
      </c>
      <c r="P4133" s="16" t="str">
        <f t="shared" si="6"/>
        <v/>
      </c>
      <c r="Q4133" s="41" t="e">
        <f t="shared" si="7867"/>
        <v>#N/A</v>
      </c>
      <c r="R4133" s="44"/>
      <c r="S4133" s="44"/>
      <c r="T4133" s="43"/>
      <c r="U4133" s="43" t="str">
        <f t="shared" si="8"/>
        <v>No</v>
      </c>
      <c r="V4133" s="25"/>
      <c r="W4133" s="25"/>
      <c r="X4133" s="25"/>
      <c r="Y4133" s="25"/>
      <c r="Z4133" s="25"/>
    </row>
    <row r="4134" spans="1:26" ht="15.75" customHeight="1" x14ac:dyDescent="0.25">
      <c r="A4134" s="25">
        <v>4132</v>
      </c>
      <c r="B4134" s="37" t="e">
        <f t="shared" si="7855"/>
        <v>#N/A</v>
      </c>
      <c r="C4134" s="38" t="e">
        <f t="shared" si="7856"/>
        <v>#N/A</v>
      </c>
      <c r="D4134" s="39" t="e">
        <f t="shared" si="7857"/>
        <v>#N/A</v>
      </c>
      <c r="E4134" s="16" t="e">
        <f t="shared" si="1"/>
        <v>#N/A</v>
      </c>
      <c r="F4134" s="16" t="e">
        <f t="shared" si="7858"/>
        <v>#N/A</v>
      </c>
      <c r="G4134" s="39" t="e">
        <f t="shared" si="7859"/>
        <v>#N/A</v>
      </c>
      <c r="H4134" s="16" t="e">
        <f t="shared" si="7860"/>
        <v>#N/A</v>
      </c>
      <c r="I4134" s="16" t="e">
        <f t="shared" si="7861"/>
        <v>#N/A</v>
      </c>
      <c r="J4134" s="40" t="e">
        <f t="shared" si="7862"/>
        <v>#N/A</v>
      </c>
      <c r="K4134" s="16" t="e">
        <f t="shared" si="7863"/>
        <v>#N/A</v>
      </c>
      <c r="L4134" s="40" t="e">
        <f t="shared" si="7864"/>
        <v>#N/A</v>
      </c>
      <c r="M4134" s="16" t="e">
        <f t="shared" si="7865"/>
        <v>#N/A</v>
      </c>
      <c r="N4134" s="16" t="e">
        <f t="shared" si="7866"/>
        <v>#N/A</v>
      </c>
      <c r="O4134" s="16" t="s">
        <v>77</v>
      </c>
      <c r="P4134" s="16" t="str">
        <f t="shared" si="6"/>
        <v/>
      </c>
      <c r="Q4134" s="41" t="e">
        <f t="shared" si="7867"/>
        <v>#N/A</v>
      </c>
      <c r="R4134" s="44"/>
      <c r="S4134" s="44"/>
      <c r="T4134" s="43"/>
      <c r="U4134" s="43" t="str">
        <f t="shared" si="8"/>
        <v>No</v>
      </c>
      <c r="V4134" s="25"/>
      <c r="W4134" s="25"/>
      <c r="X4134" s="25"/>
      <c r="Y4134" s="25"/>
      <c r="Z4134" s="25"/>
    </row>
    <row r="4135" spans="1:26" ht="15.75" customHeight="1" x14ac:dyDescent="0.25">
      <c r="A4135" s="25">
        <v>4133</v>
      </c>
      <c r="B4135" s="37" t="e">
        <f t="shared" si="7855"/>
        <v>#N/A</v>
      </c>
      <c r="C4135" s="38" t="e">
        <f t="shared" si="7856"/>
        <v>#N/A</v>
      </c>
      <c r="D4135" s="39" t="e">
        <f t="shared" si="7857"/>
        <v>#N/A</v>
      </c>
      <c r="E4135" s="16" t="e">
        <f t="shared" si="1"/>
        <v>#N/A</v>
      </c>
      <c r="F4135" s="16" t="e">
        <f t="shared" si="7858"/>
        <v>#N/A</v>
      </c>
      <c r="G4135" s="39" t="e">
        <f t="shared" si="7859"/>
        <v>#N/A</v>
      </c>
      <c r="H4135" s="16" t="e">
        <f t="shared" si="7860"/>
        <v>#N/A</v>
      </c>
      <c r="I4135" s="16" t="e">
        <f t="shared" si="7861"/>
        <v>#N/A</v>
      </c>
      <c r="J4135" s="40" t="e">
        <f t="shared" si="7862"/>
        <v>#N/A</v>
      </c>
      <c r="K4135" s="16" t="e">
        <f t="shared" si="7863"/>
        <v>#N/A</v>
      </c>
      <c r="L4135" s="40" t="e">
        <f t="shared" si="7864"/>
        <v>#N/A</v>
      </c>
      <c r="M4135" s="16" t="e">
        <f t="shared" si="7865"/>
        <v>#N/A</v>
      </c>
      <c r="N4135" s="16" t="e">
        <f t="shared" si="7866"/>
        <v>#N/A</v>
      </c>
      <c r="O4135" s="16" t="s">
        <v>77</v>
      </c>
      <c r="P4135" s="16" t="str">
        <f t="shared" si="6"/>
        <v/>
      </c>
      <c r="Q4135" s="41" t="e">
        <f t="shared" si="7867"/>
        <v>#N/A</v>
      </c>
      <c r="R4135" s="44"/>
      <c r="S4135" s="44"/>
      <c r="T4135" s="43"/>
      <c r="U4135" s="43" t="str">
        <f t="shared" si="8"/>
        <v>No</v>
      </c>
      <c r="V4135" s="25"/>
      <c r="W4135" s="25"/>
      <c r="X4135" s="25"/>
      <c r="Y4135" s="25"/>
      <c r="Z4135" s="25"/>
    </row>
    <row r="4136" spans="1:26" ht="15.75" customHeight="1" x14ac:dyDescent="0.25">
      <c r="A4136" s="25">
        <v>4134</v>
      </c>
      <c r="B4136" s="37" t="e">
        <f t="shared" si="7855"/>
        <v>#N/A</v>
      </c>
      <c r="C4136" s="38" t="e">
        <f t="shared" si="7856"/>
        <v>#N/A</v>
      </c>
      <c r="D4136" s="39" t="e">
        <f t="shared" si="7857"/>
        <v>#N/A</v>
      </c>
      <c r="E4136" s="16" t="e">
        <f t="shared" si="1"/>
        <v>#N/A</v>
      </c>
      <c r="F4136" s="16" t="e">
        <f t="shared" si="7858"/>
        <v>#N/A</v>
      </c>
      <c r="G4136" s="39" t="e">
        <f t="shared" si="7859"/>
        <v>#N/A</v>
      </c>
      <c r="H4136" s="16" t="e">
        <f t="shared" si="7860"/>
        <v>#N/A</v>
      </c>
      <c r="I4136" s="16" t="e">
        <f t="shared" si="7861"/>
        <v>#N/A</v>
      </c>
      <c r="J4136" s="40" t="e">
        <f t="shared" si="7862"/>
        <v>#N/A</v>
      </c>
      <c r="K4136" s="16" t="e">
        <f t="shared" si="7863"/>
        <v>#N/A</v>
      </c>
      <c r="L4136" s="40" t="e">
        <f t="shared" si="7864"/>
        <v>#N/A</v>
      </c>
      <c r="M4136" s="16" t="e">
        <f t="shared" si="7865"/>
        <v>#N/A</v>
      </c>
      <c r="N4136" s="16" t="e">
        <f t="shared" si="7866"/>
        <v>#N/A</v>
      </c>
      <c r="O4136" s="16" t="s">
        <v>77</v>
      </c>
      <c r="P4136" s="16" t="str">
        <f t="shared" si="6"/>
        <v/>
      </c>
      <c r="Q4136" s="41" t="e">
        <f t="shared" si="7867"/>
        <v>#N/A</v>
      </c>
      <c r="R4136" s="44"/>
      <c r="S4136" s="44"/>
      <c r="T4136" s="43"/>
      <c r="U4136" s="43" t="str">
        <f t="shared" si="8"/>
        <v>No</v>
      </c>
      <c r="V4136" s="25"/>
      <c r="W4136" s="25"/>
      <c r="X4136" s="25"/>
      <c r="Y4136" s="25"/>
      <c r="Z4136" s="25"/>
    </row>
    <row r="4137" spans="1:26" ht="15.75" customHeight="1" x14ac:dyDescent="0.25">
      <c r="A4137" s="25">
        <v>4135</v>
      </c>
      <c r="B4137" s="37" t="e">
        <f t="shared" si="7855"/>
        <v>#N/A</v>
      </c>
      <c r="C4137" s="38" t="e">
        <f t="shared" si="7856"/>
        <v>#N/A</v>
      </c>
      <c r="D4137" s="39" t="e">
        <f t="shared" si="7857"/>
        <v>#N/A</v>
      </c>
      <c r="E4137" s="16" t="e">
        <f t="shared" si="1"/>
        <v>#N/A</v>
      </c>
      <c r="F4137" s="16" t="e">
        <f t="shared" si="7858"/>
        <v>#N/A</v>
      </c>
      <c r="G4137" s="39" t="e">
        <f t="shared" si="7859"/>
        <v>#N/A</v>
      </c>
      <c r="H4137" s="16" t="e">
        <f t="shared" si="7860"/>
        <v>#N/A</v>
      </c>
      <c r="I4137" s="16" t="e">
        <f t="shared" si="7861"/>
        <v>#N/A</v>
      </c>
      <c r="J4137" s="40" t="e">
        <f t="shared" si="7862"/>
        <v>#N/A</v>
      </c>
      <c r="K4137" s="16" t="e">
        <f t="shared" si="7863"/>
        <v>#N/A</v>
      </c>
      <c r="L4137" s="40" t="e">
        <f t="shared" si="7864"/>
        <v>#N/A</v>
      </c>
      <c r="M4137" s="16" t="e">
        <f t="shared" si="7865"/>
        <v>#N/A</v>
      </c>
      <c r="N4137" s="16" t="e">
        <f t="shared" si="7866"/>
        <v>#N/A</v>
      </c>
      <c r="O4137" s="16" t="s">
        <v>77</v>
      </c>
      <c r="P4137" s="16" t="str">
        <f t="shared" si="6"/>
        <v/>
      </c>
      <c r="Q4137" s="41" t="e">
        <f t="shared" si="7867"/>
        <v>#N/A</v>
      </c>
      <c r="R4137" s="44"/>
      <c r="S4137" s="44"/>
      <c r="T4137" s="43"/>
      <c r="U4137" s="43" t="str">
        <f t="shared" si="8"/>
        <v>No</v>
      </c>
      <c r="V4137" s="25"/>
      <c r="W4137" s="25"/>
      <c r="X4137" s="25"/>
      <c r="Y4137" s="25"/>
      <c r="Z4137" s="25"/>
    </row>
    <row r="4138" spans="1:26" ht="15.75" customHeight="1" x14ac:dyDescent="0.25">
      <c r="A4138" s="25">
        <v>4136</v>
      </c>
      <c r="B4138" s="37" t="e">
        <f t="shared" si="7855"/>
        <v>#N/A</v>
      </c>
      <c r="C4138" s="38" t="e">
        <f t="shared" si="7856"/>
        <v>#N/A</v>
      </c>
      <c r="D4138" s="39" t="e">
        <f t="shared" si="7857"/>
        <v>#N/A</v>
      </c>
      <c r="E4138" s="16" t="e">
        <f t="shared" si="1"/>
        <v>#N/A</v>
      </c>
      <c r="F4138" s="16" t="e">
        <f t="shared" si="7858"/>
        <v>#N/A</v>
      </c>
      <c r="G4138" s="39" t="e">
        <f t="shared" si="7859"/>
        <v>#N/A</v>
      </c>
      <c r="H4138" s="16" t="e">
        <f t="shared" si="7860"/>
        <v>#N/A</v>
      </c>
      <c r="I4138" s="16" t="e">
        <f t="shared" si="7861"/>
        <v>#N/A</v>
      </c>
      <c r="J4138" s="40" t="e">
        <f t="shared" si="7862"/>
        <v>#N/A</v>
      </c>
      <c r="K4138" s="16" t="e">
        <f t="shared" si="7863"/>
        <v>#N/A</v>
      </c>
      <c r="L4138" s="40" t="e">
        <f t="shared" si="7864"/>
        <v>#N/A</v>
      </c>
      <c r="M4138" s="16" t="e">
        <f t="shared" si="7865"/>
        <v>#N/A</v>
      </c>
      <c r="N4138" s="16" t="e">
        <f t="shared" si="7866"/>
        <v>#N/A</v>
      </c>
      <c r="O4138" s="16" t="s">
        <v>77</v>
      </c>
      <c r="P4138" s="16" t="str">
        <f t="shared" si="6"/>
        <v/>
      </c>
      <c r="Q4138" s="41" t="e">
        <f t="shared" si="7867"/>
        <v>#N/A</v>
      </c>
      <c r="R4138" s="44"/>
      <c r="S4138" s="44"/>
      <c r="T4138" s="43"/>
      <c r="U4138" s="43" t="str">
        <f t="shared" si="8"/>
        <v>No</v>
      </c>
      <c r="V4138" s="25"/>
      <c r="W4138" s="25"/>
      <c r="X4138" s="25"/>
      <c r="Y4138" s="25"/>
      <c r="Z4138" s="25"/>
    </row>
    <row r="4139" spans="1:26" ht="15.75" customHeight="1" x14ac:dyDescent="0.25">
      <c r="A4139" s="25">
        <v>4137</v>
      </c>
      <c r="B4139" s="37" t="e">
        <f t="shared" si="7855"/>
        <v>#N/A</v>
      </c>
      <c r="C4139" s="38" t="e">
        <f t="shared" si="7856"/>
        <v>#N/A</v>
      </c>
      <c r="D4139" s="39" t="e">
        <f t="shared" si="7857"/>
        <v>#N/A</v>
      </c>
      <c r="E4139" s="16" t="e">
        <f t="shared" si="1"/>
        <v>#N/A</v>
      </c>
      <c r="F4139" s="16" t="e">
        <f t="shared" si="7858"/>
        <v>#N/A</v>
      </c>
      <c r="G4139" s="39" t="e">
        <f t="shared" si="7859"/>
        <v>#N/A</v>
      </c>
      <c r="H4139" s="16" t="e">
        <f t="shared" si="7860"/>
        <v>#N/A</v>
      </c>
      <c r="I4139" s="16" t="e">
        <f t="shared" si="7861"/>
        <v>#N/A</v>
      </c>
      <c r="J4139" s="40" t="e">
        <f t="shared" si="7862"/>
        <v>#N/A</v>
      </c>
      <c r="K4139" s="16" t="e">
        <f t="shared" si="7863"/>
        <v>#N/A</v>
      </c>
      <c r="L4139" s="40" t="e">
        <f t="shared" si="7864"/>
        <v>#N/A</v>
      </c>
      <c r="M4139" s="16" t="e">
        <f t="shared" si="7865"/>
        <v>#N/A</v>
      </c>
      <c r="N4139" s="16" t="e">
        <f t="shared" si="7866"/>
        <v>#N/A</v>
      </c>
      <c r="O4139" s="16" t="s">
        <v>77</v>
      </c>
      <c r="P4139" s="16" t="str">
        <f t="shared" si="6"/>
        <v/>
      </c>
      <c r="Q4139" s="41" t="e">
        <f t="shared" si="7867"/>
        <v>#N/A</v>
      </c>
      <c r="R4139" s="44"/>
      <c r="S4139" s="44"/>
      <c r="T4139" s="43"/>
      <c r="U4139" s="43" t="str">
        <f t="shared" si="8"/>
        <v>No</v>
      </c>
      <c r="V4139" s="25"/>
      <c r="W4139" s="25"/>
      <c r="X4139" s="25"/>
      <c r="Y4139" s="25"/>
      <c r="Z4139" s="25"/>
    </row>
    <row r="4140" spans="1:26" ht="15.75" customHeight="1" x14ac:dyDescent="0.25">
      <c r="A4140" s="25">
        <v>4138</v>
      </c>
      <c r="B4140" s="37" t="e">
        <f t="shared" si="7855"/>
        <v>#N/A</v>
      </c>
      <c r="C4140" s="38" t="e">
        <f t="shared" si="7856"/>
        <v>#N/A</v>
      </c>
      <c r="D4140" s="39" t="e">
        <f t="shared" si="7857"/>
        <v>#N/A</v>
      </c>
      <c r="E4140" s="16" t="e">
        <f t="shared" si="1"/>
        <v>#N/A</v>
      </c>
      <c r="F4140" s="16" t="e">
        <f t="shared" si="7858"/>
        <v>#N/A</v>
      </c>
      <c r="G4140" s="39" t="e">
        <f t="shared" si="7859"/>
        <v>#N/A</v>
      </c>
      <c r="H4140" s="16" t="e">
        <f t="shared" si="7860"/>
        <v>#N/A</v>
      </c>
      <c r="I4140" s="16" t="e">
        <f t="shared" si="7861"/>
        <v>#N/A</v>
      </c>
      <c r="J4140" s="40" t="e">
        <f t="shared" si="7862"/>
        <v>#N/A</v>
      </c>
      <c r="K4140" s="16" t="e">
        <f t="shared" si="7863"/>
        <v>#N/A</v>
      </c>
      <c r="L4140" s="40" t="e">
        <f t="shared" si="7864"/>
        <v>#N/A</v>
      </c>
      <c r="M4140" s="16" t="e">
        <f t="shared" si="7865"/>
        <v>#N/A</v>
      </c>
      <c r="N4140" s="16" t="e">
        <f t="shared" si="7866"/>
        <v>#N/A</v>
      </c>
      <c r="O4140" s="16" t="s">
        <v>77</v>
      </c>
      <c r="P4140" s="16" t="str">
        <f t="shared" si="6"/>
        <v/>
      </c>
      <c r="Q4140" s="41" t="e">
        <f t="shared" si="7867"/>
        <v>#N/A</v>
      </c>
      <c r="R4140" s="44"/>
      <c r="S4140" s="44"/>
      <c r="T4140" s="43"/>
      <c r="U4140" s="43" t="str">
        <f t="shared" si="8"/>
        <v>No</v>
      </c>
      <c r="V4140" s="25"/>
      <c r="W4140" s="25"/>
      <c r="X4140" s="25"/>
      <c r="Y4140" s="25"/>
      <c r="Z4140" s="25"/>
    </row>
    <row r="4141" spans="1:26" ht="15.75" customHeight="1" x14ac:dyDescent="0.25">
      <c r="A4141" s="25">
        <v>4139</v>
      </c>
      <c r="B4141" s="37" t="e">
        <f t="shared" si="7855"/>
        <v>#N/A</v>
      </c>
      <c r="C4141" s="38" t="e">
        <f t="shared" si="7856"/>
        <v>#N/A</v>
      </c>
      <c r="D4141" s="39" t="e">
        <f t="shared" si="7857"/>
        <v>#N/A</v>
      </c>
      <c r="E4141" s="16" t="e">
        <f t="shared" si="1"/>
        <v>#N/A</v>
      </c>
      <c r="F4141" s="16" t="e">
        <f t="shared" si="7858"/>
        <v>#N/A</v>
      </c>
      <c r="G4141" s="39" t="e">
        <f t="shared" si="7859"/>
        <v>#N/A</v>
      </c>
      <c r="H4141" s="16" t="e">
        <f t="shared" si="7860"/>
        <v>#N/A</v>
      </c>
      <c r="I4141" s="16" t="e">
        <f t="shared" si="7861"/>
        <v>#N/A</v>
      </c>
      <c r="J4141" s="40" t="e">
        <f t="shared" si="7862"/>
        <v>#N/A</v>
      </c>
      <c r="K4141" s="16" t="e">
        <f t="shared" si="7863"/>
        <v>#N/A</v>
      </c>
      <c r="L4141" s="40" t="e">
        <f t="shared" si="7864"/>
        <v>#N/A</v>
      </c>
      <c r="M4141" s="16" t="e">
        <f t="shared" si="7865"/>
        <v>#N/A</v>
      </c>
      <c r="N4141" s="16" t="e">
        <f t="shared" si="7866"/>
        <v>#N/A</v>
      </c>
      <c r="O4141" s="16" t="s">
        <v>77</v>
      </c>
      <c r="P4141" s="16" t="str">
        <f t="shared" si="6"/>
        <v/>
      </c>
      <c r="Q4141" s="41" t="e">
        <f t="shared" si="7867"/>
        <v>#N/A</v>
      </c>
      <c r="R4141" s="44"/>
      <c r="S4141" s="44"/>
      <c r="T4141" s="43"/>
      <c r="U4141" s="43" t="str">
        <f t="shared" si="8"/>
        <v>No</v>
      </c>
      <c r="V4141" s="25"/>
      <c r="W4141" s="25"/>
      <c r="X4141" s="25"/>
      <c r="Y4141" s="25"/>
      <c r="Z4141" s="25"/>
    </row>
    <row r="4142" spans="1:26" ht="15.75" customHeight="1" x14ac:dyDescent="0.25">
      <c r="A4142" s="25">
        <v>4140</v>
      </c>
      <c r="B4142" s="37" t="e">
        <f t="shared" si="7855"/>
        <v>#N/A</v>
      </c>
      <c r="C4142" s="38" t="e">
        <f t="shared" si="7856"/>
        <v>#N/A</v>
      </c>
      <c r="D4142" s="39" t="e">
        <f t="shared" si="7857"/>
        <v>#N/A</v>
      </c>
      <c r="E4142" s="16" t="e">
        <f t="shared" si="1"/>
        <v>#N/A</v>
      </c>
      <c r="F4142" s="16" t="e">
        <f t="shared" si="7858"/>
        <v>#N/A</v>
      </c>
      <c r="G4142" s="39" t="e">
        <f t="shared" si="7859"/>
        <v>#N/A</v>
      </c>
      <c r="H4142" s="16" t="e">
        <f t="shared" si="7860"/>
        <v>#N/A</v>
      </c>
      <c r="I4142" s="16" t="e">
        <f t="shared" si="7861"/>
        <v>#N/A</v>
      </c>
      <c r="J4142" s="40" t="e">
        <f t="shared" si="7862"/>
        <v>#N/A</v>
      </c>
      <c r="K4142" s="16" t="e">
        <f t="shared" si="7863"/>
        <v>#N/A</v>
      </c>
      <c r="L4142" s="40" t="e">
        <f t="shared" si="7864"/>
        <v>#N/A</v>
      </c>
      <c r="M4142" s="16" t="e">
        <f t="shared" si="7865"/>
        <v>#N/A</v>
      </c>
      <c r="N4142" s="16" t="e">
        <f t="shared" si="7866"/>
        <v>#N/A</v>
      </c>
      <c r="O4142" s="16" t="s">
        <v>77</v>
      </c>
      <c r="P4142" s="16" t="str">
        <f t="shared" si="6"/>
        <v/>
      </c>
      <c r="Q4142" s="41" t="e">
        <f t="shared" si="7867"/>
        <v>#N/A</v>
      </c>
      <c r="R4142" s="44"/>
      <c r="S4142" s="44"/>
      <c r="T4142" s="43"/>
      <c r="U4142" s="43" t="str">
        <f t="shared" si="8"/>
        <v>No</v>
      </c>
      <c r="V4142" s="25"/>
      <c r="W4142" s="25"/>
      <c r="X4142" s="25"/>
      <c r="Y4142" s="25"/>
      <c r="Z4142" s="25"/>
    </row>
    <row r="4143" spans="1:26" ht="15.75" customHeight="1" x14ac:dyDescent="0.25">
      <c r="A4143" s="25">
        <v>4141</v>
      </c>
      <c r="B4143" s="37" t="e">
        <f t="shared" si="7855"/>
        <v>#N/A</v>
      </c>
      <c r="C4143" s="38" t="e">
        <f t="shared" si="7856"/>
        <v>#N/A</v>
      </c>
      <c r="D4143" s="39" t="e">
        <f t="shared" si="7857"/>
        <v>#N/A</v>
      </c>
      <c r="E4143" s="16" t="e">
        <f t="shared" si="1"/>
        <v>#N/A</v>
      </c>
      <c r="F4143" s="16" t="e">
        <f t="shared" si="7858"/>
        <v>#N/A</v>
      </c>
      <c r="G4143" s="39" t="e">
        <f t="shared" si="7859"/>
        <v>#N/A</v>
      </c>
      <c r="H4143" s="16" t="e">
        <f t="shared" si="7860"/>
        <v>#N/A</v>
      </c>
      <c r="I4143" s="16" t="e">
        <f t="shared" si="7861"/>
        <v>#N/A</v>
      </c>
      <c r="J4143" s="40" t="e">
        <f t="shared" si="7862"/>
        <v>#N/A</v>
      </c>
      <c r="K4143" s="16" t="e">
        <f t="shared" si="7863"/>
        <v>#N/A</v>
      </c>
      <c r="L4143" s="40" t="e">
        <f t="shared" si="7864"/>
        <v>#N/A</v>
      </c>
      <c r="M4143" s="16" t="e">
        <f t="shared" si="7865"/>
        <v>#N/A</v>
      </c>
      <c r="N4143" s="16" t="e">
        <f t="shared" si="7866"/>
        <v>#N/A</v>
      </c>
      <c r="O4143" s="16" t="s">
        <v>77</v>
      </c>
      <c r="P4143" s="16" t="str">
        <f t="shared" si="6"/>
        <v/>
      </c>
      <c r="Q4143" s="41" t="e">
        <f t="shared" si="7867"/>
        <v>#N/A</v>
      </c>
      <c r="R4143" s="44"/>
      <c r="S4143" s="44"/>
      <c r="T4143" s="43"/>
      <c r="U4143" s="43" t="str">
        <f t="shared" si="8"/>
        <v>No</v>
      </c>
      <c r="V4143" s="25"/>
      <c r="W4143" s="25"/>
      <c r="X4143" s="25"/>
      <c r="Y4143" s="25"/>
      <c r="Z4143" s="25"/>
    </row>
    <row r="4144" spans="1:26" ht="15.75" customHeight="1" x14ac:dyDescent="0.25">
      <c r="A4144" s="25">
        <v>4142</v>
      </c>
      <c r="B4144" s="37" t="e">
        <f t="shared" si="7855"/>
        <v>#N/A</v>
      </c>
      <c r="C4144" s="38" t="e">
        <f t="shared" si="7856"/>
        <v>#N/A</v>
      </c>
      <c r="D4144" s="39" t="e">
        <f t="shared" si="7857"/>
        <v>#N/A</v>
      </c>
      <c r="E4144" s="16" t="e">
        <f t="shared" si="1"/>
        <v>#N/A</v>
      </c>
      <c r="F4144" s="16" t="e">
        <f t="shared" si="7858"/>
        <v>#N/A</v>
      </c>
      <c r="G4144" s="39" t="e">
        <f t="shared" si="7859"/>
        <v>#N/A</v>
      </c>
      <c r="H4144" s="16" t="e">
        <f t="shared" si="7860"/>
        <v>#N/A</v>
      </c>
      <c r="I4144" s="16" t="e">
        <f t="shared" si="7861"/>
        <v>#N/A</v>
      </c>
      <c r="J4144" s="40" t="e">
        <f t="shared" si="7862"/>
        <v>#N/A</v>
      </c>
      <c r="K4144" s="16" t="e">
        <f t="shared" si="7863"/>
        <v>#N/A</v>
      </c>
      <c r="L4144" s="40" t="e">
        <f t="shared" si="7864"/>
        <v>#N/A</v>
      </c>
      <c r="M4144" s="16" t="e">
        <f t="shared" si="7865"/>
        <v>#N/A</v>
      </c>
      <c r="N4144" s="16" t="e">
        <f t="shared" si="7866"/>
        <v>#N/A</v>
      </c>
      <c r="O4144" s="16" t="s">
        <v>77</v>
      </c>
      <c r="P4144" s="16" t="str">
        <f t="shared" si="6"/>
        <v/>
      </c>
      <c r="Q4144" s="41" t="e">
        <f t="shared" si="7867"/>
        <v>#N/A</v>
      </c>
      <c r="R4144" s="44"/>
      <c r="S4144" s="44"/>
      <c r="T4144" s="43"/>
      <c r="U4144" s="43" t="str">
        <f t="shared" si="8"/>
        <v>No</v>
      </c>
      <c r="V4144" s="25"/>
      <c r="W4144" s="25"/>
      <c r="X4144" s="25"/>
      <c r="Y4144" s="25"/>
      <c r="Z4144" s="25"/>
    </row>
    <row r="4145" spans="1:26" ht="15.75" customHeight="1" x14ac:dyDescent="0.25">
      <c r="A4145" s="25">
        <v>4143</v>
      </c>
      <c r="B4145" s="37" t="e">
        <f t="shared" si="7855"/>
        <v>#N/A</v>
      </c>
      <c r="C4145" s="38" t="e">
        <f t="shared" si="7856"/>
        <v>#N/A</v>
      </c>
      <c r="D4145" s="39" t="e">
        <f t="shared" si="7857"/>
        <v>#N/A</v>
      </c>
      <c r="E4145" s="16" t="e">
        <f t="shared" si="1"/>
        <v>#N/A</v>
      </c>
      <c r="F4145" s="16" t="e">
        <f t="shared" si="7858"/>
        <v>#N/A</v>
      </c>
      <c r="G4145" s="39" t="e">
        <f t="shared" si="7859"/>
        <v>#N/A</v>
      </c>
      <c r="H4145" s="16" t="e">
        <f t="shared" si="7860"/>
        <v>#N/A</v>
      </c>
      <c r="I4145" s="16" t="e">
        <f t="shared" si="7861"/>
        <v>#N/A</v>
      </c>
      <c r="J4145" s="40" t="e">
        <f t="shared" si="7862"/>
        <v>#N/A</v>
      </c>
      <c r="K4145" s="16" t="e">
        <f t="shared" si="7863"/>
        <v>#N/A</v>
      </c>
      <c r="L4145" s="40" t="e">
        <f t="shared" si="7864"/>
        <v>#N/A</v>
      </c>
      <c r="M4145" s="16" t="e">
        <f t="shared" si="7865"/>
        <v>#N/A</v>
      </c>
      <c r="N4145" s="16" t="e">
        <f t="shared" si="7866"/>
        <v>#N/A</v>
      </c>
      <c r="O4145" s="16" t="s">
        <v>77</v>
      </c>
      <c r="P4145" s="16" t="str">
        <f t="shared" si="6"/>
        <v/>
      </c>
      <c r="Q4145" s="41" t="e">
        <f t="shared" si="7867"/>
        <v>#N/A</v>
      </c>
      <c r="R4145" s="44"/>
      <c r="S4145" s="44"/>
      <c r="T4145" s="43"/>
      <c r="U4145" s="43" t="str">
        <f t="shared" si="8"/>
        <v>No</v>
      </c>
      <c r="V4145" s="25"/>
      <c r="W4145" s="25"/>
      <c r="X4145" s="25"/>
      <c r="Y4145" s="25"/>
      <c r="Z4145" s="25"/>
    </row>
    <row r="4146" spans="1:26" ht="15.75" customHeight="1" x14ac:dyDescent="0.25">
      <c r="A4146" s="25">
        <v>4144</v>
      </c>
      <c r="B4146" s="37" t="e">
        <f t="shared" si="7855"/>
        <v>#N/A</v>
      </c>
      <c r="C4146" s="38" t="e">
        <f t="shared" si="7856"/>
        <v>#N/A</v>
      </c>
      <c r="D4146" s="39" t="e">
        <f t="shared" si="7857"/>
        <v>#N/A</v>
      </c>
      <c r="E4146" s="16" t="e">
        <f t="shared" si="1"/>
        <v>#N/A</v>
      </c>
      <c r="F4146" s="16" t="e">
        <f t="shared" si="7858"/>
        <v>#N/A</v>
      </c>
      <c r="G4146" s="39" t="e">
        <f t="shared" si="7859"/>
        <v>#N/A</v>
      </c>
      <c r="H4146" s="16" t="e">
        <f t="shared" si="7860"/>
        <v>#N/A</v>
      </c>
      <c r="I4146" s="16" t="e">
        <f t="shared" si="7861"/>
        <v>#N/A</v>
      </c>
      <c r="J4146" s="40" t="e">
        <f t="shared" si="7862"/>
        <v>#N/A</v>
      </c>
      <c r="K4146" s="16" t="e">
        <f t="shared" si="7863"/>
        <v>#N/A</v>
      </c>
      <c r="L4146" s="40" t="e">
        <f t="shared" si="7864"/>
        <v>#N/A</v>
      </c>
      <c r="M4146" s="16" t="e">
        <f t="shared" si="7865"/>
        <v>#N/A</v>
      </c>
      <c r="N4146" s="16" t="e">
        <f t="shared" si="7866"/>
        <v>#N/A</v>
      </c>
      <c r="O4146" s="16" t="s">
        <v>77</v>
      </c>
      <c r="P4146" s="16" t="str">
        <f t="shared" si="6"/>
        <v/>
      </c>
      <c r="Q4146" s="41" t="e">
        <f t="shared" si="7867"/>
        <v>#N/A</v>
      </c>
      <c r="R4146" s="44"/>
      <c r="S4146" s="44"/>
      <c r="T4146" s="43"/>
      <c r="U4146" s="43" t="str">
        <f t="shared" si="8"/>
        <v>No</v>
      </c>
      <c r="V4146" s="25"/>
      <c r="W4146" s="25"/>
      <c r="X4146" s="25"/>
      <c r="Y4146" s="25"/>
      <c r="Z4146" s="25"/>
    </row>
    <row r="4147" spans="1:26" ht="15.75" customHeight="1" x14ac:dyDescent="0.25">
      <c r="A4147" s="25">
        <v>4145</v>
      </c>
      <c r="B4147" s="37" t="e">
        <f t="shared" si="7855"/>
        <v>#N/A</v>
      </c>
      <c r="C4147" s="38" t="e">
        <f t="shared" si="7856"/>
        <v>#N/A</v>
      </c>
      <c r="D4147" s="39" t="e">
        <f t="shared" si="7857"/>
        <v>#N/A</v>
      </c>
      <c r="E4147" s="16" t="e">
        <f t="shared" si="1"/>
        <v>#N/A</v>
      </c>
      <c r="F4147" s="16" t="e">
        <f t="shared" si="7858"/>
        <v>#N/A</v>
      </c>
      <c r="G4147" s="39" t="e">
        <f t="shared" si="7859"/>
        <v>#N/A</v>
      </c>
      <c r="H4147" s="16" t="e">
        <f t="shared" si="7860"/>
        <v>#N/A</v>
      </c>
      <c r="I4147" s="16" t="e">
        <f t="shared" si="7861"/>
        <v>#N/A</v>
      </c>
      <c r="J4147" s="40" t="e">
        <f t="shared" si="7862"/>
        <v>#N/A</v>
      </c>
      <c r="K4147" s="16" t="e">
        <f t="shared" si="7863"/>
        <v>#N/A</v>
      </c>
      <c r="L4147" s="40" t="e">
        <f t="shared" si="7864"/>
        <v>#N/A</v>
      </c>
      <c r="M4147" s="16" t="e">
        <f t="shared" si="7865"/>
        <v>#N/A</v>
      </c>
      <c r="N4147" s="16" t="e">
        <f t="shared" si="7866"/>
        <v>#N/A</v>
      </c>
      <c r="O4147" s="16" t="s">
        <v>77</v>
      </c>
      <c r="P4147" s="16" t="str">
        <f t="shared" si="6"/>
        <v/>
      </c>
      <c r="Q4147" s="41" t="e">
        <f t="shared" si="7867"/>
        <v>#N/A</v>
      </c>
      <c r="R4147" s="44"/>
      <c r="S4147" s="44"/>
      <c r="T4147" s="43"/>
      <c r="U4147" s="43" t="str">
        <f t="shared" si="8"/>
        <v>No</v>
      </c>
      <c r="V4147" s="25"/>
      <c r="W4147" s="25"/>
      <c r="X4147" s="25"/>
      <c r="Y4147" s="25"/>
      <c r="Z4147" s="25"/>
    </row>
    <row r="4148" spans="1:26" ht="15.75" customHeight="1" x14ac:dyDescent="0.25">
      <c r="A4148" s="25">
        <v>4146</v>
      </c>
      <c r="B4148" s="37" t="e">
        <f t="shared" si="7855"/>
        <v>#N/A</v>
      </c>
      <c r="C4148" s="38" t="e">
        <f t="shared" si="7856"/>
        <v>#N/A</v>
      </c>
      <c r="D4148" s="39" t="e">
        <f t="shared" si="7857"/>
        <v>#N/A</v>
      </c>
      <c r="E4148" s="16" t="e">
        <f t="shared" si="1"/>
        <v>#N/A</v>
      </c>
      <c r="F4148" s="16" t="e">
        <f t="shared" si="7858"/>
        <v>#N/A</v>
      </c>
      <c r="G4148" s="39" t="e">
        <f t="shared" si="7859"/>
        <v>#N/A</v>
      </c>
      <c r="H4148" s="16" t="e">
        <f t="shared" si="7860"/>
        <v>#N/A</v>
      </c>
      <c r="I4148" s="16" t="e">
        <f t="shared" si="7861"/>
        <v>#N/A</v>
      </c>
      <c r="J4148" s="40" t="e">
        <f t="shared" si="7862"/>
        <v>#N/A</v>
      </c>
      <c r="K4148" s="16" t="e">
        <f t="shared" si="7863"/>
        <v>#N/A</v>
      </c>
      <c r="L4148" s="40" t="e">
        <f t="shared" si="7864"/>
        <v>#N/A</v>
      </c>
      <c r="M4148" s="16" t="e">
        <f t="shared" si="7865"/>
        <v>#N/A</v>
      </c>
      <c r="N4148" s="16" t="e">
        <f t="shared" si="7866"/>
        <v>#N/A</v>
      </c>
      <c r="O4148" s="16" t="s">
        <v>77</v>
      </c>
      <c r="P4148" s="16" t="str">
        <f t="shared" si="6"/>
        <v/>
      </c>
      <c r="Q4148" s="41" t="e">
        <f t="shared" si="7867"/>
        <v>#N/A</v>
      </c>
      <c r="R4148" s="44"/>
      <c r="S4148" s="44"/>
      <c r="T4148" s="43"/>
      <c r="U4148" s="43" t="str">
        <f t="shared" si="8"/>
        <v>No</v>
      </c>
      <c r="V4148" s="25"/>
      <c r="W4148" s="25"/>
      <c r="X4148" s="25"/>
      <c r="Y4148" s="25"/>
      <c r="Z4148" s="25"/>
    </row>
    <row r="4149" spans="1:26" ht="15.75" customHeight="1" x14ac:dyDescent="0.25">
      <c r="A4149" s="25">
        <v>4147</v>
      </c>
      <c r="B4149" s="37" t="e">
        <f t="shared" si="7855"/>
        <v>#N/A</v>
      </c>
      <c r="C4149" s="38" t="e">
        <f t="shared" si="7856"/>
        <v>#N/A</v>
      </c>
      <c r="D4149" s="39" t="e">
        <f t="shared" si="7857"/>
        <v>#N/A</v>
      </c>
      <c r="E4149" s="16" t="e">
        <f t="shared" si="1"/>
        <v>#N/A</v>
      </c>
      <c r="F4149" s="16" t="e">
        <f t="shared" si="7858"/>
        <v>#N/A</v>
      </c>
      <c r="G4149" s="39" t="e">
        <f t="shared" si="7859"/>
        <v>#N/A</v>
      </c>
      <c r="H4149" s="16" t="e">
        <f t="shared" si="7860"/>
        <v>#N/A</v>
      </c>
      <c r="I4149" s="16" t="e">
        <f t="shared" si="7861"/>
        <v>#N/A</v>
      </c>
      <c r="J4149" s="40" t="e">
        <f t="shared" si="7862"/>
        <v>#N/A</v>
      </c>
      <c r="K4149" s="16" t="e">
        <f t="shared" si="7863"/>
        <v>#N/A</v>
      </c>
      <c r="L4149" s="40" t="e">
        <f t="shared" si="7864"/>
        <v>#N/A</v>
      </c>
      <c r="M4149" s="16" t="e">
        <f t="shared" si="7865"/>
        <v>#N/A</v>
      </c>
      <c r="N4149" s="16" t="e">
        <f t="shared" si="7866"/>
        <v>#N/A</v>
      </c>
      <c r="O4149" s="16" t="s">
        <v>77</v>
      </c>
      <c r="P4149" s="16" t="str">
        <f t="shared" si="6"/>
        <v/>
      </c>
      <c r="Q4149" s="41" t="e">
        <f t="shared" si="7867"/>
        <v>#N/A</v>
      </c>
      <c r="R4149" s="44"/>
      <c r="S4149" s="44"/>
      <c r="T4149" s="43"/>
      <c r="U4149" s="43" t="str">
        <f t="shared" si="8"/>
        <v>No</v>
      </c>
      <c r="V4149" s="25"/>
      <c r="W4149" s="25"/>
      <c r="X4149" s="25"/>
      <c r="Y4149" s="25"/>
      <c r="Z4149" s="25"/>
    </row>
    <row r="4150" spans="1:26" ht="15.75" customHeight="1" x14ac:dyDescent="0.25">
      <c r="A4150" s="25">
        <v>4148</v>
      </c>
      <c r="B4150" s="37" t="e">
        <f t="shared" si="7855"/>
        <v>#N/A</v>
      </c>
      <c r="C4150" s="38" t="e">
        <f t="shared" si="7856"/>
        <v>#N/A</v>
      </c>
      <c r="D4150" s="39" t="e">
        <f t="shared" si="7857"/>
        <v>#N/A</v>
      </c>
      <c r="E4150" s="16" t="e">
        <f t="shared" si="1"/>
        <v>#N/A</v>
      </c>
      <c r="F4150" s="16" t="e">
        <f t="shared" si="7858"/>
        <v>#N/A</v>
      </c>
      <c r="G4150" s="39" t="e">
        <f t="shared" si="7859"/>
        <v>#N/A</v>
      </c>
      <c r="H4150" s="16" t="e">
        <f t="shared" si="7860"/>
        <v>#N/A</v>
      </c>
      <c r="I4150" s="16" t="e">
        <f t="shared" si="7861"/>
        <v>#N/A</v>
      </c>
      <c r="J4150" s="40" t="e">
        <f t="shared" si="7862"/>
        <v>#N/A</v>
      </c>
      <c r="K4150" s="16" t="e">
        <f t="shared" si="7863"/>
        <v>#N/A</v>
      </c>
      <c r="L4150" s="40" t="e">
        <f t="shared" si="7864"/>
        <v>#N/A</v>
      </c>
      <c r="M4150" s="16" t="e">
        <f t="shared" si="7865"/>
        <v>#N/A</v>
      </c>
      <c r="N4150" s="16" t="e">
        <f t="shared" si="7866"/>
        <v>#N/A</v>
      </c>
      <c r="O4150" s="16" t="s">
        <v>77</v>
      </c>
      <c r="P4150" s="16" t="str">
        <f t="shared" si="6"/>
        <v/>
      </c>
      <c r="Q4150" s="41" t="e">
        <f t="shared" si="7867"/>
        <v>#N/A</v>
      </c>
      <c r="R4150" s="44"/>
      <c r="S4150" s="44"/>
      <c r="T4150" s="43"/>
      <c r="U4150" s="43" t="str">
        <f t="shared" si="8"/>
        <v>No</v>
      </c>
      <c r="V4150" s="25"/>
      <c r="W4150" s="25"/>
      <c r="X4150" s="25"/>
      <c r="Y4150" s="25"/>
      <c r="Z4150" s="25"/>
    </row>
    <row r="4151" spans="1:26" ht="15.75" customHeight="1" x14ac:dyDescent="0.25">
      <c r="A4151" s="25">
        <v>4149</v>
      </c>
      <c r="B4151" s="37" t="e">
        <f t="shared" si="7855"/>
        <v>#N/A</v>
      </c>
      <c r="C4151" s="38" t="e">
        <f t="shared" si="7856"/>
        <v>#N/A</v>
      </c>
      <c r="D4151" s="39" t="e">
        <f t="shared" si="7857"/>
        <v>#N/A</v>
      </c>
      <c r="E4151" s="16" t="e">
        <f t="shared" si="1"/>
        <v>#N/A</v>
      </c>
      <c r="F4151" s="16" t="e">
        <f t="shared" si="7858"/>
        <v>#N/A</v>
      </c>
      <c r="G4151" s="39" t="e">
        <f t="shared" si="7859"/>
        <v>#N/A</v>
      </c>
      <c r="H4151" s="16" t="e">
        <f t="shared" si="7860"/>
        <v>#N/A</v>
      </c>
      <c r="I4151" s="16" t="e">
        <f t="shared" si="7861"/>
        <v>#N/A</v>
      </c>
      <c r="J4151" s="40" t="e">
        <f t="shared" si="7862"/>
        <v>#N/A</v>
      </c>
      <c r="K4151" s="16" t="e">
        <f t="shared" si="7863"/>
        <v>#N/A</v>
      </c>
      <c r="L4151" s="40" t="e">
        <f t="shared" si="7864"/>
        <v>#N/A</v>
      </c>
      <c r="M4151" s="16" t="e">
        <f t="shared" si="7865"/>
        <v>#N/A</v>
      </c>
      <c r="N4151" s="16" t="e">
        <f t="shared" si="7866"/>
        <v>#N/A</v>
      </c>
      <c r="O4151" s="16" t="s">
        <v>77</v>
      </c>
      <c r="P4151" s="16" t="str">
        <f t="shared" si="6"/>
        <v/>
      </c>
      <c r="Q4151" s="41" t="e">
        <f t="shared" si="7867"/>
        <v>#N/A</v>
      </c>
      <c r="R4151" s="44"/>
      <c r="S4151" s="44"/>
      <c r="T4151" s="43"/>
      <c r="U4151" s="43" t="str">
        <f t="shared" si="8"/>
        <v>No</v>
      </c>
      <c r="V4151" s="25"/>
      <c r="W4151" s="25"/>
      <c r="X4151" s="25"/>
      <c r="Y4151" s="25"/>
      <c r="Z4151" s="25"/>
    </row>
    <row r="4152" spans="1:26" ht="15.75" customHeight="1" x14ac:dyDescent="0.25">
      <c r="A4152" s="25">
        <v>4150</v>
      </c>
      <c r="B4152" s="37" t="e">
        <f t="shared" si="7855"/>
        <v>#N/A</v>
      </c>
      <c r="C4152" s="38" t="e">
        <f t="shared" si="7856"/>
        <v>#N/A</v>
      </c>
      <c r="D4152" s="39" t="e">
        <f t="shared" si="7857"/>
        <v>#N/A</v>
      </c>
      <c r="E4152" s="16" t="e">
        <f t="shared" si="1"/>
        <v>#N/A</v>
      </c>
      <c r="F4152" s="16" t="e">
        <f t="shared" si="7858"/>
        <v>#N/A</v>
      </c>
      <c r="G4152" s="39" t="e">
        <f t="shared" si="7859"/>
        <v>#N/A</v>
      </c>
      <c r="H4152" s="16" t="e">
        <f t="shared" si="7860"/>
        <v>#N/A</v>
      </c>
      <c r="I4152" s="16" t="e">
        <f t="shared" si="7861"/>
        <v>#N/A</v>
      </c>
      <c r="J4152" s="40" t="e">
        <f t="shared" si="7862"/>
        <v>#N/A</v>
      </c>
      <c r="K4152" s="16" t="e">
        <f t="shared" si="7863"/>
        <v>#N/A</v>
      </c>
      <c r="L4152" s="40" t="e">
        <f t="shared" si="7864"/>
        <v>#N/A</v>
      </c>
      <c r="M4152" s="16" t="e">
        <f t="shared" si="7865"/>
        <v>#N/A</v>
      </c>
      <c r="N4152" s="16" t="e">
        <f t="shared" si="7866"/>
        <v>#N/A</v>
      </c>
      <c r="O4152" s="16" t="s">
        <v>77</v>
      </c>
      <c r="P4152" s="16" t="str">
        <f t="shared" si="6"/>
        <v/>
      </c>
      <c r="Q4152" s="41" t="e">
        <f t="shared" si="7867"/>
        <v>#N/A</v>
      </c>
      <c r="R4152" s="44"/>
      <c r="S4152" s="44"/>
      <c r="T4152" s="43"/>
      <c r="U4152" s="43" t="str">
        <f t="shared" si="8"/>
        <v>No</v>
      </c>
      <c r="V4152" s="25"/>
      <c r="W4152" s="25"/>
      <c r="X4152" s="25"/>
      <c r="Y4152" s="25"/>
      <c r="Z4152" s="25"/>
    </row>
    <row r="4153" spans="1:26" ht="15.75" customHeight="1" x14ac:dyDescent="0.25">
      <c r="A4153" s="25">
        <v>4151</v>
      </c>
      <c r="B4153" s="37" t="e">
        <f t="shared" si="7855"/>
        <v>#N/A</v>
      </c>
      <c r="C4153" s="38" t="e">
        <f t="shared" si="7856"/>
        <v>#N/A</v>
      </c>
      <c r="D4153" s="39" t="e">
        <f t="shared" si="7857"/>
        <v>#N/A</v>
      </c>
      <c r="E4153" s="16" t="e">
        <f t="shared" si="1"/>
        <v>#N/A</v>
      </c>
      <c r="F4153" s="16" t="e">
        <f t="shared" si="7858"/>
        <v>#N/A</v>
      </c>
      <c r="G4153" s="39" t="e">
        <f t="shared" si="7859"/>
        <v>#N/A</v>
      </c>
      <c r="H4153" s="16" t="e">
        <f t="shared" si="7860"/>
        <v>#N/A</v>
      </c>
      <c r="I4153" s="16" t="e">
        <f t="shared" si="7861"/>
        <v>#N/A</v>
      </c>
      <c r="J4153" s="40" t="e">
        <f t="shared" si="7862"/>
        <v>#N/A</v>
      </c>
      <c r="K4153" s="16" t="e">
        <f t="shared" si="7863"/>
        <v>#N/A</v>
      </c>
      <c r="L4153" s="40" t="e">
        <f t="shared" si="7864"/>
        <v>#N/A</v>
      </c>
      <c r="M4153" s="16" t="e">
        <f t="shared" si="7865"/>
        <v>#N/A</v>
      </c>
      <c r="N4153" s="16" t="e">
        <f t="shared" si="7866"/>
        <v>#N/A</v>
      </c>
      <c r="O4153" s="16" t="s">
        <v>77</v>
      </c>
      <c r="P4153" s="16" t="str">
        <f t="shared" si="6"/>
        <v/>
      </c>
      <c r="Q4153" s="41" t="e">
        <f t="shared" si="7867"/>
        <v>#N/A</v>
      </c>
      <c r="R4153" s="44"/>
      <c r="S4153" s="44"/>
      <c r="T4153" s="43"/>
      <c r="U4153" s="43" t="str">
        <f t="shared" si="8"/>
        <v>No</v>
      </c>
      <c r="V4153" s="25"/>
      <c r="W4153" s="25"/>
      <c r="X4153" s="25"/>
      <c r="Y4153" s="25"/>
      <c r="Z4153" s="25"/>
    </row>
    <row r="4154" spans="1:26" ht="15.75" customHeight="1" x14ac:dyDescent="0.25">
      <c r="A4154" s="25">
        <v>4152</v>
      </c>
      <c r="B4154" s="37" t="e">
        <f t="shared" si="7855"/>
        <v>#N/A</v>
      </c>
      <c r="C4154" s="38" t="e">
        <f t="shared" si="7856"/>
        <v>#N/A</v>
      </c>
      <c r="D4154" s="39" t="e">
        <f t="shared" si="7857"/>
        <v>#N/A</v>
      </c>
      <c r="E4154" s="16" t="e">
        <f t="shared" si="1"/>
        <v>#N/A</v>
      </c>
      <c r="F4154" s="16" t="e">
        <f t="shared" si="7858"/>
        <v>#N/A</v>
      </c>
      <c r="G4154" s="39" t="e">
        <f t="shared" si="7859"/>
        <v>#N/A</v>
      </c>
      <c r="H4154" s="16" t="e">
        <f t="shared" si="7860"/>
        <v>#N/A</v>
      </c>
      <c r="I4154" s="16" t="e">
        <f t="shared" si="7861"/>
        <v>#N/A</v>
      </c>
      <c r="J4154" s="40" t="e">
        <f t="shared" si="7862"/>
        <v>#N/A</v>
      </c>
      <c r="K4154" s="16" t="e">
        <f t="shared" si="7863"/>
        <v>#N/A</v>
      </c>
      <c r="L4154" s="40" t="e">
        <f t="shared" si="7864"/>
        <v>#N/A</v>
      </c>
      <c r="M4154" s="16" t="e">
        <f t="shared" si="7865"/>
        <v>#N/A</v>
      </c>
      <c r="N4154" s="16" t="e">
        <f t="shared" si="7866"/>
        <v>#N/A</v>
      </c>
      <c r="O4154" s="16" t="s">
        <v>77</v>
      </c>
      <c r="P4154" s="16" t="str">
        <f t="shared" si="6"/>
        <v/>
      </c>
      <c r="Q4154" s="41" t="e">
        <f t="shared" si="7867"/>
        <v>#N/A</v>
      </c>
      <c r="R4154" s="44"/>
      <c r="S4154" s="44"/>
      <c r="T4154" s="43"/>
      <c r="U4154" s="43" t="str">
        <f t="shared" si="8"/>
        <v>No</v>
      </c>
      <c r="V4154" s="25"/>
      <c r="W4154" s="25"/>
      <c r="X4154" s="25"/>
      <c r="Y4154" s="25"/>
      <c r="Z4154" s="25"/>
    </row>
    <row r="4155" spans="1:26" ht="15.75" customHeight="1" x14ac:dyDescent="0.25">
      <c r="A4155" s="25">
        <v>4153</v>
      </c>
      <c r="B4155" s="37" t="e">
        <f t="shared" si="7855"/>
        <v>#N/A</v>
      </c>
      <c r="C4155" s="38" t="e">
        <f t="shared" si="7856"/>
        <v>#N/A</v>
      </c>
      <c r="D4155" s="39" t="e">
        <f t="shared" si="7857"/>
        <v>#N/A</v>
      </c>
      <c r="E4155" s="16" t="e">
        <f t="shared" si="1"/>
        <v>#N/A</v>
      </c>
      <c r="F4155" s="16" t="e">
        <f t="shared" si="7858"/>
        <v>#N/A</v>
      </c>
      <c r="G4155" s="39" t="e">
        <f t="shared" si="7859"/>
        <v>#N/A</v>
      </c>
      <c r="H4155" s="16" t="e">
        <f t="shared" si="7860"/>
        <v>#N/A</v>
      </c>
      <c r="I4155" s="16" t="e">
        <f t="shared" si="7861"/>
        <v>#N/A</v>
      </c>
      <c r="J4155" s="40" t="e">
        <f t="shared" si="7862"/>
        <v>#N/A</v>
      </c>
      <c r="K4155" s="16" t="e">
        <f t="shared" si="7863"/>
        <v>#N/A</v>
      </c>
      <c r="L4155" s="40" t="e">
        <f t="shared" si="7864"/>
        <v>#N/A</v>
      </c>
      <c r="M4155" s="16" t="e">
        <f t="shared" si="7865"/>
        <v>#N/A</v>
      </c>
      <c r="N4155" s="16" t="e">
        <f t="shared" si="7866"/>
        <v>#N/A</v>
      </c>
      <c r="O4155" s="16" t="s">
        <v>77</v>
      </c>
      <c r="P4155" s="16" t="str">
        <f t="shared" si="6"/>
        <v/>
      </c>
      <c r="Q4155" s="41" t="e">
        <f t="shared" si="7867"/>
        <v>#N/A</v>
      </c>
      <c r="R4155" s="44"/>
      <c r="S4155" s="44"/>
      <c r="T4155" s="43"/>
      <c r="U4155" s="43" t="str">
        <f t="shared" si="8"/>
        <v>No</v>
      </c>
      <c r="V4155" s="25"/>
      <c r="W4155" s="25"/>
      <c r="X4155" s="25"/>
      <c r="Y4155" s="25"/>
      <c r="Z4155" s="25"/>
    </row>
    <row r="4156" spans="1:26" ht="15.75" customHeight="1" x14ac:dyDescent="0.25">
      <c r="A4156" s="25">
        <v>4154</v>
      </c>
      <c r="B4156" s="37" t="e">
        <f t="shared" si="7855"/>
        <v>#N/A</v>
      </c>
      <c r="C4156" s="38" t="e">
        <f t="shared" si="7856"/>
        <v>#N/A</v>
      </c>
      <c r="D4156" s="39" t="e">
        <f t="shared" si="7857"/>
        <v>#N/A</v>
      </c>
      <c r="E4156" s="16" t="e">
        <f t="shared" si="1"/>
        <v>#N/A</v>
      </c>
      <c r="F4156" s="16" t="e">
        <f t="shared" si="7858"/>
        <v>#N/A</v>
      </c>
      <c r="G4156" s="39" t="e">
        <f t="shared" si="7859"/>
        <v>#N/A</v>
      </c>
      <c r="H4156" s="16" t="e">
        <f t="shared" si="7860"/>
        <v>#N/A</v>
      </c>
      <c r="I4156" s="16" t="e">
        <f t="shared" si="7861"/>
        <v>#N/A</v>
      </c>
      <c r="J4156" s="40" t="e">
        <f t="shared" si="7862"/>
        <v>#N/A</v>
      </c>
      <c r="K4156" s="16" t="e">
        <f t="shared" si="7863"/>
        <v>#N/A</v>
      </c>
      <c r="L4156" s="40" t="e">
        <f t="shared" si="7864"/>
        <v>#N/A</v>
      </c>
      <c r="M4156" s="16" t="e">
        <f t="shared" si="7865"/>
        <v>#N/A</v>
      </c>
      <c r="N4156" s="16" t="e">
        <f t="shared" si="7866"/>
        <v>#N/A</v>
      </c>
      <c r="O4156" s="16" t="s">
        <v>77</v>
      </c>
      <c r="P4156" s="16" t="str">
        <f t="shared" si="6"/>
        <v/>
      </c>
      <c r="Q4156" s="41" t="e">
        <f t="shared" si="7867"/>
        <v>#N/A</v>
      </c>
      <c r="R4156" s="44"/>
      <c r="S4156" s="44"/>
      <c r="T4156" s="43"/>
      <c r="U4156" s="43" t="str">
        <f t="shared" si="8"/>
        <v>No</v>
      </c>
      <c r="V4156" s="25"/>
      <c r="W4156" s="25"/>
      <c r="X4156" s="25"/>
      <c r="Y4156" s="25"/>
      <c r="Z4156" s="25"/>
    </row>
    <row r="4157" spans="1:26" ht="15.75" customHeight="1" x14ac:dyDescent="0.25">
      <c r="A4157" s="25">
        <v>4155</v>
      </c>
      <c r="B4157" s="37" t="e">
        <f t="shared" si="7855"/>
        <v>#N/A</v>
      </c>
      <c r="C4157" s="38" t="e">
        <f t="shared" si="7856"/>
        <v>#N/A</v>
      </c>
      <c r="D4157" s="39" t="e">
        <f t="shared" si="7857"/>
        <v>#N/A</v>
      </c>
      <c r="E4157" s="16" t="e">
        <f t="shared" si="1"/>
        <v>#N/A</v>
      </c>
      <c r="F4157" s="16" t="e">
        <f t="shared" si="7858"/>
        <v>#N/A</v>
      </c>
      <c r="G4157" s="39" t="e">
        <f t="shared" si="7859"/>
        <v>#N/A</v>
      </c>
      <c r="H4157" s="16" t="e">
        <f t="shared" si="7860"/>
        <v>#N/A</v>
      </c>
      <c r="I4157" s="16" t="e">
        <f t="shared" si="7861"/>
        <v>#N/A</v>
      </c>
      <c r="J4157" s="40" t="e">
        <f t="shared" si="7862"/>
        <v>#N/A</v>
      </c>
      <c r="K4157" s="16" t="e">
        <f t="shared" si="7863"/>
        <v>#N/A</v>
      </c>
      <c r="L4157" s="40" t="e">
        <f t="shared" si="7864"/>
        <v>#N/A</v>
      </c>
      <c r="M4157" s="16" t="e">
        <f t="shared" si="7865"/>
        <v>#N/A</v>
      </c>
      <c r="N4157" s="16" t="e">
        <f t="shared" si="7866"/>
        <v>#N/A</v>
      </c>
      <c r="O4157" s="16" t="s">
        <v>77</v>
      </c>
      <c r="P4157" s="16" t="str">
        <f t="shared" si="6"/>
        <v/>
      </c>
      <c r="Q4157" s="41" t="e">
        <f t="shared" si="7867"/>
        <v>#N/A</v>
      </c>
      <c r="R4157" s="44"/>
      <c r="S4157" s="44"/>
      <c r="T4157" s="43"/>
      <c r="U4157" s="43" t="str">
        <f t="shared" si="8"/>
        <v>No</v>
      </c>
      <c r="V4157" s="25"/>
      <c r="W4157" s="25"/>
      <c r="X4157" s="25"/>
      <c r="Y4157" s="25"/>
      <c r="Z4157" s="25"/>
    </row>
    <row r="4158" spans="1:26" ht="15.75" customHeight="1" x14ac:dyDescent="0.25">
      <c r="A4158" s="25">
        <v>4156</v>
      </c>
      <c r="B4158" s="37" t="e">
        <f t="shared" si="7855"/>
        <v>#N/A</v>
      </c>
      <c r="C4158" s="38" t="e">
        <f t="shared" si="7856"/>
        <v>#N/A</v>
      </c>
      <c r="D4158" s="39" t="e">
        <f t="shared" si="7857"/>
        <v>#N/A</v>
      </c>
      <c r="E4158" s="16" t="e">
        <f t="shared" si="1"/>
        <v>#N/A</v>
      </c>
      <c r="F4158" s="16" t="e">
        <f t="shared" si="7858"/>
        <v>#N/A</v>
      </c>
      <c r="G4158" s="39" t="e">
        <f t="shared" si="7859"/>
        <v>#N/A</v>
      </c>
      <c r="H4158" s="16" t="e">
        <f t="shared" si="7860"/>
        <v>#N/A</v>
      </c>
      <c r="I4158" s="16" t="e">
        <f t="shared" si="7861"/>
        <v>#N/A</v>
      </c>
      <c r="J4158" s="40" t="e">
        <f t="shared" si="7862"/>
        <v>#N/A</v>
      </c>
      <c r="K4158" s="16" t="e">
        <f t="shared" si="7863"/>
        <v>#N/A</v>
      </c>
      <c r="L4158" s="40" t="e">
        <f t="shared" si="7864"/>
        <v>#N/A</v>
      </c>
      <c r="M4158" s="16" t="e">
        <f t="shared" si="7865"/>
        <v>#N/A</v>
      </c>
      <c r="N4158" s="16" t="e">
        <f t="shared" si="7866"/>
        <v>#N/A</v>
      </c>
      <c r="O4158" s="16" t="s">
        <v>77</v>
      </c>
      <c r="P4158" s="16" t="str">
        <f t="shared" si="6"/>
        <v/>
      </c>
      <c r="Q4158" s="41" t="e">
        <f t="shared" si="7867"/>
        <v>#N/A</v>
      </c>
      <c r="R4158" s="44"/>
      <c r="S4158" s="44"/>
      <c r="T4158" s="43"/>
      <c r="U4158" s="43" t="str">
        <f t="shared" si="8"/>
        <v>No</v>
      </c>
      <c r="V4158" s="25"/>
      <c r="W4158" s="25"/>
      <c r="X4158" s="25"/>
      <c r="Y4158" s="25"/>
      <c r="Z4158" s="25"/>
    </row>
    <row r="4159" spans="1:26" ht="15.75" customHeight="1" x14ac:dyDescent="0.25">
      <c r="A4159" s="25">
        <v>4157</v>
      </c>
      <c r="B4159" s="37" t="e">
        <f t="shared" si="7855"/>
        <v>#N/A</v>
      </c>
      <c r="C4159" s="38" t="e">
        <f t="shared" si="7856"/>
        <v>#N/A</v>
      </c>
      <c r="D4159" s="39" t="e">
        <f t="shared" si="7857"/>
        <v>#N/A</v>
      </c>
      <c r="E4159" s="16" t="e">
        <f t="shared" si="1"/>
        <v>#N/A</v>
      </c>
      <c r="F4159" s="16" t="e">
        <f t="shared" si="7858"/>
        <v>#N/A</v>
      </c>
      <c r="G4159" s="39" t="e">
        <f t="shared" si="7859"/>
        <v>#N/A</v>
      </c>
      <c r="H4159" s="16" t="e">
        <f t="shared" si="7860"/>
        <v>#N/A</v>
      </c>
      <c r="I4159" s="16" t="e">
        <f t="shared" si="7861"/>
        <v>#N/A</v>
      </c>
      <c r="J4159" s="40" t="e">
        <f t="shared" si="7862"/>
        <v>#N/A</v>
      </c>
      <c r="K4159" s="16" t="e">
        <f t="shared" si="7863"/>
        <v>#N/A</v>
      </c>
      <c r="L4159" s="40" t="e">
        <f t="shared" si="7864"/>
        <v>#N/A</v>
      </c>
      <c r="M4159" s="16" t="e">
        <f t="shared" si="7865"/>
        <v>#N/A</v>
      </c>
      <c r="N4159" s="16" t="e">
        <f t="shared" si="7866"/>
        <v>#N/A</v>
      </c>
      <c r="O4159" s="16" t="s">
        <v>77</v>
      </c>
      <c r="P4159" s="16" t="str">
        <f t="shared" si="6"/>
        <v/>
      </c>
      <c r="Q4159" s="41" t="e">
        <f t="shared" si="7867"/>
        <v>#N/A</v>
      </c>
      <c r="R4159" s="44"/>
      <c r="S4159" s="44"/>
      <c r="T4159" s="43"/>
      <c r="U4159" s="43" t="str">
        <f t="shared" si="8"/>
        <v>No</v>
      </c>
      <c r="V4159" s="25"/>
      <c r="W4159" s="25"/>
      <c r="X4159" s="25"/>
      <c r="Y4159" s="25"/>
      <c r="Z4159" s="25"/>
    </row>
    <row r="4160" spans="1:26" ht="15.75" customHeight="1" x14ac:dyDescent="0.25">
      <c r="A4160" s="25">
        <v>4158</v>
      </c>
      <c r="B4160" s="37" t="e">
        <f t="shared" si="7855"/>
        <v>#N/A</v>
      </c>
      <c r="C4160" s="38" t="e">
        <f t="shared" si="7856"/>
        <v>#N/A</v>
      </c>
      <c r="D4160" s="39" t="e">
        <f t="shared" si="7857"/>
        <v>#N/A</v>
      </c>
      <c r="E4160" s="16" t="e">
        <f t="shared" si="1"/>
        <v>#N/A</v>
      </c>
      <c r="F4160" s="16" t="e">
        <f t="shared" si="7858"/>
        <v>#N/A</v>
      </c>
      <c r="G4160" s="39" t="e">
        <f t="shared" si="7859"/>
        <v>#N/A</v>
      </c>
      <c r="H4160" s="16" t="e">
        <f t="shared" si="7860"/>
        <v>#N/A</v>
      </c>
      <c r="I4160" s="16" t="e">
        <f t="shared" si="7861"/>
        <v>#N/A</v>
      </c>
      <c r="J4160" s="40" t="e">
        <f t="shared" si="7862"/>
        <v>#N/A</v>
      </c>
      <c r="K4160" s="16" t="e">
        <f t="shared" si="7863"/>
        <v>#N/A</v>
      </c>
      <c r="L4160" s="40" t="e">
        <f t="shared" si="7864"/>
        <v>#N/A</v>
      </c>
      <c r="M4160" s="16" t="e">
        <f t="shared" si="7865"/>
        <v>#N/A</v>
      </c>
      <c r="N4160" s="16" t="e">
        <f t="shared" si="7866"/>
        <v>#N/A</v>
      </c>
      <c r="O4160" s="16" t="s">
        <v>77</v>
      </c>
      <c r="P4160" s="16" t="str">
        <f t="shared" si="6"/>
        <v/>
      </c>
      <c r="Q4160" s="41" t="e">
        <f t="shared" si="7867"/>
        <v>#N/A</v>
      </c>
      <c r="R4160" s="44"/>
      <c r="S4160" s="44"/>
      <c r="T4160" s="43"/>
      <c r="U4160" s="43" t="str">
        <f t="shared" si="8"/>
        <v>No</v>
      </c>
      <c r="V4160" s="25"/>
      <c r="W4160" s="25"/>
      <c r="X4160" s="25"/>
      <c r="Y4160" s="25"/>
      <c r="Z4160" s="25"/>
    </row>
    <row r="4161" spans="1:26" ht="15.75" customHeight="1" x14ac:dyDescent="0.25">
      <c r="A4161" s="25">
        <v>4159</v>
      </c>
      <c r="B4161" s="37" t="e">
        <f t="shared" si="7855"/>
        <v>#N/A</v>
      </c>
      <c r="C4161" s="38" t="e">
        <f t="shared" si="7856"/>
        <v>#N/A</v>
      </c>
      <c r="D4161" s="39" t="e">
        <f t="shared" si="7857"/>
        <v>#N/A</v>
      </c>
      <c r="E4161" s="16" t="e">
        <f t="shared" si="1"/>
        <v>#N/A</v>
      </c>
      <c r="F4161" s="16" t="e">
        <f t="shared" si="7858"/>
        <v>#N/A</v>
      </c>
      <c r="G4161" s="39" t="e">
        <f t="shared" si="7859"/>
        <v>#N/A</v>
      </c>
      <c r="H4161" s="16" t="e">
        <f t="shared" si="7860"/>
        <v>#N/A</v>
      </c>
      <c r="I4161" s="16" t="e">
        <f t="shared" si="7861"/>
        <v>#N/A</v>
      </c>
      <c r="J4161" s="40" t="e">
        <f t="shared" si="7862"/>
        <v>#N/A</v>
      </c>
      <c r="K4161" s="16" t="e">
        <f t="shared" si="7863"/>
        <v>#N/A</v>
      </c>
      <c r="L4161" s="40" t="e">
        <f t="shared" si="7864"/>
        <v>#N/A</v>
      </c>
      <c r="M4161" s="16" t="e">
        <f t="shared" si="7865"/>
        <v>#N/A</v>
      </c>
      <c r="N4161" s="16" t="e">
        <f t="shared" si="7866"/>
        <v>#N/A</v>
      </c>
      <c r="O4161" s="16" t="s">
        <v>77</v>
      </c>
      <c r="P4161" s="16" t="str">
        <f t="shared" si="6"/>
        <v/>
      </c>
      <c r="Q4161" s="41" t="e">
        <f t="shared" si="7867"/>
        <v>#N/A</v>
      </c>
      <c r="R4161" s="44"/>
      <c r="S4161" s="44"/>
      <c r="T4161" s="43"/>
      <c r="U4161" s="43" t="str">
        <f t="shared" si="8"/>
        <v>No</v>
      </c>
      <c r="V4161" s="25"/>
      <c r="W4161" s="25"/>
      <c r="X4161" s="25"/>
      <c r="Y4161" s="25"/>
      <c r="Z4161" s="25"/>
    </row>
    <row r="4162" spans="1:26" ht="15.75" customHeight="1" x14ac:dyDescent="0.25">
      <c r="A4162" s="25">
        <v>4160</v>
      </c>
      <c r="B4162" s="37" t="e">
        <f t="shared" si="7855"/>
        <v>#N/A</v>
      </c>
      <c r="C4162" s="38" t="e">
        <f t="shared" si="7856"/>
        <v>#N/A</v>
      </c>
      <c r="D4162" s="39" t="e">
        <f t="shared" si="7857"/>
        <v>#N/A</v>
      </c>
      <c r="E4162" s="16" t="e">
        <f t="shared" si="1"/>
        <v>#N/A</v>
      </c>
      <c r="F4162" s="16" t="e">
        <f t="shared" si="7858"/>
        <v>#N/A</v>
      </c>
      <c r="G4162" s="39" t="e">
        <f t="shared" si="7859"/>
        <v>#N/A</v>
      </c>
      <c r="H4162" s="16" t="e">
        <f t="shared" si="7860"/>
        <v>#N/A</v>
      </c>
      <c r="I4162" s="16" t="e">
        <f t="shared" si="7861"/>
        <v>#N/A</v>
      </c>
      <c r="J4162" s="40" t="e">
        <f t="shared" si="7862"/>
        <v>#N/A</v>
      </c>
      <c r="K4162" s="16" t="e">
        <f t="shared" si="7863"/>
        <v>#N/A</v>
      </c>
      <c r="L4162" s="40" t="e">
        <f t="shared" si="7864"/>
        <v>#N/A</v>
      </c>
      <c r="M4162" s="16" t="e">
        <f t="shared" si="7865"/>
        <v>#N/A</v>
      </c>
      <c r="N4162" s="16" t="e">
        <f t="shared" si="7866"/>
        <v>#N/A</v>
      </c>
      <c r="O4162" s="16" t="s">
        <v>77</v>
      </c>
      <c r="P4162" s="16" t="str">
        <f t="shared" si="6"/>
        <v/>
      </c>
      <c r="Q4162" s="41" t="e">
        <f t="shared" si="7867"/>
        <v>#N/A</v>
      </c>
      <c r="R4162" s="44"/>
      <c r="S4162" s="44"/>
      <c r="T4162" s="43"/>
      <c r="U4162" s="43" t="str">
        <f t="shared" si="8"/>
        <v>No</v>
      </c>
      <c r="V4162" s="25"/>
      <c r="W4162" s="25"/>
      <c r="X4162" s="25"/>
      <c r="Y4162" s="25"/>
      <c r="Z4162" s="25"/>
    </row>
    <row r="4163" spans="1:26" ht="15.75" customHeight="1" x14ac:dyDescent="0.25">
      <c r="A4163" s="25">
        <v>4161</v>
      </c>
      <c r="B4163" s="37" t="e">
        <f t="shared" si="7855"/>
        <v>#N/A</v>
      </c>
      <c r="C4163" s="38" t="e">
        <f t="shared" si="7856"/>
        <v>#N/A</v>
      </c>
      <c r="D4163" s="39" t="e">
        <f t="shared" si="7857"/>
        <v>#N/A</v>
      </c>
      <c r="E4163" s="16" t="e">
        <f t="shared" si="1"/>
        <v>#N/A</v>
      </c>
      <c r="F4163" s="16" t="e">
        <f t="shared" si="7858"/>
        <v>#N/A</v>
      </c>
      <c r="G4163" s="39" t="e">
        <f t="shared" si="7859"/>
        <v>#N/A</v>
      </c>
      <c r="H4163" s="16" t="e">
        <f t="shared" si="7860"/>
        <v>#N/A</v>
      </c>
      <c r="I4163" s="16" t="e">
        <f t="shared" si="7861"/>
        <v>#N/A</v>
      </c>
      <c r="J4163" s="40" t="e">
        <f t="shared" si="7862"/>
        <v>#N/A</v>
      </c>
      <c r="K4163" s="16" t="e">
        <f t="shared" si="7863"/>
        <v>#N/A</v>
      </c>
      <c r="L4163" s="40" t="e">
        <f t="shared" si="7864"/>
        <v>#N/A</v>
      </c>
      <c r="M4163" s="16" t="e">
        <f t="shared" si="7865"/>
        <v>#N/A</v>
      </c>
      <c r="N4163" s="16" t="e">
        <f t="shared" si="7866"/>
        <v>#N/A</v>
      </c>
      <c r="O4163" s="16" t="s">
        <v>77</v>
      </c>
      <c r="P4163" s="16" t="str">
        <f t="shared" si="6"/>
        <v/>
      </c>
      <c r="Q4163" s="41" t="e">
        <f t="shared" si="7867"/>
        <v>#N/A</v>
      </c>
      <c r="R4163" s="44"/>
      <c r="S4163" s="44"/>
      <c r="T4163" s="43"/>
      <c r="U4163" s="43" t="str">
        <f t="shared" si="8"/>
        <v>No</v>
      </c>
      <c r="V4163" s="25"/>
      <c r="W4163" s="25"/>
      <c r="X4163" s="25"/>
      <c r="Y4163" s="25"/>
      <c r="Z4163" s="25"/>
    </row>
    <row r="4164" spans="1:26" ht="15.75" customHeight="1" x14ac:dyDescent="0.25">
      <c r="A4164" s="25">
        <v>4162</v>
      </c>
      <c r="B4164" s="37" t="e">
        <f t="shared" si="7855"/>
        <v>#N/A</v>
      </c>
      <c r="C4164" s="38" t="e">
        <f t="shared" si="7856"/>
        <v>#N/A</v>
      </c>
      <c r="D4164" s="39" t="e">
        <f t="shared" si="7857"/>
        <v>#N/A</v>
      </c>
      <c r="E4164" s="16" t="e">
        <f t="shared" si="1"/>
        <v>#N/A</v>
      </c>
      <c r="F4164" s="16" t="e">
        <f t="shared" si="7858"/>
        <v>#N/A</v>
      </c>
      <c r="G4164" s="39" t="e">
        <f t="shared" si="7859"/>
        <v>#N/A</v>
      </c>
      <c r="H4164" s="16" t="e">
        <f t="shared" si="7860"/>
        <v>#N/A</v>
      </c>
      <c r="I4164" s="16" t="e">
        <f t="shared" si="7861"/>
        <v>#N/A</v>
      </c>
      <c r="J4164" s="40" t="e">
        <f t="shared" si="7862"/>
        <v>#N/A</v>
      </c>
      <c r="K4164" s="16" t="e">
        <f t="shared" si="7863"/>
        <v>#N/A</v>
      </c>
      <c r="L4164" s="40" t="e">
        <f t="shared" si="7864"/>
        <v>#N/A</v>
      </c>
      <c r="M4164" s="16" t="e">
        <f t="shared" si="7865"/>
        <v>#N/A</v>
      </c>
      <c r="N4164" s="16" t="e">
        <f t="shared" si="7866"/>
        <v>#N/A</v>
      </c>
      <c r="O4164" s="16" t="s">
        <v>77</v>
      </c>
      <c r="P4164" s="16" t="str">
        <f t="shared" si="6"/>
        <v/>
      </c>
      <c r="Q4164" s="41" t="e">
        <f t="shared" si="7867"/>
        <v>#N/A</v>
      </c>
      <c r="R4164" s="44"/>
      <c r="S4164" s="44"/>
      <c r="T4164" s="43"/>
      <c r="U4164" s="43" t="str">
        <f t="shared" si="8"/>
        <v>No</v>
      </c>
      <c r="V4164" s="25"/>
      <c r="W4164" s="25"/>
      <c r="X4164" s="25"/>
      <c r="Y4164" s="25"/>
      <c r="Z4164" s="25"/>
    </row>
    <row r="4165" spans="1:26" ht="15.75" customHeight="1" x14ac:dyDescent="0.25">
      <c r="A4165" s="25">
        <v>4163</v>
      </c>
      <c r="B4165" s="37" t="e">
        <f t="shared" si="7855"/>
        <v>#N/A</v>
      </c>
      <c r="C4165" s="38" t="e">
        <f t="shared" si="7856"/>
        <v>#N/A</v>
      </c>
      <c r="D4165" s="39" t="e">
        <f t="shared" si="7857"/>
        <v>#N/A</v>
      </c>
      <c r="E4165" s="16" t="e">
        <f t="shared" si="1"/>
        <v>#N/A</v>
      </c>
      <c r="F4165" s="16" t="e">
        <f t="shared" si="7858"/>
        <v>#N/A</v>
      </c>
      <c r="G4165" s="39" t="e">
        <f t="shared" si="7859"/>
        <v>#N/A</v>
      </c>
      <c r="H4165" s="16" t="e">
        <f t="shared" si="7860"/>
        <v>#N/A</v>
      </c>
      <c r="I4165" s="16" t="e">
        <f t="shared" si="7861"/>
        <v>#N/A</v>
      </c>
      <c r="J4165" s="40" t="e">
        <f t="shared" si="7862"/>
        <v>#N/A</v>
      </c>
      <c r="K4165" s="16" t="e">
        <f t="shared" si="7863"/>
        <v>#N/A</v>
      </c>
      <c r="L4165" s="40" t="e">
        <f t="shared" si="7864"/>
        <v>#N/A</v>
      </c>
      <c r="M4165" s="16" t="e">
        <f t="shared" si="7865"/>
        <v>#N/A</v>
      </c>
      <c r="N4165" s="16" t="e">
        <f t="shared" si="7866"/>
        <v>#N/A</v>
      </c>
      <c r="O4165" s="16" t="s">
        <v>77</v>
      </c>
      <c r="P4165" s="16" t="str">
        <f t="shared" si="6"/>
        <v/>
      </c>
      <c r="Q4165" s="41" t="e">
        <f t="shared" si="7867"/>
        <v>#N/A</v>
      </c>
      <c r="R4165" s="44"/>
      <c r="S4165" s="44"/>
      <c r="T4165" s="43"/>
      <c r="U4165" s="43" t="str">
        <f t="shared" si="8"/>
        <v>No</v>
      </c>
      <c r="V4165" s="25"/>
      <c r="W4165" s="25"/>
      <c r="X4165" s="25"/>
      <c r="Y4165" s="25"/>
      <c r="Z4165" s="25"/>
    </row>
    <row r="4166" spans="1:26" ht="15.75" customHeight="1" x14ac:dyDescent="0.25">
      <c r="A4166" s="25">
        <v>4164</v>
      </c>
      <c r="B4166" s="37" t="e">
        <f t="shared" si="7855"/>
        <v>#N/A</v>
      </c>
      <c r="C4166" s="38" t="e">
        <f t="shared" si="7856"/>
        <v>#N/A</v>
      </c>
      <c r="D4166" s="39" t="e">
        <f t="shared" si="7857"/>
        <v>#N/A</v>
      </c>
      <c r="E4166" s="16" t="e">
        <f t="shared" si="1"/>
        <v>#N/A</v>
      </c>
      <c r="F4166" s="16" t="e">
        <f t="shared" si="7858"/>
        <v>#N/A</v>
      </c>
      <c r="G4166" s="39" t="e">
        <f t="shared" si="7859"/>
        <v>#N/A</v>
      </c>
      <c r="H4166" s="16" t="e">
        <f t="shared" si="7860"/>
        <v>#N/A</v>
      </c>
      <c r="I4166" s="16" t="e">
        <f t="shared" si="7861"/>
        <v>#N/A</v>
      </c>
      <c r="J4166" s="40" t="e">
        <f t="shared" si="7862"/>
        <v>#N/A</v>
      </c>
      <c r="K4166" s="16" t="e">
        <f t="shared" si="7863"/>
        <v>#N/A</v>
      </c>
      <c r="L4166" s="40" t="e">
        <f t="shared" si="7864"/>
        <v>#N/A</v>
      </c>
      <c r="M4166" s="16" t="e">
        <f t="shared" si="7865"/>
        <v>#N/A</v>
      </c>
      <c r="N4166" s="16" t="e">
        <f t="shared" si="7866"/>
        <v>#N/A</v>
      </c>
      <c r="O4166" s="16" t="s">
        <v>77</v>
      </c>
      <c r="P4166" s="16" t="str">
        <f t="shared" si="6"/>
        <v/>
      </c>
      <c r="Q4166" s="41" t="e">
        <f t="shared" si="7867"/>
        <v>#N/A</v>
      </c>
      <c r="R4166" s="44"/>
      <c r="S4166" s="44"/>
      <c r="T4166" s="43"/>
      <c r="U4166" s="43" t="str">
        <f t="shared" si="8"/>
        <v>No</v>
      </c>
      <c r="V4166" s="25"/>
      <c r="W4166" s="25"/>
      <c r="X4166" s="25"/>
      <c r="Y4166" s="25"/>
      <c r="Z4166" s="25"/>
    </row>
    <row r="4167" spans="1:26" ht="15.75" customHeight="1" x14ac:dyDescent="0.25">
      <c r="A4167" s="25">
        <v>4165</v>
      </c>
      <c r="B4167" s="37" t="e">
        <f t="shared" si="7855"/>
        <v>#N/A</v>
      </c>
      <c r="C4167" s="38" t="e">
        <f t="shared" si="7856"/>
        <v>#N/A</v>
      </c>
      <c r="D4167" s="39" t="e">
        <f t="shared" si="7857"/>
        <v>#N/A</v>
      </c>
      <c r="E4167" s="16" t="e">
        <f t="shared" si="1"/>
        <v>#N/A</v>
      </c>
      <c r="F4167" s="16" t="e">
        <f t="shared" si="7858"/>
        <v>#N/A</v>
      </c>
      <c r="G4167" s="39" t="e">
        <f t="shared" si="7859"/>
        <v>#N/A</v>
      </c>
      <c r="H4167" s="16" t="e">
        <f t="shared" si="7860"/>
        <v>#N/A</v>
      </c>
      <c r="I4167" s="16" t="e">
        <f t="shared" si="7861"/>
        <v>#N/A</v>
      </c>
      <c r="J4167" s="40" t="e">
        <f t="shared" si="7862"/>
        <v>#N/A</v>
      </c>
      <c r="K4167" s="16" t="e">
        <f t="shared" si="7863"/>
        <v>#N/A</v>
      </c>
      <c r="L4167" s="40" t="e">
        <f t="shared" si="7864"/>
        <v>#N/A</v>
      </c>
      <c r="M4167" s="16" t="e">
        <f t="shared" si="7865"/>
        <v>#N/A</v>
      </c>
      <c r="N4167" s="16" t="e">
        <f t="shared" si="7866"/>
        <v>#N/A</v>
      </c>
      <c r="O4167" s="16" t="s">
        <v>77</v>
      </c>
      <c r="P4167" s="16" t="str">
        <f t="shared" si="6"/>
        <v/>
      </c>
      <c r="Q4167" s="41" t="e">
        <f t="shared" si="7867"/>
        <v>#N/A</v>
      </c>
      <c r="R4167" s="44"/>
      <c r="S4167" s="44"/>
      <c r="T4167" s="43"/>
      <c r="U4167" s="43" t="str">
        <f t="shared" si="8"/>
        <v>No</v>
      </c>
      <c r="V4167" s="25"/>
      <c r="W4167" s="25"/>
      <c r="X4167" s="25"/>
      <c r="Y4167" s="25"/>
      <c r="Z4167" s="25"/>
    </row>
    <row r="4168" spans="1:26" ht="15.75" customHeight="1" x14ac:dyDescent="0.25">
      <c r="A4168" s="25">
        <v>4166</v>
      </c>
      <c r="B4168" s="37" t="e">
        <f t="shared" si="7855"/>
        <v>#N/A</v>
      </c>
      <c r="C4168" s="38" t="e">
        <f t="shared" si="7856"/>
        <v>#N/A</v>
      </c>
      <c r="D4168" s="39" t="e">
        <f t="shared" si="7857"/>
        <v>#N/A</v>
      </c>
      <c r="E4168" s="16" t="e">
        <f t="shared" si="1"/>
        <v>#N/A</v>
      </c>
      <c r="F4168" s="16" t="e">
        <f t="shared" si="7858"/>
        <v>#N/A</v>
      </c>
      <c r="G4168" s="39" t="e">
        <f t="shared" si="7859"/>
        <v>#N/A</v>
      </c>
      <c r="H4168" s="16" t="e">
        <f t="shared" si="7860"/>
        <v>#N/A</v>
      </c>
      <c r="I4168" s="16" t="e">
        <f t="shared" si="7861"/>
        <v>#N/A</v>
      </c>
      <c r="J4168" s="40" t="e">
        <f t="shared" si="7862"/>
        <v>#N/A</v>
      </c>
      <c r="K4168" s="16" t="e">
        <f t="shared" si="7863"/>
        <v>#N/A</v>
      </c>
      <c r="L4168" s="40" t="e">
        <f t="shared" si="7864"/>
        <v>#N/A</v>
      </c>
      <c r="M4168" s="16" t="e">
        <f t="shared" si="7865"/>
        <v>#N/A</v>
      </c>
      <c r="N4168" s="16" t="e">
        <f t="shared" si="7866"/>
        <v>#N/A</v>
      </c>
      <c r="O4168" s="16" t="s">
        <v>77</v>
      </c>
      <c r="P4168" s="16" t="str">
        <f t="shared" si="6"/>
        <v/>
      </c>
      <c r="Q4168" s="41" t="e">
        <f t="shared" si="7867"/>
        <v>#N/A</v>
      </c>
      <c r="R4168" s="44"/>
      <c r="S4168" s="44"/>
      <c r="T4168" s="43"/>
      <c r="U4168" s="43" t="str">
        <f t="shared" si="8"/>
        <v>No</v>
      </c>
      <c r="V4168" s="25"/>
      <c r="W4168" s="25"/>
      <c r="X4168" s="25"/>
      <c r="Y4168" s="25"/>
      <c r="Z4168" s="25"/>
    </row>
    <row r="4169" spans="1:26" ht="15.75" customHeight="1" x14ac:dyDescent="0.25">
      <c r="A4169" s="25">
        <v>4167</v>
      </c>
      <c r="B4169" s="37" t="e">
        <f t="shared" si="7855"/>
        <v>#N/A</v>
      </c>
      <c r="C4169" s="38" t="e">
        <f t="shared" si="7856"/>
        <v>#N/A</v>
      </c>
      <c r="D4169" s="39" t="e">
        <f t="shared" si="7857"/>
        <v>#N/A</v>
      </c>
      <c r="E4169" s="16" t="e">
        <f t="shared" si="1"/>
        <v>#N/A</v>
      </c>
      <c r="F4169" s="16" t="e">
        <f t="shared" si="7858"/>
        <v>#N/A</v>
      </c>
      <c r="G4169" s="39" t="e">
        <f t="shared" si="7859"/>
        <v>#N/A</v>
      </c>
      <c r="H4169" s="16" t="e">
        <f t="shared" si="7860"/>
        <v>#N/A</v>
      </c>
      <c r="I4169" s="16" t="e">
        <f t="shared" si="7861"/>
        <v>#N/A</v>
      </c>
      <c r="J4169" s="40" t="e">
        <f t="shared" si="7862"/>
        <v>#N/A</v>
      </c>
      <c r="K4169" s="16" t="e">
        <f t="shared" si="7863"/>
        <v>#N/A</v>
      </c>
      <c r="L4169" s="40" t="e">
        <f t="shared" si="7864"/>
        <v>#N/A</v>
      </c>
      <c r="M4169" s="16" t="e">
        <f t="shared" si="7865"/>
        <v>#N/A</v>
      </c>
      <c r="N4169" s="16" t="e">
        <f t="shared" si="7866"/>
        <v>#N/A</v>
      </c>
      <c r="O4169" s="16" t="s">
        <v>77</v>
      </c>
      <c r="P4169" s="16" t="str">
        <f t="shared" si="6"/>
        <v/>
      </c>
      <c r="Q4169" s="41" t="e">
        <f t="shared" si="7867"/>
        <v>#N/A</v>
      </c>
      <c r="R4169" s="44"/>
      <c r="S4169" s="44"/>
      <c r="T4169" s="43"/>
      <c r="U4169" s="43" t="str">
        <f t="shared" si="8"/>
        <v>No</v>
      </c>
      <c r="V4169" s="25"/>
      <c r="W4169" s="25"/>
      <c r="X4169" s="25"/>
      <c r="Y4169" s="25"/>
      <c r="Z4169" s="25"/>
    </row>
    <row r="4170" spans="1:26" ht="15.75" customHeight="1" x14ac:dyDescent="0.25">
      <c r="A4170" s="25">
        <v>4168</v>
      </c>
      <c r="B4170" s="37" t="e">
        <f t="shared" si="7855"/>
        <v>#N/A</v>
      </c>
      <c r="C4170" s="38" t="e">
        <f t="shared" si="7856"/>
        <v>#N/A</v>
      </c>
      <c r="D4170" s="39" t="e">
        <f t="shared" si="7857"/>
        <v>#N/A</v>
      </c>
      <c r="E4170" s="16" t="e">
        <f t="shared" si="1"/>
        <v>#N/A</v>
      </c>
      <c r="F4170" s="16" t="e">
        <f t="shared" si="7858"/>
        <v>#N/A</v>
      </c>
      <c r="G4170" s="39" t="e">
        <f t="shared" si="7859"/>
        <v>#N/A</v>
      </c>
      <c r="H4170" s="16" t="e">
        <f t="shared" si="7860"/>
        <v>#N/A</v>
      </c>
      <c r="I4170" s="16" t="e">
        <f t="shared" si="7861"/>
        <v>#N/A</v>
      </c>
      <c r="J4170" s="40" t="e">
        <f t="shared" si="7862"/>
        <v>#N/A</v>
      </c>
      <c r="K4170" s="16" t="e">
        <f t="shared" si="7863"/>
        <v>#N/A</v>
      </c>
      <c r="L4170" s="40" t="e">
        <f t="shared" si="7864"/>
        <v>#N/A</v>
      </c>
      <c r="M4170" s="16" t="e">
        <f t="shared" si="7865"/>
        <v>#N/A</v>
      </c>
      <c r="N4170" s="16" t="e">
        <f t="shared" si="7866"/>
        <v>#N/A</v>
      </c>
      <c r="O4170" s="16" t="s">
        <v>77</v>
      </c>
      <c r="P4170" s="16" t="str">
        <f t="shared" si="6"/>
        <v/>
      </c>
      <c r="Q4170" s="41" t="e">
        <f t="shared" si="7867"/>
        <v>#N/A</v>
      </c>
      <c r="R4170" s="44"/>
      <c r="S4170" s="44"/>
      <c r="T4170" s="43"/>
      <c r="U4170" s="43" t="str">
        <f t="shared" si="8"/>
        <v>No</v>
      </c>
      <c r="V4170" s="25"/>
      <c r="W4170" s="25"/>
      <c r="X4170" s="25"/>
      <c r="Y4170" s="25"/>
      <c r="Z4170" s="25"/>
    </row>
    <row r="4171" spans="1:26" ht="15.75" customHeight="1" x14ac:dyDescent="0.25">
      <c r="A4171" s="25">
        <v>4169</v>
      </c>
      <c r="B4171" s="37" t="e">
        <f t="shared" si="7855"/>
        <v>#N/A</v>
      </c>
      <c r="C4171" s="38" t="e">
        <f t="shared" si="7856"/>
        <v>#N/A</v>
      </c>
      <c r="D4171" s="39" t="e">
        <f t="shared" si="7857"/>
        <v>#N/A</v>
      </c>
      <c r="E4171" s="16" t="e">
        <f t="shared" si="1"/>
        <v>#N/A</v>
      </c>
      <c r="F4171" s="16" t="e">
        <f t="shared" si="7858"/>
        <v>#N/A</v>
      </c>
      <c r="G4171" s="39" t="e">
        <f t="shared" si="7859"/>
        <v>#N/A</v>
      </c>
      <c r="H4171" s="16" t="e">
        <f t="shared" si="7860"/>
        <v>#N/A</v>
      </c>
      <c r="I4171" s="16" t="e">
        <f t="shared" si="7861"/>
        <v>#N/A</v>
      </c>
      <c r="J4171" s="40" t="e">
        <f t="shared" si="7862"/>
        <v>#N/A</v>
      </c>
      <c r="K4171" s="16" t="e">
        <f t="shared" si="7863"/>
        <v>#N/A</v>
      </c>
      <c r="L4171" s="40" t="e">
        <f t="shared" si="7864"/>
        <v>#N/A</v>
      </c>
      <c r="M4171" s="16" t="e">
        <f t="shared" si="7865"/>
        <v>#N/A</v>
      </c>
      <c r="N4171" s="16" t="e">
        <f t="shared" si="7866"/>
        <v>#N/A</v>
      </c>
      <c r="O4171" s="16" t="s">
        <v>77</v>
      </c>
      <c r="P4171" s="16" t="str">
        <f t="shared" si="6"/>
        <v/>
      </c>
      <c r="Q4171" s="41" t="e">
        <f t="shared" si="7867"/>
        <v>#N/A</v>
      </c>
      <c r="R4171" s="44"/>
      <c r="S4171" s="44"/>
      <c r="T4171" s="43"/>
      <c r="U4171" s="43" t="str">
        <f t="shared" si="8"/>
        <v>No</v>
      </c>
      <c r="V4171" s="25"/>
      <c r="W4171" s="25"/>
      <c r="X4171" s="25"/>
      <c r="Y4171" s="25"/>
      <c r="Z4171" s="25"/>
    </row>
    <row r="4172" spans="1:26" ht="15.75" customHeight="1" x14ac:dyDescent="0.25">
      <c r="A4172" s="25">
        <v>4170</v>
      </c>
      <c r="B4172" s="37" t="e">
        <f t="shared" si="7855"/>
        <v>#N/A</v>
      </c>
      <c r="C4172" s="38" t="e">
        <f t="shared" si="7856"/>
        <v>#N/A</v>
      </c>
      <c r="D4172" s="39" t="e">
        <f t="shared" si="7857"/>
        <v>#N/A</v>
      </c>
      <c r="E4172" s="16" t="e">
        <f t="shared" si="1"/>
        <v>#N/A</v>
      </c>
      <c r="F4172" s="16" t="e">
        <f t="shared" si="7858"/>
        <v>#N/A</v>
      </c>
      <c r="G4172" s="39" t="e">
        <f t="shared" si="7859"/>
        <v>#N/A</v>
      </c>
      <c r="H4172" s="16" t="e">
        <f t="shared" si="7860"/>
        <v>#N/A</v>
      </c>
      <c r="I4172" s="16" t="e">
        <f t="shared" si="7861"/>
        <v>#N/A</v>
      </c>
      <c r="J4172" s="40" t="e">
        <f t="shared" si="7862"/>
        <v>#N/A</v>
      </c>
      <c r="K4172" s="16" t="e">
        <f t="shared" si="7863"/>
        <v>#N/A</v>
      </c>
      <c r="L4172" s="40" t="e">
        <f t="shared" si="7864"/>
        <v>#N/A</v>
      </c>
      <c r="M4172" s="16" t="e">
        <f t="shared" si="7865"/>
        <v>#N/A</v>
      </c>
      <c r="N4172" s="16" t="e">
        <f t="shared" si="7866"/>
        <v>#N/A</v>
      </c>
      <c r="O4172" s="16" t="s">
        <v>77</v>
      </c>
      <c r="P4172" s="16" t="str">
        <f t="shared" si="6"/>
        <v/>
      </c>
      <c r="Q4172" s="41" t="e">
        <f t="shared" si="7867"/>
        <v>#N/A</v>
      </c>
      <c r="R4172" s="44"/>
      <c r="S4172" s="44"/>
      <c r="T4172" s="43"/>
      <c r="U4172" s="43" t="str">
        <f t="shared" si="8"/>
        <v>No</v>
      </c>
      <c r="V4172" s="25"/>
      <c r="W4172" s="25"/>
      <c r="X4172" s="25"/>
      <c r="Y4172" s="25"/>
      <c r="Z4172" s="25"/>
    </row>
    <row r="4173" spans="1:26" ht="15.75" customHeight="1" x14ac:dyDescent="0.25">
      <c r="A4173" s="25">
        <v>4171</v>
      </c>
      <c r="B4173" s="37" t="e">
        <f t="shared" si="7855"/>
        <v>#N/A</v>
      </c>
      <c r="C4173" s="38" t="e">
        <f t="shared" si="7856"/>
        <v>#N/A</v>
      </c>
      <c r="D4173" s="39" t="e">
        <f t="shared" si="7857"/>
        <v>#N/A</v>
      </c>
      <c r="E4173" s="16" t="e">
        <f t="shared" si="1"/>
        <v>#N/A</v>
      </c>
      <c r="F4173" s="16" t="e">
        <f t="shared" si="7858"/>
        <v>#N/A</v>
      </c>
      <c r="G4173" s="39" t="e">
        <f t="shared" si="7859"/>
        <v>#N/A</v>
      </c>
      <c r="H4173" s="16" t="e">
        <f t="shared" si="7860"/>
        <v>#N/A</v>
      </c>
      <c r="I4173" s="16" t="e">
        <f t="shared" si="7861"/>
        <v>#N/A</v>
      </c>
      <c r="J4173" s="40" t="e">
        <f t="shared" si="7862"/>
        <v>#N/A</v>
      </c>
      <c r="K4173" s="16" t="e">
        <f t="shared" si="7863"/>
        <v>#N/A</v>
      </c>
      <c r="L4173" s="40" t="e">
        <f t="shared" si="7864"/>
        <v>#N/A</v>
      </c>
      <c r="M4173" s="16" t="e">
        <f t="shared" si="7865"/>
        <v>#N/A</v>
      </c>
      <c r="N4173" s="16" t="e">
        <f t="shared" si="7866"/>
        <v>#N/A</v>
      </c>
      <c r="O4173" s="16" t="s">
        <v>77</v>
      </c>
      <c r="P4173" s="16" t="str">
        <f t="shared" si="6"/>
        <v/>
      </c>
      <c r="Q4173" s="41" t="e">
        <f t="shared" si="7867"/>
        <v>#N/A</v>
      </c>
      <c r="R4173" s="44"/>
      <c r="S4173" s="44"/>
      <c r="T4173" s="43"/>
      <c r="U4173" s="43" t="str">
        <f t="shared" si="8"/>
        <v>No</v>
      </c>
      <c r="V4173" s="25"/>
      <c r="W4173" s="25"/>
      <c r="X4173" s="25"/>
      <c r="Y4173" s="25"/>
      <c r="Z4173" s="25"/>
    </row>
    <row r="4174" spans="1:26" ht="15.75" customHeight="1" x14ac:dyDescent="0.25">
      <c r="A4174" s="25">
        <v>4172</v>
      </c>
      <c r="B4174" s="37" t="e">
        <f t="shared" si="7855"/>
        <v>#N/A</v>
      </c>
      <c r="C4174" s="38" t="e">
        <f t="shared" si="7856"/>
        <v>#N/A</v>
      </c>
      <c r="D4174" s="39" t="e">
        <f t="shared" si="7857"/>
        <v>#N/A</v>
      </c>
      <c r="E4174" s="16" t="e">
        <f t="shared" si="1"/>
        <v>#N/A</v>
      </c>
      <c r="F4174" s="16" t="e">
        <f t="shared" si="7858"/>
        <v>#N/A</v>
      </c>
      <c r="G4174" s="39" t="e">
        <f t="shared" si="7859"/>
        <v>#N/A</v>
      </c>
      <c r="H4174" s="16" t="e">
        <f t="shared" si="7860"/>
        <v>#N/A</v>
      </c>
      <c r="I4174" s="16" t="e">
        <f t="shared" si="7861"/>
        <v>#N/A</v>
      </c>
      <c r="J4174" s="40" t="e">
        <f t="shared" si="7862"/>
        <v>#N/A</v>
      </c>
      <c r="K4174" s="16" t="e">
        <f t="shared" si="7863"/>
        <v>#N/A</v>
      </c>
      <c r="L4174" s="40" t="e">
        <f t="shared" si="7864"/>
        <v>#N/A</v>
      </c>
      <c r="M4174" s="16" t="e">
        <f t="shared" si="7865"/>
        <v>#N/A</v>
      </c>
      <c r="N4174" s="16" t="e">
        <f t="shared" si="7866"/>
        <v>#N/A</v>
      </c>
      <c r="O4174" s="16" t="s">
        <v>77</v>
      </c>
      <c r="P4174" s="16" t="str">
        <f t="shared" si="6"/>
        <v/>
      </c>
      <c r="Q4174" s="41" t="e">
        <f t="shared" si="7867"/>
        <v>#N/A</v>
      </c>
      <c r="R4174" s="44"/>
      <c r="S4174" s="44"/>
      <c r="T4174" s="43"/>
      <c r="U4174" s="43" t="str">
        <f t="shared" si="8"/>
        <v>No</v>
      </c>
      <c r="V4174" s="25"/>
      <c r="W4174" s="25"/>
      <c r="X4174" s="25"/>
      <c r="Y4174" s="25"/>
      <c r="Z4174" s="25"/>
    </row>
    <row r="4175" spans="1:26" ht="15.75" customHeight="1" x14ac:dyDescent="0.25">
      <c r="A4175" s="25">
        <v>4173</v>
      </c>
      <c r="B4175" s="37" t="e">
        <f t="shared" si="7855"/>
        <v>#N/A</v>
      </c>
      <c r="C4175" s="38" t="e">
        <f t="shared" si="7856"/>
        <v>#N/A</v>
      </c>
      <c r="D4175" s="39" t="e">
        <f t="shared" si="7857"/>
        <v>#N/A</v>
      </c>
      <c r="E4175" s="16" t="e">
        <f t="shared" si="1"/>
        <v>#N/A</v>
      </c>
      <c r="F4175" s="16" t="e">
        <f t="shared" si="7858"/>
        <v>#N/A</v>
      </c>
      <c r="G4175" s="39" t="e">
        <f t="shared" si="7859"/>
        <v>#N/A</v>
      </c>
      <c r="H4175" s="16" t="e">
        <f t="shared" si="7860"/>
        <v>#N/A</v>
      </c>
      <c r="I4175" s="16" t="e">
        <f t="shared" si="7861"/>
        <v>#N/A</v>
      </c>
      <c r="J4175" s="40" t="e">
        <f t="shared" si="7862"/>
        <v>#N/A</v>
      </c>
      <c r="K4175" s="16" t="e">
        <f t="shared" si="7863"/>
        <v>#N/A</v>
      </c>
      <c r="L4175" s="40" t="e">
        <f t="shared" si="7864"/>
        <v>#N/A</v>
      </c>
      <c r="M4175" s="16" t="e">
        <f t="shared" si="7865"/>
        <v>#N/A</v>
      </c>
      <c r="N4175" s="16" t="e">
        <f t="shared" si="7866"/>
        <v>#N/A</v>
      </c>
      <c r="O4175" s="16" t="s">
        <v>77</v>
      </c>
      <c r="P4175" s="16" t="str">
        <f t="shared" si="6"/>
        <v/>
      </c>
      <c r="Q4175" s="41" t="e">
        <f t="shared" si="7867"/>
        <v>#N/A</v>
      </c>
      <c r="R4175" s="44"/>
      <c r="S4175" s="44"/>
      <c r="T4175" s="43"/>
      <c r="U4175" s="43" t="str">
        <f t="shared" si="8"/>
        <v>No</v>
      </c>
      <c r="V4175" s="25"/>
      <c r="W4175" s="25"/>
      <c r="X4175" s="25"/>
      <c r="Y4175" s="25"/>
      <c r="Z4175" s="25"/>
    </row>
    <row r="4176" spans="1:26" ht="15.75" customHeight="1" x14ac:dyDescent="0.25">
      <c r="A4176" s="25">
        <v>4174</v>
      </c>
      <c r="B4176" s="37" t="e">
        <f t="shared" si="7855"/>
        <v>#N/A</v>
      </c>
      <c r="C4176" s="38" t="e">
        <f t="shared" si="7856"/>
        <v>#N/A</v>
      </c>
      <c r="D4176" s="39" t="e">
        <f t="shared" si="7857"/>
        <v>#N/A</v>
      </c>
      <c r="E4176" s="16" t="e">
        <f t="shared" si="1"/>
        <v>#N/A</v>
      </c>
      <c r="F4176" s="16" t="e">
        <f t="shared" si="7858"/>
        <v>#N/A</v>
      </c>
      <c r="G4176" s="39" t="e">
        <f t="shared" si="7859"/>
        <v>#N/A</v>
      </c>
      <c r="H4176" s="16" t="e">
        <f t="shared" si="7860"/>
        <v>#N/A</v>
      </c>
      <c r="I4176" s="16" t="e">
        <f t="shared" si="7861"/>
        <v>#N/A</v>
      </c>
      <c r="J4176" s="40" t="e">
        <f t="shared" si="7862"/>
        <v>#N/A</v>
      </c>
      <c r="K4176" s="16" t="e">
        <f t="shared" si="7863"/>
        <v>#N/A</v>
      </c>
      <c r="L4176" s="40" t="e">
        <f t="shared" si="7864"/>
        <v>#N/A</v>
      </c>
      <c r="M4176" s="16" t="e">
        <f t="shared" si="7865"/>
        <v>#N/A</v>
      </c>
      <c r="N4176" s="16" t="e">
        <f t="shared" si="7866"/>
        <v>#N/A</v>
      </c>
      <c r="O4176" s="16" t="s">
        <v>77</v>
      </c>
      <c r="P4176" s="16" t="str">
        <f t="shared" si="6"/>
        <v/>
      </c>
      <c r="Q4176" s="41" t="e">
        <f t="shared" si="7867"/>
        <v>#N/A</v>
      </c>
      <c r="R4176" s="44"/>
      <c r="S4176" s="44"/>
      <c r="T4176" s="43"/>
      <c r="U4176" s="43" t="str">
        <f t="shared" si="8"/>
        <v>No</v>
      </c>
      <c r="V4176" s="25"/>
      <c r="W4176" s="25"/>
      <c r="X4176" s="25"/>
      <c r="Y4176" s="25"/>
      <c r="Z4176" s="25"/>
    </row>
    <row r="4177" spans="1:26" ht="15.75" customHeight="1" x14ac:dyDescent="0.25">
      <c r="A4177" s="25">
        <v>4175</v>
      </c>
      <c r="B4177" s="37" t="e">
        <f t="shared" si="7855"/>
        <v>#N/A</v>
      </c>
      <c r="C4177" s="38" t="e">
        <f t="shared" si="7856"/>
        <v>#N/A</v>
      </c>
      <c r="D4177" s="39" t="e">
        <f t="shared" si="7857"/>
        <v>#N/A</v>
      </c>
      <c r="E4177" s="16" t="e">
        <f t="shared" si="1"/>
        <v>#N/A</v>
      </c>
      <c r="F4177" s="16" t="e">
        <f t="shared" si="7858"/>
        <v>#N/A</v>
      </c>
      <c r="G4177" s="39" t="e">
        <f t="shared" si="7859"/>
        <v>#N/A</v>
      </c>
      <c r="H4177" s="16" t="e">
        <f t="shared" si="7860"/>
        <v>#N/A</v>
      </c>
      <c r="I4177" s="16" t="e">
        <f t="shared" si="7861"/>
        <v>#N/A</v>
      </c>
      <c r="J4177" s="40" t="e">
        <f t="shared" si="7862"/>
        <v>#N/A</v>
      </c>
      <c r="K4177" s="16" t="e">
        <f t="shared" si="7863"/>
        <v>#N/A</v>
      </c>
      <c r="L4177" s="40" t="e">
        <f t="shared" si="7864"/>
        <v>#N/A</v>
      </c>
      <c r="M4177" s="16" t="e">
        <f t="shared" si="7865"/>
        <v>#N/A</v>
      </c>
      <c r="N4177" s="16" t="e">
        <f t="shared" si="7866"/>
        <v>#N/A</v>
      </c>
      <c r="O4177" s="16" t="s">
        <v>77</v>
      </c>
      <c r="P4177" s="16" t="str">
        <f t="shared" si="6"/>
        <v/>
      </c>
      <c r="Q4177" s="41" t="e">
        <f t="shared" si="7867"/>
        <v>#N/A</v>
      </c>
      <c r="R4177" s="44"/>
      <c r="S4177" s="44"/>
      <c r="T4177" s="43"/>
      <c r="U4177" s="43" t="str">
        <f t="shared" si="8"/>
        <v>No</v>
      </c>
      <c r="V4177" s="25"/>
      <c r="W4177" s="25"/>
      <c r="X4177" s="25"/>
      <c r="Y4177" s="25"/>
      <c r="Z4177" s="25"/>
    </row>
    <row r="4178" spans="1:26" ht="15.75" customHeight="1" x14ac:dyDescent="0.25">
      <c r="A4178" s="25">
        <v>4176</v>
      </c>
      <c r="B4178" s="37" t="e">
        <f t="shared" si="7855"/>
        <v>#N/A</v>
      </c>
      <c r="C4178" s="38" t="e">
        <f t="shared" si="7856"/>
        <v>#N/A</v>
      </c>
      <c r="D4178" s="39" t="e">
        <f t="shared" si="7857"/>
        <v>#N/A</v>
      </c>
      <c r="E4178" s="16" t="e">
        <f t="shared" si="1"/>
        <v>#N/A</v>
      </c>
      <c r="F4178" s="16" t="e">
        <f t="shared" si="7858"/>
        <v>#N/A</v>
      </c>
      <c r="G4178" s="39" t="e">
        <f t="shared" si="7859"/>
        <v>#N/A</v>
      </c>
      <c r="H4178" s="16" t="e">
        <f t="shared" si="7860"/>
        <v>#N/A</v>
      </c>
      <c r="I4178" s="16" t="e">
        <f t="shared" si="7861"/>
        <v>#N/A</v>
      </c>
      <c r="J4178" s="40" t="e">
        <f t="shared" si="7862"/>
        <v>#N/A</v>
      </c>
      <c r="K4178" s="16" t="e">
        <f t="shared" si="7863"/>
        <v>#N/A</v>
      </c>
      <c r="L4178" s="40" t="e">
        <f t="shared" si="7864"/>
        <v>#N/A</v>
      </c>
      <c r="M4178" s="16" t="e">
        <f t="shared" si="7865"/>
        <v>#N/A</v>
      </c>
      <c r="N4178" s="16" t="e">
        <f t="shared" si="7866"/>
        <v>#N/A</v>
      </c>
      <c r="O4178" s="16" t="s">
        <v>77</v>
      </c>
      <c r="P4178" s="16" t="str">
        <f t="shared" si="6"/>
        <v/>
      </c>
      <c r="Q4178" s="41" t="e">
        <f t="shared" si="7867"/>
        <v>#N/A</v>
      </c>
      <c r="R4178" s="44"/>
      <c r="S4178" s="44"/>
      <c r="T4178" s="43"/>
      <c r="U4178" s="43" t="str">
        <f t="shared" si="8"/>
        <v>No</v>
      </c>
      <c r="V4178" s="25"/>
      <c r="W4178" s="25"/>
      <c r="X4178" s="25"/>
      <c r="Y4178" s="25"/>
      <c r="Z4178" s="25"/>
    </row>
    <row r="4179" spans="1:26" ht="15.75" customHeight="1" x14ac:dyDescent="0.25">
      <c r="A4179" s="25">
        <v>4177</v>
      </c>
      <c r="B4179" s="37" t="e">
        <f t="shared" si="7855"/>
        <v>#N/A</v>
      </c>
      <c r="C4179" s="38" t="e">
        <f t="shared" si="7856"/>
        <v>#N/A</v>
      </c>
      <c r="D4179" s="39" t="e">
        <f t="shared" si="7857"/>
        <v>#N/A</v>
      </c>
      <c r="E4179" s="16" t="e">
        <f t="shared" si="1"/>
        <v>#N/A</v>
      </c>
      <c r="F4179" s="16" t="e">
        <f t="shared" si="7858"/>
        <v>#N/A</v>
      </c>
      <c r="G4179" s="39" t="e">
        <f t="shared" si="7859"/>
        <v>#N/A</v>
      </c>
      <c r="H4179" s="16" t="e">
        <f t="shared" si="7860"/>
        <v>#N/A</v>
      </c>
      <c r="I4179" s="16" t="e">
        <f t="shared" si="7861"/>
        <v>#N/A</v>
      </c>
      <c r="J4179" s="40" t="e">
        <f t="shared" si="7862"/>
        <v>#N/A</v>
      </c>
      <c r="K4179" s="16" t="e">
        <f t="shared" si="7863"/>
        <v>#N/A</v>
      </c>
      <c r="L4179" s="40" t="e">
        <f t="shared" si="7864"/>
        <v>#N/A</v>
      </c>
      <c r="M4179" s="16" t="e">
        <f t="shared" si="7865"/>
        <v>#N/A</v>
      </c>
      <c r="N4179" s="16" t="e">
        <f t="shared" si="7866"/>
        <v>#N/A</v>
      </c>
      <c r="O4179" s="16" t="s">
        <v>77</v>
      </c>
      <c r="P4179" s="16" t="str">
        <f t="shared" si="6"/>
        <v/>
      </c>
      <c r="Q4179" s="41" t="e">
        <f t="shared" si="7867"/>
        <v>#N/A</v>
      </c>
      <c r="R4179" s="44"/>
      <c r="S4179" s="44"/>
      <c r="T4179" s="43"/>
      <c r="U4179" s="43" t="str">
        <f t="shared" si="8"/>
        <v>No</v>
      </c>
      <c r="V4179" s="25"/>
      <c r="W4179" s="25"/>
      <c r="X4179" s="25"/>
      <c r="Y4179" s="25"/>
      <c r="Z4179" s="25"/>
    </row>
    <row r="4180" spans="1:26" ht="15.75" customHeight="1" x14ac:dyDescent="0.25">
      <c r="A4180" s="25">
        <v>4178</v>
      </c>
      <c r="B4180" s="37" t="e">
        <f t="shared" si="7855"/>
        <v>#N/A</v>
      </c>
      <c r="C4180" s="38" t="e">
        <f t="shared" si="7856"/>
        <v>#N/A</v>
      </c>
      <c r="D4180" s="39" t="e">
        <f t="shared" si="7857"/>
        <v>#N/A</v>
      </c>
      <c r="E4180" s="16" t="e">
        <f t="shared" si="1"/>
        <v>#N/A</v>
      </c>
      <c r="F4180" s="16" t="e">
        <f t="shared" si="7858"/>
        <v>#N/A</v>
      </c>
      <c r="G4180" s="39" t="e">
        <f t="shared" si="7859"/>
        <v>#N/A</v>
      </c>
      <c r="H4180" s="16" t="e">
        <f t="shared" si="7860"/>
        <v>#N/A</v>
      </c>
      <c r="I4180" s="16" t="e">
        <f t="shared" si="7861"/>
        <v>#N/A</v>
      </c>
      <c r="J4180" s="40" t="e">
        <f t="shared" si="7862"/>
        <v>#N/A</v>
      </c>
      <c r="K4180" s="16" t="e">
        <f t="shared" si="7863"/>
        <v>#N/A</v>
      </c>
      <c r="L4180" s="40" t="e">
        <f t="shared" si="7864"/>
        <v>#N/A</v>
      </c>
      <c r="M4180" s="16" t="e">
        <f t="shared" si="7865"/>
        <v>#N/A</v>
      </c>
      <c r="N4180" s="16" t="e">
        <f t="shared" si="7866"/>
        <v>#N/A</v>
      </c>
      <c r="O4180" s="16" t="s">
        <v>77</v>
      </c>
      <c r="P4180" s="16" t="str">
        <f t="shared" si="6"/>
        <v/>
      </c>
      <c r="Q4180" s="41" t="e">
        <f t="shared" si="7867"/>
        <v>#N/A</v>
      </c>
      <c r="R4180" s="44"/>
      <c r="S4180" s="44"/>
      <c r="T4180" s="43"/>
      <c r="U4180" s="43" t="str">
        <f t="shared" si="8"/>
        <v>No</v>
      </c>
      <c r="V4180" s="25"/>
      <c r="W4180" s="25"/>
      <c r="X4180" s="25"/>
      <c r="Y4180" s="25"/>
      <c r="Z4180" s="25"/>
    </row>
    <row r="4181" spans="1:26" ht="15.75" customHeight="1" x14ac:dyDescent="0.25">
      <c r="A4181" s="25">
        <v>4179</v>
      </c>
      <c r="B4181" s="37" t="e">
        <f t="shared" si="7855"/>
        <v>#N/A</v>
      </c>
      <c r="C4181" s="38" t="e">
        <f t="shared" si="7856"/>
        <v>#N/A</v>
      </c>
      <c r="D4181" s="39" t="e">
        <f t="shared" si="7857"/>
        <v>#N/A</v>
      </c>
      <c r="E4181" s="16" t="e">
        <f t="shared" si="1"/>
        <v>#N/A</v>
      </c>
      <c r="F4181" s="16" t="e">
        <f t="shared" si="7858"/>
        <v>#N/A</v>
      </c>
      <c r="G4181" s="39" t="e">
        <f t="shared" si="7859"/>
        <v>#N/A</v>
      </c>
      <c r="H4181" s="16" t="e">
        <f t="shared" si="7860"/>
        <v>#N/A</v>
      </c>
      <c r="I4181" s="16" t="e">
        <f t="shared" si="7861"/>
        <v>#N/A</v>
      </c>
      <c r="J4181" s="40" t="e">
        <f t="shared" si="7862"/>
        <v>#N/A</v>
      </c>
      <c r="K4181" s="16" t="e">
        <f t="shared" si="7863"/>
        <v>#N/A</v>
      </c>
      <c r="L4181" s="40" t="e">
        <f t="shared" si="7864"/>
        <v>#N/A</v>
      </c>
      <c r="M4181" s="16" t="e">
        <f t="shared" si="7865"/>
        <v>#N/A</v>
      </c>
      <c r="N4181" s="16" t="e">
        <f t="shared" si="7866"/>
        <v>#N/A</v>
      </c>
      <c r="O4181" s="16" t="s">
        <v>77</v>
      </c>
      <c r="P4181" s="16" t="str">
        <f t="shared" si="6"/>
        <v/>
      </c>
      <c r="Q4181" s="41" t="e">
        <f t="shared" si="7867"/>
        <v>#N/A</v>
      </c>
      <c r="R4181" s="44"/>
      <c r="S4181" s="44"/>
      <c r="T4181" s="43"/>
      <c r="U4181" s="43" t="str">
        <f t="shared" si="8"/>
        <v>No</v>
      </c>
      <c r="V4181" s="25"/>
      <c r="W4181" s="25"/>
      <c r="X4181" s="25"/>
      <c r="Y4181" s="25"/>
      <c r="Z4181" s="25"/>
    </row>
    <row r="4182" spans="1:26" ht="15.75" customHeight="1" x14ac:dyDescent="0.25">
      <c r="A4182" s="25">
        <v>4180</v>
      </c>
      <c r="B4182" s="37" t="e">
        <f t="shared" si="7855"/>
        <v>#N/A</v>
      </c>
      <c r="C4182" s="38" t="e">
        <f t="shared" si="7856"/>
        <v>#N/A</v>
      </c>
      <c r="D4182" s="39" t="e">
        <f t="shared" si="7857"/>
        <v>#N/A</v>
      </c>
      <c r="E4182" s="16" t="e">
        <f t="shared" si="1"/>
        <v>#N/A</v>
      </c>
      <c r="F4182" s="16" t="e">
        <f t="shared" si="7858"/>
        <v>#N/A</v>
      </c>
      <c r="G4182" s="39" t="e">
        <f t="shared" si="7859"/>
        <v>#N/A</v>
      </c>
      <c r="H4182" s="16" t="e">
        <f t="shared" si="7860"/>
        <v>#N/A</v>
      </c>
      <c r="I4182" s="16" t="e">
        <f t="shared" si="7861"/>
        <v>#N/A</v>
      </c>
      <c r="J4182" s="40" t="e">
        <f t="shared" si="7862"/>
        <v>#N/A</v>
      </c>
      <c r="K4182" s="16" t="e">
        <f t="shared" si="7863"/>
        <v>#N/A</v>
      </c>
      <c r="L4182" s="40" t="e">
        <f t="shared" si="7864"/>
        <v>#N/A</v>
      </c>
      <c r="M4182" s="16" t="e">
        <f t="shared" si="7865"/>
        <v>#N/A</v>
      </c>
      <c r="N4182" s="16" t="e">
        <f t="shared" si="7866"/>
        <v>#N/A</v>
      </c>
      <c r="O4182" s="16" t="s">
        <v>77</v>
      </c>
      <c r="P4182" s="16" t="str">
        <f t="shared" si="6"/>
        <v/>
      </c>
      <c r="Q4182" s="41" t="e">
        <f t="shared" si="7867"/>
        <v>#N/A</v>
      </c>
      <c r="R4182" s="44"/>
      <c r="S4182" s="44"/>
      <c r="T4182" s="43"/>
      <c r="U4182" s="43" t="str">
        <f t="shared" si="8"/>
        <v>No</v>
      </c>
      <c r="V4182" s="25"/>
      <c r="W4182" s="25"/>
      <c r="X4182" s="25"/>
      <c r="Y4182" s="25"/>
      <c r="Z4182" s="25"/>
    </row>
    <row r="4183" spans="1:26" ht="15.75" customHeight="1" x14ac:dyDescent="0.25">
      <c r="A4183" s="25">
        <v>4181</v>
      </c>
      <c r="B4183" s="37" t="e">
        <f t="shared" si="7855"/>
        <v>#N/A</v>
      </c>
      <c r="C4183" s="38" t="e">
        <f t="shared" si="7856"/>
        <v>#N/A</v>
      </c>
      <c r="D4183" s="39" t="e">
        <f t="shared" si="7857"/>
        <v>#N/A</v>
      </c>
      <c r="E4183" s="16" t="e">
        <f t="shared" si="1"/>
        <v>#N/A</v>
      </c>
      <c r="F4183" s="16" t="e">
        <f t="shared" si="7858"/>
        <v>#N/A</v>
      </c>
      <c r="G4183" s="39" t="e">
        <f t="shared" si="7859"/>
        <v>#N/A</v>
      </c>
      <c r="H4183" s="16" t="e">
        <f t="shared" si="7860"/>
        <v>#N/A</v>
      </c>
      <c r="I4183" s="16" t="e">
        <f t="shared" si="7861"/>
        <v>#N/A</v>
      </c>
      <c r="J4183" s="40" t="e">
        <f t="shared" si="7862"/>
        <v>#N/A</v>
      </c>
      <c r="K4183" s="16" t="e">
        <f t="shared" si="7863"/>
        <v>#N/A</v>
      </c>
      <c r="L4183" s="40" t="e">
        <f t="shared" si="7864"/>
        <v>#N/A</v>
      </c>
      <c r="M4183" s="16" t="e">
        <f t="shared" si="7865"/>
        <v>#N/A</v>
      </c>
      <c r="N4183" s="16" t="e">
        <f t="shared" si="7866"/>
        <v>#N/A</v>
      </c>
      <c r="O4183" s="16" t="s">
        <v>77</v>
      </c>
      <c r="P4183" s="16" t="str">
        <f t="shared" si="6"/>
        <v/>
      </c>
      <c r="Q4183" s="41" t="e">
        <f t="shared" si="7867"/>
        <v>#N/A</v>
      </c>
      <c r="R4183" s="44"/>
      <c r="S4183" s="44"/>
      <c r="T4183" s="43"/>
      <c r="U4183" s="43" t="str">
        <f t="shared" si="8"/>
        <v>No</v>
      </c>
      <c r="V4183" s="25"/>
      <c r="W4183" s="25"/>
      <c r="X4183" s="25"/>
      <c r="Y4183" s="25"/>
      <c r="Z4183" s="25"/>
    </row>
    <row r="4184" spans="1:26" ht="15.75" customHeight="1" x14ac:dyDescent="0.25">
      <c r="A4184" s="25">
        <v>4182</v>
      </c>
      <c r="B4184" s="37" t="e">
        <f t="shared" si="7855"/>
        <v>#N/A</v>
      </c>
      <c r="C4184" s="38" t="e">
        <f t="shared" si="7856"/>
        <v>#N/A</v>
      </c>
      <c r="D4184" s="39" t="e">
        <f t="shared" si="7857"/>
        <v>#N/A</v>
      </c>
      <c r="E4184" s="16" t="e">
        <f t="shared" si="1"/>
        <v>#N/A</v>
      </c>
      <c r="F4184" s="16" t="e">
        <f t="shared" si="7858"/>
        <v>#N/A</v>
      </c>
      <c r="G4184" s="39" t="e">
        <f t="shared" si="7859"/>
        <v>#N/A</v>
      </c>
      <c r="H4184" s="16" t="e">
        <f t="shared" si="7860"/>
        <v>#N/A</v>
      </c>
      <c r="I4184" s="16" t="e">
        <f t="shared" si="7861"/>
        <v>#N/A</v>
      </c>
      <c r="J4184" s="40" t="e">
        <f t="shared" si="7862"/>
        <v>#N/A</v>
      </c>
      <c r="K4184" s="16" t="e">
        <f t="shared" si="7863"/>
        <v>#N/A</v>
      </c>
      <c r="L4184" s="40" t="e">
        <f t="shared" si="7864"/>
        <v>#N/A</v>
      </c>
      <c r="M4184" s="16" t="e">
        <f t="shared" si="7865"/>
        <v>#N/A</v>
      </c>
      <c r="N4184" s="16" t="e">
        <f t="shared" si="7866"/>
        <v>#N/A</v>
      </c>
      <c r="O4184" s="16" t="s">
        <v>77</v>
      </c>
      <c r="P4184" s="16" t="str">
        <f t="shared" si="6"/>
        <v/>
      </c>
      <c r="Q4184" s="41" t="e">
        <f t="shared" si="7867"/>
        <v>#N/A</v>
      </c>
      <c r="R4184" s="44"/>
      <c r="S4184" s="44"/>
      <c r="T4184" s="43"/>
      <c r="U4184" s="43" t="str">
        <f t="shared" si="8"/>
        <v>No</v>
      </c>
      <c r="V4184" s="25"/>
      <c r="W4184" s="25"/>
      <c r="X4184" s="25"/>
      <c r="Y4184" s="25"/>
      <c r="Z4184" s="25"/>
    </row>
    <row r="4185" spans="1:26" ht="15.75" customHeight="1" x14ac:dyDescent="0.25">
      <c r="A4185" s="25">
        <v>4183</v>
      </c>
      <c r="B4185" s="37" t="e">
        <f t="shared" si="7855"/>
        <v>#N/A</v>
      </c>
      <c r="C4185" s="38" t="e">
        <f t="shared" si="7856"/>
        <v>#N/A</v>
      </c>
      <c r="D4185" s="39" t="e">
        <f t="shared" si="7857"/>
        <v>#N/A</v>
      </c>
      <c r="E4185" s="16" t="e">
        <f t="shared" si="1"/>
        <v>#N/A</v>
      </c>
      <c r="F4185" s="16" t="e">
        <f t="shared" si="7858"/>
        <v>#N/A</v>
      </c>
      <c r="G4185" s="39" t="e">
        <f t="shared" si="7859"/>
        <v>#N/A</v>
      </c>
      <c r="H4185" s="16" t="e">
        <f t="shared" si="7860"/>
        <v>#N/A</v>
      </c>
      <c r="I4185" s="16" t="e">
        <f t="shared" si="7861"/>
        <v>#N/A</v>
      </c>
      <c r="J4185" s="40" t="e">
        <f t="shared" si="7862"/>
        <v>#N/A</v>
      </c>
      <c r="K4185" s="16" t="e">
        <f t="shared" si="7863"/>
        <v>#N/A</v>
      </c>
      <c r="L4185" s="40" t="e">
        <f t="shared" si="7864"/>
        <v>#N/A</v>
      </c>
      <c r="M4185" s="16" t="e">
        <f t="shared" si="7865"/>
        <v>#N/A</v>
      </c>
      <c r="N4185" s="16" t="e">
        <f t="shared" si="7866"/>
        <v>#N/A</v>
      </c>
      <c r="O4185" s="16" t="s">
        <v>77</v>
      </c>
      <c r="P4185" s="16" t="str">
        <f t="shared" si="6"/>
        <v/>
      </c>
      <c r="Q4185" s="41" t="e">
        <f t="shared" si="7867"/>
        <v>#N/A</v>
      </c>
      <c r="R4185" s="44"/>
      <c r="S4185" s="44"/>
      <c r="T4185" s="43"/>
      <c r="U4185" s="43" t="str">
        <f t="shared" si="8"/>
        <v>No</v>
      </c>
      <c r="V4185" s="25"/>
      <c r="W4185" s="25"/>
      <c r="X4185" s="25"/>
      <c r="Y4185" s="25"/>
      <c r="Z4185" s="25"/>
    </row>
    <row r="4186" spans="1:26" ht="15.75" customHeight="1" x14ac:dyDescent="0.25">
      <c r="A4186" s="25">
        <v>4184</v>
      </c>
      <c r="B4186" s="37" t="e">
        <f t="shared" si="7855"/>
        <v>#N/A</v>
      </c>
      <c r="C4186" s="38" t="e">
        <f t="shared" si="7856"/>
        <v>#N/A</v>
      </c>
      <c r="D4186" s="39" t="e">
        <f t="shared" si="7857"/>
        <v>#N/A</v>
      </c>
      <c r="E4186" s="16" t="e">
        <f t="shared" si="1"/>
        <v>#N/A</v>
      </c>
      <c r="F4186" s="16" t="e">
        <f t="shared" si="7858"/>
        <v>#N/A</v>
      </c>
      <c r="G4186" s="39" t="e">
        <f t="shared" si="7859"/>
        <v>#N/A</v>
      </c>
      <c r="H4186" s="16" t="e">
        <f t="shared" si="7860"/>
        <v>#N/A</v>
      </c>
      <c r="I4186" s="16" t="e">
        <f t="shared" si="7861"/>
        <v>#N/A</v>
      </c>
      <c r="J4186" s="40" t="e">
        <f t="shared" si="7862"/>
        <v>#N/A</v>
      </c>
      <c r="K4186" s="16" t="e">
        <f t="shared" si="7863"/>
        <v>#N/A</v>
      </c>
      <c r="L4186" s="40" t="e">
        <f t="shared" si="7864"/>
        <v>#N/A</v>
      </c>
      <c r="M4186" s="16" t="e">
        <f t="shared" si="7865"/>
        <v>#N/A</v>
      </c>
      <c r="N4186" s="16" t="e">
        <f t="shared" si="7866"/>
        <v>#N/A</v>
      </c>
      <c r="O4186" s="16" t="s">
        <v>77</v>
      </c>
      <c r="P4186" s="16" t="str">
        <f t="shared" si="6"/>
        <v/>
      </c>
      <c r="Q4186" s="41" t="e">
        <f t="shared" si="7867"/>
        <v>#N/A</v>
      </c>
      <c r="R4186" s="44"/>
      <c r="S4186" s="44"/>
      <c r="T4186" s="43"/>
      <c r="U4186" s="43" t="str">
        <f t="shared" si="8"/>
        <v>No</v>
      </c>
      <c r="V4186" s="25"/>
      <c r="W4186" s="25"/>
      <c r="X4186" s="25"/>
      <c r="Y4186" s="25"/>
      <c r="Z4186" s="25"/>
    </row>
    <row r="4187" spans="1:26" ht="15.75" customHeight="1" x14ac:dyDescent="0.25">
      <c r="A4187" s="25">
        <v>4185</v>
      </c>
      <c r="B4187" s="37" t="e">
        <f t="shared" si="7855"/>
        <v>#N/A</v>
      </c>
      <c r="C4187" s="38" t="e">
        <f t="shared" si="7856"/>
        <v>#N/A</v>
      </c>
      <c r="D4187" s="39" t="e">
        <f t="shared" si="7857"/>
        <v>#N/A</v>
      </c>
      <c r="E4187" s="16" t="e">
        <f t="shared" si="1"/>
        <v>#N/A</v>
      </c>
      <c r="F4187" s="16" t="e">
        <f t="shared" si="7858"/>
        <v>#N/A</v>
      </c>
      <c r="G4187" s="39" t="e">
        <f t="shared" si="7859"/>
        <v>#N/A</v>
      </c>
      <c r="H4187" s="16" t="e">
        <f t="shared" si="7860"/>
        <v>#N/A</v>
      </c>
      <c r="I4187" s="16" t="e">
        <f t="shared" si="7861"/>
        <v>#N/A</v>
      </c>
      <c r="J4187" s="40" t="e">
        <f t="shared" si="7862"/>
        <v>#N/A</v>
      </c>
      <c r="K4187" s="16" t="e">
        <f t="shared" si="7863"/>
        <v>#N/A</v>
      </c>
      <c r="L4187" s="40" t="e">
        <f t="shared" si="7864"/>
        <v>#N/A</v>
      </c>
      <c r="M4187" s="16" t="e">
        <f t="shared" si="7865"/>
        <v>#N/A</v>
      </c>
      <c r="N4187" s="16" t="e">
        <f t="shared" si="7866"/>
        <v>#N/A</v>
      </c>
      <c r="O4187" s="16" t="s">
        <v>77</v>
      </c>
      <c r="P4187" s="16" t="str">
        <f t="shared" si="6"/>
        <v/>
      </c>
      <c r="Q4187" s="41" t="e">
        <f t="shared" si="7867"/>
        <v>#N/A</v>
      </c>
      <c r="R4187" s="44"/>
      <c r="S4187" s="44"/>
      <c r="T4187" s="43"/>
      <c r="U4187" s="43" t="str">
        <f t="shared" si="8"/>
        <v>No</v>
      </c>
      <c r="V4187" s="25"/>
      <c r="W4187" s="25"/>
      <c r="X4187" s="25"/>
      <c r="Y4187" s="25"/>
      <c r="Z4187" s="25"/>
    </row>
    <row r="4188" spans="1:26" ht="15.75" customHeight="1" x14ac:dyDescent="0.25">
      <c r="A4188" s="25">
        <v>4186</v>
      </c>
      <c r="B4188" s="37" t="e">
        <f t="shared" si="7855"/>
        <v>#N/A</v>
      </c>
      <c r="C4188" s="38" t="e">
        <f t="shared" si="7856"/>
        <v>#N/A</v>
      </c>
      <c r="D4188" s="39" t="e">
        <f t="shared" si="7857"/>
        <v>#N/A</v>
      </c>
      <c r="E4188" s="16" t="e">
        <f t="shared" si="1"/>
        <v>#N/A</v>
      </c>
      <c r="F4188" s="16" t="e">
        <f t="shared" si="7858"/>
        <v>#N/A</v>
      </c>
      <c r="G4188" s="39" t="e">
        <f t="shared" si="7859"/>
        <v>#N/A</v>
      </c>
      <c r="H4188" s="16" t="e">
        <f t="shared" si="7860"/>
        <v>#N/A</v>
      </c>
      <c r="I4188" s="16" t="e">
        <f t="shared" si="7861"/>
        <v>#N/A</v>
      </c>
      <c r="J4188" s="40" t="e">
        <f t="shared" si="7862"/>
        <v>#N/A</v>
      </c>
      <c r="K4188" s="16" t="e">
        <f t="shared" si="7863"/>
        <v>#N/A</v>
      </c>
      <c r="L4188" s="40" t="e">
        <f t="shared" si="7864"/>
        <v>#N/A</v>
      </c>
      <c r="M4188" s="16" t="e">
        <f t="shared" si="7865"/>
        <v>#N/A</v>
      </c>
      <c r="N4188" s="16" t="e">
        <f t="shared" si="7866"/>
        <v>#N/A</v>
      </c>
      <c r="O4188" s="16" t="s">
        <v>77</v>
      </c>
      <c r="P4188" s="16" t="str">
        <f t="shared" si="6"/>
        <v/>
      </c>
      <c r="Q4188" s="41" t="e">
        <f t="shared" si="7867"/>
        <v>#N/A</v>
      </c>
      <c r="R4188" s="44"/>
      <c r="S4188" s="44"/>
      <c r="T4188" s="43"/>
      <c r="U4188" s="43" t="str">
        <f t="shared" si="8"/>
        <v>No</v>
      </c>
      <c r="V4188" s="25"/>
      <c r="W4188" s="25"/>
      <c r="X4188" s="25"/>
      <c r="Y4188" s="25"/>
      <c r="Z4188" s="25"/>
    </row>
    <row r="4189" spans="1:26" ht="15.75" customHeight="1" x14ac:dyDescent="0.25">
      <c r="A4189" s="25">
        <v>4187</v>
      </c>
      <c r="B4189" s="37" t="e">
        <f t="shared" si="7855"/>
        <v>#N/A</v>
      </c>
      <c r="C4189" s="38" t="e">
        <f t="shared" si="7856"/>
        <v>#N/A</v>
      </c>
      <c r="D4189" s="39" t="e">
        <f t="shared" si="7857"/>
        <v>#N/A</v>
      </c>
      <c r="E4189" s="16" t="e">
        <f t="shared" si="1"/>
        <v>#N/A</v>
      </c>
      <c r="F4189" s="16" t="e">
        <f t="shared" si="7858"/>
        <v>#N/A</v>
      </c>
      <c r="G4189" s="39" t="e">
        <f t="shared" si="7859"/>
        <v>#N/A</v>
      </c>
      <c r="H4189" s="16" t="e">
        <f t="shared" si="7860"/>
        <v>#N/A</v>
      </c>
      <c r="I4189" s="16" t="e">
        <f t="shared" si="7861"/>
        <v>#N/A</v>
      </c>
      <c r="J4189" s="40" t="e">
        <f t="shared" si="7862"/>
        <v>#N/A</v>
      </c>
      <c r="K4189" s="16" t="e">
        <f t="shared" si="7863"/>
        <v>#N/A</v>
      </c>
      <c r="L4189" s="40" t="e">
        <f t="shared" si="7864"/>
        <v>#N/A</v>
      </c>
      <c r="M4189" s="16" t="e">
        <f t="shared" si="7865"/>
        <v>#N/A</v>
      </c>
      <c r="N4189" s="16" t="e">
        <f t="shared" si="7866"/>
        <v>#N/A</v>
      </c>
      <c r="O4189" s="16" t="s">
        <v>77</v>
      </c>
      <c r="P4189" s="16" t="str">
        <f t="shared" si="6"/>
        <v/>
      </c>
      <c r="Q4189" s="41" t="e">
        <f t="shared" si="7867"/>
        <v>#N/A</v>
      </c>
      <c r="R4189" s="44"/>
      <c r="S4189" s="44"/>
      <c r="T4189" s="43"/>
      <c r="U4189" s="43" t="str">
        <f t="shared" si="8"/>
        <v>No</v>
      </c>
      <c r="V4189" s="25"/>
      <c r="W4189" s="25"/>
      <c r="X4189" s="25"/>
      <c r="Y4189" s="25"/>
      <c r="Z4189" s="25"/>
    </row>
    <row r="4190" spans="1:26" ht="15.75" customHeight="1" x14ac:dyDescent="0.25">
      <c r="A4190" s="25">
        <v>4188</v>
      </c>
      <c r="B4190" s="37" t="e">
        <f t="shared" si="7855"/>
        <v>#N/A</v>
      </c>
      <c r="C4190" s="38" t="e">
        <f t="shared" si="7856"/>
        <v>#N/A</v>
      </c>
      <c r="D4190" s="39" t="e">
        <f t="shared" si="7857"/>
        <v>#N/A</v>
      </c>
      <c r="E4190" s="16" t="e">
        <f t="shared" si="1"/>
        <v>#N/A</v>
      </c>
      <c r="F4190" s="16" t="e">
        <f t="shared" si="7858"/>
        <v>#N/A</v>
      </c>
      <c r="G4190" s="39" t="e">
        <f t="shared" si="7859"/>
        <v>#N/A</v>
      </c>
      <c r="H4190" s="16" t="e">
        <f t="shared" si="7860"/>
        <v>#N/A</v>
      </c>
      <c r="I4190" s="16" t="e">
        <f t="shared" si="7861"/>
        <v>#N/A</v>
      </c>
      <c r="J4190" s="40" t="e">
        <f t="shared" si="7862"/>
        <v>#N/A</v>
      </c>
      <c r="K4190" s="16" t="e">
        <f t="shared" si="7863"/>
        <v>#N/A</v>
      </c>
      <c r="L4190" s="40" t="e">
        <f t="shared" si="7864"/>
        <v>#N/A</v>
      </c>
      <c r="M4190" s="16" t="e">
        <f t="shared" si="7865"/>
        <v>#N/A</v>
      </c>
      <c r="N4190" s="16" t="e">
        <f t="shared" si="7866"/>
        <v>#N/A</v>
      </c>
      <c r="O4190" s="16" t="s">
        <v>77</v>
      </c>
      <c r="P4190" s="16" t="str">
        <f t="shared" si="6"/>
        <v/>
      </c>
      <c r="Q4190" s="41" t="e">
        <f t="shared" si="7867"/>
        <v>#N/A</v>
      </c>
      <c r="R4190" s="44"/>
      <c r="S4190" s="44"/>
      <c r="T4190" s="43"/>
      <c r="U4190" s="43" t="str">
        <f t="shared" si="8"/>
        <v>No</v>
      </c>
      <c r="V4190" s="25"/>
      <c r="W4190" s="25"/>
      <c r="X4190" s="25"/>
      <c r="Y4190" s="25"/>
      <c r="Z4190" s="25"/>
    </row>
    <row r="4191" spans="1:26" ht="15.75" customHeight="1" x14ac:dyDescent="0.25">
      <c r="A4191" s="25">
        <v>4189</v>
      </c>
      <c r="B4191" s="37" t="e">
        <f t="shared" si="7855"/>
        <v>#N/A</v>
      </c>
      <c r="C4191" s="38" t="e">
        <f t="shared" si="7856"/>
        <v>#N/A</v>
      </c>
      <c r="D4191" s="39" t="e">
        <f t="shared" si="7857"/>
        <v>#N/A</v>
      </c>
      <c r="E4191" s="16" t="e">
        <f t="shared" si="1"/>
        <v>#N/A</v>
      </c>
      <c r="F4191" s="16" t="e">
        <f t="shared" si="7858"/>
        <v>#N/A</v>
      </c>
      <c r="G4191" s="39" t="e">
        <f t="shared" si="7859"/>
        <v>#N/A</v>
      </c>
      <c r="H4191" s="16" t="e">
        <f t="shared" si="7860"/>
        <v>#N/A</v>
      </c>
      <c r="I4191" s="16" t="e">
        <f t="shared" si="7861"/>
        <v>#N/A</v>
      </c>
      <c r="J4191" s="40" t="e">
        <f t="shared" si="7862"/>
        <v>#N/A</v>
      </c>
      <c r="K4191" s="16" t="e">
        <f t="shared" si="7863"/>
        <v>#N/A</v>
      </c>
      <c r="L4191" s="40" t="e">
        <f t="shared" si="7864"/>
        <v>#N/A</v>
      </c>
      <c r="M4191" s="16" t="e">
        <f t="shared" si="7865"/>
        <v>#N/A</v>
      </c>
      <c r="N4191" s="16" t="e">
        <f t="shared" si="7866"/>
        <v>#N/A</v>
      </c>
      <c r="O4191" s="16" t="s">
        <v>77</v>
      </c>
      <c r="P4191" s="16" t="str">
        <f t="shared" si="6"/>
        <v/>
      </c>
      <c r="Q4191" s="41" t="e">
        <f t="shared" si="7867"/>
        <v>#N/A</v>
      </c>
      <c r="R4191" s="44"/>
      <c r="S4191" s="44"/>
      <c r="T4191" s="43"/>
      <c r="U4191" s="43" t="str">
        <f t="shared" si="8"/>
        <v>No</v>
      </c>
      <c r="V4191" s="25"/>
      <c r="W4191" s="25"/>
      <c r="X4191" s="25"/>
      <c r="Y4191" s="25"/>
      <c r="Z4191" s="25"/>
    </row>
    <row r="4192" spans="1:26" ht="15.75" customHeight="1" x14ac:dyDescent="0.25">
      <c r="A4192" s="25">
        <v>4190</v>
      </c>
      <c r="B4192" s="37" t="e">
        <f t="shared" si="7855"/>
        <v>#N/A</v>
      </c>
      <c r="C4192" s="38" t="e">
        <f t="shared" si="7856"/>
        <v>#N/A</v>
      </c>
      <c r="D4192" s="39" t="e">
        <f t="shared" si="7857"/>
        <v>#N/A</v>
      </c>
      <c r="E4192" s="16" t="e">
        <f t="shared" si="1"/>
        <v>#N/A</v>
      </c>
      <c r="F4192" s="16" t="e">
        <f t="shared" si="7858"/>
        <v>#N/A</v>
      </c>
      <c r="G4192" s="39" t="e">
        <f t="shared" si="7859"/>
        <v>#N/A</v>
      </c>
      <c r="H4192" s="16" t="e">
        <f t="shared" si="7860"/>
        <v>#N/A</v>
      </c>
      <c r="I4192" s="16" t="e">
        <f t="shared" si="7861"/>
        <v>#N/A</v>
      </c>
      <c r="J4192" s="40" t="e">
        <f t="shared" si="7862"/>
        <v>#N/A</v>
      </c>
      <c r="K4192" s="16" t="e">
        <f t="shared" si="7863"/>
        <v>#N/A</v>
      </c>
      <c r="L4192" s="40" t="e">
        <f t="shared" si="7864"/>
        <v>#N/A</v>
      </c>
      <c r="M4192" s="16" t="e">
        <f t="shared" si="7865"/>
        <v>#N/A</v>
      </c>
      <c r="N4192" s="16" t="e">
        <f t="shared" si="7866"/>
        <v>#N/A</v>
      </c>
      <c r="O4192" s="16" t="s">
        <v>77</v>
      </c>
      <c r="P4192" s="16" t="str">
        <f t="shared" si="6"/>
        <v/>
      </c>
      <c r="Q4192" s="41" t="e">
        <f t="shared" si="7867"/>
        <v>#N/A</v>
      </c>
      <c r="R4192" s="44"/>
      <c r="S4192" s="44"/>
      <c r="T4192" s="43"/>
      <c r="U4192" s="43" t="str">
        <f t="shared" si="8"/>
        <v>No</v>
      </c>
      <c r="V4192" s="25"/>
      <c r="W4192" s="25"/>
      <c r="X4192" s="25"/>
      <c r="Y4192" s="25"/>
      <c r="Z4192" s="25"/>
    </row>
    <row r="4193" spans="1:26" ht="15.75" customHeight="1" x14ac:dyDescent="0.25">
      <c r="A4193" s="25">
        <v>4191</v>
      </c>
      <c r="B4193" s="37" t="e">
        <f t="shared" si="7855"/>
        <v>#N/A</v>
      </c>
      <c r="C4193" s="38" t="e">
        <f t="shared" si="7856"/>
        <v>#N/A</v>
      </c>
      <c r="D4193" s="39" t="e">
        <f t="shared" si="7857"/>
        <v>#N/A</v>
      </c>
      <c r="E4193" s="16" t="e">
        <f t="shared" si="1"/>
        <v>#N/A</v>
      </c>
      <c r="F4193" s="16" t="e">
        <f t="shared" si="7858"/>
        <v>#N/A</v>
      </c>
      <c r="G4193" s="39" t="e">
        <f t="shared" si="7859"/>
        <v>#N/A</v>
      </c>
      <c r="H4193" s="16" t="e">
        <f t="shared" si="7860"/>
        <v>#N/A</v>
      </c>
      <c r="I4193" s="16" t="e">
        <f t="shared" si="7861"/>
        <v>#N/A</v>
      </c>
      <c r="J4193" s="40" t="e">
        <f t="shared" si="7862"/>
        <v>#N/A</v>
      </c>
      <c r="K4193" s="16" t="e">
        <f t="shared" si="7863"/>
        <v>#N/A</v>
      </c>
      <c r="L4193" s="40" t="e">
        <f t="shared" si="7864"/>
        <v>#N/A</v>
      </c>
      <c r="M4193" s="16" t="e">
        <f t="shared" si="7865"/>
        <v>#N/A</v>
      </c>
      <c r="N4193" s="16" t="e">
        <f t="shared" si="7866"/>
        <v>#N/A</v>
      </c>
      <c r="O4193" s="16" t="s">
        <v>77</v>
      </c>
      <c r="P4193" s="16" t="str">
        <f t="shared" si="6"/>
        <v/>
      </c>
      <c r="Q4193" s="41" t="e">
        <f t="shared" si="7867"/>
        <v>#N/A</v>
      </c>
      <c r="R4193" s="44"/>
      <c r="S4193" s="44"/>
      <c r="T4193" s="43"/>
      <c r="U4193" s="43" t="str">
        <f t="shared" si="8"/>
        <v>No</v>
      </c>
      <c r="V4193" s="25"/>
      <c r="W4193" s="25"/>
      <c r="X4193" s="25"/>
      <c r="Y4193" s="25"/>
      <c r="Z4193" s="25"/>
    </row>
    <row r="4194" spans="1:26" ht="15.75" customHeight="1" x14ac:dyDescent="0.25">
      <c r="A4194" s="25">
        <v>4192</v>
      </c>
      <c r="B4194" s="37" t="e">
        <f t="shared" si="7855"/>
        <v>#N/A</v>
      </c>
      <c r="C4194" s="38" t="e">
        <f t="shared" si="7856"/>
        <v>#N/A</v>
      </c>
      <c r="D4194" s="39" t="e">
        <f t="shared" si="7857"/>
        <v>#N/A</v>
      </c>
      <c r="E4194" s="16" t="e">
        <f t="shared" si="1"/>
        <v>#N/A</v>
      </c>
      <c r="F4194" s="16" t="e">
        <f t="shared" si="7858"/>
        <v>#N/A</v>
      </c>
      <c r="G4194" s="39" t="e">
        <f t="shared" si="7859"/>
        <v>#N/A</v>
      </c>
      <c r="H4194" s="16" t="e">
        <f t="shared" si="7860"/>
        <v>#N/A</v>
      </c>
      <c r="I4194" s="16" t="e">
        <f t="shared" si="7861"/>
        <v>#N/A</v>
      </c>
      <c r="J4194" s="40" t="e">
        <f t="shared" si="7862"/>
        <v>#N/A</v>
      </c>
      <c r="K4194" s="16" t="e">
        <f t="shared" si="7863"/>
        <v>#N/A</v>
      </c>
      <c r="L4194" s="40" t="e">
        <f t="shared" si="7864"/>
        <v>#N/A</v>
      </c>
      <c r="M4194" s="16" t="e">
        <f t="shared" si="7865"/>
        <v>#N/A</v>
      </c>
      <c r="N4194" s="16" t="e">
        <f t="shared" si="7866"/>
        <v>#N/A</v>
      </c>
      <c r="O4194" s="16" t="s">
        <v>77</v>
      </c>
      <c r="P4194" s="16" t="str">
        <f t="shared" si="6"/>
        <v/>
      </c>
      <c r="Q4194" s="41" t="e">
        <f t="shared" si="7867"/>
        <v>#N/A</v>
      </c>
      <c r="R4194" s="44"/>
      <c r="S4194" s="44"/>
      <c r="T4194" s="43"/>
      <c r="U4194" s="43" t="str">
        <f t="shared" si="8"/>
        <v>No</v>
      </c>
      <c r="V4194" s="25"/>
      <c r="W4194" s="25"/>
      <c r="X4194" s="25"/>
      <c r="Y4194" s="25"/>
      <c r="Z4194" s="25"/>
    </row>
    <row r="4195" spans="1:26" ht="15.75" customHeight="1" x14ac:dyDescent="0.25">
      <c r="A4195" s="25">
        <v>4193</v>
      </c>
      <c r="B4195" s="37" t="e">
        <f t="shared" si="7855"/>
        <v>#N/A</v>
      </c>
      <c r="C4195" s="38" t="e">
        <f t="shared" si="7856"/>
        <v>#N/A</v>
      </c>
      <c r="D4195" s="39" t="e">
        <f t="shared" si="7857"/>
        <v>#N/A</v>
      </c>
      <c r="E4195" s="16" t="e">
        <f t="shared" si="1"/>
        <v>#N/A</v>
      </c>
      <c r="F4195" s="16" t="e">
        <f t="shared" si="7858"/>
        <v>#N/A</v>
      </c>
      <c r="G4195" s="39" t="e">
        <f t="shared" si="7859"/>
        <v>#N/A</v>
      </c>
      <c r="H4195" s="16" t="e">
        <f t="shared" si="7860"/>
        <v>#N/A</v>
      </c>
      <c r="I4195" s="16" t="e">
        <f t="shared" si="7861"/>
        <v>#N/A</v>
      </c>
      <c r="J4195" s="40" t="e">
        <f t="shared" si="7862"/>
        <v>#N/A</v>
      </c>
      <c r="K4195" s="16" t="e">
        <f t="shared" si="7863"/>
        <v>#N/A</v>
      </c>
      <c r="L4195" s="40" t="e">
        <f t="shared" si="7864"/>
        <v>#N/A</v>
      </c>
      <c r="M4195" s="16" t="e">
        <f t="shared" si="7865"/>
        <v>#N/A</v>
      </c>
      <c r="N4195" s="16" t="e">
        <f t="shared" si="7866"/>
        <v>#N/A</v>
      </c>
      <c r="O4195" s="16" t="s">
        <v>77</v>
      </c>
      <c r="P4195" s="16" t="str">
        <f t="shared" si="6"/>
        <v/>
      </c>
      <c r="Q4195" s="41" t="e">
        <f t="shared" si="7867"/>
        <v>#N/A</v>
      </c>
      <c r="R4195" s="44"/>
      <c r="S4195" s="44"/>
      <c r="T4195" s="43"/>
      <c r="U4195" s="43" t="str">
        <f t="shared" si="8"/>
        <v>No</v>
      </c>
      <c r="V4195" s="25"/>
      <c r="W4195" s="25"/>
      <c r="X4195" s="25"/>
      <c r="Y4195" s="25"/>
      <c r="Z4195" s="25"/>
    </row>
    <row r="4196" spans="1:26" ht="15.75" customHeight="1" x14ac:dyDescent="0.25">
      <c r="A4196" s="25">
        <v>4194</v>
      </c>
      <c r="B4196" s="37" t="e">
        <f t="shared" si="7855"/>
        <v>#N/A</v>
      </c>
      <c r="C4196" s="38" t="e">
        <f t="shared" si="7856"/>
        <v>#N/A</v>
      </c>
      <c r="D4196" s="39" t="e">
        <f t="shared" si="7857"/>
        <v>#N/A</v>
      </c>
      <c r="E4196" s="16" t="e">
        <f t="shared" si="1"/>
        <v>#N/A</v>
      </c>
      <c r="F4196" s="16" t="e">
        <f t="shared" si="7858"/>
        <v>#N/A</v>
      </c>
      <c r="G4196" s="39" t="e">
        <f t="shared" si="7859"/>
        <v>#N/A</v>
      </c>
      <c r="H4196" s="16" t="e">
        <f t="shared" si="7860"/>
        <v>#N/A</v>
      </c>
      <c r="I4196" s="16" t="e">
        <f t="shared" si="7861"/>
        <v>#N/A</v>
      </c>
      <c r="J4196" s="40" t="e">
        <f t="shared" si="7862"/>
        <v>#N/A</v>
      </c>
      <c r="K4196" s="16" t="e">
        <f t="shared" si="7863"/>
        <v>#N/A</v>
      </c>
      <c r="L4196" s="40" t="e">
        <f t="shared" si="7864"/>
        <v>#N/A</v>
      </c>
      <c r="M4196" s="16" t="e">
        <f t="shared" si="7865"/>
        <v>#N/A</v>
      </c>
      <c r="N4196" s="16" t="e">
        <f t="shared" si="7866"/>
        <v>#N/A</v>
      </c>
      <c r="O4196" s="16" t="s">
        <v>77</v>
      </c>
      <c r="P4196" s="16" t="str">
        <f t="shared" si="6"/>
        <v/>
      </c>
      <c r="Q4196" s="41" t="e">
        <f t="shared" si="7867"/>
        <v>#N/A</v>
      </c>
      <c r="R4196" s="44"/>
      <c r="S4196" s="44"/>
      <c r="T4196" s="43"/>
      <c r="U4196" s="43" t="str">
        <f t="shared" si="8"/>
        <v>No</v>
      </c>
      <c r="V4196" s="25"/>
      <c r="W4196" s="25"/>
      <c r="X4196" s="25"/>
      <c r="Y4196" s="25"/>
      <c r="Z4196" s="25"/>
    </row>
    <row r="4197" spans="1:26" ht="15.75" customHeight="1" x14ac:dyDescent="0.25">
      <c r="A4197" s="25">
        <v>4195</v>
      </c>
      <c r="B4197" s="37" t="e">
        <f t="shared" si="7855"/>
        <v>#N/A</v>
      </c>
      <c r="C4197" s="38" t="e">
        <f t="shared" si="7856"/>
        <v>#N/A</v>
      </c>
      <c r="D4197" s="39" t="e">
        <f t="shared" si="7857"/>
        <v>#N/A</v>
      </c>
      <c r="E4197" s="16" t="e">
        <f t="shared" si="1"/>
        <v>#N/A</v>
      </c>
      <c r="F4197" s="16" t="e">
        <f t="shared" si="7858"/>
        <v>#N/A</v>
      </c>
      <c r="G4197" s="39" t="e">
        <f t="shared" si="7859"/>
        <v>#N/A</v>
      </c>
      <c r="H4197" s="16" t="e">
        <f t="shared" si="7860"/>
        <v>#N/A</v>
      </c>
      <c r="I4197" s="16" t="e">
        <f t="shared" si="7861"/>
        <v>#N/A</v>
      </c>
      <c r="J4197" s="40" t="e">
        <f t="shared" si="7862"/>
        <v>#N/A</v>
      </c>
      <c r="K4197" s="16" t="e">
        <f t="shared" si="7863"/>
        <v>#N/A</v>
      </c>
      <c r="L4197" s="40" t="e">
        <f t="shared" si="7864"/>
        <v>#N/A</v>
      </c>
      <c r="M4197" s="16" t="e">
        <f t="shared" si="7865"/>
        <v>#N/A</v>
      </c>
      <c r="N4197" s="16" t="e">
        <f t="shared" si="7866"/>
        <v>#N/A</v>
      </c>
      <c r="O4197" s="16" t="s">
        <v>77</v>
      </c>
      <c r="P4197" s="16" t="str">
        <f t="shared" si="6"/>
        <v/>
      </c>
      <c r="Q4197" s="41" t="e">
        <f t="shared" si="7867"/>
        <v>#N/A</v>
      </c>
      <c r="R4197" s="44"/>
      <c r="S4197" s="44"/>
      <c r="T4197" s="43"/>
      <c r="U4197" s="43" t="str">
        <f t="shared" si="8"/>
        <v>No</v>
      </c>
      <c r="V4197" s="25"/>
      <c r="W4197" s="25"/>
      <c r="X4197" s="25"/>
      <c r="Y4197" s="25"/>
      <c r="Z4197" s="25"/>
    </row>
    <row r="4198" spans="1:26" ht="15.75" customHeight="1" x14ac:dyDescent="0.25">
      <c r="A4198" s="25">
        <v>4196</v>
      </c>
      <c r="B4198" s="37" t="e">
        <f t="shared" si="7855"/>
        <v>#N/A</v>
      </c>
      <c r="C4198" s="38" t="e">
        <f t="shared" si="7856"/>
        <v>#N/A</v>
      </c>
      <c r="D4198" s="39" t="e">
        <f t="shared" si="7857"/>
        <v>#N/A</v>
      </c>
      <c r="E4198" s="16" t="e">
        <f t="shared" si="1"/>
        <v>#N/A</v>
      </c>
      <c r="F4198" s="16" t="e">
        <f t="shared" si="7858"/>
        <v>#N/A</v>
      </c>
      <c r="G4198" s="39" t="e">
        <f t="shared" si="7859"/>
        <v>#N/A</v>
      </c>
      <c r="H4198" s="16" t="e">
        <f t="shared" si="7860"/>
        <v>#N/A</v>
      </c>
      <c r="I4198" s="16" t="e">
        <f t="shared" si="7861"/>
        <v>#N/A</v>
      </c>
      <c r="J4198" s="40" t="e">
        <f t="shared" si="7862"/>
        <v>#N/A</v>
      </c>
      <c r="K4198" s="16" t="e">
        <f t="shared" si="7863"/>
        <v>#N/A</v>
      </c>
      <c r="L4198" s="40" t="e">
        <f t="shared" si="7864"/>
        <v>#N/A</v>
      </c>
      <c r="M4198" s="16" t="e">
        <f t="shared" si="7865"/>
        <v>#N/A</v>
      </c>
      <c r="N4198" s="16" t="e">
        <f t="shared" si="7866"/>
        <v>#N/A</v>
      </c>
      <c r="O4198" s="16" t="s">
        <v>77</v>
      </c>
      <c r="P4198" s="16" t="str">
        <f t="shared" si="6"/>
        <v/>
      </c>
      <c r="Q4198" s="41" t="e">
        <f t="shared" si="7867"/>
        <v>#N/A</v>
      </c>
      <c r="R4198" s="44"/>
      <c r="S4198" s="44"/>
      <c r="T4198" s="43"/>
      <c r="U4198" s="43" t="str">
        <f t="shared" si="8"/>
        <v>No</v>
      </c>
      <c r="V4198" s="25"/>
      <c r="W4198" s="25"/>
      <c r="X4198" s="25"/>
      <c r="Y4198" s="25"/>
      <c r="Z4198" s="25"/>
    </row>
    <row r="4199" spans="1:26" ht="15.75" customHeight="1" x14ac:dyDescent="0.25">
      <c r="A4199" s="25">
        <v>4197</v>
      </c>
      <c r="B4199" s="37" t="e">
        <f t="shared" si="7855"/>
        <v>#N/A</v>
      </c>
      <c r="C4199" s="38" t="e">
        <f t="shared" si="7856"/>
        <v>#N/A</v>
      </c>
      <c r="D4199" s="39" t="e">
        <f t="shared" si="7857"/>
        <v>#N/A</v>
      </c>
      <c r="E4199" s="16" t="e">
        <f t="shared" si="1"/>
        <v>#N/A</v>
      </c>
      <c r="F4199" s="16" t="e">
        <f t="shared" si="7858"/>
        <v>#N/A</v>
      </c>
      <c r="G4199" s="39" t="e">
        <f t="shared" si="7859"/>
        <v>#N/A</v>
      </c>
      <c r="H4199" s="16" t="e">
        <f t="shared" si="7860"/>
        <v>#N/A</v>
      </c>
      <c r="I4199" s="16" t="e">
        <f t="shared" si="7861"/>
        <v>#N/A</v>
      </c>
      <c r="J4199" s="40" t="e">
        <f t="shared" si="7862"/>
        <v>#N/A</v>
      </c>
      <c r="K4199" s="16" t="e">
        <f t="shared" si="7863"/>
        <v>#N/A</v>
      </c>
      <c r="L4199" s="40" t="e">
        <f t="shared" si="7864"/>
        <v>#N/A</v>
      </c>
      <c r="M4199" s="16" t="e">
        <f t="shared" si="7865"/>
        <v>#N/A</v>
      </c>
      <c r="N4199" s="16" t="e">
        <f t="shared" si="7866"/>
        <v>#N/A</v>
      </c>
      <c r="O4199" s="16" t="s">
        <v>77</v>
      </c>
      <c r="P4199" s="16" t="str">
        <f t="shared" si="6"/>
        <v/>
      </c>
      <c r="Q4199" s="41" t="e">
        <f t="shared" si="7867"/>
        <v>#N/A</v>
      </c>
      <c r="R4199" s="44"/>
      <c r="S4199" s="44"/>
      <c r="T4199" s="43"/>
      <c r="U4199" s="43" t="str">
        <f t="shared" si="8"/>
        <v>No</v>
      </c>
      <c r="V4199" s="25"/>
      <c r="W4199" s="25"/>
      <c r="X4199" s="25"/>
      <c r="Y4199" s="25"/>
      <c r="Z4199" s="25"/>
    </row>
    <row r="4200" spans="1:26" ht="15.75" customHeight="1" x14ac:dyDescent="0.25">
      <c r="A4200" s="25">
        <v>4198</v>
      </c>
      <c r="B4200" s="37" t="e">
        <f t="shared" si="7855"/>
        <v>#N/A</v>
      </c>
      <c r="C4200" s="38" t="e">
        <f t="shared" si="7856"/>
        <v>#N/A</v>
      </c>
      <c r="D4200" s="39" t="e">
        <f t="shared" si="7857"/>
        <v>#N/A</v>
      </c>
      <c r="E4200" s="16" t="e">
        <f t="shared" si="1"/>
        <v>#N/A</v>
      </c>
      <c r="F4200" s="16" t="e">
        <f t="shared" si="7858"/>
        <v>#N/A</v>
      </c>
      <c r="G4200" s="39" t="e">
        <f t="shared" si="7859"/>
        <v>#N/A</v>
      </c>
      <c r="H4200" s="16" t="e">
        <f t="shared" si="7860"/>
        <v>#N/A</v>
      </c>
      <c r="I4200" s="16" t="e">
        <f t="shared" si="7861"/>
        <v>#N/A</v>
      </c>
      <c r="J4200" s="40" t="e">
        <f t="shared" si="7862"/>
        <v>#N/A</v>
      </c>
      <c r="K4200" s="16" t="e">
        <f t="shared" si="7863"/>
        <v>#N/A</v>
      </c>
      <c r="L4200" s="40" t="e">
        <f t="shared" si="7864"/>
        <v>#N/A</v>
      </c>
      <c r="M4200" s="16" t="e">
        <f t="shared" si="7865"/>
        <v>#N/A</v>
      </c>
      <c r="N4200" s="16" t="e">
        <f t="shared" si="7866"/>
        <v>#N/A</v>
      </c>
      <c r="O4200" s="16" t="s">
        <v>77</v>
      </c>
      <c r="P4200" s="16" t="str">
        <f t="shared" si="6"/>
        <v/>
      </c>
      <c r="Q4200" s="41" t="e">
        <f t="shared" si="7867"/>
        <v>#N/A</v>
      </c>
      <c r="R4200" s="44"/>
      <c r="S4200" s="44"/>
      <c r="T4200" s="43"/>
      <c r="U4200" s="43" t="str">
        <f t="shared" si="8"/>
        <v>No</v>
      </c>
      <c r="V4200" s="25"/>
      <c r="W4200" s="25"/>
      <c r="X4200" s="25"/>
      <c r="Y4200" s="25"/>
      <c r="Z4200" s="25"/>
    </row>
    <row r="4201" spans="1:26" ht="15.75" customHeight="1" x14ac:dyDescent="0.25">
      <c r="A4201" s="25">
        <v>4199</v>
      </c>
      <c r="B4201" s="37" t="e">
        <f t="shared" si="7855"/>
        <v>#N/A</v>
      </c>
      <c r="C4201" s="38" t="e">
        <f t="shared" si="7856"/>
        <v>#N/A</v>
      </c>
      <c r="D4201" s="39" t="e">
        <f t="shared" si="7857"/>
        <v>#N/A</v>
      </c>
      <c r="E4201" s="16" t="e">
        <f t="shared" si="1"/>
        <v>#N/A</v>
      </c>
      <c r="F4201" s="16" t="e">
        <f t="shared" si="7858"/>
        <v>#N/A</v>
      </c>
      <c r="G4201" s="39" t="e">
        <f t="shared" si="7859"/>
        <v>#N/A</v>
      </c>
      <c r="H4201" s="16" t="e">
        <f t="shared" si="7860"/>
        <v>#N/A</v>
      </c>
      <c r="I4201" s="16" t="e">
        <f t="shared" si="7861"/>
        <v>#N/A</v>
      </c>
      <c r="J4201" s="40" t="e">
        <f t="shared" si="7862"/>
        <v>#N/A</v>
      </c>
      <c r="K4201" s="16" t="e">
        <f t="shared" si="7863"/>
        <v>#N/A</v>
      </c>
      <c r="L4201" s="40" t="e">
        <f t="shared" si="7864"/>
        <v>#N/A</v>
      </c>
      <c r="M4201" s="16" t="e">
        <f t="shared" si="7865"/>
        <v>#N/A</v>
      </c>
      <c r="N4201" s="16" t="e">
        <f t="shared" si="7866"/>
        <v>#N/A</v>
      </c>
      <c r="O4201" s="16" t="s">
        <v>77</v>
      </c>
      <c r="P4201" s="16" t="str">
        <f t="shared" si="6"/>
        <v/>
      </c>
      <c r="Q4201" s="41" t="e">
        <f t="shared" si="7867"/>
        <v>#N/A</v>
      </c>
      <c r="R4201" s="44"/>
      <c r="S4201" s="44"/>
      <c r="T4201" s="43"/>
      <c r="U4201" s="43" t="str">
        <f t="shared" si="8"/>
        <v>No</v>
      </c>
      <c r="V4201" s="25"/>
      <c r="W4201" s="25"/>
      <c r="X4201" s="25"/>
      <c r="Y4201" s="25"/>
      <c r="Z4201" s="25"/>
    </row>
    <row r="4202" spans="1:26" ht="15.75" customHeight="1" x14ac:dyDescent="0.25">
      <c r="A4202" s="25">
        <v>4200</v>
      </c>
      <c r="B4202" s="37" t="e">
        <f t="shared" si="7855"/>
        <v>#N/A</v>
      </c>
      <c r="C4202" s="38" t="e">
        <f t="shared" si="7856"/>
        <v>#N/A</v>
      </c>
      <c r="D4202" s="39" t="e">
        <f t="shared" si="7857"/>
        <v>#N/A</v>
      </c>
      <c r="E4202" s="16" t="e">
        <f t="shared" si="1"/>
        <v>#N/A</v>
      </c>
      <c r="F4202" s="16" t="e">
        <f t="shared" si="7858"/>
        <v>#N/A</v>
      </c>
      <c r="G4202" s="39" t="e">
        <f t="shared" si="7859"/>
        <v>#N/A</v>
      </c>
      <c r="H4202" s="16" t="e">
        <f t="shared" si="7860"/>
        <v>#N/A</v>
      </c>
      <c r="I4202" s="16" t="e">
        <f t="shared" si="7861"/>
        <v>#N/A</v>
      </c>
      <c r="J4202" s="40" t="e">
        <f t="shared" si="7862"/>
        <v>#N/A</v>
      </c>
      <c r="K4202" s="16" t="e">
        <f t="shared" si="7863"/>
        <v>#N/A</v>
      </c>
      <c r="L4202" s="40" t="e">
        <f t="shared" si="7864"/>
        <v>#N/A</v>
      </c>
      <c r="M4202" s="16" t="e">
        <f t="shared" si="7865"/>
        <v>#N/A</v>
      </c>
      <c r="N4202" s="16" t="e">
        <f t="shared" si="7866"/>
        <v>#N/A</v>
      </c>
      <c r="O4202" s="16" t="s">
        <v>77</v>
      </c>
      <c r="P4202" s="16" t="str">
        <f t="shared" si="6"/>
        <v/>
      </c>
      <c r="Q4202" s="41" t="e">
        <f t="shared" si="7867"/>
        <v>#N/A</v>
      </c>
      <c r="R4202" s="44"/>
      <c r="S4202" s="44"/>
      <c r="T4202" s="43"/>
      <c r="U4202" s="43" t="str">
        <f t="shared" si="8"/>
        <v>No</v>
      </c>
      <c r="V4202" s="25"/>
      <c r="W4202" s="25"/>
      <c r="X4202" s="25"/>
      <c r="Y4202" s="25"/>
      <c r="Z4202" s="25"/>
    </row>
    <row r="4203" spans="1:26" ht="15.75" customHeight="1" x14ac:dyDescent="0.25">
      <c r="A4203" s="25"/>
      <c r="B4203" s="49"/>
      <c r="C4203" s="50"/>
      <c r="D4203" s="23"/>
      <c r="E4203" s="23"/>
      <c r="F4203" s="15"/>
      <c r="G4203" s="23"/>
      <c r="H4203" s="15"/>
      <c r="I4203" s="15"/>
      <c r="J4203" s="51"/>
      <c r="K4203" s="15"/>
      <c r="L4203" s="51"/>
      <c r="M4203" s="15"/>
      <c r="N4203" s="23"/>
      <c r="O4203" s="23"/>
      <c r="P4203" s="15" t="str">
        <f t="shared" si="6"/>
        <v/>
      </c>
      <c r="Q4203" s="24"/>
      <c r="R4203" s="25"/>
      <c r="S4203" s="25"/>
      <c r="T4203" s="26"/>
      <c r="U4203" s="26"/>
      <c r="V4203" s="25"/>
      <c r="W4203" s="25"/>
      <c r="X4203" s="25"/>
      <c r="Y4203" s="25"/>
      <c r="Z4203" s="25"/>
    </row>
    <row r="4204" spans="1:26" ht="15.75" customHeight="1" x14ac:dyDescent="0.25">
      <c r="A4204" s="25"/>
      <c r="B4204" s="49"/>
      <c r="C4204" s="50"/>
      <c r="D4204" s="23"/>
      <c r="E4204" s="23"/>
      <c r="F4204" s="15"/>
      <c r="G4204" s="23"/>
      <c r="H4204" s="15"/>
      <c r="I4204" s="15"/>
      <c r="J4204" s="51"/>
      <c r="K4204" s="15"/>
      <c r="L4204" s="51"/>
      <c r="M4204" s="15"/>
      <c r="N4204" s="23"/>
      <c r="O4204" s="23"/>
      <c r="P4204" s="15" t="str">
        <f t="shared" si="6"/>
        <v/>
      </c>
      <c r="Q4204" s="24"/>
      <c r="R4204" s="25"/>
      <c r="S4204" s="25"/>
      <c r="T4204" s="26"/>
      <c r="U4204" s="26"/>
      <c r="V4204" s="25"/>
      <c r="W4204" s="25"/>
      <c r="X4204" s="25"/>
      <c r="Y4204" s="25"/>
      <c r="Z4204" s="25"/>
    </row>
    <row r="4205" spans="1:26" ht="15.75" customHeight="1" x14ac:dyDescent="0.25">
      <c r="A4205" s="25"/>
      <c r="B4205" s="49"/>
      <c r="C4205" s="50"/>
      <c r="D4205" s="23"/>
      <c r="E4205" s="23"/>
      <c r="F4205" s="15"/>
      <c r="G4205" s="23"/>
      <c r="H4205" s="15"/>
      <c r="I4205" s="15"/>
      <c r="J4205" s="51"/>
      <c r="K4205" s="15"/>
      <c r="L4205" s="51"/>
      <c r="M4205" s="15"/>
      <c r="N4205" s="23"/>
      <c r="O4205" s="23"/>
      <c r="P4205" s="15" t="str">
        <f t="shared" si="6"/>
        <v/>
      </c>
      <c r="Q4205" s="24"/>
      <c r="R4205" s="25"/>
      <c r="S4205" s="25"/>
      <c r="T4205" s="26"/>
      <c r="U4205" s="26"/>
      <c r="V4205" s="25"/>
      <c r="W4205" s="25"/>
      <c r="X4205" s="25"/>
      <c r="Y4205" s="25"/>
      <c r="Z4205" s="25"/>
    </row>
    <row r="4206" spans="1:26" ht="15.75" customHeight="1" x14ac:dyDescent="0.25">
      <c r="A4206" s="25"/>
      <c r="B4206" s="49"/>
      <c r="C4206" s="50"/>
      <c r="D4206" s="23"/>
      <c r="E4206" s="23"/>
      <c r="F4206" s="15"/>
      <c r="G4206" s="23"/>
      <c r="H4206" s="15"/>
      <c r="I4206" s="15"/>
      <c r="J4206" s="51"/>
      <c r="K4206" s="15"/>
      <c r="L4206" s="51"/>
      <c r="M4206" s="15"/>
      <c r="N4206" s="23"/>
      <c r="O4206" s="23"/>
      <c r="P4206" s="15" t="str">
        <f t="shared" si="6"/>
        <v/>
      </c>
      <c r="Q4206" s="24"/>
      <c r="R4206" s="25"/>
      <c r="S4206" s="25"/>
      <c r="T4206" s="26"/>
      <c r="U4206" s="26"/>
      <c r="V4206" s="25"/>
      <c r="W4206" s="25"/>
      <c r="X4206" s="25"/>
      <c r="Y4206" s="25"/>
      <c r="Z4206" s="25"/>
    </row>
    <row r="4207" spans="1:26" ht="15.75" customHeight="1" x14ac:dyDescent="0.25">
      <c r="A4207" s="25"/>
      <c r="B4207" s="49"/>
      <c r="C4207" s="50"/>
      <c r="D4207" s="23"/>
      <c r="E4207" s="23"/>
      <c r="F4207" s="15"/>
      <c r="G4207" s="23"/>
      <c r="H4207" s="15"/>
      <c r="I4207" s="15"/>
      <c r="J4207" s="51"/>
      <c r="K4207" s="15"/>
      <c r="L4207" s="51"/>
      <c r="M4207" s="15"/>
      <c r="N4207" s="23"/>
      <c r="O4207" s="23"/>
      <c r="P4207" s="15" t="str">
        <f t="shared" si="6"/>
        <v/>
      </c>
      <c r="Q4207" s="24"/>
      <c r="R4207" s="25"/>
      <c r="S4207" s="25"/>
      <c r="T4207" s="26"/>
      <c r="U4207" s="26"/>
      <c r="V4207" s="25"/>
      <c r="W4207" s="25"/>
      <c r="X4207" s="25"/>
      <c r="Y4207" s="25"/>
      <c r="Z4207" s="25"/>
    </row>
    <row r="4208" spans="1:26" ht="15.75" customHeight="1" x14ac:dyDescent="0.25">
      <c r="A4208" s="25"/>
      <c r="B4208" s="49"/>
      <c r="C4208" s="50"/>
      <c r="D4208" s="23"/>
      <c r="E4208" s="23"/>
      <c r="F4208" s="15"/>
      <c r="G4208" s="23"/>
      <c r="H4208" s="15"/>
      <c r="I4208" s="15"/>
      <c r="J4208" s="51"/>
      <c r="K4208" s="15"/>
      <c r="L4208" s="51"/>
      <c r="M4208" s="15"/>
      <c r="N4208" s="23"/>
      <c r="O4208" s="23"/>
      <c r="P4208" s="15" t="str">
        <f t="shared" si="6"/>
        <v/>
      </c>
      <c r="Q4208" s="24"/>
      <c r="R4208" s="25"/>
      <c r="S4208" s="25"/>
      <c r="T4208" s="26"/>
      <c r="U4208" s="26"/>
      <c r="V4208" s="25"/>
      <c r="W4208" s="25"/>
      <c r="X4208" s="25"/>
      <c r="Y4208" s="25"/>
      <c r="Z4208" s="25"/>
    </row>
    <row r="4209" spans="1:26" ht="15.75" customHeight="1" x14ac:dyDescent="0.25">
      <c r="A4209" s="25"/>
      <c r="B4209" s="49"/>
      <c r="C4209" s="50"/>
      <c r="D4209" s="23"/>
      <c r="E4209" s="23"/>
      <c r="F4209" s="15"/>
      <c r="G4209" s="23"/>
      <c r="H4209" s="15"/>
      <c r="I4209" s="15"/>
      <c r="J4209" s="51"/>
      <c r="K4209" s="15"/>
      <c r="L4209" s="51"/>
      <c r="M4209" s="15"/>
      <c r="N4209" s="23"/>
      <c r="O4209" s="23"/>
      <c r="P4209" s="15" t="str">
        <f t="shared" si="6"/>
        <v/>
      </c>
      <c r="Q4209" s="24"/>
      <c r="R4209" s="25"/>
      <c r="S4209" s="25"/>
      <c r="T4209" s="26"/>
      <c r="U4209" s="26"/>
      <c r="V4209" s="25"/>
      <c r="W4209" s="25"/>
      <c r="X4209" s="25"/>
      <c r="Y4209" s="25"/>
      <c r="Z4209" s="25"/>
    </row>
    <row r="4210" spans="1:26" ht="15.75" customHeight="1" x14ac:dyDescent="0.25">
      <c r="A4210" s="25"/>
      <c r="B4210" s="49"/>
      <c r="C4210" s="50"/>
      <c r="D4210" s="23"/>
      <c r="E4210" s="23"/>
      <c r="F4210" s="15"/>
      <c r="G4210" s="23"/>
      <c r="H4210" s="15"/>
      <c r="I4210" s="15"/>
      <c r="J4210" s="51"/>
      <c r="K4210" s="15"/>
      <c r="L4210" s="51"/>
      <c r="M4210" s="15"/>
      <c r="N4210" s="23"/>
      <c r="O4210" s="23"/>
      <c r="P4210" s="15" t="str">
        <f t="shared" si="6"/>
        <v/>
      </c>
      <c r="Q4210" s="24"/>
      <c r="R4210" s="25"/>
      <c r="S4210" s="25"/>
      <c r="T4210" s="26"/>
      <c r="U4210" s="26"/>
      <c r="V4210" s="25"/>
      <c r="W4210" s="25"/>
      <c r="X4210" s="25"/>
      <c r="Y4210" s="25"/>
      <c r="Z4210" s="25"/>
    </row>
    <row r="4211" spans="1:26" ht="15.75" customHeight="1" x14ac:dyDescent="0.25">
      <c r="A4211" s="25"/>
      <c r="B4211" s="49"/>
      <c r="C4211" s="50"/>
      <c r="D4211" s="23"/>
      <c r="E4211" s="23"/>
      <c r="F4211" s="15"/>
      <c r="G4211" s="23"/>
      <c r="H4211" s="15"/>
      <c r="I4211" s="15"/>
      <c r="J4211" s="51"/>
      <c r="K4211" s="15"/>
      <c r="L4211" s="51"/>
      <c r="M4211" s="15"/>
      <c r="N4211" s="23"/>
      <c r="O4211" s="23"/>
      <c r="P4211" s="15" t="str">
        <f t="shared" si="6"/>
        <v/>
      </c>
      <c r="Q4211" s="24"/>
      <c r="R4211" s="25"/>
      <c r="S4211" s="25"/>
      <c r="T4211" s="26"/>
      <c r="U4211" s="26"/>
      <c r="V4211" s="25"/>
      <c r="W4211" s="25"/>
      <c r="X4211" s="25"/>
      <c r="Y4211" s="25"/>
      <c r="Z4211" s="25"/>
    </row>
    <row r="4212" spans="1:26" ht="15.75" customHeight="1" x14ac:dyDescent="0.25">
      <c r="A4212" s="25"/>
      <c r="B4212" s="49"/>
      <c r="C4212" s="50"/>
      <c r="D4212" s="23"/>
      <c r="E4212" s="23"/>
      <c r="F4212" s="15"/>
      <c r="G4212" s="23"/>
      <c r="H4212" s="15"/>
      <c r="I4212" s="15"/>
      <c r="J4212" s="51"/>
      <c r="K4212" s="15"/>
      <c r="L4212" s="51"/>
      <c r="M4212" s="15"/>
      <c r="N4212" s="23"/>
      <c r="O4212" s="23"/>
      <c r="P4212" s="15" t="str">
        <f t="shared" si="6"/>
        <v/>
      </c>
      <c r="Q4212" s="24"/>
      <c r="R4212" s="25"/>
      <c r="S4212" s="25"/>
      <c r="T4212" s="26"/>
      <c r="U4212" s="26"/>
      <c r="V4212" s="25"/>
      <c r="W4212" s="25"/>
      <c r="X4212" s="25"/>
      <c r="Y4212" s="25"/>
      <c r="Z4212" s="25"/>
    </row>
    <row r="4213" spans="1:26" ht="15.75" customHeight="1" x14ac:dyDescent="0.25">
      <c r="A4213" s="25"/>
      <c r="B4213" s="49"/>
      <c r="C4213" s="50"/>
      <c r="D4213" s="23"/>
      <c r="E4213" s="23"/>
      <c r="F4213" s="15"/>
      <c r="G4213" s="23"/>
      <c r="H4213" s="15"/>
      <c r="I4213" s="15"/>
      <c r="J4213" s="51"/>
      <c r="K4213" s="15"/>
      <c r="L4213" s="51"/>
      <c r="M4213" s="15"/>
      <c r="N4213" s="23"/>
      <c r="O4213" s="23"/>
      <c r="P4213" s="15" t="str">
        <f t="shared" si="6"/>
        <v/>
      </c>
      <c r="Q4213" s="24"/>
      <c r="R4213" s="25"/>
      <c r="S4213" s="25"/>
      <c r="T4213" s="26"/>
      <c r="U4213" s="26"/>
      <c r="V4213" s="25"/>
      <c r="W4213" s="25"/>
      <c r="X4213" s="25"/>
      <c r="Y4213" s="25"/>
      <c r="Z4213" s="25"/>
    </row>
    <row r="4214" spans="1:26" ht="15.75" customHeight="1" x14ac:dyDescent="0.25">
      <c r="A4214" s="25"/>
      <c r="B4214" s="49"/>
      <c r="C4214" s="50"/>
      <c r="D4214" s="23"/>
      <c r="E4214" s="23"/>
      <c r="F4214" s="15"/>
      <c r="G4214" s="23"/>
      <c r="H4214" s="15"/>
      <c r="I4214" s="15"/>
      <c r="J4214" s="51"/>
      <c r="K4214" s="15"/>
      <c r="L4214" s="51"/>
      <c r="M4214" s="15"/>
      <c r="N4214" s="23"/>
      <c r="O4214" s="23"/>
      <c r="P4214" s="15" t="str">
        <f t="shared" si="6"/>
        <v/>
      </c>
      <c r="Q4214" s="24"/>
      <c r="R4214" s="25"/>
      <c r="S4214" s="25"/>
      <c r="T4214" s="26"/>
      <c r="U4214" s="26"/>
      <c r="V4214" s="25"/>
      <c r="W4214" s="25"/>
      <c r="X4214" s="25"/>
      <c r="Y4214" s="25"/>
      <c r="Z4214" s="25"/>
    </row>
    <row r="4215" spans="1:26" ht="15.75" customHeight="1" x14ac:dyDescent="0.25">
      <c r="A4215" s="25"/>
      <c r="B4215" s="49"/>
      <c r="C4215" s="50"/>
      <c r="D4215" s="23"/>
      <c r="E4215" s="23"/>
      <c r="F4215" s="15"/>
      <c r="G4215" s="23"/>
      <c r="H4215" s="15"/>
      <c r="I4215" s="15"/>
      <c r="J4215" s="51"/>
      <c r="K4215" s="15"/>
      <c r="L4215" s="51"/>
      <c r="M4215" s="15"/>
      <c r="N4215" s="23"/>
      <c r="O4215" s="23"/>
      <c r="P4215" s="15" t="str">
        <f t="shared" si="6"/>
        <v/>
      </c>
      <c r="Q4215" s="24"/>
      <c r="R4215" s="25"/>
      <c r="S4215" s="25"/>
      <c r="T4215" s="26"/>
      <c r="U4215" s="26"/>
      <c r="V4215" s="25"/>
      <c r="W4215" s="25"/>
      <c r="X4215" s="25"/>
      <c r="Y4215" s="25"/>
      <c r="Z4215" s="25"/>
    </row>
    <row r="4216" spans="1:26" ht="15.75" customHeight="1" x14ac:dyDescent="0.25">
      <c r="A4216" s="25"/>
      <c r="B4216" s="49"/>
      <c r="C4216" s="50"/>
      <c r="D4216" s="23"/>
      <c r="E4216" s="23"/>
      <c r="F4216" s="15"/>
      <c r="G4216" s="23"/>
      <c r="H4216" s="15"/>
      <c r="I4216" s="15"/>
      <c r="J4216" s="51"/>
      <c r="K4216" s="15"/>
      <c r="L4216" s="51"/>
      <c r="M4216" s="15"/>
      <c r="N4216" s="23"/>
      <c r="O4216" s="23"/>
      <c r="P4216" s="15" t="str">
        <f t="shared" si="6"/>
        <v/>
      </c>
      <c r="Q4216" s="24"/>
      <c r="R4216" s="25"/>
      <c r="S4216" s="25"/>
      <c r="T4216" s="26"/>
      <c r="U4216" s="26"/>
      <c r="V4216" s="25"/>
      <c r="W4216" s="25"/>
      <c r="X4216" s="25"/>
      <c r="Y4216" s="25"/>
      <c r="Z4216" s="25"/>
    </row>
    <row r="4217" spans="1:26" ht="15.75" customHeight="1" x14ac:dyDescent="0.25">
      <c r="A4217" s="25"/>
      <c r="B4217" s="49"/>
      <c r="C4217" s="50"/>
      <c r="D4217" s="23"/>
      <c r="E4217" s="23"/>
      <c r="F4217" s="15"/>
      <c r="G4217" s="23"/>
      <c r="H4217" s="15"/>
      <c r="I4217" s="15"/>
      <c r="J4217" s="51"/>
      <c r="K4217" s="15"/>
      <c r="L4217" s="51"/>
      <c r="M4217" s="15"/>
      <c r="N4217" s="23"/>
      <c r="O4217" s="23"/>
      <c r="P4217" s="15" t="str">
        <f t="shared" si="6"/>
        <v/>
      </c>
      <c r="Q4217" s="24"/>
      <c r="R4217" s="25"/>
      <c r="S4217" s="25"/>
      <c r="T4217" s="26"/>
      <c r="U4217" s="26"/>
      <c r="V4217" s="25"/>
      <c r="W4217" s="25"/>
      <c r="X4217" s="25"/>
      <c r="Y4217" s="25"/>
      <c r="Z4217" s="25"/>
    </row>
    <row r="4218" spans="1:26" ht="15.75" customHeight="1" x14ac:dyDescent="0.25">
      <c r="A4218" s="25"/>
      <c r="B4218" s="49"/>
      <c r="C4218" s="50"/>
      <c r="D4218" s="23"/>
      <c r="E4218" s="23"/>
      <c r="F4218" s="15"/>
      <c r="G4218" s="23"/>
      <c r="H4218" s="15"/>
      <c r="I4218" s="15"/>
      <c r="J4218" s="51"/>
      <c r="K4218" s="15"/>
      <c r="L4218" s="51"/>
      <c r="M4218" s="15"/>
      <c r="N4218" s="23"/>
      <c r="O4218" s="23"/>
      <c r="P4218" s="15" t="str">
        <f t="shared" si="6"/>
        <v/>
      </c>
      <c r="Q4218" s="24"/>
      <c r="R4218" s="25"/>
      <c r="S4218" s="25"/>
      <c r="T4218" s="26"/>
      <c r="U4218" s="26"/>
      <c r="V4218" s="25"/>
      <c r="W4218" s="25"/>
      <c r="X4218" s="25"/>
      <c r="Y4218" s="25"/>
      <c r="Z4218" s="25"/>
    </row>
    <row r="4219" spans="1:26" ht="15.75" customHeight="1" x14ac:dyDescent="0.25">
      <c r="A4219" s="25"/>
      <c r="B4219" s="49"/>
      <c r="C4219" s="50"/>
      <c r="D4219" s="23"/>
      <c r="E4219" s="23"/>
      <c r="F4219" s="15"/>
      <c r="G4219" s="23"/>
      <c r="H4219" s="15"/>
      <c r="I4219" s="15"/>
      <c r="J4219" s="51"/>
      <c r="K4219" s="15"/>
      <c r="L4219" s="51"/>
      <c r="M4219" s="15"/>
      <c r="N4219" s="23"/>
      <c r="O4219" s="23"/>
      <c r="P4219" s="15" t="str">
        <f t="shared" si="6"/>
        <v/>
      </c>
      <c r="Q4219" s="24"/>
      <c r="R4219" s="25"/>
      <c r="S4219" s="25"/>
      <c r="T4219" s="26"/>
      <c r="U4219" s="26"/>
      <c r="V4219" s="25"/>
      <c r="W4219" s="25"/>
      <c r="X4219" s="25"/>
      <c r="Y4219" s="25"/>
      <c r="Z4219" s="25"/>
    </row>
    <row r="4220" spans="1:26" ht="15.75" customHeight="1" x14ac:dyDescent="0.25">
      <c r="A4220" s="25"/>
      <c r="B4220" s="49"/>
      <c r="C4220" s="50"/>
      <c r="D4220" s="23"/>
      <c r="E4220" s="23"/>
      <c r="F4220" s="15"/>
      <c r="G4220" s="23"/>
      <c r="H4220" s="15"/>
      <c r="I4220" s="15"/>
      <c r="J4220" s="51"/>
      <c r="K4220" s="15"/>
      <c r="L4220" s="51"/>
      <c r="M4220" s="15"/>
      <c r="N4220" s="23"/>
      <c r="O4220" s="23"/>
      <c r="P4220" s="15" t="str">
        <f t="shared" si="6"/>
        <v/>
      </c>
      <c r="Q4220" s="24"/>
      <c r="R4220" s="25"/>
      <c r="S4220" s="25"/>
      <c r="T4220" s="26"/>
      <c r="U4220" s="26"/>
      <c r="V4220" s="25"/>
      <c r="W4220" s="25"/>
      <c r="X4220" s="25"/>
      <c r="Y4220" s="25"/>
      <c r="Z4220" s="25"/>
    </row>
    <row r="4221" spans="1:26" ht="15.75" customHeight="1" x14ac:dyDescent="0.25">
      <c r="A4221" s="25"/>
      <c r="B4221" s="49"/>
      <c r="C4221" s="50"/>
      <c r="D4221" s="23"/>
      <c r="E4221" s="23"/>
      <c r="F4221" s="15"/>
      <c r="G4221" s="23"/>
      <c r="H4221" s="15"/>
      <c r="I4221" s="15"/>
      <c r="J4221" s="51"/>
      <c r="K4221" s="15"/>
      <c r="L4221" s="51"/>
      <c r="M4221" s="15"/>
      <c r="N4221" s="23"/>
      <c r="O4221" s="23"/>
      <c r="P4221" s="15" t="str">
        <f t="shared" si="6"/>
        <v/>
      </c>
      <c r="Q4221" s="24"/>
      <c r="R4221" s="25"/>
      <c r="S4221" s="25"/>
      <c r="T4221" s="26"/>
      <c r="U4221" s="26"/>
      <c r="V4221" s="25"/>
      <c r="W4221" s="25"/>
      <c r="X4221" s="25"/>
      <c r="Y4221" s="25"/>
      <c r="Z4221" s="25"/>
    </row>
    <row r="4222" spans="1:26" ht="15.75" customHeight="1" x14ac:dyDescent="0.25">
      <c r="A4222" s="25"/>
      <c r="B4222" s="49"/>
      <c r="C4222" s="50"/>
      <c r="D4222" s="23"/>
      <c r="E4222" s="23"/>
      <c r="F4222" s="15"/>
      <c r="G4222" s="23"/>
      <c r="H4222" s="15"/>
      <c r="I4222" s="15"/>
      <c r="J4222" s="51"/>
      <c r="K4222" s="15"/>
      <c r="L4222" s="51"/>
      <c r="M4222" s="15"/>
      <c r="N4222" s="23"/>
      <c r="O4222" s="23"/>
      <c r="P4222" s="15" t="str">
        <f t="shared" si="6"/>
        <v/>
      </c>
      <c r="Q4222" s="24"/>
      <c r="R4222" s="25"/>
      <c r="S4222" s="25"/>
      <c r="T4222" s="26"/>
      <c r="U4222" s="26"/>
      <c r="V4222" s="25"/>
      <c r="W4222" s="25"/>
      <c r="X4222" s="25"/>
      <c r="Y4222" s="25"/>
      <c r="Z4222" s="25"/>
    </row>
    <row r="4223" spans="1:26" ht="15.75" customHeight="1" x14ac:dyDescent="0.25">
      <c r="A4223" s="25"/>
      <c r="B4223" s="49"/>
      <c r="C4223" s="50"/>
      <c r="D4223" s="23"/>
      <c r="E4223" s="23"/>
      <c r="F4223" s="15"/>
      <c r="G4223" s="23"/>
      <c r="H4223" s="15"/>
      <c r="I4223" s="15"/>
      <c r="J4223" s="51"/>
      <c r="K4223" s="15"/>
      <c r="L4223" s="51"/>
      <c r="M4223" s="15"/>
      <c r="N4223" s="23"/>
      <c r="O4223" s="23"/>
      <c r="P4223" s="15" t="str">
        <f t="shared" si="6"/>
        <v/>
      </c>
      <c r="Q4223" s="24"/>
      <c r="R4223" s="25"/>
      <c r="S4223" s="25"/>
      <c r="T4223" s="26"/>
      <c r="U4223" s="26"/>
      <c r="V4223" s="25"/>
      <c r="W4223" s="25"/>
      <c r="X4223" s="25"/>
      <c r="Y4223" s="25"/>
      <c r="Z4223" s="25"/>
    </row>
    <row r="4224" spans="1:26" ht="15.75" customHeight="1" x14ac:dyDescent="0.25">
      <c r="A4224" s="25"/>
      <c r="B4224" s="49"/>
      <c r="C4224" s="50"/>
      <c r="D4224" s="23"/>
      <c r="E4224" s="23"/>
      <c r="F4224" s="15"/>
      <c r="G4224" s="23"/>
      <c r="H4224" s="15"/>
      <c r="I4224" s="15"/>
      <c r="J4224" s="51"/>
      <c r="K4224" s="15"/>
      <c r="L4224" s="51"/>
      <c r="M4224" s="15"/>
      <c r="N4224" s="23"/>
      <c r="O4224" s="23"/>
      <c r="P4224" s="15" t="str">
        <f t="shared" si="6"/>
        <v/>
      </c>
      <c r="Q4224" s="24"/>
      <c r="R4224" s="25"/>
      <c r="S4224" s="25"/>
      <c r="T4224" s="26"/>
      <c r="U4224" s="26"/>
      <c r="V4224" s="25"/>
      <c r="W4224" s="25"/>
      <c r="X4224" s="25"/>
      <c r="Y4224" s="25"/>
      <c r="Z4224" s="25"/>
    </row>
    <row r="4225" spans="1:26" ht="15.75" customHeight="1" x14ac:dyDescent="0.25">
      <c r="A4225" s="25"/>
      <c r="B4225" s="49"/>
      <c r="C4225" s="50"/>
      <c r="D4225" s="23"/>
      <c r="E4225" s="23"/>
      <c r="F4225" s="15"/>
      <c r="G4225" s="23"/>
      <c r="H4225" s="15"/>
      <c r="I4225" s="15"/>
      <c r="J4225" s="51"/>
      <c r="K4225" s="15"/>
      <c r="L4225" s="51"/>
      <c r="M4225" s="15"/>
      <c r="N4225" s="23"/>
      <c r="O4225" s="23"/>
      <c r="P4225" s="15" t="str">
        <f t="shared" si="6"/>
        <v/>
      </c>
      <c r="Q4225" s="24"/>
      <c r="R4225" s="25"/>
      <c r="S4225" s="25"/>
      <c r="T4225" s="26"/>
      <c r="U4225" s="26"/>
      <c r="V4225" s="25"/>
      <c r="W4225" s="25"/>
      <c r="X4225" s="25"/>
      <c r="Y4225" s="25"/>
      <c r="Z4225" s="25"/>
    </row>
    <row r="4226" spans="1:26" ht="15.75" customHeight="1" x14ac:dyDescent="0.25">
      <c r="A4226" s="25"/>
      <c r="B4226" s="49"/>
      <c r="C4226" s="50"/>
      <c r="D4226" s="23"/>
      <c r="E4226" s="23"/>
      <c r="F4226" s="15"/>
      <c r="G4226" s="23"/>
      <c r="H4226" s="15"/>
      <c r="I4226" s="15"/>
      <c r="J4226" s="51"/>
      <c r="K4226" s="15"/>
      <c r="L4226" s="51"/>
      <c r="M4226" s="15"/>
      <c r="N4226" s="23"/>
      <c r="O4226" s="23"/>
      <c r="P4226" s="15" t="str">
        <f t="shared" si="6"/>
        <v/>
      </c>
      <c r="Q4226" s="24"/>
      <c r="R4226" s="25"/>
      <c r="S4226" s="25"/>
      <c r="T4226" s="26"/>
      <c r="U4226" s="26"/>
      <c r="V4226" s="25"/>
      <c r="W4226" s="25"/>
      <c r="X4226" s="25"/>
      <c r="Y4226" s="25"/>
      <c r="Z4226" s="25"/>
    </row>
    <row r="4227" spans="1:26" ht="15.75" customHeight="1" x14ac:dyDescent="0.25">
      <c r="A4227" s="25"/>
      <c r="B4227" s="49"/>
      <c r="C4227" s="50"/>
      <c r="D4227" s="23"/>
      <c r="E4227" s="23"/>
      <c r="F4227" s="15"/>
      <c r="G4227" s="23"/>
      <c r="H4227" s="15"/>
      <c r="I4227" s="15"/>
      <c r="J4227" s="51"/>
      <c r="K4227" s="15"/>
      <c r="L4227" s="51"/>
      <c r="M4227" s="15"/>
      <c r="N4227" s="23"/>
      <c r="O4227" s="23"/>
      <c r="P4227" s="15" t="str">
        <f t="shared" si="6"/>
        <v/>
      </c>
      <c r="Q4227" s="24"/>
      <c r="R4227" s="25"/>
      <c r="S4227" s="25"/>
      <c r="T4227" s="26"/>
      <c r="U4227" s="26"/>
      <c r="V4227" s="25"/>
      <c r="W4227" s="25"/>
      <c r="X4227" s="25"/>
      <c r="Y4227" s="25"/>
      <c r="Z4227" s="25"/>
    </row>
    <row r="4228" spans="1:26" ht="15.75" customHeight="1" x14ac:dyDescent="0.25">
      <c r="A4228" s="25"/>
      <c r="B4228" s="49"/>
      <c r="C4228" s="50"/>
      <c r="D4228" s="23"/>
      <c r="E4228" s="23"/>
      <c r="F4228" s="15"/>
      <c r="G4228" s="23"/>
      <c r="H4228" s="15"/>
      <c r="I4228" s="15"/>
      <c r="J4228" s="51"/>
      <c r="K4228" s="15"/>
      <c r="L4228" s="51"/>
      <c r="M4228" s="15"/>
      <c r="N4228" s="23"/>
      <c r="O4228" s="23"/>
      <c r="P4228" s="15" t="str">
        <f t="shared" si="6"/>
        <v/>
      </c>
      <c r="Q4228" s="24"/>
      <c r="R4228" s="25"/>
      <c r="S4228" s="25"/>
      <c r="T4228" s="26"/>
      <c r="U4228" s="26"/>
      <c r="V4228" s="25"/>
      <c r="W4228" s="25"/>
      <c r="X4228" s="25"/>
      <c r="Y4228" s="25"/>
      <c r="Z4228" s="25"/>
    </row>
    <row r="4229" spans="1:26" ht="15.75" customHeight="1" x14ac:dyDescent="0.25">
      <c r="A4229" s="25"/>
      <c r="B4229" s="49"/>
      <c r="C4229" s="50"/>
      <c r="D4229" s="23"/>
      <c r="E4229" s="23"/>
      <c r="F4229" s="15"/>
      <c r="G4229" s="23"/>
      <c r="H4229" s="15"/>
      <c r="I4229" s="15"/>
      <c r="J4229" s="51"/>
      <c r="K4229" s="15"/>
      <c r="L4229" s="51"/>
      <c r="M4229" s="15"/>
      <c r="N4229" s="23"/>
      <c r="O4229" s="23"/>
      <c r="P4229" s="15" t="str">
        <f t="shared" si="6"/>
        <v/>
      </c>
      <c r="Q4229" s="24"/>
      <c r="R4229" s="25"/>
      <c r="S4229" s="25"/>
      <c r="T4229" s="26"/>
      <c r="U4229" s="26"/>
      <c r="V4229" s="25"/>
      <c r="W4229" s="25"/>
      <c r="X4229" s="25"/>
      <c r="Y4229" s="25"/>
      <c r="Z4229" s="25"/>
    </row>
    <row r="4230" spans="1:26" ht="15.75" customHeight="1" x14ac:dyDescent="0.25">
      <c r="A4230" s="25"/>
      <c r="B4230" s="49"/>
      <c r="C4230" s="50"/>
      <c r="D4230" s="23"/>
      <c r="E4230" s="23"/>
      <c r="F4230" s="15"/>
      <c r="G4230" s="23"/>
      <c r="H4230" s="15"/>
      <c r="I4230" s="15"/>
      <c r="J4230" s="51"/>
      <c r="K4230" s="15"/>
      <c r="L4230" s="51"/>
      <c r="M4230" s="15"/>
      <c r="N4230" s="23"/>
      <c r="O4230" s="23"/>
      <c r="P4230" s="15" t="str">
        <f t="shared" si="6"/>
        <v/>
      </c>
      <c r="Q4230" s="24"/>
      <c r="R4230" s="25"/>
      <c r="S4230" s="25"/>
      <c r="T4230" s="26"/>
      <c r="U4230" s="26"/>
      <c r="V4230" s="25"/>
      <c r="W4230" s="25"/>
      <c r="X4230" s="25"/>
      <c r="Y4230" s="25"/>
      <c r="Z4230" s="25"/>
    </row>
    <row r="4231" spans="1:26" ht="15.75" customHeight="1" x14ac:dyDescent="0.25">
      <c r="A4231" s="25"/>
      <c r="B4231" s="49"/>
      <c r="C4231" s="50"/>
      <c r="D4231" s="23"/>
      <c r="E4231" s="23"/>
      <c r="F4231" s="15"/>
      <c r="G4231" s="23"/>
      <c r="H4231" s="15"/>
      <c r="I4231" s="15"/>
      <c r="J4231" s="51"/>
      <c r="K4231" s="15"/>
      <c r="L4231" s="51"/>
      <c r="M4231" s="15"/>
      <c r="N4231" s="23"/>
      <c r="O4231" s="23"/>
      <c r="P4231" s="15" t="str">
        <f t="shared" si="6"/>
        <v/>
      </c>
      <c r="Q4231" s="24"/>
      <c r="R4231" s="25"/>
      <c r="S4231" s="25"/>
      <c r="T4231" s="26"/>
      <c r="U4231" s="26"/>
      <c r="V4231" s="25"/>
      <c r="W4231" s="25"/>
      <c r="X4231" s="25"/>
      <c r="Y4231" s="25"/>
      <c r="Z4231" s="25"/>
    </row>
    <row r="4232" spans="1:26" ht="15.75" customHeight="1" x14ac:dyDescent="0.25">
      <c r="A4232" s="25"/>
      <c r="B4232" s="49"/>
      <c r="C4232" s="50"/>
      <c r="D4232" s="23"/>
      <c r="E4232" s="23"/>
      <c r="F4232" s="15"/>
      <c r="G4232" s="23"/>
      <c r="H4232" s="15"/>
      <c r="I4232" s="15"/>
      <c r="J4232" s="51"/>
      <c r="K4232" s="15"/>
      <c r="L4232" s="51"/>
      <c r="M4232" s="15"/>
      <c r="N4232" s="23"/>
      <c r="O4232" s="23"/>
      <c r="P4232" s="15" t="str">
        <f t="shared" si="6"/>
        <v/>
      </c>
      <c r="Q4232" s="24"/>
      <c r="R4232" s="25"/>
      <c r="S4232" s="25"/>
      <c r="T4232" s="26"/>
      <c r="U4232" s="26"/>
      <c r="V4232" s="25"/>
      <c r="W4232" s="25"/>
      <c r="X4232" s="25"/>
      <c r="Y4232" s="25"/>
      <c r="Z4232" s="25"/>
    </row>
    <row r="4233" spans="1:26" ht="15.75" customHeight="1" x14ac:dyDescent="0.25">
      <c r="A4233" s="25"/>
      <c r="B4233" s="49"/>
      <c r="C4233" s="50"/>
      <c r="D4233" s="23"/>
      <c r="E4233" s="23"/>
      <c r="F4233" s="15"/>
      <c r="G4233" s="23"/>
      <c r="H4233" s="15"/>
      <c r="I4233" s="15"/>
      <c r="J4233" s="51"/>
      <c r="K4233" s="15"/>
      <c r="L4233" s="51"/>
      <c r="M4233" s="15"/>
      <c r="N4233" s="23"/>
      <c r="O4233" s="23"/>
      <c r="P4233" s="15" t="str">
        <f t="shared" si="6"/>
        <v/>
      </c>
      <c r="Q4233" s="24"/>
      <c r="R4233" s="25"/>
      <c r="S4233" s="25"/>
      <c r="T4233" s="26"/>
      <c r="U4233" s="26"/>
      <c r="V4233" s="25"/>
      <c r="W4233" s="25"/>
      <c r="X4233" s="25"/>
      <c r="Y4233" s="25"/>
      <c r="Z4233" s="25"/>
    </row>
    <row r="4234" spans="1:26" ht="15.75" customHeight="1" x14ac:dyDescent="0.25">
      <c r="A4234" s="25"/>
      <c r="B4234" s="49"/>
      <c r="C4234" s="50"/>
      <c r="D4234" s="23"/>
      <c r="E4234" s="23"/>
      <c r="F4234" s="15"/>
      <c r="G4234" s="23"/>
      <c r="H4234" s="15"/>
      <c r="I4234" s="15"/>
      <c r="J4234" s="51"/>
      <c r="K4234" s="15"/>
      <c r="L4234" s="51"/>
      <c r="M4234" s="15"/>
      <c r="N4234" s="23"/>
      <c r="O4234" s="23"/>
      <c r="P4234" s="15" t="str">
        <f t="shared" si="6"/>
        <v/>
      </c>
      <c r="Q4234" s="24"/>
      <c r="R4234" s="25"/>
      <c r="S4234" s="25"/>
      <c r="T4234" s="26"/>
      <c r="U4234" s="26"/>
      <c r="V4234" s="25"/>
      <c r="W4234" s="25"/>
      <c r="X4234" s="25"/>
      <c r="Y4234" s="25"/>
      <c r="Z4234" s="25"/>
    </row>
    <row r="4235" spans="1:26" ht="15.75" customHeight="1" x14ac:dyDescent="0.25">
      <c r="A4235" s="25"/>
      <c r="B4235" s="49"/>
      <c r="C4235" s="50"/>
      <c r="D4235" s="23"/>
      <c r="E4235" s="23"/>
      <c r="F4235" s="15"/>
      <c r="G4235" s="23"/>
      <c r="H4235" s="15"/>
      <c r="I4235" s="15"/>
      <c r="J4235" s="51"/>
      <c r="K4235" s="15"/>
      <c r="L4235" s="51"/>
      <c r="M4235" s="15"/>
      <c r="N4235" s="23"/>
      <c r="O4235" s="23"/>
      <c r="P4235" s="15" t="str">
        <f t="shared" si="6"/>
        <v/>
      </c>
      <c r="Q4235" s="24"/>
      <c r="R4235" s="25"/>
      <c r="S4235" s="25"/>
      <c r="T4235" s="26"/>
      <c r="U4235" s="26"/>
      <c r="V4235" s="25"/>
      <c r="W4235" s="25"/>
      <c r="X4235" s="25"/>
      <c r="Y4235" s="25"/>
      <c r="Z4235" s="25"/>
    </row>
    <row r="4236" spans="1:26" ht="15.75" customHeight="1" x14ac:dyDescent="0.25">
      <c r="A4236" s="25"/>
      <c r="B4236" s="49"/>
      <c r="C4236" s="50"/>
      <c r="D4236" s="23"/>
      <c r="E4236" s="23"/>
      <c r="F4236" s="15"/>
      <c r="G4236" s="23"/>
      <c r="H4236" s="15"/>
      <c r="I4236" s="15"/>
      <c r="J4236" s="51"/>
      <c r="K4236" s="15"/>
      <c r="L4236" s="51"/>
      <c r="M4236" s="15"/>
      <c r="N4236" s="23"/>
      <c r="O4236" s="23"/>
      <c r="P4236" s="15" t="str">
        <f t="shared" si="6"/>
        <v/>
      </c>
      <c r="Q4236" s="24"/>
      <c r="R4236" s="25"/>
      <c r="S4236" s="25"/>
      <c r="T4236" s="26"/>
      <c r="U4236" s="26"/>
      <c r="V4236" s="25"/>
      <c r="W4236" s="25"/>
      <c r="X4236" s="25"/>
      <c r="Y4236" s="25"/>
      <c r="Z4236" s="25"/>
    </row>
    <row r="4237" spans="1:26" ht="15.75" customHeight="1" x14ac:dyDescent="0.25">
      <c r="A4237" s="25"/>
      <c r="B4237" s="49"/>
      <c r="C4237" s="50"/>
      <c r="D4237" s="23"/>
      <c r="E4237" s="23"/>
      <c r="F4237" s="15"/>
      <c r="G4237" s="23"/>
      <c r="H4237" s="15"/>
      <c r="I4237" s="15"/>
      <c r="J4237" s="51"/>
      <c r="K4237" s="15"/>
      <c r="L4237" s="51"/>
      <c r="M4237" s="15"/>
      <c r="N4237" s="23"/>
      <c r="O4237" s="23"/>
      <c r="P4237" s="15" t="str">
        <f t="shared" si="6"/>
        <v/>
      </c>
      <c r="Q4237" s="24"/>
      <c r="R4237" s="25"/>
      <c r="S4237" s="25"/>
      <c r="T4237" s="26"/>
      <c r="U4237" s="26"/>
      <c r="V4237" s="25"/>
      <c r="W4237" s="25"/>
      <c r="X4237" s="25"/>
      <c r="Y4237" s="25"/>
      <c r="Z4237" s="25"/>
    </row>
    <row r="4238" spans="1:26" ht="15.75" customHeight="1" x14ac:dyDescent="0.25">
      <c r="A4238" s="25"/>
      <c r="B4238" s="49"/>
      <c r="C4238" s="50"/>
      <c r="D4238" s="23"/>
      <c r="E4238" s="23"/>
      <c r="F4238" s="15"/>
      <c r="G4238" s="23"/>
      <c r="H4238" s="15"/>
      <c r="I4238" s="15"/>
      <c r="J4238" s="51"/>
      <c r="K4238" s="15"/>
      <c r="L4238" s="51"/>
      <c r="M4238" s="15"/>
      <c r="N4238" s="23"/>
      <c r="O4238" s="23"/>
      <c r="P4238" s="15" t="str">
        <f t="shared" si="6"/>
        <v/>
      </c>
      <c r="Q4238" s="24"/>
      <c r="R4238" s="25"/>
      <c r="S4238" s="25"/>
      <c r="T4238" s="26"/>
      <c r="U4238" s="26"/>
      <c r="V4238" s="25"/>
      <c r="W4238" s="25"/>
      <c r="X4238" s="25"/>
      <c r="Y4238" s="25"/>
      <c r="Z4238" s="25"/>
    </row>
    <row r="4239" spans="1:26" ht="15.75" customHeight="1" x14ac:dyDescent="0.25">
      <c r="A4239" s="25"/>
      <c r="B4239" s="49"/>
      <c r="C4239" s="50"/>
      <c r="D4239" s="23"/>
      <c r="E4239" s="23"/>
      <c r="F4239" s="15"/>
      <c r="G4239" s="23"/>
      <c r="H4239" s="15"/>
      <c r="I4239" s="15"/>
      <c r="J4239" s="51"/>
      <c r="K4239" s="15"/>
      <c r="L4239" s="51"/>
      <c r="M4239" s="15"/>
      <c r="N4239" s="23"/>
      <c r="O4239" s="23"/>
      <c r="P4239" s="15" t="str">
        <f t="shared" si="6"/>
        <v/>
      </c>
      <c r="Q4239" s="24"/>
      <c r="R4239" s="25"/>
      <c r="S4239" s="25"/>
      <c r="T4239" s="26"/>
      <c r="U4239" s="26"/>
      <c r="V4239" s="25"/>
      <c r="W4239" s="25"/>
      <c r="X4239" s="25"/>
      <c r="Y4239" s="25"/>
      <c r="Z4239" s="25"/>
    </row>
    <row r="4240" spans="1:26" ht="15.75" customHeight="1" x14ac:dyDescent="0.25">
      <c r="A4240" s="25"/>
      <c r="B4240" s="49"/>
      <c r="C4240" s="50"/>
      <c r="D4240" s="23"/>
      <c r="E4240" s="23"/>
      <c r="F4240" s="15"/>
      <c r="G4240" s="23"/>
      <c r="H4240" s="15"/>
      <c r="I4240" s="15"/>
      <c r="J4240" s="51"/>
      <c r="K4240" s="15"/>
      <c r="L4240" s="51"/>
      <c r="M4240" s="15"/>
      <c r="N4240" s="23"/>
      <c r="O4240" s="23"/>
      <c r="P4240" s="15" t="str">
        <f t="shared" si="6"/>
        <v/>
      </c>
      <c r="Q4240" s="24"/>
      <c r="R4240" s="25"/>
      <c r="S4240" s="25"/>
      <c r="T4240" s="26"/>
      <c r="U4240" s="26"/>
      <c r="V4240" s="25"/>
      <c r="W4240" s="25"/>
      <c r="X4240" s="25"/>
      <c r="Y4240" s="25"/>
      <c r="Z4240" s="25"/>
    </row>
    <row r="4241" spans="1:26" ht="15.75" customHeight="1" x14ac:dyDescent="0.25">
      <c r="A4241" s="25"/>
      <c r="B4241" s="49"/>
      <c r="C4241" s="50"/>
      <c r="D4241" s="23"/>
      <c r="E4241" s="23"/>
      <c r="F4241" s="15"/>
      <c r="G4241" s="23"/>
      <c r="H4241" s="15"/>
      <c r="I4241" s="15"/>
      <c r="J4241" s="51"/>
      <c r="K4241" s="15"/>
      <c r="L4241" s="51"/>
      <c r="M4241" s="15"/>
      <c r="N4241" s="23"/>
      <c r="O4241" s="23"/>
      <c r="P4241" s="15" t="str">
        <f t="shared" si="6"/>
        <v/>
      </c>
      <c r="Q4241" s="24"/>
      <c r="R4241" s="25"/>
      <c r="S4241" s="25"/>
      <c r="T4241" s="26"/>
      <c r="U4241" s="26"/>
      <c r="V4241" s="25"/>
      <c r="W4241" s="25"/>
      <c r="X4241" s="25"/>
      <c r="Y4241" s="25"/>
      <c r="Z4241" s="25"/>
    </row>
    <row r="4242" spans="1:26" ht="15.75" customHeight="1" x14ac:dyDescent="0.25">
      <c r="A4242" s="25"/>
      <c r="B4242" s="49"/>
      <c r="C4242" s="50"/>
      <c r="D4242" s="23"/>
      <c r="E4242" s="23"/>
      <c r="F4242" s="15"/>
      <c r="G4242" s="23"/>
      <c r="H4242" s="15"/>
      <c r="I4242" s="15"/>
      <c r="J4242" s="51"/>
      <c r="K4242" s="15"/>
      <c r="L4242" s="51"/>
      <c r="M4242" s="15"/>
      <c r="N4242" s="23"/>
      <c r="O4242" s="23"/>
      <c r="P4242" s="15" t="str">
        <f t="shared" si="6"/>
        <v/>
      </c>
      <c r="Q4242" s="24"/>
      <c r="R4242" s="25"/>
      <c r="S4242" s="25"/>
      <c r="T4242" s="26"/>
      <c r="U4242" s="26"/>
      <c r="V4242" s="25"/>
      <c r="W4242" s="25"/>
      <c r="X4242" s="25"/>
      <c r="Y4242" s="25"/>
      <c r="Z4242" s="25"/>
    </row>
    <row r="4243" spans="1:26" ht="15.75" customHeight="1" x14ac:dyDescent="0.25">
      <c r="A4243" s="25"/>
      <c r="B4243" s="49"/>
      <c r="C4243" s="50"/>
      <c r="D4243" s="23"/>
      <c r="E4243" s="23"/>
      <c r="F4243" s="15"/>
      <c r="G4243" s="23"/>
      <c r="H4243" s="15"/>
      <c r="I4243" s="15"/>
      <c r="J4243" s="51"/>
      <c r="K4243" s="15"/>
      <c r="L4243" s="51"/>
      <c r="M4243" s="15"/>
      <c r="N4243" s="23"/>
      <c r="O4243" s="23"/>
      <c r="P4243" s="15" t="str">
        <f t="shared" si="6"/>
        <v/>
      </c>
      <c r="Q4243" s="24"/>
      <c r="R4243" s="25"/>
      <c r="S4243" s="25"/>
      <c r="T4243" s="26"/>
      <c r="U4243" s="26"/>
      <c r="V4243" s="25"/>
      <c r="W4243" s="25"/>
      <c r="X4243" s="25"/>
      <c r="Y4243" s="25"/>
      <c r="Z4243" s="25"/>
    </row>
    <row r="4244" spans="1:26" ht="15.75" customHeight="1" x14ac:dyDescent="0.25">
      <c r="A4244" s="25"/>
      <c r="B4244" s="49"/>
      <c r="C4244" s="50"/>
      <c r="D4244" s="23"/>
      <c r="E4244" s="23"/>
      <c r="F4244" s="15"/>
      <c r="G4244" s="23"/>
      <c r="H4244" s="15"/>
      <c r="I4244" s="15"/>
      <c r="J4244" s="51"/>
      <c r="K4244" s="15"/>
      <c r="L4244" s="51"/>
      <c r="M4244" s="15"/>
      <c r="N4244" s="23"/>
      <c r="O4244" s="23"/>
      <c r="P4244" s="15" t="str">
        <f t="shared" si="6"/>
        <v/>
      </c>
      <c r="Q4244" s="24"/>
      <c r="R4244" s="25"/>
      <c r="S4244" s="25"/>
      <c r="T4244" s="26"/>
      <c r="U4244" s="26"/>
      <c r="V4244" s="25"/>
      <c r="W4244" s="25"/>
      <c r="X4244" s="25"/>
      <c r="Y4244" s="25"/>
      <c r="Z4244" s="25"/>
    </row>
    <row r="4245" spans="1:26" ht="15.75" customHeight="1" x14ac:dyDescent="0.25">
      <c r="A4245" s="25"/>
      <c r="B4245" s="49"/>
      <c r="C4245" s="50"/>
      <c r="D4245" s="23"/>
      <c r="E4245" s="23"/>
      <c r="F4245" s="15"/>
      <c r="G4245" s="23"/>
      <c r="H4245" s="15"/>
      <c r="I4245" s="15"/>
      <c r="J4245" s="51"/>
      <c r="K4245" s="15"/>
      <c r="L4245" s="51"/>
      <c r="M4245" s="15"/>
      <c r="N4245" s="23"/>
      <c r="O4245" s="23"/>
      <c r="P4245" s="15" t="str">
        <f t="shared" si="6"/>
        <v/>
      </c>
      <c r="Q4245" s="24"/>
      <c r="R4245" s="25"/>
      <c r="S4245" s="25"/>
      <c r="T4245" s="26"/>
      <c r="U4245" s="26"/>
      <c r="V4245" s="25"/>
      <c r="W4245" s="25"/>
      <c r="X4245" s="25"/>
      <c r="Y4245" s="25"/>
      <c r="Z4245" s="25"/>
    </row>
    <row r="4246" spans="1:26" ht="15.75" customHeight="1" x14ac:dyDescent="0.25">
      <c r="A4246" s="25"/>
      <c r="B4246" s="49"/>
      <c r="C4246" s="50"/>
      <c r="D4246" s="23"/>
      <c r="E4246" s="23"/>
      <c r="F4246" s="15"/>
      <c r="G4246" s="23"/>
      <c r="H4246" s="15"/>
      <c r="I4246" s="15"/>
      <c r="J4246" s="51"/>
      <c r="K4246" s="15"/>
      <c r="L4246" s="51"/>
      <c r="M4246" s="15"/>
      <c r="N4246" s="23"/>
      <c r="O4246" s="23"/>
      <c r="P4246" s="15" t="str">
        <f t="shared" si="6"/>
        <v/>
      </c>
      <c r="Q4246" s="24"/>
      <c r="R4246" s="25"/>
      <c r="S4246" s="25"/>
      <c r="T4246" s="26"/>
      <c r="U4246" s="26"/>
      <c r="V4246" s="25"/>
      <c r="W4246" s="25"/>
      <c r="X4246" s="25"/>
      <c r="Y4246" s="25"/>
      <c r="Z4246" s="25"/>
    </row>
    <row r="4247" spans="1:26" ht="15.75" customHeight="1" x14ac:dyDescent="0.25">
      <c r="A4247" s="25"/>
      <c r="B4247" s="49"/>
      <c r="C4247" s="50"/>
      <c r="D4247" s="23"/>
      <c r="E4247" s="23"/>
      <c r="F4247" s="15"/>
      <c r="G4247" s="23"/>
      <c r="H4247" s="15"/>
      <c r="I4247" s="15"/>
      <c r="J4247" s="51"/>
      <c r="K4247" s="15"/>
      <c r="L4247" s="51"/>
      <c r="M4247" s="15"/>
      <c r="N4247" s="23"/>
      <c r="O4247" s="23"/>
      <c r="P4247" s="15" t="str">
        <f t="shared" si="6"/>
        <v/>
      </c>
      <c r="Q4247" s="24"/>
      <c r="R4247" s="25"/>
      <c r="S4247" s="25"/>
      <c r="T4247" s="26"/>
      <c r="U4247" s="26"/>
      <c r="V4247" s="25"/>
      <c r="W4247" s="25"/>
      <c r="X4247" s="25"/>
      <c r="Y4247" s="25"/>
      <c r="Z4247" s="25"/>
    </row>
    <row r="4248" spans="1:26" ht="15.75" customHeight="1" x14ac:dyDescent="0.25">
      <c r="A4248" s="25"/>
      <c r="B4248" s="49"/>
      <c r="C4248" s="50"/>
      <c r="D4248" s="23"/>
      <c r="E4248" s="23"/>
      <c r="F4248" s="15"/>
      <c r="G4248" s="23"/>
      <c r="H4248" s="15"/>
      <c r="I4248" s="15"/>
      <c r="J4248" s="51"/>
      <c r="K4248" s="15"/>
      <c r="L4248" s="51"/>
      <c r="M4248" s="15"/>
      <c r="N4248" s="23"/>
      <c r="O4248" s="23"/>
      <c r="P4248" s="15" t="str">
        <f t="shared" si="6"/>
        <v/>
      </c>
      <c r="Q4248" s="24"/>
      <c r="R4248" s="25"/>
      <c r="S4248" s="25"/>
      <c r="T4248" s="26"/>
      <c r="U4248" s="26"/>
      <c r="V4248" s="25"/>
      <c r="W4248" s="25"/>
      <c r="X4248" s="25"/>
      <c r="Y4248" s="25"/>
      <c r="Z4248" s="25"/>
    </row>
    <row r="4249" spans="1:26" ht="15.75" customHeight="1" x14ac:dyDescent="0.25">
      <c r="A4249" s="25"/>
      <c r="B4249" s="49"/>
      <c r="C4249" s="50"/>
      <c r="D4249" s="23"/>
      <c r="E4249" s="23"/>
      <c r="F4249" s="15"/>
      <c r="G4249" s="23"/>
      <c r="H4249" s="15"/>
      <c r="I4249" s="15"/>
      <c r="J4249" s="51"/>
      <c r="K4249" s="15"/>
      <c r="L4249" s="51"/>
      <c r="M4249" s="15"/>
      <c r="N4249" s="23"/>
      <c r="O4249" s="23"/>
      <c r="P4249" s="15" t="str">
        <f t="shared" si="6"/>
        <v/>
      </c>
      <c r="Q4249" s="24"/>
      <c r="R4249" s="25"/>
      <c r="S4249" s="25"/>
      <c r="T4249" s="26"/>
      <c r="U4249" s="26"/>
      <c r="V4249" s="25"/>
      <c r="W4249" s="25"/>
      <c r="X4249" s="25"/>
      <c r="Y4249" s="25"/>
      <c r="Z4249" s="25"/>
    </row>
    <row r="4250" spans="1:26" ht="15.75" customHeight="1" x14ac:dyDescent="0.25">
      <c r="A4250" s="25"/>
      <c r="B4250" s="49"/>
      <c r="C4250" s="50"/>
      <c r="D4250" s="23"/>
      <c r="E4250" s="23"/>
      <c r="F4250" s="15"/>
      <c r="G4250" s="23"/>
      <c r="H4250" s="15"/>
      <c r="I4250" s="15"/>
      <c r="J4250" s="51"/>
      <c r="K4250" s="15"/>
      <c r="L4250" s="51"/>
      <c r="M4250" s="15"/>
      <c r="N4250" s="23"/>
      <c r="O4250" s="23"/>
      <c r="P4250" s="15" t="str">
        <f t="shared" si="6"/>
        <v/>
      </c>
      <c r="Q4250" s="24"/>
      <c r="R4250" s="25"/>
      <c r="S4250" s="25"/>
      <c r="T4250" s="26"/>
      <c r="U4250" s="26"/>
      <c r="V4250" s="25"/>
      <c r="W4250" s="25"/>
      <c r="X4250" s="25"/>
      <c r="Y4250" s="25"/>
      <c r="Z4250" s="25"/>
    </row>
    <row r="4251" spans="1:26" ht="15.75" customHeight="1" x14ac:dyDescent="0.25">
      <c r="A4251" s="25"/>
      <c r="B4251" s="49"/>
      <c r="C4251" s="50"/>
      <c r="D4251" s="23"/>
      <c r="E4251" s="23"/>
      <c r="F4251" s="15"/>
      <c r="G4251" s="23"/>
      <c r="H4251" s="15"/>
      <c r="I4251" s="15"/>
      <c r="J4251" s="51"/>
      <c r="K4251" s="15"/>
      <c r="L4251" s="51"/>
      <c r="M4251" s="15"/>
      <c r="N4251" s="23"/>
      <c r="O4251" s="23"/>
      <c r="P4251" s="15" t="str">
        <f t="shared" si="6"/>
        <v/>
      </c>
      <c r="Q4251" s="24"/>
      <c r="R4251" s="25"/>
      <c r="S4251" s="25"/>
      <c r="T4251" s="26"/>
      <c r="U4251" s="26"/>
      <c r="V4251" s="25"/>
      <c r="W4251" s="25"/>
      <c r="X4251" s="25"/>
      <c r="Y4251" s="25"/>
      <c r="Z4251" s="25"/>
    </row>
    <row r="4252" spans="1:26" ht="15.75" customHeight="1" x14ac:dyDescent="0.25">
      <c r="A4252" s="25"/>
      <c r="B4252" s="49"/>
      <c r="C4252" s="50"/>
      <c r="D4252" s="23"/>
      <c r="E4252" s="23"/>
      <c r="F4252" s="15"/>
      <c r="G4252" s="23"/>
      <c r="H4252" s="15"/>
      <c r="I4252" s="15"/>
      <c r="J4252" s="51"/>
      <c r="K4252" s="15"/>
      <c r="L4252" s="51"/>
      <c r="M4252" s="15"/>
      <c r="N4252" s="23"/>
      <c r="O4252" s="23"/>
      <c r="P4252" s="15" t="str">
        <f t="shared" si="6"/>
        <v/>
      </c>
      <c r="Q4252" s="24"/>
      <c r="R4252" s="25"/>
      <c r="S4252" s="25"/>
      <c r="T4252" s="26"/>
      <c r="U4252" s="26"/>
      <c r="V4252" s="25"/>
      <c r="W4252" s="25"/>
      <c r="X4252" s="25"/>
      <c r="Y4252" s="25"/>
      <c r="Z4252" s="25"/>
    </row>
    <row r="4253" spans="1:26" ht="15.75" customHeight="1" x14ac:dyDescent="0.25">
      <c r="A4253" s="25"/>
      <c r="B4253" s="49"/>
      <c r="C4253" s="50"/>
      <c r="D4253" s="23"/>
      <c r="E4253" s="23"/>
      <c r="F4253" s="15"/>
      <c r="G4253" s="23"/>
      <c r="H4253" s="15"/>
      <c r="I4253" s="15"/>
      <c r="J4253" s="51"/>
      <c r="K4253" s="15"/>
      <c r="L4253" s="51"/>
      <c r="M4253" s="15"/>
      <c r="N4253" s="23"/>
      <c r="O4253" s="23"/>
      <c r="P4253" s="15" t="str">
        <f t="shared" si="6"/>
        <v/>
      </c>
      <c r="Q4253" s="24"/>
      <c r="R4253" s="25"/>
      <c r="S4253" s="25"/>
      <c r="T4253" s="26"/>
      <c r="U4253" s="26"/>
      <c r="V4253" s="25"/>
      <c r="W4253" s="25"/>
      <c r="X4253" s="25"/>
      <c r="Y4253" s="25"/>
      <c r="Z4253" s="25"/>
    </row>
    <row r="4254" spans="1:26" ht="15.75" customHeight="1" x14ac:dyDescent="0.25">
      <c r="A4254" s="25"/>
      <c r="B4254" s="49"/>
      <c r="C4254" s="50"/>
      <c r="D4254" s="23"/>
      <c r="E4254" s="23"/>
      <c r="F4254" s="15"/>
      <c r="G4254" s="23"/>
      <c r="H4254" s="15"/>
      <c r="I4254" s="15"/>
      <c r="J4254" s="51"/>
      <c r="K4254" s="15"/>
      <c r="L4254" s="51"/>
      <c r="M4254" s="15"/>
      <c r="N4254" s="23"/>
      <c r="O4254" s="23"/>
      <c r="P4254" s="15" t="str">
        <f t="shared" si="6"/>
        <v/>
      </c>
      <c r="Q4254" s="24"/>
      <c r="R4254" s="25"/>
      <c r="S4254" s="25"/>
      <c r="T4254" s="26"/>
      <c r="U4254" s="26"/>
      <c r="V4254" s="25"/>
      <c r="W4254" s="25"/>
      <c r="X4254" s="25"/>
      <c r="Y4254" s="25"/>
      <c r="Z4254" s="25"/>
    </row>
    <row r="4255" spans="1:26" ht="15.75" customHeight="1" x14ac:dyDescent="0.25">
      <c r="A4255" s="25"/>
      <c r="B4255" s="49"/>
      <c r="C4255" s="50"/>
      <c r="D4255" s="23"/>
      <c r="E4255" s="23"/>
      <c r="F4255" s="15"/>
      <c r="G4255" s="23"/>
      <c r="H4255" s="15"/>
      <c r="I4255" s="15"/>
      <c r="J4255" s="51"/>
      <c r="K4255" s="15"/>
      <c r="L4255" s="51"/>
      <c r="M4255" s="15"/>
      <c r="N4255" s="23"/>
      <c r="O4255" s="23"/>
      <c r="P4255" s="15" t="str">
        <f t="shared" si="6"/>
        <v/>
      </c>
      <c r="Q4255" s="24"/>
      <c r="R4255" s="25"/>
      <c r="S4255" s="25"/>
      <c r="T4255" s="26"/>
      <c r="U4255" s="26"/>
      <c r="V4255" s="25"/>
      <c r="W4255" s="25"/>
      <c r="X4255" s="25"/>
      <c r="Y4255" s="25"/>
      <c r="Z4255" s="25"/>
    </row>
    <row r="4256" spans="1:26" ht="15.75" customHeight="1" x14ac:dyDescent="0.25">
      <c r="A4256" s="25"/>
      <c r="B4256" s="49"/>
      <c r="C4256" s="50"/>
      <c r="D4256" s="23"/>
      <c r="E4256" s="23"/>
      <c r="F4256" s="15"/>
      <c r="G4256" s="23"/>
      <c r="H4256" s="15"/>
      <c r="I4256" s="15"/>
      <c r="J4256" s="51"/>
      <c r="K4256" s="15"/>
      <c r="L4256" s="51"/>
      <c r="M4256" s="15"/>
      <c r="N4256" s="23"/>
      <c r="O4256" s="23"/>
      <c r="P4256" s="15" t="str">
        <f t="shared" si="6"/>
        <v/>
      </c>
      <c r="Q4256" s="24"/>
      <c r="R4256" s="25"/>
      <c r="S4256" s="25"/>
      <c r="T4256" s="26"/>
      <c r="U4256" s="26"/>
      <c r="V4256" s="25"/>
      <c r="W4256" s="25"/>
      <c r="X4256" s="25"/>
      <c r="Y4256" s="25"/>
      <c r="Z4256" s="25"/>
    </row>
    <row r="4257" spans="1:26" ht="15.75" customHeight="1" x14ac:dyDescent="0.25">
      <c r="A4257" s="25"/>
      <c r="B4257" s="49"/>
      <c r="C4257" s="50"/>
      <c r="D4257" s="23"/>
      <c r="E4257" s="23"/>
      <c r="F4257" s="15"/>
      <c r="G4257" s="23"/>
      <c r="H4257" s="15"/>
      <c r="I4257" s="15"/>
      <c r="J4257" s="51"/>
      <c r="K4257" s="15"/>
      <c r="L4257" s="51"/>
      <c r="M4257" s="15"/>
      <c r="N4257" s="23"/>
      <c r="O4257" s="23"/>
      <c r="P4257" s="15" t="str">
        <f t="shared" si="6"/>
        <v/>
      </c>
      <c r="Q4257" s="24"/>
      <c r="R4257" s="25"/>
      <c r="S4257" s="25"/>
      <c r="T4257" s="26"/>
      <c r="U4257" s="26"/>
      <c r="V4257" s="25"/>
      <c r="W4257" s="25"/>
      <c r="X4257" s="25"/>
      <c r="Y4257" s="25"/>
      <c r="Z4257" s="25"/>
    </row>
    <row r="4258" spans="1:26" ht="15.75" customHeight="1" x14ac:dyDescent="0.25">
      <c r="A4258" s="25"/>
      <c r="B4258" s="49"/>
      <c r="C4258" s="50"/>
      <c r="D4258" s="23"/>
      <c r="E4258" s="23"/>
      <c r="F4258" s="15"/>
      <c r="G4258" s="23"/>
      <c r="H4258" s="15"/>
      <c r="I4258" s="15"/>
      <c r="J4258" s="51"/>
      <c r="K4258" s="15"/>
      <c r="L4258" s="51"/>
      <c r="M4258" s="15"/>
      <c r="N4258" s="23"/>
      <c r="O4258" s="23"/>
      <c r="P4258" s="15" t="str">
        <f t="shared" si="6"/>
        <v/>
      </c>
      <c r="Q4258" s="24"/>
      <c r="R4258" s="25"/>
      <c r="S4258" s="25"/>
      <c r="T4258" s="26"/>
      <c r="U4258" s="26"/>
      <c r="V4258" s="25"/>
      <c r="W4258" s="25"/>
      <c r="X4258" s="25"/>
      <c r="Y4258" s="25"/>
      <c r="Z4258" s="25"/>
    </row>
    <row r="4259" spans="1:26" ht="15.75" customHeight="1" x14ac:dyDescent="0.25">
      <c r="A4259" s="25"/>
      <c r="B4259" s="49"/>
      <c r="C4259" s="50"/>
      <c r="D4259" s="23"/>
      <c r="E4259" s="23"/>
      <c r="F4259" s="15"/>
      <c r="G4259" s="23"/>
      <c r="H4259" s="15"/>
      <c r="I4259" s="15"/>
      <c r="J4259" s="51"/>
      <c r="K4259" s="15"/>
      <c r="L4259" s="51"/>
      <c r="M4259" s="15"/>
      <c r="N4259" s="23"/>
      <c r="O4259" s="23"/>
      <c r="P4259" s="15" t="str">
        <f t="shared" si="6"/>
        <v/>
      </c>
      <c r="Q4259" s="24"/>
      <c r="R4259" s="25"/>
      <c r="S4259" s="25"/>
      <c r="T4259" s="26"/>
      <c r="U4259" s="26"/>
      <c r="V4259" s="25"/>
      <c r="W4259" s="25"/>
      <c r="X4259" s="25"/>
      <c r="Y4259" s="25"/>
      <c r="Z4259" s="25"/>
    </row>
    <row r="4260" spans="1:26" ht="15.75" customHeight="1" x14ac:dyDescent="0.25">
      <c r="A4260" s="25"/>
      <c r="B4260" s="49"/>
      <c r="C4260" s="50"/>
      <c r="D4260" s="23"/>
      <c r="E4260" s="23"/>
      <c r="F4260" s="15"/>
      <c r="G4260" s="23"/>
      <c r="H4260" s="15"/>
      <c r="I4260" s="15"/>
      <c r="J4260" s="51"/>
      <c r="K4260" s="15"/>
      <c r="L4260" s="51"/>
      <c r="M4260" s="15"/>
      <c r="N4260" s="23"/>
      <c r="O4260" s="23"/>
      <c r="P4260" s="15" t="str">
        <f t="shared" si="6"/>
        <v/>
      </c>
      <c r="Q4260" s="24"/>
      <c r="R4260" s="25"/>
      <c r="S4260" s="25"/>
      <c r="T4260" s="26"/>
      <c r="U4260" s="26"/>
      <c r="V4260" s="25"/>
      <c r="W4260" s="25"/>
      <c r="X4260" s="25"/>
      <c r="Y4260" s="25"/>
      <c r="Z4260" s="25"/>
    </row>
    <row r="4261" spans="1:26" ht="15.75" customHeight="1" x14ac:dyDescent="0.25">
      <c r="A4261" s="25"/>
      <c r="B4261" s="49"/>
      <c r="C4261" s="50"/>
      <c r="D4261" s="23"/>
      <c r="E4261" s="23"/>
      <c r="F4261" s="15"/>
      <c r="G4261" s="23"/>
      <c r="H4261" s="15"/>
      <c r="I4261" s="15"/>
      <c r="J4261" s="51"/>
      <c r="K4261" s="15"/>
      <c r="L4261" s="51"/>
      <c r="M4261" s="15"/>
      <c r="N4261" s="23"/>
      <c r="O4261" s="23"/>
      <c r="P4261" s="15" t="str">
        <f t="shared" si="6"/>
        <v/>
      </c>
      <c r="Q4261" s="24"/>
      <c r="R4261" s="25"/>
      <c r="S4261" s="25"/>
      <c r="T4261" s="26"/>
      <c r="U4261" s="26"/>
      <c r="V4261" s="25"/>
      <c r="W4261" s="25"/>
      <c r="X4261" s="25"/>
      <c r="Y4261" s="25"/>
      <c r="Z4261" s="25"/>
    </row>
    <row r="4262" spans="1:26" ht="15.75" customHeight="1" x14ac:dyDescent="0.25">
      <c r="A4262" s="25"/>
      <c r="B4262" s="49"/>
      <c r="C4262" s="50"/>
      <c r="D4262" s="23"/>
      <c r="E4262" s="23"/>
      <c r="F4262" s="15"/>
      <c r="G4262" s="23"/>
      <c r="H4262" s="15"/>
      <c r="I4262" s="15"/>
      <c r="J4262" s="51"/>
      <c r="K4262" s="15"/>
      <c r="L4262" s="51"/>
      <c r="M4262" s="15"/>
      <c r="N4262" s="23"/>
      <c r="O4262" s="23"/>
      <c r="P4262" s="15" t="str">
        <f t="shared" si="6"/>
        <v/>
      </c>
      <c r="Q4262" s="24"/>
      <c r="R4262" s="25"/>
      <c r="S4262" s="25"/>
      <c r="T4262" s="26"/>
      <c r="U4262" s="26"/>
      <c r="V4262" s="25"/>
      <c r="W4262" s="25"/>
      <c r="X4262" s="25"/>
      <c r="Y4262" s="25"/>
      <c r="Z4262" s="25"/>
    </row>
    <row r="4263" spans="1:26" ht="15.75" customHeight="1" x14ac:dyDescent="0.25">
      <c r="A4263" s="25"/>
      <c r="B4263" s="49"/>
      <c r="C4263" s="50"/>
      <c r="D4263" s="23"/>
      <c r="E4263" s="23"/>
      <c r="F4263" s="15"/>
      <c r="G4263" s="23"/>
      <c r="H4263" s="15"/>
      <c r="I4263" s="15"/>
      <c r="J4263" s="51"/>
      <c r="K4263" s="15"/>
      <c r="L4263" s="51"/>
      <c r="M4263" s="15"/>
      <c r="N4263" s="23"/>
      <c r="O4263" s="23"/>
      <c r="P4263" s="15" t="str">
        <f t="shared" si="6"/>
        <v/>
      </c>
      <c r="Q4263" s="24"/>
      <c r="R4263" s="25"/>
      <c r="S4263" s="25"/>
      <c r="T4263" s="26"/>
      <c r="U4263" s="26"/>
      <c r="V4263" s="25"/>
      <c r="W4263" s="25"/>
      <c r="X4263" s="25"/>
      <c r="Y4263" s="25"/>
      <c r="Z4263" s="25"/>
    </row>
    <row r="4264" spans="1:26" ht="15.75" customHeight="1" x14ac:dyDescent="0.25">
      <c r="A4264" s="25"/>
      <c r="B4264" s="49"/>
      <c r="C4264" s="50"/>
      <c r="D4264" s="23"/>
      <c r="E4264" s="23"/>
      <c r="F4264" s="15"/>
      <c r="G4264" s="23"/>
      <c r="H4264" s="15"/>
      <c r="I4264" s="15"/>
      <c r="J4264" s="51"/>
      <c r="K4264" s="15"/>
      <c r="L4264" s="51"/>
      <c r="M4264" s="15"/>
      <c r="N4264" s="23"/>
      <c r="O4264" s="23"/>
      <c r="P4264" s="15" t="str">
        <f t="shared" si="6"/>
        <v/>
      </c>
      <c r="Q4264" s="24"/>
      <c r="R4264" s="25"/>
      <c r="S4264" s="25"/>
      <c r="T4264" s="26"/>
      <c r="U4264" s="26"/>
      <c r="V4264" s="25"/>
      <c r="W4264" s="25"/>
      <c r="X4264" s="25"/>
      <c r="Y4264" s="25"/>
      <c r="Z4264" s="25"/>
    </row>
    <row r="4265" spans="1:26" ht="15.75" customHeight="1" x14ac:dyDescent="0.25">
      <c r="A4265" s="25"/>
      <c r="B4265" s="49"/>
      <c r="C4265" s="50"/>
      <c r="D4265" s="23"/>
      <c r="E4265" s="23"/>
      <c r="F4265" s="15"/>
      <c r="G4265" s="23"/>
      <c r="H4265" s="15"/>
      <c r="I4265" s="15"/>
      <c r="J4265" s="51"/>
      <c r="K4265" s="15"/>
      <c r="L4265" s="51"/>
      <c r="M4265" s="15"/>
      <c r="N4265" s="23"/>
      <c r="O4265" s="23"/>
      <c r="P4265" s="15" t="str">
        <f t="shared" si="6"/>
        <v/>
      </c>
      <c r="Q4265" s="24"/>
      <c r="R4265" s="25"/>
      <c r="S4265" s="25"/>
      <c r="T4265" s="26"/>
      <c r="U4265" s="26"/>
      <c r="V4265" s="25"/>
      <c r="W4265" s="25"/>
      <c r="X4265" s="25"/>
      <c r="Y4265" s="25"/>
      <c r="Z4265" s="25"/>
    </row>
    <row r="4266" spans="1:26" ht="15.75" customHeight="1" x14ac:dyDescent="0.25">
      <c r="A4266" s="25"/>
      <c r="B4266" s="49"/>
      <c r="C4266" s="50"/>
      <c r="D4266" s="23"/>
      <c r="E4266" s="23"/>
      <c r="F4266" s="15"/>
      <c r="G4266" s="23"/>
      <c r="H4266" s="15"/>
      <c r="I4266" s="15"/>
      <c r="J4266" s="51"/>
      <c r="K4266" s="15"/>
      <c r="L4266" s="51"/>
      <c r="M4266" s="15"/>
      <c r="N4266" s="23"/>
      <c r="O4266" s="23"/>
      <c r="P4266" s="15" t="str">
        <f t="shared" si="6"/>
        <v/>
      </c>
      <c r="Q4266" s="24"/>
      <c r="R4266" s="25"/>
      <c r="S4266" s="25"/>
      <c r="T4266" s="26"/>
      <c r="U4266" s="26"/>
      <c r="V4266" s="25"/>
      <c r="W4266" s="25"/>
      <c r="X4266" s="25"/>
      <c r="Y4266" s="25"/>
      <c r="Z4266" s="25"/>
    </row>
    <row r="4267" spans="1:26" ht="15.75" customHeight="1" x14ac:dyDescent="0.25">
      <c r="A4267" s="25"/>
      <c r="B4267" s="49"/>
      <c r="C4267" s="50"/>
      <c r="D4267" s="23"/>
      <c r="E4267" s="23"/>
      <c r="F4267" s="15"/>
      <c r="G4267" s="23"/>
      <c r="H4267" s="15"/>
      <c r="I4267" s="15"/>
      <c r="J4267" s="51"/>
      <c r="K4267" s="15"/>
      <c r="L4267" s="51"/>
      <c r="M4267" s="15"/>
      <c r="N4267" s="23"/>
      <c r="O4267" s="23"/>
      <c r="P4267" s="15" t="str">
        <f t="shared" si="6"/>
        <v/>
      </c>
      <c r="Q4267" s="24"/>
      <c r="R4267" s="25"/>
      <c r="S4267" s="25"/>
      <c r="T4267" s="26"/>
      <c r="U4267" s="26"/>
      <c r="V4267" s="25"/>
      <c r="W4267" s="25"/>
      <c r="X4267" s="25"/>
      <c r="Y4267" s="25"/>
      <c r="Z4267" s="25"/>
    </row>
    <row r="4268" spans="1:26" ht="15.75" customHeight="1" x14ac:dyDescent="0.25">
      <c r="A4268" s="25"/>
      <c r="B4268" s="49"/>
      <c r="C4268" s="50"/>
      <c r="D4268" s="23"/>
      <c r="E4268" s="23"/>
      <c r="F4268" s="15"/>
      <c r="G4268" s="23"/>
      <c r="H4268" s="15"/>
      <c r="I4268" s="15"/>
      <c r="J4268" s="51"/>
      <c r="K4268" s="15"/>
      <c r="L4268" s="51"/>
      <c r="M4268" s="15"/>
      <c r="N4268" s="23"/>
      <c r="O4268" s="23"/>
      <c r="P4268" s="15" t="str">
        <f t="shared" si="6"/>
        <v/>
      </c>
      <c r="Q4268" s="24"/>
      <c r="R4268" s="25"/>
      <c r="S4268" s="25"/>
      <c r="T4268" s="26"/>
      <c r="U4268" s="26"/>
      <c r="V4268" s="25"/>
      <c r="W4268" s="25"/>
      <c r="X4268" s="25"/>
      <c r="Y4268" s="25"/>
      <c r="Z4268" s="25"/>
    </row>
    <row r="4269" spans="1:26" ht="15.75" customHeight="1" x14ac:dyDescent="0.25">
      <c r="A4269" s="25"/>
      <c r="B4269" s="49"/>
      <c r="C4269" s="50"/>
      <c r="D4269" s="23"/>
      <c r="E4269" s="23"/>
      <c r="F4269" s="15"/>
      <c r="G4269" s="23"/>
      <c r="H4269" s="15"/>
      <c r="I4269" s="15"/>
      <c r="J4269" s="51"/>
      <c r="K4269" s="15"/>
      <c r="L4269" s="51"/>
      <c r="M4269" s="15"/>
      <c r="N4269" s="23"/>
      <c r="O4269" s="23"/>
      <c r="P4269" s="15" t="str">
        <f t="shared" si="6"/>
        <v/>
      </c>
      <c r="Q4269" s="24"/>
      <c r="R4269" s="25"/>
      <c r="S4269" s="25"/>
      <c r="T4269" s="26"/>
      <c r="U4269" s="26"/>
      <c r="V4269" s="25"/>
      <c r="W4269" s="25"/>
      <c r="X4269" s="25"/>
      <c r="Y4269" s="25"/>
      <c r="Z4269" s="25"/>
    </row>
    <row r="4270" spans="1:26" ht="15.75" customHeight="1" x14ac:dyDescent="0.25">
      <c r="A4270" s="25"/>
      <c r="B4270" s="49"/>
      <c r="C4270" s="50"/>
      <c r="D4270" s="23"/>
      <c r="E4270" s="23"/>
      <c r="F4270" s="15"/>
      <c r="G4270" s="23"/>
      <c r="H4270" s="15"/>
      <c r="I4270" s="15"/>
      <c r="J4270" s="51"/>
      <c r="K4270" s="15"/>
      <c r="L4270" s="51"/>
      <c r="M4270" s="15"/>
      <c r="N4270" s="23"/>
      <c r="O4270" s="23"/>
      <c r="P4270" s="15" t="str">
        <f t="shared" si="6"/>
        <v/>
      </c>
      <c r="Q4270" s="24"/>
      <c r="R4270" s="25"/>
      <c r="S4270" s="25"/>
      <c r="T4270" s="26"/>
      <c r="U4270" s="26"/>
      <c r="V4270" s="25"/>
      <c r="W4270" s="25"/>
      <c r="X4270" s="25"/>
      <c r="Y4270" s="25"/>
      <c r="Z4270" s="25"/>
    </row>
    <row r="4271" spans="1:26" ht="15.75" customHeight="1" x14ac:dyDescent="0.25">
      <c r="A4271" s="25"/>
      <c r="B4271" s="49"/>
      <c r="C4271" s="50"/>
      <c r="D4271" s="23"/>
      <c r="E4271" s="23"/>
      <c r="F4271" s="15"/>
      <c r="G4271" s="23"/>
      <c r="H4271" s="15"/>
      <c r="I4271" s="15"/>
      <c r="J4271" s="51"/>
      <c r="K4271" s="15"/>
      <c r="L4271" s="51"/>
      <c r="M4271" s="15"/>
      <c r="N4271" s="23"/>
      <c r="O4271" s="23"/>
      <c r="P4271" s="15" t="str">
        <f t="shared" si="6"/>
        <v/>
      </c>
      <c r="Q4271" s="24"/>
      <c r="R4271" s="25"/>
      <c r="S4271" s="25"/>
      <c r="T4271" s="26"/>
      <c r="U4271" s="26"/>
      <c r="V4271" s="25"/>
      <c r="W4271" s="25"/>
      <c r="X4271" s="25"/>
      <c r="Y4271" s="25"/>
      <c r="Z4271" s="25"/>
    </row>
    <row r="4272" spans="1:26" ht="15.75" customHeight="1" x14ac:dyDescent="0.25">
      <c r="A4272" s="25"/>
      <c r="B4272" s="49"/>
      <c r="C4272" s="50"/>
      <c r="D4272" s="23"/>
      <c r="E4272" s="23"/>
      <c r="F4272" s="15"/>
      <c r="G4272" s="23"/>
      <c r="H4272" s="15"/>
      <c r="I4272" s="15"/>
      <c r="J4272" s="51"/>
      <c r="K4272" s="15"/>
      <c r="L4272" s="51"/>
      <c r="M4272" s="15"/>
      <c r="N4272" s="23"/>
      <c r="O4272" s="23"/>
      <c r="P4272" s="15" t="str">
        <f t="shared" si="6"/>
        <v/>
      </c>
      <c r="Q4272" s="24"/>
      <c r="R4272" s="25"/>
      <c r="S4272" s="25"/>
      <c r="T4272" s="26"/>
      <c r="U4272" s="26"/>
      <c r="V4272" s="25"/>
      <c r="W4272" s="25"/>
      <c r="X4272" s="25"/>
      <c r="Y4272" s="25"/>
      <c r="Z4272" s="25"/>
    </row>
    <row r="4273" spans="1:26" ht="15.75" customHeight="1" x14ac:dyDescent="0.25">
      <c r="A4273" s="25"/>
      <c r="B4273" s="49"/>
      <c r="C4273" s="50"/>
      <c r="D4273" s="23"/>
      <c r="E4273" s="23"/>
      <c r="F4273" s="15"/>
      <c r="G4273" s="23"/>
      <c r="H4273" s="15"/>
      <c r="I4273" s="15"/>
      <c r="J4273" s="51"/>
      <c r="K4273" s="15"/>
      <c r="L4273" s="51"/>
      <c r="M4273" s="15"/>
      <c r="N4273" s="23"/>
      <c r="O4273" s="23"/>
      <c r="P4273" s="15" t="str">
        <f t="shared" si="6"/>
        <v/>
      </c>
      <c r="Q4273" s="24"/>
      <c r="R4273" s="25"/>
      <c r="S4273" s="25"/>
      <c r="T4273" s="26"/>
      <c r="U4273" s="26"/>
      <c r="V4273" s="25"/>
      <c r="W4273" s="25"/>
      <c r="X4273" s="25"/>
      <c r="Y4273" s="25"/>
      <c r="Z4273" s="25"/>
    </row>
    <row r="4274" spans="1:26" ht="15.75" customHeight="1" x14ac:dyDescent="0.25">
      <c r="A4274" s="25"/>
      <c r="B4274" s="49"/>
      <c r="C4274" s="50"/>
      <c r="D4274" s="23"/>
      <c r="E4274" s="23"/>
      <c r="F4274" s="15"/>
      <c r="G4274" s="23"/>
      <c r="H4274" s="15"/>
      <c r="I4274" s="15"/>
      <c r="J4274" s="51"/>
      <c r="K4274" s="15"/>
      <c r="L4274" s="51"/>
      <c r="M4274" s="15"/>
      <c r="N4274" s="23"/>
      <c r="O4274" s="23"/>
      <c r="P4274" s="15" t="str">
        <f t="shared" si="6"/>
        <v/>
      </c>
      <c r="Q4274" s="24"/>
      <c r="R4274" s="25"/>
      <c r="S4274" s="25"/>
      <c r="T4274" s="26"/>
      <c r="U4274" s="26"/>
      <c r="V4274" s="25"/>
      <c r="W4274" s="25"/>
      <c r="X4274" s="25"/>
      <c r="Y4274" s="25"/>
      <c r="Z4274" s="25"/>
    </row>
    <row r="4275" spans="1:26" ht="15.75" customHeight="1" x14ac:dyDescent="0.25">
      <c r="A4275" s="25"/>
      <c r="B4275" s="49"/>
      <c r="C4275" s="50"/>
      <c r="D4275" s="23"/>
      <c r="E4275" s="23"/>
      <c r="F4275" s="15"/>
      <c r="G4275" s="23"/>
      <c r="H4275" s="15"/>
      <c r="I4275" s="15"/>
      <c r="J4275" s="51"/>
      <c r="K4275" s="15"/>
      <c r="L4275" s="51"/>
      <c r="M4275" s="15"/>
      <c r="N4275" s="23"/>
      <c r="O4275" s="23"/>
      <c r="P4275" s="15" t="str">
        <f t="shared" si="6"/>
        <v/>
      </c>
      <c r="Q4275" s="24"/>
      <c r="R4275" s="25"/>
      <c r="S4275" s="25"/>
      <c r="T4275" s="26"/>
      <c r="U4275" s="26"/>
      <c r="V4275" s="25"/>
      <c r="W4275" s="25"/>
      <c r="X4275" s="25"/>
      <c r="Y4275" s="25"/>
      <c r="Z4275" s="25"/>
    </row>
    <row r="4276" spans="1:26" ht="15.75" customHeight="1" x14ac:dyDescent="0.25">
      <c r="A4276" s="25"/>
      <c r="B4276" s="49"/>
      <c r="C4276" s="50"/>
      <c r="D4276" s="23"/>
      <c r="E4276" s="23"/>
      <c r="F4276" s="15"/>
      <c r="G4276" s="23"/>
      <c r="H4276" s="15"/>
      <c r="I4276" s="15"/>
      <c r="J4276" s="51"/>
      <c r="K4276" s="15"/>
      <c r="L4276" s="51"/>
      <c r="M4276" s="15"/>
      <c r="N4276" s="23"/>
      <c r="O4276" s="23"/>
      <c r="P4276" s="15" t="str">
        <f t="shared" si="6"/>
        <v/>
      </c>
      <c r="Q4276" s="24"/>
      <c r="R4276" s="25"/>
      <c r="S4276" s="25"/>
      <c r="T4276" s="26"/>
      <c r="U4276" s="26"/>
      <c r="V4276" s="25"/>
      <c r="W4276" s="25"/>
      <c r="X4276" s="25"/>
      <c r="Y4276" s="25"/>
      <c r="Z4276" s="25"/>
    </row>
    <row r="4277" spans="1:26" ht="15.75" customHeight="1" x14ac:dyDescent="0.25">
      <c r="A4277" s="25"/>
      <c r="B4277" s="49"/>
      <c r="C4277" s="50"/>
      <c r="D4277" s="23"/>
      <c r="E4277" s="23"/>
      <c r="F4277" s="15"/>
      <c r="G4277" s="23"/>
      <c r="H4277" s="15"/>
      <c r="I4277" s="15"/>
      <c r="J4277" s="51"/>
      <c r="K4277" s="15"/>
      <c r="L4277" s="51"/>
      <c r="M4277" s="15"/>
      <c r="N4277" s="23"/>
      <c r="O4277" s="23"/>
      <c r="P4277" s="15" t="str">
        <f t="shared" si="6"/>
        <v/>
      </c>
      <c r="Q4277" s="24"/>
      <c r="R4277" s="25"/>
      <c r="S4277" s="25"/>
      <c r="T4277" s="26"/>
      <c r="U4277" s="26"/>
      <c r="V4277" s="25"/>
      <c r="W4277" s="25"/>
      <c r="X4277" s="25"/>
      <c r="Y4277" s="25"/>
      <c r="Z4277" s="25"/>
    </row>
    <row r="4278" spans="1:26" ht="15.75" customHeight="1" x14ac:dyDescent="0.25">
      <c r="A4278" s="25"/>
      <c r="B4278" s="49"/>
      <c r="C4278" s="50"/>
      <c r="D4278" s="23"/>
      <c r="E4278" s="23"/>
      <c r="F4278" s="15"/>
      <c r="G4278" s="23"/>
      <c r="H4278" s="15"/>
      <c r="I4278" s="15"/>
      <c r="J4278" s="51"/>
      <c r="K4278" s="15"/>
      <c r="L4278" s="51"/>
      <c r="M4278" s="15"/>
      <c r="N4278" s="23"/>
      <c r="O4278" s="23"/>
      <c r="P4278" s="15" t="str">
        <f t="shared" si="6"/>
        <v/>
      </c>
      <c r="Q4278" s="24"/>
      <c r="R4278" s="25"/>
      <c r="S4278" s="25"/>
      <c r="T4278" s="26"/>
      <c r="U4278" s="26"/>
      <c r="V4278" s="25"/>
      <c r="W4278" s="25"/>
      <c r="X4278" s="25"/>
      <c r="Y4278" s="25"/>
      <c r="Z4278" s="25"/>
    </row>
    <row r="4279" spans="1:26" ht="15.75" customHeight="1" x14ac:dyDescent="0.25">
      <c r="A4279" s="25"/>
      <c r="B4279" s="49"/>
      <c r="C4279" s="50"/>
      <c r="D4279" s="23"/>
      <c r="E4279" s="23"/>
      <c r="F4279" s="15"/>
      <c r="G4279" s="23"/>
      <c r="H4279" s="15"/>
      <c r="I4279" s="15"/>
      <c r="J4279" s="51"/>
      <c r="K4279" s="15"/>
      <c r="L4279" s="51"/>
      <c r="M4279" s="15"/>
      <c r="N4279" s="23"/>
      <c r="O4279" s="23"/>
      <c r="P4279" s="15" t="str">
        <f t="shared" si="6"/>
        <v/>
      </c>
      <c r="Q4279" s="24"/>
      <c r="R4279" s="25"/>
      <c r="S4279" s="25"/>
      <c r="T4279" s="26"/>
      <c r="U4279" s="26"/>
      <c r="V4279" s="25"/>
      <c r="W4279" s="25"/>
      <c r="X4279" s="25"/>
      <c r="Y4279" s="25"/>
      <c r="Z4279" s="25"/>
    </row>
    <row r="4280" spans="1:26" ht="15.75" customHeight="1" x14ac:dyDescent="0.25">
      <c r="A4280" s="25"/>
      <c r="B4280" s="49"/>
      <c r="C4280" s="50"/>
      <c r="D4280" s="23"/>
      <c r="E4280" s="23"/>
      <c r="F4280" s="15"/>
      <c r="G4280" s="23"/>
      <c r="H4280" s="15"/>
      <c r="I4280" s="15"/>
      <c r="J4280" s="51"/>
      <c r="K4280" s="15"/>
      <c r="L4280" s="51"/>
      <c r="M4280" s="15"/>
      <c r="N4280" s="23"/>
      <c r="O4280" s="23"/>
      <c r="P4280" s="15" t="str">
        <f t="shared" si="6"/>
        <v/>
      </c>
      <c r="Q4280" s="24"/>
      <c r="R4280" s="25"/>
      <c r="S4280" s="25"/>
      <c r="T4280" s="26"/>
      <c r="U4280" s="26"/>
      <c r="V4280" s="25"/>
      <c r="W4280" s="25"/>
      <c r="X4280" s="25"/>
      <c r="Y4280" s="25"/>
      <c r="Z4280" s="25"/>
    </row>
    <row r="4281" spans="1:26" ht="15.75" customHeight="1" x14ac:dyDescent="0.25">
      <c r="A4281" s="25"/>
      <c r="B4281" s="49"/>
      <c r="C4281" s="50"/>
      <c r="D4281" s="23"/>
      <c r="E4281" s="23"/>
      <c r="F4281" s="15"/>
      <c r="G4281" s="23"/>
      <c r="H4281" s="15"/>
      <c r="I4281" s="15"/>
      <c r="J4281" s="51"/>
      <c r="K4281" s="15"/>
      <c r="L4281" s="51"/>
      <c r="M4281" s="15"/>
      <c r="N4281" s="23"/>
      <c r="O4281" s="23"/>
      <c r="P4281" s="15" t="str">
        <f t="shared" si="6"/>
        <v/>
      </c>
      <c r="Q4281" s="24"/>
      <c r="R4281" s="25"/>
      <c r="S4281" s="25"/>
      <c r="T4281" s="26"/>
      <c r="U4281" s="26"/>
      <c r="V4281" s="25"/>
      <c r="W4281" s="25"/>
      <c r="X4281" s="25"/>
      <c r="Y4281" s="25"/>
      <c r="Z4281" s="25"/>
    </row>
    <row r="4282" spans="1:26" ht="15.75" customHeight="1" x14ac:dyDescent="0.25">
      <c r="A4282" s="25"/>
      <c r="B4282" s="49"/>
      <c r="C4282" s="50"/>
      <c r="D4282" s="23"/>
      <c r="E4282" s="23"/>
      <c r="F4282" s="15"/>
      <c r="G4282" s="23"/>
      <c r="H4282" s="15"/>
      <c r="I4282" s="15"/>
      <c r="J4282" s="51"/>
      <c r="K4282" s="15"/>
      <c r="L4282" s="51"/>
      <c r="M4282" s="15"/>
      <c r="N4282" s="23"/>
      <c r="O4282" s="23"/>
      <c r="P4282" s="15" t="str">
        <f t="shared" si="6"/>
        <v/>
      </c>
      <c r="Q4282" s="24"/>
      <c r="R4282" s="25"/>
      <c r="S4282" s="25"/>
      <c r="T4282" s="26"/>
      <c r="U4282" s="26"/>
      <c r="V4282" s="25"/>
      <c r="W4282" s="25"/>
      <c r="X4282" s="25"/>
      <c r="Y4282" s="25"/>
      <c r="Z4282" s="25"/>
    </row>
    <row r="4283" spans="1:26" ht="15.75" customHeight="1" x14ac:dyDescent="0.25">
      <c r="A4283" s="25"/>
      <c r="B4283" s="49"/>
      <c r="C4283" s="50"/>
      <c r="D4283" s="23"/>
      <c r="E4283" s="23"/>
      <c r="F4283" s="15"/>
      <c r="G4283" s="23"/>
      <c r="H4283" s="15"/>
      <c r="I4283" s="15"/>
      <c r="J4283" s="51"/>
      <c r="K4283" s="15"/>
      <c r="L4283" s="51"/>
      <c r="M4283" s="15"/>
      <c r="N4283" s="23"/>
      <c r="O4283" s="23"/>
      <c r="P4283" s="15" t="str">
        <f t="shared" si="6"/>
        <v/>
      </c>
      <c r="Q4283" s="24"/>
      <c r="R4283" s="25"/>
      <c r="S4283" s="25"/>
      <c r="T4283" s="26"/>
      <c r="U4283" s="26"/>
      <c r="V4283" s="25"/>
      <c r="W4283" s="25"/>
      <c r="X4283" s="25"/>
      <c r="Y4283" s="25"/>
      <c r="Z4283" s="25"/>
    </row>
    <row r="4284" spans="1:26" ht="15.75" customHeight="1" x14ac:dyDescent="0.25">
      <c r="A4284" s="25"/>
      <c r="B4284" s="49"/>
      <c r="C4284" s="50"/>
      <c r="D4284" s="23"/>
      <c r="E4284" s="23"/>
      <c r="F4284" s="15"/>
      <c r="G4284" s="23"/>
      <c r="H4284" s="15"/>
      <c r="I4284" s="15"/>
      <c r="J4284" s="51"/>
      <c r="K4284" s="15"/>
      <c r="L4284" s="51"/>
      <c r="M4284" s="15"/>
      <c r="N4284" s="23"/>
      <c r="O4284" s="23"/>
      <c r="P4284" s="15" t="str">
        <f t="shared" si="6"/>
        <v/>
      </c>
      <c r="Q4284" s="24"/>
      <c r="R4284" s="25"/>
      <c r="S4284" s="25"/>
      <c r="T4284" s="26"/>
      <c r="U4284" s="26"/>
      <c r="V4284" s="25"/>
      <c r="W4284" s="25"/>
      <c r="X4284" s="25"/>
      <c r="Y4284" s="25"/>
      <c r="Z4284" s="25"/>
    </row>
    <row r="4285" spans="1:26" ht="15.75" customHeight="1" x14ac:dyDescent="0.25">
      <c r="A4285" s="25"/>
      <c r="B4285" s="49"/>
      <c r="C4285" s="50"/>
      <c r="D4285" s="23"/>
      <c r="E4285" s="23"/>
      <c r="F4285" s="15"/>
      <c r="G4285" s="23"/>
      <c r="H4285" s="15"/>
      <c r="I4285" s="15"/>
      <c r="J4285" s="51"/>
      <c r="K4285" s="15"/>
      <c r="L4285" s="51"/>
      <c r="M4285" s="15"/>
      <c r="N4285" s="23"/>
      <c r="O4285" s="23"/>
      <c r="P4285" s="15" t="str">
        <f t="shared" si="6"/>
        <v/>
      </c>
      <c r="Q4285" s="24"/>
      <c r="R4285" s="25"/>
      <c r="S4285" s="25"/>
      <c r="T4285" s="26"/>
      <c r="U4285" s="26"/>
      <c r="V4285" s="25"/>
      <c r="W4285" s="25"/>
      <c r="X4285" s="25"/>
      <c r="Y4285" s="25"/>
      <c r="Z4285" s="25"/>
    </row>
    <row r="4286" spans="1:26" ht="15.75" customHeight="1" x14ac:dyDescent="0.25">
      <c r="A4286" s="25"/>
      <c r="B4286" s="49"/>
      <c r="C4286" s="50"/>
      <c r="D4286" s="23"/>
      <c r="E4286" s="23"/>
      <c r="F4286" s="15"/>
      <c r="G4286" s="23"/>
      <c r="H4286" s="15"/>
      <c r="I4286" s="15"/>
      <c r="J4286" s="51"/>
      <c r="K4286" s="15"/>
      <c r="L4286" s="51"/>
      <c r="M4286" s="15"/>
      <c r="N4286" s="23"/>
      <c r="O4286" s="23"/>
      <c r="P4286" s="15" t="str">
        <f t="shared" si="6"/>
        <v/>
      </c>
      <c r="Q4286" s="24"/>
      <c r="R4286" s="25"/>
      <c r="S4286" s="25"/>
      <c r="T4286" s="26"/>
      <c r="U4286" s="26"/>
      <c r="V4286" s="25"/>
      <c r="W4286" s="25"/>
      <c r="X4286" s="25"/>
      <c r="Y4286" s="25"/>
      <c r="Z4286" s="25"/>
    </row>
    <row r="4287" spans="1:26" ht="15.75" customHeight="1" x14ac:dyDescent="0.25">
      <c r="A4287" s="25"/>
      <c r="B4287" s="49"/>
      <c r="C4287" s="50"/>
      <c r="D4287" s="23"/>
      <c r="E4287" s="23"/>
      <c r="F4287" s="15"/>
      <c r="G4287" s="23"/>
      <c r="H4287" s="15"/>
      <c r="I4287" s="15"/>
      <c r="J4287" s="51"/>
      <c r="K4287" s="15"/>
      <c r="L4287" s="51"/>
      <c r="M4287" s="15"/>
      <c r="N4287" s="23"/>
      <c r="O4287" s="23"/>
      <c r="P4287" s="15" t="str">
        <f t="shared" si="6"/>
        <v/>
      </c>
      <c r="Q4287" s="24"/>
      <c r="R4287" s="25"/>
      <c r="S4287" s="25"/>
      <c r="T4287" s="26"/>
      <c r="U4287" s="26"/>
      <c r="V4287" s="25"/>
      <c r="W4287" s="25"/>
      <c r="X4287" s="25"/>
      <c r="Y4287" s="25"/>
      <c r="Z4287" s="25"/>
    </row>
    <row r="4288" spans="1:26" ht="15.75" customHeight="1" x14ac:dyDescent="0.25">
      <c r="A4288" s="25"/>
      <c r="B4288" s="49"/>
      <c r="C4288" s="50"/>
      <c r="D4288" s="23"/>
      <c r="E4288" s="23"/>
      <c r="F4288" s="15"/>
      <c r="G4288" s="23"/>
      <c r="H4288" s="15"/>
      <c r="I4288" s="15"/>
      <c r="J4288" s="51"/>
      <c r="K4288" s="15"/>
      <c r="L4288" s="51"/>
      <c r="M4288" s="15"/>
      <c r="N4288" s="23"/>
      <c r="O4288" s="23"/>
      <c r="P4288" s="15" t="str">
        <f t="shared" si="6"/>
        <v/>
      </c>
      <c r="Q4288" s="24"/>
      <c r="R4288" s="25"/>
      <c r="S4288" s="25"/>
      <c r="T4288" s="26"/>
      <c r="U4288" s="26"/>
      <c r="V4288" s="25"/>
      <c r="W4288" s="25"/>
      <c r="X4288" s="25"/>
      <c r="Y4288" s="25"/>
      <c r="Z4288" s="25"/>
    </row>
    <row r="4289" spans="1:26" ht="15.75" customHeight="1" x14ac:dyDescent="0.25">
      <c r="A4289" s="25"/>
      <c r="B4289" s="49"/>
      <c r="C4289" s="50"/>
      <c r="D4289" s="23"/>
      <c r="E4289" s="23"/>
      <c r="F4289" s="15"/>
      <c r="G4289" s="23"/>
      <c r="H4289" s="15"/>
      <c r="I4289" s="15"/>
      <c r="J4289" s="51"/>
      <c r="K4289" s="15"/>
      <c r="L4289" s="51"/>
      <c r="M4289" s="15"/>
      <c r="N4289" s="23"/>
      <c r="O4289" s="23"/>
      <c r="P4289" s="15" t="str">
        <f t="shared" si="6"/>
        <v/>
      </c>
      <c r="Q4289" s="24"/>
      <c r="R4289" s="25"/>
      <c r="S4289" s="25"/>
      <c r="T4289" s="26"/>
      <c r="U4289" s="26"/>
      <c r="V4289" s="25"/>
      <c r="W4289" s="25"/>
      <c r="X4289" s="25"/>
      <c r="Y4289" s="25"/>
      <c r="Z4289" s="25"/>
    </row>
    <row r="4290" spans="1:26" ht="15.75" customHeight="1" x14ac:dyDescent="0.25">
      <c r="A4290" s="25"/>
      <c r="B4290" s="49"/>
      <c r="C4290" s="50"/>
      <c r="D4290" s="23"/>
      <c r="E4290" s="23"/>
      <c r="F4290" s="15"/>
      <c r="G4290" s="23"/>
      <c r="H4290" s="15"/>
      <c r="I4290" s="15"/>
      <c r="J4290" s="51"/>
      <c r="K4290" s="15"/>
      <c r="L4290" s="51"/>
      <c r="M4290" s="15"/>
      <c r="N4290" s="23"/>
      <c r="O4290" s="23"/>
      <c r="P4290" s="15" t="str">
        <f t="shared" si="6"/>
        <v/>
      </c>
      <c r="Q4290" s="24"/>
      <c r="R4290" s="25"/>
      <c r="S4290" s="25"/>
      <c r="T4290" s="26"/>
      <c r="U4290" s="26"/>
      <c r="V4290" s="25"/>
      <c r="W4290" s="25"/>
      <c r="X4290" s="25"/>
      <c r="Y4290" s="25"/>
      <c r="Z4290" s="25"/>
    </row>
    <row r="4291" spans="1:26" ht="15.75" customHeight="1" x14ac:dyDescent="0.25">
      <c r="A4291" s="25"/>
      <c r="B4291" s="49"/>
      <c r="C4291" s="50"/>
      <c r="D4291" s="23"/>
      <c r="E4291" s="23"/>
      <c r="F4291" s="15"/>
      <c r="G4291" s="23"/>
      <c r="H4291" s="15"/>
      <c r="I4291" s="15"/>
      <c r="J4291" s="51"/>
      <c r="K4291" s="15"/>
      <c r="L4291" s="51"/>
      <c r="M4291" s="15"/>
      <c r="N4291" s="23"/>
      <c r="O4291" s="23"/>
      <c r="P4291" s="15" t="str">
        <f t="shared" si="6"/>
        <v/>
      </c>
      <c r="Q4291" s="24"/>
      <c r="R4291" s="25"/>
      <c r="S4291" s="25"/>
      <c r="T4291" s="26"/>
      <c r="U4291" s="26"/>
      <c r="V4291" s="25"/>
      <c r="W4291" s="25"/>
      <c r="X4291" s="25"/>
      <c r="Y4291" s="25"/>
      <c r="Z4291" s="25"/>
    </row>
    <row r="4292" spans="1:26" ht="15.75" customHeight="1" x14ac:dyDescent="0.25">
      <c r="A4292" s="25"/>
      <c r="B4292" s="49"/>
      <c r="C4292" s="50"/>
      <c r="D4292" s="23"/>
      <c r="E4292" s="23"/>
      <c r="F4292" s="15"/>
      <c r="G4292" s="23"/>
      <c r="H4292" s="15"/>
      <c r="I4292" s="15"/>
      <c r="J4292" s="51"/>
      <c r="K4292" s="15"/>
      <c r="L4292" s="51"/>
      <c r="M4292" s="15"/>
      <c r="N4292" s="23"/>
      <c r="O4292" s="23"/>
      <c r="P4292" s="15" t="str">
        <f t="shared" si="6"/>
        <v/>
      </c>
      <c r="Q4292" s="24"/>
      <c r="R4292" s="25"/>
      <c r="S4292" s="25"/>
      <c r="T4292" s="26"/>
      <c r="U4292" s="26"/>
      <c r="V4292" s="25"/>
      <c r="W4292" s="25"/>
      <c r="X4292" s="25"/>
      <c r="Y4292" s="25"/>
      <c r="Z4292" s="25"/>
    </row>
    <row r="4293" spans="1:26" ht="15.75" customHeight="1" x14ac:dyDescent="0.25">
      <c r="A4293" s="25"/>
      <c r="B4293" s="49"/>
      <c r="C4293" s="50"/>
      <c r="D4293" s="23"/>
      <c r="E4293" s="23"/>
      <c r="F4293" s="15"/>
      <c r="G4293" s="23"/>
      <c r="H4293" s="15"/>
      <c r="I4293" s="15"/>
      <c r="J4293" s="51"/>
      <c r="K4293" s="15"/>
      <c r="L4293" s="51"/>
      <c r="M4293" s="15"/>
      <c r="N4293" s="23"/>
      <c r="O4293" s="23"/>
      <c r="P4293" s="15" t="str">
        <f t="shared" si="6"/>
        <v/>
      </c>
      <c r="Q4293" s="24"/>
      <c r="R4293" s="25"/>
      <c r="S4293" s="25"/>
      <c r="T4293" s="26"/>
      <c r="U4293" s="26"/>
      <c r="V4293" s="25"/>
      <c r="W4293" s="25"/>
      <c r="X4293" s="25"/>
      <c r="Y4293" s="25"/>
      <c r="Z4293" s="25"/>
    </row>
    <row r="4294" spans="1:26" ht="15.75" customHeight="1" x14ac:dyDescent="0.25">
      <c r="A4294" s="25"/>
      <c r="B4294" s="49"/>
      <c r="C4294" s="50"/>
      <c r="D4294" s="23"/>
      <c r="E4294" s="23"/>
      <c r="F4294" s="15"/>
      <c r="G4294" s="23"/>
      <c r="H4294" s="15"/>
      <c r="I4294" s="15"/>
      <c r="J4294" s="51"/>
      <c r="K4294" s="15"/>
      <c r="L4294" s="51"/>
      <c r="M4294" s="15"/>
      <c r="N4294" s="23"/>
      <c r="O4294" s="23"/>
      <c r="P4294" s="15" t="str">
        <f t="shared" si="6"/>
        <v/>
      </c>
      <c r="Q4294" s="24"/>
      <c r="R4294" s="25"/>
      <c r="S4294" s="25"/>
      <c r="T4294" s="26"/>
      <c r="U4294" s="26"/>
      <c r="V4294" s="25"/>
      <c r="W4294" s="25"/>
      <c r="X4294" s="25"/>
      <c r="Y4294" s="25"/>
      <c r="Z4294" s="25"/>
    </row>
    <row r="4295" spans="1:26" ht="15.75" customHeight="1" x14ac:dyDescent="0.25">
      <c r="A4295" s="25"/>
      <c r="B4295" s="49"/>
      <c r="C4295" s="50"/>
      <c r="D4295" s="23"/>
      <c r="E4295" s="23"/>
      <c r="F4295" s="15"/>
      <c r="G4295" s="23"/>
      <c r="H4295" s="15"/>
      <c r="I4295" s="15"/>
      <c r="J4295" s="51"/>
      <c r="K4295" s="15"/>
      <c r="L4295" s="51"/>
      <c r="M4295" s="15"/>
      <c r="N4295" s="23"/>
      <c r="O4295" s="23"/>
      <c r="P4295" s="15" t="str">
        <f t="shared" si="6"/>
        <v/>
      </c>
      <c r="Q4295" s="24"/>
      <c r="R4295" s="25"/>
      <c r="S4295" s="25"/>
      <c r="T4295" s="26"/>
      <c r="U4295" s="26"/>
      <c r="V4295" s="25"/>
      <c r="W4295" s="25"/>
      <c r="X4295" s="25"/>
      <c r="Y4295" s="25"/>
      <c r="Z4295" s="25"/>
    </row>
    <row r="4296" spans="1:26" ht="15.75" customHeight="1" x14ac:dyDescent="0.25">
      <c r="A4296" s="25"/>
      <c r="B4296" s="49"/>
      <c r="C4296" s="50"/>
      <c r="D4296" s="23"/>
      <c r="E4296" s="23"/>
      <c r="F4296" s="15"/>
      <c r="G4296" s="23"/>
      <c r="H4296" s="15"/>
      <c r="I4296" s="15"/>
      <c r="J4296" s="51"/>
      <c r="K4296" s="15"/>
      <c r="L4296" s="51"/>
      <c r="M4296" s="15"/>
      <c r="N4296" s="23"/>
      <c r="O4296" s="23"/>
      <c r="P4296" s="15" t="str">
        <f t="shared" si="6"/>
        <v/>
      </c>
      <c r="Q4296" s="24"/>
      <c r="R4296" s="25"/>
      <c r="S4296" s="25"/>
      <c r="T4296" s="26"/>
      <c r="U4296" s="26"/>
      <c r="V4296" s="25"/>
      <c r="W4296" s="25"/>
      <c r="X4296" s="25"/>
      <c r="Y4296" s="25"/>
      <c r="Z4296" s="25"/>
    </row>
    <row r="4297" spans="1:26" ht="15.75" customHeight="1" x14ac:dyDescent="0.25">
      <c r="A4297" s="25"/>
      <c r="B4297" s="49"/>
      <c r="C4297" s="50"/>
      <c r="D4297" s="23"/>
      <c r="E4297" s="23"/>
      <c r="F4297" s="15"/>
      <c r="G4297" s="23"/>
      <c r="H4297" s="15"/>
      <c r="I4297" s="15"/>
      <c r="J4297" s="51"/>
      <c r="K4297" s="15"/>
      <c r="L4297" s="51"/>
      <c r="M4297" s="15"/>
      <c r="N4297" s="23"/>
      <c r="O4297" s="23"/>
      <c r="P4297" s="15" t="str">
        <f t="shared" si="6"/>
        <v/>
      </c>
      <c r="Q4297" s="24"/>
      <c r="R4297" s="25"/>
      <c r="S4297" s="25"/>
      <c r="T4297" s="26"/>
      <c r="U4297" s="26"/>
      <c r="V4297" s="25"/>
      <c r="W4297" s="25"/>
      <c r="X4297" s="25"/>
      <c r="Y4297" s="25"/>
      <c r="Z4297" s="25"/>
    </row>
    <row r="4298" spans="1:26" ht="15.75" customHeight="1" x14ac:dyDescent="0.25">
      <c r="A4298" s="25"/>
      <c r="B4298" s="49"/>
      <c r="C4298" s="50"/>
      <c r="D4298" s="23"/>
      <c r="E4298" s="23"/>
      <c r="F4298" s="15"/>
      <c r="G4298" s="23"/>
      <c r="H4298" s="15"/>
      <c r="I4298" s="15"/>
      <c r="J4298" s="51"/>
      <c r="K4298" s="15"/>
      <c r="L4298" s="51"/>
      <c r="M4298" s="15"/>
      <c r="N4298" s="23"/>
      <c r="O4298" s="23"/>
      <c r="P4298" s="15" t="str">
        <f t="shared" si="6"/>
        <v/>
      </c>
      <c r="Q4298" s="24"/>
      <c r="R4298" s="25"/>
      <c r="S4298" s="25"/>
      <c r="T4298" s="26"/>
      <c r="U4298" s="26"/>
      <c r="V4298" s="25"/>
      <c r="W4298" s="25"/>
      <c r="X4298" s="25"/>
      <c r="Y4298" s="25"/>
      <c r="Z4298" s="25"/>
    </row>
    <row r="4299" spans="1:26" ht="15.75" customHeight="1" x14ac:dyDescent="0.25">
      <c r="A4299" s="25"/>
      <c r="B4299" s="49"/>
      <c r="C4299" s="50"/>
      <c r="D4299" s="23"/>
      <c r="E4299" s="23"/>
      <c r="F4299" s="15"/>
      <c r="G4299" s="23"/>
      <c r="H4299" s="15"/>
      <c r="I4299" s="15"/>
      <c r="J4299" s="51"/>
      <c r="K4299" s="15"/>
      <c r="L4299" s="51"/>
      <c r="M4299" s="15"/>
      <c r="N4299" s="23"/>
      <c r="O4299" s="23"/>
      <c r="P4299" s="15" t="str">
        <f t="shared" si="6"/>
        <v/>
      </c>
      <c r="Q4299" s="24"/>
      <c r="R4299" s="25"/>
      <c r="S4299" s="25"/>
      <c r="T4299" s="26"/>
      <c r="U4299" s="26"/>
      <c r="V4299" s="25"/>
      <c r="W4299" s="25"/>
      <c r="X4299" s="25"/>
      <c r="Y4299" s="25"/>
      <c r="Z4299" s="25"/>
    </row>
    <row r="4300" spans="1:26" ht="15.75" customHeight="1" x14ac:dyDescent="0.25">
      <c r="A4300" s="25"/>
      <c r="B4300" s="49"/>
      <c r="C4300" s="50"/>
      <c r="D4300" s="23"/>
      <c r="E4300" s="23"/>
      <c r="F4300" s="15"/>
      <c r="G4300" s="23"/>
      <c r="H4300" s="15"/>
      <c r="I4300" s="15"/>
      <c r="J4300" s="51"/>
      <c r="K4300" s="15"/>
      <c r="L4300" s="51"/>
      <c r="M4300" s="15"/>
      <c r="N4300" s="23"/>
      <c r="O4300" s="23"/>
      <c r="P4300" s="15" t="str">
        <f t="shared" si="6"/>
        <v/>
      </c>
      <c r="Q4300" s="24"/>
      <c r="R4300" s="25"/>
      <c r="S4300" s="25"/>
      <c r="T4300" s="26"/>
      <c r="U4300" s="26"/>
      <c r="V4300" s="25"/>
      <c r="W4300" s="25"/>
      <c r="X4300" s="25"/>
      <c r="Y4300" s="25"/>
      <c r="Z4300" s="25"/>
    </row>
    <row r="4301" spans="1:26" ht="15.75" customHeight="1" x14ac:dyDescent="0.25">
      <c r="A4301" s="25"/>
      <c r="B4301" s="49"/>
      <c r="C4301" s="50"/>
      <c r="D4301" s="23"/>
      <c r="E4301" s="23"/>
      <c r="F4301" s="15"/>
      <c r="G4301" s="23"/>
      <c r="H4301" s="15"/>
      <c r="I4301" s="15"/>
      <c r="J4301" s="51"/>
      <c r="K4301" s="15"/>
      <c r="L4301" s="51"/>
      <c r="M4301" s="15"/>
      <c r="N4301" s="23"/>
      <c r="O4301" s="23"/>
      <c r="P4301" s="15" t="str">
        <f t="shared" si="6"/>
        <v/>
      </c>
      <c r="Q4301" s="24"/>
      <c r="R4301" s="25"/>
      <c r="S4301" s="25"/>
      <c r="T4301" s="26"/>
      <c r="U4301" s="26"/>
      <c r="V4301" s="25"/>
      <c r="W4301" s="25"/>
      <c r="X4301" s="25"/>
      <c r="Y4301" s="25"/>
      <c r="Z4301" s="25"/>
    </row>
    <row r="4302" spans="1:26" ht="15.75" customHeight="1" x14ac:dyDescent="0.25">
      <c r="A4302" s="25"/>
      <c r="B4302" s="49"/>
      <c r="C4302" s="50"/>
      <c r="D4302" s="23"/>
      <c r="E4302" s="23"/>
      <c r="F4302" s="15"/>
      <c r="G4302" s="23"/>
      <c r="H4302" s="15"/>
      <c r="I4302" s="15"/>
      <c r="J4302" s="51"/>
      <c r="K4302" s="15"/>
      <c r="L4302" s="51"/>
      <c r="M4302" s="15"/>
      <c r="N4302" s="23"/>
      <c r="O4302" s="23"/>
      <c r="P4302" s="15" t="str">
        <f t="shared" si="6"/>
        <v/>
      </c>
      <c r="Q4302" s="24"/>
      <c r="R4302" s="25"/>
      <c r="S4302" s="25"/>
      <c r="T4302" s="26"/>
      <c r="U4302" s="26"/>
      <c r="V4302" s="25"/>
      <c r="W4302" s="25"/>
      <c r="X4302" s="25"/>
      <c r="Y4302" s="25"/>
      <c r="Z4302" s="25"/>
    </row>
    <row r="4303" spans="1:26" ht="15.75" customHeight="1" x14ac:dyDescent="0.25">
      <c r="A4303" s="25"/>
      <c r="B4303" s="49"/>
      <c r="C4303" s="50"/>
      <c r="D4303" s="23"/>
      <c r="E4303" s="23"/>
      <c r="F4303" s="15"/>
      <c r="G4303" s="23"/>
      <c r="H4303" s="15"/>
      <c r="I4303" s="15"/>
      <c r="J4303" s="51"/>
      <c r="K4303" s="15"/>
      <c r="L4303" s="51"/>
      <c r="M4303" s="15"/>
      <c r="N4303" s="23"/>
      <c r="O4303" s="23"/>
      <c r="P4303" s="15" t="str">
        <f t="shared" si="6"/>
        <v/>
      </c>
      <c r="Q4303" s="24"/>
      <c r="R4303" s="25"/>
      <c r="S4303" s="25"/>
      <c r="T4303" s="26"/>
      <c r="U4303" s="26"/>
      <c r="V4303" s="25"/>
      <c r="W4303" s="25"/>
      <c r="X4303" s="25"/>
      <c r="Y4303" s="25"/>
      <c r="Z4303" s="25"/>
    </row>
    <row r="4304" spans="1:26" ht="15.75" customHeight="1" x14ac:dyDescent="0.25">
      <c r="A4304" s="25"/>
      <c r="B4304" s="49"/>
      <c r="C4304" s="50"/>
      <c r="D4304" s="23"/>
      <c r="E4304" s="23"/>
      <c r="F4304" s="15"/>
      <c r="G4304" s="23"/>
      <c r="H4304" s="15"/>
      <c r="I4304" s="15"/>
      <c r="J4304" s="51"/>
      <c r="K4304" s="15"/>
      <c r="L4304" s="51"/>
      <c r="M4304" s="15"/>
      <c r="N4304" s="23"/>
      <c r="O4304" s="23"/>
      <c r="P4304" s="15" t="str">
        <f t="shared" si="6"/>
        <v/>
      </c>
      <c r="Q4304" s="24"/>
      <c r="R4304" s="25"/>
      <c r="S4304" s="25"/>
      <c r="T4304" s="26"/>
      <c r="U4304" s="26"/>
      <c r="V4304" s="25"/>
      <c r="W4304" s="25"/>
      <c r="X4304" s="25"/>
      <c r="Y4304" s="25"/>
      <c r="Z4304" s="25"/>
    </row>
    <row r="4305" spans="1:26" ht="15.75" customHeight="1" x14ac:dyDescent="0.25">
      <c r="A4305" s="25"/>
      <c r="B4305" s="49"/>
      <c r="C4305" s="50"/>
      <c r="D4305" s="23"/>
      <c r="E4305" s="23"/>
      <c r="F4305" s="15"/>
      <c r="G4305" s="23"/>
      <c r="H4305" s="15"/>
      <c r="I4305" s="15"/>
      <c r="J4305" s="51"/>
      <c r="K4305" s="15"/>
      <c r="L4305" s="51"/>
      <c r="M4305" s="15"/>
      <c r="N4305" s="23"/>
      <c r="O4305" s="23"/>
      <c r="P4305" s="15" t="str">
        <f t="shared" si="6"/>
        <v/>
      </c>
      <c r="Q4305" s="24"/>
      <c r="R4305" s="25"/>
      <c r="S4305" s="25"/>
      <c r="T4305" s="26"/>
      <c r="U4305" s="26"/>
      <c r="V4305" s="25"/>
      <c r="W4305" s="25"/>
      <c r="X4305" s="25"/>
      <c r="Y4305" s="25"/>
      <c r="Z4305" s="25"/>
    </row>
    <row r="4306" spans="1:26" ht="15.75" customHeight="1" x14ac:dyDescent="0.25">
      <c r="A4306" s="25"/>
      <c r="B4306" s="49"/>
      <c r="C4306" s="50"/>
      <c r="D4306" s="23"/>
      <c r="E4306" s="23"/>
      <c r="F4306" s="15"/>
      <c r="G4306" s="23"/>
      <c r="H4306" s="15"/>
      <c r="I4306" s="15"/>
      <c r="J4306" s="51"/>
      <c r="K4306" s="15"/>
      <c r="L4306" s="51"/>
      <c r="M4306" s="15"/>
      <c r="N4306" s="23"/>
      <c r="O4306" s="23"/>
      <c r="P4306" s="15" t="str">
        <f t="shared" si="6"/>
        <v/>
      </c>
      <c r="Q4306" s="24"/>
      <c r="R4306" s="25"/>
      <c r="S4306" s="25"/>
      <c r="T4306" s="26"/>
      <c r="U4306" s="26"/>
      <c r="V4306" s="25"/>
      <c r="W4306" s="25"/>
      <c r="X4306" s="25"/>
      <c r="Y4306" s="25"/>
      <c r="Z4306" s="25"/>
    </row>
    <row r="4307" spans="1:26" ht="15.75" customHeight="1" x14ac:dyDescent="0.25">
      <c r="A4307" s="25"/>
      <c r="B4307" s="49"/>
      <c r="C4307" s="50"/>
      <c r="D4307" s="23"/>
      <c r="E4307" s="23"/>
      <c r="F4307" s="15"/>
      <c r="G4307" s="23"/>
      <c r="H4307" s="15"/>
      <c r="I4307" s="15"/>
      <c r="J4307" s="51"/>
      <c r="K4307" s="15"/>
      <c r="L4307" s="51"/>
      <c r="M4307" s="15"/>
      <c r="N4307" s="23"/>
      <c r="O4307" s="23"/>
      <c r="P4307" s="15" t="str">
        <f t="shared" si="6"/>
        <v/>
      </c>
      <c r="Q4307" s="24"/>
      <c r="R4307" s="25"/>
      <c r="S4307" s="25"/>
      <c r="T4307" s="26"/>
      <c r="U4307" s="26"/>
      <c r="V4307" s="25"/>
      <c r="W4307" s="25"/>
      <c r="X4307" s="25"/>
      <c r="Y4307" s="25"/>
      <c r="Z4307" s="25"/>
    </row>
    <row r="4308" spans="1:26" ht="15.75" customHeight="1" x14ac:dyDescent="0.25">
      <c r="A4308" s="25"/>
      <c r="B4308" s="49"/>
      <c r="C4308" s="50"/>
      <c r="D4308" s="23"/>
      <c r="E4308" s="23"/>
      <c r="F4308" s="15"/>
      <c r="G4308" s="23"/>
      <c r="H4308" s="15"/>
      <c r="I4308" s="15"/>
      <c r="J4308" s="51"/>
      <c r="K4308" s="15"/>
      <c r="L4308" s="51"/>
      <c r="M4308" s="15"/>
      <c r="N4308" s="23"/>
      <c r="O4308" s="23"/>
      <c r="P4308" s="15" t="str">
        <f t="shared" si="6"/>
        <v/>
      </c>
      <c r="Q4308" s="24"/>
      <c r="R4308" s="25"/>
      <c r="S4308" s="25"/>
      <c r="T4308" s="26"/>
      <c r="U4308" s="26"/>
      <c r="V4308" s="25"/>
      <c r="W4308" s="25"/>
      <c r="X4308" s="25"/>
      <c r="Y4308" s="25"/>
      <c r="Z4308" s="25"/>
    </row>
    <row r="4309" spans="1:26" ht="15.75" customHeight="1" x14ac:dyDescent="0.25">
      <c r="A4309" s="25"/>
      <c r="B4309" s="49"/>
      <c r="C4309" s="50"/>
      <c r="D4309" s="23"/>
      <c r="E4309" s="23"/>
      <c r="F4309" s="15"/>
      <c r="G4309" s="23"/>
      <c r="H4309" s="15"/>
      <c r="I4309" s="15"/>
      <c r="J4309" s="51"/>
      <c r="K4309" s="15"/>
      <c r="L4309" s="51"/>
      <c r="M4309" s="15"/>
      <c r="N4309" s="23"/>
      <c r="O4309" s="23"/>
      <c r="P4309" s="15" t="str">
        <f t="shared" si="6"/>
        <v/>
      </c>
      <c r="Q4309" s="24"/>
      <c r="R4309" s="25"/>
      <c r="S4309" s="25"/>
      <c r="T4309" s="26"/>
      <c r="U4309" s="26"/>
      <c r="V4309" s="25"/>
      <c r="W4309" s="25"/>
      <c r="X4309" s="25"/>
      <c r="Y4309" s="25"/>
      <c r="Z4309" s="25"/>
    </row>
    <row r="4310" spans="1:26" ht="15.75" customHeight="1" x14ac:dyDescent="0.25">
      <c r="A4310" s="25"/>
      <c r="B4310" s="49"/>
      <c r="C4310" s="50"/>
      <c r="D4310" s="23"/>
      <c r="E4310" s="23"/>
      <c r="F4310" s="15"/>
      <c r="G4310" s="23"/>
      <c r="H4310" s="15"/>
      <c r="I4310" s="15"/>
      <c r="J4310" s="51"/>
      <c r="K4310" s="15"/>
      <c r="L4310" s="51"/>
      <c r="M4310" s="15"/>
      <c r="N4310" s="23"/>
      <c r="O4310" s="23"/>
      <c r="P4310" s="15" t="str">
        <f t="shared" si="6"/>
        <v/>
      </c>
      <c r="Q4310" s="24"/>
      <c r="R4310" s="25"/>
      <c r="S4310" s="25"/>
      <c r="T4310" s="26"/>
      <c r="U4310" s="26"/>
      <c r="V4310" s="25"/>
      <c r="W4310" s="25"/>
      <c r="X4310" s="25"/>
      <c r="Y4310" s="25"/>
      <c r="Z4310" s="25"/>
    </row>
    <row r="4311" spans="1:26" ht="15.75" customHeight="1" x14ac:dyDescent="0.25">
      <c r="A4311" s="25"/>
      <c r="B4311" s="49"/>
      <c r="C4311" s="50"/>
      <c r="D4311" s="23"/>
      <c r="E4311" s="23"/>
      <c r="F4311" s="15"/>
      <c r="G4311" s="23"/>
      <c r="H4311" s="15"/>
      <c r="I4311" s="15"/>
      <c r="J4311" s="51"/>
      <c r="K4311" s="15"/>
      <c r="L4311" s="51"/>
      <c r="M4311" s="15"/>
      <c r="N4311" s="23"/>
      <c r="O4311" s="23"/>
      <c r="P4311" s="15" t="str">
        <f t="shared" si="6"/>
        <v/>
      </c>
      <c r="Q4311" s="24"/>
      <c r="R4311" s="25"/>
      <c r="S4311" s="25"/>
      <c r="T4311" s="26"/>
      <c r="U4311" s="26"/>
      <c r="V4311" s="25"/>
      <c r="W4311" s="25"/>
      <c r="X4311" s="25"/>
      <c r="Y4311" s="25"/>
      <c r="Z4311" s="25"/>
    </row>
    <row r="4312" spans="1:26" ht="15.75" customHeight="1" x14ac:dyDescent="0.25">
      <c r="A4312" s="25"/>
      <c r="B4312" s="49"/>
      <c r="C4312" s="50"/>
      <c r="D4312" s="23"/>
      <c r="E4312" s="23"/>
      <c r="F4312" s="15"/>
      <c r="G4312" s="23"/>
      <c r="H4312" s="15"/>
      <c r="I4312" s="15"/>
      <c r="J4312" s="51"/>
      <c r="K4312" s="15"/>
      <c r="L4312" s="51"/>
      <c r="M4312" s="15"/>
      <c r="N4312" s="23"/>
      <c r="O4312" s="23"/>
      <c r="P4312" s="15" t="str">
        <f t="shared" si="6"/>
        <v/>
      </c>
      <c r="Q4312" s="24"/>
      <c r="R4312" s="25"/>
      <c r="S4312" s="25"/>
      <c r="T4312" s="26"/>
      <c r="U4312" s="26"/>
      <c r="V4312" s="25"/>
      <c r="W4312" s="25"/>
      <c r="X4312" s="25"/>
      <c r="Y4312" s="25"/>
      <c r="Z4312" s="25"/>
    </row>
    <row r="4313" spans="1:26" ht="15.75" customHeight="1" x14ac:dyDescent="0.25">
      <c r="A4313" s="25"/>
      <c r="B4313" s="49"/>
      <c r="C4313" s="50"/>
      <c r="D4313" s="23"/>
      <c r="E4313" s="23"/>
      <c r="F4313" s="15"/>
      <c r="G4313" s="23"/>
      <c r="H4313" s="15"/>
      <c r="I4313" s="15"/>
      <c r="J4313" s="51"/>
      <c r="K4313" s="15"/>
      <c r="L4313" s="51"/>
      <c r="M4313" s="15"/>
      <c r="N4313" s="23"/>
      <c r="O4313" s="23"/>
      <c r="P4313" s="15" t="str">
        <f t="shared" si="6"/>
        <v/>
      </c>
      <c r="Q4313" s="24"/>
      <c r="R4313" s="25"/>
      <c r="S4313" s="25"/>
      <c r="T4313" s="26"/>
      <c r="U4313" s="26"/>
      <c r="V4313" s="25"/>
      <c r="W4313" s="25"/>
      <c r="X4313" s="25"/>
      <c r="Y4313" s="25"/>
      <c r="Z4313" s="25"/>
    </row>
    <row r="4314" spans="1:26" ht="15.75" customHeight="1" x14ac:dyDescent="0.25">
      <c r="A4314" s="25"/>
      <c r="B4314" s="49"/>
      <c r="C4314" s="50"/>
      <c r="D4314" s="23"/>
      <c r="E4314" s="23"/>
      <c r="F4314" s="15"/>
      <c r="G4314" s="23"/>
      <c r="H4314" s="15"/>
      <c r="I4314" s="15"/>
      <c r="J4314" s="51"/>
      <c r="K4314" s="15"/>
      <c r="L4314" s="51"/>
      <c r="M4314" s="15"/>
      <c r="N4314" s="23"/>
      <c r="O4314" s="23"/>
      <c r="P4314" s="15" t="str">
        <f t="shared" si="6"/>
        <v/>
      </c>
      <c r="Q4314" s="24"/>
      <c r="R4314" s="25"/>
      <c r="S4314" s="25"/>
      <c r="T4314" s="26"/>
      <c r="U4314" s="26"/>
      <c r="V4314" s="25"/>
      <c r="W4314" s="25"/>
      <c r="X4314" s="25"/>
      <c r="Y4314" s="25"/>
      <c r="Z4314" s="25"/>
    </row>
    <row r="4315" spans="1:26" ht="15.75" customHeight="1" x14ac:dyDescent="0.25">
      <c r="A4315" s="25"/>
      <c r="B4315" s="49"/>
      <c r="C4315" s="50"/>
      <c r="D4315" s="23"/>
      <c r="E4315" s="23"/>
      <c r="F4315" s="15"/>
      <c r="G4315" s="23"/>
      <c r="H4315" s="15"/>
      <c r="I4315" s="15"/>
      <c r="J4315" s="51"/>
      <c r="K4315" s="15"/>
      <c r="L4315" s="51"/>
      <c r="M4315" s="15"/>
      <c r="N4315" s="23"/>
      <c r="O4315" s="23"/>
      <c r="P4315" s="15" t="str">
        <f t="shared" si="6"/>
        <v/>
      </c>
      <c r="Q4315" s="24"/>
      <c r="R4315" s="25"/>
      <c r="S4315" s="25"/>
      <c r="T4315" s="26"/>
      <c r="U4315" s="26"/>
      <c r="V4315" s="25"/>
      <c r="W4315" s="25"/>
      <c r="X4315" s="25"/>
      <c r="Y4315" s="25"/>
      <c r="Z4315" s="25"/>
    </row>
    <row r="4316" spans="1:26" ht="15.75" customHeight="1" x14ac:dyDescent="0.25">
      <c r="A4316" s="25"/>
      <c r="B4316" s="49"/>
      <c r="C4316" s="50"/>
      <c r="D4316" s="23"/>
      <c r="E4316" s="23"/>
      <c r="F4316" s="15"/>
      <c r="G4316" s="23"/>
      <c r="H4316" s="15"/>
      <c r="I4316" s="15"/>
      <c r="J4316" s="51"/>
      <c r="K4316" s="15"/>
      <c r="L4316" s="51"/>
      <c r="M4316" s="15"/>
      <c r="N4316" s="23"/>
      <c r="O4316" s="23"/>
      <c r="P4316" s="15" t="str">
        <f t="shared" si="6"/>
        <v/>
      </c>
      <c r="Q4316" s="24"/>
      <c r="R4316" s="25"/>
      <c r="S4316" s="25"/>
      <c r="T4316" s="26"/>
      <c r="U4316" s="26"/>
      <c r="V4316" s="25"/>
      <c r="W4316" s="25"/>
      <c r="X4316" s="25"/>
      <c r="Y4316" s="25"/>
      <c r="Z4316" s="25"/>
    </row>
    <row r="4317" spans="1:26" ht="15.75" customHeight="1" x14ac:dyDescent="0.25">
      <c r="A4317" s="25"/>
      <c r="B4317" s="49"/>
      <c r="C4317" s="50"/>
      <c r="D4317" s="23"/>
      <c r="E4317" s="23"/>
      <c r="F4317" s="15"/>
      <c r="G4317" s="23"/>
      <c r="H4317" s="15"/>
      <c r="I4317" s="15"/>
      <c r="J4317" s="51"/>
      <c r="K4317" s="15"/>
      <c r="L4317" s="51"/>
      <c r="M4317" s="15"/>
      <c r="N4317" s="23"/>
      <c r="O4317" s="23"/>
      <c r="P4317" s="15" t="str">
        <f t="shared" si="6"/>
        <v/>
      </c>
      <c r="Q4317" s="24"/>
      <c r="R4317" s="25"/>
      <c r="S4317" s="25"/>
      <c r="T4317" s="26"/>
      <c r="U4317" s="26"/>
      <c r="V4317" s="25"/>
      <c r="W4317" s="25"/>
      <c r="X4317" s="25"/>
      <c r="Y4317" s="25"/>
      <c r="Z4317" s="25"/>
    </row>
    <row r="4318" spans="1:26" ht="15.75" customHeight="1" x14ac:dyDescent="0.25">
      <c r="A4318" s="25"/>
      <c r="B4318" s="49"/>
      <c r="C4318" s="50"/>
      <c r="D4318" s="23"/>
      <c r="E4318" s="23"/>
      <c r="F4318" s="15"/>
      <c r="G4318" s="23"/>
      <c r="H4318" s="15"/>
      <c r="I4318" s="15"/>
      <c r="J4318" s="51"/>
      <c r="K4318" s="15"/>
      <c r="L4318" s="51"/>
      <c r="M4318" s="15"/>
      <c r="N4318" s="23"/>
      <c r="O4318" s="23"/>
      <c r="P4318" s="15" t="str">
        <f t="shared" si="6"/>
        <v/>
      </c>
      <c r="Q4318" s="24"/>
      <c r="R4318" s="25"/>
      <c r="S4318" s="25"/>
      <c r="T4318" s="26"/>
      <c r="U4318" s="26"/>
      <c r="V4318" s="25"/>
      <c r="W4318" s="25"/>
      <c r="X4318" s="25"/>
      <c r="Y4318" s="25"/>
      <c r="Z4318" s="25"/>
    </row>
    <row r="4319" spans="1:26" ht="15.75" customHeight="1" x14ac:dyDescent="0.25">
      <c r="A4319" s="25"/>
      <c r="B4319" s="49"/>
      <c r="C4319" s="50"/>
      <c r="D4319" s="23"/>
      <c r="E4319" s="23"/>
      <c r="F4319" s="15"/>
      <c r="G4319" s="23"/>
      <c r="H4319" s="15"/>
      <c r="I4319" s="15"/>
      <c r="J4319" s="51"/>
      <c r="K4319" s="15"/>
      <c r="L4319" s="51"/>
      <c r="M4319" s="15"/>
      <c r="N4319" s="23"/>
      <c r="O4319" s="23"/>
      <c r="P4319" s="15" t="str">
        <f t="shared" si="6"/>
        <v/>
      </c>
      <c r="Q4319" s="24"/>
      <c r="R4319" s="25"/>
      <c r="S4319" s="25"/>
      <c r="T4319" s="26"/>
      <c r="U4319" s="26"/>
      <c r="V4319" s="25"/>
      <c r="W4319" s="25"/>
      <c r="X4319" s="25"/>
      <c r="Y4319" s="25"/>
      <c r="Z4319" s="25"/>
    </row>
    <row r="4320" spans="1:26" ht="15.75" customHeight="1" x14ac:dyDescent="0.25">
      <c r="A4320" s="25"/>
      <c r="B4320" s="49"/>
      <c r="C4320" s="50"/>
      <c r="D4320" s="23"/>
      <c r="E4320" s="23"/>
      <c r="F4320" s="15"/>
      <c r="G4320" s="23"/>
      <c r="H4320" s="15"/>
      <c r="I4320" s="15"/>
      <c r="J4320" s="51"/>
      <c r="K4320" s="15"/>
      <c r="L4320" s="51"/>
      <c r="M4320" s="15"/>
      <c r="N4320" s="23"/>
      <c r="O4320" s="23"/>
      <c r="P4320" s="15" t="str">
        <f t="shared" si="6"/>
        <v/>
      </c>
      <c r="Q4320" s="24"/>
      <c r="R4320" s="25"/>
      <c r="S4320" s="25"/>
      <c r="T4320" s="26"/>
      <c r="U4320" s="26"/>
      <c r="V4320" s="25"/>
      <c r="W4320" s="25"/>
      <c r="X4320" s="25"/>
      <c r="Y4320" s="25"/>
      <c r="Z4320" s="25"/>
    </row>
    <row r="4321" spans="1:26" ht="15.75" customHeight="1" x14ac:dyDescent="0.25">
      <c r="A4321" s="25"/>
      <c r="B4321" s="49"/>
      <c r="C4321" s="50"/>
      <c r="D4321" s="23"/>
      <c r="E4321" s="23"/>
      <c r="F4321" s="15"/>
      <c r="G4321" s="23"/>
      <c r="H4321" s="15"/>
      <c r="I4321" s="15"/>
      <c r="J4321" s="51"/>
      <c r="K4321" s="15"/>
      <c r="L4321" s="51"/>
      <c r="M4321" s="15"/>
      <c r="N4321" s="23"/>
      <c r="O4321" s="23"/>
      <c r="P4321" s="15" t="str">
        <f t="shared" si="6"/>
        <v/>
      </c>
      <c r="Q4321" s="24"/>
      <c r="R4321" s="25"/>
      <c r="S4321" s="25"/>
      <c r="T4321" s="26"/>
      <c r="U4321" s="26"/>
      <c r="V4321" s="25"/>
      <c r="W4321" s="25"/>
      <c r="X4321" s="25"/>
      <c r="Y4321" s="25"/>
      <c r="Z4321" s="25"/>
    </row>
    <row r="4322" spans="1:26" ht="15.75" customHeight="1" x14ac:dyDescent="0.25">
      <c r="A4322" s="25"/>
      <c r="B4322" s="49"/>
      <c r="C4322" s="50"/>
      <c r="D4322" s="23"/>
      <c r="E4322" s="23"/>
      <c r="F4322" s="15"/>
      <c r="G4322" s="23"/>
      <c r="H4322" s="15"/>
      <c r="I4322" s="15"/>
      <c r="J4322" s="51"/>
      <c r="K4322" s="15"/>
      <c r="L4322" s="51"/>
      <c r="M4322" s="15"/>
      <c r="N4322" s="23"/>
      <c r="O4322" s="23"/>
      <c r="P4322" s="15" t="str">
        <f t="shared" si="6"/>
        <v/>
      </c>
      <c r="Q4322" s="24"/>
      <c r="R4322" s="25"/>
      <c r="S4322" s="25"/>
      <c r="T4322" s="26"/>
      <c r="U4322" s="26"/>
      <c r="V4322" s="25"/>
      <c r="W4322" s="25"/>
      <c r="X4322" s="25"/>
      <c r="Y4322" s="25"/>
      <c r="Z4322" s="25"/>
    </row>
    <row r="4323" spans="1:26" ht="15.75" customHeight="1" x14ac:dyDescent="0.25">
      <c r="A4323" s="25"/>
      <c r="B4323" s="49"/>
      <c r="C4323" s="50"/>
      <c r="D4323" s="23"/>
      <c r="E4323" s="23"/>
      <c r="F4323" s="15"/>
      <c r="G4323" s="23"/>
      <c r="H4323" s="15"/>
      <c r="I4323" s="15"/>
      <c r="J4323" s="51"/>
      <c r="K4323" s="15"/>
      <c r="L4323" s="51"/>
      <c r="M4323" s="15"/>
      <c r="N4323" s="23"/>
      <c r="O4323" s="23"/>
      <c r="P4323" s="15" t="str">
        <f t="shared" si="6"/>
        <v/>
      </c>
      <c r="Q4323" s="24"/>
      <c r="R4323" s="25"/>
      <c r="S4323" s="25"/>
      <c r="T4323" s="26"/>
      <c r="U4323" s="26"/>
      <c r="V4323" s="25"/>
      <c r="W4323" s="25"/>
      <c r="X4323" s="25"/>
      <c r="Y4323" s="25"/>
      <c r="Z4323" s="25"/>
    </row>
    <row r="4324" spans="1:26" ht="15.75" customHeight="1" x14ac:dyDescent="0.25">
      <c r="A4324" s="25"/>
      <c r="B4324" s="49"/>
      <c r="C4324" s="50"/>
      <c r="D4324" s="23"/>
      <c r="E4324" s="23"/>
      <c r="F4324" s="15"/>
      <c r="G4324" s="23"/>
      <c r="H4324" s="15"/>
      <c r="I4324" s="15"/>
      <c r="J4324" s="51"/>
      <c r="K4324" s="15"/>
      <c r="L4324" s="51"/>
      <c r="M4324" s="15"/>
      <c r="N4324" s="23"/>
      <c r="O4324" s="23"/>
      <c r="P4324" s="15" t="str">
        <f t="shared" si="6"/>
        <v/>
      </c>
      <c r="Q4324" s="24"/>
      <c r="R4324" s="25"/>
      <c r="S4324" s="25"/>
      <c r="T4324" s="26"/>
      <c r="U4324" s="26"/>
      <c r="V4324" s="25"/>
      <c r="W4324" s="25"/>
      <c r="X4324" s="25"/>
      <c r="Y4324" s="25"/>
      <c r="Z4324" s="25"/>
    </row>
    <row r="4325" spans="1:26" ht="15.75" customHeight="1" x14ac:dyDescent="0.25">
      <c r="A4325" s="25"/>
      <c r="B4325" s="49"/>
      <c r="C4325" s="50"/>
      <c r="D4325" s="23"/>
      <c r="E4325" s="23"/>
      <c r="F4325" s="15"/>
      <c r="G4325" s="23"/>
      <c r="H4325" s="15"/>
      <c r="I4325" s="15"/>
      <c r="J4325" s="51"/>
      <c r="K4325" s="15"/>
      <c r="L4325" s="51"/>
      <c r="M4325" s="15"/>
      <c r="N4325" s="23"/>
      <c r="O4325" s="23"/>
      <c r="P4325" s="15" t="str">
        <f t="shared" si="6"/>
        <v/>
      </c>
      <c r="Q4325" s="24"/>
      <c r="R4325" s="25"/>
      <c r="S4325" s="25"/>
      <c r="T4325" s="26"/>
      <c r="U4325" s="26"/>
      <c r="V4325" s="25"/>
      <c r="W4325" s="25"/>
      <c r="X4325" s="25"/>
      <c r="Y4325" s="25"/>
      <c r="Z4325" s="25"/>
    </row>
    <row r="4326" spans="1:26" ht="15.75" customHeight="1" x14ac:dyDescent="0.25">
      <c r="A4326" s="25"/>
      <c r="B4326" s="49"/>
      <c r="C4326" s="50"/>
      <c r="D4326" s="23"/>
      <c r="E4326" s="23"/>
      <c r="F4326" s="15"/>
      <c r="G4326" s="23"/>
      <c r="H4326" s="15"/>
      <c r="I4326" s="15"/>
      <c r="J4326" s="51"/>
      <c r="K4326" s="15"/>
      <c r="L4326" s="51"/>
      <c r="M4326" s="15"/>
      <c r="N4326" s="23"/>
      <c r="O4326" s="23"/>
      <c r="P4326" s="15" t="str">
        <f t="shared" si="6"/>
        <v/>
      </c>
      <c r="Q4326" s="24"/>
      <c r="R4326" s="25"/>
      <c r="S4326" s="25"/>
      <c r="T4326" s="26"/>
      <c r="U4326" s="26"/>
      <c r="V4326" s="25"/>
      <c r="W4326" s="25"/>
      <c r="X4326" s="25"/>
      <c r="Y4326" s="25"/>
      <c r="Z4326" s="25"/>
    </row>
    <row r="4327" spans="1:26" ht="15.75" customHeight="1" x14ac:dyDescent="0.25">
      <c r="A4327" s="25"/>
      <c r="B4327" s="49"/>
      <c r="C4327" s="50"/>
      <c r="D4327" s="23"/>
      <c r="E4327" s="23"/>
      <c r="F4327" s="15"/>
      <c r="G4327" s="23"/>
      <c r="H4327" s="15"/>
      <c r="I4327" s="15"/>
      <c r="J4327" s="51"/>
      <c r="K4327" s="15"/>
      <c r="L4327" s="51"/>
      <c r="M4327" s="15"/>
      <c r="N4327" s="23"/>
      <c r="O4327" s="23"/>
      <c r="P4327" s="15" t="str">
        <f t="shared" si="6"/>
        <v/>
      </c>
      <c r="Q4327" s="24"/>
      <c r="R4327" s="25"/>
      <c r="S4327" s="25"/>
      <c r="T4327" s="26"/>
      <c r="U4327" s="26"/>
      <c r="V4327" s="25"/>
      <c r="W4327" s="25"/>
      <c r="X4327" s="25"/>
      <c r="Y4327" s="25"/>
      <c r="Z4327" s="25"/>
    </row>
    <row r="4328" spans="1:26" ht="15.75" customHeight="1" x14ac:dyDescent="0.25">
      <c r="A4328" s="25"/>
      <c r="B4328" s="49"/>
      <c r="C4328" s="50"/>
      <c r="D4328" s="23"/>
      <c r="E4328" s="23"/>
      <c r="F4328" s="15"/>
      <c r="G4328" s="23"/>
      <c r="H4328" s="15"/>
      <c r="I4328" s="15"/>
      <c r="J4328" s="51"/>
      <c r="K4328" s="15"/>
      <c r="L4328" s="51"/>
      <c r="M4328" s="15"/>
      <c r="N4328" s="23"/>
      <c r="O4328" s="23"/>
      <c r="P4328" s="15" t="str">
        <f t="shared" si="6"/>
        <v/>
      </c>
      <c r="Q4328" s="24"/>
      <c r="R4328" s="25"/>
      <c r="S4328" s="25"/>
      <c r="T4328" s="26"/>
      <c r="U4328" s="26"/>
      <c r="V4328" s="25"/>
      <c r="W4328" s="25"/>
      <c r="X4328" s="25"/>
      <c r="Y4328" s="25"/>
      <c r="Z4328" s="25"/>
    </row>
    <row r="4329" spans="1:26" ht="15.75" customHeight="1" x14ac:dyDescent="0.25">
      <c r="A4329" s="25"/>
      <c r="B4329" s="49"/>
      <c r="C4329" s="50"/>
      <c r="D4329" s="23"/>
      <c r="E4329" s="23"/>
      <c r="F4329" s="15"/>
      <c r="G4329" s="23"/>
      <c r="H4329" s="15"/>
      <c r="I4329" s="15"/>
      <c r="J4329" s="51"/>
      <c r="K4329" s="15"/>
      <c r="L4329" s="51"/>
      <c r="M4329" s="15"/>
      <c r="N4329" s="23"/>
      <c r="O4329" s="23"/>
      <c r="P4329" s="15" t="str">
        <f t="shared" si="6"/>
        <v/>
      </c>
      <c r="Q4329" s="24"/>
      <c r="R4329" s="25"/>
      <c r="S4329" s="25"/>
      <c r="T4329" s="26"/>
      <c r="U4329" s="26"/>
      <c r="V4329" s="25"/>
      <c r="W4329" s="25"/>
      <c r="X4329" s="25"/>
      <c r="Y4329" s="25"/>
      <c r="Z4329" s="25"/>
    </row>
    <row r="4330" spans="1:26" ht="15.75" customHeight="1" x14ac:dyDescent="0.25">
      <c r="A4330" s="25"/>
      <c r="B4330" s="49"/>
      <c r="C4330" s="50"/>
      <c r="D4330" s="23"/>
      <c r="E4330" s="23"/>
      <c r="F4330" s="15"/>
      <c r="G4330" s="23"/>
      <c r="H4330" s="15"/>
      <c r="I4330" s="15"/>
      <c r="J4330" s="51"/>
      <c r="K4330" s="15"/>
      <c r="L4330" s="51"/>
      <c r="M4330" s="15"/>
      <c r="N4330" s="23"/>
      <c r="O4330" s="23"/>
      <c r="P4330" s="15" t="str">
        <f t="shared" si="6"/>
        <v/>
      </c>
      <c r="Q4330" s="24"/>
      <c r="R4330" s="25"/>
      <c r="S4330" s="25"/>
      <c r="T4330" s="26"/>
      <c r="U4330" s="26"/>
      <c r="V4330" s="25"/>
      <c r="W4330" s="25"/>
      <c r="X4330" s="25"/>
      <c r="Y4330" s="25"/>
      <c r="Z4330" s="25"/>
    </row>
    <row r="4331" spans="1:26" ht="15.75" customHeight="1" x14ac:dyDescent="0.25">
      <c r="A4331" s="25"/>
      <c r="B4331" s="49"/>
      <c r="C4331" s="50"/>
      <c r="D4331" s="23"/>
      <c r="E4331" s="23"/>
      <c r="F4331" s="15"/>
      <c r="G4331" s="23"/>
      <c r="H4331" s="15"/>
      <c r="I4331" s="15"/>
      <c r="J4331" s="51"/>
      <c r="K4331" s="15"/>
      <c r="L4331" s="51"/>
      <c r="M4331" s="15"/>
      <c r="N4331" s="23"/>
      <c r="O4331" s="23"/>
      <c r="P4331" s="15" t="str">
        <f t="shared" si="6"/>
        <v/>
      </c>
      <c r="Q4331" s="24"/>
      <c r="R4331" s="25"/>
      <c r="S4331" s="25"/>
      <c r="T4331" s="26"/>
      <c r="U4331" s="26"/>
      <c r="V4331" s="25"/>
      <c r="W4331" s="25"/>
      <c r="X4331" s="25"/>
      <c r="Y4331" s="25"/>
      <c r="Z4331" s="25"/>
    </row>
    <row r="4332" spans="1:26" ht="15.75" customHeight="1" x14ac:dyDescent="0.25">
      <c r="A4332" s="25"/>
      <c r="B4332" s="49"/>
      <c r="C4332" s="50"/>
      <c r="D4332" s="23"/>
      <c r="E4332" s="23"/>
      <c r="F4332" s="15"/>
      <c r="G4332" s="23"/>
      <c r="H4332" s="15"/>
      <c r="I4332" s="15"/>
      <c r="J4332" s="51"/>
      <c r="K4332" s="15"/>
      <c r="L4332" s="51"/>
      <c r="M4332" s="15"/>
      <c r="N4332" s="23"/>
      <c r="O4332" s="23"/>
      <c r="P4332" s="15" t="str">
        <f t="shared" si="6"/>
        <v/>
      </c>
      <c r="Q4332" s="24"/>
      <c r="R4332" s="25"/>
      <c r="S4332" s="25"/>
      <c r="T4332" s="26"/>
      <c r="U4332" s="26"/>
      <c r="V4332" s="25"/>
      <c r="W4332" s="25"/>
      <c r="X4332" s="25"/>
      <c r="Y4332" s="25"/>
      <c r="Z4332" s="25"/>
    </row>
    <row r="4333" spans="1:26" ht="15.75" customHeight="1" x14ac:dyDescent="0.25">
      <c r="A4333" s="25"/>
      <c r="B4333" s="49"/>
      <c r="C4333" s="50"/>
      <c r="D4333" s="23"/>
      <c r="E4333" s="23"/>
      <c r="F4333" s="15"/>
      <c r="G4333" s="23"/>
      <c r="H4333" s="15"/>
      <c r="I4333" s="15"/>
      <c r="J4333" s="51"/>
      <c r="K4333" s="15"/>
      <c r="L4333" s="51"/>
      <c r="M4333" s="15"/>
      <c r="N4333" s="23"/>
      <c r="O4333" s="23"/>
      <c r="P4333" s="15" t="str">
        <f t="shared" si="6"/>
        <v/>
      </c>
      <c r="Q4333" s="24"/>
      <c r="R4333" s="25"/>
      <c r="S4333" s="25"/>
      <c r="T4333" s="26"/>
      <c r="U4333" s="26"/>
      <c r="V4333" s="25"/>
      <c r="W4333" s="25"/>
      <c r="X4333" s="25"/>
      <c r="Y4333" s="25"/>
      <c r="Z4333" s="25"/>
    </row>
    <row r="4334" spans="1:26" ht="15.75" customHeight="1" x14ac:dyDescent="0.25">
      <c r="A4334" s="25"/>
      <c r="B4334" s="49"/>
      <c r="C4334" s="50"/>
      <c r="D4334" s="23"/>
      <c r="E4334" s="23"/>
      <c r="F4334" s="15"/>
      <c r="G4334" s="23"/>
      <c r="H4334" s="15"/>
      <c r="I4334" s="15"/>
      <c r="J4334" s="51"/>
      <c r="K4334" s="15"/>
      <c r="L4334" s="51"/>
      <c r="M4334" s="15"/>
      <c r="N4334" s="23"/>
      <c r="O4334" s="23"/>
      <c r="P4334" s="15" t="str">
        <f t="shared" si="6"/>
        <v/>
      </c>
      <c r="Q4334" s="24"/>
      <c r="R4334" s="25"/>
      <c r="S4334" s="25"/>
      <c r="T4334" s="26"/>
      <c r="U4334" s="26"/>
      <c r="V4334" s="25"/>
      <c r="W4334" s="25"/>
      <c r="X4334" s="25"/>
      <c r="Y4334" s="25"/>
      <c r="Z4334" s="25"/>
    </row>
    <row r="4335" spans="1:26" ht="15.75" customHeight="1" x14ac:dyDescent="0.25">
      <c r="A4335" s="25"/>
      <c r="B4335" s="49"/>
      <c r="C4335" s="50"/>
      <c r="D4335" s="23"/>
      <c r="E4335" s="23"/>
      <c r="F4335" s="15"/>
      <c r="G4335" s="23"/>
      <c r="H4335" s="15"/>
      <c r="I4335" s="15"/>
      <c r="J4335" s="51"/>
      <c r="K4335" s="15"/>
      <c r="L4335" s="51"/>
      <c r="M4335" s="15"/>
      <c r="N4335" s="23"/>
      <c r="O4335" s="23"/>
      <c r="P4335" s="15" t="str">
        <f t="shared" si="6"/>
        <v/>
      </c>
      <c r="Q4335" s="24"/>
      <c r="R4335" s="25"/>
      <c r="S4335" s="25"/>
      <c r="T4335" s="26"/>
      <c r="U4335" s="26"/>
      <c r="V4335" s="25"/>
      <c r="W4335" s="25"/>
      <c r="X4335" s="25"/>
      <c r="Y4335" s="25"/>
      <c r="Z4335" s="25"/>
    </row>
    <row r="4336" spans="1:26" ht="15.75" customHeight="1" x14ac:dyDescent="0.25">
      <c r="A4336" s="25"/>
      <c r="B4336" s="49"/>
      <c r="C4336" s="50"/>
      <c r="D4336" s="23"/>
      <c r="E4336" s="23"/>
      <c r="F4336" s="15"/>
      <c r="G4336" s="23"/>
      <c r="H4336" s="15"/>
      <c r="I4336" s="15"/>
      <c r="J4336" s="51"/>
      <c r="K4336" s="15"/>
      <c r="L4336" s="51"/>
      <c r="M4336" s="15"/>
      <c r="N4336" s="23"/>
      <c r="O4336" s="23"/>
      <c r="P4336" s="15" t="str">
        <f t="shared" si="6"/>
        <v/>
      </c>
      <c r="Q4336" s="24"/>
      <c r="R4336" s="25"/>
      <c r="S4336" s="25"/>
      <c r="T4336" s="26"/>
      <c r="U4336" s="26"/>
      <c r="V4336" s="25"/>
      <c r="W4336" s="25"/>
      <c r="X4336" s="25"/>
      <c r="Y4336" s="25"/>
      <c r="Z4336" s="25"/>
    </row>
    <row r="4337" spans="1:26" ht="15.75" customHeight="1" x14ac:dyDescent="0.25">
      <c r="A4337" s="25"/>
      <c r="B4337" s="49"/>
      <c r="C4337" s="50"/>
      <c r="D4337" s="23"/>
      <c r="E4337" s="23"/>
      <c r="F4337" s="15"/>
      <c r="G4337" s="23"/>
      <c r="H4337" s="15"/>
      <c r="I4337" s="15"/>
      <c r="J4337" s="51"/>
      <c r="K4337" s="15"/>
      <c r="L4337" s="51"/>
      <c r="M4337" s="15"/>
      <c r="N4337" s="23"/>
      <c r="O4337" s="23"/>
      <c r="P4337" s="15" t="str">
        <f t="shared" si="6"/>
        <v/>
      </c>
      <c r="Q4337" s="24"/>
      <c r="R4337" s="25"/>
      <c r="S4337" s="25"/>
      <c r="T4337" s="26"/>
      <c r="U4337" s="26"/>
      <c r="V4337" s="25"/>
      <c r="W4337" s="25"/>
      <c r="X4337" s="25"/>
      <c r="Y4337" s="25"/>
      <c r="Z4337" s="25"/>
    </row>
    <row r="4338" spans="1:26" ht="15.75" customHeight="1" x14ac:dyDescent="0.25">
      <c r="A4338" s="25"/>
      <c r="B4338" s="49"/>
      <c r="C4338" s="50"/>
      <c r="D4338" s="23"/>
      <c r="E4338" s="23"/>
      <c r="F4338" s="15"/>
      <c r="G4338" s="23"/>
      <c r="H4338" s="15"/>
      <c r="I4338" s="15"/>
      <c r="J4338" s="51"/>
      <c r="K4338" s="15"/>
      <c r="L4338" s="51"/>
      <c r="M4338" s="15"/>
      <c r="N4338" s="23"/>
      <c r="O4338" s="23"/>
      <c r="P4338" s="15" t="str">
        <f t="shared" si="6"/>
        <v/>
      </c>
      <c r="Q4338" s="24"/>
      <c r="R4338" s="25"/>
      <c r="S4338" s="25"/>
      <c r="T4338" s="26"/>
      <c r="U4338" s="26"/>
      <c r="V4338" s="25"/>
      <c r="W4338" s="25"/>
      <c r="X4338" s="25"/>
      <c r="Y4338" s="25"/>
      <c r="Z4338" s="25"/>
    </row>
    <row r="4339" spans="1:26" ht="15.75" customHeight="1" x14ac:dyDescent="0.25">
      <c r="A4339" s="25"/>
      <c r="B4339" s="49"/>
      <c r="C4339" s="50"/>
      <c r="D4339" s="23"/>
      <c r="E4339" s="23"/>
      <c r="F4339" s="15"/>
      <c r="G4339" s="23"/>
      <c r="H4339" s="15"/>
      <c r="I4339" s="15"/>
      <c r="J4339" s="51"/>
      <c r="K4339" s="15"/>
      <c r="L4339" s="51"/>
      <c r="M4339" s="15"/>
      <c r="N4339" s="23"/>
      <c r="O4339" s="23"/>
      <c r="P4339" s="15" t="str">
        <f t="shared" si="6"/>
        <v/>
      </c>
      <c r="Q4339" s="24"/>
      <c r="R4339" s="25"/>
      <c r="S4339" s="25"/>
      <c r="T4339" s="26"/>
      <c r="U4339" s="26"/>
      <c r="V4339" s="25"/>
      <c r="W4339" s="25"/>
      <c r="X4339" s="25"/>
      <c r="Y4339" s="25"/>
      <c r="Z4339" s="25"/>
    </row>
    <row r="4340" spans="1:26" ht="15.75" customHeight="1" x14ac:dyDescent="0.25">
      <c r="A4340" s="25"/>
      <c r="B4340" s="49"/>
      <c r="C4340" s="50"/>
      <c r="D4340" s="23"/>
      <c r="E4340" s="23"/>
      <c r="F4340" s="15"/>
      <c r="G4340" s="23"/>
      <c r="H4340" s="15"/>
      <c r="I4340" s="15"/>
      <c r="J4340" s="51"/>
      <c r="K4340" s="15"/>
      <c r="L4340" s="51"/>
      <c r="M4340" s="15"/>
      <c r="N4340" s="23"/>
      <c r="O4340" s="23"/>
      <c r="P4340" s="15" t="str">
        <f t="shared" si="6"/>
        <v/>
      </c>
      <c r="Q4340" s="24"/>
      <c r="R4340" s="25"/>
      <c r="S4340" s="25"/>
      <c r="T4340" s="26"/>
      <c r="U4340" s="26"/>
      <c r="V4340" s="25"/>
      <c r="W4340" s="25"/>
      <c r="X4340" s="25"/>
      <c r="Y4340" s="25"/>
      <c r="Z4340" s="25"/>
    </row>
    <row r="4341" spans="1:26" ht="15.75" customHeight="1" x14ac:dyDescent="0.25">
      <c r="A4341" s="25"/>
      <c r="B4341" s="49"/>
      <c r="C4341" s="50"/>
      <c r="D4341" s="23"/>
      <c r="E4341" s="23"/>
      <c r="F4341" s="15"/>
      <c r="G4341" s="23"/>
      <c r="H4341" s="15"/>
      <c r="I4341" s="15"/>
      <c r="J4341" s="51"/>
      <c r="K4341" s="15"/>
      <c r="L4341" s="51"/>
      <c r="M4341" s="15"/>
      <c r="N4341" s="23"/>
      <c r="O4341" s="23"/>
      <c r="P4341" s="15" t="str">
        <f t="shared" si="6"/>
        <v/>
      </c>
      <c r="Q4341" s="24"/>
      <c r="R4341" s="25"/>
      <c r="S4341" s="25"/>
      <c r="T4341" s="26"/>
      <c r="U4341" s="26"/>
      <c r="V4341" s="25"/>
      <c r="W4341" s="25"/>
      <c r="X4341" s="25"/>
      <c r="Y4341" s="25"/>
      <c r="Z4341" s="25"/>
    </row>
    <row r="4342" spans="1:26" ht="15.75" customHeight="1" x14ac:dyDescent="0.25">
      <c r="A4342" s="25"/>
      <c r="B4342" s="49"/>
      <c r="C4342" s="50"/>
      <c r="D4342" s="23"/>
      <c r="E4342" s="23"/>
      <c r="F4342" s="15"/>
      <c r="G4342" s="23"/>
      <c r="H4342" s="15"/>
      <c r="I4342" s="15"/>
      <c r="J4342" s="51"/>
      <c r="K4342" s="15"/>
      <c r="L4342" s="51"/>
      <c r="M4342" s="15"/>
      <c r="N4342" s="23"/>
      <c r="O4342" s="23"/>
      <c r="P4342" s="15" t="str">
        <f t="shared" si="6"/>
        <v/>
      </c>
      <c r="Q4342" s="24"/>
      <c r="R4342" s="25"/>
      <c r="S4342" s="25"/>
      <c r="T4342" s="26"/>
      <c r="U4342" s="26"/>
      <c r="V4342" s="25"/>
      <c r="W4342" s="25"/>
      <c r="X4342" s="25"/>
      <c r="Y4342" s="25"/>
      <c r="Z4342" s="25"/>
    </row>
    <row r="4343" spans="1:26" ht="15.75" customHeight="1" x14ac:dyDescent="0.25">
      <c r="A4343" s="25"/>
      <c r="B4343" s="49"/>
      <c r="C4343" s="50"/>
      <c r="D4343" s="23"/>
      <c r="E4343" s="23"/>
      <c r="F4343" s="15"/>
      <c r="G4343" s="23"/>
      <c r="H4343" s="15"/>
      <c r="I4343" s="15"/>
      <c r="J4343" s="51"/>
      <c r="K4343" s="15"/>
      <c r="L4343" s="51"/>
      <c r="M4343" s="15"/>
      <c r="N4343" s="23"/>
      <c r="O4343" s="23"/>
      <c r="P4343" s="15" t="str">
        <f t="shared" si="6"/>
        <v/>
      </c>
      <c r="Q4343" s="24"/>
      <c r="R4343" s="25"/>
      <c r="S4343" s="25"/>
      <c r="T4343" s="26"/>
      <c r="U4343" s="26"/>
      <c r="V4343" s="25"/>
      <c r="W4343" s="25"/>
      <c r="X4343" s="25"/>
      <c r="Y4343" s="25"/>
      <c r="Z4343" s="25"/>
    </row>
    <row r="4344" spans="1:26" ht="15.75" customHeight="1" x14ac:dyDescent="0.25">
      <c r="A4344" s="25"/>
      <c r="B4344" s="49"/>
      <c r="C4344" s="50"/>
      <c r="D4344" s="23"/>
      <c r="E4344" s="23"/>
      <c r="F4344" s="15"/>
      <c r="G4344" s="23"/>
      <c r="H4344" s="15"/>
      <c r="I4344" s="15"/>
      <c r="J4344" s="51"/>
      <c r="K4344" s="15"/>
      <c r="L4344" s="51"/>
      <c r="M4344" s="15"/>
      <c r="N4344" s="23"/>
      <c r="O4344" s="23"/>
      <c r="P4344" s="15" t="str">
        <f t="shared" si="6"/>
        <v/>
      </c>
      <c r="Q4344" s="24"/>
      <c r="R4344" s="25"/>
      <c r="S4344" s="25"/>
      <c r="T4344" s="26"/>
      <c r="U4344" s="26"/>
      <c r="V4344" s="25"/>
      <c r="W4344" s="25"/>
      <c r="X4344" s="25"/>
      <c r="Y4344" s="25"/>
      <c r="Z4344" s="25"/>
    </row>
    <row r="4345" spans="1:26" ht="15.75" customHeight="1" x14ac:dyDescent="0.25">
      <c r="A4345" s="25"/>
      <c r="B4345" s="49"/>
      <c r="C4345" s="50"/>
      <c r="D4345" s="23"/>
      <c r="E4345" s="23"/>
      <c r="F4345" s="15"/>
      <c r="G4345" s="23"/>
      <c r="H4345" s="15"/>
      <c r="I4345" s="15"/>
      <c r="J4345" s="51"/>
      <c r="K4345" s="15"/>
      <c r="L4345" s="51"/>
      <c r="M4345" s="15"/>
      <c r="N4345" s="23"/>
      <c r="O4345" s="23"/>
      <c r="P4345" s="15" t="str">
        <f t="shared" si="6"/>
        <v/>
      </c>
      <c r="Q4345" s="24"/>
      <c r="R4345" s="25"/>
      <c r="S4345" s="25"/>
      <c r="T4345" s="26"/>
      <c r="U4345" s="26"/>
      <c r="V4345" s="25"/>
      <c r="W4345" s="25"/>
      <c r="X4345" s="25"/>
      <c r="Y4345" s="25"/>
      <c r="Z4345" s="25"/>
    </row>
    <row r="4346" spans="1:26" ht="15.75" customHeight="1" x14ac:dyDescent="0.25">
      <c r="A4346" s="25"/>
      <c r="B4346" s="49"/>
      <c r="C4346" s="50"/>
      <c r="D4346" s="23"/>
      <c r="E4346" s="23"/>
      <c r="F4346" s="15"/>
      <c r="G4346" s="23"/>
      <c r="H4346" s="15"/>
      <c r="I4346" s="15"/>
      <c r="J4346" s="51"/>
      <c r="K4346" s="15"/>
      <c r="L4346" s="51"/>
      <c r="M4346" s="15"/>
      <c r="N4346" s="23"/>
      <c r="O4346" s="23"/>
      <c r="P4346" s="15" t="str">
        <f t="shared" si="6"/>
        <v/>
      </c>
      <c r="Q4346" s="24"/>
      <c r="R4346" s="25"/>
      <c r="S4346" s="25"/>
      <c r="T4346" s="26"/>
      <c r="U4346" s="26"/>
      <c r="V4346" s="25"/>
      <c r="W4346" s="25"/>
      <c r="X4346" s="25"/>
      <c r="Y4346" s="25"/>
      <c r="Z4346" s="25"/>
    </row>
    <row r="4347" spans="1:26" ht="15.75" customHeight="1" x14ac:dyDescent="0.25">
      <c r="A4347" s="25"/>
      <c r="B4347" s="49"/>
      <c r="C4347" s="50"/>
      <c r="D4347" s="23"/>
      <c r="E4347" s="23"/>
      <c r="F4347" s="15"/>
      <c r="G4347" s="23"/>
      <c r="H4347" s="15"/>
      <c r="I4347" s="15"/>
      <c r="J4347" s="51"/>
      <c r="K4347" s="15"/>
      <c r="L4347" s="51"/>
      <c r="M4347" s="15"/>
      <c r="N4347" s="23"/>
      <c r="O4347" s="23"/>
      <c r="P4347" s="15" t="str">
        <f t="shared" si="6"/>
        <v/>
      </c>
      <c r="Q4347" s="24"/>
      <c r="R4347" s="25"/>
      <c r="S4347" s="25"/>
      <c r="T4347" s="26"/>
      <c r="U4347" s="26"/>
      <c r="V4347" s="25"/>
      <c r="W4347" s="25"/>
      <c r="X4347" s="25"/>
      <c r="Y4347" s="25"/>
      <c r="Z4347" s="25"/>
    </row>
    <row r="4348" spans="1:26" ht="15.75" customHeight="1" x14ac:dyDescent="0.25">
      <c r="A4348" s="25"/>
      <c r="B4348" s="49"/>
      <c r="C4348" s="50"/>
      <c r="D4348" s="23"/>
      <c r="E4348" s="23"/>
      <c r="F4348" s="15"/>
      <c r="G4348" s="23"/>
      <c r="H4348" s="15"/>
      <c r="I4348" s="15"/>
      <c r="J4348" s="51"/>
      <c r="K4348" s="15"/>
      <c r="L4348" s="51"/>
      <c r="M4348" s="15"/>
      <c r="N4348" s="23"/>
      <c r="O4348" s="23"/>
      <c r="P4348" s="15" t="str">
        <f t="shared" si="6"/>
        <v/>
      </c>
      <c r="Q4348" s="24"/>
      <c r="R4348" s="25"/>
      <c r="S4348" s="25"/>
      <c r="T4348" s="26"/>
      <c r="U4348" s="26"/>
      <c r="V4348" s="25"/>
      <c r="W4348" s="25"/>
      <c r="X4348" s="25"/>
      <c r="Y4348" s="25"/>
      <c r="Z4348" s="25"/>
    </row>
    <row r="4349" spans="1:26" ht="15.75" customHeight="1" x14ac:dyDescent="0.25">
      <c r="A4349" s="25"/>
      <c r="B4349" s="49"/>
      <c r="C4349" s="50"/>
      <c r="D4349" s="23"/>
      <c r="E4349" s="23"/>
      <c r="F4349" s="15"/>
      <c r="G4349" s="23"/>
      <c r="H4349" s="15"/>
      <c r="I4349" s="15"/>
      <c r="J4349" s="51"/>
      <c r="K4349" s="15"/>
      <c r="L4349" s="51"/>
      <c r="M4349" s="15"/>
      <c r="N4349" s="23"/>
      <c r="O4349" s="23"/>
      <c r="P4349" s="15" t="str">
        <f t="shared" si="6"/>
        <v/>
      </c>
      <c r="Q4349" s="24"/>
      <c r="R4349" s="25"/>
      <c r="S4349" s="25"/>
      <c r="T4349" s="26"/>
      <c r="U4349" s="26"/>
      <c r="V4349" s="25"/>
      <c r="W4349" s="25"/>
      <c r="X4349" s="25"/>
      <c r="Y4349" s="25"/>
      <c r="Z4349" s="25"/>
    </row>
    <row r="4350" spans="1:26" ht="15.75" customHeight="1" x14ac:dyDescent="0.25">
      <c r="A4350" s="25"/>
      <c r="B4350" s="49"/>
      <c r="C4350" s="50"/>
      <c r="D4350" s="23"/>
      <c r="E4350" s="23"/>
      <c r="F4350" s="15"/>
      <c r="G4350" s="23"/>
      <c r="H4350" s="15"/>
      <c r="I4350" s="15"/>
      <c r="J4350" s="51"/>
      <c r="K4350" s="15"/>
      <c r="L4350" s="51"/>
      <c r="M4350" s="15"/>
      <c r="N4350" s="23"/>
      <c r="O4350" s="23"/>
      <c r="P4350" s="15" t="str">
        <f t="shared" si="6"/>
        <v/>
      </c>
      <c r="Q4350" s="24"/>
      <c r="R4350" s="25"/>
      <c r="S4350" s="25"/>
      <c r="T4350" s="26"/>
      <c r="U4350" s="26"/>
      <c r="V4350" s="25"/>
      <c r="W4350" s="25"/>
      <c r="X4350" s="25"/>
      <c r="Y4350" s="25"/>
      <c r="Z4350" s="25"/>
    </row>
    <row r="4351" spans="1:26" ht="15.75" customHeight="1" x14ac:dyDescent="0.25">
      <c r="A4351" s="25"/>
      <c r="B4351" s="49"/>
      <c r="C4351" s="50"/>
      <c r="D4351" s="23"/>
      <c r="E4351" s="23"/>
      <c r="F4351" s="15"/>
      <c r="G4351" s="23"/>
      <c r="H4351" s="15"/>
      <c r="I4351" s="15"/>
      <c r="J4351" s="51"/>
      <c r="K4351" s="15"/>
      <c r="L4351" s="51"/>
      <c r="M4351" s="15"/>
      <c r="N4351" s="23"/>
      <c r="O4351" s="23"/>
      <c r="P4351" s="15" t="str">
        <f t="shared" si="6"/>
        <v/>
      </c>
      <c r="Q4351" s="24"/>
      <c r="R4351" s="25"/>
      <c r="S4351" s="25"/>
      <c r="T4351" s="26"/>
      <c r="U4351" s="26"/>
      <c r="V4351" s="25"/>
      <c r="W4351" s="25"/>
      <c r="X4351" s="25"/>
      <c r="Y4351" s="25"/>
      <c r="Z4351" s="25"/>
    </row>
    <row r="4352" spans="1:26" ht="15.75" customHeight="1" x14ac:dyDescent="0.25">
      <c r="A4352" s="25"/>
      <c r="B4352" s="49"/>
      <c r="C4352" s="50"/>
      <c r="D4352" s="23"/>
      <c r="E4352" s="23"/>
      <c r="F4352" s="15"/>
      <c r="G4352" s="23"/>
      <c r="H4352" s="15"/>
      <c r="I4352" s="15"/>
      <c r="J4352" s="51"/>
      <c r="K4352" s="15"/>
      <c r="L4352" s="51"/>
      <c r="M4352" s="15"/>
      <c r="N4352" s="23"/>
      <c r="O4352" s="23"/>
      <c r="P4352" s="15" t="str">
        <f t="shared" si="6"/>
        <v/>
      </c>
      <c r="Q4352" s="24"/>
      <c r="R4352" s="25"/>
      <c r="S4352" s="25"/>
      <c r="T4352" s="26"/>
      <c r="U4352" s="26"/>
      <c r="V4352" s="25"/>
      <c r="W4352" s="25"/>
      <c r="X4352" s="25"/>
      <c r="Y4352" s="25"/>
      <c r="Z4352" s="25"/>
    </row>
    <row r="4353" spans="1:26" ht="15.75" customHeight="1" x14ac:dyDescent="0.25">
      <c r="A4353" s="25"/>
      <c r="B4353" s="49"/>
      <c r="C4353" s="50"/>
      <c r="D4353" s="23"/>
      <c r="E4353" s="23"/>
      <c r="F4353" s="15"/>
      <c r="G4353" s="23"/>
      <c r="H4353" s="15"/>
      <c r="I4353" s="15"/>
      <c r="J4353" s="51"/>
      <c r="K4353" s="15"/>
      <c r="L4353" s="51"/>
      <c r="M4353" s="15"/>
      <c r="N4353" s="23"/>
      <c r="O4353" s="23"/>
      <c r="P4353" s="15" t="str">
        <f t="shared" si="6"/>
        <v/>
      </c>
      <c r="Q4353" s="24"/>
      <c r="R4353" s="25"/>
      <c r="S4353" s="25"/>
      <c r="T4353" s="26"/>
      <c r="U4353" s="26"/>
      <c r="V4353" s="25"/>
      <c r="W4353" s="25"/>
      <c r="X4353" s="25"/>
      <c r="Y4353" s="25"/>
      <c r="Z4353" s="25"/>
    </row>
    <row r="4354" spans="1:26" ht="15.75" customHeight="1" x14ac:dyDescent="0.25">
      <c r="A4354" s="25"/>
      <c r="B4354" s="49"/>
      <c r="C4354" s="50"/>
      <c r="D4354" s="23"/>
      <c r="E4354" s="23"/>
      <c r="F4354" s="15"/>
      <c r="G4354" s="23"/>
      <c r="H4354" s="15"/>
      <c r="I4354" s="15"/>
      <c r="J4354" s="51"/>
      <c r="K4354" s="15"/>
      <c r="L4354" s="51"/>
      <c r="M4354" s="15"/>
      <c r="N4354" s="23"/>
      <c r="O4354" s="23"/>
      <c r="P4354" s="15" t="str">
        <f t="shared" si="6"/>
        <v/>
      </c>
      <c r="Q4354" s="24"/>
      <c r="R4354" s="25"/>
      <c r="S4354" s="25"/>
      <c r="T4354" s="26"/>
      <c r="U4354" s="26"/>
      <c r="V4354" s="25"/>
      <c r="W4354" s="25"/>
      <c r="X4354" s="25"/>
      <c r="Y4354" s="25"/>
      <c r="Z4354" s="25"/>
    </row>
    <row r="4355" spans="1:26" ht="15.75" customHeight="1" x14ac:dyDescent="0.25">
      <c r="A4355" s="25"/>
      <c r="B4355" s="49"/>
      <c r="C4355" s="50"/>
      <c r="D4355" s="23"/>
      <c r="E4355" s="23"/>
      <c r="F4355" s="15"/>
      <c r="G4355" s="23"/>
      <c r="H4355" s="15"/>
      <c r="I4355" s="15"/>
      <c r="J4355" s="51"/>
      <c r="K4355" s="15"/>
      <c r="L4355" s="51"/>
      <c r="M4355" s="15"/>
      <c r="N4355" s="23"/>
      <c r="O4355" s="23"/>
      <c r="P4355" s="15" t="str">
        <f t="shared" si="6"/>
        <v/>
      </c>
      <c r="Q4355" s="24"/>
      <c r="R4355" s="25"/>
      <c r="S4355" s="25"/>
      <c r="T4355" s="26"/>
      <c r="U4355" s="26"/>
      <c r="V4355" s="25"/>
      <c r="W4355" s="25"/>
      <c r="X4355" s="25"/>
      <c r="Y4355" s="25"/>
      <c r="Z4355" s="25"/>
    </row>
    <row r="4356" spans="1:26" ht="15.75" customHeight="1" x14ac:dyDescent="0.25">
      <c r="A4356" s="25"/>
      <c r="B4356" s="49"/>
      <c r="C4356" s="50"/>
      <c r="D4356" s="23"/>
      <c r="E4356" s="23"/>
      <c r="F4356" s="15"/>
      <c r="G4356" s="23"/>
      <c r="H4356" s="15"/>
      <c r="I4356" s="15"/>
      <c r="J4356" s="51"/>
      <c r="K4356" s="15"/>
      <c r="L4356" s="51"/>
      <c r="M4356" s="15"/>
      <c r="N4356" s="23"/>
      <c r="O4356" s="23"/>
      <c r="P4356" s="15" t="str">
        <f t="shared" si="6"/>
        <v/>
      </c>
      <c r="Q4356" s="24"/>
      <c r="R4356" s="25"/>
      <c r="S4356" s="25"/>
      <c r="T4356" s="26"/>
      <c r="U4356" s="26"/>
      <c r="V4356" s="25"/>
      <c r="W4356" s="25"/>
      <c r="X4356" s="25"/>
      <c r="Y4356" s="25"/>
      <c r="Z4356" s="25"/>
    </row>
    <row r="4357" spans="1:26" ht="15.75" customHeight="1" x14ac:dyDescent="0.25">
      <c r="A4357" s="25"/>
      <c r="B4357" s="49"/>
      <c r="C4357" s="50"/>
      <c r="D4357" s="23"/>
      <c r="E4357" s="23"/>
      <c r="F4357" s="15"/>
      <c r="G4357" s="23"/>
      <c r="H4357" s="15"/>
      <c r="I4357" s="15"/>
      <c r="J4357" s="51"/>
      <c r="K4357" s="15"/>
      <c r="L4357" s="51"/>
      <c r="M4357" s="15"/>
      <c r="N4357" s="23"/>
      <c r="O4357" s="23"/>
      <c r="P4357" s="15" t="str">
        <f t="shared" si="6"/>
        <v/>
      </c>
      <c r="Q4357" s="24"/>
      <c r="R4357" s="25"/>
      <c r="S4357" s="25"/>
      <c r="T4357" s="26"/>
      <c r="U4357" s="26"/>
      <c r="V4357" s="25"/>
      <c r="W4357" s="25"/>
      <c r="X4357" s="25"/>
      <c r="Y4357" s="25"/>
      <c r="Z4357" s="25"/>
    </row>
    <row r="4358" spans="1:26" ht="15.75" customHeight="1" x14ac:dyDescent="0.25">
      <c r="A4358" s="25"/>
      <c r="B4358" s="49"/>
      <c r="C4358" s="50"/>
      <c r="D4358" s="23"/>
      <c r="E4358" s="23"/>
      <c r="F4358" s="15"/>
      <c r="G4358" s="23"/>
      <c r="H4358" s="15"/>
      <c r="I4358" s="15"/>
      <c r="J4358" s="51"/>
      <c r="K4358" s="15"/>
      <c r="L4358" s="51"/>
      <c r="M4358" s="15"/>
      <c r="N4358" s="23"/>
      <c r="O4358" s="23"/>
      <c r="P4358" s="15" t="str">
        <f t="shared" si="6"/>
        <v/>
      </c>
      <c r="Q4358" s="24"/>
      <c r="R4358" s="25"/>
      <c r="S4358" s="25"/>
      <c r="T4358" s="26"/>
      <c r="U4358" s="26"/>
      <c r="V4358" s="25"/>
      <c r="W4358" s="25"/>
      <c r="X4358" s="25"/>
      <c r="Y4358" s="25"/>
      <c r="Z4358" s="25"/>
    </row>
    <row r="4359" spans="1:26" ht="15.75" customHeight="1" x14ac:dyDescent="0.25">
      <c r="A4359" s="25"/>
      <c r="B4359" s="49"/>
      <c r="C4359" s="50"/>
      <c r="D4359" s="23"/>
      <c r="E4359" s="23"/>
      <c r="F4359" s="15"/>
      <c r="G4359" s="23"/>
      <c r="H4359" s="15"/>
      <c r="I4359" s="15"/>
      <c r="J4359" s="51"/>
      <c r="K4359" s="15"/>
      <c r="L4359" s="51"/>
      <c r="M4359" s="15"/>
      <c r="N4359" s="23"/>
      <c r="O4359" s="23"/>
      <c r="P4359" s="15" t="str">
        <f t="shared" si="6"/>
        <v/>
      </c>
      <c r="Q4359" s="24"/>
      <c r="R4359" s="25"/>
      <c r="S4359" s="25"/>
      <c r="T4359" s="26"/>
      <c r="U4359" s="26"/>
      <c r="V4359" s="25"/>
      <c r="W4359" s="25"/>
      <c r="X4359" s="25"/>
      <c r="Y4359" s="25"/>
      <c r="Z4359" s="25"/>
    </row>
    <row r="4360" spans="1:26" ht="15.75" customHeight="1" x14ac:dyDescent="0.25">
      <c r="A4360" s="25"/>
      <c r="B4360" s="49"/>
      <c r="C4360" s="50"/>
      <c r="D4360" s="23"/>
      <c r="E4360" s="23"/>
      <c r="F4360" s="15"/>
      <c r="G4360" s="23"/>
      <c r="H4360" s="15"/>
      <c r="I4360" s="15"/>
      <c r="J4360" s="51"/>
      <c r="K4360" s="15"/>
      <c r="L4360" s="51"/>
      <c r="M4360" s="15"/>
      <c r="N4360" s="23"/>
      <c r="O4360" s="23"/>
      <c r="P4360" s="15" t="str">
        <f t="shared" si="6"/>
        <v/>
      </c>
      <c r="Q4360" s="24"/>
      <c r="R4360" s="25"/>
      <c r="S4360" s="25"/>
      <c r="T4360" s="26"/>
      <c r="U4360" s="26"/>
      <c r="V4360" s="25"/>
      <c r="W4360" s="25"/>
      <c r="X4360" s="25"/>
      <c r="Y4360" s="25"/>
      <c r="Z4360" s="25"/>
    </row>
    <row r="4361" spans="1:26" ht="15.75" customHeight="1" x14ac:dyDescent="0.25">
      <c r="A4361" s="25"/>
      <c r="B4361" s="49"/>
      <c r="C4361" s="50"/>
      <c r="D4361" s="23"/>
      <c r="E4361" s="23"/>
      <c r="F4361" s="15"/>
      <c r="G4361" s="23"/>
      <c r="H4361" s="15"/>
      <c r="I4361" s="15"/>
      <c r="J4361" s="51"/>
      <c r="K4361" s="15"/>
      <c r="L4361" s="51"/>
      <c r="M4361" s="15"/>
      <c r="N4361" s="23"/>
      <c r="O4361" s="23"/>
      <c r="P4361" s="15" t="str">
        <f t="shared" si="6"/>
        <v/>
      </c>
      <c r="Q4361" s="24"/>
      <c r="R4361" s="25"/>
      <c r="S4361" s="25"/>
      <c r="T4361" s="26"/>
      <c r="U4361" s="26"/>
      <c r="V4361" s="25"/>
      <c r="W4361" s="25"/>
      <c r="X4361" s="25"/>
      <c r="Y4361" s="25"/>
      <c r="Z4361" s="25"/>
    </row>
    <row r="4362" spans="1:26" ht="15.75" customHeight="1" x14ac:dyDescent="0.25">
      <c r="A4362" s="25"/>
      <c r="B4362" s="49"/>
      <c r="C4362" s="50"/>
      <c r="D4362" s="23"/>
      <c r="E4362" s="23"/>
      <c r="F4362" s="15"/>
      <c r="G4362" s="23"/>
      <c r="H4362" s="15"/>
      <c r="I4362" s="15"/>
      <c r="J4362" s="51"/>
      <c r="K4362" s="15"/>
      <c r="L4362" s="51"/>
      <c r="M4362" s="15"/>
      <c r="N4362" s="23"/>
      <c r="O4362" s="23"/>
      <c r="P4362" s="15" t="str">
        <f t="shared" si="6"/>
        <v/>
      </c>
      <c r="Q4362" s="24"/>
      <c r="R4362" s="25"/>
      <c r="S4362" s="25"/>
      <c r="T4362" s="26"/>
      <c r="U4362" s="26"/>
      <c r="V4362" s="25"/>
      <c r="W4362" s="25"/>
      <c r="X4362" s="25"/>
      <c r="Y4362" s="25"/>
      <c r="Z4362" s="25"/>
    </row>
    <row r="4363" spans="1:26" ht="15.75" customHeight="1" x14ac:dyDescent="0.25">
      <c r="A4363" s="25"/>
      <c r="B4363" s="49"/>
      <c r="C4363" s="50"/>
      <c r="D4363" s="23"/>
      <c r="E4363" s="23"/>
      <c r="F4363" s="15"/>
      <c r="G4363" s="23"/>
      <c r="H4363" s="15"/>
      <c r="I4363" s="15"/>
      <c r="J4363" s="51"/>
      <c r="K4363" s="15"/>
      <c r="L4363" s="51"/>
      <c r="M4363" s="15"/>
      <c r="N4363" s="23"/>
      <c r="O4363" s="23"/>
      <c r="P4363" s="15" t="str">
        <f t="shared" si="6"/>
        <v/>
      </c>
      <c r="Q4363" s="24"/>
      <c r="R4363" s="25"/>
      <c r="S4363" s="25"/>
      <c r="T4363" s="26"/>
      <c r="U4363" s="26"/>
      <c r="V4363" s="25"/>
      <c r="W4363" s="25"/>
      <c r="X4363" s="25"/>
      <c r="Y4363" s="25"/>
      <c r="Z4363" s="25"/>
    </row>
    <row r="4364" spans="1:26" ht="15.75" customHeight="1" x14ac:dyDescent="0.25">
      <c r="A4364" s="25"/>
      <c r="B4364" s="49"/>
      <c r="C4364" s="50"/>
      <c r="D4364" s="23"/>
      <c r="E4364" s="23"/>
      <c r="F4364" s="15"/>
      <c r="G4364" s="23"/>
      <c r="H4364" s="15"/>
      <c r="I4364" s="15"/>
      <c r="J4364" s="51"/>
      <c r="K4364" s="15"/>
      <c r="L4364" s="51"/>
      <c r="M4364" s="15"/>
      <c r="N4364" s="23"/>
      <c r="O4364" s="23"/>
      <c r="P4364" s="15" t="str">
        <f t="shared" si="6"/>
        <v/>
      </c>
      <c r="Q4364" s="24"/>
      <c r="R4364" s="25"/>
      <c r="S4364" s="25"/>
      <c r="T4364" s="26"/>
      <c r="U4364" s="26"/>
      <c r="V4364" s="25"/>
      <c r="W4364" s="25"/>
      <c r="X4364" s="25"/>
      <c r="Y4364" s="25"/>
      <c r="Z4364" s="25"/>
    </row>
    <row r="4365" spans="1:26" ht="15.75" customHeight="1" x14ac:dyDescent="0.25">
      <c r="A4365" s="25"/>
      <c r="B4365" s="49"/>
      <c r="C4365" s="50"/>
      <c r="D4365" s="23"/>
      <c r="E4365" s="23"/>
      <c r="F4365" s="15"/>
      <c r="G4365" s="23"/>
      <c r="H4365" s="15"/>
      <c r="I4365" s="15"/>
      <c r="J4365" s="51"/>
      <c r="K4365" s="15"/>
      <c r="L4365" s="51"/>
      <c r="M4365" s="15"/>
      <c r="N4365" s="23"/>
      <c r="O4365" s="23"/>
      <c r="P4365" s="15" t="str">
        <f t="shared" si="6"/>
        <v/>
      </c>
      <c r="Q4365" s="24"/>
      <c r="R4365" s="25"/>
      <c r="S4365" s="25"/>
      <c r="T4365" s="26"/>
      <c r="U4365" s="26"/>
      <c r="V4365" s="25"/>
      <c r="W4365" s="25"/>
      <c r="X4365" s="25"/>
      <c r="Y4365" s="25"/>
      <c r="Z4365" s="25"/>
    </row>
    <row r="4366" spans="1:26" ht="15.75" customHeight="1" x14ac:dyDescent="0.25">
      <c r="A4366" s="25"/>
      <c r="B4366" s="49"/>
      <c r="C4366" s="50"/>
      <c r="D4366" s="23"/>
      <c r="E4366" s="23"/>
      <c r="F4366" s="15"/>
      <c r="G4366" s="23"/>
      <c r="H4366" s="15"/>
      <c r="I4366" s="15"/>
      <c r="J4366" s="51"/>
      <c r="K4366" s="15"/>
      <c r="L4366" s="51"/>
      <c r="M4366" s="15"/>
      <c r="N4366" s="23"/>
      <c r="O4366" s="23"/>
      <c r="P4366" s="15" t="str">
        <f t="shared" si="6"/>
        <v/>
      </c>
      <c r="Q4366" s="24"/>
      <c r="R4366" s="25"/>
      <c r="S4366" s="25"/>
      <c r="T4366" s="26"/>
      <c r="U4366" s="26"/>
      <c r="V4366" s="25"/>
      <c r="W4366" s="25"/>
      <c r="X4366" s="25"/>
      <c r="Y4366" s="25"/>
      <c r="Z4366" s="25"/>
    </row>
    <row r="4367" spans="1:26" ht="15.75" customHeight="1" x14ac:dyDescent="0.25">
      <c r="A4367" s="25"/>
      <c r="B4367" s="49"/>
      <c r="C4367" s="50"/>
      <c r="D4367" s="23"/>
      <c r="E4367" s="23"/>
      <c r="F4367" s="15"/>
      <c r="G4367" s="23"/>
      <c r="H4367" s="15"/>
      <c r="I4367" s="15"/>
      <c r="J4367" s="51"/>
      <c r="K4367" s="15"/>
      <c r="L4367" s="51"/>
      <c r="M4367" s="15"/>
      <c r="N4367" s="23"/>
      <c r="O4367" s="23"/>
      <c r="P4367" s="15" t="str">
        <f t="shared" si="6"/>
        <v/>
      </c>
      <c r="Q4367" s="24"/>
      <c r="R4367" s="25"/>
      <c r="S4367" s="25"/>
      <c r="T4367" s="26"/>
      <c r="U4367" s="26"/>
      <c r="V4367" s="25"/>
      <c r="W4367" s="25"/>
      <c r="X4367" s="25"/>
      <c r="Y4367" s="25"/>
      <c r="Z4367" s="25"/>
    </row>
    <row r="4368" spans="1:26" ht="15.75" customHeight="1" x14ac:dyDescent="0.25">
      <c r="A4368" s="25"/>
      <c r="B4368" s="49"/>
      <c r="C4368" s="50"/>
      <c r="D4368" s="23"/>
      <c r="E4368" s="23"/>
      <c r="F4368" s="15"/>
      <c r="G4368" s="23"/>
      <c r="H4368" s="15"/>
      <c r="I4368" s="15"/>
      <c r="J4368" s="51"/>
      <c r="K4368" s="15"/>
      <c r="L4368" s="51"/>
      <c r="M4368" s="15"/>
      <c r="N4368" s="23"/>
      <c r="O4368" s="23"/>
      <c r="P4368" s="15" t="str">
        <f t="shared" si="6"/>
        <v/>
      </c>
      <c r="Q4368" s="24"/>
      <c r="R4368" s="25"/>
      <c r="S4368" s="25"/>
      <c r="T4368" s="26"/>
      <c r="U4368" s="26"/>
      <c r="V4368" s="25"/>
      <c r="W4368" s="25"/>
      <c r="X4368" s="25"/>
      <c r="Y4368" s="25"/>
      <c r="Z4368" s="25"/>
    </row>
    <row r="4369" spans="1:26" ht="15.75" customHeight="1" x14ac:dyDescent="0.25">
      <c r="A4369" s="25"/>
      <c r="B4369" s="49"/>
      <c r="C4369" s="50"/>
      <c r="D4369" s="23"/>
      <c r="E4369" s="23"/>
      <c r="F4369" s="15"/>
      <c r="G4369" s="23"/>
      <c r="H4369" s="15"/>
      <c r="I4369" s="15"/>
      <c r="J4369" s="51"/>
      <c r="K4369" s="15"/>
      <c r="L4369" s="51"/>
      <c r="M4369" s="15"/>
      <c r="N4369" s="23"/>
      <c r="O4369" s="23"/>
      <c r="P4369" s="15" t="str">
        <f t="shared" si="6"/>
        <v/>
      </c>
      <c r="Q4369" s="24"/>
      <c r="R4369" s="25"/>
      <c r="S4369" s="25"/>
      <c r="T4369" s="26"/>
      <c r="U4369" s="26"/>
      <c r="V4369" s="25"/>
      <c r="W4369" s="25"/>
      <c r="X4369" s="25"/>
      <c r="Y4369" s="25"/>
      <c r="Z4369" s="25"/>
    </row>
    <row r="4370" spans="1:26" ht="15.75" customHeight="1" x14ac:dyDescent="0.25">
      <c r="A4370" s="25"/>
      <c r="B4370" s="49"/>
      <c r="C4370" s="50"/>
      <c r="D4370" s="23"/>
      <c r="E4370" s="23"/>
      <c r="F4370" s="15"/>
      <c r="G4370" s="23"/>
      <c r="H4370" s="15"/>
      <c r="I4370" s="15"/>
      <c r="J4370" s="51"/>
      <c r="K4370" s="15"/>
      <c r="L4370" s="51"/>
      <c r="M4370" s="15"/>
      <c r="N4370" s="23"/>
      <c r="O4370" s="23"/>
      <c r="P4370" s="15" t="str">
        <f t="shared" si="6"/>
        <v/>
      </c>
      <c r="Q4370" s="24"/>
      <c r="R4370" s="25"/>
      <c r="S4370" s="25"/>
      <c r="T4370" s="26"/>
      <c r="U4370" s="26"/>
      <c r="V4370" s="25"/>
      <c r="W4370" s="25"/>
      <c r="X4370" s="25"/>
      <c r="Y4370" s="25"/>
      <c r="Z4370" s="25"/>
    </row>
    <row r="4371" spans="1:26" ht="15.75" customHeight="1" x14ac:dyDescent="0.25">
      <c r="A4371" s="25"/>
      <c r="B4371" s="49"/>
      <c r="C4371" s="50"/>
      <c r="D4371" s="23"/>
      <c r="E4371" s="23"/>
      <c r="F4371" s="15"/>
      <c r="G4371" s="23"/>
      <c r="H4371" s="15"/>
      <c r="I4371" s="15"/>
      <c r="J4371" s="51"/>
      <c r="K4371" s="15"/>
      <c r="L4371" s="51"/>
      <c r="M4371" s="15"/>
      <c r="N4371" s="23"/>
      <c r="O4371" s="23"/>
      <c r="P4371" s="15" t="str">
        <f t="shared" si="6"/>
        <v/>
      </c>
      <c r="Q4371" s="24"/>
      <c r="R4371" s="25"/>
      <c r="S4371" s="25"/>
      <c r="T4371" s="26"/>
      <c r="U4371" s="26"/>
      <c r="V4371" s="25"/>
      <c r="W4371" s="25"/>
      <c r="X4371" s="25"/>
      <c r="Y4371" s="25"/>
      <c r="Z4371" s="25"/>
    </row>
    <row r="4372" spans="1:26" ht="15.75" customHeight="1" x14ac:dyDescent="0.25">
      <c r="A4372" s="25"/>
      <c r="B4372" s="49"/>
      <c r="C4372" s="50"/>
      <c r="D4372" s="23"/>
      <c r="E4372" s="23"/>
      <c r="F4372" s="15"/>
      <c r="G4372" s="23"/>
      <c r="H4372" s="15"/>
      <c r="I4372" s="15"/>
      <c r="J4372" s="51"/>
      <c r="K4372" s="15"/>
      <c r="L4372" s="51"/>
      <c r="M4372" s="15"/>
      <c r="N4372" s="23"/>
      <c r="O4372" s="23"/>
      <c r="P4372" s="15" t="str">
        <f t="shared" si="6"/>
        <v/>
      </c>
      <c r="Q4372" s="24"/>
      <c r="R4372" s="25"/>
      <c r="S4372" s="25"/>
      <c r="T4372" s="26"/>
      <c r="U4372" s="26"/>
      <c r="V4372" s="25"/>
      <c r="W4372" s="25"/>
      <c r="X4372" s="25"/>
      <c r="Y4372" s="25"/>
      <c r="Z4372" s="25"/>
    </row>
    <row r="4373" spans="1:26" ht="15.75" customHeight="1" x14ac:dyDescent="0.25">
      <c r="A4373" s="25"/>
      <c r="B4373" s="49"/>
      <c r="C4373" s="50"/>
      <c r="D4373" s="23"/>
      <c r="E4373" s="23"/>
      <c r="F4373" s="15"/>
      <c r="G4373" s="23"/>
      <c r="H4373" s="15"/>
      <c r="I4373" s="15"/>
      <c r="J4373" s="51"/>
      <c r="K4373" s="15"/>
      <c r="L4373" s="51"/>
      <c r="M4373" s="15"/>
      <c r="N4373" s="23"/>
      <c r="O4373" s="23"/>
      <c r="P4373" s="15" t="str">
        <f t="shared" si="6"/>
        <v/>
      </c>
      <c r="Q4373" s="24"/>
      <c r="R4373" s="25"/>
      <c r="S4373" s="25"/>
      <c r="T4373" s="26"/>
      <c r="U4373" s="26"/>
      <c r="V4373" s="25"/>
      <c r="W4373" s="25"/>
      <c r="X4373" s="25"/>
      <c r="Y4373" s="25"/>
      <c r="Z4373" s="25"/>
    </row>
    <row r="4374" spans="1:26" ht="15.75" customHeight="1" x14ac:dyDescent="0.25">
      <c r="A4374" s="25"/>
      <c r="B4374" s="49"/>
      <c r="C4374" s="50"/>
      <c r="D4374" s="23"/>
      <c r="E4374" s="23"/>
      <c r="F4374" s="15"/>
      <c r="G4374" s="23"/>
      <c r="H4374" s="15"/>
      <c r="I4374" s="15"/>
      <c r="J4374" s="51"/>
      <c r="K4374" s="15"/>
      <c r="L4374" s="51"/>
      <c r="M4374" s="15"/>
      <c r="N4374" s="23"/>
      <c r="O4374" s="23"/>
      <c r="P4374" s="15" t="str">
        <f t="shared" si="6"/>
        <v/>
      </c>
      <c r="Q4374" s="24"/>
      <c r="R4374" s="25"/>
      <c r="S4374" s="25"/>
      <c r="T4374" s="26"/>
      <c r="U4374" s="26"/>
      <c r="V4374" s="25"/>
      <c r="W4374" s="25"/>
      <c r="X4374" s="25"/>
      <c r="Y4374" s="25"/>
      <c r="Z4374" s="25"/>
    </row>
    <row r="4375" spans="1:26" ht="15.75" customHeight="1" x14ac:dyDescent="0.25">
      <c r="A4375" s="25"/>
      <c r="B4375" s="49"/>
      <c r="C4375" s="50"/>
      <c r="D4375" s="23"/>
      <c r="E4375" s="23"/>
      <c r="F4375" s="15"/>
      <c r="G4375" s="23"/>
      <c r="H4375" s="15"/>
      <c r="I4375" s="15"/>
      <c r="J4375" s="51"/>
      <c r="K4375" s="15"/>
      <c r="L4375" s="51"/>
      <c r="M4375" s="15"/>
      <c r="N4375" s="23"/>
      <c r="O4375" s="23"/>
      <c r="P4375" s="15" t="str">
        <f t="shared" si="6"/>
        <v/>
      </c>
      <c r="Q4375" s="24"/>
      <c r="R4375" s="25"/>
      <c r="S4375" s="25"/>
      <c r="T4375" s="26"/>
      <c r="U4375" s="26"/>
      <c r="V4375" s="25"/>
      <c r="W4375" s="25"/>
      <c r="X4375" s="25"/>
      <c r="Y4375" s="25"/>
      <c r="Z4375" s="25"/>
    </row>
    <row r="4376" spans="1:26" ht="15.75" customHeight="1" x14ac:dyDescent="0.25">
      <c r="A4376" s="25"/>
      <c r="B4376" s="49"/>
      <c r="C4376" s="50"/>
      <c r="D4376" s="23"/>
      <c r="E4376" s="23"/>
      <c r="F4376" s="15"/>
      <c r="G4376" s="23"/>
      <c r="H4376" s="15"/>
      <c r="I4376" s="15"/>
      <c r="J4376" s="51"/>
      <c r="K4376" s="15"/>
      <c r="L4376" s="51"/>
      <c r="M4376" s="15"/>
      <c r="N4376" s="23"/>
      <c r="O4376" s="23"/>
      <c r="P4376" s="15" t="str">
        <f t="shared" si="6"/>
        <v/>
      </c>
      <c r="Q4376" s="24"/>
      <c r="R4376" s="25"/>
      <c r="S4376" s="25"/>
      <c r="T4376" s="26"/>
      <c r="U4376" s="26"/>
      <c r="V4376" s="25"/>
      <c r="W4376" s="25"/>
      <c r="X4376" s="25"/>
      <c r="Y4376" s="25"/>
      <c r="Z4376" s="25"/>
    </row>
    <row r="4377" spans="1:26" ht="15.75" customHeight="1" x14ac:dyDescent="0.25">
      <c r="A4377" s="25"/>
      <c r="B4377" s="49"/>
      <c r="C4377" s="50"/>
      <c r="D4377" s="23"/>
      <c r="E4377" s="23"/>
      <c r="F4377" s="15"/>
      <c r="G4377" s="23"/>
      <c r="H4377" s="15"/>
      <c r="I4377" s="15"/>
      <c r="J4377" s="51"/>
      <c r="K4377" s="15"/>
      <c r="L4377" s="51"/>
      <c r="M4377" s="15"/>
      <c r="N4377" s="23"/>
      <c r="O4377" s="23"/>
      <c r="P4377" s="15" t="str">
        <f t="shared" si="6"/>
        <v/>
      </c>
      <c r="Q4377" s="24"/>
      <c r="R4377" s="25"/>
      <c r="S4377" s="25"/>
      <c r="T4377" s="26"/>
      <c r="U4377" s="26"/>
      <c r="V4377" s="25"/>
      <c r="W4377" s="25"/>
      <c r="X4377" s="25"/>
      <c r="Y4377" s="25"/>
      <c r="Z4377" s="25"/>
    </row>
    <row r="4378" spans="1:26" ht="15.75" customHeight="1" x14ac:dyDescent="0.25">
      <c r="A4378" s="25"/>
      <c r="B4378" s="49"/>
      <c r="C4378" s="50"/>
      <c r="D4378" s="23"/>
      <c r="E4378" s="23"/>
      <c r="F4378" s="15"/>
      <c r="G4378" s="23"/>
      <c r="H4378" s="15"/>
      <c r="I4378" s="15"/>
      <c r="J4378" s="51"/>
      <c r="K4378" s="15"/>
      <c r="L4378" s="51"/>
      <c r="M4378" s="15"/>
      <c r="N4378" s="23"/>
      <c r="O4378" s="23"/>
      <c r="P4378" s="15" t="str">
        <f t="shared" si="6"/>
        <v/>
      </c>
      <c r="Q4378" s="24"/>
      <c r="R4378" s="25"/>
      <c r="S4378" s="25"/>
      <c r="T4378" s="26"/>
      <c r="U4378" s="26"/>
      <c r="V4378" s="25"/>
      <c r="W4378" s="25"/>
      <c r="X4378" s="25"/>
      <c r="Y4378" s="25"/>
      <c r="Z4378" s="25"/>
    </row>
    <row r="4379" spans="1:26" ht="15.75" customHeight="1" x14ac:dyDescent="0.25">
      <c r="A4379" s="25"/>
      <c r="B4379" s="49"/>
      <c r="C4379" s="50"/>
      <c r="D4379" s="23"/>
      <c r="E4379" s="23"/>
      <c r="F4379" s="15"/>
      <c r="G4379" s="23"/>
      <c r="H4379" s="15"/>
      <c r="I4379" s="15"/>
      <c r="J4379" s="51"/>
      <c r="K4379" s="15"/>
      <c r="L4379" s="51"/>
      <c r="M4379" s="15"/>
      <c r="N4379" s="23"/>
      <c r="O4379" s="23"/>
      <c r="P4379" s="15" t="str">
        <f t="shared" si="6"/>
        <v/>
      </c>
      <c r="Q4379" s="24"/>
      <c r="R4379" s="25"/>
      <c r="S4379" s="25"/>
      <c r="T4379" s="26"/>
      <c r="U4379" s="26"/>
      <c r="V4379" s="25"/>
      <c r="W4379" s="25"/>
      <c r="X4379" s="25"/>
      <c r="Y4379" s="25"/>
      <c r="Z4379" s="25"/>
    </row>
    <row r="4380" spans="1:26" ht="15.75" customHeight="1" x14ac:dyDescent="0.25">
      <c r="A4380" s="25"/>
      <c r="B4380" s="49"/>
      <c r="C4380" s="50"/>
      <c r="D4380" s="23"/>
      <c r="E4380" s="23"/>
      <c r="F4380" s="15"/>
      <c r="G4380" s="23"/>
      <c r="H4380" s="15"/>
      <c r="I4380" s="15"/>
      <c r="J4380" s="51"/>
      <c r="K4380" s="15"/>
      <c r="L4380" s="51"/>
      <c r="M4380" s="15"/>
      <c r="N4380" s="23"/>
      <c r="O4380" s="23"/>
      <c r="P4380" s="15" t="str">
        <f t="shared" si="6"/>
        <v/>
      </c>
      <c r="Q4380" s="24"/>
      <c r="R4380" s="25"/>
      <c r="S4380" s="25"/>
      <c r="T4380" s="26"/>
      <c r="U4380" s="26"/>
      <c r="V4380" s="25"/>
      <c r="W4380" s="25"/>
      <c r="X4380" s="25"/>
      <c r="Y4380" s="25"/>
      <c r="Z4380" s="25"/>
    </row>
    <row r="4381" spans="1:26" ht="15.75" customHeight="1" x14ac:dyDescent="0.25">
      <c r="A4381" s="25"/>
      <c r="B4381" s="49"/>
      <c r="C4381" s="50"/>
      <c r="D4381" s="23"/>
      <c r="E4381" s="23"/>
      <c r="F4381" s="15"/>
      <c r="G4381" s="23"/>
      <c r="H4381" s="15"/>
      <c r="I4381" s="15"/>
      <c r="J4381" s="51"/>
      <c r="K4381" s="15"/>
      <c r="L4381" s="51"/>
      <c r="M4381" s="15"/>
      <c r="N4381" s="23"/>
      <c r="O4381" s="23"/>
      <c r="P4381" s="15" t="str">
        <f t="shared" si="6"/>
        <v/>
      </c>
      <c r="Q4381" s="24"/>
      <c r="R4381" s="25"/>
      <c r="S4381" s="25"/>
      <c r="T4381" s="26"/>
      <c r="U4381" s="26"/>
      <c r="V4381" s="25"/>
      <c r="W4381" s="25"/>
      <c r="X4381" s="25"/>
      <c r="Y4381" s="25"/>
      <c r="Z4381" s="25"/>
    </row>
    <row r="4382" spans="1:26" ht="15.75" customHeight="1" x14ac:dyDescent="0.25">
      <c r="A4382" s="25"/>
      <c r="B4382" s="49"/>
      <c r="C4382" s="50"/>
      <c r="D4382" s="23"/>
      <c r="E4382" s="23"/>
      <c r="F4382" s="15"/>
      <c r="G4382" s="23"/>
      <c r="H4382" s="15"/>
      <c r="I4382" s="15"/>
      <c r="J4382" s="51"/>
      <c r="K4382" s="15"/>
      <c r="L4382" s="51"/>
      <c r="M4382" s="15"/>
      <c r="N4382" s="23"/>
      <c r="O4382" s="23"/>
      <c r="P4382" s="15" t="str">
        <f t="shared" si="6"/>
        <v/>
      </c>
      <c r="Q4382" s="24"/>
      <c r="R4382" s="25"/>
      <c r="S4382" s="25"/>
      <c r="T4382" s="26"/>
      <c r="U4382" s="26"/>
      <c r="V4382" s="25"/>
      <c r="W4382" s="25"/>
      <c r="X4382" s="25"/>
      <c r="Y4382" s="25"/>
      <c r="Z4382" s="25"/>
    </row>
    <row r="4383" spans="1:26" ht="15.75" customHeight="1" x14ac:dyDescent="0.25">
      <c r="A4383" s="25"/>
      <c r="B4383" s="49"/>
      <c r="C4383" s="50"/>
      <c r="D4383" s="23"/>
      <c r="E4383" s="23"/>
      <c r="F4383" s="15"/>
      <c r="G4383" s="23"/>
      <c r="H4383" s="15"/>
      <c r="I4383" s="15"/>
      <c r="J4383" s="51"/>
      <c r="K4383" s="15"/>
      <c r="L4383" s="51"/>
      <c r="M4383" s="15"/>
      <c r="N4383" s="23"/>
      <c r="O4383" s="23"/>
      <c r="P4383" s="15" t="str">
        <f t="shared" si="6"/>
        <v/>
      </c>
      <c r="Q4383" s="24"/>
      <c r="R4383" s="25"/>
      <c r="S4383" s="25"/>
      <c r="T4383" s="26"/>
      <c r="U4383" s="26"/>
      <c r="V4383" s="25"/>
      <c r="W4383" s="25"/>
      <c r="X4383" s="25"/>
      <c r="Y4383" s="25"/>
      <c r="Z4383" s="25"/>
    </row>
    <row r="4384" spans="1:26" ht="15.75" customHeight="1" x14ac:dyDescent="0.25">
      <c r="A4384" s="25"/>
      <c r="B4384" s="49"/>
      <c r="C4384" s="50"/>
      <c r="D4384" s="23"/>
      <c r="E4384" s="23"/>
      <c r="F4384" s="15"/>
      <c r="G4384" s="23"/>
      <c r="H4384" s="15"/>
      <c r="I4384" s="15"/>
      <c r="J4384" s="51"/>
      <c r="K4384" s="15"/>
      <c r="L4384" s="51"/>
      <c r="M4384" s="15"/>
      <c r="N4384" s="23"/>
      <c r="O4384" s="23"/>
      <c r="P4384" s="15" t="str">
        <f t="shared" si="6"/>
        <v/>
      </c>
      <c r="Q4384" s="24"/>
      <c r="R4384" s="25"/>
      <c r="S4384" s="25"/>
      <c r="T4384" s="26"/>
      <c r="U4384" s="26"/>
      <c r="V4384" s="25"/>
      <c r="W4384" s="25"/>
      <c r="X4384" s="25"/>
      <c r="Y4384" s="25"/>
      <c r="Z4384" s="25"/>
    </row>
    <row r="4385" spans="1:26" ht="15.75" customHeight="1" x14ac:dyDescent="0.25">
      <c r="A4385" s="25"/>
      <c r="B4385" s="49"/>
      <c r="C4385" s="50"/>
      <c r="D4385" s="23"/>
      <c r="E4385" s="23"/>
      <c r="F4385" s="15"/>
      <c r="G4385" s="23"/>
      <c r="H4385" s="15"/>
      <c r="I4385" s="15"/>
      <c r="J4385" s="51"/>
      <c r="K4385" s="15"/>
      <c r="L4385" s="51"/>
      <c r="M4385" s="15"/>
      <c r="N4385" s="23"/>
      <c r="O4385" s="23"/>
      <c r="P4385" s="15" t="str">
        <f t="shared" si="6"/>
        <v/>
      </c>
      <c r="Q4385" s="24"/>
      <c r="R4385" s="25"/>
      <c r="S4385" s="25"/>
      <c r="T4385" s="26"/>
      <c r="U4385" s="26"/>
      <c r="V4385" s="25"/>
      <c r="W4385" s="25"/>
      <c r="X4385" s="25"/>
      <c r="Y4385" s="25"/>
      <c r="Z4385" s="25"/>
    </row>
    <row r="4386" spans="1:26" ht="15.75" customHeight="1" x14ac:dyDescent="0.25">
      <c r="A4386" s="25"/>
      <c r="B4386" s="49"/>
      <c r="C4386" s="50"/>
      <c r="D4386" s="23"/>
      <c r="E4386" s="23"/>
      <c r="F4386" s="15"/>
      <c r="G4386" s="23"/>
      <c r="H4386" s="15"/>
      <c r="I4386" s="15"/>
      <c r="J4386" s="51"/>
      <c r="K4386" s="15"/>
      <c r="L4386" s="51"/>
      <c r="M4386" s="15"/>
      <c r="N4386" s="23"/>
      <c r="O4386" s="23"/>
      <c r="P4386" s="15" t="str">
        <f t="shared" si="6"/>
        <v/>
      </c>
      <c r="Q4386" s="24"/>
      <c r="R4386" s="25"/>
      <c r="S4386" s="25"/>
      <c r="T4386" s="26"/>
      <c r="U4386" s="26"/>
      <c r="V4386" s="25"/>
      <c r="W4386" s="25"/>
      <c r="X4386" s="25"/>
      <c r="Y4386" s="25"/>
      <c r="Z4386" s="25"/>
    </row>
    <row r="4387" spans="1:26" ht="15.75" customHeight="1" x14ac:dyDescent="0.25">
      <c r="A4387" s="25"/>
      <c r="B4387" s="49"/>
      <c r="C4387" s="50"/>
      <c r="D4387" s="23"/>
      <c r="E4387" s="23"/>
      <c r="F4387" s="15"/>
      <c r="G4387" s="23"/>
      <c r="H4387" s="15"/>
      <c r="I4387" s="15"/>
      <c r="J4387" s="51"/>
      <c r="K4387" s="15"/>
      <c r="L4387" s="51"/>
      <c r="M4387" s="15"/>
      <c r="N4387" s="23"/>
      <c r="O4387" s="23"/>
      <c r="P4387" s="15" t="str">
        <f t="shared" si="6"/>
        <v/>
      </c>
      <c r="Q4387" s="24"/>
      <c r="R4387" s="25"/>
      <c r="S4387" s="25"/>
      <c r="T4387" s="26"/>
      <c r="U4387" s="26"/>
      <c r="V4387" s="25"/>
      <c r="W4387" s="25"/>
      <c r="X4387" s="25"/>
      <c r="Y4387" s="25"/>
      <c r="Z4387" s="25"/>
    </row>
    <row r="4388" spans="1:26" ht="15.75" customHeight="1" x14ac:dyDescent="0.25">
      <c r="A4388" s="25"/>
      <c r="B4388" s="49"/>
      <c r="C4388" s="50"/>
      <c r="D4388" s="23"/>
      <c r="E4388" s="23"/>
      <c r="F4388" s="15"/>
      <c r="G4388" s="23"/>
      <c r="H4388" s="15"/>
      <c r="I4388" s="15"/>
      <c r="J4388" s="51"/>
      <c r="K4388" s="15"/>
      <c r="L4388" s="51"/>
      <c r="M4388" s="15"/>
      <c r="N4388" s="23"/>
      <c r="O4388" s="23"/>
      <c r="P4388" s="15" t="str">
        <f t="shared" si="6"/>
        <v/>
      </c>
      <c r="Q4388" s="24"/>
      <c r="R4388" s="25"/>
      <c r="S4388" s="25"/>
      <c r="T4388" s="26"/>
      <c r="U4388" s="26"/>
      <c r="V4388" s="25"/>
      <c r="W4388" s="25"/>
      <c r="X4388" s="25"/>
      <c r="Y4388" s="25"/>
      <c r="Z4388" s="25"/>
    </row>
    <row r="4389" spans="1:26" ht="15.75" customHeight="1" x14ac:dyDescent="0.25">
      <c r="A4389" s="25"/>
      <c r="B4389" s="49"/>
      <c r="C4389" s="50"/>
      <c r="D4389" s="23"/>
      <c r="E4389" s="23"/>
      <c r="F4389" s="15"/>
      <c r="G4389" s="23"/>
      <c r="H4389" s="15"/>
      <c r="I4389" s="15"/>
      <c r="J4389" s="51"/>
      <c r="K4389" s="15"/>
      <c r="L4389" s="51"/>
      <c r="M4389" s="15"/>
      <c r="N4389" s="23"/>
      <c r="O4389" s="23"/>
      <c r="P4389" s="15" t="str">
        <f t="shared" si="6"/>
        <v/>
      </c>
      <c r="Q4389" s="24"/>
      <c r="R4389" s="25"/>
      <c r="S4389" s="25"/>
      <c r="T4389" s="26"/>
      <c r="U4389" s="26"/>
      <c r="V4389" s="25"/>
      <c r="W4389" s="25"/>
      <c r="X4389" s="25"/>
      <c r="Y4389" s="25"/>
      <c r="Z4389" s="25"/>
    </row>
    <row r="4390" spans="1:26" ht="15.75" customHeight="1" x14ac:dyDescent="0.25">
      <c r="A4390" s="25"/>
      <c r="B4390" s="49"/>
      <c r="C4390" s="50"/>
      <c r="D4390" s="23"/>
      <c r="E4390" s="23"/>
      <c r="F4390" s="15"/>
      <c r="G4390" s="23"/>
      <c r="H4390" s="15"/>
      <c r="I4390" s="15"/>
      <c r="J4390" s="51"/>
      <c r="K4390" s="15"/>
      <c r="L4390" s="51"/>
      <c r="M4390" s="15"/>
      <c r="N4390" s="23"/>
      <c r="O4390" s="23"/>
      <c r="P4390" s="15" t="str">
        <f t="shared" si="6"/>
        <v/>
      </c>
      <c r="Q4390" s="24"/>
      <c r="R4390" s="25"/>
      <c r="S4390" s="25"/>
      <c r="T4390" s="26"/>
      <c r="U4390" s="26"/>
      <c r="V4390" s="25"/>
      <c r="W4390" s="25"/>
      <c r="X4390" s="25"/>
      <c r="Y4390" s="25"/>
      <c r="Z4390" s="25"/>
    </row>
    <row r="4391" spans="1:26" ht="15.75" customHeight="1" x14ac:dyDescent="0.25">
      <c r="A4391" s="25"/>
      <c r="B4391" s="49"/>
      <c r="C4391" s="50"/>
      <c r="D4391" s="23"/>
      <c r="E4391" s="23"/>
      <c r="F4391" s="15"/>
      <c r="G4391" s="23"/>
      <c r="H4391" s="15"/>
      <c r="I4391" s="15"/>
      <c r="J4391" s="51"/>
      <c r="K4391" s="15"/>
      <c r="L4391" s="51"/>
      <c r="M4391" s="15"/>
      <c r="N4391" s="23"/>
      <c r="O4391" s="23"/>
      <c r="P4391" s="15" t="str">
        <f t="shared" si="6"/>
        <v/>
      </c>
      <c r="Q4391" s="24"/>
      <c r="R4391" s="25"/>
      <c r="S4391" s="25"/>
      <c r="T4391" s="26"/>
      <c r="U4391" s="26"/>
      <c r="V4391" s="25"/>
      <c r="W4391" s="25"/>
      <c r="X4391" s="25"/>
      <c r="Y4391" s="25"/>
      <c r="Z4391" s="25"/>
    </row>
    <row r="4392" spans="1:26" ht="15.75" customHeight="1" x14ac:dyDescent="0.25">
      <c r="A4392" s="25"/>
      <c r="B4392" s="49"/>
      <c r="C4392" s="50"/>
      <c r="D4392" s="23"/>
      <c r="E4392" s="23"/>
      <c r="F4392" s="15"/>
      <c r="G4392" s="23"/>
      <c r="H4392" s="15"/>
      <c r="I4392" s="15"/>
      <c r="J4392" s="51"/>
      <c r="K4392" s="15"/>
      <c r="L4392" s="51"/>
      <c r="M4392" s="15"/>
      <c r="N4392" s="23"/>
      <c r="O4392" s="23"/>
      <c r="P4392" s="15" t="str">
        <f t="shared" si="6"/>
        <v/>
      </c>
      <c r="Q4392" s="24"/>
      <c r="R4392" s="25"/>
      <c r="S4392" s="25"/>
      <c r="T4392" s="26"/>
      <c r="U4392" s="26"/>
      <c r="V4392" s="25"/>
      <c r="W4392" s="25"/>
      <c r="X4392" s="25"/>
      <c r="Y4392" s="25"/>
      <c r="Z4392" s="25"/>
    </row>
    <row r="4393" spans="1:26" ht="15.75" customHeight="1" x14ac:dyDescent="0.25">
      <c r="A4393" s="25"/>
      <c r="B4393" s="49"/>
      <c r="C4393" s="50"/>
      <c r="D4393" s="23"/>
      <c r="E4393" s="23"/>
      <c r="F4393" s="15"/>
      <c r="G4393" s="23"/>
      <c r="H4393" s="15"/>
      <c r="I4393" s="15"/>
      <c r="J4393" s="51"/>
      <c r="K4393" s="15"/>
      <c r="L4393" s="51"/>
      <c r="M4393" s="15"/>
      <c r="N4393" s="23"/>
      <c r="O4393" s="23"/>
      <c r="P4393" s="15" t="str">
        <f t="shared" si="6"/>
        <v/>
      </c>
      <c r="Q4393" s="24"/>
      <c r="R4393" s="25"/>
      <c r="S4393" s="25"/>
      <c r="T4393" s="26"/>
      <c r="U4393" s="26"/>
      <c r="V4393" s="25"/>
      <c r="W4393" s="25"/>
      <c r="X4393" s="25"/>
      <c r="Y4393" s="25"/>
      <c r="Z4393" s="25"/>
    </row>
    <row r="4394" spans="1:26" ht="15.75" customHeight="1" x14ac:dyDescent="0.25">
      <c r="A4394" s="25"/>
      <c r="B4394" s="49"/>
      <c r="C4394" s="50"/>
      <c r="D4394" s="23"/>
      <c r="E4394" s="23"/>
      <c r="F4394" s="15"/>
      <c r="G4394" s="23"/>
      <c r="H4394" s="15"/>
      <c r="I4394" s="15"/>
      <c r="J4394" s="51"/>
      <c r="K4394" s="15"/>
      <c r="L4394" s="51"/>
      <c r="M4394" s="15"/>
      <c r="N4394" s="23"/>
      <c r="O4394" s="23"/>
      <c r="P4394" s="15" t="str">
        <f t="shared" si="6"/>
        <v/>
      </c>
      <c r="Q4394" s="24"/>
      <c r="R4394" s="25"/>
      <c r="S4394" s="25"/>
      <c r="T4394" s="26"/>
      <c r="U4394" s="26"/>
      <c r="V4394" s="25"/>
      <c r="W4394" s="25"/>
      <c r="X4394" s="25"/>
      <c r="Y4394" s="25"/>
      <c r="Z4394" s="25"/>
    </row>
    <row r="4395" spans="1:26" ht="15.75" customHeight="1" x14ac:dyDescent="0.25">
      <c r="A4395" s="25"/>
      <c r="B4395" s="49"/>
      <c r="C4395" s="50"/>
      <c r="D4395" s="23"/>
      <c r="E4395" s="23"/>
      <c r="F4395" s="15"/>
      <c r="G4395" s="23"/>
      <c r="H4395" s="15"/>
      <c r="I4395" s="15"/>
      <c r="J4395" s="51"/>
      <c r="K4395" s="15"/>
      <c r="L4395" s="51"/>
      <c r="M4395" s="15"/>
      <c r="N4395" s="23"/>
      <c r="O4395" s="23"/>
      <c r="P4395" s="15" t="str">
        <f t="shared" si="6"/>
        <v/>
      </c>
      <c r="Q4395" s="24"/>
      <c r="R4395" s="25"/>
      <c r="S4395" s="25"/>
      <c r="T4395" s="26"/>
      <c r="U4395" s="26"/>
      <c r="V4395" s="25"/>
      <c r="W4395" s="25"/>
      <c r="X4395" s="25"/>
      <c r="Y4395" s="25"/>
      <c r="Z4395" s="25"/>
    </row>
    <row r="4396" spans="1:26" ht="15.75" customHeight="1" x14ac:dyDescent="0.25">
      <c r="A4396" s="25"/>
      <c r="B4396" s="49"/>
      <c r="C4396" s="50"/>
      <c r="D4396" s="23"/>
      <c r="E4396" s="23"/>
      <c r="F4396" s="15"/>
      <c r="G4396" s="23"/>
      <c r="H4396" s="15"/>
      <c r="I4396" s="15"/>
      <c r="J4396" s="51"/>
      <c r="K4396" s="15"/>
      <c r="L4396" s="51"/>
      <c r="M4396" s="15"/>
      <c r="N4396" s="23"/>
      <c r="O4396" s="23"/>
      <c r="P4396" s="15" t="str">
        <f t="shared" si="6"/>
        <v/>
      </c>
      <c r="Q4396" s="24"/>
      <c r="R4396" s="25"/>
      <c r="S4396" s="25"/>
      <c r="T4396" s="26"/>
      <c r="U4396" s="26"/>
      <c r="V4396" s="25"/>
      <c r="W4396" s="25"/>
      <c r="X4396" s="25"/>
      <c r="Y4396" s="25"/>
      <c r="Z4396" s="25"/>
    </row>
    <row r="4397" spans="1:26" ht="15.75" customHeight="1" x14ac:dyDescent="0.25">
      <c r="A4397" s="25"/>
      <c r="B4397" s="49"/>
      <c r="C4397" s="50"/>
      <c r="D4397" s="23"/>
      <c r="E4397" s="23"/>
      <c r="F4397" s="15"/>
      <c r="G4397" s="23"/>
      <c r="H4397" s="15"/>
      <c r="I4397" s="15"/>
      <c r="J4397" s="51"/>
      <c r="K4397" s="15"/>
      <c r="L4397" s="51"/>
      <c r="M4397" s="15"/>
      <c r="N4397" s="23"/>
      <c r="O4397" s="23"/>
      <c r="P4397" s="15" t="str">
        <f t="shared" si="6"/>
        <v/>
      </c>
      <c r="Q4397" s="24"/>
      <c r="R4397" s="25"/>
      <c r="S4397" s="25"/>
      <c r="T4397" s="26"/>
      <c r="U4397" s="26"/>
      <c r="V4397" s="25"/>
      <c r="W4397" s="25"/>
      <c r="X4397" s="25"/>
      <c r="Y4397" s="25"/>
      <c r="Z4397" s="25"/>
    </row>
    <row r="4398" spans="1:26" ht="15.75" customHeight="1" x14ac:dyDescent="0.25">
      <c r="A4398" s="25"/>
      <c r="B4398" s="49"/>
      <c r="C4398" s="50"/>
      <c r="D4398" s="23"/>
      <c r="E4398" s="23"/>
      <c r="F4398" s="15"/>
      <c r="G4398" s="23"/>
      <c r="H4398" s="15"/>
      <c r="I4398" s="15"/>
      <c r="J4398" s="51"/>
      <c r="K4398" s="15"/>
      <c r="L4398" s="51"/>
      <c r="M4398" s="15"/>
      <c r="N4398" s="23"/>
      <c r="O4398" s="23"/>
      <c r="P4398" s="15" t="str">
        <f t="shared" si="6"/>
        <v/>
      </c>
      <c r="Q4398" s="24"/>
      <c r="R4398" s="25"/>
      <c r="S4398" s="25"/>
      <c r="T4398" s="26"/>
      <c r="U4398" s="26"/>
      <c r="V4398" s="25"/>
      <c r="W4398" s="25"/>
      <c r="X4398" s="25"/>
      <c r="Y4398" s="25"/>
      <c r="Z4398" s="25"/>
    </row>
    <row r="4399" spans="1:26" ht="15.75" customHeight="1" x14ac:dyDescent="0.25">
      <c r="A4399" s="25"/>
      <c r="B4399" s="49"/>
      <c r="C4399" s="50"/>
      <c r="D4399" s="23"/>
      <c r="E4399" s="23"/>
      <c r="F4399" s="15"/>
      <c r="G4399" s="23"/>
      <c r="H4399" s="15"/>
      <c r="I4399" s="15"/>
      <c r="J4399" s="51"/>
      <c r="K4399" s="15"/>
      <c r="L4399" s="51"/>
      <c r="M4399" s="15"/>
      <c r="N4399" s="23"/>
      <c r="O4399" s="23"/>
      <c r="P4399" s="15" t="str">
        <f t="shared" si="6"/>
        <v/>
      </c>
      <c r="Q4399" s="24"/>
      <c r="R4399" s="25"/>
      <c r="S4399" s="25"/>
      <c r="T4399" s="26"/>
      <c r="U4399" s="26"/>
      <c r="V4399" s="25"/>
      <c r="W4399" s="25"/>
      <c r="X4399" s="25"/>
      <c r="Y4399" s="25"/>
      <c r="Z4399" s="25"/>
    </row>
    <row r="4400" spans="1:26" ht="15.75" customHeight="1" x14ac:dyDescent="0.25">
      <c r="A4400" s="25"/>
      <c r="B4400" s="49"/>
      <c r="C4400" s="50"/>
      <c r="D4400" s="23"/>
      <c r="E4400" s="23"/>
      <c r="F4400" s="15"/>
      <c r="G4400" s="23"/>
      <c r="H4400" s="15"/>
      <c r="I4400" s="15"/>
      <c r="J4400" s="51"/>
      <c r="K4400" s="15"/>
      <c r="L4400" s="51"/>
      <c r="M4400" s="15"/>
      <c r="N4400" s="23"/>
      <c r="O4400" s="23"/>
      <c r="P4400" s="15" t="str">
        <f t="shared" si="6"/>
        <v/>
      </c>
      <c r="Q4400" s="24"/>
      <c r="R4400" s="25"/>
      <c r="S4400" s="25"/>
      <c r="T4400" s="26"/>
      <c r="U4400" s="26"/>
      <c r="V4400" s="25"/>
      <c r="W4400" s="25"/>
      <c r="X4400" s="25"/>
      <c r="Y4400" s="25"/>
      <c r="Z4400" s="25"/>
    </row>
    <row r="4401" spans="1:26" ht="15.75" customHeight="1" x14ac:dyDescent="0.25">
      <c r="A4401" s="25"/>
      <c r="B4401" s="49"/>
      <c r="C4401" s="50"/>
      <c r="D4401" s="23"/>
      <c r="E4401" s="23"/>
      <c r="F4401" s="15"/>
      <c r="G4401" s="23"/>
      <c r="H4401" s="15"/>
      <c r="I4401" s="15"/>
      <c r="J4401" s="51"/>
      <c r="K4401" s="15"/>
      <c r="L4401" s="51"/>
      <c r="M4401" s="15"/>
      <c r="N4401" s="23"/>
      <c r="O4401" s="23"/>
      <c r="P4401" s="15" t="str">
        <f t="shared" si="6"/>
        <v/>
      </c>
      <c r="Q4401" s="24"/>
      <c r="R4401" s="25"/>
      <c r="S4401" s="25"/>
      <c r="T4401" s="26"/>
      <c r="U4401" s="26"/>
      <c r="V4401" s="25"/>
      <c r="W4401" s="25"/>
      <c r="X4401" s="25"/>
      <c r="Y4401" s="25"/>
      <c r="Z4401" s="25"/>
    </row>
    <row r="4402" spans="1:26" ht="15.75" customHeight="1" x14ac:dyDescent="0.25">
      <c r="A4402" s="25"/>
      <c r="B4402" s="49"/>
      <c r="C4402" s="50"/>
      <c r="D4402" s="23"/>
      <c r="E4402" s="23"/>
      <c r="F4402" s="15"/>
      <c r="G4402" s="23"/>
      <c r="H4402" s="15"/>
      <c r="I4402" s="15"/>
      <c r="J4402" s="51"/>
      <c r="K4402" s="15"/>
      <c r="L4402" s="51"/>
      <c r="M4402" s="15"/>
      <c r="N4402" s="23"/>
      <c r="O4402" s="23"/>
      <c r="P4402" s="15" t="str">
        <f t="shared" si="6"/>
        <v/>
      </c>
      <c r="Q4402" s="24"/>
      <c r="R4402" s="25"/>
      <c r="S4402" s="25"/>
      <c r="T4402" s="26"/>
      <c r="U4402" s="26"/>
      <c r="V4402" s="25"/>
      <c r="W4402" s="25"/>
      <c r="X4402" s="25"/>
      <c r="Y4402" s="25"/>
      <c r="Z4402" s="25"/>
    </row>
    <row r="4403" spans="1:26" ht="15.75" customHeight="1" x14ac:dyDescent="0.25">
      <c r="A4403" s="25"/>
      <c r="B4403" s="49"/>
      <c r="C4403" s="50"/>
      <c r="D4403" s="23"/>
      <c r="E4403" s="23"/>
      <c r="F4403" s="15"/>
      <c r="G4403" s="23"/>
      <c r="H4403" s="15"/>
      <c r="I4403" s="15"/>
      <c r="J4403" s="51"/>
      <c r="K4403" s="15"/>
      <c r="L4403" s="51"/>
      <c r="M4403" s="15"/>
      <c r="N4403" s="23"/>
      <c r="O4403" s="23"/>
      <c r="P4403" s="15" t="str">
        <f t="shared" si="6"/>
        <v/>
      </c>
      <c r="Q4403" s="24"/>
      <c r="R4403" s="25"/>
      <c r="S4403" s="25"/>
      <c r="T4403" s="26"/>
      <c r="U4403" s="26"/>
      <c r="V4403" s="25"/>
      <c r="W4403" s="25"/>
      <c r="X4403" s="25"/>
      <c r="Y4403" s="25"/>
      <c r="Z4403" s="25"/>
    </row>
    <row r="4404" spans="1:26" ht="15.75" customHeight="1" x14ac:dyDescent="0.25">
      <c r="A4404" s="25"/>
      <c r="B4404" s="49"/>
      <c r="C4404" s="50"/>
      <c r="D4404" s="23"/>
      <c r="E4404" s="23"/>
      <c r="F4404" s="15"/>
      <c r="G4404" s="23"/>
      <c r="H4404" s="15"/>
      <c r="I4404" s="15"/>
      <c r="J4404" s="51"/>
      <c r="K4404" s="15"/>
      <c r="L4404" s="51"/>
      <c r="M4404" s="15"/>
      <c r="N4404" s="23"/>
      <c r="O4404" s="23"/>
      <c r="P4404" s="15" t="str">
        <f t="shared" si="6"/>
        <v/>
      </c>
      <c r="Q4404" s="24"/>
      <c r="R4404" s="25"/>
      <c r="S4404" s="25"/>
      <c r="T4404" s="26"/>
      <c r="U4404" s="26"/>
      <c r="V4404" s="25"/>
      <c r="W4404" s="25"/>
      <c r="X4404" s="25"/>
      <c r="Y4404" s="25"/>
      <c r="Z4404" s="25"/>
    </row>
    <row r="4405" spans="1:26" ht="15.75" customHeight="1" x14ac:dyDescent="0.25">
      <c r="A4405" s="25"/>
      <c r="B4405" s="49"/>
      <c r="C4405" s="50"/>
      <c r="D4405" s="23"/>
      <c r="E4405" s="23"/>
      <c r="F4405" s="15"/>
      <c r="G4405" s="23"/>
      <c r="H4405" s="15"/>
      <c r="I4405" s="15"/>
      <c r="J4405" s="51"/>
      <c r="K4405" s="15"/>
      <c r="L4405" s="51"/>
      <c r="M4405" s="15"/>
      <c r="N4405" s="23"/>
      <c r="O4405" s="23"/>
      <c r="P4405" s="15" t="str">
        <f t="shared" si="6"/>
        <v/>
      </c>
      <c r="Q4405" s="24"/>
      <c r="R4405" s="25"/>
      <c r="S4405" s="25"/>
      <c r="T4405" s="26"/>
      <c r="U4405" s="26"/>
      <c r="V4405" s="25"/>
      <c r="W4405" s="25"/>
      <c r="X4405" s="25"/>
      <c r="Y4405" s="25"/>
      <c r="Z4405" s="25"/>
    </row>
    <row r="4406" spans="1:26" ht="15.75" customHeight="1" x14ac:dyDescent="0.25">
      <c r="A4406" s="25"/>
      <c r="B4406" s="49"/>
      <c r="C4406" s="50"/>
      <c r="D4406" s="23"/>
      <c r="E4406" s="23"/>
      <c r="F4406" s="15"/>
      <c r="G4406" s="23"/>
      <c r="H4406" s="15"/>
      <c r="I4406" s="15"/>
      <c r="J4406" s="51"/>
      <c r="K4406" s="15"/>
      <c r="L4406" s="51"/>
      <c r="M4406" s="15"/>
      <c r="N4406" s="23"/>
      <c r="O4406" s="23"/>
      <c r="P4406" s="15" t="str">
        <f t="shared" si="6"/>
        <v/>
      </c>
      <c r="Q4406" s="24"/>
      <c r="R4406" s="25"/>
      <c r="S4406" s="25"/>
      <c r="T4406" s="26"/>
      <c r="U4406" s="26"/>
      <c r="V4406" s="25"/>
      <c r="W4406" s="25"/>
      <c r="X4406" s="25"/>
      <c r="Y4406" s="25"/>
      <c r="Z4406" s="25"/>
    </row>
    <row r="4407" spans="1:26" ht="15.75" customHeight="1" x14ac:dyDescent="0.25">
      <c r="A4407" s="25"/>
      <c r="B4407" s="49"/>
      <c r="C4407" s="50"/>
      <c r="D4407" s="23"/>
      <c r="E4407" s="23"/>
      <c r="F4407" s="15"/>
      <c r="G4407" s="23"/>
      <c r="H4407" s="15"/>
      <c r="I4407" s="15"/>
      <c r="J4407" s="51"/>
      <c r="K4407" s="15"/>
      <c r="L4407" s="51"/>
      <c r="M4407" s="15"/>
      <c r="N4407" s="23"/>
      <c r="O4407" s="23"/>
      <c r="P4407" s="15" t="str">
        <f t="shared" si="6"/>
        <v/>
      </c>
      <c r="Q4407" s="24"/>
      <c r="R4407" s="25"/>
      <c r="S4407" s="25"/>
      <c r="T4407" s="26"/>
      <c r="U4407" s="26"/>
      <c r="V4407" s="25"/>
      <c r="W4407" s="25"/>
      <c r="X4407" s="25"/>
      <c r="Y4407" s="25"/>
      <c r="Z4407" s="25"/>
    </row>
    <row r="4408" spans="1:26" ht="15.75" customHeight="1" x14ac:dyDescent="0.25">
      <c r="A4408" s="25"/>
      <c r="B4408" s="49"/>
      <c r="C4408" s="50"/>
      <c r="D4408" s="23"/>
      <c r="E4408" s="23"/>
      <c r="F4408" s="15"/>
      <c r="G4408" s="23"/>
      <c r="H4408" s="15"/>
      <c r="I4408" s="15"/>
      <c r="J4408" s="51"/>
      <c r="K4408" s="15"/>
      <c r="L4408" s="51"/>
      <c r="M4408" s="15"/>
      <c r="N4408" s="23"/>
      <c r="O4408" s="23"/>
      <c r="P4408" s="15" t="str">
        <f t="shared" si="6"/>
        <v/>
      </c>
      <c r="Q4408" s="24"/>
      <c r="R4408" s="25"/>
      <c r="S4408" s="25"/>
      <c r="T4408" s="26"/>
      <c r="U4408" s="26"/>
      <c r="V4408" s="25"/>
      <c r="W4408" s="25"/>
      <c r="X4408" s="25"/>
      <c r="Y4408" s="25"/>
      <c r="Z4408" s="25"/>
    </row>
    <row r="4409" spans="1:26" ht="15.75" customHeight="1" x14ac:dyDescent="0.25">
      <c r="A4409" s="25"/>
      <c r="B4409" s="49"/>
      <c r="C4409" s="50"/>
      <c r="D4409" s="23"/>
      <c r="E4409" s="23"/>
      <c r="F4409" s="15"/>
      <c r="G4409" s="23"/>
      <c r="H4409" s="15"/>
      <c r="I4409" s="15"/>
      <c r="J4409" s="51"/>
      <c r="K4409" s="15"/>
      <c r="L4409" s="51"/>
      <c r="M4409" s="15"/>
      <c r="N4409" s="23"/>
      <c r="O4409" s="23"/>
      <c r="P4409" s="15" t="str">
        <f t="shared" si="6"/>
        <v/>
      </c>
      <c r="Q4409" s="24"/>
      <c r="R4409" s="25"/>
      <c r="S4409" s="25"/>
      <c r="T4409" s="26"/>
      <c r="U4409" s="26"/>
      <c r="V4409" s="25"/>
      <c r="W4409" s="25"/>
      <c r="X4409" s="25"/>
      <c r="Y4409" s="25"/>
      <c r="Z4409" s="25"/>
    </row>
    <row r="4410" spans="1:26" ht="15.75" customHeight="1" x14ac:dyDescent="0.25">
      <c r="A4410" s="25"/>
      <c r="B4410" s="49"/>
      <c r="C4410" s="50"/>
      <c r="D4410" s="23"/>
      <c r="E4410" s="23"/>
      <c r="F4410" s="15"/>
      <c r="G4410" s="23"/>
      <c r="H4410" s="15"/>
      <c r="I4410" s="15"/>
      <c r="J4410" s="51"/>
      <c r="K4410" s="15"/>
      <c r="L4410" s="51"/>
      <c r="M4410" s="15"/>
      <c r="N4410" s="23"/>
      <c r="O4410" s="23"/>
      <c r="P4410" s="15" t="str">
        <f t="shared" si="6"/>
        <v/>
      </c>
      <c r="Q4410" s="24"/>
      <c r="R4410" s="25"/>
      <c r="S4410" s="25"/>
      <c r="T4410" s="26"/>
      <c r="U4410" s="26"/>
      <c r="V4410" s="25"/>
      <c r="W4410" s="25"/>
      <c r="X4410" s="25"/>
      <c r="Y4410" s="25"/>
      <c r="Z4410" s="25"/>
    </row>
    <row r="4411" spans="1:26" ht="15.75" customHeight="1" x14ac:dyDescent="0.25">
      <c r="A4411" s="25"/>
      <c r="B4411" s="49"/>
      <c r="C4411" s="50"/>
      <c r="D4411" s="23"/>
      <c r="E4411" s="23"/>
      <c r="F4411" s="15"/>
      <c r="G4411" s="23"/>
      <c r="H4411" s="15"/>
      <c r="I4411" s="15"/>
      <c r="J4411" s="51"/>
      <c r="K4411" s="15"/>
      <c r="L4411" s="51"/>
      <c r="M4411" s="15"/>
      <c r="N4411" s="23"/>
      <c r="O4411" s="23"/>
      <c r="P4411" s="15" t="str">
        <f t="shared" si="6"/>
        <v/>
      </c>
      <c r="Q4411" s="24"/>
      <c r="R4411" s="25"/>
      <c r="S4411" s="25"/>
      <c r="T4411" s="26"/>
      <c r="U4411" s="26"/>
      <c r="V4411" s="25"/>
      <c r="W4411" s="25"/>
      <c r="X4411" s="25"/>
      <c r="Y4411" s="25"/>
      <c r="Z4411" s="25"/>
    </row>
    <row r="4412" spans="1:26" ht="15.75" customHeight="1" x14ac:dyDescent="0.25">
      <c r="A4412" s="25"/>
      <c r="B4412" s="49"/>
      <c r="C4412" s="50"/>
      <c r="D4412" s="23"/>
      <c r="E4412" s="23"/>
      <c r="F4412" s="15"/>
      <c r="G4412" s="23"/>
      <c r="H4412" s="15"/>
      <c r="I4412" s="15"/>
      <c r="J4412" s="51"/>
      <c r="K4412" s="15"/>
      <c r="L4412" s="51"/>
      <c r="M4412" s="15"/>
      <c r="N4412" s="23"/>
      <c r="O4412" s="23"/>
      <c r="P4412" s="15" t="str">
        <f t="shared" si="6"/>
        <v/>
      </c>
      <c r="Q4412" s="24"/>
      <c r="R4412" s="25"/>
      <c r="S4412" s="25"/>
      <c r="T4412" s="26"/>
      <c r="U4412" s="26"/>
      <c r="V4412" s="25"/>
      <c r="W4412" s="25"/>
      <c r="X4412" s="25"/>
      <c r="Y4412" s="25"/>
      <c r="Z4412" s="25"/>
    </row>
    <row r="4413" spans="1:26" ht="15.75" customHeight="1" x14ac:dyDescent="0.25">
      <c r="A4413" s="25"/>
      <c r="B4413" s="49"/>
      <c r="C4413" s="50"/>
      <c r="D4413" s="23"/>
      <c r="E4413" s="23"/>
      <c r="F4413" s="15"/>
      <c r="G4413" s="23"/>
      <c r="H4413" s="15"/>
      <c r="I4413" s="15"/>
      <c r="J4413" s="51"/>
      <c r="K4413" s="15"/>
      <c r="L4413" s="51"/>
      <c r="M4413" s="15"/>
      <c r="N4413" s="23"/>
      <c r="O4413" s="23"/>
      <c r="P4413" s="15" t="str">
        <f t="shared" si="6"/>
        <v/>
      </c>
      <c r="Q4413" s="24"/>
      <c r="R4413" s="25"/>
      <c r="S4413" s="25"/>
      <c r="T4413" s="26"/>
      <c r="U4413" s="26"/>
      <c r="V4413" s="25"/>
      <c r="W4413" s="25"/>
      <c r="X4413" s="25"/>
      <c r="Y4413" s="25"/>
      <c r="Z4413" s="25"/>
    </row>
    <row r="4414" spans="1:26" ht="15.75" customHeight="1" x14ac:dyDescent="0.25">
      <c r="A4414" s="25"/>
      <c r="B4414" s="49"/>
      <c r="C4414" s="50"/>
      <c r="D4414" s="23"/>
      <c r="E4414" s="23"/>
      <c r="F4414" s="15"/>
      <c r="G4414" s="23"/>
      <c r="H4414" s="15"/>
      <c r="I4414" s="15"/>
      <c r="J4414" s="51"/>
      <c r="K4414" s="15"/>
      <c r="L4414" s="51"/>
      <c r="M4414" s="15"/>
      <c r="N4414" s="23"/>
      <c r="O4414" s="23"/>
      <c r="P4414" s="15" t="str">
        <f t="shared" si="6"/>
        <v/>
      </c>
      <c r="Q4414" s="24"/>
      <c r="R4414" s="25"/>
      <c r="S4414" s="25"/>
      <c r="T4414" s="26"/>
      <c r="U4414" s="26"/>
      <c r="V4414" s="25"/>
      <c r="W4414" s="25"/>
      <c r="X4414" s="25"/>
      <c r="Y4414" s="25"/>
      <c r="Z4414" s="25"/>
    </row>
    <row r="4415" spans="1:26" ht="15.75" customHeight="1" x14ac:dyDescent="0.25">
      <c r="A4415" s="25"/>
      <c r="B4415" s="49"/>
      <c r="C4415" s="50"/>
      <c r="D4415" s="23"/>
      <c r="E4415" s="23"/>
      <c r="F4415" s="15"/>
      <c r="G4415" s="23"/>
      <c r="H4415" s="15"/>
      <c r="I4415" s="15"/>
      <c r="J4415" s="51"/>
      <c r="K4415" s="15"/>
      <c r="L4415" s="51"/>
      <c r="M4415" s="15"/>
      <c r="N4415" s="23"/>
      <c r="O4415" s="23"/>
      <c r="P4415" s="15" t="str">
        <f t="shared" si="6"/>
        <v/>
      </c>
      <c r="Q4415" s="24"/>
      <c r="R4415" s="25"/>
      <c r="S4415" s="25"/>
      <c r="T4415" s="26"/>
      <c r="U4415" s="26"/>
      <c r="V4415" s="25"/>
      <c r="W4415" s="25"/>
      <c r="X4415" s="25"/>
      <c r="Y4415" s="25"/>
      <c r="Z4415" s="25"/>
    </row>
    <row r="4416" spans="1:26" ht="15.75" customHeight="1" x14ac:dyDescent="0.25">
      <c r="A4416" s="25"/>
      <c r="B4416" s="49"/>
      <c r="C4416" s="50"/>
      <c r="D4416" s="23"/>
      <c r="E4416" s="23"/>
      <c r="F4416" s="15"/>
      <c r="G4416" s="23"/>
      <c r="H4416" s="15"/>
      <c r="I4416" s="15"/>
      <c r="J4416" s="51"/>
      <c r="K4416" s="15"/>
      <c r="L4416" s="51"/>
      <c r="M4416" s="15"/>
      <c r="N4416" s="23"/>
      <c r="O4416" s="23"/>
      <c r="P4416" s="15" t="str">
        <f t="shared" si="6"/>
        <v/>
      </c>
      <c r="Q4416" s="24"/>
      <c r="R4416" s="25"/>
      <c r="S4416" s="25"/>
      <c r="T4416" s="26"/>
      <c r="U4416" s="26"/>
      <c r="V4416" s="25"/>
      <c r="W4416" s="25"/>
      <c r="X4416" s="25"/>
      <c r="Y4416" s="25"/>
      <c r="Z4416" s="25"/>
    </row>
    <row r="4417" spans="1:26" ht="15.75" customHeight="1" x14ac:dyDescent="0.25">
      <c r="A4417" s="25"/>
      <c r="B4417" s="49"/>
      <c r="C4417" s="50"/>
      <c r="D4417" s="23"/>
      <c r="E4417" s="23"/>
      <c r="F4417" s="15"/>
      <c r="G4417" s="23"/>
      <c r="H4417" s="15"/>
      <c r="I4417" s="15"/>
      <c r="J4417" s="51"/>
      <c r="K4417" s="15"/>
      <c r="L4417" s="51"/>
      <c r="M4417" s="15"/>
      <c r="N4417" s="23"/>
      <c r="O4417" s="23"/>
      <c r="P4417" s="15" t="str">
        <f t="shared" si="6"/>
        <v/>
      </c>
      <c r="Q4417" s="24"/>
      <c r="R4417" s="25"/>
      <c r="S4417" s="25"/>
      <c r="T4417" s="26"/>
      <c r="U4417" s="26"/>
      <c r="V4417" s="25"/>
      <c r="W4417" s="25"/>
      <c r="X4417" s="25"/>
      <c r="Y4417" s="25"/>
      <c r="Z4417" s="25"/>
    </row>
    <row r="4418" spans="1:26" ht="15.75" customHeight="1" x14ac:dyDescent="0.25">
      <c r="A4418" s="25"/>
      <c r="B4418" s="49"/>
      <c r="C4418" s="50"/>
      <c r="D4418" s="23"/>
      <c r="E4418" s="23"/>
      <c r="F4418" s="15"/>
      <c r="G4418" s="23"/>
      <c r="H4418" s="15"/>
      <c r="I4418" s="15"/>
      <c r="J4418" s="51"/>
      <c r="K4418" s="15"/>
      <c r="L4418" s="51"/>
      <c r="M4418" s="15"/>
      <c r="N4418" s="23"/>
      <c r="O4418" s="23"/>
      <c r="P4418" s="15" t="str">
        <f t="shared" si="6"/>
        <v/>
      </c>
      <c r="Q4418" s="24"/>
      <c r="R4418" s="25"/>
      <c r="S4418" s="25"/>
      <c r="T4418" s="26"/>
      <c r="U4418" s="26"/>
      <c r="V4418" s="25"/>
      <c r="W4418" s="25"/>
      <c r="X4418" s="25"/>
      <c r="Y4418" s="25"/>
      <c r="Z4418" s="25"/>
    </row>
    <row r="4419" spans="1:26" ht="15.75" customHeight="1" x14ac:dyDescent="0.25">
      <c r="A4419" s="25"/>
      <c r="B4419" s="49"/>
      <c r="C4419" s="50"/>
      <c r="D4419" s="23"/>
      <c r="E4419" s="23"/>
      <c r="F4419" s="15"/>
      <c r="G4419" s="23"/>
      <c r="H4419" s="15"/>
      <c r="I4419" s="15"/>
      <c r="J4419" s="51"/>
      <c r="K4419" s="15"/>
      <c r="L4419" s="51"/>
      <c r="M4419" s="15"/>
      <c r="N4419" s="23"/>
      <c r="O4419" s="23"/>
      <c r="P4419" s="15" t="str">
        <f t="shared" si="6"/>
        <v/>
      </c>
      <c r="Q4419" s="24"/>
      <c r="R4419" s="25"/>
      <c r="S4419" s="25"/>
      <c r="T4419" s="26"/>
      <c r="U4419" s="26"/>
      <c r="V4419" s="25"/>
      <c r="W4419" s="25"/>
      <c r="X4419" s="25"/>
      <c r="Y4419" s="25"/>
      <c r="Z4419" s="25"/>
    </row>
    <row r="4420" spans="1:26" ht="15.75" customHeight="1" x14ac:dyDescent="0.25">
      <c r="A4420" s="25"/>
      <c r="B4420" s="49"/>
      <c r="C4420" s="50"/>
      <c r="D4420" s="23"/>
      <c r="E4420" s="23"/>
      <c r="F4420" s="15"/>
      <c r="G4420" s="23"/>
      <c r="H4420" s="15"/>
      <c r="I4420" s="15"/>
      <c r="J4420" s="51"/>
      <c r="K4420" s="15"/>
      <c r="L4420" s="51"/>
      <c r="M4420" s="15"/>
      <c r="N4420" s="23"/>
      <c r="O4420" s="23"/>
      <c r="P4420" s="15" t="str">
        <f t="shared" si="6"/>
        <v/>
      </c>
      <c r="Q4420" s="24"/>
      <c r="R4420" s="25"/>
      <c r="S4420" s="25"/>
      <c r="T4420" s="26"/>
      <c r="U4420" s="26"/>
      <c r="V4420" s="25"/>
      <c r="W4420" s="25"/>
      <c r="X4420" s="25"/>
      <c r="Y4420" s="25"/>
      <c r="Z4420" s="25"/>
    </row>
    <row r="4421" spans="1:26" ht="15.75" customHeight="1" x14ac:dyDescent="0.25">
      <c r="A4421" s="25"/>
      <c r="B4421" s="49"/>
      <c r="C4421" s="50"/>
      <c r="D4421" s="23"/>
      <c r="E4421" s="23"/>
      <c r="F4421" s="15"/>
      <c r="G4421" s="23"/>
      <c r="H4421" s="15"/>
      <c r="I4421" s="15"/>
      <c r="J4421" s="51"/>
      <c r="K4421" s="15"/>
      <c r="L4421" s="51"/>
      <c r="M4421" s="15"/>
      <c r="N4421" s="23"/>
      <c r="O4421" s="23"/>
      <c r="P4421" s="15" t="str">
        <f t="shared" si="6"/>
        <v/>
      </c>
      <c r="Q4421" s="24"/>
      <c r="R4421" s="25"/>
      <c r="S4421" s="25"/>
      <c r="T4421" s="26"/>
      <c r="U4421" s="26"/>
      <c r="V4421" s="25"/>
      <c r="W4421" s="25"/>
      <c r="X4421" s="25"/>
      <c r="Y4421" s="25"/>
      <c r="Z4421" s="25"/>
    </row>
    <row r="4422" spans="1:26" ht="15.75" customHeight="1" x14ac:dyDescent="0.25">
      <c r="A4422" s="25"/>
      <c r="B4422" s="49"/>
      <c r="C4422" s="50"/>
      <c r="D4422" s="23"/>
      <c r="E4422" s="23"/>
      <c r="F4422" s="15"/>
      <c r="G4422" s="23"/>
      <c r="H4422" s="15"/>
      <c r="I4422" s="15"/>
      <c r="J4422" s="51"/>
      <c r="K4422" s="15"/>
      <c r="L4422" s="51"/>
      <c r="M4422" s="15"/>
      <c r="N4422" s="23"/>
      <c r="O4422" s="23"/>
      <c r="P4422" s="15" t="str">
        <f t="shared" si="6"/>
        <v/>
      </c>
      <c r="Q4422" s="24"/>
      <c r="R4422" s="25"/>
      <c r="S4422" s="25"/>
      <c r="T4422" s="26"/>
      <c r="U4422" s="26"/>
      <c r="V4422" s="25"/>
      <c r="W4422" s="25"/>
      <c r="X4422" s="25"/>
      <c r="Y4422" s="25"/>
      <c r="Z4422" s="25"/>
    </row>
    <row r="4423" spans="1:26" ht="15.75" customHeight="1" x14ac:dyDescent="0.25">
      <c r="A4423" s="25"/>
      <c r="B4423" s="49"/>
      <c r="C4423" s="50"/>
      <c r="D4423" s="23"/>
      <c r="E4423" s="23"/>
      <c r="F4423" s="15"/>
      <c r="G4423" s="23"/>
      <c r="H4423" s="15"/>
      <c r="I4423" s="15"/>
      <c r="J4423" s="51"/>
      <c r="K4423" s="15"/>
      <c r="L4423" s="51"/>
      <c r="M4423" s="15"/>
      <c r="N4423" s="23"/>
      <c r="O4423" s="23"/>
      <c r="P4423" s="15" t="str">
        <f t="shared" si="6"/>
        <v/>
      </c>
      <c r="Q4423" s="24"/>
      <c r="R4423" s="25"/>
      <c r="S4423" s="25"/>
      <c r="T4423" s="26"/>
      <c r="U4423" s="26"/>
      <c r="V4423" s="25"/>
      <c r="W4423" s="25"/>
      <c r="X4423" s="25"/>
      <c r="Y4423" s="25"/>
      <c r="Z4423" s="25"/>
    </row>
    <row r="4424" spans="1:26" ht="15.75" customHeight="1" x14ac:dyDescent="0.25">
      <c r="A4424" s="25"/>
      <c r="B4424" s="49"/>
      <c r="C4424" s="50"/>
      <c r="D4424" s="23"/>
      <c r="E4424" s="23"/>
      <c r="F4424" s="15"/>
      <c r="G4424" s="23"/>
      <c r="H4424" s="15"/>
      <c r="I4424" s="15"/>
      <c r="J4424" s="51"/>
      <c r="K4424" s="15"/>
      <c r="L4424" s="51"/>
      <c r="M4424" s="15"/>
      <c r="N4424" s="23"/>
      <c r="O4424" s="23"/>
      <c r="P4424" s="15" t="str">
        <f t="shared" si="6"/>
        <v/>
      </c>
      <c r="Q4424" s="24"/>
      <c r="R4424" s="25"/>
      <c r="S4424" s="25"/>
      <c r="T4424" s="26"/>
      <c r="U4424" s="26"/>
      <c r="V4424" s="25"/>
      <c r="W4424" s="25"/>
      <c r="X4424" s="25"/>
      <c r="Y4424" s="25"/>
      <c r="Z4424" s="25"/>
    </row>
    <row r="4425" spans="1:26" ht="15.75" customHeight="1" x14ac:dyDescent="0.25">
      <c r="A4425" s="25"/>
      <c r="B4425" s="49"/>
      <c r="C4425" s="50"/>
      <c r="D4425" s="23"/>
      <c r="E4425" s="23"/>
      <c r="F4425" s="15"/>
      <c r="G4425" s="23"/>
      <c r="H4425" s="15"/>
      <c r="I4425" s="15"/>
      <c r="J4425" s="51"/>
      <c r="K4425" s="15"/>
      <c r="L4425" s="51"/>
      <c r="M4425" s="15"/>
      <c r="N4425" s="23"/>
      <c r="O4425" s="23"/>
      <c r="P4425" s="15" t="str">
        <f t="shared" si="6"/>
        <v/>
      </c>
      <c r="Q4425" s="24"/>
      <c r="R4425" s="25"/>
      <c r="S4425" s="25"/>
      <c r="T4425" s="26"/>
      <c r="U4425" s="26"/>
      <c r="V4425" s="25"/>
      <c r="W4425" s="25"/>
      <c r="X4425" s="25"/>
      <c r="Y4425" s="25"/>
      <c r="Z4425" s="25"/>
    </row>
    <row r="4426" spans="1:26" ht="15.75" customHeight="1" x14ac:dyDescent="0.25">
      <c r="A4426" s="25"/>
      <c r="B4426" s="49"/>
      <c r="C4426" s="50"/>
      <c r="D4426" s="23"/>
      <c r="E4426" s="23"/>
      <c r="F4426" s="15"/>
      <c r="G4426" s="23"/>
      <c r="H4426" s="15"/>
      <c r="I4426" s="15"/>
      <c r="J4426" s="51"/>
      <c r="K4426" s="15"/>
      <c r="L4426" s="51"/>
      <c r="M4426" s="15"/>
      <c r="N4426" s="23"/>
      <c r="O4426" s="23"/>
      <c r="P4426" s="15" t="str">
        <f t="shared" si="6"/>
        <v/>
      </c>
      <c r="Q4426" s="24"/>
      <c r="R4426" s="25"/>
      <c r="S4426" s="25"/>
      <c r="T4426" s="26"/>
      <c r="U4426" s="26"/>
      <c r="V4426" s="25"/>
      <c r="W4426" s="25"/>
      <c r="X4426" s="25"/>
      <c r="Y4426" s="25"/>
      <c r="Z4426" s="25"/>
    </row>
    <row r="4427" spans="1:26" ht="15.75" customHeight="1" x14ac:dyDescent="0.25">
      <c r="A4427" s="25"/>
      <c r="B4427" s="49"/>
      <c r="C4427" s="50"/>
      <c r="D4427" s="23"/>
      <c r="E4427" s="23"/>
      <c r="F4427" s="15"/>
      <c r="G4427" s="23"/>
      <c r="H4427" s="15"/>
      <c r="I4427" s="15"/>
      <c r="J4427" s="51"/>
      <c r="K4427" s="15"/>
      <c r="L4427" s="51"/>
      <c r="M4427" s="15"/>
      <c r="N4427" s="23"/>
      <c r="O4427" s="23"/>
      <c r="P4427" s="15" t="str">
        <f t="shared" si="6"/>
        <v/>
      </c>
      <c r="Q4427" s="24"/>
      <c r="R4427" s="25"/>
      <c r="S4427" s="25"/>
      <c r="T4427" s="26"/>
      <c r="U4427" s="26"/>
      <c r="V4427" s="25"/>
      <c r="W4427" s="25"/>
      <c r="X4427" s="25"/>
      <c r="Y4427" s="25"/>
      <c r="Z4427" s="25"/>
    </row>
    <row r="4428" spans="1:26" ht="15.75" customHeight="1" x14ac:dyDescent="0.25">
      <c r="A4428" s="25"/>
      <c r="B4428" s="49"/>
      <c r="C4428" s="50"/>
      <c r="D4428" s="23"/>
      <c r="E4428" s="23"/>
      <c r="F4428" s="15"/>
      <c r="G4428" s="23"/>
      <c r="H4428" s="15"/>
      <c r="I4428" s="15"/>
      <c r="J4428" s="51"/>
      <c r="K4428" s="15"/>
      <c r="L4428" s="51"/>
      <c r="M4428" s="15"/>
      <c r="N4428" s="23"/>
      <c r="O4428" s="23"/>
      <c r="P4428" s="15" t="str">
        <f t="shared" si="6"/>
        <v/>
      </c>
      <c r="Q4428" s="24"/>
      <c r="R4428" s="25"/>
      <c r="S4428" s="25"/>
      <c r="T4428" s="26"/>
      <c r="U4428" s="26"/>
      <c r="V4428" s="25"/>
      <c r="W4428" s="25"/>
      <c r="X4428" s="25"/>
      <c r="Y4428" s="25"/>
      <c r="Z4428" s="25"/>
    </row>
    <row r="4429" spans="1:26" ht="15.75" customHeight="1" x14ac:dyDescent="0.25">
      <c r="A4429" s="25"/>
      <c r="B4429" s="49"/>
      <c r="C4429" s="50"/>
      <c r="D4429" s="23"/>
      <c r="E4429" s="23"/>
      <c r="F4429" s="15"/>
      <c r="G4429" s="23"/>
      <c r="H4429" s="15"/>
      <c r="I4429" s="15"/>
      <c r="J4429" s="51"/>
      <c r="K4429" s="15"/>
      <c r="L4429" s="51"/>
      <c r="M4429" s="15"/>
      <c r="N4429" s="23"/>
      <c r="O4429" s="23"/>
      <c r="P4429" s="15" t="str">
        <f t="shared" si="6"/>
        <v/>
      </c>
      <c r="Q4429" s="24"/>
      <c r="R4429" s="25"/>
      <c r="S4429" s="25"/>
      <c r="T4429" s="26"/>
      <c r="U4429" s="26"/>
      <c r="V4429" s="25"/>
      <c r="W4429" s="25"/>
      <c r="X4429" s="25"/>
      <c r="Y4429" s="25"/>
      <c r="Z4429" s="25"/>
    </row>
    <row r="4430" spans="1:26" ht="15.75" customHeight="1" x14ac:dyDescent="0.25">
      <c r="A4430" s="25"/>
      <c r="B4430" s="49"/>
      <c r="C4430" s="50"/>
      <c r="D4430" s="23"/>
      <c r="E4430" s="23"/>
      <c r="F4430" s="15"/>
      <c r="G4430" s="23"/>
      <c r="H4430" s="15"/>
      <c r="I4430" s="15"/>
      <c r="J4430" s="51"/>
      <c r="K4430" s="15"/>
      <c r="L4430" s="51"/>
      <c r="M4430" s="15"/>
      <c r="N4430" s="23"/>
      <c r="O4430" s="23"/>
      <c r="P4430" s="15" t="str">
        <f t="shared" si="6"/>
        <v/>
      </c>
      <c r="Q4430" s="24"/>
      <c r="R4430" s="25"/>
      <c r="S4430" s="25"/>
      <c r="T4430" s="26"/>
      <c r="U4430" s="26"/>
      <c r="V4430" s="25"/>
      <c r="W4430" s="25"/>
      <c r="X4430" s="25"/>
      <c r="Y4430" s="25"/>
      <c r="Z4430" s="25"/>
    </row>
    <row r="4431" spans="1:26" ht="15.75" customHeight="1" x14ac:dyDescent="0.25">
      <c r="A4431" s="25"/>
      <c r="B4431" s="49"/>
      <c r="C4431" s="50"/>
      <c r="D4431" s="23"/>
      <c r="E4431" s="23"/>
      <c r="F4431" s="15"/>
      <c r="G4431" s="23"/>
      <c r="H4431" s="15"/>
      <c r="I4431" s="15"/>
      <c r="J4431" s="51"/>
      <c r="K4431" s="15"/>
      <c r="L4431" s="51"/>
      <c r="M4431" s="15"/>
      <c r="N4431" s="23"/>
      <c r="O4431" s="23"/>
      <c r="P4431" s="15" t="str">
        <f t="shared" si="6"/>
        <v/>
      </c>
      <c r="Q4431" s="24"/>
      <c r="R4431" s="25"/>
      <c r="S4431" s="25"/>
      <c r="T4431" s="26"/>
      <c r="U4431" s="26"/>
      <c r="V4431" s="25"/>
      <c r="W4431" s="25"/>
      <c r="X4431" s="25"/>
      <c r="Y4431" s="25"/>
      <c r="Z4431" s="25"/>
    </row>
    <row r="4432" spans="1:26" ht="15.75" customHeight="1" x14ac:dyDescent="0.25">
      <c r="A4432" s="25"/>
      <c r="B4432" s="49"/>
      <c r="C4432" s="50"/>
      <c r="D4432" s="23"/>
      <c r="E4432" s="23"/>
      <c r="F4432" s="15"/>
      <c r="G4432" s="23"/>
      <c r="H4432" s="15"/>
      <c r="I4432" s="15"/>
      <c r="J4432" s="51"/>
      <c r="K4432" s="15"/>
      <c r="L4432" s="51"/>
      <c r="M4432" s="15"/>
      <c r="N4432" s="23"/>
      <c r="O4432" s="23"/>
      <c r="P4432" s="15" t="str">
        <f t="shared" si="6"/>
        <v/>
      </c>
      <c r="Q4432" s="24"/>
      <c r="R4432" s="25"/>
      <c r="S4432" s="25"/>
      <c r="T4432" s="26"/>
      <c r="U4432" s="26"/>
      <c r="V4432" s="25"/>
      <c r="W4432" s="25"/>
      <c r="X4432" s="25"/>
      <c r="Y4432" s="25"/>
      <c r="Z4432" s="25"/>
    </row>
    <row r="4433" spans="1:26" ht="15.75" customHeight="1" x14ac:dyDescent="0.25">
      <c r="A4433" s="25"/>
      <c r="B4433" s="49"/>
      <c r="C4433" s="50"/>
      <c r="D4433" s="23"/>
      <c r="E4433" s="23"/>
      <c r="F4433" s="15"/>
      <c r="G4433" s="23"/>
      <c r="H4433" s="15"/>
      <c r="I4433" s="15"/>
      <c r="J4433" s="51"/>
      <c r="K4433" s="15"/>
      <c r="L4433" s="51"/>
      <c r="M4433" s="15"/>
      <c r="N4433" s="23"/>
      <c r="O4433" s="23"/>
      <c r="P4433" s="15" t="str">
        <f t="shared" si="6"/>
        <v/>
      </c>
      <c r="Q4433" s="24"/>
      <c r="R4433" s="25"/>
      <c r="S4433" s="25"/>
      <c r="T4433" s="26"/>
      <c r="U4433" s="26"/>
      <c r="V4433" s="25"/>
      <c r="W4433" s="25"/>
      <c r="X4433" s="25"/>
      <c r="Y4433" s="25"/>
      <c r="Z4433" s="25"/>
    </row>
    <row r="4434" spans="1:26" ht="15.75" customHeight="1" x14ac:dyDescent="0.25">
      <c r="A4434" s="25"/>
      <c r="B4434" s="49"/>
      <c r="C4434" s="50"/>
      <c r="D4434" s="23"/>
      <c r="E4434" s="23"/>
      <c r="F4434" s="15"/>
      <c r="G4434" s="23"/>
      <c r="H4434" s="15"/>
      <c r="I4434" s="15"/>
      <c r="J4434" s="51"/>
      <c r="K4434" s="15"/>
      <c r="L4434" s="51"/>
      <c r="M4434" s="15"/>
      <c r="N4434" s="23"/>
      <c r="O4434" s="23"/>
      <c r="P4434" s="15" t="str">
        <f t="shared" si="6"/>
        <v/>
      </c>
      <c r="Q4434" s="24"/>
      <c r="R4434" s="25"/>
      <c r="S4434" s="25"/>
      <c r="T4434" s="26"/>
      <c r="U4434" s="26"/>
      <c r="V4434" s="25"/>
      <c r="W4434" s="25"/>
      <c r="X4434" s="25"/>
      <c r="Y4434" s="25"/>
      <c r="Z4434" s="25"/>
    </row>
    <row r="4435" spans="1:26" ht="15.75" customHeight="1" x14ac:dyDescent="0.25">
      <c r="A4435" s="25"/>
      <c r="B4435" s="49"/>
      <c r="C4435" s="50"/>
      <c r="D4435" s="23"/>
      <c r="E4435" s="23"/>
      <c r="F4435" s="15"/>
      <c r="G4435" s="23"/>
      <c r="H4435" s="15"/>
      <c r="I4435" s="15"/>
      <c r="J4435" s="51"/>
      <c r="K4435" s="15"/>
      <c r="L4435" s="51"/>
      <c r="M4435" s="15"/>
      <c r="N4435" s="23"/>
      <c r="O4435" s="23"/>
      <c r="P4435" s="15" t="str">
        <f t="shared" si="6"/>
        <v/>
      </c>
      <c r="Q4435" s="24"/>
      <c r="R4435" s="25"/>
      <c r="S4435" s="25"/>
      <c r="T4435" s="26"/>
      <c r="U4435" s="26"/>
      <c r="V4435" s="25"/>
      <c r="W4435" s="25"/>
      <c r="X4435" s="25"/>
      <c r="Y4435" s="25"/>
      <c r="Z4435" s="25"/>
    </row>
    <row r="4436" spans="1:26" ht="15.75" customHeight="1" x14ac:dyDescent="0.25">
      <c r="A4436" s="25"/>
      <c r="B4436" s="49"/>
      <c r="C4436" s="50"/>
      <c r="D4436" s="23"/>
      <c r="E4436" s="23"/>
      <c r="F4436" s="15"/>
      <c r="G4436" s="23"/>
      <c r="H4436" s="15"/>
      <c r="I4436" s="15"/>
      <c r="J4436" s="51"/>
      <c r="K4436" s="15"/>
      <c r="L4436" s="51"/>
      <c r="M4436" s="15"/>
      <c r="N4436" s="23"/>
      <c r="O4436" s="23"/>
      <c r="P4436" s="15" t="str">
        <f t="shared" si="6"/>
        <v/>
      </c>
      <c r="Q4436" s="24"/>
      <c r="R4436" s="25"/>
      <c r="S4436" s="25"/>
      <c r="T4436" s="26"/>
      <c r="U4436" s="26"/>
      <c r="V4436" s="25"/>
      <c r="W4436" s="25"/>
      <c r="X4436" s="25"/>
      <c r="Y4436" s="25"/>
      <c r="Z4436" s="25"/>
    </row>
    <row r="4437" spans="1:26" ht="15.75" customHeight="1" x14ac:dyDescent="0.25">
      <c r="A4437" s="25"/>
      <c r="B4437" s="49"/>
      <c r="C4437" s="50"/>
      <c r="D4437" s="23"/>
      <c r="E4437" s="23"/>
      <c r="F4437" s="15"/>
      <c r="G4437" s="23"/>
      <c r="H4437" s="15"/>
      <c r="I4437" s="15"/>
      <c r="J4437" s="51"/>
      <c r="K4437" s="15"/>
      <c r="L4437" s="51"/>
      <c r="M4437" s="15"/>
      <c r="N4437" s="23"/>
      <c r="O4437" s="23"/>
      <c r="P4437" s="15" t="str">
        <f t="shared" si="6"/>
        <v/>
      </c>
      <c r="Q4437" s="24"/>
      <c r="R4437" s="25"/>
      <c r="S4437" s="25"/>
      <c r="T4437" s="26"/>
      <c r="U4437" s="26"/>
      <c r="V4437" s="25"/>
      <c r="W4437" s="25"/>
      <c r="X4437" s="25"/>
      <c r="Y4437" s="25"/>
      <c r="Z4437" s="25"/>
    </row>
    <row r="4438" spans="1:26" ht="15.75" customHeight="1" x14ac:dyDescent="0.25">
      <c r="A4438" s="25"/>
      <c r="B4438" s="49"/>
      <c r="C4438" s="50"/>
      <c r="D4438" s="23"/>
      <c r="E4438" s="23"/>
      <c r="F4438" s="15"/>
      <c r="G4438" s="23"/>
      <c r="H4438" s="15"/>
      <c r="I4438" s="15"/>
      <c r="J4438" s="51"/>
      <c r="K4438" s="15"/>
      <c r="L4438" s="51"/>
      <c r="M4438" s="15"/>
      <c r="N4438" s="23"/>
      <c r="O4438" s="23"/>
      <c r="P4438" s="15" t="str">
        <f t="shared" si="6"/>
        <v/>
      </c>
      <c r="Q4438" s="24"/>
      <c r="R4438" s="25"/>
      <c r="S4438" s="25"/>
      <c r="T4438" s="26"/>
      <c r="U4438" s="26"/>
      <c r="V4438" s="25"/>
      <c r="W4438" s="25"/>
      <c r="X4438" s="25"/>
      <c r="Y4438" s="25"/>
      <c r="Z4438" s="25"/>
    </row>
    <row r="4439" spans="1:26" ht="15.75" customHeight="1" x14ac:dyDescent="0.25">
      <c r="A4439" s="25"/>
      <c r="B4439" s="49"/>
      <c r="C4439" s="50"/>
      <c r="D4439" s="23"/>
      <c r="E4439" s="23"/>
      <c r="F4439" s="15"/>
      <c r="G4439" s="23"/>
      <c r="H4439" s="15"/>
      <c r="I4439" s="15"/>
      <c r="J4439" s="51"/>
      <c r="K4439" s="15"/>
      <c r="L4439" s="51"/>
      <c r="M4439" s="15"/>
      <c r="N4439" s="23"/>
      <c r="O4439" s="23"/>
      <c r="P4439" s="15" t="str">
        <f t="shared" si="6"/>
        <v/>
      </c>
      <c r="Q4439" s="24"/>
      <c r="R4439" s="25"/>
      <c r="S4439" s="25"/>
      <c r="T4439" s="26"/>
      <c r="U4439" s="26"/>
      <c r="V4439" s="25"/>
      <c r="W4439" s="25"/>
      <c r="X4439" s="25"/>
      <c r="Y4439" s="25"/>
      <c r="Z4439" s="25"/>
    </row>
    <row r="4440" spans="1:26" ht="15.75" customHeight="1" x14ac:dyDescent="0.25">
      <c r="A4440" s="25"/>
      <c r="B4440" s="49"/>
      <c r="C4440" s="50"/>
      <c r="D4440" s="23"/>
      <c r="E4440" s="23"/>
      <c r="F4440" s="15"/>
      <c r="G4440" s="23"/>
      <c r="H4440" s="15"/>
      <c r="I4440" s="15"/>
      <c r="J4440" s="51"/>
      <c r="K4440" s="15"/>
      <c r="L4440" s="51"/>
      <c r="M4440" s="15"/>
      <c r="N4440" s="23"/>
      <c r="O4440" s="23"/>
      <c r="P4440" s="15" t="str">
        <f t="shared" si="6"/>
        <v/>
      </c>
      <c r="Q4440" s="24"/>
      <c r="R4440" s="25"/>
      <c r="S4440" s="25"/>
      <c r="T4440" s="26"/>
      <c r="U4440" s="26"/>
      <c r="V4440" s="25"/>
      <c r="W4440" s="25"/>
      <c r="X4440" s="25"/>
      <c r="Y4440" s="25"/>
      <c r="Z4440" s="25"/>
    </row>
    <row r="4441" spans="1:26" ht="15.75" customHeight="1" x14ac:dyDescent="0.25">
      <c r="A4441" s="25"/>
      <c r="B4441" s="49"/>
      <c r="C4441" s="50"/>
      <c r="D4441" s="23"/>
      <c r="E4441" s="23"/>
      <c r="F4441" s="15"/>
      <c r="G4441" s="23"/>
      <c r="H4441" s="15"/>
      <c r="I4441" s="15"/>
      <c r="J4441" s="51"/>
      <c r="K4441" s="15"/>
      <c r="L4441" s="51"/>
      <c r="M4441" s="15"/>
      <c r="N4441" s="23"/>
      <c r="O4441" s="23"/>
      <c r="P4441" s="15" t="str">
        <f t="shared" si="6"/>
        <v/>
      </c>
      <c r="Q4441" s="24"/>
      <c r="R4441" s="25"/>
      <c r="S4441" s="25"/>
      <c r="T4441" s="26"/>
      <c r="U4441" s="26"/>
      <c r="V4441" s="25"/>
      <c r="W4441" s="25"/>
      <c r="X4441" s="25"/>
      <c r="Y4441" s="25"/>
      <c r="Z4441" s="25"/>
    </row>
    <row r="4442" spans="1:26" ht="15.75" customHeight="1" x14ac:dyDescent="0.25">
      <c r="A4442" s="25"/>
      <c r="B4442" s="49"/>
      <c r="C4442" s="50"/>
      <c r="D4442" s="23"/>
      <c r="E4442" s="23"/>
      <c r="F4442" s="15"/>
      <c r="G4442" s="23"/>
      <c r="H4442" s="15"/>
      <c r="I4442" s="15"/>
      <c r="J4442" s="51"/>
      <c r="K4442" s="15"/>
      <c r="L4442" s="51"/>
      <c r="M4442" s="15"/>
      <c r="N4442" s="23"/>
      <c r="O4442" s="23"/>
      <c r="P4442" s="15" t="str">
        <f t="shared" si="6"/>
        <v/>
      </c>
      <c r="Q4442" s="24"/>
      <c r="R4442" s="25"/>
      <c r="S4442" s="25"/>
      <c r="T4442" s="26"/>
      <c r="U4442" s="26"/>
      <c r="V4442" s="25"/>
      <c r="W4442" s="25"/>
      <c r="X4442" s="25"/>
      <c r="Y4442" s="25"/>
      <c r="Z4442" s="25"/>
    </row>
    <row r="4443" spans="1:26" ht="15.75" customHeight="1" x14ac:dyDescent="0.25">
      <c r="A4443" s="25"/>
      <c r="B4443" s="49"/>
      <c r="C4443" s="50"/>
      <c r="D4443" s="23"/>
      <c r="E4443" s="23"/>
      <c r="F4443" s="15"/>
      <c r="G4443" s="23"/>
      <c r="H4443" s="15"/>
      <c r="I4443" s="15"/>
      <c r="J4443" s="51"/>
      <c r="K4443" s="15"/>
      <c r="L4443" s="51"/>
      <c r="M4443" s="15"/>
      <c r="N4443" s="23"/>
      <c r="O4443" s="23"/>
      <c r="P4443" s="15" t="str">
        <f t="shared" si="6"/>
        <v/>
      </c>
      <c r="Q4443" s="24"/>
      <c r="R4443" s="25"/>
      <c r="S4443" s="25"/>
      <c r="T4443" s="26"/>
      <c r="U4443" s="26"/>
      <c r="V4443" s="25"/>
      <c r="W4443" s="25"/>
      <c r="X4443" s="25"/>
      <c r="Y4443" s="25"/>
      <c r="Z4443" s="25"/>
    </row>
    <row r="4444" spans="1:26" ht="15.75" customHeight="1" x14ac:dyDescent="0.25">
      <c r="A4444" s="25"/>
      <c r="B4444" s="49"/>
      <c r="C4444" s="50"/>
      <c r="D4444" s="23"/>
      <c r="E4444" s="23"/>
      <c r="F4444" s="15"/>
      <c r="G4444" s="23"/>
      <c r="H4444" s="15"/>
      <c r="I4444" s="15"/>
      <c r="J4444" s="51"/>
      <c r="K4444" s="15"/>
      <c r="L4444" s="51"/>
      <c r="M4444" s="15"/>
      <c r="N4444" s="23"/>
      <c r="O4444" s="23"/>
      <c r="P4444" s="15" t="str">
        <f t="shared" si="6"/>
        <v/>
      </c>
      <c r="Q4444" s="24"/>
      <c r="R4444" s="25"/>
      <c r="S4444" s="25"/>
      <c r="T4444" s="26"/>
      <c r="U4444" s="26"/>
      <c r="V4444" s="25"/>
      <c r="W4444" s="25"/>
      <c r="X4444" s="25"/>
      <c r="Y4444" s="25"/>
      <c r="Z4444" s="25"/>
    </row>
    <row r="4445" spans="1:26" ht="15.75" customHeight="1" x14ac:dyDescent="0.25">
      <c r="A4445" s="25"/>
      <c r="B4445" s="49"/>
      <c r="C4445" s="50"/>
      <c r="D4445" s="23"/>
      <c r="E4445" s="23"/>
      <c r="F4445" s="15"/>
      <c r="G4445" s="23"/>
      <c r="H4445" s="15"/>
      <c r="I4445" s="15"/>
      <c r="J4445" s="51"/>
      <c r="K4445" s="15"/>
      <c r="L4445" s="51"/>
      <c r="M4445" s="15"/>
      <c r="N4445" s="23"/>
      <c r="O4445" s="23"/>
      <c r="P4445" s="15" t="str">
        <f t="shared" si="6"/>
        <v/>
      </c>
      <c r="Q4445" s="24"/>
      <c r="R4445" s="25"/>
      <c r="S4445" s="25"/>
      <c r="T4445" s="26"/>
      <c r="U4445" s="26"/>
      <c r="V4445" s="25"/>
      <c r="W4445" s="25"/>
      <c r="X4445" s="25"/>
      <c r="Y4445" s="25"/>
      <c r="Z4445" s="25"/>
    </row>
    <row r="4446" spans="1:26" ht="15.75" customHeight="1" x14ac:dyDescent="0.25">
      <c r="A4446" s="25"/>
      <c r="B4446" s="49"/>
      <c r="C4446" s="50"/>
      <c r="D4446" s="23"/>
      <c r="E4446" s="23"/>
      <c r="F4446" s="15"/>
      <c r="G4446" s="23"/>
      <c r="H4446" s="15"/>
      <c r="I4446" s="15"/>
      <c r="J4446" s="51"/>
      <c r="K4446" s="15"/>
      <c r="L4446" s="51"/>
      <c r="M4446" s="15"/>
      <c r="N4446" s="23"/>
      <c r="O4446" s="23"/>
      <c r="P4446" s="15" t="str">
        <f t="shared" si="6"/>
        <v/>
      </c>
      <c r="Q4446" s="24"/>
      <c r="R4446" s="25"/>
      <c r="S4446" s="25"/>
      <c r="T4446" s="26"/>
      <c r="U4446" s="26"/>
      <c r="V4446" s="25"/>
      <c r="W4446" s="25"/>
      <c r="X4446" s="25"/>
      <c r="Y4446" s="25"/>
      <c r="Z4446" s="25"/>
    </row>
    <row r="4447" spans="1:26" ht="15.75" customHeight="1" x14ac:dyDescent="0.25">
      <c r="A4447" s="25"/>
      <c r="B4447" s="49"/>
      <c r="C4447" s="50"/>
      <c r="D4447" s="23"/>
      <c r="E4447" s="23"/>
      <c r="F4447" s="15"/>
      <c r="G4447" s="23"/>
      <c r="H4447" s="15"/>
      <c r="I4447" s="15"/>
      <c r="J4447" s="51"/>
      <c r="K4447" s="15"/>
      <c r="L4447" s="51"/>
      <c r="M4447" s="15"/>
      <c r="N4447" s="23"/>
      <c r="O4447" s="23"/>
      <c r="P4447" s="15" t="str">
        <f t="shared" si="6"/>
        <v/>
      </c>
      <c r="Q4447" s="24"/>
      <c r="R4447" s="25"/>
      <c r="S4447" s="25"/>
      <c r="T4447" s="26"/>
      <c r="U4447" s="26"/>
      <c r="V4447" s="25"/>
      <c r="W4447" s="25"/>
      <c r="X4447" s="25"/>
      <c r="Y4447" s="25"/>
      <c r="Z4447" s="25"/>
    </row>
    <row r="4448" spans="1:26" ht="15.75" customHeight="1" x14ac:dyDescent="0.25">
      <c r="A4448" s="25"/>
      <c r="B4448" s="49"/>
      <c r="C4448" s="50"/>
      <c r="D4448" s="23"/>
      <c r="E4448" s="23"/>
      <c r="F4448" s="15"/>
      <c r="G4448" s="23"/>
      <c r="H4448" s="15"/>
      <c r="I4448" s="15"/>
      <c r="J4448" s="51"/>
      <c r="K4448" s="15"/>
      <c r="L4448" s="51"/>
      <c r="M4448" s="15"/>
      <c r="N4448" s="23"/>
      <c r="O4448" s="23"/>
      <c r="P4448" s="15" t="str">
        <f t="shared" si="6"/>
        <v/>
      </c>
      <c r="Q4448" s="24"/>
      <c r="R4448" s="25"/>
      <c r="S4448" s="25"/>
      <c r="T4448" s="26"/>
      <c r="U4448" s="26"/>
      <c r="V4448" s="25"/>
      <c r="W4448" s="25"/>
      <c r="X4448" s="25"/>
      <c r="Y4448" s="25"/>
      <c r="Z4448" s="25"/>
    </row>
    <row r="4449" spans="1:26" ht="15.75" customHeight="1" x14ac:dyDescent="0.25">
      <c r="A4449" s="25"/>
      <c r="B4449" s="49"/>
      <c r="C4449" s="50"/>
      <c r="D4449" s="23"/>
      <c r="E4449" s="23"/>
      <c r="F4449" s="15"/>
      <c r="G4449" s="23"/>
      <c r="H4449" s="15"/>
      <c r="I4449" s="15"/>
      <c r="J4449" s="51"/>
      <c r="K4449" s="15"/>
      <c r="L4449" s="51"/>
      <c r="M4449" s="15"/>
      <c r="N4449" s="23"/>
      <c r="O4449" s="23"/>
      <c r="P4449" s="15" t="str">
        <f t="shared" si="6"/>
        <v/>
      </c>
      <c r="Q4449" s="24"/>
      <c r="R4449" s="25"/>
      <c r="S4449" s="25"/>
      <c r="T4449" s="26"/>
      <c r="U4449" s="26"/>
      <c r="V4449" s="25"/>
      <c r="W4449" s="25"/>
      <c r="X4449" s="25"/>
      <c r="Y4449" s="25"/>
      <c r="Z4449" s="25"/>
    </row>
    <row r="4450" spans="1:26" ht="15.75" customHeight="1" x14ac:dyDescent="0.25">
      <c r="A4450" s="25"/>
      <c r="B4450" s="49"/>
      <c r="C4450" s="50"/>
      <c r="D4450" s="23"/>
      <c r="E4450" s="23"/>
      <c r="F4450" s="15"/>
      <c r="G4450" s="23"/>
      <c r="H4450" s="15"/>
      <c r="I4450" s="15"/>
      <c r="J4450" s="51"/>
      <c r="K4450" s="15"/>
      <c r="L4450" s="51"/>
      <c r="M4450" s="15"/>
      <c r="N4450" s="23"/>
      <c r="O4450" s="23"/>
      <c r="P4450" s="15" t="str">
        <f t="shared" si="6"/>
        <v/>
      </c>
      <c r="Q4450" s="24"/>
      <c r="R4450" s="25"/>
      <c r="S4450" s="25"/>
      <c r="T4450" s="26"/>
      <c r="U4450" s="26"/>
      <c r="V4450" s="25"/>
      <c r="W4450" s="25"/>
      <c r="X4450" s="25"/>
      <c r="Y4450" s="25"/>
      <c r="Z4450" s="25"/>
    </row>
    <row r="4451" spans="1:26" ht="15.75" customHeight="1" x14ac:dyDescent="0.25">
      <c r="A4451" s="25"/>
      <c r="B4451" s="49"/>
      <c r="C4451" s="50"/>
      <c r="D4451" s="23"/>
      <c r="E4451" s="23"/>
      <c r="F4451" s="15"/>
      <c r="G4451" s="23"/>
      <c r="H4451" s="15"/>
      <c r="I4451" s="15"/>
      <c r="J4451" s="51"/>
      <c r="K4451" s="15"/>
      <c r="L4451" s="51"/>
      <c r="M4451" s="15"/>
      <c r="N4451" s="23"/>
      <c r="O4451" s="23"/>
      <c r="P4451" s="15" t="str">
        <f t="shared" si="6"/>
        <v/>
      </c>
      <c r="Q4451" s="24"/>
      <c r="R4451" s="25"/>
      <c r="S4451" s="25"/>
      <c r="T4451" s="26"/>
      <c r="U4451" s="26"/>
      <c r="V4451" s="25"/>
      <c r="W4451" s="25"/>
      <c r="X4451" s="25"/>
      <c r="Y4451" s="25"/>
      <c r="Z4451" s="25"/>
    </row>
    <row r="4452" spans="1:26" ht="15.75" customHeight="1" x14ac:dyDescent="0.25">
      <c r="A4452" s="25"/>
      <c r="B4452" s="49"/>
      <c r="C4452" s="50"/>
      <c r="D4452" s="23"/>
      <c r="E4452" s="23"/>
      <c r="F4452" s="15"/>
      <c r="G4452" s="23"/>
      <c r="H4452" s="15"/>
      <c r="I4452" s="15"/>
      <c r="J4452" s="51"/>
      <c r="K4452" s="15"/>
      <c r="L4452" s="51"/>
      <c r="M4452" s="15"/>
      <c r="N4452" s="23"/>
      <c r="O4452" s="23"/>
      <c r="P4452" s="15" t="str">
        <f t="shared" si="6"/>
        <v/>
      </c>
      <c r="Q4452" s="24"/>
      <c r="R4452" s="25"/>
      <c r="S4452" s="25"/>
      <c r="T4452" s="26"/>
      <c r="U4452" s="26"/>
      <c r="V4452" s="25"/>
      <c r="W4452" s="25"/>
      <c r="X4452" s="25"/>
      <c r="Y4452" s="25"/>
      <c r="Z4452" s="25"/>
    </row>
    <row r="4453" spans="1:26" ht="15.75" customHeight="1" x14ac:dyDescent="0.25">
      <c r="A4453" s="25"/>
      <c r="B4453" s="49"/>
      <c r="C4453" s="50"/>
      <c r="D4453" s="23"/>
      <c r="E4453" s="23"/>
      <c r="F4453" s="15"/>
      <c r="G4453" s="23"/>
      <c r="H4453" s="15"/>
      <c r="I4453" s="15"/>
      <c r="J4453" s="51"/>
      <c r="K4453" s="15"/>
      <c r="L4453" s="51"/>
      <c r="M4453" s="15"/>
      <c r="N4453" s="23"/>
      <c r="O4453" s="23"/>
      <c r="P4453" s="15" t="str">
        <f t="shared" si="6"/>
        <v/>
      </c>
      <c r="Q4453" s="24"/>
      <c r="R4453" s="25"/>
      <c r="S4453" s="25"/>
      <c r="T4453" s="26"/>
      <c r="U4453" s="26"/>
      <c r="V4453" s="25"/>
      <c r="W4453" s="25"/>
      <c r="X4453" s="25"/>
      <c r="Y4453" s="25"/>
      <c r="Z4453" s="25"/>
    </row>
    <row r="4454" spans="1:26" ht="15.75" customHeight="1" x14ac:dyDescent="0.25">
      <c r="A4454" s="25"/>
      <c r="B4454" s="49"/>
      <c r="C4454" s="50"/>
      <c r="D4454" s="23"/>
      <c r="E4454" s="23"/>
      <c r="F4454" s="15"/>
      <c r="G4454" s="23"/>
      <c r="H4454" s="15"/>
      <c r="I4454" s="15"/>
      <c r="J4454" s="51"/>
      <c r="K4454" s="15"/>
      <c r="L4454" s="51"/>
      <c r="M4454" s="15"/>
      <c r="N4454" s="23"/>
      <c r="O4454" s="23"/>
      <c r="P4454" s="15" t="str">
        <f t="shared" si="6"/>
        <v/>
      </c>
      <c r="Q4454" s="24"/>
      <c r="R4454" s="25"/>
      <c r="S4454" s="25"/>
      <c r="T4454" s="26"/>
      <c r="U4454" s="26"/>
      <c r="V4454" s="25"/>
      <c r="W4454" s="25"/>
      <c r="X4454" s="25"/>
      <c r="Y4454" s="25"/>
      <c r="Z4454" s="25"/>
    </row>
    <row r="4455" spans="1:26" ht="15.75" customHeight="1" x14ac:dyDescent="0.25">
      <c r="A4455" s="25"/>
      <c r="B4455" s="49"/>
      <c r="C4455" s="50"/>
      <c r="D4455" s="23"/>
      <c r="E4455" s="23"/>
      <c r="F4455" s="15"/>
      <c r="G4455" s="23"/>
      <c r="H4455" s="15"/>
      <c r="I4455" s="15"/>
      <c r="J4455" s="51"/>
      <c r="K4455" s="15"/>
      <c r="L4455" s="51"/>
      <c r="M4455" s="15"/>
      <c r="N4455" s="23"/>
      <c r="O4455" s="23"/>
      <c r="P4455" s="15" t="str">
        <f t="shared" si="6"/>
        <v/>
      </c>
      <c r="Q4455" s="24"/>
      <c r="R4455" s="25"/>
      <c r="S4455" s="25"/>
      <c r="T4455" s="26"/>
      <c r="U4455" s="26"/>
      <c r="V4455" s="25"/>
      <c r="W4455" s="25"/>
      <c r="X4455" s="25"/>
      <c r="Y4455" s="25"/>
      <c r="Z4455" s="25"/>
    </row>
    <row r="4456" spans="1:26" ht="15.75" customHeight="1" x14ac:dyDescent="0.25">
      <c r="A4456" s="25"/>
      <c r="B4456" s="49"/>
      <c r="C4456" s="50"/>
      <c r="D4456" s="23"/>
      <c r="E4456" s="23"/>
      <c r="F4456" s="15"/>
      <c r="G4456" s="23"/>
      <c r="H4456" s="15"/>
      <c r="I4456" s="15"/>
      <c r="J4456" s="51"/>
      <c r="K4456" s="15"/>
      <c r="L4456" s="51"/>
      <c r="M4456" s="15"/>
      <c r="N4456" s="23"/>
      <c r="O4456" s="23"/>
      <c r="P4456" s="15" t="str">
        <f t="shared" si="6"/>
        <v/>
      </c>
      <c r="Q4456" s="24"/>
      <c r="R4456" s="25"/>
      <c r="S4456" s="25"/>
      <c r="T4456" s="26"/>
      <c r="U4456" s="26"/>
      <c r="V4456" s="25"/>
      <c r="W4456" s="25"/>
      <c r="X4456" s="25"/>
      <c r="Y4456" s="25"/>
      <c r="Z4456" s="25"/>
    </row>
    <row r="4457" spans="1:26" ht="15.75" customHeight="1" x14ac:dyDescent="0.25">
      <c r="A4457" s="25"/>
      <c r="B4457" s="49"/>
      <c r="C4457" s="50"/>
      <c r="D4457" s="23"/>
      <c r="E4457" s="23"/>
      <c r="F4457" s="15"/>
      <c r="G4457" s="23"/>
      <c r="H4457" s="15"/>
      <c r="I4457" s="15"/>
      <c r="J4457" s="51"/>
      <c r="K4457" s="15"/>
      <c r="L4457" s="51"/>
      <c r="M4457" s="15"/>
      <c r="N4457" s="23"/>
      <c r="O4457" s="23"/>
      <c r="P4457" s="15" t="str">
        <f t="shared" si="6"/>
        <v/>
      </c>
      <c r="Q4457" s="24"/>
      <c r="R4457" s="25"/>
      <c r="S4457" s="25"/>
      <c r="T4457" s="26"/>
      <c r="U4457" s="26"/>
      <c r="V4457" s="25"/>
      <c r="W4457" s="25"/>
      <c r="X4457" s="25"/>
      <c r="Y4457" s="25"/>
      <c r="Z4457" s="25"/>
    </row>
    <row r="4458" spans="1:26" ht="15.75" customHeight="1" x14ac:dyDescent="0.25">
      <c r="A4458" s="25"/>
      <c r="B4458" s="49"/>
      <c r="C4458" s="50"/>
      <c r="D4458" s="23"/>
      <c r="E4458" s="23"/>
      <c r="F4458" s="15"/>
      <c r="G4458" s="23"/>
      <c r="H4458" s="15"/>
      <c r="I4458" s="15"/>
      <c r="J4458" s="51"/>
      <c r="K4458" s="15"/>
      <c r="L4458" s="51"/>
      <c r="M4458" s="15"/>
      <c r="N4458" s="23"/>
      <c r="O4458" s="23"/>
      <c r="P4458" s="15" t="str">
        <f t="shared" si="6"/>
        <v/>
      </c>
      <c r="Q4458" s="24"/>
      <c r="R4458" s="25"/>
      <c r="S4458" s="25"/>
      <c r="T4458" s="26"/>
      <c r="U4458" s="26"/>
      <c r="V4458" s="25"/>
      <c r="W4458" s="25"/>
      <c r="X4458" s="25"/>
      <c r="Y4458" s="25"/>
      <c r="Z4458" s="25"/>
    </row>
    <row r="4459" spans="1:26" ht="15.75" customHeight="1" x14ac:dyDescent="0.25">
      <c r="A4459" s="25"/>
      <c r="B4459" s="49"/>
      <c r="C4459" s="50"/>
      <c r="D4459" s="23"/>
      <c r="E4459" s="23"/>
      <c r="F4459" s="15"/>
      <c r="G4459" s="23"/>
      <c r="H4459" s="15"/>
      <c r="I4459" s="15"/>
      <c r="J4459" s="51"/>
      <c r="K4459" s="15"/>
      <c r="L4459" s="51"/>
      <c r="M4459" s="15"/>
      <c r="N4459" s="23"/>
      <c r="O4459" s="23"/>
      <c r="P4459" s="15" t="str">
        <f t="shared" si="6"/>
        <v/>
      </c>
      <c r="Q4459" s="24"/>
      <c r="R4459" s="25"/>
      <c r="S4459" s="25"/>
      <c r="T4459" s="26"/>
      <c r="U4459" s="26"/>
      <c r="V4459" s="25"/>
      <c r="W4459" s="25"/>
      <c r="X4459" s="25"/>
      <c r="Y4459" s="25"/>
      <c r="Z4459" s="25"/>
    </row>
    <row r="4460" spans="1:26" ht="15.75" customHeight="1" x14ac:dyDescent="0.25">
      <c r="A4460" s="25"/>
      <c r="B4460" s="49"/>
      <c r="C4460" s="50"/>
      <c r="D4460" s="23"/>
      <c r="E4460" s="23"/>
      <c r="F4460" s="15"/>
      <c r="G4460" s="23"/>
      <c r="H4460" s="15"/>
      <c r="I4460" s="15"/>
      <c r="J4460" s="51"/>
      <c r="K4460" s="15"/>
      <c r="L4460" s="51"/>
      <c r="M4460" s="15"/>
      <c r="N4460" s="23"/>
      <c r="O4460" s="23"/>
      <c r="P4460" s="15" t="str">
        <f t="shared" si="6"/>
        <v/>
      </c>
      <c r="Q4460" s="24"/>
      <c r="R4460" s="25"/>
      <c r="S4460" s="25"/>
      <c r="T4460" s="26"/>
      <c r="U4460" s="26"/>
      <c r="V4460" s="25"/>
      <c r="W4460" s="25"/>
      <c r="X4460" s="25"/>
      <c r="Y4460" s="25"/>
      <c r="Z4460" s="25"/>
    </row>
    <row r="4461" spans="1:26" ht="15.75" customHeight="1" x14ac:dyDescent="0.25">
      <c r="A4461" s="25"/>
      <c r="B4461" s="49"/>
      <c r="C4461" s="50"/>
      <c r="D4461" s="23"/>
      <c r="E4461" s="23"/>
      <c r="F4461" s="15"/>
      <c r="G4461" s="23"/>
      <c r="H4461" s="15"/>
      <c r="I4461" s="15"/>
      <c r="J4461" s="51"/>
      <c r="K4461" s="15"/>
      <c r="L4461" s="51"/>
      <c r="M4461" s="15"/>
      <c r="N4461" s="23"/>
      <c r="O4461" s="23"/>
      <c r="P4461" s="15" t="str">
        <f t="shared" si="6"/>
        <v/>
      </c>
      <c r="Q4461" s="24"/>
      <c r="R4461" s="25"/>
      <c r="S4461" s="25"/>
      <c r="T4461" s="26"/>
      <c r="U4461" s="26"/>
      <c r="V4461" s="25"/>
      <c r="W4461" s="25"/>
      <c r="X4461" s="25"/>
      <c r="Y4461" s="25"/>
      <c r="Z4461" s="25"/>
    </row>
    <row r="4462" spans="1:26" ht="15.75" customHeight="1" x14ac:dyDescent="0.25">
      <c r="A4462" s="25"/>
      <c r="B4462" s="49"/>
      <c r="C4462" s="50"/>
      <c r="D4462" s="23"/>
      <c r="E4462" s="23"/>
      <c r="F4462" s="15"/>
      <c r="G4462" s="23"/>
      <c r="H4462" s="15"/>
      <c r="I4462" s="15"/>
      <c r="J4462" s="51"/>
      <c r="K4462" s="15"/>
      <c r="L4462" s="51"/>
      <c r="M4462" s="15"/>
      <c r="N4462" s="23"/>
      <c r="O4462" s="23"/>
      <c r="P4462" s="15" t="str">
        <f t="shared" si="6"/>
        <v/>
      </c>
      <c r="Q4462" s="24"/>
      <c r="R4462" s="25"/>
      <c r="S4462" s="25"/>
      <c r="T4462" s="26"/>
      <c r="U4462" s="26"/>
      <c r="V4462" s="25"/>
      <c r="W4462" s="25"/>
      <c r="X4462" s="25"/>
      <c r="Y4462" s="25"/>
      <c r="Z4462" s="25"/>
    </row>
    <row r="4463" spans="1:26" ht="15.75" customHeight="1" x14ac:dyDescent="0.25">
      <c r="A4463" s="25"/>
      <c r="B4463" s="49"/>
      <c r="C4463" s="50"/>
      <c r="D4463" s="23"/>
      <c r="E4463" s="23"/>
      <c r="F4463" s="15"/>
      <c r="G4463" s="23"/>
      <c r="H4463" s="15"/>
      <c r="I4463" s="15"/>
      <c r="J4463" s="51"/>
      <c r="K4463" s="15"/>
      <c r="L4463" s="51"/>
      <c r="M4463" s="15"/>
      <c r="N4463" s="23"/>
      <c r="O4463" s="23"/>
      <c r="P4463" s="15" t="str">
        <f t="shared" si="6"/>
        <v/>
      </c>
      <c r="Q4463" s="24"/>
      <c r="R4463" s="25"/>
      <c r="S4463" s="25"/>
      <c r="T4463" s="26"/>
      <c r="U4463" s="26"/>
      <c r="V4463" s="25"/>
      <c r="W4463" s="25"/>
      <c r="X4463" s="25"/>
      <c r="Y4463" s="25"/>
      <c r="Z4463" s="25"/>
    </row>
    <row r="4464" spans="1:26" ht="15.75" customHeight="1" x14ac:dyDescent="0.25">
      <c r="A4464" s="25"/>
      <c r="B4464" s="49"/>
      <c r="C4464" s="50"/>
      <c r="D4464" s="23"/>
      <c r="E4464" s="23"/>
      <c r="F4464" s="15"/>
      <c r="G4464" s="23"/>
      <c r="H4464" s="15"/>
      <c r="I4464" s="15"/>
      <c r="J4464" s="51"/>
      <c r="K4464" s="15"/>
      <c r="L4464" s="51"/>
      <c r="M4464" s="15"/>
      <c r="N4464" s="23"/>
      <c r="O4464" s="23"/>
      <c r="P4464" s="15" t="str">
        <f t="shared" si="6"/>
        <v/>
      </c>
      <c r="Q4464" s="24"/>
      <c r="R4464" s="25"/>
      <c r="S4464" s="25"/>
      <c r="T4464" s="26"/>
      <c r="U4464" s="26"/>
      <c r="V4464" s="25"/>
      <c r="W4464" s="25"/>
      <c r="X4464" s="25"/>
      <c r="Y4464" s="25"/>
      <c r="Z4464" s="25"/>
    </row>
    <row r="4465" spans="1:26" ht="15.75" customHeight="1" x14ac:dyDescent="0.25">
      <c r="A4465" s="25"/>
      <c r="B4465" s="49"/>
      <c r="C4465" s="50"/>
      <c r="D4465" s="23"/>
      <c r="E4465" s="23"/>
      <c r="F4465" s="15"/>
      <c r="G4465" s="23"/>
      <c r="H4465" s="15"/>
      <c r="I4465" s="15"/>
      <c r="J4465" s="51"/>
      <c r="K4465" s="15"/>
      <c r="L4465" s="51"/>
      <c r="M4465" s="15"/>
      <c r="N4465" s="23"/>
      <c r="O4465" s="23"/>
      <c r="P4465" s="15" t="str">
        <f t="shared" si="6"/>
        <v/>
      </c>
      <c r="Q4465" s="24"/>
      <c r="R4465" s="25"/>
      <c r="S4465" s="25"/>
      <c r="T4465" s="26"/>
      <c r="U4465" s="26"/>
      <c r="V4465" s="25"/>
      <c r="W4465" s="25"/>
      <c r="X4465" s="25"/>
      <c r="Y4465" s="25"/>
      <c r="Z4465" s="25"/>
    </row>
    <row r="4466" spans="1:26" ht="15.75" customHeight="1" x14ac:dyDescent="0.25">
      <c r="A4466" s="25"/>
      <c r="B4466" s="49"/>
      <c r="C4466" s="50"/>
      <c r="D4466" s="23"/>
      <c r="E4466" s="23"/>
      <c r="F4466" s="15"/>
      <c r="G4466" s="23"/>
      <c r="H4466" s="15"/>
      <c r="I4466" s="15"/>
      <c r="J4466" s="51"/>
      <c r="K4466" s="15"/>
      <c r="L4466" s="51"/>
      <c r="M4466" s="15"/>
      <c r="N4466" s="23"/>
      <c r="O4466" s="23"/>
      <c r="P4466" s="15" t="str">
        <f t="shared" si="6"/>
        <v/>
      </c>
      <c r="Q4466" s="24"/>
      <c r="R4466" s="25"/>
      <c r="S4466" s="25"/>
      <c r="T4466" s="26"/>
      <c r="U4466" s="26"/>
      <c r="V4466" s="25"/>
      <c r="W4466" s="25"/>
      <c r="X4466" s="25"/>
      <c r="Y4466" s="25"/>
      <c r="Z4466" s="25"/>
    </row>
    <row r="4467" spans="1:26" ht="15.75" customHeight="1" x14ac:dyDescent="0.25">
      <c r="A4467" s="25"/>
      <c r="B4467" s="49"/>
      <c r="C4467" s="50"/>
      <c r="D4467" s="23"/>
      <c r="E4467" s="23"/>
      <c r="F4467" s="15"/>
      <c r="G4467" s="23"/>
      <c r="H4467" s="15"/>
      <c r="I4467" s="15"/>
      <c r="J4467" s="51"/>
      <c r="K4467" s="15"/>
      <c r="L4467" s="51"/>
      <c r="M4467" s="15"/>
      <c r="N4467" s="23"/>
      <c r="O4467" s="23"/>
      <c r="P4467" s="15" t="str">
        <f t="shared" si="6"/>
        <v/>
      </c>
      <c r="Q4467" s="24"/>
      <c r="R4467" s="25"/>
      <c r="S4467" s="25"/>
      <c r="T4467" s="26"/>
      <c r="U4467" s="26"/>
      <c r="V4467" s="25"/>
      <c r="W4467" s="25"/>
      <c r="X4467" s="25"/>
      <c r="Y4467" s="25"/>
      <c r="Z4467" s="25"/>
    </row>
    <row r="4468" spans="1:26" ht="15.75" customHeight="1" x14ac:dyDescent="0.25">
      <c r="A4468" s="25"/>
      <c r="B4468" s="49"/>
      <c r="C4468" s="50"/>
      <c r="D4468" s="23"/>
      <c r="E4468" s="23"/>
      <c r="F4468" s="15"/>
      <c r="G4468" s="23"/>
      <c r="H4468" s="15"/>
      <c r="I4468" s="15"/>
      <c r="J4468" s="51"/>
      <c r="K4468" s="15"/>
      <c r="L4468" s="51"/>
      <c r="M4468" s="15"/>
      <c r="N4468" s="23"/>
      <c r="O4468" s="23"/>
      <c r="P4468" s="15" t="str">
        <f t="shared" si="6"/>
        <v/>
      </c>
      <c r="Q4468" s="24"/>
      <c r="R4468" s="25"/>
      <c r="S4468" s="25"/>
      <c r="T4468" s="26"/>
      <c r="U4468" s="26"/>
      <c r="V4468" s="25"/>
      <c r="W4468" s="25"/>
      <c r="X4468" s="25"/>
      <c r="Y4468" s="25"/>
      <c r="Z4468" s="25"/>
    </row>
    <row r="4469" spans="1:26" ht="15.75" customHeight="1" x14ac:dyDescent="0.25">
      <c r="A4469" s="25"/>
      <c r="B4469" s="49"/>
      <c r="C4469" s="50"/>
      <c r="D4469" s="23"/>
      <c r="E4469" s="23"/>
      <c r="F4469" s="15"/>
      <c r="G4469" s="23"/>
      <c r="H4469" s="15"/>
      <c r="I4469" s="15"/>
      <c r="J4469" s="51"/>
      <c r="K4469" s="15"/>
      <c r="L4469" s="51"/>
      <c r="M4469" s="15"/>
      <c r="N4469" s="23"/>
      <c r="O4469" s="23"/>
      <c r="P4469" s="15" t="str">
        <f t="shared" si="6"/>
        <v/>
      </c>
      <c r="Q4469" s="24"/>
      <c r="R4469" s="25"/>
      <c r="S4469" s="25"/>
      <c r="T4469" s="26"/>
      <c r="U4469" s="26"/>
      <c r="V4469" s="25"/>
      <c r="W4469" s="25"/>
      <c r="X4469" s="25"/>
      <c r="Y4469" s="25"/>
      <c r="Z4469" s="25"/>
    </row>
    <row r="4470" spans="1:26" ht="15.75" customHeight="1" x14ac:dyDescent="0.25">
      <c r="A4470" s="25"/>
      <c r="B4470" s="49"/>
      <c r="C4470" s="50"/>
      <c r="D4470" s="23"/>
      <c r="E4470" s="23"/>
      <c r="F4470" s="15"/>
      <c r="G4470" s="23"/>
      <c r="H4470" s="15"/>
      <c r="I4470" s="15"/>
      <c r="J4470" s="51"/>
      <c r="K4470" s="15"/>
      <c r="L4470" s="51"/>
      <c r="M4470" s="15"/>
      <c r="N4470" s="23"/>
      <c r="O4470" s="23"/>
      <c r="P4470" s="15" t="str">
        <f t="shared" si="6"/>
        <v/>
      </c>
      <c r="Q4470" s="24"/>
      <c r="R4470" s="25"/>
      <c r="S4470" s="25"/>
      <c r="T4470" s="26"/>
      <c r="U4470" s="26"/>
      <c r="V4470" s="25"/>
      <c r="W4470" s="25"/>
      <c r="X4470" s="25"/>
      <c r="Y4470" s="25"/>
      <c r="Z4470" s="25"/>
    </row>
    <row r="4471" spans="1:26" ht="15.75" customHeight="1" x14ac:dyDescent="0.25">
      <c r="A4471" s="25"/>
      <c r="B4471" s="49"/>
      <c r="C4471" s="50"/>
      <c r="D4471" s="23"/>
      <c r="E4471" s="23"/>
      <c r="F4471" s="15"/>
      <c r="G4471" s="23"/>
      <c r="H4471" s="15"/>
      <c r="I4471" s="15"/>
      <c r="J4471" s="51"/>
      <c r="K4471" s="15"/>
      <c r="L4471" s="51"/>
      <c r="M4471" s="15"/>
      <c r="N4471" s="23"/>
      <c r="O4471" s="23"/>
      <c r="P4471" s="15" t="str">
        <f t="shared" si="6"/>
        <v/>
      </c>
      <c r="Q4471" s="24"/>
      <c r="R4471" s="25"/>
      <c r="S4471" s="25"/>
      <c r="T4471" s="26"/>
      <c r="U4471" s="26"/>
      <c r="V4471" s="25"/>
      <c r="W4471" s="25"/>
      <c r="X4471" s="25"/>
      <c r="Y4471" s="25"/>
      <c r="Z4471" s="25"/>
    </row>
    <row r="4472" spans="1:26" ht="15.75" customHeight="1" x14ac:dyDescent="0.25">
      <c r="A4472" s="25"/>
      <c r="B4472" s="49"/>
      <c r="C4472" s="50"/>
      <c r="D4472" s="23"/>
      <c r="E4472" s="23"/>
      <c r="F4472" s="15"/>
      <c r="G4472" s="23"/>
      <c r="H4472" s="15"/>
      <c r="I4472" s="15"/>
      <c r="J4472" s="51"/>
      <c r="K4472" s="15"/>
      <c r="L4472" s="51"/>
      <c r="M4472" s="15"/>
      <c r="N4472" s="23"/>
      <c r="O4472" s="23"/>
      <c r="P4472" s="15" t="str">
        <f t="shared" si="6"/>
        <v/>
      </c>
      <c r="Q4472" s="24"/>
      <c r="R4472" s="25"/>
      <c r="S4472" s="25"/>
      <c r="T4472" s="26"/>
      <c r="U4472" s="26"/>
      <c r="V4472" s="25"/>
      <c r="W4472" s="25"/>
      <c r="X4472" s="25"/>
      <c r="Y4472" s="25"/>
      <c r="Z4472" s="25"/>
    </row>
    <row r="4473" spans="1:26" ht="15.75" customHeight="1" x14ac:dyDescent="0.25">
      <c r="A4473" s="25"/>
      <c r="B4473" s="49"/>
      <c r="C4473" s="50"/>
      <c r="D4473" s="23"/>
      <c r="E4473" s="23"/>
      <c r="F4473" s="15"/>
      <c r="G4473" s="23"/>
      <c r="H4473" s="15"/>
      <c r="I4473" s="15"/>
      <c r="J4473" s="51"/>
      <c r="K4473" s="15"/>
      <c r="L4473" s="51"/>
      <c r="M4473" s="15"/>
      <c r="N4473" s="23"/>
      <c r="O4473" s="23"/>
      <c r="P4473" s="15" t="str">
        <f t="shared" si="6"/>
        <v/>
      </c>
      <c r="Q4473" s="24"/>
      <c r="R4473" s="25"/>
      <c r="S4473" s="25"/>
      <c r="T4473" s="26"/>
      <c r="U4473" s="26"/>
      <c r="V4473" s="25"/>
      <c r="W4473" s="25"/>
      <c r="X4473" s="25"/>
      <c r="Y4473" s="25"/>
      <c r="Z4473" s="25"/>
    </row>
    <row r="4474" spans="1:26" ht="15.75" customHeight="1" x14ac:dyDescent="0.25">
      <c r="A4474" s="25"/>
      <c r="B4474" s="49"/>
      <c r="C4474" s="50"/>
      <c r="D4474" s="23"/>
      <c r="E4474" s="23"/>
      <c r="F4474" s="15"/>
      <c r="G4474" s="23"/>
      <c r="H4474" s="15"/>
      <c r="I4474" s="15"/>
      <c r="J4474" s="51"/>
      <c r="K4474" s="15"/>
      <c r="L4474" s="51"/>
      <c r="M4474" s="15"/>
      <c r="N4474" s="23"/>
      <c r="O4474" s="23"/>
      <c r="P4474" s="15" t="str">
        <f t="shared" si="6"/>
        <v/>
      </c>
      <c r="Q4474" s="24"/>
      <c r="R4474" s="25"/>
      <c r="S4474" s="25"/>
      <c r="T4474" s="26"/>
      <c r="U4474" s="26"/>
      <c r="V4474" s="25"/>
      <c r="W4474" s="25"/>
      <c r="X4474" s="25"/>
      <c r="Y4474" s="25"/>
      <c r="Z4474" s="25"/>
    </row>
    <row r="4475" spans="1:26" ht="15.75" customHeight="1" x14ac:dyDescent="0.25">
      <c r="A4475" s="25"/>
      <c r="B4475" s="49"/>
      <c r="C4475" s="50"/>
      <c r="D4475" s="23"/>
      <c r="E4475" s="23"/>
      <c r="F4475" s="15"/>
      <c r="G4475" s="23"/>
      <c r="H4475" s="15"/>
      <c r="I4475" s="15"/>
      <c r="J4475" s="51"/>
      <c r="K4475" s="15"/>
      <c r="L4475" s="51"/>
      <c r="M4475" s="15"/>
      <c r="N4475" s="23"/>
      <c r="O4475" s="23"/>
      <c r="P4475" s="15" t="str">
        <f t="shared" si="6"/>
        <v/>
      </c>
      <c r="Q4475" s="24"/>
      <c r="R4475" s="25"/>
      <c r="S4475" s="25"/>
      <c r="T4475" s="26"/>
      <c r="U4475" s="26"/>
      <c r="V4475" s="25"/>
      <c r="W4475" s="25"/>
      <c r="X4475" s="25"/>
      <c r="Y4475" s="25"/>
      <c r="Z4475" s="25"/>
    </row>
    <row r="4476" spans="1:26" ht="15.75" customHeight="1" x14ac:dyDescent="0.25">
      <c r="A4476" s="25"/>
      <c r="B4476" s="49"/>
      <c r="C4476" s="50"/>
      <c r="D4476" s="23"/>
      <c r="E4476" s="23"/>
      <c r="F4476" s="15"/>
      <c r="G4476" s="23"/>
      <c r="H4476" s="15"/>
      <c r="I4476" s="15"/>
      <c r="J4476" s="51"/>
      <c r="K4476" s="15"/>
      <c r="L4476" s="51"/>
      <c r="M4476" s="15"/>
      <c r="N4476" s="23"/>
      <c r="O4476" s="23"/>
      <c r="P4476" s="15" t="str">
        <f t="shared" si="6"/>
        <v/>
      </c>
      <c r="Q4476" s="24"/>
      <c r="R4476" s="25"/>
      <c r="S4476" s="25"/>
      <c r="T4476" s="26"/>
      <c r="U4476" s="26"/>
      <c r="V4476" s="25"/>
      <c r="W4476" s="25"/>
      <c r="X4476" s="25"/>
      <c r="Y4476" s="25"/>
      <c r="Z4476" s="25"/>
    </row>
    <row r="4477" spans="1:26" ht="15.75" customHeight="1" x14ac:dyDescent="0.25">
      <c r="A4477" s="25"/>
      <c r="B4477" s="49"/>
      <c r="C4477" s="50"/>
      <c r="D4477" s="23"/>
      <c r="E4477" s="23"/>
      <c r="F4477" s="15"/>
      <c r="G4477" s="23"/>
      <c r="H4477" s="15"/>
      <c r="I4477" s="15"/>
      <c r="J4477" s="51"/>
      <c r="K4477" s="15"/>
      <c r="L4477" s="51"/>
      <c r="M4477" s="15"/>
      <c r="N4477" s="23"/>
      <c r="O4477" s="23"/>
      <c r="P4477" s="15" t="str">
        <f t="shared" si="6"/>
        <v/>
      </c>
      <c r="Q4477" s="24"/>
      <c r="R4477" s="25"/>
      <c r="S4477" s="25"/>
      <c r="T4477" s="26"/>
      <c r="U4477" s="26"/>
      <c r="V4477" s="25"/>
      <c r="W4477" s="25"/>
      <c r="X4477" s="25"/>
      <c r="Y4477" s="25"/>
      <c r="Z4477" s="25"/>
    </row>
    <row r="4478" spans="1:26" ht="15.75" customHeight="1" x14ac:dyDescent="0.25">
      <c r="A4478" s="25"/>
      <c r="B4478" s="49"/>
      <c r="C4478" s="50"/>
      <c r="D4478" s="23"/>
      <c r="E4478" s="23"/>
      <c r="F4478" s="15"/>
      <c r="G4478" s="23"/>
      <c r="H4478" s="15"/>
      <c r="I4478" s="15"/>
      <c r="J4478" s="51"/>
      <c r="K4478" s="15"/>
      <c r="L4478" s="51"/>
      <c r="M4478" s="15"/>
      <c r="N4478" s="23"/>
      <c r="O4478" s="23"/>
      <c r="P4478" s="15" t="str">
        <f t="shared" si="6"/>
        <v/>
      </c>
      <c r="Q4478" s="24"/>
      <c r="R4478" s="25"/>
      <c r="S4478" s="25"/>
      <c r="T4478" s="26"/>
      <c r="U4478" s="26"/>
      <c r="V4478" s="25"/>
      <c r="W4478" s="25"/>
      <c r="X4478" s="25"/>
      <c r="Y4478" s="25"/>
      <c r="Z4478" s="25"/>
    </row>
    <row r="4479" spans="1:26" ht="15.75" customHeight="1" x14ac:dyDescent="0.25">
      <c r="A4479" s="25"/>
      <c r="B4479" s="49"/>
      <c r="C4479" s="50"/>
      <c r="D4479" s="23"/>
      <c r="E4479" s="23"/>
      <c r="F4479" s="15"/>
      <c r="G4479" s="23"/>
      <c r="H4479" s="15"/>
      <c r="I4479" s="15"/>
      <c r="J4479" s="51"/>
      <c r="K4479" s="15"/>
      <c r="L4479" s="51"/>
      <c r="M4479" s="15"/>
      <c r="N4479" s="23"/>
      <c r="O4479" s="23"/>
      <c r="P4479" s="15" t="str">
        <f t="shared" si="6"/>
        <v/>
      </c>
      <c r="Q4479" s="24"/>
      <c r="R4479" s="25"/>
      <c r="S4479" s="25"/>
      <c r="T4479" s="26"/>
      <c r="U4479" s="26"/>
      <c r="V4479" s="25"/>
      <c r="W4479" s="25"/>
      <c r="X4479" s="25"/>
      <c r="Y4479" s="25"/>
      <c r="Z4479" s="25"/>
    </row>
    <row r="4480" spans="1:26" ht="15.75" customHeight="1" x14ac:dyDescent="0.25">
      <c r="A4480" s="25"/>
      <c r="B4480" s="49"/>
      <c r="C4480" s="50"/>
      <c r="D4480" s="23"/>
      <c r="E4480" s="23"/>
      <c r="F4480" s="15"/>
      <c r="G4480" s="23"/>
      <c r="H4480" s="15"/>
      <c r="I4480" s="15"/>
      <c r="J4480" s="51"/>
      <c r="K4480" s="15"/>
      <c r="L4480" s="51"/>
      <c r="M4480" s="15"/>
      <c r="N4480" s="23"/>
      <c r="O4480" s="23"/>
      <c r="P4480" s="15" t="str">
        <f t="shared" si="6"/>
        <v/>
      </c>
      <c r="Q4480" s="24"/>
      <c r="R4480" s="25"/>
      <c r="S4480" s="25"/>
      <c r="T4480" s="26"/>
      <c r="U4480" s="26"/>
      <c r="V4480" s="25"/>
      <c r="W4480" s="25"/>
      <c r="X4480" s="25"/>
      <c r="Y4480" s="25"/>
      <c r="Z4480" s="25"/>
    </row>
    <row r="4481" spans="1:26" ht="15.75" customHeight="1" x14ac:dyDescent="0.25">
      <c r="A4481" s="25"/>
      <c r="B4481" s="49"/>
      <c r="C4481" s="50"/>
      <c r="D4481" s="23"/>
      <c r="E4481" s="23"/>
      <c r="F4481" s="15"/>
      <c r="G4481" s="23"/>
      <c r="H4481" s="15"/>
      <c r="I4481" s="15"/>
      <c r="J4481" s="51"/>
      <c r="K4481" s="15"/>
      <c r="L4481" s="51"/>
      <c r="M4481" s="15"/>
      <c r="N4481" s="23"/>
      <c r="O4481" s="23"/>
      <c r="P4481" s="15" t="str">
        <f t="shared" si="6"/>
        <v/>
      </c>
      <c r="Q4481" s="24"/>
      <c r="R4481" s="25"/>
      <c r="S4481" s="25"/>
      <c r="T4481" s="26"/>
      <c r="U4481" s="26"/>
      <c r="V4481" s="25"/>
      <c r="W4481" s="25"/>
      <c r="X4481" s="25"/>
      <c r="Y4481" s="25"/>
      <c r="Z4481" s="25"/>
    </row>
    <row r="4482" spans="1:26" ht="15.75" customHeight="1" x14ac:dyDescent="0.25">
      <c r="A4482" s="25"/>
      <c r="B4482" s="49"/>
      <c r="C4482" s="50"/>
      <c r="D4482" s="23"/>
      <c r="E4482" s="23"/>
      <c r="F4482" s="15"/>
      <c r="G4482" s="23"/>
      <c r="H4482" s="15"/>
      <c r="I4482" s="15"/>
      <c r="J4482" s="51"/>
      <c r="K4482" s="15"/>
      <c r="L4482" s="51"/>
      <c r="M4482" s="15"/>
      <c r="N4482" s="23"/>
      <c r="O4482" s="23"/>
      <c r="P4482" s="15" t="str">
        <f t="shared" si="6"/>
        <v/>
      </c>
      <c r="Q4482" s="24"/>
      <c r="R4482" s="25"/>
      <c r="S4482" s="25"/>
      <c r="T4482" s="26"/>
      <c r="U4482" s="26"/>
      <c r="V4482" s="25"/>
      <c r="W4482" s="25"/>
      <c r="X4482" s="25"/>
      <c r="Y4482" s="25"/>
      <c r="Z4482" s="25"/>
    </row>
    <row r="4483" spans="1:26" ht="15.75" customHeight="1" x14ac:dyDescent="0.25">
      <c r="A4483" s="25"/>
      <c r="B4483" s="49"/>
      <c r="C4483" s="50"/>
      <c r="D4483" s="23"/>
      <c r="E4483" s="23"/>
      <c r="F4483" s="15"/>
      <c r="G4483" s="23"/>
      <c r="H4483" s="15"/>
      <c r="I4483" s="15"/>
      <c r="J4483" s="51"/>
      <c r="K4483" s="15"/>
      <c r="L4483" s="51"/>
      <c r="M4483" s="15"/>
      <c r="N4483" s="23"/>
      <c r="O4483" s="23"/>
      <c r="P4483" s="15" t="str">
        <f t="shared" si="6"/>
        <v/>
      </c>
      <c r="Q4483" s="24"/>
      <c r="R4483" s="25"/>
      <c r="S4483" s="25"/>
      <c r="T4483" s="26"/>
      <c r="U4483" s="26"/>
      <c r="V4483" s="25"/>
      <c r="W4483" s="25"/>
      <c r="X4483" s="25"/>
      <c r="Y4483" s="25"/>
      <c r="Z4483" s="25"/>
    </row>
    <row r="4484" spans="1:26" ht="15.75" customHeight="1" x14ac:dyDescent="0.25">
      <c r="A4484" s="25"/>
      <c r="B4484" s="49"/>
      <c r="C4484" s="50"/>
      <c r="D4484" s="23"/>
      <c r="E4484" s="23"/>
      <c r="F4484" s="15"/>
      <c r="G4484" s="23"/>
      <c r="H4484" s="15"/>
      <c r="I4484" s="15"/>
      <c r="J4484" s="51"/>
      <c r="K4484" s="15"/>
      <c r="L4484" s="51"/>
      <c r="M4484" s="15"/>
      <c r="N4484" s="23"/>
      <c r="O4484" s="23"/>
      <c r="P4484" s="15" t="str">
        <f t="shared" si="6"/>
        <v/>
      </c>
      <c r="Q4484" s="24"/>
      <c r="R4484" s="25"/>
      <c r="S4484" s="25"/>
      <c r="T4484" s="26"/>
      <c r="U4484" s="26"/>
      <c r="V4484" s="25"/>
      <c r="W4484" s="25"/>
      <c r="X4484" s="25"/>
      <c r="Y4484" s="25"/>
      <c r="Z4484" s="25"/>
    </row>
    <row r="4485" spans="1:26" ht="15.75" customHeight="1" x14ac:dyDescent="0.25">
      <c r="A4485" s="25"/>
      <c r="B4485" s="49"/>
      <c r="C4485" s="50"/>
      <c r="D4485" s="23"/>
      <c r="E4485" s="23"/>
      <c r="F4485" s="15"/>
      <c r="G4485" s="23"/>
      <c r="H4485" s="15"/>
      <c r="I4485" s="15"/>
      <c r="J4485" s="51"/>
      <c r="K4485" s="15"/>
      <c r="L4485" s="51"/>
      <c r="M4485" s="15"/>
      <c r="N4485" s="23"/>
      <c r="O4485" s="23"/>
      <c r="P4485" s="15" t="str">
        <f t="shared" si="6"/>
        <v/>
      </c>
      <c r="Q4485" s="24"/>
      <c r="R4485" s="25"/>
      <c r="S4485" s="25"/>
      <c r="T4485" s="26"/>
      <c r="U4485" s="26"/>
      <c r="V4485" s="25"/>
      <c r="W4485" s="25"/>
      <c r="X4485" s="25"/>
      <c r="Y4485" s="25"/>
      <c r="Z4485" s="25"/>
    </row>
    <row r="4486" spans="1:26" ht="15.75" customHeight="1" x14ac:dyDescent="0.25">
      <c r="A4486" s="25"/>
      <c r="B4486" s="49"/>
      <c r="C4486" s="50"/>
      <c r="D4486" s="23"/>
      <c r="E4486" s="23"/>
      <c r="F4486" s="15"/>
      <c r="G4486" s="23"/>
      <c r="H4486" s="15"/>
      <c r="I4486" s="15"/>
      <c r="J4486" s="51"/>
      <c r="K4486" s="15"/>
      <c r="L4486" s="51"/>
      <c r="M4486" s="15"/>
      <c r="N4486" s="23"/>
      <c r="O4486" s="23"/>
      <c r="P4486" s="15" t="str">
        <f t="shared" si="6"/>
        <v/>
      </c>
      <c r="Q4486" s="24"/>
      <c r="R4486" s="25"/>
      <c r="S4486" s="25"/>
      <c r="T4486" s="26"/>
      <c r="U4486" s="26"/>
      <c r="V4486" s="25"/>
      <c r="W4486" s="25"/>
      <c r="X4486" s="25"/>
      <c r="Y4486" s="25"/>
      <c r="Z4486" s="25"/>
    </row>
    <row r="4487" spans="1:26" ht="15.75" customHeight="1" x14ac:dyDescent="0.25">
      <c r="A4487" s="25"/>
      <c r="B4487" s="49"/>
      <c r="C4487" s="50"/>
      <c r="D4487" s="23"/>
      <c r="E4487" s="23"/>
      <c r="F4487" s="15"/>
      <c r="G4487" s="23"/>
      <c r="H4487" s="15"/>
      <c r="I4487" s="15"/>
      <c r="J4487" s="51"/>
      <c r="K4487" s="15"/>
      <c r="L4487" s="51"/>
      <c r="M4487" s="15"/>
      <c r="N4487" s="23"/>
      <c r="O4487" s="23"/>
      <c r="P4487" s="15" t="str">
        <f t="shared" si="6"/>
        <v/>
      </c>
      <c r="Q4487" s="24"/>
      <c r="R4487" s="25"/>
      <c r="S4487" s="25"/>
      <c r="T4487" s="26"/>
      <c r="U4487" s="26"/>
      <c r="V4487" s="25"/>
      <c r="W4487" s="25"/>
      <c r="X4487" s="25"/>
      <c r="Y4487" s="25"/>
      <c r="Z4487" s="25"/>
    </row>
    <row r="4488" spans="1:26" ht="15.75" customHeight="1" x14ac:dyDescent="0.25">
      <c r="A4488" s="25"/>
      <c r="B4488" s="49"/>
      <c r="C4488" s="50"/>
      <c r="D4488" s="23"/>
      <c r="E4488" s="23"/>
      <c r="F4488" s="15"/>
      <c r="G4488" s="23"/>
      <c r="H4488" s="15"/>
      <c r="I4488" s="15"/>
      <c r="J4488" s="51"/>
      <c r="K4488" s="15"/>
      <c r="L4488" s="51"/>
      <c r="M4488" s="15"/>
      <c r="N4488" s="23"/>
      <c r="O4488" s="23"/>
      <c r="P4488" s="15" t="str">
        <f t="shared" si="6"/>
        <v/>
      </c>
      <c r="Q4488" s="24"/>
      <c r="R4488" s="25"/>
      <c r="S4488" s="25"/>
      <c r="T4488" s="26"/>
      <c r="U4488" s="26"/>
      <c r="V4488" s="25"/>
      <c r="W4488" s="25"/>
      <c r="X4488" s="25"/>
      <c r="Y4488" s="25"/>
      <c r="Z4488" s="25"/>
    </row>
    <row r="4489" spans="1:26" ht="15.75" customHeight="1" x14ac:dyDescent="0.25">
      <c r="A4489" s="25"/>
      <c r="B4489" s="49"/>
      <c r="C4489" s="50"/>
      <c r="D4489" s="23"/>
      <c r="E4489" s="23"/>
      <c r="F4489" s="15"/>
      <c r="G4489" s="23"/>
      <c r="H4489" s="15"/>
      <c r="I4489" s="15"/>
      <c r="J4489" s="51"/>
      <c r="K4489" s="15"/>
      <c r="L4489" s="51"/>
      <c r="M4489" s="15"/>
      <c r="N4489" s="23"/>
      <c r="O4489" s="23"/>
      <c r="P4489" s="15" t="str">
        <f t="shared" si="6"/>
        <v/>
      </c>
      <c r="Q4489" s="24"/>
      <c r="R4489" s="25"/>
      <c r="S4489" s="25"/>
      <c r="T4489" s="26"/>
      <c r="U4489" s="26"/>
      <c r="V4489" s="25"/>
      <c r="W4489" s="25"/>
      <c r="X4489" s="25"/>
      <c r="Y4489" s="25"/>
      <c r="Z4489" s="25"/>
    </row>
    <row r="4490" spans="1:26" ht="15.75" customHeight="1" x14ac:dyDescent="0.25">
      <c r="A4490" s="25"/>
      <c r="B4490" s="49"/>
      <c r="C4490" s="50"/>
      <c r="D4490" s="23"/>
      <c r="E4490" s="23"/>
      <c r="F4490" s="15"/>
      <c r="G4490" s="23"/>
      <c r="H4490" s="15"/>
      <c r="I4490" s="15"/>
      <c r="J4490" s="51"/>
      <c r="K4490" s="15"/>
      <c r="L4490" s="51"/>
      <c r="M4490" s="15"/>
      <c r="N4490" s="23"/>
      <c r="O4490" s="23"/>
      <c r="P4490" s="15" t="str">
        <f t="shared" si="6"/>
        <v/>
      </c>
      <c r="Q4490" s="24"/>
      <c r="R4490" s="25"/>
      <c r="S4490" s="25"/>
      <c r="T4490" s="26"/>
      <c r="U4490" s="26"/>
      <c r="V4490" s="25"/>
      <c r="W4490" s="25"/>
      <c r="X4490" s="25"/>
      <c r="Y4490" s="25"/>
      <c r="Z4490" s="25"/>
    </row>
    <row r="4491" spans="1:26" ht="15.75" customHeight="1" x14ac:dyDescent="0.25">
      <c r="A4491" s="25"/>
      <c r="B4491" s="49"/>
      <c r="C4491" s="50"/>
      <c r="D4491" s="23"/>
      <c r="E4491" s="23"/>
      <c r="F4491" s="15"/>
      <c r="G4491" s="23"/>
      <c r="H4491" s="15"/>
      <c r="I4491" s="15"/>
      <c r="J4491" s="51"/>
      <c r="K4491" s="15"/>
      <c r="L4491" s="51"/>
      <c r="M4491" s="15"/>
      <c r="N4491" s="23"/>
      <c r="O4491" s="23"/>
      <c r="P4491" s="15" t="str">
        <f t="shared" si="6"/>
        <v/>
      </c>
      <c r="Q4491" s="24"/>
      <c r="R4491" s="25"/>
      <c r="S4491" s="25"/>
      <c r="T4491" s="26"/>
      <c r="U4491" s="26"/>
      <c r="V4491" s="25"/>
      <c r="W4491" s="25"/>
      <c r="X4491" s="25"/>
      <c r="Y4491" s="25"/>
      <c r="Z4491" s="25"/>
    </row>
    <row r="4492" spans="1:26" ht="15.75" customHeight="1" x14ac:dyDescent="0.25">
      <c r="A4492" s="25"/>
      <c r="B4492" s="49"/>
      <c r="C4492" s="50"/>
      <c r="D4492" s="23"/>
      <c r="E4492" s="23"/>
      <c r="F4492" s="15"/>
      <c r="G4492" s="23"/>
      <c r="H4492" s="15"/>
      <c r="I4492" s="15"/>
      <c r="J4492" s="51"/>
      <c r="K4492" s="15"/>
      <c r="L4492" s="51"/>
      <c r="M4492" s="15"/>
      <c r="N4492" s="23"/>
      <c r="O4492" s="23"/>
      <c r="P4492" s="15" t="str">
        <f t="shared" si="6"/>
        <v/>
      </c>
      <c r="Q4492" s="24"/>
      <c r="R4492" s="25"/>
      <c r="S4492" s="25"/>
      <c r="T4492" s="26"/>
      <c r="U4492" s="26"/>
      <c r="V4492" s="25"/>
      <c r="W4492" s="25"/>
      <c r="X4492" s="25"/>
      <c r="Y4492" s="25"/>
      <c r="Z4492" s="25"/>
    </row>
    <row r="4493" spans="1:26" ht="15.75" customHeight="1" x14ac:dyDescent="0.25">
      <c r="A4493" s="25"/>
      <c r="B4493" s="49"/>
      <c r="C4493" s="50"/>
      <c r="D4493" s="23"/>
      <c r="E4493" s="23"/>
      <c r="F4493" s="15"/>
      <c r="G4493" s="23"/>
      <c r="H4493" s="15"/>
      <c r="I4493" s="15"/>
      <c r="J4493" s="51"/>
      <c r="K4493" s="15"/>
      <c r="L4493" s="51"/>
      <c r="M4493" s="15"/>
      <c r="N4493" s="23"/>
      <c r="O4493" s="23"/>
      <c r="P4493" s="15" t="str">
        <f t="shared" si="6"/>
        <v/>
      </c>
      <c r="Q4493" s="24"/>
      <c r="R4493" s="25"/>
      <c r="S4493" s="25"/>
      <c r="T4493" s="26"/>
      <c r="U4493" s="26"/>
      <c r="V4493" s="25"/>
      <c r="W4493" s="25"/>
      <c r="X4493" s="25"/>
      <c r="Y4493" s="25"/>
      <c r="Z4493" s="25"/>
    </row>
    <row r="4494" spans="1:26" ht="15.75" customHeight="1" x14ac:dyDescent="0.25">
      <c r="A4494" s="25"/>
      <c r="B4494" s="49"/>
      <c r="C4494" s="50"/>
      <c r="D4494" s="23"/>
      <c r="E4494" s="23"/>
      <c r="F4494" s="15"/>
      <c r="G4494" s="23"/>
      <c r="H4494" s="15"/>
      <c r="I4494" s="15"/>
      <c r="J4494" s="51"/>
      <c r="K4494" s="15"/>
      <c r="L4494" s="51"/>
      <c r="M4494" s="15"/>
      <c r="N4494" s="23"/>
      <c r="O4494" s="23"/>
      <c r="P4494" s="15" t="str">
        <f t="shared" si="6"/>
        <v/>
      </c>
      <c r="Q4494" s="24"/>
      <c r="R4494" s="25"/>
      <c r="S4494" s="25"/>
      <c r="T4494" s="26"/>
      <c r="U4494" s="26"/>
      <c r="V4494" s="25"/>
      <c r="W4494" s="25"/>
      <c r="X4494" s="25"/>
      <c r="Y4494" s="25"/>
      <c r="Z4494" s="25"/>
    </row>
    <row r="4495" spans="1:26" ht="15.75" customHeight="1" x14ac:dyDescent="0.25">
      <c r="A4495" s="25"/>
      <c r="B4495" s="49"/>
      <c r="C4495" s="50"/>
      <c r="D4495" s="23"/>
      <c r="E4495" s="23"/>
      <c r="F4495" s="15"/>
      <c r="G4495" s="23"/>
      <c r="H4495" s="15"/>
      <c r="I4495" s="15"/>
      <c r="J4495" s="51"/>
      <c r="K4495" s="15"/>
      <c r="L4495" s="51"/>
      <c r="M4495" s="15"/>
      <c r="N4495" s="23"/>
      <c r="O4495" s="23"/>
      <c r="P4495" s="15" t="str">
        <f t="shared" si="6"/>
        <v/>
      </c>
      <c r="Q4495" s="24"/>
      <c r="R4495" s="25"/>
      <c r="S4495" s="25"/>
      <c r="T4495" s="26"/>
      <c r="U4495" s="26"/>
      <c r="V4495" s="25"/>
      <c r="W4495" s="25"/>
      <c r="X4495" s="25"/>
      <c r="Y4495" s="25"/>
      <c r="Z4495" s="25"/>
    </row>
    <row r="4496" spans="1:26" ht="15.75" customHeight="1" x14ac:dyDescent="0.25">
      <c r="A4496" s="25"/>
      <c r="B4496" s="49"/>
      <c r="C4496" s="50"/>
      <c r="D4496" s="23"/>
      <c r="E4496" s="23"/>
      <c r="F4496" s="15"/>
      <c r="G4496" s="23"/>
      <c r="H4496" s="15"/>
      <c r="I4496" s="15"/>
      <c r="J4496" s="51"/>
      <c r="K4496" s="15"/>
      <c r="L4496" s="51"/>
      <c r="M4496" s="15"/>
      <c r="N4496" s="23"/>
      <c r="O4496" s="23"/>
      <c r="P4496" s="15" t="str">
        <f t="shared" si="6"/>
        <v/>
      </c>
      <c r="Q4496" s="24"/>
      <c r="R4496" s="25"/>
      <c r="S4496" s="25"/>
      <c r="T4496" s="26"/>
      <c r="U4496" s="26"/>
      <c r="V4496" s="25"/>
      <c r="W4496" s="25"/>
      <c r="X4496" s="25"/>
      <c r="Y4496" s="25"/>
      <c r="Z4496" s="25"/>
    </row>
    <row r="4497" spans="1:26" ht="15.75" customHeight="1" x14ac:dyDescent="0.25">
      <c r="A4497" s="25"/>
      <c r="B4497" s="49"/>
      <c r="C4497" s="50"/>
      <c r="D4497" s="23"/>
      <c r="E4497" s="23"/>
      <c r="F4497" s="15"/>
      <c r="G4497" s="23"/>
      <c r="H4497" s="15"/>
      <c r="I4497" s="15"/>
      <c r="J4497" s="51"/>
      <c r="K4497" s="15"/>
      <c r="L4497" s="51"/>
      <c r="M4497" s="15"/>
      <c r="N4497" s="23"/>
      <c r="O4497" s="23"/>
      <c r="P4497" s="15" t="str">
        <f t="shared" si="6"/>
        <v/>
      </c>
      <c r="Q4497" s="24"/>
      <c r="R4497" s="25"/>
      <c r="S4497" s="25"/>
      <c r="T4497" s="26"/>
      <c r="U4497" s="26"/>
      <c r="V4497" s="25"/>
      <c r="W4497" s="25"/>
      <c r="X4497" s="25"/>
      <c r="Y4497" s="25"/>
      <c r="Z4497" s="25"/>
    </row>
    <row r="4498" spans="1:26" ht="15.75" customHeight="1" x14ac:dyDescent="0.25">
      <c r="A4498" s="25"/>
      <c r="B4498" s="49"/>
      <c r="C4498" s="50"/>
      <c r="D4498" s="23"/>
      <c r="E4498" s="23"/>
      <c r="F4498" s="15"/>
      <c r="G4498" s="23"/>
      <c r="H4498" s="15"/>
      <c r="I4498" s="15"/>
      <c r="J4498" s="51"/>
      <c r="K4498" s="15"/>
      <c r="L4498" s="51"/>
      <c r="M4498" s="15"/>
      <c r="N4498" s="23"/>
      <c r="O4498" s="23"/>
      <c r="P4498" s="15" t="str">
        <f t="shared" si="6"/>
        <v/>
      </c>
      <c r="Q4498" s="24"/>
      <c r="R4498" s="25"/>
      <c r="S4498" s="25"/>
      <c r="T4498" s="26"/>
      <c r="U4498" s="26"/>
      <c r="V4498" s="25"/>
      <c r="W4498" s="25"/>
      <c r="X4498" s="25"/>
      <c r="Y4498" s="25"/>
      <c r="Z4498" s="25"/>
    </row>
    <row r="4499" spans="1:26" ht="15.75" customHeight="1" x14ac:dyDescent="0.25">
      <c r="A4499" s="25"/>
      <c r="B4499" s="49"/>
      <c r="C4499" s="50"/>
      <c r="D4499" s="23"/>
      <c r="E4499" s="23"/>
      <c r="F4499" s="15"/>
      <c r="G4499" s="23"/>
      <c r="H4499" s="15"/>
      <c r="I4499" s="15"/>
      <c r="J4499" s="51"/>
      <c r="K4499" s="15"/>
      <c r="L4499" s="51"/>
      <c r="M4499" s="15"/>
      <c r="N4499" s="23"/>
      <c r="O4499" s="23"/>
      <c r="P4499" s="15" t="str">
        <f t="shared" si="6"/>
        <v/>
      </c>
      <c r="Q4499" s="24"/>
      <c r="R4499" s="25"/>
      <c r="S4499" s="25"/>
      <c r="T4499" s="26"/>
      <c r="U4499" s="26"/>
      <c r="V4499" s="25"/>
      <c r="W4499" s="25"/>
      <c r="X4499" s="25"/>
      <c r="Y4499" s="25"/>
      <c r="Z4499" s="25"/>
    </row>
    <row r="4500" spans="1:26" ht="15.75" customHeight="1" x14ac:dyDescent="0.25">
      <c r="A4500" s="25"/>
      <c r="B4500" s="49"/>
      <c r="C4500" s="50"/>
      <c r="D4500" s="23"/>
      <c r="E4500" s="23"/>
      <c r="F4500" s="15"/>
      <c r="G4500" s="23"/>
      <c r="H4500" s="15"/>
      <c r="I4500" s="15"/>
      <c r="J4500" s="51"/>
      <c r="K4500" s="15"/>
      <c r="L4500" s="51"/>
      <c r="M4500" s="15"/>
      <c r="N4500" s="23"/>
      <c r="O4500" s="23"/>
      <c r="P4500" s="15" t="str">
        <f t="shared" si="6"/>
        <v/>
      </c>
      <c r="Q4500" s="24"/>
      <c r="R4500" s="25"/>
      <c r="S4500" s="25"/>
      <c r="T4500" s="26"/>
      <c r="U4500" s="26"/>
      <c r="V4500" s="25"/>
      <c r="W4500" s="25"/>
      <c r="X4500" s="25"/>
      <c r="Y4500" s="25"/>
      <c r="Z4500" s="25"/>
    </row>
    <row r="4501" spans="1:26" ht="15.75" customHeight="1" x14ac:dyDescent="0.25">
      <c r="A4501" s="25"/>
      <c r="B4501" s="49"/>
      <c r="C4501" s="50"/>
      <c r="D4501" s="23"/>
      <c r="E4501" s="23"/>
      <c r="F4501" s="15"/>
      <c r="G4501" s="23"/>
      <c r="H4501" s="15"/>
      <c r="I4501" s="15"/>
      <c r="J4501" s="51"/>
      <c r="K4501" s="15"/>
      <c r="L4501" s="51"/>
      <c r="M4501" s="15"/>
      <c r="N4501" s="23"/>
      <c r="O4501" s="23"/>
      <c r="P4501" s="15" t="str">
        <f t="shared" si="6"/>
        <v/>
      </c>
      <c r="Q4501" s="24"/>
      <c r="R4501" s="25"/>
      <c r="S4501" s="25"/>
      <c r="T4501" s="26"/>
      <c r="U4501" s="26"/>
      <c r="V4501" s="25"/>
      <c r="W4501" s="25"/>
      <c r="X4501" s="25"/>
      <c r="Y4501" s="25"/>
      <c r="Z4501" s="25"/>
    </row>
    <row r="4502" spans="1:26" ht="15.75" customHeight="1" x14ac:dyDescent="0.25">
      <c r="A4502" s="25"/>
      <c r="B4502" s="49"/>
      <c r="C4502" s="50"/>
      <c r="D4502" s="23"/>
      <c r="E4502" s="23"/>
      <c r="F4502" s="15"/>
      <c r="G4502" s="23"/>
      <c r="H4502" s="15"/>
      <c r="I4502" s="15"/>
      <c r="J4502" s="51"/>
      <c r="K4502" s="15"/>
      <c r="L4502" s="51"/>
      <c r="M4502" s="15"/>
      <c r="N4502" s="23"/>
      <c r="O4502" s="23"/>
      <c r="P4502" s="15" t="str">
        <f t="shared" si="6"/>
        <v/>
      </c>
      <c r="Q4502" s="24"/>
      <c r="R4502" s="25"/>
      <c r="S4502" s="25"/>
      <c r="T4502" s="26"/>
      <c r="U4502" s="26"/>
      <c r="V4502" s="25"/>
      <c r="W4502" s="25"/>
      <c r="X4502" s="25"/>
      <c r="Y4502" s="25"/>
      <c r="Z4502" s="25"/>
    </row>
    <row r="4503" spans="1:26" ht="15.75" customHeight="1" x14ac:dyDescent="0.25">
      <c r="A4503" s="25"/>
      <c r="B4503" s="49"/>
      <c r="C4503" s="50"/>
      <c r="D4503" s="23"/>
      <c r="E4503" s="23"/>
      <c r="F4503" s="15"/>
      <c r="G4503" s="23"/>
      <c r="H4503" s="15"/>
      <c r="I4503" s="15"/>
      <c r="J4503" s="51"/>
      <c r="K4503" s="15"/>
      <c r="L4503" s="51"/>
      <c r="M4503" s="15"/>
      <c r="N4503" s="23"/>
      <c r="O4503" s="23"/>
      <c r="P4503" s="15" t="str">
        <f t="shared" si="6"/>
        <v/>
      </c>
      <c r="Q4503" s="24"/>
      <c r="R4503" s="25"/>
      <c r="S4503" s="25"/>
      <c r="T4503" s="26"/>
      <c r="U4503" s="26"/>
      <c r="V4503" s="25"/>
      <c r="W4503" s="25"/>
      <c r="X4503" s="25"/>
      <c r="Y4503" s="25"/>
      <c r="Z4503" s="25"/>
    </row>
    <row r="4504" spans="1:26" ht="15.75" customHeight="1" x14ac:dyDescent="0.25">
      <c r="A4504" s="25"/>
      <c r="B4504" s="49"/>
      <c r="C4504" s="50"/>
      <c r="D4504" s="23"/>
      <c r="E4504" s="23"/>
      <c r="F4504" s="15"/>
      <c r="G4504" s="23"/>
      <c r="H4504" s="15"/>
      <c r="I4504" s="15"/>
      <c r="J4504" s="51"/>
      <c r="K4504" s="15"/>
      <c r="L4504" s="51"/>
      <c r="M4504" s="15"/>
      <c r="N4504" s="23"/>
      <c r="O4504" s="23"/>
      <c r="P4504" s="15" t="str">
        <f t="shared" si="6"/>
        <v/>
      </c>
      <c r="Q4504" s="24"/>
      <c r="R4504" s="25"/>
      <c r="S4504" s="25"/>
      <c r="T4504" s="26"/>
      <c r="U4504" s="26"/>
      <c r="V4504" s="25"/>
      <c r="W4504" s="25"/>
      <c r="X4504" s="25"/>
      <c r="Y4504" s="25"/>
      <c r="Z4504" s="25"/>
    </row>
    <row r="4505" spans="1:26" ht="15.75" customHeight="1" x14ac:dyDescent="0.25">
      <c r="A4505" s="25"/>
      <c r="B4505" s="49"/>
      <c r="C4505" s="50"/>
      <c r="D4505" s="23"/>
      <c r="E4505" s="23"/>
      <c r="F4505" s="15"/>
      <c r="G4505" s="23"/>
      <c r="H4505" s="15"/>
      <c r="I4505" s="15"/>
      <c r="J4505" s="51"/>
      <c r="K4505" s="15"/>
      <c r="L4505" s="51"/>
      <c r="M4505" s="15"/>
      <c r="N4505" s="23"/>
      <c r="O4505" s="23"/>
      <c r="P4505" s="15" t="str">
        <f t="shared" si="6"/>
        <v/>
      </c>
      <c r="Q4505" s="24"/>
      <c r="R4505" s="25"/>
      <c r="S4505" s="25"/>
      <c r="T4505" s="26"/>
      <c r="U4505" s="26"/>
      <c r="V4505" s="25"/>
      <c r="W4505" s="25"/>
      <c r="X4505" s="25"/>
      <c r="Y4505" s="25"/>
      <c r="Z4505" s="25"/>
    </row>
    <row r="4506" spans="1:26" ht="15.75" customHeight="1" x14ac:dyDescent="0.25">
      <c r="A4506" s="25"/>
      <c r="B4506" s="49"/>
      <c r="C4506" s="50"/>
      <c r="D4506" s="23"/>
      <c r="E4506" s="23"/>
      <c r="F4506" s="15"/>
      <c r="G4506" s="23"/>
      <c r="H4506" s="15"/>
      <c r="I4506" s="15"/>
      <c r="J4506" s="51"/>
      <c r="K4506" s="15"/>
      <c r="L4506" s="51"/>
      <c r="M4506" s="15"/>
      <c r="N4506" s="23"/>
      <c r="O4506" s="23"/>
      <c r="P4506" s="15" t="str">
        <f t="shared" si="6"/>
        <v/>
      </c>
      <c r="Q4506" s="24"/>
      <c r="R4506" s="25"/>
      <c r="S4506" s="25"/>
      <c r="T4506" s="26"/>
      <c r="U4506" s="26"/>
      <c r="V4506" s="25"/>
      <c r="W4506" s="25"/>
      <c r="X4506" s="25"/>
      <c r="Y4506" s="25"/>
      <c r="Z4506" s="25"/>
    </row>
    <row r="4507" spans="1:26" ht="15.75" customHeight="1" x14ac:dyDescent="0.25">
      <c r="A4507" s="25"/>
      <c r="B4507" s="49"/>
      <c r="C4507" s="50"/>
      <c r="D4507" s="23"/>
      <c r="E4507" s="23"/>
      <c r="F4507" s="15"/>
      <c r="G4507" s="23"/>
      <c r="H4507" s="15"/>
      <c r="I4507" s="15"/>
      <c r="J4507" s="51"/>
      <c r="K4507" s="15"/>
      <c r="L4507" s="51"/>
      <c r="M4507" s="15"/>
      <c r="N4507" s="23"/>
      <c r="O4507" s="23"/>
      <c r="P4507" s="15" t="str">
        <f t="shared" si="6"/>
        <v/>
      </c>
      <c r="Q4507" s="24"/>
      <c r="R4507" s="25"/>
      <c r="S4507" s="25"/>
      <c r="T4507" s="26"/>
      <c r="U4507" s="26"/>
      <c r="V4507" s="25"/>
      <c r="W4507" s="25"/>
      <c r="X4507" s="25"/>
      <c r="Y4507" s="25"/>
      <c r="Z4507" s="25"/>
    </row>
    <row r="4508" spans="1:26" ht="15.75" customHeight="1" x14ac:dyDescent="0.25">
      <c r="A4508" s="25"/>
      <c r="B4508" s="49"/>
      <c r="C4508" s="50"/>
      <c r="D4508" s="23"/>
      <c r="E4508" s="23"/>
      <c r="F4508" s="15"/>
      <c r="G4508" s="23"/>
      <c r="H4508" s="15"/>
      <c r="I4508" s="15"/>
      <c r="J4508" s="51"/>
      <c r="K4508" s="15"/>
      <c r="L4508" s="51"/>
      <c r="M4508" s="15"/>
      <c r="N4508" s="23"/>
      <c r="O4508" s="23"/>
      <c r="P4508" s="15" t="str">
        <f t="shared" si="6"/>
        <v/>
      </c>
      <c r="Q4508" s="24"/>
      <c r="R4508" s="25"/>
      <c r="S4508" s="25"/>
      <c r="T4508" s="26"/>
      <c r="U4508" s="26"/>
      <c r="V4508" s="25"/>
      <c r="W4508" s="25"/>
      <c r="X4508" s="25"/>
      <c r="Y4508" s="25"/>
      <c r="Z4508" s="25"/>
    </row>
    <row r="4509" spans="1:26" ht="15.75" customHeight="1" x14ac:dyDescent="0.25">
      <c r="A4509" s="25"/>
      <c r="B4509" s="49"/>
      <c r="C4509" s="50"/>
      <c r="D4509" s="23"/>
      <c r="E4509" s="23"/>
      <c r="F4509" s="15"/>
      <c r="G4509" s="23"/>
      <c r="H4509" s="15"/>
      <c r="I4509" s="15"/>
      <c r="J4509" s="51"/>
      <c r="K4509" s="15"/>
      <c r="L4509" s="51"/>
      <c r="M4509" s="15"/>
      <c r="N4509" s="23"/>
      <c r="O4509" s="23"/>
      <c r="P4509" s="15" t="str">
        <f t="shared" si="6"/>
        <v/>
      </c>
      <c r="Q4509" s="24"/>
      <c r="R4509" s="25"/>
      <c r="S4509" s="25"/>
      <c r="T4509" s="26"/>
      <c r="U4509" s="26"/>
      <c r="V4509" s="25"/>
      <c r="W4509" s="25"/>
      <c r="X4509" s="25"/>
      <c r="Y4509" s="25"/>
      <c r="Z4509" s="25"/>
    </row>
    <row r="4510" spans="1:26" ht="15.75" customHeight="1" x14ac:dyDescent="0.25">
      <c r="A4510" s="25"/>
      <c r="B4510" s="49"/>
      <c r="C4510" s="50"/>
      <c r="D4510" s="23"/>
      <c r="E4510" s="23"/>
      <c r="F4510" s="15"/>
      <c r="G4510" s="23"/>
      <c r="H4510" s="15"/>
      <c r="I4510" s="15"/>
      <c r="J4510" s="51"/>
      <c r="K4510" s="15"/>
      <c r="L4510" s="51"/>
      <c r="M4510" s="15"/>
      <c r="N4510" s="23"/>
      <c r="O4510" s="23"/>
      <c r="P4510" s="15" t="str">
        <f t="shared" si="6"/>
        <v/>
      </c>
      <c r="Q4510" s="24"/>
      <c r="R4510" s="25"/>
      <c r="S4510" s="25"/>
      <c r="T4510" s="26"/>
      <c r="U4510" s="26"/>
      <c r="V4510" s="25"/>
      <c r="W4510" s="25"/>
      <c r="X4510" s="25"/>
      <c r="Y4510" s="25"/>
      <c r="Z4510" s="25"/>
    </row>
    <row r="4511" spans="1:26" ht="15.75" customHeight="1" x14ac:dyDescent="0.25">
      <c r="A4511" s="25"/>
      <c r="B4511" s="49"/>
      <c r="C4511" s="50"/>
      <c r="D4511" s="23"/>
      <c r="E4511" s="23"/>
      <c r="F4511" s="15"/>
      <c r="G4511" s="23"/>
      <c r="H4511" s="15"/>
      <c r="I4511" s="15"/>
      <c r="J4511" s="51"/>
      <c r="K4511" s="15"/>
      <c r="L4511" s="51"/>
      <c r="M4511" s="15"/>
      <c r="N4511" s="23"/>
      <c r="O4511" s="23"/>
      <c r="P4511" s="15" t="str">
        <f t="shared" si="6"/>
        <v/>
      </c>
      <c r="Q4511" s="24"/>
      <c r="R4511" s="25"/>
      <c r="S4511" s="25"/>
      <c r="T4511" s="26"/>
      <c r="U4511" s="26"/>
      <c r="V4511" s="25"/>
      <c r="W4511" s="25"/>
      <c r="X4511" s="25"/>
      <c r="Y4511" s="25"/>
      <c r="Z4511" s="25"/>
    </row>
    <row r="4512" spans="1:26" ht="15.75" customHeight="1" x14ac:dyDescent="0.25">
      <c r="A4512" s="25"/>
      <c r="B4512" s="49"/>
      <c r="C4512" s="50"/>
      <c r="D4512" s="23"/>
      <c r="E4512" s="23"/>
      <c r="F4512" s="15"/>
      <c r="G4512" s="23"/>
      <c r="H4512" s="15"/>
      <c r="I4512" s="15"/>
      <c r="J4512" s="51"/>
      <c r="K4512" s="15"/>
      <c r="L4512" s="51"/>
      <c r="M4512" s="15"/>
      <c r="N4512" s="23"/>
      <c r="O4512" s="23"/>
      <c r="P4512" s="15" t="str">
        <f t="shared" si="6"/>
        <v/>
      </c>
      <c r="Q4512" s="24"/>
      <c r="R4512" s="25"/>
      <c r="S4512" s="25"/>
      <c r="T4512" s="26"/>
      <c r="U4512" s="26"/>
      <c r="V4512" s="25"/>
      <c r="W4512" s="25"/>
      <c r="X4512" s="25"/>
      <c r="Y4512" s="25"/>
      <c r="Z4512" s="25"/>
    </row>
    <row r="4513" spans="1:26" ht="15.75" customHeight="1" x14ac:dyDescent="0.25">
      <c r="A4513" s="25"/>
      <c r="B4513" s="49"/>
      <c r="C4513" s="50"/>
      <c r="D4513" s="23"/>
      <c r="E4513" s="23"/>
      <c r="F4513" s="15"/>
      <c r="G4513" s="23"/>
      <c r="H4513" s="15"/>
      <c r="I4513" s="15"/>
      <c r="J4513" s="51"/>
      <c r="K4513" s="15"/>
      <c r="L4513" s="51"/>
      <c r="M4513" s="15"/>
      <c r="N4513" s="23"/>
      <c r="O4513" s="23"/>
      <c r="P4513" s="15" t="str">
        <f t="shared" si="6"/>
        <v/>
      </c>
      <c r="Q4513" s="24"/>
      <c r="R4513" s="25"/>
      <c r="S4513" s="25"/>
      <c r="T4513" s="26"/>
      <c r="U4513" s="26"/>
      <c r="V4513" s="25"/>
      <c r="W4513" s="25"/>
      <c r="X4513" s="25"/>
      <c r="Y4513" s="25"/>
      <c r="Z4513" s="25"/>
    </row>
    <row r="4514" spans="1:26" ht="15.75" customHeight="1" x14ac:dyDescent="0.25">
      <c r="A4514" s="25"/>
      <c r="B4514" s="49"/>
      <c r="C4514" s="50"/>
      <c r="D4514" s="23"/>
      <c r="E4514" s="23"/>
      <c r="F4514" s="15"/>
      <c r="G4514" s="23"/>
      <c r="H4514" s="15"/>
      <c r="I4514" s="15"/>
      <c r="J4514" s="51"/>
      <c r="K4514" s="15"/>
      <c r="L4514" s="51"/>
      <c r="M4514" s="15"/>
      <c r="N4514" s="23"/>
      <c r="O4514" s="23"/>
      <c r="P4514" s="15" t="str">
        <f t="shared" si="6"/>
        <v/>
      </c>
      <c r="Q4514" s="24"/>
      <c r="R4514" s="25"/>
      <c r="S4514" s="25"/>
      <c r="T4514" s="26"/>
      <c r="U4514" s="26"/>
      <c r="V4514" s="25"/>
      <c r="W4514" s="25"/>
      <c r="X4514" s="25"/>
      <c r="Y4514" s="25"/>
      <c r="Z4514" s="25"/>
    </row>
    <row r="4515" spans="1:26" ht="15.75" customHeight="1" x14ac:dyDescent="0.25">
      <c r="A4515" s="25"/>
      <c r="B4515" s="49"/>
      <c r="C4515" s="50"/>
      <c r="D4515" s="23"/>
      <c r="E4515" s="23"/>
      <c r="F4515" s="15"/>
      <c r="G4515" s="23"/>
      <c r="H4515" s="15"/>
      <c r="I4515" s="15"/>
      <c r="J4515" s="51"/>
      <c r="K4515" s="15"/>
      <c r="L4515" s="51"/>
      <c r="M4515" s="15"/>
      <c r="N4515" s="23"/>
      <c r="O4515" s="23"/>
      <c r="P4515" s="15" t="str">
        <f t="shared" si="6"/>
        <v/>
      </c>
      <c r="Q4515" s="24"/>
      <c r="R4515" s="25"/>
      <c r="S4515" s="25"/>
      <c r="T4515" s="26"/>
      <c r="U4515" s="26"/>
      <c r="V4515" s="25"/>
      <c r="W4515" s="25"/>
      <c r="X4515" s="25"/>
      <c r="Y4515" s="25"/>
      <c r="Z4515" s="25"/>
    </row>
    <row r="4516" spans="1:26" ht="15.75" customHeight="1" x14ac:dyDescent="0.25">
      <c r="A4516" s="25"/>
      <c r="B4516" s="49"/>
      <c r="C4516" s="50"/>
      <c r="D4516" s="23"/>
      <c r="E4516" s="23"/>
      <c r="F4516" s="15"/>
      <c r="G4516" s="23"/>
      <c r="H4516" s="15"/>
      <c r="I4516" s="15"/>
      <c r="J4516" s="51"/>
      <c r="K4516" s="15"/>
      <c r="L4516" s="51"/>
      <c r="M4516" s="15"/>
      <c r="N4516" s="23"/>
      <c r="O4516" s="23"/>
      <c r="P4516" s="15" t="str">
        <f t="shared" si="6"/>
        <v/>
      </c>
      <c r="Q4516" s="24"/>
      <c r="R4516" s="25"/>
      <c r="S4516" s="25"/>
      <c r="T4516" s="26"/>
      <c r="U4516" s="26"/>
      <c r="V4516" s="25"/>
      <c r="W4516" s="25"/>
      <c r="X4516" s="25"/>
      <c r="Y4516" s="25"/>
      <c r="Z4516" s="25"/>
    </row>
    <row r="4517" spans="1:26" ht="15.75" customHeight="1" x14ac:dyDescent="0.25">
      <c r="A4517" s="25"/>
      <c r="B4517" s="49"/>
      <c r="C4517" s="50"/>
      <c r="D4517" s="23"/>
      <c r="E4517" s="23"/>
      <c r="F4517" s="15"/>
      <c r="G4517" s="23"/>
      <c r="H4517" s="15"/>
      <c r="I4517" s="15"/>
      <c r="J4517" s="51"/>
      <c r="K4517" s="15"/>
      <c r="L4517" s="51"/>
      <c r="M4517" s="15"/>
      <c r="N4517" s="23"/>
      <c r="O4517" s="23"/>
      <c r="P4517" s="15" t="str">
        <f t="shared" si="6"/>
        <v/>
      </c>
      <c r="Q4517" s="24"/>
      <c r="R4517" s="25"/>
      <c r="S4517" s="25"/>
      <c r="T4517" s="26"/>
      <c r="U4517" s="26"/>
      <c r="V4517" s="25"/>
      <c r="W4517" s="25"/>
      <c r="X4517" s="25"/>
      <c r="Y4517" s="25"/>
      <c r="Z4517" s="25"/>
    </row>
    <row r="4518" spans="1:26" ht="15.75" customHeight="1" x14ac:dyDescent="0.25">
      <c r="A4518" s="25"/>
      <c r="B4518" s="49"/>
      <c r="C4518" s="50"/>
      <c r="D4518" s="23"/>
      <c r="E4518" s="23"/>
      <c r="F4518" s="15"/>
      <c r="G4518" s="23"/>
      <c r="H4518" s="15"/>
      <c r="I4518" s="15"/>
      <c r="J4518" s="51"/>
      <c r="K4518" s="15"/>
      <c r="L4518" s="51"/>
      <c r="M4518" s="15"/>
      <c r="N4518" s="23"/>
      <c r="O4518" s="23"/>
      <c r="P4518" s="15" t="str">
        <f t="shared" si="6"/>
        <v/>
      </c>
      <c r="Q4518" s="24"/>
      <c r="R4518" s="25"/>
      <c r="S4518" s="25"/>
      <c r="T4518" s="26"/>
      <c r="U4518" s="26"/>
      <c r="V4518" s="25"/>
      <c r="W4518" s="25"/>
      <c r="X4518" s="25"/>
      <c r="Y4518" s="25"/>
      <c r="Z4518" s="25"/>
    </row>
    <row r="4519" spans="1:26" ht="15.75" customHeight="1" x14ac:dyDescent="0.25">
      <c r="A4519" s="25"/>
      <c r="B4519" s="49"/>
      <c r="C4519" s="50"/>
      <c r="D4519" s="23"/>
      <c r="E4519" s="23"/>
      <c r="F4519" s="15"/>
      <c r="G4519" s="23"/>
      <c r="H4519" s="15"/>
      <c r="I4519" s="15"/>
      <c r="J4519" s="51"/>
      <c r="K4519" s="15"/>
      <c r="L4519" s="51"/>
      <c r="M4519" s="15"/>
      <c r="N4519" s="23"/>
      <c r="O4519" s="23"/>
      <c r="P4519" s="15" t="str">
        <f t="shared" si="6"/>
        <v/>
      </c>
      <c r="Q4519" s="24"/>
      <c r="R4519" s="25"/>
      <c r="S4519" s="25"/>
      <c r="T4519" s="26"/>
      <c r="U4519" s="26"/>
      <c r="V4519" s="25"/>
      <c r="W4519" s="25"/>
      <c r="X4519" s="25"/>
      <c r="Y4519" s="25"/>
      <c r="Z4519" s="25"/>
    </row>
    <row r="4520" spans="1:26" ht="15.75" customHeight="1" x14ac:dyDescent="0.25">
      <c r="A4520" s="25"/>
      <c r="B4520" s="49"/>
      <c r="C4520" s="50"/>
      <c r="D4520" s="23"/>
      <c r="E4520" s="23"/>
      <c r="F4520" s="15"/>
      <c r="G4520" s="23"/>
      <c r="H4520" s="15"/>
      <c r="I4520" s="15"/>
      <c r="J4520" s="51"/>
      <c r="K4520" s="15"/>
      <c r="L4520" s="51"/>
      <c r="M4520" s="15"/>
      <c r="N4520" s="23"/>
      <c r="O4520" s="23"/>
      <c r="P4520" s="15" t="str">
        <f t="shared" si="6"/>
        <v/>
      </c>
      <c r="Q4520" s="24"/>
      <c r="R4520" s="25"/>
      <c r="S4520" s="25"/>
      <c r="T4520" s="26"/>
      <c r="U4520" s="26"/>
      <c r="V4520" s="25"/>
      <c r="W4520" s="25"/>
      <c r="X4520" s="25"/>
      <c r="Y4520" s="25"/>
      <c r="Z4520" s="25"/>
    </row>
    <row r="4521" spans="1:26" ht="15.75" customHeight="1" x14ac:dyDescent="0.25">
      <c r="A4521" s="25"/>
      <c r="B4521" s="49"/>
      <c r="C4521" s="50"/>
      <c r="D4521" s="23"/>
      <c r="E4521" s="23"/>
      <c r="F4521" s="15"/>
      <c r="G4521" s="23"/>
      <c r="H4521" s="15"/>
      <c r="I4521" s="15"/>
      <c r="J4521" s="51"/>
      <c r="K4521" s="15"/>
      <c r="L4521" s="51"/>
      <c r="M4521" s="15"/>
      <c r="N4521" s="23"/>
      <c r="O4521" s="23"/>
      <c r="P4521" s="15" t="str">
        <f t="shared" si="6"/>
        <v/>
      </c>
      <c r="Q4521" s="24"/>
      <c r="R4521" s="25"/>
      <c r="S4521" s="25"/>
      <c r="T4521" s="26"/>
      <c r="U4521" s="26"/>
      <c r="V4521" s="25"/>
      <c r="W4521" s="25"/>
      <c r="X4521" s="25"/>
      <c r="Y4521" s="25"/>
      <c r="Z4521" s="25"/>
    </row>
    <row r="4522" spans="1:26" ht="15.75" customHeight="1" x14ac:dyDescent="0.25">
      <c r="A4522" s="25"/>
      <c r="B4522" s="49"/>
      <c r="C4522" s="50"/>
      <c r="D4522" s="23"/>
      <c r="E4522" s="23"/>
      <c r="F4522" s="15"/>
      <c r="G4522" s="23"/>
      <c r="H4522" s="15"/>
      <c r="I4522" s="15"/>
      <c r="J4522" s="51"/>
      <c r="K4522" s="15"/>
      <c r="L4522" s="51"/>
      <c r="M4522" s="15"/>
      <c r="N4522" s="23"/>
      <c r="O4522" s="23"/>
      <c r="P4522" s="15" t="str">
        <f t="shared" si="6"/>
        <v/>
      </c>
      <c r="Q4522" s="24"/>
      <c r="R4522" s="25"/>
      <c r="S4522" s="25"/>
      <c r="T4522" s="26"/>
      <c r="U4522" s="26"/>
      <c r="V4522" s="25"/>
      <c r="W4522" s="25"/>
      <c r="X4522" s="25"/>
      <c r="Y4522" s="25"/>
      <c r="Z4522" s="25"/>
    </row>
    <row r="4523" spans="1:26" ht="15.75" customHeight="1" x14ac:dyDescent="0.25">
      <c r="A4523" s="25"/>
      <c r="B4523" s="49"/>
      <c r="C4523" s="50"/>
      <c r="D4523" s="23"/>
      <c r="E4523" s="23"/>
      <c r="F4523" s="15"/>
      <c r="G4523" s="23"/>
      <c r="H4523" s="15"/>
      <c r="I4523" s="15"/>
      <c r="J4523" s="51"/>
      <c r="K4523" s="15"/>
      <c r="L4523" s="51"/>
      <c r="M4523" s="15"/>
      <c r="N4523" s="23"/>
      <c r="O4523" s="23"/>
      <c r="P4523" s="15" t="str">
        <f t="shared" si="6"/>
        <v/>
      </c>
      <c r="Q4523" s="24"/>
      <c r="R4523" s="25"/>
      <c r="S4523" s="25"/>
      <c r="T4523" s="26"/>
      <c r="U4523" s="26"/>
      <c r="V4523" s="25"/>
      <c r="W4523" s="25"/>
      <c r="X4523" s="25"/>
      <c r="Y4523" s="25"/>
      <c r="Z4523" s="25"/>
    </row>
    <row r="4524" spans="1:26" ht="15.75" customHeight="1" x14ac:dyDescent="0.25">
      <c r="A4524" s="25"/>
      <c r="B4524" s="49"/>
      <c r="C4524" s="50"/>
      <c r="D4524" s="23"/>
      <c r="E4524" s="23"/>
      <c r="F4524" s="15"/>
      <c r="G4524" s="23"/>
      <c r="H4524" s="15"/>
      <c r="I4524" s="15"/>
      <c r="J4524" s="51"/>
      <c r="K4524" s="15"/>
      <c r="L4524" s="51"/>
      <c r="M4524" s="15"/>
      <c r="N4524" s="23"/>
      <c r="O4524" s="23"/>
      <c r="P4524" s="15" t="str">
        <f t="shared" si="6"/>
        <v/>
      </c>
      <c r="Q4524" s="24"/>
      <c r="R4524" s="25"/>
      <c r="S4524" s="25"/>
      <c r="T4524" s="26"/>
      <c r="U4524" s="26"/>
      <c r="V4524" s="25"/>
      <c r="W4524" s="25"/>
      <c r="X4524" s="25"/>
      <c r="Y4524" s="25"/>
      <c r="Z4524" s="25"/>
    </row>
    <row r="4525" spans="1:26" ht="15.75" customHeight="1" x14ac:dyDescent="0.25">
      <c r="A4525" s="25"/>
      <c r="B4525" s="49"/>
      <c r="C4525" s="50"/>
      <c r="D4525" s="23"/>
      <c r="E4525" s="23"/>
      <c r="F4525" s="15"/>
      <c r="G4525" s="23"/>
      <c r="H4525" s="15"/>
      <c r="I4525" s="15"/>
      <c r="J4525" s="51"/>
      <c r="K4525" s="15"/>
      <c r="L4525" s="51"/>
      <c r="M4525" s="15"/>
      <c r="N4525" s="23"/>
      <c r="O4525" s="23"/>
      <c r="P4525" s="15" t="str">
        <f t="shared" si="6"/>
        <v/>
      </c>
      <c r="Q4525" s="24"/>
      <c r="R4525" s="25"/>
      <c r="S4525" s="25"/>
      <c r="T4525" s="26"/>
      <c r="U4525" s="26"/>
      <c r="V4525" s="25"/>
      <c r="W4525" s="25"/>
      <c r="X4525" s="25"/>
      <c r="Y4525" s="25"/>
      <c r="Z4525" s="25"/>
    </row>
    <row r="4526" spans="1:26" ht="15.75" customHeight="1" x14ac:dyDescent="0.25">
      <c r="A4526" s="25"/>
      <c r="B4526" s="49"/>
      <c r="C4526" s="50"/>
      <c r="D4526" s="23"/>
      <c r="E4526" s="23"/>
      <c r="F4526" s="15"/>
      <c r="G4526" s="23"/>
      <c r="H4526" s="15"/>
      <c r="I4526" s="15"/>
      <c r="J4526" s="51"/>
      <c r="K4526" s="15"/>
      <c r="L4526" s="51"/>
      <c r="M4526" s="15"/>
      <c r="N4526" s="23"/>
      <c r="O4526" s="23"/>
      <c r="P4526" s="15" t="str">
        <f t="shared" si="6"/>
        <v/>
      </c>
      <c r="Q4526" s="24"/>
      <c r="R4526" s="25"/>
      <c r="S4526" s="25"/>
      <c r="T4526" s="26"/>
      <c r="U4526" s="26"/>
      <c r="V4526" s="25"/>
      <c r="W4526" s="25"/>
      <c r="X4526" s="25"/>
      <c r="Y4526" s="25"/>
      <c r="Z4526" s="25"/>
    </row>
    <row r="4527" spans="1:26" ht="15.75" customHeight="1" x14ac:dyDescent="0.25">
      <c r="A4527" s="25"/>
      <c r="B4527" s="49"/>
      <c r="C4527" s="50"/>
      <c r="D4527" s="23"/>
      <c r="E4527" s="23"/>
      <c r="F4527" s="15"/>
      <c r="G4527" s="23"/>
      <c r="H4527" s="15"/>
      <c r="I4527" s="15"/>
      <c r="J4527" s="51"/>
      <c r="K4527" s="15"/>
      <c r="L4527" s="51"/>
      <c r="M4527" s="15"/>
      <c r="N4527" s="23"/>
      <c r="O4527" s="23"/>
      <c r="P4527" s="15" t="str">
        <f t="shared" si="6"/>
        <v/>
      </c>
      <c r="Q4527" s="24"/>
      <c r="R4527" s="25"/>
      <c r="S4527" s="25"/>
      <c r="T4527" s="26"/>
      <c r="U4527" s="26"/>
      <c r="V4527" s="25"/>
      <c r="W4527" s="25"/>
      <c r="X4527" s="25"/>
      <c r="Y4527" s="25"/>
      <c r="Z4527" s="25"/>
    </row>
    <row r="4528" spans="1:26" ht="15.75" customHeight="1" x14ac:dyDescent="0.25">
      <c r="A4528" s="25"/>
      <c r="B4528" s="49"/>
      <c r="C4528" s="50"/>
      <c r="D4528" s="23"/>
      <c r="E4528" s="23"/>
      <c r="F4528" s="15"/>
      <c r="G4528" s="23"/>
      <c r="H4528" s="15"/>
      <c r="I4528" s="15"/>
      <c r="J4528" s="51"/>
      <c r="K4528" s="15"/>
      <c r="L4528" s="51"/>
      <c r="M4528" s="15"/>
      <c r="N4528" s="23"/>
      <c r="O4528" s="23"/>
      <c r="P4528" s="15" t="str">
        <f t="shared" si="6"/>
        <v/>
      </c>
      <c r="Q4528" s="24"/>
      <c r="R4528" s="25"/>
      <c r="S4528" s="25"/>
      <c r="T4528" s="26"/>
      <c r="U4528" s="26"/>
      <c r="V4528" s="25"/>
      <c r="W4528" s="25"/>
      <c r="X4528" s="25"/>
      <c r="Y4528" s="25"/>
      <c r="Z4528" s="25"/>
    </row>
    <row r="4529" spans="1:26" ht="15.75" customHeight="1" x14ac:dyDescent="0.25">
      <c r="A4529" s="25"/>
      <c r="B4529" s="49"/>
      <c r="C4529" s="50"/>
      <c r="D4529" s="23"/>
      <c r="E4529" s="23"/>
      <c r="F4529" s="15"/>
      <c r="G4529" s="23"/>
      <c r="H4529" s="15"/>
      <c r="I4529" s="15"/>
      <c r="J4529" s="51"/>
      <c r="K4529" s="15"/>
      <c r="L4529" s="51"/>
      <c r="M4529" s="15"/>
      <c r="N4529" s="23"/>
      <c r="O4529" s="23"/>
      <c r="P4529" s="15" t="str">
        <f t="shared" si="6"/>
        <v/>
      </c>
      <c r="Q4529" s="24"/>
      <c r="R4529" s="25"/>
      <c r="S4529" s="25"/>
      <c r="T4529" s="26"/>
      <c r="U4529" s="26"/>
      <c r="V4529" s="25"/>
      <c r="W4529" s="25"/>
      <c r="X4529" s="25"/>
      <c r="Y4529" s="25"/>
      <c r="Z4529" s="25"/>
    </row>
    <row r="4530" spans="1:26" ht="15.75" customHeight="1" x14ac:dyDescent="0.25">
      <c r="A4530" s="25"/>
      <c r="B4530" s="49"/>
      <c r="C4530" s="50"/>
      <c r="D4530" s="23"/>
      <c r="E4530" s="23"/>
      <c r="F4530" s="15"/>
      <c r="G4530" s="23"/>
      <c r="H4530" s="15"/>
      <c r="I4530" s="15"/>
      <c r="J4530" s="51"/>
      <c r="K4530" s="15"/>
      <c r="L4530" s="51"/>
      <c r="M4530" s="15"/>
      <c r="N4530" s="23"/>
      <c r="O4530" s="23"/>
      <c r="P4530" s="15" t="str">
        <f t="shared" si="6"/>
        <v/>
      </c>
      <c r="Q4530" s="24"/>
      <c r="R4530" s="25"/>
      <c r="S4530" s="25"/>
      <c r="T4530" s="26"/>
      <c r="U4530" s="26"/>
      <c r="V4530" s="25"/>
      <c r="W4530" s="25"/>
      <c r="X4530" s="25"/>
      <c r="Y4530" s="25"/>
      <c r="Z4530" s="25"/>
    </row>
    <row r="4531" spans="1:26" ht="15.75" customHeight="1" x14ac:dyDescent="0.25">
      <c r="A4531" s="25"/>
      <c r="B4531" s="49"/>
      <c r="C4531" s="50"/>
      <c r="D4531" s="23"/>
      <c r="E4531" s="23"/>
      <c r="F4531" s="15"/>
      <c r="G4531" s="23"/>
      <c r="H4531" s="15"/>
      <c r="I4531" s="15"/>
      <c r="J4531" s="51"/>
      <c r="K4531" s="15"/>
      <c r="L4531" s="51"/>
      <c r="M4531" s="15"/>
      <c r="N4531" s="23"/>
      <c r="O4531" s="23"/>
      <c r="P4531" s="15" t="str">
        <f t="shared" si="6"/>
        <v/>
      </c>
      <c r="Q4531" s="24"/>
      <c r="R4531" s="25"/>
      <c r="S4531" s="25"/>
      <c r="T4531" s="26"/>
      <c r="U4531" s="26"/>
      <c r="V4531" s="25"/>
      <c r="W4531" s="25"/>
      <c r="X4531" s="25"/>
      <c r="Y4531" s="25"/>
      <c r="Z4531" s="25"/>
    </row>
    <row r="4532" spans="1:26" ht="15.75" customHeight="1" x14ac:dyDescent="0.25">
      <c r="A4532" s="25"/>
      <c r="B4532" s="49"/>
      <c r="C4532" s="50"/>
      <c r="D4532" s="23"/>
      <c r="E4532" s="23"/>
      <c r="F4532" s="15"/>
      <c r="G4532" s="23"/>
      <c r="H4532" s="15"/>
      <c r="I4532" s="15"/>
      <c r="J4532" s="51"/>
      <c r="K4532" s="15"/>
      <c r="L4532" s="51"/>
      <c r="M4532" s="15"/>
      <c r="N4532" s="23"/>
      <c r="O4532" s="23"/>
      <c r="P4532" s="15" t="str">
        <f t="shared" si="6"/>
        <v/>
      </c>
      <c r="Q4532" s="24"/>
      <c r="R4532" s="25"/>
      <c r="S4532" s="25"/>
      <c r="T4532" s="26"/>
      <c r="U4532" s="26"/>
      <c r="V4532" s="25"/>
      <c r="W4532" s="25"/>
      <c r="X4532" s="25"/>
      <c r="Y4532" s="25"/>
      <c r="Z4532" s="25"/>
    </row>
    <row r="4533" spans="1:26" ht="15.75" customHeight="1" x14ac:dyDescent="0.25">
      <c r="A4533" s="25"/>
      <c r="B4533" s="49"/>
      <c r="C4533" s="50"/>
      <c r="D4533" s="23"/>
      <c r="E4533" s="23"/>
      <c r="F4533" s="15"/>
      <c r="G4533" s="23"/>
      <c r="H4533" s="15"/>
      <c r="I4533" s="15"/>
      <c r="J4533" s="51"/>
      <c r="K4533" s="15"/>
      <c r="L4533" s="51"/>
      <c r="M4533" s="15"/>
      <c r="N4533" s="23"/>
      <c r="O4533" s="23"/>
      <c r="P4533" s="15" t="str">
        <f t="shared" si="6"/>
        <v/>
      </c>
      <c r="Q4533" s="24"/>
      <c r="R4533" s="25"/>
      <c r="S4533" s="25"/>
      <c r="T4533" s="26"/>
      <c r="U4533" s="26"/>
      <c r="V4533" s="25"/>
      <c r="W4533" s="25"/>
      <c r="X4533" s="25"/>
      <c r="Y4533" s="25"/>
      <c r="Z4533" s="25"/>
    </row>
    <row r="4534" spans="1:26" ht="15.75" customHeight="1" x14ac:dyDescent="0.25">
      <c r="A4534" s="25"/>
      <c r="B4534" s="49"/>
      <c r="C4534" s="50"/>
      <c r="D4534" s="23"/>
      <c r="E4534" s="23"/>
      <c r="F4534" s="15"/>
      <c r="G4534" s="23"/>
      <c r="H4534" s="15"/>
      <c r="I4534" s="15"/>
      <c r="J4534" s="51"/>
      <c r="K4534" s="15"/>
      <c r="L4534" s="51"/>
      <c r="M4534" s="15"/>
      <c r="N4534" s="23"/>
      <c r="O4534" s="23"/>
      <c r="P4534" s="15" t="str">
        <f t="shared" si="6"/>
        <v/>
      </c>
      <c r="Q4534" s="24"/>
      <c r="R4534" s="25"/>
      <c r="S4534" s="25"/>
      <c r="T4534" s="26"/>
      <c r="U4534" s="26"/>
      <c r="V4534" s="25"/>
      <c r="W4534" s="25"/>
      <c r="X4534" s="25"/>
      <c r="Y4534" s="25"/>
      <c r="Z4534" s="25"/>
    </row>
    <row r="4535" spans="1:26" ht="15.75" customHeight="1" x14ac:dyDescent="0.25">
      <c r="A4535" s="25"/>
      <c r="B4535" s="49"/>
      <c r="C4535" s="50"/>
      <c r="D4535" s="23"/>
      <c r="E4535" s="23"/>
      <c r="F4535" s="15"/>
      <c r="G4535" s="23"/>
      <c r="H4535" s="15"/>
      <c r="I4535" s="15"/>
      <c r="J4535" s="51"/>
      <c r="K4535" s="15"/>
      <c r="L4535" s="51"/>
      <c r="M4535" s="15"/>
      <c r="N4535" s="23"/>
      <c r="O4535" s="23"/>
      <c r="P4535" s="15" t="str">
        <f t="shared" si="6"/>
        <v/>
      </c>
      <c r="Q4535" s="24"/>
      <c r="R4535" s="25"/>
      <c r="S4535" s="25"/>
      <c r="T4535" s="26"/>
      <c r="U4535" s="26"/>
      <c r="V4535" s="25"/>
      <c r="W4535" s="25"/>
      <c r="X4535" s="25"/>
      <c r="Y4535" s="25"/>
      <c r="Z4535" s="25"/>
    </row>
    <row r="4536" spans="1:26" ht="15.75" customHeight="1" x14ac:dyDescent="0.25">
      <c r="A4536" s="25"/>
      <c r="B4536" s="49"/>
      <c r="C4536" s="50"/>
      <c r="D4536" s="23"/>
      <c r="E4536" s="23"/>
      <c r="F4536" s="15"/>
      <c r="G4536" s="23"/>
      <c r="H4536" s="15"/>
      <c r="I4536" s="15"/>
      <c r="J4536" s="51"/>
      <c r="K4536" s="15"/>
      <c r="L4536" s="51"/>
      <c r="M4536" s="15"/>
      <c r="N4536" s="23"/>
      <c r="O4536" s="23"/>
      <c r="P4536" s="15" t="str">
        <f t="shared" si="6"/>
        <v/>
      </c>
      <c r="Q4536" s="24"/>
      <c r="R4536" s="25"/>
      <c r="S4536" s="25"/>
      <c r="T4536" s="26"/>
      <c r="U4536" s="26"/>
      <c r="V4536" s="25"/>
      <c r="W4536" s="25"/>
      <c r="X4536" s="25"/>
      <c r="Y4536" s="25"/>
      <c r="Z4536" s="25"/>
    </row>
    <row r="4537" spans="1:26" ht="15.75" customHeight="1" x14ac:dyDescent="0.25">
      <c r="A4537" s="25"/>
      <c r="B4537" s="49"/>
      <c r="C4537" s="50"/>
      <c r="D4537" s="23"/>
      <c r="E4537" s="23"/>
      <c r="F4537" s="15"/>
      <c r="G4537" s="23"/>
      <c r="H4537" s="15"/>
      <c r="I4537" s="15"/>
      <c r="J4537" s="51"/>
      <c r="K4537" s="15"/>
      <c r="L4537" s="51"/>
      <c r="M4537" s="15"/>
      <c r="N4537" s="23"/>
      <c r="O4537" s="23"/>
      <c r="P4537" s="15" t="str">
        <f t="shared" si="6"/>
        <v/>
      </c>
      <c r="Q4537" s="24"/>
      <c r="R4537" s="25"/>
      <c r="S4537" s="25"/>
      <c r="T4537" s="26"/>
      <c r="U4537" s="26"/>
      <c r="V4537" s="25"/>
      <c r="W4537" s="25"/>
      <c r="X4537" s="25"/>
      <c r="Y4537" s="25"/>
      <c r="Z4537" s="25"/>
    </row>
    <row r="4538" spans="1:26" ht="15.75" customHeight="1" x14ac:dyDescent="0.25">
      <c r="A4538" s="25"/>
      <c r="B4538" s="49"/>
      <c r="C4538" s="50"/>
      <c r="D4538" s="23"/>
      <c r="E4538" s="23"/>
      <c r="F4538" s="15"/>
      <c r="G4538" s="23"/>
      <c r="H4538" s="15"/>
      <c r="I4538" s="15"/>
      <c r="J4538" s="51"/>
      <c r="K4538" s="15"/>
      <c r="L4538" s="51"/>
      <c r="M4538" s="15"/>
      <c r="N4538" s="23"/>
      <c r="O4538" s="23"/>
      <c r="P4538" s="15" t="str">
        <f t="shared" si="6"/>
        <v/>
      </c>
      <c r="Q4538" s="24"/>
      <c r="R4538" s="25"/>
      <c r="S4538" s="25"/>
      <c r="T4538" s="26"/>
      <c r="U4538" s="26"/>
      <c r="V4538" s="25"/>
      <c r="W4538" s="25"/>
      <c r="X4538" s="25"/>
      <c r="Y4538" s="25"/>
      <c r="Z4538" s="25"/>
    </row>
    <row r="4539" spans="1:26" ht="15.75" customHeight="1" x14ac:dyDescent="0.25">
      <c r="A4539" s="25"/>
      <c r="B4539" s="49"/>
      <c r="C4539" s="50"/>
      <c r="D4539" s="23"/>
      <c r="E4539" s="23"/>
      <c r="F4539" s="15"/>
      <c r="G4539" s="23"/>
      <c r="H4539" s="15"/>
      <c r="I4539" s="15"/>
      <c r="J4539" s="51"/>
      <c r="K4539" s="15"/>
      <c r="L4539" s="51"/>
      <c r="M4539" s="15"/>
      <c r="N4539" s="23"/>
      <c r="O4539" s="23"/>
      <c r="P4539" s="15" t="str">
        <f t="shared" si="6"/>
        <v/>
      </c>
      <c r="Q4539" s="24"/>
      <c r="R4539" s="25"/>
      <c r="S4539" s="25"/>
      <c r="T4539" s="26"/>
      <c r="U4539" s="26"/>
      <c r="V4539" s="25"/>
      <c r="W4539" s="25"/>
      <c r="X4539" s="25"/>
      <c r="Y4539" s="25"/>
      <c r="Z4539" s="25"/>
    </row>
    <row r="4540" spans="1:26" ht="15.75" customHeight="1" x14ac:dyDescent="0.25">
      <c r="A4540" s="25"/>
      <c r="B4540" s="49"/>
      <c r="C4540" s="50"/>
      <c r="D4540" s="23"/>
      <c r="E4540" s="23"/>
      <c r="F4540" s="15"/>
      <c r="G4540" s="23"/>
      <c r="H4540" s="15"/>
      <c r="I4540" s="15"/>
      <c r="J4540" s="51"/>
      <c r="K4540" s="15"/>
      <c r="L4540" s="51"/>
      <c r="M4540" s="15"/>
      <c r="N4540" s="23"/>
      <c r="O4540" s="23"/>
      <c r="P4540" s="15" t="str">
        <f t="shared" si="6"/>
        <v/>
      </c>
      <c r="Q4540" s="24"/>
      <c r="R4540" s="25"/>
      <c r="S4540" s="25"/>
      <c r="T4540" s="26"/>
      <c r="U4540" s="26"/>
      <c r="V4540" s="25"/>
      <c r="W4540" s="25"/>
      <c r="X4540" s="25"/>
      <c r="Y4540" s="25"/>
      <c r="Z4540" s="25"/>
    </row>
    <row r="4541" spans="1:26" ht="15.75" customHeight="1" x14ac:dyDescent="0.25">
      <c r="A4541" s="25"/>
      <c r="B4541" s="49"/>
      <c r="C4541" s="50"/>
      <c r="D4541" s="23"/>
      <c r="E4541" s="23"/>
      <c r="F4541" s="15"/>
      <c r="G4541" s="23"/>
      <c r="H4541" s="15"/>
      <c r="I4541" s="15"/>
      <c r="J4541" s="51"/>
      <c r="K4541" s="15"/>
      <c r="L4541" s="51"/>
      <c r="M4541" s="15"/>
      <c r="N4541" s="23"/>
      <c r="O4541" s="23"/>
      <c r="P4541" s="15" t="str">
        <f t="shared" si="6"/>
        <v/>
      </c>
      <c r="Q4541" s="24"/>
      <c r="R4541" s="25"/>
      <c r="S4541" s="25"/>
      <c r="T4541" s="26"/>
      <c r="U4541" s="26"/>
      <c r="V4541" s="25"/>
      <c r="W4541" s="25"/>
      <c r="X4541" s="25"/>
      <c r="Y4541" s="25"/>
      <c r="Z4541" s="25"/>
    </row>
    <row r="4542" spans="1:26" ht="15.75" customHeight="1" x14ac:dyDescent="0.25">
      <c r="A4542" s="25"/>
      <c r="B4542" s="49"/>
      <c r="C4542" s="50"/>
      <c r="D4542" s="23"/>
      <c r="E4542" s="23"/>
      <c r="F4542" s="15"/>
      <c r="G4542" s="23"/>
      <c r="H4542" s="15"/>
      <c r="I4542" s="15"/>
      <c r="J4542" s="51"/>
      <c r="K4542" s="15"/>
      <c r="L4542" s="51"/>
      <c r="M4542" s="15"/>
      <c r="N4542" s="23"/>
      <c r="O4542" s="23"/>
      <c r="P4542" s="15" t="str">
        <f t="shared" si="6"/>
        <v/>
      </c>
      <c r="Q4542" s="24"/>
      <c r="R4542" s="25"/>
      <c r="S4542" s="25"/>
      <c r="T4542" s="26"/>
      <c r="U4542" s="26"/>
      <c r="V4542" s="25"/>
      <c r="W4542" s="25"/>
      <c r="X4542" s="25"/>
      <c r="Y4542" s="25"/>
      <c r="Z4542" s="25"/>
    </row>
    <row r="4543" spans="1:26" ht="15.75" customHeight="1" x14ac:dyDescent="0.25">
      <c r="A4543" s="25"/>
      <c r="B4543" s="49"/>
      <c r="C4543" s="50"/>
      <c r="D4543" s="23"/>
      <c r="E4543" s="23"/>
      <c r="F4543" s="15"/>
      <c r="G4543" s="23"/>
      <c r="H4543" s="15"/>
      <c r="I4543" s="15"/>
      <c r="J4543" s="51"/>
      <c r="K4543" s="15"/>
      <c r="L4543" s="51"/>
      <c r="M4543" s="15"/>
      <c r="N4543" s="23"/>
      <c r="O4543" s="23"/>
      <c r="P4543" s="15" t="str">
        <f t="shared" si="6"/>
        <v/>
      </c>
      <c r="Q4543" s="24"/>
      <c r="R4543" s="25"/>
      <c r="S4543" s="25"/>
      <c r="T4543" s="26"/>
      <c r="U4543" s="26"/>
      <c r="V4543" s="25"/>
      <c r="W4543" s="25"/>
      <c r="X4543" s="25"/>
      <c r="Y4543" s="25"/>
      <c r="Z4543" s="25"/>
    </row>
    <row r="4544" spans="1:26" ht="15.75" customHeight="1" x14ac:dyDescent="0.25">
      <c r="A4544" s="25"/>
      <c r="B4544" s="49"/>
      <c r="C4544" s="50"/>
      <c r="D4544" s="23"/>
      <c r="E4544" s="23"/>
      <c r="F4544" s="15"/>
      <c r="G4544" s="23"/>
      <c r="H4544" s="15"/>
      <c r="I4544" s="15"/>
      <c r="J4544" s="51"/>
      <c r="K4544" s="15"/>
      <c r="L4544" s="51"/>
      <c r="M4544" s="15"/>
      <c r="N4544" s="23"/>
      <c r="O4544" s="23"/>
      <c r="P4544" s="15" t="str">
        <f t="shared" si="6"/>
        <v/>
      </c>
      <c r="Q4544" s="24"/>
      <c r="R4544" s="25"/>
      <c r="S4544" s="25"/>
      <c r="T4544" s="26"/>
      <c r="U4544" s="26"/>
      <c r="V4544" s="25"/>
      <c r="W4544" s="25"/>
      <c r="X4544" s="25"/>
      <c r="Y4544" s="25"/>
      <c r="Z4544" s="25"/>
    </row>
    <row r="4545" spans="1:26" ht="15.75" customHeight="1" x14ac:dyDescent="0.25">
      <c r="A4545" s="25"/>
      <c r="B4545" s="49"/>
      <c r="C4545" s="50"/>
      <c r="D4545" s="23"/>
      <c r="E4545" s="23"/>
      <c r="F4545" s="15"/>
      <c r="G4545" s="23"/>
      <c r="H4545" s="15"/>
      <c r="I4545" s="15"/>
      <c r="J4545" s="51"/>
      <c r="K4545" s="15"/>
      <c r="L4545" s="51"/>
      <c r="M4545" s="15"/>
      <c r="N4545" s="23"/>
      <c r="O4545" s="23"/>
      <c r="P4545" s="15" t="str">
        <f t="shared" si="6"/>
        <v/>
      </c>
      <c r="Q4545" s="24"/>
      <c r="R4545" s="25"/>
      <c r="S4545" s="25"/>
      <c r="T4545" s="26"/>
      <c r="U4545" s="26"/>
      <c r="V4545" s="25"/>
      <c r="W4545" s="25"/>
      <c r="X4545" s="25"/>
      <c r="Y4545" s="25"/>
      <c r="Z4545" s="25"/>
    </row>
    <row r="4546" spans="1:26" ht="15.75" customHeight="1" x14ac:dyDescent="0.25">
      <c r="A4546" s="25"/>
      <c r="B4546" s="49"/>
      <c r="C4546" s="50"/>
      <c r="D4546" s="23"/>
      <c r="E4546" s="23"/>
      <c r="F4546" s="15"/>
      <c r="G4546" s="23"/>
      <c r="H4546" s="15"/>
      <c r="I4546" s="15"/>
      <c r="J4546" s="51"/>
      <c r="K4546" s="15"/>
      <c r="L4546" s="51"/>
      <c r="M4546" s="15"/>
      <c r="N4546" s="23"/>
      <c r="O4546" s="23"/>
      <c r="P4546" s="15" t="str">
        <f t="shared" si="6"/>
        <v/>
      </c>
      <c r="Q4546" s="24"/>
      <c r="R4546" s="25"/>
      <c r="S4546" s="25"/>
      <c r="T4546" s="26"/>
      <c r="U4546" s="26"/>
      <c r="V4546" s="25"/>
      <c r="W4546" s="25"/>
      <c r="X4546" s="25"/>
      <c r="Y4546" s="25"/>
      <c r="Z4546" s="25"/>
    </row>
    <row r="4547" spans="1:26" ht="15.75" customHeight="1" x14ac:dyDescent="0.25">
      <c r="A4547" s="25"/>
      <c r="B4547" s="49"/>
      <c r="C4547" s="50"/>
      <c r="D4547" s="23"/>
      <c r="E4547" s="23"/>
      <c r="F4547" s="15"/>
      <c r="G4547" s="23"/>
      <c r="H4547" s="15"/>
      <c r="I4547" s="15"/>
      <c r="J4547" s="51"/>
      <c r="K4547" s="15"/>
      <c r="L4547" s="51"/>
      <c r="M4547" s="15"/>
      <c r="N4547" s="23"/>
      <c r="O4547" s="23"/>
      <c r="P4547" s="15" t="str">
        <f t="shared" si="6"/>
        <v/>
      </c>
      <c r="Q4547" s="24"/>
      <c r="R4547" s="25"/>
      <c r="S4547" s="25"/>
      <c r="T4547" s="26"/>
      <c r="U4547" s="26"/>
      <c r="V4547" s="25"/>
      <c r="W4547" s="25"/>
      <c r="X4547" s="25"/>
      <c r="Y4547" s="25"/>
      <c r="Z4547" s="25"/>
    </row>
    <row r="4548" spans="1:26" ht="15.75" customHeight="1" x14ac:dyDescent="0.25">
      <c r="A4548" s="25"/>
      <c r="B4548" s="49"/>
      <c r="C4548" s="50"/>
      <c r="D4548" s="23"/>
      <c r="E4548" s="23"/>
      <c r="F4548" s="15"/>
      <c r="G4548" s="23"/>
      <c r="H4548" s="15"/>
      <c r="I4548" s="15"/>
      <c r="J4548" s="51"/>
      <c r="K4548" s="15"/>
      <c r="L4548" s="51"/>
      <c r="M4548" s="15"/>
      <c r="N4548" s="23"/>
      <c r="O4548" s="23"/>
      <c r="P4548" s="15" t="str">
        <f t="shared" si="6"/>
        <v/>
      </c>
      <c r="Q4548" s="24"/>
      <c r="R4548" s="25"/>
      <c r="S4548" s="25"/>
      <c r="T4548" s="26"/>
      <c r="U4548" s="26"/>
      <c r="V4548" s="25"/>
      <c r="W4548" s="25"/>
      <c r="X4548" s="25"/>
      <c r="Y4548" s="25"/>
      <c r="Z4548" s="25"/>
    </row>
    <row r="4549" spans="1:26" ht="15.75" customHeight="1" x14ac:dyDescent="0.25">
      <c r="A4549" s="25"/>
      <c r="B4549" s="49"/>
      <c r="C4549" s="50"/>
      <c r="D4549" s="23"/>
      <c r="E4549" s="23"/>
      <c r="F4549" s="15"/>
      <c r="G4549" s="23"/>
      <c r="H4549" s="15"/>
      <c r="I4549" s="15"/>
      <c r="J4549" s="51"/>
      <c r="K4549" s="15"/>
      <c r="L4549" s="51"/>
      <c r="M4549" s="15"/>
      <c r="N4549" s="23"/>
      <c r="O4549" s="23"/>
      <c r="P4549" s="15" t="str">
        <f t="shared" si="6"/>
        <v/>
      </c>
      <c r="Q4549" s="24"/>
      <c r="R4549" s="25"/>
      <c r="S4549" s="25"/>
      <c r="T4549" s="26"/>
      <c r="U4549" s="26"/>
      <c r="V4549" s="25"/>
      <c r="W4549" s="25"/>
      <c r="X4549" s="25"/>
      <c r="Y4549" s="25"/>
      <c r="Z4549" s="25"/>
    </row>
    <row r="4550" spans="1:26" ht="15.75" customHeight="1" x14ac:dyDescent="0.25">
      <c r="A4550" s="25"/>
      <c r="B4550" s="49"/>
      <c r="C4550" s="50"/>
      <c r="D4550" s="23"/>
      <c r="E4550" s="23"/>
      <c r="F4550" s="15"/>
      <c r="G4550" s="23"/>
      <c r="H4550" s="15"/>
      <c r="I4550" s="15"/>
      <c r="J4550" s="51"/>
      <c r="K4550" s="15"/>
      <c r="L4550" s="51"/>
      <c r="M4550" s="15"/>
      <c r="N4550" s="23"/>
      <c r="O4550" s="23"/>
      <c r="P4550" s="15" t="str">
        <f t="shared" si="6"/>
        <v/>
      </c>
      <c r="Q4550" s="24"/>
      <c r="R4550" s="25"/>
      <c r="S4550" s="25"/>
      <c r="T4550" s="26"/>
      <c r="U4550" s="26"/>
      <c r="V4550" s="25"/>
      <c r="W4550" s="25"/>
      <c r="X4550" s="25"/>
      <c r="Y4550" s="25"/>
      <c r="Z4550" s="25"/>
    </row>
    <row r="4551" spans="1:26" ht="15.75" customHeight="1" x14ac:dyDescent="0.25">
      <c r="A4551" s="25"/>
      <c r="B4551" s="49"/>
      <c r="C4551" s="50"/>
      <c r="D4551" s="23"/>
      <c r="E4551" s="23"/>
      <c r="F4551" s="15"/>
      <c r="G4551" s="23"/>
      <c r="H4551" s="15"/>
      <c r="I4551" s="15"/>
      <c r="J4551" s="51"/>
      <c r="K4551" s="15"/>
      <c r="L4551" s="51"/>
      <c r="M4551" s="15"/>
      <c r="N4551" s="23"/>
      <c r="O4551" s="23"/>
      <c r="P4551" s="15" t="str">
        <f t="shared" si="6"/>
        <v/>
      </c>
      <c r="Q4551" s="24"/>
      <c r="R4551" s="25"/>
      <c r="S4551" s="25"/>
      <c r="T4551" s="26"/>
      <c r="U4551" s="26"/>
      <c r="V4551" s="25"/>
      <c r="W4551" s="25"/>
      <c r="X4551" s="25"/>
      <c r="Y4551" s="25"/>
      <c r="Z4551" s="25"/>
    </row>
    <row r="4552" spans="1:26" ht="15.75" customHeight="1" x14ac:dyDescent="0.25">
      <c r="A4552" s="25"/>
      <c r="B4552" s="49"/>
      <c r="C4552" s="50"/>
      <c r="D4552" s="23"/>
      <c r="E4552" s="23"/>
      <c r="F4552" s="15"/>
      <c r="G4552" s="23"/>
      <c r="H4552" s="15"/>
      <c r="I4552" s="15"/>
      <c r="J4552" s="51"/>
      <c r="K4552" s="15"/>
      <c r="L4552" s="51"/>
      <c r="M4552" s="15"/>
      <c r="N4552" s="23"/>
      <c r="O4552" s="23"/>
      <c r="P4552" s="15" t="str">
        <f t="shared" si="6"/>
        <v/>
      </c>
      <c r="Q4552" s="24"/>
      <c r="R4552" s="25"/>
      <c r="S4552" s="25"/>
      <c r="T4552" s="26"/>
      <c r="U4552" s="26"/>
      <c r="V4552" s="25"/>
      <c r="W4552" s="25"/>
      <c r="X4552" s="25"/>
      <c r="Y4552" s="25"/>
      <c r="Z4552" s="25"/>
    </row>
    <row r="4553" spans="1:26" ht="15.75" customHeight="1" x14ac:dyDescent="0.25">
      <c r="A4553" s="25"/>
      <c r="B4553" s="49"/>
      <c r="C4553" s="50"/>
      <c r="D4553" s="23"/>
      <c r="E4553" s="23"/>
      <c r="F4553" s="15"/>
      <c r="G4553" s="23"/>
      <c r="H4553" s="15"/>
      <c r="I4553" s="15"/>
      <c r="J4553" s="51"/>
      <c r="K4553" s="15"/>
      <c r="L4553" s="51"/>
      <c r="M4553" s="15"/>
      <c r="N4553" s="23"/>
      <c r="O4553" s="23"/>
      <c r="P4553" s="15" t="str">
        <f t="shared" si="6"/>
        <v/>
      </c>
      <c r="Q4553" s="24"/>
      <c r="R4553" s="25"/>
      <c r="S4553" s="25"/>
      <c r="T4553" s="26"/>
      <c r="U4553" s="26"/>
      <c r="V4553" s="25"/>
      <c r="W4553" s="25"/>
      <c r="X4553" s="25"/>
      <c r="Y4553" s="25"/>
      <c r="Z4553" s="25"/>
    </row>
    <row r="4554" spans="1:26" ht="15.75" customHeight="1" x14ac:dyDescent="0.25">
      <c r="A4554" s="25"/>
      <c r="B4554" s="49"/>
      <c r="C4554" s="50"/>
      <c r="D4554" s="23"/>
      <c r="E4554" s="23"/>
      <c r="F4554" s="15"/>
      <c r="G4554" s="23"/>
      <c r="H4554" s="15"/>
      <c r="I4554" s="15"/>
      <c r="J4554" s="51"/>
      <c r="K4554" s="15"/>
      <c r="L4554" s="51"/>
      <c r="M4554" s="15"/>
      <c r="N4554" s="23"/>
      <c r="O4554" s="23"/>
      <c r="P4554" s="15" t="str">
        <f t="shared" si="6"/>
        <v/>
      </c>
      <c r="Q4554" s="24"/>
      <c r="R4554" s="25"/>
      <c r="S4554" s="25"/>
      <c r="T4554" s="26"/>
      <c r="U4554" s="26"/>
      <c r="V4554" s="25"/>
      <c r="W4554" s="25"/>
      <c r="X4554" s="25"/>
      <c r="Y4554" s="25"/>
      <c r="Z4554" s="25"/>
    </row>
    <row r="4555" spans="1:26" ht="15.75" customHeight="1" x14ac:dyDescent="0.25">
      <c r="A4555" s="25"/>
      <c r="B4555" s="49"/>
      <c r="C4555" s="50"/>
      <c r="D4555" s="23"/>
      <c r="E4555" s="23"/>
      <c r="F4555" s="15"/>
      <c r="G4555" s="23"/>
      <c r="H4555" s="15"/>
      <c r="I4555" s="15"/>
      <c r="J4555" s="51"/>
      <c r="K4555" s="15"/>
      <c r="L4555" s="51"/>
      <c r="M4555" s="15"/>
      <c r="N4555" s="23"/>
      <c r="O4555" s="23"/>
      <c r="P4555" s="15" t="str">
        <f t="shared" si="6"/>
        <v/>
      </c>
      <c r="Q4555" s="24"/>
      <c r="R4555" s="25"/>
      <c r="S4555" s="25"/>
      <c r="T4555" s="26"/>
      <c r="U4555" s="26"/>
      <c r="V4555" s="25"/>
      <c r="W4555" s="25"/>
      <c r="X4555" s="25"/>
      <c r="Y4555" s="25"/>
      <c r="Z4555" s="25"/>
    </row>
    <row r="4556" spans="1:26" ht="15.75" customHeight="1" x14ac:dyDescent="0.25">
      <c r="A4556" s="25"/>
      <c r="B4556" s="49"/>
      <c r="C4556" s="50"/>
      <c r="D4556" s="23"/>
      <c r="E4556" s="23"/>
      <c r="F4556" s="15"/>
      <c r="G4556" s="23"/>
      <c r="H4556" s="15"/>
      <c r="I4556" s="15"/>
      <c r="J4556" s="51"/>
      <c r="K4556" s="15"/>
      <c r="L4556" s="51"/>
      <c r="M4556" s="15"/>
      <c r="N4556" s="23"/>
      <c r="O4556" s="23"/>
      <c r="P4556" s="15" t="str">
        <f t="shared" si="6"/>
        <v/>
      </c>
      <c r="Q4556" s="24"/>
      <c r="R4556" s="25"/>
      <c r="S4556" s="25"/>
      <c r="T4556" s="26"/>
      <c r="U4556" s="26"/>
      <c r="V4556" s="25"/>
      <c r="W4556" s="25"/>
      <c r="X4556" s="25"/>
      <c r="Y4556" s="25"/>
      <c r="Z4556" s="25"/>
    </row>
    <row r="4557" spans="1:26" ht="15.75" customHeight="1" x14ac:dyDescent="0.25">
      <c r="A4557" s="25"/>
      <c r="B4557" s="49"/>
      <c r="C4557" s="50"/>
      <c r="D4557" s="23"/>
      <c r="E4557" s="23"/>
      <c r="F4557" s="15"/>
      <c r="G4557" s="23"/>
      <c r="H4557" s="15"/>
      <c r="I4557" s="15"/>
      <c r="J4557" s="51"/>
      <c r="K4557" s="15"/>
      <c r="L4557" s="51"/>
      <c r="M4557" s="15"/>
      <c r="N4557" s="23"/>
      <c r="O4557" s="23"/>
      <c r="P4557" s="15" t="str">
        <f t="shared" si="6"/>
        <v/>
      </c>
      <c r="Q4557" s="24"/>
      <c r="R4557" s="25"/>
      <c r="S4557" s="25"/>
      <c r="T4557" s="26"/>
      <c r="U4557" s="26"/>
      <c r="V4557" s="25"/>
      <c r="W4557" s="25"/>
      <c r="X4557" s="25"/>
      <c r="Y4557" s="25"/>
      <c r="Z4557" s="25"/>
    </row>
    <row r="4558" spans="1:26" ht="15.75" customHeight="1" x14ac:dyDescent="0.25">
      <c r="A4558" s="25"/>
      <c r="B4558" s="49"/>
      <c r="C4558" s="50"/>
      <c r="D4558" s="23"/>
      <c r="E4558" s="23"/>
      <c r="F4558" s="15"/>
      <c r="G4558" s="23"/>
      <c r="H4558" s="15"/>
      <c r="I4558" s="15"/>
      <c r="J4558" s="51"/>
      <c r="K4558" s="15"/>
      <c r="L4558" s="51"/>
      <c r="M4558" s="15"/>
      <c r="N4558" s="23"/>
      <c r="O4558" s="23"/>
      <c r="P4558" s="15" t="str">
        <f t="shared" si="6"/>
        <v/>
      </c>
      <c r="Q4558" s="24"/>
      <c r="R4558" s="25"/>
      <c r="S4558" s="25"/>
      <c r="T4558" s="26"/>
      <c r="U4558" s="26"/>
      <c r="V4558" s="25"/>
      <c r="W4558" s="25"/>
      <c r="X4558" s="25"/>
      <c r="Y4558" s="25"/>
      <c r="Z4558" s="25"/>
    </row>
    <row r="4559" spans="1:26" ht="15.75" customHeight="1" x14ac:dyDescent="0.25">
      <c r="A4559" s="25"/>
      <c r="B4559" s="49"/>
      <c r="C4559" s="50"/>
      <c r="D4559" s="23"/>
      <c r="E4559" s="23"/>
      <c r="F4559" s="15"/>
      <c r="G4559" s="23"/>
      <c r="H4559" s="15"/>
      <c r="I4559" s="15"/>
      <c r="J4559" s="51"/>
      <c r="K4559" s="15"/>
      <c r="L4559" s="51"/>
      <c r="M4559" s="15"/>
      <c r="N4559" s="23"/>
      <c r="O4559" s="23"/>
      <c r="P4559" s="15" t="str">
        <f t="shared" si="6"/>
        <v/>
      </c>
      <c r="Q4559" s="24"/>
      <c r="R4559" s="25"/>
      <c r="S4559" s="25"/>
      <c r="T4559" s="26"/>
      <c r="U4559" s="26"/>
      <c r="V4559" s="25"/>
      <c r="W4559" s="25"/>
      <c r="X4559" s="25"/>
      <c r="Y4559" s="25"/>
      <c r="Z4559" s="25"/>
    </row>
    <row r="4560" spans="1:26" ht="15.75" customHeight="1" x14ac:dyDescent="0.25">
      <c r="A4560" s="25"/>
      <c r="B4560" s="49"/>
      <c r="C4560" s="50"/>
      <c r="D4560" s="23"/>
      <c r="E4560" s="23"/>
      <c r="F4560" s="15"/>
      <c r="G4560" s="23"/>
      <c r="H4560" s="15"/>
      <c r="I4560" s="15"/>
      <c r="J4560" s="51"/>
      <c r="K4560" s="15"/>
      <c r="L4560" s="51"/>
      <c r="M4560" s="15"/>
      <c r="N4560" s="23"/>
      <c r="O4560" s="23"/>
      <c r="P4560" s="15" t="str">
        <f t="shared" si="6"/>
        <v/>
      </c>
      <c r="Q4560" s="24"/>
      <c r="R4560" s="25"/>
      <c r="S4560" s="25"/>
      <c r="T4560" s="26"/>
      <c r="U4560" s="26"/>
      <c r="V4560" s="25"/>
      <c r="W4560" s="25"/>
      <c r="X4560" s="25"/>
      <c r="Y4560" s="25"/>
      <c r="Z4560" s="25"/>
    </row>
    <row r="4561" spans="1:26" ht="15.75" customHeight="1" x14ac:dyDescent="0.25">
      <c r="A4561" s="25"/>
      <c r="B4561" s="49"/>
      <c r="C4561" s="50"/>
      <c r="D4561" s="23"/>
      <c r="E4561" s="23"/>
      <c r="F4561" s="15"/>
      <c r="G4561" s="23"/>
      <c r="H4561" s="15"/>
      <c r="I4561" s="15"/>
      <c r="J4561" s="51"/>
      <c r="K4561" s="15"/>
      <c r="L4561" s="51"/>
      <c r="M4561" s="15"/>
      <c r="N4561" s="23"/>
      <c r="O4561" s="23"/>
      <c r="P4561" s="15" t="str">
        <f t="shared" si="6"/>
        <v/>
      </c>
      <c r="Q4561" s="24"/>
      <c r="R4561" s="25"/>
      <c r="S4561" s="25"/>
      <c r="T4561" s="26"/>
      <c r="U4561" s="26"/>
      <c r="V4561" s="25"/>
      <c r="W4561" s="25"/>
      <c r="X4561" s="25"/>
      <c r="Y4561" s="25"/>
      <c r="Z4561" s="25"/>
    </row>
    <row r="4562" spans="1:26" ht="15.75" customHeight="1" x14ac:dyDescent="0.25">
      <c r="A4562" s="25"/>
      <c r="B4562" s="49"/>
      <c r="C4562" s="50"/>
      <c r="D4562" s="23"/>
      <c r="E4562" s="23"/>
      <c r="F4562" s="15"/>
      <c r="G4562" s="23"/>
      <c r="H4562" s="15"/>
      <c r="I4562" s="15"/>
      <c r="J4562" s="51"/>
      <c r="K4562" s="15"/>
      <c r="L4562" s="51"/>
      <c r="M4562" s="15"/>
      <c r="N4562" s="23"/>
      <c r="O4562" s="23"/>
      <c r="P4562" s="15" t="str">
        <f t="shared" si="6"/>
        <v/>
      </c>
      <c r="Q4562" s="24"/>
      <c r="R4562" s="25"/>
      <c r="S4562" s="25"/>
      <c r="T4562" s="26"/>
      <c r="U4562" s="26"/>
      <c r="V4562" s="25"/>
      <c r="W4562" s="25"/>
      <c r="X4562" s="25"/>
      <c r="Y4562" s="25"/>
      <c r="Z4562" s="25"/>
    </row>
    <row r="4563" spans="1:26" ht="15.75" customHeight="1" x14ac:dyDescent="0.25">
      <c r="A4563" s="25"/>
      <c r="B4563" s="49"/>
      <c r="C4563" s="50"/>
      <c r="D4563" s="23"/>
      <c r="E4563" s="23"/>
      <c r="F4563" s="15"/>
      <c r="G4563" s="23"/>
      <c r="H4563" s="15"/>
      <c r="I4563" s="15"/>
      <c r="J4563" s="51"/>
      <c r="K4563" s="15"/>
      <c r="L4563" s="51"/>
      <c r="M4563" s="15"/>
      <c r="N4563" s="23"/>
      <c r="O4563" s="23"/>
      <c r="P4563" s="15" t="str">
        <f t="shared" si="6"/>
        <v/>
      </c>
      <c r="Q4563" s="24"/>
      <c r="R4563" s="25"/>
      <c r="S4563" s="25"/>
      <c r="T4563" s="26"/>
      <c r="U4563" s="26"/>
      <c r="V4563" s="25"/>
      <c r="W4563" s="25"/>
      <c r="X4563" s="25"/>
      <c r="Y4563" s="25"/>
      <c r="Z4563" s="25"/>
    </row>
    <row r="4564" spans="1:26" ht="15.75" customHeight="1" x14ac:dyDescent="0.25">
      <c r="A4564" s="25"/>
      <c r="B4564" s="49"/>
      <c r="C4564" s="50"/>
      <c r="D4564" s="23"/>
      <c r="E4564" s="23"/>
      <c r="F4564" s="15"/>
      <c r="G4564" s="23"/>
      <c r="H4564" s="15"/>
      <c r="I4564" s="15"/>
      <c r="J4564" s="51"/>
      <c r="K4564" s="15"/>
      <c r="L4564" s="51"/>
      <c r="M4564" s="15"/>
      <c r="N4564" s="23"/>
      <c r="O4564" s="23"/>
      <c r="P4564" s="15" t="str">
        <f t="shared" si="6"/>
        <v/>
      </c>
      <c r="Q4564" s="24"/>
      <c r="R4564" s="25"/>
      <c r="S4564" s="25"/>
      <c r="T4564" s="26"/>
      <c r="U4564" s="26"/>
      <c r="V4564" s="25"/>
      <c r="W4564" s="25"/>
      <c r="X4564" s="25"/>
      <c r="Y4564" s="25"/>
      <c r="Z4564" s="25"/>
    </row>
    <row r="4565" spans="1:26" ht="15.75" customHeight="1" x14ac:dyDescent="0.25">
      <c r="A4565" s="25"/>
      <c r="B4565" s="49"/>
      <c r="C4565" s="50"/>
      <c r="D4565" s="23"/>
      <c r="E4565" s="23"/>
      <c r="F4565" s="15"/>
      <c r="G4565" s="23"/>
      <c r="H4565" s="15"/>
      <c r="I4565" s="15"/>
      <c r="J4565" s="51"/>
      <c r="K4565" s="15"/>
      <c r="L4565" s="51"/>
      <c r="M4565" s="15"/>
      <c r="N4565" s="23"/>
      <c r="O4565" s="23"/>
      <c r="P4565" s="15" t="str">
        <f t="shared" si="6"/>
        <v/>
      </c>
      <c r="Q4565" s="24"/>
      <c r="R4565" s="25"/>
      <c r="S4565" s="25"/>
      <c r="T4565" s="26"/>
      <c r="U4565" s="26"/>
      <c r="V4565" s="25"/>
      <c r="W4565" s="25"/>
      <c r="X4565" s="25"/>
      <c r="Y4565" s="25"/>
      <c r="Z4565" s="25"/>
    </row>
    <row r="4566" spans="1:26" ht="15.75" customHeight="1" x14ac:dyDescent="0.25">
      <c r="A4566" s="25"/>
      <c r="B4566" s="49"/>
      <c r="C4566" s="50"/>
      <c r="D4566" s="23"/>
      <c r="E4566" s="23"/>
      <c r="F4566" s="15"/>
      <c r="G4566" s="23"/>
      <c r="H4566" s="15"/>
      <c r="I4566" s="15"/>
      <c r="J4566" s="51"/>
      <c r="K4566" s="15"/>
      <c r="L4566" s="51"/>
      <c r="M4566" s="15"/>
      <c r="N4566" s="23"/>
      <c r="O4566" s="23"/>
      <c r="P4566" s="15" t="str">
        <f t="shared" si="6"/>
        <v/>
      </c>
      <c r="Q4566" s="24"/>
      <c r="R4566" s="25"/>
      <c r="S4566" s="25"/>
      <c r="T4566" s="26"/>
      <c r="U4566" s="26"/>
      <c r="V4566" s="25"/>
      <c r="W4566" s="25"/>
      <c r="X4566" s="25"/>
      <c r="Y4566" s="25"/>
      <c r="Z4566" s="25"/>
    </row>
    <row r="4567" spans="1:26" ht="15.75" customHeight="1" x14ac:dyDescent="0.25">
      <c r="A4567" s="25"/>
      <c r="B4567" s="49"/>
      <c r="C4567" s="50"/>
      <c r="D4567" s="23"/>
      <c r="E4567" s="23"/>
      <c r="F4567" s="15"/>
      <c r="G4567" s="23"/>
      <c r="H4567" s="15"/>
      <c r="I4567" s="15"/>
      <c r="J4567" s="51"/>
      <c r="K4567" s="15"/>
      <c r="L4567" s="51"/>
      <c r="M4567" s="15"/>
      <c r="N4567" s="23"/>
      <c r="O4567" s="23"/>
      <c r="P4567" s="15" t="str">
        <f t="shared" si="6"/>
        <v/>
      </c>
      <c r="Q4567" s="24"/>
      <c r="R4567" s="25"/>
      <c r="S4567" s="25"/>
      <c r="T4567" s="26"/>
      <c r="U4567" s="26"/>
      <c r="V4567" s="25"/>
      <c r="W4567" s="25"/>
      <c r="X4567" s="25"/>
      <c r="Y4567" s="25"/>
      <c r="Z4567" s="25"/>
    </row>
    <row r="4568" spans="1:26" ht="15.75" customHeight="1" x14ac:dyDescent="0.25">
      <c r="A4568" s="25"/>
      <c r="B4568" s="49"/>
      <c r="C4568" s="50"/>
      <c r="D4568" s="23"/>
      <c r="E4568" s="23"/>
      <c r="F4568" s="15"/>
      <c r="G4568" s="23"/>
      <c r="H4568" s="15"/>
      <c r="I4568" s="15"/>
      <c r="J4568" s="51"/>
      <c r="K4568" s="15"/>
      <c r="L4568" s="51"/>
      <c r="M4568" s="15"/>
      <c r="N4568" s="23"/>
      <c r="O4568" s="23"/>
      <c r="P4568" s="15" t="str">
        <f t="shared" si="6"/>
        <v/>
      </c>
      <c r="Q4568" s="24"/>
      <c r="R4568" s="25"/>
      <c r="S4568" s="25"/>
      <c r="T4568" s="26"/>
      <c r="U4568" s="26"/>
      <c r="V4568" s="25"/>
      <c r="W4568" s="25"/>
      <c r="X4568" s="25"/>
      <c r="Y4568" s="25"/>
      <c r="Z4568" s="25"/>
    </row>
    <row r="4569" spans="1:26" ht="15.75" customHeight="1" x14ac:dyDescent="0.25">
      <c r="A4569" s="25"/>
      <c r="B4569" s="49"/>
      <c r="C4569" s="50"/>
      <c r="D4569" s="23"/>
      <c r="E4569" s="23"/>
      <c r="F4569" s="15"/>
      <c r="G4569" s="23"/>
      <c r="H4569" s="15"/>
      <c r="I4569" s="15"/>
      <c r="J4569" s="51"/>
      <c r="K4569" s="15"/>
      <c r="L4569" s="51"/>
      <c r="M4569" s="15"/>
      <c r="N4569" s="23"/>
      <c r="O4569" s="23"/>
      <c r="P4569" s="15" t="str">
        <f t="shared" si="6"/>
        <v/>
      </c>
      <c r="Q4569" s="24"/>
      <c r="R4569" s="25"/>
      <c r="S4569" s="25"/>
      <c r="T4569" s="26"/>
      <c r="U4569" s="26"/>
      <c r="V4569" s="25"/>
      <c r="W4569" s="25"/>
      <c r="X4569" s="25"/>
      <c r="Y4569" s="25"/>
      <c r="Z4569" s="25"/>
    </row>
    <row r="4570" spans="1:26" ht="15.75" customHeight="1" x14ac:dyDescent="0.25">
      <c r="A4570" s="25"/>
      <c r="B4570" s="49"/>
      <c r="C4570" s="50"/>
      <c r="D4570" s="23"/>
      <c r="E4570" s="23"/>
      <c r="F4570" s="15"/>
      <c r="G4570" s="23"/>
      <c r="H4570" s="15"/>
      <c r="I4570" s="15"/>
      <c r="J4570" s="51"/>
      <c r="K4570" s="15"/>
      <c r="L4570" s="51"/>
      <c r="M4570" s="15"/>
      <c r="N4570" s="23"/>
      <c r="O4570" s="23"/>
      <c r="P4570" s="15" t="str">
        <f t="shared" si="6"/>
        <v/>
      </c>
      <c r="Q4570" s="24"/>
      <c r="R4570" s="25"/>
      <c r="S4570" s="25"/>
      <c r="T4570" s="26"/>
      <c r="U4570" s="26"/>
      <c r="V4570" s="25"/>
      <c r="W4570" s="25"/>
      <c r="X4570" s="25"/>
      <c r="Y4570" s="25"/>
      <c r="Z4570" s="25"/>
    </row>
    <row r="4571" spans="1:26" ht="15.75" customHeight="1" x14ac:dyDescent="0.25">
      <c r="A4571" s="25"/>
      <c r="B4571" s="49"/>
      <c r="C4571" s="50"/>
      <c r="D4571" s="23"/>
      <c r="E4571" s="23"/>
      <c r="F4571" s="15"/>
      <c r="G4571" s="23"/>
      <c r="H4571" s="15"/>
      <c r="I4571" s="15"/>
      <c r="J4571" s="51"/>
      <c r="K4571" s="15"/>
      <c r="L4571" s="51"/>
      <c r="M4571" s="15"/>
      <c r="N4571" s="23"/>
      <c r="O4571" s="23"/>
      <c r="P4571" s="15" t="str">
        <f t="shared" si="6"/>
        <v/>
      </c>
      <c r="Q4571" s="24"/>
      <c r="R4571" s="25"/>
      <c r="S4571" s="25"/>
      <c r="T4571" s="26"/>
      <c r="U4571" s="26"/>
      <c r="V4571" s="25"/>
      <c r="W4571" s="25"/>
      <c r="X4571" s="25"/>
      <c r="Y4571" s="25"/>
      <c r="Z4571" s="25"/>
    </row>
    <row r="4572" spans="1:26" ht="15.75" customHeight="1" x14ac:dyDescent="0.25">
      <c r="A4572" s="25"/>
      <c r="B4572" s="49"/>
      <c r="C4572" s="50"/>
      <c r="D4572" s="23"/>
      <c r="E4572" s="23"/>
      <c r="F4572" s="15"/>
      <c r="G4572" s="23"/>
      <c r="H4572" s="15"/>
      <c r="I4572" s="15"/>
      <c r="J4572" s="51"/>
      <c r="K4572" s="15"/>
      <c r="L4572" s="51"/>
      <c r="M4572" s="15"/>
      <c r="N4572" s="23"/>
      <c r="O4572" s="23"/>
      <c r="P4572" s="15" t="str">
        <f t="shared" si="6"/>
        <v/>
      </c>
      <c r="Q4572" s="24"/>
      <c r="R4572" s="25"/>
      <c r="S4572" s="25"/>
      <c r="T4572" s="26"/>
      <c r="U4572" s="26"/>
      <c r="V4572" s="25"/>
      <c r="W4572" s="25"/>
      <c r="X4572" s="25"/>
      <c r="Y4572" s="25"/>
      <c r="Z4572" s="25"/>
    </row>
    <row r="4573" spans="1:26" ht="15.75" customHeight="1" x14ac:dyDescent="0.25">
      <c r="A4573" s="25"/>
      <c r="B4573" s="49"/>
      <c r="C4573" s="50"/>
      <c r="D4573" s="23"/>
      <c r="E4573" s="23"/>
      <c r="F4573" s="15"/>
      <c r="G4573" s="23"/>
      <c r="H4573" s="15"/>
      <c r="I4573" s="15"/>
      <c r="J4573" s="51"/>
      <c r="K4573" s="15"/>
      <c r="L4573" s="51"/>
      <c r="M4573" s="15"/>
      <c r="N4573" s="23"/>
      <c r="O4573" s="23"/>
      <c r="P4573" s="15" t="str">
        <f t="shared" si="6"/>
        <v/>
      </c>
      <c r="Q4573" s="24"/>
      <c r="R4573" s="25"/>
      <c r="S4573" s="25"/>
      <c r="T4573" s="26"/>
      <c r="U4573" s="26"/>
      <c r="V4573" s="25"/>
      <c r="W4573" s="25"/>
      <c r="X4573" s="25"/>
      <c r="Y4573" s="25"/>
      <c r="Z4573" s="25"/>
    </row>
    <row r="4574" spans="1:26" ht="15.75" customHeight="1" x14ac:dyDescent="0.25">
      <c r="A4574" s="25"/>
      <c r="B4574" s="49"/>
      <c r="C4574" s="50"/>
      <c r="D4574" s="23"/>
      <c r="E4574" s="23"/>
      <c r="F4574" s="15"/>
      <c r="G4574" s="23"/>
      <c r="H4574" s="15"/>
      <c r="I4574" s="15"/>
      <c r="J4574" s="51"/>
      <c r="K4574" s="15"/>
      <c r="L4574" s="51"/>
      <c r="M4574" s="15"/>
      <c r="N4574" s="23"/>
      <c r="O4574" s="23"/>
      <c r="P4574" s="15" t="str">
        <f t="shared" si="6"/>
        <v/>
      </c>
      <c r="Q4574" s="24"/>
      <c r="R4574" s="25"/>
      <c r="S4574" s="25"/>
      <c r="T4574" s="26"/>
      <c r="U4574" s="26"/>
      <c r="V4574" s="25"/>
      <c r="W4574" s="25"/>
      <c r="X4574" s="25"/>
      <c r="Y4574" s="25"/>
      <c r="Z4574" s="25"/>
    </row>
    <row r="4575" spans="1:26" ht="15.75" customHeight="1" x14ac:dyDescent="0.25">
      <c r="A4575" s="25"/>
      <c r="B4575" s="49"/>
      <c r="C4575" s="50"/>
      <c r="D4575" s="23"/>
      <c r="E4575" s="23"/>
      <c r="F4575" s="15"/>
      <c r="G4575" s="23"/>
      <c r="H4575" s="15"/>
      <c r="I4575" s="15"/>
      <c r="J4575" s="51"/>
      <c r="K4575" s="15"/>
      <c r="L4575" s="51"/>
      <c r="M4575" s="15"/>
      <c r="N4575" s="23"/>
      <c r="O4575" s="23"/>
      <c r="P4575" s="15" t="str">
        <f t="shared" si="6"/>
        <v/>
      </c>
      <c r="Q4575" s="24"/>
      <c r="R4575" s="25"/>
      <c r="S4575" s="25"/>
      <c r="T4575" s="26"/>
      <c r="U4575" s="26"/>
      <c r="V4575" s="25"/>
      <c r="W4575" s="25"/>
      <c r="X4575" s="25"/>
      <c r="Y4575" s="25"/>
      <c r="Z4575" s="25"/>
    </row>
    <row r="4576" spans="1:26" ht="15.75" customHeight="1" x14ac:dyDescent="0.25">
      <c r="A4576" s="25"/>
      <c r="B4576" s="49"/>
      <c r="C4576" s="50"/>
      <c r="D4576" s="23"/>
      <c r="E4576" s="23"/>
      <c r="F4576" s="15"/>
      <c r="G4576" s="23"/>
      <c r="H4576" s="15"/>
      <c r="I4576" s="15"/>
      <c r="J4576" s="51"/>
      <c r="K4576" s="15"/>
      <c r="L4576" s="51"/>
      <c r="M4576" s="15"/>
      <c r="N4576" s="23"/>
      <c r="O4576" s="23"/>
      <c r="P4576" s="15" t="str">
        <f t="shared" si="6"/>
        <v/>
      </c>
      <c r="Q4576" s="24"/>
      <c r="R4576" s="25"/>
      <c r="S4576" s="25"/>
      <c r="T4576" s="26"/>
      <c r="U4576" s="26"/>
      <c r="V4576" s="25"/>
      <c r="W4576" s="25"/>
      <c r="X4576" s="25"/>
      <c r="Y4576" s="25"/>
      <c r="Z4576" s="25"/>
    </row>
    <row r="4577" spans="1:26" ht="15.75" customHeight="1" x14ac:dyDescent="0.25">
      <c r="A4577" s="25"/>
      <c r="B4577" s="49"/>
      <c r="C4577" s="50"/>
      <c r="D4577" s="23"/>
      <c r="E4577" s="23"/>
      <c r="F4577" s="15"/>
      <c r="G4577" s="23"/>
      <c r="H4577" s="15"/>
      <c r="I4577" s="15"/>
      <c r="J4577" s="51"/>
      <c r="K4577" s="15"/>
      <c r="L4577" s="51"/>
      <c r="M4577" s="15"/>
      <c r="N4577" s="23"/>
      <c r="O4577" s="23"/>
      <c r="P4577" s="15" t="str">
        <f t="shared" si="6"/>
        <v/>
      </c>
      <c r="Q4577" s="24"/>
      <c r="R4577" s="25"/>
      <c r="S4577" s="25"/>
      <c r="T4577" s="26"/>
      <c r="U4577" s="26"/>
      <c r="V4577" s="25"/>
      <c r="W4577" s="25"/>
      <c r="X4577" s="25"/>
      <c r="Y4577" s="25"/>
      <c r="Z4577" s="25"/>
    </row>
    <row r="4578" spans="1:26" ht="15.75" customHeight="1" x14ac:dyDescent="0.25">
      <c r="A4578" s="25"/>
      <c r="B4578" s="49"/>
      <c r="C4578" s="50"/>
      <c r="D4578" s="23"/>
      <c r="E4578" s="23"/>
      <c r="F4578" s="15"/>
      <c r="G4578" s="23"/>
      <c r="H4578" s="15"/>
      <c r="I4578" s="15"/>
      <c r="J4578" s="51"/>
      <c r="K4578" s="15"/>
      <c r="L4578" s="51"/>
      <c r="M4578" s="15"/>
      <c r="N4578" s="23"/>
      <c r="O4578" s="23"/>
      <c r="P4578" s="15" t="str">
        <f t="shared" si="6"/>
        <v/>
      </c>
      <c r="Q4578" s="24"/>
      <c r="R4578" s="25"/>
      <c r="S4578" s="25"/>
      <c r="T4578" s="26"/>
      <c r="U4578" s="26"/>
      <c r="V4578" s="25"/>
      <c r="W4578" s="25"/>
      <c r="X4578" s="25"/>
      <c r="Y4578" s="25"/>
      <c r="Z4578" s="25"/>
    </row>
    <row r="4579" spans="1:26" ht="15.75" customHeight="1" x14ac:dyDescent="0.25">
      <c r="A4579" s="25"/>
      <c r="B4579" s="49"/>
      <c r="C4579" s="50"/>
      <c r="D4579" s="23"/>
      <c r="E4579" s="23"/>
      <c r="F4579" s="15"/>
      <c r="G4579" s="23"/>
      <c r="H4579" s="15"/>
      <c r="I4579" s="15"/>
      <c r="J4579" s="51"/>
      <c r="K4579" s="15"/>
      <c r="L4579" s="51"/>
      <c r="M4579" s="15"/>
      <c r="N4579" s="23"/>
      <c r="O4579" s="23"/>
      <c r="P4579" s="15" t="str">
        <f t="shared" si="6"/>
        <v/>
      </c>
      <c r="Q4579" s="24"/>
      <c r="R4579" s="25"/>
      <c r="S4579" s="25"/>
      <c r="T4579" s="26"/>
      <c r="U4579" s="26"/>
      <c r="V4579" s="25"/>
      <c r="W4579" s="25"/>
      <c r="X4579" s="25"/>
      <c r="Y4579" s="25"/>
      <c r="Z4579" s="25"/>
    </row>
    <row r="4580" spans="1:26" ht="15.75" customHeight="1" x14ac:dyDescent="0.25">
      <c r="A4580" s="25"/>
      <c r="B4580" s="49"/>
      <c r="C4580" s="50"/>
      <c r="D4580" s="23"/>
      <c r="E4580" s="23"/>
      <c r="F4580" s="15"/>
      <c r="G4580" s="23"/>
      <c r="H4580" s="15"/>
      <c r="I4580" s="15"/>
      <c r="J4580" s="51"/>
      <c r="K4580" s="15"/>
      <c r="L4580" s="51"/>
      <c r="M4580" s="15"/>
      <c r="N4580" s="23"/>
      <c r="O4580" s="23"/>
      <c r="P4580" s="15" t="str">
        <f t="shared" si="6"/>
        <v/>
      </c>
      <c r="Q4580" s="24"/>
      <c r="R4580" s="25"/>
      <c r="S4580" s="25"/>
      <c r="T4580" s="26"/>
      <c r="U4580" s="26"/>
      <c r="V4580" s="25"/>
      <c r="W4580" s="25"/>
      <c r="X4580" s="25"/>
      <c r="Y4580" s="25"/>
      <c r="Z4580" s="25"/>
    </row>
    <row r="4581" spans="1:26" ht="15.75" customHeight="1" x14ac:dyDescent="0.25">
      <c r="A4581" s="25"/>
      <c r="B4581" s="49"/>
      <c r="C4581" s="50"/>
      <c r="D4581" s="23"/>
      <c r="E4581" s="23"/>
      <c r="F4581" s="15"/>
      <c r="G4581" s="23"/>
      <c r="H4581" s="15"/>
      <c r="I4581" s="15"/>
      <c r="J4581" s="51"/>
      <c r="K4581" s="15"/>
      <c r="L4581" s="51"/>
      <c r="M4581" s="15"/>
      <c r="N4581" s="23"/>
      <c r="O4581" s="23"/>
      <c r="P4581" s="15" t="str">
        <f t="shared" si="6"/>
        <v/>
      </c>
      <c r="Q4581" s="24"/>
      <c r="R4581" s="25"/>
      <c r="S4581" s="25"/>
      <c r="T4581" s="26"/>
      <c r="U4581" s="26"/>
      <c r="V4581" s="25"/>
      <c r="W4581" s="25"/>
      <c r="X4581" s="25"/>
      <c r="Y4581" s="25"/>
      <c r="Z4581" s="25"/>
    </row>
    <row r="4582" spans="1:26" ht="15.75" customHeight="1" x14ac:dyDescent="0.25">
      <c r="A4582" s="25"/>
      <c r="B4582" s="49"/>
      <c r="C4582" s="50"/>
      <c r="D4582" s="23"/>
      <c r="E4582" s="23"/>
      <c r="F4582" s="15"/>
      <c r="G4582" s="23"/>
      <c r="H4582" s="15"/>
      <c r="I4582" s="15"/>
      <c r="J4582" s="51"/>
      <c r="K4582" s="15"/>
      <c r="L4582" s="51"/>
      <c r="M4582" s="15"/>
      <c r="N4582" s="23"/>
      <c r="O4582" s="23"/>
      <c r="P4582" s="15" t="str">
        <f t="shared" si="6"/>
        <v/>
      </c>
      <c r="Q4582" s="24"/>
      <c r="R4582" s="25"/>
      <c r="S4582" s="25"/>
      <c r="T4582" s="26"/>
      <c r="U4582" s="26"/>
      <c r="V4582" s="25"/>
      <c r="W4582" s="25"/>
      <c r="X4582" s="25"/>
      <c r="Y4582" s="25"/>
      <c r="Z4582" s="25"/>
    </row>
    <row r="4583" spans="1:26" ht="15.75" customHeight="1" x14ac:dyDescent="0.25">
      <c r="A4583" s="25"/>
      <c r="B4583" s="49"/>
      <c r="C4583" s="50"/>
      <c r="D4583" s="23"/>
      <c r="E4583" s="23"/>
      <c r="F4583" s="15"/>
      <c r="G4583" s="23"/>
      <c r="H4583" s="15"/>
      <c r="I4583" s="15"/>
      <c r="J4583" s="51"/>
      <c r="K4583" s="15"/>
      <c r="L4583" s="51"/>
      <c r="M4583" s="15"/>
      <c r="N4583" s="23"/>
      <c r="O4583" s="23"/>
      <c r="P4583" s="15" t="str">
        <f t="shared" si="6"/>
        <v/>
      </c>
      <c r="Q4583" s="24"/>
      <c r="R4583" s="25"/>
      <c r="S4583" s="25"/>
      <c r="T4583" s="26"/>
      <c r="U4583" s="26"/>
      <c r="V4583" s="25"/>
      <c r="W4583" s="25"/>
      <c r="X4583" s="25"/>
      <c r="Y4583" s="25"/>
      <c r="Z4583" s="25"/>
    </row>
    <row r="4584" spans="1:26" ht="15.75" customHeight="1" x14ac:dyDescent="0.25">
      <c r="A4584" s="25"/>
      <c r="B4584" s="49"/>
      <c r="C4584" s="50"/>
      <c r="D4584" s="23"/>
      <c r="E4584" s="23"/>
      <c r="F4584" s="15"/>
      <c r="G4584" s="23"/>
      <c r="H4584" s="15"/>
      <c r="I4584" s="15"/>
      <c r="J4584" s="51"/>
      <c r="K4584" s="15"/>
      <c r="L4584" s="51"/>
      <c r="M4584" s="15"/>
      <c r="N4584" s="23"/>
      <c r="O4584" s="23"/>
      <c r="P4584" s="15" t="str">
        <f t="shared" si="6"/>
        <v/>
      </c>
      <c r="Q4584" s="24"/>
      <c r="R4584" s="25"/>
      <c r="S4584" s="25"/>
      <c r="T4584" s="26"/>
      <c r="U4584" s="26"/>
      <c r="V4584" s="25"/>
      <c r="W4584" s="25"/>
      <c r="X4584" s="25"/>
      <c r="Y4584" s="25"/>
      <c r="Z4584" s="25"/>
    </row>
    <row r="4585" spans="1:26" ht="15.75" customHeight="1" x14ac:dyDescent="0.25">
      <c r="A4585" s="25"/>
      <c r="B4585" s="49"/>
      <c r="C4585" s="50"/>
      <c r="D4585" s="23"/>
      <c r="E4585" s="23"/>
      <c r="F4585" s="15"/>
      <c r="G4585" s="23"/>
      <c r="H4585" s="15"/>
      <c r="I4585" s="15"/>
      <c r="J4585" s="51"/>
      <c r="K4585" s="15"/>
      <c r="L4585" s="51"/>
      <c r="M4585" s="15"/>
      <c r="N4585" s="23"/>
      <c r="O4585" s="23"/>
      <c r="P4585" s="15" t="str">
        <f t="shared" si="6"/>
        <v/>
      </c>
      <c r="Q4585" s="24"/>
      <c r="R4585" s="25"/>
      <c r="S4585" s="25"/>
      <c r="T4585" s="26"/>
      <c r="U4585" s="26"/>
      <c r="V4585" s="25"/>
      <c r="W4585" s="25"/>
      <c r="X4585" s="25"/>
      <c r="Y4585" s="25"/>
      <c r="Z4585" s="25"/>
    </row>
    <row r="4586" spans="1:26" ht="15.75" customHeight="1" x14ac:dyDescent="0.25">
      <c r="A4586" s="25"/>
      <c r="B4586" s="49"/>
      <c r="C4586" s="50"/>
      <c r="D4586" s="23"/>
      <c r="E4586" s="23"/>
      <c r="F4586" s="15"/>
      <c r="G4586" s="23"/>
      <c r="H4586" s="15"/>
      <c r="I4586" s="15"/>
      <c r="J4586" s="51"/>
      <c r="K4586" s="15"/>
      <c r="L4586" s="51"/>
      <c r="M4586" s="15"/>
      <c r="N4586" s="23"/>
      <c r="O4586" s="23"/>
      <c r="P4586" s="15" t="str">
        <f t="shared" si="6"/>
        <v/>
      </c>
      <c r="Q4586" s="24"/>
      <c r="R4586" s="25"/>
      <c r="S4586" s="25"/>
      <c r="T4586" s="26"/>
      <c r="U4586" s="26"/>
      <c r="V4586" s="25"/>
      <c r="W4586" s="25"/>
      <c r="X4586" s="25"/>
      <c r="Y4586" s="25"/>
      <c r="Z4586" s="25"/>
    </row>
    <row r="4587" spans="1:26" ht="15.75" customHeight="1" x14ac:dyDescent="0.25">
      <c r="A4587" s="25"/>
      <c r="B4587" s="49"/>
      <c r="C4587" s="50"/>
      <c r="D4587" s="23"/>
      <c r="E4587" s="23"/>
      <c r="F4587" s="15"/>
      <c r="G4587" s="23"/>
      <c r="H4587" s="15"/>
      <c r="I4587" s="15"/>
      <c r="J4587" s="51"/>
      <c r="K4587" s="15"/>
      <c r="L4587" s="51"/>
      <c r="M4587" s="15"/>
      <c r="N4587" s="23"/>
      <c r="O4587" s="23"/>
      <c r="P4587" s="15" t="str">
        <f t="shared" si="6"/>
        <v/>
      </c>
      <c r="Q4587" s="24"/>
      <c r="R4587" s="25"/>
      <c r="S4587" s="25"/>
      <c r="T4587" s="26"/>
      <c r="U4587" s="26"/>
      <c r="V4587" s="25"/>
      <c r="W4587" s="25"/>
      <c r="X4587" s="25"/>
      <c r="Y4587" s="25"/>
      <c r="Z4587" s="25"/>
    </row>
    <row r="4588" spans="1:26" ht="15.75" customHeight="1" x14ac:dyDescent="0.25">
      <c r="A4588" s="25"/>
      <c r="B4588" s="49"/>
      <c r="C4588" s="50"/>
      <c r="D4588" s="23"/>
      <c r="E4588" s="23"/>
      <c r="F4588" s="15"/>
      <c r="G4588" s="23"/>
      <c r="H4588" s="15"/>
      <c r="I4588" s="15"/>
      <c r="J4588" s="51"/>
      <c r="K4588" s="15"/>
      <c r="L4588" s="51"/>
      <c r="M4588" s="15"/>
      <c r="N4588" s="23"/>
      <c r="O4588" s="23"/>
      <c r="P4588" s="15" t="str">
        <f t="shared" si="6"/>
        <v/>
      </c>
      <c r="Q4588" s="24"/>
      <c r="R4588" s="25"/>
      <c r="S4588" s="25"/>
      <c r="T4588" s="26"/>
      <c r="U4588" s="26"/>
      <c r="V4588" s="25"/>
      <c r="W4588" s="25"/>
      <c r="X4588" s="25"/>
      <c r="Y4588" s="25"/>
      <c r="Z4588" s="25"/>
    </row>
    <row r="4589" spans="1:26" ht="15.75" customHeight="1" x14ac:dyDescent="0.25">
      <c r="A4589" s="25"/>
      <c r="B4589" s="49"/>
      <c r="C4589" s="50"/>
      <c r="D4589" s="23"/>
      <c r="E4589" s="23"/>
      <c r="F4589" s="15"/>
      <c r="G4589" s="23"/>
      <c r="H4589" s="15"/>
      <c r="I4589" s="15"/>
      <c r="J4589" s="51"/>
      <c r="K4589" s="15"/>
      <c r="L4589" s="51"/>
      <c r="M4589" s="15"/>
      <c r="N4589" s="23"/>
      <c r="O4589" s="23"/>
      <c r="P4589" s="15" t="str">
        <f t="shared" si="6"/>
        <v/>
      </c>
      <c r="Q4589" s="24"/>
      <c r="R4589" s="25"/>
      <c r="S4589" s="25"/>
      <c r="T4589" s="26"/>
      <c r="U4589" s="26"/>
      <c r="V4589" s="25"/>
      <c r="W4589" s="25"/>
      <c r="X4589" s="25"/>
      <c r="Y4589" s="25"/>
      <c r="Z4589" s="25"/>
    </row>
    <row r="4590" spans="1:26" ht="15.75" customHeight="1" x14ac:dyDescent="0.25">
      <c r="A4590" s="25"/>
      <c r="B4590" s="49"/>
      <c r="C4590" s="50"/>
      <c r="D4590" s="23"/>
      <c r="E4590" s="23"/>
      <c r="F4590" s="15"/>
      <c r="G4590" s="23"/>
      <c r="H4590" s="15"/>
      <c r="I4590" s="15"/>
      <c r="J4590" s="51"/>
      <c r="K4590" s="15"/>
      <c r="L4590" s="51"/>
      <c r="M4590" s="15"/>
      <c r="N4590" s="23"/>
      <c r="O4590" s="23"/>
      <c r="P4590" s="15" t="str">
        <f t="shared" si="6"/>
        <v/>
      </c>
      <c r="Q4590" s="24"/>
      <c r="R4590" s="25"/>
      <c r="S4590" s="25"/>
      <c r="T4590" s="26"/>
      <c r="U4590" s="26"/>
      <c r="V4590" s="25"/>
      <c r="W4590" s="25"/>
      <c r="X4590" s="25"/>
      <c r="Y4590" s="25"/>
      <c r="Z4590" s="25"/>
    </row>
    <row r="4591" spans="1:26" ht="15.75" customHeight="1" x14ac:dyDescent="0.25">
      <c r="A4591" s="25"/>
      <c r="B4591" s="49"/>
      <c r="C4591" s="50"/>
      <c r="D4591" s="23"/>
      <c r="E4591" s="23"/>
      <c r="F4591" s="15"/>
      <c r="G4591" s="23"/>
      <c r="H4591" s="15"/>
      <c r="I4591" s="15"/>
      <c r="J4591" s="51"/>
      <c r="K4591" s="15"/>
      <c r="L4591" s="51"/>
      <c r="M4591" s="15"/>
      <c r="N4591" s="23"/>
      <c r="O4591" s="23"/>
      <c r="P4591" s="15" t="str">
        <f t="shared" si="6"/>
        <v/>
      </c>
      <c r="Q4591" s="24"/>
      <c r="R4591" s="25"/>
      <c r="S4591" s="25"/>
      <c r="T4591" s="26"/>
      <c r="U4591" s="26"/>
      <c r="V4591" s="25"/>
      <c r="W4591" s="25"/>
      <c r="X4591" s="25"/>
      <c r="Y4591" s="25"/>
      <c r="Z4591" s="25"/>
    </row>
    <row r="4592" spans="1:26" ht="15.75" customHeight="1" x14ac:dyDescent="0.25">
      <c r="A4592" s="25"/>
      <c r="B4592" s="49"/>
      <c r="C4592" s="50"/>
      <c r="D4592" s="23"/>
      <c r="E4592" s="23"/>
      <c r="F4592" s="15"/>
      <c r="G4592" s="23"/>
      <c r="H4592" s="15"/>
      <c r="I4592" s="15"/>
      <c r="J4592" s="51"/>
      <c r="K4592" s="15"/>
      <c r="L4592" s="51"/>
      <c r="M4592" s="15"/>
      <c r="N4592" s="23"/>
      <c r="O4592" s="23"/>
      <c r="P4592" s="15" t="str">
        <f t="shared" si="6"/>
        <v/>
      </c>
      <c r="Q4592" s="24"/>
      <c r="R4592" s="25"/>
      <c r="S4592" s="25"/>
      <c r="T4592" s="26"/>
      <c r="U4592" s="26"/>
      <c r="V4592" s="25"/>
      <c r="W4592" s="25"/>
      <c r="X4592" s="25"/>
      <c r="Y4592" s="25"/>
      <c r="Z4592" s="25"/>
    </row>
    <row r="4593" spans="1:26" ht="15.75" customHeight="1" x14ac:dyDescent="0.25">
      <c r="A4593" s="25"/>
      <c r="B4593" s="49"/>
      <c r="C4593" s="50"/>
      <c r="D4593" s="23"/>
      <c r="E4593" s="23"/>
      <c r="F4593" s="15"/>
      <c r="G4593" s="23"/>
      <c r="H4593" s="15"/>
      <c r="I4593" s="15"/>
      <c r="J4593" s="51"/>
      <c r="K4593" s="15"/>
      <c r="L4593" s="51"/>
      <c r="M4593" s="15"/>
      <c r="N4593" s="23"/>
      <c r="O4593" s="23"/>
      <c r="P4593" s="15" t="str">
        <f t="shared" si="6"/>
        <v/>
      </c>
      <c r="Q4593" s="24"/>
      <c r="R4593" s="25"/>
      <c r="S4593" s="25"/>
      <c r="T4593" s="26"/>
      <c r="U4593" s="26"/>
      <c r="V4593" s="25"/>
      <c r="W4593" s="25"/>
      <c r="X4593" s="25"/>
      <c r="Y4593" s="25"/>
      <c r="Z4593" s="25"/>
    </row>
    <row r="4594" spans="1:26" ht="15.75" customHeight="1" x14ac:dyDescent="0.25">
      <c r="A4594" s="25"/>
      <c r="B4594" s="49"/>
      <c r="C4594" s="50"/>
      <c r="D4594" s="23"/>
      <c r="E4594" s="23"/>
      <c r="F4594" s="15"/>
      <c r="G4594" s="23"/>
      <c r="H4594" s="15"/>
      <c r="I4594" s="15"/>
      <c r="J4594" s="51"/>
      <c r="K4594" s="15"/>
      <c r="L4594" s="51"/>
      <c r="M4594" s="15"/>
      <c r="N4594" s="23"/>
      <c r="O4594" s="23"/>
      <c r="P4594" s="15" t="str">
        <f t="shared" si="6"/>
        <v/>
      </c>
      <c r="Q4594" s="24"/>
      <c r="R4594" s="25"/>
      <c r="S4594" s="25"/>
      <c r="T4594" s="26"/>
      <c r="U4594" s="26"/>
      <c r="V4594" s="25"/>
      <c r="W4594" s="25"/>
      <c r="X4594" s="25"/>
      <c r="Y4594" s="25"/>
      <c r="Z4594" s="25"/>
    </row>
    <row r="4595" spans="1:26" ht="15.75" customHeight="1" x14ac:dyDescent="0.25">
      <c r="A4595" s="25"/>
      <c r="B4595" s="49"/>
      <c r="C4595" s="50"/>
      <c r="D4595" s="23"/>
      <c r="E4595" s="23"/>
      <c r="F4595" s="15"/>
      <c r="G4595" s="23"/>
      <c r="H4595" s="15"/>
      <c r="I4595" s="15"/>
      <c r="J4595" s="51"/>
      <c r="K4595" s="15"/>
      <c r="L4595" s="51"/>
      <c r="M4595" s="15"/>
      <c r="N4595" s="23"/>
      <c r="O4595" s="23"/>
      <c r="P4595" s="15" t="str">
        <f t="shared" si="6"/>
        <v/>
      </c>
      <c r="Q4595" s="24"/>
      <c r="R4595" s="25"/>
      <c r="S4595" s="25"/>
      <c r="T4595" s="26"/>
      <c r="U4595" s="26"/>
      <c r="V4595" s="25"/>
      <c r="W4595" s="25"/>
      <c r="X4595" s="25"/>
      <c r="Y4595" s="25"/>
      <c r="Z4595" s="25"/>
    </row>
    <row r="4596" spans="1:26" ht="15.75" customHeight="1" x14ac:dyDescent="0.25">
      <c r="A4596" s="25"/>
      <c r="B4596" s="49"/>
      <c r="C4596" s="50"/>
      <c r="D4596" s="23"/>
      <c r="E4596" s="23"/>
      <c r="F4596" s="15"/>
      <c r="G4596" s="23"/>
      <c r="H4596" s="15"/>
      <c r="I4596" s="15"/>
      <c r="J4596" s="51"/>
      <c r="K4596" s="15"/>
      <c r="L4596" s="51"/>
      <c r="M4596" s="15"/>
      <c r="N4596" s="23"/>
      <c r="O4596" s="23"/>
      <c r="P4596" s="15" t="str">
        <f t="shared" si="6"/>
        <v/>
      </c>
      <c r="Q4596" s="24"/>
      <c r="R4596" s="25"/>
      <c r="S4596" s="25"/>
      <c r="T4596" s="26"/>
      <c r="U4596" s="26"/>
      <c r="V4596" s="25"/>
      <c r="W4596" s="25"/>
      <c r="X4596" s="25"/>
      <c r="Y4596" s="25"/>
      <c r="Z4596" s="25"/>
    </row>
    <row r="4597" spans="1:26" ht="15.75" customHeight="1" x14ac:dyDescent="0.25">
      <c r="A4597" s="25"/>
      <c r="B4597" s="49"/>
      <c r="C4597" s="50"/>
      <c r="D4597" s="23"/>
      <c r="E4597" s="23"/>
      <c r="F4597" s="15"/>
      <c r="G4597" s="23"/>
      <c r="H4597" s="15"/>
      <c r="I4597" s="15"/>
      <c r="J4597" s="51"/>
      <c r="K4597" s="15"/>
      <c r="L4597" s="51"/>
      <c r="M4597" s="15"/>
      <c r="N4597" s="23"/>
      <c r="O4597" s="23"/>
      <c r="P4597" s="15" t="str">
        <f t="shared" si="6"/>
        <v/>
      </c>
      <c r="Q4597" s="24"/>
      <c r="R4597" s="25"/>
      <c r="S4597" s="25"/>
      <c r="T4597" s="26"/>
      <c r="U4597" s="26"/>
      <c r="V4597" s="25"/>
      <c r="W4597" s="25"/>
      <c r="X4597" s="25"/>
      <c r="Y4597" s="25"/>
      <c r="Z4597" s="25"/>
    </row>
    <row r="4598" spans="1:26" ht="15.75" customHeight="1" x14ac:dyDescent="0.25">
      <c r="A4598" s="25"/>
      <c r="B4598" s="49"/>
      <c r="C4598" s="50"/>
      <c r="D4598" s="23"/>
      <c r="E4598" s="23"/>
      <c r="F4598" s="15"/>
      <c r="G4598" s="23"/>
      <c r="H4598" s="15"/>
      <c r="I4598" s="15"/>
      <c r="J4598" s="51"/>
      <c r="K4598" s="15"/>
      <c r="L4598" s="51"/>
      <c r="M4598" s="15"/>
      <c r="N4598" s="23"/>
      <c r="O4598" s="23"/>
      <c r="P4598" s="15" t="str">
        <f t="shared" si="6"/>
        <v/>
      </c>
      <c r="Q4598" s="24"/>
      <c r="R4598" s="25"/>
      <c r="S4598" s="25"/>
      <c r="T4598" s="26"/>
      <c r="U4598" s="26"/>
      <c r="V4598" s="25"/>
      <c r="W4598" s="25"/>
      <c r="X4598" s="25"/>
      <c r="Y4598" s="25"/>
      <c r="Z4598" s="25"/>
    </row>
    <row r="4599" spans="1:26" ht="15.75" customHeight="1" x14ac:dyDescent="0.25">
      <c r="A4599" s="25"/>
      <c r="B4599" s="49"/>
      <c r="C4599" s="50"/>
      <c r="D4599" s="23"/>
      <c r="E4599" s="23"/>
      <c r="F4599" s="15"/>
      <c r="G4599" s="23"/>
      <c r="H4599" s="15"/>
      <c r="I4599" s="15"/>
      <c r="J4599" s="51"/>
      <c r="K4599" s="15"/>
      <c r="L4599" s="51"/>
      <c r="M4599" s="15"/>
      <c r="N4599" s="23"/>
      <c r="O4599" s="23"/>
      <c r="P4599" s="15" t="str">
        <f t="shared" si="6"/>
        <v/>
      </c>
      <c r="Q4599" s="24"/>
      <c r="R4599" s="25"/>
      <c r="S4599" s="25"/>
      <c r="T4599" s="26"/>
      <c r="U4599" s="26"/>
      <c r="V4599" s="25"/>
      <c r="W4599" s="25"/>
      <c r="X4599" s="25"/>
      <c r="Y4599" s="25"/>
      <c r="Z4599" s="25"/>
    </row>
    <row r="4600" spans="1:26" ht="15.75" customHeight="1" x14ac:dyDescent="0.25">
      <c r="A4600" s="25"/>
      <c r="B4600" s="49"/>
      <c r="C4600" s="50"/>
      <c r="D4600" s="23"/>
      <c r="E4600" s="23"/>
      <c r="F4600" s="15"/>
      <c r="G4600" s="23"/>
      <c r="H4600" s="15"/>
      <c r="I4600" s="15"/>
      <c r="J4600" s="51"/>
      <c r="K4600" s="15"/>
      <c r="L4600" s="51"/>
      <c r="M4600" s="15"/>
      <c r="N4600" s="23"/>
      <c r="O4600" s="23"/>
      <c r="P4600" s="15" t="str">
        <f t="shared" si="6"/>
        <v/>
      </c>
      <c r="Q4600" s="24"/>
      <c r="R4600" s="25"/>
      <c r="S4600" s="25"/>
      <c r="T4600" s="26"/>
      <c r="U4600" s="26"/>
      <c r="V4600" s="25"/>
      <c r="W4600" s="25"/>
      <c r="X4600" s="25"/>
      <c r="Y4600" s="25"/>
      <c r="Z4600" s="25"/>
    </row>
    <row r="4601" spans="1:26" ht="15.75" customHeight="1" x14ac:dyDescent="0.25">
      <c r="A4601" s="25"/>
      <c r="B4601" s="49"/>
      <c r="C4601" s="50"/>
      <c r="D4601" s="23"/>
      <c r="E4601" s="23"/>
      <c r="F4601" s="15"/>
      <c r="G4601" s="23"/>
      <c r="H4601" s="15"/>
      <c r="I4601" s="15"/>
      <c r="J4601" s="51"/>
      <c r="K4601" s="15"/>
      <c r="L4601" s="51"/>
      <c r="M4601" s="15"/>
      <c r="N4601" s="23"/>
      <c r="O4601" s="23"/>
      <c r="P4601" s="15" t="str">
        <f t="shared" si="6"/>
        <v/>
      </c>
      <c r="Q4601" s="24"/>
      <c r="R4601" s="25"/>
      <c r="S4601" s="25"/>
      <c r="T4601" s="26"/>
      <c r="U4601" s="26"/>
      <c r="V4601" s="25"/>
      <c r="W4601" s="25"/>
      <c r="X4601" s="25"/>
      <c r="Y4601" s="25"/>
      <c r="Z4601" s="25"/>
    </row>
    <row r="4602" spans="1:26" ht="15.75" customHeight="1" x14ac:dyDescent="0.25">
      <c r="A4602" s="25"/>
      <c r="B4602" s="49"/>
      <c r="C4602" s="50"/>
      <c r="D4602" s="23"/>
      <c r="E4602" s="23"/>
      <c r="F4602" s="15"/>
      <c r="G4602" s="23"/>
      <c r="H4602" s="15"/>
      <c r="I4602" s="15"/>
      <c r="J4602" s="51"/>
      <c r="K4602" s="15"/>
      <c r="L4602" s="51"/>
      <c r="M4602" s="15"/>
      <c r="N4602" s="23"/>
      <c r="O4602" s="23"/>
      <c r="P4602" s="15" t="str">
        <f t="shared" si="6"/>
        <v/>
      </c>
      <c r="Q4602" s="24"/>
      <c r="R4602" s="25"/>
      <c r="S4602" s="25"/>
      <c r="T4602" s="26"/>
      <c r="U4602" s="26"/>
      <c r="V4602" s="25"/>
      <c r="W4602" s="25"/>
      <c r="X4602" s="25"/>
      <c r="Y4602" s="25"/>
      <c r="Z4602" s="25"/>
    </row>
    <row r="4603" spans="1:26" ht="15.75" customHeight="1" x14ac:dyDescent="0.25">
      <c r="A4603" s="25"/>
      <c r="B4603" s="49"/>
      <c r="C4603" s="50"/>
      <c r="D4603" s="23"/>
      <c r="E4603" s="23"/>
      <c r="F4603" s="15"/>
      <c r="G4603" s="23"/>
      <c r="H4603" s="15"/>
      <c r="I4603" s="15"/>
      <c r="J4603" s="51"/>
      <c r="K4603" s="15"/>
      <c r="L4603" s="51"/>
      <c r="M4603" s="15"/>
      <c r="N4603" s="23"/>
      <c r="O4603" s="23"/>
      <c r="P4603" s="15" t="str">
        <f t="shared" si="6"/>
        <v/>
      </c>
      <c r="Q4603" s="24"/>
      <c r="R4603" s="25"/>
      <c r="S4603" s="25"/>
      <c r="T4603" s="26"/>
      <c r="U4603" s="26"/>
      <c r="V4603" s="25"/>
      <c r="W4603" s="25"/>
      <c r="X4603" s="25"/>
      <c r="Y4603" s="25"/>
      <c r="Z4603" s="25"/>
    </row>
    <row r="4604" spans="1:26" ht="15.75" customHeight="1" x14ac:dyDescent="0.25">
      <c r="A4604" s="25"/>
      <c r="B4604" s="49"/>
      <c r="C4604" s="50"/>
      <c r="D4604" s="23"/>
      <c r="E4604" s="23"/>
      <c r="F4604" s="15"/>
      <c r="G4604" s="23"/>
      <c r="H4604" s="15"/>
      <c r="I4604" s="15"/>
      <c r="J4604" s="51"/>
      <c r="K4604" s="15"/>
      <c r="L4604" s="51"/>
      <c r="M4604" s="15"/>
      <c r="N4604" s="23"/>
      <c r="O4604" s="23"/>
      <c r="P4604" s="15" t="str">
        <f t="shared" si="6"/>
        <v/>
      </c>
      <c r="Q4604" s="24"/>
      <c r="R4604" s="25"/>
      <c r="S4604" s="25"/>
      <c r="T4604" s="26"/>
      <c r="U4604" s="26"/>
      <c r="V4604" s="25"/>
      <c r="W4604" s="25"/>
      <c r="X4604" s="25"/>
      <c r="Y4604" s="25"/>
      <c r="Z4604" s="25"/>
    </row>
    <row r="4605" spans="1:26" ht="15.75" customHeight="1" x14ac:dyDescent="0.25">
      <c r="A4605" s="25"/>
      <c r="B4605" s="49"/>
      <c r="C4605" s="50"/>
      <c r="D4605" s="23"/>
      <c r="E4605" s="23"/>
      <c r="F4605" s="15"/>
      <c r="G4605" s="23"/>
      <c r="H4605" s="15"/>
      <c r="I4605" s="15"/>
      <c r="J4605" s="51"/>
      <c r="K4605" s="15"/>
      <c r="L4605" s="51"/>
      <c r="M4605" s="15"/>
      <c r="N4605" s="23"/>
      <c r="O4605" s="23"/>
      <c r="P4605" s="15" t="str">
        <f t="shared" si="6"/>
        <v/>
      </c>
      <c r="Q4605" s="24"/>
      <c r="R4605" s="25"/>
      <c r="S4605" s="25"/>
      <c r="T4605" s="26"/>
      <c r="U4605" s="26"/>
      <c r="V4605" s="25"/>
      <c r="W4605" s="25"/>
      <c r="X4605" s="25"/>
      <c r="Y4605" s="25"/>
      <c r="Z4605" s="25"/>
    </row>
    <row r="4606" spans="1:26" ht="15.75" customHeight="1" x14ac:dyDescent="0.25">
      <c r="A4606" s="25"/>
      <c r="B4606" s="49"/>
      <c r="C4606" s="50"/>
      <c r="D4606" s="23"/>
      <c r="E4606" s="23"/>
      <c r="F4606" s="15"/>
      <c r="G4606" s="23"/>
      <c r="H4606" s="15"/>
      <c r="I4606" s="15"/>
      <c r="J4606" s="51"/>
      <c r="K4606" s="15"/>
      <c r="L4606" s="51"/>
      <c r="M4606" s="15"/>
      <c r="N4606" s="23"/>
      <c r="O4606" s="23"/>
      <c r="P4606" s="15" t="str">
        <f t="shared" si="6"/>
        <v/>
      </c>
      <c r="Q4606" s="24"/>
      <c r="R4606" s="25"/>
      <c r="S4606" s="25"/>
      <c r="T4606" s="26"/>
      <c r="U4606" s="26"/>
      <c r="V4606" s="25"/>
      <c r="W4606" s="25"/>
      <c r="X4606" s="25"/>
      <c r="Y4606" s="25"/>
      <c r="Z4606" s="25"/>
    </row>
    <row r="4607" spans="1:26" ht="15.75" customHeight="1" x14ac:dyDescent="0.25">
      <c r="A4607" s="25"/>
      <c r="B4607" s="49"/>
      <c r="C4607" s="50"/>
      <c r="D4607" s="23"/>
      <c r="E4607" s="23"/>
      <c r="F4607" s="15"/>
      <c r="G4607" s="23"/>
      <c r="H4607" s="15"/>
      <c r="I4607" s="15"/>
      <c r="J4607" s="51"/>
      <c r="K4607" s="15"/>
      <c r="L4607" s="51"/>
      <c r="M4607" s="15"/>
      <c r="N4607" s="23"/>
      <c r="O4607" s="23"/>
      <c r="P4607" s="15" t="str">
        <f t="shared" si="6"/>
        <v/>
      </c>
      <c r="Q4607" s="24"/>
      <c r="R4607" s="25"/>
      <c r="S4607" s="25"/>
      <c r="T4607" s="26"/>
      <c r="U4607" s="26"/>
      <c r="V4607" s="25"/>
      <c r="W4607" s="25"/>
      <c r="X4607" s="25"/>
      <c r="Y4607" s="25"/>
      <c r="Z4607" s="25"/>
    </row>
    <row r="4608" spans="1:26" ht="15.75" customHeight="1" x14ac:dyDescent="0.25">
      <c r="A4608" s="25"/>
      <c r="B4608" s="49"/>
      <c r="C4608" s="50"/>
      <c r="D4608" s="23"/>
      <c r="E4608" s="23"/>
      <c r="F4608" s="15"/>
      <c r="G4608" s="23"/>
      <c r="H4608" s="15"/>
      <c r="I4608" s="15"/>
      <c r="J4608" s="51"/>
      <c r="K4608" s="15"/>
      <c r="L4608" s="51"/>
      <c r="M4608" s="15"/>
      <c r="N4608" s="23"/>
      <c r="O4608" s="23"/>
      <c r="P4608" s="15" t="str">
        <f t="shared" si="6"/>
        <v/>
      </c>
      <c r="Q4608" s="24"/>
      <c r="R4608" s="25"/>
      <c r="S4608" s="25"/>
      <c r="T4608" s="26"/>
      <c r="U4608" s="26"/>
      <c r="V4608" s="25"/>
      <c r="W4608" s="25"/>
      <c r="X4608" s="25"/>
      <c r="Y4608" s="25"/>
      <c r="Z4608" s="25"/>
    </row>
    <row r="4609" spans="1:26" ht="15.75" customHeight="1" x14ac:dyDescent="0.25">
      <c r="A4609" s="25"/>
      <c r="B4609" s="49"/>
      <c r="C4609" s="50"/>
      <c r="D4609" s="23"/>
      <c r="E4609" s="23"/>
      <c r="F4609" s="15"/>
      <c r="G4609" s="23"/>
      <c r="H4609" s="15"/>
      <c r="I4609" s="15"/>
      <c r="J4609" s="51"/>
      <c r="K4609" s="15"/>
      <c r="L4609" s="51"/>
      <c r="M4609" s="15"/>
      <c r="N4609" s="23"/>
      <c r="O4609" s="23"/>
      <c r="P4609" s="15" t="str">
        <f t="shared" si="6"/>
        <v/>
      </c>
      <c r="Q4609" s="24"/>
      <c r="R4609" s="25"/>
      <c r="S4609" s="25"/>
      <c r="T4609" s="26"/>
      <c r="U4609" s="26"/>
      <c r="V4609" s="25"/>
      <c r="W4609" s="25"/>
      <c r="X4609" s="25"/>
      <c r="Y4609" s="25"/>
      <c r="Z4609" s="25"/>
    </row>
    <row r="4610" spans="1:26" ht="15.75" customHeight="1" x14ac:dyDescent="0.25">
      <c r="A4610" s="25"/>
      <c r="B4610" s="49"/>
      <c r="C4610" s="50"/>
      <c r="D4610" s="23"/>
      <c r="E4610" s="23"/>
      <c r="F4610" s="15"/>
      <c r="G4610" s="23"/>
      <c r="H4610" s="15"/>
      <c r="I4610" s="15"/>
      <c r="J4610" s="51"/>
      <c r="K4610" s="15"/>
      <c r="L4610" s="51"/>
      <c r="M4610" s="15"/>
      <c r="N4610" s="23"/>
      <c r="O4610" s="23"/>
      <c r="P4610" s="15" t="str">
        <f t="shared" si="6"/>
        <v/>
      </c>
      <c r="Q4610" s="24"/>
      <c r="R4610" s="25"/>
      <c r="S4610" s="25"/>
      <c r="T4610" s="26"/>
      <c r="U4610" s="26"/>
      <c r="V4610" s="25"/>
      <c r="W4610" s="25"/>
      <c r="X4610" s="25"/>
      <c r="Y4610" s="25"/>
      <c r="Z4610" s="25"/>
    </row>
    <row r="4611" spans="1:26" ht="15.75" customHeight="1" x14ac:dyDescent="0.25">
      <c r="A4611" s="25"/>
      <c r="B4611" s="49"/>
      <c r="C4611" s="50"/>
      <c r="D4611" s="23"/>
      <c r="E4611" s="23"/>
      <c r="F4611" s="15"/>
      <c r="G4611" s="23"/>
      <c r="H4611" s="15"/>
      <c r="I4611" s="15"/>
      <c r="J4611" s="51"/>
      <c r="K4611" s="15"/>
      <c r="L4611" s="51"/>
      <c r="M4611" s="15"/>
      <c r="N4611" s="23"/>
      <c r="O4611" s="23"/>
      <c r="P4611" s="15" t="str">
        <f t="shared" si="6"/>
        <v/>
      </c>
      <c r="Q4611" s="24"/>
      <c r="R4611" s="25"/>
      <c r="S4611" s="25"/>
      <c r="T4611" s="26"/>
      <c r="U4611" s="26"/>
      <c r="V4611" s="25"/>
      <c r="W4611" s="25"/>
      <c r="X4611" s="25"/>
      <c r="Y4611" s="25"/>
      <c r="Z4611" s="25"/>
    </row>
    <row r="4612" spans="1:26" ht="15.75" customHeight="1" x14ac:dyDescent="0.25">
      <c r="A4612" s="25"/>
      <c r="B4612" s="49"/>
      <c r="C4612" s="50"/>
      <c r="D4612" s="23"/>
      <c r="E4612" s="23"/>
      <c r="F4612" s="15"/>
      <c r="G4612" s="23"/>
      <c r="H4612" s="15"/>
      <c r="I4612" s="15"/>
      <c r="J4612" s="51"/>
      <c r="K4612" s="15"/>
      <c r="L4612" s="51"/>
      <c r="M4612" s="15"/>
      <c r="N4612" s="23"/>
      <c r="O4612" s="23"/>
      <c r="P4612" s="15" t="str">
        <f t="shared" si="6"/>
        <v/>
      </c>
      <c r="Q4612" s="24"/>
      <c r="R4612" s="25"/>
      <c r="S4612" s="25"/>
      <c r="T4612" s="26"/>
      <c r="U4612" s="26"/>
      <c r="V4612" s="25"/>
      <c r="W4612" s="25"/>
      <c r="X4612" s="25"/>
      <c r="Y4612" s="25"/>
      <c r="Z4612" s="25"/>
    </row>
    <row r="4613" spans="1:26" ht="15.75" customHeight="1" x14ac:dyDescent="0.25">
      <c r="A4613" s="25"/>
      <c r="B4613" s="49"/>
      <c r="C4613" s="50"/>
      <c r="D4613" s="23"/>
      <c r="E4613" s="23"/>
      <c r="F4613" s="15"/>
      <c r="G4613" s="23"/>
      <c r="H4613" s="15"/>
      <c r="I4613" s="15"/>
      <c r="J4613" s="51"/>
      <c r="K4613" s="15"/>
      <c r="L4613" s="51"/>
      <c r="M4613" s="15"/>
      <c r="N4613" s="23"/>
      <c r="O4613" s="23"/>
      <c r="P4613" s="15" t="str">
        <f t="shared" si="6"/>
        <v/>
      </c>
      <c r="Q4613" s="24"/>
      <c r="R4613" s="25"/>
      <c r="S4613" s="25"/>
      <c r="T4613" s="26"/>
      <c r="U4613" s="26"/>
      <c r="V4613" s="25"/>
      <c r="W4613" s="25"/>
      <c r="X4613" s="25"/>
      <c r="Y4613" s="25"/>
      <c r="Z4613" s="25"/>
    </row>
    <row r="4614" spans="1:26" ht="15.75" customHeight="1" x14ac:dyDescent="0.25">
      <c r="A4614" s="25"/>
      <c r="B4614" s="49"/>
      <c r="C4614" s="50"/>
      <c r="D4614" s="23"/>
      <c r="E4614" s="23"/>
      <c r="F4614" s="15"/>
      <c r="G4614" s="23"/>
      <c r="H4614" s="15"/>
      <c r="I4614" s="15"/>
      <c r="J4614" s="51"/>
      <c r="K4614" s="15"/>
      <c r="L4614" s="51"/>
      <c r="M4614" s="15"/>
      <c r="N4614" s="23"/>
      <c r="O4614" s="23"/>
      <c r="P4614" s="15" t="str">
        <f t="shared" si="6"/>
        <v/>
      </c>
      <c r="Q4614" s="24"/>
      <c r="R4614" s="25"/>
      <c r="S4614" s="25"/>
      <c r="T4614" s="26"/>
      <c r="U4614" s="26"/>
      <c r="V4614" s="25"/>
      <c r="W4614" s="25"/>
      <c r="X4614" s="25"/>
      <c r="Y4614" s="25"/>
      <c r="Z4614" s="25"/>
    </row>
    <row r="4615" spans="1:26" ht="15.75" customHeight="1" x14ac:dyDescent="0.25">
      <c r="A4615" s="25"/>
      <c r="B4615" s="49"/>
      <c r="C4615" s="50"/>
      <c r="D4615" s="23"/>
      <c r="E4615" s="23"/>
      <c r="F4615" s="15"/>
      <c r="G4615" s="23"/>
      <c r="H4615" s="15"/>
      <c r="I4615" s="15"/>
      <c r="J4615" s="51"/>
      <c r="K4615" s="15"/>
      <c r="L4615" s="51"/>
      <c r="M4615" s="15"/>
      <c r="N4615" s="23"/>
      <c r="O4615" s="23"/>
      <c r="P4615" s="15" t="str">
        <f t="shared" si="6"/>
        <v/>
      </c>
      <c r="Q4615" s="24"/>
      <c r="R4615" s="25"/>
      <c r="S4615" s="25"/>
      <c r="T4615" s="26"/>
      <c r="U4615" s="26"/>
      <c r="V4615" s="25"/>
      <c r="W4615" s="25"/>
      <c r="X4615" s="25"/>
      <c r="Y4615" s="25"/>
      <c r="Z4615" s="25"/>
    </row>
    <row r="4616" spans="1:26" ht="15.75" customHeight="1" x14ac:dyDescent="0.25">
      <c r="A4616" s="25"/>
      <c r="B4616" s="49"/>
      <c r="C4616" s="50"/>
      <c r="D4616" s="23"/>
      <c r="E4616" s="23"/>
      <c r="F4616" s="15"/>
      <c r="G4616" s="23"/>
      <c r="H4616" s="15"/>
      <c r="I4616" s="15"/>
      <c r="J4616" s="51"/>
      <c r="K4616" s="15"/>
      <c r="L4616" s="51"/>
      <c r="M4616" s="15"/>
      <c r="N4616" s="23"/>
      <c r="O4616" s="23"/>
      <c r="P4616" s="15" t="str">
        <f t="shared" si="6"/>
        <v/>
      </c>
      <c r="Q4616" s="24"/>
      <c r="R4616" s="25"/>
      <c r="S4616" s="25"/>
      <c r="T4616" s="26"/>
      <c r="U4616" s="26"/>
      <c r="V4616" s="25"/>
      <c r="W4616" s="25"/>
      <c r="X4616" s="25"/>
      <c r="Y4616" s="25"/>
      <c r="Z4616" s="25"/>
    </row>
    <row r="4617" spans="1:26" ht="15.75" customHeight="1" x14ac:dyDescent="0.25">
      <c r="A4617" s="25"/>
      <c r="B4617" s="49"/>
      <c r="C4617" s="50"/>
      <c r="D4617" s="23"/>
      <c r="E4617" s="23"/>
      <c r="F4617" s="15"/>
      <c r="G4617" s="23"/>
      <c r="H4617" s="15"/>
      <c r="I4617" s="15"/>
      <c r="J4617" s="51"/>
      <c r="K4617" s="15"/>
      <c r="L4617" s="51"/>
      <c r="M4617" s="15"/>
      <c r="N4617" s="23"/>
      <c r="O4617" s="23"/>
      <c r="P4617" s="15" t="str">
        <f t="shared" si="6"/>
        <v/>
      </c>
      <c r="Q4617" s="24"/>
      <c r="R4617" s="25"/>
      <c r="S4617" s="25"/>
      <c r="T4617" s="26"/>
      <c r="U4617" s="26"/>
      <c r="V4617" s="25"/>
      <c r="W4617" s="25"/>
      <c r="X4617" s="25"/>
      <c r="Y4617" s="25"/>
      <c r="Z4617" s="25"/>
    </row>
    <row r="4618" spans="1:26" ht="15.75" customHeight="1" x14ac:dyDescent="0.25">
      <c r="A4618" s="25"/>
      <c r="B4618" s="49"/>
      <c r="C4618" s="50"/>
      <c r="D4618" s="23"/>
      <c r="E4618" s="23"/>
      <c r="F4618" s="15"/>
      <c r="G4618" s="23"/>
      <c r="H4618" s="15"/>
      <c r="I4618" s="15"/>
      <c r="J4618" s="51"/>
      <c r="K4618" s="15"/>
      <c r="L4618" s="51"/>
      <c r="M4618" s="15"/>
      <c r="N4618" s="23"/>
      <c r="O4618" s="23"/>
      <c r="P4618" s="15" t="str">
        <f t="shared" si="6"/>
        <v/>
      </c>
      <c r="Q4618" s="24"/>
      <c r="R4618" s="25"/>
      <c r="S4618" s="25"/>
      <c r="T4618" s="26"/>
      <c r="U4618" s="26"/>
      <c r="V4618" s="25"/>
      <c r="W4618" s="25"/>
      <c r="X4618" s="25"/>
      <c r="Y4618" s="25"/>
      <c r="Z4618" s="25"/>
    </row>
    <row r="4619" spans="1:26" ht="15.75" customHeight="1" x14ac:dyDescent="0.25">
      <c r="A4619" s="25"/>
      <c r="B4619" s="49"/>
      <c r="C4619" s="50"/>
      <c r="D4619" s="23"/>
      <c r="E4619" s="23"/>
      <c r="F4619" s="15"/>
      <c r="G4619" s="23"/>
      <c r="H4619" s="15"/>
      <c r="I4619" s="15"/>
      <c r="J4619" s="51"/>
      <c r="K4619" s="15"/>
      <c r="L4619" s="51"/>
      <c r="M4619" s="15"/>
      <c r="N4619" s="23"/>
      <c r="O4619" s="23"/>
      <c r="P4619" s="15" t="str">
        <f t="shared" si="6"/>
        <v/>
      </c>
      <c r="Q4619" s="24"/>
      <c r="R4619" s="25"/>
      <c r="S4619" s="25"/>
      <c r="T4619" s="26"/>
      <c r="U4619" s="26"/>
      <c r="V4619" s="25"/>
      <c r="W4619" s="25"/>
      <c r="X4619" s="25"/>
      <c r="Y4619" s="25"/>
      <c r="Z4619" s="25"/>
    </row>
    <row r="4620" spans="1:26" ht="15.75" customHeight="1" x14ac:dyDescent="0.25">
      <c r="A4620" s="25"/>
      <c r="B4620" s="49"/>
      <c r="C4620" s="50"/>
      <c r="D4620" s="23"/>
      <c r="E4620" s="23"/>
      <c r="F4620" s="15"/>
      <c r="G4620" s="23"/>
      <c r="H4620" s="15"/>
      <c r="I4620" s="15"/>
      <c r="J4620" s="51"/>
      <c r="K4620" s="15"/>
      <c r="L4620" s="51"/>
      <c r="M4620" s="15"/>
      <c r="N4620" s="23"/>
      <c r="O4620" s="23"/>
      <c r="P4620" s="15" t="str">
        <f t="shared" si="6"/>
        <v/>
      </c>
      <c r="Q4620" s="24"/>
      <c r="R4620" s="25"/>
      <c r="S4620" s="25"/>
      <c r="T4620" s="26"/>
      <c r="U4620" s="26"/>
      <c r="V4620" s="25"/>
      <c r="W4620" s="25"/>
      <c r="X4620" s="25"/>
      <c r="Y4620" s="25"/>
      <c r="Z4620" s="25"/>
    </row>
    <row r="4621" spans="1:26" ht="15.75" customHeight="1" x14ac:dyDescent="0.25">
      <c r="A4621" s="25"/>
      <c r="B4621" s="49"/>
      <c r="C4621" s="50"/>
      <c r="D4621" s="23"/>
      <c r="E4621" s="23"/>
      <c r="F4621" s="15"/>
      <c r="G4621" s="23"/>
      <c r="H4621" s="15"/>
      <c r="I4621" s="15"/>
      <c r="J4621" s="51"/>
      <c r="K4621" s="15"/>
      <c r="L4621" s="51"/>
      <c r="M4621" s="15"/>
      <c r="N4621" s="23"/>
      <c r="O4621" s="23"/>
      <c r="P4621" s="15" t="str">
        <f t="shared" si="6"/>
        <v/>
      </c>
      <c r="Q4621" s="24"/>
      <c r="R4621" s="25"/>
      <c r="S4621" s="25"/>
      <c r="T4621" s="26"/>
      <c r="U4621" s="26"/>
      <c r="V4621" s="25"/>
      <c r="W4621" s="25"/>
      <c r="X4621" s="25"/>
      <c r="Y4621" s="25"/>
      <c r="Z4621" s="25"/>
    </row>
    <row r="4622" spans="1:26" ht="15.75" customHeight="1" x14ac:dyDescent="0.25">
      <c r="A4622" s="25"/>
      <c r="B4622" s="49"/>
      <c r="C4622" s="50"/>
      <c r="D4622" s="23"/>
      <c r="E4622" s="23"/>
      <c r="F4622" s="15"/>
      <c r="G4622" s="23"/>
      <c r="H4622" s="15"/>
      <c r="I4622" s="15"/>
      <c r="J4622" s="51"/>
      <c r="K4622" s="15"/>
      <c r="L4622" s="51"/>
      <c r="M4622" s="15"/>
      <c r="N4622" s="23"/>
      <c r="O4622" s="23"/>
      <c r="P4622" s="15" t="str">
        <f t="shared" si="6"/>
        <v/>
      </c>
      <c r="Q4622" s="24"/>
      <c r="R4622" s="25"/>
      <c r="S4622" s="25"/>
      <c r="T4622" s="26"/>
      <c r="U4622" s="26"/>
      <c r="V4622" s="25"/>
      <c r="W4622" s="25"/>
      <c r="X4622" s="25"/>
      <c r="Y4622" s="25"/>
      <c r="Z4622" s="25"/>
    </row>
    <row r="4623" spans="1:26" ht="15.75" customHeight="1" x14ac:dyDescent="0.25">
      <c r="A4623" s="25"/>
      <c r="B4623" s="49"/>
      <c r="C4623" s="50"/>
      <c r="D4623" s="23"/>
      <c r="E4623" s="23"/>
      <c r="F4623" s="15"/>
      <c r="G4623" s="23"/>
      <c r="H4623" s="15"/>
      <c r="I4623" s="15"/>
      <c r="J4623" s="51"/>
      <c r="K4623" s="15"/>
      <c r="L4623" s="51"/>
      <c r="M4623" s="15"/>
      <c r="N4623" s="23"/>
      <c r="O4623" s="23"/>
      <c r="P4623" s="15" t="str">
        <f t="shared" si="6"/>
        <v/>
      </c>
      <c r="Q4623" s="24"/>
      <c r="R4623" s="25"/>
      <c r="S4623" s="25"/>
      <c r="T4623" s="26"/>
      <c r="U4623" s="26"/>
      <c r="V4623" s="25"/>
      <c r="W4623" s="25"/>
      <c r="X4623" s="25"/>
      <c r="Y4623" s="25"/>
      <c r="Z4623" s="25"/>
    </row>
    <row r="4624" spans="1:26" ht="15.75" customHeight="1" x14ac:dyDescent="0.25">
      <c r="A4624" s="25"/>
      <c r="B4624" s="49"/>
      <c r="C4624" s="50"/>
      <c r="D4624" s="23"/>
      <c r="E4624" s="23"/>
      <c r="F4624" s="15"/>
      <c r="G4624" s="23"/>
      <c r="H4624" s="15"/>
      <c r="I4624" s="15"/>
      <c r="J4624" s="51"/>
      <c r="K4624" s="15"/>
      <c r="L4624" s="51"/>
      <c r="M4624" s="15"/>
      <c r="N4624" s="23"/>
      <c r="O4624" s="23"/>
      <c r="P4624" s="15" t="str">
        <f t="shared" si="6"/>
        <v/>
      </c>
      <c r="Q4624" s="24"/>
      <c r="R4624" s="25"/>
      <c r="S4624" s="25"/>
      <c r="T4624" s="26"/>
      <c r="U4624" s="26"/>
      <c r="V4624" s="25"/>
      <c r="W4624" s="25"/>
      <c r="X4624" s="25"/>
      <c r="Y4624" s="25"/>
      <c r="Z4624" s="25"/>
    </row>
    <row r="4625" spans="1:26" ht="15.75" customHeight="1" x14ac:dyDescent="0.25">
      <c r="A4625" s="25"/>
      <c r="B4625" s="49"/>
      <c r="C4625" s="50"/>
      <c r="D4625" s="23"/>
      <c r="E4625" s="23"/>
      <c r="F4625" s="15"/>
      <c r="G4625" s="23"/>
      <c r="H4625" s="15"/>
      <c r="I4625" s="15"/>
      <c r="J4625" s="51"/>
      <c r="K4625" s="15"/>
      <c r="L4625" s="51"/>
      <c r="M4625" s="15"/>
      <c r="N4625" s="23"/>
      <c r="O4625" s="23"/>
      <c r="P4625" s="15" t="str">
        <f t="shared" si="6"/>
        <v/>
      </c>
      <c r="Q4625" s="24"/>
      <c r="R4625" s="25"/>
      <c r="S4625" s="25"/>
      <c r="T4625" s="26"/>
      <c r="U4625" s="26"/>
      <c r="V4625" s="25"/>
      <c r="W4625" s="25"/>
      <c r="X4625" s="25"/>
      <c r="Y4625" s="25"/>
      <c r="Z4625" s="25"/>
    </row>
    <row r="4626" spans="1:26" ht="15.75" customHeight="1" x14ac:dyDescent="0.25">
      <c r="A4626" s="25"/>
      <c r="B4626" s="49"/>
      <c r="C4626" s="50"/>
      <c r="D4626" s="23"/>
      <c r="E4626" s="23"/>
      <c r="F4626" s="15"/>
      <c r="G4626" s="23"/>
      <c r="H4626" s="15"/>
      <c r="I4626" s="15"/>
      <c r="J4626" s="51"/>
      <c r="K4626" s="15"/>
      <c r="L4626" s="51"/>
      <c r="M4626" s="15"/>
      <c r="N4626" s="23"/>
      <c r="O4626" s="23"/>
      <c r="P4626" s="15" t="str">
        <f t="shared" si="6"/>
        <v/>
      </c>
      <c r="Q4626" s="24"/>
      <c r="R4626" s="25"/>
      <c r="S4626" s="25"/>
      <c r="T4626" s="26"/>
      <c r="U4626" s="26"/>
      <c r="V4626" s="25"/>
      <c r="W4626" s="25"/>
      <c r="X4626" s="25"/>
      <c r="Y4626" s="25"/>
      <c r="Z4626" s="25"/>
    </row>
    <row r="4627" spans="1:26" ht="15.75" customHeight="1" x14ac:dyDescent="0.25">
      <c r="A4627" s="25"/>
      <c r="B4627" s="49"/>
      <c r="C4627" s="50"/>
      <c r="D4627" s="23"/>
      <c r="E4627" s="23"/>
      <c r="F4627" s="15"/>
      <c r="G4627" s="23"/>
      <c r="H4627" s="15"/>
      <c r="I4627" s="15"/>
      <c r="J4627" s="51"/>
      <c r="K4627" s="15"/>
      <c r="L4627" s="51"/>
      <c r="M4627" s="15"/>
      <c r="N4627" s="23"/>
      <c r="O4627" s="23"/>
      <c r="P4627" s="15" t="str">
        <f t="shared" si="6"/>
        <v/>
      </c>
      <c r="Q4627" s="24"/>
      <c r="R4627" s="25"/>
      <c r="S4627" s="25"/>
      <c r="T4627" s="26"/>
      <c r="U4627" s="26"/>
      <c r="V4627" s="25"/>
      <c r="W4627" s="25"/>
      <c r="X4627" s="25"/>
      <c r="Y4627" s="25"/>
      <c r="Z4627" s="25"/>
    </row>
    <row r="4628" spans="1:26" ht="15.75" customHeight="1" x14ac:dyDescent="0.25">
      <c r="A4628" s="25"/>
      <c r="B4628" s="49"/>
      <c r="C4628" s="50"/>
      <c r="D4628" s="23"/>
      <c r="E4628" s="23"/>
      <c r="F4628" s="15"/>
      <c r="G4628" s="23"/>
      <c r="H4628" s="15"/>
      <c r="I4628" s="15"/>
      <c r="J4628" s="51"/>
      <c r="K4628" s="15"/>
      <c r="L4628" s="51"/>
      <c r="M4628" s="15"/>
      <c r="N4628" s="23"/>
      <c r="O4628" s="23"/>
      <c r="P4628" s="15" t="str">
        <f t="shared" si="6"/>
        <v/>
      </c>
      <c r="Q4628" s="24"/>
      <c r="R4628" s="25"/>
      <c r="S4628" s="25"/>
      <c r="T4628" s="26"/>
      <c r="U4628" s="26"/>
      <c r="V4628" s="25"/>
      <c r="W4628" s="25"/>
      <c r="X4628" s="25"/>
      <c r="Y4628" s="25"/>
      <c r="Z4628" s="25"/>
    </row>
    <row r="4629" spans="1:26" ht="15.75" customHeight="1" x14ac:dyDescent="0.25">
      <c r="A4629" s="25"/>
      <c r="B4629" s="49"/>
      <c r="C4629" s="50"/>
      <c r="D4629" s="23"/>
      <c r="E4629" s="23"/>
      <c r="F4629" s="15"/>
      <c r="G4629" s="23"/>
      <c r="H4629" s="15"/>
      <c r="I4629" s="15"/>
      <c r="J4629" s="51"/>
      <c r="K4629" s="15"/>
      <c r="L4629" s="51"/>
      <c r="M4629" s="15"/>
      <c r="N4629" s="23"/>
      <c r="O4629" s="23"/>
      <c r="P4629" s="15" t="str">
        <f t="shared" si="6"/>
        <v/>
      </c>
      <c r="Q4629" s="24"/>
      <c r="R4629" s="25"/>
      <c r="S4629" s="25"/>
      <c r="T4629" s="26"/>
      <c r="U4629" s="26"/>
      <c r="V4629" s="25"/>
      <c r="W4629" s="25"/>
      <c r="X4629" s="25"/>
      <c r="Y4629" s="25"/>
      <c r="Z4629" s="25"/>
    </row>
    <row r="4630" spans="1:26" ht="15.75" customHeight="1" x14ac:dyDescent="0.25">
      <c r="A4630" s="25"/>
      <c r="B4630" s="49"/>
      <c r="C4630" s="50"/>
      <c r="D4630" s="23"/>
      <c r="E4630" s="23"/>
      <c r="F4630" s="15"/>
      <c r="G4630" s="23"/>
      <c r="H4630" s="15"/>
      <c r="I4630" s="15"/>
      <c r="J4630" s="51"/>
      <c r="K4630" s="15"/>
      <c r="L4630" s="51"/>
      <c r="M4630" s="15"/>
      <c r="N4630" s="23"/>
      <c r="O4630" s="23"/>
      <c r="P4630" s="15" t="str">
        <f t="shared" si="6"/>
        <v/>
      </c>
      <c r="Q4630" s="24"/>
      <c r="R4630" s="25"/>
      <c r="S4630" s="25"/>
      <c r="T4630" s="26"/>
      <c r="U4630" s="26"/>
      <c r="V4630" s="25"/>
      <c r="W4630" s="25"/>
      <c r="X4630" s="25"/>
      <c r="Y4630" s="25"/>
      <c r="Z4630" s="25"/>
    </row>
    <row r="4631" spans="1:26" ht="15.75" customHeight="1" x14ac:dyDescent="0.25">
      <c r="A4631" s="25"/>
      <c r="B4631" s="49"/>
      <c r="C4631" s="50"/>
      <c r="D4631" s="23"/>
      <c r="E4631" s="23"/>
      <c r="F4631" s="15"/>
      <c r="G4631" s="23"/>
      <c r="H4631" s="15"/>
      <c r="I4631" s="15"/>
      <c r="J4631" s="51"/>
      <c r="K4631" s="15"/>
      <c r="L4631" s="51"/>
      <c r="M4631" s="15"/>
      <c r="N4631" s="23"/>
      <c r="O4631" s="23"/>
      <c r="P4631" s="15" t="str">
        <f t="shared" si="6"/>
        <v/>
      </c>
      <c r="Q4631" s="24"/>
      <c r="R4631" s="25"/>
      <c r="S4631" s="25"/>
      <c r="T4631" s="26"/>
      <c r="U4631" s="26"/>
      <c r="V4631" s="25"/>
      <c r="W4631" s="25"/>
      <c r="X4631" s="25"/>
      <c r="Y4631" s="25"/>
      <c r="Z4631" s="25"/>
    </row>
    <row r="4632" spans="1:26" ht="15.75" customHeight="1" x14ac:dyDescent="0.25">
      <c r="A4632" s="25"/>
      <c r="B4632" s="49"/>
      <c r="C4632" s="50"/>
      <c r="D4632" s="23"/>
      <c r="E4632" s="23"/>
      <c r="F4632" s="15"/>
      <c r="G4632" s="23"/>
      <c r="H4632" s="15"/>
      <c r="I4632" s="15"/>
      <c r="J4632" s="51"/>
      <c r="K4632" s="15"/>
      <c r="L4632" s="51"/>
      <c r="M4632" s="15"/>
      <c r="N4632" s="23"/>
      <c r="O4632" s="23"/>
      <c r="P4632" s="15" t="str">
        <f t="shared" si="6"/>
        <v/>
      </c>
      <c r="Q4632" s="24"/>
      <c r="R4632" s="25"/>
      <c r="S4632" s="25"/>
      <c r="T4632" s="26"/>
      <c r="U4632" s="26"/>
      <c r="V4632" s="25"/>
      <c r="W4632" s="25"/>
      <c r="X4632" s="25"/>
      <c r="Y4632" s="25"/>
      <c r="Z4632" s="25"/>
    </row>
    <row r="4633" spans="1:26" ht="15.75" customHeight="1" x14ac:dyDescent="0.25">
      <c r="A4633" s="25"/>
      <c r="B4633" s="49"/>
      <c r="C4633" s="50"/>
      <c r="D4633" s="23"/>
      <c r="E4633" s="23"/>
      <c r="F4633" s="15"/>
      <c r="G4633" s="23"/>
      <c r="H4633" s="15"/>
      <c r="I4633" s="15"/>
      <c r="J4633" s="51"/>
      <c r="K4633" s="15"/>
      <c r="L4633" s="51"/>
      <c r="M4633" s="15"/>
      <c r="N4633" s="23"/>
      <c r="O4633" s="23"/>
      <c r="P4633" s="15" t="str">
        <f t="shared" si="6"/>
        <v/>
      </c>
      <c r="Q4633" s="24"/>
      <c r="R4633" s="25"/>
      <c r="S4633" s="25"/>
      <c r="T4633" s="26"/>
      <c r="U4633" s="26"/>
      <c r="V4633" s="25"/>
      <c r="W4633" s="25"/>
      <c r="X4633" s="25"/>
      <c r="Y4633" s="25"/>
      <c r="Z4633" s="25"/>
    </row>
    <row r="4634" spans="1:26" ht="15.75" customHeight="1" x14ac:dyDescent="0.25">
      <c r="A4634" s="25"/>
      <c r="B4634" s="49"/>
      <c r="C4634" s="50"/>
      <c r="D4634" s="23"/>
      <c r="E4634" s="23"/>
      <c r="F4634" s="15"/>
      <c r="G4634" s="23"/>
      <c r="H4634" s="15"/>
      <c r="I4634" s="15"/>
      <c r="J4634" s="51"/>
      <c r="K4634" s="15"/>
      <c r="L4634" s="51"/>
      <c r="M4634" s="15"/>
      <c r="N4634" s="23"/>
      <c r="O4634" s="23"/>
      <c r="P4634" s="15" t="str">
        <f t="shared" si="6"/>
        <v/>
      </c>
      <c r="Q4634" s="24"/>
      <c r="R4634" s="25"/>
      <c r="S4634" s="25"/>
      <c r="T4634" s="26"/>
      <c r="U4634" s="26"/>
      <c r="V4634" s="25"/>
      <c r="W4634" s="25"/>
      <c r="X4634" s="25"/>
      <c r="Y4634" s="25"/>
      <c r="Z4634" s="25"/>
    </row>
    <row r="4635" spans="1:26" ht="15.75" customHeight="1" x14ac:dyDescent="0.25">
      <c r="A4635" s="25"/>
      <c r="B4635" s="49"/>
      <c r="C4635" s="50"/>
      <c r="D4635" s="23"/>
      <c r="E4635" s="23"/>
      <c r="F4635" s="15"/>
      <c r="G4635" s="23"/>
      <c r="H4635" s="15"/>
      <c r="I4635" s="15"/>
      <c r="J4635" s="51"/>
      <c r="K4635" s="15"/>
      <c r="L4635" s="51"/>
      <c r="M4635" s="15"/>
      <c r="N4635" s="23"/>
      <c r="O4635" s="23"/>
      <c r="P4635" s="15" t="str">
        <f t="shared" si="6"/>
        <v/>
      </c>
      <c r="Q4635" s="24"/>
      <c r="R4635" s="25"/>
      <c r="S4635" s="25"/>
      <c r="T4635" s="26"/>
      <c r="U4635" s="26"/>
      <c r="V4635" s="25"/>
      <c r="W4635" s="25"/>
      <c r="X4635" s="25"/>
      <c r="Y4635" s="25"/>
      <c r="Z4635" s="25"/>
    </row>
    <row r="4636" spans="1:26" ht="15.75" customHeight="1" x14ac:dyDescent="0.25">
      <c r="A4636" s="25"/>
      <c r="B4636" s="49"/>
      <c r="C4636" s="50"/>
      <c r="D4636" s="23"/>
      <c r="E4636" s="23"/>
      <c r="F4636" s="15"/>
      <c r="G4636" s="23"/>
      <c r="H4636" s="15"/>
      <c r="I4636" s="15"/>
      <c r="J4636" s="51"/>
      <c r="K4636" s="15"/>
      <c r="L4636" s="51"/>
      <c r="M4636" s="15"/>
      <c r="N4636" s="23"/>
      <c r="O4636" s="23"/>
      <c r="P4636" s="15" t="str">
        <f t="shared" si="6"/>
        <v/>
      </c>
      <c r="Q4636" s="24"/>
      <c r="R4636" s="25"/>
      <c r="S4636" s="25"/>
      <c r="T4636" s="26"/>
      <c r="U4636" s="26"/>
      <c r="V4636" s="25"/>
      <c r="W4636" s="25"/>
      <c r="X4636" s="25"/>
      <c r="Y4636" s="25"/>
      <c r="Z4636" s="25"/>
    </row>
    <row r="4637" spans="1:26" ht="15.75" customHeight="1" x14ac:dyDescent="0.25">
      <c r="A4637" s="25"/>
      <c r="B4637" s="49"/>
      <c r="C4637" s="50"/>
      <c r="D4637" s="23"/>
      <c r="E4637" s="23"/>
      <c r="F4637" s="15"/>
      <c r="G4637" s="23"/>
      <c r="H4637" s="15"/>
      <c r="I4637" s="15"/>
      <c r="J4637" s="51"/>
      <c r="K4637" s="15"/>
      <c r="L4637" s="51"/>
      <c r="M4637" s="15"/>
      <c r="N4637" s="23"/>
      <c r="O4637" s="23"/>
      <c r="P4637" s="15" t="str">
        <f t="shared" si="6"/>
        <v/>
      </c>
      <c r="Q4637" s="24"/>
      <c r="R4637" s="25"/>
      <c r="S4637" s="25"/>
      <c r="T4637" s="26"/>
      <c r="U4637" s="26"/>
      <c r="V4637" s="25"/>
      <c r="W4637" s="25"/>
      <c r="X4637" s="25"/>
      <c r="Y4637" s="25"/>
      <c r="Z4637" s="25"/>
    </row>
    <row r="4638" spans="1:26" ht="15.75" customHeight="1" x14ac:dyDescent="0.25">
      <c r="A4638" s="25"/>
      <c r="B4638" s="49"/>
      <c r="C4638" s="50"/>
      <c r="D4638" s="23"/>
      <c r="E4638" s="23"/>
      <c r="F4638" s="15"/>
      <c r="G4638" s="23"/>
      <c r="H4638" s="15"/>
      <c r="I4638" s="15"/>
      <c r="J4638" s="51"/>
      <c r="K4638" s="15"/>
      <c r="L4638" s="51"/>
      <c r="M4638" s="15"/>
      <c r="N4638" s="23"/>
      <c r="O4638" s="23"/>
      <c r="P4638" s="15" t="str">
        <f t="shared" si="6"/>
        <v/>
      </c>
      <c r="Q4638" s="24"/>
      <c r="R4638" s="25"/>
      <c r="S4638" s="25"/>
      <c r="T4638" s="26"/>
      <c r="U4638" s="26"/>
      <c r="V4638" s="25"/>
      <c r="W4638" s="25"/>
      <c r="X4638" s="25"/>
      <c r="Y4638" s="25"/>
      <c r="Z4638" s="25"/>
    </row>
    <row r="4639" spans="1:26" ht="15.75" customHeight="1" x14ac:dyDescent="0.25">
      <c r="A4639" s="25"/>
      <c r="B4639" s="49"/>
      <c r="C4639" s="50"/>
      <c r="D4639" s="23"/>
      <c r="E4639" s="23"/>
      <c r="F4639" s="15"/>
      <c r="G4639" s="23"/>
      <c r="H4639" s="15"/>
      <c r="I4639" s="15"/>
      <c r="J4639" s="51"/>
      <c r="K4639" s="15"/>
      <c r="L4639" s="51"/>
      <c r="M4639" s="15"/>
      <c r="N4639" s="23"/>
      <c r="O4639" s="23"/>
      <c r="P4639" s="15" t="str">
        <f t="shared" si="6"/>
        <v/>
      </c>
      <c r="Q4639" s="24"/>
      <c r="R4639" s="25"/>
      <c r="S4639" s="25"/>
      <c r="T4639" s="26"/>
      <c r="U4639" s="26"/>
      <c r="V4639" s="25"/>
      <c r="W4639" s="25"/>
      <c r="X4639" s="25"/>
      <c r="Y4639" s="25"/>
      <c r="Z4639" s="25"/>
    </row>
    <row r="4640" spans="1:26" ht="15.75" customHeight="1" x14ac:dyDescent="0.25">
      <c r="A4640" s="25"/>
      <c r="B4640" s="49"/>
      <c r="C4640" s="50"/>
      <c r="D4640" s="23"/>
      <c r="E4640" s="23"/>
      <c r="F4640" s="15"/>
      <c r="G4640" s="23"/>
      <c r="H4640" s="15"/>
      <c r="I4640" s="15"/>
      <c r="J4640" s="51"/>
      <c r="K4640" s="15"/>
      <c r="L4640" s="51"/>
      <c r="M4640" s="15"/>
      <c r="N4640" s="23"/>
      <c r="O4640" s="23"/>
      <c r="P4640" s="15" t="str">
        <f t="shared" si="6"/>
        <v/>
      </c>
      <c r="Q4640" s="24"/>
      <c r="R4640" s="25"/>
      <c r="S4640" s="25"/>
      <c r="T4640" s="26"/>
      <c r="U4640" s="26"/>
      <c r="V4640" s="25"/>
      <c r="W4640" s="25"/>
      <c r="X4640" s="25"/>
      <c r="Y4640" s="25"/>
      <c r="Z4640" s="25"/>
    </row>
    <row r="4641" spans="1:26" ht="15.75" customHeight="1" x14ac:dyDescent="0.25">
      <c r="A4641" s="25"/>
      <c r="B4641" s="49"/>
      <c r="C4641" s="50"/>
      <c r="D4641" s="23"/>
      <c r="E4641" s="23"/>
      <c r="F4641" s="15"/>
      <c r="G4641" s="23"/>
      <c r="H4641" s="15"/>
      <c r="I4641" s="15"/>
      <c r="J4641" s="51"/>
      <c r="K4641" s="15"/>
      <c r="L4641" s="51"/>
      <c r="M4641" s="15"/>
      <c r="N4641" s="23"/>
      <c r="O4641" s="23"/>
      <c r="P4641" s="15" t="str">
        <f t="shared" si="6"/>
        <v/>
      </c>
      <c r="Q4641" s="24"/>
      <c r="R4641" s="25"/>
      <c r="S4641" s="25"/>
      <c r="T4641" s="26"/>
      <c r="U4641" s="26"/>
      <c r="V4641" s="25"/>
      <c r="W4641" s="25"/>
      <c r="X4641" s="25"/>
      <c r="Y4641" s="25"/>
      <c r="Z4641" s="25"/>
    </row>
    <row r="4642" spans="1:26" ht="15.75" customHeight="1" x14ac:dyDescent="0.25">
      <c r="A4642" s="25"/>
      <c r="B4642" s="49"/>
      <c r="C4642" s="50"/>
      <c r="D4642" s="23"/>
      <c r="E4642" s="23"/>
      <c r="F4642" s="15"/>
      <c r="G4642" s="23"/>
      <c r="H4642" s="15"/>
      <c r="I4642" s="15"/>
      <c r="J4642" s="51"/>
      <c r="K4642" s="15"/>
      <c r="L4642" s="51"/>
      <c r="M4642" s="15"/>
      <c r="N4642" s="23"/>
      <c r="O4642" s="23"/>
      <c r="P4642" s="15" t="str">
        <f t="shared" si="6"/>
        <v/>
      </c>
      <c r="Q4642" s="24"/>
      <c r="R4642" s="25"/>
      <c r="S4642" s="25"/>
      <c r="T4642" s="26"/>
      <c r="U4642" s="26"/>
      <c r="V4642" s="25"/>
      <c r="W4642" s="25"/>
      <c r="X4642" s="25"/>
      <c r="Y4642" s="25"/>
      <c r="Z4642" s="25"/>
    </row>
    <row r="4643" spans="1:26" ht="15.75" customHeight="1" x14ac:dyDescent="0.25">
      <c r="A4643" s="25"/>
      <c r="B4643" s="49"/>
      <c r="C4643" s="50"/>
      <c r="D4643" s="23"/>
      <c r="E4643" s="23"/>
      <c r="F4643" s="15"/>
      <c r="G4643" s="23"/>
      <c r="H4643" s="15"/>
      <c r="I4643" s="15"/>
      <c r="J4643" s="51"/>
      <c r="K4643" s="15"/>
      <c r="L4643" s="51"/>
      <c r="M4643" s="15"/>
      <c r="N4643" s="23"/>
      <c r="O4643" s="23"/>
      <c r="P4643" s="15" t="str">
        <f t="shared" si="6"/>
        <v/>
      </c>
      <c r="Q4643" s="24"/>
      <c r="R4643" s="25"/>
      <c r="S4643" s="25"/>
      <c r="T4643" s="26"/>
      <c r="U4643" s="26"/>
      <c r="V4643" s="25"/>
      <c r="W4643" s="25"/>
      <c r="X4643" s="25"/>
      <c r="Y4643" s="25"/>
      <c r="Z4643" s="25"/>
    </row>
    <row r="4644" spans="1:26" ht="15.75" customHeight="1" x14ac:dyDescent="0.25">
      <c r="A4644" s="25"/>
      <c r="B4644" s="49"/>
      <c r="C4644" s="50"/>
      <c r="D4644" s="23"/>
      <c r="E4644" s="23"/>
      <c r="F4644" s="15"/>
      <c r="G4644" s="23"/>
      <c r="H4644" s="15"/>
      <c r="I4644" s="15"/>
      <c r="J4644" s="51"/>
      <c r="K4644" s="15"/>
      <c r="L4644" s="51"/>
      <c r="M4644" s="15"/>
      <c r="N4644" s="23"/>
      <c r="O4644" s="23"/>
      <c r="P4644" s="15" t="str">
        <f t="shared" si="6"/>
        <v/>
      </c>
      <c r="Q4644" s="24"/>
      <c r="R4644" s="25"/>
      <c r="S4644" s="25"/>
      <c r="T4644" s="26"/>
      <c r="U4644" s="26"/>
      <c r="V4644" s="25"/>
      <c r="W4644" s="25"/>
      <c r="X4644" s="25"/>
      <c r="Y4644" s="25"/>
      <c r="Z4644" s="25"/>
    </row>
    <row r="4645" spans="1:26" ht="15.75" customHeight="1" x14ac:dyDescent="0.25">
      <c r="A4645" s="25"/>
      <c r="B4645" s="49"/>
      <c r="C4645" s="50"/>
      <c r="D4645" s="23"/>
      <c r="E4645" s="23"/>
      <c r="F4645" s="15"/>
      <c r="G4645" s="23"/>
      <c r="H4645" s="15"/>
      <c r="I4645" s="15"/>
      <c r="J4645" s="51"/>
      <c r="K4645" s="15"/>
      <c r="L4645" s="51"/>
      <c r="M4645" s="15"/>
      <c r="N4645" s="23"/>
      <c r="O4645" s="23"/>
      <c r="P4645" s="15" t="str">
        <f t="shared" si="6"/>
        <v/>
      </c>
      <c r="Q4645" s="24"/>
      <c r="R4645" s="25"/>
      <c r="S4645" s="25"/>
      <c r="T4645" s="26"/>
      <c r="U4645" s="26"/>
      <c r="V4645" s="25"/>
      <c r="W4645" s="25"/>
      <c r="X4645" s="25"/>
      <c r="Y4645" s="25"/>
      <c r="Z4645" s="25"/>
    </row>
    <row r="4646" spans="1:26" ht="15.75" customHeight="1" x14ac:dyDescent="0.25">
      <c r="A4646" s="25"/>
      <c r="B4646" s="49"/>
      <c r="C4646" s="50"/>
      <c r="D4646" s="23"/>
      <c r="E4646" s="23"/>
      <c r="F4646" s="15"/>
      <c r="G4646" s="23"/>
      <c r="H4646" s="15"/>
      <c r="I4646" s="15"/>
      <c r="J4646" s="51"/>
      <c r="K4646" s="15"/>
      <c r="L4646" s="51"/>
      <c r="M4646" s="15"/>
      <c r="N4646" s="23"/>
      <c r="O4646" s="23"/>
      <c r="P4646" s="15" t="str">
        <f t="shared" si="6"/>
        <v/>
      </c>
      <c r="Q4646" s="24"/>
      <c r="R4646" s="25"/>
      <c r="S4646" s="25"/>
      <c r="T4646" s="26"/>
      <c r="U4646" s="26"/>
      <c r="V4646" s="25"/>
      <c r="W4646" s="25"/>
      <c r="X4646" s="25"/>
      <c r="Y4646" s="25"/>
      <c r="Z4646" s="25"/>
    </row>
    <row r="4647" spans="1:26" ht="15.75" customHeight="1" x14ac:dyDescent="0.25">
      <c r="A4647" s="25"/>
      <c r="B4647" s="49"/>
      <c r="C4647" s="50"/>
      <c r="D4647" s="23"/>
      <c r="E4647" s="23"/>
      <c r="F4647" s="15"/>
      <c r="G4647" s="23"/>
      <c r="H4647" s="15"/>
      <c r="I4647" s="15"/>
      <c r="J4647" s="51"/>
      <c r="K4647" s="15"/>
      <c r="L4647" s="51"/>
      <c r="M4647" s="15"/>
      <c r="N4647" s="23"/>
      <c r="O4647" s="23"/>
      <c r="P4647" s="15" t="str">
        <f t="shared" si="6"/>
        <v/>
      </c>
      <c r="Q4647" s="24"/>
      <c r="R4647" s="25"/>
      <c r="S4647" s="25"/>
      <c r="T4647" s="26"/>
      <c r="U4647" s="26"/>
      <c r="V4647" s="25"/>
      <c r="W4647" s="25"/>
      <c r="X4647" s="25"/>
      <c r="Y4647" s="25"/>
      <c r="Z4647" s="25"/>
    </row>
    <row r="4648" spans="1:26" ht="15.75" customHeight="1" x14ac:dyDescent="0.25">
      <c r="A4648" s="25"/>
      <c r="B4648" s="49"/>
      <c r="C4648" s="50"/>
      <c r="D4648" s="23"/>
      <c r="E4648" s="23"/>
      <c r="F4648" s="15"/>
      <c r="G4648" s="23"/>
      <c r="H4648" s="15"/>
      <c r="I4648" s="15"/>
      <c r="J4648" s="51"/>
      <c r="K4648" s="15"/>
      <c r="L4648" s="51"/>
      <c r="M4648" s="15"/>
      <c r="N4648" s="23"/>
      <c r="O4648" s="23"/>
      <c r="P4648" s="15" t="str">
        <f t="shared" si="6"/>
        <v/>
      </c>
      <c r="Q4648" s="24"/>
      <c r="R4648" s="25"/>
      <c r="S4648" s="25"/>
      <c r="T4648" s="26"/>
      <c r="U4648" s="26"/>
      <c r="V4648" s="25"/>
      <c r="W4648" s="25"/>
      <c r="X4648" s="25"/>
      <c r="Y4648" s="25"/>
      <c r="Z4648" s="25"/>
    </row>
    <row r="4649" spans="1:26" ht="15.75" customHeight="1" x14ac:dyDescent="0.25">
      <c r="A4649" s="25"/>
      <c r="B4649" s="49"/>
      <c r="C4649" s="50"/>
      <c r="D4649" s="23"/>
      <c r="E4649" s="23"/>
      <c r="F4649" s="15"/>
      <c r="G4649" s="23"/>
      <c r="H4649" s="15"/>
      <c r="I4649" s="15"/>
      <c r="J4649" s="51"/>
      <c r="K4649" s="15"/>
      <c r="L4649" s="51"/>
      <c r="M4649" s="15"/>
      <c r="N4649" s="23"/>
      <c r="O4649" s="23"/>
      <c r="P4649" s="15" t="str">
        <f t="shared" si="6"/>
        <v/>
      </c>
      <c r="Q4649" s="24"/>
      <c r="R4649" s="25"/>
      <c r="S4649" s="25"/>
      <c r="T4649" s="26"/>
      <c r="U4649" s="26"/>
      <c r="V4649" s="25"/>
      <c r="W4649" s="25"/>
      <c r="X4649" s="25"/>
      <c r="Y4649" s="25"/>
      <c r="Z4649" s="25"/>
    </row>
    <row r="4650" spans="1:26" ht="15.75" customHeight="1" x14ac:dyDescent="0.25">
      <c r="A4650" s="25"/>
      <c r="B4650" s="49"/>
      <c r="C4650" s="50"/>
      <c r="D4650" s="23"/>
      <c r="E4650" s="23"/>
      <c r="F4650" s="15"/>
      <c r="G4650" s="23"/>
      <c r="H4650" s="15"/>
      <c r="I4650" s="15"/>
      <c r="J4650" s="51"/>
      <c r="K4650" s="15"/>
      <c r="L4650" s="51"/>
      <c r="M4650" s="15"/>
      <c r="N4650" s="23"/>
      <c r="O4650" s="23"/>
      <c r="P4650" s="15" t="str">
        <f t="shared" si="6"/>
        <v/>
      </c>
      <c r="Q4650" s="24"/>
      <c r="R4650" s="25"/>
      <c r="S4650" s="25"/>
      <c r="T4650" s="26"/>
      <c r="U4650" s="26"/>
      <c r="V4650" s="25"/>
      <c r="W4650" s="25"/>
      <c r="X4650" s="25"/>
      <c r="Y4650" s="25"/>
      <c r="Z4650" s="25"/>
    </row>
    <row r="4651" spans="1:26" ht="15.75" customHeight="1" x14ac:dyDescent="0.25">
      <c r="A4651" s="25"/>
      <c r="B4651" s="49"/>
      <c r="C4651" s="50"/>
      <c r="D4651" s="23"/>
      <c r="E4651" s="23"/>
      <c r="F4651" s="15"/>
      <c r="G4651" s="23"/>
      <c r="H4651" s="15"/>
      <c r="I4651" s="15"/>
      <c r="J4651" s="51"/>
      <c r="K4651" s="15"/>
      <c r="L4651" s="51"/>
      <c r="M4651" s="15"/>
      <c r="N4651" s="23"/>
      <c r="O4651" s="23"/>
      <c r="P4651" s="15" t="str">
        <f t="shared" si="6"/>
        <v/>
      </c>
      <c r="Q4651" s="24"/>
      <c r="R4651" s="25"/>
      <c r="S4651" s="25"/>
      <c r="T4651" s="26"/>
      <c r="U4651" s="26"/>
      <c r="V4651" s="25"/>
      <c r="W4651" s="25"/>
      <c r="X4651" s="25"/>
      <c r="Y4651" s="25"/>
      <c r="Z4651" s="25"/>
    </row>
    <row r="4652" spans="1:26" ht="15.75" customHeight="1" x14ac:dyDescent="0.25">
      <c r="A4652" s="25"/>
      <c r="B4652" s="49"/>
      <c r="C4652" s="50"/>
      <c r="D4652" s="23"/>
      <c r="E4652" s="23"/>
      <c r="F4652" s="15"/>
      <c r="G4652" s="23"/>
      <c r="H4652" s="15"/>
      <c r="I4652" s="15"/>
      <c r="J4652" s="51"/>
      <c r="K4652" s="15"/>
      <c r="L4652" s="51"/>
      <c r="M4652" s="15"/>
      <c r="N4652" s="23"/>
      <c r="O4652" s="23"/>
      <c r="P4652" s="15" t="str">
        <f t="shared" si="6"/>
        <v/>
      </c>
      <c r="Q4652" s="24"/>
      <c r="R4652" s="25"/>
      <c r="S4652" s="25"/>
      <c r="T4652" s="26"/>
      <c r="U4652" s="26"/>
      <c r="V4652" s="25"/>
      <c r="W4652" s="25"/>
      <c r="X4652" s="25"/>
      <c r="Y4652" s="25"/>
      <c r="Z4652" s="25"/>
    </row>
    <row r="4653" spans="1:26" ht="15.75" customHeight="1" x14ac:dyDescent="0.25">
      <c r="A4653" s="25"/>
      <c r="B4653" s="49"/>
      <c r="C4653" s="50"/>
      <c r="D4653" s="23"/>
      <c r="E4653" s="23"/>
      <c r="F4653" s="15"/>
      <c r="G4653" s="23"/>
      <c r="H4653" s="15"/>
      <c r="I4653" s="15"/>
      <c r="J4653" s="51"/>
      <c r="K4653" s="15"/>
      <c r="L4653" s="51"/>
      <c r="M4653" s="15"/>
      <c r="N4653" s="23"/>
      <c r="O4653" s="23"/>
      <c r="P4653" s="15" t="str">
        <f t="shared" si="6"/>
        <v/>
      </c>
      <c r="Q4653" s="24"/>
      <c r="R4653" s="25"/>
      <c r="S4653" s="25"/>
      <c r="T4653" s="26"/>
      <c r="U4653" s="26"/>
      <c r="V4653" s="25"/>
      <c r="W4653" s="25"/>
      <c r="X4653" s="25"/>
      <c r="Y4653" s="25"/>
      <c r="Z4653" s="25"/>
    </row>
    <row r="4654" spans="1:26" ht="15.75" customHeight="1" x14ac:dyDescent="0.25">
      <c r="A4654" s="25"/>
      <c r="B4654" s="49"/>
      <c r="C4654" s="50"/>
      <c r="D4654" s="23"/>
      <c r="E4654" s="23"/>
      <c r="F4654" s="15"/>
      <c r="G4654" s="23"/>
      <c r="H4654" s="15"/>
      <c r="I4654" s="15"/>
      <c r="J4654" s="51"/>
      <c r="K4654" s="15"/>
      <c r="L4654" s="51"/>
      <c r="M4654" s="15"/>
      <c r="N4654" s="23"/>
      <c r="O4654" s="23"/>
      <c r="P4654" s="15" t="str">
        <f t="shared" si="6"/>
        <v/>
      </c>
      <c r="Q4654" s="24"/>
      <c r="R4654" s="25"/>
      <c r="S4654" s="25"/>
      <c r="T4654" s="26"/>
      <c r="U4654" s="26"/>
      <c r="V4654" s="25"/>
      <c r="W4654" s="25"/>
      <c r="X4654" s="25"/>
      <c r="Y4654" s="25"/>
      <c r="Z4654" s="25"/>
    </row>
    <row r="4655" spans="1:26" ht="15.75" customHeight="1" x14ac:dyDescent="0.25">
      <c r="A4655" s="25"/>
      <c r="B4655" s="49"/>
      <c r="C4655" s="50"/>
      <c r="D4655" s="23"/>
      <c r="E4655" s="23"/>
      <c r="F4655" s="15"/>
      <c r="G4655" s="23"/>
      <c r="H4655" s="15"/>
      <c r="I4655" s="15"/>
      <c r="J4655" s="51"/>
      <c r="K4655" s="15"/>
      <c r="L4655" s="51"/>
      <c r="M4655" s="15"/>
      <c r="N4655" s="23"/>
      <c r="O4655" s="23"/>
      <c r="P4655" s="15" t="str">
        <f t="shared" si="6"/>
        <v/>
      </c>
      <c r="Q4655" s="24"/>
      <c r="R4655" s="25"/>
      <c r="S4655" s="25"/>
      <c r="T4655" s="26"/>
      <c r="U4655" s="26"/>
      <c r="V4655" s="25"/>
      <c r="W4655" s="25"/>
      <c r="X4655" s="25"/>
      <c r="Y4655" s="25"/>
      <c r="Z4655" s="25"/>
    </row>
    <row r="4656" spans="1:26" ht="15.75" customHeight="1" x14ac:dyDescent="0.25">
      <c r="A4656" s="25"/>
      <c r="B4656" s="49"/>
      <c r="C4656" s="50"/>
      <c r="D4656" s="23"/>
      <c r="E4656" s="23"/>
      <c r="F4656" s="15"/>
      <c r="G4656" s="23"/>
      <c r="H4656" s="15"/>
      <c r="I4656" s="15"/>
      <c r="J4656" s="51"/>
      <c r="K4656" s="15"/>
      <c r="L4656" s="51"/>
      <c r="M4656" s="15"/>
      <c r="N4656" s="23"/>
      <c r="O4656" s="23"/>
      <c r="P4656" s="15" t="str">
        <f t="shared" si="6"/>
        <v/>
      </c>
      <c r="Q4656" s="24"/>
      <c r="R4656" s="25"/>
      <c r="S4656" s="25"/>
      <c r="T4656" s="26"/>
      <c r="U4656" s="26"/>
      <c r="V4656" s="25"/>
      <c r="W4656" s="25"/>
      <c r="X4656" s="25"/>
      <c r="Y4656" s="25"/>
      <c r="Z4656" s="25"/>
    </row>
    <row r="4657" spans="1:26" ht="15.75" customHeight="1" x14ac:dyDescent="0.25">
      <c r="A4657" s="25"/>
      <c r="B4657" s="49"/>
      <c r="C4657" s="50"/>
      <c r="D4657" s="23"/>
      <c r="E4657" s="23"/>
      <c r="F4657" s="15"/>
      <c r="G4657" s="23"/>
      <c r="H4657" s="15"/>
      <c r="I4657" s="15"/>
      <c r="J4657" s="51"/>
      <c r="K4657" s="15"/>
      <c r="L4657" s="51"/>
      <c r="M4657" s="15"/>
      <c r="N4657" s="23"/>
      <c r="O4657" s="23"/>
      <c r="P4657" s="15" t="str">
        <f t="shared" si="6"/>
        <v/>
      </c>
      <c r="Q4657" s="24"/>
      <c r="R4657" s="25"/>
      <c r="S4657" s="25"/>
      <c r="T4657" s="26"/>
      <c r="U4657" s="26"/>
      <c r="V4657" s="25"/>
      <c r="W4657" s="25"/>
      <c r="X4657" s="25"/>
      <c r="Y4657" s="25"/>
      <c r="Z4657" s="25"/>
    </row>
    <row r="4658" spans="1:26" ht="15.75" customHeight="1" x14ac:dyDescent="0.25">
      <c r="A4658" s="25"/>
      <c r="B4658" s="49"/>
      <c r="C4658" s="50"/>
      <c r="D4658" s="23"/>
      <c r="E4658" s="23"/>
      <c r="F4658" s="15"/>
      <c r="G4658" s="23"/>
      <c r="H4658" s="15"/>
      <c r="I4658" s="15"/>
      <c r="J4658" s="51"/>
      <c r="K4658" s="15"/>
      <c r="L4658" s="51"/>
      <c r="M4658" s="15"/>
      <c r="N4658" s="23"/>
      <c r="O4658" s="23"/>
      <c r="P4658" s="15" t="str">
        <f t="shared" si="6"/>
        <v/>
      </c>
      <c r="Q4658" s="24"/>
      <c r="R4658" s="25"/>
      <c r="S4658" s="25"/>
      <c r="T4658" s="26"/>
      <c r="U4658" s="26"/>
      <c r="V4658" s="25"/>
      <c r="W4658" s="25"/>
      <c r="X4658" s="25"/>
      <c r="Y4658" s="25"/>
      <c r="Z4658" s="25"/>
    </row>
    <row r="4659" spans="1:26" ht="15.75" customHeight="1" x14ac:dyDescent="0.25">
      <c r="A4659" s="25"/>
      <c r="B4659" s="49"/>
      <c r="C4659" s="50"/>
      <c r="D4659" s="23"/>
      <c r="E4659" s="23"/>
      <c r="F4659" s="15"/>
      <c r="G4659" s="23"/>
      <c r="H4659" s="15"/>
      <c r="I4659" s="15"/>
      <c r="J4659" s="51"/>
      <c r="K4659" s="15"/>
      <c r="L4659" s="51"/>
      <c r="M4659" s="15"/>
      <c r="N4659" s="23"/>
      <c r="O4659" s="23"/>
      <c r="P4659" s="15" t="str">
        <f t="shared" si="6"/>
        <v/>
      </c>
      <c r="Q4659" s="24"/>
      <c r="R4659" s="25"/>
      <c r="S4659" s="25"/>
      <c r="T4659" s="26"/>
      <c r="U4659" s="26"/>
      <c r="V4659" s="25"/>
      <c r="W4659" s="25"/>
      <c r="X4659" s="25"/>
      <c r="Y4659" s="25"/>
      <c r="Z4659" s="25"/>
    </row>
    <row r="4660" spans="1:26" ht="15.75" customHeight="1" x14ac:dyDescent="0.25">
      <c r="A4660" s="25"/>
      <c r="B4660" s="49"/>
      <c r="C4660" s="50"/>
      <c r="D4660" s="23"/>
      <c r="E4660" s="23"/>
      <c r="F4660" s="15"/>
      <c r="G4660" s="23"/>
      <c r="H4660" s="15"/>
      <c r="I4660" s="15"/>
      <c r="J4660" s="51"/>
      <c r="K4660" s="15"/>
      <c r="L4660" s="51"/>
      <c r="M4660" s="15"/>
      <c r="N4660" s="23"/>
      <c r="O4660" s="23"/>
      <c r="P4660" s="15" t="str">
        <f t="shared" si="6"/>
        <v/>
      </c>
      <c r="Q4660" s="24"/>
      <c r="R4660" s="25"/>
      <c r="S4660" s="25"/>
      <c r="T4660" s="26"/>
      <c r="U4660" s="26"/>
      <c r="V4660" s="25"/>
      <c r="W4660" s="25"/>
      <c r="X4660" s="25"/>
      <c r="Y4660" s="25"/>
      <c r="Z4660" s="25"/>
    </row>
    <row r="4661" spans="1:26" ht="15.75" customHeight="1" x14ac:dyDescent="0.25">
      <c r="A4661" s="25"/>
      <c r="B4661" s="49"/>
      <c r="C4661" s="50"/>
      <c r="D4661" s="23"/>
      <c r="E4661" s="23"/>
      <c r="F4661" s="15"/>
      <c r="G4661" s="23"/>
      <c r="H4661" s="15"/>
      <c r="I4661" s="15"/>
      <c r="J4661" s="51"/>
      <c r="K4661" s="15"/>
      <c r="L4661" s="51"/>
      <c r="M4661" s="15"/>
      <c r="N4661" s="23"/>
      <c r="O4661" s="23"/>
      <c r="P4661" s="15" t="str">
        <f t="shared" si="6"/>
        <v/>
      </c>
      <c r="Q4661" s="24"/>
      <c r="R4661" s="25"/>
      <c r="S4661" s="25"/>
      <c r="T4661" s="26"/>
      <c r="U4661" s="26"/>
      <c r="V4661" s="25"/>
      <c r="W4661" s="25"/>
      <c r="X4661" s="25"/>
      <c r="Y4661" s="25"/>
      <c r="Z4661" s="25"/>
    </row>
    <row r="4662" spans="1:26" ht="15.75" customHeight="1" x14ac:dyDescent="0.25">
      <c r="A4662" s="25"/>
      <c r="B4662" s="49"/>
      <c r="C4662" s="50"/>
      <c r="D4662" s="23"/>
      <c r="E4662" s="23"/>
      <c r="F4662" s="15"/>
      <c r="G4662" s="23"/>
      <c r="H4662" s="15"/>
      <c r="I4662" s="15"/>
      <c r="J4662" s="51"/>
      <c r="K4662" s="15"/>
      <c r="L4662" s="51"/>
      <c r="M4662" s="15"/>
      <c r="N4662" s="23"/>
      <c r="O4662" s="23"/>
      <c r="P4662" s="15" t="str">
        <f t="shared" si="6"/>
        <v/>
      </c>
      <c r="Q4662" s="24"/>
      <c r="R4662" s="25"/>
      <c r="S4662" s="25"/>
      <c r="T4662" s="26"/>
      <c r="U4662" s="26"/>
      <c r="V4662" s="25"/>
      <c r="W4662" s="25"/>
      <c r="X4662" s="25"/>
      <c r="Y4662" s="25"/>
      <c r="Z4662" s="25"/>
    </row>
    <row r="4663" spans="1:26" ht="15.75" customHeight="1" x14ac:dyDescent="0.25">
      <c r="A4663" s="25"/>
      <c r="B4663" s="49"/>
      <c r="C4663" s="50"/>
      <c r="D4663" s="23"/>
      <c r="E4663" s="23"/>
      <c r="F4663" s="15"/>
      <c r="G4663" s="23"/>
      <c r="H4663" s="15"/>
      <c r="I4663" s="15"/>
      <c r="J4663" s="51"/>
      <c r="K4663" s="15"/>
      <c r="L4663" s="51"/>
      <c r="M4663" s="15"/>
      <c r="N4663" s="23"/>
      <c r="O4663" s="23"/>
      <c r="P4663" s="15" t="str">
        <f t="shared" si="6"/>
        <v/>
      </c>
      <c r="Q4663" s="24"/>
      <c r="R4663" s="25"/>
      <c r="S4663" s="25"/>
      <c r="T4663" s="26"/>
      <c r="U4663" s="26"/>
      <c r="V4663" s="25"/>
      <c r="W4663" s="25"/>
      <c r="X4663" s="25"/>
      <c r="Y4663" s="25"/>
      <c r="Z4663" s="25"/>
    </row>
    <row r="4664" spans="1:26" ht="15.75" customHeight="1" x14ac:dyDescent="0.25">
      <c r="A4664" s="25"/>
      <c r="B4664" s="49"/>
      <c r="C4664" s="50"/>
      <c r="D4664" s="23"/>
      <c r="E4664" s="23"/>
      <c r="F4664" s="15"/>
      <c r="G4664" s="23"/>
      <c r="H4664" s="15"/>
      <c r="I4664" s="15"/>
      <c r="J4664" s="51"/>
      <c r="K4664" s="15"/>
      <c r="L4664" s="51"/>
      <c r="M4664" s="15"/>
      <c r="N4664" s="23"/>
      <c r="O4664" s="23"/>
      <c r="P4664" s="15" t="str">
        <f t="shared" si="6"/>
        <v/>
      </c>
      <c r="Q4664" s="24"/>
      <c r="R4664" s="25"/>
      <c r="S4664" s="25"/>
      <c r="T4664" s="26"/>
      <c r="U4664" s="26"/>
      <c r="V4664" s="25"/>
      <c r="W4664" s="25"/>
      <c r="X4664" s="25"/>
      <c r="Y4664" s="25"/>
      <c r="Z4664" s="25"/>
    </row>
    <row r="4665" spans="1:26" ht="15.75" customHeight="1" x14ac:dyDescent="0.25">
      <c r="A4665" s="25"/>
      <c r="B4665" s="49"/>
      <c r="C4665" s="50"/>
      <c r="D4665" s="23"/>
      <c r="E4665" s="23"/>
      <c r="F4665" s="15"/>
      <c r="G4665" s="23"/>
      <c r="H4665" s="15"/>
      <c r="I4665" s="15"/>
      <c r="J4665" s="51"/>
      <c r="K4665" s="15"/>
      <c r="L4665" s="51"/>
      <c r="M4665" s="15"/>
      <c r="N4665" s="23"/>
      <c r="O4665" s="23"/>
      <c r="P4665" s="15" t="str">
        <f t="shared" si="6"/>
        <v/>
      </c>
      <c r="Q4665" s="24"/>
      <c r="R4665" s="25"/>
      <c r="S4665" s="25"/>
      <c r="T4665" s="26"/>
      <c r="U4665" s="26"/>
      <c r="V4665" s="25"/>
      <c r="W4665" s="25"/>
      <c r="X4665" s="25"/>
      <c r="Y4665" s="25"/>
      <c r="Z4665" s="25"/>
    </row>
    <row r="4666" spans="1:26" ht="15.75" customHeight="1" x14ac:dyDescent="0.25">
      <c r="A4666" s="25"/>
      <c r="B4666" s="49"/>
      <c r="C4666" s="50"/>
      <c r="D4666" s="23"/>
      <c r="E4666" s="23"/>
      <c r="F4666" s="15"/>
      <c r="G4666" s="23"/>
      <c r="H4666" s="15"/>
      <c r="I4666" s="15"/>
      <c r="J4666" s="51"/>
      <c r="K4666" s="15"/>
      <c r="L4666" s="51"/>
      <c r="M4666" s="15"/>
      <c r="N4666" s="23"/>
      <c r="O4666" s="23"/>
      <c r="P4666" s="15" t="str">
        <f t="shared" si="6"/>
        <v/>
      </c>
      <c r="Q4666" s="24"/>
      <c r="R4666" s="25"/>
      <c r="S4666" s="25"/>
      <c r="T4666" s="26"/>
      <c r="U4666" s="26"/>
      <c r="V4666" s="25"/>
      <c r="W4666" s="25"/>
      <c r="X4666" s="25"/>
      <c r="Y4666" s="25"/>
      <c r="Z4666" s="25"/>
    </row>
    <row r="4667" spans="1:26" ht="15.75" customHeight="1" x14ac:dyDescent="0.25">
      <c r="A4667" s="25"/>
      <c r="B4667" s="49"/>
      <c r="C4667" s="50"/>
      <c r="D4667" s="23"/>
      <c r="E4667" s="23"/>
      <c r="F4667" s="15"/>
      <c r="G4667" s="23"/>
      <c r="H4667" s="15"/>
      <c r="I4667" s="15"/>
      <c r="J4667" s="51"/>
      <c r="K4667" s="15"/>
      <c r="L4667" s="51"/>
      <c r="M4667" s="15"/>
      <c r="N4667" s="23"/>
      <c r="O4667" s="23"/>
      <c r="P4667" s="15" t="str">
        <f t="shared" si="6"/>
        <v/>
      </c>
      <c r="Q4667" s="24"/>
      <c r="R4667" s="25"/>
      <c r="S4667" s="25"/>
      <c r="T4667" s="26"/>
      <c r="U4667" s="26"/>
      <c r="V4667" s="25"/>
      <c r="W4667" s="25"/>
      <c r="X4667" s="25"/>
      <c r="Y4667" s="25"/>
      <c r="Z4667" s="25"/>
    </row>
    <row r="4668" spans="1:26" ht="15.75" customHeight="1" x14ac:dyDescent="0.25">
      <c r="A4668" s="25"/>
      <c r="B4668" s="49"/>
      <c r="C4668" s="50"/>
      <c r="D4668" s="23"/>
      <c r="E4668" s="23"/>
      <c r="F4668" s="15"/>
      <c r="G4668" s="23"/>
      <c r="H4668" s="15"/>
      <c r="I4668" s="15"/>
      <c r="J4668" s="51"/>
      <c r="K4668" s="15"/>
      <c r="L4668" s="51"/>
      <c r="M4668" s="15"/>
      <c r="N4668" s="23"/>
      <c r="O4668" s="23"/>
      <c r="P4668" s="15" t="str">
        <f t="shared" si="6"/>
        <v/>
      </c>
      <c r="Q4668" s="24"/>
      <c r="R4668" s="25"/>
      <c r="S4668" s="25"/>
      <c r="T4668" s="26"/>
      <c r="U4668" s="26"/>
      <c r="V4668" s="25"/>
      <c r="W4668" s="25"/>
      <c r="X4668" s="25"/>
      <c r="Y4668" s="25"/>
      <c r="Z4668" s="25"/>
    </row>
    <row r="4669" spans="1:26" ht="15.75" customHeight="1" x14ac:dyDescent="0.25">
      <c r="A4669" s="25"/>
      <c r="B4669" s="49"/>
      <c r="C4669" s="50"/>
      <c r="D4669" s="23"/>
      <c r="E4669" s="23"/>
      <c r="F4669" s="15"/>
      <c r="G4669" s="23"/>
      <c r="H4669" s="15"/>
      <c r="I4669" s="15"/>
      <c r="J4669" s="51"/>
      <c r="K4669" s="15"/>
      <c r="L4669" s="51"/>
      <c r="M4669" s="15"/>
      <c r="N4669" s="23"/>
      <c r="O4669" s="23"/>
      <c r="P4669" s="15" t="str">
        <f t="shared" si="6"/>
        <v/>
      </c>
      <c r="Q4669" s="24"/>
      <c r="R4669" s="25"/>
      <c r="S4669" s="25"/>
      <c r="T4669" s="26"/>
      <c r="U4669" s="26"/>
      <c r="V4669" s="25"/>
      <c r="W4669" s="25"/>
      <c r="X4669" s="25"/>
      <c r="Y4669" s="25"/>
      <c r="Z4669" s="25"/>
    </row>
    <row r="4670" spans="1:26" ht="15.75" customHeight="1" x14ac:dyDescent="0.25">
      <c r="A4670" s="25"/>
      <c r="B4670" s="49"/>
      <c r="C4670" s="50"/>
      <c r="D4670" s="23"/>
      <c r="E4670" s="23"/>
      <c r="F4670" s="15"/>
      <c r="G4670" s="23"/>
      <c r="H4670" s="15"/>
      <c r="I4670" s="15"/>
      <c r="J4670" s="51"/>
      <c r="K4670" s="15"/>
      <c r="L4670" s="51"/>
      <c r="M4670" s="15"/>
      <c r="N4670" s="23"/>
      <c r="O4670" s="23"/>
      <c r="P4670" s="15" t="str">
        <f t="shared" si="6"/>
        <v/>
      </c>
      <c r="Q4670" s="24"/>
      <c r="R4670" s="25"/>
      <c r="S4670" s="25"/>
      <c r="T4670" s="26"/>
      <c r="U4670" s="26"/>
      <c r="V4670" s="25"/>
      <c r="W4670" s="25"/>
      <c r="X4670" s="25"/>
      <c r="Y4670" s="25"/>
      <c r="Z4670" s="25"/>
    </row>
    <row r="4671" spans="1:26" ht="15.75" customHeight="1" x14ac:dyDescent="0.25">
      <c r="A4671" s="25"/>
      <c r="B4671" s="49"/>
      <c r="C4671" s="50"/>
      <c r="D4671" s="23"/>
      <c r="E4671" s="23"/>
      <c r="F4671" s="15"/>
      <c r="G4671" s="23"/>
      <c r="H4671" s="15"/>
      <c r="I4671" s="15"/>
      <c r="J4671" s="51"/>
      <c r="K4671" s="15"/>
      <c r="L4671" s="51"/>
      <c r="M4671" s="15"/>
      <c r="N4671" s="23"/>
      <c r="O4671" s="23"/>
      <c r="P4671" s="15" t="str">
        <f t="shared" si="6"/>
        <v/>
      </c>
      <c r="Q4671" s="24"/>
      <c r="R4671" s="25"/>
      <c r="S4671" s="25"/>
      <c r="T4671" s="26"/>
      <c r="U4671" s="26"/>
      <c r="V4671" s="25"/>
      <c r="W4671" s="25"/>
      <c r="X4671" s="25"/>
      <c r="Y4671" s="25"/>
      <c r="Z4671" s="25"/>
    </row>
    <row r="4672" spans="1:26" ht="15.75" customHeight="1" x14ac:dyDescent="0.25">
      <c r="A4672" s="25"/>
      <c r="B4672" s="49"/>
      <c r="C4672" s="50"/>
      <c r="D4672" s="23"/>
      <c r="E4672" s="23"/>
      <c r="F4672" s="15"/>
      <c r="G4672" s="23"/>
      <c r="H4672" s="15"/>
      <c r="I4672" s="15"/>
      <c r="J4672" s="51"/>
      <c r="K4672" s="15"/>
      <c r="L4672" s="51"/>
      <c r="M4672" s="15"/>
      <c r="N4672" s="23"/>
      <c r="O4672" s="23"/>
      <c r="P4672" s="15" t="str">
        <f t="shared" si="6"/>
        <v/>
      </c>
      <c r="Q4672" s="24"/>
      <c r="R4672" s="25"/>
      <c r="S4672" s="25"/>
      <c r="T4672" s="26"/>
      <c r="U4672" s="26"/>
      <c r="V4672" s="25"/>
      <c r="W4672" s="25"/>
      <c r="X4672" s="25"/>
      <c r="Y4672" s="25"/>
      <c r="Z4672" s="25"/>
    </row>
    <row r="4673" spans="1:26" ht="15.75" customHeight="1" x14ac:dyDescent="0.25">
      <c r="A4673" s="25"/>
      <c r="B4673" s="49"/>
      <c r="C4673" s="50"/>
      <c r="D4673" s="23"/>
      <c r="E4673" s="23"/>
      <c r="F4673" s="15"/>
      <c r="G4673" s="23"/>
      <c r="H4673" s="15"/>
      <c r="I4673" s="15"/>
      <c r="J4673" s="51"/>
      <c r="K4673" s="15"/>
      <c r="L4673" s="51"/>
      <c r="M4673" s="15"/>
      <c r="N4673" s="23"/>
      <c r="O4673" s="23"/>
      <c r="P4673" s="15" t="str">
        <f t="shared" si="6"/>
        <v/>
      </c>
      <c r="Q4673" s="24"/>
      <c r="R4673" s="25"/>
      <c r="S4673" s="25"/>
      <c r="T4673" s="26"/>
      <c r="U4673" s="26"/>
      <c r="V4673" s="25"/>
      <c r="W4673" s="25"/>
      <c r="X4673" s="25"/>
      <c r="Y4673" s="25"/>
      <c r="Z4673" s="25"/>
    </row>
    <row r="4674" spans="1:26" ht="15.75" customHeight="1" x14ac:dyDescent="0.25">
      <c r="A4674" s="25"/>
      <c r="B4674" s="49"/>
      <c r="C4674" s="50"/>
      <c r="D4674" s="23"/>
      <c r="E4674" s="23"/>
      <c r="F4674" s="15"/>
      <c r="G4674" s="23"/>
      <c r="H4674" s="15"/>
      <c r="I4674" s="15"/>
      <c r="J4674" s="51"/>
      <c r="K4674" s="15"/>
      <c r="L4674" s="51"/>
      <c r="M4674" s="15"/>
      <c r="N4674" s="23"/>
      <c r="O4674" s="23"/>
      <c r="P4674" s="15" t="str">
        <f t="shared" si="6"/>
        <v/>
      </c>
      <c r="Q4674" s="24"/>
      <c r="R4674" s="25"/>
      <c r="S4674" s="25"/>
      <c r="T4674" s="26"/>
      <c r="U4674" s="26"/>
      <c r="V4674" s="25"/>
      <c r="W4674" s="25"/>
      <c r="X4674" s="25"/>
      <c r="Y4674" s="25"/>
      <c r="Z4674" s="25"/>
    </row>
    <row r="4675" spans="1:26" ht="15.75" customHeight="1" x14ac:dyDescent="0.25">
      <c r="A4675" s="25"/>
      <c r="B4675" s="49"/>
      <c r="C4675" s="50"/>
      <c r="D4675" s="23"/>
      <c r="E4675" s="23"/>
      <c r="F4675" s="15"/>
      <c r="G4675" s="23"/>
      <c r="H4675" s="15"/>
      <c r="I4675" s="15"/>
      <c r="J4675" s="51"/>
      <c r="K4675" s="15"/>
      <c r="L4675" s="51"/>
      <c r="M4675" s="15"/>
      <c r="N4675" s="23"/>
      <c r="O4675" s="23"/>
      <c r="P4675" s="15" t="str">
        <f t="shared" si="6"/>
        <v/>
      </c>
      <c r="Q4675" s="24"/>
      <c r="R4675" s="25"/>
      <c r="S4675" s="25"/>
      <c r="T4675" s="26"/>
      <c r="U4675" s="26"/>
      <c r="V4675" s="25"/>
      <c r="W4675" s="25"/>
      <c r="X4675" s="25"/>
      <c r="Y4675" s="25"/>
      <c r="Z4675" s="25"/>
    </row>
    <row r="4676" spans="1:26" ht="15.75" customHeight="1" x14ac:dyDescent="0.25">
      <c r="A4676" s="25"/>
      <c r="B4676" s="49"/>
      <c r="C4676" s="50"/>
      <c r="D4676" s="23"/>
      <c r="E4676" s="23"/>
      <c r="F4676" s="15"/>
      <c r="G4676" s="23"/>
      <c r="H4676" s="15"/>
      <c r="I4676" s="15"/>
      <c r="J4676" s="51"/>
      <c r="K4676" s="15"/>
      <c r="L4676" s="51"/>
      <c r="M4676" s="15"/>
      <c r="N4676" s="23"/>
      <c r="O4676" s="23"/>
      <c r="P4676" s="15" t="str">
        <f t="shared" si="6"/>
        <v/>
      </c>
      <c r="Q4676" s="24"/>
      <c r="R4676" s="25"/>
      <c r="S4676" s="25"/>
      <c r="T4676" s="26"/>
      <c r="U4676" s="26"/>
      <c r="V4676" s="25"/>
      <c r="W4676" s="25"/>
      <c r="X4676" s="25"/>
      <c r="Y4676" s="25"/>
      <c r="Z4676" s="25"/>
    </row>
    <row r="4677" spans="1:26" ht="15.75" customHeight="1" x14ac:dyDescent="0.25">
      <c r="A4677" s="25"/>
      <c r="B4677" s="49"/>
      <c r="C4677" s="50"/>
      <c r="D4677" s="23"/>
      <c r="E4677" s="23"/>
      <c r="F4677" s="15"/>
      <c r="G4677" s="23"/>
      <c r="H4677" s="15"/>
      <c r="I4677" s="15"/>
      <c r="J4677" s="51"/>
      <c r="K4677" s="15"/>
      <c r="L4677" s="51"/>
      <c r="M4677" s="15"/>
      <c r="N4677" s="23"/>
      <c r="O4677" s="23"/>
      <c r="P4677" s="15" t="str">
        <f t="shared" si="6"/>
        <v/>
      </c>
      <c r="Q4677" s="24"/>
      <c r="R4677" s="25"/>
      <c r="S4677" s="25"/>
      <c r="T4677" s="26"/>
      <c r="U4677" s="26"/>
      <c r="V4677" s="25"/>
      <c r="W4677" s="25"/>
      <c r="X4677" s="25"/>
      <c r="Y4677" s="25"/>
      <c r="Z4677" s="25"/>
    </row>
    <row r="4678" spans="1:26" ht="15.75" customHeight="1" x14ac:dyDescent="0.25">
      <c r="A4678" s="25"/>
      <c r="B4678" s="49"/>
      <c r="C4678" s="50"/>
      <c r="D4678" s="23"/>
      <c r="E4678" s="23"/>
      <c r="F4678" s="15"/>
      <c r="G4678" s="23"/>
      <c r="H4678" s="15"/>
      <c r="I4678" s="15"/>
      <c r="J4678" s="51"/>
      <c r="K4678" s="15"/>
      <c r="L4678" s="51"/>
      <c r="M4678" s="15"/>
      <c r="N4678" s="23"/>
      <c r="O4678" s="23"/>
      <c r="P4678" s="15" t="str">
        <f t="shared" si="6"/>
        <v/>
      </c>
      <c r="Q4678" s="24"/>
      <c r="R4678" s="25"/>
      <c r="S4678" s="25"/>
      <c r="T4678" s="26"/>
      <c r="U4678" s="26"/>
      <c r="V4678" s="25"/>
      <c r="W4678" s="25"/>
      <c r="X4678" s="25"/>
      <c r="Y4678" s="25"/>
      <c r="Z4678" s="25"/>
    </row>
    <row r="4679" spans="1:26" ht="15.75" customHeight="1" x14ac:dyDescent="0.25">
      <c r="A4679" s="25"/>
      <c r="B4679" s="49"/>
      <c r="C4679" s="50"/>
      <c r="D4679" s="23"/>
      <c r="E4679" s="23"/>
      <c r="F4679" s="15"/>
      <c r="G4679" s="23"/>
      <c r="H4679" s="15"/>
      <c r="I4679" s="15"/>
      <c r="J4679" s="51"/>
      <c r="K4679" s="15"/>
      <c r="L4679" s="51"/>
      <c r="M4679" s="15"/>
      <c r="N4679" s="23"/>
      <c r="O4679" s="23"/>
      <c r="P4679" s="15" t="str">
        <f t="shared" si="6"/>
        <v/>
      </c>
      <c r="Q4679" s="24"/>
      <c r="R4679" s="25"/>
      <c r="S4679" s="25"/>
      <c r="T4679" s="26"/>
      <c r="U4679" s="26"/>
      <c r="V4679" s="25"/>
      <c r="W4679" s="25"/>
      <c r="X4679" s="25"/>
      <c r="Y4679" s="25"/>
      <c r="Z4679" s="25"/>
    </row>
    <row r="4680" spans="1:26" ht="15.75" customHeight="1" x14ac:dyDescent="0.25">
      <c r="A4680" s="25"/>
      <c r="B4680" s="49"/>
      <c r="C4680" s="50"/>
      <c r="D4680" s="23"/>
      <c r="E4680" s="23"/>
      <c r="F4680" s="15"/>
      <c r="G4680" s="23"/>
      <c r="H4680" s="15"/>
      <c r="I4680" s="15"/>
      <c r="J4680" s="51"/>
      <c r="K4680" s="15"/>
      <c r="L4680" s="51"/>
      <c r="M4680" s="15"/>
      <c r="N4680" s="23"/>
      <c r="O4680" s="23"/>
      <c r="P4680" s="15" t="str">
        <f t="shared" si="6"/>
        <v/>
      </c>
      <c r="Q4680" s="24"/>
      <c r="R4680" s="25"/>
      <c r="S4680" s="25"/>
      <c r="T4680" s="26"/>
      <c r="U4680" s="26"/>
      <c r="V4680" s="25"/>
      <c r="W4680" s="25"/>
      <c r="X4680" s="25"/>
      <c r="Y4680" s="25"/>
      <c r="Z4680" s="25"/>
    </row>
    <row r="4681" spans="1:26" ht="15.75" customHeight="1" x14ac:dyDescent="0.25">
      <c r="A4681" s="25"/>
      <c r="B4681" s="49"/>
      <c r="C4681" s="50"/>
      <c r="D4681" s="23"/>
      <c r="E4681" s="23"/>
      <c r="F4681" s="15"/>
      <c r="G4681" s="23"/>
      <c r="H4681" s="15"/>
      <c r="I4681" s="15"/>
      <c r="J4681" s="51"/>
      <c r="K4681" s="15"/>
      <c r="L4681" s="51"/>
      <c r="M4681" s="15"/>
      <c r="N4681" s="23"/>
      <c r="O4681" s="23"/>
      <c r="P4681" s="15" t="str">
        <f t="shared" si="6"/>
        <v/>
      </c>
      <c r="Q4681" s="24"/>
      <c r="R4681" s="25"/>
      <c r="S4681" s="25"/>
      <c r="T4681" s="26"/>
      <c r="U4681" s="26"/>
      <c r="V4681" s="25"/>
      <c r="W4681" s="25"/>
      <c r="X4681" s="25"/>
      <c r="Y4681" s="25"/>
      <c r="Z4681" s="25"/>
    </row>
    <row r="4682" spans="1:26" ht="15.75" customHeight="1" x14ac:dyDescent="0.25">
      <c r="A4682" s="25"/>
      <c r="B4682" s="49"/>
      <c r="C4682" s="50"/>
      <c r="D4682" s="23"/>
      <c r="E4682" s="23"/>
      <c r="F4682" s="15"/>
      <c r="G4682" s="23"/>
      <c r="H4682" s="15"/>
      <c r="I4682" s="15"/>
      <c r="J4682" s="51"/>
      <c r="K4682" s="15"/>
      <c r="L4682" s="51"/>
      <c r="M4682" s="15"/>
      <c r="N4682" s="23"/>
      <c r="O4682" s="23"/>
      <c r="P4682" s="15" t="str">
        <f t="shared" si="6"/>
        <v/>
      </c>
      <c r="Q4682" s="24"/>
      <c r="R4682" s="25"/>
      <c r="S4682" s="25"/>
      <c r="T4682" s="26"/>
      <c r="U4682" s="26"/>
      <c r="V4682" s="25"/>
      <c r="W4682" s="25"/>
      <c r="X4682" s="25"/>
      <c r="Y4682" s="25"/>
      <c r="Z4682" s="25"/>
    </row>
    <row r="4683" spans="1:26" ht="15.75" customHeight="1" x14ac:dyDescent="0.25">
      <c r="A4683" s="25"/>
      <c r="B4683" s="49"/>
      <c r="C4683" s="50"/>
      <c r="D4683" s="23"/>
      <c r="E4683" s="23"/>
      <c r="F4683" s="15"/>
      <c r="G4683" s="23"/>
      <c r="H4683" s="15"/>
      <c r="I4683" s="15"/>
      <c r="J4683" s="51"/>
      <c r="K4683" s="15"/>
      <c r="L4683" s="51"/>
      <c r="M4683" s="15"/>
      <c r="N4683" s="23"/>
      <c r="O4683" s="23"/>
      <c r="P4683" s="15" t="str">
        <f t="shared" si="6"/>
        <v/>
      </c>
      <c r="Q4683" s="24"/>
      <c r="R4683" s="25"/>
      <c r="S4683" s="25"/>
      <c r="T4683" s="26"/>
      <c r="U4683" s="26"/>
      <c r="V4683" s="25"/>
      <c r="W4683" s="25"/>
      <c r="X4683" s="25"/>
      <c r="Y4683" s="25"/>
      <c r="Z4683" s="25"/>
    </row>
    <row r="4684" spans="1:26" ht="15.75" customHeight="1" x14ac:dyDescent="0.25">
      <c r="A4684" s="25"/>
      <c r="B4684" s="49"/>
      <c r="C4684" s="50"/>
      <c r="D4684" s="23"/>
      <c r="E4684" s="23"/>
      <c r="F4684" s="15"/>
      <c r="G4684" s="23"/>
      <c r="H4684" s="15"/>
      <c r="I4684" s="15"/>
      <c r="J4684" s="51"/>
      <c r="K4684" s="15"/>
      <c r="L4684" s="51"/>
      <c r="M4684" s="15"/>
      <c r="N4684" s="23"/>
      <c r="O4684" s="23"/>
      <c r="P4684" s="15" t="str">
        <f t="shared" si="6"/>
        <v/>
      </c>
      <c r="Q4684" s="24"/>
      <c r="R4684" s="25"/>
      <c r="S4684" s="25"/>
      <c r="T4684" s="26"/>
      <c r="U4684" s="26"/>
      <c r="V4684" s="25"/>
      <c r="W4684" s="25"/>
      <c r="X4684" s="25"/>
      <c r="Y4684" s="25"/>
      <c r="Z4684" s="25"/>
    </row>
    <row r="4685" spans="1:26" ht="15.75" customHeight="1" x14ac:dyDescent="0.25">
      <c r="A4685" s="25"/>
      <c r="B4685" s="49"/>
      <c r="C4685" s="50"/>
      <c r="D4685" s="23"/>
      <c r="E4685" s="23"/>
      <c r="F4685" s="15"/>
      <c r="G4685" s="23"/>
      <c r="H4685" s="15"/>
      <c r="I4685" s="15"/>
      <c r="J4685" s="51"/>
      <c r="K4685" s="15"/>
      <c r="L4685" s="51"/>
      <c r="M4685" s="15"/>
      <c r="N4685" s="23"/>
      <c r="O4685" s="23"/>
      <c r="P4685" s="15" t="str">
        <f t="shared" si="6"/>
        <v/>
      </c>
      <c r="Q4685" s="24"/>
      <c r="R4685" s="25"/>
      <c r="S4685" s="25"/>
      <c r="T4685" s="26"/>
      <c r="U4685" s="26"/>
      <c r="V4685" s="25"/>
      <c r="W4685" s="25"/>
      <c r="X4685" s="25"/>
      <c r="Y4685" s="25"/>
      <c r="Z4685" s="25"/>
    </row>
    <row r="4686" spans="1:26" ht="15.75" customHeight="1" x14ac:dyDescent="0.25">
      <c r="A4686" s="25"/>
      <c r="B4686" s="49"/>
      <c r="C4686" s="50"/>
      <c r="D4686" s="23"/>
      <c r="E4686" s="23"/>
      <c r="F4686" s="15"/>
      <c r="G4686" s="23"/>
      <c r="H4686" s="15"/>
      <c r="I4686" s="15"/>
      <c r="J4686" s="51"/>
      <c r="K4686" s="15"/>
      <c r="L4686" s="51"/>
      <c r="M4686" s="15"/>
      <c r="N4686" s="23"/>
      <c r="O4686" s="23"/>
      <c r="P4686" s="15" t="str">
        <f t="shared" si="6"/>
        <v/>
      </c>
      <c r="Q4686" s="24"/>
      <c r="R4686" s="25"/>
      <c r="S4686" s="25"/>
      <c r="T4686" s="26"/>
      <c r="U4686" s="26"/>
      <c r="V4686" s="25"/>
      <c r="W4686" s="25"/>
      <c r="X4686" s="25"/>
      <c r="Y4686" s="25"/>
      <c r="Z4686" s="25"/>
    </row>
    <row r="4687" spans="1:26" ht="15.75" customHeight="1" x14ac:dyDescent="0.25">
      <c r="A4687" s="25"/>
      <c r="B4687" s="49"/>
      <c r="C4687" s="50"/>
      <c r="D4687" s="23"/>
      <c r="E4687" s="23"/>
      <c r="F4687" s="15"/>
      <c r="G4687" s="23"/>
      <c r="H4687" s="15"/>
      <c r="I4687" s="15"/>
      <c r="J4687" s="51"/>
      <c r="K4687" s="15"/>
      <c r="L4687" s="51"/>
      <c r="M4687" s="15"/>
      <c r="N4687" s="23"/>
      <c r="O4687" s="23"/>
      <c r="P4687" s="15" t="str">
        <f t="shared" si="6"/>
        <v/>
      </c>
      <c r="Q4687" s="24"/>
      <c r="R4687" s="25"/>
      <c r="S4687" s="25"/>
      <c r="T4687" s="26"/>
      <c r="U4687" s="26"/>
      <c r="V4687" s="25"/>
      <c r="W4687" s="25"/>
      <c r="X4687" s="25"/>
      <c r="Y4687" s="25"/>
      <c r="Z4687" s="25"/>
    </row>
    <row r="4688" spans="1:26" ht="15.75" customHeight="1" x14ac:dyDescent="0.25">
      <c r="A4688" s="25"/>
      <c r="B4688" s="49"/>
      <c r="C4688" s="50"/>
      <c r="D4688" s="23"/>
      <c r="E4688" s="23"/>
      <c r="F4688" s="15"/>
      <c r="G4688" s="23"/>
      <c r="H4688" s="15"/>
      <c r="I4688" s="15"/>
      <c r="J4688" s="51"/>
      <c r="K4688" s="15"/>
      <c r="L4688" s="51"/>
      <c r="M4688" s="15"/>
      <c r="N4688" s="23"/>
      <c r="O4688" s="23"/>
      <c r="P4688" s="15" t="str">
        <f t="shared" si="6"/>
        <v/>
      </c>
      <c r="Q4688" s="24"/>
      <c r="R4688" s="25"/>
      <c r="S4688" s="25"/>
      <c r="T4688" s="26"/>
      <c r="U4688" s="26"/>
      <c r="V4688" s="25"/>
      <c r="W4688" s="25"/>
      <c r="X4688" s="25"/>
      <c r="Y4688" s="25"/>
      <c r="Z4688" s="25"/>
    </row>
    <row r="4689" spans="1:26" ht="15.75" customHeight="1" x14ac:dyDescent="0.25">
      <c r="A4689" s="25"/>
      <c r="B4689" s="49"/>
      <c r="C4689" s="50"/>
      <c r="D4689" s="23"/>
      <c r="E4689" s="23"/>
      <c r="F4689" s="15"/>
      <c r="G4689" s="23"/>
      <c r="H4689" s="15"/>
      <c r="I4689" s="15"/>
      <c r="J4689" s="51"/>
      <c r="K4689" s="15"/>
      <c r="L4689" s="51"/>
      <c r="M4689" s="15"/>
      <c r="N4689" s="23"/>
      <c r="O4689" s="23"/>
      <c r="P4689" s="15" t="str">
        <f t="shared" si="6"/>
        <v/>
      </c>
      <c r="Q4689" s="24"/>
      <c r="R4689" s="25"/>
      <c r="S4689" s="25"/>
      <c r="T4689" s="26"/>
      <c r="U4689" s="26"/>
      <c r="V4689" s="25"/>
      <c r="W4689" s="25"/>
      <c r="X4689" s="25"/>
      <c r="Y4689" s="25"/>
      <c r="Z4689" s="25"/>
    </row>
    <row r="4690" spans="1:26" ht="15.75" customHeight="1" x14ac:dyDescent="0.25">
      <c r="A4690" s="25"/>
      <c r="B4690" s="49"/>
      <c r="C4690" s="50"/>
      <c r="D4690" s="23"/>
      <c r="E4690" s="23"/>
      <c r="F4690" s="15"/>
      <c r="G4690" s="23"/>
      <c r="H4690" s="15"/>
      <c r="I4690" s="15"/>
      <c r="J4690" s="51"/>
      <c r="K4690" s="15"/>
      <c r="L4690" s="51"/>
      <c r="M4690" s="15"/>
      <c r="N4690" s="23"/>
      <c r="O4690" s="23"/>
      <c r="P4690" s="15" t="str">
        <f t="shared" si="6"/>
        <v/>
      </c>
      <c r="Q4690" s="24"/>
      <c r="R4690" s="25"/>
      <c r="S4690" s="25"/>
      <c r="T4690" s="26"/>
      <c r="U4690" s="26"/>
      <c r="V4690" s="25"/>
      <c r="W4690" s="25"/>
      <c r="X4690" s="25"/>
      <c r="Y4690" s="25"/>
      <c r="Z4690" s="25"/>
    </row>
    <row r="4691" spans="1:26" ht="15.75" customHeight="1" x14ac:dyDescent="0.25">
      <c r="A4691" s="25"/>
      <c r="B4691" s="49"/>
      <c r="C4691" s="50"/>
      <c r="D4691" s="23"/>
      <c r="E4691" s="23"/>
      <c r="F4691" s="15"/>
      <c r="G4691" s="23"/>
      <c r="H4691" s="15"/>
      <c r="I4691" s="15"/>
      <c r="J4691" s="51"/>
      <c r="K4691" s="15"/>
      <c r="L4691" s="51"/>
      <c r="M4691" s="15"/>
      <c r="N4691" s="23"/>
      <c r="O4691" s="23"/>
      <c r="P4691" s="15" t="str">
        <f t="shared" si="6"/>
        <v/>
      </c>
      <c r="Q4691" s="24"/>
      <c r="R4691" s="25"/>
      <c r="S4691" s="25"/>
      <c r="T4691" s="26"/>
      <c r="U4691" s="26"/>
      <c r="V4691" s="25"/>
      <c r="W4691" s="25"/>
      <c r="X4691" s="25"/>
      <c r="Y4691" s="25"/>
      <c r="Z4691" s="25"/>
    </row>
    <row r="4692" spans="1:26" ht="15.75" customHeight="1" x14ac:dyDescent="0.25">
      <c r="A4692" s="25"/>
      <c r="B4692" s="49"/>
      <c r="C4692" s="50"/>
      <c r="D4692" s="23"/>
      <c r="E4692" s="23"/>
      <c r="F4692" s="15"/>
      <c r="G4692" s="23"/>
      <c r="H4692" s="15"/>
      <c r="I4692" s="15"/>
      <c r="J4692" s="51"/>
      <c r="K4692" s="15"/>
      <c r="L4692" s="51"/>
      <c r="M4692" s="15"/>
      <c r="N4692" s="23"/>
      <c r="O4692" s="23"/>
      <c r="P4692" s="15" t="str">
        <f t="shared" si="6"/>
        <v/>
      </c>
      <c r="Q4692" s="24"/>
      <c r="R4692" s="25"/>
      <c r="S4692" s="25"/>
      <c r="T4692" s="26"/>
      <c r="U4692" s="26"/>
      <c r="V4692" s="25"/>
      <c r="W4692" s="25"/>
      <c r="X4692" s="25"/>
      <c r="Y4692" s="25"/>
      <c r="Z4692" s="25"/>
    </row>
    <row r="4693" spans="1:26" ht="15.75" customHeight="1" x14ac:dyDescent="0.25">
      <c r="A4693" s="25"/>
      <c r="B4693" s="49"/>
      <c r="C4693" s="50"/>
      <c r="D4693" s="23"/>
      <c r="E4693" s="23"/>
      <c r="F4693" s="15"/>
      <c r="G4693" s="23"/>
      <c r="H4693" s="15"/>
      <c r="I4693" s="15"/>
      <c r="J4693" s="51"/>
      <c r="K4693" s="15"/>
      <c r="L4693" s="51"/>
      <c r="M4693" s="15"/>
      <c r="N4693" s="23"/>
      <c r="O4693" s="23"/>
      <c r="P4693" s="15" t="str">
        <f t="shared" si="6"/>
        <v/>
      </c>
      <c r="Q4693" s="24"/>
      <c r="R4693" s="25"/>
      <c r="S4693" s="25"/>
      <c r="T4693" s="26"/>
      <c r="U4693" s="26"/>
      <c r="V4693" s="25"/>
      <c r="W4693" s="25"/>
      <c r="X4693" s="25"/>
      <c r="Y4693" s="25"/>
      <c r="Z4693" s="25"/>
    </row>
    <row r="4694" spans="1:26" ht="15.75" customHeight="1" x14ac:dyDescent="0.25">
      <c r="A4694" s="25"/>
      <c r="B4694" s="49"/>
      <c r="C4694" s="50"/>
      <c r="D4694" s="23"/>
      <c r="E4694" s="23"/>
      <c r="F4694" s="15"/>
      <c r="G4694" s="23"/>
      <c r="H4694" s="15"/>
      <c r="I4694" s="15"/>
      <c r="J4694" s="51"/>
      <c r="K4694" s="15"/>
      <c r="L4694" s="51"/>
      <c r="M4694" s="15"/>
      <c r="N4694" s="23"/>
      <c r="O4694" s="23"/>
      <c r="P4694" s="15" t="str">
        <f t="shared" si="6"/>
        <v/>
      </c>
      <c r="Q4694" s="24"/>
      <c r="R4694" s="25"/>
      <c r="S4694" s="25"/>
      <c r="T4694" s="26"/>
      <c r="U4694" s="26"/>
      <c r="V4694" s="25"/>
      <c r="W4694" s="25"/>
      <c r="X4694" s="25"/>
      <c r="Y4694" s="25"/>
      <c r="Z4694" s="25"/>
    </row>
    <row r="4695" spans="1:26" ht="15.75" customHeight="1" x14ac:dyDescent="0.25">
      <c r="A4695" s="25"/>
      <c r="B4695" s="49"/>
      <c r="C4695" s="50"/>
      <c r="D4695" s="23"/>
      <c r="E4695" s="23"/>
      <c r="F4695" s="15"/>
      <c r="G4695" s="23"/>
      <c r="H4695" s="15"/>
      <c r="I4695" s="15"/>
      <c r="J4695" s="51"/>
      <c r="K4695" s="15"/>
      <c r="L4695" s="51"/>
      <c r="M4695" s="15"/>
      <c r="N4695" s="23"/>
      <c r="O4695" s="23"/>
      <c r="P4695" s="15" t="str">
        <f t="shared" si="6"/>
        <v/>
      </c>
      <c r="Q4695" s="24"/>
      <c r="R4695" s="25"/>
      <c r="S4695" s="25"/>
      <c r="T4695" s="26"/>
      <c r="U4695" s="26"/>
      <c r="V4695" s="25"/>
      <c r="W4695" s="25"/>
      <c r="X4695" s="25"/>
      <c r="Y4695" s="25"/>
      <c r="Z4695" s="25"/>
    </row>
    <row r="4696" spans="1:26" ht="15.75" customHeight="1" x14ac:dyDescent="0.25">
      <c r="A4696" s="25"/>
      <c r="B4696" s="49"/>
      <c r="C4696" s="50"/>
      <c r="D4696" s="23"/>
      <c r="E4696" s="23"/>
      <c r="F4696" s="15"/>
      <c r="G4696" s="23"/>
      <c r="H4696" s="15"/>
      <c r="I4696" s="15"/>
      <c r="J4696" s="51"/>
      <c r="K4696" s="15"/>
      <c r="L4696" s="51"/>
      <c r="M4696" s="15"/>
      <c r="N4696" s="23"/>
      <c r="O4696" s="23"/>
      <c r="P4696" s="15" t="str">
        <f t="shared" si="6"/>
        <v/>
      </c>
      <c r="Q4696" s="24"/>
      <c r="R4696" s="25"/>
      <c r="S4696" s="25"/>
      <c r="T4696" s="26"/>
      <c r="U4696" s="26"/>
      <c r="V4696" s="25"/>
      <c r="W4696" s="25"/>
      <c r="X4696" s="25"/>
      <c r="Y4696" s="25"/>
      <c r="Z4696" s="25"/>
    </row>
    <row r="4697" spans="1:26" ht="15.75" customHeight="1" x14ac:dyDescent="0.25">
      <c r="A4697" s="25"/>
      <c r="B4697" s="49"/>
      <c r="C4697" s="50"/>
      <c r="D4697" s="23"/>
      <c r="E4697" s="23"/>
      <c r="F4697" s="15"/>
      <c r="G4697" s="23"/>
      <c r="H4697" s="15"/>
      <c r="I4697" s="15"/>
      <c r="J4697" s="51"/>
      <c r="K4697" s="15"/>
      <c r="L4697" s="51"/>
      <c r="M4697" s="15"/>
      <c r="N4697" s="23"/>
      <c r="O4697" s="23"/>
      <c r="P4697" s="15" t="str">
        <f t="shared" si="6"/>
        <v/>
      </c>
      <c r="Q4697" s="24"/>
      <c r="R4697" s="25"/>
      <c r="S4697" s="25"/>
      <c r="T4697" s="26"/>
      <c r="U4697" s="26"/>
      <c r="V4697" s="25"/>
      <c r="W4697" s="25"/>
      <c r="X4697" s="25"/>
      <c r="Y4697" s="25"/>
      <c r="Z4697" s="25"/>
    </row>
    <row r="4698" spans="1:26" ht="15.75" customHeight="1" x14ac:dyDescent="0.25">
      <c r="A4698" s="25"/>
      <c r="B4698" s="49"/>
      <c r="C4698" s="50"/>
      <c r="D4698" s="23"/>
      <c r="E4698" s="23"/>
      <c r="F4698" s="15"/>
      <c r="G4698" s="23"/>
      <c r="H4698" s="15"/>
      <c r="I4698" s="15"/>
      <c r="J4698" s="51"/>
      <c r="K4698" s="15"/>
      <c r="L4698" s="51"/>
      <c r="M4698" s="15"/>
      <c r="N4698" s="23"/>
      <c r="O4698" s="23"/>
      <c r="P4698" s="15" t="str">
        <f t="shared" si="6"/>
        <v/>
      </c>
      <c r="Q4698" s="24"/>
      <c r="R4698" s="25"/>
      <c r="S4698" s="25"/>
      <c r="T4698" s="26"/>
      <c r="U4698" s="26"/>
      <c r="V4698" s="25"/>
      <c r="W4698" s="25"/>
      <c r="X4698" s="25"/>
      <c r="Y4698" s="25"/>
      <c r="Z4698" s="25"/>
    </row>
    <row r="4699" spans="1:26" ht="15.75" customHeight="1" x14ac:dyDescent="0.25">
      <c r="A4699" s="25"/>
      <c r="B4699" s="49"/>
      <c r="C4699" s="50"/>
      <c r="D4699" s="23"/>
      <c r="E4699" s="23"/>
      <c r="F4699" s="15"/>
      <c r="G4699" s="23"/>
      <c r="H4699" s="15"/>
      <c r="I4699" s="15"/>
      <c r="J4699" s="51"/>
      <c r="K4699" s="15"/>
      <c r="L4699" s="51"/>
      <c r="M4699" s="15"/>
      <c r="N4699" s="23"/>
      <c r="O4699" s="23"/>
      <c r="P4699" s="15" t="str">
        <f t="shared" si="6"/>
        <v/>
      </c>
      <c r="Q4699" s="24"/>
      <c r="R4699" s="25"/>
      <c r="S4699" s="25"/>
      <c r="T4699" s="26"/>
      <c r="U4699" s="26"/>
      <c r="V4699" s="25"/>
      <c r="W4699" s="25"/>
      <c r="X4699" s="25"/>
      <c r="Y4699" s="25"/>
      <c r="Z4699" s="25"/>
    </row>
    <row r="4700" spans="1:26" ht="15.75" customHeight="1" x14ac:dyDescent="0.25">
      <c r="A4700" s="25"/>
      <c r="B4700" s="49"/>
      <c r="C4700" s="50"/>
      <c r="D4700" s="23"/>
      <c r="E4700" s="23"/>
      <c r="F4700" s="15"/>
      <c r="G4700" s="23"/>
      <c r="H4700" s="15"/>
      <c r="I4700" s="15"/>
      <c r="J4700" s="51"/>
      <c r="K4700" s="15"/>
      <c r="L4700" s="51"/>
      <c r="M4700" s="15"/>
      <c r="N4700" s="23"/>
      <c r="O4700" s="23"/>
      <c r="P4700" s="15" t="str">
        <f t="shared" si="6"/>
        <v/>
      </c>
      <c r="Q4700" s="24"/>
      <c r="R4700" s="25"/>
      <c r="S4700" s="25"/>
      <c r="T4700" s="26"/>
      <c r="U4700" s="26"/>
      <c r="V4700" s="25"/>
      <c r="W4700" s="25"/>
      <c r="X4700" s="25"/>
      <c r="Y4700" s="25"/>
      <c r="Z4700" s="25"/>
    </row>
    <row r="4701" spans="1:26" ht="15.75" customHeight="1" x14ac:dyDescent="0.25">
      <c r="A4701" s="25"/>
      <c r="B4701" s="49"/>
      <c r="C4701" s="50"/>
      <c r="D4701" s="23"/>
      <c r="E4701" s="23"/>
      <c r="F4701" s="15"/>
      <c r="G4701" s="23"/>
      <c r="H4701" s="15"/>
      <c r="I4701" s="15"/>
      <c r="J4701" s="51"/>
      <c r="K4701" s="15"/>
      <c r="L4701" s="51"/>
      <c r="M4701" s="15"/>
      <c r="N4701" s="23"/>
      <c r="O4701" s="23"/>
      <c r="P4701" s="15" t="str">
        <f t="shared" si="6"/>
        <v/>
      </c>
      <c r="Q4701" s="24"/>
      <c r="R4701" s="25"/>
      <c r="S4701" s="25"/>
      <c r="T4701" s="26"/>
      <c r="U4701" s="26"/>
      <c r="V4701" s="25"/>
      <c r="W4701" s="25"/>
      <c r="X4701" s="25"/>
      <c r="Y4701" s="25"/>
      <c r="Z4701" s="25"/>
    </row>
    <row r="4702" spans="1:26" ht="15.75" customHeight="1" x14ac:dyDescent="0.25">
      <c r="A4702" s="25"/>
      <c r="B4702" s="49"/>
      <c r="C4702" s="50"/>
      <c r="D4702" s="23"/>
      <c r="E4702" s="23"/>
      <c r="F4702" s="15"/>
      <c r="G4702" s="23"/>
      <c r="H4702" s="15"/>
      <c r="I4702" s="15"/>
      <c r="J4702" s="51"/>
      <c r="K4702" s="15"/>
      <c r="L4702" s="51"/>
      <c r="M4702" s="15"/>
      <c r="N4702" s="23"/>
      <c r="O4702" s="23"/>
      <c r="P4702" s="15" t="str">
        <f t="shared" si="6"/>
        <v/>
      </c>
      <c r="Q4702" s="24"/>
      <c r="R4702" s="25"/>
      <c r="S4702" s="25"/>
      <c r="T4702" s="26"/>
      <c r="U4702" s="26"/>
      <c r="V4702" s="25"/>
      <c r="W4702" s="25"/>
      <c r="X4702" s="25"/>
      <c r="Y4702" s="25"/>
      <c r="Z4702" s="25"/>
    </row>
    <row r="4703" spans="1:26" ht="15.75" customHeight="1" x14ac:dyDescent="0.25">
      <c r="A4703" s="25"/>
      <c r="B4703" s="49"/>
      <c r="C4703" s="50"/>
      <c r="D4703" s="23"/>
      <c r="E4703" s="23"/>
      <c r="F4703" s="15"/>
      <c r="G4703" s="23"/>
      <c r="H4703" s="15"/>
      <c r="I4703" s="15"/>
      <c r="J4703" s="51"/>
      <c r="K4703" s="15"/>
      <c r="L4703" s="51"/>
      <c r="M4703" s="15"/>
      <c r="N4703" s="23"/>
      <c r="O4703" s="23"/>
      <c r="P4703" s="15" t="str">
        <f t="shared" si="6"/>
        <v/>
      </c>
      <c r="Q4703" s="24"/>
      <c r="R4703" s="25"/>
      <c r="S4703" s="25"/>
      <c r="T4703" s="26"/>
      <c r="U4703" s="26"/>
      <c r="V4703" s="25"/>
      <c r="W4703" s="25"/>
      <c r="X4703" s="25"/>
      <c r="Y4703" s="25"/>
      <c r="Z4703" s="25"/>
    </row>
    <row r="4704" spans="1:26" ht="15.75" customHeight="1" x14ac:dyDescent="0.25">
      <c r="A4704" s="25"/>
      <c r="B4704" s="49"/>
      <c r="C4704" s="50"/>
      <c r="D4704" s="23"/>
      <c r="E4704" s="23"/>
      <c r="F4704" s="15"/>
      <c r="G4704" s="23"/>
      <c r="H4704" s="15"/>
      <c r="I4704" s="15"/>
      <c r="J4704" s="51"/>
      <c r="K4704" s="15"/>
      <c r="L4704" s="51"/>
      <c r="M4704" s="15"/>
      <c r="N4704" s="23"/>
      <c r="O4704" s="23"/>
      <c r="P4704" s="15" t="str">
        <f t="shared" si="6"/>
        <v/>
      </c>
      <c r="Q4704" s="24"/>
      <c r="R4704" s="25"/>
      <c r="S4704" s="25"/>
      <c r="T4704" s="26"/>
      <c r="U4704" s="26"/>
      <c r="V4704" s="25"/>
      <c r="W4704" s="25"/>
      <c r="X4704" s="25"/>
      <c r="Y4704" s="25"/>
      <c r="Z4704" s="25"/>
    </row>
    <row r="4705" spans="1:26" ht="15.75" customHeight="1" x14ac:dyDescent="0.25">
      <c r="A4705" s="25"/>
      <c r="B4705" s="49"/>
      <c r="C4705" s="50"/>
      <c r="D4705" s="23"/>
      <c r="E4705" s="23"/>
      <c r="F4705" s="15"/>
      <c r="G4705" s="23"/>
      <c r="H4705" s="15"/>
      <c r="I4705" s="15"/>
      <c r="J4705" s="51"/>
      <c r="K4705" s="15"/>
      <c r="L4705" s="51"/>
      <c r="M4705" s="15"/>
      <c r="N4705" s="23"/>
      <c r="O4705" s="23"/>
      <c r="P4705" s="15" t="str">
        <f t="shared" si="6"/>
        <v/>
      </c>
      <c r="Q4705" s="24"/>
      <c r="R4705" s="25"/>
      <c r="S4705" s="25"/>
      <c r="T4705" s="26"/>
      <c r="U4705" s="26"/>
      <c r="V4705" s="25"/>
      <c r="W4705" s="25"/>
      <c r="X4705" s="25"/>
      <c r="Y4705" s="25"/>
      <c r="Z4705" s="25"/>
    </row>
    <row r="4706" spans="1:26" ht="15.75" customHeight="1" x14ac:dyDescent="0.25">
      <c r="A4706" s="25"/>
      <c r="B4706" s="49"/>
      <c r="C4706" s="50"/>
      <c r="D4706" s="23"/>
      <c r="E4706" s="23"/>
      <c r="F4706" s="15"/>
      <c r="G4706" s="23"/>
      <c r="H4706" s="15"/>
      <c r="I4706" s="15"/>
      <c r="J4706" s="51"/>
      <c r="K4706" s="15"/>
      <c r="L4706" s="51"/>
      <c r="M4706" s="15"/>
      <c r="N4706" s="23"/>
      <c r="O4706" s="23"/>
      <c r="P4706" s="15" t="str">
        <f t="shared" si="6"/>
        <v/>
      </c>
      <c r="Q4706" s="24"/>
      <c r="R4706" s="25"/>
      <c r="S4706" s="25"/>
      <c r="T4706" s="26"/>
      <c r="U4706" s="26"/>
      <c r="V4706" s="25"/>
      <c r="W4706" s="25"/>
      <c r="X4706" s="25"/>
      <c r="Y4706" s="25"/>
      <c r="Z4706" s="25"/>
    </row>
    <row r="4707" spans="1:26" ht="15.75" customHeight="1" x14ac:dyDescent="0.25">
      <c r="A4707" s="25"/>
      <c r="B4707" s="49"/>
      <c r="C4707" s="50"/>
      <c r="D4707" s="23"/>
      <c r="E4707" s="23"/>
      <c r="F4707" s="15"/>
      <c r="G4707" s="23"/>
      <c r="H4707" s="15"/>
      <c r="I4707" s="15"/>
      <c r="J4707" s="51"/>
      <c r="K4707" s="15"/>
      <c r="L4707" s="51"/>
      <c r="M4707" s="15"/>
      <c r="N4707" s="23"/>
      <c r="O4707" s="23"/>
      <c r="P4707" s="15" t="str">
        <f t="shared" si="6"/>
        <v/>
      </c>
      <c r="Q4707" s="24"/>
      <c r="R4707" s="25"/>
      <c r="S4707" s="25"/>
      <c r="T4707" s="26"/>
      <c r="U4707" s="26"/>
      <c r="V4707" s="25"/>
      <c r="W4707" s="25"/>
      <c r="X4707" s="25"/>
      <c r="Y4707" s="25"/>
      <c r="Z4707" s="25"/>
    </row>
    <row r="4708" spans="1:26" ht="15.75" customHeight="1" x14ac:dyDescent="0.25">
      <c r="A4708" s="25"/>
      <c r="B4708" s="49"/>
      <c r="C4708" s="50"/>
      <c r="D4708" s="23"/>
      <c r="E4708" s="23"/>
      <c r="F4708" s="15"/>
      <c r="G4708" s="23"/>
      <c r="H4708" s="15"/>
      <c r="I4708" s="15"/>
      <c r="J4708" s="51"/>
      <c r="K4708" s="15"/>
      <c r="L4708" s="51"/>
      <c r="M4708" s="15"/>
      <c r="N4708" s="23"/>
      <c r="O4708" s="23"/>
      <c r="P4708" s="15" t="str">
        <f t="shared" si="6"/>
        <v/>
      </c>
      <c r="Q4708" s="24"/>
      <c r="R4708" s="25"/>
      <c r="S4708" s="25"/>
      <c r="T4708" s="26"/>
      <c r="U4708" s="26"/>
      <c r="V4708" s="25"/>
      <c r="W4708" s="25"/>
      <c r="X4708" s="25"/>
      <c r="Y4708" s="25"/>
      <c r="Z4708" s="25"/>
    </row>
    <row r="4709" spans="1:26" ht="15.75" customHeight="1" x14ac:dyDescent="0.25">
      <c r="A4709" s="25"/>
      <c r="B4709" s="49"/>
      <c r="C4709" s="50"/>
      <c r="D4709" s="23"/>
      <c r="E4709" s="23"/>
      <c r="F4709" s="15"/>
      <c r="G4709" s="23"/>
      <c r="H4709" s="15"/>
      <c r="I4709" s="15"/>
      <c r="J4709" s="51"/>
      <c r="K4709" s="15"/>
      <c r="L4709" s="51"/>
      <c r="M4709" s="15"/>
      <c r="N4709" s="23"/>
      <c r="O4709" s="23"/>
      <c r="P4709" s="15" t="str">
        <f t="shared" si="6"/>
        <v/>
      </c>
      <c r="Q4709" s="24"/>
      <c r="R4709" s="25"/>
      <c r="S4709" s="25"/>
      <c r="T4709" s="26"/>
      <c r="U4709" s="26"/>
      <c r="V4709" s="25"/>
      <c r="W4709" s="25"/>
      <c r="X4709" s="25"/>
      <c r="Y4709" s="25"/>
      <c r="Z4709" s="25"/>
    </row>
    <row r="4710" spans="1:26" ht="15.75" customHeight="1" x14ac:dyDescent="0.25">
      <c r="A4710" s="25"/>
      <c r="B4710" s="49"/>
      <c r="C4710" s="50"/>
      <c r="D4710" s="23"/>
      <c r="E4710" s="23"/>
      <c r="F4710" s="15"/>
      <c r="G4710" s="23"/>
      <c r="H4710" s="15"/>
      <c r="I4710" s="15"/>
      <c r="J4710" s="51"/>
      <c r="K4710" s="15"/>
      <c r="L4710" s="51"/>
      <c r="M4710" s="15"/>
      <c r="N4710" s="23"/>
      <c r="O4710" s="23"/>
      <c r="P4710" s="15" t="str">
        <f t="shared" si="6"/>
        <v/>
      </c>
      <c r="Q4710" s="24"/>
      <c r="R4710" s="25"/>
      <c r="S4710" s="25"/>
      <c r="T4710" s="26"/>
      <c r="U4710" s="26"/>
      <c r="V4710" s="25"/>
      <c r="W4710" s="25"/>
      <c r="X4710" s="25"/>
      <c r="Y4710" s="25"/>
      <c r="Z4710" s="25"/>
    </row>
    <row r="4711" spans="1:26" ht="15.75" customHeight="1" x14ac:dyDescent="0.25">
      <c r="A4711" s="25"/>
      <c r="B4711" s="49"/>
      <c r="C4711" s="50"/>
      <c r="D4711" s="23"/>
      <c r="E4711" s="23"/>
      <c r="F4711" s="15"/>
      <c r="G4711" s="23"/>
      <c r="H4711" s="15"/>
      <c r="I4711" s="15"/>
      <c r="J4711" s="51"/>
      <c r="K4711" s="15"/>
      <c r="L4711" s="51"/>
      <c r="M4711" s="15"/>
      <c r="N4711" s="23"/>
      <c r="O4711" s="23"/>
      <c r="P4711" s="15" t="str">
        <f t="shared" si="6"/>
        <v/>
      </c>
      <c r="Q4711" s="24"/>
      <c r="R4711" s="25"/>
      <c r="S4711" s="25"/>
      <c r="T4711" s="26"/>
      <c r="U4711" s="26"/>
      <c r="V4711" s="25"/>
      <c r="W4711" s="25"/>
      <c r="X4711" s="25"/>
      <c r="Y4711" s="25"/>
      <c r="Z4711" s="25"/>
    </row>
    <row r="4712" spans="1:26" ht="15.75" customHeight="1" x14ac:dyDescent="0.25">
      <c r="A4712" s="25"/>
      <c r="B4712" s="49"/>
      <c r="C4712" s="50"/>
      <c r="D4712" s="23"/>
      <c r="E4712" s="23"/>
      <c r="F4712" s="15"/>
      <c r="G4712" s="23"/>
      <c r="H4712" s="15"/>
      <c r="I4712" s="15"/>
      <c r="J4712" s="51"/>
      <c r="K4712" s="15"/>
      <c r="L4712" s="51"/>
      <c r="M4712" s="15"/>
      <c r="N4712" s="23"/>
      <c r="O4712" s="23"/>
      <c r="P4712" s="15" t="str">
        <f t="shared" si="6"/>
        <v/>
      </c>
      <c r="Q4712" s="24"/>
      <c r="R4712" s="25"/>
      <c r="S4712" s="25"/>
      <c r="T4712" s="26"/>
      <c r="U4712" s="26"/>
      <c r="V4712" s="25"/>
      <c r="W4712" s="25"/>
      <c r="X4712" s="25"/>
      <c r="Y4712" s="25"/>
      <c r="Z4712" s="25"/>
    </row>
    <row r="4713" spans="1:26" ht="15.75" customHeight="1" x14ac:dyDescent="0.25">
      <c r="A4713" s="25"/>
      <c r="B4713" s="49"/>
      <c r="C4713" s="50"/>
      <c r="D4713" s="23"/>
      <c r="E4713" s="23"/>
      <c r="F4713" s="15"/>
      <c r="G4713" s="23"/>
      <c r="H4713" s="15"/>
      <c r="I4713" s="15"/>
      <c r="J4713" s="51"/>
      <c r="K4713" s="15"/>
      <c r="L4713" s="51"/>
      <c r="M4713" s="15"/>
      <c r="N4713" s="23"/>
      <c r="O4713" s="23"/>
      <c r="P4713" s="15" t="str">
        <f t="shared" si="6"/>
        <v/>
      </c>
      <c r="Q4713" s="24"/>
      <c r="R4713" s="25"/>
      <c r="S4713" s="25"/>
      <c r="T4713" s="26"/>
      <c r="U4713" s="26"/>
      <c r="V4713" s="25"/>
      <c r="W4713" s="25"/>
      <c r="X4713" s="25"/>
      <c r="Y4713" s="25"/>
      <c r="Z4713" s="25"/>
    </row>
    <row r="4714" spans="1:26" ht="15.75" customHeight="1" x14ac:dyDescent="0.25">
      <c r="A4714" s="25"/>
      <c r="B4714" s="49"/>
      <c r="C4714" s="50"/>
      <c r="D4714" s="23"/>
      <c r="E4714" s="23"/>
      <c r="F4714" s="15"/>
      <c r="G4714" s="23"/>
      <c r="H4714" s="15"/>
      <c r="I4714" s="15"/>
      <c r="J4714" s="51"/>
      <c r="K4714" s="15"/>
      <c r="L4714" s="51"/>
      <c r="M4714" s="15"/>
      <c r="N4714" s="23"/>
      <c r="O4714" s="23"/>
      <c r="P4714" s="15" t="str">
        <f t="shared" si="6"/>
        <v/>
      </c>
      <c r="Q4714" s="24"/>
      <c r="R4714" s="25"/>
      <c r="S4714" s="25"/>
      <c r="T4714" s="26"/>
      <c r="U4714" s="26"/>
      <c r="V4714" s="25"/>
      <c r="W4714" s="25"/>
      <c r="X4714" s="25"/>
      <c r="Y4714" s="25"/>
      <c r="Z4714" s="25"/>
    </row>
    <row r="4715" spans="1:26" ht="15.75" customHeight="1" x14ac:dyDescent="0.25">
      <c r="A4715" s="25"/>
      <c r="B4715" s="49"/>
      <c r="C4715" s="50"/>
      <c r="D4715" s="23"/>
      <c r="E4715" s="23"/>
      <c r="F4715" s="15"/>
      <c r="G4715" s="23"/>
      <c r="H4715" s="15"/>
      <c r="I4715" s="15"/>
      <c r="J4715" s="51"/>
      <c r="K4715" s="15"/>
      <c r="L4715" s="51"/>
      <c r="M4715" s="15"/>
      <c r="N4715" s="23"/>
      <c r="O4715" s="23"/>
      <c r="P4715" s="15" t="str">
        <f t="shared" si="6"/>
        <v/>
      </c>
      <c r="Q4715" s="24"/>
      <c r="R4715" s="25"/>
      <c r="S4715" s="25"/>
      <c r="T4715" s="26"/>
      <c r="U4715" s="26"/>
      <c r="V4715" s="25"/>
      <c r="W4715" s="25"/>
      <c r="X4715" s="25"/>
      <c r="Y4715" s="25"/>
      <c r="Z4715" s="25"/>
    </row>
    <row r="4716" spans="1:26" ht="15.75" customHeight="1" x14ac:dyDescent="0.25">
      <c r="A4716" s="25"/>
      <c r="B4716" s="49"/>
      <c r="C4716" s="50"/>
      <c r="D4716" s="23"/>
      <c r="E4716" s="23"/>
      <c r="F4716" s="15"/>
      <c r="G4716" s="23"/>
      <c r="H4716" s="15"/>
      <c r="I4716" s="15"/>
      <c r="J4716" s="51"/>
      <c r="K4716" s="15"/>
      <c r="L4716" s="51"/>
      <c r="M4716" s="15"/>
      <c r="N4716" s="23"/>
      <c r="O4716" s="23"/>
      <c r="P4716" s="15" t="str">
        <f t="shared" si="6"/>
        <v/>
      </c>
      <c r="Q4716" s="24"/>
      <c r="R4716" s="25"/>
      <c r="S4716" s="25"/>
      <c r="T4716" s="26"/>
      <c r="U4716" s="26"/>
      <c r="V4716" s="25"/>
      <c r="W4716" s="25"/>
      <c r="X4716" s="25"/>
      <c r="Y4716" s="25"/>
      <c r="Z4716" s="25"/>
    </row>
    <row r="4717" spans="1:26" ht="15.75" customHeight="1" x14ac:dyDescent="0.25">
      <c r="A4717" s="25"/>
      <c r="B4717" s="49"/>
      <c r="C4717" s="50"/>
      <c r="D4717" s="23"/>
      <c r="E4717" s="23"/>
      <c r="F4717" s="15"/>
      <c r="G4717" s="23"/>
      <c r="H4717" s="15"/>
      <c r="I4717" s="15"/>
      <c r="J4717" s="51"/>
      <c r="K4717" s="15"/>
      <c r="L4717" s="51"/>
      <c r="M4717" s="15"/>
      <c r="N4717" s="23"/>
      <c r="O4717" s="23"/>
      <c r="P4717" s="15" t="str">
        <f t="shared" si="6"/>
        <v/>
      </c>
      <c r="Q4717" s="24"/>
      <c r="R4717" s="25"/>
      <c r="S4717" s="25"/>
      <c r="T4717" s="26"/>
      <c r="U4717" s="26"/>
      <c r="V4717" s="25"/>
      <c r="W4717" s="25"/>
      <c r="X4717" s="25"/>
      <c r="Y4717" s="25"/>
      <c r="Z4717" s="25"/>
    </row>
    <row r="4718" spans="1:26" ht="15.75" customHeight="1" x14ac:dyDescent="0.25">
      <c r="A4718" s="25"/>
      <c r="B4718" s="49"/>
      <c r="C4718" s="50"/>
      <c r="D4718" s="23"/>
      <c r="E4718" s="23"/>
      <c r="F4718" s="15"/>
      <c r="G4718" s="23"/>
      <c r="H4718" s="15"/>
      <c r="I4718" s="15"/>
      <c r="J4718" s="51"/>
      <c r="K4718" s="15"/>
      <c r="L4718" s="51"/>
      <c r="M4718" s="15"/>
      <c r="N4718" s="23"/>
      <c r="O4718" s="23"/>
      <c r="P4718" s="15" t="str">
        <f t="shared" si="6"/>
        <v/>
      </c>
      <c r="Q4718" s="24"/>
      <c r="R4718" s="25"/>
      <c r="S4718" s="25"/>
      <c r="T4718" s="26"/>
      <c r="U4718" s="26"/>
      <c r="V4718" s="25"/>
      <c r="W4718" s="25"/>
      <c r="X4718" s="25"/>
      <c r="Y4718" s="25"/>
      <c r="Z4718" s="25"/>
    </row>
    <row r="4719" spans="1:26" ht="15.75" customHeight="1" x14ac:dyDescent="0.25">
      <c r="A4719" s="25"/>
      <c r="B4719" s="49"/>
      <c r="C4719" s="50"/>
      <c r="D4719" s="23"/>
      <c r="E4719" s="23"/>
      <c r="F4719" s="15"/>
      <c r="G4719" s="23"/>
      <c r="H4719" s="15"/>
      <c r="I4719" s="15"/>
      <c r="J4719" s="51"/>
      <c r="K4719" s="15"/>
      <c r="L4719" s="51"/>
      <c r="M4719" s="15"/>
      <c r="N4719" s="23"/>
      <c r="O4719" s="23"/>
      <c r="P4719" s="15" t="str">
        <f t="shared" si="6"/>
        <v/>
      </c>
      <c r="Q4719" s="24"/>
      <c r="R4719" s="25"/>
      <c r="S4719" s="25"/>
      <c r="T4719" s="26"/>
      <c r="U4719" s="26"/>
      <c r="V4719" s="25"/>
      <c r="W4719" s="25"/>
      <c r="X4719" s="25"/>
      <c r="Y4719" s="25"/>
      <c r="Z4719" s="25"/>
    </row>
    <row r="4720" spans="1:26" ht="15.75" customHeight="1" x14ac:dyDescent="0.25">
      <c r="A4720" s="25"/>
      <c r="B4720" s="49"/>
      <c r="C4720" s="50"/>
      <c r="D4720" s="23"/>
      <c r="E4720" s="23"/>
      <c r="F4720" s="15"/>
      <c r="G4720" s="23"/>
      <c r="H4720" s="15"/>
      <c r="I4720" s="15"/>
      <c r="J4720" s="51"/>
      <c r="K4720" s="15"/>
      <c r="L4720" s="51"/>
      <c r="M4720" s="15"/>
      <c r="N4720" s="23"/>
      <c r="O4720" s="23"/>
      <c r="P4720" s="15" t="str">
        <f t="shared" si="6"/>
        <v/>
      </c>
      <c r="Q4720" s="24"/>
      <c r="R4720" s="25"/>
      <c r="S4720" s="25"/>
      <c r="T4720" s="26"/>
      <c r="U4720" s="26"/>
      <c r="V4720" s="25"/>
      <c r="W4720" s="25"/>
      <c r="X4720" s="25"/>
      <c r="Y4720" s="25"/>
      <c r="Z4720" s="25"/>
    </row>
    <row r="4721" spans="1:26" ht="15.75" customHeight="1" x14ac:dyDescent="0.25">
      <c r="A4721" s="25"/>
      <c r="B4721" s="49"/>
      <c r="C4721" s="50"/>
      <c r="D4721" s="23"/>
      <c r="E4721" s="23"/>
      <c r="F4721" s="15"/>
      <c r="G4721" s="23"/>
      <c r="H4721" s="15"/>
      <c r="I4721" s="15"/>
      <c r="J4721" s="51"/>
      <c r="K4721" s="15"/>
      <c r="L4721" s="51"/>
      <c r="M4721" s="15"/>
      <c r="N4721" s="23"/>
      <c r="O4721" s="23"/>
      <c r="P4721" s="15" t="str">
        <f t="shared" si="6"/>
        <v/>
      </c>
      <c r="Q4721" s="24"/>
      <c r="R4721" s="25"/>
      <c r="S4721" s="25"/>
      <c r="T4721" s="26"/>
      <c r="U4721" s="26"/>
      <c r="V4721" s="25"/>
      <c r="W4721" s="25"/>
      <c r="X4721" s="25"/>
      <c r="Y4721" s="25"/>
      <c r="Z4721" s="25"/>
    </row>
    <row r="4722" spans="1:26" ht="15.75" customHeight="1" x14ac:dyDescent="0.25">
      <c r="A4722" s="25"/>
      <c r="B4722" s="49"/>
      <c r="C4722" s="50"/>
      <c r="D4722" s="23"/>
      <c r="E4722" s="23"/>
      <c r="F4722" s="15"/>
      <c r="G4722" s="23"/>
      <c r="H4722" s="15"/>
      <c r="I4722" s="15"/>
      <c r="J4722" s="51"/>
      <c r="K4722" s="15"/>
      <c r="L4722" s="51"/>
      <c r="M4722" s="15"/>
      <c r="N4722" s="23"/>
      <c r="O4722" s="23"/>
      <c r="P4722" s="15" t="str">
        <f t="shared" si="6"/>
        <v/>
      </c>
      <c r="Q4722" s="24"/>
      <c r="R4722" s="25"/>
      <c r="S4722" s="25"/>
      <c r="T4722" s="26"/>
      <c r="U4722" s="26"/>
      <c r="V4722" s="25"/>
      <c r="W4722" s="25"/>
      <c r="X4722" s="25"/>
      <c r="Y4722" s="25"/>
      <c r="Z4722" s="25"/>
    </row>
    <row r="4723" spans="1:26" ht="15.75" customHeight="1" x14ac:dyDescent="0.25">
      <c r="A4723" s="25"/>
      <c r="B4723" s="49"/>
      <c r="C4723" s="50"/>
      <c r="D4723" s="23"/>
      <c r="E4723" s="23"/>
      <c r="F4723" s="15"/>
      <c r="G4723" s="23"/>
      <c r="H4723" s="15"/>
      <c r="I4723" s="15"/>
      <c r="J4723" s="51"/>
      <c r="K4723" s="15"/>
      <c r="L4723" s="51"/>
      <c r="M4723" s="15"/>
      <c r="N4723" s="23"/>
      <c r="O4723" s="23"/>
      <c r="P4723" s="15" t="str">
        <f t="shared" si="6"/>
        <v/>
      </c>
      <c r="Q4723" s="24"/>
      <c r="R4723" s="25"/>
      <c r="S4723" s="25"/>
      <c r="T4723" s="26"/>
      <c r="U4723" s="26"/>
      <c r="V4723" s="25"/>
      <c r="W4723" s="25"/>
      <c r="X4723" s="25"/>
      <c r="Y4723" s="25"/>
      <c r="Z4723" s="25"/>
    </row>
    <row r="4724" spans="1:26" ht="15.75" customHeight="1" x14ac:dyDescent="0.25">
      <c r="A4724" s="25"/>
      <c r="B4724" s="49"/>
      <c r="C4724" s="50"/>
      <c r="D4724" s="23"/>
      <c r="E4724" s="23"/>
      <c r="F4724" s="15"/>
      <c r="G4724" s="23"/>
      <c r="H4724" s="15"/>
      <c r="I4724" s="15"/>
      <c r="J4724" s="51"/>
      <c r="K4724" s="15"/>
      <c r="L4724" s="51"/>
      <c r="M4724" s="15"/>
      <c r="N4724" s="23"/>
      <c r="O4724" s="23"/>
      <c r="P4724" s="15" t="str">
        <f t="shared" si="6"/>
        <v/>
      </c>
      <c r="Q4724" s="24"/>
      <c r="R4724" s="25"/>
      <c r="S4724" s="25"/>
      <c r="T4724" s="26"/>
      <c r="U4724" s="26"/>
      <c r="V4724" s="25"/>
      <c r="W4724" s="25"/>
      <c r="X4724" s="25"/>
      <c r="Y4724" s="25"/>
      <c r="Z4724" s="25"/>
    </row>
    <row r="4725" spans="1:26" ht="15.75" customHeight="1" x14ac:dyDescent="0.25">
      <c r="A4725" s="25"/>
      <c r="B4725" s="49"/>
      <c r="C4725" s="50"/>
      <c r="D4725" s="23"/>
      <c r="E4725" s="23"/>
      <c r="F4725" s="15"/>
      <c r="G4725" s="23"/>
      <c r="H4725" s="15"/>
      <c r="I4725" s="15"/>
      <c r="J4725" s="51"/>
      <c r="K4725" s="15"/>
      <c r="L4725" s="51"/>
      <c r="M4725" s="15"/>
      <c r="N4725" s="23"/>
      <c r="O4725" s="23"/>
      <c r="P4725" s="15" t="str">
        <f t="shared" si="6"/>
        <v/>
      </c>
      <c r="Q4725" s="24"/>
      <c r="R4725" s="25"/>
      <c r="S4725" s="25"/>
      <c r="T4725" s="26"/>
      <c r="U4725" s="26"/>
      <c r="V4725" s="25"/>
      <c r="W4725" s="25"/>
      <c r="X4725" s="25"/>
      <c r="Y4725" s="25"/>
      <c r="Z4725" s="25"/>
    </row>
    <row r="4726" spans="1:26" ht="15.75" customHeight="1" x14ac:dyDescent="0.25">
      <c r="A4726" s="25"/>
      <c r="B4726" s="49"/>
      <c r="C4726" s="50"/>
      <c r="D4726" s="23"/>
      <c r="E4726" s="23"/>
      <c r="F4726" s="15"/>
      <c r="G4726" s="23"/>
      <c r="H4726" s="15"/>
      <c r="I4726" s="15"/>
      <c r="J4726" s="51"/>
      <c r="K4726" s="15"/>
      <c r="L4726" s="51"/>
      <c r="M4726" s="15"/>
      <c r="N4726" s="23"/>
      <c r="O4726" s="23"/>
      <c r="P4726" s="15" t="str">
        <f t="shared" si="6"/>
        <v/>
      </c>
      <c r="Q4726" s="24"/>
      <c r="R4726" s="25"/>
      <c r="S4726" s="25"/>
      <c r="T4726" s="26"/>
      <c r="U4726" s="26"/>
      <c r="V4726" s="25"/>
      <c r="W4726" s="25"/>
      <c r="X4726" s="25"/>
      <c r="Y4726" s="25"/>
      <c r="Z4726" s="25"/>
    </row>
    <row r="4727" spans="1:26" ht="15.75" customHeight="1" x14ac:dyDescent="0.25">
      <c r="A4727" s="25"/>
      <c r="B4727" s="49"/>
      <c r="C4727" s="50"/>
      <c r="D4727" s="23"/>
      <c r="E4727" s="23"/>
      <c r="F4727" s="15"/>
      <c r="G4727" s="23"/>
      <c r="H4727" s="15"/>
      <c r="I4727" s="15"/>
      <c r="J4727" s="51"/>
      <c r="K4727" s="15"/>
      <c r="L4727" s="51"/>
      <c r="M4727" s="15"/>
      <c r="N4727" s="23"/>
      <c r="O4727" s="23"/>
      <c r="P4727" s="15" t="str">
        <f t="shared" si="6"/>
        <v/>
      </c>
      <c r="Q4727" s="24"/>
      <c r="R4727" s="25"/>
      <c r="S4727" s="25"/>
      <c r="T4727" s="26"/>
      <c r="U4727" s="26"/>
      <c r="V4727" s="25"/>
      <c r="W4727" s="25"/>
      <c r="X4727" s="25"/>
      <c r="Y4727" s="25"/>
      <c r="Z4727" s="25"/>
    </row>
    <row r="4728" spans="1:26" ht="15.75" customHeight="1" x14ac:dyDescent="0.25">
      <c r="A4728" s="25"/>
      <c r="B4728" s="49"/>
      <c r="C4728" s="50"/>
      <c r="D4728" s="23"/>
      <c r="E4728" s="23"/>
      <c r="F4728" s="15"/>
      <c r="G4728" s="23"/>
      <c r="H4728" s="15"/>
      <c r="I4728" s="15"/>
      <c r="J4728" s="51"/>
      <c r="K4728" s="15"/>
      <c r="L4728" s="51"/>
      <c r="M4728" s="15"/>
      <c r="N4728" s="23"/>
      <c r="O4728" s="23"/>
      <c r="P4728" s="15" t="str">
        <f t="shared" si="6"/>
        <v/>
      </c>
      <c r="Q4728" s="24"/>
      <c r="R4728" s="25"/>
      <c r="S4728" s="25"/>
      <c r="T4728" s="26"/>
      <c r="U4728" s="26"/>
      <c r="V4728" s="25"/>
      <c r="W4728" s="25"/>
      <c r="X4728" s="25"/>
      <c r="Y4728" s="25"/>
      <c r="Z4728" s="25"/>
    </row>
    <row r="4729" spans="1:26" ht="15.75" customHeight="1" x14ac:dyDescent="0.25">
      <c r="A4729" s="25"/>
      <c r="B4729" s="49"/>
      <c r="C4729" s="50"/>
      <c r="D4729" s="23"/>
      <c r="E4729" s="23"/>
      <c r="F4729" s="15"/>
      <c r="G4729" s="23"/>
      <c r="H4729" s="15"/>
      <c r="I4729" s="15"/>
      <c r="J4729" s="51"/>
      <c r="K4729" s="15"/>
      <c r="L4729" s="51"/>
      <c r="M4729" s="15"/>
      <c r="N4729" s="23"/>
      <c r="O4729" s="23"/>
      <c r="P4729" s="15" t="str">
        <f t="shared" si="6"/>
        <v/>
      </c>
      <c r="Q4729" s="24"/>
      <c r="R4729" s="25"/>
      <c r="S4729" s="25"/>
      <c r="T4729" s="26"/>
      <c r="U4729" s="26"/>
      <c r="V4729" s="25"/>
      <c r="W4729" s="25"/>
      <c r="X4729" s="25"/>
      <c r="Y4729" s="25"/>
      <c r="Z4729" s="25"/>
    </row>
    <row r="4730" spans="1:26" ht="15.75" customHeight="1" x14ac:dyDescent="0.25">
      <c r="A4730" s="25"/>
      <c r="B4730" s="49"/>
      <c r="C4730" s="50"/>
      <c r="D4730" s="23"/>
      <c r="E4730" s="23"/>
      <c r="F4730" s="15"/>
      <c r="G4730" s="23"/>
      <c r="H4730" s="15"/>
      <c r="I4730" s="15"/>
      <c r="J4730" s="51"/>
      <c r="K4730" s="15"/>
      <c r="L4730" s="51"/>
      <c r="M4730" s="15"/>
      <c r="N4730" s="23"/>
      <c r="O4730" s="23"/>
      <c r="P4730" s="15" t="str">
        <f t="shared" si="6"/>
        <v/>
      </c>
      <c r="Q4730" s="24"/>
      <c r="R4730" s="25"/>
      <c r="S4730" s="25"/>
      <c r="T4730" s="26"/>
      <c r="U4730" s="26"/>
      <c r="V4730" s="25"/>
      <c r="W4730" s="25"/>
      <c r="X4730" s="25"/>
      <c r="Y4730" s="25"/>
      <c r="Z4730" s="25"/>
    </row>
    <row r="4731" spans="1:26" ht="15.75" customHeight="1" x14ac:dyDescent="0.25">
      <c r="A4731" s="25"/>
      <c r="B4731" s="49"/>
      <c r="C4731" s="50"/>
      <c r="D4731" s="23"/>
      <c r="E4731" s="23"/>
      <c r="F4731" s="15"/>
      <c r="G4731" s="23"/>
      <c r="H4731" s="15"/>
      <c r="I4731" s="15"/>
      <c r="J4731" s="51"/>
      <c r="K4731" s="15"/>
      <c r="L4731" s="51"/>
      <c r="M4731" s="15"/>
      <c r="N4731" s="23"/>
      <c r="O4731" s="23"/>
      <c r="P4731" s="15" t="str">
        <f t="shared" si="6"/>
        <v/>
      </c>
      <c r="Q4731" s="24"/>
      <c r="R4731" s="25"/>
      <c r="S4731" s="25"/>
      <c r="T4731" s="26"/>
      <c r="U4731" s="26"/>
      <c r="V4731" s="25"/>
      <c r="W4731" s="25"/>
      <c r="X4731" s="25"/>
      <c r="Y4731" s="25"/>
      <c r="Z4731" s="25"/>
    </row>
    <row r="4732" spans="1:26" ht="15.75" customHeight="1" x14ac:dyDescent="0.25">
      <c r="A4732" s="25"/>
      <c r="B4732" s="49"/>
      <c r="C4732" s="50"/>
      <c r="D4732" s="23"/>
      <c r="E4732" s="23"/>
      <c r="F4732" s="15"/>
      <c r="G4732" s="23"/>
      <c r="H4732" s="15"/>
      <c r="I4732" s="15"/>
      <c r="J4732" s="51"/>
      <c r="K4732" s="15"/>
      <c r="L4732" s="51"/>
      <c r="M4732" s="15"/>
      <c r="N4732" s="23"/>
      <c r="O4732" s="23"/>
      <c r="P4732" s="15" t="str">
        <f t="shared" si="6"/>
        <v/>
      </c>
      <c r="Q4732" s="24"/>
      <c r="R4732" s="25"/>
      <c r="S4732" s="25"/>
      <c r="T4732" s="26"/>
      <c r="U4732" s="26"/>
      <c r="V4732" s="25"/>
      <c r="W4732" s="25"/>
      <c r="X4732" s="25"/>
      <c r="Y4732" s="25"/>
      <c r="Z4732" s="25"/>
    </row>
    <row r="4733" spans="1:26" ht="15.75" customHeight="1" x14ac:dyDescent="0.25">
      <c r="A4733" s="25"/>
      <c r="B4733" s="49"/>
      <c r="C4733" s="50"/>
      <c r="D4733" s="23"/>
      <c r="E4733" s="23"/>
      <c r="F4733" s="15"/>
      <c r="G4733" s="23"/>
      <c r="H4733" s="15"/>
      <c r="I4733" s="15"/>
      <c r="J4733" s="51"/>
      <c r="K4733" s="15"/>
      <c r="L4733" s="51"/>
      <c r="M4733" s="15"/>
      <c r="N4733" s="23"/>
      <c r="O4733" s="23"/>
      <c r="P4733" s="15" t="str">
        <f t="shared" si="6"/>
        <v/>
      </c>
      <c r="Q4733" s="24"/>
      <c r="R4733" s="25"/>
      <c r="S4733" s="25"/>
      <c r="T4733" s="26"/>
      <c r="U4733" s="26"/>
      <c r="V4733" s="25"/>
      <c r="W4733" s="25"/>
      <c r="X4733" s="25"/>
      <c r="Y4733" s="25"/>
      <c r="Z4733" s="25"/>
    </row>
    <row r="4734" spans="1:26" ht="15.75" customHeight="1" x14ac:dyDescent="0.25">
      <c r="A4734" s="25"/>
      <c r="B4734" s="49"/>
      <c r="C4734" s="50"/>
      <c r="D4734" s="23"/>
      <c r="E4734" s="23"/>
      <c r="F4734" s="15"/>
      <c r="G4734" s="23"/>
      <c r="H4734" s="15"/>
      <c r="I4734" s="15"/>
      <c r="J4734" s="51"/>
      <c r="K4734" s="15"/>
      <c r="L4734" s="51"/>
      <c r="M4734" s="15"/>
      <c r="N4734" s="23"/>
      <c r="O4734" s="23"/>
      <c r="P4734" s="15" t="str">
        <f t="shared" si="6"/>
        <v/>
      </c>
      <c r="Q4734" s="24"/>
      <c r="R4734" s="25"/>
      <c r="S4734" s="25"/>
      <c r="T4734" s="26"/>
      <c r="U4734" s="26"/>
      <c r="V4734" s="25"/>
      <c r="W4734" s="25"/>
      <c r="X4734" s="25"/>
      <c r="Y4734" s="25"/>
      <c r="Z4734" s="25"/>
    </row>
    <row r="4735" spans="1:26" ht="15.75" customHeight="1" x14ac:dyDescent="0.25">
      <c r="A4735" s="25"/>
      <c r="B4735" s="49"/>
      <c r="C4735" s="50"/>
      <c r="D4735" s="23"/>
      <c r="E4735" s="23"/>
      <c r="F4735" s="15"/>
      <c r="G4735" s="23"/>
      <c r="H4735" s="15"/>
      <c r="I4735" s="15"/>
      <c r="J4735" s="51"/>
      <c r="K4735" s="15"/>
      <c r="L4735" s="51"/>
      <c r="M4735" s="15"/>
      <c r="N4735" s="23"/>
      <c r="O4735" s="23"/>
      <c r="P4735" s="15" t="str">
        <f t="shared" si="6"/>
        <v/>
      </c>
      <c r="Q4735" s="24"/>
      <c r="R4735" s="25"/>
      <c r="S4735" s="25"/>
      <c r="T4735" s="26"/>
      <c r="U4735" s="26"/>
      <c r="V4735" s="25"/>
      <c r="W4735" s="25"/>
      <c r="X4735" s="25"/>
      <c r="Y4735" s="25"/>
      <c r="Z4735" s="25"/>
    </row>
    <row r="4736" spans="1:26" ht="15.75" customHeight="1" x14ac:dyDescent="0.25">
      <c r="A4736" s="25"/>
      <c r="B4736" s="49"/>
      <c r="C4736" s="50"/>
      <c r="D4736" s="23"/>
      <c r="E4736" s="23"/>
      <c r="F4736" s="15"/>
      <c r="G4736" s="23"/>
      <c r="H4736" s="15"/>
      <c r="I4736" s="15"/>
      <c r="J4736" s="51"/>
      <c r="K4736" s="15"/>
      <c r="L4736" s="51"/>
      <c r="M4736" s="15"/>
      <c r="N4736" s="23"/>
      <c r="O4736" s="23"/>
      <c r="P4736" s="15" t="str">
        <f t="shared" si="6"/>
        <v/>
      </c>
      <c r="Q4736" s="24"/>
      <c r="R4736" s="25"/>
      <c r="S4736" s="25"/>
      <c r="T4736" s="26"/>
      <c r="U4736" s="26"/>
      <c r="V4736" s="25"/>
      <c r="W4736" s="25"/>
      <c r="X4736" s="25"/>
      <c r="Y4736" s="25"/>
      <c r="Z4736" s="25"/>
    </row>
    <row r="4737" spans="1:26" ht="15.75" customHeight="1" x14ac:dyDescent="0.25">
      <c r="A4737" s="25"/>
      <c r="B4737" s="49"/>
      <c r="C4737" s="50"/>
      <c r="D4737" s="23"/>
      <c r="E4737" s="23"/>
      <c r="F4737" s="15"/>
      <c r="G4737" s="23"/>
      <c r="H4737" s="15"/>
      <c r="I4737" s="15"/>
      <c r="J4737" s="51"/>
      <c r="K4737" s="15"/>
      <c r="L4737" s="51"/>
      <c r="M4737" s="15"/>
      <c r="N4737" s="23"/>
      <c r="O4737" s="23"/>
      <c r="P4737" s="15" t="str">
        <f t="shared" si="6"/>
        <v/>
      </c>
      <c r="Q4737" s="24"/>
      <c r="R4737" s="25"/>
      <c r="S4737" s="25"/>
      <c r="T4737" s="26"/>
      <c r="U4737" s="26"/>
      <c r="V4737" s="25"/>
      <c r="W4737" s="25"/>
      <c r="X4737" s="25"/>
      <c r="Y4737" s="25"/>
      <c r="Z4737" s="25"/>
    </row>
    <row r="4738" spans="1:26" ht="15.75" customHeight="1" x14ac:dyDescent="0.25">
      <c r="A4738" s="25"/>
      <c r="B4738" s="49"/>
      <c r="C4738" s="50"/>
      <c r="D4738" s="23"/>
      <c r="E4738" s="23"/>
      <c r="F4738" s="15"/>
      <c r="G4738" s="23"/>
      <c r="H4738" s="15"/>
      <c r="I4738" s="15"/>
      <c r="J4738" s="51"/>
      <c r="K4738" s="15"/>
      <c r="L4738" s="51"/>
      <c r="M4738" s="15"/>
      <c r="N4738" s="23"/>
      <c r="O4738" s="23"/>
      <c r="P4738" s="15" t="str">
        <f t="shared" si="6"/>
        <v/>
      </c>
      <c r="Q4738" s="24"/>
      <c r="R4738" s="25"/>
      <c r="S4738" s="25"/>
      <c r="T4738" s="26"/>
      <c r="U4738" s="26"/>
      <c r="V4738" s="25"/>
      <c r="W4738" s="25"/>
      <c r="X4738" s="25"/>
      <c r="Y4738" s="25"/>
      <c r="Z4738" s="25"/>
    </row>
    <row r="4739" spans="1:26" ht="15.75" customHeight="1" x14ac:dyDescent="0.25">
      <c r="A4739" s="25"/>
      <c r="B4739" s="49"/>
      <c r="C4739" s="50"/>
      <c r="D4739" s="23"/>
      <c r="E4739" s="23"/>
      <c r="F4739" s="15"/>
      <c r="G4739" s="23"/>
      <c r="H4739" s="15"/>
      <c r="I4739" s="15"/>
      <c r="J4739" s="51"/>
      <c r="K4739" s="15"/>
      <c r="L4739" s="51"/>
      <c r="M4739" s="15"/>
      <c r="N4739" s="23"/>
      <c r="O4739" s="23"/>
      <c r="P4739" s="15" t="str">
        <f t="shared" si="6"/>
        <v/>
      </c>
      <c r="Q4739" s="24"/>
      <c r="R4739" s="25"/>
      <c r="S4739" s="25"/>
      <c r="T4739" s="26"/>
      <c r="U4739" s="26"/>
      <c r="V4739" s="25"/>
      <c r="W4739" s="25"/>
      <c r="X4739" s="25"/>
      <c r="Y4739" s="25"/>
      <c r="Z4739" s="25"/>
    </row>
    <row r="4740" spans="1:26" ht="15.75" customHeight="1" x14ac:dyDescent="0.25">
      <c r="A4740" s="25"/>
      <c r="B4740" s="49"/>
      <c r="C4740" s="50"/>
      <c r="D4740" s="23"/>
      <c r="E4740" s="23"/>
      <c r="F4740" s="15"/>
      <c r="G4740" s="23"/>
      <c r="H4740" s="15"/>
      <c r="I4740" s="15"/>
      <c r="J4740" s="51"/>
      <c r="K4740" s="15"/>
      <c r="L4740" s="51"/>
      <c r="M4740" s="15"/>
      <c r="N4740" s="23"/>
      <c r="O4740" s="23"/>
      <c r="P4740" s="15" t="str">
        <f t="shared" si="6"/>
        <v/>
      </c>
      <c r="Q4740" s="24"/>
      <c r="R4740" s="25"/>
      <c r="S4740" s="25"/>
      <c r="T4740" s="26"/>
      <c r="U4740" s="26"/>
      <c r="V4740" s="25"/>
      <c r="W4740" s="25"/>
      <c r="X4740" s="25"/>
      <c r="Y4740" s="25"/>
      <c r="Z4740" s="25"/>
    </row>
    <row r="4741" spans="1:26" ht="15.75" customHeight="1" x14ac:dyDescent="0.25">
      <c r="A4741" s="25"/>
      <c r="B4741" s="49"/>
      <c r="C4741" s="50"/>
      <c r="D4741" s="23"/>
      <c r="E4741" s="23"/>
      <c r="F4741" s="15"/>
      <c r="G4741" s="23"/>
      <c r="H4741" s="15"/>
      <c r="I4741" s="15"/>
      <c r="J4741" s="51"/>
      <c r="K4741" s="15"/>
      <c r="L4741" s="51"/>
      <c r="M4741" s="15"/>
      <c r="N4741" s="23"/>
      <c r="O4741" s="23"/>
      <c r="P4741" s="15" t="str">
        <f t="shared" si="6"/>
        <v/>
      </c>
      <c r="Q4741" s="24"/>
      <c r="R4741" s="25"/>
      <c r="S4741" s="25"/>
      <c r="T4741" s="26"/>
      <c r="U4741" s="26"/>
      <c r="V4741" s="25"/>
      <c r="W4741" s="25"/>
      <c r="X4741" s="25"/>
      <c r="Y4741" s="25"/>
      <c r="Z4741" s="25"/>
    </row>
    <row r="4742" spans="1:26" ht="15.75" customHeight="1" x14ac:dyDescent="0.25">
      <c r="A4742" s="25"/>
      <c r="B4742" s="49"/>
      <c r="C4742" s="50"/>
      <c r="D4742" s="23"/>
      <c r="E4742" s="23"/>
      <c r="F4742" s="15"/>
      <c r="G4742" s="23"/>
      <c r="H4742" s="15"/>
      <c r="I4742" s="15"/>
      <c r="J4742" s="51"/>
      <c r="K4742" s="15"/>
      <c r="L4742" s="51"/>
      <c r="M4742" s="15"/>
      <c r="N4742" s="23"/>
      <c r="O4742" s="23"/>
      <c r="P4742" s="15" t="str">
        <f t="shared" si="6"/>
        <v/>
      </c>
      <c r="Q4742" s="24"/>
      <c r="R4742" s="25"/>
      <c r="S4742" s="25"/>
      <c r="T4742" s="26"/>
      <c r="U4742" s="26"/>
      <c r="V4742" s="25"/>
      <c r="W4742" s="25"/>
      <c r="X4742" s="25"/>
      <c r="Y4742" s="25"/>
      <c r="Z4742" s="25"/>
    </row>
    <row r="4743" spans="1:26" ht="15.75" customHeight="1" x14ac:dyDescent="0.25">
      <c r="A4743" s="25"/>
      <c r="B4743" s="49"/>
      <c r="C4743" s="50"/>
      <c r="D4743" s="23"/>
      <c r="E4743" s="23"/>
      <c r="F4743" s="15"/>
      <c r="G4743" s="23"/>
      <c r="H4743" s="15"/>
      <c r="I4743" s="15"/>
      <c r="J4743" s="51"/>
      <c r="K4743" s="15"/>
      <c r="L4743" s="51"/>
      <c r="M4743" s="15"/>
      <c r="N4743" s="23"/>
      <c r="O4743" s="23"/>
      <c r="P4743" s="15" t="str">
        <f t="shared" si="6"/>
        <v/>
      </c>
      <c r="Q4743" s="24"/>
      <c r="R4743" s="25"/>
      <c r="S4743" s="25"/>
      <c r="T4743" s="26"/>
      <c r="U4743" s="26"/>
      <c r="V4743" s="25"/>
      <c r="W4743" s="25"/>
      <c r="X4743" s="25"/>
      <c r="Y4743" s="25"/>
      <c r="Z4743" s="25"/>
    </row>
    <row r="4744" spans="1:26" ht="15.75" customHeight="1" x14ac:dyDescent="0.25">
      <c r="A4744" s="25"/>
      <c r="B4744" s="49"/>
      <c r="C4744" s="50"/>
      <c r="D4744" s="23"/>
      <c r="E4744" s="23"/>
      <c r="F4744" s="15"/>
      <c r="G4744" s="23"/>
      <c r="H4744" s="15"/>
      <c r="I4744" s="15"/>
      <c r="J4744" s="51"/>
      <c r="K4744" s="15"/>
      <c r="L4744" s="51"/>
      <c r="M4744" s="15"/>
      <c r="N4744" s="23"/>
      <c r="O4744" s="23"/>
      <c r="P4744" s="15" t="str">
        <f t="shared" si="6"/>
        <v/>
      </c>
      <c r="Q4744" s="24"/>
      <c r="R4744" s="25"/>
      <c r="S4744" s="25"/>
      <c r="T4744" s="26"/>
      <c r="U4744" s="26"/>
      <c r="V4744" s="25"/>
      <c r="W4744" s="25"/>
      <c r="X4744" s="25"/>
      <c r="Y4744" s="25"/>
      <c r="Z4744" s="25"/>
    </row>
    <row r="4745" spans="1:26" ht="15.75" customHeight="1" x14ac:dyDescent="0.25">
      <c r="A4745" s="25"/>
      <c r="B4745" s="49"/>
      <c r="C4745" s="50"/>
      <c r="D4745" s="23"/>
      <c r="E4745" s="23"/>
      <c r="F4745" s="15"/>
      <c r="G4745" s="23"/>
      <c r="H4745" s="15"/>
      <c r="I4745" s="15"/>
      <c r="J4745" s="51"/>
      <c r="K4745" s="15"/>
      <c r="L4745" s="51"/>
      <c r="M4745" s="15"/>
      <c r="N4745" s="23"/>
      <c r="O4745" s="23"/>
      <c r="P4745" s="15" t="str">
        <f t="shared" si="6"/>
        <v/>
      </c>
      <c r="Q4745" s="24"/>
      <c r="R4745" s="25"/>
      <c r="S4745" s="25"/>
      <c r="T4745" s="26"/>
      <c r="U4745" s="26"/>
      <c r="V4745" s="25"/>
      <c r="W4745" s="25"/>
      <c r="X4745" s="25"/>
      <c r="Y4745" s="25"/>
      <c r="Z4745" s="25"/>
    </row>
    <row r="4746" spans="1:26" ht="15.75" customHeight="1" x14ac:dyDescent="0.25">
      <c r="A4746" s="25"/>
      <c r="B4746" s="49"/>
      <c r="C4746" s="50"/>
      <c r="D4746" s="23"/>
      <c r="E4746" s="23"/>
      <c r="F4746" s="15"/>
      <c r="G4746" s="23"/>
      <c r="H4746" s="15"/>
      <c r="I4746" s="15"/>
      <c r="J4746" s="51"/>
      <c r="K4746" s="15"/>
      <c r="L4746" s="51"/>
      <c r="M4746" s="15"/>
      <c r="N4746" s="23"/>
      <c r="O4746" s="23"/>
      <c r="P4746" s="15" t="str">
        <f t="shared" si="6"/>
        <v/>
      </c>
      <c r="Q4746" s="24"/>
      <c r="R4746" s="25"/>
      <c r="S4746" s="25"/>
      <c r="T4746" s="26"/>
      <c r="U4746" s="26"/>
      <c r="V4746" s="25"/>
      <c r="W4746" s="25"/>
      <c r="X4746" s="25"/>
      <c r="Y4746" s="25"/>
      <c r="Z4746" s="25"/>
    </row>
    <row r="4747" spans="1:26" ht="15.75" customHeight="1" x14ac:dyDescent="0.25">
      <c r="A4747" s="25"/>
      <c r="B4747" s="49"/>
      <c r="C4747" s="50"/>
      <c r="D4747" s="23"/>
      <c r="E4747" s="23"/>
      <c r="F4747" s="15"/>
      <c r="G4747" s="23"/>
      <c r="H4747" s="15"/>
      <c r="I4747" s="15"/>
      <c r="J4747" s="51"/>
      <c r="K4747" s="15"/>
      <c r="L4747" s="51"/>
      <c r="M4747" s="15"/>
      <c r="N4747" s="23"/>
      <c r="O4747" s="23"/>
      <c r="P4747" s="15" t="str">
        <f t="shared" si="6"/>
        <v/>
      </c>
      <c r="Q4747" s="24"/>
      <c r="R4747" s="25"/>
      <c r="S4747" s="25"/>
      <c r="T4747" s="26"/>
      <c r="U4747" s="26"/>
      <c r="V4747" s="25"/>
      <c r="W4747" s="25"/>
      <c r="X4747" s="25"/>
      <c r="Y4747" s="25"/>
      <c r="Z4747" s="25"/>
    </row>
    <row r="4748" spans="1:26" ht="15.75" customHeight="1" x14ac:dyDescent="0.25">
      <c r="A4748" s="25"/>
      <c r="B4748" s="49"/>
      <c r="C4748" s="50"/>
      <c r="D4748" s="23"/>
      <c r="E4748" s="23"/>
      <c r="F4748" s="15"/>
      <c r="G4748" s="23"/>
      <c r="H4748" s="15"/>
      <c r="I4748" s="15"/>
      <c r="J4748" s="51"/>
      <c r="K4748" s="15"/>
      <c r="L4748" s="51"/>
      <c r="M4748" s="15"/>
      <c r="N4748" s="23"/>
      <c r="O4748" s="23"/>
      <c r="P4748" s="15" t="str">
        <f t="shared" si="6"/>
        <v/>
      </c>
      <c r="Q4748" s="24"/>
      <c r="R4748" s="25"/>
      <c r="S4748" s="25"/>
      <c r="T4748" s="26"/>
      <c r="U4748" s="26"/>
      <c r="V4748" s="25"/>
      <c r="W4748" s="25"/>
      <c r="X4748" s="25"/>
      <c r="Y4748" s="25"/>
      <c r="Z4748" s="25"/>
    </row>
    <row r="4749" spans="1:26" ht="15.75" customHeight="1" x14ac:dyDescent="0.25">
      <c r="A4749" s="25"/>
      <c r="B4749" s="49"/>
      <c r="C4749" s="50"/>
      <c r="D4749" s="23"/>
      <c r="E4749" s="23"/>
      <c r="F4749" s="15"/>
      <c r="G4749" s="23"/>
      <c r="H4749" s="15"/>
      <c r="I4749" s="15"/>
      <c r="J4749" s="51"/>
      <c r="K4749" s="15"/>
      <c r="L4749" s="51"/>
      <c r="M4749" s="15"/>
      <c r="N4749" s="23"/>
      <c r="O4749" s="23"/>
      <c r="P4749" s="15" t="str">
        <f t="shared" si="6"/>
        <v/>
      </c>
      <c r="Q4749" s="24"/>
      <c r="R4749" s="25"/>
      <c r="S4749" s="25"/>
      <c r="T4749" s="26"/>
      <c r="U4749" s="26"/>
      <c r="V4749" s="25"/>
      <c r="W4749" s="25"/>
      <c r="X4749" s="25"/>
      <c r="Y4749" s="25"/>
      <c r="Z4749" s="25"/>
    </row>
    <row r="4750" spans="1:26" ht="15.75" customHeight="1" x14ac:dyDescent="0.25">
      <c r="A4750" s="25"/>
      <c r="B4750" s="49"/>
      <c r="C4750" s="50"/>
      <c r="D4750" s="23"/>
      <c r="E4750" s="23"/>
      <c r="F4750" s="15"/>
      <c r="G4750" s="23"/>
      <c r="H4750" s="15"/>
      <c r="I4750" s="15"/>
      <c r="J4750" s="51"/>
      <c r="K4750" s="15"/>
      <c r="L4750" s="51"/>
      <c r="M4750" s="15"/>
      <c r="N4750" s="23"/>
      <c r="O4750" s="23"/>
      <c r="P4750" s="15" t="str">
        <f t="shared" si="6"/>
        <v/>
      </c>
      <c r="Q4750" s="24"/>
      <c r="R4750" s="25"/>
      <c r="S4750" s="25"/>
      <c r="T4750" s="26"/>
      <c r="U4750" s="26"/>
      <c r="V4750" s="25"/>
      <c r="W4750" s="25"/>
      <c r="X4750" s="25"/>
      <c r="Y4750" s="25"/>
      <c r="Z4750" s="25"/>
    </row>
    <row r="4751" spans="1:26" ht="15.75" customHeight="1" x14ac:dyDescent="0.25">
      <c r="A4751" s="25"/>
      <c r="B4751" s="49"/>
      <c r="C4751" s="50"/>
      <c r="D4751" s="23"/>
      <c r="E4751" s="23"/>
      <c r="F4751" s="15"/>
      <c r="G4751" s="23"/>
      <c r="H4751" s="15"/>
      <c r="I4751" s="15"/>
      <c r="J4751" s="51"/>
      <c r="K4751" s="15"/>
      <c r="L4751" s="51"/>
      <c r="M4751" s="15"/>
      <c r="N4751" s="23"/>
      <c r="O4751" s="23"/>
      <c r="P4751" s="15" t="str">
        <f t="shared" si="6"/>
        <v/>
      </c>
      <c r="Q4751" s="24"/>
      <c r="R4751" s="25"/>
      <c r="S4751" s="25"/>
      <c r="T4751" s="26"/>
      <c r="U4751" s="26"/>
      <c r="V4751" s="25"/>
      <c r="W4751" s="25"/>
      <c r="X4751" s="25"/>
      <c r="Y4751" s="25"/>
      <c r="Z4751" s="25"/>
    </row>
    <row r="4752" spans="1:26" ht="15.75" customHeight="1" x14ac:dyDescent="0.25">
      <c r="A4752" s="25"/>
      <c r="B4752" s="49"/>
      <c r="C4752" s="50"/>
      <c r="D4752" s="23"/>
      <c r="E4752" s="23"/>
      <c r="F4752" s="15"/>
      <c r="G4752" s="23"/>
      <c r="H4752" s="15"/>
      <c r="I4752" s="15"/>
      <c r="J4752" s="51"/>
      <c r="K4752" s="15"/>
      <c r="L4752" s="51"/>
      <c r="M4752" s="15"/>
      <c r="N4752" s="23"/>
      <c r="O4752" s="23"/>
      <c r="P4752" s="15" t="str">
        <f t="shared" si="6"/>
        <v/>
      </c>
      <c r="Q4752" s="24"/>
      <c r="R4752" s="25"/>
      <c r="S4752" s="25"/>
      <c r="T4752" s="26"/>
      <c r="U4752" s="26"/>
      <c r="V4752" s="25"/>
      <c r="W4752" s="25"/>
      <c r="X4752" s="25"/>
      <c r="Y4752" s="25"/>
      <c r="Z4752" s="25"/>
    </row>
    <row r="4753" spans="1:26" ht="15.75" customHeight="1" x14ac:dyDescent="0.25">
      <c r="A4753" s="25"/>
      <c r="B4753" s="49"/>
      <c r="C4753" s="50"/>
      <c r="D4753" s="23"/>
      <c r="E4753" s="23"/>
      <c r="F4753" s="15"/>
      <c r="G4753" s="23"/>
      <c r="H4753" s="15"/>
      <c r="I4753" s="15"/>
      <c r="J4753" s="51"/>
      <c r="K4753" s="15"/>
      <c r="L4753" s="51"/>
      <c r="M4753" s="15"/>
      <c r="N4753" s="23"/>
      <c r="O4753" s="23"/>
      <c r="P4753" s="15" t="str">
        <f t="shared" si="6"/>
        <v/>
      </c>
      <c r="Q4753" s="24"/>
      <c r="R4753" s="25"/>
      <c r="S4753" s="25"/>
      <c r="T4753" s="26"/>
      <c r="U4753" s="26"/>
      <c r="V4753" s="25"/>
      <c r="W4753" s="25"/>
      <c r="X4753" s="25"/>
      <c r="Y4753" s="25"/>
      <c r="Z4753" s="25"/>
    </row>
    <row r="4754" spans="1:26" ht="15.75" customHeight="1" x14ac:dyDescent="0.25">
      <c r="A4754" s="25"/>
      <c r="B4754" s="49"/>
      <c r="C4754" s="50"/>
      <c r="D4754" s="23"/>
      <c r="E4754" s="23"/>
      <c r="F4754" s="15"/>
      <c r="G4754" s="23"/>
      <c r="H4754" s="15"/>
      <c r="I4754" s="15"/>
      <c r="J4754" s="51"/>
      <c r="K4754" s="15"/>
      <c r="L4754" s="51"/>
      <c r="M4754" s="15"/>
      <c r="N4754" s="23"/>
      <c r="O4754" s="23"/>
      <c r="P4754" s="15" t="str">
        <f t="shared" si="6"/>
        <v/>
      </c>
      <c r="Q4754" s="24"/>
      <c r="R4754" s="25"/>
      <c r="S4754" s="25"/>
      <c r="T4754" s="26"/>
      <c r="U4754" s="26"/>
      <c r="V4754" s="25"/>
      <c r="W4754" s="25"/>
      <c r="X4754" s="25"/>
      <c r="Y4754" s="25"/>
      <c r="Z4754" s="25"/>
    </row>
    <row r="4755" spans="1:26" ht="15.75" customHeight="1" x14ac:dyDescent="0.25">
      <c r="A4755" s="25"/>
      <c r="B4755" s="49"/>
      <c r="C4755" s="50"/>
      <c r="D4755" s="23"/>
      <c r="E4755" s="23"/>
      <c r="F4755" s="15"/>
      <c r="G4755" s="23"/>
      <c r="H4755" s="15"/>
      <c r="I4755" s="15"/>
      <c r="J4755" s="51"/>
      <c r="K4755" s="15"/>
      <c r="L4755" s="51"/>
      <c r="M4755" s="15"/>
      <c r="N4755" s="23"/>
      <c r="O4755" s="23"/>
      <c r="P4755" s="15" t="str">
        <f t="shared" si="6"/>
        <v/>
      </c>
      <c r="Q4755" s="24"/>
      <c r="R4755" s="25"/>
      <c r="S4755" s="25"/>
      <c r="T4755" s="26"/>
      <c r="U4755" s="26"/>
      <c r="V4755" s="25"/>
      <c r="W4755" s="25"/>
      <c r="X4755" s="25"/>
      <c r="Y4755" s="25"/>
      <c r="Z4755" s="25"/>
    </row>
    <row r="4756" spans="1:26" ht="15.75" customHeight="1" x14ac:dyDescent="0.25">
      <c r="A4756" s="25"/>
      <c r="B4756" s="49"/>
      <c r="C4756" s="50"/>
      <c r="D4756" s="23"/>
      <c r="E4756" s="23"/>
      <c r="F4756" s="15"/>
      <c r="G4756" s="23"/>
      <c r="H4756" s="15"/>
      <c r="I4756" s="15"/>
      <c r="J4756" s="51"/>
      <c r="K4756" s="15"/>
      <c r="L4756" s="51"/>
      <c r="M4756" s="15"/>
      <c r="N4756" s="23"/>
      <c r="O4756" s="23"/>
      <c r="P4756" s="15" t="str">
        <f t="shared" si="6"/>
        <v/>
      </c>
      <c r="Q4756" s="24"/>
      <c r="R4756" s="25"/>
      <c r="S4756" s="25"/>
      <c r="T4756" s="26"/>
      <c r="U4756" s="26"/>
      <c r="V4756" s="25"/>
      <c r="W4756" s="25"/>
      <c r="X4756" s="25"/>
      <c r="Y4756" s="25"/>
      <c r="Z4756" s="25"/>
    </row>
    <row r="4757" spans="1:26" ht="15.75" customHeight="1" x14ac:dyDescent="0.25">
      <c r="A4757" s="25"/>
      <c r="B4757" s="49"/>
      <c r="C4757" s="50"/>
      <c r="D4757" s="23"/>
      <c r="E4757" s="23"/>
      <c r="F4757" s="15"/>
      <c r="G4757" s="23"/>
      <c r="H4757" s="15"/>
      <c r="I4757" s="15"/>
      <c r="J4757" s="51"/>
      <c r="K4757" s="15"/>
      <c r="L4757" s="51"/>
      <c r="M4757" s="15"/>
      <c r="N4757" s="23"/>
      <c r="O4757" s="23"/>
      <c r="P4757" s="15" t="str">
        <f t="shared" si="6"/>
        <v/>
      </c>
      <c r="Q4757" s="24"/>
      <c r="R4757" s="25"/>
      <c r="S4757" s="25"/>
      <c r="T4757" s="26"/>
      <c r="U4757" s="26"/>
      <c r="V4757" s="25"/>
      <c r="W4757" s="25"/>
      <c r="X4757" s="25"/>
      <c r="Y4757" s="25"/>
      <c r="Z4757" s="25"/>
    </row>
    <row r="4758" spans="1:26" ht="15.75" customHeight="1" x14ac:dyDescent="0.25">
      <c r="A4758" s="25"/>
      <c r="B4758" s="49"/>
      <c r="C4758" s="50"/>
      <c r="D4758" s="23"/>
      <c r="E4758" s="23"/>
      <c r="F4758" s="15"/>
      <c r="G4758" s="23"/>
      <c r="H4758" s="15"/>
      <c r="I4758" s="15"/>
      <c r="J4758" s="51"/>
      <c r="K4758" s="15"/>
      <c r="L4758" s="51"/>
      <c r="M4758" s="15"/>
      <c r="N4758" s="23"/>
      <c r="O4758" s="23"/>
      <c r="P4758" s="15" t="str">
        <f t="shared" si="6"/>
        <v/>
      </c>
      <c r="Q4758" s="24"/>
      <c r="R4758" s="25"/>
      <c r="S4758" s="25"/>
      <c r="T4758" s="26"/>
      <c r="U4758" s="26"/>
      <c r="V4758" s="25"/>
      <c r="W4758" s="25"/>
      <c r="X4758" s="25"/>
      <c r="Y4758" s="25"/>
      <c r="Z4758" s="25"/>
    </row>
    <row r="4759" spans="1:26" ht="15.75" customHeight="1" x14ac:dyDescent="0.25">
      <c r="A4759" s="25"/>
      <c r="B4759" s="49"/>
      <c r="C4759" s="50"/>
      <c r="D4759" s="23"/>
      <c r="E4759" s="23"/>
      <c r="F4759" s="15"/>
      <c r="G4759" s="23"/>
      <c r="H4759" s="15"/>
      <c r="I4759" s="15"/>
      <c r="J4759" s="51"/>
      <c r="K4759" s="15"/>
      <c r="L4759" s="51"/>
      <c r="M4759" s="15"/>
      <c r="N4759" s="23"/>
      <c r="O4759" s="23"/>
      <c r="P4759" s="15" t="str">
        <f t="shared" si="6"/>
        <v/>
      </c>
      <c r="Q4759" s="24"/>
      <c r="R4759" s="25"/>
      <c r="S4759" s="25"/>
      <c r="T4759" s="26"/>
      <c r="U4759" s="26"/>
      <c r="V4759" s="25"/>
      <c r="W4759" s="25"/>
      <c r="X4759" s="25"/>
      <c r="Y4759" s="25"/>
      <c r="Z4759" s="25"/>
    </row>
    <row r="4760" spans="1:26" ht="15.75" customHeight="1" x14ac:dyDescent="0.25">
      <c r="A4760" s="25"/>
      <c r="B4760" s="49"/>
      <c r="C4760" s="50"/>
      <c r="D4760" s="23"/>
      <c r="E4760" s="23"/>
      <c r="F4760" s="15"/>
      <c r="G4760" s="23"/>
      <c r="H4760" s="15"/>
      <c r="I4760" s="15"/>
      <c r="J4760" s="51"/>
      <c r="K4760" s="15"/>
      <c r="L4760" s="51"/>
      <c r="M4760" s="15"/>
      <c r="N4760" s="23"/>
      <c r="O4760" s="23"/>
      <c r="P4760" s="15" t="str">
        <f t="shared" si="6"/>
        <v/>
      </c>
      <c r="Q4760" s="24"/>
      <c r="R4760" s="25"/>
      <c r="S4760" s="25"/>
      <c r="T4760" s="26"/>
      <c r="U4760" s="26"/>
      <c r="V4760" s="25"/>
      <c r="W4760" s="25"/>
      <c r="X4760" s="25"/>
      <c r="Y4760" s="25"/>
      <c r="Z4760" s="25"/>
    </row>
    <row r="4761" spans="1:26" ht="15.75" customHeight="1" x14ac:dyDescent="0.25">
      <c r="A4761" s="25"/>
      <c r="B4761" s="49"/>
      <c r="C4761" s="50"/>
      <c r="D4761" s="23"/>
      <c r="E4761" s="23"/>
      <c r="F4761" s="15"/>
      <c r="G4761" s="23"/>
      <c r="H4761" s="15"/>
      <c r="I4761" s="15"/>
      <c r="J4761" s="51"/>
      <c r="K4761" s="15"/>
      <c r="L4761" s="51"/>
      <c r="M4761" s="15"/>
      <c r="N4761" s="23"/>
      <c r="O4761" s="23"/>
      <c r="P4761" s="15" t="str">
        <f t="shared" si="6"/>
        <v/>
      </c>
      <c r="Q4761" s="24"/>
      <c r="R4761" s="25"/>
      <c r="S4761" s="25"/>
      <c r="T4761" s="26"/>
      <c r="U4761" s="26"/>
      <c r="V4761" s="25"/>
      <c r="W4761" s="25"/>
      <c r="X4761" s="25"/>
      <c r="Y4761" s="25"/>
      <c r="Z4761" s="25"/>
    </row>
    <row r="4762" spans="1:26" ht="15.75" customHeight="1" x14ac:dyDescent="0.25">
      <c r="A4762" s="25"/>
      <c r="B4762" s="49"/>
      <c r="C4762" s="50"/>
      <c r="D4762" s="23"/>
      <c r="E4762" s="23"/>
      <c r="F4762" s="15"/>
      <c r="G4762" s="23"/>
      <c r="H4762" s="15"/>
      <c r="I4762" s="15"/>
      <c r="J4762" s="51"/>
      <c r="K4762" s="15"/>
      <c r="L4762" s="51"/>
      <c r="M4762" s="15"/>
      <c r="N4762" s="23"/>
      <c r="O4762" s="23"/>
      <c r="P4762" s="15" t="str">
        <f t="shared" si="6"/>
        <v/>
      </c>
      <c r="Q4762" s="24"/>
      <c r="R4762" s="25"/>
      <c r="S4762" s="25"/>
      <c r="T4762" s="26"/>
      <c r="U4762" s="26"/>
      <c r="V4762" s="25"/>
      <c r="W4762" s="25"/>
      <c r="X4762" s="25"/>
      <c r="Y4762" s="25"/>
      <c r="Z4762" s="25"/>
    </row>
    <row r="4763" spans="1:26" ht="15.75" customHeight="1" x14ac:dyDescent="0.25">
      <c r="A4763" s="25"/>
      <c r="B4763" s="49"/>
      <c r="C4763" s="50"/>
      <c r="D4763" s="23"/>
      <c r="E4763" s="23"/>
      <c r="F4763" s="15"/>
      <c r="G4763" s="23"/>
      <c r="H4763" s="15"/>
      <c r="I4763" s="15"/>
      <c r="J4763" s="51"/>
      <c r="K4763" s="15"/>
      <c r="L4763" s="51"/>
      <c r="M4763" s="15"/>
      <c r="N4763" s="23"/>
      <c r="O4763" s="23"/>
      <c r="P4763" s="15" t="str">
        <f t="shared" si="6"/>
        <v/>
      </c>
      <c r="Q4763" s="24"/>
      <c r="R4763" s="25"/>
      <c r="S4763" s="25"/>
      <c r="T4763" s="26"/>
      <c r="U4763" s="26"/>
      <c r="V4763" s="25"/>
      <c r="W4763" s="25"/>
      <c r="X4763" s="25"/>
      <c r="Y4763" s="25"/>
      <c r="Z4763" s="25"/>
    </row>
    <row r="4764" spans="1:26" ht="15.75" customHeight="1" x14ac:dyDescent="0.25">
      <c r="A4764" s="25"/>
      <c r="B4764" s="49"/>
      <c r="C4764" s="50"/>
      <c r="D4764" s="23"/>
      <c r="E4764" s="23"/>
      <c r="F4764" s="15"/>
      <c r="G4764" s="23"/>
      <c r="H4764" s="15"/>
      <c r="I4764" s="15"/>
      <c r="J4764" s="51"/>
      <c r="K4764" s="15"/>
      <c r="L4764" s="51"/>
      <c r="M4764" s="15"/>
      <c r="N4764" s="23"/>
      <c r="O4764" s="23"/>
      <c r="P4764" s="15" t="str">
        <f t="shared" si="6"/>
        <v/>
      </c>
      <c r="Q4764" s="24"/>
      <c r="R4764" s="25"/>
      <c r="S4764" s="25"/>
      <c r="T4764" s="26"/>
      <c r="U4764" s="26"/>
      <c r="V4764" s="25"/>
      <c r="W4764" s="25"/>
      <c r="X4764" s="25"/>
      <c r="Y4764" s="25"/>
      <c r="Z4764" s="25"/>
    </row>
    <row r="4765" spans="1:26" ht="15.75" customHeight="1" x14ac:dyDescent="0.25">
      <c r="A4765" s="25"/>
      <c r="B4765" s="49"/>
      <c r="C4765" s="50"/>
      <c r="D4765" s="23"/>
      <c r="E4765" s="23"/>
      <c r="F4765" s="15"/>
      <c r="G4765" s="23"/>
      <c r="H4765" s="15"/>
      <c r="I4765" s="15"/>
      <c r="J4765" s="51"/>
      <c r="K4765" s="15"/>
      <c r="L4765" s="51"/>
      <c r="M4765" s="15"/>
      <c r="N4765" s="23"/>
      <c r="O4765" s="23"/>
      <c r="P4765" s="15" t="str">
        <f t="shared" si="6"/>
        <v/>
      </c>
      <c r="Q4765" s="24"/>
      <c r="R4765" s="25"/>
      <c r="S4765" s="25"/>
      <c r="T4765" s="26"/>
      <c r="U4765" s="26"/>
      <c r="V4765" s="25"/>
      <c r="W4765" s="25"/>
      <c r="X4765" s="25"/>
      <c r="Y4765" s="25"/>
      <c r="Z4765" s="25"/>
    </row>
    <row r="4766" spans="1:26" ht="15.75" customHeight="1" x14ac:dyDescent="0.25">
      <c r="A4766" s="25"/>
      <c r="B4766" s="49"/>
      <c r="C4766" s="50"/>
      <c r="D4766" s="23"/>
      <c r="E4766" s="23"/>
      <c r="F4766" s="15"/>
      <c r="G4766" s="23"/>
      <c r="H4766" s="15"/>
      <c r="I4766" s="15"/>
      <c r="J4766" s="51"/>
      <c r="K4766" s="15"/>
      <c r="L4766" s="51"/>
      <c r="M4766" s="15"/>
      <c r="N4766" s="23"/>
      <c r="O4766" s="23"/>
      <c r="P4766" s="15" t="str">
        <f t="shared" si="6"/>
        <v/>
      </c>
      <c r="Q4766" s="24"/>
      <c r="R4766" s="25"/>
      <c r="S4766" s="25"/>
      <c r="T4766" s="26"/>
      <c r="U4766" s="26"/>
      <c r="V4766" s="25"/>
      <c r="W4766" s="25"/>
      <c r="X4766" s="25"/>
      <c r="Y4766" s="25"/>
      <c r="Z4766" s="25"/>
    </row>
    <row r="4767" spans="1:26" ht="15.75" customHeight="1" x14ac:dyDescent="0.25">
      <c r="A4767" s="25"/>
      <c r="B4767" s="49"/>
      <c r="C4767" s="50"/>
      <c r="D4767" s="23"/>
      <c r="E4767" s="23"/>
      <c r="F4767" s="15"/>
      <c r="G4767" s="23"/>
      <c r="H4767" s="15"/>
      <c r="I4767" s="15"/>
      <c r="J4767" s="51"/>
      <c r="K4767" s="15"/>
      <c r="L4767" s="51"/>
      <c r="M4767" s="15"/>
      <c r="N4767" s="23"/>
      <c r="O4767" s="23"/>
      <c r="P4767" s="15" t="str">
        <f t="shared" si="6"/>
        <v/>
      </c>
      <c r="Q4767" s="24"/>
      <c r="R4767" s="25"/>
      <c r="S4767" s="25"/>
      <c r="T4767" s="26"/>
      <c r="U4767" s="26"/>
      <c r="V4767" s="25"/>
      <c r="W4767" s="25"/>
      <c r="X4767" s="25"/>
      <c r="Y4767" s="25"/>
      <c r="Z4767" s="25"/>
    </row>
    <row r="4768" spans="1:26" ht="15.75" customHeight="1" x14ac:dyDescent="0.25">
      <c r="A4768" s="25"/>
      <c r="B4768" s="49"/>
      <c r="C4768" s="50"/>
      <c r="D4768" s="23"/>
      <c r="E4768" s="23"/>
      <c r="F4768" s="15"/>
      <c r="G4768" s="23"/>
      <c r="H4768" s="15"/>
      <c r="I4768" s="15"/>
      <c r="J4768" s="51"/>
      <c r="K4768" s="15"/>
      <c r="L4768" s="51"/>
      <c r="M4768" s="15"/>
      <c r="N4768" s="23"/>
      <c r="O4768" s="23"/>
      <c r="P4768" s="15" t="str">
        <f t="shared" si="6"/>
        <v/>
      </c>
      <c r="Q4768" s="24"/>
      <c r="R4768" s="25"/>
      <c r="S4768" s="25"/>
      <c r="T4768" s="26"/>
      <c r="U4768" s="26"/>
      <c r="V4768" s="25"/>
      <c r="W4768" s="25"/>
      <c r="X4768" s="25"/>
      <c r="Y4768" s="25"/>
      <c r="Z4768" s="25"/>
    </row>
    <row r="4769" spans="1:26" ht="15.75" customHeight="1" x14ac:dyDescent="0.25">
      <c r="A4769" s="25"/>
      <c r="B4769" s="49"/>
      <c r="C4769" s="50"/>
      <c r="D4769" s="23"/>
      <c r="E4769" s="23"/>
      <c r="F4769" s="15"/>
      <c r="G4769" s="23"/>
      <c r="H4769" s="15"/>
      <c r="I4769" s="15"/>
      <c r="J4769" s="51"/>
      <c r="K4769" s="15"/>
      <c r="L4769" s="51"/>
      <c r="M4769" s="15"/>
      <c r="N4769" s="23"/>
      <c r="O4769" s="23"/>
      <c r="P4769" s="15" t="str">
        <f t="shared" si="6"/>
        <v/>
      </c>
      <c r="Q4769" s="24"/>
      <c r="R4769" s="25"/>
      <c r="S4769" s="25"/>
      <c r="T4769" s="26"/>
      <c r="U4769" s="26"/>
      <c r="V4769" s="25"/>
      <c r="W4769" s="25"/>
      <c r="X4769" s="25"/>
      <c r="Y4769" s="25"/>
      <c r="Z4769" s="25"/>
    </row>
    <row r="4770" spans="1:26" ht="15.75" customHeight="1" x14ac:dyDescent="0.25">
      <c r="A4770" s="25"/>
      <c r="B4770" s="49"/>
      <c r="C4770" s="50"/>
      <c r="D4770" s="23"/>
      <c r="E4770" s="23"/>
      <c r="F4770" s="15"/>
      <c r="G4770" s="23"/>
      <c r="H4770" s="15"/>
      <c r="I4770" s="15"/>
      <c r="J4770" s="51"/>
      <c r="K4770" s="15"/>
      <c r="L4770" s="51"/>
      <c r="M4770" s="15"/>
      <c r="N4770" s="23"/>
      <c r="O4770" s="23"/>
      <c r="P4770" s="15" t="str">
        <f t="shared" si="6"/>
        <v/>
      </c>
      <c r="Q4770" s="24"/>
      <c r="R4770" s="25"/>
      <c r="S4770" s="25"/>
      <c r="T4770" s="26"/>
      <c r="U4770" s="26"/>
      <c r="V4770" s="25"/>
      <c r="W4770" s="25"/>
      <c r="X4770" s="25"/>
      <c r="Y4770" s="25"/>
      <c r="Z4770" s="25"/>
    </row>
    <row r="4771" spans="1:26" ht="15.75" customHeight="1" x14ac:dyDescent="0.25">
      <c r="A4771" s="25"/>
      <c r="B4771" s="49"/>
      <c r="C4771" s="50"/>
      <c r="D4771" s="23"/>
      <c r="E4771" s="23"/>
      <c r="F4771" s="15"/>
      <c r="G4771" s="23"/>
      <c r="H4771" s="15"/>
      <c r="I4771" s="15"/>
      <c r="J4771" s="51"/>
      <c r="K4771" s="15"/>
      <c r="L4771" s="51"/>
      <c r="M4771" s="15"/>
      <c r="N4771" s="23"/>
      <c r="O4771" s="23"/>
      <c r="P4771" s="15" t="str">
        <f t="shared" si="6"/>
        <v/>
      </c>
      <c r="Q4771" s="24"/>
      <c r="R4771" s="25"/>
      <c r="S4771" s="25"/>
      <c r="T4771" s="26"/>
      <c r="U4771" s="26"/>
      <c r="V4771" s="25"/>
      <c r="W4771" s="25"/>
      <c r="X4771" s="25"/>
      <c r="Y4771" s="25"/>
      <c r="Z4771" s="25"/>
    </row>
    <row r="4772" spans="1:26" ht="15.75" customHeight="1" x14ac:dyDescent="0.25">
      <c r="A4772" s="25"/>
      <c r="B4772" s="49"/>
      <c r="C4772" s="50"/>
      <c r="D4772" s="23"/>
      <c r="E4772" s="23"/>
      <c r="F4772" s="15"/>
      <c r="G4772" s="23"/>
      <c r="H4772" s="15"/>
      <c r="I4772" s="15"/>
      <c r="J4772" s="51"/>
      <c r="K4772" s="15"/>
      <c r="L4772" s="51"/>
      <c r="M4772" s="15"/>
      <c r="N4772" s="23"/>
      <c r="O4772" s="23"/>
      <c r="P4772" s="15" t="str">
        <f t="shared" si="6"/>
        <v/>
      </c>
      <c r="Q4772" s="24"/>
      <c r="R4772" s="25"/>
      <c r="S4772" s="25"/>
      <c r="T4772" s="26"/>
      <c r="U4772" s="26"/>
      <c r="V4772" s="25"/>
      <c r="W4772" s="25"/>
      <c r="X4772" s="25"/>
      <c r="Y4772" s="25"/>
      <c r="Z4772" s="25"/>
    </row>
    <row r="4773" spans="1:26" ht="15.75" customHeight="1" x14ac:dyDescent="0.25">
      <c r="A4773" s="25"/>
      <c r="B4773" s="49"/>
      <c r="C4773" s="50"/>
      <c r="D4773" s="23"/>
      <c r="E4773" s="23"/>
      <c r="F4773" s="15"/>
      <c r="G4773" s="23"/>
      <c r="H4773" s="15"/>
      <c r="I4773" s="15"/>
      <c r="J4773" s="51"/>
      <c r="K4773" s="15"/>
      <c r="L4773" s="51"/>
      <c r="M4773" s="15"/>
      <c r="N4773" s="23"/>
      <c r="O4773" s="23"/>
      <c r="P4773" s="15" t="str">
        <f t="shared" si="6"/>
        <v/>
      </c>
      <c r="Q4773" s="24"/>
      <c r="R4773" s="25"/>
      <c r="S4773" s="25"/>
      <c r="T4773" s="26"/>
      <c r="U4773" s="26"/>
      <c r="V4773" s="25"/>
      <c r="W4773" s="25"/>
      <c r="X4773" s="25"/>
      <c r="Y4773" s="25"/>
      <c r="Z4773" s="25"/>
    </row>
    <row r="4774" spans="1:26" ht="15.75" customHeight="1" x14ac:dyDescent="0.25">
      <c r="A4774" s="25"/>
      <c r="B4774" s="49"/>
      <c r="C4774" s="50"/>
      <c r="D4774" s="23"/>
      <c r="E4774" s="23"/>
      <c r="F4774" s="15"/>
      <c r="G4774" s="23"/>
      <c r="H4774" s="15"/>
      <c r="I4774" s="15"/>
      <c r="J4774" s="51"/>
      <c r="K4774" s="15"/>
      <c r="L4774" s="51"/>
      <c r="M4774" s="15"/>
      <c r="N4774" s="23"/>
      <c r="O4774" s="23"/>
      <c r="P4774" s="15" t="str">
        <f t="shared" si="6"/>
        <v/>
      </c>
      <c r="Q4774" s="24"/>
      <c r="R4774" s="25"/>
      <c r="S4774" s="25"/>
      <c r="T4774" s="26"/>
      <c r="U4774" s="26"/>
      <c r="V4774" s="25"/>
      <c r="W4774" s="25"/>
      <c r="X4774" s="25"/>
      <c r="Y4774" s="25"/>
      <c r="Z4774" s="25"/>
    </row>
    <row r="4775" spans="1:26" ht="15.75" customHeight="1" x14ac:dyDescent="0.25">
      <c r="A4775" s="25"/>
      <c r="B4775" s="49"/>
      <c r="C4775" s="50"/>
      <c r="D4775" s="23"/>
      <c r="E4775" s="23"/>
      <c r="F4775" s="15"/>
      <c r="G4775" s="23"/>
      <c r="H4775" s="15"/>
      <c r="I4775" s="15"/>
      <c r="J4775" s="51"/>
      <c r="K4775" s="15"/>
      <c r="L4775" s="51"/>
      <c r="M4775" s="15"/>
      <c r="N4775" s="23"/>
      <c r="O4775" s="23"/>
      <c r="P4775" s="15" t="str">
        <f t="shared" si="6"/>
        <v/>
      </c>
      <c r="Q4775" s="24"/>
      <c r="R4775" s="25"/>
      <c r="S4775" s="25"/>
      <c r="T4775" s="26"/>
      <c r="U4775" s="26"/>
      <c r="V4775" s="25"/>
      <c r="W4775" s="25"/>
      <c r="X4775" s="25"/>
      <c r="Y4775" s="25"/>
      <c r="Z4775" s="25"/>
    </row>
    <row r="4776" spans="1:26" ht="15.75" customHeight="1" x14ac:dyDescent="0.25">
      <c r="A4776" s="25"/>
      <c r="B4776" s="49"/>
      <c r="C4776" s="50"/>
      <c r="D4776" s="23"/>
      <c r="E4776" s="23"/>
      <c r="F4776" s="15"/>
      <c r="G4776" s="23"/>
      <c r="H4776" s="15"/>
      <c r="I4776" s="15"/>
      <c r="J4776" s="51"/>
      <c r="K4776" s="15"/>
      <c r="L4776" s="51"/>
      <c r="M4776" s="15"/>
      <c r="N4776" s="23"/>
      <c r="O4776" s="23"/>
      <c r="P4776" s="15" t="str">
        <f t="shared" si="6"/>
        <v/>
      </c>
      <c r="Q4776" s="24"/>
      <c r="R4776" s="25"/>
      <c r="S4776" s="25"/>
      <c r="T4776" s="26"/>
      <c r="U4776" s="26"/>
      <c r="V4776" s="25"/>
      <c r="W4776" s="25"/>
      <c r="X4776" s="25"/>
      <c r="Y4776" s="25"/>
      <c r="Z4776" s="25"/>
    </row>
    <row r="4777" spans="1:26" ht="15.75" customHeight="1" x14ac:dyDescent="0.25">
      <c r="A4777" s="25"/>
      <c r="B4777" s="49"/>
      <c r="C4777" s="50"/>
      <c r="D4777" s="23"/>
      <c r="E4777" s="23"/>
      <c r="F4777" s="15"/>
      <c r="G4777" s="23"/>
      <c r="H4777" s="15"/>
      <c r="I4777" s="15"/>
      <c r="J4777" s="51"/>
      <c r="K4777" s="15"/>
      <c r="L4777" s="51"/>
      <c r="M4777" s="15"/>
      <c r="N4777" s="23"/>
      <c r="O4777" s="23"/>
      <c r="P4777" s="15" t="str">
        <f t="shared" si="6"/>
        <v/>
      </c>
      <c r="Q4777" s="24"/>
      <c r="R4777" s="25"/>
      <c r="S4777" s="25"/>
      <c r="T4777" s="26"/>
      <c r="U4777" s="26"/>
      <c r="V4777" s="25"/>
      <c r="W4777" s="25"/>
      <c r="X4777" s="25"/>
      <c r="Y4777" s="25"/>
      <c r="Z4777" s="25"/>
    </row>
    <row r="4778" spans="1:26" ht="15.75" customHeight="1" x14ac:dyDescent="0.25">
      <c r="A4778" s="25"/>
      <c r="B4778" s="49"/>
      <c r="C4778" s="50"/>
      <c r="D4778" s="23"/>
      <c r="E4778" s="23"/>
      <c r="F4778" s="15"/>
      <c r="G4778" s="23"/>
      <c r="H4778" s="15"/>
      <c r="I4778" s="15"/>
      <c r="J4778" s="51"/>
      <c r="K4778" s="15"/>
      <c r="L4778" s="51"/>
      <c r="M4778" s="15"/>
      <c r="N4778" s="23"/>
      <c r="O4778" s="23"/>
      <c r="P4778" s="15" t="str">
        <f t="shared" si="6"/>
        <v/>
      </c>
      <c r="Q4778" s="24"/>
      <c r="R4778" s="25"/>
      <c r="S4778" s="25"/>
      <c r="T4778" s="26"/>
      <c r="U4778" s="26"/>
      <c r="V4778" s="25"/>
      <c r="W4778" s="25"/>
      <c r="X4778" s="25"/>
      <c r="Y4778" s="25"/>
      <c r="Z4778" s="25"/>
    </row>
    <row r="4779" spans="1:26" ht="15.75" customHeight="1" x14ac:dyDescent="0.25">
      <c r="A4779" s="25"/>
      <c r="B4779" s="49"/>
      <c r="C4779" s="50"/>
      <c r="D4779" s="23"/>
      <c r="E4779" s="23"/>
      <c r="F4779" s="15"/>
      <c r="G4779" s="23"/>
      <c r="H4779" s="15"/>
      <c r="I4779" s="15"/>
      <c r="J4779" s="51"/>
      <c r="K4779" s="15"/>
      <c r="L4779" s="51"/>
      <c r="M4779" s="15"/>
      <c r="N4779" s="23"/>
      <c r="O4779" s="23"/>
      <c r="P4779" s="15" t="str">
        <f t="shared" si="6"/>
        <v/>
      </c>
      <c r="Q4779" s="24"/>
      <c r="R4779" s="25"/>
      <c r="S4779" s="25"/>
      <c r="T4779" s="26"/>
      <c r="U4779" s="26"/>
      <c r="V4779" s="25"/>
      <c r="W4779" s="25"/>
      <c r="X4779" s="25"/>
      <c r="Y4779" s="25"/>
      <c r="Z4779" s="25"/>
    </row>
    <row r="4780" spans="1:26" ht="15.75" customHeight="1" x14ac:dyDescent="0.25">
      <c r="A4780" s="25"/>
      <c r="B4780" s="49"/>
      <c r="C4780" s="50"/>
      <c r="D4780" s="23"/>
      <c r="E4780" s="23"/>
      <c r="F4780" s="15"/>
      <c r="G4780" s="23"/>
      <c r="H4780" s="15"/>
      <c r="I4780" s="15"/>
      <c r="J4780" s="51"/>
      <c r="K4780" s="15"/>
      <c r="L4780" s="51"/>
      <c r="M4780" s="15"/>
      <c r="N4780" s="23"/>
      <c r="O4780" s="23"/>
      <c r="P4780" s="15" t="str">
        <f t="shared" si="6"/>
        <v/>
      </c>
      <c r="Q4780" s="24"/>
      <c r="R4780" s="25"/>
      <c r="S4780" s="25"/>
      <c r="T4780" s="26"/>
      <c r="U4780" s="26"/>
      <c r="V4780" s="25"/>
      <c r="W4780" s="25"/>
      <c r="X4780" s="25"/>
      <c r="Y4780" s="25"/>
      <c r="Z4780" s="25"/>
    </row>
    <row r="4781" spans="1:26" ht="15.75" customHeight="1" x14ac:dyDescent="0.25">
      <c r="A4781" s="25"/>
      <c r="B4781" s="49"/>
      <c r="C4781" s="50"/>
      <c r="D4781" s="23"/>
      <c r="E4781" s="23"/>
      <c r="F4781" s="15"/>
      <c r="G4781" s="23"/>
      <c r="H4781" s="15"/>
      <c r="I4781" s="15"/>
      <c r="J4781" s="51"/>
      <c r="K4781" s="15"/>
      <c r="L4781" s="51"/>
      <c r="M4781" s="15"/>
      <c r="N4781" s="23"/>
      <c r="O4781" s="23"/>
      <c r="P4781" s="15" t="str">
        <f t="shared" si="6"/>
        <v/>
      </c>
      <c r="Q4781" s="24"/>
      <c r="R4781" s="25"/>
      <c r="S4781" s="25"/>
      <c r="T4781" s="26"/>
      <c r="U4781" s="26"/>
      <c r="V4781" s="25"/>
      <c r="W4781" s="25"/>
      <c r="X4781" s="25"/>
      <c r="Y4781" s="25"/>
      <c r="Z4781" s="25"/>
    </row>
    <row r="4782" spans="1:26" ht="15.75" customHeight="1" x14ac:dyDescent="0.25">
      <c r="A4782" s="25"/>
      <c r="B4782" s="49"/>
      <c r="C4782" s="50"/>
      <c r="D4782" s="23"/>
      <c r="E4782" s="23"/>
      <c r="F4782" s="15"/>
      <c r="G4782" s="23"/>
      <c r="H4782" s="15"/>
      <c r="I4782" s="15"/>
      <c r="J4782" s="51"/>
      <c r="K4782" s="15"/>
      <c r="L4782" s="51"/>
      <c r="M4782" s="15"/>
      <c r="N4782" s="23"/>
      <c r="O4782" s="23"/>
      <c r="P4782" s="15" t="str">
        <f t="shared" si="6"/>
        <v/>
      </c>
      <c r="Q4782" s="24"/>
      <c r="R4782" s="25"/>
      <c r="S4782" s="25"/>
      <c r="T4782" s="26"/>
      <c r="U4782" s="26"/>
      <c r="V4782" s="25"/>
      <c r="W4782" s="25"/>
      <c r="X4782" s="25"/>
      <c r="Y4782" s="25"/>
      <c r="Z4782" s="25"/>
    </row>
    <row r="4783" spans="1:26" ht="15.75" customHeight="1" x14ac:dyDescent="0.25">
      <c r="A4783" s="25"/>
      <c r="B4783" s="49"/>
      <c r="C4783" s="50"/>
      <c r="D4783" s="23"/>
      <c r="E4783" s="23"/>
      <c r="F4783" s="15"/>
      <c r="G4783" s="23"/>
      <c r="H4783" s="15"/>
      <c r="I4783" s="15"/>
      <c r="J4783" s="51"/>
      <c r="K4783" s="15"/>
      <c r="L4783" s="51"/>
      <c r="M4783" s="15"/>
      <c r="N4783" s="23"/>
      <c r="O4783" s="23"/>
      <c r="P4783" s="15" t="str">
        <f t="shared" si="6"/>
        <v/>
      </c>
      <c r="Q4783" s="24"/>
      <c r="R4783" s="25"/>
      <c r="S4783" s="25"/>
      <c r="T4783" s="26"/>
      <c r="U4783" s="26"/>
      <c r="V4783" s="25"/>
      <c r="W4783" s="25"/>
      <c r="X4783" s="25"/>
      <c r="Y4783" s="25"/>
      <c r="Z4783" s="25"/>
    </row>
    <row r="4784" spans="1:26" ht="15.75" customHeight="1" x14ac:dyDescent="0.25">
      <c r="A4784" s="25"/>
      <c r="B4784" s="49"/>
      <c r="C4784" s="50"/>
      <c r="D4784" s="23"/>
      <c r="E4784" s="23"/>
      <c r="F4784" s="15"/>
      <c r="G4784" s="23"/>
      <c r="H4784" s="15"/>
      <c r="I4784" s="15"/>
      <c r="J4784" s="51"/>
      <c r="K4784" s="15"/>
      <c r="L4784" s="51"/>
      <c r="M4784" s="15"/>
      <c r="N4784" s="23"/>
      <c r="O4784" s="23"/>
      <c r="P4784" s="15" t="str">
        <f t="shared" si="6"/>
        <v/>
      </c>
      <c r="Q4784" s="24"/>
      <c r="R4784" s="25"/>
      <c r="S4784" s="25"/>
      <c r="T4784" s="26"/>
      <c r="U4784" s="26"/>
      <c r="V4784" s="25"/>
      <c r="W4784" s="25"/>
      <c r="X4784" s="25"/>
      <c r="Y4784" s="25"/>
      <c r="Z4784" s="25"/>
    </row>
    <row r="4785" spans="1:26" ht="15.75" customHeight="1" x14ac:dyDescent="0.25">
      <c r="A4785" s="25"/>
      <c r="B4785" s="49"/>
      <c r="C4785" s="50"/>
      <c r="D4785" s="23"/>
      <c r="E4785" s="23"/>
      <c r="F4785" s="15"/>
      <c r="G4785" s="23"/>
      <c r="H4785" s="15"/>
      <c r="I4785" s="15"/>
      <c r="J4785" s="51"/>
      <c r="K4785" s="15"/>
      <c r="L4785" s="51"/>
      <c r="M4785" s="15"/>
      <c r="N4785" s="23"/>
      <c r="O4785" s="23"/>
      <c r="P4785" s="15" t="str">
        <f t="shared" si="6"/>
        <v/>
      </c>
      <c r="Q4785" s="24"/>
      <c r="R4785" s="25"/>
      <c r="S4785" s="25"/>
      <c r="T4785" s="26"/>
      <c r="U4785" s="26"/>
      <c r="V4785" s="25"/>
      <c r="W4785" s="25"/>
      <c r="X4785" s="25"/>
      <c r="Y4785" s="25"/>
      <c r="Z4785" s="25"/>
    </row>
    <row r="4786" spans="1:26" ht="15.75" customHeight="1" x14ac:dyDescent="0.25">
      <c r="A4786" s="25"/>
      <c r="B4786" s="49"/>
      <c r="C4786" s="50"/>
      <c r="D4786" s="23"/>
      <c r="E4786" s="23"/>
      <c r="F4786" s="15"/>
      <c r="G4786" s="23"/>
      <c r="H4786" s="15"/>
      <c r="I4786" s="15"/>
      <c r="J4786" s="51"/>
      <c r="K4786" s="15"/>
      <c r="L4786" s="51"/>
      <c r="M4786" s="15"/>
      <c r="N4786" s="23"/>
      <c r="O4786" s="23"/>
      <c r="P4786" s="15" t="str">
        <f t="shared" si="6"/>
        <v/>
      </c>
      <c r="Q4786" s="24"/>
      <c r="R4786" s="25"/>
      <c r="S4786" s="25"/>
      <c r="T4786" s="26"/>
      <c r="U4786" s="26"/>
      <c r="V4786" s="25"/>
      <c r="W4786" s="25"/>
      <c r="X4786" s="25"/>
      <c r="Y4786" s="25"/>
      <c r="Z4786" s="25"/>
    </row>
    <row r="4787" spans="1:26" ht="15.75" customHeight="1" x14ac:dyDescent="0.25">
      <c r="A4787" s="25"/>
      <c r="B4787" s="49"/>
      <c r="C4787" s="50"/>
      <c r="D4787" s="23"/>
      <c r="E4787" s="23"/>
      <c r="F4787" s="15"/>
      <c r="G4787" s="23"/>
      <c r="H4787" s="15"/>
      <c r="I4787" s="15"/>
      <c r="J4787" s="51"/>
      <c r="K4787" s="15"/>
      <c r="L4787" s="51"/>
      <c r="M4787" s="15"/>
      <c r="N4787" s="23"/>
      <c r="O4787" s="23"/>
      <c r="P4787" s="15" t="str">
        <f t="shared" si="6"/>
        <v/>
      </c>
      <c r="Q4787" s="24"/>
      <c r="R4787" s="25"/>
      <c r="S4787" s="25"/>
      <c r="T4787" s="26"/>
      <c r="U4787" s="26"/>
      <c r="V4787" s="25"/>
      <c r="W4787" s="25"/>
      <c r="X4787" s="25"/>
      <c r="Y4787" s="25"/>
      <c r="Z4787" s="25"/>
    </row>
    <row r="4788" spans="1:26" ht="15.75" customHeight="1" x14ac:dyDescent="0.25">
      <c r="A4788" s="25"/>
      <c r="B4788" s="49"/>
      <c r="C4788" s="50"/>
      <c r="D4788" s="23"/>
      <c r="E4788" s="23"/>
      <c r="F4788" s="15"/>
      <c r="G4788" s="23"/>
      <c r="H4788" s="15"/>
      <c r="I4788" s="15"/>
      <c r="J4788" s="51"/>
      <c r="K4788" s="15"/>
      <c r="L4788" s="51"/>
      <c r="M4788" s="15"/>
      <c r="N4788" s="23"/>
      <c r="O4788" s="23"/>
      <c r="P4788" s="15" t="str">
        <f t="shared" si="6"/>
        <v/>
      </c>
      <c r="Q4788" s="24"/>
      <c r="R4788" s="25"/>
      <c r="S4788" s="25"/>
      <c r="T4788" s="26"/>
      <c r="U4788" s="26"/>
      <c r="V4788" s="25"/>
      <c r="W4788" s="25"/>
      <c r="X4788" s="25"/>
      <c r="Y4788" s="25"/>
      <c r="Z4788" s="25"/>
    </row>
    <row r="4789" spans="1:26" ht="15.75" customHeight="1" x14ac:dyDescent="0.25">
      <c r="A4789" s="25"/>
      <c r="B4789" s="49"/>
      <c r="C4789" s="50"/>
      <c r="D4789" s="23"/>
      <c r="E4789" s="23"/>
      <c r="F4789" s="15"/>
      <c r="G4789" s="23"/>
      <c r="H4789" s="15"/>
      <c r="I4789" s="15"/>
      <c r="J4789" s="51"/>
      <c r="K4789" s="15"/>
      <c r="L4789" s="51"/>
      <c r="M4789" s="15"/>
      <c r="N4789" s="23"/>
      <c r="O4789" s="23"/>
      <c r="P4789" s="15" t="str">
        <f t="shared" si="6"/>
        <v/>
      </c>
      <c r="Q4789" s="24"/>
      <c r="R4789" s="25"/>
      <c r="S4789" s="25"/>
      <c r="T4789" s="26"/>
      <c r="U4789" s="26"/>
      <c r="V4789" s="25"/>
      <c r="W4789" s="25"/>
      <c r="X4789" s="25"/>
      <c r="Y4789" s="25"/>
      <c r="Z4789" s="25"/>
    </row>
    <row r="4790" spans="1:26" ht="15.75" customHeight="1" x14ac:dyDescent="0.25">
      <c r="A4790" s="25"/>
      <c r="B4790" s="49"/>
      <c r="C4790" s="50"/>
      <c r="D4790" s="23"/>
      <c r="E4790" s="23"/>
      <c r="F4790" s="15"/>
      <c r="G4790" s="23"/>
      <c r="H4790" s="15"/>
      <c r="I4790" s="15"/>
      <c r="J4790" s="51"/>
      <c r="K4790" s="15"/>
      <c r="L4790" s="51"/>
      <c r="M4790" s="15"/>
      <c r="N4790" s="23"/>
      <c r="O4790" s="23"/>
      <c r="P4790" s="15" t="str">
        <f t="shared" si="6"/>
        <v/>
      </c>
      <c r="Q4790" s="24"/>
      <c r="R4790" s="25"/>
      <c r="S4790" s="25"/>
      <c r="T4790" s="26"/>
      <c r="U4790" s="26"/>
      <c r="V4790" s="25"/>
      <c r="W4790" s="25"/>
      <c r="X4790" s="25"/>
      <c r="Y4790" s="25"/>
      <c r="Z4790" s="25"/>
    </row>
    <row r="4791" spans="1:26" ht="15.75" customHeight="1" x14ac:dyDescent="0.25">
      <c r="A4791" s="25"/>
      <c r="B4791" s="49"/>
      <c r="C4791" s="50"/>
      <c r="D4791" s="23"/>
      <c r="E4791" s="23"/>
      <c r="F4791" s="15"/>
      <c r="G4791" s="23"/>
      <c r="H4791" s="15"/>
      <c r="I4791" s="15"/>
      <c r="J4791" s="51"/>
      <c r="K4791" s="15"/>
      <c r="L4791" s="51"/>
      <c r="M4791" s="15"/>
      <c r="N4791" s="23"/>
      <c r="O4791" s="23"/>
      <c r="P4791" s="15" t="str">
        <f t="shared" si="6"/>
        <v/>
      </c>
      <c r="Q4791" s="24"/>
      <c r="R4791" s="25"/>
      <c r="S4791" s="25"/>
      <c r="T4791" s="26"/>
      <c r="U4791" s="26"/>
      <c r="V4791" s="25"/>
      <c r="W4791" s="25"/>
      <c r="X4791" s="25"/>
      <c r="Y4791" s="25"/>
      <c r="Z4791" s="25"/>
    </row>
    <row r="4792" spans="1:26" ht="15.75" customHeight="1" x14ac:dyDescent="0.25">
      <c r="A4792" s="25"/>
      <c r="B4792" s="49"/>
      <c r="C4792" s="50"/>
      <c r="D4792" s="23"/>
      <c r="E4792" s="23"/>
      <c r="F4792" s="15"/>
      <c r="G4792" s="23"/>
      <c r="H4792" s="15"/>
      <c r="I4792" s="15"/>
      <c r="J4792" s="51"/>
      <c r="K4792" s="15"/>
      <c r="L4792" s="51"/>
      <c r="M4792" s="15"/>
      <c r="N4792" s="23"/>
      <c r="O4792" s="23"/>
      <c r="P4792" s="15" t="str">
        <f t="shared" si="6"/>
        <v/>
      </c>
      <c r="Q4792" s="24"/>
      <c r="R4792" s="25"/>
      <c r="S4792" s="25"/>
      <c r="T4792" s="26"/>
      <c r="U4792" s="26"/>
      <c r="V4792" s="25"/>
      <c r="W4792" s="25"/>
      <c r="X4792" s="25"/>
      <c r="Y4792" s="25"/>
      <c r="Z4792" s="25"/>
    </row>
    <row r="4793" spans="1:26" ht="15.75" customHeight="1" x14ac:dyDescent="0.25">
      <c r="A4793" s="25"/>
      <c r="B4793" s="49"/>
      <c r="C4793" s="50"/>
      <c r="D4793" s="23"/>
      <c r="E4793" s="23"/>
      <c r="F4793" s="15"/>
      <c r="G4793" s="23"/>
      <c r="H4793" s="15"/>
      <c r="I4793" s="15"/>
      <c r="J4793" s="51"/>
      <c r="K4793" s="15"/>
      <c r="L4793" s="51"/>
      <c r="M4793" s="15"/>
      <c r="N4793" s="23"/>
      <c r="O4793" s="23"/>
      <c r="P4793" s="15" t="str">
        <f t="shared" si="6"/>
        <v/>
      </c>
      <c r="Q4793" s="24"/>
      <c r="R4793" s="25"/>
      <c r="S4793" s="25"/>
      <c r="T4793" s="26"/>
      <c r="U4793" s="26"/>
      <c r="V4793" s="25"/>
      <c r="W4793" s="25"/>
      <c r="X4793" s="25"/>
      <c r="Y4793" s="25"/>
      <c r="Z4793" s="25"/>
    </row>
    <row r="4794" spans="1:26" ht="15.75" customHeight="1" x14ac:dyDescent="0.25">
      <c r="A4794" s="25"/>
      <c r="B4794" s="49"/>
      <c r="C4794" s="50"/>
      <c r="D4794" s="23"/>
      <c r="E4794" s="23"/>
      <c r="F4794" s="15"/>
      <c r="G4794" s="23"/>
      <c r="H4794" s="15"/>
      <c r="I4794" s="15"/>
      <c r="J4794" s="51"/>
      <c r="K4794" s="15"/>
      <c r="L4794" s="51"/>
      <c r="M4794" s="15"/>
      <c r="N4794" s="23"/>
      <c r="O4794" s="23"/>
      <c r="P4794" s="15" t="str">
        <f t="shared" si="6"/>
        <v/>
      </c>
      <c r="Q4794" s="24"/>
      <c r="R4794" s="25"/>
      <c r="S4794" s="25"/>
      <c r="T4794" s="26"/>
      <c r="U4794" s="26"/>
      <c r="V4794" s="25"/>
      <c r="W4794" s="25"/>
      <c r="X4794" s="25"/>
      <c r="Y4794" s="25"/>
      <c r="Z4794" s="25"/>
    </row>
    <row r="4795" spans="1:26" ht="15.75" customHeight="1" x14ac:dyDescent="0.25">
      <c r="A4795" s="25"/>
      <c r="B4795" s="49"/>
      <c r="C4795" s="50"/>
      <c r="D4795" s="23"/>
      <c r="E4795" s="23"/>
      <c r="F4795" s="15"/>
      <c r="G4795" s="23"/>
      <c r="H4795" s="15"/>
      <c r="I4795" s="15"/>
      <c r="J4795" s="51"/>
      <c r="K4795" s="15"/>
      <c r="L4795" s="51"/>
      <c r="M4795" s="15"/>
      <c r="N4795" s="23"/>
      <c r="O4795" s="23"/>
      <c r="P4795" s="15" t="str">
        <f t="shared" si="6"/>
        <v/>
      </c>
      <c r="Q4795" s="24"/>
      <c r="R4795" s="25"/>
      <c r="S4795" s="25"/>
      <c r="T4795" s="26"/>
      <c r="U4795" s="26"/>
      <c r="V4795" s="25"/>
      <c r="W4795" s="25"/>
      <c r="X4795" s="25"/>
      <c r="Y4795" s="25"/>
      <c r="Z4795" s="25"/>
    </row>
    <row r="4796" spans="1:26" ht="15.75" customHeight="1" x14ac:dyDescent="0.25">
      <c r="A4796" s="25"/>
      <c r="B4796" s="49"/>
      <c r="C4796" s="50"/>
      <c r="D4796" s="23"/>
      <c r="E4796" s="23"/>
      <c r="F4796" s="15"/>
      <c r="G4796" s="23"/>
      <c r="H4796" s="15"/>
      <c r="I4796" s="15"/>
      <c r="J4796" s="51"/>
      <c r="K4796" s="15"/>
      <c r="L4796" s="51"/>
      <c r="M4796" s="15"/>
      <c r="N4796" s="23"/>
      <c r="O4796" s="23"/>
      <c r="P4796" s="15" t="str">
        <f t="shared" si="6"/>
        <v/>
      </c>
      <c r="Q4796" s="24"/>
      <c r="R4796" s="25"/>
      <c r="S4796" s="25"/>
      <c r="T4796" s="26"/>
      <c r="U4796" s="26"/>
      <c r="V4796" s="25"/>
      <c r="W4796" s="25"/>
      <c r="X4796" s="25"/>
      <c r="Y4796" s="25"/>
      <c r="Z4796" s="25"/>
    </row>
    <row r="4797" spans="1:26" ht="15.75" customHeight="1" x14ac:dyDescent="0.25">
      <c r="A4797" s="25"/>
      <c r="B4797" s="49"/>
      <c r="C4797" s="50"/>
      <c r="D4797" s="23"/>
      <c r="E4797" s="23"/>
      <c r="F4797" s="15"/>
      <c r="G4797" s="23"/>
      <c r="H4797" s="15"/>
      <c r="I4797" s="15"/>
      <c r="J4797" s="51"/>
      <c r="K4797" s="15"/>
      <c r="L4797" s="51"/>
      <c r="M4797" s="15"/>
      <c r="N4797" s="23"/>
      <c r="O4797" s="23"/>
      <c r="P4797" s="15" t="str">
        <f t="shared" si="6"/>
        <v/>
      </c>
      <c r="Q4797" s="24"/>
      <c r="R4797" s="25"/>
      <c r="S4797" s="25"/>
      <c r="T4797" s="26"/>
      <c r="U4797" s="26"/>
      <c r="V4797" s="25"/>
      <c r="W4797" s="25"/>
      <c r="X4797" s="25"/>
      <c r="Y4797" s="25"/>
      <c r="Z4797" s="25"/>
    </row>
    <row r="4798" spans="1:26" ht="15.75" customHeight="1" x14ac:dyDescent="0.25">
      <c r="A4798" s="25"/>
      <c r="B4798" s="49"/>
      <c r="C4798" s="50"/>
      <c r="D4798" s="23"/>
      <c r="E4798" s="23"/>
      <c r="F4798" s="15"/>
      <c r="G4798" s="23"/>
      <c r="H4798" s="15"/>
      <c r="I4798" s="15"/>
      <c r="J4798" s="51"/>
      <c r="K4798" s="15"/>
      <c r="L4798" s="51"/>
      <c r="M4798" s="15"/>
      <c r="N4798" s="23"/>
      <c r="O4798" s="23"/>
      <c r="P4798" s="15" t="str">
        <f t="shared" si="6"/>
        <v/>
      </c>
      <c r="Q4798" s="24"/>
      <c r="R4798" s="25"/>
      <c r="S4798" s="25"/>
      <c r="T4798" s="26"/>
      <c r="U4798" s="26"/>
      <c r="V4798" s="25"/>
      <c r="W4798" s="25"/>
      <c r="X4798" s="25"/>
      <c r="Y4798" s="25"/>
      <c r="Z4798" s="25"/>
    </row>
    <row r="4799" spans="1:26" ht="15.75" customHeight="1" x14ac:dyDescent="0.25">
      <c r="A4799" s="25"/>
      <c r="B4799" s="49"/>
      <c r="C4799" s="50"/>
      <c r="D4799" s="23"/>
      <c r="E4799" s="23"/>
      <c r="F4799" s="15"/>
      <c r="G4799" s="23"/>
      <c r="H4799" s="15"/>
      <c r="I4799" s="15"/>
      <c r="J4799" s="51"/>
      <c r="K4799" s="15"/>
      <c r="L4799" s="51"/>
      <c r="M4799" s="15"/>
      <c r="N4799" s="23"/>
      <c r="O4799" s="23"/>
      <c r="P4799" s="15" t="str">
        <f t="shared" si="6"/>
        <v/>
      </c>
      <c r="Q4799" s="24"/>
      <c r="R4799" s="25"/>
      <c r="S4799" s="25"/>
      <c r="T4799" s="26"/>
      <c r="U4799" s="26"/>
      <c r="V4799" s="25"/>
      <c r="W4799" s="25"/>
      <c r="X4799" s="25"/>
      <c r="Y4799" s="25"/>
      <c r="Z4799" s="25"/>
    </row>
    <row r="4800" spans="1:26" ht="15.75" customHeight="1" x14ac:dyDescent="0.25">
      <c r="A4800" s="25"/>
      <c r="B4800" s="49"/>
      <c r="C4800" s="50"/>
      <c r="D4800" s="23"/>
      <c r="E4800" s="23"/>
      <c r="F4800" s="15"/>
      <c r="G4800" s="23"/>
      <c r="H4800" s="15"/>
      <c r="I4800" s="15"/>
      <c r="J4800" s="51"/>
      <c r="K4800" s="15"/>
      <c r="L4800" s="51"/>
      <c r="M4800" s="15"/>
      <c r="N4800" s="23"/>
      <c r="O4800" s="23"/>
      <c r="P4800" s="15" t="str">
        <f t="shared" si="6"/>
        <v/>
      </c>
      <c r="Q4800" s="24"/>
      <c r="R4800" s="25"/>
      <c r="S4800" s="25"/>
      <c r="T4800" s="26"/>
      <c r="U4800" s="26"/>
      <c r="V4800" s="25"/>
      <c r="W4800" s="25"/>
      <c r="X4800" s="25"/>
      <c r="Y4800" s="25"/>
      <c r="Z4800" s="25"/>
    </row>
    <row r="4801" spans="1:26" ht="15.75" customHeight="1" x14ac:dyDescent="0.25">
      <c r="A4801" s="25"/>
      <c r="B4801" s="49"/>
      <c r="C4801" s="50"/>
      <c r="D4801" s="23"/>
      <c r="E4801" s="23"/>
      <c r="F4801" s="15"/>
      <c r="G4801" s="23"/>
      <c r="H4801" s="15"/>
      <c r="I4801" s="15"/>
      <c r="J4801" s="51"/>
      <c r="K4801" s="15"/>
      <c r="L4801" s="51"/>
      <c r="M4801" s="15"/>
      <c r="N4801" s="23"/>
      <c r="O4801" s="23"/>
      <c r="P4801" s="15" t="str">
        <f t="shared" si="6"/>
        <v/>
      </c>
      <c r="Q4801" s="24"/>
      <c r="R4801" s="25"/>
      <c r="S4801" s="25"/>
      <c r="T4801" s="26"/>
      <c r="U4801" s="26"/>
      <c r="V4801" s="25"/>
      <c r="W4801" s="25"/>
      <c r="X4801" s="25"/>
      <c r="Y4801" s="25"/>
      <c r="Z4801" s="25"/>
    </row>
    <row r="4802" spans="1:26" ht="15.75" customHeight="1" x14ac:dyDescent="0.25">
      <c r="A4802" s="25"/>
      <c r="B4802" s="49"/>
      <c r="C4802" s="50"/>
      <c r="D4802" s="23"/>
      <c r="E4802" s="23"/>
      <c r="F4802" s="15"/>
      <c r="G4802" s="23"/>
      <c r="H4802" s="15"/>
      <c r="I4802" s="15"/>
      <c r="J4802" s="51"/>
      <c r="K4802" s="15"/>
      <c r="L4802" s="51"/>
      <c r="M4802" s="15"/>
      <c r="N4802" s="23"/>
      <c r="O4802" s="23"/>
      <c r="P4802" s="15" t="str">
        <f t="shared" si="6"/>
        <v/>
      </c>
      <c r="Q4802" s="24"/>
      <c r="R4802" s="25"/>
      <c r="S4802" s="25"/>
      <c r="T4802" s="26"/>
      <c r="U4802" s="26"/>
      <c r="V4802" s="25"/>
      <c r="W4802" s="25"/>
      <c r="X4802" s="25"/>
      <c r="Y4802" s="25"/>
      <c r="Z4802" s="25"/>
    </row>
    <row r="4803" spans="1:26" ht="15.75" customHeight="1" x14ac:dyDescent="0.25">
      <c r="A4803" s="25"/>
      <c r="B4803" s="49"/>
      <c r="C4803" s="50"/>
      <c r="D4803" s="23"/>
      <c r="E4803" s="23"/>
      <c r="F4803" s="15"/>
      <c r="G4803" s="23"/>
      <c r="H4803" s="15"/>
      <c r="I4803" s="15"/>
      <c r="J4803" s="51"/>
      <c r="K4803" s="15"/>
      <c r="L4803" s="51"/>
      <c r="M4803" s="15"/>
      <c r="N4803" s="23"/>
      <c r="O4803" s="23"/>
      <c r="P4803" s="15" t="str">
        <f t="shared" si="6"/>
        <v/>
      </c>
      <c r="Q4803" s="24"/>
      <c r="R4803" s="25"/>
      <c r="S4803" s="25"/>
      <c r="T4803" s="26"/>
      <c r="U4803" s="26"/>
      <c r="V4803" s="25"/>
      <c r="W4803" s="25"/>
      <c r="X4803" s="25"/>
      <c r="Y4803" s="25"/>
      <c r="Z4803" s="25"/>
    </row>
    <row r="4804" spans="1:26" ht="15.75" customHeight="1" x14ac:dyDescent="0.25">
      <c r="A4804" s="25"/>
      <c r="B4804" s="49"/>
      <c r="C4804" s="50"/>
      <c r="D4804" s="23"/>
      <c r="E4804" s="23"/>
      <c r="F4804" s="15"/>
      <c r="G4804" s="23"/>
      <c r="H4804" s="15"/>
      <c r="I4804" s="15"/>
      <c r="J4804" s="51"/>
      <c r="K4804" s="15"/>
      <c r="L4804" s="51"/>
      <c r="M4804" s="15"/>
      <c r="N4804" s="23"/>
      <c r="O4804" s="23"/>
      <c r="P4804" s="15" t="str">
        <f t="shared" si="6"/>
        <v/>
      </c>
      <c r="Q4804" s="24"/>
      <c r="R4804" s="25"/>
      <c r="S4804" s="25"/>
      <c r="T4804" s="26"/>
      <c r="U4804" s="26"/>
      <c r="V4804" s="25"/>
      <c r="W4804" s="25"/>
      <c r="X4804" s="25"/>
      <c r="Y4804" s="25"/>
      <c r="Z4804" s="25"/>
    </row>
    <row r="4805" spans="1:26" ht="15.75" customHeight="1" x14ac:dyDescent="0.25">
      <c r="A4805" s="25"/>
      <c r="B4805" s="49"/>
      <c r="C4805" s="50"/>
      <c r="D4805" s="23"/>
      <c r="E4805" s="23"/>
      <c r="F4805" s="15"/>
      <c r="G4805" s="23"/>
      <c r="H4805" s="15"/>
      <c r="I4805" s="15"/>
      <c r="J4805" s="51"/>
      <c r="K4805" s="15"/>
      <c r="L4805" s="51"/>
      <c r="M4805" s="15"/>
      <c r="N4805" s="23"/>
      <c r="O4805" s="23"/>
      <c r="P4805" s="15" t="str">
        <f t="shared" si="6"/>
        <v/>
      </c>
      <c r="Q4805" s="24"/>
      <c r="R4805" s="25"/>
      <c r="S4805" s="25"/>
      <c r="T4805" s="26"/>
      <c r="U4805" s="26"/>
      <c r="V4805" s="25"/>
      <c r="W4805" s="25"/>
      <c r="X4805" s="25"/>
      <c r="Y4805" s="25"/>
      <c r="Z4805" s="25"/>
    </row>
    <row r="4806" spans="1:26" ht="15.75" customHeight="1" x14ac:dyDescent="0.25">
      <c r="A4806" s="25"/>
      <c r="B4806" s="49"/>
      <c r="C4806" s="50"/>
      <c r="D4806" s="23"/>
      <c r="E4806" s="23"/>
      <c r="F4806" s="15"/>
      <c r="G4806" s="23"/>
      <c r="H4806" s="15"/>
      <c r="I4806" s="15"/>
      <c r="J4806" s="51"/>
      <c r="K4806" s="15"/>
      <c r="L4806" s="51"/>
      <c r="M4806" s="15"/>
      <c r="N4806" s="23"/>
      <c r="O4806" s="23"/>
      <c r="P4806" s="15" t="str">
        <f t="shared" si="6"/>
        <v/>
      </c>
      <c r="Q4806" s="24"/>
      <c r="R4806" s="25"/>
      <c r="S4806" s="25"/>
      <c r="T4806" s="26"/>
      <c r="U4806" s="26"/>
      <c r="V4806" s="25"/>
      <c r="W4806" s="25"/>
      <c r="X4806" s="25"/>
      <c r="Y4806" s="25"/>
      <c r="Z4806" s="25"/>
    </row>
    <row r="4807" spans="1:26" ht="15.75" customHeight="1" x14ac:dyDescent="0.25">
      <c r="A4807" s="25"/>
      <c r="B4807" s="49"/>
      <c r="C4807" s="50"/>
      <c r="D4807" s="23"/>
      <c r="E4807" s="23"/>
      <c r="F4807" s="15"/>
      <c r="G4807" s="23"/>
      <c r="H4807" s="15"/>
      <c r="I4807" s="15"/>
      <c r="J4807" s="51"/>
      <c r="K4807" s="15"/>
      <c r="L4807" s="51"/>
      <c r="M4807" s="15"/>
      <c r="N4807" s="23"/>
      <c r="O4807" s="23"/>
      <c r="P4807" s="15" t="str">
        <f t="shared" si="6"/>
        <v/>
      </c>
      <c r="Q4807" s="24"/>
      <c r="R4807" s="25"/>
      <c r="S4807" s="25"/>
      <c r="T4807" s="26"/>
      <c r="U4807" s="26"/>
      <c r="V4807" s="25"/>
      <c r="W4807" s="25"/>
      <c r="X4807" s="25"/>
      <c r="Y4807" s="25"/>
      <c r="Z4807" s="25"/>
    </row>
    <row r="4808" spans="1:26" ht="15.75" customHeight="1" x14ac:dyDescent="0.25">
      <c r="A4808" s="25"/>
      <c r="B4808" s="49"/>
      <c r="C4808" s="50"/>
      <c r="D4808" s="23"/>
      <c r="E4808" s="23"/>
      <c r="F4808" s="15"/>
      <c r="G4808" s="23"/>
      <c r="H4808" s="15"/>
      <c r="I4808" s="15"/>
      <c r="J4808" s="51"/>
      <c r="K4808" s="15"/>
      <c r="L4808" s="51"/>
      <c r="M4808" s="15"/>
      <c r="N4808" s="23"/>
      <c r="O4808" s="23"/>
      <c r="P4808" s="15" t="str">
        <f t="shared" si="6"/>
        <v/>
      </c>
      <c r="Q4808" s="24"/>
      <c r="R4808" s="25"/>
      <c r="S4808" s="25"/>
      <c r="T4808" s="26"/>
      <c r="U4808" s="26"/>
      <c r="V4808" s="25"/>
      <c r="W4808" s="25"/>
      <c r="X4808" s="25"/>
      <c r="Y4808" s="25"/>
      <c r="Z4808" s="25"/>
    </row>
    <row r="4809" spans="1:26" ht="15.75" customHeight="1" x14ac:dyDescent="0.25">
      <c r="A4809" s="25"/>
      <c r="B4809" s="49"/>
      <c r="C4809" s="50"/>
      <c r="D4809" s="23"/>
      <c r="E4809" s="23"/>
      <c r="F4809" s="15"/>
      <c r="G4809" s="23"/>
      <c r="H4809" s="15"/>
      <c r="I4809" s="15"/>
      <c r="J4809" s="51"/>
      <c r="K4809" s="15"/>
      <c r="L4809" s="51"/>
      <c r="M4809" s="15"/>
      <c r="N4809" s="23"/>
      <c r="O4809" s="23"/>
      <c r="P4809" s="15" t="str">
        <f t="shared" si="6"/>
        <v/>
      </c>
      <c r="Q4809" s="24"/>
      <c r="R4809" s="25"/>
      <c r="S4809" s="25"/>
      <c r="T4809" s="26"/>
      <c r="U4809" s="26"/>
      <c r="V4809" s="25"/>
      <c r="W4809" s="25"/>
      <c r="X4809" s="25"/>
      <c r="Y4809" s="25"/>
      <c r="Z4809" s="25"/>
    </row>
    <row r="4810" spans="1:26" ht="15.75" customHeight="1" x14ac:dyDescent="0.25">
      <c r="A4810" s="25"/>
      <c r="B4810" s="49"/>
      <c r="C4810" s="50"/>
      <c r="D4810" s="23"/>
      <c r="E4810" s="23"/>
      <c r="F4810" s="15"/>
      <c r="G4810" s="23"/>
      <c r="H4810" s="15"/>
      <c r="I4810" s="15"/>
      <c r="J4810" s="51"/>
      <c r="K4810" s="15"/>
      <c r="L4810" s="51"/>
      <c r="M4810" s="15"/>
      <c r="N4810" s="23"/>
      <c r="O4810" s="23"/>
      <c r="P4810" s="15" t="str">
        <f t="shared" si="6"/>
        <v/>
      </c>
      <c r="Q4810" s="24"/>
      <c r="R4810" s="25"/>
      <c r="S4810" s="25"/>
      <c r="T4810" s="26"/>
      <c r="U4810" s="26"/>
      <c r="V4810" s="25"/>
      <c r="W4810" s="25"/>
      <c r="X4810" s="25"/>
      <c r="Y4810" s="25"/>
      <c r="Z4810" s="25"/>
    </row>
    <row r="4811" spans="1:26" ht="15.75" customHeight="1" x14ac:dyDescent="0.25">
      <c r="A4811" s="25"/>
      <c r="B4811" s="49"/>
      <c r="C4811" s="50"/>
      <c r="D4811" s="23"/>
      <c r="E4811" s="23"/>
      <c r="F4811" s="15"/>
      <c r="G4811" s="23"/>
      <c r="H4811" s="15"/>
      <c r="I4811" s="15"/>
      <c r="J4811" s="51"/>
      <c r="K4811" s="15"/>
      <c r="L4811" s="51"/>
      <c r="M4811" s="15"/>
      <c r="N4811" s="23"/>
      <c r="O4811" s="23"/>
      <c r="P4811" s="15" t="str">
        <f t="shared" si="6"/>
        <v/>
      </c>
      <c r="Q4811" s="24"/>
      <c r="R4811" s="25"/>
      <c r="S4811" s="25"/>
      <c r="T4811" s="26"/>
      <c r="U4811" s="26"/>
      <c r="V4811" s="25"/>
      <c r="W4811" s="25"/>
      <c r="X4811" s="25"/>
      <c r="Y4811" s="25"/>
      <c r="Z4811" s="25"/>
    </row>
    <row r="4812" spans="1:26" ht="15.75" customHeight="1" x14ac:dyDescent="0.25">
      <c r="A4812" s="25"/>
      <c r="B4812" s="49"/>
      <c r="C4812" s="50"/>
      <c r="D4812" s="23"/>
      <c r="E4812" s="23"/>
      <c r="F4812" s="15"/>
      <c r="G4812" s="23"/>
      <c r="H4812" s="15"/>
      <c r="I4812" s="15"/>
      <c r="J4812" s="51"/>
      <c r="K4812" s="15"/>
      <c r="L4812" s="51"/>
      <c r="M4812" s="15"/>
      <c r="N4812" s="23"/>
      <c r="O4812" s="23"/>
      <c r="P4812" s="15" t="str">
        <f t="shared" si="6"/>
        <v/>
      </c>
      <c r="Q4812" s="24"/>
      <c r="R4812" s="25"/>
      <c r="S4812" s="25"/>
      <c r="T4812" s="26"/>
      <c r="U4812" s="26"/>
      <c r="V4812" s="25"/>
      <c r="W4812" s="25"/>
      <c r="X4812" s="25"/>
      <c r="Y4812" s="25"/>
      <c r="Z4812" s="25"/>
    </row>
    <row r="4813" spans="1:26" ht="15.75" customHeight="1" x14ac:dyDescent="0.25">
      <c r="A4813" s="25"/>
      <c r="B4813" s="49"/>
      <c r="C4813" s="50"/>
      <c r="D4813" s="23"/>
      <c r="E4813" s="23"/>
      <c r="F4813" s="15"/>
      <c r="G4813" s="23"/>
      <c r="H4813" s="15"/>
      <c r="I4813" s="15"/>
      <c r="J4813" s="51"/>
      <c r="K4813" s="15"/>
      <c r="L4813" s="51"/>
      <c r="M4813" s="15"/>
      <c r="N4813" s="23"/>
      <c r="O4813" s="23"/>
      <c r="P4813" s="15" t="str">
        <f t="shared" si="6"/>
        <v/>
      </c>
      <c r="Q4813" s="24"/>
      <c r="R4813" s="25"/>
      <c r="S4813" s="25"/>
      <c r="T4813" s="26"/>
      <c r="U4813" s="26"/>
      <c r="V4813" s="25"/>
      <c r="W4813" s="25"/>
      <c r="X4813" s="25"/>
      <c r="Y4813" s="25"/>
      <c r="Z4813" s="25"/>
    </row>
    <row r="4814" spans="1:26" ht="15.75" customHeight="1" x14ac:dyDescent="0.25">
      <c r="A4814" s="25"/>
      <c r="B4814" s="49"/>
      <c r="C4814" s="50"/>
      <c r="D4814" s="23"/>
      <c r="E4814" s="23"/>
      <c r="F4814" s="15"/>
      <c r="G4814" s="23"/>
      <c r="H4814" s="15"/>
      <c r="I4814" s="15"/>
      <c r="J4814" s="51"/>
      <c r="K4814" s="15"/>
      <c r="L4814" s="51"/>
      <c r="M4814" s="15"/>
      <c r="N4814" s="23"/>
      <c r="O4814" s="23"/>
      <c r="P4814" s="15" t="str">
        <f t="shared" si="6"/>
        <v/>
      </c>
      <c r="Q4814" s="24"/>
      <c r="R4814" s="25"/>
      <c r="S4814" s="25"/>
      <c r="T4814" s="26"/>
      <c r="U4814" s="26"/>
      <c r="V4814" s="25"/>
      <c r="W4814" s="25"/>
      <c r="X4814" s="25"/>
      <c r="Y4814" s="25"/>
      <c r="Z4814" s="25"/>
    </row>
    <row r="4815" spans="1:26" ht="15.75" customHeight="1" x14ac:dyDescent="0.25">
      <c r="A4815" s="25"/>
      <c r="B4815" s="49"/>
      <c r="C4815" s="50"/>
      <c r="D4815" s="23"/>
      <c r="E4815" s="23"/>
      <c r="F4815" s="15"/>
      <c r="G4815" s="23"/>
      <c r="H4815" s="15"/>
      <c r="I4815" s="15"/>
      <c r="J4815" s="51"/>
      <c r="K4815" s="15"/>
      <c r="L4815" s="51"/>
      <c r="M4815" s="15"/>
      <c r="N4815" s="23"/>
      <c r="O4815" s="23"/>
      <c r="P4815" s="15" t="str">
        <f t="shared" si="6"/>
        <v/>
      </c>
      <c r="Q4815" s="24"/>
      <c r="R4815" s="25"/>
      <c r="S4815" s="25"/>
      <c r="T4815" s="26"/>
      <c r="U4815" s="26"/>
      <c r="V4815" s="25"/>
      <c r="W4815" s="25"/>
      <c r="X4815" s="25"/>
      <c r="Y4815" s="25"/>
      <c r="Z4815" s="25"/>
    </row>
    <row r="4816" spans="1:26" ht="15.75" customHeight="1" x14ac:dyDescent="0.25">
      <c r="A4816" s="25"/>
      <c r="B4816" s="49"/>
      <c r="C4816" s="50"/>
      <c r="D4816" s="23"/>
      <c r="E4816" s="23"/>
      <c r="F4816" s="15"/>
      <c r="G4816" s="23"/>
      <c r="H4816" s="15"/>
      <c r="I4816" s="15"/>
      <c r="J4816" s="51"/>
      <c r="K4816" s="15"/>
      <c r="L4816" s="51"/>
      <c r="M4816" s="15"/>
      <c r="N4816" s="23"/>
      <c r="O4816" s="23"/>
      <c r="P4816" s="15" t="str">
        <f t="shared" si="6"/>
        <v/>
      </c>
      <c r="Q4816" s="24"/>
      <c r="R4816" s="25"/>
      <c r="S4816" s="25"/>
      <c r="T4816" s="26"/>
      <c r="U4816" s="26"/>
      <c r="V4816" s="25"/>
      <c r="W4816" s="25"/>
      <c r="X4816" s="25"/>
      <c r="Y4816" s="25"/>
      <c r="Z4816" s="25"/>
    </row>
    <row r="4817" spans="1:26" ht="15.75" customHeight="1" x14ac:dyDescent="0.25">
      <c r="A4817" s="25"/>
      <c r="B4817" s="49"/>
      <c r="C4817" s="50"/>
      <c r="D4817" s="23"/>
      <c r="E4817" s="23"/>
      <c r="F4817" s="15"/>
      <c r="G4817" s="23"/>
      <c r="H4817" s="15"/>
      <c r="I4817" s="15"/>
      <c r="J4817" s="51"/>
      <c r="K4817" s="15"/>
      <c r="L4817" s="51"/>
      <c r="M4817" s="15"/>
      <c r="N4817" s="23"/>
      <c r="O4817" s="23"/>
      <c r="P4817" s="15" t="str">
        <f t="shared" si="6"/>
        <v/>
      </c>
      <c r="Q4817" s="24"/>
      <c r="R4817" s="25"/>
      <c r="S4817" s="25"/>
      <c r="T4817" s="26"/>
      <c r="U4817" s="26"/>
      <c r="V4817" s="25"/>
      <c r="W4817" s="25"/>
      <c r="X4817" s="25"/>
      <c r="Y4817" s="25"/>
      <c r="Z4817" s="25"/>
    </row>
    <row r="4818" spans="1:26" ht="15.75" customHeight="1" x14ac:dyDescent="0.25">
      <c r="A4818" s="25"/>
      <c r="B4818" s="49"/>
      <c r="C4818" s="50"/>
      <c r="D4818" s="23"/>
      <c r="E4818" s="23"/>
      <c r="F4818" s="15"/>
      <c r="G4818" s="23"/>
      <c r="H4818" s="15"/>
      <c r="I4818" s="15"/>
      <c r="J4818" s="51"/>
      <c r="K4818" s="15"/>
      <c r="L4818" s="51"/>
      <c r="M4818" s="15"/>
      <c r="N4818" s="23"/>
      <c r="O4818" s="23"/>
      <c r="P4818" s="15" t="str">
        <f t="shared" si="6"/>
        <v/>
      </c>
      <c r="Q4818" s="24"/>
      <c r="R4818" s="25"/>
      <c r="S4818" s="25"/>
      <c r="T4818" s="26"/>
      <c r="U4818" s="26"/>
      <c r="V4818" s="25"/>
      <c r="W4818" s="25"/>
      <c r="X4818" s="25"/>
      <c r="Y4818" s="25"/>
      <c r="Z4818" s="25"/>
    </row>
    <row r="4819" spans="1:26" ht="15.75" customHeight="1" x14ac:dyDescent="0.25">
      <c r="A4819" s="25"/>
      <c r="B4819" s="49"/>
      <c r="C4819" s="50"/>
      <c r="D4819" s="23"/>
      <c r="E4819" s="23"/>
      <c r="F4819" s="15"/>
      <c r="G4819" s="23"/>
      <c r="H4819" s="15"/>
      <c r="I4819" s="15"/>
      <c r="J4819" s="51"/>
      <c r="K4819" s="15"/>
      <c r="L4819" s="51"/>
      <c r="M4819" s="15"/>
      <c r="N4819" s="23"/>
      <c r="O4819" s="23"/>
      <c r="P4819" s="15" t="str">
        <f t="shared" si="6"/>
        <v/>
      </c>
      <c r="Q4819" s="24"/>
      <c r="R4819" s="25"/>
      <c r="S4819" s="25"/>
      <c r="T4819" s="26"/>
      <c r="U4819" s="26"/>
      <c r="V4819" s="25"/>
      <c r="W4819" s="25"/>
      <c r="X4819" s="25"/>
      <c r="Y4819" s="25"/>
      <c r="Z4819" s="25"/>
    </row>
    <row r="4820" spans="1:26" ht="15.75" customHeight="1" x14ac:dyDescent="0.25">
      <c r="A4820" s="25"/>
      <c r="B4820" s="49"/>
      <c r="C4820" s="50"/>
      <c r="D4820" s="23"/>
      <c r="E4820" s="23"/>
      <c r="F4820" s="15"/>
      <c r="G4820" s="23"/>
      <c r="H4820" s="15"/>
      <c r="I4820" s="15"/>
      <c r="J4820" s="51"/>
      <c r="K4820" s="15"/>
      <c r="L4820" s="51"/>
      <c r="M4820" s="15"/>
      <c r="N4820" s="23"/>
      <c r="O4820" s="23"/>
      <c r="P4820" s="15" t="str">
        <f t="shared" si="6"/>
        <v/>
      </c>
      <c r="Q4820" s="24"/>
      <c r="R4820" s="25"/>
      <c r="S4820" s="25"/>
      <c r="T4820" s="26"/>
      <c r="U4820" s="26"/>
      <c r="V4820" s="25"/>
      <c r="W4820" s="25"/>
      <c r="X4820" s="25"/>
      <c r="Y4820" s="25"/>
      <c r="Z4820" s="25"/>
    </row>
    <row r="4821" spans="1:26" ht="15.75" customHeight="1" x14ac:dyDescent="0.25">
      <c r="A4821" s="25"/>
      <c r="B4821" s="49"/>
      <c r="C4821" s="50"/>
      <c r="D4821" s="23"/>
      <c r="E4821" s="23"/>
      <c r="F4821" s="15"/>
      <c r="G4821" s="23"/>
      <c r="H4821" s="15"/>
      <c r="I4821" s="15"/>
      <c r="J4821" s="51"/>
      <c r="K4821" s="15"/>
      <c r="L4821" s="51"/>
      <c r="M4821" s="15"/>
      <c r="N4821" s="23"/>
      <c r="O4821" s="23"/>
      <c r="P4821" s="15" t="str">
        <f t="shared" si="6"/>
        <v/>
      </c>
      <c r="Q4821" s="24"/>
      <c r="R4821" s="25"/>
      <c r="S4821" s="25"/>
      <c r="T4821" s="26"/>
      <c r="U4821" s="26"/>
      <c r="V4821" s="25"/>
      <c r="W4821" s="25"/>
      <c r="X4821" s="25"/>
      <c r="Y4821" s="25"/>
      <c r="Z4821" s="25"/>
    </row>
    <row r="4822" spans="1:26" ht="15.75" customHeight="1" x14ac:dyDescent="0.25">
      <c r="A4822" s="25"/>
      <c r="B4822" s="49"/>
      <c r="C4822" s="50"/>
      <c r="D4822" s="23"/>
      <c r="E4822" s="23"/>
      <c r="F4822" s="15"/>
      <c r="G4822" s="23"/>
      <c r="H4822" s="15"/>
      <c r="I4822" s="15"/>
      <c r="J4822" s="51"/>
      <c r="K4822" s="15"/>
      <c r="L4822" s="51"/>
      <c r="M4822" s="15"/>
      <c r="N4822" s="23"/>
      <c r="O4822" s="23"/>
      <c r="P4822" s="15" t="str">
        <f t="shared" si="6"/>
        <v/>
      </c>
      <c r="Q4822" s="24"/>
      <c r="R4822" s="25"/>
      <c r="S4822" s="25"/>
      <c r="T4822" s="26"/>
      <c r="U4822" s="26"/>
      <c r="V4822" s="25"/>
      <c r="W4822" s="25"/>
      <c r="X4822" s="25"/>
      <c r="Y4822" s="25"/>
      <c r="Z4822" s="25"/>
    </row>
    <row r="4823" spans="1:26" ht="15.75" customHeight="1" x14ac:dyDescent="0.25">
      <c r="A4823" s="25"/>
      <c r="B4823" s="49"/>
      <c r="C4823" s="50"/>
      <c r="D4823" s="23"/>
      <c r="E4823" s="23"/>
      <c r="F4823" s="15"/>
      <c r="G4823" s="23"/>
      <c r="H4823" s="15"/>
      <c r="I4823" s="15"/>
      <c r="J4823" s="51"/>
      <c r="K4823" s="15"/>
      <c r="L4823" s="51"/>
      <c r="M4823" s="15"/>
      <c r="N4823" s="23"/>
      <c r="O4823" s="23"/>
      <c r="P4823" s="15" t="str">
        <f t="shared" si="6"/>
        <v/>
      </c>
      <c r="Q4823" s="24"/>
      <c r="R4823" s="25"/>
      <c r="S4823" s="25"/>
      <c r="T4823" s="26"/>
      <c r="U4823" s="26"/>
      <c r="V4823" s="25"/>
      <c r="W4823" s="25"/>
      <c r="X4823" s="25"/>
      <c r="Y4823" s="25"/>
      <c r="Z4823" s="25"/>
    </row>
    <row r="4824" spans="1:26" ht="15.75" customHeight="1" x14ac:dyDescent="0.25">
      <c r="A4824" s="25"/>
      <c r="B4824" s="49"/>
      <c r="C4824" s="50"/>
      <c r="D4824" s="23"/>
      <c r="E4824" s="23"/>
      <c r="F4824" s="15"/>
      <c r="G4824" s="23"/>
      <c r="H4824" s="15"/>
      <c r="I4824" s="15"/>
      <c r="J4824" s="51"/>
      <c r="K4824" s="15"/>
      <c r="L4824" s="51"/>
      <c r="M4824" s="15"/>
      <c r="N4824" s="23"/>
      <c r="O4824" s="23"/>
      <c r="P4824" s="15" t="str">
        <f t="shared" si="6"/>
        <v/>
      </c>
      <c r="Q4824" s="24"/>
      <c r="R4824" s="25"/>
      <c r="S4824" s="25"/>
      <c r="T4824" s="26"/>
      <c r="U4824" s="26"/>
      <c r="V4824" s="25"/>
      <c r="W4824" s="25"/>
      <c r="X4824" s="25"/>
      <c r="Y4824" s="25"/>
      <c r="Z4824" s="25"/>
    </row>
    <row r="4825" spans="1:26" ht="15.75" customHeight="1" x14ac:dyDescent="0.25">
      <c r="A4825" s="25"/>
      <c r="B4825" s="49"/>
      <c r="C4825" s="50"/>
      <c r="D4825" s="23"/>
      <c r="E4825" s="23"/>
      <c r="F4825" s="15"/>
      <c r="G4825" s="23"/>
      <c r="H4825" s="15"/>
      <c r="I4825" s="15"/>
      <c r="J4825" s="51"/>
      <c r="K4825" s="15"/>
      <c r="L4825" s="51"/>
      <c r="M4825" s="15"/>
      <c r="N4825" s="23"/>
      <c r="O4825" s="23"/>
      <c r="P4825" s="15" t="str">
        <f t="shared" si="6"/>
        <v/>
      </c>
      <c r="Q4825" s="24"/>
      <c r="R4825" s="25"/>
      <c r="S4825" s="25"/>
      <c r="T4825" s="26"/>
      <c r="U4825" s="26"/>
      <c r="V4825" s="25"/>
      <c r="W4825" s="25"/>
      <c r="X4825" s="25"/>
      <c r="Y4825" s="25"/>
      <c r="Z4825" s="25"/>
    </row>
    <row r="4826" spans="1:26" ht="15.75" customHeight="1" x14ac:dyDescent="0.25">
      <c r="A4826" s="25"/>
      <c r="B4826" s="49"/>
      <c r="C4826" s="50"/>
      <c r="D4826" s="23"/>
      <c r="E4826" s="23"/>
      <c r="F4826" s="15"/>
      <c r="G4826" s="23"/>
      <c r="H4826" s="15"/>
      <c r="I4826" s="15"/>
      <c r="J4826" s="51"/>
      <c r="K4826" s="15"/>
      <c r="L4826" s="51"/>
      <c r="M4826" s="15"/>
      <c r="N4826" s="23"/>
      <c r="O4826" s="23"/>
      <c r="P4826" s="15" t="str">
        <f t="shared" si="6"/>
        <v/>
      </c>
      <c r="Q4826" s="24"/>
      <c r="R4826" s="25"/>
      <c r="S4826" s="25"/>
      <c r="T4826" s="26"/>
      <c r="U4826" s="26"/>
      <c r="V4826" s="25"/>
      <c r="W4826" s="25"/>
      <c r="X4826" s="25"/>
      <c r="Y4826" s="25"/>
      <c r="Z4826" s="25"/>
    </row>
    <row r="4827" spans="1:26" ht="15.75" customHeight="1" x14ac:dyDescent="0.25">
      <c r="A4827" s="25"/>
      <c r="B4827" s="49"/>
      <c r="C4827" s="50"/>
      <c r="D4827" s="23"/>
      <c r="E4827" s="23"/>
      <c r="F4827" s="15"/>
      <c r="G4827" s="23"/>
      <c r="H4827" s="15"/>
      <c r="I4827" s="15"/>
      <c r="J4827" s="51"/>
      <c r="K4827" s="15"/>
      <c r="L4827" s="51"/>
      <c r="M4827" s="15"/>
      <c r="N4827" s="23"/>
      <c r="O4827" s="23"/>
      <c r="P4827" s="15" t="str">
        <f t="shared" si="6"/>
        <v/>
      </c>
      <c r="Q4827" s="24"/>
      <c r="R4827" s="25"/>
      <c r="S4827" s="25"/>
      <c r="T4827" s="26"/>
      <c r="U4827" s="26"/>
      <c r="V4827" s="25"/>
      <c r="W4827" s="25"/>
      <c r="X4827" s="25"/>
      <c r="Y4827" s="25"/>
      <c r="Z4827" s="25"/>
    </row>
    <row r="4828" spans="1:26" ht="15.75" customHeight="1" x14ac:dyDescent="0.25">
      <c r="A4828" s="25"/>
      <c r="B4828" s="49"/>
      <c r="C4828" s="50"/>
      <c r="D4828" s="23"/>
      <c r="E4828" s="23"/>
      <c r="F4828" s="15"/>
      <c r="G4828" s="23"/>
      <c r="H4828" s="15"/>
      <c r="I4828" s="15"/>
      <c r="J4828" s="51"/>
      <c r="K4828" s="15"/>
      <c r="L4828" s="51"/>
      <c r="M4828" s="15"/>
      <c r="N4828" s="23"/>
      <c r="O4828" s="23"/>
      <c r="P4828" s="15" t="str">
        <f t="shared" si="6"/>
        <v/>
      </c>
      <c r="Q4828" s="24"/>
      <c r="R4828" s="25"/>
      <c r="S4828" s="25"/>
      <c r="T4828" s="26"/>
      <c r="U4828" s="26"/>
      <c r="V4828" s="25"/>
      <c r="W4828" s="25"/>
      <c r="X4828" s="25"/>
      <c r="Y4828" s="25"/>
      <c r="Z4828" s="25"/>
    </row>
    <row r="4829" spans="1:26" ht="15.75" customHeight="1" x14ac:dyDescent="0.25">
      <c r="A4829" s="25"/>
      <c r="B4829" s="49"/>
      <c r="C4829" s="50"/>
      <c r="D4829" s="23"/>
      <c r="E4829" s="23"/>
      <c r="F4829" s="15"/>
      <c r="G4829" s="23"/>
      <c r="H4829" s="15"/>
      <c r="I4829" s="15"/>
      <c r="J4829" s="51"/>
      <c r="K4829" s="15"/>
      <c r="L4829" s="51"/>
      <c r="M4829" s="15"/>
      <c r="N4829" s="23"/>
      <c r="O4829" s="23"/>
      <c r="P4829" s="15" t="str">
        <f t="shared" si="6"/>
        <v/>
      </c>
      <c r="Q4829" s="24"/>
      <c r="R4829" s="25"/>
      <c r="S4829" s="25"/>
      <c r="T4829" s="26"/>
      <c r="U4829" s="26"/>
      <c r="V4829" s="25"/>
      <c r="W4829" s="25"/>
      <c r="X4829" s="25"/>
      <c r="Y4829" s="25"/>
      <c r="Z4829" s="25"/>
    </row>
    <row r="4830" spans="1:26" ht="15.75" customHeight="1" x14ac:dyDescent="0.25">
      <c r="A4830" s="25"/>
      <c r="B4830" s="49"/>
      <c r="C4830" s="50"/>
      <c r="D4830" s="23"/>
      <c r="E4830" s="23"/>
      <c r="F4830" s="15"/>
      <c r="G4830" s="23"/>
      <c r="H4830" s="15"/>
      <c r="I4830" s="15"/>
      <c r="J4830" s="51"/>
      <c r="K4830" s="15"/>
      <c r="L4830" s="51"/>
      <c r="M4830" s="15"/>
      <c r="N4830" s="23"/>
      <c r="O4830" s="23"/>
      <c r="P4830" s="15" t="str">
        <f t="shared" si="6"/>
        <v/>
      </c>
      <c r="Q4830" s="24"/>
      <c r="R4830" s="25"/>
      <c r="S4830" s="25"/>
      <c r="T4830" s="26"/>
      <c r="U4830" s="26"/>
      <c r="V4830" s="25"/>
      <c r="W4830" s="25"/>
      <c r="X4830" s="25"/>
      <c r="Y4830" s="25"/>
      <c r="Z4830" s="25"/>
    </row>
    <row r="4831" spans="1:26" ht="15.75" customHeight="1" x14ac:dyDescent="0.25">
      <c r="A4831" s="25"/>
      <c r="B4831" s="49"/>
      <c r="C4831" s="50"/>
      <c r="D4831" s="23"/>
      <c r="E4831" s="23"/>
      <c r="F4831" s="15"/>
      <c r="G4831" s="23"/>
      <c r="H4831" s="15"/>
      <c r="I4831" s="15"/>
      <c r="J4831" s="51"/>
      <c r="K4831" s="15"/>
      <c r="L4831" s="51"/>
      <c r="M4831" s="15"/>
      <c r="N4831" s="23"/>
      <c r="O4831" s="23"/>
      <c r="P4831" s="15" t="str">
        <f t="shared" si="6"/>
        <v/>
      </c>
      <c r="Q4831" s="24"/>
      <c r="R4831" s="25"/>
      <c r="S4831" s="25"/>
      <c r="T4831" s="26"/>
      <c r="U4831" s="26"/>
      <c r="V4831" s="25"/>
      <c r="W4831" s="25"/>
      <c r="X4831" s="25"/>
      <c r="Y4831" s="25"/>
      <c r="Z4831" s="25"/>
    </row>
    <row r="4832" spans="1:26" ht="15.75" customHeight="1" x14ac:dyDescent="0.25">
      <c r="A4832" s="25"/>
      <c r="B4832" s="49"/>
      <c r="C4832" s="50"/>
      <c r="D4832" s="23"/>
      <c r="E4832" s="23"/>
      <c r="F4832" s="15"/>
      <c r="G4832" s="23"/>
      <c r="H4832" s="15"/>
      <c r="I4832" s="15"/>
      <c r="J4832" s="51"/>
      <c r="K4832" s="15"/>
      <c r="L4832" s="51"/>
      <c r="M4832" s="15"/>
      <c r="N4832" s="23"/>
      <c r="O4832" s="23"/>
      <c r="P4832" s="15" t="str">
        <f t="shared" si="6"/>
        <v/>
      </c>
      <c r="Q4832" s="24"/>
      <c r="R4832" s="25"/>
      <c r="S4832" s="25"/>
      <c r="T4832" s="26"/>
      <c r="U4832" s="26"/>
      <c r="V4832" s="25"/>
      <c r="W4832" s="25"/>
      <c r="X4832" s="25"/>
      <c r="Y4832" s="25"/>
      <c r="Z4832" s="25"/>
    </row>
    <row r="4833" spans="1:26" ht="15.75" customHeight="1" x14ac:dyDescent="0.25">
      <c r="A4833" s="25"/>
      <c r="B4833" s="49"/>
      <c r="C4833" s="50"/>
      <c r="D4833" s="23"/>
      <c r="E4833" s="23"/>
      <c r="F4833" s="15"/>
      <c r="G4833" s="23"/>
      <c r="H4833" s="15"/>
      <c r="I4833" s="15"/>
      <c r="J4833" s="51"/>
      <c r="K4833" s="15"/>
      <c r="L4833" s="51"/>
      <c r="M4833" s="15"/>
      <c r="N4833" s="23"/>
      <c r="O4833" s="23"/>
      <c r="P4833" s="15" t="str">
        <f t="shared" si="6"/>
        <v/>
      </c>
      <c r="Q4833" s="24"/>
      <c r="R4833" s="25"/>
      <c r="S4833" s="25"/>
      <c r="T4833" s="26"/>
      <c r="U4833" s="26"/>
      <c r="V4833" s="25"/>
      <c r="W4833" s="25"/>
      <c r="X4833" s="25"/>
      <c r="Y4833" s="25"/>
      <c r="Z4833" s="25"/>
    </row>
    <row r="4834" spans="1:26" ht="15.75" customHeight="1" x14ac:dyDescent="0.25">
      <c r="A4834" s="25"/>
      <c r="B4834" s="49"/>
      <c r="C4834" s="50"/>
      <c r="D4834" s="23"/>
      <c r="E4834" s="23"/>
      <c r="F4834" s="15"/>
      <c r="G4834" s="23"/>
      <c r="H4834" s="15"/>
      <c r="I4834" s="15"/>
      <c r="J4834" s="51"/>
      <c r="K4834" s="15"/>
      <c r="L4834" s="51"/>
      <c r="M4834" s="15"/>
      <c r="N4834" s="23"/>
      <c r="O4834" s="23"/>
      <c r="P4834" s="15" t="str">
        <f t="shared" si="6"/>
        <v/>
      </c>
      <c r="Q4834" s="24"/>
      <c r="R4834" s="25"/>
      <c r="S4834" s="25"/>
      <c r="T4834" s="26"/>
      <c r="U4834" s="26"/>
      <c r="V4834" s="25"/>
      <c r="W4834" s="25"/>
      <c r="X4834" s="25"/>
      <c r="Y4834" s="25"/>
      <c r="Z4834" s="25"/>
    </row>
    <row r="4835" spans="1:26" ht="15.75" customHeight="1" x14ac:dyDescent="0.25">
      <c r="A4835" s="25"/>
      <c r="B4835" s="49"/>
      <c r="C4835" s="50"/>
      <c r="D4835" s="23"/>
      <c r="E4835" s="23"/>
      <c r="F4835" s="15"/>
      <c r="G4835" s="23"/>
      <c r="H4835" s="15"/>
      <c r="I4835" s="15"/>
      <c r="J4835" s="51"/>
      <c r="K4835" s="15"/>
      <c r="L4835" s="51"/>
      <c r="M4835" s="15"/>
      <c r="N4835" s="23"/>
      <c r="O4835" s="23"/>
      <c r="P4835" s="15" t="str">
        <f t="shared" si="6"/>
        <v/>
      </c>
      <c r="Q4835" s="24"/>
      <c r="R4835" s="25"/>
      <c r="S4835" s="25"/>
      <c r="T4835" s="26"/>
      <c r="U4835" s="26"/>
      <c r="V4835" s="25"/>
      <c r="W4835" s="25"/>
      <c r="X4835" s="25"/>
      <c r="Y4835" s="25"/>
      <c r="Z4835" s="25"/>
    </row>
    <row r="4836" spans="1:26" ht="15.75" customHeight="1" x14ac:dyDescent="0.25">
      <c r="A4836" s="25"/>
      <c r="B4836" s="49"/>
      <c r="C4836" s="50"/>
      <c r="D4836" s="23"/>
      <c r="E4836" s="23"/>
      <c r="F4836" s="15"/>
      <c r="G4836" s="23"/>
      <c r="H4836" s="15"/>
      <c r="I4836" s="15"/>
      <c r="J4836" s="51"/>
      <c r="K4836" s="15"/>
      <c r="L4836" s="51"/>
      <c r="M4836" s="15"/>
      <c r="N4836" s="23"/>
      <c r="O4836" s="23"/>
      <c r="P4836" s="15" t="str">
        <f t="shared" si="6"/>
        <v/>
      </c>
      <c r="Q4836" s="24"/>
      <c r="R4836" s="25"/>
      <c r="S4836" s="25"/>
      <c r="T4836" s="26"/>
      <c r="U4836" s="26"/>
      <c r="V4836" s="25"/>
      <c r="W4836" s="25"/>
      <c r="X4836" s="25"/>
      <c r="Y4836" s="25"/>
      <c r="Z4836" s="25"/>
    </row>
    <row r="4837" spans="1:26" ht="15.75" customHeight="1" x14ac:dyDescent="0.25">
      <c r="A4837" s="25"/>
      <c r="B4837" s="49"/>
      <c r="C4837" s="50"/>
      <c r="D4837" s="23"/>
      <c r="E4837" s="23"/>
      <c r="F4837" s="15"/>
      <c r="G4837" s="23"/>
      <c r="H4837" s="15"/>
      <c r="I4837" s="15"/>
      <c r="J4837" s="51"/>
      <c r="K4837" s="15"/>
      <c r="L4837" s="51"/>
      <c r="M4837" s="15"/>
      <c r="N4837" s="23"/>
      <c r="O4837" s="23"/>
      <c r="P4837" s="15" t="str">
        <f t="shared" si="6"/>
        <v/>
      </c>
      <c r="Q4837" s="24"/>
      <c r="R4837" s="25"/>
      <c r="S4837" s="25"/>
      <c r="T4837" s="26"/>
      <c r="U4837" s="26"/>
      <c r="V4837" s="25"/>
      <c r="W4837" s="25"/>
      <c r="X4837" s="25"/>
      <c r="Y4837" s="25"/>
      <c r="Z4837" s="25"/>
    </row>
    <row r="4838" spans="1:26" ht="15.75" customHeight="1" x14ac:dyDescent="0.25">
      <c r="A4838" s="25"/>
      <c r="B4838" s="49"/>
      <c r="C4838" s="50"/>
      <c r="D4838" s="23"/>
      <c r="E4838" s="23"/>
      <c r="F4838" s="15"/>
      <c r="G4838" s="23"/>
      <c r="H4838" s="15"/>
      <c r="I4838" s="15"/>
      <c r="J4838" s="51"/>
      <c r="K4838" s="15"/>
      <c r="L4838" s="51"/>
      <c r="M4838" s="15"/>
      <c r="N4838" s="23"/>
      <c r="O4838" s="23"/>
      <c r="P4838" s="15" t="str">
        <f t="shared" si="6"/>
        <v/>
      </c>
      <c r="Q4838" s="24"/>
      <c r="R4838" s="25"/>
      <c r="S4838" s="25"/>
      <c r="T4838" s="26"/>
      <c r="U4838" s="26"/>
      <c r="V4838" s="25"/>
      <c r="W4838" s="25"/>
      <c r="X4838" s="25"/>
      <c r="Y4838" s="25"/>
      <c r="Z4838" s="25"/>
    </row>
    <row r="4839" spans="1:26" ht="15.75" customHeight="1" x14ac:dyDescent="0.25">
      <c r="A4839" s="25"/>
      <c r="B4839" s="49"/>
      <c r="C4839" s="50"/>
      <c r="D4839" s="23"/>
      <c r="E4839" s="23"/>
      <c r="F4839" s="15"/>
      <c r="G4839" s="23"/>
      <c r="H4839" s="15"/>
      <c r="I4839" s="15"/>
      <c r="J4839" s="51"/>
      <c r="K4839" s="15"/>
      <c r="L4839" s="51"/>
      <c r="M4839" s="15"/>
      <c r="N4839" s="23"/>
      <c r="O4839" s="23"/>
      <c r="P4839" s="15" t="str">
        <f t="shared" si="6"/>
        <v/>
      </c>
      <c r="Q4839" s="24"/>
      <c r="R4839" s="25"/>
      <c r="S4839" s="25"/>
      <c r="T4839" s="26"/>
      <c r="U4839" s="26"/>
      <c r="V4839" s="25"/>
      <c r="W4839" s="25"/>
      <c r="X4839" s="25"/>
      <c r="Y4839" s="25"/>
      <c r="Z4839" s="25"/>
    </row>
    <row r="4840" spans="1:26" ht="15.75" customHeight="1" x14ac:dyDescent="0.25">
      <c r="A4840" s="25"/>
      <c r="B4840" s="49"/>
      <c r="C4840" s="50"/>
      <c r="D4840" s="23"/>
      <c r="E4840" s="23"/>
      <c r="F4840" s="15"/>
      <c r="G4840" s="23"/>
      <c r="H4840" s="15"/>
      <c r="I4840" s="15"/>
      <c r="J4840" s="51"/>
      <c r="K4840" s="15"/>
      <c r="L4840" s="51"/>
      <c r="M4840" s="15"/>
      <c r="N4840" s="23"/>
      <c r="O4840" s="23"/>
      <c r="P4840" s="15" t="str">
        <f t="shared" si="6"/>
        <v/>
      </c>
      <c r="Q4840" s="24"/>
      <c r="R4840" s="25"/>
      <c r="S4840" s="25"/>
      <c r="T4840" s="26"/>
      <c r="U4840" s="26"/>
      <c r="V4840" s="25"/>
      <c r="W4840" s="25"/>
      <c r="X4840" s="25"/>
      <c r="Y4840" s="25"/>
      <c r="Z4840" s="25"/>
    </row>
    <row r="4841" spans="1:26" ht="15.75" customHeight="1" x14ac:dyDescent="0.25">
      <c r="A4841" s="25"/>
      <c r="B4841" s="49"/>
      <c r="C4841" s="50"/>
      <c r="D4841" s="23"/>
      <c r="E4841" s="23"/>
      <c r="F4841" s="15"/>
      <c r="G4841" s="23"/>
      <c r="H4841" s="15"/>
      <c r="I4841" s="15"/>
      <c r="J4841" s="51"/>
      <c r="K4841" s="15"/>
      <c r="L4841" s="51"/>
      <c r="M4841" s="15"/>
      <c r="N4841" s="23"/>
      <c r="O4841" s="23"/>
      <c r="P4841" s="15" t="str">
        <f t="shared" si="6"/>
        <v/>
      </c>
      <c r="Q4841" s="24"/>
      <c r="R4841" s="25"/>
      <c r="S4841" s="25"/>
      <c r="T4841" s="26"/>
      <c r="U4841" s="26"/>
      <c r="V4841" s="25"/>
      <c r="W4841" s="25"/>
      <c r="X4841" s="25"/>
      <c r="Y4841" s="25"/>
      <c r="Z4841" s="25"/>
    </row>
    <row r="4842" spans="1:26" ht="15.75" customHeight="1" x14ac:dyDescent="0.25">
      <c r="A4842" s="25"/>
      <c r="B4842" s="49"/>
      <c r="C4842" s="50"/>
      <c r="D4842" s="23"/>
      <c r="E4842" s="23"/>
      <c r="F4842" s="15"/>
      <c r="G4842" s="23"/>
      <c r="H4842" s="15"/>
      <c r="I4842" s="15"/>
      <c r="J4842" s="51"/>
      <c r="K4842" s="15"/>
      <c r="L4842" s="51"/>
      <c r="M4842" s="15"/>
      <c r="N4842" s="23"/>
      <c r="O4842" s="23"/>
      <c r="P4842" s="15" t="str">
        <f t="shared" si="6"/>
        <v/>
      </c>
      <c r="Q4842" s="24"/>
      <c r="R4842" s="25"/>
      <c r="S4842" s="25"/>
      <c r="T4842" s="26"/>
      <c r="U4842" s="26"/>
      <c r="V4842" s="25"/>
      <c r="W4842" s="25"/>
      <c r="X4842" s="25"/>
      <c r="Y4842" s="25"/>
      <c r="Z4842" s="25"/>
    </row>
    <row r="4843" spans="1:26" ht="15.75" customHeight="1" x14ac:dyDescent="0.25">
      <c r="A4843" s="25"/>
      <c r="B4843" s="49"/>
      <c r="C4843" s="50"/>
      <c r="D4843" s="23"/>
      <c r="E4843" s="23"/>
      <c r="F4843" s="15"/>
      <c r="G4843" s="23"/>
      <c r="H4843" s="15"/>
      <c r="I4843" s="15"/>
      <c r="J4843" s="51"/>
      <c r="K4843" s="15"/>
      <c r="L4843" s="51"/>
      <c r="M4843" s="15"/>
      <c r="N4843" s="23"/>
      <c r="O4843" s="23"/>
      <c r="P4843" s="15" t="str">
        <f t="shared" si="6"/>
        <v/>
      </c>
      <c r="Q4843" s="24"/>
      <c r="R4843" s="25"/>
      <c r="S4843" s="25"/>
      <c r="T4843" s="26"/>
      <c r="U4843" s="26"/>
      <c r="V4843" s="25"/>
      <c r="W4843" s="25"/>
      <c r="X4843" s="25"/>
      <c r="Y4843" s="25"/>
      <c r="Z4843" s="25"/>
    </row>
    <row r="4844" spans="1:26" ht="15.75" customHeight="1" x14ac:dyDescent="0.25">
      <c r="A4844" s="25"/>
      <c r="B4844" s="49"/>
      <c r="C4844" s="50"/>
      <c r="D4844" s="23"/>
      <c r="E4844" s="23"/>
      <c r="F4844" s="15"/>
      <c r="G4844" s="23"/>
      <c r="H4844" s="15"/>
      <c r="I4844" s="15"/>
      <c r="J4844" s="51"/>
      <c r="K4844" s="15"/>
      <c r="L4844" s="51"/>
      <c r="M4844" s="15"/>
      <c r="N4844" s="23"/>
      <c r="O4844" s="23"/>
      <c r="P4844" s="15" t="str">
        <f t="shared" si="6"/>
        <v/>
      </c>
      <c r="Q4844" s="24"/>
      <c r="R4844" s="25"/>
      <c r="S4844" s="25"/>
      <c r="T4844" s="26"/>
      <c r="U4844" s="26"/>
      <c r="V4844" s="25"/>
      <c r="W4844" s="25"/>
      <c r="X4844" s="25"/>
      <c r="Y4844" s="25"/>
      <c r="Z4844" s="25"/>
    </row>
    <row r="4845" spans="1:26" ht="15.75" customHeight="1" x14ac:dyDescent="0.25">
      <c r="A4845" s="25"/>
      <c r="B4845" s="49"/>
      <c r="C4845" s="50"/>
      <c r="D4845" s="23"/>
      <c r="E4845" s="23"/>
      <c r="F4845" s="15"/>
      <c r="G4845" s="23"/>
      <c r="H4845" s="15"/>
      <c r="I4845" s="15"/>
      <c r="J4845" s="51"/>
      <c r="K4845" s="15"/>
      <c r="L4845" s="51"/>
      <c r="M4845" s="15"/>
      <c r="N4845" s="23"/>
      <c r="O4845" s="23"/>
      <c r="P4845" s="15" t="str">
        <f t="shared" si="6"/>
        <v/>
      </c>
      <c r="Q4845" s="24"/>
      <c r="R4845" s="25"/>
      <c r="S4845" s="25"/>
      <c r="T4845" s="26"/>
      <c r="U4845" s="26"/>
      <c r="V4845" s="25"/>
      <c r="W4845" s="25"/>
      <c r="X4845" s="25"/>
      <c r="Y4845" s="25"/>
      <c r="Z4845" s="25"/>
    </row>
    <row r="4846" spans="1:26" ht="15.75" customHeight="1" x14ac:dyDescent="0.25">
      <c r="A4846" s="25"/>
      <c r="B4846" s="49"/>
      <c r="C4846" s="50"/>
      <c r="D4846" s="23"/>
      <c r="E4846" s="23"/>
      <c r="F4846" s="15"/>
      <c r="G4846" s="23"/>
      <c r="H4846" s="15"/>
      <c r="I4846" s="15"/>
      <c r="J4846" s="51"/>
      <c r="K4846" s="15"/>
      <c r="L4846" s="51"/>
      <c r="M4846" s="15"/>
      <c r="N4846" s="23"/>
      <c r="O4846" s="23"/>
      <c r="P4846" s="15" t="str">
        <f t="shared" si="6"/>
        <v/>
      </c>
      <c r="Q4846" s="24"/>
      <c r="R4846" s="25"/>
      <c r="S4846" s="25"/>
      <c r="T4846" s="26"/>
      <c r="U4846" s="26"/>
      <c r="V4846" s="25"/>
      <c r="W4846" s="25"/>
      <c r="X4846" s="25"/>
      <c r="Y4846" s="25"/>
      <c r="Z4846" s="25"/>
    </row>
    <row r="4847" spans="1:26" ht="15.75" customHeight="1" x14ac:dyDescent="0.25">
      <c r="A4847" s="25"/>
      <c r="B4847" s="49"/>
      <c r="C4847" s="50"/>
      <c r="D4847" s="23"/>
      <c r="E4847" s="23"/>
      <c r="F4847" s="15"/>
      <c r="G4847" s="23"/>
      <c r="H4847" s="15"/>
      <c r="I4847" s="15"/>
      <c r="J4847" s="51"/>
      <c r="K4847" s="15"/>
      <c r="L4847" s="51"/>
      <c r="M4847" s="15"/>
      <c r="N4847" s="23"/>
      <c r="O4847" s="23"/>
      <c r="P4847" s="15" t="str">
        <f t="shared" si="6"/>
        <v/>
      </c>
      <c r="Q4847" s="24"/>
      <c r="R4847" s="25"/>
      <c r="S4847" s="25"/>
      <c r="T4847" s="26"/>
      <c r="U4847" s="26"/>
      <c r="V4847" s="25"/>
      <c r="W4847" s="25"/>
      <c r="X4847" s="25"/>
      <c r="Y4847" s="25"/>
      <c r="Z4847" s="25"/>
    </row>
    <row r="4848" spans="1:26" ht="15.75" customHeight="1" x14ac:dyDescent="0.25">
      <c r="A4848" s="25"/>
      <c r="B4848" s="49"/>
      <c r="C4848" s="50"/>
      <c r="D4848" s="23"/>
      <c r="E4848" s="23"/>
      <c r="F4848" s="15"/>
      <c r="G4848" s="23"/>
      <c r="H4848" s="15"/>
      <c r="I4848" s="15"/>
      <c r="J4848" s="51"/>
      <c r="K4848" s="15"/>
      <c r="L4848" s="51"/>
      <c r="M4848" s="15"/>
      <c r="N4848" s="23"/>
      <c r="O4848" s="23"/>
      <c r="P4848" s="15" t="str">
        <f t="shared" si="6"/>
        <v/>
      </c>
      <c r="Q4848" s="24"/>
      <c r="R4848" s="25"/>
      <c r="S4848" s="25"/>
      <c r="T4848" s="26"/>
      <c r="U4848" s="26"/>
      <c r="V4848" s="25"/>
      <c r="W4848" s="25"/>
      <c r="X4848" s="25"/>
      <c r="Y4848" s="25"/>
      <c r="Z4848" s="25"/>
    </row>
    <row r="4849" spans="1:26" ht="15.75" customHeight="1" x14ac:dyDescent="0.25">
      <c r="A4849" s="25"/>
      <c r="B4849" s="49"/>
      <c r="C4849" s="50"/>
      <c r="D4849" s="23"/>
      <c r="E4849" s="23"/>
      <c r="F4849" s="15"/>
      <c r="G4849" s="23"/>
      <c r="H4849" s="15"/>
      <c r="I4849" s="15"/>
      <c r="J4849" s="51"/>
      <c r="K4849" s="15"/>
      <c r="L4849" s="51"/>
      <c r="M4849" s="15"/>
      <c r="N4849" s="23"/>
      <c r="O4849" s="23"/>
      <c r="P4849" s="15" t="str">
        <f t="shared" si="6"/>
        <v/>
      </c>
      <c r="Q4849" s="24"/>
      <c r="R4849" s="25"/>
      <c r="S4849" s="25"/>
      <c r="T4849" s="26"/>
      <c r="U4849" s="26"/>
      <c r="V4849" s="25"/>
      <c r="W4849" s="25"/>
      <c r="X4849" s="25"/>
      <c r="Y4849" s="25"/>
      <c r="Z4849" s="25"/>
    </row>
    <row r="4850" spans="1:26" ht="15.75" customHeight="1" x14ac:dyDescent="0.25">
      <c r="A4850" s="25"/>
      <c r="B4850" s="49"/>
      <c r="C4850" s="50"/>
      <c r="D4850" s="23"/>
      <c r="E4850" s="23"/>
      <c r="F4850" s="15"/>
      <c r="G4850" s="23"/>
      <c r="H4850" s="15"/>
      <c r="I4850" s="15"/>
      <c r="J4850" s="51"/>
      <c r="K4850" s="15"/>
      <c r="L4850" s="51"/>
      <c r="M4850" s="15"/>
      <c r="N4850" s="23"/>
      <c r="O4850" s="23"/>
      <c r="P4850" s="15" t="str">
        <f t="shared" si="6"/>
        <v/>
      </c>
      <c r="Q4850" s="24"/>
      <c r="R4850" s="25"/>
      <c r="S4850" s="25"/>
      <c r="T4850" s="26"/>
      <c r="U4850" s="26"/>
      <c r="V4850" s="25"/>
      <c r="W4850" s="25"/>
      <c r="X4850" s="25"/>
      <c r="Y4850" s="25"/>
      <c r="Z4850" s="25"/>
    </row>
    <row r="4851" spans="1:26" ht="15.75" customHeight="1" x14ac:dyDescent="0.25">
      <c r="A4851" s="25"/>
      <c r="B4851" s="49"/>
      <c r="C4851" s="50"/>
      <c r="D4851" s="23"/>
      <c r="E4851" s="23"/>
      <c r="F4851" s="15"/>
      <c r="G4851" s="23"/>
      <c r="H4851" s="15"/>
      <c r="I4851" s="15"/>
      <c r="J4851" s="51"/>
      <c r="K4851" s="15"/>
      <c r="L4851" s="51"/>
      <c r="M4851" s="15"/>
      <c r="N4851" s="23"/>
      <c r="O4851" s="23"/>
      <c r="P4851" s="15" t="str">
        <f t="shared" si="6"/>
        <v/>
      </c>
      <c r="Q4851" s="24"/>
      <c r="R4851" s="25"/>
      <c r="S4851" s="25"/>
      <c r="T4851" s="26"/>
      <c r="U4851" s="26"/>
      <c r="V4851" s="25"/>
      <c r="W4851" s="25"/>
      <c r="X4851" s="25"/>
      <c r="Y4851" s="25"/>
      <c r="Z4851" s="25"/>
    </row>
    <row r="4852" spans="1:26" ht="15.75" customHeight="1" x14ac:dyDescent="0.25">
      <c r="A4852" s="25"/>
      <c r="B4852" s="49"/>
      <c r="C4852" s="50"/>
      <c r="D4852" s="23"/>
      <c r="E4852" s="23"/>
      <c r="F4852" s="15"/>
      <c r="G4852" s="23"/>
      <c r="H4852" s="15"/>
      <c r="I4852" s="15"/>
      <c r="J4852" s="51"/>
      <c r="K4852" s="15"/>
      <c r="L4852" s="51"/>
      <c r="M4852" s="15"/>
      <c r="N4852" s="23"/>
      <c r="O4852" s="23"/>
      <c r="P4852" s="15" t="str">
        <f t="shared" si="6"/>
        <v/>
      </c>
      <c r="Q4852" s="24"/>
      <c r="R4852" s="25"/>
      <c r="S4852" s="25"/>
      <c r="T4852" s="26"/>
      <c r="U4852" s="26"/>
      <c r="V4852" s="25"/>
      <c r="W4852" s="25"/>
      <c r="X4852" s="25"/>
      <c r="Y4852" s="25"/>
      <c r="Z4852" s="25"/>
    </row>
    <row r="4853" spans="1:26" ht="15.75" customHeight="1" x14ac:dyDescent="0.25">
      <c r="A4853" s="25"/>
      <c r="B4853" s="49"/>
      <c r="C4853" s="50"/>
      <c r="D4853" s="23"/>
      <c r="E4853" s="23"/>
      <c r="F4853" s="15"/>
      <c r="G4853" s="23"/>
      <c r="H4853" s="15"/>
      <c r="I4853" s="15"/>
      <c r="J4853" s="51"/>
      <c r="K4853" s="15"/>
      <c r="L4853" s="51"/>
      <c r="M4853" s="15"/>
      <c r="N4853" s="23"/>
      <c r="O4853" s="23"/>
      <c r="P4853" s="15" t="str">
        <f t="shared" si="6"/>
        <v/>
      </c>
      <c r="Q4853" s="24"/>
      <c r="R4853" s="25"/>
      <c r="S4853" s="25"/>
      <c r="T4853" s="26"/>
      <c r="U4853" s="26"/>
      <c r="V4853" s="25"/>
      <c r="W4853" s="25"/>
      <c r="X4853" s="25"/>
      <c r="Y4853" s="25"/>
      <c r="Z4853" s="25"/>
    </row>
    <row r="4854" spans="1:26" ht="15.75" customHeight="1" x14ac:dyDescent="0.25">
      <c r="A4854" s="25"/>
      <c r="B4854" s="49"/>
      <c r="C4854" s="50"/>
      <c r="D4854" s="23"/>
      <c r="E4854" s="23"/>
      <c r="F4854" s="15"/>
      <c r="G4854" s="23"/>
      <c r="H4854" s="15"/>
      <c r="I4854" s="15"/>
      <c r="J4854" s="51"/>
      <c r="K4854" s="15"/>
      <c r="L4854" s="51"/>
      <c r="M4854" s="15"/>
      <c r="N4854" s="23"/>
      <c r="O4854" s="23"/>
      <c r="P4854" s="15" t="str">
        <f t="shared" si="6"/>
        <v/>
      </c>
      <c r="Q4854" s="24"/>
      <c r="R4854" s="25"/>
      <c r="S4854" s="25"/>
      <c r="T4854" s="26"/>
      <c r="U4854" s="26"/>
      <c r="V4854" s="25"/>
      <c r="W4854" s="25"/>
      <c r="X4854" s="25"/>
      <c r="Y4854" s="25"/>
      <c r="Z4854" s="25"/>
    </row>
    <row r="4855" spans="1:26" ht="15.75" customHeight="1" x14ac:dyDescent="0.25">
      <c r="A4855" s="25"/>
      <c r="B4855" s="49"/>
      <c r="C4855" s="50"/>
      <c r="D4855" s="23"/>
      <c r="E4855" s="23"/>
      <c r="F4855" s="15"/>
      <c r="G4855" s="23"/>
      <c r="H4855" s="15"/>
      <c r="I4855" s="15"/>
      <c r="J4855" s="51"/>
      <c r="K4855" s="15"/>
      <c r="L4855" s="51"/>
      <c r="M4855" s="15"/>
      <c r="N4855" s="23"/>
      <c r="O4855" s="23"/>
      <c r="P4855" s="15" t="str">
        <f t="shared" si="6"/>
        <v/>
      </c>
      <c r="Q4855" s="24"/>
      <c r="R4855" s="25"/>
      <c r="S4855" s="25"/>
      <c r="T4855" s="26"/>
      <c r="U4855" s="26"/>
      <c r="V4855" s="25"/>
      <c r="W4855" s="25"/>
      <c r="X4855" s="25"/>
      <c r="Y4855" s="25"/>
      <c r="Z4855" s="25"/>
    </row>
    <row r="4856" spans="1:26" ht="15.75" customHeight="1" x14ac:dyDescent="0.25">
      <c r="A4856" s="25"/>
      <c r="B4856" s="49"/>
      <c r="C4856" s="50"/>
      <c r="D4856" s="23"/>
      <c r="E4856" s="23"/>
      <c r="F4856" s="15"/>
      <c r="G4856" s="23"/>
      <c r="H4856" s="15"/>
      <c r="I4856" s="15"/>
      <c r="J4856" s="51"/>
      <c r="K4856" s="15"/>
      <c r="L4856" s="51"/>
      <c r="M4856" s="15"/>
      <c r="N4856" s="23"/>
      <c r="O4856" s="23"/>
      <c r="P4856" s="15" t="str">
        <f t="shared" si="6"/>
        <v/>
      </c>
      <c r="Q4856" s="24"/>
      <c r="R4856" s="25"/>
      <c r="S4856" s="25"/>
      <c r="T4856" s="26"/>
      <c r="U4856" s="26"/>
      <c r="V4856" s="25"/>
      <c r="W4856" s="25"/>
      <c r="X4856" s="25"/>
      <c r="Y4856" s="25"/>
      <c r="Z4856" s="25"/>
    </row>
    <row r="4857" spans="1:26" ht="15.75" customHeight="1" x14ac:dyDescent="0.25">
      <c r="A4857" s="25"/>
      <c r="B4857" s="49"/>
      <c r="C4857" s="50"/>
      <c r="D4857" s="23"/>
      <c r="E4857" s="23"/>
      <c r="F4857" s="15"/>
      <c r="G4857" s="23"/>
      <c r="H4857" s="15"/>
      <c r="I4857" s="15"/>
      <c r="J4857" s="51"/>
      <c r="K4857" s="15"/>
      <c r="L4857" s="51"/>
      <c r="M4857" s="15"/>
      <c r="N4857" s="23"/>
      <c r="O4857" s="23"/>
      <c r="P4857" s="15" t="str">
        <f t="shared" si="6"/>
        <v/>
      </c>
      <c r="Q4857" s="24"/>
      <c r="R4857" s="25"/>
      <c r="S4857" s="25"/>
      <c r="T4857" s="26"/>
      <c r="U4857" s="26"/>
      <c r="V4857" s="25"/>
      <c r="W4857" s="25"/>
      <c r="X4857" s="25"/>
      <c r="Y4857" s="25"/>
      <c r="Z4857" s="25"/>
    </row>
    <row r="4858" spans="1:26" ht="15.75" customHeight="1" x14ac:dyDescent="0.25">
      <c r="A4858" s="25"/>
      <c r="B4858" s="49"/>
      <c r="C4858" s="50"/>
      <c r="D4858" s="23"/>
      <c r="E4858" s="23"/>
      <c r="F4858" s="15"/>
      <c r="G4858" s="23"/>
      <c r="H4858" s="15"/>
      <c r="I4858" s="15"/>
      <c r="J4858" s="51"/>
      <c r="K4858" s="15"/>
      <c r="L4858" s="51"/>
      <c r="M4858" s="15"/>
      <c r="N4858" s="23"/>
      <c r="O4858" s="23"/>
      <c r="P4858" s="15" t="str">
        <f t="shared" si="6"/>
        <v/>
      </c>
      <c r="Q4858" s="24"/>
      <c r="R4858" s="25"/>
      <c r="S4858" s="25"/>
      <c r="T4858" s="26"/>
      <c r="U4858" s="26"/>
      <c r="V4858" s="25"/>
      <c r="W4858" s="25"/>
      <c r="X4858" s="25"/>
      <c r="Y4858" s="25"/>
      <c r="Z4858" s="25"/>
    </row>
    <row r="4859" spans="1:26" ht="15.75" customHeight="1" x14ac:dyDescent="0.25">
      <c r="A4859" s="25"/>
      <c r="B4859" s="49"/>
      <c r="C4859" s="50"/>
      <c r="D4859" s="23"/>
      <c r="E4859" s="23"/>
      <c r="F4859" s="15"/>
      <c r="G4859" s="23"/>
      <c r="H4859" s="15"/>
      <c r="I4859" s="15"/>
      <c r="J4859" s="51"/>
      <c r="K4859" s="15"/>
      <c r="L4859" s="51"/>
      <c r="M4859" s="15"/>
      <c r="N4859" s="23"/>
      <c r="O4859" s="23"/>
      <c r="P4859" s="15" t="str">
        <f t="shared" si="6"/>
        <v/>
      </c>
      <c r="Q4859" s="24"/>
      <c r="R4859" s="25"/>
      <c r="S4859" s="25"/>
      <c r="T4859" s="26"/>
      <c r="U4859" s="26"/>
      <c r="V4859" s="25"/>
      <c r="W4859" s="25"/>
      <c r="X4859" s="25"/>
      <c r="Y4859" s="25"/>
      <c r="Z4859" s="25"/>
    </row>
    <row r="4860" spans="1:26" ht="15.75" customHeight="1" x14ac:dyDescent="0.25">
      <c r="A4860" s="25"/>
      <c r="B4860" s="49"/>
      <c r="C4860" s="50"/>
      <c r="D4860" s="23"/>
      <c r="E4860" s="23"/>
      <c r="F4860" s="15"/>
      <c r="G4860" s="23"/>
      <c r="H4860" s="15"/>
      <c r="I4860" s="15"/>
      <c r="J4860" s="51"/>
      <c r="K4860" s="15"/>
      <c r="L4860" s="51"/>
      <c r="M4860" s="15"/>
      <c r="N4860" s="23"/>
      <c r="O4860" s="23"/>
      <c r="P4860" s="15" t="str">
        <f t="shared" si="6"/>
        <v/>
      </c>
      <c r="Q4860" s="24"/>
      <c r="R4860" s="25"/>
      <c r="S4860" s="25"/>
      <c r="T4860" s="26"/>
      <c r="U4860" s="26"/>
      <c r="V4860" s="25"/>
      <c r="W4860" s="25"/>
      <c r="X4860" s="25"/>
      <c r="Y4860" s="25"/>
      <c r="Z4860" s="25"/>
    </row>
    <row r="4861" spans="1:26" ht="15.75" customHeight="1" x14ac:dyDescent="0.25">
      <c r="A4861" s="25"/>
      <c r="B4861" s="49"/>
      <c r="C4861" s="50"/>
      <c r="D4861" s="23"/>
      <c r="E4861" s="23"/>
      <c r="F4861" s="15"/>
      <c r="G4861" s="23"/>
      <c r="H4861" s="15"/>
      <c r="I4861" s="15"/>
      <c r="J4861" s="51"/>
      <c r="K4861" s="15"/>
      <c r="L4861" s="51"/>
      <c r="M4861" s="15"/>
      <c r="N4861" s="23"/>
      <c r="O4861" s="23"/>
      <c r="P4861" s="15" t="str">
        <f t="shared" si="6"/>
        <v/>
      </c>
      <c r="Q4861" s="24"/>
      <c r="R4861" s="25"/>
      <c r="S4861" s="25"/>
      <c r="T4861" s="26"/>
      <c r="U4861" s="26"/>
      <c r="V4861" s="25"/>
      <c r="W4861" s="25"/>
      <c r="X4861" s="25"/>
      <c r="Y4861" s="25"/>
      <c r="Z4861" s="25"/>
    </row>
    <row r="4862" spans="1:26" ht="15.75" customHeight="1" x14ac:dyDescent="0.25">
      <c r="A4862" s="25"/>
      <c r="B4862" s="49"/>
      <c r="C4862" s="50"/>
      <c r="D4862" s="23"/>
      <c r="E4862" s="23"/>
      <c r="F4862" s="15"/>
      <c r="G4862" s="23"/>
      <c r="H4862" s="15"/>
      <c r="I4862" s="15"/>
      <c r="J4862" s="51"/>
      <c r="K4862" s="15"/>
      <c r="L4862" s="51"/>
      <c r="M4862" s="15"/>
      <c r="N4862" s="23"/>
      <c r="O4862" s="23"/>
      <c r="P4862" s="15" t="str">
        <f t="shared" si="6"/>
        <v/>
      </c>
      <c r="Q4862" s="24"/>
      <c r="R4862" s="25"/>
      <c r="S4862" s="25"/>
      <c r="T4862" s="26"/>
      <c r="U4862" s="26"/>
      <c r="V4862" s="25"/>
      <c r="W4862" s="25"/>
      <c r="X4862" s="25"/>
      <c r="Y4862" s="25"/>
      <c r="Z4862" s="25"/>
    </row>
    <row r="4863" spans="1:26" ht="15.75" customHeight="1" x14ac:dyDescent="0.25">
      <c r="A4863" s="25"/>
      <c r="B4863" s="49"/>
      <c r="C4863" s="50"/>
      <c r="D4863" s="23"/>
      <c r="E4863" s="23"/>
      <c r="F4863" s="15"/>
      <c r="G4863" s="23"/>
      <c r="H4863" s="15"/>
      <c r="I4863" s="15"/>
      <c r="J4863" s="51"/>
      <c r="K4863" s="15"/>
      <c r="L4863" s="51"/>
      <c r="M4863" s="15"/>
      <c r="N4863" s="23"/>
      <c r="O4863" s="23"/>
      <c r="P4863" s="15" t="str">
        <f t="shared" si="6"/>
        <v/>
      </c>
      <c r="Q4863" s="24"/>
      <c r="R4863" s="25"/>
      <c r="S4863" s="25"/>
      <c r="T4863" s="26"/>
      <c r="U4863" s="26"/>
      <c r="V4863" s="25"/>
      <c r="W4863" s="25"/>
      <c r="X4863" s="25"/>
      <c r="Y4863" s="25"/>
      <c r="Z4863" s="25"/>
    </row>
    <row r="4864" spans="1:26" ht="15.75" customHeight="1" x14ac:dyDescent="0.25">
      <c r="A4864" s="25"/>
      <c r="B4864" s="49"/>
      <c r="C4864" s="50"/>
      <c r="D4864" s="23"/>
      <c r="E4864" s="23"/>
      <c r="F4864" s="15"/>
      <c r="G4864" s="23"/>
      <c r="H4864" s="15"/>
      <c r="I4864" s="15"/>
      <c r="J4864" s="51"/>
      <c r="K4864" s="15"/>
      <c r="L4864" s="51"/>
      <c r="M4864" s="15"/>
      <c r="N4864" s="23"/>
      <c r="O4864" s="23"/>
      <c r="P4864" s="15" t="str">
        <f t="shared" si="6"/>
        <v/>
      </c>
      <c r="Q4864" s="24"/>
      <c r="R4864" s="25"/>
      <c r="S4864" s="25"/>
      <c r="T4864" s="26"/>
      <c r="U4864" s="26"/>
      <c r="V4864" s="25"/>
      <c r="W4864" s="25"/>
      <c r="X4864" s="25"/>
      <c r="Y4864" s="25"/>
      <c r="Z4864" s="25"/>
    </row>
    <row r="4865" spans="1:26" ht="15.75" customHeight="1" x14ac:dyDescent="0.25">
      <c r="A4865" s="25"/>
      <c r="B4865" s="49"/>
      <c r="C4865" s="50"/>
      <c r="D4865" s="23"/>
      <c r="E4865" s="23"/>
      <c r="F4865" s="15"/>
      <c r="G4865" s="23"/>
      <c r="H4865" s="15"/>
      <c r="I4865" s="15"/>
      <c r="J4865" s="51"/>
      <c r="K4865" s="15"/>
      <c r="L4865" s="51"/>
      <c r="M4865" s="15"/>
      <c r="N4865" s="23"/>
      <c r="O4865" s="23"/>
      <c r="P4865" s="15" t="str">
        <f t="shared" si="6"/>
        <v/>
      </c>
      <c r="Q4865" s="24"/>
      <c r="R4865" s="25"/>
      <c r="S4865" s="25"/>
      <c r="T4865" s="26"/>
      <c r="U4865" s="26"/>
      <c r="V4865" s="25"/>
      <c r="W4865" s="25"/>
      <c r="X4865" s="25"/>
      <c r="Y4865" s="25"/>
      <c r="Z4865" s="25"/>
    </row>
    <row r="4866" spans="1:26" ht="15.75" customHeight="1" x14ac:dyDescent="0.25">
      <c r="A4866" s="25"/>
      <c r="B4866" s="49"/>
      <c r="C4866" s="50"/>
      <c r="D4866" s="23"/>
      <c r="E4866" s="23"/>
      <c r="F4866" s="15"/>
      <c r="G4866" s="23"/>
      <c r="H4866" s="15"/>
      <c r="I4866" s="15"/>
      <c r="J4866" s="51"/>
      <c r="K4866" s="15"/>
      <c r="L4866" s="51"/>
      <c r="M4866" s="15"/>
      <c r="N4866" s="23"/>
      <c r="O4866" s="23"/>
      <c r="P4866" s="15" t="str">
        <f t="shared" si="6"/>
        <v/>
      </c>
      <c r="Q4866" s="24"/>
      <c r="R4866" s="25"/>
      <c r="S4866" s="25"/>
      <c r="T4866" s="26"/>
      <c r="U4866" s="26"/>
      <c r="V4866" s="25"/>
      <c r="W4866" s="25"/>
      <c r="X4866" s="25"/>
      <c r="Y4866" s="25"/>
      <c r="Z4866" s="25"/>
    </row>
    <row r="4867" spans="1:26" ht="15.75" customHeight="1" x14ac:dyDescent="0.25">
      <c r="A4867" s="25"/>
      <c r="B4867" s="49"/>
      <c r="C4867" s="50"/>
      <c r="D4867" s="23"/>
      <c r="E4867" s="23"/>
      <c r="F4867" s="15"/>
      <c r="G4867" s="23"/>
      <c r="H4867" s="15"/>
      <c r="I4867" s="15"/>
      <c r="J4867" s="51"/>
      <c r="K4867" s="15"/>
      <c r="L4867" s="51"/>
      <c r="M4867" s="15"/>
      <c r="N4867" s="23"/>
      <c r="O4867" s="23"/>
      <c r="P4867" s="15" t="str">
        <f t="shared" si="6"/>
        <v/>
      </c>
      <c r="Q4867" s="24"/>
      <c r="R4867" s="25"/>
      <c r="S4867" s="25"/>
      <c r="T4867" s="26"/>
      <c r="U4867" s="26"/>
      <c r="V4867" s="25"/>
      <c r="W4867" s="25"/>
      <c r="X4867" s="25"/>
      <c r="Y4867" s="25"/>
      <c r="Z4867" s="25"/>
    </row>
    <row r="4868" spans="1:26" ht="15.75" customHeight="1" x14ac:dyDescent="0.25">
      <c r="A4868" s="25"/>
      <c r="B4868" s="49"/>
      <c r="C4868" s="50"/>
      <c r="D4868" s="23"/>
      <c r="E4868" s="23"/>
      <c r="F4868" s="15"/>
      <c r="G4868" s="23"/>
      <c r="H4868" s="15"/>
      <c r="I4868" s="15"/>
      <c r="J4868" s="51"/>
      <c r="K4868" s="15"/>
      <c r="L4868" s="51"/>
      <c r="M4868" s="15"/>
      <c r="N4868" s="23"/>
      <c r="O4868" s="23"/>
      <c r="P4868" s="15" t="str">
        <f t="shared" si="6"/>
        <v/>
      </c>
      <c r="Q4868" s="24"/>
      <c r="R4868" s="25"/>
      <c r="S4868" s="25"/>
      <c r="T4868" s="26"/>
      <c r="U4868" s="26"/>
      <c r="V4868" s="25"/>
      <c r="W4868" s="25"/>
      <c r="X4868" s="25"/>
      <c r="Y4868" s="25"/>
      <c r="Z4868" s="25"/>
    </row>
    <row r="4869" spans="1:26" ht="15.75" customHeight="1" x14ac:dyDescent="0.25">
      <c r="A4869" s="25"/>
      <c r="B4869" s="49"/>
      <c r="C4869" s="50"/>
      <c r="D4869" s="23"/>
      <c r="E4869" s="23"/>
      <c r="F4869" s="15"/>
      <c r="G4869" s="23"/>
      <c r="H4869" s="15"/>
      <c r="I4869" s="15"/>
      <c r="J4869" s="51"/>
      <c r="K4869" s="15"/>
      <c r="L4869" s="51"/>
      <c r="M4869" s="15"/>
      <c r="N4869" s="23"/>
      <c r="O4869" s="23"/>
      <c r="P4869" s="15" t="str">
        <f t="shared" si="6"/>
        <v/>
      </c>
      <c r="Q4869" s="24"/>
      <c r="R4869" s="25"/>
      <c r="S4869" s="25"/>
      <c r="T4869" s="26"/>
      <c r="U4869" s="26"/>
      <c r="V4869" s="25"/>
      <c r="W4869" s="25"/>
      <c r="X4869" s="25"/>
      <c r="Y4869" s="25"/>
      <c r="Z4869" s="25"/>
    </row>
    <row r="4870" spans="1:26" ht="15.75" customHeight="1" x14ac:dyDescent="0.25">
      <c r="A4870" s="25"/>
      <c r="B4870" s="49"/>
      <c r="C4870" s="50"/>
      <c r="D4870" s="23"/>
      <c r="E4870" s="23"/>
      <c r="F4870" s="15"/>
      <c r="G4870" s="23"/>
      <c r="H4870" s="15"/>
      <c r="I4870" s="15"/>
      <c r="J4870" s="51"/>
      <c r="K4870" s="15"/>
      <c r="L4870" s="51"/>
      <c r="M4870" s="15"/>
      <c r="N4870" s="23"/>
      <c r="O4870" s="23"/>
      <c r="P4870" s="15" t="str">
        <f t="shared" si="6"/>
        <v/>
      </c>
      <c r="Q4870" s="24"/>
      <c r="R4870" s="25"/>
      <c r="S4870" s="25"/>
      <c r="T4870" s="26"/>
      <c r="U4870" s="26"/>
      <c r="V4870" s="25"/>
      <c r="W4870" s="25"/>
      <c r="X4870" s="25"/>
      <c r="Y4870" s="25"/>
      <c r="Z4870" s="25"/>
    </row>
    <row r="4871" spans="1:26" ht="15.75" customHeight="1" x14ac:dyDescent="0.25">
      <c r="A4871" s="25"/>
      <c r="B4871" s="49"/>
      <c r="C4871" s="50"/>
      <c r="D4871" s="23"/>
      <c r="E4871" s="23"/>
      <c r="F4871" s="15"/>
      <c r="G4871" s="23"/>
      <c r="H4871" s="15"/>
      <c r="I4871" s="15"/>
      <c r="J4871" s="51"/>
      <c r="K4871" s="15"/>
      <c r="L4871" s="51"/>
      <c r="M4871" s="15"/>
      <c r="N4871" s="23"/>
      <c r="O4871" s="23"/>
      <c r="P4871" s="15" t="str">
        <f t="shared" si="6"/>
        <v/>
      </c>
      <c r="Q4871" s="24"/>
      <c r="R4871" s="25"/>
      <c r="S4871" s="25"/>
      <c r="T4871" s="26"/>
      <c r="U4871" s="26"/>
      <c r="V4871" s="25"/>
      <c r="W4871" s="25"/>
      <c r="X4871" s="25"/>
      <c r="Y4871" s="25"/>
      <c r="Z4871" s="25"/>
    </row>
    <row r="4872" spans="1:26" ht="15.75" customHeight="1" x14ac:dyDescent="0.25">
      <c r="A4872" s="25"/>
      <c r="B4872" s="49"/>
      <c r="C4872" s="50"/>
      <c r="D4872" s="23"/>
      <c r="E4872" s="23"/>
      <c r="F4872" s="15"/>
      <c r="G4872" s="23"/>
      <c r="H4872" s="15"/>
      <c r="I4872" s="15"/>
      <c r="J4872" s="51"/>
      <c r="K4872" s="15"/>
      <c r="L4872" s="51"/>
      <c r="M4872" s="15"/>
      <c r="N4872" s="23"/>
      <c r="O4872" s="23"/>
      <c r="P4872" s="15" t="str">
        <f t="shared" si="6"/>
        <v/>
      </c>
      <c r="Q4872" s="24"/>
      <c r="R4872" s="25"/>
      <c r="S4872" s="25"/>
      <c r="T4872" s="26"/>
      <c r="U4872" s="26"/>
      <c r="V4872" s="25"/>
      <c r="W4872" s="25"/>
      <c r="X4872" s="25"/>
      <c r="Y4872" s="25"/>
      <c r="Z4872" s="25"/>
    </row>
    <row r="4873" spans="1:26" ht="15.75" customHeight="1" x14ac:dyDescent="0.25">
      <c r="A4873" s="25"/>
      <c r="B4873" s="49"/>
      <c r="C4873" s="50"/>
      <c r="D4873" s="23"/>
      <c r="E4873" s="23"/>
      <c r="F4873" s="15"/>
      <c r="G4873" s="23"/>
      <c r="H4873" s="15"/>
      <c r="I4873" s="15"/>
      <c r="J4873" s="51"/>
      <c r="K4873" s="15"/>
      <c r="L4873" s="51"/>
      <c r="M4873" s="15"/>
      <c r="N4873" s="23"/>
      <c r="O4873" s="23"/>
      <c r="P4873" s="15" t="str">
        <f t="shared" si="6"/>
        <v/>
      </c>
      <c r="Q4873" s="24"/>
      <c r="R4873" s="25"/>
      <c r="S4873" s="25"/>
      <c r="T4873" s="26"/>
      <c r="U4873" s="26"/>
      <c r="V4873" s="25"/>
      <c r="W4873" s="25"/>
      <c r="X4873" s="25"/>
      <c r="Y4873" s="25"/>
      <c r="Z4873" s="25"/>
    </row>
    <row r="4874" spans="1:26" ht="15.75" customHeight="1" x14ac:dyDescent="0.25">
      <c r="A4874" s="25"/>
      <c r="B4874" s="49"/>
      <c r="C4874" s="50"/>
      <c r="D4874" s="23"/>
      <c r="E4874" s="23"/>
      <c r="F4874" s="15"/>
      <c r="G4874" s="23"/>
      <c r="H4874" s="15"/>
      <c r="I4874" s="15"/>
      <c r="J4874" s="51"/>
      <c r="K4874" s="15"/>
      <c r="L4874" s="51"/>
      <c r="M4874" s="15"/>
      <c r="N4874" s="23"/>
      <c r="O4874" s="23"/>
      <c r="P4874" s="15" t="str">
        <f t="shared" si="6"/>
        <v/>
      </c>
      <c r="Q4874" s="24"/>
      <c r="R4874" s="25"/>
      <c r="S4874" s="25"/>
      <c r="T4874" s="26"/>
      <c r="U4874" s="26"/>
      <c r="V4874" s="25"/>
      <c r="W4874" s="25"/>
      <c r="X4874" s="25"/>
      <c r="Y4874" s="25"/>
      <c r="Z4874" s="25"/>
    </row>
    <row r="4875" spans="1:26" ht="15.75" customHeight="1" x14ac:dyDescent="0.25">
      <c r="A4875" s="25"/>
      <c r="B4875" s="49"/>
      <c r="C4875" s="50"/>
      <c r="D4875" s="23"/>
      <c r="E4875" s="23"/>
      <c r="F4875" s="15"/>
      <c r="G4875" s="23"/>
      <c r="H4875" s="15"/>
      <c r="I4875" s="15"/>
      <c r="J4875" s="51"/>
      <c r="K4875" s="15"/>
      <c r="L4875" s="51"/>
      <c r="M4875" s="15"/>
      <c r="N4875" s="23"/>
      <c r="O4875" s="23"/>
      <c r="P4875" s="15" t="str">
        <f t="shared" si="6"/>
        <v/>
      </c>
      <c r="Q4875" s="24"/>
      <c r="R4875" s="25"/>
      <c r="S4875" s="25"/>
      <c r="T4875" s="26"/>
      <c r="U4875" s="26"/>
      <c r="V4875" s="25"/>
      <c r="W4875" s="25"/>
      <c r="X4875" s="25"/>
      <c r="Y4875" s="25"/>
      <c r="Z4875" s="25"/>
    </row>
    <row r="4876" spans="1:26" ht="15.75" customHeight="1" x14ac:dyDescent="0.25">
      <c r="A4876" s="25"/>
      <c r="B4876" s="49"/>
      <c r="C4876" s="50"/>
      <c r="D4876" s="23"/>
      <c r="E4876" s="23"/>
      <c r="F4876" s="15"/>
      <c r="G4876" s="23"/>
      <c r="H4876" s="15"/>
      <c r="I4876" s="15"/>
      <c r="J4876" s="51"/>
      <c r="K4876" s="15"/>
      <c r="L4876" s="51"/>
      <c r="M4876" s="15"/>
      <c r="N4876" s="23"/>
      <c r="O4876" s="23"/>
      <c r="P4876" s="15" t="str">
        <f t="shared" si="6"/>
        <v/>
      </c>
      <c r="Q4876" s="24"/>
      <c r="R4876" s="25"/>
      <c r="S4876" s="25"/>
      <c r="T4876" s="26"/>
      <c r="U4876" s="26"/>
      <c r="V4876" s="25"/>
      <c r="W4876" s="25"/>
      <c r="X4876" s="25"/>
      <c r="Y4876" s="25"/>
      <c r="Z4876" s="25"/>
    </row>
    <row r="4877" spans="1:26" ht="15.75" customHeight="1" x14ac:dyDescent="0.25">
      <c r="A4877" s="25"/>
      <c r="B4877" s="49"/>
      <c r="C4877" s="50"/>
      <c r="D4877" s="23"/>
      <c r="E4877" s="23"/>
      <c r="F4877" s="15"/>
      <c r="G4877" s="23"/>
      <c r="H4877" s="15"/>
      <c r="I4877" s="15"/>
      <c r="J4877" s="51"/>
      <c r="K4877" s="15"/>
      <c r="L4877" s="51"/>
      <c r="M4877" s="15"/>
      <c r="N4877" s="23"/>
      <c r="O4877" s="23"/>
      <c r="P4877" s="15" t="str">
        <f t="shared" si="6"/>
        <v/>
      </c>
      <c r="Q4877" s="24"/>
      <c r="R4877" s="25"/>
      <c r="S4877" s="25"/>
      <c r="T4877" s="26"/>
      <c r="U4877" s="26"/>
      <c r="V4877" s="25"/>
      <c r="W4877" s="25"/>
      <c r="X4877" s="25"/>
      <c r="Y4877" s="25"/>
      <c r="Z4877" s="25"/>
    </row>
    <row r="4878" spans="1:26" ht="15.75" customHeight="1" x14ac:dyDescent="0.25">
      <c r="A4878" s="25"/>
      <c r="B4878" s="49"/>
      <c r="C4878" s="50"/>
      <c r="D4878" s="23"/>
      <c r="E4878" s="23"/>
      <c r="F4878" s="15"/>
      <c r="G4878" s="23"/>
      <c r="H4878" s="15"/>
      <c r="I4878" s="15"/>
      <c r="J4878" s="51"/>
      <c r="K4878" s="15"/>
      <c r="L4878" s="51"/>
      <c r="M4878" s="15"/>
      <c r="N4878" s="23"/>
      <c r="O4878" s="23"/>
      <c r="P4878" s="15" t="str">
        <f t="shared" si="6"/>
        <v/>
      </c>
      <c r="Q4878" s="24"/>
      <c r="R4878" s="25"/>
      <c r="S4878" s="25"/>
      <c r="T4878" s="26"/>
      <c r="U4878" s="26"/>
      <c r="V4878" s="25"/>
      <c r="W4878" s="25"/>
      <c r="X4878" s="25"/>
      <c r="Y4878" s="25"/>
      <c r="Z4878" s="25"/>
    </row>
    <row r="4879" spans="1:26" ht="15.75" customHeight="1" x14ac:dyDescent="0.25">
      <c r="A4879" s="25"/>
      <c r="B4879" s="49"/>
      <c r="C4879" s="50"/>
      <c r="D4879" s="23"/>
      <c r="E4879" s="23"/>
      <c r="F4879" s="15"/>
      <c r="G4879" s="23"/>
      <c r="H4879" s="15"/>
      <c r="I4879" s="15"/>
      <c r="J4879" s="51"/>
      <c r="K4879" s="15"/>
      <c r="L4879" s="51"/>
      <c r="M4879" s="15"/>
      <c r="N4879" s="23"/>
      <c r="O4879" s="23"/>
      <c r="P4879" s="15" t="str">
        <f t="shared" si="6"/>
        <v/>
      </c>
      <c r="Q4879" s="24"/>
      <c r="R4879" s="25"/>
      <c r="S4879" s="25"/>
      <c r="T4879" s="26"/>
      <c r="U4879" s="26"/>
      <c r="V4879" s="25"/>
      <c r="W4879" s="25"/>
      <c r="X4879" s="25"/>
      <c r="Y4879" s="25"/>
      <c r="Z4879" s="25"/>
    </row>
    <row r="4880" spans="1:26" ht="15.75" customHeight="1" x14ac:dyDescent="0.25">
      <c r="A4880" s="25"/>
      <c r="B4880" s="49"/>
      <c r="C4880" s="50"/>
      <c r="D4880" s="23"/>
      <c r="E4880" s="23"/>
      <c r="F4880" s="15"/>
      <c r="G4880" s="23"/>
      <c r="H4880" s="15"/>
      <c r="I4880" s="15"/>
      <c r="J4880" s="51"/>
      <c r="K4880" s="15"/>
      <c r="L4880" s="51"/>
      <c r="M4880" s="15"/>
      <c r="N4880" s="23"/>
      <c r="O4880" s="23"/>
      <c r="P4880" s="15" t="str">
        <f t="shared" si="6"/>
        <v/>
      </c>
      <c r="Q4880" s="24"/>
      <c r="R4880" s="25"/>
      <c r="S4880" s="25"/>
      <c r="T4880" s="26"/>
      <c r="U4880" s="26"/>
      <c r="V4880" s="25"/>
      <c r="W4880" s="25"/>
      <c r="X4880" s="25"/>
      <c r="Y4880" s="25"/>
      <c r="Z4880" s="25"/>
    </row>
    <row r="4881" spans="1:26" ht="15.75" customHeight="1" x14ac:dyDescent="0.25">
      <c r="A4881" s="25"/>
      <c r="B4881" s="49"/>
      <c r="C4881" s="50"/>
      <c r="D4881" s="23"/>
      <c r="E4881" s="23"/>
      <c r="F4881" s="15"/>
      <c r="G4881" s="23"/>
      <c r="H4881" s="15"/>
      <c r="I4881" s="15"/>
      <c r="J4881" s="51"/>
      <c r="K4881" s="15"/>
      <c r="L4881" s="51"/>
      <c r="M4881" s="15"/>
      <c r="N4881" s="23"/>
      <c r="O4881" s="23"/>
      <c r="P4881" s="15" t="str">
        <f t="shared" si="6"/>
        <v/>
      </c>
      <c r="Q4881" s="24"/>
      <c r="R4881" s="25"/>
      <c r="S4881" s="25"/>
      <c r="T4881" s="26"/>
      <c r="U4881" s="26"/>
      <c r="V4881" s="25"/>
      <c r="W4881" s="25"/>
      <c r="X4881" s="25"/>
      <c r="Y4881" s="25"/>
      <c r="Z4881" s="25"/>
    </row>
    <row r="4882" spans="1:26" ht="15.75" customHeight="1" x14ac:dyDescent="0.25">
      <c r="A4882" s="25"/>
      <c r="B4882" s="49"/>
      <c r="C4882" s="50"/>
      <c r="D4882" s="23"/>
      <c r="E4882" s="23"/>
      <c r="F4882" s="15"/>
      <c r="G4882" s="23"/>
      <c r="H4882" s="15"/>
      <c r="I4882" s="15"/>
      <c r="J4882" s="51"/>
      <c r="K4882" s="15"/>
      <c r="L4882" s="51"/>
      <c r="M4882" s="15"/>
      <c r="N4882" s="23"/>
      <c r="O4882" s="23"/>
      <c r="P4882" s="15" t="str">
        <f t="shared" si="6"/>
        <v/>
      </c>
      <c r="Q4882" s="24"/>
      <c r="R4882" s="25"/>
      <c r="S4882" s="25"/>
      <c r="T4882" s="26"/>
      <c r="U4882" s="26"/>
      <c r="V4882" s="25"/>
      <c r="W4882" s="25"/>
      <c r="X4882" s="25"/>
      <c r="Y4882" s="25"/>
      <c r="Z4882" s="25"/>
    </row>
    <row r="4883" spans="1:26" ht="15.75" customHeight="1" x14ac:dyDescent="0.25">
      <c r="A4883" s="25"/>
      <c r="B4883" s="49"/>
      <c r="C4883" s="50"/>
      <c r="D4883" s="23"/>
      <c r="E4883" s="23"/>
      <c r="F4883" s="15"/>
      <c r="G4883" s="23"/>
      <c r="H4883" s="15"/>
      <c r="I4883" s="15"/>
      <c r="J4883" s="51"/>
      <c r="K4883" s="15"/>
      <c r="L4883" s="51"/>
      <c r="M4883" s="15"/>
      <c r="N4883" s="23"/>
      <c r="O4883" s="23"/>
      <c r="P4883" s="15" t="str">
        <f t="shared" si="6"/>
        <v/>
      </c>
      <c r="Q4883" s="24"/>
      <c r="R4883" s="25"/>
      <c r="S4883" s="25"/>
      <c r="T4883" s="26"/>
      <c r="U4883" s="26"/>
      <c r="V4883" s="25"/>
      <c r="W4883" s="25"/>
      <c r="X4883" s="25"/>
      <c r="Y4883" s="25"/>
      <c r="Z4883" s="25"/>
    </row>
    <row r="4884" spans="1:26" ht="15.75" customHeight="1" x14ac:dyDescent="0.25">
      <c r="A4884" s="25"/>
      <c r="B4884" s="49"/>
      <c r="C4884" s="50"/>
      <c r="D4884" s="23"/>
      <c r="E4884" s="23"/>
      <c r="F4884" s="15"/>
      <c r="G4884" s="23"/>
      <c r="H4884" s="15"/>
      <c r="I4884" s="15"/>
      <c r="J4884" s="51"/>
      <c r="K4884" s="15"/>
      <c r="L4884" s="51"/>
      <c r="M4884" s="15"/>
      <c r="N4884" s="23"/>
      <c r="O4884" s="23"/>
      <c r="P4884" s="15" t="str">
        <f t="shared" si="6"/>
        <v/>
      </c>
      <c r="Q4884" s="24"/>
      <c r="R4884" s="25"/>
      <c r="S4884" s="25"/>
      <c r="T4884" s="26"/>
      <c r="U4884" s="26"/>
      <c r="V4884" s="25"/>
      <c r="W4884" s="25"/>
      <c r="X4884" s="25"/>
      <c r="Y4884" s="25"/>
      <c r="Z4884" s="25"/>
    </row>
    <row r="4885" spans="1:26" ht="15.75" customHeight="1" x14ac:dyDescent="0.25">
      <c r="A4885" s="25"/>
      <c r="B4885" s="49"/>
      <c r="C4885" s="50"/>
      <c r="D4885" s="23"/>
      <c r="E4885" s="23"/>
      <c r="F4885" s="15"/>
      <c r="G4885" s="23"/>
      <c r="H4885" s="15"/>
      <c r="I4885" s="15"/>
      <c r="J4885" s="51"/>
      <c r="K4885" s="15"/>
      <c r="L4885" s="51"/>
      <c r="M4885" s="15"/>
      <c r="N4885" s="23"/>
      <c r="O4885" s="23"/>
      <c r="P4885" s="15" t="str">
        <f t="shared" si="6"/>
        <v/>
      </c>
      <c r="Q4885" s="24"/>
      <c r="R4885" s="25"/>
      <c r="S4885" s="25"/>
      <c r="T4885" s="26"/>
      <c r="U4885" s="26"/>
      <c r="V4885" s="25"/>
      <c r="W4885" s="25"/>
      <c r="X4885" s="25"/>
      <c r="Y4885" s="25"/>
      <c r="Z4885" s="25"/>
    </row>
    <row r="4886" spans="1:26" ht="15.75" customHeight="1" x14ac:dyDescent="0.25">
      <c r="A4886" s="25"/>
      <c r="B4886" s="49"/>
      <c r="C4886" s="50"/>
      <c r="D4886" s="23"/>
      <c r="E4886" s="23"/>
      <c r="F4886" s="15"/>
      <c r="G4886" s="23"/>
      <c r="H4886" s="15"/>
      <c r="I4886" s="15"/>
      <c r="J4886" s="51"/>
      <c r="K4886" s="15"/>
      <c r="L4886" s="51"/>
      <c r="M4886" s="15"/>
      <c r="N4886" s="23"/>
      <c r="O4886" s="23"/>
      <c r="P4886" s="15" t="str">
        <f t="shared" si="6"/>
        <v/>
      </c>
      <c r="Q4886" s="24"/>
      <c r="R4886" s="25"/>
      <c r="S4886" s="25"/>
      <c r="T4886" s="26"/>
      <c r="U4886" s="26"/>
      <c r="V4886" s="25"/>
      <c r="W4886" s="25"/>
      <c r="X4886" s="25"/>
      <c r="Y4886" s="25"/>
      <c r="Z4886" s="25"/>
    </row>
    <row r="4887" spans="1:26" ht="15.75" customHeight="1" x14ac:dyDescent="0.25">
      <c r="A4887" s="25"/>
      <c r="B4887" s="49"/>
      <c r="C4887" s="50"/>
      <c r="D4887" s="23"/>
      <c r="E4887" s="23"/>
      <c r="F4887" s="15"/>
      <c r="G4887" s="23"/>
      <c r="H4887" s="15"/>
      <c r="I4887" s="15"/>
      <c r="J4887" s="51"/>
      <c r="K4887" s="15"/>
      <c r="L4887" s="51"/>
      <c r="M4887" s="15"/>
      <c r="N4887" s="23"/>
      <c r="O4887" s="23"/>
      <c r="P4887" s="15" t="str">
        <f t="shared" si="6"/>
        <v/>
      </c>
      <c r="Q4887" s="24"/>
      <c r="R4887" s="25"/>
      <c r="S4887" s="25"/>
      <c r="T4887" s="26"/>
      <c r="U4887" s="26"/>
      <c r="V4887" s="25"/>
      <c r="W4887" s="25"/>
      <c r="X4887" s="25"/>
      <c r="Y4887" s="25"/>
      <c r="Z4887" s="25"/>
    </row>
    <row r="4888" spans="1:26" ht="15.75" customHeight="1" x14ac:dyDescent="0.25">
      <c r="A4888" s="25"/>
      <c r="B4888" s="49"/>
      <c r="C4888" s="50"/>
      <c r="D4888" s="23"/>
      <c r="E4888" s="23"/>
      <c r="F4888" s="15"/>
      <c r="G4888" s="23"/>
      <c r="H4888" s="15"/>
      <c r="I4888" s="15"/>
      <c r="J4888" s="51"/>
      <c r="K4888" s="15"/>
      <c r="L4888" s="51"/>
      <c r="M4888" s="15"/>
      <c r="N4888" s="23"/>
      <c r="O4888" s="23"/>
      <c r="P4888" s="15" t="str">
        <f t="shared" si="6"/>
        <v/>
      </c>
      <c r="Q4888" s="24"/>
      <c r="R4888" s="25"/>
      <c r="S4888" s="25"/>
      <c r="T4888" s="26"/>
      <c r="U4888" s="26"/>
      <c r="V4888" s="25"/>
      <c r="W4888" s="25"/>
      <c r="X4888" s="25"/>
      <c r="Y4888" s="25"/>
      <c r="Z4888" s="25"/>
    </row>
    <row r="4889" spans="1:26" ht="15.75" customHeight="1" x14ac:dyDescent="0.25">
      <c r="A4889" s="25"/>
      <c r="B4889" s="49"/>
      <c r="C4889" s="50"/>
      <c r="D4889" s="23"/>
      <c r="E4889" s="23"/>
      <c r="F4889" s="15"/>
      <c r="G4889" s="23"/>
      <c r="H4889" s="15"/>
      <c r="I4889" s="15"/>
      <c r="J4889" s="51"/>
      <c r="K4889" s="15"/>
      <c r="L4889" s="51"/>
      <c r="M4889" s="15"/>
      <c r="N4889" s="23"/>
      <c r="O4889" s="23"/>
      <c r="P4889" s="15" t="str">
        <f t="shared" si="6"/>
        <v/>
      </c>
      <c r="Q4889" s="24"/>
      <c r="R4889" s="25"/>
      <c r="S4889" s="25"/>
      <c r="T4889" s="26"/>
      <c r="U4889" s="26"/>
      <c r="V4889" s="25"/>
      <c r="W4889" s="25"/>
      <c r="X4889" s="25"/>
      <c r="Y4889" s="25"/>
      <c r="Z4889" s="25"/>
    </row>
    <row r="4890" spans="1:26" ht="15.75" customHeight="1" x14ac:dyDescent="0.25">
      <c r="A4890" s="25"/>
      <c r="B4890" s="49"/>
      <c r="C4890" s="50"/>
      <c r="D4890" s="23"/>
      <c r="E4890" s="23"/>
      <c r="F4890" s="15"/>
      <c r="G4890" s="23"/>
      <c r="H4890" s="15"/>
      <c r="I4890" s="15"/>
      <c r="J4890" s="51"/>
      <c r="K4890" s="15"/>
      <c r="L4890" s="51"/>
      <c r="M4890" s="15"/>
      <c r="N4890" s="23"/>
      <c r="O4890" s="23"/>
      <c r="P4890" s="15" t="str">
        <f t="shared" si="6"/>
        <v/>
      </c>
      <c r="Q4890" s="24"/>
      <c r="R4890" s="25"/>
      <c r="S4890" s="25"/>
      <c r="T4890" s="26"/>
      <c r="U4890" s="26"/>
      <c r="V4890" s="25"/>
      <c r="W4890" s="25"/>
      <c r="X4890" s="25"/>
      <c r="Y4890" s="25"/>
      <c r="Z4890" s="25"/>
    </row>
    <row r="4891" spans="1:26" ht="15.75" customHeight="1" x14ac:dyDescent="0.25">
      <c r="A4891" s="25"/>
      <c r="B4891" s="49"/>
      <c r="C4891" s="50"/>
      <c r="D4891" s="23"/>
      <c r="E4891" s="23"/>
      <c r="F4891" s="15"/>
      <c r="G4891" s="23"/>
      <c r="H4891" s="15"/>
      <c r="I4891" s="15"/>
      <c r="J4891" s="51"/>
      <c r="K4891" s="15"/>
      <c r="L4891" s="51"/>
      <c r="M4891" s="15"/>
      <c r="N4891" s="23"/>
      <c r="O4891" s="23"/>
      <c r="P4891" s="15" t="str">
        <f t="shared" si="6"/>
        <v/>
      </c>
      <c r="Q4891" s="24"/>
      <c r="R4891" s="25"/>
      <c r="S4891" s="25"/>
      <c r="T4891" s="26"/>
      <c r="U4891" s="26"/>
      <c r="V4891" s="25"/>
      <c r="W4891" s="25"/>
      <c r="X4891" s="25"/>
      <c r="Y4891" s="25"/>
      <c r="Z4891" s="25"/>
    </row>
    <row r="4892" spans="1:26" ht="15.75" customHeight="1" x14ac:dyDescent="0.25">
      <c r="A4892" s="25"/>
      <c r="B4892" s="49"/>
      <c r="C4892" s="50"/>
      <c r="D4892" s="23"/>
      <c r="E4892" s="23"/>
      <c r="F4892" s="15"/>
      <c r="G4892" s="23"/>
      <c r="H4892" s="15"/>
      <c r="I4892" s="15"/>
      <c r="J4892" s="51"/>
      <c r="K4892" s="15"/>
      <c r="L4892" s="51"/>
      <c r="M4892" s="15"/>
      <c r="N4892" s="23"/>
      <c r="O4892" s="23"/>
      <c r="P4892" s="15" t="str">
        <f t="shared" si="6"/>
        <v/>
      </c>
      <c r="Q4892" s="24"/>
      <c r="R4892" s="25"/>
      <c r="S4892" s="25"/>
      <c r="T4892" s="26"/>
      <c r="U4892" s="26"/>
      <c r="V4892" s="25"/>
      <c r="W4892" s="25"/>
      <c r="X4892" s="25"/>
      <c r="Y4892" s="25"/>
      <c r="Z4892" s="25"/>
    </row>
    <row r="4893" spans="1:26" ht="15.75" customHeight="1" x14ac:dyDescent="0.25">
      <c r="A4893" s="25"/>
      <c r="B4893" s="49"/>
      <c r="C4893" s="50"/>
      <c r="D4893" s="23"/>
      <c r="E4893" s="23"/>
      <c r="F4893" s="15"/>
      <c r="G4893" s="23"/>
      <c r="H4893" s="15"/>
      <c r="I4893" s="15"/>
      <c r="J4893" s="51"/>
      <c r="K4893" s="15"/>
      <c r="L4893" s="51"/>
      <c r="M4893" s="15"/>
      <c r="N4893" s="23"/>
      <c r="O4893" s="23"/>
      <c r="P4893" s="15" t="str">
        <f t="shared" si="6"/>
        <v/>
      </c>
      <c r="Q4893" s="24"/>
      <c r="R4893" s="25"/>
      <c r="S4893" s="25"/>
      <c r="T4893" s="26"/>
      <c r="U4893" s="26"/>
      <c r="V4893" s="25"/>
      <c r="W4893" s="25"/>
      <c r="X4893" s="25"/>
      <c r="Y4893" s="25"/>
      <c r="Z4893" s="25"/>
    </row>
    <row r="4894" spans="1:26" ht="15.75" customHeight="1" x14ac:dyDescent="0.25">
      <c r="A4894" s="25"/>
      <c r="B4894" s="49"/>
      <c r="C4894" s="50"/>
      <c r="D4894" s="23"/>
      <c r="E4894" s="23"/>
      <c r="F4894" s="15"/>
      <c r="G4894" s="23"/>
      <c r="H4894" s="15"/>
      <c r="I4894" s="15"/>
      <c r="J4894" s="51"/>
      <c r="K4894" s="15"/>
      <c r="L4894" s="51"/>
      <c r="M4894" s="15"/>
      <c r="N4894" s="23"/>
      <c r="O4894" s="23"/>
      <c r="P4894" s="15" t="str">
        <f t="shared" si="6"/>
        <v/>
      </c>
      <c r="Q4894" s="24"/>
      <c r="R4894" s="25"/>
      <c r="S4894" s="25"/>
      <c r="T4894" s="26"/>
      <c r="U4894" s="26"/>
      <c r="V4894" s="25"/>
      <c r="W4894" s="25"/>
      <c r="X4894" s="25"/>
      <c r="Y4894" s="25"/>
      <c r="Z4894" s="25"/>
    </row>
    <row r="4895" spans="1:26" ht="15.75" customHeight="1" x14ac:dyDescent="0.25">
      <c r="A4895" s="25"/>
      <c r="B4895" s="49"/>
      <c r="C4895" s="50"/>
      <c r="D4895" s="23"/>
      <c r="E4895" s="23"/>
      <c r="F4895" s="15"/>
      <c r="G4895" s="23"/>
      <c r="H4895" s="15"/>
      <c r="I4895" s="15"/>
      <c r="J4895" s="51"/>
      <c r="K4895" s="15"/>
      <c r="L4895" s="51"/>
      <c r="M4895" s="15"/>
      <c r="N4895" s="23"/>
      <c r="O4895" s="23"/>
      <c r="P4895" s="15" t="str">
        <f t="shared" si="6"/>
        <v/>
      </c>
      <c r="Q4895" s="24"/>
      <c r="R4895" s="25"/>
      <c r="S4895" s="25"/>
      <c r="T4895" s="26"/>
      <c r="U4895" s="26"/>
      <c r="V4895" s="25"/>
      <c r="W4895" s="25"/>
      <c r="X4895" s="25"/>
      <c r="Y4895" s="25"/>
      <c r="Z4895" s="25"/>
    </row>
    <row r="4896" spans="1:26" ht="15.75" customHeight="1" x14ac:dyDescent="0.25">
      <c r="A4896" s="25"/>
      <c r="B4896" s="49"/>
      <c r="C4896" s="50"/>
      <c r="D4896" s="23"/>
      <c r="E4896" s="23"/>
      <c r="F4896" s="15"/>
      <c r="G4896" s="23"/>
      <c r="H4896" s="15"/>
      <c r="I4896" s="15"/>
      <c r="J4896" s="51"/>
      <c r="K4896" s="15"/>
      <c r="L4896" s="51"/>
      <c r="M4896" s="15"/>
      <c r="N4896" s="23"/>
      <c r="O4896" s="23"/>
      <c r="P4896" s="15" t="str">
        <f t="shared" si="6"/>
        <v/>
      </c>
      <c r="Q4896" s="24"/>
      <c r="R4896" s="25"/>
      <c r="S4896" s="25"/>
      <c r="T4896" s="26"/>
      <c r="U4896" s="26"/>
      <c r="V4896" s="25"/>
      <c r="W4896" s="25"/>
      <c r="X4896" s="25"/>
      <c r="Y4896" s="25"/>
      <c r="Z4896" s="25"/>
    </row>
    <row r="4897" spans="1:26" ht="15.75" customHeight="1" x14ac:dyDescent="0.25">
      <c r="A4897" s="25"/>
      <c r="B4897" s="49"/>
      <c r="C4897" s="50"/>
      <c r="D4897" s="23"/>
      <c r="E4897" s="23"/>
      <c r="F4897" s="15"/>
      <c r="G4897" s="23"/>
      <c r="H4897" s="15"/>
      <c r="I4897" s="15"/>
      <c r="J4897" s="51"/>
      <c r="K4897" s="15"/>
      <c r="L4897" s="51"/>
      <c r="M4897" s="15"/>
      <c r="N4897" s="23"/>
      <c r="O4897" s="23"/>
      <c r="P4897" s="15" t="str">
        <f t="shared" si="6"/>
        <v/>
      </c>
      <c r="Q4897" s="24"/>
      <c r="R4897" s="25"/>
      <c r="S4897" s="25"/>
      <c r="T4897" s="26"/>
      <c r="U4897" s="26"/>
      <c r="V4897" s="25"/>
      <c r="W4897" s="25"/>
      <c r="X4897" s="25"/>
      <c r="Y4897" s="25"/>
      <c r="Z4897" s="25"/>
    </row>
    <row r="4898" spans="1:26" ht="15.75" customHeight="1" x14ac:dyDescent="0.25">
      <c r="A4898" s="25"/>
      <c r="B4898" s="49"/>
      <c r="C4898" s="50"/>
      <c r="D4898" s="23"/>
      <c r="E4898" s="23"/>
      <c r="F4898" s="15"/>
      <c r="G4898" s="23"/>
      <c r="H4898" s="15"/>
      <c r="I4898" s="15"/>
      <c r="J4898" s="51"/>
      <c r="K4898" s="15"/>
      <c r="L4898" s="51"/>
      <c r="M4898" s="15"/>
      <c r="N4898" s="23"/>
      <c r="O4898" s="23"/>
      <c r="P4898" s="15" t="str">
        <f t="shared" si="6"/>
        <v/>
      </c>
      <c r="Q4898" s="24"/>
      <c r="R4898" s="25"/>
      <c r="S4898" s="25"/>
      <c r="T4898" s="26"/>
      <c r="U4898" s="26"/>
      <c r="V4898" s="25"/>
      <c r="W4898" s="25"/>
      <c r="X4898" s="25"/>
      <c r="Y4898" s="25"/>
      <c r="Z4898" s="25"/>
    </row>
    <row r="4899" spans="1:26" ht="15.75" customHeight="1" x14ac:dyDescent="0.25">
      <c r="A4899" s="25"/>
      <c r="B4899" s="49"/>
      <c r="C4899" s="50"/>
      <c r="D4899" s="23"/>
      <c r="E4899" s="23"/>
      <c r="F4899" s="15"/>
      <c r="G4899" s="23"/>
      <c r="H4899" s="15"/>
      <c r="I4899" s="15"/>
      <c r="J4899" s="51"/>
      <c r="K4899" s="15"/>
      <c r="L4899" s="51"/>
      <c r="M4899" s="15"/>
      <c r="N4899" s="23"/>
      <c r="O4899" s="23"/>
      <c r="P4899" s="15" t="str">
        <f t="shared" si="6"/>
        <v/>
      </c>
      <c r="Q4899" s="24"/>
      <c r="R4899" s="25"/>
      <c r="S4899" s="25"/>
      <c r="T4899" s="26"/>
      <c r="U4899" s="26"/>
      <c r="V4899" s="25"/>
      <c r="W4899" s="25"/>
      <c r="X4899" s="25"/>
      <c r="Y4899" s="25"/>
      <c r="Z4899" s="25"/>
    </row>
    <row r="4900" spans="1:26" ht="15.75" customHeight="1" x14ac:dyDescent="0.25">
      <c r="A4900" s="25"/>
      <c r="B4900" s="49"/>
      <c r="C4900" s="50"/>
      <c r="D4900" s="23"/>
      <c r="E4900" s="23"/>
      <c r="F4900" s="15"/>
      <c r="G4900" s="23"/>
      <c r="H4900" s="15"/>
      <c r="I4900" s="15"/>
      <c r="J4900" s="51"/>
      <c r="K4900" s="15"/>
      <c r="L4900" s="51"/>
      <c r="M4900" s="15"/>
      <c r="N4900" s="23"/>
      <c r="O4900" s="23"/>
      <c r="P4900" s="15" t="str">
        <f t="shared" si="6"/>
        <v/>
      </c>
      <c r="Q4900" s="24"/>
      <c r="R4900" s="25"/>
      <c r="S4900" s="25"/>
      <c r="T4900" s="26"/>
      <c r="U4900" s="26"/>
      <c r="V4900" s="25"/>
      <c r="W4900" s="25"/>
      <c r="X4900" s="25"/>
      <c r="Y4900" s="25"/>
      <c r="Z4900" s="25"/>
    </row>
    <row r="4901" spans="1:26" ht="15.75" customHeight="1" x14ac:dyDescent="0.25">
      <c r="A4901" s="25"/>
      <c r="B4901" s="49"/>
      <c r="C4901" s="50"/>
      <c r="D4901" s="23"/>
      <c r="E4901" s="23"/>
      <c r="F4901" s="15"/>
      <c r="G4901" s="23"/>
      <c r="H4901" s="15"/>
      <c r="I4901" s="15"/>
      <c r="J4901" s="51"/>
      <c r="K4901" s="15"/>
      <c r="L4901" s="51"/>
      <c r="M4901" s="15"/>
      <c r="N4901" s="23"/>
      <c r="O4901" s="23"/>
      <c r="P4901" s="15" t="str">
        <f t="shared" si="6"/>
        <v/>
      </c>
      <c r="Q4901" s="24"/>
      <c r="R4901" s="25"/>
      <c r="S4901" s="25"/>
      <c r="T4901" s="26"/>
      <c r="U4901" s="26"/>
      <c r="V4901" s="25"/>
      <c r="W4901" s="25"/>
      <c r="X4901" s="25"/>
      <c r="Y4901" s="25"/>
      <c r="Z4901" s="25"/>
    </row>
    <row r="4902" spans="1:26" ht="15.75" customHeight="1" x14ac:dyDescent="0.25">
      <c r="A4902" s="25"/>
      <c r="B4902" s="49"/>
      <c r="C4902" s="50"/>
      <c r="D4902" s="23"/>
      <c r="E4902" s="23"/>
      <c r="F4902" s="15"/>
      <c r="G4902" s="23"/>
      <c r="H4902" s="15"/>
      <c r="I4902" s="15"/>
      <c r="J4902" s="51"/>
      <c r="K4902" s="15"/>
      <c r="L4902" s="51"/>
      <c r="M4902" s="15"/>
      <c r="N4902" s="23"/>
      <c r="O4902" s="23"/>
      <c r="P4902" s="15" t="str">
        <f t="shared" si="6"/>
        <v/>
      </c>
      <c r="Q4902" s="24"/>
      <c r="R4902" s="25"/>
      <c r="S4902" s="25"/>
      <c r="T4902" s="26"/>
      <c r="U4902" s="26"/>
      <c r="V4902" s="25"/>
      <c r="W4902" s="25"/>
      <c r="X4902" s="25"/>
      <c r="Y4902" s="25"/>
      <c r="Z4902" s="25"/>
    </row>
    <row r="4903" spans="1:26" ht="15.75" customHeight="1" x14ac:dyDescent="0.25">
      <c r="A4903" s="25"/>
      <c r="B4903" s="49"/>
      <c r="C4903" s="50"/>
      <c r="D4903" s="23"/>
      <c r="E4903" s="23"/>
      <c r="F4903" s="15"/>
      <c r="G4903" s="23"/>
      <c r="H4903" s="15"/>
      <c r="I4903" s="15"/>
      <c r="J4903" s="51"/>
      <c r="K4903" s="15"/>
      <c r="L4903" s="51"/>
      <c r="M4903" s="15"/>
      <c r="N4903" s="23"/>
      <c r="O4903" s="23"/>
      <c r="P4903" s="15" t="str">
        <f t="shared" si="6"/>
        <v/>
      </c>
      <c r="Q4903" s="24"/>
      <c r="R4903" s="25"/>
      <c r="S4903" s="25"/>
      <c r="T4903" s="26"/>
      <c r="U4903" s="26"/>
      <c r="V4903" s="25"/>
      <c r="W4903" s="25"/>
      <c r="X4903" s="25"/>
      <c r="Y4903" s="25"/>
      <c r="Z4903" s="25"/>
    </row>
    <row r="4904" spans="1:26" ht="15.75" customHeight="1" x14ac:dyDescent="0.25">
      <c r="A4904" s="25"/>
      <c r="B4904" s="49"/>
      <c r="C4904" s="50"/>
      <c r="D4904" s="23"/>
      <c r="E4904" s="23"/>
      <c r="F4904" s="15"/>
      <c r="G4904" s="23"/>
      <c r="H4904" s="15"/>
      <c r="I4904" s="15"/>
      <c r="J4904" s="51"/>
      <c r="K4904" s="15"/>
      <c r="L4904" s="51"/>
      <c r="M4904" s="15"/>
      <c r="N4904" s="23"/>
      <c r="O4904" s="23"/>
      <c r="P4904" s="15" t="str">
        <f t="shared" si="6"/>
        <v/>
      </c>
      <c r="Q4904" s="24"/>
      <c r="R4904" s="25"/>
      <c r="S4904" s="25"/>
      <c r="T4904" s="26"/>
      <c r="U4904" s="26"/>
      <c r="V4904" s="25"/>
      <c r="W4904" s="25"/>
      <c r="X4904" s="25"/>
      <c r="Y4904" s="25"/>
      <c r="Z4904" s="25"/>
    </row>
    <row r="4905" spans="1:26" ht="15.75" customHeight="1" x14ac:dyDescent="0.25">
      <c r="A4905" s="25"/>
      <c r="B4905" s="49"/>
      <c r="C4905" s="50"/>
      <c r="D4905" s="23"/>
      <c r="E4905" s="23"/>
      <c r="F4905" s="15"/>
      <c r="G4905" s="23"/>
      <c r="H4905" s="15"/>
      <c r="I4905" s="15"/>
      <c r="J4905" s="51"/>
      <c r="K4905" s="15"/>
      <c r="L4905" s="51"/>
      <c r="M4905" s="15"/>
      <c r="N4905" s="23"/>
      <c r="O4905" s="23"/>
      <c r="P4905" s="15" t="str">
        <f t="shared" si="6"/>
        <v/>
      </c>
      <c r="Q4905" s="24"/>
      <c r="R4905" s="25"/>
      <c r="S4905" s="25"/>
      <c r="T4905" s="26"/>
      <c r="U4905" s="26"/>
      <c r="V4905" s="25"/>
      <c r="W4905" s="25"/>
      <c r="X4905" s="25"/>
      <c r="Y4905" s="25"/>
      <c r="Z4905" s="25"/>
    </row>
    <row r="4906" spans="1:26" ht="15.75" customHeight="1" x14ac:dyDescent="0.25">
      <c r="A4906" s="25"/>
      <c r="B4906" s="49"/>
      <c r="C4906" s="50"/>
      <c r="D4906" s="23"/>
      <c r="E4906" s="23"/>
      <c r="F4906" s="15"/>
      <c r="G4906" s="23"/>
      <c r="H4906" s="15"/>
      <c r="I4906" s="15"/>
      <c r="J4906" s="51"/>
      <c r="K4906" s="15"/>
      <c r="L4906" s="51"/>
      <c r="M4906" s="15"/>
      <c r="N4906" s="23"/>
      <c r="O4906" s="23"/>
      <c r="P4906" s="15" t="str">
        <f t="shared" si="6"/>
        <v/>
      </c>
      <c r="Q4906" s="24"/>
      <c r="R4906" s="25"/>
      <c r="S4906" s="25"/>
      <c r="T4906" s="26"/>
      <c r="U4906" s="26"/>
      <c r="V4906" s="25"/>
      <c r="W4906" s="25"/>
      <c r="X4906" s="25"/>
      <c r="Y4906" s="25"/>
      <c r="Z4906" s="25"/>
    </row>
    <row r="4907" spans="1:26" ht="15.75" customHeight="1" x14ac:dyDescent="0.25">
      <c r="A4907" s="25"/>
      <c r="B4907" s="49"/>
      <c r="C4907" s="50"/>
      <c r="D4907" s="23"/>
      <c r="E4907" s="23"/>
      <c r="F4907" s="15"/>
      <c r="G4907" s="23"/>
      <c r="H4907" s="15"/>
      <c r="I4907" s="15"/>
      <c r="J4907" s="51"/>
      <c r="K4907" s="15"/>
      <c r="L4907" s="51"/>
      <c r="M4907" s="15"/>
      <c r="N4907" s="23"/>
      <c r="O4907" s="23"/>
      <c r="P4907" s="15" t="str">
        <f t="shared" si="6"/>
        <v/>
      </c>
      <c r="Q4907" s="24"/>
      <c r="R4907" s="25"/>
      <c r="S4907" s="25"/>
      <c r="T4907" s="26"/>
      <c r="U4907" s="26"/>
      <c r="V4907" s="25"/>
      <c r="W4907" s="25"/>
      <c r="X4907" s="25"/>
      <c r="Y4907" s="25"/>
      <c r="Z4907" s="25"/>
    </row>
    <row r="4908" spans="1:26" ht="15.75" customHeight="1" x14ac:dyDescent="0.25">
      <c r="A4908" s="25"/>
      <c r="B4908" s="49"/>
      <c r="C4908" s="50"/>
      <c r="D4908" s="23"/>
      <c r="E4908" s="23"/>
      <c r="F4908" s="15"/>
      <c r="G4908" s="23"/>
      <c r="H4908" s="15"/>
      <c r="I4908" s="15"/>
      <c r="J4908" s="51"/>
      <c r="K4908" s="15"/>
      <c r="L4908" s="51"/>
      <c r="M4908" s="15"/>
      <c r="N4908" s="23"/>
      <c r="O4908" s="23"/>
      <c r="P4908" s="15" t="str">
        <f t="shared" si="6"/>
        <v/>
      </c>
      <c r="Q4908" s="24"/>
      <c r="R4908" s="25"/>
      <c r="S4908" s="25"/>
      <c r="T4908" s="26"/>
      <c r="U4908" s="26"/>
      <c r="V4908" s="25"/>
      <c r="W4908" s="25"/>
      <c r="X4908" s="25"/>
      <c r="Y4908" s="25"/>
      <c r="Z4908" s="25"/>
    </row>
    <row r="4909" spans="1:26" ht="15.75" customHeight="1" x14ac:dyDescent="0.25">
      <c r="A4909" s="25"/>
      <c r="B4909" s="49"/>
      <c r="C4909" s="50"/>
      <c r="D4909" s="23"/>
      <c r="E4909" s="23"/>
      <c r="F4909" s="15"/>
      <c r="G4909" s="23"/>
      <c r="H4909" s="15"/>
      <c r="I4909" s="15"/>
      <c r="J4909" s="51"/>
      <c r="K4909" s="15"/>
      <c r="L4909" s="51"/>
      <c r="M4909" s="15"/>
      <c r="N4909" s="23"/>
      <c r="O4909" s="23"/>
      <c r="P4909" s="15" t="str">
        <f t="shared" si="6"/>
        <v/>
      </c>
      <c r="Q4909" s="24"/>
      <c r="R4909" s="25"/>
      <c r="S4909" s="25"/>
      <c r="T4909" s="26"/>
      <c r="U4909" s="26"/>
      <c r="V4909" s="25"/>
      <c r="W4909" s="25"/>
      <c r="X4909" s="25"/>
      <c r="Y4909" s="25"/>
      <c r="Z4909" s="25"/>
    </row>
    <row r="4910" spans="1:26" ht="15.75" customHeight="1" x14ac:dyDescent="0.25">
      <c r="A4910" s="25"/>
      <c r="B4910" s="49"/>
      <c r="C4910" s="50"/>
      <c r="D4910" s="23"/>
      <c r="E4910" s="23"/>
      <c r="F4910" s="15"/>
      <c r="G4910" s="23"/>
      <c r="H4910" s="15"/>
      <c r="I4910" s="15"/>
      <c r="J4910" s="51"/>
      <c r="K4910" s="15"/>
      <c r="L4910" s="51"/>
      <c r="M4910" s="15"/>
      <c r="N4910" s="23"/>
      <c r="O4910" s="23"/>
      <c r="P4910" s="15" t="str">
        <f t="shared" si="6"/>
        <v/>
      </c>
      <c r="Q4910" s="24"/>
      <c r="R4910" s="25"/>
      <c r="S4910" s="25"/>
      <c r="T4910" s="26"/>
      <c r="U4910" s="26"/>
      <c r="V4910" s="25"/>
      <c r="W4910" s="25"/>
      <c r="X4910" s="25"/>
      <c r="Y4910" s="25"/>
      <c r="Z4910" s="25"/>
    </row>
    <row r="4911" spans="1:26" ht="15.75" customHeight="1" x14ac:dyDescent="0.25">
      <c r="A4911" s="25"/>
      <c r="B4911" s="49"/>
      <c r="C4911" s="50"/>
      <c r="D4911" s="23"/>
      <c r="E4911" s="23"/>
      <c r="F4911" s="15"/>
      <c r="G4911" s="23"/>
      <c r="H4911" s="15"/>
      <c r="I4911" s="15"/>
      <c r="J4911" s="51"/>
      <c r="K4911" s="15"/>
      <c r="L4911" s="51"/>
      <c r="M4911" s="15"/>
      <c r="N4911" s="23"/>
      <c r="O4911" s="23"/>
      <c r="P4911" s="15" t="str">
        <f t="shared" si="6"/>
        <v/>
      </c>
      <c r="Q4911" s="24"/>
      <c r="R4911" s="25"/>
      <c r="S4911" s="25"/>
      <c r="T4911" s="26"/>
      <c r="U4911" s="26"/>
      <c r="V4911" s="25"/>
      <c r="W4911" s="25"/>
      <c r="X4911" s="25"/>
      <c r="Y4911" s="25"/>
      <c r="Z4911" s="25"/>
    </row>
    <row r="4912" spans="1:26" ht="15.75" customHeight="1" x14ac:dyDescent="0.25">
      <c r="A4912" s="25"/>
      <c r="B4912" s="49"/>
      <c r="C4912" s="50"/>
      <c r="D4912" s="23"/>
      <c r="E4912" s="23"/>
      <c r="F4912" s="15"/>
      <c r="G4912" s="23"/>
      <c r="H4912" s="15"/>
      <c r="I4912" s="15"/>
      <c r="J4912" s="51"/>
      <c r="K4912" s="15"/>
      <c r="L4912" s="51"/>
      <c r="M4912" s="15"/>
      <c r="N4912" s="23"/>
      <c r="O4912" s="23"/>
      <c r="P4912" s="15" t="str">
        <f t="shared" si="6"/>
        <v/>
      </c>
      <c r="Q4912" s="24"/>
      <c r="R4912" s="25"/>
      <c r="S4912" s="25"/>
      <c r="T4912" s="26"/>
      <c r="U4912" s="26"/>
      <c r="V4912" s="25"/>
      <c r="W4912" s="25"/>
      <c r="X4912" s="25"/>
      <c r="Y4912" s="25"/>
      <c r="Z4912" s="25"/>
    </row>
    <row r="4913" spans="1:26" ht="15.75" customHeight="1" x14ac:dyDescent="0.25">
      <c r="A4913" s="25"/>
      <c r="B4913" s="49"/>
      <c r="C4913" s="50"/>
      <c r="D4913" s="23"/>
      <c r="E4913" s="23"/>
      <c r="F4913" s="15"/>
      <c r="G4913" s="23"/>
      <c r="H4913" s="15"/>
      <c r="I4913" s="15"/>
      <c r="J4913" s="51"/>
      <c r="K4913" s="15"/>
      <c r="L4913" s="51"/>
      <c r="M4913" s="15"/>
      <c r="N4913" s="23"/>
      <c r="O4913" s="23"/>
      <c r="P4913" s="15" t="str">
        <f t="shared" si="6"/>
        <v/>
      </c>
      <c r="Q4913" s="24"/>
      <c r="R4913" s="25"/>
      <c r="S4913" s="25"/>
      <c r="T4913" s="26"/>
      <c r="U4913" s="26"/>
      <c r="V4913" s="25"/>
      <c r="W4913" s="25"/>
      <c r="X4913" s="25"/>
      <c r="Y4913" s="25"/>
      <c r="Z4913" s="25"/>
    </row>
    <row r="4914" spans="1:26" ht="15.75" customHeight="1" x14ac:dyDescent="0.25">
      <c r="A4914" s="25"/>
      <c r="B4914" s="49"/>
      <c r="C4914" s="50"/>
      <c r="D4914" s="23"/>
      <c r="E4914" s="23"/>
      <c r="F4914" s="15"/>
      <c r="G4914" s="23"/>
      <c r="H4914" s="15"/>
      <c r="I4914" s="15"/>
      <c r="J4914" s="51"/>
      <c r="K4914" s="15"/>
      <c r="L4914" s="51"/>
      <c r="M4914" s="15"/>
      <c r="N4914" s="23"/>
      <c r="O4914" s="23"/>
      <c r="P4914" s="15" t="str">
        <f t="shared" si="6"/>
        <v/>
      </c>
      <c r="Q4914" s="24"/>
      <c r="R4914" s="25"/>
      <c r="S4914" s="25"/>
      <c r="T4914" s="26"/>
      <c r="U4914" s="26"/>
      <c r="V4914" s="25"/>
      <c r="W4914" s="25"/>
      <c r="X4914" s="25"/>
      <c r="Y4914" s="25"/>
      <c r="Z4914" s="25"/>
    </row>
    <row r="4915" spans="1:26" ht="15.75" customHeight="1" x14ac:dyDescent="0.25">
      <c r="A4915" s="25"/>
      <c r="B4915" s="49"/>
      <c r="C4915" s="50"/>
      <c r="D4915" s="23"/>
      <c r="E4915" s="23"/>
      <c r="F4915" s="15"/>
      <c r="G4915" s="23"/>
      <c r="H4915" s="15"/>
      <c r="I4915" s="15"/>
      <c r="J4915" s="51"/>
      <c r="K4915" s="15"/>
      <c r="L4915" s="51"/>
      <c r="M4915" s="15"/>
      <c r="N4915" s="23"/>
      <c r="O4915" s="23"/>
      <c r="P4915" s="15" t="str">
        <f t="shared" si="6"/>
        <v/>
      </c>
      <c r="Q4915" s="24"/>
      <c r="R4915" s="25"/>
      <c r="S4915" s="25"/>
      <c r="T4915" s="26"/>
      <c r="U4915" s="26"/>
      <c r="V4915" s="25"/>
      <c r="W4915" s="25"/>
      <c r="X4915" s="25"/>
      <c r="Y4915" s="25"/>
      <c r="Z4915" s="25"/>
    </row>
    <row r="4916" spans="1:26" ht="15.75" customHeight="1" x14ac:dyDescent="0.25">
      <c r="A4916" s="25"/>
      <c r="B4916" s="49"/>
      <c r="C4916" s="50"/>
      <c r="D4916" s="23"/>
      <c r="E4916" s="23"/>
      <c r="F4916" s="15"/>
      <c r="G4916" s="23"/>
      <c r="H4916" s="15"/>
      <c r="I4916" s="15"/>
      <c r="J4916" s="51"/>
      <c r="K4916" s="15"/>
      <c r="L4916" s="51"/>
      <c r="M4916" s="15"/>
      <c r="N4916" s="23"/>
      <c r="O4916" s="23"/>
      <c r="P4916" s="15" t="str">
        <f t="shared" si="6"/>
        <v/>
      </c>
      <c r="Q4916" s="24"/>
      <c r="R4916" s="25"/>
      <c r="S4916" s="25"/>
      <c r="T4916" s="26"/>
      <c r="U4916" s="26"/>
      <c r="V4916" s="25"/>
      <c r="W4916" s="25"/>
      <c r="X4916" s="25"/>
      <c r="Y4916" s="25"/>
      <c r="Z4916" s="25"/>
    </row>
    <row r="4917" spans="1:26" ht="15.75" customHeight="1" x14ac:dyDescent="0.25">
      <c r="A4917" s="25"/>
      <c r="B4917" s="49"/>
      <c r="C4917" s="50"/>
      <c r="D4917" s="23"/>
      <c r="E4917" s="23"/>
      <c r="F4917" s="15"/>
      <c r="G4917" s="23"/>
      <c r="H4917" s="15"/>
      <c r="I4917" s="15"/>
      <c r="J4917" s="51"/>
      <c r="K4917" s="15"/>
      <c r="L4917" s="51"/>
      <c r="M4917" s="15"/>
      <c r="N4917" s="23"/>
      <c r="O4917" s="23"/>
      <c r="P4917" s="15" t="str">
        <f t="shared" si="6"/>
        <v/>
      </c>
      <c r="Q4917" s="24"/>
      <c r="R4917" s="25"/>
      <c r="S4917" s="25"/>
      <c r="T4917" s="26"/>
      <c r="U4917" s="26"/>
      <c r="V4917" s="25"/>
      <c r="W4917" s="25"/>
      <c r="X4917" s="25"/>
      <c r="Y4917" s="25"/>
      <c r="Z4917" s="25"/>
    </row>
    <row r="4918" spans="1:26" ht="15.75" customHeight="1" x14ac:dyDescent="0.25">
      <c r="A4918" s="25"/>
      <c r="B4918" s="49"/>
      <c r="C4918" s="50"/>
      <c r="D4918" s="23"/>
      <c r="E4918" s="23"/>
      <c r="F4918" s="15"/>
      <c r="G4918" s="23"/>
      <c r="H4918" s="15"/>
      <c r="I4918" s="15"/>
      <c r="J4918" s="51"/>
      <c r="K4918" s="15"/>
      <c r="L4918" s="51"/>
      <c r="M4918" s="15"/>
      <c r="N4918" s="23"/>
      <c r="O4918" s="23"/>
      <c r="P4918" s="15" t="str">
        <f t="shared" si="6"/>
        <v/>
      </c>
      <c r="Q4918" s="24"/>
      <c r="R4918" s="25"/>
      <c r="S4918" s="25"/>
      <c r="T4918" s="26"/>
      <c r="U4918" s="26"/>
      <c r="V4918" s="25"/>
      <c r="W4918" s="25"/>
      <c r="X4918" s="25"/>
      <c r="Y4918" s="25"/>
      <c r="Z4918" s="25"/>
    </row>
    <row r="4919" spans="1:26" ht="15.75" customHeight="1" x14ac:dyDescent="0.25">
      <c r="A4919" s="25"/>
      <c r="B4919" s="49"/>
      <c r="C4919" s="50"/>
      <c r="D4919" s="23"/>
      <c r="E4919" s="23"/>
      <c r="F4919" s="15"/>
      <c r="G4919" s="23"/>
      <c r="H4919" s="15"/>
      <c r="I4919" s="15"/>
      <c r="J4919" s="51"/>
      <c r="K4919" s="15"/>
      <c r="L4919" s="51"/>
      <c r="M4919" s="15"/>
      <c r="N4919" s="23"/>
      <c r="O4919" s="23"/>
      <c r="P4919" s="15" t="str">
        <f t="shared" si="6"/>
        <v/>
      </c>
      <c r="Q4919" s="24"/>
      <c r="R4919" s="25"/>
      <c r="S4919" s="25"/>
      <c r="T4919" s="26"/>
      <c r="U4919" s="26"/>
      <c r="V4919" s="25"/>
      <c r="W4919" s="25"/>
      <c r="X4919" s="25"/>
      <c r="Y4919" s="25"/>
      <c r="Z4919" s="25"/>
    </row>
    <row r="4920" spans="1:26" ht="15.75" customHeight="1" x14ac:dyDescent="0.25">
      <c r="A4920" s="25"/>
      <c r="B4920" s="49"/>
      <c r="C4920" s="50"/>
      <c r="D4920" s="23"/>
      <c r="E4920" s="23"/>
      <c r="F4920" s="15"/>
      <c r="G4920" s="23"/>
      <c r="H4920" s="15"/>
      <c r="I4920" s="15"/>
      <c r="J4920" s="51"/>
      <c r="K4920" s="15"/>
      <c r="L4920" s="51"/>
      <c r="M4920" s="15"/>
      <c r="N4920" s="23"/>
      <c r="O4920" s="23"/>
      <c r="P4920" s="15" t="str">
        <f t="shared" si="6"/>
        <v/>
      </c>
      <c r="Q4920" s="24"/>
      <c r="R4920" s="25"/>
      <c r="S4920" s="25"/>
      <c r="T4920" s="26"/>
      <c r="U4920" s="26"/>
      <c r="V4920" s="25"/>
      <c r="W4920" s="25"/>
      <c r="X4920" s="25"/>
      <c r="Y4920" s="25"/>
      <c r="Z4920" s="25"/>
    </row>
    <row r="4921" spans="1:26" ht="15.75" customHeight="1" x14ac:dyDescent="0.25">
      <c r="A4921" s="25"/>
      <c r="B4921" s="49"/>
      <c r="C4921" s="50"/>
      <c r="D4921" s="23"/>
      <c r="E4921" s="23"/>
      <c r="F4921" s="15"/>
      <c r="G4921" s="23"/>
      <c r="H4921" s="15"/>
      <c r="I4921" s="15"/>
      <c r="J4921" s="51"/>
      <c r="K4921" s="15"/>
      <c r="L4921" s="51"/>
      <c r="M4921" s="15"/>
      <c r="N4921" s="23"/>
      <c r="O4921" s="23"/>
      <c r="P4921" s="15" t="str">
        <f t="shared" si="6"/>
        <v/>
      </c>
      <c r="Q4921" s="24"/>
      <c r="R4921" s="25"/>
      <c r="S4921" s="25"/>
      <c r="T4921" s="26"/>
      <c r="U4921" s="26"/>
      <c r="V4921" s="25"/>
      <c r="W4921" s="25"/>
      <c r="X4921" s="25"/>
      <c r="Y4921" s="25"/>
      <c r="Z4921" s="25"/>
    </row>
    <row r="4922" spans="1:26" ht="15.75" customHeight="1" x14ac:dyDescent="0.25">
      <c r="A4922" s="25"/>
      <c r="B4922" s="49"/>
      <c r="C4922" s="50"/>
      <c r="D4922" s="23"/>
      <c r="E4922" s="23"/>
      <c r="F4922" s="15"/>
      <c r="G4922" s="23"/>
      <c r="H4922" s="15"/>
      <c r="I4922" s="15"/>
      <c r="J4922" s="51"/>
      <c r="K4922" s="15"/>
      <c r="L4922" s="51"/>
      <c r="M4922" s="15"/>
      <c r="N4922" s="23"/>
      <c r="O4922" s="23"/>
      <c r="P4922" s="15" t="str">
        <f t="shared" si="6"/>
        <v/>
      </c>
      <c r="Q4922" s="24"/>
      <c r="R4922" s="25"/>
      <c r="S4922" s="25"/>
      <c r="T4922" s="26"/>
      <c r="U4922" s="26"/>
      <c r="V4922" s="25"/>
      <c r="W4922" s="25"/>
      <c r="X4922" s="25"/>
      <c r="Y4922" s="25"/>
      <c r="Z4922" s="25"/>
    </row>
    <row r="4923" spans="1:26" ht="15.75" customHeight="1" x14ac:dyDescent="0.25">
      <c r="A4923" s="25"/>
      <c r="B4923" s="49"/>
      <c r="C4923" s="50"/>
      <c r="D4923" s="23"/>
      <c r="E4923" s="23"/>
      <c r="F4923" s="15"/>
      <c r="G4923" s="23"/>
      <c r="H4923" s="15"/>
      <c r="I4923" s="15"/>
      <c r="J4923" s="51"/>
      <c r="K4923" s="15"/>
      <c r="L4923" s="51"/>
      <c r="M4923" s="15"/>
      <c r="N4923" s="23"/>
      <c r="O4923" s="23"/>
      <c r="P4923" s="15" t="str">
        <f t="shared" si="6"/>
        <v/>
      </c>
      <c r="Q4923" s="24"/>
      <c r="R4923" s="25"/>
      <c r="S4923" s="25"/>
      <c r="T4923" s="26"/>
      <c r="U4923" s="26"/>
      <c r="V4923" s="25"/>
      <c r="W4923" s="25"/>
      <c r="X4923" s="25"/>
      <c r="Y4923" s="25"/>
      <c r="Z4923" s="25"/>
    </row>
    <row r="4924" spans="1:26" ht="15.75" customHeight="1" x14ac:dyDescent="0.25">
      <c r="A4924" s="25"/>
      <c r="B4924" s="49"/>
      <c r="C4924" s="50"/>
      <c r="D4924" s="23"/>
      <c r="E4924" s="23"/>
      <c r="F4924" s="15"/>
      <c r="G4924" s="23"/>
      <c r="H4924" s="15"/>
      <c r="I4924" s="15"/>
      <c r="J4924" s="51"/>
      <c r="K4924" s="15"/>
      <c r="L4924" s="51"/>
      <c r="M4924" s="15"/>
      <c r="N4924" s="23"/>
      <c r="O4924" s="23"/>
      <c r="P4924" s="15" t="str">
        <f t="shared" si="6"/>
        <v/>
      </c>
      <c r="Q4924" s="24"/>
      <c r="R4924" s="25"/>
      <c r="S4924" s="25"/>
      <c r="T4924" s="26"/>
      <c r="U4924" s="26"/>
      <c r="V4924" s="25"/>
      <c r="W4924" s="25"/>
      <c r="X4924" s="25"/>
      <c r="Y4924" s="25"/>
      <c r="Z4924" s="25"/>
    </row>
    <row r="4925" spans="1:26" ht="15.75" customHeight="1" x14ac:dyDescent="0.25">
      <c r="A4925" s="25"/>
      <c r="B4925" s="49"/>
      <c r="C4925" s="50"/>
      <c r="D4925" s="23"/>
      <c r="E4925" s="23"/>
      <c r="F4925" s="15"/>
      <c r="G4925" s="23"/>
      <c r="H4925" s="15"/>
      <c r="I4925" s="15"/>
      <c r="J4925" s="51"/>
      <c r="K4925" s="15"/>
      <c r="L4925" s="51"/>
      <c r="M4925" s="15"/>
      <c r="N4925" s="23"/>
      <c r="O4925" s="23"/>
      <c r="P4925" s="15" t="str">
        <f t="shared" si="6"/>
        <v/>
      </c>
      <c r="Q4925" s="24"/>
      <c r="R4925" s="25"/>
      <c r="S4925" s="25"/>
      <c r="T4925" s="26"/>
      <c r="U4925" s="26"/>
      <c r="V4925" s="25"/>
      <c r="W4925" s="25"/>
      <c r="X4925" s="25"/>
      <c r="Y4925" s="25"/>
      <c r="Z4925" s="25"/>
    </row>
    <row r="4926" spans="1:26" ht="15.75" customHeight="1" x14ac:dyDescent="0.25">
      <c r="A4926" s="25"/>
      <c r="B4926" s="49"/>
      <c r="C4926" s="50"/>
      <c r="D4926" s="23"/>
      <c r="E4926" s="23"/>
      <c r="F4926" s="15"/>
      <c r="G4926" s="23"/>
      <c r="H4926" s="15"/>
      <c r="I4926" s="15"/>
      <c r="J4926" s="51"/>
      <c r="K4926" s="15"/>
      <c r="L4926" s="51"/>
      <c r="M4926" s="15"/>
      <c r="N4926" s="23"/>
      <c r="O4926" s="23"/>
      <c r="P4926" s="15" t="str">
        <f t="shared" si="6"/>
        <v/>
      </c>
      <c r="Q4926" s="24"/>
      <c r="R4926" s="25"/>
      <c r="S4926" s="25"/>
      <c r="T4926" s="26"/>
      <c r="U4926" s="26"/>
      <c r="V4926" s="25"/>
      <c r="W4926" s="25"/>
      <c r="X4926" s="25"/>
      <c r="Y4926" s="25"/>
      <c r="Z4926" s="25"/>
    </row>
    <row r="4927" spans="1:26" ht="15.75" customHeight="1" x14ac:dyDescent="0.25">
      <c r="A4927" s="25"/>
      <c r="B4927" s="49"/>
      <c r="C4927" s="50"/>
      <c r="D4927" s="23"/>
      <c r="E4927" s="23"/>
      <c r="F4927" s="15"/>
      <c r="G4927" s="23"/>
      <c r="H4927" s="15"/>
      <c r="I4927" s="15"/>
      <c r="J4927" s="51"/>
      <c r="K4927" s="15"/>
      <c r="L4927" s="51"/>
      <c r="M4927" s="15"/>
      <c r="N4927" s="23"/>
      <c r="O4927" s="23"/>
      <c r="P4927" s="15" t="str">
        <f t="shared" si="6"/>
        <v/>
      </c>
      <c r="Q4927" s="24"/>
      <c r="R4927" s="25"/>
      <c r="S4927" s="25"/>
      <c r="T4927" s="26"/>
      <c r="U4927" s="26"/>
      <c r="V4927" s="25"/>
      <c r="W4927" s="25"/>
      <c r="X4927" s="25"/>
      <c r="Y4927" s="25"/>
      <c r="Z4927" s="25"/>
    </row>
    <row r="4928" spans="1:26" ht="15.75" customHeight="1" x14ac:dyDescent="0.25">
      <c r="A4928" s="25"/>
      <c r="B4928" s="49"/>
      <c r="C4928" s="50"/>
      <c r="D4928" s="23"/>
      <c r="E4928" s="23"/>
      <c r="F4928" s="15"/>
      <c r="G4928" s="23"/>
      <c r="H4928" s="15"/>
      <c r="I4928" s="15"/>
      <c r="J4928" s="51"/>
      <c r="K4928" s="15"/>
      <c r="L4928" s="51"/>
      <c r="M4928" s="15"/>
      <c r="N4928" s="23"/>
      <c r="O4928" s="23"/>
      <c r="P4928" s="15" t="str">
        <f t="shared" si="6"/>
        <v/>
      </c>
      <c r="Q4928" s="24"/>
      <c r="R4928" s="25"/>
      <c r="S4928" s="25"/>
      <c r="T4928" s="26"/>
      <c r="U4928" s="26"/>
      <c r="V4928" s="25"/>
      <c r="W4928" s="25"/>
      <c r="X4928" s="25"/>
      <c r="Y4928" s="25"/>
      <c r="Z4928" s="25"/>
    </row>
    <row r="4929" spans="1:26" ht="15.75" customHeight="1" x14ac:dyDescent="0.25">
      <c r="A4929" s="25"/>
      <c r="B4929" s="49"/>
      <c r="C4929" s="50"/>
      <c r="D4929" s="23"/>
      <c r="E4929" s="23"/>
      <c r="F4929" s="15"/>
      <c r="G4929" s="23"/>
      <c r="H4929" s="15"/>
      <c r="I4929" s="15"/>
      <c r="J4929" s="51"/>
      <c r="K4929" s="15"/>
      <c r="L4929" s="51"/>
      <c r="M4929" s="15"/>
      <c r="N4929" s="23"/>
      <c r="O4929" s="23"/>
      <c r="P4929" s="15" t="str">
        <f t="shared" si="6"/>
        <v/>
      </c>
      <c r="Q4929" s="24"/>
      <c r="R4929" s="25"/>
      <c r="S4929" s="25"/>
      <c r="T4929" s="26"/>
      <c r="U4929" s="26"/>
      <c r="V4929" s="25"/>
      <c r="W4929" s="25"/>
      <c r="X4929" s="25"/>
      <c r="Y4929" s="25"/>
      <c r="Z4929" s="25"/>
    </row>
    <row r="4930" spans="1:26" ht="15.75" customHeight="1" x14ac:dyDescent="0.25">
      <c r="A4930" s="25"/>
      <c r="B4930" s="49"/>
      <c r="C4930" s="50"/>
      <c r="D4930" s="23"/>
      <c r="E4930" s="23"/>
      <c r="F4930" s="15"/>
      <c r="G4930" s="23"/>
      <c r="H4930" s="15"/>
      <c r="I4930" s="15"/>
      <c r="J4930" s="51"/>
      <c r="K4930" s="15"/>
      <c r="L4930" s="51"/>
      <c r="M4930" s="15"/>
      <c r="N4930" s="23"/>
      <c r="O4930" s="23"/>
      <c r="P4930" s="15" t="str">
        <f t="shared" si="6"/>
        <v/>
      </c>
      <c r="Q4930" s="24"/>
      <c r="R4930" s="25"/>
      <c r="S4930" s="25"/>
      <c r="T4930" s="26"/>
      <c r="U4930" s="26"/>
      <c r="V4930" s="25"/>
      <c r="W4930" s="25"/>
      <c r="X4930" s="25"/>
      <c r="Y4930" s="25"/>
      <c r="Z4930" s="25"/>
    </row>
    <row r="4931" spans="1:26" ht="15.75" customHeight="1" x14ac:dyDescent="0.25">
      <c r="A4931" s="25"/>
      <c r="B4931" s="49"/>
      <c r="C4931" s="50"/>
      <c r="D4931" s="23"/>
      <c r="E4931" s="23"/>
      <c r="F4931" s="15"/>
      <c r="G4931" s="23"/>
      <c r="H4931" s="15"/>
      <c r="I4931" s="15"/>
      <c r="J4931" s="51"/>
      <c r="K4931" s="15"/>
      <c r="L4931" s="51"/>
      <c r="M4931" s="15"/>
      <c r="N4931" s="23"/>
      <c r="O4931" s="23"/>
      <c r="P4931" s="15" t="str">
        <f t="shared" si="6"/>
        <v/>
      </c>
      <c r="Q4931" s="24"/>
      <c r="R4931" s="25"/>
      <c r="S4931" s="25"/>
      <c r="T4931" s="26"/>
      <c r="U4931" s="26"/>
      <c r="V4931" s="25"/>
      <c r="W4931" s="25"/>
      <c r="X4931" s="25"/>
      <c r="Y4931" s="25"/>
      <c r="Z4931" s="25"/>
    </row>
    <row r="4932" spans="1:26" ht="15.75" customHeight="1" x14ac:dyDescent="0.25">
      <c r="A4932" s="25"/>
      <c r="B4932" s="49"/>
      <c r="C4932" s="50"/>
      <c r="D4932" s="23"/>
      <c r="E4932" s="23"/>
      <c r="F4932" s="15"/>
      <c r="G4932" s="23"/>
      <c r="H4932" s="15"/>
      <c r="I4932" s="15"/>
      <c r="J4932" s="51"/>
      <c r="K4932" s="15"/>
      <c r="L4932" s="51"/>
      <c r="M4932" s="15"/>
      <c r="N4932" s="23"/>
      <c r="O4932" s="23"/>
      <c r="P4932" s="15" t="str">
        <f t="shared" si="6"/>
        <v/>
      </c>
      <c r="Q4932" s="24"/>
      <c r="R4932" s="25"/>
      <c r="S4932" s="25"/>
      <c r="T4932" s="26"/>
      <c r="U4932" s="26"/>
      <c r="V4932" s="25"/>
      <c r="W4932" s="25"/>
      <c r="X4932" s="25"/>
      <c r="Y4932" s="25"/>
      <c r="Z4932" s="25"/>
    </row>
    <row r="4933" spans="1:26" ht="15.75" customHeight="1" x14ac:dyDescent="0.25">
      <c r="A4933" s="25"/>
      <c r="B4933" s="49"/>
      <c r="C4933" s="50"/>
      <c r="D4933" s="23"/>
      <c r="E4933" s="23"/>
      <c r="F4933" s="15"/>
      <c r="G4933" s="23"/>
      <c r="H4933" s="15"/>
      <c r="I4933" s="15"/>
      <c r="J4933" s="51"/>
      <c r="K4933" s="15"/>
      <c r="L4933" s="51"/>
      <c r="M4933" s="15"/>
      <c r="N4933" s="23"/>
      <c r="O4933" s="23"/>
      <c r="P4933" s="15" t="str">
        <f t="shared" si="6"/>
        <v/>
      </c>
      <c r="Q4933" s="24"/>
      <c r="R4933" s="25"/>
      <c r="S4933" s="25"/>
      <c r="T4933" s="26"/>
      <c r="U4933" s="26"/>
      <c r="V4933" s="25"/>
      <c r="W4933" s="25"/>
      <c r="X4933" s="25"/>
      <c r="Y4933" s="25"/>
      <c r="Z4933" s="25"/>
    </row>
    <row r="4934" spans="1:26" ht="15.75" customHeight="1" x14ac:dyDescent="0.25">
      <c r="A4934" s="25"/>
      <c r="B4934" s="49"/>
      <c r="C4934" s="50"/>
      <c r="D4934" s="23"/>
      <c r="E4934" s="23"/>
      <c r="F4934" s="15"/>
      <c r="G4934" s="23"/>
      <c r="H4934" s="15"/>
      <c r="I4934" s="15"/>
      <c r="J4934" s="51"/>
      <c r="K4934" s="15"/>
      <c r="L4934" s="51"/>
      <c r="M4934" s="15"/>
      <c r="N4934" s="23"/>
      <c r="O4934" s="23"/>
      <c r="P4934" s="15" t="str">
        <f t="shared" si="6"/>
        <v/>
      </c>
      <c r="Q4934" s="24"/>
      <c r="R4934" s="25"/>
      <c r="S4934" s="25"/>
      <c r="T4934" s="26"/>
      <c r="U4934" s="26"/>
      <c r="V4934" s="25"/>
      <c r="W4934" s="25"/>
      <c r="X4934" s="25"/>
      <c r="Y4934" s="25"/>
      <c r="Z4934" s="25"/>
    </row>
    <row r="4935" spans="1:26" ht="15.75" customHeight="1" x14ac:dyDescent="0.25">
      <c r="A4935" s="25"/>
      <c r="B4935" s="49"/>
      <c r="C4935" s="50"/>
      <c r="D4935" s="23"/>
      <c r="E4935" s="23"/>
      <c r="F4935" s="15"/>
      <c r="G4935" s="23"/>
      <c r="H4935" s="15"/>
      <c r="I4935" s="15"/>
      <c r="J4935" s="51"/>
      <c r="K4935" s="15"/>
      <c r="L4935" s="51"/>
      <c r="M4935" s="15"/>
      <c r="N4935" s="23"/>
      <c r="O4935" s="23"/>
      <c r="P4935" s="15" t="str">
        <f t="shared" si="6"/>
        <v/>
      </c>
      <c r="Q4935" s="24"/>
      <c r="R4935" s="25"/>
      <c r="S4935" s="25"/>
      <c r="T4935" s="26"/>
      <c r="U4935" s="26"/>
      <c r="V4935" s="25"/>
      <c r="W4935" s="25"/>
      <c r="X4935" s="25"/>
      <c r="Y4935" s="25"/>
      <c r="Z4935" s="25"/>
    </row>
    <row r="4936" spans="1:26" ht="15.75" customHeight="1" x14ac:dyDescent="0.25">
      <c r="A4936" s="25"/>
      <c r="B4936" s="49"/>
      <c r="C4936" s="50"/>
      <c r="D4936" s="23"/>
      <c r="E4936" s="23"/>
      <c r="F4936" s="15"/>
      <c r="G4936" s="23"/>
      <c r="H4936" s="15"/>
      <c r="I4936" s="15"/>
      <c r="J4936" s="51"/>
      <c r="K4936" s="15"/>
      <c r="L4936" s="51"/>
      <c r="M4936" s="15"/>
      <c r="N4936" s="23"/>
      <c r="O4936" s="23"/>
      <c r="P4936" s="15" t="str">
        <f t="shared" si="6"/>
        <v/>
      </c>
      <c r="Q4936" s="24"/>
      <c r="R4936" s="25"/>
      <c r="S4936" s="25"/>
      <c r="T4936" s="26"/>
      <c r="U4936" s="26"/>
      <c r="V4936" s="25"/>
      <c r="W4936" s="25"/>
      <c r="X4936" s="25"/>
      <c r="Y4936" s="25"/>
      <c r="Z4936" s="25"/>
    </row>
    <row r="4937" spans="1:26" ht="15.75" customHeight="1" x14ac:dyDescent="0.25">
      <c r="A4937" s="25"/>
      <c r="B4937" s="49"/>
      <c r="C4937" s="50"/>
      <c r="D4937" s="23"/>
      <c r="E4937" s="23"/>
      <c r="F4937" s="15"/>
      <c r="G4937" s="23"/>
      <c r="H4937" s="15"/>
      <c r="I4937" s="15"/>
      <c r="J4937" s="51"/>
      <c r="K4937" s="15"/>
      <c r="L4937" s="51"/>
      <c r="M4937" s="15"/>
      <c r="N4937" s="23"/>
      <c r="O4937" s="23"/>
      <c r="P4937" s="15" t="str">
        <f t="shared" si="6"/>
        <v/>
      </c>
      <c r="Q4937" s="24"/>
      <c r="R4937" s="25"/>
      <c r="S4937" s="25"/>
      <c r="T4937" s="26"/>
      <c r="U4937" s="26"/>
      <c r="V4937" s="25"/>
      <c r="W4937" s="25"/>
      <c r="X4937" s="25"/>
      <c r="Y4937" s="25"/>
      <c r="Z4937" s="25"/>
    </row>
    <row r="4938" spans="1:26" ht="15.75" customHeight="1" x14ac:dyDescent="0.25">
      <c r="A4938" s="25"/>
      <c r="B4938" s="49"/>
      <c r="C4938" s="50"/>
      <c r="D4938" s="23"/>
      <c r="E4938" s="23"/>
      <c r="F4938" s="15"/>
      <c r="G4938" s="23"/>
      <c r="H4938" s="15"/>
      <c r="I4938" s="15"/>
      <c r="J4938" s="51"/>
      <c r="K4938" s="15"/>
      <c r="L4938" s="51"/>
      <c r="M4938" s="15"/>
      <c r="N4938" s="23"/>
      <c r="O4938" s="23"/>
      <c r="P4938" s="15" t="str">
        <f t="shared" si="6"/>
        <v/>
      </c>
      <c r="Q4938" s="24"/>
      <c r="R4938" s="25"/>
      <c r="S4938" s="25"/>
      <c r="T4938" s="26"/>
      <c r="U4938" s="26"/>
      <c r="V4938" s="25"/>
      <c r="W4938" s="25"/>
      <c r="X4938" s="25"/>
      <c r="Y4938" s="25"/>
      <c r="Z4938" s="25"/>
    </row>
    <row r="4939" spans="1:26" ht="15.75" customHeight="1" x14ac:dyDescent="0.25">
      <c r="A4939" s="25"/>
      <c r="B4939" s="49"/>
      <c r="C4939" s="50"/>
      <c r="D4939" s="23"/>
      <c r="E4939" s="23"/>
      <c r="F4939" s="15"/>
      <c r="G4939" s="23"/>
      <c r="H4939" s="15"/>
      <c r="I4939" s="15"/>
      <c r="J4939" s="51"/>
      <c r="K4939" s="15"/>
      <c r="L4939" s="51"/>
      <c r="M4939" s="15"/>
      <c r="N4939" s="23"/>
      <c r="O4939" s="23"/>
      <c r="P4939" s="15" t="str">
        <f t="shared" si="6"/>
        <v/>
      </c>
      <c r="Q4939" s="24"/>
      <c r="R4939" s="25"/>
      <c r="S4939" s="25"/>
      <c r="T4939" s="26"/>
      <c r="U4939" s="26"/>
      <c r="V4939" s="25"/>
      <c r="W4939" s="25"/>
      <c r="X4939" s="25"/>
      <c r="Y4939" s="25"/>
      <c r="Z4939" s="25"/>
    </row>
    <row r="4940" spans="1:26" ht="15.75" customHeight="1" x14ac:dyDescent="0.25">
      <c r="A4940" s="25"/>
      <c r="B4940" s="49"/>
      <c r="C4940" s="50"/>
      <c r="D4940" s="23"/>
      <c r="E4940" s="23"/>
      <c r="F4940" s="15"/>
      <c r="G4940" s="23"/>
      <c r="H4940" s="15"/>
      <c r="I4940" s="15"/>
      <c r="J4940" s="51"/>
      <c r="K4940" s="15"/>
      <c r="L4940" s="51"/>
      <c r="M4940" s="15"/>
      <c r="N4940" s="23"/>
      <c r="O4940" s="23"/>
      <c r="P4940" s="15" t="str">
        <f t="shared" si="6"/>
        <v/>
      </c>
      <c r="Q4940" s="24"/>
      <c r="R4940" s="25"/>
      <c r="S4940" s="25"/>
      <c r="T4940" s="26"/>
      <c r="U4940" s="26"/>
      <c r="V4940" s="25"/>
      <c r="W4940" s="25"/>
      <c r="X4940" s="25"/>
      <c r="Y4940" s="25"/>
      <c r="Z4940" s="25"/>
    </row>
    <row r="4941" spans="1:26" ht="15.75" customHeight="1" x14ac:dyDescent="0.25">
      <c r="A4941" s="25"/>
      <c r="B4941" s="49"/>
      <c r="C4941" s="50"/>
      <c r="D4941" s="23"/>
      <c r="E4941" s="23"/>
      <c r="F4941" s="15"/>
      <c r="G4941" s="23"/>
      <c r="H4941" s="15"/>
      <c r="I4941" s="15"/>
      <c r="J4941" s="51"/>
      <c r="K4941" s="15"/>
      <c r="L4941" s="51"/>
      <c r="M4941" s="15"/>
      <c r="N4941" s="23"/>
      <c r="O4941" s="23"/>
      <c r="P4941" s="15" t="str">
        <f t="shared" si="6"/>
        <v/>
      </c>
      <c r="Q4941" s="24"/>
      <c r="R4941" s="25"/>
      <c r="S4941" s="25"/>
      <c r="T4941" s="26"/>
      <c r="U4941" s="26"/>
      <c r="V4941" s="25"/>
      <c r="W4941" s="25"/>
      <c r="X4941" s="25"/>
      <c r="Y4941" s="25"/>
      <c r="Z4941" s="25"/>
    </row>
    <row r="4942" spans="1:26" ht="15.75" customHeight="1" x14ac:dyDescent="0.25">
      <c r="A4942" s="25"/>
      <c r="B4942" s="49"/>
      <c r="C4942" s="50"/>
      <c r="D4942" s="23"/>
      <c r="E4942" s="23"/>
      <c r="F4942" s="15"/>
      <c r="G4942" s="23"/>
      <c r="H4942" s="15"/>
      <c r="I4942" s="15"/>
      <c r="J4942" s="51"/>
      <c r="K4942" s="15"/>
      <c r="L4942" s="51"/>
      <c r="M4942" s="15"/>
      <c r="N4942" s="23"/>
      <c r="O4942" s="23"/>
      <c r="P4942" s="15" t="str">
        <f t="shared" si="6"/>
        <v/>
      </c>
      <c r="Q4942" s="24"/>
      <c r="R4942" s="25"/>
      <c r="S4942" s="25"/>
      <c r="T4942" s="26"/>
      <c r="U4942" s="26"/>
      <c r="V4942" s="25"/>
      <c r="W4942" s="25"/>
      <c r="X4942" s="25"/>
      <c r="Y4942" s="25"/>
      <c r="Z4942" s="25"/>
    </row>
    <row r="4943" spans="1:26" ht="15.75" customHeight="1" x14ac:dyDescent="0.25">
      <c r="A4943" s="25"/>
      <c r="B4943" s="49"/>
      <c r="C4943" s="50"/>
      <c r="D4943" s="23"/>
      <c r="E4943" s="23"/>
      <c r="F4943" s="15"/>
      <c r="G4943" s="23"/>
      <c r="H4943" s="15"/>
      <c r="I4943" s="15"/>
      <c r="J4943" s="51"/>
      <c r="K4943" s="15"/>
      <c r="L4943" s="51"/>
      <c r="M4943" s="15"/>
      <c r="N4943" s="23"/>
      <c r="O4943" s="23"/>
      <c r="P4943" s="15" t="str">
        <f t="shared" si="6"/>
        <v/>
      </c>
      <c r="Q4943" s="24"/>
      <c r="R4943" s="25"/>
      <c r="S4943" s="25"/>
      <c r="T4943" s="26"/>
      <c r="U4943" s="26"/>
      <c r="V4943" s="25"/>
      <c r="W4943" s="25"/>
      <c r="X4943" s="25"/>
      <c r="Y4943" s="25"/>
      <c r="Z4943" s="25"/>
    </row>
    <row r="4944" spans="1:26" ht="15.75" customHeight="1" x14ac:dyDescent="0.25">
      <c r="A4944" s="25"/>
      <c r="B4944" s="49"/>
      <c r="C4944" s="50"/>
      <c r="D4944" s="23"/>
      <c r="E4944" s="23"/>
      <c r="F4944" s="15"/>
      <c r="G4944" s="23"/>
      <c r="H4944" s="15"/>
      <c r="I4944" s="15"/>
      <c r="J4944" s="51"/>
      <c r="K4944" s="15"/>
      <c r="L4944" s="51"/>
      <c r="M4944" s="15"/>
      <c r="N4944" s="23"/>
      <c r="O4944" s="23"/>
      <c r="P4944" s="15" t="str">
        <f t="shared" si="6"/>
        <v/>
      </c>
      <c r="Q4944" s="24"/>
      <c r="R4944" s="25"/>
      <c r="S4944" s="25"/>
      <c r="T4944" s="26"/>
      <c r="U4944" s="26"/>
      <c r="V4944" s="25"/>
      <c r="W4944" s="25"/>
      <c r="X4944" s="25"/>
      <c r="Y4944" s="25"/>
      <c r="Z4944" s="25"/>
    </row>
    <row r="4945" spans="1:26" ht="15.75" customHeight="1" x14ac:dyDescent="0.25">
      <c r="A4945" s="25"/>
      <c r="B4945" s="49"/>
      <c r="C4945" s="50"/>
      <c r="D4945" s="23"/>
      <c r="E4945" s="23"/>
      <c r="F4945" s="15"/>
      <c r="G4945" s="23"/>
      <c r="H4945" s="15"/>
      <c r="I4945" s="15"/>
      <c r="J4945" s="51"/>
      <c r="K4945" s="15"/>
      <c r="L4945" s="51"/>
      <c r="M4945" s="15"/>
      <c r="N4945" s="23"/>
      <c r="O4945" s="23"/>
      <c r="P4945" s="15" t="str">
        <f t="shared" si="6"/>
        <v/>
      </c>
      <c r="Q4945" s="24"/>
      <c r="R4945" s="25"/>
      <c r="S4945" s="25"/>
      <c r="T4945" s="26"/>
      <c r="U4945" s="26"/>
      <c r="V4945" s="25"/>
      <c r="W4945" s="25"/>
      <c r="X4945" s="25"/>
      <c r="Y4945" s="25"/>
      <c r="Z4945" s="25"/>
    </row>
    <row r="4946" spans="1:26" ht="15.75" customHeight="1" x14ac:dyDescent="0.25">
      <c r="A4946" s="25"/>
      <c r="B4946" s="49"/>
      <c r="C4946" s="50"/>
      <c r="D4946" s="23"/>
      <c r="E4946" s="23"/>
      <c r="F4946" s="15"/>
      <c r="G4946" s="23"/>
      <c r="H4946" s="15"/>
      <c r="I4946" s="15"/>
      <c r="J4946" s="51"/>
      <c r="K4946" s="15"/>
      <c r="L4946" s="51"/>
      <c r="M4946" s="15"/>
      <c r="N4946" s="23"/>
      <c r="O4946" s="23"/>
      <c r="P4946" s="15" t="str">
        <f t="shared" si="6"/>
        <v/>
      </c>
      <c r="Q4946" s="24"/>
      <c r="R4946" s="25"/>
      <c r="S4946" s="25"/>
      <c r="T4946" s="26"/>
      <c r="U4946" s="26"/>
      <c r="V4946" s="25"/>
      <c r="W4946" s="25"/>
      <c r="X4946" s="25"/>
      <c r="Y4946" s="25"/>
      <c r="Z4946" s="25"/>
    </row>
    <row r="4947" spans="1:26" ht="15.75" customHeight="1" x14ac:dyDescent="0.25">
      <c r="A4947" s="25"/>
      <c r="B4947" s="49"/>
      <c r="C4947" s="50"/>
      <c r="D4947" s="23"/>
      <c r="E4947" s="23"/>
      <c r="F4947" s="15"/>
      <c r="G4947" s="23"/>
      <c r="H4947" s="15"/>
      <c r="I4947" s="15"/>
      <c r="J4947" s="51"/>
      <c r="K4947" s="15"/>
      <c r="L4947" s="51"/>
      <c r="M4947" s="15"/>
      <c r="N4947" s="23"/>
      <c r="O4947" s="23"/>
      <c r="P4947" s="15" t="str">
        <f t="shared" si="6"/>
        <v/>
      </c>
      <c r="Q4947" s="24"/>
      <c r="R4947" s="25"/>
      <c r="S4947" s="25"/>
      <c r="T4947" s="26"/>
      <c r="U4947" s="26"/>
      <c r="V4947" s="25"/>
      <c r="W4947" s="25"/>
      <c r="X4947" s="25"/>
      <c r="Y4947" s="25"/>
      <c r="Z4947" s="25"/>
    </row>
    <row r="4948" spans="1:26" ht="15.75" customHeight="1" x14ac:dyDescent="0.25">
      <c r="A4948" s="25"/>
      <c r="B4948" s="49"/>
      <c r="C4948" s="50"/>
      <c r="D4948" s="23"/>
      <c r="E4948" s="23"/>
      <c r="F4948" s="15"/>
      <c r="G4948" s="23"/>
      <c r="H4948" s="15"/>
      <c r="I4948" s="15"/>
      <c r="J4948" s="51"/>
      <c r="K4948" s="15"/>
      <c r="L4948" s="51"/>
      <c r="M4948" s="15"/>
      <c r="N4948" s="23"/>
      <c r="O4948" s="23"/>
      <c r="P4948" s="15" t="str">
        <f t="shared" si="6"/>
        <v/>
      </c>
      <c r="Q4948" s="24"/>
      <c r="R4948" s="25"/>
      <c r="S4948" s="25"/>
      <c r="T4948" s="26"/>
      <c r="U4948" s="26"/>
      <c r="V4948" s="25"/>
      <c r="W4948" s="25"/>
      <c r="X4948" s="25"/>
      <c r="Y4948" s="25"/>
      <c r="Z4948" s="25"/>
    </row>
    <row r="4949" spans="1:26" ht="15.75" customHeight="1" x14ac:dyDescent="0.25">
      <c r="A4949" s="25"/>
      <c r="B4949" s="49"/>
      <c r="C4949" s="50"/>
      <c r="D4949" s="23"/>
      <c r="E4949" s="23"/>
      <c r="F4949" s="15"/>
      <c r="G4949" s="23"/>
      <c r="H4949" s="15"/>
      <c r="I4949" s="15"/>
      <c r="J4949" s="51"/>
      <c r="K4949" s="15"/>
      <c r="L4949" s="51"/>
      <c r="M4949" s="15"/>
      <c r="N4949" s="23"/>
      <c r="O4949" s="23"/>
      <c r="P4949" s="15" t="str">
        <f t="shared" si="6"/>
        <v/>
      </c>
      <c r="Q4949" s="24"/>
      <c r="R4949" s="25"/>
      <c r="S4949" s="25"/>
      <c r="T4949" s="26"/>
      <c r="U4949" s="26"/>
      <c r="V4949" s="25"/>
      <c r="W4949" s="25"/>
      <c r="X4949" s="25"/>
      <c r="Y4949" s="25"/>
      <c r="Z4949" s="25"/>
    </row>
    <row r="4950" spans="1:26" ht="15.75" customHeight="1" x14ac:dyDescent="0.25">
      <c r="A4950" s="25"/>
      <c r="B4950" s="49"/>
      <c r="C4950" s="50"/>
      <c r="D4950" s="23"/>
      <c r="E4950" s="23"/>
      <c r="F4950" s="15"/>
      <c r="G4950" s="23"/>
      <c r="H4950" s="15"/>
      <c r="I4950" s="15"/>
      <c r="J4950" s="51"/>
      <c r="K4950" s="15"/>
      <c r="L4950" s="51"/>
      <c r="M4950" s="15"/>
      <c r="N4950" s="23"/>
      <c r="O4950" s="23"/>
      <c r="P4950" s="15" t="str">
        <f t="shared" si="6"/>
        <v/>
      </c>
      <c r="Q4950" s="24"/>
      <c r="R4950" s="25"/>
      <c r="S4950" s="25"/>
      <c r="T4950" s="26"/>
      <c r="U4950" s="26"/>
      <c r="V4950" s="25"/>
      <c r="W4950" s="25"/>
      <c r="X4950" s="25"/>
      <c r="Y4950" s="25"/>
      <c r="Z4950" s="25"/>
    </row>
    <row r="4951" spans="1:26" ht="15.75" customHeight="1" x14ac:dyDescent="0.25">
      <c r="A4951" s="25"/>
      <c r="B4951" s="49"/>
      <c r="C4951" s="50"/>
      <c r="D4951" s="23"/>
      <c r="E4951" s="23"/>
      <c r="F4951" s="15"/>
      <c r="G4951" s="23"/>
      <c r="H4951" s="15"/>
      <c r="I4951" s="15"/>
      <c r="J4951" s="51"/>
      <c r="K4951" s="15"/>
      <c r="L4951" s="51"/>
      <c r="M4951" s="15"/>
      <c r="N4951" s="23"/>
      <c r="O4951" s="23"/>
      <c r="P4951" s="15" t="str">
        <f t="shared" si="6"/>
        <v/>
      </c>
      <c r="Q4951" s="24"/>
      <c r="R4951" s="25"/>
      <c r="S4951" s="25"/>
      <c r="T4951" s="26"/>
      <c r="U4951" s="26"/>
      <c r="V4951" s="25"/>
      <c r="W4951" s="25"/>
      <c r="X4951" s="25"/>
      <c r="Y4951" s="25"/>
      <c r="Z4951" s="25"/>
    </row>
    <row r="4952" spans="1:26" ht="15.75" customHeight="1" x14ac:dyDescent="0.25">
      <c r="A4952" s="25"/>
      <c r="B4952" s="49"/>
      <c r="C4952" s="50"/>
      <c r="D4952" s="23"/>
      <c r="E4952" s="23"/>
      <c r="F4952" s="15"/>
      <c r="G4952" s="23"/>
      <c r="H4952" s="15"/>
      <c r="I4952" s="15"/>
      <c r="J4952" s="51"/>
      <c r="K4952" s="15"/>
      <c r="L4952" s="51"/>
      <c r="M4952" s="15"/>
      <c r="N4952" s="23"/>
      <c r="O4952" s="23"/>
      <c r="P4952" s="15" t="str">
        <f t="shared" si="6"/>
        <v/>
      </c>
      <c r="Q4952" s="24"/>
      <c r="R4952" s="25"/>
      <c r="S4952" s="25"/>
      <c r="T4952" s="26"/>
      <c r="U4952" s="26"/>
      <c r="V4952" s="25"/>
      <c r="W4952" s="25"/>
      <c r="X4952" s="25"/>
      <c r="Y4952" s="25"/>
      <c r="Z4952" s="25"/>
    </row>
    <row r="4953" spans="1:26" ht="15.75" customHeight="1" x14ac:dyDescent="0.25">
      <c r="A4953" s="25"/>
      <c r="B4953" s="49"/>
      <c r="C4953" s="50"/>
      <c r="D4953" s="23"/>
      <c r="E4953" s="23"/>
      <c r="F4953" s="15"/>
      <c r="G4953" s="23"/>
      <c r="H4953" s="15"/>
      <c r="I4953" s="15"/>
      <c r="J4953" s="51"/>
      <c r="K4953" s="15"/>
      <c r="L4953" s="51"/>
      <c r="M4953" s="15"/>
      <c r="N4953" s="23"/>
      <c r="O4953" s="23"/>
      <c r="P4953" s="15" t="str">
        <f t="shared" si="6"/>
        <v/>
      </c>
      <c r="Q4953" s="24"/>
      <c r="R4953" s="25"/>
      <c r="S4953" s="25"/>
      <c r="T4953" s="26"/>
      <c r="U4953" s="26"/>
      <c r="V4953" s="25"/>
      <c r="W4953" s="25"/>
      <c r="X4953" s="25"/>
      <c r="Y4953" s="25"/>
      <c r="Z4953" s="25"/>
    </row>
    <row r="4954" spans="1:26" ht="15.75" customHeight="1" x14ac:dyDescent="0.25">
      <c r="A4954" s="25"/>
      <c r="B4954" s="49"/>
      <c r="C4954" s="50"/>
      <c r="D4954" s="23"/>
      <c r="E4954" s="23"/>
      <c r="F4954" s="15"/>
      <c r="G4954" s="23"/>
      <c r="H4954" s="15"/>
      <c r="I4954" s="15"/>
      <c r="J4954" s="51"/>
      <c r="K4954" s="15"/>
      <c r="L4954" s="51"/>
      <c r="M4954" s="15"/>
      <c r="N4954" s="23"/>
      <c r="O4954" s="23"/>
      <c r="P4954" s="15" t="str">
        <f t="shared" si="6"/>
        <v/>
      </c>
      <c r="Q4954" s="24"/>
      <c r="R4954" s="25"/>
      <c r="S4954" s="25"/>
      <c r="T4954" s="26"/>
      <c r="U4954" s="26"/>
      <c r="V4954" s="25"/>
      <c r="W4954" s="25"/>
      <c r="X4954" s="25"/>
      <c r="Y4954" s="25"/>
      <c r="Z4954" s="25"/>
    </row>
    <row r="4955" spans="1:26" ht="15.75" customHeight="1" x14ac:dyDescent="0.25">
      <c r="A4955" s="25"/>
      <c r="B4955" s="49"/>
      <c r="C4955" s="50"/>
      <c r="D4955" s="23"/>
      <c r="E4955" s="23"/>
      <c r="F4955" s="15"/>
      <c r="G4955" s="23"/>
      <c r="H4955" s="15"/>
      <c r="I4955" s="15"/>
      <c r="J4955" s="51"/>
      <c r="K4955" s="15"/>
      <c r="L4955" s="51"/>
      <c r="M4955" s="15"/>
      <c r="N4955" s="23"/>
      <c r="O4955" s="23"/>
      <c r="P4955" s="15" t="str">
        <f t="shared" si="6"/>
        <v/>
      </c>
      <c r="Q4955" s="24"/>
      <c r="R4955" s="25"/>
      <c r="S4955" s="25"/>
      <c r="T4955" s="26"/>
      <c r="U4955" s="26"/>
      <c r="V4955" s="25"/>
      <c r="W4955" s="25"/>
      <c r="X4955" s="25"/>
      <c r="Y4955" s="25"/>
      <c r="Z4955" s="25"/>
    </row>
    <row r="4956" spans="1:26" ht="15.75" customHeight="1" x14ac:dyDescent="0.25">
      <c r="A4956" s="25"/>
      <c r="B4956" s="49"/>
      <c r="C4956" s="50"/>
      <c r="D4956" s="23"/>
      <c r="E4956" s="23"/>
      <c r="F4956" s="15"/>
      <c r="G4956" s="23"/>
      <c r="H4956" s="15"/>
      <c r="I4956" s="15"/>
      <c r="J4956" s="51"/>
      <c r="K4956" s="15"/>
      <c r="L4956" s="51"/>
      <c r="M4956" s="15"/>
      <c r="N4956" s="23"/>
      <c r="O4956" s="23"/>
      <c r="P4956" s="15" t="str">
        <f t="shared" si="6"/>
        <v/>
      </c>
      <c r="Q4956" s="24"/>
      <c r="R4956" s="25"/>
      <c r="S4956" s="25"/>
      <c r="T4956" s="26"/>
      <c r="U4956" s="26"/>
      <c r="V4956" s="25"/>
      <c r="W4956" s="25"/>
      <c r="X4956" s="25"/>
      <c r="Y4956" s="25"/>
      <c r="Z4956" s="25"/>
    </row>
    <row r="4957" spans="1:26" ht="15.75" customHeight="1" x14ac:dyDescent="0.25">
      <c r="A4957" s="25"/>
      <c r="B4957" s="49"/>
      <c r="C4957" s="50"/>
      <c r="D4957" s="23"/>
      <c r="E4957" s="23"/>
      <c r="F4957" s="15"/>
      <c r="G4957" s="23"/>
      <c r="H4957" s="15"/>
      <c r="I4957" s="15"/>
      <c r="J4957" s="51"/>
      <c r="K4957" s="15"/>
      <c r="L4957" s="51"/>
      <c r="M4957" s="15"/>
      <c r="N4957" s="23"/>
      <c r="O4957" s="23"/>
      <c r="P4957" s="15" t="str">
        <f t="shared" si="6"/>
        <v/>
      </c>
      <c r="Q4957" s="24"/>
      <c r="R4957" s="25"/>
      <c r="S4957" s="25"/>
      <c r="T4957" s="26"/>
      <c r="U4957" s="26"/>
      <c r="V4957" s="25"/>
      <c r="W4957" s="25"/>
      <c r="X4957" s="25"/>
      <c r="Y4957" s="25"/>
      <c r="Z4957" s="25"/>
    </row>
    <row r="4958" spans="1:26" ht="15.75" customHeight="1" x14ac:dyDescent="0.25">
      <c r="A4958" s="25"/>
      <c r="B4958" s="49"/>
      <c r="C4958" s="50"/>
      <c r="D4958" s="23"/>
      <c r="E4958" s="23"/>
      <c r="F4958" s="15"/>
      <c r="G4958" s="23"/>
      <c r="H4958" s="15"/>
      <c r="I4958" s="15"/>
      <c r="J4958" s="51"/>
      <c r="K4958" s="15"/>
      <c r="L4958" s="51"/>
      <c r="M4958" s="15"/>
      <c r="N4958" s="23"/>
      <c r="O4958" s="23"/>
      <c r="P4958" s="15" t="str">
        <f t="shared" si="6"/>
        <v/>
      </c>
      <c r="Q4958" s="24"/>
      <c r="R4958" s="25"/>
      <c r="S4958" s="25"/>
      <c r="T4958" s="26"/>
      <c r="U4958" s="26"/>
      <c r="V4958" s="25"/>
      <c r="W4958" s="25"/>
      <c r="X4958" s="25"/>
      <c r="Y4958" s="25"/>
      <c r="Z4958" s="25"/>
    </row>
    <row r="4959" spans="1:26" ht="15.75" customHeight="1" x14ac:dyDescent="0.25">
      <c r="A4959" s="25"/>
      <c r="B4959" s="49"/>
      <c r="C4959" s="50"/>
      <c r="D4959" s="23"/>
      <c r="E4959" s="23"/>
      <c r="F4959" s="15"/>
      <c r="G4959" s="23"/>
      <c r="H4959" s="15"/>
      <c r="I4959" s="15"/>
      <c r="J4959" s="51"/>
      <c r="K4959" s="15"/>
      <c r="L4959" s="51"/>
      <c r="M4959" s="15"/>
      <c r="N4959" s="23"/>
      <c r="O4959" s="23"/>
      <c r="P4959" s="15" t="str">
        <f t="shared" si="6"/>
        <v/>
      </c>
      <c r="Q4959" s="24"/>
      <c r="R4959" s="25"/>
      <c r="S4959" s="25"/>
      <c r="T4959" s="26"/>
      <c r="U4959" s="26"/>
      <c r="V4959" s="25"/>
      <c r="W4959" s="25"/>
      <c r="X4959" s="25"/>
      <c r="Y4959" s="25"/>
      <c r="Z4959" s="25"/>
    </row>
    <row r="4960" spans="1:26" ht="15.75" customHeight="1" x14ac:dyDescent="0.25">
      <c r="A4960" s="25"/>
      <c r="B4960" s="49"/>
      <c r="C4960" s="50"/>
      <c r="D4960" s="23"/>
      <c r="E4960" s="23"/>
      <c r="F4960" s="15"/>
      <c r="G4960" s="23"/>
      <c r="H4960" s="15"/>
      <c r="I4960" s="15"/>
      <c r="J4960" s="51"/>
      <c r="K4960" s="15"/>
      <c r="L4960" s="51"/>
      <c r="M4960" s="15"/>
      <c r="N4960" s="23"/>
      <c r="O4960" s="23"/>
      <c r="P4960" s="15" t="str">
        <f t="shared" si="6"/>
        <v/>
      </c>
      <c r="Q4960" s="24"/>
      <c r="R4960" s="25"/>
      <c r="S4960" s="25"/>
      <c r="T4960" s="26"/>
      <c r="U4960" s="26"/>
      <c r="V4960" s="25"/>
      <c r="W4960" s="25"/>
      <c r="X4960" s="25"/>
      <c r="Y4960" s="25"/>
      <c r="Z4960" s="25"/>
    </row>
    <row r="4961" spans="1:26" ht="15.75" customHeight="1" x14ac:dyDescent="0.25">
      <c r="A4961" s="25"/>
      <c r="B4961" s="49"/>
      <c r="C4961" s="50"/>
      <c r="D4961" s="23"/>
      <c r="E4961" s="23"/>
      <c r="F4961" s="15"/>
      <c r="G4961" s="23"/>
      <c r="H4961" s="15"/>
      <c r="I4961" s="15"/>
      <c r="J4961" s="51"/>
      <c r="K4961" s="15"/>
      <c r="L4961" s="51"/>
      <c r="M4961" s="15"/>
      <c r="N4961" s="23"/>
      <c r="O4961" s="23"/>
      <c r="P4961" s="15" t="str">
        <f t="shared" si="6"/>
        <v/>
      </c>
      <c r="Q4961" s="24"/>
      <c r="R4961" s="25"/>
      <c r="S4961" s="25"/>
      <c r="T4961" s="26"/>
      <c r="U4961" s="26"/>
      <c r="V4961" s="25"/>
      <c r="W4961" s="25"/>
      <c r="X4961" s="25"/>
      <c r="Y4961" s="25"/>
      <c r="Z4961" s="25"/>
    </row>
    <row r="4962" spans="1:26" ht="15.75" customHeight="1" x14ac:dyDescent="0.25">
      <c r="A4962" s="25"/>
      <c r="B4962" s="49"/>
      <c r="C4962" s="50"/>
      <c r="D4962" s="23"/>
      <c r="E4962" s="23"/>
      <c r="F4962" s="15"/>
      <c r="G4962" s="23"/>
      <c r="H4962" s="15"/>
      <c r="I4962" s="15"/>
      <c r="J4962" s="51"/>
      <c r="K4962" s="15"/>
      <c r="L4962" s="51"/>
      <c r="M4962" s="15"/>
      <c r="N4962" s="23"/>
      <c r="O4962" s="23"/>
      <c r="P4962" s="15" t="str">
        <f t="shared" si="6"/>
        <v/>
      </c>
      <c r="Q4962" s="24"/>
      <c r="R4962" s="25"/>
      <c r="S4962" s="25"/>
      <c r="T4962" s="26"/>
      <c r="U4962" s="26"/>
      <c r="V4962" s="25"/>
      <c r="W4962" s="25"/>
      <c r="X4962" s="25"/>
      <c r="Y4962" s="25"/>
      <c r="Z4962" s="25"/>
    </row>
    <row r="4963" spans="1:26" ht="15.75" customHeight="1" x14ac:dyDescent="0.25">
      <c r="A4963" s="25"/>
      <c r="B4963" s="49"/>
      <c r="C4963" s="50"/>
      <c r="D4963" s="23"/>
      <c r="E4963" s="23"/>
      <c r="F4963" s="15"/>
      <c r="G4963" s="23"/>
      <c r="H4963" s="15"/>
      <c r="I4963" s="15"/>
      <c r="J4963" s="51"/>
      <c r="K4963" s="15"/>
      <c r="L4963" s="51"/>
      <c r="M4963" s="15"/>
      <c r="N4963" s="23"/>
      <c r="O4963" s="23"/>
      <c r="P4963" s="15" t="str">
        <f t="shared" si="6"/>
        <v/>
      </c>
      <c r="Q4963" s="24"/>
      <c r="R4963" s="25"/>
      <c r="S4963" s="25"/>
      <c r="T4963" s="26"/>
      <c r="U4963" s="26"/>
      <c r="V4963" s="25"/>
      <c r="W4963" s="25"/>
      <c r="X4963" s="25"/>
      <c r="Y4963" s="25"/>
      <c r="Z4963" s="25"/>
    </row>
    <row r="4964" spans="1:26" ht="15.75" customHeight="1" x14ac:dyDescent="0.25">
      <c r="A4964" s="25"/>
      <c r="B4964" s="49"/>
      <c r="C4964" s="50"/>
      <c r="D4964" s="23"/>
      <c r="E4964" s="23"/>
      <c r="F4964" s="15"/>
      <c r="G4964" s="23"/>
      <c r="H4964" s="15"/>
      <c r="I4964" s="15"/>
      <c r="J4964" s="51"/>
      <c r="K4964" s="15"/>
      <c r="L4964" s="51"/>
      <c r="M4964" s="15"/>
      <c r="N4964" s="23"/>
      <c r="O4964" s="23"/>
      <c r="P4964" s="15" t="str">
        <f t="shared" si="6"/>
        <v/>
      </c>
      <c r="Q4964" s="24"/>
      <c r="R4964" s="25"/>
      <c r="S4964" s="25"/>
      <c r="T4964" s="26"/>
      <c r="U4964" s="26"/>
      <c r="V4964" s="25"/>
      <c r="W4964" s="25"/>
      <c r="X4964" s="25"/>
      <c r="Y4964" s="25"/>
      <c r="Z4964" s="25"/>
    </row>
    <row r="4965" spans="1:26" ht="15.75" customHeight="1" x14ac:dyDescent="0.25">
      <c r="A4965" s="25"/>
      <c r="B4965" s="49"/>
      <c r="C4965" s="50"/>
      <c r="D4965" s="23"/>
      <c r="E4965" s="23"/>
      <c r="F4965" s="15"/>
      <c r="G4965" s="23"/>
      <c r="H4965" s="15"/>
      <c r="I4965" s="15"/>
      <c r="J4965" s="51"/>
      <c r="K4965" s="15"/>
      <c r="L4965" s="51"/>
      <c r="M4965" s="15"/>
      <c r="N4965" s="23"/>
      <c r="O4965" s="23"/>
      <c r="P4965" s="15" t="str">
        <f t="shared" si="6"/>
        <v/>
      </c>
      <c r="Q4965" s="24"/>
      <c r="R4965" s="25"/>
      <c r="S4965" s="25"/>
      <c r="T4965" s="26"/>
      <c r="U4965" s="26"/>
      <c r="V4965" s="25"/>
      <c r="W4965" s="25"/>
      <c r="X4965" s="25"/>
      <c r="Y4965" s="25"/>
      <c r="Z4965" s="25"/>
    </row>
    <row r="4966" spans="1:26" ht="15.75" customHeight="1" x14ac:dyDescent="0.25">
      <c r="A4966" s="25"/>
      <c r="B4966" s="49"/>
      <c r="C4966" s="50"/>
      <c r="D4966" s="23"/>
      <c r="E4966" s="23"/>
      <c r="F4966" s="15"/>
      <c r="G4966" s="23"/>
      <c r="H4966" s="15"/>
      <c r="I4966" s="15"/>
      <c r="J4966" s="51"/>
      <c r="K4966" s="15"/>
      <c r="L4966" s="51"/>
      <c r="M4966" s="15"/>
      <c r="N4966" s="23"/>
      <c r="O4966" s="23"/>
      <c r="P4966" s="15" t="str">
        <f t="shared" si="6"/>
        <v/>
      </c>
      <c r="Q4966" s="24"/>
      <c r="R4966" s="25"/>
      <c r="S4966" s="25"/>
      <c r="T4966" s="26"/>
      <c r="U4966" s="26"/>
      <c r="V4966" s="25"/>
      <c r="W4966" s="25"/>
      <c r="X4966" s="25"/>
      <c r="Y4966" s="25"/>
      <c r="Z4966" s="25"/>
    </row>
    <row r="4967" spans="1:26" ht="15.75" customHeight="1" x14ac:dyDescent="0.25">
      <c r="A4967" s="25"/>
      <c r="B4967" s="49"/>
      <c r="C4967" s="50"/>
      <c r="D4967" s="23"/>
      <c r="E4967" s="23"/>
      <c r="F4967" s="15"/>
      <c r="G4967" s="23"/>
      <c r="H4967" s="15"/>
      <c r="I4967" s="15"/>
      <c r="J4967" s="51"/>
      <c r="K4967" s="15"/>
      <c r="L4967" s="51"/>
      <c r="M4967" s="15"/>
      <c r="N4967" s="23"/>
      <c r="O4967" s="23"/>
      <c r="P4967" s="15" t="str">
        <f t="shared" si="6"/>
        <v/>
      </c>
      <c r="Q4967" s="24"/>
      <c r="R4967" s="25"/>
      <c r="S4967" s="25"/>
      <c r="T4967" s="26"/>
      <c r="U4967" s="26"/>
      <c r="V4967" s="25"/>
      <c r="W4967" s="25"/>
      <c r="X4967" s="25"/>
      <c r="Y4967" s="25"/>
      <c r="Z4967" s="25"/>
    </row>
    <row r="4968" spans="1:26" ht="15.75" customHeight="1" x14ac:dyDescent="0.25">
      <c r="A4968" s="25"/>
      <c r="B4968" s="49"/>
      <c r="C4968" s="50"/>
      <c r="D4968" s="23"/>
      <c r="E4968" s="23"/>
      <c r="F4968" s="15"/>
      <c r="G4968" s="23"/>
      <c r="H4968" s="15"/>
      <c r="I4968" s="15"/>
      <c r="J4968" s="51"/>
      <c r="K4968" s="15"/>
      <c r="L4968" s="51"/>
      <c r="M4968" s="15"/>
      <c r="N4968" s="23"/>
      <c r="O4968" s="23"/>
      <c r="P4968" s="15" t="str">
        <f t="shared" si="6"/>
        <v/>
      </c>
      <c r="Q4968" s="24"/>
      <c r="R4968" s="25"/>
      <c r="S4968" s="25"/>
      <c r="T4968" s="26"/>
      <c r="U4968" s="26"/>
      <c r="V4968" s="25"/>
      <c r="W4968" s="25"/>
      <c r="X4968" s="25"/>
      <c r="Y4968" s="25"/>
      <c r="Z4968" s="25"/>
    </row>
    <row r="4969" spans="1:26" ht="15.75" customHeight="1" x14ac:dyDescent="0.25">
      <c r="A4969" s="25"/>
      <c r="B4969" s="49"/>
      <c r="C4969" s="50"/>
      <c r="D4969" s="23"/>
      <c r="E4969" s="23"/>
      <c r="F4969" s="15"/>
      <c r="G4969" s="23"/>
      <c r="H4969" s="15"/>
      <c r="I4969" s="15"/>
      <c r="J4969" s="51"/>
      <c r="K4969" s="15"/>
      <c r="L4969" s="51"/>
      <c r="M4969" s="15"/>
      <c r="N4969" s="23"/>
      <c r="O4969" s="23"/>
      <c r="P4969" s="15" t="str">
        <f t="shared" si="6"/>
        <v/>
      </c>
      <c r="Q4969" s="24"/>
      <c r="R4969" s="25"/>
      <c r="S4969" s="25"/>
      <c r="T4969" s="26"/>
      <c r="U4969" s="26"/>
      <c r="V4969" s="25"/>
      <c r="W4969" s="25"/>
      <c r="X4969" s="25"/>
      <c r="Y4969" s="25"/>
      <c r="Z4969" s="25"/>
    </row>
    <row r="4970" spans="1:26" ht="15.75" customHeight="1" x14ac:dyDescent="0.25">
      <c r="A4970" s="25"/>
      <c r="B4970" s="49"/>
      <c r="C4970" s="50"/>
      <c r="D4970" s="23"/>
      <c r="E4970" s="23"/>
      <c r="F4970" s="15"/>
      <c r="G4970" s="23"/>
      <c r="H4970" s="15"/>
      <c r="I4970" s="15"/>
      <c r="J4970" s="51"/>
      <c r="K4970" s="15"/>
      <c r="L4970" s="51"/>
      <c r="M4970" s="15"/>
      <c r="N4970" s="23"/>
      <c r="O4970" s="23"/>
      <c r="P4970" s="15" t="str">
        <f t="shared" si="6"/>
        <v/>
      </c>
      <c r="Q4970" s="24"/>
      <c r="R4970" s="25"/>
      <c r="S4970" s="25"/>
      <c r="T4970" s="26"/>
      <c r="U4970" s="26"/>
      <c r="V4970" s="25"/>
      <c r="W4970" s="25"/>
      <c r="X4970" s="25"/>
      <c r="Y4970" s="25"/>
      <c r="Z4970" s="25"/>
    </row>
    <row r="4971" spans="1:26" ht="15.75" customHeight="1" x14ac:dyDescent="0.25">
      <c r="A4971" s="25"/>
      <c r="B4971" s="49"/>
      <c r="C4971" s="50"/>
      <c r="D4971" s="23"/>
      <c r="E4971" s="23"/>
      <c r="F4971" s="15"/>
      <c r="G4971" s="23"/>
      <c r="H4971" s="15"/>
      <c r="I4971" s="15"/>
      <c r="J4971" s="51"/>
      <c r="K4971" s="15"/>
      <c r="L4971" s="51"/>
      <c r="M4971" s="15"/>
      <c r="N4971" s="23"/>
      <c r="O4971" s="23"/>
      <c r="P4971" s="15" t="str">
        <f t="shared" si="6"/>
        <v/>
      </c>
      <c r="Q4971" s="24"/>
      <c r="R4971" s="25"/>
      <c r="S4971" s="25"/>
      <c r="T4971" s="26"/>
      <c r="U4971" s="26"/>
      <c r="V4971" s="25"/>
      <c r="W4971" s="25"/>
      <c r="X4971" s="25"/>
      <c r="Y4971" s="25"/>
      <c r="Z4971" s="25"/>
    </row>
    <row r="4972" spans="1:26" ht="15.75" customHeight="1" x14ac:dyDescent="0.25">
      <c r="A4972" s="25"/>
      <c r="B4972" s="49"/>
      <c r="C4972" s="50"/>
      <c r="D4972" s="23"/>
      <c r="E4972" s="23"/>
      <c r="F4972" s="15"/>
      <c r="G4972" s="23"/>
      <c r="H4972" s="15"/>
      <c r="I4972" s="15"/>
      <c r="J4972" s="51"/>
      <c r="K4972" s="15"/>
      <c r="L4972" s="51"/>
      <c r="M4972" s="15"/>
      <c r="N4972" s="23"/>
      <c r="O4972" s="23"/>
      <c r="P4972" s="15" t="str">
        <f t="shared" si="6"/>
        <v/>
      </c>
      <c r="Q4972" s="24"/>
      <c r="R4972" s="25"/>
      <c r="S4972" s="25"/>
      <c r="T4972" s="26"/>
      <c r="U4972" s="26"/>
      <c r="V4972" s="25"/>
      <c r="W4972" s="25"/>
      <c r="X4972" s="25"/>
      <c r="Y4972" s="25"/>
      <c r="Z4972" s="25"/>
    </row>
    <row r="4973" spans="1:26" ht="15.75" customHeight="1" x14ac:dyDescent="0.25">
      <c r="A4973" s="25"/>
      <c r="B4973" s="49"/>
      <c r="C4973" s="50"/>
      <c r="D4973" s="23"/>
      <c r="E4973" s="23"/>
      <c r="F4973" s="15"/>
      <c r="G4973" s="23"/>
      <c r="H4973" s="15"/>
      <c r="I4973" s="15"/>
      <c r="J4973" s="51"/>
      <c r="K4973" s="15"/>
      <c r="L4973" s="51"/>
      <c r="M4973" s="15"/>
      <c r="N4973" s="23"/>
      <c r="O4973" s="23"/>
      <c r="P4973" s="15" t="str">
        <f t="shared" si="6"/>
        <v/>
      </c>
      <c r="Q4973" s="24"/>
      <c r="R4973" s="25"/>
      <c r="S4973" s="25"/>
      <c r="T4973" s="26"/>
      <c r="U4973" s="26"/>
      <c r="V4973" s="25"/>
      <c r="W4973" s="25"/>
      <c r="X4973" s="25"/>
      <c r="Y4973" s="25"/>
      <c r="Z4973" s="25"/>
    </row>
    <row r="4974" spans="1:26" ht="15.75" customHeight="1" x14ac:dyDescent="0.25">
      <c r="A4974" s="25"/>
      <c r="B4974" s="49"/>
      <c r="C4974" s="50"/>
      <c r="D4974" s="23"/>
      <c r="E4974" s="23"/>
      <c r="F4974" s="15"/>
      <c r="G4974" s="23"/>
      <c r="H4974" s="15"/>
      <c r="I4974" s="15"/>
      <c r="J4974" s="51"/>
      <c r="K4974" s="15"/>
      <c r="L4974" s="51"/>
      <c r="M4974" s="15"/>
      <c r="N4974" s="23"/>
      <c r="O4974" s="23"/>
      <c r="P4974" s="15" t="str">
        <f t="shared" si="6"/>
        <v/>
      </c>
      <c r="Q4974" s="24"/>
      <c r="R4974" s="25"/>
      <c r="S4974" s="25"/>
      <c r="T4974" s="26"/>
      <c r="U4974" s="26"/>
      <c r="V4974" s="25"/>
      <c r="W4974" s="25"/>
      <c r="X4974" s="25"/>
      <c r="Y4974" s="25"/>
      <c r="Z4974" s="25"/>
    </row>
    <row r="4975" spans="1:26" ht="15.75" customHeight="1" x14ac:dyDescent="0.25">
      <c r="A4975" s="25"/>
      <c r="B4975" s="49"/>
      <c r="C4975" s="50"/>
      <c r="D4975" s="23"/>
      <c r="E4975" s="23"/>
      <c r="F4975" s="15"/>
      <c r="G4975" s="23"/>
      <c r="H4975" s="15"/>
      <c r="I4975" s="15"/>
      <c r="J4975" s="51"/>
      <c r="K4975" s="15"/>
      <c r="L4975" s="51"/>
      <c r="M4975" s="15"/>
      <c r="N4975" s="23"/>
      <c r="O4975" s="23"/>
      <c r="P4975" s="15" t="str">
        <f t="shared" si="6"/>
        <v/>
      </c>
      <c r="Q4975" s="24"/>
      <c r="R4975" s="25"/>
      <c r="S4975" s="25"/>
      <c r="T4975" s="26"/>
      <c r="U4975" s="26"/>
      <c r="V4975" s="25"/>
      <c r="W4975" s="25"/>
      <c r="X4975" s="25"/>
      <c r="Y4975" s="25"/>
      <c r="Z4975" s="25"/>
    </row>
    <row r="4976" spans="1:26" ht="15.75" customHeight="1" x14ac:dyDescent="0.25">
      <c r="A4976" s="25"/>
      <c r="B4976" s="49"/>
      <c r="C4976" s="50"/>
      <c r="D4976" s="23"/>
      <c r="E4976" s="23"/>
      <c r="F4976" s="15"/>
      <c r="G4976" s="23"/>
      <c r="H4976" s="15"/>
      <c r="I4976" s="15"/>
      <c r="J4976" s="51"/>
      <c r="K4976" s="15"/>
      <c r="L4976" s="51"/>
      <c r="M4976" s="15"/>
      <c r="N4976" s="23"/>
      <c r="O4976" s="23"/>
      <c r="P4976" s="15" t="str">
        <f t="shared" si="6"/>
        <v/>
      </c>
      <c r="Q4976" s="24"/>
      <c r="R4976" s="25"/>
      <c r="S4976" s="25"/>
      <c r="T4976" s="26"/>
      <c r="U4976" s="26"/>
      <c r="V4976" s="25"/>
      <c r="W4976" s="25"/>
      <c r="X4976" s="25"/>
      <c r="Y4976" s="25"/>
      <c r="Z4976" s="25"/>
    </row>
    <row r="4977" spans="1:26" ht="15.75" customHeight="1" x14ac:dyDescent="0.25">
      <c r="A4977" s="25"/>
      <c r="B4977" s="49"/>
      <c r="C4977" s="50"/>
      <c r="D4977" s="23"/>
      <c r="E4977" s="23"/>
      <c r="F4977" s="15"/>
      <c r="G4977" s="23"/>
      <c r="H4977" s="15"/>
      <c r="I4977" s="15"/>
      <c r="J4977" s="51"/>
      <c r="K4977" s="15"/>
      <c r="L4977" s="51"/>
      <c r="M4977" s="15"/>
      <c r="N4977" s="23"/>
      <c r="O4977" s="23"/>
      <c r="P4977" s="15" t="str">
        <f t="shared" si="6"/>
        <v/>
      </c>
      <c r="Q4977" s="24"/>
      <c r="R4977" s="25"/>
      <c r="S4977" s="25"/>
      <c r="T4977" s="26"/>
      <c r="U4977" s="26"/>
      <c r="V4977" s="25"/>
      <c r="W4977" s="25"/>
      <c r="X4977" s="25"/>
      <c r="Y4977" s="25"/>
      <c r="Z4977" s="25"/>
    </row>
    <row r="4978" spans="1:26" ht="15.75" customHeight="1" x14ac:dyDescent="0.25">
      <c r="A4978" s="25"/>
      <c r="B4978" s="49"/>
      <c r="C4978" s="50"/>
      <c r="D4978" s="23"/>
      <c r="E4978" s="23"/>
      <c r="F4978" s="15"/>
      <c r="G4978" s="23"/>
      <c r="H4978" s="15"/>
      <c r="I4978" s="15"/>
      <c r="J4978" s="51"/>
      <c r="K4978" s="15"/>
      <c r="L4978" s="51"/>
      <c r="M4978" s="15"/>
      <c r="N4978" s="23"/>
      <c r="O4978" s="23"/>
      <c r="P4978" s="15" t="str">
        <f t="shared" si="6"/>
        <v/>
      </c>
      <c r="Q4978" s="24"/>
      <c r="R4978" s="25"/>
      <c r="S4978" s="25"/>
      <c r="T4978" s="26"/>
      <c r="U4978" s="26"/>
      <c r="V4978" s="25"/>
      <c r="W4978" s="25"/>
      <c r="X4978" s="25"/>
      <c r="Y4978" s="25"/>
      <c r="Z4978" s="25"/>
    </row>
    <row r="4979" spans="1:26" ht="15.75" customHeight="1" x14ac:dyDescent="0.25">
      <c r="A4979" s="25"/>
      <c r="B4979" s="49"/>
      <c r="C4979" s="50"/>
      <c r="D4979" s="23"/>
      <c r="E4979" s="23"/>
      <c r="F4979" s="15"/>
      <c r="G4979" s="23"/>
      <c r="H4979" s="15"/>
      <c r="I4979" s="15"/>
      <c r="J4979" s="51"/>
      <c r="K4979" s="15"/>
      <c r="L4979" s="51"/>
      <c r="M4979" s="15"/>
      <c r="N4979" s="23"/>
      <c r="O4979" s="23"/>
      <c r="P4979" s="15" t="str">
        <f t="shared" si="6"/>
        <v/>
      </c>
      <c r="Q4979" s="24"/>
      <c r="R4979" s="25"/>
      <c r="S4979" s="25"/>
      <c r="T4979" s="26"/>
      <c r="U4979" s="26"/>
      <c r="V4979" s="25"/>
      <c r="W4979" s="25"/>
      <c r="X4979" s="25"/>
      <c r="Y4979" s="25"/>
      <c r="Z4979" s="25"/>
    </row>
    <row r="4980" spans="1:26" ht="15.75" customHeight="1" x14ac:dyDescent="0.25">
      <c r="A4980" s="25"/>
      <c r="B4980" s="49"/>
      <c r="C4980" s="50"/>
      <c r="D4980" s="23"/>
      <c r="E4980" s="23"/>
      <c r="F4980" s="15"/>
      <c r="G4980" s="23"/>
      <c r="H4980" s="15"/>
      <c r="I4980" s="15"/>
      <c r="J4980" s="51"/>
      <c r="K4980" s="15"/>
      <c r="L4980" s="51"/>
      <c r="M4980" s="15"/>
      <c r="N4980" s="23"/>
      <c r="O4980" s="23"/>
      <c r="P4980" s="15" t="str">
        <f t="shared" si="6"/>
        <v/>
      </c>
      <c r="Q4980" s="24"/>
      <c r="R4980" s="25"/>
      <c r="S4980" s="25"/>
      <c r="T4980" s="26"/>
      <c r="U4980" s="26"/>
      <c r="V4980" s="25"/>
      <c r="W4980" s="25"/>
      <c r="X4980" s="25"/>
      <c r="Y4980" s="25"/>
      <c r="Z4980" s="25"/>
    </row>
    <row r="4981" spans="1:26" ht="15.75" customHeight="1" x14ac:dyDescent="0.25">
      <c r="A4981" s="25"/>
      <c r="B4981" s="49"/>
      <c r="C4981" s="50"/>
      <c r="D4981" s="23"/>
      <c r="E4981" s="23"/>
      <c r="F4981" s="15"/>
      <c r="G4981" s="23"/>
      <c r="H4981" s="15"/>
      <c r="I4981" s="15"/>
      <c r="J4981" s="51"/>
      <c r="K4981" s="15"/>
      <c r="L4981" s="51"/>
      <c r="M4981" s="15"/>
      <c r="N4981" s="23"/>
      <c r="O4981" s="23"/>
      <c r="P4981" s="15" t="str">
        <f t="shared" si="6"/>
        <v/>
      </c>
      <c r="Q4981" s="24"/>
      <c r="R4981" s="25"/>
      <c r="S4981" s="25"/>
      <c r="T4981" s="26"/>
      <c r="U4981" s="26"/>
      <c r="V4981" s="25"/>
      <c r="W4981" s="25"/>
      <c r="X4981" s="25"/>
      <c r="Y4981" s="25"/>
      <c r="Z4981" s="25"/>
    </row>
    <row r="4982" spans="1:26" ht="15.75" customHeight="1" x14ac:dyDescent="0.25">
      <c r="A4982" s="25"/>
      <c r="B4982" s="49"/>
      <c r="C4982" s="50"/>
      <c r="D4982" s="23"/>
      <c r="E4982" s="23"/>
      <c r="F4982" s="15"/>
      <c r="G4982" s="23"/>
      <c r="H4982" s="15"/>
      <c r="I4982" s="15"/>
      <c r="J4982" s="51"/>
      <c r="K4982" s="15"/>
      <c r="L4982" s="51"/>
      <c r="M4982" s="15"/>
      <c r="N4982" s="23"/>
      <c r="O4982" s="23"/>
      <c r="P4982" s="15" t="str">
        <f t="shared" si="6"/>
        <v/>
      </c>
      <c r="Q4982" s="24"/>
      <c r="R4982" s="25"/>
      <c r="S4982" s="25"/>
      <c r="T4982" s="26"/>
      <c r="U4982" s="26"/>
      <c r="V4982" s="25"/>
      <c r="W4982" s="25"/>
      <c r="X4982" s="25"/>
      <c r="Y4982" s="25"/>
      <c r="Z4982" s="25"/>
    </row>
    <row r="4983" spans="1:26" ht="15.75" customHeight="1" x14ac:dyDescent="0.25">
      <c r="A4983" s="25"/>
      <c r="B4983" s="49"/>
      <c r="C4983" s="50"/>
      <c r="D4983" s="23"/>
      <c r="E4983" s="23"/>
      <c r="F4983" s="15"/>
      <c r="G4983" s="23"/>
      <c r="H4983" s="15"/>
      <c r="I4983" s="15"/>
      <c r="J4983" s="51"/>
      <c r="K4983" s="15"/>
      <c r="L4983" s="51"/>
      <c r="M4983" s="15"/>
      <c r="N4983" s="23"/>
      <c r="O4983" s="23"/>
      <c r="P4983" s="15" t="str">
        <f t="shared" si="6"/>
        <v/>
      </c>
      <c r="Q4983" s="24"/>
      <c r="R4983" s="25"/>
      <c r="S4983" s="25"/>
      <c r="T4983" s="26"/>
      <c r="U4983" s="26"/>
      <c r="V4983" s="25"/>
      <c r="W4983" s="25"/>
      <c r="X4983" s="25"/>
      <c r="Y4983" s="25"/>
      <c r="Z4983" s="25"/>
    </row>
    <row r="4984" spans="1:26" ht="15.75" customHeight="1" x14ac:dyDescent="0.25">
      <c r="A4984" s="25"/>
      <c r="B4984" s="49"/>
      <c r="C4984" s="50"/>
      <c r="D4984" s="23"/>
      <c r="E4984" s="23"/>
      <c r="F4984" s="15"/>
      <c r="G4984" s="23"/>
      <c r="H4984" s="15"/>
      <c r="I4984" s="15"/>
      <c r="J4984" s="51"/>
      <c r="K4984" s="15"/>
      <c r="L4984" s="51"/>
      <c r="M4984" s="15"/>
      <c r="N4984" s="23"/>
      <c r="O4984" s="23"/>
      <c r="P4984" s="15" t="str">
        <f t="shared" si="6"/>
        <v/>
      </c>
      <c r="Q4984" s="24"/>
      <c r="R4984" s="25"/>
      <c r="S4984" s="25"/>
      <c r="T4984" s="26"/>
      <c r="U4984" s="26"/>
      <c r="V4984" s="25"/>
      <c r="W4984" s="25"/>
      <c r="X4984" s="25"/>
      <c r="Y4984" s="25"/>
      <c r="Z4984" s="25"/>
    </row>
    <row r="4985" spans="1:26" ht="15.75" customHeight="1" x14ac:dyDescent="0.25">
      <c r="A4985" s="25"/>
      <c r="B4985" s="49"/>
      <c r="C4985" s="50"/>
      <c r="D4985" s="23"/>
      <c r="E4985" s="23"/>
      <c r="F4985" s="15"/>
      <c r="G4985" s="23"/>
      <c r="H4985" s="15"/>
      <c r="I4985" s="15"/>
      <c r="J4985" s="51"/>
      <c r="K4985" s="15"/>
      <c r="L4985" s="51"/>
      <c r="M4985" s="15"/>
      <c r="N4985" s="23"/>
      <c r="O4985" s="23"/>
      <c r="P4985" s="15" t="str">
        <f t="shared" si="6"/>
        <v/>
      </c>
      <c r="Q4985" s="24"/>
      <c r="R4985" s="25"/>
      <c r="S4985" s="25"/>
      <c r="T4985" s="26"/>
      <c r="U4985" s="26"/>
      <c r="V4985" s="25"/>
      <c r="W4985" s="25"/>
      <c r="X4985" s="25"/>
      <c r="Y4985" s="25"/>
      <c r="Z4985" s="25"/>
    </row>
    <row r="4986" spans="1:26" ht="15.75" customHeight="1" x14ac:dyDescent="0.25">
      <c r="A4986" s="25"/>
      <c r="B4986" s="49"/>
      <c r="C4986" s="50"/>
      <c r="D4986" s="23"/>
      <c r="E4986" s="23"/>
      <c r="F4986" s="15"/>
      <c r="G4986" s="23"/>
      <c r="H4986" s="15"/>
      <c r="I4986" s="15"/>
      <c r="J4986" s="51"/>
      <c r="K4986" s="15"/>
      <c r="L4986" s="51"/>
      <c r="M4986" s="15"/>
      <c r="N4986" s="23"/>
      <c r="O4986" s="23"/>
      <c r="P4986" s="15" t="str">
        <f t="shared" si="6"/>
        <v/>
      </c>
      <c r="Q4986" s="24"/>
      <c r="R4986" s="25"/>
      <c r="S4986" s="25"/>
      <c r="T4986" s="26"/>
      <c r="U4986" s="26"/>
      <c r="V4986" s="25"/>
      <c r="W4986" s="25"/>
      <c r="X4986" s="25"/>
      <c r="Y4986" s="25"/>
      <c r="Z4986" s="25"/>
    </row>
    <row r="4987" spans="1:26" ht="15.75" customHeight="1" x14ac:dyDescent="0.25">
      <c r="A4987" s="25"/>
      <c r="B4987" s="49"/>
      <c r="C4987" s="50"/>
      <c r="D4987" s="23"/>
      <c r="E4987" s="23"/>
      <c r="F4987" s="15"/>
      <c r="G4987" s="23"/>
      <c r="H4987" s="15"/>
      <c r="I4987" s="15"/>
      <c r="J4987" s="51"/>
      <c r="K4987" s="15"/>
      <c r="L4987" s="51"/>
      <c r="M4987" s="15"/>
      <c r="N4987" s="23"/>
      <c r="O4987" s="23"/>
      <c r="P4987" s="15" t="str">
        <f t="shared" si="6"/>
        <v/>
      </c>
      <c r="Q4987" s="24"/>
      <c r="R4987" s="25"/>
      <c r="S4987" s="25"/>
      <c r="T4987" s="26"/>
      <c r="U4987" s="26"/>
      <c r="V4987" s="25"/>
      <c r="W4987" s="25"/>
      <c r="X4987" s="25"/>
      <c r="Y4987" s="25"/>
      <c r="Z4987" s="25"/>
    </row>
    <row r="4988" spans="1:26" ht="15.75" customHeight="1" x14ac:dyDescent="0.25">
      <c r="A4988" s="25"/>
      <c r="B4988" s="49"/>
      <c r="C4988" s="50"/>
      <c r="D4988" s="23"/>
      <c r="E4988" s="23"/>
      <c r="F4988" s="15"/>
      <c r="G4988" s="23"/>
      <c r="H4988" s="15"/>
      <c r="I4988" s="15"/>
      <c r="J4988" s="51"/>
      <c r="K4988" s="15"/>
      <c r="L4988" s="51"/>
      <c r="M4988" s="15"/>
      <c r="N4988" s="23"/>
      <c r="O4988" s="23"/>
      <c r="P4988" s="15" t="str">
        <f t="shared" si="6"/>
        <v/>
      </c>
      <c r="Q4988" s="24"/>
      <c r="R4988" s="25"/>
      <c r="S4988" s="25"/>
      <c r="T4988" s="26"/>
      <c r="U4988" s="26"/>
      <c r="V4988" s="25"/>
      <c r="W4988" s="25"/>
      <c r="X4988" s="25"/>
      <c r="Y4988" s="25"/>
      <c r="Z4988" s="25"/>
    </row>
    <row r="4989" spans="1:26" ht="15.75" customHeight="1" x14ac:dyDescent="0.25">
      <c r="A4989" s="25"/>
      <c r="B4989" s="49"/>
      <c r="C4989" s="50"/>
      <c r="D4989" s="23"/>
      <c r="E4989" s="23"/>
      <c r="F4989" s="15"/>
      <c r="G4989" s="23"/>
      <c r="H4989" s="15"/>
      <c r="I4989" s="15"/>
      <c r="J4989" s="51"/>
      <c r="K4989" s="15"/>
      <c r="L4989" s="51"/>
      <c r="M4989" s="15"/>
      <c r="N4989" s="23"/>
      <c r="O4989" s="23"/>
      <c r="P4989" s="15" t="str">
        <f t="shared" si="6"/>
        <v/>
      </c>
      <c r="Q4989" s="24"/>
      <c r="R4989" s="25"/>
      <c r="S4989" s="25"/>
      <c r="T4989" s="26"/>
      <c r="U4989" s="26"/>
      <c r="V4989" s="25"/>
      <c r="W4989" s="25"/>
      <c r="X4989" s="25"/>
      <c r="Y4989" s="25"/>
      <c r="Z4989" s="25"/>
    </row>
    <row r="4990" spans="1:26" ht="15.75" customHeight="1" x14ac:dyDescent="0.25">
      <c r="A4990" s="25"/>
      <c r="B4990" s="49"/>
      <c r="C4990" s="50"/>
      <c r="D4990" s="23"/>
      <c r="E4990" s="23"/>
      <c r="F4990" s="15"/>
      <c r="G4990" s="23"/>
      <c r="H4990" s="15"/>
      <c r="I4990" s="15"/>
      <c r="J4990" s="51"/>
      <c r="K4990" s="15"/>
      <c r="L4990" s="51"/>
      <c r="M4990" s="15"/>
      <c r="N4990" s="23"/>
      <c r="O4990" s="23"/>
      <c r="P4990" s="15" t="str">
        <f t="shared" si="6"/>
        <v/>
      </c>
      <c r="Q4990" s="24"/>
      <c r="R4990" s="25"/>
      <c r="S4990" s="25"/>
      <c r="T4990" s="26"/>
      <c r="U4990" s="26"/>
      <c r="V4990" s="25"/>
      <c r="W4990" s="25"/>
      <c r="X4990" s="25"/>
      <c r="Y4990" s="25"/>
      <c r="Z4990" s="25"/>
    </row>
    <row r="4991" spans="1:26" ht="15.75" customHeight="1" x14ac:dyDescent="0.25">
      <c r="A4991" s="25"/>
      <c r="B4991" s="49"/>
      <c r="C4991" s="50"/>
      <c r="D4991" s="23"/>
      <c r="E4991" s="23"/>
      <c r="F4991" s="15"/>
      <c r="G4991" s="23"/>
      <c r="H4991" s="15"/>
      <c r="I4991" s="15"/>
      <c r="J4991" s="51"/>
      <c r="K4991" s="15"/>
      <c r="L4991" s="51"/>
      <c r="M4991" s="15"/>
      <c r="N4991" s="23"/>
      <c r="O4991" s="23"/>
      <c r="P4991" s="15" t="str">
        <f t="shared" si="6"/>
        <v/>
      </c>
      <c r="Q4991" s="24"/>
      <c r="R4991" s="25"/>
      <c r="S4991" s="25"/>
      <c r="T4991" s="26"/>
      <c r="U4991" s="26"/>
      <c r="V4991" s="25"/>
      <c r="W4991" s="25"/>
      <c r="X4991" s="25"/>
      <c r="Y4991" s="25"/>
      <c r="Z4991" s="25"/>
    </row>
    <row r="4992" spans="1:26" ht="15.75" customHeight="1" x14ac:dyDescent="0.25">
      <c r="A4992" s="25"/>
      <c r="B4992" s="49"/>
      <c r="C4992" s="50"/>
      <c r="D4992" s="23"/>
      <c r="E4992" s="23"/>
      <c r="F4992" s="15"/>
      <c r="G4992" s="23"/>
      <c r="H4992" s="15"/>
      <c r="I4992" s="15"/>
      <c r="J4992" s="51"/>
      <c r="K4992" s="15"/>
      <c r="L4992" s="51"/>
      <c r="M4992" s="15"/>
      <c r="N4992" s="23"/>
      <c r="O4992" s="23"/>
      <c r="P4992" s="15" t="str">
        <f t="shared" si="6"/>
        <v/>
      </c>
      <c r="Q4992" s="24"/>
      <c r="R4992" s="25"/>
      <c r="S4992" s="25"/>
      <c r="T4992" s="26"/>
      <c r="U4992" s="26"/>
      <c r="V4992" s="25"/>
      <c r="W4992" s="25"/>
      <c r="X4992" s="25"/>
      <c r="Y4992" s="25"/>
      <c r="Z4992" s="25"/>
    </row>
    <row r="4993" spans="1:26" ht="15.75" customHeight="1" x14ac:dyDescent="0.25">
      <c r="A4993" s="25"/>
      <c r="B4993" s="49"/>
      <c r="C4993" s="50"/>
      <c r="D4993" s="23"/>
      <c r="E4993" s="23"/>
      <c r="F4993" s="15"/>
      <c r="G4993" s="23"/>
      <c r="H4993" s="15"/>
      <c r="I4993" s="15"/>
      <c r="J4993" s="51"/>
      <c r="K4993" s="15"/>
      <c r="L4993" s="51"/>
      <c r="M4993" s="15"/>
      <c r="N4993" s="23"/>
      <c r="O4993" s="23"/>
      <c r="P4993" s="15" t="str">
        <f t="shared" si="6"/>
        <v/>
      </c>
      <c r="Q4993" s="24"/>
      <c r="R4993" s="25"/>
      <c r="S4993" s="25"/>
      <c r="T4993" s="26"/>
      <c r="U4993" s="26"/>
      <c r="V4993" s="25"/>
      <c r="W4993" s="25"/>
      <c r="X4993" s="25"/>
      <c r="Y4993" s="25"/>
      <c r="Z4993" s="25"/>
    </row>
    <row r="4994" spans="1:26" ht="15.75" customHeight="1" x14ac:dyDescent="0.25">
      <c r="A4994" s="25"/>
      <c r="B4994" s="49"/>
      <c r="C4994" s="50"/>
      <c r="D4994" s="23"/>
      <c r="E4994" s="23"/>
      <c r="F4994" s="15"/>
      <c r="G4994" s="23"/>
      <c r="H4994" s="15"/>
      <c r="I4994" s="15"/>
      <c r="J4994" s="51"/>
      <c r="K4994" s="15"/>
      <c r="L4994" s="51"/>
      <c r="M4994" s="15"/>
      <c r="N4994" s="23"/>
      <c r="O4994" s="23"/>
      <c r="P4994" s="15" t="str">
        <f t="shared" si="6"/>
        <v/>
      </c>
      <c r="Q4994" s="24"/>
      <c r="R4994" s="25"/>
      <c r="S4994" s="25"/>
      <c r="T4994" s="26"/>
      <c r="U4994" s="26"/>
      <c r="V4994" s="25"/>
      <c r="W4994" s="25"/>
      <c r="X4994" s="25"/>
      <c r="Y4994" s="25"/>
      <c r="Z4994" s="25"/>
    </row>
    <row r="4995" spans="1:26" ht="15.75" customHeight="1" x14ac:dyDescent="0.25">
      <c r="A4995" s="25"/>
      <c r="B4995" s="49"/>
      <c r="C4995" s="50"/>
      <c r="D4995" s="23"/>
      <c r="E4995" s="23"/>
      <c r="F4995" s="15"/>
      <c r="G4995" s="23"/>
      <c r="H4995" s="15"/>
      <c r="I4995" s="15"/>
      <c r="J4995" s="51"/>
      <c r="K4995" s="15"/>
      <c r="L4995" s="51"/>
      <c r="M4995" s="15"/>
      <c r="N4995" s="23"/>
      <c r="O4995" s="23"/>
      <c r="P4995" s="15" t="str">
        <f t="shared" si="6"/>
        <v/>
      </c>
      <c r="Q4995" s="24"/>
      <c r="R4995" s="25"/>
      <c r="S4995" s="25"/>
      <c r="T4995" s="26"/>
      <c r="U4995" s="26"/>
      <c r="V4995" s="25"/>
      <c r="W4995" s="25"/>
      <c r="X4995" s="25"/>
      <c r="Y4995" s="25"/>
      <c r="Z4995" s="25"/>
    </row>
    <row r="4996" spans="1:26" ht="15.75" customHeight="1" x14ac:dyDescent="0.25">
      <c r="A4996" s="25"/>
      <c r="B4996" s="49"/>
      <c r="C4996" s="50"/>
      <c r="D4996" s="23"/>
      <c r="E4996" s="23"/>
      <c r="F4996" s="15"/>
      <c r="G4996" s="23"/>
      <c r="H4996" s="15"/>
      <c r="I4996" s="15"/>
      <c r="J4996" s="51"/>
      <c r="K4996" s="15"/>
      <c r="L4996" s="51"/>
      <c r="M4996" s="15"/>
      <c r="N4996" s="23"/>
      <c r="O4996" s="23"/>
      <c r="P4996" s="15" t="str">
        <f t="shared" si="6"/>
        <v/>
      </c>
      <c r="Q4996" s="24"/>
      <c r="R4996" s="25"/>
      <c r="S4996" s="25"/>
      <c r="T4996" s="26"/>
      <c r="U4996" s="26"/>
      <c r="V4996" s="25"/>
      <c r="W4996" s="25"/>
      <c r="X4996" s="25"/>
      <c r="Y4996" s="25"/>
      <c r="Z4996" s="25"/>
    </row>
    <row r="4997" spans="1:26" ht="15.75" customHeight="1" x14ac:dyDescent="0.25">
      <c r="A4997" s="25"/>
      <c r="B4997" s="49"/>
      <c r="C4997" s="50"/>
      <c r="D4997" s="23"/>
      <c r="E4997" s="23"/>
      <c r="F4997" s="15"/>
      <c r="G4997" s="23"/>
      <c r="H4997" s="15"/>
      <c r="I4997" s="15"/>
      <c r="J4997" s="51"/>
      <c r="K4997" s="15"/>
      <c r="L4997" s="51"/>
      <c r="M4997" s="15"/>
      <c r="N4997" s="23"/>
      <c r="O4997" s="23"/>
      <c r="P4997" s="15" t="str">
        <f t="shared" si="6"/>
        <v/>
      </c>
      <c r="Q4997" s="24"/>
      <c r="R4997" s="25"/>
      <c r="S4997" s="25"/>
      <c r="T4997" s="26"/>
      <c r="U4997" s="26"/>
      <c r="V4997" s="25"/>
      <c r="W4997" s="25"/>
      <c r="X4997" s="25"/>
      <c r="Y4997" s="25"/>
      <c r="Z4997" s="25"/>
    </row>
    <row r="4998" spans="1:26" ht="15.75" customHeight="1" x14ac:dyDescent="0.25">
      <c r="A4998" s="25"/>
      <c r="B4998" s="49"/>
      <c r="C4998" s="50"/>
      <c r="D4998" s="23"/>
      <c r="E4998" s="23"/>
      <c r="F4998" s="15"/>
      <c r="G4998" s="23"/>
      <c r="H4998" s="15"/>
      <c r="I4998" s="15"/>
      <c r="J4998" s="51"/>
      <c r="K4998" s="15"/>
      <c r="L4998" s="51"/>
      <c r="M4998" s="15"/>
      <c r="N4998" s="23"/>
      <c r="O4998" s="23"/>
      <c r="P4998" s="15" t="str">
        <f t="shared" si="6"/>
        <v/>
      </c>
      <c r="Q4998" s="24"/>
      <c r="R4998" s="25"/>
      <c r="S4998" s="25"/>
      <c r="T4998" s="26"/>
      <c r="U4998" s="26"/>
      <c r="V4998" s="25"/>
      <c r="W4998" s="25"/>
      <c r="X4998" s="25"/>
      <c r="Y4998" s="25"/>
      <c r="Z4998" s="25"/>
    </row>
    <row r="4999" spans="1:26" ht="15.75" customHeight="1" x14ac:dyDescent="0.25">
      <c r="A4999" s="25"/>
      <c r="B4999" s="49"/>
      <c r="C4999" s="50"/>
      <c r="D4999" s="23"/>
      <c r="E4999" s="23"/>
      <c r="F4999" s="15"/>
      <c r="G4999" s="23"/>
      <c r="H4999" s="15"/>
      <c r="I4999" s="15"/>
      <c r="J4999" s="51"/>
      <c r="K4999" s="15"/>
      <c r="L4999" s="51"/>
      <c r="M4999" s="15"/>
      <c r="N4999" s="23"/>
      <c r="O4999" s="23"/>
      <c r="P4999" s="15" t="str">
        <f t="shared" si="6"/>
        <v/>
      </c>
      <c r="Q4999" s="24"/>
      <c r="R4999" s="25"/>
      <c r="S4999" s="25"/>
      <c r="T4999" s="26"/>
      <c r="U4999" s="26"/>
      <c r="V4999" s="25"/>
      <c r="W4999" s="25"/>
      <c r="X4999" s="25"/>
      <c r="Y4999" s="25"/>
      <c r="Z4999" s="25"/>
    </row>
    <row r="5000" spans="1:26" ht="15.75" customHeight="1" x14ac:dyDescent="0.25">
      <c r="A5000" s="25"/>
      <c r="B5000" s="49"/>
      <c r="C5000" s="50"/>
      <c r="D5000" s="23"/>
      <c r="E5000" s="23"/>
      <c r="F5000" s="15"/>
      <c r="G5000" s="23"/>
      <c r="H5000" s="15"/>
      <c r="I5000" s="15"/>
      <c r="J5000" s="51"/>
      <c r="K5000" s="15"/>
      <c r="L5000" s="51"/>
      <c r="M5000" s="15"/>
      <c r="N5000" s="23"/>
      <c r="O5000" s="23"/>
      <c r="P5000" s="15" t="str">
        <f t="shared" si="6"/>
        <v/>
      </c>
      <c r="Q5000" s="24"/>
      <c r="R5000" s="25"/>
      <c r="S5000" s="25"/>
      <c r="T5000" s="26"/>
      <c r="U5000" s="26"/>
      <c r="V5000" s="25"/>
      <c r="W5000" s="25"/>
      <c r="X5000" s="25"/>
      <c r="Y5000" s="25"/>
      <c r="Z5000" s="25"/>
    </row>
    <row r="5001" spans="1:26" ht="15.75" customHeight="1" x14ac:dyDescent="0.25">
      <c r="A5001" s="25"/>
      <c r="B5001" s="49"/>
      <c r="C5001" s="50"/>
      <c r="D5001" s="23"/>
      <c r="E5001" s="23"/>
      <c r="F5001" s="15"/>
      <c r="G5001" s="23"/>
      <c r="H5001" s="15"/>
      <c r="I5001" s="15"/>
      <c r="J5001" s="51"/>
      <c r="K5001" s="15"/>
      <c r="L5001" s="51"/>
      <c r="M5001" s="15"/>
      <c r="N5001" s="23"/>
      <c r="O5001" s="23"/>
      <c r="P5001" s="15" t="str">
        <f t="shared" si="6"/>
        <v/>
      </c>
      <c r="Q5001" s="24"/>
      <c r="R5001" s="25"/>
      <c r="S5001" s="25"/>
      <c r="T5001" s="26"/>
      <c r="U5001" s="26"/>
      <c r="V5001" s="25"/>
      <c r="W5001" s="25"/>
      <c r="X5001" s="25"/>
      <c r="Y5001" s="25"/>
      <c r="Z5001" s="25"/>
    </row>
    <row r="5002" spans="1:26" ht="15.75" customHeight="1" x14ac:dyDescent="0.25">
      <c r="A5002" s="25"/>
      <c r="B5002" s="49"/>
      <c r="C5002" s="50"/>
      <c r="D5002" s="23"/>
      <c r="E5002" s="23"/>
      <c r="F5002" s="15"/>
      <c r="G5002" s="23"/>
      <c r="H5002" s="15"/>
      <c r="I5002" s="15"/>
      <c r="J5002" s="51"/>
      <c r="K5002" s="15"/>
      <c r="L5002" s="51"/>
      <c r="M5002" s="15"/>
      <c r="N5002" s="23"/>
      <c r="O5002" s="23"/>
      <c r="P5002" s="15" t="str">
        <f t="shared" si="6"/>
        <v/>
      </c>
      <c r="Q5002" s="24"/>
      <c r="R5002" s="25"/>
      <c r="S5002" s="25"/>
      <c r="T5002" s="26"/>
      <c r="U5002" s="26"/>
      <c r="V5002" s="25"/>
      <c r="W5002" s="25"/>
      <c r="X5002" s="25"/>
      <c r="Y5002" s="25"/>
      <c r="Z5002" s="25"/>
    </row>
    <row r="5003" spans="1:26" ht="15.75" customHeight="1" x14ac:dyDescent="0.25">
      <c r="A5003" s="25"/>
      <c r="B5003" s="49"/>
      <c r="C5003" s="50"/>
      <c r="D5003" s="23"/>
      <c r="E5003" s="23"/>
      <c r="F5003" s="15"/>
      <c r="G5003" s="23"/>
      <c r="H5003" s="15"/>
      <c r="I5003" s="15"/>
      <c r="J5003" s="51"/>
      <c r="K5003" s="15"/>
      <c r="L5003" s="51"/>
      <c r="M5003" s="15"/>
      <c r="N5003" s="23"/>
      <c r="O5003" s="23"/>
      <c r="P5003" s="15" t="str">
        <f t="shared" si="6"/>
        <v/>
      </c>
      <c r="Q5003" s="24"/>
      <c r="R5003" s="25"/>
      <c r="S5003" s="25"/>
      <c r="T5003" s="26"/>
      <c r="U5003" s="26"/>
      <c r="V5003" s="25"/>
      <c r="W5003" s="25"/>
      <c r="X5003" s="25"/>
      <c r="Y5003" s="25"/>
      <c r="Z5003" s="25"/>
    </row>
    <row r="5004" spans="1:26" ht="15.75" customHeight="1" x14ac:dyDescent="0.25">
      <c r="A5004" s="25"/>
      <c r="B5004" s="49"/>
      <c r="C5004" s="50"/>
      <c r="D5004" s="23"/>
      <c r="E5004" s="23"/>
      <c r="F5004" s="15"/>
      <c r="G5004" s="23"/>
      <c r="H5004" s="15"/>
      <c r="I5004" s="15"/>
      <c r="J5004" s="51"/>
      <c r="K5004" s="15"/>
      <c r="L5004" s="51"/>
      <c r="M5004" s="15"/>
      <c r="N5004" s="23"/>
      <c r="O5004" s="23"/>
      <c r="P5004" s="15" t="str">
        <f t="shared" si="6"/>
        <v/>
      </c>
      <c r="Q5004" s="24"/>
      <c r="R5004" s="25"/>
      <c r="S5004" s="25"/>
      <c r="T5004" s="26"/>
      <c r="U5004" s="26"/>
      <c r="V5004" s="25"/>
      <c r="W5004" s="25"/>
      <c r="X5004" s="25"/>
      <c r="Y5004" s="25"/>
      <c r="Z5004" s="25"/>
    </row>
    <row r="5005" spans="1:26" ht="15.75" customHeight="1" x14ac:dyDescent="0.25">
      <c r="A5005" s="25"/>
      <c r="B5005" s="49"/>
      <c r="C5005" s="50"/>
      <c r="D5005" s="23"/>
      <c r="E5005" s="23"/>
      <c r="F5005" s="15"/>
      <c r="G5005" s="23"/>
      <c r="H5005" s="15"/>
      <c r="I5005" s="15"/>
      <c r="J5005" s="51"/>
      <c r="K5005" s="15"/>
      <c r="L5005" s="51"/>
      <c r="M5005" s="15"/>
      <c r="N5005" s="23"/>
      <c r="O5005" s="23"/>
      <c r="P5005" s="15" t="str">
        <f t="shared" si="6"/>
        <v/>
      </c>
      <c r="Q5005" s="24"/>
      <c r="R5005" s="25"/>
      <c r="S5005" s="25"/>
      <c r="T5005" s="26"/>
      <c r="U5005" s="26"/>
      <c r="V5005" s="25"/>
      <c r="W5005" s="25"/>
      <c r="X5005" s="25"/>
      <c r="Y5005" s="25"/>
      <c r="Z5005" s="25"/>
    </row>
    <row r="5006" spans="1:26" ht="15.75" customHeight="1" x14ac:dyDescent="0.25">
      <c r="A5006" s="25"/>
      <c r="B5006" s="49"/>
      <c r="C5006" s="50"/>
      <c r="D5006" s="23"/>
      <c r="E5006" s="23"/>
      <c r="F5006" s="15"/>
      <c r="G5006" s="23"/>
      <c r="H5006" s="15"/>
      <c r="I5006" s="15"/>
      <c r="J5006" s="51"/>
      <c r="K5006" s="15"/>
      <c r="L5006" s="51"/>
      <c r="M5006" s="15"/>
      <c r="N5006" s="23"/>
      <c r="O5006" s="23"/>
      <c r="P5006" s="15" t="str">
        <f t="shared" si="6"/>
        <v/>
      </c>
      <c r="Q5006" s="24"/>
      <c r="R5006" s="25"/>
      <c r="S5006" s="25"/>
      <c r="T5006" s="26"/>
      <c r="U5006" s="26"/>
      <c r="V5006" s="25"/>
      <c r="W5006" s="25"/>
      <c r="X5006" s="25"/>
      <c r="Y5006" s="25"/>
      <c r="Z5006" s="25"/>
    </row>
    <row r="5007" spans="1:26" ht="15.75" customHeight="1" x14ac:dyDescent="0.25">
      <c r="A5007" s="25"/>
      <c r="B5007" s="49"/>
      <c r="C5007" s="50"/>
      <c r="D5007" s="23"/>
      <c r="E5007" s="23"/>
      <c r="F5007" s="15"/>
      <c r="G5007" s="23"/>
      <c r="H5007" s="15"/>
      <c r="I5007" s="15"/>
      <c r="J5007" s="51"/>
      <c r="K5007" s="15"/>
      <c r="L5007" s="51"/>
      <c r="M5007" s="15"/>
      <c r="N5007" s="23"/>
      <c r="O5007" s="23"/>
      <c r="P5007" s="15" t="str">
        <f t="shared" si="6"/>
        <v/>
      </c>
      <c r="Q5007" s="24"/>
      <c r="R5007" s="25"/>
      <c r="S5007" s="25"/>
      <c r="T5007" s="26"/>
      <c r="U5007" s="26"/>
      <c r="V5007" s="25"/>
      <c r="W5007" s="25"/>
      <c r="X5007" s="25"/>
      <c r="Y5007" s="25"/>
      <c r="Z5007" s="25"/>
    </row>
    <row r="5008" spans="1:26" ht="15.75" customHeight="1" x14ac:dyDescent="0.25">
      <c r="A5008" s="25"/>
      <c r="B5008" s="49"/>
      <c r="C5008" s="50"/>
      <c r="D5008" s="23"/>
      <c r="E5008" s="23"/>
      <c r="F5008" s="15"/>
      <c r="G5008" s="23"/>
      <c r="H5008" s="15"/>
      <c r="I5008" s="15"/>
      <c r="J5008" s="51"/>
      <c r="K5008" s="15"/>
      <c r="L5008" s="51"/>
      <c r="M5008" s="15"/>
      <c r="N5008" s="23"/>
      <c r="O5008" s="23"/>
      <c r="P5008" s="15" t="str">
        <f t="shared" si="6"/>
        <v/>
      </c>
      <c r="Q5008" s="24"/>
      <c r="R5008" s="25"/>
      <c r="S5008" s="25"/>
      <c r="T5008" s="26"/>
      <c r="U5008" s="26"/>
      <c r="V5008" s="25"/>
      <c r="W5008" s="25"/>
      <c r="X5008" s="25"/>
      <c r="Y5008" s="25"/>
      <c r="Z5008" s="25"/>
    </row>
    <row r="5009" spans="1:26" ht="15.75" customHeight="1" x14ac:dyDescent="0.25">
      <c r="A5009" s="25"/>
      <c r="B5009" s="49"/>
      <c r="C5009" s="50"/>
      <c r="D5009" s="23"/>
      <c r="E5009" s="23"/>
      <c r="F5009" s="15"/>
      <c r="G5009" s="23"/>
      <c r="H5009" s="15"/>
      <c r="I5009" s="15"/>
      <c r="J5009" s="51"/>
      <c r="K5009" s="15"/>
      <c r="L5009" s="51"/>
      <c r="M5009" s="15"/>
      <c r="N5009" s="23"/>
      <c r="O5009" s="23"/>
      <c r="P5009" s="15" t="str">
        <f t="shared" si="6"/>
        <v/>
      </c>
      <c r="Q5009" s="24"/>
      <c r="R5009" s="25"/>
      <c r="S5009" s="25"/>
      <c r="T5009" s="26"/>
      <c r="U5009" s="26"/>
      <c r="V5009" s="25"/>
      <c r="W5009" s="25"/>
      <c r="X5009" s="25"/>
      <c r="Y5009" s="25"/>
      <c r="Z5009" s="25"/>
    </row>
    <row r="5010" spans="1:26" ht="15.75" customHeight="1" x14ac:dyDescent="0.25">
      <c r="A5010" s="25"/>
      <c r="B5010" s="49"/>
      <c r="C5010" s="50"/>
      <c r="D5010" s="23"/>
      <c r="E5010" s="23"/>
      <c r="F5010" s="15"/>
      <c r="G5010" s="23"/>
      <c r="H5010" s="15"/>
      <c r="I5010" s="15"/>
      <c r="J5010" s="51"/>
      <c r="K5010" s="15"/>
      <c r="L5010" s="51"/>
      <c r="M5010" s="15"/>
      <c r="N5010" s="23"/>
      <c r="O5010" s="23"/>
      <c r="P5010" s="15" t="str">
        <f t="shared" si="6"/>
        <v/>
      </c>
      <c r="Q5010" s="24"/>
      <c r="R5010" s="25"/>
      <c r="S5010" s="25"/>
      <c r="T5010" s="26"/>
      <c r="U5010" s="26"/>
      <c r="V5010" s="25"/>
      <c r="W5010" s="25"/>
      <c r="X5010" s="25"/>
      <c r="Y5010" s="25"/>
      <c r="Z5010" s="25"/>
    </row>
    <row r="5011" spans="1:26" ht="15.75" customHeight="1" x14ac:dyDescent="0.25">
      <c r="A5011" s="25"/>
      <c r="B5011" s="49"/>
      <c r="C5011" s="50"/>
      <c r="D5011" s="23"/>
      <c r="E5011" s="23"/>
      <c r="F5011" s="15"/>
      <c r="G5011" s="23"/>
      <c r="H5011" s="15"/>
      <c r="I5011" s="15"/>
      <c r="J5011" s="51"/>
      <c r="K5011" s="15"/>
      <c r="L5011" s="51"/>
      <c r="M5011" s="15"/>
      <c r="N5011" s="23"/>
      <c r="O5011" s="23"/>
      <c r="P5011" s="15" t="str">
        <f t="shared" si="6"/>
        <v/>
      </c>
      <c r="Q5011" s="24"/>
      <c r="R5011" s="25"/>
      <c r="S5011" s="25"/>
      <c r="T5011" s="26"/>
      <c r="U5011" s="26"/>
      <c r="V5011" s="25"/>
      <c r="W5011" s="25"/>
      <c r="X5011" s="25"/>
      <c r="Y5011" s="25"/>
      <c r="Z5011" s="25"/>
    </row>
    <row r="5012" spans="1:26" ht="15.75" customHeight="1" x14ac:dyDescent="0.25">
      <c r="A5012" s="25"/>
      <c r="B5012" s="49"/>
      <c r="C5012" s="50"/>
      <c r="D5012" s="23"/>
      <c r="E5012" s="23"/>
      <c r="F5012" s="15"/>
      <c r="G5012" s="23"/>
      <c r="H5012" s="15"/>
      <c r="I5012" s="15"/>
      <c r="J5012" s="51"/>
      <c r="K5012" s="15"/>
      <c r="L5012" s="51"/>
      <c r="M5012" s="15"/>
      <c r="N5012" s="23"/>
      <c r="O5012" s="23"/>
      <c r="P5012" s="15" t="str">
        <f t="shared" si="6"/>
        <v/>
      </c>
      <c r="Q5012" s="24"/>
      <c r="R5012" s="25"/>
      <c r="S5012" s="25"/>
      <c r="T5012" s="26"/>
      <c r="U5012" s="26"/>
      <c r="V5012" s="25"/>
      <c r="W5012" s="25"/>
      <c r="X5012" s="25"/>
      <c r="Y5012" s="25"/>
      <c r="Z5012" s="25"/>
    </row>
    <row r="5013" spans="1:26" ht="15.75" customHeight="1" x14ac:dyDescent="0.25">
      <c r="A5013" s="25"/>
      <c r="B5013" s="49"/>
      <c r="C5013" s="50"/>
      <c r="D5013" s="23"/>
      <c r="E5013" s="23"/>
      <c r="F5013" s="15"/>
      <c r="G5013" s="23"/>
      <c r="H5013" s="15"/>
      <c r="I5013" s="15"/>
      <c r="J5013" s="51"/>
      <c r="K5013" s="15"/>
      <c r="L5013" s="51"/>
      <c r="M5013" s="15"/>
      <c r="N5013" s="23"/>
      <c r="O5013" s="23"/>
      <c r="P5013" s="15" t="str">
        <f t="shared" si="6"/>
        <v/>
      </c>
      <c r="Q5013" s="24"/>
      <c r="R5013" s="25"/>
      <c r="S5013" s="25"/>
      <c r="T5013" s="26"/>
      <c r="U5013" s="26"/>
      <c r="V5013" s="25"/>
      <c r="W5013" s="25"/>
      <c r="X5013" s="25"/>
      <c r="Y5013" s="25"/>
      <c r="Z5013" s="25"/>
    </row>
    <row r="5014" spans="1:26" ht="15.75" customHeight="1" x14ac:dyDescent="0.25">
      <c r="A5014" s="25"/>
      <c r="B5014" s="49"/>
      <c r="C5014" s="50"/>
      <c r="D5014" s="23"/>
      <c r="E5014" s="23"/>
      <c r="F5014" s="15"/>
      <c r="G5014" s="23"/>
      <c r="H5014" s="15"/>
      <c r="I5014" s="15"/>
      <c r="J5014" s="51"/>
      <c r="K5014" s="15"/>
      <c r="L5014" s="51"/>
      <c r="M5014" s="15"/>
      <c r="N5014" s="23"/>
      <c r="O5014" s="23"/>
      <c r="P5014" s="15" t="str">
        <f t="shared" si="6"/>
        <v/>
      </c>
      <c r="Q5014" s="24"/>
      <c r="R5014" s="25"/>
      <c r="S5014" s="25"/>
      <c r="T5014" s="26"/>
      <c r="U5014" s="26"/>
      <c r="V5014" s="25"/>
      <c r="W5014" s="25"/>
      <c r="X5014" s="25"/>
      <c r="Y5014" s="25"/>
      <c r="Z5014" s="25"/>
    </row>
    <row r="5015" spans="1:26" ht="15.75" customHeight="1" x14ac:dyDescent="0.25">
      <c r="A5015" s="25"/>
      <c r="B5015" s="49"/>
      <c r="C5015" s="50"/>
      <c r="D5015" s="23"/>
      <c r="E5015" s="23"/>
      <c r="F5015" s="15"/>
      <c r="G5015" s="23"/>
      <c r="H5015" s="15"/>
      <c r="I5015" s="15"/>
      <c r="J5015" s="51"/>
      <c r="K5015" s="15"/>
      <c r="L5015" s="51"/>
      <c r="M5015" s="15"/>
      <c r="N5015" s="23"/>
      <c r="O5015" s="23"/>
      <c r="P5015" s="15" t="str">
        <f t="shared" si="6"/>
        <v/>
      </c>
      <c r="Q5015" s="24"/>
      <c r="R5015" s="25"/>
      <c r="S5015" s="25"/>
      <c r="T5015" s="26"/>
      <c r="U5015" s="26"/>
      <c r="V5015" s="25"/>
      <c r="W5015" s="25"/>
      <c r="X5015" s="25"/>
      <c r="Y5015" s="25"/>
      <c r="Z5015" s="25"/>
    </row>
    <row r="5016" spans="1:26" ht="15.75" customHeight="1" x14ac:dyDescent="0.25">
      <c r="A5016" s="25"/>
      <c r="B5016" s="49"/>
      <c r="C5016" s="50"/>
      <c r="D5016" s="23"/>
      <c r="E5016" s="23"/>
      <c r="F5016" s="15"/>
      <c r="G5016" s="23"/>
      <c r="H5016" s="15"/>
      <c r="I5016" s="15"/>
      <c r="J5016" s="51"/>
      <c r="K5016" s="15"/>
      <c r="L5016" s="51"/>
      <c r="M5016" s="15"/>
      <c r="N5016" s="23"/>
      <c r="O5016" s="23"/>
      <c r="P5016" s="15" t="str">
        <f t="shared" si="6"/>
        <v/>
      </c>
      <c r="Q5016" s="24"/>
      <c r="R5016" s="25"/>
      <c r="S5016" s="25"/>
      <c r="T5016" s="26"/>
      <c r="U5016" s="26"/>
      <c r="V5016" s="25"/>
      <c r="W5016" s="25"/>
      <c r="X5016" s="25"/>
      <c r="Y5016" s="25"/>
      <c r="Z5016" s="25"/>
    </row>
    <row r="5017" spans="1:26" ht="15.75" customHeight="1" x14ac:dyDescent="0.25">
      <c r="A5017" s="25"/>
      <c r="B5017" s="49"/>
      <c r="C5017" s="50"/>
      <c r="D5017" s="23"/>
      <c r="E5017" s="23"/>
      <c r="F5017" s="15"/>
      <c r="G5017" s="23"/>
      <c r="H5017" s="15"/>
      <c r="I5017" s="15"/>
      <c r="J5017" s="51"/>
      <c r="K5017" s="15"/>
      <c r="L5017" s="51"/>
      <c r="M5017" s="15"/>
      <c r="N5017" s="23"/>
      <c r="O5017" s="23"/>
      <c r="P5017" s="15" t="str">
        <f t="shared" si="6"/>
        <v/>
      </c>
      <c r="Q5017" s="24"/>
      <c r="R5017" s="25"/>
      <c r="S5017" s="25"/>
      <c r="T5017" s="26"/>
      <c r="U5017" s="26"/>
      <c r="V5017" s="25"/>
      <c r="W5017" s="25"/>
      <c r="X5017" s="25"/>
      <c r="Y5017" s="25"/>
      <c r="Z5017" s="25"/>
    </row>
    <row r="5018" spans="1:26" ht="15.75" customHeight="1" x14ac:dyDescent="0.25">
      <c r="A5018" s="25"/>
      <c r="B5018" s="49"/>
      <c r="C5018" s="50"/>
      <c r="D5018" s="23"/>
      <c r="E5018" s="23"/>
      <c r="F5018" s="15"/>
      <c r="G5018" s="23"/>
      <c r="H5018" s="15"/>
      <c r="I5018" s="15"/>
      <c r="J5018" s="51"/>
      <c r="K5018" s="15"/>
      <c r="L5018" s="51"/>
      <c r="M5018" s="15"/>
      <c r="N5018" s="23"/>
      <c r="O5018" s="23"/>
      <c r="P5018" s="15" t="str">
        <f t="shared" si="6"/>
        <v/>
      </c>
      <c r="Q5018" s="24"/>
      <c r="R5018" s="25"/>
      <c r="S5018" s="25"/>
      <c r="T5018" s="26"/>
      <c r="U5018" s="26"/>
      <c r="V5018" s="25"/>
      <c r="W5018" s="25"/>
      <c r="X5018" s="25"/>
      <c r="Y5018" s="25"/>
      <c r="Z5018" s="25"/>
    </row>
    <row r="5019" spans="1:26" ht="15.75" customHeight="1" x14ac:dyDescent="0.25">
      <c r="A5019" s="25"/>
      <c r="B5019" s="49"/>
      <c r="C5019" s="50"/>
      <c r="D5019" s="23"/>
      <c r="E5019" s="23"/>
      <c r="F5019" s="15"/>
      <c r="G5019" s="23"/>
      <c r="H5019" s="15"/>
      <c r="I5019" s="15"/>
      <c r="J5019" s="51"/>
      <c r="K5019" s="15"/>
      <c r="L5019" s="51"/>
      <c r="M5019" s="15"/>
      <c r="N5019" s="23"/>
      <c r="O5019" s="23"/>
      <c r="P5019" s="15" t="str">
        <f t="shared" si="6"/>
        <v/>
      </c>
      <c r="Q5019" s="24"/>
      <c r="R5019" s="25"/>
      <c r="S5019" s="25"/>
      <c r="T5019" s="26"/>
      <c r="U5019" s="26"/>
      <c r="V5019" s="25"/>
      <c r="W5019" s="25"/>
      <c r="X5019" s="25"/>
      <c r="Y5019" s="25"/>
      <c r="Z5019" s="25"/>
    </row>
    <row r="5020" spans="1:26" ht="15.75" customHeight="1" x14ac:dyDescent="0.25">
      <c r="A5020" s="25"/>
      <c r="B5020" s="49"/>
      <c r="C5020" s="50"/>
      <c r="D5020" s="23"/>
      <c r="E5020" s="23"/>
      <c r="F5020" s="15"/>
      <c r="G5020" s="23"/>
      <c r="H5020" s="15"/>
      <c r="I5020" s="15"/>
      <c r="J5020" s="51"/>
      <c r="K5020" s="15"/>
      <c r="L5020" s="51"/>
      <c r="M5020" s="15"/>
      <c r="N5020" s="23"/>
      <c r="O5020" s="23"/>
      <c r="P5020" s="15" t="str">
        <f t="shared" si="6"/>
        <v/>
      </c>
      <c r="Q5020" s="24"/>
      <c r="R5020" s="25"/>
      <c r="S5020" s="25"/>
      <c r="T5020" s="26"/>
      <c r="U5020" s="26"/>
      <c r="V5020" s="25"/>
      <c r="W5020" s="25"/>
      <c r="X5020" s="25"/>
      <c r="Y5020" s="25"/>
      <c r="Z5020" s="25"/>
    </row>
    <row r="5021" spans="1:26" ht="15.75" customHeight="1" x14ac:dyDescent="0.25">
      <c r="A5021" s="25"/>
      <c r="B5021" s="49"/>
      <c r="C5021" s="50"/>
      <c r="D5021" s="23"/>
      <c r="E5021" s="23"/>
      <c r="F5021" s="15"/>
      <c r="G5021" s="23"/>
      <c r="H5021" s="15"/>
      <c r="I5021" s="15"/>
      <c r="J5021" s="51"/>
      <c r="K5021" s="15"/>
      <c r="L5021" s="51"/>
      <c r="M5021" s="15"/>
      <c r="N5021" s="23"/>
      <c r="O5021" s="23"/>
      <c r="P5021" s="15" t="str">
        <f t="shared" si="6"/>
        <v/>
      </c>
      <c r="Q5021" s="24"/>
      <c r="R5021" s="25"/>
      <c r="S5021" s="25"/>
      <c r="T5021" s="26"/>
      <c r="U5021" s="26"/>
      <c r="V5021" s="25"/>
      <c r="W5021" s="25"/>
      <c r="X5021" s="25"/>
      <c r="Y5021" s="25"/>
      <c r="Z5021" s="25"/>
    </row>
    <row r="5022" spans="1:26" ht="15.75" customHeight="1" x14ac:dyDescent="0.25">
      <c r="A5022" s="25"/>
      <c r="B5022" s="49"/>
      <c r="C5022" s="50"/>
      <c r="D5022" s="23"/>
      <c r="E5022" s="23"/>
      <c r="F5022" s="15"/>
      <c r="G5022" s="23"/>
      <c r="H5022" s="15"/>
      <c r="I5022" s="15"/>
      <c r="J5022" s="51"/>
      <c r="K5022" s="15"/>
      <c r="L5022" s="51"/>
      <c r="M5022" s="15"/>
      <c r="N5022" s="23"/>
      <c r="O5022" s="23"/>
      <c r="P5022" s="15" t="str">
        <f t="shared" si="6"/>
        <v/>
      </c>
      <c r="Q5022" s="24"/>
      <c r="R5022" s="25"/>
      <c r="S5022" s="25"/>
      <c r="T5022" s="26"/>
      <c r="U5022" s="26"/>
      <c r="V5022" s="25"/>
      <c r="W5022" s="25"/>
      <c r="X5022" s="25"/>
      <c r="Y5022" s="25"/>
      <c r="Z5022" s="25"/>
    </row>
    <row r="5023" spans="1:26" ht="15.75" customHeight="1" x14ac:dyDescent="0.25">
      <c r="A5023" s="25"/>
      <c r="B5023" s="49"/>
      <c r="C5023" s="50"/>
      <c r="D5023" s="23"/>
      <c r="E5023" s="23"/>
      <c r="F5023" s="15"/>
      <c r="G5023" s="23"/>
      <c r="H5023" s="15"/>
      <c r="I5023" s="15"/>
      <c r="J5023" s="51"/>
      <c r="K5023" s="15"/>
      <c r="L5023" s="51"/>
      <c r="M5023" s="15"/>
      <c r="N5023" s="23"/>
      <c r="O5023" s="23"/>
      <c r="P5023" s="15" t="str">
        <f t="shared" si="6"/>
        <v/>
      </c>
      <c r="Q5023" s="24"/>
      <c r="R5023" s="25"/>
      <c r="S5023" s="25"/>
      <c r="T5023" s="26"/>
      <c r="U5023" s="26"/>
      <c r="V5023" s="25"/>
      <c r="W5023" s="25"/>
      <c r="X5023" s="25"/>
      <c r="Y5023" s="25"/>
      <c r="Z5023" s="25"/>
    </row>
    <row r="5024" spans="1:26" ht="15.75" customHeight="1" x14ac:dyDescent="0.25">
      <c r="A5024" s="25"/>
      <c r="B5024" s="49"/>
      <c r="C5024" s="50"/>
      <c r="D5024" s="23"/>
      <c r="E5024" s="23"/>
      <c r="F5024" s="15"/>
      <c r="G5024" s="23"/>
      <c r="H5024" s="15"/>
      <c r="I5024" s="15"/>
      <c r="J5024" s="51"/>
      <c r="K5024" s="15"/>
      <c r="L5024" s="51"/>
      <c r="M5024" s="15"/>
      <c r="N5024" s="23"/>
      <c r="O5024" s="23"/>
      <c r="P5024" s="15" t="str">
        <f t="shared" si="6"/>
        <v/>
      </c>
      <c r="Q5024" s="24"/>
      <c r="R5024" s="25"/>
      <c r="S5024" s="25"/>
      <c r="T5024" s="26"/>
      <c r="U5024" s="26"/>
      <c r="V5024" s="25"/>
      <c r="W5024" s="25"/>
      <c r="X5024" s="25"/>
      <c r="Y5024" s="25"/>
      <c r="Z5024" s="25"/>
    </row>
    <row r="5025" spans="1:26" ht="15.75" customHeight="1" x14ac:dyDescent="0.25">
      <c r="A5025" s="25"/>
      <c r="B5025" s="49"/>
      <c r="C5025" s="50"/>
      <c r="D5025" s="23"/>
      <c r="E5025" s="23"/>
      <c r="F5025" s="15"/>
      <c r="G5025" s="23"/>
      <c r="H5025" s="15"/>
      <c r="I5025" s="15"/>
      <c r="J5025" s="51"/>
      <c r="K5025" s="15"/>
      <c r="L5025" s="51"/>
      <c r="M5025" s="15"/>
      <c r="N5025" s="23"/>
      <c r="O5025" s="23"/>
      <c r="P5025" s="15" t="str">
        <f t="shared" si="6"/>
        <v/>
      </c>
      <c r="Q5025" s="24"/>
      <c r="R5025" s="25"/>
      <c r="S5025" s="25"/>
      <c r="T5025" s="26"/>
      <c r="U5025" s="26"/>
      <c r="V5025" s="25"/>
      <c r="W5025" s="25"/>
      <c r="X5025" s="25"/>
      <c r="Y5025" s="25"/>
      <c r="Z5025" s="25"/>
    </row>
    <row r="5026" spans="1:26" ht="15.75" customHeight="1" x14ac:dyDescent="0.25">
      <c r="A5026" s="25"/>
      <c r="B5026" s="49"/>
      <c r="C5026" s="50"/>
      <c r="D5026" s="23"/>
      <c r="E5026" s="23"/>
      <c r="F5026" s="15"/>
      <c r="G5026" s="23"/>
      <c r="H5026" s="15"/>
      <c r="I5026" s="15"/>
      <c r="J5026" s="51"/>
      <c r="K5026" s="15"/>
      <c r="L5026" s="51"/>
      <c r="M5026" s="15"/>
      <c r="N5026" s="23"/>
      <c r="O5026" s="23"/>
      <c r="P5026" s="15" t="str">
        <f t="shared" si="6"/>
        <v/>
      </c>
      <c r="Q5026" s="24"/>
      <c r="R5026" s="25"/>
      <c r="S5026" s="25"/>
      <c r="T5026" s="26"/>
      <c r="U5026" s="26"/>
      <c r="V5026" s="25"/>
      <c r="W5026" s="25"/>
      <c r="X5026" s="25"/>
      <c r="Y5026" s="25"/>
      <c r="Z5026" s="25"/>
    </row>
    <row r="5027" spans="1:26" ht="15.75" customHeight="1" x14ac:dyDescent="0.25">
      <c r="A5027" s="25"/>
      <c r="B5027" s="49"/>
      <c r="C5027" s="50"/>
      <c r="D5027" s="23"/>
      <c r="E5027" s="23"/>
      <c r="F5027" s="15"/>
      <c r="G5027" s="23"/>
      <c r="H5027" s="15"/>
      <c r="I5027" s="15"/>
      <c r="J5027" s="51"/>
      <c r="K5027" s="15"/>
      <c r="L5027" s="51"/>
      <c r="M5027" s="15"/>
      <c r="N5027" s="23"/>
      <c r="O5027" s="23"/>
      <c r="P5027" s="15" t="str">
        <f t="shared" si="6"/>
        <v/>
      </c>
      <c r="Q5027" s="24"/>
      <c r="R5027" s="25"/>
      <c r="S5027" s="25"/>
      <c r="T5027" s="26"/>
      <c r="U5027" s="26"/>
      <c r="V5027" s="25"/>
      <c r="W5027" s="25"/>
      <c r="X5027" s="25"/>
      <c r="Y5027" s="25"/>
      <c r="Z5027" s="25"/>
    </row>
    <row r="5028" spans="1:26" ht="15.75" customHeight="1" x14ac:dyDescent="0.25">
      <c r="A5028" s="25"/>
      <c r="B5028" s="49"/>
      <c r="C5028" s="50"/>
      <c r="D5028" s="23"/>
      <c r="E5028" s="23"/>
      <c r="F5028" s="15"/>
      <c r="G5028" s="23"/>
      <c r="H5028" s="15"/>
      <c r="I5028" s="15"/>
      <c r="J5028" s="51"/>
      <c r="K5028" s="15"/>
      <c r="L5028" s="51"/>
      <c r="M5028" s="15"/>
      <c r="N5028" s="23"/>
      <c r="O5028" s="23"/>
      <c r="P5028" s="15" t="str">
        <f t="shared" si="6"/>
        <v/>
      </c>
      <c r="Q5028" s="24"/>
      <c r="R5028" s="25"/>
      <c r="S5028" s="25"/>
      <c r="T5028" s="26"/>
      <c r="U5028" s="26"/>
      <c r="V5028" s="25"/>
      <c r="W5028" s="25"/>
      <c r="X5028" s="25"/>
      <c r="Y5028" s="25"/>
      <c r="Z5028" s="25"/>
    </row>
    <row r="5029" spans="1:26" ht="15.75" customHeight="1" x14ac:dyDescent="0.25">
      <c r="A5029" s="25"/>
      <c r="B5029" s="49"/>
      <c r="C5029" s="50"/>
      <c r="D5029" s="23"/>
      <c r="E5029" s="23"/>
      <c r="F5029" s="15"/>
      <c r="G5029" s="23"/>
      <c r="H5029" s="15"/>
      <c r="I5029" s="15"/>
      <c r="J5029" s="51"/>
      <c r="K5029" s="15"/>
      <c r="L5029" s="51"/>
      <c r="M5029" s="15"/>
      <c r="N5029" s="23"/>
      <c r="O5029" s="23"/>
      <c r="P5029" s="15" t="str">
        <f t="shared" si="6"/>
        <v/>
      </c>
      <c r="Q5029" s="24"/>
      <c r="R5029" s="25"/>
      <c r="S5029" s="25"/>
      <c r="T5029" s="26"/>
      <c r="U5029" s="26"/>
      <c r="V5029" s="25"/>
      <c r="W5029" s="25"/>
      <c r="X5029" s="25"/>
      <c r="Y5029" s="25"/>
      <c r="Z5029" s="25"/>
    </row>
    <row r="5030" spans="1:26" ht="15.75" customHeight="1" x14ac:dyDescent="0.25">
      <c r="A5030" s="25"/>
      <c r="B5030" s="49"/>
      <c r="C5030" s="50"/>
      <c r="D5030" s="23"/>
      <c r="E5030" s="23"/>
      <c r="F5030" s="15"/>
      <c r="G5030" s="23"/>
      <c r="H5030" s="15"/>
      <c r="I5030" s="15"/>
      <c r="J5030" s="51"/>
      <c r="K5030" s="15"/>
      <c r="L5030" s="51"/>
      <c r="M5030" s="15"/>
      <c r="N5030" s="23"/>
      <c r="O5030" s="23"/>
      <c r="P5030" s="15" t="str">
        <f t="shared" si="6"/>
        <v/>
      </c>
      <c r="Q5030" s="24"/>
      <c r="R5030" s="25"/>
      <c r="S5030" s="25"/>
      <c r="T5030" s="26"/>
      <c r="U5030" s="26"/>
      <c r="V5030" s="25"/>
      <c r="W5030" s="25"/>
      <c r="X5030" s="25"/>
      <c r="Y5030" s="25"/>
      <c r="Z5030" s="25"/>
    </row>
    <row r="5031" spans="1:26" ht="15.75" customHeight="1" x14ac:dyDescent="0.25">
      <c r="A5031" s="25"/>
      <c r="B5031" s="49"/>
      <c r="C5031" s="50"/>
      <c r="D5031" s="23"/>
      <c r="E5031" s="23"/>
      <c r="F5031" s="15"/>
      <c r="G5031" s="23"/>
      <c r="H5031" s="15"/>
      <c r="I5031" s="15"/>
      <c r="J5031" s="51"/>
      <c r="K5031" s="15"/>
      <c r="L5031" s="51"/>
      <c r="M5031" s="15"/>
      <c r="N5031" s="23"/>
      <c r="O5031" s="23"/>
      <c r="P5031" s="15" t="str">
        <f t="shared" si="6"/>
        <v/>
      </c>
      <c r="Q5031" s="24"/>
      <c r="R5031" s="25"/>
      <c r="S5031" s="25"/>
      <c r="T5031" s="26"/>
      <c r="U5031" s="26"/>
      <c r="V5031" s="25"/>
      <c r="W5031" s="25"/>
      <c r="X5031" s="25"/>
      <c r="Y5031" s="25"/>
      <c r="Z5031" s="25"/>
    </row>
    <row r="5032" spans="1:26" ht="15.75" customHeight="1" x14ac:dyDescent="0.25">
      <c r="A5032" s="25"/>
      <c r="B5032" s="49"/>
      <c r="C5032" s="50"/>
      <c r="D5032" s="23"/>
      <c r="E5032" s="23"/>
      <c r="F5032" s="15"/>
      <c r="G5032" s="23"/>
      <c r="H5032" s="15"/>
      <c r="I5032" s="15"/>
      <c r="J5032" s="51"/>
      <c r="K5032" s="15"/>
      <c r="L5032" s="51"/>
      <c r="M5032" s="15"/>
      <c r="N5032" s="23"/>
      <c r="O5032" s="23"/>
      <c r="P5032" s="15" t="str">
        <f t="shared" si="6"/>
        <v/>
      </c>
      <c r="Q5032" s="24"/>
      <c r="R5032" s="25"/>
      <c r="S5032" s="25"/>
      <c r="T5032" s="26"/>
      <c r="U5032" s="26"/>
      <c r="V5032" s="25"/>
      <c r="W5032" s="25"/>
      <c r="X5032" s="25"/>
      <c r="Y5032" s="25"/>
      <c r="Z5032" s="25"/>
    </row>
    <row r="5033" spans="1:26" ht="15.75" customHeight="1" x14ac:dyDescent="0.25">
      <c r="A5033" s="25"/>
      <c r="B5033" s="49"/>
      <c r="C5033" s="50"/>
      <c r="D5033" s="23"/>
      <c r="E5033" s="23"/>
      <c r="F5033" s="15"/>
      <c r="G5033" s="23"/>
      <c r="H5033" s="15"/>
      <c r="I5033" s="15"/>
      <c r="J5033" s="51"/>
      <c r="K5033" s="15"/>
      <c r="L5033" s="51"/>
      <c r="M5033" s="15"/>
      <c r="N5033" s="23"/>
      <c r="O5033" s="23"/>
      <c r="P5033" s="15" t="str">
        <f t="shared" si="6"/>
        <v/>
      </c>
      <c r="Q5033" s="24"/>
      <c r="R5033" s="25"/>
      <c r="S5033" s="25"/>
      <c r="T5033" s="26"/>
      <c r="U5033" s="26"/>
      <c r="V5033" s="25"/>
      <c r="W5033" s="25"/>
      <c r="X5033" s="25"/>
      <c r="Y5033" s="25"/>
      <c r="Z5033" s="25"/>
    </row>
    <row r="5034" spans="1:26" ht="15.75" customHeight="1" x14ac:dyDescent="0.25">
      <c r="A5034" s="25"/>
      <c r="B5034" s="49"/>
      <c r="C5034" s="50"/>
      <c r="D5034" s="23"/>
      <c r="E5034" s="23"/>
      <c r="F5034" s="15"/>
      <c r="G5034" s="23"/>
      <c r="H5034" s="15"/>
      <c r="I5034" s="15"/>
      <c r="J5034" s="51"/>
      <c r="K5034" s="15"/>
      <c r="L5034" s="51"/>
      <c r="M5034" s="15"/>
      <c r="N5034" s="23"/>
      <c r="O5034" s="23"/>
      <c r="P5034" s="15" t="str">
        <f t="shared" si="6"/>
        <v/>
      </c>
      <c r="Q5034" s="24"/>
      <c r="R5034" s="25"/>
      <c r="S5034" s="25"/>
      <c r="T5034" s="26"/>
      <c r="U5034" s="26"/>
      <c r="V5034" s="25"/>
      <c r="W5034" s="25"/>
      <c r="X5034" s="25"/>
      <c r="Y5034" s="25"/>
      <c r="Z5034" s="25"/>
    </row>
    <row r="5035" spans="1:26" ht="15.75" customHeight="1" x14ac:dyDescent="0.25">
      <c r="A5035" s="25"/>
      <c r="B5035" s="49"/>
      <c r="C5035" s="50"/>
      <c r="D5035" s="23"/>
      <c r="E5035" s="23"/>
      <c r="F5035" s="15"/>
      <c r="G5035" s="23"/>
      <c r="H5035" s="15"/>
      <c r="I5035" s="15"/>
      <c r="J5035" s="51"/>
      <c r="K5035" s="15"/>
      <c r="L5035" s="51"/>
      <c r="M5035" s="15"/>
      <c r="N5035" s="23"/>
      <c r="O5035" s="23"/>
      <c r="P5035" s="15" t="str">
        <f t="shared" si="6"/>
        <v/>
      </c>
      <c r="Q5035" s="24"/>
      <c r="R5035" s="25"/>
      <c r="S5035" s="25"/>
      <c r="T5035" s="26"/>
      <c r="U5035" s="26"/>
      <c r="V5035" s="25"/>
      <c r="W5035" s="25"/>
      <c r="X5035" s="25"/>
      <c r="Y5035" s="25"/>
      <c r="Z5035" s="25"/>
    </row>
    <row r="5036" spans="1:26" ht="15.75" customHeight="1" x14ac:dyDescent="0.25">
      <c r="A5036" s="25"/>
      <c r="B5036" s="49"/>
      <c r="C5036" s="50"/>
      <c r="D5036" s="23"/>
      <c r="E5036" s="23"/>
      <c r="F5036" s="15"/>
      <c r="G5036" s="23"/>
      <c r="H5036" s="15"/>
      <c r="I5036" s="15"/>
      <c r="J5036" s="51"/>
      <c r="K5036" s="15"/>
      <c r="L5036" s="51"/>
      <c r="M5036" s="15"/>
      <c r="N5036" s="23"/>
      <c r="O5036" s="23"/>
      <c r="P5036" s="15" t="str">
        <f t="shared" si="6"/>
        <v/>
      </c>
      <c r="Q5036" s="24"/>
      <c r="R5036" s="25"/>
      <c r="S5036" s="25"/>
      <c r="T5036" s="26"/>
      <c r="U5036" s="26"/>
      <c r="V5036" s="25"/>
      <c r="W5036" s="25"/>
      <c r="X5036" s="25"/>
      <c r="Y5036" s="25"/>
      <c r="Z5036" s="25"/>
    </row>
    <row r="5037" spans="1:26" ht="15.75" customHeight="1" x14ac:dyDescent="0.25">
      <c r="A5037" s="25"/>
      <c r="B5037" s="49"/>
      <c r="C5037" s="50"/>
      <c r="D5037" s="23"/>
      <c r="E5037" s="23"/>
      <c r="F5037" s="15"/>
      <c r="G5037" s="23"/>
      <c r="H5037" s="15"/>
      <c r="I5037" s="15"/>
      <c r="J5037" s="51"/>
      <c r="K5037" s="15"/>
      <c r="L5037" s="51"/>
      <c r="M5037" s="15"/>
      <c r="N5037" s="23"/>
      <c r="O5037" s="23"/>
      <c r="P5037" s="15" t="str">
        <f t="shared" si="6"/>
        <v/>
      </c>
      <c r="Q5037" s="24"/>
      <c r="R5037" s="25"/>
      <c r="S5037" s="25"/>
      <c r="T5037" s="26"/>
      <c r="U5037" s="26"/>
      <c r="V5037" s="25"/>
      <c r="W5037" s="25"/>
      <c r="X5037" s="25"/>
      <c r="Y5037" s="25"/>
      <c r="Z5037" s="25"/>
    </row>
    <row r="5038" spans="1:26" ht="15.75" customHeight="1" x14ac:dyDescent="0.25">
      <c r="A5038" s="25"/>
      <c r="B5038" s="49"/>
      <c r="C5038" s="50"/>
      <c r="D5038" s="23"/>
      <c r="E5038" s="23"/>
      <c r="F5038" s="15"/>
      <c r="G5038" s="23"/>
      <c r="H5038" s="15"/>
      <c r="I5038" s="15"/>
      <c r="J5038" s="51"/>
      <c r="K5038" s="15"/>
      <c r="L5038" s="51"/>
      <c r="M5038" s="15"/>
      <c r="N5038" s="23"/>
      <c r="O5038" s="23"/>
      <c r="P5038" s="15" t="str">
        <f t="shared" si="6"/>
        <v/>
      </c>
      <c r="Q5038" s="24"/>
      <c r="R5038" s="25"/>
      <c r="S5038" s="25"/>
      <c r="T5038" s="26"/>
      <c r="U5038" s="26"/>
      <c r="V5038" s="25"/>
      <c r="W5038" s="25"/>
      <c r="X5038" s="25"/>
      <c r="Y5038" s="25"/>
      <c r="Z5038" s="25"/>
    </row>
    <row r="5039" spans="1:26" ht="15.75" customHeight="1" x14ac:dyDescent="0.25">
      <c r="A5039" s="25"/>
      <c r="B5039" s="49"/>
      <c r="C5039" s="50"/>
      <c r="D5039" s="23"/>
      <c r="E5039" s="23"/>
      <c r="F5039" s="15"/>
      <c r="G5039" s="23"/>
      <c r="H5039" s="15"/>
      <c r="I5039" s="15"/>
      <c r="J5039" s="51"/>
      <c r="K5039" s="15"/>
      <c r="L5039" s="51"/>
      <c r="M5039" s="15"/>
      <c r="N5039" s="23"/>
      <c r="O5039" s="23"/>
      <c r="P5039" s="15" t="str">
        <f t="shared" si="6"/>
        <v/>
      </c>
      <c r="Q5039" s="24"/>
      <c r="R5039" s="25"/>
      <c r="S5039" s="25"/>
      <c r="T5039" s="26"/>
      <c r="U5039" s="26"/>
      <c r="V5039" s="25"/>
      <c r="W5039" s="25"/>
      <c r="X5039" s="25"/>
      <c r="Y5039" s="25"/>
      <c r="Z5039" s="25"/>
    </row>
    <row r="5040" spans="1:26" ht="15.75" customHeight="1" x14ac:dyDescent="0.25">
      <c r="A5040" s="25"/>
      <c r="B5040" s="49"/>
      <c r="C5040" s="50"/>
      <c r="D5040" s="23"/>
      <c r="E5040" s="23"/>
      <c r="F5040" s="15"/>
      <c r="G5040" s="23"/>
      <c r="H5040" s="15"/>
      <c r="I5040" s="15"/>
      <c r="J5040" s="51"/>
      <c r="K5040" s="15"/>
      <c r="L5040" s="51"/>
      <c r="M5040" s="15"/>
      <c r="N5040" s="23"/>
      <c r="O5040" s="23"/>
      <c r="P5040" s="15" t="str">
        <f t="shared" si="6"/>
        <v/>
      </c>
      <c r="Q5040" s="24"/>
      <c r="R5040" s="25"/>
      <c r="S5040" s="25"/>
      <c r="T5040" s="26"/>
      <c r="U5040" s="26"/>
      <c r="V5040" s="25"/>
      <c r="W5040" s="25"/>
      <c r="X5040" s="25"/>
      <c r="Y5040" s="25"/>
      <c r="Z5040" s="25"/>
    </row>
    <row r="5041" spans="1:26" ht="15.75" customHeight="1" x14ac:dyDescent="0.25">
      <c r="A5041" s="25"/>
      <c r="B5041" s="49"/>
      <c r="C5041" s="50"/>
      <c r="D5041" s="23"/>
      <c r="E5041" s="23"/>
      <c r="F5041" s="15"/>
      <c r="G5041" s="23"/>
      <c r="H5041" s="15"/>
      <c r="I5041" s="15"/>
      <c r="J5041" s="51"/>
      <c r="K5041" s="15"/>
      <c r="L5041" s="51"/>
      <c r="M5041" s="15"/>
      <c r="N5041" s="23"/>
      <c r="O5041" s="23"/>
      <c r="P5041" s="15" t="str">
        <f t="shared" si="6"/>
        <v/>
      </c>
      <c r="Q5041" s="24"/>
      <c r="R5041" s="25"/>
      <c r="S5041" s="25"/>
      <c r="T5041" s="26"/>
      <c r="U5041" s="26"/>
      <c r="V5041" s="25"/>
      <c r="W5041" s="25"/>
      <c r="X5041" s="25"/>
      <c r="Y5041" s="25"/>
      <c r="Z5041" s="25"/>
    </row>
    <row r="5042" spans="1:26" ht="15.75" customHeight="1" x14ac:dyDescent="0.25">
      <c r="A5042" s="25"/>
      <c r="B5042" s="49"/>
      <c r="C5042" s="50"/>
      <c r="D5042" s="23"/>
      <c r="E5042" s="23"/>
      <c r="F5042" s="15"/>
      <c r="G5042" s="23"/>
      <c r="H5042" s="15"/>
      <c r="I5042" s="15"/>
      <c r="J5042" s="51"/>
      <c r="K5042" s="15"/>
      <c r="L5042" s="51"/>
      <c r="M5042" s="15"/>
      <c r="N5042" s="23"/>
      <c r="O5042" s="23"/>
      <c r="P5042" s="15" t="str">
        <f t="shared" si="6"/>
        <v/>
      </c>
      <c r="Q5042" s="24"/>
      <c r="R5042" s="25"/>
      <c r="S5042" s="25"/>
      <c r="T5042" s="26"/>
      <c r="U5042" s="26"/>
      <c r="V5042" s="25"/>
      <c r="W5042" s="25"/>
      <c r="X5042" s="25"/>
      <c r="Y5042" s="25"/>
      <c r="Z5042" s="25"/>
    </row>
    <row r="5043" spans="1:26" ht="15.75" customHeight="1" x14ac:dyDescent="0.25">
      <c r="A5043" s="25"/>
      <c r="B5043" s="49"/>
      <c r="C5043" s="50"/>
      <c r="D5043" s="23"/>
      <c r="E5043" s="23"/>
      <c r="F5043" s="15"/>
      <c r="G5043" s="23"/>
      <c r="H5043" s="15"/>
      <c r="I5043" s="15"/>
      <c r="J5043" s="51"/>
      <c r="K5043" s="15"/>
      <c r="L5043" s="51"/>
      <c r="M5043" s="15"/>
      <c r="N5043" s="23"/>
      <c r="O5043" s="23"/>
      <c r="P5043" s="15" t="str">
        <f t="shared" si="6"/>
        <v/>
      </c>
      <c r="Q5043" s="24"/>
      <c r="R5043" s="25"/>
      <c r="S5043" s="25"/>
      <c r="T5043" s="26"/>
      <c r="U5043" s="26"/>
      <c r="V5043" s="25"/>
      <c r="W5043" s="25"/>
      <c r="X5043" s="25"/>
      <c r="Y5043" s="25"/>
      <c r="Z5043" s="25"/>
    </row>
    <row r="5044" spans="1:26" ht="15.75" customHeight="1" x14ac:dyDescent="0.25">
      <c r="A5044" s="25"/>
      <c r="B5044" s="49"/>
      <c r="C5044" s="50"/>
      <c r="D5044" s="23"/>
      <c r="E5044" s="23"/>
      <c r="F5044" s="15"/>
      <c r="G5044" s="23"/>
      <c r="H5044" s="15"/>
      <c r="I5044" s="15"/>
      <c r="J5044" s="51"/>
      <c r="K5044" s="15"/>
      <c r="L5044" s="51"/>
      <c r="M5044" s="15"/>
      <c r="N5044" s="23"/>
      <c r="O5044" s="23"/>
      <c r="P5044" s="15" t="str">
        <f t="shared" si="6"/>
        <v/>
      </c>
      <c r="Q5044" s="24"/>
      <c r="R5044" s="25"/>
      <c r="S5044" s="25"/>
      <c r="T5044" s="26"/>
      <c r="U5044" s="26"/>
      <c r="V5044" s="25"/>
      <c r="W5044" s="25"/>
      <c r="X5044" s="25"/>
      <c r="Y5044" s="25"/>
      <c r="Z5044" s="25"/>
    </row>
    <row r="5045" spans="1:26" ht="15.75" customHeight="1" x14ac:dyDescent="0.25">
      <c r="A5045" s="25"/>
      <c r="B5045" s="49"/>
      <c r="C5045" s="50"/>
      <c r="D5045" s="23"/>
      <c r="E5045" s="23"/>
      <c r="F5045" s="15"/>
      <c r="G5045" s="23"/>
      <c r="H5045" s="15"/>
      <c r="I5045" s="15"/>
      <c r="J5045" s="51"/>
      <c r="K5045" s="15"/>
      <c r="L5045" s="51"/>
      <c r="M5045" s="15"/>
      <c r="N5045" s="23"/>
      <c r="O5045" s="23"/>
      <c r="P5045" s="15" t="str">
        <f t="shared" si="6"/>
        <v/>
      </c>
      <c r="Q5045" s="24"/>
      <c r="R5045" s="25"/>
      <c r="S5045" s="25"/>
      <c r="T5045" s="26"/>
      <c r="U5045" s="26"/>
      <c r="V5045" s="25"/>
      <c r="W5045" s="25"/>
      <c r="X5045" s="25"/>
      <c r="Y5045" s="25"/>
      <c r="Z5045" s="25"/>
    </row>
    <row r="5046" spans="1:26" ht="15.75" customHeight="1" x14ac:dyDescent="0.25">
      <c r="A5046" s="25"/>
      <c r="B5046" s="49"/>
      <c r="C5046" s="50"/>
      <c r="D5046" s="23"/>
      <c r="E5046" s="23"/>
      <c r="F5046" s="15"/>
      <c r="G5046" s="23"/>
      <c r="H5046" s="15"/>
      <c r="I5046" s="15"/>
      <c r="J5046" s="51"/>
      <c r="K5046" s="15"/>
      <c r="L5046" s="51"/>
      <c r="M5046" s="15"/>
      <c r="N5046" s="23"/>
      <c r="O5046" s="23"/>
      <c r="P5046" s="15" t="str">
        <f t="shared" si="6"/>
        <v/>
      </c>
      <c r="Q5046" s="24"/>
      <c r="R5046" s="25"/>
      <c r="S5046" s="25"/>
      <c r="T5046" s="26"/>
      <c r="U5046" s="26"/>
      <c r="V5046" s="25"/>
      <c r="W5046" s="25"/>
      <c r="X5046" s="25"/>
      <c r="Y5046" s="25"/>
      <c r="Z5046" s="25"/>
    </row>
    <row r="5047" spans="1:26" ht="15.75" customHeight="1" x14ac:dyDescent="0.25">
      <c r="A5047" s="25"/>
      <c r="B5047" s="49"/>
      <c r="C5047" s="50"/>
      <c r="D5047" s="23"/>
      <c r="E5047" s="23"/>
      <c r="F5047" s="15"/>
      <c r="G5047" s="23"/>
      <c r="H5047" s="15"/>
      <c r="I5047" s="15"/>
      <c r="J5047" s="51"/>
      <c r="K5047" s="15"/>
      <c r="L5047" s="51"/>
      <c r="M5047" s="15"/>
      <c r="N5047" s="23"/>
      <c r="O5047" s="23"/>
      <c r="P5047" s="15" t="str">
        <f t="shared" si="6"/>
        <v/>
      </c>
      <c r="Q5047" s="24"/>
      <c r="R5047" s="25"/>
      <c r="S5047" s="25"/>
      <c r="T5047" s="26"/>
      <c r="U5047" s="26"/>
      <c r="V5047" s="25"/>
      <c r="W5047" s="25"/>
      <c r="X5047" s="25"/>
      <c r="Y5047" s="25"/>
      <c r="Z5047" s="25"/>
    </row>
    <row r="5048" spans="1:26" ht="15.75" customHeight="1" x14ac:dyDescent="0.25">
      <c r="A5048" s="25"/>
      <c r="B5048" s="49"/>
      <c r="C5048" s="50"/>
      <c r="D5048" s="23"/>
      <c r="E5048" s="23"/>
      <c r="F5048" s="15"/>
      <c r="G5048" s="23"/>
      <c r="H5048" s="15"/>
      <c r="I5048" s="15"/>
      <c r="J5048" s="51"/>
      <c r="K5048" s="15"/>
      <c r="L5048" s="51"/>
      <c r="M5048" s="15"/>
      <c r="N5048" s="23"/>
      <c r="O5048" s="23"/>
      <c r="P5048" s="15" t="str">
        <f t="shared" si="6"/>
        <v/>
      </c>
      <c r="Q5048" s="24"/>
      <c r="R5048" s="25"/>
      <c r="S5048" s="25"/>
      <c r="T5048" s="26"/>
      <c r="U5048" s="26"/>
      <c r="V5048" s="25"/>
      <c r="W5048" s="25"/>
      <c r="X5048" s="25"/>
      <c r="Y5048" s="25"/>
      <c r="Z5048" s="25"/>
    </row>
    <row r="5049" spans="1:26" ht="15.75" customHeight="1" x14ac:dyDescent="0.25">
      <c r="A5049" s="25"/>
      <c r="B5049" s="49"/>
      <c r="C5049" s="50"/>
      <c r="D5049" s="23"/>
      <c r="E5049" s="23"/>
      <c r="F5049" s="15"/>
      <c r="G5049" s="23"/>
      <c r="H5049" s="15"/>
      <c r="I5049" s="15"/>
      <c r="J5049" s="51"/>
      <c r="K5049" s="15"/>
      <c r="L5049" s="51"/>
      <c r="M5049" s="15"/>
      <c r="N5049" s="23"/>
      <c r="O5049" s="23"/>
      <c r="P5049" s="15" t="str">
        <f t="shared" si="6"/>
        <v/>
      </c>
      <c r="Q5049" s="24"/>
      <c r="R5049" s="25"/>
      <c r="S5049" s="25"/>
      <c r="T5049" s="26"/>
      <c r="U5049" s="26"/>
      <c r="V5049" s="25"/>
      <c r="W5049" s="25"/>
      <c r="X5049" s="25"/>
      <c r="Y5049" s="25"/>
      <c r="Z5049" s="25"/>
    </row>
    <row r="5050" spans="1:26" ht="15.75" customHeight="1" x14ac:dyDescent="0.25">
      <c r="A5050" s="25"/>
      <c r="B5050" s="49"/>
      <c r="C5050" s="50"/>
      <c r="D5050" s="23"/>
      <c r="E5050" s="23"/>
      <c r="F5050" s="15"/>
      <c r="G5050" s="23"/>
      <c r="H5050" s="15"/>
      <c r="I5050" s="15"/>
      <c r="J5050" s="51"/>
      <c r="K5050" s="15"/>
      <c r="L5050" s="51"/>
      <c r="M5050" s="15"/>
      <c r="N5050" s="23"/>
      <c r="O5050" s="23"/>
      <c r="P5050" s="15" t="str">
        <f t="shared" si="6"/>
        <v/>
      </c>
      <c r="Q5050" s="24"/>
      <c r="R5050" s="25"/>
      <c r="S5050" s="25"/>
      <c r="T5050" s="26"/>
      <c r="U5050" s="26"/>
      <c r="V5050" s="25"/>
      <c r="W5050" s="25"/>
      <c r="X5050" s="25"/>
      <c r="Y5050" s="25"/>
      <c r="Z5050" s="25"/>
    </row>
    <row r="5051" spans="1:26" ht="15.75" customHeight="1" x14ac:dyDescent="0.25">
      <c r="A5051" s="25"/>
      <c r="B5051" s="49"/>
      <c r="C5051" s="50"/>
      <c r="D5051" s="23"/>
      <c r="E5051" s="23"/>
      <c r="F5051" s="15"/>
      <c r="G5051" s="23"/>
      <c r="H5051" s="15"/>
      <c r="I5051" s="15"/>
      <c r="J5051" s="51"/>
      <c r="K5051" s="15"/>
      <c r="L5051" s="51"/>
      <c r="M5051" s="15"/>
      <c r="N5051" s="23"/>
      <c r="O5051" s="23"/>
      <c r="P5051" s="15" t="str">
        <f t="shared" si="6"/>
        <v/>
      </c>
      <c r="Q5051" s="24"/>
      <c r="R5051" s="25"/>
      <c r="S5051" s="25"/>
      <c r="T5051" s="26"/>
      <c r="U5051" s="26"/>
      <c r="V5051" s="25"/>
      <c r="W5051" s="25"/>
      <c r="X5051" s="25"/>
      <c r="Y5051" s="25"/>
      <c r="Z5051" s="25"/>
    </row>
    <row r="5052" spans="1:26" ht="15.75" customHeight="1" x14ac:dyDescent="0.25">
      <c r="A5052" s="25"/>
      <c r="B5052" s="49"/>
      <c r="C5052" s="50"/>
      <c r="D5052" s="23"/>
      <c r="E5052" s="23"/>
      <c r="F5052" s="15"/>
      <c r="G5052" s="23"/>
      <c r="H5052" s="15"/>
      <c r="I5052" s="15"/>
      <c r="J5052" s="51"/>
      <c r="K5052" s="15"/>
      <c r="L5052" s="51"/>
      <c r="M5052" s="15"/>
      <c r="N5052" s="23"/>
      <c r="O5052" s="23"/>
      <c r="P5052" s="15" t="str">
        <f t="shared" si="6"/>
        <v/>
      </c>
      <c r="Q5052" s="24"/>
      <c r="R5052" s="25"/>
      <c r="S5052" s="25"/>
      <c r="T5052" s="26"/>
      <c r="U5052" s="26"/>
      <c r="V5052" s="25"/>
      <c r="W5052" s="25"/>
      <c r="X5052" s="25"/>
      <c r="Y5052" s="25"/>
      <c r="Z5052" s="25"/>
    </row>
    <row r="5053" spans="1:26" ht="15.75" customHeight="1" x14ac:dyDescent="0.25">
      <c r="A5053" s="25"/>
      <c r="B5053" s="49"/>
      <c r="C5053" s="50"/>
      <c r="D5053" s="23"/>
      <c r="E5053" s="23"/>
      <c r="F5053" s="15"/>
      <c r="G5053" s="23"/>
      <c r="H5053" s="15"/>
      <c r="I5053" s="15"/>
      <c r="J5053" s="51"/>
      <c r="K5053" s="15"/>
      <c r="L5053" s="51"/>
      <c r="M5053" s="15"/>
      <c r="N5053" s="23"/>
      <c r="O5053" s="23"/>
      <c r="P5053" s="15" t="str">
        <f t="shared" si="6"/>
        <v/>
      </c>
      <c r="Q5053" s="24"/>
      <c r="R5053" s="25"/>
      <c r="S5053" s="25"/>
      <c r="T5053" s="26"/>
      <c r="U5053" s="26"/>
      <c r="V5053" s="25"/>
      <c r="W5053" s="25"/>
      <c r="X5053" s="25"/>
      <c r="Y5053" s="25"/>
      <c r="Z5053" s="25"/>
    </row>
    <row r="5054" spans="1:26" ht="15.75" customHeight="1" x14ac:dyDescent="0.25">
      <c r="A5054" s="25"/>
      <c r="B5054" s="49"/>
      <c r="C5054" s="50"/>
      <c r="D5054" s="23"/>
      <c r="E5054" s="23"/>
      <c r="F5054" s="15"/>
      <c r="G5054" s="23"/>
      <c r="H5054" s="15"/>
      <c r="I5054" s="15"/>
      <c r="J5054" s="51"/>
      <c r="K5054" s="15"/>
      <c r="L5054" s="51"/>
      <c r="M5054" s="15"/>
      <c r="N5054" s="23"/>
      <c r="O5054" s="23"/>
      <c r="P5054" s="15" t="str">
        <f t="shared" si="6"/>
        <v/>
      </c>
      <c r="Q5054" s="24"/>
      <c r="R5054" s="25"/>
      <c r="S5054" s="25"/>
      <c r="T5054" s="26"/>
      <c r="U5054" s="26"/>
      <c r="V5054" s="25"/>
      <c r="W5054" s="25"/>
      <c r="X5054" s="25"/>
      <c r="Y5054" s="25"/>
      <c r="Z5054" s="25"/>
    </row>
    <row r="5055" spans="1:26" ht="15.75" customHeight="1" x14ac:dyDescent="0.25">
      <c r="A5055" s="25"/>
      <c r="B5055" s="49"/>
      <c r="C5055" s="50"/>
      <c r="D5055" s="23"/>
      <c r="E5055" s="23"/>
      <c r="F5055" s="15"/>
      <c r="G5055" s="23"/>
      <c r="H5055" s="15"/>
      <c r="I5055" s="15"/>
      <c r="J5055" s="51"/>
      <c r="K5055" s="15"/>
      <c r="L5055" s="51"/>
      <c r="M5055" s="15"/>
      <c r="N5055" s="23"/>
      <c r="O5055" s="23"/>
      <c r="P5055" s="15" t="str">
        <f t="shared" si="6"/>
        <v/>
      </c>
      <c r="Q5055" s="24"/>
      <c r="R5055" s="25"/>
      <c r="S5055" s="25"/>
      <c r="T5055" s="26"/>
      <c r="U5055" s="26"/>
      <c r="V5055" s="25"/>
      <c r="W5055" s="25"/>
      <c r="X5055" s="25"/>
      <c r="Y5055" s="25"/>
      <c r="Z5055" s="25"/>
    </row>
    <row r="5056" spans="1:26" ht="15.75" customHeight="1" x14ac:dyDescent="0.25">
      <c r="A5056" s="25"/>
      <c r="B5056" s="49"/>
      <c r="C5056" s="50"/>
      <c r="D5056" s="23"/>
      <c r="E5056" s="23"/>
      <c r="F5056" s="15"/>
      <c r="G5056" s="23"/>
      <c r="H5056" s="15"/>
      <c r="I5056" s="15"/>
      <c r="J5056" s="51"/>
      <c r="K5056" s="15"/>
      <c r="L5056" s="51"/>
      <c r="M5056" s="15"/>
      <c r="N5056" s="23"/>
      <c r="O5056" s="23"/>
      <c r="P5056" s="15" t="str">
        <f t="shared" si="6"/>
        <v/>
      </c>
      <c r="Q5056" s="24"/>
      <c r="R5056" s="25"/>
      <c r="S5056" s="25"/>
      <c r="T5056" s="26"/>
      <c r="U5056" s="26"/>
      <c r="V5056" s="25"/>
      <c r="W5056" s="25"/>
      <c r="X5056" s="25"/>
      <c r="Y5056" s="25"/>
      <c r="Z5056" s="25"/>
    </row>
    <row r="5057" spans="1:26" ht="15.75" customHeight="1" x14ac:dyDescent="0.25">
      <c r="A5057" s="25"/>
      <c r="B5057" s="49"/>
      <c r="C5057" s="50"/>
      <c r="D5057" s="23"/>
      <c r="E5057" s="23"/>
      <c r="F5057" s="15"/>
      <c r="G5057" s="23"/>
      <c r="H5057" s="15"/>
      <c r="I5057" s="15"/>
      <c r="J5057" s="51"/>
      <c r="K5057" s="15"/>
      <c r="L5057" s="51"/>
      <c r="M5057" s="15"/>
      <c r="N5057" s="23"/>
      <c r="O5057" s="23"/>
      <c r="P5057" s="15" t="str">
        <f t="shared" si="6"/>
        <v/>
      </c>
      <c r="Q5057" s="24"/>
      <c r="R5057" s="25"/>
      <c r="S5057" s="25"/>
      <c r="T5057" s="26"/>
      <c r="U5057" s="26"/>
      <c r="V5057" s="25"/>
      <c r="W5057" s="25"/>
      <c r="X5057" s="25"/>
      <c r="Y5057" s="25"/>
      <c r="Z5057" s="25"/>
    </row>
    <row r="5058" spans="1:26" ht="15.75" customHeight="1" x14ac:dyDescent="0.25">
      <c r="A5058" s="25"/>
      <c r="B5058" s="49"/>
      <c r="C5058" s="50"/>
      <c r="D5058" s="23"/>
      <c r="E5058" s="23"/>
      <c r="F5058" s="15"/>
      <c r="G5058" s="23"/>
      <c r="H5058" s="15"/>
      <c r="I5058" s="15"/>
      <c r="J5058" s="51"/>
      <c r="K5058" s="15"/>
      <c r="L5058" s="51"/>
      <c r="M5058" s="15"/>
      <c r="N5058" s="23"/>
      <c r="O5058" s="23"/>
      <c r="P5058" s="15" t="str">
        <f t="shared" si="6"/>
        <v/>
      </c>
      <c r="Q5058" s="24"/>
      <c r="R5058" s="25"/>
      <c r="S5058" s="25"/>
      <c r="T5058" s="26"/>
      <c r="U5058" s="26"/>
      <c r="V5058" s="25"/>
      <c r="W5058" s="25"/>
      <c r="X5058" s="25"/>
      <c r="Y5058" s="25"/>
      <c r="Z5058" s="25"/>
    </row>
    <row r="5059" spans="1:26" ht="15.75" customHeight="1" x14ac:dyDescent="0.25">
      <c r="A5059" s="25"/>
      <c r="B5059" s="49"/>
      <c r="C5059" s="50"/>
      <c r="D5059" s="23"/>
      <c r="E5059" s="23"/>
      <c r="F5059" s="15"/>
      <c r="G5059" s="23"/>
      <c r="H5059" s="15"/>
      <c r="I5059" s="15"/>
      <c r="J5059" s="51"/>
      <c r="K5059" s="15"/>
      <c r="L5059" s="51"/>
      <c r="M5059" s="15"/>
      <c r="N5059" s="23"/>
      <c r="O5059" s="23"/>
      <c r="P5059" s="15" t="str">
        <f t="shared" si="6"/>
        <v/>
      </c>
      <c r="Q5059" s="24"/>
      <c r="R5059" s="25"/>
      <c r="S5059" s="25"/>
      <c r="T5059" s="26"/>
      <c r="U5059" s="26"/>
      <c r="V5059" s="25"/>
      <c r="W5059" s="25"/>
      <c r="X5059" s="25"/>
      <c r="Y5059" s="25"/>
      <c r="Z5059" s="25"/>
    </row>
    <row r="5060" spans="1:26" ht="15.75" customHeight="1" x14ac:dyDescent="0.25">
      <c r="A5060" s="25"/>
      <c r="B5060" s="49"/>
      <c r="C5060" s="50"/>
      <c r="D5060" s="23"/>
      <c r="E5060" s="23"/>
      <c r="F5060" s="15"/>
      <c r="G5060" s="23"/>
      <c r="H5060" s="15"/>
      <c r="I5060" s="15"/>
      <c r="J5060" s="51"/>
      <c r="K5060" s="15"/>
      <c r="L5060" s="51"/>
      <c r="M5060" s="15"/>
      <c r="N5060" s="23"/>
      <c r="O5060" s="23"/>
      <c r="P5060" s="15" t="str">
        <f t="shared" si="6"/>
        <v/>
      </c>
      <c r="Q5060" s="24"/>
      <c r="R5060" s="25"/>
      <c r="S5060" s="25"/>
      <c r="T5060" s="26"/>
      <c r="U5060" s="26"/>
      <c r="V5060" s="25"/>
      <c r="W5060" s="25"/>
      <c r="X5060" s="25"/>
      <c r="Y5060" s="25"/>
      <c r="Z5060" s="25"/>
    </row>
    <row r="5061" spans="1:26" ht="15.75" customHeight="1" x14ac:dyDescent="0.25">
      <c r="A5061" s="25"/>
      <c r="B5061" s="49"/>
      <c r="C5061" s="50"/>
      <c r="D5061" s="23"/>
      <c r="E5061" s="23"/>
      <c r="F5061" s="15"/>
      <c r="G5061" s="23"/>
      <c r="H5061" s="15"/>
      <c r="I5061" s="15"/>
      <c r="J5061" s="51"/>
      <c r="K5061" s="15"/>
      <c r="L5061" s="51"/>
      <c r="M5061" s="15"/>
      <c r="N5061" s="23"/>
      <c r="O5061" s="23"/>
      <c r="P5061" s="15" t="str">
        <f t="shared" si="6"/>
        <v/>
      </c>
      <c r="Q5061" s="24"/>
      <c r="R5061" s="25"/>
      <c r="S5061" s="25"/>
      <c r="T5061" s="26"/>
      <c r="U5061" s="26"/>
      <c r="V5061" s="25"/>
      <c r="W5061" s="25"/>
      <c r="X5061" s="25"/>
      <c r="Y5061" s="25"/>
      <c r="Z5061" s="25"/>
    </row>
    <row r="5062" spans="1:26" ht="15.75" customHeight="1" x14ac:dyDescent="0.25">
      <c r="A5062" s="25"/>
      <c r="B5062" s="49"/>
      <c r="C5062" s="50"/>
      <c r="D5062" s="23"/>
      <c r="E5062" s="23"/>
      <c r="F5062" s="15"/>
      <c r="G5062" s="23"/>
      <c r="H5062" s="15"/>
      <c r="I5062" s="15"/>
      <c r="J5062" s="51"/>
      <c r="K5062" s="15"/>
      <c r="L5062" s="51"/>
      <c r="M5062" s="15"/>
      <c r="N5062" s="23"/>
      <c r="O5062" s="23"/>
      <c r="P5062" s="15" t="str">
        <f t="shared" si="6"/>
        <v/>
      </c>
      <c r="Q5062" s="24"/>
      <c r="R5062" s="25"/>
      <c r="S5062" s="25"/>
      <c r="T5062" s="26"/>
      <c r="U5062" s="26"/>
      <c r="V5062" s="25"/>
      <c r="W5062" s="25"/>
      <c r="X5062" s="25"/>
      <c r="Y5062" s="25"/>
      <c r="Z5062" s="25"/>
    </row>
    <row r="5063" spans="1:26" ht="15.75" customHeight="1" x14ac:dyDescent="0.25">
      <c r="A5063" s="25"/>
      <c r="B5063" s="49"/>
      <c r="C5063" s="50"/>
      <c r="D5063" s="23"/>
      <c r="E5063" s="23"/>
      <c r="F5063" s="15"/>
      <c r="G5063" s="23"/>
      <c r="H5063" s="15"/>
      <c r="I5063" s="15"/>
      <c r="J5063" s="51"/>
      <c r="K5063" s="15"/>
      <c r="L5063" s="51"/>
      <c r="M5063" s="15"/>
      <c r="N5063" s="23"/>
      <c r="O5063" s="23"/>
      <c r="P5063" s="15" t="str">
        <f t="shared" si="6"/>
        <v/>
      </c>
      <c r="Q5063" s="24"/>
      <c r="R5063" s="25"/>
      <c r="S5063" s="25"/>
      <c r="T5063" s="26"/>
      <c r="U5063" s="26"/>
      <c r="V5063" s="25"/>
      <c r="W5063" s="25"/>
      <c r="X5063" s="25"/>
      <c r="Y5063" s="25"/>
      <c r="Z5063" s="25"/>
    </row>
    <row r="5064" spans="1:26" ht="15.75" customHeight="1" x14ac:dyDescent="0.25">
      <c r="A5064" s="25"/>
      <c r="B5064" s="49"/>
      <c r="C5064" s="50"/>
      <c r="D5064" s="23"/>
      <c r="E5064" s="23"/>
      <c r="F5064" s="15"/>
      <c r="G5064" s="23"/>
      <c r="H5064" s="15"/>
      <c r="I5064" s="15"/>
      <c r="J5064" s="51"/>
      <c r="K5064" s="15"/>
      <c r="L5064" s="51"/>
      <c r="M5064" s="15"/>
      <c r="N5064" s="23"/>
      <c r="O5064" s="23"/>
      <c r="P5064" s="15" t="str">
        <f t="shared" si="6"/>
        <v/>
      </c>
      <c r="Q5064" s="24"/>
      <c r="R5064" s="25"/>
      <c r="S5064" s="25"/>
      <c r="T5064" s="26"/>
      <c r="U5064" s="26"/>
      <c r="V5064" s="25"/>
      <c r="W5064" s="25"/>
      <c r="X5064" s="25"/>
      <c r="Y5064" s="25"/>
      <c r="Z5064" s="25"/>
    </row>
    <row r="5065" spans="1:26" ht="15.75" customHeight="1" x14ac:dyDescent="0.25">
      <c r="A5065" s="25"/>
      <c r="B5065" s="49"/>
      <c r="C5065" s="50"/>
      <c r="D5065" s="23"/>
      <c r="E5065" s="23"/>
      <c r="F5065" s="15"/>
      <c r="G5065" s="23"/>
      <c r="H5065" s="15"/>
      <c r="I5065" s="15"/>
      <c r="J5065" s="51"/>
      <c r="K5065" s="15"/>
      <c r="L5065" s="51"/>
      <c r="M5065" s="15"/>
      <c r="N5065" s="23"/>
      <c r="O5065" s="23"/>
      <c r="P5065" s="15" t="str">
        <f t="shared" si="6"/>
        <v/>
      </c>
      <c r="Q5065" s="24"/>
      <c r="R5065" s="25"/>
      <c r="S5065" s="25"/>
      <c r="T5065" s="26"/>
      <c r="U5065" s="26"/>
      <c r="V5065" s="25"/>
      <c r="W5065" s="25"/>
      <c r="X5065" s="25"/>
      <c r="Y5065" s="25"/>
      <c r="Z5065" s="25"/>
    </row>
    <row r="5066" spans="1:26" ht="15.75" customHeight="1" x14ac:dyDescent="0.25">
      <c r="A5066" s="25"/>
      <c r="B5066" s="49"/>
      <c r="C5066" s="50"/>
      <c r="D5066" s="23"/>
      <c r="E5066" s="23"/>
      <c r="F5066" s="15"/>
      <c r="G5066" s="23"/>
      <c r="H5066" s="15"/>
      <c r="I5066" s="15"/>
      <c r="J5066" s="51"/>
      <c r="K5066" s="15"/>
      <c r="L5066" s="51"/>
      <c r="M5066" s="15"/>
      <c r="N5066" s="23"/>
      <c r="O5066" s="23"/>
      <c r="P5066" s="15" t="str">
        <f t="shared" si="6"/>
        <v/>
      </c>
      <c r="Q5066" s="24"/>
      <c r="R5066" s="25"/>
      <c r="S5066" s="25"/>
      <c r="T5066" s="26"/>
      <c r="U5066" s="26"/>
      <c r="V5066" s="25"/>
      <c r="W5066" s="25"/>
      <c r="X5066" s="25"/>
      <c r="Y5066" s="25"/>
      <c r="Z5066" s="25"/>
    </row>
    <row r="5067" spans="1:26" ht="15.75" customHeight="1" x14ac:dyDescent="0.25">
      <c r="A5067" s="25"/>
      <c r="B5067" s="49"/>
      <c r="C5067" s="50"/>
      <c r="D5067" s="23"/>
      <c r="E5067" s="23"/>
      <c r="F5067" s="15"/>
      <c r="G5067" s="23"/>
      <c r="H5067" s="15"/>
      <c r="I5067" s="15"/>
      <c r="J5067" s="51"/>
      <c r="K5067" s="15"/>
      <c r="L5067" s="51"/>
      <c r="M5067" s="15"/>
      <c r="N5067" s="23"/>
      <c r="O5067" s="23"/>
      <c r="P5067" s="15" t="str">
        <f t="shared" si="6"/>
        <v/>
      </c>
      <c r="Q5067" s="24"/>
      <c r="R5067" s="25"/>
      <c r="S5067" s="25"/>
      <c r="T5067" s="26"/>
      <c r="U5067" s="26"/>
      <c r="V5067" s="25"/>
      <c r="W5067" s="25"/>
      <c r="X5067" s="25"/>
      <c r="Y5067" s="25"/>
      <c r="Z5067" s="25"/>
    </row>
    <row r="5068" spans="1:26" ht="15.75" customHeight="1" x14ac:dyDescent="0.25">
      <c r="A5068" s="25"/>
      <c r="B5068" s="49"/>
      <c r="C5068" s="50"/>
      <c r="D5068" s="23"/>
      <c r="E5068" s="23"/>
      <c r="F5068" s="15"/>
      <c r="G5068" s="23"/>
      <c r="H5068" s="15"/>
      <c r="I5068" s="15"/>
      <c r="J5068" s="51"/>
      <c r="K5068" s="15"/>
      <c r="L5068" s="51"/>
      <c r="M5068" s="15"/>
      <c r="N5068" s="23"/>
      <c r="O5068" s="23"/>
      <c r="P5068" s="15" t="str">
        <f t="shared" si="6"/>
        <v/>
      </c>
      <c r="Q5068" s="24"/>
      <c r="R5068" s="25"/>
      <c r="S5068" s="25"/>
      <c r="T5068" s="26"/>
      <c r="U5068" s="26"/>
      <c r="V5068" s="25"/>
      <c r="W5068" s="25"/>
      <c r="X5068" s="25"/>
      <c r="Y5068" s="25"/>
      <c r="Z5068" s="25"/>
    </row>
    <row r="5069" spans="1:26" ht="15.75" customHeight="1" x14ac:dyDescent="0.25">
      <c r="A5069" s="25"/>
      <c r="B5069" s="49"/>
      <c r="C5069" s="50"/>
      <c r="D5069" s="23"/>
      <c r="E5069" s="23"/>
      <c r="F5069" s="15"/>
      <c r="G5069" s="23"/>
      <c r="H5069" s="15"/>
      <c r="I5069" s="15"/>
      <c r="J5069" s="51"/>
      <c r="K5069" s="15"/>
      <c r="L5069" s="51"/>
      <c r="M5069" s="15"/>
      <c r="N5069" s="23"/>
      <c r="O5069" s="23"/>
      <c r="P5069" s="15" t="str">
        <f t="shared" si="6"/>
        <v/>
      </c>
      <c r="Q5069" s="24"/>
      <c r="R5069" s="25"/>
      <c r="S5069" s="25"/>
      <c r="T5069" s="26"/>
      <c r="U5069" s="26"/>
      <c r="V5069" s="25"/>
      <c r="W5069" s="25"/>
      <c r="X5069" s="25"/>
      <c r="Y5069" s="25"/>
      <c r="Z5069" s="25"/>
    </row>
    <row r="5070" spans="1:26" ht="15.75" customHeight="1" x14ac:dyDescent="0.25">
      <c r="A5070" s="25"/>
      <c r="B5070" s="49"/>
      <c r="C5070" s="50"/>
      <c r="D5070" s="23"/>
      <c r="E5070" s="23"/>
      <c r="F5070" s="15"/>
      <c r="G5070" s="23"/>
      <c r="H5070" s="15"/>
      <c r="I5070" s="15"/>
      <c r="J5070" s="51"/>
      <c r="K5070" s="15"/>
      <c r="L5070" s="51"/>
      <c r="M5070" s="15"/>
      <c r="N5070" s="23"/>
      <c r="O5070" s="23"/>
      <c r="P5070" s="15" t="str">
        <f t="shared" si="6"/>
        <v/>
      </c>
      <c r="Q5070" s="24"/>
      <c r="R5070" s="25"/>
      <c r="S5070" s="25"/>
      <c r="T5070" s="26"/>
      <c r="U5070" s="26"/>
      <c r="V5070" s="25"/>
      <c r="W5070" s="25"/>
      <c r="X5070" s="25"/>
      <c r="Y5070" s="25"/>
      <c r="Z5070" s="25"/>
    </row>
    <row r="5071" spans="1:26" ht="15.75" customHeight="1" x14ac:dyDescent="0.25">
      <c r="A5071" s="25"/>
      <c r="B5071" s="49"/>
      <c r="C5071" s="50"/>
      <c r="D5071" s="23"/>
      <c r="E5071" s="23"/>
      <c r="F5071" s="15"/>
      <c r="G5071" s="23"/>
      <c r="H5071" s="15"/>
      <c r="I5071" s="15"/>
      <c r="J5071" s="51"/>
      <c r="K5071" s="15"/>
      <c r="L5071" s="51"/>
      <c r="M5071" s="15"/>
      <c r="N5071" s="23"/>
      <c r="O5071" s="23"/>
      <c r="P5071" s="15" t="str">
        <f t="shared" si="6"/>
        <v/>
      </c>
      <c r="Q5071" s="24"/>
      <c r="R5071" s="25"/>
      <c r="S5071" s="25"/>
      <c r="T5071" s="26"/>
      <c r="U5071" s="26"/>
      <c r="V5071" s="25"/>
      <c r="W5071" s="25"/>
      <c r="X5071" s="25"/>
      <c r="Y5071" s="25"/>
      <c r="Z5071" s="25"/>
    </row>
    <row r="5072" spans="1:26" ht="15.75" customHeight="1" x14ac:dyDescent="0.25">
      <c r="A5072" s="25"/>
      <c r="B5072" s="49"/>
      <c r="C5072" s="50"/>
      <c r="D5072" s="23"/>
      <c r="E5072" s="23"/>
      <c r="F5072" s="15"/>
      <c r="G5072" s="23"/>
      <c r="H5072" s="15"/>
      <c r="I5072" s="15"/>
      <c r="J5072" s="51"/>
      <c r="K5072" s="15"/>
      <c r="L5072" s="51"/>
      <c r="M5072" s="15"/>
      <c r="N5072" s="23"/>
      <c r="O5072" s="23"/>
      <c r="P5072" s="15" t="str">
        <f t="shared" si="6"/>
        <v/>
      </c>
      <c r="Q5072" s="24"/>
      <c r="R5072" s="25"/>
      <c r="S5072" s="25"/>
      <c r="T5072" s="26"/>
      <c r="U5072" s="26"/>
      <c r="V5072" s="25"/>
      <c r="W5072" s="25"/>
      <c r="X5072" s="25"/>
      <c r="Y5072" s="25"/>
      <c r="Z5072" s="25"/>
    </row>
    <row r="5073" spans="1:26" ht="15.75" customHeight="1" x14ac:dyDescent="0.25">
      <c r="A5073" s="25"/>
      <c r="B5073" s="49"/>
      <c r="C5073" s="50"/>
      <c r="D5073" s="23"/>
      <c r="E5073" s="23"/>
      <c r="F5073" s="15"/>
      <c r="G5073" s="23"/>
      <c r="H5073" s="15"/>
      <c r="I5073" s="15"/>
      <c r="J5073" s="51"/>
      <c r="K5073" s="15"/>
      <c r="L5073" s="51"/>
      <c r="M5073" s="15"/>
      <c r="N5073" s="23"/>
      <c r="O5073" s="23"/>
      <c r="P5073" s="15" t="str">
        <f t="shared" si="6"/>
        <v/>
      </c>
      <c r="Q5073" s="24"/>
      <c r="R5073" s="25"/>
      <c r="S5073" s="25"/>
      <c r="T5073" s="26"/>
      <c r="U5073" s="26"/>
      <c r="V5073" s="25"/>
      <c r="W5073" s="25"/>
      <c r="X5073" s="25"/>
      <c r="Y5073" s="25"/>
      <c r="Z5073" s="25"/>
    </row>
    <row r="5074" spans="1:26" ht="15.75" customHeight="1" x14ac:dyDescent="0.25">
      <c r="A5074" s="25"/>
      <c r="B5074" s="49"/>
      <c r="C5074" s="50"/>
      <c r="D5074" s="23"/>
      <c r="E5074" s="23"/>
      <c r="F5074" s="15"/>
      <c r="G5074" s="23"/>
      <c r="H5074" s="15"/>
      <c r="I5074" s="15"/>
      <c r="J5074" s="51"/>
      <c r="K5074" s="15"/>
      <c r="L5074" s="51"/>
      <c r="M5074" s="15"/>
      <c r="N5074" s="23"/>
      <c r="O5074" s="23"/>
      <c r="P5074" s="15" t="str">
        <f t="shared" si="6"/>
        <v/>
      </c>
      <c r="Q5074" s="24"/>
      <c r="R5074" s="25"/>
      <c r="S5074" s="25"/>
      <c r="T5074" s="26"/>
      <c r="U5074" s="26"/>
      <c r="V5074" s="25"/>
      <c r="W5074" s="25"/>
      <c r="X5074" s="25"/>
      <c r="Y5074" s="25"/>
      <c r="Z5074" s="25"/>
    </row>
    <row r="5075" spans="1:26" ht="15.75" customHeight="1" x14ac:dyDescent="0.25">
      <c r="A5075" s="25"/>
      <c r="B5075" s="49"/>
      <c r="C5075" s="50"/>
      <c r="D5075" s="23"/>
      <c r="E5075" s="23"/>
      <c r="F5075" s="15"/>
      <c r="G5075" s="23"/>
      <c r="H5075" s="15"/>
      <c r="I5075" s="15"/>
      <c r="J5075" s="51"/>
      <c r="K5075" s="15"/>
      <c r="L5075" s="51"/>
      <c r="M5075" s="15"/>
      <c r="N5075" s="23"/>
      <c r="O5075" s="23"/>
      <c r="P5075" s="15" t="str">
        <f t="shared" si="6"/>
        <v/>
      </c>
      <c r="Q5075" s="24"/>
      <c r="R5075" s="25"/>
      <c r="S5075" s="25"/>
      <c r="T5075" s="26"/>
      <c r="U5075" s="26"/>
      <c r="V5075" s="25"/>
      <c r="W5075" s="25"/>
      <c r="X5075" s="25"/>
      <c r="Y5075" s="25"/>
      <c r="Z5075" s="25"/>
    </row>
    <row r="5076" spans="1:26" ht="15.75" customHeight="1" x14ac:dyDescent="0.25">
      <c r="A5076" s="25"/>
      <c r="B5076" s="49"/>
      <c r="C5076" s="50"/>
      <c r="D5076" s="23"/>
      <c r="E5076" s="23"/>
      <c r="F5076" s="15"/>
      <c r="G5076" s="23"/>
      <c r="H5076" s="15"/>
      <c r="I5076" s="15"/>
      <c r="J5076" s="51"/>
      <c r="K5076" s="15"/>
      <c r="L5076" s="51"/>
      <c r="M5076" s="15"/>
      <c r="N5076" s="23"/>
      <c r="O5076" s="23"/>
      <c r="P5076" s="15" t="str">
        <f t="shared" si="6"/>
        <v/>
      </c>
      <c r="Q5076" s="24"/>
      <c r="R5076" s="25"/>
      <c r="S5076" s="25"/>
      <c r="T5076" s="26"/>
      <c r="U5076" s="26"/>
      <c r="V5076" s="25"/>
      <c r="W5076" s="25"/>
      <c r="X5076" s="25"/>
      <c r="Y5076" s="25"/>
      <c r="Z5076" s="25"/>
    </row>
    <row r="5077" spans="1:26" ht="15.75" customHeight="1" x14ac:dyDescent="0.25">
      <c r="A5077" s="25"/>
      <c r="B5077" s="49"/>
      <c r="C5077" s="50"/>
      <c r="D5077" s="23"/>
      <c r="E5077" s="23"/>
      <c r="F5077" s="15"/>
      <c r="G5077" s="23"/>
      <c r="H5077" s="15"/>
      <c r="I5077" s="15"/>
      <c r="J5077" s="51"/>
      <c r="K5077" s="15"/>
      <c r="L5077" s="51"/>
      <c r="M5077" s="15"/>
      <c r="N5077" s="23"/>
      <c r="O5077" s="23"/>
      <c r="P5077" s="15" t="str">
        <f t="shared" si="6"/>
        <v/>
      </c>
      <c r="Q5077" s="24"/>
      <c r="R5077" s="25"/>
      <c r="S5077" s="25"/>
      <c r="T5077" s="26"/>
      <c r="U5077" s="26"/>
      <c r="V5077" s="25"/>
      <c r="W5077" s="25"/>
      <c r="X5077" s="25"/>
      <c r="Y5077" s="25"/>
      <c r="Z5077" s="25"/>
    </row>
    <row r="5078" spans="1:26" ht="15.75" customHeight="1" x14ac:dyDescent="0.25">
      <c r="A5078" s="25"/>
      <c r="B5078" s="49"/>
      <c r="C5078" s="50"/>
      <c r="D5078" s="23"/>
      <c r="E5078" s="23"/>
      <c r="F5078" s="15"/>
      <c r="G5078" s="23"/>
      <c r="H5078" s="15"/>
      <c r="I5078" s="15"/>
      <c r="J5078" s="51"/>
      <c r="K5078" s="15"/>
      <c r="L5078" s="51"/>
      <c r="M5078" s="15"/>
      <c r="N5078" s="23"/>
      <c r="O5078" s="23"/>
      <c r="P5078" s="15" t="str">
        <f t="shared" si="6"/>
        <v/>
      </c>
      <c r="Q5078" s="24"/>
      <c r="R5078" s="25"/>
      <c r="S5078" s="25"/>
      <c r="T5078" s="26"/>
      <c r="U5078" s="26"/>
      <c r="V5078" s="25"/>
      <c r="W5078" s="25"/>
      <c r="X5078" s="25"/>
      <c r="Y5078" s="25"/>
      <c r="Z5078" s="25"/>
    </row>
    <row r="5079" spans="1:26" ht="15.75" customHeight="1" x14ac:dyDescent="0.25">
      <c r="A5079" s="25"/>
      <c r="B5079" s="49"/>
      <c r="C5079" s="50"/>
      <c r="D5079" s="23"/>
      <c r="E5079" s="23"/>
      <c r="F5079" s="15"/>
      <c r="G5079" s="23"/>
      <c r="H5079" s="15"/>
      <c r="I5079" s="15"/>
      <c r="J5079" s="51"/>
      <c r="K5079" s="15"/>
      <c r="L5079" s="51"/>
      <c r="M5079" s="15"/>
      <c r="N5079" s="23"/>
      <c r="O5079" s="23"/>
      <c r="P5079" s="15" t="str">
        <f t="shared" si="6"/>
        <v/>
      </c>
      <c r="Q5079" s="24"/>
      <c r="R5079" s="25"/>
      <c r="S5079" s="25"/>
      <c r="T5079" s="26"/>
      <c r="U5079" s="26"/>
      <c r="V5079" s="25"/>
      <c r="W5079" s="25"/>
      <c r="X5079" s="25"/>
      <c r="Y5079" s="25"/>
      <c r="Z5079" s="25"/>
    </row>
    <row r="5080" spans="1:26" ht="15.75" customHeight="1" x14ac:dyDescent="0.25">
      <c r="A5080" s="25"/>
      <c r="B5080" s="49"/>
      <c r="C5080" s="50"/>
      <c r="D5080" s="23"/>
      <c r="E5080" s="23"/>
      <c r="F5080" s="15"/>
      <c r="G5080" s="23"/>
      <c r="H5080" s="15"/>
      <c r="I5080" s="15"/>
      <c r="J5080" s="51"/>
      <c r="K5080" s="15"/>
      <c r="L5080" s="51"/>
      <c r="M5080" s="15"/>
      <c r="N5080" s="23"/>
      <c r="O5080" s="23"/>
      <c r="P5080" s="15" t="str">
        <f t="shared" si="6"/>
        <v/>
      </c>
      <c r="Q5080" s="24"/>
      <c r="R5080" s="25"/>
      <c r="S5080" s="25"/>
      <c r="T5080" s="26"/>
      <c r="U5080" s="26"/>
      <c r="V5080" s="25"/>
      <c r="W5080" s="25"/>
      <c r="X5080" s="25"/>
      <c r="Y5080" s="25"/>
      <c r="Z5080" s="25"/>
    </row>
    <row r="5081" spans="1:26" ht="15.75" customHeight="1" x14ac:dyDescent="0.25">
      <c r="A5081" s="25"/>
      <c r="B5081" s="49"/>
      <c r="C5081" s="50"/>
      <c r="D5081" s="23"/>
      <c r="E5081" s="23"/>
      <c r="F5081" s="15"/>
      <c r="G5081" s="23"/>
      <c r="H5081" s="15"/>
      <c r="I5081" s="15"/>
      <c r="J5081" s="51"/>
      <c r="K5081" s="15"/>
      <c r="L5081" s="51"/>
      <c r="M5081" s="15"/>
      <c r="N5081" s="23"/>
      <c r="O5081" s="23"/>
      <c r="P5081" s="15" t="str">
        <f t="shared" si="6"/>
        <v/>
      </c>
      <c r="Q5081" s="24"/>
      <c r="R5081" s="25"/>
      <c r="S5081" s="25"/>
      <c r="T5081" s="26"/>
      <c r="U5081" s="26"/>
      <c r="V5081" s="25"/>
      <c r="W5081" s="25"/>
      <c r="X5081" s="25"/>
      <c r="Y5081" s="25"/>
      <c r="Z5081" s="25"/>
    </row>
    <row r="5082" spans="1:26" ht="15.75" customHeight="1" x14ac:dyDescent="0.25">
      <c r="A5082" s="25"/>
      <c r="B5082" s="49"/>
      <c r="C5082" s="50"/>
      <c r="D5082" s="23"/>
      <c r="E5082" s="23"/>
      <c r="F5082" s="15"/>
      <c r="G5082" s="23"/>
      <c r="H5082" s="15"/>
      <c r="I5082" s="15"/>
      <c r="J5082" s="51"/>
      <c r="K5082" s="15"/>
      <c r="L5082" s="51"/>
      <c r="M5082" s="15"/>
      <c r="N5082" s="23"/>
      <c r="O5082" s="23"/>
      <c r="P5082" s="15" t="str">
        <f t="shared" si="6"/>
        <v/>
      </c>
      <c r="Q5082" s="24"/>
      <c r="R5082" s="25"/>
      <c r="S5082" s="25"/>
      <c r="T5082" s="26"/>
      <c r="U5082" s="26"/>
      <c r="V5082" s="25"/>
      <c r="W5082" s="25"/>
      <c r="X5082" s="25"/>
      <c r="Y5082" s="25"/>
      <c r="Z5082" s="25"/>
    </row>
    <row r="5083" spans="1:26" ht="15.75" customHeight="1" x14ac:dyDescent="0.25">
      <c r="A5083" s="25"/>
      <c r="B5083" s="49"/>
      <c r="C5083" s="50"/>
      <c r="D5083" s="23"/>
      <c r="E5083" s="23"/>
      <c r="F5083" s="15"/>
      <c r="G5083" s="23"/>
      <c r="H5083" s="15"/>
      <c r="I5083" s="15"/>
      <c r="J5083" s="51"/>
      <c r="K5083" s="15"/>
      <c r="L5083" s="51"/>
      <c r="M5083" s="15"/>
      <c r="N5083" s="23"/>
      <c r="O5083" s="23"/>
      <c r="P5083" s="15" t="str">
        <f t="shared" si="6"/>
        <v/>
      </c>
      <c r="Q5083" s="24"/>
      <c r="R5083" s="25"/>
      <c r="S5083" s="25"/>
      <c r="T5083" s="26"/>
      <c r="U5083" s="26"/>
      <c r="V5083" s="25"/>
      <c r="W5083" s="25"/>
      <c r="X5083" s="25"/>
      <c r="Y5083" s="25"/>
      <c r="Z5083" s="25"/>
    </row>
    <row r="5084" spans="1:26" ht="15.75" customHeight="1" x14ac:dyDescent="0.25">
      <c r="A5084" s="25"/>
      <c r="B5084" s="49"/>
      <c r="C5084" s="50"/>
      <c r="D5084" s="23"/>
      <c r="E5084" s="23"/>
      <c r="F5084" s="15"/>
      <c r="G5084" s="23"/>
      <c r="H5084" s="15"/>
      <c r="I5084" s="15"/>
      <c r="J5084" s="51"/>
      <c r="K5084" s="15"/>
      <c r="L5084" s="51"/>
      <c r="M5084" s="15"/>
      <c r="N5084" s="23"/>
      <c r="O5084" s="23"/>
      <c r="P5084" s="15" t="str">
        <f t="shared" si="6"/>
        <v/>
      </c>
      <c r="Q5084" s="24"/>
      <c r="R5084" s="25"/>
      <c r="S5084" s="25"/>
      <c r="T5084" s="26"/>
      <c r="U5084" s="26"/>
      <c r="V5084" s="25"/>
      <c r="W5084" s="25"/>
      <c r="X5084" s="25"/>
      <c r="Y5084" s="25"/>
      <c r="Z5084" s="25"/>
    </row>
    <row r="5085" spans="1:26" ht="15.75" customHeight="1" x14ac:dyDescent="0.25">
      <c r="A5085" s="25"/>
      <c r="B5085" s="49"/>
      <c r="C5085" s="50"/>
      <c r="D5085" s="23"/>
      <c r="E5085" s="23"/>
      <c r="F5085" s="15"/>
      <c r="G5085" s="23"/>
      <c r="H5085" s="15"/>
      <c r="I5085" s="15"/>
      <c r="J5085" s="51"/>
      <c r="K5085" s="15"/>
      <c r="L5085" s="51"/>
      <c r="M5085" s="15"/>
      <c r="N5085" s="23"/>
      <c r="O5085" s="23"/>
      <c r="P5085" s="15" t="str">
        <f t="shared" si="6"/>
        <v/>
      </c>
      <c r="Q5085" s="24"/>
      <c r="R5085" s="25"/>
      <c r="S5085" s="25"/>
      <c r="T5085" s="26"/>
      <c r="U5085" s="26"/>
      <c r="V5085" s="25"/>
      <c r="W5085" s="25"/>
      <c r="X5085" s="25"/>
      <c r="Y5085" s="25"/>
      <c r="Z5085" s="25"/>
    </row>
    <row r="5086" spans="1:26" ht="15.75" customHeight="1" x14ac:dyDescent="0.25">
      <c r="A5086" s="25"/>
      <c r="B5086" s="49"/>
      <c r="C5086" s="50"/>
      <c r="D5086" s="23"/>
      <c r="E5086" s="23"/>
      <c r="F5086" s="15"/>
      <c r="G5086" s="23"/>
      <c r="H5086" s="15"/>
      <c r="I5086" s="15"/>
      <c r="J5086" s="51"/>
      <c r="K5086" s="15"/>
      <c r="L5086" s="51"/>
      <c r="M5086" s="15"/>
      <c r="N5086" s="23"/>
      <c r="O5086" s="23"/>
      <c r="P5086" s="15" t="str">
        <f t="shared" si="6"/>
        <v/>
      </c>
      <c r="Q5086" s="24"/>
      <c r="R5086" s="25"/>
      <c r="S5086" s="25"/>
      <c r="T5086" s="26"/>
      <c r="U5086" s="26"/>
      <c r="V5086" s="25"/>
      <c r="W5086" s="25"/>
      <c r="X5086" s="25"/>
      <c r="Y5086" s="25"/>
      <c r="Z5086" s="25"/>
    </row>
    <row r="5087" spans="1:26" ht="15.75" customHeight="1" x14ac:dyDescent="0.25">
      <c r="A5087" s="25"/>
      <c r="B5087" s="49"/>
      <c r="C5087" s="50"/>
      <c r="D5087" s="23"/>
      <c r="E5087" s="23"/>
      <c r="F5087" s="15"/>
      <c r="G5087" s="23"/>
      <c r="H5087" s="15"/>
      <c r="I5087" s="15"/>
      <c r="J5087" s="51"/>
      <c r="K5087" s="15"/>
      <c r="L5087" s="51"/>
      <c r="M5087" s="15"/>
      <c r="N5087" s="23"/>
      <c r="O5087" s="23"/>
      <c r="P5087" s="15" t="str">
        <f t="shared" si="6"/>
        <v/>
      </c>
      <c r="Q5087" s="24"/>
      <c r="R5087" s="25"/>
      <c r="S5087" s="25"/>
      <c r="T5087" s="26"/>
      <c r="U5087" s="26"/>
      <c r="V5087" s="25"/>
      <c r="W5087" s="25"/>
      <c r="X5087" s="25"/>
      <c r="Y5087" s="25"/>
      <c r="Z5087" s="25"/>
    </row>
    <row r="5088" spans="1:26" ht="15.75" customHeight="1" x14ac:dyDescent="0.25">
      <c r="A5088" s="25"/>
      <c r="B5088" s="49"/>
      <c r="C5088" s="50"/>
      <c r="D5088" s="23"/>
      <c r="E5088" s="23"/>
      <c r="F5088" s="15"/>
      <c r="G5088" s="23"/>
      <c r="H5088" s="15"/>
      <c r="I5088" s="15"/>
      <c r="J5088" s="51"/>
      <c r="K5088" s="15"/>
      <c r="L5088" s="51"/>
      <c r="M5088" s="15"/>
      <c r="N5088" s="23"/>
      <c r="O5088" s="23"/>
      <c r="P5088" s="15" t="str">
        <f t="shared" si="6"/>
        <v/>
      </c>
      <c r="Q5088" s="24"/>
      <c r="R5088" s="25"/>
      <c r="S5088" s="25"/>
      <c r="T5088" s="26"/>
      <c r="U5088" s="26"/>
      <c r="V5088" s="25"/>
      <c r="W5088" s="25"/>
      <c r="X5088" s="25"/>
      <c r="Y5088" s="25"/>
      <c r="Z5088" s="25"/>
    </row>
    <row r="5089" spans="1:26" ht="15.75" customHeight="1" x14ac:dyDescent="0.25">
      <c r="A5089" s="25"/>
      <c r="B5089" s="49"/>
      <c r="C5089" s="50"/>
      <c r="D5089" s="23"/>
      <c r="E5089" s="23"/>
      <c r="F5089" s="15"/>
      <c r="G5089" s="23"/>
      <c r="H5089" s="15"/>
      <c r="I5089" s="15"/>
      <c r="J5089" s="51"/>
      <c r="K5089" s="15"/>
      <c r="L5089" s="51"/>
      <c r="M5089" s="15"/>
      <c r="N5089" s="23"/>
      <c r="O5089" s="23"/>
      <c r="P5089" s="15" t="str">
        <f t="shared" si="6"/>
        <v/>
      </c>
      <c r="Q5089" s="24"/>
      <c r="R5089" s="25"/>
      <c r="S5089" s="25"/>
      <c r="T5089" s="26"/>
      <c r="U5089" s="26"/>
      <c r="V5089" s="25"/>
      <c r="W5089" s="25"/>
      <c r="X5089" s="25"/>
      <c r="Y5089" s="25"/>
      <c r="Z5089" s="25"/>
    </row>
    <row r="5090" spans="1:26" ht="15.75" customHeight="1" x14ac:dyDescent="0.25">
      <c r="A5090" s="25"/>
      <c r="B5090" s="49"/>
      <c r="C5090" s="50"/>
      <c r="D5090" s="23"/>
      <c r="E5090" s="23"/>
      <c r="F5090" s="15"/>
      <c r="G5090" s="23"/>
      <c r="H5090" s="15"/>
      <c r="I5090" s="15"/>
      <c r="J5090" s="51"/>
      <c r="K5090" s="15"/>
      <c r="L5090" s="51"/>
      <c r="M5090" s="15"/>
      <c r="N5090" s="23"/>
      <c r="O5090" s="23"/>
      <c r="P5090" s="15" t="str">
        <f t="shared" si="6"/>
        <v/>
      </c>
      <c r="Q5090" s="24"/>
      <c r="R5090" s="25"/>
      <c r="S5090" s="25"/>
      <c r="T5090" s="26"/>
      <c r="U5090" s="26"/>
      <c r="V5090" s="25"/>
      <c r="W5090" s="25"/>
      <c r="X5090" s="25"/>
      <c r="Y5090" s="25"/>
      <c r="Z5090" s="25"/>
    </row>
    <row r="5091" spans="1:26" ht="15.75" customHeight="1" x14ac:dyDescent="0.25">
      <c r="A5091" s="25"/>
      <c r="B5091" s="49"/>
      <c r="C5091" s="50"/>
      <c r="D5091" s="23"/>
      <c r="E5091" s="23"/>
      <c r="F5091" s="15"/>
      <c r="G5091" s="23"/>
      <c r="H5091" s="15"/>
      <c r="I5091" s="15"/>
      <c r="J5091" s="51"/>
      <c r="K5091" s="15"/>
      <c r="L5091" s="51"/>
      <c r="M5091" s="15"/>
      <c r="N5091" s="23"/>
      <c r="O5091" s="23"/>
      <c r="P5091" s="15" t="str">
        <f t="shared" si="6"/>
        <v/>
      </c>
      <c r="Q5091" s="24"/>
      <c r="R5091" s="25"/>
      <c r="S5091" s="25"/>
      <c r="T5091" s="26"/>
      <c r="U5091" s="26"/>
      <c r="V5091" s="25"/>
      <c r="W5091" s="25"/>
      <c r="X5091" s="25"/>
      <c r="Y5091" s="25"/>
      <c r="Z5091" s="25"/>
    </row>
    <row r="5092" spans="1:26" ht="15.75" customHeight="1" x14ac:dyDescent="0.25">
      <c r="A5092" s="25"/>
      <c r="B5092" s="49"/>
      <c r="C5092" s="50"/>
      <c r="D5092" s="23"/>
      <c r="E5092" s="23"/>
      <c r="F5092" s="15"/>
      <c r="G5092" s="23"/>
      <c r="H5092" s="15"/>
      <c r="I5092" s="15"/>
      <c r="J5092" s="51"/>
      <c r="K5092" s="15"/>
      <c r="L5092" s="51"/>
      <c r="M5092" s="15"/>
      <c r="N5092" s="23"/>
      <c r="O5092" s="23"/>
      <c r="P5092" s="15" t="str">
        <f t="shared" si="6"/>
        <v/>
      </c>
      <c r="Q5092" s="24"/>
      <c r="R5092" s="25"/>
      <c r="S5092" s="25"/>
      <c r="T5092" s="26"/>
      <c r="U5092" s="26"/>
      <c r="V5092" s="25"/>
      <c r="W5092" s="25"/>
      <c r="X5092" s="25"/>
      <c r="Y5092" s="25"/>
      <c r="Z5092" s="25"/>
    </row>
    <row r="5093" spans="1:26" ht="15.75" customHeight="1" x14ac:dyDescent="0.25">
      <c r="A5093" s="25"/>
      <c r="B5093" s="49"/>
      <c r="C5093" s="50"/>
      <c r="D5093" s="23"/>
      <c r="E5093" s="23"/>
      <c r="F5093" s="15"/>
      <c r="G5093" s="23"/>
      <c r="H5093" s="15"/>
      <c r="I5093" s="15"/>
      <c r="J5093" s="51"/>
      <c r="K5093" s="15"/>
      <c r="L5093" s="51"/>
      <c r="M5093" s="15"/>
      <c r="N5093" s="23"/>
      <c r="O5093" s="23"/>
      <c r="P5093" s="15" t="str">
        <f t="shared" si="6"/>
        <v/>
      </c>
      <c r="Q5093" s="24"/>
      <c r="R5093" s="25"/>
      <c r="S5093" s="25"/>
      <c r="T5093" s="26"/>
      <c r="U5093" s="26"/>
      <c r="V5093" s="25"/>
      <c r="W5093" s="25"/>
      <c r="X5093" s="25"/>
      <c r="Y5093" s="25"/>
      <c r="Z5093" s="25"/>
    </row>
    <row r="5094" spans="1:26" ht="15.75" customHeight="1" x14ac:dyDescent="0.25">
      <c r="A5094" s="25"/>
      <c r="B5094" s="49"/>
      <c r="C5094" s="50"/>
      <c r="D5094" s="23"/>
      <c r="E5094" s="23"/>
      <c r="F5094" s="15"/>
      <c r="G5094" s="23"/>
      <c r="H5094" s="15"/>
      <c r="I5094" s="15"/>
      <c r="J5094" s="51"/>
      <c r="K5094" s="15"/>
      <c r="L5094" s="51"/>
      <c r="M5094" s="15"/>
      <c r="N5094" s="23"/>
      <c r="O5094" s="23"/>
      <c r="P5094" s="15" t="str">
        <f t="shared" si="6"/>
        <v/>
      </c>
      <c r="Q5094" s="24"/>
      <c r="R5094" s="25"/>
      <c r="S5094" s="25"/>
      <c r="T5094" s="26"/>
      <c r="U5094" s="26"/>
      <c r="V5094" s="25"/>
      <c r="W5094" s="25"/>
      <c r="X5094" s="25"/>
      <c r="Y5094" s="25"/>
      <c r="Z5094" s="25"/>
    </row>
    <row r="5095" spans="1:26" ht="15.75" customHeight="1" x14ac:dyDescent="0.25">
      <c r="A5095" s="25"/>
      <c r="B5095" s="49"/>
      <c r="C5095" s="50"/>
      <c r="D5095" s="23"/>
      <c r="E5095" s="23"/>
      <c r="F5095" s="15"/>
      <c r="G5095" s="23"/>
      <c r="H5095" s="15"/>
      <c r="I5095" s="15"/>
      <c r="J5095" s="51"/>
      <c r="K5095" s="15"/>
      <c r="L5095" s="51"/>
      <c r="M5095" s="15"/>
      <c r="N5095" s="23"/>
      <c r="O5095" s="23"/>
      <c r="P5095" s="15" t="str">
        <f t="shared" si="6"/>
        <v/>
      </c>
      <c r="Q5095" s="24"/>
      <c r="R5095" s="25"/>
      <c r="S5095" s="25"/>
      <c r="T5095" s="26"/>
      <c r="U5095" s="26"/>
      <c r="V5095" s="25"/>
      <c r="W5095" s="25"/>
      <c r="X5095" s="25"/>
      <c r="Y5095" s="25"/>
      <c r="Z5095" s="25"/>
    </row>
    <row r="5096" spans="1:26" ht="15.75" customHeight="1" x14ac:dyDescent="0.25">
      <c r="A5096" s="25"/>
      <c r="B5096" s="49"/>
      <c r="C5096" s="50"/>
      <c r="D5096" s="23"/>
      <c r="E5096" s="23"/>
      <c r="F5096" s="15"/>
      <c r="G5096" s="23"/>
      <c r="H5096" s="15"/>
      <c r="I5096" s="15"/>
      <c r="J5096" s="51"/>
      <c r="K5096" s="15"/>
      <c r="L5096" s="51"/>
      <c r="M5096" s="15"/>
      <c r="N5096" s="23"/>
      <c r="O5096" s="23"/>
      <c r="P5096" s="15" t="str">
        <f t="shared" si="6"/>
        <v/>
      </c>
      <c r="Q5096" s="24"/>
      <c r="R5096" s="25"/>
      <c r="S5096" s="25"/>
      <c r="T5096" s="26"/>
      <c r="U5096" s="26"/>
      <c r="V5096" s="25"/>
      <c r="W5096" s="25"/>
      <c r="X5096" s="25"/>
      <c r="Y5096" s="25"/>
      <c r="Z5096" s="25"/>
    </row>
    <row r="5097" spans="1:26" ht="15.75" customHeight="1" x14ac:dyDescent="0.25">
      <c r="A5097" s="25"/>
      <c r="B5097" s="49"/>
      <c r="C5097" s="50"/>
      <c r="D5097" s="23"/>
      <c r="E5097" s="23"/>
      <c r="F5097" s="15"/>
      <c r="G5097" s="23"/>
      <c r="H5097" s="15"/>
      <c r="I5097" s="15"/>
      <c r="J5097" s="51"/>
      <c r="K5097" s="15"/>
      <c r="L5097" s="51"/>
      <c r="M5097" s="15"/>
      <c r="N5097" s="23"/>
      <c r="O5097" s="23"/>
      <c r="P5097" s="15" t="str">
        <f t="shared" si="6"/>
        <v/>
      </c>
      <c r="Q5097" s="24"/>
      <c r="R5097" s="25"/>
      <c r="S5097" s="25"/>
      <c r="T5097" s="26"/>
      <c r="U5097" s="26"/>
      <c r="V5097" s="25"/>
      <c r="W5097" s="25"/>
      <c r="X5097" s="25"/>
      <c r="Y5097" s="25"/>
      <c r="Z5097" s="25"/>
    </row>
    <row r="5098" spans="1:26" ht="15.75" customHeight="1" x14ac:dyDescent="0.25">
      <c r="A5098" s="25"/>
      <c r="B5098" s="49"/>
      <c r="C5098" s="50"/>
      <c r="D5098" s="23"/>
      <c r="E5098" s="23"/>
      <c r="F5098" s="15"/>
      <c r="G5098" s="23"/>
      <c r="H5098" s="15"/>
      <c r="I5098" s="15"/>
      <c r="J5098" s="51"/>
      <c r="K5098" s="15"/>
      <c r="L5098" s="51"/>
      <c r="M5098" s="15"/>
      <c r="N5098" s="23"/>
      <c r="O5098" s="23"/>
      <c r="P5098" s="15" t="str">
        <f t="shared" si="6"/>
        <v/>
      </c>
      <c r="Q5098" s="24"/>
      <c r="R5098" s="25"/>
      <c r="S5098" s="25"/>
      <c r="T5098" s="26"/>
      <c r="U5098" s="26"/>
      <c r="V5098" s="25"/>
      <c r="W5098" s="25"/>
      <c r="X5098" s="25"/>
      <c r="Y5098" s="25"/>
      <c r="Z5098" s="25"/>
    </row>
    <row r="5099" spans="1:26" ht="15.75" customHeight="1" x14ac:dyDescent="0.25">
      <c r="A5099" s="25"/>
      <c r="B5099" s="49"/>
      <c r="C5099" s="50"/>
      <c r="D5099" s="23"/>
      <c r="E5099" s="23"/>
      <c r="F5099" s="15"/>
      <c r="G5099" s="23"/>
      <c r="H5099" s="15"/>
      <c r="I5099" s="15"/>
      <c r="J5099" s="51"/>
      <c r="K5099" s="15"/>
      <c r="L5099" s="51"/>
      <c r="M5099" s="15"/>
      <c r="N5099" s="23"/>
      <c r="O5099" s="23"/>
      <c r="P5099" s="15" t="str">
        <f t="shared" si="6"/>
        <v/>
      </c>
      <c r="Q5099" s="24"/>
      <c r="R5099" s="25"/>
      <c r="S5099" s="25"/>
      <c r="T5099" s="26"/>
      <c r="U5099" s="26"/>
      <c r="V5099" s="25"/>
      <c r="W5099" s="25"/>
      <c r="X5099" s="25"/>
      <c r="Y5099" s="25"/>
      <c r="Z5099" s="25"/>
    </row>
    <row r="5100" spans="1:26" ht="15.75" customHeight="1" x14ac:dyDescent="0.25">
      <c r="A5100" s="25"/>
      <c r="B5100" s="49"/>
      <c r="C5100" s="50"/>
      <c r="D5100" s="23"/>
      <c r="E5100" s="23"/>
      <c r="F5100" s="15"/>
      <c r="G5100" s="23"/>
      <c r="H5100" s="15"/>
      <c r="I5100" s="15"/>
      <c r="J5100" s="51"/>
      <c r="K5100" s="15"/>
      <c r="L5100" s="51"/>
      <c r="M5100" s="15"/>
      <c r="N5100" s="23"/>
      <c r="O5100" s="23"/>
      <c r="P5100" s="15" t="str">
        <f t="shared" si="6"/>
        <v/>
      </c>
      <c r="Q5100" s="24"/>
      <c r="R5100" s="25"/>
      <c r="S5100" s="25"/>
      <c r="T5100" s="26"/>
      <c r="U5100" s="26"/>
      <c r="V5100" s="25"/>
      <c r="W5100" s="25"/>
      <c r="X5100" s="25"/>
      <c r="Y5100" s="25"/>
      <c r="Z5100" s="25"/>
    </row>
    <row r="5101" spans="1:26" ht="15.75" customHeight="1" x14ac:dyDescent="0.25">
      <c r="A5101" s="25"/>
      <c r="B5101" s="49"/>
      <c r="C5101" s="50"/>
      <c r="D5101" s="23"/>
      <c r="E5101" s="23"/>
      <c r="F5101" s="15"/>
      <c r="G5101" s="23"/>
      <c r="H5101" s="15"/>
      <c r="I5101" s="15"/>
      <c r="J5101" s="51"/>
      <c r="K5101" s="15"/>
      <c r="L5101" s="51"/>
      <c r="M5101" s="15"/>
      <c r="N5101" s="23"/>
      <c r="O5101" s="23"/>
      <c r="P5101" s="15" t="str">
        <f t="shared" si="6"/>
        <v/>
      </c>
      <c r="Q5101" s="24"/>
      <c r="R5101" s="25"/>
      <c r="S5101" s="25"/>
      <c r="T5101" s="26"/>
      <c r="U5101" s="26"/>
      <c r="V5101" s="25"/>
      <c r="W5101" s="25"/>
      <c r="X5101" s="25"/>
      <c r="Y5101" s="25"/>
      <c r="Z5101" s="25"/>
    </row>
    <row r="5102" spans="1:26" ht="15.75" customHeight="1" x14ac:dyDescent="0.25">
      <c r="A5102" s="25"/>
      <c r="B5102" s="49"/>
      <c r="C5102" s="50"/>
      <c r="D5102" s="23"/>
      <c r="E5102" s="23"/>
      <c r="F5102" s="15"/>
      <c r="G5102" s="23"/>
      <c r="H5102" s="15"/>
      <c r="I5102" s="15"/>
      <c r="J5102" s="51"/>
      <c r="K5102" s="15"/>
      <c r="L5102" s="51"/>
      <c r="M5102" s="15"/>
      <c r="N5102" s="23"/>
      <c r="O5102" s="23"/>
      <c r="P5102" s="15" t="str">
        <f t="shared" si="6"/>
        <v/>
      </c>
      <c r="Q5102" s="24"/>
      <c r="R5102" s="25"/>
      <c r="S5102" s="25"/>
      <c r="T5102" s="26"/>
      <c r="U5102" s="26"/>
      <c r="V5102" s="25"/>
      <c r="W5102" s="25"/>
      <c r="X5102" s="25"/>
      <c r="Y5102" s="25"/>
      <c r="Z5102" s="25"/>
    </row>
    <row r="5103" spans="1:26" ht="15.75" customHeight="1" x14ac:dyDescent="0.25">
      <c r="A5103" s="25"/>
      <c r="B5103" s="49"/>
      <c r="C5103" s="50"/>
      <c r="D5103" s="23"/>
      <c r="E5103" s="23"/>
      <c r="F5103" s="15"/>
      <c r="G5103" s="23"/>
      <c r="H5103" s="15"/>
      <c r="I5103" s="15"/>
      <c r="J5103" s="51"/>
      <c r="K5103" s="15"/>
      <c r="L5103" s="51"/>
      <c r="M5103" s="15"/>
      <c r="N5103" s="23"/>
      <c r="O5103" s="23"/>
      <c r="P5103" s="15" t="str">
        <f t="shared" si="6"/>
        <v/>
      </c>
      <c r="Q5103" s="24"/>
      <c r="R5103" s="25"/>
      <c r="S5103" s="25"/>
      <c r="T5103" s="26"/>
      <c r="U5103" s="26"/>
      <c r="V5103" s="25"/>
      <c r="W5103" s="25"/>
      <c r="X5103" s="25"/>
      <c r="Y5103" s="25"/>
      <c r="Z5103" s="25"/>
    </row>
    <row r="5104" spans="1:26" ht="15.75" customHeight="1" x14ac:dyDescent="0.25">
      <c r="A5104" s="25"/>
      <c r="B5104" s="49"/>
      <c r="C5104" s="50"/>
      <c r="D5104" s="23"/>
      <c r="E5104" s="23"/>
      <c r="F5104" s="15"/>
      <c r="G5104" s="23"/>
      <c r="H5104" s="15"/>
      <c r="I5104" s="15"/>
      <c r="J5104" s="51"/>
      <c r="K5104" s="15"/>
      <c r="L5104" s="51"/>
      <c r="M5104" s="15"/>
      <c r="N5104" s="23"/>
      <c r="O5104" s="23"/>
      <c r="P5104" s="15" t="str">
        <f t="shared" si="6"/>
        <v/>
      </c>
      <c r="Q5104" s="24"/>
      <c r="R5104" s="25"/>
      <c r="S5104" s="25"/>
      <c r="T5104" s="26"/>
      <c r="U5104" s="26"/>
      <c r="V5104" s="25"/>
      <c r="W5104" s="25"/>
      <c r="X5104" s="25"/>
      <c r="Y5104" s="25"/>
      <c r="Z5104" s="25"/>
    </row>
    <row r="5105" spans="1:26" ht="15.75" customHeight="1" x14ac:dyDescent="0.25">
      <c r="A5105" s="25"/>
      <c r="B5105" s="49"/>
      <c r="C5105" s="50"/>
      <c r="D5105" s="23"/>
      <c r="E5105" s="23"/>
      <c r="F5105" s="15"/>
      <c r="G5105" s="23"/>
      <c r="H5105" s="15"/>
      <c r="I5105" s="15"/>
      <c r="J5105" s="51"/>
      <c r="K5105" s="15"/>
      <c r="L5105" s="51"/>
      <c r="M5105" s="15"/>
      <c r="N5105" s="23"/>
      <c r="O5105" s="23"/>
      <c r="P5105" s="15" t="str">
        <f t="shared" si="6"/>
        <v/>
      </c>
      <c r="Q5105" s="24"/>
      <c r="R5105" s="25"/>
      <c r="S5105" s="25"/>
      <c r="T5105" s="26"/>
      <c r="U5105" s="26"/>
      <c r="V5105" s="25"/>
      <c r="W5105" s="25"/>
      <c r="X5105" s="25"/>
      <c r="Y5105" s="25"/>
      <c r="Z5105" s="25"/>
    </row>
    <row r="5106" spans="1:26" ht="15.75" customHeight="1" x14ac:dyDescent="0.25">
      <c r="A5106" s="25"/>
      <c r="B5106" s="49"/>
      <c r="C5106" s="50"/>
      <c r="D5106" s="23"/>
      <c r="E5106" s="23"/>
      <c r="F5106" s="15"/>
      <c r="G5106" s="23"/>
      <c r="H5106" s="15"/>
      <c r="I5106" s="15"/>
      <c r="J5106" s="51"/>
      <c r="K5106" s="15"/>
      <c r="L5106" s="51"/>
      <c r="M5106" s="15"/>
      <c r="N5106" s="23"/>
      <c r="O5106" s="23"/>
      <c r="P5106" s="15" t="str">
        <f t="shared" si="6"/>
        <v/>
      </c>
      <c r="Q5106" s="24"/>
      <c r="R5106" s="25"/>
      <c r="S5106" s="25"/>
      <c r="T5106" s="26"/>
      <c r="U5106" s="26"/>
      <c r="V5106" s="25"/>
      <c r="W5106" s="25"/>
      <c r="X5106" s="25"/>
      <c r="Y5106" s="25"/>
      <c r="Z5106" s="25"/>
    </row>
    <row r="5107" spans="1:26" ht="15.75" customHeight="1" x14ac:dyDescent="0.25">
      <c r="A5107" s="25"/>
      <c r="B5107" s="49"/>
      <c r="C5107" s="50"/>
      <c r="D5107" s="23"/>
      <c r="E5107" s="23"/>
      <c r="F5107" s="15"/>
      <c r="G5107" s="23"/>
      <c r="H5107" s="15"/>
      <c r="I5107" s="15"/>
      <c r="J5107" s="51"/>
      <c r="K5107" s="15"/>
      <c r="L5107" s="51"/>
      <c r="M5107" s="15"/>
      <c r="N5107" s="23"/>
      <c r="O5107" s="23"/>
      <c r="P5107" s="15" t="str">
        <f t="shared" si="6"/>
        <v/>
      </c>
      <c r="Q5107" s="24"/>
      <c r="R5107" s="25"/>
      <c r="S5107" s="25"/>
      <c r="T5107" s="26"/>
      <c r="U5107" s="26"/>
      <c r="V5107" s="25"/>
      <c r="W5107" s="25"/>
      <c r="X5107" s="25"/>
      <c r="Y5107" s="25"/>
      <c r="Z5107" s="25"/>
    </row>
    <row r="5108" spans="1:26" ht="15.75" customHeight="1" x14ac:dyDescent="0.25">
      <c r="A5108" s="25"/>
      <c r="B5108" s="49"/>
      <c r="C5108" s="50"/>
      <c r="D5108" s="23"/>
      <c r="E5108" s="23"/>
      <c r="F5108" s="15"/>
      <c r="G5108" s="23"/>
      <c r="H5108" s="15"/>
      <c r="I5108" s="15"/>
      <c r="J5108" s="51"/>
      <c r="K5108" s="15"/>
      <c r="L5108" s="51"/>
      <c r="M5108" s="15"/>
      <c r="N5108" s="23"/>
      <c r="O5108" s="23"/>
      <c r="P5108" s="15" t="str">
        <f t="shared" si="6"/>
        <v/>
      </c>
      <c r="Q5108" s="24"/>
      <c r="R5108" s="25"/>
      <c r="S5108" s="25"/>
      <c r="T5108" s="26"/>
      <c r="U5108" s="26"/>
      <c r="V5108" s="25"/>
      <c r="W5108" s="25"/>
      <c r="X5108" s="25"/>
      <c r="Y5108" s="25"/>
      <c r="Z5108" s="25"/>
    </row>
    <row r="5109" spans="1:26" ht="15.75" customHeight="1" x14ac:dyDescent="0.25">
      <c r="A5109" s="25"/>
      <c r="B5109" s="49"/>
      <c r="C5109" s="50"/>
      <c r="D5109" s="23"/>
      <c r="E5109" s="23"/>
      <c r="F5109" s="15"/>
      <c r="G5109" s="23"/>
      <c r="H5109" s="15"/>
      <c r="I5109" s="15"/>
      <c r="J5109" s="51"/>
      <c r="K5109" s="15"/>
      <c r="L5109" s="51"/>
      <c r="M5109" s="15"/>
      <c r="N5109" s="23"/>
      <c r="O5109" s="23"/>
      <c r="P5109" s="15" t="str">
        <f t="shared" si="6"/>
        <v/>
      </c>
      <c r="Q5109" s="24"/>
      <c r="R5109" s="25"/>
      <c r="S5109" s="25"/>
      <c r="T5109" s="26"/>
      <c r="U5109" s="26"/>
      <c r="V5109" s="25"/>
      <c r="W5109" s="25"/>
      <c r="X5109" s="25"/>
      <c r="Y5109" s="25"/>
      <c r="Z5109" s="25"/>
    </row>
    <row r="5110" spans="1:26" ht="15.75" customHeight="1" x14ac:dyDescent="0.25">
      <c r="A5110" s="25"/>
      <c r="B5110" s="49"/>
      <c r="C5110" s="50"/>
      <c r="D5110" s="23"/>
      <c r="E5110" s="23"/>
      <c r="F5110" s="15"/>
      <c r="G5110" s="23"/>
      <c r="H5110" s="15"/>
      <c r="I5110" s="15"/>
      <c r="J5110" s="51"/>
      <c r="K5110" s="15"/>
      <c r="L5110" s="51"/>
      <c r="M5110" s="15"/>
      <c r="N5110" s="23"/>
      <c r="O5110" s="23"/>
      <c r="P5110" s="15" t="str">
        <f t="shared" si="6"/>
        <v/>
      </c>
      <c r="Q5110" s="24"/>
      <c r="R5110" s="25"/>
      <c r="S5110" s="25"/>
      <c r="T5110" s="26"/>
      <c r="U5110" s="26"/>
      <c r="V5110" s="25"/>
      <c r="W5110" s="25"/>
      <c r="X5110" s="25"/>
      <c r="Y5110" s="25"/>
      <c r="Z5110" s="25"/>
    </row>
    <row r="5111" spans="1:26" ht="15.75" customHeight="1" x14ac:dyDescent="0.25">
      <c r="A5111" s="25"/>
      <c r="B5111" s="49"/>
      <c r="C5111" s="50"/>
      <c r="D5111" s="23"/>
      <c r="E5111" s="23"/>
      <c r="F5111" s="15"/>
      <c r="G5111" s="23"/>
      <c r="H5111" s="15"/>
      <c r="I5111" s="15"/>
      <c r="J5111" s="51"/>
      <c r="K5111" s="15"/>
      <c r="L5111" s="51"/>
      <c r="M5111" s="15"/>
      <c r="N5111" s="23"/>
      <c r="O5111" s="23"/>
      <c r="P5111" s="15" t="str">
        <f t="shared" si="6"/>
        <v/>
      </c>
      <c r="Q5111" s="24"/>
      <c r="R5111" s="25"/>
      <c r="S5111" s="25"/>
      <c r="T5111" s="26"/>
      <c r="U5111" s="26"/>
      <c r="V5111" s="25"/>
      <c r="W5111" s="25"/>
      <c r="X5111" s="25"/>
      <c r="Y5111" s="25"/>
      <c r="Z5111" s="25"/>
    </row>
    <row r="5112" spans="1:26" ht="15.75" customHeight="1" x14ac:dyDescent="0.25">
      <c r="A5112" s="25"/>
      <c r="B5112" s="49"/>
      <c r="C5112" s="50"/>
      <c r="D5112" s="23"/>
      <c r="E5112" s="23"/>
      <c r="F5112" s="15"/>
      <c r="G5112" s="23"/>
      <c r="H5112" s="15"/>
      <c r="I5112" s="15"/>
      <c r="J5112" s="51"/>
      <c r="K5112" s="15"/>
      <c r="L5112" s="51"/>
      <c r="M5112" s="15"/>
      <c r="N5112" s="23"/>
      <c r="O5112" s="23"/>
      <c r="P5112" s="15" t="str">
        <f t="shared" si="6"/>
        <v/>
      </c>
      <c r="Q5112" s="24"/>
      <c r="R5112" s="25"/>
      <c r="S5112" s="25"/>
      <c r="T5112" s="26"/>
      <c r="U5112" s="26"/>
      <c r="V5112" s="25"/>
      <c r="W5112" s="25"/>
      <c r="X5112" s="25"/>
      <c r="Y5112" s="25"/>
      <c r="Z5112" s="25"/>
    </row>
    <row r="5113" spans="1:26" ht="15.75" customHeight="1" x14ac:dyDescent="0.25">
      <c r="A5113" s="25"/>
      <c r="B5113" s="49"/>
      <c r="C5113" s="50"/>
      <c r="D5113" s="23"/>
      <c r="E5113" s="23"/>
      <c r="F5113" s="15"/>
      <c r="G5113" s="23"/>
      <c r="H5113" s="15"/>
      <c r="I5113" s="15"/>
      <c r="J5113" s="51"/>
      <c r="K5113" s="15"/>
      <c r="L5113" s="51"/>
      <c r="M5113" s="15"/>
      <c r="N5113" s="23"/>
      <c r="O5113" s="23"/>
      <c r="P5113" s="15" t="str">
        <f t="shared" si="6"/>
        <v/>
      </c>
      <c r="Q5113" s="24"/>
      <c r="R5113" s="25"/>
      <c r="S5113" s="25"/>
      <c r="T5113" s="26"/>
      <c r="U5113" s="26"/>
      <c r="V5113" s="25"/>
      <c r="W5113" s="25"/>
      <c r="X5113" s="25"/>
      <c r="Y5113" s="25"/>
      <c r="Z5113" s="25"/>
    </row>
    <row r="5114" spans="1:26" ht="15.75" customHeight="1" x14ac:dyDescent="0.25">
      <c r="A5114" s="25"/>
      <c r="B5114" s="49"/>
      <c r="C5114" s="50"/>
      <c r="D5114" s="23"/>
      <c r="E5114" s="23"/>
      <c r="F5114" s="15"/>
      <c r="G5114" s="23"/>
      <c r="H5114" s="15"/>
      <c r="I5114" s="15"/>
      <c r="J5114" s="51"/>
      <c r="K5114" s="15"/>
      <c r="L5114" s="51"/>
      <c r="M5114" s="15"/>
      <c r="N5114" s="23"/>
      <c r="O5114" s="23"/>
      <c r="P5114" s="15" t="str">
        <f t="shared" si="6"/>
        <v/>
      </c>
      <c r="Q5114" s="24"/>
      <c r="R5114" s="25"/>
      <c r="S5114" s="25"/>
      <c r="T5114" s="26"/>
      <c r="U5114" s="26"/>
      <c r="V5114" s="25"/>
      <c r="W5114" s="25"/>
      <c r="X5114" s="25"/>
      <c r="Y5114" s="25"/>
      <c r="Z5114" s="25"/>
    </row>
    <row r="5115" spans="1:26" ht="15.75" customHeight="1" x14ac:dyDescent="0.25">
      <c r="A5115" s="25"/>
      <c r="B5115" s="49"/>
      <c r="C5115" s="50"/>
      <c r="D5115" s="23"/>
      <c r="E5115" s="23"/>
      <c r="F5115" s="15"/>
      <c r="G5115" s="23"/>
      <c r="H5115" s="15"/>
      <c r="I5115" s="15"/>
      <c r="J5115" s="51"/>
      <c r="K5115" s="15"/>
      <c r="L5115" s="51"/>
      <c r="M5115" s="15"/>
      <c r="N5115" s="23"/>
      <c r="O5115" s="23"/>
      <c r="P5115" s="15" t="str">
        <f t="shared" si="6"/>
        <v/>
      </c>
      <c r="Q5115" s="24"/>
      <c r="R5115" s="25"/>
      <c r="S5115" s="25"/>
      <c r="T5115" s="26"/>
      <c r="U5115" s="26"/>
      <c r="V5115" s="25"/>
      <c r="W5115" s="25"/>
      <c r="X5115" s="25"/>
      <c r="Y5115" s="25"/>
      <c r="Z5115" s="25"/>
    </row>
    <row r="5116" spans="1:26" ht="15.75" customHeight="1" x14ac:dyDescent="0.25">
      <c r="A5116" s="25"/>
      <c r="B5116" s="49"/>
      <c r="C5116" s="50"/>
      <c r="D5116" s="23"/>
      <c r="E5116" s="23"/>
      <c r="F5116" s="15"/>
      <c r="G5116" s="23"/>
      <c r="H5116" s="15"/>
      <c r="I5116" s="15"/>
      <c r="J5116" s="51"/>
      <c r="K5116" s="15"/>
      <c r="L5116" s="51"/>
      <c r="M5116" s="15"/>
      <c r="N5116" s="23"/>
      <c r="O5116" s="23"/>
      <c r="P5116" s="15" t="str">
        <f t="shared" si="6"/>
        <v/>
      </c>
      <c r="Q5116" s="24"/>
      <c r="R5116" s="25"/>
      <c r="S5116" s="25"/>
      <c r="T5116" s="26"/>
      <c r="U5116" s="26"/>
      <c r="V5116" s="25"/>
      <c r="W5116" s="25"/>
      <c r="X5116" s="25"/>
      <c r="Y5116" s="25"/>
      <c r="Z5116" s="25"/>
    </row>
    <row r="5117" spans="1:26" ht="15.75" customHeight="1" x14ac:dyDescent="0.25">
      <c r="A5117" s="25"/>
      <c r="B5117" s="49"/>
      <c r="C5117" s="50"/>
      <c r="D5117" s="23"/>
      <c r="E5117" s="23"/>
      <c r="F5117" s="15"/>
      <c r="G5117" s="23"/>
      <c r="H5117" s="15"/>
      <c r="I5117" s="15"/>
      <c r="J5117" s="51"/>
      <c r="K5117" s="15"/>
      <c r="L5117" s="51"/>
      <c r="M5117" s="15"/>
      <c r="N5117" s="23"/>
      <c r="O5117" s="23"/>
      <c r="P5117" s="15" t="str">
        <f t="shared" si="6"/>
        <v/>
      </c>
      <c r="Q5117" s="24"/>
      <c r="R5117" s="25"/>
      <c r="S5117" s="25"/>
      <c r="T5117" s="26"/>
      <c r="U5117" s="26"/>
      <c r="V5117" s="25"/>
      <c r="W5117" s="25"/>
      <c r="X5117" s="25"/>
      <c r="Y5117" s="25"/>
      <c r="Z5117" s="25"/>
    </row>
    <row r="5118" spans="1:26" ht="15.75" customHeight="1" x14ac:dyDescent="0.25">
      <c r="A5118" s="25"/>
      <c r="B5118" s="49"/>
      <c r="C5118" s="50"/>
      <c r="D5118" s="23"/>
      <c r="E5118" s="23"/>
      <c r="F5118" s="15"/>
      <c r="G5118" s="23"/>
      <c r="H5118" s="15"/>
      <c r="I5118" s="15"/>
      <c r="J5118" s="51"/>
      <c r="K5118" s="15"/>
      <c r="L5118" s="51"/>
      <c r="M5118" s="15"/>
      <c r="N5118" s="23"/>
      <c r="O5118" s="23"/>
      <c r="P5118" s="15" t="str">
        <f t="shared" si="6"/>
        <v/>
      </c>
      <c r="Q5118" s="24"/>
      <c r="R5118" s="25"/>
      <c r="S5118" s="25"/>
      <c r="T5118" s="26"/>
      <c r="U5118" s="26"/>
      <c r="V5118" s="25"/>
      <c r="W5118" s="25"/>
      <c r="X5118" s="25"/>
      <c r="Y5118" s="25"/>
      <c r="Z5118" s="25"/>
    </row>
    <row r="5119" spans="1:26" ht="15.75" customHeight="1" x14ac:dyDescent="0.25">
      <c r="A5119" s="25"/>
      <c r="B5119" s="49"/>
      <c r="C5119" s="50"/>
      <c r="D5119" s="23"/>
      <c r="E5119" s="23"/>
      <c r="F5119" s="15"/>
      <c r="G5119" s="23"/>
      <c r="H5119" s="15"/>
      <c r="I5119" s="15"/>
      <c r="J5119" s="51"/>
      <c r="K5119" s="15"/>
      <c r="L5119" s="51"/>
      <c r="M5119" s="15"/>
      <c r="N5119" s="23"/>
      <c r="O5119" s="23"/>
      <c r="P5119" s="15" t="str">
        <f t="shared" si="6"/>
        <v/>
      </c>
      <c r="Q5119" s="24"/>
      <c r="R5119" s="25"/>
      <c r="S5119" s="25"/>
      <c r="T5119" s="26"/>
      <c r="U5119" s="26"/>
      <c r="V5119" s="25"/>
      <c r="W5119" s="25"/>
      <c r="X5119" s="25"/>
      <c r="Y5119" s="25"/>
      <c r="Z5119" s="25"/>
    </row>
    <row r="5120" spans="1:26" ht="15.75" customHeight="1" x14ac:dyDescent="0.25">
      <c r="A5120" s="25"/>
      <c r="B5120" s="49"/>
      <c r="C5120" s="50"/>
      <c r="D5120" s="23"/>
      <c r="E5120" s="23"/>
      <c r="F5120" s="15"/>
      <c r="G5120" s="23"/>
      <c r="H5120" s="15"/>
      <c r="I5120" s="15"/>
      <c r="J5120" s="51"/>
      <c r="K5120" s="15"/>
      <c r="L5120" s="51"/>
      <c r="M5120" s="15"/>
      <c r="N5120" s="23"/>
      <c r="O5120" s="23"/>
      <c r="P5120" s="15" t="str">
        <f t="shared" si="6"/>
        <v/>
      </c>
      <c r="Q5120" s="24"/>
      <c r="R5120" s="25"/>
      <c r="S5120" s="25"/>
      <c r="T5120" s="26"/>
      <c r="U5120" s="26"/>
      <c r="V5120" s="25"/>
      <c r="W5120" s="25"/>
      <c r="X5120" s="25"/>
      <c r="Y5120" s="25"/>
      <c r="Z5120" s="25"/>
    </row>
    <row r="5121" spans="1:26" ht="15.75" customHeight="1" x14ac:dyDescent="0.25">
      <c r="A5121" s="25"/>
      <c r="B5121" s="49"/>
      <c r="C5121" s="50"/>
      <c r="D5121" s="23"/>
      <c r="E5121" s="23"/>
      <c r="F5121" s="15"/>
      <c r="G5121" s="23"/>
      <c r="H5121" s="15"/>
      <c r="I5121" s="15"/>
      <c r="J5121" s="51"/>
      <c r="K5121" s="15"/>
      <c r="L5121" s="51"/>
      <c r="M5121" s="15"/>
      <c r="N5121" s="23"/>
      <c r="O5121" s="23"/>
      <c r="P5121" s="15" t="str">
        <f t="shared" si="6"/>
        <v/>
      </c>
      <c r="Q5121" s="24"/>
      <c r="R5121" s="25"/>
      <c r="S5121" s="25"/>
      <c r="T5121" s="26"/>
      <c r="U5121" s="26"/>
      <c r="V5121" s="25"/>
      <c r="W5121" s="25"/>
      <c r="X5121" s="25"/>
      <c r="Y5121" s="25"/>
      <c r="Z5121" s="25"/>
    </row>
    <row r="5122" spans="1:26" ht="15.75" customHeight="1" x14ac:dyDescent="0.25">
      <c r="A5122" s="25"/>
      <c r="B5122" s="49"/>
      <c r="C5122" s="50"/>
      <c r="D5122" s="23"/>
      <c r="E5122" s="23"/>
      <c r="F5122" s="15"/>
      <c r="G5122" s="23"/>
      <c r="H5122" s="15"/>
      <c r="I5122" s="15"/>
      <c r="J5122" s="51"/>
      <c r="K5122" s="15"/>
      <c r="L5122" s="51"/>
      <c r="M5122" s="15"/>
      <c r="N5122" s="23"/>
      <c r="O5122" s="23"/>
      <c r="P5122" s="15" t="str">
        <f t="shared" si="6"/>
        <v/>
      </c>
      <c r="Q5122" s="24"/>
      <c r="R5122" s="25"/>
      <c r="S5122" s="25"/>
      <c r="T5122" s="26"/>
      <c r="U5122" s="26"/>
      <c r="V5122" s="25"/>
      <c r="W5122" s="25"/>
      <c r="X5122" s="25"/>
      <c r="Y5122" s="25"/>
      <c r="Z5122" s="25"/>
    </row>
    <row r="5123" spans="1:26" ht="15.75" customHeight="1" x14ac:dyDescent="0.25">
      <c r="A5123" s="25"/>
      <c r="B5123" s="49"/>
      <c r="C5123" s="50"/>
      <c r="D5123" s="23"/>
      <c r="E5123" s="23"/>
      <c r="F5123" s="15"/>
      <c r="G5123" s="23"/>
      <c r="H5123" s="15"/>
      <c r="I5123" s="15"/>
      <c r="J5123" s="51"/>
      <c r="K5123" s="15"/>
      <c r="L5123" s="51"/>
      <c r="M5123" s="15"/>
      <c r="N5123" s="23"/>
      <c r="O5123" s="23"/>
      <c r="P5123" s="15" t="str">
        <f t="shared" si="6"/>
        <v/>
      </c>
      <c r="Q5123" s="24"/>
      <c r="R5123" s="25"/>
      <c r="S5123" s="25"/>
      <c r="T5123" s="26"/>
      <c r="U5123" s="26"/>
      <c r="V5123" s="25"/>
      <c r="W5123" s="25"/>
      <c r="X5123" s="25"/>
      <c r="Y5123" s="25"/>
      <c r="Z5123" s="25"/>
    </row>
    <row r="5124" spans="1:26" ht="15.75" customHeight="1" x14ac:dyDescent="0.25">
      <c r="A5124" s="25"/>
      <c r="B5124" s="49"/>
      <c r="C5124" s="50"/>
      <c r="D5124" s="23"/>
      <c r="E5124" s="23"/>
      <c r="F5124" s="15"/>
      <c r="G5124" s="23"/>
      <c r="H5124" s="15"/>
      <c r="I5124" s="15"/>
      <c r="J5124" s="51"/>
      <c r="K5124" s="15"/>
      <c r="L5124" s="51"/>
      <c r="M5124" s="15"/>
      <c r="N5124" s="23"/>
      <c r="O5124" s="23"/>
      <c r="P5124" s="15" t="str">
        <f t="shared" si="6"/>
        <v/>
      </c>
      <c r="Q5124" s="24"/>
      <c r="R5124" s="25"/>
      <c r="S5124" s="25"/>
      <c r="T5124" s="26"/>
      <c r="U5124" s="26"/>
      <c r="V5124" s="25"/>
      <c r="W5124" s="25"/>
      <c r="X5124" s="25"/>
      <c r="Y5124" s="25"/>
      <c r="Z5124" s="25"/>
    </row>
    <row r="5125" spans="1:26" ht="15.75" customHeight="1" x14ac:dyDescent="0.25">
      <c r="A5125" s="25"/>
      <c r="B5125" s="49"/>
      <c r="C5125" s="50"/>
      <c r="D5125" s="23"/>
      <c r="E5125" s="23"/>
      <c r="F5125" s="15"/>
      <c r="G5125" s="23"/>
      <c r="H5125" s="15"/>
      <c r="I5125" s="15"/>
      <c r="J5125" s="51"/>
      <c r="K5125" s="15"/>
      <c r="L5125" s="51"/>
      <c r="M5125" s="15"/>
      <c r="N5125" s="23"/>
      <c r="O5125" s="23"/>
      <c r="P5125" s="15" t="str">
        <f t="shared" si="6"/>
        <v/>
      </c>
      <c r="Q5125" s="24"/>
      <c r="R5125" s="25"/>
      <c r="S5125" s="25"/>
      <c r="T5125" s="26"/>
      <c r="U5125" s="26"/>
      <c r="V5125" s="25"/>
      <c r="W5125" s="25"/>
      <c r="X5125" s="25"/>
      <c r="Y5125" s="25"/>
      <c r="Z5125" s="25"/>
    </row>
    <row r="5126" spans="1:26" ht="15.75" customHeight="1" x14ac:dyDescent="0.25">
      <c r="A5126" s="25"/>
      <c r="B5126" s="49"/>
      <c r="C5126" s="50"/>
      <c r="D5126" s="23"/>
      <c r="E5126" s="23"/>
      <c r="F5126" s="15"/>
      <c r="G5126" s="23"/>
      <c r="H5126" s="15"/>
      <c r="I5126" s="15"/>
      <c r="J5126" s="51"/>
      <c r="K5126" s="15"/>
      <c r="L5126" s="51"/>
      <c r="M5126" s="15"/>
      <c r="N5126" s="23"/>
      <c r="O5126" s="23"/>
      <c r="P5126" s="15" t="str">
        <f t="shared" si="6"/>
        <v/>
      </c>
      <c r="Q5126" s="24"/>
      <c r="R5126" s="25"/>
      <c r="S5126" s="25"/>
      <c r="T5126" s="26"/>
      <c r="U5126" s="26"/>
      <c r="V5126" s="25"/>
      <c r="W5126" s="25"/>
      <c r="X5126" s="25"/>
      <c r="Y5126" s="25"/>
      <c r="Z5126" s="25"/>
    </row>
    <row r="5127" spans="1:26" ht="15.75" customHeight="1" x14ac:dyDescent="0.25">
      <c r="A5127" s="25"/>
      <c r="B5127" s="49"/>
      <c r="C5127" s="50"/>
      <c r="D5127" s="23"/>
      <c r="E5127" s="23"/>
      <c r="F5127" s="15"/>
      <c r="G5127" s="23"/>
      <c r="H5127" s="15"/>
      <c r="I5127" s="15"/>
      <c r="J5127" s="51"/>
      <c r="K5127" s="15"/>
      <c r="L5127" s="51"/>
      <c r="M5127" s="15"/>
      <c r="N5127" s="23"/>
      <c r="O5127" s="23"/>
      <c r="P5127" s="15" t="str">
        <f t="shared" si="6"/>
        <v/>
      </c>
      <c r="Q5127" s="24"/>
      <c r="R5127" s="25"/>
      <c r="S5127" s="25"/>
      <c r="T5127" s="26"/>
      <c r="U5127" s="26"/>
      <c r="V5127" s="25"/>
      <c r="W5127" s="25"/>
      <c r="X5127" s="25"/>
      <c r="Y5127" s="25"/>
      <c r="Z5127" s="25"/>
    </row>
    <row r="5128" spans="1:26" ht="15.75" customHeight="1" x14ac:dyDescent="0.25">
      <c r="A5128" s="25"/>
      <c r="B5128" s="49"/>
      <c r="C5128" s="50"/>
      <c r="D5128" s="23"/>
      <c r="E5128" s="23"/>
      <c r="F5128" s="15"/>
      <c r="G5128" s="23"/>
      <c r="H5128" s="15"/>
      <c r="I5128" s="15"/>
      <c r="J5128" s="51"/>
      <c r="K5128" s="15"/>
      <c r="L5128" s="51"/>
      <c r="M5128" s="15"/>
      <c r="N5128" s="23"/>
      <c r="O5128" s="23"/>
      <c r="P5128" s="15" t="str">
        <f t="shared" si="6"/>
        <v/>
      </c>
      <c r="Q5128" s="24"/>
      <c r="R5128" s="25"/>
      <c r="S5128" s="25"/>
      <c r="T5128" s="26"/>
      <c r="U5128" s="26"/>
      <c r="V5128" s="25"/>
      <c r="W5128" s="25"/>
      <c r="X5128" s="25"/>
      <c r="Y5128" s="25"/>
      <c r="Z5128" s="25"/>
    </row>
    <row r="5129" spans="1:26" ht="15.75" customHeight="1" x14ac:dyDescent="0.25">
      <c r="A5129" s="25"/>
      <c r="B5129" s="49"/>
      <c r="C5129" s="50"/>
      <c r="D5129" s="23"/>
      <c r="E5129" s="23"/>
      <c r="F5129" s="15"/>
      <c r="G5129" s="23"/>
      <c r="H5129" s="15"/>
      <c r="I5129" s="15"/>
      <c r="J5129" s="51"/>
      <c r="K5129" s="15"/>
      <c r="L5129" s="51"/>
      <c r="M5129" s="15"/>
      <c r="N5129" s="23"/>
      <c r="O5129" s="23"/>
      <c r="P5129" s="15" t="str">
        <f t="shared" si="6"/>
        <v/>
      </c>
      <c r="Q5129" s="24"/>
      <c r="R5129" s="25"/>
      <c r="S5129" s="25"/>
      <c r="T5129" s="26"/>
      <c r="U5129" s="26"/>
      <c r="V5129" s="25"/>
      <c r="W5129" s="25"/>
      <c r="X5129" s="25"/>
      <c r="Y5129" s="25"/>
      <c r="Z5129" s="25"/>
    </row>
    <row r="5130" spans="1:26" ht="15.75" customHeight="1" x14ac:dyDescent="0.25">
      <c r="A5130" s="25"/>
      <c r="B5130" s="49"/>
      <c r="C5130" s="50"/>
      <c r="D5130" s="23"/>
      <c r="E5130" s="23"/>
      <c r="F5130" s="15"/>
      <c r="G5130" s="23"/>
      <c r="H5130" s="15"/>
      <c r="I5130" s="15"/>
      <c r="J5130" s="51"/>
      <c r="K5130" s="15"/>
      <c r="L5130" s="51"/>
      <c r="M5130" s="15"/>
      <c r="N5130" s="23"/>
      <c r="O5130" s="23"/>
      <c r="P5130" s="15" t="str">
        <f t="shared" si="6"/>
        <v/>
      </c>
      <c r="Q5130" s="24"/>
      <c r="R5130" s="25"/>
      <c r="S5130" s="25"/>
      <c r="T5130" s="26"/>
      <c r="U5130" s="26"/>
      <c r="V5130" s="25"/>
      <c r="W5130" s="25"/>
      <c r="X5130" s="25"/>
      <c r="Y5130" s="25"/>
      <c r="Z5130" s="25"/>
    </row>
    <row r="5131" spans="1:26" ht="15.75" customHeight="1" x14ac:dyDescent="0.25">
      <c r="A5131" s="25"/>
      <c r="B5131" s="49"/>
      <c r="C5131" s="50"/>
      <c r="D5131" s="23"/>
      <c r="E5131" s="23"/>
      <c r="F5131" s="15"/>
      <c r="G5131" s="23"/>
      <c r="H5131" s="15"/>
      <c r="I5131" s="15"/>
      <c r="J5131" s="51"/>
      <c r="K5131" s="15"/>
      <c r="L5131" s="51"/>
      <c r="M5131" s="15"/>
      <c r="N5131" s="23"/>
      <c r="O5131" s="23"/>
      <c r="P5131" s="15" t="str">
        <f t="shared" si="6"/>
        <v/>
      </c>
      <c r="Q5131" s="24"/>
      <c r="R5131" s="25"/>
      <c r="S5131" s="25"/>
      <c r="T5131" s="26"/>
      <c r="U5131" s="26"/>
      <c r="V5131" s="25"/>
      <c r="W5131" s="25"/>
      <c r="X5131" s="25"/>
      <c r="Y5131" s="25"/>
      <c r="Z5131" s="25"/>
    </row>
    <row r="5132" spans="1:26" ht="15.75" customHeight="1" x14ac:dyDescent="0.25">
      <c r="A5132" s="25"/>
      <c r="B5132" s="49"/>
      <c r="C5132" s="50"/>
      <c r="D5132" s="23"/>
      <c r="E5132" s="23"/>
      <c r="F5132" s="15"/>
      <c r="G5132" s="23"/>
      <c r="H5132" s="15"/>
      <c r="I5132" s="15"/>
      <c r="J5132" s="51"/>
      <c r="K5132" s="15"/>
      <c r="L5132" s="51"/>
      <c r="M5132" s="15"/>
      <c r="N5132" s="23"/>
      <c r="O5132" s="23"/>
      <c r="P5132" s="15" t="str">
        <f t="shared" si="6"/>
        <v/>
      </c>
      <c r="Q5132" s="24"/>
      <c r="R5132" s="25"/>
      <c r="S5132" s="25"/>
      <c r="T5132" s="26"/>
      <c r="U5132" s="26"/>
      <c r="V5132" s="25"/>
      <c r="W5132" s="25"/>
      <c r="X5132" s="25"/>
      <c r="Y5132" s="25"/>
      <c r="Z5132" s="25"/>
    </row>
    <row r="5133" spans="1:26" ht="15.75" customHeight="1" x14ac:dyDescent="0.25">
      <c r="A5133" s="25"/>
      <c r="B5133" s="49"/>
      <c r="C5133" s="50"/>
      <c r="D5133" s="23"/>
      <c r="E5133" s="23"/>
      <c r="F5133" s="15"/>
      <c r="G5133" s="23"/>
      <c r="H5133" s="15"/>
      <c r="I5133" s="15"/>
      <c r="J5133" s="51"/>
      <c r="K5133" s="15"/>
      <c r="L5133" s="51"/>
      <c r="M5133" s="15"/>
      <c r="N5133" s="23"/>
      <c r="O5133" s="23"/>
      <c r="P5133" s="15" t="str">
        <f t="shared" si="6"/>
        <v/>
      </c>
      <c r="Q5133" s="24"/>
      <c r="R5133" s="25"/>
      <c r="S5133" s="25"/>
      <c r="T5133" s="26"/>
      <c r="U5133" s="26"/>
      <c r="V5133" s="25"/>
      <c r="W5133" s="25"/>
      <c r="X5133" s="25"/>
      <c r="Y5133" s="25"/>
      <c r="Z5133" s="25"/>
    </row>
    <row r="5134" spans="1:26" ht="15.75" customHeight="1" x14ac:dyDescent="0.25">
      <c r="A5134" s="25"/>
      <c r="B5134" s="49"/>
      <c r="C5134" s="50"/>
      <c r="D5134" s="23"/>
      <c r="E5134" s="23"/>
      <c r="F5134" s="15"/>
      <c r="G5134" s="23"/>
      <c r="H5134" s="15"/>
      <c r="I5134" s="15"/>
      <c r="J5134" s="51"/>
      <c r="K5134" s="15"/>
      <c r="L5134" s="51"/>
      <c r="M5134" s="15"/>
      <c r="N5134" s="23"/>
      <c r="O5134" s="23"/>
      <c r="P5134" s="15" t="str">
        <f t="shared" si="6"/>
        <v/>
      </c>
      <c r="Q5134" s="24"/>
      <c r="R5134" s="25"/>
      <c r="S5134" s="25"/>
      <c r="T5134" s="26"/>
      <c r="U5134" s="26"/>
      <c r="V5134" s="25"/>
      <c r="W5134" s="25"/>
      <c r="X5134" s="25"/>
      <c r="Y5134" s="25"/>
      <c r="Z5134" s="25"/>
    </row>
    <row r="5135" spans="1:26" ht="15.75" customHeight="1" x14ac:dyDescent="0.25">
      <c r="A5135" s="25"/>
      <c r="B5135" s="49"/>
      <c r="C5135" s="50"/>
      <c r="D5135" s="23"/>
      <c r="E5135" s="23"/>
      <c r="F5135" s="15"/>
      <c r="G5135" s="23"/>
      <c r="H5135" s="15"/>
      <c r="I5135" s="15"/>
      <c r="J5135" s="51"/>
      <c r="K5135" s="15"/>
      <c r="L5135" s="51"/>
      <c r="M5135" s="15"/>
      <c r="N5135" s="23"/>
      <c r="O5135" s="23"/>
      <c r="P5135" s="15" t="str">
        <f t="shared" si="6"/>
        <v/>
      </c>
      <c r="Q5135" s="24"/>
      <c r="R5135" s="25"/>
      <c r="S5135" s="25"/>
      <c r="T5135" s="26"/>
      <c r="U5135" s="26"/>
      <c r="V5135" s="25"/>
      <c r="W5135" s="25"/>
      <c r="X5135" s="25"/>
      <c r="Y5135" s="25"/>
      <c r="Z5135" s="25"/>
    </row>
    <row r="5136" spans="1:26" ht="15.75" customHeight="1" x14ac:dyDescent="0.25">
      <c r="A5136" s="25"/>
      <c r="B5136" s="49"/>
      <c r="C5136" s="50"/>
      <c r="D5136" s="23"/>
      <c r="E5136" s="23"/>
      <c r="F5136" s="15"/>
      <c r="G5136" s="23"/>
      <c r="H5136" s="15"/>
      <c r="I5136" s="15"/>
      <c r="J5136" s="51"/>
      <c r="K5136" s="15"/>
      <c r="L5136" s="51"/>
      <c r="M5136" s="15"/>
      <c r="N5136" s="23"/>
      <c r="O5136" s="23"/>
      <c r="P5136" s="15" t="str">
        <f t="shared" si="6"/>
        <v/>
      </c>
      <c r="Q5136" s="24"/>
      <c r="R5136" s="25"/>
      <c r="S5136" s="25"/>
      <c r="T5136" s="26"/>
      <c r="U5136" s="26"/>
      <c r="V5136" s="25"/>
      <c r="W5136" s="25"/>
      <c r="X5136" s="25"/>
      <c r="Y5136" s="25"/>
      <c r="Z5136" s="25"/>
    </row>
    <row r="5137" spans="1:26" ht="15.75" customHeight="1" x14ac:dyDescent="0.25">
      <c r="A5137" s="25"/>
      <c r="B5137" s="49"/>
      <c r="C5137" s="50"/>
      <c r="D5137" s="23"/>
      <c r="E5137" s="23"/>
      <c r="F5137" s="15"/>
      <c r="G5137" s="23"/>
      <c r="H5137" s="15"/>
      <c r="I5137" s="15"/>
      <c r="J5137" s="51"/>
      <c r="K5137" s="15"/>
      <c r="L5137" s="51"/>
      <c r="M5137" s="15"/>
      <c r="N5137" s="23"/>
      <c r="O5137" s="23"/>
      <c r="P5137" s="15" t="str">
        <f t="shared" si="6"/>
        <v/>
      </c>
      <c r="Q5137" s="24"/>
      <c r="R5137" s="25"/>
      <c r="S5137" s="25"/>
      <c r="T5137" s="26"/>
      <c r="U5137" s="26"/>
      <c r="V5137" s="25"/>
      <c r="W5137" s="25"/>
      <c r="X5137" s="25"/>
      <c r="Y5137" s="25"/>
      <c r="Z5137" s="25"/>
    </row>
    <row r="5138" spans="1:26" ht="15.75" customHeight="1" x14ac:dyDescent="0.25">
      <c r="A5138" s="25"/>
      <c r="B5138" s="49"/>
      <c r="C5138" s="50"/>
      <c r="D5138" s="23"/>
      <c r="E5138" s="23"/>
      <c r="F5138" s="15"/>
      <c r="G5138" s="23"/>
      <c r="H5138" s="15"/>
      <c r="I5138" s="15"/>
      <c r="J5138" s="51"/>
      <c r="K5138" s="15"/>
      <c r="L5138" s="51"/>
      <c r="M5138" s="15"/>
      <c r="N5138" s="23"/>
      <c r="O5138" s="23"/>
      <c r="P5138" s="15" t="str">
        <f t="shared" si="6"/>
        <v/>
      </c>
      <c r="Q5138" s="24"/>
      <c r="R5138" s="25"/>
      <c r="S5138" s="25"/>
      <c r="T5138" s="26"/>
      <c r="U5138" s="26"/>
      <c r="V5138" s="25"/>
      <c r="W5138" s="25"/>
      <c r="X5138" s="25"/>
      <c r="Y5138" s="25"/>
      <c r="Z5138" s="25"/>
    </row>
    <row r="5139" spans="1:26" ht="15.75" customHeight="1" x14ac:dyDescent="0.25">
      <c r="A5139" s="25"/>
      <c r="B5139" s="49"/>
      <c r="C5139" s="50"/>
      <c r="D5139" s="23"/>
      <c r="E5139" s="23"/>
      <c r="F5139" s="15"/>
      <c r="G5139" s="23"/>
      <c r="H5139" s="15"/>
      <c r="I5139" s="15"/>
      <c r="J5139" s="51"/>
      <c r="K5139" s="15"/>
      <c r="L5139" s="51"/>
      <c r="M5139" s="15"/>
      <c r="N5139" s="23"/>
      <c r="O5139" s="23"/>
      <c r="P5139" s="15" t="str">
        <f t="shared" si="6"/>
        <v/>
      </c>
      <c r="Q5139" s="24"/>
      <c r="R5139" s="25"/>
      <c r="S5139" s="25"/>
      <c r="T5139" s="26"/>
      <c r="U5139" s="26"/>
      <c r="V5139" s="25"/>
      <c r="W5139" s="25"/>
      <c r="X5139" s="25"/>
      <c r="Y5139" s="25"/>
      <c r="Z5139" s="25"/>
    </row>
    <row r="5140" spans="1:26" ht="15.75" customHeight="1" x14ac:dyDescent="0.25">
      <c r="A5140" s="25"/>
      <c r="B5140" s="49"/>
      <c r="C5140" s="50"/>
      <c r="D5140" s="23"/>
      <c r="E5140" s="23"/>
      <c r="F5140" s="15"/>
      <c r="G5140" s="23"/>
      <c r="H5140" s="15"/>
      <c r="I5140" s="15"/>
      <c r="J5140" s="51"/>
      <c r="K5140" s="15"/>
      <c r="L5140" s="51"/>
      <c r="M5140" s="15"/>
      <c r="N5140" s="23"/>
      <c r="O5140" s="23"/>
      <c r="P5140" s="15" t="str">
        <f t="shared" si="6"/>
        <v/>
      </c>
      <c r="Q5140" s="24"/>
      <c r="R5140" s="25"/>
      <c r="S5140" s="25"/>
      <c r="T5140" s="26"/>
      <c r="U5140" s="26"/>
      <c r="V5140" s="25"/>
      <c r="W5140" s="25"/>
      <c r="X5140" s="25"/>
      <c r="Y5140" s="25"/>
      <c r="Z5140" s="25"/>
    </row>
    <row r="5141" spans="1:26" ht="15.75" customHeight="1" x14ac:dyDescent="0.25">
      <c r="A5141" s="25"/>
      <c r="B5141" s="49"/>
      <c r="C5141" s="50"/>
      <c r="D5141" s="23"/>
      <c r="E5141" s="23"/>
      <c r="F5141" s="15"/>
      <c r="G5141" s="23"/>
      <c r="H5141" s="15"/>
      <c r="I5141" s="15"/>
      <c r="J5141" s="51"/>
      <c r="K5141" s="15"/>
      <c r="L5141" s="51"/>
      <c r="M5141" s="15"/>
      <c r="N5141" s="23"/>
      <c r="O5141" s="23"/>
      <c r="P5141" s="15" t="str">
        <f t="shared" si="6"/>
        <v/>
      </c>
      <c r="Q5141" s="24"/>
      <c r="R5141" s="25"/>
      <c r="S5141" s="25"/>
      <c r="T5141" s="26"/>
      <c r="U5141" s="26"/>
      <c r="V5141" s="25"/>
      <c r="W5141" s="25"/>
      <c r="X5141" s="25"/>
      <c r="Y5141" s="25"/>
      <c r="Z5141" s="25"/>
    </row>
    <row r="5142" spans="1:26" ht="15.75" customHeight="1" x14ac:dyDescent="0.25">
      <c r="A5142" s="25"/>
      <c r="B5142" s="49"/>
      <c r="C5142" s="50"/>
      <c r="D5142" s="23"/>
      <c r="E5142" s="23"/>
      <c r="F5142" s="15"/>
      <c r="G5142" s="23"/>
      <c r="H5142" s="15"/>
      <c r="I5142" s="15"/>
      <c r="J5142" s="51"/>
      <c r="K5142" s="15"/>
      <c r="L5142" s="51"/>
      <c r="M5142" s="15"/>
      <c r="N5142" s="23"/>
      <c r="O5142" s="23"/>
      <c r="P5142" s="15" t="str">
        <f t="shared" si="6"/>
        <v/>
      </c>
      <c r="Q5142" s="24"/>
      <c r="R5142" s="25"/>
      <c r="S5142" s="25"/>
      <c r="T5142" s="26"/>
      <c r="U5142" s="26"/>
      <c r="V5142" s="25"/>
      <c r="W5142" s="25"/>
      <c r="X5142" s="25"/>
      <c r="Y5142" s="25"/>
      <c r="Z5142" s="25"/>
    </row>
    <row r="5143" spans="1:26" ht="15.75" customHeight="1" x14ac:dyDescent="0.25">
      <c r="A5143" s="25"/>
      <c r="B5143" s="49"/>
      <c r="C5143" s="50"/>
      <c r="D5143" s="23"/>
      <c r="E5143" s="23"/>
      <c r="F5143" s="15"/>
      <c r="G5143" s="23"/>
      <c r="H5143" s="15"/>
      <c r="I5143" s="15"/>
      <c r="J5143" s="51"/>
      <c r="K5143" s="15"/>
      <c r="L5143" s="51"/>
      <c r="M5143" s="15"/>
      <c r="N5143" s="23"/>
      <c r="O5143" s="23"/>
      <c r="P5143" s="15" t="str">
        <f t="shared" si="6"/>
        <v/>
      </c>
      <c r="Q5143" s="24"/>
      <c r="R5143" s="25"/>
      <c r="S5143" s="25"/>
      <c r="T5143" s="26"/>
      <c r="U5143" s="26"/>
      <c r="V5143" s="25"/>
      <c r="W5143" s="25"/>
      <c r="X5143" s="25"/>
      <c r="Y5143" s="25"/>
      <c r="Z5143" s="25"/>
    </row>
    <row r="5144" spans="1:26" ht="15.75" customHeight="1" x14ac:dyDescent="0.25">
      <c r="A5144" s="25"/>
      <c r="B5144" s="49"/>
      <c r="C5144" s="50"/>
      <c r="D5144" s="23"/>
      <c r="E5144" s="23"/>
      <c r="F5144" s="15"/>
      <c r="G5144" s="23"/>
      <c r="H5144" s="15"/>
      <c r="I5144" s="15"/>
      <c r="J5144" s="51"/>
      <c r="K5144" s="15"/>
      <c r="L5144" s="51"/>
      <c r="M5144" s="15"/>
      <c r="N5144" s="23"/>
      <c r="O5144" s="23"/>
      <c r="P5144" s="15" t="str">
        <f t="shared" si="6"/>
        <v/>
      </c>
      <c r="Q5144" s="24"/>
      <c r="R5144" s="25"/>
      <c r="S5144" s="25"/>
      <c r="T5144" s="26"/>
      <c r="U5144" s="26"/>
      <c r="V5144" s="25"/>
      <c r="W5144" s="25"/>
      <c r="X5144" s="25"/>
      <c r="Y5144" s="25"/>
      <c r="Z5144" s="25"/>
    </row>
    <row r="5145" spans="1:26" ht="15.75" customHeight="1" x14ac:dyDescent="0.25">
      <c r="A5145" s="25"/>
      <c r="B5145" s="49"/>
      <c r="C5145" s="50"/>
      <c r="D5145" s="23"/>
      <c r="E5145" s="23"/>
      <c r="F5145" s="15"/>
      <c r="G5145" s="23"/>
      <c r="H5145" s="15"/>
      <c r="I5145" s="15"/>
      <c r="J5145" s="51"/>
      <c r="K5145" s="15"/>
      <c r="L5145" s="51"/>
      <c r="M5145" s="15"/>
      <c r="N5145" s="23"/>
      <c r="O5145" s="23"/>
      <c r="P5145" s="15" t="str">
        <f t="shared" si="6"/>
        <v/>
      </c>
      <c r="Q5145" s="24"/>
      <c r="R5145" s="25"/>
      <c r="S5145" s="25"/>
      <c r="T5145" s="26"/>
      <c r="U5145" s="26"/>
      <c r="V5145" s="25"/>
      <c r="W5145" s="25"/>
      <c r="X5145" s="25"/>
      <c r="Y5145" s="25"/>
      <c r="Z5145" s="25"/>
    </row>
    <row r="5146" spans="1:26" ht="15.75" customHeight="1" x14ac:dyDescent="0.25">
      <c r="A5146" s="25"/>
      <c r="B5146" s="49"/>
      <c r="C5146" s="50"/>
      <c r="D5146" s="23"/>
      <c r="E5146" s="23"/>
      <c r="F5146" s="15"/>
      <c r="G5146" s="23"/>
      <c r="H5146" s="15"/>
      <c r="I5146" s="15"/>
      <c r="J5146" s="51"/>
      <c r="K5146" s="15"/>
      <c r="L5146" s="51"/>
      <c r="M5146" s="15"/>
      <c r="N5146" s="23"/>
      <c r="O5146" s="23"/>
      <c r="P5146" s="15" t="str">
        <f t="shared" si="6"/>
        <v/>
      </c>
      <c r="Q5146" s="24"/>
      <c r="R5146" s="25"/>
      <c r="S5146" s="25"/>
      <c r="T5146" s="26"/>
      <c r="U5146" s="26"/>
      <c r="V5146" s="25"/>
      <c r="W5146" s="25"/>
      <c r="X5146" s="25"/>
      <c r="Y5146" s="25"/>
      <c r="Z5146" s="25"/>
    </row>
    <row r="5147" spans="1:26" ht="15.75" customHeight="1" x14ac:dyDescent="0.25">
      <c r="A5147" s="25"/>
      <c r="B5147" s="49"/>
      <c r="C5147" s="50"/>
      <c r="D5147" s="23"/>
      <c r="E5147" s="23"/>
      <c r="F5147" s="15"/>
      <c r="G5147" s="23"/>
      <c r="H5147" s="15"/>
      <c r="I5147" s="15"/>
      <c r="J5147" s="51"/>
      <c r="K5147" s="15"/>
      <c r="L5147" s="51"/>
      <c r="M5147" s="15"/>
      <c r="N5147" s="23"/>
      <c r="O5147" s="23"/>
      <c r="P5147" s="15" t="str">
        <f t="shared" si="6"/>
        <v/>
      </c>
      <c r="Q5147" s="24"/>
      <c r="R5147" s="25"/>
      <c r="S5147" s="25"/>
      <c r="T5147" s="26"/>
      <c r="U5147" s="26"/>
      <c r="V5147" s="25"/>
      <c r="W5147" s="25"/>
      <c r="X5147" s="25"/>
      <c r="Y5147" s="25"/>
      <c r="Z5147" s="25"/>
    </row>
    <row r="5148" spans="1:26" ht="15.75" customHeight="1" x14ac:dyDescent="0.25">
      <c r="A5148" s="25"/>
      <c r="B5148" s="49"/>
      <c r="C5148" s="50"/>
      <c r="D5148" s="23"/>
      <c r="E5148" s="23"/>
      <c r="F5148" s="15"/>
      <c r="G5148" s="23"/>
      <c r="H5148" s="15"/>
      <c r="I5148" s="15"/>
      <c r="J5148" s="51"/>
      <c r="K5148" s="15"/>
      <c r="L5148" s="51"/>
      <c r="M5148" s="15"/>
      <c r="N5148" s="23"/>
      <c r="O5148" s="23"/>
      <c r="P5148" s="15" t="str">
        <f t="shared" si="6"/>
        <v/>
      </c>
      <c r="Q5148" s="24"/>
      <c r="R5148" s="25"/>
      <c r="S5148" s="25"/>
      <c r="T5148" s="26"/>
      <c r="U5148" s="26"/>
      <c r="V5148" s="25"/>
      <c r="W5148" s="25"/>
      <c r="X5148" s="25"/>
      <c r="Y5148" s="25"/>
      <c r="Z5148" s="25"/>
    </row>
    <row r="5149" spans="1:26" ht="15.75" customHeight="1" x14ac:dyDescent="0.25">
      <c r="A5149" s="25"/>
      <c r="B5149" s="49"/>
      <c r="C5149" s="50"/>
      <c r="D5149" s="23"/>
      <c r="E5149" s="23"/>
      <c r="F5149" s="15"/>
      <c r="G5149" s="23"/>
      <c r="H5149" s="15"/>
      <c r="I5149" s="15"/>
      <c r="J5149" s="51"/>
      <c r="K5149" s="15"/>
      <c r="L5149" s="51"/>
      <c r="M5149" s="15"/>
      <c r="N5149" s="23"/>
      <c r="O5149" s="23"/>
      <c r="P5149" s="15" t="str">
        <f t="shared" si="6"/>
        <v/>
      </c>
      <c r="Q5149" s="24"/>
      <c r="R5149" s="25"/>
      <c r="S5149" s="25"/>
      <c r="T5149" s="26"/>
      <c r="U5149" s="26"/>
      <c r="V5149" s="25"/>
      <c r="W5149" s="25"/>
      <c r="X5149" s="25"/>
      <c r="Y5149" s="25"/>
      <c r="Z5149" s="25"/>
    </row>
    <row r="5150" spans="1:26" ht="15.75" customHeight="1" x14ac:dyDescent="0.25">
      <c r="A5150" s="25"/>
      <c r="B5150" s="49"/>
      <c r="C5150" s="50"/>
      <c r="D5150" s="23"/>
      <c r="E5150" s="23"/>
      <c r="F5150" s="15"/>
      <c r="G5150" s="23"/>
      <c r="H5150" s="15"/>
      <c r="I5150" s="15"/>
      <c r="J5150" s="51"/>
      <c r="K5150" s="15"/>
      <c r="L5150" s="51"/>
      <c r="M5150" s="15"/>
      <c r="N5150" s="23"/>
      <c r="O5150" s="23"/>
      <c r="P5150" s="15" t="str">
        <f t="shared" si="6"/>
        <v/>
      </c>
      <c r="Q5150" s="24"/>
      <c r="R5150" s="25"/>
      <c r="S5150" s="25"/>
      <c r="T5150" s="26"/>
      <c r="U5150" s="26"/>
      <c r="V5150" s="25"/>
      <c r="W5150" s="25"/>
      <c r="X5150" s="25"/>
      <c r="Y5150" s="25"/>
      <c r="Z5150" s="25"/>
    </row>
    <row r="5151" spans="1:26" ht="15.75" customHeight="1" x14ac:dyDescent="0.25">
      <c r="A5151" s="25"/>
      <c r="B5151" s="49"/>
      <c r="C5151" s="50"/>
      <c r="D5151" s="23"/>
      <c r="E5151" s="23"/>
      <c r="F5151" s="15"/>
      <c r="G5151" s="23"/>
      <c r="H5151" s="15"/>
      <c r="I5151" s="15"/>
      <c r="J5151" s="51"/>
      <c r="K5151" s="15"/>
      <c r="L5151" s="51"/>
      <c r="M5151" s="15"/>
      <c r="N5151" s="23"/>
      <c r="O5151" s="23"/>
      <c r="P5151" s="15" t="str">
        <f t="shared" si="6"/>
        <v/>
      </c>
      <c r="Q5151" s="24"/>
      <c r="R5151" s="25"/>
      <c r="S5151" s="25"/>
      <c r="T5151" s="26"/>
      <c r="U5151" s="26"/>
      <c r="V5151" s="25"/>
      <c r="W5151" s="25"/>
      <c r="X5151" s="25"/>
      <c r="Y5151" s="25"/>
      <c r="Z5151" s="25"/>
    </row>
    <row r="5152" spans="1:26" ht="15.75" customHeight="1" x14ac:dyDescent="0.25">
      <c r="A5152" s="25"/>
      <c r="B5152" s="49"/>
      <c r="C5152" s="50"/>
      <c r="D5152" s="23"/>
      <c r="E5152" s="23"/>
      <c r="F5152" s="15"/>
      <c r="G5152" s="23"/>
      <c r="H5152" s="15"/>
      <c r="I5152" s="15"/>
      <c r="J5152" s="51"/>
      <c r="K5152" s="15"/>
      <c r="L5152" s="51"/>
      <c r="M5152" s="15"/>
      <c r="N5152" s="23"/>
      <c r="O5152" s="23"/>
      <c r="P5152" s="15" t="str">
        <f t="shared" si="6"/>
        <v/>
      </c>
      <c r="Q5152" s="24"/>
      <c r="R5152" s="25"/>
      <c r="S5152" s="25"/>
      <c r="T5152" s="26"/>
      <c r="U5152" s="26"/>
      <c r="V5152" s="25"/>
      <c r="W5152" s="25"/>
      <c r="X5152" s="25"/>
      <c r="Y5152" s="25"/>
      <c r="Z5152" s="25"/>
    </row>
    <row r="5153" spans="1:26" ht="15.75" customHeight="1" x14ac:dyDescent="0.25">
      <c r="A5153" s="25"/>
      <c r="B5153" s="49"/>
      <c r="C5153" s="50"/>
      <c r="D5153" s="23"/>
      <c r="E5153" s="23"/>
      <c r="F5153" s="15"/>
      <c r="G5153" s="23"/>
      <c r="H5153" s="15"/>
      <c r="I5153" s="15"/>
      <c r="J5153" s="51"/>
      <c r="K5153" s="15"/>
      <c r="L5153" s="51"/>
      <c r="M5153" s="15"/>
      <c r="N5153" s="23"/>
      <c r="O5153" s="23"/>
      <c r="P5153" s="15" t="str">
        <f t="shared" si="6"/>
        <v/>
      </c>
      <c r="Q5153" s="24"/>
      <c r="R5153" s="25"/>
      <c r="S5153" s="25"/>
      <c r="T5153" s="26"/>
      <c r="U5153" s="26"/>
      <c r="V5153" s="25"/>
      <c r="W5153" s="25"/>
      <c r="X5153" s="25"/>
      <c r="Y5153" s="25"/>
      <c r="Z5153" s="25"/>
    </row>
    <row r="5154" spans="1:26" ht="15.75" customHeight="1" x14ac:dyDescent="0.25">
      <c r="A5154" s="25"/>
      <c r="B5154" s="49"/>
      <c r="C5154" s="50"/>
      <c r="D5154" s="23"/>
      <c r="E5154" s="23"/>
      <c r="F5154" s="15"/>
      <c r="G5154" s="23"/>
      <c r="H5154" s="15"/>
      <c r="I5154" s="15"/>
      <c r="J5154" s="51"/>
      <c r="K5154" s="15"/>
      <c r="L5154" s="51"/>
      <c r="M5154" s="15"/>
      <c r="N5154" s="23"/>
      <c r="O5154" s="23"/>
      <c r="P5154" s="15" t="str">
        <f t="shared" si="6"/>
        <v/>
      </c>
      <c r="Q5154" s="24"/>
      <c r="R5154" s="25"/>
      <c r="S5154" s="25"/>
      <c r="T5154" s="26"/>
      <c r="U5154" s="26"/>
      <c r="V5154" s="25"/>
      <c r="W5154" s="25"/>
      <c r="X5154" s="25"/>
      <c r="Y5154" s="25"/>
      <c r="Z5154" s="25"/>
    </row>
    <row r="5155" spans="1:26" ht="15.75" customHeight="1" x14ac:dyDescent="0.25">
      <c r="A5155" s="25"/>
      <c r="B5155" s="49"/>
      <c r="C5155" s="50"/>
      <c r="D5155" s="23"/>
      <c r="E5155" s="23"/>
      <c r="F5155" s="15"/>
      <c r="G5155" s="23"/>
      <c r="H5155" s="15"/>
      <c r="I5155" s="15"/>
      <c r="J5155" s="51"/>
      <c r="K5155" s="15"/>
      <c r="L5155" s="51"/>
      <c r="M5155" s="15"/>
      <c r="N5155" s="23"/>
      <c r="O5155" s="23"/>
      <c r="P5155" s="15" t="str">
        <f t="shared" si="6"/>
        <v/>
      </c>
      <c r="Q5155" s="24"/>
      <c r="R5155" s="25"/>
      <c r="S5155" s="25"/>
      <c r="T5155" s="26"/>
      <c r="U5155" s="26"/>
      <c r="V5155" s="25"/>
      <c r="W5155" s="25"/>
      <c r="X5155" s="25"/>
      <c r="Y5155" s="25"/>
      <c r="Z5155" s="25"/>
    </row>
    <row r="5156" spans="1:26" ht="15.75" customHeight="1" x14ac:dyDescent="0.25">
      <c r="A5156" s="25"/>
      <c r="B5156" s="49"/>
      <c r="C5156" s="50"/>
      <c r="D5156" s="23"/>
      <c r="E5156" s="23"/>
      <c r="F5156" s="15"/>
      <c r="G5156" s="23"/>
      <c r="H5156" s="15"/>
      <c r="I5156" s="15"/>
      <c r="J5156" s="51"/>
      <c r="K5156" s="15"/>
      <c r="L5156" s="51"/>
      <c r="M5156" s="15"/>
      <c r="N5156" s="23"/>
      <c r="O5156" s="23"/>
      <c r="P5156" s="15" t="str">
        <f t="shared" si="6"/>
        <v/>
      </c>
      <c r="Q5156" s="24"/>
      <c r="R5156" s="25"/>
      <c r="S5156" s="25"/>
      <c r="T5156" s="26"/>
      <c r="U5156" s="26"/>
      <c r="V5156" s="25"/>
      <c r="W5156" s="25"/>
      <c r="X5156" s="25"/>
      <c r="Y5156" s="25"/>
      <c r="Z5156" s="25"/>
    </row>
    <row r="5157" spans="1:26" ht="15.75" customHeight="1" x14ac:dyDescent="0.25">
      <c r="A5157" s="25"/>
      <c r="B5157" s="49"/>
      <c r="C5157" s="50"/>
      <c r="D5157" s="23"/>
      <c r="E5157" s="23"/>
      <c r="F5157" s="15"/>
      <c r="G5157" s="23"/>
      <c r="H5157" s="15"/>
      <c r="I5157" s="15"/>
      <c r="J5157" s="51"/>
      <c r="K5157" s="15"/>
      <c r="L5157" s="51"/>
      <c r="M5157" s="15"/>
      <c r="N5157" s="23"/>
      <c r="O5157" s="23"/>
      <c r="P5157" s="15" t="str">
        <f t="shared" si="6"/>
        <v/>
      </c>
      <c r="Q5157" s="24"/>
      <c r="R5157" s="25"/>
      <c r="S5157" s="25"/>
      <c r="T5157" s="26"/>
      <c r="U5157" s="26"/>
      <c r="V5157" s="25"/>
      <c r="W5157" s="25"/>
      <c r="X5157" s="25"/>
      <c r="Y5157" s="25"/>
      <c r="Z5157" s="25"/>
    </row>
    <row r="5158" spans="1:26" ht="15.75" customHeight="1" x14ac:dyDescent="0.25">
      <c r="A5158" s="25"/>
      <c r="B5158" s="49"/>
      <c r="C5158" s="50"/>
      <c r="D5158" s="23"/>
      <c r="E5158" s="23"/>
      <c r="F5158" s="15"/>
      <c r="G5158" s="23"/>
      <c r="H5158" s="15"/>
      <c r="I5158" s="15"/>
      <c r="J5158" s="51"/>
      <c r="K5158" s="15"/>
      <c r="L5158" s="51"/>
      <c r="M5158" s="15"/>
      <c r="N5158" s="23"/>
      <c r="O5158" s="23"/>
      <c r="P5158" s="15" t="str">
        <f t="shared" si="6"/>
        <v/>
      </c>
      <c r="Q5158" s="24"/>
      <c r="R5158" s="25"/>
      <c r="S5158" s="25"/>
      <c r="T5158" s="26"/>
      <c r="U5158" s="26"/>
      <c r="V5158" s="25"/>
      <c r="W5158" s="25"/>
      <c r="X5158" s="25"/>
      <c r="Y5158" s="25"/>
      <c r="Z5158" s="25"/>
    </row>
    <row r="5159" spans="1:26" ht="15.75" customHeight="1" x14ac:dyDescent="0.25">
      <c r="A5159" s="25"/>
      <c r="B5159" s="49"/>
      <c r="C5159" s="50"/>
      <c r="D5159" s="23"/>
      <c r="E5159" s="23"/>
      <c r="F5159" s="15"/>
      <c r="G5159" s="23"/>
      <c r="H5159" s="15"/>
      <c r="I5159" s="15"/>
      <c r="J5159" s="51"/>
      <c r="K5159" s="15"/>
      <c r="L5159" s="51"/>
      <c r="M5159" s="15"/>
      <c r="N5159" s="23"/>
      <c r="O5159" s="23"/>
      <c r="P5159" s="15" t="str">
        <f t="shared" si="6"/>
        <v/>
      </c>
      <c r="Q5159" s="24"/>
      <c r="R5159" s="25"/>
      <c r="S5159" s="25"/>
      <c r="T5159" s="26"/>
      <c r="U5159" s="26"/>
      <c r="V5159" s="25"/>
      <c r="W5159" s="25"/>
      <c r="X5159" s="25"/>
      <c r="Y5159" s="25"/>
      <c r="Z5159" s="25"/>
    </row>
    <row r="5160" spans="1:26" ht="15.75" customHeight="1" x14ac:dyDescent="0.25">
      <c r="A5160" s="25"/>
      <c r="B5160" s="49"/>
      <c r="C5160" s="50"/>
      <c r="D5160" s="23"/>
      <c r="E5160" s="23"/>
      <c r="F5160" s="15"/>
      <c r="G5160" s="23"/>
      <c r="H5160" s="15"/>
      <c r="I5160" s="15"/>
      <c r="J5160" s="51"/>
      <c r="K5160" s="15"/>
      <c r="L5160" s="51"/>
      <c r="M5160" s="15"/>
      <c r="N5160" s="23"/>
      <c r="O5160" s="23"/>
      <c r="P5160" s="15" t="str">
        <f t="shared" si="6"/>
        <v/>
      </c>
      <c r="Q5160" s="24"/>
      <c r="R5160" s="25"/>
      <c r="S5160" s="25"/>
      <c r="T5160" s="26"/>
      <c r="U5160" s="26"/>
      <c r="V5160" s="25"/>
      <c r="W5160" s="25"/>
      <c r="X5160" s="25"/>
      <c r="Y5160" s="25"/>
      <c r="Z5160" s="25"/>
    </row>
    <row r="5161" spans="1:26" ht="15.75" customHeight="1" x14ac:dyDescent="0.25">
      <c r="A5161" s="25"/>
      <c r="B5161" s="49"/>
      <c r="C5161" s="50"/>
      <c r="D5161" s="23"/>
      <c r="E5161" s="23"/>
      <c r="F5161" s="15"/>
      <c r="G5161" s="23"/>
      <c r="H5161" s="15"/>
      <c r="I5161" s="15"/>
      <c r="J5161" s="51"/>
      <c r="K5161" s="15"/>
      <c r="L5161" s="51"/>
      <c r="M5161" s="15"/>
      <c r="N5161" s="23"/>
      <c r="O5161" s="23"/>
      <c r="P5161" s="15" t="str">
        <f t="shared" si="6"/>
        <v/>
      </c>
      <c r="Q5161" s="24"/>
      <c r="R5161" s="25"/>
      <c r="S5161" s="25"/>
      <c r="T5161" s="26"/>
      <c r="U5161" s="26"/>
      <c r="V5161" s="25"/>
      <c r="W5161" s="25"/>
      <c r="X5161" s="25"/>
      <c r="Y5161" s="25"/>
      <c r="Z5161" s="25"/>
    </row>
    <row r="5162" spans="1:26" ht="15.75" customHeight="1" x14ac:dyDescent="0.25">
      <c r="A5162" s="25"/>
      <c r="B5162" s="49"/>
      <c r="C5162" s="50"/>
      <c r="D5162" s="23"/>
      <c r="E5162" s="23"/>
      <c r="F5162" s="15"/>
      <c r="G5162" s="23"/>
      <c r="H5162" s="15"/>
      <c r="I5162" s="15"/>
      <c r="J5162" s="51"/>
      <c r="K5162" s="15"/>
      <c r="L5162" s="51"/>
      <c r="M5162" s="15"/>
      <c r="N5162" s="23"/>
      <c r="O5162" s="23"/>
      <c r="P5162" s="15" t="str">
        <f t="shared" si="6"/>
        <v/>
      </c>
      <c r="Q5162" s="24"/>
      <c r="R5162" s="25"/>
      <c r="S5162" s="25"/>
      <c r="T5162" s="26"/>
      <c r="U5162" s="26"/>
      <c r="V5162" s="25"/>
      <c r="W5162" s="25"/>
      <c r="X5162" s="25"/>
      <c r="Y5162" s="25"/>
      <c r="Z5162" s="25"/>
    </row>
    <row r="5163" spans="1:26" ht="15.75" customHeight="1" x14ac:dyDescent="0.25">
      <c r="A5163" s="25"/>
      <c r="B5163" s="49"/>
      <c r="C5163" s="50"/>
      <c r="D5163" s="23"/>
      <c r="E5163" s="23"/>
      <c r="F5163" s="15"/>
      <c r="G5163" s="23"/>
      <c r="H5163" s="15"/>
      <c r="I5163" s="15"/>
      <c r="J5163" s="51"/>
      <c r="K5163" s="15"/>
      <c r="L5163" s="51"/>
      <c r="M5163" s="15"/>
      <c r="N5163" s="23"/>
      <c r="O5163" s="23"/>
      <c r="P5163" s="15" t="str">
        <f t="shared" si="6"/>
        <v/>
      </c>
      <c r="Q5163" s="24"/>
      <c r="R5163" s="25"/>
      <c r="S5163" s="25"/>
      <c r="T5163" s="26"/>
      <c r="U5163" s="26"/>
      <c r="V5163" s="25"/>
      <c r="W5163" s="25"/>
      <c r="X5163" s="25"/>
      <c r="Y5163" s="25"/>
      <c r="Z5163" s="25"/>
    </row>
    <row r="5164" spans="1:26" ht="15.75" customHeight="1" x14ac:dyDescent="0.25">
      <c r="A5164" s="25"/>
      <c r="B5164" s="49"/>
      <c r="C5164" s="50"/>
      <c r="D5164" s="23"/>
      <c r="E5164" s="23"/>
      <c r="F5164" s="15"/>
      <c r="G5164" s="23"/>
      <c r="H5164" s="15"/>
      <c r="I5164" s="15"/>
      <c r="J5164" s="51"/>
      <c r="K5164" s="15"/>
      <c r="L5164" s="51"/>
      <c r="M5164" s="15"/>
      <c r="N5164" s="23"/>
      <c r="O5164" s="23"/>
      <c r="P5164" s="15" t="str">
        <f t="shared" si="6"/>
        <v/>
      </c>
      <c r="Q5164" s="24"/>
      <c r="R5164" s="25"/>
      <c r="S5164" s="25"/>
      <c r="T5164" s="26"/>
      <c r="U5164" s="26"/>
      <c r="V5164" s="25"/>
      <c r="W5164" s="25"/>
      <c r="X5164" s="25"/>
      <c r="Y5164" s="25"/>
      <c r="Z5164" s="25"/>
    </row>
    <row r="5165" spans="1:26" ht="15.75" customHeight="1" x14ac:dyDescent="0.25">
      <c r="A5165" s="25"/>
      <c r="B5165" s="49"/>
      <c r="C5165" s="50"/>
      <c r="D5165" s="23"/>
      <c r="E5165" s="23"/>
      <c r="F5165" s="15"/>
      <c r="G5165" s="23"/>
      <c r="H5165" s="15"/>
      <c r="I5165" s="15"/>
      <c r="J5165" s="51"/>
      <c r="K5165" s="15"/>
      <c r="L5165" s="51"/>
      <c r="M5165" s="15"/>
      <c r="N5165" s="23"/>
      <c r="O5165" s="23"/>
      <c r="P5165" s="15" t="str">
        <f t="shared" si="6"/>
        <v/>
      </c>
      <c r="Q5165" s="24"/>
      <c r="R5165" s="25"/>
      <c r="S5165" s="25"/>
      <c r="T5165" s="26"/>
      <c r="U5165" s="26"/>
      <c r="V5165" s="25"/>
      <c r="W5165" s="25"/>
      <c r="X5165" s="25"/>
      <c r="Y5165" s="25"/>
      <c r="Z5165" s="25"/>
    </row>
    <row r="5166" spans="1:26" ht="15.75" customHeight="1" x14ac:dyDescent="0.25">
      <c r="A5166" s="25"/>
      <c r="B5166" s="49"/>
      <c r="C5166" s="50"/>
      <c r="D5166" s="23"/>
      <c r="E5166" s="23"/>
      <c r="F5166" s="15"/>
      <c r="G5166" s="23"/>
      <c r="H5166" s="15"/>
      <c r="I5166" s="15"/>
      <c r="J5166" s="51"/>
      <c r="K5166" s="15"/>
      <c r="L5166" s="51"/>
      <c r="M5166" s="15"/>
      <c r="N5166" s="23"/>
      <c r="O5166" s="23"/>
      <c r="P5166" s="15" t="str">
        <f t="shared" si="6"/>
        <v/>
      </c>
      <c r="Q5166" s="24"/>
      <c r="R5166" s="25"/>
      <c r="S5166" s="25"/>
      <c r="T5166" s="26"/>
      <c r="U5166" s="26"/>
      <c r="V5166" s="25"/>
      <c r="W5166" s="25"/>
      <c r="X5166" s="25"/>
      <c r="Y5166" s="25"/>
      <c r="Z5166" s="25"/>
    </row>
    <row r="5167" spans="1:26" ht="15.75" customHeight="1" x14ac:dyDescent="0.25">
      <c r="A5167" s="25"/>
      <c r="B5167" s="49"/>
      <c r="C5167" s="50"/>
      <c r="D5167" s="23"/>
      <c r="E5167" s="23"/>
      <c r="F5167" s="15"/>
      <c r="G5167" s="23"/>
      <c r="H5167" s="15"/>
      <c r="I5167" s="15"/>
      <c r="J5167" s="51"/>
      <c r="K5167" s="15"/>
      <c r="L5167" s="51"/>
      <c r="M5167" s="15"/>
      <c r="N5167" s="23"/>
      <c r="O5167" s="23"/>
      <c r="P5167" s="15" t="str">
        <f t="shared" si="6"/>
        <v/>
      </c>
      <c r="Q5167" s="24"/>
      <c r="R5167" s="25"/>
      <c r="S5167" s="25"/>
      <c r="T5167" s="26"/>
      <c r="U5167" s="26"/>
      <c r="V5167" s="25"/>
      <c r="W5167" s="25"/>
      <c r="X5167" s="25"/>
      <c r="Y5167" s="25"/>
      <c r="Z5167" s="25"/>
    </row>
    <row r="5168" spans="1:26" ht="15.75" customHeight="1" x14ac:dyDescent="0.25">
      <c r="A5168" s="25"/>
      <c r="B5168" s="49"/>
      <c r="C5168" s="50"/>
      <c r="D5168" s="23"/>
      <c r="E5168" s="23"/>
      <c r="F5168" s="15"/>
      <c r="G5168" s="23"/>
      <c r="H5168" s="15"/>
      <c r="I5168" s="15"/>
      <c r="J5168" s="51"/>
      <c r="K5168" s="15"/>
      <c r="L5168" s="51"/>
      <c r="M5168" s="15"/>
      <c r="N5168" s="23"/>
      <c r="O5168" s="23"/>
      <c r="P5168" s="15" t="str">
        <f t="shared" si="6"/>
        <v/>
      </c>
      <c r="Q5168" s="24"/>
      <c r="R5168" s="25"/>
      <c r="S5168" s="25"/>
      <c r="T5168" s="26"/>
      <c r="U5168" s="26"/>
      <c r="V5168" s="25"/>
      <c r="W5168" s="25"/>
      <c r="X5168" s="25"/>
      <c r="Y5168" s="25"/>
      <c r="Z5168" s="25"/>
    </row>
    <row r="5169" spans="1:26" ht="15.75" customHeight="1" x14ac:dyDescent="0.25">
      <c r="A5169" s="25"/>
      <c r="B5169" s="49"/>
      <c r="C5169" s="50"/>
      <c r="D5169" s="23"/>
      <c r="E5169" s="23"/>
      <c r="F5169" s="15"/>
      <c r="G5169" s="23"/>
      <c r="H5169" s="15"/>
      <c r="I5169" s="15"/>
      <c r="J5169" s="51"/>
      <c r="K5169" s="15"/>
      <c r="L5169" s="51"/>
      <c r="M5169" s="15"/>
      <c r="N5169" s="23"/>
      <c r="O5169" s="23"/>
      <c r="P5169" s="15" t="str">
        <f t="shared" si="6"/>
        <v/>
      </c>
      <c r="Q5169" s="24"/>
      <c r="R5169" s="25"/>
      <c r="S5169" s="25"/>
      <c r="T5169" s="26"/>
      <c r="U5169" s="26"/>
      <c r="V5169" s="25"/>
      <c r="W5169" s="25"/>
      <c r="X5169" s="25"/>
      <c r="Y5169" s="25"/>
      <c r="Z5169" s="25"/>
    </row>
    <row r="5170" spans="1:26" ht="15.75" customHeight="1" x14ac:dyDescent="0.25">
      <c r="A5170" s="25"/>
      <c r="B5170" s="49"/>
      <c r="C5170" s="50"/>
      <c r="D5170" s="23"/>
      <c r="E5170" s="23"/>
      <c r="F5170" s="15"/>
      <c r="G5170" s="23"/>
      <c r="H5170" s="15"/>
      <c r="I5170" s="15"/>
      <c r="J5170" s="51"/>
      <c r="K5170" s="15"/>
      <c r="L5170" s="51"/>
      <c r="M5170" s="15"/>
      <c r="N5170" s="23"/>
      <c r="O5170" s="23"/>
      <c r="P5170" s="15" t="str">
        <f t="shared" si="6"/>
        <v/>
      </c>
      <c r="Q5170" s="24"/>
      <c r="R5170" s="25"/>
      <c r="S5170" s="25"/>
      <c r="T5170" s="26"/>
      <c r="U5170" s="26"/>
      <c r="V5170" s="25"/>
      <c r="W5170" s="25"/>
      <c r="X5170" s="25"/>
      <c r="Y5170" s="25"/>
      <c r="Z5170" s="25"/>
    </row>
    <row r="5171" spans="1:26" ht="15.75" customHeight="1" x14ac:dyDescent="0.25">
      <c r="A5171" s="25"/>
      <c r="B5171" s="49"/>
      <c r="C5171" s="50"/>
      <c r="D5171" s="23"/>
      <c r="E5171" s="23"/>
      <c r="F5171" s="15"/>
      <c r="G5171" s="23"/>
      <c r="H5171" s="15"/>
      <c r="I5171" s="15"/>
      <c r="J5171" s="51"/>
      <c r="K5171" s="15"/>
      <c r="L5171" s="51"/>
      <c r="M5171" s="15"/>
      <c r="N5171" s="23"/>
      <c r="O5171" s="23"/>
      <c r="P5171" s="15" t="str">
        <f t="shared" si="6"/>
        <v/>
      </c>
      <c r="Q5171" s="24"/>
      <c r="R5171" s="25"/>
      <c r="S5171" s="25"/>
      <c r="T5171" s="26"/>
      <c r="U5171" s="26"/>
      <c r="V5171" s="25"/>
      <c r="W5171" s="25"/>
      <c r="X5171" s="25"/>
      <c r="Y5171" s="25"/>
      <c r="Z5171" s="25"/>
    </row>
    <row r="5172" spans="1:26" ht="15.75" customHeight="1" x14ac:dyDescent="0.25">
      <c r="A5172" s="25"/>
      <c r="B5172" s="49"/>
      <c r="C5172" s="50"/>
      <c r="D5172" s="23"/>
      <c r="E5172" s="23"/>
      <c r="F5172" s="15"/>
      <c r="G5172" s="23"/>
      <c r="H5172" s="15"/>
      <c r="I5172" s="15"/>
      <c r="J5172" s="51"/>
      <c r="K5172" s="15"/>
      <c r="L5172" s="51"/>
      <c r="M5172" s="15"/>
      <c r="N5172" s="23"/>
      <c r="O5172" s="23"/>
      <c r="P5172" s="15" t="str">
        <f t="shared" si="6"/>
        <v/>
      </c>
      <c r="Q5172" s="24"/>
      <c r="R5172" s="25"/>
      <c r="S5172" s="25"/>
      <c r="T5172" s="26"/>
      <c r="U5172" s="26"/>
      <c r="V5172" s="25"/>
      <c r="W5172" s="25"/>
      <c r="X5172" s="25"/>
      <c r="Y5172" s="25"/>
      <c r="Z5172" s="25"/>
    </row>
    <row r="5173" spans="1:26" ht="15.75" customHeight="1" x14ac:dyDescent="0.25">
      <c r="A5173" s="25"/>
      <c r="B5173" s="49"/>
      <c r="C5173" s="50"/>
      <c r="D5173" s="23"/>
      <c r="E5173" s="23"/>
      <c r="F5173" s="15"/>
      <c r="G5173" s="23"/>
      <c r="H5173" s="15"/>
      <c r="I5173" s="15"/>
      <c r="J5173" s="51"/>
      <c r="K5173" s="15"/>
      <c r="L5173" s="51"/>
      <c r="M5173" s="15"/>
      <c r="N5173" s="23"/>
      <c r="O5173" s="23"/>
      <c r="P5173" s="15" t="str">
        <f t="shared" si="6"/>
        <v/>
      </c>
      <c r="Q5173" s="24"/>
      <c r="R5173" s="25"/>
      <c r="S5173" s="25"/>
      <c r="T5173" s="26"/>
      <c r="U5173" s="26"/>
      <c r="V5173" s="25"/>
      <c r="W5173" s="25"/>
      <c r="X5173" s="25"/>
      <c r="Y5173" s="25"/>
      <c r="Z5173" s="25"/>
    </row>
    <row r="5174" spans="1:26" ht="15.75" customHeight="1" x14ac:dyDescent="0.25">
      <c r="A5174" s="25"/>
      <c r="B5174" s="49"/>
      <c r="C5174" s="50"/>
      <c r="D5174" s="23"/>
      <c r="E5174" s="23"/>
      <c r="F5174" s="15"/>
      <c r="G5174" s="23"/>
      <c r="H5174" s="15"/>
      <c r="I5174" s="15"/>
      <c r="J5174" s="51"/>
      <c r="K5174" s="15"/>
      <c r="L5174" s="51"/>
      <c r="M5174" s="15"/>
      <c r="N5174" s="23"/>
      <c r="O5174" s="23"/>
      <c r="P5174" s="15" t="str">
        <f t="shared" si="6"/>
        <v/>
      </c>
      <c r="Q5174" s="24"/>
      <c r="R5174" s="25"/>
      <c r="S5174" s="25"/>
      <c r="T5174" s="26"/>
      <c r="U5174" s="26"/>
      <c r="V5174" s="25"/>
      <c r="W5174" s="25"/>
      <c r="X5174" s="25"/>
      <c r="Y5174" s="25"/>
      <c r="Z5174" s="25"/>
    </row>
    <row r="5175" spans="1:26" ht="15.75" customHeight="1" x14ac:dyDescent="0.25">
      <c r="A5175" s="25"/>
      <c r="B5175" s="49"/>
      <c r="C5175" s="50"/>
      <c r="D5175" s="23"/>
      <c r="E5175" s="23"/>
      <c r="F5175" s="15"/>
      <c r="G5175" s="23"/>
      <c r="H5175" s="15"/>
      <c r="I5175" s="15"/>
      <c r="J5175" s="51"/>
      <c r="K5175" s="15"/>
      <c r="L5175" s="51"/>
      <c r="M5175" s="15"/>
      <c r="N5175" s="23"/>
      <c r="O5175" s="23"/>
      <c r="P5175" s="15" t="str">
        <f t="shared" si="6"/>
        <v/>
      </c>
      <c r="Q5175" s="24"/>
      <c r="R5175" s="25"/>
      <c r="S5175" s="25"/>
      <c r="T5175" s="26"/>
      <c r="U5175" s="26"/>
      <c r="V5175" s="25"/>
      <c r="W5175" s="25"/>
      <c r="X5175" s="25"/>
      <c r="Y5175" s="25"/>
      <c r="Z5175" s="25"/>
    </row>
    <row r="5176" spans="1:26" ht="15.75" customHeight="1" x14ac:dyDescent="0.25">
      <c r="A5176" s="25"/>
      <c r="B5176" s="49"/>
      <c r="C5176" s="50"/>
      <c r="D5176" s="23"/>
      <c r="E5176" s="23"/>
      <c r="F5176" s="15"/>
      <c r="G5176" s="23"/>
      <c r="H5176" s="15"/>
      <c r="I5176" s="15"/>
      <c r="J5176" s="51"/>
      <c r="K5176" s="15"/>
      <c r="L5176" s="51"/>
      <c r="M5176" s="15"/>
      <c r="N5176" s="23"/>
      <c r="O5176" s="23"/>
      <c r="P5176" s="15" t="str">
        <f t="shared" si="6"/>
        <v/>
      </c>
      <c r="Q5176" s="24"/>
      <c r="R5176" s="25"/>
      <c r="S5176" s="25"/>
      <c r="T5176" s="26"/>
      <c r="U5176" s="26"/>
      <c r="V5176" s="25"/>
      <c r="W5176" s="25"/>
      <c r="X5176" s="25"/>
      <c r="Y5176" s="25"/>
      <c r="Z5176" s="25"/>
    </row>
    <row r="5177" spans="1:26" ht="15.75" customHeight="1" x14ac:dyDescent="0.25">
      <c r="A5177" s="25"/>
      <c r="B5177" s="49"/>
      <c r="C5177" s="50"/>
      <c r="D5177" s="23"/>
      <c r="E5177" s="23"/>
      <c r="F5177" s="15"/>
      <c r="G5177" s="23"/>
      <c r="H5177" s="15"/>
      <c r="I5177" s="15"/>
      <c r="J5177" s="51"/>
      <c r="K5177" s="15"/>
      <c r="L5177" s="51"/>
      <c r="M5177" s="15"/>
      <c r="N5177" s="23"/>
      <c r="O5177" s="23"/>
      <c r="P5177" s="15" t="str">
        <f t="shared" si="6"/>
        <v/>
      </c>
      <c r="Q5177" s="24"/>
      <c r="R5177" s="25"/>
      <c r="S5177" s="25"/>
      <c r="T5177" s="26"/>
      <c r="U5177" s="26"/>
      <c r="V5177" s="25"/>
      <c r="W5177" s="25"/>
      <c r="X5177" s="25"/>
      <c r="Y5177" s="25"/>
      <c r="Z5177" s="25"/>
    </row>
    <row r="5178" spans="1:26" ht="15.75" customHeight="1" x14ac:dyDescent="0.25">
      <c r="A5178" s="25"/>
      <c r="B5178" s="49"/>
      <c r="C5178" s="50"/>
      <c r="D5178" s="23"/>
      <c r="E5178" s="23"/>
      <c r="F5178" s="15"/>
      <c r="G5178" s="23"/>
      <c r="H5178" s="15"/>
      <c r="I5178" s="15"/>
      <c r="J5178" s="51"/>
      <c r="K5178" s="15"/>
      <c r="L5178" s="51"/>
      <c r="M5178" s="15"/>
      <c r="N5178" s="23"/>
      <c r="O5178" s="23"/>
      <c r="P5178" s="15" t="str">
        <f t="shared" si="6"/>
        <v/>
      </c>
      <c r="Q5178" s="24"/>
      <c r="R5178" s="25"/>
      <c r="S5178" s="25"/>
      <c r="T5178" s="26"/>
      <c r="U5178" s="26"/>
      <c r="V5178" s="25"/>
      <c r="W5178" s="25"/>
      <c r="X5178" s="25"/>
      <c r="Y5178" s="25"/>
      <c r="Z5178" s="25"/>
    </row>
    <row r="5179" spans="1:26" ht="15.75" customHeight="1" x14ac:dyDescent="0.25">
      <c r="A5179" s="25"/>
      <c r="B5179" s="49"/>
      <c r="C5179" s="50"/>
      <c r="D5179" s="23"/>
      <c r="E5179" s="23"/>
      <c r="F5179" s="15"/>
      <c r="G5179" s="23"/>
      <c r="H5179" s="15"/>
      <c r="I5179" s="15"/>
      <c r="J5179" s="51"/>
      <c r="K5179" s="15"/>
      <c r="L5179" s="51"/>
      <c r="M5179" s="15"/>
      <c r="N5179" s="23"/>
      <c r="O5179" s="23"/>
      <c r="P5179" s="15" t="str">
        <f t="shared" si="6"/>
        <v/>
      </c>
      <c r="Q5179" s="24"/>
      <c r="R5179" s="25"/>
      <c r="S5179" s="25"/>
      <c r="T5179" s="26"/>
      <c r="U5179" s="26"/>
      <c r="V5179" s="25"/>
      <c r="W5179" s="25"/>
      <c r="X5179" s="25"/>
      <c r="Y5179" s="25"/>
      <c r="Z5179" s="25"/>
    </row>
    <row r="5180" spans="1:26" ht="15.75" customHeight="1" x14ac:dyDescent="0.25">
      <c r="A5180" s="25"/>
      <c r="B5180" s="49"/>
      <c r="C5180" s="50"/>
      <c r="D5180" s="23"/>
      <c r="E5180" s="23"/>
      <c r="F5180" s="15"/>
      <c r="G5180" s="23"/>
      <c r="H5180" s="15"/>
      <c r="I5180" s="15"/>
      <c r="J5180" s="51"/>
      <c r="K5180" s="15"/>
      <c r="L5180" s="51"/>
      <c r="M5180" s="15"/>
      <c r="N5180" s="23"/>
      <c r="O5180" s="23"/>
      <c r="P5180" s="15" t="str">
        <f t="shared" si="6"/>
        <v/>
      </c>
      <c r="Q5180" s="24"/>
      <c r="R5180" s="25"/>
      <c r="S5180" s="25"/>
      <c r="T5180" s="26"/>
      <c r="U5180" s="26"/>
      <c r="V5180" s="25"/>
      <c r="W5180" s="25"/>
      <c r="X5180" s="25"/>
      <c r="Y5180" s="25"/>
      <c r="Z5180" s="25"/>
    </row>
    <row r="5181" spans="1:26" ht="15.75" customHeight="1" x14ac:dyDescent="0.25">
      <c r="A5181" s="25"/>
      <c r="B5181" s="49"/>
      <c r="C5181" s="50"/>
      <c r="D5181" s="23"/>
      <c r="E5181" s="23"/>
      <c r="F5181" s="15"/>
      <c r="G5181" s="23"/>
      <c r="H5181" s="15"/>
      <c r="I5181" s="15"/>
      <c r="J5181" s="51"/>
      <c r="K5181" s="15"/>
      <c r="L5181" s="51"/>
      <c r="M5181" s="15"/>
      <c r="N5181" s="23"/>
      <c r="O5181" s="23"/>
      <c r="P5181" s="15" t="str">
        <f t="shared" si="6"/>
        <v/>
      </c>
      <c r="Q5181" s="24"/>
      <c r="R5181" s="25"/>
      <c r="S5181" s="25"/>
      <c r="T5181" s="26"/>
      <c r="U5181" s="26"/>
      <c r="V5181" s="25"/>
      <c r="W5181" s="25"/>
      <c r="X5181" s="25"/>
      <c r="Y5181" s="25"/>
      <c r="Z5181" s="25"/>
    </row>
    <row r="5182" spans="1:26" ht="15.75" customHeight="1" x14ac:dyDescent="0.25">
      <c r="A5182" s="25"/>
      <c r="B5182" s="49"/>
      <c r="C5182" s="50"/>
      <c r="D5182" s="23"/>
      <c r="E5182" s="23"/>
      <c r="F5182" s="15"/>
      <c r="G5182" s="23"/>
      <c r="H5182" s="15"/>
      <c r="I5182" s="15"/>
      <c r="J5182" s="51"/>
      <c r="K5182" s="15"/>
      <c r="L5182" s="51"/>
      <c r="M5182" s="15"/>
      <c r="N5182" s="23"/>
      <c r="O5182" s="23"/>
      <c r="P5182" s="15" t="str">
        <f t="shared" si="6"/>
        <v/>
      </c>
      <c r="Q5182" s="24"/>
      <c r="R5182" s="25"/>
      <c r="S5182" s="25"/>
      <c r="T5182" s="26"/>
      <c r="U5182" s="26"/>
      <c r="V5182" s="25"/>
      <c r="W5182" s="25"/>
      <c r="X5182" s="25"/>
      <c r="Y5182" s="25"/>
      <c r="Z5182" s="25"/>
    </row>
    <row r="5183" spans="1:26" ht="15.75" customHeight="1" x14ac:dyDescent="0.25">
      <c r="A5183" s="25"/>
      <c r="B5183" s="49"/>
      <c r="C5183" s="50"/>
      <c r="D5183" s="23"/>
      <c r="E5183" s="23"/>
      <c r="F5183" s="15"/>
      <c r="G5183" s="23"/>
      <c r="H5183" s="15"/>
      <c r="I5183" s="15"/>
      <c r="J5183" s="51"/>
      <c r="K5183" s="15"/>
      <c r="L5183" s="51"/>
      <c r="M5183" s="15"/>
      <c r="N5183" s="23"/>
      <c r="O5183" s="23"/>
      <c r="P5183" s="15" t="str">
        <f t="shared" si="6"/>
        <v/>
      </c>
      <c r="Q5183" s="24"/>
      <c r="R5183" s="25"/>
      <c r="S5183" s="25"/>
      <c r="T5183" s="26"/>
      <c r="U5183" s="26"/>
      <c r="V5183" s="25"/>
      <c r="W5183" s="25"/>
      <c r="X5183" s="25"/>
      <c r="Y5183" s="25"/>
      <c r="Z5183" s="25"/>
    </row>
    <row r="5184" spans="1:26" ht="15.75" customHeight="1" x14ac:dyDescent="0.25">
      <c r="A5184" s="25"/>
      <c r="B5184" s="49"/>
      <c r="C5184" s="50"/>
      <c r="D5184" s="23"/>
      <c r="E5184" s="23"/>
      <c r="F5184" s="15"/>
      <c r="G5184" s="23"/>
      <c r="H5184" s="15"/>
      <c r="I5184" s="15"/>
      <c r="J5184" s="51"/>
      <c r="K5184" s="15"/>
      <c r="L5184" s="51"/>
      <c r="M5184" s="15"/>
      <c r="N5184" s="23"/>
      <c r="O5184" s="23"/>
      <c r="P5184" s="15" t="str">
        <f t="shared" si="6"/>
        <v/>
      </c>
      <c r="Q5184" s="24"/>
      <c r="R5184" s="25"/>
      <c r="S5184" s="25"/>
      <c r="T5184" s="26"/>
      <c r="U5184" s="26"/>
      <c r="V5184" s="25"/>
      <c r="W5184" s="25"/>
      <c r="X5184" s="25"/>
      <c r="Y5184" s="25"/>
      <c r="Z5184" s="25"/>
    </row>
    <row r="5185" spans="1:26" ht="15.75" customHeight="1" x14ac:dyDescent="0.25">
      <c r="A5185" s="25"/>
      <c r="B5185" s="49"/>
      <c r="C5185" s="50"/>
      <c r="D5185" s="23"/>
      <c r="E5185" s="23"/>
      <c r="F5185" s="15"/>
      <c r="G5185" s="23"/>
      <c r="H5185" s="15"/>
      <c r="I5185" s="15"/>
      <c r="J5185" s="51"/>
      <c r="K5185" s="15"/>
      <c r="L5185" s="51"/>
      <c r="M5185" s="15"/>
      <c r="N5185" s="23"/>
      <c r="O5185" s="23"/>
      <c r="P5185" s="15" t="str">
        <f t="shared" si="6"/>
        <v/>
      </c>
      <c r="Q5185" s="24"/>
      <c r="R5185" s="25"/>
      <c r="S5185" s="25"/>
      <c r="T5185" s="26"/>
      <c r="U5185" s="26"/>
      <c r="V5185" s="25"/>
      <c r="W5185" s="25"/>
      <c r="X5185" s="25"/>
      <c r="Y5185" s="25"/>
      <c r="Z5185" s="25"/>
    </row>
    <row r="5186" spans="1:26" ht="15.75" customHeight="1" x14ac:dyDescent="0.25">
      <c r="A5186" s="25"/>
      <c r="B5186" s="49"/>
      <c r="C5186" s="50"/>
      <c r="D5186" s="23"/>
      <c r="E5186" s="23"/>
      <c r="F5186" s="15"/>
      <c r="G5186" s="23"/>
      <c r="H5186" s="15"/>
      <c r="I5186" s="15"/>
      <c r="J5186" s="51"/>
      <c r="K5186" s="15"/>
      <c r="L5186" s="51"/>
      <c r="M5186" s="15"/>
      <c r="N5186" s="23"/>
      <c r="O5186" s="23"/>
      <c r="P5186" s="15" t="str">
        <f t="shared" si="6"/>
        <v/>
      </c>
      <c r="Q5186" s="24"/>
      <c r="R5186" s="25"/>
      <c r="S5186" s="25"/>
      <c r="T5186" s="26"/>
      <c r="U5186" s="26"/>
      <c r="V5186" s="25"/>
      <c r="W5186" s="25"/>
      <c r="X5186" s="25"/>
      <c r="Y5186" s="25"/>
      <c r="Z5186" s="25"/>
    </row>
    <row r="5187" spans="1:26" ht="15.75" customHeight="1" x14ac:dyDescent="0.25">
      <c r="A5187" s="25"/>
      <c r="B5187" s="49"/>
      <c r="C5187" s="50"/>
      <c r="D5187" s="23"/>
      <c r="E5187" s="23"/>
      <c r="F5187" s="15"/>
      <c r="G5187" s="23"/>
      <c r="H5187" s="15"/>
      <c r="I5187" s="15"/>
      <c r="J5187" s="51"/>
      <c r="K5187" s="15"/>
      <c r="L5187" s="51"/>
      <c r="M5187" s="15"/>
      <c r="N5187" s="23"/>
      <c r="O5187" s="23"/>
      <c r="P5187" s="15" t="str">
        <f t="shared" si="6"/>
        <v/>
      </c>
      <c r="Q5187" s="24"/>
      <c r="R5187" s="25"/>
      <c r="S5187" s="25"/>
      <c r="T5187" s="26"/>
      <c r="U5187" s="26"/>
      <c r="V5187" s="25"/>
      <c r="W5187" s="25"/>
      <c r="X5187" s="25"/>
      <c r="Y5187" s="25"/>
      <c r="Z5187" s="25"/>
    </row>
    <row r="5188" spans="1:26" ht="15.75" customHeight="1" x14ac:dyDescent="0.25">
      <c r="A5188" s="25"/>
      <c r="B5188" s="49"/>
      <c r="C5188" s="50"/>
      <c r="D5188" s="23"/>
      <c r="E5188" s="23"/>
      <c r="F5188" s="15"/>
      <c r="G5188" s="23"/>
      <c r="H5188" s="15"/>
      <c r="I5188" s="15"/>
      <c r="J5188" s="51"/>
      <c r="K5188" s="15"/>
      <c r="L5188" s="51"/>
      <c r="M5188" s="15"/>
      <c r="N5188" s="23"/>
      <c r="O5188" s="23"/>
      <c r="P5188" s="15" t="str">
        <f t="shared" si="6"/>
        <v/>
      </c>
      <c r="Q5188" s="24"/>
      <c r="R5188" s="25"/>
      <c r="S5188" s="25"/>
      <c r="T5188" s="26"/>
      <c r="U5188" s="26"/>
      <c r="V5188" s="25"/>
      <c r="W5188" s="25"/>
      <c r="X5188" s="25"/>
      <c r="Y5188" s="25"/>
      <c r="Z5188" s="25"/>
    </row>
    <row r="5189" spans="1:26" ht="15.75" customHeight="1" x14ac:dyDescent="0.25">
      <c r="A5189" s="25"/>
      <c r="B5189" s="49"/>
      <c r="C5189" s="50"/>
      <c r="D5189" s="23"/>
      <c r="E5189" s="23"/>
      <c r="F5189" s="15"/>
      <c r="G5189" s="23"/>
      <c r="H5189" s="15"/>
      <c r="I5189" s="15"/>
      <c r="J5189" s="51"/>
      <c r="K5189" s="15"/>
      <c r="L5189" s="51"/>
      <c r="M5189" s="15"/>
      <c r="N5189" s="23"/>
      <c r="O5189" s="23"/>
      <c r="P5189" s="15" t="str">
        <f t="shared" si="6"/>
        <v/>
      </c>
      <c r="Q5189" s="24"/>
      <c r="R5189" s="25"/>
      <c r="S5189" s="25"/>
      <c r="T5189" s="26"/>
      <c r="U5189" s="26"/>
      <c r="V5189" s="25"/>
      <c r="W5189" s="25"/>
      <c r="X5189" s="25"/>
      <c r="Y5189" s="25"/>
      <c r="Z5189" s="25"/>
    </row>
    <row r="5190" spans="1:26" ht="15.75" customHeight="1" x14ac:dyDescent="0.25">
      <c r="A5190" s="25"/>
      <c r="B5190" s="49"/>
      <c r="C5190" s="50"/>
      <c r="D5190" s="23"/>
      <c r="E5190" s="23"/>
      <c r="F5190" s="15"/>
      <c r="G5190" s="23"/>
      <c r="H5190" s="15"/>
      <c r="I5190" s="15"/>
      <c r="J5190" s="51"/>
      <c r="K5190" s="15"/>
      <c r="L5190" s="51"/>
      <c r="M5190" s="15"/>
      <c r="N5190" s="23"/>
      <c r="O5190" s="23"/>
      <c r="P5190" s="15" t="str">
        <f t="shared" si="6"/>
        <v/>
      </c>
      <c r="Q5190" s="24"/>
      <c r="R5190" s="25"/>
      <c r="S5190" s="25"/>
      <c r="T5190" s="26"/>
      <c r="U5190" s="26"/>
      <c r="V5190" s="25"/>
      <c r="W5190" s="25"/>
      <c r="X5190" s="25"/>
      <c r="Y5190" s="25"/>
      <c r="Z5190" s="25"/>
    </row>
    <row r="5191" spans="1:26" ht="15.75" customHeight="1" x14ac:dyDescent="0.25">
      <c r="A5191" s="25"/>
      <c r="B5191" s="49"/>
      <c r="C5191" s="50"/>
      <c r="D5191" s="23"/>
      <c r="E5191" s="23"/>
      <c r="F5191" s="15"/>
      <c r="G5191" s="23"/>
      <c r="H5191" s="15"/>
      <c r="I5191" s="15"/>
      <c r="J5191" s="51"/>
      <c r="K5191" s="15"/>
      <c r="L5191" s="51"/>
      <c r="M5191" s="15"/>
      <c r="N5191" s="23"/>
      <c r="O5191" s="23"/>
      <c r="P5191" s="15" t="str">
        <f t="shared" si="6"/>
        <v/>
      </c>
      <c r="Q5191" s="24"/>
      <c r="R5191" s="25"/>
      <c r="S5191" s="25"/>
      <c r="T5191" s="26"/>
      <c r="U5191" s="26"/>
      <c r="V5191" s="25"/>
      <c r="W5191" s="25"/>
      <c r="X5191" s="25"/>
      <c r="Y5191" s="25"/>
      <c r="Z5191" s="25"/>
    </row>
    <row r="5192" spans="1:26" ht="15.75" customHeight="1" x14ac:dyDescent="0.25">
      <c r="A5192" s="25"/>
      <c r="B5192" s="49"/>
      <c r="C5192" s="50"/>
      <c r="D5192" s="23"/>
      <c r="E5192" s="23"/>
      <c r="F5192" s="15"/>
      <c r="G5192" s="23"/>
      <c r="H5192" s="15"/>
      <c r="I5192" s="15"/>
      <c r="J5192" s="51"/>
      <c r="K5192" s="15"/>
      <c r="L5192" s="51"/>
      <c r="M5192" s="15"/>
      <c r="N5192" s="23"/>
      <c r="O5192" s="23"/>
      <c r="P5192" s="15" t="str">
        <f t="shared" si="6"/>
        <v/>
      </c>
      <c r="Q5192" s="24"/>
      <c r="R5192" s="25"/>
      <c r="S5192" s="25"/>
      <c r="T5192" s="26"/>
      <c r="U5192" s="26"/>
      <c r="V5192" s="25"/>
      <c r="W5192" s="25"/>
      <c r="X5192" s="25"/>
      <c r="Y5192" s="25"/>
      <c r="Z5192" s="25"/>
    </row>
    <row r="5193" spans="1:26" ht="15.75" customHeight="1" x14ac:dyDescent="0.25">
      <c r="A5193" s="25"/>
      <c r="B5193" s="49"/>
      <c r="C5193" s="50"/>
      <c r="D5193" s="23"/>
      <c r="E5193" s="23"/>
      <c r="F5193" s="15"/>
      <c r="G5193" s="23"/>
      <c r="H5193" s="15"/>
      <c r="I5193" s="15"/>
      <c r="J5193" s="51"/>
      <c r="K5193" s="15"/>
      <c r="L5193" s="51"/>
      <c r="M5193" s="15"/>
      <c r="N5193" s="23"/>
      <c r="O5193" s="23"/>
      <c r="P5193" s="15" t="str">
        <f t="shared" si="6"/>
        <v/>
      </c>
      <c r="Q5193" s="24"/>
      <c r="R5193" s="25"/>
      <c r="S5193" s="25"/>
      <c r="T5193" s="26"/>
      <c r="U5193" s="26"/>
      <c r="V5193" s="25"/>
      <c r="W5193" s="25"/>
      <c r="X5193" s="25"/>
      <c r="Y5193" s="25"/>
      <c r="Z5193" s="25"/>
    </row>
    <row r="5194" spans="1:26" ht="15.75" customHeight="1" x14ac:dyDescent="0.25">
      <c r="A5194" s="25"/>
      <c r="B5194" s="49"/>
      <c r="C5194" s="50"/>
      <c r="D5194" s="23"/>
      <c r="E5194" s="23"/>
      <c r="F5194" s="15"/>
      <c r="G5194" s="23"/>
      <c r="H5194" s="15"/>
      <c r="I5194" s="15"/>
      <c r="J5194" s="51"/>
      <c r="K5194" s="15"/>
      <c r="L5194" s="51"/>
      <c r="M5194" s="15"/>
      <c r="N5194" s="23"/>
      <c r="O5194" s="23"/>
      <c r="P5194" s="15" t="str">
        <f t="shared" si="6"/>
        <v/>
      </c>
      <c r="Q5194" s="24"/>
      <c r="R5194" s="25"/>
      <c r="S5194" s="25"/>
      <c r="T5194" s="26"/>
      <c r="U5194" s="26"/>
      <c r="V5194" s="25"/>
      <c r="W5194" s="25"/>
      <c r="X5194" s="25"/>
      <c r="Y5194" s="25"/>
      <c r="Z5194" s="25"/>
    </row>
    <row r="5195" spans="1:26" ht="15.75" customHeight="1" x14ac:dyDescent="0.25">
      <c r="A5195" s="25"/>
      <c r="B5195" s="49"/>
      <c r="C5195" s="50"/>
      <c r="D5195" s="23"/>
      <c r="E5195" s="23"/>
      <c r="F5195" s="15"/>
      <c r="G5195" s="23"/>
      <c r="H5195" s="15"/>
      <c r="I5195" s="15"/>
      <c r="J5195" s="51"/>
      <c r="K5195" s="15"/>
      <c r="L5195" s="51"/>
      <c r="M5195" s="15"/>
      <c r="N5195" s="23"/>
      <c r="O5195" s="23"/>
      <c r="P5195" s="15" t="str">
        <f t="shared" si="6"/>
        <v/>
      </c>
      <c r="Q5195" s="24"/>
      <c r="R5195" s="25"/>
      <c r="S5195" s="25"/>
      <c r="T5195" s="26"/>
      <c r="U5195" s="26"/>
      <c r="V5195" s="25"/>
      <c r="W5195" s="25"/>
      <c r="X5195" s="25"/>
      <c r="Y5195" s="25"/>
      <c r="Z5195" s="25"/>
    </row>
    <row r="5196" spans="1:26" ht="15.75" customHeight="1" x14ac:dyDescent="0.25">
      <c r="A5196" s="25"/>
      <c r="B5196" s="49"/>
      <c r="C5196" s="50"/>
      <c r="D5196" s="23"/>
      <c r="E5196" s="23"/>
      <c r="F5196" s="15"/>
      <c r="G5196" s="23"/>
      <c r="H5196" s="15"/>
      <c r="I5196" s="15"/>
      <c r="J5196" s="51"/>
      <c r="K5196" s="15"/>
      <c r="L5196" s="51"/>
      <c r="M5196" s="15"/>
      <c r="N5196" s="23"/>
      <c r="O5196" s="23"/>
      <c r="P5196" s="15" t="str">
        <f t="shared" si="6"/>
        <v/>
      </c>
      <c r="Q5196" s="24"/>
      <c r="R5196" s="25"/>
      <c r="S5196" s="25"/>
      <c r="T5196" s="26"/>
      <c r="U5196" s="26"/>
      <c r="V5196" s="25"/>
      <c r="W5196" s="25"/>
      <c r="X5196" s="25"/>
      <c r="Y5196" s="25"/>
      <c r="Z5196" s="25"/>
    </row>
    <row r="5197" spans="1:26" ht="15.75" customHeight="1" x14ac:dyDescent="0.25">
      <c r="A5197" s="25"/>
      <c r="B5197" s="49"/>
      <c r="C5197" s="50"/>
      <c r="D5197" s="23"/>
      <c r="E5197" s="23"/>
      <c r="F5197" s="15"/>
      <c r="G5197" s="23"/>
      <c r="H5197" s="15"/>
      <c r="I5197" s="15"/>
      <c r="J5197" s="51"/>
      <c r="K5197" s="15"/>
      <c r="L5197" s="51"/>
      <c r="M5197" s="15"/>
      <c r="N5197" s="23"/>
      <c r="O5197" s="23"/>
      <c r="P5197" s="15" t="str">
        <f t="shared" si="6"/>
        <v/>
      </c>
      <c r="Q5197" s="24"/>
      <c r="R5197" s="25"/>
      <c r="S5197" s="25"/>
      <c r="T5197" s="26"/>
      <c r="U5197" s="26"/>
      <c r="V5197" s="25"/>
      <c r="W5197" s="25"/>
      <c r="X5197" s="25"/>
      <c r="Y5197" s="25"/>
      <c r="Z5197" s="25"/>
    </row>
    <row r="5198" spans="1:26" ht="15.75" customHeight="1" x14ac:dyDescent="0.25">
      <c r="A5198" s="25"/>
      <c r="B5198" s="49"/>
      <c r="C5198" s="50"/>
      <c r="D5198" s="23"/>
      <c r="E5198" s="23"/>
      <c r="F5198" s="15"/>
      <c r="G5198" s="23"/>
      <c r="H5198" s="15"/>
      <c r="I5198" s="15"/>
      <c r="J5198" s="51"/>
      <c r="K5198" s="15"/>
      <c r="L5198" s="51"/>
      <c r="M5198" s="15"/>
      <c r="N5198" s="23"/>
      <c r="O5198" s="23"/>
      <c r="P5198" s="15" t="str">
        <f t="shared" si="6"/>
        <v/>
      </c>
      <c r="Q5198" s="24"/>
      <c r="R5198" s="25"/>
      <c r="S5198" s="25"/>
      <c r="T5198" s="26"/>
      <c r="U5198" s="26"/>
      <c r="V5198" s="25"/>
      <c r="W5198" s="25"/>
      <c r="X5198" s="25"/>
      <c r="Y5198" s="25"/>
      <c r="Z5198" s="25"/>
    </row>
    <row r="5199" spans="1:26" ht="15.75" customHeight="1" x14ac:dyDescent="0.25">
      <c r="A5199" s="25"/>
      <c r="B5199" s="49"/>
      <c r="C5199" s="50"/>
      <c r="D5199" s="23"/>
      <c r="E5199" s="23"/>
      <c r="F5199" s="15"/>
      <c r="G5199" s="23"/>
      <c r="H5199" s="15"/>
      <c r="I5199" s="15"/>
      <c r="J5199" s="51"/>
      <c r="K5199" s="15"/>
      <c r="L5199" s="51"/>
      <c r="M5199" s="15"/>
      <c r="N5199" s="23"/>
      <c r="O5199" s="23"/>
      <c r="P5199" s="15" t="str">
        <f t="shared" si="6"/>
        <v/>
      </c>
      <c r="Q5199" s="24"/>
      <c r="R5199" s="25"/>
      <c r="S5199" s="25"/>
      <c r="T5199" s="26"/>
      <c r="U5199" s="26"/>
      <c r="V5199" s="25"/>
      <c r="W5199" s="25"/>
      <c r="X5199" s="25"/>
      <c r="Y5199" s="25"/>
      <c r="Z5199" s="25"/>
    </row>
    <row r="5200" spans="1:26" ht="15.75" customHeight="1" x14ac:dyDescent="0.25">
      <c r="A5200" s="25"/>
      <c r="B5200" s="49"/>
      <c r="C5200" s="50"/>
      <c r="D5200" s="23"/>
      <c r="E5200" s="23"/>
      <c r="F5200" s="15"/>
      <c r="G5200" s="23"/>
      <c r="H5200" s="15"/>
      <c r="I5200" s="15"/>
      <c r="J5200" s="51"/>
      <c r="K5200" s="15"/>
      <c r="L5200" s="51"/>
      <c r="M5200" s="15"/>
      <c r="N5200" s="23"/>
      <c r="O5200" s="23"/>
      <c r="P5200" s="15" t="str">
        <f t="shared" si="6"/>
        <v/>
      </c>
      <c r="Q5200" s="24"/>
      <c r="R5200" s="25"/>
      <c r="S5200" s="25"/>
      <c r="T5200" s="26"/>
      <c r="U5200" s="26"/>
      <c r="V5200" s="25"/>
      <c r="W5200" s="25"/>
      <c r="X5200" s="25"/>
      <c r="Y5200" s="25"/>
      <c r="Z5200" s="25"/>
    </row>
    <row r="5201" spans="1:26" ht="15.75" customHeight="1" x14ac:dyDescent="0.25">
      <c r="A5201" s="25"/>
      <c r="B5201" s="49"/>
      <c r="C5201" s="50"/>
      <c r="D5201" s="23"/>
      <c r="E5201" s="23"/>
      <c r="F5201" s="15"/>
      <c r="G5201" s="23"/>
      <c r="H5201" s="15"/>
      <c r="I5201" s="15"/>
      <c r="J5201" s="51"/>
      <c r="K5201" s="15"/>
      <c r="L5201" s="51"/>
      <c r="M5201" s="15"/>
      <c r="N5201" s="23"/>
      <c r="O5201" s="23"/>
      <c r="P5201" s="15" t="str">
        <f t="shared" si="6"/>
        <v/>
      </c>
      <c r="Q5201" s="24"/>
      <c r="R5201" s="25"/>
      <c r="S5201" s="25"/>
      <c r="T5201" s="26"/>
      <c r="U5201" s="26"/>
      <c r="V5201" s="25"/>
      <c r="W5201" s="25"/>
      <c r="X5201" s="25"/>
      <c r="Y5201" s="25"/>
      <c r="Z5201" s="25"/>
    </row>
    <row r="5202" spans="1:26" ht="15.75" customHeight="1" x14ac:dyDescent="0.25">
      <c r="A5202" s="25"/>
      <c r="B5202" s="49"/>
      <c r="C5202" s="50"/>
      <c r="D5202" s="23"/>
      <c r="E5202" s="23"/>
      <c r="F5202" s="15"/>
      <c r="G5202" s="23"/>
      <c r="H5202" s="15"/>
      <c r="I5202" s="15"/>
      <c r="J5202" s="51"/>
      <c r="K5202" s="15"/>
      <c r="L5202" s="51"/>
      <c r="M5202" s="15"/>
      <c r="N5202" s="23"/>
      <c r="O5202" s="23"/>
      <c r="P5202" s="15" t="str">
        <f t="shared" si="6"/>
        <v/>
      </c>
      <c r="Q5202" s="24"/>
      <c r="R5202" s="25"/>
      <c r="S5202" s="25"/>
      <c r="T5202" s="26"/>
      <c r="U5202" s="26"/>
      <c r="V5202" s="25"/>
      <c r="W5202" s="25"/>
      <c r="X5202" s="25"/>
      <c r="Y5202" s="25"/>
      <c r="Z5202" s="25"/>
    </row>
    <row r="5203" spans="1:26" ht="15.75" customHeight="1" x14ac:dyDescent="0.25">
      <c r="A5203" s="25"/>
      <c r="B5203" s="49"/>
      <c r="C5203" s="50"/>
      <c r="D5203" s="23"/>
      <c r="E5203" s="23"/>
      <c r="F5203" s="15"/>
      <c r="G5203" s="23"/>
      <c r="H5203" s="15"/>
      <c r="I5203" s="15"/>
      <c r="J5203" s="51"/>
      <c r="K5203" s="15"/>
      <c r="L5203" s="51"/>
      <c r="M5203" s="15"/>
      <c r="N5203" s="23"/>
      <c r="O5203" s="23"/>
      <c r="P5203" s="15" t="str">
        <f t="shared" si="6"/>
        <v/>
      </c>
      <c r="Q5203" s="24"/>
      <c r="R5203" s="25"/>
      <c r="S5203" s="25"/>
      <c r="T5203" s="26"/>
      <c r="U5203" s="26"/>
      <c r="V5203" s="25"/>
      <c r="W5203" s="25"/>
      <c r="X5203" s="25"/>
      <c r="Y5203" s="25"/>
      <c r="Z5203" s="25"/>
    </row>
    <row r="5204" spans="1:26" ht="15.75" customHeight="1" x14ac:dyDescent="0.25">
      <c r="A5204" s="25"/>
      <c r="B5204" s="49"/>
      <c r="C5204" s="50"/>
      <c r="D5204" s="23"/>
      <c r="E5204" s="23"/>
      <c r="F5204" s="15"/>
      <c r="G5204" s="23"/>
      <c r="H5204" s="15"/>
      <c r="I5204" s="15"/>
      <c r="J5204" s="51"/>
      <c r="K5204" s="15"/>
      <c r="L5204" s="51"/>
      <c r="M5204" s="15"/>
      <c r="N5204" s="23"/>
      <c r="O5204" s="23"/>
      <c r="P5204" s="15" t="str">
        <f t="shared" si="6"/>
        <v/>
      </c>
      <c r="Q5204" s="24"/>
      <c r="R5204" s="25"/>
      <c r="S5204" s="25"/>
      <c r="T5204" s="26"/>
      <c r="U5204" s="26"/>
      <c r="V5204" s="25"/>
      <c r="W5204" s="25"/>
      <c r="X5204" s="25"/>
      <c r="Y5204" s="25"/>
      <c r="Z5204" s="25"/>
    </row>
    <row r="5205" spans="1:26" ht="15.75" customHeight="1" x14ac:dyDescent="0.25">
      <c r="A5205" s="25"/>
      <c r="B5205" s="49"/>
      <c r="C5205" s="50"/>
      <c r="D5205" s="23"/>
      <c r="E5205" s="23"/>
      <c r="F5205" s="15"/>
      <c r="G5205" s="23"/>
      <c r="H5205" s="15"/>
      <c r="I5205" s="15"/>
      <c r="J5205" s="51"/>
      <c r="K5205" s="15"/>
      <c r="L5205" s="51"/>
      <c r="M5205" s="15"/>
      <c r="N5205" s="23"/>
      <c r="O5205" s="23"/>
      <c r="P5205" s="15" t="str">
        <f t="shared" si="6"/>
        <v/>
      </c>
      <c r="Q5205" s="24"/>
      <c r="R5205" s="25"/>
      <c r="S5205" s="25"/>
      <c r="T5205" s="26"/>
      <c r="U5205" s="26"/>
      <c r="V5205" s="25"/>
      <c r="W5205" s="25"/>
      <c r="X5205" s="25"/>
      <c r="Y5205" s="25"/>
      <c r="Z5205" s="25"/>
    </row>
    <row r="5206" spans="1:26" ht="15.75" customHeight="1" x14ac:dyDescent="0.25">
      <c r="A5206" s="25"/>
      <c r="B5206" s="49"/>
      <c r="C5206" s="50"/>
      <c r="D5206" s="23"/>
      <c r="E5206" s="23"/>
      <c r="F5206" s="15"/>
      <c r="G5206" s="23"/>
      <c r="H5206" s="15"/>
      <c r="I5206" s="15"/>
      <c r="J5206" s="51"/>
      <c r="K5206" s="15"/>
      <c r="L5206" s="51"/>
      <c r="M5206" s="15"/>
      <c r="N5206" s="23"/>
      <c r="O5206" s="23"/>
      <c r="P5206" s="15" t="str">
        <f t="shared" si="6"/>
        <v/>
      </c>
      <c r="Q5206" s="24"/>
      <c r="R5206" s="25"/>
      <c r="S5206" s="25"/>
      <c r="T5206" s="26"/>
      <c r="U5206" s="26"/>
      <c r="V5206" s="25"/>
      <c r="W5206" s="25"/>
      <c r="X5206" s="25"/>
      <c r="Y5206" s="25"/>
      <c r="Z5206" s="25"/>
    </row>
    <row r="5207" spans="1:26" ht="15.75" customHeight="1" x14ac:dyDescent="0.25">
      <c r="A5207" s="25"/>
      <c r="B5207" s="49"/>
      <c r="C5207" s="50"/>
      <c r="D5207" s="23"/>
      <c r="E5207" s="23"/>
      <c r="F5207" s="15"/>
      <c r="G5207" s="23"/>
      <c r="H5207" s="15"/>
      <c r="I5207" s="15"/>
      <c r="J5207" s="51"/>
      <c r="K5207" s="15"/>
      <c r="L5207" s="51"/>
      <c r="M5207" s="15"/>
      <c r="N5207" s="23"/>
      <c r="O5207" s="23"/>
      <c r="P5207" s="15" t="str">
        <f t="shared" si="6"/>
        <v/>
      </c>
      <c r="Q5207" s="24"/>
      <c r="R5207" s="25"/>
      <c r="S5207" s="25"/>
      <c r="T5207" s="26"/>
      <c r="U5207" s="26"/>
      <c r="V5207" s="25"/>
      <c r="W5207" s="25"/>
      <c r="X5207" s="25"/>
      <c r="Y5207" s="25"/>
      <c r="Z5207" s="25"/>
    </row>
    <row r="5208" spans="1:26" ht="15.75" customHeight="1" x14ac:dyDescent="0.25">
      <c r="A5208" s="25"/>
      <c r="B5208" s="49"/>
      <c r="C5208" s="50"/>
      <c r="D5208" s="23"/>
      <c r="E5208" s="23"/>
      <c r="F5208" s="15"/>
      <c r="G5208" s="23"/>
      <c r="H5208" s="15"/>
      <c r="I5208" s="15"/>
      <c r="J5208" s="51"/>
      <c r="K5208" s="15"/>
      <c r="L5208" s="51"/>
      <c r="M5208" s="15"/>
      <c r="N5208" s="23"/>
      <c r="O5208" s="23"/>
      <c r="P5208" s="15" t="str">
        <f t="shared" si="6"/>
        <v/>
      </c>
      <c r="Q5208" s="24"/>
      <c r="R5208" s="25"/>
      <c r="S5208" s="25"/>
      <c r="T5208" s="26"/>
      <c r="U5208" s="26"/>
      <c r="V5208" s="25"/>
      <c r="W5208" s="25"/>
      <c r="X5208" s="25"/>
      <c r="Y5208" s="25"/>
      <c r="Z5208" s="25"/>
    </row>
    <row r="5209" spans="1:26" ht="15.75" customHeight="1" x14ac:dyDescent="0.25">
      <c r="A5209" s="25"/>
      <c r="B5209" s="49"/>
      <c r="C5209" s="50"/>
      <c r="D5209" s="23"/>
      <c r="E5209" s="23"/>
      <c r="F5209" s="15"/>
      <c r="G5209" s="23"/>
      <c r="H5209" s="15"/>
      <c r="I5209" s="15"/>
      <c r="J5209" s="51"/>
      <c r="K5209" s="15"/>
      <c r="L5209" s="51"/>
      <c r="M5209" s="15"/>
      <c r="N5209" s="23"/>
      <c r="O5209" s="23"/>
      <c r="P5209" s="15" t="str">
        <f t="shared" si="6"/>
        <v/>
      </c>
      <c r="Q5209" s="24"/>
      <c r="R5209" s="25"/>
      <c r="S5209" s="25"/>
      <c r="T5209" s="26"/>
      <c r="U5209" s="26"/>
      <c r="V5209" s="25"/>
      <c r="W5209" s="25"/>
      <c r="X5209" s="25"/>
      <c r="Y5209" s="25"/>
      <c r="Z5209" s="25"/>
    </row>
    <row r="5210" spans="1:26" ht="15.75" customHeight="1" x14ac:dyDescent="0.25">
      <c r="A5210" s="25"/>
      <c r="B5210" s="49"/>
      <c r="C5210" s="50"/>
      <c r="D5210" s="23"/>
      <c r="E5210" s="23"/>
      <c r="F5210" s="15"/>
      <c r="G5210" s="23"/>
      <c r="H5210" s="15"/>
      <c r="I5210" s="15"/>
      <c r="J5210" s="51"/>
      <c r="K5210" s="15"/>
      <c r="L5210" s="51"/>
      <c r="M5210" s="15"/>
      <c r="N5210" s="23"/>
      <c r="O5210" s="23"/>
      <c r="P5210" s="15" t="str">
        <f t="shared" si="6"/>
        <v/>
      </c>
      <c r="Q5210" s="24"/>
      <c r="R5210" s="25"/>
      <c r="S5210" s="25"/>
      <c r="T5210" s="26"/>
      <c r="U5210" s="26"/>
      <c r="V5210" s="25"/>
      <c r="W5210" s="25"/>
      <c r="X5210" s="25"/>
      <c r="Y5210" s="25"/>
      <c r="Z5210" s="25"/>
    </row>
    <row r="5211" spans="1:26" ht="15.75" customHeight="1" x14ac:dyDescent="0.25">
      <c r="A5211" s="25"/>
      <c r="B5211" s="49"/>
      <c r="C5211" s="50"/>
      <c r="D5211" s="23"/>
      <c r="E5211" s="23"/>
      <c r="F5211" s="15"/>
      <c r="G5211" s="23"/>
      <c r="H5211" s="15"/>
      <c r="I5211" s="15"/>
      <c r="J5211" s="51"/>
      <c r="K5211" s="15"/>
      <c r="L5211" s="51"/>
      <c r="M5211" s="15"/>
      <c r="N5211" s="23"/>
      <c r="O5211" s="23"/>
      <c r="P5211" s="15" t="str">
        <f t="shared" si="6"/>
        <v/>
      </c>
      <c r="Q5211" s="24"/>
      <c r="R5211" s="25"/>
      <c r="S5211" s="25"/>
      <c r="T5211" s="26"/>
      <c r="U5211" s="26"/>
      <c r="V5211" s="25"/>
      <c r="W5211" s="25"/>
      <c r="X5211" s="25"/>
      <c r="Y5211" s="25"/>
      <c r="Z5211" s="25"/>
    </row>
    <row r="5212" spans="1:26" ht="15.75" customHeight="1" x14ac:dyDescent="0.25">
      <c r="A5212" s="25"/>
      <c r="B5212" s="49"/>
      <c r="C5212" s="50"/>
      <c r="D5212" s="23"/>
      <c r="E5212" s="23"/>
      <c r="F5212" s="15"/>
      <c r="G5212" s="23"/>
      <c r="H5212" s="15"/>
      <c r="I5212" s="15"/>
      <c r="J5212" s="51"/>
      <c r="K5212" s="15"/>
      <c r="L5212" s="51"/>
      <c r="M5212" s="15"/>
      <c r="N5212" s="23"/>
      <c r="O5212" s="23"/>
      <c r="P5212" s="15" t="str">
        <f t="shared" si="6"/>
        <v/>
      </c>
      <c r="Q5212" s="24"/>
      <c r="R5212" s="25"/>
      <c r="S5212" s="25"/>
      <c r="T5212" s="26"/>
      <c r="U5212" s="26"/>
      <c r="V5212" s="25"/>
      <c r="W5212" s="25"/>
      <c r="X5212" s="25"/>
      <c r="Y5212" s="25"/>
      <c r="Z5212" s="25"/>
    </row>
    <row r="5213" spans="1:26" ht="15.75" customHeight="1" x14ac:dyDescent="0.25">
      <c r="A5213" s="25"/>
      <c r="B5213" s="49"/>
      <c r="C5213" s="50"/>
      <c r="D5213" s="23"/>
      <c r="E5213" s="23"/>
      <c r="F5213" s="15"/>
      <c r="G5213" s="23"/>
      <c r="H5213" s="15"/>
      <c r="I5213" s="15"/>
      <c r="J5213" s="51"/>
      <c r="K5213" s="15"/>
      <c r="L5213" s="51"/>
      <c r="M5213" s="15"/>
      <c r="N5213" s="23"/>
      <c r="O5213" s="23"/>
      <c r="P5213" s="15" t="str">
        <f t="shared" si="6"/>
        <v/>
      </c>
      <c r="Q5213" s="24"/>
      <c r="R5213" s="25"/>
      <c r="S5213" s="25"/>
      <c r="T5213" s="26"/>
      <c r="U5213" s="26"/>
      <c r="V5213" s="25"/>
      <c r="W5213" s="25"/>
      <c r="X5213" s="25"/>
      <c r="Y5213" s="25"/>
      <c r="Z5213" s="25"/>
    </row>
    <row r="5214" spans="1:26" ht="15.75" customHeight="1" x14ac:dyDescent="0.25">
      <c r="A5214" s="25"/>
      <c r="B5214" s="49"/>
      <c r="C5214" s="50"/>
      <c r="D5214" s="23"/>
      <c r="E5214" s="23"/>
      <c r="F5214" s="15"/>
      <c r="G5214" s="23"/>
      <c r="H5214" s="15"/>
      <c r="I5214" s="15"/>
      <c r="J5214" s="51"/>
      <c r="K5214" s="15"/>
      <c r="L5214" s="51"/>
      <c r="M5214" s="15"/>
      <c r="N5214" s="23"/>
      <c r="O5214" s="23"/>
      <c r="P5214" s="15" t="str">
        <f t="shared" si="6"/>
        <v/>
      </c>
      <c r="Q5214" s="24"/>
      <c r="R5214" s="25"/>
      <c r="S5214" s="25"/>
      <c r="T5214" s="26"/>
      <c r="U5214" s="26"/>
      <c r="V5214" s="25"/>
      <c r="W5214" s="25"/>
      <c r="X5214" s="25"/>
      <c r="Y5214" s="25"/>
      <c r="Z5214" s="25"/>
    </row>
    <row r="5215" spans="1:26" ht="15.75" customHeight="1" x14ac:dyDescent="0.25">
      <c r="A5215" s="25"/>
      <c r="B5215" s="49"/>
      <c r="C5215" s="50"/>
      <c r="D5215" s="23"/>
      <c r="E5215" s="23"/>
      <c r="F5215" s="15"/>
      <c r="G5215" s="23"/>
      <c r="H5215" s="15"/>
      <c r="I5215" s="15"/>
      <c r="J5215" s="51"/>
      <c r="K5215" s="15"/>
      <c r="L5215" s="51"/>
      <c r="M5215" s="15"/>
      <c r="N5215" s="23"/>
      <c r="O5215" s="23"/>
      <c r="P5215" s="15" t="str">
        <f t="shared" si="6"/>
        <v/>
      </c>
      <c r="Q5215" s="24"/>
      <c r="R5215" s="25"/>
      <c r="S5215" s="25"/>
      <c r="T5215" s="26"/>
      <c r="U5215" s="26"/>
      <c r="V5215" s="25"/>
      <c r="W5215" s="25"/>
      <c r="X5215" s="25"/>
      <c r="Y5215" s="25"/>
      <c r="Z5215" s="25"/>
    </row>
    <row r="5216" spans="1:26" ht="15.75" customHeight="1" x14ac:dyDescent="0.25">
      <c r="A5216" s="25"/>
      <c r="B5216" s="49"/>
      <c r="C5216" s="50"/>
      <c r="D5216" s="23"/>
      <c r="E5216" s="23"/>
      <c r="F5216" s="15"/>
      <c r="G5216" s="23"/>
      <c r="H5216" s="15"/>
      <c r="I5216" s="15"/>
      <c r="J5216" s="51"/>
      <c r="K5216" s="15"/>
      <c r="L5216" s="51"/>
      <c r="M5216" s="15"/>
      <c r="N5216" s="23"/>
      <c r="O5216" s="23"/>
      <c r="P5216" s="15" t="str">
        <f t="shared" si="6"/>
        <v/>
      </c>
      <c r="Q5216" s="24"/>
      <c r="R5216" s="25"/>
      <c r="S5216" s="25"/>
      <c r="T5216" s="26"/>
      <c r="U5216" s="26"/>
      <c r="V5216" s="25"/>
      <c r="W5216" s="25"/>
      <c r="X5216" s="25"/>
      <c r="Y5216" s="25"/>
      <c r="Z5216" s="25"/>
    </row>
    <row r="5217" spans="1:26" ht="15.75" customHeight="1" x14ac:dyDescent="0.25">
      <c r="A5217" s="25"/>
      <c r="B5217" s="49"/>
      <c r="C5217" s="50"/>
      <c r="D5217" s="23"/>
      <c r="E5217" s="23"/>
      <c r="F5217" s="15"/>
      <c r="G5217" s="23"/>
      <c r="H5217" s="15"/>
      <c r="I5217" s="15"/>
      <c r="J5217" s="51"/>
      <c r="K5217" s="15"/>
      <c r="L5217" s="51"/>
      <c r="M5217" s="15"/>
      <c r="N5217" s="23"/>
      <c r="O5217" s="23"/>
      <c r="P5217" s="15" t="str">
        <f t="shared" si="6"/>
        <v/>
      </c>
      <c r="Q5217" s="24"/>
      <c r="R5217" s="25"/>
      <c r="S5217" s="25"/>
      <c r="T5217" s="26"/>
      <c r="U5217" s="26"/>
      <c r="V5217" s="25"/>
      <c r="W5217" s="25"/>
      <c r="X5217" s="25"/>
      <c r="Y5217" s="25"/>
      <c r="Z5217" s="25"/>
    </row>
    <row r="5218" spans="1:26" ht="15.75" customHeight="1" x14ac:dyDescent="0.25">
      <c r="A5218" s="25"/>
      <c r="B5218" s="49"/>
      <c r="C5218" s="50"/>
      <c r="D5218" s="23"/>
      <c r="E5218" s="23"/>
      <c r="F5218" s="15"/>
      <c r="G5218" s="23"/>
      <c r="H5218" s="15"/>
      <c r="I5218" s="15"/>
      <c r="J5218" s="51"/>
      <c r="K5218" s="15"/>
      <c r="L5218" s="51"/>
      <c r="M5218" s="15"/>
      <c r="N5218" s="23"/>
      <c r="O5218" s="23"/>
      <c r="P5218" s="15" t="str">
        <f t="shared" si="6"/>
        <v/>
      </c>
      <c r="Q5218" s="24"/>
      <c r="R5218" s="25"/>
      <c r="S5218" s="25"/>
      <c r="T5218" s="26"/>
      <c r="U5218" s="26"/>
      <c r="V5218" s="25"/>
      <c r="W5218" s="25"/>
      <c r="X5218" s="25"/>
      <c r="Y5218" s="25"/>
      <c r="Z5218" s="25"/>
    </row>
    <row r="5219" spans="1:26" ht="15.75" customHeight="1" x14ac:dyDescent="0.25">
      <c r="A5219" s="25"/>
      <c r="B5219" s="49"/>
      <c r="C5219" s="50"/>
      <c r="D5219" s="23"/>
      <c r="E5219" s="23"/>
      <c r="F5219" s="15"/>
      <c r="G5219" s="23"/>
      <c r="H5219" s="15"/>
      <c r="I5219" s="15"/>
      <c r="J5219" s="51"/>
      <c r="K5219" s="15"/>
      <c r="L5219" s="51"/>
      <c r="M5219" s="15"/>
      <c r="N5219" s="23"/>
      <c r="O5219" s="23"/>
      <c r="P5219" s="15" t="str">
        <f t="shared" si="6"/>
        <v/>
      </c>
      <c r="Q5219" s="24"/>
      <c r="R5219" s="25"/>
      <c r="S5219" s="25"/>
      <c r="T5219" s="26"/>
      <c r="U5219" s="26"/>
      <c r="V5219" s="25"/>
      <c r="W5219" s="25"/>
      <c r="X5219" s="25"/>
      <c r="Y5219" s="25"/>
      <c r="Z5219" s="25"/>
    </row>
    <row r="5220" spans="1:26" ht="15.75" customHeight="1" x14ac:dyDescent="0.25">
      <c r="A5220" s="25"/>
      <c r="B5220" s="49"/>
      <c r="C5220" s="50"/>
      <c r="D5220" s="23"/>
      <c r="E5220" s="23"/>
      <c r="F5220" s="15"/>
      <c r="G5220" s="23"/>
      <c r="H5220" s="15"/>
      <c r="I5220" s="15"/>
      <c r="J5220" s="51"/>
      <c r="K5220" s="15"/>
      <c r="L5220" s="51"/>
      <c r="M5220" s="15"/>
      <c r="N5220" s="23"/>
      <c r="O5220" s="23"/>
      <c r="P5220" s="15" t="str">
        <f t="shared" si="6"/>
        <v/>
      </c>
      <c r="Q5220" s="24"/>
      <c r="R5220" s="25"/>
      <c r="S5220" s="25"/>
      <c r="T5220" s="26"/>
      <c r="U5220" s="26"/>
      <c r="V5220" s="25"/>
      <c r="W5220" s="25"/>
      <c r="X5220" s="25"/>
      <c r="Y5220" s="25"/>
      <c r="Z5220" s="25"/>
    </row>
    <row r="5221" spans="1:26" ht="15.75" customHeight="1" x14ac:dyDescent="0.25">
      <c r="A5221" s="25"/>
      <c r="B5221" s="49"/>
      <c r="C5221" s="50"/>
      <c r="D5221" s="23"/>
      <c r="E5221" s="23"/>
      <c r="F5221" s="15"/>
      <c r="G5221" s="23"/>
      <c r="H5221" s="15"/>
      <c r="I5221" s="15"/>
      <c r="J5221" s="51"/>
      <c r="K5221" s="15"/>
      <c r="L5221" s="51"/>
      <c r="M5221" s="15"/>
      <c r="N5221" s="23"/>
      <c r="O5221" s="23"/>
      <c r="P5221" s="15" t="str">
        <f t="shared" si="6"/>
        <v/>
      </c>
      <c r="Q5221" s="24"/>
      <c r="R5221" s="25"/>
      <c r="S5221" s="25"/>
      <c r="T5221" s="26"/>
      <c r="U5221" s="26"/>
      <c r="V5221" s="25"/>
      <c r="W5221" s="25"/>
      <c r="X5221" s="25"/>
      <c r="Y5221" s="25"/>
      <c r="Z5221" s="25"/>
    </row>
    <row r="5222" spans="1:26" ht="15.75" customHeight="1" x14ac:dyDescent="0.25">
      <c r="A5222" s="25"/>
      <c r="B5222" s="49"/>
      <c r="C5222" s="50"/>
      <c r="D5222" s="23"/>
      <c r="E5222" s="23"/>
      <c r="F5222" s="15"/>
      <c r="G5222" s="23"/>
      <c r="H5222" s="15"/>
      <c r="I5222" s="15"/>
      <c r="J5222" s="51"/>
      <c r="K5222" s="15"/>
      <c r="L5222" s="51"/>
      <c r="M5222" s="15"/>
      <c r="N5222" s="23"/>
      <c r="O5222" s="23"/>
      <c r="P5222" s="15" t="str">
        <f t="shared" si="6"/>
        <v/>
      </c>
      <c r="Q5222" s="24"/>
      <c r="R5222" s="25"/>
      <c r="S5222" s="25"/>
      <c r="T5222" s="26"/>
      <c r="U5222" s="26"/>
      <c r="V5222" s="25"/>
      <c r="W5222" s="25"/>
      <c r="X5222" s="25"/>
      <c r="Y5222" s="25"/>
      <c r="Z5222" s="25"/>
    </row>
    <row r="5223" spans="1:26" ht="15.75" customHeight="1" x14ac:dyDescent="0.25">
      <c r="A5223" s="25"/>
      <c r="B5223" s="49"/>
      <c r="C5223" s="50"/>
      <c r="D5223" s="23"/>
      <c r="E5223" s="23"/>
      <c r="F5223" s="15"/>
      <c r="G5223" s="23"/>
      <c r="H5223" s="15"/>
      <c r="I5223" s="15"/>
      <c r="J5223" s="51"/>
      <c r="K5223" s="15"/>
      <c r="L5223" s="51"/>
      <c r="M5223" s="15"/>
      <c r="N5223" s="23"/>
      <c r="O5223" s="23"/>
      <c r="P5223" s="15" t="str">
        <f t="shared" si="6"/>
        <v/>
      </c>
      <c r="Q5223" s="24"/>
      <c r="R5223" s="25"/>
      <c r="S5223" s="25"/>
      <c r="T5223" s="26"/>
      <c r="U5223" s="26"/>
      <c r="V5223" s="25"/>
      <c r="W5223" s="25"/>
      <c r="X5223" s="25"/>
      <c r="Y5223" s="25"/>
      <c r="Z5223" s="25"/>
    </row>
    <row r="5224" spans="1:26" ht="15.75" customHeight="1" x14ac:dyDescent="0.25">
      <c r="A5224" s="25"/>
      <c r="B5224" s="49"/>
      <c r="C5224" s="50"/>
      <c r="D5224" s="23"/>
      <c r="E5224" s="23"/>
      <c r="F5224" s="15"/>
      <c r="G5224" s="23"/>
      <c r="H5224" s="15"/>
      <c r="I5224" s="15"/>
      <c r="J5224" s="51"/>
      <c r="K5224" s="15"/>
      <c r="L5224" s="51"/>
      <c r="M5224" s="15"/>
      <c r="N5224" s="23"/>
      <c r="O5224" s="23"/>
      <c r="P5224" s="15" t="str">
        <f t="shared" si="6"/>
        <v/>
      </c>
      <c r="Q5224" s="24"/>
      <c r="R5224" s="25"/>
      <c r="S5224" s="25"/>
      <c r="T5224" s="26"/>
      <c r="U5224" s="26"/>
      <c r="V5224" s="25"/>
      <c r="W5224" s="25"/>
      <c r="X5224" s="25"/>
      <c r="Y5224" s="25"/>
      <c r="Z5224" s="25"/>
    </row>
    <row r="5225" spans="1:26" ht="15.75" customHeight="1" x14ac:dyDescent="0.25">
      <c r="A5225" s="25"/>
      <c r="B5225" s="49"/>
      <c r="C5225" s="50"/>
      <c r="D5225" s="23"/>
      <c r="E5225" s="23"/>
      <c r="F5225" s="15"/>
      <c r="G5225" s="23"/>
      <c r="H5225" s="15"/>
      <c r="I5225" s="15"/>
      <c r="J5225" s="51"/>
      <c r="K5225" s="15"/>
      <c r="L5225" s="51"/>
      <c r="M5225" s="15"/>
      <c r="N5225" s="23"/>
      <c r="O5225" s="23"/>
      <c r="P5225" s="15" t="str">
        <f t="shared" si="6"/>
        <v/>
      </c>
      <c r="Q5225" s="24"/>
      <c r="R5225" s="25"/>
      <c r="S5225" s="25"/>
      <c r="T5225" s="26"/>
      <c r="U5225" s="26"/>
      <c r="V5225" s="25"/>
      <c r="W5225" s="25"/>
      <c r="X5225" s="25"/>
      <c r="Y5225" s="25"/>
      <c r="Z5225" s="25"/>
    </row>
    <row r="5226" spans="1:26" ht="15.75" customHeight="1" x14ac:dyDescent="0.25">
      <c r="A5226" s="25"/>
      <c r="B5226" s="49"/>
      <c r="C5226" s="50"/>
      <c r="D5226" s="23"/>
      <c r="E5226" s="23"/>
      <c r="F5226" s="15"/>
      <c r="G5226" s="23"/>
      <c r="H5226" s="15"/>
      <c r="I5226" s="15"/>
      <c r="J5226" s="51"/>
      <c r="K5226" s="15"/>
      <c r="L5226" s="51"/>
      <c r="M5226" s="15"/>
      <c r="N5226" s="23"/>
      <c r="O5226" s="23"/>
      <c r="P5226" s="15" t="str">
        <f t="shared" si="6"/>
        <v/>
      </c>
      <c r="Q5226" s="24"/>
      <c r="R5226" s="25"/>
      <c r="S5226" s="25"/>
      <c r="T5226" s="26"/>
      <c r="U5226" s="26"/>
      <c r="V5226" s="25"/>
      <c r="W5226" s="25"/>
      <c r="X5226" s="25"/>
      <c r="Y5226" s="25"/>
      <c r="Z5226" s="25"/>
    </row>
    <row r="5227" spans="1:26" ht="15.75" customHeight="1" x14ac:dyDescent="0.25">
      <c r="A5227" s="25"/>
      <c r="B5227" s="49"/>
      <c r="C5227" s="50"/>
      <c r="D5227" s="23"/>
      <c r="E5227" s="23"/>
      <c r="F5227" s="15"/>
      <c r="G5227" s="23"/>
      <c r="H5227" s="15"/>
      <c r="I5227" s="15"/>
      <c r="J5227" s="51"/>
      <c r="K5227" s="15"/>
      <c r="L5227" s="51"/>
      <c r="M5227" s="15"/>
      <c r="N5227" s="23"/>
      <c r="O5227" s="23"/>
      <c r="P5227" s="15" t="str">
        <f t="shared" si="6"/>
        <v/>
      </c>
      <c r="Q5227" s="24"/>
      <c r="R5227" s="25"/>
      <c r="S5227" s="25"/>
      <c r="T5227" s="26"/>
      <c r="U5227" s="26"/>
      <c r="V5227" s="25"/>
      <c r="W5227" s="25"/>
      <c r="X5227" s="25"/>
      <c r="Y5227" s="25"/>
      <c r="Z5227" s="25"/>
    </row>
    <row r="5228" spans="1:26" ht="15.75" customHeight="1" x14ac:dyDescent="0.25">
      <c r="A5228" s="25"/>
      <c r="B5228" s="49"/>
      <c r="C5228" s="50"/>
      <c r="D5228" s="23"/>
      <c r="E5228" s="23"/>
      <c r="F5228" s="15"/>
      <c r="G5228" s="23"/>
      <c r="H5228" s="15"/>
      <c r="I5228" s="15"/>
      <c r="J5228" s="51"/>
      <c r="K5228" s="15"/>
      <c r="L5228" s="51"/>
      <c r="M5228" s="15"/>
      <c r="N5228" s="23"/>
      <c r="O5228" s="23"/>
      <c r="P5228" s="15" t="str">
        <f t="shared" si="6"/>
        <v/>
      </c>
      <c r="Q5228" s="24"/>
      <c r="R5228" s="25"/>
      <c r="S5228" s="25"/>
      <c r="T5228" s="26"/>
      <c r="U5228" s="26"/>
      <c r="V5228" s="25"/>
      <c r="W5228" s="25"/>
      <c r="X5228" s="25"/>
      <c r="Y5228" s="25"/>
      <c r="Z5228" s="25"/>
    </row>
    <row r="5229" spans="1:26" ht="15.75" customHeight="1" x14ac:dyDescent="0.25">
      <c r="A5229" s="25"/>
      <c r="B5229" s="49"/>
      <c r="C5229" s="50"/>
      <c r="D5229" s="23"/>
      <c r="E5229" s="23"/>
      <c r="F5229" s="15"/>
      <c r="G5229" s="23"/>
      <c r="H5229" s="15"/>
      <c r="I5229" s="15"/>
      <c r="J5229" s="51"/>
      <c r="K5229" s="15"/>
      <c r="L5229" s="51"/>
      <c r="M5229" s="15"/>
      <c r="N5229" s="23"/>
      <c r="O5229" s="23"/>
      <c r="P5229" s="15" t="str">
        <f t="shared" si="6"/>
        <v/>
      </c>
      <c r="Q5229" s="24"/>
      <c r="R5229" s="25"/>
      <c r="S5229" s="25"/>
      <c r="T5229" s="26"/>
      <c r="U5229" s="26"/>
      <c r="V5229" s="25"/>
      <c r="W5229" s="25"/>
      <c r="X5229" s="25"/>
      <c r="Y5229" s="25"/>
      <c r="Z5229" s="25"/>
    </row>
    <row r="5230" spans="1:26" ht="15.75" customHeight="1" x14ac:dyDescent="0.25">
      <c r="A5230" s="25"/>
      <c r="B5230" s="49"/>
      <c r="C5230" s="50"/>
      <c r="D5230" s="23"/>
      <c r="E5230" s="23"/>
      <c r="F5230" s="15"/>
      <c r="G5230" s="23"/>
      <c r="H5230" s="15"/>
      <c r="I5230" s="15"/>
      <c r="J5230" s="51"/>
      <c r="K5230" s="15"/>
      <c r="L5230" s="51"/>
      <c r="M5230" s="15"/>
      <c r="N5230" s="23"/>
      <c r="O5230" s="23"/>
      <c r="P5230" s="15" t="str">
        <f t="shared" si="6"/>
        <v/>
      </c>
      <c r="Q5230" s="24"/>
      <c r="R5230" s="25"/>
      <c r="S5230" s="25"/>
      <c r="T5230" s="26"/>
      <c r="U5230" s="26"/>
      <c r="V5230" s="25"/>
      <c r="W5230" s="25"/>
      <c r="X5230" s="25"/>
      <c r="Y5230" s="25"/>
      <c r="Z5230" s="25"/>
    </row>
    <row r="5231" spans="1:26" ht="15.75" customHeight="1" x14ac:dyDescent="0.25">
      <c r="A5231" s="25"/>
      <c r="B5231" s="49"/>
      <c r="C5231" s="50"/>
      <c r="D5231" s="23"/>
      <c r="E5231" s="23"/>
      <c r="F5231" s="15"/>
      <c r="G5231" s="23"/>
      <c r="H5231" s="15"/>
      <c r="I5231" s="15"/>
      <c r="J5231" s="51"/>
      <c r="K5231" s="15"/>
      <c r="L5231" s="51"/>
      <c r="M5231" s="15"/>
      <c r="N5231" s="23"/>
      <c r="O5231" s="23"/>
      <c r="P5231" s="15" t="str">
        <f t="shared" si="6"/>
        <v/>
      </c>
      <c r="Q5231" s="24"/>
      <c r="R5231" s="25"/>
      <c r="S5231" s="25"/>
      <c r="T5231" s="26"/>
      <c r="U5231" s="26"/>
      <c r="V5231" s="25"/>
      <c r="W5231" s="25"/>
      <c r="X5231" s="25"/>
      <c r="Y5231" s="25"/>
      <c r="Z5231" s="25"/>
    </row>
    <row r="5232" spans="1:26" ht="15.75" customHeight="1" x14ac:dyDescent="0.25">
      <c r="A5232" s="25"/>
      <c r="B5232" s="49"/>
      <c r="C5232" s="50"/>
      <c r="D5232" s="23"/>
      <c r="E5232" s="23"/>
      <c r="F5232" s="15"/>
      <c r="G5232" s="23"/>
      <c r="H5232" s="15"/>
      <c r="I5232" s="15"/>
      <c r="J5232" s="51"/>
      <c r="K5232" s="15"/>
      <c r="L5232" s="51"/>
      <c r="M5232" s="15"/>
      <c r="N5232" s="23"/>
      <c r="O5232" s="23"/>
      <c r="P5232" s="15" t="str">
        <f t="shared" si="6"/>
        <v/>
      </c>
      <c r="Q5232" s="24"/>
      <c r="R5232" s="25"/>
      <c r="S5232" s="25"/>
      <c r="T5232" s="26"/>
      <c r="U5232" s="26"/>
      <c r="V5232" s="25"/>
      <c r="W5232" s="25"/>
      <c r="X5232" s="25"/>
      <c r="Y5232" s="25"/>
      <c r="Z5232" s="25"/>
    </row>
    <row r="5233" spans="1:26" ht="15.75" customHeight="1" x14ac:dyDescent="0.25">
      <c r="A5233" s="25"/>
      <c r="B5233" s="49"/>
      <c r="C5233" s="50"/>
      <c r="D5233" s="23"/>
      <c r="E5233" s="23"/>
      <c r="F5233" s="15"/>
      <c r="G5233" s="23"/>
      <c r="H5233" s="15"/>
      <c r="I5233" s="15"/>
      <c r="J5233" s="51"/>
      <c r="K5233" s="15"/>
      <c r="L5233" s="51"/>
      <c r="M5233" s="15"/>
      <c r="N5233" s="23"/>
      <c r="O5233" s="23"/>
      <c r="P5233" s="15" t="str">
        <f t="shared" si="6"/>
        <v/>
      </c>
      <c r="Q5233" s="24"/>
      <c r="R5233" s="25"/>
      <c r="S5233" s="25"/>
      <c r="T5233" s="26"/>
      <c r="U5233" s="26"/>
      <c r="V5233" s="25"/>
      <c r="W5233" s="25"/>
      <c r="X5233" s="25"/>
      <c r="Y5233" s="25"/>
      <c r="Z5233" s="25"/>
    </row>
    <row r="5234" spans="1:26" ht="15.75" customHeight="1" x14ac:dyDescent="0.25">
      <c r="A5234" s="25"/>
      <c r="B5234" s="49"/>
      <c r="C5234" s="50"/>
      <c r="D5234" s="23"/>
      <c r="E5234" s="23"/>
      <c r="F5234" s="15"/>
      <c r="G5234" s="23"/>
      <c r="H5234" s="15"/>
      <c r="I5234" s="15"/>
      <c r="J5234" s="51"/>
      <c r="K5234" s="15"/>
      <c r="L5234" s="51"/>
      <c r="M5234" s="15"/>
      <c r="N5234" s="23"/>
      <c r="O5234" s="23"/>
      <c r="P5234" s="15" t="str">
        <f t="shared" si="6"/>
        <v/>
      </c>
      <c r="Q5234" s="24"/>
      <c r="R5234" s="25"/>
      <c r="S5234" s="25"/>
      <c r="T5234" s="26"/>
      <c r="U5234" s="26"/>
      <c r="V5234" s="25"/>
      <c r="W5234" s="25"/>
      <c r="X5234" s="25"/>
      <c r="Y5234" s="25"/>
      <c r="Z5234" s="25"/>
    </row>
    <row r="5235" spans="1:26" ht="15.75" customHeight="1" x14ac:dyDescent="0.25">
      <c r="A5235" s="25"/>
      <c r="B5235" s="49"/>
      <c r="C5235" s="50"/>
      <c r="D5235" s="23"/>
      <c r="E5235" s="23"/>
      <c r="F5235" s="15"/>
      <c r="G5235" s="23"/>
      <c r="H5235" s="15"/>
      <c r="I5235" s="15"/>
      <c r="J5235" s="51"/>
      <c r="K5235" s="15"/>
      <c r="L5235" s="51"/>
      <c r="M5235" s="15"/>
      <c r="N5235" s="23"/>
      <c r="O5235" s="23"/>
      <c r="P5235" s="15" t="str">
        <f t="shared" si="6"/>
        <v/>
      </c>
      <c r="Q5235" s="24"/>
      <c r="R5235" s="25"/>
      <c r="S5235" s="25"/>
      <c r="T5235" s="26"/>
      <c r="U5235" s="26"/>
      <c r="V5235" s="25"/>
      <c r="W5235" s="25"/>
      <c r="X5235" s="25"/>
      <c r="Y5235" s="25"/>
      <c r="Z5235" s="25"/>
    </row>
    <row r="5236" spans="1:26" ht="15.75" customHeight="1" x14ac:dyDescent="0.25">
      <c r="A5236" s="25"/>
      <c r="B5236" s="49"/>
      <c r="C5236" s="50"/>
      <c r="D5236" s="23"/>
      <c r="E5236" s="23"/>
      <c r="F5236" s="15"/>
      <c r="G5236" s="23"/>
      <c r="H5236" s="15"/>
      <c r="I5236" s="15"/>
      <c r="J5236" s="51"/>
      <c r="K5236" s="15"/>
      <c r="L5236" s="51"/>
      <c r="M5236" s="15"/>
      <c r="N5236" s="23"/>
      <c r="O5236" s="23"/>
      <c r="P5236" s="15" t="str">
        <f t="shared" si="6"/>
        <v/>
      </c>
      <c r="Q5236" s="24"/>
      <c r="R5236" s="25"/>
      <c r="S5236" s="25"/>
      <c r="T5236" s="26"/>
      <c r="U5236" s="26"/>
      <c r="V5236" s="25"/>
      <c r="W5236" s="25"/>
      <c r="X5236" s="25"/>
      <c r="Y5236" s="25"/>
      <c r="Z5236" s="25"/>
    </row>
    <row r="5237" spans="1:26" ht="15.75" customHeight="1" x14ac:dyDescent="0.25">
      <c r="A5237" s="25"/>
      <c r="B5237" s="49"/>
      <c r="C5237" s="50"/>
      <c r="D5237" s="23"/>
      <c r="E5237" s="23"/>
      <c r="F5237" s="15"/>
      <c r="G5237" s="23"/>
      <c r="H5237" s="15"/>
      <c r="I5237" s="15"/>
      <c r="J5237" s="51"/>
      <c r="K5237" s="15"/>
      <c r="L5237" s="51"/>
      <c r="M5237" s="15"/>
      <c r="N5237" s="23"/>
      <c r="O5237" s="23"/>
      <c r="P5237" s="15" t="str">
        <f t="shared" si="6"/>
        <v/>
      </c>
      <c r="Q5237" s="24"/>
      <c r="R5237" s="25"/>
      <c r="S5237" s="25"/>
      <c r="T5237" s="26"/>
      <c r="U5237" s="26"/>
      <c r="V5237" s="25"/>
      <c r="W5237" s="25"/>
      <c r="X5237" s="25"/>
      <c r="Y5237" s="25"/>
      <c r="Z5237" s="25"/>
    </row>
    <row r="5238" spans="1:26" ht="15.75" customHeight="1" x14ac:dyDescent="0.25">
      <c r="A5238" s="25"/>
      <c r="B5238" s="49"/>
      <c r="C5238" s="50"/>
      <c r="D5238" s="23"/>
      <c r="E5238" s="23"/>
      <c r="F5238" s="15"/>
      <c r="G5238" s="23"/>
      <c r="H5238" s="15"/>
      <c r="I5238" s="15"/>
      <c r="J5238" s="51"/>
      <c r="K5238" s="15"/>
      <c r="L5238" s="51"/>
      <c r="M5238" s="15"/>
      <c r="N5238" s="23"/>
      <c r="O5238" s="23"/>
      <c r="P5238" s="15" t="str">
        <f t="shared" si="6"/>
        <v/>
      </c>
      <c r="Q5238" s="24"/>
      <c r="R5238" s="25"/>
      <c r="S5238" s="25"/>
      <c r="T5238" s="26"/>
      <c r="U5238" s="26"/>
      <c r="V5238" s="25"/>
      <c r="W5238" s="25"/>
      <c r="X5238" s="25"/>
      <c r="Y5238" s="25"/>
      <c r="Z5238" s="25"/>
    </row>
    <row r="5239" spans="1:26" ht="15.75" customHeight="1" x14ac:dyDescent="0.25">
      <c r="A5239" s="25"/>
      <c r="B5239" s="49"/>
      <c r="C5239" s="50"/>
      <c r="D5239" s="23"/>
      <c r="E5239" s="23"/>
      <c r="F5239" s="15"/>
      <c r="G5239" s="23"/>
      <c r="H5239" s="15"/>
      <c r="I5239" s="15"/>
      <c r="J5239" s="51"/>
      <c r="K5239" s="15"/>
      <c r="L5239" s="51"/>
      <c r="M5239" s="15"/>
      <c r="N5239" s="23"/>
      <c r="O5239" s="23"/>
      <c r="P5239" s="15" t="str">
        <f t="shared" si="6"/>
        <v/>
      </c>
      <c r="Q5239" s="24"/>
      <c r="R5239" s="25"/>
      <c r="S5239" s="25"/>
      <c r="T5239" s="26"/>
      <c r="U5239" s="26"/>
      <c r="V5239" s="25"/>
      <c r="W5239" s="25"/>
      <c r="X5239" s="25"/>
      <c r="Y5239" s="25"/>
      <c r="Z5239" s="25"/>
    </row>
    <row r="5240" spans="1:26" ht="15.75" customHeight="1" x14ac:dyDescent="0.25">
      <c r="A5240" s="25"/>
      <c r="B5240" s="49"/>
      <c r="C5240" s="50"/>
      <c r="D5240" s="23"/>
      <c r="E5240" s="23"/>
      <c r="F5240" s="15"/>
      <c r="G5240" s="23"/>
      <c r="H5240" s="15"/>
      <c r="I5240" s="15"/>
      <c r="J5240" s="51"/>
      <c r="K5240" s="15"/>
      <c r="L5240" s="51"/>
      <c r="M5240" s="15"/>
      <c r="N5240" s="23"/>
      <c r="O5240" s="23"/>
      <c r="P5240" s="15" t="str">
        <f t="shared" si="6"/>
        <v/>
      </c>
      <c r="Q5240" s="24"/>
      <c r="R5240" s="25"/>
      <c r="S5240" s="25"/>
      <c r="T5240" s="26"/>
      <c r="U5240" s="26"/>
      <c r="V5240" s="25"/>
      <c r="W5240" s="25"/>
      <c r="X5240" s="25"/>
      <c r="Y5240" s="25"/>
      <c r="Z5240" s="25"/>
    </row>
    <row r="5241" spans="1:26" ht="15.75" customHeight="1" x14ac:dyDescent="0.25">
      <c r="A5241" s="25"/>
      <c r="B5241" s="49"/>
      <c r="C5241" s="50"/>
      <c r="D5241" s="23"/>
      <c r="E5241" s="23"/>
      <c r="F5241" s="15"/>
      <c r="G5241" s="23"/>
      <c r="H5241" s="15"/>
      <c r="I5241" s="15"/>
      <c r="J5241" s="51"/>
      <c r="K5241" s="15"/>
      <c r="L5241" s="51"/>
      <c r="M5241" s="15"/>
      <c r="N5241" s="23"/>
      <c r="O5241" s="23"/>
      <c r="P5241" s="15" t="str">
        <f t="shared" si="6"/>
        <v/>
      </c>
      <c r="Q5241" s="24"/>
      <c r="R5241" s="25"/>
      <c r="S5241" s="25"/>
      <c r="T5241" s="26"/>
      <c r="U5241" s="26"/>
      <c r="V5241" s="25"/>
      <c r="W5241" s="25"/>
      <c r="X5241" s="25"/>
      <c r="Y5241" s="25"/>
      <c r="Z5241" s="25"/>
    </row>
    <row r="5242" spans="1:26" ht="15.75" customHeight="1" x14ac:dyDescent="0.25">
      <c r="A5242" s="25"/>
      <c r="B5242" s="49"/>
      <c r="C5242" s="50"/>
      <c r="D5242" s="23"/>
      <c r="E5242" s="23"/>
      <c r="F5242" s="15"/>
      <c r="G5242" s="23"/>
      <c r="H5242" s="15"/>
      <c r="I5242" s="15"/>
      <c r="J5242" s="51"/>
      <c r="K5242" s="15"/>
      <c r="L5242" s="51"/>
      <c r="M5242" s="15"/>
      <c r="N5242" s="23"/>
      <c r="O5242" s="23"/>
      <c r="P5242" s="15" t="str">
        <f t="shared" si="6"/>
        <v/>
      </c>
      <c r="Q5242" s="24"/>
      <c r="R5242" s="25"/>
      <c r="S5242" s="25"/>
      <c r="T5242" s="26"/>
      <c r="U5242" s="26"/>
      <c r="V5242" s="25"/>
      <c r="W5242" s="25"/>
      <c r="X5242" s="25"/>
      <c r="Y5242" s="25"/>
      <c r="Z5242" s="25"/>
    </row>
    <row r="5243" spans="1:26" ht="15.75" customHeight="1" x14ac:dyDescent="0.25">
      <c r="A5243" s="25"/>
      <c r="B5243" s="49"/>
      <c r="C5243" s="50"/>
      <c r="D5243" s="23"/>
      <c r="E5243" s="23"/>
      <c r="F5243" s="15"/>
      <c r="G5243" s="23"/>
      <c r="H5243" s="15"/>
      <c r="I5243" s="15"/>
      <c r="J5243" s="51"/>
      <c r="K5243" s="15"/>
      <c r="L5243" s="51"/>
      <c r="M5243" s="15"/>
      <c r="N5243" s="23"/>
      <c r="O5243" s="23"/>
      <c r="P5243" s="15" t="str">
        <f t="shared" si="6"/>
        <v/>
      </c>
      <c r="Q5243" s="24"/>
      <c r="R5243" s="25"/>
      <c r="S5243" s="25"/>
      <c r="T5243" s="26"/>
      <c r="U5243" s="26"/>
      <c r="V5243" s="25"/>
      <c r="W5243" s="25"/>
      <c r="X5243" s="25"/>
      <c r="Y5243" s="25"/>
      <c r="Z5243" s="25"/>
    </row>
    <row r="5244" spans="1:26" ht="15.75" customHeight="1" x14ac:dyDescent="0.25">
      <c r="A5244" s="25"/>
      <c r="B5244" s="49"/>
      <c r="C5244" s="50"/>
      <c r="D5244" s="23"/>
      <c r="E5244" s="23"/>
      <c r="F5244" s="15"/>
      <c r="G5244" s="23"/>
      <c r="H5244" s="15"/>
      <c r="I5244" s="15"/>
      <c r="J5244" s="51"/>
      <c r="K5244" s="15"/>
      <c r="L5244" s="51"/>
      <c r="M5244" s="15"/>
      <c r="N5244" s="23"/>
      <c r="O5244" s="23"/>
      <c r="P5244" s="15" t="str">
        <f t="shared" si="6"/>
        <v/>
      </c>
      <c r="Q5244" s="24"/>
      <c r="R5244" s="25"/>
      <c r="S5244" s="25"/>
      <c r="T5244" s="26"/>
      <c r="U5244" s="26"/>
      <c r="V5244" s="25"/>
      <c r="W5244" s="25"/>
      <c r="X5244" s="25"/>
      <c r="Y5244" s="25"/>
      <c r="Z5244" s="25"/>
    </row>
    <row r="5245" spans="1:26" ht="15.75" customHeight="1" x14ac:dyDescent="0.25">
      <c r="A5245" s="25"/>
      <c r="B5245" s="49"/>
      <c r="C5245" s="50"/>
      <c r="D5245" s="23"/>
      <c r="E5245" s="23"/>
      <c r="F5245" s="15"/>
      <c r="G5245" s="23"/>
      <c r="H5245" s="15"/>
      <c r="I5245" s="15"/>
      <c r="J5245" s="51"/>
      <c r="K5245" s="15"/>
      <c r="L5245" s="51"/>
      <c r="M5245" s="15"/>
      <c r="N5245" s="23"/>
      <c r="O5245" s="23"/>
      <c r="P5245" s="15" t="str">
        <f t="shared" si="6"/>
        <v/>
      </c>
      <c r="Q5245" s="24"/>
      <c r="R5245" s="25"/>
      <c r="S5245" s="25"/>
      <c r="T5245" s="26"/>
      <c r="U5245" s="26"/>
      <c r="V5245" s="25"/>
      <c r="W5245" s="25"/>
      <c r="X5245" s="25"/>
      <c r="Y5245" s="25"/>
      <c r="Z5245" s="25"/>
    </row>
    <row r="5246" spans="1:26" ht="15.75" customHeight="1" x14ac:dyDescent="0.25">
      <c r="A5246" s="25"/>
      <c r="B5246" s="49"/>
      <c r="C5246" s="50"/>
      <c r="D5246" s="23"/>
      <c r="E5246" s="23"/>
      <c r="F5246" s="15"/>
      <c r="G5246" s="23"/>
      <c r="H5246" s="15"/>
      <c r="I5246" s="15"/>
      <c r="J5246" s="51"/>
      <c r="K5246" s="15"/>
      <c r="L5246" s="51"/>
      <c r="M5246" s="15"/>
      <c r="N5246" s="23"/>
      <c r="O5246" s="23"/>
      <c r="P5246" s="15" t="str">
        <f t="shared" si="6"/>
        <v/>
      </c>
      <c r="Q5246" s="24"/>
      <c r="R5246" s="25"/>
      <c r="S5246" s="25"/>
      <c r="T5246" s="26"/>
      <c r="U5246" s="26"/>
      <c r="V5246" s="25"/>
      <c r="W5246" s="25"/>
      <c r="X5246" s="25"/>
      <c r="Y5246" s="25"/>
      <c r="Z5246" s="25"/>
    </row>
    <row r="5247" spans="1:26" ht="15.75" customHeight="1" x14ac:dyDescent="0.25">
      <c r="A5247" s="25"/>
      <c r="B5247" s="49"/>
      <c r="C5247" s="50"/>
      <c r="D5247" s="23"/>
      <c r="E5247" s="23"/>
      <c r="F5247" s="15"/>
      <c r="G5247" s="23"/>
      <c r="H5247" s="15"/>
      <c r="I5247" s="15"/>
      <c r="J5247" s="51"/>
      <c r="K5247" s="15"/>
      <c r="L5247" s="51"/>
      <c r="M5247" s="15"/>
      <c r="N5247" s="23"/>
      <c r="O5247" s="23"/>
      <c r="P5247" s="15" t="str">
        <f t="shared" si="6"/>
        <v/>
      </c>
      <c r="Q5247" s="24"/>
      <c r="R5247" s="25"/>
      <c r="S5247" s="25"/>
      <c r="T5247" s="26"/>
      <c r="U5247" s="26"/>
      <c r="V5247" s="25"/>
      <c r="W5247" s="25"/>
      <c r="X5247" s="25"/>
      <c r="Y5247" s="25"/>
      <c r="Z5247" s="25"/>
    </row>
    <row r="5248" spans="1:26" ht="15.75" customHeight="1" x14ac:dyDescent="0.25">
      <c r="A5248" s="25"/>
      <c r="B5248" s="49"/>
      <c r="C5248" s="50"/>
      <c r="D5248" s="23"/>
      <c r="E5248" s="23"/>
      <c r="F5248" s="15"/>
      <c r="G5248" s="23"/>
      <c r="H5248" s="15"/>
      <c r="I5248" s="15"/>
      <c r="J5248" s="51"/>
      <c r="K5248" s="15"/>
      <c r="L5248" s="51"/>
      <c r="M5248" s="15"/>
      <c r="N5248" s="23"/>
      <c r="O5248" s="23"/>
      <c r="P5248" s="15" t="str">
        <f t="shared" si="6"/>
        <v/>
      </c>
      <c r="Q5248" s="24"/>
      <c r="R5248" s="25"/>
      <c r="S5248" s="25"/>
      <c r="T5248" s="26"/>
      <c r="U5248" s="26"/>
      <c r="V5248" s="25"/>
      <c r="W5248" s="25"/>
      <c r="X5248" s="25"/>
      <c r="Y5248" s="25"/>
      <c r="Z5248" s="25"/>
    </row>
    <row r="5249" spans="1:26" ht="15.75" customHeight="1" x14ac:dyDescent="0.25">
      <c r="A5249" s="25"/>
      <c r="B5249" s="49"/>
      <c r="C5249" s="50"/>
      <c r="D5249" s="23"/>
      <c r="E5249" s="23"/>
      <c r="F5249" s="15"/>
      <c r="G5249" s="23"/>
      <c r="H5249" s="15"/>
      <c r="I5249" s="15"/>
      <c r="J5249" s="51"/>
      <c r="K5249" s="15"/>
      <c r="L5249" s="51"/>
      <c r="M5249" s="15"/>
      <c r="N5249" s="23"/>
      <c r="O5249" s="23"/>
      <c r="P5249" s="15" t="str">
        <f t="shared" si="6"/>
        <v/>
      </c>
      <c r="Q5249" s="24"/>
      <c r="R5249" s="25"/>
      <c r="S5249" s="25"/>
      <c r="T5249" s="26"/>
      <c r="U5249" s="26"/>
      <c r="V5249" s="25"/>
      <c r="W5249" s="25"/>
      <c r="X5249" s="25"/>
      <c r="Y5249" s="25"/>
      <c r="Z5249" s="25"/>
    </row>
    <row r="5250" spans="1:26" ht="15.75" customHeight="1" x14ac:dyDescent="0.25">
      <c r="A5250" s="25"/>
      <c r="B5250" s="49"/>
      <c r="C5250" s="50"/>
      <c r="D5250" s="23"/>
      <c r="E5250" s="23"/>
      <c r="F5250" s="15"/>
      <c r="G5250" s="23"/>
      <c r="H5250" s="15"/>
      <c r="I5250" s="15"/>
      <c r="J5250" s="51"/>
      <c r="K5250" s="15"/>
      <c r="L5250" s="51"/>
      <c r="M5250" s="15"/>
      <c r="N5250" s="23"/>
      <c r="O5250" s="23"/>
      <c r="P5250" s="15" t="str">
        <f t="shared" si="6"/>
        <v/>
      </c>
      <c r="Q5250" s="24"/>
      <c r="R5250" s="25"/>
      <c r="S5250" s="25"/>
      <c r="T5250" s="26"/>
      <c r="U5250" s="26"/>
      <c r="V5250" s="25"/>
      <c r="W5250" s="25"/>
      <c r="X5250" s="25"/>
      <c r="Y5250" s="25"/>
      <c r="Z5250" s="25"/>
    </row>
    <row r="5251" spans="1:26" ht="15.75" customHeight="1" x14ac:dyDescent="0.25">
      <c r="A5251" s="25"/>
      <c r="B5251" s="49"/>
      <c r="C5251" s="50"/>
      <c r="D5251" s="23"/>
      <c r="E5251" s="23"/>
      <c r="F5251" s="15"/>
      <c r="G5251" s="23"/>
      <c r="H5251" s="15"/>
      <c r="I5251" s="15"/>
      <c r="J5251" s="51"/>
      <c r="K5251" s="15"/>
      <c r="L5251" s="51"/>
      <c r="M5251" s="15"/>
      <c r="N5251" s="23"/>
      <c r="O5251" s="23"/>
      <c r="P5251" s="15" t="str">
        <f t="shared" si="6"/>
        <v/>
      </c>
      <c r="Q5251" s="24"/>
      <c r="R5251" s="25"/>
      <c r="S5251" s="25"/>
      <c r="T5251" s="26"/>
      <c r="U5251" s="26"/>
      <c r="V5251" s="25"/>
      <c r="W5251" s="25"/>
      <c r="X5251" s="25"/>
      <c r="Y5251" s="25"/>
      <c r="Z5251" s="25"/>
    </row>
    <row r="5252" spans="1:26" ht="15.75" customHeight="1" x14ac:dyDescent="0.25">
      <c r="A5252" s="25"/>
      <c r="B5252" s="49"/>
      <c r="C5252" s="50"/>
      <c r="D5252" s="23"/>
      <c r="E5252" s="23"/>
      <c r="F5252" s="15"/>
      <c r="G5252" s="23"/>
      <c r="H5252" s="15"/>
      <c r="I5252" s="15"/>
      <c r="J5252" s="51"/>
      <c r="K5252" s="15"/>
      <c r="L5252" s="51"/>
      <c r="M5252" s="15"/>
      <c r="N5252" s="23"/>
      <c r="O5252" s="23"/>
      <c r="P5252" s="15" t="str">
        <f t="shared" si="6"/>
        <v/>
      </c>
      <c r="Q5252" s="24"/>
      <c r="R5252" s="25"/>
      <c r="S5252" s="25"/>
      <c r="T5252" s="26"/>
      <c r="U5252" s="26"/>
      <c r="V5252" s="25"/>
      <c r="W5252" s="25"/>
      <c r="X5252" s="25"/>
      <c r="Y5252" s="25"/>
      <c r="Z5252" s="25"/>
    </row>
    <row r="5253" spans="1:26" ht="15.75" customHeight="1" x14ac:dyDescent="0.25">
      <c r="A5253" s="25"/>
      <c r="B5253" s="49"/>
      <c r="C5253" s="50"/>
      <c r="D5253" s="23"/>
      <c r="E5253" s="23"/>
      <c r="F5253" s="15"/>
      <c r="G5253" s="23"/>
      <c r="H5253" s="15"/>
      <c r="I5253" s="15"/>
      <c r="J5253" s="51"/>
      <c r="K5253" s="15"/>
      <c r="L5253" s="51"/>
      <c r="M5253" s="15"/>
      <c r="N5253" s="23"/>
      <c r="O5253" s="23"/>
      <c r="P5253" s="15" t="str">
        <f t="shared" si="6"/>
        <v/>
      </c>
      <c r="Q5253" s="24"/>
      <c r="R5253" s="25"/>
      <c r="S5253" s="25"/>
      <c r="T5253" s="26"/>
      <c r="U5253" s="26"/>
      <c r="V5253" s="25"/>
      <c r="W5253" s="25"/>
      <c r="X5253" s="25"/>
      <c r="Y5253" s="25"/>
      <c r="Z5253" s="25"/>
    </row>
    <row r="5254" spans="1:26" ht="15.75" customHeight="1" x14ac:dyDescent="0.25">
      <c r="A5254" s="25"/>
      <c r="B5254" s="49"/>
      <c r="C5254" s="50"/>
      <c r="D5254" s="23"/>
      <c r="E5254" s="23"/>
      <c r="F5254" s="15"/>
      <c r="G5254" s="23"/>
      <c r="H5254" s="15"/>
      <c r="I5254" s="15"/>
      <c r="J5254" s="51"/>
      <c r="K5254" s="15"/>
      <c r="L5254" s="51"/>
      <c r="M5254" s="15"/>
      <c r="N5254" s="23"/>
      <c r="O5254" s="23"/>
      <c r="P5254" s="15" t="str">
        <f t="shared" si="6"/>
        <v/>
      </c>
      <c r="Q5254" s="24"/>
      <c r="R5254" s="25"/>
      <c r="S5254" s="25"/>
      <c r="T5254" s="26"/>
      <c r="U5254" s="26"/>
      <c r="V5254" s="25"/>
      <c r="W5254" s="25"/>
      <c r="X5254" s="25"/>
      <c r="Y5254" s="25"/>
      <c r="Z5254" s="25"/>
    </row>
    <row r="5255" spans="1:26" ht="15.75" customHeight="1" x14ac:dyDescent="0.25">
      <c r="A5255" s="25"/>
      <c r="B5255" s="49"/>
      <c r="C5255" s="50"/>
      <c r="D5255" s="23"/>
      <c r="E5255" s="23"/>
      <c r="F5255" s="15"/>
      <c r="G5255" s="23"/>
      <c r="H5255" s="15"/>
      <c r="I5255" s="15"/>
      <c r="J5255" s="51"/>
      <c r="K5255" s="15"/>
      <c r="L5255" s="51"/>
      <c r="M5255" s="15"/>
      <c r="N5255" s="23"/>
      <c r="O5255" s="23"/>
      <c r="P5255" s="15" t="str">
        <f t="shared" si="6"/>
        <v/>
      </c>
      <c r="Q5255" s="24"/>
      <c r="R5255" s="25"/>
      <c r="S5255" s="25"/>
      <c r="T5255" s="26"/>
      <c r="U5255" s="26"/>
      <c r="V5255" s="25"/>
      <c r="W5255" s="25"/>
      <c r="X5255" s="25"/>
      <c r="Y5255" s="25"/>
      <c r="Z5255" s="25"/>
    </row>
    <row r="5256" spans="1:26" ht="15.75" customHeight="1" x14ac:dyDescent="0.25">
      <c r="A5256" s="25"/>
      <c r="B5256" s="49"/>
      <c r="C5256" s="50"/>
      <c r="D5256" s="23"/>
      <c r="E5256" s="23"/>
      <c r="F5256" s="15"/>
      <c r="G5256" s="23"/>
      <c r="H5256" s="15"/>
      <c r="I5256" s="15"/>
      <c r="J5256" s="51"/>
      <c r="K5256" s="15"/>
      <c r="L5256" s="51"/>
      <c r="M5256" s="15"/>
      <c r="N5256" s="23"/>
      <c r="O5256" s="23"/>
      <c r="P5256" s="15" t="str">
        <f t="shared" si="6"/>
        <v/>
      </c>
      <c r="Q5256" s="24"/>
      <c r="R5256" s="25"/>
      <c r="S5256" s="25"/>
      <c r="T5256" s="26"/>
      <c r="U5256" s="26"/>
      <c r="V5256" s="25"/>
      <c r="W5256" s="25"/>
      <c r="X5256" s="25"/>
      <c r="Y5256" s="25"/>
      <c r="Z5256" s="25"/>
    </row>
    <row r="5257" spans="1:26" ht="15.75" customHeight="1" x14ac:dyDescent="0.25">
      <c r="A5257" s="25"/>
      <c r="B5257" s="49"/>
      <c r="C5257" s="50"/>
      <c r="D5257" s="23"/>
      <c r="E5257" s="23"/>
      <c r="F5257" s="15"/>
      <c r="G5257" s="23"/>
      <c r="H5257" s="15"/>
      <c r="I5257" s="15"/>
      <c r="J5257" s="51"/>
      <c r="K5257" s="15"/>
      <c r="L5257" s="51"/>
      <c r="M5257" s="15"/>
      <c r="N5257" s="23"/>
      <c r="O5257" s="23"/>
      <c r="P5257" s="15" t="str">
        <f t="shared" si="6"/>
        <v/>
      </c>
      <c r="Q5257" s="24"/>
      <c r="R5257" s="25"/>
      <c r="S5257" s="25"/>
      <c r="T5257" s="26"/>
      <c r="U5257" s="26"/>
      <c r="V5257" s="25"/>
      <c r="W5257" s="25"/>
      <c r="X5257" s="25"/>
      <c r="Y5257" s="25"/>
      <c r="Z5257" s="25"/>
    </row>
    <row r="5258" spans="1:26" ht="15.75" customHeight="1" x14ac:dyDescent="0.25">
      <c r="A5258" s="25"/>
      <c r="B5258" s="49"/>
      <c r="C5258" s="50"/>
      <c r="D5258" s="23"/>
      <c r="E5258" s="23"/>
      <c r="F5258" s="15"/>
      <c r="G5258" s="23"/>
      <c r="H5258" s="15"/>
      <c r="I5258" s="15"/>
      <c r="J5258" s="51"/>
      <c r="K5258" s="15"/>
      <c r="L5258" s="51"/>
      <c r="M5258" s="15"/>
      <c r="N5258" s="23"/>
      <c r="O5258" s="23"/>
      <c r="P5258" s="15" t="str">
        <f t="shared" si="6"/>
        <v/>
      </c>
      <c r="Q5258" s="24"/>
      <c r="R5258" s="25"/>
      <c r="S5258" s="25"/>
      <c r="T5258" s="26"/>
      <c r="U5258" s="26"/>
      <c r="V5258" s="25"/>
      <c r="W5258" s="25"/>
      <c r="X5258" s="25"/>
      <c r="Y5258" s="25"/>
      <c r="Z5258" s="25"/>
    </row>
    <row r="5259" spans="1:26" ht="15.75" customHeight="1" x14ac:dyDescent="0.25">
      <c r="A5259" s="25"/>
      <c r="B5259" s="49"/>
      <c r="C5259" s="50"/>
      <c r="D5259" s="23"/>
      <c r="E5259" s="23"/>
      <c r="F5259" s="15"/>
      <c r="G5259" s="23"/>
      <c r="H5259" s="15"/>
      <c r="I5259" s="15"/>
      <c r="J5259" s="51"/>
      <c r="K5259" s="15"/>
      <c r="L5259" s="51"/>
      <c r="M5259" s="15"/>
      <c r="N5259" s="23"/>
      <c r="O5259" s="23"/>
      <c r="P5259" s="15" t="str">
        <f t="shared" si="6"/>
        <v/>
      </c>
      <c r="Q5259" s="24"/>
      <c r="R5259" s="25"/>
      <c r="S5259" s="25"/>
      <c r="T5259" s="26"/>
      <c r="U5259" s="26"/>
      <c r="V5259" s="25"/>
      <c r="W5259" s="25"/>
      <c r="X5259" s="25"/>
      <c r="Y5259" s="25"/>
      <c r="Z5259" s="25"/>
    </row>
    <row r="5260" spans="1:26" ht="15.75" customHeight="1" x14ac:dyDescent="0.25">
      <c r="A5260" s="25"/>
      <c r="B5260" s="49"/>
      <c r="C5260" s="50"/>
      <c r="D5260" s="23"/>
      <c r="E5260" s="23"/>
      <c r="F5260" s="15"/>
      <c r="G5260" s="23"/>
      <c r="H5260" s="15"/>
      <c r="I5260" s="15"/>
      <c r="J5260" s="51"/>
      <c r="K5260" s="15"/>
      <c r="L5260" s="51"/>
      <c r="M5260" s="15"/>
      <c r="N5260" s="23"/>
      <c r="O5260" s="23"/>
      <c r="P5260" s="15" t="str">
        <f t="shared" si="6"/>
        <v/>
      </c>
      <c r="Q5260" s="24"/>
      <c r="R5260" s="25"/>
      <c r="S5260" s="25"/>
      <c r="T5260" s="26"/>
      <c r="U5260" s="26"/>
      <c r="V5260" s="25"/>
      <c r="W5260" s="25"/>
      <c r="X5260" s="25"/>
      <c r="Y5260" s="25"/>
      <c r="Z5260" s="25"/>
    </row>
    <row r="5261" spans="1:26" ht="15.75" customHeight="1" x14ac:dyDescent="0.25">
      <c r="A5261" s="25"/>
      <c r="B5261" s="49"/>
      <c r="C5261" s="50"/>
      <c r="D5261" s="23"/>
      <c r="E5261" s="23"/>
      <c r="F5261" s="15"/>
      <c r="G5261" s="23"/>
      <c r="H5261" s="15"/>
      <c r="I5261" s="15"/>
      <c r="J5261" s="51"/>
      <c r="K5261" s="15"/>
      <c r="L5261" s="51"/>
      <c r="M5261" s="15"/>
      <c r="N5261" s="23"/>
      <c r="O5261" s="23"/>
      <c r="P5261" s="15" t="str">
        <f t="shared" si="6"/>
        <v/>
      </c>
      <c r="Q5261" s="24"/>
      <c r="R5261" s="25"/>
      <c r="S5261" s="25"/>
      <c r="T5261" s="26"/>
      <c r="U5261" s="26"/>
      <c r="V5261" s="25"/>
      <c r="W5261" s="25"/>
      <c r="X5261" s="25"/>
      <c r="Y5261" s="25"/>
      <c r="Z5261" s="25"/>
    </row>
    <row r="5262" spans="1:26" ht="15.75" customHeight="1" x14ac:dyDescent="0.25">
      <c r="A5262" s="25"/>
      <c r="B5262" s="49"/>
      <c r="C5262" s="50"/>
      <c r="D5262" s="23"/>
      <c r="E5262" s="23"/>
      <c r="F5262" s="15"/>
      <c r="G5262" s="23"/>
      <c r="H5262" s="15"/>
      <c r="I5262" s="15"/>
      <c r="J5262" s="51"/>
      <c r="K5262" s="15"/>
      <c r="L5262" s="51"/>
      <c r="M5262" s="15"/>
      <c r="N5262" s="23"/>
      <c r="O5262" s="23"/>
      <c r="P5262" s="15" t="str">
        <f t="shared" si="6"/>
        <v/>
      </c>
      <c r="Q5262" s="24"/>
      <c r="R5262" s="25"/>
      <c r="S5262" s="25"/>
      <c r="T5262" s="26"/>
      <c r="U5262" s="26"/>
      <c r="V5262" s="25"/>
      <c r="W5262" s="25"/>
      <c r="X5262" s="25"/>
      <c r="Y5262" s="25"/>
      <c r="Z5262" s="25"/>
    </row>
    <row r="5263" spans="1:26" ht="15.75" customHeight="1" x14ac:dyDescent="0.25">
      <c r="A5263" s="25"/>
      <c r="B5263" s="49"/>
      <c r="C5263" s="50"/>
      <c r="D5263" s="23"/>
      <c r="E5263" s="23"/>
      <c r="F5263" s="15"/>
      <c r="G5263" s="23"/>
      <c r="H5263" s="15"/>
      <c r="I5263" s="15"/>
      <c r="J5263" s="51"/>
      <c r="K5263" s="15"/>
      <c r="L5263" s="51"/>
      <c r="M5263" s="15"/>
      <c r="N5263" s="23"/>
      <c r="O5263" s="23"/>
      <c r="P5263" s="15" t="str">
        <f t="shared" si="6"/>
        <v/>
      </c>
      <c r="Q5263" s="24"/>
      <c r="R5263" s="25"/>
      <c r="S5263" s="25"/>
      <c r="T5263" s="26"/>
      <c r="U5263" s="26"/>
      <c r="V5263" s="25"/>
      <c r="W5263" s="25"/>
      <c r="X5263" s="25"/>
      <c r="Y5263" s="25"/>
      <c r="Z5263" s="25"/>
    </row>
    <row r="5264" spans="1:26" ht="15.75" customHeight="1" x14ac:dyDescent="0.25">
      <c r="A5264" s="25"/>
      <c r="B5264" s="49"/>
      <c r="C5264" s="50"/>
      <c r="D5264" s="23"/>
      <c r="E5264" s="23"/>
      <c r="F5264" s="15"/>
      <c r="G5264" s="23"/>
      <c r="H5264" s="15"/>
      <c r="I5264" s="15"/>
      <c r="J5264" s="51"/>
      <c r="K5264" s="15"/>
      <c r="L5264" s="51"/>
      <c r="M5264" s="15"/>
      <c r="N5264" s="23"/>
      <c r="O5264" s="23"/>
      <c r="P5264" s="15" t="str">
        <f t="shared" si="6"/>
        <v/>
      </c>
      <c r="Q5264" s="24"/>
      <c r="R5264" s="25"/>
      <c r="S5264" s="25"/>
      <c r="T5264" s="26"/>
      <c r="U5264" s="26"/>
      <c r="V5264" s="25"/>
      <c r="W5264" s="25"/>
      <c r="X5264" s="25"/>
      <c r="Y5264" s="25"/>
      <c r="Z5264" s="25"/>
    </row>
    <row r="5265" spans="1:26" ht="15.75" customHeight="1" x14ac:dyDescent="0.25">
      <c r="A5265" s="25"/>
      <c r="B5265" s="49"/>
      <c r="C5265" s="50"/>
      <c r="D5265" s="23"/>
      <c r="E5265" s="23"/>
      <c r="F5265" s="15"/>
      <c r="G5265" s="23"/>
      <c r="H5265" s="15"/>
      <c r="I5265" s="15"/>
      <c r="J5265" s="51"/>
      <c r="K5265" s="15"/>
      <c r="L5265" s="51"/>
      <c r="M5265" s="15"/>
      <c r="N5265" s="23"/>
      <c r="O5265" s="23"/>
      <c r="P5265" s="15" t="str">
        <f t="shared" si="6"/>
        <v/>
      </c>
      <c r="Q5265" s="24"/>
      <c r="R5265" s="25"/>
      <c r="S5265" s="25"/>
      <c r="T5265" s="26"/>
      <c r="U5265" s="26"/>
      <c r="V5265" s="25"/>
      <c r="W5265" s="25"/>
      <c r="X5265" s="25"/>
      <c r="Y5265" s="25"/>
      <c r="Z5265" s="25"/>
    </row>
    <row r="5266" spans="1:26" ht="15.75" customHeight="1" x14ac:dyDescent="0.25">
      <c r="A5266" s="25"/>
      <c r="B5266" s="49"/>
      <c r="C5266" s="50"/>
      <c r="D5266" s="23"/>
      <c r="E5266" s="23"/>
      <c r="F5266" s="15"/>
      <c r="G5266" s="23"/>
      <c r="H5266" s="15"/>
      <c r="I5266" s="15"/>
      <c r="J5266" s="51"/>
      <c r="K5266" s="15"/>
      <c r="L5266" s="51"/>
      <c r="M5266" s="15"/>
      <c r="N5266" s="23"/>
      <c r="O5266" s="23"/>
      <c r="P5266" s="15" t="str">
        <f t="shared" si="6"/>
        <v/>
      </c>
      <c r="Q5266" s="24"/>
      <c r="R5266" s="25"/>
      <c r="S5266" s="25"/>
      <c r="T5266" s="26"/>
      <c r="U5266" s="26"/>
      <c r="V5266" s="25"/>
      <c r="W5266" s="25"/>
      <c r="X5266" s="25"/>
      <c r="Y5266" s="25"/>
      <c r="Z5266" s="25"/>
    </row>
    <row r="5267" spans="1:26" ht="15.75" customHeight="1" x14ac:dyDescent="0.25">
      <c r="A5267" s="25"/>
      <c r="B5267" s="49"/>
      <c r="C5267" s="50"/>
      <c r="D5267" s="23"/>
      <c r="E5267" s="23"/>
      <c r="F5267" s="15"/>
      <c r="G5267" s="23"/>
      <c r="H5267" s="15"/>
      <c r="I5267" s="15"/>
      <c r="J5267" s="51"/>
      <c r="K5267" s="15"/>
      <c r="L5267" s="51"/>
      <c r="M5267" s="15"/>
      <c r="N5267" s="23"/>
      <c r="O5267" s="23"/>
      <c r="P5267" s="15" t="str">
        <f t="shared" si="6"/>
        <v/>
      </c>
      <c r="Q5267" s="24"/>
      <c r="R5267" s="25"/>
      <c r="S5267" s="25"/>
      <c r="T5267" s="26"/>
      <c r="U5267" s="26"/>
      <c r="V5267" s="25"/>
      <c r="W5267" s="25"/>
      <c r="X5267" s="25"/>
      <c r="Y5267" s="25"/>
      <c r="Z5267" s="25"/>
    </row>
    <row r="5268" spans="1:26" ht="15.75" customHeight="1" x14ac:dyDescent="0.25">
      <c r="A5268" s="25"/>
      <c r="B5268" s="49"/>
      <c r="C5268" s="50"/>
      <c r="D5268" s="23"/>
      <c r="E5268" s="23"/>
      <c r="F5268" s="15"/>
      <c r="G5268" s="23"/>
      <c r="H5268" s="15"/>
      <c r="I5268" s="15"/>
      <c r="J5268" s="51"/>
      <c r="K5268" s="15"/>
      <c r="L5268" s="51"/>
      <c r="M5268" s="15"/>
      <c r="N5268" s="23"/>
      <c r="O5268" s="23"/>
      <c r="P5268" s="15" t="str">
        <f t="shared" si="6"/>
        <v/>
      </c>
      <c r="Q5268" s="24"/>
      <c r="R5268" s="25"/>
      <c r="S5268" s="25"/>
      <c r="T5268" s="26"/>
      <c r="U5268" s="26"/>
      <c r="V5268" s="25"/>
      <c r="W5268" s="25"/>
      <c r="X5268" s="25"/>
      <c r="Y5268" s="25"/>
      <c r="Z5268" s="25"/>
    </row>
    <row r="5269" spans="1:26" ht="15.75" customHeight="1" x14ac:dyDescent="0.25">
      <c r="A5269" s="25"/>
      <c r="B5269" s="49"/>
      <c r="C5269" s="50"/>
      <c r="D5269" s="23"/>
      <c r="E5269" s="23"/>
      <c r="F5269" s="15"/>
      <c r="G5269" s="23"/>
      <c r="H5269" s="15"/>
      <c r="I5269" s="15"/>
      <c r="J5269" s="51"/>
      <c r="K5269" s="15"/>
      <c r="L5269" s="51"/>
      <c r="M5269" s="15"/>
      <c r="N5269" s="23"/>
      <c r="O5269" s="23"/>
      <c r="P5269" s="15" t="str">
        <f t="shared" si="6"/>
        <v/>
      </c>
      <c r="Q5269" s="24"/>
      <c r="R5269" s="25"/>
      <c r="S5269" s="25"/>
      <c r="T5269" s="26"/>
      <c r="U5269" s="26"/>
      <c r="V5269" s="25"/>
      <c r="W5269" s="25"/>
      <c r="X5269" s="25"/>
      <c r="Y5269" s="25"/>
      <c r="Z5269" s="25"/>
    </row>
    <row r="5270" spans="1:26" ht="15.75" customHeight="1" x14ac:dyDescent="0.25">
      <c r="A5270" s="25"/>
      <c r="B5270" s="49"/>
      <c r="C5270" s="50"/>
      <c r="D5270" s="23"/>
      <c r="E5270" s="23"/>
      <c r="F5270" s="15"/>
      <c r="G5270" s="23"/>
      <c r="H5270" s="15"/>
      <c r="I5270" s="15"/>
      <c r="J5270" s="51"/>
      <c r="K5270" s="15"/>
      <c r="L5270" s="51"/>
      <c r="M5270" s="15"/>
      <c r="N5270" s="23"/>
      <c r="O5270" s="23"/>
      <c r="P5270" s="15" t="str">
        <f t="shared" si="6"/>
        <v/>
      </c>
      <c r="Q5270" s="24"/>
      <c r="R5270" s="25"/>
      <c r="S5270" s="25"/>
      <c r="T5270" s="26"/>
      <c r="U5270" s="26"/>
      <c r="V5270" s="25"/>
      <c r="W5270" s="25"/>
      <c r="X5270" s="25"/>
      <c r="Y5270" s="25"/>
      <c r="Z5270" s="25"/>
    </row>
    <row r="5271" spans="1:26" ht="15.75" customHeight="1" x14ac:dyDescent="0.25">
      <c r="A5271" s="25"/>
      <c r="B5271" s="49"/>
      <c r="C5271" s="50"/>
      <c r="D5271" s="23"/>
      <c r="E5271" s="23"/>
      <c r="F5271" s="15"/>
      <c r="G5271" s="23"/>
      <c r="H5271" s="15"/>
      <c r="I5271" s="15"/>
      <c r="J5271" s="51"/>
      <c r="K5271" s="15"/>
      <c r="L5271" s="51"/>
      <c r="M5271" s="15"/>
      <c r="N5271" s="23"/>
      <c r="O5271" s="23"/>
      <c r="P5271" s="15" t="str">
        <f t="shared" si="6"/>
        <v/>
      </c>
      <c r="Q5271" s="24"/>
      <c r="R5271" s="25"/>
      <c r="S5271" s="25"/>
      <c r="T5271" s="26"/>
      <c r="U5271" s="26"/>
      <c r="V5271" s="25"/>
      <c r="W5271" s="25"/>
      <c r="X5271" s="25"/>
      <c r="Y5271" s="25"/>
      <c r="Z5271" s="25"/>
    </row>
    <row r="5272" spans="1:26" ht="15.75" customHeight="1" x14ac:dyDescent="0.25">
      <c r="A5272" s="25"/>
      <c r="B5272" s="49"/>
      <c r="C5272" s="50"/>
      <c r="D5272" s="23"/>
      <c r="E5272" s="23"/>
      <c r="F5272" s="15"/>
      <c r="G5272" s="23"/>
      <c r="H5272" s="15"/>
      <c r="I5272" s="15"/>
      <c r="J5272" s="51"/>
      <c r="K5272" s="15"/>
      <c r="L5272" s="51"/>
      <c r="M5272" s="15"/>
      <c r="N5272" s="23"/>
      <c r="O5272" s="23"/>
      <c r="P5272" s="15" t="str">
        <f t="shared" si="6"/>
        <v/>
      </c>
      <c r="Q5272" s="24"/>
      <c r="R5272" s="25"/>
      <c r="S5272" s="25"/>
      <c r="T5272" s="26"/>
      <c r="U5272" s="26"/>
      <c r="V5272" s="25"/>
      <c r="W5272" s="25"/>
      <c r="X5272" s="25"/>
      <c r="Y5272" s="25"/>
      <c r="Z5272" s="25"/>
    </row>
    <row r="5273" spans="1:26" ht="15.75" customHeight="1" x14ac:dyDescent="0.25">
      <c r="A5273" s="25"/>
      <c r="B5273" s="49"/>
      <c r="C5273" s="50"/>
      <c r="D5273" s="23"/>
      <c r="E5273" s="23"/>
      <c r="F5273" s="15"/>
      <c r="G5273" s="23"/>
      <c r="H5273" s="15"/>
      <c r="I5273" s="15"/>
      <c r="J5273" s="51"/>
      <c r="K5273" s="15"/>
      <c r="L5273" s="51"/>
      <c r="M5273" s="15"/>
      <c r="N5273" s="23"/>
      <c r="O5273" s="23"/>
      <c r="P5273" s="15" t="str">
        <f t="shared" si="6"/>
        <v/>
      </c>
      <c r="Q5273" s="24"/>
      <c r="R5273" s="25"/>
      <c r="S5273" s="25"/>
      <c r="T5273" s="26"/>
      <c r="U5273" s="26"/>
      <c r="V5273" s="25"/>
      <c r="W5273" s="25"/>
      <c r="X5273" s="25"/>
      <c r="Y5273" s="25"/>
      <c r="Z5273" s="25"/>
    </row>
    <row r="5274" spans="1:26" ht="15.75" customHeight="1" x14ac:dyDescent="0.25">
      <c r="A5274" s="25"/>
      <c r="B5274" s="49"/>
      <c r="C5274" s="50"/>
      <c r="D5274" s="23"/>
      <c r="E5274" s="23"/>
      <c r="F5274" s="15"/>
      <c r="G5274" s="23"/>
      <c r="H5274" s="15"/>
      <c r="I5274" s="15"/>
      <c r="J5274" s="51"/>
      <c r="K5274" s="15"/>
      <c r="L5274" s="51"/>
      <c r="M5274" s="15"/>
      <c r="N5274" s="23"/>
      <c r="O5274" s="23"/>
      <c r="P5274" s="15" t="str">
        <f t="shared" si="6"/>
        <v/>
      </c>
      <c r="Q5274" s="24"/>
      <c r="R5274" s="25"/>
      <c r="S5274" s="25"/>
      <c r="T5274" s="26"/>
      <c r="U5274" s="26"/>
      <c r="V5274" s="25"/>
      <c r="W5274" s="25"/>
      <c r="X5274" s="25"/>
      <c r="Y5274" s="25"/>
      <c r="Z5274" s="25"/>
    </row>
    <row r="5275" spans="1:26" ht="15.75" customHeight="1" x14ac:dyDescent="0.25">
      <c r="A5275" s="25"/>
      <c r="B5275" s="49"/>
      <c r="C5275" s="50"/>
      <c r="D5275" s="23"/>
      <c r="E5275" s="23"/>
      <c r="F5275" s="15"/>
      <c r="G5275" s="23"/>
      <c r="H5275" s="15"/>
      <c r="I5275" s="15"/>
      <c r="J5275" s="51"/>
      <c r="K5275" s="15"/>
      <c r="L5275" s="51"/>
      <c r="M5275" s="15"/>
      <c r="N5275" s="23"/>
      <c r="O5275" s="23"/>
      <c r="P5275" s="15" t="str">
        <f t="shared" si="6"/>
        <v/>
      </c>
      <c r="Q5275" s="24"/>
      <c r="R5275" s="25"/>
      <c r="S5275" s="25"/>
      <c r="T5275" s="26"/>
      <c r="U5275" s="26"/>
      <c r="V5275" s="25"/>
      <c r="W5275" s="25"/>
      <c r="X5275" s="25"/>
      <c r="Y5275" s="25"/>
      <c r="Z5275" s="25"/>
    </row>
    <row r="5276" spans="1:26" ht="15.75" customHeight="1" x14ac:dyDescent="0.25">
      <c r="A5276" s="25"/>
      <c r="B5276" s="49"/>
      <c r="C5276" s="50"/>
      <c r="D5276" s="23"/>
      <c r="E5276" s="23"/>
      <c r="F5276" s="15"/>
      <c r="G5276" s="23"/>
      <c r="H5276" s="15"/>
      <c r="I5276" s="15"/>
      <c r="J5276" s="51"/>
      <c r="K5276" s="15"/>
      <c r="L5276" s="51"/>
      <c r="M5276" s="15"/>
      <c r="N5276" s="23"/>
      <c r="O5276" s="23"/>
      <c r="P5276" s="15" t="str">
        <f t="shared" si="6"/>
        <v/>
      </c>
      <c r="Q5276" s="24"/>
      <c r="R5276" s="25"/>
      <c r="S5276" s="25"/>
      <c r="T5276" s="26"/>
      <c r="U5276" s="26"/>
      <c r="V5276" s="25"/>
      <c r="W5276" s="25"/>
      <c r="X5276" s="25"/>
      <c r="Y5276" s="25"/>
      <c r="Z5276" s="25"/>
    </row>
    <row r="5277" spans="1:26" ht="15.75" customHeight="1" x14ac:dyDescent="0.25">
      <c r="A5277" s="25"/>
      <c r="B5277" s="49"/>
      <c r="C5277" s="50"/>
      <c r="D5277" s="23"/>
      <c r="E5277" s="23"/>
      <c r="F5277" s="15"/>
      <c r="G5277" s="23"/>
      <c r="H5277" s="15"/>
      <c r="I5277" s="15"/>
      <c r="J5277" s="51"/>
      <c r="K5277" s="15"/>
      <c r="L5277" s="51"/>
      <c r="M5277" s="15"/>
      <c r="N5277" s="23"/>
      <c r="O5277" s="23"/>
      <c r="P5277" s="15" t="str">
        <f t="shared" si="6"/>
        <v/>
      </c>
      <c r="Q5277" s="24"/>
      <c r="R5277" s="25"/>
      <c r="S5277" s="25"/>
      <c r="T5277" s="26"/>
      <c r="U5277" s="26"/>
      <c r="V5277" s="25"/>
      <c r="W5277" s="25"/>
      <c r="X5277" s="25"/>
      <c r="Y5277" s="25"/>
      <c r="Z5277" s="25"/>
    </row>
    <row r="5278" spans="1:26" ht="15.75" customHeight="1" x14ac:dyDescent="0.25">
      <c r="A5278" s="25"/>
      <c r="B5278" s="49"/>
      <c r="C5278" s="50"/>
      <c r="D5278" s="23"/>
      <c r="E5278" s="23"/>
      <c r="F5278" s="15"/>
      <c r="G5278" s="23"/>
      <c r="H5278" s="15"/>
      <c r="I5278" s="15"/>
      <c r="J5278" s="51"/>
      <c r="K5278" s="15"/>
      <c r="L5278" s="51"/>
      <c r="M5278" s="15"/>
      <c r="N5278" s="23"/>
      <c r="O5278" s="23"/>
      <c r="P5278" s="15" t="str">
        <f t="shared" si="6"/>
        <v/>
      </c>
      <c r="Q5278" s="24"/>
      <c r="R5278" s="25"/>
      <c r="S5278" s="25"/>
      <c r="T5278" s="26"/>
      <c r="U5278" s="26"/>
      <c r="V5278" s="25"/>
      <c r="W5278" s="25"/>
      <c r="X5278" s="25"/>
      <c r="Y5278" s="25"/>
      <c r="Z5278" s="25"/>
    </row>
    <row r="5279" spans="1:26" ht="15.75" customHeight="1" x14ac:dyDescent="0.25">
      <c r="A5279" s="25"/>
      <c r="B5279" s="49"/>
      <c r="C5279" s="50"/>
      <c r="D5279" s="23"/>
      <c r="E5279" s="23"/>
      <c r="F5279" s="15"/>
      <c r="G5279" s="23"/>
      <c r="H5279" s="15"/>
      <c r="I5279" s="15"/>
      <c r="J5279" s="51"/>
      <c r="K5279" s="15"/>
      <c r="L5279" s="51"/>
      <c r="M5279" s="15"/>
      <c r="N5279" s="23"/>
      <c r="O5279" s="23"/>
      <c r="P5279" s="15" t="str">
        <f t="shared" si="6"/>
        <v/>
      </c>
      <c r="Q5279" s="24"/>
      <c r="R5279" s="25"/>
      <c r="S5279" s="25"/>
      <c r="T5279" s="26"/>
      <c r="U5279" s="26"/>
      <c r="V5279" s="25"/>
      <c r="W5279" s="25"/>
      <c r="X5279" s="25"/>
      <c r="Y5279" s="25"/>
      <c r="Z5279" s="25"/>
    </row>
    <row r="5280" spans="1:26" ht="15.75" customHeight="1" x14ac:dyDescent="0.25">
      <c r="A5280" s="25"/>
      <c r="B5280" s="49"/>
      <c r="C5280" s="50"/>
      <c r="D5280" s="23"/>
      <c r="E5280" s="23"/>
      <c r="F5280" s="15"/>
      <c r="G5280" s="23"/>
      <c r="H5280" s="15"/>
      <c r="I5280" s="15"/>
      <c r="J5280" s="51"/>
      <c r="K5280" s="15"/>
      <c r="L5280" s="51"/>
      <c r="M5280" s="15"/>
      <c r="N5280" s="23"/>
      <c r="O5280" s="23"/>
      <c r="P5280" s="15" t="str">
        <f t="shared" si="6"/>
        <v/>
      </c>
      <c r="Q5280" s="24"/>
      <c r="R5280" s="25"/>
      <c r="S5280" s="25"/>
      <c r="T5280" s="26"/>
      <c r="U5280" s="26"/>
      <c r="V5280" s="25"/>
      <c r="W5280" s="25"/>
      <c r="X5280" s="25"/>
      <c r="Y5280" s="25"/>
      <c r="Z5280" s="25"/>
    </row>
    <row r="5281" spans="1:26" ht="15.75" customHeight="1" x14ac:dyDescent="0.25">
      <c r="A5281" s="25"/>
      <c r="B5281" s="49"/>
      <c r="C5281" s="50"/>
      <c r="D5281" s="23"/>
      <c r="E5281" s="23"/>
      <c r="F5281" s="15"/>
      <c r="G5281" s="23"/>
      <c r="H5281" s="15"/>
      <c r="I5281" s="15"/>
      <c r="J5281" s="51"/>
      <c r="K5281" s="15"/>
      <c r="L5281" s="51"/>
      <c r="M5281" s="15"/>
      <c r="N5281" s="23"/>
      <c r="O5281" s="23"/>
      <c r="P5281" s="15" t="str">
        <f t="shared" si="6"/>
        <v/>
      </c>
      <c r="Q5281" s="24"/>
      <c r="R5281" s="25"/>
      <c r="S5281" s="25"/>
      <c r="T5281" s="26"/>
      <c r="U5281" s="26"/>
      <c r="V5281" s="25"/>
      <c r="W5281" s="25"/>
      <c r="X5281" s="25"/>
      <c r="Y5281" s="25"/>
      <c r="Z5281" s="25"/>
    </row>
    <row r="5282" spans="1:26" ht="15.75" customHeight="1" x14ac:dyDescent="0.25">
      <c r="A5282" s="25"/>
      <c r="B5282" s="49"/>
      <c r="C5282" s="50"/>
      <c r="D5282" s="23"/>
      <c r="E5282" s="23"/>
      <c r="F5282" s="15"/>
      <c r="G5282" s="23"/>
      <c r="H5282" s="15"/>
      <c r="I5282" s="15"/>
      <c r="J5282" s="51"/>
      <c r="K5282" s="15"/>
      <c r="L5282" s="51"/>
      <c r="M5282" s="15"/>
      <c r="N5282" s="23"/>
      <c r="O5282" s="23"/>
      <c r="P5282" s="15" t="str">
        <f t="shared" si="6"/>
        <v/>
      </c>
      <c r="Q5282" s="24"/>
      <c r="R5282" s="25"/>
      <c r="S5282" s="25"/>
      <c r="T5282" s="26"/>
      <c r="U5282" s="26"/>
      <c r="V5282" s="25"/>
      <c r="W5282" s="25"/>
      <c r="X5282" s="25"/>
      <c r="Y5282" s="25"/>
      <c r="Z5282" s="25"/>
    </row>
    <row r="5283" spans="1:26" ht="15.75" customHeight="1" x14ac:dyDescent="0.25">
      <c r="A5283" s="25"/>
      <c r="B5283" s="49"/>
      <c r="C5283" s="50"/>
      <c r="D5283" s="23"/>
      <c r="E5283" s="23"/>
      <c r="F5283" s="15"/>
      <c r="G5283" s="23"/>
      <c r="H5283" s="15"/>
      <c r="I5283" s="15"/>
      <c r="J5283" s="51"/>
      <c r="K5283" s="15"/>
      <c r="L5283" s="51"/>
      <c r="M5283" s="15"/>
      <c r="N5283" s="23"/>
      <c r="O5283" s="23"/>
      <c r="P5283" s="15" t="str">
        <f t="shared" si="6"/>
        <v/>
      </c>
      <c r="Q5283" s="24"/>
      <c r="R5283" s="25"/>
      <c r="S5283" s="25"/>
      <c r="T5283" s="26"/>
      <c r="U5283" s="26"/>
      <c r="V5283" s="25"/>
      <c r="W5283" s="25"/>
      <c r="X5283" s="25"/>
      <c r="Y5283" s="25"/>
      <c r="Z5283" s="25"/>
    </row>
    <row r="5284" spans="1:26" ht="15.75" customHeight="1" x14ac:dyDescent="0.25">
      <c r="A5284" s="25"/>
      <c r="B5284" s="49"/>
      <c r="C5284" s="50"/>
      <c r="D5284" s="23"/>
      <c r="E5284" s="23"/>
      <c r="F5284" s="15"/>
      <c r="G5284" s="23"/>
      <c r="H5284" s="15"/>
      <c r="I5284" s="15"/>
      <c r="J5284" s="51"/>
      <c r="K5284" s="15"/>
      <c r="L5284" s="51"/>
      <c r="M5284" s="15"/>
      <c r="N5284" s="23"/>
      <c r="O5284" s="23"/>
      <c r="P5284" s="15" t="str">
        <f t="shared" si="6"/>
        <v/>
      </c>
      <c r="Q5284" s="24"/>
      <c r="R5284" s="25"/>
      <c r="S5284" s="25"/>
      <c r="T5284" s="26"/>
      <c r="U5284" s="26"/>
      <c r="V5284" s="25"/>
      <c r="W5284" s="25"/>
      <c r="X5284" s="25"/>
      <c r="Y5284" s="25"/>
      <c r="Z5284" s="25"/>
    </row>
    <row r="5285" spans="1:26" ht="15.75" customHeight="1" x14ac:dyDescent="0.25">
      <c r="A5285" s="25"/>
      <c r="B5285" s="49"/>
      <c r="C5285" s="50"/>
      <c r="D5285" s="23"/>
      <c r="E5285" s="23"/>
      <c r="F5285" s="15"/>
      <c r="G5285" s="23"/>
      <c r="H5285" s="15"/>
      <c r="I5285" s="15"/>
      <c r="J5285" s="51"/>
      <c r="K5285" s="15"/>
      <c r="L5285" s="51"/>
      <c r="M5285" s="15"/>
      <c r="N5285" s="23"/>
      <c r="O5285" s="23"/>
      <c r="P5285" s="15" t="str">
        <f t="shared" si="6"/>
        <v/>
      </c>
      <c r="Q5285" s="24"/>
      <c r="R5285" s="25"/>
      <c r="S5285" s="25"/>
      <c r="T5285" s="26"/>
      <c r="U5285" s="26"/>
      <c r="V5285" s="25"/>
      <c r="W5285" s="25"/>
      <c r="X5285" s="25"/>
      <c r="Y5285" s="25"/>
      <c r="Z5285" s="25"/>
    </row>
    <row r="5286" spans="1:26" ht="15.75" customHeight="1" x14ac:dyDescent="0.25">
      <c r="A5286" s="25"/>
      <c r="B5286" s="49"/>
      <c r="C5286" s="50"/>
      <c r="D5286" s="23"/>
      <c r="E5286" s="23"/>
      <c r="F5286" s="15"/>
      <c r="G5286" s="23"/>
      <c r="H5286" s="15"/>
      <c r="I5286" s="15"/>
      <c r="J5286" s="51"/>
      <c r="K5286" s="15"/>
      <c r="L5286" s="51"/>
      <c r="M5286" s="15"/>
      <c r="N5286" s="23"/>
      <c r="O5286" s="23"/>
      <c r="P5286" s="15" t="str">
        <f t="shared" si="6"/>
        <v/>
      </c>
      <c r="Q5286" s="24"/>
      <c r="R5286" s="25"/>
      <c r="S5286" s="25"/>
      <c r="T5286" s="26"/>
      <c r="U5286" s="26"/>
      <c r="V5286" s="25"/>
      <c r="W5286" s="25"/>
      <c r="X5286" s="25"/>
      <c r="Y5286" s="25"/>
      <c r="Z5286" s="25"/>
    </row>
    <row r="5287" spans="1:26" ht="15.75" customHeight="1" x14ac:dyDescent="0.25">
      <c r="A5287" s="25"/>
      <c r="B5287" s="49"/>
      <c r="C5287" s="50"/>
      <c r="D5287" s="23"/>
      <c r="E5287" s="23"/>
      <c r="F5287" s="15"/>
      <c r="G5287" s="23"/>
      <c r="H5287" s="15"/>
      <c r="I5287" s="15"/>
      <c r="J5287" s="51"/>
      <c r="K5287" s="15"/>
      <c r="L5287" s="51"/>
      <c r="M5287" s="15"/>
      <c r="N5287" s="23"/>
      <c r="O5287" s="23"/>
      <c r="P5287" s="15" t="str">
        <f t="shared" si="6"/>
        <v/>
      </c>
      <c r="Q5287" s="24"/>
      <c r="R5287" s="25"/>
      <c r="S5287" s="25"/>
      <c r="T5287" s="26"/>
      <c r="U5287" s="26"/>
      <c r="V5287" s="25"/>
      <c r="W5287" s="25"/>
      <c r="X5287" s="25"/>
      <c r="Y5287" s="25"/>
      <c r="Z5287" s="25"/>
    </row>
    <row r="5288" spans="1:26" ht="15.75" customHeight="1" x14ac:dyDescent="0.25">
      <c r="A5288" s="25"/>
      <c r="B5288" s="49"/>
      <c r="C5288" s="50"/>
      <c r="D5288" s="23"/>
      <c r="E5288" s="23"/>
      <c r="F5288" s="15"/>
      <c r="G5288" s="23"/>
      <c r="H5288" s="15"/>
      <c r="I5288" s="15"/>
      <c r="J5288" s="51"/>
      <c r="K5288" s="15"/>
      <c r="L5288" s="51"/>
      <c r="M5288" s="15"/>
      <c r="N5288" s="23"/>
      <c r="O5288" s="23"/>
      <c r="P5288" s="15" t="str">
        <f t="shared" si="6"/>
        <v/>
      </c>
      <c r="Q5288" s="24"/>
      <c r="R5288" s="25"/>
      <c r="S5288" s="25"/>
      <c r="T5288" s="26"/>
      <c r="U5288" s="26"/>
      <c r="V5288" s="25"/>
      <c r="W5288" s="25"/>
      <c r="X5288" s="25"/>
      <c r="Y5288" s="25"/>
      <c r="Z5288" s="25"/>
    </row>
    <row r="5289" spans="1:26" ht="15.75" customHeight="1" x14ac:dyDescent="0.25">
      <c r="A5289" s="25"/>
      <c r="B5289" s="49"/>
      <c r="C5289" s="50"/>
      <c r="D5289" s="23"/>
      <c r="E5289" s="23"/>
      <c r="F5289" s="15"/>
      <c r="G5289" s="23"/>
      <c r="H5289" s="15"/>
      <c r="I5289" s="15"/>
      <c r="J5289" s="51"/>
      <c r="K5289" s="15"/>
      <c r="L5289" s="51"/>
      <c r="M5289" s="15"/>
      <c r="N5289" s="23"/>
      <c r="O5289" s="23"/>
      <c r="P5289" s="15" t="str">
        <f t="shared" si="6"/>
        <v/>
      </c>
      <c r="Q5289" s="24"/>
      <c r="R5289" s="25"/>
      <c r="S5289" s="25"/>
      <c r="T5289" s="26"/>
      <c r="U5289" s="26"/>
      <c r="V5289" s="25"/>
      <c r="W5289" s="25"/>
      <c r="X5289" s="25"/>
      <c r="Y5289" s="25"/>
      <c r="Z5289" s="25"/>
    </row>
    <row r="5290" spans="1:26" ht="15.75" customHeight="1" x14ac:dyDescent="0.25">
      <c r="A5290" s="25"/>
      <c r="B5290" s="49"/>
      <c r="C5290" s="50"/>
      <c r="D5290" s="23"/>
      <c r="E5290" s="23"/>
      <c r="F5290" s="15"/>
      <c r="G5290" s="23"/>
      <c r="H5290" s="15"/>
      <c r="I5290" s="15"/>
      <c r="J5290" s="51"/>
      <c r="K5290" s="15"/>
      <c r="L5290" s="51"/>
      <c r="M5290" s="15"/>
      <c r="N5290" s="23"/>
      <c r="O5290" s="23"/>
      <c r="P5290" s="15" t="str">
        <f t="shared" si="6"/>
        <v/>
      </c>
      <c r="Q5290" s="24"/>
      <c r="R5290" s="25"/>
      <c r="S5290" s="25"/>
      <c r="T5290" s="26"/>
      <c r="U5290" s="26"/>
      <c r="V5290" s="25"/>
      <c r="W5290" s="25"/>
      <c r="X5290" s="25"/>
      <c r="Y5290" s="25"/>
      <c r="Z5290" s="25"/>
    </row>
    <row r="5291" spans="1:26" ht="15.75" customHeight="1" x14ac:dyDescent="0.25">
      <c r="A5291" s="25"/>
      <c r="B5291" s="49"/>
      <c r="C5291" s="50"/>
      <c r="D5291" s="23"/>
      <c r="E5291" s="23"/>
      <c r="F5291" s="15"/>
      <c r="G5291" s="23"/>
      <c r="H5291" s="15"/>
      <c r="I5291" s="15"/>
      <c r="J5291" s="51"/>
      <c r="K5291" s="15"/>
      <c r="L5291" s="51"/>
      <c r="M5291" s="15"/>
      <c r="N5291" s="23"/>
      <c r="O5291" s="23"/>
      <c r="P5291" s="15" t="str">
        <f t="shared" si="6"/>
        <v/>
      </c>
      <c r="Q5291" s="24"/>
      <c r="R5291" s="25"/>
      <c r="S5291" s="25"/>
      <c r="T5291" s="26"/>
      <c r="U5291" s="26"/>
      <c r="V5291" s="25"/>
      <c r="W5291" s="25"/>
      <c r="X5291" s="25"/>
      <c r="Y5291" s="25"/>
      <c r="Z5291" s="25"/>
    </row>
    <row r="5292" spans="1:26" ht="15.75" customHeight="1" x14ac:dyDescent="0.25">
      <c r="A5292" s="25"/>
      <c r="B5292" s="49"/>
      <c r="C5292" s="50"/>
      <c r="D5292" s="23"/>
      <c r="E5292" s="23"/>
      <c r="F5292" s="15"/>
      <c r="G5292" s="23"/>
      <c r="H5292" s="15"/>
      <c r="I5292" s="15"/>
      <c r="J5292" s="51"/>
      <c r="K5292" s="15"/>
      <c r="L5292" s="51"/>
      <c r="M5292" s="15"/>
      <c r="N5292" s="23"/>
      <c r="O5292" s="23"/>
      <c r="P5292" s="15" t="str">
        <f t="shared" si="6"/>
        <v/>
      </c>
      <c r="Q5292" s="24"/>
      <c r="R5292" s="25"/>
      <c r="S5292" s="25"/>
      <c r="T5292" s="26"/>
      <c r="U5292" s="26"/>
      <c r="V5292" s="25"/>
      <c r="W5292" s="25"/>
      <c r="X5292" s="25"/>
      <c r="Y5292" s="25"/>
      <c r="Z5292" s="25"/>
    </row>
    <row r="5293" spans="1:26" ht="15.75" customHeight="1" x14ac:dyDescent="0.25">
      <c r="A5293" s="25"/>
      <c r="B5293" s="49"/>
      <c r="C5293" s="50"/>
      <c r="D5293" s="23"/>
      <c r="E5293" s="23"/>
      <c r="F5293" s="15"/>
      <c r="G5293" s="23"/>
      <c r="H5293" s="15"/>
      <c r="I5293" s="15"/>
      <c r="J5293" s="51"/>
      <c r="K5293" s="15"/>
      <c r="L5293" s="51"/>
      <c r="M5293" s="15"/>
      <c r="N5293" s="23"/>
      <c r="O5293" s="23"/>
      <c r="P5293" s="15" t="str">
        <f t="shared" si="6"/>
        <v/>
      </c>
      <c r="Q5293" s="24"/>
      <c r="R5293" s="25"/>
      <c r="S5293" s="25"/>
      <c r="T5293" s="26"/>
      <c r="U5293" s="26"/>
      <c r="V5293" s="25"/>
      <c r="W5293" s="25"/>
      <c r="X5293" s="25"/>
      <c r="Y5293" s="25"/>
      <c r="Z5293" s="25"/>
    </row>
    <row r="5294" spans="1:26" ht="15.75" customHeight="1" x14ac:dyDescent="0.25">
      <c r="A5294" s="25"/>
      <c r="B5294" s="49"/>
      <c r="C5294" s="50"/>
      <c r="D5294" s="23"/>
      <c r="E5294" s="23"/>
      <c r="F5294" s="15"/>
      <c r="G5294" s="23"/>
      <c r="H5294" s="15"/>
      <c r="I5294" s="15"/>
      <c r="J5294" s="51"/>
      <c r="K5294" s="15"/>
      <c r="L5294" s="51"/>
      <c r="M5294" s="15"/>
      <c r="N5294" s="23"/>
      <c r="O5294" s="23"/>
      <c r="P5294" s="15" t="str">
        <f t="shared" si="6"/>
        <v/>
      </c>
      <c r="Q5294" s="24"/>
      <c r="R5294" s="25"/>
      <c r="S5294" s="25"/>
      <c r="T5294" s="26"/>
      <c r="U5294" s="26"/>
      <c r="V5294" s="25"/>
      <c r="W5294" s="25"/>
      <c r="X5294" s="25"/>
      <c r="Y5294" s="25"/>
      <c r="Z5294" s="25"/>
    </row>
    <row r="5295" spans="1:26" ht="15.75" customHeight="1" x14ac:dyDescent="0.25">
      <c r="A5295" s="25"/>
      <c r="B5295" s="49"/>
      <c r="C5295" s="50"/>
      <c r="D5295" s="23"/>
      <c r="E5295" s="23"/>
      <c r="F5295" s="15"/>
      <c r="G5295" s="23"/>
      <c r="H5295" s="15"/>
      <c r="I5295" s="15"/>
      <c r="J5295" s="51"/>
      <c r="K5295" s="15"/>
      <c r="L5295" s="51"/>
      <c r="M5295" s="15"/>
      <c r="N5295" s="23"/>
      <c r="O5295" s="23"/>
      <c r="P5295" s="15" t="str">
        <f t="shared" si="6"/>
        <v/>
      </c>
      <c r="Q5295" s="24"/>
      <c r="R5295" s="25"/>
      <c r="S5295" s="25"/>
      <c r="T5295" s="26"/>
      <c r="U5295" s="26"/>
      <c r="V5295" s="25"/>
      <c r="W5295" s="25"/>
      <c r="X5295" s="25"/>
      <c r="Y5295" s="25"/>
      <c r="Z5295" s="25"/>
    </row>
    <row r="5296" spans="1:26" ht="15.75" customHeight="1" x14ac:dyDescent="0.25">
      <c r="A5296" s="25"/>
      <c r="B5296" s="49"/>
      <c r="C5296" s="50"/>
      <c r="D5296" s="23"/>
      <c r="E5296" s="23"/>
      <c r="F5296" s="15"/>
      <c r="G5296" s="23"/>
      <c r="H5296" s="15"/>
      <c r="I5296" s="15"/>
      <c r="J5296" s="51"/>
      <c r="K5296" s="15"/>
      <c r="L5296" s="51"/>
      <c r="M5296" s="15"/>
      <c r="N5296" s="23"/>
      <c r="O5296" s="23"/>
      <c r="P5296" s="15" t="str">
        <f t="shared" si="6"/>
        <v/>
      </c>
      <c r="Q5296" s="24"/>
      <c r="R5296" s="25"/>
      <c r="S5296" s="25"/>
      <c r="T5296" s="26"/>
      <c r="U5296" s="26"/>
      <c r="V5296" s="25"/>
      <c r="W5296" s="25"/>
      <c r="X5296" s="25"/>
      <c r="Y5296" s="25"/>
      <c r="Z5296" s="25"/>
    </row>
    <row r="5297" spans="1:26" ht="15.75" customHeight="1" x14ac:dyDescent="0.25">
      <c r="A5297" s="25"/>
      <c r="B5297" s="49"/>
      <c r="C5297" s="50"/>
      <c r="D5297" s="23"/>
      <c r="E5297" s="23"/>
      <c r="F5297" s="15"/>
      <c r="G5297" s="23"/>
      <c r="H5297" s="15"/>
      <c r="I5297" s="15"/>
      <c r="J5297" s="51"/>
      <c r="K5297" s="15"/>
      <c r="L5297" s="51"/>
      <c r="M5297" s="15"/>
      <c r="N5297" s="23"/>
      <c r="O5297" s="23"/>
      <c r="P5297" s="15" t="str">
        <f t="shared" si="6"/>
        <v/>
      </c>
      <c r="Q5297" s="24"/>
      <c r="R5297" s="25"/>
      <c r="S5297" s="25"/>
      <c r="T5297" s="26"/>
      <c r="U5297" s="26"/>
      <c r="V5297" s="25"/>
      <c r="W5297" s="25"/>
      <c r="X5297" s="25"/>
      <c r="Y5297" s="25"/>
      <c r="Z5297" s="25"/>
    </row>
    <row r="5298" spans="1:26" ht="15.75" customHeight="1" x14ac:dyDescent="0.25">
      <c r="A5298" s="25"/>
      <c r="B5298" s="49"/>
      <c r="C5298" s="50"/>
      <c r="D5298" s="23"/>
      <c r="E5298" s="23"/>
      <c r="F5298" s="15"/>
      <c r="G5298" s="23"/>
      <c r="H5298" s="15"/>
      <c r="I5298" s="15"/>
      <c r="J5298" s="51"/>
      <c r="K5298" s="15"/>
      <c r="L5298" s="51"/>
      <c r="M5298" s="15"/>
      <c r="N5298" s="23"/>
      <c r="O5298" s="23"/>
      <c r="P5298" s="15" t="str">
        <f t="shared" si="6"/>
        <v/>
      </c>
      <c r="Q5298" s="24"/>
      <c r="R5298" s="25"/>
      <c r="S5298" s="25"/>
      <c r="T5298" s="26"/>
      <c r="U5298" s="26"/>
      <c r="V5298" s="25"/>
      <c r="W5298" s="25"/>
      <c r="X5298" s="25"/>
      <c r="Y5298" s="25"/>
      <c r="Z5298" s="25"/>
    </row>
    <row r="5299" spans="1:26" ht="15.75" customHeight="1" x14ac:dyDescent="0.25">
      <c r="A5299" s="25"/>
      <c r="B5299" s="49"/>
      <c r="C5299" s="50"/>
      <c r="D5299" s="23"/>
      <c r="E5299" s="23"/>
      <c r="F5299" s="15"/>
      <c r="G5299" s="23"/>
      <c r="H5299" s="15"/>
      <c r="I5299" s="15"/>
      <c r="J5299" s="51"/>
      <c r="K5299" s="15"/>
      <c r="L5299" s="51"/>
      <c r="M5299" s="15"/>
      <c r="N5299" s="23"/>
      <c r="O5299" s="23"/>
      <c r="P5299" s="15" t="str">
        <f t="shared" si="6"/>
        <v/>
      </c>
      <c r="Q5299" s="24"/>
      <c r="R5299" s="25"/>
      <c r="S5299" s="25"/>
      <c r="T5299" s="26"/>
      <c r="U5299" s="26"/>
      <c r="V5299" s="25"/>
      <c r="W5299" s="25"/>
      <c r="X5299" s="25"/>
      <c r="Y5299" s="25"/>
      <c r="Z5299" s="25"/>
    </row>
    <row r="5300" spans="1:26" ht="15.75" customHeight="1" x14ac:dyDescent="0.25">
      <c r="A5300" s="25"/>
      <c r="B5300" s="49"/>
      <c r="C5300" s="50"/>
      <c r="D5300" s="23"/>
      <c r="E5300" s="23"/>
      <c r="F5300" s="15"/>
      <c r="G5300" s="23"/>
      <c r="H5300" s="15"/>
      <c r="I5300" s="15"/>
      <c r="J5300" s="51"/>
      <c r="K5300" s="15"/>
      <c r="L5300" s="51"/>
      <c r="M5300" s="15"/>
      <c r="N5300" s="23"/>
      <c r="O5300" s="23"/>
      <c r="P5300" s="15" t="str">
        <f t="shared" si="6"/>
        <v/>
      </c>
      <c r="Q5300" s="24"/>
      <c r="R5300" s="25"/>
      <c r="S5300" s="25"/>
      <c r="T5300" s="26"/>
      <c r="U5300" s="26"/>
      <c r="V5300" s="25"/>
      <c r="W5300" s="25"/>
      <c r="X5300" s="25"/>
      <c r="Y5300" s="25"/>
      <c r="Z5300" s="25"/>
    </row>
    <row r="5301" spans="1:26" ht="15.75" customHeight="1" x14ac:dyDescent="0.25">
      <c r="A5301" s="25"/>
      <c r="B5301" s="49"/>
      <c r="C5301" s="50"/>
      <c r="D5301" s="23"/>
      <c r="E5301" s="23"/>
      <c r="F5301" s="15"/>
      <c r="G5301" s="23"/>
      <c r="H5301" s="15"/>
      <c r="I5301" s="15"/>
      <c r="J5301" s="51"/>
      <c r="K5301" s="15"/>
      <c r="L5301" s="51"/>
      <c r="M5301" s="15"/>
      <c r="N5301" s="23"/>
      <c r="O5301" s="23"/>
      <c r="P5301" s="15" t="str">
        <f t="shared" si="6"/>
        <v/>
      </c>
      <c r="Q5301" s="24"/>
      <c r="R5301" s="25"/>
      <c r="S5301" s="25"/>
      <c r="T5301" s="26"/>
      <c r="U5301" s="26"/>
      <c r="V5301" s="25"/>
      <c r="W5301" s="25"/>
      <c r="X5301" s="25"/>
      <c r="Y5301" s="25"/>
      <c r="Z5301" s="25"/>
    </row>
    <row r="5302" spans="1:26" ht="15.75" customHeight="1" x14ac:dyDescent="0.25">
      <c r="A5302" s="25"/>
      <c r="B5302" s="49"/>
      <c r="C5302" s="50"/>
      <c r="D5302" s="23"/>
      <c r="E5302" s="23"/>
      <c r="F5302" s="15"/>
      <c r="G5302" s="23"/>
      <c r="H5302" s="15"/>
      <c r="I5302" s="15"/>
      <c r="J5302" s="51"/>
      <c r="K5302" s="15"/>
      <c r="L5302" s="51"/>
      <c r="M5302" s="15"/>
      <c r="N5302" s="23"/>
      <c r="O5302" s="23"/>
      <c r="P5302" s="15" t="str">
        <f t="shared" si="6"/>
        <v/>
      </c>
      <c r="Q5302" s="24"/>
      <c r="R5302" s="25"/>
      <c r="S5302" s="25"/>
      <c r="T5302" s="26"/>
      <c r="U5302" s="26"/>
      <c r="V5302" s="25"/>
      <c r="W5302" s="25"/>
      <c r="X5302" s="25"/>
      <c r="Y5302" s="25"/>
      <c r="Z5302" s="25"/>
    </row>
    <row r="5303" spans="1:26" ht="15.75" customHeight="1" x14ac:dyDescent="0.25">
      <c r="A5303" s="25"/>
      <c r="B5303" s="49"/>
      <c r="C5303" s="50"/>
      <c r="D5303" s="23"/>
      <c r="E5303" s="23"/>
      <c r="F5303" s="15"/>
      <c r="G5303" s="23"/>
      <c r="H5303" s="15"/>
      <c r="I5303" s="15"/>
      <c r="J5303" s="51"/>
      <c r="K5303" s="15"/>
      <c r="L5303" s="51"/>
      <c r="M5303" s="15"/>
      <c r="N5303" s="23"/>
      <c r="O5303" s="23"/>
      <c r="P5303" s="15" t="str">
        <f t="shared" si="6"/>
        <v/>
      </c>
      <c r="Q5303" s="24"/>
      <c r="R5303" s="25"/>
      <c r="S5303" s="25"/>
      <c r="T5303" s="26"/>
      <c r="U5303" s="26"/>
      <c r="V5303" s="25"/>
      <c r="W5303" s="25"/>
      <c r="X5303" s="25"/>
      <c r="Y5303" s="25"/>
      <c r="Z5303" s="25"/>
    </row>
    <row r="5304" spans="1:26" ht="15.75" customHeight="1" x14ac:dyDescent="0.25">
      <c r="A5304" s="25"/>
      <c r="B5304" s="49"/>
      <c r="C5304" s="50"/>
      <c r="D5304" s="23"/>
      <c r="E5304" s="23"/>
      <c r="F5304" s="15"/>
      <c r="G5304" s="23"/>
      <c r="H5304" s="15"/>
      <c r="I5304" s="15"/>
      <c r="J5304" s="51"/>
      <c r="K5304" s="15"/>
      <c r="L5304" s="51"/>
      <c r="M5304" s="15"/>
      <c r="N5304" s="23"/>
      <c r="O5304" s="23"/>
      <c r="P5304" s="15" t="str">
        <f t="shared" si="6"/>
        <v/>
      </c>
      <c r="Q5304" s="24"/>
      <c r="R5304" s="25"/>
      <c r="S5304" s="25"/>
      <c r="T5304" s="26"/>
      <c r="U5304" s="26"/>
      <c r="V5304" s="25"/>
      <c r="W5304" s="25"/>
      <c r="X5304" s="25"/>
      <c r="Y5304" s="25"/>
      <c r="Z5304" s="25"/>
    </row>
    <row r="5305" spans="1:26" ht="15.75" customHeight="1" x14ac:dyDescent="0.25">
      <c r="A5305" s="25"/>
      <c r="B5305" s="49"/>
      <c r="C5305" s="50"/>
      <c r="D5305" s="23"/>
      <c r="E5305" s="23"/>
      <c r="F5305" s="15"/>
      <c r="G5305" s="23"/>
      <c r="H5305" s="15"/>
      <c r="I5305" s="15"/>
      <c r="J5305" s="51"/>
      <c r="K5305" s="15"/>
      <c r="L5305" s="51"/>
      <c r="M5305" s="15"/>
      <c r="N5305" s="23"/>
      <c r="O5305" s="23"/>
      <c r="P5305" s="15" t="str">
        <f t="shared" si="6"/>
        <v/>
      </c>
      <c r="Q5305" s="24"/>
      <c r="R5305" s="25"/>
      <c r="S5305" s="25"/>
      <c r="T5305" s="26"/>
      <c r="U5305" s="26"/>
      <c r="V5305" s="25"/>
      <c r="W5305" s="25"/>
      <c r="X5305" s="25"/>
      <c r="Y5305" s="25"/>
      <c r="Z5305" s="25"/>
    </row>
    <row r="5306" spans="1:26" ht="15.75" customHeight="1" x14ac:dyDescent="0.25">
      <c r="A5306" s="25"/>
      <c r="B5306" s="49"/>
      <c r="C5306" s="50"/>
      <c r="D5306" s="23"/>
      <c r="E5306" s="23"/>
      <c r="F5306" s="15"/>
      <c r="G5306" s="23"/>
      <c r="H5306" s="15"/>
      <c r="I5306" s="15"/>
      <c r="J5306" s="51"/>
      <c r="K5306" s="15"/>
      <c r="L5306" s="51"/>
      <c r="M5306" s="15"/>
      <c r="N5306" s="23"/>
      <c r="O5306" s="23"/>
      <c r="P5306" s="15" t="str">
        <f t="shared" si="6"/>
        <v/>
      </c>
      <c r="Q5306" s="24"/>
      <c r="R5306" s="25"/>
      <c r="S5306" s="25"/>
      <c r="T5306" s="26"/>
      <c r="U5306" s="26"/>
      <c r="V5306" s="25"/>
      <c r="W5306" s="25"/>
      <c r="X5306" s="25"/>
      <c r="Y5306" s="25"/>
      <c r="Z5306" s="25"/>
    </row>
    <row r="5307" spans="1:26" ht="15.75" customHeight="1" x14ac:dyDescent="0.25">
      <c r="A5307" s="25"/>
      <c r="B5307" s="49"/>
      <c r="C5307" s="50"/>
      <c r="D5307" s="23"/>
      <c r="E5307" s="23"/>
      <c r="F5307" s="15"/>
      <c r="G5307" s="23"/>
      <c r="H5307" s="15"/>
      <c r="I5307" s="15"/>
      <c r="J5307" s="51"/>
      <c r="K5307" s="15"/>
      <c r="L5307" s="51"/>
      <c r="M5307" s="15"/>
      <c r="N5307" s="23"/>
      <c r="O5307" s="23"/>
      <c r="P5307" s="15" t="str">
        <f t="shared" si="6"/>
        <v/>
      </c>
      <c r="Q5307" s="24"/>
      <c r="R5307" s="25"/>
      <c r="S5307" s="25"/>
      <c r="T5307" s="26"/>
      <c r="U5307" s="26"/>
      <c r="V5307" s="25"/>
      <c r="W5307" s="25"/>
      <c r="X5307" s="25"/>
      <c r="Y5307" s="25"/>
      <c r="Z5307" s="25"/>
    </row>
    <row r="5308" spans="1:26" ht="15.75" customHeight="1" x14ac:dyDescent="0.25">
      <c r="A5308" s="25"/>
      <c r="B5308" s="49"/>
      <c r="C5308" s="50"/>
      <c r="D5308" s="23"/>
      <c r="E5308" s="23"/>
      <c r="F5308" s="15"/>
      <c r="G5308" s="23"/>
      <c r="H5308" s="15"/>
      <c r="I5308" s="15"/>
      <c r="J5308" s="51"/>
      <c r="K5308" s="15"/>
      <c r="L5308" s="51"/>
      <c r="M5308" s="15"/>
      <c r="N5308" s="23"/>
      <c r="O5308" s="23"/>
      <c r="P5308" s="15" t="str">
        <f t="shared" si="6"/>
        <v/>
      </c>
      <c r="Q5308" s="24"/>
      <c r="R5308" s="25"/>
      <c r="S5308" s="25"/>
      <c r="T5308" s="26"/>
      <c r="U5308" s="26"/>
      <c r="V5308" s="25"/>
      <c r="W5308" s="25"/>
      <c r="X5308" s="25"/>
      <c r="Y5308" s="25"/>
      <c r="Z5308" s="25"/>
    </row>
    <row r="5309" spans="1:26" ht="15.75" customHeight="1" x14ac:dyDescent="0.25">
      <c r="A5309" s="25"/>
      <c r="B5309" s="49"/>
      <c r="C5309" s="50"/>
      <c r="D5309" s="23"/>
      <c r="E5309" s="23"/>
      <c r="F5309" s="15"/>
      <c r="G5309" s="23"/>
      <c r="H5309" s="15"/>
      <c r="I5309" s="15"/>
      <c r="J5309" s="51"/>
      <c r="K5309" s="15"/>
      <c r="L5309" s="51"/>
      <c r="M5309" s="15"/>
      <c r="N5309" s="23"/>
      <c r="O5309" s="23"/>
      <c r="P5309" s="15" t="str">
        <f t="shared" si="6"/>
        <v/>
      </c>
      <c r="Q5309" s="24"/>
      <c r="R5309" s="25"/>
      <c r="S5309" s="25"/>
      <c r="T5309" s="26"/>
      <c r="U5309" s="26"/>
      <c r="V5309" s="25"/>
      <c r="W5309" s="25"/>
      <c r="X5309" s="25"/>
      <c r="Y5309" s="25"/>
      <c r="Z5309" s="25"/>
    </row>
    <row r="5310" spans="1:26" ht="15.75" customHeight="1" x14ac:dyDescent="0.25">
      <c r="A5310" s="25"/>
      <c r="B5310" s="49"/>
      <c r="C5310" s="50"/>
      <c r="D5310" s="23"/>
      <c r="E5310" s="23"/>
      <c r="F5310" s="15"/>
      <c r="G5310" s="23"/>
      <c r="H5310" s="15"/>
      <c r="I5310" s="15"/>
      <c r="J5310" s="51"/>
      <c r="K5310" s="15"/>
      <c r="L5310" s="51"/>
      <c r="M5310" s="15"/>
      <c r="N5310" s="23"/>
      <c r="O5310" s="23"/>
      <c r="P5310" s="15" t="str">
        <f t="shared" si="6"/>
        <v/>
      </c>
      <c r="Q5310" s="24"/>
      <c r="R5310" s="25"/>
      <c r="S5310" s="25"/>
      <c r="T5310" s="26"/>
      <c r="U5310" s="26"/>
      <c r="V5310" s="25"/>
      <c r="W5310" s="25"/>
      <c r="X5310" s="25"/>
      <c r="Y5310" s="25"/>
      <c r="Z5310" s="25"/>
    </row>
    <row r="5311" spans="1:26" ht="15.75" customHeight="1" x14ac:dyDescent="0.25">
      <c r="A5311" s="25"/>
      <c r="B5311" s="49"/>
      <c r="C5311" s="50"/>
      <c r="D5311" s="23"/>
      <c r="E5311" s="23"/>
      <c r="F5311" s="15"/>
      <c r="G5311" s="23"/>
      <c r="H5311" s="15"/>
      <c r="I5311" s="15"/>
      <c r="J5311" s="51"/>
      <c r="K5311" s="15"/>
      <c r="L5311" s="51"/>
      <c r="M5311" s="15"/>
      <c r="N5311" s="23"/>
      <c r="O5311" s="23"/>
      <c r="P5311" s="15" t="str">
        <f t="shared" si="6"/>
        <v/>
      </c>
      <c r="Q5311" s="24"/>
      <c r="R5311" s="25"/>
      <c r="S5311" s="25"/>
      <c r="T5311" s="26"/>
      <c r="U5311" s="26"/>
      <c r="V5311" s="25"/>
      <c r="W5311" s="25"/>
      <c r="X5311" s="25"/>
      <c r="Y5311" s="25"/>
      <c r="Z5311" s="25"/>
    </row>
    <row r="5312" spans="1:26" ht="15.75" customHeight="1" x14ac:dyDescent="0.25">
      <c r="A5312" s="25"/>
      <c r="B5312" s="49"/>
      <c r="C5312" s="50"/>
      <c r="D5312" s="23"/>
      <c r="E5312" s="23"/>
      <c r="F5312" s="15"/>
      <c r="G5312" s="23"/>
      <c r="H5312" s="15"/>
      <c r="I5312" s="15"/>
      <c r="J5312" s="51"/>
      <c r="K5312" s="15"/>
      <c r="L5312" s="51"/>
      <c r="M5312" s="15"/>
      <c r="N5312" s="23"/>
      <c r="O5312" s="23"/>
      <c r="P5312" s="15" t="str">
        <f t="shared" si="6"/>
        <v/>
      </c>
      <c r="Q5312" s="24"/>
      <c r="R5312" s="25"/>
      <c r="S5312" s="25"/>
      <c r="T5312" s="26"/>
      <c r="U5312" s="26"/>
      <c r="V5312" s="25"/>
      <c r="W5312" s="25"/>
      <c r="X5312" s="25"/>
      <c r="Y5312" s="25"/>
      <c r="Z5312" s="25"/>
    </row>
    <row r="5313" spans="1:26" ht="15.75" customHeight="1" x14ac:dyDescent="0.25">
      <c r="A5313" s="25"/>
      <c r="B5313" s="49"/>
      <c r="C5313" s="50"/>
      <c r="D5313" s="23"/>
      <c r="E5313" s="23"/>
      <c r="F5313" s="15"/>
      <c r="G5313" s="23"/>
      <c r="H5313" s="15"/>
      <c r="I5313" s="15"/>
      <c r="J5313" s="51"/>
      <c r="K5313" s="15"/>
      <c r="L5313" s="51"/>
      <c r="M5313" s="15"/>
      <c r="N5313" s="23"/>
      <c r="O5313" s="23"/>
      <c r="P5313" s="15" t="str">
        <f t="shared" si="6"/>
        <v/>
      </c>
      <c r="Q5313" s="24"/>
      <c r="R5313" s="25"/>
      <c r="S5313" s="25"/>
      <c r="T5313" s="26"/>
      <c r="U5313" s="26"/>
      <c r="V5313" s="25"/>
      <c r="W5313" s="25"/>
      <c r="X5313" s="25"/>
      <c r="Y5313" s="25"/>
      <c r="Z5313" s="25"/>
    </row>
    <row r="5314" spans="1:26" ht="15.75" customHeight="1" x14ac:dyDescent="0.25">
      <c r="A5314" s="25"/>
      <c r="B5314" s="49"/>
      <c r="C5314" s="50"/>
      <c r="D5314" s="23"/>
      <c r="E5314" s="23"/>
      <c r="F5314" s="15"/>
      <c r="G5314" s="23"/>
      <c r="H5314" s="15"/>
      <c r="I5314" s="15"/>
      <c r="J5314" s="51"/>
      <c r="K5314" s="15"/>
      <c r="L5314" s="51"/>
      <c r="M5314" s="15"/>
      <c r="N5314" s="23"/>
      <c r="O5314" s="23"/>
      <c r="P5314" s="15" t="str">
        <f t="shared" si="6"/>
        <v/>
      </c>
      <c r="Q5314" s="24"/>
      <c r="R5314" s="25"/>
      <c r="S5314" s="25"/>
      <c r="T5314" s="26"/>
      <c r="U5314" s="26"/>
      <c r="V5314" s="25"/>
      <c r="W5314" s="25"/>
      <c r="X5314" s="25"/>
      <c r="Y5314" s="25"/>
      <c r="Z5314" s="25"/>
    </row>
    <row r="5315" spans="1:26" ht="15.75" customHeight="1" x14ac:dyDescent="0.25">
      <c r="A5315" s="25"/>
      <c r="B5315" s="49"/>
      <c r="C5315" s="50"/>
      <c r="D5315" s="23"/>
      <c r="E5315" s="23"/>
      <c r="F5315" s="15"/>
      <c r="G5315" s="23"/>
      <c r="H5315" s="15"/>
      <c r="I5315" s="15"/>
      <c r="J5315" s="51"/>
      <c r="K5315" s="15"/>
      <c r="L5315" s="51"/>
      <c r="M5315" s="15"/>
      <c r="N5315" s="23"/>
      <c r="O5315" s="23"/>
      <c r="P5315" s="15" t="str">
        <f t="shared" si="6"/>
        <v/>
      </c>
      <c r="Q5315" s="24"/>
      <c r="R5315" s="25"/>
      <c r="S5315" s="25"/>
      <c r="T5315" s="26"/>
      <c r="U5315" s="26"/>
      <c r="V5315" s="25"/>
      <c r="W5315" s="25"/>
      <c r="X5315" s="25"/>
      <c r="Y5315" s="25"/>
      <c r="Z5315" s="25"/>
    </row>
    <row r="5316" spans="1:26" ht="15.75" customHeight="1" x14ac:dyDescent="0.25">
      <c r="A5316" s="25"/>
      <c r="B5316" s="49"/>
      <c r="C5316" s="50"/>
      <c r="D5316" s="23"/>
      <c r="E5316" s="23"/>
      <c r="F5316" s="15"/>
      <c r="G5316" s="23"/>
      <c r="H5316" s="15"/>
      <c r="I5316" s="15"/>
      <c r="J5316" s="51"/>
      <c r="K5316" s="15"/>
      <c r="L5316" s="51"/>
      <c r="M5316" s="15"/>
      <c r="N5316" s="23"/>
      <c r="O5316" s="23"/>
      <c r="P5316" s="15" t="str">
        <f t="shared" si="6"/>
        <v/>
      </c>
      <c r="Q5316" s="24"/>
      <c r="R5316" s="25"/>
      <c r="S5316" s="25"/>
      <c r="T5316" s="26"/>
      <c r="U5316" s="26"/>
      <c r="V5316" s="25"/>
      <c r="W5316" s="25"/>
      <c r="X5316" s="25"/>
      <c r="Y5316" s="25"/>
      <c r="Z5316" s="25"/>
    </row>
    <row r="5317" spans="1:26" ht="15.75" customHeight="1" x14ac:dyDescent="0.25">
      <c r="A5317" s="25"/>
      <c r="B5317" s="49"/>
      <c r="C5317" s="50"/>
      <c r="D5317" s="23"/>
      <c r="E5317" s="23"/>
      <c r="F5317" s="15"/>
      <c r="G5317" s="23"/>
      <c r="H5317" s="15"/>
      <c r="I5317" s="15"/>
      <c r="J5317" s="51"/>
      <c r="K5317" s="15"/>
      <c r="L5317" s="51"/>
      <c r="M5317" s="15"/>
      <c r="N5317" s="23"/>
      <c r="O5317" s="23"/>
      <c r="P5317" s="15" t="str">
        <f t="shared" si="6"/>
        <v/>
      </c>
      <c r="Q5317" s="24"/>
      <c r="R5317" s="25"/>
      <c r="S5317" s="25"/>
      <c r="T5317" s="26"/>
      <c r="U5317" s="26"/>
      <c r="V5317" s="25"/>
      <c r="W5317" s="25"/>
      <c r="X5317" s="25"/>
      <c r="Y5317" s="25"/>
      <c r="Z5317" s="25"/>
    </row>
    <row r="5318" spans="1:26" ht="15.75" customHeight="1" x14ac:dyDescent="0.25">
      <c r="A5318" s="25"/>
      <c r="B5318" s="49"/>
      <c r="C5318" s="50"/>
      <c r="D5318" s="23"/>
      <c r="E5318" s="23"/>
      <c r="F5318" s="15"/>
      <c r="G5318" s="23"/>
      <c r="H5318" s="15"/>
      <c r="I5318" s="15"/>
      <c r="J5318" s="51"/>
      <c r="K5318" s="15"/>
      <c r="L5318" s="51"/>
      <c r="M5318" s="15"/>
      <c r="N5318" s="23"/>
      <c r="O5318" s="23"/>
      <c r="P5318" s="15" t="str">
        <f t="shared" si="6"/>
        <v/>
      </c>
      <c r="Q5318" s="24"/>
      <c r="R5318" s="25"/>
      <c r="S5318" s="25"/>
      <c r="T5318" s="26"/>
      <c r="U5318" s="26"/>
      <c r="V5318" s="25"/>
      <c r="W5318" s="25"/>
      <c r="X5318" s="25"/>
      <c r="Y5318" s="25"/>
      <c r="Z5318" s="25"/>
    </row>
    <row r="5319" spans="1:26" ht="15.75" customHeight="1" x14ac:dyDescent="0.25">
      <c r="A5319" s="25"/>
      <c r="B5319" s="49"/>
      <c r="C5319" s="50"/>
      <c r="D5319" s="23"/>
      <c r="E5319" s="23"/>
      <c r="F5319" s="15"/>
      <c r="G5319" s="23"/>
      <c r="H5319" s="15"/>
      <c r="I5319" s="15"/>
      <c r="J5319" s="51"/>
      <c r="K5319" s="15"/>
      <c r="L5319" s="51"/>
      <c r="M5319" s="15"/>
      <c r="N5319" s="23"/>
      <c r="O5319" s="23"/>
      <c r="P5319" s="15" t="str">
        <f t="shared" si="6"/>
        <v/>
      </c>
      <c r="Q5319" s="24"/>
      <c r="R5319" s="25"/>
      <c r="S5319" s="25"/>
      <c r="T5319" s="26"/>
      <c r="U5319" s="26"/>
      <c r="V5319" s="25"/>
      <c r="W5319" s="25"/>
      <c r="X5319" s="25"/>
      <c r="Y5319" s="25"/>
      <c r="Z5319" s="25"/>
    </row>
    <row r="5320" spans="1:26" ht="15.75" customHeight="1" x14ac:dyDescent="0.25">
      <c r="A5320" s="25"/>
      <c r="B5320" s="49"/>
      <c r="C5320" s="50"/>
      <c r="D5320" s="23"/>
      <c r="E5320" s="23"/>
      <c r="F5320" s="15"/>
      <c r="G5320" s="23"/>
      <c r="H5320" s="15"/>
      <c r="I5320" s="15"/>
      <c r="J5320" s="51"/>
      <c r="K5320" s="15"/>
      <c r="L5320" s="51"/>
      <c r="M5320" s="15"/>
      <c r="N5320" s="23"/>
      <c r="O5320" s="23"/>
      <c r="P5320" s="15" t="str">
        <f t="shared" si="6"/>
        <v/>
      </c>
      <c r="Q5320" s="24"/>
      <c r="R5320" s="25"/>
      <c r="S5320" s="25"/>
      <c r="T5320" s="26"/>
      <c r="U5320" s="26"/>
      <c r="V5320" s="25"/>
      <c r="W5320" s="25"/>
      <c r="X5320" s="25"/>
      <c r="Y5320" s="25"/>
      <c r="Z5320" s="25"/>
    </row>
    <row r="5321" spans="1:26" ht="15.75" customHeight="1" x14ac:dyDescent="0.25">
      <c r="A5321" s="25"/>
      <c r="B5321" s="49"/>
      <c r="C5321" s="50"/>
      <c r="D5321" s="23"/>
      <c r="E5321" s="23"/>
      <c r="F5321" s="15"/>
      <c r="G5321" s="23"/>
      <c r="H5321" s="15"/>
      <c r="I5321" s="15"/>
      <c r="J5321" s="51"/>
      <c r="K5321" s="15"/>
      <c r="L5321" s="51"/>
      <c r="M5321" s="15"/>
      <c r="N5321" s="23"/>
      <c r="O5321" s="23"/>
      <c r="P5321" s="15" t="str">
        <f t="shared" si="6"/>
        <v/>
      </c>
      <c r="Q5321" s="24"/>
      <c r="R5321" s="25"/>
      <c r="S5321" s="25"/>
      <c r="T5321" s="26"/>
      <c r="U5321" s="26"/>
      <c r="V5321" s="25"/>
      <c r="W5321" s="25"/>
      <c r="X5321" s="25"/>
      <c r="Y5321" s="25"/>
      <c r="Z5321" s="25"/>
    </row>
    <row r="5322" spans="1:26" ht="15.75" customHeight="1" x14ac:dyDescent="0.25">
      <c r="A5322" s="25"/>
      <c r="B5322" s="49"/>
      <c r="C5322" s="50"/>
      <c r="D5322" s="23"/>
      <c r="E5322" s="23"/>
      <c r="F5322" s="15"/>
      <c r="G5322" s="23"/>
      <c r="H5322" s="15"/>
      <c r="I5322" s="15"/>
      <c r="J5322" s="51"/>
      <c r="K5322" s="15"/>
      <c r="L5322" s="51"/>
      <c r="M5322" s="15"/>
      <c r="N5322" s="23"/>
      <c r="O5322" s="23"/>
      <c r="P5322" s="15" t="str">
        <f t="shared" si="6"/>
        <v/>
      </c>
      <c r="Q5322" s="24"/>
      <c r="R5322" s="25"/>
      <c r="S5322" s="25"/>
      <c r="T5322" s="26"/>
      <c r="U5322" s="26"/>
      <c r="V5322" s="25"/>
      <c r="W5322" s="25"/>
      <c r="X5322" s="25"/>
      <c r="Y5322" s="25"/>
      <c r="Z5322" s="25"/>
    </row>
    <row r="5323" spans="1:26" ht="15.75" customHeight="1" x14ac:dyDescent="0.25">
      <c r="A5323" s="25"/>
      <c r="B5323" s="49"/>
      <c r="C5323" s="50"/>
      <c r="D5323" s="23"/>
      <c r="E5323" s="23"/>
      <c r="F5323" s="15"/>
      <c r="G5323" s="23"/>
      <c r="H5323" s="15"/>
      <c r="I5323" s="15"/>
      <c r="J5323" s="51"/>
      <c r="K5323" s="15"/>
      <c r="L5323" s="51"/>
      <c r="M5323" s="15"/>
      <c r="N5323" s="23"/>
      <c r="O5323" s="23"/>
      <c r="P5323" s="15" t="str">
        <f t="shared" si="6"/>
        <v/>
      </c>
      <c r="Q5323" s="24"/>
      <c r="R5323" s="25"/>
      <c r="S5323" s="25"/>
      <c r="T5323" s="26"/>
      <c r="U5323" s="26"/>
      <c r="V5323" s="25"/>
      <c r="W5323" s="25"/>
      <c r="X5323" s="25"/>
      <c r="Y5323" s="25"/>
      <c r="Z5323" s="25"/>
    </row>
    <row r="5324" spans="1:26" ht="15.75" customHeight="1" x14ac:dyDescent="0.25">
      <c r="A5324" s="25"/>
      <c r="B5324" s="49"/>
      <c r="C5324" s="50"/>
      <c r="D5324" s="23"/>
      <c r="E5324" s="23"/>
      <c r="F5324" s="15"/>
      <c r="G5324" s="23"/>
      <c r="H5324" s="15"/>
      <c r="I5324" s="15"/>
      <c r="J5324" s="51"/>
      <c r="K5324" s="15"/>
      <c r="L5324" s="51"/>
      <c r="M5324" s="15"/>
      <c r="N5324" s="23"/>
      <c r="O5324" s="23"/>
      <c r="P5324" s="15" t="str">
        <f t="shared" si="6"/>
        <v/>
      </c>
      <c r="Q5324" s="24"/>
      <c r="R5324" s="25"/>
      <c r="S5324" s="25"/>
      <c r="T5324" s="26"/>
      <c r="U5324" s="26"/>
      <c r="V5324" s="25"/>
      <c r="W5324" s="25"/>
      <c r="X5324" s="25"/>
      <c r="Y5324" s="25"/>
      <c r="Z5324" s="25"/>
    </row>
    <row r="5325" spans="1:26" ht="15.75" customHeight="1" x14ac:dyDescent="0.25">
      <c r="A5325" s="25"/>
      <c r="B5325" s="49"/>
      <c r="C5325" s="50"/>
      <c r="D5325" s="23"/>
      <c r="E5325" s="23"/>
      <c r="F5325" s="15"/>
      <c r="G5325" s="23"/>
      <c r="H5325" s="15"/>
      <c r="I5325" s="15"/>
      <c r="J5325" s="51"/>
      <c r="K5325" s="15"/>
      <c r="L5325" s="51"/>
      <c r="M5325" s="15"/>
      <c r="N5325" s="23"/>
      <c r="O5325" s="23"/>
      <c r="P5325" s="15" t="str">
        <f t="shared" si="6"/>
        <v/>
      </c>
      <c r="Q5325" s="24"/>
      <c r="R5325" s="25"/>
      <c r="S5325" s="25"/>
      <c r="T5325" s="26"/>
      <c r="U5325" s="26"/>
      <c r="V5325" s="25"/>
      <c r="W5325" s="25"/>
      <c r="X5325" s="25"/>
      <c r="Y5325" s="25"/>
      <c r="Z5325" s="25"/>
    </row>
    <row r="5326" spans="1:26" ht="15.75" customHeight="1" x14ac:dyDescent="0.25">
      <c r="A5326" s="25"/>
      <c r="B5326" s="49"/>
      <c r="C5326" s="50"/>
      <c r="D5326" s="23"/>
      <c r="E5326" s="23"/>
      <c r="F5326" s="15"/>
      <c r="G5326" s="23"/>
      <c r="H5326" s="15"/>
      <c r="I5326" s="15"/>
      <c r="J5326" s="51"/>
      <c r="K5326" s="15"/>
      <c r="L5326" s="51"/>
      <c r="M5326" s="15"/>
      <c r="N5326" s="23"/>
      <c r="O5326" s="23"/>
      <c r="P5326" s="15" t="str">
        <f t="shared" si="6"/>
        <v/>
      </c>
      <c r="Q5326" s="24"/>
      <c r="R5326" s="25"/>
      <c r="S5326" s="25"/>
      <c r="T5326" s="26"/>
      <c r="U5326" s="26"/>
      <c r="V5326" s="25"/>
      <c r="W5326" s="25"/>
      <c r="X5326" s="25"/>
      <c r="Y5326" s="25"/>
      <c r="Z5326" s="25"/>
    </row>
    <row r="5327" spans="1:26" ht="15.75" customHeight="1" x14ac:dyDescent="0.25">
      <c r="A5327" s="25"/>
      <c r="B5327" s="49"/>
      <c r="C5327" s="50"/>
      <c r="D5327" s="23"/>
      <c r="E5327" s="23"/>
      <c r="F5327" s="15"/>
      <c r="G5327" s="23"/>
      <c r="H5327" s="15"/>
      <c r="I5327" s="15"/>
      <c r="J5327" s="51"/>
      <c r="K5327" s="15"/>
      <c r="L5327" s="51"/>
      <c r="M5327" s="15"/>
      <c r="N5327" s="23"/>
      <c r="O5327" s="23"/>
      <c r="P5327" s="15" t="str">
        <f t="shared" si="6"/>
        <v/>
      </c>
      <c r="Q5327" s="24"/>
      <c r="R5327" s="25"/>
      <c r="S5327" s="25"/>
      <c r="T5327" s="26"/>
      <c r="U5327" s="26"/>
      <c r="V5327" s="25"/>
      <c r="W5327" s="25"/>
      <c r="X5327" s="25"/>
      <c r="Y5327" s="25"/>
      <c r="Z5327" s="25"/>
    </row>
    <row r="5328" spans="1:26" ht="15.75" customHeight="1" x14ac:dyDescent="0.25">
      <c r="A5328" s="25"/>
      <c r="B5328" s="49"/>
      <c r="C5328" s="50"/>
      <c r="D5328" s="23"/>
      <c r="E5328" s="23"/>
      <c r="F5328" s="15"/>
      <c r="G5328" s="23"/>
      <c r="H5328" s="15"/>
      <c r="I5328" s="15"/>
      <c r="J5328" s="51"/>
      <c r="K5328" s="15"/>
      <c r="L5328" s="51"/>
      <c r="M5328" s="15"/>
      <c r="N5328" s="23"/>
      <c r="O5328" s="23"/>
      <c r="P5328" s="15" t="str">
        <f t="shared" si="6"/>
        <v/>
      </c>
      <c r="Q5328" s="24"/>
      <c r="R5328" s="25"/>
      <c r="S5328" s="25"/>
      <c r="T5328" s="26"/>
      <c r="U5328" s="26"/>
      <c r="V5328" s="25"/>
      <c r="W5328" s="25"/>
      <c r="X5328" s="25"/>
      <c r="Y5328" s="25"/>
      <c r="Z5328" s="25"/>
    </row>
    <row r="5329" spans="1:26" ht="15.75" customHeight="1" x14ac:dyDescent="0.25">
      <c r="A5329" s="25"/>
      <c r="B5329" s="49"/>
      <c r="C5329" s="50"/>
      <c r="D5329" s="23"/>
      <c r="E5329" s="23"/>
      <c r="F5329" s="15"/>
      <c r="G5329" s="23"/>
      <c r="H5329" s="15"/>
      <c r="I5329" s="15"/>
      <c r="J5329" s="51"/>
      <c r="K5329" s="15"/>
      <c r="L5329" s="51"/>
      <c r="M5329" s="15"/>
      <c r="N5329" s="23"/>
      <c r="O5329" s="23"/>
      <c r="P5329" s="15" t="str">
        <f t="shared" si="6"/>
        <v/>
      </c>
      <c r="Q5329" s="24"/>
      <c r="R5329" s="25"/>
      <c r="S5329" s="25"/>
      <c r="T5329" s="26"/>
      <c r="U5329" s="26"/>
      <c r="V5329" s="25"/>
      <c r="W5329" s="25"/>
      <c r="X5329" s="25"/>
      <c r="Y5329" s="25"/>
      <c r="Z5329" s="25"/>
    </row>
    <row r="5330" spans="1:26" ht="15.75" customHeight="1" x14ac:dyDescent="0.25">
      <c r="A5330" s="25"/>
      <c r="B5330" s="49"/>
      <c r="C5330" s="50"/>
      <c r="D5330" s="23"/>
      <c r="E5330" s="23"/>
      <c r="F5330" s="15"/>
      <c r="G5330" s="23"/>
      <c r="H5330" s="15"/>
      <c r="I5330" s="15"/>
      <c r="J5330" s="51"/>
      <c r="K5330" s="15"/>
      <c r="L5330" s="51"/>
      <c r="M5330" s="15"/>
      <c r="N5330" s="23"/>
      <c r="O5330" s="23"/>
      <c r="P5330" s="15" t="str">
        <f t="shared" si="6"/>
        <v/>
      </c>
      <c r="Q5330" s="24"/>
      <c r="R5330" s="25"/>
      <c r="S5330" s="25"/>
      <c r="T5330" s="26"/>
      <c r="U5330" s="26"/>
      <c r="V5330" s="25"/>
      <c r="W5330" s="25"/>
      <c r="X5330" s="25"/>
      <c r="Y5330" s="25"/>
      <c r="Z5330" s="25"/>
    </row>
    <row r="5331" spans="1:26" ht="15.75" customHeight="1" x14ac:dyDescent="0.25">
      <c r="A5331" s="25"/>
      <c r="B5331" s="49"/>
      <c r="C5331" s="50"/>
      <c r="D5331" s="23"/>
      <c r="E5331" s="23"/>
      <c r="F5331" s="15"/>
      <c r="G5331" s="23"/>
      <c r="H5331" s="15"/>
      <c r="I5331" s="15"/>
      <c r="J5331" s="51"/>
      <c r="K5331" s="15"/>
      <c r="L5331" s="51"/>
      <c r="M5331" s="15"/>
      <c r="N5331" s="23"/>
      <c r="O5331" s="23"/>
      <c r="P5331" s="15" t="str">
        <f t="shared" si="6"/>
        <v/>
      </c>
      <c r="Q5331" s="24"/>
      <c r="R5331" s="25"/>
      <c r="S5331" s="25"/>
      <c r="T5331" s="26"/>
      <c r="U5331" s="26"/>
      <c r="V5331" s="25"/>
      <c r="W5331" s="25"/>
      <c r="X5331" s="25"/>
      <c r="Y5331" s="25"/>
      <c r="Z5331" s="25"/>
    </row>
    <row r="5332" spans="1:26" ht="15.75" customHeight="1" x14ac:dyDescent="0.25">
      <c r="A5332" s="25"/>
      <c r="B5332" s="49"/>
      <c r="C5332" s="50"/>
      <c r="D5332" s="23"/>
      <c r="E5332" s="23"/>
      <c r="F5332" s="15"/>
      <c r="G5332" s="23"/>
      <c r="H5332" s="15"/>
      <c r="I5332" s="15"/>
      <c r="J5332" s="51"/>
      <c r="K5332" s="15"/>
      <c r="L5332" s="51"/>
      <c r="M5332" s="15"/>
      <c r="N5332" s="23"/>
      <c r="O5332" s="23"/>
      <c r="P5332" s="15" t="str">
        <f t="shared" si="6"/>
        <v/>
      </c>
      <c r="Q5332" s="24"/>
      <c r="R5332" s="25"/>
      <c r="S5332" s="25"/>
      <c r="T5332" s="26"/>
      <c r="U5332" s="26"/>
      <c r="V5332" s="25"/>
      <c r="W5332" s="25"/>
      <c r="X5332" s="25"/>
      <c r="Y5332" s="25"/>
      <c r="Z5332" s="25"/>
    </row>
    <row r="5333" spans="1:26" ht="15.75" customHeight="1" x14ac:dyDescent="0.25">
      <c r="A5333" s="25"/>
      <c r="B5333" s="49"/>
      <c r="C5333" s="50"/>
      <c r="D5333" s="23"/>
      <c r="E5333" s="23"/>
      <c r="F5333" s="15"/>
      <c r="G5333" s="23"/>
      <c r="H5333" s="15"/>
      <c r="I5333" s="15"/>
      <c r="J5333" s="51"/>
      <c r="K5333" s="15"/>
      <c r="L5333" s="51"/>
      <c r="M5333" s="15"/>
      <c r="N5333" s="23"/>
      <c r="O5333" s="23"/>
      <c r="P5333" s="15" t="str">
        <f t="shared" si="6"/>
        <v/>
      </c>
      <c r="Q5333" s="24"/>
      <c r="R5333" s="25"/>
      <c r="S5333" s="25"/>
      <c r="T5333" s="26"/>
      <c r="U5333" s="26"/>
      <c r="V5333" s="25"/>
      <c r="W5333" s="25"/>
      <c r="X5333" s="25"/>
      <c r="Y5333" s="25"/>
      <c r="Z5333" s="25"/>
    </row>
    <row r="5334" spans="1:26" ht="15.75" customHeight="1" x14ac:dyDescent="0.25">
      <c r="A5334" s="25"/>
      <c r="B5334" s="49"/>
      <c r="C5334" s="50"/>
      <c r="D5334" s="23"/>
      <c r="E5334" s="23"/>
      <c r="F5334" s="15"/>
      <c r="G5334" s="23"/>
      <c r="H5334" s="15"/>
      <c r="I5334" s="15"/>
      <c r="J5334" s="51"/>
      <c r="K5334" s="15"/>
      <c r="L5334" s="51"/>
      <c r="M5334" s="15"/>
      <c r="N5334" s="23"/>
      <c r="O5334" s="23"/>
      <c r="P5334" s="15" t="str">
        <f t="shared" si="6"/>
        <v/>
      </c>
      <c r="Q5334" s="24"/>
      <c r="R5334" s="25"/>
      <c r="S5334" s="25"/>
      <c r="T5334" s="26"/>
      <c r="U5334" s="26"/>
      <c r="V5334" s="25"/>
      <c r="W5334" s="25"/>
      <c r="X5334" s="25"/>
      <c r="Y5334" s="25"/>
      <c r="Z5334" s="25"/>
    </row>
    <row r="5335" spans="1:26" ht="15.75" customHeight="1" x14ac:dyDescent="0.25">
      <c r="A5335" s="25"/>
      <c r="B5335" s="49"/>
      <c r="C5335" s="50"/>
      <c r="D5335" s="23"/>
      <c r="E5335" s="23"/>
      <c r="F5335" s="15"/>
      <c r="G5335" s="23"/>
      <c r="H5335" s="15"/>
      <c r="I5335" s="15"/>
      <c r="J5335" s="51"/>
      <c r="K5335" s="15"/>
      <c r="L5335" s="51"/>
      <c r="M5335" s="15"/>
      <c r="N5335" s="23"/>
      <c r="O5335" s="23"/>
      <c r="P5335" s="15" t="str">
        <f t="shared" si="6"/>
        <v/>
      </c>
      <c r="Q5335" s="24"/>
      <c r="R5335" s="25"/>
      <c r="S5335" s="25"/>
      <c r="T5335" s="26"/>
      <c r="U5335" s="26"/>
      <c r="V5335" s="25"/>
      <c r="W5335" s="25"/>
      <c r="X5335" s="25"/>
      <c r="Y5335" s="25"/>
      <c r="Z5335" s="25"/>
    </row>
    <row r="5336" spans="1:26" ht="15.75" customHeight="1" x14ac:dyDescent="0.25">
      <c r="A5336" s="25"/>
      <c r="B5336" s="49"/>
      <c r="C5336" s="50"/>
      <c r="D5336" s="23"/>
      <c r="E5336" s="23"/>
      <c r="F5336" s="15"/>
      <c r="G5336" s="23"/>
      <c r="H5336" s="15"/>
      <c r="I5336" s="15"/>
      <c r="J5336" s="51"/>
      <c r="K5336" s="15"/>
      <c r="L5336" s="51"/>
      <c r="M5336" s="15"/>
      <c r="N5336" s="23"/>
      <c r="O5336" s="23"/>
      <c r="P5336" s="15" t="str">
        <f t="shared" si="6"/>
        <v/>
      </c>
      <c r="Q5336" s="24"/>
      <c r="R5336" s="25"/>
      <c r="S5336" s="25"/>
      <c r="T5336" s="26"/>
      <c r="U5336" s="26"/>
      <c r="V5336" s="25"/>
      <c r="W5336" s="25"/>
      <c r="X5336" s="25"/>
      <c r="Y5336" s="25"/>
      <c r="Z5336" s="25"/>
    </row>
    <row r="5337" spans="1:26" ht="15.75" customHeight="1" x14ac:dyDescent="0.25">
      <c r="A5337" s="25"/>
      <c r="B5337" s="49"/>
      <c r="C5337" s="50"/>
      <c r="D5337" s="23"/>
      <c r="E5337" s="23"/>
      <c r="F5337" s="15"/>
      <c r="G5337" s="23"/>
      <c r="H5337" s="15"/>
      <c r="I5337" s="15"/>
      <c r="J5337" s="51"/>
      <c r="K5337" s="15"/>
      <c r="L5337" s="51"/>
      <c r="M5337" s="15"/>
      <c r="N5337" s="23"/>
      <c r="O5337" s="23"/>
      <c r="P5337" s="15" t="str">
        <f t="shared" si="6"/>
        <v/>
      </c>
      <c r="Q5337" s="24"/>
      <c r="R5337" s="25"/>
      <c r="S5337" s="25"/>
      <c r="T5337" s="26"/>
      <c r="U5337" s="26"/>
      <c r="V5337" s="25"/>
      <c r="W5337" s="25"/>
      <c r="X5337" s="25"/>
      <c r="Y5337" s="25"/>
      <c r="Z5337" s="25"/>
    </row>
    <row r="5338" spans="1:26" ht="15.75" customHeight="1" x14ac:dyDescent="0.25">
      <c r="A5338" s="25"/>
      <c r="B5338" s="49"/>
      <c r="C5338" s="50"/>
      <c r="D5338" s="23"/>
      <c r="E5338" s="23"/>
      <c r="F5338" s="15"/>
      <c r="G5338" s="23"/>
      <c r="H5338" s="15"/>
      <c r="I5338" s="15"/>
      <c r="J5338" s="51"/>
      <c r="K5338" s="15"/>
      <c r="L5338" s="51"/>
      <c r="M5338" s="15"/>
      <c r="N5338" s="23"/>
      <c r="O5338" s="23"/>
      <c r="P5338" s="15" t="str">
        <f t="shared" si="6"/>
        <v/>
      </c>
      <c r="Q5338" s="24"/>
      <c r="R5338" s="25"/>
      <c r="S5338" s="25"/>
      <c r="T5338" s="26"/>
      <c r="U5338" s="26"/>
      <c r="V5338" s="25"/>
      <c r="W5338" s="25"/>
      <c r="X5338" s="25"/>
      <c r="Y5338" s="25"/>
      <c r="Z5338" s="25"/>
    </row>
    <row r="5339" spans="1:26" ht="15.75" customHeight="1" x14ac:dyDescent="0.25">
      <c r="A5339" s="25"/>
      <c r="B5339" s="49"/>
      <c r="C5339" s="50"/>
      <c r="D5339" s="23"/>
      <c r="E5339" s="23"/>
      <c r="F5339" s="15"/>
      <c r="G5339" s="23"/>
      <c r="H5339" s="15"/>
      <c r="I5339" s="15"/>
      <c r="J5339" s="51"/>
      <c r="K5339" s="15"/>
      <c r="L5339" s="51"/>
      <c r="M5339" s="15"/>
      <c r="N5339" s="23"/>
      <c r="O5339" s="23"/>
      <c r="P5339" s="15" t="str">
        <f t="shared" si="6"/>
        <v/>
      </c>
      <c r="Q5339" s="24"/>
      <c r="R5339" s="25"/>
      <c r="S5339" s="25"/>
      <c r="T5339" s="26"/>
      <c r="U5339" s="26"/>
      <c r="V5339" s="25"/>
      <c r="W5339" s="25"/>
      <c r="X5339" s="25"/>
      <c r="Y5339" s="25"/>
      <c r="Z5339" s="25"/>
    </row>
    <row r="5340" spans="1:26" ht="15.75" customHeight="1" x14ac:dyDescent="0.25">
      <c r="A5340" s="25"/>
      <c r="B5340" s="49"/>
      <c r="C5340" s="50"/>
      <c r="D5340" s="23"/>
      <c r="E5340" s="23"/>
      <c r="F5340" s="15"/>
      <c r="G5340" s="23"/>
      <c r="H5340" s="15"/>
      <c r="I5340" s="15"/>
      <c r="J5340" s="51"/>
      <c r="K5340" s="15"/>
      <c r="L5340" s="51"/>
      <c r="M5340" s="15"/>
      <c r="N5340" s="23"/>
      <c r="O5340" s="23"/>
      <c r="P5340" s="15" t="str">
        <f t="shared" si="6"/>
        <v/>
      </c>
      <c r="Q5340" s="24"/>
      <c r="R5340" s="25"/>
      <c r="S5340" s="25"/>
      <c r="T5340" s="26"/>
      <c r="U5340" s="26"/>
      <c r="V5340" s="25"/>
      <c r="W5340" s="25"/>
      <c r="X5340" s="25"/>
      <c r="Y5340" s="25"/>
      <c r="Z5340" s="25"/>
    </row>
    <row r="5341" spans="1:26" ht="15.75" customHeight="1" x14ac:dyDescent="0.25">
      <c r="A5341" s="25"/>
      <c r="B5341" s="49"/>
      <c r="C5341" s="50"/>
      <c r="D5341" s="23"/>
      <c r="E5341" s="23"/>
      <c r="F5341" s="15"/>
      <c r="G5341" s="23"/>
      <c r="H5341" s="15"/>
      <c r="I5341" s="15"/>
      <c r="J5341" s="51"/>
      <c r="K5341" s="15"/>
      <c r="L5341" s="51"/>
      <c r="M5341" s="15"/>
      <c r="N5341" s="23"/>
      <c r="O5341" s="23"/>
      <c r="P5341" s="15" t="str">
        <f t="shared" si="6"/>
        <v/>
      </c>
      <c r="Q5341" s="24"/>
      <c r="R5341" s="25"/>
      <c r="S5341" s="25"/>
      <c r="T5341" s="26"/>
      <c r="U5341" s="26"/>
      <c r="V5341" s="25"/>
      <c r="W5341" s="25"/>
      <c r="X5341" s="25"/>
      <c r="Y5341" s="25"/>
      <c r="Z5341" s="25"/>
    </row>
    <row r="5342" spans="1:26" ht="15.75" customHeight="1" x14ac:dyDescent="0.25">
      <c r="A5342" s="25"/>
      <c r="B5342" s="49"/>
      <c r="C5342" s="50"/>
      <c r="D5342" s="23"/>
      <c r="E5342" s="23"/>
      <c r="F5342" s="15"/>
      <c r="G5342" s="23"/>
      <c r="H5342" s="15"/>
      <c r="I5342" s="15"/>
      <c r="J5342" s="51"/>
      <c r="K5342" s="15"/>
      <c r="L5342" s="51"/>
      <c r="M5342" s="15"/>
      <c r="N5342" s="23"/>
      <c r="O5342" s="23"/>
      <c r="P5342" s="15" t="str">
        <f t="shared" si="6"/>
        <v/>
      </c>
      <c r="Q5342" s="24"/>
      <c r="R5342" s="25"/>
      <c r="S5342" s="25"/>
      <c r="T5342" s="26"/>
      <c r="U5342" s="26"/>
      <c r="V5342" s="25"/>
      <c r="W5342" s="25"/>
      <c r="X5342" s="25"/>
      <c r="Y5342" s="25"/>
      <c r="Z5342" s="25"/>
    </row>
    <row r="5343" spans="1:26" ht="15.75" customHeight="1" x14ac:dyDescent="0.25">
      <c r="A5343" s="25"/>
      <c r="B5343" s="49"/>
      <c r="C5343" s="50"/>
      <c r="D5343" s="23"/>
      <c r="E5343" s="23"/>
      <c r="F5343" s="15"/>
      <c r="G5343" s="23"/>
      <c r="H5343" s="15"/>
      <c r="I5343" s="15"/>
      <c r="J5343" s="51"/>
      <c r="K5343" s="15"/>
      <c r="L5343" s="51"/>
      <c r="M5343" s="15"/>
      <c r="N5343" s="23"/>
      <c r="O5343" s="23"/>
      <c r="P5343" s="15" t="str">
        <f t="shared" si="6"/>
        <v/>
      </c>
      <c r="Q5343" s="24"/>
      <c r="R5343" s="25"/>
      <c r="S5343" s="25"/>
      <c r="T5343" s="26"/>
      <c r="U5343" s="26"/>
      <c r="V5343" s="25"/>
      <c r="W5343" s="25"/>
      <c r="X5343" s="25"/>
      <c r="Y5343" s="25"/>
      <c r="Z5343" s="25"/>
    </row>
    <row r="5344" spans="1:26" ht="15.75" customHeight="1" x14ac:dyDescent="0.25">
      <c r="A5344" s="25"/>
      <c r="B5344" s="49"/>
      <c r="C5344" s="50"/>
      <c r="D5344" s="23"/>
      <c r="E5344" s="23"/>
      <c r="F5344" s="15"/>
      <c r="G5344" s="23"/>
      <c r="H5344" s="15"/>
      <c r="I5344" s="15"/>
      <c r="J5344" s="51"/>
      <c r="K5344" s="15"/>
      <c r="L5344" s="51"/>
      <c r="M5344" s="15"/>
      <c r="N5344" s="23"/>
      <c r="O5344" s="23"/>
      <c r="P5344" s="15" t="str">
        <f t="shared" si="6"/>
        <v/>
      </c>
      <c r="Q5344" s="24"/>
      <c r="R5344" s="25"/>
      <c r="S5344" s="25"/>
      <c r="T5344" s="26"/>
      <c r="U5344" s="26"/>
      <c r="V5344" s="25"/>
      <c r="W5344" s="25"/>
      <c r="X5344" s="25"/>
      <c r="Y5344" s="25"/>
      <c r="Z5344" s="25"/>
    </row>
    <row r="5345" spans="1:26" ht="15.75" customHeight="1" x14ac:dyDescent="0.25">
      <c r="A5345" s="25"/>
      <c r="B5345" s="49"/>
      <c r="C5345" s="50"/>
      <c r="D5345" s="23"/>
      <c r="E5345" s="23"/>
      <c r="F5345" s="15"/>
      <c r="G5345" s="23"/>
      <c r="H5345" s="15"/>
      <c r="I5345" s="15"/>
      <c r="J5345" s="51"/>
      <c r="K5345" s="15"/>
      <c r="L5345" s="51"/>
      <c r="M5345" s="15"/>
      <c r="N5345" s="23"/>
      <c r="O5345" s="23"/>
      <c r="P5345" s="15" t="str">
        <f t="shared" si="6"/>
        <v/>
      </c>
      <c r="Q5345" s="24"/>
      <c r="R5345" s="25"/>
      <c r="S5345" s="25"/>
      <c r="T5345" s="26"/>
      <c r="U5345" s="26"/>
      <c r="V5345" s="25"/>
      <c r="W5345" s="25"/>
      <c r="X5345" s="25"/>
      <c r="Y5345" s="25"/>
      <c r="Z5345" s="25"/>
    </row>
    <row r="5346" spans="1:26" ht="15.75" customHeight="1" x14ac:dyDescent="0.25">
      <c r="A5346" s="25"/>
      <c r="B5346" s="49"/>
      <c r="C5346" s="50"/>
      <c r="D5346" s="23"/>
      <c r="E5346" s="23"/>
      <c r="F5346" s="15"/>
      <c r="G5346" s="23"/>
      <c r="H5346" s="15"/>
      <c r="I5346" s="15"/>
      <c r="J5346" s="51"/>
      <c r="K5346" s="15"/>
      <c r="L5346" s="51"/>
      <c r="M5346" s="15"/>
      <c r="N5346" s="23"/>
      <c r="O5346" s="23"/>
      <c r="P5346" s="15" t="str">
        <f t="shared" si="6"/>
        <v/>
      </c>
      <c r="Q5346" s="24"/>
      <c r="R5346" s="25"/>
      <c r="S5346" s="25"/>
      <c r="T5346" s="26"/>
      <c r="U5346" s="26"/>
      <c r="V5346" s="25"/>
      <c r="W5346" s="25"/>
      <c r="X5346" s="25"/>
      <c r="Y5346" s="25"/>
      <c r="Z5346" s="25"/>
    </row>
    <row r="5347" spans="1:26" ht="15.75" customHeight="1" x14ac:dyDescent="0.25">
      <c r="A5347" s="25"/>
      <c r="B5347" s="49"/>
      <c r="C5347" s="50"/>
      <c r="D5347" s="23"/>
      <c r="E5347" s="23"/>
      <c r="F5347" s="15"/>
      <c r="G5347" s="23"/>
      <c r="H5347" s="15"/>
      <c r="I5347" s="15"/>
      <c r="J5347" s="51"/>
      <c r="K5347" s="15"/>
      <c r="L5347" s="51"/>
      <c r="M5347" s="15"/>
      <c r="N5347" s="23"/>
      <c r="O5347" s="23"/>
      <c r="P5347" s="15" t="str">
        <f t="shared" si="6"/>
        <v/>
      </c>
      <c r="Q5347" s="24"/>
      <c r="R5347" s="25"/>
      <c r="S5347" s="25"/>
      <c r="T5347" s="26"/>
      <c r="U5347" s="26"/>
      <c r="V5347" s="25"/>
      <c r="W5347" s="25"/>
      <c r="X5347" s="25"/>
      <c r="Y5347" s="25"/>
      <c r="Z5347" s="25"/>
    </row>
    <row r="5348" spans="1:26" ht="15.75" customHeight="1" x14ac:dyDescent="0.25">
      <c r="A5348" s="25"/>
      <c r="B5348" s="49"/>
      <c r="C5348" s="50"/>
      <c r="D5348" s="23"/>
      <c r="E5348" s="23"/>
      <c r="F5348" s="15"/>
      <c r="G5348" s="23"/>
      <c r="H5348" s="15"/>
      <c r="I5348" s="15"/>
      <c r="J5348" s="51"/>
      <c r="K5348" s="15"/>
      <c r="L5348" s="51"/>
      <c r="M5348" s="15"/>
      <c r="N5348" s="23"/>
      <c r="O5348" s="23"/>
      <c r="P5348" s="15" t="str">
        <f t="shared" si="6"/>
        <v/>
      </c>
      <c r="Q5348" s="24"/>
      <c r="R5348" s="25"/>
      <c r="S5348" s="25"/>
      <c r="T5348" s="26"/>
      <c r="U5348" s="26"/>
      <c r="V5348" s="25"/>
      <c r="W5348" s="25"/>
      <c r="X5348" s="25"/>
      <c r="Y5348" s="25"/>
      <c r="Z5348" s="25"/>
    </row>
    <row r="5349" spans="1:26" ht="15.75" customHeight="1" x14ac:dyDescent="0.25">
      <c r="A5349" s="25"/>
      <c r="B5349" s="49"/>
      <c r="C5349" s="50"/>
      <c r="D5349" s="23"/>
      <c r="E5349" s="23"/>
      <c r="F5349" s="15"/>
      <c r="G5349" s="23"/>
      <c r="H5349" s="15"/>
      <c r="I5349" s="15"/>
      <c r="J5349" s="51"/>
      <c r="K5349" s="15"/>
      <c r="L5349" s="51"/>
      <c r="M5349" s="15"/>
      <c r="N5349" s="23"/>
      <c r="O5349" s="23"/>
      <c r="P5349" s="15" t="str">
        <f t="shared" si="6"/>
        <v/>
      </c>
      <c r="Q5349" s="24"/>
      <c r="R5349" s="25"/>
      <c r="S5349" s="25"/>
      <c r="T5349" s="26"/>
      <c r="U5349" s="26"/>
      <c r="V5349" s="25"/>
      <c r="W5349" s="25"/>
      <c r="X5349" s="25"/>
      <c r="Y5349" s="25"/>
      <c r="Z5349" s="25"/>
    </row>
    <row r="5350" spans="1:26" ht="15.75" customHeight="1" x14ac:dyDescent="0.25">
      <c r="A5350" s="25"/>
      <c r="B5350" s="49"/>
      <c r="C5350" s="50"/>
      <c r="D5350" s="23"/>
      <c r="E5350" s="23"/>
      <c r="F5350" s="15"/>
      <c r="G5350" s="23"/>
      <c r="H5350" s="15"/>
      <c r="I5350" s="15"/>
      <c r="J5350" s="51"/>
      <c r="K5350" s="15"/>
      <c r="L5350" s="51"/>
      <c r="M5350" s="15"/>
      <c r="N5350" s="23"/>
      <c r="O5350" s="23"/>
      <c r="P5350" s="15" t="str">
        <f t="shared" si="6"/>
        <v/>
      </c>
      <c r="Q5350" s="24"/>
      <c r="R5350" s="25"/>
      <c r="S5350" s="25"/>
      <c r="T5350" s="26"/>
      <c r="U5350" s="26"/>
      <c r="V5350" s="25"/>
      <c r="W5350" s="25"/>
      <c r="X5350" s="25"/>
      <c r="Y5350" s="25"/>
      <c r="Z5350" s="25"/>
    </row>
    <row r="5351" spans="1:26" ht="15.75" customHeight="1" x14ac:dyDescent="0.25">
      <c r="A5351" s="25"/>
      <c r="B5351" s="49"/>
      <c r="C5351" s="50"/>
      <c r="D5351" s="23"/>
      <c r="E5351" s="23"/>
      <c r="F5351" s="15"/>
      <c r="G5351" s="23"/>
      <c r="H5351" s="15"/>
      <c r="I5351" s="15"/>
      <c r="J5351" s="51"/>
      <c r="K5351" s="15"/>
      <c r="L5351" s="51"/>
      <c r="M5351" s="15"/>
      <c r="N5351" s="23"/>
      <c r="O5351" s="23"/>
      <c r="P5351" s="15" t="str">
        <f t="shared" si="6"/>
        <v/>
      </c>
      <c r="Q5351" s="24"/>
      <c r="R5351" s="25"/>
      <c r="S5351" s="25"/>
      <c r="T5351" s="26"/>
      <c r="U5351" s="26"/>
      <c r="V5351" s="25"/>
      <c r="W5351" s="25"/>
      <c r="X5351" s="25"/>
      <c r="Y5351" s="25"/>
      <c r="Z5351" s="25"/>
    </row>
    <row r="5352" spans="1:26" ht="15.75" customHeight="1" x14ac:dyDescent="0.25">
      <c r="A5352" s="25"/>
      <c r="B5352" s="49"/>
      <c r="C5352" s="50"/>
      <c r="D5352" s="23"/>
      <c r="E5352" s="23"/>
      <c r="F5352" s="15"/>
      <c r="G5352" s="23"/>
      <c r="H5352" s="15"/>
      <c r="I5352" s="15"/>
      <c r="J5352" s="51"/>
      <c r="K5352" s="15"/>
      <c r="L5352" s="51"/>
      <c r="M5352" s="15"/>
      <c r="N5352" s="23"/>
      <c r="O5352" s="23"/>
      <c r="P5352" s="15" t="str">
        <f t="shared" si="6"/>
        <v/>
      </c>
      <c r="Q5352" s="24"/>
      <c r="R5352" s="25"/>
      <c r="S5352" s="25"/>
      <c r="T5352" s="26"/>
      <c r="U5352" s="26"/>
      <c r="V5352" s="25"/>
      <c r="W5352" s="25"/>
      <c r="X5352" s="25"/>
      <c r="Y5352" s="25"/>
      <c r="Z5352" s="25"/>
    </row>
    <row r="5353" spans="1:26" ht="15.75" customHeight="1" x14ac:dyDescent="0.25">
      <c r="A5353" s="25"/>
      <c r="B5353" s="49"/>
      <c r="C5353" s="50"/>
      <c r="D5353" s="23"/>
      <c r="E5353" s="23"/>
      <c r="F5353" s="15"/>
      <c r="G5353" s="23"/>
      <c r="H5353" s="15"/>
      <c r="I5353" s="15"/>
      <c r="J5353" s="51"/>
      <c r="K5353" s="15"/>
      <c r="L5353" s="51"/>
      <c r="M5353" s="15"/>
      <c r="N5353" s="23"/>
      <c r="O5353" s="23"/>
      <c r="P5353" s="15" t="str">
        <f t="shared" si="6"/>
        <v/>
      </c>
      <c r="Q5353" s="24"/>
      <c r="R5353" s="25"/>
      <c r="S5353" s="25"/>
      <c r="T5353" s="26"/>
      <c r="U5353" s="26"/>
      <c r="V5353" s="25"/>
      <c r="W5353" s="25"/>
      <c r="X5353" s="25"/>
      <c r="Y5353" s="25"/>
      <c r="Z5353" s="25"/>
    </row>
    <row r="5354" spans="1:26" ht="15.75" customHeight="1" x14ac:dyDescent="0.25">
      <c r="A5354" s="25"/>
      <c r="B5354" s="49"/>
      <c r="C5354" s="50"/>
      <c r="D5354" s="23"/>
      <c r="E5354" s="23"/>
      <c r="F5354" s="15"/>
      <c r="G5354" s="23"/>
      <c r="H5354" s="15"/>
      <c r="I5354" s="15"/>
      <c r="J5354" s="51"/>
      <c r="K5354" s="15"/>
      <c r="L5354" s="51"/>
      <c r="M5354" s="15"/>
      <c r="N5354" s="23"/>
      <c r="O5354" s="23"/>
      <c r="P5354" s="15" t="str">
        <f t="shared" si="6"/>
        <v/>
      </c>
      <c r="Q5354" s="24"/>
      <c r="R5354" s="25"/>
      <c r="S5354" s="25"/>
      <c r="T5354" s="26"/>
      <c r="U5354" s="26"/>
      <c r="V5354" s="25"/>
      <c r="W5354" s="25"/>
      <c r="X5354" s="25"/>
      <c r="Y5354" s="25"/>
      <c r="Z5354" s="25"/>
    </row>
    <row r="5355" spans="1:26" ht="15.75" customHeight="1" x14ac:dyDescent="0.25">
      <c r="A5355" s="25"/>
      <c r="B5355" s="49"/>
      <c r="C5355" s="50"/>
      <c r="D5355" s="23"/>
      <c r="E5355" s="23"/>
      <c r="F5355" s="15"/>
      <c r="G5355" s="23"/>
      <c r="H5355" s="15"/>
      <c r="I5355" s="15"/>
      <c r="J5355" s="51"/>
      <c r="K5355" s="15"/>
      <c r="L5355" s="51"/>
      <c r="M5355" s="15"/>
      <c r="N5355" s="23"/>
      <c r="O5355" s="23"/>
      <c r="P5355" s="15" t="str">
        <f t="shared" si="6"/>
        <v/>
      </c>
      <c r="Q5355" s="24"/>
      <c r="R5355" s="25"/>
      <c r="S5355" s="25"/>
      <c r="T5355" s="26"/>
      <c r="U5355" s="26"/>
      <c r="V5355" s="25"/>
      <c r="W5355" s="25"/>
      <c r="X5355" s="25"/>
      <c r="Y5355" s="25"/>
      <c r="Z5355" s="25"/>
    </row>
    <row r="5356" spans="1:26" ht="15.75" customHeight="1" x14ac:dyDescent="0.25">
      <c r="A5356" s="25"/>
      <c r="B5356" s="49"/>
      <c r="C5356" s="50"/>
      <c r="D5356" s="23"/>
      <c r="E5356" s="23"/>
      <c r="F5356" s="15"/>
      <c r="G5356" s="23"/>
      <c r="H5356" s="15"/>
      <c r="I5356" s="15"/>
      <c r="J5356" s="51"/>
      <c r="K5356" s="15"/>
      <c r="L5356" s="51"/>
      <c r="M5356" s="15"/>
      <c r="N5356" s="23"/>
      <c r="O5356" s="23"/>
      <c r="P5356" s="15" t="str">
        <f t="shared" si="6"/>
        <v/>
      </c>
      <c r="Q5356" s="24"/>
      <c r="R5356" s="25"/>
      <c r="S5356" s="25"/>
      <c r="T5356" s="26"/>
      <c r="U5356" s="26"/>
      <c r="V5356" s="25"/>
      <c r="W5356" s="25"/>
      <c r="X5356" s="25"/>
      <c r="Y5356" s="25"/>
      <c r="Z5356" s="25"/>
    </row>
    <row r="5357" spans="1:26" ht="15.75" customHeight="1" x14ac:dyDescent="0.25">
      <c r="A5357" s="25"/>
      <c r="B5357" s="49"/>
      <c r="C5357" s="50"/>
      <c r="D5357" s="23"/>
      <c r="E5357" s="23"/>
      <c r="F5357" s="15"/>
      <c r="G5357" s="23"/>
      <c r="H5357" s="15"/>
      <c r="I5357" s="15"/>
      <c r="J5357" s="51"/>
      <c r="K5357" s="15"/>
      <c r="L5357" s="51"/>
      <c r="M5357" s="15"/>
      <c r="N5357" s="23"/>
      <c r="O5357" s="23"/>
      <c r="P5357" s="15" t="str">
        <f t="shared" si="6"/>
        <v/>
      </c>
      <c r="Q5357" s="24"/>
      <c r="R5357" s="25"/>
      <c r="S5357" s="25"/>
      <c r="T5357" s="26"/>
      <c r="U5357" s="26"/>
      <c r="V5357" s="25"/>
      <c r="W5357" s="25"/>
      <c r="X5357" s="25"/>
      <c r="Y5357" s="25"/>
      <c r="Z5357" s="25"/>
    </row>
    <row r="5358" spans="1:26" ht="15.75" customHeight="1" x14ac:dyDescent="0.25">
      <c r="A5358" s="25"/>
      <c r="B5358" s="49"/>
      <c r="C5358" s="50"/>
      <c r="D5358" s="23"/>
      <c r="E5358" s="23"/>
      <c r="F5358" s="15"/>
      <c r="G5358" s="23"/>
      <c r="H5358" s="15"/>
      <c r="I5358" s="15"/>
      <c r="J5358" s="51"/>
      <c r="K5358" s="15"/>
      <c r="L5358" s="51"/>
      <c r="M5358" s="15"/>
      <c r="N5358" s="23"/>
      <c r="O5358" s="23"/>
      <c r="P5358" s="15" t="str">
        <f t="shared" si="6"/>
        <v/>
      </c>
      <c r="Q5358" s="24"/>
      <c r="R5358" s="25"/>
      <c r="S5358" s="25"/>
      <c r="T5358" s="26"/>
      <c r="U5358" s="26"/>
      <c r="V5358" s="25"/>
      <c r="W5358" s="25"/>
      <c r="X5358" s="25"/>
      <c r="Y5358" s="25"/>
      <c r="Z5358" s="25"/>
    </row>
    <row r="5359" spans="1:26" ht="15.75" customHeight="1" x14ac:dyDescent="0.25">
      <c r="A5359" s="25"/>
      <c r="B5359" s="49"/>
      <c r="C5359" s="50"/>
      <c r="D5359" s="23"/>
      <c r="E5359" s="23"/>
      <c r="F5359" s="15"/>
      <c r="G5359" s="23"/>
      <c r="H5359" s="15"/>
      <c r="I5359" s="15"/>
      <c r="J5359" s="51"/>
      <c r="K5359" s="15"/>
      <c r="L5359" s="51"/>
      <c r="M5359" s="15"/>
      <c r="N5359" s="23"/>
      <c r="O5359" s="23"/>
      <c r="P5359" s="15" t="str">
        <f t="shared" si="6"/>
        <v/>
      </c>
      <c r="Q5359" s="24"/>
      <c r="R5359" s="25"/>
      <c r="S5359" s="25"/>
      <c r="T5359" s="26"/>
      <c r="U5359" s="26"/>
      <c r="V5359" s="25"/>
      <c r="W5359" s="25"/>
      <c r="X5359" s="25"/>
      <c r="Y5359" s="25"/>
      <c r="Z5359" s="25"/>
    </row>
    <row r="5360" spans="1:26" ht="15.75" customHeight="1" x14ac:dyDescent="0.25">
      <c r="A5360" s="25"/>
      <c r="B5360" s="49"/>
      <c r="C5360" s="50"/>
      <c r="D5360" s="23"/>
      <c r="E5360" s="23"/>
      <c r="F5360" s="15"/>
      <c r="G5360" s="23"/>
      <c r="H5360" s="15"/>
      <c r="I5360" s="15"/>
      <c r="J5360" s="51"/>
      <c r="K5360" s="15"/>
      <c r="L5360" s="51"/>
      <c r="M5360" s="15"/>
      <c r="N5360" s="23"/>
      <c r="O5360" s="23"/>
      <c r="P5360" s="15" t="str">
        <f t="shared" si="6"/>
        <v/>
      </c>
      <c r="Q5360" s="24"/>
      <c r="R5360" s="25"/>
      <c r="S5360" s="25"/>
      <c r="T5360" s="26"/>
      <c r="U5360" s="26"/>
      <c r="V5360" s="25"/>
      <c r="W5360" s="25"/>
      <c r="X5360" s="25"/>
      <c r="Y5360" s="25"/>
      <c r="Z5360" s="25"/>
    </row>
    <row r="5361" spans="1:26" ht="15.75" customHeight="1" x14ac:dyDescent="0.25">
      <c r="A5361" s="25"/>
      <c r="B5361" s="49"/>
      <c r="C5361" s="50"/>
      <c r="D5361" s="23"/>
      <c r="E5361" s="23"/>
      <c r="F5361" s="15"/>
      <c r="G5361" s="23"/>
      <c r="H5361" s="15"/>
      <c r="I5361" s="15"/>
      <c r="J5361" s="51"/>
      <c r="K5361" s="15"/>
      <c r="L5361" s="51"/>
      <c r="M5361" s="15"/>
      <c r="N5361" s="23"/>
      <c r="O5361" s="23"/>
      <c r="P5361" s="15" t="str">
        <f t="shared" si="6"/>
        <v/>
      </c>
      <c r="Q5361" s="24"/>
      <c r="R5361" s="25"/>
      <c r="S5361" s="25"/>
      <c r="T5361" s="26"/>
      <c r="U5361" s="26"/>
      <c r="V5361" s="25"/>
      <c r="W5361" s="25"/>
      <c r="X5361" s="25"/>
      <c r="Y5361" s="25"/>
      <c r="Z5361" s="25"/>
    </row>
    <row r="5362" spans="1:26" ht="15.75" customHeight="1" x14ac:dyDescent="0.25">
      <c r="A5362" s="25"/>
      <c r="B5362" s="49"/>
      <c r="C5362" s="50"/>
      <c r="D5362" s="23"/>
      <c r="E5362" s="23"/>
      <c r="F5362" s="15"/>
      <c r="G5362" s="23"/>
      <c r="H5362" s="15"/>
      <c r="I5362" s="15"/>
      <c r="J5362" s="51"/>
      <c r="K5362" s="15"/>
      <c r="L5362" s="51"/>
      <c r="M5362" s="15"/>
      <c r="N5362" s="23"/>
      <c r="O5362" s="23"/>
      <c r="P5362" s="15" t="str">
        <f t="shared" si="6"/>
        <v/>
      </c>
      <c r="Q5362" s="24"/>
      <c r="R5362" s="25"/>
      <c r="S5362" s="25"/>
      <c r="T5362" s="26"/>
      <c r="U5362" s="26"/>
      <c r="V5362" s="25"/>
      <c r="W5362" s="25"/>
      <c r="X5362" s="25"/>
      <c r="Y5362" s="25"/>
      <c r="Z5362" s="25"/>
    </row>
    <row r="5363" spans="1:26" ht="15.75" customHeight="1" x14ac:dyDescent="0.25">
      <c r="A5363" s="25"/>
      <c r="B5363" s="49"/>
      <c r="C5363" s="50"/>
      <c r="D5363" s="23"/>
      <c r="E5363" s="23"/>
      <c r="F5363" s="15"/>
      <c r="G5363" s="23"/>
      <c r="H5363" s="15"/>
      <c r="I5363" s="15"/>
      <c r="J5363" s="51"/>
      <c r="K5363" s="15"/>
      <c r="L5363" s="51"/>
      <c r="M5363" s="15"/>
      <c r="N5363" s="23"/>
      <c r="O5363" s="23"/>
      <c r="P5363" s="15" t="str">
        <f t="shared" si="6"/>
        <v/>
      </c>
      <c r="Q5363" s="24"/>
      <c r="R5363" s="25"/>
      <c r="S5363" s="25"/>
      <c r="T5363" s="26"/>
      <c r="U5363" s="26"/>
      <c r="V5363" s="25"/>
      <c r="W5363" s="25"/>
      <c r="X5363" s="25"/>
      <c r="Y5363" s="25"/>
      <c r="Z5363" s="25"/>
    </row>
    <row r="5364" spans="1:26" ht="15.75" customHeight="1" x14ac:dyDescent="0.25">
      <c r="A5364" s="25"/>
      <c r="B5364" s="49"/>
      <c r="C5364" s="50"/>
      <c r="D5364" s="23"/>
      <c r="E5364" s="23"/>
      <c r="F5364" s="15"/>
      <c r="G5364" s="23"/>
      <c r="H5364" s="15"/>
      <c r="I5364" s="15"/>
      <c r="J5364" s="51"/>
      <c r="K5364" s="15"/>
      <c r="L5364" s="51"/>
      <c r="M5364" s="15"/>
      <c r="N5364" s="23"/>
      <c r="O5364" s="23"/>
      <c r="P5364" s="15" t="str">
        <f t="shared" si="6"/>
        <v/>
      </c>
      <c r="Q5364" s="24"/>
      <c r="R5364" s="25"/>
      <c r="S5364" s="25"/>
      <c r="T5364" s="26"/>
      <c r="U5364" s="26"/>
      <c r="V5364" s="25"/>
      <c r="W5364" s="25"/>
      <c r="X5364" s="25"/>
      <c r="Y5364" s="25"/>
      <c r="Z5364" s="25"/>
    </row>
    <row r="5365" spans="1:26" ht="15.75" customHeight="1" x14ac:dyDescent="0.25">
      <c r="A5365" s="25"/>
      <c r="B5365" s="49"/>
      <c r="C5365" s="50"/>
      <c r="D5365" s="23"/>
      <c r="E5365" s="23"/>
      <c r="F5365" s="15"/>
      <c r="G5365" s="23"/>
      <c r="H5365" s="15"/>
      <c r="I5365" s="15"/>
      <c r="J5365" s="51"/>
      <c r="K5365" s="15"/>
      <c r="L5365" s="51"/>
      <c r="M5365" s="15"/>
      <c r="N5365" s="23"/>
      <c r="O5365" s="23"/>
      <c r="P5365" s="15" t="str">
        <f t="shared" si="6"/>
        <v/>
      </c>
      <c r="Q5365" s="24"/>
      <c r="R5365" s="25"/>
      <c r="S5365" s="25"/>
      <c r="T5365" s="26"/>
      <c r="U5365" s="26"/>
      <c r="V5365" s="25"/>
      <c r="W5365" s="25"/>
      <c r="X5365" s="25"/>
      <c r="Y5365" s="25"/>
      <c r="Z5365" s="25"/>
    </row>
    <row r="5366" spans="1:26" ht="15.75" customHeight="1" x14ac:dyDescent="0.25">
      <c r="A5366" s="25"/>
      <c r="B5366" s="49"/>
      <c r="C5366" s="50"/>
      <c r="D5366" s="23"/>
      <c r="E5366" s="23"/>
      <c r="F5366" s="15"/>
      <c r="G5366" s="23"/>
      <c r="H5366" s="15"/>
      <c r="I5366" s="15"/>
      <c r="J5366" s="51"/>
      <c r="K5366" s="15"/>
      <c r="L5366" s="51"/>
      <c r="M5366" s="15"/>
      <c r="N5366" s="23"/>
      <c r="O5366" s="23"/>
      <c r="P5366" s="15" t="str">
        <f t="shared" si="6"/>
        <v/>
      </c>
      <c r="Q5366" s="24"/>
      <c r="R5366" s="25"/>
      <c r="S5366" s="25"/>
      <c r="T5366" s="26"/>
      <c r="U5366" s="26"/>
      <c r="V5366" s="25"/>
      <c r="W5366" s="25"/>
      <c r="X5366" s="25"/>
      <c r="Y5366" s="25"/>
      <c r="Z5366" s="25"/>
    </row>
    <row r="5367" spans="1:26" ht="15.75" customHeight="1" x14ac:dyDescent="0.25">
      <c r="A5367" s="25"/>
      <c r="B5367" s="49"/>
      <c r="C5367" s="50"/>
      <c r="D5367" s="23"/>
      <c r="E5367" s="23"/>
      <c r="F5367" s="15"/>
      <c r="G5367" s="23"/>
      <c r="H5367" s="15"/>
      <c r="I5367" s="15"/>
      <c r="J5367" s="51"/>
      <c r="K5367" s="15"/>
      <c r="L5367" s="51"/>
      <c r="M5367" s="15"/>
      <c r="N5367" s="23"/>
      <c r="O5367" s="23"/>
      <c r="P5367" s="15" t="str">
        <f t="shared" si="6"/>
        <v/>
      </c>
      <c r="Q5367" s="24"/>
      <c r="R5367" s="25"/>
      <c r="S5367" s="25"/>
      <c r="T5367" s="26"/>
      <c r="U5367" s="26"/>
      <c r="V5367" s="25"/>
      <c r="W5367" s="25"/>
      <c r="X5367" s="25"/>
      <c r="Y5367" s="25"/>
      <c r="Z5367" s="25"/>
    </row>
    <row r="5368" spans="1:26" ht="15.75" customHeight="1" x14ac:dyDescent="0.25">
      <c r="A5368" s="25"/>
      <c r="B5368" s="49"/>
      <c r="C5368" s="50"/>
      <c r="D5368" s="23"/>
      <c r="E5368" s="23"/>
      <c r="F5368" s="15"/>
      <c r="G5368" s="23"/>
      <c r="H5368" s="15"/>
      <c r="I5368" s="15"/>
      <c r="J5368" s="51"/>
      <c r="K5368" s="15"/>
      <c r="L5368" s="51"/>
      <c r="M5368" s="15"/>
      <c r="N5368" s="23"/>
      <c r="O5368" s="23"/>
      <c r="P5368" s="15" t="str">
        <f t="shared" si="6"/>
        <v/>
      </c>
      <c r="Q5368" s="24"/>
      <c r="R5368" s="25"/>
      <c r="S5368" s="25"/>
      <c r="T5368" s="26"/>
      <c r="U5368" s="26"/>
      <c r="V5368" s="25"/>
      <c r="W5368" s="25"/>
      <c r="X5368" s="25"/>
      <c r="Y5368" s="25"/>
      <c r="Z5368" s="25"/>
    </row>
    <row r="5369" spans="1:26" ht="15.75" customHeight="1" x14ac:dyDescent="0.25">
      <c r="A5369" s="25"/>
      <c r="B5369" s="49"/>
      <c r="C5369" s="50"/>
      <c r="D5369" s="23"/>
      <c r="E5369" s="23"/>
      <c r="F5369" s="15"/>
      <c r="G5369" s="23"/>
      <c r="H5369" s="15"/>
      <c r="I5369" s="15"/>
      <c r="J5369" s="51"/>
      <c r="K5369" s="15"/>
      <c r="L5369" s="51"/>
      <c r="M5369" s="15"/>
      <c r="N5369" s="23"/>
      <c r="O5369" s="23"/>
      <c r="P5369" s="15" t="str">
        <f t="shared" si="6"/>
        <v/>
      </c>
      <c r="Q5369" s="24"/>
      <c r="R5369" s="25"/>
      <c r="S5369" s="25"/>
      <c r="T5369" s="26"/>
      <c r="U5369" s="26"/>
      <c r="V5369" s="25"/>
      <c r="W5369" s="25"/>
      <c r="X5369" s="25"/>
      <c r="Y5369" s="25"/>
      <c r="Z5369" s="25"/>
    </row>
    <row r="5370" spans="1:26" ht="15.75" customHeight="1" x14ac:dyDescent="0.25">
      <c r="A5370" s="25"/>
      <c r="B5370" s="49"/>
      <c r="C5370" s="50"/>
      <c r="D5370" s="23"/>
      <c r="E5370" s="23"/>
      <c r="F5370" s="15"/>
      <c r="G5370" s="23"/>
      <c r="H5370" s="15"/>
      <c r="I5370" s="15"/>
      <c r="J5370" s="51"/>
      <c r="K5370" s="15"/>
      <c r="L5370" s="51"/>
      <c r="M5370" s="15"/>
      <c r="N5370" s="23"/>
      <c r="O5370" s="23"/>
      <c r="P5370" s="15" t="str">
        <f t="shared" si="6"/>
        <v/>
      </c>
      <c r="Q5370" s="24"/>
      <c r="R5370" s="25"/>
      <c r="S5370" s="25"/>
      <c r="T5370" s="26"/>
      <c r="U5370" s="26"/>
      <c r="V5370" s="25"/>
      <c r="W5370" s="25"/>
      <c r="X5370" s="25"/>
      <c r="Y5370" s="25"/>
      <c r="Z5370" s="25"/>
    </row>
    <row r="5371" spans="1:26" ht="15.75" customHeight="1" x14ac:dyDescent="0.25">
      <c r="A5371" s="25"/>
      <c r="B5371" s="49"/>
      <c r="C5371" s="50"/>
      <c r="D5371" s="23"/>
      <c r="E5371" s="23"/>
      <c r="F5371" s="15"/>
      <c r="G5371" s="23"/>
      <c r="H5371" s="15"/>
      <c r="I5371" s="15"/>
      <c r="J5371" s="51"/>
      <c r="K5371" s="15"/>
      <c r="L5371" s="51"/>
      <c r="M5371" s="15"/>
      <c r="N5371" s="23"/>
      <c r="O5371" s="23"/>
      <c r="P5371" s="15" t="str">
        <f t="shared" si="6"/>
        <v/>
      </c>
      <c r="Q5371" s="24"/>
      <c r="R5371" s="25"/>
      <c r="S5371" s="25"/>
      <c r="T5371" s="26"/>
      <c r="U5371" s="26"/>
      <c r="V5371" s="25"/>
      <c r="W5371" s="25"/>
      <c r="X5371" s="25"/>
      <c r="Y5371" s="25"/>
      <c r="Z5371" s="25"/>
    </row>
    <row r="5372" spans="1:26" ht="15.75" customHeight="1" x14ac:dyDescent="0.25">
      <c r="A5372" s="25"/>
      <c r="B5372" s="49"/>
      <c r="C5372" s="50"/>
      <c r="D5372" s="23"/>
      <c r="E5372" s="23"/>
      <c r="F5372" s="15"/>
      <c r="G5372" s="23"/>
      <c r="H5372" s="15"/>
      <c r="I5372" s="15"/>
      <c r="J5372" s="51"/>
      <c r="K5372" s="15"/>
      <c r="L5372" s="51"/>
      <c r="M5372" s="15"/>
      <c r="N5372" s="23"/>
      <c r="O5372" s="23"/>
      <c r="P5372" s="15" t="str">
        <f t="shared" si="6"/>
        <v/>
      </c>
      <c r="Q5372" s="24"/>
      <c r="R5372" s="25"/>
      <c r="S5372" s="25"/>
      <c r="T5372" s="26"/>
      <c r="U5372" s="26"/>
      <c r="V5372" s="25"/>
      <c r="W5372" s="25"/>
      <c r="X5372" s="25"/>
      <c r="Y5372" s="25"/>
      <c r="Z5372" s="25"/>
    </row>
    <row r="5373" spans="1:26" ht="15.75" customHeight="1" x14ac:dyDescent="0.25">
      <c r="A5373" s="25"/>
      <c r="B5373" s="49"/>
      <c r="C5373" s="50"/>
      <c r="D5373" s="23"/>
      <c r="E5373" s="23"/>
      <c r="F5373" s="15"/>
      <c r="G5373" s="23"/>
      <c r="H5373" s="15"/>
      <c r="I5373" s="15"/>
      <c r="J5373" s="51"/>
      <c r="K5373" s="15"/>
      <c r="L5373" s="51"/>
      <c r="M5373" s="15"/>
      <c r="N5373" s="23"/>
      <c r="O5373" s="23"/>
      <c r="P5373" s="15" t="str">
        <f t="shared" si="6"/>
        <v/>
      </c>
      <c r="Q5373" s="24"/>
      <c r="R5373" s="25"/>
      <c r="S5373" s="25"/>
      <c r="T5373" s="26"/>
      <c r="U5373" s="26"/>
      <c r="V5373" s="25"/>
      <c r="W5373" s="25"/>
      <c r="X5373" s="25"/>
      <c r="Y5373" s="25"/>
      <c r="Z5373" s="25"/>
    </row>
    <row r="5374" spans="1:26" ht="15.75" customHeight="1" x14ac:dyDescent="0.25">
      <c r="A5374" s="25"/>
      <c r="B5374" s="49"/>
      <c r="C5374" s="50"/>
      <c r="D5374" s="23"/>
      <c r="E5374" s="23"/>
      <c r="F5374" s="15"/>
      <c r="G5374" s="23"/>
      <c r="H5374" s="15"/>
      <c r="I5374" s="15"/>
      <c r="J5374" s="51"/>
      <c r="K5374" s="15"/>
      <c r="L5374" s="51"/>
      <c r="M5374" s="15"/>
      <c r="N5374" s="23"/>
      <c r="O5374" s="23"/>
      <c r="P5374" s="15" t="str">
        <f t="shared" si="6"/>
        <v/>
      </c>
      <c r="Q5374" s="24"/>
      <c r="R5374" s="25"/>
      <c r="S5374" s="25"/>
      <c r="T5374" s="26"/>
      <c r="U5374" s="26"/>
      <c r="V5374" s="25"/>
      <c r="W5374" s="25"/>
      <c r="X5374" s="25"/>
      <c r="Y5374" s="25"/>
      <c r="Z5374" s="25"/>
    </row>
    <row r="5375" spans="1:26" ht="15.75" customHeight="1" x14ac:dyDescent="0.25">
      <c r="A5375" s="25"/>
      <c r="B5375" s="49"/>
      <c r="C5375" s="50"/>
      <c r="D5375" s="23"/>
      <c r="E5375" s="23"/>
      <c r="F5375" s="15"/>
      <c r="G5375" s="23"/>
      <c r="H5375" s="15"/>
      <c r="I5375" s="15"/>
      <c r="J5375" s="51"/>
      <c r="K5375" s="15"/>
      <c r="L5375" s="51"/>
      <c r="M5375" s="15"/>
      <c r="N5375" s="23"/>
      <c r="O5375" s="23"/>
      <c r="P5375" s="15" t="str">
        <f t="shared" si="6"/>
        <v/>
      </c>
      <c r="Q5375" s="24"/>
      <c r="R5375" s="25"/>
      <c r="S5375" s="25"/>
      <c r="T5375" s="26"/>
      <c r="U5375" s="26"/>
      <c r="V5375" s="25"/>
      <c r="W5375" s="25"/>
      <c r="X5375" s="25"/>
      <c r="Y5375" s="25"/>
      <c r="Z5375" s="25"/>
    </row>
    <row r="5376" spans="1:26" ht="15.75" customHeight="1" x14ac:dyDescent="0.25">
      <c r="A5376" s="25"/>
      <c r="B5376" s="49"/>
      <c r="C5376" s="50"/>
      <c r="D5376" s="23"/>
      <c r="E5376" s="23"/>
      <c r="F5376" s="15"/>
      <c r="G5376" s="23"/>
      <c r="H5376" s="15"/>
      <c r="I5376" s="15"/>
      <c r="J5376" s="51"/>
      <c r="K5376" s="15"/>
      <c r="L5376" s="51"/>
      <c r="M5376" s="15"/>
      <c r="N5376" s="23"/>
      <c r="O5376" s="23"/>
      <c r="P5376" s="15" t="str">
        <f t="shared" si="6"/>
        <v/>
      </c>
      <c r="Q5376" s="24"/>
      <c r="R5376" s="25"/>
      <c r="S5376" s="25"/>
      <c r="T5376" s="26"/>
      <c r="U5376" s="26"/>
      <c r="V5376" s="25"/>
      <c r="W5376" s="25"/>
      <c r="X5376" s="25"/>
      <c r="Y5376" s="25"/>
      <c r="Z5376" s="25"/>
    </row>
    <row r="5377" spans="1:26" ht="15.75" customHeight="1" x14ac:dyDescent="0.25">
      <c r="A5377" s="25"/>
      <c r="B5377" s="49"/>
      <c r="C5377" s="50"/>
      <c r="D5377" s="23"/>
      <c r="E5377" s="23"/>
      <c r="F5377" s="15"/>
      <c r="G5377" s="23"/>
      <c r="H5377" s="15"/>
      <c r="I5377" s="15"/>
      <c r="J5377" s="51"/>
      <c r="K5377" s="15"/>
      <c r="L5377" s="51"/>
      <c r="M5377" s="15"/>
      <c r="N5377" s="23"/>
      <c r="O5377" s="23"/>
      <c r="P5377" s="15" t="str">
        <f t="shared" si="6"/>
        <v/>
      </c>
      <c r="Q5377" s="24"/>
      <c r="R5377" s="25"/>
      <c r="S5377" s="25"/>
      <c r="T5377" s="26"/>
      <c r="U5377" s="26"/>
      <c r="V5377" s="25"/>
      <c r="W5377" s="25"/>
      <c r="X5377" s="25"/>
      <c r="Y5377" s="25"/>
      <c r="Z5377" s="25"/>
    </row>
    <row r="5378" spans="1:26" ht="15.75" customHeight="1" x14ac:dyDescent="0.25">
      <c r="A5378" s="25"/>
      <c r="B5378" s="49"/>
      <c r="C5378" s="50"/>
      <c r="D5378" s="23"/>
      <c r="E5378" s="23"/>
      <c r="F5378" s="15"/>
      <c r="G5378" s="23"/>
      <c r="H5378" s="15"/>
      <c r="I5378" s="15"/>
      <c r="J5378" s="51"/>
      <c r="K5378" s="15"/>
      <c r="L5378" s="51"/>
      <c r="M5378" s="15"/>
      <c r="N5378" s="23"/>
      <c r="O5378" s="23"/>
      <c r="P5378" s="15" t="str">
        <f t="shared" si="6"/>
        <v/>
      </c>
      <c r="Q5378" s="24"/>
      <c r="R5378" s="25"/>
      <c r="S5378" s="25"/>
      <c r="T5378" s="26"/>
      <c r="U5378" s="26"/>
      <c r="V5378" s="25"/>
      <c r="W5378" s="25"/>
      <c r="X5378" s="25"/>
      <c r="Y5378" s="25"/>
      <c r="Z5378" s="25"/>
    </row>
    <row r="5379" spans="1:26" ht="15.75" customHeight="1" x14ac:dyDescent="0.25">
      <c r="A5379" s="25"/>
      <c r="B5379" s="49"/>
      <c r="C5379" s="50"/>
      <c r="D5379" s="23"/>
      <c r="E5379" s="23"/>
      <c r="F5379" s="15"/>
      <c r="G5379" s="23"/>
      <c r="H5379" s="15"/>
      <c r="I5379" s="15"/>
      <c r="J5379" s="51"/>
      <c r="K5379" s="15"/>
      <c r="L5379" s="51"/>
      <c r="M5379" s="15"/>
      <c r="N5379" s="23"/>
      <c r="O5379" s="23"/>
      <c r="P5379" s="15" t="str">
        <f t="shared" si="6"/>
        <v/>
      </c>
      <c r="Q5379" s="24"/>
      <c r="R5379" s="25"/>
      <c r="S5379" s="25"/>
      <c r="T5379" s="26"/>
      <c r="U5379" s="26"/>
      <c r="V5379" s="25"/>
      <c r="W5379" s="25"/>
      <c r="X5379" s="25"/>
      <c r="Y5379" s="25"/>
      <c r="Z5379" s="25"/>
    </row>
    <row r="5380" spans="1:26" ht="15.75" customHeight="1" x14ac:dyDescent="0.25">
      <c r="A5380" s="25"/>
      <c r="B5380" s="49"/>
      <c r="C5380" s="50"/>
      <c r="D5380" s="23"/>
      <c r="E5380" s="23"/>
      <c r="F5380" s="15"/>
      <c r="G5380" s="23"/>
      <c r="H5380" s="15"/>
      <c r="I5380" s="15"/>
      <c r="J5380" s="51"/>
      <c r="K5380" s="15"/>
      <c r="L5380" s="51"/>
      <c r="M5380" s="15"/>
      <c r="N5380" s="23"/>
      <c r="O5380" s="23"/>
      <c r="P5380" s="15" t="str">
        <f t="shared" si="6"/>
        <v/>
      </c>
      <c r="Q5380" s="24"/>
      <c r="R5380" s="25"/>
      <c r="S5380" s="25"/>
      <c r="T5380" s="26"/>
      <c r="U5380" s="26"/>
      <c r="V5380" s="25"/>
      <c r="W5380" s="25"/>
      <c r="X5380" s="25"/>
      <c r="Y5380" s="25"/>
      <c r="Z5380" s="25"/>
    </row>
    <row r="5381" spans="1:26" ht="15.75" customHeight="1" x14ac:dyDescent="0.25">
      <c r="A5381" s="25"/>
      <c r="B5381" s="49"/>
      <c r="C5381" s="50"/>
      <c r="D5381" s="23"/>
      <c r="E5381" s="23"/>
      <c r="F5381" s="15"/>
      <c r="G5381" s="23"/>
      <c r="H5381" s="15"/>
      <c r="I5381" s="15"/>
      <c r="J5381" s="51"/>
      <c r="K5381" s="15"/>
      <c r="L5381" s="51"/>
      <c r="M5381" s="15"/>
      <c r="N5381" s="23"/>
      <c r="O5381" s="23"/>
      <c r="P5381" s="15" t="str">
        <f t="shared" si="6"/>
        <v/>
      </c>
      <c r="Q5381" s="24"/>
      <c r="R5381" s="25"/>
      <c r="S5381" s="25"/>
      <c r="T5381" s="26"/>
      <c r="U5381" s="26"/>
      <c r="V5381" s="25"/>
      <c r="W5381" s="25"/>
      <c r="X5381" s="25"/>
      <c r="Y5381" s="25"/>
      <c r="Z5381" s="25"/>
    </row>
    <row r="5382" spans="1:26" ht="15.75" customHeight="1" x14ac:dyDescent="0.25">
      <c r="A5382" s="25"/>
      <c r="B5382" s="49"/>
      <c r="C5382" s="50"/>
      <c r="D5382" s="23"/>
      <c r="E5382" s="23"/>
      <c r="F5382" s="15"/>
      <c r="G5382" s="23"/>
      <c r="H5382" s="15"/>
      <c r="I5382" s="15"/>
      <c r="J5382" s="51"/>
      <c r="K5382" s="15"/>
      <c r="L5382" s="51"/>
      <c r="M5382" s="15"/>
      <c r="N5382" s="23"/>
      <c r="O5382" s="23"/>
      <c r="P5382" s="15" t="str">
        <f t="shared" si="6"/>
        <v/>
      </c>
      <c r="Q5382" s="24"/>
      <c r="R5382" s="25"/>
      <c r="S5382" s="25"/>
      <c r="T5382" s="26"/>
      <c r="U5382" s="26"/>
      <c r="V5382" s="25"/>
      <c r="W5382" s="25"/>
      <c r="X5382" s="25"/>
      <c r="Y5382" s="25"/>
      <c r="Z5382" s="25"/>
    </row>
    <row r="5383" spans="1:26" ht="15.75" customHeight="1" x14ac:dyDescent="0.25">
      <c r="A5383" s="25"/>
      <c r="B5383" s="49"/>
      <c r="C5383" s="50"/>
      <c r="D5383" s="23"/>
      <c r="E5383" s="23"/>
      <c r="F5383" s="15"/>
      <c r="G5383" s="23"/>
      <c r="H5383" s="15"/>
      <c r="I5383" s="15"/>
      <c r="J5383" s="51"/>
      <c r="K5383" s="15"/>
      <c r="L5383" s="51"/>
      <c r="M5383" s="15"/>
      <c r="N5383" s="23"/>
      <c r="O5383" s="23"/>
      <c r="P5383" s="15" t="str">
        <f t="shared" si="6"/>
        <v/>
      </c>
      <c r="Q5383" s="24"/>
      <c r="R5383" s="25"/>
      <c r="S5383" s="25"/>
      <c r="T5383" s="26"/>
      <c r="U5383" s="26"/>
      <c r="V5383" s="25"/>
      <c r="W5383" s="25"/>
      <c r="X5383" s="25"/>
      <c r="Y5383" s="25"/>
      <c r="Z5383" s="25"/>
    </row>
    <row r="5384" spans="1:26" ht="15.75" customHeight="1" x14ac:dyDescent="0.25">
      <c r="A5384" s="25"/>
      <c r="B5384" s="49"/>
      <c r="C5384" s="50"/>
      <c r="D5384" s="23"/>
      <c r="E5384" s="23"/>
      <c r="F5384" s="15"/>
      <c r="G5384" s="23"/>
      <c r="H5384" s="15"/>
      <c r="I5384" s="15"/>
      <c r="J5384" s="51"/>
      <c r="K5384" s="15"/>
      <c r="L5384" s="51"/>
      <c r="M5384" s="15"/>
      <c r="N5384" s="23"/>
      <c r="O5384" s="23"/>
      <c r="P5384" s="15" t="str">
        <f t="shared" si="6"/>
        <v/>
      </c>
      <c r="Q5384" s="24"/>
      <c r="R5384" s="25"/>
      <c r="S5384" s="25"/>
      <c r="T5384" s="26"/>
      <c r="U5384" s="26"/>
      <c r="V5384" s="25"/>
      <c r="W5384" s="25"/>
      <c r="X5384" s="25"/>
      <c r="Y5384" s="25"/>
      <c r="Z5384" s="25"/>
    </row>
    <row r="5385" spans="1:26" ht="15.75" customHeight="1" x14ac:dyDescent="0.25">
      <c r="A5385" s="25"/>
      <c r="B5385" s="49"/>
      <c r="C5385" s="50"/>
      <c r="D5385" s="23"/>
      <c r="E5385" s="23"/>
      <c r="F5385" s="15"/>
      <c r="G5385" s="23"/>
      <c r="H5385" s="15"/>
      <c r="I5385" s="15"/>
      <c r="J5385" s="51"/>
      <c r="K5385" s="15"/>
      <c r="L5385" s="51"/>
      <c r="M5385" s="15"/>
      <c r="N5385" s="23"/>
      <c r="O5385" s="23"/>
      <c r="P5385" s="15" t="str">
        <f t="shared" si="6"/>
        <v/>
      </c>
      <c r="Q5385" s="24"/>
      <c r="R5385" s="25"/>
      <c r="S5385" s="25"/>
      <c r="T5385" s="26"/>
      <c r="U5385" s="26"/>
      <c r="V5385" s="25"/>
      <c r="W5385" s="25"/>
      <c r="X5385" s="25"/>
      <c r="Y5385" s="25"/>
      <c r="Z5385" s="25"/>
    </row>
    <row r="5386" spans="1:26" ht="15.75" customHeight="1" x14ac:dyDescent="0.25">
      <c r="A5386" s="25"/>
      <c r="B5386" s="49"/>
      <c r="C5386" s="50"/>
      <c r="D5386" s="23"/>
      <c r="E5386" s="23"/>
      <c r="F5386" s="15"/>
      <c r="G5386" s="23"/>
      <c r="H5386" s="15"/>
      <c r="I5386" s="15"/>
      <c r="J5386" s="51"/>
      <c r="K5386" s="15"/>
      <c r="L5386" s="51"/>
      <c r="M5386" s="15"/>
      <c r="N5386" s="23"/>
      <c r="O5386" s="23"/>
      <c r="P5386" s="15" t="str">
        <f t="shared" si="6"/>
        <v/>
      </c>
      <c r="Q5386" s="24"/>
      <c r="R5386" s="25"/>
      <c r="S5386" s="25"/>
      <c r="T5386" s="26"/>
      <c r="U5386" s="26"/>
      <c r="V5386" s="25"/>
      <c r="W5386" s="25"/>
      <c r="X5386" s="25"/>
      <c r="Y5386" s="25"/>
      <c r="Z5386" s="25"/>
    </row>
    <row r="5387" spans="1:26" ht="15.75" customHeight="1" x14ac:dyDescent="0.25">
      <c r="A5387" s="25"/>
      <c r="B5387" s="49"/>
      <c r="C5387" s="50"/>
      <c r="D5387" s="23"/>
      <c r="E5387" s="23"/>
      <c r="F5387" s="15"/>
      <c r="G5387" s="23"/>
      <c r="H5387" s="15"/>
      <c r="I5387" s="15"/>
      <c r="J5387" s="51"/>
      <c r="K5387" s="15"/>
      <c r="L5387" s="51"/>
      <c r="M5387" s="15"/>
      <c r="N5387" s="23"/>
      <c r="O5387" s="23"/>
      <c r="P5387" s="15" t="str">
        <f t="shared" si="6"/>
        <v/>
      </c>
      <c r="Q5387" s="24"/>
      <c r="R5387" s="25"/>
      <c r="S5387" s="25"/>
      <c r="T5387" s="26"/>
      <c r="U5387" s="26"/>
      <c r="V5387" s="25"/>
      <c r="W5387" s="25"/>
      <c r="X5387" s="25"/>
      <c r="Y5387" s="25"/>
      <c r="Z5387" s="25"/>
    </row>
    <row r="5388" spans="1:26" ht="15.75" customHeight="1" x14ac:dyDescent="0.25">
      <c r="A5388" s="25"/>
      <c r="B5388" s="49"/>
      <c r="C5388" s="50"/>
      <c r="D5388" s="23"/>
      <c r="E5388" s="23"/>
      <c r="F5388" s="15"/>
      <c r="G5388" s="23"/>
      <c r="H5388" s="15"/>
      <c r="I5388" s="15"/>
      <c r="J5388" s="51"/>
      <c r="K5388" s="15"/>
      <c r="L5388" s="51"/>
      <c r="M5388" s="15"/>
      <c r="N5388" s="23"/>
      <c r="O5388" s="23"/>
      <c r="P5388" s="15" t="str">
        <f t="shared" si="6"/>
        <v/>
      </c>
      <c r="Q5388" s="24"/>
      <c r="R5388" s="25"/>
      <c r="S5388" s="25"/>
      <c r="T5388" s="26"/>
      <c r="U5388" s="26"/>
      <c r="V5388" s="25"/>
      <c r="W5388" s="25"/>
      <c r="X5388" s="25"/>
      <c r="Y5388" s="25"/>
      <c r="Z5388" s="25"/>
    </row>
    <row r="5389" spans="1:26" ht="15.75" customHeight="1" x14ac:dyDescent="0.25">
      <c r="A5389" s="25"/>
      <c r="B5389" s="49"/>
      <c r="C5389" s="50"/>
      <c r="D5389" s="23"/>
      <c r="E5389" s="23"/>
      <c r="F5389" s="15"/>
      <c r="G5389" s="23"/>
      <c r="H5389" s="15"/>
      <c r="I5389" s="15"/>
      <c r="J5389" s="51"/>
      <c r="K5389" s="15"/>
      <c r="L5389" s="51"/>
      <c r="M5389" s="15"/>
      <c r="N5389" s="23"/>
      <c r="O5389" s="23"/>
      <c r="P5389" s="15" t="str">
        <f t="shared" si="6"/>
        <v/>
      </c>
      <c r="Q5389" s="24"/>
      <c r="R5389" s="25"/>
      <c r="S5389" s="25"/>
      <c r="T5389" s="26"/>
      <c r="U5389" s="26"/>
      <c r="V5389" s="25"/>
      <c r="W5389" s="25"/>
      <c r="X5389" s="25"/>
      <c r="Y5389" s="25"/>
      <c r="Z5389" s="25"/>
    </row>
    <row r="5390" spans="1:26" ht="15.75" customHeight="1" x14ac:dyDescent="0.25">
      <c r="A5390" s="25"/>
      <c r="B5390" s="49"/>
      <c r="C5390" s="50"/>
      <c r="D5390" s="23"/>
      <c r="E5390" s="23"/>
      <c r="F5390" s="15"/>
      <c r="G5390" s="23"/>
      <c r="H5390" s="15"/>
      <c r="I5390" s="15"/>
      <c r="J5390" s="51"/>
      <c r="K5390" s="15"/>
      <c r="L5390" s="51"/>
      <c r="M5390" s="15"/>
      <c r="N5390" s="23"/>
      <c r="O5390" s="23"/>
      <c r="P5390" s="15" t="str">
        <f t="shared" si="6"/>
        <v/>
      </c>
      <c r="Q5390" s="24"/>
      <c r="R5390" s="25"/>
      <c r="S5390" s="25"/>
      <c r="T5390" s="26"/>
      <c r="U5390" s="26"/>
      <c r="V5390" s="25"/>
      <c r="W5390" s="25"/>
      <c r="X5390" s="25"/>
      <c r="Y5390" s="25"/>
      <c r="Z5390" s="25"/>
    </row>
    <row r="5391" spans="1:26" ht="15.75" customHeight="1" x14ac:dyDescent="0.25">
      <c r="A5391" s="25"/>
      <c r="B5391" s="49"/>
      <c r="C5391" s="50"/>
      <c r="D5391" s="23"/>
      <c r="E5391" s="23"/>
      <c r="F5391" s="15"/>
      <c r="G5391" s="23"/>
      <c r="H5391" s="15"/>
      <c r="I5391" s="15"/>
      <c r="J5391" s="51"/>
      <c r="K5391" s="15"/>
      <c r="L5391" s="51"/>
      <c r="M5391" s="15"/>
      <c r="N5391" s="23"/>
      <c r="O5391" s="23"/>
      <c r="P5391" s="15" t="str">
        <f t="shared" si="6"/>
        <v/>
      </c>
      <c r="Q5391" s="24"/>
      <c r="R5391" s="25"/>
      <c r="S5391" s="25"/>
      <c r="T5391" s="26"/>
      <c r="U5391" s="26"/>
      <c r="V5391" s="25"/>
      <c r="W5391" s="25"/>
      <c r="X5391" s="25"/>
      <c r="Y5391" s="25"/>
      <c r="Z5391" s="25"/>
    </row>
    <row r="5392" spans="1:26" ht="15.75" customHeight="1" x14ac:dyDescent="0.25">
      <c r="A5392" s="25"/>
      <c r="B5392" s="49"/>
      <c r="C5392" s="50"/>
      <c r="D5392" s="23"/>
      <c r="E5392" s="23"/>
      <c r="F5392" s="15"/>
      <c r="G5392" s="23"/>
      <c r="H5392" s="15"/>
      <c r="I5392" s="15"/>
      <c r="J5392" s="51"/>
      <c r="K5392" s="15"/>
      <c r="L5392" s="51"/>
      <c r="M5392" s="15"/>
      <c r="N5392" s="23"/>
      <c r="O5392" s="23"/>
      <c r="P5392" s="15" t="str">
        <f t="shared" si="6"/>
        <v/>
      </c>
      <c r="Q5392" s="24"/>
      <c r="R5392" s="25"/>
      <c r="S5392" s="25"/>
      <c r="T5392" s="26"/>
      <c r="U5392" s="26"/>
      <c r="V5392" s="25"/>
      <c r="W5392" s="25"/>
      <c r="X5392" s="25"/>
      <c r="Y5392" s="25"/>
      <c r="Z5392" s="25"/>
    </row>
    <row r="5393" spans="1:26" ht="15.75" customHeight="1" x14ac:dyDescent="0.25">
      <c r="A5393" s="25"/>
      <c r="B5393" s="49"/>
      <c r="C5393" s="50"/>
      <c r="D5393" s="23"/>
      <c r="E5393" s="23"/>
      <c r="F5393" s="15"/>
      <c r="G5393" s="23"/>
      <c r="H5393" s="15"/>
      <c r="I5393" s="15"/>
      <c r="J5393" s="51"/>
      <c r="K5393" s="15"/>
      <c r="L5393" s="51"/>
      <c r="M5393" s="15"/>
      <c r="N5393" s="23"/>
      <c r="O5393" s="23"/>
      <c r="P5393" s="15" t="str">
        <f t="shared" si="6"/>
        <v/>
      </c>
      <c r="Q5393" s="24"/>
      <c r="R5393" s="25"/>
      <c r="S5393" s="25"/>
      <c r="T5393" s="26"/>
      <c r="U5393" s="26"/>
      <c r="V5393" s="25"/>
      <c r="W5393" s="25"/>
      <c r="X5393" s="25"/>
      <c r="Y5393" s="25"/>
      <c r="Z5393" s="25"/>
    </row>
    <row r="5394" spans="1:26" ht="15.75" customHeight="1" x14ac:dyDescent="0.25">
      <c r="A5394" s="25"/>
      <c r="B5394" s="49"/>
      <c r="C5394" s="50"/>
      <c r="D5394" s="23"/>
      <c r="E5394" s="23"/>
      <c r="F5394" s="15"/>
      <c r="G5394" s="23"/>
      <c r="H5394" s="15"/>
      <c r="I5394" s="15"/>
      <c r="J5394" s="51"/>
      <c r="K5394" s="15"/>
      <c r="L5394" s="51"/>
      <c r="M5394" s="15"/>
      <c r="N5394" s="23"/>
      <c r="O5394" s="23"/>
      <c r="P5394" s="15" t="str">
        <f t="shared" si="6"/>
        <v/>
      </c>
      <c r="Q5394" s="24"/>
      <c r="R5394" s="25"/>
      <c r="S5394" s="25"/>
      <c r="T5394" s="26"/>
      <c r="U5394" s="26"/>
      <c r="V5394" s="25"/>
      <c r="W5394" s="25"/>
      <c r="X5394" s="25"/>
      <c r="Y5394" s="25"/>
      <c r="Z5394" s="25"/>
    </row>
    <row r="5395" spans="1:26" ht="15.75" customHeight="1" x14ac:dyDescent="0.25">
      <c r="A5395" s="25"/>
      <c r="B5395" s="49"/>
      <c r="C5395" s="50"/>
      <c r="D5395" s="23"/>
      <c r="E5395" s="23"/>
      <c r="F5395" s="15"/>
      <c r="G5395" s="23"/>
      <c r="H5395" s="15"/>
      <c r="I5395" s="15"/>
      <c r="J5395" s="51"/>
      <c r="K5395" s="15"/>
      <c r="L5395" s="51"/>
      <c r="M5395" s="15"/>
      <c r="N5395" s="23"/>
      <c r="O5395" s="23"/>
      <c r="P5395" s="15" t="str">
        <f t="shared" si="6"/>
        <v/>
      </c>
      <c r="Q5395" s="24"/>
      <c r="R5395" s="25"/>
      <c r="S5395" s="25"/>
      <c r="T5395" s="26"/>
      <c r="U5395" s="26"/>
      <c r="V5395" s="25"/>
      <c r="W5395" s="25"/>
      <c r="X5395" s="25"/>
      <c r="Y5395" s="25"/>
      <c r="Z5395" s="25"/>
    </row>
    <row r="5396" spans="1:26" ht="15.75" customHeight="1" x14ac:dyDescent="0.25">
      <c r="A5396" s="25"/>
      <c r="B5396" s="49"/>
      <c r="C5396" s="50"/>
      <c r="D5396" s="23"/>
      <c r="E5396" s="23"/>
      <c r="F5396" s="15"/>
      <c r="G5396" s="23"/>
      <c r="H5396" s="15"/>
      <c r="I5396" s="15"/>
      <c r="J5396" s="51"/>
      <c r="K5396" s="15"/>
      <c r="L5396" s="51"/>
      <c r="M5396" s="15"/>
      <c r="N5396" s="23"/>
      <c r="O5396" s="23"/>
      <c r="P5396" s="15" t="str">
        <f t="shared" si="6"/>
        <v/>
      </c>
      <c r="Q5396" s="24"/>
      <c r="R5396" s="25"/>
      <c r="S5396" s="25"/>
      <c r="T5396" s="26"/>
      <c r="U5396" s="26"/>
      <c r="V5396" s="25"/>
      <c r="W5396" s="25"/>
      <c r="X5396" s="25"/>
      <c r="Y5396" s="25"/>
      <c r="Z5396" s="25"/>
    </row>
    <row r="5397" spans="1:26" ht="15.75" customHeight="1" x14ac:dyDescent="0.25">
      <c r="A5397" s="25"/>
      <c r="B5397" s="49"/>
      <c r="C5397" s="50"/>
      <c r="D5397" s="23"/>
      <c r="E5397" s="23"/>
      <c r="F5397" s="15"/>
      <c r="G5397" s="23"/>
      <c r="H5397" s="15"/>
      <c r="I5397" s="15"/>
      <c r="J5397" s="51"/>
      <c r="K5397" s="15"/>
      <c r="L5397" s="51"/>
      <c r="M5397" s="15"/>
      <c r="N5397" s="23"/>
      <c r="O5397" s="23"/>
      <c r="P5397" s="15" t="str">
        <f t="shared" si="6"/>
        <v/>
      </c>
      <c r="Q5397" s="24"/>
      <c r="R5397" s="25"/>
      <c r="S5397" s="25"/>
      <c r="T5397" s="26"/>
      <c r="U5397" s="26"/>
      <c r="V5397" s="25"/>
      <c r="W5397" s="25"/>
      <c r="X5397" s="25"/>
      <c r="Y5397" s="25"/>
      <c r="Z5397" s="25"/>
    </row>
    <row r="5398" spans="1:26" ht="15.75" customHeight="1" x14ac:dyDescent="0.25">
      <c r="A5398" s="25"/>
      <c r="B5398" s="49"/>
      <c r="C5398" s="50"/>
      <c r="D5398" s="23"/>
      <c r="E5398" s="23"/>
      <c r="F5398" s="15"/>
      <c r="G5398" s="23"/>
      <c r="H5398" s="15"/>
      <c r="I5398" s="15"/>
      <c r="J5398" s="51"/>
      <c r="K5398" s="15"/>
      <c r="L5398" s="51"/>
      <c r="M5398" s="15"/>
      <c r="N5398" s="23"/>
      <c r="O5398" s="23"/>
      <c r="P5398" s="15" t="str">
        <f t="shared" si="6"/>
        <v/>
      </c>
      <c r="Q5398" s="24"/>
      <c r="R5398" s="25"/>
      <c r="S5398" s="25"/>
      <c r="T5398" s="26"/>
      <c r="U5398" s="26"/>
      <c r="V5398" s="25"/>
      <c r="W5398" s="25"/>
      <c r="X5398" s="25"/>
      <c r="Y5398" s="25"/>
      <c r="Z5398" s="25"/>
    </row>
    <row r="5399" spans="1:26" ht="15.75" customHeight="1" x14ac:dyDescent="0.25">
      <c r="A5399" s="25"/>
      <c r="B5399" s="49"/>
      <c r="C5399" s="50"/>
      <c r="D5399" s="23"/>
      <c r="E5399" s="23"/>
      <c r="F5399" s="15"/>
      <c r="G5399" s="23"/>
      <c r="H5399" s="15"/>
      <c r="I5399" s="15"/>
      <c r="J5399" s="51"/>
      <c r="K5399" s="15"/>
      <c r="L5399" s="51"/>
      <c r="M5399" s="15"/>
      <c r="N5399" s="23"/>
      <c r="O5399" s="23"/>
      <c r="P5399" s="15" t="str">
        <f t="shared" si="6"/>
        <v/>
      </c>
      <c r="Q5399" s="24"/>
      <c r="R5399" s="25"/>
      <c r="S5399" s="25"/>
      <c r="T5399" s="26"/>
      <c r="U5399" s="26"/>
      <c r="V5399" s="25"/>
      <c r="W5399" s="25"/>
      <c r="X5399" s="25"/>
      <c r="Y5399" s="25"/>
      <c r="Z5399" s="25"/>
    </row>
    <row r="5400" spans="1:26" ht="15.75" customHeight="1" x14ac:dyDescent="0.25">
      <c r="A5400" s="25"/>
      <c r="B5400" s="49"/>
      <c r="C5400" s="50"/>
      <c r="D5400" s="23"/>
      <c r="E5400" s="23"/>
      <c r="F5400" s="15"/>
      <c r="G5400" s="23"/>
      <c r="H5400" s="15"/>
      <c r="I5400" s="15"/>
      <c r="J5400" s="51"/>
      <c r="K5400" s="15"/>
      <c r="L5400" s="51"/>
      <c r="M5400" s="15"/>
      <c r="N5400" s="23"/>
      <c r="O5400" s="23"/>
      <c r="P5400" s="15" t="str">
        <f t="shared" si="6"/>
        <v/>
      </c>
      <c r="Q5400" s="24"/>
      <c r="R5400" s="25"/>
      <c r="S5400" s="25"/>
      <c r="T5400" s="26"/>
      <c r="U5400" s="26"/>
      <c r="V5400" s="25"/>
      <c r="W5400" s="25"/>
      <c r="X5400" s="25"/>
      <c r="Y5400" s="25"/>
      <c r="Z5400" s="25"/>
    </row>
    <row r="5401" spans="1:26" ht="15.75" customHeight="1" x14ac:dyDescent="0.25">
      <c r="A5401" s="25"/>
      <c r="B5401" s="49"/>
      <c r="C5401" s="50"/>
      <c r="D5401" s="23"/>
      <c r="E5401" s="23"/>
      <c r="F5401" s="15"/>
      <c r="G5401" s="23"/>
      <c r="H5401" s="15"/>
      <c r="I5401" s="15"/>
      <c r="J5401" s="51"/>
      <c r="K5401" s="15"/>
      <c r="L5401" s="51"/>
      <c r="M5401" s="15"/>
      <c r="N5401" s="23"/>
      <c r="O5401" s="23"/>
      <c r="P5401" s="15" t="str">
        <f t="shared" si="6"/>
        <v/>
      </c>
      <c r="Q5401" s="24"/>
      <c r="R5401" s="25"/>
      <c r="S5401" s="25"/>
      <c r="T5401" s="26"/>
      <c r="U5401" s="26"/>
      <c r="V5401" s="25"/>
      <c r="W5401" s="25"/>
      <c r="X5401" s="25"/>
      <c r="Y5401" s="25"/>
      <c r="Z5401" s="25"/>
    </row>
    <row r="5402" spans="1:26" ht="15.75" customHeight="1" x14ac:dyDescent="0.25">
      <c r="A5402" s="25"/>
      <c r="B5402" s="49"/>
      <c r="C5402" s="50"/>
      <c r="D5402" s="23"/>
      <c r="E5402" s="23"/>
      <c r="F5402" s="15"/>
      <c r="G5402" s="23"/>
      <c r="H5402" s="15"/>
      <c r="I5402" s="15"/>
      <c r="J5402" s="51"/>
      <c r="K5402" s="15"/>
      <c r="L5402" s="51"/>
      <c r="M5402" s="15"/>
      <c r="N5402" s="23"/>
      <c r="O5402" s="23"/>
      <c r="P5402" s="15" t="str">
        <f t="shared" si="6"/>
        <v/>
      </c>
      <c r="Q5402" s="24"/>
      <c r="R5402" s="25"/>
      <c r="S5402" s="25"/>
      <c r="T5402" s="26"/>
      <c r="U5402" s="26"/>
      <c r="V5402" s="25"/>
      <c r="W5402" s="25"/>
      <c r="X5402" s="25"/>
      <c r="Y5402" s="25"/>
      <c r="Z5402" s="25"/>
    </row>
    <row r="5403" spans="1:26" ht="15.75" customHeight="1" x14ac:dyDescent="0.25">
      <c r="A5403" s="25"/>
      <c r="B5403" s="49"/>
      <c r="C5403" s="50"/>
      <c r="D5403" s="23"/>
      <c r="E5403" s="23"/>
      <c r="F5403" s="15"/>
      <c r="G5403" s="23"/>
      <c r="H5403" s="15"/>
      <c r="I5403" s="15"/>
      <c r="J5403" s="51"/>
      <c r="K5403" s="15"/>
      <c r="L5403" s="51"/>
      <c r="M5403" s="15"/>
      <c r="N5403" s="23"/>
      <c r="O5403" s="23"/>
      <c r="P5403" s="15" t="str">
        <f t="shared" si="6"/>
        <v/>
      </c>
      <c r="Q5403" s="24"/>
      <c r="R5403" s="25"/>
      <c r="S5403" s="25"/>
      <c r="T5403" s="26"/>
      <c r="U5403" s="26"/>
      <c r="V5403" s="25"/>
      <c r="W5403" s="25"/>
      <c r="X5403" s="25"/>
      <c r="Y5403" s="25"/>
      <c r="Z5403" s="25"/>
    </row>
    <row r="5404" spans="1:26" ht="15.75" customHeight="1" x14ac:dyDescent="0.25">
      <c r="A5404" s="25"/>
      <c r="B5404" s="49"/>
      <c r="C5404" s="50"/>
      <c r="D5404" s="23"/>
      <c r="E5404" s="23"/>
      <c r="F5404" s="15"/>
      <c r="G5404" s="23"/>
      <c r="H5404" s="15"/>
      <c r="I5404" s="15"/>
      <c r="J5404" s="51"/>
      <c r="K5404" s="15"/>
      <c r="L5404" s="51"/>
      <c r="M5404" s="15"/>
      <c r="N5404" s="23"/>
      <c r="O5404" s="23"/>
      <c r="P5404" s="15" t="str">
        <f t="shared" si="6"/>
        <v/>
      </c>
      <c r="Q5404" s="24"/>
      <c r="R5404" s="25"/>
      <c r="S5404" s="25"/>
      <c r="T5404" s="26"/>
      <c r="U5404" s="26"/>
      <c r="V5404" s="25"/>
      <c r="W5404" s="25"/>
      <c r="X5404" s="25"/>
      <c r="Y5404" s="25"/>
      <c r="Z5404" s="25"/>
    </row>
    <row r="5405" spans="1:26" ht="15.75" customHeight="1" x14ac:dyDescent="0.25">
      <c r="A5405" s="25"/>
      <c r="B5405" s="49"/>
      <c r="C5405" s="50"/>
      <c r="D5405" s="23"/>
      <c r="E5405" s="23"/>
      <c r="F5405" s="15"/>
      <c r="G5405" s="23"/>
      <c r="H5405" s="15"/>
      <c r="I5405" s="15"/>
      <c r="J5405" s="51"/>
      <c r="K5405" s="15"/>
      <c r="L5405" s="51"/>
      <c r="M5405" s="15"/>
      <c r="N5405" s="23"/>
      <c r="O5405" s="23"/>
      <c r="P5405" s="15" t="str">
        <f t="shared" si="6"/>
        <v/>
      </c>
      <c r="Q5405" s="24"/>
      <c r="R5405" s="25"/>
      <c r="S5405" s="25"/>
      <c r="T5405" s="26"/>
      <c r="U5405" s="26"/>
      <c r="V5405" s="25"/>
      <c r="W5405" s="25"/>
      <c r="X5405" s="25"/>
      <c r="Y5405" s="25"/>
      <c r="Z5405" s="25"/>
    </row>
    <row r="5406" spans="1:26" ht="15.75" customHeight="1" x14ac:dyDescent="0.25">
      <c r="A5406" s="25"/>
      <c r="B5406" s="49"/>
      <c r="C5406" s="50"/>
      <c r="D5406" s="23"/>
      <c r="E5406" s="23"/>
      <c r="F5406" s="15"/>
      <c r="G5406" s="23"/>
      <c r="H5406" s="15"/>
      <c r="I5406" s="15"/>
      <c r="J5406" s="51"/>
      <c r="K5406" s="15"/>
      <c r="L5406" s="51"/>
      <c r="M5406" s="15"/>
      <c r="N5406" s="23"/>
      <c r="O5406" s="23"/>
      <c r="P5406" s="15" t="str">
        <f t="shared" si="6"/>
        <v/>
      </c>
      <c r="Q5406" s="24"/>
      <c r="R5406" s="25"/>
      <c r="S5406" s="25"/>
      <c r="T5406" s="26"/>
      <c r="U5406" s="26"/>
      <c r="V5406" s="25"/>
      <c r="W5406" s="25"/>
      <c r="X5406" s="25"/>
      <c r="Y5406" s="25"/>
      <c r="Z5406" s="25"/>
    </row>
    <row r="5407" spans="1:26" ht="15.75" customHeight="1" x14ac:dyDescent="0.25">
      <c r="A5407" s="25"/>
      <c r="B5407" s="49"/>
      <c r="C5407" s="50"/>
      <c r="D5407" s="23"/>
      <c r="E5407" s="23"/>
      <c r="F5407" s="15"/>
      <c r="G5407" s="23"/>
      <c r="H5407" s="15"/>
      <c r="I5407" s="15"/>
      <c r="J5407" s="51"/>
      <c r="K5407" s="15"/>
      <c r="L5407" s="51"/>
      <c r="M5407" s="15"/>
      <c r="N5407" s="23"/>
      <c r="O5407" s="23"/>
      <c r="P5407" s="15" t="str">
        <f t="shared" si="6"/>
        <v/>
      </c>
      <c r="Q5407" s="24"/>
      <c r="R5407" s="25"/>
      <c r="S5407" s="25"/>
      <c r="T5407" s="26"/>
      <c r="U5407" s="26"/>
      <c r="V5407" s="25"/>
      <c r="W5407" s="25"/>
      <c r="X5407" s="25"/>
      <c r="Y5407" s="25"/>
      <c r="Z5407" s="25"/>
    </row>
    <row r="5408" spans="1:26" ht="15.75" customHeight="1" x14ac:dyDescent="0.25">
      <c r="A5408" s="25"/>
      <c r="B5408" s="49"/>
      <c r="C5408" s="50"/>
      <c r="D5408" s="23"/>
      <c r="E5408" s="23"/>
      <c r="F5408" s="15"/>
      <c r="G5408" s="23"/>
      <c r="H5408" s="15"/>
      <c r="I5408" s="15"/>
      <c r="J5408" s="51"/>
      <c r="K5408" s="15"/>
      <c r="L5408" s="51"/>
      <c r="M5408" s="15"/>
      <c r="N5408" s="23"/>
      <c r="O5408" s="23"/>
      <c r="P5408" s="15" t="str">
        <f t="shared" si="6"/>
        <v/>
      </c>
      <c r="Q5408" s="24"/>
      <c r="R5408" s="25"/>
      <c r="S5408" s="25"/>
      <c r="T5408" s="26"/>
      <c r="U5408" s="26"/>
      <c r="V5408" s="25"/>
      <c r="W5408" s="25"/>
      <c r="X5408" s="25"/>
      <c r="Y5408" s="25"/>
      <c r="Z5408" s="25"/>
    </row>
    <row r="5409" spans="1:26" ht="15.75" customHeight="1" x14ac:dyDescent="0.25">
      <c r="A5409" s="25"/>
      <c r="B5409" s="49"/>
      <c r="C5409" s="50"/>
      <c r="D5409" s="23"/>
      <c r="E5409" s="23"/>
      <c r="F5409" s="15"/>
      <c r="G5409" s="23"/>
      <c r="H5409" s="15"/>
      <c r="I5409" s="15"/>
      <c r="J5409" s="51"/>
      <c r="K5409" s="15"/>
      <c r="L5409" s="51"/>
      <c r="M5409" s="15"/>
      <c r="N5409" s="23"/>
      <c r="O5409" s="23"/>
      <c r="P5409" s="15" t="str">
        <f t="shared" si="6"/>
        <v/>
      </c>
      <c r="Q5409" s="24"/>
      <c r="R5409" s="25"/>
      <c r="S5409" s="25"/>
      <c r="T5409" s="26"/>
      <c r="U5409" s="26"/>
      <c r="V5409" s="25"/>
      <c r="W5409" s="25"/>
      <c r="X5409" s="25"/>
      <c r="Y5409" s="25"/>
      <c r="Z5409" s="25"/>
    </row>
    <row r="5410" spans="1:26" ht="15.75" customHeight="1" x14ac:dyDescent="0.25">
      <c r="A5410" s="25"/>
      <c r="B5410" s="49"/>
      <c r="C5410" s="50"/>
      <c r="D5410" s="23"/>
      <c r="E5410" s="23"/>
      <c r="F5410" s="15"/>
      <c r="G5410" s="23"/>
      <c r="H5410" s="15"/>
      <c r="I5410" s="15"/>
      <c r="J5410" s="51"/>
      <c r="K5410" s="15"/>
      <c r="L5410" s="51"/>
      <c r="M5410" s="15"/>
      <c r="N5410" s="23"/>
      <c r="O5410" s="23"/>
      <c r="P5410" s="15" t="str">
        <f t="shared" si="6"/>
        <v/>
      </c>
      <c r="Q5410" s="24"/>
      <c r="R5410" s="25"/>
      <c r="S5410" s="25"/>
      <c r="T5410" s="26"/>
      <c r="U5410" s="26"/>
      <c r="V5410" s="25"/>
      <c r="W5410" s="25"/>
      <c r="X5410" s="25"/>
      <c r="Y5410" s="25"/>
      <c r="Z5410" s="25"/>
    </row>
    <row r="5411" spans="1:26" ht="15.75" customHeight="1" x14ac:dyDescent="0.25">
      <c r="A5411" s="25"/>
      <c r="B5411" s="49"/>
      <c r="C5411" s="50"/>
      <c r="D5411" s="23"/>
      <c r="E5411" s="23"/>
      <c r="F5411" s="15"/>
      <c r="G5411" s="23"/>
      <c r="H5411" s="15"/>
      <c r="I5411" s="15"/>
      <c r="J5411" s="51"/>
      <c r="K5411" s="15"/>
      <c r="L5411" s="51"/>
      <c r="M5411" s="15"/>
      <c r="N5411" s="23"/>
      <c r="O5411" s="23"/>
      <c r="P5411" s="15" t="str">
        <f t="shared" si="6"/>
        <v/>
      </c>
      <c r="Q5411" s="24"/>
      <c r="R5411" s="25"/>
      <c r="S5411" s="25"/>
      <c r="T5411" s="26"/>
      <c r="U5411" s="26"/>
      <c r="V5411" s="25"/>
      <c r="W5411" s="25"/>
      <c r="X5411" s="25"/>
      <c r="Y5411" s="25"/>
      <c r="Z5411" s="25"/>
    </row>
    <row r="5412" spans="1:26" ht="15.75" customHeight="1" x14ac:dyDescent="0.25">
      <c r="A5412" s="25"/>
      <c r="B5412" s="49"/>
      <c r="C5412" s="50"/>
      <c r="D5412" s="23"/>
      <c r="E5412" s="23"/>
      <c r="F5412" s="15"/>
      <c r="G5412" s="23"/>
      <c r="H5412" s="15"/>
      <c r="I5412" s="15"/>
      <c r="J5412" s="51"/>
      <c r="K5412" s="15"/>
      <c r="L5412" s="51"/>
      <c r="M5412" s="15"/>
      <c r="N5412" s="23"/>
      <c r="O5412" s="23"/>
      <c r="P5412" s="15" t="str">
        <f t="shared" si="6"/>
        <v/>
      </c>
      <c r="Q5412" s="24"/>
      <c r="R5412" s="25"/>
      <c r="S5412" s="25"/>
      <c r="T5412" s="26"/>
      <c r="U5412" s="26"/>
      <c r="V5412" s="25"/>
      <c r="W5412" s="25"/>
      <c r="X5412" s="25"/>
      <c r="Y5412" s="25"/>
      <c r="Z5412" s="25"/>
    </row>
    <row r="5413" spans="1:26" ht="15.75" customHeight="1" x14ac:dyDescent="0.25">
      <c r="A5413" s="25"/>
      <c r="B5413" s="49"/>
      <c r="C5413" s="50"/>
      <c r="D5413" s="23"/>
      <c r="E5413" s="23"/>
      <c r="F5413" s="15"/>
      <c r="G5413" s="23"/>
      <c r="H5413" s="15"/>
      <c r="I5413" s="15"/>
      <c r="J5413" s="51"/>
      <c r="K5413" s="15"/>
      <c r="L5413" s="51"/>
      <c r="M5413" s="15"/>
      <c r="N5413" s="23"/>
      <c r="O5413" s="23"/>
      <c r="P5413" s="15" t="str">
        <f t="shared" si="6"/>
        <v/>
      </c>
      <c r="Q5413" s="24"/>
      <c r="R5413" s="25"/>
      <c r="S5413" s="25"/>
      <c r="T5413" s="26"/>
      <c r="U5413" s="26"/>
      <c r="V5413" s="25"/>
      <c r="W5413" s="25"/>
      <c r="X5413" s="25"/>
      <c r="Y5413" s="25"/>
      <c r="Z5413" s="25"/>
    </row>
    <row r="5414" spans="1:26" ht="15.75" customHeight="1" x14ac:dyDescent="0.25">
      <c r="A5414" s="25"/>
      <c r="B5414" s="49"/>
      <c r="C5414" s="50"/>
      <c r="D5414" s="23"/>
      <c r="E5414" s="23"/>
      <c r="F5414" s="15"/>
      <c r="G5414" s="23"/>
      <c r="H5414" s="15"/>
      <c r="I5414" s="15"/>
      <c r="J5414" s="51"/>
      <c r="K5414" s="15"/>
      <c r="L5414" s="51"/>
      <c r="M5414" s="15"/>
      <c r="N5414" s="23"/>
      <c r="O5414" s="23"/>
      <c r="P5414" s="15" t="str">
        <f t="shared" si="6"/>
        <v/>
      </c>
      <c r="Q5414" s="24"/>
      <c r="R5414" s="25"/>
      <c r="S5414" s="25"/>
      <c r="T5414" s="26"/>
      <c r="U5414" s="26"/>
      <c r="V5414" s="25"/>
      <c r="W5414" s="25"/>
      <c r="X5414" s="25"/>
      <c r="Y5414" s="25"/>
      <c r="Z5414" s="25"/>
    </row>
    <row r="5415" spans="1:26" ht="15.75" customHeight="1" x14ac:dyDescent="0.25">
      <c r="A5415" s="25"/>
      <c r="B5415" s="49"/>
      <c r="C5415" s="50"/>
      <c r="D5415" s="23"/>
      <c r="E5415" s="23"/>
      <c r="F5415" s="15"/>
      <c r="G5415" s="23"/>
      <c r="H5415" s="15"/>
      <c r="I5415" s="15"/>
      <c r="J5415" s="51"/>
      <c r="K5415" s="15"/>
      <c r="L5415" s="51"/>
      <c r="M5415" s="15"/>
      <c r="N5415" s="23"/>
      <c r="O5415" s="23"/>
      <c r="P5415" s="15" t="str">
        <f t="shared" si="6"/>
        <v/>
      </c>
      <c r="Q5415" s="24"/>
      <c r="R5415" s="25"/>
      <c r="S5415" s="25"/>
      <c r="T5415" s="26"/>
      <c r="U5415" s="26"/>
      <c r="V5415" s="25"/>
      <c r="W5415" s="25"/>
      <c r="X5415" s="25"/>
      <c r="Y5415" s="25"/>
      <c r="Z5415" s="25"/>
    </row>
    <row r="5416" spans="1:26" ht="15.75" customHeight="1" x14ac:dyDescent="0.25">
      <c r="A5416" s="25"/>
      <c r="B5416" s="49"/>
      <c r="C5416" s="50"/>
      <c r="D5416" s="23"/>
      <c r="E5416" s="23"/>
      <c r="F5416" s="15"/>
      <c r="G5416" s="23"/>
      <c r="H5416" s="15"/>
      <c r="I5416" s="15"/>
      <c r="J5416" s="51"/>
      <c r="K5416" s="15"/>
      <c r="L5416" s="51"/>
      <c r="M5416" s="15"/>
      <c r="N5416" s="23"/>
      <c r="O5416" s="23"/>
      <c r="P5416" s="15" t="str">
        <f t="shared" si="6"/>
        <v/>
      </c>
      <c r="Q5416" s="24"/>
      <c r="R5416" s="25"/>
      <c r="S5416" s="25"/>
      <c r="T5416" s="26"/>
      <c r="U5416" s="26"/>
      <c r="V5416" s="25"/>
      <c r="W5416" s="25"/>
      <c r="X5416" s="25"/>
      <c r="Y5416" s="25"/>
      <c r="Z5416" s="25"/>
    </row>
    <row r="5417" spans="1:26" ht="15.75" customHeight="1" x14ac:dyDescent="0.25">
      <c r="A5417" s="25"/>
      <c r="B5417" s="49"/>
      <c r="C5417" s="50"/>
      <c r="D5417" s="23"/>
      <c r="E5417" s="23"/>
      <c r="F5417" s="15"/>
      <c r="G5417" s="23"/>
      <c r="H5417" s="15"/>
      <c r="I5417" s="15"/>
      <c r="J5417" s="51"/>
      <c r="K5417" s="15"/>
      <c r="L5417" s="51"/>
      <c r="M5417" s="15"/>
      <c r="N5417" s="23"/>
      <c r="O5417" s="23"/>
      <c r="P5417" s="15" t="str">
        <f t="shared" si="6"/>
        <v/>
      </c>
      <c r="Q5417" s="24"/>
      <c r="R5417" s="25"/>
      <c r="S5417" s="25"/>
      <c r="T5417" s="26"/>
      <c r="U5417" s="26"/>
      <c r="V5417" s="25"/>
      <c r="W5417" s="25"/>
      <c r="X5417" s="25"/>
      <c r="Y5417" s="25"/>
      <c r="Z5417" s="25"/>
    </row>
    <row r="5418" spans="1:26" ht="15.75" customHeight="1" x14ac:dyDescent="0.25">
      <c r="A5418" s="25"/>
      <c r="B5418" s="49"/>
      <c r="C5418" s="50"/>
      <c r="D5418" s="23"/>
      <c r="E5418" s="23"/>
      <c r="F5418" s="15"/>
      <c r="G5418" s="23"/>
      <c r="H5418" s="15"/>
      <c r="I5418" s="15"/>
      <c r="J5418" s="51"/>
      <c r="K5418" s="15"/>
      <c r="L5418" s="51"/>
      <c r="M5418" s="15"/>
      <c r="N5418" s="23"/>
      <c r="O5418" s="23"/>
      <c r="P5418" s="15" t="str">
        <f t="shared" si="6"/>
        <v/>
      </c>
      <c r="Q5418" s="24"/>
      <c r="R5418" s="25"/>
      <c r="S5418" s="25"/>
      <c r="T5418" s="26"/>
      <c r="U5418" s="26"/>
      <c r="V5418" s="25"/>
      <c r="W5418" s="25"/>
      <c r="X5418" s="25"/>
      <c r="Y5418" s="25"/>
      <c r="Z5418" s="25"/>
    </row>
    <row r="5419" spans="1:26" ht="15.75" customHeight="1" x14ac:dyDescent="0.25">
      <c r="A5419" s="25"/>
      <c r="B5419" s="49"/>
      <c r="C5419" s="50"/>
      <c r="D5419" s="23"/>
      <c r="E5419" s="23"/>
      <c r="F5419" s="15"/>
      <c r="G5419" s="23"/>
      <c r="H5419" s="15"/>
      <c r="I5419" s="15"/>
      <c r="J5419" s="51"/>
      <c r="K5419" s="15"/>
      <c r="L5419" s="51"/>
      <c r="M5419" s="15"/>
      <c r="N5419" s="23"/>
      <c r="O5419" s="23"/>
      <c r="P5419" s="15" t="str">
        <f t="shared" si="6"/>
        <v/>
      </c>
      <c r="Q5419" s="24"/>
      <c r="R5419" s="25"/>
      <c r="S5419" s="25"/>
      <c r="T5419" s="26"/>
      <c r="U5419" s="26"/>
      <c r="V5419" s="25"/>
      <c r="W5419" s="25"/>
      <c r="X5419" s="25"/>
      <c r="Y5419" s="25"/>
      <c r="Z5419" s="25"/>
    </row>
    <row r="5420" spans="1:26" ht="15.75" customHeight="1" x14ac:dyDescent="0.25">
      <c r="A5420" s="25"/>
      <c r="B5420" s="49"/>
      <c r="C5420" s="50"/>
      <c r="D5420" s="23"/>
      <c r="E5420" s="23"/>
      <c r="F5420" s="15"/>
      <c r="G5420" s="23"/>
      <c r="H5420" s="15"/>
      <c r="I5420" s="15"/>
      <c r="J5420" s="51"/>
      <c r="K5420" s="15"/>
      <c r="L5420" s="51"/>
      <c r="M5420" s="15"/>
      <c r="N5420" s="23"/>
      <c r="O5420" s="23"/>
      <c r="P5420" s="15" t="str">
        <f t="shared" si="6"/>
        <v/>
      </c>
      <c r="Q5420" s="24"/>
      <c r="R5420" s="25"/>
      <c r="S5420" s="25"/>
      <c r="T5420" s="26"/>
      <c r="U5420" s="26"/>
      <c r="V5420" s="25"/>
      <c r="W5420" s="25"/>
      <c r="X5420" s="25"/>
      <c r="Y5420" s="25"/>
      <c r="Z5420" s="25"/>
    </row>
    <row r="5421" spans="1:26" ht="15.75" customHeight="1" x14ac:dyDescent="0.25">
      <c r="A5421" s="25"/>
      <c r="B5421" s="49"/>
      <c r="C5421" s="50"/>
      <c r="D5421" s="23"/>
      <c r="E5421" s="23"/>
      <c r="F5421" s="15"/>
      <c r="G5421" s="23"/>
      <c r="H5421" s="15"/>
      <c r="I5421" s="15"/>
      <c r="J5421" s="51"/>
      <c r="K5421" s="15"/>
      <c r="L5421" s="51"/>
      <c r="M5421" s="15"/>
      <c r="N5421" s="23"/>
      <c r="O5421" s="23"/>
      <c r="P5421" s="15" t="str">
        <f t="shared" si="6"/>
        <v/>
      </c>
      <c r="Q5421" s="24"/>
      <c r="R5421" s="25"/>
      <c r="S5421" s="25"/>
      <c r="T5421" s="26"/>
      <c r="U5421" s="26"/>
      <c r="V5421" s="25"/>
      <c r="W5421" s="25"/>
      <c r="X5421" s="25"/>
      <c r="Y5421" s="25"/>
      <c r="Z5421" s="25"/>
    </row>
    <row r="5422" spans="1:26" ht="15.75" customHeight="1" x14ac:dyDescent="0.25">
      <c r="A5422" s="25"/>
      <c r="B5422" s="49"/>
      <c r="C5422" s="50"/>
      <c r="D5422" s="23"/>
      <c r="E5422" s="23"/>
      <c r="F5422" s="15"/>
      <c r="G5422" s="23"/>
      <c r="H5422" s="15"/>
      <c r="I5422" s="15"/>
      <c r="J5422" s="51"/>
      <c r="K5422" s="15"/>
      <c r="L5422" s="51"/>
      <c r="M5422" s="15"/>
      <c r="N5422" s="23"/>
      <c r="O5422" s="23"/>
      <c r="P5422" s="15" t="str">
        <f t="shared" si="6"/>
        <v/>
      </c>
      <c r="Q5422" s="24"/>
      <c r="R5422" s="25"/>
      <c r="S5422" s="25"/>
      <c r="T5422" s="26"/>
      <c r="U5422" s="26"/>
      <c r="V5422" s="25"/>
      <c r="W5422" s="25"/>
      <c r="X5422" s="25"/>
      <c r="Y5422" s="25"/>
      <c r="Z5422" s="25"/>
    </row>
    <row r="5423" spans="1:26" ht="15.75" customHeight="1" x14ac:dyDescent="0.25">
      <c r="A5423" s="25"/>
      <c r="B5423" s="49"/>
      <c r="C5423" s="50"/>
      <c r="D5423" s="23"/>
      <c r="E5423" s="23"/>
      <c r="F5423" s="15"/>
      <c r="G5423" s="23"/>
      <c r="H5423" s="15"/>
      <c r="I5423" s="15"/>
      <c r="J5423" s="51"/>
      <c r="K5423" s="15"/>
      <c r="L5423" s="51"/>
      <c r="M5423" s="15"/>
      <c r="N5423" s="23"/>
      <c r="O5423" s="23"/>
      <c r="P5423" s="15" t="str">
        <f t="shared" si="6"/>
        <v/>
      </c>
      <c r="Q5423" s="24"/>
      <c r="R5423" s="25"/>
      <c r="S5423" s="25"/>
      <c r="T5423" s="26"/>
      <c r="U5423" s="26"/>
      <c r="V5423" s="25"/>
      <c r="W5423" s="25"/>
      <c r="X5423" s="25"/>
      <c r="Y5423" s="25"/>
      <c r="Z5423" s="25"/>
    </row>
    <row r="5424" spans="1:26" ht="15.75" customHeight="1" x14ac:dyDescent="0.25">
      <c r="A5424" s="25"/>
      <c r="B5424" s="49"/>
      <c r="C5424" s="50"/>
      <c r="D5424" s="23"/>
      <c r="E5424" s="23"/>
      <c r="F5424" s="15"/>
      <c r="G5424" s="23"/>
      <c r="H5424" s="15"/>
      <c r="I5424" s="15"/>
      <c r="J5424" s="51"/>
      <c r="K5424" s="15"/>
      <c r="L5424" s="51"/>
      <c r="M5424" s="15"/>
      <c r="N5424" s="23"/>
      <c r="O5424" s="23"/>
      <c r="P5424" s="15" t="str">
        <f t="shared" si="6"/>
        <v/>
      </c>
      <c r="Q5424" s="24"/>
      <c r="R5424" s="25"/>
      <c r="S5424" s="25"/>
      <c r="T5424" s="26"/>
      <c r="U5424" s="26"/>
      <c r="V5424" s="25"/>
      <c r="W5424" s="25"/>
      <c r="X5424" s="25"/>
      <c r="Y5424" s="25"/>
      <c r="Z5424" s="25"/>
    </row>
    <row r="5425" spans="1:26" ht="15.75" customHeight="1" x14ac:dyDescent="0.25">
      <c r="A5425" s="25"/>
      <c r="B5425" s="49"/>
      <c r="C5425" s="50"/>
      <c r="D5425" s="23"/>
      <c r="E5425" s="23"/>
      <c r="F5425" s="15"/>
      <c r="G5425" s="23"/>
      <c r="H5425" s="15"/>
      <c r="I5425" s="15"/>
      <c r="J5425" s="51"/>
      <c r="K5425" s="15"/>
      <c r="L5425" s="51"/>
      <c r="M5425" s="15"/>
      <c r="N5425" s="23"/>
      <c r="O5425" s="23"/>
      <c r="P5425" s="15" t="str">
        <f t="shared" si="6"/>
        <v/>
      </c>
      <c r="Q5425" s="24"/>
      <c r="R5425" s="25"/>
      <c r="S5425" s="25"/>
      <c r="T5425" s="26"/>
      <c r="U5425" s="26"/>
      <c r="V5425" s="25"/>
      <c r="W5425" s="25"/>
      <c r="X5425" s="25"/>
      <c r="Y5425" s="25"/>
      <c r="Z5425" s="25"/>
    </row>
    <row r="5426" spans="1:26" ht="15.75" customHeight="1" x14ac:dyDescent="0.25">
      <c r="A5426" s="25"/>
      <c r="B5426" s="49"/>
      <c r="C5426" s="50"/>
      <c r="D5426" s="23"/>
      <c r="E5426" s="23"/>
      <c r="F5426" s="15"/>
      <c r="G5426" s="23"/>
      <c r="H5426" s="15"/>
      <c r="I5426" s="15"/>
      <c r="J5426" s="51"/>
      <c r="K5426" s="15"/>
      <c r="L5426" s="51"/>
      <c r="M5426" s="15"/>
      <c r="N5426" s="23"/>
      <c r="O5426" s="23"/>
      <c r="P5426" s="15" t="str">
        <f t="shared" si="6"/>
        <v/>
      </c>
      <c r="Q5426" s="24"/>
      <c r="R5426" s="25"/>
      <c r="S5426" s="25"/>
      <c r="T5426" s="26"/>
      <c r="U5426" s="26"/>
      <c r="V5426" s="25"/>
      <c r="W5426" s="25"/>
      <c r="X5426" s="25"/>
      <c r="Y5426" s="25"/>
      <c r="Z5426" s="25"/>
    </row>
    <row r="5427" spans="1:26" ht="15.75" customHeight="1" x14ac:dyDescent="0.25">
      <c r="A5427" s="25"/>
      <c r="B5427" s="49"/>
      <c r="C5427" s="50"/>
      <c r="D5427" s="23"/>
      <c r="E5427" s="23"/>
      <c r="F5427" s="15"/>
      <c r="G5427" s="23"/>
      <c r="H5427" s="15"/>
      <c r="I5427" s="15"/>
      <c r="J5427" s="51"/>
      <c r="K5427" s="15"/>
      <c r="L5427" s="51"/>
      <c r="M5427" s="15"/>
      <c r="N5427" s="23"/>
      <c r="O5427" s="23"/>
      <c r="P5427" s="15" t="str">
        <f t="shared" si="6"/>
        <v/>
      </c>
      <c r="Q5427" s="24"/>
      <c r="R5427" s="25"/>
      <c r="S5427" s="25"/>
      <c r="T5427" s="26"/>
      <c r="U5427" s="26"/>
      <c r="V5427" s="25"/>
      <c r="W5427" s="25"/>
      <c r="X5427" s="25"/>
      <c r="Y5427" s="25"/>
      <c r="Z5427" s="25"/>
    </row>
    <row r="5428" spans="1:26" ht="15.75" customHeight="1" x14ac:dyDescent="0.25">
      <c r="A5428" s="25"/>
      <c r="B5428" s="49"/>
      <c r="C5428" s="50"/>
      <c r="D5428" s="23"/>
      <c r="E5428" s="23"/>
      <c r="F5428" s="15"/>
      <c r="G5428" s="23"/>
      <c r="H5428" s="15"/>
      <c r="I5428" s="15"/>
      <c r="J5428" s="51"/>
      <c r="K5428" s="15"/>
      <c r="L5428" s="51"/>
      <c r="M5428" s="15"/>
      <c r="N5428" s="23"/>
      <c r="O5428" s="23"/>
      <c r="P5428" s="15" t="str">
        <f t="shared" si="6"/>
        <v/>
      </c>
      <c r="Q5428" s="24"/>
      <c r="R5428" s="25"/>
      <c r="S5428" s="25"/>
      <c r="T5428" s="26"/>
      <c r="U5428" s="26"/>
      <c r="V5428" s="25"/>
      <c r="W5428" s="25"/>
      <c r="X5428" s="25"/>
      <c r="Y5428" s="25"/>
      <c r="Z5428" s="25"/>
    </row>
    <row r="5429" spans="1:26" ht="15.75" customHeight="1" x14ac:dyDescent="0.25">
      <c r="A5429" s="25"/>
      <c r="B5429" s="49"/>
      <c r="C5429" s="50"/>
      <c r="D5429" s="23"/>
      <c r="E5429" s="23"/>
      <c r="F5429" s="15"/>
      <c r="G5429" s="23"/>
      <c r="H5429" s="15"/>
      <c r="I5429" s="15"/>
      <c r="J5429" s="51"/>
      <c r="K5429" s="15"/>
      <c r="L5429" s="51"/>
      <c r="M5429" s="15"/>
      <c r="N5429" s="23"/>
      <c r="O5429" s="23"/>
      <c r="P5429" s="15" t="str">
        <f t="shared" si="6"/>
        <v/>
      </c>
      <c r="Q5429" s="24"/>
      <c r="R5429" s="25"/>
      <c r="S5429" s="25"/>
      <c r="T5429" s="26"/>
      <c r="U5429" s="26"/>
      <c r="V5429" s="25"/>
      <c r="W5429" s="25"/>
      <c r="X5429" s="25"/>
      <c r="Y5429" s="25"/>
      <c r="Z5429" s="25"/>
    </row>
    <row r="5430" spans="1:26" ht="15.75" customHeight="1" x14ac:dyDescent="0.25">
      <c r="A5430" s="25"/>
      <c r="B5430" s="49"/>
      <c r="C5430" s="50"/>
      <c r="D5430" s="23"/>
      <c r="E5430" s="23"/>
      <c r="F5430" s="15"/>
      <c r="G5430" s="23"/>
      <c r="H5430" s="15"/>
      <c r="I5430" s="15"/>
      <c r="J5430" s="51"/>
      <c r="K5430" s="15"/>
      <c r="L5430" s="51"/>
      <c r="M5430" s="15"/>
      <c r="N5430" s="23"/>
      <c r="O5430" s="23"/>
      <c r="P5430" s="15" t="str">
        <f t="shared" si="6"/>
        <v/>
      </c>
      <c r="Q5430" s="24"/>
      <c r="R5430" s="25"/>
      <c r="S5430" s="25"/>
      <c r="T5430" s="26"/>
      <c r="U5430" s="26"/>
      <c r="V5430" s="25"/>
      <c r="W5430" s="25"/>
      <c r="X5430" s="25"/>
      <c r="Y5430" s="25"/>
      <c r="Z5430" s="25"/>
    </row>
    <row r="5431" spans="1:26" ht="15.75" customHeight="1" x14ac:dyDescent="0.25">
      <c r="A5431" s="25"/>
      <c r="B5431" s="49"/>
      <c r="C5431" s="50"/>
      <c r="D5431" s="23"/>
      <c r="E5431" s="23"/>
      <c r="F5431" s="15"/>
      <c r="G5431" s="23"/>
      <c r="H5431" s="15"/>
      <c r="I5431" s="15"/>
      <c r="J5431" s="51"/>
      <c r="K5431" s="15"/>
      <c r="L5431" s="51"/>
      <c r="M5431" s="15"/>
      <c r="N5431" s="23"/>
      <c r="O5431" s="23"/>
      <c r="P5431" s="15" t="str">
        <f t="shared" si="6"/>
        <v/>
      </c>
      <c r="Q5431" s="24"/>
      <c r="R5431" s="25"/>
      <c r="S5431" s="25"/>
      <c r="T5431" s="26"/>
      <c r="U5431" s="26"/>
      <c r="V5431" s="25"/>
      <c r="W5431" s="25"/>
      <c r="X5431" s="25"/>
      <c r="Y5431" s="25"/>
      <c r="Z5431" s="25"/>
    </row>
    <row r="5432" spans="1:26" ht="15.75" customHeight="1" x14ac:dyDescent="0.25">
      <c r="A5432" s="25"/>
      <c r="B5432" s="49"/>
      <c r="C5432" s="50"/>
      <c r="D5432" s="23"/>
      <c r="E5432" s="23"/>
      <c r="F5432" s="15"/>
      <c r="G5432" s="23"/>
      <c r="H5432" s="15"/>
      <c r="I5432" s="15"/>
      <c r="J5432" s="51"/>
      <c r="K5432" s="15"/>
      <c r="L5432" s="51"/>
      <c r="M5432" s="15"/>
      <c r="N5432" s="23"/>
      <c r="O5432" s="23"/>
      <c r="P5432" s="15" t="str">
        <f t="shared" si="6"/>
        <v/>
      </c>
      <c r="Q5432" s="24"/>
      <c r="R5432" s="25"/>
      <c r="S5432" s="25"/>
      <c r="T5432" s="26"/>
      <c r="U5432" s="26"/>
      <c r="V5432" s="25"/>
      <c r="W5432" s="25"/>
      <c r="X5432" s="25"/>
      <c r="Y5432" s="25"/>
      <c r="Z5432" s="25"/>
    </row>
    <row r="5433" spans="1:26" ht="15.75" customHeight="1" x14ac:dyDescent="0.25">
      <c r="A5433" s="25"/>
      <c r="B5433" s="49"/>
      <c r="C5433" s="50"/>
      <c r="D5433" s="23"/>
      <c r="E5433" s="23"/>
      <c r="F5433" s="15"/>
      <c r="G5433" s="23"/>
      <c r="H5433" s="15"/>
      <c r="I5433" s="15"/>
      <c r="J5433" s="51"/>
      <c r="K5433" s="15"/>
      <c r="L5433" s="51"/>
      <c r="M5433" s="15"/>
      <c r="N5433" s="23"/>
      <c r="O5433" s="23"/>
      <c r="P5433" s="15" t="str">
        <f t="shared" si="6"/>
        <v/>
      </c>
      <c r="Q5433" s="24"/>
      <c r="R5433" s="25"/>
      <c r="S5433" s="25"/>
      <c r="T5433" s="26"/>
      <c r="U5433" s="26"/>
      <c r="V5433" s="25"/>
      <c r="W5433" s="25"/>
      <c r="X5433" s="25"/>
      <c r="Y5433" s="25"/>
      <c r="Z5433" s="25"/>
    </row>
    <row r="5434" spans="1:26" ht="15.75" customHeight="1" x14ac:dyDescent="0.25">
      <c r="A5434" s="25"/>
      <c r="B5434" s="49"/>
      <c r="C5434" s="50"/>
      <c r="D5434" s="23"/>
      <c r="E5434" s="23"/>
      <c r="F5434" s="15"/>
      <c r="G5434" s="23"/>
      <c r="H5434" s="15"/>
      <c r="I5434" s="15"/>
      <c r="J5434" s="51"/>
      <c r="K5434" s="15"/>
      <c r="L5434" s="51"/>
      <c r="M5434" s="15"/>
      <c r="N5434" s="23"/>
      <c r="O5434" s="23"/>
      <c r="P5434" s="15" t="str">
        <f t="shared" si="6"/>
        <v/>
      </c>
      <c r="Q5434" s="24"/>
      <c r="R5434" s="25"/>
      <c r="S5434" s="25"/>
      <c r="T5434" s="26"/>
      <c r="U5434" s="26"/>
      <c r="V5434" s="25"/>
      <c r="W5434" s="25"/>
      <c r="X5434" s="25"/>
      <c r="Y5434" s="25"/>
      <c r="Z5434" s="25"/>
    </row>
    <row r="5435" spans="1:26" ht="15.75" customHeight="1" x14ac:dyDescent="0.25">
      <c r="A5435" s="25"/>
      <c r="B5435" s="49"/>
      <c r="C5435" s="50"/>
      <c r="D5435" s="23"/>
      <c r="E5435" s="23"/>
      <c r="F5435" s="15"/>
      <c r="G5435" s="23"/>
      <c r="H5435" s="15"/>
      <c r="I5435" s="15"/>
      <c r="J5435" s="51"/>
      <c r="K5435" s="15"/>
      <c r="L5435" s="51"/>
      <c r="M5435" s="15"/>
      <c r="N5435" s="23"/>
      <c r="O5435" s="23"/>
      <c r="P5435" s="15" t="str">
        <f t="shared" si="6"/>
        <v/>
      </c>
      <c r="Q5435" s="24"/>
      <c r="R5435" s="25"/>
      <c r="S5435" s="25"/>
      <c r="T5435" s="26"/>
      <c r="U5435" s="26"/>
      <c r="V5435" s="25"/>
      <c r="W5435" s="25"/>
      <c r="X5435" s="25"/>
      <c r="Y5435" s="25"/>
      <c r="Z5435" s="25"/>
    </row>
    <row r="5436" spans="1:26" ht="15.75" customHeight="1" x14ac:dyDescent="0.25">
      <c r="A5436" s="25"/>
      <c r="B5436" s="49"/>
      <c r="C5436" s="50"/>
      <c r="D5436" s="23"/>
      <c r="E5436" s="23"/>
      <c r="F5436" s="15"/>
      <c r="G5436" s="23"/>
      <c r="H5436" s="15"/>
      <c r="I5436" s="15"/>
      <c r="J5436" s="51"/>
      <c r="K5436" s="15"/>
      <c r="L5436" s="51"/>
      <c r="M5436" s="15"/>
      <c r="N5436" s="23"/>
      <c r="O5436" s="23"/>
      <c r="P5436" s="15" t="str">
        <f t="shared" si="6"/>
        <v/>
      </c>
      <c r="Q5436" s="24"/>
      <c r="R5436" s="25"/>
      <c r="S5436" s="25"/>
      <c r="T5436" s="26"/>
      <c r="U5436" s="26"/>
      <c r="V5436" s="25"/>
      <c r="W5436" s="25"/>
      <c r="X5436" s="25"/>
      <c r="Y5436" s="25"/>
      <c r="Z5436" s="25"/>
    </row>
    <row r="5437" spans="1:26" ht="15.75" customHeight="1" x14ac:dyDescent="0.25">
      <c r="A5437" s="25"/>
      <c r="B5437" s="49"/>
      <c r="C5437" s="50"/>
      <c r="D5437" s="23"/>
      <c r="E5437" s="23"/>
      <c r="F5437" s="15"/>
      <c r="G5437" s="23"/>
      <c r="H5437" s="15"/>
      <c r="I5437" s="15"/>
      <c r="J5437" s="51"/>
      <c r="K5437" s="15"/>
      <c r="L5437" s="51"/>
      <c r="M5437" s="15"/>
      <c r="N5437" s="23"/>
      <c r="O5437" s="23"/>
      <c r="P5437" s="15" t="str">
        <f t="shared" si="6"/>
        <v/>
      </c>
      <c r="Q5437" s="24"/>
      <c r="R5437" s="25"/>
      <c r="S5437" s="25"/>
      <c r="T5437" s="26"/>
      <c r="U5437" s="26"/>
      <c r="V5437" s="25"/>
      <c r="W5437" s="25"/>
      <c r="X5437" s="25"/>
      <c r="Y5437" s="25"/>
      <c r="Z5437" s="25"/>
    </row>
    <row r="5438" spans="1:26" ht="15.75" customHeight="1" x14ac:dyDescent="0.25">
      <c r="A5438" s="25"/>
      <c r="B5438" s="49"/>
      <c r="C5438" s="50"/>
      <c r="D5438" s="23"/>
      <c r="E5438" s="23"/>
      <c r="F5438" s="15"/>
      <c r="G5438" s="23"/>
      <c r="H5438" s="15"/>
      <c r="I5438" s="15"/>
      <c r="J5438" s="51"/>
      <c r="K5438" s="15"/>
      <c r="L5438" s="51"/>
      <c r="M5438" s="15"/>
      <c r="N5438" s="23"/>
      <c r="O5438" s="23"/>
      <c r="P5438" s="15" t="str">
        <f t="shared" si="6"/>
        <v/>
      </c>
      <c r="Q5438" s="24"/>
      <c r="R5438" s="25"/>
      <c r="S5438" s="25"/>
      <c r="T5438" s="26"/>
      <c r="U5438" s="26"/>
      <c r="V5438" s="25"/>
      <c r="W5438" s="25"/>
      <c r="X5438" s="25"/>
      <c r="Y5438" s="25"/>
      <c r="Z5438" s="25"/>
    </row>
    <row r="5439" spans="1:26" ht="15.75" customHeight="1" x14ac:dyDescent="0.25">
      <c r="A5439" s="25"/>
      <c r="B5439" s="49"/>
      <c r="C5439" s="50"/>
      <c r="D5439" s="23"/>
      <c r="E5439" s="23"/>
      <c r="F5439" s="15"/>
      <c r="G5439" s="23"/>
      <c r="H5439" s="15"/>
      <c r="I5439" s="15"/>
      <c r="J5439" s="51"/>
      <c r="K5439" s="15"/>
      <c r="L5439" s="51"/>
      <c r="M5439" s="15"/>
      <c r="N5439" s="23"/>
      <c r="O5439" s="23"/>
      <c r="P5439" s="15" t="str">
        <f t="shared" si="6"/>
        <v/>
      </c>
      <c r="Q5439" s="24"/>
      <c r="R5439" s="25"/>
      <c r="S5439" s="25"/>
      <c r="T5439" s="26"/>
      <c r="U5439" s="26"/>
      <c r="V5439" s="25"/>
      <c r="W5439" s="25"/>
      <c r="X5439" s="25"/>
      <c r="Y5439" s="25"/>
      <c r="Z5439" s="25"/>
    </row>
    <row r="5440" spans="1:26" ht="15.75" customHeight="1" x14ac:dyDescent="0.25">
      <c r="A5440" s="25"/>
      <c r="B5440" s="49"/>
      <c r="C5440" s="50"/>
      <c r="D5440" s="23"/>
      <c r="E5440" s="23"/>
      <c r="F5440" s="15"/>
      <c r="G5440" s="23"/>
      <c r="H5440" s="15"/>
      <c r="I5440" s="15"/>
      <c r="J5440" s="51"/>
      <c r="K5440" s="15"/>
      <c r="L5440" s="51"/>
      <c r="M5440" s="15"/>
      <c r="N5440" s="23"/>
      <c r="O5440" s="23"/>
      <c r="P5440" s="15" t="str">
        <f t="shared" si="6"/>
        <v/>
      </c>
      <c r="Q5440" s="24"/>
      <c r="R5440" s="25"/>
      <c r="S5440" s="25"/>
      <c r="T5440" s="26"/>
      <c r="U5440" s="26"/>
      <c r="V5440" s="25"/>
      <c r="W5440" s="25"/>
      <c r="X5440" s="25"/>
      <c r="Y5440" s="25"/>
      <c r="Z5440" s="25"/>
    </row>
    <row r="5441" spans="1:26" ht="15.75" customHeight="1" x14ac:dyDescent="0.25">
      <c r="A5441" s="25"/>
      <c r="B5441" s="49"/>
      <c r="C5441" s="50"/>
      <c r="D5441" s="23"/>
      <c r="E5441" s="23"/>
      <c r="F5441" s="15"/>
      <c r="G5441" s="23"/>
      <c r="H5441" s="15"/>
      <c r="I5441" s="15"/>
      <c r="J5441" s="51"/>
      <c r="K5441" s="15"/>
      <c r="L5441" s="51"/>
      <c r="M5441" s="15"/>
      <c r="N5441" s="23"/>
      <c r="O5441" s="23"/>
      <c r="P5441" s="15" t="str">
        <f t="shared" si="6"/>
        <v/>
      </c>
      <c r="Q5441" s="24"/>
      <c r="R5441" s="25"/>
      <c r="S5441" s="25"/>
      <c r="T5441" s="26"/>
      <c r="U5441" s="26"/>
      <c r="V5441" s="25"/>
      <c r="W5441" s="25"/>
      <c r="X5441" s="25"/>
      <c r="Y5441" s="25"/>
      <c r="Z5441" s="25"/>
    </row>
    <row r="5442" spans="1:26" ht="15.75" customHeight="1" x14ac:dyDescent="0.25">
      <c r="A5442" s="25"/>
      <c r="B5442" s="49"/>
      <c r="C5442" s="50"/>
      <c r="D5442" s="23"/>
      <c r="E5442" s="23"/>
      <c r="F5442" s="15"/>
      <c r="G5442" s="23"/>
      <c r="H5442" s="15"/>
      <c r="I5442" s="15"/>
      <c r="J5442" s="51"/>
      <c r="K5442" s="15"/>
      <c r="L5442" s="51"/>
      <c r="M5442" s="15"/>
      <c r="N5442" s="23"/>
      <c r="O5442" s="23"/>
      <c r="P5442" s="15" t="str">
        <f t="shared" si="6"/>
        <v/>
      </c>
      <c r="Q5442" s="24"/>
      <c r="R5442" s="25"/>
      <c r="S5442" s="25"/>
      <c r="T5442" s="26"/>
      <c r="U5442" s="26"/>
      <c r="V5442" s="25"/>
      <c r="W5442" s="25"/>
      <c r="X5442" s="25"/>
      <c r="Y5442" s="25"/>
      <c r="Z5442" s="25"/>
    </row>
    <row r="5443" spans="1:26" ht="15.75" customHeight="1" x14ac:dyDescent="0.25">
      <c r="A5443" s="25"/>
      <c r="B5443" s="49"/>
      <c r="C5443" s="50"/>
      <c r="D5443" s="23"/>
      <c r="E5443" s="23"/>
      <c r="F5443" s="15"/>
      <c r="G5443" s="23"/>
      <c r="H5443" s="15"/>
      <c r="I5443" s="15"/>
      <c r="J5443" s="51"/>
      <c r="K5443" s="15"/>
      <c r="L5443" s="51"/>
      <c r="M5443" s="15"/>
      <c r="N5443" s="23"/>
      <c r="O5443" s="23"/>
      <c r="P5443" s="15" t="str">
        <f t="shared" si="6"/>
        <v/>
      </c>
      <c r="Q5443" s="24"/>
      <c r="R5443" s="25"/>
      <c r="S5443" s="25"/>
      <c r="T5443" s="26"/>
      <c r="U5443" s="26"/>
      <c r="V5443" s="25"/>
      <c r="W5443" s="25"/>
      <c r="X5443" s="25"/>
      <c r="Y5443" s="25"/>
      <c r="Z5443" s="25"/>
    </row>
    <row r="5444" spans="1:26" ht="15.75" customHeight="1" x14ac:dyDescent="0.25">
      <c r="A5444" s="25"/>
      <c r="B5444" s="49"/>
      <c r="C5444" s="50"/>
      <c r="D5444" s="23"/>
      <c r="E5444" s="23"/>
      <c r="F5444" s="15"/>
      <c r="G5444" s="23"/>
      <c r="H5444" s="15"/>
      <c r="I5444" s="15"/>
      <c r="J5444" s="51"/>
      <c r="K5444" s="15"/>
      <c r="L5444" s="51"/>
      <c r="M5444" s="15"/>
      <c r="N5444" s="23"/>
      <c r="O5444" s="23"/>
      <c r="P5444" s="15" t="str">
        <f t="shared" si="6"/>
        <v/>
      </c>
      <c r="Q5444" s="24"/>
      <c r="R5444" s="25"/>
      <c r="S5444" s="25"/>
      <c r="T5444" s="26"/>
      <c r="U5444" s="26"/>
      <c r="V5444" s="25"/>
      <c r="W5444" s="25"/>
      <c r="X5444" s="25"/>
      <c r="Y5444" s="25"/>
      <c r="Z5444" s="25"/>
    </row>
    <row r="5445" spans="1:26" ht="15.75" customHeight="1" x14ac:dyDescent="0.25">
      <c r="A5445" s="25"/>
      <c r="B5445" s="49"/>
      <c r="C5445" s="50"/>
      <c r="D5445" s="23"/>
      <c r="E5445" s="23"/>
      <c r="F5445" s="15"/>
      <c r="G5445" s="23"/>
      <c r="H5445" s="15"/>
      <c r="I5445" s="15"/>
      <c r="J5445" s="51"/>
      <c r="K5445" s="15"/>
      <c r="L5445" s="51"/>
      <c r="M5445" s="15"/>
      <c r="N5445" s="23"/>
      <c r="O5445" s="23"/>
      <c r="P5445" s="15" t="str">
        <f t="shared" si="6"/>
        <v/>
      </c>
      <c r="Q5445" s="24"/>
      <c r="R5445" s="25"/>
      <c r="S5445" s="25"/>
      <c r="T5445" s="26"/>
      <c r="U5445" s="26"/>
      <c r="V5445" s="25"/>
      <c r="W5445" s="25"/>
      <c r="X5445" s="25"/>
      <c r="Y5445" s="25"/>
      <c r="Z5445" s="25"/>
    </row>
    <row r="5446" spans="1:26" ht="15.75" customHeight="1" x14ac:dyDescent="0.25">
      <c r="A5446" s="25"/>
      <c r="B5446" s="49"/>
      <c r="C5446" s="50"/>
      <c r="D5446" s="23"/>
      <c r="E5446" s="23"/>
      <c r="F5446" s="15"/>
      <c r="G5446" s="23"/>
      <c r="H5446" s="15"/>
      <c r="I5446" s="15"/>
      <c r="J5446" s="51"/>
      <c r="K5446" s="15"/>
      <c r="L5446" s="51"/>
      <c r="M5446" s="15"/>
      <c r="N5446" s="23"/>
      <c r="O5446" s="23"/>
      <c r="P5446" s="15" t="str">
        <f t="shared" si="6"/>
        <v/>
      </c>
      <c r="Q5446" s="24"/>
      <c r="R5446" s="25"/>
      <c r="S5446" s="25"/>
      <c r="T5446" s="26"/>
      <c r="U5446" s="26"/>
      <c r="V5446" s="25"/>
      <c r="W5446" s="25"/>
      <c r="X5446" s="25"/>
      <c r="Y5446" s="25"/>
      <c r="Z5446" s="25"/>
    </row>
    <row r="5447" spans="1:26" ht="15.75" customHeight="1" x14ac:dyDescent="0.25">
      <c r="A5447" s="25"/>
      <c r="B5447" s="49"/>
      <c r="C5447" s="50"/>
      <c r="D5447" s="23"/>
      <c r="E5447" s="23"/>
      <c r="F5447" s="15"/>
      <c r="G5447" s="23"/>
      <c r="H5447" s="15"/>
      <c r="I5447" s="15"/>
      <c r="J5447" s="51"/>
      <c r="K5447" s="15"/>
      <c r="L5447" s="51"/>
      <c r="M5447" s="15"/>
      <c r="N5447" s="23"/>
      <c r="O5447" s="23"/>
      <c r="P5447" s="15" t="str">
        <f t="shared" si="6"/>
        <v/>
      </c>
      <c r="Q5447" s="24"/>
      <c r="R5447" s="25"/>
      <c r="S5447" s="25"/>
      <c r="T5447" s="26"/>
      <c r="U5447" s="26"/>
      <c r="V5447" s="25"/>
      <c r="W5447" s="25"/>
      <c r="X5447" s="25"/>
      <c r="Y5447" s="25"/>
      <c r="Z5447" s="25"/>
    </row>
    <row r="5448" spans="1:26" ht="15.75" customHeight="1" x14ac:dyDescent="0.25">
      <c r="A5448" s="25"/>
      <c r="B5448" s="49"/>
      <c r="C5448" s="50"/>
      <c r="D5448" s="23"/>
      <c r="E5448" s="23"/>
      <c r="F5448" s="15"/>
      <c r="G5448" s="23"/>
      <c r="H5448" s="15"/>
      <c r="I5448" s="15"/>
      <c r="J5448" s="51"/>
      <c r="K5448" s="15"/>
      <c r="L5448" s="51"/>
      <c r="M5448" s="15"/>
      <c r="N5448" s="23"/>
      <c r="O5448" s="23"/>
      <c r="P5448" s="15" t="str">
        <f t="shared" si="6"/>
        <v/>
      </c>
      <c r="Q5448" s="24"/>
      <c r="R5448" s="25"/>
      <c r="S5448" s="25"/>
      <c r="T5448" s="26"/>
      <c r="U5448" s="26"/>
      <c r="V5448" s="25"/>
      <c r="W5448" s="25"/>
      <c r="X5448" s="25"/>
      <c r="Y5448" s="25"/>
      <c r="Z5448" s="25"/>
    </row>
    <row r="5449" spans="1:26" ht="15.75" customHeight="1" x14ac:dyDescent="0.25">
      <c r="A5449" s="25"/>
      <c r="B5449" s="49"/>
      <c r="C5449" s="50"/>
      <c r="D5449" s="23"/>
      <c r="E5449" s="23"/>
      <c r="F5449" s="15"/>
      <c r="G5449" s="23"/>
      <c r="H5449" s="15"/>
      <c r="I5449" s="15"/>
      <c r="J5449" s="51"/>
      <c r="K5449" s="15"/>
      <c r="L5449" s="51"/>
      <c r="M5449" s="15"/>
      <c r="N5449" s="23"/>
      <c r="O5449" s="23"/>
      <c r="P5449" s="15" t="str">
        <f t="shared" si="6"/>
        <v/>
      </c>
      <c r="Q5449" s="24"/>
      <c r="R5449" s="25"/>
      <c r="S5449" s="25"/>
      <c r="T5449" s="26"/>
      <c r="U5449" s="26"/>
      <c r="V5449" s="25"/>
      <c r="W5449" s="25"/>
      <c r="X5449" s="25"/>
      <c r="Y5449" s="25"/>
      <c r="Z5449" s="25"/>
    </row>
    <row r="5450" spans="1:26" ht="15.75" customHeight="1" x14ac:dyDescent="0.25">
      <c r="A5450" s="25"/>
      <c r="B5450" s="49"/>
      <c r="C5450" s="50"/>
      <c r="D5450" s="23"/>
      <c r="E5450" s="23"/>
      <c r="F5450" s="15"/>
      <c r="G5450" s="23"/>
      <c r="H5450" s="15"/>
      <c r="I5450" s="15"/>
      <c r="J5450" s="51"/>
      <c r="K5450" s="15"/>
      <c r="L5450" s="51"/>
      <c r="M5450" s="15"/>
      <c r="N5450" s="23"/>
      <c r="O5450" s="23"/>
      <c r="P5450" s="15" t="str">
        <f t="shared" si="6"/>
        <v/>
      </c>
      <c r="Q5450" s="24"/>
      <c r="R5450" s="25"/>
      <c r="S5450" s="25"/>
      <c r="T5450" s="26"/>
      <c r="U5450" s="26"/>
      <c r="V5450" s="25"/>
      <c r="W5450" s="25"/>
      <c r="X5450" s="25"/>
      <c r="Y5450" s="25"/>
      <c r="Z5450" s="25"/>
    </row>
    <row r="5451" spans="1:26" ht="15.75" customHeight="1" x14ac:dyDescent="0.25">
      <c r="A5451" s="25"/>
      <c r="B5451" s="49"/>
      <c r="C5451" s="50"/>
      <c r="D5451" s="23"/>
      <c r="E5451" s="23"/>
      <c r="F5451" s="15"/>
      <c r="G5451" s="23"/>
      <c r="H5451" s="15"/>
      <c r="I5451" s="15"/>
      <c r="J5451" s="51"/>
      <c r="K5451" s="15"/>
      <c r="L5451" s="51"/>
      <c r="M5451" s="15"/>
      <c r="N5451" s="23"/>
      <c r="O5451" s="23"/>
      <c r="P5451" s="15" t="str">
        <f t="shared" si="6"/>
        <v/>
      </c>
      <c r="Q5451" s="24"/>
      <c r="R5451" s="25"/>
      <c r="S5451" s="25"/>
      <c r="T5451" s="26"/>
      <c r="U5451" s="26"/>
      <c r="V5451" s="25"/>
      <c r="W5451" s="25"/>
      <c r="X5451" s="25"/>
      <c r="Y5451" s="25"/>
      <c r="Z5451" s="25"/>
    </row>
    <row r="5452" spans="1:26" ht="15.75" customHeight="1" x14ac:dyDescent="0.25">
      <c r="A5452" s="25"/>
      <c r="B5452" s="49"/>
      <c r="C5452" s="50"/>
      <c r="D5452" s="23"/>
      <c r="E5452" s="23"/>
      <c r="F5452" s="15"/>
      <c r="G5452" s="23"/>
      <c r="H5452" s="15"/>
      <c r="I5452" s="15"/>
      <c r="J5452" s="51"/>
      <c r="K5452" s="15"/>
      <c r="L5452" s="51"/>
      <c r="M5452" s="15"/>
      <c r="N5452" s="23"/>
      <c r="O5452" s="23"/>
      <c r="P5452" s="15" t="str">
        <f t="shared" si="6"/>
        <v/>
      </c>
      <c r="Q5452" s="24"/>
      <c r="R5452" s="25"/>
      <c r="S5452" s="25"/>
      <c r="T5452" s="26"/>
      <c r="U5452" s="26"/>
      <c r="V5452" s="25"/>
      <c r="W5452" s="25"/>
      <c r="X5452" s="25"/>
      <c r="Y5452" s="25"/>
      <c r="Z5452" s="25"/>
    </row>
    <row r="5453" spans="1:26" ht="15.75" customHeight="1" x14ac:dyDescent="0.25">
      <c r="A5453" s="25"/>
      <c r="B5453" s="49"/>
      <c r="C5453" s="50"/>
      <c r="D5453" s="23"/>
      <c r="E5453" s="23"/>
      <c r="F5453" s="15"/>
      <c r="G5453" s="23"/>
      <c r="H5453" s="15"/>
      <c r="I5453" s="15"/>
      <c r="J5453" s="51"/>
      <c r="K5453" s="15"/>
      <c r="L5453" s="51"/>
      <c r="M5453" s="15"/>
      <c r="N5453" s="23"/>
      <c r="O5453" s="23"/>
      <c r="P5453" s="15" t="str">
        <f t="shared" si="6"/>
        <v/>
      </c>
      <c r="Q5453" s="24"/>
      <c r="R5453" s="25"/>
      <c r="S5453" s="25"/>
      <c r="T5453" s="26"/>
      <c r="U5453" s="26"/>
      <c r="V5453" s="25"/>
      <c r="W5453" s="25"/>
      <c r="X5453" s="25"/>
      <c r="Y5453" s="25"/>
      <c r="Z5453" s="25"/>
    </row>
    <row r="5454" spans="1:26" ht="15.75" customHeight="1" x14ac:dyDescent="0.25">
      <c r="A5454" s="25"/>
      <c r="B5454" s="49"/>
      <c r="C5454" s="50"/>
      <c r="D5454" s="23"/>
      <c r="E5454" s="23"/>
      <c r="F5454" s="15"/>
      <c r="G5454" s="23"/>
      <c r="H5454" s="15"/>
      <c r="I5454" s="15"/>
      <c r="J5454" s="51"/>
      <c r="K5454" s="15"/>
      <c r="L5454" s="51"/>
      <c r="M5454" s="15"/>
      <c r="N5454" s="23"/>
      <c r="O5454" s="23"/>
      <c r="P5454" s="15" t="str">
        <f t="shared" si="6"/>
        <v/>
      </c>
      <c r="Q5454" s="24"/>
      <c r="R5454" s="25"/>
      <c r="S5454" s="25"/>
      <c r="T5454" s="26"/>
      <c r="U5454" s="26"/>
      <c r="V5454" s="25"/>
      <c r="W5454" s="25"/>
      <c r="X5454" s="25"/>
      <c r="Y5454" s="25"/>
      <c r="Z5454" s="25"/>
    </row>
    <row r="5455" spans="1:26" ht="15.75" customHeight="1" x14ac:dyDescent="0.25">
      <c r="A5455" s="25"/>
      <c r="B5455" s="49"/>
      <c r="C5455" s="50"/>
      <c r="D5455" s="23"/>
      <c r="E5455" s="23"/>
      <c r="F5455" s="15"/>
      <c r="G5455" s="23"/>
      <c r="H5455" s="15"/>
      <c r="I5455" s="15"/>
      <c r="J5455" s="51"/>
      <c r="K5455" s="15"/>
      <c r="L5455" s="51"/>
      <c r="M5455" s="15"/>
      <c r="N5455" s="23"/>
      <c r="O5455" s="23"/>
      <c r="P5455" s="15" t="str">
        <f t="shared" si="6"/>
        <v/>
      </c>
      <c r="Q5455" s="24"/>
      <c r="R5455" s="25"/>
      <c r="S5455" s="25"/>
      <c r="T5455" s="26"/>
      <c r="U5455" s="26"/>
      <c r="V5455" s="25"/>
      <c r="W5455" s="25"/>
      <c r="X5455" s="25"/>
      <c r="Y5455" s="25"/>
      <c r="Z5455" s="25"/>
    </row>
    <row r="5456" spans="1:26" ht="15.75" customHeight="1" x14ac:dyDescent="0.25">
      <c r="A5456" s="25"/>
      <c r="B5456" s="49"/>
      <c r="C5456" s="50"/>
      <c r="D5456" s="23"/>
      <c r="E5456" s="23"/>
      <c r="F5456" s="15"/>
      <c r="G5456" s="23"/>
      <c r="H5456" s="15"/>
      <c r="I5456" s="15"/>
      <c r="J5456" s="51"/>
      <c r="K5456" s="15"/>
      <c r="L5456" s="51"/>
      <c r="M5456" s="15"/>
      <c r="N5456" s="23"/>
      <c r="O5456" s="23"/>
      <c r="P5456" s="15" t="str">
        <f t="shared" si="6"/>
        <v/>
      </c>
      <c r="Q5456" s="24"/>
      <c r="R5456" s="25"/>
      <c r="S5456" s="25"/>
      <c r="T5456" s="26"/>
      <c r="U5456" s="26"/>
      <c r="V5456" s="25"/>
      <c r="W5456" s="25"/>
      <c r="X5456" s="25"/>
      <c r="Y5456" s="25"/>
      <c r="Z5456" s="25"/>
    </row>
    <row r="5457" spans="1:26" ht="15.75" customHeight="1" x14ac:dyDescent="0.25">
      <c r="A5457" s="25"/>
      <c r="B5457" s="49"/>
      <c r="C5457" s="50"/>
      <c r="D5457" s="23"/>
      <c r="E5457" s="23"/>
      <c r="F5457" s="15"/>
      <c r="G5457" s="23"/>
      <c r="H5457" s="15"/>
      <c r="I5457" s="15"/>
      <c r="J5457" s="51"/>
      <c r="K5457" s="15"/>
      <c r="L5457" s="51"/>
      <c r="M5457" s="15"/>
      <c r="N5457" s="23"/>
      <c r="O5457" s="23"/>
      <c r="P5457" s="15" t="str">
        <f t="shared" si="6"/>
        <v/>
      </c>
      <c r="Q5457" s="24"/>
      <c r="R5457" s="25"/>
      <c r="S5457" s="25"/>
      <c r="T5457" s="26"/>
      <c r="U5457" s="26"/>
      <c r="V5457" s="25"/>
      <c r="W5457" s="25"/>
      <c r="X5457" s="25"/>
      <c r="Y5457" s="25"/>
      <c r="Z5457" s="25"/>
    </row>
    <row r="5458" spans="1:26" ht="15.75" customHeight="1" x14ac:dyDescent="0.25">
      <c r="A5458" s="25"/>
      <c r="B5458" s="49"/>
      <c r="C5458" s="50"/>
      <c r="D5458" s="23"/>
      <c r="E5458" s="23"/>
      <c r="F5458" s="15"/>
      <c r="G5458" s="23"/>
      <c r="H5458" s="15"/>
      <c r="I5458" s="15"/>
      <c r="J5458" s="51"/>
      <c r="K5458" s="15"/>
      <c r="L5458" s="51"/>
      <c r="M5458" s="15"/>
      <c r="N5458" s="23"/>
      <c r="O5458" s="23"/>
      <c r="P5458" s="15" t="str">
        <f t="shared" si="6"/>
        <v/>
      </c>
      <c r="Q5458" s="24"/>
      <c r="R5458" s="25"/>
      <c r="S5458" s="25"/>
      <c r="T5458" s="26"/>
      <c r="U5458" s="26"/>
      <c r="V5458" s="25"/>
      <c r="W5458" s="25"/>
      <c r="X5458" s="25"/>
      <c r="Y5458" s="25"/>
      <c r="Z5458" s="25"/>
    </row>
    <row r="5459" spans="1:26" ht="15.75" customHeight="1" x14ac:dyDescent="0.25">
      <c r="A5459" s="25"/>
      <c r="B5459" s="49"/>
      <c r="C5459" s="50"/>
      <c r="D5459" s="23"/>
      <c r="E5459" s="23"/>
      <c r="F5459" s="15"/>
      <c r="G5459" s="23"/>
      <c r="H5459" s="15"/>
      <c r="I5459" s="15"/>
      <c r="J5459" s="51"/>
      <c r="K5459" s="15"/>
      <c r="L5459" s="51"/>
      <c r="M5459" s="15"/>
      <c r="N5459" s="23"/>
      <c r="O5459" s="23"/>
      <c r="P5459" s="15" t="str">
        <f t="shared" si="6"/>
        <v/>
      </c>
      <c r="Q5459" s="24"/>
      <c r="R5459" s="25"/>
      <c r="S5459" s="25"/>
      <c r="T5459" s="26"/>
      <c r="U5459" s="26"/>
      <c r="V5459" s="25"/>
      <c r="W5459" s="25"/>
      <c r="X5459" s="25"/>
      <c r="Y5459" s="25"/>
      <c r="Z5459" s="25"/>
    </row>
    <row r="5460" spans="1:26" ht="15.75" customHeight="1" x14ac:dyDescent="0.25">
      <c r="A5460" s="25"/>
      <c r="B5460" s="49"/>
      <c r="C5460" s="50"/>
      <c r="D5460" s="23"/>
      <c r="E5460" s="23"/>
      <c r="F5460" s="15"/>
      <c r="G5460" s="23"/>
      <c r="H5460" s="15"/>
      <c r="I5460" s="15"/>
      <c r="J5460" s="51"/>
      <c r="K5460" s="15"/>
      <c r="L5460" s="51"/>
      <c r="M5460" s="15"/>
      <c r="N5460" s="23"/>
      <c r="O5460" s="23"/>
      <c r="P5460" s="15" t="str">
        <f t="shared" si="6"/>
        <v/>
      </c>
      <c r="Q5460" s="24"/>
      <c r="R5460" s="25"/>
      <c r="S5460" s="25"/>
      <c r="T5460" s="26"/>
      <c r="U5460" s="26"/>
      <c r="V5460" s="25"/>
      <c r="W5460" s="25"/>
      <c r="X5460" s="25"/>
      <c r="Y5460" s="25"/>
      <c r="Z5460" s="25"/>
    </row>
    <row r="5461" spans="1:26" ht="15.75" customHeight="1" x14ac:dyDescent="0.25">
      <c r="A5461" s="25"/>
      <c r="B5461" s="49"/>
      <c r="C5461" s="50"/>
      <c r="D5461" s="23"/>
      <c r="E5461" s="23"/>
      <c r="F5461" s="15"/>
      <c r="G5461" s="23"/>
      <c r="H5461" s="15"/>
      <c r="I5461" s="15"/>
      <c r="J5461" s="51"/>
      <c r="K5461" s="15"/>
      <c r="L5461" s="51"/>
      <c r="M5461" s="15"/>
      <c r="N5461" s="23"/>
      <c r="O5461" s="23"/>
      <c r="P5461" s="15" t="str">
        <f t="shared" si="6"/>
        <v/>
      </c>
      <c r="Q5461" s="24"/>
      <c r="R5461" s="25"/>
      <c r="S5461" s="25"/>
      <c r="T5461" s="26"/>
      <c r="U5461" s="26"/>
      <c r="V5461" s="25"/>
      <c r="W5461" s="25"/>
      <c r="X5461" s="25"/>
      <c r="Y5461" s="25"/>
      <c r="Z5461" s="25"/>
    </row>
    <row r="5462" spans="1:26" ht="15.75" customHeight="1" x14ac:dyDescent="0.25">
      <c r="A5462" s="25"/>
      <c r="B5462" s="49"/>
      <c r="C5462" s="50"/>
      <c r="D5462" s="23"/>
      <c r="E5462" s="23"/>
      <c r="F5462" s="15"/>
      <c r="G5462" s="23"/>
      <c r="H5462" s="15"/>
      <c r="I5462" s="15"/>
      <c r="J5462" s="51"/>
      <c r="K5462" s="15"/>
      <c r="L5462" s="51"/>
      <c r="M5462" s="15"/>
      <c r="N5462" s="23"/>
      <c r="O5462" s="23"/>
      <c r="P5462" s="15" t="str">
        <f t="shared" si="6"/>
        <v/>
      </c>
      <c r="Q5462" s="24"/>
      <c r="R5462" s="25"/>
      <c r="S5462" s="25"/>
      <c r="T5462" s="26"/>
      <c r="U5462" s="26"/>
      <c r="V5462" s="25"/>
      <c r="W5462" s="25"/>
      <c r="X5462" s="25"/>
      <c r="Y5462" s="25"/>
      <c r="Z5462" s="25"/>
    </row>
    <row r="5463" spans="1:26" ht="15.75" customHeight="1" x14ac:dyDescent="0.25">
      <c r="A5463" s="25"/>
      <c r="B5463" s="49"/>
      <c r="C5463" s="50"/>
      <c r="D5463" s="23"/>
      <c r="E5463" s="23"/>
      <c r="F5463" s="15"/>
      <c r="G5463" s="23"/>
      <c r="H5463" s="15"/>
      <c r="I5463" s="15"/>
      <c r="J5463" s="51"/>
      <c r="K5463" s="15"/>
      <c r="L5463" s="51"/>
      <c r="M5463" s="15"/>
      <c r="N5463" s="23"/>
      <c r="O5463" s="23"/>
      <c r="P5463" s="15" t="str">
        <f t="shared" si="6"/>
        <v/>
      </c>
      <c r="Q5463" s="24"/>
      <c r="R5463" s="25"/>
      <c r="S5463" s="25"/>
      <c r="T5463" s="26"/>
      <c r="U5463" s="26"/>
      <c r="V5463" s="25"/>
      <c r="W5463" s="25"/>
      <c r="X5463" s="25"/>
      <c r="Y5463" s="25"/>
      <c r="Z5463" s="25"/>
    </row>
    <row r="5464" spans="1:26" ht="15.75" customHeight="1" x14ac:dyDescent="0.25">
      <c r="A5464" s="25"/>
      <c r="B5464" s="49"/>
      <c r="C5464" s="50"/>
      <c r="D5464" s="23"/>
      <c r="E5464" s="23"/>
      <c r="F5464" s="15"/>
      <c r="G5464" s="23"/>
      <c r="H5464" s="15"/>
      <c r="I5464" s="15"/>
      <c r="J5464" s="51"/>
      <c r="K5464" s="15"/>
      <c r="L5464" s="51"/>
      <c r="M5464" s="15"/>
      <c r="N5464" s="23"/>
      <c r="O5464" s="23"/>
      <c r="P5464" s="15" t="str">
        <f t="shared" si="6"/>
        <v/>
      </c>
      <c r="Q5464" s="24"/>
      <c r="R5464" s="25"/>
      <c r="S5464" s="25"/>
      <c r="T5464" s="26"/>
      <c r="U5464" s="26"/>
      <c r="V5464" s="25"/>
      <c r="W5464" s="25"/>
      <c r="X5464" s="25"/>
      <c r="Y5464" s="25"/>
      <c r="Z5464" s="25"/>
    </row>
    <row r="5465" spans="1:26" ht="15.75" customHeight="1" x14ac:dyDescent="0.25">
      <c r="A5465" s="25"/>
      <c r="B5465" s="49"/>
      <c r="C5465" s="50"/>
      <c r="D5465" s="23"/>
      <c r="E5465" s="23"/>
      <c r="F5465" s="15"/>
      <c r="G5465" s="23"/>
      <c r="H5465" s="15"/>
      <c r="I5465" s="15"/>
      <c r="J5465" s="51"/>
      <c r="K5465" s="15"/>
      <c r="L5465" s="51"/>
      <c r="M5465" s="15"/>
      <c r="N5465" s="23"/>
      <c r="O5465" s="23"/>
      <c r="P5465" s="15" t="str">
        <f t="shared" si="6"/>
        <v/>
      </c>
      <c r="Q5465" s="24"/>
      <c r="R5465" s="25"/>
      <c r="S5465" s="25"/>
      <c r="T5465" s="26"/>
      <c r="U5465" s="26"/>
      <c r="V5465" s="25"/>
      <c r="W5465" s="25"/>
      <c r="X5465" s="25"/>
      <c r="Y5465" s="25"/>
      <c r="Z5465" s="25"/>
    </row>
    <row r="5466" spans="1:26" ht="15.75" customHeight="1" x14ac:dyDescent="0.25">
      <c r="A5466" s="25"/>
      <c r="B5466" s="49"/>
      <c r="C5466" s="50"/>
      <c r="D5466" s="23"/>
      <c r="E5466" s="23"/>
      <c r="F5466" s="15"/>
      <c r="G5466" s="23"/>
      <c r="H5466" s="15"/>
      <c r="I5466" s="15"/>
      <c r="J5466" s="51"/>
      <c r="K5466" s="15"/>
      <c r="L5466" s="51"/>
      <c r="M5466" s="15"/>
      <c r="N5466" s="23"/>
      <c r="O5466" s="23"/>
      <c r="P5466" s="15" t="str">
        <f t="shared" si="6"/>
        <v/>
      </c>
      <c r="Q5466" s="24"/>
      <c r="R5466" s="25"/>
      <c r="S5466" s="25"/>
      <c r="T5466" s="26"/>
      <c r="U5466" s="26"/>
      <c r="V5466" s="25"/>
      <c r="W5466" s="25"/>
      <c r="X5466" s="25"/>
      <c r="Y5466" s="25"/>
      <c r="Z5466" s="25"/>
    </row>
    <row r="5467" spans="1:26" ht="15.75" customHeight="1" x14ac:dyDescent="0.25">
      <c r="A5467" s="25"/>
      <c r="B5467" s="49"/>
      <c r="C5467" s="50"/>
      <c r="D5467" s="23"/>
      <c r="E5467" s="23"/>
      <c r="F5467" s="15"/>
      <c r="G5467" s="23"/>
      <c r="H5467" s="15"/>
      <c r="I5467" s="15"/>
      <c r="J5467" s="51"/>
      <c r="K5467" s="15"/>
      <c r="L5467" s="51"/>
      <c r="M5467" s="15"/>
      <c r="N5467" s="23"/>
      <c r="O5467" s="23"/>
      <c r="P5467" s="15" t="str">
        <f t="shared" si="6"/>
        <v/>
      </c>
      <c r="Q5467" s="24"/>
      <c r="R5467" s="25"/>
      <c r="S5467" s="25"/>
      <c r="T5467" s="26"/>
      <c r="U5467" s="26"/>
      <c r="V5467" s="25"/>
      <c r="W5467" s="25"/>
      <c r="X5467" s="25"/>
      <c r="Y5467" s="25"/>
      <c r="Z5467" s="25"/>
    </row>
    <row r="5468" spans="1:26" ht="15.75" customHeight="1" x14ac:dyDescent="0.25">
      <c r="A5468" s="25"/>
      <c r="B5468" s="49"/>
      <c r="C5468" s="50"/>
      <c r="D5468" s="23"/>
      <c r="E5468" s="23"/>
      <c r="F5468" s="15"/>
      <c r="G5468" s="23"/>
      <c r="H5468" s="15"/>
      <c r="I5468" s="15"/>
      <c r="J5468" s="51"/>
      <c r="K5468" s="15"/>
      <c r="L5468" s="51"/>
      <c r="M5468" s="15"/>
      <c r="N5468" s="23"/>
      <c r="O5468" s="23"/>
      <c r="P5468" s="15" t="str">
        <f t="shared" si="6"/>
        <v/>
      </c>
      <c r="Q5468" s="24"/>
      <c r="R5468" s="25"/>
      <c r="S5468" s="25"/>
      <c r="T5468" s="26"/>
      <c r="U5468" s="26"/>
      <c r="V5468" s="25"/>
      <c r="W5468" s="25"/>
      <c r="X5468" s="25"/>
      <c r="Y5468" s="25"/>
      <c r="Z5468" s="25"/>
    </row>
    <row r="5469" spans="1:26" ht="15.75" customHeight="1" x14ac:dyDescent="0.25">
      <c r="A5469" s="25"/>
      <c r="B5469" s="49"/>
      <c r="C5469" s="50"/>
      <c r="D5469" s="23"/>
      <c r="E5469" s="23"/>
      <c r="F5469" s="15"/>
      <c r="G5469" s="23"/>
      <c r="H5469" s="15"/>
      <c r="I5469" s="15"/>
      <c r="J5469" s="51"/>
      <c r="K5469" s="15"/>
      <c r="L5469" s="51"/>
      <c r="M5469" s="15"/>
      <c r="N5469" s="23"/>
      <c r="O5469" s="23"/>
      <c r="P5469" s="15" t="str">
        <f t="shared" si="6"/>
        <v/>
      </c>
      <c r="Q5469" s="24"/>
      <c r="R5469" s="25"/>
      <c r="S5469" s="25"/>
      <c r="T5469" s="26"/>
      <c r="U5469" s="26"/>
      <c r="V5469" s="25"/>
      <c r="W5469" s="25"/>
      <c r="X5469" s="25"/>
      <c r="Y5469" s="25"/>
      <c r="Z5469" s="25"/>
    </row>
    <row r="5470" spans="1:26" ht="15.75" customHeight="1" x14ac:dyDescent="0.25">
      <c r="A5470" s="25"/>
      <c r="B5470" s="49"/>
      <c r="C5470" s="50"/>
      <c r="D5470" s="23"/>
      <c r="E5470" s="23"/>
      <c r="F5470" s="15"/>
      <c r="G5470" s="23"/>
      <c r="H5470" s="15"/>
      <c r="I5470" s="15"/>
      <c r="J5470" s="51"/>
      <c r="K5470" s="15"/>
      <c r="L5470" s="51"/>
      <c r="M5470" s="15"/>
      <c r="N5470" s="23"/>
      <c r="O5470" s="23"/>
      <c r="P5470" s="15" t="str">
        <f t="shared" si="6"/>
        <v/>
      </c>
      <c r="Q5470" s="24"/>
      <c r="R5470" s="25"/>
      <c r="S5470" s="25"/>
      <c r="T5470" s="26"/>
      <c r="U5470" s="26"/>
      <c r="V5470" s="25"/>
      <c r="W5470" s="25"/>
      <c r="X5470" s="25"/>
      <c r="Y5470" s="25"/>
      <c r="Z5470" s="25"/>
    </row>
    <row r="5471" spans="1:26" ht="15.75" customHeight="1" x14ac:dyDescent="0.25">
      <c r="A5471" s="25"/>
      <c r="B5471" s="49"/>
      <c r="C5471" s="50"/>
      <c r="D5471" s="23"/>
      <c r="E5471" s="23"/>
      <c r="F5471" s="15"/>
      <c r="G5471" s="23"/>
      <c r="H5471" s="15"/>
      <c r="I5471" s="15"/>
      <c r="J5471" s="51"/>
      <c r="K5471" s="15"/>
      <c r="L5471" s="51"/>
      <c r="M5471" s="15"/>
      <c r="N5471" s="23"/>
      <c r="O5471" s="23"/>
      <c r="P5471" s="15" t="str">
        <f t="shared" si="6"/>
        <v/>
      </c>
      <c r="Q5471" s="24"/>
      <c r="R5471" s="25"/>
      <c r="S5471" s="25"/>
      <c r="T5471" s="26"/>
      <c r="U5471" s="26"/>
      <c r="V5471" s="25"/>
      <c r="W5471" s="25"/>
      <c r="X5471" s="25"/>
      <c r="Y5471" s="25"/>
      <c r="Z5471" s="25"/>
    </row>
    <row r="5472" spans="1:26" ht="15.75" customHeight="1" x14ac:dyDescent="0.25">
      <c r="A5472" s="25"/>
      <c r="B5472" s="49"/>
      <c r="C5472" s="50"/>
      <c r="D5472" s="23"/>
      <c r="E5472" s="23"/>
      <c r="F5472" s="15"/>
      <c r="G5472" s="23"/>
      <c r="H5472" s="15"/>
      <c r="I5472" s="15"/>
      <c r="J5472" s="51"/>
      <c r="K5472" s="15"/>
      <c r="L5472" s="51"/>
      <c r="M5472" s="15"/>
      <c r="N5472" s="23"/>
      <c r="O5472" s="23"/>
      <c r="P5472" s="15" t="str">
        <f t="shared" si="6"/>
        <v/>
      </c>
      <c r="Q5472" s="24"/>
      <c r="R5472" s="25"/>
      <c r="S5472" s="25"/>
      <c r="T5472" s="26"/>
      <c r="U5472" s="26"/>
      <c r="V5472" s="25"/>
      <c r="W5472" s="25"/>
      <c r="X5472" s="25"/>
      <c r="Y5472" s="25"/>
      <c r="Z5472" s="25"/>
    </row>
    <row r="5473" spans="1:26" ht="15.75" customHeight="1" x14ac:dyDescent="0.25">
      <c r="A5473" s="25"/>
      <c r="B5473" s="49"/>
      <c r="C5473" s="50"/>
      <c r="D5473" s="23"/>
      <c r="E5473" s="23"/>
      <c r="F5473" s="15"/>
      <c r="G5473" s="23"/>
      <c r="H5473" s="15"/>
      <c r="I5473" s="15"/>
      <c r="J5473" s="51"/>
      <c r="K5473" s="15"/>
      <c r="L5473" s="51"/>
      <c r="M5473" s="15"/>
      <c r="N5473" s="23"/>
      <c r="O5473" s="23"/>
      <c r="P5473" s="15" t="str">
        <f t="shared" si="6"/>
        <v/>
      </c>
      <c r="Q5473" s="24"/>
      <c r="R5473" s="25"/>
      <c r="S5473" s="25"/>
      <c r="T5473" s="26"/>
      <c r="U5473" s="26"/>
      <c r="V5473" s="25"/>
      <c r="W5473" s="25"/>
      <c r="X5473" s="25"/>
      <c r="Y5473" s="25"/>
      <c r="Z5473" s="25"/>
    </row>
    <row r="5474" spans="1:26" ht="15.75" customHeight="1" x14ac:dyDescent="0.25">
      <c r="A5474" s="25"/>
      <c r="B5474" s="49"/>
      <c r="C5474" s="50"/>
      <c r="D5474" s="23"/>
      <c r="E5474" s="23"/>
      <c r="F5474" s="15"/>
      <c r="G5474" s="23"/>
      <c r="H5474" s="15"/>
      <c r="I5474" s="15"/>
      <c r="J5474" s="51"/>
      <c r="K5474" s="15"/>
      <c r="L5474" s="51"/>
      <c r="M5474" s="15"/>
      <c r="N5474" s="23"/>
      <c r="O5474" s="23"/>
      <c r="P5474" s="15" t="str">
        <f t="shared" si="6"/>
        <v/>
      </c>
      <c r="Q5474" s="24"/>
      <c r="R5474" s="25"/>
      <c r="S5474" s="25"/>
      <c r="T5474" s="26"/>
      <c r="U5474" s="26"/>
      <c r="V5474" s="25"/>
      <c r="W5474" s="25"/>
      <c r="X5474" s="25"/>
      <c r="Y5474" s="25"/>
      <c r="Z5474" s="25"/>
    </row>
    <row r="5475" spans="1:26" ht="15.75" customHeight="1" x14ac:dyDescent="0.25">
      <c r="A5475" s="25"/>
      <c r="B5475" s="49"/>
      <c r="C5475" s="50"/>
      <c r="D5475" s="23"/>
      <c r="E5475" s="23"/>
      <c r="F5475" s="15"/>
      <c r="G5475" s="23"/>
      <c r="H5475" s="15"/>
      <c r="I5475" s="15"/>
      <c r="J5475" s="51"/>
      <c r="K5475" s="15"/>
      <c r="L5475" s="51"/>
      <c r="M5475" s="15"/>
      <c r="N5475" s="23"/>
      <c r="O5475" s="23"/>
      <c r="P5475" s="15" t="str">
        <f t="shared" si="6"/>
        <v/>
      </c>
      <c r="Q5475" s="24"/>
      <c r="R5475" s="25"/>
      <c r="S5475" s="25"/>
      <c r="T5475" s="26"/>
      <c r="U5475" s="26"/>
      <c r="V5475" s="25"/>
      <c r="W5475" s="25"/>
      <c r="X5475" s="25"/>
      <c r="Y5475" s="25"/>
      <c r="Z5475" s="25"/>
    </row>
    <row r="5476" spans="1:26" ht="15.75" customHeight="1" x14ac:dyDescent="0.25">
      <c r="A5476" s="25"/>
      <c r="B5476" s="49"/>
      <c r="C5476" s="50"/>
      <c r="D5476" s="23"/>
      <c r="E5476" s="23"/>
      <c r="F5476" s="15"/>
      <c r="G5476" s="23"/>
      <c r="H5476" s="15"/>
      <c r="I5476" s="15"/>
      <c r="J5476" s="51"/>
      <c r="K5476" s="15"/>
      <c r="L5476" s="51"/>
      <c r="M5476" s="15"/>
      <c r="N5476" s="23"/>
      <c r="O5476" s="23"/>
      <c r="P5476" s="15" t="str">
        <f t="shared" si="6"/>
        <v/>
      </c>
      <c r="Q5476" s="24"/>
      <c r="R5476" s="25"/>
      <c r="S5476" s="25"/>
      <c r="T5476" s="26"/>
      <c r="U5476" s="26"/>
      <c r="V5476" s="25"/>
      <c r="W5476" s="25"/>
      <c r="X5476" s="25"/>
      <c r="Y5476" s="25"/>
      <c r="Z5476" s="25"/>
    </row>
    <row r="5477" spans="1:26" ht="15.75" customHeight="1" x14ac:dyDescent="0.25">
      <c r="A5477" s="25"/>
      <c r="B5477" s="49"/>
      <c r="C5477" s="50"/>
      <c r="D5477" s="23"/>
      <c r="E5477" s="23"/>
      <c r="F5477" s="15"/>
      <c r="G5477" s="23"/>
      <c r="H5477" s="15"/>
      <c r="I5477" s="15"/>
      <c r="J5477" s="51"/>
      <c r="K5477" s="15"/>
      <c r="L5477" s="51"/>
      <c r="M5477" s="15"/>
      <c r="N5477" s="23"/>
      <c r="O5477" s="23"/>
      <c r="P5477" s="15" t="str">
        <f t="shared" si="6"/>
        <v/>
      </c>
      <c r="Q5477" s="24"/>
      <c r="R5477" s="25"/>
      <c r="S5477" s="25"/>
      <c r="T5477" s="26"/>
      <c r="U5477" s="26"/>
      <c r="V5477" s="25"/>
      <c r="W5477" s="25"/>
      <c r="X5477" s="25"/>
      <c r="Y5477" s="25"/>
      <c r="Z5477" s="25"/>
    </row>
    <row r="5478" spans="1:26" ht="15.75" customHeight="1" x14ac:dyDescent="0.25">
      <c r="A5478" s="25"/>
      <c r="B5478" s="49"/>
      <c r="C5478" s="50"/>
      <c r="D5478" s="23"/>
      <c r="E5478" s="23"/>
      <c r="F5478" s="15"/>
      <c r="G5478" s="23"/>
      <c r="H5478" s="15"/>
      <c r="I5478" s="15"/>
      <c r="J5478" s="51"/>
      <c r="K5478" s="15"/>
      <c r="L5478" s="51"/>
      <c r="M5478" s="15"/>
      <c r="N5478" s="23"/>
      <c r="O5478" s="23"/>
      <c r="P5478" s="15" t="str">
        <f t="shared" si="6"/>
        <v/>
      </c>
      <c r="Q5478" s="24"/>
      <c r="R5478" s="25"/>
      <c r="S5478" s="25"/>
      <c r="T5478" s="26"/>
      <c r="U5478" s="26"/>
      <c r="V5478" s="25"/>
      <c r="W5478" s="25"/>
      <c r="X5478" s="25"/>
      <c r="Y5478" s="25"/>
      <c r="Z5478" s="25"/>
    </row>
    <row r="5479" spans="1:26" ht="15.75" customHeight="1" x14ac:dyDescent="0.25">
      <c r="A5479" s="25"/>
      <c r="B5479" s="49"/>
      <c r="C5479" s="50"/>
      <c r="D5479" s="23"/>
      <c r="E5479" s="23"/>
      <c r="F5479" s="15"/>
      <c r="G5479" s="23"/>
      <c r="H5479" s="15"/>
      <c r="I5479" s="15"/>
      <c r="J5479" s="51"/>
      <c r="K5479" s="15"/>
      <c r="L5479" s="51"/>
      <c r="M5479" s="15"/>
      <c r="N5479" s="23"/>
      <c r="O5479" s="23"/>
      <c r="P5479" s="15" t="str">
        <f t="shared" si="6"/>
        <v/>
      </c>
      <c r="Q5479" s="24"/>
      <c r="R5479" s="25"/>
      <c r="S5479" s="25"/>
      <c r="T5479" s="26"/>
      <c r="U5479" s="26"/>
      <c r="V5479" s="25"/>
      <c r="W5479" s="25"/>
      <c r="X5479" s="25"/>
      <c r="Y5479" s="25"/>
      <c r="Z5479" s="25"/>
    </row>
    <row r="5480" spans="1:26" ht="15.75" customHeight="1" x14ac:dyDescent="0.25">
      <c r="A5480" s="25"/>
      <c r="B5480" s="49"/>
      <c r="C5480" s="50"/>
      <c r="D5480" s="23"/>
      <c r="E5480" s="23"/>
      <c r="F5480" s="15"/>
      <c r="G5480" s="23"/>
      <c r="H5480" s="15"/>
      <c r="I5480" s="15"/>
      <c r="J5480" s="51"/>
      <c r="K5480" s="15"/>
      <c r="L5480" s="51"/>
      <c r="M5480" s="15"/>
      <c r="N5480" s="23"/>
      <c r="O5480" s="23"/>
      <c r="P5480" s="15" t="str">
        <f t="shared" si="6"/>
        <v/>
      </c>
      <c r="Q5480" s="24"/>
      <c r="R5480" s="25"/>
      <c r="S5480" s="25"/>
      <c r="T5480" s="26"/>
      <c r="U5480" s="26"/>
      <c r="V5480" s="25"/>
      <c r="W5480" s="25"/>
      <c r="X5480" s="25"/>
      <c r="Y5480" s="25"/>
      <c r="Z5480" s="25"/>
    </row>
    <row r="5481" spans="1:26" ht="15.75" customHeight="1" x14ac:dyDescent="0.25">
      <c r="A5481" s="25"/>
      <c r="B5481" s="49"/>
      <c r="C5481" s="50"/>
      <c r="D5481" s="23"/>
      <c r="E5481" s="23"/>
      <c r="F5481" s="15"/>
      <c r="G5481" s="23"/>
      <c r="H5481" s="15"/>
      <c r="I5481" s="15"/>
      <c r="J5481" s="51"/>
      <c r="K5481" s="15"/>
      <c r="L5481" s="51"/>
      <c r="M5481" s="15"/>
      <c r="N5481" s="23"/>
      <c r="O5481" s="23"/>
      <c r="P5481" s="15" t="str">
        <f t="shared" si="6"/>
        <v/>
      </c>
      <c r="Q5481" s="24"/>
      <c r="R5481" s="25"/>
      <c r="S5481" s="25"/>
      <c r="T5481" s="26"/>
      <c r="U5481" s="26"/>
      <c r="V5481" s="25"/>
      <c r="W5481" s="25"/>
      <c r="X5481" s="25"/>
      <c r="Y5481" s="25"/>
      <c r="Z5481" s="25"/>
    </row>
    <row r="5482" spans="1:26" ht="15.75" customHeight="1" x14ac:dyDescent="0.25">
      <c r="A5482" s="25"/>
      <c r="B5482" s="49"/>
      <c r="C5482" s="50"/>
      <c r="D5482" s="23"/>
      <c r="E5482" s="23"/>
      <c r="F5482" s="15"/>
      <c r="G5482" s="23"/>
      <c r="H5482" s="15"/>
      <c r="I5482" s="15"/>
      <c r="J5482" s="51"/>
      <c r="K5482" s="15"/>
      <c r="L5482" s="51"/>
      <c r="M5482" s="15"/>
      <c r="N5482" s="23"/>
      <c r="O5482" s="23"/>
      <c r="P5482" s="15" t="str">
        <f t="shared" si="6"/>
        <v/>
      </c>
      <c r="Q5482" s="24"/>
      <c r="R5482" s="25"/>
      <c r="S5482" s="25"/>
      <c r="T5482" s="26"/>
      <c r="U5482" s="26"/>
      <c r="V5482" s="25"/>
      <c r="W5482" s="25"/>
      <c r="X5482" s="25"/>
      <c r="Y5482" s="25"/>
      <c r="Z5482" s="25"/>
    </row>
    <row r="5483" spans="1:26" ht="15.75" customHeight="1" x14ac:dyDescent="0.25">
      <c r="A5483" s="25"/>
      <c r="B5483" s="49"/>
      <c r="C5483" s="50"/>
      <c r="D5483" s="23"/>
      <c r="E5483" s="23"/>
      <c r="F5483" s="15"/>
      <c r="G5483" s="23"/>
      <c r="H5483" s="15"/>
      <c r="I5483" s="15"/>
      <c r="J5483" s="51"/>
      <c r="K5483" s="15"/>
      <c r="L5483" s="51"/>
      <c r="M5483" s="15"/>
      <c r="N5483" s="23"/>
      <c r="O5483" s="23"/>
      <c r="P5483" s="15" t="str">
        <f t="shared" si="6"/>
        <v/>
      </c>
      <c r="Q5483" s="24"/>
      <c r="R5483" s="25"/>
      <c r="S5483" s="25"/>
      <c r="T5483" s="26"/>
      <c r="U5483" s="26"/>
      <c r="V5483" s="25"/>
      <c r="W5483" s="25"/>
      <c r="X5483" s="25"/>
      <c r="Y5483" s="25"/>
      <c r="Z5483" s="25"/>
    </row>
    <row r="5484" spans="1:26" ht="15.75" customHeight="1" x14ac:dyDescent="0.25">
      <c r="A5484" s="25"/>
      <c r="B5484" s="49"/>
      <c r="C5484" s="50"/>
      <c r="D5484" s="23"/>
      <c r="E5484" s="23"/>
      <c r="F5484" s="15"/>
      <c r="G5484" s="23"/>
      <c r="H5484" s="15"/>
      <c r="I5484" s="15"/>
      <c r="J5484" s="51"/>
      <c r="K5484" s="15"/>
      <c r="L5484" s="51"/>
      <c r="M5484" s="15"/>
      <c r="N5484" s="23"/>
      <c r="O5484" s="23"/>
      <c r="P5484" s="15" t="str">
        <f t="shared" si="6"/>
        <v/>
      </c>
      <c r="Q5484" s="24"/>
      <c r="R5484" s="25"/>
      <c r="S5484" s="25"/>
      <c r="T5484" s="26"/>
      <c r="U5484" s="26"/>
      <c r="V5484" s="25"/>
      <c r="W5484" s="25"/>
      <c r="X5484" s="25"/>
      <c r="Y5484" s="25"/>
      <c r="Z5484" s="25"/>
    </row>
    <row r="5485" spans="1:26" ht="15.75" customHeight="1" x14ac:dyDescent="0.25">
      <c r="A5485" s="25"/>
      <c r="B5485" s="49"/>
      <c r="C5485" s="50"/>
      <c r="D5485" s="23"/>
      <c r="E5485" s="23"/>
      <c r="F5485" s="15"/>
      <c r="G5485" s="23"/>
      <c r="H5485" s="15"/>
      <c r="I5485" s="15"/>
      <c r="J5485" s="51"/>
      <c r="K5485" s="15"/>
      <c r="L5485" s="51"/>
      <c r="M5485" s="15"/>
      <c r="N5485" s="23"/>
      <c r="O5485" s="23"/>
      <c r="P5485" s="15" t="str">
        <f t="shared" si="6"/>
        <v/>
      </c>
      <c r="Q5485" s="24"/>
      <c r="R5485" s="25"/>
      <c r="S5485" s="25"/>
      <c r="T5485" s="26"/>
      <c r="U5485" s="26"/>
      <c r="V5485" s="25"/>
      <c r="W5485" s="25"/>
      <c r="X5485" s="25"/>
      <c r="Y5485" s="25"/>
      <c r="Z5485" s="25"/>
    </row>
    <row r="5486" spans="1:26" ht="15.75" customHeight="1" x14ac:dyDescent="0.25">
      <c r="A5486" s="25"/>
      <c r="B5486" s="49"/>
      <c r="C5486" s="50"/>
      <c r="D5486" s="23"/>
      <c r="E5486" s="23"/>
      <c r="F5486" s="15"/>
      <c r="G5486" s="23"/>
      <c r="H5486" s="15"/>
      <c r="I5486" s="15"/>
      <c r="J5486" s="51"/>
      <c r="K5486" s="15"/>
      <c r="L5486" s="51"/>
      <c r="M5486" s="15"/>
      <c r="N5486" s="23"/>
      <c r="O5486" s="23"/>
      <c r="P5486" s="15" t="str">
        <f t="shared" si="6"/>
        <v/>
      </c>
      <c r="Q5486" s="24"/>
      <c r="R5486" s="25"/>
      <c r="S5486" s="25"/>
      <c r="T5486" s="26"/>
      <c r="U5486" s="26"/>
      <c r="V5486" s="25"/>
      <c r="W5486" s="25"/>
      <c r="X5486" s="25"/>
      <c r="Y5486" s="25"/>
      <c r="Z5486" s="25"/>
    </row>
    <row r="5487" spans="1:26" ht="15.75" customHeight="1" x14ac:dyDescent="0.25">
      <c r="A5487" s="25"/>
      <c r="B5487" s="49"/>
      <c r="C5487" s="50"/>
      <c r="D5487" s="23"/>
      <c r="E5487" s="23"/>
      <c r="F5487" s="15"/>
      <c r="G5487" s="23"/>
      <c r="H5487" s="15"/>
      <c r="I5487" s="15"/>
      <c r="J5487" s="51"/>
      <c r="K5487" s="15"/>
      <c r="L5487" s="51"/>
      <c r="M5487" s="15"/>
      <c r="N5487" s="23"/>
      <c r="O5487" s="23"/>
      <c r="P5487" s="15" t="str">
        <f t="shared" si="6"/>
        <v/>
      </c>
      <c r="Q5487" s="24"/>
      <c r="R5487" s="25"/>
      <c r="S5487" s="25"/>
      <c r="T5487" s="26"/>
      <c r="U5487" s="26"/>
      <c r="V5487" s="25"/>
      <c r="W5487" s="25"/>
      <c r="X5487" s="25"/>
      <c r="Y5487" s="25"/>
      <c r="Z5487" s="25"/>
    </row>
    <row r="5488" spans="1:26" ht="15.75" customHeight="1" x14ac:dyDescent="0.25">
      <c r="A5488" s="25"/>
      <c r="B5488" s="49"/>
      <c r="C5488" s="50"/>
      <c r="D5488" s="23"/>
      <c r="E5488" s="23"/>
      <c r="F5488" s="15"/>
      <c r="G5488" s="23"/>
      <c r="H5488" s="15"/>
      <c r="I5488" s="15"/>
      <c r="J5488" s="51"/>
      <c r="K5488" s="15"/>
      <c r="L5488" s="51"/>
      <c r="M5488" s="15"/>
      <c r="N5488" s="23"/>
      <c r="O5488" s="23"/>
      <c r="P5488" s="15" t="str">
        <f t="shared" si="6"/>
        <v/>
      </c>
      <c r="Q5488" s="24"/>
      <c r="R5488" s="25"/>
      <c r="S5488" s="25"/>
      <c r="T5488" s="26"/>
      <c r="U5488" s="26"/>
      <c r="V5488" s="25"/>
      <c r="W5488" s="25"/>
      <c r="X5488" s="25"/>
      <c r="Y5488" s="25"/>
      <c r="Z5488" s="25"/>
    </row>
    <row r="5489" spans="1:26" ht="15.75" customHeight="1" x14ac:dyDescent="0.25">
      <c r="A5489" s="25"/>
      <c r="B5489" s="49"/>
      <c r="C5489" s="50"/>
      <c r="D5489" s="23"/>
      <c r="E5489" s="23"/>
      <c r="F5489" s="15"/>
      <c r="G5489" s="23"/>
      <c r="H5489" s="15"/>
      <c r="I5489" s="15"/>
      <c r="J5489" s="51"/>
      <c r="K5489" s="15"/>
      <c r="L5489" s="51"/>
      <c r="M5489" s="15"/>
      <c r="N5489" s="23"/>
      <c r="O5489" s="23"/>
      <c r="P5489" s="15" t="str">
        <f t="shared" si="6"/>
        <v/>
      </c>
      <c r="Q5489" s="24"/>
      <c r="R5489" s="25"/>
      <c r="S5489" s="25"/>
      <c r="T5489" s="26"/>
      <c r="U5489" s="26"/>
      <c r="V5489" s="25"/>
      <c r="W5489" s="25"/>
      <c r="X5489" s="25"/>
      <c r="Y5489" s="25"/>
      <c r="Z5489" s="25"/>
    </row>
    <row r="5490" spans="1:26" ht="15.75" customHeight="1" x14ac:dyDescent="0.25">
      <c r="A5490" s="25"/>
      <c r="B5490" s="49"/>
      <c r="C5490" s="50"/>
      <c r="D5490" s="23"/>
      <c r="E5490" s="23"/>
      <c r="F5490" s="15"/>
      <c r="G5490" s="23"/>
      <c r="H5490" s="15"/>
      <c r="I5490" s="15"/>
      <c r="J5490" s="51"/>
      <c r="K5490" s="15"/>
      <c r="L5490" s="51"/>
      <c r="M5490" s="15"/>
      <c r="N5490" s="23"/>
      <c r="O5490" s="23"/>
      <c r="P5490" s="15" t="str">
        <f t="shared" si="6"/>
        <v/>
      </c>
      <c r="Q5490" s="24"/>
      <c r="R5490" s="25"/>
      <c r="S5490" s="25"/>
      <c r="T5490" s="26"/>
      <c r="U5490" s="26"/>
      <c r="V5490" s="25"/>
      <c r="W5490" s="25"/>
      <c r="X5490" s="25"/>
      <c r="Y5490" s="25"/>
      <c r="Z5490" s="25"/>
    </row>
    <row r="5491" spans="1:26" ht="15.75" customHeight="1" x14ac:dyDescent="0.25">
      <c r="A5491" s="25"/>
      <c r="B5491" s="49"/>
      <c r="C5491" s="50"/>
      <c r="D5491" s="23"/>
      <c r="E5491" s="23"/>
      <c r="F5491" s="15"/>
      <c r="G5491" s="23"/>
      <c r="H5491" s="15"/>
      <c r="I5491" s="15"/>
      <c r="J5491" s="51"/>
      <c r="K5491" s="15"/>
      <c r="L5491" s="51"/>
      <c r="M5491" s="15"/>
      <c r="N5491" s="23"/>
      <c r="O5491" s="23"/>
      <c r="P5491" s="15" t="str">
        <f t="shared" si="6"/>
        <v/>
      </c>
      <c r="Q5491" s="24"/>
      <c r="R5491" s="25"/>
      <c r="S5491" s="25"/>
      <c r="T5491" s="26"/>
      <c r="U5491" s="26"/>
      <c r="V5491" s="25"/>
      <c r="W5491" s="25"/>
      <c r="X5491" s="25"/>
      <c r="Y5491" s="25"/>
      <c r="Z5491" s="25"/>
    </row>
    <row r="5492" spans="1:26" ht="15.75" customHeight="1" x14ac:dyDescent="0.25">
      <c r="A5492" s="25"/>
      <c r="B5492" s="49"/>
      <c r="C5492" s="50"/>
      <c r="D5492" s="23"/>
      <c r="E5492" s="23"/>
      <c r="F5492" s="15"/>
      <c r="G5492" s="23"/>
      <c r="H5492" s="15"/>
      <c r="I5492" s="15"/>
      <c r="J5492" s="51"/>
      <c r="K5492" s="15"/>
      <c r="L5492" s="51"/>
      <c r="M5492" s="15"/>
      <c r="N5492" s="23"/>
      <c r="O5492" s="23"/>
      <c r="P5492" s="15" t="str">
        <f t="shared" si="6"/>
        <v/>
      </c>
      <c r="Q5492" s="24"/>
      <c r="R5492" s="25"/>
      <c r="S5492" s="25"/>
      <c r="T5492" s="26"/>
      <c r="U5492" s="26"/>
      <c r="V5492" s="25"/>
      <c r="W5492" s="25"/>
      <c r="X5492" s="25"/>
      <c r="Y5492" s="25"/>
      <c r="Z5492" s="25"/>
    </row>
    <row r="5493" spans="1:26" ht="15.75" customHeight="1" x14ac:dyDescent="0.25">
      <c r="A5493" s="25"/>
      <c r="B5493" s="49"/>
      <c r="C5493" s="50"/>
      <c r="D5493" s="23"/>
      <c r="E5493" s="23"/>
      <c r="F5493" s="15"/>
      <c r="G5493" s="23"/>
      <c r="H5493" s="15"/>
      <c r="I5493" s="15"/>
      <c r="J5493" s="51"/>
      <c r="K5493" s="15"/>
      <c r="L5493" s="51"/>
      <c r="M5493" s="15"/>
      <c r="N5493" s="23"/>
      <c r="O5493" s="23"/>
      <c r="P5493" s="15" t="str">
        <f t="shared" si="6"/>
        <v/>
      </c>
      <c r="Q5493" s="24"/>
      <c r="R5493" s="25"/>
      <c r="S5493" s="25"/>
      <c r="T5493" s="26"/>
      <c r="U5493" s="26"/>
      <c r="V5493" s="25"/>
      <c r="W5493" s="25"/>
      <c r="X5493" s="25"/>
      <c r="Y5493" s="25"/>
      <c r="Z5493" s="25"/>
    </row>
    <row r="5494" spans="1:26" ht="15.75" customHeight="1" x14ac:dyDescent="0.25">
      <c r="A5494" s="25"/>
      <c r="B5494" s="49"/>
      <c r="C5494" s="50"/>
      <c r="D5494" s="23"/>
      <c r="E5494" s="23"/>
      <c r="F5494" s="15"/>
      <c r="G5494" s="23"/>
      <c r="H5494" s="15"/>
      <c r="I5494" s="15"/>
      <c r="J5494" s="51"/>
      <c r="K5494" s="15"/>
      <c r="L5494" s="51"/>
      <c r="M5494" s="15"/>
      <c r="N5494" s="23"/>
      <c r="O5494" s="23"/>
      <c r="P5494" s="15" t="str">
        <f t="shared" si="6"/>
        <v/>
      </c>
      <c r="Q5494" s="24"/>
      <c r="R5494" s="25"/>
      <c r="S5494" s="25"/>
      <c r="T5494" s="26"/>
      <c r="U5494" s="26"/>
      <c r="V5494" s="25"/>
      <c r="W5494" s="25"/>
      <c r="X5494" s="25"/>
      <c r="Y5494" s="25"/>
      <c r="Z5494" s="25"/>
    </row>
    <row r="5495" spans="1:26" ht="15.75" customHeight="1" x14ac:dyDescent="0.25">
      <c r="A5495" s="25"/>
      <c r="B5495" s="49"/>
      <c r="C5495" s="50"/>
      <c r="D5495" s="23"/>
      <c r="E5495" s="23"/>
      <c r="F5495" s="15"/>
      <c r="G5495" s="23"/>
      <c r="H5495" s="15"/>
      <c r="I5495" s="15"/>
      <c r="J5495" s="51"/>
      <c r="K5495" s="15"/>
      <c r="L5495" s="51"/>
      <c r="M5495" s="15"/>
      <c r="N5495" s="23"/>
      <c r="O5495" s="23"/>
      <c r="P5495" s="15" t="str">
        <f t="shared" si="6"/>
        <v/>
      </c>
      <c r="Q5495" s="24"/>
      <c r="R5495" s="25"/>
      <c r="S5495" s="25"/>
      <c r="T5495" s="26"/>
      <c r="U5495" s="26"/>
      <c r="V5495" s="25"/>
      <c r="W5495" s="25"/>
      <c r="X5495" s="25"/>
      <c r="Y5495" s="25"/>
      <c r="Z5495" s="25"/>
    </row>
    <row r="5496" spans="1:26" ht="15.75" customHeight="1" x14ac:dyDescent="0.25">
      <c r="A5496" s="25"/>
      <c r="B5496" s="49"/>
      <c r="C5496" s="50"/>
      <c r="D5496" s="23"/>
      <c r="E5496" s="23"/>
      <c r="F5496" s="15"/>
      <c r="G5496" s="23"/>
      <c r="H5496" s="15"/>
      <c r="I5496" s="15"/>
      <c r="J5496" s="51"/>
      <c r="K5496" s="15"/>
      <c r="L5496" s="51"/>
      <c r="M5496" s="15"/>
      <c r="N5496" s="23"/>
      <c r="O5496" s="23"/>
      <c r="P5496" s="15" t="str">
        <f t="shared" si="6"/>
        <v/>
      </c>
      <c r="Q5496" s="24"/>
      <c r="R5496" s="25"/>
      <c r="S5496" s="25"/>
      <c r="T5496" s="26"/>
      <c r="U5496" s="26"/>
      <c r="V5496" s="25"/>
      <c r="W5496" s="25"/>
      <c r="X5496" s="25"/>
      <c r="Y5496" s="25"/>
      <c r="Z5496" s="25"/>
    </row>
    <row r="5497" spans="1:26" ht="15.75" customHeight="1" x14ac:dyDescent="0.25">
      <c r="A5497" s="25"/>
      <c r="B5497" s="49"/>
      <c r="C5497" s="50"/>
      <c r="D5497" s="23"/>
      <c r="E5497" s="23"/>
      <c r="F5497" s="15"/>
      <c r="G5497" s="23"/>
      <c r="H5497" s="15"/>
      <c r="I5497" s="15"/>
      <c r="J5497" s="51"/>
      <c r="K5497" s="15"/>
      <c r="L5497" s="51"/>
      <c r="M5497" s="15"/>
      <c r="N5497" s="23"/>
      <c r="O5497" s="23"/>
      <c r="P5497" s="15" t="str">
        <f t="shared" si="6"/>
        <v/>
      </c>
      <c r="Q5497" s="24"/>
      <c r="R5497" s="25"/>
      <c r="S5497" s="25"/>
      <c r="T5497" s="26"/>
      <c r="U5497" s="26"/>
      <c r="V5497" s="25"/>
      <c r="W5497" s="25"/>
      <c r="X5497" s="25"/>
      <c r="Y5497" s="25"/>
      <c r="Z5497" s="25"/>
    </row>
    <row r="5498" spans="1:26" ht="15.75" customHeight="1" x14ac:dyDescent="0.25">
      <c r="A5498" s="25"/>
      <c r="B5498" s="49"/>
      <c r="C5498" s="50"/>
      <c r="D5498" s="23"/>
      <c r="E5498" s="23"/>
      <c r="F5498" s="15"/>
      <c r="G5498" s="23"/>
      <c r="H5498" s="15"/>
      <c r="I5498" s="15"/>
      <c r="J5498" s="51"/>
      <c r="K5498" s="15"/>
      <c r="L5498" s="51"/>
      <c r="M5498" s="15"/>
      <c r="N5498" s="23"/>
      <c r="O5498" s="23"/>
      <c r="P5498" s="15" t="str">
        <f t="shared" si="6"/>
        <v/>
      </c>
      <c r="Q5498" s="24"/>
      <c r="R5498" s="25"/>
      <c r="S5498" s="25"/>
      <c r="T5498" s="26"/>
      <c r="U5498" s="26"/>
      <c r="V5498" s="25"/>
      <c r="W5498" s="25"/>
      <c r="X5498" s="25"/>
      <c r="Y5498" s="25"/>
      <c r="Z5498" s="25"/>
    </row>
    <row r="5499" spans="1:26" ht="15.75" customHeight="1" x14ac:dyDescent="0.25">
      <c r="A5499" s="25"/>
      <c r="B5499" s="49"/>
      <c r="C5499" s="50"/>
      <c r="D5499" s="23"/>
      <c r="E5499" s="23"/>
      <c r="F5499" s="15"/>
      <c r="G5499" s="23"/>
      <c r="H5499" s="15"/>
      <c r="I5499" s="15"/>
      <c r="J5499" s="51"/>
      <c r="K5499" s="15"/>
      <c r="L5499" s="51"/>
      <c r="M5499" s="15"/>
      <c r="N5499" s="23"/>
      <c r="O5499" s="23"/>
      <c r="P5499" s="15" t="str">
        <f t="shared" si="6"/>
        <v/>
      </c>
      <c r="Q5499" s="24"/>
      <c r="R5499" s="25"/>
      <c r="S5499" s="25"/>
      <c r="T5499" s="26"/>
      <c r="U5499" s="26"/>
      <c r="V5499" s="25"/>
      <c r="W5499" s="25"/>
      <c r="X5499" s="25"/>
      <c r="Y5499" s="25"/>
      <c r="Z5499" s="25"/>
    </row>
    <row r="5500" spans="1:26" ht="15.75" customHeight="1" x14ac:dyDescent="0.25">
      <c r="A5500" s="25"/>
      <c r="B5500" s="49"/>
      <c r="C5500" s="50"/>
      <c r="D5500" s="23"/>
      <c r="E5500" s="23"/>
      <c r="F5500" s="15"/>
      <c r="G5500" s="23"/>
      <c r="H5500" s="15"/>
      <c r="I5500" s="15"/>
      <c r="J5500" s="51"/>
      <c r="K5500" s="15"/>
      <c r="L5500" s="51"/>
      <c r="M5500" s="15"/>
      <c r="N5500" s="23"/>
      <c r="O5500" s="23"/>
      <c r="P5500" s="15" t="str">
        <f t="shared" si="6"/>
        <v/>
      </c>
      <c r="Q5500" s="24"/>
      <c r="R5500" s="25"/>
      <c r="S5500" s="25"/>
      <c r="T5500" s="26"/>
      <c r="U5500" s="26"/>
      <c r="V5500" s="25"/>
      <c r="W5500" s="25"/>
      <c r="X5500" s="25"/>
      <c r="Y5500" s="25"/>
      <c r="Z5500" s="25"/>
    </row>
    <row r="5501" spans="1:26" ht="15.75" customHeight="1" x14ac:dyDescent="0.25">
      <c r="A5501" s="25"/>
      <c r="B5501" s="49"/>
      <c r="C5501" s="50"/>
      <c r="D5501" s="23"/>
      <c r="E5501" s="23"/>
      <c r="F5501" s="15"/>
      <c r="G5501" s="23"/>
      <c r="H5501" s="15"/>
      <c r="I5501" s="15"/>
      <c r="J5501" s="51"/>
      <c r="K5501" s="15"/>
      <c r="L5501" s="51"/>
      <c r="M5501" s="15"/>
      <c r="N5501" s="23"/>
      <c r="O5501" s="23"/>
      <c r="P5501" s="15" t="str">
        <f t="shared" si="6"/>
        <v/>
      </c>
      <c r="Q5501" s="24"/>
      <c r="R5501" s="25"/>
      <c r="S5501" s="25"/>
      <c r="T5501" s="26"/>
      <c r="U5501" s="26"/>
      <c r="V5501" s="25"/>
      <c r="W5501" s="25"/>
      <c r="X5501" s="25"/>
      <c r="Y5501" s="25"/>
      <c r="Z5501" s="25"/>
    </row>
    <row r="5502" spans="1:26" ht="15.75" customHeight="1" x14ac:dyDescent="0.25">
      <c r="A5502" s="25"/>
      <c r="B5502" s="49"/>
      <c r="C5502" s="50"/>
      <c r="D5502" s="23"/>
      <c r="E5502" s="23"/>
      <c r="F5502" s="15"/>
      <c r="G5502" s="23"/>
      <c r="H5502" s="15"/>
      <c r="I5502" s="15"/>
      <c r="J5502" s="51"/>
      <c r="K5502" s="15"/>
      <c r="L5502" s="51"/>
      <c r="M5502" s="15"/>
      <c r="N5502" s="23"/>
      <c r="O5502" s="23"/>
      <c r="P5502" s="15" t="str">
        <f t="shared" si="6"/>
        <v/>
      </c>
      <c r="Q5502" s="24"/>
      <c r="R5502" s="25"/>
      <c r="S5502" s="25"/>
      <c r="T5502" s="26"/>
      <c r="U5502" s="26"/>
      <c r="V5502" s="25"/>
      <c r="W5502" s="25"/>
      <c r="X5502" s="25"/>
      <c r="Y5502" s="25"/>
      <c r="Z5502" s="25"/>
    </row>
    <row r="5503" spans="1:26" ht="15.75" customHeight="1" x14ac:dyDescent="0.25">
      <c r="A5503" s="25"/>
      <c r="B5503" s="49"/>
      <c r="C5503" s="50"/>
      <c r="D5503" s="23"/>
      <c r="E5503" s="23"/>
      <c r="F5503" s="15"/>
      <c r="G5503" s="23"/>
      <c r="H5503" s="15"/>
      <c r="I5503" s="15"/>
      <c r="J5503" s="51"/>
      <c r="K5503" s="15"/>
      <c r="L5503" s="51"/>
      <c r="M5503" s="15"/>
      <c r="N5503" s="23"/>
      <c r="O5503" s="23"/>
      <c r="P5503" s="15" t="str">
        <f t="shared" si="6"/>
        <v/>
      </c>
      <c r="Q5503" s="24"/>
      <c r="R5503" s="25"/>
      <c r="S5503" s="25"/>
      <c r="T5503" s="26"/>
      <c r="U5503" s="26"/>
      <c r="V5503" s="25"/>
      <c r="W5503" s="25"/>
      <c r="X5503" s="25"/>
      <c r="Y5503" s="25"/>
      <c r="Z5503" s="25"/>
    </row>
    <row r="5504" spans="1:26" ht="15.75" customHeight="1" x14ac:dyDescent="0.25">
      <c r="A5504" s="25"/>
      <c r="B5504" s="49"/>
      <c r="C5504" s="50"/>
      <c r="D5504" s="23"/>
      <c r="E5504" s="23"/>
      <c r="F5504" s="15"/>
      <c r="G5504" s="23"/>
      <c r="H5504" s="15"/>
      <c r="I5504" s="15"/>
      <c r="J5504" s="51"/>
      <c r="K5504" s="15"/>
      <c r="L5504" s="51"/>
      <c r="M5504" s="15"/>
      <c r="N5504" s="23"/>
      <c r="O5504" s="23"/>
      <c r="P5504" s="15" t="str">
        <f t="shared" si="6"/>
        <v/>
      </c>
      <c r="Q5504" s="24"/>
      <c r="R5504" s="25"/>
      <c r="S5504" s="25"/>
      <c r="T5504" s="26"/>
      <c r="U5504" s="26"/>
      <c r="V5504" s="25"/>
      <c r="W5504" s="25"/>
      <c r="X5504" s="25"/>
      <c r="Y5504" s="25"/>
      <c r="Z5504" s="25"/>
    </row>
    <row r="5505" spans="1:26" ht="15.75" customHeight="1" x14ac:dyDescent="0.25">
      <c r="A5505" s="25"/>
      <c r="B5505" s="49"/>
      <c r="C5505" s="50"/>
      <c r="D5505" s="23"/>
      <c r="E5505" s="23"/>
      <c r="F5505" s="15"/>
      <c r="G5505" s="23"/>
      <c r="H5505" s="15"/>
      <c r="I5505" s="15"/>
      <c r="J5505" s="51"/>
      <c r="K5505" s="15"/>
      <c r="L5505" s="51"/>
      <c r="M5505" s="15"/>
      <c r="N5505" s="23"/>
      <c r="O5505" s="23"/>
      <c r="P5505" s="15" t="str">
        <f t="shared" si="6"/>
        <v/>
      </c>
      <c r="Q5505" s="24"/>
      <c r="R5505" s="25"/>
      <c r="S5505" s="25"/>
      <c r="T5505" s="26"/>
      <c r="U5505" s="26"/>
      <c r="V5505" s="25"/>
      <c r="W5505" s="25"/>
      <c r="X5505" s="25"/>
      <c r="Y5505" s="25"/>
      <c r="Z5505" s="25"/>
    </row>
    <row r="5506" spans="1:26" ht="15.75" customHeight="1" x14ac:dyDescent="0.25">
      <c r="A5506" s="25"/>
      <c r="B5506" s="49"/>
      <c r="C5506" s="50"/>
      <c r="D5506" s="23"/>
      <c r="E5506" s="23"/>
      <c r="F5506" s="15"/>
      <c r="G5506" s="23"/>
      <c r="H5506" s="15"/>
      <c r="I5506" s="15"/>
      <c r="J5506" s="51"/>
      <c r="K5506" s="15"/>
      <c r="L5506" s="51"/>
      <c r="M5506" s="15"/>
      <c r="N5506" s="23"/>
      <c r="O5506" s="23"/>
      <c r="P5506" s="15" t="str">
        <f t="shared" si="6"/>
        <v/>
      </c>
      <c r="Q5506" s="24"/>
      <c r="R5506" s="25"/>
      <c r="S5506" s="25"/>
      <c r="T5506" s="26"/>
      <c r="U5506" s="26"/>
      <c r="V5506" s="25"/>
      <c r="W5506" s="25"/>
      <c r="X5506" s="25"/>
      <c r="Y5506" s="25"/>
      <c r="Z5506" s="25"/>
    </row>
    <row r="5507" spans="1:26" ht="15.75" customHeight="1" x14ac:dyDescent="0.25">
      <c r="A5507" s="25"/>
      <c r="B5507" s="49"/>
      <c r="C5507" s="50"/>
      <c r="D5507" s="23"/>
      <c r="E5507" s="23"/>
      <c r="F5507" s="15"/>
      <c r="G5507" s="23"/>
      <c r="H5507" s="15"/>
      <c r="I5507" s="15"/>
      <c r="J5507" s="51"/>
      <c r="K5507" s="15"/>
      <c r="L5507" s="51"/>
      <c r="M5507" s="15"/>
      <c r="N5507" s="23"/>
      <c r="O5507" s="23"/>
      <c r="P5507" s="15" t="str">
        <f t="shared" si="6"/>
        <v/>
      </c>
      <c r="Q5507" s="24"/>
      <c r="R5507" s="25"/>
      <c r="S5507" s="25"/>
      <c r="T5507" s="26"/>
      <c r="U5507" s="26"/>
      <c r="V5507" s="25"/>
      <c r="W5507" s="25"/>
      <c r="X5507" s="25"/>
      <c r="Y5507" s="25"/>
      <c r="Z5507" s="25"/>
    </row>
    <row r="5508" spans="1:26" ht="15.75" customHeight="1" x14ac:dyDescent="0.25">
      <c r="A5508" s="25"/>
      <c r="B5508" s="49"/>
      <c r="C5508" s="50"/>
      <c r="D5508" s="23"/>
      <c r="E5508" s="23"/>
      <c r="F5508" s="15"/>
      <c r="G5508" s="23"/>
      <c r="H5508" s="15"/>
      <c r="I5508" s="15"/>
      <c r="J5508" s="51"/>
      <c r="K5508" s="15"/>
      <c r="L5508" s="51"/>
      <c r="M5508" s="15"/>
      <c r="N5508" s="23"/>
      <c r="O5508" s="23"/>
      <c r="P5508" s="15" t="str">
        <f t="shared" si="6"/>
        <v/>
      </c>
      <c r="Q5508" s="24"/>
      <c r="R5508" s="25"/>
      <c r="S5508" s="25"/>
      <c r="T5508" s="26"/>
      <c r="U5508" s="26"/>
      <c r="V5508" s="25"/>
      <c r="W5508" s="25"/>
      <c r="X5508" s="25"/>
      <c r="Y5508" s="25"/>
      <c r="Z5508" s="25"/>
    </row>
    <row r="5509" spans="1:26" ht="15.75" customHeight="1" x14ac:dyDescent="0.25">
      <c r="A5509" s="25"/>
      <c r="B5509" s="49"/>
      <c r="C5509" s="50"/>
      <c r="D5509" s="23"/>
      <c r="E5509" s="23"/>
      <c r="F5509" s="15"/>
      <c r="G5509" s="23"/>
      <c r="H5509" s="15"/>
      <c r="I5509" s="15"/>
      <c r="J5509" s="51"/>
      <c r="K5509" s="15"/>
      <c r="L5509" s="51"/>
      <c r="M5509" s="15"/>
      <c r="N5509" s="23"/>
      <c r="O5509" s="23"/>
      <c r="P5509" s="15" t="str">
        <f t="shared" si="6"/>
        <v/>
      </c>
      <c r="Q5509" s="24"/>
      <c r="R5509" s="25"/>
      <c r="S5509" s="25"/>
      <c r="T5509" s="26"/>
      <c r="U5509" s="26"/>
      <c r="V5509" s="25"/>
      <c r="W5509" s="25"/>
      <c r="X5509" s="25"/>
      <c r="Y5509" s="25"/>
      <c r="Z5509" s="25"/>
    </row>
    <row r="5510" spans="1:26" ht="15.75" customHeight="1" x14ac:dyDescent="0.25">
      <c r="A5510" s="25"/>
      <c r="B5510" s="49"/>
      <c r="C5510" s="50"/>
      <c r="D5510" s="23"/>
      <c r="E5510" s="23"/>
      <c r="F5510" s="15"/>
      <c r="G5510" s="23"/>
      <c r="H5510" s="15"/>
      <c r="I5510" s="15"/>
      <c r="J5510" s="51"/>
      <c r="K5510" s="15"/>
      <c r="L5510" s="51"/>
      <c r="M5510" s="15"/>
      <c r="N5510" s="23"/>
      <c r="O5510" s="23"/>
      <c r="P5510" s="15" t="str">
        <f t="shared" si="6"/>
        <v/>
      </c>
      <c r="Q5510" s="24"/>
      <c r="R5510" s="25"/>
      <c r="S5510" s="25"/>
      <c r="T5510" s="26"/>
      <c r="U5510" s="26"/>
      <c r="V5510" s="25"/>
      <c r="W5510" s="25"/>
      <c r="X5510" s="25"/>
      <c r="Y5510" s="25"/>
      <c r="Z5510" s="25"/>
    </row>
    <row r="5511" spans="1:26" ht="15.75" customHeight="1" x14ac:dyDescent="0.25">
      <c r="A5511" s="25"/>
      <c r="B5511" s="49"/>
      <c r="C5511" s="50"/>
      <c r="D5511" s="23"/>
      <c r="E5511" s="23"/>
      <c r="F5511" s="15"/>
      <c r="G5511" s="23"/>
      <c r="H5511" s="15"/>
      <c r="I5511" s="15"/>
      <c r="J5511" s="51"/>
      <c r="K5511" s="15"/>
      <c r="L5511" s="51"/>
      <c r="M5511" s="15"/>
      <c r="N5511" s="23"/>
      <c r="O5511" s="23"/>
      <c r="P5511" s="15" t="str">
        <f t="shared" si="6"/>
        <v/>
      </c>
      <c r="Q5511" s="24"/>
      <c r="R5511" s="25"/>
      <c r="S5511" s="25"/>
      <c r="T5511" s="26"/>
      <c r="U5511" s="26"/>
      <c r="V5511" s="25"/>
      <c r="W5511" s="25"/>
      <c r="X5511" s="25"/>
      <c r="Y5511" s="25"/>
      <c r="Z5511" s="25"/>
    </row>
    <row r="5512" spans="1:26" ht="15.75" customHeight="1" x14ac:dyDescent="0.25">
      <c r="A5512" s="25"/>
      <c r="B5512" s="49"/>
      <c r="C5512" s="50"/>
      <c r="D5512" s="23"/>
      <c r="E5512" s="23"/>
      <c r="F5512" s="15"/>
      <c r="G5512" s="23"/>
      <c r="H5512" s="15"/>
      <c r="I5512" s="15"/>
      <c r="J5512" s="51"/>
      <c r="K5512" s="15"/>
      <c r="L5512" s="51"/>
      <c r="M5512" s="15"/>
      <c r="N5512" s="23"/>
      <c r="O5512" s="23"/>
      <c r="P5512" s="15" t="str">
        <f t="shared" si="6"/>
        <v/>
      </c>
      <c r="Q5512" s="24"/>
      <c r="R5512" s="25"/>
      <c r="S5512" s="25"/>
      <c r="T5512" s="26"/>
      <c r="U5512" s="26"/>
      <c r="V5512" s="25"/>
      <c r="W5512" s="25"/>
      <c r="X5512" s="25"/>
      <c r="Y5512" s="25"/>
      <c r="Z5512" s="25"/>
    </row>
    <row r="5513" spans="1:26" ht="15.75" customHeight="1" x14ac:dyDescent="0.25">
      <c r="A5513" s="25"/>
      <c r="B5513" s="49"/>
      <c r="C5513" s="50"/>
      <c r="D5513" s="23"/>
      <c r="E5513" s="23"/>
      <c r="F5513" s="15"/>
      <c r="G5513" s="23"/>
      <c r="H5513" s="15"/>
      <c r="I5513" s="15"/>
      <c r="J5513" s="51"/>
      <c r="K5513" s="15"/>
      <c r="L5513" s="51"/>
      <c r="M5513" s="15"/>
      <c r="N5513" s="23"/>
      <c r="O5513" s="23"/>
      <c r="P5513" s="15" t="str">
        <f t="shared" si="6"/>
        <v/>
      </c>
      <c r="Q5513" s="24"/>
      <c r="R5513" s="25"/>
      <c r="S5513" s="25"/>
      <c r="T5513" s="26"/>
      <c r="U5513" s="26"/>
      <c r="V5513" s="25"/>
      <c r="W5513" s="25"/>
      <c r="X5513" s="25"/>
      <c r="Y5513" s="25"/>
      <c r="Z5513" s="25"/>
    </row>
    <row r="5514" spans="1:26" ht="15.75" customHeight="1" x14ac:dyDescent="0.25">
      <c r="A5514" s="25"/>
      <c r="B5514" s="49"/>
      <c r="C5514" s="50"/>
      <c r="D5514" s="23"/>
      <c r="E5514" s="23"/>
      <c r="F5514" s="15"/>
      <c r="G5514" s="23"/>
      <c r="H5514" s="15"/>
      <c r="I5514" s="15"/>
      <c r="J5514" s="51"/>
      <c r="K5514" s="15"/>
      <c r="L5514" s="51"/>
      <c r="M5514" s="15"/>
      <c r="N5514" s="23"/>
      <c r="O5514" s="23"/>
      <c r="P5514" s="15" t="str">
        <f t="shared" si="6"/>
        <v/>
      </c>
      <c r="Q5514" s="24"/>
      <c r="R5514" s="25"/>
      <c r="S5514" s="25"/>
      <c r="T5514" s="26"/>
      <c r="U5514" s="26"/>
      <c r="V5514" s="25"/>
      <c r="W5514" s="25"/>
      <c r="X5514" s="25"/>
      <c r="Y5514" s="25"/>
      <c r="Z5514" s="25"/>
    </row>
    <row r="5515" spans="1:26" ht="15.75" customHeight="1" x14ac:dyDescent="0.25">
      <c r="A5515" s="25"/>
      <c r="B5515" s="49"/>
      <c r="C5515" s="50"/>
      <c r="D5515" s="23"/>
      <c r="E5515" s="23"/>
      <c r="F5515" s="15"/>
      <c r="G5515" s="23"/>
      <c r="H5515" s="15"/>
      <c r="I5515" s="15"/>
      <c r="J5515" s="51"/>
      <c r="K5515" s="15"/>
      <c r="L5515" s="51"/>
      <c r="M5515" s="15"/>
      <c r="N5515" s="23"/>
      <c r="O5515" s="23"/>
      <c r="P5515" s="15" t="str">
        <f t="shared" si="6"/>
        <v/>
      </c>
      <c r="Q5515" s="24"/>
      <c r="R5515" s="25"/>
      <c r="S5515" s="25"/>
      <c r="T5515" s="26"/>
      <c r="U5515" s="26"/>
      <c r="V5515" s="25"/>
      <c r="W5515" s="25"/>
      <c r="X5515" s="25"/>
      <c r="Y5515" s="25"/>
      <c r="Z5515" s="25"/>
    </row>
    <row r="5516" spans="1:26" ht="15.75" customHeight="1" x14ac:dyDescent="0.25">
      <c r="A5516" s="25"/>
      <c r="B5516" s="49"/>
      <c r="C5516" s="50"/>
      <c r="D5516" s="23"/>
      <c r="E5516" s="23"/>
      <c r="F5516" s="15"/>
      <c r="G5516" s="23"/>
      <c r="H5516" s="15"/>
      <c r="I5516" s="15"/>
      <c r="J5516" s="51"/>
      <c r="K5516" s="15"/>
      <c r="L5516" s="51"/>
      <c r="M5516" s="15"/>
      <c r="N5516" s="23"/>
      <c r="O5516" s="23"/>
      <c r="P5516" s="15" t="str">
        <f t="shared" si="6"/>
        <v/>
      </c>
      <c r="Q5516" s="24"/>
      <c r="R5516" s="25"/>
      <c r="S5516" s="25"/>
      <c r="T5516" s="26"/>
      <c r="U5516" s="26"/>
      <c r="V5516" s="25"/>
      <c r="W5516" s="25"/>
      <c r="X5516" s="25"/>
      <c r="Y5516" s="25"/>
      <c r="Z5516" s="25"/>
    </row>
    <row r="5517" spans="1:26" ht="15.75" customHeight="1" x14ac:dyDescent="0.25">
      <c r="A5517" s="25"/>
      <c r="B5517" s="49"/>
      <c r="C5517" s="50"/>
      <c r="D5517" s="23"/>
      <c r="E5517" s="23"/>
      <c r="F5517" s="15"/>
      <c r="G5517" s="23"/>
      <c r="H5517" s="15"/>
      <c r="I5517" s="15"/>
      <c r="J5517" s="51"/>
      <c r="K5517" s="15"/>
      <c r="L5517" s="51"/>
      <c r="M5517" s="15"/>
      <c r="N5517" s="23"/>
      <c r="O5517" s="23"/>
      <c r="P5517" s="15" t="str">
        <f t="shared" si="6"/>
        <v/>
      </c>
      <c r="Q5517" s="24"/>
      <c r="R5517" s="25"/>
      <c r="S5517" s="25"/>
      <c r="T5517" s="26"/>
      <c r="U5517" s="26"/>
      <c r="V5517" s="25"/>
      <c r="W5517" s="25"/>
      <c r="X5517" s="25"/>
      <c r="Y5517" s="25"/>
      <c r="Z5517" s="25"/>
    </row>
    <row r="5518" spans="1:26" ht="15.75" customHeight="1" x14ac:dyDescent="0.25">
      <c r="A5518" s="25"/>
      <c r="B5518" s="49"/>
      <c r="C5518" s="50"/>
      <c r="D5518" s="23"/>
      <c r="E5518" s="23"/>
      <c r="F5518" s="15"/>
      <c r="G5518" s="23"/>
      <c r="H5518" s="15"/>
      <c r="I5518" s="15"/>
      <c r="J5518" s="51"/>
      <c r="K5518" s="15"/>
      <c r="L5518" s="51"/>
      <c r="M5518" s="15"/>
      <c r="N5518" s="23"/>
      <c r="O5518" s="23"/>
      <c r="P5518" s="15" t="str">
        <f t="shared" si="6"/>
        <v/>
      </c>
      <c r="Q5518" s="24"/>
      <c r="R5518" s="25"/>
      <c r="S5518" s="25"/>
      <c r="T5518" s="26"/>
      <c r="U5518" s="26"/>
      <c r="V5518" s="25"/>
      <c r="W5518" s="25"/>
      <c r="X5518" s="25"/>
      <c r="Y5518" s="25"/>
      <c r="Z5518" s="25"/>
    </row>
    <row r="5519" spans="1:26" ht="15.75" customHeight="1" x14ac:dyDescent="0.25">
      <c r="A5519" s="25"/>
      <c r="B5519" s="49"/>
      <c r="C5519" s="50"/>
      <c r="D5519" s="23"/>
      <c r="E5519" s="23"/>
      <c r="F5519" s="15"/>
      <c r="G5519" s="23"/>
      <c r="H5519" s="15"/>
      <c r="I5519" s="15"/>
      <c r="J5519" s="51"/>
      <c r="K5519" s="15"/>
      <c r="L5519" s="51"/>
      <c r="M5519" s="15"/>
      <c r="N5519" s="23"/>
      <c r="O5519" s="23"/>
      <c r="P5519" s="15" t="str">
        <f t="shared" si="6"/>
        <v/>
      </c>
      <c r="Q5519" s="24"/>
      <c r="R5519" s="25"/>
      <c r="S5519" s="25"/>
      <c r="T5519" s="26"/>
      <c r="U5519" s="26"/>
      <c r="V5519" s="25"/>
      <c r="W5519" s="25"/>
      <c r="X5519" s="25"/>
      <c r="Y5519" s="25"/>
      <c r="Z5519" s="25"/>
    </row>
    <row r="5520" spans="1:26" ht="15.75" customHeight="1" x14ac:dyDescent="0.25">
      <c r="A5520" s="25"/>
      <c r="B5520" s="49"/>
      <c r="C5520" s="50"/>
      <c r="D5520" s="23"/>
      <c r="E5520" s="23"/>
      <c r="F5520" s="15"/>
      <c r="G5520" s="23"/>
      <c r="H5520" s="15"/>
      <c r="I5520" s="15"/>
      <c r="J5520" s="51"/>
      <c r="K5520" s="15"/>
      <c r="L5520" s="51"/>
      <c r="M5520" s="15"/>
      <c r="N5520" s="23"/>
      <c r="O5520" s="23"/>
      <c r="P5520" s="15" t="str">
        <f t="shared" si="6"/>
        <v/>
      </c>
      <c r="Q5520" s="24"/>
      <c r="R5520" s="25"/>
      <c r="S5520" s="25"/>
      <c r="T5520" s="26"/>
      <c r="U5520" s="26"/>
      <c r="V5520" s="25"/>
      <c r="W5520" s="25"/>
      <c r="X5520" s="25"/>
      <c r="Y5520" s="25"/>
      <c r="Z5520" s="25"/>
    </row>
    <row r="5521" spans="1:26" ht="15.75" customHeight="1" x14ac:dyDescent="0.25">
      <c r="A5521" s="25"/>
      <c r="B5521" s="49"/>
      <c r="C5521" s="50"/>
      <c r="D5521" s="23"/>
      <c r="E5521" s="23"/>
      <c r="F5521" s="15"/>
      <c r="G5521" s="23"/>
      <c r="H5521" s="15"/>
      <c r="I5521" s="15"/>
      <c r="J5521" s="51"/>
      <c r="K5521" s="15"/>
      <c r="L5521" s="51"/>
      <c r="M5521" s="15"/>
      <c r="N5521" s="23"/>
      <c r="O5521" s="23"/>
      <c r="P5521" s="15" t="str">
        <f t="shared" si="6"/>
        <v/>
      </c>
      <c r="Q5521" s="24"/>
      <c r="R5521" s="25"/>
      <c r="S5521" s="25"/>
      <c r="T5521" s="26"/>
      <c r="U5521" s="26"/>
      <c r="V5521" s="25"/>
      <c r="W5521" s="25"/>
      <c r="X5521" s="25"/>
      <c r="Y5521" s="25"/>
      <c r="Z5521" s="25"/>
    </row>
    <row r="5522" spans="1:26" ht="15.75" customHeight="1" x14ac:dyDescent="0.25">
      <c r="A5522" s="25"/>
      <c r="B5522" s="49"/>
      <c r="C5522" s="50"/>
      <c r="D5522" s="23"/>
      <c r="E5522" s="23"/>
      <c r="F5522" s="15"/>
      <c r="G5522" s="23"/>
      <c r="H5522" s="15"/>
      <c r="I5522" s="15"/>
      <c r="J5522" s="51"/>
      <c r="K5522" s="15"/>
      <c r="L5522" s="51"/>
      <c r="M5522" s="15"/>
      <c r="N5522" s="23"/>
      <c r="O5522" s="23"/>
      <c r="P5522" s="15" t="str">
        <f t="shared" si="6"/>
        <v/>
      </c>
      <c r="Q5522" s="24"/>
      <c r="R5522" s="25"/>
      <c r="S5522" s="25"/>
      <c r="T5522" s="26"/>
      <c r="U5522" s="26"/>
      <c r="V5522" s="25"/>
      <c r="W5522" s="25"/>
      <c r="X5522" s="25"/>
      <c r="Y5522" s="25"/>
      <c r="Z5522" s="25"/>
    </row>
    <row r="5523" spans="1:26" ht="15.75" customHeight="1" x14ac:dyDescent="0.25">
      <c r="A5523" s="25"/>
      <c r="B5523" s="49"/>
      <c r="C5523" s="50"/>
      <c r="D5523" s="23"/>
      <c r="E5523" s="23"/>
      <c r="F5523" s="15"/>
      <c r="G5523" s="23"/>
      <c r="H5523" s="15"/>
      <c r="I5523" s="15"/>
      <c r="J5523" s="51"/>
      <c r="K5523" s="15"/>
      <c r="L5523" s="51"/>
      <c r="M5523" s="15"/>
      <c r="N5523" s="23"/>
      <c r="O5523" s="23"/>
      <c r="P5523" s="15" t="str">
        <f t="shared" si="6"/>
        <v/>
      </c>
      <c r="Q5523" s="24"/>
      <c r="R5523" s="25"/>
      <c r="S5523" s="25"/>
      <c r="T5523" s="26"/>
      <c r="U5523" s="26"/>
      <c r="V5523" s="25"/>
      <c r="W5523" s="25"/>
      <c r="X5523" s="25"/>
      <c r="Y5523" s="25"/>
      <c r="Z5523" s="25"/>
    </row>
    <row r="5524" spans="1:26" ht="15.75" customHeight="1" x14ac:dyDescent="0.25">
      <c r="A5524" s="25"/>
      <c r="B5524" s="49"/>
      <c r="C5524" s="50"/>
      <c r="D5524" s="23"/>
      <c r="E5524" s="23"/>
      <c r="F5524" s="15"/>
      <c r="G5524" s="23"/>
      <c r="H5524" s="15"/>
      <c r="I5524" s="15"/>
      <c r="J5524" s="51"/>
      <c r="K5524" s="15"/>
      <c r="L5524" s="51"/>
      <c r="M5524" s="15"/>
      <c r="N5524" s="23"/>
      <c r="O5524" s="23"/>
      <c r="P5524" s="15" t="str">
        <f t="shared" si="6"/>
        <v/>
      </c>
      <c r="Q5524" s="24"/>
      <c r="R5524" s="25"/>
      <c r="S5524" s="25"/>
      <c r="T5524" s="26"/>
      <c r="U5524" s="26"/>
      <c r="V5524" s="25"/>
      <c r="W5524" s="25"/>
      <c r="X5524" s="25"/>
      <c r="Y5524" s="25"/>
      <c r="Z5524" s="25"/>
    </row>
    <row r="5525" spans="1:26" ht="15.75" customHeight="1" x14ac:dyDescent="0.25">
      <c r="A5525" s="25"/>
      <c r="B5525" s="49"/>
      <c r="C5525" s="50"/>
      <c r="D5525" s="23"/>
      <c r="E5525" s="23"/>
      <c r="F5525" s="15"/>
      <c r="G5525" s="23"/>
      <c r="H5525" s="15"/>
      <c r="I5525" s="15"/>
      <c r="J5525" s="51"/>
      <c r="K5525" s="15"/>
      <c r="L5525" s="51"/>
      <c r="M5525" s="15"/>
      <c r="N5525" s="23"/>
      <c r="O5525" s="23"/>
      <c r="P5525" s="15" t="str">
        <f t="shared" si="6"/>
        <v/>
      </c>
      <c r="Q5525" s="24"/>
      <c r="R5525" s="25"/>
      <c r="S5525" s="25"/>
      <c r="T5525" s="26"/>
      <c r="U5525" s="26"/>
      <c r="V5525" s="25"/>
      <c r="W5525" s="25"/>
      <c r="X5525" s="25"/>
      <c r="Y5525" s="25"/>
      <c r="Z5525" s="25"/>
    </row>
    <row r="5526" spans="1:26" ht="15.75" customHeight="1" x14ac:dyDescent="0.25">
      <c r="A5526" s="25"/>
      <c r="B5526" s="49"/>
      <c r="C5526" s="50"/>
      <c r="D5526" s="23"/>
      <c r="E5526" s="23"/>
      <c r="F5526" s="15"/>
      <c r="G5526" s="23"/>
      <c r="H5526" s="15"/>
      <c r="I5526" s="15"/>
      <c r="J5526" s="51"/>
      <c r="K5526" s="15"/>
      <c r="L5526" s="51"/>
      <c r="M5526" s="15"/>
      <c r="N5526" s="23"/>
      <c r="O5526" s="23"/>
      <c r="P5526" s="15" t="str">
        <f t="shared" si="6"/>
        <v/>
      </c>
      <c r="Q5526" s="24"/>
      <c r="R5526" s="25"/>
      <c r="S5526" s="25"/>
      <c r="T5526" s="26"/>
      <c r="U5526" s="26"/>
      <c r="V5526" s="25"/>
      <c r="W5526" s="25"/>
      <c r="X5526" s="25"/>
      <c r="Y5526" s="25"/>
      <c r="Z5526" s="25"/>
    </row>
    <row r="5527" spans="1:26" ht="15.75" customHeight="1" x14ac:dyDescent="0.25">
      <c r="A5527" s="25"/>
      <c r="B5527" s="49"/>
      <c r="C5527" s="50"/>
      <c r="D5527" s="23"/>
      <c r="E5527" s="23"/>
      <c r="F5527" s="15"/>
      <c r="G5527" s="23"/>
      <c r="H5527" s="15"/>
      <c r="I5527" s="15"/>
      <c r="J5527" s="51"/>
      <c r="K5527" s="15"/>
      <c r="L5527" s="51"/>
      <c r="M5527" s="15"/>
      <c r="N5527" s="23"/>
      <c r="O5527" s="23"/>
      <c r="P5527" s="15" t="str">
        <f t="shared" si="6"/>
        <v/>
      </c>
      <c r="Q5527" s="24"/>
      <c r="R5527" s="25"/>
      <c r="S5527" s="25"/>
      <c r="T5527" s="26"/>
      <c r="U5527" s="26"/>
      <c r="V5527" s="25"/>
      <c r="W5527" s="25"/>
      <c r="X5527" s="25"/>
      <c r="Y5527" s="25"/>
      <c r="Z5527" s="25"/>
    </row>
    <row r="5528" spans="1:26" ht="15.75" customHeight="1" x14ac:dyDescent="0.25">
      <c r="A5528" s="25"/>
      <c r="B5528" s="49"/>
      <c r="C5528" s="50"/>
      <c r="D5528" s="23"/>
      <c r="E5528" s="23"/>
      <c r="F5528" s="15"/>
      <c r="G5528" s="23"/>
      <c r="H5528" s="15"/>
      <c r="I5528" s="15"/>
      <c r="J5528" s="51"/>
      <c r="K5528" s="15"/>
      <c r="L5528" s="51"/>
      <c r="M5528" s="15"/>
      <c r="N5528" s="23"/>
      <c r="O5528" s="23"/>
      <c r="P5528" s="15" t="str">
        <f t="shared" si="6"/>
        <v/>
      </c>
      <c r="Q5528" s="24"/>
      <c r="R5528" s="25"/>
      <c r="S5528" s="25"/>
      <c r="T5528" s="26"/>
      <c r="U5528" s="26"/>
      <c r="V5528" s="25"/>
      <c r="W5528" s="25"/>
      <c r="X5528" s="25"/>
      <c r="Y5528" s="25"/>
      <c r="Z5528" s="25"/>
    </row>
    <row r="5529" spans="1:26" ht="15.75" customHeight="1" x14ac:dyDescent="0.25">
      <c r="A5529" s="25"/>
      <c r="B5529" s="49"/>
      <c r="C5529" s="50"/>
      <c r="D5529" s="23"/>
      <c r="E5529" s="23"/>
      <c r="F5529" s="15"/>
      <c r="G5529" s="23"/>
      <c r="H5529" s="15"/>
      <c r="I5529" s="15"/>
      <c r="J5529" s="51"/>
      <c r="K5529" s="15"/>
      <c r="L5529" s="51"/>
      <c r="M5529" s="15"/>
      <c r="N5529" s="23"/>
      <c r="O5529" s="23"/>
      <c r="P5529" s="15" t="str">
        <f t="shared" si="6"/>
        <v/>
      </c>
      <c r="Q5529" s="24"/>
      <c r="R5529" s="25"/>
      <c r="S5529" s="25"/>
      <c r="T5529" s="26"/>
      <c r="U5529" s="26"/>
      <c r="V5529" s="25"/>
      <c r="W5529" s="25"/>
      <c r="X5529" s="25"/>
      <c r="Y5529" s="25"/>
      <c r="Z5529" s="25"/>
    </row>
    <row r="5530" spans="1:26" ht="15.75" customHeight="1" x14ac:dyDescent="0.25">
      <c r="A5530" s="25"/>
      <c r="B5530" s="49"/>
      <c r="C5530" s="50"/>
      <c r="D5530" s="23"/>
      <c r="E5530" s="23"/>
      <c r="F5530" s="15"/>
      <c r="G5530" s="23"/>
      <c r="H5530" s="15"/>
      <c r="I5530" s="15"/>
      <c r="J5530" s="51"/>
      <c r="K5530" s="15"/>
      <c r="L5530" s="51"/>
      <c r="M5530" s="15"/>
      <c r="N5530" s="23"/>
      <c r="O5530" s="23"/>
      <c r="P5530" s="15" t="str">
        <f t="shared" si="6"/>
        <v/>
      </c>
      <c r="Q5530" s="24"/>
      <c r="R5530" s="25"/>
      <c r="S5530" s="25"/>
      <c r="T5530" s="26"/>
      <c r="U5530" s="26"/>
      <c r="V5530" s="25"/>
      <c r="W5530" s="25"/>
      <c r="X5530" s="25"/>
      <c r="Y5530" s="25"/>
      <c r="Z5530" s="25"/>
    </row>
    <row r="5531" spans="1:26" ht="15.75" customHeight="1" x14ac:dyDescent="0.25">
      <c r="A5531" s="25"/>
      <c r="B5531" s="49"/>
      <c r="C5531" s="50"/>
      <c r="D5531" s="23"/>
      <c r="E5531" s="23"/>
      <c r="F5531" s="15"/>
      <c r="G5531" s="23"/>
      <c r="H5531" s="15"/>
      <c r="I5531" s="15"/>
      <c r="J5531" s="51"/>
      <c r="K5531" s="15"/>
      <c r="L5531" s="51"/>
      <c r="M5531" s="15"/>
      <c r="N5531" s="23"/>
      <c r="O5531" s="23"/>
      <c r="P5531" s="15" t="str">
        <f t="shared" si="6"/>
        <v/>
      </c>
      <c r="Q5531" s="24"/>
      <c r="R5531" s="25"/>
      <c r="S5531" s="25"/>
      <c r="T5531" s="26"/>
      <c r="U5531" s="26"/>
      <c r="V5531" s="25"/>
      <c r="W5531" s="25"/>
      <c r="X5531" s="25"/>
      <c r="Y5531" s="25"/>
      <c r="Z5531" s="25"/>
    </row>
    <row r="5532" spans="1:26" ht="15.75" customHeight="1" x14ac:dyDescent="0.25">
      <c r="A5532" s="25"/>
      <c r="B5532" s="49"/>
      <c r="C5532" s="50"/>
      <c r="D5532" s="23"/>
      <c r="E5532" s="23"/>
      <c r="F5532" s="15"/>
      <c r="G5532" s="23"/>
      <c r="H5532" s="15"/>
      <c r="I5532" s="15"/>
      <c r="J5532" s="51"/>
      <c r="K5532" s="15"/>
      <c r="L5532" s="51"/>
      <c r="M5532" s="15"/>
      <c r="N5532" s="23"/>
      <c r="O5532" s="23"/>
      <c r="P5532" s="15" t="str">
        <f t="shared" si="6"/>
        <v/>
      </c>
      <c r="Q5532" s="24"/>
      <c r="R5532" s="25"/>
      <c r="S5532" s="25"/>
      <c r="T5532" s="26"/>
      <c r="U5532" s="26"/>
      <c r="V5532" s="25"/>
      <c r="W5532" s="25"/>
      <c r="X5532" s="25"/>
      <c r="Y5532" s="25"/>
      <c r="Z5532" s="25"/>
    </row>
    <row r="5533" spans="1:26" ht="15.75" customHeight="1" x14ac:dyDescent="0.25">
      <c r="A5533" s="25"/>
      <c r="B5533" s="49"/>
      <c r="C5533" s="50"/>
      <c r="D5533" s="23"/>
      <c r="E5533" s="23"/>
      <c r="F5533" s="15"/>
      <c r="G5533" s="23"/>
      <c r="H5533" s="15"/>
      <c r="I5533" s="15"/>
      <c r="J5533" s="51"/>
      <c r="K5533" s="15"/>
      <c r="L5533" s="51"/>
      <c r="M5533" s="15"/>
      <c r="N5533" s="23"/>
      <c r="O5533" s="23"/>
      <c r="P5533" s="15" t="str">
        <f t="shared" si="6"/>
        <v/>
      </c>
      <c r="Q5533" s="24"/>
      <c r="R5533" s="25"/>
      <c r="S5533" s="25"/>
      <c r="T5533" s="26"/>
      <c r="U5533" s="26"/>
      <c r="V5533" s="25"/>
      <c r="W5533" s="25"/>
      <c r="X5533" s="25"/>
      <c r="Y5533" s="25"/>
      <c r="Z5533" s="25"/>
    </row>
    <row r="5534" spans="1:26" ht="15.75" customHeight="1" x14ac:dyDescent="0.25">
      <c r="A5534" s="25"/>
      <c r="B5534" s="49"/>
      <c r="C5534" s="50"/>
      <c r="D5534" s="23"/>
      <c r="E5534" s="23"/>
      <c r="F5534" s="15"/>
      <c r="G5534" s="23"/>
      <c r="H5534" s="15"/>
      <c r="I5534" s="15"/>
      <c r="J5534" s="51"/>
      <c r="K5534" s="15"/>
      <c r="L5534" s="51"/>
      <c r="M5534" s="15"/>
      <c r="N5534" s="23"/>
      <c r="O5534" s="23"/>
      <c r="P5534" s="15" t="str">
        <f t="shared" si="6"/>
        <v/>
      </c>
      <c r="Q5534" s="24"/>
      <c r="R5534" s="25"/>
      <c r="S5534" s="25"/>
      <c r="T5534" s="26"/>
      <c r="U5534" s="26"/>
      <c r="V5534" s="25"/>
      <c r="W5534" s="25"/>
      <c r="X5534" s="25"/>
      <c r="Y5534" s="25"/>
      <c r="Z5534" s="25"/>
    </row>
    <row r="5535" spans="1:26" ht="15.75" customHeight="1" x14ac:dyDescent="0.25">
      <c r="A5535" s="25"/>
      <c r="B5535" s="49"/>
      <c r="C5535" s="50"/>
      <c r="D5535" s="23"/>
      <c r="E5535" s="23"/>
      <c r="F5535" s="15"/>
      <c r="G5535" s="23"/>
      <c r="H5535" s="15"/>
      <c r="I5535" s="15"/>
      <c r="J5535" s="51"/>
      <c r="K5535" s="15"/>
      <c r="L5535" s="51"/>
      <c r="M5535" s="15"/>
      <c r="N5535" s="23"/>
      <c r="O5535" s="23"/>
      <c r="P5535" s="15" t="str">
        <f t="shared" si="6"/>
        <v/>
      </c>
      <c r="Q5535" s="24"/>
      <c r="R5535" s="25"/>
      <c r="S5535" s="25"/>
      <c r="T5535" s="26"/>
      <c r="U5535" s="26"/>
      <c r="V5535" s="25"/>
      <c r="W5535" s="25"/>
      <c r="X5535" s="25"/>
      <c r="Y5535" s="25"/>
      <c r="Z5535" s="25"/>
    </row>
    <row r="5536" spans="1:26" ht="15.75" customHeight="1" x14ac:dyDescent="0.25">
      <c r="A5536" s="25"/>
      <c r="B5536" s="49"/>
      <c r="C5536" s="50"/>
      <c r="D5536" s="23"/>
      <c r="E5536" s="23"/>
      <c r="F5536" s="15"/>
      <c r="G5536" s="23"/>
      <c r="H5536" s="15"/>
      <c r="I5536" s="15"/>
      <c r="J5536" s="51"/>
      <c r="K5536" s="15"/>
      <c r="L5536" s="51"/>
      <c r="M5536" s="15"/>
      <c r="N5536" s="23"/>
      <c r="O5536" s="23"/>
      <c r="P5536" s="15" t="str">
        <f t="shared" si="6"/>
        <v/>
      </c>
      <c r="Q5536" s="24"/>
      <c r="R5536" s="25"/>
      <c r="S5536" s="25"/>
      <c r="T5536" s="26"/>
      <c r="U5536" s="26"/>
      <c r="V5536" s="25"/>
      <c r="W5536" s="25"/>
      <c r="X5536" s="25"/>
      <c r="Y5536" s="25"/>
      <c r="Z5536" s="25"/>
    </row>
    <row r="5537" spans="1:26" ht="15.75" customHeight="1" x14ac:dyDescent="0.25">
      <c r="A5537" s="25"/>
      <c r="B5537" s="49"/>
      <c r="C5537" s="50"/>
      <c r="D5537" s="23"/>
      <c r="E5537" s="23"/>
      <c r="F5537" s="15"/>
      <c r="G5537" s="23"/>
      <c r="H5537" s="15"/>
      <c r="I5537" s="15"/>
      <c r="J5537" s="51"/>
      <c r="K5537" s="15"/>
      <c r="L5537" s="51"/>
      <c r="M5537" s="15"/>
      <c r="N5537" s="23"/>
      <c r="O5537" s="23"/>
      <c r="P5537" s="15" t="str">
        <f t="shared" si="6"/>
        <v/>
      </c>
      <c r="Q5537" s="24"/>
      <c r="R5537" s="25"/>
      <c r="S5537" s="25"/>
      <c r="T5537" s="26"/>
      <c r="U5537" s="26"/>
      <c r="V5537" s="25"/>
      <c r="W5537" s="25"/>
      <c r="X5537" s="25"/>
      <c r="Y5537" s="25"/>
      <c r="Z5537" s="25"/>
    </row>
    <row r="5538" spans="1:26" ht="15.75" customHeight="1" x14ac:dyDescent="0.25">
      <c r="A5538" s="25"/>
      <c r="B5538" s="49"/>
      <c r="C5538" s="50"/>
      <c r="D5538" s="23"/>
      <c r="E5538" s="23"/>
      <c r="F5538" s="15"/>
      <c r="G5538" s="23"/>
      <c r="H5538" s="15"/>
      <c r="I5538" s="15"/>
      <c r="J5538" s="51"/>
      <c r="K5538" s="15"/>
      <c r="L5538" s="51"/>
      <c r="M5538" s="15"/>
      <c r="N5538" s="23"/>
      <c r="O5538" s="23"/>
      <c r="P5538" s="15" t="str">
        <f t="shared" si="6"/>
        <v/>
      </c>
      <c r="Q5538" s="24"/>
      <c r="R5538" s="25"/>
      <c r="S5538" s="25"/>
      <c r="T5538" s="26"/>
      <c r="U5538" s="26"/>
      <c r="V5538" s="25"/>
      <c r="W5538" s="25"/>
      <c r="X5538" s="25"/>
      <c r="Y5538" s="25"/>
      <c r="Z5538" s="25"/>
    </row>
    <row r="5539" spans="1:26" ht="15.75" customHeight="1" x14ac:dyDescent="0.25">
      <c r="A5539" s="25"/>
      <c r="B5539" s="49"/>
      <c r="C5539" s="50"/>
      <c r="D5539" s="23"/>
      <c r="E5539" s="23"/>
      <c r="F5539" s="15"/>
      <c r="G5539" s="23"/>
      <c r="H5539" s="15"/>
      <c r="I5539" s="15"/>
      <c r="J5539" s="51"/>
      <c r="K5539" s="15"/>
      <c r="L5539" s="51"/>
      <c r="M5539" s="15"/>
      <c r="N5539" s="23"/>
      <c r="O5539" s="23"/>
      <c r="P5539" s="15" t="str">
        <f t="shared" si="6"/>
        <v/>
      </c>
      <c r="Q5539" s="24"/>
      <c r="R5539" s="25"/>
      <c r="S5539" s="25"/>
      <c r="T5539" s="26"/>
      <c r="U5539" s="26"/>
      <c r="V5539" s="25"/>
      <c r="W5539" s="25"/>
      <c r="X5539" s="25"/>
      <c r="Y5539" s="25"/>
      <c r="Z5539" s="25"/>
    </row>
    <row r="5540" spans="1:26" ht="15.75" customHeight="1" x14ac:dyDescent="0.25">
      <c r="A5540" s="25"/>
      <c r="B5540" s="49"/>
      <c r="C5540" s="50"/>
      <c r="D5540" s="23"/>
      <c r="E5540" s="23"/>
      <c r="F5540" s="15"/>
      <c r="G5540" s="23"/>
      <c r="H5540" s="15"/>
      <c r="I5540" s="15"/>
      <c r="J5540" s="51"/>
      <c r="K5540" s="15"/>
      <c r="L5540" s="51"/>
      <c r="M5540" s="15"/>
      <c r="N5540" s="23"/>
      <c r="O5540" s="23"/>
      <c r="P5540" s="15" t="str">
        <f t="shared" si="6"/>
        <v/>
      </c>
      <c r="Q5540" s="24"/>
      <c r="R5540" s="25"/>
      <c r="S5540" s="25"/>
      <c r="T5540" s="26"/>
      <c r="U5540" s="26"/>
      <c r="V5540" s="25"/>
      <c r="W5540" s="25"/>
      <c r="X5540" s="25"/>
      <c r="Y5540" s="25"/>
      <c r="Z5540" s="25"/>
    </row>
    <row r="5541" spans="1:26" ht="15.75" customHeight="1" x14ac:dyDescent="0.25">
      <c r="A5541" s="25"/>
      <c r="B5541" s="49"/>
      <c r="C5541" s="50"/>
      <c r="D5541" s="23"/>
      <c r="E5541" s="23"/>
      <c r="F5541" s="15"/>
      <c r="G5541" s="23"/>
      <c r="H5541" s="15"/>
      <c r="I5541" s="15"/>
      <c r="J5541" s="51"/>
      <c r="K5541" s="15"/>
      <c r="L5541" s="51"/>
      <c r="M5541" s="15"/>
      <c r="N5541" s="23"/>
      <c r="O5541" s="23"/>
      <c r="P5541" s="15" t="str">
        <f t="shared" si="6"/>
        <v/>
      </c>
      <c r="Q5541" s="24"/>
      <c r="R5541" s="25"/>
      <c r="S5541" s="25"/>
      <c r="T5541" s="26"/>
      <c r="U5541" s="26"/>
      <c r="V5541" s="25"/>
      <c r="W5541" s="25"/>
      <c r="X5541" s="25"/>
      <c r="Y5541" s="25"/>
      <c r="Z5541" s="25"/>
    </row>
    <row r="5542" spans="1:26" ht="15.75" customHeight="1" x14ac:dyDescent="0.25">
      <c r="A5542" s="25"/>
      <c r="B5542" s="49"/>
      <c r="C5542" s="50"/>
      <c r="D5542" s="23"/>
      <c r="E5542" s="23"/>
      <c r="F5542" s="15"/>
      <c r="G5542" s="23"/>
      <c r="H5542" s="15"/>
      <c r="I5542" s="15"/>
      <c r="J5542" s="51"/>
      <c r="K5542" s="15"/>
      <c r="L5542" s="51"/>
      <c r="M5542" s="15"/>
      <c r="N5542" s="23"/>
      <c r="O5542" s="23"/>
      <c r="P5542" s="15" t="str">
        <f t="shared" si="6"/>
        <v/>
      </c>
      <c r="Q5542" s="24"/>
      <c r="R5542" s="25"/>
      <c r="S5542" s="25"/>
      <c r="T5542" s="26"/>
      <c r="U5542" s="26"/>
      <c r="V5542" s="25"/>
      <c r="W5542" s="25"/>
      <c r="X5542" s="25"/>
      <c r="Y5542" s="25"/>
      <c r="Z5542" s="25"/>
    </row>
    <row r="5543" spans="1:26" ht="15.75" customHeight="1" x14ac:dyDescent="0.25">
      <c r="A5543" s="25"/>
      <c r="B5543" s="49"/>
      <c r="C5543" s="50"/>
      <c r="D5543" s="23"/>
      <c r="E5543" s="23"/>
      <c r="F5543" s="15"/>
      <c r="G5543" s="23"/>
      <c r="H5543" s="15"/>
      <c r="I5543" s="15"/>
      <c r="J5543" s="51"/>
      <c r="K5543" s="15"/>
      <c r="L5543" s="51"/>
      <c r="M5543" s="15"/>
      <c r="N5543" s="23"/>
      <c r="O5543" s="23"/>
      <c r="P5543" s="15" t="str">
        <f t="shared" si="6"/>
        <v/>
      </c>
      <c r="Q5543" s="24"/>
      <c r="R5543" s="25"/>
      <c r="S5543" s="25"/>
      <c r="T5543" s="26"/>
      <c r="U5543" s="26"/>
      <c r="V5543" s="25"/>
      <c r="W5543" s="25"/>
      <c r="X5543" s="25"/>
      <c r="Y5543" s="25"/>
      <c r="Z5543" s="25"/>
    </row>
    <row r="5544" spans="1:26" ht="15.75" customHeight="1" x14ac:dyDescent="0.25">
      <c r="A5544" s="25"/>
      <c r="B5544" s="49"/>
      <c r="C5544" s="50"/>
      <c r="D5544" s="23"/>
      <c r="E5544" s="23"/>
      <c r="F5544" s="15"/>
      <c r="G5544" s="23"/>
      <c r="H5544" s="15"/>
      <c r="I5544" s="15"/>
      <c r="J5544" s="51"/>
      <c r="K5544" s="15"/>
      <c r="L5544" s="51"/>
      <c r="M5544" s="15"/>
      <c r="N5544" s="23"/>
      <c r="O5544" s="23"/>
      <c r="P5544" s="15" t="str">
        <f t="shared" si="6"/>
        <v/>
      </c>
      <c r="Q5544" s="24"/>
      <c r="R5544" s="25"/>
      <c r="S5544" s="25"/>
      <c r="T5544" s="26"/>
      <c r="U5544" s="26"/>
      <c r="V5544" s="25"/>
      <c r="W5544" s="25"/>
      <c r="X5544" s="25"/>
      <c r="Y5544" s="25"/>
      <c r="Z5544" s="25"/>
    </row>
    <row r="5545" spans="1:26" ht="15.75" customHeight="1" x14ac:dyDescent="0.25">
      <c r="A5545" s="25"/>
      <c r="B5545" s="49"/>
      <c r="C5545" s="50"/>
      <c r="D5545" s="23"/>
      <c r="E5545" s="23"/>
      <c r="F5545" s="15"/>
      <c r="G5545" s="23"/>
      <c r="H5545" s="15"/>
      <c r="I5545" s="15"/>
      <c r="J5545" s="51"/>
      <c r="K5545" s="15"/>
      <c r="L5545" s="51"/>
      <c r="M5545" s="15"/>
      <c r="N5545" s="23"/>
      <c r="O5545" s="23"/>
      <c r="P5545" s="15" t="str">
        <f t="shared" si="6"/>
        <v/>
      </c>
      <c r="Q5545" s="24"/>
      <c r="R5545" s="25"/>
      <c r="S5545" s="25"/>
      <c r="T5545" s="26"/>
      <c r="U5545" s="26"/>
      <c r="V5545" s="25"/>
      <c r="W5545" s="25"/>
      <c r="X5545" s="25"/>
      <c r="Y5545" s="25"/>
      <c r="Z5545" s="25"/>
    </row>
    <row r="5546" spans="1:26" ht="15.75" customHeight="1" x14ac:dyDescent="0.25">
      <c r="A5546" s="25"/>
      <c r="B5546" s="49"/>
      <c r="C5546" s="50"/>
      <c r="D5546" s="23"/>
      <c r="E5546" s="23"/>
      <c r="F5546" s="15"/>
      <c r="G5546" s="23"/>
      <c r="H5546" s="15"/>
      <c r="I5546" s="15"/>
      <c r="J5546" s="51"/>
      <c r="K5546" s="15"/>
      <c r="L5546" s="51"/>
      <c r="M5546" s="15"/>
      <c r="N5546" s="23"/>
      <c r="O5546" s="23"/>
      <c r="P5546" s="15" t="str">
        <f t="shared" si="6"/>
        <v/>
      </c>
      <c r="Q5546" s="24"/>
      <c r="R5546" s="25"/>
      <c r="S5546" s="25"/>
      <c r="T5546" s="26"/>
      <c r="U5546" s="26"/>
      <c r="V5546" s="25"/>
      <c r="W5546" s="25"/>
      <c r="X5546" s="25"/>
      <c r="Y5546" s="25"/>
      <c r="Z5546" s="25"/>
    </row>
    <row r="5547" spans="1:26" ht="15.75" customHeight="1" x14ac:dyDescent="0.25">
      <c r="A5547" s="25"/>
      <c r="B5547" s="49"/>
      <c r="C5547" s="50"/>
      <c r="D5547" s="23"/>
      <c r="E5547" s="23"/>
      <c r="F5547" s="15"/>
      <c r="G5547" s="23"/>
      <c r="H5547" s="15"/>
      <c r="I5547" s="15"/>
      <c r="J5547" s="51"/>
      <c r="K5547" s="15"/>
      <c r="L5547" s="51"/>
      <c r="M5547" s="15"/>
      <c r="N5547" s="23"/>
      <c r="O5547" s="23"/>
      <c r="P5547" s="15" t="str">
        <f t="shared" si="6"/>
        <v/>
      </c>
      <c r="Q5547" s="24"/>
      <c r="R5547" s="25"/>
      <c r="S5547" s="25"/>
      <c r="T5547" s="26"/>
      <c r="U5547" s="26"/>
      <c r="V5547" s="25"/>
      <c r="W5547" s="25"/>
      <c r="X5547" s="25"/>
      <c r="Y5547" s="25"/>
      <c r="Z5547" s="25"/>
    </row>
    <row r="5548" spans="1:26" ht="15.75" customHeight="1" x14ac:dyDescent="0.25">
      <c r="A5548" s="25"/>
      <c r="B5548" s="49"/>
      <c r="C5548" s="50"/>
      <c r="D5548" s="23"/>
      <c r="E5548" s="23"/>
      <c r="F5548" s="15"/>
      <c r="G5548" s="23"/>
      <c r="H5548" s="15"/>
      <c r="I5548" s="15"/>
      <c r="J5548" s="51"/>
      <c r="K5548" s="15"/>
      <c r="L5548" s="51"/>
      <c r="M5548" s="15"/>
      <c r="N5548" s="23"/>
      <c r="O5548" s="23"/>
      <c r="P5548" s="15" t="str">
        <f t="shared" si="6"/>
        <v/>
      </c>
      <c r="Q5548" s="24"/>
      <c r="R5548" s="25"/>
      <c r="S5548" s="25"/>
      <c r="T5548" s="26"/>
      <c r="U5548" s="26"/>
      <c r="V5548" s="25"/>
      <c r="W5548" s="25"/>
      <c r="X5548" s="25"/>
      <c r="Y5548" s="25"/>
      <c r="Z5548" s="25"/>
    </row>
    <row r="5549" spans="1:26" ht="15.75" customHeight="1" x14ac:dyDescent="0.25">
      <c r="A5549" s="25"/>
      <c r="B5549" s="49"/>
      <c r="C5549" s="50"/>
      <c r="D5549" s="23"/>
      <c r="E5549" s="23"/>
      <c r="F5549" s="15"/>
      <c r="G5549" s="23"/>
      <c r="H5549" s="15"/>
      <c r="I5549" s="15"/>
      <c r="J5549" s="51"/>
      <c r="K5549" s="15"/>
      <c r="L5549" s="51"/>
      <c r="M5549" s="15"/>
      <c r="N5549" s="23"/>
      <c r="O5549" s="23"/>
      <c r="P5549" s="15" t="str">
        <f t="shared" si="6"/>
        <v/>
      </c>
      <c r="Q5549" s="24"/>
      <c r="R5549" s="25"/>
      <c r="S5549" s="25"/>
      <c r="T5549" s="26"/>
      <c r="U5549" s="26"/>
      <c r="V5549" s="25"/>
      <c r="W5549" s="25"/>
      <c r="X5549" s="25"/>
      <c r="Y5549" s="25"/>
      <c r="Z5549" s="25"/>
    </row>
    <row r="5550" spans="1:26" ht="15.75" customHeight="1" x14ac:dyDescent="0.25">
      <c r="A5550" s="25"/>
      <c r="B5550" s="49"/>
      <c r="C5550" s="50"/>
      <c r="D5550" s="23"/>
      <c r="E5550" s="23"/>
      <c r="F5550" s="15"/>
      <c r="G5550" s="23"/>
      <c r="H5550" s="15"/>
      <c r="I5550" s="15"/>
      <c r="J5550" s="51"/>
      <c r="K5550" s="15"/>
      <c r="L5550" s="51"/>
      <c r="M5550" s="15"/>
      <c r="N5550" s="23"/>
      <c r="O5550" s="23"/>
      <c r="P5550" s="15" t="str">
        <f t="shared" si="6"/>
        <v/>
      </c>
      <c r="Q5550" s="24"/>
      <c r="R5550" s="25"/>
      <c r="S5550" s="25"/>
      <c r="T5550" s="26"/>
      <c r="U5550" s="26"/>
      <c r="V5550" s="25"/>
      <c r="W5550" s="25"/>
      <c r="X5550" s="25"/>
      <c r="Y5550" s="25"/>
      <c r="Z5550" s="25"/>
    </row>
    <row r="5551" spans="1:26" ht="15.75" customHeight="1" x14ac:dyDescent="0.25">
      <c r="A5551" s="25"/>
      <c r="B5551" s="49"/>
      <c r="C5551" s="50"/>
      <c r="D5551" s="23"/>
      <c r="E5551" s="23"/>
      <c r="F5551" s="15"/>
      <c r="G5551" s="23"/>
      <c r="H5551" s="15"/>
      <c r="I5551" s="15"/>
      <c r="J5551" s="51"/>
      <c r="K5551" s="15"/>
      <c r="L5551" s="51"/>
      <c r="M5551" s="15"/>
      <c r="N5551" s="23"/>
      <c r="O5551" s="23"/>
      <c r="P5551" s="15" t="str">
        <f t="shared" si="6"/>
        <v/>
      </c>
      <c r="Q5551" s="24"/>
      <c r="R5551" s="25"/>
      <c r="S5551" s="25"/>
      <c r="T5551" s="26"/>
      <c r="U5551" s="26"/>
      <c r="V5551" s="25"/>
      <c r="W5551" s="25"/>
      <c r="X5551" s="25"/>
      <c r="Y5551" s="25"/>
      <c r="Z5551" s="25"/>
    </row>
    <row r="5552" spans="1:26" ht="15.75" customHeight="1" x14ac:dyDescent="0.25">
      <c r="A5552" s="25"/>
      <c r="B5552" s="49"/>
      <c r="C5552" s="50"/>
      <c r="D5552" s="23"/>
      <c r="E5552" s="23"/>
      <c r="F5552" s="15"/>
      <c r="G5552" s="23"/>
      <c r="H5552" s="15"/>
      <c r="I5552" s="15"/>
      <c r="J5552" s="51"/>
      <c r="K5552" s="15"/>
      <c r="L5552" s="51"/>
      <c r="M5552" s="15"/>
      <c r="N5552" s="23"/>
      <c r="O5552" s="23"/>
      <c r="P5552" s="15" t="str">
        <f t="shared" si="6"/>
        <v/>
      </c>
      <c r="Q5552" s="24"/>
      <c r="R5552" s="25"/>
      <c r="S5552" s="25"/>
      <c r="T5552" s="26"/>
      <c r="U5552" s="26"/>
      <c r="V5552" s="25"/>
      <c r="W5552" s="25"/>
      <c r="X5552" s="25"/>
      <c r="Y5552" s="25"/>
      <c r="Z5552" s="25"/>
    </row>
    <row r="5553" spans="1:26" ht="15.75" customHeight="1" x14ac:dyDescent="0.25">
      <c r="A5553" s="25"/>
      <c r="B5553" s="49"/>
      <c r="C5553" s="50"/>
      <c r="D5553" s="23"/>
      <c r="E5553" s="23"/>
      <c r="F5553" s="15"/>
      <c r="G5553" s="23"/>
      <c r="H5553" s="15"/>
      <c r="I5553" s="15"/>
      <c r="J5553" s="51"/>
      <c r="K5553" s="15"/>
      <c r="L5553" s="51"/>
      <c r="M5553" s="15"/>
      <c r="N5553" s="23"/>
      <c r="O5553" s="23"/>
      <c r="P5553" s="15" t="str">
        <f t="shared" si="6"/>
        <v/>
      </c>
      <c r="Q5553" s="24"/>
      <c r="R5553" s="25"/>
      <c r="S5553" s="25"/>
      <c r="T5553" s="26"/>
      <c r="U5553" s="26"/>
      <c r="V5553" s="25"/>
      <c r="W5553" s="25"/>
      <c r="X5553" s="25"/>
      <c r="Y5553" s="25"/>
      <c r="Z5553" s="25"/>
    </row>
    <row r="5554" spans="1:26" ht="15.75" customHeight="1" x14ac:dyDescent="0.25">
      <c r="A5554" s="25"/>
      <c r="B5554" s="49"/>
      <c r="C5554" s="50"/>
      <c r="D5554" s="23"/>
      <c r="E5554" s="23"/>
      <c r="F5554" s="15"/>
      <c r="G5554" s="23"/>
      <c r="H5554" s="15"/>
      <c r="I5554" s="15"/>
      <c r="J5554" s="51"/>
      <c r="K5554" s="15"/>
      <c r="L5554" s="51"/>
      <c r="M5554" s="15"/>
      <c r="N5554" s="23"/>
      <c r="O5554" s="23"/>
      <c r="P5554" s="15" t="str">
        <f t="shared" si="6"/>
        <v/>
      </c>
      <c r="Q5554" s="24"/>
      <c r="R5554" s="25"/>
      <c r="S5554" s="25"/>
      <c r="T5554" s="26"/>
      <c r="U5554" s="26"/>
      <c r="V5554" s="25"/>
      <c r="W5554" s="25"/>
      <c r="X5554" s="25"/>
      <c r="Y5554" s="25"/>
      <c r="Z5554" s="25"/>
    </row>
    <row r="5555" spans="1:26" ht="15.75" customHeight="1" x14ac:dyDescent="0.25">
      <c r="A5555" s="25"/>
      <c r="B5555" s="49"/>
      <c r="C5555" s="50"/>
      <c r="D5555" s="23"/>
      <c r="E5555" s="23"/>
      <c r="F5555" s="15"/>
      <c r="G5555" s="23"/>
      <c r="H5555" s="15"/>
      <c r="I5555" s="15"/>
      <c r="J5555" s="51"/>
      <c r="K5555" s="15"/>
      <c r="L5555" s="51"/>
      <c r="M5555" s="15"/>
      <c r="N5555" s="23"/>
      <c r="O5555" s="23"/>
      <c r="P5555" s="15" t="str">
        <f t="shared" si="6"/>
        <v/>
      </c>
      <c r="Q5555" s="24"/>
      <c r="R5555" s="25"/>
      <c r="S5555" s="25"/>
      <c r="T5555" s="26"/>
      <c r="U5555" s="26"/>
      <c r="V5555" s="25"/>
      <c r="W5555" s="25"/>
      <c r="X5555" s="25"/>
      <c r="Y5555" s="25"/>
      <c r="Z5555" s="25"/>
    </row>
    <row r="5556" spans="1:26" ht="15.75" customHeight="1" x14ac:dyDescent="0.25">
      <c r="A5556" s="25"/>
      <c r="B5556" s="49"/>
      <c r="C5556" s="50"/>
      <c r="D5556" s="23"/>
      <c r="E5556" s="23"/>
      <c r="F5556" s="15"/>
      <c r="G5556" s="23"/>
      <c r="H5556" s="15"/>
      <c r="I5556" s="15"/>
      <c r="J5556" s="51"/>
      <c r="K5556" s="15"/>
      <c r="L5556" s="51"/>
      <c r="M5556" s="15"/>
      <c r="N5556" s="23"/>
      <c r="O5556" s="23"/>
      <c r="P5556" s="15" t="str">
        <f t="shared" si="6"/>
        <v/>
      </c>
      <c r="Q5556" s="24"/>
      <c r="R5556" s="25"/>
      <c r="S5556" s="25"/>
      <c r="T5556" s="26"/>
      <c r="U5556" s="26"/>
      <c r="V5556" s="25"/>
      <c r="W5556" s="25"/>
      <c r="X5556" s="25"/>
      <c r="Y5556" s="25"/>
      <c r="Z5556" s="25"/>
    </row>
    <row r="5557" spans="1:26" ht="15.75" customHeight="1" x14ac:dyDescent="0.25">
      <c r="A5557" s="25"/>
      <c r="B5557" s="49"/>
      <c r="C5557" s="50"/>
      <c r="D5557" s="23"/>
      <c r="E5557" s="23"/>
      <c r="F5557" s="15"/>
      <c r="G5557" s="23"/>
      <c r="H5557" s="15"/>
      <c r="I5557" s="15"/>
      <c r="J5557" s="51"/>
      <c r="K5557" s="15"/>
      <c r="L5557" s="51"/>
      <c r="M5557" s="15"/>
      <c r="N5557" s="23"/>
      <c r="O5557" s="23"/>
      <c r="P5557" s="15" t="str">
        <f t="shared" si="6"/>
        <v/>
      </c>
      <c r="Q5557" s="24"/>
      <c r="R5557" s="25"/>
      <c r="S5557" s="25"/>
      <c r="T5557" s="26"/>
      <c r="U5557" s="26"/>
      <c r="V5557" s="25"/>
      <c r="W5557" s="25"/>
      <c r="X5557" s="25"/>
      <c r="Y5557" s="25"/>
      <c r="Z5557" s="25"/>
    </row>
    <row r="5558" spans="1:26" ht="15.75" customHeight="1" x14ac:dyDescent="0.25">
      <c r="A5558" s="25"/>
      <c r="B5558" s="49"/>
      <c r="C5558" s="50"/>
      <c r="D5558" s="23"/>
      <c r="E5558" s="23"/>
      <c r="F5558" s="15"/>
      <c r="G5558" s="23"/>
      <c r="H5558" s="15"/>
      <c r="I5558" s="15"/>
      <c r="J5558" s="51"/>
      <c r="K5558" s="15"/>
      <c r="L5558" s="51"/>
      <c r="M5558" s="15"/>
      <c r="N5558" s="23"/>
      <c r="O5558" s="23"/>
      <c r="P5558" s="15" t="str">
        <f t="shared" si="6"/>
        <v/>
      </c>
      <c r="Q5558" s="24"/>
      <c r="R5558" s="25"/>
      <c r="S5558" s="25"/>
      <c r="T5558" s="26"/>
      <c r="U5558" s="26"/>
      <c r="V5558" s="25"/>
      <c r="W5558" s="25"/>
      <c r="X5558" s="25"/>
      <c r="Y5558" s="25"/>
      <c r="Z5558" s="25"/>
    </row>
    <row r="5559" spans="1:26" ht="15.75" customHeight="1" x14ac:dyDescent="0.25">
      <c r="A5559" s="25"/>
      <c r="B5559" s="49"/>
      <c r="C5559" s="50"/>
      <c r="D5559" s="23"/>
      <c r="E5559" s="23"/>
      <c r="F5559" s="15"/>
      <c r="G5559" s="23"/>
      <c r="H5559" s="15"/>
      <c r="I5559" s="15"/>
      <c r="J5559" s="51"/>
      <c r="K5559" s="15"/>
      <c r="L5559" s="51"/>
      <c r="M5559" s="15"/>
      <c r="N5559" s="23"/>
      <c r="O5559" s="23"/>
      <c r="P5559" s="15" t="str">
        <f t="shared" si="6"/>
        <v/>
      </c>
      <c r="Q5559" s="24"/>
      <c r="R5559" s="25"/>
      <c r="S5559" s="25"/>
      <c r="T5559" s="26"/>
      <c r="U5559" s="26"/>
      <c r="V5559" s="25"/>
      <c r="W5559" s="25"/>
      <c r="X5559" s="25"/>
      <c r="Y5559" s="25"/>
      <c r="Z5559" s="25"/>
    </row>
    <row r="5560" spans="1:26" ht="15.75" customHeight="1" x14ac:dyDescent="0.25">
      <c r="A5560" s="25"/>
      <c r="B5560" s="49"/>
      <c r="C5560" s="50"/>
      <c r="D5560" s="23"/>
      <c r="E5560" s="23"/>
      <c r="F5560" s="15"/>
      <c r="G5560" s="23"/>
      <c r="H5560" s="15"/>
      <c r="I5560" s="15"/>
      <c r="J5560" s="51"/>
      <c r="K5560" s="15"/>
      <c r="L5560" s="51"/>
      <c r="M5560" s="15"/>
      <c r="N5560" s="23"/>
      <c r="O5560" s="23"/>
      <c r="P5560" s="15" t="str">
        <f t="shared" si="6"/>
        <v/>
      </c>
      <c r="Q5560" s="24"/>
      <c r="R5560" s="25"/>
      <c r="S5560" s="25"/>
      <c r="T5560" s="26"/>
      <c r="U5560" s="26"/>
      <c r="V5560" s="25"/>
      <c r="W5560" s="25"/>
      <c r="X5560" s="25"/>
      <c r="Y5560" s="25"/>
      <c r="Z5560" s="25"/>
    </row>
    <row r="5561" spans="1:26" ht="15.75" customHeight="1" x14ac:dyDescent="0.25">
      <c r="A5561" s="25"/>
      <c r="B5561" s="49"/>
      <c r="C5561" s="50"/>
      <c r="D5561" s="23"/>
      <c r="E5561" s="23"/>
      <c r="F5561" s="15"/>
      <c r="G5561" s="23"/>
      <c r="H5561" s="15"/>
      <c r="I5561" s="15"/>
      <c r="J5561" s="51"/>
      <c r="K5561" s="15"/>
      <c r="L5561" s="51"/>
      <c r="M5561" s="15"/>
      <c r="N5561" s="23"/>
      <c r="O5561" s="23"/>
      <c r="P5561" s="15" t="str">
        <f t="shared" si="6"/>
        <v/>
      </c>
      <c r="Q5561" s="24"/>
      <c r="R5561" s="25"/>
      <c r="S5561" s="25"/>
      <c r="T5561" s="26"/>
      <c r="U5561" s="26"/>
      <c r="V5561" s="25"/>
      <c r="W5561" s="25"/>
      <c r="X5561" s="25"/>
      <c r="Y5561" s="25"/>
      <c r="Z5561" s="25"/>
    </row>
    <row r="5562" spans="1:26" ht="15.75" customHeight="1" x14ac:dyDescent="0.25">
      <c r="A5562" s="25"/>
      <c r="B5562" s="49"/>
      <c r="C5562" s="50"/>
      <c r="D5562" s="23"/>
      <c r="E5562" s="23"/>
      <c r="F5562" s="15"/>
      <c r="G5562" s="23"/>
      <c r="H5562" s="15"/>
      <c r="I5562" s="15"/>
      <c r="J5562" s="51"/>
      <c r="K5562" s="15"/>
      <c r="L5562" s="51"/>
      <c r="M5562" s="15"/>
      <c r="N5562" s="23"/>
      <c r="O5562" s="23"/>
      <c r="P5562" s="15" t="str">
        <f t="shared" si="6"/>
        <v/>
      </c>
      <c r="Q5562" s="24"/>
      <c r="R5562" s="25"/>
      <c r="S5562" s="25"/>
      <c r="T5562" s="26"/>
      <c r="U5562" s="26"/>
      <c r="V5562" s="25"/>
      <c r="W5562" s="25"/>
      <c r="X5562" s="25"/>
      <c r="Y5562" s="25"/>
      <c r="Z5562" s="25"/>
    </row>
    <row r="5563" spans="1:26" ht="15.75" customHeight="1" x14ac:dyDescent="0.25">
      <c r="A5563" s="25"/>
      <c r="B5563" s="49"/>
      <c r="C5563" s="50"/>
      <c r="D5563" s="23"/>
      <c r="E5563" s="23"/>
      <c r="F5563" s="15"/>
      <c r="G5563" s="23"/>
      <c r="H5563" s="15"/>
      <c r="I5563" s="15"/>
      <c r="J5563" s="51"/>
      <c r="K5563" s="15"/>
      <c r="L5563" s="51"/>
      <c r="M5563" s="15"/>
      <c r="N5563" s="23"/>
      <c r="O5563" s="23"/>
      <c r="P5563" s="15" t="str">
        <f t="shared" si="6"/>
        <v/>
      </c>
      <c r="Q5563" s="24"/>
      <c r="R5563" s="25"/>
      <c r="S5563" s="25"/>
      <c r="T5563" s="26"/>
      <c r="U5563" s="26"/>
      <c r="V5563" s="25"/>
      <c r="W5563" s="25"/>
      <c r="X5563" s="25"/>
      <c r="Y5563" s="25"/>
      <c r="Z5563" s="25"/>
    </row>
    <row r="5564" spans="1:26" ht="15.75" customHeight="1" x14ac:dyDescent="0.25">
      <c r="A5564" s="25"/>
      <c r="B5564" s="49"/>
      <c r="C5564" s="50"/>
      <c r="D5564" s="23"/>
      <c r="E5564" s="23"/>
      <c r="F5564" s="15"/>
      <c r="G5564" s="23"/>
      <c r="H5564" s="15"/>
      <c r="I5564" s="15"/>
      <c r="J5564" s="51"/>
      <c r="K5564" s="15"/>
      <c r="L5564" s="51"/>
      <c r="M5564" s="15"/>
      <c r="N5564" s="23"/>
      <c r="O5564" s="23"/>
      <c r="P5564" s="15" t="str">
        <f t="shared" si="6"/>
        <v/>
      </c>
      <c r="Q5564" s="24"/>
      <c r="R5564" s="25"/>
      <c r="S5564" s="25"/>
      <c r="T5564" s="26"/>
      <c r="U5564" s="26"/>
      <c r="V5564" s="25"/>
      <c r="W5564" s="25"/>
      <c r="X5564" s="25"/>
      <c r="Y5564" s="25"/>
      <c r="Z5564" s="25"/>
    </row>
    <row r="5565" spans="1:26" ht="15.75" customHeight="1" x14ac:dyDescent="0.25">
      <c r="A5565" s="25"/>
      <c r="B5565" s="49"/>
      <c r="C5565" s="50"/>
      <c r="D5565" s="23"/>
      <c r="E5565" s="23"/>
      <c r="F5565" s="15"/>
      <c r="G5565" s="23"/>
      <c r="H5565" s="15"/>
      <c r="I5565" s="15"/>
      <c r="J5565" s="51"/>
      <c r="K5565" s="15"/>
      <c r="L5565" s="51"/>
      <c r="M5565" s="15"/>
      <c r="N5565" s="23"/>
      <c r="O5565" s="23"/>
      <c r="P5565" s="15" t="str">
        <f t="shared" si="6"/>
        <v/>
      </c>
      <c r="Q5565" s="24"/>
      <c r="R5565" s="25"/>
      <c r="S5565" s="25"/>
      <c r="T5565" s="26"/>
      <c r="U5565" s="26"/>
      <c r="V5565" s="25"/>
      <c r="W5565" s="25"/>
      <c r="X5565" s="25"/>
      <c r="Y5565" s="25"/>
      <c r="Z5565" s="25"/>
    </row>
    <row r="5566" spans="1:26" ht="15.75" customHeight="1" x14ac:dyDescent="0.25">
      <c r="A5566" s="25"/>
      <c r="B5566" s="49"/>
      <c r="C5566" s="50"/>
      <c r="D5566" s="23"/>
      <c r="E5566" s="23"/>
      <c r="F5566" s="15"/>
      <c r="G5566" s="23"/>
      <c r="H5566" s="15"/>
      <c r="I5566" s="15"/>
      <c r="J5566" s="51"/>
      <c r="K5566" s="15"/>
      <c r="L5566" s="51"/>
      <c r="M5566" s="15"/>
      <c r="N5566" s="23"/>
      <c r="O5566" s="23"/>
      <c r="P5566" s="15" t="str">
        <f t="shared" si="6"/>
        <v/>
      </c>
      <c r="Q5566" s="24"/>
      <c r="R5566" s="25"/>
      <c r="S5566" s="25"/>
      <c r="T5566" s="26"/>
      <c r="U5566" s="26"/>
      <c r="V5566" s="25"/>
      <c r="W5566" s="25"/>
      <c r="X5566" s="25"/>
      <c r="Y5566" s="25"/>
      <c r="Z5566" s="25"/>
    </row>
    <row r="5567" spans="1:26" ht="15.75" customHeight="1" x14ac:dyDescent="0.25">
      <c r="A5567" s="25"/>
      <c r="B5567" s="49"/>
      <c r="C5567" s="50"/>
      <c r="D5567" s="23"/>
      <c r="E5567" s="23"/>
      <c r="F5567" s="15"/>
      <c r="G5567" s="23"/>
      <c r="H5567" s="15"/>
      <c r="I5567" s="15"/>
      <c r="J5567" s="51"/>
      <c r="K5567" s="15"/>
      <c r="L5567" s="51"/>
      <c r="M5567" s="15"/>
      <c r="N5567" s="23"/>
      <c r="O5567" s="23"/>
      <c r="P5567" s="15" t="str">
        <f t="shared" si="6"/>
        <v/>
      </c>
      <c r="Q5567" s="24"/>
      <c r="R5567" s="25"/>
      <c r="S5567" s="25"/>
      <c r="T5567" s="26"/>
      <c r="U5567" s="26"/>
      <c r="V5567" s="25"/>
      <c r="W5567" s="25"/>
      <c r="X5567" s="25"/>
      <c r="Y5567" s="25"/>
      <c r="Z5567" s="25"/>
    </row>
    <row r="5568" spans="1:26" ht="15.75" customHeight="1" x14ac:dyDescent="0.25">
      <c r="A5568" s="25"/>
      <c r="B5568" s="49"/>
      <c r="C5568" s="50"/>
      <c r="D5568" s="23"/>
      <c r="E5568" s="23"/>
      <c r="F5568" s="15"/>
      <c r="G5568" s="23"/>
      <c r="H5568" s="15"/>
      <c r="I5568" s="15"/>
      <c r="J5568" s="51"/>
      <c r="K5568" s="15"/>
      <c r="L5568" s="51"/>
      <c r="M5568" s="15"/>
      <c r="N5568" s="23"/>
      <c r="O5568" s="23"/>
      <c r="P5568" s="15" t="str">
        <f t="shared" si="6"/>
        <v/>
      </c>
      <c r="Q5568" s="24"/>
      <c r="R5568" s="25"/>
      <c r="S5568" s="25"/>
      <c r="T5568" s="26"/>
      <c r="U5568" s="26"/>
      <c r="V5568" s="25"/>
      <c r="W5568" s="25"/>
      <c r="X5568" s="25"/>
      <c r="Y5568" s="25"/>
      <c r="Z5568" s="25"/>
    </row>
    <row r="5569" spans="1:26" ht="15.75" customHeight="1" x14ac:dyDescent="0.25">
      <c r="A5569" s="25"/>
      <c r="B5569" s="49"/>
      <c r="C5569" s="50"/>
      <c r="D5569" s="23"/>
      <c r="E5569" s="23"/>
      <c r="F5569" s="15"/>
      <c r="G5569" s="23"/>
      <c r="H5569" s="15"/>
      <c r="I5569" s="15"/>
      <c r="J5569" s="51"/>
      <c r="K5569" s="15"/>
      <c r="L5569" s="51"/>
      <c r="M5569" s="15"/>
      <c r="N5569" s="23"/>
      <c r="O5569" s="23"/>
      <c r="P5569" s="15" t="str">
        <f t="shared" si="6"/>
        <v/>
      </c>
      <c r="Q5569" s="24"/>
      <c r="R5569" s="25"/>
      <c r="S5569" s="25"/>
      <c r="T5569" s="26"/>
      <c r="U5569" s="26"/>
      <c r="V5569" s="25"/>
      <c r="W5569" s="25"/>
      <c r="X5569" s="25"/>
      <c r="Y5569" s="25"/>
      <c r="Z5569" s="25"/>
    </row>
    <row r="5570" spans="1:26" ht="15.75" customHeight="1" x14ac:dyDescent="0.25">
      <c r="A5570" s="25"/>
      <c r="B5570" s="49"/>
      <c r="C5570" s="50"/>
      <c r="D5570" s="23"/>
      <c r="E5570" s="23"/>
      <c r="F5570" s="15"/>
      <c r="G5570" s="23"/>
      <c r="H5570" s="15"/>
      <c r="I5570" s="15"/>
      <c r="J5570" s="51"/>
      <c r="K5570" s="15"/>
      <c r="L5570" s="51"/>
      <c r="M5570" s="15"/>
      <c r="N5570" s="23"/>
      <c r="O5570" s="23"/>
      <c r="P5570" s="15" t="str">
        <f t="shared" si="6"/>
        <v/>
      </c>
      <c r="Q5570" s="24"/>
      <c r="R5570" s="25"/>
      <c r="S5570" s="25"/>
      <c r="T5570" s="26"/>
      <c r="U5570" s="26"/>
      <c r="V5570" s="25"/>
      <c r="W5570" s="25"/>
      <c r="X5570" s="25"/>
      <c r="Y5570" s="25"/>
      <c r="Z5570" s="25"/>
    </row>
    <row r="5571" spans="1:26" ht="15.75" customHeight="1" x14ac:dyDescent="0.25">
      <c r="A5571" s="25"/>
      <c r="B5571" s="49"/>
      <c r="C5571" s="50"/>
      <c r="D5571" s="23"/>
      <c r="E5571" s="23"/>
      <c r="F5571" s="15"/>
      <c r="G5571" s="23"/>
      <c r="H5571" s="15"/>
      <c r="I5571" s="15"/>
      <c r="J5571" s="51"/>
      <c r="K5571" s="15"/>
      <c r="L5571" s="51"/>
      <c r="M5571" s="15"/>
      <c r="N5571" s="23"/>
      <c r="O5571" s="23"/>
      <c r="P5571" s="15" t="str">
        <f t="shared" si="6"/>
        <v/>
      </c>
      <c r="Q5571" s="24"/>
      <c r="R5571" s="25"/>
      <c r="S5571" s="25"/>
      <c r="T5571" s="26"/>
      <c r="U5571" s="26"/>
      <c r="V5571" s="25"/>
      <c r="W5571" s="25"/>
      <c r="X5571" s="25"/>
      <c r="Y5571" s="25"/>
      <c r="Z5571" s="25"/>
    </row>
    <row r="5572" spans="1:26" ht="15.75" customHeight="1" x14ac:dyDescent="0.25">
      <c r="A5572" s="25"/>
      <c r="B5572" s="49"/>
      <c r="C5572" s="50"/>
      <c r="D5572" s="23"/>
      <c r="E5572" s="23"/>
      <c r="F5572" s="15"/>
      <c r="G5572" s="23"/>
      <c r="H5572" s="15"/>
      <c r="I5572" s="15"/>
      <c r="J5572" s="51"/>
      <c r="K5572" s="15"/>
      <c r="L5572" s="51"/>
      <c r="M5572" s="15"/>
      <c r="N5572" s="23"/>
      <c r="O5572" s="23"/>
      <c r="P5572" s="15" t="str">
        <f t="shared" si="6"/>
        <v/>
      </c>
      <c r="Q5572" s="24"/>
      <c r="R5572" s="25"/>
      <c r="S5572" s="25"/>
      <c r="T5572" s="26"/>
      <c r="U5572" s="26"/>
      <c r="V5572" s="25"/>
      <c r="W5572" s="25"/>
      <c r="X5572" s="25"/>
      <c r="Y5572" s="25"/>
      <c r="Z5572" s="25"/>
    </row>
    <row r="5573" spans="1:26" ht="15.75" customHeight="1" x14ac:dyDescent="0.25">
      <c r="A5573" s="25"/>
      <c r="B5573" s="49"/>
      <c r="C5573" s="50"/>
      <c r="D5573" s="23"/>
      <c r="E5573" s="23"/>
      <c r="F5573" s="15"/>
      <c r="G5573" s="23"/>
      <c r="H5573" s="15"/>
      <c r="I5573" s="15"/>
      <c r="J5573" s="51"/>
      <c r="K5573" s="15"/>
      <c r="L5573" s="51"/>
      <c r="M5573" s="15"/>
      <c r="N5573" s="23"/>
      <c r="O5573" s="23"/>
      <c r="P5573" s="15" t="str">
        <f t="shared" si="6"/>
        <v/>
      </c>
      <c r="Q5573" s="24"/>
      <c r="R5573" s="25"/>
      <c r="S5573" s="25"/>
      <c r="T5573" s="26"/>
      <c r="U5573" s="26"/>
      <c r="V5573" s="25"/>
      <c r="W5573" s="25"/>
      <c r="X5573" s="25"/>
      <c r="Y5573" s="25"/>
      <c r="Z5573" s="25"/>
    </row>
    <row r="5574" spans="1:26" ht="15.75" customHeight="1" x14ac:dyDescent="0.25">
      <c r="A5574" s="25"/>
      <c r="B5574" s="49"/>
      <c r="C5574" s="50"/>
      <c r="D5574" s="23"/>
      <c r="E5574" s="23"/>
      <c r="F5574" s="15"/>
      <c r="G5574" s="23"/>
      <c r="H5574" s="15"/>
      <c r="I5574" s="15"/>
      <c r="J5574" s="51"/>
      <c r="K5574" s="15"/>
      <c r="L5574" s="51"/>
      <c r="M5574" s="15"/>
      <c r="N5574" s="23"/>
      <c r="O5574" s="23"/>
      <c r="P5574" s="15" t="str">
        <f t="shared" si="6"/>
        <v/>
      </c>
      <c r="Q5574" s="24"/>
      <c r="R5574" s="25"/>
      <c r="S5574" s="25"/>
      <c r="T5574" s="26"/>
      <c r="U5574" s="26"/>
      <c r="V5574" s="25"/>
      <c r="W5574" s="25"/>
      <c r="X5574" s="25"/>
      <c r="Y5574" s="25"/>
      <c r="Z5574" s="25"/>
    </row>
    <row r="5575" spans="1:26" ht="15.75" customHeight="1" x14ac:dyDescent="0.25">
      <c r="A5575" s="25"/>
      <c r="B5575" s="49"/>
      <c r="C5575" s="50"/>
      <c r="D5575" s="23"/>
      <c r="E5575" s="23"/>
      <c r="F5575" s="15"/>
      <c r="G5575" s="23"/>
      <c r="H5575" s="15"/>
      <c r="I5575" s="15"/>
      <c r="J5575" s="51"/>
      <c r="K5575" s="15"/>
      <c r="L5575" s="51"/>
      <c r="M5575" s="15"/>
      <c r="N5575" s="23"/>
      <c r="O5575" s="23"/>
      <c r="P5575" s="15" t="str">
        <f t="shared" si="6"/>
        <v/>
      </c>
      <c r="Q5575" s="24"/>
      <c r="R5575" s="25"/>
      <c r="S5575" s="25"/>
      <c r="T5575" s="26"/>
      <c r="U5575" s="26"/>
      <c r="V5575" s="25"/>
      <c r="W5575" s="25"/>
      <c r="X5575" s="25"/>
      <c r="Y5575" s="25"/>
      <c r="Z5575" s="25"/>
    </row>
    <row r="5576" spans="1:26" ht="15.75" customHeight="1" x14ac:dyDescent="0.25">
      <c r="A5576" s="25"/>
      <c r="B5576" s="49"/>
      <c r="C5576" s="50"/>
      <c r="D5576" s="23"/>
      <c r="E5576" s="23"/>
      <c r="F5576" s="15"/>
      <c r="G5576" s="23"/>
      <c r="H5576" s="15"/>
      <c r="I5576" s="15"/>
      <c r="J5576" s="51"/>
      <c r="K5576" s="15"/>
      <c r="L5576" s="51"/>
      <c r="M5576" s="15"/>
      <c r="N5576" s="23"/>
      <c r="O5576" s="23"/>
      <c r="P5576" s="15" t="str">
        <f t="shared" si="6"/>
        <v/>
      </c>
      <c r="Q5576" s="24"/>
      <c r="R5576" s="25"/>
      <c r="S5576" s="25"/>
      <c r="T5576" s="26"/>
      <c r="U5576" s="26"/>
      <c r="V5576" s="25"/>
      <c r="W5576" s="25"/>
      <c r="X5576" s="25"/>
      <c r="Y5576" s="25"/>
      <c r="Z5576" s="25"/>
    </row>
    <row r="5577" spans="1:26" ht="15.75" customHeight="1" x14ac:dyDescent="0.25">
      <c r="A5577" s="25"/>
      <c r="B5577" s="49"/>
      <c r="C5577" s="50"/>
      <c r="D5577" s="23"/>
      <c r="E5577" s="23"/>
      <c r="F5577" s="15"/>
      <c r="G5577" s="23"/>
      <c r="H5577" s="15"/>
      <c r="I5577" s="15"/>
      <c r="J5577" s="51"/>
      <c r="K5577" s="15"/>
      <c r="L5577" s="51"/>
      <c r="M5577" s="15"/>
      <c r="N5577" s="23"/>
      <c r="O5577" s="23"/>
      <c r="P5577" s="15" t="str">
        <f t="shared" si="6"/>
        <v/>
      </c>
      <c r="Q5577" s="24"/>
      <c r="R5577" s="25"/>
      <c r="S5577" s="25"/>
      <c r="T5577" s="26"/>
      <c r="U5577" s="26"/>
      <c r="V5577" s="25"/>
      <c r="W5577" s="25"/>
      <c r="X5577" s="25"/>
      <c r="Y5577" s="25"/>
      <c r="Z5577" s="25"/>
    </row>
    <row r="5578" spans="1:26" ht="15.75" customHeight="1" x14ac:dyDescent="0.25">
      <c r="A5578" s="25"/>
      <c r="B5578" s="49"/>
      <c r="C5578" s="50"/>
      <c r="D5578" s="23"/>
      <c r="E5578" s="23"/>
      <c r="F5578" s="15"/>
      <c r="G5578" s="23"/>
      <c r="H5578" s="15"/>
      <c r="I5578" s="15"/>
      <c r="J5578" s="51"/>
      <c r="K5578" s="15"/>
      <c r="L5578" s="51"/>
      <c r="M5578" s="15"/>
      <c r="N5578" s="23"/>
      <c r="O5578" s="23"/>
      <c r="P5578" s="15" t="str">
        <f t="shared" si="6"/>
        <v/>
      </c>
      <c r="Q5578" s="24"/>
      <c r="R5578" s="25"/>
      <c r="S5578" s="25"/>
      <c r="T5578" s="26"/>
      <c r="U5578" s="26"/>
      <c r="V5578" s="25"/>
      <c r="W5578" s="25"/>
      <c r="X5578" s="25"/>
      <c r="Y5578" s="25"/>
      <c r="Z5578" s="25"/>
    </row>
    <row r="5579" spans="1:26" ht="15.75" customHeight="1" x14ac:dyDescent="0.25">
      <c r="A5579" s="25"/>
      <c r="B5579" s="49"/>
      <c r="C5579" s="50"/>
      <c r="D5579" s="23"/>
      <c r="E5579" s="23"/>
      <c r="F5579" s="15"/>
      <c r="G5579" s="23"/>
      <c r="H5579" s="15"/>
      <c r="I5579" s="15"/>
      <c r="J5579" s="51"/>
      <c r="K5579" s="15"/>
      <c r="L5579" s="51"/>
      <c r="M5579" s="15"/>
      <c r="N5579" s="23"/>
      <c r="O5579" s="23"/>
      <c r="P5579" s="15" t="str">
        <f t="shared" si="6"/>
        <v/>
      </c>
      <c r="Q5579" s="24"/>
      <c r="R5579" s="25"/>
      <c r="S5579" s="25"/>
      <c r="T5579" s="26"/>
      <c r="U5579" s="26"/>
      <c r="V5579" s="25"/>
      <c r="W5579" s="25"/>
      <c r="X5579" s="25"/>
      <c r="Y5579" s="25"/>
      <c r="Z5579" s="25"/>
    </row>
    <row r="5580" spans="1:26" ht="15.75" customHeight="1" x14ac:dyDescent="0.25">
      <c r="A5580" s="25"/>
      <c r="B5580" s="49"/>
      <c r="C5580" s="50"/>
      <c r="D5580" s="23"/>
      <c r="E5580" s="23"/>
      <c r="F5580" s="15"/>
      <c r="G5580" s="23"/>
      <c r="H5580" s="15"/>
      <c r="I5580" s="15"/>
      <c r="J5580" s="51"/>
      <c r="K5580" s="15"/>
      <c r="L5580" s="51"/>
      <c r="M5580" s="15"/>
      <c r="N5580" s="23"/>
      <c r="O5580" s="23"/>
      <c r="P5580" s="15" t="str">
        <f t="shared" si="6"/>
        <v/>
      </c>
      <c r="Q5580" s="24"/>
      <c r="R5580" s="25"/>
      <c r="S5580" s="25"/>
      <c r="T5580" s="26"/>
      <c r="U5580" s="26"/>
      <c r="V5580" s="25"/>
      <c r="W5580" s="25"/>
      <c r="X5580" s="25"/>
      <c r="Y5580" s="25"/>
      <c r="Z5580" s="25"/>
    </row>
    <row r="5581" spans="1:26" ht="15.75" customHeight="1" x14ac:dyDescent="0.25">
      <c r="A5581" s="25"/>
      <c r="B5581" s="49"/>
      <c r="C5581" s="50"/>
      <c r="D5581" s="23"/>
      <c r="E5581" s="23"/>
      <c r="F5581" s="15"/>
      <c r="G5581" s="23"/>
      <c r="H5581" s="15"/>
      <c r="I5581" s="15"/>
      <c r="J5581" s="51"/>
      <c r="K5581" s="15"/>
      <c r="L5581" s="51"/>
      <c r="M5581" s="15"/>
      <c r="N5581" s="23"/>
      <c r="O5581" s="23"/>
      <c r="P5581" s="15" t="str">
        <f t="shared" si="6"/>
        <v/>
      </c>
      <c r="Q5581" s="24"/>
      <c r="R5581" s="25"/>
      <c r="S5581" s="25"/>
      <c r="T5581" s="26"/>
      <c r="U5581" s="26"/>
      <c r="V5581" s="25"/>
      <c r="W5581" s="25"/>
      <c r="X5581" s="25"/>
      <c r="Y5581" s="25"/>
      <c r="Z5581" s="25"/>
    </row>
    <row r="5582" spans="1:26" ht="15.75" customHeight="1" x14ac:dyDescent="0.25">
      <c r="A5582" s="25"/>
      <c r="B5582" s="49"/>
      <c r="C5582" s="50"/>
      <c r="D5582" s="23"/>
      <c r="E5582" s="23"/>
      <c r="F5582" s="15"/>
      <c r="G5582" s="23"/>
      <c r="H5582" s="15"/>
      <c r="I5582" s="15"/>
      <c r="J5582" s="51"/>
      <c r="K5582" s="15"/>
      <c r="L5582" s="51"/>
      <c r="M5582" s="15"/>
      <c r="N5582" s="23"/>
      <c r="O5582" s="23"/>
      <c r="P5582" s="15" t="str">
        <f t="shared" si="6"/>
        <v/>
      </c>
      <c r="Q5582" s="24"/>
      <c r="R5582" s="25"/>
      <c r="S5582" s="25"/>
      <c r="T5582" s="26"/>
      <c r="U5582" s="26"/>
      <c r="V5582" s="25"/>
      <c r="W5582" s="25"/>
      <c r="X5582" s="25"/>
      <c r="Y5582" s="25"/>
      <c r="Z5582" s="25"/>
    </row>
    <row r="5583" spans="1:26" ht="15.75" customHeight="1" x14ac:dyDescent="0.25">
      <c r="A5583" s="25"/>
      <c r="B5583" s="49"/>
      <c r="C5583" s="50"/>
      <c r="D5583" s="23"/>
      <c r="E5583" s="23"/>
      <c r="F5583" s="15"/>
      <c r="G5583" s="23"/>
      <c r="H5583" s="15"/>
      <c r="I5583" s="15"/>
      <c r="J5583" s="51"/>
      <c r="K5583" s="15"/>
      <c r="L5583" s="51"/>
      <c r="M5583" s="15"/>
      <c r="N5583" s="23"/>
      <c r="O5583" s="23"/>
      <c r="P5583" s="15" t="str">
        <f t="shared" si="6"/>
        <v/>
      </c>
      <c r="Q5583" s="24"/>
      <c r="R5583" s="25"/>
      <c r="S5583" s="25"/>
      <c r="T5583" s="26"/>
      <c r="U5583" s="26"/>
      <c r="V5583" s="25"/>
      <c r="W5583" s="25"/>
      <c r="X5583" s="25"/>
      <c r="Y5583" s="25"/>
      <c r="Z5583" s="25"/>
    </row>
    <row r="5584" spans="1:26" ht="15.75" customHeight="1" x14ac:dyDescent="0.25">
      <c r="A5584" s="25"/>
      <c r="B5584" s="49"/>
      <c r="C5584" s="50"/>
      <c r="D5584" s="23"/>
      <c r="E5584" s="23"/>
      <c r="F5584" s="15"/>
      <c r="G5584" s="23"/>
      <c r="H5584" s="15"/>
      <c r="I5584" s="15"/>
      <c r="J5584" s="51"/>
      <c r="K5584" s="15"/>
      <c r="L5584" s="51"/>
      <c r="M5584" s="15"/>
      <c r="N5584" s="23"/>
      <c r="O5584" s="23"/>
      <c r="P5584" s="15" t="str">
        <f t="shared" si="6"/>
        <v/>
      </c>
      <c r="Q5584" s="24"/>
      <c r="R5584" s="25"/>
      <c r="S5584" s="25"/>
      <c r="T5584" s="26"/>
      <c r="U5584" s="26"/>
      <c r="V5584" s="25"/>
      <c r="W5584" s="25"/>
      <c r="X5584" s="25"/>
      <c r="Y5584" s="25"/>
      <c r="Z5584" s="25"/>
    </row>
    <row r="5585" spans="1:26" ht="15.75" customHeight="1" x14ac:dyDescent="0.25">
      <c r="A5585" s="25"/>
      <c r="B5585" s="49"/>
      <c r="C5585" s="50"/>
      <c r="D5585" s="23"/>
      <c r="E5585" s="23"/>
      <c r="F5585" s="15"/>
      <c r="G5585" s="23"/>
      <c r="H5585" s="15"/>
      <c r="I5585" s="15"/>
      <c r="J5585" s="51"/>
      <c r="K5585" s="15"/>
      <c r="L5585" s="51"/>
      <c r="M5585" s="15"/>
      <c r="N5585" s="23"/>
      <c r="O5585" s="23"/>
      <c r="P5585" s="15" t="str">
        <f t="shared" si="6"/>
        <v/>
      </c>
      <c r="Q5585" s="24"/>
      <c r="R5585" s="25"/>
      <c r="S5585" s="25"/>
      <c r="T5585" s="26"/>
      <c r="U5585" s="26"/>
      <c r="V5585" s="25"/>
      <c r="W5585" s="25"/>
      <c r="X5585" s="25"/>
      <c r="Y5585" s="25"/>
      <c r="Z5585" s="25"/>
    </row>
    <row r="5586" spans="1:26" ht="15.75" customHeight="1" x14ac:dyDescent="0.25">
      <c r="A5586" s="25"/>
      <c r="B5586" s="49"/>
      <c r="C5586" s="50"/>
      <c r="D5586" s="23"/>
      <c r="E5586" s="23"/>
      <c r="F5586" s="15"/>
      <c r="G5586" s="23"/>
      <c r="H5586" s="15"/>
      <c r="I5586" s="15"/>
      <c r="J5586" s="51"/>
      <c r="K5586" s="15"/>
      <c r="L5586" s="51"/>
      <c r="M5586" s="15"/>
      <c r="N5586" s="23"/>
      <c r="O5586" s="23"/>
      <c r="P5586" s="15" t="str">
        <f t="shared" si="6"/>
        <v/>
      </c>
      <c r="Q5586" s="24"/>
      <c r="R5586" s="25"/>
      <c r="S5586" s="25"/>
      <c r="T5586" s="26"/>
      <c r="U5586" s="26"/>
      <c r="V5586" s="25"/>
      <c r="W5586" s="25"/>
      <c r="X5586" s="25"/>
      <c r="Y5586" s="25"/>
      <c r="Z5586" s="25"/>
    </row>
    <row r="5587" spans="1:26" ht="15.75" customHeight="1" x14ac:dyDescent="0.25">
      <c r="A5587" s="25"/>
      <c r="B5587" s="49"/>
      <c r="C5587" s="50"/>
      <c r="D5587" s="23"/>
      <c r="E5587" s="23"/>
      <c r="F5587" s="15"/>
      <c r="G5587" s="23"/>
      <c r="H5587" s="15"/>
      <c r="I5587" s="15"/>
      <c r="J5587" s="51"/>
      <c r="K5587" s="15"/>
      <c r="L5587" s="51"/>
      <c r="M5587" s="15"/>
      <c r="N5587" s="23"/>
      <c r="O5587" s="23"/>
      <c r="P5587" s="15" t="str">
        <f t="shared" si="6"/>
        <v/>
      </c>
      <c r="Q5587" s="24"/>
      <c r="R5587" s="25"/>
      <c r="S5587" s="25"/>
      <c r="T5587" s="26"/>
      <c r="U5587" s="26"/>
      <c r="V5587" s="25"/>
      <c r="W5587" s="25"/>
      <c r="X5587" s="25"/>
      <c r="Y5587" s="25"/>
      <c r="Z5587" s="25"/>
    </row>
    <row r="5588" spans="1:26" ht="15.75" customHeight="1" x14ac:dyDescent="0.25">
      <c r="A5588" s="25"/>
      <c r="B5588" s="49"/>
      <c r="C5588" s="50"/>
      <c r="D5588" s="23"/>
      <c r="E5588" s="23"/>
      <c r="F5588" s="15"/>
      <c r="G5588" s="23"/>
      <c r="H5588" s="15"/>
      <c r="I5588" s="15"/>
      <c r="J5588" s="51"/>
      <c r="K5588" s="15"/>
      <c r="L5588" s="51"/>
      <c r="M5588" s="15"/>
      <c r="N5588" s="23"/>
      <c r="O5588" s="23"/>
      <c r="P5588" s="15" t="str">
        <f t="shared" si="6"/>
        <v/>
      </c>
      <c r="Q5588" s="24"/>
      <c r="R5588" s="25"/>
      <c r="S5588" s="25"/>
      <c r="T5588" s="26"/>
      <c r="U5588" s="26"/>
      <c r="V5588" s="25"/>
      <c r="W5588" s="25"/>
      <c r="X5588" s="25"/>
      <c r="Y5588" s="25"/>
      <c r="Z5588" s="25"/>
    </row>
    <row r="5589" spans="1:26" ht="15.75" customHeight="1" x14ac:dyDescent="0.25">
      <c r="A5589" s="25"/>
      <c r="B5589" s="49"/>
      <c r="C5589" s="50"/>
      <c r="D5589" s="23"/>
      <c r="E5589" s="23"/>
      <c r="F5589" s="15"/>
      <c r="G5589" s="23"/>
      <c r="H5589" s="15"/>
      <c r="I5589" s="15"/>
      <c r="J5589" s="51"/>
      <c r="K5589" s="15"/>
      <c r="L5589" s="51"/>
      <c r="M5589" s="15"/>
      <c r="N5589" s="23"/>
      <c r="O5589" s="23"/>
      <c r="P5589" s="15" t="str">
        <f t="shared" si="6"/>
        <v/>
      </c>
      <c r="Q5589" s="24"/>
      <c r="R5589" s="25"/>
      <c r="S5589" s="25"/>
      <c r="T5589" s="26"/>
      <c r="U5589" s="26"/>
      <c r="V5589" s="25"/>
      <c r="W5589" s="25"/>
      <c r="X5589" s="25"/>
      <c r="Y5589" s="25"/>
      <c r="Z5589" s="25"/>
    </row>
    <row r="5590" spans="1:26" ht="15.75" customHeight="1" x14ac:dyDescent="0.25">
      <c r="A5590" s="25"/>
      <c r="B5590" s="49"/>
      <c r="C5590" s="50"/>
      <c r="D5590" s="23"/>
      <c r="E5590" s="23"/>
      <c r="F5590" s="15"/>
      <c r="G5590" s="23"/>
      <c r="H5590" s="15"/>
      <c r="I5590" s="15"/>
      <c r="J5590" s="51"/>
      <c r="K5590" s="15"/>
      <c r="L5590" s="51"/>
      <c r="M5590" s="15"/>
      <c r="N5590" s="23"/>
      <c r="O5590" s="23"/>
      <c r="P5590" s="15" t="str">
        <f t="shared" si="6"/>
        <v/>
      </c>
      <c r="Q5590" s="24"/>
      <c r="R5590" s="25"/>
      <c r="S5590" s="25"/>
      <c r="T5590" s="26"/>
      <c r="U5590" s="26"/>
      <c r="V5590" s="25"/>
      <c r="W5590" s="25"/>
      <c r="X5590" s="25"/>
      <c r="Y5590" s="25"/>
      <c r="Z5590" s="25"/>
    </row>
    <row r="5591" spans="1:26" ht="15.75" customHeight="1" x14ac:dyDescent="0.25">
      <c r="A5591" s="25"/>
      <c r="B5591" s="49"/>
      <c r="C5591" s="50"/>
      <c r="D5591" s="23"/>
      <c r="E5591" s="23"/>
      <c r="F5591" s="15"/>
      <c r="G5591" s="23"/>
      <c r="H5591" s="15"/>
      <c r="I5591" s="15"/>
      <c r="J5591" s="51"/>
      <c r="K5591" s="15"/>
      <c r="L5591" s="51"/>
      <c r="M5591" s="15"/>
      <c r="N5591" s="23"/>
      <c r="O5591" s="23"/>
      <c r="P5591" s="15" t="str">
        <f t="shared" si="6"/>
        <v/>
      </c>
      <c r="Q5591" s="24"/>
      <c r="R5591" s="25"/>
      <c r="S5591" s="25"/>
      <c r="T5591" s="26"/>
      <c r="U5591" s="26"/>
      <c r="V5591" s="25"/>
      <c r="W5591" s="25"/>
      <c r="X5591" s="25"/>
      <c r="Y5591" s="25"/>
      <c r="Z5591" s="25"/>
    </row>
    <row r="5592" spans="1:26" ht="15.75" customHeight="1" x14ac:dyDescent="0.25">
      <c r="A5592" s="25"/>
      <c r="B5592" s="49"/>
      <c r="C5592" s="50"/>
      <c r="D5592" s="23"/>
      <c r="E5592" s="23"/>
      <c r="F5592" s="15"/>
      <c r="G5592" s="23"/>
      <c r="H5592" s="15"/>
      <c r="I5592" s="15"/>
      <c r="J5592" s="51"/>
      <c r="K5592" s="15"/>
      <c r="L5592" s="51"/>
      <c r="M5592" s="15"/>
      <c r="N5592" s="23"/>
      <c r="O5592" s="23"/>
      <c r="P5592" s="15" t="str">
        <f t="shared" si="6"/>
        <v/>
      </c>
      <c r="Q5592" s="24"/>
      <c r="R5592" s="25"/>
      <c r="S5592" s="25"/>
      <c r="T5592" s="26"/>
      <c r="U5592" s="26"/>
      <c r="V5592" s="25"/>
      <c r="W5592" s="25"/>
      <c r="X5592" s="25"/>
      <c r="Y5592" s="25"/>
      <c r="Z5592" s="25"/>
    </row>
    <row r="5593" spans="1:26" ht="15.75" customHeight="1" x14ac:dyDescent="0.25">
      <c r="A5593" s="25"/>
      <c r="B5593" s="49"/>
      <c r="C5593" s="50"/>
      <c r="D5593" s="23"/>
      <c r="E5593" s="23"/>
      <c r="F5593" s="15"/>
      <c r="G5593" s="23"/>
      <c r="H5593" s="15"/>
      <c r="I5593" s="15"/>
      <c r="J5593" s="51"/>
      <c r="K5593" s="15"/>
      <c r="L5593" s="51"/>
      <c r="M5593" s="15"/>
      <c r="N5593" s="23"/>
      <c r="O5593" s="23"/>
      <c r="P5593" s="15" t="str">
        <f t="shared" si="6"/>
        <v/>
      </c>
      <c r="Q5593" s="24"/>
      <c r="R5593" s="25"/>
      <c r="S5593" s="25"/>
      <c r="T5593" s="26"/>
      <c r="U5593" s="26"/>
      <c r="V5593" s="25"/>
      <c r="W5593" s="25"/>
      <c r="X5593" s="25"/>
      <c r="Y5593" s="25"/>
      <c r="Z5593" s="25"/>
    </row>
    <row r="5594" spans="1:26" ht="15.75" customHeight="1" x14ac:dyDescent="0.25">
      <c r="A5594" s="25"/>
      <c r="B5594" s="49"/>
      <c r="C5594" s="50"/>
      <c r="D5594" s="23"/>
      <c r="E5594" s="23"/>
      <c r="F5594" s="15"/>
      <c r="G5594" s="23"/>
      <c r="H5594" s="15"/>
      <c r="I5594" s="15"/>
      <c r="J5594" s="51"/>
      <c r="K5594" s="15"/>
      <c r="L5594" s="51"/>
      <c r="M5594" s="15"/>
      <c r="N5594" s="23"/>
      <c r="O5594" s="23"/>
      <c r="P5594" s="15" t="str">
        <f t="shared" si="6"/>
        <v/>
      </c>
      <c r="Q5594" s="24"/>
      <c r="R5594" s="25"/>
      <c r="S5594" s="25"/>
      <c r="T5594" s="26"/>
      <c r="U5594" s="26"/>
      <c r="V5594" s="25"/>
      <c r="W5594" s="25"/>
      <c r="X5594" s="25"/>
      <c r="Y5594" s="25"/>
      <c r="Z5594" s="25"/>
    </row>
    <row r="5595" spans="1:26" ht="15.75" customHeight="1" x14ac:dyDescent="0.25">
      <c r="A5595" s="25"/>
      <c r="B5595" s="49"/>
      <c r="C5595" s="50"/>
      <c r="D5595" s="23"/>
      <c r="E5595" s="23"/>
      <c r="F5595" s="15"/>
      <c r="G5595" s="23"/>
      <c r="H5595" s="15"/>
      <c r="I5595" s="15"/>
      <c r="J5595" s="51"/>
      <c r="K5595" s="15"/>
      <c r="L5595" s="51"/>
      <c r="M5595" s="15"/>
      <c r="N5595" s="23"/>
      <c r="O5595" s="23"/>
      <c r="P5595" s="15" t="str">
        <f t="shared" si="6"/>
        <v/>
      </c>
      <c r="Q5595" s="24"/>
      <c r="R5595" s="25"/>
      <c r="S5595" s="25"/>
      <c r="T5595" s="26"/>
      <c r="U5595" s="26"/>
      <c r="V5595" s="25"/>
      <c r="W5595" s="25"/>
      <c r="X5595" s="25"/>
      <c r="Y5595" s="25"/>
      <c r="Z5595" s="25"/>
    </row>
    <row r="5596" spans="1:26" ht="15.75" customHeight="1" x14ac:dyDescent="0.25">
      <c r="A5596" s="25"/>
      <c r="B5596" s="49"/>
      <c r="C5596" s="50"/>
      <c r="D5596" s="23"/>
      <c r="E5596" s="23"/>
      <c r="F5596" s="15"/>
      <c r="G5596" s="23"/>
      <c r="H5596" s="15"/>
      <c r="I5596" s="15"/>
      <c r="J5596" s="51"/>
      <c r="K5596" s="15"/>
      <c r="L5596" s="51"/>
      <c r="M5596" s="15"/>
      <c r="N5596" s="23"/>
      <c r="O5596" s="23"/>
      <c r="P5596" s="15" t="str">
        <f t="shared" si="6"/>
        <v/>
      </c>
      <c r="Q5596" s="24"/>
      <c r="R5596" s="25"/>
      <c r="S5596" s="25"/>
      <c r="T5596" s="26"/>
      <c r="U5596" s="26"/>
      <c r="V5596" s="25"/>
      <c r="W5596" s="25"/>
      <c r="X5596" s="25"/>
      <c r="Y5596" s="25"/>
      <c r="Z5596" s="25"/>
    </row>
    <row r="5597" spans="1:26" ht="15.75" customHeight="1" x14ac:dyDescent="0.25">
      <c r="A5597" s="25"/>
      <c r="B5597" s="49"/>
      <c r="C5597" s="50"/>
      <c r="D5597" s="23"/>
      <c r="E5597" s="23"/>
      <c r="F5597" s="15"/>
      <c r="G5597" s="23"/>
      <c r="H5597" s="15"/>
      <c r="I5597" s="15"/>
      <c r="J5597" s="51"/>
      <c r="K5597" s="15"/>
      <c r="L5597" s="51"/>
      <c r="M5597" s="15"/>
      <c r="N5597" s="23"/>
      <c r="O5597" s="23"/>
      <c r="P5597" s="15" t="str">
        <f t="shared" si="6"/>
        <v/>
      </c>
      <c r="Q5597" s="24"/>
      <c r="R5597" s="25"/>
      <c r="S5597" s="25"/>
      <c r="T5597" s="26"/>
      <c r="U5597" s="26"/>
      <c r="V5597" s="25"/>
      <c r="W5597" s="25"/>
      <c r="X5597" s="25"/>
      <c r="Y5597" s="25"/>
      <c r="Z5597" s="25"/>
    </row>
    <row r="5598" spans="1:26" ht="15.75" customHeight="1" x14ac:dyDescent="0.25">
      <c r="A5598" s="25"/>
      <c r="B5598" s="49"/>
      <c r="C5598" s="50"/>
      <c r="D5598" s="23"/>
      <c r="E5598" s="23"/>
      <c r="F5598" s="15"/>
      <c r="G5598" s="23"/>
      <c r="H5598" s="15"/>
      <c r="I5598" s="15"/>
      <c r="J5598" s="51"/>
      <c r="K5598" s="15"/>
      <c r="L5598" s="51"/>
      <c r="M5598" s="15"/>
      <c r="N5598" s="23"/>
      <c r="O5598" s="23"/>
      <c r="P5598" s="15" t="str">
        <f t="shared" si="6"/>
        <v/>
      </c>
      <c r="Q5598" s="24"/>
      <c r="R5598" s="25"/>
      <c r="S5598" s="25"/>
      <c r="T5598" s="26"/>
      <c r="U5598" s="26"/>
      <c r="V5598" s="25"/>
      <c r="W5598" s="25"/>
      <c r="X5598" s="25"/>
      <c r="Y5598" s="25"/>
      <c r="Z5598" s="25"/>
    </row>
    <row r="5599" spans="1:26" ht="15.75" customHeight="1" x14ac:dyDescent="0.25">
      <c r="A5599" s="25"/>
      <c r="B5599" s="49"/>
      <c r="C5599" s="50"/>
      <c r="D5599" s="23"/>
      <c r="E5599" s="23"/>
      <c r="F5599" s="15"/>
      <c r="G5599" s="23"/>
      <c r="H5599" s="15"/>
      <c r="I5599" s="15"/>
      <c r="J5599" s="51"/>
      <c r="K5599" s="15"/>
      <c r="L5599" s="51"/>
      <c r="M5599" s="15"/>
      <c r="N5599" s="23"/>
      <c r="O5599" s="23"/>
      <c r="P5599" s="15" t="str">
        <f t="shared" si="6"/>
        <v/>
      </c>
      <c r="Q5599" s="24"/>
      <c r="R5599" s="25"/>
      <c r="S5599" s="25"/>
      <c r="T5599" s="26"/>
      <c r="U5599" s="26"/>
      <c r="V5599" s="25"/>
      <c r="W5599" s="25"/>
      <c r="X5599" s="25"/>
      <c r="Y5599" s="25"/>
      <c r="Z5599" s="25"/>
    </row>
    <row r="5600" spans="1:26" ht="15.75" customHeight="1" x14ac:dyDescent="0.25">
      <c r="A5600" s="25"/>
      <c r="B5600" s="49"/>
      <c r="C5600" s="50"/>
      <c r="D5600" s="23"/>
      <c r="E5600" s="23"/>
      <c r="F5600" s="15"/>
      <c r="G5600" s="23"/>
      <c r="H5600" s="15"/>
      <c r="I5600" s="15"/>
      <c r="J5600" s="51"/>
      <c r="K5600" s="15"/>
      <c r="L5600" s="51"/>
      <c r="M5600" s="15"/>
      <c r="N5600" s="23"/>
      <c r="O5600" s="23"/>
      <c r="P5600" s="15" t="str">
        <f t="shared" si="6"/>
        <v/>
      </c>
      <c r="Q5600" s="24"/>
      <c r="R5600" s="25"/>
      <c r="S5600" s="25"/>
      <c r="T5600" s="26"/>
      <c r="U5600" s="26"/>
      <c r="V5600" s="25"/>
      <c r="W5600" s="25"/>
      <c r="X5600" s="25"/>
      <c r="Y5600" s="25"/>
      <c r="Z5600" s="25"/>
    </row>
    <row r="5601" spans="1:26" ht="15.75" customHeight="1" x14ac:dyDescent="0.25">
      <c r="A5601" s="25"/>
      <c r="B5601" s="49"/>
      <c r="C5601" s="50"/>
      <c r="D5601" s="23"/>
      <c r="E5601" s="23"/>
      <c r="F5601" s="15"/>
      <c r="G5601" s="23"/>
      <c r="H5601" s="15"/>
      <c r="I5601" s="15"/>
      <c r="J5601" s="51"/>
      <c r="K5601" s="15"/>
      <c r="L5601" s="51"/>
      <c r="M5601" s="15"/>
      <c r="N5601" s="23"/>
      <c r="O5601" s="23"/>
      <c r="P5601" s="15" t="str">
        <f t="shared" si="6"/>
        <v/>
      </c>
      <c r="Q5601" s="24"/>
      <c r="R5601" s="25"/>
      <c r="S5601" s="25"/>
      <c r="T5601" s="26"/>
      <c r="U5601" s="26"/>
      <c r="V5601" s="25"/>
      <c r="W5601" s="25"/>
      <c r="X5601" s="25"/>
      <c r="Y5601" s="25"/>
      <c r="Z5601" s="25"/>
    </row>
    <row r="5602" spans="1:26" ht="15.75" customHeight="1" x14ac:dyDescent="0.25">
      <c r="A5602" s="25"/>
      <c r="B5602" s="49"/>
      <c r="C5602" s="50"/>
      <c r="D5602" s="23"/>
      <c r="E5602" s="23"/>
      <c r="F5602" s="15"/>
      <c r="G5602" s="23"/>
      <c r="H5602" s="15"/>
      <c r="I5602" s="15"/>
      <c r="J5602" s="51"/>
      <c r="K5602" s="15"/>
      <c r="L5602" s="51"/>
      <c r="M5602" s="15"/>
      <c r="N5602" s="23"/>
      <c r="O5602" s="23"/>
      <c r="P5602" s="15" t="str">
        <f t="shared" si="6"/>
        <v/>
      </c>
      <c r="Q5602" s="24"/>
      <c r="R5602" s="25"/>
      <c r="S5602" s="25"/>
      <c r="T5602" s="26"/>
      <c r="U5602" s="26"/>
      <c r="V5602" s="25"/>
      <c r="W5602" s="25"/>
      <c r="X5602" s="25"/>
      <c r="Y5602" s="25"/>
      <c r="Z5602" s="25"/>
    </row>
    <row r="5603" spans="1:26" ht="15.75" customHeight="1" x14ac:dyDescent="0.25">
      <c r="A5603" s="25"/>
      <c r="B5603" s="49"/>
      <c r="C5603" s="50"/>
      <c r="D5603" s="23"/>
      <c r="E5603" s="23"/>
      <c r="F5603" s="15"/>
      <c r="G5603" s="23"/>
      <c r="H5603" s="15"/>
      <c r="I5603" s="15"/>
      <c r="J5603" s="51"/>
      <c r="K5603" s="15"/>
      <c r="L5603" s="51"/>
      <c r="M5603" s="15"/>
      <c r="N5603" s="23"/>
      <c r="O5603" s="23"/>
      <c r="P5603" s="15" t="str">
        <f t="shared" si="6"/>
        <v/>
      </c>
      <c r="Q5603" s="24"/>
      <c r="R5603" s="25"/>
      <c r="S5603" s="25"/>
      <c r="T5603" s="26"/>
      <c r="U5603" s="26"/>
      <c r="V5603" s="25"/>
      <c r="W5603" s="25"/>
      <c r="X5603" s="25"/>
      <c r="Y5603" s="25"/>
      <c r="Z5603" s="25"/>
    </row>
    <row r="5604" spans="1:26" ht="15.75" customHeight="1" x14ac:dyDescent="0.25">
      <c r="A5604" s="25"/>
      <c r="B5604" s="49"/>
      <c r="C5604" s="50"/>
      <c r="D5604" s="23"/>
      <c r="E5604" s="23"/>
      <c r="F5604" s="15"/>
      <c r="G5604" s="23"/>
      <c r="H5604" s="15"/>
      <c r="I5604" s="15"/>
      <c r="J5604" s="51"/>
      <c r="K5604" s="15"/>
      <c r="L5604" s="51"/>
      <c r="M5604" s="15"/>
      <c r="N5604" s="23"/>
      <c r="O5604" s="23"/>
      <c r="P5604" s="15" t="str">
        <f t="shared" si="6"/>
        <v/>
      </c>
      <c r="Q5604" s="24"/>
      <c r="R5604" s="25"/>
      <c r="S5604" s="25"/>
      <c r="T5604" s="26"/>
      <c r="U5604" s="26"/>
      <c r="V5604" s="25"/>
      <c r="W5604" s="25"/>
      <c r="X5604" s="25"/>
      <c r="Y5604" s="25"/>
      <c r="Z5604" s="25"/>
    </row>
    <row r="5605" spans="1:26" ht="15.75" customHeight="1" x14ac:dyDescent="0.25">
      <c r="A5605" s="25"/>
      <c r="B5605" s="49"/>
      <c r="C5605" s="50"/>
      <c r="D5605" s="23"/>
      <c r="E5605" s="23"/>
      <c r="F5605" s="15"/>
      <c r="G5605" s="23"/>
      <c r="H5605" s="15"/>
      <c r="I5605" s="15"/>
      <c r="J5605" s="51"/>
      <c r="K5605" s="15"/>
      <c r="L5605" s="51"/>
      <c r="M5605" s="15"/>
      <c r="N5605" s="23"/>
      <c r="O5605" s="23"/>
      <c r="P5605" s="15" t="str">
        <f t="shared" si="6"/>
        <v/>
      </c>
      <c r="Q5605" s="24"/>
      <c r="R5605" s="25"/>
      <c r="S5605" s="25"/>
      <c r="T5605" s="26"/>
      <c r="U5605" s="26"/>
      <c r="V5605" s="25"/>
      <c r="W5605" s="25"/>
      <c r="X5605" s="25"/>
      <c r="Y5605" s="25"/>
      <c r="Z5605" s="25"/>
    </row>
    <row r="5606" spans="1:26" ht="15.75" customHeight="1" x14ac:dyDescent="0.25">
      <c r="A5606" s="25"/>
      <c r="B5606" s="49"/>
      <c r="C5606" s="50"/>
      <c r="D5606" s="23"/>
      <c r="E5606" s="23"/>
      <c r="F5606" s="15"/>
      <c r="G5606" s="23"/>
      <c r="H5606" s="15"/>
      <c r="I5606" s="15"/>
      <c r="J5606" s="51"/>
      <c r="K5606" s="15"/>
      <c r="L5606" s="51"/>
      <c r="M5606" s="15"/>
      <c r="N5606" s="23"/>
      <c r="O5606" s="23"/>
      <c r="P5606" s="15" t="str">
        <f t="shared" si="6"/>
        <v/>
      </c>
      <c r="Q5606" s="24"/>
      <c r="R5606" s="25"/>
      <c r="S5606" s="25"/>
      <c r="T5606" s="26"/>
      <c r="U5606" s="26"/>
      <c r="V5606" s="25"/>
      <c r="W5606" s="25"/>
      <c r="X5606" s="25"/>
      <c r="Y5606" s="25"/>
      <c r="Z5606" s="25"/>
    </row>
    <row r="5607" spans="1:26" ht="15.75" customHeight="1" x14ac:dyDescent="0.25">
      <c r="A5607" s="25"/>
      <c r="B5607" s="49"/>
      <c r="C5607" s="50"/>
      <c r="D5607" s="23"/>
      <c r="E5607" s="23"/>
      <c r="F5607" s="15"/>
      <c r="G5607" s="23"/>
      <c r="H5607" s="15"/>
      <c r="I5607" s="15"/>
      <c r="J5607" s="51"/>
      <c r="K5607" s="15"/>
      <c r="L5607" s="51"/>
      <c r="M5607" s="15"/>
      <c r="N5607" s="23"/>
      <c r="O5607" s="23"/>
      <c r="P5607" s="15" t="str">
        <f t="shared" si="6"/>
        <v/>
      </c>
      <c r="Q5607" s="24"/>
      <c r="R5607" s="25"/>
      <c r="S5607" s="25"/>
      <c r="T5607" s="26"/>
      <c r="U5607" s="26"/>
      <c r="V5607" s="25"/>
      <c r="W5607" s="25"/>
      <c r="X5607" s="25"/>
      <c r="Y5607" s="25"/>
      <c r="Z5607" s="25"/>
    </row>
    <row r="5608" spans="1:26" ht="15.75" customHeight="1" x14ac:dyDescent="0.25">
      <c r="A5608" s="25"/>
      <c r="B5608" s="49"/>
      <c r="C5608" s="50"/>
      <c r="D5608" s="23"/>
      <c r="E5608" s="23"/>
      <c r="F5608" s="15"/>
      <c r="G5608" s="23"/>
      <c r="H5608" s="15"/>
      <c r="I5608" s="15"/>
      <c r="J5608" s="51"/>
      <c r="K5608" s="15"/>
      <c r="L5608" s="51"/>
      <c r="M5608" s="15"/>
      <c r="N5608" s="23"/>
      <c r="O5608" s="23"/>
      <c r="P5608" s="15" t="str">
        <f t="shared" si="6"/>
        <v/>
      </c>
      <c r="Q5608" s="24"/>
      <c r="R5608" s="25"/>
      <c r="S5608" s="25"/>
      <c r="T5608" s="26"/>
      <c r="U5608" s="26"/>
      <c r="V5608" s="25"/>
      <c r="W5608" s="25"/>
      <c r="X5608" s="25"/>
      <c r="Y5608" s="25"/>
      <c r="Z5608" s="25"/>
    </row>
    <row r="5609" spans="1:26" ht="15.75" customHeight="1" x14ac:dyDescent="0.25">
      <c r="A5609" s="25"/>
      <c r="B5609" s="49"/>
      <c r="C5609" s="50"/>
      <c r="D5609" s="23"/>
      <c r="E5609" s="23"/>
      <c r="F5609" s="15"/>
      <c r="G5609" s="23"/>
      <c r="H5609" s="15"/>
      <c r="I5609" s="15"/>
      <c r="J5609" s="51"/>
      <c r="K5609" s="15"/>
      <c r="L5609" s="51"/>
      <c r="M5609" s="15"/>
      <c r="N5609" s="23"/>
      <c r="O5609" s="23"/>
      <c r="P5609" s="15" t="str">
        <f t="shared" si="6"/>
        <v/>
      </c>
      <c r="Q5609" s="24"/>
      <c r="R5609" s="25"/>
      <c r="S5609" s="25"/>
      <c r="T5609" s="26"/>
      <c r="U5609" s="26"/>
      <c r="V5609" s="25"/>
      <c r="W5609" s="25"/>
      <c r="X5609" s="25"/>
      <c r="Y5609" s="25"/>
      <c r="Z5609" s="25"/>
    </row>
    <row r="5610" spans="1:26" ht="15.75" customHeight="1" x14ac:dyDescent="0.25">
      <c r="A5610" s="25"/>
      <c r="B5610" s="49"/>
      <c r="C5610" s="50"/>
      <c r="D5610" s="23"/>
      <c r="E5610" s="23"/>
      <c r="F5610" s="15"/>
      <c r="G5610" s="23"/>
      <c r="H5610" s="15"/>
      <c r="I5610" s="15"/>
      <c r="J5610" s="51"/>
      <c r="K5610" s="15"/>
      <c r="L5610" s="51"/>
      <c r="M5610" s="15"/>
      <c r="N5610" s="23"/>
      <c r="O5610" s="23"/>
      <c r="P5610" s="15" t="str">
        <f t="shared" si="6"/>
        <v/>
      </c>
      <c r="Q5610" s="24"/>
      <c r="R5610" s="25"/>
      <c r="S5610" s="25"/>
      <c r="T5610" s="26"/>
      <c r="U5610" s="26"/>
      <c r="V5610" s="25"/>
      <c r="W5610" s="25"/>
      <c r="X5610" s="25"/>
      <c r="Y5610" s="25"/>
      <c r="Z5610" s="25"/>
    </row>
    <row r="5611" spans="1:26" ht="15.75" customHeight="1" x14ac:dyDescent="0.25">
      <c r="A5611" s="25"/>
      <c r="B5611" s="49"/>
      <c r="C5611" s="50"/>
      <c r="D5611" s="23"/>
      <c r="E5611" s="23"/>
      <c r="F5611" s="15"/>
      <c r="G5611" s="23"/>
      <c r="H5611" s="15"/>
      <c r="I5611" s="15"/>
      <c r="J5611" s="51"/>
      <c r="K5611" s="15"/>
      <c r="L5611" s="51"/>
      <c r="M5611" s="15"/>
      <c r="N5611" s="23"/>
      <c r="O5611" s="23"/>
      <c r="P5611" s="15" t="str">
        <f t="shared" si="6"/>
        <v/>
      </c>
      <c r="Q5611" s="24"/>
      <c r="R5611" s="25"/>
      <c r="S5611" s="25"/>
      <c r="T5611" s="26"/>
      <c r="U5611" s="26"/>
      <c r="V5611" s="25"/>
      <c r="W5611" s="25"/>
      <c r="X5611" s="25"/>
      <c r="Y5611" s="25"/>
      <c r="Z5611" s="25"/>
    </row>
    <row r="5612" spans="1:26" ht="15.75" customHeight="1" x14ac:dyDescent="0.25">
      <c r="A5612" s="25"/>
      <c r="B5612" s="49"/>
      <c r="C5612" s="50"/>
      <c r="D5612" s="23"/>
      <c r="E5612" s="23"/>
      <c r="F5612" s="15"/>
      <c r="G5612" s="23"/>
      <c r="H5612" s="15"/>
      <c r="I5612" s="15"/>
      <c r="J5612" s="51"/>
      <c r="K5612" s="15"/>
      <c r="L5612" s="51"/>
      <c r="M5612" s="15"/>
      <c r="N5612" s="23"/>
      <c r="O5612" s="23"/>
      <c r="P5612" s="15" t="str">
        <f t="shared" si="6"/>
        <v/>
      </c>
      <c r="Q5612" s="24"/>
      <c r="R5612" s="25"/>
      <c r="S5612" s="25"/>
      <c r="T5612" s="26"/>
      <c r="U5612" s="26"/>
      <c r="V5612" s="25"/>
      <c r="W5612" s="25"/>
      <c r="X5612" s="25"/>
      <c r="Y5612" s="25"/>
      <c r="Z5612" s="25"/>
    </row>
    <row r="5613" spans="1:26" ht="15.75" customHeight="1" x14ac:dyDescent="0.25">
      <c r="A5613" s="25"/>
      <c r="B5613" s="49"/>
      <c r="C5613" s="50"/>
      <c r="D5613" s="23"/>
      <c r="E5613" s="23"/>
      <c r="F5613" s="15"/>
      <c r="G5613" s="23"/>
      <c r="H5613" s="15"/>
      <c r="I5613" s="15"/>
      <c r="J5613" s="51"/>
      <c r="K5613" s="15"/>
      <c r="L5613" s="51"/>
      <c r="M5613" s="15"/>
      <c r="N5613" s="23"/>
      <c r="O5613" s="23"/>
      <c r="P5613" s="15" t="str">
        <f t="shared" si="6"/>
        <v/>
      </c>
      <c r="Q5613" s="24"/>
      <c r="R5613" s="25"/>
      <c r="S5613" s="25"/>
      <c r="T5613" s="26"/>
      <c r="U5613" s="26"/>
      <c r="V5613" s="25"/>
      <c r="W5613" s="25"/>
      <c r="X5613" s="25"/>
      <c r="Y5613" s="25"/>
      <c r="Z5613" s="25"/>
    </row>
    <row r="5614" spans="1:26" ht="15.75" customHeight="1" x14ac:dyDescent="0.25">
      <c r="A5614" s="25"/>
      <c r="B5614" s="49"/>
      <c r="C5614" s="50"/>
      <c r="D5614" s="23"/>
      <c r="E5614" s="23"/>
      <c r="F5614" s="15"/>
      <c r="G5614" s="23"/>
      <c r="H5614" s="15"/>
      <c r="I5614" s="15"/>
      <c r="J5614" s="51"/>
      <c r="K5614" s="15"/>
      <c r="L5614" s="51"/>
      <c r="M5614" s="15"/>
      <c r="N5614" s="23"/>
      <c r="O5614" s="23"/>
      <c r="P5614" s="15" t="str">
        <f t="shared" si="6"/>
        <v/>
      </c>
      <c r="Q5614" s="24"/>
      <c r="R5614" s="25"/>
      <c r="S5614" s="25"/>
      <c r="T5614" s="26"/>
      <c r="U5614" s="26"/>
      <c r="V5614" s="25"/>
      <c r="W5614" s="25"/>
      <c r="X5614" s="25"/>
      <c r="Y5614" s="25"/>
      <c r="Z5614" s="25"/>
    </row>
    <row r="5615" spans="1:26" ht="15.75" customHeight="1" x14ac:dyDescent="0.25">
      <c r="A5615" s="25"/>
      <c r="B5615" s="49"/>
      <c r="C5615" s="50"/>
      <c r="D5615" s="23"/>
      <c r="E5615" s="23"/>
      <c r="F5615" s="15"/>
      <c r="G5615" s="23"/>
      <c r="H5615" s="15"/>
      <c r="I5615" s="15"/>
      <c r="J5615" s="51"/>
      <c r="K5615" s="15"/>
      <c r="L5615" s="51"/>
      <c r="M5615" s="15"/>
      <c r="N5615" s="23"/>
      <c r="O5615" s="23"/>
      <c r="P5615" s="15" t="str">
        <f t="shared" si="6"/>
        <v/>
      </c>
      <c r="Q5615" s="24"/>
      <c r="R5615" s="25"/>
      <c r="S5615" s="25"/>
      <c r="T5615" s="26"/>
      <c r="U5615" s="26"/>
      <c r="V5615" s="25"/>
      <c r="W5615" s="25"/>
      <c r="X5615" s="25"/>
      <c r="Y5615" s="25"/>
      <c r="Z5615" s="25"/>
    </row>
    <row r="5616" spans="1:26" ht="15.75" customHeight="1" x14ac:dyDescent="0.25">
      <c r="A5616" s="25"/>
      <c r="B5616" s="49"/>
      <c r="C5616" s="50"/>
      <c r="D5616" s="23"/>
      <c r="E5616" s="23"/>
      <c r="F5616" s="15"/>
      <c r="G5616" s="23"/>
      <c r="H5616" s="15"/>
      <c r="I5616" s="15"/>
      <c r="J5616" s="51"/>
      <c r="K5616" s="15"/>
      <c r="L5616" s="51"/>
      <c r="M5616" s="15"/>
      <c r="N5616" s="23"/>
      <c r="O5616" s="23"/>
      <c r="P5616" s="15" t="str">
        <f t="shared" si="6"/>
        <v/>
      </c>
      <c r="Q5616" s="24"/>
      <c r="R5616" s="25"/>
      <c r="S5616" s="25"/>
      <c r="T5616" s="26"/>
      <c r="U5616" s="26"/>
      <c r="V5616" s="25"/>
      <c r="W5616" s="25"/>
      <c r="X5616" s="25"/>
      <c r="Y5616" s="25"/>
      <c r="Z5616" s="25"/>
    </row>
    <row r="5617" spans="1:26" ht="15.75" customHeight="1" x14ac:dyDescent="0.25">
      <c r="A5617" s="25"/>
      <c r="B5617" s="49"/>
      <c r="C5617" s="50"/>
      <c r="D5617" s="23"/>
      <c r="E5617" s="23"/>
      <c r="F5617" s="15"/>
      <c r="G5617" s="23"/>
      <c r="H5617" s="15"/>
      <c r="I5617" s="15"/>
      <c r="J5617" s="51"/>
      <c r="K5617" s="15"/>
      <c r="L5617" s="51"/>
      <c r="M5617" s="15"/>
      <c r="N5617" s="23"/>
      <c r="O5617" s="23"/>
      <c r="P5617" s="15" t="str">
        <f t="shared" si="6"/>
        <v/>
      </c>
      <c r="Q5617" s="24"/>
      <c r="R5617" s="25"/>
      <c r="S5617" s="25"/>
      <c r="T5617" s="26"/>
      <c r="U5617" s="26"/>
      <c r="V5617" s="25"/>
      <c r="W5617" s="25"/>
      <c r="X5617" s="25"/>
      <c r="Y5617" s="25"/>
      <c r="Z5617" s="25"/>
    </row>
    <row r="5618" spans="1:26" ht="15.75" customHeight="1" x14ac:dyDescent="0.25">
      <c r="A5618" s="25"/>
      <c r="B5618" s="49"/>
      <c r="C5618" s="50"/>
      <c r="D5618" s="23"/>
      <c r="E5618" s="23"/>
      <c r="F5618" s="15"/>
      <c r="G5618" s="23"/>
      <c r="H5618" s="15"/>
      <c r="I5618" s="15"/>
      <c r="J5618" s="51"/>
      <c r="K5618" s="15"/>
      <c r="L5618" s="51"/>
      <c r="M5618" s="15"/>
      <c r="N5618" s="23"/>
      <c r="O5618" s="23"/>
      <c r="P5618" s="15" t="str">
        <f t="shared" si="6"/>
        <v/>
      </c>
      <c r="Q5618" s="24"/>
      <c r="R5618" s="25"/>
      <c r="S5618" s="25"/>
      <c r="T5618" s="26"/>
      <c r="U5618" s="26"/>
      <c r="V5618" s="25"/>
      <c r="W5618" s="25"/>
      <c r="X5618" s="25"/>
      <c r="Y5618" s="25"/>
      <c r="Z5618" s="25"/>
    </row>
    <row r="5619" spans="1:26" ht="15.75" customHeight="1" x14ac:dyDescent="0.25">
      <c r="A5619" s="25"/>
      <c r="B5619" s="49"/>
      <c r="C5619" s="50"/>
      <c r="D5619" s="23"/>
      <c r="E5619" s="23"/>
      <c r="F5619" s="15"/>
      <c r="G5619" s="23"/>
      <c r="H5619" s="15"/>
      <c r="I5619" s="15"/>
      <c r="J5619" s="51"/>
      <c r="K5619" s="15"/>
      <c r="L5619" s="51"/>
      <c r="M5619" s="15"/>
      <c r="N5619" s="23"/>
      <c r="O5619" s="23"/>
      <c r="P5619" s="15" t="str">
        <f t="shared" si="6"/>
        <v/>
      </c>
      <c r="Q5619" s="24"/>
      <c r="R5619" s="25"/>
      <c r="S5619" s="25"/>
      <c r="T5619" s="26"/>
      <c r="U5619" s="26"/>
      <c r="V5619" s="25"/>
      <c r="W5619" s="25"/>
      <c r="X5619" s="25"/>
      <c r="Y5619" s="25"/>
      <c r="Z5619" s="25"/>
    </row>
    <row r="5620" spans="1:26" ht="15.75" customHeight="1" x14ac:dyDescent="0.25">
      <c r="A5620" s="25"/>
      <c r="B5620" s="49"/>
      <c r="C5620" s="50"/>
      <c r="D5620" s="23"/>
      <c r="E5620" s="23"/>
      <c r="F5620" s="15"/>
      <c r="G5620" s="23"/>
      <c r="H5620" s="15"/>
      <c r="I5620" s="15"/>
      <c r="J5620" s="51"/>
      <c r="K5620" s="15"/>
      <c r="L5620" s="51"/>
      <c r="M5620" s="15"/>
      <c r="N5620" s="23"/>
      <c r="O5620" s="23"/>
      <c r="P5620" s="15" t="str">
        <f t="shared" si="6"/>
        <v/>
      </c>
      <c r="Q5620" s="24"/>
      <c r="R5620" s="25"/>
      <c r="S5620" s="25"/>
      <c r="T5620" s="26"/>
      <c r="U5620" s="26"/>
      <c r="V5620" s="25"/>
      <c r="W5620" s="25"/>
      <c r="X5620" s="25"/>
      <c r="Y5620" s="25"/>
      <c r="Z5620" s="25"/>
    </row>
    <row r="5621" spans="1:26" ht="15.75" customHeight="1" x14ac:dyDescent="0.25">
      <c r="A5621" s="25"/>
      <c r="B5621" s="49"/>
      <c r="C5621" s="50"/>
      <c r="D5621" s="23"/>
      <c r="E5621" s="23"/>
      <c r="F5621" s="15"/>
      <c r="G5621" s="23"/>
      <c r="H5621" s="15"/>
      <c r="I5621" s="15"/>
      <c r="J5621" s="51"/>
      <c r="K5621" s="15"/>
      <c r="L5621" s="51"/>
      <c r="M5621" s="15"/>
      <c r="N5621" s="23"/>
      <c r="O5621" s="23"/>
      <c r="P5621" s="15" t="str">
        <f t="shared" si="6"/>
        <v/>
      </c>
      <c r="Q5621" s="24"/>
      <c r="R5621" s="25"/>
      <c r="S5621" s="25"/>
      <c r="T5621" s="26"/>
      <c r="U5621" s="26"/>
      <c r="V5621" s="25"/>
      <c r="W5621" s="25"/>
      <c r="X5621" s="25"/>
      <c r="Y5621" s="25"/>
      <c r="Z5621" s="25"/>
    </row>
    <row r="5622" spans="1:26" ht="15.75" customHeight="1" x14ac:dyDescent="0.25">
      <c r="A5622" s="25"/>
      <c r="B5622" s="49"/>
      <c r="C5622" s="50"/>
      <c r="D5622" s="23"/>
      <c r="E5622" s="23"/>
      <c r="F5622" s="15"/>
      <c r="G5622" s="23"/>
      <c r="H5622" s="15"/>
      <c r="I5622" s="15"/>
      <c r="J5622" s="51"/>
      <c r="K5622" s="15"/>
      <c r="L5622" s="51"/>
      <c r="M5622" s="15"/>
      <c r="N5622" s="23"/>
      <c r="O5622" s="23"/>
      <c r="P5622" s="15" t="str">
        <f t="shared" si="6"/>
        <v/>
      </c>
      <c r="Q5622" s="24"/>
      <c r="R5622" s="25"/>
      <c r="S5622" s="25"/>
      <c r="T5622" s="26"/>
      <c r="U5622" s="26"/>
      <c r="V5622" s="25"/>
      <c r="W5622" s="25"/>
      <c r="X5622" s="25"/>
      <c r="Y5622" s="25"/>
      <c r="Z5622" s="25"/>
    </row>
    <row r="5623" spans="1:26" ht="15.75" customHeight="1" x14ac:dyDescent="0.25">
      <c r="A5623" s="25"/>
      <c r="B5623" s="49"/>
      <c r="C5623" s="50"/>
      <c r="D5623" s="23"/>
      <c r="E5623" s="23"/>
      <c r="F5623" s="15"/>
      <c r="G5623" s="23"/>
      <c r="H5623" s="15"/>
      <c r="I5623" s="15"/>
      <c r="J5623" s="51"/>
      <c r="K5623" s="15"/>
      <c r="L5623" s="51"/>
      <c r="M5623" s="15"/>
      <c r="N5623" s="23"/>
      <c r="O5623" s="23"/>
      <c r="P5623" s="15" t="str">
        <f t="shared" si="6"/>
        <v/>
      </c>
      <c r="Q5623" s="24"/>
      <c r="R5623" s="25"/>
      <c r="S5623" s="25"/>
      <c r="T5623" s="26"/>
      <c r="U5623" s="26"/>
      <c r="V5623" s="25"/>
      <c r="W5623" s="25"/>
      <c r="X5623" s="25"/>
      <c r="Y5623" s="25"/>
      <c r="Z5623" s="25"/>
    </row>
    <row r="5624" spans="1:26" ht="15.75" customHeight="1" x14ac:dyDescent="0.25">
      <c r="A5624" s="25"/>
      <c r="B5624" s="49"/>
      <c r="C5624" s="50"/>
      <c r="D5624" s="23"/>
      <c r="E5624" s="23"/>
      <c r="F5624" s="15"/>
      <c r="G5624" s="23"/>
      <c r="H5624" s="15"/>
      <c r="I5624" s="15"/>
      <c r="J5624" s="51"/>
      <c r="K5624" s="15"/>
      <c r="L5624" s="51"/>
      <c r="M5624" s="15"/>
      <c r="N5624" s="23"/>
      <c r="O5624" s="23"/>
      <c r="P5624" s="15" t="str">
        <f t="shared" si="6"/>
        <v/>
      </c>
      <c r="Q5624" s="24"/>
      <c r="R5624" s="25"/>
      <c r="S5624" s="25"/>
      <c r="T5624" s="26"/>
      <c r="U5624" s="26"/>
      <c r="V5624" s="25"/>
      <c r="W5624" s="25"/>
      <c r="X5624" s="25"/>
      <c r="Y5624" s="25"/>
      <c r="Z5624" s="25"/>
    </row>
    <row r="5625" spans="1:26" ht="15.75" customHeight="1" x14ac:dyDescent="0.25">
      <c r="A5625" s="25"/>
      <c r="B5625" s="49"/>
      <c r="C5625" s="50"/>
      <c r="D5625" s="23"/>
      <c r="E5625" s="23"/>
      <c r="F5625" s="15"/>
      <c r="G5625" s="23"/>
      <c r="H5625" s="15"/>
      <c r="I5625" s="15"/>
      <c r="J5625" s="51"/>
      <c r="K5625" s="15"/>
      <c r="L5625" s="51"/>
      <c r="M5625" s="15"/>
      <c r="N5625" s="23"/>
      <c r="O5625" s="23"/>
      <c r="P5625" s="15" t="str">
        <f t="shared" si="6"/>
        <v/>
      </c>
      <c r="Q5625" s="24"/>
      <c r="R5625" s="25"/>
      <c r="S5625" s="25"/>
      <c r="T5625" s="26"/>
      <c r="U5625" s="26"/>
      <c r="V5625" s="25"/>
      <c r="W5625" s="25"/>
      <c r="X5625" s="25"/>
      <c r="Y5625" s="25"/>
      <c r="Z5625" s="25"/>
    </row>
    <row r="5626" spans="1:26" ht="15.75" customHeight="1" x14ac:dyDescent="0.25">
      <c r="A5626" s="25"/>
      <c r="B5626" s="49"/>
      <c r="C5626" s="50"/>
      <c r="D5626" s="23"/>
      <c r="E5626" s="23"/>
      <c r="F5626" s="15"/>
      <c r="G5626" s="23"/>
      <c r="H5626" s="15"/>
      <c r="I5626" s="15"/>
      <c r="J5626" s="51"/>
      <c r="K5626" s="15"/>
      <c r="L5626" s="51"/>
      <c r="M5626" s="15"/>
      <c r="N5626" s="23"/>
      <c r="O5626" s="23"/>
      <c r="P5626" s="15" t="str">
        <f t="shared" si="6"/>
        <v/>
      </c>
      <c r="Q5626" s="24"/>
      <c r="R5626" s="25"/>
      <c r="S5626" s="25"/>
      <c r="T5626" s="26"/>
      <c r="U5626" s="26"/>
      <c r="V5626" s="25"/>
      <c r="W5626" s="25"/>
      <c r="X5626" s="25"/>
      <c r="Y5626" s="25"/>
      <c r="Z5626" s="25"/>
    </row>
    <row r="5627" spans="1:26" ht="15.75" customHeight="1" x14ac:dyDescent="0.25">
      <c r="A5627" s="25"/>
      <c r="B5627" s="49"/>
      <c r="C5627" s="50"/>
      <c r="D5627" s="23"/>
      <c r="E5627" s="23"/>
      <c r="F5627" s="15"/>
      <c r="G5627" s="23"/>
      <c r="H5627" s="15"/>
      <c r="I5627" s="15"/>
      <c r="J5627" s="51"/>
      <c r="K5627" s="15"/>
      <c r="L5627" s="51"/>
      <c r="M5627" s="15"/>
      <c r="N5627" s="23"/>
      <c r="O5627" s="23"/>
      <c r="P5627" s="15" t="str">
        <f t="shared" si="6"/>
        <v/>
      </c>
      <c r="Q5627" s="24"/>
      <c r="R5627" s="25"/>
      <c r="S5627" s="25"/>
      <c r="T5627" s="26"/>
      <c r="U5627" s="26"/>
      <c r="V5627" s="25"/>
      <c r="W5627" s="25"/>
      <c r="X5627" s="25"/>
      <c r="Y5627" s="25"/>
      <c r="Z5627" s="25"/>
    </row>
    <row r="5628" spans="1:26" ht="15.75" customHeight="1" x14ac:dyDescent="0.25">
      <c r="A5628" s="25"/>
      <c r="B5628" s="49"/>
      <c r="C5628" s="50"/>
      <c r="D5628" s="23"/>
      <c r="E5628" s="23"/>
      <c r="F5628" s="15"/>
      <c r="G5628" s="23"/>
      <c r="H5628" s="15"/>
      <c r="I5628" s="15"/>
      <c r="J5628" s="51"/>
      <c r="K5628" s="15"/>
      <c r="L5628" s="51"/>
      <c r="M5628" s="15"/>
      <c r="N5628" s="23"/>
      <c r="O5628" s="23"/>
      <c r="P5628" s="15" t="str">
        <f t="shared" si="6"/>
        <v/>
      </c>
      <c r="Q5628" s="24"/>
      <c r="R5628" s="25"/>
      <c r="S5628" s="25"/>
      <c r="T5628" s="26"/>
      <c r="U5628" s="26"/>
      <c r="V5628" s="25"/>
      <c r="W5628" s="25"/>
      <c r="X5628" s="25"/>
      <c r="Y5628" s="25"/>
      <c r="Z5628" s="25"/>
    </row>
    <row r="5629" spans="1:26" ht="15.75" customHeight="1" x14ac:dyDescent="0.25">
      <c r="A5629" s="25"/>
      <c r="B5629" s="49"/>
      <c r="C5629" s="50"/>
      <c r="D5629" s="23"/>
      <c r="E5629" s="23"/>
      <c r="F5629" s="15"/>
      <c r="G5629" s="23"/>
      <c r="H5629" s="15"/>
      <c r="I5629" s="15"/>
      <c r="J5629" s="51"/>
      <c r="K5629" s="15"/>
      <c r="L5629" s="51"/>
      <c r="M5629" s="15"/>
      <c r="N5629" s="23"/>
      <c r="O5629" s="23"/>
      <c r="P5629" s="15" t="str">
        <f t="shared" si="6"/>
        <v/>
      </c>
      <c r="Q5629" s="24"/>
      <c r="R5629" s="25"/>
      <c r="S5629" s="25"/>
      <c r="T5629" s="26"/>
      <c r="U5629" s="26"/>
      <c r="V5629" s="25"/>
      <c r="W5629" s="25"/>
      <c r="X5629" s="25"/>
      <c r="Y5629" s="25"/>
      <c r="Z5629" s="25"/>
    </row>
    <row r="5630" spans="1:26" ht="15.75" customHeight="1" x14ac:dyDescent="0.25">
      <c r="A5630" s="25"/>
      <c r="B5630" s="49"/>
      <c r="C5630" s="50"/>
      <c r="D5630" s="23"/>
      <c r="E5630" s="23"/>
      <c r="F5630" s="15"/>
      <c r="G5630" s="23"/>
      <c r="H5630" s="15"/>
      <c r="I5630" s="15"/>
      <c r="J5630" s="51"/>
      <c r="K5630" s="15"/>
      <c r="L5630" s="51"/>
      <c r="M5630" s="15"/>
      <c r="N5630" s="23"/>
      <c r="O5630" s="23"/>
      <c r="P5630" s="15" t="str">
        <f t="shared" si="6"/>
        <v/>
      </c>
      <c r="Q5630" s="24"/>
      <c r="R5630" s="25"/>
      <c r="S5630" s="25"/>
      <c r="T5630" s="26"/>
      <c r="U5630" s="26"/>
      <c r="V5630" s="25"/>
      <c r="W5630" s="25"/>
      <c r="X5630" s="25"/>
      <c r="Y5630" s="25"/>
      <c r="Z5630" s="25"/>
    </row>
    <row r="5631" spans="1:26" ht="15.75" customHeight="1" x14ac:dyDescent="0.25">
      <c r="A5631" s="25"/>
      <c r="B5631" s="49"/>
      <c r="C5631" s="50"/>
      <c r="D5631" s="23"/>
      <c r="E5631" s="23"/>
      <c r="F5631" s="15"/>
      <c r="G5631" s="23"/>
      <c r="H5631" s="15"/>
      <c r="I5631" s="15"/>
      <c r="J5631" s="51"/>
      <c r="K5631" s="15"/>
      <c r="L5631" s="51"/>
      <c r="M5631" s="15"/>
      <c r="N5631" s="23"/>
      <c r="O5631" s="23"/>
      <c r="P5631" s="15" t="str">
        <f t="shared" si="6"/>
        <v/>
      </c>
      <c r="Q5631" s="24"/>
      <c r="R5631" s="25"/>
      <c r="S5631" s="25"/>
      <c r="T5631" s="26"/>
      <c r="U5631" s="26"/>
      <c r="V5631" s="25"/>
      <c r="W5631" s="25"/>
      <c r="X5631" s="25"/>
      <c r="Y5631" s="25"/>
      <c r="Z5631" s="25"/>
    </row>
    <row r="5632" spans="1:26" ht="15.75" customHeight="1" x14ac:dyDescent="0.25">
      <c r="A5632" s="25"/>
      <c r="B5632" s="49"/>
      <c r="C5632" s="50"/>
      <c r="D5632" s="23"/>
      <c r="E5632" s="23"/>
      <c r="F5632" s="15"/>
      <c r="G5632" s="23"/>
      <c r="H5632" s="15"/>
      <c r="I5632" s="15"/>
      <c r="J5632" s="51"/>
      <c r="K5632" s="15"/>
      <c r="L5632" s="51"/>
      <c r="M5632" s="15"/>
      <c r="N5632" s="23"/>
      <c r="O5632" s="23"/>
      <c r="P5632" s="15" t="str">
        <f t="shared" si="6"/>
        <v/>
      </c>
      <c r="Q5632" s="24"/>
      <c r="R5632" s="25"/>
      <c r="S5632" s="25"/>
      <c r="T5632" s="26"/>
      <c r="U5632" s="26"/>
      <c r="V5632" s="25"/>
      <c r="W5632" s="25"/>
      <c r="X5632" s="25"/>
      <c r="Y5632" s="25"/>
      <c r="Z5632" s="25"/>
    </row>
    <row r="5633" spans="1:26" ht="15.75" customHeight="1" x14ac:dyDescent="0.25">
      <c r="A5633" s="25"/>
      <c r="B5633" s="49"/>
      <c r="C5633" s="50"/>
      <c r="D5633" s="23"/>
      <c r="E5633" s="23"/>
      <c r="F5633" s="15"/>
      <c r="G5633" s="23"/>
      <c r="H5633" s="15"/>
      <c r="I5633" s="15"/>
      <c r="J5633" s="51"/>
      <c r="K5633" s="15"/>
      <c r="L5633" s="51"/>
      <c r="M5633" s="15"/>
      <c r="N5633" s="23"/>
      <c r="O5633" s="23"/>
      <c r="P5633" s="15" t="str">
        <f t="shared" si="6"/>
        <v/>
      </c>
      <c r="Q5633" s="24"/>
      <c r="R5633" s="25"/>
      <c r="S5633" s="25"/>
      <c r="T5633" s="26"/>
      <c r="U5633" s="26"/>
      <c r="V5633" s="25"/>
      <c r="W5633" s="25"/>
      <c r="X5633" s="25"/>
      <c r="Y5633" s="25"/>
      <c r="Z5633" s="25"/>
    </row>
    <row r="5634" spans="1:26" ht="15.75" customHeight="1" x14ac:dyDescent="0.25">
      <c r="A5634" s="25"/>
      <c r="B5634" s="49"/>
      <c r="C5634" s="50"/>
      <c r="D5634" s="23"/>
      <c r="E5634" s="23"/>
      <c r="F5634" s="15"/>
      <c r="G5634" s="23"/>
      <c r="H5634" s="15"/>
      <c r="I5634" s="15"/>
      <c r="J5634" s="51"/>
      <c r="K5634" s="15"/>
      <c r="L5634" s="51"/>
      <c r="M5634" s="15"/>
      <c r="N5634" s="23"/>
      <c r="O5634" s="23"/>
      <c r="P5634" s="15" t="str">
        <f t="shared" si="6"/>
        <v/>
      </c>
      <c r="Q5634" s="24"/>
      <c r="R5634" s="25"/>
      <c r="S5634" s="25"/>
      <c r="T5634" s="26"/>
      <c r="U5634" s="26"/>
      <c r="V5634" s="25"/>
      <c r="W5634" s="25"/>
      <c r="X5634" s="25"/>
      <c r="Y5634" s="25"/>
      <c r="Z5634" s="25"/>
    </row>
    <row r="5635" spans="1:26" ht="15.75" customHeight="1" x14ac:dyDescent="0.25">
      <c r="A5635" s="25"/>
      <c r="B5635" s="49"/>
      <c r="C5635" s="50"/>
      <c r="D5635" s="23"/>
      <c r="E5635" s="23"/>
      <c r="F5635" s="15"/>
      <c r="G5635" s="23"/>
      <c r="H5635" s="15"/>
      <c r="I5635" s="15"/>
      <c r="J5635" s="51"/>
      <c r="K5635" s="15"/>
      <c r="L5635" s="51"/>
      <c r="M5635" s="15"/>
      <c r="N5635" s="23"/>
      <c r="O5635" s="23"/>
      <c r="P5635" s="15" t="str">
        <f t="shared" si="6"/>
        <v/>
      </c>
      <c r="Q5635" s="24"/>
      <c r="R5635" s="25"/>
      <c r="S5635" s="25"/>
      <c r="T5635" s="26"/>
      <c r="U5635" s="26"/>
      <c r="V5635" s="25"/>
      <c r="W5635" s="25"/>
      <c r="X5635" s="25"/>
      <c r="Y5635" s="25"/>
      <c r="Z5635" s="25"/>
    </row>
    <row r="5636" spans="1:26" ht="15.75" customHeight="1" x14ac:dyDescent="0.25">
      <c r="A5636" s="25"/>
      <c r="B5636" s="49"/>
      <c r="C5636" s="50"/>
      <c r="D5636" s="23"/>
      <c r="E5636" s="23"/>
      <c r="F5636" s="15"/>
      <c r="G5636" s="23"/>
      <c r="H5636" s="15"/>
      <c r="I5636" s="15"/>
      <c r="J5636" s="51"/>
      <c r="K5636" s="15"/>
      <c r="L5636" s="51"/>
      <c r="M5636" s="15"/>
      <c r="N5636" s="23"/>
      <c r="O5636" s="23"/>
      <c r="P5636" s="15" t="str">
        <f t="shared" si="6"/>
        <v/>
      </c>
      <c r="Q5636" s="24"/>
      <c r="R5636" s="25"/>
      <c r="S5636" s="25"/>
      <c r="T5636" s="26"/>
      <c r="U5636" s="26"/>
      <c r="V5636" s="25"/>
      <c r="W5636" s="25"/>
      <c r="X5636" s="25"/>
      <c r="Y5636" s="25"/>
      <c r="Z5636" s="25"/>
    </row>
    <row r="5637" spans="1:26" ht="15.75" customHeight="1" x14ac:dyDescent="0.25">
      <c r="A5637" s="25"/>
      <c r="B5637" s="49"/>
      <c r="C5637" s="50"/>
      <c r="D5637" s="23"/>
      <c r="E5637" s="23"/>
      <c r="F5637" s="15"/>
      <c r="G5637" s="23"/>
      <c r="H5637" s="15"/>
      <c r="I5637" s="15"/>
      <c r="J5637" s="51"/>
      <c r="K5637" s="15"/>
      <c r="L5637" s="51"/>
      <c r="M5637" s="15"/>
      <c r="N5637" s="23"/>
      <c r="O5637" s="23"/>
      <c r="P5637" s="15" t="str">
        <f t="shared" si="6"/>
        <v/>
      </c>
      <c r="Q5637" s="24"/>
      <c r="R5637" s="25"/>
      <c r="S5637" s="25"/>
      <c r="T5637" s="26"/>
      <c r="U5637" s="26"/>
      <c r="V5637" s="25"/>
      <c r="W5637" s="25"/>
      <c r="X5637" s="25"/>
      <c r="Y5637" s="25"/>
      <c r="Z5637" s="25"/>
    </row>
    <row r="5638" spans="1:26" ht="15.75" customHeight="1" x14ac:dyDescent="0.25">
      <c r="A5638" s="25"/>
      <c r="B5638" s="49"/>
      <c r="C5638" s="50"/>
      <c r="D5638" s="23"/>
      <c r="E5638" s="23"/>
      <c r="F5638" s="15"/>
      <c r="G5638" s="23"/>
      <c r="H5638" s="15"/>
      <c r="I5638" s="15"/>
      <c r="J5638" s="51"/>
      <c r="K5638" s="15"/>
      <c r="L5638" s="51"/>
      <c r="M5638" s="15"/>
      <c r="N5638" s="23"/>
      <c r="O5638" s="23"/>
      <c r="P5638" s="15" t="str">
        <f t="shared" si="6"/>
        <v/>
      </c>
      <c r="Q5638" s="24"/>
      <c r="R5638" s="25"/>
      <c r="S5638" s="25"/>
      <c r="T5638" s="26"/>
      <c r="U5638" s="26"/>
      <c r="V5638" s="25"/>
      <c r="W5638" s="25"/>
      <c r="X5638" s="25"/>
      <c r="Y5638" s="25"/>
      <c r="Z5638" s="25"/>
    </row>
    <row r="5639" spans="1:26" ht="15.75" customHeight="1" x14ac:dyDescent="0.25">
      <c r="A5639" s="25"/>
      <c r="B5639" s="49"/>
      <c r="C5639" s="50"/>
      <c r="D5639" s="23"/>
      <c r="E5639" s="23"/>
      <c r="F5639" s="15"/>
      <c r="G5639" s="23"/>
      <c r="H5639" s="15"/>
      <c r="I5639" s="15"/>
      <c r="J5639" s="51"/>
      <c r="K5639" s="15"/>
      <c r="L5639" s="51"/>
      <c r="M5639" s="15"/>
      <c r="N5639" s="23"/>
      <c r="O5639" s="23"/>
      <c r="P5639" s="15" t="str">
        <f t="shared" si="6"/>
        <v/>
      </c>
      <c r="Q5639" s="24"/>
      <c r="R5639" s="25"/>
      <c r="S5639" s="25"/>
      <c r="T5639" s="26"/>
      <c r="U5639" s="26"/>
      <c r="V5639" s="25"/>
      <c r="W5639" s="25"/>
      <c r="X5639" s="25"/>
      <c r="Y5639" s="25"/>
      <c r="Z5639" s="25"/>
    </row>
    <row r="5640" spans="1:26" ht="15.75" customHeight="1" x14ac:dyDescent="0.25">
      <c r="A5640" s="25"/>
      <c r="B5640" s="49"/>
      <c r="C5640" s="50"/>
      <c r="D5640" s="23"/>
      <c r="E5640" s="23"/>
      <c r="F5640" s="15"/>
      <c r="G5640" s="23"/>
      <c r="H5640" s="15"/>
      <c r="I5640" s="15"/>
      <c r="J5640" s="51"/>
      <c r="K5640" s="15"/>
      <c r="L5640" s="51"/>
      <c r="M5640" s="15"/>
      <c r="N5640" s="23"/>
      <c r="O5640" s="23"/>
      <c r="P5640" s="15" t="str">
        <f t="shared" si="6"/>
        <v/>
      </c>
      <c r="Q5640" s="24"/>
      <c r="R5640" s="25"/>
      <c r="S5640" s="25"/>
      <c r="T5640" s="26"/>
      <c r="U5640" s="26"/>
      <c r="V5640" s="25"/>
      <c r="W5640" s="25"/>
      <c r="X5640" s="25"/>
      <c r="Y5640" s="25"/>
      <c r="Z5640" s="25"/>
    </row>
    <row r="5641" spans="1:26" ht="15.75" customHeight="1" x14ac:dyDescent="0.25">
      <c r="A5641" s="25"/>
      <c r="B5641" s="49"/>
      <c r="C5641" s="50"/>
      <c r="D5641" s="23"/>
      <c r="E5641" s="23"/>
      <c r="F5641" s="15"/>
      <c r="G5641" s="23"/>
      <c r="H5641" s="15"/>
      <c r="I5641" s="15"/>
      <c r="J5641" s="51"/>
      <c r="K5641" s="15"/>
      <c r="L5641" s="51"/>
      <c r="M5641" s="15"/>
      <c r="N5641" s="23"/>
      <c r="O5641" s="23"/>
      <c r="P5641" s="15" t="str">
        <f t="shared" si="6"/>
        <v/>
      </c>
      <c r="Q5641" s="24"/>
      <c r="R5641" s="25"/>
      <c r="S5641" s="25"/>
      <c r="T5641" s="26"/>
      <c r="U5641" s="26"/>
      <c r="V5641" s="25"/>
      <c r="W5641" s="25"/>
      <c r="X5641" s="25"/>
      <c r="Y5641" s="25"/>
      <c r="Z5641" s="25"/>
    </row>
    <row r="5642" spans="1:26" ht="15.75" customHeight="1" x14ac:dyDescent="0.25">
      <c r="A5642" s="25"/>
      <c r="B5642" s="49"/>
      <c r="C5642" s="50"/>
      <c r="D5642" s="23"/>
      <c r="E5642" s="23"/>
      <c r="F5642" s="15"/>
      <c r="G5642" s="23"/>
      <c r="H5642" s="15"/>
      <c r="I5642" s="15"/>
      <c r="J5642" s="51"/>
      <c r="K5642" s="15"/>
      <c r="L5642" s="51"/>
      <c r="M5642" s="15"/>
      <c r="N5642" s="23"/>
      <c r="O5642" s="23"/>
      <c r="P5642" s="15" t="str">
        <f t="shared" si="6"/>
        <v/>
      </c>
      <c r="Q5642" s="24"/>
      <c r="R5642" s="25"/>
      <c r="S5642" s="25"/>
      <c r="T5642" s="26"/>
      <c r="U5642" s="26"/>
      <c r="V5642" s="25"/>
      <c r="W5642" s="25"/>
      <c r="X5642" s="25"/>
      <c r="Y5642" s="25"/>
      <c r="Z5642" s="25"/>
    </row>
    <row r="5643" spans="1:26" ht="15.75" customHeight="1" x14ac:dyDescent="0.25">
      <c r="A5643" s="25"/>
      <c r="B5643" s="49"/>
      <c r="C5643" s="50"/>
      <c r="D5643" s="23"/>
      <c r="E5643" s="23"/>
      <c r="F5643" s="15"/>
      <c r="G5643" s="23"/>
      <c r="H5643" s="15"/>
      <c r="I5643" s="15"/>
      <c r="J5643" s="51"/>
      <c r="K5643" s="15"/>
      <c r="L5643" s="51"/>
      <c r="M5643" s="15"/>
      <c r="N5643" s="23"/>
      <c r="O5643" s="23"/>
      <c r="P5643" s="15" t="str">
        <f t="shared" si="6"/>
        <v/>
      </c>
      <c r="Q5643" s="24"/>
      <c r="R5643" s="25"/>
      <c r="S5643" s="25"/>
      <c r="T5643" s="26"/>
      <c r="U5643" s="26"/>
      <c r="V5643" s="25"/>
      <c r="W5643" s="25"/>
      <c r="X5643" s="25"/>
      <c r="Y5643" s="25"/>
      <c r="Z5643" s="25"/>
    </row>
    <row r="5644" spans="1:26" ht="15.75" customHeight="1" x14ac:dyDescent="0.25">
      <c r="A5644" s="25"/>
      <c r="B5644" s="49"/>
      <c r="C5644" s="50"/>
      <c r="D5644" s="23"/>
      <c r="E5644" s="23"/>
      <c r="F5644" s="15"/>
      <c r="G5644" s="23"/>
      <c r="H5644" s="15"/>
      <c r="I5644" s="15"/>
      <c r="J5644" s="51"/>
      <c r="K5644" s="15"/>
      <c r="L5644" s="51"/>
      <c r="M5644" s="15"/>
      <c r="N5644" s="23"/>
      <c r="O5644" s="23"/>
      <c r="P5644" s="15" t="str">
        <f t="shared" si="6"/>
        <v/>
      </c>
      <c r="Q5644" s="24"/>
      <c r="R5644" s="25"/>
      <c r="S5644" s="25"/>
      <c r="T5644" s="26"/>
      <c r="U5644" s="26"/>
      <c r="V5644" s="25"/>
      <c r="W5644" s="25"/>
      <c r="X5644" s="25"/>
      <c r="Y5644" s="25"/>
      <c r="Z5644" s="25"/>
    </row>
    <row r="5645" spans="1:26" ht="15.75" customHeight="1" x14ac:dyDescent="0.25">
      <c r="A5645" s="25"/>
      <c r="B5645" s="49"/>
      <c r="C5645" s="50"/>
      <c r="D5645" s="23"/>
      <c r="E5645" s="23"/>
      <c r="F5645" s="15"/>
      <c r="G5645" s="23"/>
      <c r="H5645" s="15"/>
      <c r="I5645" s="15"/>
      <c r="J5645" s="51"/>
      <c r="K5645" s="15"/>
      <c r="L5645" s="51"/>
      <c r="M5645" s="15"/>
      <c r="N5645" s="23"/>
      <c r="O5645" s="23"/>
      <c r="P5645" s="15" t="str">
        <f t="shared" si="6"/>
        <v/>
      </c>
      <c r="Q5645" s="24"/>
      <c r="R5645" s="25"/>
      <c r="S5645" s="25"/>
      <c r="T5645" s="26"/>
      <c r="U5645" s="26"/>
      <c r="V5645" s="25"/>
      <c r="W5645" s="25"/>
      <c r="X5645" s="25"/>
      <c r="Y5645" s="25"/>
      <c r="Z5645" s="25"/>
    </row>
    <row r="5646" spans="1:26" ht="15.75" customHeight="1" x14ac:dyDescent="0.25">
      <c r="A5646" s="25"/>
      <c r="B5646" s="49"/>
      <c r="C5646" s="50"/>
      <c r="D5646" s="23"/>
      <c r="E5646" s="23"/>
      <c r="F5646" s="15"/>
      <c r="G5646" s="23"/>
      <c r="H5646" s="15"/>
      <c r="I5646" s="15"/>
      <c r="J5646" s="51"/>
      <c r="K5646" s="15"/>
      <c r="L5646" s="51"/>
      <c r="M5646" s="15"/>
      <c r="N5646" s="23"/>
      <c r="O5646" s="23"/>
      <c r="P5646" s="15" t="str">
        <f t="shared" si="6"/>
        <v/>
      </c>
      <c r="Q5646" s="24"/>
      <c r="R5646" s="25"/>
      <c r="S5646" s="25"/>
      <c r="T5646" s="26"/>
      <c r="U5646" s="26"/>
      <c r="V5646" s="25"/>
      <c r="W5646" s="25"/>
      <c r="X5646" s="25"/>
      <c r="Y5646" s="25"/>
      <c r="Z5646" s="25"/>
    </row>
    <row r="5647" spans="1:26" ht="15.75" customHeight="1" x14ac:dyDescent="0.25">
      <c r="A5647" s="25"/>
      <c r="B5647" s="49"/>
      <c r="C5647" s="50"/>
      <c r="D5647" s="23"/>
      <c r="E5647" s="23"/>
      <c r="F5647" s="15"/>
      <c r="G5647" s="23"/>
      <c r="H5647" s="15"/>
      <c r="I5647" s="15"/>
      <c r="J5647" s="51"/>
      <c r="K5647" s="15"/>
      <c r="L5647" s="51"/>
      <c r="M5647" s="15"/>
      <c r="N5647" s="23"/>
      <c r="O5647" s="23"/>
      <c r="P5647" s="15" t="str">
        <f t="shared" si="6"/>
        <v/>
      </c>
      <c r="Q5647" s="24"/>
      <c r="R5647" s="25"/>
      <c r="S5647" s="25"/>
      <c r="T5647" s="26"/>
      <c r="U5647" s="26"/>
      <c r="V5647" s="25"/>
      <c r="W5647" s="25"/>
      <c r="X5647" s="25"/>
      <c r="Y5647" s="25"/>
      <c r="Z5647" s="25"/>
    </row>
    <row r="5648" spans="1:26" ht="15.75" customHeight="1" x14ac:dyDescent="0.25">
      <c r="A5648" s="25"/>
      <c r="B5648" s="49"/>
      <c r="C5648" s="50"/>
      <c r="D5648" s="23"/>
      <c r="E5648" s="23"/>
      <c r="F5648" s="15"/>
      <c r="G5648" s="23"/>
      <c r="H5648" s="15"/>
      <c r="I5648" s="15"/>
      <c r="J5648" s="51"/>
      <c r="K5648" s="15"/>
      <c r="L5648" s="51"/>
      <c r="M5648" s="15"/>
      <c r="N5648" s="23"/>
      <c r="O5648" s="23"/>
      <c r="P5648" s="15" t="str">
        <f t="shared" si="6"/>
        <v/>
      </c>
      <c r="Q5648" s="24"/>
      <c r="R5648" s="25"/>
      <c r="S5648" s="25"/>
      <c r="T5648" s="26"/>
      <c r="U5648" s="26"/>
      <c r="V5648" s="25"/>
      <c r="W5648" s="25"/>
      <c r="X5648" s="25"/>
      <c r="Y5648" s="25"/>
      <c r="Z5648" s="25"/>
    </row>
    <row r="5649" spans="1:26" ht="15.75" customHeight="1" x14ac:dyDescent="0.25">
      <c r="A5649" s="25"/>
      <c r="B5649" s="49"/>
      <c r="C5649" s="50"/>
      <c r="D5649" s="23"/>
      <c r="E5649" s="23"/>
      <c r="F5649" s="15"/>
      <c r="G5649" s="23"/>
      <c r="H5649" s="15"/>
      <c r="I5649" s="15"/>
      <c r="J5649" s="51"/>
      <c r="K5649" s="15"/>
      <c r="L5649" s="51"/>
      <c r="M5649" s="15"/>
      <c r="N5649" s="23"/>
      <c r="O5649" s="23"/>
      <c r="P5649" s="15" t="str">
        <f t="shared" si="6"/>
        <v/>
      </c>
      <c r="Q5649" s="24"/>
      <c r="R5649" s="25"/>
      <c r="S5649" s="25"/>
      <c r="T5649" s="26"/>
      <c r="U5649" s="26"/>
      <c r="V5649" s="25"/>
      <c r="W5649" s="25"/>
      <c r="X5649" s="25"/>
      <c r="Y5649" s="25"/>
      <c r="Z5649" s="25"/>
    </row>
    <row r="5650" spans="1:26" ht="15.75" customHeight="1" x14ac:dyDescent="0.25">
      <c r="A5650" s="25"/>
      <c r="B5650" s="49"/>
      <c r="C5650" s="50"/>
      <c r="D5650" s="23"/>
      <c r="E5650" s="23"/>
      <c r="F5650" s="15"/>
      <c r="G5650" s="23"/>
      <c r="H5650" s="15"/>
      <c r="I5650" s="15"/>
      <c r="J5650" s="51"/>
      <c r="K5650" s="15"/>
      <c r="L5650" s="51"/>
      <c r="M5650" s="15"/>
      <c r="N5650" s="23"/>
      <c r="O5650" s="23"/>
      <c r="P5650" s="15" t="str">
        <f t="shared" si="6"/>
        <v/>
      </c>
      <c r="Q5650" s="24"/>
      <c r="R5650" s="25"/>
      <c r="S5650" s="25"/>
      <c r="T5650" s="26"/>
      <c r="U5650" s="26"/>
      <c r="V5650" s="25"/>
      <c r="W5650" s="25"/>
      <c r="X5650" s="25"/>
      <c r="Y5650" s="25"/>
      <c r="Z5650" s="25"/>
    </row>
    <row r="5651" spans="1:26" ht="15.75" customHeight="1" x14ac:dyDescent="0.25">
      <c r="A5651" s="25"/>
      <c r="B5651" s="49"/>
      <c r="C5651" s="50"/>
      <c r="D5651" s="23"/>
      <c r="E5651" s="23"/>
      <c r="F5651" s="15"/>
      <c r="G5651" s="23"/>
      <c r="H5651" s="15"/>
      <c r="I5651" s="15"/>
      <c r="J5651" s="51"/>
      <c r="K5651" s="15"/>
      <c r="L5651" s="51"/>
      <c r="M5651" s="15"/>
      <c r="N5651" s="23"/>
      <c r="O5651" s="23"/>
      <c r="P5651" s="15" t="str">
        <f t="shared" si="6"/>
        <v/>
      </c>
      <c r="Q5651" s="24"/>
      <c r="R5651" s="25"/>
      <c r="S5651" s="25"/>
      <c r="T5651" s="26"/>
      <c r="U5651" s="26"/>
      <c r="V5651" s="25"/>
      <c r="W5651" s="25"/>
      <c r="X5651" s="25"/>
      <c r="Y5651" s="25"/>
      <c r="Z5651" s="25"/>
    </row>
    <row r="5652" spans="1:26" ht="15.75" customHeight="1" x14ac:dyDescent="0.25">
      <c r="A5652" s="25"/>
      <c r="B5652" s="49"/>
      <c r="C5652" s="50"/>
      <c r="D5652" s="23"/>
      <c r="E5652" s="23"/>
      <c r="F5652" s="15"/>
      <c r="G5652" s="23"/>
      <c r="H5652" s="15"/>
      <c r="I5652" s="15"/>
      <c r="J5652" s="51"/>
      <c r="K5652" s="15"/>
      <c r="L5652" s="51"/>
      <c r="M5652" s="15"/>
      <c r="N5652" s="23"/>
      <c r="O5652" s="23"/>
      <c r="P5652" s="15" t="str">
        <f t="shared" si="6"/>
        <v/>
      </c>
      <c r="Q5652" s="24"/>
      <c r="R5652" s="25"/>
      <c r="S5652" s="25"/>
      <c r="T5652" s="26"/>
      <c r="U5652" s="26"/>
      <c r="V5652" s="25"/>
      <c r="W5652" s="25"/>
      <c r="X5652" s="25"/>
      <c r="Y5652" s="25"/>
      <c r="Z5652" s="25"/>
    </row>
    <row r="5653" spans="1:26" ht="15.75" customHeight="1" x14ac:dyDescent="0.25">
      <c r="A5653" s="25"/>
      <c r="B5653" s="49"/>
      <c r="C5653" s="50"/>
      <c r="D5653" s="23"/>
      <c r="E5653" s="23"/>
      <c r="F5653" s="15"/>
      <c r="G5653" s="23"/>
      <c r="H5653" s="15"/>
      <c r="I5653" s="15"/>
      <c r="J5653" s="51"/>
      <c r="K5653" s="15"/>
      <c r="L5653" s="51"/>
      <c r="M5653" s="15"/>
      <c r="N5653" s="23"/>
      <c r="O5653" s="23"/>
      <c r="P5653" s="15" t="str">
        <f t="shared" si="6"/>
        <v/>
      </c>
      <c r="Q5653" s="24"/>
      <c r="R5653" s="25"/>
      <c r="S5653" s="25"/>
      <c r="T5653" s="26"/>
      <c r="U5653" s="26"/>
      <c r="V5653" s="25"/>
      <c r="W5653" s="25"/>
      <c r="X5653" s="25"/>
      <c r="Y5653" s="25"/>
      <c r="Z5653" s="25"/>
    </row>
    <row r="5654" spans="1:26" ht="15.75" customHeight="1" x14ac:dyDescent="0.25">
      <c r="A5654" s="25"/>
      <c r="B5654" s="49"/>
      <c r="C5654" s="50"/>
      <c r="D5654" s="23"/>
      <c r="E5654" s="23"/>
      <c r="F5654" s="15"/>
      <c r="G5654" s="23"/>
      <c r="H5654" s="15"/>
      <c r="I5654" s="15"/>
      <c r="J5654" s="51"/>
      <c r="K5654" s="15"/>
      <c r="L5654" s="51"/>
      <c r="M5654" s="15"/>
      <c r="N5654" s="23"/>
      <c r="O5654" s="23"/>
      <c r="P5654" s="15" t="str">
        <f t="shared" si="6"/>
        <v/>
      </c>
      <c r="Q5654" s="24"/>
      <c r="R5654" s="25"/>
      <c r="S5654" s="25"/>
      <c r="T5654" s="26"/>
      <c r="U5654" s="26"/>
      <c r="V5654" s="25"/>
      <c r="W5654" s="25"/>
      <c r="X5654" s="25"/>
      <c r="Y5654" s="25"/>
      <c r="Z5654" s="25"/>
    </row>
    <row r="5655" spans="1:26" ht="15.75" customHeight="1" x14ac:dyDescent="0.25">
      <c r="A5655" s="25"/>
      <c r="B5655" s="49"/>
      <c r="C5655" s="50"/>
      <c r="D5655" s="23"/>
      <c r="E5655" s="23"/>
      <c r="F5655" s="15"/>
      <c r="G5655" s="23"/>
      <c r="H5655" s="15"/>
      <c r="I5655" s="15"/>
      <c r="J5655" s="51"/>
      <c r="K5655" s="15"/>
      <c r="L5655" s="51"/>
      <c r="M5655" s="15"/>
      <c r="N5655" s="23"/>
      <c r="O5655" s="23"/>
      <c r="P5655" s="15" t="str">
        <f t="shared" si="6"/>
        <v/>
      </c>
      <c r="Q5655" s="24"/>
      <c r="R5655" s="25"/>
      <c r="S5655" s="25"/>
      <c r="T5655" s="26"/>
      <c r="U5655" s="26"/>
      <c r="V5655" s="25"/>
      <c r="W5655" s="25"/>
      <c r="X5655" s="25"/>
      <c r="Y5655" s="25"/>
      <c r="Z5655" s="25"/>
    </row>
    <row r="5656" spans="1:26" ht="15.75" customHeight="1" x14ac:dyDescent="0.25">
      <c r="A5656" s="25"/>
      <c r="B5656" s="49"/>
      <c r="C5656" s="50"/>
      <c r="D5656" s="23"/>
      <c r="E5656" s="23"/>
      <c r="F5656" s="15"/>
      <c r="G5656" s="23"/>
      <c r="H5656" s="15"/>
      <c r="I5656" s="15"/>
      <c r="J5656" s="51"/>
      <c r="K5656" s="15"/>
      <c r="L5656" s="51"/>
      <c r="M5656" s="15"/>
      <c r="N5656" s="23"/>
      <c r="O5656" s="23"/>
      <c r="P5656" s="15" t="str">
        <f t="shared" si="6"/>
        <v/>
      </c>
      <c r="Q5656" s="24"/>
      <c r="R5656" s="25"/>
      <c r="S5656" s="25"/>
      <c r="T5656" s="26"/>
      <c r="U5656" s="26"/>
      <c r="V5656" s="25"/>
      <c r="W5656" s="25"/>
      <c r="X5656" s="25"/>
      <c r="Y5656" s="25"/>
      <c r="Z5656" s="25"/>
    </row>
    <row r="5657" spans="1:26" ht="15.75" customHeight="1" x14ac:dyDescent="0.25">
      <c r="A5657" s="25"/>
      <c r="B5657" s="49"/>
      <c r="C5657" s="50"/>
      <c r="D5657" s="23"/>
      <c r="E5657" s="23"/>
      <c r="F5657" s="15"/>
      <c r="G5657" s="23"/>
      <c r="H5657" s="15"/>
      <c r="I5657" s="15"/>
      <c r="J5657" s="51"/>
      <c r="K5657" s="15"/>
      <c r="L5657" s="51"/>
      <c r="M5657" s="15"/>
      <c r="N5657" s="23"/>
      <c r="O5657" s="23"/>
      <c r="P5657" s="15" t="str">
        <f t="shared" si="6"/>
        <v/>
      </c>
      <c r="Q5657" s="24"/>
      <c r="R5657" s="25"/>
      <c r="S5657" s="25"/>
      <c r="T5657" s="26"/>
      <c r="U5657" s="26"/>
      <c r="V5657" s="25"/>
      <c r="W5657" s="25"/>
      <c r="X5657" s="25"/>
      <c r="Y5657" s="25"/>
      <c r="Z5657" s="25"/>
    </row>
    <row r="5658" spans="1:26" ht="15.75" customHeight="1" x14ac:dyDescent="0.25">
      <c r="A5658" s="25"/>
      <c r="B5658" s="49"/>
      <c r="C5658" s="50"/>
      <c r="D5658" s="23"/>
      <c r="E5658" s="23"/>
      <c r="F5658" s="15"/>
      <c r="G5658" s="23"/>
      <c r="H5658" s="15"/>
      <c r="I5658" s="15"/>
      <c r="J5658" s="51"/>
      <c r="K5658" s="15"/>
      <c r="L5658" s="51"/>
      <c r="M5658" s="15"/>
      <c r="N5658" s="23"/>
      <c r="O5658" s="23"/>
      <c r="P5658" s="15" t="str">
        <f t="shared" si="6"/>
        <v/>
      </c>
      <c r="Q5658" s="24"/>
      <c r="R5658" s="25"/>
      <c r="S5658" s="25"/>
      <c r="T5658" s="26"/>
      <c r="U5658" s="26"/>
      <c r="V5658" s="25"/>
      <c r="W5658" s="25"/>
      <c r="X5658" s="25"/>
      <c r="Y5658" s="25"/>
      <c r="Z5658" s="25"/>
    </row>
    <row r="5659" spans="1:26" ht="15.75" customHeight="1" x14ac:dyDescent="0.25">
      <c r="A5659" s="25"/>
      <c r="B5659" s="49"/>
      <c r="C5659" s="50"/>
      <c r="D5659" s="23"/>
      <c r="E5659" s="23"/>
      <c r="F5659" s="15"/>
      <c r="G5659" s="23"/>
      <c r="H5659" s="15"/>
      <c r="I5659" s="15"/>
      <c r="J5659" s="51"/>
      <c r="K5659" s="15"/>
      <c r="L5659" s="51"/>
      <c r="M5659" s="15"/>
      <c r="N5659" s="23"/>
      <c r="O5659" s="23"/>
      <c r="P5659" s="15" t="str">
        <f t="shared" si="6"/>
        <v/>
      </c>
      <c r="Q5659" s="24"/>
      <c r="R5659" s="25"/>
      <c r="S5659" s="25"/>
      <c r="T5659" s="26"/>
      <c r="U5659" s="26"/>
      <c r="V5659" s="25"/>
      <c r="W5659" s="25"/>
      <c r="X5659" s="25"/>
      <c r="Y5659" s="25"/>
      <c r="Z5659" s="25"/>
    </row>
    <row r="5660" spans="1:26" ht="15.75" customHeight="1" x14ac:dyDescent="0.25">
      <c r="A5660" s="25"/>
      <c r="B5660" s="49"/>
      <c r="C5660" s="50"/>
      <c r="D5660" s="23"/>
      <c r="E5660" s="23"/>
      <c r="F5660" s="15"/>
      <c r="G5660" s="23"/>
      <c r="H5660" s="15"/>
      <c r="I5660" s="15"/>
      <c r="J5660" s="51"/>
      <c r="K5660" s="15"/>
      <c r="L5660" s="51"/>
      <c r="M5660" s="15"/>
      <c r="N5660" s="23"/>
      <c r="O5660" s="23"/>
      <c r="P5660" s="15" t="str">
        <f t="shared" si="6"/>
        <v/>
      </c>
      <c r="Q5660" s="24"/>
      <c r="R5660" s="25"/>
      <c r="S5660" s="25"/>
      <c r="T5660" s="26"/>
      <c r="U5660" s="26"/>
      <c r="V5660" s="25"/>
      <c r="W5660" s="25"/>
      <c r="X5660" s="25"/>
      <c r="Y5660" s="25"/>
      <c r="Z5660" s="25"/>
    </row>
    <row r="5661" spans="1:26" ht="15.75" customHeight="1" x14ac:dyDescent="0.25">
      <c r="A5661" s="25"/>
      <c r="B5661" s="49"/>
      <c r="C5661" s="50"/>
      <c r="D5661" s="23"/>
      <c r="E5661" s="23"/>
      <c r="F5661" s="15"/>
      <c r="G5661" s="23"/>
      <c r="H5661" s="15"/>
      <c r="I5661" s="15"/>
      <c r="J5661" s="51"/>
      <c r="K5661" s="15"/>
      <c r="L5661" s="51"/>
      <c r="M5661" s="15"/>
      <c r="N5661" s="23"/>
      <c r="O5661" s="23"/>
      <c r="P5661" s="15" t="str">
        <f t="shared" si="6"/>
        <v/>
      </c>
      <c r="Q5661" s="24"/>
      <c r="R5661" s="25"/>
      <c r="S5661" s="25"/>
      <c r="T5661" s="26"/>
      <c r="U5661" s="26"/>
      <c r="V5661" s="25"/>
      <c r="W5661" s="25"/>
      <c r="X5661" s="25"/>
      <c r="Y5661" s="25"/>
      <c r="Z5661" s="25"/>
    </row>
    <row r="5662" spans="1:26" ht="15.75" customHeight="1" x14ac:dyDescent="0.25">
      <c r="A5662" s="25"/>
      <c r="B5662" s="49"/>
      <c r="C5662" s="50"/>
      <c r="D5662" s="23"/>
      <c r="E5662" s="23"/>
      <c r="F5662" s="15"/>
      <c r="G5662" s="23"/>
      <c r="H5662" s="15"/>
      <c r="I5662" s="15"/>
      <c r="J5662" s="51"/>
      <c r="K5662" s="15"/>
      <c r="L5662" s="51"/>
      <c r="M5662" s="15"/>
      <c r="N5662" s="23"/>
      <c r="O5662" s="23"/>
      <c r="P5662" s="15" t="str">
        <f t="shared" si="6"/>
        <v/>
      </c>
      <c r="Q5662" s="24"/>
      <c r="R5662" s="25"/>
      <c r="S5662" s="25"/>
      <c r="T5662" s="26"/>
      <c r="U5662" s="26"/>
      <c r="V5662" s="25"/>
      <c r="W5662" s="25"/>
      <c r="X5662" s="25"/>
      <c r="Y5662" s="25"/>
      <c r="Z5662" s="25"/>
    </row>
    <row r="5663" spans="1:26" ht="15.75" customHeight="1" x14ac:dyDescent="0.25">
      <c r="A5663" s="25"/>
      <c r="B5663" s="49"/>
      <c r="C5663" s="50"/>
      <c r="D5663" s="23"/>
      <c r="E5663" s="23"/>
      <c r="F5663" s="15"/>
      <c r="G5663" s="23"/>
      <c r="H5663" s="15"/>
      <c r="I5663" s="15"/>
      <c r="J5663" s="51"/>
      <c r="K5663" s="15"/>
      <c r="L5663" s="51"/>
      <c r="M5663" s="15"/>
      <c r="N5663" s="23"/>
      <c r="O5663" s="23"/>
      <c r="P5663" s="15" t="str">
        <f t="shared" si="6"/>
        <v/>
      </c>
      <c r="Q5663" s="24"/>
      <c r="R5663" s="25"/>
      <c r="S5663" s="25"/>
      <c r="T5663" s="26"/>
      <c r="U5663" s="26"/>
      <c r="V5663" s="25"/>
      <c r="W5663" s="25"/>
      <c r="X5663" s="25"/>
      <c r="Y5663" s="25"/>
      <c r="Z5663" s="25"/>
    </row>
    <row r="5664" spans="1:26" ht="15.75" customHeight="1" x14ac:dyDescent="0.25">
      <c r="A5664" s="25"/>
      <c r="B5664" s="49"/>
      <c r="C5664" s="50"/>
      <c r="D5664" s="23"/>
      <c r="E5664" s="23"/>
      <c r="F5664" s="15"/>
      <c r="G5664" s="23"/>
      <c r="H5664" s="15"/>
      <c r="I5664" s="15"/>
      <c r="J5664" s="51"/>
      <c r="K5664" s="15"/>
      <c r="L5664" s="51"/>
      <c r="M5664" s="15"/>
      <c r="N5664" s="23"/>
      <c r="O5664" s="23"/>
      <c r="P5664" s="15" t="str">
        <f t="shared" si="6"/>
        <v/>
      </c>
      <c r="Q5664" s="24"/>
      <c r="R5664" s="25"/>
      <c r="S5664" s="25"/>
      <c r="T5664" s="26"/>
      <c r="U5664" s="26"/>
      <c r="V5664" s="25"/>
      <c r="W5664" s="25"/>
      <c r="X5664" s="25"/>
      <c r="Y5664" s="25"/>
      <c r="Z5664" s="25"/>
    </row>
    <row r="5665" spans="1:26" ht="15.75" customHeight="1" x14ac:dyDescent="0.25">
      <c r="A5665" s="25"/>
      <c r="B5665" s="49"/>
      <c r="C5665" s="50"/>
      <c r="D5665" s="23"/>
      <c r="E5665" s="23"/>
      <c r="F5665" s="15"/>
      <c r="G5665" s="23"/>
      <c r="H5665" s="15"/>
      <c r="I5665" s="15"/>
      <c r="J5665" s="51"/>
      <c r="K5665" s="15"/>
      <c r="L5665" s="51"/>
      <c r="M5665" s="15"/>
      <c r="N5665" s="23"/>
      <c r="O5665" s="23"/>
      <c r="P5665" s="15" t="str">
        <f t="shared" si="6"/>
        <v/>
      </c>
      <c r="Q5665" s="24"/>
      <c r="R5665" s="25"/>
      <c r="S5665" s="25"/>
      <c r="T5665" s="26"/>
      <c r="U5665" s="26"/>
      <c r="V5665" s="25"/>
      <c r="W5665" s="25"/>
      <c r="X5665" s="25"/>
      <c r="Y5665" s="25"/>
      <c r="Z5665" s="25"/>
    </row>
    <row r="5666" spans="1:26" ht="15.75" customHeight="1" x14ac:dyDescent="0.25">
      <c r="A5666" s="25"/>
      <c r="B5666" s="49"/>
      <c r="C5666" s="50"/>
      <c r="D5666" s="23"/>
      <c r="E5666" s="23"/>
      <c r="F5666" s="15"/>
      <c r="G5666" s="23"/>
      <c r="H5666" s="15"/>
      <c r="I5666" s="15"/>
      <c r="J5666" s="51"/>
      <c r="K5666" s="15"/>
      <c r="L5666" s="51"/>
      <c r="M5666" s="15"/>
      <c r="N5666" s="23"/>
      <c r="O5666" s="23"/>
      <c r="P5666" s="15" t="str">
        <f t="shared" si="6"/>
        <v/>
      </c>
      <c r="Q5666" s="24"/>
      <c r="R5666" s="25"/>
      <c r="S5666" s="25"/>
      <c r="T5666" s="26"/>
      <c r="U5666" s="26"/>
      <c r="V5666" s="25"/>
      <c r="W5666" s="25"/>
      <c r="X5666" s="25"/>
      <c r="Y5666" s="25"/>
      <c r="Z5666" s="25"/>
    </row>
    <row r="5667" spans="1:26" ht="15.75" customHeight="1" x14ac:dyDescent="0.25">
      <c r="A5667" s="25"/>
      <c r="B5667" s="49"/>
      <c r="C5667" s="50"/>
      <c r="D5667" s="23"/>
      <c r="E5667" s="23"/>
      <c r="F5667" s="15"/>
      <c r="G5667" s="23"/>
      <c r="H5667" s="15"/>
      <c r="I5667" s="15"/>
      <c r="J5667" s="51"/>
      <c r="K5667" s="15"/>
      <c r="L5667" s="51"/>
      <c r="M5667" s="15"/>
      <c r="N5667" s="23"/>
      <c r="O5667" s="23"/>
      <c r="P5667" s="15" t="str">
        <f t="shared" si="6"/>
        <v/>
      </c>
      <c r="Q5667" s="24"/>
      <c r="R5667" s="25"/>
      <c r="S5667" s="25"/>
      <c r="T5667" s="26"/>
      <c r="U5667" s="26"/>
      <c r="V5667" s="25"/>
      <c r="W5667" s="25"/>
      <c r="X5667" s="25"/>
      <c r="Y5667" s="25"/>
      <c r="Z5667" s="25"/>
    </row>
    <row r="5668" spans="1:26" ht="15.75" customHeight="1" x14ac:dyDescent="0.25">
      <c r="A5668" s="25"/>
      <c r="B5668" s="49"/>
      <c r="C5668" s="50"/>
      <c r="D5668" s="23"/>
      <c r="E5668" s="23"/>
      <c r="F5668" s="15"/>
      <c r="G5668" s="23"/>
      <c r="H5668" s="15"/>
      <c r="I5668" s="15"/>
      <c r="J5668" s="51"/>
      <c r="K5668" s="15"/>
      <c r="L5668" s="51"/>
      <c r="M5668" s="15"/>
      <c r="N5668" s="23"/>
      <c r="O5668" s="23"/>
      <c r="P5668" s="15" t="str">
        <f t="shared" si="6"/>
        <v/>
      </c>
      <c r="Q5668" s="24"/>
      <c r="R5668" s="25"/>
      <c r="S5668" s="25"/>
      <c r="T5668" s="26"/>
      <c r="U5668" s="26"/>
      <c r="V5668" s="25"/>
      <c r="W5668" s="25"/>
      <c r="X5668" s="25"/>
      <c r="Y5668" s="25"/>
      <c r="Z5668" s="25"/>
    </row>
    <row r="5669" spans="1:26" ht="15.75" customHeight="1" x14ac:dyDescent="0.25">
      <c r="A5669" s="25"/>
      <c r="B5669" s="49"/>
      <c r="C5669" s="50"/>
      <c r="D5669" s="23"/>
      <c r="E5669" s="23"/>
      <c r="F5669" s="15"/>
      <c r="G5669" s="23"/>
      <c r="H5669" s="15"/>
      <c r="I5669" s="15"/>
      <c r="J5669" s="51"/>
      <c r="K5669" s="15"/>
      <c r="L5669" s="51"/>
      <c r="M5669" s="15"/>
      <c r="N5669" s="23"/>
      <c r="O5669" s="23"/>
      <c r="P5669" s="15" t="str">
        <f t="shared" si="6"/>
        <v/>
      </c>
      <c r="Q5669" s="24"/>
      <c r="R5669" s="25"/>
      <c r="S5669" s="25"/>
      <c r="T5669" s="26"/>
      <c r="U5669" s="26"/>
      <c r="V5669" s="25"/>
      <c r="W5669" s="25"/>
      <c r="X5669" s="25"/>
      <c r="Y5669" s="25"/>
      <c r="Z5669" s="25"/>
    </row>
    <row r="5670" spans="1:26" ht="15.75" customHeight="1" x14ac:dyDescent="0.25">
      <c r="A5670" s="25"/>
      <c r="B5670" s="49"/>
      <c r="C5670" s="50"/>
      <c r="D5670" s="23"/>
      <c r="E5670" s="23"/>
      <c r="F5670" s="15"/>
      <c r="G5670" s="23"/>
      <c r="H5670" s="15"/>
      <c r="I5670" s="15"/>
      <c r="J5670" s="51"/>
      <c r="K5670" s="15"/>
      <c r="L5670" s="51"/>
      <c r="M5670" s="15"/>
      <c r="N5670" s="23"/>
      <c r="O5670" s="23"/>
      <c r="P5670" s="15" t="str">
        <f t="shared" si="6"/>
        <v/>
      </c>
      <c r="Q5670" s="24"/>
      <c r="R5670" s="25"/>
      <c r="S5670" s="25"/>
      <c r="T5670" s="26"/>
      <c r="U5670" s="26"/>
      <c r="V5670" s="25"/>
      <c r="W5670" s="25"/>
      <c r="X5670" s="25"/>
      <c r="Y5670" s="25"/>
      <c r="Z5670" s="25"/>
    </row>
    <row r="5671" spans="1:26" ht="15.75" customHeight="1" x14ac:dyDescent="0.25">
      <c r="A5671" s="25"/>
      <c r="B5671" s="49"/>
      <c r="C5671" s="50"/>
      <c r="D5671" s="23"/>
      <c r="E5671" s="23"/>
      <c r="F5671" s="15"/>
      <c r="G5671" s="23"/>
      <c r="H5671" s="15"/>
      <c r="I5671" s="15"/>
      <c r="J5671" s="51"/>
      <c r="K5671" s="15"/>
      <c r="L5671" s="51"/>
      <c r="M5671" s="15"/>
      <c r="N5671" s="23"/>
      <c r="O5671" s="23"/>
      <c r="P5671" s="15" t="str">
        <f t="shared" si="6"/>
        <v/>
      </c>
      <c r="Q5671" s="24"/>
      <c r="R5671" s="25"/>
      <c r="S5671" s="25"/>
      <c r="T5671" s="26"/>
      <c r="U5671" s="26"/>
      <c r="V5671" s="25"/>
      <c r="W5671" s="25"/>
      <c r="X5671" s="25"/>
      <c r="Y5671" s="25"/>
      <c r="Z5671" s="25"/>
    </row>
    <row r="5672" spans="1:26" ht="15.75" customHeight="1" x14ac:dyDescent="0.25">
      <c r="A5672" s="25"/>
      <c r="B5672" s="49"/>
      <c r="C5672" s="50"/>
      <c r="D5672" s="23"/>
      <c r="E5672" s="23"/>
      <c r="F5672" s="15"/>
      <c r="G5672" s="23"/>
      <c r="H5672" s="15"/>
      <c r="I5672" s="15"/>
      <c r="J5672" s="51"/>
      <c r="K5672" s="15"/>
      <c r="L5672" s="51"/>
      <c r="M5672" s="15"/>
      <c r="N5672" s="23"/>
      <c r="O5672" s="23"/>
      <c r="P5672" s="15" t="str">
        <f t="shared" si="6"/>
        <v/>
      </c>
      <c r="Q5672" s="24"/>
      <c r="R5672" s="25"/>
      <c r="S5672" s="25"/>
      <c r="T5672" s="26"/>
      <c r="U5672" s="26"/>
      <c r="V5672" s="25"/>
      <c r="W5672" s="25"/>
      <c r="X5672" s="25"/>
      <c r="Y5672" s="25"/>
      <c r="Z5672" s="25"/>
    </row>
    <row r="5673" spans="1:26" ht="15.75" customHeight="1" x14ac:dyDescent="0.25">
      <c r="A5673" s="25"/>
      <c r="B5673" s="49"/>
      <c r="C5673" s="50"/>
      <c r="D5673" s="23"/>
      <c r="E5673" s="23"/>
      <c r="F5673" s="15"/>
      <c r="G5673" s="23"/>
      <c r="H5673" s="15"/>
      <c r="I5673" s="15"/>
      <c r="J5673" s="51"/>
      <c r="K5673" s="15"/>
      <c r="L5673" s="51"/>
      <c r="M5673" s="15"/>
      <c r="N5673" s="23"/>
      <c r="O5673" s="23"/>
      <c r="P5673" s="15" t="str">
        <f t="shared" si="6"/>
        <v/>
      </c>
      <c r="Q5673" s="24"/>
      <c r="R5673" s="25"/>
      <c r="S5673" s="25"/>
      <c r="T5673" s="26"/>
      <c r="U5673" s="26"/>
      <c r="V5673" s="25"/>
      <c r="W5673" s="25"/>
      <c r="X5673" s="25"/>
      <c r="Y5673" s="25"/>
      <c r="Z5673" s="25"/>
    </row>
    <row r="5674" spans="1:26" ht="15.75" customHeight="1" x14ac:dyDescent="0.25">
      <c r="A5674" s="25"/>
      <c r="B5674" s="49"/>
      <c r="C5674" s="50"/>
      <c r="D5674" s="23"/>
      <c r="E5674" s="23"/>
      <c r="F5674" s="15"/>
      <c r="G5674" s="23"/>
      <c r="H5674" s="15"/>
      <c r="I5674" s="15"/>
      <c r="J5674" s="51"/>
      <c r="K5674" s="15"/>
      <c r="L5674" s="51"/>
      <c r="M5674" s="15"/>
      <c r="N5674" s="23"/>
      <c r="O5674" s="23"/>
      <c r="P5674" s="15" t="str">
        <f t="shared" si="6"/>
        <v/>
      </c>
      <c r="Q5674" s="24"/>
      <c r="R5674" s="25"/>
      <c r="S5674" s="25"/>
      <c r="T5674" s="26"/>
      <c r="U5674" s="26"/>
      <c r="V5674" s="25"/>
      <c r="W5674" s="25"/>
      <c r="X5674" s="25"/>
      <c r="Y5674" s="25"/>
      <c r="Z5674" s="25"/>
    </row>
    <row r="5675" spans="1:26" ht="15.75" customHeight="1" x14ac:dyDescent="0.25">
      <c r="A5675" s="25"/>
      <c r="B5675" s="49"/>
      <c r="C5675" s="50"/>
      <c r="D5675" s="23"/>
      <c r="E5675" s="23"/>
      <c r="F5675" s="15"/>
      <c r="G5675" s="23"/>
      <c r="H5675" s="15"/>
      <c r="I5675" s="15"/>
      <c r="J5675" s="51"/>
      <c r="K5675" s="15"/>
      <c r="L5675" s="51"/>
      <c r="M5675" s="15"/>
      <c r="N5675" s="23"/>
      <c r="O5675" s="23"/>
      <c r="P5675" s="15" t="str">
        <f t="shared" si="6"/>
        <v/>
      </c>
      <c r="Q5675" s="24"/>
      <c r="R5675" s="25"/>
      <c r="S5675" s="25"/>
      <c r="T5675" s="26"/>
      <c r="U5675" s="26"/>
      <c r="V5675" s="25"/>
      <c r="W5675" s="25"/>
      <c r="X5675" s="25"/>
      <c r="Y5675" s="25"/>
      <c r="Z5675" s="25"/>
    </row>
    <row r="5676" spans="1:26" ht="15.75" customHeight="1" x14ac:dyDescent="0.25">
      <c r="A5676" s="25"/>
      <c r="B5676" s="49"/>
      <c r="C5676" s="50"/>
      <c r="D5676" s="23"/>
      <c r="E5676" s="23"/>
      <c r="F5676" s="15"/>
      <c r="G5676" s="23"/>
      <c r="H5676" s="15"/>
      <c r="I5676" s="15"/>
      <c r="J5676" s="51"/>
      <c r="K5676" s="15"/>
      <c r="L5676" s="51"/>
      <c r="M5676" s="15"/>
      <c r="N5676" s="23"/>
      <c r="O5676" s="23"/>
      <c r="P5676" s="15" t="str">
        <f t="shared" si="6"/>
        <v/>
      </c>
      <c r="Q5676" s="24"/>
      <c r="R5676" s="25"/>
      <c r="S5676" s="25"/>
      <c r="T5676" s="26"/>
      <c r="U5676" s="26"/>
      <c r="V5676" s="25"/>
      <c r="W5676" s="25"/>
      <c r="X5676" s="25"/>
      <c r="Y5676" s="25"/>
      <c r="Z5676" s="25"/>
    </row>
    <row r="5677" spans="1:26" ht="15.75" customHeight="1" x14ac:dyDescent="0.25">
      <c r="A5677" s="25"/>
      <c r="B5677" s="49"/>
      <c r="C5677" s="50"/>
      <c r="D5677" s="23"/>
      <c r="E5677" s="23"/>
      <c r="F5677" s="15"/>
      <c r="G5677" s="23"/>
      <c r="H5677" s="15"/>
      <c r="I5677" s="15"/>
      <c r="J5677" s="51"/>
      <c r="K5677" s="15"/>
      <c r="L5677" s="51"/>
      <c r="M5677" s="15"/>
      <c r="N5677" s="23"/>
      <c r="O5677" s="23"/>
      <c r="P5677" s="15" t="str">
        <f t="shared" si="6"/>
        <v/>
      </c>
      <c r="Q5677" s="24"/>
      <c r="R5677" s="25"/>
      <c r="S5677" s="25"/>
      <c r="T5677" s="26"/>
      <c r="U5677" s="26"/>
      <c r="V5677" s="25"/>
      <c r="W5677" s="25"/>
      <c r="X5677" s="25"/>
      <c r="Y5677" s="25"/>
      <c r="Z5677" s="25"/>
    </row>
    <row r="5678" spans="1:26" ht="15.75" customHeight="1" x14ac:dyDescent="0.25">
      <c r="A5678" s="25"/>
      <c r="B5678" s="49"/>
      <c r="C5678" s="50"/>
      <c r="D5678" s="23"/>
      <c r="E5678" s="23"/>
      <c r="F5678" s="15"/>
      <c r="G5678" s="23"/>
      <c r="H5678" s="15"/>
      <c r="I5678" s="15"/>
      <c r="J5678" s="51"/>
      <c r="K5678" s="15"/>
      <c r="L5678" s="51"/>
      <c r="M5678" s="15"/>
      <c r="N5678" s="23"/>
      <c r="O5678" s="23"/>
      <c r="P5678" s="15" t="str">
        <f t="shared" si="6"/>
        <v/>
      </c>
      <c r="Q5678" s="24"/>
      <c r="R5678" s="25"/>
      <c r="S5678" s="25"/>
      <c r="T5678" s="26"/>
      <c r="U5678" s="26"/>
      <c r="V5678" s="25"/>
      <c r="W5678" s="25"/>
      <c r="X5678" s="25"/>
      <c r="Y5678" s="25"/>
      <c r="Z5678" s="25"/>
    </row>
    <row r="5679" spans="1:26" ht="15.75" customHeight="1" x14ac:dyDescent="0.25">
      <c r="A5679" s="25"/>
      <c r="B5679" s="49"/>
      <c r="C5679" s="50"/>
      <c r="D5679" s="23"/>
      <c r="E5679" s="23"/>
      <c r="F5679" s="15"/>
      <c r="G5679" s="23"/>
      <c r="H5679" s="15"/>
      <c r="I5679" s="15"/>
      <c r="J5679" s="51"/>
      <c r="K5679" s="15"/>
      <c r="L5679" s="51"/>
      <c r="M5679" s="15"/>
      <c r="N5679" s="23"/>
      <c r="O5679" s="23"/>
      <c r="P5679" s="15" t="str">
        <f t="shared" si="6"/>
        <v/>
      </c>
      <c r="Q5679" s="24"/>
      <c r="R5679" s="25"/>
      <c r="S5679" s="25"/>
      <c r="T5679" s="26"/>
      <c r="U5679" s="26"/>
      <c r="V5679" s="25"/>
      <c r="W5679" s="25"/>
      <c r="X5679" s="25"/>
      <c r="Y5679" s="25"/>
      <c r="Z5679" s="25"/>
    </row>
    <row r="5680" spans="1:26" ht="15.75" customHeight="1" x14ac:dyDescent="0.25">
      <c r="A5680" s="25"/>
      <c r="B5680" s="49"/>
      <c r="C5680" s="50"/>
      <c r="D5680" s="23"/>
      <c r="E5680" s="23"/>
      <c r="F5680" s="15"/>
      <c r="G5680" s="23"/>
      <c r="H5680" s="15"/>
      <c r="I5680" s="15"/>
      <c r="J5680" s="51"/>
      <c r="K5680" s="15"/>
      <c r="L5680" s="51"/>
      <c r="M5680" s="15"/>
      <c r="N5680" s="23"/>
      <c r="O5680" s="23"/>
      <c r="P5680" s="15" t="str">
        <f t="shared" si="6"/>
        <v/>
      </c>
      <c r="Q5680" s="24"/>
      <c r="R5680" s="25"/>
      <c r="S5680" s="25"/>
      <c r="T5680" s="26"/>
      <c r="U5680" s="26"/>
      <c r="V5680" s="25"/>
      <c r="W5680" s="25"/>
      <c r="X5680" s="25"/>
      <c r="Y5680" s="25"/>
      <c r="Z5680" s="25"/>
    </row>
    <row r="5681" spans="1:26" ht="15.75" customHeight="1" x14ac:dyDescent="0.25">
      <c r="A5681" s="25"/>
      <c r="B5681" s="49"/>
      <c r="C5681" s="50"/>
      <c r="D5681" s="23"/>
      <c r="E5681" s="23"/>
      <c r="F5681" s="15"/>
      <c r="G5681" s="23"/>
      <c r="H5681" s="15"/>
      <c r="I5681" s="15"/>
      <c r="J5681" s="51"/>
      <c r="K5681" s="15"/>
      <c r="L5681" s="51"/>
      <c r="M5681" s="15"/>
      <c r="N5681" s="23"/>
      <c r="O5681" s="23"/>
      <c r="P5681" s="15" t="str">
        <f t="shared" si="6"/>
        <v/>
      </c>
      <c r="Q5681" s="24"/>
      <c r="R5681" s="25"/>
      <c r="S5681" s="25"/>
      <c r="T5681" s="26"/>
      <c r="U5681" s="26"/>
      <c r="V5681" s="25"/>
      <c r="W5681" s="25"/>
      <c r="X5681" s="25"/>
      <c r="Y5681" s="25"/>
      <c r="Z5681" s="25"/>
    </row>
    <row r="5682" spans="1:26" ht="15.75" customHeight="1" x14ac:dyDescent="0.25">
      <c r="A5682" s="25"/>
      <c r="B5682" s="49"/>
      <c r="C5682" s="50"/>
      <c r="D5682" s="23"/>
      <c r="E5682" s="23"/>
      <c r="F5682" s="15"/>
      <c r="G5682" s="23"/>
      <c r="H5682" s="15"/>
      <c r="I5682" s="15"/>
      <c r="J5682" s="51"/>
      <c r="K5682" s="15"/>
      <c r="L5682" s="51"/>
      <c r="M5682" s="15"/>
      <c r="N5682" s="23"/>
      <c r="O5682" s="23"/>
      <c r="P5682" s="15" t="str">
        <f t="shared" si="6"/>
        <v/>
      </c>
      <c r="Q5682" s="24"/>
      <c r="R5682" s="25"/>
      <c r="S5682" s="25"/>
      <c r="T5682" s="26"/>
      <c r="U5682" s="26"/>
      <c r="V5682" s="25"/>
      <c r="W5682" s="25"/>
      <c r="X5682" s="25"/>
      <c r="Y5682" s="25"/>
      <c r="Z5682" s="25"/>
    </row>
    <row r="5683" spans="1:26" ht="15.75" customHeight="1" x14ac:dyDescent="0.25">
      <c r="A5683" s="25"/>
      <c r="B5683" s="49"/>
      <c r="C5683" s="50"/>
      <c r="D5683" s="23"/>
      <c r="E5683" s="23"/>
      <c r="F5683" s="15"/>
      <c r="G5683" s="23"/>
      <c r="H5683" s="15"/>
      <c r="I5683" s="15"/>
      <c r="J5683" s="51"/>
      <c r="K5683" s="15"/>
      <c r="L5683" s="51"/>
      <c r="M5683" s="15"/>
      <c r="N5683" s="23"/>
      <c r="O5683" s="23"/>
      <c r="P5683" s="15" t="str">
        <f t="shared" si="6"/>
        <v/>
      </c>
      <c r="Q5683" s="24"/>
      <c r="R5683" s="25"/>
      <c r="S5683" s="25"/>
      <c r="T5683" s="26"/>
      <c r="U5683" s="26"/>
      <c r="V5683" s="25"/>
      <c r="W5683" s="25"/>
      <c r="X5683" s="25"/>
      <c r="Y5683" s="25"/>
      <c r="Z5683" s="25"/>
    </row>
    <row r="5684" spans="1:26" ht="15.75" customHeight="1" x14ac:dyDescent="0.25">
      <c r="A5684" s="25"/>
      <c r="B5684" s="49"/>
      <c r="C5684" s="50"/>
      <c r="D5684" s="23"/>
      <c r="E5684" s="23"/>
      <c r="F5684" s="15"/>
      <c r="G5684" s="23"/>
      <c r="H5684" s="15"/>
      <c r="I5684" s="15"/>
      <c r="J5684" s="51"/>
      <c r="K5684" s="15"/>
      <c r="L5684" s="51"/>
      <c r="M5684" s="15"/>
      <c r="N5684" s="23"/>
      <c r="O5684" s="23"/>
      <c r="P5684" s="15" t="str">
        <f t="shared" si="6"/>
        <v/>
      </c>
      <c r="Q5684" s="24"/>
      <c r="R5684" s="25"/>
      <c r="S5684" s="25"/>
      <c r="T5684" s="26"/>
      <c r="U5684" s="26"/>
      <c r="V5684" s="25"/>
      <c r="W5684" s="25"/>
      <c r="X5684" s="25"/>
      <c r="Y5684" s="25"/>
      <c r="Z5684" s="25"/>
    </row>
    <row r="5685" spans="1:26" ht="15.75" customHeight="1" x14ac:dyDescent="0.25">
      <c r="A5685" s="25"/>
      <c r="B5685" s="49"/>
      <c r="C5685" s="50"/>
      <c r="D5685" s="23"/>
      <c r="E5685" s="23"/>
      <c r="F5685" s="15"/>
      <c r="G5685" s="23"/>
      <c r="H5685" s="15"/>
      <c r="I5685" s="15"/>
      <c r="J5685" s="51"/>
      <c r="K5685" s="15"/>
      <c r="L5685" s="51"/>
      <c r="M5685" s="15"/>
      <c r="N5685" s="23"/>
      <c r="O5685" s="23"/>
      <c r="P5685" s="15" t="str">
        <f t="shared" si="6"/>
        <v/>
      </c>
      <c r="Q5685" s="24"/>
      <c r="R5685" s="25"/>
      <c r="S5685" s="25"/>
      <c r="T5685" s="26"/>
      <c r="U5685" s="26"/>
      <c r="V5685" s="25"/>
      <c r="W5685" s="25"/>
      <c r="X5685" s="25"/>
      <c r="Y5685" s="25"/>
      <c r="Z5685" s="25"/>
    </row>
    <row r="5686" spans="1:26" ht="15.75" customHeight="1" x14ac:dyDescent="0.25">
      <c r="A5686" s="25"/>
      <c r="B5686" s="49"/>
      <c r="C5686" s="50"/>
      <c r="D5686" s="23"/>
      <c r="E5686" s="23"/>
      <c r="F5686" s="15"/>
      <c r="G5686" s="23"/>
      <c r="H5686" s="15"/>
      <c r="I5686" s="15"/>
      <c r="J5686" s="51"/>
      <c r="K5686" s="15"/>
      <c r="L5686" s="51"/>
      <c r="M5686" s="15"/>
      <c r="N5686" s="23"/>
      <c r="O5686" s="23"/>
      <c r="P5686" s="15" t="str">
        <f t="shared" si="6"/>
        <v/>
      </c>
      <c r="Q5686" s="24"/>
      <c r="R5686" s="25"/>
      <c r="S5686" s="25"/>
      <c r="T5686" s="26"/>
      <c r="U5686" s="26"/>
      <c r="V5686" s="25"/>
      <c r="W5686" s="25"/>
      <c r="X5686" s="25"/>
      <c r="Y5686" s="25"/>
      <c r="Z5686" s="25"/>
    </row>
    <row r="5687" spans="1:26" ht="15.75" customHeight="1" x14ac:dyDescent="0.25">
      <c r="A5687" s="25"/>
      <c r="B5687" s="49"/>
      <c r="C5687" s="50"/>
      <c r="D5687" s="23"/>
      <c r="E5687" s="23"/>
      <c r="F5687" s="15"/>
      <c r="G5687" s="23"/>
      <c r="H5687" s="15"/>
      <c r="I5687" s="15"/>
      <c r="J5687" s="51"/>
      <c r="K5687" s="15"/>
      <c r="L5687" s="51"/>
      <c r="M5687" s="15"/>
      <c r="N5687" s="23"/>
      <c r="O5687" s="23"/>
      <c r="P5687" s="15" t="str">
        <f t="shared" si="6"/>
        <v/>
      </c>
      <c r="Q5687" s="24"/>
      <c r="R5687" s="25"/>
      <c r="S5687" s="25"/>
      <c r="T5687" s="26"/>
      <c r="U5687" s="26"/>
      <c r="V5687" s="25"/>
      <c r="W5687" s="25"/>
      <c r="X5687" s="25"/>
      <c r="Y5687" s="25"/>
      <c r="Z5687" s="25"/>
    </row>
    <row r="5688" spans="1:26" ht="15.75" customHeight="1" x14ac:dyDescent="0.25">
      <c r="A5688" s="25"/>
      <c r="B5688" s="49"/>
      <c r="C5688" s="50"/>
      <c r="D5688" s="23"/>
      <c r="E5688" s="23"/>
      <c r="F5688" s="15"/>
      <c r="G5688" s="23"/>
      <c r="H5688" s="15"/>
      <c r="I5688" s="15"/>
      <c r="J5688" s="51"/>
      <c r="K5688" s="15"/>
      <c r="L5688" s="51"/>
      <c r="M5688" s="15"/>
      <c r="N5688" s="23"/>
      <c r="O5688" s="23"/>
      <c r="P5688" s="15" t="str">
        <f t="shared" si="6"/>
        <v/>
      </c>
      <c r="Q5688" s="24"/>
      <c r="R5688" s="25"/>
      <c r="S5688" s="25"/>
      <c r="T5688" s="26"/>
      <c r="U5688" s="26"/>
      <c r="V5688" s="25"/>
      <c r="W5688" s="25"/>
      <c r="X5688" s="25"/>
      <c r="Y5688" s="25"/>
      <c r="Z5688" s="25"/>
    </row>
    <row r="5689" spans="1:26" ht="15.75" customHeight="1" x14ac:dyDescent="0.25">
      <c r="A5689" s="25"/>
      <c r="B5689" s="49"/>
      <c r="C5689" s="50"/>
      <c r="D5689" s="23"/>
      <c r="E5689" s="23"/>
      <c r="F5689" s="15"/>
      <c r="G5689" s="23"/>
      <c r="H5689" s="15"/>
      <c r="I5689" s="15"/>
      <c r="J5689" s="51"/>
      <c r="K5689" s="15"/>
      <c r="L5689" s="51"/>
      <c r="M5689" s="15"/>
      <c r="N5689" s="23"/>
      <c r="O5689" s="23"/>
      <c r="P5689" s="15" t="str">
        <f t="shared" si="6"/>
        <v/>
      </c>
      <c r="Q5689" s="24"/>
      <c r="R5689" s="25"/>
      <c r="S5689" s="25"/>
      <c r="T5689" s="26"/>
      <c r="U5689" s="26"/>
      <c r="V5689" s="25"/>
      <c r="W5689" s="25"/>
      <c r="X5689" s="25"/>
      <c r="Y5689" s="25"/>
      <c r="Z5689" s="25"/>
    </row>
    <row r="5690" spans="1:26" ht="15.75" customHeight="1" x14ac:dyDescent="0.25">
      <c r="A5690" s="25"/>
      <c r="B5690" s="49"/>
      <c r="C5690" s="50"/>
      <c r="D5690" s="23"/>
      <c r="E5690" s="23"/>
      <c r="F5690" s="15"/>
      <c r="G5690" s="23"/>
      <c r="H5690" s="15"/>
      <c r="I5690" s="15"/>
      <c r="J5690" s="51"/>
      <c r="K5690" s="15"/>
      <c r="L5690" s="51"/>
      <c r="M5690" s="15"/>
      <c r="N5690" s="23"/>
      <c r="O5690" s="23"/>
      <c r="P5690" s="15" t="str">
        <f t="shared" si="6"/>
        <v/>
      </c>
      <c r="Q5690" s="24"/>
      <c r="R5690" s="25"/>
      <c r="S5690" s="25"/>
      <c r="T5690" s="26"/>
      <c r="U5690" s="26"/>
      <c r="V5690" s="25"/>
      <c r="W5690" s="25"/>
      <c r="X5690" s="25"/>
      <c r="Y5690" s="25"/>
      <c r="Z5690" s="25"/>
    </row>
    <row r="5691" spans="1:26" ht="15.75" customHeight="1" x14ac:dyDescent="0.25">
      <c r="A5691" s="25"/>
      <c r="B5691" s="49"/>
      <c r="C5691" s="50"/>
      <c r="D5691" s="23"/>
      <c r="E5691" s="23"/>
      <c r="F5691" s="15"/>
      <c r="G5691" s="23"/>
      <c r="H5691" s="15"/>
      <c r="I5691" s="15"/>
      <c r="J5691" s="51"/>
      <c r="K5691" s="15"/>
      <c r="L5691" s="51"/>
      <c r="M5691" s="15"/>
      <c r="N5691" s="23"/>
      <c r="O5691" s="23"/>
      <c r="P5691" s="15" t="str">
        <f t="shared" si="6"/>
        <v/>
      </c>
      <c r="Q5691" s="24"/>
      <c r="R5691" s="25"/>
      <c r="S5691" s="25"/>
      <c r="T5691" s="26"/>
      <c r="U5691" s="26"/>
      <c r="V5691" s="25"/>
      <c r="W5691" s="25"/>
      <c r="X5691" s="25"/>
      <c r="Y5691" s="25"/>
      <c r="Z5691" s="25"/>
    </row>
    <row r="5692" spans="1:26" ht="15.75" customHeight="1" x14ac:dyDescent="0.25">
      <c r="A5692" s="25"/>
      <c r="B5692" s="49"/>
      <c r="C5692" s="50"/>
      <c r="D5692" s="23"/>
      <c r="E5692" s="23"/>
      <c r="F5692" s="15"/>
      <c r="G5692" s="23"/>
      <c r="H5692" s="15"/>
      <c r="I5692" s="15"/>
      <c r="J5692" s="51"/>
      <c r="K5692" s="15"/>
      <c r="L5692" s="51"/>
      <c r="M5692" s="15"/>
      <c r="N5692" s="23"/>
      <c r="O5692" s="23"/>
      <c r="P5692" s="15" t="str">
        <f t="shared" si="6"/>
        <v/>
      </c>
      <c r="Q5692" s="24"/>
      <c r="R5692" s="25"/>
      <c r="S5692" s="25"/>
      <c r="T5692" s="26"/>
      <c r="U5692" s="26"/>
      <c r="V5692" s="25"/>
      <c r="W5692" s="25"/>
      <c r="X5692" s="25"/>
      <c r="Y5692" s="25"/>
      <c r="Z5692" s="25"/>
    </row>
    <row r="5693" spans="1:26" ht="15.75" customHeight="1" x14ac:dyDescent="0.25">
      <c r="A5693" s="25"/>
      <c r="B5693" s="49"/>
      <c r="C5693" s="50"/>
      <c r="D5693" s="23"/>
      <c r="E5693" s="23"/>
      <c r="F5693" s="15"/>
      <c r="G5693" s="23"/>
      <c r="H5693" s="15"/>
      <c r="I5693" s="15"/>
      <c r="J5693" s="51"/>
      <c r="K5693" s="15"/>
      <c r="L5693" s="51"/>
      <c r="M5693" s="15"/>
      <c r="N5693" s="23"/>
      <c r="O5693" s="23"/>
      <c r="P5693" s="15" t="str">
        <f t="shared" si="6"/>
        <v/>
      </c>
      <c r="Q5693" s="24"/>
      <c r="R5693" s="25"/>
      <c r="S5693" s="25"/>
      <c r="T5693" s="26"/>
      <c r="U5693" s="26"/>
      <c r="V5693" s="25"/>
      <c r="W5693" s="25"/>
      <c r="X5693" s="25"/>
      <c r="Y5693" s="25"/>
      <c r="Z5693" s="25"/>
    </row>
    <row r="5694" spans="1:26" ht="15.75" customHeight="1" x14ac:dyDescent="0.25">
      <c r="A5694" s="25"/>
      <c r="B5694" s="49"/>
      <c r="C5694" s="50"/>
      <c r="D5694" s="23"/>
      <c r="E5694" s="23"/>
      <c r="F5694" s="15"/>
      <c r="G5694" s="23"/>
      <c r="H5694" s="15"/>
      <c r="I5694" s="15"/>
      <c r="J5694" s="51"/>
      <c r="K5694" s="15"/>
      <c r="L5694" s="51"/>
      <c r="M5694" s="15"/>
      <c r="N5694" s="23"/>
      <c r="O5694" s="23"/>
      <c r="P5694" s="15" t="str">
        <f t="shared" si="6"/>
        <v/>
      </c>
      <c r="Q5694" s="24"/>
      <c r="R5694" s="25"/>
      <c r="S5694" s="25"/>
      <c r="T5694" s="26"/>
      <c r="U5694" s="26"/>
      <c r="V5694" s="25"/>
      <c r="W5694" s="25"/>
      <c r="X5694" s="25"/>
      <c r="Y5694" s="25"/>
      <c r="Z5694" s="25"/>
    </row>
    <row r="5695" spans="1:26" ht="15.75" customHeight="1" x14ac:dyDescent="0.25">
      <c r="A5695" s="25"/>
      <c r="B5695" s="49"/>
      <c r="C5695" s="50"/>
      <c r="D5695" s="23"/>
      <c r="E5695" s="23"/>
      <c r="F5695" s="15"/>
      <c r="G5695" s="23"/>
      <c r="H5695" s="15"/>
      <c r="I5695" s="15"/>
      <c r="J5695" s="51"/>
      <c r="K5695" s="15"/>
      <c r="L5695" s="51"/>
      <c r="M5695" s="15"/>
      <c r="N5695" s="23"/>
      <c r="O5695" s="23"/>
      <c r="P5695" s="15" t="str">
        <f t="shared" si="6"/>
        <v/>
      </c>
      <c r="Q5695" s="24"/>
      <c r="R5695" s="25"/>
      <c r="S5695" s="25"/>
      <c r="T5695" s="26"/>
      <c r="U5695" s="26"/>
      <c r="V5695" s="25"/>
      <c r="W5695" s="25"/>
      <c r="X5695" s="25"/>
      <c r="Y5695" s="25"/>
      <c r="Z5695" s="25"/>
    </row>
    <row r="5696" spans="1:26" ht="15.75" customHeight="1" x14ac:dyDescent="0.25">
      <c r="A5696" s="25"/>
      <c r="B5696" s="49"/>
      <c r="C5696" s="50"/>
      <c r="D5696" s="23"/>
      <c r="E5696" s="23"/>
      <c r="F5696" s="15"/>
      <c r="G5696" s="23"/>
      <c r="H5696" s="15"/>
      <c r="I5696" s="15"/>
      <c r="J5696" s="51"/>
      <c r="K5696" s="15"/>
      <c r="L5696" s="51"/>
      <c r="M5696" s="15"/>
      <c r="N5696" s="23"/>
      <c r="O5696" s="23"/>
      <c r="P5696" s="15" t="str">
        <f t="shared" si="6"/>
        <v/>
      </c>
      <c r="Q5696" s="24"/>
      <c r="R5696" s="25"/>
      <c r="S5696" s="25"/>
      <c r="T5696" s="26"/>
      <c r="U5696" s="26"/>
      <c r="V5696" s="25"/>
      <c r="W5696" s="25"/>
      <c r="X5696" s="25"/>
      <c r="Y5696" s="25"/>
      <c r="Z5696" s="25"/>
    </row>
    <row r="5697" spans="1:26" ht="15.75" customHeight="1" x14ac:dyDescent="0.25">
      <c r="A5697" s="25"/>
      <c r="B5697" s="49"/>
      <c r="C5697" s="50"/>
      <c r="D5697" s="23"/>
      <c r="E5697" s="23"/>
      <c r="F5697" s="15"/>
      <c r="G5697" s="23"/>
      <c r="H5697" s="15"/>
      <c r="I5697" s="15"/>
      <c r="J5697" s="51"/>
      <c r="K5697" s="15"/>
      <c r="L5697" s="51"/>
      <c r="M5697" s="15"/>
      <c r="N5697" s="23"/>
      <c r="O5697" s="23"/>
      <c r="P5697" s="15" t="str">
        <f t="shared" si="6"/>
        <v/>
      </c>
      <c r="Q5697" s="24"/>
      <c r="R5697" s="25"/>
      <c r="S5697" s="25"/>
      <c r="T5697" s="26"/>
      <c r="U5697" s="26"/>
      <c r="V5697" s="25"/>
      <c r="W5697" s="25"/>
      <c r="X5697" s="25"/>
      <c r="Y5697" s="25"/>
      <c r="Z5697" s="25"/>
    </row>
    <row r="5698" spans="1:26" ht="15.75" customHeight="1" x14ac:dyDescent="0.25">
      <c r="A5698" s="25"/>
      <c r="B5698" s="49"/>
      <c r="C5698" s="50"/>
      <c r="D5698" s="23"/>
      <c r="E5698" s="23"/>
      <c r="F5698" s="15"/>
      <c r="G5698" s="23"/>
      <c r="H5698" s="15"/>
      <c r="I5698" s="15"/>
      <c r="J5698" s="51"/>
      <c r="K5698" s="15"/>
      <c r="L5698" s="51"/>
      <c r="M5698" s="15"/>
      <c r="N5698" s="23"/>
      <c r="O5698" s="23"/>
      <c r="P5698" s="15" t="str">
        <f t="shared" si="6"/>
        <v/>
      </c>
      <c r="Q5698" s="24"/>
      <c r="R5698" s="25"/>
      <c r="S5698" s="25"/>
      <c r="T5698" s="26"/>
      <c r="U5698" s="26"/>
      <c r="V5698" s="25"/>
      <c r="W5698" s="25"/>
      <c r="X5698" s="25"/>
      <c r="Y5698" s="25"/>
      <c r="Z5698" s="25"/>
    </row>
    <row r="5699" spans="1:26" ht="15.75" customHeight="1" x14ac:dyDescent="0.25">
      <c r="A5699" s="25"/>
      <c r="B5699" s="49"/>
      <c r="C5699" s="50"/>
      <c r="D5699" s="23"/>
      <c r="E5699" s="23"/>
      <c r="F5699" s="15"/>
      <c r="G5699" s="23"/>
      <c r="H5699" s="15"/>
      <c r="I5699" s="15"/>
      <c r="J5699" s="51"/>
      <c r="K5699" s="15"/>
      <c r="L5699" s="51"/>
      <c r="M5699" s="15"/>
      <c r="N5699" s="23"/>
      <c r="O5699" s="23"/>
      <c r="P5699" s="15" t="str">
        <f t="shared" si="6"/>
        <v/>
      </c>
      <c r="Q5699" s="24"/>
      <c r="R5699" s="25"/>
      <c r="S5699" s="25"/>
      <c r="T5699" s="26"/>
      <c r="U5699" s="26"/>
      <c r="V5699" s="25"/>
      <c r="W5699" s="25"/>
      <c r="X5699" s="25"/>
      <c r="Y5699" s="25"/>
      <c r="Z5699" s="25"/>
    </row>
    <row r="5700" spans="1:26" ht="15.75" customHeight="1" x14ac:dyDescent="0.25">
      <c r="A5700" s="25"/>
      <c r="B5700" s="49"/>
      <c r="C5700" s="50"/>
      <c r="D5700" s="23"/>
      <c r="E5700" s="23"/>
      <c r="F5700" s="15"/>
      <c r="G5700" s="23"/>
      <c r="H5700" s="15"/>
      <c r="I5700" s="15"/>
      <c r="J5700" s="51"/>
      <c r="K5700" s="15"/>
      <c r="L5700" s="51"/>
      <c r="M5700" s="15"/>
      <c r="N5700" s="23"/>
      <c r="O5700" s="23"/>
      <c r="P5700" s="15" t="str">
        <f t="shared" si="6"/>
        <v/>
      </c>
      <c r="Q5700" s="24"/>
      <c r="R5700" s="25"/>
      <c r="S5700" s="25"/>
      <c r="T5700" s="26"/>
      <c r="U5700" s="26"/>
      <c r="V5700" s="25"/>
      <c r="W5700" s="25"/>
      <c r="X5700" s="25"/>
      <c r="Y5700" s="25"/>
      <c r="Z5700" s="25"/>
    </row>
    <row r="5701" spans="1:26" ht="15.75" customHeight="1" x14ac:dyDescent="0.25">
      <c r="A5701" s="25"/>
      <c r="B5701" s="49"/>
      <c r="C5701" s="50"/>
      <c r="D5701" s="23"/>
      <c r="E5701" s="23"/>
      <c r="F5701" s="15"/>
      <c r="G5701" s="23"/>
      <c r="H5701" s="15"/>
      <c r="I5701" s="15"/>
      <c r="J5701" s="51"/>
      <c r="K5701" s="15"/>
      <c r="L5701" s="51"/>
      <c r="M5701" s="15"/>
      <c r="N5701" s="23"/>
      <c r="O5701" s="23"/>
      <c r="P5701" s="15" t="str">
        <f t="shared" si="6"/>
        <v/>
      </c>
      <c r="Q5701" s="24"/>
      <c r="R5701" s="25"/>
      <c r="S5701" s="25"/>
      <c r="T5701" s="26"/>
      <c r="U5701" s="26"/>
      <c r="V5701" s="25"/>
      <c r="W5701" s="25"/>
      <c r="X5701" s="25"/>
      <c r="Y5701" s="25"/>
      <c r="Z5701" s="25"/>
    </row>
    <row r="5702" spans="1:26" ht="15.75" customHeight="1" x14ac:dyDescent="0.25">
      <c r="A5702" s="25"/>
      <c r="B5702" s="49"/>
      <c r="C5702" s="50"/>
      <c r="D5702" s="23"/>
      <c r="E5702" s="23"/>
      <c r="F5702" s="15"/>
      <c r="G5702" s="23"/>
      <c r="H5702" s="15"/>
      <c r="I5702" s="15"/>
      <c r="J5702" s="51"/>
      <c r="K5702" s="15"/>
      <c r="L5702" s="51"/>
      <c r="M5702" s="15"/>
      <c r="N5702" s="23"/>
      <c r="O5702" s="23"/>
      <c r="P5702" s="15" t="str">
        <f t="shared" si="6"/>
        <v/>
      </c>
      <c r="Q5702" s="24"/>
      <c r="R5702" s="25"/>
      <c r="S5702" s="25"/>
      <c r="T5702" s="26"/>
      <c r="U5702" s="26"/>
      <c r="V5702" s="25"/>
      <c r="W5702" s="25"/>
      <c r="X5702" s="25"/>
      <c r="Y5702" s="25"/>
      <c r="Z5702" s="25"/>
    </row>
    <row r="5703" spans="1:26" ht="15.75" customHeight="1" x14ac:dyDescent="0.25">
      <c r="A5703" s="25"/>
      <c r="B5703" s="49"/>
      <c r="C5703" s="50"/>
      <c r="D5703" s="23"/>
      <c r="E5703" s="23"/>
      <c r="F5703" s="15"/>
      <c r="G5703" s="23"/>
      <c r="H5703" s="15"/>
      <c r="I5703" s="15"/>
      <c r="J5703" s="51"/>
      <c r="K5703" s="15"/>
      <c r="L5703" s="51"/>
      <c r="M5703" s="15"/>
      <c r="N5703" s="23"/>
      <c r="O5703" s="23"/>
      <c r="P5703" s="15" t="str">
        <f t="shared" si="6"/>
        <v/>
      </c>
      <c r="Q5703" s="24"/>
      <c r="R5703" s="25"/>
      <c r="S5703" s="25"/>
      <c r="T5703" s="26"/>
      <c r="U5703" s="26"/>
      <c r="V5703" s="25"/>
      <c r="W5703" s="25"/>
      <c r="X5703" s="25"/>
      <c r="Y5703" s="25"/>
      <c r="Z5703" s="25"/>
    </row>
    <row r="5704" spans="1:26" ht="15.75" customHeight="1" x14ac:dyDescent="0.25">
      <c r="A5704" s="25"/>
      <c r="B5704" s="49"/>
      <c r="C5704" s="50"/>
      <c r="D5704" s="23"/>
      <c r="E5704" s="23"/>
      <c r="F5704" s="15"/>
      <c r="G5704" s="23"/>
      <c r="H5704" s="15"/>
      <c r="I5704" s="15"/>
      <c r="J5704" s="51"/>
      <c r="K5704" s="15"/>
      <c r="L5704" s="51"/>
      <c r="M5704" s="15"/>
      <c r="N5704" s="23"/>
      <c r="O5704" s="23"/>
      <c r="P5704" s="15" t="str">
        <f t="shared" si="6"/>
        <v/>
      </c>
      <c r="Q5704" s="24"/>
      <c r="R5704" s="25"/>
      <c r="S5704" s="25"/>
      <c r="T5704" s="26"/>
      <c r="U5704" s="26"/>
      <c r="V5704" s="25"/>
      <c r="W5704" s="25"/>
      <c r="X5704" s="25"/>
      <c r="Y5704" s="25"/>
      <c r="Z5704" s="25"/>
    </row>
    <row r="5705" spans="1:26" ht="15.75" customHeight="1" x14ac:dyDescent="0.25">
      <c r="A5705" s="25"/>
      <c r="B5705" s="49"/>
      <c r="C5705" s="50"/>
      <c r="D5705" s="23"/>
      <c r="E5705" s="23"/>
      <c r="F5705" s="15"/>
      <c r="G5705" s="23"/>
      <c r="H5705" s="15"/>
      <c r="I5705" s="15"/>
      <c r="J5705" s="51"/>
      <c r="K5705" s="15"/>
      <c r="L5705" s="51"/>
      <c r="M5705" s="15"/>
      <c r="N5705" s="23"/>
      <c r="O5705" s="23"/>
      <c r="P5705" s="15" t="str">
        <f t="shared" si="6"/>
        <v/>
      </c>
      <c r="Q5705" s="24"/>
      <c r="R5705" s="25"/>
      <c r="S5705" s="25"/>
      <c r="T5705" s="26"/>
      <c r="U5705" s="26"/>
      <c r="V5705" s="25"/>
      <c r="W5705" s="25"/>
      <c r="X5705" s="25"/>
      <c r="Y5705" s="25"/>
      <c r="Z5705" s="25"/>
    </row>
    <row r="5706" spans="1:26" ht="15.75" customHeight="1" x14ac:dyDescent="0.25">
      <c r="A5706" s="25"/>
      <c r="B5706" s="49"/>
      <c r="C5706" s="50"/>
      <c r="D5706" s="23"/>
      <c r="E5706" s="23"/>
      <c r="F5706" s="15"/>
      <c r="G5706" s="23"/>
      <c r="H5706" s="15"/>
      <c r="I5706" s="15"/>
      <c r="J5706" s="51"/>
      <c r="K5706" s="15"/>
      <c r="L5706" s="51"/>
      <c r="M5706" s="15"/>
      <c r="N5706" s="23"/>
      <c r="O5706" s="23"/>
      <c r="P5706" s="15" t="str">
        <f t="shared" si="6"/>
        <v/>
      </c>
      <c r="Q5706" s="24"/>
      <c r="R5706" s="25"/>
      <c r="S5706" s="25"/>
      <c r="T5706" s="26"/>
      <c r="U5706" s="26"/>
      <c r="V5706" s="25"/>
      <c r="W5706" s="25"/>
      <c r="X5706" s="25"/>
      <c r="Y5706" s="25"/>
      <c r="Z5706" s="25"/>
    </row>
    <row r="5707" spans="1:26" ht="15.75" customHeight="1" x14ac:dyDescent="0.25">
      <c r="A5707" s="25"/>
      <c r="B5707" s="49"/>
      <c r="C5707" s="50"/>
      <c r="D5707" s="23"/>
      <c r="E5707" s="23"/>
      <c r="F5707" s="15"/>
      <c r="G5707" s="23"/>
      <c r="H5707" s="15"/>
      <c r="I5707" s="15"/>
      <c r="J5707" s="51"/>
      <c r="K5707" s="15"/>
      <c r="L5707" s="51"/>
      <c r="M5707" s="15"/>
      <c r="N5707" s="23"/>
      <c r="O5707" s="23"/>
      <c r="P5707" s="15" t="str">
        <f t="shared" si="6"/>
        <v/>
      </c>
      <c r="Q5707" s="24"/>
      <c r="R5707" s="25"/>
      <c r="S5707" s="25"/>
      <c r="T5707" s="26"/>
      <c r="U5707" s="26"/>
      <c r="V5707" s="25"/>
      <c r="W5707" s="25"/>
      <c r="X5707" s="25"/>
      <c r="Y5707" s="25"/>
      <c r="Z5707" s="25"/>
    </row>
    <row r="5708" spans="1:26" ht="15.75" customHeight="1" x14ac:dyDescent="0.25">
      <c r="A5708" s="25"/>
      <c r="B5708" s="49"/>
      <c r="C5708" s="50"/>
      <c r="D5708" s="23"/>
      <c r="E5708" s="23"/>
      <c r="F5708" s="15"/>
      <c r="G5708" s="23"/>
      <c r="H5708" s="15"/>
      <c r="I5708" s="15"/>
      <c r="J5708" s="51"/>
      <c r="K5708" s="15"/>
      <c r="L5708" s="51"/>
      <c r="M5708" s="15"/>
      <c r="N5708" s="23"/>
      <c r="O5708" s="23"/>
      <c r="P5708" s="15" t="str">
        <f t="shared" si="6"/>
        <v/>
      </c>
      <c r="Q5708" s="24"/>
      <c r="R5708" s="25"/>
      <c r="S5708" s="25"/>
      <c r="T5708" s="26"/>
      <c r="U5708" s="26"/>
      <c r="V5708" s="25"/>
      <c r="W5708" s="25"/>
      <c r="X5708" s="25"/>
      <c r="Y5708" s="25"/>
      <c r="Z5708" s="25"/>
    </row>
    <row r="5709" spans="1:26" ht="15.75" customHeight="1" x14ac:dyDescent="0.25">
      <c r="A5709" s="25"/>
      <c r="B5709" s="49"/>
      <c r="C5709" s="50"/>
      <c r="D5709" s="23"/>
      <c r="E5709" s="23"/>
      <c r="F5709" s="15"/>
      <c r="G5709" s="23"/>
      <c r="H5709" s="15"/>
      <c r="I5709" s="15"/>
      <c r="J5709" s="51"/>
      <c r="K5709" s="15"/>
      <c r="L5709" s="51"/>
      <c r="M5709" s="15"/>
      <c r="N5709" s="23"/>
      <c r="O5709" s="23"/>
      <c r="P5709" s="15" t="str">
        <f t="shared" si="6"/>
        <v/>
      </c>
      <c r="Q5709" s="24"/>
      <c r="R5709" s="25"/>
      <c r="S5709" s="25"/>
      <c r="T5709" s="26"/>
      <c r="U5709" s="26"/>
      <c r="V5709" s="25"/>
      <c r="W5709" s="25"/>
      <c r="X5709" s="25"/>
      <c r="Y5709" s="25"/>
      <c r="Z5709" s="25"/>
    </row>
    <row r="5710" spans="1:26" ht="15.75" customHeight="1" x14ac:dyDescent="0.25">
      <c r="A5710" s="25"/>
      <c r="B5710" s="49"/>
      <c r="C5710" s="50"/>
      <c r="D5710" s="23"/>
      <c r="E5710" s="23"/>
      <c r="F5710" s="15"/>
      <c r="G5710" s="23"/>
      <c r="H5710" s="15"/>
      <c r="I5710" s="15"/>
      <c r="J5710" s="51"/>
      <c r="K5710" s="15"/>
      <c r="L5710" s="51"/>
      <c r="M5710" s="15"/>
      <c r="N5710" s="23"/>
      <c r="O5710" s="23"/>
      <c r="P5710" s="15" t="str">
        <f t="shared" si="6"/>
        <v/>
      </c>
      <c r="Q5710" s="24"/>
      <c r="R5710" s="25"/>
      <c r="S5710" s="25"/>
      <c r="T5710" s="26"/>
      <c r="U5710" s="26"/>
      <c r="V5710" s="25"/>
      <c r="W5710" s="25"/>
      <c r="X5710" s="25"/>
      <c r="Y5710" s="25"/>
      <c r="Z5710" s="25"/>
    </row>
    <row r="5711" spans="1:26" ht="15.75" customHeight="1" x14ac:dyDescent="0.25">
      <c r="A5711" s="25"/>
      <c r="B5711" s="49"/>
      <c r="C5711" s="50"/>
      <c r="D5711" s="23"/>
      <c r="E5711" s="23"/>
      <c r="F5711" s="15"/>
      <c r="G5711" s="23"/>
      <c r="H5711" s="15"/>
      <c r="I5711" s="15"/>
      <c r="J5711" s="51"/>
      <c r="K5711" s="15"/>
      <c r="L5711" s="51"/>
      <c r="M5711" s="15"/>
      <c r="N5711" s="23"/>
      <c r="O5711" s="23"/>
      <c r="P5711" s="15" t="str">
        <f t="shared" si="6"/>
        <v/>
      </c>
      <c r="Q5711" s="24"/>
      <c r="R5711" s="25"/>
      <c r="S5711" s="25"/>
      <c r="T5711" s="26"/>
      <c r="U5711" s="26"/>
      <c r="V5711" s="25"/>
      <c r="W5711" s="25"/>
      <c r="X5711" s="25"/>
      <c r="Y5711" s="25"/>
      <c r="Z5711" s="25"/>
    </row>
    <row r="5712" spans="1:26" ht="15.75" customHeight="1" x14ac:dyDescent="0.25">
      <c r="A5712" s="25"/>
      <c r="B5712" s="49"/>
      <c r="C5712" s="50"/>
      <c r="D5712" s="23"/>
      <c r="E5712" s="23"/>
      <c r="F5712" s="15"/>
      <c r="G5712" s="23"/>
      <c r="H5712" s="15"/>
      <c r="I5712" s="15"/>
      <c r="J5712" s="51"/>
      <c r="K5712" s="15"/>
      <c r="L5712" s="51"/>
      <c r="M5712" s="15"/>
      <c r="N5712" s="23"/>
      <c r="O5712" s="23"/>
      <c r="P5712" s="15" t="str">
        <f t="shared" si="6"/>
        <v/>
      </c>
      <c r="Q5712" s="24"/>
      <c r="R5712" s="25"/>
      <c r="S5712" s="25"/>
      <c r="T5712" s="26"/>
      <c r="U5712" s="26"/>
      <c r="V5712" s="25"/>
      <c r="W5712" s="25"/>
      <c r="X5712" s="25"/>
      <c r="Y5712" s="25"/>
      <c r="Z5712" s="25"/>
    </row>
    <row r="5713" spans="1:26" ht="15.75" customHeight="1" x14ac:dyDescent="0.25">
      <c r="A5713" s="25"/>
      <c r="B5713" s="49"/>
      <c r="C5713" s="50"/>
      <c r="D5713" s="23"/>
      <c r="E5713" s="23"/>
      <c r="F5713" s="15"/>
      <c r="G5713" s="23"/>
      <c r="H5713" s="15"/>
      <c r="I5713" s="15"/>
      <c r="J5713" s="51"/>
      <c r="K5713" s="15"/>
      <c r="L5713" s="51"/>
      <c r="M5713" s="15"/>
      <c r="N5713" s="23"/>
      <c r="O5713" s="23"/>
      <c r="P5713" s="15" t="str">
        <f t="shared" si="6"/>
        <v/>
      </c>
      <c r="Q5713" s="24"/>
      <c r="R5713" s="25"/>
      <c r="S5713" s="25"/>
      <c r="T5713" s="26"/>
      <c r="U5713" s="26"/>
      <c r="V5713" s="25"/>
      <c r="W5713" s="25"/>
      <c r="X5713" s="25"/>
      <c r="Y5713" s="25"/>
      <c r="Z5713" s="25"/>
    </row>
    <row r="5714" spans="1:26" ht="15.75" customHeight="1" x14ac:dyDescent="0.25">
      <c r="A5714" s="25"/>
      <c r="B5714" s="49"/>
      <c r="C5714" s="50"/>
      <c r="D5714" s="23"/>
      <c r="E5714" s="23"/>
      <c r="F5714" s="15"/>
      <c r="G5714" s="23"/>
      <c r="H5714" s="15"/>
      <c r="I5714" s="15"/>
      <c r="J5714" s="51"/>
      <c r="K5714" s="15"/>
      <c r="L5714" s="51"/>
      <c r="M5714" s="15"/>
      <c r="N5714" s="23"/>
      <c r="O5714" s="23"/>
      <c r="P5714" s="15" t="str">
        <f t="shared" si="6"/>
        <v/>
      </c>
      <c r="Q5714" s="24"/>
      <c r="R5714" s="25"/>
      <c r="S5714" s="25"/>
      <c r="T5714" s="26"/>
      <c r="U5714" s="26"/>
      <c r="V5714" s="25"/>
      <c r="W5714" s="25"/>
      <c r="X5714" s="25"/>
      <c r="Y5714" s="25"/>
      <c r="Z5714" s="25"/>
    </row>
    <row r="5715" spans="1:26" ht="15.75" customHeight="1" x14ac:dyDescent="0.25">
      <c r="A5715" s="25"/>
      <c r="B5715" s="49"/>
      <c r="C5715" s="50"/>
      <c r="D5715" s="23"/>
      <c r="E5715" s="23"/>
      <c r="F5715" s="15"/>
      <c r="G5715" s="23"/>
      <c r="H5715" s="15"/>
      <c r="I5715" s="15"/>
      <c r="J5715" s="51"/>
      <c r="K5715" s="15"/>
      <c r="L5715" s="51"/>
      <c r="M5715" s="15"/>
      <c r="N5715" s="23"/>
      <c r="O5715" s="23"/>
      <c r="P5715" s="15" t="str">
        <f t="shared" si="6"/>
        <v/>
      </c>
      <c r="Q5715" s="24"/>
      <c r="R5715" s="25"/>
      <c r="S5715" s="25"/>
      <c r="T5715" s="26"/>
      <c r="U5715" s="26"/>
      <c r="V5715" s="25"/>
      <c r="W5715" s="25"/>
      <c r="X5715" s="25"/>
      <c r="Y5715" s="25"/>
      <c r="Z5715" s="25"/>
    </row>
    <row r="5716" spans="1:26" ht="15.75" customHeight="1" x14ac:dyDescent="0.25">
      <c r="A5716" s="25"/>
      <c r="B5716" s="49"/>
      <c r="C5716" s="50"/>
      <c r="D5716" s="23"/>
      <c r="E5716" s="23"/>
      <c r="F5716" s="15"/>
      <c r="G5716" s="23"/>
      <c r="H5716" s="15"/>
      <c r="I5716" s="15"/>
      <c r="J5716" s="51"/>
      <c r="K5716" s="15"/>
      <c r="L5716" s="51"/>
      <c r="M5716" s="15"/>
      <c r="N5716" s="23"/>
      <c r="O5716" s="23"/>
      <c r="P5716" s="15" t="str">
        <f t="shared" si="6"/>
        <v/>
      </c>
      <c r="Q5716" s="24"/>
      <c r="R5716" s="25"/>
      <c r="S5716" s="25"/>
      <c r="T5716" s="26"/>
      <c r="U5716" s="26"/>
      <c r="V5716" s="25"/>
      <c r="W5716" s="25"/>
      <c r="X5716" s="25"/>
      <c r="Y5716" s="25"/>
      <c r="Z5716" s="25"/>
    </row>
    <row r="5717" spans="1:26" ht="15.75" customHeight="1" x14ac:dyDescent="0.25">
      <c r="A5717" s="25"/>
      <c r="B5717" s="49"/>
      <c r="C5717" s="50"/>
      <c r="D5717" s="23"/>
      <c r="E5717" s="23"/>
      <c r="F5717" s="15"/>
      <c r="G5717" s="23"/>
      <c r="H5717" s="15"/>
      <c r="I5717" s="15"/>
      <c r="J5717" s="51"/>
      <c r="K5717" s="15"/>
      <c r="L5717" s="51"/>
      <c r="M5717" s="15"/>
      <c r="N5717" s="23"/>
      <c r="O5717" s="23"/>
      <c r="P5717" s="15" t="str">
        <f t="shared" si="6"/>
        <v/>
      </c>
      <c r="Q5717" s="24"/>
      <c r="R5717" s="25"/>
      <c r="S5717" s="25"/>
      <c r="T5717" s="26"/>
      <c r="U5717" s="26"/>
      <c r="V5717" s="25"/>
      <c r="W5717" s="25"/>
      <c r="X5717" s="25"/>
      <c r="Y5717" s="25"/>
      <c r="Z5717" s="25"/>
    </row>
    <row r="5718" spans="1:26" ht="15.75" customHeight="1" x14ac:dyDescent="0.25">
      <c r="A5718" s="25"/>
      <c r="B5718" s="49"/>
      <c r="C5718" s="50"/>
      <c r="D5718" s="23"/>
      <c r="E5718" s="23"/>
      <c r="F5718" s="15"/>
      <c r="G5718" s="23"/>
      <c r="H5718" s="15"/>
      <c r="I5718" s="15"/>
      <c r="J5718" s="51"/>
      <c r="K5718" s="15"/>
      <c r="L5718" s="51"/>
      <c r="M5718" s="15"/>
      <c r="N5718" s="23"/>
      <c r="O5718" s="23"/>
      <c r="P5718" s="15" t="str">
        <f t="shared" si="6"/>
        <v/>
      </c>
      <c r="Q5718" s="24"/>
      <c r="R5718" s="25"/>
      <c r="S5718" s="25"/>
      <c r="T5718" s="26"/>
      <c r="U5718" s="26"/>
      <c r="V5718" s="25"/>
      <c r="W5718" s="25"/>
      <c r="X5718" s="25"/>
      <c r="Y5718" s="25"/>
      <c r="Z5718" s="25"/>
    </row>
    <row r="5719" spans="1:26" ht="15.75" customHeight="1" x14ac:dyDescent="0.25">
      <c r="A5719" s="25"/>
      <c r="B5719" s="49"/>
      <c r="C5719" s="50"/>
      <c r="D5719" s="23"/>
      <c r="E5719" s="23"/>
      <c r="F5719" s="15"/>
      <c r="G5719" s="23"/>
      <c r="H5719" s="15"/>
      <c r="I5719" s="15"/>
      <c r="J5719" s="51"/>
      <c r="K5719" s="15"/>
      <c r="L5719" s="51"/>
      <c r="M5719" s="15"/>
      <c r="N5719" s="23"/>
      <c r="O5719" s="23"/>
      <c r="P5719" s="15" t="str">
        <f t="shared" si="6"/>
        <v/>
      </c>
      <c r="Q5719" s="24"/>
      <c r="R5719" s="25"/>
      <c r="S5719" s="25"/>
      <c r="T5719" s="26"/>
      <c r="U5719" s="26"/>
      <c r="V5719" s="25"/>
      <c r="W5719" s="25"/>
      <c r="X5719" s="25"/>
      <c r="Y5719" s="25"/>
      <c r="Z5719" s="25"/>
    </row>
    <row r="5720" spans="1:26" ht="15.75" customHeight="1" x14ac:dyDescent="0.25">
      <c r="A5720" s="25"/>
      <c r="B5720" s="49"/>
      <c r="C5720" s="50"/>
      <c r="D5720" s="23"/>
      <c r="E5720" s="23"/>
      <c r="F5720" s="15"/>
      <c r="G5720" s="23"/>
      <c r="H5720" s="15"/>
      <c r="I5720" s="15"/>
      <c r="J5720" s="51"/>
      <c r="K5720" s="15"/>
      <c r="L5720" s="51"/>
      <c r="M5720" s="15"/>
      <c r="N5720" s="23"/>
      <c r="O5720" s="23"/>
      <c r="P5720" s="15" t="str">
        <f t="shared" si="6"/>
        <v/>
      </c>
      <c r="Q5720" s="24"/>
      <c r="R5720" s="25"/>
      <c r="S5720" s="25"/>
      <c r="T5720" s="26"/>
      <c r="U5720" s="26"/>
      <c r="V5720" s="25"/>
      <c r="W5720" s="25"/>
      <c r="X5720" s="25"/>
      <c r="Y5720" s="25"/>
      <c r="Z5720" s="25"/>
    </row>
    <row r="5721" spans="1:26" ht="15.75" customHeight="1" x14ac:dyDescent="0.25">
      <c r="A5721" s="25"/>
      <c r="B5721" s="49"/>
      <c r="C5721" s="50"/>
      <c r="D5721" s="23"/>
      <c r="E5721" s="23"/>
      <c r="F5721" s="15"/>
      <c r="G5721" s="23"/>
      <c r="H5721" s="15"/>
      <c r="I5721" s="15"/>
      <c r="J5721" s="51"/>
      <c r="K5721" s="15"/>
      <c r="L5721" s="51"/>
      <c r="M5721" s="15"/>
      <c r="N5721" s="23"/>
      <c r="O5721" s="23"/>
      <c r="P5721" s="15" t="str">
        <f t="shared" si="6"/>
        <v/>
      </c>
      <c r="Q5721" s="24"/>
      <c r="R5721" s="25"/>
      <c r="S5721" s="25"/>
      <c r="T5721" s="26"/>
      <c r="U5721" s="26"/>
      <c r="V5721" s="25"/>
      <c r="W5721" s="25"/>
      <c r="X5721" s="25"/>
      <c r="Y5721" s="25"/>
      <c r="Z5721" s="25"/>
    </row>
    <row r="5722" spans="1:26" ht="15.75" customHeight="1" x14ac:dyDescent="0.25">
      <c r="A5722" s="25"/>
      <c r="B5722" s="49"/>
      <c r="C5722" s="50"/>
      <c r="D5722" s="23"/>
      <c r="E5722" s="23"/>
      <c r="F5722" s="15"/>
      <c r="G5722" s="23"/>
      <c r="H5722" s="15"/>
      <c r="I5722" s="15"/>
      <c r="J5722" s="51"/>
      <c r="K5722" s="15"/>
      <c r="L5722" s="51"/>
      <c r="M5722" s="15"/>
      <c r="N5722" s="23"/>
      <c r="O5722" s="23"/>
      <c r="P5722" s="15" t="str">
        <f t="shared" si="6"/>
        <v/>
      </c>
      <c r="Q5722" s="24"/>
      <c r="R5722" s="25"/>
      <c r="S5722" s="25"/>
      <c r="T5722" s="26"/>
      <c r="U5722" s="26"/>
      <c r="V5722" s="25"/>
      <c r="W5722" s="25"/>
      <c r="X5722" s="25"/>
      <c r="Y5722" s="25"/>
      <c r="Z5722" s="25"/>
    </row>
    <row r="5723" spans="1:26" ht="15.75" customHeight="1" x14ac:dyDescent="0.25">
      <c r="A5723" s="25"/>
      <c r="B5723" s="49"/>
      <c r="C5723" s="50"/>
      <c r="D5723" s="23"/>
      <c r="E5723" s="23"/>
      <c r="F5723" s="15"/>
      <c r="G5723" s="23"/>
      <c r="H5723" s="15"/>
      <c r="I5723" s="15"/>
      <c r="J5723" s="51"/>
      <c r="K5723" s="15"/>
      <c r="L5723" s="51"/>
      <c r="M5723" s="15"/>
      <c r="N5723" s="23"/>
      <c r="O5723" s="23"/>
      <c r="P5723" s="15" t="str">
        <f t="shared" si="6"/>
        <v/>
      </c>
      <c r="Q5723" s="24"/>
      <c r="R5723" s="25"/>
      <c r="S5723" s="25"/>
      <c r="T5723" s="26"/>
      <c r="U5723" s="26"/>
      <c r="V5723" s="25"/>
      <c r="W5723" s="25"/>
      <c r="X5723" s="25"/>
      <c r="Y5723" s="25"/>
      <c r="Z5723" s="25"/>
    </row>
    <row r="5724" spans="1:26" ht="15.75" customHeight="1" x14ac:dyDescent="0.25">
      <c r="A5724" s="25"/>
      <c r="B5724" s="49"/>
      <c r="C5724" s="50"/>
      <c r="D5724" s="23"/>
      <c r="E5724" s="23"/>
      <c r="F5724" s="15"/>
      <c r="G5724" s="23"/>
      <c r="H5724" s="15"/>
      <c r="I5724" s="15"/>
      <c r="J5724" s="51"/>
      <c r="K5724" s="15"/>
      <c r="L5724" s="51"/>
      <c r="M5724" s="15"/>
      <c r="N5724" s="23"/>
      <c r="O5724" s="23"/>
      <c r="P5724" s="15" t="str">
        <f t="shared" si="6"/>
        <v/>
      </c>
      <c r="Q5724" s="24"/>
      <c r="R5724" s="25"/>
      <c r="S5724" s="25"/>
      <c r="T5724" s="26"/>
      <c r="U5724" s="26"/>
      <c r="V5724" s="25"/>
      <c r="W5724" s="25"/>
      <c r="X5724" s="25"/>
      <c r="Y5724" s="25"/>
      <c r="Z5724" s="25"/>
    </row>
    <row r="5725" spans="1:26" ht="15.75" customHeight="1" x14ac:dyDescent="0.25">
      <c r="A5725" s="25"/>
      <c r="B5725" s="49"/>
      <c r="C5725" s="50"/>
      <c r="D5725" s="23"/>
      <c r="E5725" s="23"/>
      <c r="F5725" s="15"/>
      <c r="G5725" s="23"/>
      <c r="H5725" s="15"/>
      <c r="I5725" s="15"/>
      <c r="J5725" s="51"/>
      <c r="K5725" s="15"/>
      <c r="L5725" s="51"/>
      <c r="M5725" s="15"/>
      <c r="N5725" s="23"/>
      <c r="O5725" s="23"/>
      <c r="P5725" s="15" t="str">
        <f t="shared" si="6"/>
        <v/>
      </c>
      <c r="Q5725" s="24"/>
      <c r="R5725" s="25"/>
      <c r="S5725" s="25"/>
      <c r="T5725" s="26"/>
      <c r="U5725" s="26"/>
      <c r="V5725" s="25"/>
      <c r="W5725" s="25"/>
      <c r="X5725" s="25"/>
      <c r="Y5725" s="25"/>
      <c r="Z5725" s="25"/>
    </row>
    <row r="5726" spans="1:26" ht="15.75" customHeight="1" x14ac:dyDescent="0.25">
      <c r="A5726" s="25"/>
      <c r="B5726" s="49"/>
      <c r="C5726" s="50"/>
      <c r="D5726" s="23"/>
      <c r="E5726" s="23"/>
      <c r="F5726" s="15"/>
      <c r="G5726" s="23"/>
      <c r="H5726" s="15"/>
      <c r="I5726" s="15"/>
      <c r="J5726" s="51"/>
      <c r="K5726" s="15"/>
      <c r="L5726" s="51"/>
      <c r="M5726" s="15"/>
      <c r="N5726" s="23"/>
      <c r="O5726" s="23"/>
      <c r="P5726" s="15" t="str">
        <f t="shared" si="6"/>
        <v/>
      </c>
      <c r="Q5726" s="24"/>
      <c r="R5726" s="25"/>
      <c r="S5726" s="25"/>
      <c r="T5726" s="26"/>
      <c r="U5726" s="26"/>
      <c r="V5726" s="25"/>
      <c r="W5726" s="25"/>
      <c r="X5726" s="25"/>
      <c r="Y5726" s="25"/>
      <c r="Z5726" s="25"/>
    </row>
    <row r="5727" spans="1:26" ht="15.75" customHeight="1" x14ac:dyDescent="0.25">
      <c r="A5727" s="25"/>
      <c r="B5727" s="49"/>
      <c r="C5727" s="50"/>
      <c r="D5727" s="23"/>
      <c r="E5727" s="23"/>
      <c r="F5727" s="15"/>
      <c r="G5727" s="23"/>
      <c r="H5727" s="15"/>
      <c r="I5727" s="15"/>
      <c r="J5727" s="51"/>
      <c r="K5727" s="15"/>
      <c r="L5727" s="51"/>
      <c r="M5727" s="15"/>
      <c r="N5727" s="23"/>
      <c r="O5727" s="23"/>
      <c r="P5727" s="15" t="str">
        <f t="shared" si="6"/>
        <v/>
      </c>
      <c r="Q5727" s="24"/>
      <c r="R5727" s="25"/>
      <c r="S5727" s="25"/>
      <c r="T5727" s="26"/>
      <c r="U5727" s="26"/>
      <c r="V5727" s="25"/>
      <c r="W5727" s="25"/>
      <c r="X5727" s="25"/>
      <c r="Y5727" s="25"/>
      <c r="Z5727" s="25"/>
    </row>
    <row r="5728" spans="1:26" ht="15.75" customHeight="1" x14ac:dyDescent="0.25">
      <c r="A5728" s="25"/>
      <c r="B5728" s="49"/>
      <c r="C5728" s="50"/>
      <c r="D5728" s="23"/>
      <c r="E5728" s="23"/>
      <c r="F5728" s="15"/>
      <c r="G5728" s="23"/>
      <c r="H5728" s="15"/>
      <c r="I5728" s="15"/>
      <c r="J5728" s="51"/>
      <c r="K5728" s="15"/>
      <c r="L5728" s="51"/>
      <c r="M5728" s="15"/>
      <c r="N5728" s="23"/>
      <c r="O5728" s="23"/>
      <c r="P5728" s="15" t="str">
        <f t="shared" si="6"/>
        <v/>
      </c>
      <c r="Q5728" s="24"/>
      <c r="R5728" s="25"/>
      <c r="S5728" s="25"/>
      <c r="T5728" s="26"/>
      <c r="U5728" s="26"/>
      <c r="V5728" s="25"/>
      <c r="W5728" s="25"/>
      <c r="X5728" s="25"/>
      <c r="Y5728" s="25"/>
      <c r="Z5728" s="25"/>
    </row>
    <row r="5729" spans="1:26" ht="15.75" customHeight="1" x14ac:dyDescent="0.25">
      <c r="A5729" s="25"/>
      <c r="B5729" s="49"/>
      <c r="C5729" s="50"/>
      <c r="D5729" s="23"/>
      <c r="E5729" s="23"/>
      <c r="F5729" s="15"/>
      <c r="G5729" s="23"/>
      <c r="H5729" s="15"/>
      <c r="I5729" s="15"/>
      <c r="J5729" s="51"/>
      <c r="K5729" s="15"/>
      <c r="L5729" s="51"/>
      <c r="M5729" s="15"/>
      <c r="N5729" s="23"/>
      <c r="O5729" s="23"/>
      <c r="P5729" s="15" t="str">
        <f t="shared" si="6"/>
        <v/>
      </c>
      <c r="Q5729" s="24"/>
      <c r="R5729" s="25"/>
      <c r="S5729" s="25"/>
      <c r="T5729" s="26"/>
      <c r="U5729" s="26"/>
      <c r="V5729" s="25"/>
      <c r="W5729" s="25"/>
      <c r="X5729" s="25"/>
      <c r="Y5729" s="25"/>
      <c r="Z5729" s="25"/>
    </row>
    <row r="5730" spans="1:26" ht="15.75" customHeight="1" x14ac:dyDescent="0.25">
      <c r="A5730" s="25"/>
      <c r="B5730" s="49"/>
      <c r="C5730" s="50"/>
      <c r="D5730" s="23"/>
      <c r="E5730" s="23"/>
      <c r="F5730" s="15"/>
      <c r="G5730" s="23"/>
      <c r="H5730" s="15"/>
      <c r="I5730" s="15"/>
      <c r="J5730" s="51"/>
      <c r="K5730" s="15"/>
      <c r="L5730" s="51"/>
      <c r="M5730" s="15"/>
      <c r="N5730" s="23"/>
      <c r="O5730" s="23"/>
      <c r="P5730" s="15" t="str">
        <f t="shared" si="6"/>
        <v/>
      </c>
      <c r="Q5730" s="24"/>
      <c r="R5730" s="25"/>
      <c r="S5730" s="25"/>
      <c r="T5730" s="26"/>
      <c r="U5730" s="26"/>
      <c r="V5730" s="25"/>
      <c r="W5730" s="25"/>
      <c r="X5730" s="25"/>
      <c r="Y5730" s="25"/>
      <c r="Z5730" s="25"/>
    </row>
    <row r="5731" spans="1:26" ht="15.75" customHeight="1" x14ac:dyDescent="0.25">
      <c r="A5731" s="25"/>
      <c r="B5731" s="49"/>
      <c r="C5731" s="50"/>
      <c r="D5731" s="23"/>
      <c r="E5731" s="23"/>
      <c r="F5731" s="15"/>
      <c r="G5731" s="23"/>
      <c r="H5731" s="15"/>
      <c r="I5731" s="15"/>
      <c r="J5731" s="51"/>
      <c r="K5731" s="15"/>
      <c r="L5731" s="51"/>
      <c r="M5731" s="15"/>
      <c r="N5731" s="23"/>
      <c r="O5731" s="23"/>
      <c r="P5731" s="15" t="str">
        <f t="shared" si="6"/>
        <v/>
      </c>
      <c r="Q5731" s="24"/>
      <c r="R5731" s="25"/>
      <c r="S5731" s="25"/>
      <c r="T5731" s="26"/>
      <c r="U5731" s="26"/>
      <c r="V5731" s="25"/>
      <c r="W5731" s="25"/>
      <c r="X5731" s="25"/>
      <c r="Y5731" s="25"/>
      <c r="Z5731" s="25"/>
    </row>
    <row r="5732" spans="1:26" ht="15.75" customHeight="1" x14ac:dyDescent="0.25">
      <c r="A5732" s="25"/>
      <c r="B5732" s="49"/>
      <c r="C5732" s="50"/>
      <c r="D5732" s="23"/>
      <c r="E5732" s="23"/>
      <c r="F5732" s="15"/>
      <c r="G5732" s="23"/>
      <c r="H5732" s="15"/>
      <c r="I5732" s="15"/>
      <c r="J5732" s="51"/>
      <c r="K5732" s="15"/>
      <c r="L5732" s="51"/>
      <c r="M5732" s="15"/>
      <c r="N5732" s="23"/>
      <c r="O5732" s="23"/>
      <c r="P5732" s="15" t="str">
        <f t="shared" si="6"/>
        <v/>
      </c>
      <c r="Q5732" s="24"/>
      <c r="R5732" s="25"/>
      <c r="S5732" s="25"/>
      <c r="T5732" s="26"/>
      <c r="U5732" s="26"/>
      <c r="V5732" s="25"/>
      <c r="W5732" s="25"/>
      <c r="X5732" s="25"/>
      <c r="Y5732" s="25"/>
      <c r="Z5732" s="25"/>
    </row>
    <row r="5733" spans="1:26" ht="15.75" customHeight="1" x14ac:dyDescent="0.25">
      <c r="A5733" s="25"/>
      <c r="B5733" s="49"/>
      <c r="C5733" s="50"/>
      <c r="D5733" s="23"/>
      <c r="E5733" s="23"/>
      <c r="F5733" s="15"/>
      <c r="G5733" s="23"/>
      <c r="H5733" s="15"/>
      <c r="I5733" s="15"/>
      <c r="J5733" s="51"/>
      <c r="K5733" s="15"/>
      <c r="L5733" s="51"/>
      <c r="M5733" s="15"/>
      <c r="N5733" s="23"/>
      <c r="O5733" s="23"/>
      <c r="P5733" s="15" t="str">
        <f t="shared" si="6"/>
        <v/>
      </c>
      <c r="Q5733" s="24"/>
      <c r="R5733" s="25"/>
      <c r="S5733" s="25"/>
      <c r="T5733" s="26"/>
      <c r="U5733" s="26"/>
      <c r="V5733" s="25"/>
      <c r="W5733" s="25"/>
      <c r="X5733" s="25"/>
      <c r="Y5733" s="25"/>
      <c r="Z5733" s="25"/>
    </row>
    <row r="5734" spans="1:26" ht="15.75" customHeight="1" x14ac:dyDescent="0.25">
      <c r="A5734" s="25"/>
      <c r="B5734" s="49"/>
      <c r="C5734" s="50"/>
      <c r="D5734" s="23"/>
      <c r="E5734" s="23"/>
      <c r="F5734" s="15"/>
      <c r="G5734" s="23"/>
      <c r="H5734" s="15"/>
      <c r="I5734" s="15"/>
      <c r="J5734" s="51"/>
      <c r="K5734" s="15"/>
      <c r="L5734" s="51"/>
      <c r="M5734" s="15"/>
      <c r="N5734" s="23"/>
      <c r="O5734" s="23"/>
      <c r="P5734" s="15" t="str">
        <f t="shared" si="6"/>
        <v/>
      </c>
      <c r="Q5734" s="24"/>
      <c r="R5734" s="25"/>
      <c r="S5734" s="25"/>
      <c r="T5734" s="26"/>
      <c r="U5734" s="26"/>
      <c r="V5734" s="25"/>
      <c r="W5734" s="25"/>
      <c r="X5734" s="25"/>
      <c r="Y5734" s="25"/>
      <c r="Z5734" s="25"/>
    </row>
    <row r="5735" spans="1:26" ht="15.75" customHeight="1" x14ac:dyDescent="0.25">
      <c r="A5735" s="25"/>
      <c r="B5735" s="49"/>
      <c r="C5735" s="50"/>
      <c r="D5735" s="23"/>
      <c r="E5735" s="23"/>
      <c r="F5735" s="15"/>
      <c r="G5735" s="23"/>
      <c r="H5735" s="15"/>
      <c r="I5735" s="15"/>
      <c r="J5735" s="51"/>
      <c r="K5735" s="15"/>
      <c r="L5735" s="51"/>
      <c r="M5735" s="15"/>
      <c r="N5735" s="23"/>
      <c r="O5735" s="23"/>
      <c r="P5735" s="15" t="str">
        <f t="shared" si="6"/>
        <v/>
      </c>
      <c r="Q5735" s="24"/>
      <c r="R5735" s="25"/>
      <c r="S5735" s="25"/>
      <c r="T5735" s="26"/>
      <c r="U5735" s="26"/>
      <c r="V5735" s="25"/>
      <c r="W5735" s="25"/>
      <c r="X5735" s="25"/>
      <c r="Y5735" s="25"/>
      <c r="Z5735" s="25"/>
    </row>
    <row r="5736" spans="1:26" ht="15.75" customHeight="1" x14ac:dyDescent="0.25">
      <c r="A5736" s="25"/>
      <c r="B5736" s="49"/>
      <c r="C5736" s="50"/>
      <c r="D5736" s="23"/>
      <c r="E5736" s="23"/>
      <c r="F5736" s="15"/>
      <c r="G5736" s="23"/>
      <c r="H5736" s="15"/>
      <c r="I5736" s="15"/>
      <c r="J5736" s="51"/>
      <c r="K5736" s="15"/>
      <c r="L5736" s="51"/>
      <c r="M5736" s="15"/>
      <c r="N5736" s="23"/>
      <c r="O5736" s="23"/>
      <c r="P5736" s="15" t="str">
        <f t="shared" si="6"/>
        <v/>
      </c>
      <c r="Q5736" s="24"/>
      <c r="R5736" s="25"/>
      <c r="S5736" s="25"/>
      <c r="T5736" s="26"/>
      <c r="U5736" s="26"/>
      <c r="V5736" s="25"/>
      <c r="W5736" s="25"/>
      <c r="X5736" s="25"/>
      <c r="Y5736" s="25"/>
      <c r="Z5736" s="25"/>
    </row>
    <row r="5737" spans="1:26" ht="15.75" customHeight="1" x14ac:dyDescent="0.25">
      <c r="A5737" s="25"/>
      <c r="B5737" s="49"/>
      <c r="C5737" s="50"/>
      <c r="D5737" s="23"/>
      <c r="E5737" s="23"/>
      <c r="F5737" s="15"/>
      <c r="G5737" s="23"/>
      <c r="H5737" s="15"/>
      <c r="I5737" s="15"/>
      <c r="J5737" s="51"/>
      <c r="K5737" s="15"/>
      <c r="L5737" s="51"/>
      <c r="M5737" s="15"/>
      <c r="N5737" s="23"/>
      <c r="O5737" s="23"/>
      <c r="P5737" s="15" t="str">
        <f t="shared" si="6"/>
        <v/>
      </c>
      <c r="Q5737" s="24"/>
      <c r="R5737" s="25"/>
      <c r="S5737" s="25"/>
      <c r="T5737" s="26"/>
      <c r="U5737" s="26"/>
      <c r="V5737" s="25"/>
      <c r="W5737" s="25"/>
      <c r="X5737" s="25"/>
      <c r="Y5737" s="25"/>
      <c r="Z5737" s="25"/>
    </row>
    <row r="5738" spans="1:26" ht="15.75" customHeight="1" x14ac:dyDescent="0.25">
      <c r="A5738" s="25"/>
      <c r="B5738" s="49"/>
      <c r="C5738" s="50"/>
      <c r="D5738" s="23"/>
      <c r="E5738" s="23"/>
      <c r="F5738" s="15"/>
      <c r="G5738" s="23"/>
      <c r="H5738" s="15"/>
      <c r="I5738" s="15"/>
      <c r="J5738" s="51"/>
      <c r="K5738" s="15"/>
      <c r="L5738" s="51"/>
      <c r="M5738" s="15"/>
      <c r="N5738" s="23"/>
      <c r="O5738" s="23"/>
      <c r="P5738" s="15" t="str">
        <f t="shared" si="6"/>
        <v/>
      </c>
      <c r="Q5738" s="24"/>
      <c r="R5738" s="25"/>
      <c r="S5738" s="25"/>
      <c r="T5738" s="26"/>
      <c r="U5738" s="26"/>
      <c r="V5738" s="25"/>
      <c r="W5738" s="25"/>
      <c r="X5738" s="25"/>
      <c r="Y5738" s="25"/>
      <c r="Z5738" s="25"/>
    </row>
    <row r="5739" spans="1:26" ht="15.75" customHeight="1" x14ac:dyDescent="0.25">
      <c r="A5739" s="25"/>
      <c r="B5739" s="49"/>
      <c r="C5739" s="50"/>
      <c r="D5739" s="23"/>
      <c r="E5739" s="23"/>
      <c r="F5739" s="15"/>
      <c r="G5739" s="23"/>
      <c r="H5739" s="15"/>
      <c r="I5739" s="15"/>
      <c r="J5739" s="51"/>
      <c r="K5739" s="15"/>
      <c r="L5739" s="51"/>
      <c r="M5739" s="15"/>
      <c r="N5739" s="23"/>
      <c r="O5739" s="23"/>
      <c r="P5739" s="15" t="str">
        <f t="shared" si="6"/>
        <v/>
      </c>
      <c r="Q5739" s="24"/>
      <c r="R5739" s="25"/>
      <c r="S5739" s="25"/>
      <c r="T5739" s="26"/>
      <c r="U5739" s="26"/>
      <c r="V5739" s="25"/>
      <c r="W5739" s="25"/>
      <c r="X5739" s="25"/>
      <c r="Y5739" s="25"/>
      <c r="Z5739" s="25"/>
    </row>
    <row r="5740" spans="1:26" ht="15.75" customHeight="1" x14ac:dyDescent="0.25">
      <c r="A5740" s="25"/>
      <c r="B5740" s="49"/>
      <c r="C5740" s="50"/>
      <c r="D5740" s="23"/>
      <c r="E5740" s="23"/>
      <c r="F5740" s="15"/>
      <c r="G5740" s="23"/>
      <c r="H5740" s="15"/>
      <c r="I5740" s="15"/>
      <c r="J5740" s="51"/>
      <c r="K5740" s="15"/>
      <c r="L5740" s="51"/>
      <c r="M5740" s="15"/>
      <c r="N5740" s="23"/>
      <c r="O5740" s="23"/>
      <c r="P5740" s="15" t="str">
        <f t="shared" si="6"/>
        <v/>
      </c>
      <c r="Q5740" s="24"/>
      <c r="R5740" s="25"/>
      <c r="S5740" s="25"/>
      <c r="T5740" s="26"/>
      <c r="U5740" s="26"/>
      <c r="V5740" s="25"/>
      <c r="W5740" s="25"/>
      <c r="X5740" s="25"/>
      <c r="Y5740" s="25"/>
      <c r="Z5740" s="25"/>
    </row>
    <row r="5741" spans="1:26" ht="15.75" customHeight="1" x14ac:dyDescent="0.25">
      <c r="A5741" s="25"/>
      <c r="B5741" s="49"/>
      <c r="C5741" s="50"/>
      <c r="D5741" s="23"/>
      <c r="E5741" s="23"/>
      <c r="F5741" s="15"/>
      <c r="G5741" s="23"/>
      <c r="H5741" s="15"/>
      <c r="I5741" s="15"/>
      <c r="J5741" s="51"/>
      <c r="K5741" s="15"/>
      <c r="L5741" s="51"/>
      <c r="M5741" s="15"/>
      <c r="N5741" s="23"/>
      <c r="O5741" s="23"/>
      <c r="P5741" s="15" t="str">
        <f t="shared" si="6"/>
        <v/>
      </c>
      <c r="Q5741" s="24"/>
      <c r="R5741" s="25"/>
      <c r="S5741" s="25"/>
      <c r="T5741" s="26"/>
      <c r="U5741" s="26"/>
      <c r="V5741" s="25"/>
      <c r="W5741" s="25"/>
      <c r="X5741" s="25"/>
      <c r="Y5741" s="25"/>
      <c r="Z5741" s="25"/>
    </row>
    <row r="5742" spans="1:26" ht="15.75" customHeight="1" x14ac:dyDescent="0.25">
      <c r="A5742" s="25"/>
      <c r="B5742" s="49"/>
      <c r="C5742" s="50"/>
      <c r="D5742" s="23"/>
      <c r="E5742" s="23"/>
      <c r="F5742" s="15"/>
      <c r="G5742" s="23"/>
      <c r="H5742" s="15"/>
      <c r="I5742" s="15"/>
      <c r="J5742" s="51"/>
      <c r="K5742" s="15"/>
      <c r="L5742" s="51"/>
      <c r="M5742" s="15"/>
      <c r="N5742" s="23"/>
      <c r="O5742" s="23"/>
      <c r="P5742" s="15" t="str">
        <f t="shared" si="6"/>
        <v/>
      </c>
      <c r="Q5742" s="24"/>
      <c r="R5742" s="25"/>
      <c r="S5742" s="25"/>
      <c r="T5742" s="26"/>
      <c r="U5742" s="26"/>
      <c r="V5742" s="25"/>
      <c r="W5742" s="25"/>
      <c r="X5742" s="25"/>
      <c r="Y5742" s="25"/>
      <c r="Z5742" s="25"/>
    </row>
    <row r="5743" spans="1:26" ht="15.75" customHeight="1" x14ac:dyDescent="0.25">
      <c r="A5743" s="25"/>
      <c r="B5743" s="49"/>
      <c r="C5743" s="50"/>
      <c r="D5743" s="23"/>
      <c r="E5743" s="23"/>
      <c r="F5743" s="15"/>
      <c r="G5743" s="23"/>
      <c r="H5743" s="15"/>
      <c r="I5743" s="15"/>
      <c r="J5743" s="51"/>
      <c r="K5743" s="15"/>
      <c r="L5743" s="51"/>
      <c r="M5743" s="15"/>
      <c r="N5743" s="23"/>
      <c r="O5743" s="23"/>
      <c r="P5743" s="15" t="str">
        <f t="shared" si="6"/>
        <v/>
      </c>
      <c r="Q5743" s="24"/>
      <c r="R5743" s="25"/>
      <c r="S5743" s="25"/>
      <c r="T5743" s="26"/>
      <c r="U5743" s="26"/>
      <c r="V5743" s="25"/>
      <c r="W5743" s="25"/>
      <c r="X5743" s="25"/>
      <c r="Y5743" s="25"/>
      <c r="Z5743" s="25"/>
    </row>
    <row r="5744" spans="1:26" ht="15.75" customHeight="1" x14ac:dyDescent="0.25">
      <c r="A5744" s="25"/>
      <c r="B5744" s="49"/>
      <c r="C5744" s="50"/>
      <c r="D5744" s="23"/>
      <c r="E5744" s="23"/>
      <c r="F5744" s="15"/>
      <c r="G5744" s="23"/>
      <c r="H5744" s="15"/>
      <c r="I5744" s="15"/>
      <c r="J5744" s="51"/>
      <c r="K5744" s="15"/>
      <c r="L5744" s="51"/>
      <c r="M5744" s="15"/>
      <c r="N5744" s="23"/>
      <c r="O5744" s="23"/>
      <c r="P5744" s="15" t="str">
        <f t="shared" si="6"/>
        <v/>
      </c>
      <c r="Q5744" s="24"/>
      <c r="R5744" s="25"/>
      <c r="S5744" s="25"/>
      <c r="T5744" s="26"/>
      <c r="U5744" s="26"/>
      <c r="V5744" s="25"/>
      <c r="W5744" s="25"/>
      <c r="X5744" s="25"/>
      <c r="Y5744" s="25"/>
      <c r="Z5744" s="25"/>
    </row>
    <row r="5745" spans="1:26" ht="15.75" customHeight="1" x14ac:dyDescent="0.25">
      <c r="A5745" s="25"/>
      <c r="B5745" s="49"/>
      <c r="C5745" s="50"/>
      <c r="D5745" s="23"/>
      <c r="E5745" s="23"/>
      <c r="F5745" s="15"/>
      <c r="G5745" s="23"/>
      <c r="H5745" s="15"/>
      <c r="I5745" s="15"/>
      <c r="J5745" s="51"/>
      <c r="K5745" s="15"/>
      <c r="L5745" s="51"/>
      <c r="M5745" s="15"/>
      <c r="N5745" s="23"/>
      <c r="O5745" s="23"/>
      <c r="P5745" s="15" t="str">
        <f t="shared" si="6"/>
        <v/>
      </c>
      <c r="Q5745" s="24"/>
      <c r="R5745" s="25"/>
      <c r="S5745" s="25"/>
      <c r="T5745" s="26"/>
      <c r="U5745" s="26"/>
      <c r="V5745" s="25"/>
      <c r="W5745" s="25"/>
      <c r="X5745" s="25"/>
      <c r="Y5745" s="25"/>
      <c r="Z5745" s="25"/>
    </row>
    <row r="5746" spans="1:26" ht="15.75" customHeight="1" x14ac:dyDescent="0.25">
      <c r="A5746" s="25"/>
      <c r="B5746" s="49"/>
      <c r="C5746" s="50"/>
      <c r="D5746" s="23"/>
      <c r="E5746" s="23"/>
      <c r="F5746" s="15"/>
      <c r="G5746" s="23"/>
      <c r="H5746" s="15"/>
      <c r="I5746" s="15"/>
      <c r="J5746" s="51"/>
      <c r="K5746" s="15"/>
      <c r="L5746" s="51"/>
      <c r="M5746" s="15"/>
      <c r="N5746" s="23"/>
      <c r="O5746" s="23"/>
      <c r="P5746" s="15" t="str">
        <f t="shared" si="6"/>
        <v/>
      </c>
      <c r="Q5746" s="24"/>
      <c r="R5746" s="25"/>
      <c r="S5746" s="25"/>
      <c r="T5746" s="26"/>
      <c r="U5746" s="26"/>
      <c r="V5746" s="25"/>
      <c r="W5746" s="25"/>
      <c r="X5746" s="25"/>
      <c r="Y5746" s="25"/>
      <c r="Z5746" s="25"/>
    </row>
    <row r="5747" spans="1:26" ht="15.75" customHeight="1" x14ac:dyDescent="0.25">
      <c r="A5747" s="25"/>
      <c r="B5747" s="49"/>
      <c r="C5747" s="50"/>
      <c r="D5747" s="23"/>
      <c r="E5747" s="23"/>
      <c r="F5747" s="15"/>
      <c r="G5747" s="23"/>
      <c r="H5747" s="15"/>
      <c r="I5747" s="15"/>
      <c r="J5747" s="51"/>
      <c r="K5747" s="15"/>
      <c r="L5747" s="51"/>
      <c r="M5747" s="15"/>
      <c r="N5747" s="23"/>
      <c r="O5747" s="23"/>
      <c r="P5747" s="15" t="str">
        <f t="shared" si="6"/>
        <v/>
      </c>
      <c r="Q5747" s="24"/>
      <c r="R5747" s="25"/>
      <c r="S5747" s="25"/>
      <c r="T5747" s="26"/>
      <c r="U5747" s="26"/>
      <c r="V5747" s="25"/>
      <c r="W5747" s="25"/>
      <c r="X5747" s="25"/>
      <c r="Y5747" s="25"/>
      <c r="Z5747" s="25"/>
    </row>
    <row r="5748" spans="1:26" ht="15.75" customHeight="1" x14ac:dyDescent="0.25">
      <c r="A5748" s="25"/>
      <c r="B5748" s="49"/>
      <c r="C5748" s="50"/>
      <c r="D5748" s="23"/>
      <c r="E5748" s="23"/>
      <c r="F5748" s="15"/>
      <c r="G5748" s="23"/>
      <c r="H5748" s="15"/>
      <c r="I5748" s="15"/>
      <c r="J5748" s="51"/>
      <c r="K5748" s="15"/>
      <c r="L5748" s="51"/>
      <c r="M5748" s="15"/>
      <c r="N5748" s="23"/>
      <c r="O5748" s="23"/>
      <c r="P5748" s="15" t="str">
        <f t="shared" si="6"/>
        <v/>
      </c>
      <c r="Q5748" s="24"/>
      <c r="R5748" s="25"/>
      <c r="S5748" s="25"/>
      <c r="T5748" s="26"/>
      <c r="U5748" s="26"/>
      <c r="V5748" s="25"/>
      <c r="W5748" s="25"/>
      <c r="X5748" s="25"/>
      <c r="Y5748" s="25"/>
      <c r="Z5748" s="25"/>
    </row>
    <row r="5749" spans="1:26" ht="15.75" customHeight="1" x14ac:dyDescent="0.25">
      <c r="A5749" s="25"/>
      <c r="B5749" s="49"/>
      <c r="C5749" s="50"/>
      <c r="D5749" s="23"/>
      <c r="E5749" s="23"/>
      <c r="F5749" s="15"/>
      <c r="G5749" s="23"/>
      <c r="H5749" s="15"/>
      <c r="I5749" s="15"/>
      <c r="J5749" s="51"/>
      <c r="K5749" s="15"/>
      <c r="L5749" s="51"/>
      <c r="M5749" s="15"/>
      <c r="N5749" s="23"/>
      <c r="O5749" s="23"/>
      <c r="P5749" s="15" t="str">
        <f t="shared" si="6"/>
        <v/>
      </c>
      <c r="Q5749" s="24"/>
      <c r="R5749" s="25"/>
      <c r="S5749" s="25"/>
      <c r="T5749" s="26"/>
      <c r="U5749" s="26"/>
      <c r="V5749" s="25"/>
      <c r="W5749" s="25"/>
      <c r="X5749" s="25"/>
      <c r="Y5749" s="25"/>
      <c r="Z5749" s="25"/>
    </row>
    <row r="5750" spans="1:26" ht="15.75" customHeight="1" x14ac:dyDescent="0.25">
      <c r="A5750" s="25"/>
      <c r="B5750" s="49"/>
      <c r="C5750" s="50"/>
      <c r="D5750" s="23"/>
      <c r="E5750" s="23"/>
      <c r="F5750" s="15"/>
      <c r="G5750" s="23"/>
      <c r="H5750" s="15"/>
      <c r="I5750" s="15"/>
      <c r="J5750" s="51"/>
      <c r="K5750" s="15"/>
      <c r="L5750" s="51"/>
      <c r="M5750" s="15"/>
      <c r="N5750" s="23"/>
      <c r="O5750" s="23"/>
      <c r="P5750" s="15" t="str">
        <f t="shared" si="6"/>
        <v/>
      </c>
      <c r="Q5750" s="24"/>
      <c r="R5750" s="25"/>
      <c r="S5750" s="25"/>
      <c r="T5750" s="26"/>
      <c r="U5750" s="26"/>
      <c r="V5750" s="25"/>
      <c r="W5750" s="25"/>
      <c r="X5750" s="25"/>
      <c r="Y5750" s="25"/>
      <c r="Z5750" s="25"/>
    </row>
    <row r="5751" spans="1:26" ht="15.75" customHeight="1" x14ac:dyDescent="0.25">
      <c r="A5751" s="25"/>
      <c r="B5751" s="49"/>
      <c r="C5751" s="50"/>
      <c r="D5751" s="23"/>
      <c r="E5751" s="23"/>
      <c r="F5751" s="15"/>
      <c r="G5751" s="23"/>
      <c r="H5751" s="15"/>
      <c r="I5751" s="15"/>
      <c r="J5751" s="51"/>
      <c r="K5751" s="15"/>
      <c r="L5751" s="51"/>
      <c r="M5751" s="15"/>
      <c r="N5751" s="23"/>
      <c r="O5751" s="23"/>
      <c r="P5751" s="15" t="str">
        <f t="shared" si="6"/>
        <v/>
      </c>
      <c r="Q5751" s="24"/>
      <c r="R5751" s="25"/>
      <c r="S5751" s="25"/>
      <c r="T5751" s="26"/>
      <c r="U5751" s="26"/>
      <c r="V5751" s="25"/>
      <c r="W5751" s="25"/>
      <c r="X5751" s="25"/>
      <c r="Y5751" s="25"/>
      <c r="Z5751" s="25"/>
    </row>
    <row r="5752" spans="1:26" ht="15.75" customHeight="1" x14ac:dyDescent="0.25">
      <c r="A5752" s="25"/>
      <c r="B5752" s="49"/>
      <c r="C5752" s="50"/>
      <c r="D5752" s="23"/>
      <c r="E5752" s="23"/>
      <c r="F5752" s="15"/>
      <c r="G5752" s="23"/>
      <c r="H5752" s="15"/>
      <c r="I5752" s="15"/>
      <c r="J5752" s="51"/>
      <c r="K5752" s="15"/>
      <c r="L5752" s="51"/>
      <c r="M5752" s="15"/>
      <c r="N5752" s="23"/>
      <c r="O5752" s="23"/>
      <c r="P5752" s="15" t="str">
        <f t="shared" si="6"/>
        <v/>
      </c>
      <c r="Q5752" s="24"/>
      <c r="R5752" s="25"/>
      <c r="S5752" s="25"/>
      <c r="T5752" s="26"/>
      <c r="U5752" s="26"/>
      <c r="V5752" s="25"/>
      <c r="W5752" s="25"/>
      <c r="X5752" s="25"/>
      <c r="Y5752" s="25"/>
      <c r="Z5752" s="25"/>
    </row>
    <row r="5753" spans="1:26" ht="15.75" customHeight="1" x14ac:dyDescent="0.25">
      <c r="A5753" s="25"/>
      <c r="B5753" s="49"/>
      <c r="C5753" s="50"/>
      <c r="D5753" s="23"/>
      <c r="E5753" s="23"/>
      <c r="F5753" s="15"/>
      <c r="G5753" s="23"/>
      <c r="H5753" s="15"/>
      <c r="I5753" s="15"/>
      <c r="J5753" s="51"/>
      <c r="K5753" s="15"/>
      <c r="L5753" s="51"/>
      <c r="M5753" s="15"/>
      <c r="N5753" s="23"/>
      <c r="O5753" s="23"/>
      <c r="P5753" s="15" t="str">
        <f t="shared" si="6"/>
        <v/>
      </c>
      <c r="Q5753" s="24"/>
      <c r="R5753" s="25"/>
      <c r="S5753" s="25"/>
      <c r="T5753" s="26"/>
      <c r="U5753" s="26"/>
      <c r="V5753" s="25"/>
      <c r="W5753" s="25"/>
      <c r="X5753" s="25"/>
      <c r="Y5753" s="25"/>
      <c r="Z5753" s="25"/>
    </row>
    <row r="5754" spans="1:26" ht="15.75" customHeight="1" x14ac:dyDescent="0.25">
      <c r="A5754" s="25"/>
      <c r="B5754" s="49"/>
      <c r="C5754" s="50"/>
      <c r="D5754" s="23"/>
      <c r="E5754" s="23"/>
      <c r="F5754" s="15"/>
      <c r="G5754" s="23"/>
      <c r="H5754" s="15"/>
      <c r="I5754" s="15"/>
      <c r="J5754" s="51"/>
      <c r="K5754" s="15"/>
      <c r="L5754" s="51"/>
      <c r="M5754" s="15"/>
      <c r="N5754" s="23"/>
      <c r="O5754" s="23"/>
      <c r="P5754" s="15" t="str">
        <f t="shared" si="6"/>
        <v/>
      </c>
      <c r="Q5754" s="24"/>
      <c r="R5754" s="25"/>
      <c r="S5754" s="25"/>
      <c r="T5754" s="26"/>
      <c r="U5754" s="26"/>
      <c r="V5754" s="25"/>
      <c r="W5754" s="25"/>
      <c r="X5754" s="25"/>
      <c r="Y5754" s="25"/>
      <c r="Z5754" s="25"/>
    </row>
    <row r="5755" spans="1:26" ht="15.75" customHeight="1" x14ac:dyDescent="0.25">
      <c r="A5755" s="25"/>
      <c r="B5755" s="49"/>
      <c r="C5755" s="50"/>
      <c r="D5755" s="23"/>
      <c r="E5755" s="23"/>
      <c r="F5755" s="15"/>
      <c r="G5755" s="23"/>
      <c r="H5755" s="15"/>
      <c r="I5755" s="15"/>
      <c r="J5755" s="51"/>
      <c r="K5755" s="15"/>
      <c r="L5755" s="51"/>
      <c r="M5755" s="15"/>
      <c r="N5755" s="23"/>
      <c r="O5755" s="23"/>
      <c r="P5755" s="15" t="str">
        <f t="shared" si="6"/>
        <v/>
      </c>
      <c r="Q5755" s="24"/>
      <c r="R5755" s="25"/>
      <c r="S5755" s="25"/>
      <c r="T5755" s="26"/>
      <c r="U5755" s="26"/>
      <c r="V5755" s="25"/>
      <c r="W5755" s="25"/>
      <c r="X5755" s="25"/>
      <c r="Y5755" s="25"/>
      <c r="Z5755" s="25"/>
    </row>
    <row r="5756" spans="1:26" ht="15.75" customHeight="1" x14ac:dyDescent="0.25">
      <c r="A5756" s="25"/>
      <c r="B5756" s="49"/>
      <c r="C5756" s="50"/>
      <c r="D5756" s="23"/>
      <c r="E5756" s="23"/>
      <c r="F5756" s="15"/>
      <c r="G5756" s="23"/>
      <c r="H5756" s="15"/>
      <c r="I5756" s="15"/>
      <c r="J5756" s="51"/>
      <c r="K5756" s="15"/>
      <c r="L5756" s="51"/>
      <c r="M5756" s="15"/>
      <c r="N5756" s="23"/>
      <c r="O5756" s="23"/>
      <c r="P5756" s="15" t="str">
        <f t="shared" si="6"/>
        <v/>
      </c>
      <c r="Q5756" s="24"/>
      <c r="R5756" s="25"/>
      <c r="S5756" s="25"/>
      <c r="T5756" s="26"/>
      <c r="U5756" s="26"/>
      <c r="V5756" s="25"/>
      <c r="W5756" s="25"/>
      <c r="X5756" s="25"/>
      <c r="Y5756" s="25"/>
      <c r="Z5756" s="25"/>
    </row>
    <row r="5757" spans="1:26" ht="15.75" customHeight="1" x14ac:dyDescent="0.25">
      <c r="A5757" s="25"/>
      <c r="B5757" s="49"/>
      <c r="C5757" s="50"/>
      <c r="D5757" s="23"/>
      <c r="E5757" s="23"/>
      <c r="F5757" s="15"/>
      <c r="G5757" s="23"/>
      <c r="H5757" s="15"/>
      <c r="I5757" s="15"/>
      <c r="J5757" s="51"/>
      <c r="K5757" s="15"/>
      <c r="L5757" s="51"/>
      <c r="M5757" s="15"/>
      <c r="N5757" s="23"/>
      <c r="O5757" s="23"/>
      <c r="P5757" s="15" t="str">
        <f t="shared" si="6"/>
        <v/>
      </c>
      <c r="Q5757" s="24"/>
      <c r="R5757" s="25"/>
      <c r="S5757" s="25"/>
      <c r="T5757" s="26"/>
      <c r="U5757" s="26"/>
      <c r="V5757" s="25"/>
      <c r="W5757" s="25"/>
      <c r="X5757" s="25"/>
      <c r="Y5757" s="25"/>
      <c r="Z5757" s="25"/>
    </row>
    <row r="5758" spans="1:26" ht="15.75" customHeight="1" x14ac:dyDescent="0.25">
      <c r="A5758" s="25"/>
      <c r="B5758" s="49"/>
      <c r="C5758" s="50"/>
      <c r="D5758" s="23"/>
      <c r="E5758" s="23"/>
      <c r="F5758" s="15"/>
      <c r="G5758" s="23"/>
      <c r="H5758" s="15"/>
      <c r="I5758" s="15"/>
      <c r="J5758" s="51"/>
      <c r="K5758" s="15"/>
      <c r="L5758" s="51"/>
      <c r="M5758" s="15"/>
      <c r="N5758" s="23"/>
      <c r="O5758" s="23"/>
      <c r="P5758" s="15" t="str">
        <f t="shared" si="6"/>
        <v/>
      </c>
      <c r="Q5758" s="24"/>
      <c r="R5758" s="25"/>
      <c r="S5758" s="25"/>
      <c r="T5758" s="26"/>
      <c r="U5758" s="26"/>
      <c r="V5758" s="25"/>
      <c r="W5758" s="25"/>
      <c r="X5758" s="25"/>
      <c r="Y5758" s="25"/>
      <c r="Z5758" s="25"/>
    </row>
    <row r="5759" spans="1:26" ht="15.75" customHeight="1" x14ac:dyDescent="0.25">
      <c r="A5759" s="25"/>
      <c r="B5759" s="49"/>
      <c r="C5759" s="50"/>
      <c r="D5759" s="23"/>
      <c r="E5759" s="23"/>
      <c r="F5759" s="15"/>
      <c r="G5759" s="23"/>
      <c r="H5759" s="15"/>
      <c r="I5759" s="15"/>
      <c r="J5759" s="51"/>
      <c r="K5759" s="15"/>
      <c r="L5759" s="51"/>
      <c r="M5759" s="15"/>
      <c r="N5759" s="23"/>
      <c r="O5759" s="23"/>
      <c r="P5759" s="15" t="str">
        <f t="shared" si="6"/>
        <v/>
      </c>
      <c r="Q5759" s="24"/>
      <c r="R5759" s="25"/>
      <c r="S5759" s="25"/>
      <c r="T5759" s="26"/>
      <c r="U5759" s="26"/>
      <c r="V5759" s="25"/>
      <c r="W5759" s="25"/>
      <c r="X5759" s="25"/>
      <c r="Y5759" s="25"/>
      <c r="Z5759" s="25"/>
    </row>
    <row r="5760" spans="1:26" ht="15.75" customHeight="1" x14ac:dyDescent="0.25">
      <c r="A5760" s="25"/>
      <c r="B5760" s="49"/>
      <c r="C5760" s="50"/>
      <c r="D5760" s="23"/>
      <c r="E5760" s="23"/>
      <c r="F5760" s="15"/>
      <c r="G5760" s="23"/>
      <c r="H5760" s="15"/>
      <c r="I5760" s="15"/>
      <c r="J5760" s="51"/>
      <c r="K5760" s="15"/>
      <c r="L5760" s="51"/>
      <c r="M5760" s="15"/>
      <c r="N5760" s="23"/>
      <c r="O5760" s="23"/>
      <c r="P5760" s="15" t="str">
        <f t="shared" si="6"/>
        <v/>
      </c>
      <c r="Q5760" s="24"/>
      <c r="R5760" s="25"/>
      <c r="S5760" s="25"/>
      <c r="T5760" s="26"/>
      <c r="U5760" s="26"/>
      <c r="V5760" s="25"/>
      <c r="W5760" s="25"/>
      <c r="X5760" s="25"/>
      <c r="Y5760" s="25"/>
      <c r="Z5760" s="25"/>
    </row>
    <row r="5761" spans="1:26" ht="15.75" customHeight="1" x14ac:dyDescent="0.25">
      <c r="A5761" s="25"/>
      <c r="B5761" s="49"/>
      <c r="C5761" s="50"/>
      <c r="D5761" s="23"/>
      <c r="E5761" s="23"/>
      <c r="F5761" s="15"/>
      <c r="G5761" s="23"/>
      <c r="H5761" s="15"/>
      <c r="I5761" s="15"/>
      <c r="J5761" s="51"/>
      <c r="K5761" s="15"/>
      <c r="L5761" s="51"/>
      <c r="M5761" s="15"/>
      <c r="N5761" s="23"/>
      <c r="O5761" s="23"/>
      <c r="P5761" s="15" t="str">
        <f t="shared" si="6"/>
        <v/>
      </c>
      <c r="Q5761" s="24"/>
      <c r="R5761" s="25"/>
      <c r="S5761" s="25"/>
      <c r="T5761" s="26"/>
      <c r="U5761" s="26"/>
      <c r="V5761" s="25"/>
      <c r="W5761" s="25"/>
      <c r="X5761" s="25"/>
      <c r="Y5761" s="25"/>
      <c r="Z5761" s="25"/>
    </row>
    <row r="5762" spans="1:26" ht="15.75" customHeight="1" x14ac:dyDescent="0.25">
      <c r="A5762" s="25"/>
      <c r="B5762" s="49"/>
      <c r="C5762" s="50"/>
      <c r="D5762" s="23"/>
      <c r="E5762" s="23"/>
      <c r="F5762" s="15"/>
      <c r="G5762" s="23"/>
      <c r="H5762" s="15"/>
      <c r="I5762" s="15"/>
      <c r="J5762" s="51"/>
      <c r="K5762" s="15"/>
      <c r="L5762" s="51"/>
      <c r="M5762" s="15"/>
      <c r="N5762" s="23"/>
      <c r="O5762" s="23"/>
      <c r="P5762" s="15" t="str">
        <f t="shared" si="6"/>
        <v/>
      </c>
      <c r="Q5762" s="24"/>
      <c r="R5762" s="25"/>
      <c r="S5762" s="25"/>
      <c r="T5762" s="26"/>
      <c r="U5762" s="26"/>
      <c r="V5762" s="25"/>
      <c r="W5762" s="25"/>
      <c r="X5762" s="25"/>
      <c r="Y5762" s="25"/>
      <c r="Z5762" s="25"/>
    </row>
    <row r="5763" spans="1:26" ht="15.75" customHeight="1" x14ac:dyDescent="0.25">
      <c r="A5763" s="25"/>
      <c r="B5763" s="49"/>
      <c r="C5763" s="50"/>
      <c r="D5763" s="23"/>
      <c r="E5763" s="23"/>
      <c r="F5763" s="15"/>
      <c r="G5763" s="23"/>
      <c r="H5763" s="15"/>
      <c r="I5763" s="15"/>
      <c r="J5763" s="51"/>
      <c r="K5763" s="15"/>
      <c r="L5763" s="51"/>
      <c r="M5763" s="15"/>
      <c r="N5763" s="23"/>
      <c r="O5763" s="23"/>
      <c r="P5763" s="15" t="str">
        <f t="shared" si="6"/>
        <v/>
      </c>
      <c r="Q5763" s="24"/>
      <c r="R5763" s="25"/>
      <c r="S5763" s="25"/>
      <c r="T5763" s="26"/>
      <c r="U5763" s="26"/>
      <c r="V5763" s="25"/>
      <c r="W5763" s="25"/>
      <c r="X5763" s="25"/>
      <c r="Y5763" s="25"/>
      <c r="Z5763" s="25"/>
    </row>
    <row r="5764" spans="1:26" ht="15.75" customHeight="1" x14ac:dyDescent="0.25">
      <c r="A5764" s="25"/>
      <c r="B5764" s="49"/>
      <c r="C5764" s="50"/>
      <c r="D5764" s="23"/>
      <c r="E5764" s="23"/>
      <c r="F5764" s="15"/>
      <c r="G5764" s="23"/>
      <c r="H5764" s="15"/>
      <c r="I5764" s="15"/>
      <c r="J5764" s="51"/>
      <c r="K5764" s="15"/>
      <c r="L5764" s="51"/>
      <c r="M5764" s="15"/>
      <c r="N5764" s="23"/>
      <c r="O5764" s="23"/>
      <c r="P5764" s="15" t="str">
        <f t="shared" si="6"/>
        <v/>
      </c>
      <c r="Q5764" s="24"/>
      <c r="R5764" s="25"/>
      <c r="S5764" s="25"/>
      <c r="T5764" s="26"/>
      <c r="U5764" s="26"/>
      <c r="V5764" s="25"/>
      <c r="W5764" s="25"/>
      <c r="X5764" s="25"/>
      <c r="Y5764" s="25"/>
      <c r="Z5764" s="25"/>
    </row>
    <row r="5765" spans="1:26" ht="15.75" customHeight="1" x14ac:dyDescent="0.25">
      <c r="A5765" s="25"/>
      <c r="B5765" s="49"/>
      <c r="C5765" s="50"/>
      <c r="D5765" s="23"/>
      <c r="E5765" s="23"/>
      <c r="F5765" s="15"/>
      <c r="G5765" s="23"/>
      <c r="H5765" s="15"/>
      <c r="I5765" s="15"/>
      <c r="J5765" s="51"/>
      <c r="K5765" s="15"/>
      <c r="L5765" s="51"/>
      <c r="M5765" s="15"/>
      <c r="N5765" s="23"/>
      <c r="O5765" s="23"/>
      <c r="P5765" s="15" t="str">
        <f t="shared" si="6"/>
        <v/>
      </c>
      <c r="Q5765" s="24"/>
      <c r="R5765" s="25"/>
      <c r="S5765" s="25"/>
      <c r="T5765" s="26"/>
      <c r="U5765" s="26"/>
      <c r="V5765" s="25"/>
      <c r="W5765" s="25"/>
      <c r="X5765" s="25"/>
      <c r="Y5765" s="25"/>
      <c r="Z5765" s="25"/>
    </row>
    <row r="5766" spans="1:26" ht="15.75" customHeight="1" x14ac:dyDescent="0.25">
      <c r="A5766" s="25"/>
      <c r="B5766" s="49"/>
      <c r="C5766" s="50"/>
      <c r="D5766" s="23"/>
      <c r="E5766" s="23"/>
      <c r="F5766" s="15"/>
      <c r="G5766" s="23"/>
      <c r="H5766" s="15"/>
      <c r="I5766" s="15"/>
      <c r="J5766" s="51"/>
      <c r="K5766" s="15"/>
      <c r="L5766" s="51"/>
      <c r="M5766" s="15"/>
      <c r="N5766" s="23"/>
      <c r="O5766" s="23"/>
      <c r="P5766" s="15" t="str">
        <f t="shared" si="6"/>
        <v/>
      </c>
      <c r="Q5766" s="24"/>
      <c r="R5766" s="25"/>
      <c r="S5766" s="25"/>
      <c r="T5766" s="26"/>
      <c r="U5766" s="26"/>
      <c r="V5766" s="25"/>
      <c r="W5766" s="25"/>
      <c r="X5766" s="25"/>
      <c r="Y5766" s="25"/>
      <c r="Z5766" s="25"/>
    </row>
    <row r="5767" spans="1:26" ht="15.75" customHeight="1" x14ac:dyDescent="0.25">
      <c r="A5767" s="25"/>
      <c r="B5767" s="49"/>
      <c r="C5767" s="50"/>
      <c r="D5767" s="23"/>
      <c r="E5767" s="23"/>
      <c r="F5767" s="15"/>
      <c r="G5767" s="23"/>
      <c r="H5767" s="15"/>
      <c r="I5767" s="15"/>
      <c r="J5767" s="51"/>
      <c r="K5767" s="15"/>
      <c r="L5767" s="51"/>
      <c r="M5767" s="15"/>
      <c r="N5767" s="23"/>
      <c r="O5767" s="23"/>
      <c r="P5767" s="15" t="str">
        <f t="shared" si="6"/>
        <v/>
      </c>
      <c r="Q5767" s="24"/>
      <c r="R5767" s="25"/>
      <c r="S5767" s="25"/>
      <c r="T5767" s="26"/>
      <c r="U5767" s="26"/>
      <c r="V5767" s="25"/>
      <c r="W5767" s="25"/>
      <c r="X5767" s="25"/>
      <c r="Y5767" s="25"/>
      <c r="Z5767" s="25"/>
    </row>
    <row r="5768" spans="1:26" ht="15.75" customHeight="1" x14ac:dyDescent="0.25">
      <c r="A5768" s="25"/>
      <c r="B5768" s="49"/>
      <c r="C5768" s="50"/>
      <c r="D5768" s="23"/>
      <c r="E5768" s="23"/>
      <c r="F5768" s="15"/>
      <c r="G5768" s="23"/>
      <c r="H5768" s="15"/>
      <c r="I5768" s="15"/>
      <c r="J5768" s="51"/>
      <c r="K5768" s="15"/>
      <c r="L5768" s="51"/>
      <c r="M5768" s="15"/>
      <c r="N5768" s="23"/>
      <c r="O5768" s="23"/>
      <c r="P5768" s="15" t="str">
        <f t="shared" si="6"/>
        <v/>
      </c>
      <c r="Q5768" s="24"/>
      <c r="R5768" s="25"/>
      <c r="S5768" s="25"/>
      <c r="T5768" s="26"/>
      <c r="U5768" s="26"/>
      <c r="V5768" s="25"/>
      <c r="W5768" s="25"/>
      <c r="X5768" s="25"/>
      <c r="Y5768" s="25"/>
      <c r="Z5768" s="25"/>
    </row>
    <row r="5769" spans="1:26" ht="15.75" customHeight="1" x14ac:dyDescent="0.25">
      <c r="A5769" s="25"/>
      <c r="B5769" s="49"/>
      <c r="C5769" s="50"/>
      <c r="D5769" s="23"/>
      <c r="E5769" s="23"/>
      <c r="F5769" s="15"/>
      <c r="G5769" s="23"/>
      <c r="H5769" s="15"/>
      <c r="I5769" s="15"/>
      <c r="J5769" s="51"/>
      <c r="K5769" s="15"/>
      <c r="L5769" s="51"/>
      <c r="M5769" s="15"/>
      <c r="N5769" s="23"/>
      <c r="O5769" s="23"/>
      <c r="P5769" s="15" t="str">
        <f t="shared" si="6"/>
        <v/>
      </c>
      <c r="Q5769" s="24"/>
      <c r="R5769" s="25"/>
      <c r="S5769" s="25"/>
      <c r="T5769" s="26"/>
      <c r="U5769" s="26"/>
      <c r="V5769" s="25"/>
      <c r="W5769" s="25"/>
      <c r="X5769" s="25"/>
      <c r="Y5769" s="25"/>
      <c r="Z5769" s="25"/>
    </row>
    <row r="5770" spans="1:26" ht="15.75" customHeight="1" x14ac:dyDescent="0.25">
      <c r="A5770" s="25"/>
      <c r="B5770" s="49"/>
      <c r="C5770" s="50"/>
      <c r="D5770" s="23"/>
      <c r="E5770" s="23"/>
      <c r="F5770" s="15"/>
      <c r="G5770" s="23"/>
      <c r="H5770" s="15"/>
      <c r="I5770" s="15"/>
      <c r="J5770" s="51"/>
      <c r="K5770" s="15"/>
      <c r="L5770" s="51"/>
      <c r="M5770" s="15"/>
      <c r="N5770" s="23"/>
      <c r="O5770" s="23"/>
      <c r="P5770" s="15" t="str">
        <f t="shared" si="6"/>
        <v/>
      </c>
      <c r="Q5770" s="24"/>
      <c r="R5770" s="25"/>
      <c r="S5770" s="25"/>
      <c r="T5770" s="26"/>
      <c r="U5770" s="26"/>
      <c r="V5770" s="25"/>
      <c r="W5770" s="25"/>
      <c r="X5770" s="25"/>
      <c r="Y5770" s="25"/>
      <c r="Z5770" s="25"/>
    </row>
    <row r="5771" spans="1:26" ht="15.75" customHeight="1" x14ac:dyDescent="0.25">
      <c r="A5771" s="25"/>
      <c r="B5771" s="49"/>
      <c r="C5771" s="50"/>
      <c r="D5771" s="23"/>
      <c r="E5771" s="23"/>
      <c r="F5771" s="15"/>
      <c r="G5771" s="23"/>
      <c r="H5771" s="15"/>
      <c r="I5771" s="15"/>
      <c r="J5771" s="51"/>
      <c r="K5771" s="15"/>
      <c r="L5771" s="51"/>
      <c r="M5771" s="15"/>
      <c r="N5771" s="23"/>
      <c r="O5771" s="23"/>
      <c r="P5771" s="15" t="str">
        <f t="shared" si="6"/>
        <v/>
      </c>
      <c r="Q5771" s="24"/>
      <c r="R5771" s="25"/>
      <c r="S5771" s="25"/>
      <c r="T5771" s="26"/>
      <c r="U5771" s="26"/>
      <c r="V5771" s="25"/>
      <c r="W5771" s="25"/>
      <c r="X5771" s="25"/>
      <c r="Y5771" s="25"/>
      <c r="Z5771" s="25"/>
    </row>
    <row r="5772" spans="1:26" ht="15.75" customHeight="1" x14ac:dyDescent="0.25">
      <c r="A5772" s="25"/>
      <c r="B5772" s="49"/>
      <c r="C5772" s="50"/>
      <c r="D5772" s="23"/>
      <c r="E5772" s="23"/>
      <c r="F5772" s="15"/>
      <c r="G5772" s="23"/>
      <c r="H5772" s="15"/>
      <c r="I5772" s="15"/>
      <c r="J5772" s="51"/>
      <c r="K5772" s="15"/>
      <c r="L5772" s="51"/>
      <c r="M5772" s="15"/>
      <c r="N5772" s="23"/>
      <c r="O5772" s="23"/>
      <c r="P5772" s="15" t="str">
        <f t="shared" si="6"/>
        <v/>
      </c>
      <c r="Q5772" s="24"/>
      <c r="R5772" s="25"/>
      <c r="S5772" s="25"/>
      <c r="T5772" s="26"/>
      <c r="U5772" s="26"/>
      <c r="V5772" s="25"/>
      <c r="W5772" s="25"/>
      <c r="X5772" s="25"/>
      <c r="Y5772" s="25"/>
      <c r="Z5772" s="25"/>
    </row>
    <row r="5773" spans="1:26" ht="15.75" customHeight="1" x14ac:dyDescent="0.25">
      <c r="A5773" s="25"/>
      <c r="B5773" s="49"/>
      <c r="C5773" s="50"/>
      <c r="D5773" s="23"/>
      <c r="E5773" s="23"/>
      <c r="F5773" s="15"/>
      <c r="G5773" s="23"/>
      <c r="H5773" s="15"/>
      <c r="I5773" s="15"/>
      <c r="J5773" s="51"/>
      <c r="K5773" s="15"/>
      <c r="L5773" s="51"/>
      <c r="M5773" s="15"/>
      <c r="N5773" s="23"/>
      <c r="O5773" s="23"/>
      <c r="P5773" s="15" t="str">
        <f t="shared" si="6"/>
        <v/>
      </c>
      <c r="Q5773" s="24"/>
      <c r="R5773" s="25"/>
      <c r="S5773" s="25"/>
      <c r="T5773" s="26"/>
      <c r="U5773" s="26"/>
      <c r="V5773" s="25"/>
      <c r="W5773" s="25"/>
      <c r="X5773" s="25"/>
      <c r="Y5773" s="25"/>
      <c r="Z5773" s="25"/>
    </row>
    <row r="5774" spans="1:26" ht="15.75" customHeight="1" x14ac:dyDescent="0.25">
      <c r="A5774" s="25"/>
      <c r="B5774" s="49"/>
      <c r="C5774" s="50"/>
      <c r="D5774" s="23"/>
      <c r="E5774" s="23"/>
      <c r="F5774" s="15"/>
      <c r="G5774" s="23"/>
      <c r="H5774" s="15"/>
      <c r="I5774" s="15"/>
      <c r="J5774" s="51"/>
      <c r="K5774" s="15"/>
      <c r="L5774" s="51"/>
      <c r="M5774" s="15"/>
      <c r="N5774" s="23"/>
      <c r="O5774" s="23"/>
      <c r="P5774" s="15" t="str">
        <f t="shared" si="6"/>
        <v/>
      </c>
      <c r="Q5774" s="24"/>
      <c r="R5774" s="25"/>
      <c r="S5774" s="25"/>
      <c r="T5774" s="26"/>
      <c r="U5774" s="26"/>
      <c r="V5774" s="25"/>
      <c r="W5774" s="25"/>
      <c r="X5774" s="25"/>
      <c r="Y5774" s="25"/>
      <c r="Z5774" s="25"/>
    </row>
    <row r="5775" spans="1:26" ht="15.75" customHeight="1" x14ac:dyDescent="0.25">
      <c r="A5775" s="25"/>
      <c r="B5775" s="49"/>
      <c r="C5775" s="50"/>
      <c r="D5775" s="23"/>
      <c r="E5775" s="23"/>
      <c r="F5775" s="15"/>
      <c r="G5775" s="23"/>
      <c r="H5775" s="15"/>
      <c r="I5775" s="15"/>
      <c r="J5775" s="51"/>
      <c r="K5775" s="15"/>
      <c r="L5775" s="51"/>
      <c r="M5775" s="15"/>
      <c r="N5775" s="23"/>
      <c r="O5775" s="23"/>
      <c r="P5775" s="15" t="str">
        <f t="shared" si="6"/>
        <v/>
      </c>
      <c r="Q5775" s="24"/>
      <c r="R5775" s="25"/>
      <c r="S5775" s="25"/>
      <c r="T5775" s="26"/>
      <c r="U5775" s="26"/>
      <c r="V5775" s="25"/>
      <c r="W5775" s="25"/>
      <c r="X5775" s="25"/>
      <c r="Y5775" s="25"/>
      <c r="Z5775" s="25"/>
    </row>
    <row r="5776" spans="1:26" ht="15.75" customHeight="1" x14ac:dyDescent="0.25">
      <c r="A5776" s="25"/>
      <c r="B5776" s="49"/>
      <c r="C5776" s="50"/>
      <c r="D5776" s="23"/>
      <c r="E5776" s="23"/>
      <c r="F5776" s="15"/>
      <c r="G5776" s="23"/>
      <c r="H5776" s="15"/>
      <c r="I5776" s="15"/>
      <c r="J5776" s="51"/>
      <c r="K5776" s="15"/>
      <c r="L5776" s="51"/>
      <c r="M5776" s="15"/>
      <c r="N5776" s="23"/>
      <c r="O5776" s="23"/>
      <c r="P5776" s="15" t="str">
        <f t="shared" si="6"/>
        <v/>
      </c>
      <c r="Q5776" s="24"/>
      <c r="R5776" s="25"/>
      <c r="S5776" s="25"/>
      <c r="T5776" s="26"/>
      <c r="U5776" s="26"/>
      <c r="V5776" s="25"/>
      <c r="W5776" s="25"/>
      <c r="X5776" s="25"/>
      <c r="Y5776" s="25"/>
      <c r="Z5776" s="25"/>
    </row>
    <row r="5777" spans="1:26" ht="15.75" customHeight="1" x14ac:dyDescent="0.25">
      <c r="A5777" s="25"/>
      <c r="B5777" s="49"/>
      <c r="C5777" s="50"/>
      <c r="D5777" s="23"/>
      <c r="E5777" s="23"/>
      <c r="F5777" s="15"/>
      <c r="G5777" s="23"/>
      <c r="H5777" s="15"/>
      <c r="I5777" s="15"/>
      <c r="J5777" s="51"/>
      <c r="K5777" s="15"/>
      <c r="L5777" s="51"/>
      <c r="M5777" s="15"/>
      <c r="N5777" s="23"/>
      <c r="O5777" s="23"/>
      <c r="P5777" s="15" t="str">
        <f t="shared" si="6"/>
        <v/>
      </c>
      <c r="Q5777" s="24"/>
      <c r="R5777" s="25"/>
      <c r="S5777" s="25"/>
      <c r="T5777" s="26"/>
      <c r="U5777" s="26"/>
      <c r="V5777" s="25"/>
      <c r="W5777" s="25"/>
      <c r="X5777" s="25"/>
      <c r="Y5777" s="25"/>
      <c r="Z5777" s="25"/>
    </row>
    <row r="5778" spans="1:26" ht="15.75" customHeight="1" x14ac:dyDescent="0.25">
      <c r="A5778" s="25"/>
      <c r="B5778" s="49"/>
      <c r="C5778" s="50"/>
      <c r="D5778" s="23"/>
      <c r="E5778" s="23"/>
      <c r="F5778" s="15"/>
      <c r="G5778" s="23"/>
      <c r="H5778" s="15"/>
      <c r="I5778" s="15"/>
      <c r="J5778" s="51"/>
      <c r="K5778" s="15"/>
      <c r="L5778" s="51"/>
      <c r="M5778" s="15"/>
      <c r="N5778" s="23"/>
      <c r="O5778" s="23"/>
      <c r="P5778" s="15" t="str">
        <f t="shared" si="6"/>
        <v/>
      </c>
      <c r="Q5778" s="24"/>
      <c r="R5778" s="25"/>
      <c r="S5778" s="25"/>
      <c r="T5778" s="26"/>
      <c r="U5778" s="26"/>
      <c r="V5778" s="25"/>
      <c r="W5778" s="25"/>
      <c r="X5778" s="25"/>
      <c r="Y5778" s="25"/>
      <c r="Z5778" s="25"/>
    </row>
    <row r="5779" spans="1:26" ht="15.75" customHeight="1" x14ac:dyDescent="0.25">
      <c r="A5779" s="25"/>
      <c r="B5779" s="49"/>
      <c r="C5779" s="50"/>
      <c r="D5779" s="23"/>
      <c r="E5779" s="23"/>
      <c r="F5779" s="15"/>
      <c r="G5779" s="23"/>
      <c r="H5779" s="15"/>
      <c r="I5779" s="15"/>
      <c r="J5779" s="51"/>
      <c r="K5779" s="15"/>
      <c r="L5779" s="51"/>
      <c r="M5779" s="15"/>
      <c r="N5779" s="23"/>
      <c r="O5779" s="23"/>
      <c r="P5779" s="15" t="str">
        <f t="shared" si="6"/>
        <v/>
      </c>
      <c r="Q5779" s="24"/>
      <c r="R5779" s="25"/>
      <c r="S5779" s="25"/>
      <c r="T5779" s="26"/>
      <c r="U5779" s="26"/>
      <c r="V5779" s="25"/>
      <c r="W5779" s="25"/>
      <c r="X5779" s="25"/>
      <c r="Y5779" s="25"/>
      <c r="Z5779" s="25"/>
    </row>
    <row r="5780" spans="1:26" ht="15.75" customHeight="1" x14ac:dyDescent="0.25">
      <c r="A5780" s="25"/>
      <c r="B5780" s="49"/>
      <c r="C5780" s="50"/>
      <c r="D5780" s="23"/>
      <c r="E5780" s="23"/>
      <c r="F5780" s="15"/>
      <c r="G5780" s="23"/>
      <c r="H5780" s="15"/>
      <c r="I5780" s="15"/>
      <c r="J5780" s="51"/>
      <c r="K5780" s="15"/>
      <c r="L5780" s="51"/>
      <c r="M5780" s="15"/>
      <c r="N5780" s="23"/>
      <c r="O5780" s="23"/>
      <c r="P5780" s="15" t="str">
        <f t="shared" si="6"/>
        <v/>
      </c>
      <c r="Q5780" s="24"/>
      <c r="R5780" s="25"/>
      <c r="S5780" s="25"/>
      <c r="T5780" s="26"/>
      <c r="U5780" s="26"/>
      <c r="V5780" s="25"/>
      <c r="W5780" s="25"/>
      <c r="X5780" s="25"/>
      <c r="Y5780" s="25"/>
      <c r="Z5780" s="25"/>
    </row>
    <row r="5781" spans="1:26" ht="15.75" customHeight="1" x14ac:dyDescent="0.25">
      <c r="A5781" s="25"/>
      <c r="B5781" s="49"/>
      <c r="C5781" s="50"/>
      <c r="D5781" s="23"/>
      <c r="E5781" s="23"/>
      <c r="F5781" s="15"/>
      <c r="G5781" s="23"/>
      <c r="H5781" s="15"/>
      <c r="I5781" s="15"/>
      <c r="J5781" s="51"/>
      <c r="K5781" s="15"/>
      <c r="L5781" s="51"/>
      <c r="M5781" s="15"/>
      <c r="N5781" s="23"/>
      <c r="O5781" s="23"/>
      <c r="P5781" s="15" t="str">
        <f t="shared" si="6"/>
        <v/>
      </c>
      <c r="Q5781" s="24"/>
      <c r="R5781" s="25"/>
      <c r="S5781" s="25"/>
      <c r="T5781" s="26"/>
      <c r="U5781" s="26"/>
      <c r="V5781" s="25"/>
      <c r="W5781" s="25"/>
      <c r="X5781" s="25"/>
      <c r="Y5781" s="25"/>
      <c r="Z5781" s="25"/>
    </row>
    <row r="5782" spans="1:26" ht="15.75" customHeight="1" x14ac:dyDescent="0.25">
      <c r="A5782" s="25"/>
      <c r="B5782" s="49"/>
      <c r="C5782" s="50"/>
      <c r="D5782" s="23"/>
      <c r="E5782" s="23"/>
      <c r="F5782" s="15"/>
      <c r="G5782" s="23"/>
      <c r="H5782" s="15"/>
      <c r="I5782" s="15"/>
      <c r="J5782" s="51"/>
      <c r="K5782" s="15"/>
      <c r="L5782" s="51"/>
      <c r="M5782" s="15"/>
      <c r="N5782" s="23"/>
      <c r="O5782" s="23"/>
      <c r="P5782" s="15" t="str">
        <f t="shared" si="6"/>
        <v/>
      </c>
      <c r="Q5782" s="24"/>
      <c r="R5782" s="25"/>
      <c r="S5782" s="25"/>
      <c r="T5782" s="26"/>
      <c r="U5782" s="26"/>
      <c r="V5782" s="25"/>
      <c r="W5782" s="25"/>
      <c r="X5782" s="25"/>
      <c r="Y5782" s="25"/>
      <c r="Z5782" s="25"/>
    </row>
    <row r="5783" spans="1:26" ht="15.75" customHeight="1" x14ac:dyDescent="0.25">
      <c r="A5783" s="25"/>
      <c r="B5783" s="49"/>
      <c r="C5783" s="50"/>
      <c r="D5783" s="23"/>
      <c r="E5783" s="23"/>
      <c r="F5783" s="15"/>
      <c r="G5783" s="23"/>
      <c r="H5783" s="15"/>
      <c r="I5783" s="15"/>
      <c r="J5783" s="51"/>
      <c r="K5783" s="15"/>
      <c r="L5783" s="51"/>
      <c r="M5783" s="15"/>
      <c r="N5783" s="23"/>
      <c r="O5783" s="23"/>
      <c r="P5783" s="15" t="str">
        <f t="shared" si="6"/>
        <v/>
      </c>
      <c r="Q5783" s="24"/>
      <c r="R5783" s="25"/>
      <c r="S5783" s="25"/>
      <c r="T5783" s="26"/>
      <c r="U5783" s="26"/>
      <c r="V5783" s="25"/>
      <c r="W5783" s="25"/>
      <c r="X5783" s="25"/>
      <c r="Y5783" s="25"/>
      <c r="Z5783" s="25"/>
    </row>
    <row r="5784" spans="1:26" ht="15.75" customHeight="1" x14ac:dyDescent="0.25">
      <c r="A5784" s="25"/>
      <c r="B5784" s="49"/>
      <c r="C5784" s="50"/>
      <c r="D5784" s="23"/>
      <c r="E5784" s="23"/>
      <c r="F5784" s="15"/>
      <c r="G5784" s="23"/>
      <c r="H5784" s="15"/>
      <c r="I5784" s="15"/>
      <c r="J5784" s="51"/>
      <c r="K5784" s="15"/>
      <c r="L5784" s="51"/>
      <c r="M5784" s="15"/>
      <c r="N5784" s="23"/>
      <c r="O5784" s="23"/>
      <c r="P5784" s="15" t="str">
        <f t="shared" si="6"/>
        <v/>
      </c>
      <c r="Q5784" s="24"/>
      <c r="R5784" s="25"/>
      <c r="S5784" s="25"/>
      <c r="T5784" s="26"/>
      <c r="U5784" s="26"/>
      <c r="V5784" s="25"/>
      <c r="W5784" s="25"/>
      <c r="X5784" s="25"/>
      <c r="Y5784" s="25"/>
      <c r="Z5784" s="25"/>
    </row>
    <row r="5785" spans="1:26" ht="15.75" customHeight="1" x14ac:dyDescent="0.25">
      <c r="A5785" s="25"/>
      <c r="B5785" s="49"/>
      <c r="C5785" s="50"/>
      <c r="D5785" s="23"/>
      <c r="E5785" s="23"/>
      <c r="F5785" s="15"/>
      <c r="G5785" s="23"/>
      <c r="H5785" s="15"/>
      <c r="I5785" s="15"/>
      <c r="J5785" s="51"/>
      <c r="K5785" s="15"/>
      <c r="L5785" s="51"/>
      <c r="M5785" s="15"/>
      <c r="N5785" s="23"/>
      <c r="O5785" s="23"/>
      <c r="P5785" s="15" t="str">
        <f t="shared" si="6"/>
        <v/>
      </c>
      <c r="Q5785" s="24"/>
      <c r="R5785" s="25"/>
      <c r="S5785" s="25"/>
      <c r="T5785" s="26"/>
      <c r="U5785" s="26"/>
      <c r="V5785" s="25"/>
      <c r="W5785" s="25"/>
      <c r="X5785" s="25"/>
      <c r="Y5785" s="25"/>
      <c r="Z5785" s="25"/>
    </row>
    <row r="5786" spans="1:26" ht="15.75" customHeight="1" x14ac:dyDescent="0.25">
      <c r="A5786" s="25"/>
      <c r="B5786" s="49"/>
      <c r="C5786" s="50"/>
      <c r="D5786" s="23"/>
      <c r="E5786" s="23"/>
      <c r="F5786" s="15"/>
      <c r="G5786" s="23"/>
      <c r="H5786" s="15"/>
      <c r="I5786" s="15"/>
      <c r="J5786" s="51"/>
      <c r="K5786" s="15"/>
      <c r="L5786" s="51"/>
      <c r="M5786" s="15"/>
      <c r="N5786" s="23"/>
      <c r="O5786" s="23"/>
      <c r="P5786" s="15" t="str">
        <f t="shared" si="6"/>
        <v/>
      </c>
      <c r="Q5786" s="24"/>
      <c r="R5786" s="25"/>
      <c r="S5786" s="25"/>
      <c r="T5786" s="26"/>
      <c r="U5786" s="26"/>
      <c r="V5786" s="25"/>
      <c r="W5786" s="25"/>
      <c r="X5786" s="25"/>
      <c r="Y5786" s="25"/>
      <c r="Z5786" s="25"/>
    </row>
    <row r="5787" spans="1:26" ht="15.75" customHeight="1" x14ac:dyDescent="0.25">
      <c r="A5787" s="25"/>
      <c r="B5787" s="49"/>
      <c r="C5787" s="50"/>
      <c r="D5787" s="23"/>
      <c r="E5787" s="23"/>
      <c r="F5787" s="15"/>
      <c r="G5787" s="23"/>
      <c r="H5787" s="15"/>
      <c r="I5787" s="15"/>
      <c r="J5787" s="51"/>
      <c r="K5787" s="15"/>
      <c r="L5787" s="51"/>
      <c r="M5787" s="15"/>
      <c r="N5787" s="23"/>
      <c r="O5787" s="23"/>
      <c r="P5787" s="15" t="str">
        <f t="shared" si="6"/>
        <v/>
      </c>
      <c r="Q5787" s="24"/>
      <c r="R5787" s="25"/>
      <c r="S5787" s="25"/>
      <c r="T5787" s="26"/>
      <c r="U5787" s="26"/>
      <c r="V5787" s="25"/>
      <c r="W5787" s="25"/>
      <c r="X5787" s="25"/>
      <c r="Y5787" s="25"/>
      <c r="Z5787" s="25"/>
    </row>
    <row r="5788" spans="1:26" ht="15.75" customHeight="1" x14ac:dyDescent="0.25">
      <c r="A5788" s="25"/>
      <c r="B5788" s="49"/>
      <c r="C5788" s="50"/>
      <c r="D5788" s="23"/>
      <c r="E5788" s="23"/>
      <c r="F5788" s="15"/>
      <c r="G5788" s="23"/>
      <c r="H5788" s="15"/>
      <c r="I5788" s="15"/>
      <c r="J5788" s="51"/>
      <c r="K5788" s="15"/>
      <c r="L5788" s="51"/>
      <c r="M5788" s="15"/>
      <c r="N5788" s="23"/>
      <c r="O5788" s="23"/>
      <c r="P5788" s="15" t="str">
        <f t="shared" si="6"/>
        <v/>
      </c>
      <c r="Q5788" s="24"/>
      <c r="R5788" s="25"/>
      <c r="S5788" s="25"/>
      <c r="T5788" s="26"/>
      <c r="U5788" s="26"/>
      <c r="V5788" s="25"/>
      <c r="W5788" s="25"/>
      <c r="X5788" s="25"/>
      <c r="Y5788" s="25"/>
      <c r="Z5788" s="25"/>
    </row>
    <row r="5789" spans="1:26" ht="15.75" customHeight="1" x14ac:dyDescent="0.25">
      <c r="A5789" s="25"/>
      <c r="B5789" s="49"/>
      <c r="C5789" s="50"/>
      <c r="D5789" s="23"/>
      <c r="E5789" s="23"/>
      <c r="F5789" s="15"/>
      <c r="G5789" s="23"/>
      <c r="H5789" s="15"/>
      <c r="I5789" s="15"/>
      <c r="J5789" s="51"/>
      <c r="K5789" s="15"/>
      <c r="L5789" s="51"/>
      <c r="M5789" s="15"/>
      <c r="N5789" s="23"/>
      <c r="O5789" s="23"/>
      <c r="P5789" s="15" t="str">
        <f t="shared" si="6"/>
        <v/>
      </c>
      <c r="Q5789" s="24"/>
      <c r="R5789" s="25"/>
      <c r="S5789" s="25"/>
      <c r="T5789" s="26"/>
      <c r="U5789" s="26"/>
      <c r="V5789" s="25"/>
      <c r="W5789" s="25"/>
      <c r="X5789" s="25"/>
      <c r="Y5789" s="25"/>
      <c r="Z5789" s="25"/>
    </row>
    <row r="5790" spans="1:26" ht="15.75" customHeight="1" x14ac:dyDescent="0.25">
      <c r="A5790" s="25"/>
      <c r="B5790" s="49"/>
      <c r="C5790" s="50"/>
      <c r="D5790" s="23"/>
      <c r="E5790" s="23"/>
      <c r="F5790" s="15"/>
      <c r="G5790" s="23"/>
      <c r="H5790" s="15"/>
      <c r="I5790" s="15"/>
      <c r="J5790" s="51"/>
      <c r="K5790" s="15"/>
      <c r="L5790" s="51"/>
      <c r="M5790" s="15"/>
      <c r="N5790" s="23"/>
      <c r="O5790" s="23"/>
      <c r="P5790" s="15" t="str">
        <f t="shared" si="6"/>
        <v/>
      </c>
      <c r="Q5790" s="24"/>
      <c r="R5790" s="25"/>
      <c r="S5790" s="25"/>
      <c r="T5790" s="26"/>
      <c r="U5790" s="26"/>
      <c r="V5790" s="25"/>
      <c r="W5790" s="25"/>
      <c r="X5790" s="25"/>
      <c r="Y5790" s="25"/>
      <c r="Z5790" s="25"/>
    </row>
    <row r="5791" spans="1:26" ht="15.75" customHeight="1" x14ac:dyDescent="0.25">
      <c r="A5791" s="25"/>
      <c r="B5791" s="49"/>
      <c r="C5791" s="50"/>
      <c r="D5791" s="23"/>
      <c r="E5791" s="23"/>
      <c r="F5791" s="15"/>
      <c r="G5791" s="23"/>
      <c r="H5791" s="15"/>
      <c r="I5791" s="15"/>
      <c r="J5791" s="51"/>
      <c r="K5791" s="15"/>
      <c r="L5791" s="51"/>
      <c r="M5791" s="15"/>
      <c r="N5791" s="23"/>
      <c r="O5791" s="23"/>
      <c r="P5791" s="15" t="str">
        <f t="shared" si="6"/>
        <v/>
      </c>
      <c r="Q5791" s="24"/>
      <c r="R5791" s="25"/>
      <c r="S5791" s="25"/>
      <c r="T5791" s="26"/>
      <c r="U5791" s="26"/>
      <c r="V5791" s="25"/>
      <c r="W5791" s="25"/>
      <c r="X5791" s="25"/>
      <c r="Y5791" s="25"/>
      <c r="Z5791" s="25"/>
    </row>
    <row r="5792" spans="1:26" ht="15.75" customHeight="1" x14ac:dyDescent="0.25">
      <c r="A5792" s="25"/>
      <c r="B5792" s="49"/>
      <c r="C5792" s="50"/>
      <c r="D5792" s="23"/>
      <c r="E5792" s="23"/>
      <c r="F5792" s="15"/>
      <c r="G5792" s="23"/>
      <c r="H5792" s="15"/>
      <c r="I5792" s="15"/>
      <c r="J5792" s="51"/>
      <c r="K5792" s="15"/>
      <c r="L5792" s="51"/>
      <c r="M5792" s="15"/>
      <c r="N5792" s="23"/>
      <c r="O5792" s="23"/>
      <c r="P5792" s="15" t="str">
        <f t="shared" si="6"/>
        <v/>
      </c>
      <c r="Q5792" s="24"/>
      <c r="R5792" s="25"/>
      <c r="S5792" s="25"/>
      <c r="T5792" s="26"/>
      <c r="U5792" s="26"/>
      <c r="V5792" s="25"/>
      <c r="W5792" s="25"/>
      <c r="X5792" s="25"/>
      <c r="Y5792" s="25"/>
      <c r="Z5792" s="25"/>
    </row>
    <row r="5793" spans="1:26" ht="15.75" customHeight="1" x14ac:dyDescent="0.25">
      <c r="A5793" s="25"/>
      <c r="B5793" s="49"/>
      <c r="C5793" s="50"/>
      <c r="D5793" s="23"/>
      <c r="E5793" s="23"/>
      <c r="F5793" s="15"/>
      <c r="G5793" s="23"/>
      <c r="H5793" s="15"/>
      <c r="I5793" s="15"/>
      <c r="J5793" s="51"/>
      <c r="K5793" s="15"/>
      <c r="L5793" s="51"/>
      <c r="M5793" s="15"/>
      <c r="N5793" s="23"/>
      <c r="O5793" s="23"/>
      <c r="P5793" s="15" t="str">
        <f t="shared" si="6"/>
        <v/>
      </c>
      <c r="Q5793" s="24"/>
      <c r="R5793" s="25"/>
      <c r="S5793" s="25"/>
      <c r="T5793" s="26"/>
      <c r="U5793" s="26"/>
      <c r="V5793" s="25"/>
      <c r="W5793" s="25"/>
      <c r="X5793" s="25"/>
      <c r="Y5793" s="25"/>
      <c r="Z5793" s="25"/>
    </row>
    <row r="5794" spans="1:26" ht="15.75" customHeight="1" x14ac:dyDescent="0.25">
      <c r="A5794" s="25"/>
      <c r="B5794" s="49"/>
      <c r="C5794" s="50"/>
      <c r="D5794" s="23"/>
      <c r="E5794" s="23"/>
      <c r="F5794" s="15"/>
      <c r="G5794" s="23"/>
      <c r="H5794" s="15"/>
      <c r="I5794" s="15"/>
      <c r="J5794" s="51"/>
      <c r="K5794" s="15"/>
      <c r="L5794" s="51"/>
      <c r="M5794" s="15"/>
      <c r="N5794" s="23"/>
      <c r="O5794" s="23"/>
      <c r="P5794" s="15" t="str">
        <f t="shared" si="6"/>
        <v/>
      </c>
      <c r="Q5794" s="24"/>
      <c r="R5794" s="25"/>
      <c r="S5794" s="25"/>
      <c r="T5794" s="26"/>
      <c r="U5794" s="26"/>
      <c r="V5794" s="25"/>
      <c r="W5794" s="25"/>
      <c r="X5794" s="25"/>
      <c r="Y5794" s="25"/>
      <c r="Z5794" s="25"/>
    </row>
    <row r="5795" spans="1:26" ht="15.75" customHeight="1" x14ac:dyDescent="0.25">
      <c r="A5795" s="25"/>
      <c r="B5795" s="49"/>
      <c r="C5795" s="50"/>
      <c r="D5795" s="23"/>
      <c r="E5795" s="23"/>
      <c r="F5795" s="15"/>
      <c r="G5795" s="23"/>
      <c r="H5795" s="15"/>
      <c r="I5795" s="15"/>
      <c r="J5795" s="51"/>
      <c r="K5795" s="15"/>
      <c r="L5795" s="51"/>
      <c r="M5795" s="15"/>
      <c r="N5795" s="23"/>
      <c r="O5795" s="23"/>
      <c r="P5795" s="15" t="str">
        <f t="shared" si="6"/>
        <v/>
      </c>
      <c r="Q5795" s="24"/>
      <c r="R5795" s="25"/>
      <c r="S5795" s="25"/>
      <c r="T5795" s="26"/>
      <c r="U5795" s="26"/>
      <c r="V5795" s="25"/>
      <c r="W5795" s="25"/>
      <c r="X5795" s="25"/>
      <c r="Y5795" s="25"/>
      <c r="Z5795" s="25"/>
    </row>
    <row r="5796" spans="1:26" ht="15.75" customHeight="1" x14ac:dyDescent="0.25">
      <c r="A5796" s="25"/>
      <c r="B5796" s="49"/>
      <c r="C5796" s="50"/>
      <c r="D5796" s="23"/>
      <c r="E5796" s="23"/>
      <c r="F5796" s="15"/>
      <c r="G5796" s="23"/>
      <c r="H5796" s="15"/>
      <c r="I5796" s="15"/>
      <c r="J5796" s="51"/>
      <c r="K5796" s="15"/>
      <c r="L5796" s="51"/>
      <c r="M5796" s="15"/>
      <c r="N5796" s="23"/>
      <c r="O5796" s="23"/>
      <c r="P5796" s="15" t="str">
        <f t="shared" si="6"/>
        <v/>
      </c>
      <c r="Q5796" s="24"/>
      <c r="R5796" s="25"/>
      <c r="S5796" s="25"/>
      <c r="T5796" s="26"/>
      <c r="U5796" s="26"/>
      <c r="V5796" s="25"/>
      <c r="W5796" s="25"/>
      <c r="X5796" s="25"/>
      <c r="Y5796" s="25"/>
      <c r="Z5796" s="25"/>
    </row>
    <row r="5797" spans="1:26" ht="15.75" customHeight="1" x14ac:dyDescent="0.25">
      <c r="A5797" s="25"/>
      <c r="B5797" s="49"/>
      <c r="C5797" s="50"/>
      <c r="D5797" s="23"/>
      <c r="E5797" s="23"/>
      <c r="F5797" s="15"/>
      <c r="G5797" s="23"/>
      <c r="H5797" s="15"/>
      <c r="I5797" s="15"/>
      <c r="J5797" s="51"/>
      <c r="K5797" s="15"/>
      <c r="L5797" s="51"/>
      <c r="M5797" s="15"/>
      <c r="N5797" s="23"/>
      <c r="O5797" s="23"/>
      <c r="P5797" s="15" t="str">
        <f t="shared" si="6"/>
        <v/>
      </c>
      <c r="Q5797" s="24"/>
      <c r="R5797" s="25"/>
      <c r="S5797" s="25"/>
      <c r="T5797" s="26"/>
      <c r="U5797" s="26"/>
      <c r="V5797" s="25"/>
      <c r="W5797" s="25"/>
      <c r="X5797" s="25"/>
      <c r="Y5797" s="25"/>
      <c r="Z5797" s="25"/>
    </row>
    <row r="5798" spans="1:26" ht="15.75" customHeight="1" x14ac:dyDescent="0.25">
      <c r="A5798" s="25"/>
      <c r="B5798" s="49"/>
      <c r="C5798" s="50"/>
      <c r="D5798" s="23"/>
      <c r="E5798" s="23"/>
      <c r="F5798" s="15"/>
      <c r="G5798" s="23"/>
      <c r="H5798" s="15"/>
      <c r="I5798" s="15"/>
      <c r="J5798" s="51"/>
      <c r="K5798" s="15"/>
      <c r="L5798" s="51"/>
      <c r="M5798" s="15"/>
      <c r="N5798" s="23"/>
      <c r="O5798" s="23"/>
      <c r="P5798" s="15" t="str">
        <f t="shared" si="6"/>
        <v/>
      </c>
      <c r="Q5798" s="24"/>
      <c r="R5798" s="25"/>
      <c r="S5798" s="25"/>
      <c r="T5798" s="26"/>
      <c r="U5798" s="26"/>
      <c r="V5798" s="25"/>
      <c r="W5798" s="25"/>
      <c r="X5798" s="25"/>
      <c r="Y5798" s="25"/>
      <c r="Z5798" s="25"/>
    </row>
    <row r="5799" spans="1:26" ht="15.75" customHeight="1" x14ac:dyDescent="0.25">
      <c r="A5799" s="25"/>
      <c r="B5799" s="49"/>
      <c r="C5799" s="50"/>
      <c r="D5799" s="23"/>
      <c r="E5799" s="23"/>
      <c r="F5799" s="15"/>
      <c r="G5799" s="23"/>
      <c r="H5799" s="15"/>
      <c r="I5799" s="15"/>
      <c r="J5799" s="51"/>
      <c r="K5799" s="15"/>
      <c r="L5799" s="51"/>
      <c r="M5799" s="15"/>
      <c r="N5799" s="23"/>
      <c r="O5799" s="23"/>
      <c r="P5799" s="15" t="str">
        <f t="shared" si="6"/>
        <v/>
      </c>
      <c r="Q5799" s="24"/>
      <c r="R5799" s="25"/>
      <c r="S5799" s="25"/>
      <c r="T5799" s="26"/>
      <c r="U5799" s="26"/>
      <c r="V5799" s="25"/>
      <c r="W5799" s="25"/>
      <c r="X5799" s="25"/>
      <c r="Y5799" s="25"/>
      <c r="Z5799" s="25"/>
    </row>
    <row r="5800" spans="1:26" ht="15.75" customHeight="1" x14ac:dyDescent="0.25">
      <c r="A5800" s="25"/>
      <c r="B5800" s="49"/>
      <c r="C5800" s="50"/>
      <c r="D5800" s="23"/>
      <c r="E5800" s="23"/>
      <c r="F5800" s="15"/>
      <c r="G5800" s="23"/>
      <c r="H5800" s="15"/>
      <c r="I5800" s="15"/>
      <c r="J5800" s="51"/>
      <c r="K5800" s="15"/>
      <c r="L5800" s="51"/>
      <c r="M5800" s="15"/>
      <c r="N5800" s="23"/>
      <c r="O5800" s="23"/>
      <c r="P5800" s="15" t="str">
        <f t="shared" si="6"/>
        <v/>
      </c>
      <c r="Q5800" s="24"/>
      <c r="R5800" s="25"/>
      <c r="S5800" s="25"/>
      <c r="T5800" s="26"/>
      <c r="U5800" s="26"/>
      <c r="V5800" s="25"/>
      <c r="W5800" s="25"/>
      <c r="X5800" s="25"/>
      <c r="Y5800" s="25"/>
      <c r="Z5800" s="25"/>
    </row>
    <row r="5801" spans="1:26" ht="15.75" customHeight="1" x14ac:dyDescent="0.25">
      <c r="A5801" s="25"/>
      <c r="B5801" s="49"/>
      <c r="C5801" s="50"/>
      <c r="D5801" s="23"/>
      <c r="E5801" s="23"/>
      <c r="F5801" s="15"/>
      <c r="G5801" s="23"/>
      <c r="H5801" s="15"/>
      <c r="I5801" s="15"/>
      <c r="J5801" s="51"/>
      <c r="K5801" s="15"/>
      <c r="L5801" s="51"/>
      <c r="M5801" s="15"/>
      <c r="N5801" s="23"/>
      <c r="O5801" s="23"/>
      <c r="P5801" s="15" t="str">
        <f t="shared" si="6"/>
        <v/>
      </c>
      <c r="Q5801" s="24"/>
      <c r="R5801" s="25"/>
      <c r="S5801" s="25"/>
      <c r="T5801" s="26"/>
      <c r="U5801" s="26"/>
      <c r="V5801" s="25"/>
      <c r="W5801" s="25"/>
      <c r="X5801" s="25"/>
      <c r="Y5801" s="25"/>
      <c r="Z5801" s="25"/>
    </row>
    <row r="5802" spans="1:26" ht="15.75" customHeight="1" x14ac:dyDescent="0.25">
      <c r="A5802" s="25"/>
      <c r="B5802" s="49"/>
      <c r="C5802" s="50"/>
      <c r="D5802" s="23"/>
      <c r="E5802" s="23"/>
      <c r="F5802" s="15"/>
      <c r="G5802" s="23"/>
      <c r="H5802" s="15"/>
      <c r="I5802" s="15"/>
      <c r="J5802" s="51"/>
      <c r="K5802" s="15"/>
      <c r="L5802" s="51"/>
      <c r="M5802" s="15"/>
      <c r="N5802" s="23"/>
      <c r="O5802" s="23"/>
      <c r="P5802" s="15" t="str">
        <f t="shared" si="6"/>
        <v/>
      </c>
      <c r="Q5802" s="24"/>
      <c r="R5802" s="25"/>
      <c r="S5802" s="25"/>
      <c r="T5802" s="26"/>
      <c r="U5802" s="26"/>
      <c r="V5802" s="25"/>
      <c r="W5802" s="25"/>
      <c r="X5802" s="25"/>
      <c r="Y5802" s="25"/>
      <c r="Z5802" s="25"/>
    </row>
    <row r="5803" spans="1:26" ht="15.75" customHeight="1" x14ac:dyDescent="0.25">
      <c r="A5803" s="25"/>
      <c r="B5803" s="49"/>
      <c r="C5803" s="50"/>
      <c r="D5803" s="23"/>
      <c r="E5803" s="23"/>
      <c r="F5803" s="15"/>
      <c r="G5803" s="23"/>
      <c r="H5803" s="15"/>
      <c r="I5803" s="15"/>
      <c r="J5803" s="51"/>
      <c r="K5803" s="15"/>
      <c r="L5803" s="51"/>
      <c r="M5803" s="15"/>
      <c r="N5803" s="23"/>
      <c r="O5803" s="23"/>
      <c r="P5803" s="15" t="str">
        <f t="shared" si="6"/>
        <v/>
      </c>
      <c r="Q5803" s="24"/>
      <c r="R5803" s="25"/>
      <c r="S5803" s="25"/>
      <c r="T5803" s="26"/>
      <c r="U5803" s="26"/>
      <c r="V5803" s="25"/>
      <c r="W5803" s="25"/>
      <c r="X5803" s="25"/>
      <c r="Y5803" s="25"/>
      <c r="Z5803" s="25"/>
    </row>
    <row r="5804" spans="1:26" ht="15.75" customHeight="1" x14ac:dyDescent="0.25">
      <c r="A5804" s="25"/>
      <c r="B5804" s="49"/>
      <c r="C5804" s="50"/>
      <c r="D5804" s="23"/>
      <c r="E5804" s="23"/>
      <c r="F5804" s="15"/>
      <c r="G5804" s="23"/>
      <c r="H5804" s="15"/>
      <c r="I5804" s="15"/>
      <c r="J5804" s="51"/>
      <c r="K5804" s="15"/>
      <c r="L5804" s="51"/>
      <c r="M5804" s="15"/>
      <c r="N5804" s="23"/>
      <c r="O5804" s="23"/>
      <c r="P5804" s="15" t="str">
        <f t="shared" si="6"/>
        <v/>
      </c>
      <c r="Q5804" s="24"/>
      <c r="R5804" s="25"/>
      <c r="S5804" s="25"/>
      <c r="T5804" s="26"/>
      <c r="U5804" s="26"/>
      <c r="V5804" s="25"/>
      <c r="W5804" s="25"/>
      <c r="X5804" s="25"/>
      <c r="Y5804" s="25"/>
      <c r="Z5804" s="25"/>
    </row>
    <row r="5805" spans="1:26" ht="15.75" customHeight="1" x14ac:dyDescent="0.25">
      <c r="A5805" s="25"/>
      <c r="B5805" s="49"/>
      <c r="C5805" s="50"/>
      <c r="D5805" s="23"/>
      <c r="E5805" s="23"/>
      <c r="F5805" s="15"/>
      <c r="G5805" s="23"/>
      <c r="H5805" s="15"/>
      <c r="I5805" s="15"/>
      <c r="J5805" s="51"/>
      <c r="K5805" s="15"/>
      <c r="L5805" s="51"/>
      <c r="M5805" s="15"/>
      <c r="N5805" s="23"/>
      <c r="O5805" s="23"/>
      <c r="P5805" s="15" t="str">
        <f t="shared" si="6"/>
        <v/>
      </c>
      <c r="Q5805" s="24"/>
      <c r="R5805" s="25"/>
      <c r="S5805" s="25"/>
      <c r="T5805" s="26"/>
      <c r="U5805" s="26"/>
      <c r="V5805" s="25"/>
      <c r="W5805" s="25"/>
      <c r="X5805" s="25"/>
      <c r="Y5805" s="25"/>
      <c r="Z5805" s="25"/>
    </row>
    <row r="5806" spans="1:26" ht="15.75" customHeight="1" x14ac:dyDescent="0.25">
      <c r="A5806" s="25"/>
      <c r="B5806" s="49"/>
      <c r="C5806" s="50"/>
      <c r="D5806" s="23"/>
      <c r="E5806" s="23"/>
      <c r="F5806" s="15"/>
      <c r="G5806" s="23"/>
      <c r="H5806" s="15"/>
      <c r="I5806" s="15"/>
      <c r="J5806" s="51"/>
      <c r="K5806" s="15"/>
      <c r="L5806" s="51"/>
      <c r="M5806" s="15"/>
      <c r="N5806" s="23"/>
      <c r="O5806" s="23"/>
      <c r="P5806" s="15" t="str">
        <f t="shared" si="6"/>
        <v/>
      </c>
      <c r="Q5806" s="24"/>
      <c r="R5806" s="25"/>
      <c r="S5806" s="25"/>
      <c r="T5806" s="26"/>
      <c r="U5806" s="26"/>
      <c r="V5806" s="25"/>
      <c r="W5806" s="25"/>
      <c r="X5806" s="25"/>
      <c r="Y5806" s="25"/>
      <c r="Z5806" s="25"/>
    </row>
    <row r="5807" spans="1:26" ht="15.75" customHeight="1" x14ac:dyDescent="0.25">
      <c r="A5807" s="25"/>
      <c r="B5807" s="49"/>
      <c r="C5807" s="50"/>
      <c r="D5807" s="23"/>
      <c r="E5807" s="23"/>
      <c r="F5807" s="15"/>
      <c r="G5807" s="23"/>
      <c r="H5807" s="15"/>
      <c r="I5807" s="15"/>
      <c r="J5807" s="51"/>
      <c r="K5807" s="15"/>
      <c r="L5807" s="51"/>
      <c r="M5807" s="15"/>
      <c r="N5807" s="23"/>
      <c r="O5807" s="23"/>
      <c r="P5807" s="15" t="str">
        <f t="shared" si="6"/>
        <v/>
      </c>
      <c r="Q5807" s="24"/>
      <c r="R5807" s="25"/>
      <c r="S5807" s="25"/>
      <c r="T5807" s="26"/>
      <c r="U5807" s="26"/>
      <c r="V5807" s="25"/>
      <c r="W5807" s="25"/>
      <c r="X5807" s="25"/>
      <c r="Y5807" s="25"/>
      <c r="Z5807" s="25"/>
    </row>
    <row r="5808" spans="1:26" ht="15.75" customHeight="1" x14ac:dyDescent="0.25">
      <c r="A5808" s="25"/>
      <c r="B5808" s="49"/>
      <c r="C5808" s="50"/>
      <c r="D5808" s="23"/>
      <c r="E5808" s="23"/>
      <c r="F5808" s="15"/>
      <c r="G5808" s="23"/>
      <c r="H5808" s="15"/>
      <c r="I5808" s="15"/>
      <c r="J5808" s="51"/>
      <c r="K5808" s="15"/>
      <c r="L5808" s="51"/>
      <c r="M5808" s="15"/>
      <c r="N5808" s="23"/>
      <c r="O5808" s="23"/>
      <c r="P5808" s="15" t="str">
        <f t="shared" si="6"/>
        <v/>
      </c>
      <c r="Q5808" s="24"/>
      <c r="R5808" s="25"/>
      <c r="S5808" s="25"/>
      <c r="T5808" s="26"/>
      <c r="U5808" s="26"/>
      <c r="V5808" s="25"/>
      <c r="W5808" s="25"/>
      <c r="X5808" s="25"/>
      <c r="Y5808" s="25"/>
      <c r="Z5808" s="25"/>
    </row>
    <row r="5809" spans="1:26" ht="15.75" customHeight="1" x14ac:dyDescent="0.25">
      <c r="A5809" s="25"/>
      <c r="B5809" s="49"/>
      <c r="C5809" s="50"/>
      <c r="D5809" s="23"/>
      <c r="E5809" s="23"/>
      <c r="F5809" s="15"/>
      <c r="G5809" s="23"/>
      <c r="H5809" s="15"/>
      <c r="I5809" s="15"/>
      <c r="J5809" s="51"/>
      <c r="K5809" s="15"/>
      <c r="L5809" s="51"/>
      <c r="M5809" s="15"/>
      <c r="N5809" s="23"/>
      <c r="O5809" s="23"/>
      <c r="P5809" s="15" t="str">
        <f t="shared" si="6"/>
        <v/>
      </c>
      <c r="Q5809" s="24"/>
      <c r="R5809" s="25"/>
      <c r="S5809" s="25"/>
      <c r="T5809" s="26"/>
      <c r="U5809" s="26"/>
      <c r="V5809" s="25"/>
      <c r="W5809" s="25"/>
      <c r="X5809" s="25"/>
      <c r="Y5809" s="25"/>
      <c r="Z5809" s="25"/>
    </row>
    <row r="5810" spans="1:26" ht="15.75" customHeight="1" x14ac:dyDescent="0.25">
      <c r="A5810" s="25"/>
      <c r="B5810" s="49"/>
      <c r="C5810" s="50"/>
      <c r="D5810" s="23"/>
      <c r="E5810" s="23"/>
      <c r="F5810" s="15"/>
      <c r="G5810" s="23"/>
      <c r="H5810" s="15"/>
      <c r="I5810" s="15"/>
      <c r="J5810" s="51"/>
      <c r="K5810" s="15"/>
      <c r="L5810" s="51"/>
      <c r="M5810" s="15"/>
      <c r="N5810" s="23"/>
      <c r="O5810" s="23"/>
      <c r="P5810" s="15" t="str">
        <f t="shared" si="6"/>
        <v/>
      </c>
      <c r="Q5810" s="24"/>
      <c r="R5810" s="25"/>
      <c r="S5810" s="25"/>
      <c r="T5810" s="26"/>
      <c r="U5810" s="26"/>
      <c r="V5810" s="25"/>
      <c r="W5810" s="25"/>
      <c r="X5810" s="25"/>
      <c r="Y5810" s="25"/>
      <c r="Z5810" s="25"/>
    </row>
    <row r="5811" spans="1:26" ht="15.75" customHeight="1" x14ac:dyDescent="0.25">
      <c r="A5811" s="25"/>
      <c r="B5811" s="49"/>
      <c r="C5811" s="50"/>
      <c r="D5811" s="23"/>
      <c r="E5811" s="23"/>
      <c r="F5811" s="15"/>
      <c r="G5811" s="23"/>
      <c r="H5811" s="15"/>
      <c r="I5811" s="15"/>
      <c r="J5811" s="51"/>
      <c r="K5811" s="15"/>
      <c r="L5811" s="51"/>
      <c r="M5811" s="15"/>
      <c r="N5811" s="23"/>
      <c r="O5811" s="23"/>
      <c r="P5811" s="15" t="str">
        <f t="shared" si="6"/>
        <v/>
      </c>
      <c r="Q5811" s="24"/>
      <c r="R5811" s="25"/>
      <c r="S5811" s="25"/>
      <c r="T5811" s="26"/>
      <c r="U5811" s="26"/>
      <c r="V5811" s="25"/>
      <c r="W5811" s="25"/>
      <c r="X5811" s="25"/>
      <c r="Y5811" s="25"/>
      <c r="Z5811" s="25"/>
    </row>
    <row r="5812" spans="1:26" ht="15.75" customHeight="1" x14ac:dyDescent="0.25">
      <c r="A5812" s="25"/>
      <c r="B5812" s="49"/>
      <c r="C5812" s="50"/>
      <c r="D5812" s="23"/>
      <c r="E5812" s="23"/>
      <c r="F5812" s="15"/>
      <c r="G5812" s="23"/>
      <c r="H5812" s="15"/>
      <c r="I5812" s="15"/>
      <c r="J5812" s="51"/>
      <c r="K5812" s="15"/>
      <c r="L5812" s="51"/>
      <c r="M5812" s="15"/>
      <c r="N5812" s="23"/>
      <c r="O5812" s="23"/>
      <c r="P5812" s="15" t="str">
        <f t="shared" si="6"/>
        <v/>
      </c>
      <c r="Q5812" s="24"/>
      <c r="R5812" s="25"/>
      <c r="S5812" s="25"/>
      <c r="T5812" s="26"/>
      <c r="U5812" s="26"/>
      <c r="V5812" s="25"/>
      <c r="W5812" s="25"/>
      <c r="X5812" s="25"/>
      <c r="Y5812" s="25"/>
      <c r="Z5812" s="25"/>
    </row>
    <row r="5813" spans="1:26" ht="15.75" customHeight="1" x14ac:dyDescent="0.25">
      <c r="A5813" s="25"/>
      <c r="B5813" s="49"/>
      <c r="C5813" s="50"/>
      <c r="D5813" s="23"/>
      <c r="E5813" s="23"/>
      <c r="F5813" s="15"/>
      <c r="G5813" s="23"/>
      <c r="H5813" s="15"/>
      <c r="I5813" s="15"/>
      <c r="J5813" s="51"/>
      <c r="K5813" s="15"/>
      <c r="L5813" s="51"/>
      <c r="M5813" s="15"/>
      <c r="N5813" s="23"/>
      <c r="O5813" s="23"/>
      <c r="P5813" s="15" t="str">
        <f t="shared" si="6"/>
        <v/>
      </c>
      <c r="Q5813" s="24"/>
      <c r="R5813" s="25"/>
      <c r="S5813" s="25"/>
      <c r="T5813" s="26"/>
      <c r="U5813" s="26"/>
      <c r="V5813" s="25"/>
      <c r="W5813" s="25"/>
      <c r="X5813" s="25"/>
      <c r="Y5813" s="25"/>
      <c r="Z5813" s="25"/>
    </row>
    <row r="5814" spans="1:26" ht="15.75" customHeight="1" x14ac:dyDescent="0.25">
      <c r="A5814" s="25"/>
      <c r="B5814" s="49"/>
      <c r="C5814" s="50"/>
      <c r="D5814" s="23"/>
      <c r="E5814" s="23"/>
      <c r="F5814" s="15"/>
      <c r="G5814" s="23"/>
      <c r="H5814" s="15"/>
      <c r="I5814" s="15"/>
      <c r="J5814" s="51"/>
      <c r="K5814" s="15"/>
      <c r="L5814" s="51"/>
      <c r="M5814" s="15"/>
      <c r="N5814" s="23"/>
      <c r="O5814" s="23"/>
      <c r="P5814" s="15" t="str">
        <f t="shared" si="6"/>
        <v/>
      </c>
      <c r="Q5814" s="24"/>
      <c r="R5814" s="25"/>
      <c r="S5814" s="25"/>
      <c r="T5814" s="26"/>
      <c r="U5814" s="26"/>
      <c r="V5814" s="25"/>
      <c r="W5814" s="25"/>
      <c r="X5814" s="25"/>
      <c r="Y5814" s="25"/>
      <c r="Z5814" s="25"/>
    </row>
    <row r="5815" spans="1:26" ht="15.75" customHeight="1" x14ac:dyDescent="0.25">
      <c r="A5815" s="25"/>
      <c r="B5815" s="49"/>
      <c r="C5815" s="50"/>
      <c r="D5815" s="23"/>
      <c r="E5815" s="23"/>
      <c r="F5815" s="15"/>
      <c r="G5815" s="23"/>
      <c r="H5815" s="15"/>
      <c r="I5815" s="15"/>
      <c r="J5815" s="51"/>
      <c r="K5815" s="15"/>
      <c r="L5815" s="51"/>
      <c r="M5815" s="15"/>
      <c r="N5815" s="23"/>
      <c r="O5815" s="23"/>
      <c r="P5815" s="15" t="str">
        <f t="shared" si="6"/>
        <v/>
      </c>
      <c r="Q5815" s="24"/>
      <c r="R5815" s="25"/>
      <c r="S5815" s="25"/>
      <c r="T5815" s="26"/>
      <c r="U5815" s="26"/>
      <c r="V5815" s="25"/>
      <c r="W5815" s="25"/>
      <c r="X5815" s="25"/>
      <c r="Y5815" s="25"/>
      <c r="Z5815" s="25"/>
    </row>
    <row r="5816" spans="1:26" ht="15.75" customHeight="1" x14ac:dyDescent="0.25">
      <c r="A5816" s="25"/>
      <c r="B5816" s="49"/>
      <c r="C5816" s="50"/>
      <c r="D5816" s="23"/>
      <c r="E5816" s="23"/>
      <c r="F5816" s="15"/>
      <c r="G5816" s="23"/>
      <c r="H5816" s="15"/>
      <c r="I5816" s="15"/>
      <c r="J5816" s="51"/>
      <c r="K5816" s="15"/>
      <c r="L5816" s="51"/>
      <c r="M5816" s="15"/>
      <c r="N5816" s="23"/>
      <c r="O5816" s="23"/>
      <c r="P5816" s="15" t="str">
        <f t="shared" si="6"/>
        <v/>
      </c>
      <c r="Q5816" s="24"/>
      <c r="R5816" s="25"/>
      <c r="S5816" s="25"/>
      <c r="T5816" s="26"/>
      <c r="U5816" s="26"/>
      <c r="V5816" s="25"/>
      <c r="W5816" s="25"/>
      <c r="X5816" s="25"/>
      <c r="Y5816" s="25"/>
      <c r="Z5816" s="25"/>
    </row>
    <row r="5817" spans="1:26" ht="15.75" customHeight="1" x14ac:dyDescent="0.25">
      <c r="A5817" s="25"/>
      <c r="B5817" s="49"/>
      <c r="C5817" s="50"/>
      <c r="D5817" s="23"/>
      <c r="E5817" s="23"/>
      <c r="F5817" s="15"/>
      <c r="G5817" s="23"/>
      <c r="H5817" s="15"/>
      <c r="I5817" s="15"/>
      <c r="J5817" s="51"/>
      <c r="K5817" s="15"/>
      <c r="L5817" s="51"/>
      <c r="M5817" s="15"/>
      <c r="N5817" s="23"/>
      <c r="O5817" s="23"/>
      <c r="P5817" s="15" t="str">
        <f t="shared" si="6"/>
        <v/>
      </c>
      <c r="Q5817" s="24"/>
      <c r="R5817" s="25"/>
      <c r="S5817" s="25"/>
      <c r="T5817" s="26"/>
      <c r="U5817" s="26"/>
      <c r="V5817" s="25"/>
      <c r="W5817" s="25"/>
      <c r="X5817" s="25"/>
      <c r="Y5817" s="25"/>
      <c r="Z5817" s="25"/>
    </row>
    <row r="5818" spans="1:26" ht="15.75" customHeight="1" x14ac:dyDescent="0.25">
      <c r="A5818" s="25"/>
      <c r="B5818" s="49"/>
      <c r="C5818" s="50"/>
      <c r="D5818" s="23"/>
      <c r="E5818" s="23"/>
      <c r="F5818" s="15"/>
      <c r="G5818" s="23"/>
      <c r="H5818" s="15"/>
      <c r="I5818" s="15"/>
      <c r="J5818" s="51"/>
      <c r="K5818" s="15"/>
      <c r="L5818" s="51"/>
      <c r="M5818" s="15"/>
      <c r="N5818" s="23"/>
      <c r="O5818" s="23"/>
      <c r="P5818" s="15" t="str">
        <f t="shared" si="6"/>
        <v/>
      </c>
      <c r="Q5818" s="24"/>
      <c r="R5818" s="25"/>
      <c r="S5818" s="25"/>
      <c r="T5818" s="26"/>
      <c r="U5818" s="26"/>
      <c r="V5818" s="25"/>
      <c r="W5818" s="25"/>
      <c r="X5818" s="25"/>
      <c r="Y5818" s="25"/>
      <c r="Z5818" s="25"/>
    </row>
    <row r="5819" spans="1:26" ht="15.75" customHeight="1" x14ac:dyDescent="0.25">
      <c r="A5819" s="25"/>
      <c r="B5819" s="49"/>
      <c r="C5819" s="50"/>
      <c r="D5819" s="23"/>
      <c r="E5819" s="23"/>
      <c r="F5819" s="15"/>
      <c r="G5819" s="23"/>
      <c r="H5819" s="15"/>
      <c r="I5819" s="15"/>
      <c r="J5819" s="51"/>
      <c r="K5819" s="15"/>
      <c r="L5819" s="51"/>
      <c r="M5819" s="15"/>
      <c r="N5819" s="23"/>
      <c r="O5819" s="23"/>
      <c r="P5819" s="15" t="str">
        <f t="shared" si="6"/>
        <v/>
      </c>
      <c r="Q5819" s="24"/>
      <c r="R5819" s="25"/>
      <c r="S5819" s="25"/>
      <c r="T5819" s="26"/>
      <c r="U5819" s="26"/>
      <c r="V5819" s="25"/>
      <c r="W5819" s="25"/>
      <c r="X5819" s="25"/>
      <c r="Y5819" s="25"/>
      <c r="Z5819" s="25"/>
    </row>
    <row r="5820" spans="1:26" ht="15.75" customHeight="1" x14ac:dyDescent="0.25">
      <c r="A5820" s="25"/>
      <c r="B5820" s="49"/>
      <c r="C5820" s="50"/>
      <c r="D5820" s="23"/>
      <c r="E5820" s="23"/>
      <c r="F5820" s="15"/>
      <c r="G5820" s="23"/>
      <c r="H5820" s="15"/>
      <c r="I5820" s="15"/>
      <c r="J5820" s="51"/>
      <c r="K5820" s="15"/>
      <c r="L5820" s="51"/>
      <c r="M5820" s="15"/>
      <c r="N5820" s="23"/>
      <c r="O5820" s="23"/>
      <c r="P5820" s="15" t="str">
        <f t="shared" si="6"/>
        <v/>
      </c>
      <c r="Q5820" s="24"/>
      <c r="R5820" s="25"/>
      <c r="S5820" s="25"/>
      <c r="T5820" s="26"/>
      <c r="U5820" s="26"/>
      <c r="V5820" s="25"/>
      <c r="W5820" s="25"/>
      <c r="X5820" s="25"/>
      <c r="Y5820" s="25"/>
      <c r="Z5820" s="25"/>
    </row>
    <row r="5821" spans="1:26" ht="15.75" customHeight="1" x14ac:dyDescent="0.25">
      <c r="A5821" s="25"/>
      <c r="B5821" s="49"/>
      <c r="C5821" s="50"/>
      <c r="D5821" s="23"/>
      <c r="E5821" s="23"/>
      <c r="F5821" s="15"/>
      <c r="G5821" s="23"/>
      <c r="H5821" s="15"/>
      <c r="I5821" s="15"/>
      <c r="J5821" s="51"/>
      <c r="K5821" s="15"/>
      <c r="L5821" s="51"/>
      <c r="M5821" s="15"/>
      <c r="N5821" s="23"/>
      <c r="O5821" s="23"/>
      <c r="P5821" s="15" t="str">
        <f t="shared" si="6"/>
        <v/>
      </c>
      <c r="Q5821" s="24"/>
      <c r="R5821" s="25"/>
      <c r="S5821" s="25"/>
      <c r="T5821" s="26"/>
      <c r="U5821" s="26"/>
      <c r="V5821" s="25"/>
      <c r="W5821" s="25"/>
      <c r="X5821" s="25"/>
      <c r="Y5821" s="25"/>
      <c r="Z5821" s="25"/>
    </row>
    <row r="5822" spans="1:26" ht="15.75" customHeight="1" x14ac:dyDescent="0.25">
      <c r="A5822" s="25"/>
      <c r="B5822" s="49"/>
      <c r="C5822" s="50"/>
      <c r="D5822" s="23"/>
      <c r="E5822" s="23"/>
      <c r="F5822" s="15"/>
      <c r="G5822" s="23"/>
      <c r="H5822" s="15"/>
      <c r="I5822" s="15"/>
      <c r="J5822" s="51"/>
      <c r="K5822" s="15"/>
      <c r="L5822" s="51"/>
      <c r="M5822" s="15"/>
      <c r="N5822" s="23"/>
      <c r="O5822" s="23"/>
      <c r="P5822" s="15" t="str">
        <f t="shared" si="6"/>
        <v/>
      </c>
      <c r="Q5822" s="24"/>
      <c r="R5822" s="25"/>
      <c r="S5822" s="25"/>
      <c r="T5822" s="26"/>
      <c r="U5822" s="26"/>
      <c r="V5822" s="25"/>
      <c r="W5822" s="25"/>
      <c r="X5822" s="25"/>
      <c r="Y5822" s="25"/>
      <c r="Z5822" s="25"/>
    </row>
    <row r="5823" spans="1:26" ht="15.75" customHeight="1" x14ac:dyDescent="0.25">
      <c r="A5823" s="25"/>
      <c r="B5823" s="49"/>
      <c r="C5823" s="50"/>
      <c r="D5823" s="23"/>
      <c r="E5823" s="23"/>
      <c r="F5823" s="15"/>
      <c r="G5823" s="23"/>
      <c r="H5823" s="15"/>
      <c r="I5823" s="15"/>
      <c r="J5823" s="51"/>
      <c r="K5823" s="15"/>
      <c r="L5823" s="51"/>
      <c r="M5823" s="15"/>
      <c r="N5823" s="23"/>
      <c r="O5823" s="23"/>
      <c r="P5823" s="15" t="str">
        <f t="shared" si="6"/>
        <v/>
      </c>
      <c r="Q5823" s="24"/>
      <c r="R5823" s="25"/>
      <c r="S5823" s="25"/>
      <c r="T5823" s="26"/>
      <c r="U5823" s="26"/>
      <c r="V5823" s="25"/>
      <c r="W5823" s="25"/>
      <c r="X5823" s="25"/>
      <c r="Y5823" s="25"/>
      <c r="Z5823" s="25"/>
    </row>
    <row r="5824" spans="1:26" ht="15.75" customHeight="1" x14ac:dyDescent="0.25">
      <c r="A5824" s="25"/>
      <c r="B5824" s="49"/>
      <c r="C5824" s="50"/>
      <c r="D5824" s="23"/>
      <c r="E5824" s="23"/>
      <c r="F5824" s="15"/>
      <c r="G5824" s="23"/>
      <c r="H5824" s="15"/>
      <c r="I5824" s="15"/>
      <c r="J5824" s="51"/>
      <c r="K5824" s="15"/>
      <c r="L5824" s="51"/>
      <c r="M5824" s="15"/>
      <c r="N5824" s="23"/>
      <c r="O5824" s="23"/>
      <c r="P5824" s="15" t="str">
        <f t="shared" si="6"/>
        <v/>
      </c>
      <c r="Q5824" s="24"/>
      <c r="R5824" s="25"/>
      <c r="S5824" s="25"/>
      <c r="T5824" s="26"/>
      <c r="U5824" s="26"/>
      <c r="V5824" s="25"/>
      <c r="W5824" s="25"/>
      <c r="X5824" s="25"/>
      <c r="Y5824" s="25"/>
      <c r="Z5824" s="25"/>
    </row>
    <row r="5825" spans="1:26" ht="15.75" customHeight="1" x14ac:dyDescent="0.25">
      <c r="A5825" s="25"/>
      <c r="B5825" s="49"/>
      <c r="C5825" s="50"/>
      <c r="D5825" s="23"/>
      <c r="E5825" s="23"/>
      <c r="F5825" s="15"/>
      <c r="G5825" s="23"/>
      <c r="H5825" s="15"/>
      <c r="I5825" s="15"/>
      <c r="J5825" s="51"/>
      <c r="K5825" s="15"/>
      <c r="L5825" s="51"/>
      <c r="M5825" s="15"/>
      <c r="N5825" s="23"/>
      <c r="O5825" s="23"/>
      <c r="P5825" s="15" t="str">
        <f t="shared" si="6"/>
        <v/>
      </c>
      <c r="Q5825" s="24"/>
      <c r="R5825" s="25"/>
      <c r="S5825" s="25"/>
      <c r="T5825" s="26"/>
      <c r="U5825" s="26"/>
      <c r="V5825" s="25"/>
      <c r="W5825" s="25"/>
      <c r="X5825" s="25"/>
      <c r="Y5825" s="25"/>
      <c r="Z5825" s="25"/>
    </row>
    <row r="5826" spans="1:26" ht="15.75" customHeight="1" x14ac:dyDescent="0.25">
      <c r="A5826" s="25"/>
      <c r="B5826" s="49"/>
      <c r="C5826" s="50"/>
      <c r="D5826" s="23"/>
      <c r="E5826" s="23"/>
      <c r="F5826" s="15"/>
      <c r="G5826" s="23"/>
      <c r="H5826" s="15"/>
      <c r="I5826" s="15"/>
      <c r="J5826" s="51"/>
      <c r="K5826" s="15"/>
      <c r="L5826" s="51"/>
      <c r="M5826" s="15"/>
      <c r="N5826" s="23"/>
      <c r="O5826" s="23"/>
      <c r="P5826" s="15" t="str">
        <f t="shared" si="6"/>
        <v/>
      </c>
      <c r="Q5826" s="24"/>
      <c r="R5826" s="25"/>
      <c r="S5826" s="25"/>
      <c r="T5826" s="26"/>
      <c r="U5826" s="26"/>
      <c r="V5826" s="25"/>
      <c r="W5826" s="25"/>
      <c r="X5826" s="25"/>
      <c r="Y5826" s="25"/>
      <c r="Z5826" s="25"/>
    </row>
    <row r="5827" spans="1:26" ht="15.75" customHeight="1" x14ac:dyDescent="0.25">
      <c r="A5827" s="25"/>
      <c r="B5827" s="49"/>
      <c r="C5827" s="50"/>
      <c r="D5827" s="23"/>
      <c r="E5827" s="23"/>
      <c r="F5827" s="15"/>
      <c r="G5827" s="23"/>
      <c r="H5827" s="15"/>
      <c r="I5827" s="15"/>
      <c r="J5827" s="51"/>
      <c r="K5827" s="15"/>
      <c r="L5827" s="51"/>
      <c r="M5827" s="15"/>
      <c r="N5827" s="23"/>
      <c r="O5827" s="23"/>
      <c r="P5827" s="15" t="str">
        <f t="shared" si="6"/>
        <v/>
      </c>
      <c r="Q5827" s="24"/>
      <c r="R5827" s="25"/>
      <c r="S5827" s="25"/>
      <c r="T5827" s="26"/>
      <c r="U5827" s="26"/>
      <c r="V5827" s="25"/>
      <c r="W5827" s="25"/>
      <c r="X5827" s="25"/>
      <c r="Y5827" s="25"/>
      <c r="Z5827" s="25"/>
    </row>
    <row r="5828" spans="1:26" ht="15.75" customHeight="1" x14ac:dyDescent="0.25">
      <c r="A5828" s="25"/>
      <c r="B5828" s="49"/>
      <c r="C5828" s="50"/>
      <c r="D5828" s="23"/>
      <c r="E5828" s="23"/>
      <c r="F5828" s="15"/>
      <c r="G5828" s="23"/>
      <c r="H5828" s="15"/>
      <c r="I5828" s="15"/>
      <c r="J5828" s="51"/>
      <c r="K5828" s="15"/>
      <c r="L5828" s="51"/>
      <c r="M5828" s="15"/>
      <c r="N5828" s="23"/>
      <c r="O5828" s="23"/>
      <c r="P5828" s="15" t="str">
        <f t="shared" si="6"/>
        <v/>
      </c>
      <c r="Q5828" s="24"/>
      <c r="R5828" s="25"/>
      <c r="S5828" s="25"/>
      <c r="T5828" s="26"/>
      <c r="U5828" s="26"/>
      <c r="V5828" s="25"/>
      <c r="W5828" s="25"/>
      <c r="X5828" s="25"/>
      <c r="Y5828" s="25"/>
      <c r="Z5828" s="25"/>
    </row>
    <row r="5829" spans="1:26" ht="15.75" customHeight="1" x14ac:dyDescent="0.25">
      <c r="A5829" s="25"/>
      <c r="B5829" s="49"/>
      <c r="C5829" s="50"/>
      <c r="D5829" s="23"/>
      <c r="E5829" s="23"/>
      <c r="F5829" s="15"/>
      <c r="G5829" s="23"/>
      <c r="H5829" s="15"/>
      <c r="I5829" s="15"/>
      <c r="J5829" s="51"/>
      <c r="K5829" s="15"/>
      <c r="L5829" s="51"/>
      <c r="M5829" s="15"/>
      <c r="N5829" s="23"/>
      <c r="O5829" s="23"/>
      <c r="P5829" s="15" t="str">
        <f t="shared" si="6"/>
        <v/>
      </c>
      <c r="Q5829" s="24"/>
      <c r="R5829" s="25"/>
      <c r="S5829" s="25"/>
      <c r="T5829" s="26"/>
      <c r="U5829" s="26"/>
      <c r="V5829" s="25"/>
      <c r="W5829" s="25"/>
      <c r="X5829" s="25"/>
      <c r="Y5829" s="25"/>
      <c r="Z5829" s="25"/>
    </row>
    <row r="5830" spans="1:26" ht="15.75" customHeight="1" x14ac:dyDescent="0.25">
      <c r="A5830" s="25"/>
      <c r="B5830" s="49"/>
      <c r="C5830" s="50"/>
      <c r="D5830" s="23"/>
      <c r="E5830" s="23"/>
      <c r="F5830" s="15"/>
      <c r="G5830" s="23"/>
      <c r="H5830" s="15"/>
      <c r="I5830" s="15"/>
      <c r="J5830" s="51"/>
      <c r="K5830" s="15"/>
      <c r="L5830" s="51"/>
      <c r="M5830" s="15"/>
      <c r="N5830" s="23"/>
      <c r="O5830" s="23"/>
      <c r="P5830" s="15" t="str">
        <f t="shared" si="6"/>
        <v/>
      </c>
      <c r="Q5830" s="24"/>
      <c r="R5830" s="25"/>
      <c r="S5830" s="25"/>
      <c r="T5830" s="26"/>
      <c r="U5830" s="26"/>
      <c r="V5830" s="25"/>
      <c r="W5830" s="25"/>
      <c r="X5830" s="25"/>
      <c r="Y5830" s="25"/>
      <c r="Z5830" s="25"/>
    </row>
    <row r="5831" spans="1:26" ht="15.75" customHeight="1" x14ac:dyDescent="0.25">
      <c r="A5831" s="25"/>
      <c r="B5831" s="49"/>
      <c r="C5831" s="50"/>
      <c r="D5831" s="23"/>
      <c r="E5831" s="23"/>
      <c r="F5831" s="15"/>
      <c r="G5831" s="23"/>
      <c r="H5831" s="15"/>
      <c r="I5831" s="15"/>
      <c r="J5831" s="51"/>
      <c r="K5831" s="15"/>
      <c r="L5831" s="51"/>
      <c r="M5831" s="15"/>
      <c r="N5831" s="23"/>
      <c r="O5831" s="23"/>
      <c r="P5831" s="15" t="str">
        <f t="shared" si="6"/>
        <v/>
      </c>
      <c r="Q5831" s="24"/>
      <c r="R5831" s="25"/>
      <c r="S5831" s="25"/>
      <c r="T5831" s="26"/>
      <c r="U5831" s="26"/>
      <c r="V5831" s="25"/>
      <c r="W5831" s="25"/>
      <c r="X5831" s="25"/>
      <c r="Y5831" s="25"/>
      <c r="Z5831" s="25"/>
    </row>
    <row r="5832" spans="1:26" ht="15.75" customHeight="1" x14ac:dyDescent="0.25">
      <c r="A5832" s="25"/>
      <c r="B5832" s="49"/>
      <c r="C5832" s="50"/>
      <c r="D5832" s="23"/>
      <c r="E5832" s="23"/>
      <c r="F5832" s="15"/>
      <c r="G5832" s="23"/>
      <c r="H5832" s="15"/>
      <c r="I5832" s="15"/>
      <c r="J5832" s="51"/>
      <c r="K5832" s="15"/>
      <c r="L5832" s="51"/>
      <c r="M5832" s="15"/>
      <c r="N5832" s="23"/>
      <c r="O5832" s="23"/>
      <c r="P5832" s="15" t="str">
        <f t="shared" si="6"/>
        <v/>
      </c>
      <c r="Q5832" s="24"/>
      <c r="R5832" s="25"/>
      <c r="S5832" s="25"/>
      <c r="T5832" s="26"/>
      <c r="U5832" s="26"/>
      <c r="V5832" s="25"/>
      <c r="W5832" s="25"/>
      <c r="X5832" s="25"/>
      <c r="Y5832" s="25"/>
      <c r="Z5832" s="25"/>
    </row>
    <row r="5833" spans="1:26" ht="15.75" customHeight="1" x14ac:dyDescent="0.25">
      <c r="A5833" s="25"/>
      <c r="B5833" s="49"/>
      <c r="C5833" s="50"/>
      <c r="D5833" s="23"/>
      <c r="E5833" s="23"/>
      <c r="F5833" s="15"/>
      <c r="G5833" s="23"/>
      <c r="H5833" s="15"/>
      <c r="I5833" s="15"/>
      <c r="J5833" s="51"/>
      <c r="K5833" s="15"/>
      <c r="L5833" s="51"/>
      <c r="M5833" s="15"/>
      <c r="N5833" s="23"/>
      <c r="O5833" s="23"/>
      <c r="P5833" s="15" t="str">
        <f t="shared" si="6"/>
        <v/>
      </c>
      <c r="Q5833" s="24"/>
      <c r="R5833" s="25"/>
      <c r="S5833" s="25"/>
      <c r="T5833" s="26"/>
      <c r="U5833" s="26"/>
      <c r="V5833" s="25"/>
      <c r="W5833" s="25"/>
      <c r="X5833" s="25"/>
      <c r="Y5833" s="25"/>
      <c r="Z5833" s="25"/>
    </row>
    <row r="5834" spans="1:26" ht="15.75" customHeight="1" x14ac:dyDescent="0.25">
      <c r="A5834" s="25"/>
      <c r="B5834" s="49"/>
      <c r="C5834" s="50"/>
      <c r="D5834" s="23"/>
      <c r="E5834" s="23"/>
      <c r="F5834" s="15"/>
      <c r="G5834" s="23"/>
      <c r="H5834" s="15"/>
      <c r="I5834" s="15"/>
      <c r="J5834" s="51"/>
      <c r="K5834" s="15"/>
      <c r="L5834" s="51"/>
      <c r="M5834" s="15"/>
      <c r="N5834" s="23"/>
      <c r="O5834" s="23"/>
      <c r="P5834" s="15" t="str">
        <f t="shared" si="6"/>
        <v/>
      </c>
      <c r="Q5834" s="24"/>
      <c r="R5834" s="25"/>
      <c r="S5834" s="25"/>
      <c r="T5834" s="26"/>
      <c r="U5834" s="26"/>
      <c r="V5834" s="25"/>
      <c r="W5834" s="25"/>
      <c r="X5834" s="25"/>
      <c r="Y5834" s="25"/>
      <c r="Z5834" s="25"/>
    </row>
    <row r="5835" spans="1:26" ht="15.75" customHeight="1" x14ac:dyDescent="0.25">
      <c r="A5835" s="25"/>
      <c r="B5835" s="49"/>
      <c r="C5835" s="50"/>
      <c r="D5835" s="23"/>
      <c r="E5835" s="23"/>
      <c r="F5835" s="15"/>
      <c r="G5835" s="23"/>
      <c r="H5835" s="15"/>
      <c r="I5835" s="15"/>
      <c r="J5835" s="51"/>
      <c r="K5835" s="15"/>
      <c r="L5835" s="51"/>
      <c r="M5835" s="15"/>
      <c r="N5835" s="23"/>
      <c r="O5835" s="23"/>
      <c r="P5835" s="15" t="str">
        <f t="shared" si="6"/>
        <v/>
      </c>
      <c r="Q5835" s="24"/>
      <c r="R5835" s="25"/>
      <c r="S5835" s="25"/>
      <c r="T5835" s="26"/>
      <c r="U5835" s="26"/>
      <c r="V5835" s="25"/>
      <c r="W5835" s="25"/>
      <c r="X5835" s="25"/>
      <c r="Y5835" s="25"/>
      <c r="Z5835" s="25"/>
    </row>
    <row r="5836" spans="1:26" ht="15.75" customHeight="1" x14ac:dyDescent="0.25">
      <c r="A5836" s="25"/>
      <c r="B5836" s="49"/>
      <c r="C5836" s="50"/>
      <c r="D5836" s="23"/>
      <c r="E5836" s="23"/>
      <c r="F5836" s="15"/>
      <c r="G5836" s="23"/>
      <c r="H5836" s="15"/>
      <c r="I5836" s="15"/>
      <c r="J5836" s="51"/>
      <c r="K5836" s="15"/>
      <c r="L5836" s="51"/>
      <c r="M5836" s="15"/>
      <c r="N5836" s="23"/>
      <c r="O5836" s="23"/>
      <c r="P5836" s="15" t="str">
        <f t="shared" si="6"/>
        <v/>
      </c>
      <c r="Q5836" s="24"/>
      <c r="R5836" s="25"/>
      <c r="S5836" s="25"/>
      <c r="T5836" s="26"/>
      <c r="U5836" s="26"/>
      <c r="V5836" s="25"/>
      <c r="W5836" s="25"/>
      <c r="X5836" s="25"/>
      <c r="Y5836" s="25"/>
      <c r="Z5836" s="25"/>
    </row>
    <row r="5837" spans="1:26" ht="15.75" customHeight="1" x14ac:dyDescent="0.25">
      <c r="A5837" s="25"/>
      <c r="B5837" s="49"/>
      <c r="C5837" s="50"/>
      <c r="D5837" s="23"/>
      <c r="E5837" s="23"/>
      <c r="F5837" s="15"/>
      <c r="G5837" s="23"/>
      <c r="H5837" s="15"/>
      <c r="I5837" s="15"/>
      <c r="J5837" s="51"/>
      <c r="K5837" s="15"/>
      <c r="L5837" s="51"/>
      <c r="M5837" s="15"/>
      <c r="N5837" s="23"/>
      <c r="O5837" s="23"/>
      <c r="P5837" s="15" t="str">
        <f t="shared" si="6"/>
        <v/>
      </c>
      <c r="Q5837" s="24"/>
      <c r="R5837" s="25"/>
      <c r="S5837" s="25"/>
      <c r="T5837" s="26"/>
      <c r="U5837" s="26"/>
      <c r="V5837" s="25"/>
      <c r="W5837" s="25"/>
      <c r="X5837" s="25"/>
      <c r="Y5837" s="25"/>
      <c r="Z5837" s="25"/>
    </row>
    <row r="5838" spans="1:26" ht="15.75" customHeight="1" x14ac:dyDescent="0.25">
      <c r="A5838" s="25"/>
      <c r="B5838" s="49"/>
      <c r="C5838" s="50"/>
      <c r="D5838" s="23"/>
      <c r="E5838" s="23"/>
      <c r="F5838" s="15"/>
      <c r="G5838" s="23"/>
      <c r="H5838" s="15"/>
      <c r="I5838" s="15"/>
      <c r="J5838" s="51"/>
      <c r="K5838" s="15"/>
      <c r="L5838" s="51"/>
      <c r="M5838" s="15"/>
      <c r="N5838" s="23"/>
      <c r="O5838" s="23"/>
      <c r="P5838" s="15" t="str">
        <f t="shared" si="6"/>
        <v/>
      </c>
      <c r="Q5838" s="24"/>
      <c r="R5838" s="25"/>
      <c r="S5838" s="25"/>
      <c r="T5838" s="26"/>
      <c r="U5838" s="26"/>
      <c r="V5838" s="25"/>
      <c r="W5838" s="25"/>
      <c r="X5838" s="25"/>
      <c r="Y5838" s="25"/>
      <c r="Z5838" s="25"/>
    </row>
    <row r="5839" spans="1:26" ht="15.75" customHeight="1" x14ac:dyDescent="0.25">
      <c r="A5839" s="25"/>
      <c r="B5839" s="49"/>
      <c r="C5839" s="50"/>
      <c r="D5839" s="23"/>
      <c r="E5839" s="23"/>
      <c r="F5839" s="15"/>
      <c r="G5839" s="23"/>
      <c r="H5839" s="15"/>
      <c r="I5839" s="15"/>
      <c r="J5839" s="51"/>
      <c r="K5839" s="15"/>
      <c r="L5839" s="51"/>
      <c r="M5839" s="15"/>
      <c r="N5839" s="23"/>
      <c r="O5839" s="23"/>
      <c r="P5839" s="15" t="str">
        <f t="shared" si="6"/>
        <v/>
      </c>
      <c r="Q5839" s="24"/>
      <c r="R5839" s="25"/>
      <c r="S5839" s="25"/>
      <c r="T5839" s="26"/>
      <c r="U5839" s="26"/>
      <c r="V5839" s="25"/>
      <c r="W5839" s="25"/>
      <c r="X5839" s="25"/>
      <c r="Y5839" s="25"/>
      <c r="Z5839" s="25"/>
    </row>
    <row r="5840" spans="1:26" ht="15.75" customHeight="1" x14ac:dyDescent="0.25">
      <c r="A5840" s="25"/>
      <c r="B5840" s="49"/>
      <c r="C5840" s="50"/>
      <c r="D5840" s="23"/>
      <c r="E5840" s="23"/>
      <c r="F5840" s="15"/>
      <c r="G5840" s="23"/>
      <c r="H5840" s="15"/>
      <c r="I5840" s="15"/>
      <c r="J5840" s="51"/>
      <c r="K5840" s="15"/>
      <c r="L5840" s="51"/>
      <c r="M5840" s="15"/>
      <c r="N5840" s="23"/>
      <c r="O5840" s="23"/>
      <c r="P5840" s="15" t="str">
        <f t="shared" si="6"/>
        <v/>
      </c>
      <c r="Q5840" s="24"/>
      <c r="R5840" s="25"/>
      <c r="S5840" s="25"/>
      <c r="T5840" s="26"/>
      <c r="U5840" s="26"/>
      <c r="V5840" s="25"/>
      <c r="W5840" s="25"/>
      <c r="X5840" s="25"/>
      <c r="Y5840" s="25"/>
      <c r="Z5840" s="25"/>
    </row>
    <row r="5841" spans="1:26" ht="15.75" customHeight="1" x14ac:dyDescent="0.25">
      <c r="A5841" s="25"/>
      <c r="B5841" s="49"/>
      <c r="C5841" s="50"/>
      <c r="D5841" s="23"/>
      <c r="E5841" s="23"/>
      <c r="F5841" s="15"/>
      <c r="G5841" s="23"/>
      <c r="H5841" s="15"/>
      <c r="I5841" s="15"/>
      <c r="J5841" s="51"/>
      <c r="K5841" s="15"/>
      <c r="L5841" s="51"/>
      <c r="M5841" s="15"/>
      <c r="N5841" s="23"/>
      <c r="O5841" s="23"/>
      <c r="P5841" s="15" t="str">
        <f t="shared" si="6"/>
        <v/>
      </c>
      <c r="Q5841" s="24"/>
      <c r="R5841" s="25"/>
      <c r="S5841" s="25"/>
      <c r="T5841" s="26"/>
      <c r="U5841" s="26"/>
      <c r="V5841" s="25"/>
      <c r="W5841" s="25"/>
      <c r="X5841" s="25"/>
      <c r="Y5841" s="25"/>
      <c r="Z5841" s="25"/>
    </row>
    <row r="5842" spans="1:26" ht="15.75" customHeight="1" x14ac:dyDescent="0.25">
      <c r="A5842" s="25"/>
      <c r="B5842" s="49"/>
      <c r="C5842" s="50"/>
      <c r="D5842" s="23"/>
      <c r="E5842" s="23"/>
      <c r="F5842" s="15"/>
      <c r="G5842" s="23"/>
      <c r="H5842" s="15"/>
      <c r="I5842" s="15"/>
      <c r="J5842" s="51"/>
      <c r="K5842" s="15"/>
      <c r="L5842" s="51"/>
      <c r="M5842" s="15"/>
      <c r="N5842" s="23"/>
      <c r="O5842" s="23"/>
      <c r="P5842" s="15" t="str">
        <f t="shared" si="6"/>
        <v/>
      </c>
      <c r="Q5842" s="24"/>
      <c r="R5842" s="25"/>
      <c r="S5842" s="25"/>
      <c r="T5842" s="26"/>
      <c r="U5842" s="26"/>
      <c r="V5842" s="25"/>
      <c r="W5842" s="25"/>
      <c r="X5842" s="25"/>
      <c r="Y5842" s="25"/>
      <c r="Z5842" s="25"/>
    </row>
    <row r="5843" spans="1:26" ht="15.75" customHeight="1" x14ac:dyDescent="0.25">
      <c r="A5843" s="25"/>
      <c r="B5843" s="49"/>
      <c r="C5843" s="50"/>
      <c r="D5843" s="23"/>
      <c r="E5843" s="23"/>
      <c r="F5843" s="15"/>
      <c r="G5843" s="23"/>
      <c r="H5843" s="15"/>
      <c r="I5843" s="15"/>
      <c r="J5843" s="51"/>
      <c r="K5843" s="15"/>
      <c r="L5843" s="51"/>
      <c r="M5843" s="15"/>
      <c r="N5843" s="23"/>
      <c r="O5843" s="23"/>
      <c r="P5843" s="15" t="str">
        <f t="shared" si="6"/>
        <v/>
      </c>
      <c r="Q5843" s="24"/>
      <c r="R5843" s="25"/>
      <c r="S5843" s="25"/>
      <c r="T5843" s="26"/>
      <c r="U5843" s="26"/>
      <c r="V5843" s="25"/>
      <c r="W5843" s="25"/>
      <c r="X5843" s="25"/>
      <c r="Y5843" s="25"/>
      <c r="Z5843" s="25"/>
    </row>
    <row r="5844" spans="1:26" ht="15.75" customHeight="1" x14ac:dyDescent="0.25">
      <c r="A5844" s="25"/>
      <c r="B5844" s="49"/>
      <c r="C5844" s="50"/>
      <c r="D5844" s="23"/>
      <c r="E5844" s="23"/>
      <c r="F5844" s="15"/>
      <c r="G5844" s="23"/>
      <c r="H5844" s="15"/>
      <c r="I5844" s="15"/>
      <c r="J5844" s="51"/>
      <c r="K5844" s="15"/>
      <c r="L5844" s="51"/>
      <c r="M5844" s="15"/>
      <c r="N5844" s="23"/>
      <c r="O5844" s="23"/>
      <c r="P5844" s="15" t="str">
        <f t="shared" si="6"/>
        <v/>
      </c>
      <c r="Q5844" s="24"/>
      <c r="R5844" s="25"/>
      <c r="S5844" s="25"/>
      <c r="T5844" s="26"/>
      <c r="U5844" s="26"/>
      <c r="V5844" s="25"/>
      <c r="W5844" s="25"/>
      <c r="X5844" s="25"/>
      <c r="Y5844" s="25"/>
      <c r="Z5844" s="25"/>
    </row>
    <row r="5845" spans="1:26" ht="15.75" customHeight="1" x14ac:dyDescent="0.25">
      <c r="A5845" s="25"/>
      <c r="B5845" s="49"/>
      <c r="C5845" s="50"/>
      <c r="D5845" s="23"/>
      <c r="E5845" s="23"/>
      <c r="F5845" s="15"/>
      <c r="G5845" s="23"/>
      <c r="H5845" s="15"/>
      <c r="I5845" s="15"/>
      <c r="J5845" s="51"/>
      <c r="K5845" s="15"/>
      <c r="L5845" s="51"/>
      <c r="M5845" s="15"/>
      <c r="N5845" s="23"/>
      <c r="O5845" s="23"/>
      <c r="P5845" s="15" t="str">
        <f t="shared" si="6"/>
        <v/>
      </c>
      <c r="Q5845" s="24"/>
      <c r="R5845" s="25"/>
      <c r="S5845" s="25"/>
      <c r="T5845" s="26"/>
      <c r="U5845" s="26"/>
      <c r="V5845" s="25"/>
      <c r="W5845" s="25"/>
      <c r="X5845" s="25"/>
      <c r="Y5845" s="25"/>
      <c r="Z5845" s="25"/>
    </row>
    <row r="5846" spans="1:26" ht="15.75" customHeight="1" x14ac:dyDescent="0.25">
      <c r="A5846" s="25"/>
      <c r="B5846" s="49"/>
      <c r="C5846" s="50"/>
      <c r="D5846" s="23"/>
      <c r="E5846" s="23"/>
      <c r="F5846" s="15"/>
      <c r="G5846" s="23"/>
      <c r="H5846" s="15"/>
      <c r="I5846" s="15"/>
      <c r="J5846" s="51"/>
      <c r="K5846" s="15"/>
      <c r="L5846" s="51"/>
      <c r="M5846" s="15"/>
      <c r="N5846" s="23"/>
      <c r="O5846" s="23"/>
      <c r="P5846" s="15" t="str">
        <f t="shared" si="6"/>
        <v/>
      </c>
      <c r="Q5846" s="24"/>
      <c r="R5846" s="25"/>
      <c r="S5846" s="25"/>
      <c r="T5846" s="26"/>
      <c r="U5846" s="26"/>
      <c r="V5846" s="25"/>
      <c r="W5846" s="25"/>
      <c r="X5846" s="25"/>
      <c r="Y5846" s="25"/>
      <c r="Z5846" s="25"/>
    </row>
    <row r="5847" spans="1:26" ht="15.75" customHeight="1" x14ac:dyDescent="0.25">
      <c r="A5847" s="25"/>
      <c r="B5847" s="49"/>
      <c r="C5847" s="50"/>
      <c r="D5847" s="23"/>
      <c r="E5847" s="23"/>
      <c r="F5847" s="15"/>
      <c r="G5847" s="23"/>
      <c r="H5847" s="15"/>
      <c r="I5847" s="15"/>
      <c r="J5847" s="51"/>
      <c r="K5847" s="15"/>
      <c r="L5847" s="51"/>
      <c r="M5847" s="15"/>
      <c r="N5847" s="23"/>
      <c r="O5847" s="23"/>
      <c r="P5847" s="15" t="str">
        <f t="shared" si="6"/>
        <v/>
      </c>
      <c r="Q5847" s="24"/>
      <c r="R5847" s="25"/>
      <c r="S5847" s="25"/>
      <c r="T5847" s="26"/>
      <c r="U5847" s="26"/>
      <c r="V5847" s="25"/>
      <c r="W5847" s="25"/>
      <c r="X5847" s="25"/>
      <c r="Y5847" s="25"/>
      <c r="Z5847" s="25"/>
    </row>
    <row r="5848" spans="1:26" ht="15.75" customHeight="1" x14ac:dyDescent="0.25">
      <c r="A5848" s="25"/>
      <c r="B5848" s="49"/>
      <c r="C5848" s="50"/>
      <c r="D5848" s="23"/>
      <c r="E5848" s="23"/>
      <c r="F5848" s="15"/>
      <c r="G5848" s="23"/>
      <c r="H5848" s="15"/>
      <c r="I5848" s="15"/>
      <c r="J5848" s="51"/>
      <c r="K5848" s="15"/>
      <c r="L5848" s="51"/>
      <c r="M5848" s="15"/>
      <c r="N5848" s="23"/>
      <c r="O5848" s="23"/>
      <c r="P5848" s="15" t="str">
        <f t="shared" si="6"/>
        <v/>
      </c>
      <c r="Q5848" s="24"/>
      <c r="R5848" s="25"/>
      <c r="S5848" s="25"/>
      <c r="T5848" s="26"/>
      <c r="U5848" s="26"/>
      <c r="V5848" s="25"/>
      <c r="W5848" s="25"/>
      <c r="X5848" s="25"/>
      <c r="Y5848" s="25"/>
      <c r="Z5848" s="25"/>
    </row>
    <row r="5849" spans="1:26" ht="15.75" customHeight="1" x14ac:dyDescent="0.25">
      <c r="A5849" s="25"/>
      <c r="B5849" s="49"/>
      <c r="C5849" s="50"/>
      <c r="D5849" s="23"/>
      <c r="E5849" s="23"/>
      <c r="F5849" s="15"/>
      <c r="G5849" s="23"/>
      <c r="H5849" s="15"/>
      <c r="I5849" s="15"/>
      <c r="J5849" s="51"/>
      <c r="K5849" s="15"/>
      <c r="L5849" s="51"/>
      <c r="M5849" s="15"/>
      <c r="N5849" s="23"/>
      <c r="O5849" s="23"/>
      <c r="P5849" s="15" t="str">
        <f t="shared" si="6"/>
        <v/>
      </c>
      <c r="Q5849" s="24"/>
      <c r="R5849" s="25"/>
      <c r="S5849" s="25"/>
      <c r="T5849" s="26"/>
      <c r="U5849" s="26"/>
      <c r="V5849" s="25"/>
      <c r="W5849" s="25"/>
      <c r="X5849" s="25"/>
      <c r="Y5849" s="25"/>
      <c r="Z5849" s="25"/>
    </row>
    <row r="5850" spans="1:26" ht="15.75" customHeight="1" x14ac:dyDescent="0.25">
      <c r="A5850" s="25"/>
      <c r="B5850" s="49"/>
      <c r="C5850" s="50"/>
      <c r="D5850" s="23"/>
      <c r="E5850" s="23"/>
      <c r="F5850" s="15"/>
      <c r="G5850" s="23"/>
      <c r="H5850" s="15"/>
      <c r="I5850" s="15"/>
      <c r="J5850" s="51"/>
      <c r="K5850" s="15"/>
      <c r="L5850" s="51"/>
      <c r="M5850" s="15"/>
      <c r="N5850" s="23"/>
      <c r="O5850" s="23"/>
      <c r="P5850" s="15" t="str">
        <f t="shared" si="6"/>
        <v/>
      </c>
      <c r="Q5850" s="24"/>
      <c r="R5850" s="25"/>
      <c r="S5850" s="25"/>
      <c r="T5850" s="26"/>
      <c r="U5850" s="26"/>
      <c r="V5850" s="25"/>
      <c r="W5850" s="25"/>
      <c r="X5850" s="25"/>
      <c r="Y5850" s="25"/>
      <c r="Z5850" s="25"/>
    </row>
    <row r="5851" spans="1:26" ht="15.75" customHeight="1" x14ac:dyDescent="0.25">
      <c r="A5851" s="25"/>
      <c r="B5851" s="49"/>
      <c r="C5851" s="50"/>
      <c r="D5851" s="23"/>
      <c r="E5851" s="23"/>
      <c r="F5851" s="15"/>
      <c r="G5851" s="23"/>
      <c r="H5851" s="15"/>
      <c r="I5851" s="15"/>
      <c r="J5851" s="51"/>
      <c r="K5851" s="15"/>
      <c r="L5851" s="51"/>
      <c r="M5851" s="15"/>
      <c r="N5851" s="23"/>
      <c r="O5851" s="23"/>
      <c r="P5851" s="15" t="str">
        <f t="shared" si="6"/>
        <v/>
      </c>
      <c r="Q5851" s="24"/>
      <c r="R5851" s="25"/>
      <c r="S5851" s="25"/>
      <c r="T5851" s="26"/>
      <c r="U5851" s="26"/>
      <c r="V5851" s="25"/>
      <c r="W5851" s="25"/>
      <c r="X5851" s="25"/>
      <c r="Y5851" s="25"/>
      <c r="Z5851" s="25"/>
    </row>
    <row r="5852" spans="1:26" ht="15.75" customHeight="1" x14ac:dyDescent="0.25">
      <c r="A5852" s="25"/>
      <c r="B5852" s="49"/>
      <c r="C5852" s="50"/>
      <c r="D5852" s="23"/>
      <c r="E5852" s="23"/>
      <c r="F5852" s="15"/>
      <c r="G5852" s="23"/>
      <c r="H5852" s="15"/>
      <c r="I5852" s="15"/>
      <c r="J5852" s="51"/>
      <c r="K5852" s="15"/>
      <c r="L5852" s="51"/>
      <c r="M5852" s="15"/>
      <c r="N5852" s="23"/>
      <c r="O5852" s="23"/>
      <c r="P5852" s="15" t="str">
        <f t="shared" si="6"/>
        <v/>
      </c>
      <c r="Q5852" s="24"/>
      <c r="R5852" s="25"/>
      <c r="S5852" s="25"/>
      <c r="T5852" s="26"/>
      <c r="U5852" s="26"/>
      <c r="V5852" s="25"/>
      <c r="W5852" s="25"/>
      <c r="X5852" s="25"/>
      <c r="Y5852" s="25"/>
      <c r="Z5852" s="25"/>
    </row>
    <row r="5853" spans="1:26" ht="15.75" customHeight="1" x14ac:dyDescent="0.25">
      <c r="A5853" s="25"/>
      <c r="B5853" s="49"/>
      <c r="C5853" s="50"/>
      <c r="D5853" s="23"/>
      <c r="E5853" s="23"/>
      <c r="F5853" s="15"/>
      <c r="G5853" s="23"/>
      <c r="H5853" s="15"/>
      <c r="I5853" s="15"/>
      <c r="J5853" s="51"/>
      <c r="K5853" s="15"/>
      <c r="L5853" s="51"/>
      <c r="M5853" s="15"/>
      <c r="N5853" s="23"/>
      <c r="O5853" s="23"/>
      <c r="P5853" s="15" t="str">
        <f t="shared" si="6"/>
        <v/>
      </c>
      <c r="Q5853" s="24"/>
      <c r="R5853" s="25"/>
      <c r="S5853" s="25"/>
      <c r="T5853" s="26"/>
      <c r="U5853" s="26"/>
      <c r="V5853" s="25"/>
      <c r="W5853" s="25"/>
      <c r="X5853" s="25"/>
      <c r="Y5853" s="25"/>
      <c r="Z5853" s="25"/>
    </row>
    <row r="5854" spans="1:26" ht="15.75" customHeight="1" x14ac:dyDescent="0.25">
      <c r="A5854" s="25"/>
      <c r="B5854" s="49"/>
      <c r="C5854" s="50"/>
      <c r="D5854" s="23"/>
      <c r="E5854" s="23"/>
      <c r="F5854" s="15"/>
      <c r="G5854" s="23"/>
      <c r="H5854" s="15"/>
      <c r="I5854" s="15"/>
      <c r="J5854" s="51"/>
      <c r="K5854" s="15"/>
      <c r="L5854" s="51"/>
      <c r="M5854" s="15"/>
      <c r="N5854" s="23"/>
      <c r="O5854" s="23"/>
      <c r="P5854" s="15" t="str">
        <f t="shared" si="6"/>
        <v/>
      </c>
      <c r="Q5854" s="24"/>
      <c r="R5854" s="25"/>
      <c r="S5854" s="25"/>
      <c r="T5854" s="26"/>
      <c r="U5854" s="26"/>
      <c r="V5854" s="25"/>
      <c r="W5854" s="25"/>
      <c r="X5854" s="25"/>
      <c r="Y5854" s="25"/>
      <c r="Z5854" s="25"/>
    </row>
    <row r="5855" spans="1:26" ht="15.75" customHeight="1" x14ac:dyDescent="0.25">
      <c r="A5855" s="25"/>
      <c r="B5855" s="49"/>
      <c r="C5855" s="50"/>
      <c r="D5855" s="23"/>
      <c r="E5855" s="23"/>
      <c r="F5855" s="15"/>
      <c r="G5855" s="23"/>
      <c r="H5855" s="15"/>
      <c r="I5855" s="15"/>
      <c r="J5855" s="51"/>
      <c r="K5855" s="15"/>
      <c r="L5855" s="51"/>
      <c r="M5855" s="15"/>
      <c r="N5855" s="23"/>
      <c r="O5855" s="23"/>
      <c r="P5855" s="15" t="str">
        <f t="shared" si="6"/>
        <v/>
      </c>
      <c r="Q5855" s="24"/>
      <c r="R5855" s="25"/>
      <c r="S5855" s="25"/>
      <c r="T5855" s="26"/>
      <c r="U5855" s="26"/>
      <c r="V5855" s="25"/>
      <c r="W5855" s="25"/>
      <c r="X5855" s="25"/>
      <c r="Y5855" s="25"/>
      <c r="Z5855" s="25"/>
    </row>
    <row r="5856" spans="1:26" ht="15.75" customHeight="1" x14ac:dyDescent="0.25">
      <c r="A5856" s="25"/>
      <c r="B5856" s="49"/>
      <c r="C5856" s="50"/>
      <c r="D5856" s="23"/>
      <c r="E5856" s="23"/>
      <c r="F5856" s="15"/>
      <c r="G5856" s="23"/>
      <c r="H5856" s="15"/>
      <c r="I5856" s="15"/>
      <c r="J5856" s="51"/>
      <c r="K5856" s="15"/>
      <c r="L5856" s="51"/>
      <c r="M5856" s="15"/>
      <c r="N5856" s="23"/>
      <c r="O5856" s="23"/>
      <c r="P5856" s="15" t="str">
        <f t="shared" si="6"/>
        <v/>
      </c>
      <c r="Q5856" s="24"/>
      <c r="R5856" s="25"/>
      <c r="S5856" s="25"/>
      <c r="T5856" s="26"/>
      <c r="U5856" s="26"/>
      <c r="V5856" s="25"/>
      <c r="W5856" s="25"/>
      <c r="X5856" s="25"/>
      <c r="Y5856" s="25"/>
      <c r="Z5856" s="25"/>
    </row>
    <row r="5857" spans="1:26" ht="15.75" customHeight="1" x14ac:dyDescent="0.25">
      <c r="A5857" s="25"/>
      <c r="B5857" s="49"/>
      <c r="C5857" s="50"/>
      <c r="D5857" s="23"/>
      <c r="E5857" s="23"/>
      <c r="F5857" s="15"/>
      <c r="G5857" s="23"/>
      <c r="H5857" s="15"/>
      <c r="I5857" s="15"/>
      <c r="J5857" s="51"/>
      <c r="K5857" s="15"/>
      <c r="L5857" s="51"/>
      <c r="M5857" s="15"/>
      <c r="N5857" s="23"/>
      <c r="O5857" s="23"/>
      <c r="P5857" s="15" t="str">
        <f t="shared" si="6"/>
        <v/>
      </c>
      <c r="Q5857" s="24"/>
      <c r="R5857" s="25"/>
      <c r="S5857" s="25"/>
      <c r="T5857" s="26"/>
      <c r="U5857" s="26"/>
      <c r="V5857" s="25"/>
      <c r="W5857" s="25"/>
      <c r="X5857" s="25"/>
      <c r="Y5857" s="25"/>
      <c r="Z5857" s="25"/>
    </row>
    <row r="5858" spans="1:26" ht="15.75" customHeight="1" x14ac:dyDescent="0.25">
      <c r="A5858" s="25"/>
      <c r="B5858" s="49"/>
      <c r="C5858" s="50"/>
      <c r="D5858" s="23"/>
      <c r="E5858" s="23"/>
      <c r="F5858" s="15"/>
      <c r="G5858" s="23"/>
      <c r="H5858" s="15"/>
      <c r="I5858" s="15"/>
      <c r="J5858" s="51"/>
      <c r="K5858" s="15"/>
      <c r="L5858" s="51"/>
      <c r="M5858" s="15"/>
      <c r="N5858" s="23"/>
      <c r="O5858" s="23"/>
      <c r="P5858" s="15" t="str">
        <f t="shared" si="6"/>
        <v/>
      </c>
      <c r="Q5858" s="24"/>
      <c r="R5858" s="25"/>
      <c r="S5858" s="25"/>
      <c r="T5858" s="26"/>
      <c r="U5858" s="26"/>
      <c r="V5858" s="25"/>
      <c r="W5858" s="25"/>
      <c r="X5858" s="25"/>
      <c r="Y5858" s="25"/>
      <c r="Z5858" s="25"/>
    </row>
    <row r="5859" spans="1:26" ht="15.75" customHeight="1" x14ac:dyDescent="0.25">
      <c r="A5859" s="25"/>
      <c r="B5859" s="49"/>
      <c r="C5859" s="50"/>
      <c r="D5859" s="23"/>
      <c r="E5859" s="23"/>
      <c r="F5859" s="15"/>
      <c r="G5859" s="23"/>
      <c r="H5859" s="15"/>
      <c r="I5859" s="15"/>
      <c r="J5859" s="51"/>
      <c r="K5859" s="15"/>
      <c r="L5859" s="51"/>
      <c r="M5859" s="15"/>
      <c r="N5859" s="23"/>
      <c r="O5859" s="23"/>
      <c r="P5859" s="15" t="str">
        <f t="shared" si="6"/>
        <v/>
      </c>
      <c r="Q5859" s="24"/>
      <c r="R5859" s="25"/>
      <c r="S5859" s="25"/>
      <c r="T5859" s="26"/>
      <c r="U5859" s="26"/>
      <c r="V5859" s="25"/>
      <c r="W5859" s="25"/>
      <c r="X5859" s="25"/>
      <c r="Y5859" s="25"/>
      <c r="Z5859" s="25"/>
    </row>
    <row r="5860" spans="1:26" ht="15.75" customHeight="1" x14ac:dyDescent="0.25">
      <c r="A5860" s="25"/>
      <c r="B5860" s="49"/>
      <c r="C5860" s="50"/>
      <c r="D5860" s="23"/>
      <c r="E5860" s="23"/>
      <c r="F5860" s="15"/>
      <c r="G5860" s="23"/>
      <c r="H5860" s="15"/>
      <c r="I5860" s="15"/>
      <c r="J5860" s="51"/>
      <c r="K5860" s="15"/>
      <c r="L5860" s="51"/>
      <c r="M5860" s="15"/>
      <c r="N5860" s="23"/>
      <c r="O5860" s="23"/>
      <c r="P5860" s="15" t="str">
        <f t="shared" si="6"/>
        <v/>
      </c>
      <c r="Q5860" s="24"/>
      <c r="R5860" s="25"/>
      <c r="S5860" s="25"/>
      <c r="T5860" s="26"/>
      <c r="U5860" s="26"/>
      <c r="V5860" s="25"/>
      <c r="W5860" s="25"/>
      <c r="X5860" s="25"/>
      <c r="Y5860" s="25"/>
      <c r="Z5860" s="25"/>
    </row>
    <row r="5861" spans="1:26" ht="15.75" customHeight="1" x14ac:dyDescent="0.25">
      <c r="A5861" s="25"/>
      <c r="B5861" s="49"/>
      <c r="C5861" s="50"/>
      <c r="D5861" s="23"/>
      <c r="E5861" s="23"/>
      <c r="F5861" s="15"/>
      <c r="G5861" s="23"/>
      <c r="H5861" s="15"/>
      <c r="I5861" s="15"/>
      <c r="J5861" s="51"/>
      <c r="K5861" s="15"/>
      <c r="L5861" s="51"/>
      <c r="M5861" s="15"/>
      <c r="N5861" s="23"/>
      <c r="O5861" s="23"/>
      <c r="P5861" s="15" t="str">
        <f t="shared" si="6"/>
        <v/>
      </c>
      <c r="Q5861" s="24"/>
      <c r="R5861" s="25"/>
      <c r="S5861" s="25"/>
      <c r="T5861" s="26"/>
      <c r="U5861" s="26"/>
      <c r="V5861" s="25"/>
      <c r="W5861" s="25"/>
      <c r="X5861" s="25"/>
      <c r="Y5861" s="25"/>
      <c r="Z5861" s="25"/>
    </row>
    <row r="5862" spans="1:26" ht="15.75" customHeight="1" x14ac:dyDescent="0.25">
      <c r="A5862" s="25"/>
      <c r="B5862" s="49"/>
      <c r="C5862" s="50"/>
      <c r="D5862" s="23"/>
      <c r="E5862" s="23"/>
      <c r="F5862" s="15"/>
      <c r="G5862" s="23"/>
      <c r="H5862" s="15"/>
      <c r="I5862" s="15"/>
      <c r="J5862" s="51"/>
      <c r="K5862" s="15"/>
      <c r="L5862" s="51"/>
      <c r="M5862" s="15"/>
      <c r="N5862" s="23"/>
      <c r="O5862" s="23"/>
      <c r="P5862" s="15" t="str">
        <f t="shared" si="6"/>
        <v/>
      </c>
      <c r="Q5862" s="24"/>
      <c r="R5862" s="25"/>
      <c r="S5862" s="25"/>
      <c r="T5862" s="26"/>
      <c r="U5862" s="26"/>
      <c r="V5862" s="25"/>
      <c r="W5862" s="25"/>
      <c r="X5862" s="25"/>
      <c r="Y5862" s="25"/>
      <c r="Z5862" s="25"/>
    </row>
    <row r="5863" spans="1:26" ht="15.75" customHeight="1" x14ac:dyDescent="0.25">
      <c r="A5863" s="25"/>
      <c r="B5863" s="49"/>
      <c r="C5863" s="50"/>
      <c r="D5863" s="23"/>
      <c r="E5863" s="23"/>
      <c r="F5863" s="15"/>
      <c r="G5863" s="23"/>
      <c r="H5863" s="15"/>
      <c r="I5863" s="15"/>
      <c r="J5863" s="51"/>
      <c r="K5863" s="15"/>
      <c r="L5863" s="51"/>
      <c r="M5863" s="15"/>
      <c r="N5863" s="23"/>
      <c r="O5863" s="23"/>
      <c r="P5863" s="15" t="str">
        <f t="shared" si="6"/>
        <v/>
      </c>
      <c r="Q5863" s="24"/>
      <c r="R5863" s="25"/>
      <c r="S5863" s="25"/>
      <c r="T5863" s="26"/>
      <c r="U5863" s="26"/>
      <c r="V5863" s="25"/>
      <c r="W5863" s="25"/>
      <c r="X5863" s="25"/>
      <c r="Y5863" s="25"/>
      <c r="Z5863" s="25"/>
    </row>
    <row r="5864" spans="1:26" ht="15.75" customHeight="1" x14ac:dyDescent="0.25">
      <c r="A5864" s="25"/>
      <c r="B5864" s="49"/>
      <c r="C5864" s="50"/>
      <c r="D5864" s="23"/>
      <c r="E5864" s="23"/>
      <c r="F5864" s="15"/>
      <c r="G5864" s="23"/>
      <c r="H5864" s="15"/>
      <c r="I5864" s="15"/>
      <c r="J5864" s="51"/>
      <c r="K5864" s="15"/>
      <c r="L5864" s="51"/>
      <c r="M5864" s="15"/>
      <c r="N5864" s="23"/>
      <c r="O5864" s="23"/>
      <c r="P5864" s="15" t="str">
        <f t="shared" si="6"/>
        <v/>
      </c>
      <c r="Q5864" s="24"/>
      <c r="R5864" s="25"/>
      <c r="S5864" s="25"/>
      <c r="T5864" s="26"/>
      <c r="U5864" s="26"/>
      <c r="V5864" s="25"/>
      <c r="W5864" s="25"/>
      <c r="X5864" s="25"/>
      <c r="Y5864" s="25"/>
      <c r="Z5864" s="25"/>
    </row>
    <row r="5865" spans="1:26" ht="15.75" customHeight="1" x14ac:dyDescent="0.25">
      <c r="A5865" s="25"/>
      <c r="B5865" s="49"/>
      <c r="C5865" s="50"/>
      <c r="D5865" s="23"/>
      <c r="E5865" s="23"/>
      <c r="F5865" s="15"/>
      <c r="G5865" s="23"/>
      <c r="H5865" s="15"/>
      <c r="I5865" s="15"/>
      <c r="J5865" s="51"/>
      <c r="K5865" s="15"/>
      <c r="L5865" s="51"/>
      <c r="M5865" s="15"/>
      <c r="N5865" s="23"/>
      <c r="O5865" s="23"/>
      <c r="P5865" s="15" t="str">
        <f t="shared" si="6"/>
        <v/>
      </c>
      <c r="Q5865" s="24"/>
      <c r="R5865" s="25"/>
      <c r="S5865" s="25"/>
      <c r="T5865" s="26"/>
      <c r="U5865" s="26"/>
      <c r="V5865" s="25"/>
      <c r="W5865" s="25"/>
      <c r="X5865" s="25"/>
      <c r="Y5865" s="25"/>
      <c r="Z5865" s="25"/>
    </row>
    <row r="5866" spans="1:26" ht="15.75" customHeight="1" x14ac:dyDescent="0.25">
      <c r="A5866" s="25"/>
      <c r="B5866" s="49"/>
      <c r="C5866" s="50"/>
      <c r="D5866" s="23"/>
      <c r="E5866" s="23"/>
      <c r="F5866" s="15"/>
      <c r="G5866" s="23"/>
      <c r="H5866" s="15"/>
      <c r="I5866" s="15"/>
      <c r="J5866" s="51"/>
      <c r="K5866" s="15"/>
      <c r="L5866" s="51"/>
      <c r="M5866" s="15"/>
      <c r="N5866" s="23"/>
      <c r="O5866" s="23"/>
      <c r="P5866" s="15" t="str">
        <f t="shared" si="6"/>
        <v/>
      </c>
      <c r="Q5866" s="24"/>
      <c r="R5866" s="25"/>
      <c r="S5866" s="25"/>
      <c r="T5866" s="26"/>
      <c r="U5866" s="26"/>
      <c r="V5866" s="25"/>
      <c r="W5866" s="25"/>
      <c r="X5866" s="25"/>
      <c r="Y5866" s="25"/>
      <c r="Z5866" s="25"/>
    </row>
    <row r="5867" spans="1:26" ht="15.75" customHeight="1" x14ac:dyDescent="0.25">
      <c r="A5867" s="25"/>
      <c r="B5867" s="49"/>
      <c r="C5867" s="50"/>
      <c r="D5867" s="23"/>
      <c r="E5867" s="23"/>
      <c r="F5867" s="15"/>
      <c r="G5867" s="23"/>
      <c r="H5867" s="15"/>
      <c r="I5867" s="15"/>
      <c r="J5867" s="51"/>
      <c r="K5867" s="15"/>
      <c r="L5867" s="51"/>
      <c r="M5867" s="15"/>
      <c r="N5867" s="23"/>
      <c r="O5867" s="23"/>
      <c r="P5867" s="15" t="str">
        <f t="shared" si="6"/>
        <v/>
      </c>
      <c r="Q5867" s="24"/>
      <c r="R5867" s="25"/>
      <c r="S5867" s="25"/>
      <c r="T5867" s="26"/>
      <c r="U5867" s="26"/>
      <c r="V5867" s="25"/>
      <c r="W5867" s="25"/>
      <c r="X5867" s="25"/>
      <c r="Y5867" s="25"/>
      <c r="Z5867" s="25"/>
    </row>
    <row r="5868" spans="1:26" ht="15.75" customHeight="1" x14ac:dyDescent="0.25">
      <c r="A5868" s="25"/>
      <c r="B5868" s="49"/>
      <c r="C5868" s="50"/>
      <c r="D5868" s="23"/>
      <c r="E5868" s="23"/>
      <c r="F5868" s="15"/>
      <c r="G5868" s="23"/>
      <c r="H5868" s="15"/>
      <c r="I5868" s="15"/>
      <c r="J5868" s="51"/>
      <c r="K5868" s="15"/>
      <c r="L5868" s="51"/>
      <c r="M5868" s="15"/>
      <c r="N5868" s="23"/>
      <c r="O5868" s="23"/>
      <c r="P5868" s="15" t="str">
        <f t="shared" si="6"/>
        <v/>
      </c>
      <c r="Q5868" s="24"/>
      <c r="R5868" s="25"/>
      <c r="S5868" s="25"/>
      <c r="T5868" s="26"/>
      <c r="U5868" s="26"/>
      <c r="V5868" s="25"/>
      <c r="W5868" s="25"/>
      <c r="X5868" s="25"/>
      <c r="Y5868" s="25"/>
      <c r="Z5868" s="25"/>
    </row>
    <row r="5869" spans="1:26" ht="15.75" customHeight="1" x14ac:dyDescent="0.25">
      <c r="A5869" s="25"/>
      <c r="B5869" s="49"/>
      <c r="C5869" s="50"/>
      <c r="D5869" s="23"/>
      <c r="E5869" s="23"/>
      <c r="F5869" s="15"/>
      <c r="G5869" s="23"/>
      <c r="H5869" s="15"/>
      <c r="I5869" s="15"/>
      <c r="J5869" s="51"/>
      <c r="K5869" s="15"/>
      <c r="L5869" s="51"/>
      <c r="M5869" s="15"/>
      <c r="N5869" s="23"/>
      <c r="O5869" s="23"/>
      <c r="P5869" s="15" t="str">
        <f t="shared" si="6"/>
        <v/>
      </c>
      <c r="Q5869" s="24"/>
      <c r="R5869" s="25"/>
      <c r="S5869" s="25"/>
      <c r="T5869" s="26"/>
      <c r="U5869" s="26"/>
      <c r="V5869" s="25"/>
      <c r="W5869" s="25"/>
      <c r="X5869" s="25"/>
      <c r="Y5869" s="25"/>
      <c r="Z5869" s="25"/>
    </row>
    <row r="5870" spans="1:26" ht="15.75" customHeight="1" x14ac:dyDescent="0.25">
      <c r="A5870" s="25"/>
      <c r="B5870" s="49"/>
      <c r="C5870" s="50"/>
      <c r="D5870" s="23"/>
      <c r="E5870" s="23"/>
      <c r="F5870" s="15"/>
      <c r="G5870" s="23"/>
      <c r="H5870" s="15"/>
      <c r="I5870" s="15"/>
      <c r="J5870" s="51"/>
      <c r="K5870" s="15"/>
      <c r="L5870" s="51"/>
      <c r="M5870" s="15"/>
      <c r="N5870" s="23"/>
      <c r="O5870" s="23"/>
      <c r="P5870" s="15" t="str">
        <f t="shared" si="6"/>
        <v/>
      </c>
      <c r="Q5870" s="24"/>
      <c r="R5870" s="25"/>
      <c r="S5870" s="25"/>
      <c r="T5870" s="26"/>
      <c r="U5870" s="26"/>
      <c r="V5870" s="25"/>
      <c r="W5870" s="25"/>
      <c r="X5870" s="25"/>
      <c r="Y5870" s="25"/>
      <c r="Z5870" s="25"/>
    </row>
    <row r="5871" spans="1:26" ht="15.75" customHeight="1" x14ac:dyDescent="0.25">
      <c r="A5871" s="25"/>
      <c r="B5871" s="49"/>
      <c r="C5871" s="50"/>
      <c r="D5871" s="23"/>
      <c r="E5871" s="23"/>
      <c r="F5871" s="15"/>
      <c r="G5871" s="23"/>
      <c r="H5871" s="15"/>
      <c r="I5871" s="15"/>
      <c r="J5871" s="51"/>
      <c r="K5871" s="15"/>
      <c r="L5871" s="51"/>
      <c r="M5871" s="15"/>
      <c r="N5871" s="23"/>
      <c r="O5871" s="23"/>
      <c r="P5871" s="15" t="str">
        <f t="shared" si="6"/>
        <v/>
      </c>
      <c r="Q5871" s="24"/>
      <c r="R5871" s="25"/>
      <c r="S5871" s="25"/>
      <c r="T5871" s="26"/>
      <c r="U5871" s="26"/>
      <c r="V5871" s="25"/>
      <c r="W5871" s="25"/>
      <c r="X5871" s="25"/>
      <c r="Y5871" s="25"/>
      <c r="Z5871" s="25"/>
    </row>
    <row r="5872" spans="1:26" ht="15.75" customHeight="1" x14ac:dyDescent="0.25">
      <c r="A5872" s="25"/>
      <c r="B5872" s="49"/>
      <c r="C5872" s="50"/>
      <c r="D5872" s="23"/>
      <c r="E5872" s="23"/>
      <c r="F5872" s="15"/>
      <c r="G5872" s="23"/>
      <c r="H5872" s="15"/>
      <c r="I5872" s="15"/>
      <c r="J5872" s="51"/>
      <c r="K5872" s="15"/>
      <c r="L5872" s="51"/>
      <c r="M5872" s="15"/>
      <c r="N5872" s="23"/>
      <c r="O5872" s="23"/>
      <c r="P5872" s="15" t="str">
        <f t="shared" si="6"/>
        <v/>
      </c>
      <c r="Q5872" s="24"/>
      <c r="R5872" s="25"/>
      <c r="S5872" s="25"/>
      <c r="T5872" s="26"/>
      <c r="U5872" s="26"/>
      <c r="V5872" s="25"/>
      <c r="W5872" s="25"/>
      <c r="X5872" s="25"/>
      <c r="Y5872" s="25"/>
      <c r="Z5872" s="25"/>
    </row>
    <row r="5873" spans="1:26" ht="15.75" customHeight="1" x14ac:dyDescent="0.25">
      <c r="A5873" s="25"/>
      <c r="B5873" s="49"/>
      <c r="C5873" s="50"/>
      <c r="D5873" s="23"/>
      <c r="E5873" s="23"/>
      <c r="F5873" s="15"/>
      <c r="G5873" s="23"/>
      <c r="H5873" s="15"/>
      <c r="I5873" s="15"/>
      <c r="J5873" s="51"/>
      <c r="K5873" s="15"/>
      <c r="L5873" s="51"/>
      <c r="M5873" s="15"/>
      <c r="N5873" s="23"/>
      <c r="O5873" s="23"/>
      <c r="P5873" s="15" t="str">
        <f t="shared" si="6"/>
        <v/>
      </c>
      <c r="Q5873" s="24"/>
      <c r="R5873" s="25"/>
      <c r="S5873" s="25"/>
      <c r="T5873" s="26"/>
      <c r="U5873" s="26"/>
      <c r="V5873" s="25"/>
      <c r="W5873" s="25"/>
      <c r="X5873" s="25"/>
      <c r="Y5873" s="25"/>
      <c r="Z5873" s="25"/>
    </row>
    <row r="5874" spans="1:26" ht="15.75" customHeight="1" x14ac:dyDescent="0.25">
      <c r="A5874" s="25"/>
      <c r="B5874" s="49"/>
      <c r="C5874" s="50"/>
      <c r="D5874" s="23"/>
      <c r="E5874" s="23"/>
      <c r="F5874" s="15"/>
      <c r="G5874" s="23"/>
      <c r="H5874" s="15"/>
      <c r="I5874" s="15"/>
      <c r="J5874" s="51"/>
      <c r="K5874" s="15"/>
      <c r="L5874" s="51"/>
      <c r="M5874" s="15"/>
      <c r="N5874" s="23"/>
      <c r="O5874" s="23"/>
      <c r="P5874" s="15" t="str">
        <f t="shared" si="6"/>
        <v/>
      </c>
      <c r="Q5874" s="24"/>
      <c r="R5874" s="25"/>
      <c r="S5874" s="25"/>
      <c r="T5874" s="26"/>
      <c r="U5874" s="26"/>
      <c r="V5874" s="25"/>
      <c r="W5874" s="25"/>
      <c r="X5874" s="25"/>
      <c r="Y5874" s="25"/>
      <c r="Z5874" s="25"/>
    </row>
    <row r="5875" spans="1:26" ht="15.75" customHeight="1" x14ac:dyDescent="0.25">
      <c r="A5875" s="25"/>
      <c r="B5875" s="49"/>
      <c r="C5875" s="50"/>
      <c r="D5875" s="23"/>
      <c r="E5875" s="23"/>
      <c r="F5875" s="15"/>
      <c r="G5875" s="23"/>
      <c r="H5875" s="15"/>
      <c r="I5875" s="15"/>
      <c r="J5875" s="51"/>
      <c r="K5875" s="15"/>
      <c r="L5875" s="51"/>
      <c r="M5875" s="15"/>
      <c r="N5875" s="23"/>
      <c r="O5875" s="23"/>
      <c r="P5875" s="15" t="str">
        <f t="shared" si="6"/>
        <v/>
      </c>
      <c r="Q5875" s="24"/>
      <c r="R5875" s="25"/>
      <c r="S5875" s="25"/>
      <c r="T5875" s="26"/>
      <c r="U5875" s="26"/>
      <c r="V5875" s="25"/>
      <c r="W5875" s="25"/>
      <c r="X5875" s="25"/>
      <c r="Y5875" s="25"/>
      <c r="Z5875" s="25"/>
    </row>
    <row r="5876" spans="1:26" ht="15.75" customHeight="1" x14ac:dyDescent="0.25">
      <c r="A5876" s="25"/>
      <c r="B5876" s="49"/>
      <c r="C5876" s="50"/>
      <c r="D5876" s="23"/>
      <c r="E5876" s="23"/>
      <c r="F5876" s="15"/>
      <c r="G5876" s="23"/>
      <c r="H5876" s="15"/>
      <c r="I5876" s="15"/>
      <c r="J5876" s="51"/>
      <c r="K5876" s="15"/>
      <c r="L5876" s="51"/>
      <c r="M5876" s="15"/>
      <c r="N5876" s="23"/>
      <c r="O5876" s="23"/>
      <c r="P5876" s="15" t="str">
        <f t="shared" si="6"/>
        <v/>
      </c>
      <c r="Q5876" s="24"/>
      <c r="R5876" s="25"/>
      <c r="S5876" s="25"/>
      <c r="T5876" s="26"/>
      <c r="U5876" s="26"/>
      <c r="V5876" s="25"/>
      <c r="W5876" s="25"/>
      <c r="X5876" s="25"/>
      <c r="Y5876" s="25"/>
      <c r="Z5876" s="25"/>
    </row>
    <row r="5877" spans="1:26" ht="15.75" customHeight="1" x14ac:dyDescent="0.25">
      <c r="A5877" s="25"/>
      <c r="B5877" s="49"/>
      <c r="C5877" s="50"/>
      <c r="D5877" s="23"/>
      <c r="E5877" s="23"/>
      <c r="F5877" s="15"/>
      <c r="G5877" s="23"/>
      <c r="H5877" s="15"/>
      <c r="I5877" s="15"/>
      <c r="J5877" s="51"/>
      <c r="K5877" s="15"/>
      <c r="L5877" s="51"/>
      <c r="M5877" s="15"/>
      <c r="N5877" s="23"/>
      <c r="O5877" s="23"/>
      <c r="P5877" s="15" t="str">
        <f t="shared" si="6"/>
        <v/>
      </c>
      <c r="Q5877" s="24"/>
      <c r="R5877" s="25"/>
      <c r="S5877" s="25"/>
      <c r="T5877" s="26"/>
      <c r="U5877" s="26"/>
      <c r="V5877" s="25"/>
      <c r="W5877" s="25"/>
      <c r="X5877" s="25"/>
      <c r="Y5877" s="25"/>
      <c r="Z5877" s="25"/>
    </row>
    <row r="5878" spans="1:26" ht="15.75" customHeight="1" x14ac:dyDescent="0.25">
      <c r="A5878" s="25"/>
      <c r="B5878" s="49"/>
      <c r="C5878" s="50"/>
      <c r="D5878" s="23"/>
      <c r="E5878" s="23"/>
      <c r="F5878" s="15"/>
      <c r="G5878" s="23"/>
      <c r="H5878" s="15"/>
      <c r="I5878" s="15"/>
      <c r="J5878" s="51"/>
      <c r="K5878" s="15"/>
      <c r="L5878" s="51"/>
      <c r="M5878" s="15"/>
      <c r="N5878" s="23"/>
      <c r="O5878" s="23"/>
      <c r="P5878" s="15" t="str">
        <f t="shared" si="6"/>
        <v/>
      </c>
      <c r="Q5878" s="24"/>
      <c r="R5878" s="25"/>
      <c r="S5878" s="25"/>
      <c r="T5878" s="26"/>
      <c r="U5878" s="26"/>
      <c r="V5878" s="25"/>
      <c r="W5878" s="25"/>
      <c r="X5878" s="25"/>
      <c r="Y5878" s="25"/>
      <c r="Z5878" s="25"/>
    </row>
    <row r="5879" spans="1:26" ht="15.75" customHeight="1" x14ac:dyDescent="0.25">
      <c r="A5879" s="25"/>
      <c r="B5879" s="49"/>
      <c r="C5879" s="50"/>
      <c r="D5879" s="23"/>
      <c r="E5879" s="23"/>
      <c r="F5879" s="15"/>
      <c r="G5879" s="23"/>
      <c r="H5879" s="15"/>
      <c r="I5879" s="15"/>
      <c r="J5879" s="51"/>
      <c r="K5879" s="15"/>
      <c r="L5879" s="51"/>
      <c r="M5879" s="15"/>
      <c r="N5879" s="23"/>
      <c r="O5879" s="23"/>
      <c r="P5879" s="15" t="str">
        <f t="shared" si="6"/>
        <v/>
      </c>
      <c r="Q5879" s="24"/>
      <c r="R5879" s="25"/>
      <c r="S5879" s="25"/>
      <c r="T5879" s="26"/>
      <c r="U5879" s="26"/>
      <c r="V5879" s="25"/>
      <c r="W5879" s="25"/>
      <c r="X5879" s="25"/>
      <c r="Y5879" s="25"/>
      <c r="Z5879" s="25"/>
    </row>
    <row r="5880" spans="1:26" ht="15.75" customHeight="1" x14ac:dyDescent="0.25">
      <c r="A5880" s="25"/>
      <c r="B5880" s="49"/>
      <c r="C5880" s="50"/>
      <c r="D5880" s="23"/>
      <c r="E5880" s="23"/>
      <c r="F5880" s="15"/>
      <c r="G5880" s="23"/>
      <c r="H5880" s="15"/>
      <c r="I5880" s="15"/>
      <c r="J5880" s="51"/>
      <c r="K5880" s="15"/>
      <c r="L5880" s="51"/>
      <c r="M5880" s="15"/>
      <c r="N5880" s="23"/>
      <c r="O5880" s="23"/>
      <c r="P5880" s="15" t="str">
        <f t="shared" si="6"/>
        <v/>
      </c>
      <c r="Q5880" s="24"/>
      <c r="R5880" s="25"/>
      <c r="S5880" s="25"/>
      <c r="T5880" s="26"/>
      <c r="U5880" s="26"/>
      <c r="V5880" s="25"/>
      <c r="W5880" s="25"/>
      <c r="X5880" s="25"/>
      <c r="Y5880" s="25"/>
      <c r="Z5880" s="25"/>
    </row>
    <row r="5881" spans="1:26" ht="15.75" customHeight="1" x14ac:dyDescent="0.25">
      <c r="A5881" s="25"/>
      <c r="B5881" s="49"/>
      <c r="C5881" s="50"/>
      <c r="D5881" s="23"/>
      <c r="E5881" s="23"/>
      <c r="F5881" s="15"/>
      <c r="G5881" s="23"/>
      <c r="H5881" s="15"/>
      <c r="I5881" s="15"/>
      <c r="J5881" s="51"/>
      <c r="K5881" s="15"/>
      <c r="L5881" s="51"/>
      <c r="M5881" s="15"/>
      <c r="N5881" s="23"/>
      <c r="O5881" s="23"/>
      <c r="P5881" s="15" t="str">
        <f t="shared" si="6"/>
        <v/>
      </c>
      <c r="Q5881" s="24"/>
      <c r="R5881" s="25"/>
      <c r="S5881" s="25"/>
      <c r="T5881" s="26"/>
      <c r="U5881" s="26"/>
      <c r="V5881" s="25"/>
      <c r="W5881" s="25"/>
      <c r="X5881" s="25"/>
      <c r="Y5881" s="25"/>
      <c r="Z5881" s="25"/>
    </row>
    <row r="5882" spans="1:26" ht="15.75" customHeight="1" x14ac:dyDescent="0.25">
      <c r="A5882" s="25"/>
      <c r="B5882" s="49"/>
      <c r="C5882" s="50"/>
      <c r="D5882" s="23"/>
      <c r="E5882" s="23"/>
      <c r="F5882" s="15"/>
      <c r="G5882" s="23"/>
      <c r="H5882" s="15"/>
      <c r="I5882" s="15"/>
      <c r="J5882" s="51"/>
      <c r="K5882" s="15"/>
      <c r="L5882" s="51"/>
      <c r="M5882" s="15"/>
      <c r="N5882" s="23"/>
      <c r="O5882" s="23"/>
      <c r="P5882" s="15" t="str">
        <f t="shared" si="6"/>
        <v/>
      </c>
      <c r="Q5882" s="24"/>
      <c r="R5882" s="25"/>
      <c r="S5882" s="25"/>
      <c r="T5882" s="26"/>
      <c r="U5882" s="26"/>
      <c r="V5882" s="25"/>
      <c r="W5882" s="25"/>
      <c r="X5882" s="25"/>
      <c r="Y5882" s="25"/>
      <c r="Z5882" s="25"/>
    </row>
    <row r="5883" spans="1:26" ht="15.75" customHeight="1" x14ac:dyDescent="0.25">
      <c r="A5883" s="25"/>
      <c r="B5883" s="49"/>
      <c r="C5883" s="50"/>
      <c r="D5883" s="23"/>
      <c r="E5883" s="23"/>
      <c r="F5883" s="15"/>
      <c r="G5883" s="23"/>
      <c r="H5883" s="15"/>
      <c r="I5883" s="15"/>
      <c r="J5883" s="51"/>
      <c r="K5883" s="15"/>
      <c r="L5883" s="51"/>
      <c r="M5883" s="15"/>
      <c r="N5883" s="23"/>
      <c r="O5883" s="23"/>
      <c r="P5883" s="15" t="str">
        <f t="shared" si="6"/>
        <v/>
      </c>
      <c r="Q5883" s="24"/>
      <c r="R5883" s="25"/>
      <c r="S5883" s="25"/>
      <c r="T5883" s="26"/>
      <c r="U5883" s="26"/>
      <c r="V5883" s="25"/>
      <c r="W5883" s="25"/>
      <c r="X5883" s="25"/>
      <c r="Y5883" s="25"/>
      <c r="Z5883" s="25"/>
    </row>
    <row r="5884" spans="1:26" ht="15.75" customHeight="1" x14ac:dyDescent="0.25">
      <c r="A5884" s="25"/>
      <c r="B5884" s="49"/>
      <c r="C5884" s="50"/>
      <c r="D5884" s="23"/>
      <c r="E5884" s="23"/>
      <c r="F5884" s="15"/>
      <c r="G5884" s="23"/>
      <c r="H5884" s="15"/>
      <c r="I5884" s="15"/>
      <c r="J5884" s="51"/>
      <c r="K5884" s="15"/>
      <c r="L5884" s="51"/>
      <c r="M5884" s="15"/>
      <c r="N5884" s="23"/>
      <c r="O5884" s="23"/>
      <c r="P5884" s="15" t="str">
        <f t="shared" si="6"/>
        <v/>
      </c>
      <c r="Q5884" s="24"/>
      <c r="R5884" s="25"/>
      <c r="S5884" s="25"/>
      <c r="T5884" s="26"/>
      <c r="U5884" s="26"/>
      <c r="V5884" s="25"/>
      <c r="W5884" s="25"/>
      <c r="X5884" s="25"/>
      <c r="Y5884" s="25"/>
      <c r="Z5884" s="25"/>
    </row>
    <row r="5885" spans="1:26" ht="15.75" customHeight="1" x14ac:dyDescent="0.25">
      <c r="A5885" s="25"/>
      <c r="B5885" s="49"/>
      <c r="C5885" s="50"/>
      <c r="D5885" s="23"/>
      <c r="E5885" s="23"/>
      <c r="F5885" s="15"/>
      <c r="G5885" s="23"/>
      <c r="H5885" s="15"/>
      <c r="I5885" s="15"/>
      <c r="J5885" s="51"/>
      <c r="K5885" s="15"/>
      <c r="L5885" s="51"/>
      <c r="M5885" s="15"/>
      <c r="N5885" s="23"/>
      <c r="O5885" s="23"/>
      <c r="P5885" s="15" t="str">
        <f t="shared" si="6"/>
        <v/>
      </c>
      <c r="Q5885" s="24"/>
      <c r="R5885" s="25"/>
      <c r="S5885" s="25"/>
      <c r="T5885" s="26"/>
      <c r="U5885" s="26"/>
      <c r="V5885" s="25"/>
      <c r="W5885" s="25"/>
      <c r="X5885" s="25"/>
      <c r="Y5885" s="25"/>
      <c r="Z5885" s="25"/>
    </row>
    <row r="5886" spans="1:26" ht="15.75" customHeight="1" x14ac:dyDescent="0.25">
      <c r="A5886" s="25"/>
      <c r="B5886" s="49"/>
      <c r="C5886" s="50"/>
      <c r="D5886" s="23"/>
      <c r="E5886" s="23"/>
      <c r="F5886" s="15"/>
      <c r="G5886" s="23"/>
      <c r="H5886" s="15"/>
      <c r="I5886" s="15"/>
      <c r="J5886" s="51"/>
      <c r="K5886" s="15"/>
      <c r="L5886" s="51"/>
      <c r="M5886" s="15"/>
      <c r="N5886" s="23"/>
      <c r="O5886" s="23"/>
      <c r="P5886" s="15" t="str">
        <f t="shared" si="6"/>
        <v/>
      </c>
      <c r="Q5886" s="24"/>
      <c r="R5886" s="25"/>
      <c r="S5886" s="25"/>
      <c r="T5886" s="26"/>
      <c r="U5886" s="26"/>
      <c r="V5886" s="25"/>
      <c r="W5886" s="25"/>
      <c r="X5886" s="25"/>
      <c r="Y5886" s="25"/>
      <c r="Z5886" s="25"/>
    </row>
    <row r="5887" spans="1:26" ht="15.75" customHeight="1" x14ac:dyDescent="0.25">
      <c r="A5887" s="25"/>
      <c r="B5887" s="49"/>
      <c r="C5887" s="50"/>
      <c r="D5887" s="23"/>
      <c r="E5887" s="23"/>
      <c r="F5887" s="15"/>
      <c r="G5887" s="23"/>
      <c r="H5887" s="15"/>
      <c r="I5887" s="15"/>
      <c r="J5887" s="51"/>
      <c r="K5887" s="15"/>
      <c r="L5887" s="51"/>
      <c r="M5887" s="15"/>
      <c r="N5887" s="23"/>
      <c r="O5887" s="23"/>
      <c r="P5887" s="15" t="str">
        <f t="shared" si="6"/>
        <v/>
      </c>
      <c r="Q5887" s="24"/>
      <c r="R5887" s="25"/>
      <c r="S5887" s="25"/>
      <c r="T5887" s="26"/>
      <c r="U5887" s="26"/>
      <c r="V5887" s="25"/>
      <c r="W5887" s="25"/>
      <c r="X5887" s="25"/>
      <c r="Y5887" s="25"/>
      <c r="Z5887" s="25"/>
    </row>
    <row r="5888" spans="1:26" ht="15.75" customHeight="1" x14ac:dyDescent="0.25">
      <c r="A5888" s="25"/>
      <c r="B5888" s="49"/>
      <c r="C5888" s="50"/>
      <c r="D5888" s="23"/>
      <c r="E5888" s="23"/>
      <c r="F5888" s="15"/>
      <c r="G5888" s="23"/>
      <c r="H5888" s="15"/>
      <c r="I5888" s="15"/>
      <c r="J5888" s="51"/>
      <c r="K5888" s="15"/>
      <c r="L5888" s="51"/>
      <c r="M5888" s="15"/>
      <c r="N5888" s="23"/>
      <c r="O5888" s="23"/>
      <c r="P5888" s="15" t="str">
        <f t="shared" si="6"/>
        <v/>
      </c>
      <c r="Q5888" s="24"/>
      <c r="R5888" s="25"/>
      <c r="S5888" s="25"/>
      <c r="T5888" s="26"/>
      <c r="U5888" s="26"/>
      <c r="V5888" s="25"/>
      <c r="W5888" s="25"/>
      <c r="X5888" s="25"/>
      <c r="Y5888" s="25"/>
      <c r="Z5888" s="25"/>
    </row>
    <row r="5889" spans="1:26" ht="15.75" customHeight="1" x14ac:dyDescent="0.25">
      <c r="A5889" s="25"/>
      <c r="B5889" s="49"/>
      <c r="C5889" s="50"/>
      <c r="D5889" s="23"/>
      <c r="E5889" s="23"/>
      <c r="F5889" s="15"/>
      <c r="G5889" s="23"/>
      <c r="H5889" s="15"/>
      <c r="I5889" s="15"/>
      <c r="J5889" s="51"/>
      <c r="K5889" s="15"/>
      <c r="L5889" s="51"/>
      <c r="M5889" s="15"/>
      <c r="N5889" s="23"/>
      <c r="O5889" s="23"/>
      <c r="P5889" s="15" t="str">
        <f t="shared" si="6"/>
        <v/>
      </c>
      <c r="Q5889" s="24"/>
      <c r="R5889" s="25"/>
      <c r="S5889" s="25"/>
      <c r="T5889" s="26"/>
      <c r="U5889" s="26"/>
      <c r="V5889" s="25"/>
      <c r="W5889" s="25"/>
      <c r="X5889" s="25"/>
      <c r="Y5889" s="25"/>
      <c r="Z5889" s="25"/>
    </row>
    <row r="5890" spans="1:26" ht="15.75" customHeight="1" x14ac:dyDescent="0.25">
      <c r="A5890" s="25"/>
      <c r="B5890" s="49"/>
      <c r="C5890" s="50"/>
      <c r="D5890" s="23"/>
      <c r="E5890" s="23"/>
      <c r="F5890" s="15"/>
      <c r="G5890" s="23"/>
      <c r="H5890" s="15"/>
      <c r="I5890" s="15"/>
      <c r="J5890" s="51"/>
      <c r="K5890" s="15"/>
      <c r="L5890" s="51"/>
      <c r="M5890" s="15"/>
      <c r="N5890" s="23"/>
      <c r="O5890" s="23"/>
      <c r="P5890" s="15" t="str">
        <f t="shared" si="6"/>
        <v/>
      </c>
      <c r="Q5890" s="24"/>
      <c r="R5890" s="25"/>
      <c r="S5890" s="25"/>
      <c r="T5890" s="26"/>
      <c r="U5890" s="26"/>
      <c r="V5890" s="25"/>
      <c r="W5890" s="25"/>
      <c r="X5890" s="25"/>
      <c r="Y5890" s="25"/>
      <c r="Z5890" s="25"/>
    </row>
    <row r="5891" spans="1:26" ht="15.75" customHeight="1" x14ac:dyDescent="0.25">
      <c r="A5891" s="25"/>
      <c r="B5891" s="49"/>
      <c r="C5891" s="50"/>
      <c r="D5891" s="23"/>
      <c r="E5891" s="23"/>
      <c r="F5891" s="15"/>
      <c r="G5891" s="23"/>
      <c r="H5891" s="15"/>
      <c r="I5891" s="15"/>
      <c r="J5891" s="51"/>
      <c r="K5891" s="15"/>
      <c r="L5891" s="51"/>
      <c r="M5891" s="15"/>
      <c r="N5891" s="23"/>
      <c r="O5891" s="23"/>
      <c r="P5891" s="15" t="str">
        <f t="shared" si="6"/>
        <v/>
      </c>
      <c r="Q5891" s="24"/>
      <c r="R5891" s="25"/>
      <c r="S5891" s="25"/>
      <c r="T5891" s="26"/>
      <c r="U5891" s="26"/>
      <c r="V5891" s="25"/>
      <c r="W5891" s="25"/>
      <c r="X5891" s="25"/>
      <c r="Y5891" s="25"/>
      <c r="Z5891" s="25"/>
    </row>
    <row r="5892" spans="1:26" ht="15.75" customHeight="1" x14ac:dyDescent="0.25">
      <c r="A5892" s="25"/>
      <c r="B5892" s="49"/>
      <c r="C5892" s="50"/>
      <c r="D5892" s="23"/>
      <c r="E5892" s="23"/>
      <c r="F5892" s="15"/>
      <c r="G5892" s="23"/>
      <c r="H5892" s="15"/>
      <c r="I5892" s="15"/>
      <c r="J5892" s="51"/>
      <c r="K5892" s="15"/>
      <c r="L5892" s="51"/>
      <c r="M5892" s="15"/>
      <c r="N5892" s="23"/>
      <c r="O5892" s="23"/>
      <c r="P5892" s="15" t="str">
        <f t="shared" si="6"/>
        <v/>
      </c>
      <c r="Q5892" s="24"/>
      <c r="R5892" s="25"/>
      <c r="S5892" s="25"/>
      <c r="T5892" s="26"/>
      <c r="U5892" s="26"/>
      <c r="V5892" s="25"/>
      <c r="W5892" s="25"/>
      <c r="X5892" s="25"/>
      <c r="Y5892" s="25"/>
      <c r="Z5892" s="25"/>
    </row>
    <row r="5893" spans="1:26" ht="15.75" customHeight="1" x14ac:dyDescent="0.25">
      <c r="A5893" s="25"/>
      <c r="B5893" s="49"/>
      <c r="C5893" s="50"/>
      <c r="D5893" s="23"/>
      <c r="E5893" s="23"/>
      <c r="F5893" s="15"/>
      <c r="G5893" s="23"/>
      <c r="H5893" s="15"/>
      <c r="I5893" s="15"/>
      <c r="J5893" s="51"/>
      <c r="K5893" s="15"/>
      <c r="L5893" s="51"/>
      <c r="M5893" s="15"/>
      <c r="N5893" s="23"/>
      <c r="O5893" s="23"/>
      <c r="P5893" s="15" t="str">
        <f t="shared" si="6"/>
        <v/>
      </c>
      <c r="Q5893" s="24"/>
      <c r="R5893" s="25"/>
      <c r="S5893" s="25"/>
      <c r="T5893" s="26"/>
      <c r="U5893" s="26"/>
      <c r="V5893" s="25"/>
      <c r="W5893" s="25"/>
      <c r="X5893" s="25"/>
      <c r="Y5893" s="25"/>
      <c r="Z5893" s="25"/>
    </row>
    <row r="5894" spans="1:26" ht="15.75" customHeight="1" x14ac:dyDescent="0.25">
      <c r="A5894" s="25"/>
      <c r="B5894" s="49"/>
      <c r="C5894" s="50"/>
      <c r="D5894" s="23"/>
      <c r="E5894" s="23"/>
      <c r="F5894" s="15"/>
      <c r="G5894" s="23"/>
      <c r="H5894" s="15"/>
      <c r="I5894" s="15"/>
      <c r="J5894" s="51"/>
      <c r="K5894" s="15"/>
      <c r="L5894" s="51"/>
      <c r="M5894" s="15"/>
      <c r="N5894" s="23"/>
      <c r="O5894" s="23"/>
      <c r="P5894" s="15" t="str">
        <f t="shared" si="6"/>
        <v/>
      </c>
      <c r="Q5894" s="24"/>
      <c r="R5894" s="25"/>
      <c r="S5894" s="25"/>
      <c r="T5894" s="26"/>
      <c r="U5894" s="26"/>
      <c r="V5894" s="25"/>
      <c r="W5894" s="25"/>
      <c r="X5894" s="25"/>
      <c r="Y5894" s="25"/>
      <c r="Z5894" s="25"/>
    </row>
    <row r="5895" spans="1:26" ht="15.75" customHeight="1" x14ac:dyDescent="0.25">
      <c r="A5895" s="25"/>
      <c r="B5895" s="49"/>
      <c r="C5895" s="50"/>
      <c r="D5895" s="23"/>
      <c r="E5895" s="23"/>
      <c r="F5895" s="15"/>
      <c r="G5895" s="23"/>
      <c r="H5895" s="15"/>
      <c r="I5895" s="15"/>
      <c r="J5895" s="51"/>
      <c r="K5895" s="15"/>
      <c r="L5895" s="51"/>
      <c r="M5895" s="15"/>
      <c r="N5895" s="23"/>
      <c r="O5895" s="23"/>
      <c r="P5895" s="15" t="str">
        <f t="shared" si="6"/>
        <v/>
      </c>
      <c r="Q5895" s="24"/>
      <c r="R5895" s="25"/>
      <c r="S5895" s="25"/>
      <c r="T5895" s="26"/>
      <c r="U5895" s="26"/>
      <c r="V5895" s="25"/>
      <c r="W5895" s="25"/>
      <c r="X5895" s="25"/>
      <c r="Y5895" s="25"/>
      <c r="Z5895" s="25"/>
    </row>
    <row r="5896" spans="1:26" ht="15.75" customHeight="1" x14ac:dyDescent="0.25">
      <c r="A5896" s="25"/>
      <c r="B5896" s="49"/>
      <c r="C5896" s="50"/>
      <c r="D5896" s="23"/>
      <c r="E5896" s="23"/>
      <c r="F5896" s="15"/>
      <c r="G5896" s="23"/>
      <c r="H5896" s="15"/>
      <c r="I5896" s="15"/>
      <c r="J5896" s="51"/>
      <c r="K5896" s="15"/>
      <c r="L5896" s="51"/>
      <c r="M5896" s="15"/>
      <c r="N5896" s="23"/>
      <c r="O5896" s="23"/>
      <c r="P5896" s="15" t="str">
        <f t="shared" si="6"/>
        <v/>
      </c>
      <c r="Q5896" s="24"/>
      <c r="R5896" s="25"/>
      <c r="S5896" s="25"/>
      <c r="T5896" s="26"/>
      <c r="U5896" s="26"/>
      <c r="V5896" s="25"/>
      <c r="W5896" s="25"/>
      <c r="X5896" s="25"/>
      <c r="Y5896" s="25"/>
      <c r="Z5896" s="25"/>
    </row>
    <row r="5897" spans="1:26" ht="15.75" customHeight="1" x14ac:dyDescent="0.25">
      <c r="A5897" s="25"/>
      <c r="B5897" s="49"/>
      <c r="C5897" s="50"/>
      <c r="D5897" s="23"/>
      <c r="E5897" s="23"/>
      <c r="F5897" s="15"/>
      <c r="G5897" s="23"/>
      <c r="H5897" s="15"/>
      <c r="I5897" s="15"/>
      <c r="J5897" s="51"/>
      <c r="K5897" s="15"/>
      <c r="L5897" s="51"/>
      <c r="M5897" s="15"/>
      <c r="N5897" s="23"/>
      <c r="O5897" s="23"/>
      <c r="P5897" s="15" t="str">
        <f t="shared" si="6"/>
        <v/>
      </c>
      <c r="Q5897" s="24"/>
      <c r="R5897" s="25"/>
      <c r="S5897" s="25"/>
      <c r="T5897" s="26"/>
      <c r="U5897" s="26"/>
      <c r="V5897" s="25"/>
      <c r="W5897" s="25"/>
      <c r="X5897" s="25"/>
      <c r="Y5897" s="25"/>
      <c r="Z5897" s="25"/>
    </row>
    <row r="5898" spans="1:26" ht="15.75" customHeight="1" x14ac:dyDescent="0.25">
      <c r="A5898" s="25"/>
      <c r="B5898" s="49"/>
      <c r="C5898" s="50"/>
      <c r="D5898" s="23"/>
      <c r="E5898" s="23"/>
      <c r="F5898" s="15"/>
      <c r="G5898" s="23"/>
      <c r="H5898" s="15"/>
      <c r="I5898" s="15"/>
      <c r="J5898" s="51"/>
      <c r="K5898" s="15"/>
      <c r="L5898" s="51"/>
      <c r="M5898" s="15"/>
      <c r="N5898" s="23"/>
      <c r="O5898" s="23"/>
      <c r="P5898" s="15" t="str">
        <f t="shared" si="6"/>
        <v/>
      </c>
      <c r="Q5898" s="24"/>
      <c r="R5898" s="25"/>
      <c r="S5898" s="25"/>
      <c r="T5898" s="26"/>
      <c r="U5898" s="26"/>
      <c r="V5898" s="25"/>
      <c r="W5898" s="25"/>
      <c r="X5898" s="25"/>
      <c r="Y5898" s="25"/>
      <c r="Z5898" s="25"/>
    </row>
    <row r="5899" spans="1:26" ht="15.75" customHeight="1" x14ac:dyDescent="0.25">
      <c r="A5899" s="25"/>
      <c r="B5899" s="49"/>
      <c r="C5899" s="50"/>
      <c r="D5899" s="23"/>
      <c r="E5899" s="23"/>
      <c r="F5899" s="15"/>
      <c r="G5899" s="23"/>
      <c r="H5899" s="15"/>
      <c r="I5899" s="15"/>
      <c r="J5899" s="51"/>
      <c r="K5899" s="15"/>
      <c r="L5899" s="51"/>
      <c r="M5899" s="15"/>
      <c r="N5899" s="23"/>
      <c r="O5899" s="23"/>
      <c r="P5899" s="15" t="str">
        <f t="shared" si="6"/>
        <v/>
      </c>
      <c r="Q5899" s="24"/>
      <c r="R5899" s="25"/>
      <c r="S5899" s="25"/>
      <c r="T5899" s="26"/>
      <c r="U5899" s="26"/>
      <c r="V5899" s="25"/>
      <c r="W5899" s="25"/>
      <c r="X5899" s="25"/>
      <c r="Y5899" s="25"/>
      <c r="Z5899" s="25"/>
    </row>
    <row r="5900" spans="1:26" ht="15.75" customHeight="1" x14ac:dyDescent="0.25">
      <c r="A5900" s="25"/>
      <c r="B5900" s="49"/>
      <c r="C5900" s="50"/>
      <c r="D5900" s="23"/>
      <c r="E5900" s="23"/>
      <c r="F5900" s="15"/>
      <c r="G5900" s="23"/>
      <c r="H5900" s="15"/>
      <c r="I5900" s="15"/>
      <c r="J5900" s="51"/>
      <c r="K5900" s="15"/>
      <c r="L5900" s="51"/>
      <c r="M5900" s="15"/>
      <c r="N5900" s="23"/>
      <c r="O5900" s="23"/>
      <c r="P5900" s="15" t="str">
        <f t="shared" si="6"/>
        <v/>
      </c>
      <c r="Q5900" s="24"/>
      <c r="R5900" s="25"/>
      <c r="S5900" s="25"/>
      <c r="T5900" s="26"/>
      <c r="U5900" s="26"/>
      <c r="V5900" s="25"/>
      <c r="W5900" s="25"/>
      <c r="X5900" s="25"/>
      <c r="Y5900" s="25"/>
      <c r="Z5900" s="25"/>
    </row>
    <row r="5901" spans="1:26" ht="15.75" customHeight="1" x14ac:dyDescent="0.25">
      <c r="A5901" s="25"/>
      <c r="B5901" s="49"/>
      <c r="C5901" s="50"/>
      <c r="D5901" s="23"/>
      <c r="E5901" s="23"/>
      <c r="F5901" s="15"/>
      <c r="G5901" s="23"/>
      <c r="H5901" s="15"/>
      <c r="I5901" s="15"/>
      <c r="J5901" s="51"/>
      <c r="K5901" s="15"/>
      <c r="L5901" s="51"/>
      <c r="M5901" s="15"/>
      <c r="N5901" s="23"/>
      <c r="O5901" s="23"/>
      <c r="P5901" s="15" t="str">
        <f t="shared" si="6"/>
        <v/>
      </c>
      <c r="Q5901" s="24"/>
      <c r="R5901" s="25"/>
      <c r="S5901" s="25"/>
      <c r="T5901" s="26"/>
      <c r="U5901" s="26"/>
      <c r="V5901" s="25"/>
      <c r="W5901" s="25"/>
      <c r="X5901" s="25"/>
      <c r="Y5901" s="25"/>
      <c r="Z5901" s="25"/>
    </row>
    <row r="5902" spans="1:26" ht="15.75" customHeight="1" x14ac:dyDescent="0.25">
      <c r="A5902" s="25"/>
      <c r="B5902" s="49"/>
      <c r="C5902" s="50"/>
      <c r="D5902" s="23"/>
      <c r="E5902" s="23"/>
      <c r="F5902" s="15"/>
      <c r="G5902" s="23"/>
      <c r="H5902" s="15"/>
      <c r="I5902" s="15"/>
      <c r="J5902" s="51"/>
      <c r="K5902" s="15"/>
      <c r="L5902" s="51"/>
      <c r="M5902" s="15"/>
      <c r="N5902" s="23"/>
      <c r="O5902" s="23"/>
      <c r="P5902" s="15" t="str">
        <f t="shared" si="6"/>
        <v/>
      </c>
      <c r="Q5902" s="24"/>
      <c r="R5902" s="25"/>
      <c r="S5902" s="25"/>
      <c r="T5902" s="26"/>
      <c r="U5902" s="26"/>
      <c r="V5902" s="25"/>
      <c r="W5902" s="25"/>
      <c r="X5902" s="25"/>
      <c r="Y5902" s="25"/>
      <c r="Z5902" s="25"/>
    </row>
    <row r="5903" spans="1:26" ht="15.75" customHeight="1" x14ac:dyDescent="0.25">
      <c r="A5903" s="25"/>
      <c r="B5903" s="49"/>
      <c r="C5903" s="50"/>
      <c r="D5903" s="23"/>
      <c r="E5903" s="23"/>
      <c r="F5903" s="15"/>
      <c r="G5903" s="23"/>
      <c r="H5903" s="15"/>
      <c r="I5903" s="15"/>
      <c r="J5903" s="51"/>
      <c r="K5903" s="15"/>
      <c r="L5903" s="51"/>
      <c r="M5903" s="15"/>
      <c r="N5903" s="23"/>
      <c r="O5903" s="23"/>
      <c r="P5903" s="15" t="str">
        <f t="shared" si="6"/>
        <v/>
      </c>
      <c r="Q5903" s="24"/>
      <c r="R5903" s="25"/>
      <c r="S5903" s="25"/>
      <c r="T5903" s="26"/>
      <c r="U5903" s="26"/>
      <c r="V5903" s="25"/>
      <c r="W5903" s="25"/>
      <c r="X5903" s="25"/>
      <c r="Y5903" s="25"/>
      <c r="Z5903" s="25"/>
    </row>
    <row r="5904" spans="1:26" ht="15.75" customHeight="1" x14ac:dyDescent="0.25">
      <c r="A5904" s="25"/>
      <c r="B5904" s="49"/>
      <c r="C5904" s="50"/>
      <c r="D5904" s="23"/>
      <c r="E5904" s="23"/>
      <c r="F5904" s="15"/>
      <c r="G5904" s="23"/>
      <c r="H5904" s="15"/>
      <c r="I5904" s="15"/>
      <c r="J5904" s="51"/>
      <c r="K5904" s="15"/>
      <c r="L5904" s="51"/>
      <c r="M5904" s="15"/>
      <c r="N5904" s="23"/>
      <c r="O5904" s="23"/>
      <c r="P5904" s="15" t="str">
        <f t="shared" si="6"/>
        <v/>
      </c>
      <c r="Q5904" s="24"/>
      <c r="R5904" s="25"/>
      <c r="S5904" s="25"/>
      <c r="T5904" s="26"/>
      <c r="U5904" s="26"/>
      <c r="V5904" s="25"/>
      <c r="W5904" s="25"/>
      <c r="X5904" s="25"/>
      <c r="Y5904" s="25"/>
      <c r="Z5904" s="25"/>
    </row>
    <row r="5905" spans="1:26" ht="15.75" customHeight="1" x14ac:dyDescent="0.25">
      <c r="A5905" s="25"/>
      <c r="B5905" s="49"/>
      <c r="C5905" s="50"/>
      <c r="D5905" s="23"/>
      <c r="E5905" s="23"/>
      <c r="F5905" s="15"/>
      <c r="G5905" s="23"/>
      <c r="H5905" s="15"/>
      <c r="I5905" s="15"/>
      <c r="J5905" s="51"/>
      <c r="K5905" s="15"/>
      <c r="L5905" s="51"/>
      <c r="M5905" s="15"/>
      <c r="N5905" s="23"/>
      <c r="O5905" s="23"/>
      <c r="P5905" s="15" t="str">
        <f t="shared" si="6"/>
        <v/>
      </c>
      <c r="Q5905" s="24"/>
      <c r="R5905" s="25"/>
      <c r="S5905" s="25"/>
      <c r="T5905" s="26"/>
      <c r="U5905" s="26"/>
      <c r="V5905" s="25"/>
      <c r="W5905" s="25"/>
      <c r="X5905" s="25"/>
      <c r="Y5905" s="25"/>
      <c r="Z5905" s="25"/>
    </row>
    <row r="5906" spans="1:26" ht="15.75" customHeight="1" x14ac:dyDescent="0.25">
      <c r="A5906" s="25"/>
      <c r="B5906" s="49"/>
      <c r="C5906" s="50"/>
      <c r="D5906" s="23"/>
      <c r="E5906" s="23"/>
      <c r="F5906" s="15"/>
      <c r="G5906" s="23"/>
      <c r="H5906" s="15"/>
      <c r="I5906" s="15"/>
      <c r="J5906" s="51"/>
      <c r="K5906" s="15"/>
      <c r="L5906" s="51"/>
      <c r="M5906" s="15"/>
      <c r="N5906" s="23"/>
      <c r="O5906" s="23"/>
      <c r="P5906" s="15" t="str">
        <f t="shared" si="6"/>
        <v/>
      </c>
      <c r="Q5906" s="24"/>
      <c r="R5906" s="25"/>
      <c r="S5906" s="25"/>
      <c r="T5906" s="26"/>
      <c r="U5906" s="26"/>
      <c r="V5906" s="25"/>
      <c r="W5906" s="25"/>
      <c r="X5906" s="25"/>
      <c r="Y5906" s="25"/>
      <c r="Z5906" s="25"/>
    </row>
    <row r="5907" spans="1:26" ht="15.75" customHeight="1" x14ac:dyDescent="0.25">
      <c r="A5907" s="25"/>
      <c r="B5907" s="49"/>
      <c r="C5907" s="50"/>
      <c r="D5907" s="23"/>
      <c r="E5907" s="23"/>
      <c r="F5907" s="15"/>
      <c r="G5907" s="23"/>
      <c r="H5907" s="15"/>
      <c r="I5907" s="15"/>
      <c r="J5907" s="51"/>
      <c r="K5907" s="15"/>
      <c r="L5907" s="51"/>
      <c r="M5907" s="15"/>
      <c r="N5907" s="23"/>
      <c r="O5907" s="23"/>
      <c r="P5907" s="15" t="str">
        <f t="shared" si="6"/>
        <v/>
      </c>
      <c r="Q5907" s="24"/>
      <c r="R5907" s="25"/>
      <c r="S5907" s="25"/>
      <c r="T5907" s="26"/>
      <c r="U5907" s="26"/>
      <c r="V5907" s="25"/>
      <c r="W5907" s="25"/>
      <c r="X5907" s="25"/>
      <c r="Y5907" s="25"/>
      <c r="Z5907" s="25"/>
    </row>
    <row r="5908" spans="1:26" ht="15.75" customHeight="1" x14ac:dyDescent="0.25">
      <c r="A5908" s="25"/>
      <c r="B5908" s="49"/>
      <c r="C5908" s="50"/>
      <c r="D5908" s="23"/>
      <c r="E5908" s="23"/>
      <c r="F5908" s="15"/>
      <c r="G5908" s="23"/>
      <c r="H5908" s="15"/>
      <c r="I5908" s="15"/>
      <c r="J5908" s="51"/>
      <c r="K5908" s="15"/>
      <c r="L5908" s="51"/>
      <c r="M5908" s="15"/>
      <c r="N5908" s="23"/>
      <c r="O5908" s="23"/>
      <c r="P5908" s="15" t="str">
        <f t="shared" si="6"/>
        <v/>
      </c>
      <c r="Q5908" s="24"/>
      <c r="R5908" s="25"/>
      <c r="S5908" s="25"/>
      <c r="T5908" s="26"/>
      <c r="U5908" s="26"/>
      <c r="V5908" s="25"/>
      <c r="W5908" s="25"/>
      <c r="X5908" s="25"/>
      <c r="Y5908" s="25"/>
      <c r="Z5908" s="25"/>
    </row>
    <row r="5909" spans="1:26" ht="15.75" customHeight="1" x14ac:dyDescent="0.25">
      <c r="A5909" s="25"/>
      <c r="B5909" s="49"/>
      <c r="C5909" s="50"/>
      <c r="D5909" s="23"/>
      <c r="E5909" s="23"/>
      <c r="F5909" s="15"/>
      <c r="G5909" s="23"/>
      <c r="H5909" s="15"/>
      <c r="I5909" s="15"/>
      <c r="J5909" s="51"/>
      <c r="K5909" s="15"/>
      <c r="L5909" s="51"/>
      <c r="M5909" s="15"/>
      <c r="N5909" s="23"/>
      <c r="O5909" s="23"/>
      <c r="P5909" s="15" t="str">
        <f t="shared" si="6"/>
        <v/>
      </c>
      <c r="Q5909" s="24"/>
      <c r="R5909" s="25"/>
      <c r="S5909" s="25"/>
      <c r="T5909" s="26"/>
      <c r="U5909" s="26"/>
      <c r="V5909" s="25"/>
      <c r="W5909" s="25"/>
      <c r="X5909" s="25"/>
      <c r="Y5909" s="25"/>
      <c r="Z5909" s="25"/>
    </row>
    <row r="5910" spans="1:26" ht="15.75" customHeight="1" x14ac:dyDescent="0.25">
      <c r="A5910" s="25"/>
      <c r="B5910" s="49"/>
      <c r="C5910" s="50"/>
      <c r="D5910" s="23"/>
      <c r="E5910" s="23"/>
      <c r="F5910" s="15"/>
      <c r="G5910" s="23"/>
      <c r="H5910" s="15"/>
      <c r="I5910" s="15"/>
      <c r="J5910" s="51"/>
      <c r="K5910" s="15"/>
      <c r="L5910" s="51"/>
      <c r="M5910" s="15"/>
      <c r="N5910" s="23"/>
      <c r="O5910" s="23"/>
      <c r="P5910" s="15" t="str">
        <f t="shared" si="6"/>
        <v/>
      </c>
      <c r="Q5910" s="24"/>
      <c r="R5910" s="25"/>
      <c r="S5910" s="25"/>
      <c r="T5910" s="26"/>
      <c r="U5910" s="26"/>
      <c r="V5910" s="25"/>
      <c r="W5910" s="25"/>
      <c r="X5910" s="25"/>
      <c r="Y5910" s="25"/>
      <c r="Z5910" s="25"/>
    </row>
    <row r="5911" spans="1:26" ht="15.75" customHeight="1" x14ac:dyDescent="0.25">
      <c r="A5911" s="25"/>
      <c r="B5911" s="49"/>
      <c r="C5911" s="50"/>
      <c r="D5911" s="23"/>
      <c r="E5911" s="23"/>
      <c r="F5911" s="15"/>
      <c r="G5911" s="23"/>
      <c r="H5911" s="15"/>
      <c r="I5911" s="15"/>
      <c r="J5911" s="51"/>
      <c r="K5911" s="15"/>
      <c r="L5911" s="51"/>
      <c r="M5911" s="15"/>
      <c r="N5911" s="23"/>
      <c r="O5911" s="23"/>
      <c r="P5911" s="15" t="str">
        <f t="shared" si="6"/>
        <v/>
      </c>
      <c r="Q5911" s="24"/>
      <c r="R5911" s="25"/>
      <c r="S5911" s="25"/>
      <c r="T5911" s="26"/>
      <c r="U5911" s="26"/>
      <c r="V5911" s="25"/>
      <c r="W5911" s="25"/>
      <c r="X5911" s="25"/>
      <c r="Y5911" s="25"/>
      <c r="Z5911" s="25"/>
    </row>
    <row r="5912" spans="1:26" ht="15.75" customHeight="1" x14ac:dyDescent="0.25">
      <c r="A5912" s="25"/>
      <c r="B5912" s="49"/>
      <c r="C5912" s="50"/>
      <c r="D5912" s="23"/>
      <c r="E5912" s="23"/>
      <c r="F5912" s="15"/>
      <c r="G5912" s="23"/>
      <c r="H5912" s="15"/>
      <c r="I5912" s="15"/>
      <c r="J5912" s="51"/>
      <c r="K5912" s="15"/>
      <c r="L5912" s="51"/>
      <c r="M5912" s="15"/>
      <c r="N5912" s="23"/>
      <c r="O5912" s="23"/>
      <c r="P5912" s="15" t="str">
        <f t="shared" si="6"/>
        <v/>
      </c>
      <c r="Q5912" s="24"/>
      <c r="R5912" s="25"/>
      <c r="S5912" s="25"/>
      <c r="T5912" s="26"/>
      <c r="U5912" s="26"/>
      <c r="V5912" s="25"/>
      <c r="W5912" s="25"/>
      <c r="X5912" s="25"/>
      <c r="Y5912" s="25"/>
      <c r="Z5912" s="25"/>
    </row>
    <row r="5913" spans="1:26" ht="15.75" customHeight="1" x14ac:dyDescent="0.25">
      <c r="A5913" s="25"/>
      <c r="B5913" s="49"/>
      <c r="C5913" s="50"/>
      <c r="D5913" s="23"/>
      <c r="E5913" s="23"/>
      <c r="F5913" s="15"/>
      <c r="G5913" s="23"/>
      <c r="H5913" s="15"/>
      <c r="I5913" s="15"/>
      <c r="J5913" s="51"/>
      <c r="K5913" s="15"/>
      <c r="L5913" s="51"/>
      <c r="M5913" s="15"/>
      <c r="N5913" s="23"/>
      <c r="O5913" s="23"/>
      <c r="P5913" s="15" t="str">
        <f t="shared" si="6"/>
        <v/>
      </c>
      <c r="Q5913" s="24"/>
      <c r="R5913" s="25"/>
      <c r="S5913" s="25"/>
      <c r="T5913" s="26"/>
      <c r="U5913" s="26"/>
      <c r="V5913" s="25"/>
      <c r="W5913" s="25"/>
      <c r="X5913" s="25"/>
      <c r="Y5913" s="25"/>
      <c r="Z5913" s="25"/>
    </row>
    <row r="5914" spans="1:26" ht="15.75" customHeight="1" x14ac:dyDescent="0.25">
      <c r="A5914" s="25"/>
      <c r="B5914" s="49"/>
      <c r="C5914" s="50"/>
      <c r="D5914" s="23"/>
      <c r="E5914" s="23"/>
      <c r="F5914" s="15"/>
      <c r="G5914" s="23"/>
      <c r="H5914" s="15"/>
      <c r="I5914" s="15"/>
      <c r="J5914" s="51"/>
      <c r="K5914" s="15"/>
      <c r="L5914" s="51"/>
      <c r="M5914" s="15"/>
      <c r="N5914" s="23"/>
      <c r="O5914" s="23"/>
      <c r="P5914" s="15" t="str">
        <f t="shared" si="6"/>
        <v/>
      </c>
      <c r="Q5914" s="24"/>
      <c r="R5914" s="25"/>
      <c r="S5914" s="25"/>
      <c r="T5914" s="26"/>
      <c r="U5914" s="26"/>
      <c r="V5914" s="25"/>
      <c r="W5914" s="25"/>
      <c r="X5914" s="25"/>
      <c r="Y5914" s="25"/>
      <c r="Z5914" s="25"/>
    </row>
    <row r="5915" spans="1:26" ht="15.75" customHeight="1" x14ac:dyDescent="0.25">
      <c r="A5915" s="25"/>
      <c r="B5915" s="49"/>
      <c r="C5915" s="50"/>
      <c r="D5915" s="23"/>
      <c r="E5915" s="23"/>
      <c r="F5915" s="15"/>
      <c r="G5915" s="23"/>
      <c r="H5915" s="15"/>
      <c r="I5915" s="15"/>
      <c r="J5915" s="51"/>
      <c r="K5915" s="15"/>
      <c r="L5915" s="51"/>
      <c r="M5915" s="15"/>
      <c r="N5915" s="23"/>
      <c r="O5915" s="23"/>
      <c r="P5915" s="15" t="str">
        <f t="shared" si="6"/>
        <v/>
      </c>
      <c r="Q5915" s="24"/>
      <c r="R5915" s="25"/>
      <c r="S5915" s="25"/>
      <c r="T5915" s="26"/>
      <c r="U5915" s="26"/>
      <c r="V5915" s="25"/>
      <c r="W5915" s="25"/>
      <c r="X5915" s="25"/>
      <c r="Y5915" s="25"/>
      <c r="Z5915" s="25"/>
    </row>
    <row r="5916" spans="1:26" ht="15.75" customHeight="1" x14ac:dyDescent="0.25">
      <c r="A5916" s="25"/>
      <c r="B5916" s="49"/>
      <c r="C5916" s="50"/>
      <c r="D5916" s="23"/>
      <c r="E5916" s="23"/>
      <c r="F5916" s="15"/>
      <c r="G5916" s="23"/>
      <c r="H5916" s="15"/>
      <c r="I5916" s="15"/>
      <c r="J5916" s="51"/>
      <c r="K5916" s="15"/>
      <c r="L5916" s="51"/>
      <c r="M5916" s="15"/>
      <c r="N5916" s="23"/>
      <c r="O5916" s="23"/>
      <c r="P5916" s="15" t="str">
        <f t="shared" si="6"/>
        <v/>
      </c>
      <c r="Q5916" s="24"/>
      <c r="R5916" s="25"/>
      <c r="S5916" s="25"/>
      <c r="T5916" s="26"/>
      <c r="U5916" s="26"/>
      <c r="V5916" s="25"/>
      <c r="W5916" s="25"/>
      <c r="X5916" s="25"/>
      <c r="Y5916" s="25"/>
      <c r="Z5916" s="25"/>
    </row>
    <row r="5917" spans="1:26" ht="15.75" customHeight="1" x14ac:dyDescent="0.25">
      <c r="A5917" s="25"/>
      <c r="B5917" s="49"/>
      <c r="C5917" s="50"/>
      <c r="D5917" s="23"/>
      <c r="E5917" s="23"/>
      <c r="F5917" s="15"/>
      <c r="G5917" s="23"/>
      <c r="H5917" s="15"/>
      <c r="I5917" s="15"/>
      <c r="J5917" s="51"/>
      <c r="K5917" s="15"/>
      <c r="L5917" s="51"/>
      <c r="M5917" s="15"/>
      <c r="N5917" s="23"/>
      <c r="O5917" s="23"/>
      <c r="P5917" s="15" t="str">
        <f t="shared" si="6"/>
        <v/>
      </c>
      <c r="Q5917" s="24"/>
      <c r="R5917" s="25"/>
      <c r="S5917" s="25"/>
      <c r="T5917" s="26"/>
      <c r="U5917" s="26"/>
      <c r="V5917" s="25"/>
      <c r="W5917" s="25"/>
      <c r="X5917" s="25"/>
      <c r="Y5917" s="25"/>
      <c r="Z5917" s="25"/>
    </row>
    <row r="5918" spans="1:26" ht="15.75" customHeight="1" x14ac:dyDescent="0.25">
      <c r="A5918" s="25"/>
      <c r="B5918" s="49"/>
      <c r="C5918" s="50"/>
      <c r="D5918" s="23"/>
      <c r="E5918" s="23"/>
      <c r="F5918" s="15"/>
      <c r="G5918" s="23"/>
      <c r="H5918" s="15"/>
      <c r="I5918" s="15"/>
      <c r="J5918" s="51"/>
      <c r="K5918" s="15"/>
      <c r="L5918" s="51"/>
      <c r="M5918" s="15"/>
      <c r="N5918" s="23"/>
      <c r="O5918" s="23"/>
      <c r="P5918" s="15" t="str">
        <f t="shared" si="6"/>
        <v/>
      </c>
      <c r="Q5918" s="24"/>
      <c r="R5918" s="25"/>
      <c r="S5918" s="25"/>
      <c r="T5918" s="26"/>
      <c r="U5918" s="26"/>
      <c r="V5918" s="25"/>
      <c r="W5918" s="25"/>
      <c r="X5918" s="25"/>
      <c r="Y5918" s="25"/>
      <c r="Z5918" s="25"/>
    </row>
    <row r="5919" spans="1:26" ht="15.75" customHeight="1" x14ac:dyDescent="0.25">
      <c r="A5919" s="25"/>
      <c r="B5919" s="49"/>
      <c r="C5919" s="50"/>
      <c r="D5919" s="23"/>
      <c r="E5919" s="23"/>
      <c r="F5919" s="15"/>
      <c r="G5919" s="23"/>
      <c r="H5919" s="15"/>
      <c r="I5919" s="15"/>
      <c r="J5919" s="51"/>
      <c r="K5919" s="15"/>
      <c r="L5919" s="51"/>
      <c r="M5919" s="15"/>
      <c r="N5919" s="23"/>
      <c r="O5919" s="23"/>
      <c r="P5919" s="15" t="str">
        <f t="shared" si="6"/>
        <v/>
      </c>
      <c r="Q5919" s="24"/>
      <c r="R5919" s="25"/>
      <c r="S5919" s="25"/>
      <c r="T5919" s="26"/>
      <c r="U5919" s="26"/>
      <c r="V5919" s="25"/>
      <c r="W5919" s="25"/>
      <c r="X5919" s="25"/>
      <c r="Y5919" s="25"/>
      <c r="Z5919" s="25"/>
    </row>
    <row r="5920" spans="1:26" ht="15.75" customHeight="1" x14ac:dyDescent="0.25">
      <c r="A5920" s="25"/>
      <c r="B5920" s="49"/>
      <c r="C5920" s="50"/>
      <c r="D5920" s="23"/>
      <c r="E5920" s="23"/>
      <c r="F5920" s="15"/>
      <c r="G5920" s="23"/>
      <c r="H5920" s="15"/>
      <c r="I5920" s="15"/>
      <c r="J5920" s="51"/>
      <c r="K5920" s="15"/>
      <c r="L5920" s="51"/>
      <c r="M5920" s="15"/>
      <c r="N5920" s="23"/>
      <c r="O5920" s="23"/>
      <c r="P5920" s="15" t="str">
        <f t="shared" si="6"/>
        <v/>
      </c>
      <c r="Q5920" s="24"/>
      <c r="R5920" s="25"/>
      <c r="S5920" s="25"/>
      <c r="T5920" s="26"/>
      <c r="U5920" s="26"/>
      <c r="V5920" s="25"/>
      <c r="W5920" s="25"/>
      <c r="X5920" s="25"/>
      <c r="Y5920" s="25"/>
      <c r="Z5920" s="25"/>
    </row>
    <row r="5921" spans="1:26" ht="15.75" customHeight="1" x14ac:dyDescent="0.25">
      <c r="A5921" s="25"/>
      <c r="B5921" s="49"/>
      <c r="C5921" s="50"/>
      <c r="D5921" s="23"/>
      <c r="E5921" s="23"/>
      <c r="F5921" s="15"/>
      <c r="G5921" s="23"/>
      <c r="H5921" s="15"/>
      <c r="I5921" s="15"/>
      <c r="J5921" s="51"/>
      <c r="K5921" s="15"/>
      <c r="L5921" s="51"/>
      <c r="M5921" s="15"/>
      <c r="N5921" s="23"/>
      <c r="O5921" s="23"/>
      <c r="P5921" s="15" t="str">
        <f t="shared" si="6"/>
        <v/>
      </c>
      <c r="Q5921" s="24"/>
      <c r="R5921" s="25"/>
      <c r="S5921" s="25"/>
      <c r="T5921" s="26"/>
      <c r="U5921" s="26"/>
      <c r="V5921" s="25"/>
      <c r="W5921" s="25"/>
      <c r="X5921" s="25"/>
      <c r="Y5921" s="25"/>
      <c r="Z5921" s="25"/>
    </row>
    <row r="5922" spans="1:26" ht="15.75" customHeight="1" x14ac:dyDescent="0.25">
      <c r="A5922" s="25"/>
      <c r="B5922" s="49"/>
      <c r="C5922" s="50"/>
      <c r="D5922" s="23"/>
      <c r="E5922" s="23"/>
      <c r="F5922" s="15"/>
      <c r="G5922" s="23"/>
      <c r="H5922" s="15"/>
      <c r="I5922" s="15"/>
      <c r="J5922" s="51"/>
      <c r="K5922" s="15"/>
      <c r="L5922" s="51"/>
      <c r="M5922" s="15"/>
      <c r="N5922" s="23"/>
      <c r="O5922" s="23"/>
      <c r="P5922" s="15" t="str">
        <f t="shared" si="6"/>
        <v/>
      </c>
      <c r="Q5922" s="24"/>
      <c r="R5922" s="25"/>
      <c r="S5922" s="25"/>
      <c r="T5922" s="26"/>
      <c r="U5922" s="26"/>
      <c r="V5922" s="25"/>
      <c r="W5922" s="25"/>
      <c r="X5922" s="25"/>
      <c r="Y5922" s="25"/>
      <c r="Z5922" s="25"/>
    </row>
    <row r="5923" spans="1:26" ht="15.75" customHeight="1" x14ac:dyDescent="0.25">
      <c r="A5923" s="25"/>
      <c r="B5923" s="49"/>
      <c r="C5923" s="50"/>
      <c r="D5923" s="23"/>
      <c r="E5923" s="23"/>
      <c r="F5923" s="15"/>
      <c r="G5923" s="23"/>
      <c r="H5923" s="15"/>
      <c r="I5923" s="15"/>
      <c r="J5923" s="51"/>
      <c r="K5923" s="15"/>
      <c r="L5923" s="51"/>
      <c r="M5923" s="15"/>
      <c r="N5923" s="23"/>
      <c r="O5923" s="23"/>
      <c r="P5923" s="15" t="str">
        <f t="shared" si="6"/>
        <v/>
      </c>
      <c r="Q5923" s="24"/>
      <c r="R5923" s="25"/>
      <c r="S5923" s="25"/>
      <c r="T5923" s="26"/>
      <c r="U5923" s="26"/>
      <c r="V5923" s="25"/>
      <c r="W5923" s="25"/>
      <c r="X5923" s="25"/>
      <c r="Y5923" s="25"/>
      <c r="Z5923" s="25"/>
    </row>
    <row r="5924" spans="1:26" ht="15.75" customHeight="1" x14ac:dyDescent="0.25">
      <c r="A5924" s="25"/>
      <c r="B5924" s="49"/>
      <c r="C5924" s="50"/>
      <c r="D5924" s="23"/>
      <c r="E5924" s="23"/>
      <c r="F5924" s="15"/>
      <c r="G5924" s="23"/>
      <c r="H5924" s="15"/>
      <c r="I5924" s="15"/>
      <c r="J5924" s="51"/>
      <c r="K5924" s="15"/>
      <c r="L5924" s="51"/>
      <c r="M5924" s="15"/>
      <c r="N5924" s="23"/>
      <c r="O5924" s="23"/>
      <c r="P5924" s="15" t="str">
        <f t="shared" si="6"/>
        <v/>
      </c>
      <c r="Q5924" s="24"/>
      <c r="R5924" s="25"/>
      <c r="S5924" s="25"/>
      <c r="T5924" s="26"/>
      <c r="U5924" s="26"/>
      <c r="V5924" s="25"/>
      <c r="W5924" s="25"/>
      <c r="X5924" s="25"/>
      <c r="Y5924" s="25"/>
      <c r="Z5924" s="25"/>
    </row>
    <row r="5925" spans="1:26" ht="15.75" customHeight="1" x14ac:dyDescent="0.25">
      <c r="A5925" s="25"/>
      <c r="B5925" s="49"/>
      <c r="C5925" s="50"/>
      <c r="D5925" s="23"/>
      <c r="E5925" s="23"/>
      <c r="F5925" s="15"/>
      <c r="G5925" s="23"/>
      <c r="H5925" s="15"/>
      <c r="I5925" s="15"/>
      <c r="J5925" s="51"/>
      <c r="K5925" s="15"/>
      <c r="L5925" s="51"/>
      <c r="M5925" s="15"/>
      <c r="N5925" s="23"/>
      <c r="O5925" s="23"/>
      <c r="P5925" s="15" t="str">
        <f t="shared" si="6"/>
        <v/>
      </c>
      <c r="Q5925" s="24"/>
      <c r="R5925" s="25"/>
      <c r="S5925" s="25"/>
      <c r="T5925" s="26"/>
      <c r="U5925" s="26"/>
      <c r="V5925" s="25"/>
      <c r="W5925" s="25"/>
      <c r="X5925" s="25"/>
      <c r="Y5925" s="25"/>
      <c r="Z5925" s="25"/>
    </row>
    <row r="5926" spans="1:26" ht="15.75" customHeight="1" x14ac:dyDescent="0.25">
      <c r="A5926" s="25"/>
      <c r="B5926" s="49"/>
      <c r="C5926" s="50"/>
      <c r="D5926" s="23"/>
      <c r="E5926" s="23"/>
      <c r="F5926" s="15"/>
      <c r="G5926" s="23"/>
      <c r="H5926" s="15"/>
      <c r="I5926" s="15"/>
      <c r="J5926" s="51"/>
      <c r="K5926" s="15"/>
      <c r="L5926" s="51"/>
      <c r="M5926" s="15"/>
      <c r="N5926" s="23"/>
      <c r="O5926" s="23"/>
      <c r="P5926" s="15" t="str">
        <f t="shared" si="6"/>
        <v/>
      </c>
      <c r="Q5926" s="24"/>
      <c r="R5926" s="25"/>
      <c r="S5926" s="25"/>
      <c r="T5926" s="26"/>
      <c r="U5926" s="26"/>
      <c r="V5926" s="25"/>
      <c r="W5926" s="25"/>
      <c r="X5926" s="25"/>
      <c r="Y5926" s="25"/>
      <c r="Z5926" s="25"/>
    </row>
    <row r="5927" spans="1:26" ht="15.75" customHeight="1" x14ac:dyDescent="0.25">
      <c r="A5927" s="25"/>
      <c r="B5927" s="49"/>
      <c r="C5927" s="50"/>
      <c r="D5927" s="23"/>
      <c r="E5927" s="23"/>
      <c r="F5927" s="15"/>
      <c r="G5927" s="23"/>
      <c r="H5927" s="15"/>
      <c r="I5927" s="15"/>
      <c r="J5927" s="51"/>
      <c r="K5927" s="15"/>
      <c r="L5927" s="51"/>
      <c r="M5927" s="15"/>
      <c r="N5927" s="23"/>
      <c r="O5927" s="23"/>
      <c r="P5927" s="15" t="str">
        <f t="shared" si="6"/>
        <v/>
      </c>
      <c r="Q5927" s="24"/>
      <c r="R5927" s="25"/>
      <c r="S5927" s="25"/>
      <c r="T5927" s="26"/>
      <c r="U5927" s="26"/>
      <c r="V5927" s="25"/>
      <c r="W5927" s="25"/>
      <c r="X5927" s="25"/>
      <c r="Y5927" s="25"/>
      <c r="Z5927" s="25"/>
    </row>
    <row r="5928" spans="1:26" ht="15.75" customHeight="1" x14ac:dyDescent="0.25">
      <c r="A5928" s="25"/>
      <c r="B5928" s="49"/>
      <c r="C5928" s="50"/>
      <c r="D5928" s="23"/>
      <c r="E5928" s="23"/>
      <c r="F5928" s="15"/>
      <c r="G5928" s="23"/>
      <c r="H5928" s="15"/>
      <c r="I5928" s="15"/>
      <c r="J5928" s="51"/>
      <c r="K5928" s="15"/>
      <c r="L5928" s="51"/>
      <c r="M5928" s="15"/>
      <c r="N5928" s="23"/>
      <c r="O5928" s="23"/>
      <c r="P5928" s="15" t="str">
        <f t="shared" si="6"/>
        <v/>
      </c>
      <c r="Q5928" s="24"/>
      <c r="R5928" s="25"/>
      <c r="S5928" s="25"/>
      <c r="T5928" s="26"/>
      <c r="U5928" s="26"/>
      <c r="V5928" s="25"/>
      <c r="W5928" s="25"/>
      <c r="X5928" s="25"/>
      <c r="Y5928" s="25"/>
      <c r="Z5928" s="25"/>
    </row>
    <row r="5929" spans="1:26" ht="15.75" customHeight="1" x14ac:dyDescent="0.25">
      <c r="A5929" s="25"/>
      <c r="B5929" s="49"/>
      <c r="C5929" s="50"/>
      <c r="D5929" s="23"/>
      <c r="E5929" s="23"/>
      <c r="F5929" s="15"/>
      <c r="G5929" s="23"/>
      <c r="H5929" s="15"/>
      <c r="I5929" s="15"/>
      <c r="J5929" s="51"/>
      <c r="K5929" s="15"/>
      <c r="L5929" s="51"/>
      <c r="M5929" s="15"/>
      <c r="N5929" s="23"/>
      <c r="O5929" s="23"/>
      <c r="P5929" s="15" t="str">
        <f t="shared" si="6"/>
        <v/>
      </c>
      <c r="Q5929" s="24"/>
      <c r="R5929" s="25"/>
      <c r="S5929" s="25"/>
      <c r="T5929" s="26"/>
      <c r="U5929" s="26"/>
      <c r="V5929" s="25"/>
      <c r="W5929" s="25"/>
      <c r="X5929" s="25"/>
      <c r="Y5929" s="25"/>
      <c r="Z5929" s="25"/>
    </row>
    <row r="5930" spans="1:26" ht="15.75" customHeight="1" x14ac:dyDescent="0.25">
      <c r="A5930" s="25"/>
      <c r="B5930" s="49"/>
      <c r="C5930" s="50"/>
      <c r="D5930" s="23"/>
      <c r="E5930" s="23"/>
      <c r="F5930" s="15"/>
      <c r="G5930" s="23"/>
      <c r="H5930" s="15"/>
      <c r="I5930" s="15"/>
      <c r="J5930" s="51"/>
      <c r="K5930" s="15"/>
      <c r="L5930" s="51"/>
      <c r="M5930" s="15"/>
      <c r="N5930" s="23"/>
      <c r="O5930" s="23"/>
      <c r="P5930" s="15" t="str">
        <f t="shared" si="6"/>
        <v/>
      </c>
      <c r="Q5930" s="24"/>
      <c r="R5930" s="25"/>
      <c r="S5930" s="25"/>
      <c r="T5930" s="26"/>
      <c r="U5930" s="26"/>
      <c r="V5930" s="25"/>
      <c r="W5930" s="25"/>
      <c r="X5930" s="25"/>
      <c r="Y5930" s="25"/>
      <c r="Z5930" s="25"/>
    </row>
    <row r="5931" spans="1:26" ht="15.75" customHeight="1" x14ac:dyDescent="0.25">
      <c r="A5931" s="25"/>
      <c r="B5931" s="49"/>
      <c r="C5931" s="50"/>
      <c r="D5931" s="23"/>
      <c r="E5931" s="23"/>
      <c r="F5931" s="15"/>
      <c r="G5931" s="23"/>
      <c r="H5931" s="15"/>
      <c r="I5931" s="15"/>
      <c r="J5931" s="51"/>
      <c r="K5931" s="15"/>
      <c r="L5931" s="51"/>
      <c r="M5931" s="15"/>
      <c r="N5931" s="23"/>
      <c r="O5931" s="23"/>
      <c r="P5931" s="15" t="str">
        <f t="shared" si="6"/>
        <v/>
      </c>
      <c r="Q5931" s="24"/>
      <c r="R5931" s="25"/>
      <c r="S5931" s="25"/>
      <c r="T5931" s="26"/>
      <c r="U5931" s="26"/>
      <c r="V5931" s="25"/>
      <c r="W5931" s="25"/>
      <c r="X5931" s="25"/>
      <c r="Y5931" s="25"/>
      <c r="Z5931" s="25"/>
    </row>
    <row r="5932" spans="1:26" ht="15.75" customHeight="1" x14ac:dyDescent="0.25">
      <c r="A5932" s="25"/>
      <c r="B5932" s="49"/>
      <c r="C5932" s="50"/>
      <c r="D5932" s="23"/>
      <c r="E5932" s="23"/>
      <c r="F5932" s="15"/>
      <c r="G5932" s="23"/>
      <c r="H5932" s="15"/>
      <c r="I5932" s="15"/>
      <c r="J5932" s="51"/>
      <c r="K5932" s="15"/>
      <c r="L5932" s="51"/>
      <c r="M5932" s="15"/>
      <c r="N5932" s="23"/>
      <c r="O5932" s="23"/>
      <c r="P5932" s="15" t="str">
        <f t="shared" si="6"/>
        <v/>
      </c>
      <c r="Q5932" s="24"/>
      <c r="R5932" s="25"/>
      <c r="S5932" s="25"/>
      <c r="T5932" s="26"/>
      <c r="U5932" s="26"/>
      <c r="V5932" s="25"/>
      <c r="W5932" s="25"/>
      <c r="X5932" s="25"/>
      <c r="Y5932" s="25"/>
      <c r="Z5932" s="25"/>
    </row>
    <row r="5933" spans="1:26" ht="15.75" customHeight="1" x14ac:dyDescent="0.25">
      <c r="A5933" s="25"/>
      <c r="B5933" s="49"/>
      <c r="C5933" s="50"/>
      <c r="D5933" s="23"/>
      <c r="E5933" s="23"/>
      <c r="F5933" s="15"/>
      <c r="G5933" s="23"/>
      <c r="H5933" s="15"/>
      <c r="I5933" s="15"/>
      <c r="J5933" s="51"/>
      <c r="K5933" s="15"/>
      <c r="L5933" s="51"/>
      <c r="M5933" s="15"/>
      <c r="N5933" s="23"/>
      <c r="O5933" s="23"/>
      <c r="P5933" s="15" t="str">
        <f t="shared" si="6"/>
        <v/>
      </c>
      <c r="Q5933" s="24"/>
      <c r="R5933" s="25"/>
      <c r="S5933" s="25"/>
      <c r="T5933" s="26"/>
      <c r="U5933" s="26"/>
      <c r="V5933" s="25"/>
      <c r="W5933" s="25"/>
      <c r="X5933" s="25"/>
      <c r="Y5933" s="25"/>
      <c r="Z5933" s="25"/>
    </row>
    <row r="5934" spans="1:26" ht="15.75" customHeight="1" x14ac:dyDescent="0.25">
      <c r="A5934" s="25"/>
      <c r="B5934" s="49"/>
      <c r="C5934" s="50"/>
      <c r="D5934" s="23"/>
      <c r="E5934" s="23"/>
      <c r="F5934" s="15"/>
      <c r="G5934" s="23"/>
      <c r="H5934" s="15"/>
      <c r="I5934" s="15"/>
      <c r="J5934" s="51"/>
      <c r="K5934" s="15"/>
      <c r="L5934" s="51"/>
      <c r="M5934" s="15"/>
      <c r="N5934" s="23"/>
      <c r="O5934" s="23"/>
      <c r="P5934" s="15" t="str">
        <f t="shared" si="6"/>
        <v/>
      </c>
      <c r="Q5934" s="24"/>
      <c r="R5934" s="25"/>
      <c r="S5934" s="25"/>
      <c r="T5934" s="26"/>
      <c r="U5934" s="26"/>
      <c r="V5934" s="25"/>
      <c r="W5934" s="25"/>
      <c r="X5934" s="25"/>
      <c r="Y5934" s="25"/>
      <c r="Z5934" s="25"/>
    </row>
    <row r="5935" spans="1:26" ht="15.75" customHeight="1" x14ac:dyDescent="0.25">
      <c r="A5935" s="25"/>
      <c r="B5935" s="49"/>
      <c r="C5935" s="50"/>
      <c r="D5935" s="23"/>
      <c r="E5935" s="23"/>
      <c r="F5935" s="15"/>
      <c r="G5935" s="23"/>
      <c r="H5935" s="15"/>
      <c r="I5935" s="15"/>
      <c r="J5935" s="51"/>
      <c r="K5935" s="15"/>
      <c r="L5935" s="51"/>
      <c r="M5935" s="15"/>
      <c r="N5935" s="23"/>
      <c r="O5935" s="23"/>
      <c r="P5935" s="15" t="str">
        <f t="shared" si="6"/>
        <v/>
      </c>
      <c r="Q5935" s="24"/>
      <c r="R5935" s="25"/>
      <c r="S5935" s="25"/>
      <c r="T5935" s="26"/>
      <c r="U5935" s="26"/>
      <c r="V5935" s="25"/>
      <c r="W5935" s="25"/>
      <c r="X5935" s="25"/>
      <c r="Y5935" s="25"/>
      <c r="Z5935" s="25"/>
    </row>
    <row r="5936" spans="1:26" ht="15.75" customHeight="1" x14ac:dyDescent="0.25">
      <c r="A5936" s="25"/>
      <c r="B5936" s="49"/>
      <c r="C5936" s="50"/>
      <c r="D5936" s="23"/>
      <c r="E5936" s="23"/>
      <c r="F5936" s="15"/>
      <c r="G5936" s="23"/>
      <c r="H5936" s="15"/>
      <c r="I5936" s="15"/>
      <c r="J5936" s="51"/>
      <c r="K5936" s="15"/>
      <c r="L5936" s="51"/>
      <c r="M5936" s="15"/>
      <c r="N5936" s="23"/>
      <c r="O5936" s="23"/>
      <c r="P5936" s="15" t="str">
        <f t="shared" si="6"/>
        <v/>
      </c>
      <c r="Q5936" s="24"/>
      <c r="R5936" s="25"/>
      <c r="S5936" s="25"/>
      <c r="T5936" s="26"/>
      <c r="U5936" s="26"/>
      <c r="V5936" s="25"/>
      <c r="W5936" s="25"/>
      <c r="X5936" s="25"/>
      <c r="Y5936" s="25"/>
      <c r="Z5936" s="25"/>
    </row>
    <row r="5937" spans="1:26" ht="15.75" customHeight="1" x14ac:dyDescent="0.25">
      <c r="A5937" s="25"/>
      <c r="B5937" s="49"/>
      <c r="C5937" s="50"/>
      <c r="D5937" s="23"/>
      <c r="E5937" s="23"/>
      <c r="F5937" s="15"/>
      <c r="G5937" s="23"/>
      <c r="H5937" s="15"/>
      <c r="I5937" s="15"/>
      <c r="J5937" s="51"/>
      <c r="K5937" s="15"/>
      <c r="L5937" s="51"/>
      <c r="M5937" s="15"/>
      <c r="N5937" s="23"/>
      <c r="O5937" s="23"/>
      <c r="P5937" s="15" t="str">
        <f t="shared" si="6"/>
        <v/>
      </c>
      <c r="Q5937" s="24"/>
      <c r="R5937" s="25"/>
      <c r="S5937" s="25"/>
      <c r="T5937" s="26"/>
      <c r="U5937" s="26"/>
      <c r="V5937" s="25"/>
      <c r="W5937" s="25"/>
      <c r="X5937" s="25"/>
      <c r="Y5937" s="25"/>
      <c r="Z5937" s="25"/>
    </row>
    <row r="5938" spans="1:26" ht="15.75" customHeight="1" x14ac:dyDescent="0.25">
      <c r="A5938" s="25"/>
      <c r="B5938" s="49"/>
      <c r="C5938" s="50"/>
      <c r="D5938" s="23"/>
      <c r="E5938" s="23"/>
      <c r="F5938" s="15"/>
      <c r="G5938" s="23"/>
      <c r="H5938" s="15"/>
      <c r="I5938" s="15"/>
      <c r="J5938" s="51"/>
      <c r="K5938" s="15"/>
      <c r="L5938" s="51"/>
      <c r="M5938" s="15"/>
      <c r="N5938" s="23"/>
      <c r="O5938" s="23"/>
      <c r="P5938" s="15" t="str">
        <f t="shared" si="6"/>
        <v/>
      </c>
      <c r="Q5938" s="24"/>
      <c r="R5938" s="25"/>
      <c r="S5938" s="25"/>
      <c r="T5938" s="26"/>
      <c r="U5938" s="26"/>
      <c r="V5938" s="25"/>
      <c r="W5938" s="25"/>
      <c r="X5938" s="25"/>
      <c r="Y5938" s="25"/>
      <c r="Z5938" s="25"/>
    </row>
    <row r="5939" spans="1:26" ht="15.75" customHeight="1" x14ac:dyDescent="0.25">
      <c r="A5939" s="25"/>
      <c r="B5939" s="49"/>
      <c r="C5939" s="50"/>
      <c r="D5939" s="23"/>
      <c r="E5939" s="23"/>
      <c r="F5939" s="15"/>
      <c r="G5939" s="23"/>
      <c r="H5939" s="15"/>
      <c r="I5939" s="15"/>
      <c r="J5939" s="51"/>
      <c r="K5939" s="15"/>
      <c r="L5939" s="51"/>
      <c r="M5939" s="15"/>
      <c r="N5939" s="23"/>
      <c r="O5939" s="23"/>
      <c r="P5939" s="15" t="str">
        <f t="shared" si="6"/>
        <v/>
      </c>
      <c r="Q5939" s="24"/>
      <c r="R5939" s="25"/>
      <c r="S5939" s="25"/>
      <c r="T5939" s="26"/>
      <c r="U5939" s="26"/>
      <c r="V5939" s="25"/>
      <c r="W5939" s="25"/>
      <c r="X5939" s="25"/>
      <c r="Y5939" s="25"/>
      <c r="Z5939" s="25"/>
    </row>
    <row r="5940" spans="1:26" ht="15.75" customHeight="1" x14ac:dyDescent="0.25">
      <c r="A5940" s="25"/>
      <c r="B5940" s="49"/>
      <c r="C5940" s="50"/>
      <c r="D5940" s="23"/>
      <c r="E5940" s="23"/>
      <c r="F5940" s="15"/>
      <c r="G5940" s="23"/>
      <c r="H5940" s="15"/>
      <c r="I5940" s="15"/>
      <c r="J5940" s="51"/>
      <c r="K5940" s="15"/>
      <c r="L5940" s="51"/>
      <c r="M5940" s="15"/>
      <c r="N5940" s="23"/>
      <c r="O5940" s="23"/>
      <c r="P5940" s="15" t="str">
        <f t="shared" si="6"/>
        <v/>
      </c>
      <c r="Q5940" s="24"/>
      <c r="R5940" s="25"/>
      <c r="S5940" s="25"/>
      <c r="T5940" s="26"/>
      <c r="U5940" s="26"/>
      <c r="V5940" s="25"/>
      <c r="W5940" s="25"/>
      <c r="X5940" s="25"/>
      <c r="Y5940" s="25"/>
      <c r="Z5940" s="25"/>
    </row>
    <row r="5941" spans="1:26" ht="15.75" customHeight="1" x14ac:dyDescent="0.25">
      <c r="A5941" s="25"/>
      <c r="B5941" s="49"/>
      <c r="C5941" s="50"/>
      <c r="D5941" s="23"/>
      <c r="E5941" s="23"/>
      <c r="F5941" s="15"/>
      <c r="G5941" s="23"/>
      <c r="H5941" s="15"/>
      <c r="I5941" s="15"/>
      <c r="J5941" s="51"/>
      <c r="K5941" s="15"/>
      <c r="L5941" s="51"/>
      <c r="M5941" s="15"/>
      <c r="N5941" s="23"/>
      <c r="O5941" s="23"/>
      <c r="P5941" s="15" t="str">
        <f t="shared" si="6"/>
        <v/>
      </c>
      <c r="Q5941" s="24"/>
      <c r="R5941" s="25"/>
      <c r="S5941" s="25"/>
      <c r="T5941" s="26"/>
      <c r="U5941" s="26"/>
      <c r="V5941" s="25"/>
      <c r="W5941" s="25"/>
      <c r="X5941" s="25"/>
      <c r="Y5941" s="25"/>
      <c r="Z5941" s="25"/>
    </row>
    <row r="5942" spans="1:26" ht="15.75" customHeight="1" x14ac:dyDescent="0.25">
      <c r="A5942" s="25"/>
      <c r="B5942" s="49"/>
      <c r="C5942" s="50"/>
      <c r="D5942" s="23"/>
      <c r="E5942" s="23"/>
      <c r="F5942" s="15"/>
      <c r="G5942" s="23"/>
      <c r="H5942" s="15"/>
      <c r="I5942" s="15"/>
      <c r="J5942" s="51"/>
      <c r="K5942" s="15"/>
      <c r="L5942" s="51"/>
      <c r="M5942" s="15"/>
      <c r="N5942" s="23"/>
      <c r="O5942" s="23"/>
      <c r="P5942" s="15" t="str">
        <f t="shared" si="6"/>
        <v/>
      </c>
      <c r="Q5942" s="24"/>
      <c r="R5942" s="25"/>
      <c r="S5942" s="25"/>
      <c r="T5942" s="26"/>
      <c r="U5942" s="26"/>
      <c r="V5942" s="25"/>
      <c r="W5942" s="25"/>
      <c r="X5942" s="25"/>
      <c r="Y5942" s="25"/>
      <c r="Z5942" s="25"/>
    </row>
    <row r="5943" spans="1:26" ht="15.75" customHeight="1" x14ac:dyDescent="0.25">
      <c r="A5943" s="25"/>
      <c r="B5943" s="49"/>
      <c r="C5943" s="50"/>
      <c r="D5943" s="23"/>
      <c r="E5943" s="23"/>
      <c r="F5943" s="15"/>
      <c r="G5943" s="23"/>
      <c r="H5943" s="15"/>
      <c r="I5943" s="15"/>
      <c r="J5943" s="51"/>
      <c r="K5943" s="15"/>
      <c r="L5943" s="51"/>
      <c r="M5943" s="15"/>
      <c r="N5943" s="23"/>
      <c r="O5943" s="23"/>
      <c r="P5943" s="15" t="str">
        <f t="shared" si="6"/>
        <v/>
      </c>
      <c r="Q5943" s="24"/>
      <c r="R5943" s="25"/>
      <c r="S5943" s="25"/>
      <c r="T5943" s="26"/>
      <c r="U5943" s="26"/>
      <c r="V5943" s="25"/>
      <c r="W5943" s="25"/>
      <c r="X5943" s="25"/>
      <c r="Y5943" s="25"/>
      <c r="Z5943" s="25"/>
    </row>
    <row r="5944" spans="1:26" ht="15.75" customHeight="1" x14ac:dyDescent="0.25">
      <c r="A5944" s="25"/>
      <c r="B5944" s="49"/>
      <c r="C5944" s="50"/>
      <c r="D5944" s="23"/>
      <c r="E5944" s="23"/>
      <c r="F5944" s="15"/>
      <c r="G5944" s="23"/>
      <c r="H5944" s="15"/>
      <c r="I5944" s="15"/>
      <c r="J5944" s="51"/>
      <c r="K5944" s="15"/>
      <c r="L5944" s="51"/>
      <c r="M5944" s="15"/>
      <c r="N5944" s="23"/>
      <c r="O5944" s="23"/>
      <c r="P5944" s="15" t="str">
        <f t="shared" si="6"/>
        <v/>
      </c>
      <c r="Q5944" s="24"/>
      <c r="R5944" s="25"/>
      <c r="S5944" s="25"/>
      <c r="T5944" s="26"/>
      <c r="U5944" s="26"/>
      <c r="V5944" s="25"/>
      <c r="W5944" s="25"/>
      <c r="X5944" s="25"/>
      <c r="Y5944" s="25"/>
      <c r="Z5944" s="25"/>
    </row>
    <row r="5945" spans="1:26" ht="15.75" customHeight="1" x14ac:dyDescent="0.25">
      <c r="A5945" s="25"/>
      <c r="B5945" s="49"/>
      <c r="C5945" s="50"/>
      <c r="D5945" s="23"/>
      <c r="E5945" s="23"/>
      <c r="F5945" s="15"/>
      <c r="G5945" s="23"/>
      <c r="H5945" s="15"/>
      <c r="I5945" s="15"/>
      <c r="J5945" s="51"/>
      <c r="K5945" s="15"/>
      <c r="L5945" s="51"/>
      <c r="M5945" s="15"/>
      <c r="N5945" s="23"/>
      <c r="O5945" s="23"/>
      <c r="P5945" s="15" t="str">
        <f t="shared" si="6"/>
        <v/>
      </c>
      <c r="Q5945" s="24"/>
      <c r="R5945" s="25"/>
      <c r="S5945" s="25"/>
      <c r="T5945" s="26"/>
      <c r="U5945" s="26"/>
      <c r="V5945" s="25"/>
      <c r="W5945" s="25"/>
      <c r="X5945" s="25"/>
      <c r="Y5945" s="25"/>
      <c r="Z5945" s="25"/>
    </row>
    <row r="5946" spans="1:26" ht="15.75" customHeight="1" x14ac:dyDescent="0.25">
      <c r="A5946" s="25"/>
      <c r="B5946" s="49"/>
      <c r="C5946" s="50"/>
      <c r="D5946" s="23"/>
      <c r="E5946" s="23"/>
      <c r="F5946" s="15"/>
      <c r="G5946" s="23"/>
      <c r="H5946" s="15"/>
      <c r="I5946" s="15"/>
      <c r="J5946" s="51"/>
      <c r="K5946" s="15"/>
      <c r="L5946" s="51"/>
      <c r="M5946" s="15"/>
      <c r="N5946" s="23"/>
      <c r="O5946" s="23"/>
      <c r="P5946" s="15" t="str">
        <f t="shared" si="6"/>
        <v/>
      </c>
      <c r="Q5946" s="24"/>
      <c r="R5946" s="25"/>
      <c r="S5946" s="25"/>
      <c r="T5946" s="26"/>
      <c r="U5946" s="26"/>
      <c r="V5946" s="25"/>
      <c r="W5946" s="25"/>
      <c r="X5946" s="25"/>
      <c r="Y5946" s="25"/>
      <c r="Z5946" s="25"/>
    </row>
    <row r="5947" spans="1:26" ht="15.75" customHeight="1" x14ac:dyDescent="0.25">
      <c r="A5947" s="25"/>
      <c r="B5947" s="49"/>
      <c r="C5947" s="50"/>
      <c r="D5947" s="23"/>
      <c r="E5947" s="23"/>
      <c r="F5947" s="15"/>
      <c r="G5947" s="23"/>
      <c r="H5947" s="15"/>
      <c r="I5947" s="15"/>
      <c r="J5947" s="51"/>
      <c r="K5947" s="15"/>
      <c r="L5947" s="51"/>
      <c r="M5947" s="15"/>
      <c r="N5947" s="23"/>
      <c r="O5947" s="23"/>
      <c r="P5947" s="15" t="str">
        <f t="shared" si="6"/>
        <v/>
      </c>
      <c r="Q5947" s="24"/>
      <c r="R5947" s="25"/>
      <c r="S5947" s="25"/>
      <c r="T5947" s="26"/>
      <c r="U5947" s="26"/>
      <c r="V5947" s="25"/>
      <c r="W5947" s="25"/>
      <c r="X5947" s="25"/>
      <c r="Y5947" s="25"/>
      <c r="Z5947" s="25"/>
    </row>
    <row r="5948" spans="1:26" ht="15.75" customHeight="1" x14ac:dyDescent="0.25">
      <c r="A5948" s="25"/>
      <c r="B5948" s="49"/>
      <c r="C5948" s="50"/>
      <c r="D5948" s="23"/>
      <c r="E5948" s="23"/>
      <c r="F5948" s="15"/>
      <c r="G5948" s="23"/>
      <c r="H5948" s="15"/>
      <c r="I5948" s="15"/>
      <c r="J5948" s="51"/>
      <c r="K5948" s="15"/>
      <c r="L5948" s="51"/>
      <c r="M5948" s="15"/>
      <c r="N5948" s="23"/>
      <c r="O5948" s="23"/>
      <c r="P5948" s="15" t="str">
        <f t="shared" si="6"/>
        <v/>
      </c>
      <c r="Q5948" s="24"/>
      <c r="R5948" s="25"/>
      <c r="S5948" s="25"/>
      <c r="T5948" s="26"/>
      <c r="U5948" s="26"/>
      <c r="V5948" s="25"/>
      <c r="W5948" s="25"/>
      <c r="X5948" s="25"/>
      <c r="Y5948" s="25"/>
      <c r="Z5948" s="25"/>
    </row>
    <row r="5949" spans="1:26" ht="15.75" customHeight="1" x14ac:dyDescent="0.25">
      <c r="A5949" s="25"/>
      <c r="B5949" s="49"/>
      <c r="C5949" s="50"/>
      <c r="D5949" s="23"/>
      <c r="E5949" s="23"/>
      <c r="F5949" s="15"/>
      <c r="G5949" s="23"/>
      <c r="H5949" s="15"/>
      <c r="I5949" s="15"/>
      <c r="J5949" s="51"/>
      <c r="K5949" s="15"/>
      <c r="L5949" s="51"/>
      <c r="M5949" s="15"/>
      <c r="N5949" s="23"/>
      <c r="O5949" s="23"/>
      <c r="P5949" s="15" t="str">
        <f t="shared" si="6"/>
        <v/>
      </c>
      <c r="Q5949" s="24"/>
      <c r="R5949" s="25"/>
      <c r="S5949" s="25"/>
      <c r="T5949" s="26"/>
      <c r="U5949" s="26"/>
      <c r="V5949" s="25"/>
      <c r="W5949" s="25"/>
      <c r="X5949" s="25"/>
      <c r="Y5949" s="25"/>
      <c r="Z5949" s="25"/>
    </row>
    <row r="5950" spans="1:26" ht="15.75" customHeight="1" x14ac:dyDescent="0.25">
      <c r="A5950" s="25"/>
      <c r="B5950" s="49"/>
      <c r="C5950" s="50"/>
      <c r="D5950" s="23"/>
      <c r="E5950" s="23"/>
      <c r="F5950" s="15"/>
      <c r="G5950" s="23"/>
      <c r="H5950" s="15"/>
      <c r="I5950" s="15"/>
      <c r="J5950" s="51"/>
      <c r="K5950" s="15"/>
      <c r="L5950" s="51"/>
      <c r="M5950" s="15"/>
      <c r="N5950" s="23"/>
      <c r="O5950" s="23"/>
      <c r="P5950" s="15" t="str">
        <f t="shared" si="6"/>
        <v/>
      </c>
      <c r="Q5950" s="24"/>
      <c r="R5950" s="25"/>
      <c r="S5950" s="25"/>
      <c r="T5950" s="26"/>
      <c r="U5950" s="26"/>
      <c r="V5950" s="25"/>
      <c r="W5950" s="25"/>
      <c r="X5950" s="25"/>
      <c r="Y5950" s="25"/>
      <c r="Z5950" s="25"/>
    </row>
    <row r="5951" spans="1:26" ht="15.75" customHeight="1" x14ac:dyDescent="0.25">
      <c r="A5951" s="25"/>
      <c r="B5951" s="49"/>
      <c r="C5951" s="50"/>
      <c r="D5951" s="23"/>
      <c r="E5951" s="23"/>
      <c r="F5951" s="15"/>
      <c r="G5951" s="23"/>
      <c r="H5951" s="15"/>
      <c r="I5951" s="15"/>
      <c r="J5951" s="51"/>
      <c r="K5951" s="15"/>
      <c r="L5951" s="51"/>
      <c r="M5951" s="15"/>
      <c r="N5951" s="23"/>
      <c r="O5951" s="23"/>
      <c r="P5951" s="15" t="str">
        <f t="shared" si="6"/>
        <v/>
      </c>
      <c r="Q5951" s="24"/>
      <c r="R5951" s="25"/>
      <c r="S5951" s="25"/>
      <c r="T5951" s="26"/>
      <c r="U5951" s="26"/>
      <c r="V5951" s="25"/>
      <c r="W5951" s="25"/>
      <c r="X5951" s="25"/>
      <c r="Y5951" s="25"/>
      <c r="Z5951" s="25"/>
    </row>
    <row r="5952" spans="1:26" ht="15.75" customHeight="1" x14ac:dyDescent="0.25">
      <c r="A5952" s="25"/>
      <c r="B5952" s="49"/>
      <c r="C5952" s="50"/>
      <c r="D5952" s="23"/>
      <c r="E5952" s="23"/>
      <c r="F5952" s="15"/>
      <c r="G5952" s="23"/>
      <c r="H5952" s="15"/>
      <c r="I5952" s="15"/>
      <c r="J5952" s="51"/>
      <c r="K5952" s="15"/>
      <c r="L5952" s="51"/>
      <c r="M5952" s="15"/>
      <c r="N5952" s="23"/>
      <c r="O5952" s="23"/>
      <c r="P5952" s="15" t="str">
        <f t="shared" si="6"/>
        <v/>
      </c>
      <c r="Q5952" s="24"/>
      <c r="R5952" s="25"/>
      <c r="S5952" s="25"/>
      <c r="T5952" s="26"/>
      <c r="U5952" s="26"/>
      <c r="V5952" s="25"/>
      <c r="W5952" s="25"/>
      <c r="X5952" s="25"/>
      <c r="Y5952" s="25"/>
      <c r="Z5952" s="25"/>
    </row>
    <row r="5953" spans="1:26" ht="15.75" customHeight="1" x14ac:dyDescent="0.25">
      <c r="A5953" s="25"/>
      <c r="B5953" s="49"/>
      <c r="C5953" s="50"/>
      <c r="D5953" s="23"/>
      <c r="E5953" s="23"/>
      <c r="F5953" s="15"/>
      <c r="G5953" s="23"/>
      <c r="H5953" s="15"/>
      <c r="I5953" s="15"/>
      <c r="J5953" s="51"/>
      <c r="K5953" s="15"/>
      <c r="L5953" s="51"/>
      <c r="M5953" s="15"/>
      <c r="N5953" s="23"/>
      <c r="O5953" s="23"/>
      <c r="P5953" s="15" t="str">
        <f t="shared" si="6"/>
        <v/>
      </c>
      <c r="Q5953" s="24"/>
      <c r="R5953" s="25"/>
      <c r="S5953" s="25"/>
      <c r="T5953" s="26"/>
      <c r="U5953" s="26"/>
      <c r="V5953" s="25"/>
      <c r="W5953" s="25"/>
      <c r="X5953" s="25"/>
      <c r="Y5953" s="25"/>
      <c r="Z5953" s="25"/>
    </row>
    <row r="5954" spans="1:26" ht="15.75" customHeight="1" x14ac:dyDescent="0.25">
      <c r="A5954" s="25"/>
      <c r="B5954" s="49"/>
      <c r="C5954" s="50"/>
      <c r="D5954" s="23"/>
      <c r="E5954" s="23"/>
      <c r="F5954" s="15"/>
      <c r="G5954" s="23"/>
      <c r="H5954" s="15"/>
      <c r="I5954" s="15"/>
      <c r="J5954" s="51"/>
      <c r="K5954" s="15"/>
      <c r="L5954" s="51"/>
      <c r="M5954" s="15"/>
      <c r="N5954" s="23"/>
      <c r="O5954" s="23"/>
      <c r="P5954" s="15" t="str">
        <f t="shared" si="6"/>
        <v/>
      </c>
      <c r="Q5954" s="24"/>
      <c r="R5954" s="25"/>
      <c r="S5954" s="25"/>
      <c r="T5954" s="26"/>
      <c r="U5954" s="26"/>
      <c r="V5954" s="25"/>
      <c r="W5954" s="25"/>
      <c r="X5954" s="25"/>
      <c r="Y5954" s="25"/>
      <c r="Z5954" s="25"/>
    </row>
    <row r="5955" spans="1:26" ht="15.75" customHeight="1" x14ac:dyDescent="0.25">
      <c r="A5955" s="25"/>
      <c r="B5955" s="49"/>
      <c r="C5955" s="50"/>
      <c r="D5955" s="23"/>
      <c r="E5955" s="23"/>
      <c r="F5955" s="15"/>
      <c r="G5955" s="23"/>
      <c r="H5955" s="15"/>
      <c r="I5955" s="15"/>
      <c r="J5955" s="51"/>
      <c r="K5955" s="15"/>
      <c r="L5955" s="51"/>
      <c r="M5955" s="15"/>
      <c r="N5955" s="23"/>
      <c r="O5955" s="23"/>
      <c r="P5955" s="15" t="str">
        <f t="shared" si="6"/>
        <v/>
      </c>
      <c r="Q5955" s="24"/>
      <c r="R5955" s="25"/>
      <c r="S5955" s="25"/>
      <c r="T5955" s="26"/>
      <c r="U5955" s="26"/>
      <c r="V5955" s="25"/>
      <c r="W5955" s="25"/>
      <c r="X5955" s="25"/>
      <c r="Y5955" s="25"/>
      <c r="Z5955" s="25"/>
    </row>
    <row r="5956" spans="1:26" ht="15.75" customHeight="1" x14ac:dyDescent="0.25">
      <c r="A5956" s="25"/>
      <c r="B5956" s="49"/>
      <c r="C5956" s="50"/>
      <c r="D5956" s="23"/>
      <c r="E5956" s="23"/>
      <c r="F5956" s="15"/>
      <c r="G5956" s="23"/>
      <c r="H5956" s="15"/>
      <c r="I5956" s="15"/>
      <c r="J5956" s="51"/>
      <c r="K5956" s="15"/>
      <c r="L5956" s="51"/>
      <c r="M5956" s="15"/>
      <c r="N5956" s="23"/>
      <c r="O5956" s="23"/>
      <c r="P5956" s="15" t="str">
        <f t="shared" si="6"/>
        <v/>
      </c>
      <c r="Q5956" s="24"/>
      <c r="R5956" s="25"/>
      <c r="S5956" s="25"/>
      <c r="T5956" s="26"/>
      <c r="U5956" s="26"/>
      <c r="V5956" s="25"/>
      <c r="W5956" s="25"/>
      <c r="X5956" s="25"/>
      <c r="Y5956" s="25"/>
      <c r="Z5956" s="25"/>
    </row>
    <row r="5957" spans="1:26" ht="15.75" customHeight="1" x14ac:dyDescent="0.25">
      <c r="A5957" s="25"/>
      <c r="B5957" s="49"/>
      <c r="C5957" s="50"/>
      <c r="D5957" s="23"/>
      <c r="E5957" s="23"/>
      <c r="F5957" s="15"/>
      <c r="G5957" s="23"/>
      <c r="H5957" s="15"/>
      <c r="I5957" s="15"/>
      <c r="J5957" s="51"/>
      <c r="K5957" s="15"/>
      <c r="L5957" s="51"/>
      <c r="M5957" s="15"/>
      <c r="N5957" s="23"/>
      <c r="O5957" s="23"/>
      <c r="P5957" s="15" t="str">
        <f t="shared" si="6"/>
        <v/>
      </c>
      <c r="Q5957" s="24"/>
      <c r="R5957" s="25"/>
      <c r="S5957" s="25"/>
      <c r="T5957" s="26"/>
      <c r="U5957" s="26"/>
      <c r="V5957" s="25"/>
      <c r="W5957" s="25"/>
      <c r="X5957" s="25"/>
      <c r="Y5957" s="25"/>
      <c r="Z5957" s="25"/>
    </row>
    <row r="5958" spans="1:26" ht="15.75" customHeight="1" x14ac:dyDescent="0.25">
      <c r="A5958" s="25"/>
      <c r="B5958" s="49"/>
      <c r="C5958" s="50"/>
      <c r="D5958" s="23"/>
      <c r="E5958" s="23"/>
      <c r="F5958" s="15"/>
      <c r="G5958" s="23"/>
      <c r="H5958" s="15"/>
      <c r="I5958" s="15"/>
      <c r="J5958" s="51"/>
      <c r="K5958" s="15"/>
      <c r="L5958" s="51"/>
      <c r="M5958" s="15"/>
      <c r="N5958" s="23"/>
      <c r="O5958" s="23"/>
      <c r="P5958" s="15" t="str">
        <f t="shared" si="6"/>
        <v/>
      </c>
      <c r="Q5958" s="24"/>
      <c r="R5958" s="25"/>
      <c r="S5958" s="25"/>
      <c r="T5958" s="26"/>
      <c r="U5958" s="26"/>
      <c r="V5958" s="25"/>
      <c r="W5958" s="25"/>
      <c r="X5958" s="25"/>
      <c r="Y5958" s="25"/>
      <c r="Z5958" s="25"/>
    </row>
    <row r="5959" spans="1:26" ht="15.75" customHeight="1" x14ac:dyDescent="0.25">
      <c r="A5959" s="25"/>
      <c r="B5959" s="49"/>
      <c r="C5959" s="50"/>
      <c r="D5959" s="23"/>
      <c r="E5959" s="23"/>
      <c r="F5959" s="15"/>
      <c r="G5959" s="23"/>
      <c r="H5959" s="15"/>
      <c r="I5959" s="15"/>
      <c r="J5959" s="51"/>
      <c r="K5959" s="15"/>
      <c r="L5959" s="51"/>
      <c r="M5959" s="15"/>
      <c r="N5959" s="23"/>
      <c r="O5959" s="23"/>
      <c r="P5959" s="15" t="str">
        <f t="shared" si="6"/>
        <v/>
      </c>
      <c r="Q5959" s="24"/>
      <c r="R5959" s="25"/>
      <c r="S5959" s="25"/>
      <c r="T5959" s="26"/>
      <c r="U5959" s="26"/>
      <c r="V5959" s="25"/>
      <c r="W5959" s="25"/>
      <c r="X5959" s="25"/>
      <c r="Y5959" s="25"/>
      <c r="Z5959" s="25"/>
    </row>
    <row r="5960" spans="1:26" ht="15.75" customHeight="1" x14ac:dyDescent="0.25">
      <c r="A5960" s="25"/>
      <c r="B5960" s="49"/>
      <c r="C5960" s="50"/>
      <c r="D5960" s="23"/>
      <c r="E5960" s="23"/>
      <c r="F5960" s="15"/>
      <c r="G5960" s="23"/>
      <c r="H5960" s="15"/>
      <c r="I5960" s="15"/>
      <c r="J5960" s="51"/>
      <c r="K5960" s="15"/>
      <c r="L5960" s="51"/>
      <c r="M5960" s="15"/>
      <c r="N5960" s="23"/>
      <c r="O5960" s="23"/>
      <c r="P5960" s="15" t="str">
        <f t="shared" si="6"/>
        <v/>
      </c>
      <c r="Q5960" s="24"/>
      <c r="R5960" s="25"/>
      <c r="S5960" s="25"/>
      <c r="T5960" s="26"/>
      <c r="U5960" s="26"/>
      <c r="V5960" s="25"/>
      <c r="W5960" s="25"/>
      <c r="X5960" s="25"/>
      <c r="Y5960" s="25"/>
      <c r="Z5960" s="25"/>
    </row>
    <row r="5961" spans="1:26" ht="15.75" customHeight="1" x14ac:dyDescent="0.25">
      <c r="A5961" s="25"/>
      <c r="B5961" s="49"/>
      <c r="C5961" s="50"/>
      <c r="D5961" s="23"/>
      <c r="E5961" s="23"/>
      <c r="F5961" s="15"/>
      <c r="G5961" s="23"/>
      <c r="H5961" s="15"/>
      <c r="I5961" s="15"/>
      <c r="J5961" s="51"/>
      <c r="K5961" s="15"/>
      <c r="L5961" s="51"/>
      <c r="M5961" s="15"/>
      <c r="N5961" s="23"/>
      <c r="O5961" s="23"/>
      <c r="P5961" s="15" t="str">
        <f t="shared" si="6"/>
        <v/>
      </c>
      <c r="Q5961" s="24"/>
      <c r="R5961" s="25"/>
      <c r="S5961" s="25"/>
      <c r="T5961" s="26"/>
      <c r="U5961" s="26"/>
      <c r="V5961" s="25"/>
      <c r="W5961" s="25"/>
      <c r="X5961" s="25"/>
      <c r="Y5961" s="25"/>
      <c r="Z5961" s="25"/>
    </row>
    <row r="5962" spans="1:26" ht="15.75" customHeight="1" x14ac:dyDescent="0.25">
      <c r="A5962" s="25"/>
      <c r="B5962" s="49"/>
      <c r="C5962" s="50"/>
      <c r="D5962" s="23"/>
      <c r="E5962" s="23"/>
      <c r="F5962" s="15"/>
      <c r="G5962" s="23"/>
      <c r="H5962" s="15"/>
      <c r="I5962" s="15"/>
      <c r="J5962" s="51"/>
      <c r="K5962" s="15"/>
      <c r="L5962" s="51"/>
      <c r="M5962" s="15"/>
      <c r="N5962" s="23"/>
      <c r="O5962" s="23"/>
      <c r="P5962" s="15" t="str">
        <f t="shared" si="6"/>
        <v/>
      </c>
      <c r="Q5962" s="24"/>
      <c r="R5962" s="25"/>
      <c r="S5962" s="25"/>
      <c r="T5962" s="26"/>
      <c r="U5962" s="26"/>
      <c r="V5962" s="25"/>
      <c r="W5962" s="25"/>
      <c r="X5962" s="25"/>
      <c r="Y5962" s="25"/>
      <c r="Z5962" s="25"/>
    </row>
    <row r="5963" spans="1:26" ht="15.75" customHeight="1" x14ac:dyDescent="0.25">
      <c r="A5963" s="25"/>
      <c r="B5963" s="49"/>
      <c r="C5963" s="50"/>
      <c r="D5963" s="23"/>
      <c r="E5963" s="23"/>
      <c r="F5963" s="15"/>
      <c r="G5963" s="23"/>
      <c r="H5963" s="15"/>
      <c r="I5963" s="15"/>
      <c r="J5963" s="51"/>
      <c r="K5963" s="15"/>
      <c r="L5963" s="51"/>
      <c r="M5963" s="15"/>
      <c r="N5963" s="23"/>
      <c r="O5963" s="23"/>
      <c r="P5963" s="15" t="str">
        <f t="shared" si="6"/>
        <v/>
      </c>
      <c r="Q5963" s="24"/>
      <c r="R5963" s="25"/>
      <c r="S5963" s="25"/>
      <c r="T5963" s="26"/>
      <c r="U5963" s="26"/>
      <c r="V5963" s="25"/>
      <c r="W5963" s="25"/>
      <c r="X5963" s="25"/>
      <c r="Y5963" s="25"/>
      <c r="Z5963" s="25"/>
    </row>
    <row r="5964" spans="1:26" ht="15.75" customHeight="1" x14ac:dyDescent="0.25">
      <c r="A5964" s="25"/>
      <c r="B5964" s="49"/>
      <c r="C5964" s="50"/>
      <c r="D5964" s="23"/>
      <c r="E5964" s="23"/>
      <c r="F5964" s="15"/>
      <c r="G5964" s="23"/>
      <c r="H5964" s="15"/>
      <c r="I5964" s="15"/>
      <c r="J5964" s="51"/>
      <c r="K5964" s="15"/>
      <c r="L5964" s="51"/>
      <c r="M5964" s="15"/>
      <c r="N5964" s="23"/>
      <c r="O5964" s="23"/>
      <c r="P5964" s="15" t="str">
        <f t="shared" si="6"/>
        <v/>
      </c>
      <c r="Q5964" s="24"/>
      <c r="R5964" s="25"/>
      <c r="S5964" s="25"/>
      <c r="T5964" s="26"/>
      <c r="U5964" s="26"/>
      <c r="V5964" s="25"/>
      <c r="W5964" s="25"/>
      <c r="X5964" s="25"/>
      <c r="Y5964" s="25"/>
      <c r="Z5964" s="25"/>
    </row>
    <row r="5965" spans="1:26" ht="15.75" customHeight="1" x14ac:dyDescent="0.25">
      <c r="A5965" s="25"/>
      <c r="B5965" s="49"/>
      <c r="C5965" s="50"/>
      <c r="D5965" s="23"/>
      <c r="E5965" s="23"/>
      <c r="F5965" s="15"/>
      <c r="G5965" s="23"/>
      <c r="H5965" s="15"/>
      <c r="I5965" s="15"/>
      <c r="J5965" s="51"/>
      <c r="K5965" s="15"/>
      <c r="L5965" s="51"/>
      <c r="M5965" s="15"/>
      <c r="N5965" s="23"/>
      <c r="O5965" s="23"/>
      <c r="P5965" s="15" t="str">
        <f t="shared" si="6"/>
        <v/>
      </c>
      <c r="Q5965" s="24"/>
      <c r="R5965" s="25"/>
      <c r="S5965" s="25"/>
      <c r="T5965" s="26"/>
      <c r="U5965" s="26"/>
      <c r="V5965" s="25"/>
      <c r="W5965" s="25"/>
      <c r="X5965" s="25"/>
      <c r="Y5965" s="25"/>
      <c r="Z5965" s="25"/>
    </row>
    <row r="5966" spans="1:26" ht="15.75" customHeight="1" x14ac:dyDescent="0.25">
      <c r="A5966" s="25"/>
      <c r="B5966" s="49"/>
      <c r="C5966" s="50"/>
      <c r="D5966" s="23"/>
      <c r="E5966" s="23"/>
      <c r="F5966" s="15"/>
      <c r="G5966" s="23"/>
      <c r="H5966" s="15"/>
      <c r="I5966" s="15"/>
      <c r="J5966" s="51"/>
      <c r="K5966" s="15"/>
      <c r="L5966" s="51"/>
      <c r="M5966" s="15"/>
      <c r="N5966" s="23"/>
      <c r="O5966" s="23"/>
      <c r="P5966" s="15" t="str">
        <f t="shared" si="6"/>
        <v/>
      </c>
      <c r="Q5966" s="24"/>
      <c r="R5966" s="25"/>
      <c r="S5966" s="25"/>
      <c r="T5966" s="26"/>
      <c r="U5966" s="26"/>
      <c r="V5966" s="25"/>
      <c r="W5966" s="25"/>
      <c r="X5966" s="25"/>
      <c r="Y5966" s="25"/>
      <c r="Z5966" s="25"/>
    </row>
    <row r="5967" spans="1:26" ht="15.75" customHeight="1" x14ac:dyDescent="0.25">
      <c r="A5967" s="25"/>
      <c r="B5967" s="49"/>
      <c r="C5967" s="50"/>
      <c r="D5967" s="23"/>
      <c r="E5967" s="23"/>
      <c r="F5967" s="15"/>
      <c r="G5967" s="23"/>
      <c r="H5967" s="15"/>
      <c r="I5967" s="15"/>
      <c r="J5967" s="51"/>
      <c r="K5967" s="15"/>
      <c r="L5967" s="51"/>
      <c r="M5967" s="15"/>
      <c r="N5967" s="23"/>
      <c r="O5967" s="23"/>
      <c r="P5967" s="15" t="str">
        <f t="shared" si="6"/>
        <v/>
      </c>
      <c r="Q5967" s="24"/>
      <c r="R5967" s="25"/>
      <c r="S5967" s="25"/>
      <c r="T5967" s="26"/>
      <c r="U5967" s="26"/>
      <c r="V5967" s="25"/>
      <c r="W5967" s="25"/>
      <c r="X5967" s="25"/>
      <c r="Y5967" s="25"/>
      <c r="Z5967" s="25"/>
    </row>
    <row r="5968" spans="1:26" ht="15.75" customHeight="1" x14ac:dyDescent="0.25">
      <c r="A5968" s="25"/>
      <c r="B5968" s="49"/>
      <c r="C5968" s="50"/>
      <c r="D5968" s="23"/>
      <c r="E5968" s="23"/>
      <c r="F5968" s="15"/>
      <c r="G5968" s="23"/>
      <c r="H5968" s="15"/>
      <c r="I5968" s="15"/>
      <c r="J5968" s="51"/>
      <c r="K5968" s="15"/>
      <c r="L5968" s="51"/>
      <c r="M5968" s="15"/>
      <c r="N5968" s="23"/>
      <c r="O5968" s="23"/>
      <c r="P5968" s="15" t="str">
        <f t="shared" si="6"/>
        <v/>
      </c>
      <c r="Q5968" s="24"/>
      <c r="R5968" s="25"/>
      <c r="S5968" s="25"/>
      <c r="T5968" s="26"/>
      <c r="U5968" s="26"/>
      <c r="V5968" s="25"/>
      <c r="W5968" s="25"/>
      <c r="X5968" s="25"/>
      <c r="Y5968" s="25"/>
      <c r="Z5968" s="25"/>
    </row>
    <row r="5969" spans="1:26" ht="15.75" customHeight="1" x14ac:dyDescent="0.25">
      <c r="A5969" s="25"/>
      <c r="B5969" s="49"/>
      <c r="C5969" s="50"/>
      <c r="D5969" s="23"/>
      <c r="E5969" s="23"/>
      <c r="F5969" s="15"/>
      <c r="G5969" s="23"/>
      <c r="H5969" s="15"/>
      <c r="I5969" s="15"/>
      <c r="J5969" s="51"/>
      <c r="K5969" s="15"/>
      <c r="L5969" s="51"/>
      <c r="M5969" s="15"/>
      <c r="N5969" s="23"/>
      <c r="O5969" s="23"/>
      <c r="P5969" s="15" t="str">
        <f t="shared" si="6"/>
        <v/>
      </c>
      <c r="Q5969" s="24"/>
      <c r="R5969" s="25"/>
      <c r="S5969" s="25"/>
      <c r="T5969" s="26"/>
      <c r="U5969" s="26"/>
      <c r="V5969" s="25"/>
      <c r="W5969" s="25"/>
      <c r="X5969" s="25"/>
      <c r="Y5969" s="25"/>
      <c r="Z5969" s="25"/>
    </row>
    <row r="5970" spans="1:26" ht="15.75" customHeight="1" x14ac:dyDescent="0.25">
      <c r="A5970" s="25"/>
      <c r="B5970" s="49"/>
      <c r="C5970" s="50"/>
      <c r="D5970" s="23"/>
      <c r="E5970" s="23"/>
      <c r="F5970" s="15"/>
      <c r="G5970" s="23"/>
      <c r="H5970" s="15"/>
      <c r="I5970" s="15"/>
      <c r="J5970" s="51"/>
      <c r="K5970" s="15"/>
      <c r="L5970" s="51"/>
      <c r="M5970" s="15"/>
      <c r="N5970" s="23"/>
      <c r="O5970" s="23"/>
      <c r="P5970" s="15" t="str">
        <f t="shared" si="6"/>
        <v/>
      </c>
      <c r="Q5970" s="24"/>
      <c r="R5970" s="25"/>
      <c r="S5970" s="25"/>
      <c r="T5970" s="26"/>
      <c r="U5970" s="26"/>
      <c r="V5970" s="25"/>
      <c r="W5970" s="25"/>
      <c r="X5970" s="25"/>
      <c r="Y5970" s="25"/>
      <c r="Z5970" s="25"/>
    </row>
    <row r="5971" spans="1:26" ht="15.75" customHeight="1" x14ac:dyDescent="0.25">
      <c r="A5971" s="25"/>
      <c r="B5971" s="49"/>
      <c r="C5971" s="50"/>
      <c r="D5971" s="23"/>
      <c r="E5971" s="23"/>
      <c r="F5971" s="15"/>
      <c r="G5971" s="23"/>
      <c r="H5971" s="15"/>
      <c r="I5971" s="15"/>
      <c r="J5971" s="51"/>
      <c r="K5971" s="15"/>
      <c r="L5971" s="51"/>
      <c r="M5971" s="15"/>
      <c r="N5971" s="23"/>
      <c r="O5971" s="23"/>
      <c r="P5971" s="15" t="str">
        <f t="shared" si="6"/>
        <v/>
      </c>
      <c r="Q5971" s="24"/>
      <c r="R5971" s="25"/>
      <c r="S5971" s="25"/>
      <c r="T5971" s="26"/>
      <c r="U5971" s="26"/>
      <c r="V5971" s="25"/>
      <c r="W5971" s="25"/>
      <c r="X5971" s="25"/>
      <c r="Y5971" s="25"/>
      <c r="Z5971" s="25"/>
    </row>
    <row r="5972" spans="1:26" ht="15.75" customHeight="1" x14ac:dyDescent="0.25">
      <c r="A5972" s="25"/>
      <c r="B5972" s="49"/>
      <c r="C5972" s="50"/>
      <c r="D5972" s="23"/>
      <c r="E5972" s="23"/>
      <c r="F5972" s="15"/>
      <c r="G5972" s="23"/>
      <c r="H5972" s="15"/>
      <c r="I5972" s="15"/>
      <c r="J5972" s="51"/>
      <c r="K5972" s="15"/>
      <c r="L5972" s="51"/>
      <c r="M5972" s="15"/>
      <c r="N5972" s="23"/>
      <c r="O5972" s="23"/>
      <c r="P5972" s="15" t="str">
        <f t="shared" si="6"/>
        <v/>
      </c>
      <c r="Q5972" s="24"/>
      <c r="R5972" s="25"/>
      <c r="S5972" s="25"/>
      <c r="T5972" s="26"/>
      <c r="U5972" s="26"/>
      <c r="V5972" s="25"/>
      <c r="W5972" s="25"/>
      <c r="X5972" s="25"/>
      <c r="Y5972" s="25"/>
      <c r="Z5972" s="25"/>
    </row>
    <row r="5973" spans="1:26" ht="15.75" customHeight="1" x14ac:dyDescent="0.25">
      <c r="A5973" s="25"/>
      <c r="B5973" s="49"/>
      <c r="C5973" s="50"/>
      <c r="D5973" s="23"/>
      <c r="E5973" s="23"/>
      <c r="F5973" s="15"/>
      <c r="G5973" s="23"/>
      <c r="H5973" s="15"/>
      <c r="I5973" s="15"/>
      <c r="J5973" s="51"/>
      <c r="K5973" s="15"/>
      <c r="L5973" s="51"/>
      <c r="M5973" s="15"/>
      <c r="N5973" s="23"/>
      <c r="O5973" s="23"/>
      <c r="P5973" s="15" t="str">
        <f t="shared" si="6"/>
        <v/>
      </c>
      <c r="Q5973" s="24"/>
      <c r="R5973" s="25"/>
      <c r="S5973" s="25"/>
      <c r="T5973" s="26"/>
      <c r="U5973" s="26"/>
      <c r="V5973" s="25"/>
      <c r="W5973" s="25"/>
      <c r="X5973" s="25"/>
      <c r="Y5973" s="25"/>
      <c r="Z5973" s="25"/>
    </row>
    <row r="5974" spans="1:26" ht="15.75" customHeight="1" x14ac:dyDescent="0.25">
      <c r="A5974" s="25"/>
      <c r="B5974" s="49"/>
      <c r="C5974" s="50"/>
      <c r="D5974" s="23"/>
      <c r="E5974" s="23"/>
      <c r="F5974" s="15"/>
      <c r="G5974" s="23"/>
      <c r="H5974" s="15"/>
      <c r="I5974" s="15"/>
      <c r="J5974" s="51"/>
      <c r="K5974" s="15"/>
      <c r="L5974" s="51"/>
      <c r="M5974" s="15"/>
      <c r="N5974" s="23"/>
      <c r="O5974" s="23"/>
      <c r="P5974" s="15" t="str">
        <f t="shared" si="6"/>
        <v/>
      </c>
      <c r="Q5974" s="24"/>
      <c r="R5974" s="25"/>
      <c r="S5974" s="25"/>
      <c r="T5974" s="26"/>
      <c r="U5974" s="26"/>
      <c r="V5974" s="25"/>
      <c r="W5974" s="25"/>
      <c r="X5974" s="25"/>
      <c r="Y5974" s="25"/>
      <c r="Z5974" s="25"/>
    </row>
    <row r="5975" spans="1:26" ht="15.75" customHeight="1" x14ac:dyDescent="0.25">
      <c r="A5975" s="25"/>
      <c r="B5975" s="49"/>
      <c r="C5975" s="50"/>
      <c r="D5975" s="23"/>
      <c r="E5975" s="23"/>
      <c r="F5975" s="15"/>
      <c r="G5975" s="23"/>
      <c r="H5975" s="15"/>
      <c r="I5975" s="15"/>
      <c r="J5975" s="51"/>
      <c r="K5975" s="15"/>
      <c r="L5975" s="51"/>
      <c r="M5975" s="15"/>
      <c r="N5975" s="23"/>
      <c r="O5975" s="23"/>
      <c r="P5975" s="15" t="str">
        <f t="shared" si="6"/>
        <v/>
      </c>
      <c r="Q5975" s="24"/>
      <c r="R5975" s="25"/>
      <c r="S5975" s="25"/>
      <c r="T5975" s="26"/>
      <c r="U5975" s="26"/>
      <c r="V5975" s="25"/>
      <c r="W5975" s="25"/>
      <c r="X5975" s="25"/>
      <c r="Y5975" s="25"/>
      <c r="Z5975" s="25"/>
    </row>
    <row r="5976" spans="1:26" ht="15.75" customHeight="1" x14ac:dyDescent="0.25">
      <c r="A5976" s="25"/>
      <c r="B5976" s="49"/>
      <c r="C5976" s="50"/>
      <c r="D5976" s="23"/>
      <c r="E5976" s="23"/>
      <c r="F5976" s="15"/>
      <c r="G5976" s="23"/>
      <c r="H5976" s="15"/>
      <c r="I5976" s="15"/>
      <c r="J5976" s="51"/>
      <c r="K5976" s="15"/>
      <c r="L5976" s="51"/>
      <c r="M5976" s="15"/>
      <c r="N5976" s="23"/>
      <c r="O5976" s="23"/>
      <c r="P5976" s="15" t="str">
        <f t="shared" si="6"/>
        <v/>
      </c>
      <c r="Q5976" s="24"/>
      <c r="R5976" s="25"/>
      <c r="S5976" s="25"/>
      <c r="T5976" s="26"/>
      <c r="U5976" s="26"/>
      <c r="V5976" s="25"/>
      <c r="W5976" s="25"/>
      <c r="X5976" s="25"/>
      <c r="Y5976" s="25"/>
      <c r="Z5976" s="25"/>
    </row>
    <row r="5977" spans="1:26" ht="15.75" customHeight="1" x14ac:dyDescent="0.25">
      <c r="A5977" s="25"/>
      <c r="B5977" s="49"/>
      <c r="C5977" s="50"/>
      <c r="D5977" s="23"/>
      <c r="E5977" s="23"/>
      <c r="F5977" s="15"/>
      <c r="G5977" s="23"/>
      <c r="H5977" s="15"/>
      <c r="I5977" s="15"/>
      <c r="J5977" s="51"/>
      <c r="K5977" s="15"/>
      <c r="L5977" s="51"/>
      <c r="M5977" s="15"/>
      <c r="N5977" s="23"/>
      <c r="O5977" s="23"/>
      <c r="P5977" s="15" t="str">
        <f t="shared" si="6"/>
        <v/>
      </c>
      <c r="Q5977" s="24"/>
      <c r="R5977" s="25"/>
      <c r="S5977" s="25"/>
      <c r="T5977" s="26"/>
      <c r="U5977" s="26"/>
      <c r="V5977" s="25"/>
      <c r="W5977" s="25"/>
      <c r="X5977" s="25"/>
      <c r="Y5977" s="25"/>
      <c r="Z5977" s="25"/>
    </row>
    <row r="5978" spans="1:26" ht="15.75" customHeight="1" x14ac:dyDescent="0.25">
      <c r="A5978" s="25"/>
      <c r="B5978" s="49"/>
      <c r="C5978" s="50"/>
      <c r="D5978" s="23"/>
      <c r="E5978" s="23"/>
      <c r="F5978" s="15"/>
      <c r="G5978" s="23"/>
      <c r="H5978" s="15"/>
      <c r="I5978" s="15"/>
      <c r="J5978" s="51"/>
      <c r="K5978" s="15"/>
      <c r="L5978" s="51"/>
      <c r="M5978" s="15"/>
      <c r="N5978" s="23"/>
      <c r="O5978" s="23"/>
      <c r="P5978" s="15" t="str">
        <f t="shared" si="6"/>
        <v/>
      </c>
      <c r="Q5978" s="24"/>
      <c r="R5978" s="25"/>
      <c r="S5978" s="25"/>
      <c r="T5978" s="26"/>
      <c r="U5978" s="26"/>
      <c r="V5978" s="25"/>
      <c r="W5978" s="25"/>
      <c r="X5978" s="25"/>
      <c r="Y5978" s="25"/>
      <c r="Z5978" s="25"/>
    </row>
    <row r="5979" spans="1:26" ht="15.75" customHeight="1" x14ac:dyDescent="0.25">
      <c r="A5979" s="25"/>
      <c r="B5979" s="49"/>
      <c r="C5979" s="50"/>
      <c r="D5979" s="23"/>
      <c r="E5979" s="23"/>
      <c r="F5979" s="15"/>
      <c r="G5979" s="23"/>
      <c r="H5979" s="15"/>
      <c r="I5979" s="15"/>
      <c r="J5979" s="51"/>
      <c r="K5979" s="15"/>
      <c r="L5979" s="51"/>
      <c r="M5979" s="15"/>
      <c r="N5979" s="23"/>
      <c r="O5979" s="23"/>
      <c r="P5979" s="15" t="str">
        <f t="shared" si="6"/>
        <v/>
      </c>
      <c r="Q5979" s="24"/>
      <c r="R5979" s="25"/>
      <c r="S5979" s="25"/>
      <c r="T5979" s="26"/>
      <c r="U5979" s="26"/>
      <c r="V5979" s="25"/>
      <c r="W5979" s="25"/>
      <c r="X5979" s="25"/>
      <c r="Y5979" s="25"/>
      <c r="Z5979" s="25"/>
    </row>
    <row r="5980" spans="1:26" ht="15.75" customHeight="1" x14ac:dyDescent="0.25">
      <c r="A5980" s="25"/>
      <c r="B5980" s="49"/>
      <c r="C5980" s="50"/>
      <c r="D5980" s="23"/>
      <c r="E5980" s="23"/>
      <c r="F5980" s="15"/>
      <c r="G5980" s="23"/>
      <c r="H5980" s="15"/>
      <c r="I5980" s="15"/>
      <c r="J5980" s="51"/>
      <c r="K5980" s="15"/>
      <c r="L5980" s="51"/>
      <c r="M5980" s="15"/>
      <c r="N5980" s="23"/>
      <c r="O5980" s="23"/>
      <c r="P5980" s="15" t="str">
        <f t="shared" si="6"/>
        <v/>
      </c>
      <c r="Q5980" s="24"/>
      <c r="R5980" s="25"/>
      <c r="S5980" s="25"/>
      <c r="T5980" s="26"/>
      <c r="U5980" s="26"/>
      <c r="V5980" s="25"/>
      <c r="W5980" s="25"/>
      <c r="X5980" s="25"/>
      <c r="Y5980" s="25"/>
      <c r="Z5980" s="25"/>
    </row>
    <row r="5981" spans="1:26" ht="15.75" customHeight="1" x14ac:dyDescent="0.25">
      <c r="A5981" s="25"/>
      <c r="B5981" s="49"/>
      <c r="C5981" s="50"/>
      <c r="D5981" s="23"/>
      <c r="E5981" s="23"/>
      <c r="F5981" s="15"/>
      <c r="G5981" s="23"/>
      <c r="H5981" s="15"/>
      <c r="I5981" s="15"/>
      <c r="J5981" s="51"/>
      <c r="K5981" s="15"/>
      <c r="L5981" s="51"/>
      <c r="M5981" s="15"/>
      <c r="N5981" s="23"/>
      <c r="O5981" s="23"/>
      <c r="P5981" s="15" t="str">
        <f t="shared" si="6"/>
        <v/>
      </c>
      <c r="Q5981" s="24"/>
      <c r="R5981" s="25"/>
      <c r="S5981" s="25"/>
      <c r="T5981" s="26"/>
      <c r="U5981" s="26"/>
      <c r="V5981" s="25"/>
      <c r="W5981" s="25"/>
      <c r="X5981" s="25"/>
      <c r="Y5981" s="25"/>
      <c r="Z5981" s="25"/>
    </row>
    <row r="5982" spans="1:26" ht="15.75" customHeight="1" x14ac:dyDescent="0.25">
      <c r="A5982" s="25"/>
      <c r="B5982" s="49"/>
      <c r="C5982" s="50"/>
      <c r="D5982" s="23"/>
      <c r="E5982" s="23"/>
      <c r="F5982" s="15"/>
      <c r="G5982" s="23"/>
      <c r="H5982" s="15"/>
      <c r="I5982" s="15"/>
      <c r="J5982" s="51"/>
      <c r="K5982" s="15"/>
      <c r="L5982" s="51"/>
      <c r="M5982" s="15"/>
      <c r="N5982" s="23"/>
      <c r="O5982" s="23"/>
      <c r="P5982" s="15" t="str">
        <f t="shared" si="6"/>
        <v/>
      </c>
      <c r="Q5982" s="24"/>
      <c r="R5982" s="25"/>
      <c r="S5982" s="25"/>
      <c r="T5982" s="26"/>
      <c r="U5982" s="26"/>
      <c r="V5982" s="25"/>
      <c r="W5982" s="25"/>
      <c r="X5982" s="25"/>
      <c r="Y5982" s="25"/>
      <c r="Z5982" s="25"/>
    </row>
    <row r="5983" spans="1:26" ht="15.75" customHeight="1" x14ac:dyDescent="0.25">
      <c r="A5983" s="25"/>
      <c r="B5983" s="49"/>
      <c r="C5983" s="50"/>
      <c r="D5983" s="23"/>
      <c r="E5983" s="23"/>
      <c r="F5983" s="15"/>
      <c r="G5983" s="23"/>
      <c r="H5983" s="15"/>
      <c r="I5983" s="15"/>
      <c r="J5983" s="51"/>
      <c r="K5983" s="15"/>
      <c r="L5983" s="51"/>
      <c r="M5983" s="15"/>
      <c r="N5983" s="23"/>
      <c r="O5983" s="23"/>
      <c r="P5983" s="15" t="str">
        <f t="shared" si="6"/>
        <v/>
      </c>
      <c r="Q5983" s="24"/>
      <c r="R5983" s="25"/>
      <c r="S5983" s="25"/>
      <c r="T5983" s="26"/>
      <c r="U5983" s="26"/>
      <c r="V5983" s="25"/>
      <c r="W5983" s="25"/>
      <c r="X5983" s="25"/>
      <c r="Y5983" s="25"/>
      <c r="Z5983" s="25"/>
    </row>
    <row r="5984" spans="1:26" ht="15.75" customHeight="1" x14ac:dyDescent="0.25">
      <c r="A5984" s="25"/>
      <c r="B5984" s="49"/>
      <c r="C5984" s="50"/>
      <c r="D5984" s="23"/>
      <c r="E5984" s="23"/>
      <c r="F5984" s="15"/>
      <c r="G5984" s="23"/>
      <c r="H5984" s="15"/>
      <c r="I5984" s="15"/>
      <c r="J5984" s="51"/>
      <c r="K5984" s="15"/>
      <c r="L5984" s="51"/>
      <c r="M5984" s="15"/>
      <c r="N5984" s="23"/>
      <c r="O5984" s="23"/>
      <c r="P5984" s="15" t="str">
        <f t="shared" si="6"/>
        <v/>
      </c>
      <c r="Q5984" s="24"/>
      <c r="R5984" s="25"/>
      <c r="S5984" s="25"/>
      <c r="T5984" s="26"/>
      <c r="U5984" s="26"/>
      <c r="V5984" s="25"/>
      <c r="W5984" s="25"/>
      <c r="X5984" s="25"/>
      <c r="Y5984" s="25"/>
      <c r="Z5984" s="25"/>
    </row>
    <row r="5985" spans="1:26" ht="15.75" customHeight="1" x14ac:dyDescent="0.25">
      <c r="A5985" s="25"/>
      <c r="B5985" s="49"/>
      <c r="C5985" s="50"/>
      <c r="D5985" s="23"/>
      <c r="E5985" s="23"/>
      <c r="F5985" s="15"/>
      <c r="G5985" s="23"/>
      <c r="H5985" s="15"/>
      <c r="I5985" s="15"/>
      <c r="J5985" s="51"/>
      <c r="K5985" s="15"/>
      <c r="L5985" s="51"/>
      <c r="M5985" s="15"/>
      <c r="N5985" s="23"/>
      <c r="O5985" s="23"/>
      <c r="P5985" s="15" t="str">
        <f t="shared" si="6"/>
        <v/>
      </c>
      <c r="Q5985" s="24"/>
      <c r="R5985" s="25"/>
      <c r="S5985" s="25"/>
      <c r="T5985" s="26"/>
      <c r="U5985" s="26"/>
      <c r="V5985" s="25"/>
      <c r="W5985" s="25"/>
      <c r="X5985" s="25"/>
      <c r="Y5985" s="25"/>
      <c r="Z5985" s="25"/>
    </row>
    <row r="5986" spans="1:26" ht="15.75" customHeight="1" x14ac:dyDescent="0.25">
      <c r="A5986" s="25"/>
      <c r="B5986" s="49"/>
      <c r="C5986" s="50"/>
      <c r="D5986" s="23"/>
      <c r="E5986" s="23"/>
      <c r="F5986" s="15"/>
      <c r="G5986" s="23"/>
      <c r="H5986" s="15"/>
      <c r="I5986" s="15"/>
      <c r="J5986" s="51"/>
      <c r="K5986" s="15"/>
      <c r="L5986" s="51"/>
      <c r="M5986" s="15"/>
      <c r="N5986" s="23"/>
      <c r="O5986" s="23"/>
      <c r="P5986" s="15" t="str">
        <f t="shared" si="6"/>
        <v/>
      </c>
      <c r="Q5986" s="24"/>
      <c r="R5986" s="25"/>
      <c r="S5986" s="25"/>
      <c r="T5986" s="26"/>
      <c r="U5986" s="26"/>
      <c r="V5986" s="25"/>
      <c r="W5986" s="25"/>
      <c r="X5986" s="25"/>
      <c r="Y5986" s="25"/>
      <c r="Z5986" s="25"/>
    </row>
    <row r="5987" spans="1:26" ht="15.75" customHeight="1" x14ac:dyDescent="0.25">
      <c r="A5987" s="25"/>
      <c r="B5987" s="49"/>
      <c r="C5987" s="50"/>
      <c r="D5987" s="23"/>
      <c r="E5987" s="23"/>
      <c r="F5987" s="15"/>
      <c r="G5987" s="23"/>
      <c r="H5987" s="15"/>
      <c r="I5987" s="15"/>
      <c r="J5987" s="51"/>
      <c r="K5987" s="15"/>
      <c r="L5987" s="51"/>
      <c r="M5987" s="15"/>
      <c r="N5987" s="23"/>
      <c r="O5987" s="23"/>
      <c r="P5987" s="15" t="str">
        <f t="shared" si="6"/>
        <v/>
      </c>
      <c r="Q5987" s="24"/>
      <c r="R5987" s="25"/>
      <c r="S5987" s="25"/>
      <c r="T5987" s="26"/>
      <c r="U5987" s="26"/>
      <c r="V5987" s="25"/>
      <c r="W5987" s="25"/>
      <c r="X5987" s="25"/>
      <c r="Y5987" s="25"/>
      <c r="Z5987" s="25"/>
    </row>
    <row r="5988" spans="1:26" ht="15.75" customHeight="1" x14ac:dyDescent="0.25">
      <c r="A5988" s="25"/>
      <c r="B5988" s="49"/>
      <c r="C5988" s="50"/>
      <c r="D5988" s="23"/>
      <c r="E5988" s="23"/>
      <c r="F5988" s="15"/>
      <c r="G5988" s="23"/>
      <c r="H5988" s="15"/>
      <c r="I5988" s="15"/>
      <c r="J5988" s="51"/>
      <c r="K5988" s="15"/>
      <c r="L5988" s="51"/>
      <c r="M5988" s="15"/>
      <c r="N5988" s="23"/>
      <c r="O5988" s="23"/>
      <c r="P5988" s="15" t="str">
        <f t="shared" si="6"/>
        <v/>
      </c>
      <c r="Q5988" s="24"/>
      <c r="R5988" s="25"/>
      <c r="S5988" s="25"/>
      <c r="T5988" s="26"/>
      <c r="U5988" s="26"/>
      <c r="V5988" s="25"/>
      <c r="W5988" s="25"/>
      <c r="X5988" s="25"/>
      <c r="Y5988" s="25"/>
      <c r="Z5988" s="25"/>
    </row>
    <row r="5989" spans="1:26" ht="15.75" customHeight="1" x14ac:dyDescent="0.25">
      <c r="A5989" s="25"/>
      <c r="B5989" s="49"/>
      <c r="C5989" s="50"/>
      <c r="D5989" s="23"/>
      <c r="E5989" s="23"/>
      <c r="F5989" s="15"/>
      <c r="G5989" s="23"/>
      <c r="H5989" s="15"/>
      <c r="I5989" s="15"/>
      <c r="J5989" s="51"/>
      <c r="K5989" s="15"/>
      <c r="L5989" s="51"/>
      <c r="M5989" s="15"/>
      <c r="N5989" s="23"/>
      <c r="O5989" s="23"/>
      <c r="P5989" s="15" t="str">
        <f t="shared" si="6"/>
        <v/>
      </c>
      <c r="Q5989" s="24"/>
      <c r="R5989" s="25"/>
      <c r="S5989" s="25"/>
      <c r="T5989" s="26"/>
      <c r="U5989" s="26"/>
      <c r="V5989" s="25"/>
      <c r="W5989" s="25"/>
      <c r="X5989" s="25"/>
      <c r="Y5989" s="25"/>
      <c r="Z5989" s="25"/>
    </row>
    <row r="5990" spans="1:26" ht="15.75" customHeight="1" x14ac:dyDescent="0.25">
      <c r="A5990" s="25"/>
      <c r="B5990" s="49"/>
      <c r="C5990" s="50"/>
      <c r="D5990" s="23"/>
      <c r="E5990" s="23"/>
      <c r="F5990" s="15"/>
      <c r="G5990" s="23"/>
      <c r="H5990" s="15"/>
      <c r="I5990" s="15"/>
      <c r="J5990" s="51"/>
      <c r="K5990" s="15"/>
      <c r="L5990" s="51"/>
      <c r="M5990" s="15"/>
      <c r="N5990" s="23"/>
      <c r="O5990" s="23"/>
      <c r="P5990" s="15" t="str">
        <f t="shared" si="6"/>
        <v/>
      </c>
      <c r="Q5990" s="24"/>
      <c r="R5990" s="25"/>
      <c r="S5990" s="25"/>
      <c r="T5990" s="26"/>
      <c r="U5990" s="26"/>
      <c r="V5990" s="25"/>
      <c r="W5990" s="25"/>
      <c r="X5990" s="25"/>
      <c r="Y5990" s="25"/>
      <c r="Z5990" s="25"/>
    </row>
    <row r="5991" spans="1:26" ht="15.75" customHeight="1" x14ac:dyDescent="0.25">
      <c r="A5991" s="25"/>
      <c r="B5991" s="49"/>
      <c r="C5991" s="50"/>
      <c r="D5991" s="23"/>
      <c r="E5991" s="23"/>
      <c r="F5991" s="15"/>
      <c r="G5991" s="23"/>
      <c r="H5991" s="15"/>
      <c r="I5991" s="15"/>
      <c r="J5991" s="51"/>
      <c r="K5991" s="15"/>
      <c r="L5991" s="51"/>
      <c r="M5991" s="15"/>
      <c r="N5991" s="23"/>
      <c r="O5991" s="23"/>
      <c r="P5991" s="15" t="str">
        <f t="shared" si="6"/>
        <v/>
      </c>
      <c r="Q5991" s="24"/>
      <c r="R5991" s="25"/>
      <c r="S5991" s="25"/>
      <c r="T5991" s="26"/>
      <c r="U5991" s="26"/>
      <c r="V5991" s="25"/>
      <c r="W5991" s="25"/>
      <c r="X5991" s="25"/>
      <c r="Y5991" s="25"/>
      <c r="Z5991" s="25"/>
    </row>
    <row r="5992" spans="1:26" ht="15.75" customHeight="1" x14ac:dyDescent="0.25">
      <c r="A5992" s="25"/>
      <c r="B5992" s="49"/>
      <c r="C5992" s="50"/>
      <c r="D5992" s="23"/>
      <c r="E5992" s="23"/>
      <c r="F5992" s="15"/>
      <c r="G5992" s="23"/>
      <c r="H5992" s="15"/>
      <c r="I5992" s="15"/>
      <c r="J5992" s="51"/>
      <c r="K5992" s="15"/>
      <c r="L5992" s="51"/>
      <c r="M5992" s="15"/>
      <c r="N5992" s="23"/>
      <c r="O5992" s="23"/>
      <c r="P5992" s="15" t="str">
        <f t="shared" si="6"/>
        <v/>
      </c>
      <c r="Q5992" s="24"/>
      <c r="R5992" s="25"/>
      <c r="S5992" s="25"/>
      <c r="T5992" s="26"/>
      <c r="U5992" s="26"/>
      <c r="V5992" s="25"/>
      <c r="W5992" s="25"/>
      <c r="X5992" s="25"/>
      <c r="Y5992" s="25"/>
      <c r="Z5992" s="25"/>
    </row>
    <row r="5993" spans="1:26" ht="15.75" customHeight="1" x14ac:dyDescent="0.25">
      <c r="A5993" s="25"/>
      <c r="B5993" s="49"/>
      <c r="C5993" s="50"/>
      <c r="D5993" s="23"/>
      <c r="E5993" s="23"/>
      <c r="F5993" s="15"/>
      <c r="G5993" s="23"/>
      <c r="H5993" s="15"/>
      <c r="I5993" s="15"/>
      <c r="J5993" s="51"/>
      <c r="K5993" s="15"/>
      <c r="L5993" s="51"/>
      <c r="M5993" s="15"/>
      <c r="N5993" s="23"/>
      <c r="O5993" s="23"/>
      <c r="P5993" s="15" t="str">
        <f t="shared" si="6"/>
        <v/>
      </c>
      <c r="Q5993" s="24"/>
      <c r="R5993" s="25"/>
      <c r="S5993" s="25"/>
      <c r="T5993" s="26"/>
      <c r="U5993" s="26"/>
      <c r="V5993" s="25"/>
      <c r="W5993" s="25"/>
      <c r="X5993" s="25"/>
      <c r="Y5993" s="25"/>
      <c r="Z5993" s="25"/>
    </row>
    <row r="5994" spans="1:26" ht="15.75" customHeight="1" x14ac:dyDescent="0.25">
      <c r="A5994" s="25"/>
      <c r="B5994" s="49"/>
      <c r="C5994" s="50"/>
      <c r="D5994" s="23"/>
      <c r="E5994" s="23"/>
      <c r="F5994" s="15"/>
      <c r="G5994" s="23"/>
      <c r="H5994" s="15"/>
      <c r="I5994" s="15"/>
      <c r="J5994" s="51"/>
      <c r="K5994" s="15"/>
      <c r="L5994" s="51"/>
      <c r="M5994" s="15"/>
      <c r="N5994" s="23"/>
      <c r="O5994" s="23"/>
      <c r="P5994" s="15" t="str">
        <f t="shared" si="6"/>
        <v/>
      </c>
      <c r="Q5994" s="24"/>
      <c r="R5994" s="25"/>
      <c r="S5994" s="25"/>
      <c r="T5994" s="26"/>
      <c r="U5994" s="26"/>
      <c r="V5994" s="25"/>
      <c r="W5994" s="25"/>
      <c r="X5994" s="25"/>
      <c r="Y5994" s="25"/>
      <c r="Z5994" s="25"/>
    </row>
    <row r="5995" spans="1:26" ht="15.75" customHeight="1" x14ac:dyDescent="0.25">
      <c r="A5995" s="25"/>
      <c r="B5995" s="49"/>
      <c r="C5995" s="50"/>
      <c r="D5995" s="23"/>
      <c r="E5995" s="23"/>
      <c r="F5995" s="15"/>
      <c r="G5995" s="23"/>
      <c r="H5995" s="15"/>
      <c r="I5995" s="15"/>
      <c r="J5995" s="51"/>
      <c r="K5995" s="15"/>
      <c r="L5995" s="51"/>
      <c r="M5995" s="15"/>
      <c r="N5995" s="23"/>
      <c r="O5995" s="23"/>
      <c r="P5995" s="15" t="str">
        <f t="shared" si="6"/>
        <v/>
      </c>
      <c r="Q5995" s="24"/>
      <c r="R5995" s="25"/>
      <c r="S5995" s="25"/>
      <c r="T5995" s="26"/>
      <c r="U5995" s="26"/>
      <c r="V5995" s="25"/>
      <c r="W5995" s="25"/>
      <c r="X5995" s="25"/>
      <c r="Y5995" s="25"/>
      <c r="Z5995" s="25"/>
    </row>
    <row r="5996" spans="1:26" ht="15.75" customHeight="1" x14ac:dyDescent="0.25">
      <c r="A5996" s="25"/>
      <c r="B5996" s="49"/>
      <c r="C5996" s="50"/>
      <c r="D5996" s="23"/>
      <c r="E5996" s="23"/>
      <c r="F5996" s="15"/>
      <c r="G5996" s="23"/>
      <c r="H5996" s="15"/>
      <c r="I5996" s="15"/>
      <c r="J5996" s="51"/>
      <c r="K5996" s="15"/>
      <c r="L5996" s="51"/>
      <c r="M5996" s="15"/>
      <c r="N5996" s="23"/>
      <c r="O5996" s="23"/>
      <c r="P5996" s="15" t="str">
        <f t="shared" si="6"/>
        <v/>
      </c>
      <c r="Q5996" s="24"/>
      <c r="R5996" s="25"/>
      <c r="S5996" s="25"/>
      <c r="T5996" s="26"/>
      <c r="U5996" s="26"/>
      <c r="V5996" s="25"/>
      <c r="W5996" s="25"/>
      <c r="X5996" s="25"/>
      <c r="Y5996" s="25"/>
      <c r="Z5996" s="25"/>
    </row>
    <row r="5997" spans="1:26" ht="15.75" customHeight="1" x14ac:dyDescent="0.25">
      <c r="A5997" s="25"/>
      <c r="B5997" s="49"/>
      <c r="C5997" s="50"/>
      <c r="D5997" s="23"/>
      <c r="E5997" s="23"/>
      <c r="F5997" s="15"/>
      <c r="G5997" s="23"/>
      <c r="H5997" s="15"/>
      <c r="I5997" s="15"/>
      <c r="J5997" s="51"/>
      <c r="K5997" s="15"/>
      <c r="L5997" s="51"/>
      <c r="M5997" s="15"/>
      <c r="N5997" s="23"/>
      <c r="O5997" s="23"/>
      <c r="P5997" s="15" t="str">
        <f t="shared" si="6"/>
        <v/>
      </c>
      <c r="Q5997" s="24"/>
      <c r="R5997" s="25"/>
      <c r="S5997" s="25"/>
      <c r="T5997" s="26"/>
      <c r="U5997" s="26"/>
      <c r="V5997" s="25"/>
      <c r="W5997" s="25"/>
      <c r="X5997" s="25"/>
      <c r="Y5997" s="25"/>
      <c r="Z5997" s="25"/>
    </row>
    <row r="5998" spans="1:26" ht="15.75" customHeight="1" x14ac:dyDescent="0.25">
      <c r="A5998" s="25"/>
      <c r="B5998" s="49"/>
      <c r="C5998" s="50"/>
      <c r="D5998" s="23"/>
      <c r="E5998" s="23"/>
      <c r="F5998" s="15"/>
      <c r="G5998" s="23"/>
      <c r="H5998" s="15"/>
      <c r="I5998" s="15"/>
      <c r="J5998" s="51"/>
      <c r="K5998" s="15"/>
      <c r="L5998" s="51"/>
      <c r="M5998" s="15"/>
      <c r="N5998" s="23"/>
      <c r="O5998" s="23"/>
      <c r="P5998" s="15" t="str">
        <f t="shared" si="6"/>
        <v/>
      </c>
      <c r="Q5998" s="24"/>
      <c r="R5998" s="25"/>
      <c r="S5998" s="25"/>
      <c r="T5998" s="26"/>
      <c r="U5998" s="26"/>
      <c r="V5998" s="25"/>
      <c r="W5998" s="25"/>
      <c r="X5998" s="25"/>
      <c r="Y5998" s="25"/>
      <c r="Z5998" s="25"/>
    </row>
    <row r="5999" spans="1:26" ht="15.75" customHeight="1" x14ac:dyDescent="0.25">
      <c r="A5999" s="25"/>
      <c r="B5999" s="49"/>
      <c r="C5999" s="50"/>
      <c r="D5999" s="23"/>
      <c r="E5999" s="23"/>
      <c r="F5999" s="15"/>
      <c r="G5999" s="23"/>
      <c r="H5999" s="15"/>
      <c r="I5999" s="15"/>
      <c r="J5999" s="51"/>
      <c r="K5999" s="15"/>
      <c r="L5999" s="51"/>
      <c r="M5999" s="15"/>
      <c r="N5999" s="23"/>
      <c r="O5999" s="23"/>
      <c r="P5999" s="15" t="str">
        <f t="shared" si="6"/>
        <v/>
      </c>
      <c r="Q5999" s="24"/>
      <c r="R5999" s="25"/>
      <c r="S5999" s="25"/>
      <c r="T5999" s="26"/>
      <c r="U5999" s="26"/>
      <c r="V5999" s="25"/>
      <c r="W5999" s="25"/>
      <c r="X5999" s="25"/>
      <c r="Y5999" s="25"/>
      <c r="Z5999" s="25"/>
    </row>
  </sheetData>
  <autoFilter ref="A2:P4202" xr:uid="{00000000-0009-0000-0000-000003000000}"/>
  <customSheetViews>
    <customSheetView guid="{6F35E8A8-DE95-45B2-AF56-87DB6949715B}" filter="1" showAutoFilter="1">
      <pageMargins left="0.7" right="0.7" top="0.75" bottom="0.75" header="0.3" footer="0.3"/>
      <autoFilter ref="A2:Z4202" xr:uid="{00000000-0000-0000-0000-000000000000}"/>
      <extLst>
        <ext uri="GoogleSheetsCustomDataVersion1">
          <go:sheetsCustomData xmlns:go="http://customooxmlschemas.google.com/" filterViewId="1407784151"/>
        </ext>
      </extLst>
    </customSheetView>
    <customSheetView guid="{8E688887-112B-4106-8B6C-9811D758B7BE}" filter="1" showAutoFilter="1">
      <pageMargins left="0.7" right="0.7" top="0.75" bottom="0.75" header="0.3" footer="0.3"/>
      <autoFilter ref="A2:S4202" xr:uid="{00000000-0000-0000-0000-000000000000}"/>
      <extLst>
        <ext uri="GoogleSheetsCustomDataVersion1">
          <go:sheetsCustomData xmlns:go="http://customooxmlschemas.google.com/" filterViewId="1483477036"/>
        </ext>
      </extLst>
    </customSheetView>
    <customSheetView guid="{D9B5CE8E-1324-47E4-8C81-69DF025B30F2}" filter="1" showAutoFilter="1">
      <pageMargins left="0.7" right="0.7" top="0.75" bottom="0.75" header="0.3" footer="0.3"/>
      <autoFilter ref="A2:S4202" xr:uid="{00000000-0000-0000-0000-000000000000}"/>
      <extLst>
        <ext uri="GoogleSheetsCustomDataVersion1">
          <go:sheetsCustomData xmlns:go="http://customooxmlschemas.google.com/" filterViewId="315296188"/>
        </ext>
      </extLst>
    </customSheetView>
  </customSheetView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0000"/>
    <outlinePr summaryBelow="0" summaryRight="0"/>
  </sheetPr>
  <dimension ref="A1:Z5003"/>
  <sheetViews>
    <sheetView workbookViewId="0">
      <pane ySplit="2" topLeftCell="A3" activePane="bottomLeft" state="frozen"/>
      <selection pane="bottomLeft" activeCell="B4" sqref="B4"/>
    </sheetView>
  </sheetViews>
  <sheetFormatPr baseColWidth="10" defaultColWidth="11.25" defaultRowHeight="15" customHeight="1" x14ac:dyDescent="0.25"/>
  <cols>
    <col min="1" max="1" width="8.875" customWidth="1"/>
    <col min="2" max="2" width="17" customWidth="1"/>
    <col min="3" max="3" width="11.25" customWidth="1"/>
    <col min="4" max="4" width="17.25" customWidth="1"/>
    <col min="5" max="6" width="16.75" customWidth="1"/>
    <col min="7" max="7" width="19.125" customWidth="1"/>
    <col min="9" max="9" width="35.25" customWidth="1"/>
    <col min="13" max="13" width="21.875" customWidth="1"/>
    <col min="14" max="14" width="20.125" customWidth="1"/>
    <col min="18" max="18" width="19.25" customWidth="1"/>
  </cols>
  <sheetData>
    <row r="1" spans="1:26" ht="52.5" customHeight="1" x14ac:dyDescent="0.25">
      <c r="A1" s="17"/>
      <c r="B1" s="17">
        <v>2</v>
      </c>
      <c r="C1" s="52">
        <v>3</v>
      </c>
      <c r="D1" s="17">
        <v>4</v>
      </c>
      <c r="E1" s="17">
        <v>5</v>
      </c>
      <c r="F1" s="17">
        <v>6</v>
      </c>
      <c r="G1" s="17">
        <v>7</v>
      </c>
      <c r="H1" s="17">
        <v>8</v>
      </c>
      <c r="I1" s="17">
        <v>9</v>
      </c>
      <c r="J1" s="52">
        <v>10</v>
      </c>
      <c r="K1" s="17">
        <v>11</v>
      </c>
      <c r="L1" s="53">
        <v>12</v>
      </c>
      <c r="M1" s="54">
        <v>13</v>
      </c>
      <c r="N1" s="54">
        <v>14</v>
      </c>
      <c r="O1" s="25"/>
      <c r="P1" s="25"/>
      <c r="Q1" s="25">
        <v>15</v>
      </c>
      <c r="R1" s="25"/>
      <c r="S1" s="55"/>
      <c r="T1" s="56"/>
      <c r="U1" s="25"/>
      <c r="V1" s="25"/>
      <c r="W1" s="25"/>
      <c r="X1" s="25"/>
      <c r="Y1" s="25"/>
      <c r="Z1" s="25"/>
    </row>
    <row r="2" spans="1:26" ht="52.5" customHeight="1" x14ac:dyDescent="0.25">
      <c r="A2" s="27" t="s">
        <v>49</v>
      </c>
      <c r="B2" s="27" t="s">
        <v>50</v>
      </c>
      <c r="C2" s="57" t="s">
        <v>51</v>
      </c>
      <c r="D2" s="27" t="s">
        <v>52</v>
      </c>
      <c r="E2" s="27" t="s">
        <v>53</v>
      </c>
      <c r="F2" s="27" t="s">
        <v>54</v>
      </c>
      <c r="G2" s="27" t="s">
        <v>55</v>
      </c>
      <c r="H2" s="27" t="s">
        <v>56</v>
      </c>
      <c r="I2" s="27" t="s">
        <v>57</v>
      </c>
      <c r="J2" s="57" t="s">
        <v>58</v>
      </c>
      <c r="K2" s="27" t="s">
        <v>20</v>
      </c>
      <c r="L2" s="58" t="s">
        <v>59</v>
      </c>
      <c r="M2" s="59" t="s">
        <v>60</v>
      </c>
      <c r="N2" s="59" t="s">
        <v>61</v>
      </c>
      <c r="O2" s="60" t="s">
        <v>62</v>
      </c>
      <c r="P2" s="25" t="s">
        <v>24</v>
      </c>
      <c r="Q2" s="60" t="s">
        <v>14</v>
      </c>
      <c r="R2" s="25" t="s">
        <v>63</v>
      </c>
      <c r="S2" s="55" t="s">
        <v>44</v>
      </c>
      <c r="T2" s="56"/>
      <c r="U2" s="25"/>
      <c r="V2" s="25"/>
      <c r="W2" s="25"/>
      <c r="X2" s="25"/>
      <c r="Y2" s="25"/>
      <c r="Z2" s="25"/>
    </row>
    <row r="3" spans="1:26" ht="52.5" customHeight="1" x14ac:dyDescent="0.25">
      <c r="A3" s="25" t="str">
        <f ca="1">IFERROR(__xludf.DUMMYFUNCTION("IMPORTRANGE(""https://docs.google.com/spreadsheets/d/1SUh42QDwFP8obN0GNIj4rWfstJx5kDi_GF8-hP5_7Ug/edit#gid=330735094"",""Seguridad!A2:K301"")"),"Segur1")</f>
        <v>Segur1</v>
      </c>
      <c r="B3" s="25" t="str">
        <f ca="1">IFERROR(__xludf.DUMMYFUNCTION("""COMPUTED_VALUE"""),"Consejo de Seguridad del 13 de abril ")</f>
        <v xml:space="preserve">Consejo de Seguridad del 13 de abril </v>
      </c>
      <c r="C3" s="55" t="str">
        <f ca="1">IFERROR(__xludf.DUMMYFUNCTION("""COMPUTED_VALUE"""),"22/04/2021")</f>
        <v>22/04/2021</v>
      </c>
      <c r="D3" s="25" t="str">
        <f ca="1">IFERROR(__xludf.DUMMYFUNCTION("""COMPUTED_VALUE"""),"Seguridad")</f>
        <v>Seguridad</v>
      </c>
      <c r="E3" s="25" t="str">
        <f ca="1">IFERROR(__xludf.DUMMYFUNCTION("""COMPUTED_VALUE"""),"Secretaría Distrital de Seguridad, Convivencia y Justicia")</f>
        <v>Secretaría Distrital de Seguridad, Convivencia y Justicia</v>
      </c>
      <c r="F3" s="25" t="str">
        <f ca="1">IFERROR(__xludf.DUMMYFUNCTION("""COMPUTED_VALUE"""),"Organizar una reunión con el DADEP y con la SAE para demolición o para uso del Distrito")</f>
        <v>Organizar una reunión con el DADEP y con la SAE para demolición o para uso del Distrito</v>
      </c>
      <c r="G3" s="25" t="str">
        <f ca="1">IFERROR(__xludf.DUMMYFUNCTION("""COMPUTED_VALUE"""),"99. Distrito")</f>
        <v>99. Distrito</v>
      </c>
      <c r="H3" s="55">
        <f ca="1">IFERROR(__xludf.DUMMYFUNCTION("""COMPUTED_VALUE"""),44338)</f>
        <v>44338</v>
      </c>
      <c r="I3" s="25"/>
      <c r="J3" s="55" t="str">
        <f ca="1">IFERROR(__xludf.DUMMYFUNCTION("""COMPUTED_VALUE"""),"Alta")</f>
        <v>Alta</v>
      </c>
      <c r="K3" s="25">
        <f ca="1">IFERROR(__xludf.DUMMYFUNCTION("""COMPUTED_VALUE"""),30)</f>
        <v>30</v>
      </c>
      <c r="L3" s="55">
        <f ca="1">IFERROR(__xludf.DUMMYFUNCTION("IMPORTRANGE(""https://docs.google.com/spreadsheets/d/1SUh42QDwFP8obN0GNIj4rWfstJx5kDi_GF8-hP5_7Ug/edit#gid=330735094"",""Seguridad!M2:O301"")"),44576)</f>
        <v>44576</v>
      </c>
      <c r="M3" s="25" t="str">
        <f ca="1">IFERROR(__xludf.DUMMYFUNCTION("""COMPUTED_VALUE"""),"A la fecha se han logrado demoler tres ollas de expendio de drogas en la localidad de Mártires. A finales de mayo  quedaron instaladas las huertas y se creó una Red CUIDAdana alrededores de cada unde ellas. ")</f>
        <v xml:space="preserve">A la fecha se han logrado demoler tres ollas de expendio de drogas en la localidad de Mártires. A finales de mayo  quedaron instaladas las huertas y se creó una Red CUIDAdana alrededores de cada unde ellas. </v>
      </c>
      <c r="N3" s="55">
        <f ca="1">IFERROR(__xludf.DUMMYFUNCTION("""COMPUTED_VALUE"""),44576)</f>
        <v>44576</v>
      </c>
      <c r="O3" s="25" t="str">
        <f t="shared" ref="O3:O5003" ca="1" si="0">E3</f>
        <v>Secretaría Distrital de Seguridad, Convivencia y Justicia</v>
      </c>
      <c r="P3" s="25" t="str">
        <f t="shared" ref="P3:P301" si="1">IFERROR(IF(I3="","",IFERROR(IF(K3="Cerrado","Actualizado",IF(DATEVALUE(C3)&gt;DATEVALUE($S$4),"Actualizado",IF(AND(IF(L3="",FALSE,DATEVALUE(L3)&gt;DATEVALUE($S$3)),IF(C3="",TRUE,DATEVALUE(C3)&lt;DATEVALUE($S$4))),"Actualizado","Desactualizado"))),"")),"")</f>
        <v/>
      </c>
      <c r="Q3" s="25" t="str">
        <f ca="1">IFERROR(__xludf.DUMMYFUNCTION("IMPORTRANGE(""https://docs.google.com/spreadsheets/d/1SUh42QDwFP8obN0GNIj4rWfstJx5kDi_GF8-hP5_7Ug/edit#gid=330735094"",""Seguridad!L2:L301"")"),"Corto plazo")</f>
        <v>Corto plazo</v>
      </c>
      <c r="R3" s="61"/>
      <c r="S3" s="55">
        <v>44515</v>
      </c>
      <c r="T3" s="56"/>
      <c r="U3" s="25"/>
      <c r="V3" s="25"/>
      <c r="W3" s="25"/>
      <c r="X3" s="25"/>
      <c r="Y3" s="25"/>
      <c r="Z3" s="25"/>
    </row>
    <row r="4" spans="1:26" ht="52.5" customHeight="1" x14ac:dyDescent="0.25">
      <c r="A4" s="25" t="str">
        <f ca="1">IFERROR(__xludf.DUMMYFUNCTION("""COMPUTED_VALUE"""),"Segur2")</f>
        <v>Segur2</v>
      </c>
      <c r="B4" s="25" t="str">
        <f ca="1">IFERROR(__xludf.DUMMYFUNCTION("""COMPUTED_VALUE"""),"Consejo de Seguridad del 13 de abril ")</f>
        <v xml:space="preserve">Consejo de Seguridad del 13 de abril </v>
      </c>
      <c r="C4" s="55" t="str">
        <f ca="1">IFERROR(__xludf.DUMMYFUNCTION("""COMPUTED_VALUE"""),"22/04/2021")</f>
        <v>22/04/2021</v>
      </c>
      <c r="D4" s="25" t="str">
        <f ca="1">IFERROR(__xludf.DUMMYFUNCTION("""COMPUTED_VALUE"""),"Seguridad")</f>
        <v>Seguridad</v>
      </c>
      <c r="E4" s="25" t="str">
        <f ca="1">IFERROR(__xludf.DUMMYFUNCTION("""COMPUTED_VALUE"""),"Secretaría Distrital de Seguridad, Convivencia y Justicia")</f>
        <v>Secretaría Distrital de Seguridad, Convivencia y Justicia</v>
      </c>
      <c r="F4" s="25" t="str">
        <f ca="1">IFERROR(__xludf.DUMMYFUNCTION("""COMPUTED_VALUE"""),"Redactar un artículo para que el delito de hurto a bicicletas sea un delito autónomo.  / Revisar la agenda legislativa ")</f>
        <v xml:space="preserve">Redactar un artículo para que el delito de hurto a bicicletas sea un delito autónomo.  / Revisar la agenda legislativa </v>
      </c>
      <c r="G4" s="25" t="str">
        <f ca="1">IFERROR(__xludf.DUMMYFUNCTION("""COMPUTED_VALUE"""),"99. Distrito")</f>
        <v>99. Distrito</v>
      </c>
      <c r="H4" s="55">
        <f ca="1">IFERROR(__xludf.DUMMYFUNCTION("""COMPUTED_VALUE"""),44338)</f>
        <v>44338</v>
      </c>
      <c r="I4" s="25"/>
      <c r="J4" s="55" t="str">
        <f ca="1">IFERROR(__xludf.DUMMYFUNCTION("""COMPUTED_VALUE"""),"Alta")</f>
        <v>Alta</v>
      </c>
      <c r="K4" s="25">
        <f ca="1">IFERROR(__xludf.DUMMYFUNCTION("""COMPUTED_VALUE"""),30)</f>
        <v>30</v>
      </c>
      <c r="L4" s="55">
        <f ca="1">IFERROR(__xludf.DUMMYFUNCTION("""COMPUTED_VALUE"""),44576)</f>
        <v>44576</v>
      </c>
      <c r="M4" s="25" t="str">
        <f ca="1">IFERROR(__xludf.DUMMYFUNCTION("""COMPUTED_VALUE"""),"Se redactó desde la SDSCJ y se envío a la Secretaría Jurídica Distrital")</f>
        <v>Se redactó desde la SDSCJ y se envío a la Secretaría Jurídica Distrital</v>
      </c>
      <c r="N4" s="55">
        <f ca="1">IFERROR(__xludf.DUMMYFUNCTION("""COMPUTED_VALUE"""),44576)</f>
        <v>44576</v>
      </c>
      <c r="O4" s="25" t="str">
        <f t="shared" ca="1" si="0"/>
        <v>Secretaría Distrital de Seguridad, Convivencia y Justicia</v>
      </c>
      <c r="P4" s="25" t="str">
        <f t="shared" si="1"/>
        <v/>
      </c>
      <c r="Q4" s="25" t="str">
        <f ca="1">IFERROR(__xludf.DUMMYFUNCTION("""COMPUTED_VALUE"""),"Corto plazo")</f>
        <v>Corto plazo</v>
      </c>
      <c r="R4" s="25"/>
      <c r="S4" s="55">
        <v>44515</v>
      </c>
      <c r="T4" s="56"/>
      <c r="U4" s="25"/>
      <c r="V4" s="25"/>
      <c r="W4" s="25"/>
      <c r="X4" s="25"/>
      <c r="Y4" s="25"/>
      <c r="Z4" s="25"/>
    </row>
    <row r="5" spans="1:26" ht="52.5" customHeight="1" x14ac:dyDescent="0.25">
      <c r="A5" s="25" t="str">
        <f ca="1">IFERROR(__xludf.DUMMYFUNCTION("""COMPUTED_VALUE"""),"Segur3")</f>
        <v>Segur3</v>
      </c>
      <c r="B5" s="25" t="str">
        <f ca="1">IFERROR(__xludf.DUMMYFUNCTION("""COMPUTED_VALUE"""),"Consejo de Seguridad del 13 de abril ")</f>
        <v xml:space="preserve">Consejo de Seguridad del 13 de abril </v>
      </c>
      <c r="C5" s="55" t="str">
        <f ca="1">IFERROR(__xludf.DUMMYFUNCTION("""COMPUTED_VALUE"""),"15/04/2021")</f>
        <v>15/04/2021</v>
      </c>
      <c r="D5" s="25" t="str">
        <f ca="1">IFERROR(__xludf.DUMMYFUNCTION("""COMPUTED_VALUE"""),"Seguridad")</f>
        <v>Seguridad</v>
      </c>
      <c r="E5" s="25" t="str">
        <f ca="1">IFERROR(__xludf.DUMMYFUNCTION("""COMPUTED_VALUE"""),"Secretaría Distrital de Seguridad, Convivencia y Justicia")</f>
        <v>Secretaría Distrital de Seguridad, Convivencia y Justicia</v>
      </c>
      <c r="F5" s="25" t="str">
        <f ca="1">IFERROR(__xludf.DUMMYFUNCTION("""COMPUTED_VALUE"""),"Traer balance de Desarme por la vida con corte al 15 de abril. Organizar evento de este programa.")</f>
        <v>Traer balance de Desarme por la vida con corte al 15 de abril. Organizar evento de este programa.</v>
      </c>
      <c r="G5" s="25" t="str">
        <f ca="1">IFERROR(__xludf.DUMMYFUNCTION("""COMPUTED_VALUE"""),"99. Distrito")</f>
        <v>99. Distrito</v>
      </c>
      <c r="H5" s="55">
        <f ca="1">IFERROR(__xludf.DUMMYFUNCTION("""COMPUTED_VALUE"""),44331)</f>
        <v>44331</v>
      </c>
      <c r="I5" s="25"/>
      <c r="J5" s="55" t="str">
        <f ca="1">IFERROR(__xludf.DUMMYFUNCTION("""COMPUTED_VALUE"""),"Alta")</f>
        <v>Alta</v>
      </c>
      <c r="K5" s="25">
        <f ca="1">IFERROR(__xludf.DUMMYFUNCTION("""COMPUTED_VALUE"""),30)</f>
        <v>30</v>
      </c>
      <c r="L5" s="55">
        <f ca="1">IFERROR(__xludf.DUMMYFUNCTION("""COMPUTED_VALUE"""),44561)</f>
        <v>44561</v>
      </c>
      <c r="M5" s="25" t="str">
        <f ca="1">IFERROR(__xludf.DUMMYFUNCTION("""COMPUTED_VALUE"""),"Desde el 1 de enero de 2020 hasta el 31 de octubre de 2021 se han incautado 301.574 armas de fuego y arms blancas. ")</f>
        <v xml:space="preserve">Desde el 1 de enero de 2020 hasta el 31 de octubre de 2021 se han incautado 301.574 armas de fuego y arms blancas. </v>
      </c>
      <c r="N5" s="55">
        <f ca="1">IFERROR(__xludf.DUMMYFUNCTION("""COMPUTED_VALUE"""),44561)</f>
        <v>44561</v>
      </c>
      <c r="O5" s="25" t="str">
        <f t="shared" ca="1" si="0"/>
        <v>Secretaría Distrital de Seguridad, Convivencia y Justicia</v>
      </c>
      <c r="P5" s="25" t="str">
        <f t="shared" si="1"/>
        <v/>
      </c>
      <c r="Q5" s="25" t="str">
        <f ca="1">IFERROR(__xludf.DUMMYFUNCTION("""COMPUTED_VALUE"""),"Corto plazo")</f>
        <v>Corto plazo</v>
      </c>
      <c r="R5" s="25"/>
      <c r="S5" s="55"/>
      <c r="T5" s="56"/>
      <c r="U5" s="25"/>
      <c r="V5" s="25"/>
      <c r="W5" s="25"/>
      <c r="X5" s="25"/>
      <c r="Y5" s="25"/>
      <c r="Z5" s="25"/>
    </row>
    <row r="6" spans="1:26" ht="52.5" customHeight="1" x14ac:dyDescent="0.25">
      <c r="A6" s="25" t="str">
        <f ca="1">IFERROR(__xludf.DUMMYFUNCTION("""COMPUTED_VALUE"""),"Segur4")</f>
        <v>Segur4</v>
      </c>
      <c r="B6" s="25" t="str">
        <f ca="1">IFERROR(__xludf.DUMMYFUNCTION("""COMPUTED_VALUE"""),"Consejo de Seguridad ")</f>
        <v xml:space="preserve">Consejo de Seguridad </v>
      </c>
      <c r="C6" s="55" t="str">
        <f ca="1">IFERROR(__xludf.DUMMYFUNCTION("""COMPUTED_VALUE"""),"12/04/2021")</f>
        <v>12/04/2021</v>
      </c>
      <c r="D6" s="25" t="str">
        <f ca="1">IFERROR(__xludf.DUMMYFUNCTION("""COMPUTED_VALUE"""),"Seguridad")</f>
        <v>Seguridad</v>
      </c>
      <c r="E6" s="25" t="str">
        <f ca="1">IFERROR(__xludf.DUMMYFUNCTION("""COMPUTED_VALUE"""),"Secretaría Distrital de Seguridad, Convivencia y Justicia")</f>
        <v>Secretaría Distrital de Seguridad, Convivencia y Justicia</v>
      </c>
      <c r="F6" s="25" t="str">
        <f ca="1">IFERROR(__xludf.DUMMYFUNCTION("""COMPUTED_VALUE"""),"Establecer un puesto (de los 30) permanente de Policía y Ejercito en la zona de San Bernardo
")</f>
        <v xml:space="preserve">Establecer un puesto (de los 30) permanente de Policía y Ejercito en la zona de San Bernardo
</v>
      </c>
      <c r="G6" s="25" t="str">
        <f ca="1">IFERROR(__xludf.DUMMYFUNCTION("""COMPUTED_VALUE"""),"99. Distrito")</f>
        <v>99. Distrito</v>
      </c>
      <c r="H6" s="55">
        <f ca="1">IFERROR(__xludf.DUMMYFUNCTION("""COMPUTED_VALUE"""),44328)</f>
        <v>44328</v>
      </c>
      <c r="I6" s="25"/>
      <c r="J6" s="55" t="str">
        <f ca="1">IFERROR(__xludf.DUMMYFUNCTION("""COMPUTED_VALUE"""),"Alta")</f>
        <v>Alta</v>
      </c>
      <c r="K6" s="25">
        <f ca="1">IFERROR(__xludf.DUMMYFUNCTION("""COMPUTED_VALUE"""),30)</f>
        <v>30</v>
      </c>
      <c r="L6" s="55">
        <f ca="1">IFERROR(__xludf.DUMMYFUNCTION("""COMPUTED_VALUE"""),44576)</f>
        <v>44576</v>
      </c>
      <c r="M6" s="25" t="str">
        <f ca="1">IFERROR(__xludf.DUMMYFUNCTION("""COMPUTED_VALUE"""),"Se estableció el puesto permanente. Adicionalmente, se han desarrollado las siguientes acciones:
1. Plan Baliza cada tres (3) días
2. Recorridos mixtos entre Policía y Ejército, Jueves, viernes y sábado en turno 3
4. Recorridos diurnos con equipo disponib"&amp;"le de gestores
5. Se hicieron dos cierres con Secretaría de Movilidad, en la cra 11 entre 4, 5 y 6ta
6.Se activó el proceso de coordinación entre la empresa de Vigilancia de la ERU y la Policía de San Victorino")</f>
        <v>Se estableció el puesto permanente. Adicionalmente, se han desarrollado las siguientes acciones:
1. Plan Baliza cada tres (3) días
2. Recorridos mixtos entre Policía y Ejército, Jueves, viernes y sábado en turno 3
4. Recorridos diurnos con equipo disponible de gestores
5. Se hicieron dos cierres con Secretaría de Movilidad, en la cra 11 entre 4, 5 y 6ta
6.Se activó el proceso de coordinación entre la empresa de Vigilancia de la ERU y la Policía de San Victorino</v>
      </c>
      <c r="N6" s="55">
        <f ca="1">IFERROR(__xludf.DUMMYFUNCTION("""COMPUTED_VALUE"""),44576)</f>
        <v>44576</v>
      </c>
      <c r="O6" s="25" t="str">
        <f t="shared" ca="1" si="0"/>
        <v>Secretaría Distrital de Seguridad, Convivencia y Justicia</v>
      </c>
      <c r="P6" s="25" t="str">
        <f t="shared" si="1"/>
        <v/>
      </c>
      <c r="Q6" s="25" t="str">
        <f ca="1">IFERROR(__xludf.DUMMYFUNCTION("""COMPUTED_VALUE"""),"Corto plazo")</f>
        <v>Corto plazo</v>
      </c>
      <c r="R6" s="25"/>
      <c r="S6" s="55"/>
      <c r="T6" s="56"/>
      <c r="U6" s="25"/>
      <c r="V6" s="25"/>
      <c r="W6" s="25"/>
      <c r="X6" s="25"/>
      <c r="Y6" s="25"/>
      <c r="Z6" s="25"/>
    </row>
    <row r="7" spans="1:26" ht="52.5" customHeight="1" x14ac:dyDescent="0.25">
      <c r="A7" s="25" t="str">
        <f ca="1">IFERROR(__xludf.DUMMYFUNCTION("""COMPUTED_VALUE"""),"Segur5")</f>
        <v>Segur5</v>
      </c>
      <c r="B7" s="25" t="str">
        <f ca="1">IFERROR(__xludf.DUMMYFUNCTION("""COMPUTED_VALUE"""),"Consejo de Seguridad ")</f>
        <v xml:space="preserve">Consejo de Seguridad </v>
      </c>
      <c r="C7" s="55" t="str">
        <f ca="1">IFERROR(__xludf.DUMMYFUNCTION("""COMPUTED_VALUE"""),"12/04/2021")</f>
        <v>12/04/2021</v>
      </c>
      <c r="D7" s="25" t="str">
        <f ca="1">IFERROR(__xludf.DUMMYFUNCTION("""COMPUTED_VALUE"""),"Seguridad")</f>
        <v>Seguridad</v>
      </c>
      <c r="E7" s="25" t="str">
        <f ca="1">IFERROR(__xludf.DUMMYFUNCTION("""COMPUTED_VALUE"""),"Secretaría Distrital de Seguridad, Convivencia y Justicia")</f>
        <v>Secretaría Distrital de Seguridad, Convivencia y Justicia</v>
      </c>
      <c r="F7" s="25" t="str">
        <f ca="1">IFERROR(__xludf.DUMMYFUNCTION("""COMPUTED_VALUE"""),"Presentar semana a semana los avances en la línea de investigación de las estructuras criminales que se tienen identificadas
")</f>
        <v xml:space="preserve">Presentar semana a semana los avances en la línea de investigación de las estructuras criminales que se tienen identificadas
</v>
      </c>
      <c r="G7" s="25" t="str">
        <f ca="1">IFERROR(__xludf.DUMMYFUNCTION("""COMPUTED_VALUE"""),"99. Distrito")</f>
        <v>99. Distrito</v>
      </c>
      <c r="H7" s="55">
        <f ca="1">IFERROR(__xludf.DUMMYFUNCTION("""COMPUTED_VALUE"""),44328)</f>
        <v>44328</v>
      </c>
      <c r="I7" s="25"/>
      <c r="J7" s="55" t="str">
        <f ca="1">IFERROR(__xludf.DUMMYFUNCTION("""COMPUTED_VALUE"""),"Alta")</f>
        <v>Alta</v>
      </c>
      <c r="K7" s="25">
        <f ca="1">IFERROR(__xludf.DUMMYFUNCTION("""COMPUTED_VALUE"""),30)</f>
        <v>30</v>
      </c>
      <c r="L7" s="55">
        <f ca="1">IFERROR(__xludf.DUMMYFUNCTION("""COMPUTED_VALUE"""),44561)</f>
        <v>44561</v>
      </c>
      <c r="M7" s="25" t="str">
        <f ca="1">IFERROR(__xludf.DUMMYFUNCTION("""COMPUTED_VALUE"""),"Se activó mesa de trabajo con la Fiscalía, para el cruce del inventario criminal de Bogotá, la reunión se llevó a cabo en las Instalaciones del Bunker de la Fiscalía el pasado jueves 12 de agosto de 2021 con 4 mesas de trabajo: (i) Mesa de cruce de invent"&amp;"ario criminal, (ii) Mesa de reportes ciudadanos entregados por el equipo territorial, (iii) Plan de acción con Especilidades de Fiscalía 7 y (iv) Sesiones de capacitación para equipo territorial sobre recolección de información. Adicionalmente, estos resu"&amp;"ltados se presentan a la Alcaldesa en reuniones cerradas. ")</f>
        <v xml:space="preserve">Se activó mesa de trabajo con la Fiscalía, para el cruce del inventario criminal de Bogotá, la reunión se llevó a cabo en las Instalaciones del Bunker de la Fiscalía el pasado jueves 12 de agosto de 2021 con 4 mesas de trabajo: (i) Mesa de cruce de inventario criminal, (ii) Mesa de reportes ciudadanos entregados por el equipo territorial, (iii) Plan de acción con Especilidades de Fiscalía 7 y (iv) Sesiones de capacitación para equipo territorial sobre recolección de información. Adicionalmente, estos resultados se presentan a la Alcaldesa en reuniones cerradas. </v>
      </c>
      <c r="N7" s="55">
        <f ca="1">IFERROR(__xludf.DUMMYFUNCTION("""COMPUTED_VALUE"""),44561)</f>
        <v>44561</v>
      </c>
      <c r="O7" s="25" t="str">
        <f t="shared" ca="1" si="0"/>
        <v>Secretaría Distrital de Seguridad, Convivencia y Justicia</v>
      </c>
      <c r="P7" s="25" t="str">
        <f t="shared" si="1"/>
        <v/>
      </c>
      <c r="Q7" s="25" t="str">
        <f ca="1">IFERROR(__xludf.DUMMYFUNCTION("""COMPUTED_VALUE"""),"Corto plazo")</f>
        <v>Corto plazo</v>
      </c>
      <c r="R7" s="25"/>
      <c r="S7" s="55"/>
      <c r="T7" s="56"/>
      <c r="U7" s="25"/>
      <c r="V7" s="25"/>
      <c r="W7" s="25"/>
      <c r="X7" s="25"/>
      <c r="Y7" s="25"/>
      <c r="Z7" s="25"/>
    </row>
    <row r="8" spans="1:26" ht="52.5" customHeight="1" x14ac:dyDescent="0.25">
      <c r="A8" s="25" t="str">
        <f ca="1">IFERROR(__xludf.DUMMYFUNCTION("""COMPUTED_VALUE"""),"Segur6")</f>
        <v>Segur6</v>
      </c>
      <c r="B8" s="25" t="str">
        <f ca="1">IFERROR(__xludf.DUMMYFUNCTION("""COMPUTED_VALUE"""),"Consejo de Seguridad 30 de marzo de 2021")</f>
        <v>Consejo de Seguridad 30 de marzo de 2021</v>
      </c>
      <c r="C8" s="55" t="str">
        <f ca="1">IFERROR(__xludf.DUMMYFUNCTION("""COMPUTED_VALUE"""),"12/04/2021")</f>
        <v>12/04/2021</v>
      </c>
      <c r="D8" s="25" t="str">
        <f ca="1">IFERROR(__xludf.DUMMYFUNCTION("""COMPUTED_VALUE"""),"Seguridad")</f>
        <v>Seguridad</v>
      </c>
      <c r="E8" s="25" t="str">
        <f ca="1">IFERROR(__xludf.DUMMYFUNCTION("""COMPUTED_VALUE"""),"Secretaría Distrital de Seguridad, Convivencia y Justicia")</f>
        <v>Secretaría Distrital de Seguridad, Convivencia y Justicia</v>
      </c>
      <c r="F8" s="25" t="str">
        <f ca="1">IFERROR(__xludf.DUMMYFUNCTION("""COMPUTED_VALUE"""),"Traer las evidencias para solicitar una inspección de allanamiento")</f>
        <v>Traer las evidencias para solicitar una inspección de allanamiento</v>
      </c>
      <c r="G8" s="25" t="str">
        <f ca="1">IFERROR(__xludf.DUMMYFUNCTION("""COMPUTED_VALUE"""),"99. Distrito")</f>
        <v>99. Distrito</v>
      </c>
      <c r="H8" s="55">
        <f ca="1">IFERROR(__xludf.DUMMYFUNCTION("""COMPUTED_VALUE"""),44328)</f>
        <v>44328</v>
      </c>
      <c r="I8" s="25"/>
      <c r="J8" s="55" t="str">
        <f ca="1">IFERROR(__xludf.DUMMYFUNCTION("""COMPUTED_VALUE"""),"Alta")</f>
        <v>Alta</v>
      </c>
      <c r="K8" s="25">
        <f ca="1">IFERROR(__xludf.DUMMYFUNCTION("""COMPUTED_VALUE"""),30)</f>
        <v>30</v>
      </c>
      <c r="L8" s="55">
        <f ca="1">IFERROR(__xludf.DUMMYFUNCTION("""COMPUTED_VALUE"""),44576)</f>
        <v>44576</v>
      </c>
      <c r="M8" s="25" t="str">
        <f ca="1">IFERROR(__xludf.DUMMYFUNCTION("""COMPUTED_VALUE"""),"Se aportaron las evidencias y se lograron demoler tres ollas de expendio de droga en la localidad de Mártires")</f>
        <v>Se aportaron las evidencias y se lograron demoler tres ollas de expendio de droga en la localidad de Mártires</v>
      </c>
      <c r="N8" s="55">
        <f ca="1">IFERROR(__xludf.DUMMYFUNCTION("""COMPUTED_VALUE"""),44576)</f>
        <v>44576</v>
      </c>
      <c r="O8" s="25" t="str">
        <f t="shared" ca="1" si="0"/>
        <v>Secretaría Distrital de Seguridad, Convivencia y Justicia</v>
      </c>
      <c r="P8" s="25" t="str">
        <f t="shared" si="1"/>
        <v/>
      </c>
      <c r="Q8" s="25" t="str">
        <f ca="1">IFERROR(__xludf.DUMMYFUNCTION("""COMPUTED_VALUE"""),"Corto plazo")</f>
        <v>Corto plazo</v>
      </c>
      <c r="R8" s="25"/>
      <c r="S8" s="55"/>
      <c r="T8" s="56"/>
      <c r="U8" s="25"/>
      <c r="V8" s="25"/>
      <c r="W8" s="25"/>
      <c r="X8" s="25"/>
      <c r="Y8" s="25"/>
      <c r="Z8" s="25"/>
    </row>
    <row r="9" spans="1:26" ht="52.5" customHeight="1" x14ac:dyDescent="0.25">
      <c r="A9" s="25" t="str">
        <f ca="1">IFERROR(__xludf.DUMMYFUNCTION("""COMPUTED_VALUE"""),"Segur7")</f>
        <v>Segur7</v>
      </c>
      <c r="B9" s="25" t="str">
        <f ca="1">IFERROR(__xludf.DUMMYFUNCTION("""COMPUTED_VALUE"""),"CONPES política pública de la bicicleta")</f>
        <v>CONPES política pública de la bicicleta</v>
      </c>
      <c r="C9" s="55" t="str">
        <f ca="1">IFERROR(__xludf.DUMMYFUNCTION("""COMPUTED_VALUE"""),"10/03/2021")</f>
        <v>10/03/2021</v>
      </c>
      <c r="D9" s="25" t="str">
        <f ca="1">IFERROR(__xludf.DUMMYFUNCTION("""COMPUTED_VALUE"""),"Seguridad")</f>
        <v>Seguridad</v>
      </c>
      <c r="E9" s="25" t="str">
        <f ca="1">IFERROR(__xludf.DUMMYFUNCTION("""COMPUTED_VALUE"""),"Secretaría Distrital de Seguridad, Convivencia y Justicia")</f>
        <v>Secretaría Distrital de Seguridad, Convivencia y Justicia</v>
      </c>
      <c r="F9" s="25" t="str">
        <f ca="1">IFERROR(__xludf.DUMMYFUNCTION("""COMPUTED_VALUE"""),"Virtualizar y hacer públicos los frentes de seguridad que se confirmen: debe poder verse quién los compone y quién los coordina")</f>
        <v>Virtualizar y hacer públicos los frentes de seguridad que se confirmen: debe poder verse quién los compone y quién los coordina</v>
      </c>
      <c r="G9" s="25" t="str">
        <f ca="1">IFERROR(__xludf.DUMMYFUNCTION("""COMPUTED_VALUE"""),"99. Distrito")</f>
        <v>99. Distrito</v>
      </c>
      <c r="H9" s="55">
        <f ca="1">IFERROR(__xludf.DUMMYFUNCTION("""COMPUTED_VALUE"""),44295)</f>
        <v>44295</v>
      </c>
      <c r="I9" s="25"/>
      <c r="J9" s="55" t="str">
        <f ca="1">IFERROR(__xludf.DUMMYFUNCTION("""COMPUTED_VALUE"""),"Alta")</f>
        <v>Alta</v>
      </c>
      <c r="K9" s="25">
        <f ca="1">IFERROR(__xludf.DUMMYFUNCTION("""COMPUTED_VALUE"""),30)</f>
        <v>30</v>
      </c>
      <c r="L9" s="55">
        <f ca="1">IFERROR(__xludf.DUMMYFUNCTION("""COMPUTED_VALUE"""),44576)</f>
        <v>44576</v>
      </c>
      <c r="M9" s="25" t="str">
        <f ca="1">IFERROR(__xludf.DUMMYFUNCTION("""COMPUTED_VALUE"""),"Con el liderazgo del Sheriff de la Bici, se creó un sistema de grupos y alertas en WhatsAPP por latitudes de Bogotá. De esa manera, se buscó que por medio de Código QR las personas se puedan conectar. El proceso permite el registro de zonas seguras, rutas"&amp;" con alertas y estado, así como reporte en tiempo real de hurto de bicicletas o elementos asociados. ")</f>
        <v xml:space="preserve">Con el liderazgo del Sheriff de la Bici, se creó un sistema de grupos y alertas en WhatsAPP por latitudes de Bogotá. De esa manera, se buscó que por medio de Código QR las personas se puedan conectar. El proceso permite el registro de zonas seguras, rutas con alertas y estado, así como reporte en tiempo real de hurto de bicicletas o elementos asociados. </v>
      </c>
      <c r="N9" s="55">
        <f ca="1">IFERROR(__xludf.DUMMYFUNCTION("""COMPUTED_VALUE"""),44576)</f>
        <v>44576</v>
      </c>
      <c r="O9" s="25" t="str">
        <f t="shared" ca="1" si="0"/>
        <v>Secretaría Distrital de Seguridad, Convivencia y Justicia</v>
      </c>
      <c r="P9" s="25" t="str">
        <f t="shared" si="1"/>
        <v/>
      </c>
      <c r="Q9" s="25" t="str">
        <f ca="1">IFERROR(__xludf.DUMMYFUNCTION("""COMPUTED_VALUE"""),"Corto plazo")</f>
        <v>Corto plazo</v>
      </c>
      <c r="R9" s="25"/>
      <c r="S9" s="55"/>
      <c r="T9" s="56"/>
      <c r="U9" s="25"/>
      <c r="V9" s="25"/>
      <c r="W9" s="25"/>
      <c r="X9" s="25"/>
      <c r="Y9" s="25"/>
      <c r="Z9" s="25"/>
    </row>
    <row r="10" spans="1:26" ht="52.5" customHeight="1" x14ac:dyDescent="0.25">
      <c r="A10" s="25" t="str">
        <f ca="1">IFERROR(__xludf.DUMMYFUNCTION("""COMPUTED_VALUE"""),"Segur8")</f>
        <v>Segur8</v>
      </c>
      <c r="B10" s="25" t="str">
        <f ca="1">IFERROR(__xludf.DUMMYFUNCTION("""COMPUTED_VALUE"""),"Consejo de seguridad de Suba")</f>
        <v>Consejo de seguridad de Suba</v>
      </c>
      <c r="C10" s="55">
        <f ca="1">IFERROR(__xludf.DUMMYFUNCTION("""COMPUTED_VALUE"""),44630)</f>
        <v>44630</v>
      </c>
      <c r="D10" s="25" t="str">
        <f ca="1">IFERROR(__xludf.DUMMYFUNCTION("""COMPUTED_VALUE"""),"Seguridad")</f>
        <v>Seguridad</v>
      </c>
      <c r="E10" s="25" t="str">
        <f ca="1">IFERROR(__xludf.DUMMYFUNCTION("""COMPUTED_VALUE"""),"Secretaría Distrital de Seguridad, Convivencia y Justicia")</f>
        <v>Secretaría Distrital de Seguridad, Convivencia y Justicia</v>
      </c>
      <c r="F10" s="25" t="str">
        <f ca="1">IFERROR(__xludf.DUMMYFUNCTION("""COMPUTED_VALUE"""),"Realizar un brief con la información sobre el predio de Engativá para enviarle a la
Alcaldesa Mayor. ")</f>
        <v xml:space="preserve">Realizar un brief con la información sobre el predio de Engativá para enviarle a la
Alcaldesa Mayor. </v>
      </c>
      <c r="G10" s="55" t="str">
        <f ca="1">IFERROR(__xludf.DUMMYFUNCTION("""COMPUTED_VALUE"""),"10. Engativá")</f>
        <v>10. Engativá</v>
      </c>
      <c r="H10" s="55">
        <f ca="1">IFERROR(__xludf.DUMMYFUNCTION("""COMPUTED_VALUE"""),44660)</f>
        <v>44660</v>
      </c>
      <c r="I10" s="25"/>
      <c r="J10" s="55" t="str">
        <f ca="1">IFERROR(__xludf.DUMMYFUNCTION("""COMPUTED_VALUE"""),"Alta")</f>
        <v>Alta</v>
      </c>
      <c r="K10" s="25">
        <f ca="1">IFERROR(__xludf.DUMMYFUNCTION("""COMPUTED_VALUE"""),30)</f>
        <v>30</v>
      </c>
      <c r="L10" s="55">
        <f ca="1">IFERROR(__xludf.DUMMYFUNCTION("""COMPUTED_VALUE"""),44638)</f>
        <v>44638</v>
      </c>
      <c r="M10" s="25" t="str">
        <f ca="1">IFERROR(__xludf.DUMMYFUNCTION("""COMPUTED_VALUE"""),"Elaborado por parte de la SAJ (16/03/2022)")</f>
        <v>Elaborado por parte de la SAJ (16/03/2022)</v>
      </c>
      <c r="N10" s="55">
        <f ca="1">IFERROR(__xludf.DUMMYFUNCTION("""COMPUTED_VALUE"""),44638)</f>
        <v>44638</v>
      </c>
      <c r="O10" s="25" t="str">
        <f t="shared" ca="1" si="0"/>
        <v>Secretaría Distrital de Seguridad, Convivencia y Justicia</v>
      </c>
      <c r="P10" s="25" t="str">
        <f t="shared" si="1"/>
        <v/>
      </c>
      <c r="Q10" s="25" t="str">
        <f ca="1">IFERROR(__xludf.DUMMYFUNCTION("""COMPUTED_VALUE"""),"Corto plazo")</f>
        <v>Corto plazo</v>
      </c>
      <c r="R10" s="25"/>
      <c r="S10" s="55"/>
      <c r="T10" s="56"/>
      <c r="U10" s="25"/>
      <c r="V10" s="25"/>
      <c r="W10" s="25"/>
      <c r="X10" s="25"/>
      <c r="Y10" s="25"/>
      <c r="Z10" s="25"/>
    </row>
    <row r="11" spans="1:26" ht="52.5" customHeight="1" x14ac:dyDescent="0.25">
      <c r="A11" s="25" t="str">
        <f ca="1">IFERROR(__xludf.DUMMYFUNCTION("""COMPUTED_VALUE"""),"Segur9")</f>
        <v>Segur9</v>
      </c>
      <c r="B11" s="25" t="str">
        <f ca="1">IFERROR(__xludf.DUMMYFUNCTION("""COMPUTED_VALUE"""),"Junta de infraestructura")</f>
        <v>Junta de infraestructura</v>
      </c>
      <c r="C11" s="55">
        <f ca="1">IFERROR(__xludf.DUMMYFUNCTION("""COMPUTED_VALUE"""),44608)</f>
        <v>44608</v>
      </c>
      <c r="D11" s="25" t="str">
        <f ca="1">IFERROR(__xludf.DUMMYFUNCTION("""COMPUTED_VALUE"""),"Seguridad")</f>
        <v>Seguridad</v>
      </c>
      <c r="E11" s="25" t="str">
        <f ca="1">IFERROR(__xludf.DUMMYFUNCTION("""COMPUTED_VALUE"""),"Secretaría Distrital de Seguridad, Convivencia y Justicia")</f>
        <v>Secretaría Distrital de Seguridad, Convivencia y Justicia</v>
      </c>
      <c r="F11" s="25" t="str">
        <f ca="1">IFERROR(__xludf.DUMMYFUNCTION("""COMPUTED_VALUE"""),"URI Tunjuelito:
 Solicita cronograma con fechas concretas para poder hacer el seguimiento")</f>
        <v>URI Tunjuelito:
 Solicita cronograma con fechas concretas para poder hacer el seguimiento</v>
      </c>
      <c r="G11" s="55" t="str">
        <f ca="1">IFERROR(__xludf.DUMMYFUNCTION("""COMPUTED_VALUE"""),"06. Tunjuelito")</f>
        <v>06. Tunjuelito</v>
      </c>
      <c r="H11" s="55">
        <f ca="1">IFERROR(__xludf.DUMMYFUNCTION("""COMPUTED_VALUE"""),44638)</f>
        <v>44638</v>
      </c>
      <c r="I11" s="25"/>
      <c r="J11" s="55" t="str">
        <f ca="1">IFERROR(__xludf.DUMMYFUNCTION("""COMPUTED_VALUE"""),"Alta")</f>
        <v>Alta</v>
      </c>
      <c r="K11" s="25">
        <f ca="1">IFERROR(__xludf.DUMMYFUNCTION("""COMPUTED_VALUE"""),30)</f>
        <v>30</v>
      </c>
      <c r="L11" s="55">
        <f ca="1">IFERROR(__xludf.DUMMYFUNCTION("""COMPUTED_VALUE"""),44638)</f>
        <v>44638</v>
      </c>
      <c r="M11" s="25" t="str">
        <f ca="1">IFERROR(__xludf.DUMMYFUNCTION("""COMPUTED_VALUE"""),"El 22 de febrero, el IDU remitió cronograma para el cumplimiento de las actividades de levantamiento de reserva vial y posible transferencia de los inmuebles al DADEP para el desarrollo del proyecto de la URI de Tunjuelito y se reportó a la Junta de Infra"&amp;"estructura (1. División material. Fecha aproximada de cumplimiento: 31 de marzo de 2022. 2. Levantamiento de la reserva vial. Fecha aproximada de cumplimiento: 27 de abril de 2022. 3. Cancelación de propiedad horizontal. Fecha aproximada de cumplimiento: "&amp;"21 de julio de 2022). El 25 de febrero, la SDSCJ remitió oficio al IDU para adelantar las fechas informadas. El 4 de marzo, el IDU informó que procurará cumplir anticipadamente, pero, que las acciones dependen de otras autoridades.")</f>
        <v>El 22 de febrero, el IDU remitió cronograma para el cumplimiento de las actividades de levantamiento de reserva vial y posible transferencia de los inmuebles al DADEP para el desarrollo del proyecto de la URI de Tunjuelito y se reportó a la Junta de Infraestructura (1. División material. Fecha aproximada de cumplimiento: 31 de marzo de 2022. 2. Levantamiento de la reserva vial. Fecha aproximada de cumplimiento: 27 de abril de 2022. 3. Cancelación de propiedad horizontal. Fecha aproximada de cumplimiento: 21 de julio de 2022). El 25 de febrero, la SDSCJ remitió oficio al IDU para adelantar las fechas informadas. El 4 de marzo, el IDU informó que procurará cumplir anticipadamente, pero, que las acciones dependen de otras autoridades.</v>
      </c>
      <c r="N11" s="55">
        <f ca="1">IFERROR(__xludf.DUMMYFUNCTION("""COMPUTED_VALUE"""),44638)</f>
        <v>44638</v>
      </c>
      <c r="O11" s="25" t="str">
        <f t="shared" ca="1" si="0"/>
        <v>Secretaría Distrital de Seguridad, Convivencia y Justicia</v>
      </c>
      <c r="P11" s="25" t="str">
        <f t="shared" si="1"/>
        <v/>
      </c>
      <c r="Q11" s="25" t="str">
        <f ca="1">IFERROR(__xludf.DUMMYFUNCTION("""COMPUTED_VALUE"""),"Corto plazo")</f>
        <v>Corto plazo</v>
      </c>
      <c r="R11" s="25"/>
      <c r="S11" s="55"/>
      <c r="T11" s="56"/>
      <c r="U11" s="25"/>
      <c r="V11" s="25"/>
      <c r="W11" s="25"/>
      <c r="X11" s="25"/>
      <c r="Y11" s="25"/>
      <c r="Z11" s="25"/>
    </row>
    <row r="12" spans="1:26" ht="52.5" customHeight="1" x14ac:dyDescent="0.25">
      <c r="A12" s="25" t="str">
        <f ca="1">IFERROR(__xludf.DUMMYFUNCTION("""COMPUTED_VALUE"""),"Segur10")</f>
        <v>Segur10</v>
      </c>
      <c r="B12" s="25" t="str">
        <f ca="1">IFERROR(__xludf.DUMMYFUNCTION("""COMPUTED_VALUE"""),"Consejo Seguridad")</f>
        <v>Consejo Seguridad</v>
      </c>
      <c r="C12" s="55">
        <f ca="1">IFERROR(__xludf.DUMMYFUNCTION("""COMPUTED_VALUE"""),44593)</f>
        <v>44593</v>
      </c>
      <c r="D12" s="25" t="str">
        <f ca="1">IFERROR(__xludf.DUMMYFUNCTION("""COMPUTED_VALUE"""),"Seguridad")</f>
        <v>Seguridad</v>
      </c>
      <c r="E12" s="25" t="str">
        <f ca="1">IFERROR(__xludf.DUMMYFUNCTION("""COMPUTED_VALUE"""),"Secretaría Distrital de Seguridad, Convivencia y Justicia")</f>
        <v>Secretaría Distrital de Seguridad, Convivencia y Justicia</v>
      </c>
      <c r="F12" s="25" t="str">
        <f ca="1">IFERROR(__xludf.DUMMYFUNCTION("""COMPUTED_VALUE"""),"Hacer el análisis de los delitos en Transmilenio.")</f>
        <v>Hacer el análisis de los delitos en Transmilenio.</v>
      </c>
      <c r="G12" s="25" t="str">
        <f ca="1">IFERROR(__xludf.DUMMYFUNCTION("""COMPUTED_VALUE"""),"99. Distrito")</f>
        <v>99. Distrito</v>
      </c>
      <c r="H12" s="55">
        <f ca="1">IFERROR(__xludf.DUMMYFUNCTION("""COMPUTED_VALUE"""),44621)</f>
        <v>44621</v>
      </c>
      <c r="I12" s="25"/>
      <c r="J12" s="55" t="str">
        <f ca="1">IFERROR(__xludf.DUMMYFUNCTION("""COMPUTED_VALUE"""),"Alta")</f>
        <v>Alta</v>
      </c>
      <c r="K12" s="25">
        <f ca="1">IFERROR(__xludf.DUMMYFUNCTION("""COMPUTED_VALUE"""),28)</f>
        <v>28</v>
      </c>
      <c r="L12" s="55">
        <f ca="1">IFERROR(__xludf.DUMMYFUNCTION("""COMPUTED_VALUE"""),44638)</f>
        <v>44638</v>
      </c>
      <c r="M12" s="25" t="str">
        <f ca="1">IFERROR(__xludf.DUMMYFUNCTION("""COMPUTED_VALUE"""),"Desde la dirección de prevención se realizó un análisis de los delitos de Transmilenio que se usó para diseñar el plan de acción de la estrategia de Entornos de Confianza en el Sistema Transmilenio ")</f>
        <v xml:space="preserve">Desde la dirección de prevención se realizó un análisis de los delitos de Transmilenio que se usó para diseñar el plan de acción de la estrategia de Entornos de Confianza en el Sistema Transmilenio </v>
      </c>
      <c r="N12" s="55">
        <f ca="1">IFERROR(__xludf.DUMMYFUNCTION("""COMPUTED_VALUE"""),44638)</f>
        <v>44638</v>
      </c>
      <c r="O12" s="25" t="str">
        <f t="shared" ca="1" si="0"/>
        <v>Secretaría Distrital de Seguridad, Convivencia y Justicia</v>
      </c>
      <c r="P12" s="25" t="str">
        <f t="shared" si="1"/>
        <v/>
      </c>
      <c r="Q12" s="25" t="str">
        <f ca="1">IFERROR(__xludf.DUMMYFUNCTION("""COMPUTED_VALUE"""),"Corto plazo")</f>
        <v>Corto plazo</v>
      </c>
      <c r="R12" s="25"/>
      <c r="S12" s="55"/>
      <c r="T12" s="56"/>
      <c r="U12" s="25"/>
      <c r="V12" s="25"/>
      <c r="W12" s="25"/>
      <c r="X12" s="25"/>
      <c r="Y12" s="25"/>
      <c r="Z12" s="25"/>
    </row>
    <row r="13" spans="1:26" ht="52.5" customHeight="1" x14ac:dyDescent="0.25">
      <c r="A13" s="25" t="str">
        <f ca="1">IFERROR(__xludf.DUMMYFUNCTION("""COMPUTED_VALUE"""),"Segur11")</f>
        <v>Segur11</v>
      </c>
      <c r="B13" s="25" t="str">
        <f ca="1">IFERROR(__xludf.DUMMYFUNCTION("""COMPUTED_VALUE"""),"Recorrido Puente Aranda")</f>
        <v>Recorrido Puente Aranda</v>
      </c>
      <c r="C13" s="55">
        <f ca="1">IFERROR(__xludf.DUMMYFUNCTION("""COMPUTED_VALUE"""),44587)</f>
        <v>44587</v>
      </c>
      <c r="D13" s="25" t="str">
        <f ca="1">IFERROR(__xludf.DUMMYFUNCTION("""COMPUTED_VALUE"""),"Seguridad")</f>
        <v>Seguridad</v>
      </c>
      <c r="E13" s="25" t="str">
        <f ca="1">IFERROR(__xludf.DUMMYFUNCTION("""COMPUTED_VALUE"""),"Secretaría Distrital de Seguridad, Convivencia y Justicia")</f>
        <v>Secretaría Distrital de Seguridad, Convivencia y Justicia</v>
      </c>
      <c r="F13" s="25" t="str">
        <f ca="1">IFERROR(__xludf.DUMMYFUNCTION("""COMPUTED_VALUE"""),"Hacer un plan de acción y un plan piloto para implementar la justicia restaurativa en el CER.")</f>
        <v>Hacer un plan de acción y un plan piloto para implementar la justicia restaurativa en el CER.</v>
      </c>
      <c r="G13" s="25" t="str">
        <f ca="1">IFERROR(__xludf.DUMMYFUNCTION("""COMPUTED_VALUE"""),"99. Distrito")</f>
        <v>99. Distrito</v>
      </c>
      <c r="H13" s="55">
        <f ca="1">IFERROR(__xludf.DUMMYFUNCTION("""COMPUTED_VALUE"""),44617)</f>
        <v>44617</v>
      </c>
      <c r="I13" s="25"/>
      <c r="J13" s="55" t="str">
        <f ca="1">IFERROR(__xludf.DUMMYFUNCTION("""COMPUTED_VALUE"""),"Alta")</f>
        <v>Alta</v>
      </c>
      <c r="K13" s="25">
        <f ca="1">IFERROR(__xludf.DUMMYFUNCTION("""COMPUTED_VALUE"""),30)</f>
        <v>30</v>
      </c>
      <c r="L13" s="55">
        <f ca="1">IFERROR(__xludf.DUMMYFUNCTION("""COMPUTED_VALUE"""),44782)</f>
        <v>44782</v>
      </c>
      <c r="M13" s="25" t="str">
        <f ca="1">IFERROR(__xludf.DUMMYFUNCTION("""COMPUTED_VALUE"""),"El pasado 26 de mayo de 2022 se inició el plan piloto para la implementación del programa de justicia restaurativa en el CER con la población privada de la libertad a través de un equipo psicosocial conformado por psicólogos, abogados y trabajadores socia"&amp;"les que buscar implementar un apoyo psicosocial a la población, que tienen el objetivo realizar un acompañamiento psicosocial  buscando identificar e intervenir factores de riesgo y protección de la reincidencia en el delito, incentivar su participación e"&amp;"n procesos de carácter restaurativo y abrir opciones de posibilidad al uso de medidas alternativas a la privación de la libertad por parte de las autoridades judiciales. 
Se vincularon 37 participantes distribuidos en tres grupos, de las 12 sesiones prog"&amp;"ramadas a la fecha se han adelantado 8 (una cada semana); los temas abordados son (i) Mundo emocional, (ii) Empatía general, (iii) Autoestima, (iv) Conflicto, Violencia y No Violencia, (v) Cultura Patriarcal, (vi) Estilos de Afrontamiento, Mecanismos de D"&amp;"efensa, (vii) Resolución de Conflictos y (viii) Habilidades sociales y comunicativas. Actualmente se han llevado a cabo 10 sesiones y se espera dar por terminado el plan piloto el próximo 15 de septiembre. 
La participación en el plan es voluntaria, en g"&amp;"eneral la conformación de los grupos se mantiene y los participantes demuestran interés y manifiestan el reconocimiento de las herramientas para el control de sus emociones y mejorar el relacionamiento con sus compañeros. Finalmente, a partir de la evalua"&amp;"ción realizada por el equipo, se buscará iniciar con el plan de acción para su implementación definitiva.")</f>
        <v>El pasado 26 de mayo de 2022 se inició el plan piloto para la implementación del programa de justicia restaurativa en el CER con la población privada de la libertad a través de un equipo psicosocial conformado por psicólogos, abogados y trabajadores sociales que buscar implementar un apoyo psicosocial a la población, que tienen el objetivo realizar un acompañamiento psicosocial  buscando identificar e intervenir factores de riesgo y protección de la reincidencia en el delito, incentivar su participación en procesos de carácter restaurativo y abrir opciones de posibilidad al uso de medidas alternativas a la privación de la libertad por parte de las autoridades judiciales. 
Se vincularon 37 participantes distribuidos en tres grupos, de las 12 sesiones programadas a la fecha se han adelantado 8 (una cada semana); los temas abordados son (i) Mundo emocional, (ii) Empatía general, (iii) Autoestima, (iv) Conflicto, Violencia y No Violencia, (v) Cultura Patriarcal, (vi) Estilos de Afrontamiento, Mecanismos de Defensa, (vii) Resolución de Conflictos y (viii) Habilidades sociales y comunicativas. Actualmente se han llevado a cabo 10 sesiones y se espera dar por terminado el plan piloto el próximo 15 de septiembre. 
La participación en el plan es voluntaria, en general la conformación de los grupos se mantiene y los participantes demuestran interés y manifiestan el reconocimiento de las herramientas para el control de sus emociones y mejorar el relacionamiento con sus compañeros. Finalmente, a partir de la evaluación realizada por el equipo, se buscará iniciar con el plan de acción para su implementación definitiva.</v>
      </c>
      <c r="N13" s="55">
        <f ca="1">IFERROR(__xludf.DUMMYFUNCTION("""COMPUTED_VALUE"""),44782)</f>
        <v>44782</v>
      </c>
      <c r="O13" s="25" t="str">
        <f t="shared" ca="1" si="0"/>
        <v>Secretaría Distrital de Seguridad, Convivencia y Justicia</v>
      </c>
      <c r="P13" s="25" t="str">
        <f t="shared" si="1"/>
        <v/>
      </c>
      <c r="Q13" s="25" t="str">
        <f ca="1">IFERROR(__xludf.DUMMYFUNCTION("""COMPUTED_VALUE"""),"Corto plazo")</f>
        <v>Corto plazo</v>
      </c>
      <c r="R13" s="25"/>
      <c r="S13" s="55"/>
      <c r="T13" s="56"/>
      <c r="U13" s="25"/>
      <c r="V13" s="25"/>
      <c r="W13" s="25"/>
      <c r="X13" s="25"/>
      <c r="Y13" s="25"/>
      <c r="Z13" s="25"/>
    </row>
    <row r="14" spans="1:26" ht="52.5" customHeight="1" x14ac:dyDescent="0.25">
      <c r="A14" s="25" t="str">
        <f ca="1">IFERROR(__xludf.DUMMYFUNCTION("""COMPUTED_VALUE"""),"Segur12")</f>
        <v>Segur12</v>
      </c>
      <c r="B14" s="25" t="str">
        <f ca="1">IFERROR(__xludf.DUMMYFUNCTION("""COMPUTED_VALUE"""),"Consejo de Seguridad")</f>
        <v>Consejo de Seguridad</v>
      </c>
      <c r="C14" s="55">
        <f ca="1">IFERROR(__xludf.DUMMYFUNCTION("""COMPUTED_VALUE"""),44573)</f>
        <v>44573</v>
      </c>
      <c r="D14" s="25" t="str">
        <f ca="1">IFERROR(__xludf.DUMMYFUNCTION("""COMPUTED_VALUE"""),"Seguridad")</f>
        <v>Seguridad</v>
      </c>
      <c r="E14" s="25" t="str">
        <f ca="1">IFERROR(__xludf.DUMMYFUNCTION("""COMPUTED_VALUE"""),"Secretaría Distrital de Seguridad, Convivencia y Justicia")</f>
        <v>Secretaría Distrital de Seguridad, Convivencia y Justicia</v>
      </c>
      <c r="F14" s="25" t="str">
        <f ca="1">IFERROR(__xludf.DUMMYFUNCTION("""COMPUTED_VALUE"""),"Comité de hurto de vehículos debe ocuparse también de motos y no solo de vehículos.")</f>
        <v>Comité de hurto de vehículos debe ocuparse también de motos y no solo de vehículos.</v>
      </c>
      <c r="G14" s="25" t="str">
        <f ca="1">IFERROR(__xludf.DUMMYFUNCTION("""COMPUTED_VALUE"""),"99. Distrito")</f>
        <v>99. Distrito</v>
      </c>
      <c r="H14" s="55">
        <f ca="1">IFERROR(__xludf.DUMMYFUNCTION("""COMPUTED_VALUE"""),44603)</f>
        <v>44603</v>
      </c>
      <c r="I14" s="25"/>
      <c r="J14" s="55" t="str">
        <f ca="1">IFERROR(__xludf.DUMMYFUNCTION("""COMPUTED_VALUE"""),"Alta")</f>
        <v>Alta</v>
      </c>
      <c r="K14" s="25">
        <f ca="1">IFERROR(__xludf.DUMMYFUNCTION("""COMPUTED_VALUE"""),30)</f>
        <v>30</v>
      </c>
      <c r="L14" s="55">
        <f ca="1">IFERROR(__xludf.DUMMYFUNCTION("""COMPUTED_VALUE"""),44576)</f>
        <v>44576</v>
      </c>
      <c r="M14" s="25" t="str">
        <f ca="1">IFERROR(__xludf.DUMMYFUNCTION("""COMPUTED_VALUE"""),"Dentro de la creación del Comité de hurto automotores se tratan temas en todas sus modalidades por parte del Dinamizador de los casos SIJÍN se brindan los aportes investigativos realizados a través del Modelo Nacional de Vigilancia por Cuadrantes y el sum"&amp;"inistro de información por fiscalías")</f>
        <v>Dentro de la creación del Comité de hurto automotores se tratan temas en todas sus modalidades por parte del Dinamizador de los casos SIJÍN se brindan los aportes investigativos realizados a través del Modelo Nacional de Vigilancia por Cuadrantes y el suministro de información por fiscalías</v>
      </c>
      <c r="N14" s="55">
        <f ca="1">IFERROR(__xludf.DUMMYFUNCTION("""COMPUTED_VALUE"""),44576)</f>
        <v>44576</v>
      </c>
      <c r="O14" s="25" t="str">
        <f t="shared" ca="1" si="0"/>
        <v>Secretaría Distrital de Seguridad, Convivencia y Justicia</v>
      </c>
      <c r="P14" s="25" t="str">
        <f t="shared" si="1"/>
        <v/>
      </c>
      <c r="Q14" s="25" t="str">
        <f ca="1">IFERROR(__xludf.DUMMYFUNCTION("""COMPUTED_VALUE"""),"Corto plazo")</f>
        <v>Corto plazo</v>
      </c>
      <c r="R14" s="25"/>
      <c r="S14" s="55"/>
      <c r="T14" s="56"/>
      <c r="U14" s="25"/>
      <c r="V14" s="25"/>
      <c r="W14" s="25"/>
      <c r="X14" s="25"/>
      <c r="Y14" s="25"/>
      <c r="Z14" s="25"/>
    </row>
    <row r="15" spans="1:26" ht="52.5" customHeight="1" x14ac:dyDescent="0.25">
      <c r="A15" s="25" t="str">
        <f ca="1">IFERROR(__xludf.DUMMYFUNCTION("""COMPUTED_VALUE"""),"Segur13")</f>
        <v>Segur13</v>
      </c>
      <c r="B15" s="25" t="str">
        <f ca="1">IFERROR(__xludf.DUMMYFUNCTION("""COMPUTED_VALUE"""),"Consejo de Seguridad")</f>
        <v>Consejo de Seguridad</v>
      </c>
      <c r="C15" s="55">
        <f ca="1">IFERROR(__xludf.DUMMYFUNCTION("""COMPUTED_VALUE"""),44573)</f>
        <v>44573</v>
      </c>
      <c r="D15" s="25" t="str">
        <f ca="1">IFERROR(__xludf.DUMMYFUNCTION("""COMPUTED_VALUE"""),"Seguridad")</f>
        <v>Seguridad</v>
      </c>
      <c r="E15" s="25" t="str">
        <f ca="1">IFERROR(__xludf.DUMMYFUNCTION("""COMPUTED_VALUE"""),"Secretaría Distrital de Seguridad, Convivencia y Justicia")</f>
        <v>Secretaría Distrital de Seguridad, Convivencia y Justicia</v>
      </c>
      <c r="F15" s="25" t="str">
        <f ca="1">IFERROR(__xludf.DUMMYFUNCTION("""COMPUTED_VALUE"""),"Revisar cómo es el tema legal de aseguramiento y cubrimiento para vehículos que prestan servicios en plataformas digitales. ")</f>
        <v xml:space="preserve">Revisar cómo es el tema legal de aseguramiento y cubrimiento para vehículos que prestan servicios en plataformas digitales. </v>
      </c>
      <c r="G15" s="25" t="str">
        <f ca="1">IFERROR(__xludf.DUMMYFUNCTION("""COMPUTED_VALUE"""),"99. Distrito")</f>
        <v>99. Distrito</v>
      </c>
      <c r="H15" s="55">
        <f ca="1">IFERROR(__xludf.DUMMYFUNCTION("""COMPUTED_VALUE"""),44603)</f>
        <v>44603</v>
      </c>
      <c r="I15" s="25"/>
      <c r="J15" s="55" t="str">
        <f ca="1">IFERROR(__xludf.DUMMYFUNCTION("""COMPUTED_VALUE"""),"Alta")</f>
        <v>Alta</v>
      </c>
      <c r="K15" s="25">
        <f ca="1">IFERROR(__xludf.DUMMYFUNCTION("""COMPUTED_VALUE"""),30)</f>
        <v>30</v>
      </c>
      <c r="L15" s="55">
        <f ca="1">IFERROR(__xludf.DUMMYFUNCTION("""COMPUTED_VALUE"""),44638)</f>
        <v>44638</v>
      </c>
      <c r="M15" s="25" t="str">
        <f ca="1">IFERROR(__xludf.DUMMYFUNCTION("""COMPUTED_VALUE"""),"el 19 de enero, la SAJ emitió concepto sobre el particular y se presentó en consejo de seguridad siguiente.")</f>
        <v>el 19 de enero, la SAJ emitió concepto sobre el particular y se presentó en consejo de seguridad siguiente.</v>
      </c>
      <c r="N15" s="55">
        <f ca="1">IFERROR(__xludf.DUMMYFUNCTION("""COMPUTED_VALUE"""),44638)</f>
        <v>44638</v>
      </c>
      <c r="O15" s="25" t="str">
        <f t="shared" ca="1" si="0"/>
        <v>Secretaría Distrital de Seguridad, Convivencia y Justicia</v>
      </c>
      <c r="P15" s="25" t="str">
        <f t="shared" si="1"/>
        <v/>
      </c>
      <c r="Q15" s="25" t="str">
        <f ca="1">IFERROR(__xludf.DUMMYFUNCTION("""COMPUTED_VALUE"""),"Corto plazo")</f>
        <v>Corto plazo</v>
      </c>
      <c r="R15" s="25"/>
      <c r="S15" s="55"/>
      <c r="T15" s="56"/>
      <c r="U15" s="25"/>
      <c r="V15" s="25"/>
      <c r="W15" s="25"/>
      <c r="X15" s="25"/>
      <c r="Y15" s="25"/>
      <c r="Z15" s="25"/>
    </row>
    <row r="16" spans="1:26" ht="52.5" customHeight="1" x14ac:dyDescent="0.25">
      <c r="A16" s="25" t="str">
        <f ca="1">IFERROR(__xludf.DUMMYFUNCTION("""COMPUTED_VALUE"""),"Segur14")</f>
        <v>Segur14</v>
      </c>
      <c r="B16" s="25" t="str">
        <f ca="1">IFERROR(__xludf.DUMMYFUNCTION("""COMPUTED_VALUE"""),"Consejo de Seguridad")</f>
        <v>Consejo de Seguridad</v>
      </c>
      <c r="C16" s="55">
        <f ca="1">IFERROR(__xludf.DUMMYFUNCTION("""COMPUTED_VALUE"""),44565)</f>
        <v>44565</v>
      </c>
      <c r="D16" s="25" t="str">
        <f ca="1">IFERROR(__xludf.DUMMYFUNCTION("""COMPUTED_VALUE"""),"Seguridad")</f>
        <v>Seguridad</v>
      </c>
      <c r="E16" s="25" t="str">
        <f ca="1">IFERROR(__xludf.DUMMYFUNCTION("""COMPUTED_VALUE"""),"Secretaría Distrital de Seguridad, Convivencia y Justicia")</f>
        <v>Secretaría Distrital de Seguridad, Convivencia y Justicia</v>
      </c>
      <c r="F16" s="25" t="str">
        <f ca="1">IFERROR(__xludf.DUMMYFUNCTION("""COMPUTED_VALUE"""),"Revisar el análisis de extorsión la semana del 11 de enero")</f>
        <v>Revisar el análisis de extorsión la semana del 11 de enero</v>
      </c>
      <c r="G16" s="25" t="str">
        <f ca="1">IFERROR(__xludf.DUMMYFUNCTION("""COMPUTED_VALUE"""),"99. Distrito")</f>
        <v>99. Distrito</v>
      </c>
      <c r="H16" s="55">
        <f ca="1">IFERROR(__xludf.DUMMYFUNCTION("""COMPUTED_VALUE"""),44595)</f>
        <v>44595</v>
      </c>
      <c r="I16" s="25"/>
      <c r="J16" s="55" t="str">
        <f ca="1">IFERROR(__xludf.DUMMYFUNCTION("""COMPUTED_VALUE"""),"Alta")</f>
        <v>Alta</v>
      </c>
      <c r="K16" s="25">
        <f ca="1">IFERROR(__xludf.DUMMYFUNCTION("""COMPUTED_VALUE"""),30)</f>
        <v>30</v>
      </c>
      <c r="L16" s="55">
        <f ca="1">IFERROR(__xludf.DUMMYFUNCTION("""COMPUTED_VALUE"""),44211)</f>
        <v>44211</v>
      </c>
      <c r="M16" s="25" t="str">
        <f ca="1">IFERROR(__xludf.DUMMYFUNCTION("""COMPUTED_VALUE"""),"Se realizó en el Consejo de Seguridad del 13 de enero de 2022, realizando la presentación proyectiva y operativa por el delito de extorsión con 07 fiscales delegados ante el GAULA, se realiza la exposición ante la Alcaldesa Mayor de Bogotá")</f>
        <v>Se realizó en el Consejo de Seguridad del 13 de enero de 2022, realizando la presentación proyectiva y operativa por el delito de extorsión con 07 fiscales delegados ante el GAULA, se realiza la exposición ante la Alcaldesa Mayor de Bogotá</v>
      </c>
      <c r="N16" s="55">
        <f ca="1">IFERROR(__xludf.DUMMYFUNCTION("""COMPUTED_VALUE"""),44211)</f>
        <v>44211</v>
      </c>
      <c r="O16" s="25" t="str">
        <f t="shared" ca="1" si="0"/>
        <v>Secretaría Distrital de Seguridad, Convivencia y Justicia</v>
      </c>
      <c r="P16" s="25" t="str">
        <f t="shared" si="1"/>
        <v/>
      </c>
      <c r="Q16" s="25" t="str">
        <f ca="1">IFERROR(__xludf.DUMMYFUNCTION("""COMPUTED_VALUE"""),"Corto plazo")</f>
        <v>Corto plazo</v>
      </c>
      <c r="R16" s="25"/>
      <c r="S16" s="55"/>
      <c r="T16" s="56"/>
      <c r="U16" s="25"/>
      <c r="V16" s="25"/>
      <c r="W16" s="25"/>
      <c r="X16" s="25"/>
      <c r="Y16" s="25"/>
      <c r="Z16" s="25"/>
    </row>
    <row r="17" spans="1:26" ht="52.5" customHeight="1" x14ac:dyDescent="0.25">
      <c r="A17" s="25" t="str">
        <f ca="1">IFERROR(__xludf.DUMMYFUNCTION("""COMPUTED_VALUE"""),"Segur15")</f>
        <v>Segur15</v>
      </c>
      <c r="B17" s="25" t="str">
        <f ca="1">IFERROR(__xludf.DUMMYFUNCTION("""COMPUTED_VALUE"""),"Consejo de Seguridad")</f>
        <v>Consejo de Seguridad</v>
      </c>
      <c r="C17" s="55">
        <f ca="1">IFERROR(__xludf.DUMMYFUNCTION("""COMPUTED_VALUE"""),44565)</f>
        <v>44565</v>
      </c>
      <c r="D17" s="25" t="str">
        <f ca="1">IFERROR(__xludf.DUMMYFUNCTION("""COMPUTED_VALUE"""),"Seguridad")</f>
        <v>Seguridad</v>
      </c>
      <c r="E17" s="25" t="str">
        <f ca="1">IFERROR(__xludf.DUMMYFUNCTION("""COMPUTED_VALUE"""),"Secretaría Distrital de Seguridad, Convivencia y Justicia")</f>
        <v>Secretaría Distrital de Seguridad, Convivencia y Justicia</v>
      </c>
      <c r="F17" s="25" t="str">
        <f ca="1">IFERROR(__xludf.DUMMYFUNCTION("""COMPUTED_VALUE"""),"Hacer un plan para cambiar los turnos para mitigar la afectación de delitos contra la vida ")</f>
        <v xml:space="preserve">Hacer un plan para cambiar los turnos para mitigar la afectación de delitos contra la vida </v>
      </c>
      <c r="G17" s="25" t="str">
        <f ca="1">IFERROR(__xludf.DUMMYFUNCTION("""COMPUTED_VALUE"""),"99. Distrito")</f>
        <v>99. Distrito</v>
      </c>
      <c r="H17" s="55">
        <f ca="1">IFERROR(__xludf.DUMMYFUNCTION("""COMPUTED_VALUE"""),44595)</f>
        <v>44595</v>
      </c>
      <c r="I17" s="25"/>
      <c r="J17" s="55" t="str">
        <f ca="1">IFERROR(__xludf.DUMMYFUNCTION("""COMPUTED_VALUE"""),"Alta")</f>
        <v>Alta</v>
      </c>
      <c r="K17" s="25">
        <f ca="1">IFERROR(__xludf.DUMMYFUNCTION("""COMPUTED_VALUE"""),30)</f>
        <v>30</v>
      </c>
      <c r="L17" s="55">
        <f ca="1">IFERROR(__xludf.DUMMYFUNCTION("""COMPUTED_VALUE"""),44576)</f>
        <v>44576</v>
      </c>
      <c r="M17" s="25" t="str">
        <f ca="1">IFERROR(__xludf.DUMMYFUNCTION("""COMPUTED_VALUE"""),"Por parte del señor Mayor General ELIÉCER CAMACHO JIMÉNEZ Comandante Policía Metropolitana de Bogotá, se realiza reunión mediante acta 004 con los señores comandantes de las unidades mebog, con el fin de impartir instrucción e implementar acciones para im"&amp;"pactar las afectaciones de convivencia y seguridad ciudadana en la cual se dan órdenes de horarios específicos todo el personal la disponibilidad para el año 2022 y estrategias para mitigar los delitos en todas sus modalidades en la reunión participó el D"&amp;"octor Secretario de Seguridad.")</f>
        <v>Por parte del señor Mayor General ELIÉCER CAMACHO JIMÉNEZ Comandante Policía Metropolitana de Bogotá, se realiza reunión mediante acta 004 con los señores comandantes de las unidades mebog, con el fin de impartir instrucción e implementar acciones para impactar las afectaciones de convivencia y seguridad ciudadana en la cual se dan órdenes de horarios específicos todo el personal la disponibilidad para el año 2022 y estrategias para mitigar los delitos en todas sus modalidades en la reunión participó el Doctor Secretario de Seguridad.</v>
      </c>
      <c r="N17" s="55">
        <f ca="1">IFERROR(__xludf.DUMMYFUNCTION("""COMPUTED_VALUE"""),44576)</f>
        <v>44576</v>
      </c>
      <c r="O17" s="25" t="str">
        <f t="shared" ca="1" si="0"/>
        <v>Secretaría Distrital de Seguridad, Convivencia y Justicia</v>
      </c>
      <c r="P17" s="25" t="str">
        <f t="shared" si="1"/>
        <v/>
      </c>
      <c r="Q17" s="25" t="str">
        <f ca="1">IFERROR(__xludf.DUMMYFUNCTION("""COMPUTED_VALUE"""),"Corto plazo")</f>
        <v>Corto plazo</v>
      </c>
      <c r="R17" s="25"/>
      <c r="S17" s="55"/>
      <c r="T17" s="56"/>
      <c r="U17" s="25"/>
      <c r="V17" s="25"/>
      <c r="W17" s="25"/>
      <c r="X17" s="25"/>
      <c r="Y17" s="25"/>
      <c r="Z17" s="25"/>
    </row>
    <row r="18" spans="1:26" ht="52.5" customHeight="1" x14ac:dyDescent="0.25">
      <c r="A18" s="25" t="str">
        <f ca="1">IFERROR(__xludf.DUMMYFUNCTION("""COMPUTED_VALUE"""),"Segur16")</f>
        <v>Segur16</v>
      </c>
      <c r="B18" s="25" t="str">
        <f ca="1">IFERROR(__xludf.DUMMYFUNCTION("""COMPUTED_VALUE"""),"Consejo de Seguridad")</f>
        <v>Consejo de Seguridad</v>
      </c>
      <c r="C18" s="55">
        <f ca="1">IFERROR(__xludf.DUMMYFUNCTION("""COMPUTED_VALUE"""),44565)</f>
        <v>44565</v>
      </c>
      <c r="D18" s="25" t="str">
        <f ca="1">IFERROR(__xludf.DUMMYFUNCTION("""COMPUTED_VALUE"""),"Seguridad")</f>
        <v>Seguridad</v>
      </c>
      <c r="E18" s="25" t="str">
        <f ca="1">IFERROR(__xludf.DUMMYFUNCTION("""COMPUTED_VALUE"""),"Secretaría Distrital de Seguridad, Convivencia y Justicia")</f>
        <v>Secretaría Distrital de Seguridad, Convivencia y Justicia</v>
      </c>
      <c r="F18" s="25" t="str">
        <f ca="1">IFERROR(__xludf.DUMMYFUNCTION("""COMPUTED_VALUE"""),"Hacer una proyección de tasa de homicidio para que en 2024 sea por debajo de 10 ")</f>
        <v xml:space="preserve">Hacer una proyección de tasa de homicidio para que en 2024 sea por debajo de 10 </v>
      </c>
      <c r="G18" s="25" t="str">
        <f ca="1">IFERROR(__xludf.DUMMYFUNCTION("""COMPUTED_VALUE"""),"99. Distrito")</f>
        <v>99. Distrito</v>
      </c>
      <c r="H18" s="55">
        <f ca="1">IFERROR(__xludf.DUMMYFUNCTION("""COMPUTED_VALUE"""),44595)</f>
        <v>44595</v>
      </c>
      <c r="I18" s="25"/>
      <c r="J18" s="55" t="str">
        <f ca="1">IFERROR(__xludf.DUMMYFUNCTION("""COMPUTED_VALUE"""),"Alta")</f>
        <v>Alta</v>
      </c>
      <c r="K18" s="25">
        <f ca="1">IFERROR(__xludf.DUMMYFUNCTION("""COMPUTED_VALUE"""),30)</f>
        <v>30</v>
      </c>
      <c r="L18" s="55">
        <f ca="1">IFERROR(__xludf.DUMMYFUNCTION("""COMPUTED_VALUE"""),44576)</f>
        <v>44576</v>
      </c>
      <c r="M18" s="25" t="str">
        <f ca="1">IFERROR(__xludf.DUMMYFUNCTION("""COMPUTED_VALUE"""),"Se definió dentro de las metas de reducción del delito de homicidio una reducción de 15% en 2022. Tomando como línea base 2021 una tasa de 14.4, en 2022 con una reducción de 15% alcanzamos la tasa de 12.1, 2023 de 10.2 y 2024 de 8.6 (asumiendo reducción c"&amp;"onstante anual de 15%).")</f>
        <v>Se definió dentro de las metas de reducción del delito de homicidio una reducción de 15% en 2022. Tomando como línea base 2021 una tasa de 14.4, en 2022 con una reducción de 15% alcanzamos la tasa de 12.1, 2023 de 10.2 y 2024 de 8.6 (asumiendo reducción constante anual de 15%).</v>
      </c>
      <c r="N18" s="55">
        <f ca="1">IFERROR(__xludf.DUMMYFUNCTION("""COMPUTED_VALUE"""),44576)</f>
        <v>44576</v>
      </c>
      <c r="O18" s="25" t="str">
        <f t="shared" ca="1" si="0"/>
        <v>Secretaría Distrital de Seguridad, Convivencia y Justicia</v>
      </c>
      <c r="P18" s="25" t="str">
        <f t="shared" si="1"/>
        <v/>
      </c>
      <c r="Q18" s="25" t="str">
        <f ca="1">IFERROR(__xludf.DUMMYFUNCTION("""COMPUTED_VALUE"""),"Corto plazo")</f>
        <v>Corto plazo</v>
      </c>
      <c r="R18" s="25"/>
      <c r="S18" s="55"/>
      <c r="T18" s="56"/>
      <c r="U18" s="25"/>
      <c r="V18" s="25"/>
      <c r="W18" s="25"/>
      <c r="X18" s="25"/>
      <c r="Y18" s="25"/>
      <c r="Z18" s="25"/>
    </row>
    <row r="19" spans="1:26" ht="52.5" customHeight="1" x14ac:dyDescent="0.25">
      <c r="A19" s="25" t="str">
        <f ca="1">IFERROR(__xludf.DUMMYFUNCTION("""COMPUTED_VALUE"""),"Segur17")</f>
        <v>Segur17</v>
      </c>
      <c r="B19" s="25" t="str">
        <f ca="1">IFERROR(__xludf.DUMMYFUNCTION("""COMPUTED_VALUE"""),"Consejo de Seguridad")</f>
        <v>Consejo de Seguridad</v>
      </c>
      <c r="C19" s="55">
        <f ca="1">IFERROR(__xludf.DUMMYFUNCTION("""COMPUTED_VALUE"""),44565)</f>
        <v>44565</v>
      </c>
      <c r="D19" s="25" t="str">
        <f ca="1">IFERROR(__xludf.DUMMYFUNCTION("""COMPUTED_VALUE"""),"Seguridad")</f>
        <v>Seguridad</v>
      </c>
      <c r="E19" s="25" t="str">
        <f ca="1">IFERROR(__xludf.DUMMYFUNCTION("""COMPUTED_VALUE"""),"Secretaría Distrital de Seguridad, Convivencia y Justicia")</f>
        <v>Secretaría Distrital de Seguridad, Convivencia y Justicia</v>
      </c>
      <c r="F19" s="25" t="str">
        <f ca="1">IFERROR(__xludf.DUMMYFUNCTION("""COMPUTED_VALUE"""),"En el próximo consejo de seguridad se verá: 1) Análisis de ciclomotores y automotores. Incluir lo operativo y judicialización; 2) Análisis de violencia intrafamiliar y delitos sexuales; 3)Programar Consejo de Gobierno y Seguridad interno por COSEC. 
")</f>
        <v xml:space="preserve">En el próximo consejo de seguridad se verá: 1) Análisis de ciclomotores y automotores. Incluir lo operativo y judicialización; 2) Análisis de violencia intrafamiliar y delitos sexuales; 3)Programar Consejo de Gobierno y Seguridad interno por COSEC. 
</v>
      </c>
      <c r="G19" s="25" t="str">
        <f ca="1">IFERROR(__xludf.DUMMYFUNCTION("""COMPUTED_VALUE"""),"99. Distrito")</f>
        <v>99. Distrito</v>
      </c>
      <c r="H19" s="55">
        <f ca="1">IFERROR(__xludf.DUMMYFUNCTION("""COMPUTED_VALUE"""),44595)</f>
        <v>44595</v>
      </c>
      <c r="I19" s="25"/>
      <c r="J19" s="55" t="str">
        <f ca="1">IFERROR(__xludf.DUMMYFUNCTION("""COMPUTED_VALUE"""),"Alta")</f>
        <v>Alta</v>
      </c>
      <c r="K19" s="25">
        <f ca="1">IFERROR(__xludf.DUMMYFUNCTION("""COMPUTED_VALUE"""),30)</f>
        <v>30</v>
      </c>
      <c r="L19" s="55">
        <f ca="1">IFERROR(__xludf.DUMMYFUNCTION("""COMPUTED_VALUE"""),44576)</f>
        <v>44576</v>
      </c>
      <c r="M19" s="25" t="str">
        <f ca="1">IFERROR(__xludf.DUMMYFUNCTION("""COMPUTED_VALUE"""),"Se realizó en el Consejo de Seguridad del 13 de enero de 2022")</f>
        <v>Se realizó en el Consejo de Seguridad del 13 de enero de 2022</v>
      </c>
      <c r="N19" s="55">
        <f ca="1">IFERROR(__xludf.DUMMYFUNCTION("""COMPUTED_VALUE"""),44576)</f>
        <v>44576</v>
      </c>
      <c r="O19" s="25" t="str">
        <f t="shared" ca="1" si="0"/>
        <v>Secretaría Distrital de Seguridad, Convivencia y Justicia</v>
      </c>
      <c r="P19" s="25" t="str">
        <f t="shared" si="1"/>
        <v/>
      </c>
      <c r="Q19" s="25" t="str">
        <f ca="1">IFERROR(__xludf.DUMMYFUNCTION("""COMPUTED_VALUE"""),"Corto plazo")</f>
        <v>Corto plazo</v>
      </c>
      <c r="R19" s="25"/>
      <c r="S19" s="55"/>
      <c r="T19" s="56"/>
      <c r="U19" s="25"/>
      <c r="V19" s="25"/>
      <c r="W19" s="25"/>
      <c r="X19" s="25"/>
      <c r="Y19" s="25"/>
      <c r="Z19" s="25"/>
    </row>
    <row r="20" spans="1:26" ht="52.5" customHeight="1" x14ac:dyDescent="0.25">
      <c r="A20" s="25" t="str">
        <f ca="1">IFERROR(__xludf.DUMMYFUNCTION("""COMPUTED_VALUE"""),"Segur18")</f>
        <v>Segur18</v>
      </c>
      <c r="B20" s="25" t="str">
        <f ca="1">IFERROR(__xludf.DUMMYFUNCTION("""COMPUTED_VALUE"""),"Consejo Distrital de Seguridad")</f>
        <v>Consejo Distrital de Seguridad</v>
      </c>
      <c r="C20" s="55">
        <f ca="1">IFERROR(__xludf.DUMMYFUNCTION("""COMPUTED_VALUE"""),44537)</f>
        <v>44537</v>
      </c>
      <c r="D20" s="25" t="str">
        <f ca="1">IFERROR(__xludf.DUMMYFUNCTION("""COMPUTED_VALUE"""),"Seguridad")</f>
        <v>Seguridad</v>
      </c>
      <c r="E20" s="25" t="str">
        <f ca="1">IFERROR(__xludf.DUMMYFUNCTION("""COMPUTED_VALUE"""),"Secretaría Distrital de Seguridad, Convivencia y Justicia")</f>
        <v>Secretaría Distrital de Seguridad, Convivencia y Justicia</v>
      </c>
      <c r="F20" s="25" t="str">
        <f ca="1">IFERROR(__xludf.DUMMYFUNCTION("""COMPUTED_VALUE"""),"Tener un dispositivo de policía permanente para verificar la
situación con los Embera")</f>
        <v>Tener un dispositivo de policía permanente para verificar la
situación con los Embera</v>
      </c>
      <c r="G20" s="55" t="str">
        <f ca="1">IFERROR(__xludf.DUMMYFUNCTION("""COMPUTED_VALUE"""),"03. Santa Fe")</f>
        <v>03. Santa Fe</v>
      </c>
      <c r="H20" s="55">
        <f ca="1">IFERROR(__xludf.DUMMYFUNCTION("""COMPUTED_VALUE"""),44567)</f>
        <v>44567</v>
      </c>
      <c r="I20" s="25"/>
      <c r="J20" s="55" t="str">
        <f ca="1">IFERROR(__xludf.DUMMYFUNCTION("""COMPUTED_VALUE"""),"Alta")</f>
        <v>Alta</v>
      </c>
      <c r="K20" s="25">
        <f ca="1">IFERROR(__xludf.DUMMYFUNCTION("""COMPUTED_VALUE"""),30)</f>
        <v>30</v>
      </c>
      <c r="L20" s="55">
        <f ca="1">IFERROR(__xludf.DUMMYFUNCTION("""COMPUTED_VALUE"""),44576)</f>
        <v>44576</v>
      </c>
      <c r="M20" s="25" t="str">
        <f ca="1">IFERROR(__xludf.DUMMYFUNCTION("""COMPUTED_VALUE"""),"Se tiene un dispositivo permanente en el Parque Nacional y dos motos para recorridos. Asimismo, se tienen gestores de convivencia en la zona. ")</f>
        <v xml:space="preserve">Se tiene un dispositivo permanente en el Parque Nacional y dos motos para recorridos. Asimismo, se tienen gestores de convivencia en la zona. </v>
      </c>
      <c r="N20" s="55">
        <f ca="1">IFERROR(__xludf.DUMMYFUNCTION("""COMPUTED_VALUE"""),44576)</f>
        <v>44576</v>
      </c>
      <c r="O20" s="25" t="str">
        <f t="shared" ca="1" si="0"/>
        <v>Secretaría Distrital de Seguridad, Convivencia y Justicia</v>
      </c>
      <c r="P20" s="25" t="str">
        <f t="shared" si="1"/>
        <v/>
      </c>
      <c r="Q20" s="25" t="str">
        <f ca="1">IFERROR(__xludf.DUMMYFUNCTION("""COMPUTED_VALUE"""),"Corto plazo")</f>
        <v>Corto plazo</v>
      </c>
      <c r="R20" s="25"/>
      <c r="S20" s="55"/>
      <c r="T20" s="56"/>
      <c r="U20" s="25"/>
      <c r="V20" s="25"/>
      <c r="W20" s="25"/>
      <c r="X20" s="25"/>
      <c r="Y20" s="25"/>
      <c r="Z20" s="25"/>
    </row>
    <row r="21" spans="1:26" ht="52.5" customHeight="1" x14ac:dyDescent="0.25">
      <c r="A21" s="25" t="str">
        <f ca="1">IFERROR(__xludf.DUMMYFUNCTION("""COMPUTED_VALUE"""),"Segur19")</f>
        <v>Segur19</v>
      </c>
      <c r="B21" s="25" t="str">
        <f ca="1">IFERROR(__xludf.DUMMYFUNCTION("""COMPUTED_VALUE"""),"Consejo Distrital de Seguridad")</f>
        <v>Consejo Distrital de Seguridad</v>
      </c>
      <c r="C21" s="55">
        <f ca="1">IFERROR(__xludf.DUMMYFUNCTION("""COMPUTED_VALUE"""),44537)</f>
        <v>44537</v>
      </c>
      <c r="D21" s="25" t="str">
        <f ca="1">IFERROR(__xludf.DUMMYFUNCTION("""COMPUTED_VALUE"""),"Seguridad")</f>
        <v>Seguridad</v>
      </c>
      <c r="E21" s="25" t="str">
        <f ca="1">IFERROR(__xludf.DUMMYFUNCTION("""COMPUTED_VALUE"""),"Secretaría Distrital de Seguridad, Convivencia y Justicia")</f>
        <v>Secretaría Distrital de Seguridad, Convivencia y Justicia</v>
      </c>
      <c r="F21" s="25" t="str">
        <f ca="1">IFERROR(__xludf.DUMMYFUNCTION("""COMPUTED_VALUE"""),"Realizar el balance delictivo medido por tasa de acuerdo a
cada localidad y cada COSEC")</f>
        <v>Realizar el balance delictivo medido por tasa de acuerdo a
cada localidad y cada COSEC</v>
      </c>
      <c r="G21" s="25" t="str">
        <f ca="1">IFERROR(__xludf.DUMMYFUNCTION("""COMPUTED_VALUE"""),"99. Distrito")</f>
        <v>99. Distrito</v>
      </c>
      <c r="H21" s="55">
        <f ca="1">IFERROR(__xludf.DUMMYFUNCTION("""COMPUTED_VALUE"""),44567)</f>
        <v>44567</v>
      </c>
      <c r="I21" s="25"/>
      <c r="J21" s="55" t="str">
        <f ca="1">IFERROR(__xludf.DUMMYFUNCTION("""COMPUTED_VALUE"""),"Alta")</f>
        <v>Alta</v>
      </c>
      <c r="K21" s="25">
        <f ca="1">IFERROR(__xludf.DUMMYFUNCTION("""COMPUTED_VALUE"""),30)</f>
        <v>30</v>
      </c>
      <c r="L21" s="55">
        <f ca="1">IFERROR(__xludf.DUMMYFUNCTION("""COMPUTED_VALUE"""),44576)</f>
        <v>44576</v>
      </c>
      <c r="M21" s="25" t="str">
        <f ca="1">IFERROR(__xludf.DUMMYFUNCTION("""COMPUTED_VALUE"""),"Se va a presentar el balance delictivo mensual conforme a estas indicaciones en las sesiones siguientes del Consejo Distrital de Seguridad.")</f>
        <v>Se va a presentar el balance delictivo mensual conforme a estas indicaciones en las sesiones siguientes del Consejo Distrital de Seguridad.</v>
      </c>
      <c r="N21" s="55">
        <f ca="1">IFERROR(__xludf.DUMMYFUNCTION("""COMPUTED_VALUE"""),44576)</f>
        <v>44576</v>
      </c>
      <c r="O21" s="25" t="str">
        <f t="shared" ca="1" si="0"/>
        <v>Secretaría Distrital de Seguridad, Convivencia y Justicia</v>
      </c>
      <c r="P21" s="25" t="str">
        <f t="shared" si="1"/>
        <v/>
      </c>
      <c r="Q21" s="25" t="str">
        <f ca="1">IFERROR(__xludf.DUMMYFUNCTION("""COMPUTED_VALUE"""),"Corto plazo")</f>
        <v>Corto plazo</v>
      </c>
      <c r="R21" s="25"/>
      <c r="S21" s="55"/>
      <c r="T21" s="56"/>
      <c r="U21" s="25"/>
      <c r="V21" s="25"/>
      <c r="W21" s="25"/>
      <c r="X21" s="25"/>
      <c r="Y21" s="25"/>
      <c r="Z21" s="25"/>
    </row>
    <row r="22" spans="1:26" ht="52.5" customHeight="1" x14ac:dyDescent="0.25">
      <c r="A22" s="25" t="str">
        <f ca="1">IFERROR(__xludf.DUMMYFUNCTION("""COMPUTED_VALUE"""),"Segur20")</f>
        <v>Segur20</v>
      </c>
      <c r="B22" s="25" t="str">
        <f ca="1">IFERROR(__xludf.DUMMYFUNCTION("""COMPUTED_VALUE"""),"Consejo Distrital de Seguridad")</f>
        <v>Consejo Distrital de Seguridad</v>
      </c>
      <c r="C22" s="55">
        <f ca="1">IFERROR(__xludf.DUMMYFUNCTION("""COMPUTED_VALUE"""),44537)</f>
        <v>44537</v>
      </c>
      <c r="D22" s="25" t="str">
        <f ca="1">IFERROR(__xludf.DUMMYFUNCTION("""COMPUTED_VALUE"""),"Seguridad")</f>
        <v>Seguridad</v>
      </c>
      <c r="E22" s="25" t="str">
        <f ca="1">IFERROR(__xludf.DUMMYFUNCTION("""COMPUTED_VALUE"""),"Secretaría Distrital de Seguridad, Convivencia y Justicia")</f>
        <v>Secretaría Distrital de Seguridad, Convivencia y Justicia</v>
      </c>
      <c r="F22" s="25" t="str">
        <f ca="1">IFERROR(__xludf.DUMMYFUNCTION("""COMPUTED_VALUE"""),"Aumentar el número de requisas de desarme al ingreso y a la
salida del sistema de TransMilenio. Asimismo, se debe
aumentar el número de incautación de armas.")</f>
        <v>Aumentar el número de requisas de desarme al ingreso y a la
salida del sistema de TransMilenio. Asimismo, se debe
aumentar el número de incautación de armas.</v>
      </c>
      <c r="G22" s="25" t="str">
        <f ca="1">IFERROR(__xludf.DUMMYFUNCTION("""COMPUTED_VALUE"""),"99. Distrito")</f>
        <v>99. Distrito</v>
      </c>
      <c r="H22" s="55">
        <f ca="1">IFERROR(__xludf.DUMMYFUNCTION("""COMPUTED_VALUE"""),44567)</f>
        <v>44567</v>
      </c>
      <c r="I22" s="25"/>
      <c r="J22" s="55" t="str">
        <f ca="1">IFERROR(__xludf.DUMMYFUNCTION("""COMPUTED_VALUE"""),"Alta")</f>
        <v>Alta</v>
      </c>
      <c r="K22" s="25">
        <f ca="1">IFERROR(__xludf.DUMMYFUNCTION("""COMPUTED_VALUE"""),30)</f>
        <v>30</v>
      </c>
      <c r="L22" s="55">
        <f ca="1">IFERROR(__xludf.DUMMYFUNCTION("""COMPUTED_VALUE"""),44576)</f>
        <v>44576</v>
      </c>
      <c r="M22" s="25" t="str">
        <f ca="1">IFERROR(__xludf.DUMMYFUNCTION("""COMPUTED_VALUE"""),"En el plan navidad se contempla un incremento en la operatividad de registro a personas (requisas), focalizando los entornos de transmilenio y las entradas y salidas de las estaciones y portales, para apoyar el trabajo que realiza la Policía de Transmilen"&amp;"io dentro del sistema. Asimismo, se están llevando a cabo acciones de articulación para el 2022, con el objetivo de mantener las requisas contemplando el analisis de los indicadores de alto impacto en el dentro y fuera (entorno) del sistema, para prioriza"&amp;"r en las estaciones y portales donde más se debe concentrar esta actividad.")</f>
        <v>En el plan navidad se contempla un incremento en la operatividad de registro a personas (requisas), focalizando los entornos de transmilenio y las entradas y salidas de las estaciones y portales, para apoyar el trabajo que realiza la Policía de Transmilenio dentro del sistema. Asimismo, se están llevando a cabo acciones de articulación para el 2022, con el objetivo de mantener las requisas contemplando el analisis de los indicadores de alto impacto en el dentro y fuera (entorno) del sistema, para priorizar en las estaciones y portales donde más se debe concentrar esta actividad.</v>
      </c>
      <c r="N22" s="55">
        <f ca="1">IFERROR(__xludf.DUMMYFUNCTION("""COMPUTED_VALUE"""),44576)</f>
        <v>44576</v>
      </c>
      <c r="O22" s="25" t="str">
        <f t="shared" ca="1" si="0"/>
        <v>Secretaría Distrital de Seguridad, Convivencia y Justicia</v>
      </c>
      <c r="P22" s="25" t="str">
        <f t="shared" si="1"/>
        <v/>
      </c>
      <c r="Q22" s="25" t="str">
        <f ca="1">IFERROR(__xludf.DUMMYFUNCTION("""COMPUTED_VALUE"""),"Corto plazo")</f>
        <v>Corto plazo</v>
      </c>
      <c r="R22" s="25"/>
      <c r="S22" s="55"/>
      <c r="T22" s="56"/>
      <c r="U22" s="25"/>
      <c r="V22" s="25"/>
      <c r="W22" s="25"/>
      <c r="X22" s="25"/>
      <c r="Y22" s="25"/>
      <c r="Z22" s="25"/>
    </row>
    <row r="23" spans="1:26" ht="52.5" customHeight="1" x14ac:dyDescent="0.25">
      <c r="A23" s="25" t="str">
        <f ca="1">IFERROR(__xludf.DUMMYFUNCTION("""COMPUTED_VALUE"""),"Segur21")</f>
        <v>Segur21</v>
      </c>
      <c r="B23" s="25" t="str">
        <f ca="1">IFERROR(__xludf.DUMMYFUNCTION("""COMPUTED_VALUE"""),"Consejo Distrital de Seguridad")</f>
        <v>Consejo Distrital de Seguridad</v>
      </c>
      <c r="C23" s="55">
        <f ca="1">IFERROR(__xludf.DUMMYFUNCTION("""COMPUTED_VALUE"""),44537)</f>
        <v>44537</v>
      </c>
      <c r="D23" s="25" t="str">
        <f ca="1">IFERROR(__xludf.DUMMYFUNCTION("""COMPUTED_VALUE"""),"Seguridad")</f>
        <v>Seguridad</v>
      </c>
      <c r="E23" s="25" t="str">
        <f ca="1">IFERROR(__xludf.DUMMYFUNCTION("""COMPUTED_VALUE"""),"Secretaría Distrital de Seguridad, Convivencia y Justicia")</f>
        <v>Secretaría Distrital de Seguridad, Convivencia y Justicia</v>
      </c>
      <c r="F23" s="25" t="str">
        <f ca="1">IFERROR(__xludf.DUMMYFUNCTION("""COMPUTED_VALUE"""),"Hacer un análisis del aumento de homicidios de habitantes
de calle en las localidades de Engativá y San Cristóbal")</f>
        <v>Hacer un análisis del aumento de homicidios de habitantes
de calle en las localidades de Engativá y San Cristóbal</v>
      </c>
      <c r="G23" s="55" t="str">
        <f ca="1">IFERROR(__xludf.DUMMYFUNCTION("""COMPUTED_VALUE"""),"10. Engativá")</f>
        <v>10. Engativá</v>
      </c>
      <c r="H23" s="55">
        <f ca="1">IFERROR(__xludf.DUMMYFUNCTION("""COMPUTED_VALUE"""),44567)</f>
        <v>44567</v>
      </c>
      <c r="I23" s="25"/>
      <c r="J23" s="55" t="str">
        <f ca="1">IFERROR(__xludf.DUMMYFUNCTION("""COMPUTED_VALUE"""),"Alta")</f>
        <v>Alta</v>
      </c>
      <c r="K23" s="25">
        <f ca="1">IFERROR(__xludf.DUMMYFUNCTION("""COMPUTED_VALUE"""),30)</f>
        <v>30</v>
      </c>
      <c r="L23" s="55">
        <f ca="1">IFERROR(__xludf.DUMMYFUNCTION("""COMPUTED_VALUE"""),44576)</f>
        <v>44576</v>
      </c>
      <c r="M23" s="25" t="str">
        <f ca="1">IFERROR(__xludf.DUMMYFUNCTION("""COMPUTED_VALUE"""),"La OAIEE realizó esta caracterización con base en la información delictiva con la que cuenta.")</f>
        <v>La OAIEE realizó esta caracterización con base en la información delictiva con la que cuenta.</v>
      </c>
      <c r="N23" s="55">
        <f ca="1">IFERROR(__xludf.DUMMYFUNCTION("""COMPUTED_VALUE"""),44576)</f>
        <v>44576</v>
      </c>
      <c r="O23" s="25" t="str">
        <f t="shared" ca="1" si="0"/>
        <v>Secretaría Distrital de Seguridad, Convivencia y Justicia</v>
      </c>
      <c r="P23" s="25" t="str">
        <f t="shared" si="1"/>
        <v/>
      </c>
      <c r="Q23" s="25" t="str">
        <f ca="1">IFERROR(__xludf.DUMMYFUNCTION("""COMPUTED_VALUE"""),"Corto plazo")</f>
        <v>Corto plazo</v>
      </c>
      <c r="R23" s="25"/>
      <c r="S23" s="55"/>
      <c r="T23" s="56"/>
      <c r="U23" s="25"/>
      <c r="V23" s="25"/>
      <c r="W23" s="25"/>
      <c r="X23" s="25"/>
      <c r="Y23" s="25"/>
      <c r="Z23" s="25"/>
    </row>
    <row r="24" spans="1:26" ht="52.5" customHeight="1" x14ac:dyDescent="0.25">
      <c r="A24" s="25" t="str">
        <f ca="1">IFERROR(__xludf.DUMMYFUNCTION("""COMPUTED_VALUE"""),"Segur22")</f>
        <v>Segur22</v>
      </c>
      <c r="B24" s="25" t="str">
        <f ca="1">IFERROR(__xludf.DUMMYFUNCTION("""COMPUTED_VALUE"""),"Despachando Mebog ")</f>
        <v xml:space="preserve">Despachando Mebog </v>
      </c>
      <c r="C24" s="55">
        <f ca="1">IFERROR(__xludf.DUMMYFUNCTION("""COMPUTED_VALUE"""),44518)</f>
        <v>44518</v>
      </c>
      <c r="D24" s="25" t="str">
        <f ca="1">IFERROR(__xludf.DUMMYFUNCTION("""COMPUTED_VALUE"""),"Seguridad")</f>
        <v>Seguridad</v>
      </c>
      <c r="E24" s="25" t="str">
        <f ca="1">IFERROR(__xludf.DUMMYFUNCTION("""COMPUTED_VALUE"""),"Secretaría Distrital de Seguridad, Convivencia y Justicia")</f>
        <v>Secretaría Distrital de Seguridad, Convivencia y Justicia</v>
      </c>
      <c r="F24" s="25" t="str">
        <f ca="1">IFERROR(__xludf.DUMMYFUNCTION("""COMPUTED_VALUE"""),"Fortalecer los entornos seguros, o redes de cuidado, en parques y colegios, atendiendo al regreso a clases. Trabajar en conjunto con la estrategia de Juntos Cuidamos Bogotá.")</f>
        <v>Fortalecer los entornos seguros, o redes de cuidado, en parques y colegios, atendiendo al regreso a clases. Trabajar en conjunto con la estrategia de Juntos Cuidamos Bogotá.</v>
      </c>
      <c r="G24" s="25" t="str">
        <f ca="1">IFERROR(__xludf.DUMMYFUNCTION("""COMPUTED_VALUE"""),"99. Distrito")</f>
        <v>99. Distrito</v>
      </c>
      <c r="H24" s="55">
        <f ca="1">IFERROR(__xludf.DUMMYFUNCTION("""COMPUTED_VALUE"""),44548)</f>
        <v>44548</v>
      </c>
      <c r="I24" s="25"/>
      <c r="J24" s="55" t="str">
        <f ca="1">IFERROR(__xludf.DUMMYFUNCTION("""COMPUTED_VALUE"""),"Alta")</f>
        <v>Alta</v>
      </c>
      <c r="K24" s="25">
        <f ca="1">IFERROR(__xludf.DUMMYFUNCTION("""COMPUTED_VALUE"""),30)</f>
        <v>30</v>
      </c>
      <c r="L24" s="55">
        <f ca="1">IFERROR(__xludf.DUMMYFUNCTION("""COMPUTED_VALUE"""),44880)</f>
        <v>44880</v>
      </c>
      <c r="M24" s="25" t="str">
        <f ca="1">IFERROR(__xludf.DUMMYFUNCTION("""COMPUTED_VALUE"""),"El día 19/01/2022. La SDS CG, SD Educación y MEBOG, articulamos las acciones para acompañar la apertura de colegios de manera presencial el día 24 de enero. Se priorizaron 20 colegios. Y se acompañarán las actividades interinstitucionales que se desplegar"&amp;"an en el marco del plan de la Educación. 
En el marco del proceso de Reapertura Gradual, Progresiva y Segura  R-GPS y en articulación con la SED se priorizaron 49 colegios en donde se realizaron las siguientes acciones para garantizar la seguridad y convi"&amp;"vencia en estos entornos:
*Aplicación de 1092 Encuestas de Seguridad y Convivencia en el entorno con el objetivo de identificar factores de riesgo físicos y sociales que puedan afectar la integridad de niños, niñas y adolescentes.
*43 recorridos de confia"&amp;"nza interinstitucionales para avanzar en la materialización de intervenciones por parte de entidades distritales (Sec. de Movilidad, UAESP, SDIS, Secretaría de la Mujer, MEBOG, Alcaldías locales) que contribuyan al mejoramiento de las condiciones de segur"&amp;"idad de los entornos educativos.
*34 Jornadas comunitarias para la resignificación y apropiación del espacio público (actividades lúdicas/culturales y/o mejoramiento físico) en entornos de instituciones educativas priorizadas
*622 Jornadas de sensibilizac"&amp;"ión y acompañamiento para la prevención de VBG, consumo de SPA y ESCNNA con Gestores de Convivencia en entrada y/o salida de instituciones educativas en articulación con MEBOG – Infancia y Adolescencia
*8 Jornadas culturales y pedagógicas para la prevenci"&amp;"ón de violencias y resolución pacífica de conflictos en colegios priorizados de las localidades de Usme, Ciudad Bolívar, Kennedy, Rafael Uribe Uribe con el acompañamiento de Gestores de Convivencia del Colectivo Distrito CUIDArte
Parques y espacios públic"&amp;"os más seguros.
70 parques con intervenciones comunitarias de embellecimiento y resignificación del espacio público para mejorar condiciones de seguridad y convivencia.
De estas, 65 se realizaron en articulación con la estrategia Nuestra Zona Segura de la"&amp;" Secretaría de Gobierno y 5 se realizaron en alianza con la Secretaría de Hábitat.
Adicionalmente en el marco de la inauguración Distrital de Navidad con la estrategia Juntos Cuidamos Bogotá acompañamos intervenciones en los Parques La Guaca IV, Nicolás d"&amp;"e Federmán y se tiene proyectada realizar intervención en  Parque Lourdes, Alameda Ciudad Jardín, Parque Fundacional de Usme y Puente de la Dignidad. Estas jornadas contaron con la participación de redes CUIDAdanas del sector o se invitó a la comunidad a "&amp;"hacer parte de una. En total se han conformado 35 redes CUIDAdanas en los parques intervenidos. Las jornadas estuvieron acompañadas por gestores de convivencia para difundir mensajes de prevención de violencias basadas en género, hurtos y riñas en el espa"&amp;"cio público. En enero se iniciarán acciones de urbanismo táctico en siete (7) puntos de la localidad de Usme en articulación con el laboratorio de innovación de la Secretaría de Gobierno. ")</f>
        <v xml:space="preserve">El día 19/01/2022. La SDS CG, SD Educación y MEBOG, articulamos las acciones para acompañar la apertura de colegios de manera presencial el día 24 de enero. Se priorizaron 20 colegios. Y se acompañarán las actividades interinstitucionales que se desplegaran en el marco del plan de la Educación. 
En el marco del proceso de Reapertura Gradual, Progresiva y Segura  R-GPS y en articulación con la SED se priorizaron 49 colegios en donde se realizaron las siguientes acciones para garantizar la seguridad y convivencia en estos entornos:
*Aplicación de 1092 Encuestas de Seguridad y Convivencia en el entorno con el objetivo de identificar factores de riesgo físicos y sociales que puedan afectar la integridad de niños, niñas y adolescentes.
*43 recorridos de confianza interinstitucionales para avanzar en la materialización de intervenciones por parte de entidades distritales (Sec. de Movilidad, UAESP, SDIS, Secretaría de la Mujer, MEBOG, Alcaldías locales) que contribuyan al mejoramiento de las condiciones de seguridad de los entornos educativos.
*34 Jornadas comunitarias para la resignificación y apropiación del espacio público (actividades lúdicas/culturales y/o mejoramiento físico) en entornos de instituciones educativas priorizadas
*622 Jornadas de sensibilización y acompañamiento para la prevención de VBG, consumo de SPA y ESCNNA con Gestores de Convivencia en entrada y/o salida de instituciones educativas en articulación con MEBOG – Infancia y Adolescencia
*8 Jornadas culturales y pedagógicas para la prevención de violencias y resolución pacífica de conflictos en colegios priorizados de las localidades de Usme, Ciudad Bolívar, Kennedy, Rafael Uribe Uribe con el acompañamiento de Gestores de Convivencia del Colectivo Distrito CUIDArte
Parques y espacios públicos más seguros.
70 parques con intervenciones comunitarias de embellecimiento y resignificación del espacio público para mejorar condiciones de seguridad y convivencia.
De estas, 65 se realizaron en articulación con la estrategia Nuestra Zona Segura de la Secretaría de Gobierno y 5 se realizaron en alianza con la Secretaría de Hábitat.
Adicionalmente en el marco de la inauguración Distrital de Navidad con la estrategia Juntos Cuidamos Bogotá acompañamos intervenciones en los Parques La Guaca IV, Nicolás de Federmán y se tiene proyectada realizar intervención en  Parque Lourdes, Alameda Ciudad Jardín, Parque Fundacional de Usme y Puente de la Dignidad. Estas jornadas contaron con la participación de redes CUIDAdanas del sector o se invitó a la comunidad a hacer parte de una. En total se han conformado 35 redes CUIDAdanas en los parques intervenidos. Las jornadas estuvieron acompañadas por gestores de convivencia para difundir mensajes de prevención de violencias basadas en género, hurtos y riñas en el espacio público. En enero se iniciarán acciones de urbanismo táctico en siete (7) puntos de la localidad de Usme en articulación con el laboratorio de innovación de la Secretaría de Gobierno. </v>
      </c>
      <c r="N24" s="55">
        <f ca="1">IFERROR(__xludf.DUMMYFUNCTION("""COMPUTED_VALUE"""),44880)</f>
        <v>44880</v>
      </c>
      <c r="O24" s="25" t="str">
        <f t="shared" ca="1" si="0"/>
        <v>Secretaría Distrital de Seguridad, Convivencia y Justicia</v>
      </c>
      <c r="P24" s="25" t="str">
        <f t="shared" si="1"/>
        <v/>
      </c>
      <c r="Q24" s="25" t="str">
        <f ca="1">IFERROR(__xludf.DUMMYFUNCTION("""COMPUTED_VALUE"""),"Corto plazo")</f>
        <v>Corto plazo</v>
      </c>
      <c r="R24" s="25"/>
      <c r="S24" s="55"/>
      <c r="T24" s="56"/>
      <c r="U24" s="25"/>
      <c r="V24" s="25"/>
      <c r="W24" s="25"/>
      <c r="X24" s="25"/>
      <c r="Y24" s="25"/>
      <c r="Z24" s="25"/>
    </row>
    <row r="25" spans="1:26" ht="52.5" customHeight="1" x14ac:dyDescent="0.25">
      <c r="A25" s="25" t="str">
        <f ca="1">IFERROR(__xludf.DUMMYFUNCTION("""COMPUTED_VALUE"""),"Segur23")</f>
        <v>Segur23</v>
      </c>
      <c r="B25" s="25" t="str">
        <f ca="1">IFERROR(__xludf.DUMMYFUNCTION("""COMPUTED_VALUE"""),"Despachando Mebog ")</f>
        <v xml:space="preserve">Despachando Mebog </v>
      </c>
      <c r="C25" s="55">
        <f ca="1">IFERROR(__xludf.DUMMYFUNCTION("""COMPUTED_VALUE"""),44518)</f>
        <v>44518</v>
      </c>
      <c r="D25" s="25" t="str">
        <f ca="1">IFERROR(__xludf.DUMMYFUNCTION("""COMPUTED_VALUE"""),"Seguridad")</f>
        <v>Seguridad</v>
      </c>
      <c r="E25" s="25" t="str">
        <f ca="1">IFERROR(__xludf.DUMMYFUNCTION("""COMPUTED_VALUE"""),"Secretaría Distrital de Seguridad, Convivencia y Justicia")</f>
        <v>Secretaría Distrital de Seguridad, Convivencia y Justicia</v>
      </c>
      <c r="F25" s="25" t="str">
        <f ca="1">IFERROR(__xludf.DUMMYFUNCTION("""COMPUTED_VALUE"""),"Revisar las bandas criticas para las cuales se requiere desarticulación y judicialización. El balance de este ejercicio debe presentarse por parte de la Secretaría de Seguridad.  ")</f>
        <v xml:space="preserve">Revisar las bandas criticas para las cuales se requiere desarticulación y judicialización. El balance de este ejercicio debe presentarse por parte de la Secretaría de Seguridad.  </v>
      </c>
      <c r="G25" s="25" t="str">
        <f ca="1">IFERROR(__xludf.DUMMYFUNCTION("""COMPUTED_VALUE"""),"99. Distrito")</f>
        <v>99. Distrito</v>
      </c>
      <c r="H25" s="55">
        <f ca="1">IFERROR(__xludf.DUMMYFUNCTION("""COMPUTED_VALUE"""),44548)</f>
        <v>44548</v>
      </c>
      <c r="I25" s="25"/>
      <c r="J25" s="55" t="str">
        <f ca="1">IFERROR(__xludf.DUMMYFUNCTION("""COMPUTED_VALUE"""),"Alta")</f>
        <v>Alta</v>
      </c>
      <c r="K25" s="25">
        <f ca="1">IFERROR(__xludf.DUMMYFUNCTION("""COMPUTED_VALUE"""),30)</f>
        <v>30</v>
      </c>
      <c r="L25" s="55">
        <f ca="1">IFERROR(__xludf.DUMMYFUNCTION("""COMPUTED_VALUE"""),44576)</f>
        <v>44576</v>
      </c>
      <c r="M25" s="25" t="str">
        <f ca="1">IFERROR(__xludf.DUMMYFUNCTION("""COMPUTED_VALUE"""),"Se desarrolló y actualizo el inventario criminal de Bogotá, de allí que se realizara la priorización de organizaciones criminales por delito para la ciudad.")</f>
        <v>Se desarrolló y actualizo el inventario criminal de Bogotá, de allí que se realizara la priorización de organizaciones criminales por delito para la ciudad.</v>
      </c>
      <c r="N25" s="55">
        <f ca="1">IFERROR(__xludf.DUMMYFUNCTION("""COMPUTED_VALUE"""),44576)</f>
        <v>44576</v>
      </c>
      <c r="O25" s="25" t="str">
        <f t="shared" ca="1" si="0"/>
        <v>Secretaría Distrital de Seguridad, Convivencia y Justicia</v>
      </c>
      <c r="P25" s="25" t="str">
        <f t="shared" si="1"/>
        <v/>
      </c>
      <c r="Q25" s="25" t="str">
        <f ca="1">IFERROR(__xludf.DUMMYFUNCTION("""COMPUTED_VALUE"""),"Corto plazo")</f>
        <v>Corto plazo</v>
      </c>
      <c r="R25" s="25"/>
      <c r="S25" s="55"/>
      <c r="T25" s="56"/>
      <c r="U25" s="25"/>
      <c r="V25" s="25"/>
      <c r="W25" s="25"/>
      <c r="X25" s="25"/>
      <c r="Y25" s="25"/>
      <c r="Z25" s="25"/>
    </row>
    <row r="26" spans="1:26" ht="52.5" customHeight="1" x14ac:dyDescent="0.25">
      <c r="A26" s="25" t="str">
        <f ca="1">IFERROR(__xludf.DUMMYFUNCTION("""COMPUTED_VALUE"""),"Segur24")</f>
        <v>Segur24</v>
      </c>
      <c r="B26" s="25" t="str">
        <f ca="1">IFERROR(__xludf.DUMMYFUNCTION("""COMPUTED_VALUE"""),"Despachando Mebog ")</f>
        <v xml:space="preserve">Despachando Mebog </v>
      </c>
      <c r="C26" s="55">
        <f ca="1">IFERROR(__xludf.DUMMYFUNCTION("""COMPUTED_VALUE"""),44518)</f>
        <v>44518</v>
      </c>
      <c r="D26" s="25" t="str">
        <f ca="1">IFERROR(__xludf.DUMMYFUNCTION("""COMPUTED_VALUE"""),"Seguridad")</f>
        <v>Seguridad</v>
      </c>
      <c r="E26" s="25" t="str">
        <f ca="1">IFERROR(__xludf.DUMMYFUNCTION("""COMPUTED_VALUE"""),"Secretaría Distrital de Seguridad, Convivencia y Justicia")</f>
        <v>Secretaría Distrital de Seguridad, Convivencia y Justicia</v>
      </c>
      <c r="F26" s="25" t="str">
        <f ca="1">IFERROR(__xludf.DUMMYFUNCTION("""COMPUTED_VALUE"""),"Presentará la distribución del pie de fuerza en las localidades para el año 2022")</f>
        <v>Presentará la distribución del pie de fuerza en las localidades para el año 2022</v>
      </c>
      <c r="G26" s="25" t="str">
        <f ca="1">IFERROR(__xludf.DUMMYFUNCTION("""COMPUTED_VALUE"""),"99. Distrito")</f>
        <v>99. Distrito</v>
      </c>
      <c r="H26" s="55">
        <f ca="1">IFERROR(__xludf.DUMMYFUNCTION("""COMPUTED_VALUE"""),44548)</f>
        <v>44548</v>
      </c>
      <c r="I26" s="25"/>
      <c r="J26" s="55" t="str">
        <f ca="1">IFERROR(__xludf.DUMMYFUNCTION("""COMPUTED_VALUE"""),"Alta")</f>
        <v>Alta</v>
      </c>
      <c r="K26" s="25">
        <f ca="1">IFERROR(__xludf.DUMMYFUNCTION("""COMPUTED_VALUE"""),30)</f>
        <v>30</v>
      </c>
      <c r="L26" s="55">
        <f ca="1">IFERROR(__xludf.DUMMYFUNCTION("""COMPUTED_VALUE"""),44576)</f>
        <v>44576</v>
      </c>
      <c r="M26" s="25" t="str">
        <f ca="1">IFERROR(__xludf.DUMMYFUNCTION("""COMPUTED_VALUE"""),"A espera de las llegada de Unidades por especialidad para la distribución final a mediados de diciembre de 2021. 15/01/2022: Conforme con el seguimiento al desarrollo de acciones conjuntas se abordará en el marco de los CLS")</f>
        <v>A espera de las llegada de Unidades por especialidad para la distribución final a mediados de diciembre de 2021. 15/01/2022: Conforme con el seguimiento al desarrollo de acciones conjuntas se abordará en el marco de los CLS</v>
      </c>
      <c r="N26" s="55">
        <f ca="1">IFERROR(__xludf.DUMMYFUNCTION("""COMPUTED_VALUE"""),44576)</f>
        <v>44576</v>
      </c>
      <c r="O26" s="25" t="str">
        <f t="shared" ca="1" si="0"/>
        <v>Secretaría Distrital de Seguridad, Convivencia y Justicia</v>
      </c>
      <c r="P26" s="25" t="str">
        <f t="shared" si="1"/>
        <v/>
      </c>
      <c r="Q26" s="25" t="str">
        <f ca="1">IFERROR(__xludf.DUMMYFUNCTION("""COMPUTED_VALUE"""),"Corto plazo")</f>
        <v>Corto plazo</v>
      </c>
      <c r="R26" s="25"/>
      <c r="S26" s="55"/>
      <c r="T26" s="56"/>
      <c r="U26" s="25"/>
      <c r="V26" s="25"/>
      <c r="W26" s="25"/>
      <c r="X26" s="25"/>
      <c r="Y26" s="25"/>
      <c r="Z26" s="25"/>
    </row>
    <row r="27" spans="1:26" ht="52.5" customHeight="1" x14ac:dyDescent="0.25">
      <c r="A27" s="25" t="str">
        <f ca="1">IFERROR(__xludf.DUMMYFUNCTION("""COMPUTED_VALUE"""),"Segur25")</f>
        <v>Segur25</v>
      </c>
      <c r="B27" s="25" t="str">
        <f ca="1">IFERROR(__xludf.DUMMYFUNCTION("""COMPUTED_VALUE"""),"Despachando Mebog ")</f>
        <v xml:space="preserve">Despachando Mebog </v>
      </c>
      <c r="C27" s="55">
        <f ca="1">IFERROR(__xludf.DUMMYFUNCTION("""COMPUTED_VALUE"""),44518)</f>
        <v>44518</v>
      </c>
      <c r="D27" s="25" t="str">
        <f ca="1">IFERROR(__xludf.DUMMYFUNCTION("""COMPUTED_VALUE"""),"Seguridad")</f>
        <v>Seguridad</v>
      </c>
      <c r="E27" s="25" t="str">
        <f ca="1">IFERROR(__xludf.DUMMYFUNCTION("""COMPUTED_VALUE"""),"Secretaría Distrital de Seguridad, Convivencia y Justicia")</f>
        <v>Secretaría Distrital de Seguridad, Convivencia y Justicia</v>
      </c>
      <c r="F27" s="25" t="str">
        <f ca="1">IFERROR(__xludf.DUMMYFUNCTION("""COMPUTED_VALUE"""),"Hacer labores de investigación e inteligencia policial para la identificación de las bandas que está cometiendo hurtos en el transporte intermunicipal de la localidad, puntualmente sobre la Calle 13")</f>
        <v>Hacer labores de investigación e inteligencia policial para la identificación de las bandas que está cometiendo hurtos en el transporte intermunicipal de la localidad, puntualmente sobre la Calle 13</v>
      </c>
      <c r="G27" s="55" t="str">
        <f ca="1">IFERROR(__xludf.DUMMYFUNCTION("""COMPUTED_VALUE"""),"09. Fontibón")</f>
        <v>09. Fontibón</v>
      </c>
      <c r="H27" s="55">
        <f ca="1">IFERROR(__xludf.DUMMYFUNCTION("""COMPUTED_VALUE"""),44548)</f>
        <v>44548</v>
      </c>
      <c r="I27" s="25"/>
      <c r="J27" s="55" t="str">
        <f ca="1">IFERROR(__xludf.DUMMYFUNCTION("""COMPUTED_VALUE"""),"Alta")</f>
        <v>Alta</v>
      </c>
      <c r="K27" s="25">
        <f ca="1">IFERROR(__xludf.DUMMYFUNCTION("""COMPUTED_VALUE"""),30)</f>
        <v>30</v>
      </c>
      <c r="L27" s="55">
        <f ca="1">IFERROR(__xludf.DUMMYFUNCTION("""COMPUTED_VALUE"""),44576)</f>
        <v>44576</v>
      </c>
      <c r="M27" s="25" t="str">
        <f ca="1">IFERROR(__xludf.DUMMYFUNCTION("""COMPUTED_VALUE"""),"Se encuentra en proceso de articulación con policía judicial e inteligencia a fin de avanzar con el requerimiento, así mismo se realizará en la segunda semana de diciembre un recorrido de caracterización de dinámicas delictivas de la zona. 31/12/2021: A p"&amp;"artir de los procesos de articulación con la comunidad y policía judicial el día 29 de diciembre se adelantó una reunión con residentes de la localidad de Fontibón con el objetivo de caracterizar las dinámicas y actores delincuenciales relacionados con af"&amp;"ectación tanto a los predios en demolición como en materia de hurto en el transporte intermunicipal que circula por la Avenida Calle 13. Particularmente en el sector de Casandra.")</f>
        <v>Se encuentra en proceso de articulación con policía judicial e inteligencia a fin de avanzar con el requerimiento, así mismo se realizará en la segunda semana de diciembre un recorrido de caracterización de dinámicas delictivas de la zona. 31/12/2021: A partir de los procesos de articulación con la comunidad y policía judicial el día 29 de diciembre se adelantó una reunión con residentes de la localidad de Fontibón con el objetivo de caracterizar las dinámicas y actores delincuenciales relacionados con afectación tanto a los predios en demolición como en materia de hurto en el transporte intermunicipal que circula por la Avenida Calle 13. Particularmente en el sector de Casandra.</v>
      </c>
      <c r="N27" s="55">
        <f ca="1">IFERROR(__xludf.DUMMYFUNCTION("""COMPUTED_VALUE"""),44576)</f>
        <v>44576</v>
      </c>
      <c r="O27" s="25" t="str">
        <f t="shared" ca="1" si="0"/>
        <v>Secretaría Distrital de Seguridad, Convivencia y Justicia</v>
      </c>
      <c r="P27" s="25" t="str">
        <f t="shared" si="1"/>
        <v/>
      </c>
      <c r="Q27" s="25" t="str">
        <f ca="1">IFERROR(__xludf.DUMMYFUNCTION("""COMPUTED_VALUE"""),"Corto plazo")</f>
        <v>Corto plazo</v>
      </c>
      <c r="R27" s="25"/>
      <c r="S27" s="55"/>
      <c r="T27" s="56"/>
      <c r="U27" s="25"/>
      <c r="V27" s="25"/>
      <c r="W27" s="25"/>
      <c r="X27" s="25"/>
      <c r="Y27" s="25"/>
      <c r="Z27" s="25"/>
    </row>
    <row r="28" spans="1:26" ht="52.5" customHeight="1" x14ac:dyDescent="0.25">
      <c r="A28" s="25" t="str">
        <f ca="1">IFERROR(__xludf.DUMMYFUNCTION("""COMPUTED_VALUE"""),"Segur26")</f>
        <v>Segur26</v>
      </c>
      <c r="B28" s="25" t="str">
        <f ca="1">IFERROR(__xludf.DUMMYFUNCTION("""COMPUTED_VALUE"""),"Despachando Mebog ")</f>
        <v xml:space="preserve">Despachando Mebog </v>
      </c>
      <c r="C28" s="55">
        <f ca="1">IFERROR(__xludf.DUMMYFUNCTION("""COMPUTED_VALUE"""),44518)</f>
        <v>44518</v>
      </c>
      <c r="D28" s="25" t="str">
        <f ca="1">IFERROR(__xludf.DUMMYFUNCTION("""COMPUTED_VALUE"""),"Seguridad")</f>
        <v>Seguridad</v>
      </c>
      <c r="E28" s="25" t="str">
        <f ca="1">IFERROR(__xludf.DUMMYFUNCTION("""COMPUTED_VALUE"""),"Secretaría Distrital de Seguridad, Convivencia y Justicia")</f>
        <v>Secretaría Distrital de Seguridad, Convivencia y Justicia</v>
      </c>
      <c r="F28" s="25" t="str">
        <f ca="1">IFERROR(__xludf.DUMMYFUNCTION("""COMPUTED_VALUE"""),"Coordinar con Migración Colombia para el desarrollo de estrategias para la población migrante que se encuentra en las zonas del Aeropuerto, del Terminal y en zonas comerciales por Salitre y Casandra")</f>
        <v>Coordinar con Migración Colombia para el desarrollo de estrategias para la población migrante que se encuentra en las zonas del Aeropuerto, del Terminal y en zonas comerciales por Salitre y Casandra</v>
      </c>
      <c r="G28" s="55" t="str">
        <f ca="1">IFERROR(__xludf.DUMMYFUNCTION("""COMPUTED_VALUE"""),"09. Fontibón")</f>
        <v>09. Fontibón</v>
      </c>
      <c r="H28" s="55">
        <f ca="1">IFERROR(__xludf.DUMMYFUNCTION("""COMPUTED_VALUE"""),44548)</f>
        <v>44548</v>
      </c>
      <c r="I28" s="25"/>
      <c r="J28" s="55" t="str">
        <f ca="1">IFERROR(__xludf.DUMMYFUNCTION("""COMPUTED_VALUE"""),"Alta")</f>
        <v>Alta</v>
      </c>
      <c r="K28" s="25">
        <f ca="1">IFERROR(__xludf.DUMMYFUNCTION("""COMPUTED_VALUE"""),30)</f>
        <v>30</v>
      </c>
      <c r="L28" s="55">
        <f ca="1">IFERROR(__xludf.DUMMYFUNCTION("""COMPUTED_VALUE"""),44576)</f>
        <v>44576</v>
      </c>
      <c r="M28" s="25" t="str">
        <f ca="1">IFERROR(__xludf.DUMMYFUNCTION("""COMPUTED_VALUE"""),"En coordinación con Migración Colombia, Policia Nacional y Alcaldias Locales de Engativa y Fontibon, se han realizado 37  acciones entorno a la estrategia de ""plan operativo especial para la seguridad y la convivencia de las personas migrantes"" en los s"&amp;"ectores mencionados; Siete (7) jornadas de caracterización de espacios, entornos y asentamientos de ciudadanos migrantes - Seis (6) Jornadas de Enrolamiento a ciudadanos migrantes - venticuatro actividades de socialización de tips para prevenir la xenofob"&amp;"ia. ")</f>
        <v xml:space="preserve">En coordinación con Migración Colombia, Policia Nacional y Alcaldias Locales de Engativa y Fontibon, se han realizado 37  acciones entorno a la estrategia de "plan operativo especial para la seguridad y la convivencia de las personas migrantes" en los sectores mencionados; Siete (7) jornadas de caracterización de espacios, entornos y asentamientos de ciudadanos migrantes - Seis (6) Jornadas de Enrolamiento a ciudadanos migrantes - venticuatro actividades de socialización de tips para prevenir la xenofobia. </v>
      </c>
      <c r="N28" s="55">
        <f ca="1">IFERROR(__xludf.DUMMYFUNCTION("""COMPUTED_VALUE"""),44576)</f>
        <v>44576</v>
      </c>
      <c r="O28" s="25" t="str">
        <f t="shared" ca="1" si="0"/>
        <v>Secretaría Distrital de Seguridad, Convivencia y Justicia</v>
      </c>
      <c r="P28" s="25" t="str">
        <f t="shared" si="1"/>
        <v/>
      </c>
      <c r="Q28" s="25" t="str">
        <f ca="1">IFERROR(__xludf.DUMMYFUNCTION("""COMPUTED_VALUE"""),"Corto plazo")</f>
        <v>Corto plazo</v>
      </c>
      <c r="R28" s="25"/>
      <c r="S28" s="55"/>
      <c r="T28" s="56"/>
      <c r="U28" s="25"/>
      <c r="V28" s="25"/>
      <c r="W28" s="25"/>
      <c r="X28" s="25"/>
      <c r="Y28" s="25"/>
      <c r="Z28" s="25"/>
    </row>
    <row r="29" spans="1:26" ht="52.5" customHeight="1" x14ac:dyDescent="0.25">
      <c r="A29" s="25" t="str">
        <f ca="1">IFERROR(__xludf.DUMMYFUNCTION("""COMPUTED_VALUE"""),"Segur27")</f>
        <v>Segur27</v>
      </c>
      <c r="B29" s="25" t="str">
        <f ca="1">IFERROR(__xludf.DUMMYFUNCTION("""COMPUTED_VALUE"""),"Despachando Mebog ")</f>
        <v xml:space="preserve">Despachando Mebog </v>
      </c>
      <c r="C29" s="55">
        <f ca="1">IFERROR(__xludf.DUMMYFUNCTION("""COMPUTED_VALUE"""),44518)</f>
        <v>44518</v>
      </c>
      <c r="D29" s="25" t="str">
        <f ca="1">IFERROR(__xludf.DUMMYFUNCTION("""COMPUTED_VALUE"""),"Seguridad")</f>
        <v>Seguridad</v>
      </c>
      <c r="E29" s="25" t="str">
        <f ca="1">IFERROR(__xludf.DUMMYFUNCTION("""COMPUTED_VALUE"""),"Secretaría Distrital de Seguridad, Convivencia y Justicia")</f>
        <v>Secretaría Distrital de Seguridad, Convivencia y Justicia</v>
      </c>
      <c r="F29" s="25" t="str">
        <f ca="1">IFERROR(__xludf.DUMMYFUNCTION("""COMPUTED_VALUE"""),"Crear de línea técnica de inversión para apoyar los frentes de seguridad y para el fortalecimiento de cámaras y alarmas")</f>
        <v>Crear de línea técnica de inversión para apoyar los frentes de seguridad y para el fortalecimiento de cámaras y alarmas</v>
      </c>
      <c r="G29" s="55" t="str">
        <f ca="1">IFERROR(__xludf.DUMMYFUNCTION("""COMPUTED_VALUE"""),"09. Fontibón")</f>
        <v>09. Fontibón</v>
      </c>
      <c r="H29" s="55">
        <f ca="1">IFERROR(__xludf.DUMMYFUNCTION("""COMPUTED_VALUE"""),44548)</f>
        <v>44548</v>
      </c>
      <c r="I29" s="25"/>
      <c r="J29" s="55" t="str">
        <f ca="1">IFERROR(__xludf.DUMMYFUNCTION("""COMPUTED_VALUE"""),"Alta")</f>
        <v>Alta</v>
      </c>
      <c r="K29" s="25">
        <f ca="1">IFERROR(__xludf.DUMMYFUNCTION("""COMPUTED_VALUE"""),30)</f>
        <v>30</v>
      </c>
      <c r="L29" s="55">
        <f ca="1">IFERROR(__xludf.DUMMYFUNCTION("""COMPUTED_VALUE"""),44638)</f>
        <v>44638</v>
      </c>
      <c r="M29" s="25" t="str">
        <f ca="1">IFERROR(__xludf.DUMMYFUNCTION("""COMPUTED_VALUE"""),"Se creó desde la Secretaría de Seguridad una línea de fortalecimiento con recurso programado para 2022. Esta línea incluye capacitación y acompañamiento a los frentes- redes. También se amplió el criterio para presentación de proyectos desde las Alcaldías"&amp;" Locales para que puedan dotar de elementos desde presupuestos participativos o presentación de propuestas integrales")</f>
        <v>Se creó desde la Secretaría de Seguridad una línea de fortalecimiento con recurso programado para 2022. Esta línea incluye capacitación y acompañamiento a los frentes- redes. También se amplió el criterio para presentación de proyectos desde las Alcaldías Locales para que puedan dotar de elementos desde presupuestos participativos o presentación de propuestas integrales</v>
      </c>
      <c r="N29" s="55">
        <f ca="1">IFERROR(__xludf.DUMMYFUNCTION("""COMPUTED_VALUE"""),44638)</f>
        <v>44638</v>
      </c>
      <c r="O29" s="25" t="str">
        <f t="shared" ca="1" si="0"/>
        <v>Secretaría Distrital de Seguridad, Convivencia y Justicia</v>
      </c>
      <c r="P29" s="25" t="str">
        <f t="shared" si="1"/>
        <v/>
      </c>
      <c r="Q29" s="25" t="str">
        <f ca="1">IFERROR(__xludf.DUMMYFUNCTION("""COMPUTED_VALUE"""),"Corto plazo")</f>
        <v>Corto plazo</v>
      </c>
      <c r="R29" s="25"/>
      <c r="S29" s="55"/>
      <c r="T29" s="56"/>
      <c r="U29" s="25"/>
      <c r="V29" s="25"/>
      <c r="W29" s="25"/>
      <c r="X29" s="25"/>
      <c r="Y29" s="25"/>
      <c r="Z29" s="25"/>
    </row>
    <row r="30" spans="1:26" ht="52.5" customHeight="1" x14ac:dyDescent="0.25">
      <c r="A30" s="25" t="str">
        <f ca="1">IFERROR(__xludf.DUMMYFUNCTION("""COMPUTED_VALUE"""),"Segur28")</f>
        <v>Segur28</v>
      </c>
      <c r="B30" s="25" t="str">
        <f ca="1">IFERROR(__xludf.DUMMYFUNCTION("""COMPUTED_VALUE"""),"Despachando Mebog ")</f>
        <v xml:space="preserve">Despachando Mebog </v>
      </c>
      <c r="C30" s="55">
        <f ca="1">IFERROR(__xludf.DUMMYFUNCTION("""COMPUTED_VALUE"""),44518)</f>
        <v>44518</v>
      </c>
      <c r="D30" s="25" t="str">
        <f ca="1">IFERROR(__xludf.DUMMYFUNCTION("""COMPUTED_VALUE"""),"Seguridad")</f>
        <v>Seguridad</v>
      </c>
      <c r="E30" s="25" t="str">
        <f ca="1">IFERROR(__xludf.DUMMYFUNCTION("""COMPUTED_VALUE"""),"Secretaría Distrital de Seguridad, Convivencia y Justicia")</f>
        <v>Secretaría Distrital de Seguridad, Convivencia y Justicia</v>
      </c>
      <c r="F30" s="25" t="str">
        <f ca="1">IFERROR(__xludf.DUMMYFUNCTION("""COMPUTED_VALUE"""),"Intervención para adecuar las celdas de la Estación de Policía en Usaquén, dado que no se puede intervenir desde las Alcaldías locales")</f>
        <v>Intervención para adecuar las celdas de la Estación de Policía en Usaquén, dado que no se puede intervenir desde las Alcaldías locales</v>
      </c>
      <c r="G30" s="55" t="str">
        <f ca="1">IFERROR(__xludf.DUMMYFUNCTION("""COMPUTED_VALUE"""),"01. Usaquén")</f>
        <v>01. Usaquén</v>
      </c>
      <c r="H30" s="55">
        <f ca="1">IFERROR(__xludf.DUMMYFUNCTION("""COMPUTED_VALUE"""),44548)</f>
        <v>44548</v>
      </c>
      <c r="I30" s="25"/>
      <c r="J30" s="55" t="str">
        <f ca="1">IFERROR(__xludf.DUMMYFUNCTION("""COMPUTED_VALUE"""),"Alta")</f>
        <v>Alta</v>
      </c>
      <c r="K30" s="25">
        <f ca="1">IFERROR(__xludf.DUMMYFUNCTION("""COMPUTED_VALUE"""),30)</f>
        <v>30</v>
      </c>
      <c r="L30" s="55">
        <f ca="1">IFERROR(__xludf.DUMMYFUNCTION("""COMPUTED_VALUE"""),45033)</f>
        <v>45033</v>
      </c>
      <c r="M30" s="25" t="str">
        <f ca="1">IFERROR(__xludf.DUMMYFUNCTION("""COMPUTED_VALUE"""),"En el marco del contrato 1526 de 2021, la MEBOG en el mes de mayo de 2022, destinó para la Estación de Policía de Usaquén la suma de $23.713.837 millones de pesos, los cuales fueron empleados para cubrir labores de mantenimiento y reforzamiento de puertas"&amp;", así como, para brindar mantenimiento al equipo de bombeo que surte a las celdas. ")</f>
        <v>En el marco del contrato 1526 de 2021, la MEBOG en el mes de mayo de 2022, destinó para la Estación de Policía de Usaquén la suma de $23.713.837 millones de pesos, los cuales fueron empleados para cubrir labores de mantenimiento y reforzamiento de puertas, así como, para brindar mantenimiento al equipo de bombeo que surte a las celdas. </v>
      </c>
      <c r="N30" s="55">
        <f ca="1">IFERROR(__xludf.DUMMYFUNCTION("""COMPUTED_VALUE"""),44642)</f>
        <v>44642</v>
      </c>
      <c r="O30" s="25" t="str">
        <f t="shared" ca="1" si="0"/>
        <v>Secretaría Distrital de Seguridad, Convivencia y Justicia</v>
      </c>
      <c r="P30" s="25" t="str">
        <f t="shared" si="1"/>
        <v/>
      </c>
      <c r="Q30" s="25" t="str">
        <f ca="1">IFERROR(__xludf.DUMMYFUNCTION("""COMPUTED_VALUE"""),"Corto plazo")</f>
        <v>Corto plazo</v>
      </c>
      <c r="R30" s="25"/>
      <c r="S30" s="55"/>
      <c r="T30" s="56"/>
      <c r="U30" s="25"/>
      <c r="V30" s="25"/>
      <c r="W30" s="25"/>
      <c r="X30" s="25"/>
      <c r="Y30" s="25"/>
      <c r="Z30" s="25"/>
    </row>
    <row r="31" spans="1:26" ht="52.5" customHeight="1" x14ac:dyDescent="0.25">
      <c r="A31" s="25" t="str">
        <f ca="1">IFERROR(__xludf.DUMMYFUNCTION("""COMPUTED_VALUE"""),"Segur29")</f>
        <v>Segur29</v>
      </c>
      <c r="B31" s="25" t="str">
        <f ca="1">IFERROR(__xludf.DUMMYFUNCTION("""COMPUTED_VALUE"""),"Despachando Mebog ")</f>
        <v xml:space="preserve">Despachando Mebog </v>
      </c>
      <c r="C31" s="55">
        <f ca="1">IFERROR(__xludf.DUMMYFUNCTION("""COMPUTED_VALUE"""),44518)</f>
        <v>44518</v>
      </c>
      <c r="D31" s="25" t="str">
        <f ca="1">IFERROR(__xludf.DUMMYFUNCTION("""COMPUTED_VALUE"""),"Seguridad")</f>
        <v>Seguridad</v>
      </c>
      <c r="E31" s="25" t="str">
        <f ca="1">IFERROR(__xludf.DUMMYFUNCTION("""COMPUTED_VALUE"""),"Secretaría Distrital de Seguridad, Convivencia y Justicia")</f>
        <v>Secretaría Distrital de Seguridad, Convivencia y Justicia</v>
      </c>
      <c r="F31" s="25" t="str">
        <f ca="1">IFERROR(__xludf.DUMMYFUNCTION("""COMPUTED_VALUE"""),"Realizar operativos en las zonas de ocupaciones ilegales y judicializar a las personas identificadas que están ocupando espacios")</f>
        <v>Realizar operativos en las zonas de ocupaciones ilegales y judicializar a las personas identificadas que están ocupando espacios</v>
      </c>
      <c r="G31" s="55" t="str">
        <f ca="1">IFERROR(__xludf.DUMMYFUNCTION("""COMPUTED_VALUE"""),"01. Usaquén")</f>
        <v>01. Usaquén</v>
      </c>
      <c r="H31" s="55">
        <f ca="1">IFERROR(__xludf.DUMMYFUNCTION("""COMPUTED_VALUE"""),44548)</f>
        <v>44548</v>
      </c>
      <c r="I31" s="25"/>
      <c r="J31" s="55" t="str">
        <f ca="1">IFERROR(__xludf.DUMMYFUNCTION("""COMPUTED_VALUE"""),"Alta")</f>
        <v>Alta</v>
      </c>
      <c r="K31" s="25">
        <f ca="1">IFERROR(__xludf.DUMMYFUNCTION("""COMPUTED_VALUE"""),30)</f>
        <v>30</v>
      </c>
      <c r="L31" s="55">
        <f ca="1">IFERROR(__xludf.DUMMYFUNCTION("""COMPUTED_VALUE"""),45033)</f>
        <v>45033</v>
      </c>
      <c r="M31" s="25" t="str">
        <f ca="1">IFERROR(__xludf.DUMMYFUNCTION("""COMPUTED_VALUE"""),"Las acciones de intervención para controlar los asentamientos humanos y ocupaciones ilegales de acuerdo con lo estipulado al Decreto 222 de 2014, durante los días 21 y 23 de julio de 2022 se llevaron a cabo en articulación y acompañamiento de la Personerí"&amp;"a Local de Usaquén, la Policía Nacional y la SDSCJ, actividades de control en el polígono de monitoreo 069 A, Santa Cecilia parte alta, donde se realizó el desmonte de 14 ocupaciones. Posteriormente, se realizaron operativos interinstitucionales 3 veces p"&amp;"or semana, donde el IDIGER entregó a la comunidad afectada, ayudas humanitarias de emergencia.  ")</f>
        <v>Las acciones de intervención para controlar los asentamientos humanos y ocupaciones ilegales de acuerdo con lo estipulado al Decreto 222 de 2014, durante los días 21 y 23 de julio de 2022 se llevaron a cabo en articulación y acompañamiento de la Personería Local de Usaquén, la Policía Nacional y la SDSCJ, actividades de control en el polígono de monitoreo 069 A, Santa Cecilia parte alta, donde se realizó el desmonte de 14 ocupaciones. Posteriormente, se realizaron operativos interinstitucionales 3 veces por semana, donde el IDIGER entregó a la comunidad afectada, ayudas humanitarias de emergencia.  </v>
      </c>
      <c r="N31" s="55">
        <f ca="1">IFERROR(__xludf.DUMMYFUNCTION("""COMPUTED_VALUE"""),44576)</f>
        <v>44576</v>
      </c>
      <c r="O31" s="25" t="str">
        <f t="shared" ca="1" si="0"/>
        <v>Secretaría Distrital de Seguridad, Convivencia y Justicia</v>
      </c>
      <c r="P31" s="25" t="str">
        <f t="shared" si="1"/>
        <v/>
      </c>
      <c r="Q31" s="25" t="str">
        <f ca="1">IFERROR(__xludf.DUMMYFUNCTION("""COMPUTED_VALUE"""),"Corto plazo")</f>
        <v>Corto plazo</v>
      </c>
      <c r="R31" s="25"/>
      <c r="S31" s="55"/>
      <c r="T31" s="56"/>
      <c r="U31" s="25"/>
      <c r="V31" s="25"/>
      <c r="W31" s="25"/>
      <c r="X31" s="25"/>
      <c r="Y31" s="25"/>
      <c r="Z31" s="25"/>
    </row>
    <row r="32" spans="1:26" ht="52.5" customHeight="1" x14ac:dyDescent="0.25">
      <c r="A32" s="25" t="str">
        <f ca="1">IFERROR(__xludf.DUMMYFUNCTION("""COMPUTED_VALUE"""),"Segur30")</f>
        <v>Segur30</v>
      </c>
      <c r="B32" s="25" t="str">
        <f ca="1">IFERROR(__xludf.DUMMYFUNCTION("""COMPUTED_VALUE"""),"Despachando Mebog ")</f>
        <v xml:space="preserve">Despachando Mebog </v>
      </c>
      <c r="C32" s="55">
        <f ca="1">IFERROR(__xludf.DUMMYFUNCTION("""COMPUTED_VALUE"""),44518)</f>
        <v>44518</v>
      </c>
      <c r="D32" s="25" t="str">
        <f ca="1">IFERROR(__xludf.DUMMYFUNCTION("""COMPUTED_VALUE"""),"Seguridad")</f>
        <v>Seguridad</v>
      </c>
      <c r="E32" s="25" t="str">
        <f ca="1">IFERROR(__xludf.DUMMYFUNCTION("""COMPUTED_VALUE"""),"Secretaría Distrital de Seguridad, Convivencia y Justicia")</f>
        <v>Secretaría Distrital de Seguridad, Convivencia y Justicia</v>
      </c>
      <c r="F32" s="25" t="str">
        <f ca="1">IFERROR(__xludf.DUMMYFUNCTION("""COMPUTED_VALUE"""),"Realizar un operativo en materia de hurto de celulares y de autopartes en las zonas identificadas")</f>
        <v>Realizar un operativo en materia de hurto de celulares y de autopartes en las zonas identificadas</v>
      </c>
      <c r="G32" s="55" t="str">
        <f ca="1">IFERROR(__xludf.DUMMYFUNCTION("""COMPUTED_VALUE"""),"01. Usaquén")</f>
        <v>01. Usaquén</v>
      </c>
      <c r="H32" s="55">
        <f ca="1">IFERROR(__xludf.DUMMYFUNCTION("""COMPUTED_VALUE"""),44548)</f>
        <v>44548</v>
      </c>
      <c r="I32" s="25"/>
      <c r="J32" s="55" t="str">
        <f ca="1">IFERROR(__xludf.DUMMYFUNCTION("""COMPUTED_VALUE"""),"Alta")</f>
        <v>Alta</v>
      </c>
      <c r="K32" s="25">
        <f ca="1">IFERROR(__xludf.DUMMYFUNCTION("""COMPUTED_VALUE"""),30)</f>
        <v>30</v>
      </c>
      <c r="L32" s="55">
        <f ca="1">IFERROR(__xludf.DUMMYFUNCTION("""COMPUTED_VALUE"""),45033)</f>
        <v>45033</v>
      </c>
      <c r="M32" s="25" t="str">
        <f ca="1">IFERROR(__xludf.DUMMYFUNCTION("""COMPUTED_VALUE"""),"Con relación a la reducción del delito de hurto a celulares, en el mes de noviembre de 2021 se realizó operativo en la localidad de Usaquén orientada a la verificación de seis establecimientos de comercio, acción desarrollada conjuntamente entre el equipo"&amp;" territorial de la SDSCJ y la Policía Nacional. Posteriormente, se desarrollaron el 16 de diciembre de 2021 acciones de inspección, vigilancia y control a seis (6) establecimientos que comercializan equipos móviles. ")</f>
        <v>Con relación a la reducción del delito de hurto a celulares, en el mes de noviembre de 2021 se realizó operativo en la localidad de Usaquén orientada a la verificación de seis establecimientos de comercio, acción desarrollada conjuntamente entre el equipo territorial de la SDSCJ y la Policía Nacional. Posteriormente, se desarrollaron el 16 de diciembre de 2021 acciones de inspección, vigilancia y control a seis (6) establecimientos que comercializan equipos móviles. </v>
      </c>
      <c r="N32" s="55">
        <f ca="1">IFERROR(__xludf.DUMMYFUNCTION("""COMPUTED_VALUE"""),44576)</f>
        <v>44576</v>
      </c>
      <c r="O32" s="25" t="str">
        <f t="shared" ca="1" si="0"/>
        <v>Secretaría Distrital de Seguridad, Convivencia y Justicia</v>
      </c>
      <c r="P32" s="25" t="str">
        <f t="shared" si="1"/>
        <v/>
      </c>
      <c r="Q32" s="25" t="str">
        <f ca="1">IFERROR(__xludf.DUMMYFUNCTION("""COMPUTED_VALUE"""),"Corto plazo")</f>
        <v>Corto plazo</v>
      </c>
      <c r="R32" s="25"/>
      <c r="S32" s="55"/>
      <c r="T32" s="56"/>
      <c r="U32" s="25"/>
      <c r="V32" s="25"/>
      <c r="W32" s="25"/>
      <c r="X32" s="25"/>
      <c r="Y32" s="25"/>
      <c r="Z32" s="25"/>
    </row>
    <row r="33" spans="1:26" ht="52.5" customHeight="1" x14ac:dyDescent="0.25">
      <c r="A33" s="25" t="str">
        <f ca="1">IFERROR(__xludf.DUMMYFUNCTION("""COMPUTED_VALUE"""),"Segur31")</f>
        <v>Segur31</v>
      </c>
      <c r="B33" s="25" t="str">
        <f ca="1">IFERROR(__xludf.DUMMYFUNCTION("""COMPUTED_VALUE"""),"Despachando Mebog ")</f>
        <v xml:space="preserve">Despachando Mebog </v>
      </c>
      <c r="C33" s="55">
        <f ca="1">IFERROR(__xludf.DUMMYFUNCTION("""COMPUTED_VALUE"""),44518)</f>
        <v>44518</v>
      </c>
      <c r="D33" s="25" t="str">
        <f ca="1">IFERROR(__xludf.DUMMYFUNCTION("""COMPUTED_VALUE"""),"Seguridad")</f>
        <v>Seguridad</v>
      </c>
      <c r="E33" s="25" t="str">
        <f ca="1">IFERROR(__xludf.DUMMYFUNCTION("""COMPUTED_VALUE"""),"Secretaría Distrital de Seguridad, Convivencia y Justicia")</f>
        <v>Secretaría Distrital de Seguridad, Convivencia y Justicia</v>
      </c>
      <c r="F33" s="25" t="str">
        <f ca="1">IFERROR(__xludf.DUMMYFUNCTION("""COMPUTED_VALUE"""),"Direccionar los celulares al cuadrante y no a la línea 123")</f>
        <v>Direccionar los celulares al cuadrante y no a la línea 123</v>
      </c>
      <c r="G33" s="55" t="str">
        <f ca="1">IFERROR(__xludf.DUMMYFUNCTION("""COMPUTED_VALUE"""),"01. Usaquén")</f>
        <v>01. Usaquén</v>
      </c>
      <c r="H33" s="55">
        <f ca="1">IFERROR(__xludf.DUMMYFUNCTION("""COMPUTED_VALUE"""),44548)</f>
        <v>44548</v>
      </c>
      <c r="I33" s="25"/>
      <c r="J33" s="55" t="str">
        <f ca="1">IFERROR(__xludf.DUMMYFUNCTION("""COMPUTED_VALUE"""),"Alta")</f>
        <v>Alta</v>
      </c>
      <c r="K33" s="25">
        <f ca="1">IFERROR(__xludf.DUMMYFUNCTION("""COMPUTED_VALUE"""),30)</f>
        <v>30</v>
      </c>
      <c r="L33" s="55">
        <f ca="1">IFERROR(__xludf.DUMMYFUNCTION("""COMPUTED_VALUE"""),44642)</f>
        <v>44642</v>
      </c>
      <c r="M33" s="25" t="str">
        <f ca="1">IFERROR(__xludf.DUMMYFUNCTION("""COMPUTED_VALUE"""),"Se hizo la respectiva revisión y los casos llegan directo a las PDA. En el caso en el cual después de 3 timbres no se responda a la llamada, la misma se enruta directamente al 123 ")</f>
        <v xml:space="preserve">Se hizo la respectiva revisión y los casos llegan directo a las PDA. En el caso en el cual después de 3 timbres no se responda a la llamada, la misma se enruta directamente al 123 </v>
      </c>
      <c r="N33" s="55">
        <f ca="1">IFERROR(__xludf.DUMMYFUNCTION("""COMPUTED_VALUE"""),44642)</f>
        <v>44642</v>
      </c>
      <c r="O33" s="25" t="str">
        <f t="shared" ca="1" si="0"/>
        <v>Secretaría Distrital de Seguridad, Convivencia y Justicia</v>
      </c>
      <c r="P33" s="25" t="str">
        <f t="shared" si="1"/>
        <v/>
      </c>
      <c r="Q33" s="25" t="str">
        <f ca="1">IFERROR(__xludf.DUMMYFUNCTION("""COMPUTED_VALUE"""),"Corto plazo")</f>
        <v>Corto plazo</v>
      </c>
      <c r="R33" s="25"/>
      <c r="S33" s="55"/>
      <c r="T33" s="56"/>
      <c r="U33" s="25"/>
      <c r="V33" s="25"/>
      <c r="W33" s="25"/>
      <c r="X33" s="25"/>
      <c r="Y33" s="25"/>
      <c r="Z33" s="25"/>
    </row>
    <row r="34" spans="1:26" ht="52.5" customHeight="1" x14ac:dyDescent="0.25">
      <c r="A34" s="25" t="str">
        <f ca="1">IFERROR(__xludf.DUMMYFUNCTION("""COMPUTED_VALUE"""),"Segur32")</f>
        <v>Segur32</v>
      </c>
      <c r="B34" s="25" t="str">
        <f ca="1">IFERROR(__xludf.DUMMYFUNCTION("""COMPUTED_VALUE"""),"Despachando Mebog ")</f>
        <v xml:space="preserve">Despachando Mebog </v>
      </c>
      <c r="C34" s="55">
        <f ca="1">IFERROR(__xludf.DUMMYFUNCTION("""COMPUTED_VALUE"""),44518)</f>
        <v>44518</v>
      </c>
      <c r="D34" s="25" t="str">
        <f ca="1">IFERROR(__xludf.DUMMYFUNCTION("""COMPUTED_VALUE"""),"Seguridad")</f>
        <v>Seguridad</v>
      </c>
      <c r="E34" s="25" t="str">
        <f ca="1">IFERROR(__xludf.DUMMYFUNCTION("""COMPUTED_VALUE"""),"Secretaría Distrital de Seguridad, Convivencia y Justicia")</f>
        <v>Secretaría Distrital de Seguridad, Convivencia y Justicia</v>
      </c>
      <c r="F34" s="25" t="str">
        <f ca="1">IFERROR(__xludf.DUMMYFUNCTION("""COMPUTED_VALUE"""),"Realizar procesos de extinción de dominio y  demolición de ollas")</f>
        <v>Realizar procesos de extinción de dominio y  demolición de ollas</v>
      </c>
      <c r="G34" s="55" t="str">
        <f ca="1">IFERROR(__xludf.DUMMYFUNCTION("""COMPUTED_VALUE"""),"08. Kennedy")</f>
        <v>08. Kennedy</v>
      </c>
      <c r="H34" s="55">
        <f ca="1">IFERROR(__xludf.DUMMYFUNCTION("""COMPUTED_VALUE"""),44548)</f>
        <v>44548</v>
      </c>
      <c r="I34" s="25"/>
      <c r="J34" s="55" t="str">
        <f ca="1">IFERROR(__xludf.DUMMYFUNCTION("""COMPUTED_VALUE"""),"Alta")</f>
        <v>Alta</v>
      </c>
      <c r="K34" s="25">
        <f ca="1">IFERROR(__xludf.DUMMYFUNCTION("""COMPUTED_VALUE"""),30)</f>
        <v>30</v>
      </c>
      <c r="L34" s="55">
        <f ca="1">IFERROR(__xludf.DUMMYFUNCTION("""COMPUTED_VALUE"""),44576)</f>
        <v>44576</v>
      </c>
      <c r="M34" s="25" t="str">
        <f ca="1">IFERROR(__xludf.DUMMYFUNCTION("""COMPUTED_VALUE"""),"El predio que se tiene identificado por parte de la Alcaldía, y demás entidades, se encuentra ubicado en el sector de Guadalupe. El mismo está en custodia por parte de la SAE, quien adecuó la instalación en seguridad para que no se ocupara nuevamente. Sin"&amp;" embargo, aún no se encuentra en poder de la administración. Se realizará invitación al Consejo Local de Seguridad (primera semana del mes de febrero) a las entidades competentes para verificar avances y acciones que permitan incluir este predio en las ac"&amp;"ciones coordinadas con MinDefensa, Policía y esta Secretaría. Mensualmente se está realizando mesa de trabajo para avanzar en el seguimiento para la demolición de ollas. ")</f>
        <v xml:space="preserve">El predio que se tiene identificado por parte de la Alcaldía, y demás entidades, se encuentra ubicado en el sector de Guadalupe. El mismo está en custodia por parte de la SAE, quien adecuó la instalación en seguridad para que no se ocupara nuevamente. Sin embargo, aún no se encuentra en poder de la administración. Se realizará invitación al Consejo Local de Seguridad (primera semana del mes de febrero) a las entidades competentes para verificar avances y acciones que permitan incluir este predio en las acciones coordinadas con MinDefensa, Policía y esta Secretaría. Mensualmente se está realizando mesa de trabajo para avanzar en el seguimiento para la demolición de ollas. </v>
      </c>
      <c r="N34" s="55">
        <f ca="1">IFERROR(__xludf.DUMMYFUNCTION("""COMPUTED_VALUE"""),44576)</f>
        <v>44576</v>
      </c>
      <c r="O34" s="25" t="str">
        <f t="shared" ca="1" si="0"/>
        <v>Secretaría Distrital de Seguridad, Convivencia y Justicia</v>
      </c>
      <c r="P34" s="25" t="str">
        <f t="shared" si="1"/>
        <v/>
      </c>
      <c r="Q34" s="25" t="str">
        <f ca="1">IFERROR(__xludf.DUMMYFUNCTION("""COMPUTED_VALUE"""),"Corto plazo")</f>
        <v>Corto plazo</v>
      </c>
      <c r="R34" s="25"/>
      <c r="S34" s="55"/>
      <c r="T34" s="56"/>
      <c r="U34" s="25"/>
      <c r="V34" s="25"/>
      <c r="W34" s="25"/>
      <c r="X34" s="25"/>
      <c r="Y34" s="25"/>
      <c r="Z34" s="25"/>
    </row>
    <row r="35" spans="1:26" ht="52.5" customHeight="1" x14ac:dyDescent="0.25">
      <c r="A35" s="25" t="str">
        <f ca="1">IFERROR(__xludf.DUMMYFUNCTION("""COMPUTED_VALUE"""),"Segur33")</f>
        <v>Segur33</v>
      </c>
      <c r="B35" s="25" t="str">
        <f ca="1">IFERROR(__xludf.DUMMYFUNCTION("""COMPUTED_VALUE"""),"Despachando Mebog ")</f>
        <v xml:space="preserve">Despachando Mebog </v>
      </c>
      <c r="C35" s="55">
        <f ca="1">IFERROR(__xludf.DUMMYFUNCTION("""COMPUTED_VALUE"""),44518)</f>
        <v>44518</v>
      </c>
      <c r="D35" s="25" t="str">
        <f ca="1">IFERROR(__xludf.DUMMYFUNCTION("""COMPUTED_VALUE"""),"Seguridad")</f>
        <v>Seguridad</v>
      </c>
      <c r="E35" s="25" t="str">
        <f ca="1">IFERROR(__xludf.DUMMYFUNCTION("""COMPUTED_VALUE"""),"Secretaría Distrital de Seguridad, Convivencia y Justicia")</f>
        <v>Secretaría Distrital de Seguridad, Convivencia y Justicia</v>
      </c>
      <c r="F35" s="25" t="str">
        <f ca="1">IFERROR(__xludf.DUMMYFUNCTION("""COMPUTED_VALUE"""),"Aumento de pie de fuerza en el Restrepo, atendiendo a que hay bandas criminales que están llevando a cabo hurtos de establecimientos comerciales")</f>
        <v>Aumento de pie de fuerza en el Restrepo, atendiendo a que hay bandas criminales que están llevando a cabo hurtos de establecimientos comerciales</v>
      </c>
      <c r="G35" s="55" t="str">
        <f ca="1">IFERROR(__xludf.DUMMYFUNCTION("""COMPUTED_VALUE"""),"15. Antonio Nariño")</f>
        <v>15. Antonio Nariño</v>
      </c>
      <c r="H35" s="55">
        <f ca="1">IFERROR(__xludf.DUMMYFUNCTION("""COMPUTED_VALUE"""),44548)</f>
        <v>44548</v>
      </c>
      <c r="I35" s="25"/>
      <c r="J35" s="55" t="str">
        <f ca="1">IFERROR(__xludf.DUMMYFUNCTION("""COMPUTED_VALUE"""),"Alta")</f>
        <v>Alta</v>
      </c>
      <c r="K35" s="25">
        <f ca="1">IFERROR(__xludf.DUMMYFUNCTION("""COMPUTED_VALUE"""),30)</f>
        <v>30</v>
      </c>
      <c r="L35" s="55">
        <f ca="1">IFERROR(__xludf.DUMMYFUNCTION("""COMPUTED_VALUE"""),44768)</f>
        <v>44768</v>
      </c>
      <c r="M35" s="25" t="str">
        <f ca="1">IFERROR(__xludf.DUMMYFUNCTION("""COMPUTED_VALUE"""),"El refuerzo se programó en el Plan Navidad con 06 unidades adicionales para la zona y 1 Dron                                                                                                                               Reporte 26/07/22                    "&amp;"                                                                                                                                                                                             Se recibieron los apoyos de pie de fuerza y se ampliaron  los plan"&amp;"es estratégicos en el sector del Restrepo. Lo anterior dio como resultado la disminución de los hurtos en el sector comercio en un -56% (para el mes de julio de 2022). Adicionalmente, hubo una disminución del -23% durante lo corrido del año 2022.  Se cont"&amp;"inúan con los operativos con los cuadrantes del sector.")</f>
        <v>El refuerzo se programó en el Plan Navidad con 06 unidades adicionales para la zona y 1 Dron                                                                                                                               Reporte 26/07/22                                                                                                                                                                                                                 Se recibieron los apoyos de pie de fuerza y se ampliaron  los planes estratégicos en el sector del Restrepo. Lo anterior dio como resultado la disminución de los hurtos en el sector comercio en un -56% (para el mes de julio de 2022). Adicionalmente, hubo una disminución del -23% durante lo corrido del año 2022.  Se continúan con los operativos con los cuadrantes del sector.</v>
      </c>
      <c r="N35" s="55">
        <f ca="1">IFERROR(__xludf.DUMMYFUNCTION("""COMPUTED_VALUE"""),44768)</f>
        <v>44768</v>
      </c>
      <c r="O35" s="25" t="str">
        <f t="shared" ca="1" si="0"/>
        <v>Secretaría Distrital de Seguridad, Convivencia y Justicia</v>
      </c>
      <c r="P35" s="25" t="str">
        <f t="shared" si="1"/>
        <v/>
      </c>
      <c r="Q35" s="25" t="str">
        <f ca="1">IFERROR(__xludf.DUMMYFUNCTION("""COMPUTED_VALUE"""),"Corto plazo")</f>
        <v>Corto plazo</v>
      </c>
      <c r="R35" s="25"/>
      <c r="S35" s="55"/>
      <c r="T35" s="56"/>
      <c r="U35" s="25"/>
      <c r="V35" s="25"/>
      <c r="W35" s="25"/>
      <c r="X35" s="25"/>
      <c r="Y35" s="25"/>
      <c r="Z35" s="25"/>
    </row>
    <row r="36" spans="1:26" ht="52.5" customHeight="1" x14ac:dyDescent="0.25">
      <c r="A36" s="25" t="str">
        <f ca="1">IFERROR(__xludf.DUMMYFUNCTION("""COMPUTED_VALUE"""),"Segur34")</f>
        <v>Segur34</v>
      </c>
      <c r="B36" s="25" t="str">
        <f ca="1">IFERROR(__xludf.DUMMYFUNCTION("""COMPUTED_VALUE"""),"Despachando Mebog ")</f>
        <v xml:space="preserve">Despachando Mebog </v>
      </c>
      <c r="C36" s="55">
        <f ca="1">IFERROR(__xludf.DUMMYFUNCTION("""COMPUTED_VALUE"""),44518)</f>
        <v>44518</v>
      </c>
      <c r="D36" s="25" t="str">
        <f ca="1">IFERROR(__xludf.DUMMYFUNCTION("""COMPUTED_VALUE"""),"Seguridad")</f>
        <v>Seguridad</v>
      </c>
      <c r="E36" s="25" t="str">
        <f ca="1">IFERROR(__xludf.DUMMYFUNCTION("""COMPUTED_VALUE"""),"Secretaría Distrital de Seguridad, Convivencia y Justicia")</f>
        <v>Secretaría Distrital de Seguridad, Convivencia y Justicia</v>
      </c>
      <c r="F36" s="25" t="str">
        <f ca="1">IFERROR(__xludf.DUMMYFUNCTION("""COMPUTED_VALUE"""),"Fortalecimiento de actividades de inteligencia e investigación policial para identificar redes de microtráfico en bodegas de reciclaje en San Antonio. En los casos que proceda, poder hacer extinción de dominio de las bodegas.")</f>
        <v>Fortalecimiento de actividades de inteligencia e investigación policial para identificar redes de microtráfico en bodegas de reciclaje en San Antonio. En los casos que proceda, poder hacer extinción de dominio de las bodegas.</v>
      </c>
      <c r="G36" s="55" t="str">
        <f ca="1">IFERROR(__xludf.DUMMYFUNCTION("""COMPUTED_VALUE"""),"15. Antonio Nariño")</f>
        <v>15. Antonio Nariño</v>
      </c>
      <c r="H36" s="55">
        <f ca="1">IFERROR(__xludf.DUMMYFUNCTION("""COMPUTED_VALUE"""),44548)</f>
        <v>44548</v>
      </c>
      <c r="I36" s="25"/>
      <c r="J36" s="55" t="str">
        <f ca="1">IFERROR(__xludf.DUMMYFUNCTION("""COMPUTED_VALUE"""),"Alta")</f>
        <v>Alta</v>
      </c>
      <c r="K36" s="25">
        <f ca="1">IFERROR(__xludf.DUMMYFUNCTION("""COMPUTED_VALUE"""),30)</f>
        <v>30</v>
      </c>
      <c r="L36" s="55">
        <f ca="1">IFERROR(__xludf.DUMMYFUNCTION("""COMPUTED_VALUE"""),44576)</f>
        <v>44576</v>
      </c>
      <c r="M36" s="25" t="str">
        <f ca="1">IFERROR(__xludf.DUMMYFUNCTION("""COMPUTED_VALUE"""),"El 9 de diciembre de 2021 se adelantó mesa de coordinación e intercambio de información con la Policía Nacional conforme a las necesidades previstas para la localidad de Antonio Nariño, al respecto se programó y desarrolló intervención operativa el 29 de "&amp;"diciembre en bodegas de reciclaje. Se obtuvieron los resultados a continuación relacionados; tres establecimientos verificados, una suspensión temporal de la actividad económica.  15.01.2022: Se realiza acción operativa, verificación del establecimiento y"&amp;" proyección de seguimiento a la zona por parte de las autoridades de policía. ")</f>
        <v xml:space="preserve">El 9 de diciembre de 2021 se adelantó mesa de coordinación e intercambio de información con la Policía Nacional conforme a las necesidades previstas para la localidad de Antonio Nariño, al respecto se programó y desarrolló intervención operativa el 29 de diciembre en bodegas de reciclaje. Se obtuvieron los resultados a continuación relacionados; tres establecimientos verificados, una suspensión temporal de la actividad económica.  15.01.2022: Se realiza acción operativa, verificación del establecimiento y proyección de seguimiento a la zona por parte de las autoridades de policía. </v>
      </c>
      <c r="N36" s="55">
        <f ca="1">IFERROR(__xludf.DUMMYFUNCTION("""COMPUTED_VALUE"""),44576)</f>
        <v>44576</v>
      </c>
      <c r="O36" s="25" t="str">
        <f t="shared" ca="1" si="0"/>
        <v>Secretaría Distrital de Seguridad, Convivencia y Justicia</v>
      </c>
      <c r="P36" s="25" t="str">
        <f t="shared" si="1"/>
        <v/>
      </c>
      <c r="Q36" s="25" t="str">
        <f ca="1">IFERROR(__xludf.DUMMYFUNCTION("""COMPUTED_VALUE"""),"Corto plazo")</f>
        <v>Corto plazo</v>
      </c>
      <c r="R36" s="25"/>
      <c r="S36" s="55"/>
      <c r="T36" s="56"/>
      <c r="U36" s="25"/>
      <c r="V36" s="25"/>
      <c r="W36" s="25"/>
      <c r="X36" s="25"/>
      <c r="Y36" s="25"/>
      <c r="Z36" s="25"/>
    </row>
    <row r="37" spans="1:26" ht="52.5" customHeight="1" x14ac:dyDescent="0.25">
      <c r="A37" s="25" t="str">
        <f ca="1">IFERROR(__xludf.DUMMYFUNCTION("""COMPUTED_VALUE"""),"Segur35")</f>
        <v>Segur35</v>
      </c>
      <c r="B37" s="25" t="str">
        <f ca="1">IFERROR(__xludf.DUMMYFUNCTION("""COMPUTED_VALUE"""),"Despachando Mebog ")</f>
        <v xml:space="preserve">Despachando Mebog </v>
      </c>
      <c r="C37" s="55">
        <f ca="1">IFERROR(__xludf.DUMMYFUNCTION("""COMPUTED_VALUE"""),44518)</f>
        <v>44518</v>
      </c>
      <c r="D37" s="25" t="str">
        <f ca="1">IFERROR(__xludf.DUMMYFUNCTION("""COMPUTED_VALUE"""),"Seguridad")</f>
        <v>Seguridad</v>
      </c>
      <c r="E37" s="25" t="str">
        <f ca="1">IFERROR(__xludf.DUMMYFUNCTION("""COMPUTED_VALUE"""),"Secretaría Distrital de Seguridad, Convivencia y Justicia")</f>
        <v>Secretaría Distrital de Seguridad, Convivencia y Justicia</v>
      </c>
      <c r="F37" s="25" t="str">
        <f ca="1">IFERROR(__xludf.DUMMYFUNCTION("""COMPUTED_VALUE"""),"Realizar acciones para disminuir los cambuches de habitantes de calle en el Río Fucha y fortalecer la oferta social")</f>
        <v>Realizar acciones para disminuir los cambuches de habitantes de calle en el Río Fucha y fortalecer la oferta social</v>
      </c>
      <c r="G37" s="55" t="str">
        <f ca="1">IFERROR(__xludf.DUMMYFUNCTION("""COMPUTED_VALUE"""),"15. Antonio Nariño")</f>
        <v>15. Antonio Nariño</v>
      </c>
      <c r="H37" s="55">
        <f ca="1">IFERROR(__xludf.DUMMYFUNCTION("""COMPUTED_VALUE"""),44548)</f>
        <v>44548</v>
      </c>
      <c r="I37" s="25"/>
      <c r="J37" s="55" t="str">
        <f ca="1">IFERROR(__xludf.DUMMYFUNCTION("""COMPUTED_VALUE"""),"Alta")</f>
        <v>Alta</v>
      </c>
      <c r="K37" s="25">
        <f ca="1">IFERROR(__xludf.DUMMYFUNCTION("""COMPUTED_VALUE"""),30)</f>
        <v>30</v>
      </c>
      <c r="L37" s="55">
        <f ca="1">IFERROR(__xludf.DUMMYFUNCTION("""COMPUTED_VALUE"""),44768)</f>
        <v>44768</v>
      </c>
      <c r="M37" s="25" t="str">
        <f ca="1">IFERROR(__xludf.DUMMYFUNCTION("""COMPUTED_VALUE"""),"Desde la estrategia Plan operativo especial para la seguridad y la convivencia de las personas habitante de calle, se han realizado 11 acciones entorno atender la problemática del fenómeno de habitación en calle en el sector priorizado, 9 recorridos de ac"&amp;"ompañamiento y socializaciòn de la oferta de servicios y 4 recorridos, a través del equipo de tropa social de rescate nocturno para invitar a los ciudadanos habitantes de calle a pernoctar en los hogares dispuestos por el sector social. Se genera reunión "&amp;"con Diego Herrera (Asesor de despacho de la SCJ) para el dia 15 de enero para atender la situación por medio de un operativo de recuperación de espacio público con las entidades pertinentes (UAESP - DADEP - IDIPRON - SDIS y MEBOG).                        "&amp;"                                                                                                                                               Reporte 26/07/22                      
1. Se realizaron 10 recorridos de identificación, con levantamiento de in"&amp;"formación y acercamiento de oferta del sector social y del sector seguridad (rutas de denuncia y prevención de la instrumentalizacion de esta población para la comisión de delitos.). 
2. Se han realizado 5 jornadas de rescate nocturno, para contribuir a l"&amp;"a reducción del homicidio con víctima chc.
3. Se han realizado 3 operativos de recuperación de espacio público para el levantamiento de cambuches, con los siguientes resultados: 
- 15 carretas registradas
- 13 ciudadanos registrados
- 6 cambuches desestru"&amp;"cturados")</f>
        <v>Desde la estrategia Plan operativo especial para la seguridad y la convivencia de las personas habitante de calle, se han realizado 11 acciones entorno atender la problemática del fenómeno de habitación en calle en el sector priorizado, 9 recorridos de acompañamiento y socializaciòn de la oferta de servicios y 4 recorridos, a través del equipo de tropa social de rescate nocturno para invitar a los ciudadanos habitantes de calle a pernoctar en los hogares dispuestos por el sector social. Se genera reunión con Diego Herrera (Asesor de despacho de la SCJ) para el dia 15 de enero para atender la situación por medio de un operativo de recuperación de espacio público con las entidades pertinentes (UAESP - DADEP - IDIPRON - SDIS y MEBOG).                                                                                                                                                                       Reporte 26/07/22                      
1. Se realizaron 10 recorridos de identificación, con levantamiento de información y acercamiento de oferta del sector social y del sector seguridad (rutas de denuncia y prevención de la instrumentalizacion de esta población para la comisión de delitos.). 
2. Se han realizado 5 jornadas de rescate nocturno, para contribuir a la reducción del homicidio con víctima chc.
3. Se han realizado 3 operativos de recuperación de espacio público para el levantamiento de cambuches, con los siguientes resultados: 
- 15 carretas registradas
- 13 ciudadanos registrados
- 6 cambuches desestructurados</v>
      </c>
      <c r="N37" s="55">
        <f ca="1">IFERROR(__xludf.DUMMYFUNCTION("""COMPUTED_VALUE"""),44768)</f>
        <v>44768</v>
      </c>
      <c r="O37" s="25" t="str">
        <f t="shared" ca="1" si="0"/>
        <v>Secretaría Distrital de Seguridad, Convivencia y Justicia</v>
      </c>
      <c r="P37" s="25" t="str">
        <f t="shared" si="1"/>
        <v/>
      </c>
      <c r="Q37" s="25" t="str">
        <f ca="1">IFERROR(__xludf.DUMMYFUNCTION("""COMPUTED_VALUE"""),"Corto plazo")</f>
        <v>Corto plazo</v>
      </c>
      <c r="R37" s="25"/>
      <c r="S37" s="55"/>
      <c r="T37" s="56"/>
      <c r="U37" s="25"/>
      <c r="V37" s="25"/>
      <c r="W37" s="25"/>
      <c r="X37" s="25"/>
      <c r="Y37" s="25"/>
      <c r="Z37" s="25"/>
    </row>
    <row r="38" spans="1:26" ht="52.5" customHeight="1" x14ac:dyDescent="0.25">
      <c r="A38" s="25" t="str">
        <f ca="1">IFERROR(__xludf.DUMMYFUNCTION("""COMPUTED_VALUE"""),"Segur36")</f>
        <v>Segur36</v>
      </c>
      <c r="B38" s="25" t="str">
        <f ca="1">IFERROR(__xludf.DUMMYFUNCTION("""COMPUTED_VALUE"""),"Despachando Mebog ")</f>
        <v xml:space="preserve">Despachando Mebog </v>
      </c>
      <c r="C38" s="55">
        <f ca="1">IFERROR(__xludf.DUMMYFUNCTION("""COMPUTED_VALUE"""),44518)</f>
        <v>44518</v>
      </c>
      <c r="D38" s="25" t="str">
        <f ca="1">IFERROR(__xludf.DUMMYFUNCTION("""COMPUTED_VALUE"""),"Seguridad")</f>
        <v>Seguridad</v>
      </c>
      <c r="E38" s="25" t="str">
        <f ca="1">IFERROR(__xludf.DUMMYFUNCTION("""COMPUTED_VALUE"""),"Secretaría Distrital de Seguridad, Convivencia y Justicia")</f>
        <v>Secretaría Distrital de Seguridad, Convivencia y Justicia</v>
      </c>
      <c r="F38" s="25" t="str">
        <f ca="1">IFERROR(__xludf.DUMMYFUNCTION("""COMPUTED_VALUE"""),"Aumento de pie de fuerza por parte de la MEBOG")</f>
        <v>Aumento de pie de fuerza por parte de la MEBOG</v>
      </c>
      <c r="G38" s="55" t="str">
        <f ca="1">IFERROR(__xludf.DUMMYFUNCTION("""COMPUTED_VALUE"""),"12. Barrios Unidos")</f>
        <v>12. Barrios Unidos</v>
      </c>
      <c r="H38" s="55">
        <f ca="1">IFERROR(__xludf.DUMMYFUNCTION("""COMPUTED_VALUE"""),44548)</f>
        <v>44548</v>
      </c>
      <c r="I38" s="25"/>
      <c r="J38" s="55" t="str">
        <f ca="1">IFERROR(__xludf.DUMMYFUNCTION("""COMPUTED_VALUE"""),"Alta")</f>
        <v>Alta</v>
      </c>
      <c r="K38" s="25">
        <f ca="1">IFERROR(__xludf.DUMMYFUNCTION("""COMPUTED_VALUE"""),30)</f>
        <v>30</v>
      </c>
      <c r="L38" s="55">
        <f ca="1">IFERROR(__xludf.DUMMYFUNCTION("""COMPUTED_VALUE"""),44576)</f>
        <v>44576</v>
      </c>
      <c r="M38" s="25" t="str">
        <f ca="1">IFERROR(__xludf.DUMMYFUNCTION("""COMPUTED_VALUE"""),"El refuerzo se programó en el Plan Navidad con 06 unidades adicionales para la zona y 1 Dron para Simón Bolívar, Salitre Mágico y 7 de agosto")</f>
        <v>El refuerzo se programó en el Plan Navidad con 06 unidades adicionales para la zona y 1 Dron para Simón Bolívar, Salitre Mágico y 7 de agosto</v>
      </c>
      <c r="N38" s="55">
        <f ca="1">IFERROR(__xludf.DUMMYFUNCTION("""COMPUTED_VALUE"""),44576)</f>
        <v>44576</v>
      </c>
      <c r="O38" s="25" t="str">
        <f t="shared" ca="1" si="0"/>
        <v>Secretaría Distrital de Seguridad, Convivencia y Justicia</v>
      </c>
      <c r="P38" s="25" t="str">
        <f t="shared" si="1"/>
        <v/>
      </c>
      <c r="Q38" s="25" t="str">
        <f ca="1">IFERROR(__xludf.DUMMYFUNCTION("""COMPUTED_VALUE"""),"Corto plazo")</f>
        <v>Corto plazo</v>
      </c>
      <c r="R38" s="25"/>
      <c r="S38" s="55"/>
      <c r="T38" s="56"/>
      <c r="U38" s="25"/>
      <c r="V38" s="25"/>
      <c r="W38" s="25"/>
      <c r="X38" s="25"/>
      <c r="Y38" s="25"/>
      <c r="Z38" s="25"/>
    </row>
    <row r="39" spans="1:26" ht="52.5" customHeight="1" x14ac:dyDescent="0.25">
      <c r="A39" s="25" t="str">
        <f ca="1">IFERROR(__xludf.DUMMYFUNCTION("""COMPUTED_VALUE"""),"Segur37")</f>
        <v>Segur37</v>
      </c>
      <c r="B39" s="25" t="str">
        <f ca="1">IFERROR(__xludf.DUMMYFUNCTION("""COMPUTED_VALUE"""),"Despachando Mebog ")</f>
        <v xml:space="preserve">Despachando Mebog </v>
      </c>
      <c r="C39" s="55">
        <f ca="1">IFERROR(__xludf.DUMMYFUNCTION("""COMPUTED_VALUE"""),44518)</f>
        <v>44518</v>
      </c>
      <c r="D39" s="25" t="str">
        <f ca="1">IFERROR(__xludf.DUMMYFUNCTION("""COMPUTED_VALUE"""),"Seguridad")</f>
        <v>Seguridad</v>
      </c>
      <c r="E39" s="25" t="str">
        <f ca="1">IFERROR(__xludf.DUMMYFUNCTION("""COMPUTED_VALUE"""),"Secretaría Distrital de Seguridad, Convivencia y Justicia")</f>
        <v>Secretaría Distrital de Seguridad, Convivencia y Justicia</v>
      </c>
      <c r="F39" s="25" t="str">
        <f ca="1">IFERROR(__xludf.DUMMYFUNCTION("""COMPUTED_VALUE"""),"Revisar la situación de hacinamiento en la estación de policía")</f>
        <v>Revisar la situación de hacinamiento en la estación de policía</v>
      </c>
      <c r="G39" s="55" t="str">
        <f ca="1">IFERROR(__xludf.DUMMYFUNCTION("""COMPUTED_VALUE"""),"12. Barrios Unidos")</f>
        <v>12. Barrios Unidos</v>
      </c>
      <c r="H39" s="55">
        <f ca="1">IFERROR(__xludf.DUMMYFUNCTION("""COMPUTED_VALUE"""),44548)</f>
        <v>44548</v>
      </c>
      <c r="I39" s="25"/>
      <c r="J39" s="55" t="str">
        <f ca="1">IFERROR(__xludf.DUMMYFUNCTION("""COMPUTED_VALUE"""),"Alta")</f>
        <v>Alta</v>
      </c>
      <c r="K39" s="25">
        <f ca="1">IFERROR(__xludf.DUMMYFUNCTION("""COMPUTED_VALUE"""),30)</f>
        <v>30</v>
      </c>
      <c r="L39" s="55">
        <f ca="1">IFERROR(__xludf.DUMMYFUNCTION("""COMPUTED_VALUE"""),44642)</f>
        <v>44642</v>
      </c>
      <c r="M39" s="25" t="str">
        <f ca="1">IFERROR(__xludf.DUMMYFUNCTION("""COMPUTED_VALUE"""),"Traslados personas privadas de la libertad-PPL- de Uris y estaciones 
1. A Carcel Distrital: se recibieron esta semana  75 personas privadas de las libertad de uris y estaciones.  Se continúa con el traslado de 17 PPL más. 
-Se gestionó con el inpec el tr"&amp;"aslado de personas condenadas y dicha entidad expidió resolución para recibir en picota 53 PPL, Modelo 44 PPL y reclusión de mujeres 6 PPL femeninas y de la Dorada 1 PPL masculino, para un total de 104 PPL, traslados que se realizarán estre esta semana y "&amp;"la
proxima para iniciar asímismo traslado de estaciones (104 personas). 
2. CER. Se inició el traslado por parte de la Policía de 100 personas privadas de la libertad por grupos de 20 personas. Para finalizar el día viernes 11 de marzo.")</f>
        <v>Traslados personas privadas de la libertad-PPL- de Uris y estaciones 
1. A Carcel Distrital: se recibieron esta semana  75 personas privadas de las libertad de uris y estaciones.  Se continúa con el traslado de 17 PPL más. 
-Se gestionó con el inpec el traslado de personas condenadas y dicha entidad expidió resolución para recibir en picota 53 PPL, Modelo 44 PPL y reclusión de mujeres 6 PPL femeninas y de la Dorada 1 PPL masculino, para un total de 104 PPL, traslados que se realizarán estre esta semana y la
proxima para iniciar asímismo traslado de estaciones (104 personas). 
2. CER. Se inició el traslado por parte de la Policía de 100 personas privadas de la libertad por grupos de 20 personas. Para finalizar el día viernes 11 de marzo.</v>
      </c>
      <c r="N39" s="55">
        <f ca="1">IFERROR(__xludf.DUMMYFUNCTION("""COMPUTED_VALUE"""),44642)</f>
        <v>44642</v>
      </c>
      <c r="O39" s="25" t="str">
        <f t="shared" ca="1" si="0"/>
        <v>Secretaría Distrital de Seguridad, Convivencia y Justicia</v>
      </c>
      <c r="P39" s="25" t="str">
        <f t="shared" si="1"/>
        <v/>
      </c>
      <c r="Q39" s="25" t="str">
        <f ca="1">IFERROR(__xludf.DUMMYFUNCTION("""COMPUTED_VALUE"""),"Corto plazo")</f>
        <v>Corto plazo</v>
      </c>
      <c r="R39" s="25"/>
      <c r="S39" s="55"/>
      <c r="T39" s="56"/>
      <c r="U39" s="25"/>
      <c r="V39" s="25"/>
      <c r="W39" s="25"/>
      <c r="X39" s="25"/>
      <c r="Y39" s="25"/>
      <c r="Z39" s="25"/>
    </row>
    <row r="40" spans="1:26" ht="52.5" customHeight="1" x14ac:dyDescent="0.25">
      <c r="A40" s="25" t="str">
        <f ca="1">IFERROR(__xludf.DUMMYFUNCTION("""COMPUTED_VALUE"""),"Segur38")</f>
        <v>Segur38</v>
      </c>
      <c r="B40" s="25" t="str">
        <f ca="1">IFERROR(__xludf.DUMMYFUNCTION("""COMPUTED_VALUE"""),"Despachando Mebog ")</f>
        <v xml:space="preserve">Despachando Mebog </v>
      </c>
      <c r="C40" s="55">
        <f ca="1">IFERROR(__xludf.DUMMYFUNCTION("""COMPUTED_VALUE"""),44518)</f>
        <v>44518</v>
      </c>
      <c r="D40" s="25" t="str">
        <f ca="1">IFERROR(__xludf.DUMMYFUNCTION("""COMPUTED_VALUE"""),"Seguridad")</f>
        <v>Seguridad</v>
      </c>
      <c r="E40" s="25" t="str">
        <f ca="1">IFERROR(__xludf.DUMMYFUNCTION("""COMPUTED_VALUE"""),"Secretaría Distrital de Seguridad, Convivencia y Justicia")</f>
        <v>Secretaría Distrital de Seguridad, Convivencia y Justicia</v>
      </c>
      <c r="F40" s="25" t="str">
        <f ca="1">IFERROR(__xludf.DUMMYFUNCTION("""COMPUTED_VALUE"""),"Replantear la distribución de los cuadrantes en la localidad, debido a que hay CAÍ que tienen doble jurisdicción con otras localidades, como el CAI Juan Rey")</f>
        <v>Replantear la distribución de los cuadrantes en la localidad, debido a que hay CAÍ que tienen doble jurisdicción con otras localidades, como el CAI Juan Rey</v>
      </c>
      <c r="G40" s="55" t="str">
        <f ca="1">IFERROR(__xludf.DUMMYFUNCTION("""COMPUTED_VALUE"""),"04. San Cristóbal")</f>
        <v>04. San Cristóbal</v>
      </c>
      <c r="H40" s="55">
        <f ca="1">IFERROR(__xludf.DUMMYFUNCTION("""COMPUTED_VALUE"""),44548)</f>
        <v>44548</v>
      </c>
      <c r="I40" s="25"/>
      <c r="J40" s="55" t="str">
        <f ca="1">IFERROR(__xludf.DUMMYFUNCTION("""COMPUTED_VALUE"""),"Alta")</f>
        <v>Alta</v>
      </c>
      <c r="K40" s="25">
        <f ca="1">IFERROR(__xludf.DUMMYFUNCTION("""COMPUTED_VALUE"""),30)</f>
        <v>30</v>
      </c>
      <c r="L40" s="55">
        <f ca="1">IFERROR(__xludf.DUMMYFUNCTION("""COMPUTED_VALUE"""),44576)</f>
        <v>44576</v>
      </c>
      <c r="M40" s="25" t="str">
        <f ca="1">IFERROR(__xludf.DUMMYFUNCTION("""COMPUTED_VALUE"""),"Se realizó la revisión y por operabilidad es la mejor distribución que se puede obtener a la fecha por el pie de fuerza disponible en acción real")</f>
        <v>Se realizó la revisión y por operabilidad es la mejor distribución que se puede obtener a la fecha por el pie de fuerza disponible en acción real</v>
      </c>
      <c r="N40" s="55">
        <f ca="1">IFERROR(__xludf.DUMMYFUNCTION("""COMPUTED_VALUE"""),44576)</f>
        <v>44576</v>
      </c>
      <c r="O40" s="25" t="str">
        <f t="shared" ca="1" si="0"/>
        <v>Secretaría Distrital de Seguridad, Convivencia y Justicia</v>
      </c>
      <c r="P40" s="25" t="str">
        <f t="shared" si="1"/>
        <v/>
      </c>
      <c r="Q40" s="25" t="str">
        <f ca="1">IFERROR(__xludf.DUMMYFUNCTION("""COMPUTED_VALUE"""),"Corto plazo")</f>
        <v>Corto plazo</v>
      </c>
      <c r="R40" s="25"/>
      <c r="S40" s="55"/>
      <c r="T40" s="56"/>
      <c r="U40" s="25"/>
      <c r="V40" s="25"/>
      <c r="W40" s="25"/>
      <c r="X40" s="25"/>
      <c r="Y40" s="25"/>
      <c r="Z40" s="25"/>
    </row>
    <row r="41" spans="1:26" ht="52.5" customHeight="1" x14ac:dyDescent="0.25">
      <c r="A41" s="25" t="str">
        <f ca="1">IFERROR(__xludf.DUMMYFUNCTION("""COMPUTED_VALUE"""),"Segur39")</f>
        <v>Segur39</v>
      </c>
      <c r="B41" s="25" t="str">
        <f ca="1">IFERROR(__xludf.DUMMYFUNCTION("""COMPUTED_VALUE"""),"Despachando Mebog ")</f>
        <v xml:space="preserve">Despachando Mebog </v>
      </c>
      <c r="C41" s="55">
        <f ca="1">IFERROR(__xludf.DUMMYFUNCTION("""COMPUTED_VALUE"""),44518)</f>
        <v>44518</v>
      </c>
      <c r="D41" s="25" t="str">
        <f ca="1">IFERROR(__xludf.DUMMYFUNCTION("""COMPUTED_VALUE"""),"Seguridad")</f>
        <v>Seguridad</v>
      </c>
      <c r="E41" s="25" t="str">
        <f ca="1">IFERROR(__xludf.DUMMYFUNCTION("""COMPUTED_VALUE"""),"Secretaría Distrital de Seguridad, Convivencia y Justicia")</f>
        <v>Secretaría Distrital de Seguridad, Convivencia y Justicia</v>
      </c>
      <c r="F41" s="25" t="str">
        <f ca="1">IFERROR(__xludf.DUMMYFUNCTION("""COMPUTED_VALUE"""),"Fortalecer las labores de inteligencia respecto a la identificación de ollas en la localidad")</f>
        <v>Fortalecer las labores de inteligencia respecto a la identificación de ollas en la localidad</v>
      </c>
      <c r="G41" s="55" t="str">
        <f ca="1">IFERROR(__xludf.DUMMYFUNCTION("""COMPUTED_VALUE"""),"04. San Cristóbal")</f>
        <v>04. San Cristóbal</v>
      </c>
      <c r="H41" s="55">
        <f ca="1">IFERROR(__xludf.DUMMYFUNCTION("""COMPUTED_VALUE"""),44548)</f>
        <v>44548</v>
      </c>
      <c r="I41" s="25"/>
      <c r="J41" s="55" t="str">
        <f ca="1">IFERROR(__xludf.DUMMYFUNCTION("""COMPUTED_VALUE"""),"Alta")</f>
        <v>Alta</v>
      </c>
      <c r="K41" s="25">
        <f ca="1">IFERROR(__xludf.DUMMYFUNCTION("""COMPUTED_VALUE"""),30)</f>
        <v>30</v>
      </c>
      <c r="L41" s="55">
        <f ca="1">IFERROR(__xludf.DUMMYFUNCTION("""COMPUTED_VALUE"""),44576)</f>
        <v>44576</v>
      </c>
      <c r="M41" s="25" t="str">
        <f ca="1">IFERROR(__xludf.DUMMYFUNCTION("""COMPUTED_VALUE"""),"En este 2023, se mantiene la atención a los ciudadanos en materia de propiedad horizontal los jueves de 9:00 am a 12:00 m. en la oficina de Garantía de Derechos- Participación en la Alcaldía Local de San Cristóbal.")</f>
        <v>En este 2023, se mantiene la atención a los ciudadanos en materia de propiedad horizontal los jueves de 9:00 am a 12:00 m. en la oficina de Garantía de Derechos- Participación en la Alcaldía Local de San Cristóbal.</v>
      </c>
      <c r="N41" s="55">
        <f ca="1">IFERROR(__xludf.DUMMYFUNCTION("""COMPUTED_VALUE"""),44576)</f>
        <v>44576</v>
      </c>
      <c r="O41" s="25" t="str">
        <f t="shared" ca="1" si="0"/>
        <v>Secretaría Distrital de Seguridad, Convivencia y Justicia</v>
      </c>
      <c r="P41" s="25" t="str">
        <f t="shared" si="1"/>
        <v/>
      </c>
      <c r="Q41" s="25" t="str">
        <f ca="1">IFERROR(__xludf.DUMMYFUNCTION("""COMPUTED_VALUE"""),"Corto plazo")</f>
        <v>Corto plazo</v>
      </c>
      <c r="R41" s="25"/>
      <c r="S41" s="55"/>
      <c r="T41" s="56"/>
      <c r="U41" s="25"/>
      <c r="V41" s="25"/>
      <c r="W41" s="25"/>
      <c r="X41" s="25"/>
      <c r="Y41" s="25"/>
      <c r="Z41" s="25"/>
    </row>
    <row r="42" spans="1:26" ht="52.5" customHeight="1" x14ac:dyDescent="0.25">
      <c r="A42" s="25" t="str">
        <f ca="1">IFERROR(__xludf.DUMMYFUNCTION("""COMPUTED_VALUE"""),"Segur40")</f>
        <v>Segur40</v>
      </c>
      <c r="B42" s="25" t="str">
        <f ca="1">IFERROR(__xludf.DUMMYFUNCTION("""COMPUTED_VALUE"""),"Despachando Mebog ")</f>
        <v xml:space="preserve">Despachando Mebog </v>
      </c>
      <c r="C42" s="55">
        <f ca="1">IFERROR(__xludf.DUMMYFUNCTION("""COMPUTED_VALUE"""),44518)</f>
        <v>44518</v>
      </c>
      <c r="D42" s="25" t="str">
        <f ca="1">IFERROR(__xludf.DUMMYFUNCTION("""COMPUTED_VALUE"""),"Seguridad")</f>
        <v>Seguridad</v>
      </c>
      <c r="E42" s="25" t="str">
        <f ca="1">IFERROR(__xludf.DUMMYFUNCTION("""COMPUTED_VALUE"""),"Secretaría Distrital de Seguridad, Convivencia y Justicia")</f>
        <v>Secretaría Distrital de Seguridad, Convivencia y Justicia</v>
      </c>
      <c r="F42" s="25" t="str">
        <f ca="1">IFERROR(__xludf.DUMMYFUNCTION("""COMPUTED_VALUE"""),"Fortalecer la inteligencia e investigación policial para realizar capturas de microtráfico cerca a Gran Yomasa y Tierreros")</f>
        <v>Fortalecer la inteligencia e investigación policial para realizar capturas de microtráfico cerca a Gran Yomasa y Tierreros</v>
      </c>
      <c r="G42" s="55" t="str">
        <f ca="1">IFERROR(__xludf.DUMMYFUNCTION("""COMPUTED_VALUE"""),"04. San Cristóbal")</f>
        <v>04. San Cristóbal</v>
      </c>
      <c r="H42" s="55">
        <f ca="1">IFERROR(__xludf.DUMMYFUNCTION("""COMPUTED_VALUE"""),44548)</f>
        <v>44548</v>
      </c>
      <c r="I42" s="25"/>
      <c r="J42" s="55" t="str">
        <f ca="1">IFERROR(__xludf.DUMMYFUNCTION("""COMPUTED_VALUE"""),"Alta")</f>
        <v>Alta</v>
      </c>
      <c r="K42" s="25">
        <f ca="1">IFERROR(__xludf.DUMMYFUNCTION("""COMPUTED_VALUE"""),30)</f>
        <v>30</v>
      </c>
      <c r="L42" s="55">
        <f ca="1">IFERROR(__xludf.DUMMYFUNCTION("""COMPUTED_VALUE"""),44576)</f>
        <v>44576</v>
      </c>
      <c r="M42" s="25" t="str">
        <f ca="1">IFERROR(__xludf.DUMMYFUNCTION("""COMPUTED_VALUE"""),"El martes 23 de noviembre se realizó ejercicio de caracterización delictiva, del entorno de los barrios que dinamizan la venta y consumo de estupefacientes en Gran Yomasa esta jornada contó con la participación de SIJIN Bogotá, así mismo, en el marco de l"&amp;"a mesa de articulación con la nación se impulsaran acciones en el marco del plan 1000.")</f>
        <v>El martes 23 de noviembre se realizó ejercicio de caracterización delictiva, del entorno de los barrios que dinamizan la venta y consumo de estupefacientes en Gran Yomasa esta jornada contó con la participación de SIJIN Bogotá, así mismo, en el marco de la mesa de articulación con la nación se impulsaran acciones en el marco del plan 1000.</v>
      </c>
      <c r="N42" s="55">
        <f ca="1">IFERROR(__xludf.DUMMYFUNCTION("""COMPUTED_VALUE"""),44576)</f>
        <v>44576</v>
      </c>
      <c r="O42" s="25" t="str">
        <f t="shared" ca="1" si="0"/>
        <v>Secretaría Distrital de Seguridad, Convivencia y Justicia</v>
      </c>
      <c r="P42" s="25" t="str">
        <f t="shared" si="1"/>
        <v/>
      </c>
      <c r="Q42" s="25" t="str">
        <f ca="1">IFERROR(__xludf.DUMMYFUNCTION("""COMPUTED_VALUE"""),"Corto plazo")</f>
        <v>Corto plazo</v>
      </c>
      <c r="R42" s="25"/>
      <c r="S42" s="55"/>
      <c r="T42" s="56"/>
      <c r="U42" s="25"/>
      <c r="V42" s="25"/>
      <c r="W42" s="25"/>
      <c r="X42" s="25"/>
      <c r="Y42" s="25"/>
      <c r="Z42" s="25"/>
    </row>
    <row r="43" spans="1:26" ht="52.5" customHeight="1" x14ac:dyDescent="0.25">
      <c r="A43" s="25" t="str">
        <f ca="1">IFERROR(__xludf.DUMMYFUNCTION("""COMPUTED_VALUE"""),"Segur41")</f>
        <v>Segur41</v>
      </c>
      <c r="B43" s="25" t="str">
        <f ca="1">IFERROR(__xludf.DUMMYFUNCTION("""COMPUTED_VALUE"""),"Despachando Mebog ")</f>
        <v xml:space="preserve">Despachando Mebog </v>
      </c>
      <c r="C43" s="55">
        <f ca="1">IFERROR(__xludf.DUMMYFUNCTION("""COMPUTED_VALUE"""),44518)</f>
        <v>44518</v>
      </c>
      <c r="D43" s="25" t="str">
        <f ca="1">IFERROR(__xludf.DUMMYFUNCTION("""COMPUTED_VALUE"""),"Seguridad")</f>
        <v>Seguridad</v>
      </c>
      <c r="E43" s="25" t="str">
        <f ca="1">IFERROR(__xludf.DUMMYFUNCTION("""COMPUTED_VALUE"""),"Secretaría Distrital de Seguridad, Convivencia y Justicia")</f>
        <v>Secretaría Distrital de Seguridad, Convivencia y Justicia</v>
      </c>
      <c r="F43" s="25" t="str">
        <f ca="1">IFERROR(__xludf.DUMMYFUNCTION("""COMPUTED_VALUE"""),"Mejorar la articulación de la base de datos de MEBOG y de Migración Colombia sobre antecedentes y cédulas para operativos y jornadas de enrolamiento")</f>
        <v>Mejorar la articulación de la base de datos de MEBOG y de Migración Colombia sobre antecedentes y cédulas para operativos y jornadas de enrolamiento</v>
      </c>
      <c r="G43" s="55" t="str">
        <f ca="1">IFERROR(__xludf.DUMMYFUNCTION("""COMPUTED_VALUE"""),"10. Engativá")</f>
        <v>10. Engativá</v>
      </c>
      <c r="H43" s="55">
        <f ca="1">IFERROR(__xludf.DUMMYFUNCTION("""COMPUTED_VALUE"""),44548)</f>
        <v>44548</v>
      </c>
      <c r="I43" s="25"/>
      <c r="J43" s="55" t="str">
        <f ca="1">IFERROR(__xludf.DUMMYFUNCTION("""COMPUTED_VALUE"""),"Alta")</f>
        <v>Alta</v>
      </c>
      <c r="K43" s="25">
        <f ca="1">IFERROR(__xludf.DUMMYFUNCTION("""COMPUTED_VALUE"""),30)</f>
        <v>30</v>
      </c>
      <c r="L43" s="55">
        <f ca="1">IFERROR(__xludf.DUMMYFUNCTION("""COMPUTED_VALUE"""),44576)</f>
        <v>44576</v>
      </c>
      <c r="M43" s="25" t="str">
        <f ca="1">IFERROR(__xludf.DUMMYFUNCTION("""COMPUTED_VALUE"""),"Se ha venido realizando una articulación constante con Migración Colombia y Policía Nacional, esto a través de las jornadas de enrolamiento a ciudadanos migrantes y los IVC en los sectores priorizados, con el fin de identificar aquellos ciudadanos extranj"&amp;"eros por fuera de las bases de datos y pre registros autorizados por el Gobierno Nacional. Adicional, se realiza la articulación con Alcaldías Locales, Migración Colombia y Policía Nacional para dictar charlas en temas migratorios, donde se da a conocer t"&amp;"odo lo relacionado con el estatuto de protección al migrantes y documentación requerida para su plena identificación por parte de las autoridades. En estas jornadas se enlaza a Migración con Policía para mejorar la ruta de apoyo en casos de requerirse par"&amp;"a identificación plena de un ciudadano extranjero.")</f>
        <v>Se ha venido realizando una articulación constante con Migración Colombia y Policía Nacional, esto a través de las jornadas de enrolamiento a ciudadanos migrantes y los IVC en los sectores priorizados, con el fin de identificar aquellos ciudadanos extranjeros por fuera de las bases de datos y pre registros autorizados por el Gobierno Nacional. Adicional, se realiza la articulación con Alcaldías Locales, Migración Colombia y Policía Nacional para dictar charlas en temas migratorios, donde se da a conocer todo lo relacionado con el estatuto de protección al migrantes y documentación requerida para su plena identificación por parte de las autoridades. En estas jornadas se enlaza a Migración con Policía para mejorar la ruta de apoyo en casos de requerirse para identificación plena de un ciudadano extranjero.</v>
      </c>
      <c r="N43" s="55">
        <f ca="1">IFERROR(__xludf.DUMMYFUNCTION("""COMPUTED_VALUE"""),44576)</f>
        <v>44576</v>
      </c>
      <c r="O43" s="25" t="str">
        <f t="shared" ca="1" si="0"/>
        <v>Secretaría Distrital de Seguridad, Convivencia y Justicia</v>
      </c>
      <c r="P43" s="25" t="str">
        <f t="shared" si="1"/>
        <v/>
      </c>
      <c r="Q43" s="25" t="str">
        <f ca="1">IFERROR(__xludf.DUMMYFUNCTION("""COMPUTED_VALUE"""),"Corto plazo")</f>
        <v>Corto plazo</v>
      </c>
      <c r="R43" s="25"/>
      <c r="S43" s="55"/>
      <c r="T43" s="56"/>
      <c r="U43" s="25"/>
      <c r="V43" s="25"/>
      <c r="W43" s="25"/>
      <c r="X43" s="25"/>
      <c r="Y43" s="25"/>
      <c r="Z43" s="25"/>
    </row>
    <row r="44" spans="1:26" ht="52.5" customHeight="1" x14ac:dyDescent="0.25">
      <c r="A44" s="25" t="str">
        <f ca="1">IFERROR(__xludf.DUMMYFUNCTION("""COMPUTED_VALUE"""),"Segur42")</f>
        <v>Segur42</v>
      </c>
      <c r="B44" s="25" t="str">
        <f ca="1">IFERROR(__xludf.DUMMYFUNCTION("""COMPUTED_VALUE"""),"Despachando Mebog ")</f>
        <v xml:space="preserve">Despachando Mebog </v>
      </c>
      <c r="C44" s="55">
        <f ca="1">IFERROR(__xludf.DUMMYFUNCTION("""COMPUTED_VALUE"""),44518)</f>
        <v>44518</v>
      </c>
      <c r="D44" s="25" t="str">
        <f ca="1">IFERROR(__xludf.DUMMYFUNCTION("""COMPUTED_VALUE"""),"Seguridad")</f>
        <v>Seguridad</v>
      </c>
      <c r="E44" s="25" t="str">
        <f ca="1">IFERROR(__xludf.DUMMYFUNCTION("""COMPUTED_VALUE"""),"Secretaría Distrital de Seguridad, Convivencia y Justicia")</f>
        <v>Secretaría Distrital de Seguridad, Convivencia y Justicia</v>
      </c>
      <c r="F44" s="25" t="str">
        <f ca="1">IFERROR(__xludf.DUMMYFUNCTION("""COMPUTED_VALUE"""),"Fortalecer la investigación criminal, en el sector del UNIR, sobre bandas criminales y ollas")</f>
        <v>Fortalecer la investigación criminal, en el sector del UNIR, sobre bandas criminales y ollas</v>
      </c>
      <c r="G44" s="55" t="str">
        <f ca="1">IFERROR(__xludf.DUMMYFUNCTION("""COMPUTED_VALUE"""),"10. Engativá")</f>
        <v>10. Engativá</v>
      </c>
      <c r="H44" s="55">
        <f ca="1">IFERROR(__xludf.DUMMYFUNCTION("""COMPUTED_VALUE"""),44548)</f>
        <v>44548</v>
      </c>
      <c r="I44" s="25"/>
      <c r="J44" s="55" t="str">
        <f ca="1">IFERROR(__xludf.DUMMYFUNCTION("""COMPUTED_VALUE"""),"Alta")</f>
        <v>Alta</v>
      </c>
      <c r="K44" s="25">
        <f ca="1">IFERROR(__xludf.DUMMYFUNCTION("""COMPUTED_VALUE"""),30)</f>
        <v>30</v>
      </c>
      <c r="L44" s="55">
        <f ca="1">IFERROR(__xludf.DUMMYFUNCTION("""COMPUTED_VALUE"""),44576)</f>
        <v>44576</v>
      </c>
      <c r="M44" s="25" t="str">
        <f ca="1">IFERROR(__xludf.DUMMYFUNCTION("""COMPUTED_VALUE"""),"Se generaron dos reportes de seguridad ciudadana frente a las dinámicas delictivas del sector de UNIR. Así mismo, se realizó mesa de trabajo con la comunidad del sector en el mes de noviembre. En el mes de diciembre se realizó mesa de intercambio de infor"&amp;"mación con la comunidad, a fin de caracterizar el contexto delincuencial de la zona y realizar la articulación para intervenciones correspondientes, en este sentido el 29/12/2021 se realizó intervención en el barrio UNIR en donde se verifico la informació"&amp;"n suministrada por la comunidad y se visitan seis establecimientos de comercio de estos se materializo la suspensión temporal de la actividad económica de un establecimiento. ")</f>
        <v xml:space="preserve">Se generaron dos reportes de seguridad ciudadana frente a las dinámicas delictivas del sector de UNIR. Así mismo, se realizó mesa de trabajo con la comunidad del sector en el mes de noviembre. En el mes de diciembre se realizó mesa de intercambio de información con la comunidad, a fin de caracterizar el contexto delincuencial de la zona y realizar la articulación para intervenciones correspondientes, en este sentido el 29/12/2021 se realizó intervención en el barrio UNIR en donde se verifico la información suministrada por la comunidad y se visitan seis establecimientos de comercio de estos se materializo la suspensión temporal de la actividad económica de un establecimiento. </v>
      </c>
      <c r="N44" s="55">
        <f ca="1">IFERROR(__xludf.DUMMYFUNCTION("""COMPUTED_VALUE"""),44576)</f>
        <v>44576</v>
      </c>
      <c r="O44" s="25" t="str">
        <f t="shared" ca="1" si="0"/>
        <v>Secretaría Distrital de Seguridad, Convivencia y Justicia</v>
      </c>
      <c r="P44" s="25" t="str">
        <f t="shared" si="1"/>
        <v/>
      </c>
      <c r="Q44" s="25" t="str">
        <f ca="1">IFERROR(__xludf.DUMMYFUNCTION("""COMPUTED_VALUE"""),"Corto plazo")</f>
        <v>Corto plazo</v>
      </c>
      <c r="R44" s="25"/>
      <c r="S44" s="55"/>
      <c r="T44" s="56"/>
      <c r="U44" s="25"/>
      <c r="V44" s="25"/>
      <c r="W44" s="25"/>
      <c r="X44" s="25"/>
      <c r="Y44" s="25"/>
      <c r="Z44" s="25"/>
    </row>
    <row r="45" spans="1:26" ht="52.5" customHeight="1" x14ac:dyDescent="0.25">
      <c r="A45" s="25" t="str">
        <f ca="1">IFERROR(__xludf.DUMMYFUNCTION("""COMPUTED_VALUE"""),"Segur43")</f>
        <v>Segur43</v>
      </c>
      <c r="B45" s="25" t="str">
        <f ca="1">IFERROR(__xludf.DUMMYFUNCTION("""COMPUTED_VALUE"""),"Despachando Mebog ")</f>
        <v xml:space="preserve">Despachando Mebog </v>
      </c>
      <c r="C45" s="55">
        <f ca="1">IFERROR(__xludf.DUMMYFUNCTION("""COMPUTED_VALUE"""),44518)</f>
        <v>44518</v>
      </c>
      <c r="D45" s="25" t="str">
        <f ca="1">IFERROR(__xludf.DUMMYFUNCTION("""COMPUTED_VALUE"""),"Seguridad")</f>
        <v>Seguridad</v>
      </c>
      <c r="E45" s="25" t="str">
        <f ca="1">IFERROR(__xludf.DUMMYFUNCTION("""COMPUTED_VALUE"""),"Secretaría Distrital de Seguridad, Convivencia y Justicia")</f>
        <v>Secretaría Distrital de Seguridad, Convivencia y Justicia</v>
      </c>
      <c r="F45" s="25" t="str">
        <f ca="1">IFERROR(__xludf.DUMMYFUNCTION("""COMPUTED_VALUE"""),"Activar el CAI Porvenir, debido a que el funcionamiento está con patrullas que corresponden al CAI Brasilia")</f>
        <v>Activar el CAI Porvenir, debido a que el funcionamiento está con patrullas que corresponden al CAI Brasilia</v>
      </c>
      <c r="G45" s="55" t="str">
        <f ca="1">IFERROR(__xludf.DUMMYFUNCTION("""COMPUTED_VALUE"""),"07. Bosa")</f>
        <v>07. Bosa</v>
      </c>
      <c r="H45" s="55">
        <f ca="1">IFERROR(__xludf.DUMMYFUNCTION("""COMPUTED_VALUE"""),44548)</f>
        <v>44548</v>
      </c>
      <c r="I45" s="25"/>
      <c r="J45" s="55" t="str">
        <f ca="1">IFERROR(__xludf.DUMMYFUNCTION("""COMPUTED_VALUE"""),"Alta")</f>
        <v>Alta</v>
      </c>
      <c r="K45" s="25">
        <f ca="1">IFERROR(__xludf.DUMMYFUNCTION("""COMPUTED_VALUE"""),30)</f>
        <v>30</v>
      </c>
      <c r="L45" s="55">
        <f ca="1">IFERROR(__xludf.DUMMYFUNCTION("""COMPUTED_VALUE"""),44576)</f>
        <v>44576</v>
      </c>
      <c r="M45" s="25" t="str">
        <f ca="1">IFERROR(__xludf.DUMMYFUNCTION("""COMPUTED_VALUE"""),"El cai ya se encuentra en funcionamiento")</f>
        <v>El cai ya se encuentra en funcionamiento</v>
      </c>
      <c r="N45" s="55">
        <f ca="1">IFERROR(__xludf.DUMMYFUNCTION("""COMPUTED_VALUE"""),44576)</f>
        <v>44576</v>
      </c>
      <c r="O45" s="25" t="str">
        <f t="shared" ca="1" si="0"/>
        <v>Secretaría Distrital de Seguridad, Convivencia y Justicia</v>
      </c>
      <c r="P45" s="25" t="str">
        <f t="shared" si="1"/>
        <v/>
      </c>
      <c r="Q45" s="25" t="str">
        <f ca="1">IFERROR(__xludf.DUMMYFUNCTION("""COMPUTED_VALUE"""),"Corto plazo")</f>
        <v>Corto plazo</v>
      </c>
      <c r="R45" s="25"/>
      <c r="S45" s="55"/>
      <c r="T45" s="56"/>
      <c r="U45" s="25"/>
      <c r="V45" s="25"/>
      <c r="W45" s="25"/>
      <c r="X45" s="25"/>
      <c r="Y45" s="25"/>
      <c r="Z45" s="25"/>
    </row>
    <row r="46" spans="1:26" ht="52.5" customHeight="1" x14ac:dyDescent="0.25">
      <c r="A46" s="25" t="str">
        <f ca="1">IFERROR(__xludf.DUMMYFUNCTION("""COMPUTED_VALUE"""),"Segur44")</f>
        <v>Segur44</v>
      </c>
      <c r="B46" s="25" t="str">
        <f ca="1">IFERROR(__xludf.DUMMYFUNCTION("""COMPUTED_VALUE"""),"Despachando Mebog ")</f>
        <v xml:space="preserve">Despachando Mebog </v>
      </c>
      <c r="C46" s="55">
        <f ca="1">IFERROR(__xludf.DUMMYFUNCTION("""COMPUTED_VALUE"""),44518)</f>
        <v>44518</v>
      </c>
      <c r="D46" s="25" t="str">
        <f ca="1">IFERROR(__xludf.DUMMYFUNCTION("""COMPUTED_VALUE"""),"Seguridad")</f>
        <v>Seguridad</v>
      </c>
      <c r="E46" s="25" t="str">
        <f ca="1">IFERROR(__xludf.DUMMYFUNCTION("""COMPUTED_VALUE"""),"Secretaría Distrital de Seguridad, Convivencia y Justicia")</f>
        <v>Secretaría Distrital de Seguridad, Convivencia y Justicia</v>
      </c>
      <c r="F46" s="25" t="str">
        <f ca="1">IFERROR(__xludf.DUMMYFUNCTION("""COMPUTED_VALUE"""),"Asignación de policía judicial y de investigación en la localidad para las redes de microtráfico en Brasilia, Porvenir, San José, San Bernardino, entre otras")</f>
        <v>Asignación de policía judicial y de investigación en la localidad para las redes de microtráfico en Brasilia, Porvenir, San José, San Bernardino, entre otras</v>
      </c>
      <c r="G46" s="55" t="str">
        <f ca="1">IFERROR(__xludf.DUMMYFUNCTION("""COMPUTED_VALUE"""),"07. Bosa")</f>
        <v>07. Bosa</v>
      </c>
      <c r="H46" s="55">
        <f ca="1">IFERROR(__xludf.DUMMYFUNCTION("""COMPUTED_VALUE"""),44548)</f>
        <v>44548</v>
      </c>
      <c r="I46" s="25"/>
      <c r="J46" s="55" t="str">
        <f ca="1">IFERROR(__xludf.DUMMYFUNCTION("""COMPUTED_VALUE"""),"Alta")</f>
        <v>Alta</v>
      </c>
      <c r="K46" s="25">
        <f ca="1">IFERROR(__xludf.DUMMYFUNCTION("""COMPUTED_VALUE"""),30)</f>
        <v>30</v>
      </c>
      <c r="L46" s="55">
        <f ca="1">IFERROR(__xludf.DUMMYFUNCTION("""COMPUTED_VALUE"""),44576)</f>
        <v>44576</v>
      </c>
      <c r="M46" s="25" t="str">
        <f ca="1">IFERROR(__xludf.DUMMYFUNCTION("""COMPUTED_VALUE"""),"Conforme a los procesos de investigación judicial para la localidad se encuentra asignada una patrulla SIJIN y SIPOL.")</f>
        <v>Conforme a los procesos de investigación judicial para la localidad se encuentra asignada una patrulla SIJIN y SIPOL.</v>
      </c>
      <c r="N46" s="55">
        <f ca="1">IFERROR(__xludf.DUMMYFUNCTION("""COMPUTED_VALUE"""),44576)</f>
        <v>44576</v>
      </c>
      <c r="O46" s="25" t="str">
        <f t="shared" ca="1" si="0"/>
        <v>Secretaría Distrital de Seguridad, Convivencia y Justicia</v>
      </c>
      <c r="P46" s="25" t="str">
        <f t="shared" si="1"/>
        <v/>
      </c>
      <c r="Q46" s="25" t="str">
        <f ca="1">IFERROR(__xludf.DUMMYFUNCTION("""COMPUTED_VALUE"""),"Corto plazo")</f>
        <v>Corto plazo</v>
      </c>
      <c r="R46" s="25"/>
      <c r="S46" s="55"/>
      <c r="T46" s="56"/>
      <c r="U46" s="25"/>
      <c r="V46" s="25"/>
      <c r="W46" s="25"/>
      <c r="X46" s="25"/>
      <c r="Y46" s="25"/>
      <c r="Z46" s="25"/>
    </row>
    <row r="47" spans="1:26" ht="52.5" customHeight="1" x14ac:dyDescent="0.25">
      <c r="A47" s="25" t="str">
        <f ca="1">IFERROR(__xludf.DUMMYFUNCTION("""COMPUTED_VALUE"""),"Segur45")</f>
        <v>Segur45</v>
      </c>
      <c r="B47" s="25" t="str">
        <f ca="1">IFERROR(__xludf.DUMMYFUNCTION("""COMPUTED_VALUE"""),"Despachando Mebog ")</f>
        <v xml:space="preserve">Despachando Mebog </v>
      </c>
      <c r="C47" s="55">
        <f ca="1">IFERROR(__xludf.DUMMYFUNCTION("""COMPUTED_VALUE"""),44518)</f>
        <v>44518</v>
      </c>
      <c r="D47" s="25" t="str">
        <f ca="1">IFERROR(__xludf.DUMMYFUNCTION("""COMPUTED_VALUE"""),"Seguridad")</f>
        <v>Seguridad</v>
      </c>
      <c r="E47" s="25" t="str">
        <f ca="1">IFERROR(__xludf.DUMMYFUNCTION("""COMPUTED_VALUE"""),"Secretaría Distrital de Seguridad, Convivencia y Justicia")</f>
        <v>Secretaría Distrital de Seguridad, Convivencia y Justicia</v>
      </c>
      <c r="F47" s="25" t="str">
        <f ca="1">IFERROR(__xludf.DUMMYFUNCTION("""COMPUTED_VALUE"""),"Revisar la situación de hacinamiento en la estación de Policía")</f>
        <v>Revisar la situación de hacinamiento en la estación de Policía</v>
      </c>
      <c r="G47" s="55" t="str">
        <f ca="1">IFERROR(__xludf.DUMMYFUNCTION("""COMPUTED_VALUE"""),"07. Bosa")</f>
        <v>07. Bosa</v>
      </c>
      <c r="H47" s="55">
        <f ca="1">IFERROR(__xludf.DUMMYFUNCTION("""COMPUTED_VALUE"""),44548)</f>
        <v>44548</v>
      </c>
      <c r="I47" s="25"/>
      <c r="J47" s="55" t="str">
        <f ca="1">IFERROR(__xludf.DUMMYFUNCTION("""COMPUTED_VALUE"""),"Alta")</f>
        <v>Alta</v>
      </c>
      <c r="K47" s="25">
        <f ca="1">IFERROR(__xludf.DUMMYFUNCTION("""COMPUTED_VALUE"""),30)</f>
        <v>30</v>
      </c>
      <c r="L47" s="55">
        <f ca="1">IFERROR(__xludf.DUMMYFUNCTION("""COMPUTED_VALUE"""),44782)</f>
        <v>44782</v>
      </c>
      <c r="M47" s="25" t="str">
        <f ca="1">IFERROR(__xludf.DUMMYFUNCTION("""COMPUTED_VALUE"""),"Según la Dirección de Bienes de la SDSCJ la estación está en intervención, tiene un presupuesto estimado de $714.733.581 de los cuales se han ejecutado al 25 de julio: $280.247.037. De otra parte, como la SCJ realiza acciones específicas para todas las es"&amp;"taciones de la ciudad, a través de la Dirección de la Cárcel Distrital y del CER y, de acuerdo con las solicitudes de las autoridades que custodian a las personas privadas de la libertad-PPL, viene trasladando a PPL de estaciones de policía de la ciudad h"&amp;"acia esos 2 equipamientos (en lo corrido de 2022 en la cárcel se han recibido 424 PPL de estaciones y 200 en el CER). Así mismo, se mantiene una articulación constante con la policía y el INPEC para los traslados necesarios de PPL que están recluidos en c"&amp;"entros de detención transitoria, de acuerdo con la oferta con la que se disponga.")</f>
        <v>Según la Dirección de Bienes de la SDSCJ la estación está en intervención, tiene un presupuesto estimado de $714.733.581 de los cuales se han ejecutado al 25 de julio: $280.247.037. De otra parte, como la SCJ realiza acciones específicas para todas las estaciones de la ciudad, a través de la Dirección de la Cárcel Distrital y del CER y, de acuerdo con las solicitudes de las autoridades que custodian a las personas privadas de la libertad-PPL, viene trasladando a PPL de estaciones de policía de la ciudad hacia esos 2 equipamientos (en lo corrido de 2022 en la cárcel se han recibido 424 PPL de estaciones y 200 en el CER). Así mismo, se mantiene una articulación constante con la policía y el INPEC para los traslados necesarios de PPL que están recluidos en centros de detención transitoria, de acuerdo con la oferta con la que se disponga.</v>
      </c>
      <c r="N47" s="55">
        <f ca="1">IFERROR(__xludf.DUMMYFUNCTION("""COMPUTED_VALUE"""),44782)</f>
        <v>44782</v>
      </c>
      <c r="O47" s="25" t="str">
        <f t="shared" ca="1" si="0"/>
        <v>Secretaría Distrital de Seguridad, Convivencia y Justicia</v>
      </c>
      <c r="P47" s="25" t="str">
        <f t="shared" si="1"/>
        <v/>
      </c>
      <c r="Q47" s="25" t="str">
        <f ca="1">IFERROR(__xludf.DUMMYFUNCTION("""COMPUTED_VALUE"""),"Corto plazo")</f>
        <v>Corto plazo</v>
      </c>
      <c r="R47" s="25"/>
      <c r="S47" s="55"/>
      <c r="T47" s="56"/>
      <c r="U47" s="25"/>
      <c r="V47" s="25"/>
      <c r="W47" s="25"/>
      <c r="X47" s="25"/>
      <c r="Y47" s="25"/>
      <c r="Z47" s="25"/>
    </row>
    <row r="48" spans="1:26" ht="52.5" customHeight="1" x14ac:dyDescent="0.25">
      <c r="A48" s="25" t="str">
        <f ca="1">IFERROR(__xludf.DUMMYFUNCTION("""COMPUTED_VALUE"""),"Segur46")</f>
        <v>Segur46</v>
      </c>
      <c r="B48" s="25" t="str">
        <f ca="1">IFERROR(__xludf.DUMMYFUNCTION("""COMPUTED_VALUE"""),"Despachando Mebog ")</f>
        <v xml:space="preserve">Despachando Mebog </v>
      </c>
      <c r="C48" s="55">
        <f ca="1">IFERROR(__xludf.DUMMYFUNCTION("""COMPUTED_VALUE"""),44518)</f>
        <v>44518</v>
      </c>
      <c r="D48" s="25" t="str">
        <f ca="1">IFERROR(__xludf.DUMMYFUNCTION("""COMPUTED_VALUE"""),"Seguridad")</f>
        <v>Seguridad</v>
      </c>
      <c r="E48" s="25" t="str">
        <f ca="1">IFERROR(__xludf.DUMMYFUNCTION("""COMPUTED_VALUE"""),"Secretaría Distrital de Seguridad, Convivencia y Justicia")</f>
        <v>Secretaría Distrital de Seguridad, Convivencia y Justicia</v>
      </c>
      <c r="F48" s="25" t="str">
        <f ca="1">IFERROR(__xludf.DUMMYFUNCTION("""COMPUTED_VALUE"""),"Implementar el cierre preventivo de bares que no cumplan con requisitos legales, para evitar el proceso de cierre definitivo")</f>
        <v>Implementar el cierre preventivo de bares que no cumplan con requisitos legales, para evitar el proceso de cierre definitivo</v>
      </c>
      <c r="G48" s="55" t="str">
        <f ca="1">IFERROR(__xludf.DUMMYFUNCTION("""COMPUTED_VALUE"""),"11. Suba")</f>
        <v>11. Suba</v>
      </c>
      <c r="H48" s="55">
        <f ca="1">IFERROR(__xludf.DUMMYFUNCTION("""COMPUTED_VALUE"""),44548)</f>
        <v>44548</v>
      </c>
      <c r="I48" s="25"/>
      <c r="J48" s="55" t="str">
        <f ca="1">IFERROR(__xludf.DUMMYFUNCTION("""COMPUTED_VALUE"""),"Alta")</f>
        <v>Alta</v>
      </c>
      <c r="K48" s="25">
        <f ca="1">IFERROR(__xludf.DUMMYFUNCTION("""COMPUTED_VALUE"""),30)</f>
        <v>30</v>
      </c>
      <c r="L48" s="55">
        <f ca="1">IFERROR(__xludf.DUMMYFUNCTION("""COMPUTED_VALUE"""),44576)</f>
        <v>44576</v>
      </c>
      <c r="M48" s="25" t="str">
        <f ca="1">IFERROR(__xludf.DUMMYFUNCTION("""COMPUTED_VALUE"""),"La Secretaría Distrital de Seguridad de manera articulada con la alcaldía local y la estación de policía de Suba, realizó operativos de inspección, vigilancia y control a establecimientos dedicados al expendio de bebidas embriagantes en puntos críticos po"&amp;"r comisión de delitos contra la vida.
 Se han realizado 29 operativos, con un total de 143 establecimientos visitados, de los cuales 85 fueron objeto de imposición de medida correctiva con suspensión temporal de la actividad económica.")</f>
        <v>La Secretaría Distrital de Seguridad de manera articulada con la alcaldía local y la estación de policía de Suba, realizó operativos de inspección, vigilancia y control a establecimientos dedicados al expendio de bebidas embriagantes en puntos críticos por comisión de delitos contra la vida.
 Se han realizado 29 operativos, con un total de 143 establecimientos visitados, de los cuales 85 fueron objeto de imposición de medida correctiva con suspensión temporal de la actividad económica.</v>
      </c>
      <c r="N48" s="55">
        <f ca="1">IFERROR(__xludf.DUMMYFUNCTION("""COMPUTED_VALUE"""),44576)</f>
        <v>44576</v>
      </c>
      <c r="O48" s="25" t="str">
        <f t="shared" ca="1" si="0"/>
        <v>Secretaría Distrital de Seguridad, Convivencia y Justicia</v>
      </c>
      <c r="P48" s="25" t="str">
        <f t="shared" si="1"/>
        <v/>
      </c>
      <c r="Q48" s="25" t="str">
        <f ca="1">IFERROR(__xludf.DUMMYFUNCTION("""COMPUTED_VALUE"""),"Corto plazo")</f>
        <v>Corto plazo</v>
      </c>
      <c r="R48" s="25"/>
      <c r="S48" s="55"/>
      <c r="T48" s="56"/>
      <c r="U48" s="25"/>
      <c r="V48" s="25"/>
      <c r="W48" s="25"/>
      <c r="X48" s="25"/>
      <c r="Y48" s="25"/>
      <c r="Z48" s="25"/>
    </row>
    <row r="49" spans="1:26" ht="52.5" customHeight="1" x14ac:dyDescent="0.25">
      <c r="A49" s="25" t="str">
        <f ca="1">IFERROR(__xludf.DUMMYFUNCTION("""COMPUTED_VALUE"""),"Segur47")</f>
        <v>Segur47</v>
      </c>
      <c r="B49" s="25" t="str">
        <f ca="1">IFERROR(__xludf.DUMMYFUNCTION("""COMPUTED_VALUE"""),"Despachando Mebog ")</f>
        <v xml:space="preserve">Despachando Mebog </v>
      </c>
      <c r="C49" s="55">
        <f ca="1">IFERROR(__xludf.DUMMYFUNCTION("""COMPUTED_VALUE"""),44518)</f>
        <v>44518</v>
      </c>
      <c r="D49" s="25" t="str">
        <f ca="1">IFERROR(__xludf.DUMMYFUNCTION("""COMPUTED_VALUE"""),"Seguridad")</f>
        <v>Seguridad</v>
      </c>
      <c r="E49" s="25" t="str">
        <f ca="1">IFERROR(__xludf.DUMMYFUNCTION("""COMPUTED_VALUE"""),"Secretaría Distrital de Seguridad, Convivencia y Justicia")</f>
        <v>Secretaría Distrital de Seguridad, Convivencia y Justicia</v>
      </c>
      <c r="F49" s="25" t="str">
        <f ca="1">IFERROR(__xludf.DUMMYFUNCTION("""COMPUTED_VALUE"""),"Fortalecer presencia de gestores para sensación de seguridad y control del territorio. Asimismo, realizar acciones de prevención con la Policía y la Secretaría de Seguridad.")</f>
        <v>Fortalecer presencia de gestores para sensación de seguridad y control del territorio. Asimismo, realizar acciones de prevención con la Policía y la Secretaría de Seguridad.</v>
      </c>
      <c r="G49" s="55" t="str">
        <f ca="1">IFERROR(__xludf.DUMMYFUNCTION("""COMPUTED_VALUE"""),"11. Suba")</f>
        <v>11. Suba</v>
      </c>
      <c r="H49" s="55">
        <f ca="1">IFERROR(__xludf.DUMMYFUNCTION("""COMPUTED_VALUE"""),44548)</f>
        <v>44548</v>
      </c>
      <c r="I49" s="25"/>
      <c r="J49" s="55" t="str">
        <f ca="1">IFERROR(__xludf.DUMMYFUNCTION("""COMPUTED_VALUE"""),"Alta")</f>
        <v>Alta</v>
      </c>
      <c r="K49" s="25">
        <f ca="1">IFERROR(__xludf.DUMMYFUNCTION("""COMPUTED_VALUE"""),30)</f>
        <v>30</v>
      </c>
      <c r="L49" s="55">
        <f ca="1">IFERROR(__xludf.DUMMYFUNCTION("""COMPUTED_VALUE"""),44576)</f>
        <v>44576</v>
      </c>
      <c r="M49" s="25" t="str">
        <f ca="1">IFERROR(__xludf.DUMMYFUNCTION("""COMPUTED_VALUE"""),"Se aumentó el número de Gestores de Conviencia en las diferentes localidades del Distrito, para asi apoyar las jornadas y actividades desarrollada con Policia y entidades del nivel local en pro del cumplimiento de las metas y de los planes de acción en el"&amp;" mejoramiento de la seguridad y convivencia. El grupo de gestores a la fecha ha acompañado 1.748 acciones, entre lo cuales se encuentran acompañamientos y apoyos interinstitucionales, atención a la protesta social (plantones, bloqueos) así como Monitoreos"&amp;" preventivos")</f>
        <v>Se aumentó el número de Gestores de Conviencia en las diferentes localidades del Distrito, para asi apoyar las jornadas y actividades desarrollada con Policia y entidades del nivel local en pro del cumplimiento de las metas y de los planes de acción en el mejoramiento de la seguridad y convivencia. El grupo de gestores a la fecha ha acompañado 1.748 acciones, entre lo cuales se encuentran acompañamientos y apoyos interinstitucionales, atención a la protesta social (plantones, bloqueos) así como Monitoreos preventivos</v>
      </c>
      <c r="N49" s="55">
        <f ca="1">IFERROR(__xludf.DUMMYFUNCTION("""COMPUTED_VALUE"""),44576)</f>
        <v>44576</v>
      </c>
      <c r="O49" s="25" t="str">
        <f t="shared" ca="1" si="0"/>
        <v>Secretaría Distrital de Seguridad, Convivencia y Justicia</v>
      </c>
      <c r="P49" s="25" t="str">
        <f t="shared" si="1"/>
        <v/>
      </c>
      <c r="Q49" s="25" t="str">
        <f ca="1">IFERROR(__xludf.DUMMYFUNCTION("""COMPUTED_VALUE"""),"Corto plazo")</f>
        <v>Corto plazo</v>
      </c>
      <c r="R49" s="25"/>
      <c r="S49" s="55"/>
      <c r="T49" s="56"/>
      <c r="U49" s="25"/>
      <c r="V49" s="25"/>
      <c r="W49" s="25"/>
      <c r="X49" s="25"/>
      <c r="Y49" s="25"/>
      <c r="Z49" s="25"/>
    </row>
    <row r="50" spans="1:26" ht="52.5" customHeight="1" x14ac:dyDescent="0.25">
      <c r="A50" s="25" t="str">
        <f ca="1">IFERROR(__xludf.DUMMYFUNCTION("""COMPUTED_VALUE"""),"Segur48")</f>
        <v>Segur48</v>
      </c>
      <c r="B50" s="25" t="str">
        <f ca="1">IFERROR(__xludf.DUMMYFUNCTION("""COMPUTED_VALUE"""),"Despachando Mebog ")</f>
        <v xml:space="preserve">Despachando Mebog </v>
      </c>
      <c r="C50" s="55">
        <f ca="1">IFERROR(__xludf.DUMMYFUNCTION("""COMPUTED_VALUE"""),44518)</f>
        <v>44518</v>
      </c>
      <c r="D50" s="25" t="str">
        <f ca="1">IFERROR(__xludf.DUMMYFUNCTION("""COMPUTED_VALUE"""),"Seguridad")</f>
        <v>Seguridad</v>
      </c>
      <c r="E50" s="25" t="str">
        <f ca="1">IFERROR(__xludf.DUMMYFUNCTION("""COMPUTED_VALUE"""),"Secretaría Distrital de Seguridad, Convivencia y Justicia")</f>
        <v>Secretaría Distrital de Seguridad, Convivencia y Justicia</v>
      </c>
      <c r="F50" s="25" t="str">
        <f ca="1">IFERROR(__xludf.DUMMYFUNCTION("""COMPUTED_VALUE"""),"Evaluar la posibilidad de tener un nuevo CAI en la localidad de Suba, atendiendo a las problemáticas de jurisdicción relacionadas con el CAI La Gaitana")</f>
        <v>Evaluar la posibilidad de tener un nuevo CAI en la localidad de Suba, atendiendo a las problemáticas de jurisdicción relacionadas con el CAI La Gaitana</v>
      </c>
      <c r="G50" s="55" t="str">
        <f ca="1">IFERROR(__xludf.DUMMYFUNCTION("""COMPUTED_VALUE"""),"11. Suba")</f>
        <v>11. Suba</v>
      </c>
      <c r="H50" s="55">
        <f ca="1">IFERROR(__xludf.DUMMYFUNCTION("""COMPUTED_VALUE"""),44548)</f>
        <v>44548</v>
      </c>
      <c r="I50" s="25"/>
      <c r="J50" s="55" t="str">
        <f ca="1">IFERROR(__xludf.DUMMYFUNCTION("""COMPUTED_VALUE"""),"Alta")</f>
        <v>Alta</v>
      </c>
      <c r="K50" s="25">
        <f ca="1">IFERROR(__xludf.DUMMYFUNCTION("""COMPUTED_VALUE"""),30)</f>
        <v>30</v>
      </c>
      <c r="L50" s="55">
        <f ca="1">IFERROR(__xludf.DUMMYFUNCTION("""COMPUTED_VALUE"""),44576)</f>
        <v>44576</v>
      </c>
      <c r="M50" s="25" t="str">
        <f ca="1">IFERROR(__xludf.DUMMYFUNCTION("""COMPUTED_VALUE"""),"No es posible la construcción de un nuevo CAI en la zona. Sin embargo, actualmente se cuenta con un CAI Móvil en la Gaitana, para cubrir distintos puntos identificados.")</f>
        <v>No es posible la construcción de un nuevo CAI en la zona. Sin embargo, actualmente se cuenta con un CAI Móvil en la Gaitana, para cubrir distintos puntos identificados.</v>
      </c>
      <c r="N50" s="55">
        <f ca="1">IFERROR(__xludf.DUMMYFUNCTION("""COMPUTED_VALUE"""),44576)</f>
        <v>44576</v>
      </c>
      <c r="O50" s="25" t="str">
        <f t="shared" ca="1" si="0"/>
        <v>Secretaría Distrital de Seguridad, Convivencia y Justicia</v>
      </c>
      <c r="P50" s="25" t="str">
        <f t="shared" si="1"/>
        <v/>
      </c>
      <c r="Q50" s="25" t="str">
        <f ca="1">IFERROR(__xludf.DUMMYFUNCTION("""COMPUTED_VALUE"""),"Corto plazo")</f>
        <v>Corto plazo</v>
      </c>
      <c r="R50" s="25"/>
      <c r="S50" s="55"/>
      <c r="T50" s="56"/>
      <c r="U50" s="25"/>
      <c r="V50" s="25"/>
      <c r="W50" s="25"/>
      <c r="X50" s="25"/>
      <c r="Y50" s="25"/>
      <c r="Z50" s="25"/>
    </row>
    <row r="51" spans="1:26" ht="52.5" customHeight="1" x14ac:dyDescent="0.25">
      <c r="A51" s="25" t="str">
        <f ca="1">IFERROR(__xludf.DUMMYFUNCTION("""COMPUTED_VALUE"""),"Segur49")</f>
        <v>Segur49</v>
      </c>
      <c r="B51" s="25" t="str">
        <f ca="1">IFERROR(__xludf.DUMMYFUNCTION("""COMPUTED_VALUE"""),"Despachando Mebog ")</f>
        <v xml:space="preserve">Despachando Mebog </v>
      </c>
      <c r="C51" s="55">
        <f ca="1">IFERROR(__xludf.DUMMYFUNCTION("""COMPUTED_VALUE"""),44518)</f>
        <v>44518</v>
      </c>
      <c r="D51" s="25" t="str">
        <f ca="1">IFERROR(__xludf.DUMMYFUNCTION("""COMPUTED_VALUE"""),"Seguridad")</f>
        <v>Seguridad</v>
      </c>
      <c r="E51" s="25" t="str">
        <f ca="1">IFERROR(__xludf.DUMMYFUNCTION("""COMPUTED_VALUE"""),"Secretaría Distrital de Seguridad, Convivencia y Justicia")</f>
        <v>Secretaría Distrital de Seguridad, Convivencia y Justicia</v>
      </c>
      <c r="F51" s="25" t="str">
        <f ca="1">IFERROR(__xludf.DUMMYFUNCTION("""COMPUTED_VALUE"""),"Realizar megatomas los fines de semana en la localidad de Suba, para fortalecer la presencia institucional en distintas zonas y realizar actividades disuasorias")</f>
        <v>Realizar megatomas los fines de semana en la localidad de Suba, para fortalecer la presencia institucional en distintas zonas y realizar actividades disuasorias</v>
      </c>
      <c r="G51" s="55" t="str">
        <f ca="1">IFERROR(__xludf.DUMMYFUNCTION("""COMPUTED_VALUE"""),"11. Suba")</f>
        <v>11. Suba</v>
      </c>
      <c r="H51" s="55">
        <f ca="1">IFERROR(__xludf.DUMMYFUNCTION("""COMPUTED_VALUE"""),44548)</f>
        <v>44548</v>
      </c>
      <c r="I51" s="25"/>
      <c r="J51" s="55" t="str">
        <f ca="1">IFERROR(__xludf.DUMMYFUNCTION("""COMPUTED_VALUE"""),"Alta")</f>
        <v>Alta</v>
      </c>
      <c r="K51" s="25">
        <f ca="1">IFERROR(__xludf.DUMMYFUNCTION("""COMPUTED_VALUE"""),30)</f>
        <v>30</v>
      </c>
      <c r="L51" s="55">
        <f ca="1">IFERROR(__xludf.DUMMYFUNCTION("""COMPUTED_VALUE"""),44576)</f>
        <v>44576</v>
      </c>
      <c r="M51" s="25" t="str">
        <f ca="1">IFERROR(__xludf.DUMMYFUNCTION("""COMPUTED_VALUE"""),"Se realizó una focalización de megatomas en Suba para dos intervenciones con Policía, Ejército, Rentas de Cundinamarca, Migración Colombia, Alcaldía Local e ICBF. Adicionalmente con el Alcalde Local y el Subsecretario de Seguridad se realizaron dos Patrul"&amp;"lANDO sociales. 31/12/2021: En el marco de la estrategia Pan Navidad, el 23 de diciembre se desarrolla Megatoma en la localidad de Suba. Destacando los siguientes resultados: 11 establecimientos de alto impacto visitados, 6 suspensiones temporales de la a"&amp;"ctividad económica, dos cierres preventivos y verificación de 6 vehiculos.")</f>
        <v>Se realizó una focalización de megatomas en Suba para dos intervenciones con Policía, Ejército, Rentas de Cundinamarca, Migración Colombia, Alcaldía Local e ICBF. Adicionalmente con el Alcalde Local y el Subsecretario de Seguridad se realizaron dos PatrullANDO sociales. 31/12/2021: En el marco de la estrategia Pan Navidad, el 23 de diciembre se desarrolla Megatoma en la localidad de Suba. Destacando los siguientes resultados: 11 establecimientos de alto impacto visitados, 6 suspensiones temporales de la actividad económica, dos cierres preventivos y verificación de 6 vehiculos.</v>
      </c>
      <c r="N51" s="55">
        <f ca="1">IFERROR(__xludf.DUMMYFUNCTION("""COMPUTED_VALUE"""),44576)</f>
        <v>44576</v>
      </c>
      <c r="O51" s="25" t="str">
        <f t="shared" ca="1" si="0"/>
        <v>Secretaría Distrital de Seguridad, Convivencia y Justicia</v>
      </c>
      <c r="P51" s="25" t="str">
        <f t="shared" si="1"/>
        <v/>
      </c>
      <c r="Q51" s="25" t="str">
        <f ca="1">IFERROR(__xludf.DUMMYFUNCTION("""COMPUTED_VALUE"""),"Corto plazo")</f>
        <v>Corto plazo</v>
      </c>
      <c r="R51" s="25"/>
      <c r="S51" s="55"/>
      <c r="T51" s="56"/>
      <c r="U51" s="25"/>
      <c r="V51" s="25"/>
      <c r="W51" s="25"/>
      <c r="X51" s="25"/>
      <c r="Y51" s="25"/>
      <c r="Z51" s="25"/>
    </row>
    <row r="52" spans="1:26" ht="52.5" customHeight="1" x14ac:dyDescent="0.25">
      <c r="A52" s="25" t="str">
        <f ca="1">IFERROR(__xludf.DUMMYFUNCTION("""COMPUTED_VALUE"""),"Segur50")</f>
        <v>Segur50</v>
      </c>
      <c r="B52" s="25" t="str">
        <f ca="1">IFERROR(__xludf.DUMMYFUNCTION("""COMPUTED_VALUE"""),"Despachando Mebog ")</f>
        <v xml:space="preserve">Despachando Mebog </v>
      </c>
      <c r="C52" s="55">
        <f ca="1">IFERROR(__xludf.DUMMYFUNCTION("""COMPUTED_VALUE"""),44518)</f>
        <v>44518</v>
      </c>
      <c r="D52" s="25" t="str">
        <f ca="1">IFERROR(__xludf.DUMMYFUNCTION("""COMPUTED_VALUE"""),"Seguridad")</f>
        <v>Seguridad</v>
      </c>
      <c r="E52" s="25" t="str">
        <f ca="1">IFERROR(__xludf.DUMMYFUNCTION("""COMPUTED_VALUE"""),"Secretaría Distrital de Seguridad, Convivencia y Justicia")</f>
        <v>Secretaría Distrital de Seguridad, Convivencia y Justicia</v>
      </c>
      <c r="F52" s="25" t="str">
        <f ca="1">IFERROR(__xludf.DUMMYFUNCTION("""COMPUTED_VALUE"""),"Reestructurar el CAI Granada porque no tiene la capacidad de cuadrantes")</f>
        <v>Reestructurar el CAI Granada porque no tiene la capacidad de cuadrantes</v>
      </c>
      <c r="G52" s="55" t="str">
        <f ca="1">IFERROR(__xludf.DUMMYFUNCTION("""COMPUTED_VALUE"""),"02. Chapinero")</f>
        <v>02. Chapinero</v>
      </c>
      <c r="H52" s="55">
        <f ca="1">IFERROR(__xludf.DUMMYFUNCTION("""COMPUTED_VALUE"""),44548)</f>
        <v>44548</v>
      </c>
      <c r="I52" s="25"/>
      <c r="J52" s="55" t="str">
        <f ca="1">IFERROR(__xludf.DUMMYFUNCTION("""COMPUTED_VALUE"""),"Alta")</f>
        <v>Alta</v>
      </c>
      <c r="K52" s="25">
        <f ca="1">IFERROR(__xludf.DUMMYFUNCTION("""COMPUTED_VALUE"""),30)</f>
        <v>30</v>
      </c>
      <c r="L52" s="55">
        <f ca="1">IFERROR(__xludf.DUMMYFUNCTION("""COMPUTED_VALUE"""),44616)</f>
        <v>44616</v>
      </c>
      <c r="M52" s="25" t="str">
        <f ca="1">IFERROR(__xludf.DUMMYFUNCTION("""COMPUTED_VALUE"""),"Conforme a la disponibilidad de personal en la MEBOG, fueron suplidas las vacantes de integrantes de patrulla de vigilancia y auxiliar de información del CAI")</f>
        <v>Conforme a la disponibilidad de personal en la MEBOG, fueron suplidas las vacantes de integrantes de patrulla de vigilancia y auxiliar de información del CAI</v>
      </c>
      <c r="N52" s="55">
        <f ca="1">IFERROR(__xludf.DUMMYFUNCTION("""COMPUTED_VALUE"""),44616)</f>
        <v>44616</v>
      </c>
      <c r="O52" s="25" t="str">
        <f t="shared" ca="1" si="0"/>
        <v>Secretaría Distrital de Seguridad, Convivencia y Justicia</v>
      </c>
      <c r="P52" s="25" t="str">
        <f t="shared" si="1"/>
        <v/>
      </c>
      <c r="Q52" s="25" t="str">
        <f ca="1">IFERROR(__xludf.DUMMYFUNCTION("""COMPUTED_VALUE"""),"Corto plazo")</f>
        <v>Corto plazo</v>
      </c>
      <c r="R52" s="25"/>
      <c r="S52" s="55"/>
      <c r="T52" s="56"/>
      <c r="U52" s="25"/>
      <c r="V52" s="25"/>
      <c r="W52" s="25"/>
      <c r="X52" s="25"/>
      <c r="Y52" s="25"/>
      <c r="Z52" s="25"/>
    </row>
    <row r="53" spans="1:26" ht="52.5" customHeight="1" x14ac:dyDescent="0.25">
      <c r="A53" s="25" t="str">
        <f ca="1">IFERROR(__xludf.DUMMYFUNCTION("""COMPUTED_VALUE"""),"Segur51")</f>
        <v>Segur51</v>
      </c>
      <c r="B53" s="25" t="str">
        <f ca="1">IFERROR(__xludf.DUMMYFUNCTION("""COMPUTED_VALUE"""),"Despachando Mebog ")</f>
        <v xml:space="preserve">Despachando Mebog </v>
      </c>
      <c r="C53" s="55">
        <f ca="1">IFERROR(__xludf.DUMMYFUNCTION("""COMPUTED_VALUE"""),44518)</f>
        <v>44518</v>
      </c>
      <c r="D53" s="25" t="str">
        <f ca="1">IFERROR(__xludf.DUMMYFUNCTION("""COMPUTED_VALUE"""),"Seguridad")</f>
        <v>Seguridad</v>
      </c>
      <c r="E53" s="25" t="str">
        <f ca="1">IFERROR(__xludf.DUMMYFUNCTION("""COMPUTED_VALUE"""),"Secretaría Distrital de Seguridad, Convivencia y Justicia")</f>
        <v>Secretaría Distrital de Seguridad, Convivencia y Justicia</v>
      </c>
      <c r="F53" s="25" t="str">
        <f ca="1">IFERROR(__xludf.DUMMYFUNCTION("""COMPUTED_VALUE"""),"Fortalecer la aplicación de la estrategia de habitabilidad en calle")</f>
        <v>Fortalecer la aplicación de la estrategia de habitabilidad en calle</v>
      </c>
      <c r="G53" s="55" t="str">
        <f ca="1">IFERROR(__xludf.DUMMYFUNCTION("""COMPUTED_VALUE"""),"13. Teusaquillo")</f>
        <v>13. Teusaquillo</v>
      </c>
      <c r="H53" s="55">
        <f ca="1">IFERROR(__xludf.DUMMYFUNCTION("""COMPUTED_VALUE"""),44548)</f>
        <v>44548</v>
      </c>
      <c r="I53" s="25"/>
      <c r="J53" s="55" t="str">
        <f ca="1">IFERROR(__xludf.DUMMYFUNCTION("""COMPUTED_VALUE"""),"Alta")</f>
        <v>Alta</v>
      </c>
      <c r="K53" s="25">
        <f ca="1">IFERROR(__xludf.DUMMYFUNCTION("""COMPUTED_VALUE"""),30)</f>
        <v>30</v>
      </c>
      <c r="L53" s="55">
        <f ca="1">IFERROR(__xludf.DUMMYFUNCTION("""COMPUTED_VALUE"""),44576)</f>
        <v>44576</v>
      </c>
      <c r="M53" s="25" t="str">
        <f ca="1">IFERROR(__xludf.DUMMYFUNCTION("""COMPUTED_VALUE"""),"En articulación con la Secretaria Distrital de Integración Social y el IDIPRON, se viene fortaleciendo las estrategia para la atención del fenomeno de habitabilidad en calle a traves de la Tropa social de rescate nocturno, donde se han realizado (61) jorn"&amp;"adas de atención y abordaje para prevenir el homicidio con victima ciudadano habitante de calle, asi  como las demas acciones que contempla la estrategia ""Plan de seguridad para ciudadanos y ciudadanas habitantes de calle"", tales como participación en l"&amp;"a mesa local de habitabilidad en calle mes a mes, acercar la oferta de seguridad y justicia para prevenir la instrumentalización de ciudadanos y ciudadanas habitantes de calle para comisión de delitos, y orientación en rutas de denuncia a dicha población "&amp;"en la localidad de Teusaquillo.")</f>
        <v>En articulación con la Secretaria Distrital de Integración Social y el IDIPRON, se viene fortaleciendo las estrategia para la atención del fenomeno de habitabilidad en calle a traves de la Tropa social de rescate nocturno, donde se han realizado (61) jornadas de atención y abordaje para prevenir el homicidio con victima ciudadano habitante de calle, asi  como las demas acciones que contempla la estrategia "Plan de seguridad para ciudadanos y ciudadanas habitantes de calle", tales como participación en la mesa local de habitabilidad en calle mes a mes, acercar la oferta de seguridad y justicia para prevenir la instrumentalización de ciudadanos y ciudadanas habitantes de calle para comisión de delitos, y orientación en rutas de denuncia a dicha población en la localidad de Teusaquillo.</v>
      </c>
      <c r="N53" s="55">
        <f ca="1">IFERROR(__xludf.DUMMYFUNCTION("""COMPUTED_VALUE"""),44576)</f>
        <v>44576</v>
      </c>
      <c r="O53" s="25" t="str">
        <f t="shared" ca="1" si="0"/>
        <v>Secretaría Distrital de Seguridad, Convivencia y Justicia</v>
      </c>
      <c r="P53" s="25" t="str">
        <f t="shared" si="1"/>
        <v/>
      </c>
      <c r="Q53" s="25" t="str">
        <f ca="1">IFERROR(__xludf.DUMMYFUNCTION("""COMPUTED_VALUE"""),"Corto plazo")</f>
        <v>Corto plazo</v>
      </c>
      <c r="R53" s="25"/>
      <c r="S53" s="55"/>
      <c r="T53" s="56"/>
      <c r="U53" s="25"/>
      <c r="V53" s="25"/>
      <c r="W53" s="25"/>
      <c r="X53" s="25"/>
      <c r="Y53" s="25"/>
      <c r="Z53" s="25"/>
    </row>
    <row r="54" spans="1:26" ht="52.5" customHeight="1" x14ac:dyDescent="0.25">
      <c r="A54" s="25" t="str">
        <f ca="1">IFERROR(__xludf.DUMMYFUNCTION("""COMPUTED_VALUE"""),"Segur52")</f>
        <v>Segur52</v>
      </c>
      <c r="B54" s="25" t="str">
        <f ca="1">IFERROR(__xludf.DUMMYFUNCTION("""COMPUTED_VALUE"""),"Despachando Mebog ")</f>
        <v xml:space="preserve">Despachando Mebog </v>
      </c>
      <c r="C54" s="55">
        <f ca="1">IFERROR(__xludf.DUMMYFUNCTION("""COMPUTED_VALUE"""),44518)</f>
        <v>44518</v>
      </c>
      <c r="D54" s="25" t="str">
        <f ca="1">IFERROR(__xludf.DUMMYFUNCTION("""COMPUTED_VALUE"""),"Seguridad")</f>
        <v>Seguridad</v>
      </c>
      <c r="E54" s="25" t="str">
        <f ca="1">IFERROR(__xludf.DUMMYFUNCTION("""COMPUTED_VALUE"""),"Secretaría Distrital de Seguridad, Convivencia y Justicia")</f>
        <v>Secretaría Distrital de Seguridad, Convivencia y Justicia</v>
      </c>
      <c r="F54" s="25" t="str">
        <f ca="1">IFERROR(__xludf.DUMMYFUNCTION("""COMPUTED_VALUE"""),"SIPOL debe entregar el informe sobre allanamientos en San Luis a la Alcaldía Local")</f>
        <v>SIPOL debe entregar el informe sobre allanamientos en San Luis a la Alcaldía Local</v>
      </c>
      <c r="G54" s="55" t="str">
        <f ca="1">IFERROR(__xludf.DUMMYFUNCTION("""COMPUTED_VALUE"""),"13. Teusaquillo")</f>
        <v>13. Teusaquillo</v>
      </c>
      <c r="H54" s="55">
        <f ca="1">IFERROR(__xludf.DUMMYFUNCTION("""COMPUTED_VALUE"""),44548)</f>
        <v>44548</v>
      </c>
      <c r="I54" s="25"/>
      <c r="J54" s="55" t="str">
        <f ca="1">IFERROR(__xludf.DUMMYFUNCTION("""COMPUTED_VALUE"""),"Alta")</f>
        <v>Alta</v>
      </c>
      <c r="K54" s="25">
        <f ca="1">IFERROR(__xludf.DUMMYFUNCTION("""COMPUTED_VALUE"""),30)</f>
        <v>30</v>
      </c>
      <c r="L54" s="55">
        <f ca="1">IFERROR(__xludf.DUMMYFUNCTION("""COMPUTED_VALUE"""),44576)</f>
        <v>44576</v>
      </c>
      <c r="M54" s="25" t="str">
        <f ca="1">IFERROR(__xludf.DUMMYFUNCTION("""COMPUTED_VALUE"""),"Se entregó el informe y se tienen pendientes las coordinaciones y acciones por parte de la Alcaldía Local")</f>
        <v>Se entregó el informe y se tienen pendientes las coordinaciones y acciones por parte de la Alcaldía Local</v>
      </c>
      <c r="N54" s="55">
        <f ca="1">IFERROR(__xludf.DUMMYFUNCTION("""COMPUTED_VALUE"""),44576)</f>
        <v>44576</v>
      </c>
      <c r="O54" s="25" t="str">
        <f t="shared" ca="1" si="0"/>
        <v>Secretaría Distrital de Seguridad, Convivencia y Justicia</v>
      </c>
      <c r="P54" s="25" t="str">
        <f t="shared" si="1"/>
        <v/>
      </c>
      <c r="Q54" s="25" t="str">
        <f ca="1">IFERROR(__xludf.DUMMYFUNCTION("""COMPUTED_VALUE"""),"Corto plazo")</f>
        <v>Corto plazo</v>
      </c>
      <c r="R54" s="25"/>
      <c r="S54" s="55"/>
      <c r="T54" s="56"/>
      <c r="U54" s="25"/>
      <c r="V54" s="25"/>
      <c r="W54" s="25"/>
      <c r="X54" s="25"/>
      <c r="Y54" s="25"/>
      <c r="Z54" s="25"/>
    </row>
    <row r="55" spans="1:26" ht="52.5" customHeight="1" x14ac:dyDescent="0.25">
      <c r="A55" s="25" t="str">
        <f ca="1">IFERROR(__xludf.DUMMYFUNCTION("""COMPUTED_VALUE"""),"Segur53")</f>
        <v>Segur53</v>
      </c>
      <c r="B55" s="25" t="str">
        <f ca="1">IFERROR(__xludf.DUMMYFUNCTION("""COMPUTED_VALUE"""),"Despachando Mebog ")</f>
        <v xml:space="preserve">Despachando Mebog </v>
      </c>
      <c r="C55" s="55">
        <f ca="1">IFERROR(__xludf.DUMMYFUNCTION("""COMPUTED_VALUE"""),44518)</f>
        <v>44518</v>
      </c>
      <c r="D55" s="25" t="str">
        <f ca="1">IFERROR(__xludf.DUMMYFUNCTION("""COMPUTED_VALUE"""),"Seguridad")</f>
        <v>Seguridad</v>
      </c>
      <c r="E55" s="25" t="str">
        <f ca="1">IFERROR(__xludf.DUMMYFUNCTION("""COMPUTED_VALUE"""),"Secretaría Distrital de Seguridad, Convivencia y Justicia")</f>
        <v>Secretaría Distrital de Seguridad, Convivencia y Justicia</v>
      </c>
      <c r="F55" s="25" t="str">
        <f ca="1">IFERROR(__xludf.DUMMYFUNCTION("""COMPUTED_VALUE"""),"Llevar a cabo operativos en los locales de venta de animales donde haya expendio de estupefacientes")</f>
        <v>Llevar a cabo operativos en los locales de venta de animales donde haya expendio de estupefacientes</v>
      </c>
      <c r="G55" s="55" t="str">
        <f ca="1">IFERROR(__xludf.DUMMYFUNCTION("""COMPUTED_VALUE"""),"13. Teusaquillo")</f>
        <v>13. Teusaquillo</v>
      </c>
      <c r="H55" s="55">
        <f ca="1">IFERROR(__xludf.DUMMYFUNCTION("""COMPUTED_VALUE"""),44548)</f>
        <v>44548</v>
      </c>
      <c r="I55" s="25"/>
      <c r="J55" s="55" t="str">
        <f ca="1">IFERROR(__xludf.DUMMYFUNCTION("""COMPUTED_VALUE"""),"Alta")</f>
        <v>Alta</v>
      </c>
      <c r="K55" s="25">
        <f ca="1">IFERROR(__xludf.DUMMYFUNCTION("""COMPUTED_VALUE"""),30)</f>
        <v>30</v>
      </c>
      <c r="L55" s="55">
        <f ca="1">IFERROR(__xludf.DUMMYFUNCTION("""COMPUTED_VALUE"""),44576)</f>
        <v>44576</v>
      </c>
      <c r="M55" s="25" t="str">
        <f ca="1">IFERROR(__xludf.DUMMYFUNCTION("""COMPUTED_VALUE"""),"A partir de la estrategia para la reducción del tráfico de estupefacientes se adelantará un operativo coordinado con la Policía Nacional en el marco de Plan Navidad. Conforme con las acciones de articulación y las necesidades locales desde la Alcaldía Loc"&amp;"al de Teusaquillo se realizó un operativo en los locales de venta de animales el 04/12/2021, no se evidencias situaciones en materia de seguridad, sin embargo, frente a protección ambiental se realizó aprensión material preventiva a dos felinos y un ave.")</f>
        <v>A partir de la estrategia para la reducción del tráfico de estupefacientes se adelantará un operativo coordinado con la Policía Nacional en el marco de Plan Navidad. Conforme con las acciones de articulación y las necesidades locales desde la Alcaldía Local de Teusaquillo se realizó un operativo en los locales de venta de animales el 04/12/2021, no se evidencias situaciones en materia de seguridad, sin embargo, frente a protección ambiental se realizó aprensión material preventiva a dos felinos y un ave.</v>
      </c>
      <c r="N55" s="55">
        <f ca="1">IFERROR(__xludf.DUMMYFUNCTION("""COMPUTED_VALUE"""),44576)</f>
        <v>44576</v>
      </c>
      <c r="O55" s="25" t="str">
        <f t="shared" ca="1" si="0"/>
        <v>Secretaría Distrital de Seguridad, Convivencia y Justicia</v>
      </c>
      <c r="P55" s="25" t="str">
        <f t="shared" si="1"/>
        <v/>
      </c>
      <c r="Q55" s="25" t="str">
        <f ca="1">IFERROR(__xludf.DUMMYFUNCTION("""COMPUTED_VALUE"""),"Corto plazo")</f>
        <v>Corto plazo</v>
      </c>
      <c r="R55" s="25"/>
      <c r="S55" s="55"/>
      <c r="T55" s="56"/>
      <c r="U55" s="25"/>
      <c r="V55" s="25"/>
      <c r="W55" s="25"/>
      <c r="X55" s="25"/>
      <c r="Y55" s="25"/>
      <c r="Z55" s="25"/>
    </row>
    <row r="56" spans="1:26" ht="52.5" customHeight="1" x14ac:dyDescent="0.25">
      <c r="A56" s="25" t="str">
        <f ca="1">IFERROR(__xludf.DUMMYFUNCTION("""COMPUTED_VALUE"""),"Segur54")</f>
        <v>Segur54</v>
      </c>
      <c r="B56" s="25" t="str">
        <f ca="1">IFERROR(__xludf.DUMMYFUNCTION("""COMPUTED_VALUE"""),"Despachando Mebog ")</f>
        <v xml:space="preserve">Despachando Mebog </v>
      </c>
      <c r="C56" s="55">
        <f ca="1">IFERROR(__xludf.DUMMYFUNCTION("""COMPUTED_VALUE"""),44518)</f>
        <v>44518</v>
      </c>
      <c r="D56" s="25" t="str">
        <f ca="1">IFERROR(__xludf.DUMMYFUNCTION("""COMPUTED_VALUE"""),"Seguridad")</f>
        <v>Seguridad</v>
      </c>
      <c r="E56" s="25" t="str">
        <f ca="1">IFERROR(__xludf.DUMMYFUNCTION("""COMPUTED_VALUE"""),"Secretaría Distrital de Seguridad, Convivencia y Justicia")</f>
        <v>Secretaría Distrital de Seguridad, Convivencia y Justicia</v>
      </c>
      <c r="F56" s="25" t="str">
        <f ca="1">IFERROR(__xludf.DUMMYFUNCTION("""COMPUTED_VALUE"""),"Las estrategias de seguridad realizadas en la localidad  deben ser sostenibles")</f>
        <v>Las estrategias de seguridad realizadas en la localidad  deben ser sostenibles</v>
      </c>
      <c r="G56" s="55" t="str">
        <f ca="1">IFERROR(__xludf.DUMMYFUNCTION("""COMPUTED_VALUE"""),"14. Martires")</f>
        <v>14. Martires</v>
      </c>
      <c r="H56" s="55">
        <f ca="1">IFERROR(__xludf.DUMMYFUNCTION("""COMPUTED_VALUE"""),44548)</f>
        <v>44548</v>
      </c>
      <c r="I56" s="25"/>
      <c r="J56" s="55" t="str">
        <f ca="1">IFERROR(__xludf.DUMMYFUNCTION("""COMPUTED_VALUE"""),"Alta")</f>
        <v>Alta</v>
      </c>
      <c r="K56" s="25">
        <f ca="1">IFERROR(__xludf.DUMMYFUNCTION("""COMPUTED_VALUE"""),30)</f>
        <v>30</v>
      </c>
      <c r="L56" s="55">
        <f ca="1">IFERROR(__xludf.DUMMYFUNCTION("""COMPUTED_VALUE"""),44576)</f>
        <v>44576</v>
      </c>
      <c r="M56" s="25" t="str">
        <f ca="1">IFERROR(__xludf.DUMMYFUNCTION("""COMPUTED_VALUE"""),"A partir de las Megatomas se realizan acciones de sostenibilidad en tres aspectos, vigilancia pública, articulación intersectorial y acciones de prevención, así mismo, mediante el equipo territorial de la SDSCJ se implementan actividades de control y disu"&amp;"asión en los horarios de mayor ocurrencia delictiva.  ")</f>
        <v xml:space="preserve">A partir de las Megatomas se realizan acciones de sostenibilidad en tres aspectos, vigilancia pública, articulación intersectorial y acciones de prevención, así mismo, mediante el equipo territorial de la SDSCJ se implementan actividades de control y disuasión en los horarios de mayor ocurrencia delictiva.  </v>
      </c>
      <c r="N56" s="55">
        <f ca="1">IFERROR(__xludf.DUMMYFUNCTION("""COMPUTED_VALUE"""),44576)</f>
        <v>44576</v>
      </c>
      <c r="O56" s="25" t="str">
        <f t="shared" ca="1" si="0"/>
        <v>Secretaría Distrital de Seguridad, Convivencia y Justicia</v>
      </c>
      <c r="P56" s="25" t="str">
        <f t="shared" si="1"/>
        <v/>
      </c>
      <c r="Q56" s="25" t="str">
        <f ca="1">IFERROR(__xludf.DUMMYFUNCTION("""COMPUTED_VALUE"""),"Corto plazo")</f>
        <v>Corto plazo</v>
      </c>
      <c r="R56" s="25"/>
      <c r="S56" s="55"/>
      <c r="T56" s="56"/>
      <c r="U56" s="25"/>
      <c r="V56" s="25"/>
      <c r="W56" s="25"/>
      <c r="X56" s="25"/>
      <c r="Y56" s="25"/>
      <c r="Z56" s="25"/>
    </row>
    <row r="57" spans="1:26" ht="52.5" customHeight="1" x14ac:dyDescent="0.25">
      <c r="A57" s="25" t="str">
        <f ca="1">IFERROR(__xludf.DUMMYFUNCTION("""COMPUTED_VALUE"""),"Segur55")</f>
        <v>Segur55</v>
      </c>
      <c r="B57" s="25" t="str">
        <f ca="1">IFERROR(__xludf.DUMMYFUNCTION("""COMPUTED_VALUE"""),"Despachando Mebog ")</f>
        <v xml:space="preserve">Despachando Mebog </v>
      </c>
      <c r="C57" s="55">
        <f ca="1">IFERROR(__xludf.DUMMYFUNCTION("""COMPUTED_VALUE"""),44518)</f>
        <v>44518</v>
      </c>
      <c r="D57" s="25" t="str">
        <f ca="1">IFERROR(__xludf.DUMMYFUNCTION("""COMPUTED_VALUE"""),"Seguridad")</f>
        <v>Seguridad</v>
      </c>
      <c r="E57" s="25" t="str">
        <f ca="1">IFERROR(__xludf.DUMMYFUNCTION("""COMPUTED_VALUE"""),"Secretaría Distrital de Seguridad, Convivencia y Justicia")</f>
        <v>Secretaría Distrital de Seguridad, Convivencia y Justicia</v>
      </c>
      <c r="F57" s="25" t="str">
        <f ca="1">IFERROR(__xludf.DUMMYFUNCTION("""COMPUTED_VALUE"""),"Fortalecer las actividades de investigación e inteligencia policial para redes de tráfico de estupefacientes")</f>
        <v>Fortalecer las actividades de investigación e inteligencia policial para redes de tráfico de estupefacientes</v>
      </c>
      <c r="G57" s="55" t="str">
        <f ca="1">IFERROR(__xludf.DUMMYFUNCTION("""COMPUTED_VALUE"""),"14. Martires")</f>
        <v>14. Martires</v>
      </c>
      <c r="H57" s="55">
        <f ca="1">IFERROR(__xludf.DUMMYFUNCTION("""COMPUTED_VALUE"""),44548)</f>
        <v>44548</v>
      </c>
      <c r="I57" s="25"/>
      <c r="J57" s="55" t="str">
        <f ca="1">IFERROR(__xludf.DUMMYFUNCTION("""COMPUTED_VALUE"""),"Alta")</f>
        <v>Alta</v>
      </c>
      <c r="K57" s="25">
        <f ca="1">IFERROR(__xludf.DUMMYFUNCTION("""COMPUTED_VALUE"""),30)</f>
        <v>30</v>
      </c>
      <c r="L57" s="55">
        <f ca="1">IFERROR(__xludf.DUMMYFUNCTION("""COMPUTED_VALUE"""),44576)</f>
        <v>44576</v>
      </c>
      <c r="M57" s="25" t="str">
        <f ca="1">IFERROR(__xludf.DUMMYFUNCTION("""COMPUTED_VALUE"""),"Se ha fortalecido la actividad de investigación e inteligencia, por lo cual desde septiembre la SIPOL, la SIJIN, la SCJ y la FGN revisaron y actualizaron el inventario criminal de Bogotá. En el marco de procesos de articulación con el Ministerio de Defens"&amp;"a, la SDSCJ y la Policía Nacional, se realizó mesa de trabajo e intercambio de información que permita adelantar acciones orientadas a la intervención de predios dedicados a la comercialización de estupefacientes en la localidad de los Mártires. Este en e"&amp;"l marco del plan 1000.")</f>
        <v>Se ha fortalecido la actividad de investigación e inteligencia, por lo cual desde septiembre la SIPOL, la SIJIN, la SCJ y la FGN revisaron y actualizaron el inventario criminal de Bogotá. En el marco de procesos de articulación con el Ministerio de Defensa, la SDSCJ y la Policía Nacional, se realizó mesa de trabajo e intercambio de información que permita adelantar acciones orientadas a la intervención de predios dedicados a la comercialización de estupefacientes en la localidad de los Mártires. Este en el marco del plan 1000.</v>
      </c>
      <c r="N57" s="55">
        <f ca="1">IFERROR(__xludf.DUMMYFUNCTION("""COMPUTED_VALUE"""),44576)</f>
        <v>44576</v>
      </c>
      <c r="O57" s="25" t="str">
        <f t="shared" ca="1" si="0"/>
        <v>Secretaría Distrital de Seguridad, Convivencia y Justicia</v>
      </c>
      <c r="P57" s="25" t="str">
        <f t="shared" si="1"/>
        <v/>
      </c>
      <c r="Q57" s="25" t="str">
        <f ca="1">IFERROR(__xludf.DUMMYFUNCTION("""COMPUTED_VALUE"""),"Corto plazo")</f>
        <v>Corto plazo</v>
      </c>
      <c r="R57" s="25"/>
      <c r="S57" s="55"/>
      <c r="T57" s="56"/>
      <c r="U57" s="25"/>
      <c r="V57" s="25"/>
      <c r="W57" s="25"/>
      <c r="X57" s="25"/>
      <c r="Y57" s="25"/>
      <c r="Z57" s="25"/>
    </row>
    <row r="58" spans="1:26" ht="52.5" customHeight="1" x14ac:dyDescent="0.25">
      <c r="A58" s="25" t="str">
        <f ca="1">IFERROR(__xludf.DUMMYFUNCTION("""COMPUTED_VALUE"""),"Segur56")</f>
        <v>Segur56</v>
      </c>
      <c r="B58" s="25" t="str">
        <f ca="1">IFERROR(__xludf.DUMMYFUNCTION("""COMPUTED_VALUE"""),"Despachando Mebog ")</f>
        <v xml:space="preserve">Despachando Mebog </v>
      </c>
      <c r="C58" s="55">
        <f ca="1">IFERROR(__xludf.DUMMYFUNCTION("""COMPUTED_VALUE"""),44518)</f>
        <v>44518</v>
      </c>
      <c r="D58" s="25" t="str">
        <f ca="1">IFERROR(__xludf.DUMMYFUNCTION("""COMPUTED_VALUE"""),"Seguridad")</f>
        <v>Seguridad</v>
      </c>
      <c r="E58" s="25" t="str">
        <f ca="1">IFERROR(__xludf.DUMMYFUNCTION("""COMPUTED_VALUE"""),"Secretaría Distrital de Seguridad, Convivencia y Justicia")</f>
        <v>Secretaría Distrital de Seguridad, Convivencia y Justicia</v>
      </c>
      <c r="F58" s="25" t="str">
        <f ca="1">IFERROR(__xludf.DUMMYFUNCTION("""COMPUTED_VALUE"""),"Fortalecer el pie de fuerza en la localidad, porque el control se está haciendo con la Policía de Usme")</f>
        <v>Fortalecer el pie de fuerza en la localidad, porque el control se está haciendo con la Policía de Usme</v>
      </c>
      <c r="G58" s="55" t="str">
        <f ca="1">IFERROR(__xludf.DUMMYFUNCTION("""COMPUTED_VALUE"""),"20. Sumapaz")</f>
        <v>20. Sumapaz</v>
      </c>
      <c r="H58" s="55">
        <f ca="1">IFERROR(__xludf.DUMMYFUNCTION("""COMPUTED_VALUE"""),44548)</f>
        <v>44548</v>
      </c>
      <c r="I58" s="25"/>
      <c r="J58" s="55" t="str">
        <f ca="1">IFERROR(__xludf.DUMMYFUNCTION("""COMPUTED_VALUE"""),"Alta")</f>
        <v>Alta</v>
      </c>
      <c r="K58" s="25">
        <f ca="1">IFERROR(__xludf.DUMMYFUNCTION("""COMPUTED_VALUE"""),30)</f>
        <v>30</v>
      </c>
      <c r="L58" s="55">
        <f ca="1">IFERROR(__xludf.DUMMYFUNCTION("""COMPUTED_VALUE"""),44782)</f>
        <v>44782</v>
      </c>
      <c r="M58" s="25" t="str">
        <f ca="1">IFERROR(__xludf.DUMMYFUNCTION("""COMPUTED_VALUE"""),"La atención se realiza desde la estación de Policía de Usme, atendiendo a que en Sumapaz no tenemos Estación. Sin embargo, se cuenta con presencia institucional del Ejército Nacional, para la vigilancia de la localidad.")</f>
        <v>La atención se realiza desde la estación de Policía de Usme, atendiendo a que en Sumapaz no tenemos Estación. Sin embargo, se cuenta con presencia institucional del Ejército Nacional, para la vigilancia de la localidad.</v>
      </c>
      <c r="N58" s="55">
        <f ca="1">IFERROR(__xludf.DUMMYFUNCTION("""COMPUTED_VALUE"""),44782)</f>
        <v>44782</v>
      </c>
      <c r="O58" s="25" t="str">
        <f t="shared" ca="1" si="0"/>
        <v>Secretaría Distrital de Seguridad, Convivencia y Justicia</v>
      </c>
      <c r="P58" s="25" t="str">
        <f t="shared" si="1"/>
        <v/>
      </c>
      <c r="Q58" s="25" t="str">
        <f ca="1">IFERROR(__xludf.DUMMYFUNCTION("""COMPUTED_VALUE"""),"Corto plazo")</f>
        <v>Corto plazo</v>
      </c>
      <c r="R58" s="25"/>
      <c r="S58" s="55"/>
      <c r="T58" s="56"/>
      <c r="U58" s="25"/>
      <c r="V58" s="25"/>
      <c r="W58" s="25"/>
      <c r="X58" s="25"/>
      <c r="Y58" s="25"/>
      <c r="Z58" s="25"/>
    </row>
    <row r="59" spans="1:26" ht="52.5" customHeight="1" x14ac:dyDescent="0.25">
      <c r="A59" s="25" t="str">
        <f ca="1">IFERROR(__xludf.DUMMYFUNCTION("""COMPUTED_VALUE"""),"Segur57")</f>
        <v>Segur57</v>
      </c>
      <c r="B59" s="25" t="str">
        <f ca="1">IFERROR(__xludf.DUMMYFUNCTION("""COMPUTED_VALUE"""),"Despachando Mebog ")</f>
        <v xml:space="preserve">Despachando Mebog </v>
      </c>
      <c r="C59" s="55">
        <f ca="1">IFERROR(__xludf.DUMMYFUNCTION("""COMPUTED_VALUE"""),44518)</f>
        <v>44518</v>
      </c>
      <c r="D59" s="25" t="str">
        <f ca="1">IFERROR(__xludf.DUMMYFUNCTION("""COMPUTED_VALUE"""),"Seguridad")</f>
        <v>Seguridad</v>
      </c>
      <c r="E59" s="25" t="str">
        <f ca="1">IFERROR(__xludf.DUMMYFUNCTION("""COMPUTED_VALUE"""),"Secretaría Distrital de Seguridad, Convivencia y Justicia")</f>
        <v>Secretaría Distrital de Seguridad, Convivencia y Justicia</v>
      </c>
      <c r="F59" s="25" t="str">
        <f ca="1">IFERROR(__xludf.DUMMYFUNCTION("""COMPUTED_VALUE"""),"Revisar la posibilidad de intervenir la ocupación ilegal Manuel Marulanda Vélez")</f>
        <v>Revisar la posibilidad de intervenir la ocupación ilegal Manuel Marulanda Vélez</v>
      </c>
      <c r="G59" s="25" t="str">
        <f ca="1">IFERROR(__xludf.DUMMYFUNCTION("""COMPUTED_VALUE"""),"99. Distrito")</f>
        <v>99. Distrito</v>
      </c>
      <c r="H59" s="55">
        <f ca="1">IFERROR(__xludf.DUMMYFUNCTION("""COMPUTED_VALUE"""),44548)</f>
        <v>44548</v>
      </c>
      <c r="I59" s="25"/>
      <c r="J59" s="55" t="str">
        <f ca="1">IFERROR(__xludf.DUMMYFUNCTION("""COMPUTED_VALUE"""),"Alta")</f>
        <v>Alta</v>
      </c>
      <c r="K59" s="25">
        <f ca="1">IFERROR(__xludf.DUMMYFUNCTION("""COMPUTED_VALUE"""),30)</f>
        <v>30</v>
      </c>
      <c r="L59" s="55">
        <f ca="1">IFERROR(__xludf.DUMMYFUNCTION("""COMPUTED_VALUE"""),44782)</f>
        <v>44782</v>
      </c>
      <c r="M59" s="25" t="str">
        <f ca="1">IFERROR(__xludf.DUMMYFUNCTION("""COMPUTED_VALUE"""),"Durante el 2021 y 2022 se han desarrollado distintas intervenciones en la ocupación ilegal Manuel Marulanda. La intervención más reciente se realizó en el mes de junio, por medio de un recorrido territorial y campaña de prevención ""No Te Pinten Casas en "&amp;"el Aire"". Se tuvo presencia institucional de la Policía de la Estación y de la Secretaría Distrital de Seguridad. El recorrido se realizó con el señor Alejandro Martínez Urrea, identificado con CC. 1.030.588.445, esta persona indica ser líder del sector "&amp;"y que existen alrededor de 70 construcciones, alrededor de 100 familias y procesos tanto policiales cómo en fiscalía. Se realiza campaña no te pinten casas en el aire a través de volantes y afiches, esto con el fin de sensibilizar la comunidad para no ser"&amp;" victimas de compra de predios irregulares. Se mantiene articulación constante con la Alcaldía Local para participar en operativos sostenidos en este sector. ")</f>
        <v xml:space="preserve">Durante el 2021 y 2022 se han desarrollado distintas intervenciones en la ocupación ilegal Manuel Marulanda. La intervención más reciente se realizó en el mes de junio, por medio de un recorrido territorial y campaña de prevención "No Te Pinten Casas en el Aire". Se tuvo presencia institucional de la Policía de la Estación y de la Secretaría Distrital de Seguridad. El recorrido se realizó con el señor Alejandro Martínez Urrea, identificado con CC. 1.030.588.445, esta persona indica ser líder del sector y que existen alrededor de 70 construcciones, alrededor de 100 familias y procesos tanto policiales cómo en fiscalía. Se realiza campaña no te pinten casas en el aire a través de volantes y afiches, esto con el fin de sensibilizar la comunidad para no ser victimas de compra de predios irregulares. Se mantiene articulación constante con la Alcaldía Local para participar en operativos sostenidos en este sector. </v>
      </c>
      <c r="N59" s="55">
        <f ca="1">IFERROR(__xludf.DUMMYFUNCTION("""COMPUTED_VALUE"""),44782)</f>
        <v>44782</v>
      </c>
      <c r="O59" s="25" t="str">
        <f t="shared" ca="1" si="0"/>
        <v>Secretaría Distrital de Seguridad, Convivencia y Justicia</v>
      </c>
      <c r="P59" s="25" t="str">
        <f t="shared" si="1"/>
        <v/>
      </c>
      <c r="Q59" s="25" t="str">
        <f ca="1">IFERROR(__xludf.DUMMYFUNCTION("""COMPUTED_VALUE"""),"Corto plazo")</f>
        <v>Corto plazo</v>
      </c>
      <c r="R59" s="25"/>
      <c r="S59" s="55"/>
      <c r="T59" s="56"/>
      <c r="U59" s="25"/>
      <c r="V59" s="25"/>
      <c r="W59" s="25"/>
      <c r="X59" s="25"/>
      <c r="Y59" s="25"/>
      <c r="Z59" s="25"/>
    </row>
    <row r="60" spans="1:26" ht="52.5" customHeight="1" x14ac:dyDescent="0.25">
      <c r="A60" s="25" t="str">
        <f ca="1">IFERROR(__xludf.DUMMYFUNCTION("""COMPUTED_VALUE"""),"Segur58")</f>
        <v>Segur58</v>
      </c>
      <c r="B60" s="25" t="str">
        <f ca="1">IFERROR(__xludf.DUMMYFUNCTION("""COMPUTED_VALUE"""),"Despachando Mebog ")</f>
        <v xml:space="preserve">Despachando Mebog </v>
      </c>
      <c r="C60" s="55">
        <f ca="1">IFERROR(__xludf.DUMMYFUNCTION("""COMPUTED_VALUE"""),44518)</f>
        <v>44518</v>
      </c>
      <c r="D60" s="25" t="str">
        <f ca="1">IFERROR(__xludf.DUMMYFUNCTION("""COMPUTED_VALUE"""),"Seguridad")</f>
        <v>Seguridad</v>
      </c>
      <c r="E60" s="25" t="str">
        <f ca="1">IFERROR(__xludf.DUMMYFUNCTION("""COMPUTED_VALUE"""),"Secretaría Distrital de Seguridad, Convivencia y Justicia")</f>
        <v>Secretaría Distrital de Seguridad, Convivencia y Justicia</v>
      </c>
      <c r="F60" s="25" t="str">
        <f ca="1">IFERROR(__xludf.DUMMYFUNCTION("""COMPUTED_VALUE"""),"Fortalecer la estrategia de habitabilidad en calle en el corredor de la 1 de mayo")</f>
        <v>Fortalecer la estrategia de habitabilidad en calle en el corredor de la 1 de mayo</v>
      </c>
      <c r="G60" s="55" t="str">
        <f ca="1">IFERROR(__xludf.DUMMYFUNCTION("""COMPUTED_VALUE"""),"18. Rafael Uribe Uribe")</f>
        <v>18. Rafael Uribe Uribe</v>
      </c>
      <c r="H60" s="55">
        <f ca="1">IFERROR(__xludf.DUMMYFUNCTION("""COMPUTED_VALUE"""),44548)</f>
        <v>44548</v>
      </c>
      <c r="I60" s="25"/>
      <c r="J60" s="55" t="str">
        <f ca="1">IFERROR(__xludf.DUMMYFUNCTION("""COMPUTED_VALUE"""),"Alta")</f>
        <v>Alta</v>
      </c>
      <c r="K60" s="25">
        <f ca="1">IFERROR(__xludf.DUMMYFUNCTION("""COMPUTED_VALUE"""),30)</f>
        <v>30</v>
      </c>
      <c r="L60" s="55">
        <f ca="1">IFERROR(__xludf.DUMMYFUNCTION("""COMPUTED_VALUE"""),44576)</f>
        <v>44576</v>
      </c>
      <c r="M60" s="25" t="str">
        <f ca="1">IFERROR(__xludf.DUMMYFUNCTION("""COMPUTED_VALUE"""),"En articulación con la Secretaria Distrital de Integración Social y el IDIPRON, se fortalecieron las estrategia para la atención del fenómeno de habitabilidad en calle a través de la Tropa social de rescate nocturno,  en el corredor de la 1ra de Mayo, all"&amp;"í se viene acercando la oferta a ciudadanos habitantes de calle, y carreteros para que se haga uso del espacio ""Parque de carretas"" e invitando a pernoctar en los hogares dispuestos por la SDIS y el IDIPRON según su rango de edad. Se han realizado 3 jor"&amp;"nadas en la nueva priorización del programa de atención entre SDIS y SDSCJ. Las actividades adelantadas son: Jornadas de autocuidado y escucha activa, recorrido de oferta institucional, tropa rescate nocturna, caracterización población carretera, equipo a"&amp;"bordaje territorial sub adultez asignada a localidad Rafael Uribe, comité operativo local del fenómeno de habitabilidad en calle. 
")</f>
        <v xml:space="preserve">En articulación con la Secretaria Distrital de Integración Social y el IDIPRON, se fortalecieron las estrategia para la atención del fenómeno de habitabilidad en calle a través de la Tropa social de rescate nocturno,  en el corredor de la 1ra de Mayo, allí se viene acercando la oferta a ciudadanos habitantes de calle, y carreteros para que se haga uso del espacio "Parque de carretas" e invitando a pernoctar en los hogares dispuestos por la SDIS y el IDIPRON según su rango de edad. Se han realizado 3 jornadas en la nueva priorización del programa de atención entre SDIS y SDSCJ. Las actividades adelantadas son: Jornadas de autocuidado y escucha activa, recorrido de oferta institucional, tropa rescate nocturna, caracterización población carretera, equipo abordaje territorial sub adultez asignada a localidad Rafael Uribe, comité operativo local del fenómeno de habitabilidad en calle. 
</v>
      </c>
      <c r="N60" s="55">
        <f ca="1">IFERROR(__xludf.DUMMYFUNCTION("""COMPUTED_VALUE"""),44576)</f>
        <v>44576</v>
      </c>
      <c r="O60" s="25" t="str">
        <f t="shared" ca="1" si="0"/>
        <v>Secretaría Distrital de Seguridad, Convivencia y Justicia</v>
      </c>
      <c r="P60" s="25" t="str">
        <f t="shared" si="1"/>
        <v/>
      </c>
      <c r="Q60" s="25" t="str">
        <f ca="1">IFERROR(__xludf.DUMMYFUNCTION("""COMPUTED_VALUE"""),"Corto plazo")</f>
        <v>Corto plazo</v>
      </c>
      <c r="R60" s="25"/>
      <c r="S60" s="55"/>
      <c r="T60" s="56"/>
      <c r="U60" s="25"/>
      <c r="V60" s="25"/>
      <c r="W60" s="25"/>
      <c r="X60" s="25"/>
      <c r="Y60" s="25"/>
      <c r="Z60" s="25"/>
    </row>
    <row r="61" spans="1:26" ht="52.5" customHeight="1" x14ac:dyDescent="0.25">
      <c r="A61" s="25" t="str">
        <f ca="1">IFERROR(__xludf.DUMMYFUNCTION("""COMPUTED_VALUE"""),"Segur59")</f>
        <v>Segur59</v>
      </c>
      <c r="B61" s="25" t="str">
        <f ca="1">IFERROR(__xludf.DUMMYFUNCTION("""COMPUTED_VALUE"""),"Despachando Mebog ")</f>
        <v xml:space="preserve">Despachando Mebog </v>
      </c>
      <c r="C61" s="55">
        <f ca="1">IFERROR(__xludf.DUMMYFUNCTION("""COMPUTED_VALUE"""),44518)</f>
        <v>44518</v>
      </c>
      <c r="D61" s="25" t="str">
        <f ca="1">IFERROR(__xludf.DUMMYFUNCTION("""COMPUTED_VALUE"""),"Seguridad")</f>
        <v>Seguridad</v>
      </c>
      <c r="E61" s="25" t="str">
        <f ca="1">IFERROR(__xludf.DUMMYFUNCTION("""COMPUTED_VALUE"""),"Secretaría Distrital de Seguridad, Convivencia y Justicia")</f>
        <v>Secretaría Distrital de Seguridad, Convivencia y Justicia</v>
      </c>
      <c r="F61" s="25" t="str">
        <f ca="1">IFERROR(__xludf.DUMMYFUNCTION("""COMPUTED_VALUE"""),"Aumentar el pie de fuerza de la MEBOG")</f>
        <v>Aumentar el pie de fuerza de la MEBOG</v>
      </c>
      <c r="G61" s="55" t="str">
        <f ca="1">IFERROR(__xludf.DUMMYFUNCTION("""COMPUTED_VALUE"""),"06. Tunjuelito")</f>
        <v>06. Tunjuelito</v>
      </c>
      <c r="H61" s="55">
        <f ca="1">IFERROR(__xludf.DUMMYFUNCTION("""COMPUTED_VALUE"""),44548)</f>
        <v>44548</v>
      </c>
      <c r="I61" s="25"/>
      <c r="J61" s="55" t="str">
        <f ca="1">IFERROR(__xludf.DUMMYFUNCTION("""COMPUTED_VALUE"""),"Alta")</f>
        <v>Alta</v>
      </c>
      <c r="K61" s="25">
        <f ca="1">IFERROR(__xludf.DUMMYFUNCTION("""COMPUTED_VALUE"""),30)</f>
        <v>30</v>
      </c>
      <c r="L61" s="55">
        <f ca="1">IFERROR(__xludf.DUMMYFUNCTION("""COMPUTED_VALUE"""),44576)</f>
        <v>44576</v>
      </c>
      <c r="M61" s="25" t="str">
        <f ca="1">IFERROR(__xludf.DUMMYFUNCTION("""COMPUTED_VALUE"""),"El refuerzo se programó en el Plan Navidad con 06 unidades adicionales para la zona y 1 Dron Con énfasis en Venecia")</f>
        <v>El refuerzo se programó en el Plan Navidad con 06 unidades adicionales para la zona y 1 Dron Con énfasis en Venecia</v>
      </c>
      <c r="N61" s="55">
        <f ca="1">IFERROR(__xludf.DUMMYFUNCTION("""COMPUTED_VALUE"""),44576)</f>
        <v>44576</v>
      </c>
      <c r="O61" s="25" t="str">
        <f t="shared" ca="1" si="0"/>
        <v>Secretaría Distrital de Seguridad, Convivencia y Justicia</v>
      </c>
      <c r="P61" s="25" t="str">
        <f t="shared" si="1"/>
        <v/>
      </c>
      <c r="Q61" s="25" t="str">
        <f ca="1">IFERROR(__xludf.DUMMYFUNCTION("""COMPUTED_VALUE"""),"Corto plazo")</f>
        <v>Corto plazo</v>
      </c>
      <c r="R61" s="25"/>
      <c r="S61" s="55"/>
      <c r="T61" s="56"/>
      <c r="U61" s="25"/>
      <c r="V61" s="25"/>
      <c r="W61" s="25"/>
      <c r="X61" s="25"/>
      <c r="Y61" s="25"/>
      <c r="Z61" s="25"/>
    </row>
    <row r="62" spans="1:26" ht="52.5" customHeight="1" x14ac:dyDescent="0.25">
      <c r="A62" s="25" t="str">
        <f ca="1">IFERROR(__xludf.DUMMYFUNCTION("""COMPUTED_VALUE"""),"Segur60")</f>
        <v>Segur60</v>
      </c>
      <c r="B62" s="25" t="str">
        <f ca="1">IFERROR(__xludf.DUMMYFUNCTION("""COMPUTED_VALUE"""),"Despachando Mebog ")</f>
        <v xml:space="preserve">Despachando Mebog </v>
      </c>
      <c r="C62" s="55">
        <f ca="1">IFERROR(__xludf.DUMMYFUNCTION("""COMPUTED_VALUE"""),44518)</f>
        <v>44518</v>
      </c>
      <c r="D62" s="25" t="str">
        <f ca="1">IFERROR(__xludf.DUMMYFUNCTION("""COMPUTED_VALUE"""),"Seguridad")</f>
        <v>Seguridad</v>
      </c>
      <c r="E62" s="25" t="str">
        <f ca="1">IFERROR(__xludf.DUMMYFUNCTION("""COMPUTED_VALUE"""),"Secretaría Distrital de Seguridad, Convivencia y Justicia")</f>
        <v>Secretaría Distrital de Seguridad, Convivencia y Justicia</v>
      </c>
      <c r="F62" s="25" t="str">
        <f ca="1">IFERROR(__xludf.DUMMYFUNCTION("""COMPUTED_VALUE"""),"Revisar la posibilidad de hacer una Casa de Justicia en la sede antigua de la Alcaldía Local")</f>
        <v>Revisar la posibilidad de hacer una Casa de Justicia en la sede antigua de la Alcaldía Local</v>
      </c>
      <c r="G62" s="55" t="str">
        <f ca="1">IFERROR(__xludf.DUMMYFUNCTION("""COMPUTED_VALUE"""),"06. Tunjuelito")</f>
        <v>06. Tunjuelito</v>
      </c>
      <c r="H62" s="55">
        <f ca="1">IFERROR(__xludf.DUMMYFUNCTION("""COMPUTED_VALUE"""),44548)</f>
        <v>44548</v>
      </c>
      <c r="I62" s="25"/>
      <c r="J62" s="55" t="str">
        <f ca="1">IFERROR(__xludf.DUMMYFUNCTION("""COMPUTED_VALUE"""),"Alta")</f>
        <v>Alta</v>
      </c>
      <c r="K62" s="25">
        <f ca="1">IFERROR(__xludf.DUMMYFUNCTION("""COMPUTED_VALUE"""),30)</f>
        <v>30</v>
      </c>
      <c r="L62" s="55">
        <f ca="1">IFERROR(__xludf.DUMMYFUNCTION("""COMPUTED_VALUE"""),44782)</f>
        <v>44782</v>
      </c>
      <c r="M62" s="25" t="str">
        <f ca="1">IFERROR(__xludf.DUMMYFUNCTION("""COMPUTED_VALUE"""),"La SDSCJ recibió del DADEP la antigua sede de la Alcaldía Local de Tunjuelito para la entrada en funcionamiento de una Casa de Justicia, la cual será intervenida según concepto del IDIGER (refuerzo estructural y trámite de licencias urbanística) para mejo"&amp;"rar su operación y puesta al servicio de la ciudadanía. Mientras se realizan las gestiones contractuales para el reforzamiento estructural del inmueble, desde mayo de 2022, todos los lunes se realizan jornadas de Acceso a la Justicia en las que se ofrece "&amp;"a la comunidad algunos de los servicios que estarán presentes en el equipamiento, con el fin de atender los casos que se presenten y que tengan relación con: violencia intrafamiliar, recepción de denuncias, solución de ordenes de comparendo, asesoría soci"&amp;"o - jurídica en casos relacionados con familia, arriendo, deudas, entre otros, y los servicios ofrecidos por Policía de Prevención, Casa Libertad y Personería. Adicionalmente, desde julio de 2022, la SDSCJ trabaja con la Secretaría de la Mujer para la imp"&amp;"lantación de servicios de manzana de cuidado en este mismo inmueble.")</f>
        <v>La SDSCJ recibió del DADEP la antigua sede de la Alcaldía Local de Tunjuelito para la entrada en funcionamiento de una Casa de Justicia, la cual será intervenida según concepto del IDIGER (refuerzo estructural y trámite de licencias urbanística) para mejorar su operación y puesta al servicio de la ciudadanía. Mientras se realizan las gestiones contractuales para el reforzamiento estructural del inmueble, desde mayo de 2022, todos los lunes se realizan jornadas de Acceso a la Justicia en las que se ofrece a la comunidad algunos de los servicios que estarán presentes en el equipamiento, con el fin de atender los casos que se presenten y que tengan relación con: violencia intrafamiliar, recepción de denuncias, solución de ordenes de comparendo, asesoría socio - jurídica en casos relacionados con familia, arriendo, deudas, entre otros, y los servicios ofrecidos por Policía de Prevención, Casa Libertad y Personería. Adicionalmente, desde julio de 2022, la SDSCJ trabaja con la Secretaría de la Mujer para la implantación de servicios de manzana de cuidado en este mismo inmueble.</v>
      </c>
      <c r="N62" s="55">
        <f ca="1">IFERROR(__xludf.DUMMYFUNCTION("""COMPUTED_VALUE"""),44782)</f>
        <v>44782</v>
      </c>
      <c r="O62" s="25" t="str">
        <f t="shared" ca="1" si="0"/>
        <v>Secretaría Distrital de Seguridad, Convivencia y Justicia</v>
      </c>
      <c r="P62" s="25" t="str">
        <f t="shared" si="1"/>
        <v/>
      </c>
      <c r="Q62" s="25" t="str">
        <f ca="1">IFERROR(__xludf.DUMMYFUNCTION("""COMPUTED_VALUE"""),"Corto plazo")</f>
        <v>Corto plazo</v>
      </c>
      <c r="R62" s="25"/>
      <c r="S62" s="55"/>
      <c r="T62" s="56"/>
      <c r="U62" s="25"/>
      <c r="V62" s="25"/>
      <c r="W62" s="25"/>
      <c r="X62" s="25"/>
      <c r="Y62" s="25"/>
      <c r="Z62" s="25"/>
    </row>
    <row r="63" spans="1:26" ht="52.5" customHeight="1" x14ac:dyDescent="0.25">
      <c r="A63" s="25" t="str">
        <f ca="1">IFERROR(__xludf.DUMMYFUNCTION("""COMPUTED_VALUE"""),"Segur61")</f>
        <v>Segur61</v>
      </c>
      <c r="B63" s="25" t="str">
        <f ca="1">IFERROR(__xludf.DUMMYFUNCTION("""COMPUTED_VALUE"""),"Despachando Mebog ")</f>
        <v xml:space="preserve">Despachando Mebog </v>
      </c>
      <c r="C63" s="55">
        <f ca="1">IFERROR(__xludf.DUMMYFUNCTION("""COMPUTED_VALUE"""),44518)</f>
        <v>44518</v>
      </c>
      <c r="D63" s="25" t="str">
        <f ca="1">IFERROR(__xludf.DUMMYFUNCTION("""COMPUTED_VALUE"""),"Seguridad")</f>
        <v>Seguridad</v>
      </c>
      <c r="E63" s="25" t="str">
        <f ca="1">IFERROR(__xludf.DUMMYFUNCTION("""COMPUTED_VALUE"""),"Secretaría Distrital de Seguridad, Convivencia y Justicia")</f>
        <v>Secretaría Distrital de Seguridad, Convivencia y Justicia</v>
      </c>
      <c r="F63" s="25" t="str">
        <f ca="1">IFERROR(__xludf.DUMMYFUNCTION("""COMPUTED_VALUE"""),"Identificación de ollas para demoler en la localidad con la SAE, para poder hacer huertas")</f>
        <v>Identificación de ollas para demoler en la localidad con la SAE, para poder hacer huertas</v>
      </c>
      <c r="G63" s="55" t="str">
        <f ca="1">IFERROR(__xludf.DUMMYFUNCTION("""COMPUTED_VALUE"""),"06. Tunjuelito")</f>
        <v>06. Tunjuelito</v>
      </c>
      <c r="H63" s="55">
        <f ca="1">IFERROR(__xludf.DUMMYFUNCTION("""COMPUTED_VALUE"""),44548)</f>
        <v>44548</v>
      </c>
      <c r="I63" s="25"/>
      <c r="J63" s="55" t="str">
        <f ca="1">IFERROR(__xludf.DUMMYFUNCTION("""COMPUTED_VALUE"""),"Alta")</f>
        <v>Alta</v>
      </c>
      <c r="K63" s="25">
        <f ca="1">IFERROR(__xludf.DUMMYFUNCTION("""COMPUTED_VALUE"""),30)</f>
        <v>30</v>
      </c>
      <c r="L63" s="55">
        <f ca="1">IFERROR(__xludf.DUMMYFUNCTION("""COMPUTED_VALUE"""),44782)</f>
        <v>44782</v>
      </c>
      <c r="M63" s="25" t="str">
        <f ca="1">IFERROR(__xludf.DUMMYFUNCTION("""COMPUTED_VALUE"""),"Actualmente no se tienen predios en la localidad de Tunjuelito")</f>
        <v>Actualmente no se tienen predios en la localidad de Tunjuelito</v>
      </c>
      <c r="N63" s="55">
        <f ca="1">IFERROR(__xludf.DUMMYFUNCTION("""COMPUTED_VALUE"""),44782)</f>
        <v>44782</v>
      </c>
      <c r="O63" s="25" t="str">
        <f t="shared" ca="1" si="0"/>
        <v>Secretaría Distrital de Seguridad, Convivencia y Justicia</v>
      </c>
      <c r="P63" s="25" t="str">
        <f t="shared" si="1"/>
        <v/>
      </c>
      <c r="Q63" s="25" t="str">
        <f ca="1">IFERROR(__xludf.DUMMYFUNCTION("""COMPUTED_VALUE"""),"Corto plazo")</f>
        <v>Corto plazo</v>
      </c>
      <c r="R63" s="25"/>
      <c r="S63" s="55"/>
      <c r="T63" s="56"/>
      <c r="U63" s="25"/>
      <c r="V63" s="25"/>
      <c r="W63" s="25"/>
      <c r="X63" s="25"/>
      <c r="Y63" s="25"/>
      <c r="Z63" s="25"/>
    </row>
    <row r="64" spans="1:26" ht="52.5" customHeight="1" x14ac:dyDescent="0.25">
      <c r="A64" s="25" t="str">
        <f ca="1">IFERROR(__xludf.DUMMYFUNCTION("""COMPUTED_VALUE"""),"Segur62")</f>
        <v>Segur62</v>
      </c>
      <c r="B64" s="25" t="str">
        <f ca="1">IFERROR(__xludf.DUMMYFUNCTION("""COMPUTED_VALUE"""),"Despachando Mebog ")</f>
        <v xml:space="preserve">Despachando Mebog </v>
      </c>
      <c r="C64" s="55">
        <f ca="1">IFERROR(__xludf.DUMMYFUNCTION("""COMPUTED_VALUE"""),44518)</f>
        <v>44518</v>
      </c>
      <c r="D64" s="25" t="str">
        <f ca="1">IFERROR(__xludf.DUMMYFUNCTION("""COMPUTED_VALUE"""),"Seguridad")</f>
        <v>Seguridad</v>
      </c>
      <c r="E64" s="25" t="str">
        <f ca="1">IFERROR(__xludf.DUMMYFUNCTION("""COMPUTED_VALUE"""),"Secretaría Distrital de Seguridad, Convivencia y Justicia")</f>
        <v>Secretaría Distrital de Seguridad, Convivencia y Justicia</v>
      </c>
      <c r="F64" s="25" t="str">
        <f ca="1">IFERROR(__xludf.DUMMYFUNCTION("""COMPUTED_VALUE"""),"Fortalecimiento de los frentes de seguridad")</f>
        <v>Fortalecimiento de los frentes de seguridad</v>
      </c>
      <c r="G64" s="55" t="str">
        <f ca="1">IFERROR(__xludf.DUMMYFUNCTION("""COMPUTED_VALUE"""),"10. Engativá")</f>
        <v>10. Engativá</v>
      </c>
      <c r="H64" s="55">
        <f ca="1">IFERROR(__xludf.DUMMYFUNCTION("""COMPUTED_VALUE"""),44548)</f>
        <v>44548</v>
      </c>
      <c r="I64" s="25"/>
      <c r="J64" s="55" t="str">
        <f ca="1">IFERROR(__xludf.DUMMYFUNCTION("""COMPUTED_VALUE"""),"Alta")</f>
        <v>Alta</v>
      </c>
      <c r="K64" s="25">
        <f ca="1">IFERROR(__xludf.DUMMYFUNCTION("""COMPUTED_VALUE"""),30)</f>
        <v>30</v>
      </c>
      <c r="L64" s="55">
        <f ca="1">IFERROR(__xludf.DUMMYFUNCTION("""COMPUTED_VALUE"""),44576)</f>
        <v>44576</v>
      </c>
      <c r="M64" s="25" t="str">
        <f ca="1">IFERROR(__xludf.DUMMYFUNCTION("""COMPUTED_VALUE"""),"Se creó desde la Secretaría de Seguridad una línea de fortalecimiento con recurso programado para el 2022. Esta línea incluye capacitación y acompañamiento a los frentes locales de seguridad y redes cuidadanas. También se amplió el criterio para presentac"&amp;"ión de proyectos desde las Alcaldías Locales para que puedan dotar de elementos desde presupuestos participativos o presentación de propuestas integrales.
Durante la vigencia del 2021 se realizó acompañamiento para la creación y fortalecimiento de 16 Fre"&amp;"ntes de Seguridad Local en la localidad de Engativá y un total de 199 en la ciudad de Bogotá. ")</f>
        <v xml:space="preserve">Se creó desde la Secretaría de Seguridad una línea de fortalecimiento con recurso programado para el 2022. Esta línea incluye capacitación y acompañamiento a los frentes locales de seguridad y redes cuidadanas. También se amplió el criterio para presentación de proyectos desde las Alcaldías Locales para que puedan dotar de elementos desde presupuestos participativos o presentación de propuestas integrales.
Durante la vigencia del 2021 se realizó acompañamiento para la creación y fortalecimiento de 16 Frentes de Seguridad Local en la localidad de Engativá y un total de 199 en la ciudad de Bogotá. </v>
      </c>
      <c r="N64" s="55">
        <f ca="1">IFERROR(__xludf.DUMMYFUNCTION("""COMPUTED_VALUE"""),44576)</f>
        <v>44576</v>
      </c>
      <c r="O64" s="25" t="str">
        <f t="shared" ca="1" si="0"/>
        <v>Secretaría Distrital de Seguridad, Convivencia y Justicia</v>
      </c>
      <c r="P64" s="25" t="str">
        <f t="shared" si="1"/>
        <v/>
      </c>
      <c r="Q64" s="25" t="str">
        <f ca="1">IFERROR(__xludf.DUMMYFUNCTION("""COMPUTED_VALUE"""),"Corto plazo")</f>
        <v>Corto plazo</v>
      </c>
      <c r="R64" s="25"/>
      <c r="S64" s="55"/>
      <c r="T64" s="56"/>
      <c r="U64" s="25"/>
      <c r="V64" s="25"/>
      <c r="W64" s="25"/>
      <c r="X64" s="25"/>
      <c r="Y64" s="25"/>
      <c r="Z64" s="25"/>
    </row>
    <row r="65" spans="1:26" ht="52.5" customHeight="1" x14ac:dyDescent="0.25">
      <c r="A65" s="25" t="str">
        <f ca="1">IFERROR(__xludf.DUMMYFUNCTION("""COMPUTED_VALUE"""),"Segur63")</f>
        <v>Segur63</v>
      </c>
      <c r="B65" s="25" t="str">
        <f ca="1">IFERROR(__xludf.DUMMYFUNCTION("""COMPUTED_VALUE"""),"Despachando Mebog ")</f>
        <v xml:space="preserve">Despachando Mebog </v>
      </c>
      <c r="C65" s="55">
        <f ca="1">IFERROR(__xludf.DUMMYFUNCTION("""COMPUTED_VALUE"""),44518)</f>
        <v>44518</v>
      </c>
      <c r="D65" s="25" t="str">
        <f ca="1">IFERROR(__xludf.DUMMYFUNCTION("""COMPUTED_VALUE"""),"Seguridad")</f>
        <v>Seguridad</v>
      </c>
      <c r="E65" s="25" t="str">
        <f ca="1">IFERROR(__xludf.DUMMYFUNCTION("""COMPUTED_VALUE"""),"Secretaría Distrital de Seguridad, Convivencia y Justicia")</f>
        <v>Secretaría Distrital de Seguridad, Convivencia y Justicia</v>
      </c>
      <c r="F65" s="25" t="str">
        <f ca="1">IFERROR(__xludf.DUMMYFUNCTION("""COMPUTED_VALUE"""),"Consolidar corredores seguros para el regreso a clases para el mes de enero de 2022. La Alcaldesa llevará a cabo una reunión con los diferentes rectores de las instituciones educativas.")</f>
        <v>Consolidar corredores seguros para el regreso a clases para el mes de enero de 2022. La Alcaldesa llevará a cabo una reunión con los diferentes rectores de las instituciones educativas.</v>
      </c>
      <c r="G65" s="55" t="str">
        <f ca="1">IFERROR(__xludf.DUMMYFUNCTION("""COMPUTED_VALUE"""),"11. Suba")</f>
        <v>11. Suba</v>
      </c>
      <c r="H65" s="55">
        <f ca="1">IFERROR(__xludf.DUMMYFUNCTION("""COMPUTED_VALUE"""),44548)</f>
        <v>44548</v>
      </c>
      <c r="I65" s="25"/>
      <c r="J65" s="55" t="str">
        <f ca="1">IFERROR(__xludf.DUMMYFUNCTION("""COMPUTED_VALUE"""),"Alta")</f>
        <v>Alta</v>
      </c>
      <c r="K65" s="25">
        <f ca="1">IFERROR(__xludf.DUMMYFUNCTION("""COMPUTED_VALUE"""),30)</f>
        <v>30</v>
      </c>
      <c r="L65" s="55">
        <f ca="1">IFERROR(__xludf.DUMMYFUNCTION("""COMPUTED_VALUE"""),44540)</f>
        <v>44540</v>
      </c>
      <c r="M65" s="25" t="str">
        <f ca="1">IFERROR(__xludf.DUMMYFUNCTION("""COMPUTED_VALUE"""),"Mediante radicado 20212240410453 de fecha 1 de diciembre de 2021, el señor Secretario de Gobierno firmó la solicitud de priorización en turno de actuaciones de policía correspondientes a la localidad de Suba sector La Gaitana.")</f>
        <v>Mediante radicado 20212240410453 de fecha 1 de diciembre de 2021, el señor Secretario de Gobierno firmó la solicitud de priorización en turno de actuaciones de policía correspondientes a la localidad de Suba sector La Gaitana.</v>
      </c>
      <c r="N65" s="55">
        <f ca="1">IFERROR(__xludf.DUMMYFUNCTION("""COMPUTED_VALUE"""),44540)</f>
        <v>44540</v>
      </c>
      <c r="O65" s="25" t="str">
        <f t="shared" ca="1" si="0"/>
        <v>Secretaría Distrital de Seguridad, Convivencia y Justicia</v>
      </c>
      <c r="P65" s="25" t="str">
        <f t="shared" si="1"/>
        <v/>
      </c>
      <c r="Q65" s="25" t="str">
        <f ca="1">IFERROR(__xludf.DUMMYFUNCTION("""COMPUTED_VALUE"""),"Corto plazo")</f>
        <v>Corto plazo</v>
      </c>
      <c r="R65" s="25"/>
      <c r="S65" s="55"/>
      <c r="T65" s="56"/>
      <c r="U65" s="25"/>
      <c r="V65" s="25"/>
      <c r="W65" s="25"/>
      <c r="X65" s="25"/>
      <c r="Y65" s="25"/>
      <c r="Z65" s="25"/>
    </row>
    <row r="66" spans="1:26" ht="52.5" customHeight="1" x14ac:dyDescent="0.25">
      <c r="A66" s="25" t="str">
        <f ca="1">IFERROR(__xludf.DUMMYFUNCTION("""COMPUTED_VALUE"""),"Segur64")</f>
        <v>Segur64</v>
      </c>
      <c r="B66" s="25" t="str">
        <f ca="1">IFERROR(__xludf.DUMMYFUNCTION("""COMPUTED_VALUE"""),"Reunión grandes superficies")</f>
        <v>Reunión grandes superficies</v>
      </c>
      <c r="C66" s="55">
        <f ca="1">IFERROR(__xludf.DUMMYFUNCTION("""COMPUTED_VALUE"""),44490)</f>
        <v>44490</v>
      </c>
      <c r="D66" s="25" t="str">
        <f ca="1">IFERROR(__xludf.DUMMYFUNCTION("""COMPUTED_VALUE"""),"Seguridad")</f>
        <v>Seguridad</v>
      </c>
      <c r="E66" s="25" t="str">
        <f ca="1">IFERROR(__xludf.DUMMYFUNCTION("""COMPUTED_VALUE"""),"Secretaría Distrital de Seguridad, Convivencia y Justicia")</f>
        <v>Secretaría Distrital de Seguridad, Convivencia y Justicia</v>
      </c>
      <c r="F66" s="25" t="str">
        <f ca="1">IFERROR(__xludf.DUMMYFUNCTION("""COMPUTED_VALUE"""),"Mandar un correo a los comerciantes con cada enlace por localidad para hacer un PMU del día sin iva")</f>
        <v>Mandar un correo a los comerciantes con cada enlace por localidad para hacer un PMU del día sin iva</v>
      </c>
      <c r="G66" s="25" t="str">
        <f ca="1">IFERROR(__xludf.DUMMYFUNCTION("""COMPUTED_VALUE"""),"99. Distrito")</f>
        <v>99. Distrito</v>
      </c>
      <c r="H66" s="55">
        <f ca="1">IFERROR(__xludf.DUMMYFUNCTION("""COMPUTED_VALUE"""),44520)</f>
        <v>44520</v>
      </c>
      <c r="I66" s="25"/>
      <c r="J66" s="55" t="str">
        <f ca="1">IFERROR(__xludf.DUMMYFUNCTION("""COMPUTED_VALUE"""),"Alta")</f>
        <v>Alta</v>
      </c>
      <c r="K66" s="25">
        <f ca="1">IFERROR(__xludf.DUMMYFUNCTION("""COMPUTED_VALUE"""),30)</f>
        <v>30</v>
      </c>
      <c r="L66" s="55">
        <f ca="1">IFERROR(__xludf.DUMMYFUNCTION("""COMPUTED_VALUE"""),44576)</f>
        <v>44576</v>
      </c>
      <c r="M66" s="25" t="str">
        <f ca="1">IFERROR(__xludf.DUMMYFUNCTION("""COMPUTED_VALUE"""),"Se realizó reunión con los representantes de centros comerciales, asociados FENALCO y Grandes Superficies. Se realizó un PMU por zonas priorizadas y se activó COE para las 3 fechas de días sin IVA sin novedad. De igual forma para Bogotá 24 horas y Noche d"&amp;"e museos ")</f>
        <v xml:space="preserve">Se realizó reunión con los representantes de centros comerciales, asociados FENALCO y Grandes Superficies. Se realizó un PMU por zonas priorizadas y se activó COE para las 3 fechas de días sin IVA sin novedad. De igual forma para Bogotá 24 horas y Noche de museos </v>
      </c>
      <c r="N66" s="55">
        <f ca="1">IFERROR(__xludf.DUMMYFUNCTION("""COMPUTED_VALUE"""),44576)</f>
        <v>44576</v>
      </c>
      <c r="O66" s="25" t="str">
        <f t="shared" ca="1" si="0"/>
        <v>Secretaría Distrital de Seguridad, Convivencia y Justicia</v>
      </c>
      <c r="P66" s="25" t="str">
        <f t="shared" si="1"/>
        <v/>
      </c>
      <c r="Q66" s="25" t="str">
        <f ca="1">IFERROR(__xludf.DUMMYFUNCTION("""COMPUTED_VALUE"""),"Corto plazo")</f>
        <v>Corto plazo</v>
      </c>
      <c r="R66" s="25"/>
      <c r="S66" s="55"/>
      <c r="T66" s="56"/>
      <c r="U66" s="25"/>
      <c r="V66" s="25"/>
      <c r="W66" s="25"/>
      <c r="X66" s="25"/>
      <c r="Y66" s="25"/>
      <c r="Z66" s="25"/>
    </row>
    <row r="67" spans="1:26" ht="52.5" customHeight="1" x14ac:dyDescent="0.25">
      <c r="A67" s="25" t="str">
        <f ca="1">IFERROR(__xludf.DUMMYFUNCTION("""COMPUTED_VALUE"""),"Segur65")</f>
        <v>Segur65</v>
      </c>
      <c r="B67" s="25" t="str">
        <f ca="1">IFERROR(__xludf.DUMMYFUNCTION("""COMPUTED_VALUE"""),"Reunión grandes superficies")</f>
        <v>Reunión grandes superficies</v>
      </c>
      <c r="C67" s="55">
        <f ca="1">IFERROR(__xludf.DUMMYFUNCTION("""COMPUTED_VALUE"""),44490)</f>
        <v>44490</v>
      </c>
      <c r="D67" s="25" t="str">
        <f ca="1">IFERROR(__xludf.DUMMYFUNCTION("""COMPUTED_VALUE"""),"Seguridad")</f>
        <v>Seguridad</v>
      </c>
      <c r="E67" s="25" t="str">
        <f ca="1">IFERROR(__xludf.DUMMYFUNCTION("""COMPUTED_VALUE"""),"Secretaría Distrital de Seguridad, Convivencia y Justicia")</f>
        <v>Secretaría Distrital de Seguridad, Convivencia y Justicia</v>
      </c>
      <c r="F67" s="25" t="str">
        <f ca="1">IFERROR(__xludf.DUMMYFUNCTION("""COMPUTED_VALUE"""),"Organizar policía en rutas zonales especiales el día sin IVA para que los compradores y colaboradores de comercio puedan regresar a sus casas.")</f>
        <v>Organizar policía en rutas zonales especiales el día sin IVA para que los compradores y colaboradores de comercio puedan regresar a sus casas.</v>
      </c>
      <c r="G67" s="25" t="str">
        <f ca="1">IFERROR(__xludf.DUMMYFUNCTION("""COMPUTED_VALUE"""),"99. Distrito")</f>
        <v>99. Distrito</v>
      </c>
      <c r="H67" s="55">
        <f ca="1">IFERROR(__xludf.DUMMYFUNCTION("""COMPUTED_VALUE"""),44520)</f>
        <v>44520</v>
      </c>
      <c r="I67" s="25"/>
      <c r="J67" s="55" t="str">
        <f ca="1">IFERROR(__xludf.DUMMYFUNCTION("""COMPUTED_VALUE"""),"Alta")</f>
        <v>Alta</v>
      </c>
      <c r="K67" s="25">
        <f ca="1">IFERROR(__xludf.DUMMYFUNCTION("""COMPUTED_VALUE"""),30)</f>
        <v>30</v>
      </c>
      <c r="L67" s="55">
        <f ca="1">IFERROR(__xludf.DUMMYFUNCTION("""COMPUTED_VALUE"""),44561)</f>
        <v>44561</v>
      </c>
      <c r="M67" s="25" t="str">
        <f ca="1">IFERROR(__xludf.DUMMYFUNCTION("""COMPUTED_VALUE"""),"Se realizó reunión con los representantes de centros comerciales, asociados FENALCO y Grandes Superficies. Se realizó un PMU por zonas priorizadas y se activó COE para las 3 fechas de días sin IVA sin novedad. De igual forma para Bogotá 24 horas y Noche d"&amp;"e museos ")</f>
        <v xml:space="preserve">Se realizó reunión con los representantes de centros comerciales, asociados FENALCO y Grandes Superficies. Se realizó un PMU por zonas priorizadas y se activó COE para las 3 fechas de días sin IVA sin novedad. De igual forma para Bogotá 24 horas y Noche de museos </v>
      </c>
      <c r="N67" s="55">
        <f ca="1">IFERROR(__xludf.DUMMYFUNCTION("""COMPUTED_VALUE"""),44561)</f>
        <v>44561</v>
      </c>
      <c r="O67" s="25" t="str">
        <f t="shared" ca="1" si="0"/>
        <v>Secretaría Distrital de Seguridad, Convivencia y Justicia</v>
      </c>
      <c r="P67" s="25" t="str">
        <f t="shared" si="1"/>
        <v/>
      </c>
      <c r="Q67" s="25" t="str">
        <f ca="1">IFERROR(__xludf.DUMMYFUNCTION("""COMPUTED_VALUE"""),"Corto plazo")</f>
        <v>Corto plazo</v>
      </c>
      <c r="R67" s="25"/>
      <c r="S67" s="55"/>
      <c r="T67" s="56"/>
      <c r="U67" s="25"/>
      <c r="V67" s="25"/>
      <c r="W67" s="25"/>
      <c r="X67" s="25"/>
      <c r="Y67" s="25"/>
      <c r="Z67" s="25"/>
    </row>
    <row r="68" spans="1:26" ht="52.5" customHeight="1" x14ac:dyDescent="0.25">
      <c r="A68" s="25" t="str">
        <f ca="1">IFERROR(__xludf.DUMMYFUNCTION("""COMPUTED_VALUE"""),"Segur66")</f>
        <v>Segur66</v>
      </c>
      <c r="B68" s="25" t="str">
        <f ca="1">IFERROR(__xludf.DUMMYFUNCTION("""COMPUTED_VALUE"""),"Revisión calendario elecciones -2021")</f>
        <v>Revisión calendario elecciones -2021</v>
      </c>
      <c r="C68" s="55">
        <f ca="1">IFERROR(__xludf.DUMMYFUNCTION("""COMPUTED_VALUE"""),44461)</f>
        <v>44461</v>
      </c>
      <c r="D68" s="25" t="str">
        <f ca="1">IFERROR(__xludf.DUMMYFUNCTION("""COMPUTED_VALUE"""),"Seguridad")</f>
        <v>Seguridad</v>
      </c>
      <c r="E68" s="25" t="str">
        <f ca="1">IFERROR(__xludf.DUMMYFUNCTION("""COMPUTED_VALUE"""),"Secretaría Distrital de Seguridad, Convivencia y Justicia")</f>
        <v>Secretaría Distrital de Seguridad, Convivencia y Justicia</v>
      </c>
      <c r="F68" s="25" t="str">
        <f ca="1">IFERROR(__xludf.DUMMYFUNCTION("""COMPUTED_VALUE"""),"Enviar propuesta de modificación de elecciones para las elecciones 2021, donde se unifique de la mayor forma posible todas las elecciones. ")</f>
        <v xml:space="preserve">Enviar propuesta de modificación de elecciones para las elecciones 2021, donde se unifique de la mayor forma posible todas las elecciones. </v>
      </c>
      <c r="G68" s="25" t="str">
        <f ca="1">IFERROR(__xludf.DUMMYFUNCTION("""COMPUTED_VALUE"""),"99. Distrito")</f>
        <v>99. Distrito</v>
      </c>
      <c r="H68" s="55">
        <f ca="1">IFERROR(__xludf.DUMMYFUNCTION("""COMPUTED_VALUE"""),44545)</f>
        <v>44545</v>
      </c>
      <c r="I68" s="25"/>
      <c r="J68" s="55" t="str">
        <f ca="1">IFERROR(__xludf.DUMMYFUNCTION("""COMPUTED_VALUE"""),"Media")</f>
        <v>Media</v>
      </c>
      <c r="K68" s="25">
        <f ca="1">IFERROR(__xludf.DUMMYFUNCTION("""COMPUTED_VALUE"""),84)</f>
        <v>84</v>
      </c>
      <c r="L68" s="55">
        <f ca="1">IFERROR(__xludf.DUMMYFUNCTION("""COMPUTED_VALUE"""),44576)</f>
        <v>44576</v>
      </c>
      <c r="M68" s="25" t="str">
        <f ca="1">IFERROR(__xludf.DUMMYFUNCTION("""COMPUTED_VALUE"""),"Esta tarea no corresponde a la Secretaría de Seguridad, sino al IDPAC.")</f>
        <v>Esta tarea no corresponde a la Secretaría de Seguridad, sino al IDPAC.</v>
      </c>
      <c r="N68" s="55">
        <f ca="1">IFERROR(__xludf.DUMMYFUNCTION("""COMPUTED_VALUE"""),44545)</f>
        <v>44545</v>
      </c>
      <c r="O68" s="25" t="str">
        <f t="shared" ca="1" si="0"/>
        <v>Secretaría Distrital de Seguridad, Convivencia y Justicia</v>
      </c>
      <c r="P68" s="25" t="str">
        <f t="shared" si="1"/>
        <v/>
      </c>
      <c r="Q68" s="25" t="str">
        <f ca="1">IFERROR(__xludf.DUMMYFUNCTION("""COMPUTED_VALUE"""),"Mediano plazo")</f>
        <v>Mediano plazo</v>
      </c>
      <c r="R68" s="25"/>
      <c r="S68" s="55"/>
      <c r="T68" s="56"/>
      <c r="U68" s="25"/>
      <c r="V68" s="25"/>
      <c r="W68" s="25"/>
      <c r="X68" s="25"/>
      <c r="Y68" s="25"/>
      <c r="Z68" s="25"/>
    </row>
    <row r="69" spans="1:26" ht="52.5" customHeight="1" x14ac:dyDescent="0.25">
      <c r="A69" s="25" t="str">
        <f ca="1">IFERROR(__xludf.DUMMYFUNCTION("""COMPUTED_VALUE"""),"Segur67")</f>
        <v>Segur67</v>
      </c>
      <c r="B69" s="25" t="str">
        <f ca="1">IFERROR(__xludf.DUMMYFUNCTION("""COMPUTED_VALUE"""),"Seguridad y herramientas TIC")</f>
        <v>Seguridad y herramientas TIC</v>
      </c>
      <c r="C69" s="55">
        <f ca="1">IFERROR(__xludf.DUMMYFUNCTION("""COMPUTED_VALUE"""),44461)</f>
        <v>44461</v>
      </c>
      <c r="D69" s="25" t="str">
        <f ca="1">IFERROR(__xludf.DUMMYFUNCTION("""COMPUTED_VALUE"""),"Seguridad")</f>
        <v>Seguridad</v>
      </c>
      <c r="E69" s="25" t="str">
        <f ca="1">IFERROR(__xludf.DUMMYFUNCTION("""COMPUTED_VALUE"""),"Secretaría Distrital de Seguridad, Convivencia y Justicia")</f>
        <v>Secretaría Distrital de Seguridad, Convivencia y Justicia</v>
      </c>
      <c r="F69" s="25" t="str">
        <f ca="1">IFERROR(__xludf.DUMMYFUNCTION("""COMPUTED_VALUE"""),"Evaluar la posibilidad de entregar teléfonos a los gestores de convivencia")</f>
        <v>Evaluar la posibilidad de entregar teléfonos a los gestores de convivencia</v>
      </c>
      <c r="G69" s="25" t="str">
        <f ca="1">IFERROR(__xludf.DUMMYFUNCTION("""COMPUTED_VALUE"""),"99. Distrito")</f>
        <v>99. Distrito</v>
      </c>
      <c r="H69" s="55">
        <f ca="1">IFERROR(__xludf.DUMMYFUNCTION("""COMPUTED_VALUE"""),44491)</f>
        <v>44491</v>
      </c>
      <c r="I69" s="25"/>
      <c r="J69" s="55" t="str">
        <f ca="1">IFERROR(__xludf.DUMMYFUNCTION("""COMPUTED_VALUE"""),"Alta")</f>
        <v>Alta</v>
      </c>
      <c r="K69" s="25">
        <f ca="1">IFERROR(__xludf.DUMMYFUNCTION("""COMPUTED_VALUE"""),30)</f>
        <v>30</v>
      </c>
      <c r="L69" s="55">
        <f ca="1">IFERROR(__xludf.DUMMYFUNCTION("""COMPUTED_VALUE"""),44576)</f>
        <v>44576</v>
      </c>
      <c r="M69" s="25" t="str">
        <f ca="1">IFERROR(__xludf.DUMMYFUNCTION("""COMPUTED_VALUE"""),"Se realizó una reunión entre la Subsecretaría de Seguridad y Convivencia y el C4 para estudiar la posibilidad de entregar teléfonos a los gestores de convivencia. Dada las funciones de los gestores, se gestionó con Bomberos la entrega de 17 radios en cone"&amp;"xión con c4.")</f>
        <v>Se realizó una reunión entre la Subsecretaría de Seguridad y Convivencia y el C4 para estudiar la posibilidad de entregar teléfonos a los gestores de convivencia. Dada las funciones de los gestores, se gestionó con Bomberos la entrega de 17 radios en conexión con c4.</v>
      </c>
      <c r="N69" s="55">
        <f ca="1">IFERROR(__xludf.DUMMYFUNCTION("""COMPUTED_VALUE"""),44576)</f>
        <v>44576</v>
      </c>
      <c r="O69" s="25" t="str">
        <f t="shared" ca="1" si="0"/>
        <v>Secretaría Distrital de Seguridad, Convivencia y Justicia</v>
      </c>
      <c r="P69" s="25" t="str">
        <f t="shared" si="1"/>
        <v/>
      </c>
      <c r="Q69" s="25" t="str">
        <f ca="1">IFERROR(__xludf.DUMMYFUNCTION("""COMPUTED_VALUE"""),"Corto plazo")</f>
        <v>Corto plazo</v>
      </c>
      <c r="R69" s="25"/>
      <c r="S69" s="55"/>
      <c r="T69" s="56"/>
      <c r="U69" s="25"/>
      <c r="V69" s="25"/>
      <c r="W69" s="25"/>
      <c r="X69" s="25"/>
      <c r="Y69" s="25"/>
      <c r="Z69" s="25"/>
    </row>
    <row r="70" spans="1:26" ht="52.5" customHeight="1" x14ac:dyDescent="0.25">
      <c r="A70" s="25" t="str">
        <f ca="1">IFERROR(__xludf.DUMMYFUNCTION("""COMPUTED_VALUE"""),"Segur68")</f>
        <v>Segur68</v>
      </c>
      <c r="B70" s="25" t="str">
        <f ca="1">IFERROR(__xludf.DUMMYFUNCTION("""COMPUTED_VALUE"""),"Seguridad y herramientas TIC")</f>
        <v>Seguridad y herramientas TIC</v>
      </c>
      <c r="C70" s="55">
        <f ca="1">IFERROR(__xludf.DUMMYFUNCTION("""COMPUTED_VALUE"""),44461)</f>
        <v>44461</v>
      </c>
      <c r="D70" s="25" t="str">
        <f ca="1">IFERROR(__xludf.DUMMYFUNCTION("""COMPUTED_VALUE"""),"Seguridad")</f>
        <v>Seguridad</v>
      </c>
      <c r="E70" s="25" t="str">
        <f ca="1">IFERROR(__xludf.DUMMYFUNCTION("""COMPUTED_VALUE"""),"Secretaría Distrital de Seguridad, Convivencia y Justicia")</f>
        <v>Secretaría Distrital de Seguridad, Convivencia y Justicia</v>
      </c>
      <c r="F70" s="25" t="str">
        <f ca="1">IFERROR(__xludf.DUMMYFUNCTION("""COMPUTED_VALUE"""),"Asegurarse que las antenas de Sumapaz incluyan los repetidores solicitados por la Secretaría de Seguridad")</f>
        <v>Asegurarse que las antenas de Sumapaz incluyan los repetidores solicitados por la Secretaría de Seguridad</v>
      </c>
      <c r="G70" s="25" t="str">
        <f ca="1">IFERROR(__xludf.DUMMYFUNCTION("""COMPUTED_VALUE"""),"99. Distrito")</f>
        <v>99. Distrito</v>
      </c>
      <c r="H70" s="55">
        <f ca="1">IFERROR(__xludf.DUMMYFUNCTION("""COMPUTED_VALUE"""),44491)</f>
        <v>44491</v>
      </c>
      <c r="I70" s="25"/>
      <c r="J70" s="55" t="str">
        <f ca="1">IFERROR(__xludf.DUMMYFUNCTION("""COMPUTED_VALUE"""),"Alta")</f>
        <v>Alta</v>
      </c>
      <c r="K70" s="25">
        <f ca="1">IFERROR(__xludf.DUMMYFUNCTION("""COMPUTED_VALUE"""),30)</f>
        <v>30</v>
      </c>
      <c r="L70" s="55">
        <f ca="1">IFERROR(__xludf.DUMMYFUNCTION("""COMPUTED_VALUE"""),44576)</f>
        <v>44576</v>
      </c>
      <c r="M70" s="25" t="str">
        <f ca="1">IFERROR(__xludf.DUMMYFUNCTION("""COMPUTED_VALUE"""),"Se realizó reunión con la Alta Consejería de TICs, quien lidera el proyecto y estaba a la espera de aprobación del OCAD. En este sentido se definió en la mencionada reunión que de acuerdo a su cronograma nosotros (SDSCJ -C4) podríamos instalar la antena d"&amp;"e repetición en julio basándonos en la infraestructura que ellos presentaron. El C4 entrgará a la subinversiones el borrador del proceso en la segunda semana de enero de 2022.")</f>
        <v>Se realizó reunión con la Alta Consejería de TICs, quien lidera el proyecto y estaba a la espera de aprobación del OCAD. En este sentido se definió en la mencionada reunión que de acuerdo a su cronograma nosotros (SDSCJ -C4) podríamos instalar la antena de repetición en julio basándonos en la infraestructura que ellos presentaron. El C4 entrgará a la subinversiones el borrador del proceso en la segunda semana de enero de 2022.</v>
      </c>
      <c r="N70" s="55">
        <f ca="1">IFERROR(__xludf.DUMMYFUNCTION("""COMPUTED_VALUE"""),44576)</f>
        <v>44576</v>
      </c>
      <c r="O70" s="25" t="str">
        <f t="shared" ca="1" si="0"/>
        <v>Secretaría Distrital de Seguridad, Convivencia y Justicia</v>
      </c>
      <c r="P70" s="25" t="str">
        <f t="shared" si="1"/>
        <v/>
      </c>
      <c r="Q70" s="25" t="str">
        <f ca="1">IFERROR(__xludf.DUMMYFUNCTION("""COMPUTED_VALUE"""),"Corto plazo")</f>
        <v>Corto plazo</v>
      </c>
      <c r="R70" s="25"/>
      <c r="S70" s="55"/>
      <c r="T70" s="56"/>
      <c r="U70" s="25"/>
      <c r="V70" s="25"/>
      <c r="W70" s="25"/>
      <c r="X70" s="25"/>
      <c r="Y70" s="25"/>
      <c r="Z70" s="25"/>
    </row>
    <row r="71" spans="1:26" ht="52.5" customHeight="1" x14ac:dyDescent="0.25">
      <c r="A71" s="25" t="str">
        <f ca="1">IFERROR(__xludf.DUMMYFUNCTION("""COMPUTED_VALUE"""),"Segur69")</f>
        <v>Segur69</v>
      </c>
      <c r="B71" s="25" t="str">
        <f ca="1">IFERROR(__xludf.DUMMYFUNCTION("""COMPUTED_VALUE"""),"Seguridad y herramientas TIC")</f>
        <v>Seguridad y herramientas TIC</v>
      </c>
      <c r="C71" s="55">
        <f ca="1">IFERROR(__xludf.DUMMYFUNCTION("""COMPUTED_VALUE"""),44461)</f>
        <v>44461</v>
      </c>
      <c r="D71" s="25" t="str">
        <f ca="1">IFERROR(__xludf.DUMMYFUNCTION("""COMPUTED_VALUE"""),"Seguridad")</f>
        <v>Seguridad</v>
      </c>
      <c r="E71" s="25" t="str">
        <f ca="1">IFERROR(__xludf.DUMMYFUNCTION("""COMPUTED_VALUE"""),"Secretaría Distrital de Seguridad, Convivencia y Justicia")</f>
        <v>Secretaría Distrital de Seguridad, Convivencia y Justicia</v>
      </c>
      <c r="F71" s="25" t="str">
        <f ca="1">IFERROR(__xludf.DUMMYFUNCTION("""COMPUTED_VALUE"""),"Evaluar la posibilidad que los 200 policías que están analizando las cámaras C4 salgan a las calles.")</f>
        <v>Evaluar la posibilidad que los 200 policías que están analizando las cámaras C4 salgan a las calles.</v>
      </c>
      <c r="G71" s="25" t="str">
        <f ca="1">IFERROR(__xludf.DUMMYFUNCTION("""COMPUTED_VALUE"""),"99. Distrito")</f>
        <v>99. Distrito</v>
      </c>
      <c r="H71" s="55">
        <f ca="1">IFERROR(__xludf.DUMMYFUNCTION("""COMPUTED_VALUE"""),44491)</f>
        <v>44491</v>
      </c>
      <c r="I71" s="25"/>
      <c r="J71" s="55" t="str">
        <f ca="1">IFERROR(__xludf.DUMMYFUNCTION("""COMPUTED_VALUE"""),"Alta")</f>
        <v>Alta</v>
      </c>
      <c r="K71" s="25">
        <f ca="1">IFERROR(__xludf.DUMMYFUNCTION("""COMPUTED_VALUE"""),30)</f>
        <v>30</v>
      </c>
      <c r="L71" s="55">
        <f ca="1">IFERROR(__xludf.DUMMYFUNCTION("""COMPUTED_VALUE"""),44576)</f>
        <v>44576</v>
      </c>
      <c r="M71" s="25" t="str">
        <f ca="1">IFERROR(__xludf.DUMMYFUNCTION("""COMPUTED_VALUE"""),"Por asuntos  de competencias y legales con policía, no fue viable asignar las competencias de vigilancia en el SVV a civiles por lo tanto se mantuvo cuerpo de policía en dichas actividades.")</f>
        <v>Por asuntos  de competencias y legales con policía, no fue viable asignar las competencias de vigilancia en el SVV a civiles por lo tanto se mantuvo cuerpo de policía en dichas actividades.</v>
      </c>
      <c r="N71" s="55">
        <f ca="1">IFERROR(__xludf.DUMMYFUNCTION("""COMPUTED_VALUE"""),44576)</f>
        <v>44576</v>
      </c>
      <c r="O71" s="25" t="str">
        <f t="shared" ca="1" si="0"/>
        <v>Secretaría Distrital de Seguridad, Convivencia y Justicia</v>
      </c>
      <c r="P71" s="25" t="str">
        <f t="shared" si="1"/>
        <v/>
      </c>
      <c r="Q71" s="25" t="str">
        <f ca="1">IFERROR(__xludf.DUMMYFUNCTION("""COMPUTED_VALUE"""),"Corto plazo")</f>
        <v>Corto plazo</v>
      </c>
      <c r="R71" s="25"/>
      <c r="S71" s="55"/>
      <c r="T71" s="56"/>
      <c r="U71" s="25"/>
      <c r="V71" s="25"/>
      <c r="W71" s="25"/>
      <c r="X71" s="25"/>
      <c r="Y71" s="25"/>
      <c r="Z71" s="25"/>
    </row>
    <row r="72" spans="1:26" ht="52.5" customHeight="1" x14ac:dyDescent="0.25">
      <c r="A72" s="25" t="str">
        <f ca="1">IFERROR(__xludf.DUMMYFUNCTION("""COMPUTED_VALUE"""),"Segur70")</f>
        <v>Segur70</v>
      </c>
      <c r="B72" s="25" t="str">
        <f ca="1">IFERROR(__xludf.DUMMYFUNCTION("""COMPUTED_VALUE"""),"Seguridad y herramientas TIC")</f>
        <v>Seguridad y herramientas TIC</v>
      </c>
      <c r="C72" s="55">
        <f ca="1">IFERROR(__xludf.DUMMYFUNCTION("""COMPUTED_VALUE"""),44461)</f>
        <v>44461</v>
      </c>
      <c r="D72" s="25" t="str">
        <f ca="1">IFERROR(__xludf.DUMMYFUNCTION("""COMPUTED_VALUE"""),"Seguridad")</f>
        <v>Seguridad</v>
      </c>
      <c r="E72" s="25" t="str">
        <f ca="1">IFERROR(__xludf.DUMMYFUNCTION("""COMPUTED_VALUE"""),"Secretaría Distrital de Seguridad, Convivencia y Justicia")</f>
        <v>Secretaría Distrital de Seguridad, Convivencia y Justicia</v>
      </c>
      <c r="F72" s="25" t="str">
        <f ca="1">IFERROR(__xludf.DUMMYFUNCTION("""COMPUTED_VALUE"""),"Realizar con ágata el diagnóstico de datos de personas. Adicionalmente, articularse con transmilenio y el software desarrollado para reconocimiento facial. ")</f>
        <v xml:space="preserve">Realizar con ágata el diagnóstico de datos de personas. Adicionalmente, articularse con transmilenio y el software desarrollado para reconocimiento facial. </v>
      </c>
      <c r="G72" s="25" t="str">
        <f ca="1">IFERROR(__xludf.DUMMYFUNCTION("""COMPUTED_VALUE"""),"99. Distrito")</f>
        <v>99. Distrito</v>
      </c>
      <c r="H72" s="55">
        <f ca="1">IFERROR(__xludf.DUMMYFUNCTION("""COMPUTED_VALUE"""),44491)</f>
        <v>44491</v>
      </c>
      <c r="I72" s="25"/>
      <c r="J72" s="55" t="str">
        <f ca="1">IFERROR(__xludf.DUMMYFUNCTION("""COMPUTED_VALUE"""),"Alta")</f>
        <v>Alta</v>
      </c>
      <c r="K72" s="25">
        <f ca="1">IFERROR(__xludf.DUMMYFUNCTION("""COMPUTED_VALUE"""),30)</f>
        <v>30</v>
      </c>
      <c r="L72" s="55">
        <f ca="1">IFERROR(__xludf.DUMMYFUNCTION("""COMPUTED_VALUE"""),44576)</f>
        <v>44576</v>
      </c>
      <c r="M72" s="25" t="str">
        <f ca="1">IFERROR(__xludf.DUMMYFUNCTION("""COMPUTED_VALUE"""),"El contrato con Agata no se llevó a cabo tal como se explicó en la tarea 3956. 
Ahora bien, respecto a la articulación con transmilenio se empezaron mesas de trabajo para definir la hoja de ruta a seguir en integración de cámaras, hasta el momento el tema"&amp;" de analíticas en el SITP no se ha abordado dado que primero tiene que determinarse el proceso de integración al C4.")</f>
        <v>El contrato con Agata no se llevó a cabo tal como se explicó en la tarea 3956. 
Ahora bien, respecto a la articulación con transmilenio se empezaron mesas de trabajo para definir la hoja de ruta a seguir en integración de cámaras, hasta el momento el tema de analíticas en el SITP no se ha abordado dado que primero tiene que determinarse el proceso de integración al C4.</v>
      </c>
      <c r="N72" s="55">
        <f ca="1">IFERROR(__xludf.DUMMYFUNCTION("""COMPUTED_VALUE"""),44576)</f>
        <v>44576</v>
      </c>
      <c r="O72" s="25" t="str">
        <f t="shared" ca="1" si="0"/>
        <v>Secretaría Distrital de Seguridad, Convivencia y Justicia</v>
      </c>
      <c r="P72" s="25" t="str">
        <f t="shared" si="1"/>
        <v/>
      </c>
      <c r="Q72" s="25" t="str">
        <f ca="1">IFERROR(__xludf.DUMMYFUNCTION("""COMPUTED_VALUE"""),"Corto plazo")</f>
        <v>Corto plazo</v>
      </c>
      <c r="R72" s="25"/>
      <c r="S72" s="55"/>
      <c r="T72" s="56"/>
      <c r="U72" s="25"/>
      <c r="V72" s="25"/>
      <c r="W72" s="25"/>
      <c r="X72" s="25"/>
      <c r="Y72" s="25"/>
      <c r="Z72" s="25"/>
    </row>
    <row r="73" spans="1:26" ht="52.5" customHeight="1" x14ac:dyDescent="0.25">
      <c r="A73" s="25" t="str">
        <f ca="1">IFERROR(__xludf.DUMMYFUNCTION("""COMPUTED_VALUE"""),"Segur71")</f>
        <v>Segur71</v>
      </c>
      <c r="B73" s="25" t="str">
        <f ca="1">IFERROR(__xludf.DUMMYFUNCTION("""COMPUTED_VALUE"""),"Despachando colectivo de ciclistas")</f>
        <v>Despachando colectivo de ciclistas</v>
      </c>
      <c r="C73" s="55">
        <f ca="1">IFERROR(__xludf.DUMMYFUNCTION("""COMPUTED_VALUE"""),44459)</f>
        <v>44459</v>
      </c>
      <c r="D73" s="25" t="str">
        <f ca="1">IFERROR(__xludf.DUMMYFUNCTION("""COMPUTED_VALUE"""),"Seguridad")</f>
        <v>Seguridad</v>
      </c>
      <c r="E73" s="25" t="str">
        <f ca="1">IFERROR(__xludf.DUMMYFUNCTION("""COMPUTED_VALUE"""),"Secretaría Distrital de Seguridad, Convivencia y Justicia")</f>
        <v>Secretaría Distrital de Seguridad, Convivencia y Justicia</v>
      </c>
      <c r="F73" s="25" t="str">
        <f ca="1">IFERROR(__xludf.DUMMYFUNCTION("""COMPUTED_VALUE"""),"Se debe Incluir en materia legislativa:
Redactar el proyecto normativo para convertir el delito de hurto a bicicleta en autónomo. (Dir. Juridica)
o        También incluir endurecimiento a penas por hurto de cuantía mínima y por reincidencia. (SubJusticia)"&amp;"
•        Formular un proyecto normativo para sancionar a establecimiento de comercio que no entregan la bicicleta Registrada y a usuarios que no hayan registrado su bicicleta (SubJusticia)
Incluir que el registro de las bicicletas es obligatorio. 
""La"&amp;" redacción de los artículos debe estar listos para el 27 de septiembre""")</f>
        <v>Se debe Incluir en materia legislativa:
Redactar el proyecto normativo para convertir el delito de hurto a bicicleta en autónomo. (Dir. Juridica)
o        También incluir endurecimiento a penas por hurto de cuantía mínima y por reincidencia. (SubJusticia)
•        Formular un proyecto normativo para sancionar a establecimiento de comercio que no entregan la bicicleta Registrada y a usuarios que no hayan registrado su bicicleta (SubJusticia)
Incluir que el registro de las bicicletas es obligatorio. 
"La redacción de los artículos debe estar listos para el 27 de septiembre"</v>
      </c>
      <c r="G73" s="25" t="str">
        <f ca="1">IFERROR(__xludf.DUMMYFUNCTION("""COMPUTED_VALUE"""),"99. Distrito")</f>
        <v>99. Distrito</v>
      </c>
      <c r="H73" s="55">
        <f ca="1">IFERROR(__xludf.DUMMYFUNCTION("""COMPUTED_VALUE"""),44466)</f>
        <v>44466</v>
      </c>
      <c r="I73" s="25"/>
      <c r="J73" s="55" t="str">
        <f ca="1">IFERROR(__xludf.DUMMYFUNCTION("""COMPUTED_VALUE"""),"Alta")</f>
        <v>Alta</v>
      </c>
      <c r="K73" s="25">
        <f ca="1">IFERROR(__xludf.DUMMYFUNCTION("""COMPUTED_VALUE"""),7)</f>
        <v>7</v>
      </c>
      <c r="L73" s="55">
        <f ca="1">IFERROR(__xludf.DUMMYFUNCTION("""COMPUTED_VALUE"""),44576)</f>
        <v>44576</v>
      </c>
      <c r="M73" s="25" t="str">
        <f ca="1">IFERROR(__xludf.DUMMYFUNCTION("""COMPUTED_VALUE"""),"En octubre 2021, la alcaldesa mayor entregó al Gobierno Nacional, una serie de propuestas para frenar la impunidad en delitos como el hurto a persona, particularmente cuando se genera violencia. Se propone atacar la reincidencia, la recurrencia, y que el "&amp;"hurto de minima cuantía se convierta en una contravención especial. Las propuestas quedaron plasmadas en el proyecto de Ley de Seguridad Ciudadana que actualmente cursa en el Congreso. ")</f>
        <v xml:space="preserve">En octubre 2021, la alcaldesa mayor entregó al Gobierno Nacional, una serie de propuestas para frenar la impunidad en delitos como el hurto a persona, particularmente cuando se genera violencia. Se propone atacar la reincidencia, la recurrencia, y que el hurto de minima cuantía se convierta en una contravención especial. Las propuestas quedaron plasmadas en el proyecto de Ley de Seguridad Ciudadana que actualmente cursa en el Congreso. </v>
      </c>
      <c r="N73" s="55">
        <f ca="1">IFERROR(__xludf.DUMMYFUNCTION("""COMPUTED_VALUE"""),44576)</f>
        <v>44576</v>
      </c>
      <c r="O73" s="25" t="str">
        <f t="shared" ca="1" si="0"/>
        <v>Secretaría Distrital de Seguridad, Convivencia y Justicia</v>
      </c>
      <c r="P73" s="25" t="str">
        <f t="shared" si="1"/>
        <v/>
      </c>
      <c r="Q73" s="25" t="str">
        <f ca="1">IFERROR(__xludf.DUMMYFUNCTION("""COMPUTED_VALUE"""),"Corto plazo")</f>
        <v>Corto plazo</v>
      </c>
      <c r="R73" s="25"/>
      <c r="S73" s="55"/>
      <c r="T73" s="56"/>
      <c r="U73" s="25"/>
      <c r="V73" s="25"/>
      <c r="W73" s="25"/>
      <c r="X73" s="25"/>
      <c r="Y73" s="25"/>
      <c r="Z73" s="25"/>
    </row>
    <row r="74" spans="1:26" ht="52.5" customHeight="1" x14ac:dyDescent="0.25">
      <c r="A74" s="25" t="str">
        <f ca="1">IFERROR(__xludf.DUMMYFUNCTION("""COMPUTED_VALUE"""),"Segur72")</f>
        <v>Segur72</v>
      </c>
      <c r="B74" s="25" t="str">
        <f ca="1">IFERROR(__xludf.DUMMYFUNCTION("""COMPUTED_VALUE"""),"Despachando colectivo de ciclistas")</f>
        <v>Despachando colectivo de ciclistas</v>
      </c>
      <c r="C74" s="55">
        <f ca="1">IFERROR(__xludf.DUMMYFUNCTION("""COMPUTED_VALUE"""),44459)</f>
        <v>44459</v>
      </c>
      <c r="D74" s="25" t="str">
        <f ca="1">IFERROR(__xludf.DUMMYFUNCTION("""COMPUTED_VALUE"""),"Seguridad")</f>
        <v>Seguridad</v>
      </c>
      <c r="E74" s="25" t="str">
        <f ca="1">IFERROR(__xludf.DUMMYFUNCTION("""COMPUTED_VALUE"""),"Secretaría Distrital de Seguridad, Convivencia y Justicia")</f>
        <v>Secretaría Distrital de Seguridad, Convivencia y Justicia</v>
      </c>
      <c r="F74" s="25" t="str">
        <f ca="1">IFERROR(__xludf.DUMMYFUNCTION("""COMPUTED_VALUE"""),"Definir esquema y fecha de entrega de las bicicletas que se encuentran incautadas y que no se ha logrado ubicar el dueño de la misma.")</f>
        <v>Definir esquema y fecha de entrega de las bicicletas que se encuentran incautadas y que no se ha logrado ubicar el dueño de la misma.</v>
      </c>
      <c r="G74" s="25" t="str">
        <f ca="1">IFERROR(__xludf.DUMMYFUNCTION("""COMPUTED_VALUE"""),"99. Distrito")</f>
        <v>99. Distrito</v>
      </c>
      <c r="H74" s="55">
        <f ca="1">IFERROR(__xludf.DUMMYFUNCTION("""COMPUTED_VALUE"""),45107)</f>
        <v>45107</v>
      </c>
      <c r="I74" s="25" t="str">
        <f ca="1">IFERROR(__xludf.DUMMYFUNCTION("""COMPUTED_VALUE"""),"Delivery Unit")</f>
        <v>Delivery Unit</v>
      </c>
      <c r="J74" s="55" t="str">
        <f ca="1">IFERROR(__xludf.DUMMYFUNCTION("""COMPUTED_VALUE"""),"Baja")</f>
        <v>Baja</v>
      </c>
      <c r="K74" s="25">
        <f ca="1">IFERROR(__xludf.DUMMYFUNCTION("""COMPUTED_VALUE"""),648)</f>
        <v>648</v>
      </c>
      <c r="L74" s="55">
        <f ca="1">IFERROR(__xludf.DUMMYFUNCTION("""COMPUTED_VALUE"""),45077)</f>
        <v>45077</v>
      </c>
      <c r="M74" s="25" t="str">
        <f ca="1">IFERROR(__xludf.DUMMYFUNCTION("""COMPUTED_VALUE"""),"Se realizó recepción de las respuestas a los oficios emitidos a la Secretaría de Movilidad Secretaría de Gobierno y Policía Metropolitana de Bogotá, corroborando que la respuesta de Policía coincide en la respuesta remitida por la Secretaría de Gobierno, "&amp;"quienes reconocen 41 bicicletas e indican que se realice la entrega a las inspecciones de Policía. En ese sentido actualmente la entidad se encuentra trabajando en realizar la gestión correspondiente para identificar las inspecciones que recibirán las bic"&amp;"icletas referidas. 
Por otro lado, se llevó a cabo y  se presentó en mesa técnica de manejo de bienes el día 09/05/2023  la solicitud de autorización de ingreso a inventarios de 249 bicicletas, desagregadas así: 138 bicicletas y un lote de partes de 111 "&amp;"bicicletas, solicitud que fue aprobada por unanimidad. Así mismo se dejó abierta la posibilidad de presentar en la próxima mesa técnica  la recomendación para proceder a su destinación final a través de la figura de enajenación a título gratuita entre ent"&amp;"idades estatales. ")</f>
        <v xml:space="preserve">Se realizó recepción de las respuestas a los oficios emitidos a la Secretaría de Movilidad Secretaría de Gobierno y Policía Metropolitana de Bogotá, corroborando que la respuesta de Policía coincide en la respuesta remitida por la Secretaría de Gobierno, quienes reconocen 41 bicicletas e indican que se realice la entrega a las inspecciones de Policía. En ese sentido actualmente la entidad se encuentra trabajando en realizar la gestión correspondiente para identificar las inspecciones que recibirán las bicicletas referidas. 
Por otro lado, se llevó a cabo y  se presentó en mesa técnica de manejo de bienes el día 09/05/2023  la solicitud de autorización de ingreso a inventarios de 249 bicicletas, desagregadas así: 138 bicicletas y un lote de partes de 111 bicicletas, solicitud que fue aprobada por unanimidad. Así mismo se dejó abierta la posibilidad de presentar en la próxima mesa técnica  la recomendación para proceder a su destinación final a través de la figura de enajenación a título gratuita entre entidades estatales. </v>
      </c>
      <c r="N74" s="25"/>
      <c r="O74" s="25" t="str">
        <f t="shared" ca="1" si="0"/>
        <v>Secretaría Distrital de Seguridad, Convivencia y Justicia</v>
      </c>
      <c r="P74" s="25" t="str">
        <f t="shared" ca="1" si="1"/>
        <v/>
      </c>
      <c r="Q74" s="25" t="str">
        <f ca="1">IFERROR(__xludf.DUMMYFUNCTION("""COMPUTED_VALUE"""),"Largo plazo")</f>
        <v>Largo plazo</v>
      </c>
      <c r="R74" s="25"/>
      <c r="S74" s="55"/>
      <c r="T74" s="56"/>
      <c r="U74" s="25"/>
      <c r="V74" s="25"/>
      <c r="W74" s="25"/>
      <c r="X74" s="25"/>
      <c r="Y74" s="25"/>
      <c r="Z74" s="25"/>
    </row>
    <row r="75" spans="1:26" ht="52.5" customHeight="1" x14ac:dyDescent="0.25">
      <c r="A75" s="25" t="str">
        <f ca="1">IFERROR(__xludf.DUMMYFUNCTION("""COMPUTED_VALUE"""),"Segur73")</f>
        <v>Segur73</v>
      </c>
      <c r="B75" s="25" t="str">
        <f ca="1">IFERROR(__xludf.DUMMYFUNCTION("""COMPUTED_VALUE"""),"Despachando frentes de seguridad")</f>
        <v>Despachando frentes de seguridad</v>
      </c>
      <c r="C75" s="55">
        <f ca="1">IFERROR(__xludf.DUMMYFUNCTION("""COMPUTED_VALUE"""),44459)</f>
        <v>44459</v>
      </c>
      <c r="D75" s="25" t="str">
        <f ca="1">IFERROR(__xludf.DUMMYFUNCTION("""COMPUTED_VALUE"""),"Seguridad")</f>
        <v>Seguridad</v>
      </c>
      <c r="E75" s="25" t="str">
        <f ca="1">IFERROR(__xludf.DUMMYFUNCTION("""COMPUTED_VALUE"""),"Secretaría Distrital de Seguridad, Convivencia y Justicia")</f>
        <v>Secretaría Distrital de Seguridad, Convivencia y Justicia</v>
      </c>
      <c r="F75" s="25" t="str">
        <f ca="1">IFERROR(__xludf.DUMMYFUNCTION("""COMPUTED_VALUE"""),"Definir estrategias para entornos seguros escolares ¿que se esta haciendo en los parques? ¿como se puede mejorar? Articularse con la SED,  IDRD, hábitat para realizar sctividades recreativas, huertas, embellecimiento . ")</f>
        <v xml:space="preserve">Definir estrategias para entornos seguros escolares ¿que se esta haciendo en los parques? ¿como se puede mejorar? Articularse con la SED,  IDRD, hábitat para realizar sctividades recreativas, huertas, embellecimiento . </v>
      </c>
      <c r="G75" s="25" t="str">
        <f ca="1">IFERROR(__xludf.DUMMYFUNCTION("""COMPUTED_VALUE"""),"99. Distrito")</f>
        <v>99. Distrito</v>
      </c>
      <c r="H75" s="55">
        <f ca="1">IFERROR(__xludf.DUMMYFUNCTION("""COMPUTED_VALUE"""),44489)</f>
        <v>44489</v>
      </c>
      <c r="I75" s="25"/>
      <c r="J75" s="55" t="str">
        <f ca="1">IFERROR(__xludf.DUMMYFUNCTION("""COMPUTED_VALUE"""),"Alta")</f>
        <v>Alta</v>
      </c>
      <c r="K75" s="25">
        <f ca="1">IFERROR(__xludf.DUMMYFUNCTION("""COMPUTED_VALUE"""),30)</f>
        <v>30</v>
      </c>
      <c r="L75" s="55">
        <f ca="1">IFERROR(__xludf.DUMMYFUNCTION("""COMPUTED_VALUE"""),44576)</f>
        <v>44576</v>
      </c>
      <c r="M75" s="25" t="str">
        <f ca="1">IFERROR(__xludf.DUMMYFUNCTION("""COMPUTED_VALUE"""),"Con corte al 6 de diciembre se priorizaron 19 universidades por ubicación en segmentos de vida, se han realizado 3 mesas de trabajo con universidades del Centro, se creó la RED CUIDAdana Universitaria, se ha realizado conexión de cámaras de universidades "&amp;"con el C4. Adicionalmente, se está fortaleciento la estrategia con los parques con la priorización de parques por situaciones de inseguridad y el desarrollo de estrategias con la MEBOG y con el equipo del IDRD.")</f>
        <v>Con corte al 6 de diciembre se priorizaron 19 universidades por ubicación en segmentos de vida, se han realizado 3 mesas de trabajo con universidades del Centro, se creó la RED CUIDAdana Universitaria, se ha realizado conexión de cámaras de universidades con el C4. Adicionalmente, se está fortaleciento la estrategia con los parques con la priorización de parques por situaciones de inseguridad y el desarrollo de estrategias con la MEBOG y con el equipo del IDRD.</v>
      </c>
      <c r="N75" s="55">
        <f ca="1">IFERROR(__xludf.DUMMYFUNCTION("""COMPUTED_VALUE"""),44576)</f>
        <v>44576</v>
      </c>
      <c r="O75" s="25" t="str">
        <f t="shared" ca="1" si="0"/>
        <v>Secretaría Distrital de Seguridad, Convivencia y Justicia</v>
      </c>
      <c r="P75" s="25" t="str">
        <f t="shared" si="1"/>
        <v/>
      </c>
      <c r="Q75" s="25" t="str">
        <f ca="1">IFERROR(__xludf.DUMMYFUNCTION("""COMPUTED_VALUE"""),"Corto plazo")</f>
        <v>Corto plazo</v>
      </c>
      <c r="R75" s="25"/>
      <c r="S75" s="55"/>
      <c r="T75" s="56"/>
      <c r="U75" s="25"/>
      <c r="V75" s="25"/>
      <c r="W75" s="25"/>
      <c r="X75" s="25"/>
      <c r="Y75" s="25"/>
      <c r="Z75" s="25"/>
    </row>
    <row r="76" spans="1:26" ht="52.5" customHeight="1" x14ac:dyDescent="0.25">
      <c r="A76" s="25" t="str">
        <f ca="1">IFERROR(__xludf.DUMMYFUNCTION("""COMPUTED_VALUE"""),"Segur74")</f>
        <v>Segur74</v>
      </c>
      <c r="B76" s="25" t="str">
        <f ca="1">IFERROR(__xludf.DUMMYFUNCTION("""COMPUTED_VALUE"""),"Despachando desde la Secretaría de Seguridad")</f>
        <v>Despachando desde la Secretaría de Seguridad</v>
      </c>
      <c r="C76" s="55">
        <f ca="1">IFERROR(__xludf.DUMMYFUNCTION("""COMPUTED_VALUE"""),44453)</f>
        <v>44453</v>
      </c>
      <c r="D76" s="25" t="str">
        <f ca="1">IFERROR(__xludf.DUMMYFUNCTION("""COMPUTED_VALUE"""),"Seguridad")</f>
        <v>Seguridad</v>
      </c>
      <c r="E76" s="25" t="str">
        <f ca="1">IFERROR(__xludf.DUMMYFUNCTION("""COMPUTED_VALUE"""),"Secretaría Distrital de Seguridad, Convivencia y Justicia")</f>
        <v>Secretaría Distrital de Seguridad, Convivencia y Justicia</v>
      </c>
      <c r="F76" s="25" t="str">
        <f ca="1">IFERROR(__xludf.DUMMYFUNCTION("""COMPUTED_VALUE"""),"Plan de Incorporación Policía: 1.500 formados para el año")</f>
        <v>Plan de Incorporación Policía: 1.500 formados para el año</v>
      </c>
      <c r="G76" s="25" t="str">
        <f ca="1">IFERROR(__xludf.DUMMYFUNCTION("""COMPUTED_VALUE"""),"99. Distrito")</f>
        <v>99. Distrito</v>
      </c>
      <c r="H76" s="55">
        <f ca="1">IFERROR(__xludf.DUMMYFUNCTION("""COMPUTED_VALUE"""),44483)</f>
        <v>44483</v>
      </c>
      <c r="I76" s="25"/>
      <c r="J76" s="55" t="str">
        <f ca="1">IFERROR(__xludf.DUMMYFUNCTION("""COMPUTED_VALUE"""),"Alta")</f>
        <v>Alta</v>
      </c>
      <c r="K76" s="25">
        <f ca="1">IFERROR(__xludf.DUMMYFUNCTION("""COMPUTED_VALUE"""),30)</f>
        <v>30</v>
      </c>
      <c r="L76" s="55">
        <f ca="1">IFERROR(__xludf.DUMMYFUNCTION("""COMPUTED_VALUE"""),44576)</f>
        <v>44576</v>
      </c>
      <c r="M76" s="25" t="str">
        <f ca="1">IFERROR(__xludf.DUMMYFUNCTION("""COMPUTED_VALUE"""),"El Plan de Incorporación fue firmado en esta vigencia. ")</f>
        <v xml:space="preserve">El Plan de Incorporación fue firmado en esta vigencia. </v>
      </c>
      <c r="N76" s="55">
        <f ca="1">IFERROR(__xludf.DUMMYFUNCTION("""COMPUTED_VALUE"""),44576)</f>
        <v>44576</v>
      </c>
      <c r="O76" s="25" t="str">
        <f t="shared" ca="1" si="0"/>
        <v>Secretaría Distrital de Seguridad, Convivencia y Justicia</v>
      </c>
      <c r="P76" s="25" t="str">
        <f t="shared" si="1"/>
        <v/>
      </c>
      <c r="Q76" s="25" t="str">
        <f ca="1">IFERROR(__xludf.DUMMYFUNCTION("""COMPUTED_VALUE"""),"Corto plazo")</f>
        <v>Corto plazo</v>
      </c>
      <c r="R76" s="25"/>
      <c r="S76" s="55"/>
      <c r="T76" s="56"/>
      <c r="U76" s="25"/>
      <c r="V76" s="25"/>
      <c r="W76" s="25"/>
      <c r="X76" s="25"/>
      <c r="Y76" s="25"/>
      <c r="Z76" s="25"/>
    </row>
    <row r="77" spans="1:26" ht="52.5" customHeight="1" x14ac:dyDescent="0.25">
      <c r="A77" s="25" t="str">
        <f ca="1">IFERROR(__xludf.DUMMYFUNCTION("""COMPUTED_VALUE"""),"Segur75")</f>
        <v>Segur75</v>
      </c>
      <c r="B77" s="25" t="str">
        <f ca="1">IFERROR(__xludf.DUMMYFUNCTION("""COMPUTED_VALUE"""),"Despachando desde la Secretaría de Seguridad")</f>
        <v>Despachando desde la Secretaría de Seguridad</v>
      </c>
      <c r="C77" s="55">
        <f ca="1">IFERROR(__xludf.DUMMYFUNCTION("""COMPUTED_VALUE"""),44453)</f>
        <v>44453</v>
      </c>
      <c r="D77" s="25" t="str">
        <f ca="1">IFERROR(__xludf.DUMMYFUNCTION("""COMPUTED_VALUE"""),"Seguridad")</f>
        <v>Seguridad</v>
      </c>
      <c r="E77" s="25" t="str">
        <f ca="1">IFERROR(__xludf.DUMMYFUNCTION("""COMPUTED_VALUE"""),"Secretaría Distrital de Seguridad, Convivencia y Justicia")</f>
        <v>Secretaría Distrital de Seguridad, Convivencia y Justicia</v>
      </c>
      <c r="F77" s="25" t="str">
        <f ca="1">IFERROR(__xludf.DUMMYFUNCTION("""COMPUTED_VALUE"""),"Entornos de Confianza: En cada intervención que se realice en el marco #JuntosCuidamosBogotá (patrullando), se debe crear una RedCUIDAdana.")</f>
        <v>Entornos de Confianza: En cada intervención que se realice en el marco #JuntosCuidamosBogotá (patrullando), se debe crear una RedCUIDAdana.</v>
      </c>
      <c r="G77" s="25" t="str">
        <f ca="1">IFERROR(__xludf.DUMMYFUNCTION("""COMPUTED_VALUE"""),"99. Distrito")</f>
        <v>99. Distrito</v>
      </c>
      <c r="H77" s="55">
        <f ca="1">IFERROR(__xludf.DUMMYFUNCTION("""COMPUTED_VALUE"""),44483)</f>
        <v>44483</v>
      </c>
      <c r="I77" s="25"/>
      <c r="J77" s="55" t="str">
        <f ca="1">IFERROR(__xludf.DUMMYFUNCTION("""COMPUTED_VALUE"""),"Alta")</f>
        <v>Alta</v>
      </c>
      <c r="K77" s="25">
        <f ca="1">IFERROR(__xludf.DUMMYFUNCTION("""COMPUTED_VALUE"""),30)</f>
        <v>30</v>
      </c>
      <c r="L77" s="55">
        <f ca="1">IFERROR(__xludf.DUMMYFUNCTION("""COMPUTED_VALUE"""),44576)</f>
        <v>44576</v>
      </c>
      <c r="M77" s="25" t="str">
        <f ca="1">IFERROR(__xludf.DUMMYFUNCTION("""COMPUTED_VALUE"""),"En el desarrollo de la estrategia de Juntos Cuidamos Bogotá se han creado redes CUIDAdanas en las distintas zonas intervenidas. A la fecha se tienen los siguientes resultados: 
Portal de las Américas: tres redes una de ellas con conexión al C4
Puente de l"&amp;"a dignidad: una creada de nombre terrazas de santa librada, a 500 metros del puente de la dignidad.
Portal suba: cinco redes CUIdadanas, una ellas con el centro comercial Plaza Imperial. Dos de ellas con revisión de cámaras para conexión al C4.
Chapinero "&amp;"Cra 7: hay dos redes cercanas a la cra 7. Bosque y la Salle y Cuatro Parques.
Parque la Guaca IV localidad Puente Aranda. Estamos en actividades previas de conformación de Red Cuidadana
Parque Nicolas de Federman en  Teusaquillo. Allí tenemos red cuidadan"&amp;"a conformada
")</f>
        <v xml:space="preserve">En el desarrollo de la estrategia de Juntos Cuidamos Bogotá se han creado redes CUIDAdanas en las distintas zonas intervenidas. A la fecha se tienen los siguientes resultados: 
Portal de las Américas: tres redes una de ellas con conexión al C4
Puente de la dignidad: una creada de nombre terrazas de santa librada, a 500 metros del puente de la dignidad.
Portal suba: cinco redes CUIdadanas, una ellas con el centro comercial Plaza Imperial. Dos de ellas con revisión de cámaras para conexión al C4.
Chapinero Cra 7: hay dos redes cercanas a la cra 7. Bosque y la Salle y Cuatro Parques.
Parque la Guaca IV localidad Puente Aranda. Estamos en actividades previas de conformación de Red Cuidadana
Parque Nicolas de Federman en  Teusaquillo. Allí tenemos red cuidadana conformada
</v>
      </c>
      <c r="N77" s="55">
        <f ca="1">IFERROR(__xludf.DUMMYFUNCTION("""COMPUTED_VALUE"""),44576)</f>
        <v>44576</v>
      </c>
      <c r="O77" s="25" t="str">
        <f t="shared" ca="1" si="0"/>
        <v>Secretaría Distrital de Seguridad, Convivencia y Justicia</v>
      </c>
      <c r="P77" s="25" t="str">
        <f t="shared" si="1"/>
        <v/>
      </c>
      <c r="Q77" s="25" t="str">
        <f ca="1">IFERROR(__xludf.DUMMYFUNCTION("""COMPUTED_VALUE"""),"Corto plazo")</f>
        <v>Corto plazo</v>
      </c>
      <c r="R77" s="25"/>
      <c r="S77" s="55"/>
      <c r="T77" s="56"/>
      <c r="U77" s="25"/>
      <c r="V77" s="25"/>
      <c r="W77" s="25"/>
      <c r="X77" s="25"/>
      <c r="Y77" s="25"/>
      <c r="Z77" s="25"/>
    </row>
    <row r="78" spans="1:26" ht="52.5" customHeight="1" x14ac:dyDescent="0.25">
      <c r="A78" s="25" t="str">
        <f ca="1">IFERROR(__xludf.DUMMYFUNCTION("""COMPUTED_VALUE"""),"Segur76")</f>
        <v>Segur76</v>
      </c>
      <c r="B78" s="25" t="str">
        <f ca="1">IFERROR(__xludf.DUMMYFUNCTION("""COMPUTED_VALUE"""),"Despachando desde la Secretaría de Seguridad")</f>
        <v>Despachando desde la Secretaría de Seguridad</v>
      </c>
      <c r="C78" s="55">
        <f ca="1">IFERROR(__xludf.DUMMYFUNCTION("""COMPUTED_VALUE"""),44453)</f>
        <v>44453</v>
      </c>
      <c r="D78" s="25" t="str">
        <f ca="1">IFERROR(__xludf.DUMMYFUNCTION("""COMPUTED_VALUE"""),"Seguridad")</f>
        <v>Seguridad</v>
      </c>
      <c r="E78" s="25" t="str">
        <f ca="1">IFERROR(__xludf.DUMMYFUNCTION("""COMPUTED_VALUE"""),"Secretaría Distrital de Seguridad, Convivencia y Justicia")</f>
        <v>Secretaría Distrital de Seguridad, Convivencia y Justicia</v>
      </c>
      <c r="F78" s="25" t="str">
        <f ca="1">IFERROR(__xludf.DUMMYFUNCTION("""COMPUTED_VALUE"""),"Elaborar la línea base sobre de ""delitos de odio"" de la comunidad LGBTIQ. Esta metodología debe ser socializada y validada con pares académicos (Ejemplo: FIP)")</f>
        <v>Elaborar la línea base sobre de "delitos de odio" de la comunidad LGBTIQ. Esta metodología debe ser socializada y validada con pares académicos (Ejemplo: FIP)</v>
      </c>
      <c r="G78" s="25" t="str">
        <f ca="1">IFERROR(__xludf.DUMMYFUNCTION("""COMPUTED_VALUE"""),"99. Distrito")</f>
        <v>99. Distrito</v>
      </c>
      <c r="H78" s="55">
        <f ca="1">IFERROR(__xludf.DUMMYFUNCTION("""COMPUTED_VALUE"""),44941)</f>
        <v>44941</v>
      </c>
      <c r="I78" s="25"/>
      <c r="J78" s="55" t="str">
        <f ca="1">IFERROR(__xludf.DUMMYFUNCTION("""COMPUTED_VALUE"""),"Baja")</f>
        <v>Baja</v>
      </c>
      <c r="K78" s="25">
        <f ca="1">IFERROR(__xludf.DUMMYFUNCTION("""COMPUTED_VALUE"""),488)</f>
        <v>488</v>
      </c>
      <c r="L78" s="55">
        <f ca="1">IFERROR(__xludf.DUMMYFUNCTION("""COMPUTED_VALUE"""),44952)</f>
        <v>44952</v>
      </c>
      <c r="M78" s="25" t="str">
        <f ca="1">IFERROR(__xludf.DUMMYFUNCTION("""COMPUTED_VALUE"""),"En el marco de la Política Pública Distrital LGBTI y a través del convenio entre la Oficina de Análisis de Información y Estudios Estratégicos  de la Secretaría de Seguridad Convivencia y Justicia y la Dirección de Diversidad Sexual de la Secretaría Distr"&amp;"ital de Planeación, se ha venido construyendo y alimentando el Sistema de Información de Violencias LGBTI. Actualmente, el mismo cuenta con información oficial de la Policía Nacional y es alimentado trimestralmente con las denuncias en delitos de alto imp"&amp;"acto con víctimas de población LGBTI.")</f>
        <v>En el marco de la Política Pública Distrital LGBTI y a través del convenio entre la Oficina de Análisis de Información y Estudios Estratégicos  de la Secretaría de Seguridad Convivencia y Justicia y la Dirección de Diversidad Sexual de la Secretaría Distrital de Planeación, se ha venido construyendo y alimentando el Sistema de Información de Violencias LGBTI. Actualmente, el mismo cuenta con información oficial de la Policía Nacional y es alimentado trimestralmente con las denuncias en delitos de alto impacto con víctimas de población LGBTI.</v>
      </c>
      <c r="N78" s="55">
        <f ca="1">IFERROR(__xludf.DUMMYFUNCTION("""COMPUTED_VALUE"""),44926)</f>
        <v>44926</v>
      </c>
      <c r="O78" s="25" t="str">
        <f t="shared" ca="1" si="0"/>
        <v>Secretaría Distrital de Seguridad, Convivencia y Justicia</v>
      </c>
      <c r="P78" s="25" t="str">
        <f t="shared" si="1"/>
        <v/>
      </c>
      <c r="Q78" s="25" t="str">
        <f ca="1">IFERROR(__xludf.DUMMYFUNCTION("""COMPUTED_VALUE"""),"Largo plazo")</f>
        <v>Largo plazo</v>
      </c>
      <c r="R78" s="25"/>
      <c r="S78" s="55"/>
      <c r="T78" s="56"/>
      <c r="U78" s="25"/>
      <c r="V78" s="25"/>
      <c r="W78" s="25"/>
      <c r="X78" s="25"/>
      <c r="Y78" s="25"/>
      <c r="Z78" s="25"/>
    </row>
    <row r="79" spans="1:26" ht="52.5" customHeight="1" x14ac:dyDescent="0.25">
      <c r="A79" s="25" t="str">
        <f ca="1">IFERROR(__xludf.DUMMYFUNCTION("""COMPUTED_VALUE"""),"Segur77")</f>
        <v>Segur77</v>
      </c>
      <c r="B79" s="25" t="str">
        <f ca="1">IFERROR(__xludf.DUMMYFUNCTION("""COMPUTED_VALUE"""),"Despachando desde la Secretaría de Seguridad")</f>
        <v>Despachando desde la Secretaría de Seguridad</v>
      </c>
      <c r="C79" s="55">
        <f ca="1">IFERROR(__xludf.DUMMYFUNCTION("""COMPUTED_VALUE"""),44453)</f>
        <v>44453</v>
      </c>
      <c r="D79" s="25" t="str">
        <f ca="1">IFERROR(__xludf.DUMMYFUNCTION("""COMPUTED_VALUE"""),"Seguridad")</f>
        <v>Seguridad</v>
      </c>
      <c r="E79" s="25" t="str">
        <f ca="1">IFERROR(__xludf.DUMMYFUNCTION("""COMPUTED_VALUE"""),"Secretaría Distrital de Seguridad, Convivencia y Justicia")</f>
        <v>Secretaría Distrital de Seguridad, Convivencia y Justicia</v>
      </c>
      <c r="F79" s="25" t="str">
        <f ca="1">IFERROR(__xludf.DUMMYFUNCTION("""COMPUTED_VALUE"""),"Realizar un posicionamiento mediático y comunicacional de la labor de gestores, la cual debe estar enfocada más hacia cultura ciudadana y convivencia.")</f>
        <v>Realizar un posicionamiento mediático y comunicacional de la labor de gestores, la cual debe estar enfocada más hacia cultura ciudadana y convivencia.</v>
      </c>
      <c r="G79" s="25" t="str">
        <f ca="1">IFERROR(__xludf.DUMMYFUNCTION("""COMPUTED_VALUE"""),"99. Distrito")</f>
        <v>99. Distrito</v>
      </c>
      <c r="H79" s="55">
        <f ca="1">IFERROR(__xludf.DUMMYFUNCTION("""COMPUTED_VALUE"""),44483)</f>
        <v>44483</v>
      </c>
      <c r="I79" s="25"/>
      <c r="J79" s="55" t="str">
        <f ca="1">IFERROR(__xludf.DUMMYFUNCTION("""COMPUTED_VALUE"""),"Alta")</f>
        <v>Alta</v>
      </c>
      <c r="K79" s="25">
        <f ca="1">IFERROR(__xludf.DUMMYFUNCTION("""COMPUTED_VALUE"""),30)</f>
        <v>30</v>
      </c>
      <c r="L79" s="55">
        <f ca="1">IFERROR(__xludf.DUMMYFUNCTION("""COMPUTED_VALUE"""),44561)</f>
        <v>44561</v>
      </c>
      <c r="M79" s="25" t="str">
        <f ca="1">IFERROR(__xludf.DUMMYFUNCTION("""COMPUTED_VALUE"""),"Se fortaleció la línea comunicativa desde la Secretaría de Seguridad. Para ello, algunas de las publicaciones a la fecha son:
https://www.youtube.com/watch?v=FPE5EX5tzaY&amp;t=4s 
https://www.youtube.com/watch?v=RgDfjWfY8bk 
https://www.youtube.com/watch?v=Jd"&amp;"W5pb2Uu_Q 
https://bogota.gov.co/mi-ciudad/seguridad/con-cuidarte-el-distrito-le-apuesta-nueva-estrategia-de-seguridad 
https://bogota.gov.co/mi-ciudad/seguridad/gestores-de-convivencia-son-heroes-de-chaqueta-roja 
https://www.youtube.com/watch?v=vWcPH5dv"&amp;"gdg")</f>
        <v>Se fortaleció la línea comunicativa desde la Secretaría de Seguridad. Para ello, algunas de las publicaciones a la fecha son:
https://www.youtube.com/watch?v=FPE5EX5tzaY&amp;t=4s 
https://www.youtube.com/watch?v=RgDfjWfY8bk 
https://www.youtube.com/watch?v=JdW5pb2Uu_Q 
https://bogota.gov.co/mi-ciudad/seguridad/con-cuidarte-el-distrito-le-apuesta-nueva-estrategia-de-seguridad 
https://bogota.gov.co/mi-ciudad/seguridad/gestores-de-convivencia-son-heroes-de-chaqueta-roja 
https://www.youtube.com/watch?v=vWcPH5dvgdg</v>
      </c>
      <c r="N79" s="55">
        <f ca="1">IFERROR(__xludf.DUMMYFUNCTION("""COMPUTED_VALUE"""),44561)</f>
        <v>44561</v>
      </c>
      <c r="O79" s="25" t="str">
        <f t="shared" ca="1" si="0"/>
        <v>Secretaría Distrital de Seguridad, Convivencia y Justicia</v>
      </c>
      <c r="P79" s="25" t="str">
        <f t="shared" si="1"/>
        <v/>
      </c>
      <c r="Q79" s="25" t="str">
        <f ca="1">IFERROR(__xludf.DUMMYFUNCTION("""COMPUTED_VALUE"""),"Corto plazo")</f>
        <v>Corto plazo</v>
      </c>
      <c r="R79" s="25"/>
      <c r="S79" s="55"/>
      <c r="T79" s="56"/>
      <c r="U79" s="25"/>
      <c r="V79" s="25"/>
      <c r="W79" s="25"/>
      <c r="X79" s="25"/>
      <c r="Y79" s="25"/>
      <c r="Z79" s="25"/>
    </row>
    <row r="80" spans="1:26" ht="52.5" customHeight="1" x14ac:dyDescent="0.25">
      <c r="A80" s="25" t="str">
        <f ca="1">IFERROR(__xludf.DUMMYFUNCTION("""COMPUTED_VALUE"""),"Segur78")</f>
        <v>Segur78</v>
      </c>
      <c r="B80" s="25" t="str">
        <f ca="1">IFERROR(__xludf.DUMMYFUNCTION("""COMPUTED_VALUE"""),"Despachando desde la Secretaría de Seguridad")</f>
        <v>Despachando desde la Secretaría de Seguridad</v>
      </c>
      <c r="C80" s="55">
        <f ca="1">IFERROR(__xludf.DUMMYFUNCTION("""COMPUTED_VALUE"""),44453)</f>
        <v>44453</v>
      </c>
      <c r="D80" s="25" t="str">
        <f ca="1">IFERROR(__xludf.DUMMYFUNCTION("""COMPUTED_VALUE"""),"Seguridad")</f>
        <v>Seguridad</v>
      </c>
      <c r="E80" s="25" t="str">
        <f ca="1">IFERROR(__xludf.DUMMYFUNCTION("""COMPUTED_VALUE"""),"Secretaría Distrital de Seguridad, Convivencia y Justicia")</f>
        <v>Secretaría Distrital de Seguridad, Convivencia y Justicia</v>
      </c>
      <c r="F80" s="25" t="str">
        <f ca="1">IFERROR(__xludf.DUMMYFUNCTION("""COMPUTED_VALUE"""),"Cárcel Distrital 2: coordinar con USPEC e INPEC el cumplimiento de su parte del convenio, en el que deben ceder mts2 para a la construcción de la cárcel. 
 Plazo: octubre 2021, Antes de la modificación del proyecto POT")</f>
        <v>Cárcel Distrital 2: coordinar con USPEC e INPEC el cumplimiento de su parte del convenio, en el que deben ceder mts2 para a la construcción de la cárcel. 
 Plazo: octubre 2021, Antes de la modificación del proyecto POT</v>
      </c>
      <c r="G80" s="25" t="str">
        <f ca="1">IFERROR(__xludf.DUMMYFUNCTION("""COMPUTED_VALUE"""),"99. Distrito")</f>
        <v>99. Distrito</v>
      </c>
      <c r="H80" s="55">
        <f ca="1">IFERROR(__xludf.DUMMYFUNCTION("""COMPUTED_VALUE"""),44483)</f>
        <v>44483</v>
      </c>
      <c r="I80" s="25"/>
      <c r="J80" s="55" t="str">
        <f ca="1">IFERROR(__xludf.DUMMYFUNCTION("""COMPUTED_VALUE"""),"Alta")</f>
        <v>Alta</v>
      </c>
      <c r="K80" s="25">
        <f ca="1">IFERROR(__xludf.DUMMYFUNCTION("""COMPUTED_VALUE"""),30)</f>
        <v>30</v>
      </c>
      <c r="L80" s="55">
        <f ca="1">IFERROR(__xludf.DUMMYFUNCTION("""COMPUTED_VALUE"""),44620)</f>
        <v>44620</v>
      </c>
      <c r="M80" s="25" t="str">
        <f ca="1">IFERROR(__xludf.DUMMYFUNCTION("""COMPUTED_VALUE"""),"Durante el segundo semestre de 2021, esta Secretaría participó en tres (3) mesas técnicas (las cuales  hacen parte de las obligaciones contenidas en el convenio Marco). En desarrollo de estos encuentros, la firma consultora presentó los avances en el plan"&amp;"teamiento urbanístico para el predio, lo que sirve como base para el desenglobe y eventual entrega a título gratuito de una porción para el proyecto Cárcel Distrital II. El 13 de enero de 2022, se llevó a cabo reunión entre la SDSCJ+MinJusticia+INPEC en l"&amp;"a que se expuso que con el nuevo POT se dio cumplimiento a los compromisos del Distrito en el convenio y en la que se inició con INPEC la definición de la ruta y el cronograma de actividades para llevar a cabo en esta vigencia la cesión de una porción del"&amp;" inmueble de la Picota al Distrito. Se determinó llevar a cabo otra reunión en la segunda quincena de enero con la USPEC y la Agencia Nacional Inmobiliaria para verificar avance en el programa arquitectónico que viene haciendo un consultor y poder fijar f"&amp;"echas ciertas en el cronograma para la cesión de la porción del predio.El 1 de febrero se llevó a cabo segunda sesión de comité seguimiento al Convenio 1127 de 2021, en el que se aprobó el informe del primer semestre de desarrollo del convenio y las las l"&amp;"íneas de trabajo para el año 2022, entre ellas, las gestiones para identificar y transferir una porción del predio de la Picota de la nación al distrito. El 3 de febrero el consultor presentó al INPEC, USPEC, MINJUSTICIA una modelación sobre el inmueble d"&amp;"e la Picota, en el que se identifican espacios que podrían servir para cumplir con la obligación de la transferencia de una porción del predio al distrito. La SCJ solicitó a la USPEC la remisión de la información del consultor para evaluar qué porción ser"&amp;"ía la más conveniente para el desarrollo del proyecto de la Cárcel Distrital II. El 18 de febrero la ANIMA consultó a la SCJ sobre el trámite de concepto técnico para el equipamiento La Picota, según el nuevo POT (Decreto Distrital 555 de 2021). El 23 de "&amp;"febrero, se llevó a cabo reunión entre la SDSCJ, la ANIMVB y la Planeación para atender la consulta realizada, en la que se expusieron asuntos técnicos que deben atenderse para el proyecto y se fijó nueva reunión para el 28 de febrero para continuar con l"&amp;"a mesa técnica para resolver la consulta. El 10 de marzo, la SDSCJ contestó consulta a la ANIMVB sobre POT y el proyecto. El 18 de marzo, se llevó a cabo comité de seguimiento a convenio 1127 de 2022, en el que el INPEC y la USPEC informaron que el próxim"&amp;"o martes darían respuesta sobre la porción del predio que transferirían al Distrito. Se programó reunión entre el Secretario, el Ministro de Justicia y los directores del INPEC y la USPEC para el 23 de marzo, para tratar avances de este proyecto.
")</f>
        <v xml:space="preserve">Durante el segundo semestre de 2021, esta Secretaría participó en tres (3) mesas técnicas (las cuales  hacen parte de las obligaciones contenidas en el convenio Marco). En desarrollo de estos encuentros, la firma consultora presentó los avances en el planteamiento urbanístico para el predio, lo que sirve como base para el desenglobe y eventual entrega a título gratuito de una porción para el proyecto Cárcel Distrital II. El 13 de enero de 2022, se llevó a cabo reunión entre la SDSCJ+MinJusticia+INPEC en la que se expuso que con el nuevo POT se dio cumplimiento a los compromisos del Distrito en el convenio y en la que se inició con INPEC la definición de la ruta y el cronograma de actividades para llevar a cabo en esta vigencia la cesión de una porción del inmueble de la Picota al Distrito. Se determinó llevar a cabo otra reunión en la segunda quincena de enero con la USPEC y la Agencia Nacional Inmobiliaria para verificar avance en el programa arquitectónico que viene haciendo un consultor y poder fijar fechas ciertas en el cronograma para la cesión de la porción del predio.El 1 de febrero se llevó a cabo segunda sesión de comité seguimiento al Convenio 1127 de 2021, en el que se aprobó el informe del primer semestre de desarrollo del convenio y las las líneas de trabajo para el año 2022, entre ellas, las gestiones para identificar y transferir una porción del predio de la Picota de la nación al distrito. El 3 de febrero el consultor presentó al INPEC, USPEC, MINJUSTICIA una modelación sobre el inmueble de la Picota, en el que se identifican espacios que podrían servir para cumplir con la obligación de la transferencia de una porción del predio al distrito. La SCJ solicitó a la USPEC la remisión de la información del consultor para evaluar qué porción sería la más conveniente para el desarrollo del proyecto de la Cárcel Distrital II. El 18 de febrero la ANIMA consultó a la SCJ sobre el trámite de concepto técnico para el equipamiento La Picota, según el nuevo POT (Decreto Distrital 555 de 2021). El 23 de febrero, se llevó a cabo reunión entre la SDSCJ, la ANIMVB y la Planeación para atender la consulta realizada, en la que se expusieron asuntos técnicos que deben atenderse para el proyecto y se fijó nueva reunión para el 28 de febrero para continuar con la mesa técnica para resolver la consulta. El 10 de marzo, la SDSCJ contestó consulta a la ANIMVB sobre POT y el proyecto. El 18 de marzo, se llevó a cabo comité de seguimiento a convenio 1127 de 2022, en el que el INPEC y la USPEC informaron que el próximo martes darían respuesta sobre la porción del predio que transferirían al Distrito. Se programó reunión entre el Secretario, el Ministro de Justicia y los directores del INPEC y la USPEC para el 23 de marzo, para tratar avances de este proyecto.
</v>
      </c>
      <c r="N80" s="55">
        <f ca="1">IFERROR(__xludf.DUMMYFUNCTION("""COMPUTED_VALUE"""),44620)</f>
        <v>44620</v>
      </c>
      <c r="O80" s="25" t="str">
        <f t="shared" ca="1" si="0"/>
        <v>Secretaría Distrital de Seguridad, Convivencia y Justicia</v>
      </c>
      <c r="P80" s="25" t="str">
        <f t="shared" si="1"/>
        <v/>
      </c>
      <c r="Q80" s="25" t="str">
        <f ca="1">IFERROR(__xludf.DUMMYFUNCTION("""COMPUTED_VALUE"""),"Corto plazo")</f>
        <v>Corto plazo</v>
      </c>
      <c r="R80" s="25"/>
      <c r="S80" s="55"/>
      <c r="T80" s="56"/>
      <c r="U80" s="25"/>
      <c r="V80" s="25"/>
      <c r="W80" s="25"/>
      <c r="X80" s="25"/>
      <c r="Y80" s="25"/>
      <c r="Z80" s="25"/>
    </row>
    <row r="81" spans="1:26" ht="52.5" customHeight="1" x14ac:dyDescent="0.25">
      <c r="A81" s="25" t="str">
        <f ca="1">IFERROR(__xludf.DUMMYFUNCTION("""COMPUTED_VALUE"""),"Segur79")</f>
        <v>Segur79</v>
      </c>
      <c r="B81" s="25" t="str">
        <f ca="1">IFERROR(__xludf.DUMMYFUNCTION("""COMPUTED_VALUE"""),"Despachando desde la Secretaría de Seguridad")</f>
        <v>Despachando desde la Secretaría de Seguridad</v>
      </c>
      <c r="C81" s="55">
        <f ca="1">IFERROR(__xludf.DUMMYFUNCTION("""COMPUTED_VALUE"""),44453)</f>
        <v>44453</v>
      </c>
      <c r="D81" s="25" t="str">
        <f ca="1">IFERROR(__xludf.DUMMYFUNCTION("""COMPUTED_VALUE"""),"Seguridad")</f>
        <v>Seguridad</v>
      </c>
      <c r="E81" s="25" t="str">
        <f ca="1">IFERROR(__xludf.DUMMYFUNCTION("""COMPUTED_VALUE"""),"Secretaría Distrital de Seguridad, Convivencia y Justicia")</f>
        <v>Secretaría Distrital de Seguridad, Convivencia y Justicia</v>
      </c>
      <c r="F81" s="25" t="str">
        <f ca="1">IFERROR(__xludf.DUMMYFUNCTION("""COMPUTED_VALUE"""),"Presupuesto de Inversión: revisar el presupuesto, para definir si se acude al a SDH, para solicitar reducción presupuestal")</f>
        <v>Presupuesto de Inversión: revisar el presupuesto, para definir si se acude al a SDH, para solicitar reducción presupuestal</v>
      </c>
      <c r="G81" s="25" t="str">
        <f ca="1">IFERROR(__xludf.DUMMYFUNCTION("""COMPUTED_VALUE"""),"99. Distrito")</f>
        <v>99. Distrito</v>
      </c>
      <c r="H81" s="55">
        <f ca="1">IFERROR(__xludf.DUMMYFUNCTION("""COMPUTED_VALUE"""),44459)</f>
        <v>44459</v>
      </c>
      <c r="I81" s="25"/>
      <c r="J81" s="55" t="str">
        <f ca="1">IFERROR(__xludf.DUMMYFUNCTION("""COMPUTED_VALUE"""),"Alta")</f>
        <v>Alta</v>
      </c>
      <c r="K81" s="25">
        <f ca="1">IFERROR(__xludf.DUMMYFUNCTION("""COMPUTED_VALUE"""),6)</f>
        <v>6</v>
      </c>
      <c r="L81" s="55">
        <f ca="1">IFERROR(__xludf.DUMMYFUNCTION("""COMPUTED_VALUE"""),44561)</f>
        <v>44561</v>
      </c>
      <c r="M81" s="25" t="str">
        <f ca="1">IFERROR(__xludf.DUMMYFUNCTION("""COMPUTED_VALUE"""),"Se hizo la respectiva revisión con el equipo de la Secretaría de Seguridad y se han adelantado las gestiones pertinentes con la Secretaría de Hacienda")</f>
        <v>Se hizo la respectiva revisión con el equipo de la Secretaría de Seguridad y se han adelantado las gestiones pertinentes con la Secretaría de Hacienda</v>
      </c>
      <c r="N81" s="55">
        <f ca="1">IFERROR(__xludf.DUMMYFUNCTION("""COMPUTED_VALUE"""),44561)</f>
        <v>44561</v>
      </c>
      <c r="O81" s="25" t="str">
        <f t="shared" ca="1" si="0"/>
        <v>Secretaría Distrital de Seguridad, Convivencia y Justicia</v>
      </c>
      <c r="P81" s="25" t="str">
        <f t="shared" si="1"/>
        <v/>
      </c>
      <c r="Q81" s="25" t="str">
        <f ca="1">IFERROR(__xludf.DUMMYFUNCTION("""COMPUTED_VALUE"""),"Corto plazo")</f>
        <v>Corto plazo</v>
      </c>
      <c r="R81" s="25"/>
      <c r="S81" s="55"/>
      <c r="T81" s="56"/>
      <c r="U81" s="25"/>
      <c r="V81" s="25"/>
      <c r="W81" s="25"/>
      <c r="X81" s="25"/>
      <c r="Y81" s="25"/>
      <c r="Z81" s="25"/>
    </row>
    <row r="82" spans="1:26" ht="52.5" customHeight="1" x14ac:dyDescent="0.25">
      <c r="A82" s="25" t="str">
        <f ca="1">IFERROR(__xludf.DUMMYFUNCTION("""COMPUTED_VALUE"""),"Segur80")</f>
        <v>Segur80</v>
      </c>
      <c r="B82" s="25" t="str">
        <f ca="1">IFERROR(__xludf.DUMMYFUNCTION("""COMPUTED_VALUE"""),"Despachando desde la Secretaría de Seguridad")</f>
        <v>Despachando desde la Secretaría de Seguridad</v>
      </c>
      <c r="C82" s="55">
        <f ca="1">IFERROR(__xludf.DUMMYFUNCTION("""COMPUTED_VALUE"""),44453)</f>
        <v>44453</v>
      </c>
      <c r="D82" s="25" t="str">
        <f ca="1">IFERROR(__xludf.DUMMYFUNCTION("""COMPUTED_VALUE"""),"Seguridad")</f>
        <v>Seguridad</v>
      </c>
      <c r="E82" s="25" t="str">
        <f ca="1">IFERROR(__xludf.DUMMYFUNCTION("""COMPUTED_VALUE"""),"Secretaría Distrital de Seguridad, Convivencia y Justicia")</f>
        <v>Secretaría Distrital de Seguridad, Convivencia y Justicia</v>
      </c>
      <c r="F82" s="25" t="str">
        <f ca="1">IFERROR(__xludf.DUMMYFUNCTION("""COMPUTED_VALUE"""),"Revisar si jurídicamente es posible que el nuevo CTP tenga excepción en la norma para no solicitar licencia de construcción, tal como pasó con el CER. ")</f>
        <v xml:space="preserve">Revisar si jurídicamente es posible que el nuevo CTP tenga excepción en la norma para no solicitar licencia de construcción, tal como pasó con el CER. </v>
      </c>
      <c r="G82" s="25" t="str">
        <f ca="1">IFERROR(__xludf.DUMMYFUNCTION("""COMPUTED_VALUE"""),"99. Distrito")</f>
        <v>99. Distrito</v>
      </c>
      <c r="H82" s="55">
        <f ca="1">IFERROR(__xludf.DUMMYFUNCTION("""COMPUTED_VALUE"""),44483)</f>
        <v>44483</v>
      </c>
      <c r="I82" s="25"/>
      <c r="J82" s="55" t="str">
        <f ca="1">IFERROR(__xludf.DUMMYFUNCTION("""COMPUTED_VALUE"""),"Alta")</f>
        <v>Alta</v>
      </c>
      <c r="K82" s="25">
        <f ca="1">IFERROR(__xludf.DUMMYFUNCTION("""COMPUTED_VALUE"""),30)</f>
        <v>30</v>
      </c>
      <c r="L82" s="55">
        <f ca="1">IFERROR(__xludf.DUMMYFUNCTION("""COMPUTED_VALUE"""),44211)</f>
        <v>44211</v>
      </c>
      <c r="M82" s="25" t="str">
        <f ca="1">IFERROR(__xludf.DUMMYFUNCTION("""COMPUTED_VALUE"""),"Desde la SAJ se verificó que no era posible - en este momento- un régimen de excepción como lo tiene el CER, por cuanto, no está vigente ningún decreto que haya declarado un régimen de excepción para que el Gobierno Nacional pueda regular esa materia medi"&amp;"ante un decreto legislativo (como ocurrió con el Decreto Legislativo 804 de 2020) y no se tiene previsto una declaratoria de un estado de excepción en el inmediato. De otra parte, procurar la tramitación de un proyecto de ley ordinario que prevea esa situ"&amp;"ación, tardaría lo mismo que demora la expedición de las licencias por la vía ordinaria. Con ocasión de ello se inició la contratación de estudios y diseños con base en las normas urbanísticas vigentes, cuyo resultado se tendrá en el 2022 y una entrega de"&amp;" obra en el 2023.")</f>
        <v>Desde la SAJ se verificó que no era posible - en este momento- un régimen de excepción como lo tiene el CER, por cuanto, no está vigente ningún decreto que haya declarado un régimen de excepción para que el Gobierno Nacional pueda regular esa materia mediante un decreto legislativo (como ocurrió con el Decreto Legislativo 804 de 2020) y no se tiene previsto una declaratoria de un estado de excepción en el inmediato. De otra parte, procurar la tramitación de un proyecto de ley ordinario que prevea esa situación, tardaría lo mismo que demora la expedición de las licencias por la vía ordinaria. Con ocasión de ello se inició la contratación de estudios y diseños con base en las normas urbanísticas vigentes, cuyo resultado se tendrá en el 2022 y una entrega de obra en el 2023.</v>
      </c>
      <c r="N82" s="55">
        <f ca="1">IFERROR(__xludf.DUMMYFUNCTION("""COMPUTED_VALUE"""),44211)</f>
        <v>44211</v>
      </c>
      <c r="O82" s="25" t="str">
        <f t="shared" ca="1" si="0"/>
        <v>Secretaría Distrital de Seguridad, Convivencia y Justicia</v>
      </c>
      <c r="P82" s="25" t="str">
        <f t="shared" si="1"/>
        <v/>
      </c>
      <c r="Q82" s="25" t="str">
        <f ca="1">IFERROR(__xludf.DUMMYFUNCTION("""COMPUTED_VALUE"""),"Corto plazo")</f>
        <v>Corto plazo</v>
      </c>
      <c r="R82" s="25"/>
      <c r="S82" s="55"/>
      <c r="T82" s="56"/>
      <c r="U82" s="25"/>
      <c r="V82" s="25"/>
      <c r="W82" s="25"/>
      <c r="X82" s="25"/>
      <c r="Y82" s="25"/>
      <c r="Z82" s="25"/>
    </row>
    <row r="83" spans="1:26" ht="52.5" customHeight="1" x14ac:dyDescent="0.25">
      <c r="A83" s="25" t="str">
        <f ca="1">IFERROR(__xludf.DUMMYFUNCTION("""COMPUTED_VALUE"""),"Segur81")</f>
        <v>Segur81</v>
      </c>
      <c r="B83" s="25" t="str">
        <f ca="1">IFERROR(__xludf.DUMMYFUNCTION("""COMPUTED_VALUE"""),"Despachando desde la Secretaría de Seguridad")</f>
        <v>Despachando desde la Secretaría de Seguridad</v>
      </c>
      <c r="C83" s="55">
        <f ca="1">IFERROR(__xludf.DUMMYFUNCTION("""COMPUTED_VALUE"""),44453)</f>
        <v>44453</v>
      </c>
      <c r="D83" s="25" t="str">
        <f ca="1">IFERROR(__xludf.DUMMYFUNCTION("""COMPUTED_VALUE"""),"Seguridad")</f>
        <v>Seguridad</v>
      </c>
      <c r="E83" s="25" t="str">
        <f ca="1">IFERROR(__xludf.DUMMYFUNCTION("""COMPUTED_VALUE"""),"Secretaría Distrital de Seguridad, Convivencia y Justicia")</f>
        <v>Secretaría Distrital de Seguridad, Convivencia y Justicia</v>
      </c>
      <c r="F83" s="25" t="str">
        <f ca="1">IFERROR(__xludf.DUMMYFUNCTION("""COMPUTED_VALUE"""),"Construcción en el  2022 las 3 las bases  del Ejercito en Sumapaz")</f>
        <v>Construcción en el  2022 las 3 las bases  del Ejercito en Sumapaz</v>
      </c>
      <c r="G83" s="25" t="str">
        <f ca="1">IFERROR(__xludf.DUMMYFUNCTION("""COMPUTED_VALUE"""),"99. Distrito")</f>
        <v>99. Distrito</v>
      </c>
      <c r="H83" s="55">
        <f ca="1">IFERROR(__xludf.DUMMYFUNCTION("""COMPUTED_VALUE"""),44483)</f>
        <v>44483</v>
      </c>
      <c r="I83" s="25"/>
      <c r="J83" s="55" t="str">
        <f ca="1">IFERROR(__xludf.DUMMYFUNCTION("""COMPUTED_VALUE"""),"Alta")</f>
        <v>Alta</v>
      </c>
      <c r="K83" s="25">
        <f ca="1">IFERROR(__xludf.DUMMYFUNCTION("""COMPUTED_VALUE"""),30)</f>
        <v>30</v>
      </c>
      <c r="L83" s="55">
        <f ca="1">IFERROR(__xludf.DUMMYFUNCTION("""COMPUTED_VALUE"""),44561)</f>
        <v>44561</v>
      </c>
      <c r="M83" s="25" t="str">
        <f ca="1">IFERROR(__xludf.DUMMYFUNCTION("""COMPUTED_VALUE"""),"Actualmente se está adelantando el proceso de gestión y trámites de aspectos predicales, con las especificaciones técnicas de la base tipo. El Ejército debe radicar ante la de Secretaría de Seguridad, antes del 30 de diciembre, lo siguiente: Estudio de tí"&amp;"tulos, Especificaciones técnicas  y Estudios geoestrategicos")</f>
        <v>Actualmente se está adelantando el proceso de gestión y trámites de aspectos predicales, con las especificaciones técnicas de la base tipo. El Ejército debe radicar ante la de Secretaría de Seguridad, antes del 30 de diciembre, lo siguiente: Estudio de títulos, Especificaciones técnicas  y Estudios geoestrategicos</v>
      </c>
      <c r="N83" s="55">
        <f ca="1">IFERROR(__xludf.DUMMYFUNCTION("""COMPUTED_VALUE"""),44561)</f>
        <v>44561</v>
      </c>
      <c r="O83" s="25" t="str">
        <f t="shared" ca="1" si="0"/>
        <v>Secretaría Distrital de Seguridad, Convivencia y Justicia</v>
      </c>
      <c r="P83" s="25" t="str">
        <f t="shared" si="1"/>
        <v/>
      </c>
      <c r="Q83" s="25" t="str">
        <f ca="1">IFERROR(__xludf.DUMMYFUNCTION("""COMPUTED_VALUE"""),"Corto plazo")</f>
        <v>Corto plazo</v>
      </c>
      <c r="R83" s="25"/>
      <c r="S83" s="55"/>
      <c r="T83" s="56"/>
      <c r="U83" s="25"/>
      <c r="V83" s="25"/>
      <c r="W83" s="25"/>
      <c r="X83" s="25"/>
      <c r="Y83" s="25"/>
      <c r="Z83" s="25"/>
    </row>
    <row r="84" spans="1:26" ht="52.5" customHeight="1" x14ac:dyDescent="0.25">
      <c r="A84" s="25" t="str">
        <f ca="1">IFERROR(__xludf.DUMMYFUNCTION("""COMPUTED_VALUE"""),"Segur82")</f>
        <v>Segur82</v>
      </c>
      <c r="B84" s="25" t="str">
        <f ca="1">IFERROR(__xludf.DUMMYFUNCTION("""COMPUTED_VALUE"""),"Despachando desde la Secretaría de Seguridad")</f>
        <v>Despachando desde la Secretaría de Seguridad</v>
      </c>
      <c r="C84" s="55">
        <f ca="1">IFERROR(__xludf.DUMMYFUNCTION("""COMPUTED_VALUE"""),44453)</f>
        <v>44453</v>
      </c>
      <c r="D84" s="25" t="str">
        <f ca="1">IFERROR(__xludf.DUMMYFUNCTION("""COMPUTED_VALUE"""),"Seguridad")</f>
        <v>Seguridad</v>
      </c>
      <c r="E84" s="25" t="str">
        <f ca="1">IFERROR(__xludf.DUMMYFUNCTION("""COMPUTED_VALUE"""),"Secretaría Distrital de Seguridad, Convivencia y Justicia")</f>
        <v>Secretaría Distrital de Seguridad, Convivencia y Justicia</v>
      </c>
      <c r="F84" s="25" t="str">
        <f ca="1">IFERROR(__xludf.DUMMYFUNCTION("""COMPUTED_VALUE"""),"Revisar si es posible el aumento de contratación de gestores por medio de cupo de endeudamiento ")</f>
        <v xml:space="preserve">Revisar si es posible el aumento de contratación de gestores por medio de cupo de endeudamiento </v>
      </c>
      <c r="G84" s="25" t="str">
        <f ca="1">IFERROR(__xludf.DUMMYFUNCTION("""COMPUTED_VALUE"""),"99. Distrito")</f>
        <v>99. Distrito</v>
      </c>
      <c r="H84" s="55">
        <f ca="1">IFERROR(__xludf.DUMMYFUNCTION("""COMPUTED_VALUE"""),44483)</f>
        <v>44483</v>
      </c>
      <c r="I84" s="25"/>
      <c r="J84" s="55" t="str">
        <f ca="1">IFERROR(__xludf.DUMMYFUNCTION("""COMPUTED_VALUE"""),"Alta")</f>
        <v>Alta</v>
      </c>
      <c r="K84" s="25">
        <f ca="1">IFERROR(__xludf.DUMMYFUNCTION("""COMPUTED_VALUE"""),30)</f>
        <v>30</v>
      </c>
      <c r="L84" s="55">
        <f ca="1">IFERROR(__xludf.DUMMYFUNCTION("""COMPUTED_VALUE"""),44488)</f>
        <v>44488</v>
      </c>
      <c r="M84" s="25" t="str">
        <f ca="1">IFERROR(__xludf.DUMMYFUNCTION("""COMPUTED_VALUE"""),"De acuerdo a lo indicado por la interventoria la adición se justifica principalmente por items no previstos ($21.087 millones) y mayores cantidades ($15.598,2 millones). La prorroga solicitada por 13 meses y 8 dias, estaria determinando que la obra se ent"&amp;"regaria hasta el mes de diciembre de 2022.")</f>
        <v>De acuerdo a lo indicado por la interventoria la adición se justifica principalmente por items no previstos ($21.087 millones) y mayores cantidades ($15.598,2 millones). La prorroga solicitada por 13 meses y 8 dias, estaria determinando que la obra se entregaria hasta el mes de diciembre de 2022.</v>
      </c>
      <c r="N84" s="55">
        <f ca="1">IFERROR(__xludf.DUMMYFUNCTION("""COMPUTED_VALUE"""),44488)</f>
        <v>44488</v>
      </c>
      <c r="O84" s="25" t="str">
        <f t="shared" ca="1" si="0"/>
        <v>Secretaría Distrital de Seguridad, Convivencia y Justicia</v>
      </c>
      <c r="P84" s="25" t="str">
        <f t="shared" si="1"/>
        <v/>
      </c>
      <c r="Q84" s="25" t="str">
        <f ca="1">IFERROR(__xludf.DUMMYFUNCTION("""COMPUTED_VALUE"""),"Corto plazo")</f>
        <v>Corto plazo</v>
      </c>
      <c r="R84" s="25"/>
      <c r="S84" s="55"/>
      <c r="T84" s="56"/>
      <c r="U84" s="25"/>
      <c r="V84" s="25"/>
      <c r="W84" s="25"/>
      <c r="X84" s="25"/>
      <c r="Y84" s="25"/>
      <c r="Z84" s="25"/>
    </row>
    <row r="85" spans="1:26" ht="52.5" customHeight="1" x14ac:dyDescent="0.25">
      <c r="A85" s="25" t="str">
        <f ca="1">IFERROR(__xludf.DUMMYFUNCTION("""COMPUTED_VALUE"""),"Segur83")</f>
        <v>Segur83</v>
      </c>
      <c r="B85" s="25" t="str">
        <f ca="1">IFERROR(__xludf.DUMMYFUNCTION("""COMPUTED_VALUE"""),"Despachando asobares")</f>
        <v>Despachando asobares</v>
      </c>
      <c r="C85" s="55">
        <f ca="1">IFERROR(__xludf.DUMMYFUNCTION("""COMPUTED_VALUE"""),44453)</f>
        <v>44453</v>
      </c>
      <c r="D85" s="25" t="str">
        <f ca="1">IFERROR(__xludf.DUMMYFUNCTION("""COMPUTED_VALUE"""),"Seguridad")</f>
        <v>Seguridad</v>
      </c>
      <c r="E85" s="25" t="str">
        <f ca="1">IFERROR(__xludf.DUMMYFUNCTION("""COMPUTED_VALUE"""),"Secretaría Distrital de Seguridad, Convivencia y Justicia")</f>
        <v>Secretaría Distrital de Seguridad, Convivencia y Justicia</v>
      </c>
      <c r="F85" s="25" t="str">
        <f ca="1">IFERROR(__xludf.DUMMYFUNCTION("""COMPUTED_VALUE"""),"En las zonas definidas se debe crear un frente de seguridad o red CUIDAdana, tras la creación de éstos:
•        Conexión de cámaras hacia espacio público
•        Activación de sello CUIDAdano y sello Seguro
•        Capacitación a los grupos de coordina"&amp;"ción logística y seguridad privada de cada uno de los establecimientos.
•        Se deben crear pactos de convivencia con la ciudadanía en las zonas de uso mixto. Para lo anterior el sitio debe estar insonorizado.
•        Se recibirán los datos, videos y"&amp;" demás elementos que permitan aportar a investigaciones sobre bandas en las zonas.
")</f>
        <v xml:space="preserve">En las zonas definidas se debe crear un frente de seguridad o red CUIDAdana, tras la creación de éstos:
•        Conexión de cámaras hacia espacio público
•        Activación de sello CUIDAdano y sello Seguro
•        Capacitación a los grupos de coordinación logística y seguridad privada de cada uno de los establecimientos.
•        Se deben crear pactos de convivencia con la ciudadanía en las zonas de uso mixto. Para lo anterior el sitio debe estar insonorizado.
•        Se recibirán los datos, videos y demás elementos que permitan aportar a investigaciones sobre bandas en las zonas.
</v>
      </c>
      <c r="G85" s="25" t="str">
        <f ca="1">IFERROR(__xludf.DUMMYFUNCTION("""COMPUTED_VALUE"""),"99. Distrito")</f>
        <v>99. Distrito</v>
      </c>
      <c r="H85" s="55">
        <f ca="1">IFERROR(__xludf.DUMMYFUNCTION("""COMPUTED_VALUE"""),44483)</f>
        <v>44483</v>
      </c>
      <c r="I85" s="25"/>
      <c r="J85" s="55" t="str">
        <f ca="1">IFERROR(__xludf.DUMMYFUNCTION("""COMPUTED_VALUE"""),"Alta")</f>
        <v>Alta</v>
      </c>
      <c r="K85" s="25">
        <f ca="1">IFERROR(__xludf.DUMMYFUNCTION("""COMPUTED_VALUE"""),30)</f>
        <v>30</v>
      </c>
      <c r="L85" s="55">
        <f ca="1">IFERROR(__xludf.DUMMYFUNCTION("""COMPUTED_VALUE"""),44576)</f>
        <v>44576</v>
      </c>
      <c r="M85" s="25" t="str">
        <f ca="1">IFERROR(__xludf.DUMMYFUNCTION("""COMPUTED_VALUE"""),"En total tenemos 157 lugares integrados con 576 cámaras. 70 Centros  comerciales, 32 conjuntos residenciales, 15 frentes de seguridad, 12 empresas de seguridad privada, 27 juntas de acción comunal y 1 inglesia
En relación a la implementación de la línea "&amp;"de acción Activación de sello cuidadano se han adelantado un total de 867 entre los establecimientos de diversas actividades económicas, a los cuales se le brinda asesoría y recomendaciones en materia de seguridad técnica, conexión al C4, participación ci"&amp;"udadana e interinstitucional. ")</f>
        <v xml:space="preserve">En total tenemos 157 lugares integrados con 576 cámaras. 70 Centros  comerciales, 32 conjuntos residenciales, 15 frentes de seguridad, 12 empresas de seguridad privada, 27 juntas de acción comunal y 1 inglesia
En relación a la implementación de la línea de acción Activación de sello cuidadano se han adelantado un total de 867 entre los establecimientos de diversas actividades económicas, a los cuales se le brinda asesoría y recomendaciones en materia de seguridad técnica, conexión al C4, participación ciudadana e interinstitucional. </v>
      </c>
      <c r="N85" s="55">
        <f ca="1">IFERROR(__xludf.DUMMYFUNCTION("""COMPUTED_VALUE"""),44576)</f>
        <v>44576</v>
      </c>
      <c r="O85" s="25" t="str">
        <f t="shared" ca="1" si="0"/>
        <v>Secretaría Distrital de Seguridad, Convivencia y Justicia</v>
      </c>
      <c r="P85" s="25" t="str">
        <f t="shared" si="1"/>
        <v/>
      </c>
      <c r="Q85" s="25" t="str">
        <f ca="1">IFERROR(__xludf.DUMMYFUNCTION("""COMPUTED_VALUE"""),"Corto plazo")</f>
        <v>Corto plazo</v>
      </c>
      <c r="R85" s="25"/>
      <c r="S85" s="55"/>
      <c r="T85" s="56"/>
      <c r="U85" s="25"/>
      <c r="V85" s="25"/>
      <c r="W85" s="25"/>
      <c r="X85" s="25"/>
      <c r="Y85" s="25"/>
      <c r="Z85" s="25"/>
    </row>
    <row r="86" spans="1:26" ht="52.5" customHeight="1" x14ac:dyDescent="0.25">
      <c r="A86" s="25" t="str">
        <f ca="1">IFERROR(__xludf.DUMMYFUNCTION("""COMPUTED_VALUE"""),"Segur84")</f>
        <v>Segur84</v>
      </c>
      <c r="B86" s="25" t="str">
        <f ca="1">IFERROR(__xludf.DUMMYFUNCTION("""COMPUTED_VALUE"""),"Despachando asobares")</f>
        <v>Despachando asobares</v>
      </c>
      <c r="C86" s="55">
        <f ca="1">IFERROR(__xludf.DUMMYFUNCTION("""COMPUTED_VALUE"""),44453)</f>
        <v>44453</v>
      </c>
      <c r="D86" s="25" t="str">
        <f ca="1">IFERROR(__xludf.DUMMYFUNCTION("""COMPUTED_VALUE"""),"Seguridad")</f>
        <v>Seguridad</v>
      </c>
      <c r="E86" s="25" t="str">
        <f ca="1">IFERROR(__xludf.DUMMYFUNCTION("""COMPUTED_VALUE"""),"Secretaría Distrital de Seguridad, Convivencia y Justicia")</f>
        <v>Secretaría Distrital de Seguridad, Convivencia y Justicia</v>
      </c>
      <c r="F86" s="25" t="str">
        <f ca="1">IFERROR(__xludf.DUMMYFUNCTION("""COMPUTED_VALUE"""),"Para octubre y diciembre se activarán planes de responsabilidad social en conjunto con los privados para organización de entradas, mejora de logística y disminución de factores de oportunidad de hurtos por aglomeración.")</f>
        <v>Para octubre y diciembre se activarán planes de responsabilidad social en conjunto con los privados para organización de entradas, mejora de logística y disminución de factores de oportunidad de hurtos por aglomeración.</v>
      </c>
      <c r="G86" s="25" t="str">
        <f ca="1">IFERROR(__xludf.DUMMYFUNCTION("""COMPUTED_VALUE"""),"99. Distrito")</f>
        <v>99. Distrito</v>
      </c>
      <c r="H86" s="55">
        <f ca="1">IFERROR(__xludf.DUMMYFUNCTION("""COMPUTED_VALUE"""),44483)</f>
        <v>44483</v>
      </c>
      <c r="I86" s="25"/>
      <c r="J86" s="55" t="str">
        <f ca="1">IFERROR(__xludf.DUMMYFUNCTION("""COMPUTED_VALUE"""),"Alta")</f>
        <v>Alta</v>
      </c>
      <c r="K86" s="25">
        <f ca="1">IFERROR(__xludf.DUMMYFUNCTION("""COMPUTED_VALUE"""),30)</f>
        <v>30</v>
      </c>
      <c r="L86" s="55">
        <f ca="1">IFERROR(__xludf.DUMMYFUNCTION("""COMPUTED_VALUE"""),44782)</f>
        <v>44782</v>
      </c>
      <c r="M86" s="25"/>
      <c r="N86" s="55">
        <f ca="1">IFERROR(__xludf.DUMMYFUNCTION("""COMPUTED_VALUE"""),44782)</f>
        <v>44782</v>
      </c>
      <c r="O86" s="25" t="str">
        <f t="shared" ca="1" si="0"/>
        <v>Secretaría Distrital de Seguridad, Convivencia y Justicia</v>
      </c>
      <c r="P86" s="25" t="str">
        <f t="shared" si="1"/>
        <v/>
      </c>
      <c r="Q86" s="25" t="str">
        <f ca="1">IFERROR(__xludf.DUMMYFUNCTION("""COMPUTED_VALUE"""),"Corto plazo")</f>
        <v>Corto plazo</v>
      </c>
      <c r="R86" s="25"/>
      <c r="S86" s="55"/>
      <c r="T86" s="56"/>
      <c r="U86" s="25"/>
      <c r="V86" s="25"/>
      <c r="W86" s="25"/>
      <c r="X86" s="25"/>
      <c r="Y86" s="25"/>
      <c r="Z86" s="25"/>
    </row>
    <row r="87" spans="1:26" ht="52.5" customHeight="1" x14ac:dyDescent="0.25">
      <c r="A87" s="25" t="str">
        <f ca="1">IFERROR(__xludf.DUMMYFUNCTION("""COMPUTED_VALUE"""),"Segur85")</f>
        <v>Segur85</v>
      </c>
      <c r="B87" s="25" t="str">
        <f ca="1">IFERROR(__xludf.DUMMYFUNCTION("""COMPUTED_VALUE"""),"Despachando asobares")</f>
        <v>Despachando asobares</v>
      </c>
      <c r="C87" s="55">
        <f ca="1">IFERROR(__xludf.DUMMYFUNCTION("""COMPUTED_VALUE"""),44453)</f>
        <v>44453</v>
      </c>
      <c r="D87" s="25" t="str">
        <f ca="1">IFERROR(__xludf.DUMMYFUNCTION("""COMPUTED_VALUE"""),"Seguridad")</f>
        <v>Seguridad</v>
      </c>
      <c r="E87" s="25" t="str">
        <f ca="1">IFERROR(__xludf.DUMMYFUNCTION("""COMPUTED_VALUE"""),"Secretaría Distrital de Seguridad, Convivencia y Justicia")</f>
        <v>Secretaría Distrital de Seguridad, Convivencia y Justicia</v>
      </c>
      <c r="F87" s="25" t="str">
        <f ca="1">IFERROR(__xludf.DUMMYFUNCTION("""COMPUTED_VALUE"""),"Activar recorridos con la Policía en las 10 zonas priorizadas.")</f>
        <v>Activar recorridos con la Policía en las 10 zonas priorizadas.</v>
      </c>
      <c r="G87" s="25" t="str">
        <f ca="1">IFERROR(__xludf.DUMMYFUNCTION("""COMPUTED_VALUE"""),"99. Distrito")</f>
        <v>99. Distrito</v>
      </c>
      <c r="H87" s="55">
        <f ca="1">IFERROR(__xludf.DUMMYFUNCTION("""COMPUTED_VALUE"""),44483)</f>
        <v>44483</v>
      </c>
      <c r="I87" s="25"/>
      <c r="J87" s="55" t="str">
        <f ca="1">IFERROR(__xludf.DUMMYFUNCTION("""COMPUTED_VALUE"""),"Alta")</f>
        <v>Alta</v>
      </c>
      <c r="K87" s="25">
        <f ca="1">IFERROR(__xludf.DUMMYFUNCTION("""COMPUTED_VALUE"""),30)</f>
        <v>30</v>
      </c>
      <c r="L87" s="55">
        <f ca="1">IFERROR(__xludf.DUMMYFUNCTION("""COMPUTED_VALUE"""),44576)</f>
        <v>44576</v>
      </c>
      <c r="M87" s="25" t="str">
        <f ca="1">IFERROR(__xludf.DUMMYFUNCTION("""COMPUTED_VALUE"""),"El 8 de octubre se realizaron recorridos en: la 93, la Zona T, la 85, la 82, Galerías, Modelia y Av. 1ro de mayo. ")</f>
        <v xml:space="preserve">El 8 de octubre se realizaron recorridos en: la 93, la Zona T, la 85, la 82, Galerías, Modelia y Av. 1ro de mayo. </v>
      </c>
      <c r="N87" s="55">
        <f ca="1">IFERROR(__xludf.DUMMYFUNCTION("""COMPUTED_VALUE"""),44576)</f>
        <v>44576</v>
      </c>
      <c r="O87" s="25" t="str">
        <f t="shared" ca="1" si="0"/>
        <v>Secretaría Distrital de Seguridad, Convivencia y Justicia</v>
      </c>
      <c r="P87" s="25" t="str">
        <f t="shared" si="1"/>
        <v/>
      </c>
      <c r="Q87" s="25" t="str">
        <f ca="1">IFERROR(__xludf.DUMMYFUNCTION("""COMPUTED_VALUE"""),"Corto plazo")</f>
        <v>Corto plazo</v>
      </c>
      <c r="R87" s="25"/>
      <c r="S87" s="55"/>
      <c r="T87" s="56"/>
      <c r="U87" s="25"/>
      <c r="V87" s="25"/>
      <c r="W87" s="25"/>
      <c r="X87" s="25"/>
      <c r="Y87" s="25"/>
      <c r="Z87" s="25"/>
    </row>
    <row r="88" spans="1:26" ht="52.5" customHeight="1" x14ac:dyDescent="0.25">
      <c r="A88" s="25" t="str">
        <f ca="1">IFERROR(__xludf.DUMMYFUNCTION("""COMPUTED_VALUE"""),"Segur86")</f>
        <v>Segur86</v>
      </c>
      <c r="B88" s="25" t="str">
        <f ca="1">IFERROR(__xludf.DUMMYFUNCTION("""COMPUTED_VALUE"""),"Despachando asobares")</f>
        <v>Despachando asobares</v>
      </c>
      <c r="C88" s="55">
        <f ca="1">IFERROR(__xludf.DUMMYFUNCTION("""COMPUTED_VALUE"""),44453)</f>
        <v>44453</v>
      </c>
      <c r="D88" s="25" t="str">
        <f ca="1">IFERROR(__xludf.DUMMYFUNCTION("""COMPUTED_VALUE"""),"Seguridad")</f>
        <v>Seguridad</v>
      </c>
      <c r="E88" s="25" t="str">
        <f ca="1">IFERROR(__xludf.DUMMYFUNCTION("""COMPUTED_VALUE"""),"Secretaría Distrital de Seguridad, Convivencia y Justicia")</f>
        <v>Secretaría Distrital de Seguridad, Convivencia y Justicia</v>
      </c>
      <c r="F88" s="25" t="str">
        <f ca="1">IFERROR(__xludf.DUMMYFUNCTION("""COMPUTED_VALUE"""),"Realizar controles con rentas de Cundinamarca para operativos contra licor de contrabando.")</f>
        <v>Realizar controles con rentas de Cundinamarca para operativos contra licor de contrabando.</v>
      </c>
      <c r="G88" s="25" t="str">
        <f ca="1">IFERROR(__xludf.DUMMYFUNCTION("""COMPUTED_VALUE"""),"99. Distrito")</f>
        <v>99. Distrito</v>
      </c>
      <c r="H88" s="55">
        <f ca="1">IFERROR(__xludf.DUMMYFUNCTION("""COMPUTED_VALUE"""),44483)</f>
        <v>44483</v>
      </c>
      <c r="I88" s="25"/>
      <c r="J88" s="55" t="str">
        <f ca="1">IFERROR(__xludf.DUMMYFUNCTION("""COMPUTED_VALUE"""),"Alta")</f>
        <v>Alta</v>
      </c>
      <c r="K88" s="25">
        <f ca="1">IFERROR(__xludf.DUMMYFUNCTION("""COMPUTED_VALUE"""),30)</f>
        <v>30</v>
      </c>
      <c r="L88" s="55">
        <f ca="1">IFERROR(__xludf.DUMMYFUNCTION("""COMPUTED_VALUE"""),44576)</f>
        <v>44576</v>
      </c>
      <c r="M88" s="25" t="str">
        <f ca="1">IFERROR(__xludf.DUMMYFUNCTION("""COMPUTED_VALUE"""),"Se hicieron 5 operativos en Santa fe, Ciudad Bolívar, Bosa, Kennedy y Chapinero")</f>
        <v>Se hicieron 5 operativos en Santa fe, Ciudad Bolívar, Bosa, Kennedy y Chapinero</v>
      </c>
      <c r="N88" s="55">
        <f ca="1">IFERROR(__xludf.DUMMYFUNCTION("""COMPUTED_VALUE"""),44576)</f>
        <v>44576</v>
      </c>
      <c r="O88" s="25" t="str">
        <f t="shared" ca="1" si="0"/>
        <v>Secretaría Distrital de Seguridad, Convivencia y Justicia</v>
      </c>
      <c r="P88" s="25" t="str">
        <f t="shared" si="1"/>
        <v/>
      </c>
      <c r="Q88" s="25" t="str">
        <f ca="1">IFERROR(__xludf.DUMMYFUNCTION("""COMPUTED_VALUE"""),"Corto plazo")</f>
        <v>Corto plazo</v>
      </c>
      <c r="R88" s="25"/>
      <c r="S88" s="55"/>
      <c r="T88" s="56"/>
      <c r="U88" s="25"/>
      <c r="V88" s="25"/>
      <c r="W88" s="25"/>
      <c r="X88" s="25"/>
      <c r="Y88" s="25"/>
      <c r="Z88" s="25"/>
    </row>
    <row r="89" spans="1:26" ht="52.5" customHeight="1" x14ac:dyDescent="0.25">
      <c r="A89" s="25" t="str">
        <f ca="1">IFERROR(__xludf.DUMMYFUNCTION("""COMPUTED_VALUE"""),"Segur87")</f>
        <v>Segur87</v>
      </c>
      <c r="B89" s="25" t="str">
        <f ca="1">IFERROR(__xludf.DUMMYFUNCTION("""COMPUTED_VALUE"""),"Despachando asobares")</f>
        <v>Despachando asobares</v>
      </c>
      <c r="C89" s="55">
        <f ca="1">IFERROR(__xludf.DUMMYFUNCTION("""COMPUTED_VALUE"""),44453)</f>
        <v>44453</v>
      </c>
      <c r="D89" s="25" t="str">
        <f ca="1">IFERROR(__xludf.DUMMYFUNCTION("""COMPUTED_VALUE"""),"Seguridad")</f>
        <v>Seguridad</v>
      </c>
      <c r="E89" s="25" t="str">
        <f ca="1">IFERROR(__xludf.DUMMYFUNCTION("""COMPUTED_VALUE"""),"Secretaría Distrital de Seguridad, Convivencia y Justicia")</f>
        <v>Secretaría Distrital de Seguridad, Convivencia y Justicia</v>
      </c>
      <c r="F89" s="25" t="str">
        <f ca="1">IFERROR(__xludf.DUMMYFUNCTION("""COMPUTED_VALUE"""),"Realizar recorridos de verificación de entornos para Luz, andenes, poda, habitantes de calle, carreteros, recicladores, vendedores informales y migrantes.")</f>
        <v>Realizar recorridos de verificación de entornos para Luz, andenes, poda, habitantes de calle, carreteros, recicladores, vendedores informales y migrantes.</v>
      </c>
      <c r="G89" s="25" t="str">
        <f ca="1">IFERROR(__xludf.DUMMYFUNCTION("""COMPUTED_VALUE"""),"99. Distrito")</f>
        <v>99. Distrito</v>
      </c>
      <c r="H89" s="55">
        <f ca="1">IFERROR(__xludf.DUMMYFUNCTION("""COMPUTED_VALUE"""),44483)</f>
        <v>44483</v>
      </c>
      <c r="I89" s="25"/>
      <c r="J89" s="55" t="str">
        <f ca="1">IFERROR(__xludf.DUMMYFUNCTION("""COMPUTED_VALUE"""),"Alta")</f>
        <v>Alta</v>
      </c>
      <c r="K89" s="25">
        <f ca="1">IFERROR(__xludf.DUMMYFUNCTION("""COMPUTED_VALUE"""),30)</f>
        <v>30</v>
      </c>
      <c r="L89" s="55">
        <f ca="1">IFERROR(__xludf.DUMMYFUNCTION("""COMPUTED_VALUE"""),44484)</f>
        <v>44484</v>
      </c>
      <c r="M89" s="25" t="str">
        <f ca="1">IFERROR(__xludf.DUMMYFUNCTION("""COMPUTED_VALUE"""),"Se realizó recorrido con entidades distritales por la zona de San Felipe donde se establecieron los compromisos de poda, mejoramiento del alumbrado público y atención a habitantes de calle, los cuales ya se han llevado a cabo por parte de la UAESP y JBB, "&amp;"así como SDIS.")</f>
        <v>Se realizó recorrido con entidades distritales por la zona de San Felipe donde se establecieron los compromisos de poda, mejoramiento del alumbrado público y atención a habitantes de calle, los cuales ya se han llevado a cabo por parte de la UAESP y JBB, así como SDIS.</v>
      </c>
      <c r="N89" s="55">
        <f ca="1">IFERROR(__xludf.DUMMYFUNCTION("""COMPUTED_VALUE"""),44484)</f>
        <v>44484</v>
      </c>
      <c r="O89" s="25" t="str">
        <f t="shared" ca="1" si="0"/>
        <v>Secretaría Distrital de Seguridad, Convivencia y Justicia</v>
      </c>
      <c r="P89" s="25" t="str">
        <f t="shared" si="1"/>
        <v/>
      </c>
      <c r="Q89" s="25" t="str">
        <f ca="1">IFERROR(__xludf.DUMMYFUNCTION("""COMPUTED_VALUE"""),"Corto plazo")</f>
        <v>Corto plazo</v>
      </c>
      <c r="R89" s="25"/>
      <c r="S89" s="55"/>
      <c r="T89" s="56"/>
      <c r="U89" s="25"/>
      <c r="V89" s="25"/>
      <c r="W89" s="25"/>
      <c r="X89" s="25"/>
      <c r="Y89" s="25"/>
      <c r="Z89" s="25"/>
    </row>
    <row r="90" spans="1:26" ht="52.5" customHeight="1" x14ac:dyDescent="0.25">
      <c r="A90" s="25" t="str">
        <f ca="1">IFERROR(__xludf.DUMMYFUNCTION("""COMPUTED_VALUE"""),"Segur88")</f>
        <v>Segur88</v>
      </c>
      <c r="B90" s="25" t="str">
        <f ca="1">IFERROR(__xludf.DUMMYFUNCTION("""COMPUTED_VALUE"""),"Despachando asobares")</f>
        <v>Despachando asobares</v>
      </c>
      <c r="C90" s="55">
        <f ca="1">IFERROR(__xludf.DUMMYFUNCTION("""COMPUTED_VALUE"""),44453)</f>
        <v>44453</v>
      </c>
      <c r="D90" s="25" t="str">
        <f ca="1">IFERROR(__xludf.DUMMYFUNCTION("""COMPUTED_VALUE"""),"Seguridad")</f>
        <v>Seguridad</v>
      </c>
      <c r="E90" s="25" t="str">
        <f ca="1">IFERROR(__xludf.DUMMYFUNCTION("""COMPUTED_VALUE"""),"Secretaría Distrital de Seguridad, Convivencia y Justicia")</f>
        <v>Secretaría Distrital de Seguridad, Convivencia y Justicia</v>
      </c>
      <c r="F90" s="25" t="str">
        <f ca="1">IFERROR(__xludf.DUMMYFUNCTION("""COMPUTED_VALUE"""),"Realizar una mesa de seguimiento con el gremio de asobares para contar que avances concretos se han realizado. ")</f>
        <v xml:space="preserve">Realizar una mesa de seguimiento con el gremio de asobares para contar que avances concretos se han realizado. </v>
      </c>
      <c r="G90" s="25" t="str">
        <f ca="1">IFERROR(__xludf.DUMMYFUNCTION("""COMPUTED_VALUE"""),"99. Distrito")</f>
        <v>99. Distrito</v>
      </c>
      <c r="H90" s="55">
        <f ca="1">IFERROR(__xludf.DUMMYFUNCTION("""COMPUTED_VALUE"""),44483)</f>
        <v>44483</v>
      </c>
      <c r="I90" s="25"/>
      <c r="J90" s="55" t="str">
        <f ca="1">IFERROR(__xludf.DUMMYFUNCTION("""COMPUTED_VALUE"""),"Alta")</f>
        <v>Alta</v>
      </c>
      <c r="K90" s="25">
        <f ca="1">IFERROR(__xludf.DUMMYFUNCTION("""COMPUTED_VALUE"""),30)</f>
        <v>30</v>
      </c>
      <c r="L90" s="55">
        <f ca="1">IFERROR(__xludf.DUMMYFUNCTION("""COMPUTED_VALUE"""),44576)</f>
        <v>44576</v>
      </c>
      <c r="M90" s="25" t="str">
        <f ca="1">IFERROR(__xludf.DUMMYFUNCTION("""COMPUTED_VALUE"""),"La mesa se realizó el 4 de octubre de 2021.")</f>
        <v>La mesa se realizó el 4 de octubre de 2021.</v>
      </c>
      <c r="N90" s="55">
        <f ca="1">IFERROR(__xludf.DUMMYFUNCTION("""COMPUTED_VALUE"""),44576)</f>
        <v>44576</v>
      </c>
      <c r="O90" s="25" t="str">
        <f t="shared" ca="1" si="0"/>
        <v>Secretaría Distrital de Seguridad, Convivencia y Justicia</v>
      </c>
      <c r="P90" s="25" t="str">
        <f t="shared" si="1"/>
        <v/>
      </c>
      <c r="Q90" s="25" t="str">
        <f ca="1">IFERROR(__xludf.DUMMYFUNCTION("""COMPUTED_VALUE"""),"Corto plazo")</f>
        <v>Corto plazo</v>
      </c>
      <c r="R90" s="25"/>
      <c r="S90" s="55"/>
      <c r="T90" s="56"/>
      <c r="U90" s="25"/>
      <c r="V90" s="25"/>
      <c r="W90" s="25"/>
      <c r="X90" s="25"/>
      <c r="Y90" s="25"/>
      <c r="Z90" s="25"/>
    </row>
    <row r="91" spans="1:26" ht="52.5" customHeight="1" x14ac:dyDescent="0.25">
      <c r="A91" s="25" t="str">
        <f ca="1">IFERROR(__xludf.DUMMYFUNCTION("""COMPUTED_VALUE"""),"Segur89")</f>
        <v>Segur89</v>
      </c>
      <c r="B91" s="25" t="str">
        <f ca="1">IFERROR(__xludf.DUMMYFUNCTION("""COMPUTED_VALUE"""),"Despachando Fenalco")</f>
        <v>Despachando Fenalco</v>
      </c>
      <c r="C91" s="55">
        <f ca="1">IFERROR(__xludf.DUMMYFUNCTION("""COMPUTED_VALUE"""),44452)</f>
        <v>44452</v>
      </c>
      <c r="D91" s="25" t="str">
        <f ca="1">IFERROR(__xludf.DUMMYFUNCTION("""COMPUTED_VALUE"""),"Seguridad")</f>
        <v>Seguridad</v>
      </c>
      <c r="E91" s="25" t="str">
        <f ca="1">IFERROR(__xludf.DUMMYFUNCTION("""COMPUTED_VALUE"""),"Secretaría Distrital de Seguridad, Convivencia y Justicia")</f>
        <v>Secretaría Distrital de Seguridad, Convivencia y Justicia</v>
      </c>
      <c r="F91" s="25" t="str">
        <f ca="1">IFERROR(__xludf.DUMMYFUNCTION("""COMPUTED_VALUE"""),"Evaluar la posibilidad de patrullajes mixto con el Ejército para hacer presencia disuasiva.")</f>
        <v>Evaluar la posibilidad de patrullajes mixto con el Ejército para hacer presencia disuasiva.</v>
      </c>
      <c r="G91" s="25" t="str">
        <f ca="1">IFERROR(__xludf.DUMMYFUNCTION("""COMPUTED_VALUE"""),"99. Distrito")</f>
        <v>99. Distrito</v>
      </c>
      <c r="H91" s="55">
        <f ca="1">IFERROR(__xludf.DUMMYFUNCTION("""COMPUTED_VALUE"""),44482)</f>
        <v>44482</v>
      </c>
      <c r="I91" s="25"/>
      <c r="J91" s="55" t="str">
        <f ca="1">IFERROR(__xludf.DUMMYFUNCTION("""COMPUTED_VALUE"""),"Alta")</f>
        <v>Alta</v>
      </c>
      <c r="K91" s="25">
        <f ca="1">IFERROR(__xludf.DUMMYFUNCTION("""COMPUTED_VALUE"""),30)</f>
        <v>30</v>
      </c>
      <c r="L91" s="55">
        <f ca="1">IFERROR(__xludf.DUMMYFUNCTION("""COMPUTED_VALUE"""),44576)</f>
        <v>44576</v>
      </c>
      <c r="M91" s="25" t="str">
        <f ca="1">IFERROR(__xludf.DUMMYFUNCTION("""COMPUTED_VALUE"""),"El Ejército aprobó un refuerza adicional para acompañar los recorridos que hace la Policía en las localidades más violentas de la ciudad. ")</f>
        <v xml:space="preserve">El Ejército aprobó un refuerza adicional para acompañar los recorridos que hace la Policía en las localidades más violentas de la ciudad. </v>
      </c>
      <c r="N91" s="55">
        <f ca="1">IFERROR(__xludf.DUMMYFUNCTION("""COMPUTED_VALUE"""),44576)</f>
        <v>44576</v>
      </c>
      <c r="O91" s="25" t="str">
        <f t="shared" ca="1" si="0"/>
        <v>Secretaría Distrital de Seguridad, Convivencia y Justicia</v>
      </c>
      <c r="P91" s="25" t="str">
        <f t="shared" si="1"/>
        <v/>
      </c>
      <c r="Q91" s="25" t="str">
        <f ca="1">IFERROR(__xludf.DUMMYFUNCTION("""COMPUTED_VALUE"""),"Corto plazo")</f>
        <v>Corto plazo</v>
      </c>
      <c r="R91" s="25"/>
      <c r="S91" s="55"/>
      <c r="T91" s="56"/>
      <c r="U91" s="25"/>
      <c r="V91" s="25"/>
      <c r="W91" s="25"/>
      <c r="X91" s="25"/>
      <c r="Y91" s="25"/>
      <c r="Z91" s="25"/>
    </row>
    <row r="92" spans="1:26" ht="52.5" customHeight="1" x14ac:dyDescent="0.25">
      <c r="A92" s="25" t="str">
        <f ca="1">IFERROR(__xludf.DUMMYFUNCTION("""COMPUTED_VALUE"""),"Segur90")</f>
        <v>Segur90</v>
      </c>
      <c r="B92" s="25" t="str">
        <f ca="1">IFERROR(__xludf.DUMMYFUNCTION("""COMPUTED_VALUE"""),"Despachando Fenalco")</f>
        <v>Despachando Fenalco</v>
      </c>
      <c r="C92" s="55">
        <f ca="1">IFERROR(__xludf.DUMMYFUNCTION("""COMPUTED_VALUE"""),44452)</f>
        <v>44452</v>
      </c>
      <c r="D92" s="25" t="str">
        <f ca="1">IFERROR(__xludf.DUMMYFUNCTION("""COMPUTED_VALUE"""),"Seguridad")</f>
        <v>Seguridad</v>
      </c>
      <c r="E92" s="25" t="str">
        <f ca="1">IFERROR(__xludf.DUMMYFUNCTION("""COMPUTED_VALUE"""),"Secretaría Distrital de Seguridad, Convivencia y Justicia")</f>
        <v>Secretaría Distrital de Seguridad, Convivencia y Justicia</v>
      </c>
      <c r="F92" s="25" t="str">
        <f ca="1">IFERROR(__xludf.DUMMYFUNCTION("""COMPUTED_VALUE"""),"Realizar mesas de Seguridad para activar redes o frentes, conectar cámaras con:
•        Centros Comerciales
•        Droguerías de cadena 
•        Restaurantes
•        Parque de atracción 
")</f>
        <v xml:space="preserve">Realizar mesas de Seguridad para activar redes o frentes, conectar cámaras con:
•        Centros Comerciales
•        Droguerías de cadena 
•        Restaurantes
•        Parque de atracción 
</v>
      </c>
      <c r="G92" s="25" t="str">
        <f ca="1">IFERROR(__xludf.DUMMYFUNCTION("""COMPUTED_VALUE"""),"99. Distrito")</f>
        <v>99. Distrito</v>
      </c>
      <c r="H92" s="55">
        <f ca="1">IFERROR(__xludf.DUMMYFUNCTION("""COMPUTED_VALUE"""),44482)</f>
        <v>44482</v>
      </c>
      <c r="I92" s="25"/>
      <c r="J92" s="55" t="str">
        <f ca="1">IFERROR(__xludf.DUMMYFUNCTION("""COMPUTED_VALUE"""),"Alta")</f>
        <v>Alta</v>
      </c>
      <c r="K92" s="25">
        <f ca="1">IFERROR(__xludf.DUMMYFUNCTION("""COMPUTED_VALUE"""),30)</f>
        <v>30</v>
      </c>
      <c r="L92" s="55">
        <f ca="1">IFERROR(__xludf.DUMMYFUNCTION("""COMPUTED_VALUE"""),44576)</f>
        <v>44576</v>
      </c>
      <c r="M92" s="25" t="str">
        <f ca="1">IFERROR(__xludf.DUMMYFUNCTION("""COMPUTED_VALUE"""),"Reporte del trabajo con centros comerciales: 70 cámaras de centros comerciales vinculadas al C4; Tres reuniones con directores de seguridad de los centros comerciales Unicentro, Titan Plaza, Plaza de las Américas, Portal Ochenta, el Edén, Gran Estación, y"&amp;" de las compañías Mac Donals y Dunkin donuts; Participación y presentación de las redes CUIdadanas, sello cuidadano y servicios de conexión de cámaras (proyecto de video vigilancia) al C4 en el evento de ADESEC (ASOCIACION DE SEGURIDAD COMERCIAL) de grand"&amp;"es superficies; Dos visitas a centros comerciales )Plaza de las Américas y el Edén); Una visita de vinculación al parque Mundo Aventura; 5 solicitudes de revisión de cámaras en proceso de validación de centros comerciales.")</f>
        <v>Reporte del trabajo con centros comerciales: 70 cámaras de centros comerciales vinculadas al C4; Tres reuniones con directores de seguridad de los centros comerciales Unicentro, Titan Plaza, Plaza de las Américas, Portal Ochenta, el Edén, Gran Estación, y de las compañías Mac Donals y Dunkin donuts; Participación y presentación de las redes CUIdadanas, sello cuidadano y servicios de conexión de cámaras (proyecto de video vigilancia) al C4 en el evento de ADESEC (ASOCIACION DE SEGURIDAD COMERCIAL) de grandes superficies; Dos visitas a centros comerciales )Plaza de las Américas y el Edén); Una visita de vinculación al parque Mundo Aventura; 5 solicitudes de revisión de cámaras en proceso de validación de centros comerciales.</v>
      </c>
      <c r="N92" s="55">
        <f ca="1">IFERROR(__xludf.DUMMYFUNCTION("""COMPUTED_VALUE"""),44576)</f>
        <v>44576</v>
      </c>
      <c r="O92" s="25" t="str">
        <f t="shared" ca="1" si="0"/>
        <v>Secretaría Distrital de Seguridad, Convivencia y Justicia</v>
      </c>
      <c r="P92" s="25" t="str">
        <f t="shared" si="1"/>
        <v/>
      </c>
      <c r="Q92" s="25" t="str">
        <f ca="1">IFERROR(__xludf.DUMMYFUNCTION("""COMPUTED_VALUE"""),"Corto plazo")</f>
        <v>Corto plazo</v>
      </c>
      <c r="R92" s="25"/>
      <c r="S92" s="55"/>
      <c r="T92" s="56"/>
      <c r="U92" s="25"/>
      <c r="V92" s="25"/>
      <c r="W92" s="25"/>
      <c r="X92" s="25"/>
      <c r="Y92" s="25"/>
      <c r="Z92" s="25"/>
    </row>
    <row r="93" spans="1:26" ht="52.5" customHeight="1" x14ac:dyDescent="0.25">
      <c r="A93" s="25" t="str">
        <f ca="1">IFERROR(__xludf.DUMMYFUNCTION("""COMPUTED_VALUE"""),"Segur91")</f>
        <v>Segur91</v>
      </c>
      <c r="B93" s="25" t="str">
        <f ca="1">IFERROR(__xludf.DUMMYFUNCTION("""COMPUTED_VALUE"""),"Despachando Fenalco")</f>
        <v>Despachando Fenalco</v>
      </c>
      <c r="C93" s="55">
        <f ca="1">IFERROR(__xludf.DUMMYFUNCTION("""COMPUTED_VALUE"""),44452)</f>
        <v>44452</v>
      </c>
      <c r="D93" s="25" t="str">
        <f ca="1">IFERROR(__xludf.DUMMYFUNCTION("""COMPUTED_VALUE"""),"Seguridad")</f>
        <v>Seguridad</v>
      </c>
      <c r="E93" s="25" t="str">
        <f ca="1">IFERROR(__xludf.DUMMYFUNCTION("""COMPUTED_VALUE"""),"Secretaría Distrital de Seguridad, Convivencia y Justicia")</f>
        <v>Secretaría Distrital de Seguridad, Convivencia y Justicia</v>
      </c>
      <c r="F93" s="25" t="str">
        <f ca="1">IFERROR(__xludf.DUMMYFUNCTION("""COMPUTED_VALUE"""),"Impulsar puntos de control para el desarme ciudadano. ")</f>
        <v xml:space="preserve">Impulsar puntos de control para el desarme ciudadano. </v>
      </c>
      <c r="G93" s="25" t="str">
        <f ca="1">IFERROR(__xludf.DUMMYFUNCTION("""COMPUTED_VALUE"""),"99. Distrito")</f>
        <v>99. Distrito</v>
      </c>
      <c r="H93" s="55">
        <f ca="1">IFERROR(__xludf.DUMMYFUNCTION("""COMPUTED_VALUE"""),44482)</f>
        <v>44482</v>
      </c>
      <c r="I93" s="25"/>
      <c r="J93" s="55" t="str">
        <f ca="1">IFERROR(__xludf.DUMMYFUNCTION("""COMPUTED_VALUE"""),"Alta")</f>
        <v>Alta</v>
      </c>
      <c r="K93" s="25">
        <f ca="1">IFERROR(__xludf.DUMMYFUNCTION("""COMPUTED_VALUE"""),30)</f>
        <v>30</v>
      </c>
      <c r="L93" s="55">
        <f ca="1">IFERROR(__xludf.DUMMYFUNCTION("""COMPUTED_VALUE"""),44576)</f>
        <v>44576</v>
      </c>
      <c r="M93" s="25" t="str">
        <f ca="1">IFERROR(__xludf.DUMMYFUNCTION("""COMPUTED_VALUE"""),"La MEBOG prioriza los puntos donde se concentran el hurto, lesiones personales y homicidio. Se instalan puestos de control donde se realizan requisas y solicitud de antecedentes. Igualmente, desde la reunión con FENALCO, la PM ha venido acompañando a la M"&amp;"EBOG en la actividad de patrullaje y con instalación de puntos de control, para realizar requisas, requerir antecedentes y generar disuasión del delito.")</f>
        <v>La MEBOG prioriza los puntos donde se concentran el hurto, lesiones personales y homicidio. Se instalan puestos de control donde se realizan requisas y solicitud de antecedentes. Igualmente, desde la reunión con FENALCO, la PM ha venido acompañando a la MEBOG en la actividad de patrullaje y con instalación de puntos de control, para realizar requisas, requerir antecedentes y generar disuasión del delito.</v>
      </c>
      <c r="N93" s="55">
        <f ca="1">IFERROR(__xludf.DUMMYFUNCTION("""COMPUTED_VALUE"""),44576)</f>
        <v>44576</v>
      </c>
      <c r="O93" s="25" t="str">
        <f t="shared" ca="1" si="0"/>
        <v>Secretaría Distrital de Seguridad, Convivencia y Justicia</v>
      </c>
      <c r="P93" s="25" t="str">
        <f t="shared" si="1"/>
        <v/>
      </c>
      <c r="Q93" s="25" t="str">
        <f ca="1">IFERROR(__xludf.DUMMYFUNCTION("""COMPUTED_VALUE"""),"Corto plazo")</f>
        <v>Corto plazo</v>
      </c>
      <c r="R93" s="25"/>
      <c r="S93" s="55"/>
      <c r="T93" s="56"/>
      <c r="U93" s="25"/>
      <c r="V93" s="25"/>
      <c r="W93" s="25"/>
      <c r="X93" s="25"/>
      <c r="Y93" s="25"/>
      <c r="Z93" s="25"/>
    </row>
    <row r="94" spans="1:26" ht="52.5" customHeight="1" x14ac:dyDescent="0.25">
      <c r="A94" s="25" t="str">
        <f ca="1">IFERROR(__xludf.DUMMYFUNCTION("""COMPUTED_VALUE"""),"Segur92")</f>
        <v>Segur92</v>
      </c>
      <c r="B94" s="25" t="str">
        <f ca="1">IFERROR(__xludf.DUMMYFUNCTION("""COMPUTED_VALUE"""),"Despachando Fenalco")</f>
        <v>Despachando Fenalco</v>
      </c>
      <c r="C94" s="55">
        <f ca="1">IFERROR(__xludf.DUMMYFUNCTION("""COMPUTED_VALUE"""),44452)</f>
        <v>44452</v>
      </c>
      <c r="D94" s="25" t="str">
        <f ca="1">IFERROR(__xludf.DUMMYFUNCTION("""COMPUTED_VALUE"""),"Seguridad")</f>
        <v>Seguridad</v>
      </c>
      <c r="E94" s="25" t="str">
        <f ca="1">IFERROR(__xludf.DUMMYFUNCTION("""COMPUTED_VALUE"""),"Secretaría Distrital de Seguridad, Convivencia y Justicia")</f>
        <v>Secretaría Distrital de Seguridad, Convivencia y Justicia</v>
      </c>
      <c r="F94" s="25" t="str">
        <f ca="1">IFERROR(__xludf.DUMMYFUNCTION("""COMPUTED_VALUE"""),"Fortalecer la respuesta de la Policía en los frentes de seguridad y redes creadas por los ciudadanos ya creadas.")</f>
        <v>Fortalecer la respuesta de la Policía en los frentes de seguridad y redes creadas por los ciudadanos ya creadas.</v>
      </c>
      <c r="G94" s="25" t="str">
        <f ca="1">IFERROR(__xludf.DUMMYFUNCTION("""COMPUTED_VALUE"""),"99. Distrito")</f>
        <v>99. Distrito</v>
      </c>
      <c r="H94" s="55">
        <f ca="1">IFERROR(__xludf.DUMMYFUNCTION("""COMPUTED_VALUE"""),44482)</f>
        <v>44482</v>
      </c>
      <c r="I94" s="25"/>
      <c r="J94" s="55" t="str">
        <f ca="1">IFERROR(__xludf.DUMMYFUNCTION("""COMPUTED_VALUE"""),"Alta")</f>
        <v>Alta</v>
      </c>
      <c r="K94" s="25">
        <f ca="1">IFERROR(__xludf.DUMMYFUNCTION("""COMPUTED_VALUE"""),30)</f>
        <v>30</v>
      </c>
      <c r="L94" s="55">
        <f ca="1">IFERROR(__xludf.DUMMYFUNCTION("""COMPUTED_VALUE"""),44576)</f>
        <v>44576</v>
      </c>
      <c r="M94" s="25" t="str">
        <f ca="1">IFERROR(__xludf.DUMMYFUNCTION("""COMPUTED_VALUE"""),"Se realizó reunión con la Dirección de Prevención de la MEBOG para reafirmar la respuesta y presentar a los nuevos asignados por COSEC a los líderes. Adicionalmente se actualiza el dato de redes y frentes:
•       164 frentes de seguridad creados 
•     "&amp;"   693 redes CUIDAdanas creadas 
•        865 grupos reactivados o fortalecidos
•        4499 personas son líderes de un frente o red en su barrio hoy en Bogotá
•        El 75% son Redes CUIDAdanas o frentes barriales.
•        El 18% son Redes CUIDAdanas"&amp;" o frentes de comerciantes, es decir 51 en total.
•        Se destaca la creación de 6 redes CUIDAdana Poblacionales:
•        1 de víctimas del conflicto
•        1 de mujeres cuidadoras
•        1 de adultos mayores 
•        1 de vendedores informales
"&amp;"•        1 de población migrante
•        1 de población de mujeres en actividades sexuales pagas
•        62 Redes CUIDAdanas son en conjuntos y propiedad horizontal.
•        7 Redes CUIDAdanas son inter, estando en las fronteras.
•        Ciudad Bolíva"&amp;"r, Suba y Usaquén son las localidades con más redes CUIDAdanas y Frentes 
•        de Seguridad Local con 26 cada localidad.
•        12 Redes CUIDAdanas son conformadas por mujeres: Estas 12 redes se han enfocado en el trabajo denominado “Mujeres cuidand"&amp;"o Mujeres”, lo cual permite enrutar servicios enfocados a las mujeres desde la Secretaría de Integración social, Policía y fiscalía, con principal énfasis en violencias basadas en género.
")</f>
        <v xml:space="preserve">Se realizó reunión con la Dirección de Prevención de la MEBOG para reafirmar la respuesta y presentar a los nuevos asignados por COSEC a los líderes. Adicionalmente se actualiza el dato de redes y frentes:
•       164 frentes de seguridad creados 
•        693 redes CUIDAdanas creadas 
•        865 grupos reactivados o fortalecidos
•        4499 personas son líderes de un frente o red en su barrio hoy en Bogotá
•        El 75% son Redes CUIDAdanas o frentes barriales.
•        El 18% son Redes CUIDAdanas o frentes de comerciantes, es decir 51 en total.
•        Se destaca la creación de 6 redes CUIDAdana Poblacionales:
•        1 de víctimas del conflicto
•        1 de mujeres cuidadoras
•        1 de adultos mayores 
•        1 de vendedores informales
•        1 de población migrante
•        1 de población de mujeres en actividades sexuales pagas
•        62 Redes CUIDAdanas son en conjuntos y propiedad horizontal.
•        7 Redes CUIDAdanas son inter, estando en las fronteras.
•        Ciudad Bolívar, Suba y Usaquén son las localidades con más redes CUIDAdanas y Frentes 
•        de Seguridad Local con 26 cada localidad.
•        12 Redes CUIDAdanas son conformadas por mujeres: Estas 12 redes se han enfocado en el trabajo denominado “Mujeres cuidando Mujeres”, lo cual permite enrutar servicios enfocados a las mujeres desde la Secretaría de Integración social, Policía y fiscalía, con principal énfasis en violencias basadas en género.
</v>
      </c>
      <c r="N94" s="55">
        <f ca="1">IFERROR(__xludf.DUMMYFUNCTION("""COMPUTED_VALUE"""),44576)</f>
        <v>44576</v>
      </c>
      <c r="O94" s="25" t="str">
        <f t="shared" ca="1" si="0"/>
        <v>Secretaría Distrital de Seguridad, Convivencia y Justicia</v>
      </c>
      <c r="P94" s="25" t="str">
        <f t="shared" si="1"/>
        <v/>
      </c>
      <c r="Q94" s="25" t="str">
        <f ca="1">IFERROR(__xludf.DUMMYFUNCTION("""COMPUTED_VALUE"""),"Corto plazo")</f>
        <v>Corto plazo</v>
      </c>
      <c r="R94" s="25"/>
      <c r="S94" s="55"/>
      <c r="T94" s="56"/>
      <c r="U94" s="25"/>
      <c r="V94" s="25"/>
      <c r="W94" s="25"/>
      <c r="X94" s="25"/>
      <c r="Y94" s="25"/>
      <c r="Z94" s="25"/>
    </row>
    <row r="95" spans="1:26" ht="52.5" customHeight="1" x14ac:dyDescent="0.25">
      <c r="A95" s="25" t="str">
        <f ca="1">IFERROR(__xludf.DUMMYFUNCTION("""COMPUTED_VALUE"""),"Segur93")</f>
        <v>Segur93</v>
      </c>
      <c r="B95" s="25" t="str">
        <f ca="1">IFERROR(__xludf.DUMMYFUNCTION("""COMPUTED_VALUE"""),"Despachando Fenalco")</f>
        <v>Despachando Fenalco</v>
      </c>
      <c r="C95" s="55">
        <f ca="1">IFERROR(__xludf.DUMMYFUNCTION("""COMPUTED_VALUE"""),44452)</f>
        <v>44452</v>
      </c>
      <c r="D95" s="25" t="str">
        <f ca="1">IFERROR(__xludf.DUMMYFUNCTION("""COMPUTED_VALUE"""),"Seguridad")</f>
        <v>Seguridad</v>
      </c>
      <c r="E95" s="25" t="str">
        <f ca="1">IFERROR(__xludf.DUMMYFUNCTION("""COMPUTED_VALUE"""),"Secretaría Distrital de Seguridad, Convivencia y Justicia")</f>
        <v>Secretaría Distrital de Seguridad, Convivencia y Justicia</v>
      </c>
      <c r="F95" s="25" t="str">
        <f ca="1">IFERROR(__xludf.DUMMYFUNCTION("""COMPUTED_VALUE"""),"Creación de mesa de trabajo, para entrega de información sobre bandas por parte de comerciantes. Prioritario.")</f>
        <v>Creación de mesa de trabajo, para entrega de información sobre bandas por parte de comerciantes. Prioritario.</v>
      </c>
      <c r="G95" s="25" t="str">
        <f ca="1">IFERROR(__xludf.DUMMYFUNCTION("""COMPUTED_VALUE"""),"99. Distrito")</f>
        <v>99. Distrito</v>
      </c>
      <c r="H95" s="55">
        <f ca="1">IFERROR(__xludf.DUMMYFUNCTION("""COMPUTED_VALUE"""),44482)</f>
        <v>44482</v>
      </c>
      <c r="I95" s="25"/>
      <c r="J95" s="55" t="str">
        <f ca="1">IFERROR(__xludf.DUMMYFUNCTION("""COMPUTED_VALUE"""),"Alta")</f>
        <v>Alta</v>
      </c>
      <c r="K95" s="25">
        <f ca="1">IFERROR(__xludf.DUMMYFUNCTION("""COMPUTED_VALUE"""),30)</f>
        <v>30</v>
      </c>
      <c r="L95" s="55">
        <f ca="1">IFERROR(__xludf.DUMMYFUNCTION("""COMPUTED_VALUE"""),44576)</f>
        <v>44576</v>
      </c>
      <c r="M95" s="25" t="str">
        <f ca="1">IFERROR(__xludf.DUMMYFUNCTION("""COMPUTED_VALUE"""),"Sellevo a cabo una mesa en la localidad de Antonio Nariño para el 25 de octubre. A la fecha no se han recibido solicitudes adicionales para llevar a cabo mesas en otras localidades.")</f>
        <v>Sellevo a cabo una mesa en la localidad de Antonio Nariño para el 25 de octubre. A la fecha no se han recibido solicitudes adicionales para llevar a cabo mesas en otras localidades.</v>
      </c>
      <c r="N95" s="55">
        <f ca="1">IFERROR(__xludf.DUMMYFUNCTION("""COMPUTED_VALUE"""),44576)</f>
        <v>44576</v>
      </c>
      <c r="O95" s="25" t="str">
        <f t="shared" ca="1" si="0"/>
        <v>Secretaría Distrital de Seguridad, Convivencia y Justicia</v>
      </c>
      <c r="P95" s="25" t="str">
        <f t="shared" si="1"/>
        <v/>
      </c>
      <c r="Q95" s="25" t="str">
        <f ca="1">IFERROR(__xludf.DUMMYFUNCTION("""COMPUTED_VALUE"""),"Corto plazo")</f>
        <v>Corto plazo</v>
      </c>
      <c r="R95" s="25"/>
      <c r="S95" s="55"/>
      <c r="T95" s="56"/>
      <c r="U95" s="25"/>
      <c r="V95" s="25"/>
      <c r="W95" s="25"/>
      <c r="X95" s="25"/>
      <c r="Y95" s="25"/>
      <c r="Z95" s="25"/>
    </row>
    <row r="96" spans="1:26" ht="52.5" customHeight="1" x14ac:dyDescent="0.25">
      <c r="A96" s="25" t="str">
        <f ca="1">IFERROR(__xludf.DUMMYFUNCTION("""COMPUTED_VALUE"""),"Segur94")</f>
        <v>Segur94</v>
      </c>
      <c r="B96" s="25" t="str">
        <f ca="1">IFERROR(__xludf.DUMMYFUNCTION("""COMPUTED_VALUE"""),"Despachando Fenalco")</f>
        <v>Despachando Fenalco</v>
      </c>
      <c r="C96" s="55">
        <f ca="1">IFERROR(__xludf.DUMMYFUNCTION("""COMPUTED_VALUE"""),44452)</f>
        <v>44452</v>
      </c>
      <c r="D96" s="25" t="str">
        <f ca="1">IFERROR(__xludf.DUMMYFUNCTION("""COMPUTED_VALUE"""),"Seguridad")</f>
        <v>Seguridad</v>
      </c>
      <c r="E96" s="25" t="str">
        <f ca="1">IFERROR(__xludf.DUMMYFUNCTION("""COMPUTED_VALUE"""),"Secretaría Distrital de Seguridad, Convivencia y Justicia")</f>
        <v>Secretaría Distrital de Seguridad, Convivencia y Justicia</v>
      </c>
      <c r="F96" s="25" t="str">
        <f ca="1">IFERROR(__xludf.DUMMYFUNCTION("""COMPUTED_VALUE"""),"Crear un plan de control con vendedores informales y ""jaladores"".")</f>
        <v>Crear un plan de control con vendedores informales y "jaladores".</v>
      </c>
      <c r="G96" s="25" t="str">
        <f ca="1">IFERROR(__xludf.DUMMYFUNCTION("""COMPUTED_VALUE"""),"99. Distrito")</f>
        <v>99. Distrito</v>
      </c>
      <c r="H96" s="55">
        <f ca="1">IFERROR(__xludf.DUMMYFUNCTION("""COMPUTED_VALUE"""),44482)</f>
        <v>44482</v>
      </c>
      <c r="I96" s="25"/>
      <c r="J96" s="55" t="str">
        <f ca="1">IFERROR(__xludf.DUMMYFUNCTION("""COMPUTED_VALUE"""),"Alta")</f>
        <v>Alta</v>
      </c>
      <c r="K96" s="25">
        <f ca="1">IFERROR(__xludf.DUMMYFUNCTION("""COMPUTED_VALUE"""),30)</f>
        <v>30</v>
      </c>
      <c r="L96" s="55">
        <f ca="1">IFERROR(__xludf.DUMMYFUNCTION("""COMPUTED_VALUE"""),44782)</f>
        <v>44782</v>
      </c>
      <c r="M96" s="25" t="str">
        <f ca="1">IFERROR(__xludf.DUMMYFUNCTION("""COMPUTED_VALUE"""),"Atendiendo a la misionalidad de la Secretaría Distrital de Seguridad, las problemáticas con vendedores informales son parte de la competencia de otras entidades. Sin embargo, desde una perspectiva de recuperación del espacio público se han realizado 46 ac"&amp;"tividades de control, teniendo como resultado la incautación de 22 armas cortopunzantes, la imposición de 10 comparendos impartidos por parte de policía, 335 personas registradas y 356 personas sensibilizadas por gestores de convivencia con mensajes de au"&amp;"tocuidado en temas de hurto a personas y ocupación adecuada del espacio público. Asimismo, respecto a los jaladores, se han hecho coordinaciones con las redes de cuidado y los frentes de seguridad para controlar la presencia de los mismos. 
")</f>
        <v xml:space="preserve">Atendiendo a la misionalidad de la Secretaría Distrital de Seguridad, las problemáticas con vendedores informales son parte de la competencia de otras entidades. Sin embargo, desde una perspectiva de recuperación del espacio público se han realizado 46 actividades de control, teniendo como resultado la incautación de 22 armas cortopunzantes, la imposición de 10 comparendos impartidos por parte de policía, 335 personas registradas y 356 personas sensibilizadas por gestores de convivencia con mensajes de autocuidado en temas de hurto a personas y ocupación adecuada del espacio público. Asimismo, respecto a los jaladores, se han hecho coordinaciones con las redes de cuidado y los frentes de seguridad para controlar la presencia de los mismos. 
</v>
      </c>
      <c r="N96" s="55">
        <f ca="1">IFERROR(__xludf.DUMMYFUNCTION("""COMPUTED_VALUE"""),44782)</f>
        <v>44782</v>
      </c>
      <c r="O96" s="25" t="str">
        <f t="shared" ca="1" si="0"/>
        <v>Secretaría Distrital de Seguridad, Convivencia y Justicia</v>
      </c>
      <c r="P96" s="25" t="str">
        <f t="shared" si="1"/>
        <v/>
      </c>
      <c r="Q96" s="25" t="str">
        <f ca="1">IFERROR(__xludf.DUMMYFUNCTION("""COMPUTED_VALUE"""),"Corto plazo")</f>
        <v>Corto plazo</v>
      </c>
      <c r="R96" s="25"/>
      <c r="S96" s="55"/>
      <c r="T96" s="56"/>
      <c r="U96" s="25"/>
      <c r="V96" s="25"/>
      <c r="W96" s="25"/>
      <c r="X96" s="25"/>
      <c r="Y96" s="25"/>
      <c r="Z96" s="25"/>
    </row>
    <row r="97" spans="1:26" ht="52.5" customHeight="1" x14ac:dyDescent="0.25">
      <c r="A97" s="25" t="str">
        <f ca="1">IFERROR(__xludf.DUMMYFUNCTION("""COMPUTED_VALUE"""),"Segur95")</f>
        <v>Segur95</v>
      </c>
      <c r="B97" s="25" t="str">
        <f ca="1">IFERROR(__xludf.DUMMYFUNCTION("""COMPUTED_VALUE"""),"Despachando Fenalco")</f>
        <v>Despachando Fenalco</v>
      </c>
      <c r="C97" s="55">
        <f ca="1">IFERROR(__xludf.DUMMYFUNCTION("""COMPUTED_VALUE"""),44452)</f>
        <v>44452</v>
      </c>
      <c r="D97" s="25" t="str">
        <f ca="1">IFERROR(__xludf.DUMMYFUNCTION("""COMPUTED_VALUE"""),"Seguridad")</f>
        <v>Seguridad</v>
      </c>
      <c r="E97" s="25" t="str">
        <f ca="1">IFERROR(__xludf.DUMMYFUNCTION("""COMPUTED_VALUE"""),"Secretaría Distrital de Seguridad, Convivencia y Justicia")</f>
        <v>Secretaría Distrital de Seguridad, Convivencia y Justicia</v>
      </c>
      <c r="F97" s="25" t="str">
        <f ca="1">IFERROR(__xludf.DUMMYFUNCTION("""COMPUTED_VALUE"""),"Activar ruta de retroalimentación sobre el avance en las investigaciones que se han creado por la información que se ha suministrado.")</f>
        <v>Activar ruta de retroalimentación sobre el avance en las investigaciones que se han creado por la información que se ha suministrado.</v>
      </c>
      <c r="G97" s="25" t="str">
        <f ca="1">IFERROR(__xludf.DUMMYFUNCTION("""COMPUTED_VALUE"""),"99. Distrito")</f>
        <v>99. Distrito</v>
      </c>
      <c r="H97" s="55">
        <f ca="1">IFERROR(__xludf.DUMMYFUNCTION("""COMPUTED_VALUE"""),44482)</f>
        <v>44482</v>
      </c>
      <c r="I97" s="25"/>
      <c r="J97" s="55" t="str">
        <f ca="1">IFERROR(__xludf.DUMMYFUNCTION("""COMPUTED_VALUE"""),"Alta")</f>
        <v>Alta</v>
      </c>
      <c r="K97" s="25">
        <f ca="1">IFERROR(__xludf.DUMMYFUNCTION("""COMPUTED_VALUE"""),30)</f>
        <v>30</v>
      </c>
      <c r="L97" s="55">
        <f ca="1">IFERROR(__xludf.DUMMYFUNCTION("""COMPUTED_VALUE"""),44576)</f>
        <v>44576</v>
      </c>
      <c r="M97" s="25" t="str">
        <f ca="1">IFERROR(__xludf.DUMMYFUNCTION("""COMPUTED_VALUE"""),"A partir de la remisión de reportes de seguridad y posterior a la apertura de noticia criminal adelantada por parte de la Fiscalía General de la Nación, se informa la apertura de esta noticia o el impulso de al proceso judicial que está activo a la comuni"&amp;"dad o personas que remiten la información. Actualmente se están desarrollando cuatro mesas de trabajo para intercambio de información entre la SDSCJ, UNIPOL y actores  civiles. 
Cabe señalar que se operativiza mediante policía judicial la información con"&amp;"creta que oriente a la comisión de delitos, al respecto se han realizado en tres puntos en el mes de noviembre allanamientos en la localidad de San Cristóbal, posterior a ello se realizó reunión de trabajo con la comunidad que remitió la información.  Por"&amp;" otra parte, se comunica a defensores de derechos humanos y líderes sociales sobre la desarticulación y acciones en materia delictiva posterior a diligencia por parte de policía judicial. 
15.01.2022: se encuentra definida la ruta, se ha informado de form"&amp;"a oportuna los procesos de desarticulación que se han desarrollado en el 2021.
")</f>
        <v xml:space="preserve">A partir de la remisión de reportes de seguridad y posterior a la apertura de noticia criminal adelantada por parte de la Fiscalía General de la Nación, se informa la apertura de esta noticia o el impulso de al proceso judicial que está activo a la comunidad o personas que remiten la información. Actualmente se están desarrollando cuatro mesas de trabajo para intercambio de información entre la SDSCJ, UNIPOL y actores  civiles. 
Cabe señalar que se operativiza mediante policía judicial la información concreta que oriente a la comisión de delitos, al respecto se han realizado en tres puntos en el mes de noviembre allanamientos en la localidad de San Cristóbal, posterior a ello se realizó reunión de trabajo con la comunidad que remitió la información.  Por otra parte, se comunica a defensores de derechos humanos y líderes sociales sobre la desarticulación y acciones en materia delictiva posterior a diligencia por parte de policía judicial. 
15.01.2022: se encuentra definida la ruta, se ha informado de forma oportuna los procesos de desarticulación que se han desarrollado en el 2021.
</v>
      </c>
      <c r="N97" s="55">
        <f ca="1">IFERROR(__xludf.DUMMYFUNCTION("""COMPUTED_VALUE"""),44576)</f>
        <v>44576</v>
      </c>
      <c r="O97" s="25" t="str">
        <f t="shared" ca="1" si="0"/>
        <v>Secretaría Distrital de Seguridad, Convivencia y Justicia</v>
      </c>
      <c r="P97" s="25" t="str">
        <f t="shared" si="1"/>
        <v/>
      </c>
      <c r="Q97" s="25" t="str">
        <f ca="1">IFERROR(__xludf.DUMMYFUNCTION("""COMPUTED_VALUE"""),"Corto plazo")</f>
        <v>Corto plazo</v>
      </c>
      <c r="R97" s="25"/>
      <c r="S97" s="55"/>
      <c r="T97" s="56"/>
      <c r="U97" s="25"/>
      <c r="V97" s="25"/>
      <c r="W97" s="25"/>
      <c r="X97" s="25"/>
      <c r="Y97" s="25"/>
      <c r="Z97" s="25"/>
    </row>
    <row r="98" spans="1:26" ht="52.5" customHeight="1" x14ac:dyDescent="0.25">
      <c r="A98" s="25" t="str">
        <f ca="1">IFERROR(__xludf.DUMMYFUNCTION("""COMPUTED_VALUE"""),"Segur96")</f>
        <v>Segur96</v>
      </c>
      <c r="B98" s="25" t="str">
        <f ca="1">IFERROR(__xludf.DUMMYFUNCTION("""COMPUTED_VALUE"""),"Despachando Fenalco")</f>
        <v>Despachando Fenalco</v>
      </c>
      <c r="C98" s="55">
        <f ca="1">IFERROR(__xludf.DUMMYFUNCTION("""COMPUTED_VALUE"""),44452)</f>
        <v>44452</v>
      </c>
      <c r="D98" s="25" t="str">
        <f ca="1">IFERROR(__xludf.DUMMYFUNCTION("""COMPUTED_VALUE"""),"Seguridad")</f>
        <v>Seguridad</v>
      </c>
      <c r="E98" s="25" t="str">
        <f ca="1">IFERROR(__xludf.DUMMYFUNCTION("""COMPUTED_VALUE"""),"Secretaría Distrital de Seguridad, Convivencia y Justicia")</f>
        <v>Secretaría Distrital de Seguridad, Convivencia y Justicia</v>
      </c>
      <c r="F98" s="25" t="str">
        <f ca="1">IFERROR(__xludf.DUMMYFUNCTION("""COMPUTED_VALUE"""),"Realizar para todo el mes de diciembre controles en conjunto con aduanas para controlar mercancía de contrabando")</f>
        <v>Realizar para todo el mes de diciembre controles en conjunto con aduanas para controlar mercancía de contrabando</v>
      </c>
      <c r="G98" s="25" t="str">
        <f ca="1">IFERROR(__xludf.DUMMYFUNCTION("""COMPUTED_VALUE"""),"99. Distrito")</f>
        <v>99. Distrito</v>
      </c>
      <c r="H98" s="55">
        <f ca="1">IFERROR(__xludf.DUMMYFUNCTION("""COMPUTED_VALUE"""),44482)</f>
        <v>44482</v>
      </c>
      <c r="I98" s="25"/>
      <c r="J98" s="55" t="str">
        <f ca="1">IFERROR(__xludf.DUMMYFUNCTION("""COMPUTED_VALUE"""),"Alta")</f>
        <v>Alta</v>
      </c>
      <c r="K98" s="25">
        <f ca="1">IFERROR(__xludf.DUMMYFUNCTION("""COMPUTED_VALUE"""),30)</f>
        <v>30</v>
      </c>
      <c r="L98" s="55">
        <f ca="1">IFERROR(__xludf.DUMMYFUNCTION("""COMPUTED_VALUE"""),44576)</f>
        <v>44576</v>
      </c>
      <c r="M98" s="25" t="str">
        <f ca="1">IFERROR(__xludf.DUMMYFUNCTION("""COMPUTED_VALUE"""),"En relación con el compromiso se realizó enlace con el Mayor Germán Gómez Hoyos de la Policía Fiscal y Aduanera – POLFA para el desarrollo de una mesa de concertación operativa en el mes de noviembre, sin embargo, esta se debió reprogramar para el mes de "&amp;"diciembre ya que, la persona que estará delegada para tal fin es el Jefe de División Control Operativo Bogotá Mayor Miguel Ángel Mercado. Por tal razón el 14 de diciembre se desarrollará la mesa de trabajo y planeación operativa. Cabe resaltar que en mate"&amp;"ria de contrabando de licor y cigarrillos se han desarrollado cuatro (4) operativos en conjunto con la Gobernación de Cundinamarca. Es importante decir que se cuenta con programación de 3 operativos para el mes de diciembre. 
15/01/2022: conforme con las"&amp;" acciones previstas en materia de contrabando en el mes de diciembre se adelantaron los controles correspondientes, así como, la programación operativa por parte de la Policía Fiscal y Aduanera – POLFA.")</f>
        <v>En relación con el compromiso se realizó enlace con el Mayor Germán Gómez Hoyos de la Policía Fiscal y Aduanera – POLFA para el desarrollo de una mesa de concertación operativa en el mes de noviembre, sin embargo, esta se debió reprogramar para el mes de diciembre ya que, la persona que estará delegada para tal fin es el Jefe de División Control Operativo Bogotá Mayor Miguel Ángel Mercado. Por tal razón el 14 de diciembre se desarrollará la mesa de trabajo y planeación operativa. Cabe resaltar que en materia de contrabando de licor y cigarrillos se han desarrollado cuatro (4) operativos en conjunto con la Gobernación de Cundinamarca. Es importante decir que se cuenta con programación de 3 operativos para el mes de diciembre. 
15/01/2022: conforme con las acciones previstas en materia de contrabando en el mes de diciembre se adelantaron los controles correspondientes, así como, la programación operativa por parte de la Policía Fiscal y Aduanera – POLFA.</v>
      </c>
      <c r="N98" s="55">
        <f ca="1">IFERROR(__xludf.DUMMYFUNCTION("""COMPUTED_VALUE"""),44576)</f>
        <v>44576</v>
      </c>
      <c r="O98" s="25" t="str">
        <f t="shared" ca="1" si="0"/>
        <v>Secretaría Distrital de Seguridad, Convivencia y Justicia</v>
      </c>
      <c r="P98" s="25" t="str">
        <f t="shared" si="1"/>
        <v/>
      </c>
      <c r="Q98" s="25" t="str">
        <f ca="1">IFERROR(__xludf.DUMMYFUNCTION("""COMPUTED_VALUE"""),"Corto plazo")</f>
        <v>Corto plazo</v>
      </c>
      <c r="R98" s="25"/>
      <c r="S98" s="55"/>
      <c r="T98" s="56"/>
      <c r="U98" s="25"/>
      <c r="V98" s="25"/>
      <c r="W98" s="25"/>
      <c r="X98" s="25"/>
      <c r="Y98" s="25"/>
      <c r="Z98" s="25"/>
    </row>
    <row r="99" spans="1:26" ht="52.5" customHeight="1" x14ac:dyDescent="0.25">
      <c r="A99" s="25" t="str">
        <f ca="1">IFERROR(__xludf.DUMMYFUNCTION("""COMPUTED_VALUE"""),"Segur97")</f>
        <v>Segur97</v>
      </c>
      <c r="B99" s="25" t="str">
        <f ca="1">IFERROR(__xludf.DUMMYFUNCTION("""COMPUTED_VALUE"""),"Despachando Fenalco")</f>
        <v>Despachando Fenalco</v>
      </c>
      <c r="C99" s="55">
        <f ca="1">IFERROR(__xludf.DUMMYFUNCTION("""COMPUTED_VALUE"""),44452)</f>
        <v>44452</v>
      </c>
      <c r="D99" s="25" t="str">
        <f ca="1">IFERROR(__xludf.DUMMYFUNCTION("""COMPUTED_VALUE"""),"Seguridad")</f>
        <v>Seguridad</v>
      </c>
      <c r="E99" s="25" t="str">
        <f ca="1">IFERROR(__xludf.DUMMYFUNCTION("""COMPUTED_VALUE"""),"Secretaría Distrital de Seguridad, Convivencia y Justicia")</f>
        <v>Secretaría Distrital de Seguridad, Convivencia y Justicia</v>
      </c>
      <c r="F99" s="25" t="str">
        <f ca="1">IFERROR(__xludf.DUMMYFUNCTION("""COMPUTED_VALUE"""),"Asegurarse que se realice la conexion y articulación de las cámaras privadas con las del C4. ")</f>
        <v xml:space="preserve">Asegurarse que se realice la conexion y articulación de las cámaras privadas con las del C4. </v>
      </c>
      <c r="G99" s="25" t="str">
        <f ca="1">IFERROR(__xludf.DUMMYFUNCTION("""COMPUTED_VALUE"""),"99. Distrito")</f>
        <v>99. Distrito</v>
      </c>
      <c r="H99" s="55">
        <f ca="1">IFERROR(__xludf.DUMMYFUNCTION("""COMPUTED_VALUE"""),44482)</f>
        <v>44482</v>
      </c>
      <c r="I99" s="25"/>
      <c r="J99" s="55" t="str">
        <f ca="1">IFERROR(__xludf.DUMMYFUNCTION("""COMPUTED_VALUE"""),"Alta")</f>
        <v>Alta</v>
      </c>
      <c r="K99" s="25">
        <f ca="1">IFERROR(__xludf.DUMMYFUNCTION("""COMPUTED_VALUE"""),30)</f>
        <v>30</v>
      </c>
      <c r="L99" s="55">
        <f ca="1">IFERROR(__xludf.DUMMYFUNCTION("""COMPUTED_VALUE"""),44576)</f>
        <v>44576</v>
      </c>
      <c r="M99" s="25" t="str">
        <f ca="1">IFERROR(__xludf.DUMMYFUNCTION("""COMPUTED_VALUE"""),"Total de centros comerciales vinculados al C4: 55
Total de grandes superficies vinculadas al C4: 2
Total de asociaciones vinculadas al C4: 4
Total de empresas y servicios de vigilancia: 6
Total vinculados al C4 de diversos sectores: 148
Total cámaras inte"&amp;"gradas: 576
")</f>
        <v xml:space="preserve">Total de centros comerciales vinculados al C4: 55
Total de grandes superficies vinculadas al C4: 2
Total de asociaciones vinculadas al C4: 4
Total de empresas y servicios de vigilancia: 6
Total vinculados al C4 de diversos sectores: 148
Total cámaras integradas: 576
</v>
      </c>
      <c r="N99" s="55">
        <f ca="1">IFERROR(__xludf.DUMMYFUNCTION("""COMPUTED_VALUE"""),44576)</f>
        <v>44576</v>
      </c>
      <c r="O99" s="25" t="str">
        <f t="shared" ca="1" si="0"/>
        <v>Secretaría Distrital de Seguridad, Convivencia y Justicia</v>
      </c>
      <c r="P99" s="25" t="str">
        <f t="shared" si="1"/>
        <v/>
      </c>
      <c r="Q99" s="25" t="str">
        <f ca="1">IFERROR(__xludf.DUMMYFUNCTION("""COMPUTED_VALUE"""),"Corto plazo")</f>
        <v>Corto plazo</v>
      </c>
      <c r="R99" s="25"/>
      <c r="S99" s="55"/>
      <c r="T99" s="56"/>
      <c r="U99" s="25"/>
      <c r="V99" s="25"/>
      <c r="W99" s="25"/>
      <c r="X99" s="25"/>
      <c r="Y99" s="25"/>
      <c r="Z99" s="25"/>
    </row>
    <row r="100" spans="1:26" ht="52.5" customHeight="1" x14ac:dyDescent="0.25">
      <c r="A100" s="25" t="str">
        <f ca="1">IFERROR(__xludf.DUMMYFUNCTION("""COMPUTED_VALUE"""),"Segur98")</f>
        <v>Segur98</v>
      </c>
      <c r="B100" s="25" t="str">
        <f ca="1">IFERROR(__xludf.DUMMYFUNCTION("""COMPUTED_VALUE"""),"Juntos Cuidamos Bogotá - Recorrido Suba")</f>
        <v>Juntos Cuidamos Bogotá - Recorrido Suba</v>
      </c>
      <c r="C100" s="55">
        <f ca="1">IFERROR(__xludf.DUMMYFUNCTION("""COMPUTED_VALUE"""),44435)</f>
        <v>44435</v>
      </c>
      <c r="D100" s="25" t="str">
        <f ca="1">IFERROR(__xludf.DUMMYFUNCTION("""COMPUTED_VALUE"""),"Seguridad")</f>
        <v>Seguridad</v>
      </c>
      <c r="E100" s="25" t="str">
        <f ca="1">IFERROR(__xludf.DUMMYFUNCTION("""COMPUTED_VALUE"""),"Secretaría Distrital de Seguridad, Convivencia y Justicia")</f>
        <v>Secretaría Distrital de Seguridad, Convivencia y Justicia</v>
      </c>
      <c r="F100" s="25" t="str">
        <f ca="1">IFERROR(__xludf.DUMMYFUNCTION("""COMPUTED_VALUE"""),"Hacer operativos de vendedores informales y bicitaxis en la zona de Pinar en la localidad de Suba")</f>
        <v>Hacer operativos de vendedores informales y bicitaxis en la zona de Pinar en la localidad de Suba</v>
      </c>
      <c r="G100" s="55" t="str">
        <f ca="1">IFERROR(__xludf.DUMMYFUNCTION("""COMPUTED_VALUE"""),"11. Suba")</f>
        <v>11. Suba</v>
      </c>
      <c r="H100" s="55">
        <f ca="1">IFERROR(__xludf.DUMMYFUNCTION("""COMPUTED_VALUE"""),44465)</f>
        <v>44465</v>
      </c>
      <c r="I100" s="25"/>
      <c r="J100" s="55" t="str">
        <f ca="1">IFERROR(__xludf.DUMMYFUNCTION("""COMPUTED_VALUE"""),"Alta")</f>
        <v>Alta</v>
      </c>
      <c r="K100" s="25">
        <f ca="1">IFERROR(__xludf.DUMMYFUNCTION("""COMPUTED_VALUE"""),30)</f>
        <v>30</v>
      </c>
      <c r="L100" s="55">
        <f ca="1">IFERROR(__xludf.DUMMYFUNCTION("""COMPUTED_VALUE"""),44576)</f>
        <v>44576</v>
      </c>
      <c r="M100" s="25" t="str">
        <f ca="1">IFERROR(__xludf.DUMMYFUNCTION("""COMPUTED_VALUE"""),"Con el liderazgo de la dinamizadora local de Suba, Nicolle Sarmiento, se articuló con Secretaría de Movilidad, Policía, Alcaldía Local y Personería para el viernes 8 de octubre de 2021. 15/01/2022; Conforme con la proyección el pasado 13 de octubre se ade"&amp;"lantó en la localidad Suba un operativo a bicitaxis con los resultados a continuación relacionados; bicitaxis inmovilizados 7, migrantes verificados 3, entidades participantes, Policía Nacional, Secretaría Distrital de Movilidad, Alcaldía Local y SDSCJ.")</f>
        <v>Con el liderazgo de la dinamizadora local de Suba, Nicolle Sarmiento, se articuló con Secretaría de Movilidad, Policía, Alcaldía Local y Personería para el viernes 8 de octubre de 2021. 15/01/2022; Conforme con la proyección el pasado 13 de octubre se adelantó en la localidad Suba un operativo a bicitaxis con los resultados a continuación relacionados; bicitaxis inmovilizados 7, migrantes verificados 3, entidades participantes, Policía Nacional, Secretaría Distrital de Movilidad, Alcaldía Local y SDSCJ.</v>
      </c>
      <c r="N100" s="55">
        <f ca="1">IFERROR(__xludf.DUMMYFUNCTION("""COMPUTED_VALUE"""),44576)</f>
        <v>44576</v>
      </c>
      <c r="O100" s="25" t="str">
        <f t="shared" ca="1" si="0"/>
        <v>Secretaría Distrital de Seguridad, Convivencia y Justicia</v>
      </c>
      <c r="P100" s="25" t="str">
        <f t="shared" si="1"/>
        <v/>
      </c>
      <c r="Q100" s="25" t="str">
        <f ca="1">IFERROR(__xludf.DUMMYFUNCTION("""COMPUTED_VALUE"""),"Corto plazo")</f>
        <v>Corto plazo</v>
      </c>
      <c r="R100" s="25"/>
      <c r="S100" s="55"/>
      <c r="T100" s="56"/>
      <c r="U100" s="25"/>
      <c r="V100" s="25"/>
      <c r="W100" s="25"/>
      <c r="X100" s="25"/>
      <c r="Y100" s="25"/>
      <c r="Z100" s="25"/>
    </row>
    <row r="101" spans="1:26" ht="52.5" customHeight="1" x14ac:dyDescent="0.25">
      <c r="A101" s="25" t="str">
        <f ca="1">IFERROR(__xludf.DUMMYFUNCTION("""COMPUTED_VALUE"""),"Segur99")</f>
        <v>Segur99</v>
      </c>
      <c r="B101" s="25" t="str">
        <f ca="1">IFERROR(__xludf.DUMMYFUNCTION("""COMPUTED_VALUE"""),"Juntos Cuidamos Bogotá - Recorrido Suba")</f>
        <v>Juntos Cuidamos Bogotá - Recorrido Suba</v>
      </c>
      <c r="C101" s="55">
        <f ca="1">IFERROR(__xludf.DUMMYFUNCTION("""COMPUTED_VALUE"""),44435)</f>
        <v>44435</v>
      </c>
      <c r="D101" s="25" t="str">
        <f ca="1">IFERROR(__xludf.DUMMYFUNCTION("""COMPUTED_VALUE"""),"Seguridad")</f>
        <v>Seguridad</v>
      </c>
      <c r="E101" s="25" t="str">
        <f ca="1">IFERROR(__xludf.DUMMYFUNCTION("""COMPUTED_VALUE"""),"Secretaría Distrital de Seguridad, Convivencia y Justicia")</f>
        <v>Secretaría Distrital de Seguridad, Convivencia y Justicia</v>
      </c>
      <c r="F101" s="25" t="str">
        <f ca="1">IFERROR(__xludf.DUMMYFUNCTION("""COMPUTED_VALUE"""),"Hacer operativos con el Ministerio del Trabajo en la zona de Lombardia. ")</f>
        <v xml:space="preserve">Hacer operativos con el Ministerio del Trabajo en la zona de Lombardia. </v>
      </c>
      <c r="G101" s="55" t="str">
        <f ca="1">IFERROR(__xludf.DUMMYFUNCTION("""COMPUTED_VALUE"""),"11. Suba")</f>
        <v>11. Suba</v>
      </c>
      <c r="H101" s="55">
        <f ca="1">IFERROR(__xludf.DUMMYFUNCTION("""COMPUTED_VALUE"""),44465)</f>
        <v>44465</v>
      </c>
      <c r="I101" s="25"/>
      <c r="J101" s="55" t="str">
        <f ca="1">IFERROR(__xludf.DUMMYFUNCTION("""COMPUTED_VALUE"""),"Alta")</f>
        <v>Alta</v>
      </c>
      <c r="K101" s="25">
        <f ca="1">IFERROR(__xludf.DUMMYFUNCTION("""COMPUTED_VALUE"""),30)</f>
        <v>30</v>
      </c>
      <c r="L101" s="55">
        <f ca="1">IFERROR(__xludf.DUMMYFUNCTION("""COMPUTED_VALUE"""),44576)</f>
        <v>44576</v>
      </c>
      <c r="M101" s="25" t="str">
        <f ca="1">IFERROR(__xludf.DUMMYFUNCTION("""COMPUTED_VALUE"""),"El 17 de septiembre de 2021, el equipo territorial de la Secretaría de Seguridad, hizo el recorrido con el área jurídica de la Alcaldía Local para hacer IVC a los establecimientos de este entorno desde las 18:00. 15/01/2022: en el marco de las intervencio"&amp;"nes adelantadas por la SDSCJ el 26 de noviembre de 2021 se desarrolló un operativo de inspección en conjunto con las autoridades de policía a los establecimientos de comercio y paga diarios de la localidad de los Mártires, en donde se hizo suspensión temp"&amp;"oral de la actividad económica al establecimiento ubicado en el paga diario en mención. Se programa seguimiento al establecimiento en proyección 2022.")</f>
        <v>El 17 de septiembre de 2021, el equipo territorial de la Secretaría de Seguridad, hizo el recorrido con el área jurídica de la Alcaldía Local para hacer IVC a los establecimientos de este entorno desde las 18:00. 15/01/2022: en el marco de las intervenciones adelantadas por la SDSCJ el 26 de noviembre de 2021 se desarrolló un operativo de inspección en conjunto con las autoridades de policía a los establecimientos de comercio y paga diarios de la localidad de los Mártires, en donde se hizo suspensión temporal de la actividad económica al establecimiento ubicado en el paga diario en mención. Se programa seguimiento al establecimiento en proyección 2022.</v>
      </c>
      <c r="N101" s="55">
        <f ca="1">IFERROR(__xludf.DUMMYFUNCTION("""COMPUTED_VALUE"""),44576)</f>
        <v>44576</v>
      </c>
      <c r="O101" s="25" t="str">
        <f t="shared" ca="1" si="0"/>
        <v>Secretaría Distrital de Seguridad, Convivencia y Justicia</v>
      </c>
      <c r="P101" s="25" t="str">
        <f t="shared" si="1"/>
        <v/>
      </c>
      <c r="Q101" s="25" t="str">
        <f ca="1">IFERROR(__xludf.DUMMYFUNCTION("""COMPUTED_VALUE"""),"Corto plazo")</f>
        <v>Corto plazo</v>
      </c>
      <c r="R101" s="25"/>
      <c r="S101" s="55"/>
      <c r="T101" s="56"/>
      <c r="U101" s="25"/>
      <c r="V101" s="25"/>
      <c r="W101" s="25"/>
      <c r="X101" s="25"/>
      <c r="Y101" s="25"/>
      <c r="Z101" s="25"/>
    </row>
    <row r="102" spans="1:26" ht="52.5" customHeight="1" x14ac:dyDescent="0.25">
      <c r="A102" s="25" t="str">
        <f ca="1">IFERROR(__xludf.DUMMYFUNCTION("""COMPUTED_VALUE"""),"Segur100")</f>
        <v>Segur100</v>
      </c>
      <c r="B102" s="25" t="str">
        <f ca="1">IFERROR(__xludf.DUMMYFUNCTION("""COMPUTED_VALUE"""),"Juntos Cuidamos Bogotá - Recorrido Suba")</f>
        <v>Juntos Cuidamos Bogotá - Recorrido Suba</v>
      </c>
      <c r="C102" s="55">
        <f ca="1">IFERROR(__xludf.DUMMYFUNCTION("""COMPUTED_VALUE"""),44435)</f>
        <v>44435</v>
      </c>
      <c r="D102" s="25" t="str">
        <f ca="1">IFERROR(__xludf.DUMMYFUNCTION("""COMPUTED_VALUE"""),"Seguridad")</f>
        <v>Seguridad</v>
      </c>
      <c r="E102" s="25" t="str">
        <f ca="1">IFERROR(__xludf.DUMMYFUNCTION("""COMPUTED_VALUE"""),"Secretaría Distrital de Seguridad, Convivencia y Justicia")</f>
        <v>Secretaría Distrital de Seguridad, Convivencia y Justicia</v>
      </c>
      <c r="F102" s="25" t="str">
        <f ca="1">IFERROR(__xludf.DUMMYFUNCTION("""COMPUTED_VALUE"""),"Hacer un frente de seguridad con los comerciantes en la 139 con Cali")</f>
        <v>Hacer un frente de seguridad con los comerciantes en la 139 con Cali</v>
      </c>
      <c r="G102" s="55" t="str">
        <f ca="1">IFERROR(__xludf.DUMMYFUNCTION("""COMPUTED_VALUE"""),"11. Suba")</f>
        <v>11. Suba</v>
      </c>
      <c r="H102" s="55">
        <f ca="1">IFERROR(__xludf.DUMMYFUNCTION("""COMPUTED_VALUE"""),44465)</f>
        <v>44465</v>
      </c>
      <c r="I102" s="25"/>
      <c r="J102" s="55" t="str">
        <f ca="1">IFERROR(__xludf.DUMMYFUNCTION("""COMPUTED_VALUE"""),"Alta")</f>
        <v>Alta</v>
      </c>
      <c r="K102" s="25">
        <f ca="1">IFERROR(__xludf.DUMMYFUNCTION("""COMPUTED_VALUE"""),30)</f>
        <v>30</v>
      </c>
      <c r="L102" s="55">
        <f ca="1">IFERROR(__xludf.DUMMYFUNCTION("""COMPUTED_VALUE"""),44576)</f>
        <v>44576</v>
      </c>
      <c r="M102" s="25" t="str">
        <f ca="1">IFERROR(__xludf.DUMMYFUNCTION("""COMPUTED_VALUE"""),"El 4 de noviembre de 2021 se creó una red CUIDAdana, y no un frente de seguridad, por solicitud de la comunidad.")</f>
        <v>El 4 de noviembre de 2021 se creó una red CUIDAdana, y no un frente de seguridad, por solicitud de la comunidad.</v>
      </c>
      <c r="N102" s="55">
        <f ca="1">IFERROR(__xludf.DUMMYFUNCTION("""COMPUTED_VALUE"""),44576)</f>
        <v>44576</v>
      </c>
      <c r="O102" s="25" t="str">
        <f t="shared" ca="1" si="0"/>
        <v>Secretaría Distrital de Seguridad, Convivencia y Justicia</v>
      </c>
      <c r="P102" s="25" t="str">
        <f t="shared" si="1"/>
        <v/>
      </c>
      <c r="Q102" s="25" t="str">
        <f ca="1">IFERROR(__xludf.DUMMYFUNCTION("""COMPUTED_VALUE"""),"Corto plazo")</f>
        <v>Corto plazo</v>
      </c>
      <c r="R102" s="25"/>
      <c r="S102" s="55"/>
      <c r="T102" s="56"/>
      <c r="U102" s="25"/>
      <c r="V102" s="25"/>
      <c r="W102" s="25"/>
      <c r="X102" s="25"/>
      <c r="Y102" s="25"/>
      <c r="Z102" s="25"/>
    </row>
    <row r="103" spans="1:26" ht="52.5" customHeight="1" x14ac:dyDescent="0.25">
      <c r="A103" s="25" t="str">
        <f ca="1">IFERROR(__xludf.DUMMYFUNCTION("""COMPUTED_VALUE"""),"Segur101")</f>
        <v>Segur101</v>
      </c>
      <c r="B103" s="25" t="str">
        <f ca="1">IFERROR(__xludf.DUMMYFUNCTION("""COMPUTED_VALUE"""),"Consejo de Seguridad")</f>
        <v>Consejo de Seguridad</v>
      </c>
      <c r="C103" s="55">
        <f ca="1">IFERROR(__xludf.DUMMYFUNCTION("""COMPUTED_VALUE"""),44426)</f>
        <v>44426</v>
      </c>
      <c r="D103" s="25" t="str">
        <f ca="1">IFERROR(__xludf.DUMMYFUNCTION("""COMPUTED_VALUE"""),"Seguridad")</f>
        <v>Seguridad</v>
      </c>
      <c r="E103" s="25" t="str">
        <f ca="1">IFERROR(__xludf.DUMMYFUNCTION("""COMPUTED_VALUE"""),"Secretaría Distrital de Seguridad, Convivencia y Justicia")</f>
        <v>Secretaría Distrital de Seguridad, Convivencia y Justicia</v>
      </c>
      <c r="F103" s="25" t="str">
        <f ca="1">IFERROR(__xludf.DUMMYFUNCTION("""COMPUTED_VALUE"""),"Buscar puntos de migración en las URI")</f>
        <v>Buscar puntos de migración en las URI</v>
      </c>
      <c r="G103" s="25" t="str">
        <f ca="1">IFERROR(__xludf.DUMMYFUNCTION("""COMPUTED_VALUE"""),"99. Distrito")</f>
        <v>99. Distrito</v>
      </c>
      <c r="H103" s="55">
        <f ca="1">IFERROR(__xludf.DUMMYFUNCTION("""COMPUTED_VALUE"""),44456)</f>
        <v>44456</v>
      </c>
      <c r="I103" s="25"/>
      <c r="J103" s="55" t="str">
        <f ca="1">IFERROR(__xludf.DUMMYFUNCTION("""COMPUTED_VALUE"""),"Alta")</f>
        <v>Alta</v>
      </c>
      <c r="K103" s="25">
        <f ca="1">IFERROR(__xludf.DUMMYFUNCTION("""COMPUTED_VALUE"""),30)</f>
        <v>30</v>
      </c>
      <c r="L103" s="55">
        <f ca="1">IFERROR(__xludf.DUMMYFUNCTION("""COMPUTED_VALUE"""),44638)</f>
        <v>44638</v>
      </c>
      <c r="M103" s="25" t="str">
        <f ca="1">IFERROR(__xludf.DUMMYFUNCTION("""COMPUTED_VALUE"""),"Desde el 19 de octubre de 2021, Migración Colombia hace presencia en la URI de Puente Aranda y desde allí colabora en tiempo real en la individualización y caracterización de ciudadanos extranjeros capturados en flagrancia o por orden judicial para su deb"&amp;"ida vinculación a los procesos penales en los que son requeridos. Se espera que también tenga espacio en la nueva URI de Campo Verde para el segundo semestre de 2022. Desde el 10 de marzo hasta 24, esta Secretaría prestó espacios en 7 Casas de Justicia a "&amp;"Migración Colombia para entrega de permisos en el marco del Estatuto Temporal de Protección para Migrantes Venezolanos (Decreto 216 de 2021).")</f>
        <v>Desde el 19 de octubre de 2021, Migración Colombia hace presencia en la URI de Puente Aranda y desde allí colabora en tiempo real en la individualización y caracterización de ciudadanos extranjeros capturados en flagrancia o por orden judicial para su debida vinculación a los procesos penales en los que son requeridos. Se espera que también tenga espacio en la nueva URI de Campo Verde para el segundo semestre de 2022. Desde el 10 de marzo hasta 24, esta Secretaría prestó espacios en 7 Casas de Justicia a Migración Colombia para entrega de permisos en el marco del Estatuto Temporal de Protección para Migrantes Venezolanos (Decreto 216 de 2021).</v>
      </c>
      <c r="N103" s="55">
        <f ca="1">IFERROR(__xludf.DUMMYFUNCTION("""COMPUTED_VALUE"""),44638)</f>
        <v>44638</v>
      </c>
      <c r="O103" s="25" t="str">
        <f t="shared" ca="1" si="0"/>
        <v>Secretaría Distrital de Seguridad, Convivencia y Justicia</v>
      </c>
      <c r="P103" s="25" t="str">
        <f t="shared" si="1"/>
        <v/>
      </c>
      <c r="Q103" s="25" t="str">
        <f ca="1">IFERROR(__xludf.DUMMYFUNCTION("""COMPUTED_VALUE"""),"Corto plazo")</f>
        <v>Corto plazo</v>
      </c>
      <c r="R103" s="25"/>
      <c r="S103" s="55"/>
      <c r="T103" s="56"/>
      <c r="U103" s="25"/>
      <c r="V103" s="25"/>
      <c r="W103" s="25"/>
      <c r="X103" s="25"/>
      <c r="Y103" s="25"/>
      <c r="Z103" s="25"/>
    </row>
    <row r="104" spans="1:26" ht="52.5" customHeight="1" x14ac:dyDescent="0.25">
      <c r="A104" s="25" t="str">
        <f ca="1">IFERROR(__xludf.DUMMYFUNCTION("""COMPUTED_VALUE"""),"Segur102")</f>
        <v>Segur102</v>
      </c>
      <c r="B104" s="25" t="str">
        <f ca="1">IFERROR(__xludf.DUMMYFUNCTION("""COMPUTED_VALUE"""),"Consejo de Seguridad")</f>
        <v>Consejo de Seguridad</v>
      </c>
      <c r="C104" s="55">
        <f ca="1">IFERROR(__xludf.DUMMYFUNCTION("""COMPUTED_VALUE"""),44426)</f>
        <v>44426</v>
      </c>
      <c r="D104" s="25" t="str">
        <f ca="1">IFERROR(__xludf.DUMMYFUNCTION("""COMPUTED_VALUE"""),"Seguridad")</f>
        <v>Seguridad</v>
      </c>
      <c r="E104" s="25" t="str">
        <f ca="1">IFERROR(__xludf.DUMMYFUNCTION("""COMPUTED_VALUE"""),"Secretaría Distrital de Seguridad, Convivencia y Justicia")</f>
        <v>Secretaría Distrital de Seguridad, Convivencia y Justicia</v>
      </c>
      <c r="F104" s="25" t="str">
        <f ca="1">IFERROR(__xludf.DUMMYFUNCTION("""COMPUTED_VALUE"""),"Organizar un evento para la entrega de patrullas a Migración")</f>
        <v>Organizar un evento para la entrega de patrullas a Migración</v>
      </c>
      <c r="G104" s="25" t="str">
        <f ca="1">IFERROR(__xludf.DUMMYFUNCTION("""COMPUTED_VALUE"""),"99. Distrito")</f>
        <v>99. Distrito</v>
      </c>
      <c r="H104" s="55">
        <f ca="1">IFERROR(__xludf.DUMMYFUNCTION("""COMPUTED_VALUE"""),44456)</f>
        <v>44456</v>
      </c>
      <c r="I104" s="25"/>
      <c r="J104" s="55" t="str">
        <f ca="1">IFERROR(__xludf.DUMMYFUNCTION("""COMPUTED_VALUE"""),"Alta")</f>
        <v>Alta</v>
      </c>
      <c r="K104" s="25">
        <f ca="1">IFERROR(__xludf.DUMMYFUNCTION("""COMPUTED_VALUE"""),30)</f>
        <v>30</v>
      </c>
      <c r="L104" s="55">
        <f ca="1">IFERROR(__xludf.DUMMYFUNCTION("""COMPUTED_VALUE"""),44576)</f>
        <v>44576</v>
      </c>
      <c r="M104" s="25" t="str">
        <f ca="1">IFERROR(__xludf.DUMMYFUNCTION("""COMPUTED_VALUE"""),"Se entregaron dos camionetas Chevrolet Trailblazer a Migración Colombia el 21 de agosto de 2021. El valor total de las dos camionetas fue de $332 millones.")</f>
        <v>Se entregaron dos camionetas Chevrolet Trailblazer a Migración Colombia el 21 de agosto de 2021. El valor total de las dos camionetas fue de $332 millones.</v>
      </c>
      <c r="N104" s="55">
        <f ca="1">IFERROR(__xludf.DUMMYFUNCTION("""COMPUTED_VALUE"""),44576)</f>
        <v>44576</v>
      </c>
      <c r="O104" s="25" t="str">
        <f t="shared" ca="1" si="0"/>
        <v>Secretaría Distrital de Seguridad, Convivencia y Justicia</v>
      </c>
      <c r="P104" s="25" t="str">
        <f t="shared" si="1"/>
        <v/>
      </c>
      <c r="Q104" s="25" t="str">
        <f ca="1">IFERROR(__xludf.DUMMYFUNCTION("""COMPUTED_VALUE"""),"Corto plazo")</f>
        <v>Corto plazo</v>
      </c>
      <c r="R104" s="25"/>
      <c r="S104" s="55"/>
      <c r="T104" s="56"/>
      <c r="U104" s="25"/>
      <c r="V104" s="25"/>
      <c r="W104" s="25"/>
      <c r="X104" s="25"/>
      <c r="Y104" s="25"/>
      <c r="Z104" s="25"/>
    </row>
    <row r="105" spans="1:26" ht="52.5" customHeight="1" x14ac:dyDescent="0.25">
      <c r="A105" s="25" t="str">
        <f ca="1">IFERROR(__xludf.DUMMYFUNCTION("""COMPUTED_VALUE"""),"Segur103")</f>
        <v>Segur103</v>
      </c>
      <c r="B105" s="25" t="str">
        <f ca="1">IFERROR(__xludf.DUMMYFUNCTION("""COMPUTED_VALUE"""),"Consejo de Seguridad")</f>
        <v>Consejo de Seguridad</v>
      </c>
      <c r="C105" s="55">
        <f ca="1">IFERROR(__xludf.DUMMYFUNCTION("""COMPUTED_VALUE"""),44426)</f>
        <v>44426</v>
      </c>
      <c r="D105" s="25" t="str">
        <f ca="1">IFERROR(__xludf.DUMMYFUNCTION("""COMPUTED_VALUE"""),"Seguridad")</f>
        <v>Seguridad</v>
      </c>
      <c r="E105" s="25" t="str">
        <f ca="1">IFERROR(__xludf.DUMMYFUNCTION("""COMPUTED_VALUE"""),"Secretaría Distrital de Seguridad, Convivencia y Justicia")</f>
        <v>Secretaría Distrital de Seguridad, Convivencia y Justicia</v>
      </c>
      <c r="F105" s="25" t="str">
        <f ca="1">IFERROR(__xludf.DUMMYFUNCTION("""COMPUTED_VALUE"""),"Que haya una persona designada para temas de migración")</f>
        <v>Que haya una persona designada para temas de migración</v>
      </c>
      <c r="G105" s="25" t="str">
        <f ca="1">IFERROR(__xludf.DUMMYFUNCTION("""COMPUTED_VALUE"""),"99. Distrito")</f>
        <v>99. Distrito</v>
      </c>
      <c r="H105" s="55">
        <f ca="1">IFERROR(__xludf.DUMMYFUNCTION("""COMPUTED_VALUE"""),44456)</f>
        <v>44456</v>
      </c>
      <c r="I105" s="25"/>
      <c r="J105" s="55" t="str">
        <f ca="1">IFERROR(__xludf.DUMMYFUNCTION("""COMPUTED_VALUE"""),"Alta")</f>
        <v>Alta</v>
      </c>
      <c r="K105" s="25">
        <f ca="1">IFERROR(__xludf.DUMMYFUNCTION("""COMPUTED_VALUE"""),30)</f>
        <v>30</v>
      </c>
      <c r="L105" s="55">
        <f ca="1">IFERROR(__xludf.DUMMYFUNCTION("""COMPUTED_VALUE"""),44638)</f>
        <v>44638</v>
      </c>
      <c r="M105" s="25" t="str">
        <f ca="1">IFERROR(__xludf.DUMMYFUNCTION("""COMPUTED_VALUE"""),"Se asignó a un contratista de la dirección de prevención para la atención de temas de migración y se realiza apoyo desde el despacho 
")</f>
        <v xml:space="preserve">Se asignó a un contratista de la dirección de prevención para la atención de temas de migración y se realiza apoyo desde el despacho 
</v>
      </c>
      <c r="N105" s="55">
        <f ca="1">IFERROR(__xludf.DUMMYFUNCTION("""COMPUTED_VALUE"""),44638)</f>
        <v>44638</v>
      </c>
      <c r="O105" s="25" t="str">
        <f t="shared" ca="1" si="0"/>
        <v>Secretaría Distrital de Seguridad, Convivencia y Justicia</v>
      </c>
      <c r="P105" s="25" t="str">
        <f t="shared" si="1"/>
        <v/>
      </c>
      <c r="Q105" s="25" t="str">
        <f ca="1">IFERROR(__xludf.DUMMYFUNCTION("""COMPUTED_VALUE"""),"Corto plazo")</f>
        <v>Corto plazo</v>
      </c>
      <c r="R105" s="25"/>
      <c r="S105" s="55"/>
      <c r="T105" s="56"/>
      <c r="U105" s="25"/>
      <c r="V105" s="25"/>
      <c r="W105" s="25"/>
      <c r="X105" s="25"/>
      <c r="Y105" s="25"/>
      <c r="Z105" s="25"/>
    </row>
    <row r="106" spans="1:26" ht="52.5" customHeight="1" x14ac:dyDescent="0.25">
      <c r="A106" s="25" t="str">
        <f ca="1">IFERROR(__xludf.DUMMYFUNCTION("""COMPUTED_VALUE"""),"Segur104")</f>
        <v>Segur104</v>
      </c>
      <c r="B106" s="25" t="str">
        <f ca="1">IFERROR(__xludf.DUMMYFUNCTION("""COMPUTED_VALUE"""),"Consejo de Seguridad")</f>
        <v>Consejo de Seguridad</v>
      </c>
      <c r="C106" s="55">
        <f ca="1">IFERROR(__xludf.DUMMYFUNCTION("""COMPUTED_VALUE"""),44426)</f>
        <v>44426</v>
      </c>
      <c r="D106" s="25" t="str">
        <f ca="1">IFERROR(__xludf.DUMMYFUNCTION("""COMPUTED_VALUE"""),"Seguridad")</f>
        <v>Seguridad</v>
      </c>
      <c r="E106" s="25" t="str">
        <f ca="1">IFERROR(__xludf.DUMMYFUNCTION("""COMPUTED_VALUE"""),"Secretaría Distrital de Seguridad, Convivencia y Justicia")</f>
        <v>Secretaría Distrital de Seguridad, Convivencia y Justicia</v>
      </c>
      <c r="F106" s="25" t="str">
        <f ca="1">IFERROR(__xludf.DUMMYFUNCTION("""COMPUTED_VALUE"""),"Priorizar a los 100 migrantes más buscados")</f>
        <v>Priorizar a los 100 migrantes más buscados</v>
      </c>
      <c r="G106" s="25" t="str">
        <f ca="1">IFERROR(__xludf.DUMMYFUNCTION("""COMPUTED_VALUE"""),"99. Distrito")</f>
        <v>99. Distrito</v>
      </c>
      <c r="H106" s="55">
        <f ca="1">IFERROR(__xludf.DUMMYFUNCTION("""COMPUTED_VALUE"""),44456)</f>
        <v>44456</v>
      </c>
      <c r="I106" s="25"/>
      <c r="J106" s="55" t="str">
        <f ca="1">IFERROR(__xludf.DUMMYFUNCTION("""COMPUTED_VALUE"""),"Alta")</f>
        <v>Alta</v>
      </c>
      <c r="K106" s="25">
        <f ca="1">IFERROR(__xludf.DUMMYFUNCTION("""COMPUTED_VALUE"""),30)</f>
        <v>30</v>
      </c>
      <c r="L106" s="55">
        <f ca="1">IFERROR(__xludf.DUMMYFUNCTION("""COMPUTED_VALUE"""),44576)</f>
        <v>44576</v>
      </c>
      <c r="M106" s="25" t="str">
        <f ca="1">IFERROR(__xludf.DUMMYFUNCTION("""COMPUTED_VALUE"""),"Es importante señalar que en el mes de noviembre se suscribió el convenio 1709/2021 a fin de atender i aportar a estas necesidades. ")</f>
        <v xml:space="preserve">Es importante señalar que en el mes de noviembre se suscribió el convenio 1709/2021 a fin de atender i aportar a estas necesidades. </v>
      </c>
      <c r="N106" s="55">
        <f ca="1">IFERROR(__xludf.DUMMYFUNCTION("""COMPUTED_VALUE"""),44576)</f>
        <v>44576</v>
      </c>
      <c r="O106" s="25" t="str">
        <f t="shared" ca="1" si="0"/>
        <v>Secretaría Distrital de Seguridad, Convivencia y Justicia</v>
      </c>
      <c r="P106" s="25" t="str">
        <f t="shared" si="1"/>
        <v/>
      </c>
      <c r="Q106" s="25" t="str">
        <f ca="1">IFERROR(__xludf.DUMMYFUNCTION("""COMPUTED_VALUE"""),"Corto plazo")</f>
        <v>Corto plazo</v>
      </c>
      <c r="R106" s="25"/>
      <c r="S106" s="55"/>
      <c r="T106" s="56"/>
      <c r="U106" s="25"/>
      <c r="V106" s="25"/>
      <c r="W106" s="25"/>
      <c r="X106" s="25"/>
      <c r="Y106" s="25"/>
      <c r="Z106" s="25"/>
    </row>
    <row r="107" spans="1:26" ht="52.5" customHeight="1" x14ac:dyDescent="0.25">
      <c r="A107" s="25" t="str">
        <f ca="1">IFERROR(__xludf.DUMMYFUNCTION("""COMPUTED_VALUE"""),"Segur105")</f>
        <v>Segur105</v>
      </c>
      <c r="B107" s="25" t="str">
        <f ca="1">IFERROR(__xludf.DUMMYFUNCTION("""COMPUTED_VALUE"""),"Consejo de Seguridad")</f>
        <v>Consejo de Seguridad</v>
      </c>
      <c r="C107" s="55">
        <f ca="1">IFERROR(__xludf.DUMMYFUNCTION("""COMPUTED_VALUE"""),44426)</f>
        <v>44426</v>
      </c>
      <c r="D107" s="25" t="str">
        <f ca="1">IFERROR(__xludf.DUMMYFUNCTION("""COMPUTED_VALUE"""),"Seguridad")</f>
        <v>Seguridad</v>
      </c>
      <c r="E107" s="25" t="str">
        <f ca="1">IFERROR(__xludf.DUMMYFUNCTION("""COMPUTED_VALUE"""),"Secretaría Distrital de Seguridad, Convivencia y Justicia")</f>
        <v>Secretaría Distrital de Seguridad, Convivencia y Justicia</v>
      </c>
      <c r="F107" s="25" t="str">
        <f ca="1">IFERROR(__xludf.DUMMYFUNCTION("""COMPUTED_VALUE"""),"Hacer planes específicos para la judicialización de bandas de migrantes")</f>
        <v>Hacer planes específicos para la judicialización de bandas de migrantes</v>
      </c>
      <c r="G107" s="25" t="str">
        <f ca="1">IFERROR(__xludf.DUMMYFUNCTION("""COMPUTED_VALUE"""),"99. Distrito")</f>
        <v>99. Distrito</v>
      </c>
      <c r="H107" s="55">
        <f ca="1">IFERROR(__xludf.DUMMYFUNCTION("""COMPUTED_VALUE"""),44456)</f>
        <v>44456</v>
      </c>
      <c r="I107" s="25"/>
      <c r="J107" s="55" t="str">
        <f ca="1">IFERROR(__xludf.DUMMYFUNCTION("""COMPUTED_VALUE"""),"Alta")</f>
        <v>Alta</v>
      </c>
      <c r="K107" s="25">
        <f ca="1">IFERROR(__xludf.DUMMYFUNCTION("""COMPUTED_VALUE"""),30)</f>
        <v>30</v>
      </c>
      <c r="L107" s="55">
        <f ca="1">IFERROR(__xludf.DUMMYFUNCTION("""COMPUTED_VALUE"""),44576)</f>
        <v>44576</v>
      </c>
      <c r="M107" s="25" t="str">
        <f ca="1">IFERROR(__xludf.DUMMYFUNCTION("""COMPUTED_VALUE"""),"Se realizó actualización de inventario criminal y proyección operativa. ")</f>
        <v xml:space="preserve">Se realizó actualización de inventario criminal y proyección operativa. </v>
      </c>
      <c r="N107" s="55">
        <f ca="1">IFERROR(__xludf.DUMMYFUNCTION("""COMPUTED_VALUE"""),44576)</f>
        <v>44576</v>
      </c>
      <c r="O107" s="25" t="str">
        <f t="shared" ca="1" si="0"/>
        <v>Secretaría Distrital de Seguridad, Convivencia y Justicia</v>
      </c>
      <c r="P107" s="25" t="str">
        <f t="shared" si="1"/>
        <v/>
      </c>
      <c r="Q107" s="25" t="str">
        <f ca="1">IFERROR(__xludf.DUMMYFUNCTION("""COMPUTED_VALUE"""),"Corto plazo")</f>
        <v>Corto plazo</v>
      </c>
      <c r="R107" s="25"/>
      <c r="S107" s="55"/>
      <c r="T107" s="56"/>
      <c r="U107" s="25"/>
      <c r="V107" s="25"/>
      <c r="W107" s="25"/>
      <c r="X107" s="25"/>
      <c r="Y107" s="25"/>
      <c r="Z107" s="25"/>
    </row>
    <row r="108" spans="1:26" ht="52.5" customHeight="1" x14ac:dyDescent="0.25">
      <c r="A108" s="25" t="str">
        <f ca="1">IFERROR(__xludf.DUMMYFUNCTION("""COMPUTED_VALUE"""),"Segur106")</f>
        <v>Segur106</v>
      </c>
      <c r="B108" s="25" t="str">
        <f ca="1">IFERROR(__xludf.DUMMYFUNCTION("""COMPUTED_VALUE"""),"Consejo de Seguridad")</f>
        <v>Consejo de Seguridad</v>
      </c>
      <c r="C108" s="55">
        <f ca="1">IFERROR(__xludf.DUMMYFUNCTION("""COMPUTED_VALUE"""),44419)</f>
        <v>44419</v>
      </c>
      <c r="D108" s="25" t="str">
        <f ca="1">IFERROR(__xludf.DUMMYFUNCTION("""COMPUTED_VALUE"""),"Seguridad")</f>
        <v>Seguridad</v>
      </c>
      <c r="E108" s="25" t="str">
        <f ca="1">IFERROR(__xludf.DUMMYFUNCTION("""COMPUTED_VALUE"""),"Secretaría Distrital de Seguridad, Convivencia y Justicia")</f>
        <v>Secretaría Distrital de Seguridad, Convivencia y Justicia</v>
      </c>
      <c r="F108" s="25" t="str">
        <f ca="1">IFERROR(__xludf.DUMMYFUNCTION("""COMPUTED_VALUE"""),"Organizar un lanzamiento de la formación de personas Trans en DDHH a los Policías")</f>
        <v>Organizar un lanzamiento de la formación de personas Trans en DDHH a los Policías</v>
      </c>
      <c r="G108" s="25" t="str">
        <f ca="1">IFERROR(__xludf.DUMMYFUNCTION("""COMPUTED_VALUE"""),"99. Distrito")</f>
        <v>99. Distrito</v>
      </c>
      <c r="H108" s="55">
        <f ca="1">IFERROR(__xludf.DUMMYFUNCTION("""COMPUTED_VALUE"""),44449)</f>
        <v>44449</v>
      </c>
      <c r="I108" s="25"/>
      <c r="J108" s="55" t="str">
        <f ca="1">IFERROR(__xludf.DUMMYFUNCTION("""COMPUTED_VALUE"""),"Alta")</f>
        <v>Alta</v>
      </c>
      <c r="K108" s="25">
        <f ca="1">IFERROR(__xludf.DUMMYFUNCTION("""COMPUTED_VALUE"""),30)</f>
        <v>30</v>
      </c>
      <c r="L108" s="55">
        <f ca="1">IFERROR(__xludf.DUMMYFUNCTION("""COMPUTED_VALUE"""),44638)</f>
        <v>44638</v>
      </c>
      <c r="M108" s="25" t="str">
        <f ca="1">IFERROR(__xludf.DUMMYFUNCTION("""COMPUTED_VALUE"""),"Se organizó un proceso de formación a Policías en articulación con Dirección de Diversidad Sexual y la Escuela de Convivencia de la SDSCJ, en el cual se aborden temas relacionados con PPLGBTI, código de convivencia y procedimientos policiales. Se espera e"&amp;"mpezar en la última semana de marzo en Antonio Nariño y posterior réplica en las 20 estaciones de la Policía.
")</f>
        <v xml:space="preserve">Se organizó un proceso de formación a Policías en articulación con Dirección de Diversidad Sexual y la Escuela de Convivencia de la SDSCJ, en el cual se aborden temas relacionados con PPLGBTI, código de convivencia y procedimientos policiales. Se espera empezar en la última semana de marzo en Antonio Nariño y posterior réplica en las 20 estaciones de la Policía.
</v>
      </c>
      <c r="N108" s="55">
        <f ca="1">IFERROR(__xludf.DUMMYFUNCTION("""COMPUTED_VALUE"""),44638)</f>
        <v>44638</v>
      </c>
      <c r="O108" s="25" t="str">
        <f t="shared" ca="1" si="0"/>
        <v>Secretaría Distrital de Seguridad, Convivencia y Justicia</v>
      </c>
      <c r="P108" s="25" t="str">
        <f t="shared" si="1"/>
        <v/>
      </c>
      <c r="Q108" s="25" t="str">
        <f ca="1">IFERROR(__xludf.DUMMYFUNCTION("""COMPUTED_VALUE"""),"Corto plazo")</f>
        <v>Corto plazo</v>
      </c>
      <c r="R108" s="25"/>
      <c r="S108" s="55"/>
      <c r="T108" s="56"/>
      <c r="U108" s="25"/>
      <c r="V108" s="25"/>
      <c r="W108" s="25"/>
      <c r="X108" s="25"/>
      <c r="Y108" s="25"/>
      <c r="Z108" s="25"/>
    </row>
    <row r="109" spans="1:26" ht="52.5" customHeight="1" x14ac:dyDescent="0.25">
      <c r="A109" s="25" t="str">
        <f ca="1">IFERROR(__xludf.DUMMYFUNCTION("""COMPUTED_VALUE"""),"Segur107")</f>
        <v>Segur107</v>
      </c>
      <c r="B109" s="25" t="str">
        <f ca="1">IFERROR(__xludf.DUMMYFUNCTION("""COMPUTED_VALUE"""),"Consejo de Seguridad")</f>
        <v>Consejo de Seguridad</v>
      </c>
      <c r="C109" s="55">
        <f ca="1">IFERROR(__xludf.DUMMYFUNCTION("""COMPUTED_VALUE"""),44418)</f>
        <v>44418</v>
      </c>
      <c r="D109" s="25" t="str">
        <f ca="1">IFERROR(__xludf.DUMMYFUNCTION("""COMPUTED_VALUE"""),"Seguridad")</f>
        <v>Seguridad</v>
      </c>
      <c r="E109" s="25" t="str">
        <f ca="1">IFERROR(__xludf.DUMMYFUNCTION("""COMPUTED_VALUE"""),"Secretaría Distrital de Seguridad, Convivencia y Justicia")</f>
        <v>Secretaría Distrital de Seguridad, Convivencia y Justicia</v>
      </c>
      <c r="F109" s="25" t="str">
        <f ca="1">IFERROR(__xludf.DUMMYFUNCTION("""COMPUTED_VALUE"""),"Priorizar los patrullando en el Portal de las Américas, Suba y Usme")</f>
        <v>Priorizar los patrullando en el Portal de las Américas, Suba y Usme</v>
      </c>
      <c r="G109" s="25" t="str">
        <f ca="1">IFERROR(__xludf.DUMMYFUNCTION("""COMPUTED_VALUE"""),"99. Distrito")</f>
        <v>99. Distrito</v>
      </c>
      <c r="H109" s="55">
        <f ca="1">IFERROR(__xludf.DUMMYFUNCTION("""COMPUTED_VALUE"""),44448)</f>
        <v>44448</v>
      </c>
      <c r="I109" s="25"/>
      <c r="J109" s="55" t="str">
        <f ca="1">IFERROR(__xludf.DUMMYFUNCTION("""COMPUTED_VALUE"""),"Alta")</f>
        <v>Alta</v>
      </c>
      <c r="K109" s="25">
        <f ca="1">IFERROR(__xludf.DUMMYFUNCTION("""COMPUTED_VALUE"""),30)</f>
        <v>30</v>
      </c>
      <c r="L109" s="55">
        <f ca="1">IFERROR(__xludf.DUMMYFUNCTION("""COMPUTED_VALUE"""),44576)</f>
        <v>44576</v>
      </c>
      <c r="M109" s="25" t="str">
        <f ca="1">IFERROR(__xludf.DUMMYFUNCTION("""COMPUTED_VALUE"""),"Se realizó el patrullando el 13 de agosto en Portal Américas y se hizo en conjunto con Bosa por tema de frontera. En el portal de Suba se hizo el 20 de agosto, en su entorno y el parque Lombardía, que se encontraba afectado. El 5 de agosto se realizó en U"&amp;"sme, en el barrio Yomasa, Villa Hermosa y la UPZ Alfonso López.")</f>
        <v>Se realizó el patrullando el 13 de agosto en Portal Américas y se hizo en conjunto con Bosa por tema de frontera. En el portal de Suba se hizo el 20 de agosto, en su entorno y el parque Lombardía, que se encontraba afectado. El 5 de agosto se realizó en Usme, en el barrio Yomasa, Villa Hermosa y la UPZ Alfonso López.</v>
      </c>
      <c r="N109" s="55">
        <f ca="1">IFERROR(__xludf.DUMMYFUNCTION("""COMPUTED_VALUE"""),44576)</f>
        <v>44576</v>
      </c>
      <c r="O109" s="25" t="str">
        <f t="shared" ca="1" si="0"/>
        <v>Secretaría Distrital de Seguridad, Convivencia y Justicia</v>
      </c>
      <c r="P109" s="25" t="str">
        <f t="shared" si="1"/>
        <v/>
      </c>
      <c r="Q109" s="25" t="str">
        <f ca="1">IFERROR(__xludf.DUMMYFUNCTION("""COMPUTED_VALUE"""),"Corto plazo")</f>
        <v>Corto plazo</v>
      </c>
      <c r="R109" s="25"/>
      <c r="S109" s="55"/>
      <c r="T109" s="56"/>
      <c r="U109" s="25"/>
      <c r="V109" s="25"/>
      <c r="W109" s="25"/>
      <c r="X109" s="25"/>
      <c r="Y109" s="25"/>
      <c r="Z109" s="25"/>
    </row>
    <row r="110" spans="1:26" ht="52.5" customHeight="1" x14ac:dyDescent="0.25">
      <c r="A110" s="25" t="str">
        <f ca="1">IFERROR(__xludf.DUMMYFUNCTION("""COMPUTED_VALUE"""),"Segur108")</f>
        <v>Segur108</v>
      </c>
      <c r="B110" s="25" t="str">
        <f ca="1">IFERROR(__xludf.DUMMYFUNCTION("""COMPUTED_VALUE"""),"Consejo de Seguridad")</f>
        <v>Consejo de Seguridad</v>
      </c>
      <c r="C110" s="55">
        <f ca="1">IFERROR(__xludf.DUMMYFUNCTION("""COMPUTED_VALUE"""),44418)</f>
        <v>44418</v>
      </c>
      <c r="D110" s="25" t="str">
        <f ca="1">IFERROR(__xludf.DUMMYFUNCTION("""COMPUTED_VALUE"""),"Seguridad")</f>
        <v>Seguridad</v>
      </c>
      <c r="E110" s="25" t="str">
        <f ca="1">IFERROR(__xludf.DUMMYFUNCTION("""COMPUTED_VALUE"""),"Secretaría Distrital de Seguridad, Convivencia y Justicia")</f>
        <v>Secretaría Distrital de Seguridad, Convivencia y Justicia</v>
      </c>
      <c r="F110" s="25" t="str">
        <f ca="1">IFERROR(__xludf.DUMMYFUNCTION("""COMPUTED_VALUE"""),"Después de Américas, Suba y Usme hay que hacer una zona de limpieza y arreglo local en la Cra. 7 desde la 24 a la 100")</f>
        <v>Después de Américas, Suba y Usme hay que hacer una zona de limpieza y arreglo local en la Cra. 7 desde la 24 a la 100</v>
      </c>
      <c r="G110" s="25" t="str">
        <f ca="1">IFERROR(__xludf.DUMMYFUNCTION("""COMPUTED_VALUE"""),"99. Distrito")</f>
        <v>99. Distrito</v>
      </c>
      <c r="H110" s="55">
        <f ca="1">IFERROR(__xludf.DUMMYFUNCTION("""COMPUTED_VALUE"""),44448)</f>
        <v>44448</v>
      </c>
      <c r="I110" s="25"/>
      <c r="J110" s="55" t="str">
        <f ca="1">IFERROR(__xludf.DUMMYFUNCTION("""COMPUTED_VALUE"""),"Alta")</f>
        <v>Alta</v>
      </c>
      <c r="K110" s="25">
        <f ca="1">IFERROR(__xludf.DUMMYFUNCTION("""COMPUTED_VALUE"""),30)</f>
        <v>30</v>
      </c>
      <c r="L110" s="55">
        <f ca="1">IFERROR(__xludf.DUMMYFUNCTION("""COMPUTED_VALUE"""),44576)</f>
        <v>44576</v>
      </c>
      <c r="M110" s="25" t="str">
        <f ca="1">IFERROR(__xludf.DUMMYFUNCTION("""COMPUTED_VALUE"""),"Se realizó el patrullando por la carrera 7 desde la calle 40 hasta el parque los Hippies. *Recolección de residuos y canecas de basura, avance en luminarias, UAESP
*Revisar fachadas de IDU, Cerramiento de casas entregadas a Metro por parte de IDU
*Avanc"&amp;"e oferta servicios a CHC y demás acciones con esta población, SDSC
*Arborización en parque HIPPIES - Jardín Botánico ")</f>
        <v xml:space="preserve">Se realizó el patrullando por la carrera 7 desde la calle 40 hasta el parque los Hippies. *Recolección de residuos y canecas de basura, avance en luminarias, UAESP
*Revisar fachadas de IDU, Cerramiento de casas entregadas a Metro por parte de IDU
*Avance oferta servicios a CHC y demás acciones con esta población, SDSC
*Arborización en parque HIPPIES - Jardín Botánico </v>
      </c>
      <c r="N110" s="55">
        <f ca="1">IFERROR(__xludf.DUMMYFUNCTION("""COMPUTED_VALUE"""),44576)</f>
        <v>44576</v>
      </c>
      <c r="O110" s="25" t="str">
        <f t="shared" ca="1" si="0"/>
        <v>Secretaría Distrital de Seguridad, Convivencia y Justicia</v>
      </c>
      <c r="P110" s="25" t="str">
        <f t="shared" si="1"/>
        <v/>
      </c>
      <c r="Q110" s="25" t="str">
        <f ca="1">IFERROR(__xludf.DUMMYFUNCTION("""COMPUTED_VALUE"""),"Corto plazo")</f>
        <v>Corto plazo</v>
      </c>
      <c r="R110" s="25"/>
      <c r="S110" s="55"/>
      <c r="T110" s="56"/>
      <c r="U110" s="25"/>
      <c r="V110" s="25"/>
      <c r="W110" s="25"/>
      <c r="X110" s="25"/>
      <c r="Y110" s="25"/>
      <c r="Z110" s="25"/>
    </row>
    <row r="111" spans="1:26" ht="52.5" customHeight="1" x14ac:dyDescent="0.25">
      <c r="A111" s="25" t="str">
        <f ca="1">IFERROR(__xludf.DUMMYFUNCTION("""COMPUTED_VALUE"""),"Segur109")</f>
        <v>Segur109</v>
      </c>
      <c r="B111" s="25" t="str">
        <f ca="1">IFERROR(__xludf.DUMMYFUNCTION("""COMPUTED_VALUE"""),"Consejo de Seguridad")</f>
        <v>Consejo de Seguridad</v>
      </c>
      <c r="C111" s="55">
        <f ca="1">IFERROR(__xludf.DUMMYFUNCTION("""COMPUTED_VALUE"""),44418)</f>
        <v>44418</v>
      </c>
      <c r="D111" s="25" t="str">
        <f ca="1">IFERROR(__xludf.DUMMYFUNCTION("""COMPUTED_VALUE"""),"Seguridad")</f>
        <v>Seguridad</v>
      </c>
      <c r="E111" s="25" t="str">
        <f ca="1">IFERROR(__xludf.DUMMYFUNCTION("""COMPUTED_VALUE"""),"Secretaría Distrital de Seguridad, Convivencia y Justicia")</f>
        <v>Secretaría Distrital de Seguridad, Convivencia y Justicia</v>
      </c>
      <c r="F111" s="25" t="str">
        <f ca="1">IFERROR(__xludf.DUMMYFUNCTION("""COMPUTED_VALUE"""),"Después de la Cra 7 hacer la Calle 80")</f>
        <v>Después de la Cra 7 hacer la Calle 80</v>
      </c>
      <c r="G111" s="25" t="str">
        <f ca="1">IFERROR(__xludf.DUMMYFUNCTION("""COMPUTED_VALUE"""),"99. Distrito")</f>
        <v>99. Distrito</v>
      </c>
      <c r="H111" s="55">
        <f ca="1">IFERROR(__xludf.DUMMYFUNCTION("""COMPUTED_VALUE"""),44448)</f>
        <v>44448</v>
      </c>
      <c r="I111" s="25"/>
      <c r="J111" s="55" t="str">
        <f ca="1">IFERROR(__xludf.DUMMYFUNCTION("""COMPUTED_VALUE"""),"Alta")</f>
        <v>Alta</v>
      </c>
      <c r="K111" s="25">
        <f ca="1">IFERROR(__xludf.DUMMYFUNCTION("""COMPUTED_VALUE"""),30)</f>
        <v>30</v>
      </c>
      <c r="L111" s="55">
        <f ca="1">IFERROR(__xludf.DUMMYFUNCTION("""COMPUTED_VALUE"""),44576)</f>
        <v>44576</v>
      </c>
      <c r="M111" s="25" t="str">
        <f ca="1">IFERROR(__xludf.DUMMYFUNCTION("""COMPUTED_VALUE"""),"Se realizó en CALLE 100 CON AUTOPISTA NORTE (COSTADO SUROCCIDENTAL), el día 12 de octubre. El cual también cubre La Castellana.")</f>
        <v>Se realizó en CALLE 100 CON AUTOPISTA NORTE (COSTADO SUROCCIDENTAL), el día 12 de octubre. El cual también cubre La Castellana.</v>
      </c>
      <c r="N111" s="55">
        <f ca="1">IFERROR(__xludf.DUMMYFUNCTION("""COMPUTED_VALUE"""),44576)</f>
        <v>44576</v>
      </c>
      <c r="O111" s="25" t="str">
        <f t="shared" ca="1" si="0"/>
        <v>Secretaría Distrital de Seguridad, Convivencia y Justicia</v>
      </c>
      <c r="P111" s="25" t="str">
        <f t="shared" si="1"/>
        <v/>
      </c>
      <c r="Q111" s="25" t="str">
        <f ca="1">IFERROR(__xludf.DUMMYFUNCTION("""COMPUTED_VALUE"""),"Corto plazo")</f>
        <v>Corto plazo</v>
      </c>
      <c r="R111" s="25"/>
      <c r="S111" s="55"/>
      <c r="T111" s="56"/>
      <c r="U111" s="25"/>
      <c r="V111" s="25"/>
      <c r="W111" s="25"/>
      <c r="X111" s="25"/>
      <c r="Y111" s="25"/>
      <c r="Z111" s="25"/>
    </row>
    <row r="112" spans="1:26" ht="52.5" customHeight="1" x14ac:dyDescent="0.25">
      <c r="A112" s="25" t="str">
        <f ca="1">IFERROR(__xludf.DUMMYFUNCTION("""COMPUTED_VALUE"""),"Segur110")</f>
        <v>Segur110</v>
      </c>
      <c r="B112" s="25" t="str">
        <f ca="1">IFERROR(__xludf.DUMMYFUNCTION("""COMPUTED_VALUE"""),"Consejo de Seguridad")</f>
        <v>Consejo de Seguridad</v>
      </c>
      <c r="C112" s="55">
        <f ca="1">IFERROR(__xludf.DUMMYFUNCTION("""COMPUTED_VALUE"""),44418)</f>
        <v>44418</v>
      </c>
      <c r="D112" s="25" t="str">
        <f ca="1">IFERROR(__xludf.DUMMYFUNCTION("""COMPUTED_VALUE"""),"Seguridad")</f>
        <v>Seguridad</v>
      </c>
      <c r="E112" s="25" t="str">
        <f ca="1">IFERROR(__xludf.DUMMYFUNCTION("""COMPUTED_VALUE"""),"Secretaría Distrital de Seguridad, Convivencia y Justicia")</f>
        <v>Secretaría Distrital de Seguridad, Convivencia y Justicia</v>
      </c>
      <c r="F112" s="25" t="str">
        <f ca="1">IFERROR(__xludf.DUMMYFUNCTION("""COMPUTED_VALUE"""),"Después hacer Usme y Cra décima - Av Caracas")</f>
        <v>Después hacer Usme y Cra décima - Av Caracas</v>
      </c>
      <c r="G112" s="25" t="str">
        <f ca="1">IFERROR(__xludf.DUMMYFUNCTION("""COMPUTED_VALUE"""),"99. Distrito")</f>
        <v>99. Distrito</v>
      </c>
      <c r="H112" s="55">
        <f ca="1">IFERROR(__xludf.DUMMYFUNCTION("""COMPUTED_VALUE"""),44448)</f>
        <v>44448</v>
      </c>
      <c r="I112" s="25"/>
      <c r="J112" s="55" t="str">
        <f ca="1">IFERROR(__xludf.DUMMYFUNCTION("""COMPUTED_VALUE"""),"Alta")</f>
        <v>Alta</v>
      </c>
      <c r="K112" s="25">
        <f ca="1">IFERROR(__xludf.DUMMYFUNCTION("""COMPUTED_VALUE"""),30)</f>
        <v>30</v>
      </c>
      <c r="L112" s="55">
        <f ca="1">IFERROR(__xludf.DUMMYFUNCTION("""COMPUTED_VALUE"""),44576)</f>
        <v>44576</v>
      </c>
      <c r="M112" s="25" t="str">
        <f ca="1">IFERROR(__xludf.DUMMYFUNCTION("""COMPUTED_VALUE"""),"Se realizó el 11 de noviembre y 16 de noviembre, San Cristóbal casa de la lluvia de ideas, Barrio La Cecilia: Calle 12 b sur # 21 a Este, entorno Fucha. RAFAEL URIBE URIBE IGLESIA LA RESURRECCIÓN: CLL 33 sur # 12 a - 98	Las Lomas")</f>
        <v>Se realizó el 11 de noviembre y 16 de noviembre, San Cristóbal casa de la lluvia de ideas, Barrio La Cecilia: Calle 12 b sur # 21 a Este, entorno Fucha. RAFAEL URIBE URIBE IGLESIA LA RESURRECCIÓN: CLL 33 sur # 12 a - 98	Las Lomas</v>
      </c>
      <c r="N112" s="55">
        <f ca="1">IFERROR(__xludf.DUMMYFUNCTION("""COMPUTED_VALUE"""),44576)</f>
        <v>44576</v>
      </c>
      <c r="O112" s="25" t="str">
        <f t="shared" ca="1" si="0"/>
        <v>Secretaría Distrital de Seguridad, Convivencia y Justicia</v>
      </c>
      <c r="P112" s="25" t="str">
        <f t="shared" si="1"/>
        <v/>
      </c>
      <c r="Q112" s="25" t="str">
        <f ca="1">IFERROR(__xludf.DUMMYFUNCTION("""COMPUTED_VALUE"""),"Corto plazo")</f>
        <v>Corto plazo</v>
      </c>
      <c r="R112" s="25"/>
      <c r="S112" s="55"/>
      <c r="T112" s="56"/>
      <c r="U112" s="25"/>
      <c r="V112" s="25"/>
      <c r="W112" s="25"/>
      <c r="X112" s="25"/>
      <c r="Y112" s="25"/>
      <c r="Z112" s="25"/>
    </row>
    <row r="113" spans="1:26" ht="52.5" customHeight="1" x14ac:dyDescent="0.25">
      <c r="A113" s="25" t="str">
        <f ca="1">IFERROR(__xludf.DUMMYFUNCTION("""COMPUTED_VALUE"""),"Segur111")</f>
        <v>Segur111</v>
      </c>
      <c r="B113" s="25" t="str">
        <f ca="1">IFERROR(__xludf.DUMMYFUNCTION("""COMPUTED_VALUE"""),"Consejo de Seguridad")</f>
        <v>Consejo de Seguridad</v>
      </c>
      <c r="C113" s="55">
        <f ca="1">IFERROR(__xludf.DUMMYFUNCTION("""COMPUTED_VALUE"""),44418)</f>
        <v>44418</v>
      </c>
      <c r="D113" s="25" t="str">
        <f ca="1">IFERROR(__xludf.DUMMYFUNCTION("""COMPUTED_VALUE"""),"Seguridad")</f>
        <v>Seguridad</v>
      </c>
      <c r="E113" s="25" t="str">
        <f ca="1">IFERROR(__xludf.DUMMYFUNCTION("""COMPUTED_VALUE"""),"Secretaría Distrital de Seguridad, Convivencia y Justicia")</f>
        <v>Secretaría Distrital de Seguridad, Convivencia y Justicia</v>
      </c>
      <c r="F113" s="25" t="str">
        <f ca="1">IFERROR(__xludf.DUMMYFUNCTION("""COMPUTED_VALUE"""),"Enviar un cronograma de adecuación de las estaciones de Transmilenio")</f>
        <v>Enviar un cronograma de adecuación de las estaciones de Transmilenio</v>
      </c>
      <c r="G113" s="25" t="str">
        <f ca="1">IFERROR(__xludf.DUMMYFUNCTION("""COMPUTED_VALUE"""),"99. Distrito")</f>
        <v>99. Distrito</v>
      </c>
      <c r="H113" s="55">
        <f ca="1">IFERROR(__xludf.DUMMYFUNCTION("""COMPUTED_VALUE"""),44448)</f>
        <v>44448</v>
      </c>
      <c r="I113" s="25"/>
      <c r="J113" s="55" t="str">
        <f ca="1">IFERROR(__xludf.DUMMYFUNCTION("""COMPUTED_VALUE"""),"Alta")</f>
        <v>Alta</v>
      </c>
      <c r="K113" s="25">
        <f ca="1">IFERROR(__xludf.DUMMYFUNCTION("""COMPUTED_VALUE"""),30)</f>
        <v>30</v>
      </c>
      <c r="L113" s="55">
        <f ca="1">IFERROR(__xludf.DUMMYFUNCTION("""COMPUTED_VALUE"""),44576)</f>
        <v>44576</v>
      </c>
      <c r="M113" s="25" t="str">
        <f ca="1">IFERROR(__xludf.DUMMYFUNCTION("""COMPUTED_VALUE"""),"El cronograma de adecuación de las estación de las estaciones no es competencia de la SCJS")</f>
        <v>El cronograma de adecuación de las estación de las estaciones no es competencia de la SCJS</v>
      </c>
      <c r="N113" s="55">
        <f ca="1">IFERROR(__xludf.DUMMYFUNCTION("""COMPUTED_VALUE"""),44576)</f>
        <v>44576</v>
      </c>
      <c r="O113" s="25" t="str">
        <f t="shared" ca="1" si="0"/>
        <v>Secretaría Distrital de Seguridad, Convivencia y Justicia</v>
      </c>
      <c r="P113" s="25" t="str">
        <f t="shared" si="1"/>
        <v/>
      </c>
      <c r="Q113" s="25" t="str">
        <f ca="1">IFERROR(__xludf.DUMMYFUNCTION("""COMPUTED_VALUE"""),"Corto plazo")</f>
        <v>Corto plazo</v>
      </c>
      <c r="R113" s="25"/>
      <c r="S113" s="55"/>
      <c r="T113" s="56"/>
      <c r="U113" s="25"/>
      <c r="V113" s="25"/>
      <c r="W113" s="25"/>
      <c r="X113" s="25"/>
      <c r="Y113" s="25"/>
      <c r="Z113" s="25"/>
    </row>
    <row r="114" spans="1:26" ht="52.5" customHeight="1" x14ac:dyDescent="0.25">
      <c r="A114" s="25" t="str">
        <f ca="1">IFERROR(__xludf.DUMMYFUNCTION("""COMPUTED_VALUE"""),"Segur112")</f>
        <v>Segur112</v>
      </c>
      <c r="B114" s="25" t="str">
        <f ca="1">IFERROR(__xludf.DUMMYFUNCTION("""COMPUTED_VALUE"""),"Consejo de Seguridad")</f>
        <v>Consejo de Seguridad</v>
      </c>
      <c r="C114" s="55">
        <f ca="1">IFERROR(__xludf.DUMMYFUNCTION("""COMPUTED_VALUE"""),44418)</f>
        <v>44418</v>
      </c>
      <c r="D114" s="25" t="str">
        <f ca="1">IFERROR(__xludf.DUMMYFUNCTION("""COMPUTED_VALUE"""),"Seguridad")</f>
        <v>Seguridad</v>
      </c>
      <c r="E114" s="25" t="str">
        <f ca="1">IFERROR(__xludf.DUMMYFUNCTION("""COMPUTED_VALUE"""),"Secretaría Distrital de Seguridad, Convivencia y Justicia")</f>
        <v>Secretaría Distrital de Seguridad, Convivencia y Justicia</v>
      </c>
      <c r="F114" s="25" t="str">
        <f ca="1">IFERROR(__xludf.DUMMYFUNCTION("""COMPUTED_VALUE"""),"Instalar polisombra estampada en Héroes")</f>
        <v>Instalar polisombra estampada en Héroes</v>
      </c>
      <c r="G114" s="25" t="str">
        <f ca="1">IFERROR(__xludf.DUMMYFUNCTION("""COMPUTED_VALUE"""),"99. Distrito")</f>
        <v>99. Distrito</v>
      </c>
      <c r="H114" s="55">
        <f ca="1">IFERROR(__xludf.DUMMYFUNCTION("""COMPUTED_VALUE"""),44448)</f>
        <v>44448</v>
      </c>
      <c r="I114" s="25"/>
      <c r="J114" s="55" t="str">
        <f ca="1">IFERROR(__xludf.DUMMYFUNCTION("""COMPUTED_VALUE"""),"Alta")</f>
        <v>Alta</v>
      </c>
      <c r="K114" s="25">
        <f ca="1">IFERROR(__xludf.DUMMYFUNCTION("""COMPUTED_VALUE"""),30)</f>
        <v>30</v>
      </c>
      <c r="L114" s="55">
        <f ca="1">IFERROR(__xludf.DUMMYFUNCTION("""COMPUTED_VALUE"""),44620)</f>
        <v>44620</v>
      </c>
      <c r="M114" s="25" t="str">
        <f ca="1">IFERROR(__xludf.DUMMYFUNCTION("""COMPUTED_VALUE"""),"La polisombra fue instalada tras la instrucción de la Alcaldesa Mayor de Bogotá ")</f>
        <v xml:space="preserve">La polisombra fue instalada tras la instrucción de la Alcaldesa Mayor de Bogotá </v>
      </c>
      <c r="N114" s="55">
        <f ca="1">IFERROR(__xludf.DUMMYFUNCTION("""COMPUTED_VALUE"""),44620)</f>
        <v>44620</v>
      </c>
      <c r="O114" s="25" t="str">
        <f t="shared" ca="1" si="0"/>
        <v>Secretaría Distrital de Seguridad, Convivencia y Justicia</v>
      </c>
      <c r="P114" s="25" t="str">
        <f t="shared" si="1"/>
        <v/>
      </c>
      <c r="Q114" s="25" t="str">
        <f ca="1">IFERROR(__xludf.DUMMYFUNCTION("""COMPUTED_VALUE"""),"Corto plazo")</f>
        <v>Corto plazo</v>
      </c>
      <c r="R114" s="25"/>
      <c r="S114" s="55"/>
      <c r="T114" s="56"/>
      <c r="U114" s="25"/>
      <c r="V114" s="25"/>
      <c r="W114" s="25"/>
      <c r="X114" s="25"/>
      <c r="Y114" s="25"/>
      <c r="Z114" s="25"/>
    </row>
    <row r="115" spans="1:26" ht="52.5" customHeight="1" x14ac:dyDescent="0.25">
      <c r="A115" s="25" t="str">
        <f ca="1">IFERROR(__xludf.DUMMYFUNCTION("""COMPUTED_VALUE"""),"Segur113")</f>
        <v>Segur113</v>
      </c>
      <c r="B115" s="25" t="str">
        <f ca="1">IFERROR(__xludf.DUMMYFUNCTION("""COMPUTED_VALUE"""),"Consejo de Seguridad")</f>
        <v>Consejo de Seguridad</v>
      </c>
      <c r="C115" s="55">
        <f ca="1">IFERROR(__xludf.DUMMYFUNCTION("""COMPUTED_VALUE"""),44418)</f>
        <v>44418</v>
      </c>
      <c r="D115" s="25" t="str">
        <f ca="1">IFERROR(__xludf.DUMMYFUNCTION("""COMPUTED_VALUE"""),"Seguridad")</f>
        <v>Seguridad</v>
      </c>
      <c r="E115" s="25" t="str">
        <f ca="1">IFERROR(__xludf.DUMMYFUNCTION("""COMPUTED_VALUE"""),"Secretaría Distrital de Seguridad, Convivencia y Justicia")</f>
        <v>Secretaría Distrital de Seguridad, Convivencia y Justicia</v>
      </c>
      <c r="F115" s="25" t="str">
        <f ca="1">IFERROR(__xludf.DUMMYFUNCTION("""COMPUTED_VALUE"""),"Hacer una reunión con el Fiscal General, el General Vargas, las familias de los asesinados. Acto público el 4 de septiembre")</f>
        <v>Hacer una reunión con el Fiscal General, el General Vargas, las familias de los asesinados. Acto público el 4 de septiembre</v>
      </c>
      <c r="G115" s="25" t="str">
        <f ca="1">IFERROR(__xludf.DUMMYFUNCTION("""COMPUTED_VALUE"""),"99. Distrito")</f>
        <v>99. Distrito</v>
      </c>
      <c r="H115" s="55">
        <f ca="1">IFERROR(__xludf.DUMMYFUNCTION("""COMPUTED_VALUE"""),44448)</f>
        <v>44448</v>
      </c>
      <c r="I115" s="25"/>
      <c r="J115" s="55" t="str">
        <f ca="1">IFERROR(__xludf.DUMMYFUNCTION("""COMPUTED_VALUE"""),"Alta")</f>
        <v>Alta</v>
      </c>
      <c r="K115" s="25">
        <f ca="1">IFERROR(__xludf.DUMMYFUNCTION("""COMPUTED_VALUE"""),30)</f>
        <v>30</v>
      </c>
      <c r="L115" s="55">
        <f ca="1">IFERROR(__xludf.DUMMYFUNCTION("""COMPUTED_VALUE"""),44576)</f>
        <v>44576</v>
      </c>
      <c r="M115" s="25" t="str">
        <f ca="1">IFERROR(__xludf.DUMMYFUNCTION("""COMPUTED_VALUE"""),"Se realizó el acto público en la fecha indicada por la Alcaldesa Mayor de Bogotá ")</f>
        <v xml:space="preserve">Se realizó el acto público en la fecha indicada por la Alcaldesa Mayor de Bogotá </v>
      </c>
      <c r="N115" s="55">
        <f ca="1">IFERROR(__xludf.DUMMYFUNCTION("""COMPUTED_VALUE"""),44576)</f>
        <v>44576</v>
      </c>
      <c r="O115" s="25" t="str">
        <f t="shared" ca="1" si="0"/>
        <v>Secretaría Distrital de Seguridad, Convivencia y Justicia</v>
      </c>
      <c r="P115" s="25" t="str">
        <f t="shared" si="1"/>
        <v/>
      </c>
      <c r="Q115" s="25" t="str">
        <f ca="1">IFERROR(__xludf.DUMMYFUNCTION("""COMPUTED_VALUE"""),"Corto plazo")</f>
        <v>Corto plazo</v>
      </c>
      <c r="R115" s="25"/>
      <c r="S115" s="55"/>
      <c r="T115" s="56"/>
      <c r="U115" s="25"/>
      <c r="V115" s="25"/>
      <c r="W115" s="25"/>
      <c r="X115" s="25"/>
      <c r="Y115" s="25"/>
      <c r="Z115" s="25"/>
    </row>
    <row r="116" spans="1:26" ht="52.5" customHeight="1" x14ac:dyDescent="0.25">
      <c r="A116" s="25" t="str">
        <f ca="1">IFERROR(__xludf.DUMMYFUNCTION("""COMPUTED_VALUE"""),"Segur114")</f>
        <v>Segur114</v>
      </c>
      <c r="B116" s="25" t="str">
        <f ca="1">IFERROR(__xludf.DUMMYFUNCTION("""COMPUTED_VALUE"""),"Consejo de Seguridad")</f>
        <v>Consejo de Seguridad</v>
      </c>
      <c r="C116" s="55">
        <f ca="1">IFERROR(__xludf.DUMMYFUNCTION("""COMPUTED_VALUE"""),44404)</f>
        <v>44404</v>
      </c>
      <c r="D116" s="25" t="str">
        <f ca="1">IFERROR(__xludf.DUMMYFUNCTION("""COMPUTED_VALUE"""),"Seguridad")</f>
        <v>Seguridad</v>
      </c>
      <c r="E116" s="25" t="str">
        <f ca="1">IFERROR(__xludf.DUMMYFUNCTION("""COMPUTED_VALUE"""),"Secretaría Distrital de Seguridad, Convivencia y Justicia")</f>
        <v>Secretaría Distrital de Seguridad, Convivencia y Justicia</v>
      </c>
      <c r="F116" s="25" t="str">
        <f ca="1">IFERROR(__xludf.DUMMYFUNCTION("""COMPUTED_VALUE"""),"Centro Traslado por Protección para habitantes de calle - La Sec. de Seguridad debe revisar las vías jurídicas")</f>
        <v>Centro Traslado por Protección para habitantes de calle - La Sec. de Seguridad debe revisar las vías jurídicas</v>
      </c>
      <c r="G116" s="25" t="str">
        <f ca="1">IFERROR(__xludf.DUMMYFUNCTION("""COMPUTED_VALUE"""),"99. Distrito")</f>
        <v>99. Distrito</v>
      </c>
      <c r="H116" s="55">
        <f ca="1">IFERROR(__xludf.DUMMYFUNCTION("""COMPUTED_VALUE"""),44434)</f>
        <v>44434</v>
      </c>
      <c r="I116" s="25"/>
      <c r="J116" s="55" t="str">
        <f ca="1">IFERROR(__xludf.DUMMYFUNCTION("""COMPUTED_VALUE"""),"Alta")</f>
        <v>Alta</v>
      </c>
      <c r="K116" s="25">
        <f ca="1">IFERROR(__xludf.DUMMYFUNCTION("""COMPUTED_VALUE"""),30)</f>
        <v>30</v>
      </c>
      <c r="L116" s="55">
        <f ca="1">IFERROR(__xludf.DUMMYFUNCTION("""COMPUTED_VALUE"""),44638)</f>
        <v>44638</v>
      </c>
      <c r="M116" s="25" t="str">
        <f ca="1">IFERROR(__xludf.DUMMYFUNCTION("""COMPUTED_VALUE"""),"La situación de habitabilidad en calle por sí misma no es motivo de traslado al centro de traslado por protección. Jurídicamente, no hay lugar a disponer de un equipamiento exclusivo por esa situación, ya que esa medida de policía solamente aplica cuando "&amp;"""la vida e integridad de una persona o de terceros esté en riesgo o peligro"" en los términos del art. 155 de la Ley 1801/16 (código de convivencia ciudadana) y, además, ninguna persona podrá ser trasladada por el simple hecho de tener alguna alteración "&amp;"del estado de conciencia, por el efecto del consumo de bebidas alcohólicas o sustancias psicoactivas o tóxicas sino que deben existir motivos fundados y razones objetivas previstas en este Código, con fundamento en el principio de proporcionalidad, lo cua"&amp;"l también aplica para los Ciudadanos Habitantes de Calle-CHC. De otra parte, desde el 4 de agosto la SDSCJ puso a disposición la bodega de la Calle 10 #38-75 para el eventual traslado de CHC, no obstante y gracias a los equipos territoriales de la SDSCJ y"&amp;" de Integración Social se efectuó la socialización de la oferta distrital que tiene Integración Social para esta población y, en consecuencia, se direccionaron a los centros de dicha entidad, sin que fuera trasladado ningún ciudadano habitante de calle en"&amp;" aplicación del medio de traslado por protección. La población de CHC está siendo beneficiaria de la oferta distrital por el sector de Integración Social.")</f>
        <v>La situación de habitabilidad en calle por sí misma no es motivo de traslado al centro de traslado por protección. Jurídicamente, no hay lugar a disponer de un equipamiento exclusivo por esa situación, ya que esa medida de policía solamente aplica cuando "la vida e integridad de una persona o de terceros esté en riesgo o peligro" en los términos del art. 155 de la Ley 1801/16 (código de convivencia ciudadana) y, además, ninguna persona podrá ser trasladada por el simple hecho de tener alguna alteración del estado de conciencia, por el efecto del consumo de bebidas alcohólicas o sustancias psicoactivas o tóxicas sino que deben existir motivos fundados y razones objetivas previstas en este Código, con fundamento en el principio de proporcionalidad, lo cual también aplica para los Ciudadanos Habitantes de Calle-CHC. De otra parte, desde el 4 de agosto la SDSCJ puso a disposición la bodega de la Calle 10 #38-75 para el eventual traslado de CHC, no obstante y gracias a los equipos territoriales de la SDSCJ y de Integración Social se efectuó la socialización de la oferta distrital que tiene Integración Social para esta población y, en consecuencia, se direccionaron a los centros de dicha entidad, sin que fuera trasladado ningún ciudadano habitante de calle en aplicación del medio de traslado por protección. La población de CHC está siendo beneficiaria de la oferta distrital por el sector de Integración Social.</v>
      </c>
      <c r="N116" s="55">
        <f ca="1">IFERROR(__xludf.DUMMYFUNCTION("""COMPUTED_VALUE"""),44638)</f>
        <v>44638</v>
      </c>
      <c r="O116" s="25" t="str">
        <f t="shared" ca="1" si="0"/>
        <v>Secretaría Distrital de Seguridad, Convivencia y Justicia</v>
      </c>
      <c r="P116" s="25" t="str">
        <f t="shared" si="1"/>
        <v/>
      </c>
      <c r="Q116" s="25" t="str">
        <f ca="1">IFERROR(__xludf.DUMMYFUNCTION("""COMPUTED_VALUE"""),"Corto plazo")</f>
        <v>Corto plazo</v>
      </c>
      <c r="R116" s="25"/>
      <c r="S116" s="55"/>
      <c r="T116" s="56"/>
      <c r="U116" s="25"/>
      <c r="V116" s="25"/>
      <c r="W116" s="25"/>
      <c r="X116" s="25"/>
      <c r="Y116" s="25"/>
      <c r="Z116" s="25"/>
    </row>
    <row r="117" spans="1:26" ht="52.5" customHeight="1" x14ac:dyDescent="0.25">
      <c r="A117" s="25" t="str">
        <f ca="1">IFERROR(__xludf.DUMMYFUNCTION("""COMPUTED_VALUE"""),"Segur115")</f>
        <v>Segur115</v>
      </c>
      <c r="B117" s="25" t="str">
        <f ca="1">IFERROR(__xludf.DUMMYFUNCTION("""COMPUTED_VALUE"""),"Consejo de Seguridad")</f>
        <v>Consejo de Seguridad</v>
      </c>
      <c r="C117" s="55">
        <f ca="1">IFERROR(__xludf.DUMMYFUNCTION("""COMPUTED_VALUE"""),44404)</f>
        <v>44404</v>
      </c>
      <c r="D117" s="25" t="str">
        <f ca="1">IFERROR(__xludf.DUMMYFUNCTION("""COMPUTED_VALUE"""),"Seguridad")</f>
        <v>Seguridad</v>
      </c>
      <c r="E117" s="25" t="str">
        <f ca="1">IFERROR(__xludf.DUMMYFUNCTION("""COMPUTED_VALUE"""),"Secretaría Distrital de Seguridad, Convivencia y Justicia")</f>
        <v>Secretaría Distrital de Seguridad, Convivencia y Justicia</v>
      </c>
      <c r="F117" s="25" t="str">
        <f ca="1">IFERROR(__xludf.DUMMYFUNCTION("""COMPUTED_VALUE"""),"Estrategia para los delitos contra las mujeres")</f>
        <v>Estrategia para los delitos contra las mujeres</v>
      </c>
      <c r="G117" s="25" t="str">
        <f ca="1">IFERROR(__xludf.DUMMYFUNCTION("""COMPUTED_VALUE"""),"99. Distrito")</f>
        <v>99. Distrito</v>
      </c>
      <c r="H117" s="55">
        <f ca="1">IFERROR(__xludf.DUMMYFUNCTION("""COMPUTED_VALUE"""),44434)</f>
        <v>44434</v>
      </c>
      <c r="I117" s="25"/>
      <c r="J117" s="55" t="str">
        <f ca="1">IFERROR(__xludf.DUMMYFUNCTION("""COMPUTED_VALUE"""),"Alta")</f>
        <v>Alta</v>
      </c>
      <c r="K117" s="25">
        <f ca="1">IFERROR(__xludf.DUMMYFUNCTION("""COMPUTED_VALUE"""),30)</f>
        <v>30</v>
      </c>
      <c r="L117" s="55">
        <f ca="1">IFERROR(__xludf.DUMMYFUNCTION("""COMPUTED_VALUE"""),44638)</f>
        <v>44638</v>
      </c>
      <c r="M117" s="25" t="str">
        <f ca="1">IFERROR(__xludf.DUMMYFUNCTION("""COMPUTED_VALUE"""),"Desde la Dirección de Prevención y Cultura Ciudadana se trabaja una estrategia para la Prevención y atención a violencias basadas en género la cual está compuesta de los siguientes ejes: 
1. Redes de afecto y cuidado comunitario. 
2. Sistema articulado "&amp;"de alertas tempranas para mujeres víctimas de violencia y en riesgo de feminicidio.
3. Grupo de Trabajo para la Atención de la Violencia Contra las Mujeres y el Riesgo de Feminicidio
4. Estrategia intersectorial para la prevención y atención de violenci"&amp;"as de género: 
5. Construcción de capacidades para la prevención de violencias. 
6. Protocolo de prevención y atención a casos de acoso sexual en el sector y en el espacio público 
7. Transversalización del enfoque de género, plan de acción de la PPMYG"&amp;" y articulación interinstitucional
")</f>
        <v xml:space="preserve">Desde la Dirección de Prevención y Cultura Ciudadana se trabaja una estrategia para la Prevención y atención a violencias basadas en género la cual está compuesta de los siguientes ejes: 
1. Redes de afecto y cuidado comunitario. 
2. Sistema articulado de alertas tempranas para mujeres víctimas de violencia y en riesgo de feminicidio.
3. Grupo de Trabajo para la Atención de la Violencia Contra las Mujeres y el Riesgo de Feminicidio
4. Estrategia intersectorial para la prevención y atención de violencias de género: 
5. Construcción de capacidades para la prevención de violencias. 
6. Protocolo de prevención y atención a casos de acoso sexual en el sector y en el espacio público 
7. Transversalización del enfoque de género, plan de acción de la PPMYG y articulación interinstitucional
</v>
      </c>
      <c r="N117" s="55">
        <f ca="1">IFERROR(__xludf.DUMMYFUNCTION("""COMPUTED_VALUE"""),44638)</f>
        <v>44638</v>
      </c>
      <c r="O117" s="25" t="str">
        <f t="shared" ca="1" si="0"/>
        <v>Secretaría Distrital de Seguridad, Convivencia y Justicia</v>
      </c>
      <c r="P117" s="25" t="str">
        <f t="shared" si="1"/>
        <v/>
      </c>
      <c r="Q117" s="25" t="str">
        <f ca="1">IFERROR(__xludf.DUMMYFUNCTION("""COMPUTED_VALUE"""),"Corto plazo")</f>
        <v>Corto plazo</v>
      </c>
      <c r="R117" s="25"/>
      <c r="S117" s="55"/>
      <c r="T117" s="56"/>
      <c r="U117" s="25"/>
      <c r="V117" s="25"/>
      <c r="W117" s="25"/>
      <c r="X117" s="25"/>
      <c r="Y117" s="25"/>
      <c r="Z117" s="25"/>
    </row>
    <row r="118" spans="1:26" ht="52.5" customHeight="1" x14ac:dyDescent="0.25">
      <c r="A118" s="25" t="str">
        <f ca="1">IFERROR(__xludf.DUMMYFUNCTION("""COMPUTED_VALUE"""),"Segur116")</f>
        <v>Segur116</v>
      </c>
      <c r="B118" s="25" t="str">
        <f ca="1">IFERROR(__xludf.DUMMYFUNCTION("""COMPUTED_VALUE"""),"Consejo Consultivo LGBTI")</f>
        <v>Consejo Consultivo LGBTI</v>
      </c>
      <c r="C118" s="55">
        <f ca="1">IFERROR(__xludf.DUMMYFUNCTION("""COMPUTED_VALUE"""),44398)</f>
        <v>44398</v>
      </c>
      <c r="D118" s="25" t="str">
        <f ca="1">IFERROR(__xludf.DUMMYFUNCTION("""COMPUTED_VALUE"""),"Seguridad")</f>
        <v>Seguridad</v>
      </c>
      <c r="E118" s="25" t="str">
        <f ca="1">IFERROR(__xludf.DUMMYFUNCTION("""COMPUTED_VALUE"""),"Secretaría Distrital de Seguridad, Convivencia y Justicia")</f>
        <v>Secretaría Distrital de Seguridad, Convivencia y Justicia</v>
      </c>
      <c r="F118" s="25" t="str">
        <f ca="1">IFERROR(__xludf.DUMMYFUNCTION("""COMPUTED_VALUE"""),"Revisar con el General Camacho ¿Cómo realizar la formación y reformación a todo el personal de Policías en nuestros CAIDGS  en materia de sensibilización y derechos de la población, en especial trans? ")</f>
        <v xml:space="preserve">Revisar con el General Camacho ¿Cómo realizar la formación y reformación a todo el personal de Policías en nuestros CAIDGS  en materia de sensibilización y derechos de la población, en especial trans? </v>
      </c>
      <c r="G118" s="25" t="str">
        <f ca="1">IFERROR(__xludf.DUMMYFUNCTION("""COMPUTED_VALUE"""),"99. Distrito")</f>
        <v>99. Distrito</v>
      </c>
      <c r="H118" s="55">
        <f ca="1">IFERROR(__xludf.DUMMYFUNCTION("""COMPUTED_VALUE"""),44411)</f>
        <v>44411</v>
      </c>
      <c r="I118" s="25"/>
      <c r="J118" s="55" t="str">
        <f ca="1">IFERROR(__xludf.DUMMYFUNCTION("""COMPUTED_VALUE"""),"Alta")</f>
        <v>Alta</v>
      </c>
      <c r="K118" s="25">
        <f ca="1">IFERROR(__xludf.DUMMYFUNCTION("""COMPUTED_VALUE"""),13)</f>
        <v>13</v>
      </c>
      <c r="L118" s="55">
        <f ca="1">IFERROR(__xludf.DUMMYFUNCTION("""COMPUTED_VALUE"""),44576)</f>
        <v>44576</v>
      </c>
      <c r="M118" s="25" t="str">
        <f ca="1">IFERROR(__xludf.DUMMYFUNCTION("""COMPUTED_VALUE"""),"Se creó el plan de trabajo del segundo semestre para el Vigía LGBTI, que incluye la dinamización de servicios en el CAIDS:
1. Vinculación Vigía LGBTI
2. Sistema de Informaciónde violencias y delitos LGBTI
3. Plande Redes CUIDAdanas
4. Proceso de formació"&amp;"n en el CAIDS
5. Se definió la ruta de capacitación virtual LGBTIPQ para uniformados")</f>
        <v>Se creó el plan de trabajo del segundo semestre para el Vigía LGBTI, que incluye la dinamización de servicios en el CAIDS:
1. Vinculación Vigía LGBTI
2. Sistema de Informaciónde violencias y delitos LGBTI
3. Plande Redes CUIDAdanas
4. Proceso de formación en el CAIDS
5. Se definió la ruta de capacitación virtual LGBTIPQ para uniformados</v>
      </c>
      <c r="N118" s="55">
        <f ca="1">IFERROR(__xludf.DUMMYFUNCTION("""COMPUTED_VALUE"""),44576)</f>
        <v>44576</v>
      </c>
      <c r="O118" s="25" t="str">
        <f t="shared" ca="1" si="0"/>
        <v>Secretaría Distrital de Seguridad, Convivencia y Justicia</v>
      </c>
      <c r="P118" s="25" t="str">
        <f t="shared" si="1"/>
        <v/>
      </c>
      <c r="Q118" s="25" t="str">
        <f ca="1">IFERROR(__xludf.DUMMYFUNCTION("""COMPUTED_VALUE"""),"Corto plazo")</f>
        <v>Corto plazo</v>
      </c>
      <c r="R118" s="25"/>
      <c r="S118" s="55"/>
      <c r="T118" s="56"/>
      <c r="U118" s="25"/>
      <c r="V118" s="25"/>
      <c r="W118" s="25"/>
      <c r="X118" s="25"/>
      <c r="Y118" s="25"/>
      <c r="Z118" s="25"/>
    </row>
    <row r="119" spans="1:26" ht="52.5" customHeight="1" x14ac:dyDescent="0.25">
      <c r="A119" s="25" t="str">
        <f ca="1">IFERROR(__xludf.DUMMYFUNCTION("""COMPUTED_VALUE"""),"Segur117")</f>
        <v>Segur117</v>
      </c>
      <c r="B119" s="25" t="str">
        <f ca="1">IFERROR(__xludf.DUMMYFUNCTION("""COMPUTED_VALUE"""),"Reunión Ciudadela Judicial -Presidente de la Corte Suprema de Justicia")</f>
        <v>Reunión Ciudadela Judicial -Presidente de la Corte Suprema de Justicia</v>
      </c>
      <c r="C119" s="55">
        <f ca="1">IFERROR(__xludf.DUMMYFUNCTION("""COMPUTED_VALUE"""),44396)</f>
        <v>44396</v>
      </c>
      <c r="D119" s="25" t="str">
        <f ca="1">IFERROR(__xludf.DUMMYFUNCTION("""COMPUTED_VALUE"""),"Seguridad")</f>
        <v>Seguridad</v>
      </c>
      <c r="E119" s="25" t="str">
        <f ca="1">IFERROR(__xludf.DUMMYFUNCTION("""COMPUTED_VALUE"""),"Secretaría Distrital de Seguridad, Convivencia y Justicia")</f>
        <v>Secretaría Distrital de Seguridad, Convivencia y Justicia</v>
      </c>
      <c r="F119" s="25" t="str">
        <f ca="1">IFERROR(__xludf.DUMMYFUNCTION("""COMPUTED_VALUE"""),"Radicar oficialmente a  la Secretaria de Planeación Distrital donde se solicite los pasos a seguir para concretar el proceso de implantación del proyecto Ciudadela Judicial y así poder avanzar en las mesas de concertación.")</f>
        <v>Radicar oficialmente a  la Secretaria de Planeación Distrital donde se solicite los pasos a seguir para concretar el proceso de implantación del proyecto Ciudadela Judicial y así poder avanzar en las mesas de concertación.</v>
      </c>
      <c r="G119" s="25" t="str">
        <f ca="1">IFERROR(__xludf.DUMMYFUNCTION("""COMPUTED_VALUE"""),"99. Distrito")</f>
        <v>99. Distrito</v>
      </c>
      <c r="H119" s="55">
        <f ca="1">IFERROR(__xludf.DUMMYFUNCTION("""COMPUTED_VALUE"""),44426)</f>
        <v>44426</v>
      </c>
      <c r="I119" s="25"/>
      <c r="J119" s="55" t="str">
        <f ca="1">IFERROR(__xludf.DUMMYFUNCTION("""COMPUTED_VALUE"""),"Alta")</f>
        <v>Alta</v>
      </c>
      <c r="K119" s="25">
        <f ca="1">IFERROR(__xludf.DUMMYFUNCTION("""COMPUTED_VALUE"""),30)</f>
        <v>30</v>
      </c>
      <c r="L119" s="55">
        <f ca="1">IFERROR(__xludf.DUMMYFUNCTION("""COMPUTED_VALUE"""),44576)</f>
        <v>44576</v>
      </c>
      <c r="M119" s="25" t="str">
        <f ca="1">IFERROR(__xludf.DUMMYFUNCTION("""COMPUTED_VALUE"""),"La SDSCJ acompañó las reuniones previas y la radicación ante SDP de la solicitud de lineamientos para el Plan de Implantación de la Ciudadela Judicial por parte del consejo superior de la Judicatura con No 1-2021-95009 de fecha 20 de octubre de 2021. Se r"&amp;"ecibe respuesta de los lineamientos con radicado 2-2021-116450. El desarrollo del proyecto ahora se encuentra en cabeza del Concejo superior.")</f>
        <v>La SDSCJ acompañó las reuniones previas y la radicación ante SDP de la solicitud de lineamientos para el Plan de Implantación de la Ciudadela Judicial por parte del consejo superior de la Judicatura con No 1-2021-95009 de fecha 20 de octubre de 2021. Se recibe respuesta de los lineamientos con radicado 2-2021-116450. El desarrollo del proyecto ahora se encuentra en cabeza del Concejo superior.</v>
      </c>
      <c r="N119" s="55">
        <f ca="1">IFERROR(__xludf.DUMMYFUNCTION("""COMPUTED_VALUE"""),44576)</f>
        <v>44576</v>
      </c>
      <c r="O119" s="25" t="str">
        <f t="shared" ca="1" si="0"/>
        <v>Secretaría Distrital de Seguridad, Convivencia y Justicia</v>
      </c>
      <c r="P119" s="25" t="str">
        <f t="shared" si="1"/>
        <v/>
      </c>
      <c r="Q119" s="25" t="str">
        <f ca="1">IFERROR(__xludf.DUMMYFUNCTION("""COMPUTED_VALUE"""),"Corto plazo")</f>
        <v>Corto plazo</v>
      </c>
      <c r="R119" s="25"/>
      <c r="S119" s="55"/>
      <c r="T119" s="56"/>
      <c r="U119" s="25"/>
      <c r="V119" s="25"/>
      <c r="W119" s="25"/>
      <c r="X119" s="25"/>
      <c r="Y119" s="25"/>
      <c r="Z119" s="25"/>
    </row>
    <row r="120" spans="1:26" ht="52.5" customHeight="1" x14ac:dyDescent="0.25">
      <c r="A120" s="25" t="str">
        <f ca="1">IFERROR(__xludf.DUMMYFUNCTION("""COMPUTED_VALUE"""),"Segur118")</f>
        <v>Segur118</v>
      </c>
      <c r="B120" s="25" t="str">
        <f ca="1">IFERROR(__xludf.DUMMYFUNCTION("""COMPUTED_VALUE"""),"Reunión Ciudadela Judicial -Presidente de la Corte Suprema de Justicia")</f>
        <v>Reunión Ciudadela Judicial -Presidente de la Corte Suprema de Justicia</v>
      </c>
      <c r="C120" s="55">
        <f ca="1">IFERROR(__xludf.DUMMYFUNCTION("""COMPUTED_VALUE"""),44396)</f>
        <v>44396</v>
      </c>
      <c r="D120" s="25" t="str">
        <f ca="1">IFERROR(__xludf.DUMMYFUNCTION("""COMPUTED_VALUE"""),"Seguridad")</f>
        <v>Seguridad</v>
      </c>
      <c r="E120" s="25" t="str">
        <f ca="1">IFERROR(__xludf.DUMMYFUNCTION("""COMPUTED_VALUE"""),"Secretaría Distrital de Seguridad, Convivencia y Justicia")</f>
        <v>Secretaría Distrital de Seguridad, Convivencia y Justicia</v>
      </c>
      <c r="F120" s="25" t="str">
        <f ca="1">IFERROR(__xludf.DUMMYFUNCTION("""COMPUTED_VALUE"""),"Dar a conocer el inventario de bienes públicos de la Sociedad de Activos Especiales -SAE,  para así poder dejar una norma general en el POT que nos permite subastar a la mejor norma urbana posible para así no atar el uso del predio al uso del suelo. ")</f>
        <v xml:space="preserve">Dar a conocer el inventario de bienes públicos de la Sociedad de Activos Especiales -SAE,  para así poder dejar una norma general en el POT que nos permite subastar a la mejor norma urbana posible para así no atar el uso del predio al uso del suelo. </v>
      </c>
      <c r="G120" s="25" t="str">
        <f ca="1">IFERROR(__xludf.DUMMYFUNCTION("""COMPUTED_VALUE"""),"99. Distrito")</f>
        <v>99. Distrito</v>
      </c>
      <c r="H120" s="55">
        <f ca="1">IFERROR(__xludf.DUMMYFUNCTION("""COMPUTED_VALUE"""),44407)</f>
        <v>44407</v>
      </c>
      <c r="I120" s="25"/>
      <c r="J120" s="55" t="str">
        <f ca="1">IFERROR(__xludf.DUMMYFUNCTION("""COMPUTED_VALUE"""),"Alta")</f>
        <v>Alta</v>
      </c>
      <c r="K120" s="25">
        <f ca="1">IFERROR(__xludf.DUMMYFUNCTION("""COMPUTED_VALUE"""),11)</f>
        <v>11</v>
      </c>
      <c r="L120" s="55">
        <f ca="1">IFERROR(__xludf.DUMMYFUNCTION("""COMPUTED_VALUE"""),44576)</f>
        <v>44576</v>
      </c>
      <c r="M120" s="25" t="str">
        <f ca="1">IFERROR(__xludf.DUMMYFUNCTION("""COMPUTED_VALUE"""),"La Sociedad de Activos Especiales -SAE remitió la informacion sobre el listado de predios disponibles a la SDP el dia 21 de julio de 2021.")</f>
        <v>La Sociedad de Activos Especiales -SAE remitió la informacion sobre el listado de predios disponibles a la SDP el dia 21 de julio de 2021.</v>
      </c>
      <c r="N120" s="55">
        <f ca="1">IFERROR(__xludf.DUMMYFUNCTION("""COMPUTED_VALUE"""),44576)</f>
        <v>44576</v>
      </c>
      <c r="O120" s="25" t="str">
        <f t="shared" ca="1" si="0"/>
        <v>Secretaría Distrital de Seguridad, Convivencia y Justicia</v>
      </c>
      <c r="P120" s="25" t="str">
        <f t="shared" si="1"/>
        <v/>
      </c>
      <c r="Q120" s="25" t="str">
        <f ca="1">IFERROR(__xludf.DUMMYFUNCTION("""COMPUTED_VALUE"""),"Corto plazo")</f>
        <v>Corto plazo</v>
      </c>
      <c r="R120" s="25"/>
      <c r="S120" s="55"/>
      <c r="T120" s="56"/>
      <c r="U120" s="25"/>
      <c r="V120" s="25"/>
      <c r="W120" s="25"/>
      <c r="X120" s="25"/>
      <c r="Y120" s="25"/>
      <c r="Z120" s="25"/>
    </row>
    <row r="121" spans="1:26" ht="52.5" customHeight="1" x14ac:dyDescent="0.25">
      <c r="A121" s="25" t="str">
        <f ca="1">IFERROR(__xludf.DUMMYFUNCTION("""COMPUTED_VALUE"""),"Segur119")</f>
        <v>Segur119</v>
      </c>
      <c r="B121" s="25" t="str">
        <f ca="1">IFERROR(__xludf.DUMMYFUNCTION("""COMPUTED_VALUE"""),"Consejo de Seguridad")</f>
        <v>Consejo de Seguridad</v>
      </c>
      <c r="C121" s="55">
        <f ca="1">IFERROR(__xludf.DUMMYFUNCTION("""COMPUTED_VALUE"""),44396)</f>
        <v>44396</v>
      </c>
      <c r="D121" s="25" t="str">
        <f ca="1">IFERROR(__xludf.DUMMYFUNCTION("""COMPUTED_VALUE"""),"Seguridad")</f>
        <v>Seguridad</v>
      </c>
      <c r="E121" s="25" t="str">
        <f ca="1">IFERROR(__xludf.DUMMYFUNCTION("""COMPUTED_VALUE"""),"Secretaría Distrital de Seguridad, Convivencia y Justicia")</f>
        <v>Secretaría Distrital de Seguridad, Convivencia y Justicia</v>
      </c>
      <c r="F121" s="25" t="str">
        <f ca="1">IFERROR(__xludf.DUMMYFUNCTION("""COMPUTED_VALUE"""),"Presentar reporte de cómo quedan los turnos de comandos TMSA y bici")</f>
        <v>Presentar reporte de cómo quedan los turnos de comandos TMSA y bici</v>
      </c>
      <c r="G121" s="25" t="str">
        <f ca="1">IFERROR(__xludf.DUMMYFUNCTION("""COMPUTED_VALUE"""),"99. Distrito")</f>
        <v>99. Distrito</v>
      </c>
      <c r="H121" s="55">
        <f ca="1">IFERROR(__xludf.DUMMYFUNCTION("""COMPUTED_VALUE"""),44426)</f>
        <v>44426</v>
      </c>
      <c r="I121" s="25"/>
      <c r="J121" s="55" t="str">
        <f ca="1">IFERROR(__xludf.DUMMYFUNCTION("""COMPUTED_VALUE"""),"Alta")</f>
        <v>Alta</v>
      </c>
      <c r="K121" s="25">
        <f ca="1">IFERROR(__xludf.DUMMYFUNCTION("""COMPUTED_VALUE"""),30)</f>
        <v>30</v>
      </c>
      <c r="L121" s="55">
        <f ca="1">IFERROR(__xludf.DUMMYFUNCTION("""COMPUTED_VALUE"""),44620)</f>
        <v>44620</v>
      </c>
      <c r="M121" s="25" t="str">
        <f ca="1">IFERROR(__xludf.DUMMYFUNCTION("""COMPUTED_VALUE"""),"Fue presentado en el Consejo Distrital de Seguridad. ")</f>
        <v xml:space="preserve">Fue presentado en el Consejo Distrital de Seguridad. </v>
      </c>
      <c r="N121" s="55">
        <f ca="1">IFERROR(__xludf.DUMMYFUNCTION("""COMPUTED_VALUE"""),44620)</f>
        <v>44620</v>
      </c>
      <c r="O121" s="25" t="str">
        <f t="shared" ca="1" si="0"/>
        <v>Secretaría Distrital de Seguridad, Convivencia y Justicia</v>
      </c>
      <c r="P121" s="25" t="str">
        <f t="shared" si="1"/>
        <v/>
      </c>
      <c r="Q121" s="25" t="str">
        <f ca="1">IFERROR(__xludf.DUMMYFUNCTION("""COMPUTED_VALUE"""),"Corto plazo")</f>
        <v>Corto plazo</v>
      </c>
      <c r="R121" s="25"/>
      <c r="S121" s="55"/>
      <c r="T121" s="56"/>
      <c r="U121" s="25"/>
      <c r="V121" s="25"/>
      <c r="W121" s="25"/>
      <c r="X121" s="25"/>
      <c r="Y121" s="25"/>
      <c r="Z121" s="25"/>
    </row>
    <row r="122" spans="1:26" ht="52.5" customHeight="1" x14ac:dyDescent="0.25">
      <c r="A122" s="25" t="str">
        <f ca="1">IFERROR(__xludf.DUMMYFUNCTION("""COMPUTED_VALUE"""),"Segur120")</f>
        <v>Segur120</v>
      </c>
      <c r="B122" s="25" t="str">
        <f ca="1">IFERROR(__xludf.DUMMYFUNCTION("""COMPUTED_VALUE"""),"Recorrido Kennedy")</f>
        <v>Recorrido Kennedy</v>
      </c>
      <c r="C122" s="55">
        <f ca="1">IFERROR(__xludf.DUMMYFUNCTION("""COMPUTED_VALUE"""),44387)</f>
        <v>44387</v>
      </c>
      <c r="D122" s="25" t="str">
        <f ca="1">IFERROR(__xludf.DUMMYFUNCTION("""COMPUTED_VALUE"""),"Seguridad")</f>
        <v>Seguridad</v>
      </c>
      <c r="E122" s="25" t="str">
        <f ca="1">IFERROR(__xludf.DUMMYFUNCTION("""COMPUTED_VALUE"""),"Secretaría Distrital de Seguridad, Convivencia y Justicia")</f>
        <v>Secretaría Distrital de Seguridad, Convivencia y Justicia</v>
      </c>
      <c r="F122" s="25" t="str">
        <f ca="1">IFERROR(__xludf.DUMMYFUNCTION("""COMPUTED_VALUE"""),"Buscar el mecanismo para arrendarle las casas que se allanaron en el operativo del sector de Guadalupe a los comerciantes de la zona - Sec. de Seguridad")</f>
        <v>Buscar el mecanismo para arrendarle las casas que se allanaron en el operativo del sector de Guadalupe a los comerciantes de la zona - Sec. de Seguridad</v>
      </c>
      <c r="G122" s="55" t="str">
        <f ca="1">IFERROR(__xludf.DUMMYFUNCTION("""COMPUTED_VALUE"""),"08. Kennedy")</f>
        <v>08. Kennedy</v>
      </c>
      <c r="H122" s="55">
        <f ca="1">IFERROR(__xludf.DUMMYFUNCTION("""COMPUTED_VALUE"""),44417)</f>
        <v>44417</v>
      </c>
      <c r="I122" s="25"/>
      <c r="J122" s="55" t="str">
        <f ca="1">IFERROR(__xludf.DUMMYFUNCTION("""COMPUTED_VALUE"""),"Alta")</f>
        <v>Alta</v>
      </c>
      <c r="K122" s="25">
        <f ca="1">IFERROR(__xludf.DUMMYFUNCTION("""COMPUTED_VALUE"""),30)</f>
        <v>30</v>
      </c>
      <c r="L122" s="55">
        <f ca="1">IFERROR(__xludf.DUMMYFUNCTION("""COMPUTED_VALUE"""),44782)</f>
        <v>44782</v>
      </c>
      <c r="M122" s="25" t="str">
        <f ca="1">IFERROR(__xludf.DUMMYFUNCTION("""COMPUTED_VALUE"""),"Actualmente desde la Secretaría de Seguridad no se tiene conocimiento de solicitudes de destinación a la SAE por parte de entidades del distrito.")</f>
        <v>Actualmente desde la Secretaría de Seguridad no se tiene conocimiento de solicitudes de destinación a la SAE por parte de entidades del distrito.</v>
      </c>
      <c r="N122" s="55">
        <f ca="1">IFERROR(__xludf.DUMMYFUNCTION("""COMPUTED_VALUE"""),44782)</f>
        <v>44782</v>
      </c>
      <c r="O122" s="25" t="str">
        <f t="shared" ca="1" si="0"/>
        <v>Secretaría Distrital de Seguridad, Convivencia y Justicia</v>
      </c>
      <c r="P122" s="25" t="str">
        <f t="shared" si="1"/>
        <v/>
      </c>
      <c r="Q122" s="25" t="str">
        <f ca="1">IFERROR(__xludf.DUMMYFUNCTION("""COMPUTED_VALUE"""),"Corto plazo")</f>
        <v>Corto plazo</v>
      </c>
      <c r="R122" s="25"/>
      <c r="S122" s="55"/>
      <c r="T122" s="56"/>
      <c r="U122" s="25"/>
      <c r="V122" s="25"/>
      <c r="W122" s="25"/>
      <c r="X122" s="25"/>
      <c r="Y122" s="25"/>
      <c r="Z122" s="25"/>
    </row>
    <row r="123" spans="1:26" ht="52.5" customHeight="1" x14ac:dyDescent="0.25">
      <c r="A123" s="25" t="str">
        <f ca="1">IFERROR(__xludf.DUMMYFUNCTION("""COMPUTED_VALUE"""),"Segur121")</f>
        <v>Segur121</v>
      </c>
      <c r="B123" s="25" t="str">
        <f ca="1">IFERROR(__xludf.DUMMYFUNCTION("""COMPUTED_VALUE"""),"Posesión Secretario de Seguridad")</f>
        <v>Posesión Secretario de Seguridad</v>
      </c>
      <c r="C123" s="55">
        <f ca="1">IFERROR(__xludf.DUMMYFUNCTION("""COMPUTED_VALUE"""),44383)</f>
        <v>44383</v>
      </c>
      <c r="D123" s="25" t="str">
        <f ca="1">IFERROR(__xludf.DUMMYFUNCTION("""COMPUTED_VALUE"""),"Seguridad")</f>
        <v>Seguridad</v>
      </c>
      <c r="E123" s="25" t="str">
        <f ca="1">IFERROR(__xludf.DUMMYFUNCTION("""COMPUTED_VALUE"""),"Secretaría Distrital de Seguridad, Convivencia y Justicia")</f>
        <v>Secretaría Distrital de Seguridad, Convivencia y Justicia</v>
      </c>
      <c r="F123" s="25" t="str">
        <f ca="1">IFERROR(__xludf.DUMMYFUNCTION("""COMPUTED_VALUE"""),"Organizar reunión con el Ministerio del Interior para revisar que la regulación del robo de bicicletas salga desde el paquete legislativo del Gobierno.")</f>
        <v>Organizar reunión con el Ministerio del Interior para revisar que la regulación del robo de bicicletas salga desde el paquete legislativo del Gobierno.</v>
      </c>
      <c r="G123" s="25" t="str">
        <f ca="1">IFERROR(__xludf.DUMMYFUNCTION("""COMPUTED_VALUE"""),"99. Distrito")</f>
        <v>99. Distrito</v>
      </c>
      <c r="H123" s="55">
        <f ca="1">IFERROR(__xludf.DUMMYFUNCTION("""COMPUTED_VALUE"""),44413)</f>
        <v>44413</v>
      </c>
      <c r="I123" s="25"/>
      <c r="J123" s="55" t="str">
        <f ca="1">IFERROR(__xludf.DUMMYFUNCTION("""COMPUTED_VALUE"""),"Alta")</f>
        <v>Alta</v>
      </c>
      <c r="K123" s="25">
        <f ca="1">IFERROR(__xludf.DUMMYFUNCTION("""COMPUTED_VALUE"""),30)</f>
        <v>30</v>
      </c>
      <c r="L123" s="55">
        <f ca="1">IFERROR(__xludf.DUMMYFUNCTION("""COMPUTED_VALUE"""),44576)</f>
        <v>44576</v>
      </c>
      <c r="M123" s="25" t="str">
        <f ca="1">IFERROR(__xludf.DUMMYFUNCTION("""COMPUTED_VALUE"""),"En octubre 2021, la alcaldesa mayor entregó al Gobierno Nacional, una serie de propuestas para frenar la impunidad en delitos como el hurto a persona, particularmente cuando se genera violencia. Se propone atacar la reincidencia, la recurrencia, y que el "&amp;"hurto de minima cuantía se convierta en una contravención especial. Las propuestas quedaron plasmadas en el proyecto de Ley de Seguridad Ciudadana que actualmente cursa en el Congreso. ")</f>
        <v xml:space="preserve">En octubre 2021, la alcaldesa mayor entregó al Gobierno Nacional, una serie de propuestas para frenar la impunidad en delitos como el hurto a persona, particularmente cuando se genera violencia. Se propone atacar la reincidencia, la recurrencia, y que el hurto de minima cuantía se convierta en una contravención especial. Las propuestas quedaron plasmadas en el proyecto de Ley de Seguridad Ciudadana que actualmente cursa en el Congreso. </v>
      </c>
      <c r="N123" s="55">
        <f ca="1">IFERROR(__xludf.DUMMYFUNCTION("""COMPUTED_VALUE"""),44576)</f>
        <v>44576</v>
      </c>
      <c r="O123" s="25" t="str">
        <f t="shared" ca="1" si="0"/>
        <v>Secretaría Distrital de Seguridad, Convivencia y Justicia</v>
      </c>
      <c r="P123" s="25" t="str">
        <f t="shared" si="1"/>
        <v/>
      </c>
      <c r="Q123" s="25" t="str">
        <f ca="1">IFERROR(__xludf.DUMMYFUNCTION("""COMPUTED_VALUE"""),"Corto plazo")</f>
        <v>Corto plazo</v>
      </c>
      <c r="R123" s="25"/>
      <c r="S123" s="55"/>
      <c r="T123" s="56"/>
      <c r="U123" s="25"/>
      <c r="V123" s="25"/>
      <c r="W123" s="25"/>
      <c r="X123" s="25"/>
      <c r="Y123" s="25"/>
      <c r="Z123" s="25"/>
    </row>
    <row r="124" spans="1:26" ht="52.5" customHeight="1" x14ac:dyDescent="0.25">
      <c r="A124" s="25" t="str">
        <f ca="1">IFERROR(__xludf.DUMMYFUNCTION("""COMPUTED_VALUE"""),"Segur122")</f>
        <v>Segur122</v>
      </c>
      <c r="B124" s="25" t="str">
        <f ca="1">IFERROR(__xludf.DUMMYFUNCTION("""COMPUTED_VALUE"""),"Consejo de Seguridad ")</f>
        <v xml:space="preserve">Consejo de Seguridad </v>
      </c>
      <c r="C124" s="55">
        <f ca="1">IFERROR(__xludf.DUMMYFUNCTION("""COMPUTED_VALUE"""),44375)</f>
        <v>44375</v>
      </c>
      <c r="D124" s="25" t="str">
        <f ca="1">IFERROR(__xludf.DUMMYFUNCTION("""COMPUTED_VALUE"""),"Seguridad")</f>
        <v>Seguridad</v>
      </c>
      <c r="E124" s="25" t="str">
        <f ca="1">IFERROR(__xludf.DUMMYFUNCTION("""COMPUTED_VALUE"""),"Secretaría Distrital de Seguridad, Convivencia y Justicia")</f>
        <v>Secretaría Distrital de Seguridad, Convivencia y Justicia</v>
      </c>
      <c r="F124" s="25" t="str">
        <f ca="1">IFERROR(__xludf.DUMMYFUNCTION("""COMPUTED_VALUE"""),"Incluir a los análisis de los Consejos de Seguridad los delitos informáticos")</f>
        <v>Incluir a los análisis de los Consejos de Seguridad los delitos informáticos</v>
      </c>
      <c r="G124" s="25" t="str">
        <f ca="1">IFERROR(__xludf.DUMMYFUNCTION("""COMPUTED_VALUE"""),"99. Distrito")</f>
        <v>99. Distrito</v>
      </c>
      <c r="H124" s="55">
        <f ca="1">IFERROR(__xludf.DUMMYFUNCTION("""COMPUTED_VALUE"""),44405)</f>
        <v>44405</v>
      </c>
      <c r="I124" s="25"/>
      <c r="J124" s="55" t="str">
        <f ca="1">IFERROR(__xludf.DUMMYFUNCTION("""COMPUTED_VALUE"""),"Alta")</f>
        <v>Alta</v>
      </c>
      <c r="K124" s="25">
        <f ca="1">IFERROR(__xludf.DUMMYFUNCTION("""COMPUTED_VALUE"""),30)</f>
        <v>30</v>
      </c>
      <c r="L124" s="55">
        <f ca="1">IFERROR(__xludf.DUMMYFUNCTION("""COMPUTED_VALUE"""),44576)</f>
        <v>44576</v>
      </c>
      <c r="M124" s="25" t="str">
        <f ca="1">IFERROR(__xludf.DUMMYFUNCTION("""COMPUTED_VALUE"""),"Se creó el plan CUIDAdanos Virtuales, pero por datos del CAI virtual solo se pueden tener cosilidados por regiones cada 3 meses. Sin embargo, en los balances delictivos se han incluido estos delitos. ")</f>
        <v xml:space="preserve">Se creó el plan CUIDAdanos Virtuales, pero por datos del CAI virtual solo se pueden tener cosilidados por regiones cada 3 meses. Sin embargo, en los balances delictivos se han incluido estos delitos. </v>
      </c>
      <c r="N124" s="55">
        <f ca="1">IFERROR(__xludf.DUMMYFUNCTION("""COMPUTED_VALUE"""),44576)</f>
        <v>44576</v>
      </c>
      <c r="O124" s="25" t="str">
        <f t="shared" ca="1" si="0"/>
        <v>Secretaría Distrital de Seguridad, Convivencia y Justicia</v>
      </c>
      <c r="P124" s="25" t="str">
        <f t="shared" si="1"/>
        <v/>
      </c>
      <c r="Q124" s="25" t="str">
        <f ca="1">IFERROR(__xludf.DUMMYFUNCTION("""COMPUTED_VALUE"""),"Corto plazo")</f>
        <v>Corto plazo</v>
      </c>
      <c r="R124" s="25"/>
      <c r="S124" s="55"/>
      <c r="T124" s="56"/>
      <c r="U124" s="25"/>
      <c r="V124" s="25"/>
      <c r="W124" s="25"/>
      <c r="X124" s="25"/>
      <c r="Y124" s="25"/>
      <c r="Z124" s="25"/>
    </row>
    <row r="125" spans="1:26" ht="52.5" customHeight="1" x14ac:dyDescent="0.25">
      <c r="A125" s="25" t="str">
        <f ca="1">IFERROR(__xludf.DUMMYFUNCTION("""COMPUTED_VALUE"""),"Segur123")</f>
        <v>Segur123</v>
      </c>
      <c r="B125" s="25" t="str">
        <f ca="1">IFERROR(__xludf.DUMMYFUNCTION("""COMPUTED_VALUE"""),"Consejo de Seguridad ")</f>
        <v xml:space="preserve">Consejo de Seguridad </v>
      </c>
      <c r="C125" s="55">
        <f ca="1">IFERROR(__xludf.DUMMYFUNCTION("""COMPUTED_VALUE"""),44375)</f>
        <v>44375</v>
      </c>
      <c r="D125" s="25" t="str">
        <f ca="1">IFERROR(__xludf.DUMMYFUNCTION("""COMPUTED_VALUE"""),"Seguridad")</f>
        <v>Seguridad</v>
      </c>
      <c r="E125" s="25" t="str">
        <f ca="1">IFERROR(__xludf.DUMMYFUNCTION("""COMPUTED_VALUE"""),"Secretaría Distrital de Seguridad, Convivencia y Justicia")</f>
        <v>Secretaría Distrital de Seguridad, Convivencia y Justicia</v>
      </c>
      <c r="F125" s="25" t="str">
        <f ca="1">IFERROR(__xludf.DUMMYFUNCTION("""COMPUTED_VALUE"""),"la SCJ tendrá en el programa de Servicio social para la seguridad económica (TMC de RETO) a 2.000 jóvenes a través del convenio con la Subdirección para la juventud y les ofrecerá formación con las entidades con quienes haga convenios (sena u otras entida"&amp;"des)")</f>
        <v>la SCJ tendrá en el programa de Servicio social para la seguridad económica (TMC de RETO) a 2.000 jóvenes a través del convenio con la Subdirección para la juventud y les ofrecerá formación con las entidades con quienes haga convenios (sena u otras entidades)</v>
      </c>
      <c r="G125" s="25" t="str">
        <f ca="1">IFERROR(__xludf.DUMMYFUNCTION("""COMPUTED_VALUE"""),"99. Distrito")</f>
        <v>99. Distrito</v>
      </c>
      <c r="H125" s="55">
        <f ca="1">IFERROR(__xludf.DUMMYFUNCTION("""COMPUTED_VALUE"""),44405)</f>
        <v>44405</v>
      </c>
      <c r="I125" s="25"/>
      <c r="J125" s="55" t="str">
        <f ca="1">IFERROR(__xludf.DUMMYFUNCTION("""COMPUTED_VALUE"""),"Alta")</f>
        <v>Alta</v>
      </c>
      <c r="K125" s="25">
        <f ca="1">IFERROR(__xludf.DUMMYFUNCTION("""COMPUTED_VALUE"""),30)</f>
        <v>30</v>
      </c>
      <c r="L125" s="55">
        <f ca="1">IFERROR(__xludf.DUMMYFUNCTION("""COMPUTED_VALUE"""),44638)</f>
        <v>44638</v>
      </c>
      <c r="M125" s="25" t="str">
        <f ca="1">IFERROR(__xludf.DUMMYFUNCTION("""COMPUTED_VALUE"""),"Se firma el acta el 1 de noviembre del 2021 y se asignó 300 jovenes para la SSCJ los cuales se destinaron de la siguiente manera: 215 dirección de prevención, 85 acceso a la justicia. Actualmente se está ejecutando el programa y estos jóvenes terminan su "&amp;"servicio la segunda semana de junio. ")</f>
        <v xml:space="preserve">Se firma el acta el 1 de noviembre del 2021 y se asignó 300 jovenes para la SSCJ los cuales se destinaron de la siguiente manera: 215 dirección de prevención, 85 acceso a la justicia. Actualmente se está ejecutando el programa y estos jóvenes terminan su servicio la segunda semana de junio. </v>
      </c>
      <c r="N125" s="55">
        <f ca="1">IFERROR(__xludf.DUMMYFUNCTION("""COMPUTED_VALUE"""),44638)</f>
        <v>44638</v>
      </c>
      <c r="O125" s="25" t="str">
        <f t="shared" ca="1" si="0"/>
        <v>Secretaría Distrital de Seguridad, Convivencia y Justicia</v>
      </c>
      <c r="P125" s="25" t="str">
        <f t="shared" si="1"/>
        <v/>
      </c>
      <c r="Q125" s="25" t="str">
        <f ca="1">IFERROR(__xludf.DUMMYFUNCTION("""COMPUTED_VALUE"""),"Corto plazo")</f>
        <v>Corto plazo</v>
      </c>
      <c r="R125" s="25"/>
      <c r="S125" s="55"/>
      <c r="T125" s="56"/>
      <c r="U125" s="25"/>
      <c r="V125" s="25"/>
      <c r="W125" s="25"/>
      <c r="X125" s="25"/>
      <c r="Y125" s="25"/>
      <c r="Z125" s="25"/>
    </row>
    <row r="126" spans="1:26" ht="52.5" customHeight="1" x14ac:dyDescent="0.25">
      <c r="A126" s="25" t="str">
        <f ca="1">IFERROR(__xludf.DUMMYFUNCTION("""COMPUTED_VALUE"""),"Segur124")</f>
        <v>Segur124</v>
      </c>
      <c r="B126" s="25" t="str">
        <f ca="1">IFERROR(__xludf.DUMMYFUNCTION("""COMPUTED_VALUE"""),"Consejo de Seguridad")</f>
        <v>Consejo de Seguridad</v>
      </c>
      <c r="C126" s="55">
        <f ca="1">IFERROR(__xludf.DUMMYFUNCTION("""COMPUTED_VALUE"""),44375)</f>
        <v>44375</v>
      </c>
      <c r="D126" s="25" t="str">
        <f ca="1">IFERROR(__xludf.DUMMYFUNCTION("""COMPUTED_VALUE"""),"Seguridad")</f>
        <v>Seguridad</v>
      </c>
      <c r="E126" s="25" t="str">
        <f ca="1">IFERROR(__xludf.DUMMYFUNCTION("""COMPUTED_VALUE"""),"Secretaría Distrital de Seguridad, Convivencia y Justicia")</f>
        <v>Secretaría Distrital de Seguridad, Convivencia y Justicia</v>
      </c>
      <c r="F126" s="25" t="str">
        <f ca="1">IFERROR(__xludf.DUMMYFUNCTION("""COMPUTED_VALUE"""),"Incluir dentro de los patrullando sociales al IDU")</f>
        <v>Incluir dentro de los patrullando sociales al IDU</v>
      </c>
      <c r="G126" s="25" t="str">
        <f ca="1">IFERROR(__xludf.DUMMYFUNCTION("""COMPUTED_VALUE"""),"99. Distrito")</f>
        <v>99. Distrito</v>
      </c>
      <c r="H126" s="55">
        <f ca="1">IFERROR(__xludf.DUMMYFUNCTION("""COMPUTED_VALUE"""),44405)</f>
        <v>44405</v>
      </c>
      <c r="I126" s="25"/>
      <c r="J126" s="55" t="str">
        <f ca="1">IFERROR(__xludf.DUMMYFUNCTION("""COMPUTED_VALUE"""),"Alta")</f>
        <v>Alta</v>
      </c>
      <c r="K126" s="25">
        <f ca="1">IFERROR(__xludf.DUMMYFUNCTION("""COMPUTED_VALUE"""),30)</f>
        <v>30</v>
      </c>
      <c r="L126" s="55">
        <f ca="1">IFERROR(__xludf.DUMMYFUNCTION("""COMPUTED_VALUE"""),44576)</f>
        <v>44576</v>
      </c>
      <c r="M126" s="25" t="str">
        <f ca="1">IFERROR(__xludf.DUMMYFUNCTION("""COMPUTED_VALUE"""),"El IDU fue incluido en la convocatoria a los Patrullando")</f>
        <v>El IDU fue incluido en la convocatoria a los Patrullando</v>
      </c>
      <c r="N126" s="55">
        <f ca="1">IFERROR(__xludf.DUMMYFUNCTION("""COMPUTED_VALUE"""),44576)</f>
        <v>44576</v>
      </c>
      <c r="O126" s="25" t="str">
        <f t="shared" ca="1" si="0"/>
        <v>Secretaría Distrital de Seguridad, Convivencia y Justicia</v>
      </c>
      <c r="P126" s="25" t="str">
        <f t="shared" si="1"/>
        <v/>
      </c>
      <c r="Q126" s="25" t="str">
        <f ca="1">IFERROR(__xludf.DUMMYFUNCTION("""COMPUTED_VALUE"""),"Corto plazo")</f>
        <v>Corto plazo</v>
      </c>
      <c r="R126" s="25"/>
      <c r="S126" s="55"/>
      <c r="T126" s="56"/>
      <c r="U126" s="25"/>
      <c r="V126" s="25"/>
      <c r="W126" s="25"/>
      <c r="X126" s="25"/>
      <c r="Y126" s="25"/>
      <c r="Z126" s="25"/>
    </row>
    <row r="127" spans="1:26" ht="52.5" customHeight="1" x14ac:dyDescent="0.25">
      <c r="A127" s="25" t="str">
        <f ca="1">IFERROR(__xludf.DUMMYFUNCTION("""COMPUTED_VALUE"""),"Segur125")</f>
        <v>Segur125</v>
      </c>
      <c r="B127" s="25" t="str">
        <f ca="1">IFERROR(__xludf.DUMMYFUNCTION("""COMPUTED_VALUE"""),"Recorrido Fontibón")</f>
        <v>Recorrido Fontibón</v>
      </c>
      <c r="C127" s="55">
        <f ca="1">IFERROR(__xludf.DUMMYFUNCTION("""COMPUTED_VALUE"""),44373)</f>
        <v>44373</v>
      </c>
      <c r="D127" s="25" t="str">
        <f ca="1">IFERROR(__xludf.DUMMYFUNCTION("""COMPUTED_VALUE"""),"Seguridad")</f>
        <v>Seguridad</v>
      </c>
      <c r="E127" s="25" t="str">
        <f ca="1">IFERROR(__xludf.DUMMYFUNCTION("""COMPUTED_VALUE"""),"Unidad Administrativa Especial Cuerpo Oficial de Bomberos")</f>
        <v>Unidad Administrativa Especial Cuerpo Oficial de Bomberos</v>
      </c>
      <c r="F127" s="25" t="str">
        <f ca="1">IFERROR(__xludf.DUMMYFUNCTION("""COMPUTED_VALUE"""),"Bomberos debe sacar un comodato para pasar el predio del punto vive digital de la plaza Fundacional de Fontibón a la Alcaldía local. 
La alcaldía local de Fontibón, con el apoyo de la Secretaría de Cultura, debe hacer adecuación de punto vive digital e"&amp;"n la plaza fundacional de Fontibón, para que se convierta en una biblioteca. 
")</f>
        <v xml:space="preserve">Bomberos debe sacar un comodato para pasar el predio del punto vive digital de la plaza Fundacional de Fontibón a la Alcaldía local. 
La alcaldía local de Fontibón, con el apoyo de la Secretaría de Cultura, debe hacer adecuación de punto vive digital en la plaza fundacional de Fontibón, para que se convierta en una biblioteca. 
</v>
      </c>
      <c r="G127" s="55" t="str">
        <f ca="1">IFERROR(__xludf.DUMMYFUNCTION("""COMPUTED_VALUE"""),"09. Fontibón")</f>
        <v>09. Fontibón</v>
      </c>
      <c r="H127" s="55">
        <f ca="1">IFERROR(__xludf.DUMMYFUNCTION("""COMPUTED_VALUE"""),44403)</f>
        <v>44403</v>
      </c>
      <c r="I127" s="25"/>
      <c r="J127" s="55" t="str">
        <f ca="1">IFERROR(__xludf.DUMMYFUNCTION("""COMPUTED_VALUE"""),"Alta")</f>
        <v>Alta</v>
      </c>
      <c r="K127" s="25">
        <f ca="1">IFERROR(__xludf.DUMMYFUNCTION("""COMPUTED_VALUE"""),30)</f>
        <v>30</v>
      </c>
      <c r="L127" s="55">
        <f ca="1">IFERROR(__xludf.DUMMYFUNCTION("""COMPUTED_VALUE"""),44635)</f>
        <v>44635</v>
      </c>
      <c r="M127" s="25" t="str">
        <f ca="1">IFERROR(__xludf.DUMMYFUNCTION("""COMPUTED_VALUE"""),"De conformidad con las observaciones remitidas por la Alcaldía Local de Fontibón, la UAE Cuerpo Oficial de Bomberos no puede adelantar un comodato, teniendo en cuenta que el predio fue entregado materialmente al DADEP y a la Alcaldía Local de Fontibón el "&amp;"25 de septiembre de 2015, y actualmente se deberá realizar el correspondiente saneamiento y actualización catastral a fin de que el DADEP proceda a realizar la entrega a la Alcaldía Local de Fontibón. ")</f>
        <v xml:space="preserve">De conformidad con las observaciones remitidas por la Alcaldía Local de Fontibón, la UAE Cuerpo Oficial de Bomberos no puede adelantar un comodato, teniendo en cuenta que el predio fue entregado materialmente al DADEP y a la Alcaldía Local de Fontibón el 25 de septiembre de 2015, y actualmente se deberá realizar el correspondiente saneamiento y actualización catastral a fin de que el DADEP proceda a realizar la entrega a la Alcaldía Local de Fontibón. </v>
      </c>
      <c r="N127" s="55">
        <f ca="1">IFERROR(__xludf.DUMMYFUNCTION("""COMPUTED_VALUE"""),44635)</f>
        <v>44635</v>
      </c>
      <c r="O127" s="25" t="str">
        <f t="shared" ca="1" si="0"/>
        <v>Unidad Administrativa Especial Cuerpo Oficial de Bomberos</v>
      </c>
      <c r="P127" s="25" t="str">
        <f t="shared" si="1"/>
        <v/>
      </c>
      <c r="Q127" s="25" t="str">
        <f ca="1">IFERROR(__xludf.DUMMYFUNCTION("""COMPUTED_VALUE"""),"Corto plazo")</f>
        <v>Corto plazo</v>
      </c>
      <c r="R127" s="25"/>
      <c r="S127" s="55"/>
      <c r="T127" s="56"/>
      <c r="U127" s="25"/>
      <c r="V127" s="25"/>
      <c r="W127" s="25"/>
      <c r="X127" s="25"/>
      <c r="Y127" s="25"/>
      <c r="Z127" s="25"/>
    </row>
    <row r="128" spans="1:26" ht="52.5" customHeight="1" x14ac:dyDescent="0.25">
      <c r="A128" s="25" t="str">
        <f ca="1">IFERROR(__xludf.DUMMYFUNCTION("""COMPUTED_VALUE"""),"Segur126")</f>
        <v>Segur126</v>
      </c>
      <c r="B128" s="25" t="str">
        <f ca="1">IFERROR(__xludf.DUMMYFUNCTION("""COMPUTED_VALUE"""),"Cable San Cristóbal")</f>
        <v>Cable San Cristóbal</v>
      </c>
      <c r="C128" s="55">
        <f ca="1">IFERROR(__xludf.DUMMYFUNCTION("""COMPUTED_VALUE"""),44370)</f>
        <v>44370</v>
      </c>
      <c r="D128" s="25" t="str">
        <f ca="1">IFERROR(__xludf.DUMMYFUNCTION("""COMPUTED_VALUE"""),"Seguridad")</f>
        <v>Seguridad</v>
      </c>
      <c r="E128" s="25" t="str">
        <f ca="1">IFERROR(__xludf.DUMMYFUNCTION("""COMPUTED_VALUE"""),"Secretaría Distrital de Seguridad, Convivencia y Justicia")</f>
        <v>Secretaría Distrital de Seguridad, Convivencia y Justicia</v>
      </c>
      <c r="F128" s="25" t="str">
        <f ca="1">IFERROR(__xludf.DUMMYFUNCTION("""COMPUTED_VALUE"""),"Establecer los frentes de seguridad, redes de cuidado y plan especial de seguridad de manera que tenga los predios organizados para la demolición y posterior recolección de los escombros no se conviertan en un problema de seguridad.")</f>
        <v>Establecer los frentes de seguridad, redes de cuidado y plan especial de seguridad de manera que tenga los predios organizados para la demolición y posterior recolección de los escombros no se conviertan en un problema de seguridad.</v>
      </c>
      <c r="G128" s="25" t="str">
        <f ca="1">IFERROR(__xludf.DUMMYFUNCTION("""COMPUTED_VALUE"""),"04. San Cristóbal")</f>
        <v>04. San Cristóbal</v>
      </c>
      <c r="H128" s="55">
        <f ca="1">IFERROR(__xludf.DUMMYFUNCTION("""COMPUTED_VALUE"""),44400)</f>
        <v>44400</v>
      </c>
      <c r="I128" s="25"/>
      <c r="J128" s="55" t="str">
        <f ca="1">IFERROR(__xludf.DUMMYFUNCTION("""COMPUTED_VALUE"""),"Alta")</f>
        <v>Alta</v>
      </c>
      <c r="K128" s="25">
        <f ca="1">IFERROR(__xludf.DUMMYFUNCTION("""COMPUTED_VALUE"""),30)</f>
        <v>30</v>
      </c>
      <c r="L128" s="55">
        <f ca="1">IFERROR(__xludf.DUMMYFUNCTION("""COMPUTED_VALUE"""),44561)</f>
        <v>44561</v>
      </c>
      <c r="M128" s="25" t="str">
        <f ca="1">IFERROR(__xludf.DUMMYFUNCTION("""COMPUTED_VALUE"""),"Bogotá tiene 1.535 Frentes de Seguridad Local activos: en 2022 se hicieron 89 acompañamientos para el fortalecimiento y 42 para la creación. San Cristóbal por su parte, tiene 45 Frentes de Seguridad y 58 Redes de Cuidado.
Comercial: 1
Entorno de confian"&amp;"za / En Bici nos cuidamos: 1
Entorno de confianza en sector educativo: 1
Entorno de confianza en parques: 6
Mujeres: 4
Vecinal / barrial: 45
Además, hemos entregado 2 soluciones tecnológicas a la comunidad de la localidad: 1 Red de Cuidado y 1 Frente"&amp;" de Seguridad. En toda la ciudad, hemos entregado 92 kits de seguridad a 72 Redes de Cuidado y 20 Frentes de Seguridad.
")</f>
        <v xml:space="preserve">Bogotá tiene 1.535 Frentes de Seguridad Local activos: en 2022 se hicieron 89 acompañamientos para el fortalecimiento y 42 para la creación. San Cristóbal por su parte, tiene 45 Frentes de Seguridad y 58 Redes de Cuidado.
Comercial: 1
Entorno de confianza / En Bici nos cuidamos: 1
Entorno de confianza en sector educativo: 1
Entorno de confianza en parques: 6
Mujeres: 4
Vecinal / barrial: 45
Además, hemos entregado 2 soluciones tecnológicas a la comunidad de la localidad: 1 Red de Cuidado y 1 Frente de Seguridad. En toda la ciudad, hemos entregado 92 kits de seguridad a 72 Redes de Cuidado y 20 Frentes de Seguridad.
</v>
      </c>
      <c r="N128" s="55">
        <f ca="1">IFERROR(__xludf.DUMMYFUNCTION("""COMPUTED_VALUE"""),44561)</f>
        <v>44561</v>
      </c>
      <c r="O128" s="25" t="str">
        <f t="shared" ca="1" si="0"/>
        <v>Secretaría Distrital de Seguridad, Convivencia y Justicia</v>
      </c>
      <c r="P128" s="25" t="str">
        <f t="shared" si="1"/>
        <v/>
      </c>
      <c r="Q128" s="25" t="str">
        <f ca="1">IFERROR(__xludf.DUMMYFUNCTION("""COMPUTED_VALUE"""),"Corto plazo")</f>
        <v>Corto plazo</v>
      </c>
      <c r="R128" s="25"/>
      <c r="S128" s="55"/>
      <c r="T128" s="56"/>
      <c r="U128" s="25"/>
      <c r="V128" s="25"/>
      <c r="W128" s="25"/>
      <c r="X128" s="25"/>
      <c r="Y128" s="25"/>
      <c r="Z128" s="25"/>
    </row>
    <row r="129" spans="1:26" ht="52.5" customHeight="1" x14ac:dyDescent="0.25">
      <c r="A129" s="25" t="str">
        <f ca="1">IFERROR(__xludf.DUMMYFUNCTION("""COMPUTED_VALUE"""),"Segur127")</f>
        <v>Segur127</v>
      </c>
      <c r="B129" s="25" t="str">
        <f ca="1">IFERROR(__xludf.DUMMYFUNCTION("""COMPUTED_VALUE"""),"Consejo de Seguridad")</f>
        <v>Consejo de Seguridad</v>
      </c>
      <c r="C129" s="55">
        <f ca="1">IFERROR(__xludf.DUMMYFUNCTION("""COMPUTED_VALUE"""),44369)</f>
        <v>44369</v>
      </c>
      <c r="D129" s="25" t="str">
        <f ca="1">IFERROR(__xludf.DUMMYFUNCTION("""COMPUTED_VALUE"""),"Seguridad")</f>
        <v>Seguridad</v>
      </c>
      <c r="E129" s="25" t="str">
        <f ca="1">IFERROR(__xludf.DUMMYFUNCTION("""COMPUTED_VALUE"""),"Secretaría Distrital de Seguridad, Convivencia y Justicia")</f>
        <v>Secretaría Distrital de Seguridad, Convivencia y Justicia</v>
      </c>
      <c r="F129" s="25" t="str">
        <f ca="1">IFERROR(__xludf.DUMMYFUNCTION("""COMPUTED_VALUE"""),"Solicitar refuerzos a la Dirección General de la Policía para seguridad y convivencia
")</f>
        <v xml:space="preserve">Solicitar refuerzos a la Dirección General de la Policía para seguridad y convivencia
</v>
      </c>
      <c r="G129" s="25" t="str">
        <f ca="1">IFERROR(__xludf.DUMMYFUNCTION("""COMPUTED_VALUE"""),"99. Distrito")</f>
        <v>99. Distrito</v>
      </c>
      <c r="H129" s="55">
        <f ca="1">IFERROR(__xludf.DUMMYFUNCTION("""COMPUTED_VALUE"""),44399)</f>
        <v>44399</v>
      </c>
      <c r="I129" s="25"/>
      <c r="J129" s="55" t="str">
        <f ca="1">IFERROR(__xludf.DUMMYFUNCTION("""COMPUTED_VALUE"""),"Alta")</f>
        <v>Alta</v>
      </c>
      <c r="K129" s="25">
        <f ca="1">IFERROR(__xludf.DUMMYFUNCTION("""COMPUTED_VALUE"""),30)</f>
        <v>30</v>
      </c>
      <c r="L129" s="55">
        <f ca="1">IFERROR(__xludf.DUMMYFUNCTION("""COMPUTED_VALUE"""),44576)</f>
        <v>44576</v>
      </c>
      <c r="M129" s="25" t="str">
        <f ca="1">IFERROR(__xludf.DUMMYFUNCTION("""COMPUTED_VALUE"""),"Se firmó el convenio con la Policía Nacional para el apoyo por incentivos a la incorporación para 1500 policías. Adicionalmente se aumentó el pie de fuerza hasta el mes de enero de 2022 en el plan de Intervención.")</f>
        <v>Se firmó el convenio con la Policía Nacional para el apoyo por incentivos a la incorporación para 1500 policías. Adicionalmente se aumentó el pie de fuerza hasta el mes de enero de 2022 en el plan de Intervención.</v>
      </c>
      <c r="N129" s="55">
        <f ca="1">IFERROR(__xludf.DUMMYFUNCTION("""COMPUTED_VALUE"""),44576)</f>
        <v>44576</v>
      </c>
      <c r="O129" s="25" t="str">
        <f t="shared" ca="1" si="0"/>
        <v>Secretaría Distrital de Seguridad, Convivencia y Justicia</v>
      </c>
      <c r="P129" s="25" t="str">
        <f t="shared" si="1"/>
        <v/>
      </c>
      <c r="Q129" s="25" t="str">
        <f ca="1">IFERROR(__xludf.DUMMYFUNCTION("""COMPUTED_VALUE"""),"Corto plazo")</f>
        <v>Corto plazo</v>
      </c>
      <c r="R129" s="25"/>
      <c r="S129" s="55"/>
      <c r="T129" s="56"/>
      <c r="U129" s="25"/>
      <c r="V129" s="25"/>
      <c r="W129" s="25"/>
      <c r="X129" s="25"/>
      <c r="Y129" s="25"/>
      <c r="Z129" s="25"/>
    </row>
    <row r="130" spans="1:26" ht="52.5" customHeight="1" x14ac:dyDescent="0.25">
      <c r="A130" s="25" t="str">
        <f ca="1">IFERROR(__xludf.DUMMYFUNCTION("""COMPUTED_VALUE"""),"Segur128")</f>
        <v>Segur128</v>
      </c>
      <c r="B130" s="25" t="str">
        <f ca="1">IFERROR(__xludf.DUMMYFUNCTION("""COMPUTED_VALUE"""),"Consejo de Seguridad")</f>
        <v>Consejo de Seguridad</v>
      </c>
      <c r="C130" s="55">
        <f ca="1">IFERROR(__xludf.DUMMYFUNCTION("""COMPUTED_VALUE"""),44369)</f>
        <v>44369</v>
      </c>
      <c r="D130" s="25" t="str">
        <f ca="1">IFERROR(__xludf.DUMMYFUNCTION("""COMPUTED_VALUE"""),"Seguridad")</f>
        <v>Seguridad</v>
      </c>
      <c r="E130" s="25" t="str">
        <f ca="1">IFERROR(__xludf.DUMMYFUNCTION("""COMPUTED_VALUE"""),"Secretaría Distrital de Seguridad, Convivencia y Justicia")</f>
        <v>Secretaría Distrital de Seguridad, Convivencia y Justicia</v>
      </c>
      <c r="F130" s="25" t="str">
        <f ca="1">IFERROR(__xludf.DUMMYFUNCTION("""COMPUTED_VALUE"""),"Presentar un plan claro sobre el personal destinado a las protestas y personal destinado a Seguridad y Convivencia. 
")</f>
        <v xml:space="preserve">Presentar un plan claro sobre el personal destinado a las protestas y personal destinado a Seguridad y Convivencia. 
</v>
      </c>
      <c r="G130" s="25" t="str">
        <f ca="1">IFERROR(__xludf.DUMMYFUNCTION("""COMPUTED_VALUE"""),"99. Distrito")</f>
        <v>99. Distrito</v>
      </c>
      <c r="H130" s="55">
        <f ca="1">IFERROR(__xludf.DUMMYFUNCTION("""COMPUTED_VALUE"""),44399)</f>
        <v>44399</v>
      </c>
      <c r="I130" s="25"/>
      <c r="J130" s="55" t="str">
        <f ca="1">IFERROR(__xludf.DUMMYFUNCTION("""COMPUTED_VALUE"""),"Alta")</f>
        <v>Alta</v>
      </c>
      <c r="K130" s="25">
        <f ca="1">IFERROR(__xludf.DUMMYFUNCTION("""COMPUTED_VALUE"""),30)</f>
        <v>30</v>
      </c>
      <c r="L130" s="55">
        <f ca="1">IFERROR(__xludf.DUMMYFUNCTION("""COMPUTED_VALUE"""),44576)</f>
        <v>44576</v>
      </c>
      <c r="M130" s="25" t="str">
        <f ca="1">IFERROR(__xludf.DUMMYFUNCTION("""COMPUTED_VALUE"""),"Esta información fue presentada en el Consejo de Seguridad de la tercera semana de Julio, al que asistieron los ministros del Interior y de Defensa")</f>
        <v>Esta información fue presentada en el Consejo de Seguridad de la tercera semana de Julio, al que asistieron los ministros del Interior y de Defensa</v>
      </c>
      <c r="N130" s="55">
        <f ca="1">IFERROR(__xludf.DUMMYFUNCTION("""COMPUTED_VALUE"""),44576)</f>
        <v>44576</v>
      </c>
      <c r="O130" s="25" t="str">
        <f t="shared" ca="1" si="0"/>
        <v>Secretaría Distrital de Seguridad, Convivencia y Justicia</v>
      </c>
      <c r="P130" s="25" t="str">
        <f t="shared" si="1"/>
        <v/>
      </c>
      <c r="Q130" s="25" t="str">
        <f ca="1">IFERROR(__xludf.DUMMYFUNCTION("""COMPUTED_VALUE"""),"Corto plazo")</f>
        <v>Corto plazo</v>
      </c>
      <c r="R130" s="25"/>
      <c r="S130" s="55"/>
      <c r="T130" s="56"/>
      <c r="U130" s="25"/>
      <c r="V130" s="25"/>
      <c r="W130" s="25"/>
      <c r="X130" s="25"/>
      <c r="Y130" s="25"/>
      <c r="Z130" s="25"/>
    </row>
    <row r="131" spans="1:26" ht="52.5" customHeight="1" x14ac:dyDescent="0.25">
      <c r="A131" s="25" t="str">
        <f ca="1">IFERROR(__xludf.DUMMYFUNCTION("""COMPUTED_VALUE"""),"Segur129")</f>
        <v>Segur129</v>
      </c>
      <c r="B131" s="25" t="str">
        <f ca="1">IFERROR(__xludf.DUMMYFUNCTION("""COMPUTED_VALUE"""),"Consejo de Seguridad")</f>
        <v>Consejo de Seguridad</v>
      </c>
      <c r="C131" s="55">
        <f ca="1">IFERROR(__xludf.DUMMYFUNCTION("""COMPUTED_VALUE"""),44369)</f>
        <v>44369</v>
      </c>
      <c r="D131" s="25" t="str">
        <f ca="1">IFERROR(__xludf.DUMMYFUNCTION("""COMPUTED_VALUE"""),"Seguridad")</f>
        <v>Seguridad</v>
      </c>
      <c r="E131" s="25" t="str">
        <f ca="1">IFERROR(__xludf.DUMMYFUNCTION("""COMPUTED_VALUE"""),"Secretaría Distrital de Seguridad, Convivencia y Justicia")</f>
        <v>Secretaría Distrital de Seguridad, Convivencia y Justicia</v>
      </c>
      <c r="F131" s="25" t="str">
        <f ca="1">IFERROR(__xludf.DUMMYFUNCTION("""COMPUTED_VALUE"""),"Organizar una estrategia territorial para ofrecer los programas del Distrito")</f>
        <v>Organizar una estrategia territorial para ofrecer los programas del Distrito</v>
      </c>
      <c r="G131" s="25" t="str">
        <f ca="1">IFERROR(__xludf.DUMMYFUNCTION("""COMPUTED_VALUE"""),"99. Distrito")</f>
        <v>99. Distrito</v>
      </c>
      <c r="H131" s="55">
        <f ca="1">IFERROR(__xludf.DUMMYFUNCTION("""COMPUTED_VALUE"""),44399)</f>
        <v>44399</v>
      </c>
      <c r="I131" s="25"/>
      <c r="J131" s="55" t="str">
        <f ca="1">IFERROR(__xludf.DUMMYFUNCTION("""COMPUTED_VALUE"""),"Alta")</f>
        <v>Alta</v>
      </c>
      <c r="K131" s="25">
        <f ca="1">IFERROR(__xludf.DUMMYFUNCTION("""COMPUTED_VALUE"""),30)</f>
        <v>30</v>
      </c>
      <c r="L131" s="55">
        <f ca="1">IFERROR(__xludf.DUMMYFUNCTION("""COMPUTED_VALUE"""),44576)</f>
        <v>44576</v>
      </c>
      <c r="M131" s="25" t="str">
        <f ca="1">IFERROR(__xludf.DUMMYFUNCTION("""COMPUTED_VALUE"""),"Desde la Secretaría de Seguridad se cuenta con un equipo territorial que desarrolla acciones constantes en las localidades de manera permanente. Adicionalmente, este trabajo se fortalece con el desarrollo de la Estrategia Social de Patrullando, con el obj"&amp;"etivo de tener presencia en los territorios y dar alcance a la oferta del distrito para las comunidades.")</f>
        <v>Desde la Secretaría de Seguridad se cuenta con un equipo territorial que desarrolla acciones constantes en las localidades de manera permanente. Adicionalmente, este trabajo se fortalece con el desarrollo de la Estrategia Social de Patrullando, con el objetivo de tener presencia en los territorios y dar alcance a la oferta del distrito para las comunidades.</v>
      </c>
      <c r="N131" s="55">
        <f ca="1">IFERROR(__xludf.DUMMYFUNCTION("""COMPUTED_VALUE"""),44576)</f>
        <v>44576</v>
      </c>
      <c r="O131" s="25" t="str">
        <f t="shared" ca="1" si="0"/>
        <v>Secretaría Distrital de Seguridad, Convivencia y Justicia</v>
      </c>
      <c r="P131" s="25" t="str">
        <f t="shared" si="1"/>
        <v/>
      </c>
      <c r="Q131" s="25" t="str">
        <f ca="1">IFERROR(__xludf.DUMMYFUNCTION("""COMPUTED_VALUE"""),"Corto plazo")</f>
        <v>Corto plazo</v>
      </c>
      <c r="R131" s="25"/>
      <c r="S131" s="55"/>
      <c r="T131" s="56"/>
      <c r="U131" s="25"/>
      <c r="V131" s="25"/>
      <c r="W131" s="25"/>
      <c r="X131" s="25"/>
      <c r="Y131" s="25"/>
      <c r="Z131" s="25"/>
    </row>
    <row r="132" spans="1:26" ht="52.5" customHeight="1" x14ac:dyDescent="0.25">
      <c r="A132" s="25" t="str">
        <f ca="1">IFERROR(__xludf.DUMMYFUNCTION("""COMPUTED_VALUE"""),"Segur130")</f>
        <v>Segur130</v>
      </c>
      <c r="B132" s="25" t="str">
        <f ca="1">IFERROR(__xludf.DUMMYFUNCTION("""COMPUTED_VALUE"""),"Recorrido Antonio Nariño ")</f>
        <v xml:space="preserve">Recorrido Antonio Nariño </v>
      </c>
      <c r="C132" s="55">
        <f ca="1">IFERROR(__xludf.DUMMYFUNCTION("""COMPUTED_VALUE"""),44364)</f>
        <v>44364</v>
      </c>
      <c r="D132" s="25" t="str">
        <f ca="1">IFERROR(__xludf.DUMMYFUNCTION("""COMPUTED_VALUE"""),"Seguridad")</f>
        <v>Seguridad</v>
      </c>
      <c r="E132" s="25" t="str">
        <f ca="1">IFERROR(__xludf.DUMMYFUNCTION("""COMPUTED_VALUE"""),"Secretaría Distrital de Seguridad, Convivencia y Justicia")</f>
        <v>Secretaría Distrital de Seguridad, Convivencia y Justicia</v>
      </c>
      <c r="F132" s="25" t="str">
        <f ca="1">IFERROR(__xludf.DUMMYFUNCTION("""COMPUTED_VALUE"""),"Solicitar y verificar que la multa impuesta por el Código de Policía a los vendedores electos en los Consejos Locales de Vendedores Informales se conmute, para así garantizar su efectiva posesión.")</f>
        <v>Solicitar y verificar que la multa impuesta por el Código de Policía a los vendedores electos en los Consejos Locales de Vendedores Informales se conmute, para así garantizar su efectiva posesión.</v>
      </c>
      <c r="G132" s="55" t="str">
        <f ca="1">IFERROR(__xludf.DUMMYFUNCTION("""COMPUTED_VALUE"""),"15. Antonio Nariño")</f>
        <v>15. Antonio Nariño</v>
      </c>
      <c r="H132" s="55">
        <f ca="1">IFERROR(__xludf.DUMMYFUNCTION("""COMPUTED_VALUE"""),44394)</f>
        <v>44394</v>
      </c>
      <c r="I132" s="25"/>
      <c r="J132" s="55" t="str">
        <f ca="1">IFERROR(__xludf.DUMMYFUNCTION("""COMPUTED_VALUE"""),"Alta")</f>
        <v>Alta</v>
      </c>
      <c r="K132" s="25">
        <f ca="1">IFERROR(__xludf.DUMMYFUNCTION("""COMPUTED_VALUE"""),30)</f>
        <v>30</v>
      </c>
      <c r="L132" s="55">
        <f ca="1">IFERROR(__xludf.DUMMYFUNCTION("""COMPUTED_VALUE"""),44576)</f>
        <v>44576</v>
      </c>
      <c r="M132" s="25" t="str">
        <f ca="1">IFERROR(__xludf.DUMMYFUNCTION("""COMPUTED_VALUE"""),"El IPES emitió el siguiente concepto: ""en desarrollo del Artículo 10 del Decreto 092 de del 24 de marzo de 2021,  se podrían establecer las formas de Conmutación mediante múltiples Actividades a ejecutar por los sancionados"". La semana del 9 de agosto s"&amp;"e convocó una reunión con la SDG y la Secretaría Jurídica para revisar este tema. ")</f>
        <v xml:space="preserve">El IPES emitió el siguiente concepto: "en desarrollo del Artículo 10 del Decreto 092 de del 24 de marzo de 2021,  se podrían establecer las formas de Conmutación mediante múltiples Actividades a ejecutar por los sancionados". La semana del 9 de agosto se convocó una reunión con la SDG y la Secretaría Jurídica para revisar este tema. </v>
      </c>
      <c r="N132" s="55">
        <f ca="1">IFERROR(__xludf.DUMMYFUNCTION("""COMPUTED_VALUE"""),44576)</f>
        <v>44576</v>
      </c>
      <c r="O132" s="25" t="str">
        <f t="shared" ca="1" si="0"/>
        <v>Secretaría Distrital de Seguridad, Convivencia y Justicia</v>
      </c>
      <c r="P132" s="25" t="str">
        <f t="shared" si="1"/>
        <v/>
      </c>
      <c r="Q132" s="25" t="str">
        <f ca="1">IFERROR(__xludf.DUMMYFUNCTION("""COMPUTED_VALUE"""),"Corto plazo")</f>
        <v>Corto plazo</v>
      </c>
      <c r="R132" s="25"/>
      <c r="S132" s="55"/>
      <c r="T132" s="56"/>
      <c r="U132" s="25"/>
      <c r="V132" s="25"/>
      <c r="W132" s="25"/>
      <c r="X132" s="25"/>
      <c r="Y132" s="25"/>
      <c r="Z132" s="25"/>
    </row>
    <row r="133" spans="1:26" ht="52.5" customHeight="1" x14ac:dyDescent="0.25">
      <c r="A133" s="25" t="str">
        <f ca="1">IFERROR(__xludf.DUMMYFUNCTION("""COMPUTED_VALUE"""),"Segur131")</f>
        <v>Segur131</v>
      </c>
      <c r="B133" s="25" t="str">
        <f ca="1">IFERROR(__xludf.DUMMYFUNCTION("""COMPUTED_VALUE"""),"Recorrido Antonio Nariño ")</f>
        <v xml:space="preserve">Recorrido Antonio Nariño </v>
      </c>
      <c r="C133" s="55">
        <f ca="1">IFERROR(__xludf.DUMMYFUNCTION("""COMPUTED_VALUE"""),44364)</f>
        <v>44364</v>
      </c>
      <c r="D133" s="25" t="str">
        <f ca="1">IFERROR(__xludf.DUMMYFUNCTION("""COMPUTED_VALUE"""),"Seguridad")</f>
        <v>Seguridad</v>
      </c>
      <c r="E133" s="25" t="str">
        <f ca="1">IFERROR(__xludf.DUMMYFUNCTION("""COMPUTED_VALUE"""),"Secretaría Distrital de Seguridad, Convivencia y Justicia")</f>
        <v>Secretaría Distrital de Seguridad, Convivencia y Justicia</v>
      </c>
      <c r="F133" s="25" t="str">
        <f ca="1">IFERROR(__xludf.DUMMYFUNCTION("""COMPUTED_VALUE"""),"Evaluar la posibilidad de crear un nuevo cuadrante de la policía cercano al Centro Comercial Centro Mayor")</f>
        <v>Evaluar la posibilidad de crear un nuevo cuadrante de la policía cercano al Centro Comercial Centro Mayor</v>
      </c>
      <c r="G133" s="55" t="str">
        <f ca="1">IFERROR(__xludf.DUMMYFUNCTION("""COMPUTED_VALUE"""),"15. Antonio Nariño")</f>
        <v>15. Antonio Nariño</v>
      </c>
      <c r="H133" s="55">
        <f ca="1">IFERROR(__xludf.DUMMYFUNCTION("""COMPUTED_VALUE"""),44394)</f>
        <v>44394</v>
      </c>
      <c r="I133" s="25"/>
      <c r="J133" s="55" t="str">
        <f ca="1">IFERROR(__xludf.DUMMYFUNCTION("""COMPUTED_VALUE"""),"Alta")</f>
        <v>Alta</v>
      </c>
      <c r="K133" s="25">
        <f ca="1">IFERROR(__xludf.DUMMYFUNCTION("""COMPUTED_VALUE"""),30)</f>
        <v>30</v>
      </c>
      <c r="L133" s="55">
        <f ca="1">IFERROR(__xludf.DUMMYFUNCTION("""COMPUTED_VALUE"""),44576)</f>
        <v>44576</v>
      </c>
      <c r="M133" s="25" t="str">
        <f ca="1">IFERROR(__xludf.DUMMYFUNCTION("""COMPUTED_VALUE"""),"Se realiza seguimiento al respecto en la estación de policía de la localidad. La MEBOG indica que por capacidad de unidades no sería viable en la este momento, pues si bien sería un cuadrante más, la atención sería con el mismo número de Policías. Dado lo"&amp;" anterior, se estableció crear frente de seguridad con Comerciantes alrededor del Centro Comercial y tenemos cita con administración de Centro Mayor para invitar a que se sumen. La convocatoria para la creación de la red CUIDAdana ya está en marcha.")</f>
        <v>Se realiza seguimiento al respecto en la estación de policía de la localidad. La MEBOG indica que por capacidad de unidades no sería viable en la este momento, pues si bien sería un cuadrante más, la atención sería con el mismo número de Policías. Dado lo anterior, se estableció crear frente de seguridad con Comerciantes alrededor del Centro Comercial y tenemos cita con administración de Centro Mayor para invitar a que se sumen. La convocatoria para la creación de la red CUIDAdana ya está en marcha.</v>
      </c>
      <c r="N133" s="55">
        <f ca="1">IFERROR(__xludf.DUMMYFUNCTION("""COMPUTED_VALUE"""),44576)</f>
        <v>44576</v>
      </c>
      <c r="O133" s="25" t="str">
        <f t="shared" ca="1" si="0"/>
        <v>Secretaría Distrital de Seguridad, Convivencia y Justicia</v>
      </c>
      <c r="P133" s="25" t="str">
        <f t="shared" si="1"/>
        <v/>
      </c>
      <c r="Q133" s="25" t="str">
        <f ca="1">IFERROR(__xludf.DUMMYFUNCTION("""COMPUTED_VALUE"""),"Corto plazo")</f>
        <v>Corto plazo</v>
      </c>
      <c r="R133" s="25"/>
      <c r="S133" s="55"/>
      <c r="T133" s="56"/>
      <c r="U133" s="25"/>
      <c r="V133" s="25"/>
      <c r="W133" s="25"/>
      <c r="X133" s="25"/>
      <c r="Y133" s="25"/>
      <c r="Z133" s="25"/>
    </row>
    <row r="134" spans="1:26" ht="52.5" customHeight="1" x14ac:dyDescent="0.25">
      <c r="A134" s="25" t="str">
        <f ca="1">IFERROR(__xludf.DUMMYFUNCTION("""COMPUTED_VALUE"""),"Segur132")</f>
        <v>Segur132</v>
      </c>
      <c r="B134" s="25" t="str">
        <f ca="1">IFERROR(__xludf.DUMMYFUNCTION("""COMPUTED_VALUE"""),"Consejo Consultivo LGBTI ")</f>
        <v xml:space="preserve">Consejo Consultivo LGBTI </v>
      </c>
      <c r="C134" s="55">
        <f ca="1">IFERROR(__xludf.DUMMYFUNCTION("""COMPUTED_VALUE"""),44362)</f>
        <v>44362</v>
      </c>
      <c r="D134" s="25" t="str">
        <f ca="1">IFERROR(__xludf.DUMMYFUNCTION("""COMPUTED_VALUE"""),"Seguridad")</f>
        <v>Seguridad</v>
      </c>
      <c r="E134" s="25" t="str">
        <f ca="1">IFERROR(__xludf.DUMMYFUNCTION("""COMPUTED_VALUE"""),"Secretaría Distrital de Seguridad, Convivencia y Justicia")</f>
        <v>Secretaría Distrital de Seguridad, Convivencia y Justicia</v>
      </c>
      <c r="F134" s="25" t="str">
        <f ca="1">IFERROR(__xludf.DUMMYFUNCTION("""COMPUTED_VALUE"""),"Organizar formación en cátedra de género a la MEBOG (16,000 policías). La comunidad LGBT debe ser quien de estas capacitaciones. 
")</f>
        <v xml:space="preserve">Organizar formación en cátedra de género a la MEBOG (16,000 policías). La comunidad LGBT debe ser quien de estas capacitaciones. 
</v>
      </c>
      <c r="G134" s="25" t="str">
        <f ca="1">IFERROR(__xludf.DUMMYFUNCTION("""COMPUTED_VALUE"""),"99. Distrito")</f>
        <v>99. Distrito</v>
      </c>
      <c r="H134" s="55">
        <f ca="1">IFERROR(__xludf.DUMMYFUNCTION("""COMPUTED_VALUE"""),44392)</f>
        <v>44392</v>
      </c>
      <c r="I134" s="25"/>
      <c r="J134" s="55" t="str">
        <f ca="1">IFERROR(__xludf.DUMMYFUNCTION("""COMPUTED_VALUE"""),"Alta")</f>
        <v>Alta</v>
      </c>
      <c r="K134" s="25">
        <f ca="1">IFERROR(__xludf.DUMMYFUNCTION("""COMPUTED_VALUE"""),30)</f>
        <v>30</v>
      </c>
      <c r="L134" s="55">
        <f ca="1">IFERROR(__xludf.DUMMYFUNCTION("""COMPUTED_VALUE"""),44561)</f>
        <v>44561</v>
      </c>
      <c r="M134" s="25" t="str">
        <f ca="1">IFERROR(__xludf.DUMMYFUNCTION("""COMPUTED_VALUE"""),"Con la dirección de Derechos Humanos de la Policía Metropolitana de Bogotá con el Vigía LGBTI se avanzó en la creación de un módulo virtual de formación LGBTI para uniformados. Se espera el lanzamiento en el mes de enero de 2022.")</f>
        <v>Con la dirección de Derechos Humanos de la Policía Metropolitana de Bogotá con el Vigía LGBTI se avanzó en la creación de un módulo virtual de formación LGBTI para uniformados. Se espera el lanzamiento en el mes de enero de 2022.</v>
      </c>
      <c r="N134" s="55">
        <f ca="1">IFERROR(__xludf.DUMMYFUNCTION("""COMPUTED_VALUE"""),44561)</f>
        <v>44561</v>
      </c>
      <c r="O134" s="25" t="str">
        <f t="shared" ca="1" si="0"/>
        <v>Secretaría Distrital de Seguridad, Convivencia y Justicia</v>
      </c>
      <c r="P134" s="25" t="str">
        <f t="shared" si="1"/>
        <v/>
      </c>
      <c r="Q134" s="25" t="str">
        <f ca="1">IFERROR(__xludf.DUMMYFUNCTION("""COMPUTED_VALUE"""),"Corto plazo")</f>
        <v>Corto plazo</v>
      </c>
      <c r="R134" s="25"/>
      <c r="S134" s="55"/>
      <c r="T134" s="56"/>
      <c r="U134" s="25"/>
      <c r="V134" s="25"/>
      <c r="W134" s="25"/>
      <c r="X134" s="25"/>
      <c r="Y134" s="25"/>
      <c r="Z134" s="25"/>
    </row>
    <row r="135" spans="1:26" ht="52.5" customHeight="1" x14ac:dyDescent="0.25">
      <c r="A135" s="25" t="str">
        <f ca="1">IFERROR(__xludf.DUMMYFUNCTION("""COMPUTED_VALUE"""),"Segur133")</f>
        <v>Segur133</v>
      </c>
      <c r="B135" s="25" t="str">
        <f ca="1">IFERROR(__xludf.DUMMYFUNCTION("""COMPUTED_VALUE"""),"Consejo Consultivo LGBTI ")</f>
        <v xml:space="preserve">Consejo Consultivo LGBTI </v>
      </c>
      <c r="C135" s="55">
        <f ca="1">IFERROR(__xludf.DUMMYFUNCTION("""COMPUTED_VALUE"""),44362)</f>
        <v>44362</v>
      </c>
      <c r="D135" s="25" t="str">
        <f ca="1">IFERROR(__xludf.DUMMYFUNCTION("""COMPUTED_VALUE"""),"Seguridad")</f>
        <v>Seguridad</v>
      </c>
      <c r="E135" s="25" t="str">
        <f ca="1">IFERROR(__xludf.DUMMYFUNCTION("""COMPUTED_VALUE"""),"Secretaría Distrital de Seguridad, Convivencia y Justicia")</f>
        <v>Secretaría Distrital de Seguridad, Convivencia y Justicia</v>
      </c>
      <c r="F135" s="25" t="str">
        <f ca="1">IFERROR(__xludf.DUMMYFUNCTION("""COMPUTED_VALUE"""),"Tener un miembro permanente en el Consejo de Seguridad de la comunidad LGBTI. Dirección de diversidad Sexual puede proponer a este miembro. ")</f>
        <v xml:space="preserve">Tener un miembro permanente en el Consejo de Seguridad de la comunidad LGBTI. Dirección de diversidad Sexual puede proponer a este miembro. </v>
      </c>
      <c r="G135" s="25" t="str">
        <f ca="1">IFERROR(__xludf.DUMMYFUNCTION("""COMPUTED_VALUE"""),"99. Distrito")</f>
        <v>99. Distrito</v>
      </c>
      <c r="H135" s="55">
        <f ca="1">IFERROR(__xludf.DUMMYFUNCTION("""COMPUTED_VALUE"""),44392)</f>
        <v>44392</v>
      </c>
      <c r="I135" s="25"/>
      <c r="J135" s="55" t="str">
        <f ca="1">IFERROR(__xludf.DUMMYFUNCTION("""COMPUTED_VALUE"""),"Alta")</f>
        <v>Alta</v>
      </c>
      <c r="K135" s="25">
        <f ca="1">IFERROR(__xludf.DUMMYFUNCTION("""COMPUTED_VALUE"""),30)</f>
        <v>30</v>
      </c>
      <c r="L135" s="55">
        <f ca="1">IFERROR(__xludf.DUMMYFUNCTION("""COMPUTED_VALUE"""),44576)</f>
        <v>44576</v>
      </c>
      <c r="M135" s="25" t="str">
        <f ca="1">IFERROR(__xludf.DUMMYFUNCTION("""COMPUTED_VALUE"""),"La Secretaría de Seguridad vinculó un vigía LGTBI, quien participa en los Consejos Distritales de Seguridad")</f>
        <v>La Secretaría de Seguridad vinculó un vigía LGTBI, quien participa en los Consejos Distritales de Seguridad</v>
      </c>
      <c r="N135" s="55">
        <f ca="1">IFERROR(__xludf.DUMMYFUNCTION("""COMPUTED_VALUE"""),44576)</f>
        <v>44576</v>
      </c>
      <c r="O135" s="25" t="str">
        <f t="shared" ca="1" si="0"/>
        <v>Secretaría Distrital de Seguridad, Convivencia y Justicia</v>
      </c>
      <c r="P135" s="25" t="str">
        <f t="shared" si="1"/>
        <v/>
      </c>
      <c r="Q135" s="25" t="str">
        <f ca="1">IFERROR(__xludf.DUMMYFUNCTION("""COMPUTED_VALUE"""),"Corto plazo")</f>
        <v>Corto plazo</v>
      </c>
      <c r="R135" s="25"/>
      <c r="S135" s="55"/>
      <c r="T135" s="56"/>
      <c r="U135" s="25"/>
      <c r="V135" s="25"/>
      <c r="W135" s="25"/>
      <c r="X135" s="25"/>
      <c r="Y135" s="25"/>
      <c r="Z135" s="25"/>
    </row>
    <row r="136" spans="1:26" ht="52.5" customHeight="1" x14ac:dyDescent="0.25">
      <c r="A136" s="25" t="str">
        <f ca="1">IFERROR(__xludf.DUMMYFUNCTION("""COMPUTED_VALUE"""),"Segur134")</f>
        <v>Segur134</v>
      </c>
      <c r="B136" s="25" t="str">
        <f ca="1">IFERROR(__xludf.DUMMYFUNCTION("""COMPUTED_VALUE"""),"Consejo de Seguridad")</f>
        <v>Consejo de Seguridad</v>
      </c>
      <c r="C136" s="55">
        <f ca="1">IFERROR(__xludf.DUMMYFUNCTION("""COMPUTED_VALUE"""),44362)</f>
        <v>44362</v>
      </c>
      <c r="D136" s="25" t="str">
        <f ca="1">IFERROR(__xludf.DUMMYFUNCTION("""COMPUTED_VALUE"""),"Seguridad")</f>
        <v>Seguridad</v>
      </c>
      <c r="E136" s="25" t="str">
        <f ca="1">IFERROR(__xludf.DUMMYFUNCTION("""COMPUTED_VALUE"""),"Secretaría Distrital de Seguridad, Convivencia y Justicia")</f>
        <v>Secretaría Distrital de Seguridad, Convivencia y Justicia</v>
      </c>
      <c r="F136" s="25" t="str">
        <f ca="1">IFERROR(__xludf.DUMMYFUNCTION("""COMPUTED_VALUE"""),"Revisar semanalmente las metas operativas por COSEC que permiten mejorar los indicadores. 
")</f>
        <v xml:space="preserve">Revisar semanalmente las metas operativas por COSEC que permiten mejorar los indicadores. 
</v>
      </c>
      <c r="G136" s="25" t="str">
        <f ca="1">IFERROR(__xludf.DUMMYFUNCTION("""COMPUTED_VALUE"""),"99. Distrito")</f>
        <v>99. Distrito</v>
      </c>
      <c r="H136" s="55">
        <f ca="1">IFERROR(__xludf.DUMMYFUNCTION("""COMPUTED_VALUE"""),44392)</f>
        <v>44392</v>
      </c>
      <c r="I136" s="25"/>
      <c r="J136" s="55" t="str">
        <f ca="1">IFERROR(__xludf.DUMMYFUNCTION("""COMPUTED_VALUE"""),"Alta")</f>
        <v>Alta</v>
      </c>
      <c r="K136" s="25">
        <f ca="1">IFERROR(__xludf.DUMMYFUNCTION("""COMPUTED_VALUE"""),30)</f>
        <v>30</v>
      </c>
      <c r="L136" s="55">
        <f ca="1">IFERROR(__xludf.DUMMYFUNCTION("""COMPUTED_VALUE"""),44576)</f>
        <v>44576</v>
      </c>
      <c r="M136" s="25" t="str">
        <f ca="1">IFERROR(__xludf.DUMMYFUNCTION("""COMPUTED_VALUE"""),"Esta presentación se realiza en las sesiones de Consejo de Seguridad ")</f>
        <v xml:space="preserve">Esta presentación se realiza en las sesiones de Consejo de Seguridad </v>
      </c>
      <c r="N136" s="55">
        <f ca="1">IFERROR(__xludf.DUMMYFUNCTION("""COMPUTED_VALUE"""),44576)</f>
        <v>44576</v>
      </c>
      <c r="O136" s="25" t="str">
        <f t="shared" ca="1" si="0"/>
        <v>Secretaría Distrital de Seguridad, Convivencia y Justicia</v>
      </c>
      <c r="P136" s="25" t="str">
        <f t="shared" si="1"/>
        <v/>
      </c>
      <c r="Q136" s="25" t="str">
        <f ca="1">IFERROR(__xludf.DUMMYFUNCTION("""COMPUTED_VALUE"""),"Corto plazo")</f>
        <v>Corto plazo</v>
      </c>
      <c r="R136" s="25"/>
      <c r="S136" s="55"/>
      <c r="T136" s="56"/>
      <c r="U136" s="25"/>
      <c r="V136" s="25"/>
      <c r="W136" s="25"/>
      <c r="X136" s="25"/>
      <c r="Y136" s="25"/>
      <c r="Z136" s="25"/>
    </row>
    <row r="137" spans="1:26" ht="52.5" customHeight="1" x14ac:dyDescent="0.25">
      <c r="A137" s="25" t="str">
        <f ca="1">IFERROR(__xludf.DUMMYFUNCTION("""COMPUTED_VALUE"""),"Segur135")</f>
        <v>Segur135</v>
      </c>
      <c r="B137" s="25" t="str">
        <f ca="1">IFERROR(__xludf.DUMMYFUNCTION("""COMPUTED_VALUE"""),"Consejo de Seguridad")</f>
        <v>Consejo de Seguridad</v>
      </c>
      <c r="C137" s="55">
        <f ca="1">IFERROR(__xludf.DUMMYFUNCTION("""COMPUTED_VALUE"""),44362)</f>
        <v>44362</v>
      </c>
      <c r="D137" s="25" t="str">
        <f ca="1">IFERROR(__xludf.DUMMYFUNCTION("""COMPUTED_VALUE"""),"Seguridad")</f>
        <v>Seguridad</v>
      </c>
      <c r="E137" s="25" t="str">
        <f ca="1">IFERROR(__xludf.DUMMYFUNCTION("""COMPUTED_VALUE"""),"Secretaría Distrital de Seguridad, Convivencia y Justicia")</f>
        <v>Secretaría Distrital de Seguridad, Convivencia y Justicia</v>
      </c>
      <c r="F137" s="25" t="str">
        <f ca="1">IFERROR(__xludf.DUMMYFUNCTION("""COMPUTED_VALUE"""),"Incluir en el análisis semanal con metas operativas en los delitos de hurto a bicicletas, hurto en Transmilenio y violencia intrafamiliar y contra la mujer. 
")</f>
        <v xml:space="preserve">Incluir en el análisis semanal con metas operativas en los delitos de hurto a bicicletas, hurto en Transmilenio y violencia intrafamiliar y contra la mujer. 
</v>
      </c>
      <c r="G137" s="25" t="str">
        <f ca="1">IFERROR(__xludf.DUMMYFUNCTION("""COMPUTED_VALUE"""),"99. Distrito")</f>
        <v>99. Distrito</v>
      </c>
      <c r="H137" s="55">
        <f ca="1">IFERROR(__xludf.DUMMYFUNCTION("""COMPUTED_VALUE"""),44392)</f>
        <v>44392</v>
      </c>
      <c r="I137" s="25"/>
      <c r="J137" s="55" t="str">
        <f ca="1">IFERROR(__xludf.DUMMYFUNCTION("""COMPUTED_VALUE"""),"Alta")</f>
        <v>Alta</v>
      </c>
      <c r="K137" s="25">
        <f ca="1">IFERROR(__xludf.DUMMYFUNCTION("""COMPUTED_VALUE"""),30)</f>
        <v>30</v>
      </c>
      <c r="L137" s="55">
        <f ca="1">IFERROR(__xludf.DUMMYFUNCTION("""COMPUTED_VALUE"""),44576)</f>
        <v>44576</v>
      </c>
      <c r="M137" s="25" t="str">
        <f ca="1">IFERROR(__xludf.DUMMYFUNCTION("""COMPUTED_VALUE"""),"Los avances de estos temas se presentan de manera constante en el Consejo de Seguridad, conforme a la agenda que se tenga prevista para cada sesión")</f>
        <v>Los avances de estos temas se presentan de manera constante en el Consejo de Seguridad, conforme a la agenda que se tenga prevista para cada sesión</v>
      </c>
      <c r="N137" s="55">
        <f ca="1">IFERROR(__xludf.DUMMYFUNCTION("""COMPUTED_VALUE"""),44576)</f>
        <v>44576</v>
      </c>
      <c r="O137" s="25" t="str">
        <f t="shared" ca="1" si="0"/>
        <v>Secretaría Distrital de Seguridad, Convivencia y Justicia</v>
      </c>
      <c r="P137" s="25" t="str">
        <f t="shared" si="1"/>
        <v/>
      </c>
      <c r="Q137" s="25" t="str">
        <f ca="1">IFERROR(__xludf.DUMMYFUNCTION("""COMPUTED_VALUE"""),"Corto plazo")</f>
        <v>Corto plazo</v>
      </c>
      <c r="R137" s="25"/>
      <c r="S137" s="55"/>
      <c r="T137" s="56"/>
      <c r="U137" s="25"/>
      <c r="V137" s="25"/>
      <c r="W137" s="25"/>
      <c r="X137" s="25"/>
      <c r="Y137" s="25"/>
      <c r="Z137" s="25"/>
    </row>
    <row r="138" spans="1:26" ht="52.5" customHeight="1" x14ac:dyDescent="0.25">
      <c r="A138" s="25" t="str">
        <f ca="1">IFERROR(__xludf.DUMMYFUNCTION("""COMPUTED_VALUE"""),"Segur136")</f>
        <v>Segur136</v>
      </c>
      <c r="B138" s="25" t="str">
        <f ca="1">IFERROR(__xludf.DUMMYFUNCTION("""COMPUTED_VALUE"""),"Consejo de Seguridad")</f>
        <v>Consejo de Seguridad</v>
      </c>
      <c r="C138" s="55">
        <f ca="1">IFERROR(__xludf.DUMMYFUNCTION("""COMPUTED_VALUE"""),44362)</f>
        <v>44362</v>
      </c>
      <c r="D138" s="25" t="str">
        <f ca="1">IFERROR(__xludf.DUMMYFUNCTION("""COMPUTED_VALUE"""),"Seguridad")</f>
        <v>Seguridad</v>
      </c>
      <c r="E138" s="25" t="str">
        <f ca="1">IFERROR(__xludf.DUMMYFUNCTION("""COMPUTED_VALUE"""),"Secretaría Distrital de Seguridad, Convivencia y Justicia")</f>
        <v>Secretaría Distrital de Seguridad, Convivencia y Justicia</v>
      </c>
      <c r="F138" s="25" t="str">
        <f ca="1">IFERROR(__xludf.DUMMYFUNCTION("""COMPUTED_VALUE"""),"Hacer una feria de servicios 24/7 en el Portal de las Américas, Molinos, Portal de Suba y Yomasa. 
")</f>
        <v xml:space="preserve">Hacer una feria de servicios 24/7 en el Portal de las Américas, Molinos, Portal de Suba y Yomasa. 
</v>
      </c>
      <c r="G138" s="25" t="str">
        <f ca="1">IFERROR(__xludf.DUMMYFUNCTION("""COMPUTED_VALUE"""),"99. Distrito")</f>
        <v>99. Distrito</v>
      </c>
      <c r="H138" s="55">
        <f ca="1">IFERROR(__xludf.DUMMYFUNCTION("""COMPUTED_VALUE"""),44392)</f>
        <v>44392</v>
      </c>
      <c r="I138" s="25"/>
      <c r="J138" s="55" t="str">
        <f ca="1">IFERROR(__xludf.DUMMYFUNCTION("""COMPUTED_VALUE"""),"Alta")</f>
        <v>Alta</v>
      </c>
      <c r="K138" s="25">
        <f ca="1">IFERROR(__xludf.DUMMYFUNCTION("""COMPUTED_VALUE"""),30)</f>
        <v>30</v>
      </c>
      <c r="L138" s="55">
        <f ca="1">IFERROR(__xludf.DUMMYFUNCTION("""COMPUTED_VALUE"""),44561)</f>
        <v>44561</v>
      </c>
      <c r="M138" s="25" t="str">
        <f ca="1">IFERROR(__xludf.DUMMYFUNCTION("""COMPUTED_VALUE"""),"La feria de servicios se está desarrollando en el marco de Juntos Cuidamos Bogotá. Además de las ferias se creó un plan de acompañamiento constante a los puntos desde la SDSCJ que se reporta semanalmente a la Secretaría privada  con creación de redes, fre"&amp;"ntes y portafolio de servicios a los mismos. ")</f>
        <v xml:space="preserve">La feria de servicios se está desarrollando en el marco de Juntos Cuidamos Bogotá. Además de las ferias se creó un plan de acompañamiento constante a los puntos desde la SDSCJ que se reporta semanalmente a la Secretaría privada  con creación de redes, frentes y portafolio de servicios a los mismos. </v>
      </c>
      <c r="N138" s="55">
        <f ca="1">IFERROR(__xludf.DUMMYFUNCTION("""COMPUTED_VALUE"""),44561)</f>
        <v>44561</v>
      </c>
      <c r="O138" s="25" t="str">
        <f t="shared" ca="1" si="0"/>
        <v>Secretaría Distrital de Seguridad, Convivencia y Justicia</v>
      </c>
      <c r="P138" s="25" t="str">
        <f t="shared" si="1"/>
        <v/>
      </c>
      <c r="Q138" s="25" t="str">
        <f ca="1">IFERROR(__xludf.DUMMYFUNCTION("""COMPUTED_VALUE"""),"Corto plazo")</f>
        <v>Corto plazo</v>
      </c>
      <c r="R138" s="25"/>
      <c r="S138" s="55"/>
      <c r="T138" s="56"/>
      <c r="U138" s="25"/>
      <c r="V138" s="25"/>
      <c r="W138" s="25"/>
      <c r="X138" s="25"/>
      <c r="Y138" s="25"/>
      <c r="Z138" s="25"/>
    </row>
    <row r="139" spans="1:26" ht="52.5" customHeight="1" x14ac:dyDescent="0.25">
      <c r="A139" s="25" t="str">
        <f ca="1">IFERROR(__xludf.DUMMYFUNCTION("""COMPUTED_VALUE"""),"Segur137")</f>
        <v>Segur137</v>
      </c>
      <c r="B139" s="25" t="str">
        <f ca="1">IFERROR(__xludf.DUMMYFUNCTION("""COMPUTED_VALUE"""),"Consejo de Seguridad")</f>
        <v>Consejo de Seguridad</v>
      </c>
      <c r="C139" s="55">
        <f ca="1">IFERROR(__xludf.DUMMYFUNCTION("""COMPUTED_VALUE"""),44362)</f>
        <v>44362</v>
      </c>
      <c r="D139" s="25" t="str">
        <f ca="1">IFERROR(__xludf.DUMMYFUNCTION("""COMPUTED_VALUE"""),"Seguridad")</f>
        <v>Seguridad</v>
      </c>
      <c r="E139" s="25" t="str">
        <f ca="1">IFERROR(__xludf.DUMMYFUNCTION("""COMPUTED_VALUE"""),"Secretaría Distrital de Seguridad, Convivencia y Justicia")</f>
        <v>Secretaría Distrital de Seguridad, Convivencia y Justicia</v>
      </c>
      <c r="F139" s="25" t="str">
        <f ca="1">IFERROR(__xludf.DUMMYFUNCTION("""COMPUTED_VALUE"""),"Establecer un protocolo de intervención para los bloqueos 
")</f>
        <v xml:space="preserve">Establecer un protocolo de intervención para los bloqueos 
</v>
      </c>
      <c r="G139" s="25" t="str">
        <f ca="1">IFERROR(__xludf.DUMMYFUNCTION("""COMPUTED_VALUE"""),"99. Distrito")</f>
        <v>99. Distrito</v>
      </c>
      <c r="H139" s="55">
        <f ca="1">IFERROR(__xludf.DUMMYFUNCTION("""COMPUTED_VALUE"""),44392)</f>
        <v>44392</v>
      </c>
      <c r="I139" s="25"/>
      <c r="J139" s="55" t="str">
        <f ca="1">IFERROR(__xludf.DUMMYFUNCTION("""COMPUTED_VALUE"""),"Alta")</f>
        <v>Alta</v>
      </c>
      <c r="K139" s="25">
        <f ca="1">IFERROR(__xludf.DUMMYFUNCTION("""COMPUTED_VALUE"""),30)</f>
        <v>30</v>
      </c>
      <c r="L139" s="55">
        <f ca="1">IFERROR(__xludf.DUMMYFUNCTION("""COMPUTED_VALUE"""),44576)</f>
        <v>44576</v>
      </c>
      <c r="M139" s="25" t="str">
        <f ca="1">IFERROR(__xludf.DUMMYFUNCTION("""COMPUTED_VALUE"""),"Se creó el 26 de junio de 2021 y fue presentado")</f>
        <v>Se creó el 26 de junio de 2021 y fue presentado</v>
      </c>
      <c r="N139" s="55">
        <f ca="1">IFERROR(__xludf.DUMMYFUNCTION("""COMPUTED_VALUE"""),44576)</f>
        <v>44576</v>
      </c>
      <c r="O139" s="25" t="str">
        <f t="shared" ca="1" si="0"/>
        <v>Secretaría Distrital de Seguridad, Convivencia y Justicia</v>
      </c>
      <c r="P139" s="25" t="str">
        <f t="shared" si="1"/>
        <v/>
      </c>
      <c r="Q139" s="25" t="str">
        <f ca="1">IFERROR(__xludf.DUMMYFUNCTION("""COMPUTED_VALUE"""),"Corto plazo")</f>
        <v>Corto plazo</v>
      </c>
      <c r="R139" s="25"/>
      <c r="S139" s="55"/>
      <c r="T139" s="56"/>
      <c r="U139" s="25"/>
      <c r="V139" s="25"/>
      <c r="W139" s="25"/>
      <c r="X139" s="25"/>
      <c r="Y139" s="25"/>
      <c r="Z139" s="25"/>
    </row>
    <row r="140" spans="1:26" ht="52.5" customHeight="1" x14ac:dyDescent="0.25">
      <c r="A140" s="25" t="str">
        <f ca="1">IFERROR(__xludf.DUMMYFUNCTION("""COMPUTED_VALUE"""),"Segur138")</f>
        <v>Segur138</v>
      </c>
      <c r="B140" s="25" t="str">
        <f ca="1">IFERROR(__xludf.DUMMYFUNCTION("""COMPUTED_VALUE"""),"Consejo de Seguridad")</f>
        <v>Consejo de Seguridad</v>
      </c>
      <c r="C140" s="55">
        <f ca="1">IFERROR(__xludf.DUMMYFUNCTION("""COMPUTED_VALUE"""),44362)</f>
        <v>44362</v>
      </c>
      <c r="D140" s="25" t="str">
        <f ca="1">IFERROR(__xludf.DUMMYFUNCTION("""COMPUTED_VALUE"""),"Seguridad")</f>
        <v>Seguridad</v>
      </c>
      <c r="E140" s="25" t="str">
        <f ca="1">IFERROR(__xludf.DUMMYFUNCTION("""COMPUTED_VALUE"""),"Secretaría Distrital de Seguridad, Convivencia y Justicia")</f>
        <v>Secretaría Distrital de Seguridad, Convivencia y Justicia</v>
      </c>
      <c r="F140" s="25" t="str">
        <f ca="1">IFERROR(__xludf.DUMMYFUNCTION("""COMPUTED_VALUE"""),"En el próximo Consejo de Seguridad incluir el avance de reparación de las estaciones de Transmilenio. 
")</f>
        <v xml:space="preserve">En el próximo Consejo de Seguridad incluir el avance de reparación de las estaciones de Transmilenio. 
</v>
      </c>
      <c r="G140" s="25" t="str">
        <f ca="1">IFERROR(__xludf.DUMMYFUNCTION("""COMPUTED_VALUE"""),"99. Distrito")</f>
        <v>99. Distrito</v>
      </c>
      <c r="H140" s="55">
        <f ca="1">IFERROR(__xludf.DUMMYFUNCTION("""COMPUTED_VALUE"""),44392)</f>
        <v>44392</v>
      </c>
      <c r="I140" s="25"/>
      <c r="J140" s="55" t="str">
        <f ca="1">IFERROR(__xludf.DUMMYFUNCTION("""COMPUTED_VALUE"""),"Alta")</f>
        <v>Alta</v>
      </c>
      <c r="K140" s="25">
        <f ca="1">IFERROR(__xludf.DUMMYFUNCTION("""COMPUTED_VALUE"""),30)</f>
        <v>30</v>
      </c>
      <c r="L140" s="55">
        <f ca="1">IFERROR(__xludf.DUMMYFUNCTION("""COMPUTED_VALUE"""),44576)</f>
        <v>44576</v>
      </c>
      <c r="M140" s="25" t="str">
        <f ca="1">IFERROR(__xludf.DUMMYFUNCTION("""COMPUTED_VALUE"""),"Se hizo revisión de este tema en el Consejo de Seguridad ")</f>
        <v xml:space="preserve">Se hizo revisión de este tema en el Consejo de Seguridad </v>
      </c>
      <c r="N140" s="55">
        <f ca="1">IFERROR(__xludf.DUMMYFUNCTION("""COMPUTED_VALUE"""),44576)</f>
        <v>44576</v>
      </c>
      <c r="O140" s="25" t="str">
        <f t="shared" ca="1" si="0"/>
        <v>Secretaría Distrital de Seguridad, Convivencia y Justicia</v>
      </c>
      <c r="P140" s="25" t="str">
        <f t="shared" si="1"/>
        <v/>
      </c>
      <c r="Q140" s="25" t="str">
        <f ca="1">IFERROR(__xludf.DUMMYFUNCTION("""COMPUTED_VALUE"""),"Corto plazo")</f>
        <v>Corto plazo</v>
      </c>
      <c r="R140" s="25"/>
      <c r="S140" s="55"/>
      <c r="T140" s="56"/>
      <c r="U140" s="25"/>
      <c r="V140" s="25"/>
      <c r="W140" s="25"/>
      <c r="X140" s="25"/>
      <c r="Y140" s="25"/>
      <c r="Z140" s="25"/>
    </row>
    <row r="141" spans="1:26" ht="52.5" customHeight="1" x14ac:dyDescent="0.25">
      <c r="A141" s="25" t="str">
        <f ca="1">IFERROR(__xludf.DUMMYFUNCTION("""COMPUTED_VALUE"""),"Segur139")</f>
        <v>Segur139</v>
      </c>
      <c r="B141" s="25" t="str">
        <f ca="1">IFERROR(__xludf.DUMMYFUNCTION("""COMPUTED_VALUE"""),"Consejo de Seguridad")</f>
        <v>Consejo de Seguridad</v>
      </c>
      <c r="C141" s="55">
        <f ca="1">IFERROR(__xludf.DUMMYFUNCTION("""COMPUTED_VALUE"""),44362)</f>
        <v>44362</v>
      </c>
      <c r="D141" s="25" t="str">
        <f ca="1">IFERROR(__xludf.DUMMYFUNCTION("""COMPUTED_VALUE"""),"Seguridad")</f>
        <v>Seguridad</v>
      </c>
      <c r="E141" s="25" t="str">
        <f ca="1">IFERROR(__xludf.DUMMYFUNCTION("""COMPUTED_VALUE"""),"Secretaría Distrital de Seguridad, Convivencia y Justicia")</f>
        <v>Secretaría Distrital de Seguridad, Convivencia y Justicia</v>
      </c>
      <c r="F141" s="25" t="str">
        <f ca="1">IFERROR(__xludf.DUMMYFUNCTION("""COMPUTED_VALUE""")," En el próximo Consejo de Seguridad presentar el cartel de vándalos de la ciudad con recompensa.""")</f>
        <v xml:space="preserve"> En el próximo Consejo de Seguridad presentar el cartel de vándalos de la ciudad con recompensa."</v>
      </c>
      <c r="G141" s="25" t="str">
        <f ca="1">IFERROR(__xludf.DUMMYFUNCTION("""COMPUTED_VALUE"""),"99. Distrito")</f>
        <v>99. Distrito</v>
      </c>
      <c r="H141" s="55">
        <f ca="1">IFERROR(__xludf.DUMMYFUNCTION("""COMPUTED_VALUE"""),44392)</f>
        <v>44392</v>
      </c>
      <c r="I141" s="25"/>
      <c r="J141" s="55" t="str">
        <f ca="1">IFERROR(__xludf.DUMMYFUNCTION("""COMPUTED_VALUE"""),"Alta")</f>
        <v>Alta</v>
      </c>
      <c r="K141" s="25">
        <f ca="1">IFERROR(__xludf.DUMMYFUNCTION("""COMPUTED_VALUE"""),30)</f>
        <v>30</v>
      </c>
      <c r="L141" s="55">
        <f ca="1">IFERROR(__xludf.DUMMYFUNCTION("""COMPUTED_VALUE"""),44576)</f>
        <v>44576</v>
      </c>
      <c r="M141" s="25" t="str">
        <f ca="1">IFERROR(__xludf.DUMMYFUNCTION("""COMPUTED_VALUE"""),"Esta fue información se presentó en el Consejo de Seguridad de la tercera semana de Julio")</f>
        <v>Esta fue información se presentó en el Consejo de Seguridad de la tercera semana de Julio</v>
      </c>
      <c r="N141" s="55">
        <f ca="1">IFERROR(__xludf.DUMMYFUNCTION("""COMPUTED_VALUE"""),44576)</f>
        <v>44576</v>
      </c>
      <c r="O141" s="25" t="str">
        <f t="shared" ca="1" si="0"/>
        <v>Secretaría Distrital de Seguridad, Convivencia y Justicia</v>
      </c>
      <c r="P141" s="25" t="str">
        <f t="shared" si="1"/>
        <v/>
      </c>
      <c r="Q141" s="25" t="str">
        <f ca="1">IFERROR(__xludf.DUMMYFUNCTION("""COMPUTED_VALUE"""),"Corto plazo")</f>
        <v>Corto plazo</v>
      </c>
      <c r="R141" s="25"/>
      <c r="S141" s="55"/>
      <c r="T141" s="56"/>
      <c r="U141" s="25"/>
      <c r="V141" s="25"/>
      <c r="W141" s="25"/>
      <c r="X141" s="25"/>
      <c r="Y141" s="25"/>
      <c r="Z141" s="25"/>
    </row>
    <row r="142" spans="1:26" ht="52.5" customHeight="1" x14ac:dyDescent="0.25">
      <c r="A142" s="25" t="str">
        <f ca="1">IFERROR(__xludf.DUMMYFUNCTION("""COMPUTED_VALUE"""),"Segur140")</f>
        <v>Segur140</v>
      </c>
      <c r="B142" s="25" t="str">
        <f ca="1">IFERROR(__xludf.DUMMYFUNCTION("""COMPUTED_VALUE"""),"Consejo de Seguridad")</f>
        <v>Consejo de Seguridad</v>
      </c>
      <c r="C142" s="55">
        <f ca="1">IFERROR(__xludf.DUMMYFUNCTION("""COMPUTED_VALUE"""),44362)</f>
        <v>44362</v>
      </c>
      <c r="D142" s="25" t="str">
        <f ca="1">IFERROR(__xludf.DUMMYFUNCTION("""COMPUTED_VALUE"""),"Seguridad")</f>
        <v>Seguridad</v>
      </c>
      <c r="E142" s="25" t="str">
        <f ca="1">IFERROR(__xludf.DUMMYFUNCTION("""COMPUTED_VALUE"""),"Secretaría Distrital de Seguridad, Convivencia y Justicia")</f>
        <v>Secretaría Distrital de Seguridad, Convivencia y Justicia</v>
      </c>
      <c r="F142" s="25" t="str">
        <f ca="1">IFERROR(__xludf.DUMMYFUNCTION("""COMPUTED_VALUE"""),"Hacer una distinción en los homicidios en tres formas: sociales, crimen organizado y delincuencia
")</f>
        <v xml:space="preserve">Hacer una distinción en los homicidios en tres formas: sociales, crimen organizado y delincuencia
</v>
      </c>
      <c r="G142" s="25" t="str">
        <f ca="1">IFERROR(__xludf.DUMMYFUNCTION("""COMPUTED_VALUE"""),"99. Distrito")</f>
        <v>99. Distrito</v>
      </c>
      <c r="H142" s="55">
        <f ca="1">IFERROR(__xludf.DUMMYFUNCTION("""COMPUTED_VALUE"""),44392)</f>
        <v>44392</v>
      </c>
      <c r="I142" s="25"/>
      <c r="J142" s="55" t="str">
        <f ca="1">IFERROR(__xludf.DUMMYFUNCTION("""COMPUTED_VALUE"""),"Alta")</f>
        <v>Alta</v>
      </c>
      <c r="K142" s="25">
        <f ca="1">IFERROR(__xludf.DUMMYFUNCTION("""COMPUTED_VALUE"""),30)</f>
        <v>30</v>
      </c>
      <c r="L142" s="55">
        <f ca="1">IFERROR(__xludf.DUMMYFUNCTION("""COMPUTED_VALUE"""),44576)</f>
        <v>44576</v>
      </c>
      <c r="M142" s="25" t="str">
        <f ca="1">IFERROR(__xludf.DUMMYFUNCTION("""COMPUTED_VALUE"""),"El análisis del delito de homicidio se presenta con los móviles asociados a los casos ocurridos. En este aspecto se realiza la identificación de los cometidos por crimen organizado, por delincuencia y por mótivos sociales.")</f>
        <v>El análisis del delito de homicidio se presenta con los móviles asociados a los casos ocurridos. En este aspecto se realiza la identificación de los cometidos por crimen organizado, por delincuencia y por mótivos sociales.</v>
      </c>
      <c r="N142" s="55">
        <f ca="1">IFERROR(__xludf.DUMMYFUNCTION("""COMPUTED_VALUE"""),44576)</f>
        <v>44576</v>
      </c>
      <c r="O142" s="25" t="str">
        <f t="shared" ca="1" si="0"/>
        <v>Secretaría Distrital de Seguridad, Convivencia y Justicia</v>
      </c>
      <c r="P142" s="25" t="str">
        <f t="shared" si="1"/>
        <v/>
      </c>
      <c r="Q142" s="25" t="str">
        <f ca="1">IFERROR(__xludf.DUMMYFUNCTION("""COMPUTED_VALUE"""),"Corto plazo")</f>
        <v>Corto plazo</v>
      </c>
      <c r="R142" s="25"/>
      <c r="S142" s="55"/>
      <c r="T142" s="56"/>
      <c r="U142" s="25"/>
      <c r="V142" s="25"/>
      <c r="W142" s="25"/>
      <c r="X142" s="25"/>
      <c r="Y142" s="25"/>
      <c r="Z142" s="25"/>
    </row>
    <row r="143" spans="1:26" ht="52.5" customHeight="1" x14ac:dyDescent="0.25">
      <c r="A143" s="25" t="str">
        <f ca="1">IFERROR(__xludf.DUMMYFUNCTION("""COMPUTED_VALUE"""),"Segur141")</f>
        <v>Segur141</v>
      </c>
      <c r="B143" s="25" t="str">
        <f ca="1">IFERROR(__xludf.DUMMYFUNCTION("""COMPUTED_VALUE"""),"Centro de Analítica C4")</f>
        <v>Centro de Analítica C4</v>
      </c>
      <c r="C143" s="55">
        <f ca="1">IFERROR(__xludf.DUMMYFUNCTION("""COMPUTED_VALUE"""),44356)</f>
        <v>44356</v>
      </c>
      <c r="D143" s="25" t="str">
        <f ca="1">IFERROR(__xludf.DUMMYFUNCTION("""COMPUTED_VALUE"""),"Seguridad")</f>
        <v>Seguridad</v>
      </c>
      <c r="E143" s="25" t="str">
        <f ca="1">IFERROR(__xludf.DUMMYFUNCTION("""COMPUTED_VALUE"""),"Secretaría Distrital de Seguridad, Convivencia y Justicia")</f>
        <v>Secretaría Distrital de Seguridad, Convivencia y Justicia</v>
      </c>
      <c r="F143" s="25" t="str">
        <f ca="1">IFERROR(__xludf.DUMMYFUNCTION("""COMPUTED_VALUE"""),"Firma de contrato para el desarrollo de proyecto de Analítica del C4")</f>
        <v>Firma de contrato para el desarrollo de proyecto de Analítica del C4</v>
      </c>
      <c r="G143" s="25" t="str">
        <f ca="1">IFERROR(__xludf.DUMMYFUNCTION("""COMPUTED_VALUE"""),"99. Distrito")</f>
        <v>99. Distrito</v>
      </c>
      <c r="H143" s="55">
        <f ca="1">IFERROR(__xludf.DUMMYFUNCTION("""COMPUTED_VALUE"""),44926)</f>
        <v>44926</v>
      </c>
      <c r="I143" s="25"/>
      <c r="J143" s="55" t="str">
        <f ca="1">IFERROR(__xludf.DUMMYFUNCTION("""COMPUTED_VALUE"""),"Baja")</f>
        <v>Baja</v>
      </c>
      <c r="K143" s="25">
        <f ca="1">IFERROR(__xludf.DUMMYFUNCTION("""COMPUTED_VALUE"""),570)</f>
        <v>570</v>
      </c>
      <c r="L143" s="55">
        <f ca="1">IFERROR(__xludf.DUMMYFUNCTION("""COMPUTED_VALUE"""),44952)</f>
        <v>44952</v>
      </c>
      <c r="M143" s="25" t="str">
        <f ca="1">IFERROR(__xludf.DUMMYFUNCTION("""COMPUTED_VALUE"""),"En el mes de diciembre de 2022 se realizaron los estudios técnicos, así como el el proceso contractual, suscribiéndose el contrato SCJ-2154-2022 con el CONSORCIO GROW OPM 2022para adelantar el diagnóstico para la implementación analítica en el sistema C4.")</f>
        <v>En el mes de diciembre de 2022 se realizaron los estudios técnicos, así como el el proceso contractual, suscribiéndose el contrato SCJ-2154-2022 con el CONSORCIO GROW OPM 2022para adelantar el diagnóstico para la implementación analítica en el sistema C4.</v>
      </c>
      <c r="N143" s="55">
        <f ca="1">IFERROR(__xludf.DUMMYFUNCTION("""COMPUTED_VALUE"""),44926)</f>
        <v>44926</v>
      </c>
      <c r="O143" s="25" t="str">
        <f t="shared" ca="1" si="0"/>
        <v>Secretaría Distrital de Seguridad, Convivencia y Justicia</v>
      </c>
      <c r="P143" s="25" t="str">
        <f t="shared" si="1"/>
        <v/>
      </c>
      <c r="Q143" s="25" t="str">
        <f ca="1">IFERROR(__xludf.DUMMYFUNCTION("""COMPUTED_VALUE"""),"Largo plazo")</f>
        <v>Largo plazo</v>
      </c>
      <c r="R143" s="25"/>
      <c r="S143" s="55"/>
      <c r="T143" s="56"/>
      <c r="U143" s="25"/>
      <c r="V143" s="25"/>
      <c r="W143" s="25"/>
      <c r="X143" s="25"/>
      <c r="Y143" s="25"/>
      <c r="Z143" s="25"/>
    </row>
    <row r="144" spans="1:26" ht="52.5" customHeight="1" x14ac:dyDescent="0.25">
      <c r="A144" s="25" t="str">
        <f ca="1">IFERROR(__xludf.DUMMYFUNCTION("""COMPUTED_VALUE"""),"Segur142")</f>
        <v>Segur142</v>
      </c>
      <c r="B144" s="25" t="str">
        <f ca="1">IFERROR(__xludf.DUMMYFUNCTION("""COMPUTED_VALUE"""),"Centro de Analítica C4")</f>
        <v>Centro de Analítica C4</v>
      </c>
      <c r="C144" s="55">
        <f ca="1">IFERROR(__xludf.DUMMYFUNCTION("""COMPUTED_VALUE"""),44356)</f>
        <v>44356</v>
      </c>
      <c r="D144" s="25" t="str">
        <f ca="1">IFERROR(__xludf.DUMMYFUNCTION("""COMPUTED_VALUE"""),"Seguridad")</f>
        <v>Seguridad</v>
      </c>
      <c r="E144" s="25" t="str">
        <f ca="1">IFERROR(__xludf.DUMMYFUNCTION("""COMPUTED_VALUE"""),"Secretaría Distrital de Seguridad, Convivencia y Justicia")</f>
        <v>Secretaría Distrital de Seguridad, Convivencia y Justicia</v>
      </c>
      <c r="F144" s="25" t="str">
        <f ca="1">IFERROR(__xludf.DUMMYFUNCTION("""COMPUTED_VALUE"""),"Inicio del proceso de Adquisición e instalación de analítica forense y de comportamientos para 1000 cámaras PTZ existentes, incluidas analíticas de reconocimiento de rostros y LPR")</f>
        <v>Inicio del proceso de Adquisición e instalación de analítica forense y de comportamientos para 1000 cámaras PTZ existentes, incluidas analíticas de reconocimiento de rostros y LPR</v>
      </c>
      <c r="G144" s="25" t="str">
        <f ca="1">IFERROR(__xludf.DUMMYFUNCTION("""COMPUTED_VALUE"""),"99. Distrito")</f>
        <v>99. Distrito</v>
      </c>
      <c r="H144" s="55">
        <f ca="1">IFERROR(__xludf.DUMMYFUNCTION("""COMPUTED_VALUE"""),44386)</f>
        <v>44386</v>
      </c>
      <c r="I144" s="25"/>
      <c r="J144" s="55" t="str">
        <f ca="1">IFERROR(__xludf.DUMMYFUNCTION("""COMPUTED_VALUE"""),"Alta")</f>
        <v>Alta</v>
      </c>
      <c r="K144" s="25">
        <f ca="1">IFERROR(__xludf.DUMMYFUNCTION("""COMPUTED_VALUE"""),30)</f>
        <v>30</v>
      </c>
      <c r="L144" s="55">
        <f ca="1">IFERROR(__xludf.DUMMYFUNCTION("""COMPUTED_VALUE"""),44782)</f>
        <v>44782</v>
      </c>
      <c r="M144" s="25" t="str">
        <f ca="1">IFERROR(__xludf.DUMMYFUNCTION("""COMPUTED_VALUE"""),"Este compromiso se traslapa con el proceso de adquisición de las 750 cámaras. Por lo tanto, se sugiere eliminar este compromiso.")</f>
        <v>Este compromiso se traslapa con el proceso de adquisición de las 750 cámaras. Por lo tanto, se sugiere eliminar este compromiso.</v>
      </c>
      <c r="N144" s="55">
        <f ca="1">IFERROR(__xludf.DUMMYFUNCTION("""COMPUTED_VALUE"""),44782)</f>
        <v>44782</v>
      </c>
      <c r="O144" s="25" t="str">
        <f t="shared" ca="1" si="0"/>
        <v>Secretaría Distrital de Seguridad, Convivencia y Justicia</v>
      </c>
      <c r="P144" s="25" t="str">
        <f t="shared" si="1"/>
        <v/>
      </c>
      <c r="Q144" s="25" t="str">
        <f ca="1">IFERROR(__xludf.DUMMYFUNCTION("""COMPUTED_VALUE"""),"Corto plazo")</f>
        <v>Corto plazo</v>
      </c>
      <c r="R144" s="25"/>
      <c r="S144" s="55"/>
      <c r="T144" s="56"/>
      <c r="U144" s="25"/>
      <c r="V144" s="25"/>
      <c r="W144" s="25"/>
      <c r="X144" s="25"/>
      <c r="Y144" s="25"/>
      <c r="Z144" s="25"/>
    </row>
    <row r="145" spans="1:26" ht="52.5" customHeight="1" x14ac:dyDescent="0.25">
      <c r="A145" s="25" t="str">
        <f ca="1">IFERROR(__xludf.DUMMYFUNCTION("""COMPUTED_VALUE"""),"Segur143")</f>
        <v>Segur143</v>
      </c>
      <c r="B145" s="25" t="str">
        <f ca="1">IFERROR(__xludf.DUMMYFUNCTION("""COMPUTED_VALUE"""),"Centro de Analítica C4")</f>
        <v>Centro de Analítica C4</v>
      </c>
      <c r="C145" s="55">
        <f ca="1">IFERROR(__xludf.DUMMYFUNCTION("""COMPUTED_VALUE"""),44356)</f>
        <v>44356</v>
      </c>
      <c r="D145" s="25" t="str">
        <f ca="1">IFERROR(__xludf.DUMMYFUNCTION("""COMPUTED_VALUE"""),"Seguridad")</f>
        <v>Seguridad</v>
      </c>
      <c r="E145" s="25" t="str">
        <f ca="1">IFERROR(__xludf.DUMMYFUNCTION("""COMPUTED_VALUE"""),"Secretaría Distrital de Seguridad, Convivencia y Justicia")</f>
        <v>Secretaría Distrital de Seguridad, Convivencia y Justicia</v>
      </c>
      <c r="F145" s="25" t="str">
        <f ca="1">IFERROR(__xludf.DUMMYFUNCTION("""COMPUTED_VALUE"""),"Definición de la ubicación física del CIAP D2-MEBOG")</f>
        <v>Definición de la ubicación física del CIAP D2-MEBOG</v>
      </c>
      <c r="G145" s="25" t="str">
        <f ca="1">IFERROR(__xludf.DUMMYFUNCTION("""COMPUTED_VALUE"""),"99. Distrito")</f>
        <v>99. Distrito</v>
      </c>
      <c r="H145" s="55">
        <f ca="1">IFERROR(__xludf.DUMMYFUNCTION("""COMPUTED_VALUE"""),44386)</f>
        <v>44386</v>
      </c>
      <c r="I145" s="25"/>
      <c r="J145" s="55" t="str">
        <f ca="1">IFERROR(__xludf.DUMMYFUNCTION("""COMPUTED_VALUE"""),"Alta")</f>
        <v>Alta</v>
      </c>
      <c r="K145" s="25">
        <f ca="1">IFERROR(__xludf.DUMMYFUNCTION("""COMPUTED_VALUE"""),30)</f>
        <v>30</v>
      </c>
      <c r="L145" s="55">
        <f ca="1">IFERROR(__xludf.DUMMYFUNCTION("""COMPUTED_VALUE"""),44607)</f>
        <v>44607</v>
      </c>
      <c r="M145" s="25" t="str">
        <f ca="1">IFERROR(__xludf.DUMMYFUNCTION("""COMPUTED_VALUE"""),"Se consultó nuevamente con la MEBOG la existencia de algún espacio disponible y viable y la respuesta continua desfavorable. No se continuará con la iniciativa. Cerrar iniciativa.")</f>
        <v>Se consultó nuevamente con la MEBOG la existencia de algún espacio disponible y viable y la respuesta continua desfavorable. No se continuará con la iniciativa. Cerrar iniciativa.</v>
      </c>
      <c r="N145" s="55">
        <f ca="1">IFERROR(__xludf.DUMMYFUNCTION("""COMPUTED_VALUE"""),44607)</f>
        <v>44607</v>
      </c>
      <c r="O145" s="25" t="str">
        <f t="shared" ca="1" si="0"/>
        <v>Secretaría Distrital de Seguridad, Convivencia y Justicia</v>
      </c>
      <c r="P145" s="25" t="str">
        <f t="shared" si="1"/>
        <v/>
      </c>
      <c r="Q145" s="25" t="str">
        <f ca="1">IFERROR(__xludf.DUMMYFUNCTION("""COMPUTED_VALUE"""),"Corto plazo")</f>
        <v>Corto plazo</v>
      </c>
      <c r="R145" s="25"/>
      <c r="S145" s="55"/>
      <c r="T145" s="56"/>
      <c r="U145" s="25"/>
      <c r="V145" s="25"/>
      <c r="W145" s="25"/>
      <c r="X145" s="25"/>
      <c r="Y145" s="25"/>
      <c r="Z145" s="25"/>
    </row>
    <row r="146" spans="1:26" ht="52.5" customHeight="1" x14ac:dyDescent="0.25">
      <c r="A146" s="25" t="str">
        <f ca="1">IFERROR(__xludf.DUMMYFUNCTION("""COMPUTED_VALUE"""),"Segur144")</f>
        <v>Segur144</v>
      </c>
      <c r="B146" s="25" t="str">
        <f ca="1">IFERROR(__xludf.DUMMYFUNCTION("""COMPUTED_VALUE"""),"Centro de Analítica C4")</f>
        <v>Centro de Analítica C4</v>
      </c>
      <c r="C146" s="55">
        <f ca="1">IFERROR(__xludf.DUMMYFUNCTION("""COMPUTED_VALUE"""),44356)</f>
        <v>44356</v>
      </c>
      <c r="D146" s="25" t="str">
        <f ca="1">IFERROR(__xludf.DUMMYFUNCTION("""COMPUTED_VALUE"""),"Seguridad")</f>
        <v>Seguridad</v>
      </c>
      <c r="E146" s="25" t="str">
        <f ca="1">IFERROR(__xludf.DUMMYFUNCTION("""COMPUTED_VALUE"""),"Secretaría Distrital de Seguridad, Convivencia y Justicia")</f>
        <v>Secretaría Distrital de Seguridad, Convivencia y Justicia</v>
      </c>
      <c r="F146" s="25" t="str">
        <f ca="1">IFERROR(__xludf.DUMMYFUNCTION("""COMPUTED_VALUE"""),"Crecer en la capacidad de monitoreo del Sistema de Video Vigilancia (Un centro de monitoreo para 4 nuevas localidades; y las cámaras estipuladas en el alcance para 12 operadores).")</f>
        <v>Crecer en la capacidad de monitoreo del Sistema de Video Vigilancia (Un centro de monitoreo para 4 nuevas localidades; y las cámaras estipuladas en el alcance para 12 operadores).</v>
      </c>
      <c r="G146" s="25" t="str">
        <f ca="1">IFERROR(__xludf.DUMMYFUNCTION("""COMPUTED_VALUE"""),"99. Distrito")</f>
        <v>99. Distrito</v>
      </c>
      <c r="H146" s="55">
        <f ca="1">IFERROR(__xludf.DUMMYFUNCTION("""COMPUTED_VALUE"""),44910)</f>
        <v>44910</v>
      </c>
      <c r="I146" s="25"/>
      <c r="J146" s="55" t="str">
        <f ca="1">IFERROR(__xludf.DUMMYFUNCTION("""COMPUTED_VALUE"""),"Baja")</f>
        <v>Baja</v>
      </c>
      <c r="K146" s="25">
        <f ca="1">IFERROR(__xludf.DUMMYFUNCTION("""COMPUTED_VALUE"""),554)</f>
        <v>554</v>
      </c>
      <c r="L146" s="55">
        <f ca="1">IFERROR(__xludf.DUMMYFUNCTION("""COMPUTED_VALUE"""),44952)</f>
        <v>44952</v>
      </c>
      <c r="M146" s="25" t="str">
        <f ca="1">IFERROR(__xludf.DUMMYFUNCTION("""COMPUTED_VALUE"""),"Durante la vigencia 2022 el equipo técnico del C4, elaboró ficha técnica para la mejora de centros de monitoreo desde el punto de vista arquitectónico y tecnológico, además de adelantar las visitas técnicas a los sitios que la MEBOG dispuso para dicho fin"&amp;". En la misma vigencia la Secretaría de Hacienda realizó la reducción de recursos cupo de endeudamiento por $56.123 millones, lo que conlleva a que no sea posible realizar la tarea.")</f>
        <v>Durante la vigencia 2022 el equipo técnico del C4, elaboró ficha técnica para la mejora de centros de monitoreo desde el punto de vista arquitectónico y tecnológico, además de adelantar las visitas técnicas a los sitios que la MEBOG dispuso para dicho fin. En la misma vigencia la Secretaría de Hacienda realizó la reducción de recursos cupo de endeudamiento por $56.123 millones, lo que conlleva a que no sea posible realizar la tarea.</v>
      </c>
      <c r="N146" s="55">
        <f ca="1">IFERROR(__xludf.DUMMYFUNCTION("""COMPUTED_VALUE"""),44926)</f>
        <v>44926</v>
      </c>
      <c r="O146" s="25" t="str">
        <f t="shared" ca="1" si="0"/>
        <v>Secretaría Distrital de Seguridad, Convivencia y Justicia</v>
      </c>
      <c r="P146" s="25" t="str">
        <f t="shared" si="1"/>
        <v/>
      </c>
      <c r="Q146" s="25" t="str">
        <f ca="1">IFERROR(__xludf.DUMMYFUNCTION("""COMPUTED_VALUE"""),"Largo plazo")</f>
        <v>Largo plazo</v>
      </c>
      <c r="R146" s="25"/>
      <c r="S146" s="55"/>
      <c r="T146" s="56"/>
      <c r="U146" s="25"/>
      <c r="V146" s="25"/>
      <c r="W146" s="25"/>
      <c r="X146" s="25"/>
      <c r="Y146" s="25"/>
      <c r="Z146" s="25"/>
    </row>
    <row r="147" spans="1:26" ht="52.5" customHeight="1" x14ac:dyDescent="0.25">
      <c r="A147" s="25" t="str">
        <f ca="1">IFERROR(__xludf.DUMMYFUNCTION("""COMPUTED_VALUE"""),"Segur145")</f>
        <v>Segur145</v>
      </c>
      <c r="B147" s="25" t="str">
        <f ca="1">IFERROR(__xludf.DUMMYFUNCTION("""COMPUTED_VALUE"""),"Centro de Analítica C4")</f>
        <v>Centro de Analítica C4</v>
      </c>
      <c r="C147" s="55">
        <f ca="1">IFERROR(__xludf.DUMMYFUNCTION("""COMPUTED_VALUE"""),44356)</f>
        <v>44356</v>
      </c>
      <c r="D147" s="25" t="str">
        <f ca="1">IFERROR(__xludf.DUMMYFUNCTION("""COMPUTED_VALUE"""),"Seguridad")</f>
        <v>Seguridad</v>
      </c>
      <c r="E147" s="25" t="str">
        <f ca="1">IFERROR(__xludf.DUMMYFUNCTION("""COMPUTED_VALUE"""),"Secretaría Distrital de Seguridad, Convivencia y Justicia")</f>
        <v>Secretaría Distrital de Seguridad, Convivencia y Justicia</v>
      </c>
      <c r="F147" s="25" t="str">
        <f ca="1">IFERROR(__xludf.DUMMYFUNCTION("""COMPUTED_VALUE"""),"Adquisición e instalación de 750 cámaras  de las cuales 375 serán LPR y las otras 375 de analítica forense.")</f>
        <v>Adquisición e instalación de 750 cámaras  de las cuales 375 serán LPR y las otras 375 de analítica forense.</v>
      </c>
      <c r="G147" s="25" t="str">
        <f ca="1">IFERROR(__xludf.DUMMYFUNCTION("""COMPUTED_VALUE"""),"99. Distrito")</f>
        <v>99. Distrito</v>
      </c>
      <c r="H147" s="55">
        <f ca="1">IFERROR(__xludf.DUMMYFUNCTION("""COMPUTED_VALUE"""),44986)</f>
        <v>44986</v>
      </c>
      <c r="I147" s="25" t="str">
        <f ca="1">IFERROR(__xludf.DUMMYFUNCTION("""COMPUTED_VALUE"""),"Delivery Unit")</f>
        <v>Delivery Unit</v>
      </c>
      <c r="J147" s="55" t="str">
        <f ca="1">IFERROR(__xludf.DUMMYFUNCTION("""COMPUTED_VALUE"""),"Alta")</f>
        <v>Alta</v>
      </c>
      <c r="K147" s="25">
        <f ca="1">IFERROR(__xludf.DUMMYFUNCTION("""COMPUTED_VALUE"""),630)</f>
        <v>630</v>
      </c>
      <c r="L147" s="55">
        <f ca="1">IFERROR(__xludf.DUMMYFUNCTION("""COMPUTED_VALUE"""),45077)</f>
        <v>45077</v>
      </c>
      <c r="M147" s="25" t="str">
        <f ca="1">IFERROR(__xludf.DUMMYFUNCTION("""COMPUTED_VALUE"""),"Durante la vigencia 2022 el equipo técnico del C4, elaboró ficha técnica para la contratación de 375 cámaras tipo LPR. En la misma vigencia la Secretaría de Hacienda realizó la reducción de recursos cupo de endeudamiento por $56.123 millones, lo que conll"&amp;"eva a que no sea posible realizar la tarea.
Sin embargo, la Secretaría de Seguridad avanzó en la autorización de utilizar recursos del sistema general de regalías para avanzar en esta actividad, para lo cual presentó un proyecto de adquisición de 200 cám"&amp;"aras LPR. A partir de ese momento el equipo técnico realizado la estructuración y formulación del proyecto en la MGA, radicándose finalmente el 10 de enero de 2023 BPIN 2023011010002, para realizar los debidos trámites de aprobación.
Durante el mes de fe"&amp;"brero la SDCJ realizó mesas de revisión de requisitos técnicos junto con la Secretaría Distrital de Planeación, donde participaron enlaces del C4 y la Oficina Asesora de Planeación de la SDSCJ. Como resultado de las mismas, se realizaron actualización de "&amp;"los APU, desglose del Presupuesto del proyecto, cadena de valor y elaboración de anexos técnicos requeridos. Adicionalmente se avanza en el trámite de obtención de certificación de la necesidad de los bienes a adquirir dentro del proyecto, así como la no "&amp;"financiación del mismo objeto con otra fuente de recursos por parte de la Policía Metropolitana de Bogotá.
Se obtuvo el visto bueno de telemática de la MEBOG a fin de recibir las camaras. Igualmente se re realizó estudio de mercado en la fase de formulac"&amp;"ión a fin de obtener los costos estimados de los para el analisis de precios unitarios (APU). Se firmaron los documentos por parte del C4 los cuales certifican el presupuesto estimado, Se encuentra en desarollo el documento de estudio de mercado por parte"&amp;" de la oficina de planeación de la SCJ.
Se realizó visita por parte de la secretaria de planeación al C4 y la alta consejeria de TIC como viabilizador del proyecto. En esta visita se logró contextualizar a los involucrados.
Se realizaron revisiones de m"&amp;"anera conjunta por parte del viabilizador de la alta consejería de TIC y la secretaría distrital de planeación. Por parte del equipo de la SDSCJ y del C4 se respondieron las observaciones por parte del viabilizador acerca del arbol de problemas y arbol de"&amp;" objetivos, se está a la espera de la aceptación por parte de los viabilizadores para formalizar la aceptación del proyecto. A la fecha del 19 de mayo no se ha recibido retroalimentación o aprobación por parte de la alta consejería TIC.
")</f>
        <v xml:space="preserve">Durante la vigencia 2022 el equipo técnico del C4, elaboró ficha técnica para la contratación de 375 cámaras tipo LPR. En la misma vigencia la Secretaría de Hacienda realizó la reducción de recursos cupo de endeudamiento por $56.123 millones, lo que conlleva a que no sea posible realizar la tarea.
Sin embargo, la Secretaría de Seguridad avanzó en la autorización de utilizar recursos del sistema general de regalías para avanzar en esta actividad, para lo cual presentó un proyecto de adquisición de 200 cámaras LPR. A partir de ese momento el equipo técnico realizado la estructuración y formulación del proyecto en la MGA, radicándose finalmente el 10 de enero de 2023 BPIN 2023011010002, para realizar los debidos trámites de aprobación.
Durante el mes de febrero la SDCJ realizó mesas de revisión de requisitos técnicos junto con la Secretaría Distrital de Planeación, donde participaron enlaces del C4 y la Oficina Asesora de Planeación de la SDSCJ. Como resultado de las mismas, se realizaron actualización de los APU, desglose del Presupuesto del proyecto, cadena de valor y elaboración de anexos técnicos requeridos. Adicionalmente se avanza en el trámite de obtención de certificación de la necesidad de los bienes a adquirir dentro del proyecto, así como la no financiación del mismo objeto con otra fuente de recursos por parte de la Policía Metropolitana de Bogotá.
Se obtuvo el visto bueno de telemática de la MEBOG a fin de recibir las camaras. Igualmente se re realizó estudio de mercado en la fase de formulación a fin de obtener los costos estimados de los para el analisis de precios unitarios (APU). Se firmaron los documentos por parte del C4 los cuales certifican el presupuesto estimado, Se encuentra en desarollo el documento de estudio de mercado por parte de la oficina de planeación de la SCJ.
Se realizó visita por parte de la secretaria de planeación al C4 y la alta consejeria de TIC como viabilizador del proyecto. En esta visita se logró contextualizar a los involucrados.
Se realizaron revisiones de manera conjunta por parte del viabilizador de la alta consejería de TIC y la secretaría distrital de planeación. Por parte del equipo de la SDSCJ y del C4 se respondieron las observaciones por parte del viabilizador acerca del arbol de problemas y arbol de objetivos, se está a la espera de la aceptación por parte de los viabilizadores para formalizar la aceptación del proyecto. A la fecha del 19 de mayo no se ha recibido retroalimentación o aprobación por parte de la alta consejería TIC.
</v>
      </c>
      <c r="N147" s="25"/>
      <c r="O147" s="25" t="str">
        <f t="shared" ca="1" si="0"/>
        <v>Secretaría Distrital de Seguridad, Convivencia y Justicia</v>
      </c>
      <c r="P147" s="25" t="str">
        <f t="shared" ca="1" si="1"/>
        <v/>
      </c>
      <c r="Q147" s="25" t="str">
        <f ca="1">IFERROR(__xludf.DUMMYFUNCTION("""COMPUTED_VALUE"""),"Largo plazo")</f>
        <v>Largo plazo</v>
      </c>
      <c r="R147" s="25"/>
      <c r="S147" s="55"/>
      <c r="T147" s="56"/>
      <c r="U147" s="25"/>
      <c r="V147" s="25"/>
      <c r="W147" s="25"/>
      <c r="X147" s="25"/>
      <c r="Y147" s="25"/>
      <c r="Z147" s="25"/>
    </row>
    <row r="148" spans="1:26" ht="52.5" customHeight="1" x14ac:dyDescent="0.25">
      <c r="A148" s="25" t="str">
        <f ca="1">IFERROR(__xludf.DUMMYFUNCTION("""COMPUTED_VALUE"""),"Segur146")</f>
        <v>Segur146</v>
      </c>
      <c r="B148" s="25" t="str">
        <f ca="1">IFERROR(__xludf.DUMMYFUNCTION("""COMPUTED_VALUE"""),"Centro de Analítica C4")</f>
        <v>Centro de Analítica C4</v>
      </c>
      <c r="C148" s="55">
        <f ca="1">IFERROR(__xludf.DUMMYFUNCTION("""COMPUTED_VALUE"""),44356)</f>
        <v>44356</v>
      </c>
      <c r="D148" s="25" t="str">
        <f ca="1">IFERROR(__xludf.DUMMYFUNCTION("""COMPUTED_VALUE"""),"Seguridad")</f>
        <v>Seguridad</v>
      </c>
      <c r="E148" s="25" t="str">
        <f ca="1">IFERROR(__xludf.DUMMYFUNCTION("""COMPUTED_VALUE"""),"Secretaría Distrital de Seguridad, Convivencia y Justicia")</f>
        <v>Secretaría Distrital de Seguridad, Convivencia y Justicia</v>
      </c>
      <c r="F148" s="25" t="str">
        <f ca="1">IFERROR(__xludf.DUMMYFUNCTION("""COMPUTED_VALUE"""),"Implementación de 400 cámaras en la localidad de Kennedy como apoyo al modelo de vigilancia comunitaria por cuadrantes en coordinación con la MEBOG.  
")</f>
        <v xml:space="preserve">Implementación de 400 cámaras en la localidad de Kennedy como apoyo al modelo de vigilancia comunitaria por cuadrantes en coordinación con la MEBOG.  
</v>
      </c>
      <c r="G148" s="25" t="str">
        <f ca="1">IFERROR(__xludf.DUMMYFUNCTION("""COMPUTED_VALUE"""),"99. Distrito")</f>
        <v>99. Distrito</v>
      </c>
      <c r="H148" s="55">
        <f ca="1">IFERROR(__xludf.DUMMYFUNCTION("""COMPUTED_VALUE"""),44386)</f>
        <v>44386</v>
      </c>
      <c r="I148" s="25"/>
      <c r="J148" s="55" t="str">
        <f ca="1">IFERROR(__xludf.DUMMYFUNCTION("""COMPUTED_VALUE"""),"Alta")</f>
        <v>Alta</v>
      </c>
      <c r="K148" s="25">
        <f ca="1">IFERROR(__xludf.DUMMYFUNCTION("""COMPUTED_VALUE"""),30)</f>
        <v>30</v>
      </c>
      <c r="L148" s="55">
        <f ca="1">IFERROR(__xludf.DUMMYFUNCTION("""COMPUTED_VALUE"""),44887)</f>
        <v>44887</v>
      </c>
      <c r="M148" s="25" t="str">
        <f ca="1">IFERROR(__xludf.DUMMYFUNCTION("""COMPUTED_VALUE"""),"En articulación con la MEBOG y teniendo en cuenta los índices de criminalidad en la localidad de Kennedy, se determinó que las 400 cámaras corporales, sean desplegadas en esta localidad durante el último trimestre de 2022. 
Se puso en funcionamiento el ce"&amp;"ntro para la administración de las cámaras unipersonales en la estación de policía de Kennedy. 
Se entregaron las 400 cámaras corporales a la MEBOG para iniciar el piloto, de las cuales se encuentra en pruebas 15 y se proyecta la iniciación del proyecto e"&amp;"n la primera semana de diciembre.")</f>
        <v>En articulación con la MEBOG y teniendo en cuenta los índices de criminalidad en la localidad de Kennedy, se determinó que las 400 cámaras corporales, sean desplegadas en esta localidad durante el último trimestre de 2022. 
Se puso en funcionamiento el centro para la administración de las cámaras unipersonales en la estación de policía de Kennedy. 
Se entregaron las 400 cámaras corporales a la MEBOG para iniciar el piloto, de las cuales se encuentra en pruebas 15 y se proyecta la iniciación del proyecto en la primera semana de diciembre.</v>
      </c>
      <c r="N148" s="55">
        <f ca="1">IFERROR(__xludf.DUMMYFUNCTION("""COMPUTED_VALUE"""),44887)</f>
        <v>44887</v>
      </c>
      <c r="O148" s="25" t="str">
        <f t="shared" ca="1" si="0"/>
        <v>Secretaría Distrital de Seguridad, Convivencia y Justicia</v>
      </c>
      <c r="P148" s="25" t="str">
        <f t="shared" si="1"/>
        <v/>
      </c>
      <c r="Q148" s="25" t="str">
        <f ca="1">IFERROR(__xludf.DUMMYFUNCTION("""COMPUTED_VALUE"""),"Corto plazo")</f>
        <v>Corto plazo</v>
      </c>
      <c r="R148" s="25"/>
      <c r="S148" s="55"/>
      <c r="T148" s="56"/>
      <c r="U148" s="25"/>
      <c r="V148" s="25"/>
      <c r="W148" s="25"/>
      <c r="X148" s="25"/>
      <c r="Y148" s="25"/>
      <c r="Z148" s="25"/>
    </row>
    <row r="149" spans="1:26" ht="52.5" customHeight="1" x14ac:dyDescent="0.25">
      <c r="A149" s="25" t="str">
        <f ca="1">IFERROR(__xludf.DUMMYFUNCTION("""COMPUTED_VALUE"""),"Segur147")</f>
        <v>Segur147</v>
      </c>
      <c r="B149" s="25" t="str">
        <f ca="1">IFERROR(__xludf.DUMMYFUNCTION("""COMPUTED_VALUE"""),"Centro de Analítica C4")</f>
        <v>Centro de Analítica C4</v>
      </c>
      <c r="C149" s="55">
        <f ca="1">IFERROR(__xludf.DUMMYFUNCTION("""COMPUTED_VALUE"""),44356)</f>
        <v>44356</v>
      </c>
      <c r="D149" s="25" t="str">
        <f ca="1">IFERROR(__xludf.DUMMYFUNCTION("""COMPUTED_VALUE"""),"Seguridad")</f>
        <v>Seguridad</v>
      </c>
      <c r="E149" s="25" t="str">
        <f ca="1">IFERROR(__xludf.DUMMYFUNCTION("""COMPUTED_VALUE"""),"Secretaría Distrital de Seguridad, Convivencia y Justicia")</f>
        <v>Secretaría Distrital de Seguridad, Convivencia y Justicia</v>
      </c>
      <c r="F149" s="25" t="str">
        <f ca="1">IFERROR(__xludf.DUMMYFUNCTION("""COMPUTED_VALUE"""),"Generar reunión entre Registraduría, Policía y Ágata")</f>
        <v>Generar reunión entre Registraduría, Policía y Ágata</v>
      </c>
      <c r="G149" s="25" t="str">
        <f ca="1">IFERROR(__xludf.DUMMYFUNCTION("""COMPUTED_VALUE"""),"99. Distrito")</f>
        <v>99. Distrito</v>
      </c>
      <c r="H149" s="55">
        <f ca="1">IFERROR(__xludf.DUMMYFUNCTION("""COMPUTED_VALUE"""),44386)</f>
        <v>44386</v>
      </c>
      <c r="I149" s="25"/>
      <c r="J149" s="55" t="str">
        <f ca="1">IFERROR(__xludf.DUMMYFUNCTION("""COMPUTED_VALUE"""),"Alta")</f>
        <v>Alta</v>
      </c>
      <c r="K149" s="25">
        <f ca="1">IFERROR(__xludf.DUMMYFUNCTION("""COMPUTED_VALUE"""),30)</f>
        <v>30</v>
      </c>
      <c r="L149" s="55">
        <f ca="1">IFERROR(__xludf.DUMMYFUNCTION("""COMPUTED_VALUE"""),44576)</f>
        <v>44576</v>
      </c>
      <c r="M149" s="25" t="str">
        <f ca="1">IFERROR(__xludf.DUMMYFUNCTION("""COMPUTED_VALUE"""),"El contrato con Agata no se llevó a cabo tal como se explicó en la tarea 3956, y el convenio con la registraduría tampoco, es por ello que dicha reunión no se llevó a cabo. Adicionalmente, es importante tener en cuenta que hasta que la registraduría no fo"&amp;"rmalice la arquitectura de conexión no se puede determinar la forma de realizar la consulta al sistema de identificación facial y las posibles aplicaciones a implementar. Agata desistió del proceso en la vigencia 2021")</f>
        <v>El contrato con Agata no se llevó a cabo tal como se explicó en la tarea 3956, y el convenio con la registraduría tampoco, es por ello que dicha reunión no se llevó a cabo. Adicionalmente, es importante tener en cuenta que hasta que la registraduría no formalice la arquitectura de conexión no se puede determinar la forma de realizar la consulta al sistema de identificación facial y las posibles aplicaciones a implementar. Agata desistió del proceso en la vigencia 2021</v>
      </c>
      <c r="N149" s="55">
        <f ca="1">IFERROR(__xludf.DUMMYFUNCTION("""COMPUTED_VALUE"""),44576)</f>
        <v>44576</v>
      </c>
      <c r="O149" s="25" t="str">
        <f t="shared" ca="1" si="0"/>
        <v>Secretaría Distrital de Seguridad, Convivencia y Justicia</v>
      </c>
      <c r="P149" s="25" t="str">
        <f t="shared" si="1"/>
        <v/>
      </c>
      <c r="Q149" s="25" t="str">
        <f ca="1">IFERROR(__xludf.DUMMYFUNCTION("""COMPUTED_VALUE"""),"Corto plazo")</f>
        <v>Corto plazo</v>
      </c>
      <c r="R149" s="25"/>
      <c r="S149" s="55"/>
      <c r="T149" s="56"/>
      <c r="U149" s="25"/>
      <c r="V149" s="25"/>
      <c r="W149" s="25"/>
      <c r="X149" s="25"/>
      <c r="Y149" s="25"/>
      <c r="Z149" s="25"/>
    </row>
    <row r="150" spans="1:26" ht="52.5" customHeight="1" x14ac:dyDescent="0.25">
      <c r="A150" s="25" t="str">
        <f ca="1">IFERROR(__xludf.DUMMYFUNCTION("""COMPUTED_VALUE"""),"Segur148")</f>
        <v>Segur148</v>
      </c>
      <c r="B150" s="25" t="str">
        <f ca="1">IFERROR(__xludf.DUMMYFUNCTION("""COMPUTED_VALUE"""),"Infraestructura - Proyectos Clave de Infraestructura del IDRD y Hoja de Ruta de la URI Norte")</f>
        <v>Infraestructura - Proyectos Clave de Infraestructura del IDRD y Hoja de Ruta de la URI Norte</v>
      </c>
      <c r="C150" s="55">
        <f ca="1">IFERROR(__xludf.DUMMYFUNCTION("""COMPUTED_VALUE"""),44245)</f>
        <v>44245</v>
      </c>
      <c r="D150" s="25" t="str">
        <f ca="1">IFERROR(__xludf.DUMMYFUNCTION("""COMPUTED_VALUE"""),"Seguridad")</f>
        <v>Seguridad</v>
      </c>
      <c r="E150" s="25" t="str">
        <f ca="1">IFERROR(__xludf.DUMMYFUNCTION("""COMPUTED_VALUE"""),"Secretaría Distrital de Seguridad, Convivencia y Justicia")</f>
        <v>Secretaría Distrital de Seguridad, Convivencia y Justicia</v>
      </c>
      <c r="F150" s="25" t="str">
        <f ca="1">IFERROR(__xludf.DUMMYFUNCTION("""COMPUTED_VALUE"""),"Para la URI Rafael Uribe Uribe, Seguridad solicita mesa de trabajo para avanzar en transferencia de estos predios con DADEP e IDU.")</f>
        <v>Para la URI Rafael Uribe Uribe, Seguridad solicita mesa de trabajo para avanzar en transferencia de estos predios con DADEP e IDU.</v>
      </c>
      <c r="G150" s="25" t="str">
        <f ca="1">IFERROR(__xludf.DUMMYFUNCTION("""COMPUTED_VALUE"""),"18. Rafael Uribe Uribe")</f>
        <v>18. Rafael Uribe Uribe</v>
      </c>
      <c r="H150" s="55">
        <f ca="1">IFERROR(__xludf.DUMMYFUNCTION("""COMPUTED_VALUE"""),44275)</f>
        <v>44275</v>
      </c>
      <c r="I150" s="25"/>
      <c r="J150" s="55" t="str">
        <f ca="1">IFERROR(__xludf.DUMMYFUNCTION("""COMPUTED_VALUE"""),"Alta")</f>
        <v>Alta</v>
      </c>
      <c r="K150" s="25">
        <f ca="1">IFERROR(__xludf.DUMMYFUNCTION("""COMPUTED_VALUE"""),30)</f>
        <v>30</v>
      </c>
      <c r="L150" s="55">
        <f ca="1">IFERROR(__xludf.DUMMYFUNCTION("""COMPUTED_VALUE"""),44576)</f>
        <v>44576</v>
      </c>
      <c r="M150" s="25" t="str">
        <f ca="1">IFERROR(__xludf.DUMMYFUNCTION("""COMPUTED_VALUE"""),"El DADEP le dio a la SDSCJ la titularidad del predio donde va a funcionar la URI Tunjuelito. Se suscribió un contrato interadministrativo con FINDETER y se encuentra en etapa de formulación y estructuración para proceso de contratación.")</f>
        <v>El DADEP le dio a la SDSCJ la titularidad del predio donde va a funcionar la URI Tunjuelito. Se suscribió un contrato interadministrativo con FINDETER y se encuentra en etapa de formulación y estructuración para proceso de contratación.</v>
      </c>
      <c r="N150" s="55">
        <f ca="1">IFERROR(__xludf.DUMMYFUNCTION("""COMPUTED_VALUE"""),44576)</f>
        <v>44576</v>
      </c>
      <c r="O150" s="25" t="str">
        <f t="shared" ca="1" si="0"/>
        <v>Secretaría Distrital de Seguridad, Convivencia y Justicia</v>
      </c>
      <c r="P150" s="25" t="str">
        <f t="shared" si="1"/>
        <v/>
      </c>
      <c r="Q150" s="25" t="str">
        <f ca="1">IFERROR(__xludf.DUMMYFUNCTION("""COMPUTED_VALUE"""),"Corto plazo")</f>
        <v>Corto plazo</v>
      </c>
      <c r="R150" s="25"/>
      <c r="S150" s="55"/>
      <c r="T150" s="56"/>
      <c r="U150" s="25"/>
      <c r="V150" s="25"/>
      <c r="W150" s="25"/>
      <c r="X150" s="25"/>
      <c r="Y150" s="25"/>
      <c r="Z150" s="25"/>
    </row>
    <row r="151" spans="1:26" ht="52.5" customHeight="1" x14ac:dyDescent="0.25">
      <c r="A151" s="25" t="str">
        <f ca="1">IFERROR(__xludf.DUMMYFUNCTION("""COMPUTED_VALUE"""),"Segur149")</f>
        <v>Segur149</v>
      </c>
      <c r="B151" s="25" t="str">
        <f ca="1">IFERROR(__xludf.DUMMYFUNCTION("""COMPUTED_VALUE"""),"Plan de carreteros, habitantes de calle y basuras")</f>
        <v>Plan de carreteros, habitantes de calle y basuras</v>
      </c>
      <c r="C151" s="55">
        <f ca="1">IFERROR(__xludf.DUMMYFUNCTION("""COMPUTED_VALUE"""),44238)</f>
        <v>44238</v>
      </c>
      <c r="D151" s="25" t="str">
        <f ca="1">IFERROR(__xludf.DUMMYFUNCTION("""COMPUTED_VALUE"""),"Seguridad")</f>
        <v>Seguridad</v>
      </c>
      <c r="E151" s="25" t="str">
        <f ca="1">IFERROR(__xludf.DUMMYFUNCTION("""COMPUTED_VALUE"""),"Secretaría Distrital de Seguridad, Convivencia y Justicia")</f>
        <v>Secretaría Distrital de Seguridad, Convivencia y Justicia</v>
      </c>
      <c r="F151" s="25" t="str">
        <f ca="1">IFERROR(__xludf.DUMMYFUNCTION("""COMPUTED_VALUE"""),"Revisar la posibilidad de incluir cámaras para identificar personas y camiones que botan basura; y letreros “Usted está siendo vigilado”")</f>
        <v>Revisar la posibilidad de incluir cámaras para identificar personas y camiones que botan basura; y letreros “Usted está siendo vigilado”</v>
      </c>
      <c r="G151" s="25" t="str">
        <f ca="1">IFERROR(__xludf.DUMMYFUNCTION("""COMPUTED_VALUE"""),"99. Distrito")</f>
        <v>99. Distrito</v>
      </c>
      <c r="H151" s="55">
        <f ca="1">IFERROR(__xludf.DUMMYFUNCTION("""COMPUTED_VALUE"""),44268)</f>
        <v>44268</v>
      </c>
      <c r="I151" s="25"/>
      <c r="J151" s="55" t="str">
        <f ca="1">IFERROR(__xludf.DUMMYFUNCTION("""COMPUTED_VALUE"""),"Alta")</f>
        <v>Alta</v>
      </c>
      <c r="K151" s="25">
        <f ca="1">IFERROR(__xludf.DUMMYFUNCTION("""COMPUTED_VALUE"""),30)</f>
        <v>30</v>
      </c>
      <c r="L151" s="55">
        <f ca="1">IFERROR(__xludf.DUMMYFUNCTION("""COMPUTED_VALUE"""),44887)</f>
        <v>44887</v>
      </c>
      <c r="M151" s="25" t="str">
        <f ca="1">IFERROR(__xludf.DUMMYFUNCTION("""COMPUTED_VALUE"""),"Desde la Secretaría de Seguridad no se tiene conocimiento del contexto de este compromiso, ni había sido informado previamente. Por este motivo, sugerimos que sea eliminado de la matriz. Adicionalmente, esa no es la función de las cámaras de videovigilanc"&amp;"ia de la ciudad, sino que la misma está relacionada con la seguridad ciudadana. ")</f>
        <v xml:space="preserve">Desde la Secretaría de Seguridad no se tiene conocimiento del contexto de este compromiso, ni había sido informado previamente. Por este motivo, sugerimos que sea eliminado de la matriz. Adicionalmente, esa no es la función de las cámaras de videovigilancia de la ciudad, sino que la misma está relacionada con la seguridad ciudadana. </v>
      </c>
      <c r="N151" s="55">
        <f ca="1">IFERROR(__xludf.DUMMYFUNCTION("""COMPUTED_VALUE"""),44887)</f>
        <v>44887</v>
      </c>
      <c r="O151" s="25" t="str">
        <f t="shared" ca="1" si="0"/>
        <v>Secretaría Distrital de Seguridad, Convivencia y Justicia</v>
      </c>
      <c r="P151" s="25" t="str">
        <f t="shared" si="1"/>
        <v/>
      </c>
      <c r="Q151" s="25" t="str">
        <f ca="1">IFERROR(__xludf.DUMMYFUNCTION("""COMPUTED_VALUE"""),"Corto plazo")</f>
        <v>Corto plazo</v>
      </c>
      <c r="R151" s="25"/>
      <c r="S151" s="55"/>
      <c r="T151" s="56"/>
      <c r="U151" s="25"/>
      <c r="V151" s="25"/>
      <c r="W151" s="25"/>
      <c r="X151" s="25"/>
      <c r="Y151" s="25"/>
      <c r="Z151" s="25"/>
    </row>
    <row r="152" spans="1:26" ht="52.5" customHeight="1" x14ac:dyDescent="0.25">
      <c r="A152" s="25" t="str">
        <f ca="1">IFERROR(__xludf.DUMMYFUNCTION("""COMPUTED_VALUE"""),"Segur150")</f>
        <v>Segur150</v>
      </c>
      <c r="B152" s="25" t="str">
        <f ca="1">IFERROR(__xludf.DUMMYFUNCTION("""COMPUTED_VALUE"""),"Despachando: FENALCO")</f>
        <v>Despachando: FENALCO</v>
      </c>
      <c r="C152" s="55">
        <f ca="1">IFERROR(__xludf.DUMMYFUNCTION("""COMPUTED_VALUE"""),44232)</f>
        <v>44232</v>
      </c>
      <c r="D152" s="25" t="str">
        <f ca="1">IFERROR(__xludf.DUMMYFUNCTION("""COMPUTED_VALUE"""),"Seguridad")</f>
        <v>Seguridad</v>
      </c>
      <c r="E152" s="25" t="str">
        <f ca="1">IFERROR(__xludf.DUMMYFUNCTION("""COMPUTED_VALUE"""),"Secretaría Distrital de Seguridad, Convivencia y Justicia")</f>
        <v>Secretaría Distrital de Seguridad, Convivencia y Justicia</v>
      </c>
      <c r="F152" s="25" t="str">
        <f ca="1">IFERROR(__xludf.DUMMYFUNCTION("""COMPUTED_VALUE"""),"Organizar Consejo de Seguridad privado, temas: contrabando, criminalidad y venta de repuestos de carros usados.")</f>
        <v>Organizar Consejo de Seguridad privado, temas: contrabando, criminalidad y venta de repuestos de carros usados.</v>
      </c>
      <c r="G152" s="25" t="str">
        <f ca="1">IFERROR(__xludf.DUMMYFUNCTION("""COMPUTED_VALUE"""),"99. Distrito")</f>
        <v>99. Distrito</v>
      </c>
      <c r="H152" s="55">
        <f ca="1">IFERROR(__xludf.DUMMYFUNCTION("""COMPUTED_VALUE"""),44262)</f>
        <v>44262</v>
      </c>
      <c r="I152" s="25"/>
      <c r="J152" s="55" t="str">
        <f ca="1">IFERROR(__xludf.DUMMYFUNCTION("""COMPUTED_VALUE"""),"Alta")</f>
        <v>Alta</v>
      </c>
      <c r="K152" s="25">
        <f ca="1">IFERROR(__xludf.DUMMYFUNCTION("""COMPUTED_VALUE"""),30)</f>
        <v>30</v>
      </c>
      <c r="L152" s="55">
        <f ca="1">IFERROR(__xludf.DUMMYFUNCTION("""COMPUTED_VALUE"""),44576)</f>
        <v>44576</v>
      </c>
      <c r="M152" s="25" t="str">
        <f ca="1">IFERROR(__xludf.DUMMYFUNCTION("""COMPUTED_VALUE"""),"Se concretó el día 16 de Febrero, la participación del Sr. Juan Esteban Orrego en el Consejo de Seguridad semanal con la Alcaldesa Claudia López y el Secretario de Seguridad Hugo Acero, entre otros.")</f>
        <v>Se concretó el día 16 de Febrero, la participación del Sr. Juan Esteban Orrego en el Consejo de Seguridad semanal con la Alcaldesa Claudia López y el Secretario de Seguridad Hugo Acero, entre otros.</v>
      </c>
      <c r="N152" s="55">
        <f ca="1">IFERROR(__xludf.DUMMYFUNCTION("""COMPUTED_VALUE"""),44576)</f>
        <v>44576</v>
      </c>
      <c r="O152" s="25" t="str">
        <f t="shared" ca="1" si="0"/>
        <v>Secretaría Distrital de Seguridad, Convivencia y Justicia</v>
      </c>
      <c r="P152" s="25" t="str">
        <f t="shared" si="1"/>
        <v/>
      </c>
      <c r="Q152" s="25" t="str">
        <f ca="1">IFERROR(__xludf.DUMMYFUNCTION("""COMPUTED_VALUE"""),"Corto plazo")</f>
        <v>Corto plazo</v>
      </c>
      <c r="R152" s="25"/>
      <c r="S152" s="55"/>
      <c r="T152" s="56"/>
      <c r="U152" s="25"/>
      <c r="V152" s="25"/>
      <c r="W152" s="25"/>
      <c r="X152" s="25"/>
      <c r="Y152" s="25"/>
      <c r="Z152" s="25"/>
    </row>
    <row r="153" spans="1:26" ht="52.5" customHeight="1" x14ac:dyDescent="0.25">
      <c r="A153" s="25" t="str">
        <f ca="1">IFERROR(__xludf.DUMMYFUNCTION("""COMPUTED_VALUE"""),"Segur151")</f>
        <v>Segur151</v>
      </c>
      <c r="B153" s="25" t="str">
        <f ca="1">IFERROR(__xludf.DUMMYFUNCTION("""COMPUTED_VALUE"""),"Plan de Seguridad ")</f>
        <v xml:space="preserve">Plan de Seguridad </v>
      </c>
      <c r="C153" s="55">
        <f ca="1">IFERROR(__xludf.DUMMYFUNCTION("""COMPUTED_VALUE"""),44142)</f>
        <v>44142</v>
      </c>
      <c r="D153" s="25" t="str">
        <f ca="1">IFERROR(__xludf.DUMMYFUNCTION("""COMPUTED_VALUE"""),"Seguridad")</f>
        <v>Seguridad</v>
      </c>
      <c r="E153" s="25" t="str">
        <f ca="1">IFERROR(__xludf.DUMMYFUNCTION("""COMPUTED_VALUE"""),"Secretaría Distrital de Seguridad, Convivencia y Justicia")</f>
        <v>Secretaría Distrital de Seguridad, Convivencia y Justicia</v>
      </c>
      <c r="F153" s="25" t="str">
        <f ca="1">IFERROR(__xludf.DUMMYFUNCTION("""COMPUTED_VALUE"""),"Actualizar el plan de seguridad con corte a diciembre 2020")</f>
        <v>Actualizar el plan de seguridad con corte a diciembre 2020</v>
      </c>
      <c r="G153" s="25" t="str">
        <f ca="1">IFERROR(__xludf.DUMMYFUNCTION("""COMPUTED_VALUE"""),"99. Distrito")</f>
        <v>99. Distrito</v>
      </c>
      <c r="H153" s="55">
        <f ca="1">IFERROR(__xludf.DUMMYFUNCTION("""COMPUTED_VALUE"""),44172)</f>
        <v>44172</v>
      </c>
      <c r="I153" s="25"/>
      <c r="J153" s="55" t="str">
        <f ca="1">IFERROR(__xludf.DUMMYFUNCTION("""COMPUTED_VALUE"""),"Alta")</f>
        <v>Alta</v>
      </c>
      <c r="K153" s="25">
        <f ca="1">IFERROR(__xludf.DUMMYFUNCTION("""COMPUTED_VALUE"""),30)</f>
        <v>30</v>
      </c>
      <c r="L153" s="55">
        <f ca="1">IFERROR(__xludf.DUMMYFUNCTION("""COMPUTED_VALUE"""),44455)</f>
        <v>44455</v>
      </c>
      <c r="M153" s="25" t="str">
        <f ca="1">IFERROR(__xludf.DUMMYFUNCTION("""COMPUTED_VALUE"""),"Se presenta el plan de seguridad y de intervención  de policía en Consejo de Seguridad del 18 de agosto de 2021 ")</f>
        <v xml:space="preserve">Se presenta el plan de seguridad y de intervención  de policía en Consejo de Seguridad del 18 de agosto de 2021 </v>
      </c>
      <c r="N153" s="55">
        <f ca="1">IFERROR(__xludf.DUMMYFUNCTION("""COMPUTED_VALUE"""),44455)</f>
        <v>44455</v>
      </c>
      <c r="O153" s="25" t="str">
        <f t="shared" ca="1" si="0"/>
        <v>Secretaría Distrital de Seguridad, Convivencia y Justicia</v>
      </c>
      <c r="P153" s="25" t="str">
        <f t="shared" si="1"/>
        <v/>
      </c>
      <c r="Q153" s="25" t="str">
        <f ca="1">IFERROR(__xludf.DUMMYFUNCTION("""COMPUTED_VALUE"""),"Corto plazo")</f>
        <v>Corto plazo</v>
      </c>
      <c r="R153" s="25"/>
      <c r="S153" s="55"/>
      <c r="T153" s="56"/>
      <c r="U153" s="25"/>
      <c r="V153" s="25"/>
      <c r="W153" s="25"/>
      <c r="X153" s="25"/>
      <c r="Y153" s="25"/>
      <c r="Z153" s="25"/>
    </row>
    <row r="154" spans="1:26" ht="52.5" customHeight="1" x14ac:dyDescent="0.25">
      <c r="A154" s="25" t="str">
        <f ca="1">IFERROR(__xludf.DUMMYFUNCTION("""COMPUTED_VALUE"""),"Segur152")</f>
        <v>Segur152</v>
      </c>
      <c r="B154" s="25" t="str">
        <f ca="1">IFERROR(__xludf.DUMMYFUNCTION("""COMPUTED_VALUE"""),"Proyectos estratégicos y de infraestructura Sector Seguridad ")</f>
        <v xml:space="preserve">Proyectos estratégicos y de infraestructura Sector Seguridad </v>
      </c>
      <c r="C154" s="55">
        <f ca="1">IFERROR(__xludf.DUMMYFUNCTION("""COMPUTED_VALUE"""),44142)</f>
        <v>44142</v>
      </c>
      <c r="D154" s="25" t="str">
        <f ca="1">IFERROR(__xludf.DUMMYFUNCTION("""COMPUTED_VALUE"""),"Seguridad")</f>
        <v>Seguridad</v>
      </c>
      <c r="E154" s="25" t="str">
        <f ca="1">IFERROR(__xludf.DUMMYFUNCTION("""COMPUTED_VALUE"""),"Secretaría Distrital de Seguridad, Convivencia y Justicia")</f>
        <v>Secretaría Distrital de Seguridad, Convivencia y Justicia</v>
      </c>
      <c r="F154" s="25" t="str">
        <f ca="1">IFERROR(__xludf.DUMMYFUNCTION("""COMPUTED_VALUE"""),"Establecer un plan de acción concreto para la construcción de la URI Norte y llevarlo a Junta ")</f>
        <v xml:space="preserve">Establecer un plan de acción concreto para la construcción de la URI Norte y llevarlo a Junta </v>
      </c>
      <c r="G154" s="25" t="str">
        <f ca="1">IFERROR(__xludf.DUMMYFUNCTION("""COMPUTED_VALUE"""),"99. Distrito")</f>
        <v>99. Distrito</v>
      </c>
      <c r="H154" s="55">
        <f ca="1">IFERROR(__xludf.DUMMYFUNCTION("""COMPUTED_VALUE"""),44172)</f>
        <v>44172</v>
      </c>
      <c r="I154" s="25"/>
      <c r="J154" s="55" t="str">
        <f ca="1">IFERROR(__xludf.DUMMYFUNCTION("""COMPUTED_VALUE"""),"Alta")</f>
        <v>Alta</v>
      </c>
      <c r="K154" s="25">
        <f ca="1">IFERROR(__xludf.DUMMYFUNCTION("""COMPUTED_VALUE"""),30)</f>
        <v>30</v>
      </c>
      <c r="L154" s="55">
        <f ca="1">IFERROR(__xludf.DUMMYFUNCTION("""COMPUTED_VALUE"""),44782)</f>
        <v>44782</v>
      </c>
      <c r="M154" s="25" t="str">
        <f ca="1">IFERROR(__xludf.DUMMYFUNCTION("""COMPUTED_VALUE"""),"Se sugiere eliminar este compromiso. El proceso de consultoría de la URI Norte ya está andando y se reporta a la Junta de Infraestructura. ")</f>
        <v xml:space="preserve">Se sugiere eliminar este compromiso. El proceso de consultoría de la URI Norte ya está andando y se reporta a la Junta de Infraestructura. </v>
      </c>
      <c r="N154" s="55">
        <f ca="1">IFERROR(__xludf.DUMMYFUNCTION("""COMPUTED_VALUE"""),44782)</f>
        <v>44782</v>
      </c>
      <c r="O154" s="25" t="str">
        <f t="shared" ca="1" si="0"/>
        <v>Secretaría Distrital de Seguridad, Convivencia y Justicia</v>
      </c>
      <c r="P154" s="25" t="str">
        <f t="shared" si="1"/>
        <v/>
      </c>
      <c r="Q154" s="25" t="str">
        <f ca="1">IFERROR(__xludf.DUMMYFUNCTION("""COMPUTED_VALUE"""),"Corto plazo")</f>
        <v>Corto plazo</v>
      </c>
      <c r="R154" s="25"/>
      <c r="S154" s="55"/>
      <c r="T154" s="56"/>
      <c r="U154" s="25"/>
      <c r="V154" s="25"/>
      <c r="W154" s="25"/>
      <c r="X154" s="25"/>
      <c r="Y154" s="25"/>
      <c r="Z154" s="25"/>
    </row>
    <row r="155" spans="1:26" ht="52.5" customHeight="1" x14ac:dyDescent="0.25">
      <c r="A155" s="25" t="str">
        <f ca="1">IFERROR(__xludf.DUMMYFUNCTION("""COMPUTED_VALUE"""),"Segur153")</f>
        <v>Segur153</v>
      </c>
      <c r="B155" s="25" t="str">
        <f ca="1">IFERROR(__xludf.DUMMYFUNCTION("""COMPUTED_VALUE"""),"Proyectos estratégicos y de infraestructura Sector Seguridad ")</f>
        <v xml:space="preserve">Proyectos estratégicos y de infraestructura Sector Seguridad </v>
      </c>
      <c r="C155" s="55">
        <f ca="1">IFERROR(__xludf.DUMMYFUNCTION("""COMPUTED_VALUE"""),44142)</f>
        <v>44142</v>
      </c>
      <c r="D155" s="25" t="str">
        <f ca="1">IFERROR(__xludf.DUMMYFUNCTION("""COMPUTED_VALUE"""),"Seguridad")</f>
        <v>Seguridad</v>
      </c>
      <c r="E155" s="25" t="str">
        <f ca="1">IFERROR(__xludf.DUMMYFUNCTION("""COMPUTED_VALUE"""),"Secretaría Distrital de Seguridad, Convivencia y Justicia")</f>
        <v>Secretaría Distrital de Seguridad, Convivencia y Justicia</v>
      </c>
      <c r="F155" s="25" t="str">
        <f ca="1">IFERROR(__xludf.DUMMYFUNCTION("""COMPUTED_VALUE"""),"Vincular al IDPAC para la creación de frentes y grupos ciudadanos 
presentar el estado del proyecto, en particular los avances en la búsqueda de predios privados.")</f>
        <v>Vincular al IDPAC para la creación de frentes y grupos ciudadanos 
presentar el estado del proyecto, en particular los avances en la búsqueda de predios privados.</v>
      </c>
      <c r="G155" s="25" t="str">
        <f ca="1">IFERROR(__xludf.DUMMYFUNCTION("""COMPUTED_VALUE"""),"99. Distrito")</f>
        <v>99. Distrito</v>
      </c>
      <c r="H155" s="55">
        <f ca="1">IFERROR(__xludf.DUMMYFUNCTION("""COMPUTED_VALUE"""),44172)</f>
        <v>44172</v>
      </c>
      <c r="I155" s="25"/>
      <c r="J155" s="55" t="str">
        <f ca="1">IFERROR(__xludf.DUMMYFUNCTION("""COMPUTED_VALUE"""),"Alta")</f>
        <v>Alta</v>
      </c>
      <c r="K155" s="25">
        <f ca="1">IFERROR(__xludf.DUMMYFUNCTION("""COMPUTED_VALUE"""),30)</f>
        <v>30</v>
      </c>
      <c r="L155" s="55">
        <f ca="1">IFERROR(__xludf.DUMMYFUNCTION("""COMPUTED_VALUE"""),44576)</f>
        <v>44576</v>
      </c>
      <c r="M155" s="25" t="str">
        <f ca="1">IFERROR(__xludf.DUMMYFUNCTION("""COMPUTED_VALUE"""),"Se crearon 3 cursos para redes y frentes con el IDPAC. De los mismos, 139 ciudadanos se graduaron en el mes de mayo del primer curso virtual ofertado a la comunidad, para resolución pacífica de conflictos y seguridad comunitaria. El 34% de los estudiantes"&amp;" fueron mujeres, 51% estuvo entre los 28 y 59 años y un 13% fueron personas mayores de 60 años.")</f>
        <v>Se crearon 3 cursos para redes y frentes con el IDPAC. De los mismos, 139 ciudadanos se graduaron en el mes de mayo del primer curso virtual ofertado a la comunidad, para resolución pacífica de conflictos y seguridad comunitaria. El 34% de los estudiantes fueron mujeres, 51% estuvo entre los 28 y 59 años y un 13% fueron personas mayores de 60 años.</v>
      </c>
      <c r="N155" s="55">
        <f ca="1">IFERROR(__xludf.DUMMYFUNCTION("""COMPUTED_VALUE"""),44576)</f>
        <v>44576</v>
      </c>
      <c r="O155" s="25" t="str">
        <f t="shared" ca="1" si="0"/>
        <v>Secretaría Distrital de Seguridad, Convivencia y Justicia</v>
      </c>
      <c r="P155" s="25" t="str">
        <f t="shared" si="1"/>
        <v/>
      </c>
      <c r="Q155" s="25" t="str">
        <f ca="1">IFERROR(__xludf.DUMMYFUNCTION("""COMPUTED_VALUE"""),"Corto plazo")</f>
        <v>Corto plazo</v>
      </c>
      <c r="R155" s="25"/>
      <c r="S155" s="55"/>
      <c r="T155" s="56"/>
      <c r="U155" s="25"/>
      <c r="V155" s="25"/>
      <c r="W155" s="25"/>
      <c r="X155" s="25"/>
      <c r="Y155" s="25"/>
      <c r="Z155" s="25"/>
    </row>
    <row r="156" spans="1:26" ht="52.5" customHeight="1" x14ac:dyDescent="0.25">
      <c r="A156" s="25" t="str">
        <f ca="1">IFERROR(__xludf.DUMMYFUNCTION("""COMPUTED_VALUE"""),"Segur154")</f>
        <v>Segur154</v>
      </c>
      <c r="B156" s="25" t="str">
        <f ca="1">IFERROR(__xludf.DUMMYFUNCTION("""COMPUTED_VALUE"""),"Recorrido COSEC")</f>
        <v>Recorrido COSEC</v>
      </c>
      <c r="C156" s="55">
        <f ca="1">IFERROR(__xludf.DUMMYFUNCTION("""COMPUTED_VALUE"""),44142)</f>
        <v>44142</v>
      </c>
      <c r="D156" s="25" t="str">
        <f ca="1">IFERROR(__xludf.DUMMYFUNCTION("""COMPUTED_VALUE"""),"Seguridad")</f>
        <v>Seguridad</v>
      </c>
      <c r="E156" s="25" t="str">
        <f ca="1">IFERROR(__xludf.DUMMYFUNCTION("""COMPUTED_VALUE"""),"Secretaría Distrital de Seguridad, Convivencia y Justicia")</f>
        <v>Secretaría Distrital de Seguridad, Convivencia y Justicia</v>
      </c>
      <c r="F156" s="25" t="str">
        <f ca="1">IFERROR(__xludf.DUMMYFUNCTION("""COMPUTED_VALUE"""),"coordinar con Secretario de Seguridad para tener registro de capturas sin judicializar de venezolanos")</f>
        <v>coordinar con Secretario de Seguridad para tener registro de capturas sin judicializar de venezolanos</v>
      </c>
      <c r="G156" s="25" t="str">
        <f ca="1">IFERROR(__xludf.DUMMYFUNCTION("""COMPUTED_VALUE"""),"99. Distrito")</f>
        <v>99. Distrito</v>
      </c>
      <c r="H156" s="55">
        <f ca="1">IFERROR(__xludf.DUMMYFUNCTION("""COMPUTED_VALUE"""),44172)</f>
        <v>44172</v>
      </c>
      <c r="I156" s="25"/>
      <c r="J156" s="55" t="str">
        <f ca="1">IFERROR(__xludf.DUMMYFUNCTION("""COMPUTED_VALUE"""),"Alta")</f>
        <v>Alta</v>
      </c>
      <c r="K156" s="25">
        <f ca="1">IFERROR(__xludf.DUMMYFUNCTION("""COMPUTED_VALUE"""),30)</f>
        <v>30</v>
      </c>
      <c r="L156" s="55">
        <f ca="1">IFERROR(__xludf.DUMMYFUNCTION("""COMPUTED_VALUE"""),44576)</f>
        <v>44576</v>
      </c>
      <c r="M156" s="25" t="str">
        <f ca="1">IFERROR(__xludf.DUMMYFUNCTION("""COMPUTED_VALUE"""),"La Secretaría de Seguridad remitió a final de la semana del 13 de noviembre el informe a la alcaldesa sobre el registro de capturas sin judicializar de personas venezolanas")</f>
        <v>La Secretaría de Seguridad remitió a final de la semana del 13 de noviembre el informe a la alcaldesa sobre el registro de capturas sin judicializar de personas venezolanas</v>
      </c>
      <c r="N156" s="55">
        <f ca="1">IFERROR(__xludf.DUMMYFUNCTION("""COMPUTED_VALUE"""),44576)</f>
        <v>44576</v>
      </c>
      <c r="O156" s="25" t="str">
        <f t="shared" ca="1" si="0"/>
        <v>Secretaría Distrital de Seguridad, Convivencia y Justicia</v>
      </c>
      <c r="P156" s="25" t="str">
        <f t="shared" si="1"/>
        <v/>
      </c>
      <c r="Q156" s="25" t="str">
        <f ca="1">IFERROR(__xludf.DUMMYFUNCTION("""COMPUTED_VALUE"""),"Corto plazo")</f>
        <v>Corto plazo</v>
      </c>
      <c r="R156" s="25"/>
      <c r="S156" s="55"/>
      <c r="T156" s="56"/>
      <c r="U156" s="25"/>
      <c r="V156" s="25"/>
      <c r="W156" s="25"/>
      <c r="X156" s="25"/>
      <c r="Y156" s="25"/>
      <c r="Z156" s="25"/>
    </row>
    <row r="157" spans="1:26" ht="52.5" customHeight="1" x14ac:dyDescent="0.25">
      <c r="A157" s="25" t="str">
        <f ca="1">IFERROR(__xludf.DUMMYFUNCTION("""COMPUTED_VALUE"""),"Segur155")</f>
        <v>Segur155</v>
      </c>
      <c r="B157" s="25" t="str">
        <f ca="1">IFERROR(__xludf.DUMMYFUNCTION("""COMPUTED_VALUE"""),"Visita DIPOL")</f>
        <v>Visita DIPOL</v>
      </c>
      <c r="C157" s="55">
        <f ca="1">IFERROR(__xludf.DUMMYFUNCTION("""COMPUTED_VALUE"""),44121)</f>
        <v>44121</v>
      </c>
      <c r="D157" s="25" t="str">
        <f ca="1">IFERROR(__xludf.DUMMYFUNCTION("""COMPUTED_VALUE"""),"Seguridad")</f>
        <v>Seguridad</v>
      </c>
      <c r="E157" s="25" t="str">
        <f ca="1">IFERROR(__xludf.DUMMYFUNCTION("""COMPUTED_VALUE"""),"Secretaría Distrital de Seguridad, Convivencia y Justicia")</f>
        <v>Secretaría Distrital de Seguridad, Convivencia y Justicia</v>
      </c>
      <c r="F157" s="25" t="str">
        <f ca="1">IFERROR(__xludf.DUMMYFUNCTION("""COMPUTED_VALUE"""),"Revisar los planos de MEBOG para que las salas para análisis de inteligencia queden allí")</f>
        <v>Revisar los planos de MEBOG para que las salas para análisis de inteligencia queden allí</v>
      </c>
      <c r="G157" s="25" t="str">
        <f ca="1">IFERROR(__xludf.DUMMYFUNCTION("""COMPUTED_VALUE"""),"99. Distrito")</f>
        <v>99. Distrito</v>
      </c>
      <c r="H157" s="55">
        <f ca="1">IFERROR(__xludf.DUMMYFUNCTION("""COMPUTED_VALUE"""),44151)</f>
        <v>44151</v>
      </c>
      <c r="I157" s="25"/>
      <c r="J157" s="55" t="str">
        <f ca="1">IFERROR(__xludf.DUMMYFUNCTION("""COMPUTED_VALUE"""),"Alta")</f>
        <v>Alta</v>
      </c>
      <c r="K157" s="25">
        <f ca="1">IFERROR(__xludf.DUMMYFUNCTION("""COMPUTED_VALUE"""),30)</f>
        <v>30</v>
      </c>
      <c r="L157" s="55">
        <f ca="1">IFERROR(__xludf.DUMMYFUNCTION("""COMPUTED_VALUE"""),44576)</f>
        <v>44576</v>
      </c>
      <c r="M157" s="25" t="str">
        <f ca="1">IFERROR(__xludf.DUMMYFUNCTION("""COMPUTED_VALUE"""),"A partir de la solicitud elevada por la MEBOG, La SCJ empezó a evaluar la posibilidad de realizar esta modificación al proyecto del nuevo comando de la Mebog, encontrando que desde el punto de vista de licencias, plan de implantación y ambito contractual,"&amp;" dicha solicitud realizada por la policía metropolitana no era procedente ya que implicaba asumir varios riesgos tanto jurídicos y como de seguros")</f>
        <v>A partir de la solicitud elevada por la MEBOG, La SCJ empezó a evaluar la posibilidad de realizar esta modificación al proyecto del nuevo comando de la Mebog, encontrando que desde el punto de vista de licencias, plan de implantación y ambito contractual, dicha solicitud realizada por la policía metropolitana no era procedente ya que implicaba asumir varios riesgos tanto jurídicos y como de seguros</v>
      </c>
      <c r="N157" s="55">
        <f ca="1">IFERROR(__xludf.DUMMYFUNCTION("""COMPUTED_VALUE"""),44576)</f>
        <v>44576</v>
      </c>
      <c r="O157" s="25" t="str">
        <f t="shared" ca="1" si="0"/>
        <v>Secretaría Distrital de Seguridad, Convivencia y Justicia</v>
      </c>
      <c r="P157" s="25" t="str">
        <f t="shared" si="1"/>
        <v/>
      </c>
      <c r="Q157" s="25" t="str">
        <f ca="1">IFERROR(__xludf.DUMMYFUNCTION("""COMPUTED_VALUE"""),"Corto plazo")</f>
        <v>Corto plazo</v>
      </c>
      <c r="R157" s="25"/>
      <c r="S157" s="55"/>
      <c r="T157" s="56"/>
      <c r="U157" s="25"/>
      <c r="V157" s="25"/>
      <c r="W157" s="25"/>
      <c r="X157" s="25"/>
      <c r="Y157" s="25"/>
      <c r="Z157" s="25"/>
    </row>
    <row r="158" spans="1:26" ht="52.5" customHeight="1" x14ac:dyDescent="0.25">
      <c r="A158" s="25" t="str">
        <f ca="1">IFERROR(__xludf.DUMMYFUNCTION("""COMPUTED_VALUE"""),"Segur156")</f>
        <v>Segur156</v>
      </c>
      <c r="B158" s="25" t="str">
        <f ca="1">IFERROR(__xludf.DUMMYFUNCTION("""COMPUTED_VALUE"""),"SIDICU Planes 2022")</f>
        <v>SIDICU Planes 2022</v>
      </c>
      <c r="C158" s="55">
        <f ca="1">IFERROR(__xludf.DUMMYFUNCTION("""COMPUTED_VALUE"""),44600)</f>
        <v>44600</v>
      </c>
      <c r="D158" s="25" t="str">
        <f ca="1">IFERROR(__xludf.DUMMYFUNCTION("""COMPUTED_VALUE"""),"Seguridad")</f>
        <v>Seguridad</v>
      </c>
      <c r="E158" s="25" t="str">
        <f ca="1">IFERROR(__xludf.DUMMYFUNCTION("""COMPUTED_VALUE"""),"Secretaría Distrital de Seguridad, Convivencia y Justicia")</f>
        <v>Secretaría Distrital de Seguridad, Convivencia y Justicia</v>
      </c>
      <c r="F158" s="25" t="str">
        <f ca="1">IFERROR(__xludf.DUMMYFUNCTION("""COMPUTED_VALUE"""),"Poner CAI móvil en Mártires")</f>
        <v>Poner CAI móvil en Mártires</v>
      </c>
      <c r="G158" s="25" t="str">
        <f ca="1">IFERROR(__xludf.DUMMYFUNCTION("""COMPUTED_VALUE"""),"14. Martires")</f>
        <v>14. Martires</v>
      </c>
      <c r="H158" s="55">
        <f ca="1">IFERROR(__xludf.DUMMYFUNCTION("""COMPUTED_VALUE"""),44630)</f>
        <v>44630</v>
      </c>
      <c r="I158" s="25"/>
      <c r="J158" s="55" t="str">
        <f ca="1">IFERROR(__xludf.DUMMYFUNCTION("""COMPUTED_VALUE"""),"Alta")</f>
        <v>Alta</v>
      </c>
      <c r="K158" s="25">
        <f ca="1">IFERROR(__xludf.DUMMYFUNCTION("""COMPUTED_VALUE"""),30)</f>
        <v>30</v>
      </c>
      <c r="L158" s="55">
        <f ca="1">IFERROR(__xludf.DUMMYFUNCTION("""COMPUTED_VALUE"""),44887)</f>
        <v>44887</v>
      </c>
      <c r="M158" s="25" t="str">
        <f ca="1">IFERROR(__xludf.DUMMYFUNCTION("""COMPUTED_VALUE"""),"Respecto a la solicitud del CAI Móvil, hicimos una revisión de los CAI cercanos al Castillo de Las Artes (ubicación de la Manzana del Cuidado de Mártires) y encontramos los siguientes: (i) CAI Samper Mendoza - 1km y (II) CAI Paloquemao - 1,8km.  
Las nec"&amp;"esidades en materia de operatividad de la ciudad nos impiden poner un CAI Móvil en este espacio, sin embargo, la Secretaría de Seguridad se encuentra en proceso de contratación de 4 CAI móviles para cada uno de los COSEC. La licitación para la adquisición"&amp;" de estos vehículos está en proceso y se tiene proyectado adjudicar el proceso el 28 de diciembre. La entrega se realizaría en el primer trimestre de 2023. ")</f>
        <v xml:space="preserve">Respecto a la solicitud del CAI Móvil, hicimos una revisión de los CAI cercanos al Castillo de Las Artes (ubicación de la Manzana del Cuidado de Mártires) y encontramos los siguientes: (i) CAI Samper Mendoza - 1km y (II) CAI Paloquemao - 1,8km.  
Las necesidades en materia de operatividad de la ciudad nos impiden poner un CAI Móvil en este espacio, sin embargo, la Secretaría de Seguridad se encuentra en proceso de contratación de 4 CAI móviles para cada uno de los COSEC. La licitación para la adquisición de estos vehículos está en proceso y se tiene proyectado adjudicar el proceso el 28 de diciembre. La entrega se realizaría en el primer trimestre de 2023. </v>
      </c>
      <c r="N158" s="55">
        <f ca="1">IFERROR(__xludf.DUMMYFUNCTION("""COMPUTED_VALUE"""),44887)</f>
        <v>44887</v>
      </c>
      <c r="O158" s="25" t="str">
        <f t="shared" ca="1" si="0"/>
        <v>Secretaría Distrital de Seguridad, Convivencia y Justicia</v>
      </c>
      <c r="P158" s="25" t="str">
        <f t="shared" si="1"/>
        <v/>
      </c>
      <c r="Q158" s="25" t="str">
        <f ca="1">IFERROR(__xludf.DUMMYFUNCTION("""COMPUTED_VALUE"""),"Corto plazo")</f>
        <v>Corto plazo</v>
      </c>
      <c r="R158" s="25"/>
      <c r="S158" s="55"/>
      <c r="T158" s="56"/>
      <c r="U158" s="25"/>
      <c r="V158" s="25"/>
      <c r="W158" s="25"/>
      <c r="X158" s="25"/>
      <c r="Y158" s="25"/>
      <c r="Z158" s="25"/>
    </row>
    <row r="159" spans="1:26" ht="52.5" customHeight="1" x14ac:dyDescent="0.25">
      <c r="A159" s="25" t="str">
        <f ca="1">IFERROR(__xludf.DUMMYFUNCTION("""COMPUTED_VALUE"""),"Segur157")</f>
        <v>Segur157</v>
      </c>
      <c r="B159" s="25" t="str">
        <f ca="1">IFERROR(__xludf.DUMMYFUNCTION("""COMPUTED_VALUE"""),"Recorrido Usme ")</f>
        <v xml:space="preserve">Recorrido Usme </v>
      </c>
      <c r="C159" s="55">
        <f ca="1">IFERROR(__xludf.DUMMYFUNCTION("""COMPUTED_VALUE"""),44798)</f>
        <v>44798</v>
      </c>
      <c r="D159" s="25" t="str">
        <f ca="1">IFERROR(__xludf.DUMMYFUNCTION("""COMPUTED_VALUE"""),"Seguridad")</f>
        <v>Seguridad</v>
      </c>
      <c r="E159" s="25" t="str">
        <f ca="1">IFERROR(__xludf.DUMMYFUNCTION("""COMPUTED_VALUE"""),"Secretaría Distrital de Seguridad, Convivencia y Justicia")</f>
        <v>Secretaría Distrital de Seguridad, Convivencia y Justicia</v>
      </c>
      <c r="F159" s="25" t="str">
        <f ca="1">IFERROR(__xludf.DUMMYFUNCTION("""COMPUTED_VALUE"""),"Generar acciones que promuevan una mayor articulación entre la comunidad y la Policía. ")</f>
        <v xml:space="preserve">Generar acciones que promuevan una mayor articulación entre la comunidad y la Policía. </v>
      </c>
      <c r="G159" s="55" t="str">
        <f ca="1">IFERROR(__xludf.DUMMYFUNCTION("""COMPUTED_VALUE"""),"05. Usme")</f>
        <v>05. Usme</v>
      </c>
      <c r="H159" s="55">
        <f ca="1">IFERROR(__xludf.DUMMYFUNCTION("""COMPUTED_VALUE"""),44828)</f>
        <v>44828</v>
      </c>
      <c r="I159" s="25"/>
      <c r="J159" s="55" t="str">
        <f ca="1">IFERROR(__xludf.DUMMYFUNCTION("""COMPUTED_VALUE"""),"Alta")</f>
        <v>Alta</v>
      </c>
      <c r="K159" s="25">
        <f ca="1">IFERROR(__xludf.DUMMYFUNCTION("""COMPUTED_VALUE"""),30)</f>
        <v>30</v>
      </c>
      <c r="L159" s="55">
        <f ca="1">IFERROR(__xludf.DUMMYFUNCTION("""COMPUTED_VALUE"""),44888)</f>
        <v>44888</v>
      </c>
      <c r="M159" s="25" t="str">
        <f ca="1">IFERROR(__xludf.DUMMYFUNCTION("""COMPUTED_VALUE"""),"En el marco del proceso de articulación con la Policía Nacional y la comunidad, el equipo territorial de la SDSCJ realiza al mes 4 reuniones de planeación para atender las demandas comunitarias en materia de seguridad y convivencia. 
Por otra parte, se re"&amp;"aliza un consejo de seguridad en el cual se revisan los compromisos que involucran las comunidades y la ejecución de los mismos, priorizando acciones a desarrollar con el fin de mitigar, contener o reducir el delito, igualmente se realizan acciones de pre"&amp;"vención y fortalecimientos a través de los encuentros comunitarios convocados por policía para atender a la comunidad (aproximadamente 9 encuentros en el mes). 
Por último, se informa que mes a mes se realiza trabajo de fortalecimiento de redes de cuidado"&amp;" (acciones de prevención y control del delito articuladas con policía), en Usme son 39 redes.
")</f>
        <v xml:space="preserve">En el marco del proceso de articulación con la Policía Nacional y la comunidad, el equipo territorial de la SDSCJ realiza al mes 4 reuniones de planeación para atender las demandas comunitarias en materia de seguridad y convivencia. 
Por otra parte, se realiza un consejo de seguridad en el cual se revisan los compromisos que involucran las comunidades y la ejecución de los mismos, priorizando acciones a desarrollar con el fin de mitigar, contener o reducir el delito, igualmente se realizan acciones de prevención y fortalecimientos a través de los encuentros comunitarios convocados por policía para atender a la comunidad (aproximadamente 9 encuentros en el mes). 
Por último, se informa que mes a mes se realiza trabajo de fortalecimiento de redes de cuidado (acciones de prevención y control del delito articuladas con policía), en Usme son 39 redes.
</v>
      </c>
      <c r="N159" s="55">
        <f ca="1">IFERROR(__xludf.DUMMYFUNCTION("""COMPUTED_VALUE"""),44888)</f>
        <v>44888</v>
      </c>
      <c r="O159" s="25" t="str">
        <f t="shared" ca="1" si="0"/>
        <v>Secretaría Distrital de Seguridad, Convivencia y Justicia</v>
      </c>
      <c r="P159" s="25" t="str">
        <f t="shared" si="1"/>
        <v/>
      </c>
      <c r="Q159" s="25" t="str">
        <f ca="1">IFERROR(__xludf.DUMMYFUNCTION("""COMPUTED_VALUE"""),"Corto plazo")</f>
        <v>Corto plazo</v>
      </c>
      <c r="R159" s="25"/>
      <c r="S159" s="55"/>
      <c r="T159" s="56"/>
      <c r="U159" s="25"/>
      <c r="V159" s="25"/>
      <c r="W159" s="25"/>
      <c r="X159" s="25"/>
      <c r="Y159" s="25"/>
      <c r="Z159" s="25"/>
    </row>
    <row r="160" spans="1:26" ht="52.5" customHeight="1" x14ac:dyDescent="0.25">
      <c r="A160" s="25" t="str">
        <f ca="1">IFERROR(__xludf.DUMMYFUNCTION("""COMPUTED_VALUE"""),"Segur158")</f>
        <v>Segur158</v>
      </c>
      <c r="B160" s="25" t="str">
        <f ca="1">IFERROR(__xludf.DUMMYFUNCTION("""COMPUTED_VALUE"""),"Recorrido Usme ")</f>
        <v xml:space="preserve">Recorrido Usme </v>
      </c>
      <c r="C160" s="55">
        <f ca="1">IFERROR(__xludf.DUMMYFUNCTION("""COMPUTED_VALUE"""),44798)</f>
        <v>44798</v>
      </c>
      <c r="D160" s="25" t="str">
        <f ca="1">IFERROR(__xludf.DUMMYFUNCTION("""COMPUTED_VALUE"""),"Seguridad")</f>
        <v>Seguridad</v>
      </c>
      <c r="E160" s="25" t="str">
        <f ca="1">IFERROR(__xludf.DUMMYFUNCTION("""COMPUTED_VALUE"""),"Secretaría Distrital de Seguridad, Convivencia y Justicia")</f>
        <v>Secretaría Distrital de Seguridad, Convivencia y Justicia</v>
      </c>
      <c r="F160" s="25" t="str">
        <f ca="1">IFERROR(__xludf.DUMMYFUNCTION("""COMPUTED_VALUE"""),"Ubicar un CAI Móvil en la parte alta de Usme. ")</f>
        <v xml:space="preserve">Ubicar un CAI Móvil en la parte alta de Usme. </v>
      </c>
      <c r="G160" s="55" t="str">
        <f ca="1">IFERROR(__xludf.DUMMYFUNCTION("""COMPUTED_VALUE"""),"05. Usme")</f>
        <v>05. Usme</v>
      </c>
      <c r="H160" s="55">
        <f ca="1">IFERROR(__xludf.DUMMYFUNCTION("""COMPUTED_VALUE"""),44828)</f>
        <v>44828</v>
      </c>
      <c r="I160" s="25"/>
      <c r="J160" s="55" t="str">
        <f ca="1">IFERROR(__xludf.DUMMYFUNCTION("""COMPUTED_VALUE"""),"Alta")</f>
        <v>Alta</v>
      </c>
      <c r="K160" s="25">
        <f ca="1">IFERROR(__xludf.DUMMYFUNCTION("""COMPUTED_VALUE"""),30)</f>
        <v>30</v>
      </c>
      <c r="L160" s="55">
        <f ca="1">IFERROR(__xludf.DUMMYFUNCTION("""COMPUTED_VALUE"""),44887)</f>
        <v>44887</v>
      </c>
      <c r="M160" s="25" t="str">
        <f ca="1">IFERROR(__xludf.DUMMYFUNCTION("""COMPUTED_VALUE"""),"Las necesidades en materia de operatividad de la ciudad nos impiden poner un CAI Móvil en este espacio. Sin embargo, la Secretaría de Seguridad se encuentra en proceso de contratación de 4 CAI móviles para cada uno de los COSEC. La licitación para la adqu"&amp;"isición de estos vehículos está en proceso y se tiene proyectado adjudicar el proceso el 28 de diciembre. La entrega se realizaría en el primer trimestre de 2023. ")</f>
        <v xml:space="preserve">Las necesidades en materia de operatividad de la ciudad nos impiden poner un CAI Móvil en este espacio. Sin embargo, la Secretaría de Seguridad se encuentra en proceso de contratación de 4 CAI móviles para cada uno de los COSEC. La licitación para la adquisición de estos vehículos está en proceso y se tiene proyectado adjudicar el proceso el 28 de diciembre. La entrega se realizaría en el primer trimestre de 2023. </v>
      </c>
      <c r="N160" s="55">
        <f ca="1">IFERROR(__xludf.DUMMYFUNCTION("""COMPUTED_VALUE"""),44887)</f>
        <v>44887</v>
      </c>
      <c r="O160" s="25" t="str">
        <f t="shared" ca="1" si="0"/>
        <v>Secretaría Distrital de Seguridad, Convivencia y Justicia</v>
      </c>
      <c r="P160" s="25" t="str">
        <f t="shared" si="1"/>
        <v/>
      </c>
      <c r="Q160" s="25" t="str">
        <f ca="1">IFERROR(__xludf.DUMMYFUNCTION("""COMPUTED_VALUE"""),"Corto plazo")</f>
        <v>Corto plazo</v>
      </c>
      <c r="R160" s="25"/>
      <c r="S160" s="55"/>
      <c r="T160" s="56"/>
      <c r="U160" s="25"/>
      <c r="V160" s="25"/>
      <c r="W160" s="25"/>
      <c r="X160" s="25"/>
      <c r="Y160" s="25"/>
      <c r="Z160" s="25"/>
    </row>
    <row r="161" spans="1:26" ht="52.5" customHeight="1" x14ac:dyDescent="0.25">
      <c r="A161" s="25" t="str">
        <f ca="1">IFERROR(__xludf.DUMMYFUNCTION("""COMPUTED_VALUE"""),"Segur159")</f>
        <v>Segur159</v>
      </c>
      <c r="B161" s="25" t="str">
        <f ca="1">IFERROR(__xludf.DUMMYFUNCTION("""COMPUTED_VALUE"""),"Comité gestión de riesgos")</f>
        <v>Comité gestión de riesgos</v>
      </c>
      <c r="C161" s="55">
        <f ca="1">IFERROR(__xludf.DUMMYFUNCTION("""COMPUTED_VALUE"""),44824)</f>
        <v>44824</v>
      </c>
      <c r="D161" s="25" t="str">
        <f ca="1">IFERROR(__xludf.DUMMYFUNCTION("""COMPUTED_VALUE"""),"Seguridad")</f>
        <v>Seguridad</v>
      </c>
      <c r="E161" s="25" t="str">
        <f ca="1">IFERROR(__xludf.DUMMYFUNCTION("""COMPUTED_VALUE"""),"Secretaría Distrital de Seguridad, Convivencia y Justicia")</f>
        <v>Secretaría Distrital de Seguridad, Convivencia y Justicia</v>
      </c>
      <c r="F161" s="25" t="str">
        <f ca="1">IFERROR(__xludf.DUMMYFUNCTION("""COMPUTED_VALUE"""),"Plan de mitigación para la línea 123 que recibirá más llamadas a raíz de la temporada de lluvias. ")</f>
        <v xml:space="preserve">Plan de mitigación para la línea 123 que recibirá más llamadas a raíz de la temporada de lluvias. </v>
      </c>
      <c r="G161" s="25" t="str">
        <f ca="1">IFERROR(__xludf.DUMMYFUNCTION("""COMPUTED_VALUE"""),"99. Distrito")</f>
        <v>99. Distrito</v>
      </c>
      <c r="H161" s="55">
        <f ca="1">IFERROR(__xludf.DUMMYFUNCTION("""COMPUTED_VALUE"""),44854)</f>
        <v>44854</v>
      </c>
      <c r="I161" s="25"/>
      <c r="J161" s="55" t="str">
        <f ca="1">IFERROR(__xludf.DUMMYFUNCTION("""COMPUTED_VALUE"""),"Alta")</f>
        <v>Alta</v>
      </c>
      <c r="K161" s="25">
        <f ca="1">IFERROR(__xludf.DUMMYFUNCTION("""COMPUTED_VALUE"""),30)</f>
        <v>30</v>
      </c>
      <c r="L161" s="55">
        <f ca="1">IFERROR(__xludf.DUMMYFUNCTION("""COMPUTED_VALUE"""),44887)</f>
        <v>44887</v>
      </c>
      <c r="M161" s="25" t="str">
        <f ca="1">IFERROR(__xludf.DUMMYFUNCTION("""COMPUTED_VALUE"""),"El plan fue entregado y presentado para el plan de lluvias del último trimestre del año.")</f>
        <v>El plan fue entregado y presentado para el plan de lluvias del último trimestre del año.</v>
      </c>
      <c r="N161" s="55">
        <f ca="1">IFERROR(__xludf.DUMMYFUNCTION("""COMPUTED_VALUE"""),44887)</f>
        <v>44887</v>
      </c>
      <c r="O161" s="25" t="str">
        <f t="shared" ca="1" si="0"/>
        <v>Secretaría Distrital de Seguridad, Convivencia y Justicia</v>
      </c>
      <c r="P161" s="25" t="str">
        <f t="shared" si="1"/>
        <v/>
      </c>
      <c r="Q161" s="25" t="str">
        <f ca="1">IFERROR(__xludf.DUMMYFUNCTION("""COMPUTED_VALUE"""),"Corto plazo")</f>
        <v>Corto plazo</v>
      </c>
      <c r="R161" s="25"/>
      <c r="S161" s="55"/>
      <c r="T161" s="56"/>
      <c r="U161" s="25"/>
      <c r="V161" s="25"/>
      <c r="W161" s="25"/>
      <c r="X161" s="25"/>
      <c r="Y161" s="25"/>
      <c r="Z161" s="25"/>
    </row>
    <row r="162" spans="1:26" ht="52.5" customHeight="1" x14ac:dyDescent="0.25">
      <c r="A162" s="25" t="str">
        <f ca="1">IFERROR(__xludf.DUMMYFUNCTION("""COMPUTED_VALUE"""),"Segur160")</f>
        <v>Segur160</v>
      </c>
      <c r="B162" s="25" t="str">
        <f ca="1">IFERROR(__xludf.DUMMYFUNCTION("""COMPUTED_VALUE"""),"Reunión CAIDS-G")</f>
        <v>Reunión CAIDS-G</v>
      </c>
      <c r="C162" s="55">
        <f ca="1">IFERROR(__xludf.DUMMYFUNCTION("""COMPUTED_VALUE"""),44826)</f>
        <v>44826</v>
      </c>
      <c r="D162" s="25" t="str">
        <f ca="1">IFERROR(__xludf.DUMMYFUNCTION("""COMPUTED_VALUE"""),"Seguridad")</f>
        <v>Seguridad</v>
      </c>
      <c r="E162" s="25" t="str">
        <f ca="1">IFERROR(__xludf.DUMMYFUNCTION("""COMPUTED_VALUE"""),"Secretaría Distrital de Seguridad, Convivencia y Justicia")</f>
        <v>Secretaría Distrital de Seguridad, Convivencia y Justicia</v>
      </c>
      <c r="F162" s="25" t="str">
        <f ca="1">IFERROR(__xludf.DUMMYFUNCTION("""COMPUTED_VALUE"""),"Capacitar a los miembros de la fuerza pública y policía con un protocolo especial de translado para personas trans, para disminuir la vulneración a la comunidad.")</f>
        <v>Capacitar a los miembros de la fuerza pública y policía con un protocolo especial de translado para personas trans, para disminuir la vulneración a la comunidad.</v>
      </c>
      <c r="G162" s="25" t="str">
        <f ca="1">IFERROR(__xludf.DUMMYFUNCTION("""COMPUTED_VALUE"""),"14. Martires")</f>
        <v>14. Martires</v>
      </c>
      <c r="H162" s="55">
        <f ca="1">IFERROR(__xludf.DUMMYFUNCTION("""COMPUTED_VALUE"""),44835)</f>
        <v>44835</v>
      </c>
      <c r="I162" s="25" t="str">
        <f ca="1">IFERROR(__xludf.DUMMYFUNCTION("""COMPUTED_VALUE"""),"Delivery Unit")</f>
        <v>Delivery Unit</v>
      </c>
      <c r="J162" s="55" t="str">
        <f ca="1">IFERROR(__xludf.DUMMYFUNCTION("""COMPUTED_VALUE"""),"Alta")</f>
        <v>Alta</v>
      </c>
      <c r="K162" s="25">
        <f ca="1">IFERROR(__xludf.DUMMYFUNCTION("""COMPUTED_VALUE"""),9)</f>
        <v>9</v>
      </c>
      <c r="L162" s="55">
        <f ca="1">IFERROR(__xludf.DUMMYFUNCTION("""COMPUTED_VALUE"""),45077)</f>
        <v>45077</v>
      </c>
      <c r="M162" s="25" t="str">
        <f ca="1">IFERROR(__xludf.DUMMYFUNCTION("""COMPUTED_VALUE"""),"En el marco de la construcción y actualización del protocolo de protección a personas trans, se han desarrollado dos mesas de trabajo en conjunto con la Policía Nacional, La Secretaría Distrital de Planeación – Dirección de Diversidad Sexual y la Secretar"&amp;"ía Distrital de Seguridad, Convivencia y Justicia.  Así mismo en materia de formación a la policía se han formado 350 policías de las localidades de la zona centro. Adicionalmente, el protocolo ya existe y se está aplicando.
Con base en el ultimo avance "&amp;"presentado de las reuniones con DDHH MEBOG, desde la estrategia LGBTI, se han adelantado acciones en las distintas estaciones de policía en las localidades de la ciudad junto con la Dirección de Diversidad Sexual, de lo cual también saldrán insumos para l"&amp;"a construcción del protocolo.
La fecha estimada para la elaboración y aprobación del protocolo es el 30 de septiembre de 2023.")</f>
        <v>En el marco de la construcción y actualización del protocolo de protección a personas trans, se han desarrollado dos mesas de trabajo en conjunto con la Policía Nacional, La Secretaría Distrital de Planeación – Dirección de Diversidad Sexual y la Secretaría Distrital de Seguridad, Convivencia y Justicia.  Así mismo en materia de formación a la policía se han formado 350 policías de las localidades de la zona centro. Adicionalmente, el protocolo ya existe y se está aplicando.
Con base en el ultimo avance presentado de las reuniones con DDHH MEBOG, desde la estrategia LGBTI, se han adelantado acciones en las distintas estaciones de policía en las localidades de la ciudad junto con la Dirección de Diversidad Sexual, de lo cual también saldrán insumos para la construcción del protocolo.
La fecha estimada para la elaboración y aprobación del protocolo es el 30 de septiembre de 2023.</v>
      </c>
      <c r="N162" s="55">
        <f ca="1">IFERROR(__xludf.DUMMYFUNCTION("""COMPUTED_VALUE"""),44887)</f>
        <v>44887</v>
      </c>
      <c r="O162" s="25" t="str">
        <f t="shared" ca="1" si="0"/>
        <v>Secretaría Distrital de Seguridad, Convivencia y Justicia</v>
      </c>
      <c r="P162" s="25" t="str">
        <f t="shared" ca="1" si="1"/>
        <v/>
      </c>
      <c r="Q162" s="25" t="str">
        <f ca="1">IFERROR(__xludf.DUMMYFUNCTION("""COMPUTED_VALUE"""),"Corto plazo")</f>
        <v>Corto plazo</v>
      </c>
      <c r="R162" s="25"/>
      <c r="S162" s="55"/>
      <c r="T162" s="56"/>
      <c r="U162" s="25"/>
      <c r="V162" s="25"/>
      <c r="W162" s="25"/>
      <c r="X162" s="25"/>
      <c r="Y162" s="25"/>
      <c r="Z162" s="25"/>
    </row>
    <row r="163" spans="1:26" ht="52.5" customHeight="1" x14ac:dyDescent="0.25">
      <c r="A163" s="25" t="str">
        <f ca="1">IFERROR(__xludf.DUMMYFUNCTION("""COMPUTED_VALUE"""),"Segur161")</f>
        <v>Segur161</v>
      </c>
      <c r="B163" s="25" t="str">
        <f ca="1">IFERROR(__xludf.DUMMYFUNCTION("""COMPUTED_VALUE"""),"Reunión CAIDS-G        ")</f>
        <v xml:space="preserve">Reunión CAIDS-G        </v>
      </c>
      <c r="C163" s="55">
        <f ca="1">IFERROR(__xludf.DUMMYFUNCTION("""COMPUTED_VALUE"""),44826)</f>
        <v>44826</v>
      </c>
      <c r="D163" s="25" t="str">
        <f ca="1">IFERROR(__xludf.DUMMYFUNCTION("""COMPUTED_VALUE"""),"Seguridad")</f>
        <v>Seguridad</v>
      </c>
      <c r="E163" s="25" t="str">
        <f ca="1">IFERROR(__xludf.DUMMYFUNCTION("""COMPUTED_VALUE"""),"Secretaría Distrital de Seguridad, Convivencia y Justicia")</f>
        <v>Secretaría Distrital de Seguridad, Convivencia y Justicia</v>
      </c>
      <c r="F163" s="25" t="str">
        <f ca="1">IFERROR(__xludf.DUMMYFUNCTION("""COMPUTED_VALUE"""),"Realizar jornadas de reconciliación población-policía en los 4 caids de la ciudad.")</f>
        <v>Realizar jornadas de reconciliación población-policía en los 4 caids de la ciudad.</v>
      </c>
      <c r="G163" s="25" t="str">
        <f ca="1">IFERROR(__xludf.DUMMYFUNCTION("""COMPUTED_VALUE"""),"14. Martires")</f>
        <v>14. Martires</v>
      </c>
      <c r="H163" s="55">
        <f ca="1">IFERROR(__xludf.DUMMYFUNCTION("""COMPUTED_VALUE"""),44926)</f>
        <v>44926</v>
      </c>
      <c r="I163" s="25"/>
      <c r="J163" s="55" t="str">
        <f ca="1">IFERROR(__xludf.DUMMYFUNCTION("""COMPUTED_VALUE"""),"Media")</f>
        <v>Media</v>
      </c>
      <c r="K163" s="25">
        <f ca="1">IFERROR(__xludf.DUMMYFUNCTION("""COMPUTED_VALUE"""),100)</f>
        <v>100</v>
      </c>
      <c r="L163" s="55">
        <f ca="1">IFERROR(__xludf.DUMMYFUNCTION("""COMPUTED_VALUE"""),44952)</f>
        <v>44952</v>
      </c>
      <c r="M163" s="25" t="str">
        <f ca="1">IFERROR(__xludf.DUMMYFUNCTION("""COMPUTED_VALUE"""),"Se han desarrollado distintas mesas de trabajo en las localidades priorizadas para la firma de los pactos en conjunto con SDSIS, Policía Nacional, Desarrollo Económico, Planeación y la SDSCJ. Estas con el fin de generar los acuerdos necesarios entre las e"&amp;"ntidades y los sectores sociales LGBTI. ")</f>
        <v xml:space="preserve">Se han desarrollado distintas mesas de trabajo en las localidades priorizadas para la firma de los pactos en conjunto con SDSIS, Policía Nacional, Desarrollo Económico, Planeación y la SDSCJ. Estas con el fin de generar los acuerdos necesarios entre las entidades y los sectores sociales LGBTI. </v>
      </c>
      <c r="N163" s="55">
        <f ca="1">IFERROR(__xludf.DUMMYFUNCTION("""COMPUTED_VALUE"""),44926)</f>
        <v>44926</v>
      </c>
      <c r="O163" s="25" t="str">
        <f t="shared" ca="1" si="0"/>
        <v>Secretaría Distrital de Seguridad, Convivencia y Justicia</v>
      </c>
      <c r="P163" s="25" t="str">
        <f t="shared" si="1"/>
        <v/>
      </c>
      <c r="Q163" s="25" t="str">
        <f ca="1">IFERROR(__xludf.DUMMYFUNCTION("""COMPUTED_VALUE"""),"Mediano plazo")</f>
        <v>Mediano plazo</v>
      </c>
      <c r="R163" s="25"/>
      <c r="S163" s="55"/>
      <c r="T163" s="56"/>
      <c r="U163" s="25"/>
      <c r="V163" s="25"/>
      <c r="W163" s="25"/>
      <c r="X163" s="25"/>
      <c r="Y163" s="25"/>
      <c r="Z163" s="25"/>
    </row>
    <row r="164" spans="1:26" ht="52.5" customHeight="1" x14ac:dyDescent="0.25">
      <c r="A164" s="25" t="str">
        <f ca="1">IFERROR(__xludf.DUMMYFUNCTION("""COMPUTED_VALUE"""),"Segur162")</f>
        <v>Segur162</v>
      </c>
      <c r="B164" s="25" t="str">
        <f ca="1">IFERROR(__xludf.DUMMYFUNCTION("""COMPUTED_VALUE"""),"Parque Bilbao")</f>
        <v>Parque Bilbao</v>
      </c>
      <c r="C164" s="55">
        <f ca="1">IFERROR(__xludf.DUMMYFUNCTION("""COMPUTED_VALUE"""),44908)</f>
        <v>44908</v>
      </c>
      <c r="D164" s="25" t="str">
        <f ca="1">IFERROR(__xludf.DUMMYFUNCTION("""COMPUTED_VALUE"""),"Seguridad")</f>
        <v>Seguridad</v>
      </c>
      <c r="E164" s="25" t="str">
        <f ca="1">IFERROR(__xludf.DUMMYFUNCTION("""COMPUTED_VALUE"""),"Secretaría Distrital de Seguridad, Convivencia y Justicia")</f>
        <v>Secretaría Distrital de Seguridad, Convivencia y Justicia</v>
      </c>
      <c r="F164" s="25" t="str">
        <f ca="1">IFERROR(__xludf.DUMMYFUNCTION("""COMPUTED_VALUE"""),"Con miembros de la JAC se debe organizar un frente de seguridad y dotar un kit tecnológico en la zona del parque Bilbao.")</f>
        <v>Con miembros de la JAC se debe organizar un frente de seguridad y dotar un kit tecnológico en la zona del parque Bilbao.</v>
      </c>
      <c r="G164" s="25" t="str">
        <f ca="1">IFERROR(__xludf.DUMMYFUNCTION("""COMPUTED_VALUE"""),"11. Suba")</f>
        <v>11. Suba</v>
      </c>
      <c r="H164" s="55">
        <f ca="1">IFERROR(__xludf.DUMMYFUNCTION("""COMPUTED_VALUE"""),44986)</f>
        <v>44986</v>
      </c>
      <c r="I164" s="25"/>
      <c r="J164" s="55" t="str">
        <f ca="1">IFERROR(__xludf.DUMMYFUNCTION("""COMPUTED_VALUE"""),"Media")</f>
        <v>Media</v>
      </c>
      <c r="K164" s="25">
        <f ca="1">IFERROR(__xludf.DUMMYFUNCTION("""COMPUTED_VALUE"""),78)</f>
        <v>78</v>
      </c>
      <c r="L164" s="55">
        <f ca="1">IFERROR(__xludf.DUMMYFUNCTION("""COMPUTED_VALUE"""),44991)</f>
        <v>44991</v>
      </c>
      <c r="M164" s="25" t="str">
        <f ca="1">IFERROR(__xludf.DUMMYFUNCTION("""COMPUTED_VALUE"""),"En la zona no se cuenta con Frentes de Seguridad, pero se tienen 2 Redes de Cuidado en los barrios Santa Cecilia y Berlín. Se realizaron tres intentos de acercamiento con la Junta de Acción Comunal para conformar una Red de Cuidado, pero no hubo respuesta"&amp;" positiva de los ciudadanos. Se han identificado posturas críticas al Plan de Desarrollo de la actual administración, razones por las cuales no es posible lograr este propósito. Adicionalmente, no se tienen previstos kits de seguridad para esta zona, ni p"&amp;"ara las redes de cuidado mencionadas. 
No obstante, para dar respuesta a la inseguridad en el sector y a la percepción de inseguridad generada por parte de los ciudadanos habitantes de calle, la Secretaria de Seguridad, Convivencia y Justicia realizó el "&amp;"abordaje a la comunidad para realizar acciones y ofertas institucionales en común acuerdo con el comandante de la Estación de Policía E-XI de Suba y Alcaldía Local de Suba, Secretaría Distrital de Integración Social, ICBF y Policía de Tránsito.")</f>
        <v>En la zona no se cuenta con Frentes de Seguridad, pero se tienen 2 Redes de Cuidado en los barrios Santa Cecilia y Berlín. Se realizaron tres intentos de acercamiento con la Junta de Acción Comunal para conformar una Red de Cuidado, pero no hubo respuesta positiva de los ciudadanos. Se han identificado posturas críticas al Plan de Desarrollo de la actual administración, razones por las cuales no es posible lograr este propósito. Adicionalmente, no se tienen previstos kits de seguridad para esta zona, ni para las redes de cuidado mencionadas. 
No obstante, para dar respuesta a la inseguridad en el sector y a la percepción de inseguridad generada por parte de los ciudadanos habitantes de calle, la Secretaria de Seguridad, Convivencia y Justicia realizó el abordaje a la comunidad para realizar acciones y ofertas institucionales en común acuerdo con el comandante de la Estación de Policía E-XI de Suba y Alcaldía Local de Suba, Secretaría Distrital de Integración Social, ICBF y Policía de Tránsito.</v>
      </c>
      <c r="N164" s="55">
        <f ca="1">IFERROR(__xludf.DUMMYFUNCTION("""COMPUTED_VALUE"""),44986)</f>
        <v>44986</v>
      </c>
      <c r="O164" s="25" t="str">
        <f t="shared" ca="1" si="0"/>
        <v>Secretaría Distrital de Seguridad, Convivencia y Justicia</v>
      </c>
      <c r="P164" s="25" t="str">
        <f t="shared" si="1"/>
        <v/>
      </c>
      <c r="Q164" s="25" t="str">
        <f ca="1">IFERROR(__xludf.DUMMYFUNCTION("""COMPUTED_VALUE"""),"Mediano plazo")</f>
        <v>Mediano plazo</v>
      </c>
      <c r="R164" s="25"/>
      <c r="S164" s="55"/>
      <c r="T164" s="56"/>
      <c r="U164" s="25"/>
      <c r="V164" s="25"/>
      <c r="W164" s="25"/>
      <c r="X164" s="25"/>
      <c r="Y164" s="25"/>
      <c r="Z164" s="25"/>
    </row>
    <row r="165" spans="1:26" ht="52.5" customHeight="1" x14ac:dyDescent="0.25">
      <c r="A165" s="25" t="str">
        <f ca="1">IFERROR(__xludf.DUMMYFUNCTION("""COMPUTED_VALUE"""),"Segur163")</f>
        <v>Segur163</v>
      </c>
      <c r="B165" s="25" t="str">
        <f ca="1">IFERROR(__xludf.DUMMYFUNCTION("""COMPUTED_VALUE"""),"Parque Bilbao")</f>
        <v>Parque Bilbao</v>
      </c>
      <c r="C165" s="55">
        <f ca="1">IFERROR(__xludf.DUMMYFUNCTION("""COMPUTED_VALUE"""),44908)</f>
        <v>44908</v>
      </c>
      <c r="D165" s="25" t="str">
        <f ca="1">IFERROR(__xludf.DUMMYFUNCTION("""COMPUTED_VALUE"""),"Seguridad")</f>
        <v>Seguridad</v>
      </c>
      <c r="E165" s="25" t="str">
        <f ca="1">IFERROR(__xludf.DUMMYFUNCTION("""COMPUTED_VALUE"""),"Secretaría Distrital de Seguridad, Convivencia y Justicia")</f>
        <v>Secretaría Distrital de Seguridad, Convivencia y Justicia</v>
      </c>
      <c r="F165" s="25" t="str">
        <f ca="1">IFERROR(__xludf.DUMMYFUNCTION("""COMPUTED_VALUE"""),"Buscar que el cambio de turno de la Policía sea en el Parque Bilbao. ")</f>
        <v xml:space="preserve">Buscar que el cambio de turno de la Policía sea en el Parque Bilbao. </v>
      </c>
      <c r="G165" s="25" t="str">
        <f ca="1">IFERROR(__xludf.DUMMYFUNCTION("""COMPUTED_VALUE"""),"11. Suba")</f>
        <v>11. Suba</v>
      </c>
      <c r="H165" s="55">
        <f ca="1">IFERROR(__xludf.DUMMYFUNCTION("""COMPUTED_VALUE"""),44986)</f>
        <v>44986</v>
      </c>
      <c r="I165" s="25"/>
      <c r="J165" s="55" t="str">
        <f ca="1">IFERROR(__xludf.DUMMYFUNCTION("""COMPUTED_VALUE"""),"Media")</f>
        <v>Media</v>
      </c>
      <c r="K165" s="25">
        <f ca="1">IFERROR(__xludf.DUMMYFUNCTION("""COMPUTED_VALUE"""),78)</f>
        <v>78</v>
      </c>
      <c r="L165" s="55">
        <f ca="1">IFERROR(__xludf.DUMMYFUNCTION("""COMPUTED_VALUE"""),44991)</f>
        <v>44991</v>
      </c>
      <c r="M165" s="25" t="str">
        <f ca="1">IFERROR(__xludf.DUMMYFUNCTION("""COMPUTED_VALUE"""),"Se remite oficio al Comandante de la Estación de Policía de Suba, para que se realice el cambio de turno de los policías asignados al parque de Bilbao.")</f>
        <v>Se remite oficio al Comandante de la Estación de Policía de Suba, para que se realice el cambio de turno de los policías asignados al parque de Bilbao.</v>
      </c>
      <c r="N165" s="55">
        <f ca="1">IFERROR(__xludf.DUMMYFUNCTION("""COMPUTED_VALUE"""),44986)</f>
        <v>44986</v>
      </c>
      <c r="O165" s="25" t="str">
        <f t="shared" ca="1" si="0"/>
        <v>Secretaría Distrital de Seguridad, Convivencia y Justicia</v>
      </c>
      <c r="P165" s="25" t="str">
        <f t="shared" si="1"/>
        <v/>
      </c>
      <c r="Q165" s="25" t="str">
        <f ca="1">IFERROR(__xludf.DUMMYFUNCTION("""COMPUTED_VALUE"""),"Mediano plazo")</f>
        <v>Mediano plazo</v>
      </c>
      <c r="R165" s="25"/>
      <c r="S165" s="55"/>
      <c r="T165" s="56"/>
      <c r="U165" s="25"/>
      <c r="V165" s="25"/>
      <c r="W165" s="25"/>
      <c r="X165" s="25"/>
      <c r="Y165" s="25"/>
      <c r="Z165" s="25"/>
    </row>
    <row r="166" spans="1:26" ht="52.5" customHeight="1" x14ac:dyDescent="0.25">
      <c r="A166" s="25" t="str">
        <f ca="1">IFERROR(__xludf.DUMMYFUNCTION("""COMPUTED_VALUE"""),"Segur164")</f>
        <v>Segur164</v>
      </c>
      <c r="B166" s="25" t="str">
        <f ca="1">IFERROR(__xludf.DUMMYFUNCTION("""COMPUTED_VALUE"""),"Recorrido Puente Aranda")</f>
        <v>Recorrido Puente Aranda</v>
      </c>
      <c r="C166" s="55"/>
      <c r="D166" s="25" t="str">
        <f ca="1">IFERROR(__xludf.DUMMYFUNCTION("""COMPUTED_VALUE"""),"Seguridad")</f>
        <v>Seguridad</v>
      </c>
      <c r="E166" s="25" t="str">
        <f ca="1">IFERROR(__xludf.DUMMYFUNCTION("""COMPUTED_VALUE"""),"Secretaría Distrital de Seguridad, Convivencia y Justicia")</f>
        <v>Secretaría Distrital de Seguridad, Convivencia y Justicia</v>
      </c>
      <c r="F166" s="25" t="str">
        <f ca="1">IFERROR(__xludf.DUMMYFUNCTION("""COMPUTED_VALUE"""),"Eliminada")</f>
        <v>Eliminada</v>
      </c>
      <c r="G166" s="25"/>
      <c r="H166" s="25"/>
      <c r="I166" s="25"/>
      <c r="J166" s="55"/>
      <c r="K166" s="25" t="str">
        <f ca="1">IFERROR(__xludf.DUMMYFUNCTION("""COMPUTED_VALUE"""),"Definir fecha")</f>
        <v>Definir fecha</v>
      </c>
      <c r="L166" s="55"/>
      <c r="M166" s="25"/>
      <c r="N166" s="25"/>
      <c r="O166" s="25" t="str">
        <f t="shared" ca="1" si="0"/>
        <v>Secretaría Distrital de Seguridad, Convivencia y Justicia</v>
      </c>
      <c r="P166" s="25" t="str">
        <f t="shared" si="1"/>
        <v/>
      </c>
      <c r="Q166" s="25" t="str">
        <f ca="1">IFERROR(__xludf.DUMMYFUNCTION("""COMPUTED_VALUE"""),"Sin defenir")</f>
        <v>Sin defenir</v>
      </c>
      <c r="R166" s="25"/>
      <c r="S166" s="55"/>
      <c r="T166" s="56"/>
      <c r="U166" s="25"/>
      <c r="V166" s="25"/>
      <c r="W166" s="25"/>
      <c r="X166" s="25"/>
      <c r="Y166" s="25"/>
      <c r="Z166" s="25"/>
    </row>
    <row r="167" spans="1:26" ht="52.5" customHeight="1" x14ac:dyDescent="0.25">
      <c r="A167" s="25" t="str">
        <f ca="1">IFERROR(__xludf.DUMMYFUNCTION("""COMPUTED_VALUE"""),"Segur165")</f>
        <v>Segur165</v>
      </c>
      <c r="B167" s="25" t="str">
        <f ca="1">IFERROR(__xludf.DUMMYFUNCTION("""COMPUTED_VALUE"""),"Recorrido Puente Aranda")</f>
        <v>Recorrido Puente Aranda</v>
      </c>
      <c r="C167" s="55">
        <f ca="1">IFERROR(__xludf.DUMMYFUNCTION("""COMPUTED_VALUE"""),44971)</f>
        <v>44971</v>
      </c>
      <c r="D167" s="25" t="str">
        <f ca="1">IFERROR(__xludf.DUMMYFUNCTION("""COMPUTED_VALUE"""),"Seguridad")</f>
        <v>Seguridad</v>
      </c>
      <c r="E167" s="25" t="str">
        <f ca="1">IFERROR(__xludf.DUMMYFUNCTION("""COMPUTED_VALUE"""),"Secretaría Distrital de Seguridad, Convivencia y Justicia")</f>
        <v>Secretaría Distrital de Seguridad, Convivencia y Justicia</v>
      </c>
      <c r="F167" s="25" t="str">
        <f ca="1">IFERROR(__xludf.DUMMYFUNCTION("""COMPUTED_VALUE"""),"Organizar un recorrido por el barrio Alcalá con la red de cuidado para vincular las demás cámaras de seguridad al C4.")</f>
        <v>Organizar un recorrido por el barrio Alcalá con la red de cuidado para vincular las demás cámaras de seguridad al C4.</v>
      </c>
      <c r="G167" s="25" t="str">
        <f ca="1">IFERROR(__xludf.DUMMYFUNCTION("""COMPUTED_VALUE"""),"16. Puente Aranda")</f>
        <v>16. Puente Aranda</v>
      </c>
      <c r="H167" s="55">
        <f ca="1">IFERROR(__xludf.DUMMYFUNCTION("""COMPUTED_VALUE"""),44985)</f>
        <v>44985</v>
      </c>
      <c r="I167" s="25"/>
      <c r="J167" s="55" t="str">
        <f ca="1">IFERROR(__xludf.DUMMYFUNCTION("""COMPUTED_VALUE"""),"Alta")</f>
        <v>Alta</v>
      </c>
      <c r="K167" s="25">
        <f ca="1">IFERROR(__xludf.DUMMYFUNCTION("""COMPUTED_VALUE"""),14)</f>
        <v>14</v>
      </c>
      <c r="L167" s="55">
        <f ca="1">IFERROR(__xludf.DUMMYFUNCTION("""COMPUTED_VALUE"""),44991)</f>
        <v>44991</v>
      </c>
      <c r="M167" s="25" t="str">
        <f ca="1">IFERROR(__xludf.DUMMYFUNCTION("""COMPUTED_VALUE"""),"El C4 informó que no cuenta con presupuesto para conexión a privados por el momento, ni para instalación de cámaras propias.")</f>
        <v>El C4 informó que no cuenta con presupuesto para conexión a privados por el momento, ni para instalación de cámaras propias.</v>
      </c>
      <c r="N167" s="55">
        <f ca="1">IFERROR(__xludf.DUMMYFUNCTION("""COMPUTED_VALUE"""),44985)</f>
        <v>44985</v>
      </c>
      <c r="O167" s="25" t="str">
        <f t="shared" ca="1" si="0"/>
        <v>Secretaría Distrital de Seguridad, Convivencia y Justicia</v>
      </c>
      <c r="P167" s="25" t="str">
        <f t="shared" si="1"/>
        <v/>
      </c>
      <c r="Q167" s="25" t="str">
        <f ca="1">IFERROR(__xludf.DUMMYFUNCTION("""COMPUTED_VALUE"""),"Corto plazo")</f>
        <v>Corto plazo</v>
      </c>
      <c r="R167" s="25"/>
      <c r="S167" s="55"/>
      <c r="T167" s="56"/>
      <c r="U167" s="25"/>
      <c r="V167" s="25"/>
      <c r="W167" s="25"/>
      <c r="X167" s="25"/>
      <c r="Y167" s="25"/>
      <c r="Z167" s="25"/>
    </row>
    <row r="168" spans="1:26" ht="52.5" customHeight="1" x14ac:dyDescent="0.25">
      <c r="A168" s="25" t="str">
        <f ca="1">IFERROR(__xludf.DUMMYFUNCTION("""COMPUTED_VALUE"""),"Segur166")</f>
        <v>Segur166</v>
      </c>
      <c r="B168" s="25" t="str">
        <f ca="1">IFERROR(__xludf.DUMMYFUNCTION("""COMPUTED_VALUE"""),"Recorrido Barrios Unidos")</f>
        <v>Recorrido Barrios Unidos</v>
      </c>
      <c r="C168" s="55">
        <f ca="1">IFERROR(__xludf.DUMMYFUNCTION("""COMPUTED_VALUE"""),44978)</f>
        <v>44978</v>
      </c>
      <c r="D168" s="25" t="str">
        <f ca="1">IFERROR(__xludf.DUMMYFUNCTION("""COMPUTED_VALUE"""),"Seguridad")</f>
        <v>Seguridad</v>
      </c>
      <c r="E168" s="25" t="str">
        <f ca="1">IFERROR(__xludf.DUMMYFUNCTION("""COMPUTED_VALUE"""),"Secretaría Distrital de Seguridad, Convivencia y Justicia")</f>
        <v>Secretaría Distrital de Seguridad, Convivencia y Justicia</v>
      </c>
      <c r="F168" s="25" t="str">
        <f ca="1">IFERROR(__xludf.DUMMYFUNCTION("""COMPUTED_VALUE"""),"Extender las rondas del CAI móvil al barrio Gaitán.")</f>
        <v>Extender las rondas del CAI móvil al barrio Gaitán.</v>
      </c>
      <c r="G168" s="25" t="str">
        <f ca="1">IFERROR(__xludf.DUMMYFUNCTION("""COMPUTED_VALUE"""),"12. Barrios Unidos")</f>
        <v>12. Barrios Unidos</v>
      </c>
      <c r="H168" s="55">
        <f ca="1">IFERROR(__xludf.DUMMYFUNCTION("""COMPUTED_VALUE"""),45046)</f>
        <v>45046</v>
      </c>
      <c r="I168" s="25" t="str">
        <f ca="1">IFERROR(__xludf.DUMMYFUNCTION("""COMPUTED_VALUE"""),"Secretaría Privada")</f>
        <v>Secretaría Privada</v>
      </c>
      <c r="J168" s="55" t="str">
        <f ca="1">IFERROR(__xludf.DUMMYFUNCTION("""COMPUTED_VALUE"""),"Media")</f>
        <v>Media</v>
      </c>
      <c r="K168" s="25">
        <f ca="1">IFERROR(__xludf.DUMMYFUNCTION("""COMPUTED_VALUE"""),68)</f>
        <v>68</v>
      </c>
      <c r="L168" s="55">
        <f ca="1">IFERROR(__xludf.DUMMYFUNCTION("""COMPUTED_VALUE"""),45055)</f>
        <v>45055</v>
      </c>
      <c r="M168" s="25" t="str">
        <f ca="1">IFERROR(__xludf.DUMMYFUNCTION("""COMPUTED_VALUE"""),"Se envió correo electrónico el 26 de abril de 2023 al Mayor Edwin Arley Tiga, Comandante de la Estación de Policía de Barrios Unidos, solicitando extender las rondas del CAI móvil al barrio Gaitán.
Se recibe informe de actividades el 2 de mayo del Comand"&amp;"ante de la Estación de Polícia de Barrios Unidos, donde se informa que se desplegó la oferta institucional para la prevención de los delitos y comportamientos contrarios a la convivencia, mejorando así la percepción de seguridad ciudadana, además se dió a"&amp;" conocer a la comunidad el número del cuadrante y CAI para que informen de manera oportuna la presencia de personas sospechosas en el sector o algún motivo de policía. Aportan registro fotográfico.")</f>
        <v>Se envió correo electrónico el 26 de abril de 2023 al Mayor Edwin Arley Tiga, Comandante de la Estación de Policía de Barrios Unidos, solicitando extender las rondas del CAI móvil al barrio Gaitán.
Se recibe informe de actividades el 2 de mayo del Comandante de la Estación de Polícia de Barrios Unidos, donde se informa que se desplegó la oferta institucional para la prevención de los delitos y comportamientos contrarios a la convivencia, mejorando así la percepción de seguridad ciudadana, además se dió a conocer a la comunidad el número del cuadrante y CAI para que informen de manera oportuna la presencia de personas sospechosas en el sector o algún motivo de policía. Aportan registro fotográfico.</v>
      </c>
      <c r="N168" s="55">
        <f ca="1">IFERROR(__xludf.DUMMYFUNCTION("""COMPUTED_VALUE"""),45048)</f>
        <v>45048</v>
      </c>
      <c r="O168" s="25" t="str">
        <f t="shared" ca="1" si="0"/>
        <v>Secretaría Distrital de Seguridad, Convivencia y Justicia</v>
      </c>
      <c r="P168" s="25" t="str">
        <f t="shared" ca="1" si="1"/>
        <v/>
      </c>
      <c r="Q168" s="25" t="str">
        <f ca="1">IFERROR(__xludf.DUMMYFUNCTION("""COMPUTED_VALUE"""),"Mediano plazo")</f>
        <v>Mediano plazo</v>
      </c>
      <c r="R168" s="25"/>
      <c r="S168" s="55"/>
      <c r="T168" s="56"/>
      <c r="U168" s="25"/>
      <c r="V168" s="25"/>
      <c r="W168" s="25"/>
      <c r="X168" s="25"/>
      <c r="Y168" s="25"/>
      <c r="Z168" s="25"/>
    </row>
    <row r="169" spans="1:26" ht="52.5" customHeight="1" x14ac:dyDescent="0.25">
      <c r="A169" s="25" t="str">
        <f ca="1">IFERROR(__xludf.DUMMYFUNCTION("""COMPUTED_VALUE"""),"Segur167")</f>
        <v>Segur167</v>
      </c>
      <c r="B169" s="25" t="str">
        <f ca="1">IFERROR(__xludf.DUMMYFUNCTION("""COMPUTED_VALUE"""),"Recorrido Fontibón")</f>
        <v>Recorrido Fontibón</v>
      </c>
      <c r="C169" s="55">
        <f ca="1">IFERROR(__xludf.DUMMYFUNCTION("""COMPUTED_VALUE"""),44984)</f>
        <v>44984</v>
      </c>
      <c r="D169" s="25" t="str">
        <f ca="1">IFERROR(__xludf.DUMMYFUNCTION("""COMPUTED_VALUE"""),"Seguridad")</f>
        <v>Seguridad</v>
      </c>
      <c r="E169" s="25" t="str">
        <f ca="1">IFERROR(__xludf.DUMMYFUNCTION("""COMPUTED_VALUE"""),"Secretaría Distrital de Seguridad, Convivencia y Justicia")</f>
        <v>Secretaría Distrital de Seguridad, Convivencia y Justicia</v>
      </c>
      <c r="F169" s="25" t="str">
        <f ca="1">IFERROR(__xludf.DUMMYFUNCTION("""COMPUTED_VALUE"""),"Brindar atención y revisar el sector de La Laguna donde la comunidad manifiesta hay presencia del Tren de Aragua.")</f>
        <v>Brindar atención y revisar el sector de La Laguna donde la comunidad manifiesta hay presencia del Tren de Aragua.</v>
      </c>
      <c r="G169" s="25" t="str">
        <f ca="1">IFERROR(__xludf.DUMMYFUNCTION("""COMPUTED_VALUE"""),"09. Fontibón")</f>
        <v>09. Fontibón</v>
      </c>
      <c r="H169" s="55">
        <f ca="1">IFERROR(__xludf.DUMMYFUNCTION("""COMPUTED_VALUE"""),45031)</f>
        <v>45031</v>
      </c>
      <c r="I169" s="25" t="str">
        <f ca="1">IFERROR(__xludf.DUMMYFUNCTION("""COMPUTED_VALUE"""),"Secretaría Privada")</f>
        <v>Secretaría Privada</v>
      </c>
      <c r="J169" s="55" t="str">
        <f ca="1">IFERROR(__xludf.DUMMYFUNCTION("""COMPUTED_VALUE"""),"Alta")</f>
        <v>Alta</v>
      </c>
      <c r="K169" s="25">
        <f ca="1">IFERROR(__xludf.DUMMYFUNCTION("""COMPUTED_VALUE"""),47)</f>
        <v>47</v>
      </c>
      <c r="L169" s="55">
        <f ca="1">IFERROR(__xludf.DUMMYFUNCTION("""COMPUTED_VALUE"""),45077)</f>
        <v>45077</v>
      </c>
      <c r="M169" s="25" t="str">
        <f ca="1">IFERROR(__xludf.DUMMYFUNCTION("""COMPUTED_VALUE"""),"Despues de realizar un recorrido territorial de caracterización en búsqueda de información relacionada con esta estructura en el sector no se logró la denuncia de los ciudadanos sobre los hechos en mención, en ese sentido, se plantea para el segundo trime"&amp;"stre de 2023 coordinar y realizar un recorrido con Gaula para incentivar campañas de prevención frente a la extorsión y otros delitos en el territorio.
De acuerdo al reporte anterior se continuan adelantando las gestiones pertinentes que permitan coordin"&amp;"ar y realizar el recorrido con Gaula para incentivar campañas de prevención frente a la extorsión y otros delitos en el territorio. Lo anterior está sujeto al cronograma de acciones dispuesta para el distrito y la alta demanda en materia de prevención del"&amp;" delito. Dicha actividad será completada al finalizar al II trimestre del año.")</f>
        <v>Despues de realizar un recorrido territorial de caracterización en búsqueda de información relacionada con esta estructura en el sector no se logró la denuncia de los ciudadanos sobre los hechos en mención, en ese sentido, se plantea para el segundo trimestre de 2023 coordinar y realizar un recorrido con Gaula para incentivar campañas de prevención frente a la extorsión y otros delitos en el territorio.
De acuerdo al reporte anterior se continuan adelantando las gestiones pertinentes que permitan coordinar y realizar el recorrido con Gaula para incentivar campañas de prevención frente a la extorsión y otros delitos en el territorio. Lo anterior está sujeto al cronograma de acciones dispuesta para el distrito y la alta demanda en materia de prevención del delito. Dicha actividad será completada al finalizar al II trimestre del año.</v>
      </c>
      <c r="N169" s="25"/>
      <c r="O169" s="25" t="str">
        <f t="shared" ca="1" si="0"/>
        <v>Secretaría Distrital de Seguridad, Convivencia y Justicia</v>
      </c>
      <c r="P169" s="25" t="str">
        <f t="shared" ca="1" si="1"/>
        <v/>
      </c>
      <c r="Q169" s="25" t="str">
        <f ca="1">IFERROR(__xludf.DUMMYFUNCTION("""COMPUTED_VALUE"""),"Corto plazo")</f>
        <v>Corto plazo</v>
      </c>
      <c r="R169" s="25"/>
      <c r="S169" s="55"/>
      <c r="T169" s="56"/>
      <c r="U169" s="25"/>
      <c r="V169" s="25"/>
      <c r="W169" s="25"/>
      <c r="X169" s="25"/>
      <c r="Y169" s="25"/>
      <c r="Z169" s="25"/>
    </row>
    <row r="170" spans="1:26" ht="52.5" customHeight="1" x14ac:dyDescent="0.25">
      <c r="A170" s="25" t="str">
        <f ca="1">IFERROR(__xludf.DUMMYFUNCTION("""COMPUTED_VALUE"""),"Segur168")</f>
        <v>Segur168</v>
      </c>
      <c r="B170" s="25" t="str">
        <f ca="1">IFERROR(__xludf.DUMMYFUNCTION("""COMPUTED_VALUE"""),"Recorrido Fontibón")</f>
        <v>Recorrido Fontibón</v>
      </c>
      <c r="C170" s="55">
        <f ca="1">IFERROR(__xludf.DUMMYFUNCTION("""COMPUTED_VALUE"""),44984)</f>
        <v>44984</v>
      </c>
      <c r="D170" s="25" t="str">
        <f ca="1">IFERROR(__xludf.DUMMYFUNCTION("""COMPUTED_VALUE"""),"Seguridad")</f>
        <v>Seguridad</v>
      </c>
      <c r="E170" s="25" t="str">
        <f ca="1">IFERROR(__xludf.DUMMYFUNCTION("""COMPUTED_VALUE"""),"Secretaría Distrital de Seguridad, Convivencia y Justicia")</f>
        <v>Secretaría Distrital de Seguridad, Convivencia y Justicia</v>
      </c>
      <c r="F170" s="25" t="str">
        <f ca="1">IFERROR(__xludf.DUMMYFUNCTION("""COMPUTED_VALUE"""),"Incluir las zonas de rumba en la priorización del comando nocturno por las riñas que en el sitio se presentan.")</f>
        <v>Incluir las zonas de rumba en la priorización del comando nocturno por las riñas que en el sitio se presentan.</v>
      </c>
      <c r="G170" s="25" t="str">
        <f ca="1">IFERROR(__xludf.DUMMYFUNCTION("""COMPUTED_VALUE"""),"09. Fontibón")</f>
        <v>09. Fontibón</v>
      </c>
      <c r="H170" s="55">
        <f ca="1">IFERROR(__xludf.DUMMYFUNCTION("""COMPUTED_VALUE"""),45034)</f>
        <v>45034</v>
      </c>
      <c r="I170" s="25"/>
      <c r="J170" s="55" t="str">
        <f ca="1">IFERROR(__xludf.DUMMYFUNCTION("""COMPUTED_VALUE"""),"Alta")</f>
        <v>Alta</v>
      </c>
      <c r="K170" s="25">
        <f ca="1">IFERROR(__xludf.DUMMYFUNCTION("""COMPUTED_VALUE"""),50)</f>
        <v>50</v>
      </c>
      <c r="L170" s="55">
        <f ca="1">IFERROR(__xludf.DUMMYFUNCTION("""COMPUTED_VALUE"""),45040)</f>
        <v>45040</v>
      </c>
      <c r="M170" s="25" t="str">
        <f ca="1">IFERROR(__xludf.DUMMYFUNCTION("""COMPUTED_VALUE"""),"El día 21 de abril de  2023 se realizó comando nocturno en esta localidad, obteniendo los siguientes resultados: 
Fecha: 21/04/2023
Hora inicio: 19:00
Hora Final: 23:00
*Localidad:*Fontibon   
Tipo Actividad: Comando Nocturno
Tipo establecimientos: Bares "&amp;"y Cigarrerias
*Autoridades Participantes:*Policía Nacional, Alcaldia Local, Gestores de Convivencia,  y SDSCJ 
Establecimientos Visitados: 7
Establecimientos cerrados: 2
Personas Registradas: 63
Observaciones: Se realiza verificación de requisitos a estab"&amp;"lecimientos de venta y consumo de licor, logrando el cierre voluntario de 02 establecimientos, incautación de 01 arma traumática.")</f>
        <v>El día 21 de abril de  2023 se realizó comando nocturno en esta localidad, obteniendo los siguientes resultados: 
Fecha: 21/04/2023
Hora inicio: 19:00
Hora Final: 23:00
*Localidad:*Fontibon   
Tipo Actividad: Comando Nocturno
Tipo establecimientos: Bares y Cigarrerias
*Autoridades Participantes:*Policía Nacional, Alcaldia Local, Gestores de Convivencia,  y SDSCJ 
Establecimientos Visitados: 7
Establecimientos cerrados: 2
Personas Registradas: 63
Observaciones: Se realiza verificación de requisitos a establecimientos de venta y consumo de licor, logrando el cierre voluntario de 02 establecimientos, incautación de 01 arma traumática.</v>
      </c>
      <c r="N170" s="55">
        <f ca="1">IFERROR(__xludf.DUMMYFUNCTION("""COMPUTED_VALUE"""),45037)</f>
        <v>45037</v>
      </c>
      <c r="O170" s="25" t="str">
        <f t="shared" ca="1" si="0"/>
        <v>Secretaría Distrital de Seguridad, Convivencia y Justicia</v>
      </c>
      <c r="P170" s="25" t="str">
        <f t="shared" si="1"/>
        <v/>
      </c>
      <c r="Q170" s="25" t="str">
        <f ca="1">IFERROR(__xludf.DUMMYFUNCTION("""COMPUTED_VALUE"""),"Corto plazo")</f>
        <v>Corto plazo</v>
      </c>
      <c r="R170" s="25"/>
      <c r="S170" s="55"/>
      <c r="T170" s="56"/>
      <c r="U170" s="25"/>
      <c r="V170" s="25"/>
      <c r="W170" s="25"/>
      <c r="X170" s="25"/>
      <c r="Y170" s="25"/>
      <c r="Z170" s="25"/>
    </row>
    <row r="171" spans="1:26" ht="52.5" customHeight="1" x14ac:dyDescent="0.25">
      <c r="A171" s="25" t="str">
        <f ca="1">IFERROR(__xludf.DUMMYFUNCTION("""COMPUTED_VALUE"""),"Segur169")</f>
        <v>Segur169</v>
      </c>
      <c r="B171" s="25" t="str">
        <f ca="1">IFERROR(__xludf.DUMMYFUNCTION("""COMPUTED_VALUE"""),"Recorrido Tunjuelito")</f>
        <v>Recorrido Tunjuelito</v>
      </c>
      <c r="C171" s="55">
        <f ca="1">IFERROR(__xludf.DUMMYFUNCTION("""COMPUTED_VALUE"""),44992)</f>
        <v>44992</v>
      </c>
      <c r="D171" s="25" t="str">
        <f ca="1">IFERROR(__xludf.DUMMYFUNCTION("""COMPUTED_VALUE"""),"Seguridad")</f>
        <v>Seguridad</v>
      </c>
      <c r="E171" s="25" t="str">
        <f ca="1">IFERROR(__xludf.DUMMYFUNCTION("""COMPUTED_VALUE"""),"Secretaría Distrital de Seguridad, Convivencia y Justicia")</f>
        <v>Secretaría Distrital de Seguridad, Convivencia y Justicia</v>
      </c>
      <c r="F171" s="25" t="str">
        <f ca="1">IFERROR(__xludf.DUMMYFUNCTION("""COMPUTED_VALUE"""),"Organizar frente de seguridad con la comunidad aledaña al parque la Araña ante manifestación de interés en esta estrategia.")</f>
        <v>Organizar frente de seguridad con la comunidad aledaña al parque la Araña ante manifestación de interés en esta estrategia.</v>
      </c>
      <c r="G171" s="25" t="str">
        <f ca="1">IFERROR(__xludf.DUMMYFUNCTION("""COMPUTED_VALUE"""),"06. Tunjuelito")</f>
        <v>06. Tunjuelito</v>
      </c>
      <c r="H171" s="55">
        <f ca="1">IFERROR(__xludf.DUMMYFUNCTION("""COMPUTED_VALUE"""),45015)</f>
        <v>45015</v>
      </c>
      <c r="I171" s="25" t="str">
        <f ca="1">IFERROR(__xludf.DUMMYFUNCTION("""COMPUTED_VALUE"""),"Secretaría Privada")</f>
        <v>Secretaría Privada</v>
      </c>
      <c r="J171" s="55" t="str">
        <f ca="1">IFERROR(__xludf.DUMMYFUNCTION("""COMPUTED_VALUE"""),"Alta")</f>
        <v>Alta</v>
      </c>
      <c r="K171" s="25">
        <f ca="1">IFERROR(__xludf.DUMMYFUNCTION("""COMPUTED_VALUE"""),23)</f>
        <v>23</v>
      </c>
      <c r="L171" s="55">
        <f ca="1">IFERROR(__xludf.DUMMYFUNCTION("""COMPUTED_VALUE"""),45064)</f>
        <v>45064</v>
      </c>
      <c r="M171" s="25" t="str">
        <f ca="1">IFERROR(__xludf.DUMMYFUNCTION("""COMPUTED_VALUE"""),"La Conformación de los Frentes de Seguridad Local se encuentra a cargo de la MEBOG, por lo cual desde la Dirección de Prevención no se puede garantizar su creación. No obstante, se realizó el acercamiento con PRECI de la localidad para que éstos puedan vi"&amp;"ncular a la comunidad a esta instancia. Se apoyó en la gestión de la creación del  Frente de Seguridad Local # 30626 Parque la Araña. Diagonal 52A con Carrera 53 A . Coordinadora: Ana Maria Duarte Solano con Celular No. 3137852963")</f>
        <v>La Conformación de los Frentes de Seguridad Local se encuentra a cargo de la MEBOG, por lo cual desde la Dirección de Prevención no se puede garantizar su creación. No obstante, se realizó el acercamiento con PRECI de la localidad para que éstos puedan vincular a la comunidad a esta instancia. Se apoyó en la gestión de la creación del  Frente de Seguridad Local # 30626 Parque la Araña. Diagonal 52A con Carrera 53 A . Coordinadora: Ana Maria Duarte Solano con Celular No. 3137852963</v>
      </c>
      <c r="N171" s="55">
        <f ca="1">IFERROR(__xludf.DUMMYFUNCTION("""COMPUTED_VALUE"""),45064)</f>
        <v>45064</v>
      </c>
      <c r="O171" s="25" t="str">
        <f t="shared" ca="1" si="0"/>
        <v>Secretaría Distrital de Seguridad, Convivencia y Justicia</v>
      </c>
      <c r="P171" s="25" t="str">
        <f t="shared" ca="1" si="1"/>
        <v/>
      </c>
      <c r="Q171" s="25" t="str">
        <f ca="1">IFERROR(__xludf.DUMMYFUNCTION("""COMPUTED_VALUE"""),"Corto plazo")</f>
        <v>Corto plazo</v>
      </c>
      <c r="R171" s="25"/>
      <c r="S171" s="55"/>
      <c r="T171" s="56"/>
      <c r="U171" s="25"/>
      <c r="V171" s="25"/>
      <c r="W171" s="25"/>
      <c r="X171" s="25"/>
      <c r="Y171" s="25"/>
      <c r="Z171" s="25"/>
    </row>
    <row r="172" spans="1:26" ht="52.5" customHeight="1" x14ac:dyDescent="0.25">
      <c r="A172" s="25" t="str">
        <f ca="1">IFERROR(__xludf.DUMMYFUNCTION("""COMPUTED_VALUE"""),"Segur170")</f>
        <v>Segur170</v>
      </c>
      <c r="B172" s="25" t="str">
        <f ca="1">IFERROR(__xludf.DUMMYFUNCTION("""COMPUTED_VALUE"""),"Recorrido Tunjuelito")</f>
        <v>Recorrido Tunjuelito</v>
      </c>
      <c r="C172" s="55">
        <f ca="1">IFERROR(__xludf.DUMMYFUNCTION("""COMPUTED_VALUE"""),44992)</f>
        <v>44992</v>
      </c>
      <c r="D172" s="25" t="str">
        <f ca="1">IFERROR(__xludf.DUMMYFUNCTION("""COMPUTED_VALUE"""),"Seguridad")</f>
        <v>Seguridad</v>
      </c>
      <c r="E172" s="25" t="str">
        <f ca="1">IFERROR(__xludf.DUMMYFUNCTION("""COMPUTED_VALUE"""),"Secretaría Distrital de Seguridad, Convivencia y Justicia")</f>
        <v>Secretaría Distrital de Seguridad, Convivencia y Justicia</v>
      </c>
      <c r="F172" s="25" t="str">
        <f ca="1">IFERROR(__xludf.DUMMYFUNCTION("""COMPUTED_VALUE"""),"Vincular las iglesias a las redes de cuidado coordinadas por la SDSCJ y a los frentes de seguridad coordinados por la MEBOG.")</f>
        <v>Vincular las iglesias a las redes de cuidado coordinadas por la SDSCJ y a los frentes de seguridad coordinados por la MEBOG.</v>
      </c>
      <c r="G172" s="25" t="str">
        <f ca="1">IFERROR(__xludf.DUMMYFUNCTION("""COMPUTED_VALUE"""),"06. Tunjuelito")</f>
        <v>06. Tunjuelito</v>
      </c>
      <c r="H172" s="55">
        <f ca="1">IFERROR(__xludf.DUMMYFUNCTION("""COMPUTED_VALUE"""),45107)</f>
        <v>45107</v>
      </c>
      <c r="I172" s="25" t="str">
        <f ca="1">IFERROR(__xludf.DUMMYFUNCTION("""COMPUTED_VALUE"""),"Secretaría Privada")</f>
        <v>Secretaría Privada</v>
      </c>
      <c r="J172" s="55" t="str">
        <f ca="1">IFERROR(__xludf.DUMMYFUNCTION("""COMPUTED_VALUE"""),"Media")</f>
        <v>Media</v>
      </c>
      <c r="K172" s="25">
        <f ca="1">IFERROR(__xludf.DUMMYFUNCTION("""COMPUTED_VALUE"""),115)</f>
        <v>115</v>
      </c>
      <c r="L172" s="55">
        <f ca="1">IFERROR(__xludf.DUMMYFUNCTION("""COMPUTED_VALUE"""),45077)</f>
        <v>45077</v>
      </c>
      <c r="M172" s="25" t="str">
        <f ca="1">IFERROR(__xludf.DUMMYFUNCTION("""COMPUTED_VALUE"""),"En la actualidad se continúa con la gestión para el acercamiento a las iglesias de la localidad para vincularlas a una red ya creada o crear una de ser necesario. En cuanto a la coordinación con los Frentes de Seguridad Local, estos son espacios de la MEB"&amp;"OG, por lo que se realizará el acercamiento con PRECI de la localidad para que éstos puedan vincular a los centros religiosos. ")</f>
        <v xml:space="preserve">En la actualidad se continúa con la gestión para el acercamiento a las iglesias de la localidad para vincularlas a una red ya creada o crear una de ser necesario. En cuanto a la coordinación con los Frentes de Seguridad Local, estos son espacios de la MEBOG, por lo que se realizará el acercamiento con PRECI de la localidad para que éstos puedan vincular a los centros religiosos. </v>
      </c>
      <c r="N172" s="25"/>
      <c r="O172" s="25" t="str">
        <f t="shared" ca="1" si="0"/>
        <v>Secretaría Distrital de Seguridad, Convivencia y Justicia</v>
      </c>
      <c r="P172" s="25" t="str">
        <f t="shared" ca="1" si="1"/>
        <v/>
      </c>
      <c r="Q172" s="25" t="str">
        <f ca="1">IFERROR(__xludf.DUMMYFUNCTION("""COMPUTED_VALUE"""),"Mediano plazo")</f>
        <v>Mediano plazo</v>
      </c>
      <c r="R172" s="25"/>
      <c r="S172" s="55"/>
      <c r="T172" s="56"/>
      <c r="U172" s="25"/>
      <c r="V172" s="25"/>
      <c r="W172" s="25"/>
      <c r="X172" s="25"/>
      <c r="Y172" s="25"/>
      <c r="Z172" s="25"/>
    </row>
    <row r="173" spans="1:26" ht="52.5" customHeight="1" x14ac:dyDescent="0.25">
      <c r="A173" s="25" t="str">
        <f ca="1">IFERROR(__xludf.DUMMYFUNCTION("""COMPUTED_VALUE"""),"Segur171")</f>
        <v>Segur171</v>
      </c>
      <c r="B173" s="25" t="str">
        <f ca="1">IFERROR(__xludf.DUMMYFUNCTION("""COMPUTED_VALUE"""),"Recorrido Tunjuelito")</f>
        <v>Recorrido Tunjuelito</v>
      </c>
      <c r="C173" s="55">
        <f ca="1">IFERROR(__xludf.DUMMYFUNCTION("""COMPUTED_VALUE"""),44992)</f>
        <v>44992</v>
      </c>
      <c r="D173" s="25" t="str">
        <f ca="1">IFERROR(__xludf.DUMMYFUNCTION("""COMPUTED_VALUE"""),"Seguridad")</f>
        <v>Seguridad</v>
      </c>
      <c r="E173" s="25" t="str">
        <f ca="1">IFERROR(__xludf.DUMMYFUNCTION("""COMPUTED_VALUE"""),"Secretaría Distrital de Seguridad, Convivencia y Justicia")</f>
        <v>Secretaría Distrital de Seguridad, Convivencia y Justicia</v>
      </c>
      <c r="F173" s="25" t="str">
        <f ca="1">IFERROR(__xludf.DUMMYFUNCTION("""COMPUTED_VALUE"""),"Atender problemática de microtráfico en la Plazoleta de la Virgen, quebrada del barrio san Benito y zona rosa de Venecia, a partir de operativos nocturnos enfocados al narcomenudeo.")</f>
        <v>Atender problemática de microtráfico en la Plazoleta de la Virgen, quebrada del barrio san Benito y zona rosa de Venecia, a partir de operativos nocturnos enfocados al narcomenudeo.</v>
      </c>
      <c r="G173" s="25" t="str">
        <f ca="1">IFERROR(__xludf.DUMMYFUNCTION("""COMPUTED_VALUE"""),"06. Tunjuelito")</f>
        <v>06. Tunjuelito</v>
      </c>
      <c r="H173" s="55">
        <f ca="1">IFERROR(__xludf.DUMMYFUNCTION("""COMPUTED_VALUE"""),45015)</f>
        <v>45015</v>
      </c>
      <c r="I173" s="25"/>
      <c r="J173" s="55" t="str">
        <f ca="1">IFERROR(__xludf.DUMMYFUNCTION("""COMPUTED_VALUE"""),"Alta")</f>
        <v>Alta</v>
      </c>
      <c r="K173" s="25">
        <f ca="1">IFERROR(__xludf.DUMMYFUNCTION("""COMPUTED_VALUE"""),23)</f>
        <v>23</v>
      </c>
      <c r="L173" s="55">
        <f ca="1">IFERROR(__xludf.DUMMYFUNCTION("""COMPUTED_VALUE"""),45016)</f>
        <v>45016</v>
      </c>
      <c r="M173" s="25" t="str">
        <f ca="1">IFERROR(__xludf.DUMMYFUNCTION("""COMPUTED_VALUE"""),"En este entorno durante el año 2023 (5-02-2023, 11-02-2023, 17-03-2023) se han realizado 3 Planes de control en calle en las horas de mayor concentración de delitos (2 de ellos en horario nocturno). Dichas actividades se han articulado con Policía Naciona"&amp;"l, Ejército, Alcaldía Local y laSDSCJ, en las que se adelantaron controles contra el hurto a personas, homicidio y venta de estupefacientes, en las cual se realizaron registro de 234 personas, incautación de 11 armas blancas e imposición de 12 comparendos"&amp;" por parte de Mebog y sensibilización de 115 ciudadanos con mensajes de autocuidado para prevenir hurto a personas y violencias de género, logrando activación de 6 rutas distritales para mujeres. ")</f>
        <v xml:space="preserve">En este entorno durante el año 2023 (5-02-2023, 11-02-2023, 17-03-2023) se han realizado 3 Planes de control en calle en las horas de mayor concentración de delitos (2 de ellos en horario nocturno). Dichas actividades se han articulado con Policía Nacional, Ejército, Alcaldía Local y laSDSCJ, en las que se adelantaron controles contra el hurto a personas, homicidio y venta de estupefacientes, en las cual se realizaron registro de 234 personas, incautación de 11 armas blancas e imposición de 12 comparendos por parte de Mebog y sensibilización de 115 ciudadanos con mensajes de autocuidado para prevenir hurto a personas y violencias de género, logrando activación de 6 rutas distritales para mujeres. </v>
      </c>
      <c r="N173" s="55">
        <f ca="1">IFERROR(__xludf.DUMMYFUNCTION("""COMPUTED_VALUE"""),45002)</f>
        <v>45002</v>
      </c>
      <c r="O173" s="25" t="str">
        <f t="shared" ca="1" si="0"/>
        <v>Secretaría Distrital de Seguridad, Convivencia y Justicia</v>
      </c>
      <c r="P173" s="25" t="str">
        <f t="shared" si="1"/>
        <v/>
      </c>
      <c r="Q173" s="25" t="str">
        <f ca="1">IFERROR(__xludf.DUMMYFUNCTION("""COMPUTED_VALUE"""),"Corto plazo")</f>
        <v>Corto plazo</v>
      </c>
      <c r="R173" s="25"/>
      <c r="S173" s="55"/>
      <c r="T173" s="56"/>
      <c r="U173" s="25"/>
      <c r="V173" s="25"/>
      <c r="W173" s="25"/>
      <c r="X173" s="25"/>
      <c r="Y173" s="25"/>
      <c r="Z173" s="25"/>
    </row>
    <row r="174" spans="1:26" ht="52.5" customHeight="1" x14ac:dyDescent="0.25">
      <c r="A174" s="25" t="str">
        <f ca="1">IFERROR(__xludf.DUMMYFUNCTION("""COMPUTED_VALUE"""),"Segur172")</f>
        <v>Segur172</v>
      </c>
      <c r="B174" s="25" t="str">
        <f ca="1">IFERROR(__xludf.DUMMYFUNCTION("""COMPUTED_VALUE"""),"Recorrido Antonio Nariño")</f>
        <v>Recorrido Antonio Nariño</v>
      </c>
      <c r="C174" s="55">
        <f ca="1">IFERROR(__xludf.DUMMYFUNCTION("""COMPUTED_VALUE"""),44999)</f>
        <v>44999</v>
      </c>
      <c r="D174" s="25" t="str">
        <f ca="1">IFERROR(__xludf.DUMMYFUNCTION("""COMPUTED_VALUE"""),"Seguridad")</f>
        <v>Seguridad</v>
      </c>
      <c r="E174" s="25" t="str">
        <f ca="1">IFERROR(__xludf.DUMMYFUNCTION("""COMPUTED_VALUE"""),"Secretaría Distrital de Seguridad, Convivencia y Justicia")</f>
        <v>Secretaría Distrital de Seguridad, Convivencia y Justicia</v>
      </c>
      <c r="F174" s="25" t="str">
        <f ca="1">IFERROR(__xludf.DUMMYFUNCTION("""COMPUTED_VALUE"""),"Instalar dos cámaras con identificación de placa para realizar monitoreo permanente en el canal del río fucha a la altura de la Carrera 16 con calle 11 sur.")</f>
        <v>Instalar dos cámaras con identificación de placa para realizar monitoreo permanente en el canal del río fucha a la altura de la Carrera 16 con calle 11 sur.</v>
      </c>
      <c r="G174" s="25" t="str">
        <f ca="1">IFERROR(__xludf.DUMMYFUNCTION("""COMPUTED_VALUE"""),"15. Antonio Nariño")</f>
        <v>15. Antonio Nariño</v>
      </c>
      <c r="H174" s="55">
        <f ca="1">IFERROR(__xludf.DUMMYFUNCTION("""COMPUTED_VALUE"""),45015)</f>
        <v>45015</v>
      </c>
      <c r="I174" s="25" t="str">
        <f ca="1">IFERROR(__xludf.DUMMYFUNCTION("""COMPUTED_VALUE"""),"Secretaría Privada")</f>
        <v>Secretaría Privada</v>
      </c>
      <c r="J174" s="55" t="str">
        <f ca="1">IFERROR(__xludf.DUMMYFUNCTION("""COMPUTED_VALUE"""),"Alta")</f>
        <v>Alta</v>
      </c>
      <c r="K174" s="25">
        <f ca="1">IFERROR(__xludf.DUMMYFUNCTION("""COMPUTED_VALUE"""),16)</f>
        <v>16</v>
      </c>
      <c r="L174" s="55">
        <f ca="1">IFERROR(__xludf.DUMMYFUNCTION("""COMPUTED_VALUE"""),45077)</f>
        <v>45077</v>
      </c>
      <c r="M174" s="25" t="str">
        <f ca="1">IFERROR(__xludf.DUMMYFUNCTION("""COMPUTED_VALUE"""),"Se verificará la viabilidad de instalación del punto conforme a los criterios técnicos, financieros y logísticos para dicho fin, en caso de darse la adición presupuestal por parte del concejo para la vigencia 2023 para la implementación de cámaras, confor"&amp;"me a la viabilidad técnica del IDU, la SIJIN, el equipo técnico de instalación de cámaras y los actores que intervienen en el proceso de selección de puntos.
Este componente en caso de ser viable sería suceptible de financiación con la adición presupuesta"&amp;"l prevista en el Concejo de Bogotá para el 2023.")</f>
        <v>Se verificará la viabilidad de instalación del punto conforme a los criterios técnicos, financieros y logísticos para dicho fin, en caso de darse la adición presupuestal por parte del concejo para la vigencia 2023 para la implementación de cámaras, conforme a la viabilidad técnica del IDU, la SIJIN, el equipo técnico de instalación de cámaras y los actores que intervienen en el proceso de selección de puntos.
Este componente en caso de ser viable sería suceptible de financiación con la adición presupuestal prevista en el Concejo de Bogotá para el 2023.</v>
      </c>
      <c r="N174" s="25"/>
      <c r="O174" s="25" t="str">
        <f t="shared" ca="1" si="0"/>
        <v>Secretaría Distrital de Seguridad, Convivencia y Justicia</v>
      </c>
      <c r="P174" s="25" t="str">
        <f t="shared" ca="1" si="1"/>
        <v/>
      </c>
      <c r="Q174" s="25" t="str">
        <f ca="1">IFERROR(__xludf.DUMMYFUNCTION("""COMPUTED_VALUE"""),"Corto plazo")</f>
        <v>Corto plazo</v>
      </c>
      <c r="R174" s="25"/>
      <c r="S174" s="55"/>
      <c r="T174" s="56"/>
      <c r="U174" s="25"/>
      <c r="V174" s="25"/>
      <c r="W174" s="25"/>
      <c r="X174" s="25"/>
      <c r="Y174" s="25"/>
      <c r="Z174" s="25"/>
    </row>
    <row r="175" spans="1:26" ht="52.5" customHeight="1" x14ac:dyDescent="0.25">
      <c r="A175" s="25" t="str">
        <f ca="1">IFERROR(__xludf.DUMMYFUNCTION("""COMPUTED_VALUE"""),"Segur173")</f>
        <v>Segur173</v>
      </c>
      <c r="B175" s="25" t="str">
        <f ca="1">IFERROR(__xludf.DUMMYFUNCTION("""COMPUTED_VALUE"""),"Recorrido Antonio Nariño")</f>
        <v>Recorrido Antonio Nariño</v>
      </c>
      <c r="C175" s="55">
        <f ca="1">IFERROR(__xludf.DUMMYFUNCTION("""COMPUTED_VALUE"""),44999)</f>
        <v>44999</v>
      </c>
      <c r="D175" s="25" t="str">
        <f ca="1">IFERROR(__xludf.DUMMYFUNCTION("""COMPUTED_VALUE"""),"Seguridad")</f>
        <v>Seguridad</v>
      </c>
      <c r="E175" s="25" t="str">
        <f ca="1">IFERROR(__xludf.DUMMYFUNCTION("""COMPUTED_VALUE"""),"Secretaría Distrital de Seguridad, Convivencia y Justicia")</f>
        <v>Secretaría Distrital de Seguridad, Convivencia y Justicia</v>
      </c>
      <c r="F175" s="25" t="str">
        <f ca="1">IFERROR(__xludf.DUMMYFUNCTION("""COMPUTED_VALUE"""),"Revisar el foco de inseguridad que existe en el parque zonal La Fragua del IDRD.")</f>
        <v>Revisar el foco de inseguridad que existe en el parque zonal La Fragua del IDRD.</v>
      </c>
      <c r="G175" s="25" t="str">
        <f ca="1">IFERROR(__xludf.DUMMYFUNCTION("""COMPUTED_VALUE"""),"15. Antonio Nariño")</f>
        <v>15. Antonio Nariño</v>
      </c>
      <c r="H175" s="55">
        <f ca="1">IFERROR(__xludf.DUMMYFUNCTION("""COMPUTED_VALUE"""),45005)</f>
        <v>45005</v>
      </c>
      <c r="I175" s="25"/>
      <c r="J175" s="55" t="str">
        <f ca="1">IFERROR(__xludf.DUMMYFUNCTION("""COMPUTED_VALUE"""),"Alta")</f>
        <v>Alta</v>
      </c>
      <c r="K175" s="25">
        <f ca="1">IFERROR(__xludf.DUMMYFUNCTION("""COMPUTED_VALUE"""),6)</f>
        <v>6</v>
      </c>
      <c r="L175" s="55">
        <f ca="1">IFERROR(__xludf.DUMMYFUNCTION("""COMPUTED_VALUE"""),45016)</f>
        <v>45016</v>
      </c>
      <c r="M175" s="25" t="str">
        <f ca="1">IFERROR(__xludf.DUMMYFUNCTION("""COMPUTED_VALUE"""),"En este entorno durante el mes de marzo 11-03-2023 y el 15-03-2023 serealizaron desde el equipo territorial 2 Planes de control en el entorno del parque. Dichas actividades se han articulado con Policía Nacional, Alcaldía Local y la SDSCJ, en las que se a"&amp;"delantaron controles contra el hurto a personas y venta de estupefacientes, se realizaron registros de 63 personas, incautación de 3 armas blancas e imposición de 2 comparendos por parte de Mebog y sensibilización de 25 ciudadanos con mensajes de autocuid"&amp;"ado para prevenir hurto a personas y consumo de sustancias psicoactivas.  
Periodicamente se continuarán realizando actividades de prevención y control en el punto con el fin de minizarel foco de inseguridad identificado")</f>
        <v>En este entorno durante el mes de marzo 11-03-2023 y el 15-03-2023 serealizaron desde el equipo territorial 2 Planes de control en el entorno del parque. Dichas actividades se han articulado con Policía Nacional, Alcaldía Local y la SDSCJ, en las que se adelantaron controles contra el hurto a personas y venta de estupefacientes, se realizaron registros de 63 personas, incautación de 3 armas blancas e imposición de 2 comparendos por parte de Mebog y sensibilización de 25 ciudadanos con mensajes de autocuidado para prevenir hurto a personas y consumo de sustancias psicoactivas.  
Periodicamente se continuarán realizando actividades de prevención y control en el punto con el fin de minizarel foco de inseguridad identificado</v>
      </c>
      <c r="N175" s="55">
        <f ca="1">IFERROR(__xludf.DUMMYFUNCTION("""COMPUTED_VALUE"""),45000)</f>
        <v>45000</v>
      </c>
      <c r="O175" s="25" t="str">
        <f t="shared" ca="1" si="0"/>
        <v>Secretaría Distrital de Seguridad, Convivencia y Justicia</v>
      </c>
      <c r="P175" s="25" t="str">
        <f t="shared" si="1"/>
        <v/>
      </c>
      <c r="Q175" s="25" t="str">
        <f ca="1">IFERROR(__xludf.DUMMYFUNCTION("""COMPUTED_VALUE"""),"Corto plazo")</f>
        <v>Corto plazo</v>
      </c>
      <c r="R175" s="25"/>
      <c r="S175" s="55"/>
      <c r="T175" s="56"/>
      <c r="U175" s="25"/>
      <c r="V175" s="25"/>
      <c r="W175" s="25"/>
      <c r="X175" s="25"/>
      <c r="Y175" s="25"/>
      <c r="Z175" s="25"/>
    </row>
    <row r="176" spans="1:26" ht="52.5" customHeight="1" x14ac:dyDescent="0.25">
      <c r="A176" s="25" t="str">
        <f ca="1">IFERROR(__xludf.DUMMYFUNCTION("""COMPUTED_VALUE"""),"Segur174")</f>
        <v>Segur174</v>
      </c>
      <c r="B176" s="25" t="str">
        <f ca="1">IFERROR(__xludf.DUMMYFUNCTION("""COMPUTED_VALUE"""),"Recorrido Antonio Nariño")</f>
        <v>Recorrido Antonio Nariño</v>
      </c>
      <c r="C176" s="55">
        <f ca="1">IFERROR(__xludf.DUMMYFUNCTION("""COMPUTED_VALUE"""),44999)</f>
        <v>44999</v>
      </c>
      <c r="D176" s="25" t="str">
        <f ca="1">IFERROR(__xludf.DUMMYFUNCTION("""COMPUTED_VALUE"""),"Seguridad")</f>
        <v>Seguridad</v>
      </c>
      <c r="E176" s="25" t="str">
        <f ca="1">IFERROR(__xludf.DUMMYFUNCTION("""COMPUTED_VALUE"""),"Secretaría Distrital de Seguridad, Convivencia y Justicia")</f>
        <v>Secretaría Distrital de Seguridad, Convivencia y Justicia</v>
      </c>
      <c r="F176" s="25" t="str">
        <f ca="1">IFERROR(__xludf.DUMMYFUNCTION("""COMPUTED_VALUE"""),"Realizar un operativo del comando nocturno en los barrios Ciudad Berna, Ciudad Jardín y Sevilla.")</f>
        <v>Realizar un operativo del comando nocturno en los barrios Ciudad Berna, Ciudad Jardín y Sevilla.</v>
      </c>
      <c r="G176" s="25" t="str">
        <f ca="1">IFERROR(__xludf.DUMMYFUNCTION("""COMPUTED_VALUE"""),"15. Antonio Nariño")</f>
        <v>15. Antonio Nariño</v>
      </c>
      <c r="H176" s="55">
        <f ca="1">IFERROR(__xludf.DUMMYFUNCTION("""COMPUTED_VALUE"""),45031)</f>
        <v>45031</v>
      </c>
      <c r="I176" s="25"/>
      <c r="J176" s="55" t="str">
        <f ca="1">IFERROR(__xludf.DUMMYFUNCTION("""COMPUTED_VALUE"""),"Alta")</f>
        <v>Alta</v>
      </c>
      <c r="K176" s="25">
        <f ca="1">IFERROR(__xludf.DUMMYFUNCTION("""COMPUTED_VALUE"""),32)</f>
        <v>32</v>
      </c>
      <c r="L176" s="55">
        <f ca="1">IFERROR(__xludf.DUMMYFUNCTION("""COMPUTED_VALUE"""),45040)</f>
        <v>45040</v>
      </c>
      <c r="M176" s="25" t="str">
        <f ca="1">IFERROR(__xludf.DUMMYFUNCTION("""COMPUTED_VALUE"""),"El día 20 de abril de  2023 se realizó comando nocturno en esta localidad, obteniendo los siguientes resultados: 
Fecha: 20/04/2023
Hora inicio: 18:00
Hora Final: 22:00
*Localidad:*Antonio Nariño   
*Barrio:*Restrepo, Ciudad Berna y Jardín 
Tipo Activida"&amp;"d: Control venta y consumo de licores
Tipo establecimientos: Bares y Cigarrerias
*Autoridades Participantes:*Policía Nacional,Ejercol, Alcaldia Local, Rentas Cundinamarca, gestores,  y SDSCJ 
Establecimientos Visitados: 12
Establecimientos cerrados: 2
Per"&amp;"sonas Registradas: 86
Observaciones: Se realiza la verificación de requisitos a los establecimientos de venta y consumo de bebidas alcohólicas,  logrando la suspensión temporal de la actividad económica de 2 establecimientos, se realizan 2 comparendos - u"&amp;"no por irrespeto a la autoridad y otro por porte de arma corto punzante.")</f>
        <v>El día 20 de abril de  2023 se realizó comando nocturno en esta localidad, obteniendo los siguientes resultados: 
Fecha: 20/04/2023
Hora inicio: 18:00
Hora Final: 22:00
*Localidad:*Antonio Nariño   
*Barrio:*Restrepo, Ciudad Berna y Jardín 
Tipo Actividad: Control venta y consumo de licores
Tipo establecimientos: Bares y Cigarrerias
*Autoridades Participantes:*Policía Nacional,Ejercol, Alcaldia Local, Rentas Cundinamarca, gestores,  y SDSCJ 
Establecimientos Visitados: 12
Establecimientos cerrados: 2
Personas Registradas: 86
Observaciones: Se realiza la verificación de requisitos a los establecimientos de venta y consumo de bebidas alcohólicas,  logrando la suspensión temporal de la actividad económica de 2 establecimientos, se realizan 2 comparendos - uno por irrespeto a la autoridad y otro por porte de arma corto punzante.</v>
      </c>
      <c r="N176" s="55">
        <f ca="1">IFERROR(__xludf.DUMMYFUNCTION("""COMPUTED_VALUE"""),45036)</f>
        <v>45036</v>
      </c>
      <c r="O176" s="25" t="str">
        <f t="shared" ca="1" si="0"/>
        <v>Secretaría Distrital de Seguridad, Convivencia y Justicia</v>
      </c>
      <c r="P176" s="25" t="str">
        <f t="shared" si="1"/>
        <v/>
      </c>
      <c r="Q176" s="25" t="str">
        <f ca="1">IFERROR(__xludf.DUMMYFUNCTION("""COMPUTED_VALUE"""),"Corto plazo")</f>
        <v>Corto plazo</v>
      </c>
      <c r="R176" s="25"/>
      <c r="S176" s="55"/>
      <c r="T176" s="56"/>
      <c r="U176" s="25"/>
      <c r="V176" s="25"/>
      <c r="W176" s="25"/>
      <c r="X176" s="25"/>
      <c r="Y176" s="25"/>
      <c r="Z176" s="25"/>
    </row>
    <row r="177" spans="1:26" ht="52.5" customHeight="1" x14ac:dyDescent="0.25">
      <c r="A177" s="25" t="str">
        <f ca="1">IFERROR(__xludf.DUMMYFUNCTION("""COMPUTED_VALUE"""),"Segur175")</f>
        <v>Segur175</v>
      </c>
      <c r="B177" s="25" t="str">
        <f ca="1">IFERROR(__xludf.DUMMYFUNCTION("""COMPUTED_VALUE"""),"Recorrido Antonio Nariño")</f>
        <v>Recorrido Antonio Nariño</v>
      </c>
      <c r="C177" s="55">
        <f ca="1">IFERROR(__xludf.DUMMYFUNCTION("""COMPUTED_VALUE"""),44999)</f>
        <v>44999</v>
      </c>
      <c r="D177" s="25" t="str">
        <f ca="1">IFERROR(__xludf.DUMMYFUNCTION("""COMPUTED_VALUE"""),"Seguridad")</f>
        <v>Seguridad</v>
      </c>
      <c r="E177" s="25" t="str">
        <f ca="1">IFERROR(__xludf.DUMMYFUNCTION("""COMPUTED_VALUE"""),"Secretaría Distrital de Seguridad, Convivencia y Justicia")</f>
        <v>Secretaría Distrital de Seguridad, Convivencia y Justicia</v>
      </c>
      <c r="F177" s="25" t="str">
        <f ca="1">IFERROR(__xludf.DUMMYFUNCTION("""COMPUTED_VALUE"""),"Arreglar vidrio ubicado en fachada de la casa lider del frente de seguridad vecinal ubicada en la Carrera 14a#9-28s.")</f>
        <v>Arreglar vidrio ubicado en fachada de la casa lider del frente de seguridad vecinal ubicada en la Carrera 14a#9-28s.</v>
      </c>
      <c r="G177" s="25" t="str">
        <f ca="1">IFERROR(__xludf.DUMMYFUNCTION("""COMPUTED_VALUE"""),"15. Antonio Nariño")</f>
        <v>15. Antonio Nariño</v>
      </c>
      <c r="H177" s="55">
        <f ca="1">IFERROR(__xludf.DUMMYFUNCTION("""COMPUTED_VALUE"""),45015)</f>
        <v>45015</v>
      </c>
      <c r="I177" s="25"/>
      <c r="J177" s="55" t="str">
        <f ca="1">IFERROR(__xludf.DUMMYFUNCTION("""COMPUTED_VALUE"""),"Alta")</f>
        <v>Alta</v>
      </c>
      <c r="K177" s="25">
        <f ca="1">IFERROR(__xludf.DUMMYFUNCTION("""COMPUTED_VALUE"""),16)</f>
        <v>16</v>
      </c>
      <c r="L177" s="55">
        <f ca="1">IFERROR(__xludf.DUMMYFUNCTION("""COMPUTED_VALUE"""),45016)</f>
        <v>45016</v>
      </c>
      <c r="M177" s="25" t="str">
        <f ca="1">IFERROR(__xludf.DUMMYFUNCTION("""COMPUTED_VALUE"""),"Este compromiso no corresponde con la misionalidad de la Entidad. Por lo tanto, no se cuenta con presupuesto para el arreglo o mantenimiento de mobiliario personal de los grupos de interés.")</f>
        <v>Este compromiso no corresponde con la misionalidad de la Entidad. Por lo tanto, no se cuenta con presupuesto para el arreglo o mantenimiento de mobiliario personal de los grupos de interés.</v>
      </c>
      <c r="N177" s="55">
        <f ca="1">IFERROR(__xludf.DUMMYFUNCTION("""COMPUTED_VALUE"""),45015)</f>
        <v>45015</v>
      </c>
      <c r="O177" s="25" t="str">
        <f t="shared" ca="1" si="0"/>
        <v>Secretaría Distrital de Seguridad, Convivencia y Justicia</v>
      </c>
      <c r="P177" s="25" t="str">
        <f t="shared" si="1"/>
        <v/>
      </c>
      <c r="Q177" s="25" t="str">
        <f ca="1">IFERROR(__xludf.DUMMYFUNCTION("""COMPUTED_VALUE"""),"Corto plazo")</f>
        <v>Corto plazo</v>
      </c>
      <c r="R177" s="25"/>
      <c r="S177" s="55"/>
      <c r="T177" s="56"/>
      <c r="U177" s="25"/>
      <c r="V177" s="25"/>
      <c r="W177" s="25"/>
      <c r="X177" s="25"/>
      <c r="Y177" s="25"/>
      <c r="Z177" s="25"/>
    </row>
    <row r="178" spans="1:26" ht="52.5" customHeight="1" x14ac:dyDescent="0.25">
      <c r="A178" s="25" t="str">
        <f ca="1">IFERROR(__xludf.DUMMYFUNCTION("""COMPUTED_VALUE"""),"Segur176")</f>
        <v>Segur176</v>
      </c>
      <c r="B178" s="25" t="str">
        <f ca="1">IFERROR(__xludf.DUMMYFUNCTION("""COMPUTED_VALUE"""),"Recorrido Rafael Uribe Uribe")</f>
        <v>Recorrido Rafael Uribe Uribe</v>
      </c>
      <c r="C178" s="55">
        <f ca="1">IFERROR(__xludf.DUMMYFUNCTION("""COMPUTED_VALUE"""),45006)</f>
        <v>45006</v>
      </c>
      <c r="D178" s="25" t="str">
        <f ca="1">IFERROR(__xludf.DUMMYFUNCTION("""COMPUTED_VALUE"""),"Seguridad")</f>
        <v>Seguridad</v>
      </c>
      <c r="E178" s="25" t="str">
        <f ca="1">IFERROR(__xludf.DUMMYFUNCTION("""COMPUTED_VALUE"""),"Secretaría Distrital de Seguridad, Convivencia y Justicia")</f>
        <v>Secretaría Distrital de Seguridad, Convivencia y Justicia</v>
      </c>
      <c r="F178" s="25" t="str">
        <f ca="1">IFERROR(__xludf.DUMMYFUNCTION("""COMPUTED_VALUE"""),"Apoyar al presidente de la junta de acción comunal del barrio San Antonio en la conformación de un frente de seguridad en este sector.")</f>
        <v>Apoyar al presidente de la junta de acción comunal del barrio San Antonio en la conformación de un frente de seguridad en este sector.</v>
      </c>
      <c r="G178" s="25" t="str">
        <f ca="1">IFERROR(__xludf.DUMMYFUNCTION("""COMPUTED_VALUE"""),"15. Antonio Nariño")</f>
        <v>15. Antonio Nariño</v>
      </c>
      <c r="H178" s="55">
        <f ca="1">IFERROR(__xludf.DUMMYFUNCTION("""COMPUTED_VALUE"""),45046)</f>
        <v>45046</v>
      </c>
      <c r="I178" s="25" t="str">
        <f ca="1">IFERROR(__xludf.DUMMYFUNCTION("""COMPUTED_VALUE"""),"Secretaría Privada")</f>
        <v>Secretaría Privada</v>
      </c>
      <c r="J178" s="55" t="str">
        <f ca="1">IFERROR(__xludf.DUMMYFUNCTION("""COMPUTED_VALUE"""),"Alta")</f>
        <v>Alta</v>
      </c>
      <c r="K178" s="25">
        <f ca="1">IFERROR(__xludf.DUMMYFUNCTION("""COMPUTED_VALUE"""),40)</f>
        <v>40</v>
      </c>
      <c r="L178" s="55">
        <f ca="1">IFERROR(__xludf.DUMMYFUNCTION("""COMPUTED_VALUE"""),45064)</f>
        <v>45064</v>
      </c>
      <c r="M178" s="25" t="str">
        <f ca="1">IFERROR(__xludf.DUMMYFUNCTION("""COMPUTED_VALUE"""),"La Conformación de los Frentes de Seguridad Local se encuentra a cargo de la MEBOG, por lo cual desde la Dirección de Prevención no se puede garantizar su creación. No obstante, se realizará el acercamiento con PRECI de la localidad para que éstos puedan "&amp;"vincular a la comunidad a esta instancia. Así mismo se explicará el programa de participaicón de la Secretaría y se invitará a hacer parte de esta estrategia. 
De acuerdo al trabajo realizado por el equipo territorial, en acompañamiento a PRECI de la loc"&amp;"alidad, se verifica que en el sector existen 11 FSL de los cuales en ninguno esta el señor Ricardo Rojas presidente de la JAC Barrio San Antonio, ya que la comunidad y la policía manifiestan que es muy conflictivo para lograr el trabajo en el sector. El e"&amp;"quipo territorial de la Secretaría se encuentra trabajando temas de convivencia en el sector. ")</f>
        <v xml:space="preserve">La Conformación de los Frentes de Seguridad Local se encuentra a cargo de la MEBOG, por lo cual desde la Dirección de Prevención no se puede garantizar su creación. No obstante, se realizará el acercamiento con PRECI de la localidad para que éstos puedan vincular a la comunidad a esta instancia. Así mismo se explicará el programa de participaicón de la Secretaría y se invitará a hacer parte de esta estrategia. 
De acuerdo al trabajo realizado por el equipo territorial, en acompañamiento a PRECI de la localidad, se verifica que en el sector existen 11 FSL de los cuales en ninguno esta el señor Ricardo Rojas presidente de la JAC Barrio San Antonio, ya que la comunidad y la policía manifiestan que es muy conflictivo para lograr el trabajo en el sector. El equipo territorial de la Secretaría se encuentra trabajando temas de convivencia en el sector. </v>
      </c>
      <c r="N178" s="55">
        <f ca="1">IFERROR(__xludf.DUMMYFUNCTION("""COMPUTED_VALUE"""),45064)</f>
        <v>45064</v>
      </c>
      <c r="O178" s="25" t="str">
        <f t="shared" ca="1" si="0"/>
        <v>Secretaría Distrital de Seguridad, Convivencia y Justicia</v>
      </c>
      <c r="P178" s="25" t="str">
        <f t="shared" ca="1" si="1"/>
        <v/>
      </c>
      <c r="Q178" s="25" t="str">
        <f ca="1">IFERROR(__xludf.DUMMYFUNCTION("""COMPUTED_VALUE"""),"Corto plazo")</f>
        <v>Corto plazo</v>
      </c>
      <c r="R178" s="25"/>
      <c r="S178" s="55"/>
      <c r="T178" s="56"/>
      <c r="U178" s="25"/>
      <c r="V178" s="25"/>
      <c r="W178" s="25"/>
      <c r="X178" s="25"/>
      <c r="Y178" s="25"/>
      <c r="Z178" s="25"/>
    </row>
    <row r="179" spans="1:26" ht="52.5" customHeight="1" x14ac:dyDescent="0.25">
      <c r="A179" s="25" t="str">
        <f ca="1">IFERROR(__xludf.DUMMYFUNCTION("""COMPUTED_VALUE"""),"Segur177")</f>
        <v>Segur177</v>
      </c>
      <c r="B179" s="25" t="str">
        <f ca="1">IFERROR(__xludf.DUMMYFUNCTION("""COMPUTED_VALUE"""),"Recorrido Rafael Uribe Uribe")</f>
        <v>Recorrido Rafael Uribe Uribe</v>
      </c>
      <c r="C179" s="55">
        <f ca="1">IFERROR(__xludf.DUMMYFUNCTION("""COMPUTED_VALUE"""),45006)</f>
        <v>45006</v>
      </c>
      <c r="D179" s="25" t="str">
        <f ca="1">IFERROR(__xludf.DUMMYFUNCTION("""COMPUTED_VALUE"""),"Seguridad")</f>
        <v>Seguridad</v>
      </c>
      <c r="E179" s="25" t="str">
        <f ca="1">IFERROR(__xludf.DUMMYFUNCTION("""COMPUTED_VALUE"""),"Secretaría Distrital de Seguridad, Convivencia y Justicia")</f>
        <v>Secretaría Distrital de Seguridad, Convivencia y Justicia</v>
      </c>
      <c r="F179" s="25" t="str">
        <f ca="1">IFERROR(__xludf.DUMMYFUNCTION("""COMPUTED_VALUE"""),"Llevar a cabo operativos de cierre a bodegas de reciclaje que no cumplan controles y parámetros legales.")</f>
        <v>Llevar a cabo operativos de cierre a bodegas de reciclaje que no cumplan controles y parámetros legales.</v>
      </c>
      <c r="G179" s="25" t="str">
        <f ca="1">IFERROR(__xludf.DUMMYFUNCTION("""COMPUTED_VALUE"""),"18. Rafael Uribe Uribe")</f>
        <v>18. Rafael Uribe Uribe</v>
      </c>
      <c r="H179" s="55">
        <f ca="1">IFERROR(__xludf.DUMMYFUNCTION("""COMPUTED_VALUE"""),45015)</f>
        <v>45015</v>
      </c>
      <c r="I179" s="25"/>
      <c r="J179" s="55" t="str">
        <f ca="1">IFERROR(__xludf.DUMMYFUNCTION("""COMPUTED_VALUE"""),"Alta")</f>
        <v>Alta</v>
      </c>
      <c r="K179" s="25">
        <f ca="1">IFERROR(__xludf.DUMMYFUNCTION("""COMPUTED_VALUE"""),9)</f>
        <v>9</v>
      </c>
      <c r="L179" s="55">
        <f ca="1">IFERROR(__xludf.DUMMYFUNCTION("""COMPUTED_VALUE"""),45040)</f>
        <v>45040</v>
      </c>
      <c r="M179" s="25" t="str">
        <f ca="1">IFERROR(__xludf.DUMMYFUNCTION("""COMPUTED_VALUE"""),"Durante los meses de Marzo y Abril se llevaron actividades de control a bodegas de reciclaje en el sector obteniendo los siguientes resulados:
1- Fecha: 10 abril 2023
Localidad: Rafael Uribe 
UPZ:  Quiroga
Barrio: El Libertador
Hora Inicial: 8:00am
Hora "&amp;"Final: 12:30pm
Entidades participantes: SDSCJ, ponal, alcaldía local
Actividad: IVC bodegas de reciclaje y plan guitarra 
Logros: se Verificaron 6 bodegas de reciclaje, registraron a 57personas, 3 motos, 2 vehículos, 3 carretas se verificaron antecedentes"&amp;" judiciales, se verificaron 21 IMEI
Novedades: se realiza un cierre voluntario por no contar con toda la documentación, con fecha de apertura de 20 días
2- Fecha: 19 de Abril 2023
Localidad: Rafael Uribe 
UPZ:  Marco Fidel Suarez
Barrio: Colinas, Granjas"&amp;" de San Pablo    
Hora Inicial: 1:00pm
Hora Final: 5:00pm
Entidades participantes: SDSCJ, ponal, Gobierno, red centro oriente, alcaldía local          
Actividad: IVC de bodegas de reciclaje troncal caracas     
Logros: se verificaron 6 bodegas de recicla"&amp;"je, se registraron a 32 personas,, se verificaron antecedentes judiciales y se verificaron 9 celulares IMEI,se verificaron  antecedentes judiciales
Novedades: Comprendo No. 110011504790 por artículo 9210 extensión actividad economica suspensión actvidad 5"&amp;" días
- comparendo No. 110011504791
Artículo 9216 no cumplir con la documentación requerida suspensión actividad economica  por 5 dias
- Cierre voluntario por no contar con documentos de funcionamiento, apertura de establecimiento hace 10 días.
3- Fecha"&amp;": 06 03 2023
Localidad: Rafael Uribe 
UPZ: Marruecos 
Barrio:  Marco Fidel Suárez I, Los Molinos          
Hora Inicial: 8:00 am
Hora Final: 12:20 pm
Entidades participantes: SDSCJ, PONAL, ALRUU.          
Actividad:  IVC Bodegas de Reciclaje      
Logros"&amp;": Se verificaron 6 bodegas de reciclaje, por falta de documentos se realiza cierre preventivo en 4 establecimientos.
")</f>
        <v xml:space="preserve">Durante los meses de Marzo y Abril se llevaron actividades de control a bodegas de reciclaje en el sector obteniendo los siguientes resulados:
1- Fecha: 10 abril 2023
Localidad: Rafael Uribe 
UPZ:  Quiroga
Barrio: El Libertador
Hora Inicial: 8:00am
Hora Final: 12:30pm
Entidades participantes: SDSCJ, ponal, alcaldía local
Actividad: IVC bodegas de reciclaje y plan guitarra 
Logros: se Verificaron 6 bodegas de reciclaje, registraron a 57personas, 3 motos, 2 vehículos, 3 carretas se verificaron antecedentes judiciales, se verificaron 21 IMEI
Novedades: se realiza un cierre voluntario por no contar con toda la documentación, con fecha de apertura de 20 días
2- Fecha: 19 de Abril 2023
Localidad: Rafael Uribe 
UPZ:  Marco Fidel Suarez
Barrio: Colinas, Granjas de San Pablo    
Hora Inicial: 1:00pm
Hora Final: 5:00pm
Entidades participantes: SDSCJ, ponal, Gobierno, red centro oriente, alcaldía local          
Actividad: IVC de bodegas de reciclaje troncal caracas     
Logros: se verificaron 6 bodegas de reciclaje, se registraron a 32 personas,, se verificaron antecedentes judiciales y se verificaron 9 celulares IMEI,se verificaron  antecedentes judiciales
Novedades: Comprendo No. 110011504790 por artículo 9210 extensión actividad economica suspensión actvidad 5 días
- comparendo No. 110011504791
Artículo 9216 no cumplir con la documentación requerida suspensión actividad economica  por 5 dias
- Cierre voluntario por no contar con documentos de funcionamiento, apertura de establecimiento hace 10 días.
3- Fecha: 06 03 2023
Localidad: Rafael Uribe 
UPZ: Marruecos 
Barrio:  Marco Fidel Suárez I, Los Molinos          
Hora Inicial: 8:00 am
Hora Final: 12:20 pm
Entidades participantes: SDSCJ, PONAL, ALRUU.          
Actividad:  IVC Bodegas de Reciclaje      
Logros: Se verificaron 6 bodegas de reciclaje, por falta de documentos se realiza cierre preventivo en 4 establecimientos.
</v>
      </c>
      <c r="N179" s="55">
        <f ca="1">IFERROR(__xludf.DUMMYFUNCTION("""COMPUTED_VALUE"""),45035)</f>
        <v>45035</v>
      </c>
      <c r="O179" s="25" t="str">
        <f t="shared" ca="1" si="0"/>
        <v>Secretaría Distrital de Seguridad, Convivencia y Justicia</v>
      </c>
      <c r="P179" s="25" t="str">
        <f t="shared" si="1"/>
        <v/>
      </c>
      <c r="Q179" s="25" t="str">
        <f ca="1">IFERROR(__xludf.DUMMYFUNCTION("""COMPUTED_VALUE"""),"Corto plazo")</f>
        <v>Corto plazo</v>
      </c>
      <c r="R179" s="25"/>
      <c r="S179" s="55"/>
      <c r="T179" s="56"/>
      <c r="U179" s="25"/>
      <c r="V179" s="25"/>
      <c r="W179" s="25"/>
      <c r="X179" s="25"/>
      <c r="Y179" s="25"/>
      <c r="Z179" s="25"/>
    </row>
    <row r="180" spans="1:26" ht="52.5" customHeight="1" x14ac:dyDescent="0.25">
      <c r="A180" s="25" t="str">
        <f ca="1">IFERROR(__xludf.DUMMYFUNCTION("""COMPUTED_VALUE"""),"Segur178")</f>
        <v>Segur178</v>
      </c>
      <c r="B180" s="25" t="str">
        <f ca="1">IFERROR(__xludf.DUMMYFUNCTION("""COMPUTED_VALUE"""),"Comité de Gestión del Riesgo")</f>
        <v>Comité de Gestión del Riesgo</v>
      </c>
      <c r="C180" s="55">
        <f ca="1">IFERROR(__xludf.DUMMYFUNCTION("""COMPUTED_VALUE"""),45002)</f>
        <v>45002</v>
      </c>
      <c r="D180" s="25" t="str">
        <f ca="1">IFERROR(__xludf.DUMMYFUNCTION("""COMPUTED_VALUE"""),"Seguridad")</f>
        <v>Seguridad</v>
      </c>
      <c r="E180" s="25" t="str">
        <f ca="1">IFERROR(__xludf.DUMMYFUNCTION("""COMPUTED_VALUE"""),"Unidad Administrativa Especial Cuerpo Oficial de Bomberos")</f>
        <v>Unidad Administrativa Especial Cuerpo Oficial de Bomberos</v>
      </c>
      <c r="F180" s="25" t="str">
        <f ca="1">IFERROR(__xludf.DUMMYFUNCTION("""COMPUTED_VALUE"""),"El compromiso adquirido con Sumapaz y que se debe cumplir en caso de incendios, es formar a las personas de la comunidad y de la brigada, y dejar una base de material del ejército para que el primer respondiente sepa como intervenir mientras llegan los bo"&amp;"mberos (Trabajar con el alcalde local).
 Coordinar con Bomberos, Idiger, Ejército y Alcalde local.")</f>
        <v>El compromiso adquirido con Sumapaz y que se debe cumplir en caso de incendios, es formar a las personas de la comunidad y de la brigada, y dejar una base de material del ejército para que el primer respondiente sepa como intervenir mientras llegan los bomberos (Trabajar con el alcalde local).
 Coordinar con Bomberos, Idiger, Ejército y Alcalde local.</v>
      </c>
      <c r="G180" s="25" t="str">
        <f ca="1">IFERROR(__xludf.DUMMYFUNCTION("""COMPUTED_VALUE"""),"20. Sumapaz")</f>
        <v>20. Sumapaz</v>
      </c>
      <c r="H180" s="55">
        <f ca="1">IFERROR(__xludf.DUMMYFUNCTION("""COMPUTED_VALUE"""),45138)</f>
        <v>45138</v>
      </c>
      <c r="I180" s="25" t="str">
        <f ca="1">IFERROR(__xludf.DUMMYFUNCTION("""COMPUTED_VALUE"""),"Delivery Unit")</f>
        <v>Delivery Unit</v>
      </c>
      <c r="J180" s="55" t="str">
        <f ca="1">IFERROR(__xludf.DUMMYFUNCTION("""COMPUTED_VALUE"""),"Media")</f>
        <v>Media</v>
      </c>
      <c r="K180" s="25">
        <f ca="1">IFERROR(__xludf.DUMMYFUNCTION("""COMPUTED_VALUE"""),136)</f>
        <v>136</v>
      </c>
      <c r="L180" s="55">
        <f ca="1">IFERROR(__xludf.DUMMYFUNCTION("""COMPUTED_VALUE"""),45055)</f>
        <v>45055</v>
      </c>
      <c r="M180" s="25" t="str">
        <f ca="1">IFERROR(__xludf.DUMMYFUNCTION("""COMPUTED_VALUE"""),"En aras de dar cumplimiento a este compromiso, la entidad tiene proyectado la realización de un curso de primer respondiente forestal  con el personal  que deberá ser convocado por la alcaldia local de Sumapaz para el mes de julio de 2023. Para el materia"&amp;"l a entregar, se realizarán las respectivas coordinaciones con ALSumapaz, IDIGER y EJERCOL")</f>
        <v>En aras de dar cumplimiento a este compromiso, la entidad tiene proyectado la realización de un curso de primer respondiente forestal  con el personal  que deberá ser convocado por la alcaldia local de Sumapaz para el mes de julio de 2023. Para el material a entregar, se realizarán las respectivas coordinaciones con ALSumapaz, IDIGER y EJERCOL</v>
      </c>
      <c r="N180" s="25"/>
      <c r="O180" s="25" t="str">
        <f t="shared" ca="1" si="0"/>
        <v>Unidad Administrativa Especial Cuerpo Oficial de Bomberos</v>
      </c>
      <c r="P180" s="25" t="str">
        <f t="shared" ca="1" si="1"/>
        <v/>
      </c>
      <c r="Q180" s="25" t="str">
        <f ca="1">IFERROR(__xludf.DUMMYFUNCTION("""COMPUTED_VALUE"""),"Mediano plazo")</f>
        <v>Mediano plazo</v>
      </c>
      <c r="R180" s="25"/>
      <c r="S180" s="55"/>
      <c r="T180" s="56"/>
      <c r="U180" s="25"/>
      <c r="V180" s="25"/>
      <c r="W180" s="25"/>
      <c r="X180" s="25"/>
      <c r="Y180" s="25"/>
      <c r="Z180" s="25"/>
    </row>
    <row r="181" spans="1:26" ht="52.5" customHeight="1" x14ac:dyDescent="0.25">
      <c r="A181" s="25" t="str">
        <f ca="1">IFERROR(__xludf.DUMMYFUNCTION("""COMPUTED_VALUE"""),"Segur179")</f>
        <v>Segur179</v>
      </c>
      <c r="B181" s="25" t="str">
        <f ca="1">IFERROR(__xludf.DUMMYFUNCTION("""COMPUTED_VALUE"""),"Consejo Local de Gobierno de Kennedy")</f>
        <v>Consejo Local de Gobierno de Kennedy</v>
      </c>
      <c r="C181" s="55">
        <f ca="1">IFERROR(__xludf.DUMMYFUNCTION("""COMPUTED_VALUE"""),44581)</f>
        <v>44581</v>
      </c>
      <c r="D181" s="25" t="str">
        <f ca="1">IFERROR(__xludf.DUMMYFUNCTION("""COMPUTED_VALUE"""),"Seguridad")</f>
        <v>Seguridad</v>
      </c>
      <c r="E181" s="25" t="str">
        <f ca="1">IFERROR(__xludf.DUMMYFUNCTION("""COMPUTED_VALUE"""),"Secretaría Distrital de Seguridad, Convivencia y Justicia")</f>
        <v>Secretaría Distrital de Seguridad, Convivencia y Justicia</v>
      </c>
      <c r="F181" s="25" t="str">
        <f ca="1">IFERROR(__xludf.DUMMYFUNCTION("""COMPUTED_VALUE"""),"Desarrollar acciones de impacto para el control del transporte ilegal y los terminales piratas en el barrio tintal y el sector de la playita")</f>
        <v>Desarrollar acciones de impacto para el control del transporte ilegal y los terminales piratas en el barrio tintal y el sector de la playita</v>
      </c>
      <c r="G181" s="25" t="str">
        <f ca="1">IFERROR(__xludf.DUMMYFUNCTION("""COMPUTED_VALUE"""),"08. Kennedy")</f>
        <v>08. Kennedy</v>
      </c>
      <c r="H181" s="55">
        <f ca="1">IFERROR(__xludf.DUMMYFUNCTION("""COMPUTED_VALUE"""),44747)</f>
        <v>44747</v>
      </c>
      <c r="I181" s="25"/>
      <c r="J181" s="55" t="str">
        <f ca="1">IFERROR(__xludf.DUMMYFUNCTION("""COMPUTED_VALUE"""),"Media")</f>
        <v>Media</v>
      </c>
      <c r="K181" s="25">
        <f ca="1">IFERROR(__xludf.DUMMYFUNCTION("""COMPUTED_VALUE"""),166)</f>
        <v>166</v>
      </c>
      <c r="L181" s="55">
        <f ca="1">IFERROR(__xludf.DUMMYFUNCTION("""COMPUTED_VALUE"""),44747)</f>
        <v>44747</v>
      </c>
      <c r="M181" s="25" t="str">
        <f ca="1">IFERROR(__xludf.DUMMYFUNCTION("""COMPUTED_VALUE"""),"Se realizó una mesa intervención el día 7 de junio en la localidad de Kennedy, puntualmente en los sectores de Patio Bonito, El Tintal, María Paz, Bellavista y La Playita. Se imponen 31 comparendos, se inmovilizan 10 bicitaxis y 10 tricimotores con motor "&amp;"a combustión, de los cuales 6 tienen motor de motocicleta. Asimismo, en La Playita se intervinieron 3 establecimidos, de los cuales no se cerró ninguno y no se realizaron incautaciones. La Policía de Tránsito inmoviliza 4 vehículos en esta zona.")</f>
        <v>Se realizó una mesa intervención el día 7 de junio en la localidad de Kennedy, puntualmente en los sectores de Patio Bonito, El Tintal, María Paz, Bellavista y La Playita. Se imponen 31 comparendos, se inmovilizan 10 bicitaxis y 10 tricimotores con motor a combustión, de los cuales 6 tienen motor de motocicleta. Asimismo, en La Playita se intervinieron 3 establecimidos, de los cuales no se cerró ninguno y no se realizaron incautaciones. La Policía de Tránsito inmoviliza 4 vehículos en esta zona.</v>
      </c>
      <c r="N181" s="55">
        <f ca="1">IFERROR(__xludf.DUMMYFUNCTION("""COMPUTED_VALUE"""),44926)</f>
        <v>44926</v>
      </c>
      <c r="O181" s="25" t="str">
        <f t="shared" ca="1" si="0"/>
        <v>Secretaría Distrital de Seguridad, Convivencia y Justicia</v>
      </c>
      <c r="P181" s="25" t="str">
        <f t="shared" si="1"/>
        <v/>
      </c>
      <c r="Q181" s="25" t="str">
        <f ca="1">IFERROR(__xludf.DUMMYFUNCTION("""COMPUTED_VALUE"""),"Mediano plazo")</f>
        <v>Mediano plazo</v>
      </c>
      <c r="R181" s="25"/>
      <c r="S181" s="55"/>
      <c r="T181" s="56"/>
      <c r="U181" s="25"/>
      <c r="V181" s="25"/>
      <c r="W181" s="25"/>
      <c r="X181" s="25"/>
      <c r="Y181" s="25"/>
      <c r="Z181" s="25"/>
    </row>
    <row r="182" spans="1:26" ht="52.5" customHeight="1" x14ac:dyDescent="0.25">
      <c r="A182" s="25" t="str">
        <f ca="1">IFERROR(__xludf.DUMMYFUNCTION("""COMPUTED_VALUE"""),"Segur180")</f>
        <v>Segur180</v>
      </c>
      <c r="B182" s="25" t="str">
        <f ca="1">IFERROR(__xludf.DUMMYFUNCTION("""COMPUTED_VALUE"""),"Consejo Local de Gobierno de Engativá")</f>
        <v>Consejo Local de Gobierno de Engativá</v>
      </c>
      <c r="C182" s="55">
        <f ca="1">IFERROR(__xludf.DUMMYFUNCTION("""COMPUTED_VALUE"""),44588)</f>
        <v>44588</v>
      </c>
      <c r="D182" s="25" t="str">
        <f ca="1">IFERROR(__xludf.DUMMYFUNCTION("""COMPUTED_VALUE"""),"Seguridad")</f>
        <v>Seguridad</v>
      </c>
      <c r="E182" s="25" t="str">
        <f ca="1">IFERROR(__xludf.DUMMYFUNCTION("""COMPUTED_VALUE"""),"Secretaría Distrital de Seguridad, Convivencia y Justicia")</f>
        <v>Secretaría Distrital de Seguridad, Convivencia y Justicia</v>
      </c>
      <c r="F182" s="25" t="str">
        <f ca="1">IFERROR(__xludf.DUMMYFUNCTION("""COMPUTED_VALUE"""),"Integrar a la comandante de Policía del CAI Villas del Granada a las actividades propuestas por los miembros del Frente de Seguridad y las Redes Cuidadanas.")</f>
        <v>Integrar a la comandante de Policía del CAI Villas del Granada a las actividades propuestas por los miembros del Frente de Seguridad y las Redes Cuidadanas.</v>
      </c>
      <c r="G182" s="25" t="str">
        <f ca="1">IFERROR(__xludf.DUMMYFUNCTION("""COMPUTED_VALUE"""),"10. Engativá")</f>
        <v>10. Engativá</v>
      </c>
      <c r="H182" s="55">
        <f ca="1">IFERROR(__xludf.DUMMYFUNCTION("""COMPUTED_VALUE"""),44705)</f>
        <v>44705</v>
      </c>
      <c r="I182" s="25"/>
      <c r="J182" s="55" t="str">
        <f ca="1">IFERROR(__xludf.DUMMYFUNCTION("""COMPUTED_VALUE"""),"Media")</f>
        <v>Media</v>
      </c>
      <c r="K182" s="25">
        <f ca="1">IFERROR(__xludf.DUMMYFUNCTION("""COMPUTED_VALUE"""),117)</f>
        <v>117</v>
      </c>
      <c r="L182" s="55">
        <f ca="1">IFERROR(__xludf.DUMMYFUNCTION("""COMPUTED_VALUE"""),44705)</f>
        <v>44705</v>
      </c>
      <c r="M182" s="25" t="str">
        <f ca="1">IFERROR(__xludf.DUMMYFUNCTION("""COMPUTED_VALUE"""),"Desde el mes de febrero se iniciaron las coordinaciones con la MEBOG, especialmente con el comandante del COSEC 3, y con el comandante de la Estación, con el fin de fortalecer la asistencia del mismo a las reuniones de frentes de seguridad y de redes de c"&amp;"uidado en la localidad. Durante los meses de marzo y abril se realizaron mesas de trabajo con los frentes de seguridad de la zona y durante el mes de mayo se ha realizado seguimiento a las redes de cuidado con la MEBOG.")</f>
        <v>Desde el mes de febrero se iniciaron las coordinaciones con la MEBOG, especialmente con el comandante del COSEC 3, y con el comandante de la Estación, con el fin de fortalecer la asistencia del mismo a las reuniones de frentes de seguridad y de redes de cuidado en la localidad. Durante los meses de marzo y abril se realizaron mesas de trabajo con los frentes de seguridad de la zona y durante el mes de mayo se ha realizado seguimiento a las redes de cuidado con la MEBOG.</v>
      </c>
      <c r="N182" s="55">
        <f ca="1">IFERROR(__xludf.DUMMYFUNCTION("""COMPUTED_VALUE"""),44926)</f>
        <v>44926</v>
      </c>
      <c r="O182" s="25" t="str">
        <f t="shared" ca="1" si="0"/>
        <v>Secretaría Distrital de Seguridad, Convivencia y Justicia</v>
      </c>
      <c r="P182" s="25" t="str">
        <f t="shared" si="1"/>
        <v/>
      </c>
      <c r="Q182" s="25" t="str">
        <f ca="1">IFERROR(__xludf.DUMMYFUNCTION("""COMPUTED_VALUE"""),"Mediano plazo")</f>
        <v>Mediano plazo</v>
      </c>
      <c r="R182" s="25"/>
      <c r="S182" s="55"/>
      <c r="T182" s="56"/>
      <c r="U182" s="25"/>
      <c r="V182" s="25"/>
      <c r="W182" s="25"/>
      <c r="X182" s="25"/>
      <c r="Y182" s="25"/>
      <c r="Z182" s="25"/>
    </row>
    <row r="183" spans="1:26" ht="52.5" customHeight="1" x14ac:dyDescent="0.25">
      <c r="A183" s="25" t="str">
        <f ca="1">IFERROR(__xludf.DUMMYFUNCTION("""COMPUTED_VALUE"""),"Segur181")</f>
        <v>Segur181</v>
      </c>
      <c r="B183" s="25" t="str">
        <f ca="1">IFERROR(__xludf.DUMMYFUNCTION("""COMPUTED_VALUE"""),"Consejo Local de Gobierno de Engativá")</f>
        <v>Consejo Local de Gobierno de Engativá</v>
      </c>
      <c r="C183" s="55">
        <f ca="1">IFERROR(__xludf.DUMMYFUNCTION("""COMPUTED_VALUE"""),44588)</f>
        <v>44588</v>
      </c>
      <c r="D183" s="25" t="str">
        <f ca="1">IFERROR(__xludf.DUMMYFUNCTION("""COMPUTED_VALUE"""),"Seguridad")</f>
        <v>Seguridad</v>
      </c>
      <c r="E183" s="25" t="str">
        <f ca="1">IFERROR(__xludf.DUMMYFUNCTION("""COMPUTED_VALUE"""),"Secretaría Distrital de Seguridad, Convivencia y Justicia")</f>
        <v>Secretaría Distrital de Seguridad, Convivencia y Justicia</v>
      </c>
      <c r="F183" s="25" t="str">
        <f ca="1">IFERROR(__xludf.DUMMYFUNCTION("""COMPUTED_VALUE"""),"Construir una URI en el terreno de la Granja ubicado en la carrera 83 con calle 78.")</f>
        <v>Construir una URI en el terreno de la Granja ubicado en la carrera 83 con calle 78.</v>
      </c>
      <c r="G183" s="25" t="str">
        <f ca="1">IFERROR(__xludf.DUMMYFUNCTION("""COMPUTED_VALUE"""),"10. Engativá")</f>
        <v>10. Engativá</v>
      </c>
      <c r="H183" s="55">
        <f ca="1">IFERROR(__xludf.DUMMYFUNCTION("""COMPUTED_VALUE"""),44893)</f>
        <v>44893</v>
      </c>
      <c r="I183" s="25"/>
      <c r="J183" s="55" t="str">
        <f ca="1">IFERROR(__xludf.DUMMYFUNCTION("""COMPUTED_VALUE"""),"Baja")</f>
        <v>Baja</v>
      </c>
      <c r="K183" s="25">
        <f ca="1">IFERROR(__xludf.DUMMYFUNCTION("""COMPUTED_VALUE"""),305)</f>
        <v>305</v>
      </c>
      <c r="L183" s="55">
        <f ca="1">IFERROR(__xludf.DUMMYFUNCTION("""COMPUTED_VALUE"""),44893)</f>
        <v>44893</v>
      </c>
      <c r="M183" s="25" t="str">
        <f ca="1">IFERROR(__xludf.DUMMYFUNCTION("""COMPUTED_VALUE"""),"Durante esta Administración se previó la construcción de 3 URI (Bosa, Suba y Tunjuelito) en el PDD. La URI de Engativá (predio la Granja) era adicional, en caso de conseguir el presupuesto para su desarrollo. Sin embargo, no se tienen recursos para su rea"&amp;"lización durante el periodo 2023. Se solicita el cierre del compromiso.")</f>
        <v>Durante esta Administración se previó la construcción de 3 URI (Bosa, Suba y Tunjuelito) en el PDD. La URI de Engativá (predio la Granja) era adicional, en caso de conseguir el presupuesto para su desarrollo. Sin embargo, no se tienen recursos para su realización durante el periodo 2023. Se solicita el cierre del compromiso.</v>
      </c>
      <c r="N183" s="55">
        <f ca="1">IFERROR(__xludf.DUMMYFUNCTION("""COMPUTED_VALUE"""),44926)</f>
        <v>44926</v>
      </c>
      <c r="O183" s="25" t="str">
        <f t="shared" ca="1" si="0"/>
        <v>Secretaría Distrital de Seguridad, Convivencia y Justicia</v>
      </c>
      <c r="P183" s="25" t="str">
        <f t="shared" si="1"/>
        <v/>
      </c>
      <c r="Q183" s="25" t="str">
        <f ca="1">IFERROR(__xludf.DUMMYFUNCTION("""COMPUTED_VALUE"""),"Largo plazo")</f>
        <v>Largo plazo</v>
      </c>
      <c r="R183" s="25"/>
      <c r="S183" s="55"/>
      <c r="T183" s="56"/>
      <c r="U183" s="25"/>
      <c r="V183" s="25"/>
      <c r="W183" s="25"/>
      <c r="X183" s="25"/>
      <c r="Y183" s="25"/>
      <c r="Z183" s="25"/>
    </row>
    <row r="184" spans="1:26" ht="52.5" customHeight="1" x14ac:dyDescent="0.25">
      <c r="A184" s="25" t="str">
        <f ca="1">IFERROR(__xludf.DUMMYFUNCTION("""COMPUTED_VALUE"""),"Segur182")</f>
        <v>Segur182</v>
      </c>
      <c r="B184" s="25" t="str">
        <f ca="1">IFERROR(__xludf.DUMMYFUNCTION("""COMPUTED_VALUE"""),"Consejo Local de Gobierno de Fontibón")</f>
        <v>Consejo Local de Gobierno de Fontibón</v>
      </c>
      <c r="C184" s="55">
        <f ca="1">IFERROR(__xludf.DUMMYFUNCTION("""COMPUTED_VALUE"""),44609)</f>
        <v>44609</v>
      </c>
      <c r="D184" s="25" t="str">
        <f ca="1">IFERROR(__xludf.DUMMYFUNCTION("""COMPUTED_VALUE"""),"Seguridad")</f>
        <v>Seguridad</v>
      </c>
      <c r="E184" s="25" t="str">
        <f ca="1">IFERROR(__xludf.DUMMYFUNCTION("""COMPUTED_VALUE"""),"Secretaría Distrital de Seguridad, Convivencia y Justicia")</f>
        <v>Secretaría Distrital de Seguridad, Convivencia y Justicia</v>
      </c>
      <c r="F184" s="25" t="str">
        <f ca="1">IFERROR(__xludf.DUMMYFUNCTION("""COMPUTED_VALUE"""),"Organizar acciones que generen apropiación del parque El recodo (El Dormilón) a través de las actividades deportivas entre el ciudadano Cristián, la presidenta de la JAL del recodo y la gestora de seguridad de Fontibón.")</f>
        <v>Organizar acciones que generen apropiación del parque El recodo (El Dormilón) a través de las actividades deportivas entre el ciudadano Cristián, la presidenta de la JAL del recodo y la gestora de seguridad de Fontibón.</v>
      </c>
      <c r="G184" s="25" t="str">
        <f ca="1">IFERROR(__xludf.DUMMYFUNCTION("""COMPUTED_VALUE"""),"09. Fontibón")</f>
        <v>09. Fontibón</v>
      </c>
      <c r="H184" s="55">
        <f ca="1">IFERROR(__xludf.DUMMYFUNCTION("""COMPUTED_VALUE"""),44705)</f>
        <v>44705</v>
      </c>
      <c r="I184" s="25"/>
      <c r="J184" s="55" t="str">
        <f ca="1">IFERROR(__xludf.DUMMYFUNCTION("""COMPUTED_VALUE"""),"Media")</f>
        <v>Media</v>
      </c>
      <c r="K184" s="25">
        <f ca="1">IFERROR(__xludf.DUMMYFUNCTION("""COMPUTED_VALUE"""),96)</f>
        <v>96</v>
      </c>
      <c r="L184" s="55">
        <f ca="1">IFERROR(__xludf.DUMMYFUNCTION("""COMPUTED_VALUE"""),44705)</f>
        <v>44705</v>
      </c>
      <c r="M184" s="25" t="str">
        <f ca="1">IFERROR(__xludf.DUMMYFUNCTION("""COMPUTED_VALUE"""),"Durante el mes de marzo se hizo presencia en el parque El Recodo y se realizaron actividades de registro y control, con el fin de prevenir el consumo de sustancias psicoactivas y el hurto a personas en el parque, atendiendo a que esta fue una problemática"&amp;" identificada con la comunidad. 
 Adicionalmente, se llevó a cabo una reunión el 23 de abril con la Presidenta de la Junta y el señor Cristhian y se acordaron las acciones específicas que se requerían para que los niños hagan uso del parque y para refor"&amp;"zar la apropiación del mismo con la comunidad. Conforme a los resultados de dicha reunión, se llevaron a cabo las siguientes acciones:
 1. 23 de abril de 2022: Se llevó a cabo una capacitación sobre el Código Nacional de Seguridad y Convivencia Ciudadan"&amp;"a, dictada por el tallerista Ricardo Osorio de la SDSCJ. La capacitación se dirigió a los habitantes del sector El Recodo, atendiendo a que asistieron vecinos de la zona e integrantes de las redes de cuidado con códigos SSCJ-09-606 y 607.
 2. 19 de mayo"&amp;" de 2022: Se llevó a cabo una jornada de registro y control para la prevención del hurto y del consumo de sustancia psicoactivas en el parque. Se registraron 15 personas en el Parque El Dormilón y no se obtuvieron resultados. Paralelamente, se llevó a cab"&amp;"o una jornada de sensibilización a los vecinos de la zona sobre el hurto a personas y el consumo de SPA.
 Se continúan haciendo actividades de registro y control de manera sostenida y se sigue fortaleciendo el uso del parque por parte de la comunidad.")</f>
        <v>Durante el mes de marzo se hizo presencia en el parque El Recodo y se realizaron actividades de registro y control, con el fin de prevenir el consumo de sustancias psicoactivas y el hurto a personas en el parque, atendiendo a que esta fue una problemática identificada con la comunidad. 
 Adicionalmente, se llevó a cabo una reunión el 23 de abril con la Presidenta de la Junta y el señor Cristhian y se acordaron las acciones específicas que se requerían para que los niños hagan uso del parque y para reforzar la apropiación del mismo con la comunidad. Conforme a los resultados de dicha reunión, se llevaron a cabo las siguientes acciones:
 1. 23 de abril de 2022: Se llevó a cabo una capacitación sobre el Código Nacional de Seguridad y Convivencia Ciudadana, dictada por el tallerista Ricardo Osorio de la SDSCJ. La capacitación se dirigió a los habitantes del sector El Recodo, atendiendo a que asistieron vecinos de la zona e integrantes de las redes de cuidado con códigos SSCJ-09-606 y 607.
 2. 19 de mayo de 2022: Se llevó a cabo una jornada de registro y control para la prevención del hurto y del consumo de sustancia psicoactivas en el parque. Se registraron 15 personas en el Parque El Dormilón y no se obtuvieron resultados. Paralelamente, se llevó a cabo una jornada de sensibilización a los vecinos de la zona sobre el hurto a personas y el consumo de SPA.
 Se continúan haciendo actividades de registro y control de manera sostenida y se sigue fortaleciendo el uso del parque por parte de la comunidad.</v>
      </c>
      <c r="N184" s="55">
        <f ca="1">IFERROR(__xludf.DUMMYFUNCTION("""COMPUTED_VALUE"""),44926)</f>
        <v>44926</v>
      </c>
      <c r="O184" s="25" t="str">
        <f t="shared" ca="1" si="0"/>
        <v>Secretaría Distrital de Seguridad, Convivencia y Justicia</v>
      </c>
      <c r="P184" s="25" t="str">
        <f t="shared" si="1"/>
        <v/>
      </c>
      <c r="Q184" s="25" t="str">
        <f ca="1">IFERROR(__xludf.DUMMYFUNCTION("""COMPUTED_VALUE"""),"Mediano plazo")</f>
        <v>Mediano plazo</v>
      </c>
      <c r="R184" s="25"/>
      <c r="S184" s="55"/>
      <c r="T184" s="56"/>
      <c r="U184" s="25"/>
      <c r="V184" s="25"/>
      <c r="W184" s="25"/>
      <c r="X184" s="25"/>
      <c r="Y184" s="25"/>
      <c r="Z184" s="25"/>
    </row>
    <row r="185" spans="1:26" ht="52.5" customHeight="1" x14ac:dyDescent="0.25">
      <c r="A185" s="25" t="str">
        <f ca="1">IFERROR(__xludf.DUMMYFUNCTION("""COMPUTED_VALUE"""),"Segur183")</f>
        <v>Segur183</v>
      </c>
      <c r="B185" s="25" t="str">
        <f ca="1">IFERROR(__xludf.DUMMYFUNCTION("""COMPUTED_VALUE"""),"Consejo Local de Gobierno de Fontibón")</f>
        <v>Consejo Local de Gobierno de Fontibón</v>
      </c>
      <c r="C185" s="55">
        <f ca="1">IFERROR(__xludf.DUMMYFUNCTION("""COMPUTED_VALUE"""),44609)</f>
        <v>44609</v>
      </c>
      <c r="D185" s="25" t="str">
        <f ca="1">IFERROR(__xludf.DUMMYFUNCTION("""COMPUTED_VALUE"""),"Seguridad")</f>
        <v>Seguridad</v>
      </c>
      <c r="E185" s="25" t="str">
        <f ca="1">IFERROR(__xludf.DUMMYFUNCTION("""COMPUTED_VALUE"""),"Secretaría Distrital de Seguridad, Convivencia y Justicia")</f>
        <v>Secretaría Distrital de Seguridad, Convivencia y Justicia</v>
      </c>
      <c r="F185" s="25" t="str">
        <f ca="1">IFERROR(__xludf.DUMMYFUNCTION("""COMPUTED_VALUE"""),"Socializar con la representante de juventudes Angie Paola Contreras la función de la cartografía social, el Sistema Sofía, la línea púrpura y atender las denuncias de acoso a mujeres por parte de policías de la localidad.")</f>
        <v>Socializar con la representante de juventudes Angie Paola Contreras la función de la cartografía social, el Sistema Sofía, la línea púrpura y atender las denuncias de acoso a mujeres por parte de policías de la localidad.</v>
      </c>
      <c r="G185" s="25" t="str">
        <f ca="1">IFERROR(__xludf.DUMMYFUNCTION("""COMPUTED_VALUE"""),"09. Fontibón")</f>
        <v>09. Fontibón</v>
      </c>
      <c r="H185" s="55">
        <f ca="1">IFERROR(__xludf.DUMMYFUNCTION("""COMPUTED_VALUE"""),44706)</f>
        <v>44706</v>
      </c>
      <c r="I185" s="25"/>
      <c r="J185" s="55" t="str">
        <f ca="1">IFERROR(__xludf.DUMMYFUNCTION("""COMPUTED_VALUE"""),"Media")</f>
        <v>Media</v>
      </c>
      <c r="K185" s="25">
        <f ca="1">IFERROR(__xludf.DUMMYFUNCTION("""COMPUTED_VALUE"""),97)</f>
        <v>97</v>
      </c>
      <c r="L185" s="55">
        <f ca="1">IFERROR(__xludf.DUMMYFUNCTION("""COMPUTED_VALUE"""),44706)</f>
        <v>44706</v>
      </c>
      <c r="M185" s="25" t="str">
        <f ca="1">IFERROR(__xludf.DUMMYFUNCTION("""COMPUTED_VALUE"""),"El 28 de febrero se llevó a cabo el Consejo Local de Seguridad para las Mujeres de Fontibón, en el cual la Enlace Sofia puso en conocimiento ante las autoridades locales dicha situación y para su abordaje se establecieron compromisos por parte de las enti"&amp;"dades.
 Sensibilizaciones con la Estación de Policía de Fontibón: Se realizaron tres sesiones los días 3, 17 y 23 de marzo dirigidas a miembros de la Policía Metropolitana de Bogotá, específicamente del Comando de Vigilancia de la Estación de Fontibón,"&amp;" en el marco de la Sentencia T 594 – 2016, Política Pública de Actividades Sexuales Pagadas- PPASP, DD. HH, y fortalecimiento al trato digno hacia las personas que realizan Actividades Sexuales Pagadas – ASP. En este espacio se hizo énfasis en los princip"&amp;"ios del Sistema Distrital de Atención a Mujeres Víctimas de Violencias (competencias en el derecho a una vida libre de violencias de las entidades y ruta de atención), principio de debida diligencia de las entidades y específicamente de la policía.
 Rec"&amp;"onocimiento del derecho de las mujeres a una vida libre de violencias en el espacio público. En el marco del Plan Local de Seguridad para las Mujeres de Fontibón, se realizaron en los meses de febrero, marzo y abril, ejercicios de sensibilización y recono"&amp;"cimiento del derecho de las mujeres a una vida libre de violencias y divulgación de la Ruta de atención a mujeres víctimas de violencias y en riesgo de feminicidio, con 374 ciudadanas de la localidad. Así mismo, se ha participado de manera continua en las"&amp;" jornadas de la Casa de Igualdad de Oportunidades para las Mujeres, Mujer contigo en tu barrio, y en las jornadas de la Alcaldía Local, Despachando desde el Territorio, donde se ha informado a las ciudadanas sobre la ruta de atención, y los canales y serv"&amp;"icios donde pueden acudir en caso de ser víctimas de violencias en el espacio público o privado. 
 Acuerdos institucionales locales: En el próximo Consejo Local de Seguridad de Mujeres, programado para el 10 de junio, se establecerá en coordinación con "&amp;"la Estación de Policía de Fontibón, las acciones para continuar fortaleciendo el abordaje del derecho de las mujeres a una vida libre de violencias en el ámbito público y privado, con el personal, ya que por el momento, debido al cambio de la dinamizadora"&amp;" de la Estrategia de Mujer Familia y Género de la entidad, no ha sido posible confirmar el cronograma de las jornadas.")</f>
        <v>El 28 de febrero se llevó a cabo el Consejo Local de Seguridad para las Mujeres de Fontibón, en el cual la Enlace Sofia puso en conocimiento ante las autoridades locales dicha situación y para su abordaje se establecieron compromisos por parte de las entidades.
 Sensibilizaciones con la Estación de Policía de Fontibón: Se realizaron tres sesiones los días 3, 17 y 23 de marzo dirigidas a miembros de la Policía Metropolitana de Bogotá, específicamente del Comando de Vigilancia de la Estación de Fontibón, en el marco de la Sentencia T 594 – 2016, Política Pública de Actividades Sexuales Pagadas- PPASP, DD. HH, y fortalecimiento al trato digno hacia las personas que realizan Actividades Sexuales Pagadas – ASP. En este espacio se hizo énfasis en los principios del Sistema Distrital de Atención a Mujeres Víctimas de Violencias (competencias en el derecho a una vida libre de violencias de las entidades y ruta de atención), principio de debida diligencia de las entidades y específicamente de la policía.
 Reconocimiento del derecho de las mujeres a una vida libre de violencias en el espacio público. En el marco del Plan Local de Seguridad para las Mujeres de Fontibón, se realizaron en los meses de febrero, marzo y abril, ejercicios de sensibilización y reconocimiento del derecho de las mujeres a una vida libre de violencias y divulgación de la Ruta de atención a mujeres víctimas de violencias y en riesgo de feminicidio, con 374 ciudadanas de la localidad. Así mismo, se ha participado de manera continua en las jornadas de la Casa de Igualdad de Oportunidades para las Mujeres, Mujer contigo en tu barrio, y en las jornadas de la Alcaldía Local, Despachando desde el Territorio, donde se ha informado a las ciudadanas sobre la ruta de atención, y los canales y servicios donde pueden acudir en caso de ser víctimas de violencias en el espacio público o privado. 
 Acuerdos institucionales locales: En el próximo Consejo Local de Seguridad de Mujeres, programado para el 10 de junio, se establecerá en coordinación con la Estación de Policía de Fontibón, las acciones para continuar fortaleciendo el abordaje del derecho de las mujeres a una vida libre de violencias en el ámbito público y privado, con el personal, ya que por el momento, debido al cambio de la dinamizadora de la Estrategia de Mujer Familia y Género de la entidad, no ha sido posible confirmar el cronograma de las jornadas.</v>
      </c>
      <c r="N185" s="55">
        <f ca="1">IFERROR(__xludf.DUMMYFUNCTION("""COMPUTED_VALUE"""),44926)</f>
        <v>44926</v>
      </c>
      <c r="O185" s="25" t="str">
        <f t="shared" ca="1" si="0"/>
        <v>Secretaría Distrital de Seguridad, Convivencia y Justicia</v>
      </c>
      <c r="P185" s="25" t="str">
        <f t="shared" si="1"/>
        <v/>
      </c>
      <c r="Q185" s="25" t="str">
        <f ca="1">IFERROR(__xludf.DUMMYFUNCTION("""COMPUTED_VALUE"""),"Mediano plazo")</f>
        <v>Mediano plazo</v>
      </c>
      <c r="R185" s="25"/>
      <c r="S185" s="55"/>
      <c r="T185" s="56"/>
      <c r="U185" s="25"/>
      <c r="V185" s="25"/>
      <c r="W185" s="25"/>
      <c r="X185" s="25"/>
      <c r="Y185" s="25"/>
      <c r="Z185" s="25"/>
    </row>
    <row r="186" spans="1:26" ht="52.5" customHeight="1" x14ac:dyDescent="0.25">
      <c r="A186" s="25" t="str">
        <f ca="1">IFERROR(__xludf.DUMMYFUNCTION("""COMPUTED_VALUE"""),"Segur184")</f>
        <v>Segur184</v>
      </c>
      <c r="B186" s="25" t="str">
        <f ca="1">IFERROR(__xludf.DUMMYFUNCTION("""COMPUTED_VALUE"""),"Consejo Local de Gobierno de Barrios Unidos")</f>
        <v>Consejo Local de Gobierno de Barrios Unidos</v>
      </c>
      <c r="C186" s="55">
        <f ca="1">IFERROR(__xludf.DUMMYFUNCTION("""COMPUTED_VALUE"""),44637)</f>
        <v>44637</v>
      </c>
      <c r="D186" s="25" t="str">
        <f ca="1">IFERROR(__xludf.DUMMYFUNCTION("""COMPUTED_VALUE"""),"Seguridad")</f>
        <v>Seguridad</v>
      </c>
      <c r="E186" s="25" t="str">
        <f ca="1">IFERROR(__xludf.DUMMYFUNCTION("""COMPUTED_VALUE"""),"Secretaría Distrital de Seguridad, Convivencia y Justicia")</f>
        <v>Secretaría Distrital de Seguridad, Convivencia y Justicia</v>
      </c>
      <c r="F186" s="25" t="str">
        <f ca="1">IFERROR(__xludf.DUMMYFUNCTION("""COMPUTED_VALUE"""),"Entregar el kit de seguridad para frentes de seguridad en la localidad")</f>
        <v>Entregar el kit de seguridad para frentes de seguridad en la localidad</v>
      </c>
      <c r="G186" s="25" t="str">
        <f ca="1">IFERROR(__xludf.DUMMYFUNCTION("""COMPUTED_VALUE"""),"12. Barrios Unidos")</f>
        <v>12. Barrios Unidos</v>
      </c>
      <c r="H186" s="55">
        <f ca="1">IFERROR(__xludf.DUMMYFUNCTION("""COMPUTED_VALUE"""),44841)</f>
        <v>44841</v>
      </c>
      <c r="I186" s="25"/>
      <c r="J186" s="55" t="str">
        <f ca="1">IFERROR(__xludf.DUMMYFUNCTION("""COMPUTED_VALUE"""),"Baja")</f>
        <v>Baja</v>
      </c>
      <c r="K186" s="25">
        <f ca="1">IFERROR(__xludf.DUMMYFUNCTION("""COMPUTED_VALUE"""),204)</f>
        <v>204</v>
      </c>
      <c r="L186" s="55">
        <f ca="1">IFERROR(__xludf.DUMMYFUNCTION("""COMPUTED_VALUE"""),44841)</f>
        <v>44841</v>
      </c>
      <c r="M186" s="25" t="str">
        <f ca="1">IFERROR(__xludf.DUMMYFUNCTION("""COMPUTED_VALUE"""),"El lanzamiento de la entrega de los kits de seguridad, conforme al índice de priorización, se realizó el pasado 27 de septiembre de 2022. Se entregará un total de 92 kits durante el último trimestre de 2022 a las 70 Redes de Cuidado y los 22 Frentes de Se"&amp;"guridad que fueron seleccionado. Se solicita el cierre del compromiso.")</f>
        <v>El lanzamiento de la entrega de los kits de seguridad, conforme al índice de priorización, se realizó el pasado 27 de septiembre de 2022. Se entregará un total de 92 kits durante el último trimestre de 2022 a las 70 Redes de Cuidado y los 22 Frentes de Seguridad que fueron seleccionado. Se solicita el cierre del compromiso.</v>
      </c>
      <c r="N186" s="55">
        <f ca="1">IFERROR(__xludf.DUMMYFUNCTION("""COMPUTED_VALUE"""),44926)</f>
        <v>44926</v>
      </c>
      <c r="O186" s="25" t="str">
        <f t="shared" ca="1" si="0"/>
        <v>Secretaría Distrital de Seguridad, Convivencia y Justicia</v>
      </c>
      <c r="P186" s="25" t="str">
        <f t="shared" si="1"/>
        <v/>
      </c>
      <c r="Q186" s="25" t="str">
        <f ca="1">IFERROR(__xludf.DUMMYFUNCTION("""COMPUTED_VALUE"""),"Largo plazo")</f>
        <v>Largo plazo</v>
      </c>
      <c r="R186" s="25"/>
      <c r="S186" s="55"/>
      <c r="T186" s="56"/>
      <c r="U186" s="25"/>
      <c r="V186" s="25"/>
      <c r="W186" s="25"/>
      <c r="X186" s="25"/>
      <c r="Y186" s="25"/>
      <c r="Z186" s="25"/>
    </row>
    <row r="187" spans="1:26" ht="52.5" customHeight="1" x14ac:dyDescent="0.25">
      <c r="A187" s="25" t="str">
        <f ca="1">IFERROR(__xludf.DUMMYFUNCTION("""COMPUTED_VALUE"""),"Segur185")</f>
        <v>Segur185</v>
      </c>
      <c r="B187" s="25" t="str">
        <f ca="1">IFERROR(__xludf.DUMMYFUNCTION("""COMPUTED_VALUE"""),"Consejo Local de Gobierno de Barrios Unidos")</f>
        <v>Consejo Local de Gobierno de Barrios Unidos</v>
      </c>
      <c r="C187" s="55">
        <f ca="1">IFERROR(__xludf.DUMMYFUNCTION("""COMPUTED_VALUE"""),44637)</f>
        <v>44637</v>
      </c>
      <c r="D187" s="25" t="str">
        <f ca="1">IFERROR(__xludf.DUMMYFUNCTION("""COMPUTED_VALUE"""),"Seguridad")</f>
        <v>Seguridad</v>
      </c>
      <c r="E187" s="25" t="str">
        <f ca="1">IFERROR(__xludf.DUMMYFUNCTION("""COMPUTED_VALUE"""),"Secretaría Distrital de Seguridad, Convivencia y Justicia")</f>
        <v>Secretaría Distrital de Seguridad, Convivencia y Justicia</v>
      </c>
      <c r="F187" s="25" t="str">
        <f ca="1">IFERROR(__xludf.DUMMYFUNCTION("""COMPUTED_VALUE"""),"Combatir el expendido de drogas ubicado en la Calle 67 con 17")</f>
        <v>Combatir el expendido de drogas ubicado en la Calle 67 con 17</v>
      </c>
      <c r="G187" s="25" t="str">
        <f ca="1">IFERROR(__xludf.DUMMYFUNCTION("""COMPUTED_VALUE"""),"12. Barrios Unidos")</f>
        <v>12. Barrios Unidos</v>
      </c>
      <c r="H187" s="55">
        <f ca="1">IFERROR(__xludf.DUMMYFUNCTION("""COMPUTED_VALUE"""),44705)</f>
        <v>44705</v>
      </c>
      <c r="I187" s="25"/>
      <c r="J187" s="55" t="str">
        <f ca="1">IFERROR(__xludf.DUMMYFUNCTION("""COMPUTED_VALUE"""),"Media")</f>
        <v>Media</v>
      </c>
      <c r="K187" s="25">
        <f ca="1">IFERROR(__xludf.DUMMYFUNCTION("""COMPUTED_VALUE"""),68)</f>
        <v>68</v>
      </c>
      <c r="L187" s="55">
        <f ca="1">IFERROR(__xludf.DUMMYFUNCTION("""COMPUTED_VALUE"""),44705)</f>
        <v>44705</v>
      </c>
      <c r="M187" s="25" t="str">
        <f ca="1">IFERROR(__xludf.DUMMYFUNCTION("""COMPUTED_VALUE"""),"Desde la Secretaría Distrital de Seguridad, Convivencia y Justicia, y en coordinación con la Estación 12 de Policía, se realizaron las siguientes acciones para mitigar el expendio de drogas en el punto identificado:
 1. 22 de marzo de 2022: Se llevó a c"&amp;"abo una jornada de Plan Avispa (Plan Baliza + IVC + Registro a personas) en coordinación con la MEBOG. Se realizó el registro de 15 personas y no se obtuvieron hallazgos de ningún tipo. Asimismo, un equipo de gestores sensibilizó a un grupo de 13 personas"&amp;" sobre el consumo de SPA. 
 2. 6 de abril de 2022: Se llevó a cabo una jornada de Plan Baliza contra el delito de homicidio. Se registró un total de 20 personas por parte de la MEBOG y se sensibilizaron 25 personas por parte del equipo de gestores de co"&amp;"nvivencia. Asimismo, se realizó una jornada de control a establecimiento de venta de licor para prevenir el expendio de drogas dentro de estos lugares. 
 La zona de la Calle 67 con 17 es un entorno priorizado por parte de la Secretaría de Seguridad, raz"&amp;"ón por la cual se seguirán realizando acciones de control y prevención de manera permanente los días viernes y sábado, después de las 5:00p.m. Lo anterior atendiendo a que son las franjas horarias de concentración de delitos de estupefacientes.")</f>
        <v>Desde la Secretaría Distrital de Seguridad, Convivencia y Justicia, y en coordinación con la Estación 12 de Policía, se realizaron las siguientes acciones para mitigar el expendio de drogas en el punto identificado:
 1. 22 de marzo de 2022: Se llevó a cabo una jornada de Plan Avispa (Plan Baliza + IVC + Registro a personas) en coordinación con la MEBOG. Se realizó el registro de 15 personas y no se obtuvieron hallazgos de ningún tipo. Asimismo, un equipo de gestores sensibilizó a un grupo de 13 personas sobre el consumo de SPA. 
 2. 6 de abril de 2022: Se llevó a cabo una jornada de Plan Baliza contra el delito de homicidio. Se registró un total de 20 personas por parte de la MEBOG y se sensibilizaron 25 personas por parte del equipo de gestores de convivencia. Asimismo, se realizó una jornada de control a establecimiento de venta de licor para prevenir el expendio de drogas dentro de estos lugares. 
 La zona de la Calle 67 con 17 es un entorno priorizado por parte de la Secretaría de Seguridad, razón por la cual se seguirán realizando acciones de control y prevención de manera permanente los días viernes y sábado, después de las 5:00p.m. Lo anterior atendiendo a que son las franjas horarias de concentración de delitos de estupefacientes.</v>
      </c>
      <c r="N187" s="55">
        <f ca="1">IFERROR(__xludf.DUMMYFUNCTION("""COMPUTED_VALUE"""),44926)</f>
        <v>44926</v>
      </c>
      <c r="O187" s="25" t="str">
        <f t="shared" ca="1" si="0"/>
        <v>Secretaría Distrital de Seguridad, Convivencia y Justicia</v>
      </c>
      <c r="P187" s="25" t="str">
        <f t="shared" si="1"/>
        <v/>
      </c>
      <c r="Q187" s="25" t="str">
        <f ca="1">IFERROR(__xludf.DUMMYFUNCTION("""COMPUTED_VALUE"""),"Mediano plazo")</f>
        <v>Mediano plazo</v>
      </c>
      <c r="R187" s="25"/>
      <c r="S187" s="55"/>
      <c r="T187" s="56"/>
      <c r="U187" s="25"/>
      <c r="V187" s="25"/>
      <c r="W187" s="25"/>
      <c r="X187" s="25"/>
      <c r="Y187" s="25"/>
      <c r="Z187" s="25"/>
    </row>
    <row r="188" spans="1:26" ht="52.5" customHeight="1" x14ac:dyDescent="0.25">
      <c r="A188" s="25" t="str">
        <f ca="1">IFERROR(__xludf.DUMMYFUNCTION("""COMPUTED_VALUE"""),"Segur186")</f>
        <v>Segur186</v>
      </c>
      <c r="B188" s="25" t="str">
        <f ca="1">IFERROR(__xludf.DUMMYFUNCTION("""COMPUTED_VALUE"""),"Consejo Local de Gobierno de Usaquén")</f>
        <v>Consejo Local de Gobierno de Usaquén</v>
      </c>
      <c r="C188" s="55">
        <f ca="1">IFERROR(__xludf.DUMMYFUNCTION("""COMPUTED_VALUE"""),44644)</f>
        <v>44644</v>
      </c>
      <c r="D188" s="25" t="str">
        <f ca="1">IFERROR(__xludf.DUMMYFUNCTION("""COMPUTED_VALUE"""),"Seguridad")</f>
        <v>Seguridad</v>
      </c>
      <c r="E188" s="25" t="str">
        <f ca="1">IFERROR(__xludf.DUMMYFUNCTION("""COMPUTED_VALUE"""),"Secretaría Distrital de Seguridad, Convivencia y Justicia")</f>
        <v>Secretaría Distrital de Seguridad, Convivencia y Justicia</v>
      </c>
      <c r="F188" s="25" t="str">
        <f ca="1">IFERROR(__xludf.DUMMYFUNCTION("""COMPUTED_VALUE"""),"Combatir la inseguridad que se presenta en la Carrera 14A con calle 163, reactivando el frente de seguridad de esta zona")</f>
        <v>Combatir la inseguridad que se presenta en la Carrera 14A con calle 163, reactivando el frente de seguridad de esta zona</v>
      </c>
      <c r="G188" s="25" t="str">
        <f ca="1">IFERROR(__xludf.DUMMYFUNCTION("""COMPUTED_VALUE"""),"01. Usaquén")</f>
        <v>01. Usaquén</v>
      </c>
      <c r="H188" s="55">
        <f ca="1">IFERROR(__xludf.DUMMYFUNCTION("""COMPUTED_VALUE"""),44705)</f>
        <v>44705</v>
      </c>
      <c r="I188" s="25"/>
      <c r="J188" s="55" t="str">
        <f ca="1">IFERROR(__xludf.DUMMYFUNCTION("""COMPUTED_VALUE"""),"Media")</f>
        <v>Media</v>
      </c>
      <c r="K188" s="25">
        <f ca="1">IFERROR(__xludf.DUMMYFUNCTION("""COMPUTED_VALUE"""),61)</f>
        <v>61</v>
      </c>
      <c r="L188" s="55">
        <f ca="1">IFERROR(__xludf.DUMMYFUNCTION("""COMPUTED_VALUE"""),45033)</f>
        <v>45033</v>
      </c>
      <c r="M188" s="25" t="str">
        <f ca="1">IFERROR(__xludf.DUMMYFUNCTION("""COMPUTED_VALUE"""),"Se identificó que el delito de mayor concentración en esta zona de la localidad es el hurto a bici usuarios. Por lo anterior, se realizaron las siguientes acciones:
 1. 25 de marzo de 2022: Se llevó a cabo una jornada de control en el tramo de ciclo rut"&amp;"a de la zona identificada. La MEBOG registró a 25 personas y no se obtuvieron hallazgos. El equipo de gestores de convivencia sensibilizó a 30 personas en materia de autocuidado y prevención del delito de hurto a personas. 
2. 4 de abril de 2022: Se llevó"&amp;" a cabo un operativo de control en tramos de ciclo rutas, paraderos de transporte y en el entorno barrial de la zona identificada. La MEBOG registró a 20 biciusuarios y 30 transeúntes. El equipo de gestores de convivencia realizó sensibilización a 20 pers"&amp;"onas sobre la prevención del hurto a personas. No se presentaron hallazgos. 
 En esta misma fecha se realizó una mesa de trabajo con los ciudadanos del frente de seguridad de la zona para reactivar el mismo. Sin embargo, se acordó que se va a convertir el"&amp;" frente de seguridad en una red de cuidado, por solicitud de la ciudadanía, y se realizó este proceso.")</f>
        <v>Se identificó que el delito de mayor concentración en esta zona de la localidad es el hurto a bici usuarios. Por lo anterior, se realizaron las siguientes acciones:
 1. 25 de marzo de 2022: Se llevó a cabo una jornada de control en el tramo de ciclo ruta de la zona identificada. La MEBOG registró a 25 personas y no se obtuvieron hallazgos. El equipo de gestores de convivencia sensibilizó a 30 personas en materia de autocuidado y prevención del delito de hurto a personas. 
2. 4 de abril de 2022: Se llevó a cabo un operativo de control en tramos de ciclo rutas, paraderos de transporte y en el entorno barrial de la zona identificada. La MEBOG registró a 20 biciusuarios y 30 transeúntes. El equipo de gestores de convivencia realizó sensibilización a 20 personas sobre la prevención del hurto a personas. No se presentaron hallazgos. 
 En esta misma fecha se realizó una mesa de trabajo con los ciudadanos del frente de seguridad de la zona para reactivar el mismo. Sin embargo, se acordó que se va a convertir el frente de seguridad en una red de cuidado, por solicitud de la ciudadanía, y se realizó este proceso.</v>
      </c>
      <c r="N188" s="55">
        <f ca="1">IFERROR(__xludf.DUMMYFUNCTION("""COMPUTED_VALUE"""),44926)</f>
        <v>44926</v>
      </c>
      <c r="O188" s="25" t="str">
        <f t="shared" ca="1" si="0"/>
        <v>Secretaría Distrital de Seguridad, Convivencia y Justicia</v>
      </c>
      <c r="P188" s="25" t="str">
        <f t="shared" si="1"/>
        <v/>
      </c>
      <c r="Q188" s="25" t="str">
        <f ca="1">IFERROR(__xludf.DUMMYFUNCTION("""COMPUTED_VALUE"""),"Mediano plazo")</f>
        <v>Mediano plazo</v>
      </c>
      <c r="R188" s="25"/>
      <c r="S188" s="55"/>
      <c r="T188" s="56"/>
      <c r="U188" s="25"/>
      <c r="V188" s="25"/>
      <c r="W188" s="25"/>
      <c r="X188" s="25"/>
      <c r="Y188" s="25"/>
      <c r="Z188" s="25"/>
    </row>
    <row r="189" spans="1:26" ht="52.5" customHeight="1" x14ac:dyDescent="0.25">
      <c r="A189" s="25" t="str">
        <f ca="1">IFERROR(__xludf.DUMMYFUNCTION("""COMPUTED_VALUE"""),"Segur187")</f>
        <v>Segur187</v>
      </c>
      <c r="B189" s="25" t="str">
        <f ca="1">IFERROR(__xludf.DUMMYFUNCTION("""COMPUTED_VALUE"""),"Consejo Local de Gobierno de Usaquén")</f>
        <v>Consejo Local de Gobierno de Usaquén</v>
      </c>
      <c r="C189" s="55">
        <f ca="1">IFERROR(__xludf.DUMMYFUNCTION("""COMPUTED_VALUE"""),44644)</f>
        <v>44644</v>
      </c>
      <c r="D189" s="25" t="str">
        <f ca="1">IFERROR(__xludf.DUMMYFUNCTION("""COMPUTED_VALUE"""),"Seguridad")</f>
        <v>Seguridad</v>
      </c>
      <c r="E189" s="25" t="str">
        <f ca="1">IFERROR(__xludf.DUMMYFUNCTION("""COMPUTED_VALUE"""),"Secretaría Distrital de Seguridad, Convivencia y Justicia")</f>
        <v>Secretaría Distrital de Seguridad, Convivencia y Justicia</v>
      </c>
      <c r="F189" s="25" t="str">
        <f ca="1">IFERROR(__xludf.DUMMYFUNCTION("""COMPUTED_VALUE"""),"Intervenir en los problemas de convivencia que se presentan en la Calle 189 con carrera 6")</f>
        <v>Intervenir en los problemas de convivencia que se presentan en la Calle 189 con carrera 6</v>
      </c>
      <c r="G189" s="25" t="str">
        <f ca="1">IFERROR(__xludf.DUMMYFUNCTION("""COMPUTED_VALUE"""),"01. Usaquén")</f>
        <v>01. Usaquén</v>
      </c>
      <c r="H189" s="55">
        <f ca="1">IFERROR(__xludf.DUMMYFUNCTION("""COMPUTED_VALUE"""),44747)</f>
        <v>44747</v>
      </c>
      <c r="I189" s="25"/>
      <c r="J189" s="55" t="str">
        <f ca="1">IFERROR(__xludf.DUMMYFUNCTION("""COMPUTED_VALUE"""),"Media")</f>
        <v>Media</v>
      </c>
      <c r="K189" s="25">
        <f ca="1">IFERROR(__xludf.DUMMYFUNCTION("""COMPUTED_VALUE"""),103)</f>
        <v>103</v>
      </c>
      <c r="L189" s="55">
        <f ca="1">IFERROR(__xludf.DUMMYFUNCTION("""COMPUTED_VALUE"""),45033)</f>
        <v>45033</v>
      </c>
      <c r="M189" s="25" t="str">
        <f ca="1">IFERROR(__xludf.DUMMYFUNCTION("""COMPUTED_VALUE"""),"Tras un ejercicio de articulación con la comunidad del sector, se identificó que los problemas de convivencia son derivados del funcionamiento de establecimientos de venta y consumo de licor en la zona. Tras esta identificación, se realizaron las siguient"&amp;"es acciones: rondas de vigilancia, jornadas de control, patrullajes mixtos y visitas de Comando Nocturno al sector durante los meses de abril, mayo, junio, septiembre, noviembre de 2022 y abril de 2023.")</f>
        <v>Tras un ejercicio de articulación con la comunidad del sector, se identificó que los problemas de convivencia son derivados del funcionamiento de establecimientos de venta y consumo de licor en la zona. Tras esta identificación, se realizaron las siguientes acciones: rondas de vigilancia, jornadas de control, patrullajes mixtos y visitas de Comando Nocturno al sector durante los meses de abril, mayo, junio, septiembre, noviembre de 2022 y abril de 2023.</v>
      </c>
      <c r="N189" s="55">
        <f ca="1">IFERROR(__xludf.DUMMYFUNCTION("""COMPUTED_VALUE"""),44926)</f>
        <v>44926</v>
      </c>
      <c r="O189" s="25" t="str">
        <f t="shared" ca="1" si="0"/>
        <v>Secretaría Distrital de Seguridad, Convivencia y Justicia</v>
      </c>
      <c r="P189" s="25" t="str">
        <f t="shared" si="1"/>
        <v/>
      </c>
      <c r="Q189" s="25" t="str">
        <f ca="1">IFERROR(__xludf.DUMMYFUNCTION("""COMPUTED_VALUE"""),"Mediano plazo")</f>
        <v>Mediano plazo</v>
      </c>
      <c r="R189" s="25"/>
      <c r="S189" s="55"/>
      <c r="T189" s="56"/>
      <c r="U189" s="25"/>
      <c r="V189" s="25"/>
      <c r="W189" s="25"/>
      <c r="X189" s="25"/>
      <c r="Y189" s="25"/>
      <c r="Z189" s="25"/>
    </row>
    <row r="190" spans="1:26" ht="52.5" customHeight="1" x14ac:dyDescent="0.25">
      <c r="A190" s="25" t="str">
        <f ca="1">IFERROR(__xludf.DUMMYFUNCTION("""COMPUTED_VALUE"""),"Segur188")</f>
        <v>Segur188</v>
      </c>
      <c r="B190" s="25" t="str">
        <f ca="1">IFERROR(__xludf.DUMMYFUNCTION("""COMPUTED_VALUE"""),"Consejo Local de Gobierno de Puente Aranda")</f>
        <v>Consejo Local de Gobierno de Puente Aranda</v>
      </c>
      <c r="C190" s="55">
        <f ca="1">IFERROR(__xludf.DUMMYFUNCTION("""COMPUTED_VALUE"""),44672)</f>
        <v>44672</v>
      </c>
      <c r="D190" s="25" t="str">
        <f ca="1">IFERROR(__xludf.DUMMYFUNCTION("""COMPUTED_VALUE"""),"Seguridad")</f>
        <v>Seguridad</v>
      </c>
      <c r="E190" s="25" t="str">
        <f ca="1">IFERROR(__xludf.DUMMYFUNCTION("""COMPUTED_VALUE"""),"Secretaría Distrital de Seguridad, Convivencia y Justicia")</f>
        <v>Secretaría Distrital de Seguridad, Convivencia y Justicia</v>
      </c>
      <c r="F190" s="25" t="str">
        <f ca="1">IFERROR(__xludf.DUMMYFUNCTION("""COMPUTED_VALUE"""),"Dar respuesta a la petición entregada por Flor Lucila al Secretario de Seguridad respecto del incremento de pie de fuerza policial, capacitación en temas de seguridad, fortalecimiento del cuadrante, frentes de seguridad, campañas de cultura ciudadana y pe"&amp;"dagogía en prevención del delito")</f>
        <v>Dar respuesta a la petición entregada por Flor Lucila al Secretario de Seguridad respecto del incremento de pie de fuerza policial, capacitación en temas de seguridad, fortalecimiento del cuadrante, frentes de seguridad, campañas de cultura ciudadana y pedagogía en prevención del delito</v>
      </c>
      <c r="G190" s="25" t="str">
        <f ca="1">IFERROR(__xludf.DUMMYFUNCTION("""COMPUTED_VALUE"""),"16. Puente Aranda")</f>
        <v>16. Puente Aranda</v>
      </c>
      <c r="H190" s="55">
        <f ca="1">IFERROR(__xludf.DUMMYFUNCTION("""COMPUTED_VALUE"""),44705)</f>
        <v>44705</v>
      </c>
      <c r="I190" s="25"/>
      <c r="J190" s="55" t="str">
        <f ca="1">IFERROR(__xludf.DUMMYFUNCTION("""COMPUTED_VALUE"""),"Alta")</f>
        <v>Alta</v>
      </c>
      <c r="K190" s="25">
        <f ca="1">IFERROR(__xludf.DUMMYFUNCTION("""COMPUTED_VALUE"""),33)</f>
        <v>33</v>
      </c>
      <c r="L190" s="55">
        <f ca="1">IFERROR(__xludf.DUMMYFUNCTION("""COMPUTED_VALUE"""),44705)</f>
        <v>44705</v>
      </c>
      <c r="M190" s="25" t="str">
        <f ca="1">IFERROR(__xludf.DUMMYFUNCTION("""COMPUTED_VALUE"""),"Desde la Secretaría Distrital de Seguridad, Convivencia y Justicia se contactó a la ciudadana y se coordinó una reunión para el día 10 de mayo de 2022, con el objetivo de crear una red de cuidado y resolver los puntos de la petición presentada. 
 La reu"&amp;"nión se llevó a cabo en el día agendado y la misma se realizó con líderes y lideresas del Barrio La Pondesora y Torremolinos. Se socializó por parte de la MEBOG el aumento de pie de fuerza que ha habido en la localidad y desde la SDSCJ se entregó informac"&amp;"ión sobre las campañas de cultura ciudadana y la pedagogía para prevenir el delito. Asimismo, se inició el proceso de creación de una red de cuidado en la zona con los ciudadanos que asistieron a la reunión.")</f>
        <v>Desde la Secretaría Distrital de Seguridad, Convivencia y Justicia se contactó a la ciudadana y se coordinó una reunión para el día 10 de mayo de 2022, con el objetivo de crear una red de cuidado y resolver los puntos de la petición presentada. 
 La reunión se llevó a cabo en el día agendado y la misma se realizó con líderes y lideresas del Barrio La Pondesora y Torremolinos. Se socializó por parte de la MEBOG el aumento de pie de fuerza que ha habido en la localidad y desde la SDSCJ se entregó información sobre las campañas de cultura ciudadana y la pedagogía para prevenir el delito. Asimismo, se inició el proceso de creación de una red de cuidado en la zona con los ciudadanos que asistieron a la reunión.</v>
      </c>
      <c r="N190" s="55">
        <f ca="1">IFERROR(__xludf.DUMMYFUNCTION("""COMPUTED_VALUE"""),44926)</f>
        <v>44926</v>
      </c>
      <c r="O190" s="25" t="str">
        <f t="shared" ca="1" si="0"/>
        <v>Secretaría Distrital de Seguridad, Convivencia y Justicia</v>
      </c>
      <c r="P190" s="25" t="str">
        <f t="shared" si="1"/>
        <v/>
      </c>
      <c r="Q190" s="25" t="str">
        <f ca="1">IFERROR(__xludf.DUMMYFUNCTION("""COMPUTED_VALUE"""),"Corto plazo")</f>
        <v>Corto plazo</v>
      </c>
      <c r="R190" s="25"/>
      <c r="S190" s="55"/>
      <c r="T190" s="56"/>
      <c r="U190" s="25"/>
      <c r="V190" s="25"/>
      <c r="W190" s="25"/>
      <c r="X190" s="25"/>
      <c r="Y190" s="25"/>
      <c r="Z190" s="25"/>
    </row>
    <row r="191" spans="1:26" ht="52.5" customHeight="1" x14ac:dyDescent="0.25">
      <c r="A191" s="25" t="str">
        <f ca="1">IFERROR(__xludf.DUMMYFUNCTION("""COMPUTED_VALUE"""),"Segur189")</f>
        <v>Segur189</v>
      </c>
      <c r="B191" s="25" t="str">
        <f ca="1">IFERROR(__xludf.DUMMYFUNCTION("""COMPUTED_VALUE"""),"Consejo Local de Gobierno de Puente Aranda")</f>
        <v>Consejo Local de Gobierno de Puente Aranda</v>
      </c>
      <c r="C191" s="55">
        <f ca="1">IFERROR(__xludf.DUMMYFUNCTION("""COMPUTED_VALUE"""),44672)</f>
        <v>44672</v>
      </c>
      <c r="D191" s="25" t="str">
        <f ca="1">IFERROR(__xludf.DUMMYFUNCTION("""COMPUTED_VALUE"""),"Seguridad")</f>
        <v>Seguridad</v>
      </c>
      <c r="E191" s="25" t="str">
        <f ca="1">IFERROR(__xludf.DUMMYFUNCTION("""COMPUTED_VALUE"""),"Secretaría Distrital de Seguridad, Convivencia y Justicia")</f>
        <v>Secretaría Distrital de Seguridad, Convivencia y Justicia</v>
      </c>
      <c r="F191" s="25" t="str">
        <f ca="1">IFERROR(__xludf.DUMMYFUNCTION("""COMPUTED_VALUE"""),"Socializar los avances del programa Entornos Escolares Seguros en los colegios de la localidad")</f>
        <v>Socializar los avances del programa Entornos Escolares Seguros en los colegios de la localidad</v>
      </c>
      <c r="G191" s="25" t="str">
        <f ca="1">IFERROR(__xludf.DUMMYFUNCTION("""COMPUTED_VALUE"""),"16. Puente Aranda")</f>
        <v>16. Puente Aranda</v>
      </c>
      <c r="H191" s="55">
        <f ca="1">IFERROR(__xludf.DUMMYFUNCTION("""COMPUTED_VALUE"""),44705)</f>
        <v>44705</v>
      </c>
      <c r="I191" s="25"/>
      <c r="J191" s="55" t="str">
        <f ca="1">IFERROR(__xludf.DUMMYFUNCTION("""COMPUTED_VALUE"""),"Alta")</f>
        <v>Alta</v>
      </c>
      <c r="K191" s="25">
        <f ca="1">IFERROR(__xludf.DUMMYFUNCTION("""COMPUTED_VALUE"""),33)</f>
        <v>33</v>
      </c>
      <c r="L191" s="55">
        <f ca="1">IFERROR(__xludf.DUMMYFUNCTION("""COMPUTED_VALUE"""),44705)</f>
        <v>44705</v>
      </c>
      <c r="M191" s="25" t="str">
        <f ca="1">IFERROR(__xludf.DUMMYFUNCTION("""COMPUTED_VALUE"""),"En la localidad de Puente Aranda se priorizaron los siguientes colegios: Colegio La Merced IED, Colegio El Jazmín IED, Colegio José Joaquín Casas y Colegio Marco Antonio Carreño IED. Adicionalmente, dadas las dinámicas que se presentan en otros entornos y"&amp;" las solicitudes de acompañamiento institucional por parte de algunos rectores, se ha realizado acompañamiento en los colegios Benjamín Herrera IED, Colegio Cultura Popular, Colegio Sorrento, Colegio Julio Garavito y Colegio Andrés Bello.
 Tras la socia"&amp;"lización de la estrategia con los equipos de los colegios, se realizaron las siguientes acciones en los mismos:
 - 40 Jornadas de acompañamiento en entrada y/o salida de estudiantes con mensajes de prevención de hurtos y de violencia de género 
 - Jorn"&amp;"ada de aplicación de encuesta de seguridad y convivencia para identificar factores de riesgo en los entornos educativos
 - 3 Patrullando escolares orientados a generar acciones interinstitucionales para mitigar riesgos para la seguridad y convivencia (ver"&amp;"ificación conexión de cámaras al C4, revisión luminarias con UAESP, identificación CHC y socialización de oferta)
 - Se conformó red de cuidado en el Colegio La Merced y se realizó acompañamiento en la conformación de frente local de seguridad en el entor"&amp;"no del Colegio Marco Antonio Carreño vinculando dueños de establecimientos comerciales, vigilancia privada y rutas escolares. Lo anterior conforme a las peticiones de los rectores tras la socialización de la estrategia.
 El 10 de mayo se sostuvo reunión"&amp;" con el rector del colegio Luis Carlos Galán con el objetivo de socializar la estrategia de entornos de confianza. Se acordó que se sostendrá un acompañamiento y monitoreo mensual en los entornos de la institución.")</f>
        <v>En la localidad de Puente Aranda se priorizaron los siguientes colegios: Colegio La Merced IED, Colegio El Jazmín IED, Colegio José Joaquín Casas y Colegio Marco Antonio Carreño IED. Adicionalmente, dadas las dinámicas que se presentan en otros entornos y las solicitudes de acompañamiento institucional por parte de algunos rectores, se ha realizado acompañamiento en los colegios Benjamín Herrera IED, Colegio Cultura Popular, Colegio Sorrento, Colegio Julio Garavito y Colegio Andrés Bello.
 Tras la socialización de la estrategia con los equipos de los colegios, se realizaron las siguientes acciones en los mismos:
 - 40 Jornadas de acompañamiento en entrada y/o salida de estudiantes con mensajes de prevención de hurtos y de violencia de género 
 - Jornada de aplicación de encuesta de seguridad y convivencia para identificar factores de riesgo en los entornos educativos
 - 3 Patrullando escolares orientados a generar acciones interinstitucionales para mitigar riesgos para la seguridad y convivencia (verificación conexión de cámaras al C4, revisión luminarias con UAESP, identificación CHC y socialización de oferta)
 - Se conformó red de cuidado en el Colegio La Merced y se realizó acompañamiento en la conformación de frente local de seguridad en el entorno del Colegio Marco Antonio Carreño vinculando dueños de establecimientos comerciales, vigilancia privada y rutas escolares. Lo anterior conforme a las peticiones de los rectores tras la socialización de la estrategia.
 El 10 de mayo se sostuvo reunión con el rector del colegio Luis Carlos Galán con el objetivo de socializar la estrategia de entornos de confianza. Se acordó que se sostendrá un acompañamiento y monitoreo mensual en los entornos de la institución.</v>
      </c>
      <c r="N191" s="55">
        <f ca="1">IFERROR(__xludf.DUMMYFUNCTION("""COMPUTED_VALUE"""),44926)</f>
        <v>44926</v>
      </c>
      <c r="O191" s="25" t="str">
        <f t="shared" ca="1" si="0"/>
        <v>Secretaría Distrital de Seguridad, Convivencia y Justicia</v>
      </c>
      <c r="P191" s="25" t="str">
        <f t="shared" si="1"/>
        <v/>
      </c>
      <c r="Q191" s="25" t="str">
        <f ca="1">IFERROR(__xludf.DUMMYFUNCTION("""COMPUTED_VALUE"""),"Corto plazo")</f>
        <v>Corto plazo</v>
      </c>
      <c r="R191" s="25"/>
      <c r="S191" s="55"/>
      <c r="T191" s="56"/>
      <c r="U191" s="25"/>
      <c r="V191" s="25"/>
      <c r="W191" s="25"/>
      <c r="X191" s="25"/>
      <c r="Y191" s="25"/>
      <c r="Z191" s="25"/>
    </row>
    <row r="192" spans="1:26" ht="52.5" customHeight="1" x14ac:dyDescent="0.25">
      <c r="A192" s="25" t="str">
        <f ca="1">IFERROR(__xludf.DUMMYFUNCTION("""COMPUTED_VALUE"""),"Segur190")</f>
        <v>Segur190</v>
      </c>
      <c r="B192" s="25" t="str">
        <f ca="1">IFERROR(__xludf.DUMMYFUNCTION("""COMPUTED_VALUE"""),"Consejo Local de Gobierno de Puente Aranda")</f>
        <v>Consejo Local de Gobierno de Puente Aranda</v>
      </c>
      <c r="C192" s="55">
        <f ca="1">IFERROR(__xludf.DUMMYFUNCTION("""COMPUTED_VALUE"""),44672)</f>
        <v>44672</v>
      </c>
      <c r="D192" s="25" t="str">
        <f ca="1">IFERROR(__xludf.DUMMYFUNCTION("""COMPUTED_VALUE"""),"Seguridad")</f>
        <v>Seguridad</v>
      </c>
      <c r="E192" s="25" t="str">
        <f ca="1">IFERROR(__xludf.DUMMYFUNCTION("""COMPUTED_VALUE"""),"Secretaría Distrital de Seguridad, Convivencia y Justicia")</f>
        <v>Secretaría Distrital de Seguridad, Convivencia y Justicia</v>
      </c>
      <c r="F192" s="25" t="str">
        <f ca="1">IFERROR(__xludf.DUMMYFUNCTION("""COMPUTED_VALUE"""),"Incluir la línea técnica de seguridad en presupuestos participativos para que se puedan proponer proyectos de alarmas comunitarias, kits y cámaras de seguridad")</f>
        <v>Incluir la línea técnica de seguridad en presupuestos participativos para que se puedan proponer proyectos de alarmas comunitarias, kits y cámaras de seguridad</v>
      </c>
      <c r="G192" s="25" t="str">
        <f ca="1">IFERROR(__xludf.DUMMYFUNCTION("""COMPUTED_VALUE"""),"16. Puente Aranda")</f>
        <v>16. Puente Aranda</v>
      </c>
      <c r="H192" s="55">
        <f ca="1">IFERROR(__xludf.DUMMYFUNCTION("""COMPUTED_VALUE"""),44841)</f>
        <v>44841</v>
      </c>
      <c r="I192" s="25"/>
      <c r="J192" s="55" t="str">
        <f ca="1">IFERROR(__xludf.DUMMYFUNCTION("""COMPUTED_VALUE"""),"Media")</f>
        <v>Media</v>
      </c>
      <c r="K192" s="25">
        <f ca="1">IFERROR(__xludf.DUMMYFUNCTION("""COMPUTED_VALUE"""),169)</f>
        <v>169</v>
      </c>
      <c r="L192" s="55">
        <f ca="1">IFERROR(__xludf.DUMMYFUNCTION("""COMPUTED_VALUE"""),44841)</f>
        <v>44841</v>
      </c>
      <c r="M192" s="25" t="str">
        <f ca="1">IFERROR(__xludf.DUMMYFUNCTION("""COMPUTED_VALUE"""),"El lanzamiento de la entrega de los kits de seguridad, conforme al índice de priorización, se realizó el pasado 27 de septiembre de 2022. Se entregará un total de 92 kits durante el último trimestre de 2022 a las 70 Redes de Cuidado y los 22 Frentes de Se"&amp;"guridad que fueron seleccionado. Se solicita el cierre del compromiso.")</f>
        <v>El lanzamiento de la entrega de los kits de seguridad, conforme al índice de priorización, se realizó el pasado 27 de septiembre de 2022. Se entregará un total de 92 kits durante el último trimestre de 2022 a las 70 Redes de Cuidado y los 22 Frentes de Seguridad que fueron seleccionado. Se solicita el cierre del compromiso.</v>
      </c>
      <c r="N192" s="55">
        <f ca="1">IFERROR(__xludf.DUMMYFUNCTION("""COMPUTED_VALUE"""),44926)</f>
        <v>44926</v>
      </c>
      <c r="O192" s="25" t="str">
        <f t="shared" ca="1" si="0"/>
        <v>Secretaría Distrital de Seguridad, Convivencia y Justicia</v>
      </c>
      <c r="P192" s="25" t="str">
        <f t="shared" si="1"/>
        <v/>
      </c>
      <c r="Q192" s="25" t="str">
        <f ca="1">IFERROR(__xludf.DUMMYFUNCTION("""COMPUTED_VALUE"""),"Mediano plazo")</f>
        <v>Mediano plazo</v>
      </c>
      <c r="R192" s="25"/>
      <c r="S192" s="55"/>
      <c r="T192" s="56"/>
      <c r="U192" s="25"/>
      <c r="V192" s="25"/>
      <c r="W192" s="25"/>
      <c r="X192" s="25"/>
      <c r="Y192" s="25"/>
      <c r="Z192" s="25"/>
    </row>
    <row r="193" spans="1:26" ht="52.5" customHeight="1" x14ac:dyDescent="0.25">
      <c r="A193" s="25" t="str">
        <f ca="1">IFERROR(__xludf.DUMMYFUNCTION("""COMPUTED_VALUE"""),"Segur191")</f>
        <v>Segur191</v>
      </c>
      <c r="B193" s="25" t="str">
        <f ca="1">IFERROR(__xludf.DUMMYFUNCTION("""COMPUTED_VALUE"""),"Consejo Local de Gobierno de Puente Aranda")</f>
        <v>Consejo Local de Gobierno de Puente Aranda</v>
      </c>
      <c r="C193" s="55">
        <f ca="1">IFERROR(__xludf.DUMMYFUNCTION("""COMPUTED_VALUE"""),44672)</f>
        <v>44672</v>
      </c>
      <c r="D193" s="25" t="str">
        <f ca="1">IFERROR(__xludf.DUMMYFUNCTION("""COMPUTED_VALUE"""),"Seguridad")</f>
        <v>Seguridad</v>
      </c>
      <c r="E193" s="25" t="str">
        <f ca="1">IFERROR(__xludf.DUMMYFUNCTION("""COMPUTED_VALUE"""),"Secretaría Distrital de Seguridad, Convivencia y Justicia")</f>
        <v>Secretaría Distrital de Seguridad, Convivencia y Justicia</v>
      </c>
      <c r="F193" s="25" t="str">
        <f ca="1">IFERROR(__xludf.DUMMYFUNCTION("""COMPUTED_VALUE"""),"Coordinar con el ciudadano Rubiano Orobio la dotación de kits de seguridad al barrio Muzú")</f>
        <v>Coordinar con el ciudadano Rubiano Orobio la dotación de kits de seguridad al barrio Muzú</v>
      </c>
      <c r="G193" s="25" t="str">
        <f ca="1">IFERROR(__xludf.DUMMYFUNCTION("""COMPUTED_VALUE"""),"16. Puente Aranda")</f>
        <v>16. Puente Aranda</v>
      </c>
      <c r="H193" s="55">
        <f ca="1">IFERROR(__xludf.DUMMYFUNCTION("""COMPUTED_VALUE"""),44841)</f>
        <v>44841</v>
      </c>
      <c r="I193" s="25"/>
      <c r="J193" s="55" t="str">
        <f ca="1">IFERROR(__xludf.DUMMYFUNCTION("""COMPUTED_VALUE"""),"Media")</f>
        <v>Media</v>
      </c>
      <c r="K193" s="25">
        <f ca="1">IFERROR(__xludf.DUMMYFUNCTION("""COMPUTED_VALUE"""),169)</f>
        <v>169</v>
      </c>
      <c r="L193" s="55">
        <f ca="1">IFERROR(__xludf.DUMMYFUNCTION("""COMPUTED_VALUE"""),44841)</f>
        <v>44841</v>
      </c>
      <c r="M193" s="25" t="str">
        <f ca="1">IFERROR(__xludf.DUMMYFUNCTION("""COMPUTED_VALUE"""),"El lanzamiento de la entrega de los kits de seguridad, conforme al índice de priorización, se realizó el pasado 27 de septiembre de 2022. Se entregará un total de 92 kits durante el último trimestre de 2022 a las 70 Redes de Cuidado y los 22 Frentes de Se"&amp;"guridad que fueron seleccionado. Se solicita el cierre del compromiso.")</f>
        <v>El lanzamiento de la entrega de los kits de seguridad, conforme al índice de priorización, se realizó el pasado 27 de septiembre de 2022. Se entregará un total de 92 kits durante el último trimestre de 2022 a las 70 Redes de Cuidado y los 22 Frentes de Seguridad que fueron seleccionado. Se solicita el cierre del compromiso.</v>
      </c>
      <c r="N193" s="55">
        <f ca="1">IFERROR(__xludf.DUMMYFUNCTION("""COMPUTED_VALUE"""),44926)</f>
        <v>44926</v>
      </c>
      <c r="O193" s="25" t="str">
        <f t="shared" ca="1" si="0"/>
        <v>Secretaría Distrital de Seguridad, Convivencia y Justicia</v>
      </c>
      <c r="P193" s="25" t="str">
        <f t="shared" si="1"/>
        <v/>
      </c>
      <c r="Q193" s="25" t="str">
        <f ca="1">IFERROR(__xludf.DUMMYFUNCTION("""COMPUTED_VALUE"""),"Mediano plazo")</f>
        <v>Mediano plazo</v>
      </c>
      <c r="R193" s="25"/>
      <c r="S193" s="55"/>
      <c r="T193" s="56"/>
      <c r="U193" s="25"/>
      <c r="V193" s="25"/>
      <c r="W193" s="25"/>
      <c r="X193" s="25"/>
      <c r="Y193" s="25"/>
      <c r="Z193" s="25"/>
    </row>
    <row r="194" spans="1:26" ht="52.5" customHeight="1" x14ac:dyDescent="0.25">
      <c r="A194" s="25" t="str">
        <f ca="1">IFERROR(__xludf.DUMMYFUNCTION("""COMPUTED_VALUE"""),"Segur192")</f>
        <v>Segur192</v>
      </c>
      <c r="B194" s="25" t="str">
        <f ca="1">IFERROR(__xludf.DUMMYFUNCTION("""COMPUTED_VALUE"""),"Consejo Local de Gobienro de Teusaquillo")</f>
        <v>Consejo Local de Gobienro de Teusaquillo</v>
      </c>
      <c r="C194" s="55">
        <f ca="1">IFERROR(__xludf.DUMMYFUNCTION("""COMPUTED_VALUE"""),44651)</f>
        <v>44651</v>
      </c>
      <c r="D194" s="25" t="str">
        <f ca="1">IFERROR(__xludf.DUMMYFUNCTION("""COMPUTED_VALUE"""),"Seguridad")</f>
        <v>Seguridad</v>
      </c>
      <c r="E194" s="25" t="str">
        <f ca="1">IFERROR(__xludf.DUMMYFUNCTION("""COMPUTED_VALUE"""),"Secretaría Distrital de Seguridad, Convivencia y Justicia")</f>
        <v>Secretaría Distrital de Seguridad, Convivencia y Justicia</v>
      </c>
      <c r="F194" s="25" t="str">
        <f ca="1">IFERROR(__xludf.DUMMYFUNCTION("""COMPUTED_VALUE"""),"Incluir al Colegio Técnico Palermo en el programa de Entornos Escolares Seguros")</f>
        <v>Incluir al Colegio Técnico Palermo en el programa de Entornos Escolares Seguros</v>
      </c>
      <c r="G194" s="25" t="str">
        <f ca="1">IFERROR(__xludf.DUMMYFUNCTION("""COMPUTED_VALUE"""),"13. Teusaquillo")</f>
        <v>13. Teusaquillo</v>
      </c>
      <c r="H194" s="55">
        <f ca="1">IFERROR(__xludf.DUMMYFUNCTION("""COMPUTED_VALUE"""),44705)</f>
        <v>44705</v>
      </c>
      <c r="I194" s="25"/>
      <c r="J194" s="55" t="str">
        <f ca="1">IFERROR(__xludf.DUMMYFUNCTION("""COMPUTED_VALUE"""),"Alta")</f>
        <v>Alta</v>
      </c>
      <c r="K194" s="25">
        <f ca="1">IFERROR(__xludf.DUMMYFUNCTION("""COMPUTED_VALUE"""),54)</f>
        <v>54</v>
      </c>
      <c r="L194" s="55">
        <f ca="1">IFERROR(__xludf.DUMMYFUNCTION("""COMPUTED_VALUE"""),44705)</f>
        <v>44705</v>
      </c>
      <c r="M194" s="25" t="str">
        <f ca="1">IFERROR(__xludf.DUMMYFUNCTION("""COMPUTED_VALUE"""),"Tras la sesión del Consejo de Gobierno en Teusaquillo, se incluyó el Colegio Técnico Palermo en la estrategia de Entornos de Confianza. Asimismo, se han realizado las siguientes actividades:
 1. 4 de mayo de 2022: Se realizó un Patrullando Escolar. Dura"&amp;"nte el mismo se identificaron los aspectos sociales y ambientales que afectan el entorno escolar de la institución. Se establecieron compromisos con las entidades para el mejoramiento del entorno, de la siguiente forma:
 - UAESP: Basura y limpieza de va"&amp;"rios puntos del entorno escolar
 - Secretaría Distrital de Movilidad: Señalización y reductores de velocidad 
 Durante el Patrullando también se realizó el fortalecimiento de corredores seguros por la Calle 45 entre la NQS y la Caracas.")</f>
        <v>Tras la sesión del Consejo de Gobierno en Teusaquillo, se incluyó el Colegio Técnico Palermo en la estrategia de Entornos de Confianza. Asimismo, se han realizado las siguientes actividades:
 1. 4 de mayo de 2022: Se realizó un Patrullando Escolar. Durante el mismo se identificaron los aspectos sociales y ambientales que afectan el entorno escolar de la institución. Se establecieron compromisos con las entidades para el mejoramiento del entorno, de la siguiente forma:
 - UAESP: Basura y limpieza de varios puntos del entorno escolar
 - Secretaría Distrital de Movilidad: Señalización y reductores de velocidad 
 Durante el Patrullando también se realizó el fortalecimiento de corredores seguros por la Calle 45 entre la NQS y la Caracas.</v>
      </c>
      <c r="N194" s="55">
        <f ca="1">IFERROR(__xludf.DUMMYFUNCTION("""COMPUTED_VALUE"""),44926)</f>
        <v>44926</v>
      </c>
      <c r="O194" s="25" t="str">
        <f t="shared" ca="1" si="0"/>
        <v>Secretaría Distrital de Seguridad, Convivencia y Justicia</v>
      </c>
      <c r="P194" s="25" t="str">
        <f t="shared" si="1"/>
        <v/>
      </c>
      <c r="Q194" s="25" t="str">
        <f ca="1">IFERROR(__xludf.DUMMYFUNCTION("""COMPUTED_VALUE"""),"Corto plazo")</f>
        <v>Corto plazo</v>
      </c>
      <c r="R194" s="25"/>
      <c r="S194" s="55"/>
      <c r="T194" s="56"/>
      <c r="U194" s="25"/>
      <c r="V194" s="25"/>
      <c r="W194" s="25"/>
      <c r="X194" s="25"/>
      <c r="Y194" s="25"/>
      <c r="Z194" s="25"/>
    </row>
    <row r="195" spans="1:26" ht="52.5" customHeight="1" x14ac:dyDescent="0.25">
      <c r="A195" s="25" t="str">
        <f ca="1">IFERROR(__xludf.DUMMYFUNCTION("""COMPUTED_VALUE"""),"Segur193")</f>
        <v>Segur193</v>
      </c>
      <c r="B195" s="25" t="str">
        <f ca="1">IFERROR(__xludf.DUMMYFUNCTION("""COMPUTED_VALUE"""),"Consejo Local de Gobierno de Tunjuelito")</f>
        <v>Consejo Local de Gobierno de Tunjuelito</v>
      </c>
      <c r="C195" s="55">
        <f ca="1">IFERROR(__xludf.DUMMYFUNCTION("""COMPUTED_VALUE"""),44686)</f>
        <v>44686</v>
      </c>
      <c r="D195" s="25" t="str">
        <f ca="1">IFERROR(__xludf.DUMMYFUNCTION("""COMPUTED_VALUE"""),"Seguridad")</f>
        <v>Seguridad</v>
      </c>
      <c r="E195" s="25" t="str">
        <f ca="1">IFERROR(__xludf.DUMMYFUNCTION("""COMPUTED_VALUE"""),"Secretaría Distrital de Seguridad, Convivencia y Justicia")</f>
        <v>Secretaría Distrital de Seguridad, Convivencia y Justicia</v>
      </c>
      <c r="F195" s="25" t="str">
        <f ca="1">IFERROR(__xludf.DUMMYFUNCTION("""COMPUTED_VALUE"""),"Coordinar la formalización de los frentes de seguridad en alianza con la Policía y las empresas de seguridad privadas")</f>
        <v>Coordinar la formalización de los frentes de seguridad en alianza con la Policía y las empresas de seguridad privadas</v>
      </c>
      <c r="G195" s="25" t="str">
        <f ca="1">IFERROR(__xludf.DUMMYFUNCTION("""COMPUTED_VALUE"""),"06. Tunjuelito")</f>
        <v>06. Tunjuelito</v>
      </c>
      <c r="H195" s="55">
        <f ca="1">IFERROR(__xludf.DUMMYFUNCTION("""COMPUTED_VALUE"""),44888)</f>
        <v>44888</v>
      </c>
      <c r="I195" s="25"/>
      <c r="J195" s="55" t="str">
        <f ca="1">IFERROR(__xludf.DUMMYFUNCTION("""COMPUTED_VALUE"""),"Baja")</f>
        <v>Baja</v>
      </c>
      <c r="K195" s="25">
        <f ca="1">IFERROR(__xludf.DUMMYFUNCTION("""COMPUTED_VALUE"""),202)</f>
        <v>202</v>
      </c>
      <c r="L195" s="55">
        <f ca="1">IFERROR(__xludf.DUMMYFUNCTION("""COMPUTED_VALUE"""),44887)</f>
        <v>44887</v>
      </c>
      <c r="M195" s="25" t="str">
        <f ca="1">IFERROR(__xludf.DUMMYFUNCTION("""COMPUTED_VALUE"""),"El día 16 de septiembre 2022 se tiene el primer acercamiento con cuatro empresas de seguridad del tunal, en articulación con policía y alcaldía local, se llega al acuerdo de una nueva reunión en la cual asistan mas empresas, Ponal se compromete a realizar"&amp;" una base de datos de los multifamiliares para generar una invitación más robusta. 
 El día 20 de octubre 2022 se lleva a cabo la creación de la red de cuidado con 9 empresas de seguridad del tunal, el IT Morales del área de prevención de Ponal establece "&amp;"que es mas adecuado crear una red y no un frente de seguridad ya que son varias cuadras a vincular en el mismo. 
 Cabe resaltar que el 23 de noviembre 2022 se tendra una nueva reunión para tomar decisiones frente al plan navidad en articulación con los ad"&amp;"ministradores de los conjuntos multifamiliares del tunal. Se solicita el cierre del compromiso.")</f>
        <v>El día 16 de septiembre 2022 se tiene el primer acercamiento con cuatro empresas de seguridad del tunal, en articulación con policía y alcaldía local, se llega al acuerdo de una nueva reunión en la cual asistan mas empresas, Ponal se compromete a realizar una base de datos de los multifamiliares para generar una invitación más robusta. 
 El día 20 de octubre 2022 se lleva a cabo la creación de la red de cuidado con 9 empresas de seguridad del tunal, el IT Morales del área de prevención de Ponal establece que es mas adecuado crear una red y no un frente de seguridad ya que son varias cuadras a vincular en el mismo. 
 Cabe resaltar que el 23 de noviembre 2022 se tendra una nueva reunión para tomar decisiones frente al plan navidad en articulación con los administradores de los conjuntos multifamiliares del tunal. Se solicita el cierre del compromiso.</v>
      </c>
      <c r="N195" s="55">
        <f ca="1">IFERROR(__xludf.DUMMYFUNCTION("""COMPUTED_VALUE"""),44926)</f>
        <v>44926</v>
      </c>
      <c r="O195" s="25" t="str">
        <f t="shared" ca="1" si="0"/>
        <v>Secretaría Distrital de Seguridad, Convivencia y Justicia</v>
      </c>
      <c r="P195" s="25" t="str">
        <f t="shared" si="1"/>
        <v/>
      </c>
      <c r="Q195" s="25" t="str">
        <f ca="1">IFERROR(__xludf.DUMMYFUNCTION("""COMPUTED_VALUE"""),"Largo plazo")</f>
        <v>Largo plazo</v>
      </c>
      <c r="R195" s="25"/>
      <c r="S195" s="55"/>
      <c r="T195" s="56"/>
      <c r="U195" s="25"/>
      <c r="V195" s="25"/>
      <c r="W195" s="25"/>
      <c r="X195" s="25"/>
      <c r="Y195" s="25"/>
      <c r="Z195" s="25"/>
    </row>
    <row r="196" spans="1:26" ht="52.5" customHeight="1" x14ac:dyDescent="0.25">
      <c r="A196" s="25" t="str">
        <f ca="1">IFERROR(__xludf.DUMMYFUNCTION("""COMPUTED_VALUE"""),"Segur194")</f>
        <v>Segur194</v>
      </c>
      <c r="B196" s="25" t="str">
        <f ca="1">IFERROR(__xludf.DUMMYFUNCTION("""COMPUTED_VALUE"""),"Consejo Local de Gobierno de Santa Fe")</f>
        <v>Consejo Local de Gobierno de Santa Fe</v>
      </c>
      <c r="C196" s="55">
        <f ca="1">IFERROR(__xludf.DUMMYFUNCTION("""COMPUTED_VALUE"""),44693)</f>
        <v>44693</v>
      </c>
      <c r="D196" s="25" t="str">
        <f ca="1">IFERROR(__xludf.DUMMYFUNCTION("""COMPUTED_VALUE"""),"Seguridad")</f>
        <v>Seguridad</v>
      </c>
      <c r="E196" s="25" t="str">
        <f ca="1">IFERROR(__xludf.DUMMYFUNCTION("""COMPUTED_VALUE"""),"Secretaría Distrital de Seguridad, Convivencia y Justicia")</f>
        <v>Secretaría Distrital de Seguridad, Convivencia y Justicia</v>
      </c>
      <c r="F196" s="25" t="str">
        <f ca="1">IFERROR(__xludf.DUMMYFUNCTION("""COMPUTED_VALUE"""),"Realizar la gestión necesaria para solucionar los problemas de seguridad de la localidad de La Candelaria ocasionados por personas habitantes de calle (sector calle 9 con carrera 4, calle del Camarín del Carmen)")</f>
        <v>Realizar la gestión necesaria para solucionar los problemas de seguridad de la localidad de La Candelaria ocasionados por personas habitantes de calle (sector calle 9 con carrera 4, calle del Camarín del Carmen)</v>
      </c>
      <c r="G196" s="25" t="str">
        <f ca="1">IFERROR(__xludf.DUMMYFUNCTION("""COMPUTED_VALUE"""),"17. La Candelaria")</f>
        <v>17. La Candelaria</v>
      </c>
      <c r="H196" s="55">
        <f ca="1">IFERROR(__xludf.DUMMYFUNCTION("""COMPUTED_VALUE"""),44705)</f>
        <v>44705</v>
      </c>
      <c r="I196" s="25"/>
      <c r="J196" s="55" t="str">
        <f ca="1">IFERROR(__xludf.DUMMYFUNCTION("""COMPUTED_VALUE"""),"Alta")</f>
        <v>Alta</v>
      </c>
      <c r="K196" s="25">
        <f ca="1">IFERROR(__xludf.DUMMYFUNCTION("""COMPUTED_VALUE"""),12)</f>
        <v>12</v>
      </c>
      <c r="L196" s="55">
        <f ca="1">IFERROR(__xludf.DUMMYFUNCTION("""COMPUTED_VALUE"""),44714)</f>
        <v>44714</v>
      </c>
      <c r="M196" s="25" t="str">
        <f ca="1">IFERROR(__xludf.DUMMYFUNCTION("""COMPUTED_VALUE"""),"Desde la Secretaría Distrital de Seguridad, Convivencia y Justicia se realizaron las siguientes acciones para el cumplimiento del compromiso:
 1. 18 de mayo de 2022: Se realizó el reporte del caso a la Secretaría Distrital de Integración Social para coo"&amp;"rdinar acciones. En el transcurso de este día se abordaron a los 2 ciudadanos habitantes de calle de la zona identificada y se les dió información sobre la oferta de servicios. Uno de los ciudadanos aceptó y se remite a un centro de cuidado transitorio y "&amp;"otro ciudadano no acepta la oferta. 
 2. 19 de mayo de 2022: Se realizó un recorrido interinstitucional nocturno para identificar el comportamiento del fenomeno de habitabilidad en calle y no se evidencia presencia. La MEBOG realiza una jornada de regis"&amp;"tro a personas, con un total de 55 ciudadanos abordados y sin resultados obtenidos. 
Se mantendrá la presencia institucional de forma sostenida en la zona y se continuará con desarrollo de acciones de control y de oferta de servicios para la población h"&amp;"abitante de calle y carreteros.
En el marco de desarrollo del plan de acción, se continúa realizando de manera interinstitucional con Integración Social la oferta de servicios dirigida a los ciudadanos habitantes de calle que transitan en el sector de la"&amp;" carrera 4 con 9; en lo corrido del año (2023) se han llevado a cabo 4 jornadas: el 17 de enero, 24 de marzo, 10 de abril y 19 mayo. 
Es importante precisar que esta situación se ha expuesto en el comité local de habitabilidad en calle, y que en coordina"&amp;"ción con Policía Nacional se continúan realizando actividades de registro a población presuntamente instrumentalizada para el tráfico de estupefaciente en la zona.")</f>
        <v>Desde la Secretaría Distrital de Seguridad, Convivencia y Justicia se realizaron las siguientes acciones para el cumplimiento del compromiso:
 1. 18 de mayo de 2022: Se realizó el reporte del caso a la Secretaría Distrital de Integración Social para coordinar acciones. En el transcurso de este día se abordaron a los 2 ciudadanos habitantes de calle de la zona identificada y se les dió información sobre la oferta de servicios. Uno de los ciudadanos aceptó y se remite a un centro de cuidado transitorio y otro ciudadano no acepta la oferta. 
 2. 19 de mayo de 2022: Se realizó un recorrido interinstitucional nocturno para identificar el comportamiento del fenomeno de habitabilidad en calle y no se evidencia presencia. La MEBOG realiza una jornada de registro a personas, con un total de 55 ciudadanos abordados y sin resultados obtenidos. 
Se mantendrá la presencia institucional de forma sostenida en la zona y se continuará con desarrollo de acciones de control y de oferta de servicios para la población habitante de calle y carreteros.
En el marco de desarrollo del plan de acción, se continúa realizando de manera interinstitucional con Integración Social la oferta de servicios dirigida a los ciudadanos habitantes de calle que transitan en el sector de la carrera 4 con 9; en lo corrido del año (2023) se han llevado a cabo 4 jornadas: el 17 de enero, 24 de marzo, 10 de abril y 19 mayo. 
Es importante precisar que esta situación se ha expuesto en el comité local de habitabilidad en calle, y que en coordinación con Policía Nacional se continúan realizando actividades de registro a población presuntamente instrumentalizada para el tráfico de estupefaciente en la zona.</v>
      </c>
      <c r="N196" s="55">
        <f ca="1">IFERROR(__xludf.DUMMYFUNCTION("""COMPUTED_VALUE"""),44926)</f>
        <v>44926</v>
      </c>
      <c r="O196" s="25" t="str">
        <f t="shared" ca="1" si="0"/>
        <v>Secretaría Distrital de Seguridad, Convivencia y Justicia</v>
      </c>
      <c r="P196" s="25" t="str">
        <f t="shared" si="1"/>
        <v/>
      </c>
      <c r="Q196" s="25" t="str">
        <f ca="1">IFERROR(__xludf.DUMMYFUNCTION("""COMPUTED_VALUE"""),"Corto plazo")</f>
        <v>Corto plazo</v>
      </c>
      <c r="R196" s="25"/>
      <c r="S196" s="55"/>
      <c r="T196" s="56"/>
      <c r="U196" s="25"/>
      <c r="V196" s="25"/>
      <c r="W196" s="25"/>
      <c r="X196" s="25"/>
      <c r="Y196" s="25"/>
      <c r="Z196" s="25"/>
    </row>
    <row r="197" spans="1:26" ht="52.5" customHeight="1" x14ac:dyDescent="0.25">
      <c r="A197" s="25" t="str">
        <f ca="1">IFERROR(__xludf.DUMMYFUNCTION("""COMPUTED_VALUE"""),"Segur195")</f>
        <v>Segur195</v>
      </c>
      <c r="B197" s="25" t="str">
        <f ca="1">IFERROR(__xludf.DUMMYFUNCTION("""COMPUTED_VALUE"""),"Consejo Local de Gobierno de San Crisóbal")</f>
        <v>Consejo Local de Gobierno de San Crisóbal</v>
      </c>
      <c r="C197" s="55">
        <f ca="1">IFERROR(__xludf.DUMMYFUNCTION("""COMPUTED_VALUE"""),44700)</f>
        <v>44700</v>
      </c>
      <c r="D197" s="25" t="str">
        <f ca="1">IFERROR(__xludf.DUMMYFUNCTION("""COMPUTED_VALUE"""),"Seguridad")</f>
        <v>Seguridad</v>
      </c>
      <c r="E197" s="25" t="str">
        <f ca="1">IFERROR(__xludf.DUMMYFUNCTION("""COMPUTED_VALUE"""),"Secretaría Distrital de Seguridad, Convivencia y Justicia")</f>
        <v>Secretaría Distrital de Seguridad, Convivencia y Justicia</v>
      </c>
      <c r="F197" s="25" t="str">
        <f ca="1">IFERROR(__xludf.DUMMYFUNCTION("""COMPUTED_VALUE"""),"Reforzar los frentes de seguridad de los barrios San Isidro y San Luis con kits de seguridad, cámaras, alarmas y crear protocolos de comunicación entre la comunidad y entidades")</f>
        <v>Reforzar los frentes de seguridad de los barrios San Isidro y San Luis con kits de seguridad, cámaras, alarmas y crear protocolos de comunicación entre la comunidad y entidades</v>
      </c>
      <c r="G197" s="25" t="str">
        <f ca="1">IFERROR(__xludf.DUMMYFUNCTION("""COMPUTED_VALUE"""),"04. San Cristóbal")</f>
        <v>04. San Cristóbal</v>
      </c>
      <c r="H197" s="55">
        <f ca="1">IFERROR(__xludf.DUMMYFUNCTION("""COMPUTED_VALUE"""),44841)</f>
        <v>44841</v>
      </c>
      <c r="I197" s="25"/>
      <c r="J197" s="55" t="str">
        <f ca="1">IFERROR(__xludf.DUMMYFUNCTION("""COMPUTED_VALUE"""),"Media")</f>
        <v>Media</v>
      </c>
      <c r="K197" s="25">
        <f ca="1">IFERROR(__xludf.DUMMYFUNCTION("""COMPUTED_VALUE"""),141)</f>
        <v>141</v>
      </c>
      <c r="L197" s="55">
        <f ca="1">IFERROR(__xludf.DUMMYFUNCTION("""COMPUTED_VALUE"""),44841)</f>
        <v>44841</v>
      </c>
      <c r="M197" s="25" t="str">
        <f ca="1">IFERROR(__xludf.DUMMYFUNCTION("""COMPUTED_VALUE"""),"El lanzamiento de la entrega de los kits de seguridad, conforme al índice de priorización, se realizó el pasado 27 de septiembre de 2022. Se entregará un total de 92 kits durante el último trimestre de 2022 a las 70 Redes de Cuidado y los 22 Frentes de Se"&amp;"guridad que fueron seleccionado.")</f>
        <v>El lanzamiento de la entrega de los kits de seguridad, conforme al índice de priorización, se realizó el pasado 27 de septiembre de 2022. Se entregará un total de 92 kits durante el último trimestre de 2022 a las 70 Redes de Cuidado y los 22 Frentes de Seguridad que fueron seleccionado.</v>
      </c>
      <c r="N197" s="55">
        <f ca="1">IFERROR(__xludf.DUMMYFUNCTION("""COMPUTED_VALUE"""),44926)</f>
        <v>44926</v>
      </c>
      <c r="O197" s="25" t="str">
        <f t="shared" ca="1" si="0"/>
        <v>Secretaría Distrital de Seguridad, Convivencia y Justicia</v>
      </c>
      <c r="P197" s="25" t="str">
        <f t="shared" si="1"/>
        <v/>
      </c>
      <c r="Q197" s="25" t="str">
        <f ca="1">IFERROR(__xludf.DUMMYFUNCTION("""COMPUTED_VALUE"""),"Mediano plazo")</f>
        <v>Mediano plazo</v>
      </c>
      <c r="R197" s="25"/>
      <c r="S197" s="55"/>
      <c r="T197" s="56"/>
      <c r="U197" s="25"/>
      <c r="V197" s="25"/>
      <c r="W197" s="25"/>
      <c r="X197" s="25"/>
      <c r="Y197" s="25"/>
      <c r="Z197" s="25"/>
    </row>
    <row r="198" spans="1:26" ht="52.5" customHeight="1" x14ac:dyDescent="0.25">
      <c r="A198" s="25" t="str">
        <f ca="1">IFERROR(__xludf.DUMMYFUNCTION("""COMPUTED_VALUE"""),"Segur196")</f>
        <v>Segur196</v>
      </c>
      <c r="B198" s="25" t="str">
        <f ca="1">IFERROR(__xludf.DUMMYFUNCTION("""COMPUTED_VALUE"""),"Consejo Local de Gobierno de San Crisóbal")</f>
        <v>Consejo Local de Gobierno de San Crisóbal</v>
      </c>
      <c r="C198" s="55">
        <f ca="1">IFERROR(__xludf.DUMMYFUNCTION("""COMPUTED_VALUE"""),44700)</f>
        <v>44700</v>
      </c>
      <c r="D198" s="25" t="str">
        <f ca="1">IFERROR(__xludf.DUMMYFUNCTION("""COMPUTED_VALUE"""),"Seguridad")</f>
        <v>Seguridad</v>
      </c>
      <c r="E198" s="25" t="str">
        <f ca="1">IFERROR(__xludf.DUMMYFUNCTION("""COMPUTED_VALUE"""),"Secretaría Distrital de Seguridad, Convivencia y Justicia")</f>
        <v>Secretaría Distrital de Seguridad, Convivencia y Justicia</v>
      </c>
      <c r="F198" s="25" t="str">
        <f ca="1">IFERROR(__xludf.DUMMYFUNCTION("""COMPUTED_VALUE"""),"Tramitar ante el Ministerio de Defensa las denuncias sobre las batidas que se están haciendo en la localidad")</f>
        <v>Tramitar ante el Ministerio de Defensa las denuncias sobre las batidas que se están haciendo en la localidad</v>
      </c>
      <c r="G198" s="25" t="str">
        <f ca="1">IFERROR(__xludf.DUMMYFUNCTION("""COMPUTED_VALUE"""),"04. San Cristóbal")</f>
        <v>04. San Cristóbal</v>
      </c>
      <c r="H198" s="55">
        <f ca="1">IFERROR(__xludf.DUMMYFUNCTION("""COMPUTED_VALUE"""),44705)</f>
        <v>44705</v>
      </c>
      <c r="I198" s="25"/>
      <c r="J198" s="55" t="str">
        <f ca="1">IFERROR(__xludf.DUMMYFUNCTION("""COMPUTED_VALUE"""),"Alta")</f>
        <v>Alta</v>
      </c>
      <c r="K198" s="25">
        <f ca="1">IFERROR(__xludf.DUMMYFUNCTION("""COMPUTED_VALUE"""),5)</f>
        <v>5</v>
      </c>
      <c r="L198" s="55">
        <f ca="1">IFERROR(__xludf.DUMMYFUNCTION("""COMPUTED_VALUE"""),44705)</f>
        <v>44705</v>
      </c>
      <c r="M198" s="25" t="str">
        <f ca="1">IFERROR(__xludf.DUMMYFUNCTION("""COMPUTED_VALUE"""),"El 25 de mayo de 2022 se realizó seguimiento a este compromiso, con el fin de verificar los requerimientos de la ciudadanía sobre batidas en la localidad de San Cristóbal. Sin embargo, no se encontraron denuncias sobre el tema.")</f>
        <v>El 25 de mayo de 2022 se realizó seguimiento a este compromiso, con el fin de verificar los requerimientos de la ciudadanía sobre batidas en la localidad de San Cristóbal. Sin embargo, no se encontraron denuncias sobre el tema.</v>
      </c>
      <c r="N198" s="55">
        <f ca="1">IFERROR(__xludf.DUMMYFUNCTION("""COMPUTED_VALUE"""),44926)</f>
        <v>44926</v>
      </c>
      <c r="O198" s="25" t="str">
        <f t="shared" ca="1" si="0"/>
        <v>Secretaría Distrital de Seguridad, Convivencia y Justicia</v>
      </c>
      <c r="P198" s="25" t="str">
        <f t="shared" si="1"/>
        <v/>
      </c>
      <c r="Q198" s="25" t="str">
        <f ca="1">IFERROR(__xludf.DUMMYFUNCTION("""COMPUTED_VALUE"""),"Corto plazo")</f>
        <v>Corto plazo</v>
      </c>
      <c r="R198" s="25"/>
      <c r="S198" s="55"/>
      <c r="T198" s="56"/>
      <c r="U198" s="25"/>
      <c r="V198" s="25"/>
      <c r="W198" s="25"/>
      <c r="X198" s="25"/>
      <c r="Y198" s="25"/>
      <c r="Z198" s="25"/>
    </row>
    <row r="199" spans="1:26" ht="52.5" customHeight="1" x14ac:dyDescent="0.25">
      <c r="A199" s="25" t="str">
        <f ca="1">IFERROR(__xludf.DUMMYFUNCTION("""COMPUTED_VALUE"""),"Segur197")</f>
        <v>Segur197</v>
      </c>
      <c r="B199" s="25" t="str">
        <f ca="1">IFERROR(__xludf.DUMMYFUNCTION("""COMPUTED_VALUE"""),"Consejo Local de Gobierno de San Crisóbal")</f>
        <v>Consejo Local de Gobierno de San Crisóbal</v>
      </c>
      <c r="C199" s="55">
        <f ca="1">IFERROR(__xludf.DUMMYFUNCTION("""COMPUTED_VALUE"""),44700)</f>
        <v>44700</v>
      </c>
      <c r="D199" s="25" t="str">
        <f ca="1">IFERROR(__xludf.DUMMYFUNCTION("""COMPUTED_VALUE"""),"Seguridad")</f>
        <v>Seguridad</v>
      </c>
      <c r="E199" s="25" t="str">
        <f ca="1">IFERROR(__xludf.DUMMYFUNCTION("""COMPUTED_VALUE"""),"Secretaría Distrital de Seguridad, Convivencia y Justicia")</f>
        <v>Secretaría Distrital de Seguridad, Convivencia y Justicia</v>
      </c>
      <c r="F199" s="25" t="str">
        <f ca="1">IFERROR(__xludf.DUMMYFUNCTION("""COMPUTED_VALUE"""),"Reforzar los frentes de seguridad del sector de Nueva Deli con kits de seguridad, cámaras y crear protocolos de comunicación con el CAI")</f>
        <v>Reforzar los frentes de seguridad del sector de Nueva Deli con kits de seguridad, cámaras y crear protocolos de comunicación con el CAI</v>
      </c>
      <c r="G199" s="25" t="str">
        <f ca="1">IFERROR(__xludf.DUMMYFUNCTION("""COMPUTED_VALUE"""),"04. San Cristóbal")</f>
        <v>04. San Cristóbal</v>
      </c>
      <c r="H199" s="55">
        <f ca="1">IFERROR(__xludf.DUMMYFUNCTION("""COMPUTED_VALUE"""),44841)</f>
        <v>44841</v>
      </c>
      <c r="I199" s="25"/>
      <c r="J199" s="55" t="str">
        <f ca="1">IFERROR(__xludf.DUMMYFUNCTION("""COMPUTED_VALUE"""),"Media")</f>
        <v>Media</v>
      </c>
      <c r="K199" s="25">
        <f ca="1">IFERROR(__xludf.DUMMYFUNCTION("""COMPUTED_VALUE"""),141)</f>
        <v>141</v>
      </c>
      <c r="L199" s="55">
        <f ca="1">IFERROR(__xludf.DUMMYFUNCTION("""COMPUTED_VALUE"""),44841)</f>
        <v>44841</v>
      </c>
      <c r="M199" s="25" t="str">
        <f ca="1">IFERROR(__xludf.DUMMYFUNCTION("""COMPUTED_VALUE"""),"De acuerdo con la priorización realizada por la Secretaría Distrital de Seguridad, Convivencia y Justicia, se entregaron en la localidad de San Cristóbal 2 soluciones tecnológicas. La primera, al Frente de Seguridad 32281-Nueva Delhi y la segunda, a la Re"&amp;"d de Cuidado SCJ04-151 Guacamayas IV.")</f>
        <v>De acuerdo con la priorización realizada por la Secretaría Distrital de Seguridad, Convivencia y Justicia, se entregaron en la localidad de San Cristóbal 2 soluciones tecnológicas. La primera, al Frente de Seguridad 32281-Nueva Delhi y la segunda, a la Red de Cuidado SCJ04-151 Guacamayas IV.</v>
      </c>
      <c r="N199" s="55">
        <f ca="1">IFERROR(__xludf.DUMMYFUNCTION("""COMPUTED_VALUE"""),44926)</f>
        <v>44926</v>
      </c>
      <c r="O199" s="25" t="str">
        <f t="shared" ca="1" si="0"/>
        <v>Secretaría Distrital de Seguridad, Convivencia y Justicia</v>
      </c>
      <c r="P199" s="25" t="str">
        <f t="shared" si="1"/>
        <v/>
      </c>
      <c r="Q199" s="25" t="str">
        <f ca="1">IFERROR(__xludf.DUMMYFUNCTION("""COMPUTED_VALUE"""),"Mediano plazo")</f>
        <v>Mediano plazo</v>
      </c>
      <c r="R199" s="25"/>
      <c r="S199" s="55"/>
      <c r="T199" s="56"/>
      <c r="U199" s="25"/>
      <c r="V199" s="25"/>
      <c r="W199" s="25"/>
      <c r="X199" s="25"/>
      <c r="Y199" s="25"/>
      <c r="Z199" s="25"/>
    </row>
    <row r="200" spans="1:26" ht="52.5" customHeight="1" x14ac:dyDescent="0.25">
      <c r="A200" s="25" t="str">
        <f ca="1">IFERROR(__xludf.DUMMYFUNCTION("""COMPUTED_VALUE"""),"Segur198")</f>
        <v>Segur198</v>
      </c>
      <c r="B200" s="25" t="str">
        <f ca="1">IFERROR(__xludf.DUMMYFUNCTION("""COMPUTED_VALUE"""),"Consejo Local de Gobierno de San Crisóbal")</f>
        <v>Consejo Local de Gobierno de San Crisóbal</v>
      </c>
      <c r="C200" s="55">
        <f ca="1">IFERROR(__xludf.DUMMYFUNCTION("""COMPUTED_VALUE"""),44700)</f>
        <v>44700</v>
      </c>
      <c r="D200" s="25" t="str">
        <f ca="1">IFERROR(__xludf.DUMMYFUNCTION("""COMPUTED_VALUE"""),"Seguridad")</f>
        <v>Seguridad</v>
      </c>
      <c r="E200" s="25" t="str">
        <f ca="1">IFERROR(__xludf.DUMMYFUNCTION("""COMPUTED_VALUE"""),"Secretaría Distrital de Seguridad, Convivencia y Justicia")</f>
        <v>Secretaría Distrital de Seguridad, Convivencia y Justicia</v>
      </c>
      <c r="F200" s="25" t="str">
        <f ca="1">IFERROR(__xludf.DUMMYFUNCTION("""COMPUTED_VALUE"""),"Consolidar los frentes de monitoreo en el barrio Villas Los Alpes como frentes de seguridad")</f>
        <v>Consolidar los frentes de monitoreo en el barrio Villas Los Alpes como frentes de seguridad</v>
      </c>
      <c r="G200" s="25" t="str">
        <f ca="1">IFERROR(__xludf.DUMMYFUNCTION("""COMPUTED_VALUE"""),"04. San Cristóbal")</f>
        <v>04. San Cristóbal</v>
      </c>
      <c r="H200" s="55">
        <f ca="1">IFERROR(__xludf.DUMMYFUNCTION("""COMPUTED_VALUE"""),44705)</f>
        <v>44705</v>
      </c>
      <c r="I200" s="25"/>
      <c r="J200" s="55" t="str">
        <f ca="1">IFERROR(__xludf.DUMMYFUNCTION("""COMPUTED_VALUE"""),"Alta")</f>
        <v>Alta</v>
      </c>
      <c r="K200" s="25">
        <f ca="1">IFERROR(__xludf.DUMMYFUNCTION("""COMPUTED_VALUE"""),5)</f>
        <v>5</v>
      </c>
      <c r="L200" s="55">
        <f ca="1">IFERROR(__xludf.DUMMYFUNCTION("""COMPUTED_VALUE"""),44705)</f>
        <v>44705</v>
      </c>
      <c r="M200" s="25" t="str">
        <f ca="1">IFERROR(__xludf.DUMMYFUNCTION("""COMPUTED_VALUE"""),"En coordinación con la Oficina de Prevención de la Estación 4 de Policía, se realizó la reinaguración de 4 frentes de seguridad en el Barrio Villa de Los Alpes. Durante el mes de mayo se adelantaron reuniones con los frentes de monitoreo para tal fin.")</f>
        <v>En coordinación con la Oficina de Prevención de la Estación 4 de Policía, se realizó la reinaguración de 4 frentes de seguridad en el Barrio Villa de Los Alpes. Durante el mes de mayo se adelantaron reuniones con los frentes de monitoreo para tal fin.</v>
      </c>
      <c r="N200" s="55">
        <f ca="1">IFERROR(__xludf.DUMMYFUNCTION("""COMPUTED_VALUE"""),44926)</f>
        <v>44926</v>
      </c>
      <c r="O200" s="25" t="str">
        <f t="shared" ca="1" si="0"/>
        <v>Secretaría Distrital de Seguridad, Convivencia y Justicia</v>
      </c>
      <c r="P200" s="25" t="str">
        <f t="shared" si="1"/>
        <v/>
      </c>
      <c r="Q200" s="25" t="str">
        <f ca="1">IFERROR(__xludf.DUMMYFUNCTION("""COMPUTED_VALUE"""),"Corto plazo")</f>
        <v>Corto plazo</v>
      </c>
      <c r="R200" s="25"/>
      <c r="S200" s="55"/>
      <c r="T200" s="56"/>
      <c r="U200" s="25"/>
      <c r="V200" s="25"/>
      <c r="W200" s="25"/>
      <c r="X200" s="25"/>
      <c r="Y200" s="25"/>
      <c r="Z200" s="25"/>
    </row>
    <row r="201" spans="1:26" ht="52.5" customHeight="1" x14ac:dyDescent="0.25">
      <c r="A201" s="25" t="str">
        <f ca="1">IFERROR(__xludf.DUMMYFUNCTION("""COMPUTED_VALUE"""),"Segur199")</f>
        <v>Segur199</v>
      </c>
      <c r="B201" s="25" t="str">
        <f ca="1">IFERROR(__xludf.DUMMYFUNCTION("""COMPUTED_VALUE"""),"Consejo Local de Giobierno de Rafael uribe Uribe")</f>
        <v>Consejo Local de Giobierno de Rafael uribe Uribe</v>
      </c>
      <c r="C201" s="55">
        <f ca="1">IFERROR(__xludf.DUMMYFUNCTION("""COMPUTED_VALUE"""),44714)</f>
        <v>44714</v>
      </c>
      <c r="D201" s="25" t="str">
        <f ca="1">IFERROR(__xludf.DUMMYFUNCTION("""COMPUTED_VALUE"""),"Seguridad")</f>
        <v>Seguridad</v>
      </c>
      <c r="E201" s="25" t="str">
        <f ca="1">IFERROR(__xludf.DUMMYFUNCTION("""COMPUTED_VALUE"""),"Secretaría Distrital de Seguridad, Convivencia y Justicia")</f>
        <v>Secretaría Distrital de Seguridad, Convivencia y Justicia</v>
      </c>
      <c r="F201" s="25" t="str">
        <f ca="1">IFERROR(__xludf.DUMMYFUNCTION("""COMPUTED_VALUE"""),"Informar a la ciudadana sobre la estrategia Entornos Seguros en los colegios de la localidad")</f>
        <v>Informar a la ciudadana sobre la estrategia Entornos Seguros en los colegios de la localidad</v>
      </c>
      <c r="G201" s="25" t="str">
        <f ca="1">IFERROR(__xludf.DUMMYFUNCTION("""COMPUTED_VALUE"""),"18. Rafael Uribe Uribe")</f>
        <v>18. Rafael Uribe Uribe</v>
      </c>
      <c r="H201" s="55">
        <f ca="1">IFERROR(__xludf.DUMMYFUNCTION("""COMPUTED_VALUE"""),44733)</f>
        <v>44733</v>
      </c>
      <c r="I201" s="25"/>
      <c r="J201" s="55" t="str">
        <f ca="1">IFERROR(__xludf.DUMMYFUNCTION("""COMPUTED_VALUE"""),"Alta")</f>
        <v>Alta</v>
      </c>
      <c r="K201" s="25">
        <f ca="1">IFERROR(__xludf.DUMMYFUNCTION("""COMPUTED_VALUE"""),19)</f>
        <v>19</v>
      </c>
      <c r="L201" s="55">
        <f ca="1">IFERROR(__xludf.DUMMYFUNCTION("""COMPUTED_VALUE"""),44733)</f>
        <v>44733</v>
      </c>
      <c r="M201" s="25" t="str">
        <f ca="1">IFERROR(__xludf.DUMMYFUNCTION("""COMPUTED_VALUE"""),"Se informó a la ciudadana sobre la estrategia de entornos seguros y confiables. Adicionalmente, en la localidad realizamos el acompañamiento a la entrega y/o salida de estudiantes con mensajes de prevención de delito como hurto y violencia de género. Se p"&amp;"riorizó acompañamiento en 7 colegios que presentan mayores factores de atención: IED Quiroga Alizanza, IED Restrepo Millan, IED Bravo Páez, IED Clemencia Caycedo, IED Marruecos y Molinos, IED Libertador, IED Liceo Femenino Mercedes Nariño. También se conf"&amp;"ormaron redes de cuidado con padres de familia y la comunidad de los entornos educativos (IED Liceo Femenino y IED San Agustín).")</f>
        <v>Se informó a la ciudadana sobre la estrategia de entornos seguros y confiables. Adicionalmente, en la localidad realizamos el acompañamiento a la entrega y/o salida de estudiantes con mensajes de prevención de delito como hurto y violencia de género. Se priorizó acompañamiento en 7 colegios que presentan mayores factores de atención: IED Quiroga Alizanza, IED Restrepo Millan, IED Bravo Páez, IED Clemencia Caycedo, IED Marruecos y Molinos, IED Libertador, IED Liceo Femenino Mercedes Nariño. También se conformaron redes de cuidado con padres de familia y la comunidad de los entornos educativos (IED Liceo Femenino y IED San Agustín).</v>
      </c>
      <c r="N201" s="55">
        <f ca="1">IFERROR(__xludf.DUMMYFUNCTION("""COMPUTED_VALUE"""),44926)</f>
        <v>44926</v>
      </c>
      <c r="O201" s="25" t="str">
        <f t="shared" ca="1" si="0"/>
        <v>Secretaría Distrital de Seguridad, Convivencia y Justicia</v>
      </c>
      <c r="P201" s="25" t="str">
        <f t="shared" si="1"/>
        <v/>
      </c>
      <c r="Q201" s="25" t="str">
        <f ca="1">IFERROR(__xludf.DUMMYFUNCTION("""COMPUTED_VALUE"""),"Corto plazo")</f>
        <v>Corto plazo</v>
      </c>
      <c r="R201" s="25"/>
      <c r="S201" s="55"/>
      <c r="T201" s="56"/>
      <c r="U201" s="25"/>
      <c r="V201" s="25"/>
      <c r="W201" s="25"/>
      <c r="X201" s="25"/>
      <c r="Y201" s="25"/>
      <c r="Z201" s="25"/>
    </row>
    <row r="202" spans="1:26" ht="52.5" customHeight="1" x14ac:dyDescent="0.25">
      <c r="A202" s="25" t="str">
        <f ca="1">IFERROR(__xludf.DUMMYFUNCTION("""COMPUTED_VALUE"""),"Segur200")</f>
        <v>Segur200</v>
      </c>
      <c r="B202" s="25" t="str">
        <f ca="1">IFERROR(__xludf.DUMMYFUNCTION("""COMPUTED_VALUE"""),"Consejo Local de Giobierno de Rafael uribe Uribe")</f>
        <v>Consejo Local de Giobierno de Rafael uribe Uribe</v>
      </c>
      <c r="C202" s="55">
        <f ca="1">IFERROR(__xludf.DUMMYFUNCTION("""COMPUTED_VALUE"""),44714)</f>
        <v>44714</v>
      </c>
      <c r="D202" s="25" t="str">
        <f ca="1">IFERROR(__xludf.DUMMYFUNCTION("""COMPUTED_VALUE"""),"Seguridad")</f>
        <v>Seguridad</v>
      </c>
      <c r="E202" s="25" t="str">
        <f ca="1">IFERROR(__xludf.DUMMYFUNCTION("""COMPUTED_VALUE"""),"Secretaría Distrital de Seguridad, Convivencia y Justicia")</f>
        <v>Secretaría Distrital de Seguridad, Convivencia y Justicia</v>
      </c>
      <c r="F202" s="25" t="str">
        <f ca="1">IFERROR(__xludf.DUMMYFUNCTION("""COMPUTED_VALUE"""),"Reactivar los frentes de seguridad en el barrio San Jose, revisar los temas de seguridad sobre el parque lineal que queda al lado del salón comunal del barrio.")</f>
        <v>Reactivar los frentes de seguridad en el barrio San Jose, revisar los temas de seguridad sobre el parque lineal que queda al lado del salón comunal del barrio.</v>
      </c>
      <c r="G202" s="25" t="str">
        <f ca="1">IFERROR(__xludf.DUMMYFUNCTION("""COMPUTED_VALUE"""),"18. Rafael Uribe Uribe")</f>
        <v>18. Rafael Uribe Uribe</v>
      </c>
      <c r="H202" s="55">
        <f ca="1">IFERROR(__xludf.DUMMYFUNCTION("""COMPUTED_VALUE"""),44776)</f>
        <v>44776</v>
      </c>
      <c r="I202" s="25"/>
      <c r="J202" s="55" t="str">
        <f ca="1">IFERROR(__xludf.DUMMYFUNCTION("""COMPUTED_VALUE"""),"Media")</f>
        <v>Media</v>
      </c>
      <c r="K202" s="25">
        <f ca="1">IFERROR(__xludf.DUMMYFUNCTION("""COMPUTED_VALUE"""),62)</f>
        <v>62</v>
      </c>
      <c r="L202" s="55">
        <f ca="1">IFERROR(__xludf.DUMMYFUNCTION("""COMPUTED_VALUE"""),44776)</f>
        <v>44776</v>
      </c>
      <c r="M202" s="25" t="str">
        <f ca="1">IFERROR(__xludf.DUMMYFUNCTION("""COMPUTED_VALUE"""),"Se inauguró la red de cuidado SCJ-1082-2022 en el barrio San José Sur y se realizó actividad de registro y control en el Parque San José Sur, mediante la cual se registraron 18 personas y se realizó el traslado 1 persona a CPT por consumo y venta de SPA. "&amp;"Se programaron actividades con la MEBOG para realizar actividades de fortalecimiento de los frentes de seguridad de manera sostenida durante el segundo semestre del año 2022.")</f>
        <v>Se inauguró la red de cuidado SCJ-1082-2022 en el barrio San José Sur y se realizó actividad de registro y control en el Parque San José Sur, mediante la cual se registraron 18 personas y se realizó el traslado 1 persona a CPT por consumo y venta de SPA. Se programaron actividades con la MEBOG para realizar actividades de fortalecimiento de los frentes de seguridad de manera sostenida durante el segundo semestre del año 2022.</v>
      </c>
      <c r="N202" s="55">
        <f ca="1">IFERROR(__xludf.DUMMYFUNCTION("""COMPUTED_VALUE"""),44926)</f>
        <v>44926</v>
      </c>
      <c r="O202" s="25" t="str">
        <f t="shared" ca="1" si="0"/>
        <v>Secretaría Distrital de Seguridad, Convivencia y Justicia</v>
      </c>
      <c r="P202" s="25" t="str">
        <f t="shared" si="1"/>
        <v/>
      </c>
      <c r="Q202" s="25" t="str">
        <f ca="1">IFERROR(__xludf.DUMMYFUNCTION("""COMPUTED_VALUE"""),"Mediano plazo")</f>
        <v>Mediano plazo</v>
      </c>
      <c r="R202" s="25"/>
      <c r="S202" s="55"/>
      <c r="T202" s="56"/>
      <c r="U202" s="25"/>
      <c r="V202" s="25"/>
      <c r="W202" s="25"/>
      <c r="X202" s="25"/>
      <c r="Y202" s="25"/>
      <c r="Z202" s="25"/>
    </row>
    <row r="203" spans="1:26" ht="52.5" customHeight="1" x14ac:dyDescent="0.25">
      <c r="A203" s="25" t="str">
        <f ca="1">IFERROR(__xludf.DUMMYFUNCTION("""COMPUTED_VALUE"""),"Segur201")</f>
        <v>Segur201</v>
      </c>
      <c r="B203" s="25" t="str">
        <f ca="1">IFERROR(__xludf.DUMMYFUNCTION("""COMPUTED_VALUE"""),"Consejo Local de Giobierno de Rafael uribe Uribe")</f>
        <v>Consejo Local de Giobierno de Rafael uribe Uribe</v>
      </c>
      <c r="C203" s="55">
        <f ca="1">IFERROR(__xludf.DUMMYFUNCTION("""COMPUTED_VALUE"""),44714)</f>
        <v>44714</v>
      </c>
      <c r="D203" s="25" t="str">
        <f ca="1">IFERROR(__xludf.DUMMYFUNCTION("""COMPUTED_VALUE"""),"Seguridad")</f>
        <v>Seguridad</v>
      </c>
      <c r="E203" s="25" t="str">
        <f ca="1">IFERROR(__xludf.DUMMYFUNCTION("""COMPUTED_VALUE"""),"Secretaría Distrital de Seguridad, Convivencia y Justicia")</f>
        <v>Secretaría Distrital de Seguridad, Convivencia y Justicia</v>
      </c>
      <c r="F203" s="25" t="str">
        <f ca="1">IFERROR(__xludf.DUMMYFUNCTION("""COMPUTED_VALUE"""),"Entregar kits de seguridad al Barrio Olaya y las Colinas para ayudar con los problemas de inseguridad que se presentan en la calle 28 sur con carrera 24 y el Colegio Clemencia Olguín Urdaneta")</f>
        <v>Entregar kits de seguridad al Barrio Olaya y las Colinas para ayudar con los problemas de inseguridad que se presentan en la calle 28 sur con carrera 24 y el Colegio Clemencia Olguín Urdaneta</v>
      </c>
      <c r="G203" s="25" t="str">
        <f ca="1">IFERROR(__xludf.DUMMYFUNCTION("""COMPUTED_VALUE"""),"18. Rafael Uribe Uribe")</f>
        <v>18. Rafael Uribe Uribe</v>
      </c>
      <c r="H203" s="55">
        <f ca="1">IFERROR(__xludf.DUMMYFUNCTION("""COMPUTED_VALUE"""),44841)</f>
        <v>44841</v>
      </c>
      <c r="I203" s="25"/>
      <c r="J203" s="55" t="str">
        <f ca="1">IFERROR(__xludf.DUMMYFUNCTION("""COMPUTED_VALUE"""),"Media")</f>
        <v>Media</v>
      </c>
      <c r="K203" s="25">
        <f ca="1">IFERROR(__xludf.DUMMYFUNCTION("""COMPUTED_VALUE"""),127)</f>
        <v>127</v>
      </c>
      <c r="L203" s="55">
        <f ca="1">IFERROR(__xludf.DUMMYFUNCTION("""COMPUTED_VALUE"""),44841)</f>
        <v>44841</v>
      </c>
      <c r="M203" s="25" t="str">
        <f ca="1">IFERROR(__xludf.DUMMYFUNCTION("""COMPUTED_VALUE"""),"El lanzamiento de la entrega de los kits de seguridad, conforme al índice de priorización, se realizó el pasado 27 de septiembre de 2022. Se entregará un total de 92 kits durante el último trimestre de 2022 a las 70 Redes de Cuidado y los 22 Frentes de Se"&amp;"guridad que fueron seleccionado. Se solicita el cierre del compromiso.")</f>
        <v>El lanzamiento de la entrega de los kits de seguridad, conforme al índice de priorización, se realizó el pasado 27 de septiembre de 2022. Se entregará un total de 92 kits durante el último trimestre de 2022 a las 70 Redes de Cuidado y los 22 Frentes de Seguridad que fueron seleccionado. Se solicita el cierre del compromiso.</v>
      </c>
      <c r="N203" s="55">
        <f ca="1">IFERROR(__xludf.DUMMYFUNCTION("""COMPUTED_VALUE"""),44926)</f>
        <v>44926</v>
      </c>
      <c r="O203" s="25" t="str">
        <f t="shared" ca="1" si="0"/>
        <v>Secretaría Distrital de Seguridad, Convivencia y Justicia</v>
      </c>
      <c r="P203" s="25" t="str">
        <f t="shared" si="1"/>
        <v/>
      </c>
      <c r="Q203" s="25" t="str">
        <f ca="1">IFERROR(__xludf.DUMMYFUNCTION("""COMPUTED_VALUE"""),"Mediano plazo")</f>
        <v>Mediano plazo</v>
      </c>
      <c r="R203" s="25"/>
      <c r="S203" s="55"/>
      <c r="T203" s="56"/>
      <c r="U203" s="25"/>
      <c r="V203" s="25"/>
      <c r="W203" s="25"/>
      <c r="X203" s="25"/>
      <c r="Y203" s="25"/>
      <c r="Z203" s="25"/>
    </row>
    <row r="204" spans="1:26" ht="52.5" customHeight="1" x14ac:dyDescent="0.25">
      <c r="A204" s="25" t="str">
        <f ca="1">IFERROR(__xludf.DUMMYFUNCTION("""COMPUTED_VALUE"""),"Segur202")</f>
        <v>Segur202</v>
      </c>
      <c r="B204" s="25" t="str">
        <f ca="1">IFERROR(__xludf.DUMMYFUNCTION("""COMPUTED_VALUE"""),"Consejo Local de Giobierno de Rafael uribe Uribe")</f>
        <v>Consejo Local de Giobierno de Rafael uribe Uribe</v>
      </c>
      <c r="C204" s="55">
        <f ca="1">IFERROR(__xludf.DUMMYFUNCTION("""COMPUTED_VALUE"""),44714)</f>
        <v>44714</v>
      </c>
      <c r="D204" s="25" t="str">
        <f ca="1">IFERROR(__xludf.DUMMYFUNCTION("""COMPUTED_VALUE"""),"Seguridad")</f>
        <v>Seguridad</v>
      </c>
      <c r="E204" s="25" t="str">
        <f ca="1">IFERROR(__xludf.DUMMYFUNCTION("""COMPUTED_VALUE"""),"Secretaría Distrital de Seguridad, Convivencia y Justicia")</f>
        <v>Secretaría Distrital de Seguridad, Convivencia y Justicia</v>
      </c>
      <c r="F204" s="25" t="str">
        <f ca="1">IFERROR(__xludf.DUMMYFUNCTION("""COMPUTED_VALUE"""),"Revisar el foco de inseguridad y delincuencia en el barrio libertador por el canal albina 31 sur entre 26 B y 27")</f>
        <v>Revisar el foco de inseguridad y delincuencia en el barrio libertador por el canal albina 31 sur entre 26 B y 27</v>
      </c>
      <c r="G204" s="25" t="str">
        <f ca="1">IFERROR(__xludf.DUMMYFUNCTION("""COMPUTED_VALUE"""),"18. Rafael Uribe Uribe")</f>
        <v>18. Rafael Uribe Uribe</v>
      </c>
      <c r="H204" s="55">
        <f ca="1">IFERROR(__xludf.DUMMYFUNCTION("""COMPUTED_VALUE"""),44748)</f>
        <v>44748</v>
      </c>
      <c r="I204" s="25"/>
      <c r="J204" s="55" t="str">
        <f ca="1">IFERROR(__xludf.DUMMYFUNCTION("""COMPUTED_VALUE"""),"Alta")</f>
        <v>Alta</v>
      </c>
      <c r="K204" s="25">
        <f ca="1">IFERROR(__xludf.DUMMYFUNCTION("""COMPUTED_VALUE"""),34)</f>
        <v>34</v>
      </c>
      <c r="L204" s="55">
        <f ca="1">IFERROR(__xludf.DUMMYFUNCTION("""COMPUTED_VALUE"""),44748)</f>
        <v>44748</v>
      </c>
      <c r="M204" s="25" t="str">
        <f ca="1">IFERROR(__xludf.DUMMYFUNCTION("""COMPUTED_VALUE"""),"Se realizó un recorrido con SDIS, IDIPRON, POLICA NACIONAL, ALCALDIA LOCAL y SDSCJ donde se hizo una sensibilización y oferta institucional a 8 CHC.
  Se llevó a cabo una jornada de desmonte de cambuches con Alcaldía local, policía nacional, UAESP y SDSCJ"&amp;" donde se desmontaron 3 cambuches y se incautaron 2 armas blancas.
  Se han desarrollado actividades de registro y control a personas, en las cuales se han registrado 24 personas y se capturan 3 ciudadanos en flagrancia por hurto a personas.
  Durante el "&amp;"mes de julio se continuará con la implementación de acciones de control, de manera sostenida, en el entorno indicado.")</f>
        <v>Se realizó un recorrido con SDIS, IDIPRON, POLICA NACIONAL, ALCALDIA LOCAL y SDSCJ donde se hizo una sensibilización y oferta institucional a 8 CHC.
  Se llevó a cabo una jornada de desmonte de cambuches con Alcaldía local, policía nacional, UAESP y SDSCJ donde se desmontaron 3 cambuches y se incautaron 2 armas blancas.
  Se han desarrollado actividades de registro y control a personas, en las cuales se han registrado 24 personas y se capturan 3 ciudadanos en flagrancia por hurto a personas.
  Durante el mes de julio se continuará con la implementación de acciones de control, de manera sostenida, en el entorno indicado.</v>
      </c>
      <c r="N204" s="55">
        <f ca="1">IFERROR(__xludf.DUMMYFUNCTION("""COMPUTED_VALUE"""),44926)</f>
        <v>44926</v>
      </c>
      <c r="O204" s="25" t="str">
        <f t="shared" ca="1" si="0"/>
        <v>Secretaría Distrital de Seguridad, Convivencia y Justicia</v>
      </c>
      <c r="P204" s="25" t="str">
        <f t="shared" si="1"/>
        <v/>
      </c>
      <c r="Q204" s="25" t="str">
        <f ca="1">IFERROR(__xludf.DUMMYFUNCTION("""COMPUTED_VALUE"""),"Corto plazo")</f>
        <v>Corto plazo</v>
      </c>
      <c r="R204" s="25"/>
      <c r="S204" s="55"/>
      <c r="T204" s="56"/>
      <c r="U204" s="25"/>
      <c r="V204" s="25"/>
      <c r="W204" s="25"/>
      <c r="X204" s="25"/>
      <c r="Y204" s="25"/>
      <c r="Z204" s="25"/>
    </row>
    <row r="205" spans="1:26" ht="52.5" customHeight="1" x14ac:dyDescent="0.25">
      <c r="A205" s="25" t="str">
        <f ca="1">IFERROR(__xludf.DUMMYFUNCTION("""COMPUTED_VALUE"""),"Segur203")</f>
        <v>Segur203</v>
      </c>
      <c r="B205" s="25" t="str">
        <f ca="1">IFERROR(__xludf.DUMMYFUNCTION("""COMPUTED_VALUE"""),"Consejo Local de Giobierno de Rafael uribe Uribe")</f>
        <v>Consejo Local de Giobierno de Rafael uribe Uribe</v>
      </c>
      <c r="C205" s="55">
        <f ca="1">IFERROR(__xludf.DUMMYFUNCTION("""COMPUTED_VALUE"""),44714)</f>
        <v>44714</v>
      </c>
      <c r="D205" s="25" t="str">
        <f ca="1">IFERROR(__xludf.DUMMYFUNCTION("""COMPUTED_VALUE"""),"Seguridad")</f>
        <v>Seguridad</v>
      </c>
      <c r="E205" s="25" t="str">
        <f ca="1">IFERROR(__xludf.DUMMYFUNCTION("""COMPUTED_VALUE"""),"Secretaría Distrital de Seguridad, Convivencia y Justicia")</f>
        <v>Secretaría Distrital de Seguridad, Convivencia y Justicia</v>
      </c>
      <c r="F205" s="25" t="str">
        <f ca="1">IFERROR(__xludf.DUMMYFUNCTION("""COMPUTED_VALUE"""),"Revisar la situación de venta estupefacientes que se está presentando en el punto del caño Albina entre la carrera 28 y 27")</f>
        <v>Revisar la situación de venta estupefacientes que se está presentando en el punto del caño Albina entre la carrera 28 y 27</v>
      </c>
      <c r="G205" s="25" t="str">
        <f ca="1">IFERROR(__xludf.DUMMYFUNCTION("""COMPUTED_VALUE"""),"18. Rafael Uribe Uribe")</f>
        <v>18. Rafael Uribe Uribe</v>
      </c>
      <c r="H205" s="55">
        <f ca="1">IFERROR(__xludf.DUMMYFUNCTION("""COMPUTED_VALUE"""),44763)</f>
        <v>44763</v>
      </c>
      <c r="I205" s="25"/>
      <c r="J205" s="55" t="str">
        <f ca="1">IFERROR(__xludf.DUMMYFUNCTION("""COMPUTED_VALUE"""),"Alta")</f>
        <v>Alta</v>
      </c>
      <c r="K205" s="25">
        <f ca="1">IFERROR(__xludf.DUMMYFUNCTION("""COMPUTED_VALUE"""),49)</f>
        <v>49</v>
      </c>
      <c r="L205" s="55">
        <f ca="1">IFERROR(__xludf.DUMMYFUNCTION("""COMPUTED_VALUE"""),44763)</f>
        <v>44763</v>
      </c>
      <c r="M205" s="25" t="str">
        <f ca="1">IFERROR(__xludf.DUMMYFUNCTION("""COMPUTED_VALUE"""),"Se realizó una actividad de registro y control en los entornos de la Cra 28, donde se registraron 25 personas, se verificaron antecedentes a 15 personas y se incautaron 3 dosis de marihuana. Adicionalmente, se realizó una jornada de control en puntos crít"&amp;"icos en el entorno del Canal, en compañía de la Alcaldía Local y Migración Colombia. En el marco de esta jornada se registraron 20 personas, se verificaron antecedentes de población migrante y se incautó una cortadora manual de arboles. Durante el mes de "&amp;"julio se continuará con la implementación de acciones de control, de manera sostenida, en el entorno indicado.")</f>
        <v>Se realizó una actividad de registro y control en los entornos de la Cra 28, donde se registraron 25 personas, se verificaron antecedentes a 15 personas y se incautaron 3 dosis de marihuana. Adicionalmente, se realizó una jornada de control en puntos críticos en el entorno del Canal, en compañía de la Alcaldía Local y Migración Colombia. En el marco de esta jornada se registraron 20 personas, se verificaron antecedentes de población migrante y se incautó una cortadora manual de arboles. Durante el mes de julio se continuará con la implementación de acciones de control, de manera sostenida, en el entorno indicado.</v>
      </c>
      <c r="N205" s="55">
        <f ca="1">IFERROR(__xludf.DUMMYFUNCTION("""COMPUTED_VALUE"""),44926)</f>
        <v>44926</v>
      </c>
      <c r="O205" s="25" t="str">
        <f t="shared" ca="1" si="0"/>
        <v>Secretaría Distrital de Seguridad, Convivencia y Justicia</v>
      </c>
      <c r="P205" s="25" t="str">
        <f t="shared" si="1"/>
        <v/>
      </c>
      <c r="Q205" s="25" t="str">
        <f ca="1">IFERROR(__xludf.DUMMYFUNCTION("""COMPUTED_VALUE"""),"Corto plazo")</f>
        <v>Corto plazo</v>
      </c>
      <c r="R205" s="25"/>
      <c r="S205" s="55"/>
      <c r="T205" s="56"/>
      <c r="U205" s="25"/>
      <c r="V205" s="25"/>
      <c r="W205" s="25"/>
      <c r="X205" s="25"/>
      <c r="Y205" s="25"/>
      <c r="Z205" s="25"/>
    </row>
    <row r="206" spans="1:26" ht="52.5" customHeight="1" x14ac:dyDescent="0.25">
      <c r="A206" s="25" t="str">
        <f ca="1">IFERROR(__xludf.DUMMYFUNCTION("""COMPUTED_VALUE"""),"Segur204")</f>
        <v>Segur204</v>
      </c>
      <c r="B206" s="25" t="str">
        <f ca="1">IFERROR(__xludf.DUMMYFUNCTION("""COMPUTED_VALUE"""),"Consejo Local de Gobierno de Antonio Nariño")</f>
        <v>Consejo Local de Gobierno de Antonio Nariño</v>
      </c>
      <c r="C206" s="55">
        <f ca="1">IFERROR(__xludf.DUMMYFUNCTION("""COMPUTED_VALUE"""),44770)</f>
        <v>44770</v>
      </c>
      <c r="D206" s="25" t="str">
        <f ca="1">IFERROR(__xludf.DUMMYFUNCTION("""COMPUTED_VALUE"""),"Seguridad")</f>
        <v>Seguridad</v>
      </c>
      <c r="E206" s="25" t="str">
        <f ca="1">IFERROR(__xludf.DUMMYFUNCTION("""COMPUTED_VALUE"""),"Secretaría Distrital de Seguridad, Convivencia y Justicia")</f>
        <v>Secretaría Distrital de Seguridad, Convivencia y Justicia</v>
      </c>
      <c r="F206" s="25" t="str">
        <f ca="1">IFERROR(__xludf.DUMMYFUNCTION("""COMPUTED_VALUE"""),"Realizar intervención en los puntos de inseguridad del Barrio la Fragua, entregar Kits de seguridad")</f>
        <v>Realizar intervención en los puntos de inseguridad del Barrio la Fragua, entregar Kits de seguridad</v>
      </c>
      <c r="G206" s="25" t="str">
        <f ca="1">IFERROR(__xludf.DUMMYFUNCTION("""COMPUTED_VALUE"""),"15. Antonio Nariño")</f>
        <v>15. Antonio Nariño</v>
      </c>
      <c r="H206" s="55">
        <f ca="1">IFERROR(__xludf.DUMMYFUNCTION("""COMPUTED_VALUE"""),44775)</f>
        <v>44775</v>
      </c>
      <c r="I206" s="25"/>
      <c r="J206" s="55" t="str">
        <f ca="1">IFERROR(__xludf.DUMMYFUNCTION("""COMPUTED_VALUE"""),"Alta")</f>
        <v>Alta</v>
      </c>
      <c r="K206" s="25">
        <f ca="1">IFERROR(__xludf.DUMMYFUNCTION("""COMPUTED_VALUE"""),5)</f>
        <v>5</v>
      </c>
      <c r="L206" s="55">
        <f ca="1">IFERROR(__xludf.DUMMYFUNCTION("""COMPUTED_VALUE"""),44775)</f>
        <v>44775</v>
      </c>
      <c r="M206" s="25" t="str">
        <f ca="1">IFERROR(__xludf.DUMMYFUNCTION("""COMPUTED_VALUE"""),"Se han realizado 20 actividades de control en el sector. En materia de resultados, se registraron 15 vehículos y a 247 personas, junto con la verificación de antecedentes de las mismas. Se incautaron 13 armas blancas y se impusieron 9 comparendos por part"&amp;"e de la MEBOG.")</f>
        <v>Se han realizado 20 actividades de control en el sector. En materia de resultados, se registraron 15 vehículos y a 247 personas, junto con la verificación de antecedentes de las mismas. Se incautaron 13 armas blancas y se impusieron 9 comparendos por parte de la MEBOG.</v>
      </c>
      <c r="N206" s="55">
        <f ca="1">IFERROR(__xludf.DUMMYFUNCTION("""COMPUTED_VALUE"""),44926)</f>
        <v>44926</v>
      </c>
      <c r="O206" s="25" t="str">
        <f t="shared" ca="1" si="0"/>
        <v>Secretaría Distrital de Seguridad, Convivencia y Justicia</v>
      </c>
      <c r="P206" s="25" t="str">
        <f t="shared" si="1"/>
        <v/>
      </c>
      <c r="Q206" s="25" t="str">
        <f ca="1">IFERROR(__xludf.DUMMYFUNCTION("""COMPUTED_VALUE"""),"Corto plazo")</f>
        <v>Corto plazo</v>
      </c>
      <c r="R206" s="25"/>
      <c r="S206" s="55"/>
      <c r="T206" s="56"/>
      <c r="U206" s="25"/>
      <c r="V206" s="25"/>
      <c r="W206" s="25"/>
      <c r="X206" s="25"/>
      <c r="Y206" s="25"/>
      <c r="Z206" s="25"/>
    </row>
    <row r="207" spans="1:26" ht="52.5" customHeight="1" x14ac:dyDescent="0.25">
      <c r="A207" s="25" t="str">
        <f ca="1">IFERROR(__xludf.DUMMYFUNCTION("""COMPUTED_VALUE"""),"Segur205")</f>
        <v>Segur205</v>
      </c>
      <c r="B207" s="25" t="str">
        <f ca="1">IFERROR(__xludf.DUMMYFUNCTION("""COMPUTED_VALUE"""),"Consejo Local de Gobierno de Antonio Nariño")</f>
        <v>Consejo Local de Gobierno de Antonio Nariño</v>
      </c>
      <c r="C207" s="55">
        <f ca="1">IFERROR(__xludf.DUMMYFUNCTION("""COMPUTED_VALUE"""),44770)</f>
        <v>44770</v>
      </c>
      <c r="D207" s="25" t="str">
        <f ca="1">IFERROR(__xludf.DUMMYFUNCTION("""COMPUTED_VALUE"""),"Seguridad")</f>
        <v>Seguridad</v>
      </c>
      <c r="E207" s="25" t="str">
        <f ca="1">IFERROR(__xludf.DUMMYFUNCTION("""COMPUTED_VALUE"""),"Secretaría Distrital de Seguridad, Convivencia y Justicia")</f>
        <v>Secretaría Distrital de Seguridad, Convivencia y Justicia</v>
      </c>
      <c r="F207" s="25" t="str">
        <f ca="1">IFERROR(__xludf.DUMMYFUNCTION("""COMPUTED_VALUE"""),"Realizar intervención en el Parque Psicopedagógico donde grupos de moteros consumen licor y hacen piques que molestan a la comunidad, así como en los establecimientos comerciales que venden de licor en el Barrio Villa Mayor que es zona residencial")</f>
        <v>Realizar intervención en el Parque Psicopedagógico donde grupos de moteros consumen licor y hacen piques que molestan a la comunidad, así como en los establecimientos comerciales que venden de licor en el Barrio Villa Mayor que es zona residencial</v>
      </c>
      <c r="G207" s="25" t="str">
        <f ca="1">IFERROR(__xludf.DUMMYFUNCTION("""COMPUTED_VALUE"""),"15. Antonio Nariño")</f>
        <v>15. Antonio Nariño</v>
      </c>
      <c r="H207" s="55">
        <f ca="1">IFERROR(__xludf.DUMMYFUNCTION("""COMPUTED_VALUE"""),44775)</f>
        <v>44775</v>
      </c>
      <c r="I207" s="25"/>
      <c r="J207" s="55" t="str">
        <f ca="1">IFERROR(__xludf.DUMMYFUNCTION("""COMPUTED_VALUE"""),"Alta")</f>
        <v>Alta</v>
      </c>
      <c r="K207" s="25">
        <f ca="1">IFERROR(__xludf.DUMMYFUNCTION("""COMPUTED_VALUE"""),5)</f>
        <v>5</v>
      </c>
      <c r="L207" s="55">
        <f ca="1">IFERROR(__xludf.DUMMYFUNCTION("""COMPUTED_VALUE"""),44775)</f>
        <v>44775</v>
      </c>
      <c r="M207" s="25" t="str">
        <f ca="1">IFERROR(__xludf.DUMMYFUNCTION("""COMPUTED_VALUE"""),"Se continuan con los operativos en el sector, identificando locales comerciales de expedio de bebidad embriagantes, en cumplimineto de horarios y disposiciones legales..
 Se han realizado 7 actividades de control y prevención en el sector. Se logró el reg"&amp;"istro de 156 personas y la verificación de antecedentes de las mismas. Se incautaron y destruyeron 3 dosis de estupefacientes y se impusieron 10 comparendos por parte de la MEBOG. Las actividades realizadas se centraron en acompañamientos en la salida del"&amp;" colegio y monitoreo en parques aledaños por presunto consumo de SPA, acompañamiento a operativos de control de domiciliarios en la zona, operativos a moteros por invasión del esapcio público, caravanas por la vida, acompañamientos a control de establecim"&amp;"ientos dedicados a la venta de licor y desarrollo de encuentros comunitarios.")</f>
        <v>Se continuan con los operativos en el sector, identificando locales comerciales de expedio de bebidad embriagantes, en cumplimineto de horarios y disposiciones legales..
 Se han realizado 7 actividades de control y prevención en el sector. Se logró el registro de 156 personas y la verificación de antecedentes de las mismas. Se incautaron y destruyeron 3 dosis de estupefacientes y se impusieron 10 comparendos por parte de la MEBOG. Las actividades realizadas se centraron en acompañamientos en la salida del colegio y monitoreo en parques aledaños por presunto consumo de SPA, acompañamiento a operativos de control de domiciliarios en la zona, operativos a moteros por invasión del esapcio público, caravanas por la vida, acompañamientos a control de establecimientos dedicados a la venta de licor y desarrollo de encuentros comunitarios.</v>
      </c>
      <c r="N207" s="55">
        <f ca="1">IFERROR(__xludf.DUMMYFUNCTION("""COMPUTED_VALUE"""),44926)</f>
        <v>44926</v>
      </c>
      <c r="O207" s="25" t="str">
        <f t="shared" ca="1" si="0"/>
        <v>Secretaría Distrital de Seguridad, Convivencia y Justicia</v>
      </c>
      <c r="P207" s="25" t="str">
        <f t="shared" si="1"/>
        <v/>
      </c>
      <c r="Q207" s="25" t="str">
        <f ca="1">IFERROR(__xludf.DUMMYFUNCTION("""COMPUTED_VALUE"""),"Corto plazo")</f>
        <v>Corto plazo</v>
      </c>
      <c r="R207" s="25"/>
      <c r="S207" s="55"/>
      <c r="T207" s="56"/>
      <c r="U207" s="25"/>
      <c r="V207" s="25"/>
      <c r="W207" s="25"/>
      <c r="X207" s="25"/>
      <c r="Y207" s="25"/>
      <c r="Z207" s="25"/>
    </row>
    <row r="208" spans="1:26" ht="52.5" customHeight="1" x14ac:dyDescent="0.25">
      <c r="A208" s="25" t="str">
        <f ca="1">IFERROR(__xludf.DUMMYFUNCTION("""COMPUTED_VALUE"""),"Segur206")</f>
        <v>Segur206</v>
      </c>
      <c r="B208" s="25" t="str">
        <f ca="1">IFERROR(__xludf.DUMMYFUNCTION("""COMPUTED_VALUE"""),"Consejo Local de Gobierno de Antonio Nariño")</f>
        <v>Consejo Local de Gobierno de Antonio Nariño</v>
      </c>
      <c r="C208" s="55">
        <f ca="1">IFERROR(__xludf.DUMMYFUNCTION("""COMPUTED_VALUE"""),44770)</f>
        <v>44770</v>
      </c>
      <c r="D208" s="25" t="str">
        <f ca="1">IFERROR(__xludf.DUMMYFUNCTION("""COMPUTED_VALUE"""),"Seguridad")</f>
        <v>Seguridad</v>
      </c>
      <c r="E208" s="25" t="str">
        <f ca="1">IFERROR(__xludf.DUMMYFUNCTION("""COMPUTED_VALUE"""),"Secretaría Distrital de Seguridad, Convivencia y Justicia")</f>
        <v>Secretaría Distrital de Seguridad, Convivencia y Justicia</v>
      </c>
      <c r="F208" s="25" t="str">
        <f ca="1">IFERROR(__xludf.DUMMYFUNCTION("""COMPUTED_VALUE"""),"Atender los problemas de seguridad alrededor del parque policarpa y en la calle 1 C Sur, donde funcionaba Saludcoop.")</f>
        <v>Atender los problemas de seguridad alrededor del parque policarpa y en la calle 1 C Sur, donde funcionaba Saludcoop.</v>
      </c>
      <c r="G208" s="25" t="str">
        <f ca="1">IFERROR(__xludf.DUMMYFUNCTION("""COMPUTED_VALUE"""),"15. Antonio Nariño")</f>
        <v>15. Antonio Nariño</v>
      </c>
      <c r="H208" s="55">
        <f ca="1">IFERROR(__xludf.DUMMYFUNCTION("""COMPUTED_VALUE"""),44775)</f>
        <v>44775</v>
      </c>
      <c r="I208" s="25"/>
      <c r="J208" s="55" t="str">
        <f ca="1">IFERROR(__xludf.DUMMYFUNCTION("""COMPUTED_VALUE"""),"Alta")</f>
        <v>Alta</v>
      </c>
      <c r="K208" s="25">
        <f ca="1">IFERROR(__xludf.DUMMYFUNCTION("""COMPUTED_VALUE"""),5)</f>
        <v>5</v>
      </c>
      <c r="L208" s="55">
        <f ca="1">IFERROR(__xludf.DUMMYFUNCTION("""COMPUTED_VALUE"""),44775)</f>
        <v>44775</v>
      </c>
      <c r="M208" s="25" t="str">
        <f ca="1">IFERROR(__xludf.DUMMYFUNCTION("""COMPUTED_VALUE"""),"Se han realizado 14 actividades de control y prevención en el sector. En materia de resultados se registraron 242 personas y se verificaron los antecedentes de las mismas; se incautaron 15 armas blancas y se impusieron 26 comparendos por parte de la MEBOG"&amp;". 
 Las actividades realizadas consisten en Planes Baliza por hurto a comercio, registro y control por hurto en todas las modalidades, Plan Cazador y actividades de registro a población presuntamente instrumentalizada (habitantes de calle, carreteros, e"&amp;"ntre otros).")</f>
        <v>Se han realizado 14 actividades de control y prevención en el sector. En materia de resultados se registraron 242 personas y se verificaron los antecedentes de las mismas; se incautaron 15 armas blancas y se impusieron 26 comparendos por parte de la MEBOG. 
 Las actividades realizadas consisten en Planes Baliza por hurto a comercio, registro y control por hurto en todas las modalidades, Plan Cazador y actividades de registro a población presuntamente instrumentalizada (habitantes de calle, carreteros, entre otros).</v>
      </c>
      <c r="N208" s="55">
        <f ca="1">IFERROR(__xludf.DUMMYFUNCTION("""COMPUTED_VALUE"""),44926)</f>
        <v>44926</v>
      </c>
      <c r="O208" s="25" t="str">
        <f t="shared" ca="1" si="0"/>
        <v>Secretaría Distrital de Seguridad, Convivencia y Justicia</v>
      </c>
      <c r="P208" s="25" t="str">
        <f t="shared" si="1"/>
        <v/>
      </c>
      <c r="Q208" s="25" t="str">
        <f ca="1">IFERROR(__xludf.DUMMYFUNCTION("""COMPUTED_VALUE"""),"Corto plazo")</f>
        <v>Corto plazo</v>
      </c>
      <c r="R208" s="25"/>
      <c r="S208" s="55"/>
      <c r="T208" s="56"/>
      <c r="U208" s="25"/>
      <c r="V208" s="25"/>
      <c r="W208" s="25"/>
      <c r="X208" s="25"/>
      <c r="Y208" s="25"/>
      <c r="Z208" s="25"/>
    </row>
    <row r="209" spans="1:26" ht="52.5" customHeight="1" x14ac:dyDescent="0.25">
      <c r="A209" s="25" t="str">
        <f ca="1">IFERROR(__xludf.DUMMYFUNCTION("""COMPUTED_VALUE"""),"Segur207")</f>
        <v>Segur207</v>
      </c>
      <c r="B209" s="25" t="str">
        <f ca="1">IFERROR(__xludf.DUMMYFUNCTION("""COMPUTED_VALUE"""),"Entrega parque Bilbao")</f>
        <v>Entrega parque Bilbao</v>
      </c>
      <c r="C209" s="55">
        <f ca="1">IFERROR(__xludf.DUMMYFUNCTION("""COMPUTED_VALUE"""),44908)</f>
        <v>44908</v>
      </c>
      <c r="D209" s="25" t="str">
        <f ca="1">IFERROR(__xludf.DUMMYFUNCTION("""COMPUTED_VALUE"""),"Seguridad")</f>
        <v>Seguridad</v>
      </c>
      <c r="E209" s="25" t="str">
        <f ca="1">IFERROR(__xludf.DUMMYFUNCTION("""COMPUTED_VALUE"""),"Secretaría Distrital de Seguridad, Convivencia y Justicia")</f>
        <v>Secretaría Distrital de Seguridad, Convivencia y Justicia</v>
      </c>
      <c r="F209" s="25" t="str">
        <f ca="1">IFERROR(__xludf.DUMMYFUNCTION("""COMPUTED_VALUE"""),"Conformar con los miembros de la JAC Bilbao un frente de seguridad y dotarlo con Kit tecnológico.")</f>
        <v>Conformar con los miembros de la JAC Bilbao un frente de seguridad y dotarlo con Kit tecnológico.</v>
      </c>
      <c r="G209" s="25" t="str">
        <f ca="1">IFERROR(__xludf.DUMMYFUNCTION("""COMPUTED_VALUE"""),"11. Suba")</f>
        <v>11. Suba</v>
      </c>
      <c r="H209" s="55">
        <f ca="1">IFERROR(__xludf.DUMMYFUNCTION("""COMPUTED_VALUE"""),45046)</f>
        <v>45046</v>
      </c>
      <c r="I209" s="25" t="str">
        <f ca="1">IFERROR(__xludf.DUMMYFUNCTION("""COMPUTED_VALUE"""),"Secretaría Privada")</f>
        <v>Secretaría Privada</v>
      </c>
      <c r="J209" s="55" t="str">
        <f ca="1">IFERROR(__xludf.DUMMYFUNCTION("""COMPUTED_VALUE"""),"Media")</f>
        <v>Media</v>
      </c>
      <c r="K209" s="25">
        <f ca="1">IFERROR(__xludf.DUMMYFUNCTION("""COMPUTED_VALUE"""),138)</f>
        <v>138</v>
      </c>
      <c r="L209" s="55">
        <f ca="1">IFERROR(__xludf.DUMMYFUNCTION("""COMPUTED_VALUE"""),45064)</f>
        <v>45064</v>
      </c>
      <c r="M209" s="25" t="str">
        <f ca="1">IFERROR(__xludf.DUMMYFUNCTION("""COMPUTED_VALUE"""),"La conformación de los Frentes de Seguridad Local se encuentra a cargo de la MEBOG, por lo cual desde la Dirección de Prevención no se puede garantizar su creación. No obstante, se realizó una articulación a nivel local, para que el personal de la MEBOG y"&amp;" esta entidad puedan trabajar en conjunto. En sector existe una Red de Cuidado pero no FSL. Por otro lado en cuanto al proceso de adquicición de Kit, se informa que la entidad a la fecha no cuenta con presupuesto adicional para la presente vigencia, toda "&amp;"vez que ya se surtió un contrato para amparar dicha necesidad.")</f>
        <v>La conformación de los Frentes de Seguridad Local se encuentra a cargo de la MEBOG, por lo cual desde la Dirección de Prevención no se puede garantizar su creación. No obstante, se realizó una articulación a nivel local, para que el personal de la MEBOG y esta entidad puedan trabajar en conjunto. En sector existe una Red de Cuidado pero no FSL. Por otro lado en cuanto al proceso de adquicición de Kit, se informa que la entidad a la fecha no cuenta con presupuesto adicional para la presente vigencia, toda vez que ya se surtió un contrato para amparar dicha necesidad.</v>
      </c>
      <c r="N209" s="55">
        <f ca="1">IFERROR(__xludf.DUMMYFUNCTION("""COMPUTED_VALUE"""),45064)</f>
        <v>45064</v>
      </c>
      <c r="O209" s="25" t="str">
        <f t="shared" ca="1" si="0"/>
        <v>Secretaría Distrital de Seguridad, Convivencia y Justicia</v>
      </c>
      <c r="P209" s="25" t="str">
        <f t="shared" ca="1" si="1"/>
        <v/>
      </c>
      <c r="Q209" s="25" t="str">
        <f ca="1">IFERROR(__xludf.DUMMYFUNCTION("""COMPUTED_VALUE"""),"Mediano plazo")</f>
        <v>Mediano plazo</v>
      </c>
      <c r="R209" s="25"/>
      <c r="S209" s="55"/>
      <c r="T209" s="56"/>
      <c r="U209" s="25"/>
      <c r="V209" s="25"/>
      <c r="W209" s="25"/>
      <c r="X209" s="25"/>
      <c r="Y209" s="25"/>
      <c r="Z209" s="25"/>
    </row>
    <row r="210" spans="1:26" ht="52.5" customHeight="1" x14ac:dyDescent="0.25">
      <c r="A210" s="25" t="str">
        <f ca="1">IFERROR(__xludf.DUMMYFUNCTION("""COMPUTED_VALUE"""),"Segur208")</f>
        <v>Segur208</v>
      </c>
      <c r="B210" s="25" t="str">
        <f ca="1">IFERROR(__xludf.DUMMYFUNCTION("""COMPUTED_VALUE"""),"Consejo de Seguridad")</f>
        <v>Consejo de Seguridad</v>
      </c>
      <c r="C210" s="55">
        <f ca="1">IFERROR(__xludf.DUMMYFUNCTION("""COMPUTED_VALUE"""),44950)</f>
        <v>44950</v>
      </c>
      <c r="D210" s="25" t="str">
        <f ca="1">IFERROR(__xludf.DUMMYFUNCTION("""COMPUTED_VALUE"""),"Seguridad")</f>
        <v>Seguridad</v>
      </c>
      <c r="E210" s="25" t="str">
        <f ca="1">IFERROR(__xludf.DUMMYFUNCTION("""COMPUTED_VALUE"""),"Secretaría Distrital de Seguridad, Convivencia y Justicia")</f>
        <v>Secretaría Distrital de Seguridad, Convivencia y Justicia</v>
      </c>
      <c r="F210" s="25" t="str">
        <f ca="1">IFERROR(__xludf.DUMMYFUNCTION("""COMPUTED_VALUE"""),"Proponer al ministro de defensa hacer una vez al trimestre Consejo de Seguridad en Bogotá")</f>
        <v>Proponer al ministro de defensa hacer una vez al trimestre Consejo de Seguridad en Bogotá</v>
      </c>
      <c r="G210" s="25" t="str">
        <f ca="1">IFERROR(__xludf.DUMMYFUNCTION("""COMPUTED_VALUE"""),"99. Distrito")</f>
        <v>99. Distrito</v>
      </c>
      <c r="H210" s="55">
        <f ca="1">IFERROR(__xludf.DUMMYFUNCTION("""COMPUTED_VALUE"""),45046)</f>
        <v>45046</v>
      </c>
      <c r="I210" s="25" t="str">
        <f ca="1">IFERROR(__xludf.DUMMYFUNCTION("""COMPUTED_VALUE"""),"Delivery Unit")</f>
        <v>Delivery Unit</v>
      </c>
      <c r="J210" s="55" t="str">
        <f ca="1">IFERROR(__xludf.DUMMYFUNCTION("""COMPUTED_VALUE"""),"Alta")</f>
        <v>Alta</v>
      </c>
      <c r="K210" s="25">
        <f ca="1">IFERROR(__xludf.DUMMYFUNCTION("""COMPUTED_VALUE"""),96)</f>
        <v>96</v>
      </c>
      <c r="L210" s="55">
        <f ca="1">IFERROR(__xludf.DUMMYFUNCTION("""COMPUTED_VALUE"""),45077)</f>
        <v>45077</v>
      </c>
      <c r="M210" s="25" t="str">
        <f ca="1">IFERROR(__xludf.DUMMYFUNCTION("""COMPUTED_VALUE"""),"Se realizó un Consejo de Seguridad Regional en Sumapaz el 12 de mayo de 2023 con la participación del Ministro de Defensa.")</f>
        <v>Se realizó un Consejo de Seguridad Regional en Sumapaz el 12 de mayo de 2023 con la participación del Ministro de Defensa.</v>
      </c>
      <c r="N210" s="25"/>
      <c r="O210" s="25" t="str">
        <f t="shared" ca="1" si="0"/>
        <v>Secretaría Distrital de Seguridad, Convivencia y Justicia</v>
      </c>
      <c r="P210" s="25" t="str">
        <f t="shared" ca="1" si="1"/>
        <v/>
      </c>
      <c r="Q210" s="25" t="str">
        <f ca="1">IFERROR(__xludf.DUMMYFUNCTION("""COMPUTED_VALUE"""),"Mediano plazo")</f>
        <v>Mediano plazo</v>
      </c>
      <c r="R210" s="25"/>
      <c r="S210" s="55"/>
      <c r="T210" s="56"/>
      <c r="U210" s="25"/>
      <c r="V210" s="25"/>
      <c r="W210" s="25"/>
      <c r="X210" s="25"/>
      <c r="Y210" s="25"/>
      <c r="Z210" s="25"/>
    </row>
    <row r="211" spans="1:26" ht="52.5" customHeight="1" x14ac:dyDescent="0.25">
      <c r="A211" s="25" t="str">
        <f ca="1">IFERROR(__xludf.DUMMYFUNCTION("""COMPUTED_VALUE"""),"Segur209")</f>
        <v>Segur209</v>
      </c>
      <c r="B211" s="25" t="str">
        <f ca="1">IFERROR(__xludf.DUMMYFUNCTION("""COMPUTED_VALUE"""),"Apertura Av.Boyacá tramo 1")</f>
        <v>Apertura Av.Boyacá tramo 1</v>
      </c>
      <c r="C211" s="55">
        <f ca="1">IFERROR(__xludf.DUMMYFUNCTION("""COMPUTED_VALUE"""),44980)</f>
        <v>44980</v>
      </c>
      <c r="D211" s="25" t="str">
        <f ca="1">IFERROR(__xludf.DUMMYFUNCTION("""COMPUTED_VALUE"""),"Seguridad")</f>
        <v>Seguridad</v>
      </c>
      <c r="E211" s="25" t="str">
        <f ca="1">IFERROR(__xludf.DUMMYFUNCTION("""COMPUTED_VALUE"""),"Secretaría Distrital de Seguridad, Convivencia y Justicia")</f>
        <v>Secretaría Distrital de Seguridad, Convivencia y Justicia</v>
      </c>
      <c r="F211" s="25" t="str">
        <f ca="1">IFERROR(__xludf.DUMMYFUNCTION("""COMPUTED_VALUE"""),"Realizar con Policía mayor control y vigilancia de la Av. Guayacanes a la altura de la Unidad Primaria de Atención UPA Cabañas.")</f>
        <v>Realizar con Policía mayor control y vigilancia de la Av. Guayacanes a la altura de la Unidad Primaria de Atención UPA Cabañas.</v>
      </c>
      <c r="G211" s="25" t="str">
        <f ca="1">IFERROR(__xludf.DUMMYFUNCTION("""COMPUTED_VALUE"""),"07. Bosa")</f>
        <v>07. Bosa</v>
      </c>
      <c r="H211" s="55">
        <f ca="1">IFERROR(__xludf.DUMMYFUNCTION("""COMPUTED_VALUE"""),45046)</f>
        <v>45046</v>
      </c>
      <c r="I211" s="25" t="str">
        <f ca="1">IFERROR(__xludf.DUMMYFUNCTION("""COMPUTED_VALUE"""),"Secretaría Privada")</f>
        <v>Secretaría Privada</v>
      </c>
      <c r="J211" s="55" t="str">
        <f ca="1">IFERROR(__xludf.DUMMYFUNCTION("""COMPUTED_VALUE"""),"Media")</f>
        <v>Media</v>
      </c>
      <c r="K211" s="25">
        <f ca="1">IFERROR(__xludf.DUMMYFUNCTION("""COMPUTED_VALUE"""),66)</f>
        <v>66</v>
      </c>
      <c r="L211" s="55">
        <f ca="1">IFERROR(__xludf.DUMMYFUNCTION("""COMPUTED_VALUE"""),45077)</f>
        <v>45077</v>
      </c>
      <c r="M211" s="25" t="str">
        <f ca="1">IFERROR(__xludf.DUMMYFUNCTION("""COMPUTED_VALUE"""),"Se envió correo electrónico el 26 de abril de 2023 al Mayor César Sánchez, Comandante de la Estación de Policía de Bosa, solicitando realizar mayor control y vigilancia  de la Av. Guayacanes a la altura de la Unidad Primaria de Atención UPA Cabañas. Por e"&amp;"l momento no se ha recibido respuesta.
Se envían correos electrónicos los días 8 de mayo de 2023 y 19 de mayo de 2023,  al Mayor César Sánchez, Comandante de la Estación de Policía de Bosa, solicitando respuesta al requerimiento para realizar mayor contr"&amp;"ol y vigilancia de la Av. Guayacanes a la altura de la Unidad Primaria de Atención UPA Cabañas. Por el momento no se ha recibido respuesta.
")</f>
        <v xml:space="preserve">Se envió correo electrónico el 26 de abril de 2023 al Mayor César Sánchez, Comandante de la Estación de Policía de Bosa, solicitando realizar mayor control y vigilancia  de la Av. Guayacanes a la altura de la Unidad Primaria de Atención UPA Cabañas. Por el momento no se ha recibido respuesta.
Se envían correos electrónicos los días 8 de mayo de 2023 y 19 de mayo de 2023,  al Mayor César Sánchez, Comandante de la Estación de Policía de Bosa, solicitando respuesta al requerimiento para realizar mayor control y vigilancia de la Av. Guayacanes a la altura de la Unidad Primaria de Atención UPA Cabañas. Por el momento no se ha recibido respuesta.
</v>
      </c>
      <c r="N211" s="25"/>
      <c r="O211" s="25" t="str">
        <f t="shared" ca="1" si="0"/>
        <v>Secretaría Distrital de Seguridad, Convivencia y Justicia</v>
      </c>
      <c r="P211" s="25" t="str">
        <f t="shared" ca="1" si="1"/>
        <v/>
      </c>
      <c r="Q211" s="25" t="str">
        <f ca="1">IFERROR(__xludf.DUMMYFUNCTION("""COMPUTED_VALUE"""),"Mediano plazo")</f>
        <v>Mediano plazo</v>
      </c>
      <c r="R211" s="25"/>
      <c r="S211" s="55"/>
      <c r="T211" s="56"/>
      <c r="U211" s="25"/>
      <c r="V211" s="25"/>
      <c r="W211" s="25"/>
      <c r="X211" s="25"/>
      <c r="Y211" s="25"/>
      <c r="Z211" s="25"/>
    </row>
    <row r="212" spans="1:26" ht="52.5" customHeight="1" x14ac:dyDescent="0.25">
      <c r="A212" s="25" t="str">
        <f ca="1">IFERROR(__xludf.DUMMYFUNCTION("""COMPUTED_VALUE"""),"Segur210")</f>
        <v>Segur210</v>
      </c>
      <c r="B212" s="25" t="str">
        <f ca="1">IFERROR(__xludf.DUMMYFUNCTION("""COMPUTED_VALUE"""),"Visitas de obra Acueducto Engativá")</f>
        <v>Visitas de obra Acueducto Engativá</v>
      </c>
      <c r="C212" s="55">
        <f ca="1">IFERROR(__xludf.DUMMYFUNCTION("""COMPUTED_VALUE"""),44982)</f>
        <v>44982</v>
      </c>
      <c r="D212" s="25" t="str">
        <f ca="1">IFERROR(__xludf.DUMMYFUNCTION("""COMPUTED_VALUE"""),"Seguridad")</f>
        <v>Seguridad</v>
      </c>
      <c r="E212" s="25" t="str">
        <f ca="1">IFERROR(__xludf.DUMMYFUNCTION("""COMPUTED_VALUE"""),"Secretaría Distrital de Seguridad, Convivencia y Justicia")</f>
        <v>Secretaría Distrital de Seguridad, Convivencia y Justicia</v>
      </c>
      <c r="F212" s="25" t="str">
        <f ca="1">IFERROR(__xludf.DUMMYFUNCTION("""COMPUTED_VALUE"""),"Brindar kit de seguridad para Unir II, engativá.")</f>
        <v>Brindar kit de seguridad para Unir II, engativá.</v>
      </c>
      <c r="G212" s="25" t="str">
        <f ca="1">IFERROR(__xludf.DUMMYFUNCTION("""COMPUTED_VALUE"""),"10. Engativá")</f>
        <v>10. Engativá</v>
      </c>
      <c r="H212" s="55">
        <f ca="1">IFERROR(__xludf.DUMMYFUNCTION("""COMPUTED_VALUE"""),45046)</f>
        <v>45046</v>
      </c>
      <c r="I212" s="25" t="str">
        <f ca="1">IFERROR(__xludf.DUMMYFUNCTION("""COMPUTED_VALUE"""),"Secretaría Privada")</f>
        <v>Secretaría Privada</v>
      </c>
      <c r="J212" s="55" t="str">
        <f ca="1">IFERROR(__xludf.DUMMYFUNCTION("""COMPUTED_VALUE"""),"Media")</f>
        <v>Media</v>
      </c>
      <c r="K212" s="25">
        <f ca="1">IFERROR(__xludf.DUMMYFUNCTION("""COMPUTED_VALUE"""),64)</f>
        <v>64</v>
      </c>
      <c r="L212" s="55">
        <f ca="1">IFERROR(__xludf.DUMMYFUNCTION("""COMPUTED_VALUE"""),45040)</f>
        <v>45040</v>
      </c>
      <c r="M212" s="25" t="str">
        <f ca="1">IFERROR(__xludf.DUMMYFUNCTION("""COMPUTED_VALUE"""),"En la vigencia 2023 le fue asignada una solución tecnológica a la Red Ciudadana SSCJ10-UNIR II.")</f>
        <v>En la vigencia 2023 le fue asignada una solución tecnológica a la Red Ciudadana SSCJ10-UNIR II.</v>
      </c>
      <c r="N212" s="55">
        <f ca="1">IFERROR(__xludf.DUMMYFUNCTION("""COMPUTED_VALUE"""),45040)</f>
        <v>45040</v>
      </c>
      <c r="O212" s="25" t="str">
        <f t="shared" ca="1" si="0"/>
        <v>Secretaría Distrital de Seguridad, Convivencia y Justicia</v>
      </c>
      <c r="P212" s="25" t="str">
        <f t="shared" ca="1" si="1"/>
        <v/>
      </c>
      <c r="Q212" s="25" t="str">
        <f ca="1">IFERROR(__xludf.DUMMYFUNCTION("""COMPUTED_VALUE"""),"Mediano plazo")</f>
        <v>Mediano plazo</v>
      </c>
      <c r="R212" s="25"/>
      <c r="S212" s="55"/>
      <c r="T212" s="56"/>
      <c r="U212" s="25"/>
      <c r="V212" s="25"/>
      <c r="W212" s="25"/>
      <c r="X212" s="25"/>
      <c r="Y212" s="25"/>
      <c r="Z212" s="25"/>
    </row>
    <row r="213" spans="1:26" ht="52.5" customHeight="1" x14ac:dyDescent="0.25">
      <c r="A213" s="25" t="str">
        <f ca="1">IFERROR(__xludf.DUMMYFUNCTION("""COMPUTED_VALUE"""),"Segur211")</f>
        <v>Segur211</v>
      </c>
      <c r="B213" s="25" t="str">
        <f ca="1">IFERROR(__xludf.DUMMYFUNCTION("""COMPUTED_VALUE"""),"Evento primera piedra Colegio Procables Fontibón")</f>
        <v>Evento primera piedra Colegio Procables Fontibón</v>
      </c>
      <c r="C213" s="55">
        <f ca="1">IFERROR(__xludf.DUMMYFUNCTION("""COMPUTED_VALUE"""),45003)</f>
        <v>45003</v>
      </c>
      <c r="D213" s="25" t="str">
        <f ca="1">IFERROR(__xludf.DUMMYFUNCTION("""COMPUTED_VALUE"""),"Seguridad")</f>
        <v>Seguridad</v>
      </c>
      <c r="E213" s="25" t="str">
        <f ca="1">IFERROR(__xludf.DUMMYFUNCTION("""COMPUTED_VALUE"""),"Secretaría Distrital de Seguridad, Convivencia y Justicia")</f>
        <v>Secretaría Distrital de Seguridad, Convivencia y Justicia</v>
      </c>
      <c r="F213" s="25" t="str">
        <f ca="1">IFERROR(__xludf.DUMMYFUNCTION("""COMPUTED_VALUE"""),"Organizar frente de seguridad en la zona aledaña al colegio Procables, Fontibón.")</f>
        <v>Organizar frente de seguridad en la zona aledaña al colegio Procables, Fontibón.</v>
      </c>
      <c r="G213" s="25" t="str">
        <f ca="1">IFERROR(__xludf.DUMMYFUNCTION("""COMPUTED_VALUE"""),"09. Fontibón")</f>
        <v>09. Fontibón</v>
      </c>
      <c r="H213" s="55">
        <f ca="1">IFERROR(__xludf.DUMMYFUNCTION("""COMPUTED_VALUE"""),45137)</f>
        <v>45137</v>
      </c>
      <c r="I213" s="25" t="str">
        <f ca="1">IFERROR(__xludf.DUMMYFUNCTION("""COMPUTED_VALUE"""),"Secretaría Privada")</f>
        <v>Secretaría Privada</v>
      </c>
      <c r="J213" s="55" t="str">
        <f ca="1">IFERROR(__xludf.DUMMYFUNCTION("""COMPUTED_VALUE"""),"Media")</f>
        <v>Media</v>
      </c>
      <c r="K213" s="25">
        <f ca="1">IFERROR(__xludf.DUMMYFUNCTION("""COMPUTED_VALUE"""),134)</f>
        <v>134</v>
      </c>
      <c r="L213" s="55">
        <f ca="1">IFERROR(__xludf.DUMMYFUNCTION("""COMPUTED_VALUE"""),45077)</f>
        <v>45077</v>
      </c>
      <c r="M213" s="25" t="str">
        <f ca="1">IFERROR(__xludf.DUMMYFUNCTION("""COMPUTED_VALUE"""),"La Conformación de los Frentes de Seguridad Local se encuentra a cargo de la MEBOG, por lo cual desde la Dirección de Prevención no se puede garantizar su creación. No obstante, se realizó una articulación a nivel local, para que el personal de la MEBOG y"&amp;" la Secretaría pudieran trabajar en conjunto. No obstante,  la zona donde queda el colegio no arroja la búsqueda por internet, el punto no es una ubicación válida. El Comandante de PRECI de la localidad manifiesta que no puede dar la información exacta po"&amp;"rque la ubicación no es clara, lo mismo para el equipo territorial de SDSCJ, por lo cual se solicita el favor de especificar el sector exacto de la solicitud.
PRECI de la localidad informa que  en el sector no hay FSL, sino los más cercanos están en la zo"&amp;"na del frente, barrio La Felicidad")</f>
        <v>La Conformación de los Frentes de Seguridad Local se encuentra a cargo de la MEBOG, por lo cual desde la Dirección de Prevención no se puede garantizar su creación. No obstante, se realizó una articulación a nivel local, para que el personal de la MEBOG y la Secretaría pudieran trabajar en conjunto. No obstante,  la zona donde queda el colegio no arroja la búsqueda por internet, el punto no es una ubicación válida. El Comandante de PRECI de la localidad manifiesta que no puede dar la información exacta porque la ubicación no es clara, lo mismo para el equipo territorial de SDSCJ, por lo cual se solicita el favor de especificar el sector exacto de la solicitud.
PRECI de la localidad informa que  en el sector no hay FSL, sino los más cercanos están en la zona del frente, barrio La Felicidad</v>
      </c>
      <c r="N213" s="25"/>
      <c r="O213" s="25" t="str">
        <f t="shared" ca="1" si="0"/>
        <v>Secretaría Distrital de Seguridad, Convivencia y Justicia</v>
      </c>
      <c r="P213" s="25" t="str">
        <f t="shared" ca="1" si="1"/>
        <v/>
      </c>
      <c r="Q213" s="25" t="str">
        <f ca="1">IFERROR(__xludf.DUMMYFUNCTION("""COMPUTED_VALUE"""),"Mediano plazo")</f>
        <v>Mediano plazo</v>
      </c>
      <c r="R213" s="25"/>
      <c r="S213" s="55"/>
      <c r="T213" s="56"/>
      <c r="U213" s="25"/>
      <c r="V213" s="25"/>
      <c r="W213" s="25"/>
      <c r="X213" s="25"/>
      <c r="Y213" s="25"/>
      <c r="Z213" s="25"/>
    </row>
    <row r="214" spans="1:26" ht="52.5" customHeight="1" x14ac:dyDescent="0.25">
      <c r="A214" s="25" t="str">
        <f ca="1">IFERROR(__xludf.DUMMYFUNCTION("""COMPUTED_VALUE"""),"Segur212")</f>
        <v>Segur212</v>
      </c>
      <c r="B214" s="25" t="str">
        <f ca="1">IFERROR(__xludf.DUMMYFUNCTION("""COMPUTED_VALUE"""),"bici recorrido ciudadela educativa y del cuidado")</f>
        <v>bici recorrido ciudadela educativa y del cuidado</v>
      </c>
      <c r="C214" s="55">
        <f ca="1">IFERROR(__xludf.DUMMYFUNCTION("""COMPUTED_VALUE"""),45011)</f>
        <v>45011</v>
      </c>
      <c r="D214" s="25" t="str">
        <f ca="1">IFERROR(__xludf.DUMMYFUNCTION("""COMPUTED_VALUE"""),"Seguridad")</f>
        <v>Seguridad</v>
      </c>
      <c r="E214" s="25" t="str">
        <f ca="1">IFERROR(__xludf.DUMMYFUNCTION("""COMPUTED_VALUE"""),"Secretaría Distrital de Seguridad, Convivencia y Justicia")</f>
        <v>Secretaría Distrital de Seguridad, Convivencia y Justicia</v>
      </c>
      <c r="F214" s="25" t="str">
        <f ca="1">IFERROR(__xludf.DUMMYFUNCTION("""COMPUTED_VALUE"""),"Revisar el funcionamiento y operatividad del CAI 80 en Engativá.")</f>
        <v>Revisar el funcionamiento y operatividad del CAI 80 en Engativá.</v>
      </c>
      <c r="G214" s="25" t="str">
        <f ca="1">IFERROR(__xludf.DUMMYFUNCTION("""COMPUTED_VALUE"""),"10. Engativá")</f>
        <v>10. Engativá</v>
      </c>
      <c r="H214" s="55">
        <f ca="1">IFERROR(__xludf.DUMMYFUNCTION("""COMPUTED_VALUE"""),45076)</f>
        <v>45076</v>
      </c>
      <c r="I214" s="25" t="str">
        <f ca="1">IFERROR(__xludf.DUMMYFUNCTION("""COMPUTED_VALUE"""),"Secretaría Privada")</f>
        <v>Secretaría Privada</v>
      </c>
      <c r="J214" s="55" t="str">
        <f ca="1">IFERROR(__xludf.DUMMYFUNCTION("""COMPUTED_VALUE"""),"Alta")</f>
        <v>Alta</v>
      </c>
      <c r="K214" s="25">
        <f ca="1">IFERROR(__xludf.DUMMYFUNCTION("""COMPUTED_VALUE"""),65)</f>
        <v>65</v>
      </c>
      <c r="L214" s="55">
        <f ca="1">IFERROR(__xludf.DUMMYFUNCTION("""COMPUTED_VALUE"""),45077)</f>
        <v>45077</v>
      </c>
      <c r="M214" s="25" t="str">
        <f ca="1">IFERROR(__xludf.DUMMYFUNCTION("""COMPUTED_VALUE"""),"Se envió correo electrónico el 26 de abril al Mayor Alexander Garnica Silva, Comandante de la Estación de Policía de Engativá, solicitando revisar el funcionamiento y operatividad del CAI 80 en Engativá. Por el momento no se ha recibido respuesta.
Se env"&amp;"ían correos electrónicos los días 8 de mayo 2023 y 19 de mayo de 2023,  al  Mayor Alexander Garnica Silva, Comandante de la Estación de Policía de Engativá, solicitando respuesta al requerimiento para que se revise el funcionamiento y operatividad del CAI"&amp;" 80 en Engativá. Por el momento no se ha recibido respuesta.
")</f>
        <v xml:space="preserve">Se envió correo electrónico el 26 de abril al Mayor Alexander Garnica Silva, Comandante de la Estación de Policía de Engativá, solicitando revisar el funcionamiento y operatividad del CAI 80 en Engativá. Por el momento no se ha recibido respuesta.
Se envían correos electrónicos los días 8 de mayo 2023 y 19 de mayo de 2023,  al  Mayor Alexander Garnica Silva, Comandante de la Estación de Policía de Engativá, solicitando respuesta al requerimiento para que se revise el funcionamiento y operatividad del CAI 80 en Engativá. Por el momento no se ha recibido respuesta.
</v>
      </c>
      <c r="N214" s="25"/>
      <c r="O214" s="25" t="str">
        <f t="shared" ca="1" si="0"/>
        <v>Secretaría Distrital de Seguridad, Convivencia y Justicia</v>
      </c>
      <c r="P214" s="25" t="str">
        <f t="shared" ca="1" si="1"/>
        <v/>
      </c>
      <c r="Q214" s="25" t="str">
        <f ca="1">IFERROR(__xludf.DUMMYFUNCTION("""COMPUTED_VALUE"""),"Mediano plazo")</f>
        <v>Mediano plazo</v>
      </c>
      <c r="R214" s="25"/>
      <c r="S214" s="55"/>
      <c r="T214" s="56"/>
      <c r="U214" s="25"/>
      <c r="V214" s="25"/>
      <c r="W214" s="25"/>
      <c r="X214" s="25"/>
      <c r="Y214" s="25"/>
      <c r="Z214" s="25"/>
    </row>
    <row r="215" spans="1:26" ht="52.5" customHeight="1" x14ac:dyDescent="0.25">
      <c r="A215" s="25" t="str">
        <f ca="1">IFERROR(__xludf.DUMMYFUNCTION("""COMPUTED_VALUE"""),"Segur213")</f>
        <v>Segur213</v>
      </c>
      <c r="B215" s="25" t="str">
        <f ca="1">IFERROR(__xludf.DUMMYFUNCTION("""COMPUTED_VALUE"""),"Recorrido San Cristóbal")</f>
        <v>Recorrido San Cristóbal</v>
      </c>
      <c r="C215" s="55">
        <f ca="1">IFERROR(__xludf.DUMMYFUNCTION("""COMPUTED_VALUE"""),45026)</f>
        <v>45026</v>
      </c>
      <c r="D215" s="25" t="str">
        <f ca="1">IFERROR(__xludf.DUMMYFUNCTION("""COMPUTED_VALUE"""),"Seguridad")</f>
        <v>Seguridad</v>
      </c>
      <c r="E215" s="25" t="str">
        <f ca="1">IFERROR(__xludf.DUMMYFUNCTION("""COMPUTED_VALUE"""),"Secretaría Distrital de Seguridad, Convivencia y Justicia")</f>
        <v>Secretaría Distrital de Seguridad, Convivencia y Justicia</v>
      </c>
      <c r="F215" s="25" t="str">
        <f ca="1">IFERROR(__xludf.DUMMYFUNCTION("""COMPUTED_VALUE"""),"Identificar y atender la problemática de extorsión presente en el barrio Santa Rosa.")</f>
        <v>Identificar y atender la problemática de extorsión presente en el barrio Santa Rosa.</v>
      </c>
      <c r="G215" s="25" t="str">
        <f ca="1">IFERROR(__xludf.DUMMYFUNCTION("""COMPUTED_VALUE"""),"04. San Cristóbal")</f>
        <v>04. San Cristóbal</v>
      </c>
      <c r="H215" s="55">
        <f ca="1">IFERROR(__xludf.DUMMYFUNCTION("""COMPUTED_VALUE"""),45107)</f>
        <v>45107</v>
      </c>
      <c r="I215" s="25" t="str">
        <f ca="1">IFERROR(__xludf.DUMMYFUNCTION("""COMPUTED_VALUE"""),"Secretaría Privada")</f>
        <v>Secretaría Privada</v>
      </c>
      <c r="J215" s="55" t="str">
        <f ca="1">IFERROR(__xludf.DUMMYFUNCTION("""COMPUTED_VALUE"""),"Alta")</f>
        <v>Alta</v>
      </c>
      <c r="K215" s="25">
        <f ca="1">IFERROR(__xludf.DUMMYFUNCTION("""COMPUTED_VALUE"""),81)</f>
        <v>81</v>
      </c>
      <c r="L215" s="55">
        <f ca="1">IFERROR(__xludf.DUMMYFUNCTION("""COMPUTED_VALUE"""),45077)</f>
        <v>45077</v>
      </c>
      <c r="M215" s="25" t="str">
        <f ca="1">IFERROR(__xludf.DUMMYFUNCTION("""COMPUTED_VALUE"""),"Durante el segundo trimestre se hará un ejercicio de diálogo con el equipo territorial y con Policía Judicial, para revisar la veracidad de la información y generar las acciones de articulación que sean necesarias desde los equipos de la Dirección de Segu"&amp;"ridad. Es importante señalar que se construirá un cronograma de prevención con Gaula de la Policía y Militar, en donde se incluirá este sector y los otros priorizados .
De acuerdo al reporte anterior se continuan adelantando las gestiones pertinentes que"&amp;" permitan concertar un cronograma de intervención de impacto en el sector junto con Policía, sus especialidades, entidades del orden distrital y nacional dadas las condiciones de seguridad en la zona, el recurso humano y logístico requerido.  Dicha activi"&amp;"dad será completada al finalizar al II trimestre del año.")</f>
        <v>Durante el segundo trimestre se hará un ejercicio de diálogo con el equipo territorial y con Policía Judicial, para revisar la veracidad de la información y generar las acciones de articulación que sean necesarias desde los equipos de la Dirección de Seguridad. Es importante señalar que se construirá un cronograma de prevención con Gaula de la Policía y Militar, en donde se incluirá este sector y los otros priorizados .
De acuerdo al reporte anterior se continuan adelantando las gestiones pertinentes que permitan concertar un cronograma de intervención de impacto en el sector junto con Policía, sus especialidades, entidades del orden distrital y nacional dadas las condiciones de seguridad en la zona, el recurso humano y logístico requerido.  Dicha actividad será completada al finalizar al II trimestre del año.</v>
      </c>
      <c r="N215" s="25"/>
      <c r="O215" s="25" t="str">
        <f t="shared" ca="1" si="0"/>
        <v>Secretaría Distrital de Seguridad, Convivencia y Justicia</v>
      </c>
      <c r="P215" s="25" t="str">
        <f t="shared" ca="1" si="1"/>
        <v/>
      </c>
      <c r="Q215" s="25" t="str">
        <f ca="1">IFERROR(__xludf.DUMMYFUNCTION("""COMPUTED_VALUE"""),"Mediano plazo")</f>
        <v>Mediano plazo</v>
      </c>
      <c r="R215" s="25"/>
      <c r="S215" s="55"/>
      <c r="T215" s="56"/>
      <c r="U215" s="25"/>
      <c r="V215" s="25"/>
      <c r="W215" s="25"/>
      <c r="X215" s="25"/>
      <c r="Y215" s="25"/>
      <c r="Z215" s="25"/>
    </row>
    <row r="216" spans="1:26" ht="52.5" customHeight="1" x14ac:dyDescent="0.25">
      <c r="A216" s="25" t="str">
        <f ca="1">IFERROR(__xludf.DUMMYFUNCTION("""COMPUTED_VALUE"""),"Segur214")</f>
        <v>Segur214</v>
      </c>
      <c r="B216" s="25" t="str">
        <f ca="1">IFERROR(__xludf.DUMMYFUNCTION("""COMPUTED_VALUE"""),"Recorrido Usaquén")</f>
        <v>Recorrido Usaquén</v>
      </c>
      <c r="C216" s="55">
        <f ca="1">IFERROR(__xludf.DUMMYFUNCTION("""COMPUTED_VALUE"""),45034)</f>
        <v>45034</v>
      </c>
      <c r="D216" s="25" t="str">
        <f ca="1">IFERROR(__xludf.DUMMYFUNCTION("""COMPUTED_VALUE"""),"Seguridad")</f>
        <v>Seguridad</v>
      </c>
      <c r="E216" s="25" t="str">
        <f ca="1">IFERROR(__xludf.DUMMYFUNCTION("""COMPUTED_VALUE"""),"Secretaría Distrital de Seguridad, Convivencia y Justicia")</f>
        <v>Secretaría Distrital de Seguridad, Convivencia y Justicia</v>
      </c>
      <c r="F216" s="25" t="str">
        <f ca="1">IFERROR(__xludf.DUMMYFUNCTION("""COMPUTED_VALUE"""),"Fortalecer las acciones de seguridad y convivencia en el sector de San Cristóbal Norte y la Mariposa.")</f>
        <v>Fortalecer las acciones de seguridad y convivencia en el sector de San Cristóbal Norte y la Mariposa.</v>
      </c>
      <c r="G216" s="25" t="str">
        <f ca="1">IFERROR(__xludf.DUMMYFUNCTION("""COMPUTED_VALUE"""),"01. Usaquén")</f>
        <v>01. Usaquén</v>
      </c>
      <c r="H216" s="55">
        <f ca="1">IFERROR(__xludf.DUMMYFUNCTION("""COMPUTED_VALUE"""),45107)</f>
        <v>45107</v>
      </c>
      <c r="I216" s="25" t="str">
        <f ca="1">IFERROR(__xludf.DUMMYFUNCTION("""COMPUTED_VALUE"""),"Secretaría Privada")</f>
        <v>Secretaría Privada</v>
      </c>
      <c r="J216" s="55" t="str">
        <f ca="1">IFERROR(__xludf.DUMMYFUNCTION("""COMPUTED_VALUE"""),"Alta")</f>
        <v>Alta</v>
      </c>
      <c r="K216" s="25">
        <f ca="1">IFERROR(__xludf.DUMMYFUNCTION("""COMPUTED_VALUE"""),73)</f>
        <v>73</v>
      </c>
      <c r="L216" s="55">
        <f ca="1">IFERROR(__xludf.DUMMYFUNCTION("""COMPUTED_VALUE"""),45077)</f>
        <v>45077</v>
      </c>
      <c r="M216" s="25" t="str">
        <f ca="1">IFERROR(__xludf.DUMMYFUNCTION("""COMPUTED_VALUE"""),"En el  sector de San Cristóbal norte y la Mariposa (cerro norte, Santa Cecilia, Codito y Saratama) el día 7-05-2023 se realiza IVC y Plan despertar logrando: 
1. Se visitan tres establecimientos
Estacion club de tejo
Carrera 8f #161-33
1020835815
Beer c"&amp;"orporation
Calle 162 #7g- 66
52889073
Oxxo 
Calle 189# 9-67
2. Se realiza cierre de dos establecimientos por falta de documentación según ley 1801 articulo 87.
3. Comparendo por comportamientos contrarios a la convivencia: 2
4. Se desactiva una riña
"&amp;"5. Se sensibilizan 53 ciudadanos
6. Se registran 115 personas por parte de Mebog 
Por otra parte, en el marco de la implementación de las jornadas de apoyo al desarrollo (JAD) en las cuales el Ejército Nacional genera espacios donde de manera articulada"&amp;" con las entidades gubernamentales y no gubernamentales, se unen esfuerzos para contribuir en la mejoría de calidad de vida de las comunidades, y generar cambios positivos en la convivencia ciudadana y familiar se ha programado una jornada para el barrio "&amp;"Santa Cecilia baja de la UPZ San Cristóbal Norte el día 19 de mayo en el parque de la Mariposa en horario de 7am a 5pm.
Fecha: 17-05-2023
Sector Catastral: Barrancas
UPZ: San Cristóbal Norte
Dirección: calle 159A bis 98
Entidades participantes: PONAL, SD"&amp;"SCJ.
Actividades realizadas:
1. Realizar jornadas de información, educación y comunicación para la prevención de VBG y rutas de atención a mujeres
2. Desarrollo de jornada de promoción de la denuncia mediante socialización de informes y orientación sobr"&amp;"e oferta institucional en los espacios públicos.
3. Dinamizar actividades de registro, control y disuasión en lugares afectados por el hurto a personas, incluyendo el hurto a celulares)
4. Dinamizar actividades de registro y control en tramos priorizados "&amp;"por incidencia al hurto a bicicletas.
Resultados: 
1. Se sensibiliza a 12 personas con tips de la prevención de VBG y rutas de atención a mujeres
2.  Se sensibilizan a 11 personas con tips de oferta institucional y tips de seguridad
3. Ponal registra a 1"&amp;"4 personas
4. Ponal registra a 16 personas ")</f>
        <v xml:space="preserve">En el  sector de San Cristóbal norte y la Mariposa (cerro norte, Santa Cecilia, Codito y Saratama) el día 7-05-2023 se realiza IVC y Plan despertar logrando: 
1. Se visitan tres establecimientos
Estacion club de tejo
Carrera 8f #161-33
1020835815
Beer corporation
Calle 162 #7g- 66
52889073
Oxxo 
Calle 189# 9-67
2. Se realiza cierre de dos establecimientos por falta de documentación según ley 1801 articulo 87.
3. Comparendo por comportamientos contrarios a la convivencia: 2
4. Se desactiva una riña
5. Se sensibilizan 53 ciudadanos
6. Se registran 115 personas por parte de Mebog 
Por otra parte, en el marco de la implementación de las jornadas de apoyo al desarrollo (JAD) en las cuales el Ejército Nacional genera espacios donde de manera articulada con las entidades gubernamentales y no gubernamentales, se unen esfuerzos para contribuir en la mejoría de calidad de vida de las comunidades, y generar cambios positivos en la convivencia ciudadana y familiar se ha programado una jornada para el barrio Santa Cecilia baja de la UPZ San Cristóbal Norte el día 19 de mayo en el parque de la Mariposa en horario de 7am a 5pm.
Fecha: 17-05-2023
Sector Catastral: Barrancas
UPZ: San Cristóbal Norte
Dirección: calle 159A bis 98
Entidades participantes: PONAL, SDSCJ.
Actividades realizadas:
1. Realizar jornadas de información, educación y comunicación para la prevención de VBG y rutas de atención a mujeres
2. Desarrollo de jornada de promoción de la denuncia mediante socialización de informes y orientación sobre oferta institucional en los espacios públicos.
3. Dinamizar actividades de registro, control y disuasión en lugares afectados por el hurto a personas, incluyendo el hurto a celulares)
4. Dinamizar actividades de registro y control en tramos priorizados por incidencia al hurto a bicicletas.
Resultados: 
1. Se sensibiliza a 12 personas con tips de la prevención de VBG y rutas de atención a mujeres
2.  Se sensibilizan a 11 personas con tips de oferta institucional y tips de seguridad
3. Ponal registra a 14 personas
4. Ponal registra a 16 personas </v>
      </c>
      <c r="N216" s="25"/>
      <c r="O216" s="25" t="str">
        <f t="shared" ca="1" si="0"/>
        <v>Secretaría Distrital de Seguridad, Convivencia y Justicia</v>
      </c>
      <c r="P216" s="25" t="str">
        <f t="shared" ca="1" si="1"/>
        <v/>
      </c>
      <c r="Q216" s="25" t="str">
        <f ca="1">IFERROR(__xludf.DUMMYFUNCTION("""COMPUTED_VALUE"""),"Mediano plazo")</f>
        <v>Mediano plazo</v>
      </c>
      <c r="R216" s="25"/>
      <c r="S216" s="55"/>
      <c r="T216" s="56"/>
      <c r="U216" s="25"/>
      <c r="V216" s="25"/>
      <c r="W216" s="25"/>
      <c r="X216" s="25"/>
      <c r="Y216" s="25"/>
      <c r="Z216" s="25"/>
    </row>
    <row r="217" spans="1:26" ht="52.5" customHeight="1" x14ac:dyDescent="0.25">
      <c r="A217" s="25" t="str">
        <f ca="1">IFERROR(__xludf.DUMMYFUNCTION("""COMPUTED_VALUE"""),"Segur215")</f>
        <v>Segur215</v>
      </c>
      <c r="B217" s="25" t="str">
        <f ca="1">IFERROR(__xludf.DUMMYFUNCTION("""COMPUTED_VALUE"""),"Consejo Local de Gobierno de Bosa")</f>
        <v>Consejo Local de Gobierno de Bosa</v>
      </c>
      <c r="C217" s="55">
        <f ca="1">IFERROR(__xludf.DUMMYFUNCTION("""COMPUTED_VALUE"""),44602)</f>
        <v>44602</v>
      </c>
      <c r="D217" s="25" t="str">
        <f ca="1">IFERROR(__xludf.DUMMYFUNCTION("""COMPUTED_VALUE"""),"Seguridad")</f>
        <v>Seguridad</v>
      </c>
      <c r="E217" s="25" t="str">
        <f ca="1">IFERROR(__xludf.DUMMYFUNCTION("""COMPUTED_VALUE"""),"Secretaría Distrital de Seguridad, Convivencia y Justicia")</f>
        <v>Secretaría Distrital de Seguridad, Convivencia y Justicia</v>
      </c>
      <c r="F217" s="25" t="str">
        <f ca="1">IFERROR(__xludf.DUMMYFUNCTION("""COMPUTED_VALUE"""),"Abrir la Casa de la Justicia en Campo Verde")</f>
        <v>Abrir la Casa de la Justicia en Campo Verde</v>
      </c>
      <c r="G217" s="25" t="str">
        <f ca="1">IFERROR(__xludf.DUMMYFUNCTION("""COMPUTED_VALUE"""),"07. Bosa")</f>
        <v>07. Bosa</v>
      </c>
      <c r="H217" s="55">
        <f ca="1">IFERROR(__xludf.DUMMYFUNCTION("""COMPUTED_VALUE"""),44776)</f>
        <v>44776</v>
      </c>
      <c r="I217" s="25"/>
      <c r="J217" s="55" t="str">
        <f ca="1">IFERROR(__xludf.DUMMYFUNCTION("""COMPUTED_VALUE"""),"Media")</f>
        <v>Media</v>
      </c>
      <c r="K217" s="25">
        <f ca="1">IFERROR(__xludf.DUMMYFUNCTION("""COMPUTED_VALUE"""),174)</f>
        <v>174</v>
      </c>
      <c r="L217" s="55">
        <f ca="1">IFERROR(__xludf.DUMMYFUNCTION("""COMPUTED_VALUE"""),44776)</f>
        <v>44776</v>
      </c>
      <c r="M217" s="25" t="str">
        <f ca="1">IFERROR(__xludf.DUMMYFUNCTION("""COMPUTED_VALUE"""),"La inauguración se realizó el 25 de julio de 2022")</f>
        <v>La inauguración se realizó el 25 de julio de 2022</v>
      </c>
      <c r="N217" s="55">
        <f ca="1">IFERROR(__xludf.DUMMYFUNCTION("""COMPUTED_VALUE"""),44926)</f>
        <v>44926</v>
      </c>
      <c r="O217" s="25" t="str">
        <f t="shared" ca="1" si="0"/>
        <v>Secretaría Distrital de Seguridad, Convivencia y Justicia</v>
      </c>
      <c r="P217" s="25" t="str">
        <f t="shared" si="1"/>
        <v/>
      </c>
      <c r="Q217" s="25" t="str">
        <f ca="1">IFERROR(__xludf.DUMMYFUNCTION("""COMPUTED_VALUE"""),"Mediano plazo")</f>
        <v>Mediano plazo</v>
      </c>
      <c r="R217" s="25"/>
      <c r="S217" s="55"/>
      <c r="T217" s="56"/>
      <c r="U217" s="25"/>
      <c r="V217" s="25"/>
      <c r="W217" s="25"/>
      <c r="X217" s="25"/>
      <c r="Y217" s="25"/>
      <c r="Z217" s="25"/>
    </row>
    <row r="218" spans="1:26" ht="52.5" customHeight="1" x14ac:dyDescent="0.25">
      <c r="A218" s="25" t="str">
        <f ca="1">IFERROR(__xludf.DUMMYFUNCTION("""COMPUTED_VALUE"""),"Segur216")</f>
        <v>Segur216</v>
      </c>
      <c r="B218" s="25" t="str">
        <f ca="1">IFERROR(__xludf.DUMMYFUNCTION("""COMPUTED_VALUE"""),"Consejo Local de Gobierno de Bosa")</f>
        <v>Consejo Local de Gobierno de Bosa</v>
      </c>
      <c r="C218" s="55">
        <f ca="1">IFERROR(__xludf.DUMMYFUNCTION("""COMPUTED_VALUE"""),44602)</f>
        <v>44602</v>
      </c>
      <c r="D218" s="25" t="str">
        <f ca="1">IFERROR(__xludf.DUMMYFUNCTION("""COMPUTED_VALUE"""),"Seguridad")</f>
        <v>Seguridad</v>
      </c>
      <c r="E218" s="25" t="str">
        <f ca="1">IFERROR(__xludf.DUMMYFUNCTION("""COMPUTED_VALUE"""),"Secretaría Distrital de Seguridad, Convivencia y Justicia")</f>
        <v>Secretaría Distrital de Seguridad, Convivencia y Justicia</v>
      </c>
      <c r="F218" s="25" t="str">
        <f ca="1">IFERROR(__xludf.DUMMYFUNCTION("""COMPUTED_VALUE"""),"Mejorar los índices de inseguridad en el Barrio Laureles y Lograr la conformación de 2 frentes de seguridad en el barrio los Laureles (Frente del Comercio y Frente de La Iglesia)")</f>
        <v>Mejorar los índices de inseguridad en el Barrio Laureles y Lograr la conformación de 2 frentes de seguridad en el barrio los Laureles (Frente del Comercio y Frente de La Iglesia)</v>
      </c>
      <c r="G218" s="25" t="str">
        <f ca="1">IFERROR(__xludf.DUMMYFUNCTION("""COMPUTED_VALUE"""),"07. Bosa")</f>
        <v>07. Bosa</v>
      </c>
      <c r="H218" s="55">
        <f ca="1">IFERROR(__xludf.DUMMYFUNCTION("""COMPUTED_VALUE"""),44681)</f>
        <v>44681</v>
      </c>
      <c r="I218" s="25"/>
      <c r="J218" s="55" t="str">
        <f ca="1">IFERROR(__xludf.DUMMYFUNCTION("""COMPUTED_VALUE"""),"Media")</f>
        <v>Media</v>
      </c>
      <c r="K218" s="25">
        <f ca="1">IFERROR(__xludf.DUMMYFUNCTION("""COMPUTED_VALUE"""),79)</f>
        <v>79</v>
      </c>
      <c r="L218" s="55">
        <f ca="1">IFERROR(__xludf.DUMMYFUNCTION("""COMPUTED_VALUE"""),44705)</f>
        <v>44705</v>
      </c>
      <c r="M218" s="25" t="str">
        <f ca="1">IFERROR(__xludf.DUMMYFUNCTION("""COMPUTED_VALUE"""),"Respecto a los índices delictivos, se evidenció que el delito de mayor concentración es el hurto de bicicletas. Adicionalmente, en las reuniones y mesas de trabajo sostenidas con la comunidad de los frentes de seguridad, se presentaron alertas sobre casos"&amp;" de hurto a biciusuarios. Por lo anterior, se realizaron las siguientes actividades de contención: 
 1. 5 de abril a las 6:00p.m: Se lleva a cabo una jornada de registro y control a personas en el Parque La Ele. Se registran 28 personas y se imponen dos"&amp;" comparendos por porte de arma cortopunzante y por porte de SPA. 
 2. 3 de mayo a las 6:00p.m: Se lleva a cabo una jornada de registro y control a ciclistas en el Parque La Ele. Se registran 28 personas y se impone un comparendo por porte de arma cortopun"&amp;"zante. 
 Adicionalmente, respecto a los frentes de seguridad y las redes del cuidado del barrio Laureles, se reporta lo siguiente: 
 1. Laureles 1 y 2:
 - Sector Carlos Albán y parque La Ele: cuenta con Frente de Seguridad Local
 - Sector Laureles, pa"&amp;"rque Alameda “Líder"" - Frente del Comercio: cuenta con Frente de Seguridad Local con código 29332 y se conformó red de cuidado con código SDSCJ202207-1. 
 - Sector parque Laureles 2: cuenta con Frente de Seguridad.
 - Sector parque Naranjos El Retazo: cu"&amp;"enta con Frente de seguridad, del cual se llevó a cabo actividad de fortalecimiento el día 3 de marzo de 2022. Se conformó red de cuidado con código SCJ202207-1 para la Parroquia Santa María de Caná (Frente de la Igleisa) 
 2. Laureles 3: 
 - Sector Vil"&amp;"la Javier: cuenta con cuatro 4 redes de cuidado.")</f>
        <v>Respecto a los índices delictivos, se evidenció que el delito de mayor concentración es el hurto de bicicletas. Adicionalmente, en las reuniones y mesas de trabajo sostenidas con la comunidad de los frentes de seguridad, se presentaron alertas sobre casos de hurto a biciusuarios. Por lo anterior, se realizaron las siguientes actividades de contención: 
 1. 5 de abril a las 6:00p.m: Se lleva a cabo una jornada de registro y control a personas en el Parque La Ele. Se registran 28 personas y se imponen dos comparendos por porte de arma cortopunzante y por porte de SPA. 
 2. 3 de mayo a las 6:00p.m: Se lleva a cabo una jornada de registro y control a ciclistas en el Parque La Ele. Se registran 28 personas y se impone un comparendo por porte de arma cortopunzante. 
 Adicionalmente, respecto a los frentes de seguridad y las redes del cuidado del barrio Laureles, se reporta lo siguiente: 
 1. Laureles 1 y 2:
 - Sector Carlos Albán y parque La Ele: cuenta con Frente de Seguridad Local
 - Sector Laureles, parque Alameda “Líder" - Frente del Comercio: cuenta con Frente de Seguridad Local con código 29332 y se conformó red de cuidado con código SDSCJ202207-1. 
 - Sector parque Laureles 2: cuenta con Frente de Seguridad.
 - Sector parque Naranjos El Retazo: cuenta con Frente de seguridad, del cual se llevó a cabo actividad de fortalecimiento el día 3 de marzo de 2022. Se conformó red de cuidado con código SCJ202207-1 para la Parroquia Santa María de Caná (Frente de la Igleisa) 
 2. Laureles 3: 
 - Sector Villa Javier: cuenta con cuatro 4 redes de cuidado.</v>
      </c>
      <c r="N218" s="55">
        <f ca="1">IFERROR(__xludf.DUMMYFUNCTION("""COMPUTED_VALUE"""),44926)</f>
        <v>44926</v>
      </c>
      <c r="O218" s="25" t="str">
        <f t="shared" ca="1" si="0"/>
        <v>Secretaría Distrital de Seguridad, Convivencia y Justicia</v>
      </c>
      <c r="P218" s="25" t="str">
        <f t="shared" si="1"/>
        <v/>
      </c>
      <c r="Q218" s="25" t="str">
        <f ca="1">IFERROR(__xludf.DUMMYFUNCTION("""COMPUTED_VALUE"""),"Mediano plazo")</f>
        <v>Mediano plazo</v>
      </c>
      <c r="R218" s="25"/>
      <c r="S218" s="55"/>
      <c r="T218" s="56"/>
      <c r="U218" s="25"/>
      <c r="V218" s="25"/>
      <c r="W218" s="25"/>
      <c r="X218" s="25"/>
      <c r="Y218" s="25"/>
      <c r="Z218" s="25"/>
    </row>
    <row r="219" spans="1:26" ht="52.5" customHeight="1" x14ac:dyDescent="0.25">
      <c r="A219" s="25" t="str">
        <f ca="1">IFERROR(__xludf.DUMMYFUNCTION("""COMPUTED_VALUE"""),"Segur217")</f>
        <v>Segur217</v>
      </c>
      <c r="B219" s="25" t="str">
        <f ca="1">IFERROR(__xludf.DUMMYFUNCTION("""COMPUTED_VALUE"""),"Consejo Local de Gobierno de Bosa")</f>
        <v>Consejo Local de Gobierno de Bosa</v>
      </c>
      <c r="C219" s="55">
        <f ca="1">IFERROR(__xludf.DUMMYFUNCTION("""COMPUTED_VALUE"""),44602)</f>
        <v>44602</v>
      </c>
      <c r="D219" s="25" t="str">
        <f ca="1">IFERROR(__xludf.DUMMYFUNCTION("""COMPUTED_VALUE"""),"Seguridad")</f>
        <v>Seguridad</v>
      </c>
      <c r="E219" s="25" t="str">
        <f ca="1">IFERROR(__xludf.DUMMYFUNCTION("""COMPUTED_VALUE"""),"Secretaría Distrital de Seguridad, Convivencia y Justicia")</f>
        <v>Secretaría Distrital de Seguridad, Convivencia y Justicia</v>
      </c>
      <c r="F219" s="25" t="str">
        <f ca="1">IFERROR(__xludf.DUMMYFUNCTION("""COMPUTED_VALUE"""),"Revisar el caso del puente peatonal del barrio Getsemaní vía San Bernardino, lo están vandalizando.")</f>
        <v>Revisar el caso del puente peatonal del barrio Getsemaní vía San Bernardino, lo están vandalizando.</v>
      </c>
      <c r="G219" s="25" t="str">
        <f ca="1">IFERROR(__xludf.DUMMYFUNCTION("""COMPUTED_VALUE"""),"07. Bosa")</f>
        <v>07. Bosa</v>
      </c>
      <c r="H219" s="55">
        <f ca="1">IFERROR(__xludf.DUMMYFUNCTION("""COMPUTED_VALUE"""),44705)</f>
        <v>44705</v>
      </c>
      <c r="I219" s="25"/>
      <c r="J219" s="55" t="str">
        <f ca="1">IFERROR(__xludf.DUMMYFUNCTION("""COMPUTED_VALUE"""),"Media")</f>
        <v>Media</v>
      </c>
      <c r="K219" s="25">
        <f ca="1">IFERROR(__xludf.DUMMYFUNCTION("""COMPUTED_VALUE"""),103)</f>
        <v>103</v>
      </c>
      <c r="L219" s="55">
        <f ca="1">IFERROR(__xludf.DUMMYFUNCTION("""COMPUTED_VALUE"""),44705)</f>
        <v>44705</v>
      </c>
      <c r="M219" s="25" t="str">
        <f ca="1">IFERROR(__xludf.DUMMYFUNCTION("""COMPUTED_VALUE"""),"Se proyectaron acciones de prevención y control en la zona, con el objetivo de fortalecer la presencia institucional y disuadir posibles actos de vandalismo. Lo anterior se ha realizado de manera articulada con el Comandante de la Estación 7, mediante el "&amp;"aumento del servicio de vigilancia en los horarios de mayor concentración del delito (6:00a.m - 9:00a.m y 4:00p.m-10:00p.m) en el puente peatonal del Barrio Getsemaní. Con el equipo territorial, y la MEBOG, se realizaron las siguientes acciones: 
 1. 8 "&amp;"de marzo de 2022 - 6:00p.m a 9:00p.m: Se realiza una jornada de registro a personas con el objetivo de disuadir posibles acciones de vandalismo. No se presentan resultados, ni hallazgos de ningún tipo. 
 Adicionalmente, se identifica un riesgo de vandal"&amp;"ismo por parte de la población carretera, atendiendo a que los mismos vandalizan el puente para vender sus elementos en bodegas de reciclaje. Se llevaron a cabo las siguientes acciones: 
 1. 15 de abril de 2022 - 8:00a.m: Se realiza una jornada de regis"&amp;"tro a carreteros que se dirigen a San Bernardino y San Diego. No se presentan resultados, ni hallazgos de ningún tipo. 
 2. 18 de abril de 2022 - 6:00a.m: Se realiza una jornada de registro a carreteros de oficio en el Jardín. Se encuentran 7 carretas y"&amp;" se hace registro de las mismas, pero no se presentan resultados. 
 Posterior a estas acciones, en articulación con el grupo VIDA de la Estación de Policía 7, se han mantenido los registros a personas en el puente peatonal de manera sostenida.")</f>
        <v>Se proyectaron acciones de prevención y control en la zona, con el objetivo de fortalecer la presencia institucional y disuadir posibles actos de vandalismo. Lo anterior se ha realizado de manera articulada con el Comandante de la Estación 7, mediante el aumento del servicio de vigilancia en los horarios de mayor concentración del delito (6:00a.m - 9:00a.m y 4:00p.m-10:00p.m) en el puente peatonal del Barrio Getsemaní. Con el equipo territorial, y la MEBOG, se realizaron las siguientes acciones: 
 1. 8 de marzo de 2022 - 6:00p.m a 9:00p.m: Se realiza una jornada de registro a personas con el objetivo de disuadir posibles acciones de vandalismo. No se presentan resultados, ni hallazgos de ningún tipo. 
 Adicionalmente, se identifica un riesgo de vandalismo por parte de la población carretera, atendiendo a que los mismos vandalizan el puente para vender sus elementos en bodegas de reciclaje. Se llevaron a cabo las siguientes acciones: 
 1. 15 de abril de 2022 - 8:00a.m: Se realiza una jornada de registro a carreteros que se dirigen a San Bernardino y San Diego. No se presentan resultados, ni hallazgos de ningún tipo. 
 2. 18 de abril de 2022 - 6:00a.m: Se realiza una jornada de registro a carreteros de oficio en el Jardín. Se encuentran 7 carretas y se hace registro de las mismas, pero no se presentan resultados. 
 Posterior a estas acciones, en articulación con el grupo VIDA de la Estación de Policía 7, se han mantenido los registros a personas en el puente peatonal de manera sostenida.</v>
      </c>
      <c r="N219" s="55">
        <f ca="1">IFERROR(__xludf.DUMMYFUNCTION("""COMPUTED_VALUE"""),44926)</f>
        <v>44926</v>
      </c>
      <c r="O219" s="25" t="str">
        <f t="shared" ca="1" si="0"/>
        <v>Secretaría Distrital de Seguridad, Convivencia y Justicia</v>
      </c>
      <c r="P219" s="25" t="str">
        <f t="shared" si="1"/>
        <v/>
      </c>
      <c r="Q219" s="25" t="str">
        <f ca="1">IFERROR(__xludf.DUMMYFUNCTION("""COMPUTED_VALUE"""),"Mediano plazo")</f>
        <v>Mediano plazo</v>
      </c>
      <c r="R219" s="25"/>
      <c r="S219" s="55"/>
      <c r="T219" s="56"/>
      <c r="U219" s="25"/>
      <c r="V219" s="25"/>
      <c r="W219" s="25"/>
      <c r="X219" s="25"/>
      <c r="Y219" s="25"/>
      <c r="Z219" s="25"/>
    </row>
    <row r="220" spans="1:26" ht="52.5" customHeight="1" x14ac:dyDescent="0.25">
      <c r="A220" s="25" t="str">
        <f ca="1">IFERROR(__xludf.DUMMYFUNCTION("""COMPUTED_VALUE"""),"Segur218")</f>
        <v>Segur218</v>
      </c>
      <c r="B220" s="25" t="str">
        <f ca="1">IFERROR(__xludf.DUMMYFUNCTION("""COMPUTED_VALUE"""),"Consejo Local de Gobierno de Suba")</f>
        <v>Consejo Local de Gobierno de Suba</v>
      </c>
      <c r="C220" s="55">
        <f ca="1">IFERROR(__xludf.DUMMYFUNCTION("""COMPUTED_VALUE"""),44630)</f>
        <v>44630</v>
      </c>
      <c r="D220" s="25" t="str">
        <f ca="1">IFERROR(__xludf.DUMMYFUNCTION("""COMPUTED_VALUE"""),"Seguridad")</f>
        <v>Seguridad</v>
      </c>
      <c r="E220" s="25" t="str">
        <f ca="1">IFERROR(__xludf.DUMMYFUNCTION("""COMPUTED_VALUE"""),"Secretaría Distrital de Seguridad, Convivencia y Justicia")</f>
        <v>Secretaría Distrital de Seguridad, Convivencia y Justicia</v>
      </c>
      <c r="F220" s="25" t="str">
        <f ca="1">IFERROR(__xludf.DUMMYFUNCTION("""COMPUTED_VALUE"""),"Reactivar el frente de seguridad, las cámaras de seguridad en la zona de Ciudad Jardín y reforzar el patrullaje de Policía")</f>
        <v>Reactivar el frente de seguridad, las cámaras de seguridad en la zona de Ciudad Jardín y reforzar el patrullaje de Policía</v>
      </c>
      <c r="G220" s="25" t="str">
        <f ca="1">IFERROR(__xludf.DUMMYFUNCTION("""COMPUTED_VALUE"""),"11. Suba")</f>
        <v>11. Suba</v>
      </c>
      <c r="H220" s="55">
        <f ca="1">IFERROR(__xludf.DUMMYFUNCTION("""COMPUTED_VALUE"""),44705)</f>
        <v>44705</v>
      </c>
      <c r="I220" s="25"/>
      <c r="J220" s="55" t="str">
        <f ca="1">IFERROR(__xludf.DUMMYFUNCTION("""COMPUTED_VALUE"""),"Media")</f>
        <v>Media</v>
      </c>
      <c r="K220" s="25">
        <f ca="1">IFERROR(__xludf.DUMMYFUNCTION("""COMPUTED_VALUE"""),75)</f>
        <v>75</v>
      </c>
      <c r="L220" s="55">
        <f ca="1">IFERROR(__xludf.DUMMYFUNCTION("""COMPUTED_VALUE"""),44705)</f>
        <v>44705</v>
      </c>
      <c r="M220" s="25" t="str">
        <f ca="1">IFERROR(__xludf.DUMMYFUNCTION("""COMPUTED_VALUE"""),"Desde el equipo territorial de la Secretaría Distrital de Seguridad, Convivencia y Justicia, se realizaron las siguientes acciones para el cumplimiento del compromiso:
 1. 16 de marzo de 2022: Se llevó a cabo una reunión inicial con los residentes y com"&amp;"erciantes de Ciudad Jardín, con el fin de fortalecer el frente de seguridad y coordinar jornadas de imposición de Sello CUIDAdano. Se desarrolló una jornada de registro y control en el sector comercial para la mitigación de delitos contra el patrimonio y "&amp;"para reforzar el patrullaje de la MEBOG. 
 2. 24 de marzo de 2022: Se realizó una jornada de imposición del Sello CUIDAdano en los establecimientos de comercio, por solicitud de los ciudadanos y con el objetivo de realizar acciones para continuar con el"&amp;" fortalecimiento del frente de seguridad. 
 3. 26 de abril de 2022: Se realizaron recorridos en el entorno comercial para la imposición del Sello CUIDAdano en los establecimientos faltantes y para hacer una revisión de la conectividad de la zona y su en"&amp;"lace al C4. 
 4. 10 de mayo de 2022: Se realizó una visita a más de 30 establecimientos de comercio para el sostenimiento de las acciones con los miembros del frente de seguridad e identificar nuevas necesidades del sector. Adicionalmente, se realizó un"&amp;"a jornada de control, en coordinación con la Estación 11, para la contención de delitos contra el patrimonio. Se registraron 45 personas y se realizó la imposición de 3 comparendos por porte de armas blancas y se procedió a la incautación de las mismas. 
"&amp;" 
 Desde el equipo territorial de la localidad se continuará con la realización sostenida de actividades que sean solicitadas por los miembros del frente de seguridad, en aras de continuar con el fortalecimiento del mismo.")</f>
        <v>Desde el equipo territorial de la Secretaría Distrital de Seguridad, Convivencia y Justicia, se realizaron las siguientes acciones para el cumplimiento del compromiso:
 1. 16 de marzo de 2022: Se llevó a cabo una reunión inicial con los residentes y comerciantes de Ciudad Jardín, con el fin de fortalecer el frente de seguridad y coordinar jornadas de imposición de Sello CUIDAdano. Se desarrolló una jornada de registro y control en el sector comercial para la mitigación de delitos contra el patrimonio y para reforzar el patrullaje de la MEBOG. 
 2. 24 de marzo de 2022: Se realizó una jornada de imposición del Sello CUIDAdano en los establecimientos de comercio, por solicitud de los ciudadanos y con el objetivo de realizar acciones para continuar con el fortalecimiento del frente de seguridad. 
 3. 26 de abril de 2022: Se realizaron recorridos en el entorno comercial para la imposición del Sello CUIDAdano en los establecimientos faltantes y para hacer una revisión de la conectividad de la zona y su enlace al C4. 
 4. 10 de mayo de 2022: Se realizó una visita a más de 30 establecimientos de comercio para el sostenimiento de las acciones con los miembros del frente de seguridad e identificar nuevas necesidades del sector. Adicionalmente, se realizó una jornada de control, en coordinación con la Estación 11, para la contención de delitos contra el patrimonio. Se registraron 45 personas y se realizó la imposición de 3 comparendos por porte de armas blancas y se procedió a la incautación de las mismas. 
 Desde el equipo territorial de la localidad se continuará con la realización sostenida de actividades que sean solicitadas por los miembros del frente de seguridad, en aras de continuar con el fortalecimiento del mismo.</v>
      </c>
      <c r="N220" s="55">
        <f ca="1">IFERROR(__xludf.DUMMYFUNCTION("""COMPUTED_VALUE"""),44926)</f>
        <v>44926</v>
      </c>
      <c r="O220" s="25" t="str">
        <f t="shared" ca="1" si="0"/>
        <v>Secretaría Distrital de Seguridad, Convivencia y Justicia</v>
      </c>
      <c r="P220" s="25" t="str">
        <f t="shared" si="1"/>
        <v/>
      </c>
      <c r="Q220" s="25" t="str">
        <f ca="1">IFERROR(__xludf.DUMMYFUNCTION("""COMPUTED_VALUE"""),"Mediano plazo")</f>
        <v>Mediano plazo</v>
      </c>
      <c r="R220" s="25"/>
      <c r="S220" s="55"/>
      <c r="T220" s="56"/>
      <c r="U220" s="25"/>
      <c r="V220" s="25"/>
      <c r="W220" s="25"/>
      <c r="X220" s="25"/>
      <c r="Y220" s="25"/>
      <c r="Z220" s="25"/>
    </row>
    <row r="221" spans="1:26" ht="52.5" customHeight="1" x14ac:dyDescent="0.25">
      <c r="A221" s="25" t="str">
        <f ca="1">IFERROR(__xludf.DUMMYFUNCTION("""COMPUTED_VALUE"""),"Segur219")</f>
        <v>Segur219</v>
      </c>
      <c r="B221" s="25" t="str">
        <f ca="1">IFERROR(__xludf.DUMMYFUNCTION("""COMPUTED_VALUE"""),"Consejo Local de Gobierno de Suba")</f>
        <v>Consejo Local de Gobierno de Suba</v>
      </c>
      <c r="C221" s="55">
        <f ca="1">IFERROR(__xludf.DUMMYFUNCTION("""COMPUTED_VALUE"""),44630)</f>
        <v>44630</v>
      </c>
      <c r="D221" s="25" t="str">
        <f ca="1">IFERROR(__xludf.DUMMYFUNCTION("""COMPUTED_VALUE"""),"Seguridad")</f>
        <v>Seguridad</v>
      </c>
      <c r="E221" s="25" t="str">
        <f ca="1">IFERROR(__xludf.DUMMYFUNCTION("""COMPUTED_VALUE"""),"Secretaría Distrital de Seguridad, Convivencia y Justicia")</f>
        <v>Secretaría Distrital de Seguridad, Convivencia y Justicia</v>
      </c>
      <c r="F221" s="25" t="str">
        <f ca="1">IFERROR(__xludf.DUMMYFUNCTION("""COMPUTED_VALUE"""),"Apoyar y reforzar el frente de seguridad del barrio El Japón. por aumento de inseguridad en el sector")</f>
        <v>Apoyar y reforzar el frente de seguridad del barrio El Japón. por aumento de inseguridad en el sector</v>
      </c>
      <c r="G221" s="25" t="str">
        <f ca="1">IFERROR(__xludf.DUMMYFUNCTION("""COMPUTED_VALUE"""),"11. Suba")</f>
        <v>11. Suba</v>
      </c>
      <c r="H221" s="55">
        <f ca="1">IFERROR(__xludf.DUMMYFUNCTION("""COMPUTED_VALUE"""),44705)</f>
        <v>44705</v>
      </c>
      <c r="I221" s="25"/>
      <c r="J221" s="55" t="str">
        <f ca="1">IFERROR(__xludf.DUMMYFUNCTION("""COMPUTED_VALUE"""),"Media")</f>
        <v>Media</v>
      </c>
      <c r="K221" s="25">
        <f ca="1">IFERROR(__xludf.DUMMYFUNCTION("""COMPUTED_VALUE"""),75)</f>
        <v>75</v>
      </c>
      <c r="L221" s="55">
        <f ca="1">IFERROR(__xludf.DUMMYFUNCTION("""COMPUTED_VALUE"""),44705)</f>
        <v>44705</v>
      </c>
      <c r="M221" s="25" t="str">
        <f ca="1">IFERROR(__xludf.DUMMYFUNCTION("""COMPUTED_VALUE"""),"En el Barrio Japón se tiene una red de cuidado y no un frente de seguridad. Durante el mes de abril se realizaron las siguientes acciones de fortalecimiento de la red de cuidado: 
 1. 4 de abril de 2022: Se realizó un encuentro con la red de cuidado del"&amp;" Barrio Japón y la comunidad presentó alertas frente al consumo problemático de licor y los casos de riña y violencia en el espacio público. 
 2. 12 de abril de 2022: Se realizó una mesa de diálogo con los comerciantes dedicados a la venta de licor, con"&amp;" el fin de fortalecer la convivencia y la seguridad en los entornos barriales de Jaón y del Rincón. 
 3. 25 de abril de 2022: Se llevaron a cabo las coordinaciones para realizar una jornada pedagógica para la prevención de violencias en el entorno del J"&amp;"apón. 
 El equipo territorial de la localidad continúa en comunicación permanente con la red de cuidado para abordar nuevas solicitudes que se puedan presentar.")</f>
        <v>En el Barrio Japón se tiene una red de cuidado y no un frente de seguridad. Durante el mes de abril se realizaron las siguientes acciones de fortalecimiento de la red de cuidado: 
 1. 4 de abril de 2022: Se realizó un encuentro con la red de cuidado del Barrio Japón y la comunidad presentó alertas frente al consumo problemático de licor y los casos de riña y violencia en el espacio público. 
 2. 12 de abril de 2022: Se realizó una mesa de diálogo con los comerciantes dedicados a la venta de licor, con el fin de fortalecer la convivencia y la seguridad en los entornos barriales de Jaón y del Rincón. 
 3. 25 de abril de 2022: Se llevaron a cabo las coordinaciones para realizar una jornada pedagógica para la prevención de violencias en el entorno del Japón. 
 El equipo territorial de la localidad continúa en comunicación permanente con la red de cuidado para abordar nuevas solicitudes que se puedan presentar.</v>
      </c>
      <c r="N221" s="55">
        <f ca="1">IFERROR(__xludf.DUMMYFUNCTION("""COMPUTED_VALUE"""),44926)</f>
        <v>44926</v>
      </c>
      <c r="O221" s="25" t="str">
        <f t="shared" ca="1" si="0"/>
        <v>Secretaría Distrital de Seguridad, Convivencia y Justicia</v>
      </c>
      <c r="P221" s="25" t="str">
        <f t="shared" si="1"/>
        <v/>
      </c>
      <c r="Q221" s="25" t="str">
        <f ca="1">IFERROR(__xludf.DUMMYFUNCTION("""COMPUTED_VALUE"""),"Mediano plazo")</f>
        <v>Mediano plazo</v>
      </c>
      <c r="R221" s="25"/>
      <c r="S221" s="55"/>
      <c r="T221" s="56"/>
      <c r="U221" s="25"/>
      <c r="V221" s="25"/>
      <c r="W221" s="25"/>
      <c r="X221" s="25"/>
      <c r="Y221" s="25"/>
      <c r="Z221" s="25"/>
    </row>
    <row r="222" spans="1:26" ht="52.5" customHeight="1" x14ac:dyDescent="0.25">
      <c r="A222" s="25" t="str">
        <f ca="1">IFERROR(__xludf.DUMMYFUNCTION("""COMPUTED_VALUE"""),"Segur220")</f>
        <v>Segur220</v>
      </c>
      <c r="B222" s="25" t="str">
        <f ca="1">IFERROR(__xludf.DUMMYFUNCTION("""COMPUTED_VALUE"""),"Consejo Local de Gobierno de Chapinero")</f>
        <v>Consejo Local de Gobierno de Chapinero</v>
      </c>
      <c r="C222" s="55">
        <f ca="1">IFERROR(__xludf.DUMMYFUNCTION("""COMPUTED_VALUE"""),44623)</f>
        <v>44623</v>
      </c>
      <c r="D222" s="25" t="str">
        <f ca="1">IFERROR(__xludf.DUMMYFUNCTION("""COMPUTED_VALUE"""),"Seguridad")</f>
        <v>Seguridad</v>
      </c>
      <c r="E222" s="25" t="str">
        <f ca="1">IFERROR(__xludf.DUMMYFUNCTION("""COMPUTED_VALUE"""),"Secretaría Distrital de Seguridad, Convivencia y Justicia")</f>
        <v>Secretaría Distrital de Seguridad, Convivencia y Justicia</v>
      </c>
      <c r="F222" s="25" t="str">
        <f ca="1">IFERROR(__xludf.DUMMYFUNCTION("""COMPUTED_VALUE"""),"Informar cómo los jóvenes pueden aplicar en las jornadas de normalización de libreta militar que se realizará el 14 y 15 de marzo")</f>
        <v>Informar cómo los jóvenes pueden aplicar en las jornadas de normalización de libreta militar que se realizará el 14 y 15 de marzo</v>
      </c>
      <c r="G222" s="25" t="str">
        <f ca="1">IFERROR(__xludf.DUMMYFUNCTION("""COMPUTED_VALUE"""),"02. Chapinero")</f>
        <v>02. Chapinero</v>
      </c>
      <c r="H222" s="55">
        <f ca="1">IFERROR(__xludf.DUMMYFUNCTION("""COMPUTED_VALUE"""),44705)</f>
        <v>44705</v>
      </c>
      <c r="I222" s="25"/>
      <c r="J222" s="55" t="str">
        <f ca="1">IFERROR(__xludf.DUMMYFUNCTION("""COMPUTED_VALUE"""),"Alta")</f>
        <v>Alta</v>
      </c>
      <c r="K222" s="25">
        <f ca="1">IFERROR(__xludf.DUMMYFUNCTION("""COMPUTED_VALUE"""),82)</f>
        <v>82</v>
      </c>
      <c r="L222" s="55">
        <f ca="1">IFERROR(__xludf.DUMMYFUNCTION("""COMPUTED_VALUE"""),44705)</f>
        <v>44705</v>
      </c>
      <c r="M222" s="25" t="str">
        <f ca="1">IFERROR(__xludf.DUMMYFUNCTION("""COMPUTED_VALUE"""),"Desde la Secretaría de Seguridad se contactaron a los ciudadanos Heider Lacera, Andrey Ramírez y Santiago García con el fin de brindarles información sobre las jornadas de normalización de la libreta militar. Se les informó sobre las jornadas de marzo, co"&amp;"mo también sobre la jornada especial que se llevará a cabo en el mes de abril")</f>
        <v>Desde la Secretaría de Seguridad se contactaron a los ciudadanos Heider Lacera, Andrey Ramírez y Santiago García con el fin de brindarles información sobre las jornadas de normalización de la libreta militar. Se les informó sobre las jornadas de marzo, como también sobre la jornada especial que se llevará a cabo en el mes de abril</v>
      </c>
      <c r="N222" s="55">
        <f ca="1">IFERROR(__xludf.DUMMYFUNCTION("""COMPUTED_VALUE"""),44926)</f>
        <v>44926</v>
      </c>
      <c r="O222" s="25" t="str">
        <f t="shared" ca="1" si="0"/>
        <v>Secretaría Distrital de Seguridad, Convivencia y Justicia</v>
      </c>
      <c r="P222" s="25" t="str">
        <f t="shared" si="1"/>
        <v/>
      </c>
      <c r="Q222" s="25" t="str">
        <f ca="1">IFERROR(__xludf.DUMMYFUNCTION("""COMPUTED_VALUE"""),"Mediano plazo")</f>
        <v>Mediano plazo</v>
      </c>
      <c r="R222" s="25"/>
      <c r="S222" s="55"/>
      <c r="T222" s="56"/>
      <c r="U222" s="25"/>
      <c r="V222" s="25"/>
      <c r="W222" s="25"/>
      <c r="X222" s="25"/>
      <c r="Y222" s="25"/>
      <c r="Z222" s="25"/>
    </row>
    <row r="223" spans="1:26" ht="52.5" customHeight="1" x14ac:dyDescent="0.25">
      <c r="A223" s="25" t="str">
        <f ca="1">IFERROR(__xludf.DUMMYFUNCTION("""COMPUTED_VALUE"""),"Segur221")</f>
        <v>Segur221</v>
      </c>
      <c r="B223" s="25" t="str">
        <f ca="1">IFERROR(__xludf.DUMMYFUNCTION("""COMPUTED_VALUE"""),"Recorrido Engativá")</f>
        <v>Recorrido Engativá</v>
      </c>
      <c r="C223" s="55">
        <f ca="1">IFERROR(__xludf.DUMMYFUNCTION("""COMPUTED_VALUE"""),45048)</f>
        <v>45048</v>
      </c>
      <c r="D223" s="25" t="str">
        <f ca="1">IFERROR(__xludf.DUMMYFUNCTION("""COMPUTED_VALUE"""),"Seguridad")</f>
        <v>Seguridad</v>
      </c>
      <c r="E223" s="25" t="str">
        <f ca="1">IFERROR(__xludf.DUMMYFUNCTION("""COMPUTED_VALUE"""),"Secretaría Distrital de Seguridad, Convivencia y Justicia")</f>
        <v>Secretaría Distrital de Seguridad, Convivencia y Justicia</v>
      </c>
      <c r="F223" s="25" t="str">
        <f ca="1">IFERROR(__xludf.DUMMYFUNCTION("""COMPUTED_VALUE"""),"Realizar operativo de Comando Nocturno sobre la Carrera 105 entre calles 63 y 66, sector el Muelle - la Alameda.")</f>
        <v>Realizar operativo de Comando Nocturno sobre la Carrera 105 entre calles 63 y 66, sector el Muelle - la Alameda.</v>
      </c>
      <c r="G223" s="25" t="str">
        <f ca="1">IFERROR(__xludf.DUMMYFUNCTION("""COMPUTED_VALUE"""),"10. Engativá")</f>
        <v>10. Engativá</v>
      </c>
      <c r="H223" s="55">
        <f ca="1">IFERROR(__xludf.DUMMYFUNCTION("""COMPUTED_VALUE"""),45076)</f>
        <v>45076</v>
      </c>
      <c r="I223" s="25" t="str">
        <f ca="1">IFERROR(__xludf.DUMMYFUNCTION("""COMPUTED_VALUE"""),"Secretaría Privada")</f>
        <v>Secretaría Privada</v>
      </c>
      <c r="J223" s="55" t="str">
        <f ca="1">IFERROR(__xludf.DUMMYFUNCTION("""COMPUTED_VALUE"""),"Alta")</f>
        <v>Alta</v>
      </c>
      <c r="K223" s="25">
        <f ca="1">IFERROR(__xludf.DUMMYFUNCTION("""COMPUTED_VALUE"""),28)</f>
        <v>28</v>
      </c>
      <c r="L223" s="55">
        <f ca="1">IFERROR(__xludf.DUMMYFUNCTION("""COMPUTED_VALUE"""),45065)</f>
        <v>45065</v>
      </c>
      <c r="M223" s="25" t="str">
        <f ca="1">IFERROR(__xludf.DUMMYFUNCTION("""COMPUTED_VALUE"""),"El día 05/05/2023 se realiza comando noctuurno en esta zona arrojando los siguientes resultados :
En el marco del Comando Nocturno se realiza actividad de alto impacto en la localidad de Engativá con el fin de mitigar delitos que afectan la seguridad ciud"&amp;"adana así: 
Fecha  : 05/05/2023
Hora inicio: 16:00
Hora Final: 22:00
Localidad: Engativá 
Tipo de intervención: Control a establecimientos de comercio.
Autoridades Participantes:   Policía Nacional, Secretaría de Salud, Movilidad,  Alcaldía Local y Secre"&amp;"taría de Seguridad.
Durante la actividad se lograron los siguientes resultados:
Establecimientos visitados: 40
Establecimientos cerrados: 8
Personas Registradas: 150
Motocicletas verificadas: 167
Vehículos verificados: 132
Comparendos de tránsito: 08")</f>
        <v>El día 05/05/2023 se realiza comando noctuurno en esta zona arrojando los siguientes resultados :
En el marco del Comando Nocturno se realiza actividad de alto impacto en la localidad de Engativá con el fin de mitigar delitos que afectan la seguridad ciudadana así: 
Fecha  : 05/05/2023
Hora inicio: 16:00
Hora Final: 22:00
Localidad: Engativá 
Tipo de intervención: Control a establecimientos de comercio.
Autoridades Participantes:   Policía Nacional, Secretaría de Salud, Movilidad,  Alcaldía Local y Secretaría de Seguridad.
Durante la actividad se lograron los siguientes resultados:
Establecimientos visitados: 40
Establecimientos cerrados: 8
Personas Registradas: 150
Motocicletas verificadas: 167
Vehículos verificados: 132
Comparendos de tránsito: 08</v>
      </c>
      <c r="N223" s="55">
        <f ca="1">IFERROR(__xludf.DUMMYFUNCTION("""COMPUTED_VALUE"""),45051)</f>
        <v>45051</v>
      </c>
      <c r="O223" s="25" t="str">
        <f t="shared" ca="1" si="0"/>
        <v>Secretaría Distrital de Seguridad, Convivencia y Justicia</v>
      </c>
      <c r="P223" s="25" t="str">
        <f t="shared" ca="1" si="1"/>
        <v/>
      </c>
      <c r="Q223" s="25" t="str">
        <f ca="1">IFERROR(__xludf.DUMMYFUNCTION("""COMPUTED_VALUE"""),"Corto plazo")</f>
        <v>Corto plazo</v>
      </c>
      <c r="R223" s="25"/>
      <c r="S223" s="55"/>
      <c r="T223" s="56"/>
      <c r="U223" s="25"/>
      <c r="V223" s="25"/>
      <c r="W223" s="25"/>
      <c r="X223" s="25"/>
      <c r="Y223" s="25"/>
      <c r="Z223" s="25"/>
    </row>
    <row r="224" spans="1:26" ht="52.5" customHeight="1" x14ac:dyDescent="0.25">
      <c r="A224" s="25" t="str">
        <f ca="1">IFERROR(__xludf.DUMMYFUNCTION("""COMPUTED_VALUE"""),"Segur222")</f>
        <v>Segur222</v>
      </c>
      <c r="B224" s="25" t="str">
        <f ca="1">IFERROR(__xludf.DUMMYFUNCTION("""COMPUTED_VALUE"""),"Recorrido Engativá")</f>
        <v>Recorrido Engativá</v>
      </c>
      <c r="C224" s="55">
        <f ca="1">IFERROR(__xludf.DUMMYFUNCTION("""COMPUTED_VALUE"""),45048)</f>
        <v>45048</v>
      </c>
      <c r="D224" s="25" t="str">
        <f ca="1">IFERROR(__xludf.DUMMYFUNCTION("""COMPUTED_VALUE"""),"Seguridad")</f>
        <v>Seguridad</v>
      </c>
      <c r="E224" s="25" t="str">
        <f ca="1">IFERROR(__xludf.DUMMYFUNCTION("""COMPUTED_VALUE"""),"Secretaría Distrital de Seguridad, Convivencia y Justicia")</f>
        <v>Secretaría Distrital de Seguridad, Convivencia y Justicia</v>
      </c>
      <c r="F224" s="25" t="str">
        <f ca="1">IFERROR(__xludf.DUMMYFUNCTION("""COMPUTED_VALUE"""),"Atender problemática de inseguridad en el sector de la Diagonal 86 entre Carrera 85 y Calle 89.")</f>
        <v>Atender problemática de inseguridad en el sector de la Diagonal 86 entre Carrera 85 y Calle 89.</v>
      </c>
      <c r="G224" s="25" t="str">
        <f ca="1">IFERROR(__xludf.DUMMYFUNCTION("""COMPUTED_VALUE"""),"10. Engativá")</f>
        <v>10. Engativá</v>
      </c>
      <c r="H224" s="55">
        <f ca="1">IFERROR(__xludf.DUMMYFUNCTION("""COMPUTED_VALUE"""),45076)</f>
        <v>45076</v>
      </c>
      <c r="I224" s="25" t="str">
        <f ca="1">IFERROR(__xludf.DUMMYFUNCTION("""COMPUTED_VALUE"""),"Secretaría Privada")</f>
        <v>Secretaría Privada</v>
      </c>
      <c r="J224" s="55" t="str">
        <f ca="1">IFERROR(__xludf.DUMMYFUNCTION("""COMPUTED_VALUE"""),"Alta")</f>
        <v>Alta</v>
      </c>
      <c r="K224" s="25">
        <f ca="1">IFERROR(__xludf.DUMMYFUNCTION("""COMPUTED_VALUE"""),28)</f>
        <v>28</v>
      </c>
      <c r="L224" s="55">
        <f ca="1">IFERROR(__xludf.DUMMYFUNCTION("""COMPUTED_VALUE"""),45077)</f>
        <v>45077</v>
      </c>
      <c r="M224" s="25" t="str">
        <f ca="1">IFERROR(__xludf.DUMMYFUNCTION("""COMPUTED_VALUE"""),"En el sector de La Española se direcciona y acompaña intervención IVC a establecimientos tipo bicicleterias logrando: 
Fecha 29/04/2023
Localidad Engativa
Barri:o La Española
Autoridades Participantes:  Policía nacional, Alcaldía local, Secretaria de Gob"&amp;"ierno, espacio público y sscj. 
Establecimientos visitados: 2
Establecimientos cerrados: 1
Incautaciones 0
Personas capturadas 0
Observaciones Fue programada la visita a dos establecimientos ya que la semana anterior se realizó IVC de bicicletas en la zon"&amp;"a, se hace un cierre voluntario por falta de documentación.")</f>
        <v>En el sector de La Española se direcciona y acompaña intervención IVC a establecimientos tipo bicicleterias logrando: 
Fecha 29/04/2023
Localidad Engativa
Barri:o La Española
Autoridades Participantes:  Policía nacional, Alcaldía local, Secretaria de Gobierno, espacio público y sscj. 
Establecimientos visitados: 2
Establecimientos cerrados: 1
Incautaciones 0
Personas capturadas 0
Observaciones Fue programada la visita a dos establecimientos ya que la semana anterior se realizó IVC de bicicletas en la zona, se hace un cierre voluntario por falta de documentación.</v>
      </c>
      <c r="N224" s="25"/>
      <c r="O224" s="25" t="str">
        <f t="shared" ca="1" si="0"/>
        <v>Secretaría Distrital de Seguridad, Convivencia y Justicia</v>
      </c>
      <c r="P224" s="25" t="str">
        <f t="shared" ca="1" si="1"/>
        <v/>
      </c>
      <c r="Q224" s="25" t="str">
        <f ca="1">IFERROR(__xludf.DUMMYFUNCTION("""COMPUTED_VALUE"""),"Corto plazo")</f>
        <v>Corto plazo</v>
      </c>
      <c r="R224" s="25"/>
      <c r="S224" s="55"/>
      <c r="T224" s="56"/>
      <c r="U224" s="25"/>
      <c r="V224" s="25"/>
      <c r="W224" s="25"/>
      <c r="X224" s="25"/>
      <c r="Y224" s="25"/>
      <c r="Z224" s="25"/>
    </row>
    <row r="225" spans="1:26" ht="52.5" customHeight="1" x14ac:dyDescent="0.25">
      <c r="A225" s="25" t="str">
        <f ca="1">IFERROR(__xludf.DUMMYFUNCTION("""COMPUTED_VALUE"""),"Segur223")</f>
        <v>Segur223</v>
      </c>
      <c r="B225" s="25" t="str">
        <f ca="1">IFERROR(__xludf.DUMMYFUNCTION("""COMPUTED_VALUE"""),"Recorrido Engativá")</f>
        <v>Recorrido Engativá</v>
      </c>
      <c r="C225" s="55">
        <f ca="1">IFERROR(__xludf.DUMMYFUNCTION("""COMPUTED_VALUE"""),45048)</f>
        <v>45048</v>
      </c>
      <c r="D225" s="25" t="str">
        <f ca="1">IFERROR(__xludf.DUMMYFUNCTION("""COMPUTED_VALUE"""),"Seguridad")</f>
        <v>Seguridad</v>
      </c>
      <c r="E225" s="25" t="str">
        <f ca="1">IFERROR(__xludf.DUMMYFUNCTION("""COMPUTED_VALUE"""),"Secretaría Distrital de Seguridad, Convivencia y Justicia")</f>
        <v>Secretaría Distrital de Seguridad, Convivencia y Justicia</v>
      </c>
      <c r="F225" s="25" t="str">
        <f ca="1">IFERROR(__xludf.DUMMYFUNCTION("""COMPUTED_VALUE"""),"Organizar frente de seguridad con la comunidad del barrio la Estrada.")</f>
        <v>Organizar frente de seguridad con la comunidad del barrio la Estrada.</v>
      </c>
      <c r="G225" s="25" t="str">
        <f ca="1">IFERROR(__xludf.DUMMYFUNCTION("""COMPUTED_VALUE"""),"10. Engativá")</f>
        <v>10. Engativá</v>
      </c>
      <c r="H225" s="55">
        <f ca="1">IFERROR(__xludf.DUMMYFUNCTION("""COMPUTED_VALUE"""),45107)</f>
        <v>45107</v>
      </c>
      <c r="I225" s="25" t="str">
        <f ca="1">IFERROR(__xludf.DUMMYFUNCTION("""COMPUTED_VALUE"""),"Secretaría Privada")</f>
        <v>Secretaría Privada</v>
      </c>
      <c r="J225" s="55" t="str">
        <f ca="1">IFERROR(__xludf.DUMMYFUNCTION("""COMPUTED_VALUE"""),"Alta")</f>
        <v>Alta</v>
      </c>
      <c r="K225" s="25">
        <f ca="1">IFERROR(__xludf.DUMMYFUNCTION("""COMPUTED_VALUE"""),59)</f>
        <v>59</v>
      </c>
      <c r="L225" s="55">
        <f ca="1">IFERROR(__xludf.DUMMYFUNCTION("""COMPUTED_VALUE"""),45077)</f>
        <v>45077</v>
      </c>
      <c r="M225" s="25" t="str">
        <f ca="1">IFERROR(__xludf.DUMMYFUNCTION("""COMPUTED_VALUE"""),"La Conformación de los Frentes de Seguridad Local se encuentra a cargo de la MEBOG, por lo cual desde la Dirección de Prevención no se puede garantizar su creación. No obstante, se realizará una articulación a nivel local, para que el personal de la MEBOG"&amp;" y la Secretaría pudieran trabajar en conjunto.")</f>
        <v>La Conformación de los Frentes de Seguridad Local se encuentra a cargo de la MEBOG, por lo cual desde la Dirección de Prevención no se puede garantizar su creación. No obstante, se realizará una articulación a nivel local, para que el personal de la MEBOG y la Secretaría pudieran trabajar en conjunto.</v>
      </c>
      <c r="N225" s="25"/>
      <c r="O225" s="25" t="str">
        <f t="shared" ca="1" si="0"/>
        <v>Secretaría Distrital de Seguridad, Convivencia y Justicia</v>
      </c>
      <c r="P225" s="25" t="str">
        <f t="shared" ca="1" si="1"/>
        <v/>
      </c>
      <c r="Q225" s="25" t="str">
        <f ca="1">IFERROR(__xludf.DUMMYFUNCTION("""COMPUTED_VALUE"""),"Corto plazo")</f>
        <v>Corto plazo</v>
      </c>
      <c r="R225" s="25"/>
      <c r="S225" s="55"/>
      <c r="T225" s="56"/>
      <c r="U225" s="25"/>
      <c r="V225" s="25"/>
      <c r="W225" s="25"/>
      <c r="X225" s="25"/>
      <c r="Y225" s="25"/>
      <c r="Z225" s="25"/>
    </row>
    <row r="226" spans="1:26" ht="52.5" customHeight="1" x14ac:dyDescent="0.25">
      <c r="A226" s="25" t="str">
        <f ca="1">IFERROR(__xludf.DUMMYFUNCTION("""COMPUTED_VALUE"""),"Segur224")</f>
        <v>Segur224</v>
      </c>
      <c r="B226" s="25" t="str">
        <f ca="1">IFERROR(__xludf.DUMMYFUNCTION("""COMPUTED_VALUE"""),"Recorrido Engativá")</f>
        <v>Recorrido Engativá</v>
      </c>
      <c r="C226" s="55">
        <f ca="1">IFERROR(__xludf.DUMMYFUNCTION("""COMPUTED_VALUE"""),45048)</f>
        <v>45048</v>
      </c>
      <c r="D226" s="25" t="str">
        <f ca="1">IFERROR(__xludf.DUMMYFUNCTION("""COMPUTED_VALUE"""),"Seguridad")</f>
        <v>Seguridad</v>
      </c>
      <c r="E226" s="25" t="str">
        <f ca="1">IFERROR(__xludf.DUMMYFUNCTION("""COMPUTED_VALUE"""),"Secretaría Distrital de Seguridad, Convivencia y Justicia")</f>
        <v>Secretaría Distrital de Seguridad, Convivencia y Justicia</v>
      </c>
      <c r="F226" s="25" t="str">
        <f ca="1">IFERROR(__xludf.DUMMYFUNCTION("""COMPUTED_VALUE"""),"Organizar frente de seguridad con la comunidad del barrio Normandía.")</f>
        <v>Organizar frente de seguridad con la comunidad del barrio Normandía.</v>
      </c>
      <c r="G226" s="25" t="str">
        <f ca="1">IFERROR(__xludf.DUMMYFUNCTION("""COMPUTED_VALUE"""),"10. Engativá")</f>
        <v>10. Engativá</v>
      </c>
      <c r="H226" s="55">
        <f ca="1">IFERROR(__xludf.DUMMYFUNCTION("""COMPUTED_VALUE"""),45107)</f>
        <v>45107</v>
      </c>
      <c r="I226" s="25" t="str">
        <f ca="1">IFERROR(__xludf.DUMMYFUNCTION("""COMPUTED_VALUE"""),"Secretaría Privada")</f>
        <v>Secretaría Privada</v>
      </c>
      <c r="J226" s="55" t="str">
        <f ca="1">IFERROR(__xludf.DUMMYFUNCTION("""COMPUTED_VALUE"""),"Alta")</f>
        <v>Alta</v>
      </c>
      <c r="K226" s="25">
        <f ca="1">IFERROR(__xludf.DUMMYFUNCTION("""COMPUTED_VALUE"""),59)</f>
        <v>59</v>
      </c>
      <c r="L226" s="55">
        <f ca="1">IFERROR(__xludf.DUMMYFUNCTION("""COMPUTED_VALUE"""),45077)</f>
        <v>45077</v>
      </c>
      <c r="M226" s="25" t="str">
        <f ca="1">IFERROR(__xludf.DUMMYFUNCTION("""COMPUTED_VALUE"""),"La Conformación de los Frentes de Seguridad Local se encuentra a cargo de la MEBOG, por lo cual desde la Dirección de Prevención no se puede garantizar su creación. No obstante, se realizará una articulación a nivel local, para que el personal de la MEBOG"&amp;" y la Secretaría pudieran trabajar en conjunto.")</f>
        <v>La Conformación de los Frentes de Seguridad Local se encuentra a cargo de la MEBOG, por lo cual desde la Dirección de Prevención no se puede garantizar su creación. No obstante, se realizará una articulación a nivel local, para que el personal de la MEBOG y la Secretaría pudieran trabajar en conjunto.</v>
      </c>
      <c r="N226" s="25"/>
      <c r="O226" s="25" t="str">
        <f t="shared" ca="1" si="0"/>
        <v>Secretaría Distrital de Seguridad, Convivencia y Justicia</v>
      </c>
      <c r="P226" s="25" t="str">
        <f t="shared" ca="1" si="1"/>
        <v/>
      </c>
      <c r="Q226" s="25" t="str">
        <f ca="1">IFERROR(__xludf.DUMMYFUNCTION("""COMPUTED_VALUE"""),"Corto plazo")</f>
        <v>Corto plazo</v>
      </c>
      <c r="R226" s="25"/>
      <c r="S226" s="55"/>
      <c r="T226" s="56"/>
      <c r="U226" s="25"/>
      <c r="V226" s="25"/>
      <c r="W226" s="25"/>
      <c r="X226" s="25"/>
      <c r="Y226" s="25"/>
      <c r="Z226" s="25"/>
    </row>
    <row r="227" spans="1:26" ht="52.5" customHeight="1" x14ac:dyDescent="0.25">
      <c r="A227" s="25" t="str">
        <f ca="1">IFERROR(__xludf.DUMMYFUNCTION("""COMPUTED_VALUE"""),"Segur225")</f>
        <v>Segur225</v>
      </c>
      <c r="B227" s="25" t="str">
        <f ca="1">IFERROR(__xludf.DUMMYFUNCTION("""COMPUTED_VALUE"""),"Recorrido Kennedy")</f>
        <v>Recorrido Kennedy</v>
      </c>
      <c r="C227" s="55">
        <f ca="1">IFERROR(__xludf.DUMMYFUNCTION("""COMPUTED_VALUE"""),45055)</f>
        <v>45055</v>
      </c>
      <c r="D227" s="25" t="str">
        <f ca="1">IFERROR(__xludf.DUMMYFUNCTION("""COMPUTED_VALUE"""),"Seguridad")</f>
        <v>Seguridad</v>
      </c>
      <c r="E227" s="25" t="str">
        <f ca="1">IFERROR(__xludf.DUMMYFUNCTION("""COMPUTED_VALUE"""),"Secretaría Distrital de Seguridad, Convivencia y Justicia")</f>
        <v>Secretaría Distrital de Seguridad, Convivencia y Justicia</v>
      </c>
      <c r="F227" s="25" t="str">
        <f ca="1">IFERROR(__xludf.DUMMYFUNCTION("""COMPUTED_VALUE"""),"Proceder a efectuar el traslado de las cámaras de video vigilancia presentes en la carrera 86 entre la Av. Villavivencio y la Av. Bosa dado el requerimiento efectuado por el IDU por el desarrollo de obras de la Av. Cali.")</f>
        <v>Proceder a efectuar el traslado de las cámaras de video vigilancia presentes en la carrera 86 entre la Av. Villavivencio y la Av. Bosa dado el requerimiento efectuado por el IDU por el desarrollo de obras de la Av. Cali.</v>
      </c>
      <c r="G227" s="25" t="str">
        <f ca="1">IFERROR(__xludf.DUMMYFUNCTION("""COMPUTED_VALUE"""),"08. Kennedy")</f>
        <v>08. Kennedy</v>
      </c>
      <c r="H227" s="55">
        <f ca="1">IFERROR(__xludf.DUMMYFUNCTION("""COMPUTED_VALUE"""),45076)</f>
        <v>45076</v>
      </c>
      <c r="I227" s="25" t="str">
        <f ca="1">IFERROR(__xludf.DUMMYFUNCTION("""COMPUTED_VALUE"""),"Secretaría Privada")</f>
        <v>Secretaría Privada</v>
      </c>
      <c r="J227" s="55" t="str">
        <f ca="1">IFERROR(__xludf.DUMMYFUNCTION("""COMPUTED_VALUE"""),"Alta")</f>
        <v>Alta</v>
      </c>
      <c r="K227" s="25">
        <f ca="1">IFERROR(__xludf.DUMMYFUNCTION("""COMPUTED_VALUE"""),21)</f>
        <v>21</v>
      </c>
      <c r="L227" s="55">
        <f ca="1">IFERROR(__xludf.DUMMYFUNCTION("""COMPUTED_VALUE"""),45077)</f>
        <v>45077</v>
      </c>
      <c r="M227" s="25" t="str">
        <f ca="1">IFERROR(__xludf.DUMMYFUNCTION("""COMPUTED_VALUE"""),"Se procederá con la programación del traslado una vez estudiada la solicitud en mención y concertada con el contratista de mantenimiento.")</f>
        <v>Se procederá con la programación del traslado una vez estudiada la solicitud en mención y concertada con el contratista de mantenimiento.</v>
      </c>
      <c r="N227" s="25"/>
      <c r="O227" s="25" t="str">
        <f t="shared" ca="1" si="0"/>
        <v>Secretaría Distrital de Seguridad, Convivencia y Justicia</v>
      </c>
      <c r="P227" s="25" t="str">
        <f t="shared" ca="1" si="1"/>
        <v/>
      </c>
      <c r="Q227" s="25" t="str">
        <f ca="1">IFERROR(__xludf.DUMMYFUNCTION("""COMPUTED_VALUE"""),"Corto plazo")</f>
        <v>Corto plazo</v>
      </c>
      <c r="R227" s="25"/>
      <c r="S227" s="55"/>
      <c r="T227" s="56"/>
      <c r="U227" s="25"/>
      <c r="V227" s="25"/>
      <c r="W227" s="25"/>
      <c r="X227" s="25"/>
      <c r="Y227" s="25"/>
      <c r="Z227" s="25"/>
    </row>
    <row r="228" spans="1:26" ht="52.5" customHeight="1" x14ac:dyDescent="0.25">
      <c r="A228" s="25" t="str">
        <f ca="1">IFERROR(__xludf.DUMMYFUNCTION("""COMPUTED_VALUE"""),"Segur226")</f>
        <v>Segur226</v>
      </c>
      <c r="B228" s="25" t="str">
        <f ca="1">IFERROR(__xludf.DUMMYFUNCTION("""COMPUTED_VALUE"""),"Recorrido Kennedy")</f>
        <v>Recorrido Kennedy</v>
      </c>
      <c r="C228" s="55">
        <f ca="1">IFERROR(__xludf.DUMMYFUNCTION("""COMPUTED_VALUE"""),45055)</f>
        <v>45055</v>
      </c>
      <c r="D228" s="25" t="str">
        <f ca="1">IFERROR(__xludf.DUMMYFUNCTION("""COMPUTED_VALUE"""),"Seguridad")</f>
        <v>Seguridad</v>
      </c>
      <c r="E228" s="25" t="str">
        <f ca="1">IFERROR(__xludf.DUMMYFUNCTION("""COMPUTED_VALUE"""),"Secretaría Distrital de Seguridad, Convivencia y Justicia")</f>
        <v>Secretaría Distrital de Seguridad, Convivencia y Justicia</v>
      </c>
      <c r="F228" s="25" t="str">
        <f ca="1">IFERROR(__xludf.DUMMYFUNCTION("""COMPUTED_VALUE"""),"Brindar mayor acompañamiento institucional con auxiliares de Policía y Gestores de Convivencia a las afueras de los colegios prorizados en entornos seguros de la localidad, durante las horas en las cuales inicia y finaliza la jornada escolar diaria.")</f>
        <v>Brindar mayor acompañamiento institucional con auxiliares de Policía y Gestores de Convivencia a las afueras de los colegios prorizados en entornos seguros de la localidad, durante las horas en las cuales inicia y finaliza la jornada escolar diaria.</v>
      </c>
      <c r="G228" s="25" t="str">
        <f ca="1">IFERROR(__xludf.DUMMYFUNCTION("""COMPUTED_VALUE"""),"08. Kennedy")</f>
        <v>08. Kennedy</v>
      </c>
      <c r="H228" s="55">
        <f ca="1">IFERROR(__xludf.DUMMYFUNCTION("""COMPUTED_VALUE"""),45092)</f>
        <v>45092</v>
      </c>
      <c r="I228" s="25" t="str">
        <f ca="1">IFERROR(__xludf.DUMMYFUNCTION("""COMPUTED_VALUE"""),"Secretaría Privada")</f>
        <v>Secretaría Privada</v>
      </c>
      <c r="J228" s="55" t="str">
        <f ca="1">IFERROR(__xludf.DUMMYFUNCTION("""COMPUTED_VALUE"""),"Alta")</f>
        <v>Alta</v>
      </c>
      <c r="K228" s="25">
        <f ca="1">IFERROR(__xludf.DUMMYFUNCTION("""COMPUTED_VALUE"""),37)</f>
        <v>37</v>
      </c>
      <c r="L228" s="55">
        <f ca="1">IFERROR(__xludf.DUMMYFUNCTION("""COMPUTED_VALUE"""),45077)</f>
        <v>45077</v>
      </c>
      <c r="M228" s="25" t="str">
        <f ca="1">IFERROR(__xludf.DUMMYFUNCTION("""COMPUTED_VALUE"""),"Se proyectó realizar nuevamente sensibilización de prevención en el entorno escolar en la localidad de Kennedy, de acuerdo al cronograma por localidad.")</f>
        <v>Se proyectó realizar nuevamente sensibilización de prevención en el entorno escolar en la localidad de Kennedy, de acuerdo al cronograma por localidad.</v>
      </c>
      <c r="N228" s="25"/>
      <c r="O228" s="25" t="str">
        <f t="shared" ca="1" si="0"/>
        <v>Secretaría Distrital de Seguridad, Convivencia y Justicia</v>
      </c>
      <c r="P228" s="25" t="str">
        <f t="shared" ca="1" si="1"/>
        <v/>
      </c>
      <c r="Q228" s="25" t="str">
        <f ca="1">IFERROR(__xludf.DUMMYFUNCTION("""COMPUTED_VALUE"""),"Corto plazo")</f>
        <v>Corto plazo</v>
      </c>
      <c r="R228" s="25"/>
      <c r="S228" s="55"/>
      <c r="T228" s="56"/>
      <c r="U228" s="25"/>
      <c r="V228" s="25"/>
      <c r="W228" s="25"/>
      <c r="X228" s="25"/>
      <c r="Y228" s="25"/>
      <c r="Z228" s="25"/>
    </row>
    <row r="229" spans="1:26" ht="52.5" customHeight="1" x14ac:dyDescent="0.25">
      <c r="A229" s="25" t="str">
        <f ca="1">IFERROR(__xludf.DUMMYFUNCTION("""COMPUTED_VALUE"""),"Segur227")</f>
        <v>Segur227</v>
      </c>
      <c r="B229" s="25" t="str">
        <f ca="1">IFERROR(__xludf.DUMMYFUNCTION("""COMPUTED_VALUE"""),"Recorrido Tunjuelito")</f>
        <v>Recorrido Tunjuelito</v>
      </c>
      <c r="C229" s="55">
        <f ca="1">IFERROR(__xludf.DUMMYFUNCTION("""COMPUTED_VALUE"""),44992)</f>
        <v>44992</v>
      </c>
      <c r="D229" s="25" t="str">
        <f ca="1">IFERROR(__xludf.DUMMYFUNCTION("""COMPUTED_VALUE"""),"Seguridad")</f>
        <v>Seguridad</v>
      </c>
      <c r="E229" s="25" t="str">
        <f ca="1">IFERROR(__xludf.DUMMYFUNCTION("""COMPUTED_VALUE"""),"Secretaría Distrital de Seguridad, Convivencia y Justicia")</f>
        <v>Secretaría Distrital de Seguridad, Convivencia y Justicia</v>
      </c>
      <c r="F229" s="25" t="str">
        <f ca="1">IFERROR(__xludf.DUMMYFUNCTION("""COMPUTED_VALUE"""),"Coordinar con el comando Bogotá Limpia y comando nocturno la revisión constante de la localidad y especialmente del sector del Tunjo y Venecia.")</f>
        <v>Coordinar con el comando Bogotá Limpia y comando nocturno la revisión constante de la localidad y especialmente del sector del Tunjo y Venecia.</v>
      </c>
      <c r="G229" s="25" t="str">
        <f ca="1">IFERROR(__xludf.DUMMYFUNCTION("""COMPUTED_VALUE"""),"06. Tunjuelito")</f>
        <v>06. Tunjuelito</v>
      </c>
      <c r="H229" s="55">
        <f ca="1">IFERROR(__xludf.DUMMYFUNCTION("""COMPUTED_VALUE"""),45046)</f>
        <v>45046</v>
      </c>
      <c r="I229" s="25" t="str">
        <f ca="1">IFERROR(__xludf.DUMMYFUNCTION("""COMPUTED_VALUE"""),"Jefatura de Gabinete")</f>
        <v>Jefatura de Gabinete</v>
      </c>
      <c r="J229" s="55" t="str">
        <f ca="1">IFERROR(__xludf.DUMMYFUNCTION("""COMPUTED_VALUE"""),"Alta")</f>
        <v>Alta</v>
      </c>
      <c r="K229" s="25">
        <f ca="1">IFERROR(__xludf.DUMMYFUNCTION("""COMPUTED_VALUE"""),54)</f>
        <v>54</v>
      </c>
      <c r="L229" s="55">
        <f ca="1">IFERROR(__xludf.DUMMYFUNCTION("""COMPUTED_VALUE"""),45061)</f>
        <v>45061</v>
      </c>
      <c r="M229" s="25"/>
      <c r="N229" s="25"/>
      <c r="O229" s="25" t="str">
        <f t="shared" ca="1" si="0"/>
        <v>Secretaría Distrital de Seguridad, Convivencia y Justicia</v>
      </c>
      <c r="P229" s="25" t="str">
        <f t="shared" ca="1" si="1"/>
        <v/>
      </c>
      <c r="Q229" s="25" t="str">
        <f ca="1">IFERROR(__xludf.DUMMYFUNCTION("""COMPUTED_VALUE"""),"Corto plazo")</f>
        <v>Corto plazo</v>
      </c>
      <c r="R229" s="25"/>
      <c r="S229" s="55"/>
      <c r="T229" s="56"/>
      <c r="U229" s="25"/>
      <c r="V229" s="25"/>
      <c r="W229" s="25"/>
      <c r="X229" s="25"/>
      <c r="Y229" s="25"/>
      <c r="Z229" s="25"/>
    </row>
    <row r="230" spans="1:26" ht="52.5" customHeight="1" x14ac:dyDescent="0.25">
      <c r="A230" s="25" t="str">
        <f ca="1">IFERROR(__xludf.DUMMYFUNCTION("""COMPUTED_VALUE"""),"Segur228")</f>
        <v>Segur228</v>
      </c>
      <c r="B230" s="25"/>
      <c r="C230" s="55"/>
      <c r="D230" s="25" t="str">
        <f ca="1">IFERROR(__xludf.DUMMYFUNCTION("""COMPUTED_VALUE"""),"Seguridad")</f>
        <v>Seguridad</v>
      </c>
      <c r="E230" s="25"/>
      <c r="F230" s="25"/>
      <c r="G230" s="25"/>
      <c r="H230" s="25"/>
      <c r="I230" s="25"/>
      <c r="J230" s="55"/>
      <c r="K230" s="25" t="str">
        <f ca="1">IFERROR(__xludf.DUMMYFUNCTION("""COMPUTED_VALUE"""),"Definir fecha")</f>
        <v>Definir fecha</v>
      </c>
      <c r="L230" s="55"/>
      <c r="M230" s="25"/>
      <c r="N230" s="25"/>
      <c r="O230" s="25">
        <f t="shared" si="0"/>
        <v>0</v>
      </c>
      <c r="P230" s="25" t="str">
        <f t="shared" si="1"/>
        <v/>
      </c>
      <c r="Q230" s="25" t="str">
        <f ca="1">IFERROR(__xludf.DUMMYFUNCTION("""COMPUTED_VALUE"""),"Sin defenir")</f>
        <v>Sin defenir</v>
      </c>
      <c r="R230" s="25"/>
      <c r="S230" s="55"/>
      <c r="T230" s="56"/>
      <c r="U230" s="25"/>
      <c r="V230" s="25"/>
      <c r="W230" s="25"/>
      <c r="X230" s="25"/>
      <c r="Y230" s="25"/>
      <c r="Z230" s="25"/>
    </row>
    <row r="231" spans="1:26" ht="52.5" customHeight="1" x14ac:dyDescent="0.25">
      <c r="A231" s="25" t="str">
        <f ca="1">IFERROR(__xludf.DUMMYFUNCTION("""COMPUTED_VALUE"""),"Segur229")</f>
        <v>Segur229</v>
      </c>
      <c r="B231" s="25"/>
      <c r="C231" s="55"/>
      <c r="D231" s="25" t="str">
        <f ca="1">IFERROR(__xludf.DUMMYFUNCTION("""COMPUTED_VALUE"""),"Seguridad")</f>
        <v>Seguridad</v>
      </c>
      <c r="E231" s="25"/>
      <c r="F231" s="25"/>
      <c r="G231" s="25"/>
      <c r="H231" s="25"/>
      <c r="I231" s="25"/>
      <c r="J231" s="55"/>
      <c r="K231" s="25" t="str">
        <f ca="1">IFERROR(__xludf.DUMMYFUNCTION("""COMPUTED_VALUE"""),"Definir fecha")</f>
        <v>Definir fecha</v>
      </c>
      <c r="L231" s="55"/>
      <c r="M231" s="25"/>
      <c r="N231" s="25"/>
      <c r="O231" s="25">
        <f t="shared" si="0"/>
        <v>0</v>
      </c>
      <c r="P231" s="25" t="str">
        <f t="shared" si="1"/>
        <v/>
      </c>
      <c r="Q231" s="25" t="str">
        <f ca="1">IFERROR(__xludf.DUMMYFUNCTION("""COMPUTED_VALUE"""),"Sin defenir")</f>
        <v>Sin defenir</v>
      </c>
      <c r="R231" s="25"/>
      <c r="S231" s="55"/>
      <c r="T231" s="56"/>
      <c r="U231" s="25"/>
      <c r="V231" s="25"/>
      <c r="W231" s="25"/>
      <c r="X231" s="25"/>
      <c r="Y231" s="25"/>
      <c r="Z231" s="25"/>
    </row>
    <row r="232" spans="1:26" ht="52.5" customHeight="1" x14ac:dyDescent="0.25">
      <c r="A232" s="25" t="str">
        <f ca="1">IFERROR(__xludf.DUMMYFUNCTION("""COMPUTED_VALUE"""),"Segur230")</f>
        <v>Segur230</v>
      </c>
      <c r="B232" s="25"/>
      <c r="C232" s="55"/>
      <c r="D232" s="25" t="str">
        <f ca="1">IFERROR(__xludf.DUMMYFUNCTION("""COMPUTED_VALUE"""),"Seguridad")</f>
        <v>Seguridad</v>
      </c>
      <c r="E232" s="25"/>
      <c r="F232" s="25"/>
      <c r="G232" s="25"/>
      <c r="H232" s="25"/>
      <c r="I232" s="25"/>
      <c r="J232" s="55"/>
      <c r="K232" s="25" t="str">
        <f ca="1">IFERROR(__xludf.DUMMYFUNCTION("""COMPUTED_VALUE"""),"Definir fecha")</f>
        <v>Definir fecha</v>
      </c>
      <c r="L232" s="55"/>
      <c r="M232" s="25"/>
      <c r="N232" s="25"/>
      <c r="O232" s="25">
        <f t="shared" si="0"/>
        <v>0</v>
      </c>
      <c r="P232" s="25" t="str">
        <f t="shared" si="1"/>
        <v/>
      </c>
      <c r="Q232" s="25" t="str">
        <f ca="1">IFERROR(__xludf.DUMMYFUNCTION("""COMPUTED_VALUE"""),"Sin defenir")</f>
        <v>Sin defenir</v>
      </c>
      <c r="R232" s="25"/>
      <c r="S232" s="55"/>
      <c r="T232" s="56"/>
      <c r="U232" s="25"/>
      <c r="V232" s="25"/>
      <c r="W232" s="25"/>
      <c r="X232" s="25"/>
      <c r="Y232" s="25"/>
      <c r="Z232" s="25"/>
    </row>
    <row r="233" spans="1:26" ht="52.5" customHeight="1" x14ac:dyDescent="0.25">
      <c r="A233" s="25" t="str">
        <f ca="1">IFERROR(__xludf.DUMMYFUNCTION("""COMPUTED_VALUE"""),"Segur231")</f>
        <v>Segur231</v>
      </c>
      <c r="B233" s="25"/>
      <c r="C233" s="55"/>
      <c r="D233" s="25" t="str">
        <f ca="1">IFERROR(__xludf.DUMMYFUNCTION("""COMPUTED_VALUE"""),"Seguridad")</f>
        <v>Seguridad</v>
      </c>
      <c r="E233" s="25"/>
      <c r="F233" s="25"/>
      <c r="G233" s="25"/>
      <c r="H233" s="25"/>
      <c r="I233" s="25"/>
      <c r="J233" s="55"/>
      <c r="K233" s="25" t="str">
        <f ca="1">IFERROR(__xludf.DUMMYFUNCTION("""COMPUTED_VALUE"""),"Definir fecha")</f>
        <v>Definir fecha</v>
      </c>
      <c r="L233" s="55"/>
      <c r="M233" s="25"/>
      <c r="N233" s="25"/>
      <c r="O233" s="25">
        <f t="shared" si="0"/>
        <v>0</v>
      </c>
      <c r="P233" s="25" t="str">
        <f t="shared" si="1"/>
        <v/>
      </c>
      <c r="Q233" s="25" t="str">
        <f ca="1">IFERROR(__xludf.DUMMYFUNCTION("""COMPUTED_VALUE"""),"Sin defenir")</f>
        <v>Sin defenir</v>
      </c>
      <c r="R233" s="25"/>
      <c r="S233" s="55"/>
      <c r="T233" s="56"/>
      <c r="U233" s="25"/>
      <c r="V233" s="25"/>
      <c r="W233" s="25"/>
      <c r="X233" s="25"/>
      <c r="Y233" s="25"/>
      <c r="Z233" s="25"/>
    </row>
    <row r="234" spans="1:26" ht="52.5" customHeight="1" x14ac:dyDescent="0.25">
      <c r="A234" s="25" t="str">
        <f ca="1">IFERROR(__xludf.DUMMYFUNCTION("""COMPUTED_VALUE"""),"Segur232")</f>
        <v>Segur232</v>
      </c>
      <c r="B234" s="25"/>
      <c r="C234" s="55"/>
      <c r="D234" s="25" t="str">
        <f ca="1">IFERROR(__xludf.DUMMYFUNCTION("""COMPUTED_VALUE"""),"Seguridad")</f>
        <v>Seguridad</v>
      </c>
      <c r="E234" s="25"/>
      <c r="F234" s="25"/>
      <c r="G234" s="25"/>
      <c r="H234" s="25"/>
      <c r="I234" s="25"/>
      <c r="J234" s="55"/>
      <c r="K234" s="25" t="str">
        <f ca="1">IFERROR(__xludf.DUMMYFUNCTION("""COMPUTED_VALUE"""),"Definir fecha")</f>
        <v>Definir fecha</v>
      </c>
      <c r="L234" s="55"/>
      <c r="M234" s="25"/>
      <c r="N234" s="25"/>
      <c r="O234" s="25">
        <f t="shared" si="0"/>
        <v>0</v>
      </c>
      <c r="P234" s="25" t="str">
        <f t="shared" si="1"/>
        <v/>
      </c>
      <c r="Q234" s="25" t="str">
        <f ca="1">IFERROR(__xludf.DUMMYFUNCTION("""COMPUTED_VALUE"""),"Sin defenir")</f>
        <v>Sin defenir</v>
      </c>
      <c r="R234" s="25"/>
      <c r="S234" s="55"/>
      <c r="T234" s="56"/>
      <c r="U234" s="25"/>
      <c r="V234" s="25"/>
      <c r="W234" s="25"/>
      <c r="X234" s="25"/>
      <c r="Y234" s="25"/>
      <c r="Z234" s="25"/>
    </row>
    <row r="235" spans="1:26" ht="52.5" customHeight="1" x14ac:dyDescent="0.25">
      <c r="A235" s="25" t="str">
        <f ca="1">IFERROR(__xludf.DUMMYFUNCTION("""COMPUTED_VALUE"""),"Segur233")</f>
        <v>Segur233</v>
      </c>
      <c r="B235" s="25"/>
      <c r="C235" s="55"/>
      <c r="D235" s="25" t="str">
        <f ca="1">IFERROR(__xludf.DUMMYFUNCTION("""COMPUTED_VALUE"""),"Seguridad")</f>
        <v>Seguridad</v>
      </c>
      <c r="E235" s="25"/>
      <c r="F235" s="25"/>
      <c r="G235" s="25"/>
      <c r="H235" s="25"/>
      <c r="I235" s="25"/>
      <c r="J235" s="55"/>
      <c r="K235" s="25" t="str">
        <f ca="1">IFERROR(__xludf.DUMMYFUNCTION("""COMPUTED_VALUE"""),"Definir fecha")</f>
        <v>Definir fecha</v>
      </c>
      <c r="L235" s="55"/>
      <c r="M235" s="25"/>
      <c r="N235" s="25"/>
      <c r="O235" s="25">
        <f t="shared" si="0"/>
        <v>0</v>
      </c>
      <c r="P235" s="25" t="str">
        <f t="shared" si="1"/>
        <v/>
      </c>
      <c r="Q235" s="25" t="str">
        <f ca="1">IFERROR(__xludf.DUMMYFUNCTION("""COMPUTED_VALUE"""),"Sin defenir")</f>
        <v>Sin defenir</v>
      </c>
      <c r="R235" s="25"/>
      <c r="S235" s="55"/>
      <c r="T235" s="56"/>
      <c r="U235" s="25"/>
      <c r="V235" s="25"/>
      <c r="W235" s="25"/>
      <c r="X235" s="25"/>
      <c r="Y235" s="25"/>
      <c r="Z235" s="25"/>
    </row>
    <row r="236" spans="1:26" ht="52.5" customHeight="1" x14ac:dyDescent="0.25">
      <c r="A236" s="25" t="str">
        <f ca="1">IFERROR(__xludf.DUMMYFUNCTION("""COMPUTED_VALUE"""),"Segur234")</f>
        <v>Segur234</v>
      </c>
      <c r="B236" s="25"/>
      <c r="C236" s="55"/>
      <c r="D236" s="25" t="str">
        <f ca="1">IFERROR(__xludf.DUMMYFUNCTION("""COMPUTED_VALUE"""),"Seguridad")</f>
        <v>Seguridad</v>
      </c>
      <c r="E236" s="25"/>
      <c r="F236" s="25"/>
      <c r="G236" s="25"/>
      <c r="H236" s="25"/>
      <c r="I236" s="25"/>
      <c r="J236" s="55"/>
      <c r="K236" s="25" t="str">
        <f ca="1">IFERROR(__xludf.DUMMYFUNCTION("""COMPUTED_VALUE"""),"Definir fecha")</f>
        <v>Definir fecha</v>
      </c>
      <c r="L236" s="55"/>
      <c r="M236" s="25"/>
      <c r="N236" s="25"/>
      <c r="O236" s="25">
        <f t="shared" si="0"/>
        <v>0</v>
      </c>
      <c r="P236" s="25" t="str">
        <f t="shared" si="1"/>
        <v/>
      </c>
      <c r="Q236" s="25" t="str">
        <f ca="1">IFERROR(__xludf.DUMMYFUNCTION("""COMPUTED_VALUE"""),"Sin defenir")</f>
        <v>Sin defenir</v>
      </c>
      <c r="R236" s="25"/>
      <c r="S236" s="55"/>
      <c r="T236" s="56"/>
      <c r="U236" s="25"/>
      <c r="V236" s="25"/>
      <c r="W236" s="25"/>
      <c r="X236" s="25"/>
      <c r="Y236" s="25"/>
      <c r="Z236" s="25"/>
    </row>
    <row r="237" spans="1:26" ht="52.5" customHeight="1" x14ac:dyDescent="0.25">
      <c r="A237" s="25" t="str">
        <f ca="1">IFERROR(__xludf.DUMMYFUNCTION("""COMPUTED_VALUE"""),"Segur235")</f>
        <v>Segur235</v>
      </c>
      <c r="B237" s="25"/>
      <c r="C237" s="55"/>
      <c r="D237" s="25" t="str">
        <f ca="1">IFERROR(__xludf.DUMMYFUNCTION("""COMPUTED_VALUE"""),"Seguridad")</f>
        <v>Seguridad</v>
      </c>
      <c r="E237" s="25"/>
      <c r="F237" s="25"/>
      <c r="G237" s="25"/>
      <c r="H237" s="25"/>
      <c r="I237" s="25"/>
      <c r="J237" s="55"/>
      <c r="K237" s="25" t="str">
        <f ca="1">IFERROR(__xludf.DUMMYFUNCTION("""COMPUTED_VALUE"""),"Definir fecha")</f>
        <v>Definir fecha</v>
      </c>
      <c r="L237" s="55"/>
      <c r="M237" s="25"/>
      <c r="N237" s="25"/>
      <c r="O237" s="25">
        <f t="shared" si="0"/>
        <v>0</v>
      </c>
      <c r="P237" s="25" t="str">
        <f t="shared" si="1"/>
        <v/>
      </c>
      <c r="Q237" s="25" t="str">
        <f ca="1">IFERROR(__xludf.DUMMYFUNCTION("""COMPUTED_VALUE"""),"Sin defenir")</f>
        <v>Sin defenir</v>
      </c>
      <c r="R237" s="25"/>
      <c r="S237" s="55"/>
      <c r="T237" s="56"/>
      <c r="U237" s="25"/>
      <c r="V237" s="25"/>
      <c r="W237" s="25"/>
      <c r="X237" s="25"/>
      <c r="Y237" s="25"/>
      <c r="Z237" s="25"/>
    </row>
    <row r="238" spans="1:26" ht="52.5" customHeight="1" x14ac:dyDescent="0.25">
      <c r="A238" s="25" t="str">
        <f ca="1">IFERROR(__xludf.DUMMYFUNCTION("""COMPUTED_VALUE"""),"Segur236")</f>
        <v>Segur236</v>
      </c>
      <c r="B238" s="25"/>
      <c r="C238" s="55"/>
      <c r="D238" s="25" t="str">
        <f ca="1">IFERROR(__xludf.DUMMYFUNCTION("""COMPUTED_VALUE"""),"Seguridad")</f>
        <v>Seguridad</v>
      </c>
      <c r="E238" s="25"/>
      <c r="F238" s="25"/>
      <c r="G238" s="25"/>
      <c r="H238" s="25"/>
      <c r="I238" s="25"/>
      <c r="J238" s="55"/>
      <c r="K238" s="25" t="str">
        <f ca="1">IFERROR(__xludf.DUMMYFUNCTION("""COMPUTED_VALUE"""),"Definir fecha")</f>
        <v>Definir fecha</v>
      </c>
      <c r="L238" s="55"/>
      <c r="M238" s="25"/>
      <c r="N238" s="25"/>
      <c r="O238" s="25">
        <f t="shared" si="0"/>
        <v>0</v>
      </c>
      <c r="P238" s="25" t="str">
        <f t="shared" si="1"/>
        <v/>
      </c>
      <c r="Q238" s="25" t="str">
        <f ca="1">IFERROR(__xludf.DUMMYFUNCTION("""COMPUTED_VALUE"""),"Sin defenir")</f>
        <v>Sin defenir</v>
      </c>
      <c r="R238" s="25"/>
      <c r="S238" s="55"/>
      <c r="T238" s="56"/>
      <c r="U238" s="25"/>
      <c r="V238" s="25"/>
      <c r="W238" s="25"/>
      <c r="X238" s="25"/>
      <c r="Y238" s="25"/>
      <c r="Z238" s="25"/>
    </row>
    <row r="239" spans="1:26" ht="52.5" customHeight="1" x14ac:dyDescent="0.25">
      <c r="A239" s="25" t="str">
        <f ca="1">IFERROR(__xludf.DUMMYFUNCTION("""COMPUTED_VALUE"""),"Segur237")</f>
        <v>Segur237</v>
      </c>
      <c r="B239" s="25"/>
      <c r="C239" s="55"/>
      <c r="D239" s="25" t="str">
        <f ca="1">IFERROR(__xludf.DUMMYFUNCTION("""COMPUTED_VALUE"""),"Seguridad")</f>
        <v>Seguridad</v>
      </c>
      <c r="E239" s="25"/>
      <c r="F239" s="25"/>
      <c r="G239" s="25"/>
      <c r="H239" s="25"/>
      <c r="I239" s="25"/>
      <c r="J239" s="55"/>
      <c r="K239" s="25" t="str">
        <f ca="1">IFERROR(__xludf.DUMMYFUNCTION("""COMPUTED_VALUE"""),"Definir fecha")</f>
        <v>Definir fecha</v>
      </c>
      <c r="L239" s="55"/>
      <c r="M239" s="25"/>
      <c r="N239" s="25"/>
      <c r="O239" s="25">
        <f t="shared" si="0"/>
        <v>0</v>
      </c>
      <c r="P239" s="25" t="str">
        <f t="shared" si="1"/>
        <v/>
      </c>
      <c r="Q239" s="25" t="str">
        <f ca="1">IFERROR(__xludf.DUMMYFUNCTION("""COMPUTED_VALUE"""),"Sin defenir")</f>
        <v>Sin defenir</v>
      </c>
      <c r="R239" s="25"/>
      <c r="S239" s="55"/>
      <c r="T239" s="56"/>
      <c r="U239" s="25"/>
      <c r="V239" s="25"/>
      <c r="W239" s="25"/>
      <c r="X239" s="25"/>
      <c r="Y239" s="25"/>
      <c r="Z239" s="25"/>
    </row>
    <row r="240" spans="1:26" ht="52.5" customHeight="1" x14ac:dyDescent="0.25">
      <c r="A240" s="25" t="str">
        <f ca="1">IFERROR(__xludf.DUMMYFUNCTION("""COMPUTED_VALUE"""),"Segur238")</f>
        <v>Segur238</v>
      </c>
      <c r="B240" s="25"/>
      <c r="C240" s="55"/>
      <c r="D240" s="25" t="str">
        <f ca="1">IFERROR(__xludf.DUMMYFUNCTION("""COMPUTED_VALUE"""),"Seguridad")</f>
        <v>Seguridad</v>
      </c>
      <c r="E240" s="25"/>
      <c r="F240" s="25"/>
      <c r="G240" s="25"/>
      <c r="H240" s="25"/>
      <c r="I240" s="25"/>
      <c r="J240" s="55"/>
      <c r="K240" s="25" t="str">
        <f ca="1">IFERROR(__xludf.DUMMYFUNCTION("""COMPUTED_VALUE"""),"Definir fecha")</f>
        <v>Definir fecha</v>
      </c>
      <c r="L240" s="55"/>
      <c r="M240" s="25"/>
      <c r="N240" s="25"/>
      <c r="O240" s="25">
        <f t="shared" si="0"/>
        <v>0</v>
      </c>
      <c r="P240" s="25" t="str">
        <f t="shared" si="1"/>
        <v/>
      </c>
      <c r="Q240" s="25" t="str">
        <f ca="1">IFERROR(__xludf.DUMMYFUNCTION("""COMPUTED_VALUE"""),"Sin defenir")</f>
        <v>Sin defenir</v>
      </c>
      <c r="R240" s="25"/>
      <c r="S240" s="55"/>
      <c r="T240" s="56"/>
      <c r="U240" s="25"/>
      <c r="V240" s="25"/>
      <c r="W240" s="25"/>
      <c r="X240" s="25"/>
      <c r="Y240" s="25"/>
      <c r="Z240" s="25"/>
    </row>
    <row r="241" spans="1:26" ht="52.5" customHeight="1" x14ac:dyDescent="0.25">
      <c r="A241" s="25" t="str">
        <f ca="1">IFERROR(__xludf.DUMMYFUNCTION("""COMPUTED_VALUE"""),"Segur239")</f>
        <v>Segur239</v>
      </c>
      <c r="B241" s="25"/>
      <c r="C241" s="55"/>
      <c r="D241" s="25" t="str">
        <f ca="1">IFERROR(__xludf.DUMMYFUNCTION("""COMPUTED_VALUE"""),"Seguridad")</f>
        <v>Seguridad</v>
      </c>
      <c r="E241" s="25"/>
      <c r="F241" s="25"/>
      <c r="G241" s="25"/>
      <c r="H241" s="25"/>
      <c r="I241" s="25"/>
      <c r="J241" s="55"/>
      <c r="K241" s="25" t="str">
        <f ca="1">IFERROR(__xludf.DUMMYFUNCTION("""COMPUTED_VALUE"""),"Definir fecha")</f>
        <v>Definir fecha</v>
      </c>
      <c r="L241" s="55"/>
      <c r="M241" s="25"/>
      <c r="N241" s="25"/>
      <c r="O241" s="25">
        <f t="shared" si="0"/>
        <v>0</v>
      </c>
      <c r="P241" s="25" t="str">
        <f t="shared" si="1"/>
        <v/>
      </c>
      <c r="Q241" s="25" t="str">
        <f ca="1">IFERROR(__xludf.DUMMYFUNCTION("""COMPUTED_VALUE"""),"Sin defenir")</f>
        <v>Sin defenir</v>
      </c>
      <c r="R241" s="25"/>
      <c r="S241" s="55"/>
      <c r="T241" s="56"/>
      <c r="U241" s="25"/>
      <c r="V241" s="25"/>
      <c r="W241" s="25"/>
      <c r="X241" s="25"/>
      <c r="Y241" s="25"/>
      <c r="Z241" s="25"/>
    </row>
    <row r="242" spans="1:26" ht="52.5" customHeight="1" x14ac:dyDescent="0.25">
      <c r="A242" s="25" t="str">
        <f ca="1">IFERROR(__xludf.DUMMYFUNCTION("""COMPUTED_VALUE"""),"Segur240")</f>
        <v>Segur240</v>
      </c>
      <c r="B242" s="25"/>
      <c r="C242" s="55"/>
      <c r="D242" s="25" t="str">
        <f ca="1">IFERROR(__xludf.DUMMYFUNCTION("""COMPUTED_VALUE"""),"Seguridad")</f>
        <v>Seguridad</v>
      </c>
      <c r="E242" s="25"/>
      <c r="F242" s="25"/>
      <c r="G242" s="25"/>
      <c r="H242" s="25"/>
      <c r="I242" s="25"/>
      <c r="J242" s="55"/>
      <c r="K242" s="25" t="str">
        <f ca="1">IFERROR(__xludf.DUMMYFUNCTION("""COMPUTED_VALUE"""),"Definir fecha")</f>
        <v>Definir fecha</v>
      </c>
      <c r="L242" s="55"/>
      <c r="M242" s="25"/>
      <c r="N242" s="25"/>
      <c r="O242" s="25">
        <f t="shared" si="0"/>
        <v>0</v>
      </c>
      <c r="P242" s="25" t="str">
        <f t="shared" si="1"/>
        <v/>
      </c>
      <c r="Q242" s="25" t="str">
        <f ca="1">IFERROR(__xludf.DUMMYFUNCTION("""COMPUTED_VALUE"""),"Sin defenir")</f>
        <v>Sin defenir</v>
      </c>
      <c r="R242" s="25"/>
      <c r="S242" s="55"/>
      <c r="T242" s="56"/>
      <c r="U242" s="25"/>
      <c r="V242" s="25"/>
      <c r="W242" s="25"/>
      <c r="X242" s="25"/>
      <c r="Y242" s="25"/>
      <c r="Z242" s="25"/>
    </row>
    <row r="243" spans="1:26" ht="52.5" customHeight="1" x14ac:dyDescent="0.25">
      <c r="A243" s="25" t="str">
        <f ca="1">IFERROR(__xludf.DUMMYFUNCTION("""COMPUTED_VALUE"""),"Segur241")</f>
        <v>Segur241</v>
      </c>
      <c r="B243" s="25"/>
      <c r="C243" s="55"/>
      <c r="D243" s="25" t="str">
        <f ca="1">IFERROR(__xludf.DUMMYFUNCTION("""COMPUTED_VALUE"""),"Seguridad")</f>
        <v>Seguridad</v>
      </c>
      <c r="E243" s="25"/>
      <c r="F243" s="25"/>
      <c r="G243" s="25"/>
      <c r="H243" s="25"/>
      <c r="I243" s="25"/>
      <c r="J243" s="55"/>
      <c r="K243" s="25" t="str">
        <f ca="1">IFERROR(__xludf.DUMMYFUNCTION("""COMPUTED_VALUE"""),"Definir fecha")</f>
        <v>Definir fecha</v>
      </c>
      <c r="L243" s="55"/>
      <c r="M243" s="25"/>
      <c r="N243" s="25"/>
      <c r="O243" s="25">
        <f t="shared" si="0"/>
        <v>0</v>
      </c>
      <c r="P243" s="25" t="str">
        <f t="shared" si="1"/>
        <v/>
      </c>
      <c r="Q243" s="25" t="str">
        <f ca="1">IFERROR(__xludf.DUMMYFUNCTION("""COMPUTED_VALUE"""),"Sin defenir")</f>
        <v>Sin defenir</v>
      </c>
      <c r="R243" s="25"/>
      <c r="S243" s="55"/>
      <c r="T243" s="56"/>
      <c r="U243" s="25"/>
      <c r="V243" s="25"/>
      <c r="W243" s="25"/>
      <c r="X243" s="25"/>
      <c r="Y243" s="25"/>
      <c r="Z243" s="25"/>
    </row>
    <row r="244" spans="1:26" ht="52.5" customHeight="1" x14ac:dyDescent="0.25">
      <c r="A244" s="25" t="str">
        <f ca="1">IFERROR(__xludf.DUMMYFUNCTION("""COMPUTED_VALUE"""),"Segur242")</f>
        <v>Segur242</v>
      </c>
      <c r="B244" s="25"/>
      <c r="C244" s="55"/>
      <c r="D244" s="25" t="str">
        <f ca="1">IFERROR(__xludf.DUMMYFUNCTION("""COMPUTED_VALUE"""),"Seguridad")</f>
        <v>Seguridad</v>
      </c>
      <c r="E244" s="25"/>
      <c r="F244" s="25"/>
      <c r="G244" s="25"/>
      <c r="H244" s="25"/>
      <c r="I244" s="25"/>
      <c r="J244" s="55"/>
      <c r="K244" s="25" t="str">
        <f ca="1">IFERROR(__xludf.DUMMYFUNCTION("""COMPUTED_VALUE"""),"Definir fecha")</f>
        <v>Definir fecha</v>
      </c>
      <c r="L244" s="55"/>
      <c r="M244" s="25"/>
      <c r="N244" s="25"/>
      <c r="O244" s="25">
        <f t="shared" si="0"/>
        <v>0</v>
      </c>
      <c r="P244" s="25" t="str">
        <f t="shared" si="1"/>
        <v/>
      </c>
      <c r="Q244" s="25" t="str">
        <f ca="1">IFERROR(__xludf.DUMMYFUNCTION("""COMPUTED_VALUE"""),"Sin defenir")</f>
        <v>Sin defenir</v>
      </c>
      <c r="R244" s="25"/>
      <c r="S244" s="55"/>
      <c r="T244" s="56"/>
      <c r="U244" s="25"/>
      <c r="V244" s="25"/>
      <c r="W244" s="25"/>
      <c r="X244" s="25"/>
      <c r="Y244" s="25"/>
      <c r="Z244" s="25"/>
    </row>
    <row r="245" spans="1:26" ht="52.5" customHeight="1" x14ac:dyDescent="0.25">
      <c r="A245" s="25" t="str">
        <f ca="1">IFERROR(__xludf.DUMMYFUNCTION("""COMPUTED_VALUE"""),"Segur243")</f>
        <v>Segur243</v>
      </c>
      <c r="B245" s="25"/>
      <c r="C245" s="55"/>
      <c r="D245" s="25" t="str">
        <f ca="1">IFERROR(__xludf.DUMMYFUNCTION("""COMPUTED_VALUE"""),"Seguridad")</f>
        <v>Seguridad</v>
      </c>
      <c r="E245" s="25"/>
      <c r="F245" s="25"/>
      <c r="G245" s="25"/>
      <c r="H245" s="25"/>
      <c r="I245" s="25"/>
      <c r="J245" s="55"/>
      <c r="K245" s="25" t="str">
        <f ca="1">IFERROR(__xludf.DUMMYFUNCTION("""COMPUTED_VALUE"""),"Definir fecha")</f>
        <v>Definir fecha</v>
      </c>
      <c r="L245" s="55"/>
      <c r="M245" s="25"/>
      <c r="N245" s="25"/>
      <c r="O245" s="25">
        <f t="shared" si="0"/>
        <v>0</v>
      </c>
      <c r="P245" s="25" t="str">
        <f t="shared" si="1"/>
        <v/>
      </c>
      <c r="Q245" s="25" t="str">
        <f ca="1">IFERROR(__xludf.DUMMYFUNCTION("""COMPUTED_VALUE"""),"Sin defenir")</f>
        <v>Sin defenir</v>
      </c>
      <c r="R245" s="25"/>
      <c r="S245" s="55"/>
      <c r="T245" s="56"/>
      <c r="U245" s="25"/>
      <c r="V245" s="25"/>
      <c r="W245" s="25"/>
      <c r="X245" s="25"/>
      <c r="Y245" s="25"/>
      <c r="Z245" s="25"/>
    </row>
    <row r="246" spans="1:26" ht="52.5" customHeight="1" x14ac:dyDescent="0.25">
      <c r="A246" s="25" t="str">
        <f ca="1">IFERROR(__xludf.DUMMYFUNCTION("""COMPUTED_VALUE"""),"Segur244")</f>
        <v>Segur244</v>
      </c>
      <c r="B246" s="25"/>
      <c r="C246" s="55"/>
      <c r="D246" s="25" t="str">
        <f ca="1">IFERROR(__xludf.DUMMYFUNCTION("""COMPUTED_VALUE"""),"Seguridad")</f>
        <v>Seguridad</v>
      </c>
      <c r="E246" s="25"/>
      <c r="F246" s="25"/>
      <c r="G246" s="25"/>
      <c r="H246" s="25"/>
      <c r="I246" s="25"/>
      <c r="J246" s="55"/>
      <c r="K246" s="25" t="str">
        <f ca="1">IFERROR(__xludf.DUMMYFUNCTION("""COMPUTED_VALUE"""),"Definir fecha")</f>
        <v>Definir fecha</v>
      </c>
      <c r="L246" s="55"/>
      <c r="M246" s="25"/>
      <c r="N246" s="25"/>
      <c r="O246" s="25">
        <f t="shared" si="0"/>
        <v>0</v>
      </c>
      <c r="P246" s="25" t="str">
        <f t="shared" si="1"/>
        <v/>
      </c>
      <c r="Q246" s="25" t="str">
        <f ca="1">IFERROR(__xludf.DUMMYFUNCTION("""COMPUTED_VALUE"""),"Sin defenir")</f>
        <v>Sin defenir</v>
      </c>
      <c r="R246" s="25"/>
      <c r="S246" s="55"/>
      <c r="T246" s="56"/>
      <c r="U246" s="25"/>
      <c r="V246" s="25"/>
      <c r="W246" s="25"/>
      <c r="X246" s="25"/>
      <c r="Y246" s="25"/>
      <c r="Z246" s="25"/>
    </row>
    <row r="247" spans="1:26" ht="52.5" customHeight="1" x14ac:dyDescent="0.25">
      <c r="A247" s="25" t="str">
        <f ca="1">IFERROR(__xludf.DUMMYFUNCTION("""COMPUTED_VALUE"""),"Segur245")</f>
        <v>Segur245</v>
      </c>
      <c r="B247" s="25"/>
      <c r="C247" s="55"/>
      <c r="D247" s="25" t="str">
        <f ca="1">IFERROR(__xludf.DUMMYFUNCTION("""COMPUTED_VALUE"""),"Seguridad")</f>
        <v>Seguridad</v>
      </c>
      <c r="E247" s="25"/>
      <c r="F247" s="25"/>
      <c r="G247" s="25"/>
      <c r="H247" s="25"/>
      <c r="I247" s="25"/>
      <c r="J247" s="55"/>
      <c r="K247" s="25" t="str">
        <f ca="1">IFERROR(__xludf.DUMMYFUNCTION("""COMPUTED_VALUE"""),"Definir fecha")</f>
        <v>Definir fecha</v>
      </c>
      <c r="L247" s="55"/>
      <c r="M247" s="25"/>
      <c r="N247" s="25"/>
      <c r="O247" s="25">
        <f t="shared" si="0"/>
        <v>0</v>
      </c>
      <c r="P247" s="25" t="str">
        <f t="shared" si="1"/>
        <v/>
      </c>
      <c r="Q247" s="25" t="str">
        <f ca="1">IFERROR(__xludf.DUMMYFUNCTION("""COMPUTED_VALUE"""),"Sin defenir")</f>
        <v>Sin defenir</v>
      </c>
      <c r="R247" s="25"/>
      <c r="S247" s="55"/>
      <c r="T247" s="56"/>
      <c r="U247" s="25"/>
      <c r="V247" s="25"/>
      <c r="W247" s="25"/>
      <c r="X247" s="25"/>
      <c r="Y247" s="25"/>
      <c r="Z247" s="25"/>
    </row>
    <row r="248" spans="1:26" ht="52.5" customHeight="1" x14ac:dyDescent="0.25">
      <c r="A248" s="25" t="str">
        <f ca="1">IFERROR(__xludf.DUMMYFUNCTION("""COMPUTED_VALUE"""),"Segur246")</f>
        <v>Segur246</v>
      </c>
      <c r="B248" s="25"/>
      <c r="C248" s="55"/>
      <c r="D248" s="25" t="str">
        <f ca="1">IFERROR(__xludf.DUMMYFUNCTION("""COMPUTED_VALUE"""),"Seguridad")</f>
        <v>Seguridad</v>
      </c>
      <c r="E248" s="25"/>
      <c r="F248" s="25"/>
      <c r="G248" s="25"/>
      <c r="H248" s="25"/>
      <c r="I248" s="25"/>
      <c r="J248" s="55"/>
      <c r="K248" s="25" t="str">
        <f ca="1">IFERROR(__xludf.DUMMYFUNCTION("""COMPUTED_VALUE"""),"Definir fecha")</f>
        <v>Definir fecha</v>
      </c>
      <c r="L248" s="55"/>
      <c r="M248" s="25"/>
      <c r="N248" s="25"/>
      <c r="O248" s="25">
        <f t="shared" si="0"/>
        <v>0</v>
      </c>
      <c r="P248" s="25" t="str">
        <f t="shared" si="1"/>
        <v/>
      </c>
      <c r="Q248" s="25" t="str">
        <f ca="1">IFERROR(__xludf.DUMMYFUNCTION("""COMPUTED_VALUE"""),"Sin defenir")</f>
        <v>Sin defenir</v>
      </c>
      <c r="R248" s="25"/>
      <c r="S248" s="55"/>
      <c r="T248" s="56"/>
      <c r="U248" s="25"/>
      <c r="V248" s="25"/>
      <c r="W248" s="25"/>
      <c r="X248" s="25"/>
      <c r="Y248" s="25"/>
      <c r="Z248" s="25"/>
    </row>
    <row r="249" spans="1:26" ht="52.5" customHeight="1" x14ac:dyDescent="0.25">
      <c r="A249" s="25" t="str">
        <f ca="1">IFERROR(__xludf.DUMMYFUNCTION("""COMPUTED_VALUE"""),"Segur247")</f>
        <v>Segur247</v>
      </c>
      <c r="B249" s="25"/>
      <c r="C249" s="55"/>
      <c r="D249" s="25" t="str">
        <f ca="1">IFERROR(__xludf.DUMMYFUNCTION("""COMPUTED_VALUE"""),"Seguridad")</f>
        <v>Seguridad</v>
      </c>
      <c r="E249" s="25"/>
      <c r="F249" s="25"/>
      <c r="G249" s="25"/>
      <c r="H249" s="25"/>
      <c r="I249" s="25"/>
      <c r="J249" s="55"/>
      <c r="K249" s="25" t="str">
        <f ca="1">IFERROR(__xludf.DUMMYFUNCTION("""COMPUTED_VALUE"""),"Definir fecha")</f>
        <v>Definir fecha</v>
      </c>
      <c r="L249" s="55"/>
      <c r="M249" s="25"/>
      <c r="N249" s="25"/>
      <c r="O249" s="25">
        <f t="shared" si="0"/>
        <v>0</v>
      </c>
      <c r="P249" s="25" t="str">
        <f t="shared" si="1"/>
        <v/>
      </c>
      <c r="Q249" s="25" t="str">
        <f ca="1">IFERROR(__xludf.DUMMYFUNCTION("""COMPUTED_VALUE"""),"Sin defenir")</f>
        <v>Sin defenir</v>
      </c>
      <c r="R249" s="25"/>
      <c r="S249" s="55"/>
      <c r="T249" s="56"/>
      <c r="U249" s="25"/>
      <c r="V249" s="25"/>
      <c r="W249" s="25"/>
      <c r="X249" s="25"/>
      <c r="Y249" s="25"/>
      <c r="Z249" s="25"/>
    </row>
    <row r="250" spans="1:26" ht="52.5" customHeight="1" x14ac:dyDescent="0.25">
      <c r="A250" s="25" t="str">
        <f ca="1">IFERROR(__xludf.DUMMYFUNCTION("""COMPUTED_VALUE"""),"Segur248")</f>
        <v>Segur248</v>
      </c>
      <c r="B250" s="25"/>
      <c r="C250" s="55"/>
      <c r="D250" s="25" t="str">
        <f ca="1">IFERROR(__xludf.DUMMYFUNCTION("""COMPUTED_VALUE"""),"Seguridad")</f>
        <v>Seguridad</v>
      </c>
      <c r="E250" s="25"/>
      <c r="F250" s="25"/>
      <c r="G250" s="25"/>
      <c r="H250" s="25"/>
      <c r="I250" s="25"/>
      <c r="J250" s="55"/>
      <c r="K250" s="25" t="str">
        <f ca="1">IFERROR(__xludf.DUMMYFUNCTION("""COMPUTED_VALUE"""),"Definir fecha")</f>
        <v>Definir fecha</v>
      </c>
      <c r="L250" s="55"/>
      <c r="M250" s="25"/>
      <c r="N250" s="25"/>
      <c r="O250" s="25">
        <f t="shared" si="0"/>
        <v>0</v>
      </c>
      <c r="P250" s="25" t="str">
        <f t="shared" si="1"/>
        <v/>
      </c>
      <c r="Q250" s="25" t="str">
        <f ca="1">IFERROR(__xludf.DUMMYFUNCTION("""COMPUTED_VALUE"""),"Sin defenir")</f>
        <v>Sin defenir</v>
      </c>
      <c r="R250" s="25"/>
      <c r="S250" s="55"/>
      <c r="T250" s="56"/>
      <c r="U250" s="25"/>
      <c r="V250" s="25"/>
      <c r="W250" s="25"/>
      <c r="X250" s="25"/>
      <c r="Y250" s="25"/>
      <c r="Z250" s="25"/>
    </row>
    <row r="251" spans="1:26" ht="52.5" customHeight="1" x14ac:dyDescent="0.25">
      <c r="A251" s="25" t="str">
        <f ca="1">IFERROR(__xludf.DUMMYFUNCTION("""COMPUTED_VALUE"""),"Segur249")</f>
        <v>Segur249</v>
      </c>
      <c r="B251" s="25"/>
      <c r="C251" s="55"/>
      <c r="D251" s="25" t="str">
        <f ca="1">IFERROR(__xludf.DUMMYFUNCTION("""COMPUTED_VALUE"""),"Seguridad")</f>
        <v>Seguridad</v>
      </c>
      <c r="E251" s="25"/>
      <c r="F251" s="25"/>
      <c r="G251" s="25"/>
      <c r="H251" s="25"/>
      <c r="I251" s="25"/>
      <c r="J251" s="55"/>
      <c r="K251" s="25" t="str">
        <f ca="1">IFERROR(__xludf.DUMMYFUNCTION("""COMPUTED_VALUE"""),"Definir fecha")</f>
        <v>Definir fecha</v>
      </c>
      <c r="L251" s="55"/>
      <c r="M251" s="25"/>
      <c r="N251" s="25"/>
      <c r="O251" s="25">
        <f t="shared" si="0"/>
        <v>0</v>
      </c>
      <c r="P251" s="25" t="str">
        <f t="shared" si="1"/>
        <v/>
      </c>
      <c r="Q251" s="25" t="str">
        <f ca="1">IFERROR(__xludf.DUMMYFUNCTION("""COMPUTED_VALUE"""),"Sin defenir")</f>
        <v>Sin defenir</v>
      </c>
      <c r="R251" s="25"/>
      <c r="S251" s="55"/>
      <c r="T251" s="56"/>
      <c r="U251" s="25"/>
      <c r="V251" s="25"/>
      <c r="W251" s="25"/>
      <c r="X251" s="25"/>
      <c r="Y251" s="25"/>
      <c r="Z251" s="25"/>
    </row>
    <row r="252" spans="1:26" ht="52.5" customHeight="1" x14ac:dyDescent="0.25">
      <c r="A252" s="25" t="str">
        <f ca="1">IFERROR(__xludf.DUMMYFUNCTION("""COMPUTED_VALUE"""),"Segur250")</f>
        <v>Segur250</v>
      </c>
      <c r="B252" s="25"/>
      <c r="C252" s="55"/>
      <c r="D252" s="25" t="str">
        <f ca="1">IFERROR(__xludf.DUMMYFUNCTION("""COMPUTED_VALUE"""),"Seguridad")</f>
        <v>Seguridad</v>
      </c>
      <c r="E252" s="25"/>
      <c r="F252" s="25"/>
      <c r="G252" s="25"/>
      <c r="H252" s="25"/>
      <c r="I252" s="25"/>
      <c r="J252" s="55"/>
      <c r="K252" s="25" t="str">
        <f ca="1">IFERROR(__xludf.DUMMYFUNCTION("""COMPUTED_VALUE"""),"Definir fecha")</f>
        <v>Definir fecha</v>
      </c>
      <c r="L252" s="55"/>
      <c r="M252" s="25"/>
      <c r="N252" s="25"/>
      <c r="O252" s="25">
        <f t="shared" si="0"/>
        <v>0</v>
      </c>
      <c r="P252" s="25" t="str">
        <f t="shared" si="1"/>
        <v/>
      </c>
      <c r="Q252" s="25" t="str">
        <f ca="1">IFERROR(__xludf.DUMMYFUNCTION("""COMPUTED_VALUE"""),"Sin defenir")</f>
        <v>Sin defenir</v>
      </c>
      <c r="R252" s="25"/>
      <c r="S252" s="55"/>
      <c r="T252" s="56"/>
      <c r="U252" s="25"/>
      <c r="V252" s="25"/>
      <c r="W252" s="25"/>
      <c r="X252" s="25"/>
      <c r="Y252" s="25"/>
      <c r="Z252" s="25"/>
    </row>
    <row r="253" spans="1:26" ht="52.5" customHeight="1" x14ac:dyDescent="0.25">
      <c r="A253" s="25" t="str">
        <f ca="1">IFERROR(__xludf.DUMMYFUNCTION("""COMPUTED_VALUE"""),"Segur251")</f>
        <v>Segur251</v>
      </c>
      <c r="B253" s="25"/>
      <c r="C253" s="55"/>
      <c r="D253" s="25" t="str">
        <f ca="1">IFERROR(__xludf.DUMMYFUNCTION("""COMPUTED_VALUE"""),"Seguridad")</f>
        <v>Seguridad</v>
      </c>
      <c r="E253" s="25"/>
      <c r="F253" s="25"/>
      <c r="G253" s="25"/>
      <c r="H253" s="25"/>
      <c r="I253" s="25"/>
      <c r="J253" s="55"/>
      <c r="K253" s="25" t="str">
        <f ca="1">IFERROR(__xludf.DUMMYFUNCTION("""COMPUTED_VALUE"""),"Definir fecha")</f>
        <v>Definir fecha</v>
      </c>
      <c r="L253" s="55"/>
      <c r="M253" s="25"/>
      <c r="N253" s="25"/>
      <c r="O253" s="25">
        <f t="shared" si="0"/>
        <v>0</v>
      </c>
      <c r="P253" s="25" t="str">
        <f t="shared" si="1"/>
        <v/>
      </c>
      <c r="Q253" s="25" t="str">
        <f ca="1">IFERROR(__xludf.DUMMYFUNCTION("""COMPUTED_VALUE"""),"Sin defenir")</f>
        <v>Sin defenir</v>
      </c>
      <c r="R253" s="25"/>
      <c r="S253" s="55"/>
      <c r="T253" s="56"/>
      <c r="U253" s="25"/>
      <c r="V253" s="25"/>
      <c r="W253" s="25"/>
      <c r="X253" s="25"/>
      <c r="Y253" s="25"/>
      <c r="Z253" s="25"/>
    </row>
    <row r="254" spans="1:26" ht="52.5" customHeight="1" x14ac:dyDescent="0.25">
      <c r="A254" s="25" t="str">
        <f ca="1">IFERROR(__xludf.DUMMYFUNCTION("""COMPUTED_VALUE"""),"Segur252")</f>
        <v>Segur252</v>
      </c>
      <c r="B254" s="25"/>
      <c r="C254" s="55"/>
      <c r="D254" s="25" t="str">
        <f ca="1">IFERROR(__xludf.DUMMYFUNCTION("""COMPUTED_VALUE"""),"Seguridad")</f>
        <v>Seguridad</v>
      </c>
      <c r="E254" s="25"/>
      <c r="F254" s="25"/>
      <c r="G254" s="25"/>
      <c r="H254" s="25"/>
      <c r="I254" s="25"/>
      <c r="J254" s="55"/>
      <c r="K254" s="25" t="str">
        <f ca="1">IFERROR(__xludf.DUMMYFUNCTION("""COMPUTED_VALUE"""),"Definir fecha")</f>
        <v>Definir fecha</v>
      </c>
      <c r="L254" s="55"/>
      <c r="M254" s="25"/>
      <c r="N254" s="25"/>
      <c r="O254" s="25">
        <f t="shared" si="0"/>
        <v>0</v>
      </c>
      <c r="P254" s="25" t="str">
        <f t="shared" si="1"/>
        <v/>
      </c>
      <c r="Q254" s="25" t="str">
        <f ca="1">IFERROR(__xludf.DUMMYFUNCTION("""COMPUTED_VALUE"""),"Sin defenir")</f>
        <v>Sin defenir</v>
      </c>
      <c r="R254" s="25"/>
      <c r="S254" s="55"/>
      <c r="T254" s="56"/>
      <c r="U254" s="25"/>
      <c r="V254" s="25"/>
      <c r="W254" s="25"/>
      <c r="X254" s="25"/>
      <c r="Y254" s="25"/>
      <c r="Z254" s="25"/>
    </row>
    <row r="255" spans="1:26" ht="52.5" customHeight="1" x14ac:dyDescent="0.25">
      <c r="A255" s="25" t="str">
        <f ca="1">IFERROR(__xludf.DUMMYFUNCTION("""COMPUTED_VALUE"""),"Segur253")</f>
        <v>Segur253</v>
      </c>
      <c r="B255" s="25"/>
      <c r="C255" s="55"/>
      <c r="D255" s="25" t="str">
        <f ca="1">IFERROR(__xludf.DUMMYFUNCTION("""COMPUTED_VALUE"""),"Seguridad")</f>
        <v>Seguridad</v>
      </c>
      <c r="E255" s="25"/>
      <c r="F255" s="25"/>
      <c r="G255" s="25"/>
      <c r="H255" s="25"/>
      <c r="I255" s="25"/>
      <c r="J255" s="55"/>
      <c r="K255" s="25" t="str">
        <f ca="1">IFERROR(__xludf.DUMMYFUNCTION("""COMPUTED_VALUE"""),"Definir fecha")</f>
        <v>Definir fecha</v>
      </c>
      <c r="L255" s="55"/>
      <c r="M255" s="25"/>
      <c r="N255" s="25"/>
      <c r="O255" s="25">
        <f t="shared" si="0"/>
        <v>0</v>
      </c>
      <c r="P255" s="25" t="str">
        <f t="shared" si="1"/>
        <v/>
      </c>
      <c r="Q255" s="25" t="str">
        <f ca="1">IFERROR(__xludf.DUMMYFUNCTION("""COMPUTED_VALUE"""),"Sin defenir")</f>
        <v>Sin defenir</v>
      </c>
      <c r="R255" s="25"/>
      <c r="S255" s="55"/>
      <c r="T255" s="56"/>
      <c r="U255" s="25"/>
      <c r="V255" s="25"/>
      <c r="W255" s="25"/>
      <c r="X255" s="25"/>
      <c r="Y255" s="25"/>
      <c r="Z255" s="25"/>
    </row>
    <row r="256" spans="1:26" ht="52.5" customHeight="1" x14ac:dyDescent="0.25">
      <c r="A256" s="25" t="str">
        <f ca="1">IFERROR(__xludf.DUMMYFUNCTION("""COMPUTED_VALUE"""),"Segur254")</f>
        <v>Segur254</v>
      </c>
      <c r="B256" s="25"/>
      <c r="C256" s="55"/>
      <c r="D256" s="25" t="str">
        <f ca="1">IFERROR(__xludf.DUMMYFUNCTION("""COMPUTED_VALUE"""),"Seguridad")</f>
        <v>Seguridad</v>
      </c>
      <c r="E256" s="25"/>
      <c r="F256" s="25"/>
      <c r="G256" s="25"/>
      <c r="H256" s="25"/>
      <c r="I256" s="25"/>
      <c r="J256" s="55"/>
      <c r="K256" s="25" t="str">
        <f ca="1">IFERROR(__xludf.DUMMYFUNCTION("""COMPUTED_VALUE"""),"Definir fecha")</f>
        <v>Definir fecha</v>
      </c>
      <c r="L256" s="55"/>
      <c r="M256" s="25"/>
      <c r="N256" s="25"/>
      <c r="O256" s="25">
        <f t="shared" si="0"/>
        <v>0</v>
      </c>
      <c r="P256" s="25" t="str">
        <f t="shared" si="1"/>
        <v/>
      </c>
      <c r="Q256" s="25" t="str">
        <f ca="1">IFERROR(__xludf.DUMMYFUNCTION("""COMPUTED_VALUE"""),"Sin defenir")</f>
        <v>Sin defenir</v>
      </c>
      <c r="R256" s="25"/>
      <c r="S256" s="55"/>
      <c r="T256" s="56"/>
      <c r="U256" s="25"/>
      <c r="V256" s="25"/>
      <c r="W256" s="25"/>
      <c r="X256" s="25"/>
      <c r="Y256" s="25"/>
      <c r="Z256" s="25"/>
    </row>
    <row r="257" spans="1:26" ht="52.5" customHeight="1" x14ac:dyDescent="0.25">
      <c r="A257" s="25" t="str">
        <f ca="1">IFERROR(__xludf.DUMMYFUNCTION("""COMPUTED_VALUE"""),"Segur255")</f>
        <v>Segur255</v>
      </c>
      <c r="B257" s="25"/>
      <c r="C257" s="55"/>
      <c r="D257" s="25" t="str">
        <f ca="1">IFERROR(__xludf.DUMMYFUNCTION("""COMPUTED_VALUE"""),"Seguridad")</f>
        <v>Seguridad</v>
      </c>
      <c r="E257" s="25"/>
      <c r="F257" s="25"/>
      <c r="G257" s="25"/>
      <c r="H257" s="25"/>
      <c r="I257" s="25"/>
      <c r="J257" s="55"/>
      <c r="K257" s="25" t="str">
        <f ca="1">IFERROR(__xludf.DUMMYFUNCTION("""COMPUTED_VALUE"""),"Definir fecha")</f>
        <v>Definir fecha</v>
      </c>
      <c r="L257" s="55"/>
      <c r="M257" s="25"/>
      <c r="N257" s="25"/>
      <c r="O257" s="25">
        <f t="shared" si="0"/>
        <v>0</v>
      </c>
      <c r="P257" s="25" t="str">
        <f t="shared" si="1"/>
        <v/>
      </c>
      <c r="Q257" s="25" t="str">
        <f ca="1">IFERROR(__xludf.DUMMYFUNCTION("""COMPUTED_VALUE"""),"Sin defenir")</f>
        <v>Sin defenir</v>
      </c>
      <c r="R257" s="25"/>
      <c r="S257" s="55"/>
      <c r="T257" s="56"/>
      <c r="U257" s="25"/>
      <c r="V257" s="25"/>
      <c r="W257" s="25"/>
      <c r="X257" s="25"/>
      <c r="Y257" s="25"/>
      <c r="Z257" s="25"/>
    </row>
    <row r="258" spans="1:26" ht="52.5" customHeight="1" x14ac:dyDescent="0.25">
      <c r="A258" s="25" t="str">
        <f ca="1">IFERROR(__xludf.DUMMYFUNCTION("""COMPUTED_VALUE"""),"Segur256")</f>
        <v>Segur256</v>
      </c>
      <c r="B258" s="25"/>
      <c r="C258" s="55"/>
      <c r="D258" s="25" t="str">
        <f ca="1">IFERROR(__xludf.DUMMYFUNCTION("""COMPUTED_VALUE"""),"Seguridad")</f>
        <v>Seguridad</v>
      </c>
      <c r="E258" s="25"/>
      <c r="F258" s="25"/>
      <c r="G258" s="25"/>
      <c r="H258" s="25"/>
      <c r="I258" s="25"/>
      <c r="J258" s="55"/>
      <c r="K258" s="25" t="str">
        <f ca="1">IFERROR(__xludf.DUMMYFUNCTION("""COMPUTED_VALUE"""),"Definir fecha")</f>
        <v>Definir fecha</v>
      </c>
      <c r="L258" s="55"/>
      <c r="M258" s="25"/>
      <c r="N258" s="25"/>
      <c r="O258" s="25">
        <f t="shared" si="0"/>
        <v>0</v>
      </c>
      <c r="P258" s="25" t="str">
        <f t="shared" si="1"/>
        <v/>
      </c>
      <c r="Q258" s="25" t="str">
        <f ca="1">IFERROR(__xludf.DUMMYFUNCTION("""COMPUTED_VALUE"""),"Sin defenir")</f>
        <v>Sin defenir</v>
      </c>
      <c r="R258" s="25"/>
      <c r="S258" s="55"/>
      <c r="T258" s="56"/>
      <c r="U258" s="25"/>
      <c r="V258" s="25"/>
      <c r="W258" s="25"/>
      <c r="X258" s="25"/>
      <c r="Y258" s="25"/>
      <c r="Z258" s="25"/>
    </row>
    <row r="259" spans="1:26" ht="52.5" customHeight="1" x14ac:dyDescent="0.25">
      <c r="A259" s="25" t="str">
        <f ca="1">IFERROR(__xludf.DUMMYFUNCTION("""COMPUTED_VALUE"""),"Segur257")</f>
        <v>Segur257</v>
      </c>
      <c r="B259" s="25"/>
      <c r="C259" s="55"/>
      <c r="D259" s="25" t="str">
        <f ca="1">IFERROR(__xludf.DUMMYFUNCTION("""COMPUTED_VALUE"""),"Seguridad")</f>
        <v>Seguridad</v>
      </c>
      <c r="E259" s="25"/>
      <c r="F259" s="25"/>
      <c r="G259" s="25"/>
      <c r="H259" s="25"/>
      <c r="I259" s="25"/>
      <c r="J259" s="55"/>
      <c r="K259" s="25" t="str">
        <f ca="1">IFERROR(__xludf.DUMMYFUNCTION("""COMPUTED_VALUE"""),"Definir fecha")</f>
        <v>Definir fecha</v>
      </c>
      <c r="L259" s="55"/>
      <c r="M259" s="25"/>
      <c r="N259" s="25"/>
      <c r="O259" s="25">
        <f t="shared" si="0"/>
        <v>0</v>
      </c>
      <c r="P259" s="25" t="str">
        <f t="shared" si="1"/>
        <v/>
      </c>
      <c r="Q259" s="25" t="str">
        <f ca="1">IFERROR(__xludf.DUMMYFUNCTION("""COMPUTED_VALUE"""),"Sin defenir")</f>
        <v>Sin defenir</v>
      </c>
      <c r="R259" s="25"/>
      <c r="S259" s="55"/>
      <c r="T259" s="56"/>
      <c r="U259" s="25"/>
      <c r="V259" s="25"/>
      <c r="W259" s="25"/>
      <c r="X259" s="25"/>
      <c r="Y259" s="25"/>
      <c r="Z259" s="25"/>
    </row>
    <row r="260" spans="1:26" ht="52.5" customHeight="1" x14ac:dyDescent="0.25">
      <c r="A260" s="25" t="str">
        <f ca="1">IFERROR(__xludf.DUMMYFUNCTION("""COMPUTED_VALUE"""),"Segur258")</f>
        <v>Segur258</v>
      </c>
      <c r="B260" s="25"/>
      <c r="C260" s="55"/>
      <c r="D260" s="25" t="str">
        <f ca="1">IFERROR(__xludf.DUMMYFUNCTION("""COMPUTED_VALUE"""),"Seguridad")</f>
        <v>Seguridad</v>
      </c>
      <c r="E260" s="25"/>
      <c r="F260" s="25"/>
      <c r="G260" s="25"/>
      <c r="H260" s="25"/>
      <c r="I260" s="25"/>
      <c r="J260" s="55"/>
      <c r="K260" s="25" t="str">
        <f ca="1">IFERROR(__xludf.DUMMYFUNCTION("""COMPUTED_VALUE"""),"Definir fecha")</f>
        <v>Definir fecha</v>
      </c>
      <c r="L260" s="55"/>
      <c r="M260" s="25"/>
      <c r="N260" s="25"/>
      <c r="O260" s="25">
        <f t="shared" si="0"/>
        <v>0</v>
      </c>
      <c r="P260" s="25" t="str">
        <f t="shared" si="1"/>
        <v/>
      </c>
      <c r="Q260" s="25" t="str">
        <f ca="1">IFERROR(__xludf.DUMMYFUNCTION("""COMPUTED_VALUE"""),"Sin defenir")</f>
        <v>Sin defenir</v>
      </c>
      <c r="R260" s="25"/>
      <c r="S260" s="55"/>
      <c r="T260" s="56"/>
      <c r="U260" s="25"/>
      <c r="V260" s="25"/>
      <c r="W260" s="25"/>
      <c r="X260" s="25"/>
      <c r="Y260" s="25"/>
      <c r="Z260" s="25"/>
    </row>
    <row r="261" spans="1:26" ht="52.5" customHeight="1" x14ac:dyDescent="0.25">
      <c r="A261" s="25" t="str">
        <f ca="1">IFERROR(__xludf.DUMMYFUNCTION("""COMPUTED_VALUE"""),"Segur259")</f>
        <v>Segur259</v>
      </c>
      <c r="B261" s="25"/>
      <c r="C261" s="55"/>
      <c r="D261" s="25" t="str">
        <f ca="1">IFERROR(__xludf.DUMMYFUNCTION("""COMPUTED_VALUE"""),"Seguridad")</f>
        <v>Seguridad</v>
      </c>
      <c r="E261" s="25"/>
      <c r="F261" s="25"/>
      <c r="G261" s="25"/>
      <c r="H261" s="25"/>
      <c r="I261" s="25"/>
      <c r="J261" s="55"/>
      <c r="K261" s="25" t="str">
        <f ca="1">IFERROR(__xludf.DUMMYFUNCTION("""COMPUTED_VALUE"""),"Definir fecha")</f>
        <v>Definir fecha</v>
      </c>
      <c r="L261" s="55"/>
      <c r="M261" s="25"/>
      <c r="N261" s="25"/>
      <c r="O261" s="25">
        <f t="shared" si="0"/>
        <v>0</v>
      </c>
      <c r="P261" s="25" t="str">
        <f t="shared" si="1"/>
        <v/>
      </c>
      <c r="Q261" s="25" t="str">
        <f ca="1">IFERROR(__xludf.DUMMYFUNCTION("""COMPUTED_VALUE"""),"Sin defenir")</f>
        <v>Sin defenir</v>
      </c>
      <c r="R261" s="25"/>
      <c r="S261" s="55"/>
      <c r="T261" s="56"/>
      <c r="U261" s="25"/>
      <c r="V261" s="25"/>
      <c r="W261" s="25"/>
      <c r="X261" s="25"/>
      <c r="Y261" s="25"/>
      <c r="Z261" s="25"/>
    </row>
    <row r="262" spans="1:26" ht="52.5" customHeight="1" x14ac:dyDescent="0.25">
      <c r="A262" s="25" t="str">
        <f ca="1">IFERROR(__xludf.DUMMYFUNCTION("""COMPUTED_VALUE"""),"Segur260")</f>
        <v>Segur260</v>
      </c>
      <c r="B262" s="25"/>
      <c r="C262" s="55"/>
      <c r="D262" s="25" t="str">
        <f ca="1">IFERROR(__xludf.DUMMYFUNCTION("""COMPUTED_VALUE"""),"Seguridad")</f>
        <v>Seguridad</v>
      </c>
      <c r="E262" s="25"/>
      <c r="F262" s="25"/>
      <c r="G262" s="25"/>
      <c r="H262" s="25"/>
      <c r="I262" s="25"/>
      <c r="J262" s="55"/>
      <c r="K262" s="25" t="str">
        <f ca="1">IFERROR(__xludf.DUMMYFUNCTION("""COMPUTED_VALUE"""),"Definir fecha")</f>
        <v>Definir fecha</v>
      </c>
      <c r="L262" s="55"/>
      <c r="M262" s="25"/>
      <c r="N262" s="25"/>
      <c r="O262" s="25">
        <f t="shared" si="0"/>
        <v>0</v>
      </c>
      <c r="P262" s="25" t="str">
        <f t="shared" si="1"/>
        <v/>
      </c>
      <c r="Q262" s="25" t="str">
        <f ca="1">IFERROR(__xludf.DUMMYFUNCTION("""COMPUTED_VALUE"""),"Sin defenir")</f>
        <v>Sin defenir</v>
      </c>
      <c r="R262" s="25"/>
      <c r="S262" s="55"/>
      <c r="T262" s="56"/>
      <c r="U262" s="25"/>
      <c r="V262" s="25"/>
      <c r="W262" s="25"/>
      <c r="X262" s="25"/>
      <c r="Y262" s="25"/>
      <c r="Z262" s="25"/>
    </row>
    <row r="263" spans="1:26" ht="52.5" customHeight="1" x14ac:dyDescent="0.25">
      <c r="A263" s="25" t="str">
        <f ca="1">IFERROR(__xludf.DUMMYFUNCTION("""COMPUTED_VALUE"""),"Segur261")</f>
        <v>Segur261</v>
      </c>
      <c r="B263" s="25"/>
      <c r="C263" s="55"/>
      <c r="D263" s="25" t="str">
        <f ca="1">IFERROR(__xludf.DUMMYFUNCTION("""COMPUTED_VALUE"""),"Seguridad")</f>
        <v>Seguridad</v>
      </c>
      <c r="E263" s="25"/>
      <c r="F263" s="25"/>
      <c r="G263" s="25"/>
      <c r="H263" s="25"/>
      <c r="I263" s="25"/>
      <c r="J263" s="55"/>
      <c r="K263" s="25" t="str">
        <f ca="1">IFERROR(__xludf.DUMMYFUNCTION("""COMPUTED_VALUE"""),"Definir fecha")</f>
        <v>Definir fecha</v>
      </c>
      <c r="L263" s="55"/>
      <c r="M263" s="25"/>
      <c r="N263" s="25"/>
      <c r="O263" s="25">
        <f t="shared" si="0"/>
        <v>0</v>
      </c>
      <c r="P263" s="25" t="str">
        <f t="shared" si="1"/>
        <v/>
      </c>
      <c r="Q263" s="25" t="str">
        <f ca="1">IFERROR(__xludf.DUMMYFUNCTION("""COMPUTED_VALUE"""),"Sin defenir")</f>
        <v>Sin defenir</v>
      </c>
      <c r="R263" s="25"/>
      <c r="S263" s="55"/>
      <c r="T263" s="56"/>
      <c r="U263" s="25"/>
      <c r="V263" s="25"/>
      <c r="W263" s="25"/>
      <c r="X263" s="25"/>
      <c r="Y263" s="25"/>
      <c r="Z263" s="25"/>
    </row>
    <row r="264" spans="1:26" ht="52.5" customHeight="1" x14ac:dyDescent="0.25">
      <c r="A264" s="25" t="str">
        <f ca="1">IFERROR(__xludf.DUMMYFUNCTION("""COMPUTED_VALUE"""),"Segur262")</f>
        <v>Segur262</v>
      </c>
      <c r="B264" s="25"/>
      <c r="C264" s="55"/>
      <c r="D264" s="25" t="str">
        <f ca="1">IFERROR(__xludf.DUMMYFUNCTION("""COMPUTED_VALUE"""),"Seguridad")</f>
        <v>Seguridad</v>
      </c>
      <c r="E264" s="25"/>
      <c r="F264" s="25"/>
      <c r="G264" s="25"/>
      <c r="H264" s="25"/>
      <c r="I264" s="25"/>
      <c r="J264" s="55"/>
      <c r="K264" s="25" t="str">
        <f ca="1">IFERROR(__xludf.DUMMYFUNCTION("""COMPUTED_VALUE"""),"Definir fecha")</f>
        <v>Definir fecha</v>
      </c>
      <c r="L264" s="55"/>
      <c r="M264" s="25"/>
      <c r="N264" s="25"/>
      <c r="O264" s="25">
        <f t="shared" si="0"/>
        <v>0</v>
      </c>
      <c r="P264" s="25" t="str">
        <f t="shared" si="1"/>
        <v/>
      </c>
      <c r="Q264" s="25" t="str">
        <f ca="1">IFERROR(__xludf.DUMMYFUNCTION("""COMPUTED_VALUE"""),"Sin defenir")</f>
        <v>Sin defenir</v>
      </c>
      <c r="R264" s="25"/>
      <c r="S264" s="55"/>
      <c r="T264" s="56"/>
      <c r="U264" s="25"/>
      <c r="V264" s="25"/>
      <c r="W264" s="25"/>
      <c r="X264" s="25"/>
      <c r="Y264" s="25"/>
      <c r="Z264" s="25"/>
    </row>
    <row r="265" spans="1:26" ht="52.5" customHeight="1" x14ac:dyDescent="0.25">
      <c r="A265" s="25" t="str">
        <f ca="1">IFERROR(__xludf.DUMMYFUNCTION("""COMPUTED_VALUE"""),"Segur263")</f>
        <v>Segur263</v>
      </c>
      <c r="B265" s="25"/>
      <c r="C265" s="55"/>
      <c r="D265" s="25" t="str">
        <f ca="1">IFERROR(__xludf.DUMMYFUNCTION("""COMPUTED_VALUE"""),"Seguridad")</f>
        <v>Seguridad</v>
      </c>
      <c r="E265" s="25"/>
      <c r="F265" s="25"/>
      <c r="G265" s="25"/>
      <c r="H265" s="25"/>
      <c r="I265" s="25"/>
      <c r="J265" s="55"/>
      <c r="K265" s="25" t="str">
        <f ca="1">IFERROR(__xludf.DUMMYFUNCTION("""COMPUTED_VALUE"""),"Definir fecha")</f>
        <v>Definir fecha</v>
      </c>
      <c r="L265" s="55"/>
      <c r="M265" s="25"/>
      <c r="N265" s="25"/>
      <c r="O265" s="25">
        <f t="shared" si="0"/>
        <v>0</v>
      </c>
      <c r="P265" s="25" t="str">
        <f t="shared" si="1"/>
        <v/>
      </c>
      <c r="Q265" s="25" t="str">
        <f ca="1">IFERROR(__xludf.DUMMYFUNCTION("""COMPUTED_VALUE"""),"Sin defenir")</f>
        <v>Sin defenir</v>
      </c>
      <c r="R265" s="25"/>
      <c r="S265" s="55"/>
      <c r="T265" s="56"/>
      <c r="U265" s="25"/>
      <c r="V265" s="25"/>
      <c r="W265" s="25"/>
      <c r="X265" s="25"/>
      <c r="Y265" s="25"/>
      <c r="Z265" s="25"/>
    </row>
    <row r="266" spans="1:26" ht="52.5" customHeight="1" x14ac:dyDescent="0.25">
      <c r="A266" s="25" t="str">
        <f ca="1">IFERROR(__xludf.DUMMYFUNCTION("""COMPUTED_VALUE"""),"Segur264")</f>
        <v>Segur264</v>
      </c>
      <c r="B266" s="25"/>
      <c r="C266" s="55"/>
      <c r="D266" s="25" t="str">
        <f ca="1">IFERROR(__xludf.DUMMYFUNCTION("""COMPUTED_VALUE"""),"Seguridad")</f>
        <v>Seguridad</v>
      </c>
      <c r="E266" s="25"/>
      <c r="F266" s="25"/>
      <c r="G266" s="25"/>
      <c r="H266" s="25"/>
      <c r="I266" s="25"/>
      <c r="J266" s="55"/>
      <c r="K266" s="25" t="str">
        <f ca="1">IFERROR(__xludf.DUMMYFUNCTION("""COMPUTED_VALUE"""),"Definir fecha")</f>
        <v>Definir fecha</v>
      </c>
      <c r="L266" s="55"/>
      <c r="M266" s="25"/>
      <c r="N266" s="25"/>
      <c r="O266" s="25">
        <f t="shared" si="0"/>
        <v>0</v>
      </c>
      <c r="P266" s="25" t="str">
        <f t="shared" si="1"/>
        <v/>
      </c>
      <c r="Q266" s="25" t="str">
        <f ca="1">IFERROR(__xludf.DUMMYFUNCTION("""COMPUTED_VALUE"""),"Sin defenir")</f>
        <v>Sin defenir</v>
      </c>
      <c r="R266" s="25"/>
      <c r="S266" s="55"/>
      <c r="T266" s="56"/>
      <c r="U266" s="25"/>
      <c r="V266" s="25"/>
      <c r="W266" s="25"/>
      <c r="X266" s="25"/>
      <c r="Y266" s="25"/>
      <c r="Z266" s="25"/>
    </row>
    <row r="267" spans="1:26" ht="52.5" customHeight="1" x14ac:dyDescent="0.25">
      <c r="A267" s="25" t="str">
        <f ca="1">IFERROR(__xludf.DUMMYFUNCTION("""COMPUTED_VALUE"""),"Segur265")</f>
        <v>Segur265</v>
      </c>
      <c r="B267" s="25"/>
      <c r="C267" s="55"/>
      <c r="D267" s="25" t="str">
        <f ca="1">IFERROR(__xludf.DUMMYFUNCTION("""COMPUTED_VALUE"""),"Seguridad")</f>
        <v>Seguridad</v>
      </c>
      <c r="E267" s="25"/>
      <c r="F267" s="25"/>
      <c r="G267" s="25"/>
      <c r="H267" s="25"/>
      <c r="I267" s="25"/>
      <c r="J267" s="55"/>
      <c r="K267" s="25" t="str">
        <f ca="1">IFERROR(__xludf.DUMMYFUNCTION("""COMPUTED_VALUE"""),"Definir fecha")</f>
        <v>Definir fecha</v>
      </c>
      <c r="L267" s="55"/>
      <c r="M267" s="25"/>
      <c r="N267" s="25"/>
      <c r="O267" s="25">
        <f t="shared" si="0"/>
        <v>0</v>
      </c>
      <c r="P267" s="25" t="str">
        <f t="shared" si="1"/>
        <v/>
      </c>
      <c r="Q267" s="25" t="str">
        <f ca="1">IFERROR(__xludf.DUMMYFUNCTION("""COMPUTED_VALUE"""),"Sin defenir")</f>
        <v>Sin defenir</v>
      </c>
      <c r="R267" s="25"/>
      <c r="S267" s="55"/>
      <c r="T267" s="56"/>
      <c r="U267" s="25"/>
      <c r="V267" s="25"/>
      <c r="W267" s="25"/>
      <c r="X267" s="25"/>
      <c r="Y267" s="25"/>
      <c r="Z267" s="25"/>
    </row>
    <row r="268" spans="1:26" ht="52.5" customHeight="1" x14ac:dyDescent="0.25">
      <c r="A268" s="25" t="str">
        <f ca="1">IFERROR(__xludf.DUMMYFUNCTION("""COMPUTED_VALUE"""),"Segur266")</f>
        <v>Segur266</v>
      </c>
      <c r="B268" s="25"/>
      <c r="C268" s="55"/>
      <c r="D268" s="25" t="str">
        <f ca="1">IFERROR(__xludf.DUMMYFUNCTION("""COMPUTED_VALUE"""),"Seguridad")</f>
        <v>Seguridad</v>
      </c>
      <c r="E268" s="25"/>
      <c r="F268" s="25"/>
      <c r="G268" s="25"/>
      <c r="H268" s="25"/>
      <c r="I268" s="25"/>
      <c r="J268" s="55"/>
      <c r="K268" s="25" t="str">
        <f ca="1">IFERROR(__xludf.DUMMYFUNCTION("""COMPUTED_VALUE"""),"Definir fecha")</f>
        <v>Definir fecha</v>
      </c>
      <c r="L268" s="55"/>
      <c r="M268" s="25"/>
      <c r="N268" s="25"/>
      <c r="O268" s="25">
        <f t="shared" si="0"/>
        <v>0</v>
      </c>
      <c r="P268" s="25" t="str">
        <f t="shared" si="1"/>
        <v/>
      </c>
      <c r="Q268" s="25" t="str">
        <f ca="1">IFERROR(__xludf.DUMMYFUNCTION("""COMPUTED_VALUE"""),"Sin defenir")</f>
        <v>Sin defenir</v>
      </c>
      <c r="R268" s="25"/>
      <c r="S268" s="55"/>
      <c r="T268" s="56"/>
      <c r="U268" s="25"/>
      <c r="V268" s="25"/>
      <c r="W268" s="25"/>
      <c r="X268" s="25"/>
      <c r="Y268" s="25"/>
      <c r="Z268" s="25"/>
    </row>
    <row r="269" spans="1:26" ht="52.5" customHeight="1" x14ac:dyDescent="0.25">
      <c r="A269" s="25" t="str">
        <f ca="1">IFERROR(__xludf.DUMMYFUNCTION("""COMPUTED_VALUE"""),"Segur267")</f>
        <v>Segur267</v>
      </c>
      <c r="B269" s="25"/>
      <c r="C269" s="55"/>
      <c r="D269" s="25" t="str">
        <f ca="1">IFERROR(__xludf.DUMMYFUNCTION("""COMPUTED_VALUE"""),"Seguridad")</f>
        <v>Seguridad</v>
      </c>
      <c r="E269" s="25"/>
      <c r="F269" s="25"/>
      <c r="G269" s="25"/>
      <c r="H269" s="25"/>
      <c r="I269" s="25"/>
      <c r="J269" s="55"/>
      <c r="K269" s="25" t="str">
        <f ca="1">IFERROR(__xludf.DUMMYFUNCTION("""COMPUTED_VALUE"""),"Definir fecha")</f>
        <v>Definir fecha</v>
      </c>
      <c r="L269" s="55"/>
      <c r="M269" s="25"/>
      <c r="N269" s="25"/>
      <c r="O269" s="25">
        <f t="shared" si="0"/>
        <v>0</v>
      </c>
      <c r="P269" s="25" t="str">
        <f t="shared" si="1"/>
        <v/>
      </c>
      <c r="Q269" s="25" t="str">
        <f ca="1">IFERROR(__xludf.DUMMYFUNCTION("""COMPUTED_VALUE"""),"Sin defenir")</f>
        <v>Sin defenir</v>
      </c>
      <c r="R269" s="25"/>
      <c r="S269" s="55"/>
      <c r="T269" s="56"/>
      <c r="U269" s="25"/>
      <c r="V269" s="25"/>
      <c r="W269" s="25"/>
      <c r="X269" s="25"/>
      <c r="Y269" s="25"/>
      <c r="Z269" s="25"/>
    </row>
    <row r="270" spans="1:26" ht="52.5" customHeight="1" x14ac:dyDescent="0.25">
      <c r="A270" s="25" t="str">
        <f ca="1">IFERROR(__xludf.DUMMYFUNCTION("""COMPUTED_VALUE"""),"Segur268")</f>
        <v>Segur268</v>
      </c>
      <c r="B270" s="25"/>
      <c r="C270" s="55"/>
      <c r="D270" s="25" t="str">
        <f ca="1">IFERROR(__xludf.DUMMYFUNCTION("""COMPUTED_VALUE"""),"Seguridad")</f>
        <v>Seguridad</v>
      </c>
      <c r="E270" s="25"/>
      <c r="F270" s="25"/>
      <c r="G270" s="25"/>
      <c r="H270" s="25"/>
      <c r="I270" s="25"/>
      <c r="J270" s="55"/>
      <c r="K270" s="25" t="str">
        <f ca="1">IFERROR(__xludf.DUMMYFUNCTION("""COMPUTED_VALUE"""),"Definir fecha")</f>
        <v>Definir fecha</v>
      </c>
      <c r="L270" s="55"/>
      <c r="M270" s="25"/>
      <c r="N270" s="25"/>
      <c r="O270" s="25">
        <f t="shared" si="0"/>
        <v>0</v>
      </c>
      <c r="P270" s="25" t="str">
        <f t="shared" si="1"/>
        <v/>
      </c>
      <c r="Q270" s="25" t="str">
        <f ca="1">IFERROR(__xludf.DUMMYFUNCTION("""COMPUTED_VALUE"""),"Sin defenir")</f>
        <v>Sin defenir</v>
      </c>
      <c r="R270" s="25"/>
      <c r="S270" s="55"/>
      <c r="T270" s="56"/>
      <c r="U270" s="25"/>
      <c r="V270" s="25"/>
      <c r="W270" s="25"/>
      <c r="X270" s="25"/>
      <c r="Y270" s="25"/>
      <c r="Z270" s="25"/>
    </row>
    <row r="271" spans="1:26" ht="52.5" customHeight="1" x14ac:dyDescent="0.25">
      <c r="A271" s="25" t="str">
        <f ca="1">IFERROR(__xludf.DUMMYFUNCTION("""COMPUTED_VALUE"""),"Segur269")</f>
        <v>Segur269</v>
      </c>
      <c r="B271" s="25"/>
      <c r="C271" s="55"/>
      <c r="D271" s="25" t="str">
        <f ca="1">IFERROR(__xludf.DUMMYFUNCTION("""COMPUTED_VALUE"""),"Seguridad")</f>
        <v>Seguridad</v>
      </c>
      <c r="E271" s="25"/>
      <c r="F271" s="25"/>
      <c r="G271" s="25"/>
      <c r="H271" s="25"/>
      <c r="I271" s="25"/>
      <c r="J271" s="55"/>
      <c r="K271" s="25" t="str">
        <f ca="1">IFERROR(__xludf.DUMMYFUNCTION("""COMPUTED_VALUE"""),"Definir fecha")</f>
        <v>Definir fecha</v>
      </c>
      <c r="L271" s="55"/>
      <c r="M271" s="25"/>
      <c r="N271" s="25"/>
      <c r="O271" s="25">
        <f t="shared" si="0"/>
        <v>0</v>
      </c>
      <c r="P271" s="25" t="str">
        <f t="shared" si="1"/>
        <v/>
      </c>
      <c r="Q271" s="25" t="str">
        <f ca="1">IFERROR(__xludf.DUMMYFUNCTION("""COMPUTED_VALUE"""),"Sin defenir")</f>
        <v>Sin defenir</v>
      </c>
      <c r="R271" s="25"/>
      <c r="S271" s="55"/>
      <c r="T271" s="56"/>
      <c r="U271" s="25"/>
      <c r="V271" s="25"/>
      <c r="W271" s="25"/>
      <c r="X271" s="25"/>
      <c r="Y271" s="25"/>
      <c r="Z271" s="25"/>
    </row>
    <row r="272" spans="1:26" ht="52.5" customHeight="1" x14ac:dyDescent="0.25">
      <c r="A272" s="25" t="str">
        <f ca="1">IFERROR(__xludf.DUMMYFUNCTION("""COMPUTED_VALUE"""),"Segur270")</f>
        <v>Segur270</v>
      </c>
      <c r="B272" s="25"/>
      <c r="C272" s="55"/>
      <c r="D272" s="25" t="str">
        <f ca="1">IFERROR(__xludf.DUMMYFUNCTION("""COMPUTED_VALUE"""),"Seguridad")</f>
        <v>Seguridad</v>
      </c>
      <c r="E272" s="25"/>
      <c r="F272" s="25"/>
      <c r="G272" s="25"/>
      <c r="H272" s="25"/>
      <c r="I272" s="25"/>
      <c r="J272" s="55"/>
      <c r="K272" s="25" t="str">
        <f ca="1">IFERROR(__xludf.DUMMYFUNCTION("""COMPUTED_VALUE"""),"Definir fecha")</f>
        <v>Definir fecha</v>
      </c>
      <c r="L272" s="55"/>
      <c r="M272" s="25"/>
      <c r="N272" s="25"/>
      <c r="O272" s="25">
        <f t="shared" si="0"/>
        <v>0</v>
      </c>
      <c r="P272" s="25" t="str">
        <f t="shared" si="1"/>
        <v/>
      </c>
      <c r="Q272" s="25" t="str">
        <f ca="1">IFERROR(__xludf.DUMMYFUNCTION("""COMPUTED_VALUE"""),"Sin defenir")</f>
        <v>Sin defenir</v>
      </c>
      <c r="R272" s="25"/>
      <c r="S272" s="55"/>
      <c r="T272" s="56"/>
      <c r="U272" s="25"/>
      <c r="V272" s="25"/>
      <c r="W272" s="25"/>
      <c r="X272" s="25"/>
      <c r="Y272" s="25"/>
      <c r="Z272" s="25"/>
    </row>
    <row r="273" spans="1:26" ht="52.5" customHeight="1" x14ac:dyDescent="0.25">
      <c r="A273" s="25" t="str">
        <f ca="1">IFERROR(__xludf.DUMMYFUNCTION("""COMPUTED_VALUE"""),"Segur271")</f>
        <v>Segur271</v>
      </c>
      <c r="B273" s="25"/>
      <c r="C273" s="55"/>
      <c r="D273" s="25" t="str">
        <f ca="1">IFERROR(__xludf.DUMMYFUNCTION("""COMPUTED_VALUE"""),"Seguridad")</f>
        <v>Seguridad</v>
      </c>
      <c r="E273" s="25"/>
      <c r="F273" s="25"/>
      <c r="G273" s="25"/>
      <c r="H273" s="25"/>
      <c r="I273" s="25"/>
      <c r="J273" s="55"/>
      <c r="K273" s="25" t="str">
        <f ca="1">IFERROR(__xludf.DUMMYFUNCTION("""COMPUTED_VALUE"""),"Definir fecha")</f>
        <v>Definir fecha</v>
      </c>
      <c r="L273" s="55"/>
      <c r="M273" s="25"/>
      <c r="N273" s="25"/>
      <c r="O273" s="25">
        <f t="shared" si="0"/>
        <v>0</v>
      </c>
      <c r="P273" s="25" t="str">
        <f t="shared" si="1"/>
        <v/>
      </c>
      <c r="Q273" s="25" t="str">
        <f ca="1">IFERROR(__xludf.DUMMYFUNCTION("""COMPUTED_VALUE"""),"Sin defenir")</f>
        <v>Sin defenir</v>
      </c>
      <c r="R273" s="25"/>
      <c r="S273" s="55"/>
      <c r="T273" s="56"/>
      <c r="U273" s="25"/>
      <c r="V273" s="25"/>
      <c r="W273" s="25"/>
      <c r="X273" s="25"/>
      <c r="Y273" s="25"/>
      <c r="Z273" s="25"/>
    </row>
    <row r="274" spans="1:26" ht="52.5" customHeight="1" x14ac:dyDescent="0.25">
      <c r="A274" s="25" t="str">
        <f ca="1">IFERROR(__xludf.DUMMYFUNCTION("""COMPUTED_VALUE"""),"Segur272")</f>
        <v>Segur272</v>
      </c>
      <c r="B274" s="25"/>
      <c r="C274" s="55"/>
      <c r="D274" s="25" t="str">
        <f ca="1">IFERROR(__xludf.DUMMYFUNCTION("""COMPUTED_VALUE"""),"Seguridad")</f>
        <v>Seguridad</v>
      </c>
      <c r="E274" s="25"/>
      <c r="F274" s="25"/>
      <c r="G274" s="25"/>
      <c r="H274" s="25"/>
      <c r="I274" s="25"/>
      <c r="J274" s="55"/>
      <c r="K274" s="25" t="str">
        <f ca="1">IFERROR(__xludf.DUMMYFUNCTION("""COMPUTED_VALUE"""),"Definir fecha")</f>
        <v>Definir fecha</v>
      </c>
      <c r="L274" s="55"/>
      <c r="M274" s="25"/>
      <c r="N274" s="25"/>
      <c r="O274" s="25">
        <f t="shared" si="0"/>
        <v>0</v>
      </c>
      <c r="P274" s="25" t="str">
        <f t="shared" si="1"/>
        <v/>
      </c>
      <c r="Q274" s="25" t="str">
        <f ca="1">IFERROR(__xludf.DUMMYFUNCTION("""COMPUTED_VALUE"""),"Sin defenir")</f>
        <v>Sin defenir</v>
      </c>
      <c r="R274" s="25"/>
      <c r="S274" s="55"/>
      <c r="T274" s="56"/>
      <c r="U274" s="25"/>
      <c r="V274" s="25"/>
      <c r="W274" s="25"/>
      <c r="X274" s="25"/>
      <c r="Y274" s="25"/>
      <c r="Z274" s="25"/>
    </row>
    <row r="275" spans="1:26" ht="52.5" customHeight="1" x14ac:dyDescent="0.25">
      <c r="A275" s="25" t="str">
        <f ca="1">IFERROR(__xludf.DUMMYFUNCTION("""COMPUTED_VALUE"""),"Segur273")</f>
        <v>Segur273</v>
      </c>
      <c r="B275" s="25"/>
      <c r="C275" s="55"/>
      <c r="D275" s="25" t="str">
        <f ca="1">IFERROR(__xludf.DUMMYFUNCTION("""COMPUTED_VALUE"""),"Seguridad")</f>
        <v>Seguridad</v>
      </c>
      <c r="E275" s="25"/>
      <c r="F275" s="25"/>
      <c r="G275" s="25"/>
      <c r="H275" s="25"/>
      <c r="I275" s="25"/>
      <c r="J275" s="55"/>
      <c r="K275" s="25" t="str">
        <f ca="1">IFERROR(__xludf.DUMMYFUNCTION("""COMPUTED_VALUE"""),"Definir fecha")</f>
        <v>Definir fecha</v>
      </c>
      <c r="L275" s="55"/>
      <c r="M275" s="25"/>
      <c r="N275" s="25"/>
      <c r="O275" s="25">
        <f t="shared" si="0"/>
        <v>0</v>
      </c>
      <c r="P275" s="25" t="str">
        <f t="shared" si="1"/>
        <v/>
      </c>
      <c r="Q275" s="25" t="str">
        <f ca="1">IFERROR(__xludf.DUMMYFUNCTION("""COMPUTED_VALUE"""),"Sin defenir")</f>
        <v>Sin defenir</v>
      </c>
      <c r="R275" s="25"/>
      <c r="S275" s="55"/>
      <c r="T275" s="56"/>
      <c r="U275" s="25"/>
      <c r="V275" s="25"/>
      <c r="W275" s="25"/>
      <c r="X275" s="25"/>
      <c r="Y275" s="25"/>
      <c r="Z275" s="25"/>
    </row>
    <row r="276" spans="1:26" ht="52.5" customHeight="1" x14ac:dyDescent="0.25">
      <c r="A276" s="25" t="str">
        <f ca="1">IFERROR(__xludf.DUMMYFUNCTION("""COMPUTED_VALUE"""),"Segur274")</f>
        <v>Segur274</v>
      </c>
      <c r="B276" s="25"/>
      <c r="C276" s="55"/>
      <c r="D276" s="25" t="str">
        <f ca="1">IFERROR(__xludf.DUMMYFUNCTION("""COMPUTED_VALUE"""),"Seguridad")</f>
        <v>Seguridad</v>
      </c>
      <c r="E276" s="25"/>
      <c r="F276" s="25"/>
      <c r="G276" s="25"/>
      <c r="H276" s="25"/>
      <c r="I276" s="25"/>
      <c r="J276" s="55"/>
      <c r="K276" s="25" t="str">
        <f ca="1">IFERROR(__xludf.DUMMYFUNCTION("""COMPUTED_VALUE"""),"Definir fecha")</f>
        <v>Definir fecha</v>
      </c>
      <c r="L276" s="55"/>
      <c r="M276" s="25"/>
      <c r="N276" s="25"/>
      <c r="O276" s="25">
        <f t="shared" si="0"/>
        <v>0</v>
      </c>
      <c r="P276" s="25" t="str">
        <f t="shared" si="1"/>
        <v/>
      </c>
      <c r="Q276" s="25" t="str">
        <f ca="1">IFERROR(__xludf.DUMMYFUNCTION("""COMPUTED_VALUE"""),"Sin defenir")</f>
        <v>Sin defenir</v>
      </c>
      <c r="R276" s="25"/>
      <c r="S276" s="55"/>
      <c r="T276" s="56"/>
      <c r="U276" s="25"/>
      <c r="V276" s="25"/>
      <c r="W276" s="25"/>
      <c r="X276" s="25"/>
      <c r="Y276" s="25"/>
      <c r="Z276" s="25"/>
    </row>
    <row r="277" spans="1:26" ht="52.5" customHeight="1" x14ac:dyDescent="0.25">
      <c r="A277" s="25" t="str">
        <f ca="1">IFERROR(__xludf.DUMMYFUNCTION("""COMPUTED_VALUE"""),"Segur275")</f>
        <v>Segur275</v>
      </c>
      <c r="B277" s="25"/>
      <c r="C277" s="55"/>
      <c r="D277" s="25" t="str">
        <f ca="1">IFERROR(__xludf.DUMMYFUNCTION("""COMPUTED_VALUE"""),"Seguridad")</f>
        <v>Seguridad</v>
      </c>
      <c r="E277" s="25"/>
      <c r="F277" s="25"/>
      <c r="G277" s="25"/>
      <c r="H277" s="25"/>
      <c r="I277" s="25"/>
      <c r="J277" s="55"/>
      <c r="K277" s="25" t="str">
        <f ca="1">IFERROR(__xludf.DUMMYFUNCTION("""COMPUTED_VALUE"""),"Definir fecha")</f>
        <v>Definir fecha</v>
      </c>
      <c r="L277" s="55"/>
      <c r="M277" s="25"/>
      <c r="N277" s="25"/>
      <c r="O277" s="25">
        <f t="shared" si="0"/>
        <v>0</v>
      </c>
      <c r="P277" s="25" t="str">
        <f t="shared" si="1"/>
        <v/>
      </c>
      <c r="Q277" s="25" t="str">
        <f ca="1">IFERROR(__xludf.DUMMYFUNCTION("""COMPUTED_VALUE"""),"Sin defenir")</f>
        <v>Sin defenir</v>
      </c>
      <c r="R277" s="25"/>
      <c r="S277" s="55"/>
      <c r="T277" s="56"/>
      <c r="U277" s="25"/>
      <c r="V277" s="25"/>
      <c r="W277" s="25"/>
      <c r="X277" s="25"/>
      <c r="Y277" s="25"/>
      <c r="Z277" s="25"/>
    </row>
    <row r="278" spans="1:26" ht="52.5" customHeight="1" x14ac:dyDescent="0.25">
      <c r="A278" s="25" t="str">
        <f ca="1">IFERROR(__xludf.DUMMYFUNCTION("""COMPUTED_VALUE"""),"Segur276")</f>
        <v>Segur276</v>
      </c>
      <c r="B278" s="25"/>
      <c r="C278" s="55"/>
      <c r="D278" s="25" t="str">
        <f ca="1">IFERROR(__xludf.DUMMYFUNCTION("""COMPUTED_VALUE"""),"Seguridad")</f>
        <v>Seguridad</v>
      </c>
      <c r="E278" s="25"/>
      <c r="F278" s="25"/>
      <c r="G278" s="25"/>
      <c r="H278" s="25"/>
      <c r="I278" s="25"/>
      <c r="J278" s="55"/>
      <c r="K278" s="25" t="str">
        <f ca="1">IFERROR(__xludf.DUMMYFUNCTION("""COMPUTED_VALUE"""),"Definir fecha")</f>
        <v>Definir fecha</v>
      </c>
      <c r="L278" s="55"/>
      <c r="M278" s="25"/>
      <c r="N278" s="25"/>
      <c r="O278" s="25">
        <f t="shared" si="0"/>
        <v>0</v>
      </c>
      <c r="P278" s="25" t="str">
        <f t="shared" si="1"/>
        <v/>
      </c>
      <c r="Q278" s="25" t="str">
        <f ca="1">IFERROR(__xludf.DUMMYFUNCTION("""COMPUTED_VALUE"""),"Sin defenir")</f>
        <v>Sin defenir</v>
      </c>
      <c r="R278" s="25"/>
      <c r="S278" s="55"/>
      <c r="T278" s="56"/>
      <c r="U278" s="25"/>
      <c r="V278" s="25"/>
      <c r="W278" s="25"/>
      <c r="X278" s="25"/>
      <c r="Y278" s="25"/>
      <c r="Z278" s="25"/>
    </row>
    <row r="279" spans="1:26" ht="52.5" customHeight="1" x14ac:dyDescent="0.25">
      <c r="A279" s="25" t="str">
        <f ca="1">IFERROR(__xludf.DUMMYFUNCTION("""COMPUTED_VALUE"""),"Segur277")</f>
        <v>Segur277</v>
      </c>
      <c r="B279" s="25"/>
      <c r="C279" s="55"/>
      <c r="D279" s="25" t="str">
        <f ca="1">IFERROR(__xludf.DUMMYFUNCTION("""COMPUTED_VALUE"""),"Seguridad")</f>
        <v>Seguridad</v>
      </c>
      <c r="E279" s="25"/>
      <c r="F279" s="25"/>
      <c r="G279" s="25"/>
      <c r="H279" s="25"/>
      <c r="I279" s="25"/>
      <c r="J279" s="55"/>
      <c r="K279" s="25" t="str">
        <f ca="1">IFERROR(__xludf.DUMMYFUNCTION("""COMPUTED_VALUE"""),"Definir fecha")</f>
        <v>Definir fecha</v>
      </c>
      <c r="L279" s="55"/>
      <c r="M279" s="25"/>
      <c r="N279" s="25"/>
      <c r="O279" s="25">
        <f t="shared" si="0"/>
        <v>0</v>
      </c>
      <c r="P279" s="25" t="str">
        <f t="shared" si="1"/>
        <v/>
      </c>
      <c r="Q279" s="25" t="str">
        <f ca="1">IFERROR(__xludf.DUMMYFUNCTION("""COMPUTED_VALUE"""),"Sin defenir")</f>
        <v>Sin defenir</v>
      </c>
      <c r="R279" s="25"/>
      <c r="S279" s="55"/>
      <c r="T279" s="56"/>
      <c r="U279" s="25"/>
      <c r="V279" s="25"/>
      <c r="W279" s="25"/>
      <c r="X279" s="25"/>
      <c r="Y279" s="25"/>
      <c r="Z279" s="25"/>
    </row>
    <row r="280" spans="1:26" ht="52.5" customHeight="1" x14ac:dyDescent="0.25">
      <c r="A280" s="25" t="str">
        <f ca="1">IFERROR(__xludf.DUMMYFUNCTION("""COMPUTED_VALUE"""),"Segur278")</f>
        <v>Segur278</v>
      </c>
      <c r="B280" s="25"/>
      <c r="C280" s="55"/>
      <c r="D280" s="25" t="str">
        <f ca="1">IFERROR(__xludf.DUMMYFUNCTION("""COMPUTED_VALUE"""),"Seguridad")</f>
        <v>Seguridad</v>
      </c>
      <c r="E280" s="25"/>
      <c r="F280" s="25"/>
      <c r="G280" s="25"/>
      <c r="H280" s="25"/>
      <c r="I280" s="25"/>
      <c r="J280" s="55"/>
      <c r="K280" s="25" t="str">
        <f ca="1">IFERROR(__xludf.DUMMYFUNCTION("""COMPUTED_VALUE"""),"Definir fecha")</f>
        <v>Definir fecha</v>
      </c>
      <c r="L280" s="55"/>
      <c r="M280" s="25"/>
      <c r="N280" s="25"/>
      <c r="O280" s="25">
        <f t="shared" si="0"/>
        <v>0</v>
      </c>
      <c r="P280" s="25" t="str">
        <f t="shared" si="1"/>
        <v/>
      </c>
      <c r="Q280" s="25" t="str">
        <f ca="1">IFERROR(__xludf.DUMMYFUNCTION("""COMPUTED_VALUE"""),"Sin defenir")</f>
        <v>Sin defenir</v>
      </c>
      <c r="R280" s="25"/>
      <c r="S280" s="55"/>
      <c r="T280" s="56"/>
      <c r="U280" s="25"/>
      <c r="V280" s="25"/>
      <c r="W280" s="25"/>
      <c r="X280" s="25"/>
      <c r="Y280" s="25"/>
      <c r="Z280" s="25"/>
    </row>
    <row r="281" spans="1:26" ht="52.5" customHeight="1" x14ac:dyDescent="0.25">
      <c r="A281" s="25" t="str">
        <f ca="1">IFERROR(__xludf.DUMMYFUNCTION("""COMPUTED_VALUE"""),"Segur279")</f>
        <v>Segur279</v>
      </c>
      <c r="B281" s="25"/>
      <c r="C281" s="55"/>
      <c r="D281" s="25" t="str">
        <f ca="1">IFERROR(__xludf.DUMMYFUNCTION("""COMPUTED_VALUE"""),"Seguridad")</f>
        <v>Seguridad</v>
      </c>
      <c r="E281" s="25"/>
      <c r="F281" s="25"/>
      <c r="G281" s="25"/>
      <c r="H281" s="25"/>
      <c r="I281" s="25"/>
      <c r="J281" s="55"/>
      <c r="K281" s="25" t="str">
        <f ca="1">IFERROR(__xludf.DUMMYFUNCTION("""COMPUTED_VALUE"""),"Definir fecha")</f>
        <v>Definir fecha</v>
      </c>
      <c r="L281" s="55"/>
      <c r="M281" s="25"/>
      <c r="N281" s="25"/>
      <c r="O281" s="25">
        <f t="shared" si="0"/>
        <v>0</v>
      </c>
      <c r="P281" s="25" t="str">
        <f t="shared" si="1"/>
        <v/>
      </c>
      <c r="Q281" s="25" t="str">
        <f ca="1">IFERROR(__xludf.DUMMYFUNCTION("""COMPUTED_VALUE"""),"Sin defenir")</f>
        <v>Sin defenir</v>
      </c>
      <c r="R281" s="25"/>
      <c r="S281" s="55"/>
      <c r="T281" s="56"/>
      <c r="U281" s="25"/>
      <c r="V281" s="25"/>
      <c r="W281" s="25"/>
      <c r="X281" s="25"/>
      <c r="Y281" s="25"/>
      <c r="Z281" s="25"/>
    </row>
    <row r="282" spans="1:26" ht="52.5" customHeight="1" x14ac:dyDescent="0.25">
      <c r="A282" s="25" t="str">
        <f ca="1">IFERROR(__xludf.DUMMYFUNCTION("""COMPUTED_VALUE"""),"Segur280")</f>
        <v>Segur280</v>
      </c>
      <c r="B282" s="25"/>
      <c r="C282" s="55"/>
      <c r="D282" s="25" t="str">
        <f ca="1">IFERROR(__xludf.DUMMYFUNCTION("""COMPUTED_VALUE"""),"Seguridad")</f>
        <v>Seguridad</v>
      </c>
      <c r="E282" s="25"/>
      <c r="F282" s="25"/>
      <c r="G282" s="25"/>
      <c r="H282" s="25"/>
      <c r="I282" s="25"/>
      <c r="J282" s="55"/>
      <c r="K282" s="25" t="str">
        <f ca="1">IFERROR(__xludf.DUMMYFUNCTION("""COMPUTED_VALUE"""),"Definir fecha")</f>
        <v>Definir fecha</v>
      </c>
      <c r="L282" s="55"/>
      <c r="M282" s="25"/>
      <c r="N282" s="25"/>
      <c r="O282" s="25">
        <f t="shared" si="0"/>
        <v>0</v>
      </c>
      <c r="P282" s="25" t="str">
        <f t="shared" si="1"/>
        <v/>
      </c>
      <c r="Q282" s="25" t="str">
        <f ca="1">IFERROR(__xludf.DUMMYFUNCTION("""COMPUTED_VALUE"""),"Sin defenir")</f>
        <v>Sin defenir</v>
      </c>
      <c r="R282" s="25"/>
      <c r="S282" s="55"/>
      <c r="T282" s="56"/>
      <c r="U282" s="25"/>
      <c r="V282" s="25"/>
      <c r="W282" s="25"/>
      <c r="X282" s="25"/>
      <c r="Y282" s="25"/>
      <c r="Z282" s="25"/>
    </row>
    <row r="283" spans="1:26" ht="52.5" customHeight="1" x14ac:dyDescent="0.25">
      <c r="A283" s="25" t="str">
        <f ca="1">IFERROR(__xludf.DUMMYFUNCTION("""COMPUTED_VALUE"""),"Segur281")</f>
        <v>Segur281</v>
      </c>
      <c r="B283" s="25"/>
      <c r="C283" s="55"/>
      <c r="D283" s="25" t="str">
        <f ca="1">IFERROR(__xludf.DUMMYFUNCTION("""COMPUTED_VALUE"""),"Seguridad")</f>
        <v>Seguridad</v>
      </c>
      <c r="E283" s="25"/>
      <c r="F283" s="25"/>
      <c r="G283" s="25"/>
      <c r="H283" s="25"/>
      <c r="I283" s="25"/>
      <c r="J283" s="55"/>
      <c r="K283" s="25" t="str">
        <f ca="1">IFERROR(__xludf.DUMMYFUNCTION("""COMPUTED_VALUE"""),"Definir fecha")</f>
        <v>Definir fecha</v>
      </c>
      <c r="L283" s="55"/>
      <c r="M283" s="25"/>
      <c r="N283" s="25"/>
      <c r="O283" s="25">
        <f t="shared" si="0"/>
        <v>0</v>
      </c>
      <c r="P283" s="25" t="str">
        <f t="shared" si="1"/>
        <v/>
      </c>
      <c r="Q283" s="25" t="str">
        <f ca="1">IFERROR(__xludf.DUMMYFUNCTION("""COMPUTED_VALUE"""),"Sin defenir")</f>
        <v>Sin defenir</v>
      </c>
      <c r="R283" s="25"/>
      <c r="S283" s="55"/>
      <c r="T283" s="56"/>
      <c r="U283" s="25"/>
      <c r="V283" s="25"/>
      <c r="W283" s="25"/>
      <c r="X283" s="25"/>
      <c r="Y283" s="25"/>
      <c r="Z283" s="25"/>
    </row>
    <row r="284" spans="1:26" ht="52.5" customHeight="1" x14ac:dyDescent="0.25">
      <c r="A284" s="25" t="str">
        <f ca="1">IFERROR(__xludf.DUMMYFUNCTION("""COMPUTED_VALUE"""),"Segur282")</f>
        <v>Segur282</v>
      </c>
      <c r="B284" s="25"/>
      <c r="C284" s="55"/>
      <c r="D284" s="25" t="str">
        <f ca="1">IFERROR(__xludf.DUMMYFUNCTION("""COMPUTED_VALUE"""),"Seguridad")</f>
        <v>Seguridad</v>
      </c>
      <c r="E284" s="25"/>
      <c r="F284" s="25"/>
      <c r="G284" s="25"/>
      <c r="H284" s="25"/>
      <c r="I284" s="25"/>
      <c r="J284" s="55"/>
      <c r="K284" s="25" t="str">
        <f ca="1">IFERROR(__xludf.DUMMYFUNCTION("""COMPUTED_VALUE"""),"Definir fecha")</f>
        <v>Definir fecha</v>
      </c>
      <c r="L284" s="55"/>
      <c r="M284" s="25"/>
      <c r="N284" s="25"/>
      <c r="O284" s="25">
        <f t="shared" si="0"/>
        <v>0</v>
      </c>
      <c r="P284" s="25" t="str">
        <f t="shared" si="1"/>
        <v/>
      </c>
      <c r="Q284" s="25" t="str">
        <f ca="1">IFERROR(__xludf.DUMMYFUNCTION("""COMPUTED_VALUE"""),"Sin defenir")</f>
        <v>Sin defenir</v>
      </c>
      <c r="R284" s="25"/>
      <c r="S284" s="55"/>
      <c r="T284" s="56"/>
      <c r="U284" s="25"/>
      <c r="V284" s="25"/>
      <c r="W284" s="25"/>
      <c r="X284" s="25"/>
      <c r="Y284" s="25"/>
      <c r="Z284" s="25"/>
    </row>
    <row r="285" spans="1:26" ht="52.5" customHeight="1" x14ac:dyDescent="0.25">
      <c r="A285" s="25" t="str">
        <f ca="1">IFERROR(__xludf.DUMMYFUNCTION("""COMPUTED_VALUE"""),"Segur283")</f>
        <v>Segur283</v>
      </c>
      <c r="B285" s="25"/>
      <c r="C285" s="55"/>
      <c r="D285" s="25" t="str">
        <f ca="1">IFERROR(__xludf.DUMMYFUNCTION("""COMPUTED_VALUE"""),"Seguridad")</f>
        <v>Seguridad</v>
      </c>
      <c r="E285" s="25"/>
      <c r="F285" s="25"/>
      <c r="G285" s="25"/>
      <c r="H285" s="25"/>
      <c r="I285" s="25"/>
      <c r="J285" s="55"/>
      <c r="K285" s="25" t="str">
        <f ca="1">IFERROR(__xludf.DUMMYFUNCTION("""COMPUTED_VALUE"""),"Definir fecha")</f>
        <v>Definir fecha</v>
      </c>
      <c r="L285" s="55"/>
      <c r="M285" s="25"/>
      <c r="N285" s="25"/>
      <c r="O285" s="25">
        <f t="shared" si="0"/>
        <v>0</v>
      </c>
      <c r="P285" s="25" t="str">
        <f t="shared" si="1"/>
        <v/>
      </c>
      <c r="Q285" s="25" t="str">
        <f ca="1">IFERROR(__xludf.DUMMYFUNCTION("""COMPUTED_VALUE"""),"Sin defenir")</f>
        <v>Sin defenir</v>
      </c>
      <c r="R285" s="25"/>
      <c r="S285" s="55"/>
      <c r="T285" s="56"/>
      <c r="U285" s="25"/>
      <c r="V285" s="25"/>
      <c r="W285" s="25"/>
      <c r="X285" s="25"/>
      <c r="Y285" s="25"/>
      <c r="Z285" s="25"/>
    </row>
    <row r="286" spans="1:26" ht="52.5" customHeight="1" x14ac:dyDescent="0.25">
      <c r="A286" s="25" t="str">
        <f ca="1">IFERROR(__xludf.DUMMYFUNCTION("""COMPUTED_VALUE"""),"Segur284")</f>
        <v>Segur284</v>
      </c>
      <c r="B286" s="25"/>
      <c r="C286" s="55"/>
      <c r="D286" s="25" t="str">
        <f ca="1">IFERROR(__xludf.DUMMYFUNCTION("""COMPUTED_VALUE"""),"Seguridad")</f>
        <v>Seguridad</v>
      </c>
      <c r="E286" s="25"/>
      <c r="F286" s="25"/>
      <c r="G286" s="25"/>
      <c r="H286" s="25"/>
      <c r="I286" s="25"/>
      <c r="J286" s="55"/>
      <c r="K286" s="25" t="str">
        <f ca="1">IFERROR(__xludf.DUMMYFUNCTION("""COMPUTED_VALUE"""),"Definir fecha")</f>
        <v>Definir fecha</v>
      </c>
      <c r="L286" s="55"/>
      <c r="M286" s="25"/>
      <c r="N286" s="25"/>
      <c r="O286" s="25">
        <f t="shared" si="0"/>
        <v>0</v>
      </c>
      <c r="P286" s="25" t="str">
        <f t="shared" si="1"/>
        <v/>
      </c>
      <c r="Q286" s="25" t="str">
        <f ca="1">IFERROR(__xludf.DUMMYFUNCTION("""COMPUTED_VALUE"""),"Sin defenir")</f>
        <v>Sin defenir</v>
      </c>
      <c r="R286" s="25"/>
      <c r="S286" s="55"/>
      <c r="T286" s="56"/>
      <c r="U286" s="25"/>
      <c r="V286" s="25"/>
      <c r="W286" s="25"/>
      <c r="X286" s="25"/>
      <c r="Y286" s="25"/>
      <c r="Z286" s="25"/>
    </row>
    <row r="287" spans="1:26" ht="52.5" customHeight="1" x14ac:dyDescent="0.25">
      <c r="A287" s="25" t="str">
        <f ca="1">IFERROR(__xludf.DUMMYFUNCTION("""COMPUTED_VALUE"""),"Segur285")</f>
        <v>Segur285</v>
      </c>
      <c r="B287" s="25"/>
      <c r="C287" s="55"/>
      <c r="D287" s="25" t="str">
        <f ca="1">IFERROR(__xludf.DUMMYFUNCTION("""COMPUTED_VALUE"""),"Seguridad")</f>
        <v>Seguridad</v>
      </c>
      <c r="E287" s="25"/>
      <c r="F287" s="25"/>
      <c r="G287" s="25"/>
      <c r="H287" s="25"/>
      <c r="I287" s="25"/>
      <c r="J287" s="55"/>
      <c r="K287" s="25" t="str">
        <f ca="1">IFERROR(__xludf.DUMMYFUNCTION("""COMPUTED_VALUE"""),"Definir fecha")</f>
        <v>Definir fecha</v>
      </c>
      <c r="L287" s="55"/>
      <c r="M287" s="25"/>
      <c r="N287" s="25"/>
      <c r="O287" s="25">
        <f t="shared" si="0"/>
        <v>0</v>
      </c>
      <c r="P287" s="25" t="str">
        <f t="shared" si="1"/>
        <v/>
      </c>
      <c r="Q287" s="25" t="str">
        <f ca="1">IFERROR(__xludf.DUMMYFUNCTION("""COMPUTED_VALUE"""),"Sin defenir")</f>
        <v>Sin defenir</v>
      </c>
      <c r="R287" s="25"/>
      <c r="S287" s="55"/>
      <c r="T287" s="56"/>
      <c r="U287" s="25"/>
      <c r="V287" s="25"/>
      <c r="W287" s="25"/>
      <c r="X287" s="25"/>
      <c r="Y287" s="25"/>
      <c r="Z287" s="25"/>
    </row>
    <row r="288" spans="1:26" ht="52.5" customHeight="1" x14ac:dyDescent="0.25">
      <c r="A288" s="25" t="str">
        <f ca="1">IFERROR(__xludf.DUMMYFUNCTION("""COMPUTED_VALUE"""),"Segur286")</f>
        <v>Segur286</v>
      </c>
      <c r="B288" s="25"/>
      <c r="C288" s="55"/>
      <c r="D288" s="25" t="str">
        <f ca="1">IFERROR(__xludf.DUMMYFUNCTION("""COMPUTED_VALUE"""),"Seguridad")</f>
        <v>Seguridad</v>
      </c>
      <c r="E288" s="25"/>
      <c r="F288" s="25"/>
      <c r="G288" s="25"/>
      <c r="H288" s="25"/>
      <c r="I288" s="25"/>
      <c r="J288" s="55"/>
      <c r="K288" s="25" t="str">
        <f ca="1">IFERROR(__xludf.DUMMYFUNCTION("""COMPUTED_VALUE"""),"Definir fecha")</f>
        <v>Definir fecha</v>
      </c>
      <c r="L288" s="55"/>
      <c r="M288" s="25"/>
      <c r="N288" s="25"/>
      <c r="O288" s="25">
        <f t="shared" si="0"/>
        <v>0</v>
      </c>
      <c r="P288" s="25" t="str">
        <f t="shared" si="1"/>
        <v/>
      </c>
      <c r="Q288" s="25" t="str">
        <f ca="1">IFERROR(__xludf.DUMMYFUNCTION("""COMPUTED_VALUE"""),"Sin defenir")</f>
        <v>Sin defenir</v>
      </c>
      <c r="R288" s="25"/>
      <c r="S288" s="55"/>
      <c r="T288" s="56"/>
      <c r="U288" s="25"/>
      <c r="V288" s="25"/>
      <c r="W288" s="25"/>
      <c r="X288" s="25"/>
      <c r="Y288" s="25"/>
      <c r="Z288" s="25"/>
    </row>
    <row r="289" spans="1:26" ht="52.5" customHeight="1" x14ac:dyDescent="0.25">
      <c r="A289" s="25" t="str">
        <f ca="1">IFERROR(__xludf.DUMMYFUNCTION("""COMPUTED_VALUE"""),"Segur287")</f>
        <v>Segur287</v>
      </c>
      <c r="B289" s="25"/>
      <c r="C289" s="55"/>
      <c r="D289" s="25" t="str">
        <f ca="1">IFERROR(__xludf.DUMMYFUNCTION("""COMPUTED_VALUE"""),"Seguridad")</f>
        <v>Seguridad</v>
      </c>
      <c r="E289" s="25"/>
      <c r="F289" s="25"/>
      <c r="G289" s="25"/>
      <c r="H289" s="25"/>
      <c r="I289" s="25"/>
      <c r="J289" s="55"/>
      <c r="K289" s="25" t="str">
        <f ca="1">IFERROR(__xludf.DUMMYFUNCTION("""COMPUTED_VALUE"""),"Definir fecha")</f>
        <v>Definir fecha</v>
      </c>
      <c r="L289" s="55"/>
      <c r="M289" s="25"/>
      <c r="N289" s="25"/>
      <c r="O289" s="25">
        <f t="shared" si="0"/>
        <v>0</v>
      </c>
      <c r="P289" s="25" t="str">
        <f t="shared" si="1"/>
        <v/>
      </c>
      <c r="Q289" s="25" t="str">
        <f ca="1">IFERROR(__xludf.DUMMYFUNCTION("""COMPUTED_VALUE"""),"Sin defenir")</f>
        <v>Sin defenir</v>
      </c>
      <c r="R289" s="25"/>
      <c r="S289" s="55"/>
      <c r="T289" s="56"/>
      <c r="U289" s="25"/>
      <c r="V289" s="25"/>
      <c r="W289" s="25"/>
      <c r="X289" s="25"/>
      <c r="Y289" s="25"/>
      <c r="Z289" s="25"/>
    </row>
    <row r="290" spans="1:26" ht="52.5" customHeight="1" x14ac:dyDescent="0.25">
      <c r="A290" s="25" t="str">
        <f ca="1">IFERROR(__xludf.DUMMYFUNCTION("""COMPUTED_VALUE"""),"Segur288")</f>
        <v>Segur288</v>
      </c>
      <c r="B290" s="25"/>
      <c r="C290" s="55"/>
      <c r="D290" s="25" t="str">
        <f ca="1">IFERROR(__xludf.DUMMYFUNCTION("""COMPUTED_VALUE"""),"Seguridad")</f>
        <v>Seguridad</v>
      </c>
      <c r="E290" s="25"/>
      <c r="F290" s="25"/>
      <c r="G290" s="25"/>
      <c r="H290" s="25"/>
      <c r="I290" s="25"/>
      <c r="J290" s="55"/>
      <c r="K290" s="25" t="str">
        <f ca="1">IFERROR(__xludf.DUMMYFUNCTION("""COMPUTED_VALUE"""),"Definir fecha")</f>
        <v>Definir fecha</v>
      </c>
      <c r="L290" s="55"/>
      <c r="M290" s="25"/>
      <c r="N290" s="25"/>
      <c r="O290" s="25">
        <f t="shared" si="0"/>
        <v>0</v>
      </c>
      <c r="P290" s="25" t="str">
        <f t="shared" si="1"/>
        <v/>
      </c>
      <c r="Q290" s="25" t="str">
        <f ca="1">IFERROR(__xludf.DUMMYFUNCTION("""COMPUTED_VALUE"""),"Sin defenir")</f>
        <v>Sin defenir</v>
      </c>
      <c r="R290" s="25"/>
      <c r="S290" s="55"/>
      <c r="T290" s="56"/>
      <c r="U290" s="25"/>
      <c r="V290" s="25"/>
      <c r="W290" s="25"/>
      <c r="X290" s="25"/>
      <c r="Y290" s="25"/>
      <c r="Z290" s="25"/>
    </row>
    <row r="291" spans="1:26" ht="52.5" customHeight="1" x14ac:dyDescent="0.25">
      <c r="A291" s="25" t="str">
        <f ca="1">IFERROR(__xludf.DUMMYFUNCTION("""COMPUTED_VALUE"""),"Segur289")</f>
        <v>Segur289</v>
      </c>
      <c r="B291" s="25"/>
      <c r="C291" s="55"/>
      <c r="D291" s="25" t="str">
        <f ca="1">IFERROR(__xludf.DUMMYFUNCTION("""COMPUTED_VALUE"""),"Seguridad")</f>
        <v>Seguridad</v>
      </c>
      <c r="E291" s="25"/>
      <c r="F291" s="25"/>
      <c r="G291" s="25"/>
      <c r="H291" s="25"/>
      <c r="I291" s="25"/>
      <c r="J291" s="55"/>
      <c r="K291" s="25" t="str">
        <f ca="1">IFERROR(__xludf.DUMMYFUNCTION("""COMPUTED_VALUE"""),"Definir fecha")</f>
        <v>Definir fecha</v>
      </c>
      <c r="L291" s="55"/>
      <c r="M291" s="25"/>
      <c r="N291" s="25"/>
      <c r="O291" s="25">
        <f t="shared" si="0"/>
        <v>0</v>
      </c>
      <c r="P291" s="25" t="str">
        <f t="shared" si="1"/>
        <v/>
      </c>
      <c r="Q291" s="25" t="str">
        <f ca="1">IFERROR(__xludf.DUMMYFUNCTION("""COMPUTED_VALUE"""),"Sin defenir")</f>
        <v>Sin defenir</v>
      </c>
      <c r="R291" s="25"/>
      <c r="S291" s="55"/>
      <c r="T291" s="56"/>
      <c r="U291" s="25"/>
      <c r="V291" s="25"/>
      <c r="W291" s="25"/>
      <c r="X291" s="25"/>
      <c r="Y291" s="25"/>
      <c r="Z291" s="25"/>
    </row>
    <row r="292" spans="1:26" ht="52.5" customHeight="1" x14ac:dyDescent="0.25">
      <c r="A292" s="25" t="str">
        <f ca="1">IFERROR(__xludf.DUMMYFUNCTION("""COMPUTED_VALUE"""),"Segur290")</f>
        <v>Segur290</v>
      </c>
      <c r="B292" s="25"/>
      <c r="C292" s="55"/>
      <c r="D292" s="25" t="str">
        <f ca="1">IFERROR(__xludf.DUMMYFUNCTION("""COMPUTED_VALUE"""),"Seguridad")</f>
        <v>Seguridad</v>
      </c>
      <c r="E292" s="25"/>
      <c r="F292" s="25"/>
      <c r="G292" s="25"/>
      <c r="H292" s="25"/>
      <c r="I292" s="25"/>
      <c r="J292" s="55"/>
      <c r="K292" s="25" t="str">
        <f ca="1">IFERROR(__xludf.DUMMYFUNCTION("""COMPUTED_VALUE"""),"Definir fecha")</f>
        <v>Definir fecha</v>
      </c>
      <c r="L292" s="55"/>
      <c r="M292" s="25"/>
      <c r="N292" s="25"/>
      <c r="O292" s="25">
        <f t="shared" si="0"/>
        <v>0</v>
      </c>
      <c r="P292" s="25" t="str">
        <f t="shared" si="1"/>
        <v/>
      </c>
      <c r="Q292" s="25" t="str">
        <f ca="1">IFERROR(__xludf.DUMMYFUNCTION("""COMPUTED_VALUE"""),"Sin defenir")</f>
        <v>Sin defenir</v>
      </c>
      <c r="R292" s="25"/>
      <c r="S292" s="55"/>
      <c r="T292" s="56"/>
      <c r="U292" s="25"/>
      <c r="V292" s="25"/>
      <c r="W292" s="25"/>
      <c r="X292" s="25"/>
      <c r="Y292" s="25"/>
      <c r="Z292" s="25"/>
    </row>
    <row r="293" spans="1:26" ht="52.5" customHeight="1" x14ac:dyDescent="0.25">
      <c r="A293" s="25" t="str">
        <f ca="1">IFERROR(__xludf.DUMMYFUNCTION("""COMPUTED_VALUE"""),"Segur291")</f>
        <v>Segur291</v>
      </c>
      <c r="B293" s="25"/>
      <c r="C293" s="55"/>
      <c r="D293" s="25" t="str">
        <f ca="1">IFERROR(__xludf.DUMMYFUNCTION("""COMPUTED_VALUE"""),"Seguridad")</f>
        <v>Seguridad</v>
      </c>
      <c r="E293" s="25"/>
      <c r="F293" s="25"/>
      <c r="G293" s="25"/>
      <c r="H293" s="25"/>
      <c r="I293" s="25"/>
      <c r="J293" s="55"/>
      <c r="K293" s="25" t="str">
        <f ca="1">IFERROR(__xludf.DUMMYFUNCTION("""COMPUTED_VALUE"""),"Definir fecha")</f>
        <v>Definir fecha</v>
      </c>
      <c r="L293" s="55"/>
      <c r="M293" s="25"/>
      <c r="N293" s="25"/>
      <c r="O293" s="25">
        <f t="shared" si="0"/>
        <v>0</v>
      </c>
      <c r="P293" s="25" t="str">
        <f t="shared" si="1"/>
        <v/>
      </c>
      <c r="Q293" s="25" t="str">
        <f ca="1">IFERROR(__xludf.DUMMYFUNCTION("""COMPUTED_VALUE"""),"Sin defenir")</f>
        <v>Sin defenir</v>
      </c>
      <c r="R293" s="25"/>
      <c r="S293" s="55"/>
      <c r="T293" s="56"/>
      <c r="U293" s="25"/>
      <c r="V293" s="25"/>
      <c r="W293" s="25"/>
      <c r="X293" s="25"/>
      <c r="Y293" s="25"/>
      <c r="Z293" s="25"/>
    </row>
    <row r="294" spans="1:26" ht="52.5" customHeight="1" x14ac:dyDescent="0.25">
      <c r="A294" s="25" t="str">
        <f ca="1">IFERROR(__xludf.DUMMYFUNCTION("""COMPUTED_VALUE"""),"Segur292")</f>
        <v>Segur292</v>
      </c>
      <c r="B294" s="25"/>
      <c r="C294" s="55"/>
      <c r="D294" s="25" t="str">
        <f ca="1">IFERROR(__xludf.DUMMYFUNCTION("""COMPUTED_VALUE"""),"Seguridad")</f>
        <v>Seguridad</v>
      </c>
      <c r="E294" s="25"/>
      <c r="F294" s="25"/>
      <c r="G294" s="25"/>
      <c r="H294" s="25"/>
      <c r="I294" s="25"/>
      <c r="J294" s="55"/>
      <c r="K294" s="25" t="str">
        <f ca="1">IFERROR(__xludf.DUMMYFUNCTION("""COMPUTED_VALUE"""),"Definir fecha")</f>
        <v>Definir fecha</v>
      </c>
      <c r="L294" s="55"/>
      <c r="M294" s="25"/>
      <c r="N294" s="25"/>
      <c r="O294" s="25">
        <f t="shared" si="0"/>
        <v>0</v>
      </c>
      <c r="P294" s="25" t="str">
        <f t="shared" si="1"/>
        <v/>
      </c>
      <c r="Q294" s="25" t="str">
        <f ca="1">IFERROR(__xludf.DUMMYFUNCTION("""COMPUTED_VALUE"""),"Sin defenir")</f>
        <v>Sin defenir</v>
      </c>
      <c r="R294" s="25"/>
      <c r="S294" s="55"/>
      <c r="T294" s="56"/>
      <c r="U294" s="25"/>
      <c r="V294" s="25"/>
      <c r="W294" s="25"/>
      <c r="X294" s="25"/>
      <c r="Y294" s="25"/>
      <c r="Z294" s="25"/>
    </row>
    <row r="295" spans="1:26" ht="52.5" customHeight="1" x14ac:dyDescent="0.25">
      <c r="A295" s="25" t="str">
        <f ca="1">IFERROR(__xludf.DUMMYFUNCTION("""COMPUTED_VALUE"""),"Segur293")</f>
        <v>Segur293</v>
      </c>
      <c r="B295" s="25"/>
      <c r="C295" s="55"/>
      <c r="D295" s="25" t="str">
        <f ca="1">IFERROR(__xludf.DUMMYFUNCTION("""COMPUTED_VALUE"""),"Seguridad")</f>
        <v>Seguridad</v>
      </c>
      <c r="E295" s="25"/>
      <c r="F295" s="25"/>
      <c r="G295" s="25"/>
      <c r="H295" s="25"/>
      <c r="I295" s="25"/>
      <c r="J295" s="55"/>
      <c r="K295" s="25" t="str">
        <f ca="1">IFERROR(__xludf.DUMMYFUNCTION("""COMPUTED_VALUE"""),"Definir fecha")</f>
        <v>Definir fecha</v>
      </c>
      <c r="L295" s="55"/>
      <c r="M295" s="25"/>
      <c r="N295" s="25"/>
      <c r="O295" s="25">
        <f t="shared" si="0"/>
        <v>0</v>
      </c>
      <c r="P295" s="25" t="str">
        <f t="shared" si="1"/>
        <v/>
      </c>
      <c r="Q295" s="25" t="str">
        <f ca="1">IFERROR(__xludf.DUMMYFUNCTION("""COMPUTED_VALUE"""),"Sin defenir")</f>
        <v>Sin defenir</v>
      </c>
      <c r="R295" s="25"/>
      <c r="S295" s="55"/>
      <c r="T295" s="56"/>
      <c r="U295" s="25"/>
      <c r="V295" s="25"/>
      <c r="W295" s="25"/>
      <c r="X295" s="25"/>
      <c r="Y295" s="25"/>
      <c r="Z295" s="25"/>
    </row>
    <row r="296" spans="1:26" ht="52.5" customHeight="1" x14ac:dyDescent="0.25">
      <c r="A296" s="25" t="str">
        <f ca="1">IFERROR(__xludf.DUMMYFUNCTION("""COMPUTED_VALUE"""),"Segur294")</f>
        <v>Segur294</v>
      </c>
      <c r="B296" s="25"/>
      <c r="C296" s="55"/>
      <c r="D296" s="25" t="str">
        <f ca="1">IFERROR(__xludf.DUMMYFUNCTION("""COMPUTED_VALUE"""),"Seguridad")</f>
        <v>Seguridad</v>
      </c>
      <c r="E296" s="25"/>
      <c r="F296" s="25"/>
      <c r="G296" s="25"/>
      <c r="H296" s="25"/>
      <c r="I296" s="25"/>
      <c r="J296" s="55"/>
      <c r="K296" s="25" t="str">
        <f ca="1">IFERROR(__xludf.DUMMYFUNCTION("""COMPUTED_VALUE"""),"Definir fecha")</f>
        <v>Definir fecha</v>
      </c>
      <c r="L296" s="55"/>
      <c r="M296" s="25"/>
      <c r="N296" s="25"/>
      <c r="O296" s="25">
        <f t="shared" si="0"/>
        <v>0</v>
      </c>
      <c r="P296" s="25" t="str">
        <f t="shared" si="1"/>
        <v/>
      </c>
      <c r="Q296" s="25" t="str">
        <f ca="1">IFERROR(__xludf.DUMMYFUNCTION("""COMPUTED_VALUE"""),"Sin defenir")</f>
        <v>Sin defenir</v>
      </c>
      <c r="R296" s="25"/>
      <c r="S296" s="55"/>
      <c r="T296" s="56"/>
      <c r="U296" s="25"/>
      <c r="V296" s="25"/>
      <c r="W296" s="25"/>
      <c r="X296" s="25"/>
      <c r="Y296" s="25"/>
      <c r="Z296" s="25"/>
    </row>
    <row r="297" spans="1:26" ht="52.5" customHeight="1" x14ac:dyDescent="0.25">
      <c r="A297" s="25" t="str">
        <f ca="1">IFERROR(__xludf.DUMMYFUNCTION("""COMPUTED_VALUE"""),"Segur295")</f>
        <v>Segur295</v>
      </c>
      <c r="B297" s="25"/>
      <c r="C297" s="55"/>
      <c r="D297" s="25" t="str">
        <f ca="1">IFERROR(__xludf.DUMMYFUNCTION("""COMPUTED_VALUE"""),"Seguridad")</f>
        <v>Seguridad</v>
      </c>
      <c r="E297" s="25"/>
      <c r="F297" s="25"/>
      <c r="G297" s="25"/>
      <c r="H297" s="25"/>
      <c r="I297" s="25"/>
      <c r="J297" s="55"/>
      <c r="K297" s="25" t="str">
        <f ca="1">IFERROR(__xludf.DUMMYFUNCTION("""COMPUTED_VALUE"""),"Definir fecha")</f>
        <v>Definir fecha</v>
      </c>
      <c r="L297" s="55"/>
      <c r="M297" s="25"/>
      <c r="N297" s="25"/>
      <c r="O297" s="25">
        <f t="shared" si="0"/>
        <v>0</v>
      </c>
      <c r="P297" s="25" t="str">
        <f t="shared" si="1"/>
        <v/>
      </c>
      <c r="Q297" s="25" t="str">
        <f ca="1">IFERROR(__xludf.DUMMYFUNCTION("""COMPUTED_VALUE"""),"Sin defenir")</f>
        <v>Sin defenir</v>
      </c>
      <c r="R297" s="25"/>
      <c r="S297" s="55"/>
      <c r="T297" s="56"/>
      <c r="U297" s="25"/>
      <c r="V297" s="25"/>
      <c r="W297" s="25"/>
      <c r="X297" s="25"/>
      <c r="Y297" s="25"/>
      <c r="Z297" s="25"/>
    </row>
    <row r="298" spans="1:26" ht="52.5" customHeight="1" x14ac:dyDescent="0.25">
      <c r="A298" s="25" t="str">
        <f ca="1">IFERROR(__xludf.DUMMYFUNCTION("""COMPUTED_VALUE"""),"Segur296")</f>
        <v>Segur296</v>
      </c>
      <c r="B298" s="25"/>
      <c r="C298" s="55"/>
      <c r="D298" s="25" t="str">
        <f ca="1">IFERROR(__xludf.DUMMYFUNCTION("""COMPUTED_VALUE"""),"Seguridad")</f>
        <v>Seguridad</v>
      </c>
      <c r="E298" s="25"/>
      <c r="F298" s="25"/>
      <c r="G298" s="25"/>
      <c r="H298" s="25"/>
      <c r="I298" s="25"/>
      <c r="J298" s="55"/>
      <c r="K298" s="25" t="str">
        <f ca="1">IFERROR(__xludf.DUMMYFUNCTION("""COMPUTED_VALUE"""),"Definir fecha")</f>
        <v>Definir fecha</v>
      </c>
      <c r="L298" s="55"/>
      <c r="M298" s="25"/>
      <c r="N298" s="25"/>
      <c r="O298" s="25">
        <f t="shared" si="0"/>
        <v>0</v>
      </c>
      <c r="P298" s="25" t="str">
        <f t="shared" si="1"/>
        <v/>
      </c>
      <c r="Q298" s="25" t="str">
        <f ca="1">IFERROR(__xludf.DUMMYFUNCTION("""COMPUTED_VALUE"""),"Sin defenir")</f>
        <v>Sin defenir</v>
      </c>
      <c r="R298" s="25"/>
      <c r="S298" s="55"/>
      <c r="T298" s="56"/>
      <c r="U298" s="25"/>
      <c r="V298" s="25"/>
      <c r="W298" s="25"/>
      <c r="X298" s="25"/>
      <c r="Y298" s="25"/>
      <c r="Z298" s="25"/>
    </row>
    <row r="299" spans="1:26" ht="52.5" customHeight="1" x14ac:dyDescent="0.25">
      <c r="A299" s="25" t="str">
        <f ca="1">IFERROR(__xludf.DUMMYFUNCTION("""COMPUTED_VALUE"""),"Segur297")</f>
        <v>Segur297</v>
      </c>
      <c r="B299" s="25"/>
      <c r="C299" s="55"/>
      <c r="D299" s="25" t="str">
        <f ca="1">IFERROR(__xludf.DUMMYFUNCTION("""COMPUTED_VALUE"""),"Seguridad")</f>
        <v>Seguridad</v>
      </c>
      <c r="E299" s="25"/>
      <c r="F299" s="25"/>
      <c r="G299" s="25"/>
      <c r="H299" s="25"/>
      <c r="I299" s="25"/>
      <c r="J299" s="55"/>
      <c r="K299" s="25" t="str">
        <f ca="1">IFERROR(__xludf.DUMMYFUNCTION("""COMPUTED_VALUE"""),"Definir fecha")</f>
        <v>Definir fecha</v>
      </c>
      <c r="L299" s="55"/>
      <c r="M299" s="25"/>
      <c r="N299" s="25"/>
      <c r="O299" s="25">
        <f t="shared" si="0"/>
        <v>0</v>
      </c>
      <c r="P299" s="25" t="str">
        <f t="shared" si="1"/>
        <v/>
      </c>
      <c r="Q299" s="25" t="str">
        <f ca="1">IFERROR(__xludf.DUMMYFUNCTION("""COMPUTED_VALUE"""),"Sin defenir")</f>
        <v>Sin defenir</v>
      </c>
      <c r="R299" s="25"/>
      <c r="S299" s="55"/>
      <c r="T299" s="56"/>
      <c r="U299" s="25"/>
      <c r="V299" s="25"/>
      <c r="W299" s="25"/>
      <c r="X299" s="25"/>
      <c r="Y299" s="25"/>
      <c r="Z299" s="25"/>
    </row>
    <row r="300" spans="1:26" ht="52.5" customHeight="1" x14ac:dyDescent="0.25">
      <c r="A300" s="25" t="str">
        <f ca="1">IFERROR(__xludf.DUMMYFUNCTION("""COMPUTED_VALUE"""),"Segur298")</f>
        <v>Segur298</v>
      </c>
      <c r="B300" s="25"/>
      <c r="C300" s="55"/>
      <c r="D300" s="25" t="str">
        <f ca="1">IFERROR(__xludf.DUMMYFUNCTION("""COMPUTED_VALUE"""),"Seguridad")</f>
        <v>Seguridad</v>
      </c>
      <c r="E300" s="25"/>
      <c r="F300" s="25"/>
      <c r="G300" s="25"/>
      <c r="H300" s="25"/>
      <c r="I300" s="25"/>
      <c r="J300" s="55"/>
      <c r="K300" s="25" t="str">
        <f ca="1">IFERROR(__xludf.DUMMYFUNCTION("""COMPUTED_VALUE"""),"Definir fecha")</f>
        <v>Definir fecha</v>
      </c>
      <c r="L300" s="55"/>
      <c r="M300" s="25"/>
      <c r="N300" s="25"/>
      <c r="O300" s="25">
        <f t="shared" si="0"/>
        <v>0</v>
      </c>
      <c r="P300" s="25" t="str">
        <f t="shared" si="1"/>
        <v/>
      </c>
      <c r="Q300" s="25" t="str">
        <f ca="1">IFERROR(__xludf.DUMMYFUNCTION("""COMPUTED_VALUE"""),"Sin defenir")</f>
        <v>Sin defenir</v>
      </c>
      <c r="R300" s="25"/>
      <c r="S300" s="55"/>
      <c r="T300" s="56"/>
      <c r="U300" s="25"/>
      <c r="V300" s="25"/>
      <c r="W300" s="25"/>
      <c r="X300" s="25"/>
      <c r="Y300" s="25"/>
      <c r="Z300" s="25"/>
    </row>
    <row r="301" spans="1:26" ht="52.5" customHeight="1" x14ac:dyDescent="0.25">
      <c r="A301" s="25" t="str">
        <f ca="1">IFERROR(__xludf.DUMMYFUNCTION("""COMPUTED_VALUE"""),"Segur299")</f>
        <v>Segur299</v>
      </c>
      <c r="B301" s="25"/>
      <c r="C301" s="55"/>
      <c r="D301" s="25" t="str">
        <f ca="1">IFERROR(__xludf.DUMMYFUNCTION("""COMPUTED_VALUE"""),"Seguridad")</f>
        <v>Seguridad</v>
      </c>
      <c r="E301" s="25"/>
      <c r="F301" s="25"/>
      <c r="G301" s="25"/>
      <c r="H301" s="25"/>
      <c r="I301" s="25"/>
      <c r="J301" s="55"/>
      <c r="K301" s="25" t="str">
        <f ca="1">IFERROR(__xludf.DUMMYFUNCTION("""COMPUTED_VALUE"""),"Definir fecha")</f>
        <v>Definir fecha</v>
      </c>
      <c r="L301" s="55"/>
      <c r="M301" s="25"/>
      <c r="N301" s="25"/>
      <c r="O301" s="25">
        <f t="shared" si="0"/>
        <v>0</v>
      </c>
      <c r="P301" s="25" t="str">
        <f t="shared" si="1"/>
        <v/>
      </c>
      <c r="Q301" s="25" t="str">
        <f ca="1">IFERROR(__xludf.DUMMYFUNCTION("""COMPUTED_VALUE"""),"Sin defenir")</f>
        <v>Sin defenir</v>
      </c>
      <c r="R301" s="25"/>
      <c r="S301" s="55"/>
      <c r="T301" s="56"/>
      <c r="U301" s="25"/>
      <c r="V301" s="25"/>
      <c r="W301" s="25"/>
      <c r="X301" s="25"/>
      <c r="Y301" s="25"/>
      <c r="Z301" s="25"/>
    </row>
    <row r="302" spans="1:26" ht="52.5" customHeight="1" x14ac:dyDescent="0.25">
      <c r="A302" s="25" t="str">
        <f ca="1">IFERROR(__xludf.DUMMYFUNCTION("""COMPUTED_VALUE"""),"Segur300")</f>
        <v>Segur300</v>
      </c>
      <c r="B302" s="25"/>
      <c r="C302" s="55"/>
      <c r="D302" s="25" t="str">
        <f ca="1">IFERROR(__xludf.DUMMYFUNCTION("""COMPUTED_VALUE"""),"Seguridad")</f>
        <v>Seguridad</v>
      </c>
      <c r="E302" s="25"/>
      <c r="F302" s="25"/>
      <c r="G302" s="25"/>
      <c r="H302" s="25"/>
      <c r="I302" s="25"/>
      <c r="J302" s="55"/>
      <c r="K302" s="25" t="str">
        <f ca="1">IFERROR(__xludf.DUMMYFUNCTION("""COMPUTED_VALUE"""),"Definir fecha")</f>
        <v>Definir fecha</v>
      </c>
      <c r="L302" s="62"/>
      <c r="M302" s="25"/>
      <c r="N302" s="25"/>
      <c r="O302" s="25">
        <f t="shared" si="0"/>
        <v>0</v>
      </c>
      <c r="P302" s="25"/>
      <c r="Q302" s="25" t="str">
        <f ca="1">IFERROR(__xludf.DUMMYFUNCTION("""COMPUTED_VALUE"""),"Sin defenir")</f>
        <v>Sin defenir</v>
      </c>
      <c r="R302" s="25"/>
      <c r="S302" s="55"/>
      <c r="T302" s="56"/>
      <c r="U302" s="25"/>
      <c r="V302" s="25"/>
      <c r="W302" s="25"/>
      <c r="X302" s="25"/>
      <c r="Y302" s="25"/>
      <c r="Z302" s="25"/>
    </row>
    <row r="303" spans="1:26" ht="52.5" customHeight="1" x14ac:dyDescent="0.25">
      <c r="A303" s="25" t="str">
        <f ca="1">IFERROR(__xludf.DUMMYFUNCTION("IMPORTRANGE(""https://docs.google.com/spreadsheets/d/1SUh42QDwFP8obN0GNIj4rWfstJx5kDi_GF8-hP5_7Ug/edit#gid=330735094"",""Salud!A2:K301"")"),"Salud1")</f>
        <v>Salud1</v>
      </c>
      <c r="B303" s="25" t="str">
        <f ca="1">IFERROR(__xludf.DUMMYFUNCTION("""COMPUTED_VALUE"""),"Proyectos estratégicos e infraestructura de Salud ")</f>
        <v xml:space="preserve">Proyectos estratégicos e infraestructura de Salud </v>
      </c>
      <c r="C303" s="55" t="str">
        <f ca="1">IFERROR(__xludf.DUMMYFUNCTION("""COMPUTED_VALUE"""),"25/01/2021")</f>
        <v>25/01/2021</v>
      </c>
      <c r="D303" s="25" t="str">
        <f ca="1">IFERROR(__xludf.DUMMYFUNCTION("""COMPUTED_VALUE"""),"Salud")</f>
        <v>Salud</v>
      </c>
      <c r="E303" s="25" t="str">
        <f ca="1">IFERROR(__xludf.DUMMYFUNCTION("""COMPUTED_VALUE"""),"Secretaría Distrital de Salud")</f>
        <v>Secretaría Distrital de Salud</v>
      </c>
      <c r="F303" s="25" t="str">
        <f ca="1">IFERROR(__xludf.DUMMYFUNCTION("""COMPUTED_VALUE"""),"Culminar las 4.736 visitas de tamizaje para desnutrición")</f>
        <v>Culminar las 4.736 visitas de tamizaje para desnutrición</v>
      </c>
      <c r="G303" s="25" t="str">
        <f ca="1">IFERROR(__xludf.DUMMYFUNCTION("""COMPUTED_VALUE"""),"99. Distrito")</f>
        <v>99. Distrito</v>
      </c>
      <c r="H303" s="55">
        <f ca="1">IFERROR(__xludf.DUMMYFUNCTION("""COMPUTED_VALUE"""),44251)</f>
        <v>44251</v>
      </c>
      <c r="I303" s="25"/>
      <c r="J303" s="55" t="str">
        <f ca="1">IFERROR(__xludf.DUMMYFUNCTION("""COMPUTED_VALUE"""),"Alta")</f>
        <v>Alta</v>
      </c>
      <c r="K303" s="25">
        <f ca="1">IFERROR(__xludf.DUMMYFUNCTION("""COMPUTED_VALUE"""),30)</f>
        <v>30</v>
      </c>
      <c r="L303" s="63">
        <f ca="1">IFERROR(__xludf.DUMMYFUNCTION("IMPORTRANGE(""https://docs.google.com/spreadsheets/d/1SUh42QDwFP8obN0GNIj4rWfstJx5kDi_GF8-hP5_7Ug/edit#gid=330735094"",""Salud!M2:O301"")"),44421)</f>
        <v>44421</v>
      </c>
      <c r="M303" s="25" t="str">
        <f ca="1">IFERROR(__xludf.DUMMYFUNCTION("""COMPUTED_VALUE"""),"Se tienen tamizados 17.518 niños y niñas, con clasificación nutricional. De la base de niños reportados a agosto 13, hay pendientes por gestionar 11.217 (llamar a verificar información y así visitar para tamizar). ")</f>
        <v xml:space="preserve">Se tienen tamizados 17.518 niños y niñas, con clasificación nutricional. De la base de niños reportados a agosto 13, hay pendientes por gestionar 11.217 (llamar a verificar información y así visitar para tamizar). </v>
      </c>
      <c r="N303" s="55">
        <f ca="1">IFERROR(__xludf.DUMMYFUNCTION("""COMPUTED_VALUE"""),44421)</f>
        <v>44421</v>
      </c>
      <c r="O303" s="25" t="str">
        <f t="shared" ca="1" si="0"/>
        <v>Secretaría Distrital de Salud</v>
      </c>
      <c r="P303" s="25" t="str">
        <f t="shared" ref="P303:P4503" si="2">IFERROR(IF(I303="","",IFERROR(IF(K303="Cerrado","Actualizado",IF(DATEVALUE(C303)&gt;DATEVALUE($S$4),"Actualizado",IF(AND(IF(L303="",FALSE,DATEVALUE(L303)&gt;DATEVALUE($S$3)),IF(C303="",TRUE,DATEVALUE(C303)&lt;DATEVALUE($S$4))),"Actualizado","Desactualizado"))),"")),"")</f>
        <v/>
      </c>
      <c r="Q303" s="25" t="str">
        <f ca="1">IFERROR(__xludf.DUMMYFUNCTION("IMPORTRANGE(""https://docs.google.com/spreadsheets/d/1SUh42QDwFP8obN0GNIj4rWfstJx5kDi_GF8-hP5_7Ug/edit#gid=330735094"",""Salud!L2:L301"")"),"Corto plazo")</f>
        <v>Corto plazo</v>
      </c>
      <c r="R303" s="25"/>
      <c r="S303" s="55"/>
      <c r="T303" s="56"/>
      <c r="U303" s="25"/>
      <c r="V303" s="25"/>
      <c r="W303" s="25"/>
      <c r="X303" s="25"/>
      <c r="Y303" s="25"/>
      <c r="Z303" s="25"/>
    </row>
    <row r="304" spans="1:26" ht="52.5" customHeight="1" x14ac:dyDescent="0.25">
      <c r="A304" s="25" t="str">
        <f ca="1">IFERROR(__xludf.DUMMYFUNCTION("""COMPUTED_VALUE"""),"Salud2")</f>
        <v>Salud2</v>
      </c>
      <c r="B304" s="25" t="str">
        <f ca="1">IFERROR(__xludf.DUMMYFUNCTION("""COMPUTED_VALUE"""),"Proyectos estratégicos e infraestructura de Salud ")</f>
        <v xml:space="preserve">Proyectos estratégicos e infraestructura de Salud </v>
      </c>
      <c r="C304" s="55" t="str">
        <f ca="1">IFERROR(__xludf.DUMMYFUNCTION("""COMPUTED_VALUE"""),"25/01/2021")</f>
        <v>25/01/2021</v>
      </c>
      <c r="D304" s="25" t="str">
        <f ca="1">IFERROR(__xludf.DUMMYFUNCTION("""COMPUTED_VALUE"""),"Salud")</f>
        <v>Salud</v>
      </c>
      <c r="E304" s="25" t="str">
        <f ca="1">IFERROR(__xludf.DUMMYFUNCTION("""COMPUTED_VALUE"""),"Secretaría Distrital de Salud")</f>
        <v>Secretaría Distrital de Salud</v>
      </c>
      <c r="F304" s="25" t="str">
        <f ca="1">IFERROR(__xludf.DUMMYFUNCTION("""COMPUTED_VALUE"""),"Definir cronograma de implementación de niño a niño")</f>
        <v>Definir cronograma de implementación de niño a niño</v>
      </c>
      <c r="G304" s="25" t="str">
        <f ca="1">IFERROR(__xludf.DUMMYFUNCTION("""COMPUTED_VALUE"""),"99. Distrito")</f>
        <v>99. Distrito</v>
      </c>
      <c r="H304" s="55">
        <f ca="1">IFERROR(__xludf.DUMMYFUNCTION("""COMPUTED_VALUE"""),44251)</f>
        <v>44251</v>
      </c>
      <c r="I304" s="25"/>
      <c r="J304" s="55" t="str">
        <f ca="1">IFERROR(__xludf.DUMMYFUNCTION("""COMPUTED_VALUE"""),"Alta")</f>
        <v>Alta</v>
      </c>
      <c r="K304" s="25">
        <f ca="1">IFERROR(__xludf.DUMMYFUNCTION("""COMPUTED_VALUE"""),30)</f>
        <v>30</v>
      </c>
      <c r="L304" s="62">
        <f ca="1">IFERROR(__xludf.DUMMYFUNCTION("""COMPUTED_VALUE"""),44421)</f>
        <v>44421</v>
      </c>
      <c r="M304" s="25" t="str">
        <f ca="1">IFERROR(__xludf.DUMMYFUNCTION("""COMPUTED_VALUE"""),"En el marco del convenio con la SDIS, para el año 2021 se han desarrollado dos reuniones con la SDIS con el fin de definir los procedimientos para lograr el cargue del 100% de las atenciones, en este momento se está realizando el alistamiento de la inform"&amp;"ación para el reporte de las atencione año 2020 y primer semestre de 2021.
Seguimiento 18/05: Ágata está realizando un ejercicio más amplio donde el sistema niño a niño podría hacer parte. Mientras tanto se está consolidando la información en el sistema d"&amp;"e GCP para automatizar la carga de la información y que quede atada al centro de gobierno. 
Seguimiento 04/02/2021: Cronograma de implementación sistema niño a niño: Manuel Riaño presentará una propuesta al secretario de salud sobre la interoperabilidad. "&amp;"El 26 de febrero podemos saber en qué quedó el tema.
Seguimiento 21/06/2022: La SDS no tiene el cronograma de implementación de niño a niño porque el contrato con Ágata es de otro objeto. La SDIS tiene incluido dentro de ciudadano 360 (con Ágata) a los ni"&amp;"ños y niñas que están en su ruta y de las entidades que se sumen.")</f>
        <v>En el marco del convenio con la SDIS, para el año 2021 se han desarrollado dos reuniones con la SDIS con el fin de definir los procedimientos para lograr el cargue del 100% de las atenciones, en este momento se está realizando el alistamiento de la información para el reporte de las atencione año 2020 y primer semestre de 2021.
Seguimiento 18/05: Ágata está realizando un ejercicio más amplio donde el sistema niño a niño podría hacer parte. Mientras tanto se está consolidando la información en el sistema de GCP para automatizar la carga de la información y que quede atada al centro de gobierno. 
Seguimiento 04/02/2021: Cronograma de implementación sistema niño a niño: Manuel Riaño presentará una propuesta al secretario de salud sobre la interoperabilidad. El 26 de febrero podemos saber en qué quedó el tema.
Seguimiento 21/06/2022: La SDS no tiene el cronograma de implementación de niño a niño porque el contrato con Ágata es de otro objeto. La SDIS tiene incluido dentro de ciudadano 360 (con Ágata) a los niños y niñas que están en su ruta y de las entidades que se sumen.</v>
      </c>
      <c r="N304" s="55">
        <f ca="1">IFERROR(__xludf.DUMMYFUNCTION("""COMPUTED_VALUE"""),44421)</f>
        <v>44421</v>
      </c>
      <c r="O304" s="25" t="str">
        <f t="shared" ca="1" si="0"/>
        <v>Secretaría Distrital de Salud</v>
      </c>
      <c r="P304" s="25" t="str">
        <f t="shared" si="2"/>
        <v/>
      </c>
      <c r="Q304" s="25" t="str">
        <f ca="1">IFERROR(__xludf.DUMMYFUNCTION("""COMPUTED_VALUE"""),"Corto plazo")</f>
        <v>Corto plazo</v>
      </c>
      <c r="R304" s="25"/>
      <c r="S304" s="55"/>
      <c r="T304" s="56"/>
      <c r="U304" s="25"/>
      <c r="V304" s="25"/>
      <c r="W304" s="25"/>
      <c r="X304" s="25"/>
      <c r="Y304" s="25"/>
      <c r="Z304" s="25"/>
    </row>
    <row r="305" spans="1:26" ht="52.5" customHeight="1" x14ac:dyDescent="0.25">
      <c r="A305" s="25" t="str">
        <f ca="1">IFERROR(__xludf.DUMMYFUNCTION("""COMPUTED_VALUE"""),"Salud3")</f>
        <v>Salud3</v>
      </c>
      <c r="B305" s="25" t="str">
        <f ca="1">IFERROR(__xludf.DUMMYFUNCTION("""COMPUTED_VALUE"""),"Proyectos estratégicos e infraestructura de Salud ")</f>
        <v xml:space="preserve">Proyectos estratégicos e infraestructura de Salud </v>
      </c>
      <c r="C305" s="55" t="str">
        <f ca="1">IFERROR(__xludf.DUMMYFUNCTION("""COMPUTED_VALUE"""),"25/01/2021")</f>
        <v>25/01/2021</v>
      </c>
      <c r="D305" s="25" t="str">
        <f ca="1">IFERROR(__xludf.DUMMYFUNCTION("""COMPUTED_VALUE"""),"Salud")</f>
        <v>Salud</v>
      </c>
      <c r="E305" s="25" t="str">
        <f ca="1">IFERROR(__xludf.DUMMYFUNCTION("""COMPUTED_VALUE"""),"Secretaría Distrital de Salud")</f>
        <v>Secretaría Distrital de Salud</v>
      </c>
      <c r="F305" s="25" t="str">
        <f ca="1">IFERROR(__xludf.DUMMYFUNCTION("""COMPUTED_VALUE"""),"Mejorar el Sistema de Información de las EPS ")</f>
        <v xml:space="preserve">Mejorar el Sistema de Información de las EPS </v>
      </c>
      <c r="G305" s="25" t="str">
        <f ca="1">IFERROR(__xludf.DUMMYFUNCTION("""COMPUTED_VALUE"""),"99. Distrito")</f>
        <v>99. Distrito</v>
      </c>
      <c r="H305" s="55">
        <f ca="1">IFERROR(__xludf.DUMMYFUNCTION("""COMPUTED_VALUE"""),44251)</f>
        <v>44251</v>
      </c>
      <c r="I305" s="25"/>
      <c r="J305" s="55" t="str">
        <f ca="1">IFERROR(__xludf.DUMMYFUNCTION("""COMPUTED_VALUE"""),"Alta")</f>
        <v>Alta</v>
      </c>
      <c r="K305" s="25">
        <f ca="1">IFERROR(__xludf.DUMMYFUNCTION("""COMPUTED_VALUE"""),30)</f>
        <v>30</v>
      </c>
      <c r="L305" s="62">
        <f ca="1">IFERROR(__xludf.DUMMYFUNCTION("""COMPUTED_VALUE"""),44406)</f>
        <v>44406</v>
      </c>
      <c r="M305" s="25" t="str">
        <f ca="1">IFERROR(__xludf.DUMMYFUNCTION("""COMPUTED_VALUE"""),"Se proyecta cronograma de acompañamiento individual con las EAPB, con el  propósito de identificar oportunidades de mejora e implementar acciones de seguimiento a aquellas que tienen mayor número de casos notificados por el evento 113. Se da continuidad a"&amp;" las acciones planteadas desde el convenio tripartito, se avanza en el seguimiento y acompañamiento a las EAPB en el mejoramiento de la prestación del servicio y el cumplimiento de las normatividad vigente. 
En el marco del seguimiento al convenio Tripar"&amp;"tito, se ha avanzado en el seguimiento individual a las EAPB con el objetivo de verificar en base datos el seguimiento a los indicadores y las atenciones incluidas para niños con riesgo y desnutrición aguda. Se continuará dando seguimiento a la acción en "&amp;"el marco del convenio y el seguimiento a las demás EAPB priorizando aquellas que tienen mayor número de casos notificados por el evento 113. ")</f>
        <v xml:space="preserve">Se proyecta cronograma de acompañamiento individual con las EAPB, con el  propósito de identificar oportunidades de mejora e implementar acciones de seguimiento a aquellas que tienen mayor número de casos notificados por el evento 113. Se da continuidad a las acciones planteadas desde el convenio tripartito, se avanza en el seguimiento y acompañamiento a las EAPB en el mejoramiento de la prestación del servicio y el cumplimiento de las normatividad vigente. 
En el marco del seguimiento al convenio Tripartito, se ha avanzado en el seguimiento individual a las EAPB con el objetivo de verificar en base datos el seguimiento a los indicadores y las atenciones incluidas para niños con riesgo y desnutrición aguda. Se continuará dando seguimiento a la acción en el marco del convenio y el seguimiento a las demás EAPB priorizando aquellas que tienen mayor número de casos notificados por el evento 113. </v>
      </c>
      <c r="N305" s="55">
        <f ca="1">IFERROR(__xludf.DUMMYFUNCTION("""COMPUTED_VALUE"""),44406)</f>
        <v>44406</v>
      </c>
      <c r="O305" s="25" t="str">
        <f t="shared" ca="1" si="0"/>
        <v>Secretaría Distrital de Salud</v>
      </c>
      <c r="P305" s="25" t="str">
        <f t="shared" si="2"/>
        <v/>
      </c>
      <c r="Q305" s="25" t="str">
        <f ca="1">IFERROR(__xludf.DUMMYFUNCTION("""COMPUTED_VALUE"""),"Corto plazo")</f>
        <v>Corto plazo</v>
      </c>
      <c r="R305" s="25"/>
      <c r="S305" s="55"/>
      <c r="T305" s="56"/>
      <c r="U305" s="25"/>
      <c r="V305" s="25"/>
      <c r="W305" s="25"/>
      <c r="X305" s="25"/>
      <c r="Y305" s="25"/>
      <c r="Z305" s="25"/>
    </row>
    <row r="306" spans="1:26" ht="52.5" customHeight="1" x14ac:dyDescent="0.25">
      <c r="A306" s="25" t="str">
        <f ca="1">IFERROR(__xludf.DUMMYFUNCTION("""COMPUTED_VALUE"""),"Salud4")</f>
        <v>Salud4</v>
      </c>
      <c r="B306" s="25" t="str">
        <f ca="1">IFERROR(__xludf.DUMMYFUNCTION("""COMPUTED_VALUE"""),"Proyectos estratégicos e infraestructura de Salud ")</f>
        <v xml:space="preserve">Proyectos estratégicos e infraestructura de Salud </v>
      </c>
      <c r="C306" s="55" t="str">
        <f ca="1">IFERROR(__xludf.DUMMYFUNCTION("""COMPUTED_VALUE"""),"25/01/2021")</f>
        <v>25/01/2021</v>
      </c>
      <c r="D306" s="25" t="str">
        <f ca="1">IFERROR(__xludf.DUMMYFUNCTION("""COMPUTED_VALUE"""),"Salud")</f>
        <v>Salud</v>
      </c>
      <c r="E306" s="25" t="str">
        <f ca="1">IFERROR(__xludf.DUMMYFUNCTION("""COMPUTED_VALUE"""),"Secretaría Distrital de Salud")</f>
        <v>Secretaría Distrital de Salud</v>
      </c>
      <c r="F306" s="25" t="str">
        <f ca="1">IFERROR(__xludf.DUMMYFUNCTION("""COMPUTED_VALUE"""),"Precisar cifras. ")</f>
        <v xml:space="preserve">Precisar cifras. </v>
      </c>
      <c r="G306" s="25" t="str">
        <f ca="1">IFERROR(__xludf.DUMMYFUNCTION("""COMPUTED_VALUE"""),"99. Distrito")</f>
        <v>99. Distrito</v>
      </c>
      <c r="H306" s="55">
        <f ca="1">IFERROR(__xludf.DUMMYFUNCTION("""COMPUTED_VALUE"""),44251)</f>
        <v>44251</v>
      </c>
      <c r="I306" s="25"/>
      <c r="J306" s="55" t="str">
        <f ca="1">IFERROR(__xludf.DUMMYFUNCTION("""COMPUTED_VALUE"""),"Alta")</f>
        <v>Alta</v>
      </c>
      <c r="K306" s="25">
        <f ca="1">IFERROR(__xludf.DUMMYFUNCTION("""COMPUTED_VALUE"""),30)</f>
        <v>30</v>
      </c>
      <c r="L306" s="62">
        <f ca="1">IFERROR(__xludf.DUMMYFUNCTION("""COMPUTED_VALUE"""),44316)</f>
        <v>44316</v>
      </c>
      <c r="M306" s="25" t="str">
        <f ca="1">IFERROR(__xludf.DUMMYFUNCTION("""COMPUTED_VALUE"""),"La información se encuentra en el tablero de control CGB.
A continuación: 
De los 22.600 registros: 
--&gt; Efectivos buscados y tamizados: 9.903 identificamos a los niños con DNT aguda severa, moderada y en riesgo. (DNT aguda severa 123; DNT aguda moderada "&amp;"616; Riesgo a DNT aguda 2.402)
--&gt; En atención con ICBF y SED: 1.245
--&gt; Medida de protección: 13 
--&gt; Rechazan visita: 678 (enviados al ICBF)
--&gt; Fallecidos por otras causas no asociadas a DNT: 12
--&gt; Pendiente por visita: 113 (operativo entre feb y mar)"&amp;"
--&gt; Pendiente de búsqueda: 3.683 (operativo entre feb y mar)
--&gt; Fallidos con nuevos datos: 981 (propuesta de verificar información por sms)
--&gt; Fuera de Bogotá: 1.339
--&gt; Fallidos: 4.633 (después de cruces de 4 bases de datos, no se encontró la informac"&amp;"ión de esos registros. Salen del universo de los 22.600).
Total (sin fallidos y fuera de Bogotá): 16.628")</f>
        <v>La información se encuentra en el tablero de control CGB.
A continuación: 
De los 22.600 registros: 
--&gt; Efectivos buscados y tamizados: 9.903 identificamos a los niños con DNT aguda severa, moderada y en riesgo. (DNT aguda severa 123; DNT aguda moderada 616; Riesgo a DNT aguda 2.402)
--&gt; En atención con ICBF y SED: 1.245
--&gt; Medida de protección: 13 
--&gt; Rechazan visita: 678 (enviados al ICBF)
--&gt; Fallecidos por otras causas no asociadas a DNT: 12
--&gt; Pendiente por visita: 113 (operativo entre feb y mar)
--&gt; Pendiente de búsqueda: 3.683 (operativo entre feb y mar)
--&gt; Fallidos con nuevos datos: 981 (propuesta de verificar información por sms)
--&gt; Fuera de Bogotá: 1.339
--&gt; Fallidos: 4.633 (después de cruces de 4 bases de datos, no se encontró la información de esos registros. Salen del universo de los 22.600).
Total (sin fallidos y fuera de Bogotá): 16.628</v>
      </c>
      <c r="N306" s="55">
        <f ca="1">IFERROR(__xludf.DUMMYFUNCTION("""COMPUTED_VALUE"""),44316)</f>
        <v>44316</v>
      </c>
      <c r="O306" s="25" t="str">
        <f t="shared" ca="1" si="0"/>
        <v>Secretaría Distrital de Salud</v>
      </c>
      <c r="P306" s="25" t="str">
        <f t="shared" si="2"/>
        <v/>
      </c>
      <c r="Q306" s="25" t="str">
        <f ca="1">IFERROR(__xludf.DUMMYFUNCTION("""COMPUTED_VALUE"""),"Corto plazo")</f>
        <v>Corto plazo</v>
      </c>
      <c r="R306" s="25"/>
      <c r="S306" s="55"/>
      <c r="T306" s="56"/>
      <c r="U306" s="25"/>
      <c r="V306" s="25"/>
      <c r="W306" s="25"/>
      <c r="X306" s="25"/>
      <c r="Y306" s="25"/>
      <c r="Z306" s="25"/>
    </row>
    <row r="307" spans="1:26" ht="52.5" customHeight="1" x14ac:dyDescent="0.25">
      <c r="A307" s="25" t="str">
        <f ca="1">IFERROR(__xludf.DUMMYFUNCTION("""COMPUTED_VALUE"""),"Salud5")</f>
        <v>Salud5</v>
      </c>
      <c r="B307" s="25" t="str">
        <f ca="1">IFERROR(__xludf.DUMMYFUNCTION("""COMPUTED_VALUE"""),"Reunión seguimiento temas salud  ")</f>
        <v xml:space="preserve">Reunión seguimiento temas salud  </v>
      </c>
      <c r="C307" s="55" t="str">
        <f ca="1">IFERROR(__xludf.DUMMYFUNCTION("""COMPUTED_VALUE"""),"16/03/2021")</f>
        <v>16/03/2021</v>
      </c>
      <c r="D307" s="25" t="str">
        <f ca="1">IFERROR(__xludf.DUMMYFUNCTION("""COMPUTED_VALUE"""),"Salud")</f>
        <v>Salud</v>
      </c>
      <c r="E307" s="25" t="str">
        <f ca="1">IFERROR(__xludf.DUMMYFUNCTION("""COMPUTED_VALUE"""),"Secretaría Distrital de Salud")</f>
        <v>Secretaría Distrital de Salud</v>
      </c>
      <c r="F307" s="25" t="str">
        <f ca="1">IFERROR(__xludf.DUMMYFUNCTION("""COMPUTED_VALUE"""),"
Programar a finales de abril evento para anunciar vinculación de personal de salud con OPS de 2 años")</f>
        <v xml:space="preserve">
Programar a finales de abril evento para anunciar vinculación de personal de salud con OPS de 2 años</v>
      </c>
      <c r="G307" s="25" t="str">
        <f ca="1">IFERROR(__xludf.DUMMYFUNCTION("""COMPUTED_VALUE"""),"99. Distrito")</f>
        <v>99. Distrito</v>
      </c>
      <c r="H307" s="55">
        <f ca="1">IFERROR(__xludf.DUMMYFUNCTION("""COMPUTED_VALUE"""),44301)</f>
        <v>44301</v>
      </c>
      <c r="I307" s="25"/>
      <c r="J307" s="55" t="str">
        <f ca="1">IFERROR(__xludf.DUMMYFUNCTION("""COMPUTED_VALUE"""),"Alta")</f>
        <v>Alta</v>
      </c>
      <c r="K307" s="25">
        <f ca="1">IFERROR(__xludf.DUMMYFUNCTION("""COMPUTED_VALUE"""),30)</f>
        <v>30</v>
      </c>
      <c r="L307" s="62">
        <f ca="1">IFERROR(__xludf.DUMMYFUNCTION("""COMPUTED_VALUE"""),44530)</f>
        <v>44530</v>
      </c>
      <c r="M307" s="25" t="str">
        <f ca="1">IFERROR(__xludf.DUMMYFUNCTION("""COMPUTED_VALUE"""),"El evento se realizó el 11 de noviembre.")</f>
        <v>El evento se realizó el 11 de noviembre.</v>
      </c>
      <c r="N307" s="55">
        <f ca="1">IFERROR(__xludf.DUMMYFUNCTION("""COMPUTED_VALUE"""),44530)</f>
        <v>44530</v>
      </c>
      <c r="O307" s="25" t="str">
        <f t="shared" ca="1" si="0"/>
        <v>Secretaría Distrital de Salud</v>
      </c>
      <c r="P307" s="25" t="str">
        <f t="shared" si="2"/>
        <v/>
      </c>
      <c r="Q307" s="25" t="str">
        <f ca="1">IFERROR(__xludf.DUMMYFUNCTION("""COMPUTED_VALUE"""),"Corto plazo")</f>
        <v>Corto plazo</v>
      </c>
      <c r="R307" s="25"/>
      <c r="S307" s="55"/>
      <c r="T307" s="56"/>
      <c r="U307" s="25"/>
      <c r="V307" s="25"/>
      <c r="W307" s="25"/>
      <c r="X307" s="25"/>
      <c r="Y307" s="25"/>
      <c r="Z307" s="25"/>
    </row>
    <row r="308" spans="1:26" ht="52.5" customHeight="1" x14ac:dyDescent="0.25">
      <c r="A308" s="25" t="str">
        <f ca="1">IFERROR(__xludf.DUMMYFUNCTION("""COMPUTED_VALUE"""),"Salud6")</f>
        <v>Salud6</v>
      </c>
      <c r="B308" s="25" t="str">
        <f ca="1">IFERROR(__xludf.DUMMYFUNCTION("""COMPUTED_VALUE"""),"Reunión seguimiento temas salud  ")</f>
        <v xml:space="preserve">Reunión seguimiento temas salud  </v>
      </c>
      <c r="C308" s="55" t="str">
        <f ca="1">IFERROR(__xludf.DUMMYFUNCTION("""COMPUTED_VALUE"""),"16/03/2021")</f>
        <v>16/03/2021</v>
      </c>
      <c r="D308" s="25" t="str">
        <f ca="1">IFERROR(__xludf.DUMMYFUNCTION("""COMPUTED_VALUE"""),"Salud")</f>
        <v>Salud</v>
      </c>
      <c r="E308" s="25" t="str">
        <f ca="1">IFERROR(__xludf.DUMMYFUNCTION("""COMPUTED_VALUE"""),"Secretaría Distrital de Salud")</f>
        <v>Secretaría Distrital de Salud</v>
      </c>
      <c r="F308" s="25" t="str">
        <f ca="1">IFERROR(__xludf.DUMMYFUNCTION("""COMPUTED_VALUE"""),"Programar evento para ir al lote del USS Usme, a poner la valla contando que se va a iniciar la construcción")</f>
        <v>Programar evento para ir al lote del USS Usme, a poner la valla contando que se va a iniciar la construcción</v>
      </c>
      <c r="G308" s="25" t="str">
        <f ca="1">IFERROR(__xludf.DUMMYFUNCTION("""COMPUTED_VALUE"""),"05. Usme")</f>
        <v>05. Usme</v>
      </c>
      <c r="H308" s="55">
        <f ca="1">IFERROR(__xludf.DUMMYFUNCTION("""COMPUTED_VALUE"""),44301)</f>
        <v>44301</v>
      </c>
      <c r="I308" s="25"/>
      <c r="J308" s="55" t="str">
        <f ca="1">IFERROR(__xludf.DUMMYFUNCTION("""COMPUTED_VALUE"""),"Alta")</f>
        <v>Alta</v>
      </c>
      <c r="K308" s="25">
        <f ca="1">IFERROR(__xludf.DUMMYFUNCTION("""COMPUTED_VALUE"""),30)</f>
        <v>30</v>
      </c>
      <c r="L308" s="62">
        <f ca="1">IFERROR(__xludf.DUMMYFUNCTION("""COMPUTED_VALUE"""),44282)</f>
        <v>44282</v>
      </c>
      <c r="M308" s="25" t="str">
        <f ca="1">IFERROR(__xludf.DUMMYFUNCTION("""COMPUTED_VALUE"""),"Se realizó el evento con la alcaldesa para el inicio de la obra del hospital (27/03/2021)")</f>
        <v>Se realizó el evento con la alcaldesa para el inicio de la obra del hospital (27/03/2021)</v>
      </c>
      <c r="N308" s="55">
        <f ca="1">IFERROR(__xludf.DUMMYFUNCTION("""COMPUTED_VALUE"""),44282)</f>
        <v>44282</v>
      </c>
      <c r="O308" s="25" t="str">
        <f t="shared" ca="1" si="0"/>
        <v>Secretaría Distrital de Salud</v>
      </c>
      <c r="P308" s="25" t="str">
        <f t="shared" si="2"/>
        <v/>
      </c>
      <c r="Q308" s="25" t="str">
        <f ca="1">IFERROR(__xludf.DUMMYFUNCTION("""COMPUTED_VALUE"""),"Corto plazo")</f>
        <v>Corto plazo</v>
      </c>
      <c r="R308" s="25"/>
      <c r="S308" s="55"/>
      <c r="T308" s="56"/>
      <c r="U308" s="25"/>
      <c r="V308" s="25"/>
      <c r="W308" s="25"/>
      <c r="X308" s="25"/>
      <c r="Y308" s="25"/>
      <c r="Z308" s="25"/>
    </row>
    <row r="309" spans="1:26" ht="52.5" customHeight="1" x14ac:dyDescent="0.25">
      <c r="A309" s="25" t="str">
        <f ca="1">IFERROR(__xludf.DUMMYFUNCTION("""COMPUTED_VALUE"""),"Salud7")</f>
        <v>Salud7</v>
      </c>
      <c r="B309" s="25" t="str">
        <f ca="1">IFERROR(__xludf.DUMMYFUNCTION("""COMPUTED_VALUE"""),"Reunión seguimiento temas salud  ")</f>
        <v xml:space="preserve">Reunión seguimiento temas salud  </v>
      </c>
      <c r="C309" s="55" t="str">
        <f ca="1">IFERROR(__xludf.DUMMYFUNCTION("""COMPUTED_VALUE"""),"16/03/2021")</f>
        <v>16/03/2021</v>
      </c>
      <c r="D309" s="25" t="str">
        <f ca="1">IFERROR(__xludf.DUMMYFUNCTION("""COMPUTED_VALUE"""),"Salud")</f>
        <v>Salud</v>
      </c>
      <c r="E309" s="25" t="str">
        <f ca="1">IFERROR(__xludf.DUMMYFUNCTION("""COMPUTED_VALUE"""),"Secretaría Distrital de Salud")</f>
        <v>Secretaría Distrital de Salud</v>
      </c>
      <c r="F309" s="25" t="str">
        <f ca="1">IFERROR(__xludf.DUMMYFUNCTION("""COMPUTED_VALUE"""),"Presentar programación de cuántos y cuándo quedan listos los contratos OPS de las subredes con vigencias futuras y a dos años. Dejar de manera explícita qué cargos y cuántos con las vigencias futuras")</f>
        <v>Presentar programación de cuántos y cuándo quedan listos los contratos OPS de las subredes con vigencias futuras y a dos años. Dejar de manera explícita qué cargos y cuántos con las vigencias futuras</v>
      </c>
      <c r="G309" s="25" t="str">
        <f ca="1">IFERROR(__xludf.DUMMYFUNCTION("""COMPUTED_VALUE"""),"99. Distrito")</f>
        <v>99. Distrito</v>
      </c>
      <c r="H309" s="55">
        <f ca="1">IFERROR(__xludf.DUMMYFUNCTION("""COMPUTED_VALUE"""),44301)</f>
        <v>44301</v>
      </c>
      <c r="I309" s="25"/>
      <c r="J309" s="55" t="str">
        <f ca="1">IFERROR(__xludf.DUMMYFUNCTION("""COMPUTED_VALUE"""),"Alta")</f>
        <v>Alta</v>
      </c>
      <c r="K309" s="25">
        <f ca="1">IFERROR(__xludf.DUMMYFUNCTION("""COMPUTED_VALUE"""),30)</f>
        <v>30</v>
      </c>
      <c r="L309" s="62">
        <f ca="1">IFERROR(__xludf.DUMMYFUNCTION("""COMPUTED_VALUE"""),44454)</f>
        <v>44454</v>
      </c>
      <c r="M309" s="25" t="str">
        <f ca="1">IFERROR(__xludf.DUMMYFUNCTION("""COMPUTED_VALUE"""),"Ya se encuentran contratadas aproximadamente 600 personas con vigencias futuras, el anuncio se hará de acuerdo con la agenda de la alcaldesa")</f>
        <v>Ya se encuentran contratadas aproximadamente 600 personas con vigencias futuras, el anuncio se hará de acuerdo con la agenda de la alcaldesa</v>
      </c>
      <c r="N309" s="55">
        <f ca="1">IFERROR(__xludf.DUMMYFUNCTION("""COMPUTED_VALUE"""),44454)</f>
        <v>44454</v>
      </c>
      <c r="O309" s="25" t="str">
        <f t="shared" ca="1" si="0"/>
        <v>Secretaría Distrital de Salud</v>
      </c>
      <c r="P309" s="25" t="str">
        <f t="shared" si="2"/>
        <v/>
      </c>
      <c r="Q309" s="25" t="str">
        <f ca="1">IFERROR(__xludf.DUMMYFUNCTION("""COMPUTED_VALUE"""),"Corto plazo")</f>
        <v>Corto plazo</v>
      </c>
      <c r="R309" s="25"/>
      <c r="S309" s="55"/>
      <c r="T309" s="56"/>
      <c r="U309" s="25"/>
      <c r="V309" s="25"/>
      <c r="W309" s="25"/>
      <c r="X309" s="25"/>
      <c r="Y309" s="25"/>
      <c r="Z309" s="25"/>
    </row>
    <row r="310" spans="1:26" ht="52.5" customHeight="1" x14ac:dyDescent="0.25">
      <c r="A310" s="25" t="str">
        <f ca="1">IFERROR(__xludf.DUMMYFUNCTION("""COMPUTED_VALUE"""),"Salud8")</f>
        <v>Salud8</v>
      </c>
      <c r="B310" s="25" t="str">
        <f ca="1">IFERROR(__xludf.DUMMYFUNCTION("""COMPUTED_VALUE"""),"Hospital San Juan de Dios")</f>
        <v>Hospital San Juan de Dios</v>
      </c>
      <c r="C310" s="55" t="str">
        <f ca="1">IFERROR(__xludf.DUMMYFUNCTION("""COMPUTED_VALUE"""),"09/03/2021")</f>
        <v>09/03/2021</v>
      </c>
      <c r="D310" s="25" t="str">
        <f ca="1">IFERROR(__xludf.DUMMYFUNCTION("""COMPUTED_VALUE"""),"Salud")</f>
        <v>Salud</v>
      </c>
      <c r="E310" s="25" t="str">
        <f ca="1">IFERROR(__xludf.DUMMYFUNCTION("""COMPUTED_VALUE"""),"Secretaría Distrital de Salud")</f>
        <v>Secretaría Distrital de Salud</v>
      </c>
      <c r="F310" s="25" t="str">
        <f ca="1">IFERROR(__xludf.DUMMYFUNCTION("""COMPUTED_VALUE"""),"Reunión Hospital San Juan de Dios
Radicar 30 marzo anteproyecto demolición, DEL SAN JUAN,
avances:
31 de marzo: No se logra erradicar hoy ante MinCultura, pues falta la no objeción que debe dar la ERU antes de radicar y los documentos no le fueron entre"&amp;"gados con anticipación suficiente. Se comprometen a terminar la revisión el martes 6 de abril para proceder inmediatamente con la radicación a MinCultura.")</f>
        <v>Reunión Hospital San Juan de Dios
Radicar 30 marzo anteproyecto demolición, DEL SAN JUAN,
avances:
31 de marzo: No se logra erradicar hoy ante MinCultura, pues falta la no objeción que debe dar la ERU antes de radicar y los documentos no le fueron entregados con anticipación suficiente. Se comprometen a terminar la revisión el martes 6 de abril para proceder inmediatamente con la radicación a MinCultura.</v>
      </c>
      <c r="G310" s="55" t="str">
        <f ca="1">IFERROR(__xludf.DUMMYFUNCTION("""COMPUTED_VALUE"""),"15. Antonio Nariño")</f>
        <v>15. Antonio Nariño</v>
      </c>
      <c r="H310" s="55">
        <f ca="1">IFERROR(__xludf.DUMMYFUNCTION("""COMPUTED_VALUE"""),44294)</f>
        <v>44294</v>
      </c>
      <c r="I310" s="25"/>
      <c r="J310" s="55" t="str">
        <f ca="1">IFERROR(__xludf.DUMMYFUNCTION("""COMPUTED_VALUE"""),"Alta")</f>
        <v>Alta</v>
      </c>
      <c r="K310" s="25">
        <f ca="1">IFERROR(__xludf.DUMMYFUNCTION("""COMPUTED_VALUE"""),30)</f>
        <v>30</v>
      </c>
      <c r="L310" s="62">
        <f ca="1">IFERROR(__xludf.DUMMYFUNCTION("""COMPUTED_VALUE"""),44398)</f>
        <v>44398</v>
      </c>
      <c r="M310" s="25" t="str">
        <f ca="1">IFERROR(__xludf.DUMMYFUNCTION("""COMPUTED_VALUE"""),"Fue radicado el 30 de Abril y se devolvió el 28 de mayo. En este momento se están ajustando las observaciones junto con el interventor y el contratista. El proyecto quedará radicado para el 30 de julio. Desde la devolución, y el posterior estudio de las o"&amp;"bservaciones  por parte de COPASA, SISSCO e Interventoría, se han venido trabajando en estas, realizando mesas técnicas de acuerdo a lo planeado entre todos los actores del proyecto. Se completó la tarea. ")</f>
        <v xml:space="preserve">Fue radicado el 30 de Abril y se devolvió el 28 de mayo. En este momento se están ajustando las observaciones junto con el interventor y el contratista. El proyecto quedará radicado para el 30 de julio. Desde la devolución, y el posterior estudio de las observaciones  por parte de COPASA, SISSCO e Interventoría, se han venido trabajando en estas, realizando mesas técnicas de acuerdo a lo planeado entre todos los actores del proyecto. Se completó la tarea. </v>
      </c>
      <c r="N310" s="55">
        <f ca="1">IFERROR(__xludf.DUMMYFUNCTION("""COMPUTED_VALUE"""),44398)</f>
        <v>44398</v>
      </c>
      <c r="O310" s="25" t="str">
        <f t="shared" ca="1" si="0"/>
        <v>Secretaría Distrital de Salud</v>
      </c>
      <c r="P310" s="25" t="str">
        <f t="shared" si="2"/>
        <v/>
      </c>
      <c r="Q310" s="25" t="str">
        <f ca="1">IFERROR(__xludf.DUMMYFUNCTION("""COMPUTED_VALUE"""),"Corto plazo")</f>
        <v>Corto plazo</v>
      </c>
      <c r="R310" s="25"/>
      <c r="S310" s="55"/>
      <c r="T310" s="56"/>
      <c r="U310" s="25"/>
      <c r="V310" s="25"/>
      <c r="W310" s="25"/>
      <c r="X310" s="25"/>
      <c r="Y310" s="25"/>
      <c r="Z310" s="25"/>
    </row>
    <row r="311" spans="1:26" ht="52.5" customHeight="1" x14ac:dyDescent="0.25">
      <c r="A311" s="25" t="str">
        <f ca="1">IFERROR(__xludf.DUMMYFUNCTION("""COMPUTED_VALUE"""),"Salud9")</f>
        <v>Salud9</v>
      </c>
      <c r="B311" s="25" t="str">
        <f ca="1">IFERROR(__xludf.DUMMYFUNCTION("""COMPUTED_VALUE"""),"Reunión Ministerio de Cultura")</f>
        <v>Reunión Ministerio de Cultura</v>
      </c>
      <c r="C311" s="55">
        <f ca="1">IFERROR(__xludf.DUMMYFUNCTION("""COMPUTED_VALUE"""),44616)</f>
        <v>44616</v>
      </c>
      <c r="D311" s="25" t="str">
        <f ca="1">IFERROR(__xludf.DUMMYFUNCTION("""COMPUTED_VALUE"""),"Salud")</f>
        <v>Salud</v>
      </c>
      <c r="E311" s="25" t="str">
        <f ca="1">IFERROR(__xludf.DUMMYFUNCTION("""COMPUTED_VALUE"""),"Secretaría Distrital de Salud")</f>
        <v>Secretaría Distrital de Salud</v>
      </c>
      <c r="F311" s="25" t="str">
        <f ca="1">IFERROR(__xludf.DUMMYFUNCTION("""COMPUTED_VALUE"""),"Hacer seguimiento al concepto del comité técnico del Consejo Nacional del Patrimonio sobre el DTS del Hospital San Juan de Dios que se radicó ante MinCultura")</f>
        <v>Hacer seguimiento al concepto del comité técnico del Consejo Nacional del Patrimonio sobre el DTS del Hospital San Juan de Dios que se radicó ante MinCultura</v>
      </c>
      <c r="G311" s="25" t="str">
        <f ca="1">IFERROR(__xludf.DUMMYFUNCTION("""COMPUTED_VALUE"""),"99. Distrito")</f>
        <v>99. Distrito</v>
      </c>
      <c r="H311" s="55">
        <f ca="1">IFERROR(__xludf.DUMMYFUNCTION("""COMPUTED_VALUE"""),44646)</f>
        <v>44646</v>
      </c>
      <c r="I311" s="25"/>
      <c r="J311" s="55" t="str">
        <f ca="1">IFERROR(__xludf.DUMMYFUNCTION("""COMPUTED_VALUE"""),"Alta")</f>
        <v>Alta</v>
      </c>
      <c r="K311" s="25">
        <f ca="1">IFERROR(__xludf.DUMMYFUNCTION("""COMPUTED_VALUE"""),30)</f>
        <v>30</v>
      </c>
      <c r="L311" s="62">
        <f ca="1">IFERROR(__xludf.DUMMYFUNCTION("""COMPUTED_VALUE"""),44690)</f>
        <v>44690</v>
      </c>
      <c r="M311" s="25" t="str">
        <f ca="1">IFERROR(__xludf.DUMMYFUNCTION("""COMPUTED_VALUE"""),"Sobre el comité técnico del Consejo Nacional de Patrimonio, nos manifiesta Alberto Escovar Director de Patrimonio del Mincultura que el comité técnico está citado para el 25 de mayo de 2022, para que se surta esta reunión se necesita que  se radiquen las "&amp;"observaciones realizadas y estas están previstas radicarlas el 11 de mayo de 2022. Paralelamente el IDPC va va citar el Comité Técnico Distrital para el estudio y análisi de este Documento Técnico de Soporte.")</f>
        <v>Sobre el comité técnico del Consejo Nacional de Patrimonio, nos manifiesta Alberto Escovar Director de Patrimonio del Mincultura que el comité técnico está citado para el 25 de mayo de 2022, para que se surta esta reunión se necesita que  se radiquen las observaciones realizadas y estas están previstas radicarlas el 11 de mayo de 2022. Paralelamente el IDPC va va citar el Comité Técnico Distrital para el estudio y análisi de este Documento Técnico de Soporte.</v>
      </c>
      <c r="N311" s="55">
        <f ca="1">IFERROR(__xludf.DUMMYFUNCTION("""COMPUTED_VALUE"""),44690)</f>
        <v>44690</v>
      </c>
      <c r="O311" s="25" t="str">
        <f t="shared" ca="1" si="0"/>
        <v>Secretaría Distrital de Salud</v>
      </c>
      <c r="P311" s="25" t="str">
        <f t="shared" si="2"/>
        <v/>
      </c>
      <c r="Q311" s="25" t="str">
        <f ca="1">IFERROR(__xludf.DUMMYFUNCTION("""COMPUTED_VALUE"""),"Corto plazo")</f>
        <v>Corto plazo</v>
      </c>
      <c r="R311" s="25"/>
      <c r="S311" s="55"/>
      <c r="T311" s="56"/>
      <c r="U311" s="25"/>
      <c r="V311" s="25"/>
      <c r="W311" s="25"/>
      <c r="X311" s="25"/>
      <c r="Y311" s="25"/>
      <c r="Z311" s="25"/>
    </row>
    <row r="312" spans="1:26" ht="52.5" customHeight="1" x14ac:dyDescent="0.25">
      <c r="A312" s="25" t="str">
        <f ca="1">IFERROR(__xludf.DUMMYFUNCTION("""COMPUTED_VALUE"""),"Salud10")</f>
        <v>Salud10</v>
      </c>
      <c r="B312" s="25" t="str">
        <f ca="1">IFERROR(__xludf.DUMMYFUNCTION("""COMPUTED_VALUE"""),"Reunión Ministerio de Cultura")</f>
        <v>Reunión Ministerio de Cultura</v>
      </c>
      <c r="C312" s="55">
        <f ca="1">IFERROR(__xludf.DUMMYFUNCTION("""COMPUTED_VALUE"""),44616)</f>
        <v>44616</v>
      </c>
      <c r="D312" s="25" t="str">
        <f ca="1">IFERROR(__xludf.DUMMYFUNCTION("""COMPUTED_VALUE"""),"Salud")</f>
        <v>Salud</v>
      </c>
      <c r="E312" s="25" t="str">
        <f ca="1">IFERROR(__xludf.DUMMYFUNCTION("""COMPUTED_VALUE"""),"Secretaría Distrital de Salud")</f>
        <v>Secretaría Distrital de Salud</v>
      </c>
      <c r="F312" s="25" t="str">
        <f ca="1">IFERROR(__xludf.DUMMYFUNCTION("""COMPUTED_VALUE"""),"Enviar a la Dirección de Patrimonio de MinCultura la solicitud de permiso para la intervención estética del edifico actual del Instituto Materno Infantil")</f>
        <v>Enviar a la Dirección de Patrimonio de MinCultura la solicitud de permiso para la intervención estética del edifico actual del Instituto Materno Infantil</v>
      </c>
      <c r="G312" s="25" t="str">
        <f ca="1">IFERROR(__xludf.DUMMYFUNCTION("""COMPUTED_VALUE"""),"99. Distrito")</f>
        <v>99. Distrito</v>
      </c>
      <c r="H312" s="55">
        <f ca="1">IFERROR(__xludf.DUMMYFUNCTION("""COMPUTED_VALUE"""),44646)</f>
        <v>44646</v>
      </c>
      <c r="I312" s="25"/>
      <c r="J312" s="55" t="str">
        <f ca="1">IFERROR(__xludf.DUMMYFUNCTION("""COMPUTED_VALUE"""),"Alta")</f>
        <v>Alta</v>
      </c>
      <c r="K312" s="25">
        <f ca="1">IFERROR(__xludf.DUMMYFUNCTION("""COMPUTED_VALUE"""),30)</f>
        <v>30</v>
      </c>
      <c r="L312" s="62">
        <f ca="1">IFERROR(__xludf.DUMMYFUNCTION("""COMPUTED_VALUE"""),44690)</f>
        <v>44690</v>
      </c>
      <c r="M312" s="25" t="str">
        <f ca="1">IFERROR(__xludf.DUMMYFUNCTION("""COMPUTED_VALUE"""),"Se realizó la gestión para ver si se necesitaba licencia de construcción y la Curaduría No.2 le respondió al IDPC que ellos emitían un oficio de autorización para las obras de Mantenimiento,  lo que implica que toca realizar el trámite para esta autorizac"&amp;"ión (15 días de trámite) con la solicitud del propietario. Paralelamente se están realizando las actividades (SDS y la Dirección del IMI) de socialización de la intervención con la comunidad de acuerdo con lo solicitado por el Ministerio de Cultura. ")</f>
        <v xml:space="preserve">Se realizó la gestión para ver si se necesitaba licencia de construcción y la Curaduría No.2 le respondió al IDPC que ellos emitían un oficio de autorización para las obras de Mantenimiento,  lo que implica que toca realizar el trámite para esta autorización (15 días de trámite) con la solicitud del propietario. Paralelamente se están realizando las actividades (SDS y la Dirección del IMI) de socialización de la intervención con la comunidad de acuerdo con lo solicitado por el Ministerio de Cultura. </v>
      </c>
      <c r="N312" s="55">
        <f ca="1">IFERROR(__xludf.DUMMYFUNCTION("""COMPUTED_VALUE"""),44690)</f>
        <v>44690</v>
      </c>
      <c r="O312" s="25" t="str">
        <f t="shared" ca="1" si="0"/>
        <v>Secretaría Distrital de Salud</v>
      </c>
      <c r="P312" s="25" t="str">
        <f t="shared" si="2"/>
        <v/>
      </c>
      <c r="Q312" s="25" t="str">
        <f ca="1">IFERROR(__xludf.DUMMYFUNCTION("""COMPUTED_VALUE"""),"Corto plazo")</f>
        <v>Corto plazo</v>
      </c>
      <c r="R312" s="25"/>
      <c r="S312" s="55"/>
      <c r="T312" s="56"/>
      <c r="U312" s="25"/>
      <c r="V312" s="25"/>
      <c r="W312" s="25"/>
      <c r="X312" s="25"/>
      <c r="Y312" s="25"/>
      <c r="Z312" s="25"/>
    </row>
    <row r="313" spans="1:26" ht="52.5" customHeight="1" x14ac:dyDescent="0.25">
      <c r="A313" s="25" t="str">
        <f ca="1">IFERROR(__xludf.DUMMYFUNCTION("""COMPUTED_VALUE"""),"Salud11")</f>
        <v>Salud11</v>
      </c>
      <c r="B313" s="25" t="str">
        <f ca="1">IFERROR(__xludf.DUMMYFUNCTION("""COMPUTED_VALUE"""),"San Juan de Dios")</f>
        <v>San Juan de Dios</v>
      </c>
      <c r="C313" s="55">
        <f ca="1">IFERROR(__xludf.DUMMYFUNCTION("""COMPUTED_VALUE"""),44599)</f>
        <v>44599</v>
      </c>
      <c r="D313" s="25" t="str">
        <f ca="1">IFERROR(__xludf.DUMMYFUNCTION("""COMPUTED_VALUE"""),"Salud")</f>
        <v>Salud</v>
      </c>
      <c r="E313" s="25" t="str">
        <f ca="1">IFERROR(__xludf.DUMMYFUNCTION("""COMPUTED_VALUE"""),"Secretaría Distrital de Salud")</f>
        <v>Secretaría Distrital de Salud</v>
      </c>
      <c r="F313" s="25" t="str">
        <f ca="1">IFERROR(__xludf.DUMMYFUNCTION("""COMPUTED_VALUE"""),"Se debe avanzar en las revisiones jurídicas con la Subred, COPASA, la secretaría de salud, la interventoría y la Secretaría jurídica en el acta de entendimiento y radicar el documento DTS del proyecto San Juan de Dios ante MinCultura")</f>
        <v>Se debe avanzar en las revisiones jurídicas con la Subred, COPASA, la secretaría de salud, la interventoría y la Secretaría jurídica en el acta de entendimiento y radicar el documento DTS del proyecto San Juan de Dios ante MinCultura</v>
      </c>
      <c r="G313" s="25" t="str">
        <f ca="1">IFERROR(__xludf.DUMMYFUNCTION("""COMPUTED_VALUE"""),"99. Distrito")</f>
        <v>99. Distrito</v>
      </c>
      <c r="H313" s="55">
        <f ca="1">IFERROR(__xludf.DUMMYFUNCTION("""COMPUTED_VALUE"""),44629)</f>
        <v>44629</v>
      </c>
      <c r="I313" s="15"/>
      <c r="J313" s="55" t="str">
        <f ca="1">IFERROR(__xludf.DUMMYFUNCTION("""COMPUTED_VALUE"""),"Alta")</f>
        <v>Alta</v>
      </c>
      <c r="K313" s="25">
        <f ca="1">IFERROR(__xludf.DUMMYFUNCTION("""COMPUTED_VALUE"""),30)</f>
        <v>30</v>
      </c>
      <c r="L313" s="62">
        <f ca="1">IFERROR(__xludf.DUMMYFUNCTION("""COMPUTED_VALUE"""),44690)</f>
        <v>44690</v>
      </c>
      <c r="M313" s="25" t="str">
        <f ca="1">IFERROR(__xludf.DUMMYFUNCTION("""COMPUTED_VALUE"""),"Se va a radicar de nuevo el DTS, dando alcance a las últimas observaciones realizadas por el Ministerio de Cultura. De estas observaciones se dará respuesta a 18 que están dentro del marco contractual, las 29 restantes las responderá el Ente Gestor. se ti"&amp;"ene programado radicar el DTS el 11 de mayo.  ")</f>
        <v xml:space="preserve">Se va a radicar de nuevo el DTS, dando alcance a las últimas observaciones realizadas por el Ministerio de Cultura. De estas observaciones se dará respuesta a 18 que están dentro del marco contractual, las 29 restantes las responderá el Ente Gestor. se tiene programado radicar el DTS el 11 de mayo.  </v>
      </c>
      <c r="N313" s="55">
        <f ca="1">IFERROR(__xludf.DUMMYFUNCTION("""COMPUTED_VALUE"""),44690)</f>
        <v>44690</v>
      </c>
      <c r="O313" s="25" t="str">
        <f t="shared" ca="1" si="0"/>
        <v>Secretaría Distrital de Salud</v>
      </c>
      <c r="P313" s="25" t="str">
        <f t="shared" si="2"/>
        <v/>
      </c>
      <c r="Q313" s="25" t="str">
        <f ca="1">IFERROR(__xludf.DUMMYFUNCTION("""COMPUTED_VALUE"""),"Corto plazo")</f>
        <v>Corto plazo</v>
      </c>
      <c r="R313" s="25"/>
      <c r="S313" s="55"/>
      <c r="T313" s="56"/>
      <c r="U313" s="25"/>
      <c r="V313" s="25"/>
      <c r="W313" s="25"/>
      <c r="X313" s="25"/>
      <c r="Y313" s="25"/>
      <c r="Z313" s="25"/>
    </row>
    <row r="314" spans="1:26" ht="52.5" customHeight="1" x14ac:dyDescent="0.25">
      <c r="A314" s="25" t="str">
        <f ca="1">IFERROR(__xludf.DUMMYFUNCTION("""COMPUTED_VALUE"""),"Salud12")</f>
        <v>Salud12</v>
      </c>
      <c r="B314" s="25" t="str">
        <f ca="1">IFERROR(__xludf.DUMMYFUNCTION("""COMPUTED_VALUE"""),"Confis virtual ")</f>
        <v xml:space="preserve">Confis virtual </v>
      </c>
      <c r="C314" s="55">
        <f ca="1">IFERROR(__xludf.DUMMYFUNCTION("""COMPUTED_VALUE"""),44439)</f>
        <v>44439</v>
      </c>
      <c r="D314" s="25" t="str">
        <f ca="1">IFERROR(__xludf.DUMMYFUNCTION("""COMPUTED_VALUE"""),"Salud")</f>
        <v>Salud</v>
      </c>
      <c r="E314" s="25" t="str">
        <f ca="1">IFERROR(__xludf.DUMMYFUNCTION("""COMPUTED_VALUE"""),"Secretaría Distrital de Salud")</f>
        <v>Secretaría Distrital de Salud</v>
      </c>
      <c r="F314" s="25" t="str">
        <f ca="1">IFERROR(__xludf.DUMMYFUNCTION("""COMPUTED_VALUE"""),"Reevaluar las vigencias futuras solicitadas para ofrecer un medio alternativo y gratuito de transporte especial entre los diferentes puntos de atención de la Red Pública. Se puede evaluar la flexibilidad donde no sea exclusivamente transporte para la pobl"&amp;"ación sino que el rubro pueda ser utilizado para que sea la Secretaría de Salud quien llegue a las familias. ")</f>
        <v xml:space="preserve">Reevaluar las vigencias futuras solicitadas para ofrecer un medio alternativo y gratuito de transporte especial entre los diferentes puntos de atención de la Red Pública. Se puede evaluar la flexibilidad donde no sea exclusivamente transporte para la población sino que el rubro pueda ser utilizado para que sea la Secretaría de Salud quien llegue a las familias. </v>
      </c>
      <c r="G314" s="25" t="str">
        <f ca="1">IFERROR(__xludf.DUMMYFUNCTION("""COMPUTED_VALUE"""),"99. Distrito")</f>
        <v>99. Distrito</v>
      </c>
      <c r="H314" s="55">
        <f ca="1">IFERROR(__xludf.DUMMYFUNCTION("""COMPUTED_VALUE"""),44454)</f>
        <v>44454</v>
      </c>
      <c r="I314" s="25"/>
      <c r="J314" s="55" t="str">
        <f ca="1">IFERROR(__xludf.DUMMYFUNCTION("""COMPUTED_VALUE"""),"Alta")</f>
        <v>Alta</v>
      </c>
      <c r="K314" s="25">
        <f ca="1">IFERROR(__xludf.DUMMYFUNCTION("""COMPUTED_VALUE"""),15)</f>
        <v>15</v>
      </c>
      <c r="L314" s="62">
        <f ca="1">IFERROR(__xludf.DUMMYFUNCTION("""COMPUTED_VALUE"""),44454)</f>
        <v>44454</v>
      </c>
      <c r="M314" s="25" t="str">
        <f ca="1">IFERROR(__xludf.DUMMYFUNCTION("""COMPUTED_VALUE"""),"La justificación de las modificaciones a la Presentación de la solicitud de Vigencias Futuras para la Ruta de la Salud, las cuales fueron solicitadas en el pasado CONFIS serán presentadas en CONFIS Extraordinario citado para el viernes 17 de septiembre")</f>
        <v>La justificación de las modificaciones a la Presentación de la solicitud de Vigencias Futuras para la Ruta de la Salud, las cuales fueron solicitadas en el pasado CONFIS serán presentadas en CONFIS Extraordinario citado para el viernes 17 de septiembre</v>
      </c>
      <c r="N314" s="55">
        <f ca="1">IFERROR(__xludf.DUMMYFUNCTION("""COMPUTED_VALUE"""),44454)</f>
        <v>44454</v>
      </c>
      <c r="O314" s="25" t="str">
        <f t="shared" ca="1" si="0"/>
        <v>Secretaría Distrital de Salud</v>
      </c>
      <c r="P314" s="25" t="str">
        <f t="shared" si="2"/>
        <v/>
      </c>
      <c r="Q314" s="25" t="str">
        <f ca="1">IFERROR(__xludf.DUMMYFUNCTION("""COMPUTED_VALUE"""),"Corto plazo")</f>
        <v>Corto plazo</v>
      </c>
      <c r="R314" s="25"/>
      <c r="S314" s="55"/>
      <c r="T314" s="56"/>
      <c r="U314" s="25"/>
      <c r="V314" s="25"/>
      <c r="W314" s="25"/>
      <c r="X314" s="25"/>
      <c r="Y314" s="25"/>
      <c r="Z314" s="25"/>
    </row>
    <row r="315" spans="1:26" ht="52.5" customHeight="1" x14ac:dyDescent="0.25">
      <c r="A315" s="25" t="str">
        <f ca="1">IFERROR(__xludf.DUMMYFUNCTION("""COMPUTED_VALUE"""),"Salud13")</f>
        <v>Salud13</v>
      </c>
      <c r="B315" s="25" t="str">
        <f ca="1">IFERROR(__xludf.DUMMYFUNCTION("""COMPUTED_VALUE"""),"Proyecto Regalías")</f>
        <v>Proyecto Regalías</v>
      </c>
      <c r="C315" s="55">
        <f ca="1">IFERROR(__xludf.DUMMYFUNCTION("""COMPUTED_VALUE"""),44403)</f>
        <v>44403</v>
      </c>
      <c r="D315" s="25" t="str">
        <f ca="1">IFERROR(__xludf.DUMMYFUNCTION("""COMPUTED_VALUE"""),"Salud")</f>
        <v>Salud</v>
      </c>
      <c r="E315" s="25" t="str">
        <f ca="1">IFERROR(__xludf.DUMMYFUNCTION("""COMPUTED_VALUE"""),"Secretaría Distrital de Salud")</f>
        <v>Secretaría Distrital de Salud</v>
      </c>
      <c r="F315" s="25" t="str">
        <f ca="1">IFERROR(__xludf.DUMMYFUNCTION("""COMPUTED_VALUE"""),"Llevar al OCAD regional los proyectos de: inmunoterapias, fenotipos raros, tejidos y apropiación social y a la convocatoria CTI el proyecto de Ingeniería Tisular.")</f>
        <v>Llevar al OCAD regional los proyectos de: inmunoterapias, fenotipos raros, tejidos y apropiación social y a la convocatoria CTI el proyecto de Ingeniería Tisular.</v>
      </c>
      <c r="G315" s="25" t="str">
        <f ca="1">IFERROR(__xludf.DUMMYFUNCTION("""COMPUTED_VALUE"""),"99. Distrito")</f>
        <v>99. Distrito</v>
      </c>
      <c r="H315" s="55">
        <f ca="1">IFERROR(__xludf.DUMMYFUNCTION("""COMPUTED_VALUE"""),44433)</f>
        <v>44433</v>
      </c>
      <c r="I315" s="25"/>
      <c r="J315" s="55" t="str">
        <f ca="1">IFERROR(__xludf.DUMMYFUNCTION("""COMPUTED_VALUE"""),"Alta")</f>
        <v>Alta</v>
      </c>
      <c r="K315" s="25">
        <f ca="1">IFERROR(__xludf.DUMMYFUNCTION("""COMPUTED_VALUE"""),30)</f>
        <v>30</v>
      </c>
      <c r="L315" s="62">
        <f ca="1">IFERROR(__xludf.DUMMYFUNCTION("""COMPUTED_VALUE"""),44539)</f>
        <v>44539</v>
      </c>
      <c r="M315" s="25" t="str">
        <f ca="1">IFERROR(__xludf.DUMMYFUNCTION("""COMPUTED_VALUE"""),"Los proyectos del OCAD regional están en proceso de viabilización. El de la convocatoria de CTI no pasó el puntaje mínimo requerido entonces no pudo seguir con el proceso.")</f>
        <v>Los proyectos del OCAD regional están en proceso de viabilización. El de la convocatoria de CTI no pasó el puntaje mínimo requerido entonces no pudo seguir con el proceso.</v>
      </c>
      <c r="N315" s="55">
        <f ca="1">IFERROR(__xludf.DUMMYFUNCTION("""COMPUTED_VALUE"""),44539)</f>
        <v>44539</v>
      </c>
      <c r="O315" s="25" t="str">
        <f t="shared" ca="1" si="0"/>
        <v>Secretaría Distrital de Salud</v>
      </c>
      <c r="P315" s="25" t="str">
        <f t="shared" si="2"/>
        <v/>
      </c>
      <c r="Q315" s="25" t="str">
        <f ca="1">IFERROR(__xludf.DUMMYFUNCTION("""COMPUTED_VALUE"""),"Corto plazo")</f>
        <v>Corto plazo</v>
      </c>
      <c r="R315" s="25"/>
      <c r="S315" s="55"/>
      <c r="T315" s="56"/>
      <c r="U315" s="25"/>
      <c r="V315" s="25"/>
      <c r="W315" s="25"/>
      <c r="X315" s="25"/>
      <c r="Y315" s="25"/>
      <c r="Z315" s="25"/>
    </row>
    <row r="316" spans="1:26" ht="52.5" customHeight="1" x14ac:dyDescent="0.25">
      <c r="A316" s="25" t="str">
        <f ca="1">IFERROR(__xludf.DUMMYFUNCTION("""COMPUTED_VALUE"""),"Salud14")</f>
        <v>Salud14</v>
      </c>
      <c r="B316" s="25" t="str">
        <f ca="1">IFERROR(__xludf.DUMMYFUNCTION("""COMPUTED_VALUE"""),"Revisión retos y oportunidades UPL (POT)")</f>
        <v>Revisión retos y oportunidades UPL (POT)</v>
      </c>
      <c r="C316" s="55">
        <f ca="1">IFERROR(__xludf.DUMMYFUNCTION("""COMPUTED_VALUE"""),44400)</f>
        <v>44400</v>
      </c>
      <c r="D316" s="25" t="str">
        <f ca="1">IFERROR(__xludf.DUMMYFUNCTION("""COMPUTED_VALUE"""),"Salud")</f>
        <v>Salud</v>
      </c>
      <c r="E316" s="25" t="str">
        <f ca="1">IFERROR(__xludf.DUMMYFUNCTION("""COMPUTED_VALUE"""),"Secretaría Distrital de Salud")</f>
        <v>Secretaría Distrital de Salud</v>
      </c>
      <c r="F316" s="25" t="str">
        <f ca="1">IFERROR(__xludf.DUMMYFUNCTION("""COMPUTED_VALUE"""),"Teniendo en cuenta que cada UPL es una ciudadela del cuidado que debe proveer servicios en un tiempo de 30 minutos: 
Determinar de acuerdo al volumen y caracterización epidemiológica de la población de cada UPL ¿Qué tipo de infraestructura y servicios nec"&amp;"esita para llegar al indicador de personal médico de 2.3?
")</f>
        <v xml:space="preserve">Teniendo en cuenta que cada UPL es una ciudadela del cuidado que debe proveer servicios en un tiempo de 30 minutos: 
Determinar de acuerdo al volumen y caracterización epidemiológica de la población de cada UPL ¿Qué tipo de infraestructura y servicios necesita para llegar al indicador de personal médico de 2.3?
</v>
      </c>
      <c r="G316" s="25" t="str">
        <f ca="1">IFERROR(__xludf.DUMMYFUNCTION("""COMPUTED_VALUE"""),"99. Distrito")</f>
        <v>99. Distrito</v>
      </c>
      <c r="H316" s="55">
        <f ca="1">IFERROR(__xludf.DUMMYFUNCTION("""COMPUTED_VALUE"""),44404)</f>
        <v>44404</v>
      </c>
      <c r="I316" s="25"/>
      <c r="J316" s="55" t="str">
        <f ca="1">IFERROR(__xludf.DUMMYFUNCTION("""COMPUTED_VALUE"""),"Alta")</f>
        <v>Alta</v>
      </c>
      <c r="K316" s="25">
        <f ca="1">IFERROR(__xludf.DUMMYFUNCTION("""COMPUTED_VALUE"""),4)</f>
        <v>4</v>
      </c>
      <c r="L316" s="62">
        <f ca="1">IFERROR(__xludf.DUMMYFUNCTION("""COMPUTED_VALUE"""),44420)</f>
        <v>44420</v>
      </c>
      <c r="M316" s="25" t="str">
        <f ca="1">IFERROR(__xludf.DUMMYFUNCTION("""COMPUTED_VALUE"""),"No necesariamente hay ciudadela del cuidado en cada UPL, hay 32 UPL y 42 ciudadelas del cuidado, porque se analiza accesibilidad y puede haber casos que una UPL quede atendida por distancia por una ciudadela cercana, así como puede haber dos ciudadelas en"&amp;" una UPL. Hay un estudio prospectivo donde se analizó la necesidad de centros salud a 2035 en cada UPL. Los hospitales son de índole urbano regional por lo tanto no se analizan por UPL sino por zona.")</f>
        <v>No necesariamente hay ciudadela del cuidado en cada UPL, hay 32 UPL y 42 ciudadelas del cuidado, porque se analiza accesibilidad y puede haber casos que una UPL quede atendida por distancia por una ciudadela cercana, así como puede haber dos ciudadelas en una UPL. Hay un estudio prospectivo donde se analizó la necesidad de centros salud a 2035 en cada UPL. Los hospitales son de índole urbano regional por lo tanto no se analizan por UPL sino por zona.</v>
      </c>
      <c r="N316" s="55">
        <f ca="1">IFERROR(__xludf.DUMMYFUNCTION("""COMPUTED_VALUE"""),44420)</f>
        <v>44420</v>
      </c>
      <c r="O316" s="25" t="str">
        <f t="shared" ca="1" si="0"/>
        <v>Secretaría Distrital de Salud</v>
      </c>
      <c r="P316" s="25" t="str">
        <f t="shared" si="2"/>
        <v/>
      </c>
      <c r="Q316" s="25" t="str">
        <f ca="1">IFERROR(__xludf.DUMMYFUNCTION("""COMPUTED_VALUE"""),"Corto plazo")</f>
        <v>Corto plazo</v>
      </c>
      <c r="R316" s="25"/>
      <c r="S316" s="55"/>
      <c r="T316" s="56"/>
      <c r="U316" s="25"/>
      <c r="V316" s="25"/>
      <c r="W316" s="25"/>
      <c r="X316" s="25"/>
      <c r="Y316" s="25"/>
      <c r="Z316" s="25"/>
    </row>
    <row r="317" spans="1:26" ht="52.5" customHeight="1" x14ac:dyDescent="0.25">
      <c r="A317" s="25" t="str">
        <f ca="1">IFERROR(__xludf.DUMMYFUNCTION("""COMPUTED_VALUE"""),"Salud15")</f>
        <v>Salud15</v>
      </c>
      <c r="B317" s="25" t="str">
        <f ca="1">IFERROR(__xludf.DUMMYFUNCTION("""COMPUTED_VALUE"""),"Revisión retos y oportunidades UPL (POT)")</f>
        <v>Revisión retos y oportunidades UPL (POT)</v>
      </c>
      <c r="C317" s="55">
        <f ca="1">IFERROR(__xludf.DUMMYFUNCTION("""COMPUTED_VALUE"""),44400)</f>
        <v>44400</v>
      </c>
      <c r="D317" s="25" t="str">
        <f ca="1">IFERROR(__xludf.DUMMYFUNCTION("""COMPUTED_VALUE"""),"Salud")</f>
        <v>Salud</v>
      </c>
      <c r="E317" s="25" t="str">
        <f ca="1">IFERROR(__xludf.DUMMYFUNCTION("""COMPUTED_VALUE"""),"Secretaría Distrital de Salud")</f>
        <v>Secretaría Distrital de Salud</v>
      </c>
      <c r="F317" s="25" t="str">
        <f ca="1">IFERROR(__xludf.DUMMYFUNCTION("""COMPUTED_VALUE"""),"
Determinar que infraestructura se necesita para cumplir con el número de camas de baja, media y alta complejidad de acuerdo a cada Subred de Salud, esto en coherencia con lo establecido en el POT. ")</f>
        <v xml:space="preserve">
Determinar que infraestructura se necesita para cumplir con el número de camas de baja, media y alta complejidad de acuerdo a cada Subred de Salud, esto en coherencia con lo establecido en el POT. </v>
      </c>
      <c r="G317" s="25" t="str">
        <f ca="1">IFERROR(__xludf.DUMMYFUNCTION("""COMPUTED_VALUE"""),"99. Distrito")</f>
        <v>99. Distrito</v>
      </c>
      <c r="H317" s="55">
        <f ca="1">IFERROR(__xludf.DUMMYFUNCTION("""COMPUTED_VALUE"""),44404)</f>
        <v>44404</v>
      </c>
      <c r="I317" s="25"/>
      <c r="J317" s="55" t="str">
        <f ca="1">IFERROR(__xludf.DUMMYFUNCTION("""COMPUTED_VALUE"""),"Alta")</f>
        <v>Alta</v>
      </c>
      <c r="K317" s="25">
        <f ca="1">IFERROR(__xludf.DUMMYFUNCTION("""COMPUTED_VALUE"""),4)</f>
        <v>4</v>
      </c>
      <c r="L317" s="62">
        <f ca="1">IFERROR(__xludf.DUMMYFUNCTION("""COMPUTED_VALUE"""),44420)</f>
        <v>44420</v>
      </c>
      <c r="M317" s="25" t="str">
        <f ca="1">IFERROR(__xludf.DUMMYFUNCTION("""COMPUTED_VALUE"""),"El nivel de complejidad no lo determina el POT. Se entregó a SDP un análisis de necesidad de camas por zona a 2035 de acuerdo a la priorización sobre análisis epidemiológico")</f>
        <v>El nivel de complejidad no lo determina el POT. Se entregó a SDP un análisis de necesidad de camas por zona a 2035 de acuerdo a la priorización sobre análisis epidemiológico</v>
      </c>
      <c r="N317" s="55">
        <f ca="1">IFERROR(__xludf.DUMMYFUNCTION("""COMPUTED_VALUE"""),44420)</f>
        <v>44420</v>
      </c>
      <c r="O317" s="25" t="str">
        <f t="shared" ca="1" si="0"/>
        <v>Secretaría Distrital de Salud</v>
      </c>
      <c r="P317" s="25" t="str">
        <f t="shared" si="2"/>
        <v/>
      </c>
      <c r="Q317" s="25" t="str">
        <f ca="1">IFERROR(__xludf.DUMMYFUNCTION("""COMPUTED_VALUE"""),"Corto plazo")</f>
        <v>Corto plazo</v>
      </c>
      <c r="R317" s="25"/>
      <c r="S317" s="55"/>
      <c r="T317" s="56"/>
      <c r="U317" s="25"/>
      <c r="V317" s="25"/>
      <c r="W317" s="25"/>
      <c r="X317" s="25"/>
      <c r="Y317" s="25"/>
      <c r="Z317" s="25"/>
    </row>
    <row r="318" spans="1:26" ht="52.5" customHeight="1" x14ac:dyDescent="0.25">
      <c r="A318" s="25" t="str">
        <f ca="1">IFERROR(__xludf.DUMMYFUNCTION("""COMPUTED_VALUE"""),"Salud16")</f>
        <v>Salud16</v>
      </c>
      <c r="B318" s="25" t="str">
        <f ca="1">IFERROR(__xludf.DUMMYFUNCTION("""COMPUTED_VALUE"""),"Consejo Consultivo LGBTI")</f>
        <v>Consejo Consultivo LGBTI</v>
      </c>
      <c r="C318" s="55">
        <f ca="1">IFERROR(__xludf.DUMMYFUNCTION("""COMPUTED_VALUE"""),44398)</f>
        <v>44398</v>
      </c>
      <c r="D318" s="25" t="str">
        <f ca="1">IFERROR(__xludf.DUMMYFUNCTION("""COMPUTED_VALUE"""),"Salud")</f>
        <v>Salud</v>
      </c>
      <c r="E318" s="25" t="str">
        <f ca="1">IFERROR(__xludf.DUMMYFUNCTION("""COMPUTED_VALUE"""),"Secretaría Distrital de Salud")</f>
        <v>Secretaría Distrital de Salud</v>
      </c>
      <c r="F318" s="25" t="str">
        <f ca="1">IFERROR(__xludf.DUMMYFUNCTION("""COMPUTED_VALUE"""),"Establecer dentro del CAIDGS de Mártires la oferta de servicios de salud mental para agregarlo a los ya existentes")</f>
        <v>Establecer dentro del CAIDGS de Mártires la oferta de servicios de salud mental para agregarlo a los ya existentes</v>
      </c>
      <c r="G318" s="25" t="str">
        <f ca="1">IFERROR(__xludf.DUMMYFUNCTION("""COMPUTED_VALUE"""),"99. Distrito")</f>
        <v>99. Distrito</v>
      </c>
      <c r="H318" s="55">
        <f ca="1">IFERROR(__xludf.DUMMYFUNCTION("""COMPUTED_VALUE"""),44428)</f>
        <v>44428</v>
      </c>
      <c r="I318" s="25"/>
      <c r="J318" s="55" t="str">
        <f ca="1">IFERROR(__xludf.DUMMYFUNCTION("""COMPUTED_VALUE"""),"Alta")</f>
        <v>Alta</v>
      </c>
      <c r="K318" s="25">
        <f ca="1">IFERROR(__xludf.DUMMYFUNCTION("""COMPUTED_VALUE"""),30)</f>
        <v>30</v>
      </c>
      <c r="L318" s="62">
        <f ca="1">IFERROR(__xludf.DUMMYFUNCTION("""COMPUTED_VALUE"""),44540)</f>
        <v>44540</v>
      </c>
      <c r="M318" s="25" t="str">
        <f ca="1">IFERROR(__xludf.DUMMYFUNCTION("""COMPUTED_VALUE"""),"En el CAIDGS se hace asesoría, orientación en temas psicosociales relacionados con promoción salud mental, prevención, identificación y gestión de riesgos, activación de rutas. Hay acompañamiento psicosocial desde acciones colectivas e individual de alta "&amp;"externalidad de la salud pública, pero no atención porque en salud mental la dan los prestadores de servicios de salud IPS y EAPB y es desde espacialidades de alta complejidad que la dan los psiquiatras.")</f>
        <v>En el CAIDGS se hace asesoría, orientación en temas psicosociales relacionados con promoción salud mental, prevención, identificación y gestión de riesgos, activación de rutas. Hay acompañamiento psicosocial desde acciones colectivas e individual de alta externalidad de la salud pública, pero no atención porque en salud mental la dan los prestadores de servicios de salud IPS y EAPB y es desde espacialidades de alta complejidad que la dan los psiquiatras.</v>
      </c>
      <c r="N318" s="55">
        <f ca="1">IFERROR(__xludf.DUMMYFUNCTION("""COMPUTED_VALUE"""),44540)</f>
        <v>44540</v>
      </c>
      <c r="O318" s="25" t="str">
        <f t="shared" ca="1" si="0"/>
        <v>Secretaría Distrital de Salud</v>
      </c>
      <c r="P318" s="25" t="str">
        <f t="shared" si="2"/>
        <v/>
      </c>
      <c r="Q318" s="25" t="str">
        <f ca="1">IFERROR(__xludf.DUMMYFUNCTION("""COMPUTED_VALUE"""),"Corto plazo")</f>
        <v>Corto plazo</v>
      </c>
      <c r="R318" s="25"/>
      <c r="S318" s="55"/>
      <c r="T318" s="56"/>
      <c r="U318" s="25"/>
      <c r="V318" s="25"/>
      <c r="W318" s="25"/>
      <c r="X318" s="25"/>
      <c r="Y318" s="25"/>
      <c r="Z318" s="25"/>
    </row>
    <row r="319" spans="1:26" ht="52.5" customHeight="1" x14ac:dyDescent="0.25">
      <c r="A319" s="25" t="str">
        <f ca="1">IFERROR(__xludf.DUMMYFUNCTION("""COMPUTED_VALUE"""),"Salud17")</f>
        <v>Salud17</v>
      </c>
      <c r="B319" s="25" t="str">
        <f ca="1">IFERROR(__xludf.DUMMYFUNCTION("""COMPUTED_VALUE"""),"Recorrido Ciudad Bolívar")</f>
        <v>Recorrido Ciudad Bolívar</v>
      </c>
      <c r="C319" s="55">
        <f ca="1">IFERROR(__xludf.DUMMYFUNCTION("""COMPUTED_VALUE"""),44386)</f>
        <v>44386</v>
      </c>
      <c r="D319" s="25" t="str">
        <f ca="1">IFERROR(__xludf.DUMMYFUNCTION("""COMPUTED_VALUE"""),"Salud")</f>
        <v>Salud</v>
      </c>
      <c r="E319" s="25" t="str">
        <f ca="1">IFERROR(__xludf.DUMMYFUNCTION("""COMPUTED_VALUE"""),"Secretaría Distrital de Salud")</f>
        <v>Secretaría Distrital de Salud</v>
      </c>
      <c r="F319" s="25" t="str">
        <f ca="1">IFERROR(__xludf.DUMMYFUNCTION("""COMPUTED_VALUE"""),"Cuadrar con Juan Carlos Bolívar que uso o servicios sociales se les pueden dar a la infraestructura de los CAMIS. Para eso es necesario conocer cuántos hay, dónde están ubicados.  Posterior, realizar una reunión con SDIS, Secretaria de Cultura, SED, Alcal"&amp;"día locales, mujer) dar a conocer la información y de acuerdo a los posibles usos definir quién se hace cargo de esta infraestructura.")</f>
        <v>Cuadrar con Juan Carlos Bolívar que uso o servicios sociales se les pueden dar a la infraestructura de los CAMIS. Para eso es necesario conocer cuántos hay, dónde están ubicados.  Posterior, realizar una reunión con SDIS, Secretaria de Cultura, SED, Alcaldía locales, mujer) dar a conocer la información y de acuerdo a los posibles usos definir quién se hace cargo de esta infraestructura.</v>
      </c>
      <c r="G319" s="55" t="str">
        <f ca="1">IFERROR(__xludf.DUMMYFUNCTION("""COMPUTED_VALUE"""),"19. Ciudad Bolívar")</f>
        <v>19. Ciudad Bolívar</v>
      </c>
      <c r="H319" s="55">
        <f ca="1">IFERROR(__xludf.DUMMYFUNCTION("""COMPUTED_VALUE"""),44416)</f>
        <v>44416</v>
      </c>
      <c r="I319" s="25"/>
      <c r="J319" s="55" t="str">
        <f ca="1">IFERROR(__xludf.DUMMYFUNCTION("""COMPUTED_VALUE"""),"Alta")</f>
        <v>Alta</v>
      </c>
      <c r="K319" s="25">
        <f ca="1">IFERROR(__xludf.DUMMYFUNCTION("""COMPUTED_VALUE"""),30)</f>
        <v>30</v>
      </c>
      <c r="L319" s="62">
        <f ca="1">IFERROR(__xludf.DUMMYFUNCTION("""COMPUTED_VALUE"""),44454)</f>
        <v>44454</v>
      </c>
      <c r="M319" s="25" t="str">
        <f ca="1">IFERROR(__xludf.DUMMYFUNCTION("""COMPUTED_VALUE"""),"La Secretaría de Salud envió base de datos con todos los predios y equipamientos; en esta se muestra cuales dejarán de ser usados, quedarán libres o se devolverán al DADEP. Con esta información, el DADEP ha tenido reuniones ya con SDIS para ver las opcion"&amp;"es en temas de predios que hay para la locación de un CAIDSG en la zona sur de la ciudad. Durante la semana del 20 de septiembre habrá reuniones con Sec Mujer para posibles manzanas del cuidado. Pendientes reunión con Alcaldes Locales")</f>
        <v>La Secretaría de Salud envió base de datos con todos los predios y equipamientos; en esta se muestra cuales dejarán de ser usados, quedarán libres o se devolverán al DADEP. Con esta información, el DADEP ha tenido reuniones ya con SDIS para ver las opciones en temas de predios que hay para la locación de un CAIDSG en la zona sur de la ciudad. Durante la semana del 20 de septiembre habrá reuniones con Sec Mujer para posibles manzanas del cuidado. Pendientes reunión con Alcaldes Locales</v>
      </c>
      <c r="N319" s="55">
        <f ca="1">IFERROR(__xludf.DUMMYFUNCTION("""COMPUTED_VALUE"""),44454)</f>
        <v>44454</v>
      </c>
      <c r="O319" s="25" t="str">
        <f t="shared" ca="1" si="0"/>
        <v>Secretaría Distrital de Salud</v>
      </c>
      <c r="P319" s="25" t="str">
        <f t="shared" si="2"/>
        <v/>
      </c>
      <c r="Q319" s="25" t="str">
        <f ca="1">IFERROR(__xludf.DUMMYFUNCTION("""COMPUTED_VALUE"""),"Corto plazo")</f>
        <v>Corto plazo</v>
      </c>
      <c r="R319" s="25"/>
      <c r="S319" s="55"/>
      <c r="T319" s="56"/>
      <c r="U319" s="25"/>
      <c r="V319" s="25"/>
      <c r="W319" s="25"/>
      <c r="X319" s="25"/>
      <c r="Y319" s="25"/>
      <c r="Z319" s="25"/>
    </row>
    <row r="320" spans="1:26" ht="52.5" customHeight="1" x14ac:dyDescent="0.25">
      <c r="A320" s="25" t="str">
        <f ca="1">IFERROR(__xludf.DUMMYFUNCTION("""COMPUTED_VALUE"""),"Salud18")</f>
        <v>Salud18</v>
      </c>
      <c r="B320" s="25" t="str">
        <f ca="1">IFERROR(__xludf.DUMMYFUNCTION("""COMPUTED_VALUE"""),"Reunión Hospital San Juan de Dios")</f>
        <v>Reunión Hospital San Juan de Dios</v>
      </c>
      <c r="C320" s="55">
        <f ca="1">IFERROR(__xludf.DUMMYFUNCTION("""COMPUTED_VALUE"""),44378)</f>
        <v>44378</v>
      </c>
      <c r="D320" s="25" t="str">
        <f ca="1">IFERROR(__xludf.DUMMYFUNCTION("""COMPUTED_VALUE"""),"Salud")</f>
        <v>Salud</v>
      </c>
      <c r="E320" s="25" t="str">
        <f ca="1">IFERROR(__xludf.DUMMYFUNCTION("""COMPUTED_VALUE"""),"Secretaría Distrital de Salud")</f>
        <v>Secretaría Distrital de Salud</v>
      </c>
      <c r="F320" s="25" t="str">
        <f ca="1">IFERROR(__xludf.DUMMYFUNCTION("""COMPUTED_VALUE"""),"Garantizar que salga el permiso de transferencia de propiedad del Hospital San Juan de Dios por parte de Min Cultura")</f>
        <v>Garantizar que salga el permiso de transferencia de propiedad del Hospital San Juan de Dios por parte de Min Cultura</v>
      </c>
      <c r="G320" s="55" t="str">
        <f ca="1">IFERROR(__xludf.DUMMYFUNCTION("""COMPUTED_VALUE"""),"15. Antonio Nariño")</f>
        <v>15. Antonio Nariño</v>
      </c>
      <c r="H320" s="55">
        <f ca="1">IFERROR(__xludf.DUMMYFUNCTION("""COMPUTED_VALUE"""),44408)</f>
        <v>44408</v>
      </c>
      <c r="I320" s="25"/>
      <c r="J320" s="55" t="str">
        <f ca="1">IFERROR(__xludf.DUMMYFUNCTION("""COMPUTED_VALUE"""),"Alta")</f>
        <v>Alta</v>
      </c>
      <c r="K320" s="25">
        <f ca="1">IFERROR(__xludf.DUMMYFUNCTION("""COMPUTED_VALUE"""),30)</f>
        <v>30</v>
      </c>
      <c r="L320" s="62">
        <f ca="1">IFERROR(__xludf.DUMMYFUNCTION("""COMPUTED_VALUE"""),44398)</f>
        <v>44398</v>
      </c>
      <c r="M320" s="25" t="str">
        <f ca="1">IFERROR(__xludf.DUMMYFUNCTION("""COMPUTED_VALUE"""),"Este proceso contempla 3 fases:i) Solicitud al ministerio de cultura para expedición de resolución motivada permitiendo la transferencia. ii) Obtención de la resolución motivada iii) Proceso de transferencia ante notariado y registro.
Al respecto sobre la"&amp;" fase i:  Se hizo la solicitud de transferencia del predio ante la ERU el pasado 23-06-2021 radicado No 2021EE5723. La ERU ofició a Ministerio de Cultura al respecto el pasado 29 de junio MC015867E2021. Se llevaron a cabo 3 mesas de trabajo con el Ministe"&amp;"rio sobre el particular. El Ministerio comunicó con oficio radicado No MC19778S2021 DEL 27-07-2021 observaciones al oficio mencionado. En respuesta se envió para revisión informal del Ministerio previo a radicación oficio subsanando lo solicitado. Se espe"&amp;"ra respuesta sobre el oficio proyectado de parte del ministerio el viernes 13-08-2021.
Una vez se reciba el visto bueno de el encargado en la oficina jurídica del Ministerio, se procederá a radicar alcance al oficio del 29-06-2021 para continuar con el pr"&amp;"oceso. 
")</f>
        <v xml:space="preserve">Este proceso contempla 3 fases:i) Solicitud al ministerio de cultura para expedición de resolución motivada permitiendo la transferencia. ii) Obtención de la resolución motivada iii) Proceso de transferencia ante notariado y registro.
Al respecto sobre la fase i:  Se hizo la solicitud de transferencia del predio ante la ERU el pasado 23-06-2021 radicado No 2021EE5723. La ERU ofició a Ministerio de Cultura al respecto el pasado 29 de junio MC015867E2021. Se llevaron a cabo 3 mesas de trabajo con el Ministerio sobre el particular. El Ministerio comunicó con oficio radicado No MC19778S2021 DEL 27-07-2021 observaciones al oficio mencionado. En respuesta se envió para revisión informal del Ministerio previo a radicación oficio subsanando lo solicitado. Se espera respuesta sobre el oficio proyectado de parte del ministerio el viernes 13-08-2021.
Una vez se reciba el visto bueno de el encargado en la oficina jurídica del Ministerio, se procederá a radicar alcance al oficio del 29-06-2021 para continuar con el proceso. 
</v>
      </c>
      <c r="N320" s="55">
        <f ca="1">IFERROR(__xludf.DUMMYFUNCTION("""COMPUTED_VALUE"""),44398)</f>
        <v>44398</v>
      </c>
      <c r="O320" s="25" t="str">
        <f t="shared" ca="1" si="0"/>
        <v>Secretaría Distrital de Salud</v>
      </c>
      <c r="P320" s="25" t="str">
        <f t="shared" si="2"/>
        <v/>
      </c>
      <c r="Q320" s="25" t="str">
        <f ca="1">IFERROR(__xludf.DUMMYFUNCTION("""COMPUTED_VALUE"""),"Corto plazo")</f>
        <v>Corto plazo</v>
      </c>
      <c r="R320" s="25"/>
      <c r="S320" s="55"/>
      <c r="T320" s="56"/>
      <c r="U320" s="25"/>
      <c r="V320" s="25"/>
      <c r="W320" s="25"/>
      <c r="X320" s="25"/>
      <c r="Y320" s="25"/>
      <c r="Z320" s="25"/>
    </row>
    <row r="321" spans="1:26" ht="52.5" customHeight="1" x14ac:dyDescent="0.25">
      <c r="A321" s="25" t="str">
        <f ca="1">IFERROR(__xludf.DUMMYFUNCTION("""COMPUTED_VALUE"""),"Salud19")</f>
        <v>Salud19</v>
      </c>
      <c r="B321" s="25" t="str">
        <f ca="1">IFERROR(__xludf.DUMMYFUNCTION("""COMPUTED_VALUE"""),"Reunión Hospital San Juan de Dios")</f>
        <v>Reunión Hospital San Juan de Dios</v>
      </c>
      <c r="C321" s="55">
        <f ca="1">IFERROR(__xludf.DUMMYFUNCTION("""COMPUTED_VALUE"""),44378)</f>
        <v>44378</v>
      </c>
      <c r="D321" s="25" t="str">
        <f ca="1">IFERROR(__xludf.DUMMYFUNCTION("""COMPUTED_VALUE"""),"Salud")</f>
        <v>Salud</v>
      </c>
      <c r="E321" s="25" t="str">
        <f ca="1">IFERROR(__xludf.DUMMYFUNCTION("""COMPUTED_VALUE"""),"Secretaría Distrital de Salud")</f>
        <v>Secretaría Distrital de Salud</v>
      </c>
      <c r="F321" s="25" t="str">
        <f ca="1">IFERROR(__xludf.DUMMYFUNCTION("""COMPUTED_VALUE"""),"Radicar antes del 30 de julio el nuevo proyecto del San Juan de Dios ante Min Cultura.")</f>
        <v>Radicar antes del 30 de julio el nuevo proyecto del San Juan de Dios ante Min Cultura.</v>
      </c>
      <c r="G321" s="55" t="str">
        <f ca="1">IFERROR(__xludf.DUMMYFUNCTION("""COMPUTED_VALUE"""),"15. Antonio Nariño")</f>
        <v>15. Antonio Nariño</v>
      </c>
      <c r="H321" s="55">
        <f ca="1">IFERROR(__xludf.DUMMYFUNCTION("""COMPUTED_VALUE"""),44408)</f>
        <v>44408</v>
      </c>
      <c r="I321" s="25"/>
      <c r="J321" s="55" t="str">
        <f ca="1">IFERROR(__xludf.DUMMYFUNCTION("""COMPUTED_VALUE"""),"Alta")</f>
        <v>Alta</v>
      </c>
      <c r="K321" s="25">
        <f ca="1">IFERROR(__xludf.DUMMYFUNCTION("""COMPUTED_VALUE"""),30)</f>
        <v>30</v>
      </c>
      <c r="L321" s="62">
        <f ca="1">IFERROR(__xludf.DUMMYFUNCTION("""COMPUTED_VALUE"""),44413)</f>
        <v>44413</v>
      </c>
      <c r="M321" s="25" t="str">
        <f ca="1">IFERROR(__xludf.DUMMYFUNCTION("""COMPUTED_VALUE"""),"Se radicó ante MinCultura el 30 de julio. No. de radicado: MC19156E2021")</f>
        <v>Se radicó ante MinCultura el 30 de julio. No. de radicado: MC19156E2021</v>
      </c>
      <c r="N321" s="55">
        <f ca="1">IFERROR(__xludf.DUMMYFUNCTION("""COMPUTED_VALUE"""),44413)</f>
        <v>44413</v>
      </c>
      <c r="O321" s="25" t="str">
        <f t="shared" ca="1" si="0"/>
        <v>Secretaría Distrital de Salud</v>
      </c>
      <c r="P321" s="25" t="str">
        <f t="shared" si="2"/>
        <v/>
      </c>
      <c r="Q321" s="25" t="str">
        <f ca="1">IFERROR(__xludf.DUMMYFUNCTION("""COMPUTED_VALUE"""),"Corto plazo")</f>
        <v>Corto plazo</v>
      </c>
      <c r="R321" s="25"/>
      <c r="S321" s="55"/>
      <c r="T321" s="56"/>
      <c r="U321" s="25"/>
      <c r="V321" s="25"/>
      <c r="W321" s="25"/>
      <c r="X321" s="25"/>
      <c r="Y321" s="25"/>
      <c r="Z321" s="25"/>
    </row>
    <row r="322" spans="1:26" ht="52.5" customHeight="1" x14ac:dyDescent="0.25">
      <c r="A322" s="25" t="str">
        <f ca="1">IFERROR(__xludf.DUMMYFUNCTION("""COMPUTED_VALUE"""),"Salud20")</f>
        <v>Salud20</v>
      </c>
      <c r="B322" s="25" t="str">
        <f ca="1">IFERROR(__xludf.DUMMYFUNCTION("""COMPUTED_VALUE"""),"Reunión Hospital San Juan de Dios")</f>
        <v>Reunión Hospital San Juan de Dios</v>
      </c>
      <c r="C322" s="55">
        <f ca="1">IFERROR(__xludf.DUMMYFUNCTION("""COMPUTED_VALUE"""),44378)</f>
        <v>44378</v>
      </c>
      <c r="D322" s="25" t="str">
        <f ca="1">IFERROR(__xludf.DUMMYFUNCTION("""COMPUTED_VALUE"""),"Salud")</f>
        <v>Salud</v>
      </c>
      <c r="E322" s="25" t="str">
        <f ca="1">IFERROR(__xludf.DUMMYFUNCTION("""COMPUTED_VALUE"""),"Secretaría Distrital de Salud")</f>
        <v>Secretaría Distrital de Salud</v>
      </c>
      <c r="F322" s="25" t="str">
        <f ca="1">IFERROR(__xludf.DUMMYFUNCTION("""COMPUTED_VALUE"""),"Hacer una reunión entre COPA PERÚ y Sec. de Salud para revisar el proyecto del Hospital San Juan de Dios que se va a radicar.")</f>
        <v>Hacer una reunión entre COPA PERÚ y Sec. de Salud para revisar el proyecto del Hospital San Juan de Dios que se va a radicar.</v>
      </c>
      <c r="G322" s="55" t="str">
        <f ca="1">IFERROR(__xludf.DUMMYFUNCTION("""COMPUTED_VALUE"""),"15. Antonio Nariño")</f>
        <v>15. Antonio Nariño</v>
      </c>
      <c r="H322" s="55">
        <f ca="1">IFERROR(__xludf.DUMMYFUNCTION("""COMPUTED_VALUE"""),44408)</f>
        <v>44408</v>
      </c>
      <c r="I322" s="25"/>
      <c r="J322" s="55" t="str">
        <f ca="1">IFERROR(__xludf.DUMMYFUNCTION("""COMPUTED_VALUE"""),"Alta")</f>
        <v>Alta</v>
      </c>
      <c r="K322" s="25">
        <f ca="1">IFERROR(__xludf.DUMMYFUNCTION("""COMPUTED_VALUE"""),30)</f>
        <v>30</v>
      </c>
      <c r="L322" s="62">
        <f ca="1">IFERROR(__xludf.DUMMYFUNCTION("""COMPUTED_VALUE"""),44398)</f>
        <v>44398</v>
      </c>
      <c r="M322" s="25" t="str">
        <f ca="1">IFERROR(__xludf.DUMMYFUNCTION("""COMPUTED_VALUE"""),"Se realiza reunión el jueves 15 de julio con la Alcaldesa y los distintos actores involucrados en el ajuste a las observaciones (COPASA, Subred, Interventoría, Secretaría de Salud)")</f>
        <v>Se realiza reunión el jueves 15 de julio con la Alcaldesa y los distintos actores involucrados en el ajuste a las observaciones (COPASA, Subred, Interventoría, Secretaría de Salud)</v>
      </c>
      <c r="N322" s="55">
        <f ca="1">IFERROR(__xludf.DUMMYFUNCTION("""COMPUTED_VALUE"""),44398)</f>
        <v>44398</v>
      </c>
      <c r="O322" s="25" t="str">
        <f t="shared" ca="1" si="0"/>
        <v>Secretaría Distrital de Salud</v>
      </c>
      <c r="P322" s="25" t="str">
        <f t="shared" si="2"/>
        <v/>
      </c>
      <c r="Q322" s="25" t="str">
        <f ca="1">IFERROR(__xludf.DUMMYFUNCTION("""COMPUTED_VALUE"""),"Corto plazo")</f>
        <v>Corto plazo</v>
      </c>
      <c r="R322" s="25"/>
      <c r="S322" s="55"/>
      <c r="T322" s="56"/>
      <c r="U322" s="25"/>
      <c r="V322" s="25"/>
      <c r="W322" s="25"/>
      <c r="X322" s="25"/>
      <c r="Y322" s="25"/>
      <c r="Z322" s="25"/>
    </row>
    <row r="323" spans="1:26" ht="52.5" customHeight="1" x14ac:dyDescent="0.25">
      <c r="A323" s="25" t="str">
        <f ca="1">IFERROR(__xludf.DUMMYFUNCTION("""COMPUTED_VALUE"""),"Salud21")</f>
        <v>Salud21</v>
      </c>
      <c r="B323" s="25" t="str">
        <f ca="1">IFERROR(__xludf.DUMMYFUNCTION("""COMPUTED_VALUE"""),"Reunión Hospital San Juan de Dios")</f>
        <v>Reunión Hospital San Juan de Dios</v>
      </c>
      <c r="C323" s="55">
        <f ca="1">IFERROR(__xludf.DUMMYFUNCTION("""COMPUTED_VALUE"""),44378)</f>
        <v>44378</v>
      </c>
      <c r="D323" s="25" t="str">
        <f ca="1">IFERROR(__xludf.DUMMYFUNCTION("""COMPUTED_VALUE"""),"Salud")</f>
        <v>Salud</v>
      </c>
      <c r="E323" s="25" t="str">
        <f ca="1">IFERROR(__xludf.DUMMYFUNCTION("""COMPUTED_VALUE"""),"Secretaría Distrital de Salud")</f>
        <v>Secretaría Distrital de Salud</v>
      </c>
      <c r="F323" s="25" t="str">
        <f ca="1">IFERROR(__xludf.DUMMYFUNCTION("""COMPUTED_VALUE"""),"Revisar si la Sec. de Salud puede asumir la renovación del Materno Infantil con los estudios y diseños que ya están hechos.")</f>
        <v>Revisar si la Sec. de Salud puede asumir la renovación del Materno Infantil con los estudios y diseños que ya están hechos.</v>
      </c>
      <c r="G323" s="55" t="str">
        <f ca="1">IFERROR(__xludf.DUMMYFUNCTION("""COMPUTED_VALUE"""),"15. Antonio Nariño")</f>
        <v>15. Antonio Nariño</v>
      </c>
      <c r="H323" s="55">
        <f ca="1">IFERROR(__xludf.DUMMYFUNCTION("""COMPUTED_VALUE"""),44408)</f>
        <v>44408</v>
      </c>
      <c r="I323" s="25"/>
      <c r="J323" s="55" t="str">
        <f ca="1">IFERROR(__xludf.DUMMYFUNCTION("""COMPUTED_VALUE"""),"Alta")</f>
        <v>Alta</v>
      </c>
      <c r="K323" s="25">
        <f ca="1">IFERROR(__xludf.DUMMYFUNCTION("""COMPUTED_VALUE"""),30)</f>
        <v>30</v>
      </c>
      <c r="L323" s="62">
        <f ca="1">IFERROR(__xludf.DUMMYFUNCTION("""COMPUTED_VALUE"""),44398)</f>
        <v>44398</v>
      </c>
      <c r="M323" s="25" t="str">
        <f ca="1">IFERROR(__xludf.DUMMYFUNCTION("""COMPUTED_VALUE"""),"No lo puede asumir, porque lo aprobado por resolución de Ministerio es solo la intervención de patrimonio del componente de arquitectura, no incluye componentes técnicos ni reforzamiento estructural. Adicionalmente el diseño no contempla las necesidad del"&amp;" IMI según el actual estudio de oferta y demanda y su PMA actual.")</f>
        <v>No lo puede asumir, porque lo aprobado por resolución de Ministerio es solo la intervención de patrimonio del componente de arquitectura, no incluye componentes técnicos ni reforzamiento estructural. Adicionalmente el diseño no contempla las necesidad del IMI según el actual estudio de oferta y demanda y su PMA actual.</v>
      </c>
      <c r="N323" s="55">
        <f ca="1">IFERROR(__xludf.DUMMYFUNCTION("""COMPUTED_VALUE"""),44398)</f>
        <v>44398</v>
      </c>
      <c r="O323" s="25" t="str">
        <f t="shared" ca="1" si="0"/>
        <v>Secretaría Distrital de Salud</v>
      </c>
      <c r="P323" s="25" t="str">
        <f t="shared" si="2"/>
        <v/>
      </c>
      <c r="Q323" s="25" t="str">
        <f ca="1">IFERROR(__xludf.DUMMYFUNCTION("""COMPUTED_VALUE"""),"Corto plazo")</f>
        <v>Corto plazo</v>
      </c>
      <c r="R323" s="25"/>
      <c r="S323" s="55"/>
      <c r="T323" s="56"/>
      <c r="U323" s="25"/>
      <c r="V323" s="25"/>
      <c r="W323" s="25"/>
      <c r="X323" s="25"/>
      <c r="Y323" s="25"/>
      <c r="Z323" s="25"/>
    </row>
    <row r="324" spans="1:26" ht="52.5" customHeight="1" x14ac:dyDescent="0.25">
      <c r="A324" s="25" t="str">
        <f ca="1">IFERROR(__xludf.DUMMYFUNCTION("""COMPUTED_VALUE"""),"Salud22")</f>
        <v>Salud22</v>
      </c>
      <c r="B324" s="25" t="str">
        <f ca="1">IFERROR(__xludf.DUMMYFUNCTION("""COMPUTED_VALUE"""),"Reunión Hospital San Juan de Dios")</f>
        <v>Reunión Hospital San Juan de Dios</v>
      </c>
      <c r="C324" s="55">
        <f ca="1">IFERROR(__xludf.DUMMYFUNCTION("""COMPUTED_VALUE"""),44378)</f>
        <v>44378</v>
      </c>
      <c r="D324" s="25" t="str">
        <f ca="1">IFERROR(__xludf.DUMMYFUNCTION("""COMPUTED_VALUE"""),"Salud")</f>
        <v>Salud</v>
      </c>
      <c r="E324" s="25" t="str">
        <f ca="1">IFERROR(__xludf.DUMMYFUNCTION("""COMPUTED_VALUE"""),"Secretaría Distrital de Salud")</f>
        <v>Secretaría Distrital de Salud</v>
      </c>
      <c r="F324" s="25" t="str">
        <f ca="1">IFERROR(__xludf.DUMMYFUNCTION("""COMPUTED_VALUE"""),"Evaluar y trabajar el concepto de ciudadela Salud con los hospitales del sector centro")</f>
        <v>Evaluar y trabajar el concepto de ciudadela Salud con los hospitales del sector centro</v>
      </c>
      <c r="G324" s="25" t="str">
        <f ca="1">IFERROR(__xludf.DUMMYFUNCTION("""COMPUTED_VALUE"""),"99. Distrito")</f>
        <v>99. Distrito</v>
      </c>
      <c r="H324" s="55">
        <f ca="1">IFERROR(__xludf.DUMMYFUNCTION("""COMPUTED_VALUE"""),44408)</f>
        <v>44408</v>
      </c>
      <c r="I324" s="25"/>
      <c r="J324" s="55" t="str">
        <f ca="1">IFERROR(__xludf.DUMMYFUNCTION("""COMPUTED_VALUE"""),"Alta")</f>
        <v>Alta</v>
      </c>
      <c r="K324" s="25">
        <f ca="1">IFERROR(__xludf.DUMMYFUNCTION("""COMPUTED_VALUE"""),30)</f>
        <v>30</v>
      </c>
      <c r="L324" s="62">
        <f ca="1">IFERROR(__xludf.DUMMYFUNCTION("""COMPUTED_VALUE"""),44398)</f>
        <v>44398</v>
      </c>
      <c r="M324" s="25" t="str">
        <f ca="1">IFERROR(__xludf.DUMMYFUNCTION("""COMPUTED_VALUE"""),"1. POR: Adriana 
15/09/2021 Se trabajó el concepto de Ciudadela de la Salud con el equipo técnico del POT y se remitió el concepto a Planeación Distrital. ")</f>
        <v xml:space="preserve">1. POR: Adriana 
15/09/2021 Se trabajó el concepto de Ciudadela de la Salud con el equipo técnico del POT y se remitió el concepto a Planeación Distrital. </v>
      </c>
      <c r="N324" s="55">
        <f ca="1">IFERROR(__xludf.DUMMYFUNCTION("""COMPUTED_VALUE"""),44398)</f>
        <v>44398</v>
      </c>
      <c r="O324" s="25" t="str">
        <f t="shared" ca="1" si="0"/>
        <v>Secretaría Distrital de Salud</v>
      </c>
      <c r="P324" s="25" t="str">
        <f t="shared" si="2"/>
        <v/>
      </c>
      <c r="Q324" s="25" t="str">
        <f ca="1">IFERROR(__xludf.DUMMYFUNCTION("""COMPUTED_VALUE"""),"Corto plazo")</f>
        <v>Corto plazo</v>
      </c>
      <c r="R324" s="25"/>
      <c r="S324" s="55"/>
      <c r="T324" s="56"/>
      <c r="U324" s="25"/>
      <c r="V324" s="25"/>
      <c r="W324" s="25"/>
      <c r="X324" s="25"/>
      <c r="Y324" s="25"/>
      <c r="Z324" s="25"/>
    </row>
    <row r="325" spans="1:26" ht="52.5" customHeight="1" x14ac:dyDescent="0.25">
      <c r="A325" s="25" t="str">
        <f ca="1">IFERROR(__xludf.DUMMYFUNCTION("""COMPUTED_VALUE"""),"Salud23")</f>
        <v>Salud23</v>
      </c>
      <c r="B325" s="25" t="str">
        <f ca="1">IFERROR(__xludf.DUMMYFUNCTION("""COMPUTED_VALUE"""),"Reunión Hospital San Juan de Dios")</f>
        <v>Reunión Hospital San Juan de Dios</v>
      </c>
      <c r="C325" s="55">
        <f ca="1">IFERROR(__xludf.DUMMYFUNCTION("""COMPUTED_VALUE"""),44378)</f>
        <v>44378</v>
      </c>
      <c r="D325" s="25" t="str">
        <f ca="1">IFERROR(__xludf.DUMMYFUNCTION("""COMPUTED_VALUE"""),"Salud")</f>
        <v>Salud</v>
      </c>
      <c r="E325" s="25" t="str">
        <f ca="1">IFERROR(__xludf.DUMMYFUNCTION("""COMPUTED_VALUE"""),"Secretaría Distrital de Salud")</f>
        <v>Secretaría Distrital de Salud</v>
      </c>
      <c r="F325" s="25" t="str">
        <f ca="1">IFERROR(__xludf.DUMMYFUNCTION("""COMPUTED_VALUE"""),"Formalizar el cambio de nombre del Hospital a San Juan de Dios. ")</f>
        <v xml:space="preserve">Formalizar el cambio de nombre del Hospital a San Juan de Dios. </v>
      </c>
      <c r="G325" s="25" t="str">
        <f ca="1">IFERROR(__xludf.DUMMYFUNCTION("""COMPUTED_VALUE"""),"99. Distrito")</f>
        <v>99. Distrito</v>
      </c>
      <c r="H325" s="55">
        <f ca="1">IFERROR(__xludf.DUMMYFUNCTION("""COMPUTED_VALUE"""),44408)</f>
        <v>44408</v>
      </c>
      <c r="I325" s="25"/>
      <c r="J325" s="55" t="str">
        <f ca="1">IFERROR(__xludf.DUMMYFUNCTION("""COMPUTED_VALUE"""),"Alta")</f>
        <v>Alta</v>
      </c>
      <c r="K325" s="25">
        <f ca="1">IFERROR(__xludf.DUMMYFUNCTION("""COMPUTED_VALUE"""),30)</f>
        <v>30</v>
      </c>
      <c r="L325" s="62">
        <f ca="1">IFERROR(__xludf.DUMMYFUNCTION("""COMPUTED_VALUE"""),44454)</f>
        <v>44454</v>
      </c>
      <c r="M325" s="25" t="str">
        <f ca="1">IFERROR(__xludf.DUMMYFUNCTION("""COMPUTED_VALUE"""),"Sobre el cambio de nombre la Alcaldía Mayor se pronunció con Radicado No.2-2022-643 de fecha 12-01-2022 al respecto, diciendo que:  dentro de las funciones asignadas por el Decreto Distrital 140 de 2021 a la Secretaría General de la Alcaldía Mayor de Bogo"&amp;"tá, D.C., y conforme los parámetros establecidos por la Resolución 088 de 2018 de la Secretaría Jurídica Distrital, esta entidad carece de competencia para dar trámite...por lo tanto está la SUBRED pendiente que le definan el proceso por medio del cual un"&amp;"a edificación del Distrito se le puede cambiar de nombre.")</f>
        <v>Sobre el cambio de nombre la Alcaldía Mayor se pronunció con Radicado No.2-2022-643 de fecha 12-01-2022 al respecto, diciendo que:  dentro de las funciones asignadas por el Decreto Distrital 140 de 2021 a la Secretaría General de la Alcaldía Mayor de Bogotá, D.C., y conforme los parámetros establecidos por la Resolución 088 de 2018 de la Secretaría Jurídica Distrital, esta entidad carece de competencia para dar trámite...por lo tanto está la SUBRED pendiente que le definan el proceso por medio del cual una edificación del Distrito se le puede cambiar de nombre.</v>
      </c>
      <c r="N325" s="55">
        <f ca="1">IFERROR(__xludf.DUMMYFUNCTION("""COMPUTED_VALUE"""),44454)</f>
        <v>44454</v>
      </c>
      <c r="O325" s="25" t="str">
        <f t="shared" ca="1" si="0"/>
        <v>Secretaría Distrital de Salud</v>
      </c>
      <c r="P325" s="25" t="str">
        <f t="shared" si="2"/>
        <v/>
      </c>
      <c r="Q325" s="25" t="str">
        <f ca="1">IFERROR(__xludf.DUMMYFUNCTION("""COMPUTED_VALUE"""),"Corto plazo")</f>
        <v>Corto plazo</v>
      </c>
      <c r="R325" s="25"/>
      <c r="S325" s="55"/>
      <c r="T325" s="56"/>
      <c r="U325" s="25"/>
      <c r="V325" s="25"/>
      <c r="W325" s="25"/>
      <c r="X325" s="25"/>
      <c r="Y325" s="25"/>
      <c r="Z325" s="25"/>
    </row>
    <row r="326" spans="1:26" ht="52.5" customHeight="1" x14ac:dyDescent="0.25">
      <c r="A326" s="25" t="str">
        <f ca="1">IFERROR(__xludf.DUMMYFUNCTION("""COMPUTED_VALUE"""),"Salud24")</f>
        <v>Salud24</v>
      </c>
      <c r="B326" s="25" t="str">
        <f ca="1">IFERROR(__xludf.DUMMYFUNCTION("""COMPUTED_VALUE"""),"Comité epidemiológico del 21 de junio")</f>
        <v>Comité epidemiológico del 21 de junio</v>
      </c>
      <c r="C326" s="55">
        <f ca="1">IFERROR(__xludf.DUMMYFUNCTION("""COMPUTED_VALUE"""),44368)</f>
        <v>44368</v>
      </c>
      <c r="D326" s="25" t="str">
        <f ca="1">IFERROR(__xludf.DUMMYFUNCTION("""COMPUTED_VALUE"""),"Salud")</f>
        <v>Salud</v>
      </c>
      <c r="E326" s="25" t="str">
        <f ca="1">IFERROR(__xludf.DUMMYFUNCTION("""COMPUTED_VALUE"""),"Secretaría Distrital de Salud")</f>
        <v>Secretaría Distrital de Salud</v>
      </c>
      <c r="F326" s="25" t="str">
        <f ca="1">IFERROR(__xludf.DUMMYFUNCTION("""COMPUTED_VALUE""")," Subir los listados de los equipos territoriales del Distrito a Piscis antes de las 6 pm del 22 de junio")</f>
        <v xml:space="preserve"> Subir los listados de los equipos territoriales del Distrito a Piscis antes de las 6 pm del 22 de junio</v>
      </c>
      <c r="G326" s="25" t="str">
        <f ca="1">IFERROR(__xludf.DUMMYFUNCTION("""COMPUTED_VALUE"""),"99. Distrito")</f>
        <v>99. Distrito</v>
      </c>
      <c r="H326" s="55">
        <f ca="1">IFERROR(__xludf.DUMMYFUNCTION("""COMPUTED_VALUE"""),44398)</f>
        <v>44398</v>
      </c>
      <c r="I326" s="25"/>
      <c r="J326" s="55" t="str">
        <f ca="1">IFERROR(__xludf.DUMMYFUNCTION("""COMPUTED_VALUE"""),"Alta")</f>
        <v>Alta</v>
      </c>
      <c r="K326" s="25">
        <f ca="1">IFERROR(__xludf.DUMMYFUNCTION("""COMPUTED_VALUE"""),30)</f>
        <v>30</v>
      </c>
      <c r="L326" s="62">
        <f ca="1">IFERROR(__xludf.DUMMYFUNCTION("""COMPUTED_VALUE"""),44398)</f>
        <v>44398</v>
      </c>
      <c r="M326" s="25" t="str">
        <f ca="1">IFERROR(__xludf.DUMMYFUNCTION("""COMPUTED_VALUE"""),"Los Listados ya quedaron cargados y los equipos ya están en proceso de vacunarse")</f>
        <v>Los Listados ya quedaron cargados y los equipos ya están en proceso de vacunarse</v>
      </c>
      <c r="N326" s="55">
        <f ca="1">IFERROR(__xludf.DUMMYFUNCTION("""COMPUTED_VALUE"""),44398)</f>
        <v>44398</v>
      </c>
      <c r="O326" s="25" t="str">
        <f t="shared" ca="1" si="0"/>
        <v>Secretaría Distrital de Salud</v>
      </c>
      <c r="P326" s="25" t="str">
        <f t="shared" si="2"/>
        <v/>
      </c>
      <c r="Q326" s="25" t="str">
        <f ca="1">IFERROR(__xludf.DUMMYFUNCTION("""COMPUTED_VALUE"""),"Corto plazo")</f>
        <v>Corto plazo</v>
      </c>
      <c r="R326" s="25"/>
      <c r="S326" s="55"/>
      <c r="T326" s="56"/>
      <c r="U326" s="25"/>
      <c r="V326" s="25"/>
      <c r="W326" s="25"/>
      <c r="X326" s="25"/>
      <c r="Y326" s="25"/>
      <c r="Z326" s="25"/>
    </row>
    <row r="327" spans="1:26" ht="52.5" customHeight="1" x14ac:dyDescent="0.25">
      <c r="A327" s="25" t="str">
        <f ca="1">IFERROR(__xludf.DUMMYFUNCTION("""COMPUTED_VALUE"""),"Salud25")</f>
        <v>Salud25</v>
      </c>
      <c r="B327" s="25" t="str">
        <f ca="1">IFERROR(__xludf.DUMMYFUNCTION("""COMPUTED_VALUE"""),"Mesa de vacunación")</f>
        <v>Mesa de vacunación</v>
      </c>
      <c r="C327" s="55">
        <f ca="1">IFERROR(__xludf.DUMMYFUNCTION("""COMPUTED_VALUE"""),44368)</f>
        <v>44368</v>
      </c>
      <c r="D327" s="25" t="str">
        <f ca="1">IFERROR(__xludf.DUMMYFUNCTION("""COMPUTED_VALUE"""),"Salud")</f>
        <v>Salud</v>
      </c>
      <c r="E327" s="25" t="str">
        <f ca="1">IFERROR(__xludf.DUMMYFUNCTION("""COMPUTED_VALUE"""),"Secretaría Distrital de Salud")</f>
        <v>Secretaría Distrital de Salud</v>
      </c>
      <c r="F327" s="25" t="str">
        <f ca="1">IFERROR(__xludf.DUMMYFUNCTION("""COMPUTED_VALUE"""),"De acuerdo a la presentación del grupo Data Lama de la Universidad del Rosario: Crear polígonos (calles/carreras) con las zonas de sobredispersión que permita definir las estrategias y actuaciones en concordancia de los focos de contagio.")</f>
        <v>De acuerdo a la presentación del grupo Data Lama de la Universidad del Rosario: Crear polígonos (calles/carreras) con las zonas de sobredispersión que permita definir las estrategias y actuaciones en concordancia de los focos de contagio.</v>
      </c>
      <c r="G327" s="25" t="str">
        <f ca="1">IFERROR(__xludf.DUMMYFUNCTION("""COMPUTED_VALUE"""),"99. Distrito")</f>
        <v>99. Distrito</v>
      </c>
      <c r="H327" s="55">
        <f ca="1">IFERROR(__xludf.DUMMYFUNCTION("""COMPUTED_VALUE"""),44398)</f>
        <v>44398</v>
      </c>
      <c r="I327" s="25"/>
      <c r="J327" s="55" t="str">
        <f ca="1">IFERROR(__xludf.DUMMYFUNCTION("""COMPUTED_VALUE"""),"Alta")</f>
        <v>Alta</v>
      </c>
      <c r="K327" s="25">
        <f ca="1">IFERROR(__xludf.DUMMYFUNCTION("""COMPUTED_VALUE"""),30)</f>
        <v>30</v>
      </c>
      <c r="L327" s="62">
        <f ca="1">IFERROR(__xludf.DUMMYFUNCTION("""COMPUTED_VALUE"""),44398)</f>
        <v>44398</v>
      </c>
      <c r="M327" s="25" t="str">
        <f ca="1">IFERROR(__xludf.DUMMYFUNCTION("""COMPUTED_VALUE"""),"El equipo de la Universidad definió 10 zonas de predisposición las cuales fueron intervenidas por 3 semanas con diferentes actividades para disminuir el contagio ")</f>
        <v xml:space="preserve">El equipo de la Universidad definió 10 zonas de predisposición las cuales fueron intervenidas por 3 semanas con diferentes actividades para disminuir el contagio </v>
      </c>
      <c r="N327" s="55">
        <f ca="1">IFERROR(__xludf.DUMMYFUNCTION("""COMPUTED_VALUE"""),44398)</f>
        <v>44398</v>
      </c>
      <c r="O327" s="25" t="str">
        <f t="shared" ca="1" si="0"/>
        <v>Secretaría Distrital de Salud</v>
      </c>
      <c r="P327" s="25" t="str">
        <f t="shared" si="2"/>
        <v/>
      </c>
      <c r="Q327" s="25" t="str">
        <f ca="1">IFERROR(__xludf.DUMMYFUNCTION("""COMPUTED_VALUE"""),"Corto plazo")</f>
        <v>Corto plazo</v>
      </c>
      <c r="R327" s="25"/>
      <c r="S327" s="55"/>
      <c r="T327" s="56"/>
      <c r="U327" s="25"/>
      <c r="V327" s="25"/>
      <c r="W327" s="25"/>
      <c r="X327" s="25"/>
      <c r="Y327" s="25"/>
      <c r="Z327" s="25"/>
    </row>
    <row r="328" spans="1:26" ht="52.5" customHeight="1" x14ac:dyDescent="0.25">
      <c r="A328" s="25" t="str">
        <f ca="1">IFERROR(__xludf.DUMMYFUNCTION("""COMPUTED_VALUE"""),"Salud26")</f>
        <v>Salud26</v>
      </c>
      <c r="B328" s="25" t="str">
        <f ca="1">IFERROR(__xludf.DUMMYFUNCTION("""COMPUTED_VALUE"""),"Reuniones Sinergia - Comisión TD - Historia Clínica Electrónica Unificada")</f>
        <v>Reuniones Sinergia - Comisión TD - Historia Clínica Electrónica Unificada</v>
      </c>
      <c r="C328" s="55">
        <f ca="1">IFERROR(__xludf.DUMMYFUNCTION("""COMPUTED_VALUE"""),44335)</f>
        <v>44335</v>
      </c>
      <c r="D328" s="25" t="str">
        <f ca="1">IFERROR(__xludf.DUMMYFUNCTION("""COMPUTED_VALUE"""),"Salud")</f>
        <v>Salud</v>
      </c>
      <c r="E328" s="25" t="str">
        <f ca="1">IFERROR(__xludf.DUMMYFUNCTION("""COMPUTED_VALUE"""),"Secretaría Distrital de Salud")</f>
        <v>Secretaría Distrital de Salud</v>
      </c>
      <c r="F328" s="25" t="str">
        <f ca="1">IFERROR(__xludf.DUMMYFUNCTION("""COMPUTED_VALUE"""),"Concretar contratación de AGATA para inicio del proyecto de analítica de datos.")</f>
        <v>Concretar contratación de AGATA para inicio del proyecto de analítica de datos.</v>
      </c>
      <c r="G328" s="25" t="str">
        <f ca="1">IFERROR(__xludf.DUMMYFUNCTION("""COMPUTED_VALUE"""),"99. Distrito")</f>
        <v>99. Distrito</v>
      </c>
      <c r="H328" s="55">
        <f ca="1">IFERROR(__xludf.DUMMYFUNCTION("""COMPUTED_VALUE"""),44377)</f>
        <v>44377</v>
      </c>
      <c r="I328" s="25"/>
      <c r="J328" s="55" t="str">
        <f ca="1">IFERROR(__xludf.DUMMYFUNCTION("""COMPUTED_VALUE"""),"Alta")</f>
        <v>Alta</v>
      </c>
      <c r="K328" s="25">
        <f ca="1">IFERROR(__xludf.DUMMYFUNCTION("""COMPUTED_VALUE"""),42)</f>
        <v>42</v>
      </c>
      <c r="L328" s="62">
        <f ca="1">IFERROR(__xludf.DUMMYFUNCTION("""COMPUTED_VALUE"""),44469)</f>
        <v>44469</v>
      </c>
      <c r="M328" s="25" t="str">
        <f ca="1">IFERROR(__xludf.DUMMYFUNCTION("""COMPUTED_VALUE"""),"Esta tarea corresponde a un hito del proyecto de Historia Clínica Electrónica que lidera la Secretaría de Salud y que hace parte de las Agendas de Transformación Digital, en el marco del rol de acompañamiento y asesoría que realiza la ACDTIC se tiene el s"&amp;"iguiente reporte de avance: Acta de inicio del contrato firmada por Secretaría de Salud y AGATA.")</f>
        <v>Esta tarea corresponde a un hito del proyecto de Historia Clínica Electrónica que lidera la Secretaría de Salud y que hace parte de las Agendas de Transformación Digital, en el marco del rol de acompañamiento y asesoría que realiza la ACDTIC se tiene el siguiente reporte de avance: Acta de inicio del contrato firmada por Secretaría de Salud y AGATA.</v>
      </c>
      <c r="N328" s="55">
        <f ca="1">IFERROR(__xludf.DUMMYFUNCTION("""COMPUTED_VALUE"""),44469)</f>
        <v>44469</v>
      </c>
      <c r="O328" s="25" t="str">
        <f t="shared" ca="1" si="0"/>
        <v>Secretaría Distrital de Salud</v>
      </c>
      <c r="P328" s="25" t="str">
        <f t="shared" si="2"/>
        <v/>
      </c>
      <c r="Q328" s="25" t="str">
        <f ca="1">IFERROR(__xludf.DUMMYFUNCTION("""COMPUTED_VALUE"""),"Corto plazo")</f>
        <v>Corto plazo</v>
      </c>
      <c r="R328" s="25"/>
      <c r="S328" s="55"/>
      <c r="T328" s="56"/>
      <c r="U328" s="25"/>
      <c r="V328" s="25"/>
      <c r="W328" s="25"/>
      <c r="X328" s="25"/>
      <c r="Y328" s="25"/>
      <c r="Z328" s="25"/>
    </row>
    <row r="329" spans="1:26" ht="52.5" customHeight="1" x14ac:dyDescent="0.25">
      <c r="A329" s="25" t="str">
        <f ca="1">IFERROR(__xludf.DUMMYFUNCTION("""COMPUTED_VALUE"""),"Salud27")</f>
        <v>Salud27</v>
      </c>
      <c r="B329" s="25" t="str">
        <f ca="1">IFERROR(__xludf.DUMMYFUNCTION("""COMPUTED_VALUE"""),"Reuniones Sinergia - Comisión TD - Historia Clínica Electrónica Unificada")</f>
        <v>Reuniones Sinergia - Comisión TD - Historia Clínica Electrónica Unificada</v>
      </c>
      <c r="C329" s="55">
        <f ca="1">IFERROR(__xludf.DUMMYFUNCTION("""COMPUTED_VALUE"""),44335)</f>
        <v>44335</v>
      </c>
      <c r="D329" s="25" t="str">
        <f ca="1">IFERROR(__xludf.DUMMYFUNCTION("""COMPUTED_VALUE"""),"Salud")</f>
        <v>Salud</v>
      </c>
      <c r="E329" s="25" t="str">
        <f ca="1">IFERROR(__xludf.DUMMYFUNCTION("""COMPUTED_VALUE"""),"Secretaría Distrital de Salud")</f>
        <v>Secretaría Distrital de Salud</v>
      </c>
      <c r="F329" s="25" t="str">
        <f ca="1">IFERROR(__xludf.DUMMYFUNCTION("""COMPUTED_VALUE"""),"Suscribir acuerdos de voluntades con las IPS Privadas para el intercambio de información de Historia Clínica a través de Bogotá Salud DIgital")</f>
        <v>Suscribir acuerdos de voluntades con las IPS Privadas para el intercambio de información de Historia Clínica a través de Bogotá Salud DIgital</v>
      </c>
      <c r="G329" s="25" t="str">
        <f ca="1">IFERROR(__xludf.DUMMYFUNCTION("""COMPUTED_VALUE"""),"99. Distrito")</f>
        <v>99. Distrito</v>
      </c>
      <c r="H329" s="55">
        <f ca="1">IFERROR(__xludf.DUMMYFUNCTION("""COMPUTED_VALUE"""),44377)</f>
        <v>44377</v>
      </c>
      <c r="I329" s="25"/>
      <c r="J329" s="55" t="str">
        <f ca="1">IFERROR(__xludf.DUMMYFUNCTION("""COMPUTED_VALUE"""),"Alta")</f>
        <v>Alta</v>
      </c>
      <c r="K329" s="25">
        <f ca="1">IFERROR(__xludf.DUMMYFUNCTION("""COMPUTED_VALUE"""),42)</f>
        <v>42</v>
      </c>
      <c r="L329" s="62">
        <f ca="1">IFERROR(__xludf.DUMMYFUNCTION("""COMPUTED_VALUE"""),44540)</f>
        <v>44540</v>
      </c>
      <c r="M329" s="25" t="str">
        <f ca="1">IFERROR(__xludf.DUMMYFUNCTION("""COMPUTED_VALUE"""),"Se suscribió acuerdo con el hospital Universitario San Ignacio, pero las IPS se mostraron renuentes a firmar acuerdos hasta no contar con una normatividad del MinSalud. Sin embargo, a raíz de la expedición de la resolución 866 de 2021, se cambió el enfoqu"&amp;"e y optamos por apoyar a las IPS en la implementación de la Historia Clínica por medio de la creación de equipos de proyectos en las IPS. Con corte a noviembre, 14 IPS han conformado equipos de proyecto. Los tiempos de implementación dependen del nivel de"&amp;" madurez tecnológica de cada IPS y  de la definición por parte de Minsalud del formato, arquitectura y guías. La primera resolución se tiene prevista para enero de 2022 y a partir de ahí, el primer ejercicio de interoperabilidad se estima que se daría en "&amp;"4 meses.
**Se completó la tarea y con corte a 31 de agosto de 2022, de las 14 IPS que conformaron equipos de proyecto, 5 IPS realizaron configuración de conexión, 2 IPS y la red de IPS's de la EPS Sanitas en proceso de configuración de comunicación.")</f>
        <v>Se suscribió acuerdo con el hospital Universitario San Ignacio, pero las IPS se mostraron renuentes a firmar acuerdos hasta no contar con una normatividad del MinSalud. Sin embargo, a raíz de la expedición de la resolución 866 de 2021, se cambió el enfoque y optamos por apoyar a las IPS en la implementación de la Historia Clínica por medio de la creación de equipos de proyectos en las IPS. Con corte a noviembre, 14 IPS han conformado equipos de proyecto. Los tiempos de implementación dependen del nivel de madurez tecnológica de cada IPS y  de la definición por parte de Minsalud del formato, arquitectura y guías. La primera resolución se tiene prevista para enero de 2022 y a partir de ahí, el primer ejercicio de interoperabilidad se estima que se daría en 4 meses.
**Se completó la tarea y con corte a 31 de agosto de 2022, de las 14 IPS que conformaron equipos de proyecto, 5 IPS realizaron configuración de conexión, 2 IPS y la red de IPS's de la EPS Sanitas en proceso de configuración de comunicación.</v>
      </c>
      <c r="N329" s="55">
        <f ca="1">IFERROR(__xludf.DUMMYFUNCTION("""COMPUTED_VALUE"""),44540)</f>
        <v>44540</v>
      </c>
      <c r="O329" s="25" t="str">
        <f t="shared" ca="1" si="0"/>
        <v>Secretaría Distrital de Salud</v>
      </c>
      <c r="P329" s="25" t="str">
        <f t="shared" si="2"/>
        <v/>
      </c>
      <c r="Q329" s="25" t="str">
        <f ca="1">IFERROR(__xludf.DUMMYFUNCTION("""COMPUTED_VALUE"""),"Corto plazo")</f>
        <v>Corto plazo</v>
      </c>
      <c r="R329" s="25"/>
      <c r="S329" s="55"/>
      <c r="T329" s="56"/>
      <c r="U329" s="25"/>
      <c r="V329" s="25"/>
      <c r="W329" s="25"/>
      <c r="X329" s="25"/>
      <c r="Y329" s="25"/>
      <c r="Z329" s="25"/>
    </row>
    <row r="330" spans="1:26" ht="52.5" customHeight="1" x14ac:dyDescent="0.25">
      <c r="A330" s="25" t="str">
        <f ca="1">IFERROR(__xludf.DUMMYFUNCTION("""COMPUTED_VALUE"""),"Salud28")</f>
        <v>Salud28</v>
      </c>
      <c r="B330" s="25" t="str">
        <f ca="1">IFERROR(__xludf.DUMMYFUNCTION("""COMPUTED_VALUE"""),"Historia Clínica Electrónica Unificada")</f>
        <v>Historia Clínica Electrónica Unificada</v>
      </c>
      <c r="C330" s="55">
        <f ca="1">IFERROR(__xludf.DUMMYFUNCTION("""COMPUTED_VALUE"""),44300)</f>
        <v>44300</v>
      </c>
      <c r="D330" s="25" t="str">
        <f ca="1">IFERROR(__xludf.DUMMYFUNCTION("""COMPUTED_VALUE"""),"Salud")</f>
        <v>Salud</v>
      </c>
      <c r="E330" s="25" t="str">
        <f ca="1">IFERROR(__xludf.DUMMYFUNCTION("""COMPUTED_VALUE"""),"Secretaría Distrital de Salud")</f>
        <v>Secretaría Distrital de Salud</v>
      </c>
      <c r="F330" s="25" t="str">
        <f ca="1">IFERROR(__xludf.DUMMYFUNCTION("""COMPUTED_VALUE"""),"Concretar contratación de AGATA para inicio del proyecto de analítica de datos.")</f>
        <v>Concretar contratación de AGATA para inicio del proyecto de analítica de datos.</v>
      </c>
      <c r="G330" s="25" t="str">
        <f ca="1">IFERROR(__xludf.DUMMYFUNCTION("""COMPUTED_VALUE"""),"99. Distrito")</f>
        <v>99. Distrito</v>
      </c>
      <c r="H330" s="55">
        <f ca="1">IFERROR(__xludf.DUMMYFUNCTION("""COMPUTED_VALUE"""),44330)</f>
        <v>44330</v>
      </c>
      <c r="I330" s="25"/>
      <c r="J330" s="55" t="str">
        <f ca="1">IFERROR(__xludf.DUMMYFUNCTION("""COMPUTED_VALUE"""),"Alta")</f>
        <v>Alta</v>
      </c>
      <c r="K330" s="25">
        <f ca="1">IFERROR(__xludf.DUMMYFUNCTION("""COMPUTED_VALUE"""),30)</f>
        <v>30</v>
      </c>
      <c r="L330" s="62"/>
      <c r="M330" s="25" t="str">
        <f ca="1">IFERROR(__xludf.DUMMYFUNCTION("""COMPUTED_VALUE"""),"Ya se contrató.")</f>
        <v>Ya se contrató.</v>
      </c>
      <c r="N330" s="55">
        <f ca="1">IFERROR(__xludf.DUMMYFUNCTION("""COMPUTED_VALUE"""),44927)</f>
        <v>44927</v>
      </c>
      <c r="O330" s="25" t="str">
        <f t="shared" ca="1" si="0"/>
        <v>Secretaría Distrital de Salud</v>
      </c>
      <c r="P330" s="25" t="str">
        <f t="shared" si="2"/>
        <v/>
      </c>
      <c r="Q330" s="25" t="str">
        <f ca="1">IFERROR(__xludf.DUMMYFUNCTION("""COMPUTED_VALUE"""),"Corto plazo")</f>
        <v>Corto plazo</v>
      </c>
      <c r="R330" s="25"/>
      <c r="S330" s="55"/>
      <c r="T330" s="56"/>
      <c r="U330" s="25"/>
      <c r="V330" s="25"/>
      <c r="W330" s="25"/>
      <c r="X330" s="25"/>
      <c r="Y330" s="25"/>
      <c r="Z330" s="25"/>
    </row>
    <row r="331" spans="1:26" ht="52.5" customHeight="1" x14ac:dyDescent="0.25">
      <c r="A331" s="25" t="str">
        <f ca="1">IFERROR(__xludf.DUMMYFUNCTION("""COMPUTED_VALUE"""),"Salud29")</f>
        <v>Salud29</v>
      </c>
      <c r="B331" s="25" t="str">
        <f ca="1">IFERROR(__xludf.DUMMYFUNCTION("""COMPUTED_VALUE"""),"Historia Clínica Electrónica Unificada")</f>
        <v>Historia Clínica Electrónica Unificada</v>
      </c>
      <c r="C331" s="55">
        <f ca="1">IFERROR(__xludf.DUMMYFUNCTION("""COMPUTED_VALUE"""),44300)</f>
        <v>44300</v>
      </c>
      <c r="D331" s="25" t="str">
        <f ca="1">IFERROR(__xludf.DUMMYFUNCTION("""COMPUTED_VALUE"""),"Salud")</f>
        <v>Salud</v>
      </c>
      <c r="E331" s="25" t="str">
        <f ca="1">IFERROR(__xludf.DUMMYFUNCTION("""COMPUTED_VALUE"""),"Secretaría Distrital de Salud")</f>
        <v>Secretaría Distrital de Salud</v>
      </c>
      <c r="F331" s="25" t="str">
        <f ca="1">IFERROR(__xludf.DUMMYFUNCTION("""COMPUTED_VALUE"""),"Completar a diciembre de 2021 el 85% de intercambio recíproco de información de la Historia Clínica entre las subredes de servicios de salud del distrito.")</f>
        <v>Completar a diciembre de 2021 el 85% de intercambio recíproco de información de la Historia Clínica entre las subredes de servicios de salud del distrito.</v>
      </c>
      <c r="G331" s="25" t="str">
        <f ca="1">IFERROR(__xludf.DUMMYFUNCTION("""COMPUTED_VALUE"""),"99. Distrito")</f>
        <v>99. Distrito</v>
      </c>
      <c r="H331" s="55">
        <f ca="1">IFERROR(__xludf.DUMMYFUNCTION("""COMPUTED_VALUE"""),44330)</f>
        <v>44330</v>
      </c>
      <c r="I331" s="25"/>
      <c r="J331" s="55" t="str">
        <f ca="1">IFERROR(__xludf.DUMMYFUNCTION("""COMPUTED_VALUE"""),"Alta")</f>
        <v>Alta</v>
      </c>
      <c r="K331" s="25">
        <f ca="1">IFERROR(__xludf.DUMMYFUNCTION("""COMPUTED_VALUE"""),30)</f>
        <v>30</v>
      </c>
      <c r="L331" s="62">
        <f ca="1">IFERROR(__xludf.DUMMYFUNCTION("""COMPUTED_VALUE"""),44539)</f>
        <v>44539</v>
      </c>
      <c r="M331" s="25" t="str">
        <f ca="1">IFERROR(__xludf.DUMMYFUNCTION("""COMPUTED_VALUE"""),"Con corte al 30 de noviembre el % de interoperabilidad con las subredes fue del 86% avance en el intercambio recíproco. 
Sistemas de Información Hospitalario - HIS actualizados y disponibles en las 4 subredes de servicios de salud intercambiando informac"&amp;"ión a través de la plataforma de Bogotá Salud Digital.")</f>
        <v>Con corte al 30 de noviembre el % de interoperabilidad con las subredes fue del 86% avance en el intercambio recíproco. 
Sistemas de Información Hospitalario - HIS actualizados y disponibles en las 4 subredes de servicios de salud intercambiando información a través de la plataforma de Bogotá Salud Digital.</v>
      </c>
      <c r="N331" s="55">
        <f ca="1">IFERROR(__xludf.DUMMYFUNCTION("""COMPUTED_VALUE"""),44539)</f>
        <v>44539</v>
      </c>
      <c r="O331" s="25" t="str">
        <f t="shared" ca="1" si="0"/>
        <v>Secretaría Distrital de Salud</v>
      </c>
      <c r="P331" s="25" t="str">
        <f t="shared" si="2"/>
        <v/>
      </c>
      <c r="Q331" s="25" t="str">
        <f ca="1">IFERROR(__xludf.DUMMYFUNCTION("""COMPUTED_VALUE"""),"Corto plazo")</f>
        <v>Corto plazo</v>
      </c>
      <c r="R331" s="25"/>
      <c r="S331" s="55"/>
      <c r="T331" s="56"/>
      <c r="U331" s="25"/>
      <c r="V331" s="25"/>
      <c r="W331" s="25"/>
      <c r="X331" s="25"/>
      <c r="Y331" s="25"/>
      <c r="Z331" s="25"/>
    </row>
    <row r="332" spans="1:26" ht="52.5" customHeight="1" x14ac:dyDescent="0.25">
      <c r="A332" s="25" t="str">
        <f ca="1">IFERROR(__xludf.DUMMYFUNCTION("""COMPUTED_VALUE"""),"Salud30")</f>
        <v>Salud30</v>
      </c>
      <c r="B332" s="25" t="str">
        <f ca="1">IFERROR(__xludf.DUMMYFUNCTION("""COMPUTED_VALUE"""),"Historia Clínica Electrónica Unificada")</f>
        <v>Historia Clínica Electrónica Unificada</v>
      </c>
      <c r="C332" s="55">
        <f ca="1">IFERROR(__xludf.DUMMYFUNCTION("""COMPUTED_VALUE"""),44300)</f>
        <v>44300</v>
      </c>
      <c r="D332" s="25" t="str">
        <f ca="1">IFERROR(__xludf.DUMMYFUNCTION("""COMPUTED_VALUE"""),"Salud")</f>
        <v>Salud</v>
      </c>
      <c r="E332" s="25" t="str">
        <f ca="1">IFERROR(__xludf.DUMMYFUNCTION("""COMPUTED_VALUE"""),"Secretaría Distrital de Salud")</f>
        <v>Secretaría Distrital de Salud</v>
      </c>
      <c r="F332" s="25" t="str">
        <f ca="1">IFERROR(__xludf.DUMMYFUNCTION("""COMPUTED_VALUE"""),"Ejecutar los planes de trabajo para lograr el Intercambio recíproco de información con las IPS Privadas priorizadas.")</f>
        <v>Ejecutar los planes de trabajo para lograr el Intercambio recíproco de información con las IPS Privadas priorizadas.</v>
      </c>
      <c r="G332" s="25" t="str">
        <f ca="1">IFERROR(__xludf.DUMMYFUNCTION("""COMPUTED_VALUE"""),"99. Distrito")</f>
        <v>99. Distrito</v>
      </c>
      <c r="H332" s="55">
        <f ca="1">IFERROR(__xludf.DUMMYFUNCTION("""COMPUTED_VALUE"""),44330)</f>
        <v>44330</v>
      </c>
      <c r="I332" s="25"/>
      <c r="J332" s="55" t="str">
        <f ca="1">IFERROR(__xludf.DUMMYFUNCTION("""COMPUTED_VALUE"""),"Alta")</f>
        <v>Alta</v>
      </c>
      <c r="K332" s="25">
        <f ca="1">IFERROR(__xludf.DUMMYFUNCTION("""COMPUTED_VALUE"""),30)</f>
        <v>30</v>
      </c>
      <c r="L332" s="62"/>
      <c r="M332" s="25" t="str">
        <f ca="1">IFERROR(__xludf.DUMMYFUNCTION("""COMPUTED_VALUE"""),"Los planes de trabajo serán definidos una vez se suscriban los Acuerdos de Voluntades con la IPS priorizadas.")</f>
        <v>Los planes de trabajo serán definidos una vez se suscriban los Acuerdos de Voluntades con la IPS priorizadas.</v>
      </c>
      <c r="N332" s="55">
        <f ca="1">IFERROR(__xludf.DUMMYFUNCTION("""COMPUTED_VALUE"""),44927)</f>
        <v>44927</v>
      </c>
      <c r="O332" s="25" t="str">
        <f t="shared" ca="1" si="0"/>
        <v>Secretaría Distrital de Salud</v>
      </c>
      <c r="P332" s="25" t="str">
        <f t="shared" si="2"/>
        <v/>
      </c>
      <c r="Q332" s="25" t="str">
        <f ca="1">IFERROR(__xludf.DUMMYFUNCTION("""COMPUTED_VALUE"""),"Corto plazo")</f>
        <v>Corto plazo</v>
      </c>
      <c r="R332" s="25"/>
      <c r="S332" s="55"/>
      <c r="T332" s="56"/>
      <c r="U332" s="25"/>
      <c r="V332" s="25"/>
      <c r="W332" s="25"/>
      <c r="X332" s="25"/>
      <c r="Y332" s="25"/>
      <c r="Z332" s="25"/>
    </row>
    <row r="333" spans="1:26" ht="52.5" customHeight="1" x14ac:dyDescent="0.25">
      <c r="A333" s="25" t="str">
        <f ca="1">IFERROR(__xludf.DUMMYFUNCTION("""COMPUTED_VALUE"""),"Salud31")</f>
        <v>Salud31</v>
      </c>
      <c r="B333" s="25" t="str">
        <f ca="1">IFERROR(__xludf.DUMMYFUNCTION("""COMPUTED_VALUE"""),"Historia Clínica Electrónica Unificada")</f>
        <v>Historia Clínica Electrónica Unificada</v>
      </c>
      <c r="C333" s="55">
        <f ca="1">IFERROR(__xludf.DUMMYFUNCTION("""COMPUTED_VALUE"""),44300)</f>
        <v>44300</v>
      </c>
      <c r="D333" s="25" t="str">
        <f ca="1">IFERROR(__xludf.DUMMYFUNCTION("""COMPUTED_VALUE"""),"Salud")</f>
        <v>Salud</v>
      </c>
      <c r="E333" s="25" t="str">
        <f ca="1">IFERROR(__xludf.DUMMYFUNCTION("""COMPUTED_VALUE"""),"Secretaría Distrital de Salud")</f>
        <v>Secretaría Distrital de Salud</v>
      </c>
      <c r="F333" s="25" t="str">
        <f ca="1">IFERROR(__xludf.DUMMYFUNCTION("""COMPUTED_VALUE"""),"Convocar a sesión informativa sobre aspectos de seguridad y privacidad de la información en torno a la solución de Historia Clínica Electrónica Unificada – Bogotá Salud Digital con todas las IPS Privadas y otros interesados.")</f>
        <v>Convocar a sesión informativa sobre aspectos de seguridad y privacidad de la información en torno a la solución de Historia Clínica Electrónica Unificada – Bogotá Salud Digital con todas las IPS Privadas y otros interesados.</v>
      </c>
      <c r="G333" s="25" t="str">
        <f ca="1">IFERROR(__xludf.DUMMYFUNCTION("""COMPUTED_VALUE"""),"99. Distrito")</f>
        <v>99. Distrito</v>
      </c>
      <c r="H333" s="55">
        <f ca="1">IFERROR(__xludf.DUMMYFUNCTION("""COMPUTED_VALUE"""),44344)</f>
        <v>44344</v>
      </c>
      <c r="I333" s="15"/>
      <c r="J333" s="55" t="str">
        <f ca="1">IFERROR(__xludf.DUMMYFUNCTION("""COMPUTED_VALUE"""),"Alta")</f>
        <v>Alta</v>
      </c>
      <c r="K333" s="25">
        <f ca="1">IFERROR(__xludf.DUMMYFUNCTION("""COMPUTED_VALUE"""),44)</f>
        <v>44</v>
      </c>
      <c r="L333" s="62"/>
      <c r="M333" s="25" t="str">
        <f ca="1">IFERROR(__xludf.DUMMYFUNCTION("""COMPUTED_VALUE"""),"El 28 de mayo se realizó sesión de trabajo con las IPS privadas en la cual explicó la forma como la Secretaría de Salud ha abordado el cumplimiento de criterios de seguridad y privacidad de la información para el proyecto de HCEU.")</f>
        <v>El 28 de mayo se realizó sesión de trabajo con las IPS privadas en la cual explicó la forma como la Secretaría de Salud ha abordado el cumplimiento de criterios de seguridad y privacidad de la información para el proyecto de HCEU.</v>
      </c>
      <c r="N333" s="55">
        <f ca="1">IFERROR(__xludf.DUMMYFUNCTION("""COMPUTED_VALUE"""),44927)</f>
        <v>44927</v>
      </c>
      <c r="O333" s="25" t="str">
        <f t="shared" ca="1" si="0"/>
        <v>Secretaría Distrital de Salud</v>
      </c>
      <c r="P333" s="25" t="str">
        <f t="shared" si="2"/>
        <v/>
      </c>
      <c r="Q333" s="25" t="str">
        <f ca="1">IFERROR(__xludf.DUMMYFUNCTION("""COMPUTED_VALUE"""),"Corto plazo")</f>
        <v>Corto plazo</v>
      </c>
      <c r="R333" s="25"/>
      <c r="S333" s="55"/>
      <c r="T333" s="56"/>
      <c r="U333" s="25"/>
      <c r="V333" s="25"/>
      <c r="W333" s="25"/>
      <c r="X333" s="25"/>
      <c r="Y333" s="25"/>
      <c r="Z333" s="25"/>
    </row>
    <row r="334" spans="1:26" ht="52.5" customHeight="1" x14ac:dyDescent="0.25">
      <c r="A334" s="25" t="str">
        <f ca="1">IFERROR(__xludf.DUMMYFUNCTION("""COMPUTED_VALUE"""),"Salud32")</f>
        <v>Salud32</v>
      </c>
      <c r="B334" s="25" t="str">
        <f ca="1">IFERROR(__xludf.DUMMYFUNCTION("""COMPUTED_VALUE"""),"Asignación presupuestal proyectos estratégicos")</f>
        <v>Asignación presupuestal proyectos estratégicos</v>
      </c>
      <c r="C334" s="55">
        <f ca="1">IFERROR(__xludf.DUMMYFUNCTION("""COMPUTED_VALUE"""),44214)</f>
        <v>44214</v>
      </c>
      <c r="D334" s="25" t="str">
        <f ca="1">IFERROR(__xludf.DUMMYFUNCTION("""COMPUTED_VALUE"""),"Salud")</f>
        <v>Salud</v>
      </c>
      <c r="E334" s="25" t="str">
        <f ca="1">IFERROR(__xludf.DUMMYFUNCTION("""COMPUTED_VALUE"""),"Fondo Financiero Distrital de Salud")</f>
        <v>Fondo Financiero Distrital de Salud</v>
      </c>
      <c r="F334" s="25" t="str">
        <f ca="1">IFERROR(__xludf.DUMMYFUNCTION("""COMPUTED_VALUE"""),"Revisar en la próxima reunión de las 2 prioridades (APP Engativá y el Instituto Materno Infantil): ¿Cuánto son en monto? ¿Qué opciones de montos tenemos? Y ¿Cómo se verían en montos en vigencias futuras?")</f>
        <v>Revisar en la próxima reunión de las 2 prioridades (APP Engativá y el Instituto Materno Infantil): ¿Cuánto son en monto? ¿Qué opciones de montos tenemos? Y ¿Cómo se verían en montos en vigencias futuras?</v>
      </c>
      <c r="G334" s="55" t="str">
        <f ca="1">IFERROR(__xludf.DUMMYFUNCTION("""COMPUTED_VALUE"""),"10. Engativá")</f>
        <v>10. Engativá</v>
      </c>
      <c r="H334" s="55">
        <f ca="1">IFERROR(__xludf.DUMMYFUNCTION("""COMPUTED_VALUE"""),44244)</f>
        <v>44244</v>
      </c>
      <c r="I334" s="25"/>
      <c r="J334" s="55" t="str">
        <f ca="1">IFERROR(__xludf.DUMMYFUNCTION("""COMPUTED_VALUE"""),"Alta")</f>
        <v>Alta</v>
      </c>
      <c r="K334" s="25">
        <f ca="1">IFERROR(__xludf.DUMMYFUNCTION("""COMPUTED_VALUE"""),30)</f>
        <v>30</v>
      </c>
      <c r="L334" s="62">
        <f ca="1">IFERROR(__xludf.DUMMYFUNCTION("""COMPUTED_VALUE"""),44690)</f>
        <v>44690</v>
      </c>
      <c r="M334" s="25" t="str">
        <f ca="1">IFERROR(__xludf.DUMMYFUNCTION("""COMPUTED_VALUE"""),"APP ENGATIVÁ
Valor VF: 681.971 millones
Opción de Recursos: Recursos de ingresos ordinarios, solicitados a SHD.En proceso - Se envía a SHD oficio para validación y compromiso de VF de la APP Engativá. Además se está inscribiendo el proyecto en el Banco Di"&amp;"strital de Programas y Proyectos (SDP). Igualmente se está proyectando el oficio para radicar ante la SDP la remisión de los documentos para el concepto sobre adecuación del contrato a política de riesgo contractual del estado.
")</f>
        <v xml:space="preserve">APP ENGATIVÁ
Valor VF: 681.971 millones
Opción de Recursos: Recursos de ingresos ordinarios, solicitados a SHD.En proceso - Se envía a SHD oficio para validación y compromiso de VF de la APP Engativá. Además se está inscribiendo el proyecto en el Banco Distrital de Programas y Proyectos (SDP). Igualmente se está proyectando el oficio para radicar ante la SDP la remisión de los documentos para el concepto sobre adecuación del contrato a política de riesgo contractual del estado.
</v>
      </c>
      <c r="N334" s="55">
        <f ca="1">IFERROR(__xludf.DUMMYFUNCTION("""COMPUTED_VALUE"""),44690)</f>
        <v>44690</v>
      </c>
      <c r="O334" s="25" t="str">
        <f t="shared" ca="1" si="0"/>
        <v>Fondo Financiero Distrital de Salud</v>
      </c>
      <c r="P334" s="25" t="str">
        <f t="shared" si="2"/>
        <v/>
      </c>
      <c r="Q334" s="25" t="str">
        <f ca="1">IFERROR(__xludf.DUMMYFUNCTION("""COMPUTED_VALUE"""),"Corto plazo")</f>
        <v>Corto plazo</v>
      </c>
      <c r="R334" s="25"/>
      <c r="S334" s="55"/>
      <c r="T334" s="56"/>
      <c r="U334" s="25"/>
      <c r="V334" s="25"/>
      <c r="W334" s="25"/>
      <c r="X334" s="25"/>
      <c r="Y334" s="25"/>
      <c r="Z334" s="25"/>
    </row>
    <row r="335" spans="1:26" ht="52.5" customHeight="1" x14ac:dyDescent="0.25">
      <c r="A335" s="25" t="str">
        <f ca="1">IFERROR(__xludf.DUMMYFUNCTION("""COMPUTED_VALUE"""),"Salud33")</f>
        <v>Salud33</v>
      </c>
      <c r="B335" s="25" t="str">
        <f ca="1">IFERROR(__xludf.DUMMYFUNCTION("""COMPUTED_VALUE"""),"Comité epidemiológico ")</f>
        <v xml:space="preserve">Comité epidemiológico </v>
      </c>
      <c r="C335" s="55">
        <f ca="1">IFERROR(__xludf.DUMMYFUNCTION("""COMPUTED_VALUE"""),44208)</f>
        <v>44208</v>
      </c>
      <c r="D335" s="25" t="str">
        <f ca="1">IFERROR(__xludf.DUMMYFUNCTION("""COMPUTED_VALUE"""),"Salud")</f>
        <v>Salud</v>
      </c>
      <c r="E335" s="25" t="str">
        <f ca="1">IFERROR(__xludf.DUMMYFUNCTION("""COMPUTED_VALUE"""),"Secretaría Distrital de Salud")</f>
        <v>Secretaría Distrital de Salud</v>
      </c>
      <c r="F335" s="25" t="str">
        <f ca="1">IFERROR(__xludf.DUMMYFUNCTION("""COMPUTED_VALUE"""),"Curva de fallecidos/ hospitalizados/ etc… en dos secciones:
-Del 26 de agosto a detección de omicron 
-De la detección de omicron hasta la fecha presente.   
")</f>
        <v xml:space="preserve">Curva de fallecidos/ hospitalizados/ etc… en dos secciones:
-Del 26 de agosto a detección de omicron 
-De la detección de omicron hasta la fecha presente.   
</v>
      </c>
      <c r="G335" s="25" t="str">
        <f ca="1">IFERROR(__xludf.DUMMYFUNCTION("""COMPUTED_VALUE"""),"99. Distrito")</f>
        <v>99. Distrito</v>
      </c>
      <c r="H335" s="55">
        <f ca="1">IFERROR(__xludf.DUMMYFUNCTION("""COMPUTED_VALUE"""),44238)</f>
        <v>44238</v>
      </c>
      <c r="I335" s="25"/>
      <c r="J335" s="55" t="str">
        <f ca="1">IFERROR(__xludf.DUMMYFUNCTION("""COMPUTED_VALUE"""),"Alta")</f>
        <v>Alta</v>
      </c>
      <c r="K335" s="25">
        <f ca="1">IFERROR(__xludf.DUMMYFUNCTION("""COMPUTED_VALUE"""),30)</f>
        <v>30</v>
      </c>
      <c r="L335" s="62">
        <f ca="1">IFERROR(__xludf.DUMMYFUNCTION("""COMPUTED_VALUE"""),44574)</f>
        <v>44574</v>
      </c>
      <c r="M335" s="25" t="str">
        <f ca="1">IFERROR(__xludf.DUMMYFUNCTION("""COMPUTED_VALUE"""),"El ajuste se realizó para la presentación realizada en rueda de prensa el 12 de enero de 2022.")</f>
        <v>El ajuste se realizó para la presentación realizada en rueda de prensa el 12 de enero de 2022.</v>
      </c>
      <c r="N335" s="55">
        <f ca="1">IFERROR(__xludf.DUMMYFUNCTION("""COMPUTED_VALUE"""),44574)</f>
        <v>44574</v>
      </c>
      <c r="O335" s="25" t="str">
        <f t="shared" ca="1" si="0"/>
        <v>Secretaría Distrital de Salud</v>
      </c>
      <c r="P335" s="25" t="str">
        <f t="shared" si="2"/>
        <v/>
      </c>
      <c r="Q335" s="25" t="str">
        <f ca="1">IFERROR(__xludf.DUMMYFUNCTION("""COMPUTED_VALUE"""),"Corto plazo")</f>
        <v>Corto plazo</v>
      </c>
      <c r="R335" s="25"/>
      <c r="S335" s="55"/>
      <c r="T335" s="56"/>
      <c r="U335" s="25"/>
      <c r="V335" s="25"/>
      <c r="W335" s="25"/>
      <c r="X335" s="25"/>
      <c r="Y335" s="25"/>
      <c r="Z335" s="25"/>
    </row>
    <row r="336" spans="1:26" ht="52.5" customHeight="1" x14ac:dyDescent="0.25">
      <c r="A336" s="25" t="str">
        <f ca="1">IFERROR(__xludf.DUMMYFUNCTION("""COMPUTED_VALUE"""),"Salud34")</f>
        <v>Salud34</v>
      </c>
      <c r="B336" s="25" t="str">
        <f ca="1">IFERROR(__xludf.DUMMYFUNCTION("""COMPUTED_VALUE"""),"Recorrido Sumapaz")</f>
        <v>Recorrido Sumapaz</v>
      </c>
      <c r="C336" s="55">
        <f ca="1">IFERROR(__xludf.DUMMYFUNCTION("""COMPUTED_VALUE"""),44162)</f>
        <v>44162</v>
      </c>
      <c r="D336" s="25" t="str">
        <f ca="1">IFERROR(__xludf.DUMMYFUNCTION("""COMPUTED_VALUE"""),"Salud")</f>
        <v>Salud</v>
      </c>
      <c r="E336" s="25" t="str">
        <f ca="1">IFERROR(__xludf.DUMMYFUNCTION("""COMPUTED_VALUE"""),"Secretaría Distrital de Salud")</f>
        <v>Secretaría Distrital de Salud</v>
      </c>
      <c r="F336" s="25" t="str">
        <f ca="1">IFERROR(__xludf.DUMMYFUNCTION("""COMPUTED_VALUE"""),"Llevar los equipos territoriales de salud a la localidad con kit de cuidado para las personas con comorbilidades")</f>
        <v>Llevar los equipos territoriales de salud a la localidad con kit de cuidado para las personas con comorbilidades</v>
      </c>
      <c r="G336" s="55" t="str">
        <f ca="1">IFERROR(__xludf.DUMMYFUNCTION("""COMPUTED_VALUE"""),"20. Sumapaz")</f>
        <v>20. Sumapaz</v>
      </c>
      <c r="H336" s="55">
        <f ca="1">IFERROR(__xludf.DUMMYFUNCTION("""COMPUTED_VALUE"""),44192)</f>
        <v>44192</v>
      </c>
      <c r="I336" s="25"/>
      <c r="J336" s="55" t="str">
        <f ca="1">IFERROR(__xludf.DUMMYFUNCTION("""COMPUTED_VALUE"""),"Alta")</f>
        <v>Alta</v>
      </c>
      <c r="K336" s="25">
        <f ca="1">IFERROR(__xludf.DUMMYFUNCTION("""COMPUTED_VALUE"""),30)</f>
        <v>30</v>
      </c>
      <c r="L336" s="62">
        <f ca="1">IFERROR(__xludf.DUMMYFUNCTION("""COMPUTED_VALUE"""),44168)</f>
        <v>44168</v>
      </c>
      <c r="M336" s="25" t="str">
        <f ca="1">IFERROR(__xludf.DUMMYFUNCTION("""COMPUTED_VALUE"""),"El 3 de diciembre la SubRed Sur de Sec Salud llevó los kit de cuidado a la localidad ")</f>
        <v xml:space="preserve">El 3 de diciembre la SubRed Sur de Sec Salud llevó los kit de cuidado a la localidad </v>
      </c>
      <c r="N336" s="55">
        <f ca="1">IFERROR(__xludf.DUMMYFUNCTION("""COMPUTED_VALUE"""),44168)</f>
        <v>44168</v>
      </c>
      <c r="O336" s="25" t="str">
        <f t="shared" ca="1" si="0"/>
        <v>Secretaría Distrital de Salud</v>
      </c>
      <c r="P336" s="25" t="str">
        <f t="shared" si="2"/>
        <v/>
      </c>
      <c r="Q336" s="25" t="str">
        <f ca="1">IFERROR(__xludf.DUMMYFUNCTION("""COMPUTED_VALUE"""),"Corto plazo")</f>
        <v>Corto plazo</v>
      </c>
      <c r="R336" s="25"/>
      <c r="S336" s="55"/>
      <c r="T336" s="56"/>
      <c r="U336" s="25"/>
      <c r="V336" s="25"/>
      <c r="W336" s="25"/>
      <c r="X336" s="25"/>
      <c r="Y336" s="25"/>
      <c r="Z336" s="25"/>
    </row>
    <row r="337" spans="1:26" ht="52.5" customHeight="1" x14ac:dyDescent="0.25">
      <c r="A337" s="25" t="str">
        <f ca="1">IFERROR(__xludf.DUMMYFUNCTION("""COMPUTED_VALUE"""),"Salud35")</f>
        <v>Salud35</v>
      </c>
      <c r="B337" s="25" t="str">
        <f ca="1">IFERROR(__xludf.DUMMYFUNCTION("""COMPUTED_VALUE"""),"Despachando: Secretaría Distrital de salud")</f>
        <v>Despachando: Secretaría Distrital de salud</v>
      </c>
      <c r="C337" s="55">
        <f ca="1">IFERROR(__xludf.DUMMYFUNCTION("""COMPUTED_VALUE"""),44139)</f>
        <v>44139</v>
      </c>
      <c r="D337" s="25" t="str">
        <f ca="1">IFERROR(__xludf.DUMMYFUNCTION("""COMPUTED_VALUE"""),"Salud")</f>
        <v>Salud</v>
      </c>
      <c r="E337" s="25" t="str">
        <f ca="1">IFERROR(__xludf.DUMMYFUNCTION("""COMPUTED_VALUE"""),"Secretaría Distrital de Salud")</f>
        <v>Secretaría Distrital de Salud</v>
      </c>
      <c r="F337" s="25" t="str">
        <f ca="1">IFERROR(__xludf.DUMMYFUNCTION("""COMPUTED_VALUE"""),"Programar visita de la alcaldesa cuando llegue donación de Corea y Ecopetrol")</f>
        <v>Programar visita de la alcaldesa cuando llegue donación de Corea y Ecopetrol</v>
      </c>
      <c r="G337" s="25" t="str">
        <f ca="1">IFERROR(__xludf.DUMMYFUNCTION("""COMPUTED_VALUE"""),"99. Distrito")</f>
        <v>99. Distrito</v>
      </c>
      <c r="H337" s="55">
        <f ca="1">IFERROR(__xludf.DUMMYFUNCTION("""COMPUTED_VALUE"""),44169)</f>
        <v>44169</v>
      </c>
      <c r="I337" s="25"/>
      <c r="J337" s="55" t="str">
        <f ca="1">IFERROR(__xludf.DUMMYFUNCTION("""COMPUTED_VALUE"""),"Alta")</f>
        <v>Alta</v>
      </c>
      <c r="K337" s="25">
        <f ca="1">IFERROR(__xludf.DUMMYFUNCTION("""COMPUTED_VALUE"""),30)</f>
        <v>30</v>
      </c>
      <c r="L337" s="62">
        <f ca="1">IFERROR(__xludf.DUMMYFUNCTION("""COMPUTED_VALUE"""),44183)</f>
        <v>44183</v>
      </c>
      <c r="M337" s="25" t="str">
        <f ca="1">IFERROR(__xludf.DUMMYFUNCTION("""COMPUTED_VALUE"""),"El evento de entrega de los equipos de Ecopetrol se llevó a cabo el día viernes 18 de diciembre en el Hospital el Tunal. 
 La segunda entrega de los equipos de Corea tendrá lugar entre el 22 y 23 de julio, con esto se finaliza la primera donación por un v"&amp;"alor de 5 millones de dólares")</f>
        <v>El evento de entrega de los equipos de Ecopetrol se llevó a cabo el día viernes 18 de diciembre en el Hospital el Tunal. 
 La segunda entrega de los equipos de Corea tendrá lugar entre el 22 y 23 de julio, con esto se finaliza la primera donación por un valor de 5 millones de dólares</v>
      </c>
      <c r="N337" s="55">
        <f ca="1">IFERROR(__xludf.DUMMYFUNCTION("""COMPUTED_VALUE"""),44183)</f>
        <v>44183</v>
      </c>
      <c r="O337" s="25" t="str">
        <f t="shared" ca="1" si="0"/>
        <v>Secretaría Distrital de Salud</v>
      </c>
      <c r="P337" s="25" t="str">
        <f t="shared" si="2"/>
        <v/>
      </c>
      <c r="Q337" s="25" t="str">
        <f ca="1">IFERROR(__xludf.DUMMYFUNCTION("""COMPUTED_VALUE"""),"Corto plazo")</f>
        <v>Corto plazo</v>
      </c>
      <c r="R337" s="25"/>
      <c r="S337" s="55"/>
      <c r="T337" s="56"/>
      <c r="U337" s="25"/>
      <c r="V337" s="25"/>
      <c r="W337" s="25"/>
      <c r="X337" s="25"/>
      <c r="Y337" s="25"/>
      <c r="Z337" s="25"/>
    </row>
    <row r="338" spans="1:26" ht="52.5" customHeight="1" x14ac:dyDescent="0.25">
      <c r="A338" s="25" t="str">
        <f ca="1">IFERROR(__xludf.DUMMYFUNCTION("""COMPUTED_VALUE"""),"Salud36")</f>
        <v>Salud36</v>
      </c>
      <c r="B338" s="25" t="str">
        <f ca="1">IFERROR(__xludf.DUMMYFUNCTION("""COMPUTED_VALUE"""),"Estrategia disminución desnutrición infantil ")</f>
        <v xml:space="preserve">Estrategia disminución desnutrición infantil </v>
      </c>
      <c r="C338" s="55">
        <f ca="1">IFERROR(__xludf.DUMMYFUNCTION("""COMPUTED_VALUE"""),44057)</f>
        <v>44057</v>
      </c>
      <c r="D338" s="25" t="str">
        <f ca="1">IFERROR(__xludf.DUMMYFUNCTION("""COMPUTED_VALUE"""),"Salud")</f>
        <v>Salud</v>
      </c>
      <c r="E338" s="25" t="str">
        <f ca="1">IFERROR(__xludf.DUMMYFUNCTION("""COMPUTED_VALUE"""),"Secretaría Distrital de Salud")</f>
        <v>Secretaría Distrital de Salud</v>
      </c>
      <c r="F338" s="25" t="str">
        <f ca="1">IFERROR(__xludf.DUMMYFUNCTION("""COMPUTED_VALUE"""),"Tener claridad en las cifras de los niños notificados con desnutrición; incluir un botón de gestantes y lactantes; nombrar gerente del proyecto; diseñar un kit para gestantes y lactantes. 
")</f>
        <v xml:space="preserve">Tener claridad en las cifras de los niños notificados con desnutrición; incluir un botón de gestantes y lactantes; nombrar gerente del proyecto; diseñar un kit para gestantes y lactantes. 
</v>
      </c>
      <c r="G338" s="25" t="str">
        <f ca="1">IFERROR(__xludf.DUMMYFUNCTION("""COMPUTED_VALUE"""),"99. Distrito")</f>
        <v>99. Distrito</v>
      </c>
      <c r="H338" s="55">
        <f ca="1">IFERROR(__xludf.DUMMYFUNCTION("""COMPUTED_VALUE"""),44087)</f>
        <v>44087</v>
      </c>
      <c r="I338" s="25"/>
      <c r="J338" s="55" t="str">
        <f ca="1">IFERROR(__xludf.DUMMYFUNCTION("""COMPUTED_VALUE"""),"Alta")</f>
        <v>Alta</v>
      </c>
      <c r="K338" s="25">
        <f ca="1">IFERROR(__xludf.DUMMYFUNCTION("""COMPUTED_VALUE"""),30)</f>
        <v>30</v>
      </c>
      <c r="L338" s="62">
        <f ca="1">IFERROR(__xludf.DUMMYFUNCTION("""COMPUTED_VALUE"""),44399)</f>
        <v>44399</v>
      </c>
      <c r="M338" s="25" t="str">
        <f ca="1">IFERROR(__xludf.DUMMYFUNCTION("""COMPUTED_VALUE"""),"Se diseñó un tablero de control con las cifras; se incluyó un botón en Bogotá Cuidadora. El kit se diseñó desde liderazgo de la SDS en articulación con la SDIS y la SED. ")</f>
        <v xml:space="preserve">Se diseñó un tablero de control con las cifras; se incluyó un botón en Bogotá Cuidadora. El kit se diseñó desde liderazgo de la SDS en articulación con la SDIS y la SED. </v>
      </c>
      <c r="N338" s="55">
        <f ca="1">IFERROR(__xludf.DUMMYFUNCTION("""COMPUTED_VALUE"""),44399)</f>
        <v>44399</v>
      </c>
      <c r="O338" s="25" t="str">
        <f t="shared" ca="1" si="0"/>
        <v>Secretaría Distrital de Salud</v>
      </c>
      <c r="P338" s="25" t="str">
        <f t="shared" si="2"/>
        <v/>
      </c>
      <c r="Q338" s="25" t="str">
        <f ca="1">IFERROR(__xludf.DUMMYFUNCTION("""COMPUTED_VALUE"""),"Corto plazo")</f>
        <v>Corto plazo</v>
      </c>
      <c r="R338" s="25"/>
      <c r="S338" s="55"/>
      <c r="T338" s="56"/>
      <c r="U338" s="25"/>
      <c r="V338" s="25"/>
      <c r="W338" s="25"/>
      <c r="X338" s="25"/>
      <c r="Y338" s="25"/>
      <c r="Z338" s="25"/>
    </row>
    <row r="339" spans="1:26" ht="52.5" customHeight="1" x14ac:dyDescent="0.25">
      <c r="A339" s="25" t="str">
        <f ca="1">IFERROR(__xludf.DUMMYFUNCTION("""COMPUTED_VALUE"""),"Salud37")</f>
        <v>Salud37</v>
      </c>
      <c r="B339" s="25" t="str">
        <f ca="1">IFERROR(__xludf.DUMMYFUNCTION("""COMPUTED_VALUE"""),"Atenea Producción de vacunas")</f>
        <v>Atenea Producción de vacunas</v>
      </c>
      <c r="C339" s="55">
        <f ca="1">IFERROR(__xludf.DUMMYFUNCTION("""COMPUTED_VALUE"""),44634)</f>
        <v>44634</v>
      </c>
      <c r="D339" s="25" t="str">
        <f ca="1">IFERROR(__xludf.DUMMYFUNCTION("""COMPUTED_VALUE"""),"Salud")</f>
        <v>Salud</v>
      </c>
      <c r="E339" s="25" t="str">
        <f ca="1">IFERROR(__xludf.DUMMYFUNCTION("""COMPUTED_VALUE"""),"Secretaría Distrital de Salud")</f>
        <v>Secretaría Distrital de Salud</v>
      </c>
      <c r="F339" s="25" t="str">
        <f ca="1">IFERROR(__xludf.DUMMYFUNCTION("""COMPUTED_VALUE"""),"En los Términos de referencia debe quedar clara la estructuración de la empresa. Diseñar los documentos con los que formalizamos la empresa (Walvax-Atenea) para la producción de vacunas.")</f>
        <v>En los Términos de referencia debe quedar clara la estructuración de la empresa. Diseñar los documentos con los que formalizamos la empresa (Walvax-Atenea) para la producción de vacunas.</v>
      </c>
      <c r="G339" s="25" t="str">
        <f ca="1">IFERROR(__xludf.DUMMYFUNCTION("""COMPUTED_VALUE"""),"99. Distrito")</f>
        <v>99. Distrito</v>
      </c>
      <c r="H339" s="55">
        <f ca="1">IFERROR(__xludf.DUMMYFUNCTION("""COMPUTED_VALUE"""),44664)</f>
        <v>44664</v>
      </c>
      <c r="I339" s="25"/>
      <c r="J339" s="55" t="str">
        <f ca="1">IFERROR(__xludf.DUMMYFUNCTION("""COMPUTED_VALUE"""),"Alta")</f>
        <v>Alta</v>
      </c>
      <c r="K339" s="25">
        <f ca="1">IFERROR(__xludf.DUMMYFUNCTION("""COMPUTED_VALUE"""),30)</f>
        <v>30</v>
      </c>
      <c r="L339" s="62">
        <f ca="1">IFERROR(__xludf.DUMMYFUNCTION("""COMPUTED_VALUE"""),44691)</f>
        <v>44691</v>
      </c>
      <c r="M339" s="25" t="str">
        <f ca="1">IFERROR(__xludf.DUMMYFUNCTION("""COMPUTED_VALUE""")," Se inició el proceso de contratación de la banca de inversión que estrucutrará tanto el proyecto como la empresa. En los términos de referencia de la contratación quedó claramente incluido que parte de las obligaciones del contratista es estructurar la e"&amp;"mpresa y entregar los documentos para formalizarla.")</f>
        <v xml:space="preserve"> Se inició el proceso de contratación de la banca de inversión que estrucutrará tanto el proyecto como la empresa. En los términos de referencia de la contratación quedó claramente incluido que parte de las obligaciones del contratista es estructurar la empresa y entregar los documentos para formalizarla.</v>
      </c>
      <c r="N339" s="55">
        <f ca="1">IFERROR(__xludf.DUMMYFUNCTION("""COMPUTED_VALUE"""),44691)</f>
        <v>44691</v>
      </c>
      <c r="O339" s="25" t="str">
        <f t="shared" ca="1" si="0"/>
        <v>Secretaría Distrital de Salud</v>
      </c>
      <c r="P339" s="25" t="str">
        <f t="shared" si="2"/>
        <v/>
      </c>
      <c r="Q339" s="25" t="str">
        <f ca="1">IFERROR(__xludf.DUMMYFUNCTION("""COMPUTED_VALUE"""),"Corto plazo")</f>
        <v>Corto plazo</v>
      </c>
      <c r="R339" s="25"/>
      <c r="S339" s="55"/>
      <c r="T339" s="56"/>
      <c r="U339" s="25"/>
      <c r="V339" s="25"/>
      <c r="W339" s="25"/>
      <c r="X339" s="25"/>
      <c r="Y339" s="25"/>
      <c r="Z339" s="25"/>
    </row>
    <row r="340" spans="1:26" ht="52.5" customHeight="1" x14ac:dyDescent="0.25">
      <c r="A340" s="25" t="str">
        <f ca="1">IFERROR(__xludf.DUMMYFUNCTION("""COMPUTED_VALUE"""),"Salud38")</f>
        <v>Salud38</v>
      </c>
      <c r="B340" s="25" t="str">
        <f ca="1">IFERROR(__xludf.DUMMYFUNCTION("""COMPUTED_VALUE"""),"Atenea Producción de vacunas")</f>
        <v>Atenea Producción de vacunas</v>
      </c>
      <c r="C340" s="55">
        <f ca="1">IFERROR(__xludf.DUMMYFUNCTION("""COMPUTED_VALUE"""),44634)</f>
        <v>44634</v>
      </c>
      <c r="D340" s="25" t="str">
        <f ca="1">IFERROR(__xludf.DUMMYFUNCTION("""COMPUTED_VALUE"""),"Salud")</f>
        <v>Salud</v>
      </c>
      <c r="E340" s="25" t="str">
        <f ca="1">IFERROR(__xludf.DUMMYFUNCTION("""COMPUTED_VALUE"""),"Secretaría Distrital de Salud")</f>
        <v>Secretaría Distrital de Salud</v>
      </c>
      <c r="F340" s="25" t="str">
        <f ca="1">IFERROR(__xludf.DUMMYFUNCTION("""COMPUTED_VALUE"""),"Dejar en el contrato inicial con Walvax todo lo que haremos con ellos: la construcción de la fábrica, producir, entrenar a las personas quien va a poner las máquinas, etc para la producción de vacunas.")</f>
        <v>Dejar en el contrato inicial con Walvax todo lo que haremos con ellos: la construcción de la fábrica, producir, entrenar a las personas quien va a poner las máquinas, etc para la producción de vacunas.</v>
      </c>
      <c r="G340" s="25" t="str">
        <f ca="1">IFERROR(__xludf.DUMMYFUNCTION("""COMPUTED_VALUE"""),"99. Distrito")</f>
        <v>99. Distrito</v>
      </c>
      <c r="H340" s="55">
        <f ca="1">IFERROR(__xludf.DUMMYFUNCTION("""COMPUTED_VALUE"""),44664)</f>
        <v>44664</v>
      </c>
      <c r="I340" s="25"/>
      <c r="J340" s="55" t="str">
        <f ca="1">IFERROR(__xludf.DUMMYFUNCTION("""COMPUTED_VALUE"""),"Alta")</f>
        <v>Alta</v>
      </c>
      <c r="K340" s="25">
        <f ca="1">IFERROR(__xludf.DUMMYFUNCTION("""COMPUTED_VALUE"""),30)</f>
        <v>30</v>
      </c>
      <c r="L340" s="62">
        <f ca="1">IFERROR(__xludf.DUMMYFUNCTION("""COMPUTED_VALUE"""),44691)</f>
        <v>44691</v>
      </c>
      <c r="M340" s="25" t="str">
        <f ca="1">IFERROR(__xludf.DUMMYFUNCTION("""COMPUTED_VALUE"""),"Se inició el proceso de contratación de la banca de inversión que estructurará el proyecto. En los términos de referencia de la contratación de la banca de inversión quedó claro que ellos debe proponer tanto un modelo de negocio, como un modelo de asociac"&amp;"ión que refleje las contribuciones de cada parte. La Banca de Inversión también debe acompañar al Distrito en la negociación con Walvax.")</f>
        <v>Se inició el proceso de contratación de la banca de inversión que estructurará el proyecto. En los términos de referencia de la contratación de la banca de inversión quedó claro que ellos debe proponer tanto un modelo de negocio, como un modelo de asociación que refleje las contribuciones de cada parte. La Banca de Inversión también debe acompañar al Distrito en la negociación con Walvax.</v>
      </c>
      <c r="N340" s="55">
        <f ca="1">IFERROR(__xludf.DUMMYFUNCTION("""COMPUTED_VALUE"""),44691)</f>
        <v>44691</v>
      </c>
      <c r="O340" s="25" t="str">
        <f t="shared" ca="1" si="0"/>
        <v>Secretaría Distrital de Salud</v>
      </c>
      <c r="P340" s="25" t="str">
        <f t="shared" si="2"/>
        <v/>
      </c>
      <c r="Q340" s="25" t="str">
        <f ca="1">IFERROR(__xludf.DUMMYFUNCTION("""COMPUTED_VALUE"""),"Corto plazo")</f>
        <v>Corto plazo</v>
      </c>
      <c r="R340" s="25"/>
      <c r="S340" s="55"/>
      <c r="T340" s="56"/>
      <c r="U340" s="25"/>
      <c r="V340" s="25"/>
      <c r="W340" s="25"/>
      <c r="X340" s="25"/>
      <c r="Y340" s="25"/>
      <c r="Z340" s="25"/>
    </row>
    <row r="341" spans="1:26" ht="52.5" customHeight="1" x14ac:dyDescent="0.25">
      <c r="A341" s="25" t="str">
        <f ca="1">IFERROR(__xludf.DUMMYFUNCTION("""COMPUTED_VALUE"""),"Salud39")</f>
        <v>Salud39</v>
      </c>
      <c r="B341" s="25" t="str">
        <f ca="1">IFERROR(__xludf.DUMMYFUNCTION("""COMPUTED_VALUE"""),"Atenea Producción de vacunas")</f>
        <v>Atenea Producción de vacunas</v>
      </c>
      <c r="C341" s="55">
        <f ca="1">IFERROR(__xludf.DUMMYFUNCTION("""COMPUTED_VALUE"""),44634)</f>
        <v>44634</v>
      </c>
      <c r="D341" s="25" t="str">
        <f ca="1">IFERROR(__xludf.DUMMYFUNCTION("""COMPUTED_VALUE"""),"Salud")</f>
        <v>Salud</v>
      </c>
      <c r="E341" s="25" t="str">
        <f ca="1">IFERROR(__xludf.DUMMYFUNCTION("""COMPUTED_VALUE"""),"Secretaría Distrital de Salud")</f>
        <v>Secretaría Distrital de Salud</v>
      </c>
      <c r="F341" s="25" t="str">
        <f ca="1">IFERROR(__xludf.DUMMYFUNCTION("""COMPUTED_VALUE"""),"Considerar una misión técnica con recursos de cooperación (CAF, BID) para revisar cómo tienen esta producción en China, México, Brasil o Argentina para sumar al anexo técnico. (Preguntarle a Elkin)")</f>
        <v>Considerar una misión técnica con recursos de cooperación (CAF, BID) para revisar cómo tienen esta producción en China, México, Brasil o Argentina para sumar al anexo técnico. (Preguntarle a Elkin)</v>
      </c>
      <c r="G341" s="25" t="str">
        <f ca="1">IFERROR(__xludf.DUMMYFUNCTION("""COMPUTED_VALUE"""),"99. Distrito")</f>
        <v>99. Distrito</v>
      </c>
      <c r="H341" s="55">
        <f ca="1">IFERROR(__xludf.DUMMYFUNCTION("""COMPUTED_VALUE"""),44664)</f>
        <v>44664</v>
      </c>
      <c r="I341" s="25"/>
      <c r="J341" s="55" t="str">
        <f ca="1">IFERROR(__xludf.DUMMYFUNCTION("""COMPUTED_VALUE"""),"Alta")</f>
        <v>Alta</v>
      </c>
      <c r="K341" s="25">
        <f ca="1">IFERROR(__xludf.DUMMYFUNCTION("""COMPUTED_VALUE"""),30)</f>
        <v>30</v>
      </c>
      <c r="L341" s="62">
        <f ca="1">IFERROR(__xludf.DUMMYFUNCTION("""COMPUTED_VALUE"""),44691)</f>
        <v>44691</v>
      </c>
      <c r="M341" s="25" t="str">
        <f ca="1">IFERROR(__xludf.DUMMYFUNCTION("""COMPUTED_VALUE"""),"Se inició el proceso de contratación de la banca de inversión que estructurará el proyecto y quien deberá también encargarse de organizar la misión técnica. En el presupuesto del contrato se incluyó el valor de la Misión Técnica de Referenciación, que ten"&amp;"drá lugar entre agosto y septiembre. Se hará con recursos de la Secretaría de Salud, trasladados a ATENEA.")</f>
        <v>Se inició el proceso de contratación de la banca de inversión que estructurará el proyecto y quien deberá también encargarse de organizar la misión técnica. En el presupuesto del contrato se incluyó el valor de la Misión Técnica de Referenciación, que tendrá lugar entre agosto y septiembre. Se hará con recursos de la Secretaría de Salud, trasladados a ATENEA.</v>
      </c>
      <c r="N341" s="55">
        <f ca="1">IFERROR(__xludf.DUMMYFUNCTION("""COMPUTED_VALUE"""),44691)</f>
        <v>44691</v>
      </c>
      <c r="O341" s="25" t="str">
        <f t="shared" ca="1" si="0"/>
        <v>Secretaría Distrital de Salud</v>
      </c>
      <c r="P341" s="25" t="str">
        <f t="shared" si="2"/>
        <v/>
      </c>
      <c r="Q341" s="25" t="str">
        <f ca="1">IFERROR(__xludf.DUMMYFUNCTION("""COMPUTED_VALUE"""),"Corto plazo")</f>
        <v>Corto plazo</v>
      </c>
      <c r="R341" s="25"/>
      <c r="S341" s="55"/>
      <c r="T341" s="56"/>
      <c r="U341" s="25"/>
      <c r="V341" s="25"/>
      <c r="W341" s="25"/>
      <c r="X341" s="25"/>
      <c r="Y341" s="25"/>
      <c r="Z341" s="25"/>
    </row>
    <row r="342" spans="1:26" ht="52.5" customHeight="1" x14ac:dyDescent="0.25">
      <c r="A342" s="25" t="str">
        <f ca="1">IFERROR(__xludf.DUMMYFUNCTION("""COMPUTED_VALUE"""),"Salud40")</f>
        <v>Salud40</v>
      </c>
      <c r="B342" s="25" t="str">
        <f ca="1">IFERROR(__xludf.DUMMYFUNCTION("""COMPUTED_VALUE"""),"Reunión Jose Daiel Alianza In")</f>
        <v>Reunión Jose Daiel Alianza In</v>
      </c>
      <c r="C342" s="55">
        <f ca="1">IFERROR(__xludf.DUMMYFUNCTION("""COMPUTED_VALUE"""),44791)</f>
        <v>44791</v>
      </c>
      <c r="D342" s="25" t="str">
        <f ca="1">IFERROR(__xludf.DUMMYFUNCTION("""COMPUTED_VALUE"""),"Salud")</f>
        <v>Salud</v>
      </c>
      <c r="E342" s="25" t="str">
        <f ca="1">IFERROR(__xludf.DUMMYFUNCTION("""COMPUTED_VALUE"""),"Secretaría Distrital de Salud")</f>
        <v>Secretaría Distrital de Salud</v>
      </c>
      <c r="F342" s="25" t="str">
        <f ca="1">IFERROR(__xludf.DUMMYFUNCTION("""COMPUTED_VALUE"""),"Realizar mesa de trabajo para articulación para entrega de medicamentos a domicilio.")</f>
        <v>Realizar mesa de trabajo para articulación para entrega de medicamentos a domicilio.</v>
      </c>
      <c r="G342" s="25" t="str">
        <f ca="1">IFERROR(__xludf.DUMMYFUNCTION("""COMPUTED_VALUE"""),"99. Distrito")</f>
        <v>99. Distrito</v>
      </c>
      <c r="H342" s="55">
        <f ca="1">IFERROR(__xludf.DUMMYFUNCTION("""COMPUTED_VALUE"""),44821)</f>
        <v>44821</v>
      </c>
      <c r="I342" s="25"/>
      <c r="J342" s="55" t="str">
        <f ca="1">IFERROR(__xludf.DUMMYFUNCTION("""COMPUTED_VALUE"""),"Alta")</f>
        <v>Alta</v>
      </c>
      <c r="K342" s="25">
        <f ca="1">IFERROR(__xludf.DUMMYFUNCTION("""COMPUTED_VALUE"""),30)</f>
        <v>30</v>
      </c>
      <c r="L342" s="62"/>
      <c r="M342" s="25"/>
      <c r="N342" s="55">
        <f ca="1">IFERROR(__xludf.DUMMYFUNCTION("""COMPUTED_VALUE"""),44927)</f>
        <v>44927</v>
      </c>
      <c r="O342" s="25" t="str">
        <f t="shared" ca="1" si="0"/>
        <v>Secretaría Distrital de Salud</v>
      </c>
      <c r="P342" s="25" t="str">
        <f t="shared" si="2"/>
        <v/>
      </c>
      <c r="Q342" s="25" t="str">
        <f ca="1">IFERROR(__xludf.DUMMYFUNCTION("""COMPUTED_VALUE"""),"Corto plazo")</f>
        <v>Corto plazo</v>
      </c>
      <c r="R342" s="25"/>
      <c r="S342" s="55"/>
      <c r="T342" s="56"/>
      <c r="U342" s="25"/>
      <c r="V342" s="25"/>
      <c r="W342" s="25"/>
      <c r="X342" s="25"/>
      <c r="Y342" s="25"/>
      <c r="Z342" s="25"/>
    </row>
    <row r="343" spans="1:26" ht="52.5" customHeight="1" x14ac:dyDescent="0.25">
      <c r="A343" s="25" t="str">
        <f ca="1">IFERROR(__xludf.DUMMYFUNCTION("""COMPUTED_VALUE"""),"Salud41")</f>
        <v>Salud41</v>
      </c>
      <c r="B343" s="25" t="str">
        <f ca="1">IFERROR(__xludf.DUMMYFUNCTION("""COMPUTED_VALUE"""),"Atenea Producción de vacunas")</f>
        <v>Atenea Producción de vacunas</v>
      </c>
      <c r="C343" s="55">
        <f ca="1">IFERROR(__xludf.DUMMYFUNCTION("""COMPUTED_VALUE"""),44634)</f>
        <v>44634</v>
      </c>
      <c r="D343" s="25" t="str">
        <f ca="1">IFERROR(__xludf.DUMMYFUNCTION("""COMPUTED_VALUE"""),"Salud")</f>
        <v>Salud</v>
      </c>
      <c r="E343" s="25" t="str">
        <f ca="1">IFERROR(__xludf.DUMMYFUNCTION("""COMPUTED_VALUE"""),"Secretaría Distrital de Salud")</f>
        <v>Secretaría Distrital de Salud</v>
      </c>
      <c r="F343" s="25" t="str">
        <f ca="1">IFERROR(__xludf.DUMMYFUNCTION("""COMPUTED_VALUE"""),"Anexo científico. Contratar un experto técnico y científico. Para que los anexos científicos queden Ok para la producción de vacunas.")</f>
        <v>Anexo científico. Contratar un experto técnico y científico. Para que los anexos científicos queden Ok para la producción de vacunas.</v>
      </c>
      <c r="G343" s="25" t="str">
        <f ca="1">IFERROR(__xludf.DUMMYFUNCTION("""COMPUTED_VALUE"""),"99. Distrito")</f>
        <v>99. Distrito</v>
      </c>
      <c r="H343" s="55">
        <f ca="1">IFERROR(__xludf.DUMMYFUNCTION("""COMPUTED_VALUE"""),44664)</f>
        <v>44664</v>
      </c>
      <c r="I343" s="25"/>
      <c r="J343" s="55" t="str">
        <f ca="1">IFERROR(__xludf.DUMMYFUNCTION("""COMPUTED_VALUE"""),"Alta")</f>
        <v>Alta</v>
      </c>
      <c r="K343" s="25">
        <f ca="1">IFERROR(__xludf.DUMMYFUNCTION("""COMPUTED_VALUE"""),30)</f>
        <v>30</v>
      </c>
      <c r="L343" s="62">
        <f ca="1">IFERROR(__xludf.DUMMYFUNCTION("""COMPUTED_VALUE"""),44691)</f>
        <v>44691</v>
      </c>
      <c r="M343" s="25" t="str">
        <f ca="1">IFERROR(__xludf.DUMMYFUNCTION("""COMPUTED_VALUE"""),"Se inició el proceso de planeación de contratación del experto técnico y científico, independiente de la banca de inversión.")</f>
        <v>Se inició el proceso de planeación de contratación del experto técnico y científico, independiente de la banca de inversión.</v>
      </c>
      <c r="N343" s="55">
        <f ca="1">IFERROR(__xludf.DUMMYFUNCTION("""COMPUTED_VALUE"""),44691)</f>
        <v>44691</v>
      </c>
      <c r="O343" s="25" t="str">
        <f t="shared" ca="1" si="0"/>
        <v>Secretaría Distrital de Salud</v>
      </c>
      <c r="P343" s="25" t="str">
        <f t="shared" si="2"/>
        <v/>
      </c>
      <c r="Q343" s="25" t="str">
        <f ca="1">IFERROR(__xludf.DUMMYFUNCTION("""COMPUTED_VALUE"""),"Corto plazo")</f>
        <v>Corto plazo</v>
      </c>
      <c r="R343" s="25"/>
      <c r="S343" s="55"/>
      <c r="T343" s="56"/>
      <c r="U343" s="25"/>
      <c r="V343" s="25"/>
      <c r="W343" s="25"/>
      <c r="X343" s="25"/>
      <c r="Y343" s="25"/>
      <c r="Z343" s="25"/>
    </row>
    <row r="344" spans="1:26" ht="52.5" customHeight="1" x14ac:dyDescent="0.25">
      <c r="A344" s="25" t="str">
        <f ca="1">IFERROR(__xludf.DUMMYFUNCTION("""COMPUTED_VALUE"""),"Salud42")</f>
        <v>Salud42</v>
      </c>
      <c r="B344" s="25" t="str">
        <f ca="1">IFERROR(__xludf.DUMMYFUNCTION("""COMPUTED_VALUE"""),"Atenea Producción de vacunas")</f>
        <v>Atenea Producción de vacunas</v>
      </c>
      <c r="C344" s="55">
        <f ca="1">IFERROR(__xludf.DUMMYFUNCTION("""COMPUTED_VALUE"""),44634)</f>
        <v>44634</v>
      </c>
      <c r="D344" s="25" t="str">
        <f ca="1">IFERROR(__xludf.DUMMYFUNCTION("""COMPUTED_VALUE"""),"Salud")</f>
        <v>Salud</v>
      </c>
      <c r="E344" s="25" t="str">
        <f ca="1">IFERROR(__xludf.DUMMYFUNCTION("""COMPUTED_VALUE"""),"Secretaría Distrital de Salud")</f>
        <v>Secretaría Distrital de Salud</v>
      </c>
      <c r="F344" s="25" t="str">
        <f ca="1">IFERROR(__xludf.DUMMYFUNCTION("""COMPUTED_VALUE"""),"Becas. Diseñar convocatoria tipo Jóvenes a la U - científicos. Que la SDS diga cuántos necesita y Atenea saca la convocatoria para la producción de vacunas.")</f>
        <v>Becas. Diseñar convocatoria tipo Jóvenes a la U - científicos. Que la SDS diga cuántos necesita y Atenea saca la convocatoria para la producción de vacunas.</v>
      </c>
      <c r="G344" s="25" t="str">
        <f ca="1">IFERROR(__xludf.DUMMYFUNCTION("""COMPUTED_VALUE"""),"99. Distrito")</f>
        <v>99. Distrito</v>
      </c>
      <c r="H344" s="55">
        <f ca="1">IFERROR(__xludf.DUMMYFUNCTION("""COMPUTED_VALUE"""),44664)</f>
        <v>44664</v>
      </c>
      <c r="I344" s="25"/>
      <c r="J344" s="55" t="str">
        <f ca="1">IFERROR(__xludf.DUMMYFUNCTION("""COMPUTED_VALUE"""),"Alta")</f>
        <v>Alta</v>
      </c>
      <c r="K344" s="25">
        <f ca="1">IFERROR(__xludf.DUMMYFUNCTION("""COMPUTED_VALUE"""),30)</f>
        <v>30</v>
      </c>
      <c r="L344" s="62">
        <f ca="1">IFERROR(__xludf.DUMMYFUNCTION("""COMPUTED_VALUE"""),44691)</f>
        <v>44691</v>
      </c>
      <c r="M344" s="25" t="str">
        <f ca="1">IFERROR(__xludf.DUMMYFUNCTION("""COMPUTED_VALUE"""),"Dado que todavía no se ha iniciado formalmente el proceso de transferencia de tecnología, no hay claridad todavía sobre cuáles son los perfiles que se necesitan para estructurar el programa de becas.")</f>
        <v>Dado que todavía no se ha iniciado formalmente el proceso de transferencia de tecnología, no hay claridad todavía sobre cuáles son los perfiles que se necesitan para estructurar el programa de becas.</v>
      </c>
      <c r="N344" s="55">
        <f ca="1">IFERROR(__xludf.DUMMYFUNCTION("""COMPUTED_VALUE"""),44691)</f>
        <v>44691</v>
      </c>
      <c r="O344" s="25" t="str">
        <f t="shared" ca="1" si="0"/>
        <v>Secretaría Distrital de Salud</v>
      </c>
      <c r="P344" s="25" t="str">
        <f t="shared" si="2"/>
        <v/>
      </c>
      <c r="Q344" s="25" t="str">
        <f ca="1">IFERROR(__xludf.DUMMYFUNCTION("""COMPUTED_VALUE"""),"Corto plazo")</f>
        <v>Corto plazo</v>
      </c>
      <c r="R344" s="25"/>
      <c r="S344" s="55"/>
      <c r="T344" s="56"/>
      <c r="U344" s="25"/>
      <c r="V344" s="25"/>
      <c r="W344" s="25"/>
      <c r="X344" s="25"/>
      <c r="Y344" s="25"/>
      <c r="Z344" s="25"/>
    </row>
    <row r="345" spans="1:26" ht="52.5" customHeight="1" x14ac:dyDescent="0.25">
      <c r="A345" s="25" t="str">
        <f ca="1">IFERROR(__xludf.DUMMYFUNCTION("""COMPUTED_VALUE"""),"Salud43")</f>
        <v>Salud43</v>
      </c>
      <c r="B345" s="25" t="str">
        <f ca="1">IFERROR(__xludf.DUMMYFUNCTION("""COMPUTED_VALUE"""),"Atenea Producción de vacunas")</f>
        <v>Atenea Producción de vacunas</v>
      </c>
      <c r="C345" s="55">
        <f ca="1">IFERROR(__xludf.DUMMYFUNCTION("""COMPUTED_VALUE"""),44634)</f>
        <v>44634</v>
      </c>
      <c r="D345" s="25" t="str">
        <f ca="1">IFERROR(__xludf.DUMMYFUNCTION("""COMPUTED_VALUE"""),"Salud")</f>
        <v>Salud</v>
      </c>
      <c r="E345" s="25" t="str">
        <f ca="1">IFERROR(__xludf.DUMMYFUNCTION("""COMPUTED_VALUE"""),"Secretaría Distrital de Salud")</f>
        <v>Secretaría Distrital de Salud</v>
      </c>
      <c r="F345" s="25" t="str">
        <f ca="1">IFERROR(__xludf.DUMMYFUNCTION("""COMPUTED_VALUE"""),"En el presupuesto. Dejar claro lo de la asesoría técnica, científica y las becas para la producción de vacunas.")</f>
        <v>En el presupuesto. Dejar claro lo de la asesoría técnica, científica y las becas para la producción de vacunas.</v>
      </c>
      <c r="G345" s="25" t="str">
        <f ca="1">IFERROR(__xludf.DUMMYFUNCTION("""COMPUTED_VALUE"""),"99. Distrito")</f>
        <v>99. Distrito</v>
      </c>
      <c r="H345" s="55">
        <f ca="1">IFERROR(__xludf.DUMMYFUNCTION("""COMPUTED_VALUE"""),44664)</f>
        <v>44664</v>
      </c>
      <c r="I345" s="25"/>
      <c r="J345" s="55" t="str">
        <f ca="1">IFERROR(__xludf.DUMMYFUNCTION("""COMPUTED_VALUE"""),"Alta")</f>
        <v>Alta</v>
      </c>
      <c r="K345" s="25">
        <f ca="1">IFERROR(__xludf.DUMMYFUNCTION("""COMPUTED_VALUE"""),30)</f>
        <v>30</v>
      </c>
      <c r="L345" s="62">
        <f ca="1">IFERROR(__xludf.DUMMYFUNCTION("""COMPUTED_VALUE"""),44691)</f>
        <v>44691</v>
      </c>
      <c r="M345" s="25" t="str">
        <f ca="1">IFERROR(__xludf.DUMMYFUNCTION("""COMPUTED_VALUE"""),"En relación con la asesoría técnica, como se dijo, se inició el proceso de planeación de la contratación que implica hacer un estudio de mercado para tener mayor certeza sobre cuánto presupuesto se necesita. En relación con las becas, ver el punto anterio"&amp;"r.")</f>
        <v>En relación con la asesoría técnica, como se dijo, se inició el proceso de planeación de la contratación que implica hacer un estudio de mercado para tener mayor certeza sobre cuánto presupuesto se necesita. En relación con las becas, ver el punto anterior.</v>
      </c>
      <c r="N345" s="55">
        <f ca="1">IFERROR(__xludf.DUMMYFUNCTION("""COMPUTED_VALUE"""),44691)</f>
        <v>44691</v>
      </c>
      <c r="O345" s="25" t="str">
        <f t="shared" ca="1" si="0"/>
        <v>Secretaría Distrital de Salud</v>
      </c>
      <c r="P345" s="25" t="str">
        <f t="shared" si="2"/>
        <v/>
      </c>
      <c r="Q345" s="25" t="str">
        <f ca="1">IFERROR(__xludf.DUMMYFUNCTION("""COMPUTED_VALUE"""),"Corto plazo")</f>
        <v>Corto plazo</v>
      </c>
      <c r="R345" s="25"/>
      <c r="S345" s="55"/>
      <c r="T345" s="56"/>
      <c r="U345" s="25"/>
      <c r="V345" s="25"/>
      <c r="W345" s="25"/>
      <c r="X345" s="25"/>
      <c r="Y345" s="25"/>
      <c r="Z345" s="25"/>
    </row>
    <row r="346" spans="1:26" ht="52.5" customHeight="1" x14ac:dyDescent="0.25">
      <c r="A346" s="25" t="str">
        <f ca="1">IFERROR(__xludf.DUMMYFUNCTION("""COMPUTED_VALUE"""),"Salud44")</f>
        <v>Salud44</v>
      </c>
      <c r="B346" s="25" t="str">
        <f ca="1">IFERROR(__xludf.DUMMYFUNCTION("""COMPUTED_VALUE"""),"Atenea Producción de vacunas")</f>
        <v>Atenea Producción de vacunas</v>
      </c>
      <c r="C346" s="55">
        <f ca="1">IFERROR(__xludf.DUMMYFUNCTION("""COMPUTED_VALUE"""),44634)</f>
        <v>44634</v>
      </c>
      <c r="D346" s="25" t="str">
        <f ca="1">IFERROR(__xludf.DUMMYFUNCTION("""COMPUTED_VALUE"""),"Salud")</f>
        <v>Salud</v>
      </c>
      <c r="E346" s="25" t="str">
        <f ca="1">IFERROR(__xludf.DUMMYFUNCTION("""COMPUTED_VALUE"""),"Secretaría Distrital de Salud")</f>
        <v>Secretaría Distrital de Salud</v>
      </c>
      <c r="F346" s="25" t="str">
        <f ca="1">IFERROR(__xludf.DUMMYFUNCTION("""COMPUTED_VALUE"""),"Organizar una visita a fábricas de vacunas en Rio o Sao Paulo (julio).")</f>
        <v>Organizar una visita a fábricas de vacunas en Rio o Sao Paulo (julio).</v>
      </c>
      <c r="G346" s="25" t="str">
        <f ca="1">IFERROR(__xludf.DUMMYFUNCTION("""COMPUTED_VALUE"""),"99. Distrito")</f>
        <v>99. Distrito</v>
      </c>
      <c r="H346" s="55">
        <f ca="1">IFERROR(__xludf.DUMMYFUNCTION("""COMPUTED_VALUE"""),44664)</f>
        <v>44664</v>
      </c>
      <c r="I346" s="25"/>
      <c r="J346" s="55" t="str">
        <f ca="1">IFERROR(__xludf.DUMMYFUNCTION("""COMPUTED_VALUE"""),"Alta")</f>
        <v>Alta</v>
      </c>
      <c r="K346" s="25">
        <f ca="1">IFERROR(__xludf.DUMMYFUNCTION("""COMPUTED_VALUE"""),30)</f>
        <v>30</v>
      </c>
      <c r="L346" s="62">
        <f ca="1">IFERROR(__xludf.DUMMYFUNCTION("""COMPUTED_VALUE"""),44691)</f>
        <v>44691</v>
      </c>
      <c r="M346" s="25" t="str">
        <f ca="1">IFERROR(__xludf.DUMMYFUNCTION("""COMPUTED_VALUE"""),"Se tiene contemplada la visita de la Alcaldesa a los institutos públicos de producción de vacunas de Brasil (Butantán y Fio Cruz) así como a sus plantas de producción,  durante su viaje a Brasil en julio ")</f>
        <v xml:space="preserve">Se tiene contemplada la visita de la Alcaldesa a los institutos públicos de producción de vacunas de Brasil (Butantán y Fio Cruz) así como a sus plantas de producción,  durante su viaje a Brasil en julio </v>
      </c>
      <c r="N346" s="55">
        <f ca="1">IFERROR(__xludf.DUMMYFUNCTION("""COMPUTED_VALUE"""),44691)</f>
        <v>44691</v>
      </c>
      <c r="O346" s="25" t="str">
        <f t="shared" ca="1" si="0"/>
        <v>Secretaría Distrital de Salud</v>
      </c>
      <c r="P346" s="25" t="str">
        <f t="shared" si="2"/>
        <v/>
      </c>
      <c r="Q346" s="25" t="str">
        <f ca="1">IFERROR(__xludf.DUMMYFUNCTION("""COMPUTED_VALUE"""),"Corto plazo")</f>
        <v>Corto plazo</v>
      </c>
      <c r="R346" s="25"/>
      <c r="S346" s="55"/>
      <c r="T346" s="56"/>
      <c r="U346" s="25"/>
      <c r="V346" s="25"/>
      <c r="W346" s="25"/>
      <c r="X346" s="25"/>
      <c r="Y346" s="25"/>
      <c r="Z346" s="25"/>
    </row>
    <row r="347" spans="1:26" ht="52.5" customHeight="1" x14ac:dyDescent="0.25">
      <c r="A347" s="25" t="str">
        <f ca="1">IFERROR(__xludf.DUMMYFUNCTION("""COMPUTED_VALUE"""),"Salud45")</f>
        <v>Salud45</v>
      </c>
      <c r="B347" s="25" t="str">
        <f ca="1">IFERROR(__xludf.DUMMYFUNCTION("""COMPUTED_VALUE"""),"Atenea Producción de vacunas")</f>
        <v>Atenea Producción de vacunas</v>
      </c>
      <c r="C347" s="55">
        <f ca="1">IFERROR(__xludf.DUMMYFUNCTION("""COMPUTED_VALUE"""),44634)</f>
        <v>44634</v>
      </c>
      <c r="D347" s="25" t="str">
        <f ca="1">IFERROR(__xludf.DUMMYFUNCTION("""COMPUTED_VALUE"""),"Salud")</f>
        <v>Salud</v>
      </c>
      <c r="E347" s="25" t="str">
        <f ca="1">IFERROR(__xludf.DUMMYFUNCTION("""COMPUTED_VALUE"""),"Secretaría Distrital de Salud")</f>
        <v>Secretaría Distrital de Salud</v>
      </c>
      <c r="F347" s="25" t="str">
        <f ca="1">IFERROR(__xludf.DUMMYFUNCTION("""COMPUTED_VALUE"""),"Considerar una visita a Argentina y una visita a China (para septiembre-octubre).")</f>
        <v>Considerar una visita a Argentina y una visita a China (para septiembre-octubre).</v>
      </c>
      <c r="G347" s="25" t="str">
        <f ca="1">IFERROR(__xludf.DUMMYFUNCTION("""COMPUTED_VALUE"""),"99. Distrito")</f>
        <v>99. Distrito</v>
      </c>
      <c r="H347" s="55">
        <f ca="1">IFERROR(__xludf.DUMMYFUNCTION("""COMPUTED_VALUE"""),44664)</f>
        <v>44664</v>
      </c>
      <c r="I347" s="25"/>
      <c r="J347" s="55" t="str">
        <f ca="1">IFERROR(__xludf.DUMMYFUNCTION("""COMPUTED_VALUE"""),"Alta")</f>
        <v>Alta</v>
      </c>
      <c r="K347" s="25">
        <f ca="1">IFERROR(__xludf.DUMMYFUNCTION("""COMPUTED_VALUE"""),30)</f>
        <v>30</v>
      </c>
      <c r="L347" s="62">
        <f ca="1">IFERROR(__xludf.DUMMYFUNCTION("""COMPUTED_VALUE"""),44691)</f>
        <v>44691</v>
      </c>
      <c r="M347" s="25" t="str">
        <f ca="1">IFERROR(__xludf.DUMMYFUNCTION("""COMPUTED_VALUE"""),"Se está planeado tanto la visita a Argentina durante el viaje de la Alcaldesa en Octubre, como la visita a China a final de año, para que allá se firme la formalización de la empresa o alianza con Walvax.")</f>
        <v>Se está planeado tanto la visita a Argentina durante el viaje de la Alcaldesa en Octubre, como la visita a China a final de año, para que allá se firme la formalización de la empresa o alianza con Walvax.</v>
      </c>
      <c r="N347" s="55">
        <f ca="1">IFERROR(__xludf.DUMMYFUNCTION("""COMPUTED_VALUE"""),44691)</f>
        <v>44691</v>
      </c>
      <c r="O347" s="25" t="str">
        <f t="shared" ca="1" si="0"/>
        <v>Secretaría Distrital de Salud</v>
      </c>
      <c r="P347" s="25" t="str">
        <f t="shared" si="2"/>
        <v/>
      </c>
      <c r="Q347" s="25" t="str">
        <f ca="1">IFERROR(__xludf.DUMMYFUNCTION("""COMPUTED_VALUE"""),"Corto plazo")</f>
        <v>Corto plazo</v>
      </c>
      <c r="R347" s="25"/>
      <c r="S347" s="55"/>
      <c r="T347" s="56"/>
      <c r="U347" s="25"/>
      <c r="V347" s="25"/>
      <c r="W347" s="25"/>
      <c r="X347" s="25"/>
      <c r="Y347" s="25"/>
      <c r="Z347" s="25"/>
    </row>
    <row r="348" spans="1:26" ht="52.5" customHeight="1" x14ac:dyDescent="0.25">
      <c r="A348" s="25" t="str">
        <f ca="1">IFERROR(__xludf.DUMMYFUNCTION("""COMPUTED_VALUE"""),"Salud46")</f>
        <v>Salud46</v>
      </c>
      <c r="B348" s="25" t="str">
        <f ca="1">IFERROR(__xludf.DUMMYFUNCTION("""COMPUTED_VALUE"""),"Reunión rescate salud y subredes financiero")</f>
        <v>Reunión rescate salud y subredes financiero</v>
      </c>
      <c r="C348" s="55">
        <f ca="1">IFERROR(__xludf.DUMMYFUNCTION("""COMPUTED_VALUE"""),44683)</f>
        <v>44683</v>
      </c>
      <c r="D348" s="25" t="str">
        <f ca="1">IFERROR(__xludf.DUMMYFUNCTION("""COMPUTED_VALUE"""),"Salud")</f>
        <v>Salud</v>
      </c>
      <c r="E348" s="25" t="str">
        <f ca="1">IFERROR(__xludf.DUMMYFUNCTION("""COMPUTED_VALUE"""),"Secretaría Distrital de Salud")</f>
        <v>Secretaría Distrital de Salud</v>
      </c>
      <c r="F348" s="25" t="str">
        <f ca="1">IFERROR(__xludf.DUMMYFUNCTION("""COMPUTED_VALUE"""),"Revisar con la SDMujer si casos de embarazos de niñas de 10 a 14 años, pasa por la casa de Justicia de la SDMujer. Debería ser parte del protocolo de atención a esas niñas.")</f>
        <v>Revisar con la SDMujer si casos de embarazos de niñas de 10 a 14 años, pasa por la casa de Justicia de la SDMujer. Debería ser parte del protocolo de atención a esas niñas.</v>
      </c>
      <c r="G348" s="25" t="str">
        <f ca="1">IFERROR(__xludf.DUMMYFUNCTION("""COMPUTED_VALUE"""),"99. Distrito")</f>
        <v>99. Distrito</v>
      </c>
      <c r="H348" s="55">
        <f ca="1">IFERROR(__xludf.DUMMYFUNCTION("""COMPUTED_VALUE"""),44713)</f>
        <v>44713</v>
      </c>
      <c r="I348" s="25"/>
      <c r="J348" s="55" t="str">
        <f ca="1">IFERROR(__xludf.DUMMYFUNCTION("""COMPUTED_VALUE"""),"Alta")</f>
        <v>Alta</v>
      </c>
      <c r="K348" s="25">
        <f ca="1">IFERROR(__xludf.DUMMYFUNCTION("""COMPUTED_VALUE"""),30)</f>
        <v>30</v>
      </c>
      <c r="L348" s="62">
        <f ca="1">IFERROR(__xludf.DUMMYFUNCTION("""COMPUTED_VALUE"""),44895)</f>
        <v>44895</v>
      </c>
      <c r="M348" s="25" t="str">
        <f ca="1">IFERROR(__xludf.DUMMYFUNCTION("""COMPUTED_VALUE"""),"En el protocolo del sistema de vigilancia epidemiológica de la violencia intrafamiliar, el maltrato infantil y la violencia sexual – SIVIM y el protocolo de manejo a casos de presunta violencia sexual, está establecido la denuncia ante Fiscalia o Comisarí"&amp;"a de familia. En la Investigación epidemiológica de campo se hace la verificación que esta actividad se haya dado y se acompaña la respuesta para la atención integral. Lo anterior en el cumplimiento de la resolución 459 de 2012 del Ministerio de Salud y P"&amp;"rotección Social. 
30/11/2022-  Actualmente se continua realizando monitoreo de la ruta integral de atención a casos de agresiones, accidentes y traumas, donde se realiza la gestión del riesgo con las Entidades Administradoras de Planes de Beneficios, la "&amp;"Secretaría de Educación a través del sistema de alertas y la Secretaria Distrital de la Mujer a través de la estrategia de atención en casos de violencia que funciona actualmente en las diferentes IPS tanto públicas como privadas priorizadas en el distrit"&amp;"o; así  mismo se cuenta con 5 móviles de atención de violencias pre hospitalaria en conjunto con la Secretaria de Mujer.
Desde el equipo de Vigilancia en Salud Publica se participa en el espacio del comité distrital de seguimiento a casos de victimas de "&amp;"violencia intrafamiliar, trata de personas y explotación sexual donde participan todas las entidades competentes entre  ellas Fiscalía, ICBF, personería y las Secretarías Distritales. 
")</f>
        <v xml:space="preserve">En el protocolo del sistema de vigilancia epidemiológica de la violencia intrafamiliar, el maltrato infantil y la violencia sexual – SIVIM y el protocolo de manejo a casos de presunta violencia sexual, está establecido la denuncia ante Fiscalia o Comisaría de familia. En la Investigación epidemiológica de campo se hace la verificación que esta actividad se haya dado y se acompaña la respuesta para la atención integral. Lo anterior en el cumplimiento de la resolución 459 de 2012 del Ministerio de Salud y Protección Social. 
30/11/2022-  Actualmente se continua realizando monitoreo de la ruta integral de atención a casos de agresiones, accidentes y traumas, donde se realiza la gestión del riesgo con las Entidades Administradoras de Planes de Beneficios, la Secretaría de Educación a través del sistema de alertas y la Secretaria Distrital de la Mujer a través de la estrategia de atención en casos de violencia que funciona actualmente en las diferentes IPS tanto públicas como privadas priorizadas en el distrito; así  mismo se cuenta con 5 móviles de atención de violencias pre hospitalaria en conjunto con la Secretaria de Mujer.
Desde el equipo de Vigilancia en Salud Publica se participa en el espacio del comité distrital de seguimiento a casos de victimas de violencia intrafamiliar, trata de personas y explotación sexual donde participan todas las entidades competentes entre  ellas Fiscalía, ICBF, personería y las Secretarías Distritales. 
</v>
      </c>
      <c r="N348" s="55">
        <f ca="1">IFERROR(__xludf.DUMMYFUNCTION("""COMPUTED_VALUE"""),44895)</f>
        <v>44895</v>
      </c>
      <c r="O348" s="25" t="str">
        <f t="shared" ca="1" si="0"/>
        <v>Secretaría Distrital de Salud</v>
      </c>
      <c r="P348" s="25" t="str">
        <f t="shared" si="2"/>
        <v/>
      </c>
      <c r="Q348" s="25" t="str">
        <f ca="1">IFERROR(__xludf.DUMMYFUNCTION("""COMPUTED_VALUE"""),"Corto plazo")</f>
        <v>Corto plazo</v>
      </c>
      <c r="R348" s="25"/>
      <c r="S348" s="55"/>
      <c r="T348" s="56"/>
      <c r="U348" s="25"/>
      <c r="V348" s="25"/>
      <c r="W348" s="25"/>
      <c r="X348" s="25"/>
      <c r="Y348" s="25"/>
      <c r="Z348" s="25"/>
    </row>
    <row r="349" spans="1:26" ht="52.5" customHeight="1" x14ac:dyDescent="0.25">
      <c r="A349" s="25" t="str">
        <f ca="1">IFERROR(__xludf.DUMMYFUNCTION("""COMPUTED_VALUE"""),"Salud47")</f>
        <v>Salud47</v>
      </c>
      <c r="B349" s="25" t="str">
        <f ca="1">IFERROR(__xludf.DUMMYFUNCTION("""COMPUTED_VALUE"""),"Reunión rescate salud y subredes financiero")</f>
        <v>Reunión rescate salud y subredes financiero</v>
      </c>
      <c r="C349" s="55">
        <f ca="1">IFERROR(__xludf.DUMMYFUNCTION("""COMPUTED_VALUE"""),44683)</f>
        <v>44683</v>
      </c>
      <c r="D349" s="25" t="str">
        <f ca="1">IFERROR(__xludf.DUMMYFUNCTION("""COMPUTED_VALUE"""),"Salud")</f>
        <v>Salud</v>
      </c>
      <c r="E349" s="25" t="str">
        <f ca="1">IFERROR(__xludf.DUMMYFUNCTION("""COMPUTED_VALUE"""),"Secretaría Distrital de Salud")</f>
        <v>Secretaría Distrital de Salud</v>
      </c>
      <c r="F349" s="25" t="str">
        <f ca="1">IFERROR(__xludf.DUMMYFUNCTION("""COMPUTED_VALUE"""),"Presentar la serie de las mujeres migrantes que atendimos por año en cada uno de los indicadores de salud.")</f>
        <v>Presentar la serie de las mujeres migrantes que atendimos por año en cada uno de los indicadores de salud.</v>
      </c>
      <c r="G349" s="25" t="str">
        <f ca="1">IFERROR(__xludf.DUMMYFUNCTION("""COMPUTED_VALUE"""),"99. Distrito")</f>
        <v>99. Distrito</v>
      </c>
      <c r="H349" s="55">
        <f ca="1">IFERROR(__xludf.DUMMYFUNCTION("""COMPUTED_VALUE"""),44713)</f>
        <v>44713</v>
      </c>
      <c r="I349" s="25"/>
      <c r="J349" s="55" t="str">
        <f ca="1">IFERROR(__xludf.DUMMYFUNCTION("""COMPUTED_VALUE"""),"Alta")</f>
        <v>Alta</v>
      </c>
      <c r="K349" s="25">
        <f ca="1">IFERROR(__xludf.DUMMYFUNCTION("""COMPUTED_VALUE"""),30)</f>
        <v>30</v>
      </c>
      <c r="L349" s="62">
        <f ca="1">IFERROR(__xludf.DUMMYFUNCTION("""COMPUTED_VALUE"""),44729)</f>
        <v>44729</v>
      </c>
      <c r="M349" s="25" t="str">
        <f ca="1">IFERROR(__xludf.DUMMYFUNCTION("""COMPUTED_VALUE"""),"Existe informe periódico con análisis de indicadores trazadores en salud a la luz del impacto del fenómeno migratorio, como parte de este informe se hará monitoreo a los indicadores de la política de recuperación con foco en el impacto en salud de poblaci"&amp;"ón migrante. Para la semana del 21 de junio estará disponible la actualización.")</f>
        <v>Existe informe periódico con análisis de indicadores trazadores en salud a la luz del impacto del fenómeno migratorio, como parte de este informe se hará monitoreo a los indicadores de la política de recuperación con foco en el impacto en salud de población migrante. Para la semana del 21 de junio estará disponible la actualización.</v>
      </c>
      <c r="N349" s="55">
        <f ca="1">IFERROR(__xludf.DUMMYFUNCTION("""COMPUTED_VALUE"""),44729)</f>
        <v>44729</v>
      </c>
      <c r="O349" s="25" t="str">
        <f t="shared" ca="1" si="0"/>
        <v>Secretaría Distrital de Salud</v>
      </c>
      <c r="P349" s="25" t="str">
        <f t="shared" si="2"/>
        <v/>
      </c>
      <c r="Q349" s="25" t="str">
        <f ca="1">IFERROR(__xludf.DUMMYFUNCTION("""COMPUTED_VALUE"""),"Corto plazo")</f>
        <v>Corto plazo</v>
      </c>
      <c r="R349" s="25"/>
      <c r="S349" s="55"/>
      <c r="T349" s="56"/>
      <c r="U349" s="25"/>
      <c r="V349" s="25"/>
      <c r="W349" s="25"/>
      <c r="X349" s="25"/>
      <c r="Y349" s="25"/>
      <c r="Z349" s="25"/>
    </row>
    <row r="350" spans="1:26" ht="52.5" customHeight="1" x14ac:dyDescent="0.25">
      <c r="A350" s="25" t="str">
        <f ca="1">IFERROR(__xludf.DUMMYFUNCTION("""COMPUTED_VALUE"""),"Salud48")</f>
        <v>Salud48</v>
      </c>
      <c r="B350" s="25" t="str">
        <f ca="1">IFERROR(__xludf.DUMMYFUNCTION("""COMPUTED_VALUE"""),"Reunión rescate salud y subredes financiero")</f>
        <v>Reunión rescate salud y subredes financiero</v>
      </c>
      <c r="C350" s="55">
        <f ca="1">IFERROR(__xludf.DUMMYFUNCTION("""COMPUTED_VALUE"""),44683)</f>
        <v>44683</v>
      </c>
      <c r="D350" s="25" t="str">
        <f ca="1">IFERROR(__xludf.DUMMYFUNCTION("""COMPUTED_VALUE"""),"Salud")</f>
        <v>Salud</v>
      </c>
      <c r="E350" s="25" t="str">
        <f ca="1">IFERROR(__xludf.DUMMYFUNCTION("""COMPUTED_VALUE"""),"Secretaría Distrital de Salud")</f>
        <v>Secretaría Distrital de Salud</v>
      </c>
      <c r="F350" s="25" t="str">
        <f ca="1">IFERROR(__xludf.DUMMYFUNCTION("""COMPUTED_VALUE"""),"Sobre el convenio tripartita: hacer un plan de trabajo donde se verifican indicadores de las poblaciones. 
Convenio tripartito: cuarto mecanismo para pegarle a los indicadores que es el plan de gestión. En qué línea partimos y cómo vamos mejorando")</f>
        <v>Sobre el convenio tripartita: hacer un plan de trabajo donde se verifican indicadores de las poblaciones. 
Convenio tripartito: cuarto mecanismo para pegarle a los indicadores que es el plan de gestión. En qué línea partimos y cómo vamos mejorando</v>
      </c>
      <c r="G350" s="25" t="str">
        <f ca="1">IFERROR(__xludf.DUMMYFUNCTION("""COMPUTED_VALUE"""),"99. Distrito")</f>
        <v>99. Distrito</v>
      </c>
      <c r="H350" s="55">
        <f ca="1">IFERROR(__xludf.DUMMYFUNCTION("""COMPUTED_VALUE"""),44985)</f>
        <v>44985</v>
      </c>
      <c r="I350" s="25" t="str">
        <f ca="1">IFERROR(__xludf.DUMMYFUNCTION("""COMPUTED_VALUE"""),"Delivery Unit")</f>
        <v>Delivery Unit</v>
      </c>
      <c r="J350" s="55" t="str">
        <f ca="1">IFERROR(__xludf.DUMMYFUNCTION("""COMPUTED_VALUE"""),"Alta")</f>
        <v>Alta</v>
      </c>
      <c r="K350" s="25">
        <f ca="1">IFERROR(__xludf.DUMMYFUNCTION("""COMPUTED_VALUE"""),302)</f>
        <v>302</v>
      </c>
      <c r="L350" s="62">
        <f ca="1">IFERROR(__xludf.DUMMYFUNCTION("""COMPUTED_VALUE"""),45077)</f>
        <v>45077</v>
      </c>
      <c r="M350" s="25" t="str">
        <f ca="1">IFERROR(__xludf.DUMMYFUNCTION("""COMPUTED_VALUE"""),"A 31 de mayo de 2023, el convenio tripartita (Convenio 001 de 2023) se encuentra en flujo de firmas y ha sido firmado por 12 de las 18 partes firmantes, paralelamente se han desarrollado las mesas técnicas de condiciones crónicas, en la cual ya formalizó "&amp;"el anexo técnico con aval de todas las aseguradoras, igualmente se realizó mesa de Salud Mental para continuar la construcción del Anexo técnico enfocado a desarrollar una estrategia de Rehabilitación Basada en Comunidad. 
La mesa de Nutrición se reunió c"&amp;"on cada EAPB para definir los indicadores a monitorear durante la vigencia del convenio. Igualmente, en el marco del Convenio tripartita se avanzó en acercamientos para negociar la oferta de los equipos de Atención en Casa con las EAPB, la cual se tiene p"&amp;"rogramada para el 8 de junio la primera mesa de negociación entre EAPB-Subredes.")</f>
        <v>A 31 de mayo de 2023, el convenio tripartita (Convenio 001 de 2023) se encuentra en flujo de firmas y ha sido firmado por 12 de las 18 partes firmantes, paralelamente se han desarrollado las mesas técnicas de condiciones crónicas, en la cual ya formalizó el anexo técnico con aval de todas las aseguradoras, igualmente se realizó mesa de Salud Mental para continuar la construcción del Anexo técnico enfocado a desarrollar una estrategia de Rehabilitación Basada en Comunidad. 
La mesa de Nutrición se reunió con cada EAPB para definir los indicadores a monitorear durante la vigencia del convenio. Igualmente, en el marco del Convenio tripartita se avanzó en acercamientos para negociar la oferta de los equipos de Atención en Casa con las EAPB, la cual se tiene programada para el 8 de junio la primera mesa de negociación entre EAPB-Subredes.</v>
      </c>
      <c r="N350" s="25"/>
      <c r="O350" s="25" t="str">
        <f t="shared" ca="1" si="0"/>
        <v>Secretaría Distrital de Salud</v>
      </c>
      <c r="P350" s="25" t="str">
        <f t="shared" ca="1" si="2"/>
        <v/>
      </c>
      <c r="Q350" s="25" t="str">
        <f ca="1">IFERROR(__xludf.DUMMYFUNCTION("""COMPUTED_VALUE"""),"Largo plazo")</f>
        <v>Largo plazo</v>
      </c>
      <c r="R350" s="25"/>
      <c r="S350" s="55"/>
      <c r="T350" s="56"/>
      <c r="U350" s="25"/>
      <c r="V350" s="25"/>
      <c r="W350" s="25"/>
      <c r="X350" s="25"/>
      <c r="Y350" s="25"/>
      <c r="Z350" s="25"/>
    </row>
    <row r="351" spans="1:26" ht="52.5" customHeight="1" x14ac:dyDescent="0.25">
      <c r="A351" s="25" t="str">
        <f ca="1">IFERROR(__xludf.DUMMYFUNCTION("""COMPUTED_VALUE"""),"Salud49")</f>
        <v>Salud49</v>
      </c>
      <c r="B351" s="25" t="str">
        <f ca="1">IFERROR(__xludf.DUMMYFUNCTION("""COMPUTED_VALUE"""),"Reunión rescate salud y subredes financiero")</f>
        <v>Reunión rescate salud y subredes financiero</v>
      </c>
      <c r="C351" s="55">
        <f ca="1">IFERROR(__xludf.DUMMYFUNCTION("""COMPUTED_VALUE"""),44683)</f>
        <v>44683</v>
      </c>
      <c r="D351" s="25" t="str">
        <f ca="1">IFERROR(__xludf.DUMMYFUNCTION("""COMPUTED_VALUE"""),"Salud")</f>
        <v>Salud</v>
      </c>
      <c r="E351" s="25" t="str">
        <f ca="1">IFERROR(__xludf.DUMMYFUNCTION("""COMPUTED_VALUE"""),"Secretaría Distrital de Salud")</f>
        <v>Secretaría Distrital de Salud</v>
      </c>
      <c r="F351" s="25" t="str">
        <f ca="1">IFERROR(__xludf.DUMMYFUNCTION("""COMPUTED_VALUE"""),"Revisar y resolver estado del proyecto del Hospital de Engativá el cual se encuentra priorizado y con vigencias")</f>
        <v>Revisar y resolver estado del proyecto del Hospital de Engativá el cual se encuentra priorizado y con vigencias</v>
      </c>
      <c r="G351" s="25" t="str">
        <f ca="1">IFERROR(__xludf.DUMMYFUNCTION("""COMPUTED_VALUE"""),"10. Engativá")</f>
        <v>10. Engativá</v>
      </c>
      <c r="H351" s="55">
        <f ca="1">IFERROR(__xludf.DUMMYFUNCTION("""COMPUTED_VALUE"""),45184)</f>
        <v>45184</v>
      </c>
      <c r="I351" s="25" t="str">
        <f ca="1">IFERROR(__xludf.DUMMYFUNCTION("""COMPUTED_VALUE"""),"Delivery Unit")</f>
        <v>Delivery Unit</v>
      </c>
      <c r="J351" s="55" t="str">
        <f ca="1">IFERROR(__xludf.DUMMYFUNCTION("""COMPUTED_VALUE"""),"Alta")</f>
        <v>Alta</v>
      </c>
      <c r="K351" s="25">
        <f ca="1">IFERROR(__xludf.DUMMYFUNCTION("""COMPUTED_VALUE"""),501)</f>
        <v>501</v>
      </c>
      <c r="L351" s="62">
        <f ca="1">IFERROR(__xludf.DUMMYFUNCTION("""COMPUTED_VALUE"""),45077)</f>
        <v>45077</v>
      </c>
      <c r="M351" s="25" t="str">
        <f ca="1">IFERROR(__xludf.DUMMYFUNCTION("""COMPUTED_VALUE"""),"El proyecto del Hospital de Engativá presenta los siguientes avances: 
1. Se solicitó de nuevo el Concepto de adecuación a las políticas de riesgo del estado a SDP el 27 de abril de 2023 bajo el Rad. 1-2023-35101. 
2. Se espera recibir el Concepto favor"&amp;"able de adecuación a las políticas de riesgo SDP el 5 de junio de 2023 
3. Se solicitará el concepto de Aprobación de valoración de obligaciones contingentes SHD el 6 de junio de 2023. 
4. Se espera obtención del concepto de Aprobación de valoración de "&amp;"obligaciones contingentes por parte de SHD el 30 de junio (15 días hábiles) 
5. Se solicitará el concepto previo de Comparador Público Privado a SDP. El 4 de julio. 
6. Aval fiscal - Validación Financiera Secretaría Distrital de Hacienda. Tercera semana"&amp;" Julio 2023 
7. Declaratoria de importancia estratégica Consejo de Gobierno. Mediados de Agosto 2023 
8. Autorización obligaciones con cargo a Vigencias Futuras CONFIS. Finales Agosto 2023 
9. Acuerdo de autorización Concejo de Bogotá. Agosto-Septiembr"&amp;"e 2023  
10. Inicio proceso de contratación. Septiembre 2023. 
")</f>
        <v xml:space="preserve">El proyecto del Hospital de Engativá presenta los siguientes avances: 
1. Se solicitó de nuevo el Concepto de adecuación a las políticas de riesgo del estado a SDP el 27 de abril de 2023 bajo el Rad. 1-2023-35101. 
2. Se espera recibir el Concepto favorable de adecuación a las políticas de riesgo SDP el 5 de junio de 2023 
3. Se solicitará el concepto de Aprobación de valoración de obligaciones contingentes SHD el 6 de junio de 2023. 
4. Se espera obtención del concepto de Aprobación de valoración de obligaciones contingentes por parte de SHD el 30 de junio (15 días hábiles) 
5. Se solicitará el concepto previo de Comparador Público Privado a SDP. El 4 de julio. 
6. Aval fiscal - Validación Financiera Secretaría Distrital de Hacienda. Tercera semana Julio 2023 
7. Declaratoria de importancia estratégica Consejo de Gobierno. Mediados de Agosto 2023 
8. Autorización obligaciones con cargo a Vigencias Futuras CONFIS. Finales Agosto 2023 
9. Acuerdo de autorización Concejo de Bogotá. Agosto-Septiembre 2023  
10. Inicio proceso de contratación. Septiembre 2023. 
</v>
      </c>
      <c r="N351" s="25"/>
      <c r="O351" s="25" t="str">
        <f t="shared" ca="1" si="0"/>
        <v>Secretaría Distrital de Salud</v>
      </c>
      <c r="P351" s="25" t="str">
        <f t="shared" ca="1" si="2"/>
        <v/>
      </c>
      <c r="Q351" s="25" t="str">
        <f ca="1">IFERROR(__xludf.DUMMYFUNCTION("""COMPUTED_VALUE"""),"Largo plazo")</f>
        <v>Largo plazo</v>
      </c>
      <c r="R351" s="25"/>
      <c r="S351" s="55"/>
      <c r="T351" s="56"/>
      <c r="U351" s="25"/>
      <c r="V351" s="25"/>
      <c r="W351" s="25"/>
      <c r="X351" s="25"/>
      <c r="Y351" s="25"/>
      <c r="Z351" s="25"/>
    </row>
    <row r="352" spans="1:26" ht="52.5" customHeight="1" x14ac:dyDescent="0.25">
      <c r="A352" s="25" t="str">
        <f ca="1">IFERROR(__xludf.DUMMYFUNCTION("""COMPUTED_VALUE"""),"Salud50")</f>
        <v>Salud50</v>
      </c>
      <c r="B352" s="25" t="str">
        <f ca="1">IFERROR(__xludf.DUMMYFUNCTION("""COMPUTED_VALUE"""),"Reunión rescate salud y subredes financiero")</f>
        <v>Reunión rescate salud y subredes financiero</v>
      </c>
      <c r="C352" s="55">
        <f ca="1">IFERROR(__xludf.DUMMYFUNCTION("""COMPUTED_VALUE"""),44683)</f>
        <v>44683</v>
      </c>
      <c r="D352" s="25" t="str">
        <f ca="1">IFERROR(__xludf.DUMMYFUNCTION("""COMPUTED_VALUE"""),"Salud")</f>
        <v>Salud</v>
      </c>
      <c r="E352" s="25" t="str">
        <f ca="1">IFERROR(__xludf.DUMMYFUNCTION("""COMPUTED_VALUE"""),"Secretaría Distrital de Salud")</f>
        <v>Secretaría Distrital de Salud</v>
      </c>
      <c r="F352" s="25" t="str">
        <f ca="1">IFERROR(__xludf.DUMMYFUNCTION("""COMPUTED_VALUE"""),"Los equipos de salud a tu barrio deberíamos enfocarlos en: mayores de 60 años y si tienen enfermedades crónicas. En casa entregarles el medicamento y agendarles su cita.")</f>
        <v>Los equipos de salud a tu barrio deberíamos enfocarlos en: mayores de 60 años y si tienen enfermedades crónicas. En casa entregarles el medicamento y agendarles su cita.</v>
      </c>
      <c r="G352" s="25" t="str">
        <f ca="1">IFERROR(__xludf.DUMMYFUNCTION("""COMPUTED_VALUE"""),"99. Distrito")</f>
        <v>99. Distrito</v>
      </c>
      <c r="H352" s="55">
        <f ca="1">IFERROR(__xludf.DUMMYFUNCTION("""COMPUTED_VALUE"""),44713)</f>
        <v>44713</v>
      </c>
      <c r="I352" s="25"/>
      <c r="J352" s="55" t="str">
        <f ca="1">IFERROR(__xludf.DUMMYFUNCTION("""COMPUTED_VALUE"""),"Alta")</f>
        <v>Alta</v>
      </c>
      <c r="K352" s="25">
        <f ca="1">IFERROR(__xludf.DUMMYFUNCTION("""COMPUTED_VALUE"""),30)</f>
        <v>30</v>
      </c>
      <c r="L352" s="62">
        <f ca="1">IFERROR(__xludf.DUMMYFUNCTION("""COMPUTED_VALUE"""),44895)</f>
        <v>44895</v>
      </c>
      <c r="M352" s="25" t="str">
        <f ca="1">IFERROR(__xludf.DUMMYFUNCTION("""COMPUTED_VALUE"""),"En el marco de las acciones desarrolladas por los equipos de atención en casa se orienta la atención mediante dos estrategias de abordaje. La estrategia de barrido o Casa a Casa tiene como objetivo visitar todos los predios correspondientes a las UPZ/R má"&amp;"s vulnerables de las 20 localidades de la ciudad, en donde se hace valoración individual a todos los integrantes de la familia que se encuentren en la vivienda identificando prioridades que requieren de cuidado especial.
La estrategia de ruteo tiene como "&amp;"finalidad atender a las familias e individuos priorizados y canalizados por diferentes fuentes de información (Entornos cuidadores, Eps Capital salud, Coordinaciones locales, Servicio a la ciudadanía-PQR, entre otros), obedeciendo a la demanda inducida pa"&amp;"ra toda la extensión del territorio distrital, para la población con las siguientes prioridades : Crónicos sin atención, Gestantes sin Adherencia a controles prenatales, menores con desnutrición aguda y con esquema de vacunación incompleta, mujer en edad "&amp;"fértil con patología crónica sin método de regulación de la fecundidad, personas en condición de discapacidad sin atención).
La entrega de medicamentos en casa se realiza a población con patología crónica mayor de 60 años , cuidadores y personas con disca"&amp;"pacidad o dependencia con aseguramiento a Capital Salud. Para el periodo comprendido entre el 7 de octubre de 2021 y el 12 de junio 2022 se han entregado medicamentos a un total de 674 usuarios.
A través del Plan de Salud Pública de Intervenciones Colect"&amp;"ivas (PSPIC), desde el Entorno Cuidador Hogar, se llevan a cabo dos (2) acciones integradas, a través de las cuales se abordan familias priorizadas por sus condiciones de vida y salud, incluyendo aquellas que tienen al menos un integrante con condiciones "&amp;"crónicas. Estas acciones son: 
Abordaje territorial: Desde un ejercicio de análisis y priorización territorial, se determinan los barrios de la ciudad donde se presenta un mayor índice de pobreza multidimensional, vulnerabilidad y concentración de casos d"&amp;"e morbilidad y mortalidad. A partir de ello, se realizan visitas casa a casa, con el fin de reconocer los principales riesgos en salud de las personas que habitan allí y a partir de lo identificado en cada visita, se emprenden acciones de promoción de la "&amp;"salud, activación de Rutas Integrales de Atención en Salud (RIAS) y derivación de casos a servicios sociales, para generar respuestas integrales a las personas, de acuerdo con sus necesidades identificadas. 
Planes de Cuidado Familiar: Esta acción corresp"&amp;"onde a procesos integrales adelantados con familias priorizadas donde se han identificado presencia de eventos de interés de salud pública, dentro de los que se encuentran casos de personas con condiciones crónicas no transmisibles con resultados de tamiz"&amp;"ajes en salud con clasificación en escalas de riesgo alto o extremadamente alto (según escalas de riesgo de la OMS). Con estas familias, se adelanta una caracterización familiar, se concerta, se ejecuta y monitorea un plan de cuidado familiar. Estos plane"&amp;"s están enfocados a desarrollar acciones orientadas a: Fomentar prácticas de cuidado para el bienestar y salud familiar, identificar signos de alarma y activación de Rutas Integrales de Atención en Salud (RIAS). 
Desde el equipo de gestión estratégica y o"&amp;"perativa del Entorno cuidador Hogar, también se realiza articulación con las IPS Públicas de la ciudad, para el agendamiento de citas de Detección temprana y Protección específica, para la población que tiene servicios de salud capitados con estas IPS; es"&amp;"o, en el marco de los alcances de la Ruta de Promoción y mantenimiento de la Salud (RPMS) y la atención de los casos que requieren activación de las Rutas de Riesgo, de acuerdo con la agenda dispuesta por las Subredes Integradas de Servicios de Salud y la"&amp;"s modalidades de atención definidas para la atención de usuarios, en el contexto de la pandemia por COVID_19.  30/11/2022 La línea operativa de Atención en casa, del modelo de atención se define como el conjunto de atenciones en salud realizadas por un eq"&amp;"uipo multidisciplinario (médicos, enfermeras y psicólogos) con capacidad resolutiva para la atención en salud en los territorios del Distrito capital, con el fin de brindar integralidad en la prestación de los servicios, dando respuesta a las necesidades "&amp;"identificadas en las familias y sus integrantes en territorios focalizados, población priorizada y diferencial, a través de la realización de valoración integral bajo la modalidad de atención extramural domiciliaria, con el objeto de: 
•        Identific"&amp;"ar los principales cambios en el desarrollo del individuo y factores de riesgo con el fin de prevenirlos o derivarlos para su manejo oportuno. 
•        Identificar y potenciar capacidades, habilidades y prácticas para promover el cuidado de la salud a tr"&amp;"avés de construcción concertada de un plan de cuidado individual y familiar.
Las acciones en el territorio se desarrollan bajo tres estrategias: i. casa a casa, abordando los hogares de manera coordinada y organizada manzana por manzana de los territorio"&amp;"s priorizados; ii. conglomerado, abordando a población que por sus dinámicas de trabajo, comunitarios o tradiciones requieren de una atención fuera del domicilio o concertada previamente con líderes comunitarios u organizaciones base y iii. Ruteo, en dond"&amp;"e se reciben casos remitidos por parte de las Entidades Administradoras del Plan de Beneficios, Instituciones prestadoras de Servicios de Salud, líderes comunitarios y otros sectores, de población priorizada que no son adherentes a las actividades de las "&amp;"Rutas Integrales de atención en salud o al tratamiento determinado por su condición y que no han podido ser contactados o vinculados a la atención.
De acuerdo a lo anterior, la línea de atención en casa a corte de 11 de noviembre de 2022, a logrado el ab"&amp;"ordaje de 330.334 familias atendiendo a 713.623 usuarios, de los cuales, se han intervenido a mediante consulta medica domiciliaria extramural por medicina o enfermería un total de 1098 gestantes,  24.746 usuarios con patología crónica no transmisible com"&amp;"o Hipertension arterial, diabetes mellitus, cáncer o enfermedad respiratoria crónica y 8.637 menores de 5 años que no tiene control de crecimiento y desarrollo, vacunación completa o esquema de vacunación incompleto para la edad. ")</f>
        <v xml:space="preserve">En el marco de las acciones desarrolladas por los equipos de atención en casa se orienta la atención mediante dos estrategias de abordaje. La estrategia de barrido o Casa a Casa tiene como objetivo visitar todos los predios correspondientes a las UPZ/R más vulnerables de las 20 localidades de la ciudad, en donde se hace valoración individual a todos los integrantes de la familia que se encuentren en la vivienda identificando prioridades que requieren de cuidado especial.
La estrategia de ruteo tiene como finalidad atender a las familias e individuos priorizados y canalizados por diferentes fuentes de información (Entornos cuidadores, Eps Capital salud, Coordinaciones locales, Servicio a la ciudadanía-PQR, entre otros), obedeciendo a la demanda inducida para toda la extensión del territorio distrital, para la población con las siguientes prioridades : Crónicos sin atención, Gestantes sin Adherencia a controles prenatales, menores con desnutrición aguda y con esquema de vacunación incompleta, mujer en edad fértil con patología crónica sin método de regulación de la fecundidad, personas en condición de discapacidad sin atención).
La entrega de medicamentos en casa se realiza a población con patología crónica mayor de 60 años , cuidadores y personas con discapacidad o dependencia con aseguramiento a Capital Salud. Para el periodo comprendido entre el 7 de octubre de 2021 y el 12 de junio 2022 se han entregado medicamentos a un total de 674 usuarios.
A través del Plan de Salud Pública de Intervenciones Colectivas (PSPIC), desde el Entorno Cuidador Hogar, se llevan a cabo dos (2) acciones integradas, a través de las cuales se abordan familias priorizadas por sus condiciones de vida y salud, incluyendo aquellas que tienen al menos un integrante con condiciones crónicas. Estas acciones son: 
Abordaje territorial: Desde un ejercicio de análisis y priorización territorial, se determinan los barrios de la ciudad donde se presenta un mayor índice de pobreza multidimensional, vulnerabilidad y concentración de casos de morbilidad y mortalidad. A partir de ello, se realizan visitas casa a casa, con el fin de reconocer los principales riesgos en salud de las personas que habitan allí y a partir de lo identificado en cada visita, se emprenden acciones de promoción de la salud, activación de Rutas Integrales de Atención en Salud (RIAS) y derivación de casos a servicios sociales, para generar respuestas integrales a las personas, de acuerdo con sus necesidades identificadas. 
Planes de Cuidado Familiar: Esta acción corresponde a procesos integrales adelantados con familias priorizadas donde se han identificado presencia de eventos de interés de salud pública, dentro de los que se encuentran casos de personas con condiciones crónicas no transmisibles con resultados de tamizajes en salud con clasificación en escalas de riesgo alto o extremadamente alto (según escalas de riesgo de la OMS). Con estas familias, se adelanta una caracterización familiar, se concerta, se ejecuta y monitorea un plan de cuidado familiar. Estos planes están enfocados a desarrollar acciones orientadas a: Fomentar prácticas de cuidado para el bienestar y salud familiar, identificar signos de alarma y activación de Rutas Integrales de Atención en Salud (RIAS). 
Desde el equipo de gestión estratégica y operativa del Entorno cuidador Hogar, también se realiza articulación con las IPS Públicas de la ciudad, para el agendamiento de citas de Detección temprana y Protección específica, para la población que tiene servicios de salud capitados con estas IPS; eso, en el marco de los alcances de la Ruta de Promoción y mantenimiento de la Salud (RPMS) y la atención de los casos que requieren activación de las Rutas de Riesgo, de acuerdo con la agenda dispuesta por las Subredes Integradas de Servicios de Salud y las modalidades de atención definidas para la atención de usuarios, en el contexto de la pandemia por COVID_19.  30/11/2022 La línea operativa de Atención en casa, del modelo de atención se define como el conjunto de atenciones en salud realizadas por un equipo multidisciplinario (médicos, enfermeras y psicólogos) con capacidad resolutiva para la atención en salud en los territorios del Distrito capital, con el fin de brindar integralidad en la prestación de los servicios, dando respuesta a las necesidades identificadas en las familias y sus integrantes en territorios focalizados, población priorizada y diferencial, a través de la realización de valoración integral bajo la modalidad de atención extramural domiciliaria, con el objeto de: 
•        Identificar los principales cambios en el desarrollo del individuo y factores de riesgo con el fin de prevenirlos o derivarlos para su manejo oportuno. 
•        Identificar y potenciar capacidades, habilidades y prácticas para promover el cuidado de la salud a través de construcción concertada de un plan de cuidado individual y familiar.
Las acciones en el territorio se desarrollan bajo tres estrategias: i. casa a casa, abordando los hogares de manera coordinada y organizada manzana por manzana de los territorios priorizados; ii. conglomerado, abordando a población que por sus dinámicas de trabajo, comunitarios o tradiciones requieren de una atención fuera del domicilio o concertada previamente con líderes comunitarios u organizaciones base y iii. Ruteo, en donde se reciben casos remitidos por parte de las Entidades Administradoras del Plan de Beneficios, Instituciones prestadoras de Servicios de Salud, líderes comunitarios y otros sectores, de población priorizada que no son adherentes a las actividades de las Rutas Integrales de atención en salud o al tratamiento determinado por su condición y que no han podido ser contactados o vinculados a la atención.
De acuerdo a lo anterior, la línea de atención en casa a corte de 11 de noviembre de 2022, a logrado el abordaje de 330.334 familias atendiendo a 713.623 usuarios, de los cuales, se han intervenido a mediante consulta medica domiciliaria extramural por medicina o enfermería un total de 1098 gestantes,  24.746 usuarios con patología crónica no transmisible como Hipertension arterial, diabetes mellitus, cáncer o enfermedad respiratoria crónica y 8.637 menores de 5 años que no tiene control de crecimiento y desarrollo, vacunación completa o esquema de vacunación incompleto para la edad. </v>
      </c>
      <c r="N352" s="55">
        <f ca="1">IFERROR(__xludf.DUMMYFUNCTION("""COMPUTED_VALUE"""),44895)</f>
        <v>44895</v>
      </c>
      <c r="O352" s="25" t="str">
        <f t="shared" ca="1" si="0"/>
        <v>Secretaría Distrital de Salud</v>
      </c>
      <c r="P352" s="25" t="str">
        <f t="shared" si="2"/>
        <v/>
      </c>
      <c r="Q352" s="25" t="str">
        <f ca="1">IFERROR(__xludf.DUMMYFUNCTION("""COMPUTED_VALUE"""),"Corto plazo")</f>
        <v>Corto plazo</v>
      </c>
      <c r="R352" s="25"/>
      <c r="S352" s="55"/>
      <c r="T352" s="56"/>
      <c r="U352" s="25"/>
      <c r="V352" s="25"/>
      <c r="W352" s="25"/>
      <c r="X352" s="25"/>
      <c r="Y352" s="25"/>
      <c r="Z352" s="25"/>
    </row>
    <row r="353" spans="1:26" ht="52.5" customHeight="1" x14ac:dyDescent="0.25">
      <c r="A353" s="25" t="str">
        <f ca="1">IFERROR(__xludf.DUMMYFUNCTION("""COMPUTED_VALUE"""),"Salud51")</f>
        <v>Salud51</v>
      </c>
      <c r="B353" s="25" t="str">
        <f ca="1">IFERROR(__xludf.DUMMYFUNCTION("""COMPUTED_VALUE"""),"Reunión rescate salud y subredes financiero")</f>
        <v>Reunión rescate salud y subredes financiero</v>
      </c>
      <c r="C353" s="55">
        <f ca="1">IFERROR(__xludf.DUMMYFUNCTION("""COMPUTED_VALUE"""),44683)</f>
        <v>44683</v>
      </c>
      <c r="D353" s="25" t="str">
        <f ca="1">IFERROR(__xludf.DUMMYFUNCTION("""COMPUTED_VALUE"""),"Salud")</f>
        <v>Salud</v>
      </c>
      <c r="E353" s="25" t="str">
        <f ca="1">IFERROR(__xludf.DUMMYFUNCTION("""COMPUTED_VALUE"""),"Secretaría Distrital de Salud")</f>
        <v>Secretaría Distrital de Salud</v>
      </c>
      <c r="F353" s="25" t="str">
        <f ca="1">IFERROR(__xludf.DUMMYFUNCTION("""COMPUTED_VALUE"""),"Indicadores de productividad (por cirugías, medicina interna, oftalmología, medicina general) y cómo esto le contribuyen a la disminución del porcentaje de PQR para los equipos de salud a tu barrio.")</f>
        <v>Indicadores de productividad (por cirugías, medicina interna, oftalmología, medicina general) y cómo esto le contribuyen a la disminución del porcentaje de PQR para los equipos de salud a tu barrio.</v>
      </c>
      <c r="G353" s="25" t="str">
        <f ca="1">IFERROR(__xludf.DUMMYFUNCTION("""COMPUTED_VALUE"""),"99. Distrito")</f>
        <v>99. Distrito</v>
      </c>
      <c r="H353" s="55">
        <f ca="1">IFERROR(__xludf.DUMMYFUNCTION("""COMPUTED_VALUE"""),44713)</f>
        <v>44713</v>
      </c>
      <c r="I353" s="25"/>
      <c r="J353" s="55" t="str">
        <f ca="1">IFERROR(__xludf.DUMMYFUNCTION("""COMPUTED_VALUE"""),"Alta")</f>
        <v>Alta</v>
      </c>
      <c r="K353" s="25">
        <f ca="1">IFERROR(__xludf.DUMMYFUNCTION("""COMPUTED_VALUE"""),30)</f>
        <v>30</v>
      </c>
      <c r="L353" s="62">
        <f ca="1">IFERROR(__xludf.DUMMYFUNCTION("""COMPUTED_VALUE"""),44895)</f>
        <v>44895</v>
      </c>
      <c r="M353" s="25" t="str">
        <f ca="1">IFERROR(__xludf.DUMMYFUNCTION("""COMPUTED_VALUE"""),"
Desde DAEPDSS se hace análisis de los indicadores de productividad, utilización del recurso humano y oportunidad de citas. Esta nformación la reportan las subredes en el aplicativo capacidad instalada y producción. Se hacen visitas de seguimiento
Durant"&amp;"e los meses de abril a junio 2022 se realizarón células de seguimiento al tema de oferta/demanda y agendamiento. En la definición de este plan de trabajo participaron los diferentes actores del sector salud distrital (Secretaría Distrital de Salud, Subred"&amp;"es Integradas de Servicios de Salud, EPS-S Capital Salud) y demás entidades adscritas a la SDS, identificando los problemas del acceso a los servicios de salud, la causa raíz, estrategias, acciones y responsables.
Con base en la priorización de las probl"&amp;"emáticas identificadas se desarrollaron los puntos focales a través de un seguimiento semanal al cumplimiento de las metas planteadas tomando decisiones con dificultades presentadas y experiencias exitosas. En este seguimiento realizado al agendamiento de"&amp;"nominado “Célula de Agendamiento” se abordan tres componentes guía: Agendamiento por oferta, Agendamiento por demanda, Agendamiento-PQRD. Cada componente con su meta e indicador a cumplir en el seguimiento semanal por cada una de las Subredes. En la célul"&amp;"a de agendamiento se priorizaron los servicios más críticos por su demanda insatisfecha y su relación con la PQRD.
A la fecha se vienen implementando nuevas células de seguimiento, en esta oportunidad relacionadas con la lista de espera para asignación d"&amp;"e citas, PQRSD, enrega de medicamentos y Oferta y demanda iniciadas a partir del 23 de  noviembre y programadas hasta el mes de febrero con el fin de reducir la cantidad de servicios que se encuentran en esta lista priorizando los servicios con mayor mes "&amp;"de atrazo y buscando alternativas de los sevicios mas congestionados, de igual manera realizando campañas especiles de llamadas para asignar citas y estrategias para depuras la lista pendiente de medicamentos. 
Desde la Subsecretaría de Gestión Territori"&amp;"al no contamos  con la productividad, en el tablero de indicadores que nos entregan mensualmente las subredes nos reportan citas ofertas y citas asignadas.  Seguimiento a los indicadores y publicacion de los mismos.
En lo reportado por las subredes para "&amp;"esas 4 tipologías (medicina general, medicina interna, oftalmología y cirugía general), muestra que la oferta esta siendo suficiente para la demanda y que por lo tanto tendrían que disminuir las PQRD en las mismas.
")</f>
        <v xml:space="preserve">
Desde DAEPDSS se hace análisis de los indicadores de productividad, utilización del recurso humano y oportunidad de citas. Esta nformación la reportan las subredes en el aplicativo capacidad instalada y producción. Se hacen visitas de seguimiento
Durante los meses de abril a junio 2022 se realizarón células de seguimiento al tema de oferta/demanda y agendamiento. En la definición de este plan de trabajo participaron los diferentes actores del sector salud distrital (Secretaría Distrital de Salud, Subredes Integradas de Servicios de Salud, EPS-S Capital Salud) y demás entidades adscritas a la SDS, identificando los problemas del acceso a los servicios de salud, la causa raíz, estrategias, acciones y responsables.
Con base en la priorización de las problemáticas identificadas se desarrollaron los puntos focales a través de un seguimiento semanal al cumplimiento de las metas planteadas tomando decisiones con dificultades presentadas y experiencias exitosas. En este seguimiento realizado al agendamiento denominado “Célula de Agendamiento” se abordan tres componentes guía: Agendamiento por oferta, Agendamiento por demanda, Agendamiento-PQRD. Cada componente con su meta e indicador a cumplir en el seguimiento semanal por cada una de las Subredes. En la célula de agendamiento se priorizaron los servicios más críticos por su demanda insatisfecha y su relación con la PQRD.
A la fecha se vienen implementando nuevas células de seguimiento, en esta oportunidad relacionadas con la lista de espera para asignación de citas, PQRSD, enrega de medicamentos y Oferta y demanda iniciadas a partir del 23 de  noviembre y programadas hasta el mes de febrero con el fin de reducir la cantidad de servicios que se encuentran en esta lista priorizando los servicios con mayor mes de atrazo y buscando alternativas de los sevicios mas congestionados, de igual manera realizando campañas especiles de llamadas para asignar citas y estrategias para depuras la lista pendiente de medicamentos. 
Desde la Subsecretaría de Gestión Territorial no contamos  con la productividad, en el tablero de indicadores que nos entregan mensualmente las subredes nos reportan citas ofertas y citas asignadas.  Seguimiento a los indicadores y publicacion de los mismos.
En lo reportado por las subredes para esas 4 tipologías (medicina general, medicina interna, oftalmología y cirugía general), muestra que la oferta esta siendo suficiente para la demanda y que por lo tanto tendrían que disminuir las PQRD en las mismas.
</v>
      </c>
      <c r="N353" s="55">
        <f ca="1">IFERROR(__xludf.DUMMYFUNCTION("""COMPUTED_VALUE"""),44895)</f>
        <v>44895</v>
      </c>
      <c r="O353" s="25" t="str">
        <f t="shared" ca="1" si="0"/>
        <v>Secretaría Distrital de Salud</v>
      </c>
      <c r="P353" s="25" t="str">
        <f t="shared" si="2"/>
        <v/>
      </c>
      <c r="Q353" s="25" t="str">
        <f ca="1">IFERROR(__xludf.DUMMYFUNCTION("""COMPUTED_VALUE"""),"Corto plazo")</f>
        <v>Corto plazo</v>
      </c>
      <c r="R353" s="25"/>
      <c r="S353" s="55"/>
      <c r="T353" s="56"/>
      <c r="U353" s="25"/>
      <c r="V353" s="25"/>
      <c r="W353" s="25"/>
      <c r="X353" s="25"/>
      <c r="Y353" s="25"/>
      <c r="Z353" s="25"/>
    </row>
    <row r="354" spans="1:26" ht="52.5" customHeight="1" x14ac:dyDescent="0.25">
      <c r="A354" s="25" t="str">
        <f ca="1">IFERROR(__xludf.DUMMYFUNCTION("""COMPUTED_VALUE"""),"Salud52")</f>
        <v>Salud52</v>
      </c>
      <c r="B354" s="25" t="str">
        <f ca="1">IFERROR(__xludf.DUMMYFUNCTION("""COMPUTED_VALUE"""),"Reunión rescate salud y subredes financiero")</f>
        <v>Reunión rescate salud y subredes financiero</v>
      </c>
      <c r="C354" s="55">
        <f ca="1">IFERROR(__xludf.DUMMYFUNCTION("""COMPUTED_VALUE"""),44683)</f>
        <v>44683</v>
      </c>
      <c r="D354" s="25" t="str">
        <f ca="1">IFERROR(__xludf.DUMMYFUNCTION("""COMPUTED_VALUE"""),"Salud")</f>
        <v>Salud</v>
      </c>
      <c r="E354" s="25" t="str">
        <f ca="1">IFERROR(__xludf.DUMMYFUNCTION("""COMPUTED_VALUE"""),"Secretaría Distrital de Salud")</f>
        <v>Secretaría Distrital de Salud</v>
      </c>
      <c r="F354" s="25" t="str">
        <f ca="1">IFERROR(__xludf.DUMMYFUNCTION("""COMPUTED_VALUE"""),"Cada subred debe tener en su consolidado anualmente cómo va. Además, de cada unidad operativa presentar en qué le está contribuyendo en ingresos y gastos y déficit. Desagregar en unidades y servicios para identificar lo que falla y lo qué va bien. ")</f>
        <v xml:space="preserve">Cada subred debe tener en su consolidado anualmente cómo va. Además, de cada unidad operativa presentar en qué le está contribuyendo en ingresos y gastos y déficit. Desagregar en unidades y servicios para identificar lo que falla y lo qué va bien. </v>
      </c>
      <c r="G354" s="25" t="str">
        <f ca="1">IFERROR(__xludf.DUMMYFUNCTION("""COMPUTED_VALUE"""),"99. Distrito")</f>
        <v>99. Distrito</v>
      </c>
      <c r="H354" s="55">
        <f ca="1">IFERROR(__xludf.DUMMYFUNCTION("""COMPUTED_VALUE"""),44713)</f>
        <v>44713</v>
      </c>
      <c r="I354" s="25"/>
      <c r="J354" s="55" t="str">
        <f ca="1">IFERROR(__xludf.DUMMYFUNCTION("""COMPUTED_VALUE"""),"Alta")</f>
        <v>Alta</v>
      </c>
      <c r="K354" s="25">
        <f ca="1">IFERROR(__xludf.DUMMYFUNCTION("""COMPUTED_VALUE"""),30)</f>
        <v>30</v>
      </c>
      <c r="L354" s="62">
        <f ca="1">IFERROR(__xludf.DUMMYFUNCTION("""COMPUTED_VALUE"""),44895)</f>
        <v>44895</v>
      </c>
      <c r="M354" s="25" t="str">
        <f ca="1">IFERROR(__xludf.DUMMYFUNCTION("""COMPUTED_VALUE"""),"Las Subredes Integradas de Servicios de Salud, reportan los resultados de la sostenibilidad por centros de costos, unidades de negocios, en periodos trimestrales, acorde a los lineamientos y metodología definida en la Resolución DDC000003 del 29 diciembre"&amp;" de 2017, y desde DAEPDSS se realiza la medición, análisis, conclusiones, y recomendaciones de mediciones, de la Red Integrada de Servicios de Salud. Esta información se socializa en el Comite Directivo de Red a cada una de las Subredes Integradas de Serv"&amp;"icios de Salud. Por otra parte se realiza la medición de la sostenibilidad (ingresos menos costos = resultado), por cada una de las unidades de servicios de salud. Esta información es reportada por las Subredes en periodos trimestral, acorde a las fechas "&amp;"definidas por la circular 008 del 04 de febrero de 2021 y se realiza seguimiento desde la Subsecretaría de Planeación y Gestión Sectorial en conjunto con la DAEPDSS y visita a la Unidad de Servicios correspondiente al seguimiento de la Subred respectiva.")</f>
        <v>Las Subredes Integradas de Servicios de Salud, reportan los resultados de la sostenibilidad por centros de costos, unidades de negocios, en periodos trimestrales, acorde a los lineamientos y metodología definida en la Resolución DDC000003 del 29 diciembre de 2017, y desde DAEPDSS se realiza la medición, análisis, conclusiones, y recomendaciones de mediciones, de la Red Integrada de Servicios de Salud. Esta información se socializa en el Comite Directivo de Red a cada una de las Subredes Integradas de Servicios de Salud. Por otra parte se realiza la medición de la sostenibilidad (ingresos menos costos = resultado), por cada una de las unidades de servicios de salud. Esta información es reportada por las Subredes en periodos trimestral, acorde a las fechas definidas por la circular 008 del 04 de febrero de 2021 y se realiza seguimiento desde la Subsecretaría de Planeación y Gestión Sectorial en conjunto con la DAEPDSS y visita a la Unidad de Servicios correspondiente al seguimiento de la Subred respectiva.</v>
      </c>
      <c r="N354" s="55">
        <f ca="1">IFERROR(__xludf.DUMMYFUNCTION("""COMPUTED_VALUE"""),44895)</f>
        <v>44895</v>
      </c>
      <c r="O354" s="25" t="str">
        <f t="shared" ca="1" si="0"/>
        <v>Secretaría Distrital de Salud</v>
      </c>
      <c r="P354" s="25" t="str">
        <f t="shared" si="2"/>
        <v/>
      </c>
      <c r="Q354" s="25" t="str">
        <f ca="1">IFERROR(__xludf.DUMMYFUNCTION("""COMPUTED_VALUE"""),"Corto plazo")</f>
        <v>Corto plazo</v>
      </c>
      <c r="R354" s="25"/>
      <c r="S354" s="55"/>
      <c r="T354" s="56"/>
      <c r="U354" s="25"/>
      <c r="V354" s="25"/>
      <c r="W354" s="25"/>
      <c r="X354" s="25"/>
      <c r="Y354" s="25"/>
      <c r="Z354" s="25"/>
    </row>
    <row r="355" spans="1:26" ht="52.5" customHeight="1" x14ac:dyDescent="0.25">
      <c r="A355" s="25" t="str">
        <f ca="1">IFERROR(__xludf.DUMMYFUNCTION("""COMPUTED_VALUE"""),"Salud53")</f>
        <v>Salud53</v>
      </c>
      <c r="B355" s="25" t="str">
        <f ca="1">IFERROR(__xludf.DUMMYFUNCTION("""COMPUTED_VALUE"""),"Reunión rescate salud y subredes financiero")</f>
        <v>Reunión rescate salud y subredes financiero</v>
      </c>
      <c r="C355" s="55">
        <f ca="1">IFERROR(__xludf.DUMMYFUNCTION("""COMPUTED_VALUE"""),44683)</f>
        <v>44683</v>
      </c>
      <c r="D355" s="25" t="str">
        <f ca="1">IFERROR(__xludf.DUMMYFUNCTION("""COMPUTED_VALUE"""),"Salud")</f>
        <v>Salud</v>
      </c>
      <c r="E355" s="25" t="str">
        <f ca="1">IFERROR(__xludf.DUMMYFUNCTION("""COMPUTED_VALUE"""),"Secretaría Distrital de Salud")</f>
        <v>Secretaría Distrital de Salud</v>
      </c>
      <c r="F355" s="25" t="str">
        <f ca="1">IFERROR(__xludf.DUMMYFUNCTION("""COMPUTED_VALUE"""),"Mejorar el servicio de atención (más baños, servicios generales, servicios de atención) del primer piso de Meissen")</f>
        <v>Mejorar el servicio de atención (más baños, servicios generales, servicios de atención) del primer piso de Meissen</v>
      </c>
      <c r="G355" s="25" t="str">
        <f ca="1">IFERROR(__xludf.DUMMYFUNCTION("""COMPUTED_VALUE"""),"19. Ciudad Bolívar")</f>
        <v>19. Ciudad Bolívar</v>
      </c>
      <c r="H355" s="55">
        <f ca="1">IFERROR(__xludf.DUMMYFUNCTION("""COMPUTED_VALUE"""),45138)</f>
        <v>45138</v>
      </c>
      <c r="I355" s="25" t="str">
        <f ca="1">IFERROR(__xludf.DUMMYFUNCTION("""COMPUTED_VALUE"""),"Delivery Unit")</f>
        <v>Delivery Unit</v>
      </c>
      <c r="J355" s="55" t="str">
        <f ca="1">IFERROR(__xludf.DUMMYFUNCTION("""COMPUTED_VALUE"""),"Alta")</f>
        <v>Alta</v>
      </c>
      <c r="K355" s="25">
        <f ca="1">IFERROR(__xludf.DUMMYFUNCTION("""COMPUTED_VALUE"""),455)</f>
        <v>455</v>
      </c>
      <c r="L355" s="62">
        <f ca="1">IFERROR(__xludf.DUMMYFUNCTION("""COMPUTED_VALUE"""),45077)</f>
        <v>45077</v>
      </c>
      <c r="M355" s="25" t="str">
        <f ca="1">IFERROR(__xludf.DUMMYFUNCTION("""COMPUTED_VALUE"""),"Está en remodelación el área de Urgencias en Piso 1 (y con este se incluyen los baños del servicio) y se dará apertura a espacio apenas se vayan terminando adecuaciones. Servicio de urgencias se termina a finales del mes de julio. El contrato de Meissen T"&amp;"1 sigue en ejecución, los baños se van a intervenir de acuerdo con la última versión de programación ya que el servicio no se puede suspender.
El contrato finaliza en septiembre del 2023. Es importante alclarar que se está solicitando una prórroga de tre"&amp;"s meses; es decir hasta diciembre 2023. Todo esto es una remodelacion de la T1, pero vale aclarar que los servicios están funcionando porque no se pueden supender. 
Teniendo en cuenta que es un edificio antiguo sin planos de instalaciones para hacer cort"&amp;"es y reemplazos se ha demorado la obra. Y también porque no se pudo parar la prestación de los servicios de urgencias, se ha trabajado por secciones. En estos momentos se está adelantando hasta un 38% que corresponde al área del primer piso. Cuando se ent"&amp;"regue en julio se procederá a intervenir el 62% restante de la torre. Por estos motivos se adelantará la prórroga.")</f>
        <v>Está en remodelación el área de Urgencias en Piso 1 (y con este se incluyen los baños del servicio) y se dará apertura a espacio apenas se vayan terminando adecuaciones. Servicio de urgencias se termina a finales del mes de julio. El contrato de Meissen T1 sigue en ejecución, los baños se van a intervenir de acuerdo con la última versión de programación ya que el servicio no se puede suspender.
El contrato finaliza en septiembre del 2023. Es importante alclarar que se está solicitando una prórroga de tres meses; es decir hasta diciembre 2023. Todo esto es una remodelacion de la T1, pero vale aclarar que los servicios están funcionando porque no se pueden supender. 
Teniendo en cuenta que es un edificio antiguo sin planos de instalaciones para hacer cortes y reemplazos se ha demorado la obra. Y también porque no se pudo parar la prestación de los servicios de urgencias, se ha trabajado por secciones. En estos momentos se está adelantando hasta un 38% que corresponde al área del primer piso. Cuando se entregue en julio se procederá a intervenir el 62% restante de la torre. Por estos motivos se adelantará la prórroga.</v>
      </c>
      <c r="N355" s="25"/>
      <c r="O355" s="25" t="str">
        <f t="shared" ca="1" si="0"/>
        <v>Secretaría Distrital de Salud</v>
      </c>
      <c r="P355" s="25" t="str">
        <f t="shared" ca="1" si="2"/>
        <v/>
      </c>
      <c r="Q355" s="25" t="str">
        <f ca="1">IFERROR(__xludf.DUMMYFUNCTION("""COMPUTED_VALUE"""),"Largo plazo")</f>
        <v>Largo plazo</v>
      </c>
      <c r="R355" s="25"/>
      <c r="S355" s="55"/>
      <c r="T355" s="56"/>
      <c r="U355" s="25"/>
      <c r="V355" s="25"/>
      <c r="W355" s="25"/>
      <c r="X355" s="25"/>
      <c r="Y355" s="25"/>
      <c r="Z355" s="25"/>
    </row>
    <row r="356" spans="1:26" ht="52.5" customHeight="1" x14ac:dyDescent="0.25">
      <c r="A356" s="25" t="str">
        <f ca="1">IFERROR(__xludf.DUMMYFUNCTION("""COMPUTED_VALUE"""),"Salud54")</f>
        <v>Salud54</v>
      </c>
      <c r="B356" s="25" t="str">
        <f ca="1">IFERROR(__xludf.DUMMYFUNCTION("""COMPUTED_VALUE"""),"Reunión rescate salud y subredes financiero")</f>
        <v>Reunión rescate salud y subredes financiero</v>
      </c>
      <c r="C356" s="55">
        <f ca="1">IFERROR(__xludf.DUMMYFUNCTION("""COMPUTED_VALUE"""),44683)</f>
        <v>44683</v>
      </c>
      <c r="D356" s="25" t="str">
        <f ca="1">IFERROR(__xludf.DUMMYFUNCTION("""COMPUTED_VALUE"""),"Salud")</f>
        <v>Salud</v>
      </c>
      <c r="E356" s="25" t="str">
        <f ca="1">IFERROR(__xludf.DUMMYFUNCTION("""COMPUTED_VALUE"""),"Secretaría Distrital de Salud")</f>
        <v>Secretaría Distrital de Salud</v>
      </c>
      <c r="F356" s="25" t="str">
        <f ca="1">IFERROR(__xludf.DUMMYFUNCTION("""COMPUTED_VALUE"""),"Tema para preparar para pasar al nuevo Congreso.
Subsanar una falla regulatoria: donde haya subredes en el país y subdivisiones internas del territorio, los prestadores deben tener presencia en esa subdivisión interna y si no la tienen, deben contratarla.")</f>
        <v>Tema para preparar para pasar al nuevo Congreso.
Subsanar una falla regulatoria: donde haya subredes en el país y subdivisiones internas del territorio, los prestadores deben tener presencia en esa subdivisión interna y si no la tienen, deben contratarla.</v>
      </c>
      <c r="G356" s="25" t="str">
        <f ca="1">IFERROR(__xludf.DUMMYFUNCTION("""COMPUTED_VALUE"""),"99. Distrito")</f>
        <v>99. Distrito</v>
      </c>
      <c r="H356" s="55">
        <f ca="1">IFERROR(__xludf.DUMMYFUNCTION("""COMPUTED_VALUE"""),45077)</f>
        <v>45077</v>
      </c>
      <c r="I356" s="25" t="str">
        <f ca="1">IFERROR(__xludf.DUMMYFUNCTION("""COMPUTED_VALUE"""),"Delivery Unit")</f>
        <v>Delivery Unit</v>
      </c>
      <c r="J356" s="55" t="str">
        <f ca="1">IFERROR(__xludf.DUMMYFUNCTION("""COMPUTED_VALUE"""),"Alta")</f>
        <v>Alta</v>
      </c>
      <c r="K356" s="25">
        <f ca="1">IFERROR(__xludf.DUMMYFUNCTION("""COMPUTED_VALUE"""),394)</f>
        <v>394</v>
      </c>
      <c r="L356" s="62">
        <f ca="1">IFERROR(__xludf.DUMMYFUNCTION("""COMPUTED_VALUE"""),45077)</f>
        <v>45077</v>
      </c>
      <c r="M356" s="25" t="str">
        <f ca="1">IFERROR(__xludf.DUMMYFUNCTION("""COMPUTED_VALUE"""),"En la Camara de Representantes ya fueron aprobados varios artículos de la reforma a la sistema de salud en Colombia, la Secretaría Distrital de Salud ha participado en los espacios convocados por el Ministerio de Salud, y ha buscado espacios con el mismo,"&amp;" para brindar propuestas sobre la reforma al sistema de salud, incluyendo temas como la gobernanza del sistema y la organización de los entes territoriales, entre otros.
")</f>
        <v xml:space="preserve">En la Camara de Representantes ya fueron aprobados varios artículos de la reforma a la sistema de salud en Colombia, la Secretaría Distrital de Salud ha participado en los espacios convocados por el Ministerio de Salud, y ha buscado espacios con el mismo, para brindar propuestas sobre la reforma al sistema de salud, incluyendo temas como la gobernanza del sistema y la organización de los entes territoriales, entre otros.
</v>
      </c>
      <c r="N356" s="25"/>
      <c r="O356" s="25" t="str">
        <f t="shared" ca="1" si="0"/>
        <v>Secretaría Distrital de Salud</v>
      </c>
      <c r="P356" s="25" t="str">
        <f t="shared" ca="1" si="2"/>
        <v/>
      </c>
      <c r="Q356" s="25" t="str">
        <f ca="1">IFERROR(__xludf.DUMMYFUNCTION("""COMPUTED_VALUE"""),"Largo plazo")</f>
        <v>Largo plazo</v>
      </c>
      <c r="R356" s="25"/>
      <c r="S356" s="55"/>
      <c r="T356" s="56"/>
      <c r="U356" s="25"/>
      <c r="V356" s="25"/>
      <c r="W356" s="25"/>
      <c r="X356" s="25"/>
      <c r="Y356" s="25"/>
      <c r="Z356" s="25"/>
    </row>
    <row r="357" spans="1:26" ht="52.5" customHeight="1" x14ac:dyDescent="0.25">
      <c r="A357" s="25" t="str">
        <f ca="1">IFERROR(__xludf.DUMMYFUNCTION("""COMPUTED_VALUE"""),"Salud55")</f>
        <v>Salud55</v>
      </c>
      <c r="B357" s="25" t="str">
        <f ca="1">IFERROR(__xludf.DUMMYFUNCTION("""COMPUTED_VALUE"""),"Reunión rescate salud y subredes financiero")</f>
        <v>Reunión rescate salud y subredes financiero</v>
      </c>
      <c r="C357" s="55">
        <f ca="1">IFERROR(__xludf.DUMMYFUNCTION("""COMPUTED_VALUE"""),44683)</f>
        <v>44683</v>
      </c>
      <c r="D357" s="25" t="str">
        <f ca="1">IFERROR(__xludf.DUMMYFUNCTION("""COMPUTED_VALUE"""),"Salud")</f>
        <v>Salud</v>
      </c>
      <c r="E357" s="25" t="str">
        <f ca="1">IFERROR(__xludf.DUMMYFUNCTION("""COMPUTED_VALUE"""),"Secretaría Distrital de Salud")</f>
        <v>Secretaría Distrital de Salud</v>
      </c>
      <c r="F357" s="25" t="str">
        <f ca="1">IFERROR(__xludf.DUMMYFUNCTION("""COMPUTED_VALUE"""),"Unificar los indicadores tanto de gestión hospitalaria como de servicios de casa (crónicas, gestantes y niños). ")</f>
        <v xml:space="preserve">Unificar los indicadores tanto de gestión hospitalaria como de servicios de casa (crónicas, gestantes y niños). </v>
      </c>
      <c r="G357" s="25" t="str">
        <f ca="1">IFERROR(__xludf.DUMMYFUNCTION("""COMPUTED_VALUE"""),"99. Distrito")</f>
        <v>99. Distrito</v>
      </c>
      <c r="H357" s="55">
        <f ca="1">IFERROR(__xludf.DUMMYFUNCTION("""COMPUTED_VALUE"""),44713)</f>
        <v>44713</v>
      </c>
      <c r="I357" s="25"/>
      <c r="J357" s="55" t="str">
        <f ca="1">IFERROR(__xludf.DUMMYFUNCTION("""COMPUTED_VALUE"""),"Alta")</f>
        <v>Alta</v>
      </c>
      <c r="K357" s="25">
        <f ca="1">IFERROR(__xludf.DUMMYFUNCTION("""COMPUTED_VALUE"""),30)</f>
        <v>30</v>
      </c>
      <c r="L357" s="62">
        <f ca="1">IFERROR(__xludf.DUMMYFUNCTION("""COMPUTED_VALUE"""),44895)</f>
        <v>44895</v>
      </c>
      <c r="M357" s="25" t="str">
        <f ca="1">IFERROR(__xludf.DUMMYFUNCTION("""COMPUTED_VALUE"""),"Desde el Observatorio de Salud de Bogotá se espera que el sistema unificado de información de la Secretaría Distrital de salud permita reconocer las personas con enfermedades no transmisibles, gestantes y niños con condiciones de salud prioritarias, media"&amp;"nte la incorporación de fuentes de información disponibles. Lo anterior en aras de orientar los procesos de abordaje desde los equipos de atención en casa y los entornos cuidadores. Estrategias clave en la apuesta del Modelo Territorial de Salud.
")</f>
        <v xml:space="preserve">Desde el Observatorio de Salud de Bogotá se espera que el sistema unificado de información de la Secretaría Distrital de salud permita reconocer las personas con enfermedades no transmisibles, gestantes y niños con condiciones de salud prioritarias, mediante la incorporación de fuentes de información disponibles. Lo anterior en aras de orientar los procesos de abordaje desde los equipos de atención en casa y los entornos cuidadores. Estrategias clave en la apuesta del Modelo Territorial de Salud.
</v>
      </c>
      <c r="N357" s="55">
        <f ca="1">IFERROR(__xludf.DUMMYFUNCTION("""COMPUTED_VALUE"""),44895)</f>
        <v>44895</v>
      </c>
      <c r="O357" s="25" t="str">
        <f t="shared" ca="1" si="0"/>
        <v>Secretaría Distrital de Salud</v>
      </c>
      <c r="P357" s="25" t="str">
        <f t="shared" si="2"/>
        <v/>
      </c>
      <c r="Q357" s="25" t="str">
        <f ca="1">IFERROR(__xludf.DUMMYFUNCTION("""COMPUTED_VALUE"""),"Corto plazo")</f>
        <v>Corto plazo</v>
      </c>
      <c r="R357" s="25"/>
      <c r="S357" s="55"/>
      <c r="T357" s="56"/>
      <c r="U357" s="25"/>
      <c r="V357" s="25"/>
      <c r="W357" s="25"/>
      <c r="X357" s="25"/>
      <c r="Y357" s="25"/>
      <c r="Z357" s="25"/>
    </row>
    <row r="358" spans="1:26" ht="52.5" customHeight="1" x14ac:dyDescent="0.25">
      <c r="A358" s="25" t="str">
        <f ca="1">IFERROR(__xludf.DUMMYFUNCTION("""COMPUTED_VALUE"""),"Salud56")</f>
        <v>Salud56</v>
      </c>
      <c r="B358" s="25" t="str">
        <f ca="1">IFERROR(__xludf.DUMMYFUNCTION("""COMPUTED_VALUE"""),"Presentación resultados de pobreza")</f>
        <v>Presentación resultados de pobreza</v>
      </c>
      <c r="C358" s="55">
        <f ca="1">IFERROR(__xludf.DUMMYFUNCTION("""COMPUTED_VALUE"""),44707)</f>
        <v>44707</v>
      </c>
      <c r="D358" s="25" t="str">
        <f ca="1">IFERROR(__xludf.DUMMYFUNCTION("""COMPUTED_VALUE"""),"Salud")</f>
        <v>Salud</v>
      </c>
      <c r="E358" s="25" t="str">
        <f ca="1">IFERROR(__xludf.DUMMYFUNCTION("""COMPUTED_VALUE"""),"Secretaría Distrital de Salud")</f>
        <v>Secretaría Distrital de Salud</v>
      </c>
      <c r="F358" s="25" t="str">
        <f ca="1">IFERROR(__xludf.DUMMYFUNCTION("""COMPUTED_VALUE"""),"Lo más importante, para tener recursos como aseguramiento en salud, es que incluyan la población migrante en el SGP. ")</f>
        <v xml:space="preserve">Lo más importante, para tener recursos como aseguramiento en salud, es que incluyan la población migrante en el SGP. </v>
      </c>
      <c r="G358" s="25" t="str">
        <f ca="1">IFERROR(__xludf.DUMMYFUNCTION("""COMPUTED_VALUE"""),"99. Distrito")</f>
        <v>99. Distrito</v>
      </c>
      <c r="H358" s="55">
        <f ca="1">IFERROR(__xludf.DUMMYFUNCTION("""COMPUTED_VALUE"""),44737)</f>
        <v>44737</v>
      </c>
      <c r="I358" s="25"/>
      <c r="J358" s="55" t="str">
        <f ca="1">IFERROR(__xludf.DUMMYFUNCTION("""COMPUTED_VALUE"""),"Alta")</f>
        <v>Alta</v>
      </c>
      <c r="K358" s="25">
        <f ca="1">IFERROR(__xludf.DUMMYFUNCTION("""COMPUTED_VALUE"""),30)</f>
        <v>30</v>
      </c>
      <c r="L358" s="62">
        <f ca="1">IFERROR(__xludf.DUMMYFUNCTION("""COMPUTED_VALUE"""),44771)</f>
        <v>44771</v>
      </c>
      <c r="M358" s="25" t="str">
        <f ca="1">IFERROR(__xludf.DUMMYFUNCTION("""COMPUTED_VALUE"""),"La Secretaría Distrital de Salud remitió a la Secretaría de Hacienda la propuesta de Ley para modificar la Ley 715 -SGP en los temas de salud y migrantes.")</f>
        <v>La Secretaría Distrital de Salud remitió a la Secretaría de Hacienda la propuesta de Ley para modificar la Ley 715 -SGP en los temas de salud y migrantes.</v>
      </c>
      <c r="N358" s="55">
        <f ca="1">IFERROR(__xludf.DUMMYFUNCTION("""COMPUTED_VALUE"""),44771)</f>
        <v>44771</v>
      </c>
      <c r="O358" s="25" t="str">
        <f t="shared" ca="1" si="0"/>
        <v>Secretaría Distrital de Salud</v>
      </c>
      <c r="P358" s="25" t="str">
        <f t="shared" si="2"/>
        <v/>
      </c>
      <c r="Q358" s="25" t="str">
        <f ca="1">IFERROR(__xludf.DUMMYFUNCTION("""COMPUTED_VALUE"""),"Corto plazo")</f>
        <v>Corto plazo</v>
      </c>
      <c r="R358" s="25"/>
      <c r="S358" s="55"/>
      <c r="T358" s="56"/>
      <c r="U358" s="25"/>
      <c r="V358" s="25"/>
      <c r="W358" s="25"/>
      <c r="X358" s="25"/>
      <c r="Y358" s="25"/>
      <c r="Z358" s="25"/>
    </row>
    <row r="359" spans="1:26" ht="52.5" customHeight="1" x14ac:dyDescent="0.25">
      <c r="A359" s="25" t="str">
        <f ca="1">IFERROR(__xludf.DUMMYFUNCTION("""COMPUTED_VALUE"""),"Salud57")</f>
        <v>Salud57</v>
      </c>
      <c r="B359" s="25" t="str">
        <f ca="1">IFERROR(__xludf.DUMMYFUNCTION("""COMPUTED_VALUE"""),"Atenea Producción de vacunas")</f>
        <v>Atenea Producción de vacunas</v>
      </c>
      <c r="C359" s="55">
        <f ca="1">IFERROR(__xludf.DUMMYFUNCTION("""COMPUTED_VALUE"""),44634)</f>
        <v>44634</v>
      </c>
      <c r="D359" s="25" t="str">
        <f ca="1">IFERROR(__xludf.DUMMYFUNCTION("""COMPUTED_VALUE"""),"Salud")</f>
        <v>Salud</v>
      </c>
      <c r="E359" s="25" t="str">
        <f ca="1">IFERROR(__xludf.DUMMYFUNCTION("""COMPUTED_VALUE"""),"Secretaría Distrital de Salud")</f>
        <v>Secretaría Distrital de Salud</v>
      </c>
      <c r="F359" s="25" t="str">
        <f ca="1">IFERROR(__xludf.DUMMYFUNCTION("""COMPUTED_VALUE"""),"Anexo técnico. Contratar un Estructurador técnico para el contrato con Walvax-Atenea. Para que los anexos técnicos queden OK para la producción de vacunas.")</f>
        <v>Anexo técnico. Contratar un Estructurador técnico para el contrato con Walvax-Atenea. Para que los anexos técnicos queden OK para la producción de vacunas.</v>
      </c>
      <c r="G359" s="25" t="str">
        <f ca="1">IFERROR(__xludf.DUMMYFUNCTION("""COMPUTED_VALUE"""),"99. Distrito")</f>
        <v>99. Distrito</v>
      </c>
      <c r="H359" s="55">
        <f ca="1">IFERROR(__xludf.DUMMYFUNCTION("""COMPUTED_VALUE"""),44664)</f>
        <v>44664</v>
      </c>
      <c r="I359" s="25"/>
      <c r="J359" s="55" t="str">
        <f ca="1">IFERROR(__xludf.DUMMYFUNCTION("""COMPUTED_VALUE"""),"Alta")</f>
        <v>Alta</v>
      </c>
      <c r="K359" s="25">
        <f ca="1">IFERROR(__xludf.DUMMYFUNCTION("""COMPUTED_VALUE"""),30)</f>
        <v>30</v>
      </c>
      <c r="L359" s="62">
        <f ca="1">IFERROR(__xludf.DUMMYFUNCTION("""COMPUTED_VALUE"""),44691)</f>
        <v>44691</v>
      </c>
      <c r="M359" s="25"/>
      <c r="N359" s="55">
        <f ca="1">IFERROR(__xludf.DUMMYFUNCTION("""COMPUTED_VALUE"""),44691)</f>
        <v>44691</v>
      </c>
      <c r="O359" s="25" t="str">
        <f t="shared" ca="1" si="0"/>
        <v>Secretaría Distrital de Salud</v>
      </c>
      <c r="P359" s="25" t="str">
        <f t="shared" si="2"/>
        <v/>
      </c>
      <c r="Q359" s="25" t="str">
        <f ca="1">IFERROR(__xludf.DUMMYFUNCTION("""COMPUTED_VALUE"""),"Corto plazo")</f>
        <v>Corto plazo</v>
      </c>
      <c r="R359" s="25"/>
      <c r="S359" s="55"/>
      <c r="T359" s="56"/>
      <c r="U359" s="25"/>
      <c r="V359" s="25"/>
      <c r="W359" s="25"/>
      <c r="X359" s="25"/>
      <c r="Y359" s="25"/>
      <c r="Z359" s="25"/>
    </row>
    <row r="360" spans="1:26" ht="52.5" customHeight="1" x14ac:dyDescent="0.25">
      <c r="A360" s="25" t="str">
        <f ca="1">IFERROR(__xludf.DUMMYFUNCTION("""COMPUTED_VALUE"""),"Salud58")</f>
        <v>Salud58</v>
      </c>
      <c r="B360" s="25" t="str">
        <f ca="1">IFERROR(__xludf.DUMMYFUNCTION("""COMPUTED_VALUE"""),"Subred centro oriente")</f>
        <v>Subred centro oriente</v>
      </c>
      <c r="C360" s="55">
        <f ca="1">IFERROR(__xludf.DUMMYFUNCTION("""COMPUTED_VALUE"""),44712)</f>
        <v>44712</v>
      </c>
      <c r="D360" s="25" t="str">
        <f ca="1">IFERROR(__xludf.DUMMYFUNCTION("""COMPUTED_VALUE"""),"Salud")</f>
        <v>Salud</v>
      </c>
      <c r="E360" s="25" t="str">
        <f ca="1">IFERROR(__xludf.DUMMYFUNCTION("""COMPUTED_VALUE"""),"Secretaría Distrital de Salud")</f>
        <v>Secretaría Distrital de Salud</v>
      </c>
      <c r="F360" s="25" t="str">
        <f ca="1">IFERROR(__xludf.DUMMYFUNCTION("""COMPUTED_VALUE"""),"Realizar una auditoría completa de toda la subred y con los estados financieros definitivos y que un revisor fiscal los firme.
- Presentarlo y revisarlo con el secretario de salud.
- Si es necesario, poner recursos de la secretaría 
")</f>
        <v xml:space="preserve">Realizar una auditoría completa de toda la subred y con los estados financieros definitivos y que un revisor fiscal los firme.
- Presentarlo y revisarlo con el secretario de salud.
- Si es necesario, poner recursos de la secretaría 
</v>
      </c>
      <c r="G360" s="25" t="str">
        <f ca="1">IFERROR(__xludf.DUMMYFUNCTION("""COMPUTED_VALUE"""),"99. Distrito")</f>
        <v>99. Distrito</v>
      </c>
      <c r="H360" s="55">
        <f ca="1">IFERROR(__xludf.DUMMYFUNCTION("""COMPUTED_VALUE"""),44759)</f>
        <v>44759</v>
      </c>
      <c r="I360" s="25"/>
      <c r="J360" s="55" t="str">
        <f ca="1">IFERROR(__xludf.DUMMYFUNCTION("""COMPUTED_VALUE"""),"Alta")</f>
        <v>Alta</v>
      </c>
      <c r="K360" s="25">
        <f ca="1">IFERROR(__xludf.DUMMYFUNCTION("""COMPUTED_VALUE"""),47)</f>
        <v>47</v>
      </c>
      <c r="L360" s="62">
        <f ca="1">IFERROR(__xludf.DUMMYFUNCTION("""COMPUTED_VALUE"""),44895)</f>
        <v>44895</v>
      </c>
      <c r="M360" s="25" t="str">
        <f ca="1">IFERROR(__xludf.DUMMYFUNCTION("""COMPUTED_VALUE"""),"Se realizó la auditoria externa. Fecha de informe julio 2022")</f>
        <v>Se realizó la auditoria externa. Fecha de informe julio 2022</v>
      </c>
      <c r="N360" s="55">
        <f ca="1">IFERROR(__xludf.DUMMYFUNCTION("""COMPUTED_VALUE"""),44895)</f>
        <v>44895</v>
      </c>
      <c r="O360" s="25" t="str">
        <f t="shared" ca="1" si="0"/>
        <v>Secretaría Distrital de Salud</v>
      </c>
      <c r="P360" s="25" t="str">
        <f t="shared" si="2"/>
        <v/>
      </c>
      <c r="Q360" s="25" t="str">
        <f ca="1">IFERROR(__xludf.DUMMYFUNCTION("""COMPUTED_VALUE"""),"Corto plazo")</f>
        <v>Corto plazo</v>
      </c>
      <c r="R360" s="25"/>
      <c r="S360" s="55"/>
      <c r="T360" s="56"/>
      <c r="U360" s="25"/>
      <c r="V360" s="25"/>
      <c r="W360" s="25"/>
      <c r="X360" s="25"/>
      <c r="Y360" s="25"/>
      <c r="Z360" s="25"/>
    </row>
    <row r="361" spans="1:26" ht="52.5" customHeight="1" x14ac:dyDescent="0.25">
      <c r="A361" s="25" t="str">
        <f ca="1">IFERROR(__xludf.DUMMYFUNCTION("""COMPUTED_VALUE"""),"Salud59")</f>
        <v>Salud59</v>
      </c>
      <c r="B361" s="25" t="str">
        <f ca="1">IFERROR(__xludf.DUMMYFUNCTION("""COMPUTED_VALUE"""),"Subred centro oriente")</f>
        <v>Subred centro oriente</v>
      </c>
      <c r="C361" s="55">
        <f ca="1">IFERROR(__xludf.DUMMYFUNCTION("""COMPUTED_VALUE"""),44712)</f>
        <v>44712</v>
      </c>
      <c r="D361" s="25" t="str">
        <f ca="1">IFERROR(__xludf.DUMMYFUNCTION("""COMPUTED_VALUE"""),"Salud")</f>
        <v>Salud</v>
      </c>
      <c r="E361" s="25" t="str">
        <f ca="1">IFERROR(__xludf.DUMMYFUNCTION("""COMPUTED_VALUE"""),"Secretaría Distrital de Salud")</f>
        <v>Secretaría Distrital de Salud</v>
      </c>
      <c r="F361" s="25" t="str">
        <f ca="1">IFERROR(__xludf.DUMMYFUNCTION("""COMPUTED_VALUE"""),"De esa auditoría, si no se siguieron las acciones que la junta sugirió, poner las denuncias requeridas. Todas las denuncias administrativas, penales y judiciales que se hagan ante los entes de control deben ir firmadas por todos los miembros de la junta d"&amp;"irectiva.")</f>
        <v>De esa auditoría, si no se siguieron las acciones que la junta sugirió, poner las denuncias requeridas. Todas las denuncias administrativas, penales y judiciales que se hagan ante los entes de control deben ir firmadas por todos los miembros de la junta directiva.</v>
      </c>
      <c r="G361" s="25" t="str">
        <f ca="1">IFERROR(__xludf.DUMMYFUNCTION("""COMPUTED_VALUE"""),"99. Distrito")</f>
        <v>99. Distrito</v>
      </c>
      <c r="H361" s="55">
        <f ca="1">IFERROR(__xludf.DUMMYFUNCTION("""COMPUTED_VALUE"""),44764)</f>
        <v>44764</v>
      </c>
      <c r="I361" s="25"/>
      <c r="J361" s="55" t="str">
        <f ca="1">IFERROR(__xludf.DUMMYFUNCTION("""COMPUTED_VALUE"""),"Alta")</f>
        <v>Alta</v>
      </c>
      <c r="K361" s="25">
        <f ca="1">IFERROR(__xludf.DUMMYFUNCTION("""COMPUTED_VALUE"""),52)</f>
        <v>52</v>
      </c>
      <c r="L361" s="62"/>
      <c r="M361" s="25" t="str">
        <f ca="1">IFERROR(__xludf.DUMMYFUNCTION("""COMPUTED_VALUE"""),"Las acciones se realizaron a partir de los resultados de la auditoría siguiendo las recomendaciones, por lo tanto no se han realizado denuncias penales ni judiciales. ")</f>
        <v xml:space="preserve">Las acciones se realizaron a partir de los resultados de la auditoría siguiendo las recomendaciones, por lo tanto no se han realizado denuncias penales ni judiciales. </v>
      </c>
      <c r="N361" s="55">
        <f ca="1">IFERROR(__xludf.DUMMYFUNCTION("""COMPUTED_VALUE"""),44927)</f>
        <v>44927</v>
      </c>
      <c r="O361" s="25" t="str">
        <f t="shared" ca="1" si="0"/>
        <v>Secretaría Distrital de Salud</v>
      </c>
      <c r="P361" s="25" t="str">
        <f t="shared" si="2"/>
        <v/>
      </c>
      <c r="Q361" s="25" t="str">
        <f ca="1">IFERROR(__xludf.DUMMYFUNCTION("""COMPUTED_VALUE"""),"Corto plazo")</f>
        <v>Corto plazo</v>
      </c>
      <c r="R361" s="25"/>
      <c r="S361" s="55"/>
      <c r="T361" s="56"/>
      <c r="U361" s="25"/>
      <c r="V361" s="25"/>
      <c r="W361" s="25"/>
      <c r="X361" s="25"/>
      <c r="Y361" s="25"/>
      <c r="Z361" s="25"/>
    </row>
    <row r="362" spans="1:26" ht="52.5" customHeight="1" x14ac:dyDescent="0.25">
      <c r="A362" s="25" t="str">
        <f ca="1">IFERROR(__xludf.DUMMYFUNCTION("""COMPUTED_VALUE"""),"Salud60")</f>
        <v>Salud60</v>
      </c>
      <c r="B362" s="25" t="str">
        <f ca="1">IFERROR(__xludf.DUMMYFUNCTION("""COMPUTED_VALUE"""),"Subredes y Capital Salud")</f>
        <v>Subredes y Capital Salud</v>
      </c>
      <c r="C362" s="55">
        <f ca="1">IFERROR(__xludf.DUMMYFUNCTION("""COMPUTED_VALUE"""),44799)</f>
        <v>44799</v>
      </c>
      <c r="D362" s="25" t="str">
        <f ca="1">IFERROR(__xludf.DUMMYFUNCTION("""COMPUTED_VALUE"""),"Salud")</f>
        <v>Salud</v>
      </c>
      <c r="E362" s="25" t="str">
        <f ca="1">IFERROR(__xludf.DUMMYFUNCTION("""COMPUTED_VALUE"""),"Secretaría Distrital de Salud")</f>
        <v>Secretaría Distrital de Salud</v>
      </c>
      <c r="F362" s="25" t="str">
        <f ca="1">IFERROR(__xludf.DUMMYFUNCTION("""COMPUTED_VALUE"""),"Organizar con la alcaldía de Madrid, España el intercambio de experiencias (incluido el tema de las manillas que miden presión y demás) y si es posible concretar la cooperación. ")</f>
        <v xml:space="preserve">Organizar con la alcaldía de Madrid, España el intercambio de experiencias (incluido el tema de las manillas que miden presión y demás) y si es posible concretar la cooperación. </v>
      </c>
      <c r="G362" s="25" t="str">
        <f ca="1">IFERROR(__xludf.DUMMYFUNCTION("""COMPUTED_VALUE"""),"99. Distrito")</f>
        <v>99. Distrito</v>
      </c>
      <c r="H362" s="55">
        <f ca="1">IFERROR(__xludf.DUMMYFUNCTION("""COMPUTED_VALUE"""),45017)</f>
        <v>45017</v>
      </c>
      <c r="I362" s="25" t="str">
        <f ca="1">IFERROR(__xludf.DUMMYFUNCTION("""COMPUTED_VALUE"""),"Delivery Unit")</f>
        <v>Delivery Unit</v>
      </c>
      <c r="J362" s="55" t="str">
        <f ca="1">IFERROR(__xludf.DUMMYFUNCTION("""COMPUTED_VALUE"""),"Media")</f>
        <v>Media</v>
      </c>
      <c r="K362" s="25">
        <f ca="1">IFERROR(__xludf.DUMMYFUNCTION("""COMPUTED_VALUE"""),218)</f>
        <v>218</v>
      </c>
      <c r="L362" s="62">
        <f ca="1">IFERROR(__xludf.DUMMYFUNCTION("""COMPUTED_VALUE"""),45046)</f>
        <v>45046</v>
      </c>
      <c r="M362" s="25" t="str">
        <f ca="1">IFERROR(__xludf.DUMMYFUNCTION("""COMPUTED_VALUE"""),"La SDS llevo a cabo reunión el día 14 de febrero de 2023 con delegados de la comunidad de Madrid, para desarrollar un intercambio de conocimientos en materia de prestación de los servicios de salud española con aspectos específicos sobre la atención de la"&amp;" población adulta mayor en la comunidad. A lo cual manifestaron:
• Cuentan con 483 residencias que operan bajo diferentes modalidades con un promedio entre 20 y 100 plazas, estas cuentas con diferentes condiciones y recursos para garantizar su atención. 
"&amp;"• Disponen de equipos interdisciplinarios conformados por médicos generales, especialistas, enfermeras y personal administrativo que operan como enlaces con los hospitales y otras instituciones. 
El tema de manillas del cuidado, no fue posible llegar a un"&amp;" acuerdo con ellos, sin embargo se está revisando la posibilidad que sea con otras organizaciones en una posible una alianza.
")</f>
        <v xml:space="preserve">La SDS llevo a cabo reunión el día 14 de febrero de 2023 con delegados de la comunidad de Madrid, para desarrollar un intercambio de conocimientos en materia de prestación de los servicios de salud española con aspectos específicos sobre la atención de la población adulta mayor en la comunidad. A lo cual manifestaron:
• Cuentan con 483 residencias que operan bajo diferentes modalidades con un promedio entre 20 y 100 plazas, estas cuentas con diferentes condiciones y recursos para garantizar su atención. 
• Disponen de equipos interdisciplinarios conformados por médicos generales, especialistas, enfermeras y personal administrativo que operan como enlaces con los hospitales y otras instituciones. 
El tema de manillas del cuidado, no fue posible llegar a un acuerdo con ellos, sin embargo se está revisando la posibilidad que sea con otras organizaciones en una posible una alianza.
</v>
      </c>
      <c r="N362" s="55">
        <f ca="1">IFERROR(__xludf.DUMMYFUNCTION("""COMPUTED_VALUE"""),45044)</f>
        <v>45044</v>
      </c>
      <c r="O362" s="25" t="str">
        <f t="shared" ca="1" si="0"/>
        <v>Secretaría Distrital de Salud</v>
      </c>
      <c r="P362" s="25" t="str">
        <f t="shared" ca="1" si="2"/>
        <v/>
      </c>
      <c r="Q362" s="25" t="str">
        <f ca="1">IFERROR(__xludf.DUMMYFUNCTION("""COMPUTED_VALUE"""),"Largo plazo")</f>
        <v>Largo plazo</v>
      </c>
      <c r="R362" s="25"/>
      <c r="S362" s="55"/>
      <c r="T362" s="56"/>
      <c r="U362" s="25"/>
      <c r="V362" s="25"/>
      <c r="W362" s="25"/>
      <c r="X362" s="25"/>
      <c r="Y362" s="25"/>
      <c r="Z362" s="25"/>
    </row>
    <row r="363" spans="1:26" ht="52.5" customHeight="1" x14ac:dyDescent="0.25">
      <c r="A363" s="25" t="str">
        <f ca="1">IFERROR(__xludf.DUMMYFUNCTION("""COMPUTED_VALUE"""),"Salud61")</f>
        <v>Salud61</v>
      </c>
      <c r="B363" s="25" t="str">
        <f ca="1">IFERROR(__xludf.DUMMYFUNCTION("""COMPUTED_VALUE"""),"Subredes y Capital Salud")</f>
        <v>Subredes y Capital Salud</v>
      </c>
      <c r="C363" s="55">
        <f ca="1">IFERROR(__xludf.DUMMYFUNCTION("""COMPUTED_VALUE"""),44799)</f>
        <v>44799</v>
      </c>
      <c r="D363" s="25" t="str">
        <f ca="1">IFERROR(__xludf.DUMMYFUNCTION("""COMPUTED_VALUE"""),"Salud")</f>
        <v>Salud</v>
      </c>
      <c r="E363" s="25" t="str">
        <f ca="1">IFERROR(__xludf.DUMMYFUNCTION("""COMPUTED_VALUE"""),"Secretaría Distrital de Salud")</f>
        <v>Secretaría Distrital de Salud</v>
      </c>
      <c r="F363" s="25" t="str">
        <f ca="1">IFERROR(__xludf.DUMMYFUNCTION("""COMPUTED_VALUE"""),"Revisar con SHD para que pasen los ingresos y gastos de convenios de salud mental a lo operacional. ")</f>
        <v xml:space="preserve">Revisar con SHD para que pasen los ingresos y gastos de convenios de salud mental a lo operacional. </v>
      </c>
      <c r="G363" s="25" t="str">
        <f ca="1">IFERROR(__xludf.DUMMYFUNCTION("""COMPUTED_VALUE"""),"99. Distrito")</f>
        <v>99. Distrito</v>
      </c>
      <c r="H363" s="55">
        <f ca="1">IFERROR(__xludf.DUMMYFUNCTION("""COMPUTED_VALUE"""),45017)</f>
        <v>45017</v>
      </c>
      <c r="I363" s="25" t="str">
        <f ca="1">IFERROR(__xludf.DUMMYFUNCTION("""COMPUTED_VALUE"""),"Delivery Unit")</f>
        <v>Delivery Unit</v>
      </c>
      <c r="J363" s="55" t="str">
        <f ca="1">IFERROR(__xludf.DUMMYFUNCTION("""COMPUTED_VALUE"""),"Media")</f>
        <v>Media</v>
      </c>
      <c r="K363" s="25">
        <f ca="1">IFERROR(__xludf.DUMMYFUNCTION("""COMPUTED_VALUE"""),218)</f>
        <v>218</v>
      </c>
      <c r="L363" s="62">
        <f ca="1">IFERROR(__xludf.DUMMYFUNCTION("""COMPUTED_VALUE"""),45061)</f>
        <v>45061</v>
      </c>
      <c r="M363" s="25" t="str">
        <f ca="1">IFERROR(__xludf.DUMMYFUNCTION("""COMPUTED_VALUE"""),"Se reviso con SDH el trámite de estos recursos, teniendo en cuenta que se recibió por parte del Ministerio de Salud el día 11 de enero la resolución No 02771 del 26 de diciembre para la asignación de dichos recursos y desde la Subsecretaria de Salud Públi"&amp;"ca se están adelantando las gestiones correspondientes para iniciar con la ejecución de los mismos. Estos recursos están en el rubro de gastos de inversión y se encuentran ya incluidos, hacen parte de los gastos misionales tanto de la Secretaria como de l"&amp;"as Subredes. 
")</f>
        <v xml:space="preserve">Se reviso con SDH el trámite de estos recursos, teniendo en cuenta que se recibió por parte del Ministerio de Salud el día 11 de enero la resolución No 02771 del 26 de diciembre para la asignación de dichos recursos y desde la Subsecretaria de Salud Pública se están adelantando las gestiones correspondientes para iniciar con la ejecución de los mismos. Estos recursos están en el rubro de gastos de inversión y se encuentran ya incluidos, hacen parte de los gastos misionales tanto de la Secretaria como de las Subredes. 
</v>
      </c>
      <c r="N363" s="55">
        <f ca="1">IFERROR(__xludf.DUMMYFUNCTION("""COMPUTED_VALUE"""),45077)</f>
        <v>45077</v>
      </c>
      <c r="O363" s="25" t="str">
        <f t="shared" ca="1" si="0"/>
        <v>Secretaría Distrital de Salud</v>
      </c>
      <c r="P363" s="25" t="str">
        <f t="shared" ca="1" si="2"/>
        <v/>
      </c>
      <c r="Q363" s="25" t="str">
        <f ca="1">IFERROR(__xludf.DUMMYFUNCTION("""COMPUTED_VALUE"""),"Largo plazo")</f>
        <v>Largo plazo</v>
      </c>
      <c r="R363" s="25"/>
      <c r="S363" s="55"/>
      <c r="T363" s="56"/>
      <c r="U363" s="25"/>
      <c r="V363" s="25"/>
      <c r="W363" s="25"/>
      <c r="X363" s="25"/>
      <c r="Y363" s="25"/>
      <c r="Z363" s="25"/>
    </row>
    <row r="364" spans="1:26" ht="52.5" customHeight="1" x14ac:dyDescent="0.25">
      <c r="A364" s="25" t="str">
        <f ca="1">IFERROR(__xludf.DUMMYFUNCTION("""COMPUTED_VALUE"""),"Salud62")</f>
        <v>Salud62</v>
      </c>
      <c r="B364" s="25" t="str">
        <f ca="1">IFERROR(__xludf.DUMMYFUNCTION("""COMPUTED_VALUE"""),"Subredes y Capital Salud")</f>
        <v>Subredes y Capital Salud</v>
      </c>
      <c r="C364" s="55">
        <f ca="1">IFERROR(__xludf.DUMMYFUNCTION("""COMPUTED_VALUE"""),44799)</f>
        <v>44799</v>
      </c>
      <c r="D364" s="25" t="str">
        <f ca="1">IFERROR(__xludf.DUMMYFUNCTION("""COMPUTED_VALUE"""),"Salud")</f>
        <v>Salud</v>
      </c>
      <c r="E364" s="25" t="str">
        <f ca="1">IFERROR(__xludf.DUMMYFUNCTION("""COMPUTED_VALUE"""),"Secretaría Distrital de Salud")</f>
        <v>Secretaría Distrital de Salud</v>
      </c>
      <c r="F364" s="25" t="str">
        <f ca="1">IFERROR(__xludf.DUMMYFUNCTION("""COMPUTED_VALUE"""),"Pensar o considerar un geriátrico hospitalario. ")</f>
        <v xml:space="preserve">Pensar o considerar un geriátrico hospitalario. </v>
      </c>
      <c r="G364" s="25" t="str">
        <f ca="1">IFERROR(__xludf.DUMMYFUNCTION("""COMPUTED_VALUE"""),"99. Distrito")</f>
        <v>99. Distrito</v>
      </c>
      <c r="H364" s="55">
        <f ca="1">IFERROR(__xludf.DUMMYFUNCTION("""COMPUTED_VALUE"""),44829)</f>
        <v>44829</v>
      </c>
      <c r="I364" s="25"/>
      <c r="J364" s="55" t="str">
        <f ca="1">IFERROR(__xludf.DUMMYFUNCTION("""COMPUTED_VALUE"""),"Alta")</f>
        <v>Alta</v>
      </c>
      <c r="K364" s="25">
        <f ca="1">IFERROR(__xludf.DUMMYFUNCTION("""COMPUTED_VALUE"""),30)</f>
        <v>30</v>
      </c>
      <c r="L364" s="62">
        <f ca="1">IFERROR(__xludf.DUMMYFUNCTION("""COMPUTED_VALUE"""),44895)</f>
        <v>44895</v>
      </c>
      <c r="M364" s="25" t="str">
        <f ca="1">IFERROR(__xludf.DUMMYFUNCTION("""COMPUTED_VALUE"""),"Desde las SRISS aún  no se ha presentado a la Subsecretaría de Planeación y Gestión Sectorial un proyecto de hospitalización con enfoque diferencial Geriátrico. En este momento esta población es atendida según su patología y su condición de salud por el s"&amp;"istema general de Salud. El tema debería ser complementado por Provisión de Servicios quienes entienden las dinámicas de Oferta y demanda del sistema de Salud de la Ciudad")</f>
        <v>Desde las SRISS aún  no se ha presentado a la Subsecretaría de Planeación y Gestión Sectorial un proyecto de hospitalización con enfoque diferencial Geriátrico. En este momento esta población es atendida según su patología y su condición de salud por el sistema general de Salud. El tema debería ser complementado por Provisión de Servicios quienes entienden las dinámicas de Oferta y demanda del sistema de Salud de la Ciudad</v>
      </c>
      <c r="N364" s="55">
        <f ca="1">IFERROR(__xludf.DUMMYFUNCTION("""COMPUTED_VALUE"""),44829)</f>
        <v>44829</v>
      </c>
      <c r="O364" s="25" t="str">
        <f t="shared" ca="1" si="0"/>
        <v>Secretaría Distrital de Salud</v>
      </c>
      <c r="P364" s="25" t="str">
        <f t="shared" si="2"/>
        <v/>
      </c>
      <c r="Q364" s="25" t="str">
        <f ca="1">IFERROR(__xludf.DUMMYFUNCTION("""COMPUTED_VALUE"""),"Corto plazo")</f>
        <v>Corto plazo</v>
      </c>
      <c r="R364" s="25"/>
      <c r="S364" s="55"/>
      <c r="T364" s="56"/>
      <c r="U364" s="25"/>
      <c r="V364" s="25"/>
      <c r="W364" s="25"/>
      <c r="X364" s="25"/>
      <c r="Y364" s="25"/>
      <c r="Z364" s="25"/>
    </row>
    <row r="365" spans="1:26" ht="52.5" customHeight="1" x14ac:dyDescent="0.25">
      <c r="A365" s="25" t="str">
        <f ca="1">IFERROR(__xludf.DUMMYFUNCTION("""COMPUTED_VALUE"""),"Salud63")</f>
        <v>Salud63</v>
      </c>
      <c r="B365" s="25" t="str">
        <f ca="1">IFERROR(__xludf.DUMMYFUNCTION("""COMPUTED_VALUE"""),"Subredes y Capital Salud")</f>
        <v>Subredes y Capital Salud</v>
      </c>
      <c r="C365" s="55">
        <f ca="1">IFERROR(__xludf.DUMMYFUNCTION("""COMPUTED_VALUE"""),44799)</f>
        <v>44799</v>
      </c>
      <c r="D365" s="25" t="str">
        <f ca="1">IFERROR(__xludf.DUMMYFUNCTION("""COMPUTED_VALUE"""),"Salud")</f>
        <v>Salud</v>
      </c>
      <c r="E365" s="25" t="str">
        <f ca="1">IFERROR(__xludf.DUMMYFUNCTION("""COMPUTED_VALUE"""),"Secretaría Distrital de Salud")</f>
        <v>Secretaría Distrital de Salud</v>
      </c>
      <c r="F365" s="25" t="str">
        <f ca="1">IFERROR(__xludf.DUMMYFUNCTION("""COMPUTED_VALUE"""),"Proponer a la Ministra de Salud y al Superintendente un ajuste en la medición a Capital salud por los indicadores a población migrante.")</f>
        <v>Proponer a la Ministra de Salud y al Superintendente un ajuste en la medición a Capital salud por los indicadores a población migrante.</v>
      </c>
      <c r="G365" s="25" t="str">
        <f ca="1">IFERROR(__xludf.DUMMYFUNCTION("""COMPUTED_VALUE"""),"99. Distrito")</f>
        <v>99. Distrito</v>
      </c>
      <c r="H365" s="55">
        <f ca="1">IFERROR(__xludf.DUMMYFUNCTION("""COMPUTED_VALUE"""),45077)</f>
        <v>45077</v>
      </c>
      <c r="I365" s="25" t="str">
        <f ca="1">IFERROR(__xludf.DUMMYFUNCTION("""COMPUTED_VALUE"""),"Delivery Unit")</f>
        <v>Delivery Unit</v>
      </c>
      <c r="J365" s="55" t="str">
        <f ca="1">IFERROR(__xludf.DUMMYFUNCTION("""COMPUTED_VALUE"""),"Alta")</f>
        <v>Alta</v>
      </c>
      <c r="K365" s="25">
        <f ca="1">IFERROR(__xludf.DUMMYFUNCTION("""COMPUTED_VALUE"""),278)</f>
        <v>278</v>
      </c>
      <c r="L365" s="62">
        <f ca="1">IFERROR(__xludf.DUMMYFUNCTION("""COMPUTED_VALUE"""),45077)</f>
        <v>45077</v>
      </c>
      <c r="M365" s="25" t="str">
        <f ca="1">IFERROR(__xludf.DUMMYFUNCTION("""COMPUTED_VALUE"""),"Se inició el desarrollo de la agenda con la Dirección de Prestación de Servicios y Atención Primaria del Ministerio de Salud en lo relacionado con la prestación de servicios, en la cual se trató el tema de Salud Mental. Esta agenda continuará entre otros "&amp;"con el tema de la financiación para atención a la población migrante irregular. 
Desde la Subsecretaría de Servicios de Salud y Aseguramiento de la SDS, se remitió propuesta de ajuste a las fuentes de financiamiento para las atenciones a población migrant"&amp;"e irregular que impacte en la carga de enfermedad de esta población, mientras surten el proceso de regularización y afiliación al sistema. se solicitara información de los indicadores a la EAPB Capital Salud, en razón a que es quien tiene la información d"&amp;"e primera mano de las atenciones y el conocimiento del comportamiento de su población migrante a cargo.")</f>
        <v>Se inició el desarrollo de la agenda con la Dirección de Prestación de Servicios y Atención Primaria del Ministerio de Salud en lo relacionado con la prestación de servicios, en la cual se trató el tema de Salud Mental. Esta agenda continuará entre otros con el tema de la financiación para atención a la población migrante irregular. 
Desde la Subsecretaría de Servicios de Salud y Aseguramiento de la SDS, se remitió propuesta de ajuste a las fuentes de financiamiento para las atenciones a población migrante irregular que impacte en la carga de enfermedad de esta población, mientras surten el proceso de regularización y afiliación al sistema. se solicitara información de los indicadores a la EAPB Capital Salud, en razón a que es quien tiene la información de primera mano de las atenciones y el conocimiento del comportamiento de su población migrante a cargo.</v>
      </c>
      <c r="N365" s="25"/>
      <c r="O365" s="25" t="str">
        <f t="shared" ca="1" si="0"/>
        <v>Secretaría Distrital de Salud</v>
      </c>
      <c r="P365" s="25" t="str">
        <f t="shared" ca="1" si="2"/>
        <v/>
      </c>
      <c r="Q365" s="25" t="str">
        <f ca="1">IFERROR(__xludf.DUMMYFUNCTION("""COMPUTED_VALUE"""),"Largo plazo")</f>
        <v>Largo plazo</v>
      </c>
      <c r="R365" s="25"/>
      <c r="S365" s="55"/>
      <c r="T365" s="56"/>
      <c r="U365" s="25"/>
      <c r="V365" s="25"/>
      <c r="W365" s="25"/>
      <c r="X365" s="25"/>
      <c r="Y365" s="25"/>
      <c r="Z365" s="25"/>
    </row>
    <row r="366" spans="1:26" ht="52.5" customHeight="1" x14ac:dyDescent="0.25">
      <c r="A366" s="25" t="str">
        <f ca="1">IFERROR(__xludf.DUMMYFUNCTION("""COMPUTED_VALUE"""),"Salud64")</f>
        <v>Salud64</v>
      </c>
      <c r="B366" s="25" t="str">
        <f ca="1">IFERROR(__xludf.DUMMYFUNCTION("""COMPUTED_VALUE"""),"Subredes y Capital Salud")</f>
        <v>Subredes y Capital Salud</v>
      </c>
      <c r="C366" s="55">
        <f ca="1">IFERROR(__xludf.DUMMYFUNCTION("""COMPUTED_VALUE"""),44799)</f>
        <v>44799</v>
      </c>
      <c r="D366" s="25" t="str">
        <f ca="1">IFERROR(__xludf.DUMMYFUNCTION("""COMPUTED_VALUE"""),"Salud")</f>
        <v>Salud</v>
      </c>
      <c r="E366" s="25" t="str">
        <f ca="1">IFERROR(__xludf.DUMMYFUNCTION("""COMPUTED_VALUE"""),"Secretaría Distrital de Salud")</f>
        <v>Secretaría Distrital de Salud</v>
      </c>
      <c r="F366" s="25" t="str">
        <f ca="1">IFERROR(__xludf.DUMMYFUNCTION("""COMPUTED_VALUE"""),"Incluir en el PND un artículo para que las EPS atiendan a las personas en los hospitales de las localidades (atendidos cerca a su casa o territorio).")</f>
        <v>Incluir en el PND un artículo para que las EPS atiendan a las personas en los hospitales de las localidades (atendidos cerca a su casa o territorio).</v>
      </c>
      <c r="G366" s="25" t="str">
        <f ca="1">IFERROR(__xludf.DUMMYFUNCTION("""COMPUTED_VALUE"""),"99. Distrito")</f>
        <v>99. Distrito</v>
      </c>
      <c r="H366" s="55">
        <f ca="1">IFERROR(__xludf.DUMMYFUNCTION("""COMPUTED_VALUE"""),44829)</f>
        <v>44829</v>
      </c>
      <c r="I366" s="25"/>
      <c r="J366" s="55" t="str">
        <f ca="1">IFERROR(__xludf.DUMMYFUNCTION("""COMPUTED_VALUE"""),"Alta")</f>
        <v>Alta</v>
      </c>
      <c r="K366" s="25">
        <f ca="1">IFERROR(__xludf.DUMMYFUNCTION("""COMPUTED_VALUE"""),30)</f>
        <v>30</v>
      </c>
      <c r="L366" s="62">
        <f ca="1">IFERROR(__xludf.DUMMYFUNCTION("""COMPUTED_VALUE"""),44895)</f>
        <v>44895</v>
      </c>
      <c r="M366" s="25" t="str">
        <f ca="1">IFERROR(__xludf.DUMMYFUNCTION("""COMPUTED_VALUE"""),"Las Empresas Administradoras de Planes de Beneficios (EAPB) que operen en la Región Metropolitana, garantizarán la prestación de los servicios de salud del componente primario, con calidad, de manera permanente, en condiciones de cercanía al sitio de resi"&amp;"dencia de los afiliados y su núcleo familiar, incluidos los mayores de 60 años.")</f>
        <v>Las Empresas Administradoras de Planes de Beneficios (EAPB) que operen en la Región Metropolitana, garantizarán la prestación de los servicios de salud del componente primario, con calidad, de manera permanente, en condiciones de cercanía al sitio de residencia de los afiliados y su núcleo familiar, incluidos los mayores de 60 años.</v>
      </c>
      <c r="N366" s="55">
        <f ca="1">IFERROR(__xludf.DUMMYFUNCTION("""COMPUTED_VALUE"""),44895)</f>
        <v>44895</v>
      </c>
      <c r="O366" s="25" t="str">
        <f t="shared" ca="1" si="0"/>
        <v>Secretaría Distrital de Salud</v>
      </c>
      <c r="P366" s="25" t="str">
        <f t="shared" si="2"/>
        <v/>
      </c>
      <c r="Q366" s="25" t="str">
        <f ca="1">IFERROR(__xludf.DUMMYFUNCTION("""COMPUTED_VALUE"""),"Corto plazo")</f>
        <v>Corto plazo</v>
      </c>
      <c r="R366" s="25"/>
      <c r="S366" s="55"/>
      <c r="T366" s="56"/>
      <c r="U366" s="25"/>
      <c r="V366" s="25"/>
      <c r="W366" s="25"/>
      <c r="X366" s="25"/>
      <c r="Y366" s="25"/>
      <c r="Z366" s="25"/>
    </row>
    <row r="367" spans="1:26" ht="52.5" customHeight="1" x14ac:dyDescent="0.25">
      <c r="A367" s="25" t="str">
        <f ca="1">IFERROR(__xludf.DUMMYFUNCTION("""COMPUTED_VALUE"""),"Salud65")</f>
        <v>Salud65</v>
      </c>
      <c r="B367" s="25" t="str">
        <f ca="1">IFERROR(__xludf.DUMMYFUNCTION("""COMPUTED_VALUE"""),"Subredes y Capital Salud")</f>
        <v>Subredes y Capital Salud</v>
      </c>
      <c r="C367" s="55">
        <f ca="1">IFERROR(__xludf.DUMMYFUNCTION("""COMPUTED_VALUE"""),44799)</f>
        <v>44799</v>
      </c>
      <c r="D367" s="25" t="str">
        <f ca="1">IFERROR(__xludf.DUMMYFUNCTION("""COMPUTED_VALUE"""),"Salud")</f>
        <v>Salud</v>
      </c>
      <c r="E367" s="25" t="str">
        <f ca="1">IFERROR(__xludf.DUMMYFUNCTION("""COMPUTED_VALUE"""),"Secretaría Distrital de Salud")</f>
        <v>Secretaría Distrital de Salud</v>
      </c>
      <c r="F367" s="25" t="str">
        <f ca="1">IFERROR(__xludf.DUMMYFUNCTION("""COMPUTED_VALUE"""),"Revisar con Hacienda que el mecanismo de presupuesto de las subredes sea por facturación y no por recaudo.")</f>
        <v>Revisar con Hacienda que el mecanismo de presupuesto de las subredes sea por facturación y no por recaudo.</v>
      </c>
      <c r="G367" s="25" t="str">
        <f ca="1">IFERROR(__xludf.DUMMYFUNCTION("""COMPUTED_VALUE"""),"99. Distrito")</f>
        <v>99. Distrito</v>
      </c>
      <c r="H367" s="55">
        <f ca="1">IFERROR(__xludf.DUMMYFUNCTION("""COMPUTED_VALUE"""),44829)</f>
        <v>44829</v>
      </c>
      <c r="I367" s="25"/>
      <c r="J367" s="55" t="str">
        <f ca="1">IFERROR(__xludf.DUMMYFUNCTION("""COMPUTED_VALUE"""),"Alta")</f>
        <v>Alta</v>
      </c>
      <c r="K367" s="25">
        <f ca="1">IFERROR(__xludf.DUMMYFUNCTION("""COMPUTED_VALUE"""),30)</f>
        <v>30</v>
      </c>
      <c r="L367" s="62">
        <f ca="1">IFERROR(__xludf.DUMMYFUNCTION("""COMPUTED_VALUE"""),44895)</f>
        <v>44895</v>
      </c>
      <c r="M367" s="25" t="str">
        <f ca="1">IFERROR(__xludf.DUMMYFUNCTION("""COMPUTED_VALUE"""),"Se realiza la consulta sin embargo la norma es clara en el caso de las empresas sociales del Estado:
""·        Los ingresos, se proyectarán conforme a lo establecido en el artículo 17 de la Ley 1797[1] de 2016 (Congreso de la República), el cual indica: "&amp;"“Las Empresas Sociales del Estado elaborarán sus presupuestos anuales con base en el recaudo efectivo realizado en el año inmediatamente anterior al que se elabora el presupuesto actualizado de acuerdo con la inflación de ese año. Lo anterior, sin perjuic"&amp;"io, de los ajustes que procedan al presupuesto de acuerdo con el recaudo real evidenciado en la vigencia que se ejecuta el presupuesto y el reconocimiento del deudor de la cartera, siempre que haya fecha cierta de pago y/o el título que acredite algún der"&amp;"echo sobre recursos del Sistema General de Seguridad Social en Salud. Las instrucciones para lo anterior serán definidas por el Ministerio de Hacienda y Crédito Público, en coordinación con el Ministerio de Salud y Protección Social”.""
Resolución  conju"&amp;"nta Minsalud y Minhacienda No 2794 de noviembre 2021 artículo 3
")</f>
        <v xml:space="preserve">Se realiza la consulta sin embargo la norma es clara en el caso de las empresas sociales del Estado:
"·        Los ingresos, se proyectarán conforme a lo establecido en el artículo 17 de la Ley 1797[1] de 2016 (Congreso de la República), el cual indica: “Las Empresas Sociales del Estado elaborarán sus presupuestos anuales con base en el recaudo efectivo realizado en el año inmediatamente anterior al que se elabora el presupuesto actualizado de acuerdo con la inflación de ese año. Lo anterior, sin perjuicio, de los ajustes que procedan al presupuesto de acuerdo con el recaudo real evidenciado en la vigencia que se ejecuta el presupuesto y el reconocimiento del deudor de la cartera, siempre que haya fecha cierta de pago y/o el título que acredite algún derecho sobre recursos del Sistema General de Seguridad Social en Salud. Las instrucciones para lo anterior serán definidas por el Ministerio de Hacienda y Crédito Público, en coordinación con el Ministerio de Salud y Protección Social”."
Resolución  conjunta Minsalud y Minhacienda No 2794 de noviembre 2021 artículo 3
</v>
      </c>
      <c r="N367" s="55">
        <f ca="1">IFERROR(__xludf.DUMMYFUNCTION("""COMPUTED_VALUE"""),44895)</f>
        <v>44895</v>
      </c>
      <c r="O367" s="25" t="str">
        <f t="shared" ca="1" si="0"/>
        <v>Secretaría Distrital de Salud</v>
      </c>
      <c r="P367" s="25" t="str">
        <f t="shared" si="2"/>
        <v/>
      </c>
      <c r="Q367" s="25" t="str">
        <f ca="1">IFERROR(__xludf.DUMMYFUNCTION("""COMPUTED_VALUE"""),"Corto plazo")</f>
        <v>Corto plazo</v>
      </c>
      <c r="R367" s="25"/>
      <c r="S367" s="55"/>
      <c r="T367" s="56"/>
      <c r="U367" s="25"/>
      <c r="V367" s="25"/>
      <c r="W367" s="25"/>
      <c r="X367" s="25"/>
      <c r="Y367" s="25"/>
      <c r="Z367" s="25"/>
    </row>
    <row r="368" spans="1:26" ht="52.5" customHeight="1" x14ac:dyDescent="0.25">
      <c r="A368" s="25" t="str">
        <f ca="1">IFERROR(__xludf.DUMMYFUNCTION("""COMPUTED_VALUE"""),"Salud66")</f>
        <v>Salud66</v>
      </c>
      <c r="B368" s="25" t="str">
        <f ca="1">IFERROR(__xludf.DUMMYFUNCTION("""COMPUTED_VALUE"""),"Bogotá sin Hambre")</f>
        <v>Bogotá sin Hambre</v>
      </c>
      <c r="C368" s="55">
        <f ca="1">IFERROR(__xludf.DUMMYFUNCTION("""COMPUTED_VALUE"""),44803)</f>
        <v>44803</v>
      </c>
      <c r="D368" s="25" t="str">
        <f ca="1">IFERROR(__xludf.DUMMYFUNCTION("""COMPUTED_VALUE"""),"Salud")</f>
        <v>Salud</v>
      </c>
      <c r="E368" s="25" t="str">
        <f ca="1">IFERROR(__xludf.DUMMYFUNCTION("""COMPUTED_VALUE"""),"Secretaría Distrital de Salud")</f>
        <v>Secretaría Distrital de Salud</v>
      </c>
      <c r="F368" s="25" t="str">
        <f ca="1">IFERROR(__xludf.DUMMYFUNCTION("""COMPUTED_VALUE"""),"Cruzar la base de datos de los niños y niñas que están en riesgo de desnutrición con los que están en los jardines. ")</f>
        <v xml:space="preserve">Cruzar la base de datos de los niños y niñas que están en riesgo de desnutrición con los que están en los jardines. </v>
      </c>
      <c r="G368" s="25" t="str">
        <f ca="1">IFERROR(__xludf.DUMMYFUNCTION("""COMPUTED_VALUE"""),"99. Distrito")</f>
        <v>99. Distrito</v>
      </c>
      <c r="H368" s="55">
        <f ca="1">IFERROR(__xludf.DUMMYFUNCTION("""COMPUTED_VALUE"""),44817)</f>
        <v>44817</v>
      </c>
      <c r="I368" s="15"/>
      <c r="J368" s="55" t="str">
        <f ca="1">IFERROR(__xludf.DUMMYFUNCTION("""COMPUTED_VALUE"""),"Alta")</f>
        <v>Alta</v>
      </c>
      <c r="K368" s="25">
        <f ca="1">IFERROR(__xludf.DUMMYFUNCTION("""COMPUTED_VALUE"""),14)</f>
        <v>14</v>
      </c>
      <c r="L368" s="62">
        <f ca="1">IFERROR(__xludf.DUMMYFUNCTION("""COMPUTED_VALUE"""),44895)</f>
        <v>44895</v>
      </c>
      <c r="M368" s="25" t="str">
        <f ca="1">IFERROR(__xludf.DUMMYFUNCTION("""COMPUTED_VALUE"""),"Se intercambiaron acuerdos de confidencialidad con Planeación, y el 13/09/22 se hizo entrega de la base de datos para el cruce de la información.")</f>
        <v>Se intercambiaron acuerdos de confidencialidad con Planeación, y el 13/09/22 se hizo entrega de la base de datos para el cruce de la información.</v>
      </c>
      <c r="N368" s="55">
        <f ca="1">IFERROR(__xludf.DUMMYFUNCTION("""COMPUTED_VALUE"""),44817)</f>
        <v>44817</v>
      </c>
      <c r="O368" s="25" t="str">
        <f t="shared" ca="1" si="0"/>
        <v>Secretaría Distrital de Salud</v>
      </c>
      <c r="P368" s="25" t="str">
        <f t="shared" si="2"/>
        <v/>
      </c>
      <c r="Q368" s="25" t="str">
        <f ca="1">IFERROR(__xludf.DUMMYFUNCTION("""COMPUTED_VALUE"""),"Corto plazo")</f>
        <v>Corto plazo</v>
      </c>
      <c r="R368" s="25"/>
      <c r="S368" s="55"/>
      <c r="T368" s="56"/>
      <c r="U368" s="25"/>
      <c r="V368" s="25"/>
      <c r="W368" s="25"/>
      <c r="X368" s="25"/>
      <c r="Y368" s="25"/>
      <c r="Z368" s="25"/>
    </row>
    <row r="369" spans="1:26" ht="52.5" customHeight="1" x14ac:dyDescent="0.25">
      <c r="A369" s="25" t="str">
        <f ca="1">IFERROR(__xludf.DUMMYFUNCTION("""COMPUTED_VALUE"""),"Salud67")</f>
        <v>Salud67</v>
      </c>
      <c r="B369" s="25" t="str">
        <f ca="1">IFERROR(__xludf.DUMMYFUNCTION("""COMPUTED_VALUE"""),"Bogotá sin Hambre")</f>
        <v>Bogotá sin Hambre</v>
      </c>
      <c r="C369" s="55">
        <f ca="1">IFERROR(__xludf.DUMMYFUNCTION("""COMPUTED_VALUE"""),44803)</f>
        <v>44803</v>
      </c>
      <c r="D369" s="25" t="str">
        <f ca="1">IFERROR(__xludf.DUMMYFUNCTION("""COMPUTED_VALUE"""),"Salud")</f>
        <v>Salud</v>
      </c>
      <c r="E369" s="25" t="str">
        <f ca="1">IFERROR(__xludf.DUMMYFUNCTION("""COMPUTED_VALUE"""),"Secretaría Distrital de Salud")</f>
        <v>Secretaría Distrital de Salud</v>
      </c>
      <c r="F369" s="25" t="str">
        <f ca="1">IFERROR(__xludf.DUMMYFUNCTION("""COMPUTED_VALUE"""),"De los 763.551 niños, niñas y jóvenes matriculados en los colegios, restar los que ya tuvieron el tamizaje actual para que SDS realice el tamizaje del resto. 
1.	Calcular el costo del tamizaje
2.	Realizar el tamizaje priorizando los 100 colegios en las "&amp;"UPZ más pobres donde se repartieron las tabletas
")</f>
        <v xml:space="preserve">De los 763.551 niños, niñas y jóvenes matriculados en los colegios, restar los que ya tuvieron el tamizaje actual para que SDS realice el tamizaje del resto. 
1.	Calcular el costo del tamizaje
2.	Realizar el tamizaje priorizando los 100 colegios en las UPZ más pobres donde se repartieron las tabletas
</v>
      </c>
      <c r="G369" s="25" t="str">
        <f ca="1">IFERROR(__xludf.DUMMYFUNCTION("""COMPUTED_VALUE"""),"99. Distrito")</f>
        <v>99. Distrito</v>
      </c>
      <c r="H369" s="55">
        <f ca="1">IFERROR(__xludf.DUMMYFUNCTION("""COMPUTED_VALUE"""),45092)</f>
        <v>45092</v>
      </c>
      <c r="I369" s="25" t="str">
        <f ca="1">IFERROR(__xludf.DUMMYFUNCTION("""COMPUTED_VALUE"""),"Delivery Unit")</f>
        <v>Delivery Unit</v>
      </c>
      <c r="J369" s="55" t="str">
        <f ca="1">IFERROR(__xludf.DUMMYFUNCTION("""COMPUTED_VALUE"""),"Alta")</f>
        <v>Alta</v>
      </c>
      <c r="K369" s="25">
        <f ca="1">IFERROR(__xludf.DUMMYFUNCTION("""COMPUTED_VALUE"""),289)</f>
        <v>289</v>
      </c>
      <c r="L369" s="62">
        <f ca="1">IFERROR(__xludf.DUMMYFUNCTION("""COMPUTED_VALUE"""),45077)</f>
        <v>45077</v>
      </c>
      <c r="M369" s="25" t="str">
        <f ca="1">IFERROR(__xludf.DUMMYFUNCTION("""COMPUTED_VALUE"""),"El tamizaje del 100% de los escolares dio inicio en febrero de 2023, en el marco de regreso a clases de las instituciones educativas oficiales. Los documentos metodológicos se han construido de manera conjunta y participativa en el ámbito de los lineamien"&amp;"tos del convenio del Plan de Salud Pública de Intervenciones Colectivas con las Subredes Integradas de Servicios en Salud. Por lo tanto, la operativa de recolección de información inició en febrero, donde al momento del corte, se han adelantado procesos d"&amp;"e concertación y, toma de peso y talla en un total de 20.311 escolares. 
Actualmente, los equipos de las subredes continúan tamizando escolares y el próximo corte de información será en el mes de abril, con la información consolidada de marzo. De igual ma"&amp;"nera, con la puesta en marcha del nuevo convenio del PSPIC que inicia el 28 de marzo, se ampliará la cantidad de profesionales y técnicos encargados de esta labor, con el objetivo de finalizar la toma de información en los meses de julio y agosto con los "&amp;"763.551 niños, niñas y jóvenes matriculados tamizados en los 405 colegios oficiales. También se ha trabajado de manera articulada con la Secretaría de Educación del Distrito para lograr un trabajo que permita avanzar de manera eficaz, frente a esto se ha "&amp;"logrado la expedición de un comunicado a todos los directores y directoras locales de educación, así como a los rectores y rectoras de las instituciones educativas distritales.")</f>
        <v>El tamizaje del 100% de los escolares dio inicio en febrero de 2023, en el marco de regreso a clases de las instituciones educativas oficiales. Los documentos metodológicos se han construido de manera conjunta y participativa en el ámbito de los lineamientos del convenio del Plan de Salud Pública de Intervenciones Colectivas con las Subredes Integradas de Servicios en Salud. Por lo tanto, la operativa de recolección de información inició en febrero, donde al momento del corte, se han adelantado procesos de concertación y, toma de peso y talla en un total de 20.311 escolares. 
Actualmente, los equipos de las subredes continúan tamizando escolares y el próximo corte de información será en el mes de abril, con la información consolidada de marzo. De igual manera, con la puesta en marcha del nuevo convenio del PSPIC que inicia el 28 de marzo, se ampliará la cantidad de profesionales y técnicos encargados de esta labor, con el objetivo de finalizar la toma de información en los meses de julio y agosto con los 763.551 niños, niñas y jóvenes matriculados tamizados en los 405 colegios oficiales. También se ha trabajado de manera articulada con la Secretaría de Educación del Distrito para lograr un trabajo que permita avanzar de manera eficaz, frente a esto se ha logrado la expedición de un comunicado a todos los directores y directoras locales de educación, así como a los rectores y rectoras de las instituciones educativas distritales.</v>
      </c>
      <c r="N369" s="25"/>
      <c r="O369" s="25" t="str">
        <f t="shared" ca="1" si="0"/>
        <v>Secretaría Distrital de Salud</v>
      </c>
      <c r="P369" s="25" t="str">
        <f t="shared" ca="1" si="2"/>
        <v/>
      </c>
      <c r="Q369" s="25" t="str">
        <f ca="1">IFERROR(__xludf.DUMMYFUNCTION("""COMPUTED_VALUE"""),"Largo plazo")</f>
        <v>Largo plazo</v>
      </c>
      <c r="R369" s="25"/>
      <c r="S369" s="55"/>
      <c r="T369" s="56"/>
      <c r="U369" s="25"/>
      <c r="V369" s="25"/>
      <c r="W369" s="25"/>
      <c r="X369" s="25"/>
      <c r="Y369" s="25"/>
      <c r="Z369" s="25"/>
    </row>
    <row r="370" spans="1:26" ht="52.5" customHeight="1" x14ac:dyDescent="0.25">
      <c r="A370" s="25" t="str">
        <f ca="1">IFERROR(__xludf.DUMMYFUNCTION("""COMPUTED_VALUE"""),"Salud68")</f>
        <v>Salud68</v>
      </c>
      <c r="B370" s="25" t="str">
        <f ca="1">IFERROR(__xludf.DUMMYFUNCTION("""COMPUTED_VALUE"""),"Recorrido Usme")</f>
        <v>Recorrido Usme</v>
      </c>
      <c r="C370" s="55">
        <f ca="1">IFERROR(__xludf.DUMMYFUNCTION("""COMPUTED_VALUE"""),44798)</f>
        <v>44798</v>
      </c>
      <c r="D370" s="25" t="str">
        <f ca="1">IFERROR(__xludf.DUMMYFUNCTION("""COMPUTED_VALUE"""),"Salud")</f>
        <v>Salud</v>
      </c>
      <c r="E370" s="25" t="str">
        <f ca="1">IFERROR(__xludf.DUMMYFUNCTION("""COMPUTED_VALUE"""),"Secretaría Distrital de Salud")</f>
        <v>Secretaría Distrital de Salud</v>
      </c>
      <c r="F370" s="25" t="str">
        <f ca="1">IFERROR(__xludf.DUMMYFUNCTION("""COMPUTED_VALUE"""),"Revisar la posibilidad de hacer una red de helipuertos (médica) en los hospitales principales de: Suba, Kennedy, Simón Bolívar, Bosa y Engativá.")</f>
        <v>Revisar la posibilidad de hacer una red de helipuertos (médica) en los hospitales principales de: Suba, Kennedy, Simón Bolívar, Bosa y Engativá.</v>
      </c>
      <c r="G370" s="25" t="str">
        <f ca="1">IFERROR(__xludf.DUMMYFUNCTION("""COMPUTED_VALUE"""),"99. Distrito")</f>
        <v>99. Distrito</v>
      </c>
      <c r="H370" s="55">
        <f ca="1">IFERROR(__xludf.DUMMYFUNCTION("""COMPUTED_VALUE"""),45199)</f>
        <v>45199</v>
      </c>
      <c r="I370" s="25" t="str">
        <f ca="1">IFERROR(__xludf.DUMMYFUNCTION("""COMPUTED_VALUE"""),"Delivery Unit")</f>
        <v>Delivery Unit</v>
      </c>
      <c r="J370" s="55" t="str">
        <f ca="1">IFERROR(__xludf.DUMMYFUNCTION("""COMPUTED_VALUE"""),"Alta")</f>
        <v>Alta</v>
      </c>
      <c r="K370" s="25">
        <f ca="1">IFERROR(__xludf.DUMMYFUNCTION("""COMPUTED_VALUE"""),401)</f>
        <v>401</v>
      </c>
      <c r="L370" s="62">
        <f ca="1">IFERROR(__xludf.DUMMYFUNCTION("""COMPUTED_VALUE"""),45077)</f>
        <v>45077</v>
      </c>
      <c r="M370" s="25" t="str">
        <f ca="1">IFERROR(__xludf.DUMMYFUNCTION("""COMPUTED_VALUE"""),"El proyecto de red de helipuertos se contempla realizar con los 3 hospitales que tendrían helipuerto en funcionamiento, asi mismo teniendo en cuenta su ubicacion. En la actualidad entraría en funcionamiento Usme a finales de 2023, Engativá en 2026 y Simón"&amp;" Bolívar aún pendiente de la fecha.
Bosa en su estructuración no se incluyó Helipuerto y el Hospital ya cuenta con un 87% de ejecución de obra y no se estructuró para una red de helipuerto, como sí lo fue Usme y Simón Bolívar. 
En Suba no tenemos ninguna"&amp;" construcción de un Hospital que pueda soportar un Helipuerto.")</f>
        <v>El proyecto de red de helipuertos se contempla realizar con los 3 hospitales que tendrían helipuerto en funcionamiento, asi mismo teniendo en cuenta su ubicacion. En la actualidad entraría en funcionamiento Usme a finales de 2023, Engativá en 2026 y Simón Bolívar aún pendiente de la fecha.
Bosa en su estructuración no se incluyó Helipuerto y el Hospital ya cuenta con un 87% de ejecución de obra y no se estructuró para una red de helipuerto, como sí lo fue Usme y Simón Bolívar. 
En Suba no tenemos ninguna construcción de un Hospital que pueda soportar un Helipuerto.</v>
      </c>
      <c r="N370" s="25"/>
      <c r="O370" s="25" t="str">
        <f t="shared" ca="1" si="0"/>
        <v>Secretaría Distrital de Salud</v>
      </c>
      <c r="P370" s="25" t="str">
        <f t="shared" ca="1" si="2"/>
        <v/>
      </c>
      <c r="Q370" s="25" t="str">
        <f ca="1">IFERROR(__xludf.DUMMYFUNCTION("""COMPUTED_VALUE"""),"Largo plazo")</f>
        <v>Largo plazo</v>
      </c>
      <c r="R370" s="25"/>
      <c r="S370" s="55"/>
      <c r="T370" s="56"/>
      <c r="U370" s="25"/>
      <c r="V370" s="25"/>
      <c r="W370" s="25"/>
      <c r="X370" s="25"/>
      <c r="Y370" s="25"/>
      <c r="Z370" s="25"/>
    </row>
    <row r="371" spans="1:26" ht="52.5" customHeight="1" x14ac:dyDescent="0.25">
      <c r="A371" s="25" t="str">
        <f ca="1">IFERROR(__xludf.DUMMYFUNCTION("""COMPUTED_VALUE"""),"Salud69")</f>
        <v>Salud69</v>
      </c>
      <c r="B371" s="25" t="str">
        <f ca="1">IFERROR(__xludf.DUMMYFUNCTION("""COMPUTED_VALUE"""),"Reunión CAIDS-G")</f>
        <v>Reunión CAIDS-G</v>
      </c>
      <c r="C371" s="55">
        <f ca="1">IFERROR(__xludf.DUMMYFUNCTION("""COMPUTED_VALUE"""),44826)</f>
        <v>44826</v>
      </c>
      <c r="D371" s="25" t="str">
        <f ca="1">IFERROR(__xludf.DUMMYFUNCTION("""COMPUTED_VALUE"""),"Salud")</f>
        <v>Salud</v>
      </c>
      <c r="E371" s="25" t="str">
        <f ca="1">IFERROR(__xludf.DUMMYFUNCTION("""COMPUTED_VALUE"""),"Secretaría Distrital de Salud")</f>
        <v>Secretaría Distrital de Salud</v>
      </c>
      <c r="F371" s="25" t="str">
        <f ca="1">IFERROR(__xludf.DUMMYFUNCTION("""COMPUTED_VALUE"""),"Revisar la ampliación del hospital Samper Mendoza para la atención exclusiva a población TRANS y LGBTIQ+ (todos los servicios).")</f>
        <v>Revisar la ampliación del hospital Samper Mendoza para la atención exclusiva a población TRANS y LGBTIQ+ (todos los servicios).</v>
      </c>
      <c r="G371" s="25" t="str">
        <f ca="1">IFERROR(__xludf.DUMMYFUNCTION("""COMPUTED_VALUE"""),"14. Martires")</f>
        <v>14. Martires</v>
      </c>
      <c r="H371" s="55">
        <f ca="1">IFERROR(__xludf.DUMMYFUNCTION("""COMPUTED_VALUE"""),44926)</f>
        <v>44926</v>
      </c>
      <c r="I371" s="25" t="str">
        <f ca="1">IFERROR(__xludf.DUMMYFUNCTION("""COMPUTED_VALUE"""),"Secretaría Privada")</f>
        <v>Secretaría Privada</v>
      </c>
      <c r="J371" s="55" t="str">
        <f ca="1">IFERROR(__xludf.DUMMYFUNCTION("""COMPUTED_VALUE"""),"Media")</f>
        <v>Media</v>
      </c>
      <c r="K371" s="25">
        <f ca="1">IFERROR(__xludf.DUMMYFUNCTION("""COMPUTED_VALUE"""),100)</f>
        <v>100</v>
      </c>
      <c r="L371" s="62">
        <f ca="1">IFERROR(__xludf.DUMMYFUNCTION("""COMPUTED_VALUE"""),45061)</f>
        <v>45061</v>
      </c>
      <c r="M371" s="25" t="str">
        <f ca="1">IFERROR(__xludf.DUMMYFUNCTION("""COMPUTED_VALUE"""),"La Alcaldesa Mayor, el Secretario Distrital de Salud y la Secretaria de Integración Social visitaron las instalaciones del Centro de Salud Samper Mendoza y el Edificio de Integración que se encuentra contiguo, para evaluar la posibilidad de usar parte de "&amp;"ese edificio en la ampliación del Samper Mendoza. Sin embargo, el costo social y político del cierre de servicios de Integración para ampliar el Centro de Salud es alto. En esta misma visita se descarta la posibilidad de ampliar el Centro de Salud Samper "&amp;"Mendoza.")</f>
        <v>La Alcaldesa Mayor, el Secretario Distrital de Salud y la Secretaria de Integración Social visitaron las instalaciones del Centro de Salud Samper Mendoza y el Edificio de Integración que se encuentra contiguo, para evaluar la posibilidad de usar parte de ese edificio en la ampliación del Samper Mendoza. Sin embargo, el costo social y político del cierre de servicios de Integración para ampliar el Centro de Salud es alto. En esta misma visita se descarta la posibilidad de ampliar el Centro de Salud Samper Mendoza.</v>
      </c>
      <c r="N371" s="55">
        <f ca="1">IFERROR(__xludf.DUMMYFUNCTION("""COMPUTED_VALUE"""),45065)</f>
        <v>45065</v>
      </c>
      <c r="O371" s="25" t="str">
        <f t="shared" ca="1" si="0"/>
        <v>Secretaría Distrital de Salud</v>
      </c>
      <c r="P371" s="25" t="str">
        <f t="shared" ca="1" si="2"/>
        <v/>
      </c>
      <c r="Q371" s="25" t="str">
        <f ca="1">IFERROR(__xludf.DUMMYFUNCTION("""COMPUTED_VALUE"""),"Mediano plazo")</f>
        <v>Mediano plazo</v>
      </c>
      <c r="R371" s="25"/>
      <c r="S371" s="55"/>
      <c r="T371" s="56"/>
      <c r="U371" s="25"/>
      <c r="V371" s="25"/>
      <c r="W371" s="25"/>
      <c r="X371" s="25"/>
      <c r="Y371" s="25"/>
      <c r="Z371" s="25"/>
    </row>
    <row r="372" spans="1:26" ht="52.5" customHeight="1" x14ac:dyDescent="0.25">
      <c r="A372" s="25" t="str">
        <f ca="1">IFERROR(__xludf.DUMMYFUNCTION("""COMPUTED_VALUE"""),"Salud70")</f>
        <v>Salud70</v>
      </c>
      <c r="B372" s="25" t="str">
        <f ca="1">IFERROR(__xludf.DUMMYFUNCTION("""COMPUTED_VALUE"""),"Pobreza y reactivación económica presupuesto 2023 ")</f>
        <v xml:space="preserve">Pobreza y reactivación económica presupuesto 2023 </v>
      </c>
      <c r="C372" s="55">
        <f ca="1">IFERROR(__xludf.DUMMYFUNCTION("""COMPUTED_VALUE"""),44827)</f>
        <v>44827</v>
      </c>
      <c r="D372" s="25" t="str">
        <f ca="1">IFERROR(__xludf.DUMMYFUNCTION("""COMPUTED_VALUE"""),"Salud")</f>
        <v>Salud</v>
      </c>
      <c r="E372" s="25" t="str">
        <f ca="1">IFERROR(__xludf.DUMMYFUNCTION("""COMPUTED_VALUE"""),"Secretaría Distrital de Salud")</f>
        <v>Secretaría Distrital de Salud</v>
      </c>
      <c r="F372" s="25" t="str">
        <f ca="1">IFERROR(__xludf.DUMMYFUNCTION("""COMPUTED_VALUE"""),"Producción de vacunas. Concretar en el proceso estructurador lo siguiente: alcaldía construye y dota, gobierno avala y compra vacunas y el privado produce con su know how y hace transferencia tecnológica. ")</f>
        <v xml:space="preserve">Producción de vacunas. Concretar en el proceso estructurador lo siguiente: alcaldía construye y dota, gobierno avala y compra vacunas y el privado produce con su know how y hace transferencia tecnológica. </v>
      </c>
      <c r="G372" s="25" t="str">
        <f ca="1">IFERROR(__xludf.DUMMYFUNCTION("""COMPUTED_VALUE"""),"99. Distrito")</f>
        <v>99. Distrito</v>
      </c>
      <c r="H372" s="55">
        <f ca="1">IFERROR(__xludf.DUMMYFUNCTION("""COMPUTED_VALUE"""),45199)</f>
        <v>45199</v>
      </c>
      <c r="I372" s="25" t="str">
        <f ca="1">IFERROR(__xludf.DUMMYFUNCTION("""COMPUTED_VALUE"""),"Delivery Unit")</f>
        <v>Delivery Unit</v>
      </c>
      <c r="J372" s="55" t="str">
        <f ca="1">IFERROR(__xludf.DUMMYFUNCTION("""COMPUTED_VALUE"""),"Alta")</f>
        <v>Alta</v>
      </c>
      <c r="K372" s="25">
        <f ca="1">IFERROR(__xludf.DUMMYFUNCTION("""COMPUTED_VALUE"""),372)</f>
        <v>372</v>
      </c>
      <c r="L372" s="62">
        <f ca="1">IFERROR(__xludf.DUMMYFUNCTION("""COMPUTED_VALUE"""),45077)</f>
        <v>45077</v>
      </c>
      <c r="M372" s="25" t="str">
        <f ca="1">IFERROR(__xludf.DUMMYFUNCTION("""COMPUTED_VALUE"""),"Respecto al proceso de vacunas tenemos:
1. Con relación a que el gobierno avala y compra se encuentra ok dado que: se suscribió un memorando de entendimiento con el Ministerio de Salud, que abre el camino para la suscripción del contrato de compra de vacu"&amp;"nas. Se incluyó un artículo en el proyecto de ley del Plan Nacional de Desarrollo que permite a la Ministerio de Salud aprobar vigencias futuras para la compra de las vacunas, este mismo año. 
2. Con relación al privado está en proceso dado que: El proce"&amp;"so de selección del socio estratégico culmina el 31 de mayo.
3. Con relación a que alcaldía construye y dota, está en proceso dado que: En relación con la creación de BogotáBio, estamos a la espera del concepto de viabilidad por parte de la Secretaría de"&amp;" Hacienda.")</f>
        <v>Respecto al proceso de vacunas tenemos:
1. Con relación a que el gobierno avala y compra se encuentra ok dado que: se suscribió un memorando de entendimiento con el Ministerio de Salud, que abre el camino para la suscripción del contrato de compra de vacunas. Se incluyó un artículo en el proyecto de ley del Plan Nacional de Desarrollo que permite a la Ministerio de Salud aprobar vigencias futuras para la compra de las vacunas, este mismo año. 
2. Con relación al privado está en proceso dado que: El proceso de selección del socio estratégico culmina el 31 de mayo.
3. Con relación a que alcaldía construye y dota, está en proceso dado que: En relación con la creación de BogotáBio, estamos a la espera del concepto de viabilidad por parte de la Secretaría de Hacienda.</v>
      </c>
      <c r="N372" s="55">
        <f ca="1">IFERROR(__xludf.DUMMYFUNCTION("""COMPUTED_VALUE"""),45065)</f>
        <v>45065</v>
      </c>
      <c r="O372" s="25" t="str">
        <f t="shared" ca="1" si="0"/>
        <v>Secretaría Distrital de Salud</v>
      </c>
      <c r="P372" s="25" t="str">
        <f t="shared" ca="1" si="2"/>
        <v/>
      </c>
      <c r="Q372" s="25" t="str">
        <f ca="1">IFERROR(__xludf.DUMMYFUNCTION("""COMPUTED_VALUE"""),"Largo plazo")</f>
        <v>Largo plazo</v>
      </c>
      <c r="R372" s="25"/>
      <c r="S372" s="55"/>
      <c r="T372" s="56"/>
      <c r="U372" s="25"/>
      <c r="V372" s="25"/>
      <c r="W372" s="25"/>
      <c r="X372" s="25"/>
      <c r="Y372" s="25"/>
      <c r="Z372" s="25"/>
    </row>
    <row r="373" spans="1:26" ht="52.5" customHeight="1" x14ac:dyDescent="0.25">
      <c r="A373" s="25" t="str">
        <f ca="1">IFERROR(__xludf.DUMMYFUNCTION("""COMPUTED_VALUE"""),"Salud71")</f>
        <v>Salud71</v>
      </c>
      <c r="B373" s="25" t="str">
        <f ca="1">IFERROR(__xludf.DUMMYFUNCTION("""COMPUTED_VALUE"""),"Visita de obra Hospital Bosa + Entrega CAPS Tintal")</f>
        <v>Visita de obra Hospital Bosa + Entrega CAPS Tintal</v>
      </c>
      <c r="C373" s="55">
        <f ca="1">IFERROR(__xludf.DUMMYFUNCTION("""COMPUTED_VALUE"""),44942)</f>
        <v>44942</v>
      </c>
      <c r="D373" s="25" t="str">
        <f ca="1">IFERROR(__xludf.DUMMYFUNCTION("""COMPUTED_VALUE"""),"Salud")</f>
        <v>Salud</v>
      </c>
      <c r="E373" s="25" t="str">
        <f ca="1">IFERROR(__xludf.DUMMYFUNCTION("""COMPUTED_VALUE"""),"Secretaría Distrital de Salud")</f>
        <v>Secretaría Distrital de Salud</v>
      </c>
      <c r="F373" s="25" t="str">
        <f ca="1">IFERROR(__xludf.DUMMYFUNCTION("""COMPUTED_VALUE"""),"Habilitar el lote que se encuentra ubicado detrás de la subred, para que funcione como parqueadero para los usuarios")</f>
        <v>Habilitar el lote que se encuentra ubicado detrás de la subred, para que funcione como parqueadero para los usuarios</v>
      </c>
      <c r="G373" s="25" t="str">
        <f ca="1">IFERROR(__xludf.DUMMYFUNCTION("""COMPUTED_VALUE"""),"08. Kennedy")</f>
        <v>08. Kennedy</v>
      </c>
      <c r="H373" s="55">
        <f ca="1">IFERROR(__xludf.DUMMYFUNCTION("""COMPUTED_VALUE"""),44985)</f>
        <v>44985</v>
      </c>
      <c r="I373" s="25" t="str">
        <f ca="1">IFERROR(__xludf.DUMMYFUNCTION("""COMPUTED_VALUE"""),"Secretaría Privada")</f>
        <v>Secretaría Privada</v>
      </c>
      <c r="J373" s="55" t="str">
        <f ca="1">IFERROR(__xludf.DUMMYFUNCTION("""COMPUTED_VALUE"""),"Alta")</f>
        <v>Alta</v>
      </c>
      <c r="K373" s="25">
        <f ca="1">IFERROR(__xludf.DUMMYFUNCTION("""COMPUTED_VALUE"""),43)</f>
        <v>43</v>
      </c>
      <c r="L373" s="62">
        <f ca="1">IFERROR(__xludf.DUMMYFUNCTION("""COMPUTED_VALUE"""),45061)</f>
        <v>45061</v>
      </c>
      <c r="M373" s="25" t="str">
        <f ca="1">IFERROR(__xludf.DUMMYFUNCTION("""COMPUTED_VALUE"""),"El secretario de salud le comentó a la alcaldesa mayor que no es posible la construcción del parqueadero ya que sobre ese lote tenían definido el proyecto para una unidad asistencial de psiquiatría pediátrica que complementará el complejo que hoy ya se ti"&amp;"ene del hospital pediátrico Patio Bonito Tintal y el centro de salud de Tintal. Están adelantando el proceso de inscripción del proyecto en el plan bienal. ")</f>
        <v xml:space="preserve">El secretario de salud le comentó a la alcaldesa mayor que no es posible la construcción del parqueadero ya que sobre ese lote tenían definido el proyecto para una unidad asistencial de psiquiatría pediátrica que complementará el complejo que hoy ya se tiene del hospital pediátrico Patio Bonito Tintal y el centro de salud de Tintal. Están adelantando el proceso de inscripción del proyecto en el plan bienal. </v>
      </c>
      <c r="N373" s="55">
        <f ca="1">IFERROR(__xludf.DUMMYFUNCTION("""COMPUTED_VALUE"""),45064)</f>
        <v>45064</v>
      </c>
      <c r="O373" s="25" t="str">
        <f t="shared" ca="1" si="0"/>
        <v>Secretaría Distrital de Salud</v>
      </c>
      <c r="P373" s="25" t="str">
        <f t="shared" ca="1" si="2"/>
        <v/>
      </c>
      <c r="Q373" s="25" t="str">
        <f ca="1">IFERROR(__xludf.DUMMYFUNCTION("""COMPUTED_VALUE"""),"Corto plazo")</f>
        <v>Corto plazo</v>
      </c>
      <c r="R373" s="25"/>
      <c r="S373" s="55"/>
      <c r="T373" s="56"/>
      <c r="U373" s="25"/>
      <c r="V373" s="25"/>
      <c r="W373" s="25"/>
      <c r="X373" s="25"/>
      <c r="Y373" s="25"/>
      <c r="Z373" s="25"/>
    </row>
    <row r="374" spans="1:26" ht="52.5" customHeight="1" x14ac:dyDescent="0.25">
      <c r="A374" s="25" t="str">
        <f ca="1">IFERROR(__xludf.DUMMYFUNCTION("""COMPUTED_VALUE"""),"Salud72")</f>
        <v>Salud72</v>
      </c>
      <c r="B374" s="25" t="str">
        <f ca="1">IFERROR(__xludf.DUMMYFUNCTION("""COMPUTED_VALUE"""),"Visita de obra Hospital Bosa + Entrega CAPS Tintal")</f>
        <v>Visita de obra Hospital Bosa + Entrega CAPS Tintal</v>
      </c>
      <c r="C374" s="55">
        <f ca="1">IFERROR(__xludf.DUMMYFUNCTION("""COMPUTED_VALUE"""),44942)</f>
        <v>44942</v>
      </c>
      <c r="D374" s="25" t="str">
        <f ca="1">IFERROR(__xludf.DUMMYFUNCTION("""COMPUTED_VALUE"""),"Salud")</f>
        <v>Salud</v>
      </c>
      <c r="E374" s="25" t="str">
        <f ca="1">IFERROR(__xludf.DUMMYFUNCTION("""COMPUTED_VALUE"""),"Secretaría Distrital de Salud")</f>
        <v>Secretaría Distrital de Salud</v>
      </c>
      <c r="F374" s="25" t="str">
        <f ca="1">IFERROR(__xludf.DUMMYFUNCTION("""COMPUTED_VALUE"""),"Confirmar que la dotación importada del hospital de bosa si se haya solicitado")</f>
        <v>Confirmar que la dotación importada del hospital de bosa si se haya solicitado</v>
      </c>
      <c r="G374" s="25" t="str">
        <f ca="1">IFERROR(__xludf.DUMMYFUNCTION("""COMPUTED_VALUE"""),"07. Bosa")</f>
        <v>07. Bosa</v>
      </c>
      <c r="H374" s="55">
        <f ca="1">IFERROR(__xludf.DUMMYFUNCTION("""COMPUTED_VALUE"""),44965)</f>
        <v>44965</v>
      </c>
      <c r="I374" s="25"/>
      <c r="J374" s="55" t="str">
        <f ca="1">IFERROR(__xludf.DUMMYFUNCTION("""COMPUTED_VALUE"""),"Alta")</f>
        <v>Alta</v>
      </c>
      <c r="K374" s="25">
        <f ca="1">IFERROR(__xludf.DUMMYFUNCTION("""COMPUTED_VALUE"""),23)</f>
        <v>23</v>
      </c>
      <c r="L374" s="62">
        <f ca="1">IFERROR(__xludf.DUMMYFUNCTION("""COMPUTED_VALUE"""),45016)</f>
        <v>45016</v>
      </c>
      <c r="M374" s="25" t="str">
        <f ca="1">IFERROR(__xludf.DUMMYFUNCTION("""COMPUTED_VALUE"""),"Al miércoles 15 de febrero ya está la totalidad de estos equipos comprados que estaban en bodega cerca del 20% del equipamiento; en los próximos 4 meses se terminará de recibir el resto, los primeros días de julio cuando esté la energía definitiva por par"&amp;"te de ENEL se comienza la instalación y puesta en funcionamiento del equipamiento mayor.")</f>
        <v>Al miércoles 15 de febrero ya está la totalidad de estos equipos comprados que estaban en bodega cerca del 20% del equipamiento; en los próximos 4 meses se terminará de recibir el resto, los primeros días de julio cuando esté la energía definitiva por parte de ENEL se comienza la instalación y puesta en funcionamiento del equipamiento mayor.</v>
      </c>
      <c r="N374" s="55">
        <f ca="1">IFERROR(__xludf.DUMMYFUNCTION("""COMPUTED_VALUE"""),45026)</f>
        <v>45026</v>
      </c>
      <c r="O374" s="25" t="str">
        <f t="shared" ca="1" si="0"/>
        <v>Secretaría Distrital de Salud</v>
      </c>
      <c r="P374" s="25" t="str">
        <f t="shared" si="2"/>
        <v/>
      </c>
      <c r="Q374" s="25" t="str">
        <f ca="1">IFERROR(__xludf.DUMMYFUNCTION("""COMPUTED_VALUE"""),"Corto plazo")</f>
        <v>Corto plazo</v>
      </c>
      <c r="R374" s="25"/>
      <c r="S374" s="55"/>
      <c r="T374" s="56"/>
      <c r="U374" s="25"/>
      <c r="V374" s="25"/>
      <c r="W374" s="25"/>
      <c r="X374" s="25"/>
      <c r="Y374" s="25"/>
      <c r="Z374" s="25"/>
    </row>
    <row r="375" spans="1:26" ht="52.5" customHeight="1" x14ac:dyDescent="0.25">
      <c r="A375" s="25" t="str">
        <f ca="1">IFERROR(__xludf.DUMMYFUNCTION("""COMPUTED_VALUE"""),"Salud73")</f>
        <v>Salud73</v>
      </c>
      <c r="B375" s="25" t="str">
        <f ca="1">IFERROR(__xludf.DUMMYFUNCTION("""COMPUTED_VALUE"""),"Consejo de Gobierno")</f>
        <v>Consejo de Gobierno</v>
      </c>
      <c r="C375" s="55">
        <f ca="1">IFERROR(__xludf.DUMMYFUNCTION("""COMPUTED_VALUE"""),44956)</f>
        <v>44956</v>
      </c>
      <c r="D375" s="55" t="str">
        <f ca="1">IFERROR(__xludf.DUMMYFUNCTION("""COMPUTED_VALUE"""),"Salud")</f>
        <v>Salud</v>
      </c>
      <c r="E375" s="25" t="str">
        <f ca="1">IFERROR(__xludf.DUMMYFUNCTION("""COMPUTED_VALUE"""),"Secretaría Distrital de Salud")</f>
        <v>Secretaría Distrital de Salud</v>
      </c>
      <c r="F375" s="25" t="str">
        <f ca="1">IFERROR(__xludf.DUMMYFUNCTION("""COMPUTED_VALUE"""),"Realizar un libro o una publicación sobre lo que se hizo en la administración sobre las acciones realizadas por toda la adminsitación durante la pandemia")</f>
        <v>Realizar un libro o una publicación sobre lo que se hizo en la administración sobre las acciones realizadas por toda la adminsitación durante la pandemia</v>
      </c>
      <c r="G375" s="25" t="str">
        <f ca="1">IFERROR(__xludf.DUMMYFUNCTION("""COMPUTED_VALUE"""),"99. Distrito")</f>
        <v>99. Distrito</v>
      </c>
      <c r="H375" s="55">
        <f ca="1">IFERROR(__xludf.DUMMYFUNCTION("""COMPUTED_VALUE"""),45184)</f>
        <v>45184</v>
      </c>
      <c r="I375" s="25" t="str">
        <f ca="1">IFERROR(__xludf.DUMMYFUNCTION("""COMPUTED_VALUE"""),"Delivery Unit")</f>
        <v>Delivery Unit</v>
      </c>
      <c r="J375" s="55" t="str">
        <f ca="1">IFERROR(__xludf.DUMMYFUNCTION("""COMPUTED_VALUE"""),"Alta")</f>
        <v>Alta</v>
      </c>
      <c r="K375" s="25">
        <f ca="1">IFERROR(__xludf.DUMMYFUNCTION("""COMPUTED_VALUE"""),228)</f>
        <v>228</v>
      </c>
      <c r="L375" s="62">
        <f ca="1">IFERROR(__xludf.DUMMYFUNCTION("""COMPUTED_VALUE"""),45077)</f>
        <v>45077</v>
      </c>
      <c r="M375" s="25" t="str">
        <f ca="1">IFERROR(__xludf.DUMMYFUNCTION("""COMPUTED_VALUE"""),"En revisión y construcción de la oficina de comunicaciones de la SDS.")</f>
        <v>En revisión y construcción de la oficina de comunicaciones de la SDS.</v>
      </c>
      <c r="N375" s="25"/>
      <c r="O375" s="25" t="str">
        <f t="shared" ca="1" si="0"/>
        <v>Secretaría Distrital de Salud</v>
      </c>
      <c r="P375" s="25" t="str">
        <f t="shared" ca="1" si="2"/>
        <v/>
      </c>
      <c r="Q375" s="25" t="str">
        <f ca="1">IFERROR(__xludf.DUMMYFUNCTION("""COMPUTED_VALUE"""),"Largo plazo")</f>
        <v>Largo plazo</v>
      </c>
      <c r="R375" s="25"/>
      <c r="S375" s="55"/>
      <c r="T375" s="56"/>
      <c r="U375" s="25"/>
      <c r="V375" s="25"/>
      <c r="W375" s="25"/>
      <c r="X375" s="25"/>
      <c r="Y375" s="25"/>
      <c r="Z375" s="25"/>
    </row>
    <row r="376" spans="1:26" ht="52.5" customHeight="1" x14ac:dyDescent="0.25">
      <c r="A376" s="25" t="str">
        <f ca="1">IFERROR(__xludf.DUMMYFUNCTION("""COMPUTED_VALUE"""),"Salud74")</f>
        <v>Salud74</v>
      </c>
      <c r="B376" s="25" t="str">
        <f ca="1">IFERROR(__xludf.DUMMYFUNCTION("""COMPUTED_VALUE"""),"Comité APP")</f>
        <v>Comité APP</v>
      </c>
      <c r="C376" s="55">
        <f ca="1">IFERROR(__xludf.DUMMYFUNCTION("""COMPUTED_VALUE"""),44958)</f>
        <v>44958</v>
      </c>
      <c r="D376" s="25" t="str">
        <f ca="1">IFERROR(__xludf.DUMMYFUNCTION("""COMPUTED_VALUE"""),"Salud")</f>
        <v>Salud</v>
      </c>
      <c r="E376" s="25" t="str">
        <f ca="1">IFERROR(__xludf.DUMMYFUNCTION("""COMPUTED_VALUE"""),"Secretaría Distrital de Salud")</f>
        <v>Secretaría Distrital de Salud</v>
      </c>
      <c r="F376" s="25" t="str">
        <f ca="1">IFERROR(__xludf.DUMMYFUNCTION("""COMPUTED_VALUE"""),"Se debe avanzar con las aprobaciones para el proyecto del hospital de Engativá, teniendo como opciones las vigencias futuras y la eventual liberación de recursos si se logra liquidar el contrato del San Juan de Dios")</f>
        <v>Se debe avanzar con las aprobaciones para el proyecto del hospital de Engativá, teniendo como opciones las vigencias futuras y la eventual liberación de recursos si se logra liquidar el contrato del San Juan de Dios</v>
      </c>
      <c r="G376" s="25" t="str">
        <f ca="1">IFERROR(__xludf.DUMMYFUNCTION("""COMPUTED_VALUE"""),"10. Engativá")</f>
        <v>10. Engativá</v>
      </c>
      <c r="H376" s="55">
        <f ca="1">IFERROR(__xludf.DUMMYFUNCTION("""COMPUTED_VALUE"""),45092)</f>
        <v>45092</v>
      </c>
      <c r="I376" s="25" t="str">
        <f ca="1">IFERROR(__xludf.DUMMYFUNCTION("""COMPUTED_VALUE"""),"Junta de Infraestructura")</f>
        <v>Junta de Infraestructura</v>
      </c>
      <c r="J376" s="55" t="str">
        <f ca="1">IFERROR(__xludf.DUMMYFUNCTION("""COMPUTED_VALUE"""),"Media")</f>
        <v>Media</v>
      </c>
      <c r="K376" s="25">
        <f ca="1">IFERROR(__xludf.DUMMYFUNCTION("""COMPUTED_VALUE"""),134)</f>
        <v>134</v>
      </c>
      <c r="L376" s="62">
        <f ca="1">IFERROR(__xludf.DUMMYFUNCTION("""COMPUTED_VALUE"""),45046)</f>
        <v>45046</v>
      </c>
      <c r="M376" s="25" t="str">
        <f ca="1">IFERROR(__xludf.DUMMYFUNCTION("""COMPUTED_VALUE"""),"Actualmente el proyecto del Hospital de Engativa, cuenta con Recurso de Vigencias futuras Sobre este en particular en la última reunión de Junta de Infraestructura quedó informado que el convenio 1201-2018 del Hospital de San Juan no se puede liquidar par"&amp;"a poder usar esas VF ya que el contrato está vigente y se está a la espera de que el Ministerio de cultura se pronuncie.")</f>
        <v>Actualmente el proyecto del Hospital de Engativa, cuenta con Recurso de Vigencias futuras Sobre este en particular en la última reunión de Junta de Infraestructura quedó informado que el convenio 1201-2018 del Hospital de San Juan no se puede liquidar para poder usar esas VF ya que el contrato está vigente y se está a la espera de que el Ministerio de cultura se pronuncie.</v>
      </c>
      <c r="N376" s="55">
        <f ca="1">IFERROR(__xludf.DUMMYFUNCTION("""COMPUTED_VALUE"""),45033)</f>
        <v>45033</v>
      </c>
      <c r="O376" s="25" t="str">
        <f t="shared" ca="1" si="0"/>
        <v>Secretaría Distrital de Salud</v>
      </c>
      <c r="P376" s="25" t="str">
        <f t="shared" ca="1" si="2"/>
        <v/>
      </c>
      <c r="Q376" s="25" t="str">
        <f ca="1">IFERROR(__xludf.DUMMYFUNCTION("""COMPUTED_VALUE"""),"Mediano plazo")</f>
        <v>Mediano plazo</v>
      </c>
      <c r="R376" s="25"/>
      <c r="S376" s="55"/>
      <c r="T376" s="56"/>
      <c r="U376" s="25"/>
      <c r="V376" s="25"/>
      <c r="W376" s="25"/>
      <c r="X376" s="25"/>
      <c r="Y376" s="25"/>
      <c r="Z376" s="25"/>
    </row>
    <row r="377" spans="1:26" ht="52.5" customHeight="1" x14ac:dyDescent="0.25">
      <c r="A377" s="25" t="str">
        <f ca="1">IFERROR(__xludf.DUMMYFUNCTION("""COMPUTED_VALUE"""),"Salud75")</f>
        <v>Salud75</v>
      </c>
      <c r="B377" s="25" t="str">
        <f ca="1">IFERROR(__xludf.DUMMYFUNCTION("""COMPUTED_VALUE"""),"Junta infraestructura")</f>
        <v>Junta infraestructura</v>
      </c>
      <c r="C377" s="55">
        <f ca="1">IFERROR(__xludf.DUMMYFUNCTION("""COMPUTED_VALUE"""),44970)</f>
        <v>44970</v>
      </c>
      <c r="D377" s="25" t="str">
        <f ca="1">IFERROR(__xludf.DUMMYFUNCTION("""COMPUTED_VALUE"""),"Salud")</f>
        <v>Salud</v>
      </c>
      <c r="E377" s="25" t="str">
        <f ca="1">IFERROR(__xludf.DUMMYFUNCTION("""COMPUTED_VALUE"""),"Secretaría Distrital de Salud")</f>
        <v>Secretaría Distrital de Salud</v>
      </c>
      <c r="F377" s="25" t="str">
        <f ca="1">IFERROR(__xludf.DUMMYFUNCTION("""COMPUTED_VALUE"""),"La fecha de prórroga para el hospital de Usme debe garantizar la dotación antes del 1 de diciembre de 2023.")</f>
        <v>La fecha de prórroga para el hospital de Usme debe garantizar la dotación antes del 1 de diciembre de 2023.</v>
      </c>
      <c r="G377" s="25" t="str">
        <f ca="1">IFERROR(__xludf.DUMMYFUNCTION("""COMPUTED_VALUE"""),"05. Usme")</f>
        <v>05. Usme</v>
      </c>
      <c r="H377" s="55">
        <f ca="1">IFERROR(__xludf.DUMMYFUNCTION("""COMPUTED_VALUE"""),44998)</f>
        <v>44998</v>
      </c>
      <c r="I377" s="25"/>
      <c r="J377" s="55" t="str">
        <f ca="1">IFERROR(__xludf.DUMMYFUNCTION("""COMPUTED_VALUE"""),"Alta")</f>
        <v>Alta</v>
      </c>
      <c r="K377" s="25">
        <f ca="1">IFERROR(__xludf.DUMMYFUNCTION("""COMPUTED_VALUE"""),28)</f>
        <v>28</v>
      </c>
      <c r="L377" s="62">
        <f ca="1">IFERROR(__xludf.DUMMYFUNCTION("""COMPUTED_VALUE"""),45016)</f>
        <v>45016</v>
      </c>
      <c r="M377" s="25" t="str">
        <f ca="1">IFERROR(__xludf.DUMMYFUNCTION("""COMPUTED_VALUE"""),"Sobre la dotación del Hospital de Usme se manifiesta que el contrato es llave en mano, ya esta aprobado, una parte comprada y en obra, otra en exportación y otra en solicitud. La cual estará lista el 31 de octubre fecha en la cual se entrega el proyecto d"&amp;"e acuerdo con la solicitud de prórroga que se está tramitando en la SDS.")</f>
        <v>Sobre la dotación del Hospital de Usme se manifiesta que el contrato es llave en mano, ya esta aprobado, una parte comprada y en obra, otra en exportación y otra en solicitud. La cual estará lista el 31 de octubre fecha en la cual se entrega el proyecto de acuerdo con la solicitud de prórroga que se está tramitando en la SDS.</v>
      </c>
      <c r="N377" s="55">
        <f ca="1">IFERROR(__xludf.DUMMYFUNCTION("""COMPUTED_VALUE"""),45026)</f>
        <v>45026</v>
      </c>
      <c r="O377" s="25" t="str">
        <f t="shared" ca="1" si="0"/>
        <v>Secretaría Distrital de Salud</v>
      </c>
      <c r="P377" s="25" t="str">
        <f t="shared" si="2"/>
        <v/>
      </c>
      <c r="Q377" s="25" t="str">
        <f ca="1">IFERROR(__xludf.DUMMYFUNCTION("""COMPUTED_VALUE"""),"Corto plazo")</f>
        <v>Corto plazo</v>
      </c>
      <c r="R377" s="25"/>
      <c r="S377" s="55"/>
      <c r="T377" s="56"/>
      <c r="U377" s="25"/>
      <c r="V377" s="25"/>
      <c r="W377" s="25"/>
      <c r="X377" s="25"/>
      <c r="Y377" s="25"/>
      <c r="Z377" s="25"/>
    </row>
    <row r="378" spans="1:26" ht="52.5" customHeight="1" x14ac:dyDescent="0.25">
      <c r="A378" s="25" t="str">
        <f ca="1">IFERROR(__xludf.DUMMYFUNCTION("""COMPUTED_VALUE"""),"Salud76")</f>
        <v>Salud76</v>
      </c>
      <c r="B378" s="25" t="str">
        <f ca="1">IFERROR(__xludf.DUMMYFUNCTION("""COMPUTED_VALUE"""),"Recorrido Tunjuelito")</f>
        <v>Recorrido Tunjuelito</v>
      </c>
      <c r="C378" s="55">
        <f ca="1">IFERROR(__xludf.DUMMYFUNCTION("""COMPUTED_VALUE"""),44992)</f>
        <v>44992</v>
      </c>
      <c r="D378" s="25" t="str">
        <f ca="1">IFERROR(__xludf.DUMMYFUNCTION("""COMPUTED_VALUE"""),"Salud")</f>
        <v>Salud</v>
      </c>
      <c r="E378" s="25" t="str">
        <f ca="1">IFERROR(__xludf.DUMMYFUNCTION("""COMPUTED_VALUE"""),"Secretaría Distrital de Salud")</f>
        <v>Secretaría Distrital de Salud</v>
      </c>
      <c r="F378" s="25" t="str">
        <f ca="1">IFERROR(__xludf.DUMMYFUNCTION("""COMPUTED_VALUE"""),"Terminación en mayo 31 de 2023 de las obras de construcción del centro de salud el Tunal.")</f>
        <v>Terminación en mayo 31 de 2023 de las obras de construcción del centro de salud el Tunal.</v>
      </c>
      <c r="G378" s="25" t="str">
        <f ca="1">IFERROR(__xludf.DUMMYFUNCTION("""COMPUTED_VALUE"""),"06. Tunjuelito")</f>
        <v>06. Tunjuelito</v>
      </c>
      <c r="H378" s="55">
        <f ca="1">IFERROR(__xludf.DUMMYFUNCTION("""COMPUTED_VALUE"""),45077)</f>
        <v>45077</v>
      </c>
      <c r="I378" s="25" t="str">
        <f ca="1">IFERROR(__xludf.DUMMYFUNCTION("""COMPUTED_VALUE"""),"Secretaría Privada")</f>
        <v>Secretaría Privada</v>
      </c>
      <c r="J378" s="55" t="str">
        <f ca="1">IFERROR(__xludf.DUMMYFUNCTION("""COMPUTED_VALUE"""),"Media")</f>
        <v>Media</v>
      </c>
      <c r="K378" s="25">
        <f ca="1">IFERROR(__xludf.DUMMYFUNCTION("""COMPUTED_VALUE"""),85)</f>
        <v>85</v>
      </c>
      <c r="L378" s="62">
        <f ca="1">IFERROR(__xludf.DUMMYFUNCTION("""COMPUTED_VALUE"""),45077)</f>
        <v>45077</v>
      </c>
      <c r="M378" s="25" t="str">
        <f ca="1">IFERROR(__xludf.DUMMYFUNCTION("""COMPUTED_VALUE"""),"Se realizó reprogramación de obra. A la fecha seguimos con un avance de 92%, se prorrogó el Contrato de obra por un mes, se tiene como nueva fecha de entrega de la obra el 30/06/2023. 
")</f>
        <v xml:space="preserve">Se realizó reprogramación de obra. A la fecha seguimos con un avance de 92%, se prorrogó el Contrato de obra por un mes, se tiene como nueva fecha de entrega de la obra el 30/06/2023. 
</v>
      </c>
      <c r="N378" s="25"/>
      <c r="O378" s="25" t="str">
        <f t="shared" ca="1" si="0"/>
        <v>Secretaría Distrital de Salud</v>
      </c>
      <c r="P378" s="25" t="str">
        <f t="shared" ca="1" si="2"/>
        <v/>
      </c>
      <c r="Q378" s="25" t="str">
        <f ca="1">IFERROR(__xludf.DUMMYFUNCTION("""COMPUTED_VALUE"""),"Mediano plazo")</f>
        <v>Mediano plazo</v>
      </c>
      <c r="R378" s="25"/>
      <c r="S378" s="55"/>
      <c r="T378" s="56"/>
      <c r="U378" s="25"/>
      <c r="V378" s="25"/>
      <c r="W378" s="25"/>
      <c r="X378" s="25"/>
      <c r="Y378" s="25"/>
      <c r="Z378" s="25"/>
    </row>
    <row r="379" spans="1:26" ht="52.5" customHeight="1" x14ac:dyDescent="0.25">
      <c r="A379" s="25" t="str">
        <f ca="1">IFERROR(__xludf.DUMMYFUNCTION("""COMPUTED_VALUE"""),"Salud77")</f>
        <v>Salud77</v>
      </c>
      <c r="B379" s="25" t="str">
        <f ca="1">IFERROR(__xludf.DUMMYFUNCTION("""COMPUTED_VALUE"""),"Recorrido Tunjuelito")</f>
        <v>Recorrido Tunjuelito</v>
      </c>
      <c r="C379" s="55">
        <f ca="1">IFERROR(__xludf.DUMMYFUNCTION("""COMPUTED_VALUE"""),44992)</f>
        <v>44992</v>
      </c>
      <c r="D379" s="25" t="str">
        <f ca="1">IFERROR(__xludf.DUMMYFUNCTION("""COMPUTED_VALUE"""),"Salud")</f>
        <v>Salud</v>
      </c>
      <c r="E379" s="25" t="str">
        <f ca="1">IFERROR(__xludf.DUMMYFUNCTION("""COMPUTED_VALUE"""),"Secretaría Distrital de Salud")</f>
        <v>Secretaría Distrital de Salud</v>
      </c>
      <c r="F379" s="25" t="str">
        <f ca="1">IFERROR(__xludf.DUMMYFUNCTION("""COMPUTED_VALUE"""),"Inicio de labores de funcionamiento del Centro de salud Tunal para la atención de comunidad en la primera semana de junio.")</f>
        <v>Inicio de labores de funcionamiento del Centro de salud Tunal para la atención de comunidad en la primera semana de junio.</v>
      </c>
      <c r="G379" s="25" t="str">
        <f ca="1">IFERROR(__xludf.DUMMYFUNCTION("""COMPUTED_VALUE"""),"06. Tunjuelito")</f>
        <v>06. Tunjuelito</v>
      </c>
      <c r="H379" s="55">
        <f ca="1">IFERROR(__xludf.DUMMYFUNCTION("""COMPUTED_VALUE"""),45087)</f>
        <v>45087</v>
      </c>
      <c r="I379" s="25" t="str">
        <f ca="1">IFERROR(__xludf.DUMMYFUNCTION("""COMPUTED_VALUE"""),"Secretaría Privada")</f>
        <v>Secretaría Privada</v>
      </c>
      <c r="J379" s="55" t="str">
        <f ca="1">IFERROR(__xludf.DUMMYFUNCTION("""COMPUTED_VALUE"""),"Media")</f>
        <v>Media</v>
      </c>
      <c r="K379" s="25">
        <f ca="1">IFERROR(__xludf.DUMMYFUNCTION("""COMPUTED_VALUE"""),95)</f>
        <v>95</v>
      </c>
      <c r="L379" s="62">
        <f ca="1">IFERROR(__xludf.DUMMYFUNCTION("""COMPUTED_VALUE"""),45077)</f>
        <v>45077</v>
      </c>
      <c r="M379" s="25" t="str">
        <f ca="1">IFERROR(__xludf.DUMMYFUNCTION("""COMPUTED_VALUE"""),"A la fecha seguimos con un avance de 92%, se prorrogó el Contrato de obra por un mes, se tiene como nueva fecha de entrega de la obra el 30/06/2023.
")</f>
        <v xml:space="preserve">A la fecha seguimos con un avance de 92%, se prorrogó el Contrato de obra por un mes, se tiene como nueva fecha de entrega de la obra el 30/06/2023.
</v>
      </c>
      <c r="N379" s="25"/>
      <c r="O379" s="25" t="str">
        <f t="shared" ca="1" si="0"/>
        <v>Secretaría Distrital de Salud</v>
      </c>
      <c r="P379" s="25" t="str">
        <f t="shared" ca="1" si="2"/>
        <v/>
      </c>
      <c r="Q379" s="25" t="str">
        <f ca="1">IFERROR(__xludf.DUMMYFUNCTION("""COMPUTED_VALUE"""),"Mediano plazo")</f>
        <v>Mediano plazo</v>
      </c>
      <c r="R379" s="25"/>
      <c r="S379" s="55"/>
      <c r="T379" s="56"/>
      <c r="U379" s="25"/>
      <c r="V379" s="25"/>
      <c r="W379" s="25"/>
      <c r="X379" s="25"/>
      <c r="Y379" s="25"/>
      <c r="Z379" s="25"/>
    </row>
    <row r="380" spans="1:26" ht="52.5" customHeight="1" x14ac:dyDescent="0.25">
      <c r="A380" s="25" t="str">
        <f ca="1">IFERROR(__xludf.DUMMYFUNCTION("""COMPUTED_VALUE"""),"Salud78")</f>
        <v>Salud78</v>
      </c>
      <c r="B380" s="25" t="str">
        <f ca="1">IFERROR(__xludf.DUMMYFUNCTION("""COMPUTED_VALUE"""),"Recorrido Tunjuelito")</f>
        <v>Recorrido Tunjuelito</v>
      </c>
      <c r="C380" s="55">
        <f ca="1">IFERROR(__xludf.DUMMYFUNCTION("""COMPUTED_VALUE"""),44992)</f>
        <v>44992</v>
      </c>
      <c r="D380" s="25" t="str">
        <f ca="1">IFERROR(__xludf.DUMMYFUNCTION("""COMPUTED_VALUE"""),"Salud")</f>
        <v>Salud</v>
      </c>
      <c r="E380" s="25" t="str">
        <f ca="1">IFERROR(__xludf.DUMMYFUNCTION("""COMPUTED_VALUE"""),"Secretaría Distrital de Salud")</f>
        <v>Secretaría Distrital de Salud</v>
      </c>
      <c r="F380" s="25" t="str">
        <f ca="1">IFERROR(__xludf.DUMMYFUNCTION("""COMPUTED_VALUE"""),"Brindar reporte a la Alcaldesa Mayor sobre CAPS en Bogotá: sitios de construcción, indicadores de porcentaje de avance de obra y fechas de terminación.")</f>
        <v>Brindar reporte a la Alcaldesa Mayor sobre CAPS en Bogotá: sitios de construcción, indicadores de porcentaje de avance de obra y fechas de terminación.</v>
      </c>
      <c r="G380" s="25" t="str">
        <f ca="1">IFERROR(__xludf.DUMMYFUNCTION("""COMPUTED_VALUE"""),"06. Tunjuelito")</f>
        <v>06. Tunjuelito</v>
      </c>
      <c r="H380" s="55">
        <f ca="1">IFERROR(__xludf.DUMMYFUNCTION("""COMPUTED_VALUE"""),45005)</f>
        <v>45005</v>
      </c>
      <c r="I380" s="25" t="str">
        <f ca="1">IFERROR(__xludf.DUMMYFUNCTION("""COMPUTED_VALUE"""),"Secretaría Privada")</f>
        <v>Secretaría Privada</v>
      </c>
      <c r="J380" s="55" t="str">
        <f ca="1">IFERROR(__xludf.DUMMYFUNCTION("""COMPUTED_VALUE"""),"Alta")</f>
        <v>Alta</v>
      </c>
      <c r="K380" s="25">
        <f ca="1">IFERROR(__xludf.DUMMYFUNCTION("""COMPUTED_VALUE"""),13)</f>
        <v>13</v>
      </c>
      <c r="L380" s="62">
        <f ca="1">IFERROR(__xludf.DUMMYFUNCTION("""COMPUTED_VALUE"""),45077)</f>
        <v>45077</v>
      </c>
      <c r="M380" s="25" t="str">
        <f ca="1">IFERROR(__xludf.DUMMYFUNCTION("""COMPUTED_VALUE"""),"Centro de Salud Verbenal Fecha de entrega: 18 de Julio 2023 Avance: 86,00% 
Centro de Salud Altamira Entregado mayo 2023 Avance 100% 
Centro de Salud Mexicana Junio 5 de 2023 Avance 100% 
Centro de Salud Tunal Junio de 2023 Avance 92% 
Centro de Salud"&amp;" Danubio Junio 2023 (Se proyecta prorroga de 1.5 meses) Avance 91,08% ")</f>
        <v xml:space="preserve">Centro de Salud Verbenal Fecha de entrega: 18 de Julio 2023 Avance: 86,00% 
Centro de Salud Altamira Entregado mayo 2023 Avance 100% 
Centro de Salud Mexicana Junio 5 de 2023 Avance 100% 
Centro de Salud Tunal Junio de 2023 Avance 92% 
Centro de Salud Danubio Junio 2023 (Se proyecta prorroga de 1.5 meses) Avance 91,08% </v>
      </c>
      <c r="N380" s="25"/>
      <c r="O380" s="25" t="str">
        <f t="shared" ca="1" si="0"/>
        <v>Secretaría Distrital de Salud</v>
      </c>
      <c r="P380" s="25" t="str">
        <f t="shared" ca="1" si="2"/>
        <v/>
      </c>
      <c r="Q380" s="25" t="str">
        <f ca="1">IFERROR(__xludf.DUMMYFUNCTION("""COMPUTED_VALUE"""),"Corto plazo")</f>
        <v>Corto plazo</v>
      </c>
      <c r="R380" s="25"/>
      <c r="S380" s="55"/>
      <c r="T380" s="56"/>
      <c r="U380" s="25"/>
      <c r="V380" s="25"/>
      <c r="W380" s="25"/>
      <c r="X380" s="25"/>
      <c r="Y380" s="25"/>
      <c r="Z380" s="25"/>
    </row>
    <row r="381" spans="1:26" ht="52.5" customHeight="1" x14ac:dyDescent="0.25">
      <c r="A381" s="25" t="str">
        <f ca="1">IFERROR(__xludf.DUMMYFUNCTION("""COMPUTED_VALUE"""),"Salud79")</f>
        <v>Salud79</v>
      </c>
      <c r="B381" s="25" t="str">
        <f ca="1">IFERROR(__xludf.DUMMYFUNCTION("""COMPUTED_VALUE"""),"Recorrido Tunjuelito")</f>
        <v>Recorrido Tunjuelito</v>
      </c>
      <c r="C381" s="55">
        <f ca="1">IFERROR(__xludf.DUMMYFUNCTION("""COMPUTED_VALUE"""),44992)</f>
        <v>44992</v>
      </c>
      <c r="D381" s="25" t="str">
        <f ca="1">IFERROR(__xludf.DUMMYFUNCTION("""COMPUTED_VALUE"""),"Salud")</f>
        <v>Salud</v>
      </c>
      <c r="E381" s="25" t="str">
        <f ca="1">IFERROR(__xludf.DUMMYFUNCTION("""COMPUTED_VALUE"""),"Secretaría Distrital de Salud")</f>
        <v>Secretaría Distrital de Salud</v>
      </c>
      <c r="F381" s="25" t="str">
        <f ca="1">IFERROR(__xludf.DUMMYFUNCTION("""COMPUTED_VALUE"""),"Inicio de labores de funcionamiento del nuevo hospital de Usme para la atención de comunidad en la última semana de noviembre.")</f>
        <v>Inicio de labores de funcionamiento del nuevo hospital de Usme para la atención de comunidad en la última semana de noviembre.</v>
      </c>
      <c r="G381" s="25" t="str">
        <f ca="1">IFERROR(__xludf.DUMMYFUNCTION("""COMPUTED_VALUE"""),"06. Tunjuelito")</f>
        <v>06. Tunjuelito</v>
      </c>
      <c r="H381" s="55">
        <f ca="1">IFERROR(__xludf.DUMMYFUNCTION("""COMPUTED_VALUE"""),45260)</f>
        <v>45260</v>
      </c>
      <c r="I381" s="25" t="str">
        <f ca="1">IFERROR(__xludf.DUMMYFUNCTION("""COMPUTED_VALUE"""),"Secretaría Privada")</f>
        <v>Secretaría Privada</v>
      </c>
      <c r="J381" s="55" t="str">
        <f ca="1">IFERROR(__xludf.DUMMYFUNCTION("""COMPUTED_VALUE"""),"Baja")</f>
        <v>Baja</v>
      </c>
      <c r="K381" s="25">
        <f ca="1">IFERROR(__xludf.DUMMYFUNCTION("""COMPUTED_VALUE"""),268)</f>
        <v>268</v>
      </c>
      <c r="L381" s="62">
        <f ca="1">IFERROR(__xludf.DUMMYFUNCTION("""COMPUTED_VALUE"""),45077)</f>
        <v>45077</v>
      </c>
      <c r="M381" s="25" t="str">
        <f ca="1">IFERROR(__xludf.DUMMYFUNCTION("""COMPUTED_VALUE"""),"66% de avance de obra. 
Se mantiene la fecha de entrada en funcionamiento la última semana de noviembre ")</f>
        <v xml:space="preserve">66% de avance de obra. 
Se mantiene la fecha de entrada en funcionamiento la última semana de noviembre </v>
      </c>
      <c r="N381" s="25"/>
      <c r="O381" s="25" t="str">
        <f t="shared" ca="1" si="0"/>
        <v>Secretaría Distrital de Salud</v>
      </c>
      <c r="P381" s="25" t="str">
        <f t="shared" ca="1" si="2"/>
        <v/>
      </c>
      <c r="Q381" s="25" t="str">
        <f ca="1">IFERROR(__xludf.DUMMYFUNCTION("""COMPUTED_VALUE"""),"Largo plazo")</f>
        <v>Largo plazo</v>
      </c>
      <c r="R381" s="25"/>
      <c r="S381" s="55"/>
      <c r="T381" s="56"/>
      <c r="U381" s="25"/>
      <c r="V381" s="25"/>
      <c r="W381" s="25"/>
      <c r="X381" s="25"/>
      <c r="Y381" s="25"/>
      <c r="Z381" s="25"/>
    </row>
    <row r="382" spans="1:26" ht="52.5" customHeight="1" x14ac:dyDescent="0.25">
      <c r="A382" s="25" t="str">
        <f ca="1">IFERROR(__xludf.DUMMYFUNCTION("""COMPUTED_VALUE"""),"Salud80")</f>
        <v>Salud80</v>
      </c>
      <c r="B382" s="25" t="str">
        <f ca="1">IFERROR(__xludf.DUMMYFUNCTION("""COMPUTED_VALUE"""),"Recorrido Tunjuelito")</f>
        <v>Recorrido Tunjuelito</v>
      </c>
      <c r="C382" s="55">
        <f ca="1">IFERROR(__xludf.DUMMYFUNCTION("""COMPUTED_VALUE"""),44992)</f>
        <v>44992</v>
      </c>
      <c r="D382" s="25" t="str">
        <f ca="1">IFERROR(__xludf.DUMMYFUNCTION("""COMPUTED_VALUE"""),"Salud")</f>
        <v>Salud</v>
      </c>
      <c r="E382" s="25" t="str">
        <f ca="1">IFERROR(__xludf.DUMMYFUNCTION("""COMPUTED_VALUE"""),"Secretaría Distrital de Salud")</f>
        <v>Secretaría Distrital de Salud</v>
      </c>
      <c r="F382" s="25" t="str">
        <f ca="1">IFERROR(__xludf.DUMMYFUNCTION("""COMPUTED_VALUE"""),"Realizar los trámites pertinentes para otorgar al hospital de Usme el nombre de Nelson Cruz, líder comunitario.")</f>
        <v>Realizar los trámites pertinentes para otorgar al hospital de Usme el nombre de Nelson Cruz, líder comunitario.</v>
      </c>
      <c r="G382" s="25" t="str">
        <f ca="1">IFERROR(__xludf.DUMMYFUNCTION("""COMPUTED_VALUE"""),"06. Tunjuelito")</f>
        <v>06. Tunjuelito</v>
      </c>
      <c r="H382" s="55">
        <f ca="1">IFERROR(__xludf.DUMMYFUNCTION("""COMPUTED_VALUE"""),45107)</f>
        <v>45107</v>
      </c>
      <c r="I382" s="25" t="str">
        <f ca="1">IFERROR(__xludf.DUMMYFUNCTION("""COMPUTED_VALUE"""),"Secretaría Privada")</f>
        <v>Secretaría Privada</v>
      </c>
      <c r="J382" s="55" t="str">
        <f ca="1">IFERROR(__xludf.DUMMYFUNCTION("""COMPUTED_VALUE"""),"Media")</f>
        <v>Media</v>
      </c>
      <c r="K382" s="25">
        <f ca="1">IFERROR(__xludf.DUMMYFUNCTION("""COMPUTED_VALUE"""),115)</f>
        <v>115</v>
      </c>
      <c r="L382" s="62">
        <f ca="1">IFERROR(__xludf.DUMMYFUNCTION("""COMPUTED_VALUE"""),45077)</f>
        <v>45077</v>
      </c>
      <c r="M382" s="25" t="str">
        <f ca="1">IFERROR(__xludf.DUMMYFUNCTION("""COMPUTED_VALUE"""),"Fue solicitado el lineamiento al Delivery de la Junta de Infraestructura.")</f>
        <v>Fue solicitado el lineamiento al Delivery de la Junta de Infraestructura.</v>
      </c>
      <c r="N382" s="25"/>
      <c r="O382" s="25" t="str">
        <f t="shared" ca="1" si="0"/>
        <v>Secretaría Distrital de Salud</v>
      </c>
      <c r="P382" s="25" t="str">
        <f t="shared" ca="1" si="2"/>
        <v/>
      </c>
      <c r="Q382" s="25" t="str">
        <f ca="1">IFERROR(__xludf.DUMMYFUNCTION("""COMPUTED_VALUE"""),"Mediano plazo")</f>
        <v>Mediano plazo</v>
      </c>
      <c r="R382" s="25"/>
      <c r="S382" s="55"/>
      <c r="T382" s="56"/>
      <c r="U382" s="25"/>
      <c r="V382" s="25"/>
      <c r="W382" s="25"/>
      <c r="X382" s="25"/>
      <c r="Y382" s="25"/>
      <c r="Z382" s="25"/>
    </row>
    <row r="383" spans="1:26" ht="52.5" customHeight="1" x14ac:dyDescent="0.25">
      <c r="A383" s="25" t="str">
        <f ca="1">IFERROR(__xludf.DUMMYFUNCTION("""COMPUTED_VALUE"""),"Salud81")</f>
        <v>Salud81</v>
      </c>
      <c r="B383" s="25" t="str">
        <f ca="1">IFERROR(__xludf.DUMMYFUNCTION("""COMPUTED_VALUE"""),"Recorrido Tunjuelito")</f>
        <v>Recorrido Tunjuelito</v>
      </c>
      <c r="C383" s="55">
        <f ca="1">IFERROR(__xludf.DUMMYFUNCTION("""COMPUTED_VALUE"""),44992)</f>
        <v>44992</v>
      </c>
      <c r="D383" s="25" t="str">
        <f ca="1">IFERROR(__xludf.DUMMYFUNCTION("""COMPUTED_VALUE"""),"Salud")</f>
        <v>Salud</v>
      </c>
      <c r="E383" s="25" t="str">
        <f ca="1">IFERROR(__xludf.DUMMYFUNCTION("""COMPUTED_VALUE"""),"Secretaría Distrital de Salud")</f>
        <v>Secretaría Distrital de Salud</v>
      </c>
      <c r="F383" s="25" t="str">
        <f ca="1">IFERROR(__xludf.DUMMYFUNCTION("""COMPUTED_VALUE"""),"Finalización de labores de recuperación de la Fachada de la unidad de Servicios de Salud Materno Infantil en tres meses.")</f>
        <v>Finalización de labores de recuperación de la Fachada de la unidad de Servicios de Salud Materno Infantil en tres meses.</v>
      </c>
      <c r="G383" s="25" t="str">
        <f ca="1">IFERROR(__xludf.DUMMYFUNCTION("""COMPUTED_VALUE"""),"06. Tunjuelito")</f>
        <v>06. Tunjuelito</v>
      </c>
      <c r="H383" s="55">
        <f ca="1">IFERROR(__xludf.DUMMYFUNCTION("""COMPUTED_VALUE"""),45076)</f>
        <v>45076</v>
      </c>
      <c r="I383" s="25" t="str">
        <f ca="1">IFERROR(__xludf.DUMMYFUNCTION("""COMPUTED_VALUE"""),"Secretaría Privada")</f>
        <v>Secretaría Privada</v>
      </c>
      <c r="J383" s="55" t="str">
        <f ca="1">IFERROR(__xludf.DUMMYFUNCTION("""COMPUTED_VALUE"""),"Media")</f>
        <v>Media</v>
      </c>
      <c r="K383" s="25">
        <f ca="1">IFERROR(__xludf.DUMMYFUNCTION("""COMPUTED_VALUE"""),84)</f>
        <v>84</v>
      </c>
      <c r="L383" s="62">
        <f ca="1">IFERROR(__xludf.DUMMYFUNCTION("""COMPUTED_VALUE"""),45077)</f>
        <v>45077</v>
      </c>
      <c r="M383" s="25" t="str">
        <f ca="1">IFERROR(__xludf.DUMMYFUNCTION("""COMPUTED_VALUE"""),"La obra quedó en un 88% de Ejecución debido a que el Ministerio de Cultura suspendió la actividad de mantenimiento con la aplicación de cal sobre la carrera 10ma. El contrato se terminó el 17 de mayo y se encuentra en recibo final de obras y acta de termi"&amp;"nación. ")</f>
        <v xml:space="preserve">La obra quedó en un 88% de Ejecución debido a que el Ministerio de Cultura suspendió la actividad de mantenimiento con la aplicación de cal sobre la carrera 10ma. El contrato se terminó el 17 de mayo y se encuentra en recibo final de obras y acta de terminación. </v>
      </c>
      <c r="N383" s="25"/>
      <c r="O383" s="25" t="str">
        <f t="shared" ca="1" si="0"/>
        <v>Secretaría Distrital de Salud</v>
      </c>
      <c r="P383" s="25" t="str">
        <f t="shared" ca="1" si="2"/>
        <v/>
      </c>
      <c r="Q383" s="25" t="str">
        <f ca="1">IFERROR(__xludf.DUMMYFUNCTION("""COMPUTED_VALUE"""),"Mediano plazo")</f>
        <v>Mediano plazo</v>
      </c>
      <c r="R383" s="25"/>
      <c r="S383" s="55"/>
      <c r="T383" s="56"/>
      <c r="U383" s="25"/>
      <c r="V383" s="25"/>
      <c r="W383" s="25"/>
      <c r="X383" s="25"/>
      <c r="Y383" s="25"/>
      <c r="Z383" s="25"/>
    </row>
    <row r="384" spans="1:26" ht="52.5" customHeight="1" x14ac:dyDescent="0.25">
      <c r="A384" s="25" t="str">
        <f ca="1">IFERROR(__xludf.DUMMYFUNCTION("""COMPUTED_VALUE"""),"Salud82")</f>
        <v>Salud82</v>
      </c>
      <c r="B384" s="25" t="str">
        <f ca="1">IFERROR(__xludf.DUMMYFUNCTION("""COMPUTED_VALUE"""),"Recorrido Tunjuelito")</f>
        <v>Recorrido Tunjuelito</v>
      </c>
      <c r="C384" s="55">
        <f ca="1">IFERROR(__xludf.DUMMYFUNCTION("""COMPUTED_VALUE"""),44992)</f>
        <v>44992</v>
      </c>
      <c r="D384" s="25" t="str">
        <f ca="1">IFERROR(__xludf.DUMMYFUNCTION("""COMPUTED_VALUE"""),"Salud")</f>
        <v>Salud</v>
      </c>
      <c r="E384" s="25" t="str">
        <f ca="1">IFERROR(__xludf.DUMMYFUNCTION("""COMPUTED_VALUE"""),"Secretaría Distrital de Salud")</f>
        <v>Secretaría Distrital de Salud</v>
      </c>
      <c r="F384" s="25" t="str">
        <f ca="1">IFERROR(__xludf.DUMMYFUNCTION("""COMPUTED_VALUE"""),"Entrega de torre de urgencias del hospital de Kennedy en el mes de Mayo.")</f>
        <v>Entrega de torre de urgencias del hospital de Kennedy en el mes de Mayo.</v>
      </c>
      <c r="G384" s="25" t="str">
        <f ca="1">IFERROR(__xludf.DUMMYFUNCTION("""COMPUTED_VALUE"""),"08. Kennedy")</f>
        <v>08. Kennedy</v>
      </c>
      <c r="H384" s="55">
        <f ca="1">IFERROR(__xludf.DUMMYFUNCTION("""COMPUTED_VALUE"""),45046)</f>
        <v>45046</v>
      </c>
      <c r="I384" s="25" t="str">
        <f ca="1">IFERROR(__xludf.DUMMYFUNCTION("""COMPUTED_VALUE"""),"Secretaría Privada")</f>
        <v>Secretaría Privada</v>
      </c>
      <c r="J384" s="55" t="str">
        <f ca="1">IFERROR(__xludf.DUMMYFUNCTION("""COMPUTED_VALUE"""),"Alta")</f>
        <v>Alta</v>
      </c>
      <c r="K384" s="25">
        <f ca="1">IFERROR(__xludf.DUMMYFUNCTION("""COMPUTED_VALUE"""),54)</f>
        <v>54</v>
      </c>
      <c r="L384" s="62">
        <f ca="1">IFERROR(__xludf.DUMMYFUNCTION("""COMPUTED_VALUE"""),45061)</f>
        <v>45061</v>
      </c>
      <c r="M384" s="25" t="str">
        <f ca="1">IFERROR(__xludf.DUMMYFUNCTION("""COMPUTED_VALUE"""),"Fecha de finalización 27-04-2023, Se entregó el proyecto. 
Fecha de Inauguración 9/05/2023 
")</f>
        <v xml:space="preserve">Fecha de finalización 27-04-2023, Se entregó el proyecto. 
Fecha de Inauguración 9/05/2023 
</v>
      </c>
      <c r="N384" s="55">
        <f ca="1">IFERROR(__xludf.DUMMYFUNCTION("""COMPUTED_VALUE"""),45077)</f>
        <v>45077</v>
      </c>
      <c r="O384" s="25" t="str">
        <f t="shared" ca="1" si="0"/>
        <v>Secretaría Distrital de Salud</v>
      </c>
      <c r="P384" s="25" t="str">
        <f t="shared" ca="1" si="2"/>
        <v/>
      </c>
      <c r="Q384" s="25" t="str">
        <f ca="1">IFERROR(__xludf.DUMMYFUNCTION("""COMPUTED_VALUE"""),"Corto plazo")</f>
        <v>Corto plazo</v>
      </c>
      <c r="R384" s="25"/>
      <c r="S384" s="55"/>
      <c r="T384" s="56"/>
      <c r="U384" s="25"/>
      <c r="V384" s="25"/>
      <c r="W384" s="25"/>
      <c r="X384" s="25"/>
      <c r="Y384" s="25"/>
      <c r="Z384" s="25"/>
    </row>
    <row r="385" spans="1:26" ht="52.5" customHeight="1" x14ac:dyDescent="0.25">
      <c r="A385" s="25" t="str">
        <f ca="1">IFERROR(__xludf.DUMMYFUNCTION("""COMPUTED_VALUE"""),"Salud83")</f>
        <v>Salud83</v>
      </c>
      <c r="B385" s="25" t="str">
        <f ca="1">IFERROR(__xludf.DUMMYFUNCTION("""COMPUTED_VALUE"""),"Recorrido Tunjuelito")</f>
        <v>Recorrido Tunjuelito</v>
      </c>
      <c r="C385" s="55">
        <f ca="1">IFERROR(__xludf.DUMMYFUNCTION("""COMPUTED_VALUE"""),44992)</f>
        <v>44992</v>
      </c>
      <c r="D385" s="25" t="str">
        <f ca="1">IFERROR(__xludf.DUMMYFUNCTION("""COMPUTED_VALUE"""),"Salud")</f>
        <v>Salud</v>
      </c>
      <c r="E385" s="25" t="str">
        <f ca="1">IFERROR(__xludf.DUMMYFUNCTION("""COMPUTED_VALUE"""),"Secretaría Distrital de Salud")</f>
        <v>Secretaría Distrital de Salud</v>
      </c>
      <c r="F385" s="25" t="str">
        <f ca="1">IFERROR(__xludf.DUMMYFUNCTION("""COMPUTED_VALUE"""),"Finalización de la obra de construcción de la torre de Urgencias del Hospital el Tunal para diciembre del 2023.")</f>
        <v>Finalización de la obra de construcción de la torre de Urgencias del Hospital el Tunal para diciembre del 2023.</v>
      </c>
      <c r="G385" s="25" t="str">
        <f ca="1">IFERROR(__xludf.DUMMYFUNCTION("""COMPUTED_VALUE"""),"06. Tunjuelito")</f>
        <v>06. Tunjuelito</v>
      </c>
      <c r="H385" s="55">
        <f ca="1">IFERROR(__xludf.DUMMYFUNCTION("""COMPUTED_VALUE"""),45290)</f>
        <v>45290</v>
      </c>
      <c r="I385" s="25" t="str">
        <f ca="1">IFERROR(__xludf.DUMMYFUNCTION("""COMPUTED_VALUE"""),"Secretaría Privada")</f>
        <v>Secretaría Privada</v>
      </c>
      <c r="J385" s="55" t="str">
        <f ca="1">IFERROR(__xludf.DUMMYFUNCTION("""COMPUTED_VALUE"""),"Baja")</f>
        <v>Baja</v>
      </c>
      <c r="K385" s="25">
        <f ca="1">IFERROR(__xludf.DUMMYFUNCTION("""COMPUTED_VALUE"""),298)</f>
        <v>298</v>
      </c>
      <c r="L385" s="62">
        <f ca="1">IFERROR(__xludf.DUMMYFUNCTION("""COMPUTED_VALUE"""),45077)</f>
        <v>45077</v>
      </c>
      <c r="M385" s="25" t="str">
        <f ca="1">IFERROR(__xludf.DUMMYFUNCTION("""COMPUTED_VALUE"""),"Ejecutado 9,48% a corte del 24/05/2023. Se continua con la ejecución de la cimentación.
")</f>
        <v xml:space="preserve">Ejecutado 9,48% a corte del 24/05/2023. Se continua con la ejecución de la cimentación.
</v>
      </c>
      <c r="N385" s="25"/>
      <c r="O385" s="25" t="str">
        <f t="shared" ca="1" si="0"/>
        <v>Secretaría Distrital de Salud</v>
      </c>
      <c r="P385" s="25" t="str">
        <f t="shared" ca="1" si="2"/>
        <v/>
      </c>
      <c r="Q385" s="25" t="str">
        <f ca="1">IFERROR(__xludf.DUMMYFUNCTION("""COMPUTED_VALUE"""),"Largo plazo")</f>
        <v>Largo plazo</v>
      </c>
      <c r="R385" s="25"/>
      <c r="S385" s="55"/>
      <c r="T385" s="56"/>
      <c r="U385" s="25"/>
      <c r="V385" s="25"/>
      <c r="W385" s="25"/>
      <c r="X385" s="25"/>
      <c r="Y385" s="25"/>
      <c r="Z385" s="25"/>
    </row>
    <row r="386" spans="1:26" ht="52.5" customHeight="1" x14ac:dyDescent="0.25">
      <c r="A386" s="25" t="str">
        <f ca="1">IFERROR(__xludf.DUMMYFUNCTION("""COMPUTED_VALUE"""),"Salud84")</f>
        <v>Salud84</v>
      </c>
      <c r="B386" s="25" t="str">
        <f ca="1">IFERROR(__xludf.DUMMYFUNCTION("""COMPUTED_VALUE"""),"Recorrido Rafael Uribe Uribe")</f>
        <v>Recorrido Rafael Uribe Uribe</v>
      </c>
      <c r="C386" s="55">
        <f ca="1">IFERROR(__xludf.DUMMYFUNCTION("""COMPUTED_VALUE"""),45006)</f>
        <v>45006</v>
      </c>
      <c r="D386" s="25" t="str">
        <f ca="1">IFERROR(__xludf.DUMMYFUNCTION("""COMPUTED_VALUE"""),"Salud")</f>
        <v>Salud</v>
      </c>
      <c r="E386" s="25" t="str">
        <f ca="1">IFERROR(__xludf.DUMMYFUNCTION("""COMPUTED_VALUE"""),"Secretaría Distrital de Salud")</f>
        <v>Secretaría Distrital de Salud</v>
      </c>
      <c r="F386" s="25" t="str">
        <f ca="1">IFERROR(__xludf.DUMMYFUNCTION("""COMPUTED_VALUE"""),"Iniciar labores de funcionamiento del centro temporal de salud CAPS, ubicado en el barrio Murillo Toro (Calle 32 a sur#26-08), el cual contará con servicios de medicina general, enfermería y toma de muestras.")</f>
        <v>Iniciar labores de funcionamiento del centro temporal de salud CAPS, ubicado en el barrio Murillo Toro (Calle 32 a sur#26-08), el cual contará con servicios de medicina general, enfermería y toma de muestras.</v>
      </c>
      <c r="G386" s="25" t="str">
        <f ca="1">IFERROR(__xludf.DUMMYFUNCTION("""COMPUTED_VALUE"""),"18. Rafael Uribe Uribe")</f>
        <v>18. Rafael Uribe Uribe</v>
      </c>
      <c r="H386" s="55">
        <f ca="1">IFERROR(__xludf.DUMMYFUNCTION("""COMPUTED_VALUE"""),45082)</f>
        <v>45082</v>
      </c>
      <c r="I386" s="25" t="str">
        <f ca="1">IFERROR(__xludf.DUMMYFUNCTION("""COMPUTED_VALUE"""),"Secretaría Privada")</f>
        <v>Secretaría Privada</v>
      </c>
      <c r="J386" s="55" t="str">
        <f ca="1">IFERROR(__xludf.DUMMYFUNCTION("""COMPUTED_VALUE"""),"Alta")</f>
        <v>Alta</v>
      </c>
      <c r="K386" s="25">
        <f ca="1">IFERROR(__xludf.DUMMYFUNCTION("""COMPUTED_VALUE"""),76)</f>
        <v>76</v>
      </c>
      <c r="L386" s="62">
        <f ca="1">IFERROR(__xludf.DUMMYFUNCTION("""COMPUTED_VALUE"""),45077)</f>
        <v>45077</v>
      </c>
      <c r="M386" s="25" t="str">
        <f ca="1">IFERROR(__xludf.DUMMYFUNCTION("""COMPUTED_VALUE"""),"Fue inaugurado y puesto en funcionamiento el 9 de mayo del 2023. Cuenta con servicios de consultorio medicina general, consultorio enfermería, toma de muestras, facturación, sala de espera y unidades sanitarias. ")</f>
        <v xml:space="preserve">Fue inaugurado y puesto en funcionamiento el 9 de mayo del 2023. Cuenta con servicios de consultorio medicina general, consultorio enfermería, toma de muestras, facturación, sala de espera y unidades sanitarias. </v>
      </c>
      <c r="N386" s="25"/>
      <c r="O386" s="25" t="str">
        <f t="shared" ca="1" si="0"/>
        <v>Secretaría Distrital de Salud</v>
      </c>
      <c r="P386" s="25" t="str">
        <f t="shared" ca="1" si="2"/>
        <v/>
      </c>
      <c r="Q386" s="25" t="str">
        <f ca="1">IFERROR(__xludf.DUMMYFUNCTION("""COMPUTED_VALUE"""),"Mediano plazo")</f>
        <v>Mediano plazo</v>
      </c>
      <c r="R386" s="25"/>
      <c r="S386" s="55"/>
      <c r="T386" s="56"/>
      <c r="U386" s="25"/>
      <c r="V386" s="25"/>
      <c r="W386" s="25"/>
      <c r="X386" s="25"/>
      <c r="Y386" s="25"/>
      <c r="Z386" s="25"/>
    </row>
    <row r="387" spans="1:26" ht="52.5" customHeight="1" x14ac:dyDescent="0.25">
      <c r="A387" s="25" t="str">
        <f ca="1">IFERROR(__xludf.DUMMYFUNCTION("""COMPUTED_VALUE"""),"Salud85")</f>
        <v>Salud85</v>
      </c>
      <c r="B387" s="25" t="str">
        <f ca="1">IFERROR(__xludf.DUMMYFUNCTION("""COMPUTED_VALUE"""),"Recorrido Rafael Uribe Uribe")</f>
        <v>Recorrido Rafael Uribe Uribe</v>
      </c>
      <c r="C387" s="55">
        <f ca="1">IFERROR(__xludf.DUMMYFUNCTION("""COMPUTED_VALUE"""),45006)</f>
        <v>45006</v>
      </c>
      <c r="D387" s="25" t="str">
        <f ca="1">IFERROR(__xludf.DUMMYFUNCTION("""COMPUTED_VALUE"""),"Salud")</f>
        <v>Salud</v>
      </c>
      <c r="E387" s="25" t="str">
        <f ca="1">IFERROR(__xludf.DUMMYFUNCTION("""COMPUTED_VALUE"""),"Secretaría Distrital de Salud")</f>
        <v>Secretaría Distrital de Salud</v>
      </c>
      <c r="F387" s="25" t="str">
        <f ca="1">IFERROR(__xludf.DUMMYFUNCTION("""COMPUTED_VALUE"""),"Conformar e instalar un comité de seguimiento a la obra CAPS barrio Bravo Páez el día viernes 31 de marzo a las 8am, el cual realizará seguimiento a las acciones temporales planificadas, así como revisión al cronograma de la licitación y ejecución de la n"&amp;"ueva obra.")</f>
        <v>Conformar e instalar un comité de seguimiento a la obra CAPS barrio Bravo Páez el día viernes 31 de marzo a las 8am, el cual realizará seguimiento a las acciones temporales planificadas, así como revisión al cronograma de la licitación y ejecución de la nueva obra.</v>
      </c>
      <c r="G387" s="25" t="str">
        <f ca="1">IFERROR(__xludf.DUMMYFUNCTION("""COMPUTED_VALUE"""),"18. Rafael Uribe Uribe")</f>
        <v>18. Rafael Uribe Uribe</v>
      </c>
      <c r="H387" s="55">
        <f ca="1">IFERROR(__xludf.DUMMYFUNCTION("""COMPUTED_VALUE"""),45016)</f>
        <v>45016</v>
      </c>
      <c r="I387" s="25" t="str">
        <f ca="1">IFERROR(__xludf.DUMMYFUNCTION("""COMPUTED_VALUE"""),"Secretaría Privada")</f>
        <v>Secretaría Privada</v>
      </c>
      <c r="J387" s="55" t="str">
        <f ca="1">IFERROR(__xludf.DUMMYFUNCTION("""COMPUTED_VALUE"""),"Alta")</f>
        <v>Alta</v>
      </c>
      <c r="K387" s="25">
        <f ca="1">IFERROR(__xludf.DUMMYFUNCTION("""COMPUTED_VALUE"""),10)</f>
        <v>10</v>
      </c>
      <c r="L387" s="62">
        <f ca="1">IFERROR(__xludf.DUMMYFUNCTION("""COMPUTED_VALUE"""),45077)</f>
        <v>45077</v>
      </c>
      <c r="M387" s="25" t="str">
        <f ca="1">IFERROR(__xludf.DUMMYFUNCTION("""COMPUTED_VALUE"""),"Se instaló la mesa de trabajo para revisar los avances correspondientes al funcionamiento del Centro de salud temporal con una fecha estimada de entrega del 5 de mayo.
En cuanto al proceso del centro de salud nuevo, se presentó el cronograma del proceso d"&amp;"e adjudicación en la mesa de trabajo.")</f>
        <v>Se instaló la mesa de trabajo para revisar los avances correspondientes al funcionamiento del Centro de salud temporal con una fecha estimada de entrega del 5 de mayo.
En cuanto al proceso del centro de salud nuevo, se presentó el cronograma del proceso de adjudicación en la mesa de trabajo.</v>
      </c>
      <c r="N387" s="25"/>
      <c r="O387" s="25" t="str">
        <f t="shared" ca="1" si="0"/>
        <v>Secretaría Distrital de Salud</v>
      </c>
      <c r="P387" s="25" t="str">
        <f t="shared" ca="1" si="2"/>
        <v/>
      </c>
      <c r="Q387" s="25" t="str">
        <f ca="1">IFERROR(__xludf.DUMMYFUNCTION("""COMPUTED_VALUE"""),"Corto plazo")</f>
        <v>Corto plazo</v>
      </c>
      <c r="R387" s="25"/>
      <c r="S387" s="55"/>
      <c r="T387" s="56"/>
      <c r="U387" s="25"/>
      <c r="V387" s="25"/>
      <c r="W387" s="25"/>
      <c r="X387" s="25"/>
      <c r="Y387" s="25"/>
      <c r="Z387" s="25"/>
    </row>
    <row r="388" spans="1:26" ht="52.5" customHeight="1" x14ac:dyDescent="0.25">
      <c r="A388" s="25" t="str">
        <f ca="1">IFERROR(__xludf.DUMMYFUNCTION("""COMPUTED_VALUE"""),"Salud86")</f>
        <v>Salud86</v>
      </c>
      <c r="B388" s="25" t="str">
        <f ca="1">IFERROR(__xludf.DUMMYFUNCTION("""COMPUTED_VALUE"""),"Recorrido Rafael Uribe Uribe")</f>
        <v>Recorrido Rafael Uribe Uribe</v>
      </c>
      <c r="C388" s="55">
        <f ca="1">IFERROR(__xludf.DUMMYFUNCTION("""COMPUTED_VALUE"""),45006)</f>
        <v>45006</v>
      </c>
      <c r="D388" s="25" t="str">
        <f ca="1">IFERROR(__xludf.DUMMYFUNCTION("""COMPUTED_VALUE"""),"Salud")</f>
        <v>Salud</v>
      </c>
      <c r="E388" s="25" t="str">
        <f ca="1">IFERROR(__xludf.DUMMYFUNCTION("""COMPUTED_VALUE"""),"Secretaría Distrital de Salud")</f>
        <v>Secretaría Distrital de Salud</v>
      </c>
      <c r="F388" s="25" t="str">
        <f ca="1">IFERROR(__xludf.DUMMYFUNCTION("""COMPUTED_VALUE"""),"Brindar atención prioritaria puerta a puerta con brigada de salud a mi barrio, a las casas ubicadas en 1km a la redonda de la obra del CAPS Bravo Páez.")</f>
        <v>Brindar atención prioritaria puerta a puerta con brigada de salud a mi barrio, a las casas ubicadas en 1km a la redonda de la obra del CAPS Bravo Páez.</v>
      </c>
      <c r="G388" s="25" t="str">
        <f ca="1">IFERROR(__xludf.DUMMYFUNCTION("""COMPUTED_VALUE"""),"18. Rafael Uribe Uribe")</f>
        <v>18. Rafael Uribe Uribe</v>
      </c>
      <c r="H388" s="55">
        <f ca="1">IFERROR(__xludf.DUMMYFUNCTION("""COMPUTED_VALUE"""),45046)</f>
        <v>45046</v>
      </c>
      <c r="I388" s="25" t="str">
        <f ca="1">IFERROR(__xludf.DUMMYFUNCTION("""COMPUTED_VALUE"""),"Secretaría Privada")</f>
        <v>Secretaría Privada</v>
      </c>
      <c r="J388" s="55" t="str">
        <f ca="1">IFERROR(__xludf.DUMMYFUNCTION("""COMPUTED_VALUE"""),"Alta")</f>
        <v>Alta</v>
      </c>
      <c r="K388" s="25">
        <f ca="1">IFERROR(__xludf.DUMMYFUNCTION("""COMPUTED_VALUE"""),40)</f>
        <v>40</v>
      </c>
      <c r="L388" s="62">
        <f ca="1">IFERROR(__xludf.DUMMYFUNCTION("""COMPUTED_VALUE"""),45077)</f>
        <v>45077</v>
      </c>
      <c r="M388" s="25" t="str">
        <f ca="1">IFERROR(__xludf.DUMMYFUNCTION("""COMPUTED_VALUE"""),"Con corte 24 de mayo 2023, se ha cubierto el 75% de las manzanas ubicadas dentro del polígono de 1km alrededor de la obra de la unidad de atención en salud Bravo Páez. 1.387 hogares y 1.890 personas con atención en salud en casa.")</f>
        <v>Con corte 24 de mayo 2023, se ha cubierto el 75% de las manzanas ubicadas dentro del polígono de 1km alrededor de la obra de la unidad de atención en salud Bravo Páez. 1.387 hogares y 1.890 personas con atención en salud en casa.</v>
      </c>
      <c r="N388" s="25"/>
      <c r="O388" s="25" t="str">
        <f t="shared" ca="1" si="0"/>
        <v>Secretaría Distrital de Salud</v>
      </c>
      <c r="P388" s="25" t="str">
        <f t="shared" ca="1" si="2"/>
        <v/>
      </c>
      <c r="Q388" s="25" t="str">
        <f ca="1">IFERROR(__xludf.DUMMYFUNCTION("""COMPUTED_VALUE"""),"Corto plazo")</f>
        <v>Corto plazo</v>
      </c>
      <c r="R388" s="25"/>
      <c r="S388" s="55"/>
      <c r="T388" s="56"/>
      <c r="U388" s="25"/>
      <c r="V388" s="25"/>
      <c r="W388" s="25"/>
      <c r="X388" s="25"/>
      <c r="Y388" s="25"/>
      <c r="Z388" s="25"/>
    </row>
    <row r="389" spans="1:26" ht="52.5" customHeight="1" x14ac:dyDescent="0.25">
      <c r="A389" s="25" t="str">
        <f ca="1">IFERROR(__xludf.DUMMYFUNCTION("""COMPUTED_VALUE"""),"Salud87")</f>
        <v>Salud87</v>
      </c>
      <c r="B389" s="25" t="str">
        <f ca="1">IFERROR(__xludf.DUMMYFUNCTION("""COMPUTED_VALUE"""),"Recorrido Rafael Uribe Uribe")</f>
        <v>Recorrido Rafael Uribe Uribe</v>
      </c>
      <c r="C389" s="55">
        <f ca="1">IFERROR(__xludf.DUMMYFUNCTION("""COMPUTED_VALUE"""),45006)</f>
        <v>45006</v>
      </c>
      <c r="D389" s="25" t="str">
        <f ca="1">IFERROR(__xludf.DUMMYFUNCTION("""COMPUTED_VALUE"""),"Salud")</f>
        <v>Salud</v>
      </c>
      <c r="E389" s="25" t="str">
        <f ca="1">IFERROR(__xludf.DUMMYFUNCTION("""COMPUTED_VALUE"""),"Secretaría Distrital de Salud")</f>
        <v>Secretaría Distrital de Salud</v>
      </c>
      <c r="F389" s="25" t="str">
        <f ca="1">IFERROR(__xludf.DUMMYFUNCTION("""COMPUTED_VALUE"""),"Dar inicio a la ejecución del contrato de construcción del CAPS del barrio Bravo Paéz en el mes de octubre 2023.")</f>
        <v>Dar inicio a la ejecución del contrato de construcción del CAPS del barrio Bravo Paéz en el mes de octubre 2023.</v>
      </c>
      <c r="G389" s="25" t="str">
        <f ca="1">IFERROR(__xludf.DUMMYFUNCTION("""COMPUTED_VALUE"""),"18. Rafael Uribe Uribe")</f>
        <v>18. Rafael Uribe Uribe</v>
      </c>
      <c r="H389" s="55">
        <f ca="1">IFERROR(__xludf.DUMMYFUNCTION("""COMPUTED_VALUE"""),45229)</f>
        <v>45229</v>
      </c>
      <c r="I389" s="25" t="str">
        <f ca="1">IFERROR(__xludf.DUMMYFUNCTION("""COMPUTED_VALUE"""),"Secretaría Privada")</f>
        <v>Secretaría Privada</v>
      </c>
      <c r="J389" s="55" t="str">
        <f ca="1">IFERROR(__xludf.DUMMYFUNCTION("""COMPUTED_VALUE"""),"Baja")</f>
        <v>Baja</v>
      </c>
      <c r="K389" s="25">
        <f ca="1">IFERROR(__xludf.DUMMYFUNCTION("""COMPUTED_VALUE"""),223)</f>
        <v>223</v>
      </c>
      <c r="L389" s="62">
        <f ca="1">IFERROR(__xludf.DUMMYFUNCTION("""COMPUTED_VALUE"""),45077)</f>
        <v>45077</v>
      </c>
      <c r="M389" s="25" t="str">
        <f ca="1">IFERROR(__xludf.DUMMYFUNCTION("""COMPUTED_VALUE"""),"Fue necesario abrir un nuevo Estudio de Mercado el 04 de Mayo ya que al anterior se presentó una sola cotización. Este se cerró el 18 de mayo con dos cotizaciones mediante las cuales se establecerá el presupuesto oficial. Se procederá a actualización del "&amp;"proyecto y modificación del Convenio interadministrativo. Se estima apertura nuevo proceso de contratación en Septiembre de 2023 .
")</f>
        <v xml:space="preserve">Fue necesario abrir un nuevo Estudio de Mercado el 04 de Mayo ya que al anterior se presentó una sola cotización. Este se cerró el 18 de mayo con dos cotizaciones mediante las cuales se establecerá el presupuesto oficial. Se procederá a actualización del proyecto y modificación del Convenio interadministrativo. Se estima apertura nuevo proceso de contratación en Septiembre de 2023 .
</v>
      </c>
      <c r="N389" s="25"/>
      <c r="O389" s="25" t="str">
        <f t="shared" ca="1" si="0"/>
        <v>Secretaría Distrital de Salud</v>
      </c>
      <c r="P389" s="25" t="str">
        <f t="shared" ca="1" si="2"/>
        <v/>
      </c>
      <c r="Q389" s="25" t="str">
        <f ca="1">IFERROR(__xludf.DUMMYFUNCTION("""COMPUTED_VALUE"""),"Largo plazo")</f>
        <v>Largo plazo</v>
      </c>
      <c r="R389" s="25"/>
      <c r="S389" s="55"/>
      <c r="T389" s="56"/>
      <c r="U389" s="25"/>
      <c r="V389" s="25"/>
      <c r="W389" s="25"/>
      <c r="X389" s="25"/>
      <c r="Y389" s="25"/>
      <c r="Z389" s="25"/>
    </row>
    <row r="390" spans="1:26" ht="52.5" customHeight="1" x14ac:dyDescent="0.25">
      <c r="A390" s="25" t="str">
        <f ca="1">IFERROR(__xludf.DUMMYFUNCTION("""COMPUTED_VALUE"""),"Salud88")</f>
        <v>Salud88</v>
      </c>
      <c r="B390" s="25" t="str">
        <f ca="1">IFERROR(__xludf.DUMMYFUNCTION("""COMPUTED_VALUE"""),"Consejo Local de Gobierno de Ciudad Bolívar")</f>
        <v>Consejo Local de Gobierno de Ciudad Bolívar</v>
      </c>
      <c r="C390" s="55">
        <f ca="1">IFERROR(__xludf.DUMMYFUNCTION("""COMPUTED_VALUE"""),44595)</f>
        <v>44595</v>
      </c>
      <c r="D390" s="25" t="str">
        <f ca="1">IFERROR(__xludf.DUMMYFUNCTION("""COMPUTED_VALUE"""),"Salud")</f>
        <v>Salud</v>
      </c>
      <c r="E390" s="25" t="str">
        <f ca="1">IFERROR(__xludf.DUMMYFUNCTION("""COMPUTED_VALUE"""),"Secretaría Distrital de Salud")</f>
        <v>Secretaría Distrital de Salud</v>
      </c>
      <c r="F390" s="25" t="str">
        <f ca="1">IFERROR(__xludf.DUMMYFUNCTION("""COMPUTED_VALUE"""),"Construir la segunda torre del hospital de El Tunal")</f>
        <v>Construir la segunda torre del hospital de El Tunal</v>
      </c>
      <c r="G390" s="25" t="str">
        <f ca="1">IFERROR(__xludf.DUMMYFUNCTION("""COMPUTED_VALUE"""),"19. Ciudad Bolívar")</f>
        <v>19. Ciudad Bolívar</v>
      </c>
      <c r="H390" s="55">
        <f ca="1">IFERROR(__xludf.DUMMYFUNCTION("""COMPUTED_VALUE"""),44761)</f>
        <v>44761</v>
      </c>
      <c r="I390" s="25"/>
      <c r="J390" s="55" t="str">
        <f ca="1">IFERROR(__xludf.DUMMYFUNCTION("""COMPUTED_VALUE"""),"Media")</f>
        <v>Media</v>
      </c>
      <c r="K390" s="25">
        <f ca="1">IFERROR(__xludf.DUMMYFUNCTION("""COMPUTED_VALUE"""),166)</f>
        <v>166</v>
      </c>
      <c r="L390" s="62">
        <f ca="1">IFERROR(__xludf.DUMMYFUNCTION("""COMPUTED_VALUE"""),45077)</f>
        <v>45077</v>
      </c>
      <c r="M390" s="25" t="str">
        <f ca="1">IFERROR(__xludf.DUMMYFUNCTION("""COMPUTED_VALUE"""),"A 29 de mayo de 2023, el porcentaje de avance es del 9,5%. Esta torre se entregará a mediados de 2024.")</f>
        <v>A 29 de mayo de 2023, el porcentaje de avance es del 9,5%. Esta torre se entregará a mediados de 2024.</v>
      </c>
      <c r="N390" s="55">
        <f ca="1">IFERROR(__xludf.DUMMYFUNCTION("""COMPUTED_VALUE"""),44926)</f>
        <v>44926</v>
      </c>
      <c r="O390" s="25" t="str">
        <f t="shared" ca="1" si="0"/>
        <v>Secretaría Distrital de Salud</v>
      </c>
      <c r="P390" s="25" t="str">
        <f t="shared" si="2"/>
        <v/>
      </c>
      <c r="Q390" s="25" t="str">
        <f ca="1">IFERROR(__xludf.DUMMYFUNCTION("""COMPUTED_VALUE"""),"Mediano plazo")</f>
        <v>Mediano plazo</v>
      </c>
      <c r="R390" s="25"/>
      <c r="S390" s="55"/>
      <c r="T390" s="56"/>
      <c r="U390" s="25"/>
      <c r="V390" s="25"/>
      <c r="W390" s="25"/>
      <c r="X390" s="25"/>
      <c r="Y390" s="25"/>
      <c r="Z390" s="25"/>
    </row>
    <row r="391" spans="1:26" ht="52.5" customHeight="1" x14ac:dyDescent="0.25">
      <c r="A391" s="25" t="str">
        <f ca="1">IFERROR(__xludf.DUMMYFUNCTION("""COMPUTED_VALUE"""),"Salud89")</f>
        <v>Salud89</v>
      </c>
      <c r="B391" s="25" t="str">
        <f ca="1">IFERROR(__xludf.DUMMYFUNCTION("""COMPUTED_VALUE"""),"Consejo Local de Gobierno de Ciudad Bolívar")</f>
        <v>Consejo Local de Gobierno de Ciudad Bolívar</v>
      </c>
      <c r="C391" s="55">
        <f ca="1">IFERROR(__xludf.DUMMYFUNCTION("""COMPUTED_VALUE"""),44595)</f>
        <v>44595</v>
      </c>
      <c r="D391" s="25" t="str">
        <f ca="1">IFERROR(__xludf.DUMMYFUNCTION("""COMPUTED_VALUE"""),"Salud")</f>
        <v>Salud</v>
      </c>
      <c r="E391" s="25" t="str">
        <f ca="1">IFERROR(__xludf.DUMMYFUNCTION("""COMPUTED_VALUE"""),"Secretaría Distrital de Salud")</f>
        <v>Secretaría Distrital de Salud</v>
      </c>
      <c r="F391" s="25" t="str">
        <f ca="1">IFERROR(__xludf.DUMMYFUNCTION("""COMPUTED_VALUE"""),"Construir el Centro de Salud Candelaria la Nueva")</f>
        <v>Construir el Centro de Salud Candelaria la Nueva</v>
      </c>
      <c r="G391" s="25" t="str">
        <f ca="1">IFERROR(__xludf.DUMMYFUNCTION("""COMPUTED_VALUE"""),"19. Ciudad Bolívar")</f>
        <v>19. Ciudad Bolívar</v>
      </c>
      <c r="H391" s="55">
        <f ca="1">IFERROR(__xludf.DUMMYFUNCTION("""COMPUTED_VALUE"""),44596)</f>
        <v>44596</v>
      </c>
      <c r="I391" s="25"/>
      <c r="J391" s="55" t="str">
        <f ca="1">IFERROR(__xludf.DUMMYFUNCTION("""COMPUTED_VALUE"""),"Alta")</f>
        <v>Alta</v>
      </c>
      <c r="K391" s="25">
        <f ca="1">IFERROR(__xludf.DUMMYFUNCTION("""COMPUTED_VALUE"""),1)</f>
        <v>1</v>
      </c>
      <c r="L391" s="62">
        <f ca="1">IFERROR(__xludf.DUMMYFUNCTION("""COMPUTED_VALUE"""),44596)</f>
        <v>44596</v>
      </c>
      <c r="M391" s="25" t="str">
        <f ca="1">IFERROR(__xludf.DUMMYFUNCTION("""COMPUTED_VALUE"""),"Obra Terminada. Entrega: Noviembre de 2022. Inagurada el 16 de diciembre. Inversión: $14.000 millones, avance del 100% en ejecución. El 16 de diciembre del 2022 se realizó la inauguración de este Centro de Salud. Los Contratos de Obra e Interventoría se e"&amp;"ncuentran en proceso de liquidación.")</f>
        <v>Obra Terminada. Entrega: Noviembre de 2022. Inagurada el 16 de diciembre. Inversión: $14.000 millones, avance del 100% en ejecución. El 16 de diciembre del 2022 se realizó la inauguración de este Centro de Salud. Los Contratos de Obra e Interventoría se encuentran en proceso de liquidación.</v>
      </c>
      <c r="N391" s="55">
        <f ca="1">IFERROR(__xludf.DUMMYFUNCTION("""COMPUTED_VALUE"""),44926)</f>
        <v>44926</v>
      </c>
      <c r="O391" s="25" t="str">
        <f t="shared" ca="1" si="0"/>
        <v>Secretaría Distrital de Salud</v>
      </c>
      <c r="P391" s="25" t="str">
        <f t="shared" si="2"/>
        <v/>
      </c>
      <c r="Q391" s="25" t="str">
        <f ca="1">IFERROR(__xludf.DUMMYFUNCTION("""COMPUTED_VALUE"""),"Corto plazo")</f>
        <v>Corto plazo</v>
      </c>
      <c r="R391" s="25"/>
      <c r="S391" s="55"/>
      <c r="T391" s="56"/>
      <c r="U391" s="25"/>
      <c r="V391" s="25"/>
      <c r="W391" s="25"/>
      <c r="X391" s="25"/>
      <c r="Y391" s="25"/>
      <c r="Z391" s="25"/>
    </row>
    <row r="392" spans="1:26" ht="52.5" customHeight="1" x14ac:dyDescent="0.25">
      <c r="A392" s="25" t="str">
        <f ca="1">IFERROR(__xludf.DUMMYFUNCTION("""COMPUTED_VALUE"""),"Salud90")</f>
        <v>Salud90</v>
      </c>
      <c r="B392" s="25" t="str">
        <f ca="1">IFERROR(__xludf.DUMMYFUNCTION("""COMPUTED_VALUE"""),"Consejo Local de Gobierno de Fontibón")</f>
        <v>Consejo Local de Gobierno de Fontibón</v>
      </c>
      <c r="C392" s="55">
        <f ca="1">IFERROR(__xludf.DUMMYFUNCTION("""COMPUTED_VALUE"""),44609)</f>
        <v>44609</v>
      </c>
      <c r="D392" s="25" t="str">
        <f ca="1">IFERROR(__xludf.DUMMYFUNCTION("""COMPUTED_VALUE"""),"Salud")</f>
        <v>Salud</v>
      </c>
      <c r="E392" s="25" t="str">
        <f ca="1">IFERROR(__xludf.DUMMYFUNCTION("""COMPUTED_VALUE"""),"Secretaría Distrital de Salud")</f>
        <v>Secretaría Distrital de Salud</v>
      </c>
      <c r="F392" s="25" t="str">
        <f ca="1">IFERROR(__xludf.DUMMYFUNCTION("""COMPUTED_VALUE"""),"Organizar campañas de prevención de enfermedades crónicas no transmisibles, como diabetes e hipertensión, y lograr la caracterización poblacional de la localidad pues en términos de salud pública no cuentan con un diagnóstico pertinente")</f>
        <v>Organizar campañas de prevención de enfermedades crónicas no transmisibles, como diabetes e hipertensión, y lograr la caracterización poblacional de la localidad pues en términos de salud pública no cuentan con un diagnóstico pertinente</v>
      </c>
      <c r="G392" s="25" t="str">
        <f ca="1">IFERROR(__xludf.DUMMYFUNCTION("""COMPUTED_VALUE"""),"09. Fontibón")</f>
        <v>09. Fontibón</v>
      </c>
      <c r="H392" s="55">
        <f ca="1">IFERROR(__xludf.DUMMYFUNCTION("""COMPUTED_VALUE"""),44631)</f>
        <v>44631</v>
      </c>
      <c r="I392" s="25"/>
      <c r="J392" s="55" t="str">
        <f ca="1">IFERROR(__xludf.DUMMYFUNCTION("""COMPUTED_VALUE"""),"Alta")</f>
        <v>Alta</v>
      </c>
      <c r="K392" s="25">
        <f ca="1">IFERROR(__xludf.DUMMYFUNCTION("""COMPUTED_VALUE"""),22)</f>
        <v>22</v>
      </c>
      <c r="L392" s="62">
        <f ca="1">IFERROR(__xludf.DUMMYFUNCTION("""COMPUTED_VALUE"""),44631)</f>
        <v>44631</v>
      </c>
      <c r="M392" s="25" t="str">
        <f ca="1">IFERROR(__xludf.DUMMYFUNCTION("""COMPUTED_VALUE"""),"Desde la Subsecretaría de Salud Pública se realizó contacto con la Consejera Local de Juventud y se llevó a cabo una reunión el 11/03/22 con las referentes de salud mental, condiciones crónicas, identificándose las necesidades de la comunidad y establecié"&amp;"ndose unos compromisos para ser desarrollados en el marco del modelo Salud a mi barrio. 
 En el Plan Local para el Cuidado de la Salud, aprobado el 30/09/22, y construido con participación de una persona delegada del Consejo Local de Juventud, se contem"&amp;"plaron 14 acciones cuidadoras orientadas a las enfermedades crónicas para la población en general y 7 para salud mental; algunas de las cuales son dirigidas específicamente a población juvenil.")</f>
        <v>Desde la Subsecretaría de Salud Pública se realizó contacto con la Consejera Local de Juventud y se llevó a cabo una reunión el 11/03/22 con las referentes de salud mental, condiciones crónicas, identificándose las necesidades de la comunidad y estableciéndose unos compromisos para ser desarrollados en el marco del modelo Salud a mi barrio. 
 En el Plan Local para el Cuidado de la Salud, aprobado el 30/09/22, y construido con participación de una persona delegada del Consejo Local de Juventud, se contemplaron 14 acciones cuidadoras orientadas a las enfermedades crónicas para la población en general y 7 para salud mental; algunas de las cuales son dirigidas específicamente a población juvenil.</v>
      </c>
      <c r="N392" s="55">
        <f ca="1">IFERROR(__xludf.DUMMYFUNCTION("""COMPUTED_VALUE"""),44926)</f>
        <v>44926</v>
      </c>
      <c r="O392" s="25" t="str">
        <f t="shared" ca="1" si="0"/>
        <v>Secretaría Distrital de Salud</v>
      </c>
      <c r="P392" s="25" t="str">
        <f t="shared" si="2"/>
        <v/>
      </c>
      <c r="Q392" s="25" t="str">
        <f ca="1">IFERROR(__xludf.DUMMYFUNCTION("""COMPUTED_VALUE"""),"Corto plazo")</f>
        <v>Corto plazo</v>
      </c>
      <c r="R392" s="25"/>
      <c r="S392" s="55"/>
      <c r="T392" s="56"/>
      <c r="U392" s="25"/>
      <c r="V392" s="25"/>
      <c r="W392" s="25"/>
      <c r="X392" s="25"/>
      <c r="Y392" s="25"/>
      <c r="Z392" s="25"/>
    </row>
    <row r="393" spans="1:26" ht="52.5" customHeight="1" x14ac:dyDescent="0.25">
      <c r="A393" s="25" t="str">
        <f ca="1">IFERROR(__xludf.DUMMYFUNCTION("""COMPUTED_VALUE"""),"Salud91")</f>
        <v>Salud91</v>
      </c>
      <c r="B393" s="25" t="str">
        <f ca="1">IFERROR(__xludf.DUMMYFUNCTION("""COMPUTED_VALUE"""),"Consejo Local de Gobienro de Teusaquillo")</f>
        <v>Consejo Local de Gobienro de Teusaquillo</v>
      </c>
      <c r="C393" s="55">
        <f ca="1">IFERROR(__xludf.DUMMYFUNCTION("""COMPUTED_VALUE"""),44651)</f>
        <v>44651</v>
      </c>
      <c r="D393" s="25" t="str">
        <f ca="1">IFERROR(__xludf.DUMMYFUNCTION("""COMPUTED_VALUE"""),"Salud")</f>
        <v>Salud</v>
      </c>
      <c r="E393" s="25" t="str">
        <f ca="1">IFERROR(__xludf.DUMMYFUNCTION("""COMPUTED_VALUE"""),"Secretaría Distrital de Salud")</f>
        <v>Secretaría Distrital de Salud</v>
      </c>
      <c r="F393" s="25" t="str">
        <f ca="1">IFERROR(__xludf.DUMMYFUNCTION("""COMPUTED_VALUE"""),"Mesa de trabajo con todos los consejeros locales de juventud y el consejo distrital de juventud para abordar temas de educación sexual y salud mental, prevención del suicidio, del consumo de SPA")</f>
        <v>Mesa de trabajo con todos los consejeros locales de juventud y el consejo distrital de juventud para abordar temas de educación sexual y salud mental, prevención del suicidio, del consumo de SPA</v>
      </c>
      <c r="G393" s="25" t="str">
        <f ca="1">IFERROR(__xludf.DUMMYFUNCTION("""COMPUTED_VALUE"""),"13. Teusaquillo")</f>
        <v>13. Teusaquillo</v>
      </c>
      <c r="H393" s="55">
        <f ca="1">IFERROR(__xludf.DUMMYFUNCTION("""COMPUTED_VALUE"""),45107)</f>
        <v>45107</v>
      </c>
      <c r="I393" s="15" t="str">
        <f ca="1">IFERROR(__xludf.DUMMYFUNCTION("""COMPUTED_VALUE"""),"Delivery Unit")</f>
        <v>Delivery Unit</v>
      </c>
      <c r="J393" s="55" t="str">
        <f ca="1">IFERROR(__xludf.DUMMYFUNCTION("""COMPUTED_VALUE"""),"Alta")</f>
        <v>Alta</v>
      </c>
      <c r="K393" s="25">
        <f ca="1">IFERROR(__xludf.DUMMYFUNCTION("""COMPUTED_VALUE"""),456)</f>
        <v>456</v>
      </c>
      <c r="L393" s="62">
        <f ca="1">IFERROR(__xludf.DUMMYFUNCTION("""COMPUTED_VALUE"""),45077)</f>
        <v>45077</v>
      </c>
      <c r="M393" s="25" t="str">
        <f ca="1">IFERROR(__xludf.DUMMYFUNCTION("""COMPUTED_VALUE"""),"Se han realizado mesas de trabajo con todos los consejeros locales de juventud y el consejo distrital de juventud cada mes,  para abordar las temáticas de salud sexual y reproductiva, consumo de SPA, salud mental y prevención del suicidio, de la siguiente"&amp;" manera: 
1. Se realizaron mesas de trabajo en los meses de febrero, marzo y abril con el consejo distrital de juventud para definir el cronograma y actividades de las diferentes temáticas.
2. Se realizará un curso de primer respondiente y primeros auxili"&amp;"os en salud mental, estamos pendientes que secretaría de gobierno envíen el listado de jóvenes para programar la fecha.
3. Con el programa de Salud a mi Barrio se está implementando en las universidades todos los meses, consultas de Salud Mental, consumo "&amp;"de sustancias psicoactivas, salud sexual entre otros.
4. En la semana de la juventud que se realizará entre el 7 y 14 de agosto se está programando una jornada en materia de salud sexual y reproductiva.
5. El día 25 de mayo se llevo a cabo una metodología"&amp;" de grupo focal con la población jóven, sobre el módulo de sexualidad, derechos sexuales y derechos reproductivos.")</f>
        <v>Se han realizado mesas de trabajo con todos los consejeros locales de juventud y el consejo distrital de juventud cada mes,  para abordar las temáticas de salud sexual y reproductiva, consumo de SPA, salud mental y prevención del suicidio, de la siguiente manera: 
1. Se realizaron mesas de trabajo en los meses de febrero, marzo y abril con el consejo distrital de juventud para definir el cronograma y actividades de las diferentes temáticas.
2. Se realizará un curso de primer respondiente y primeros auxilios en salud mental, estamos pendientes que secretaría de gobierno envíen el listado de jóvenes para programar la fecha.
3. Con el programa de Salud a mi Barrio se está implementando en las universidades todos los meses, consultas de Salud Mental, consumo de sustancias psicoactivas, salud sexual entre otros.
4. En la semana de la juventud que se realizará entre el 7 y 14 de agosto se está programando una jornada en materia de salud sexual y reproductiva.
5. El día 25 de mayo se llevo a cabo una metodología de grupo focal con la población jóven, sobre el módulo de sexualidad, derechos sexuales y derechos reproductivos.</v>
      </c>
      <c r="N393" s="25"/>
      <c r="O393" s="25" t="str">
        <f t="shared" ca="1" si="0"/>
        <v>Secretaría Distrital de Salud</v>
      </c>
      <c r="P393" s="25" t="str">
        <f t="shared" ca="1" si="2"/>
        <v/>
      </c>
      <c r="Q393" s="25" t="str">
        <f ca="1">IFERROR(__xludf.DUMMYFUNCTION("""COMPUTED_VALUE"""),"Largo plazo")</f>
        <v>Largo plazo</v>
      </c>
      <c r="R393" s="25"/>
      <c r="S393" s="55"/>
      <c r="T393" s="56"/>
      <c r="U393" s="25"/>
      <c r="V393" s="25"/>
      <c r="W393" s="25"/>
      <c r="X393" s="25"/>
      <c r="Y393" s="25"/>
      <c r="Z393" s="25"/>
    </row>
    <row r="394" spans="1:26" ht="52.5" customHeight="1" x14ac:dyDescent="0.25">
      <c r="A394" s="25" t="str">
        <f ca="1">IFERROR(__xludf.DUMMYFUNCTION("""COMPUTED_VALUE"""),"Salud92")</f>
        <v>Salud92</v>
      </c>
      <c r="B394" s="25" t="str">
        <f ca="1">IFERROR(__xludf.DUMMYFUNCTION("""COMPUTED_VALUE"""),"Consejo Local de Gobierno de San Crisóbal")</f>
        <v>Consejo Local de Gobierno de San Crisóbal</v>
      </c>
      <c r="C394" s="55">
        <f ca="1">IFERROR(__xludf.DUMMYFUNCTION("""COMPUTED_VALUE"""),44700)</f>
        <v>44700</v>
      </c>
      <c r="D394" s="25" t="str">
        <f ca="1">IFERROR(__xludf.DUMMYFUNCTION("""COMPUTED_VALUE"""),"Salud")</f>
        <v>Salud</v>
      </c>
      <c r="E394" s="25" t="str">
        <f ca="1">IFERROR(__xludf.DUMMYFUNCTION("""COMPUTED_VALUE"""),"Secretaría Distrital de Salud")</f>
        <v>Secretaría Distrital de Salud</v>
      </c>
      <c r="F394" s="25" t="str">
        <f ca="1">IFERROR(__xludf.DUMMYFUNCTION("""COMPUTED_VALUE"""),"Continuar con la mesa de trabajo del Hospital La Victoria para solucionar los problemas reportados en la prestación de servicios")</f>
        <v>Continuar con la mesa de trabajo del Hospital La Victoria para solucionar los problemas reportados en la prestación de servicios</v>
      </c>
      <c r="G394" s="25" t="str">
        <f ca="1">IFERROR(__xludf.DUMMYFUNCTION("""COMPUTED_VALUE"""),"04. San Cristóbal")</f>
        <v>04. San Cristóbal</v>
      </c>
      <c r="H394" s="55">
        <f ca="1">IFERROR(__xludf.DUMMYFUNCTION("""COMPUTED_VALUE"""),44893)</f>
        <v>44893</v>
      </c>
      <c r="I394" s="25"/>
      <c r="J394" s="55" t="str">
        <f ca="1">IFERROR(__xludf.DUMMYFUNCTION("""COMPUTED_VALUE"""),"Baja")</f>
        <v>Baja</v>
      </c>
      <c r="K394" s="25">
        <f ca="1">IFERROR(__xludf.DUMMYFUNCTION("""COMPUTED_VALUE"""),193)</f>
        <v>193</v>
      </c>
      <c r="L394" s="62">
        <f ca="1">IFERROR(__xludf.DUMMYFUNCTION("""COMPUTED_VALUE"""),44893)</f>
        <v>44893</v>
      </c>
      <c r="M394" s="25" t="str">
        <f ca="1">IFERROR(__xludf.DUMMYFUNCTION("""COMPUTED_VALUE"""),"Por parte del Coordinador Local de Salud - Modelo Territorial de Salud de San Cristóbal Se realiza contacto con el señor Luis Rodríguez, quien es miembro activo de la Mesa Local por el Cuidado de la Salud. Manifiesta el señor Rodríguez, que de manera cont"&amp;"ínua ha seguido en contacto y trabajando en temas de interés en salud, para beneficio de la comunidad en general. Se acuerda entre el señor Luis Rodríguez y el Coordinador Local de Salud, gestionar y concretar agenda para relializar reunión entre la prime"&amp;"ra y segunda semana de Diciembre, con el Dr. Gulliermo Rubio, Subgerente de Prestación de Servicios de Salud de la Subred integrada de Servicios de Salud Centro Oriente, para habar de temas de servicios en el Hospital de la Victoria.
 ACCIONES ADOPTADAS"&amp;" DESDE LA SUBSECRETARÍA DE SERVICIOS DE SALUD Y ASEGURAMIENTO – DIRECCIÓN DE CALIDAD DE SERVICIOS DE SALUD 
 La Secretaria de Salud recibió copia el informe de la visita practicada en la Subred Integrada de Servicios de Salud Centro Oriente ESE, en sus Un"&amp;"idades de Servicios de Salud Victoria, por parte de la Superintendencia Nacional de Salud en mayo de la presente anualidad. Es así que, desde la Dirección de Calidad de Servicios de Salud y sus dos subdirecciones: Subdirección de Inspección, Vigilancia y "&amp;"Control de Servicios de Salud y Subdirección de Calidad y Seguridad en Servicios de Salud, como parte de las acciones y actividades que realizará esta Secretaría en el marco de las funciones descritas y en el marco de las funciones establecidas en los art"&amp;"ículos 19 a 20 del Decreto Distrital 507 de 2013 y de los hallazgos evidenciados por el ente de control, efectuarán visitas de verificación y control a la Subred Integrada de Servicios de Salud Centro Oriente E.S.E. en sus Unidades de Servicios de Salud f"&amp;"rente a los componentes del Sistema Obligatorio de Garantía de Calidad en Salud (SOGCS).
 Con ocasión a lo anterior, este ente territorial mediante oficio 2022EE117258 del 07 de octubre de la presente anualidad, se radico ante la Superintendencia Nacional"&amp;" de Salud, el plan de mejora instaurado para la Subred Integrada de Servicios de Salud Centro Oriente E.S.E. en el que se incluyen asistencias técnicas y capacitaciones, visitas de verificación del cumplimiento de las condiciones de habilitación y de cont"&amp;"rol, en virtud de los hallazgos evidenciados por esa Superintendencia en el Informe de visita Subred Integrada de Servicios de Salud Centro Oriente ESE, ordenada mediante Autos N° 2022410020000470-7 del 02 de mayo de 2022 y 2022410020000483-7.
 En ese sen"&amp;"tido, indicamos los avances de las acciones adelantadas para la Unidad de Servicios de Salud Victoria:
 a. Realización de visita de verificación desde Inspección Vigilancia y Control.
 De acuerdo con lo evidenciado en la visita de verificación efectuada d"&amp;"el 21, 22, 23, 26, 27, 28 y 30 septiembre, y 03, 04, 05, 06 y 12 de octubre 2022, no se autoriza certificación de la institución para los servicios habilitados por incumplimiento a los estándares de habilitación de talento humano, infraestructura, dotació"&amp;"n, medicamentos, dispositivos médicos e insumos, procesos prioritarios, historia clínica y registros, interdependencia y condiciones de suficiencia patrimonial y financiera; se impuso medida de seguridad temporal y preventiva consistente en la suspensión "&amp;"total de servicios, destrucción de productos, congelamiento de equipos y suspensión a uso de equipos.
 Como consecuencia de lo anterior, se procede a iniciar proceso administrativo sancionatorio de acuerdo con lo establecido en el artículo 2.5.3.7.17 del "&amp;"Decreto 780 de 2016 expedido por el Ministerio de Salud y Protección Social “Por medio del cual se expide el Decreto Único Reglamentario del Sector Salud y Protección Social”.
 b. Asistencias técnicas y acompañamientos.
 Se realizaron asistencias técnicas"&amp;" de acuerdo con las necesidades evidenciadas en la Unidad de Servicios la Victoria.
 El 15 de septiembre se efectuó visita para realizar acompañamiento técnico a la institución en beneficio de la prevención de riesgos para los pacientes promoviendo el mej"&amp;"oramiento continuo.
 Dentro de las acciones de fortalecimiento en el Sistema Único de Habilitación –SUH del 3 al 13 de octubre se realizó asesoría en campo a la Subred Integrada de Servicios de Salud Centro Oriente E.S.E. en su sede Unidad de Servicios de"&amp;" Salud Victoria para orientar sobre los estándares y criterios del Sistema Único de Habilitación establecidos de acuerdo con lo definido en la Resolución 3100 de 2019.
 Finalmente, el 31 de octubre se realizó asistencia técnica en humanización y su articu"&amp;"lación con los estándares con el Sistema Único de Habilitación, contando con 216 participantes de la Subred Integrada de Servicios de Salud Centro Oriente E.S.E.")</f>
        <v>Por parte del Coordinador Local de Salud - Modelo Territorial de Salud de San Cristóbal Se realiza contacto con el señor Luis Rodríguez, quien es miembro activo de la Mesa Local por el Cuidado de la Salud. Manifiesta el señor Rodríguez, que de manera contínua ha seguido en contacto y trabajando en temas de interés en salud, para beneficio de la comunidad en general. Se acuerda entre el señor Luis Rodríguez y el Coordinador Local de Salud, gestionar y concretar agenda para relializar reunión entre la primera y segunda semana de Diciembre, con el Dr. Gulliermo Rubio, Subgerente de Prestación de Servicios de Salud de la Subred integrada de Servicios de Salud Centro Oriente, para habar de temas de servicios en el Hospital de la Victoria.
 ACCIONES ADOPTADAS DESDE LA SUBSECRETARÍA DE SERVICIOS DE SALUD Y ASEGURAMIENTO – DIRECCIÓN DE CALIDAD DE SERVICIOS DE SALUD 
 La Secretaria de Salud recibió copia el informe de la visita practicada en la Subred Integrada de Servicios de Salud Centro Oriente ESE, en sus Unidades de Servicios de Salud Victoria, por parte de la Superintendencia Nacional de Salud en mayo de la presente anualidad. Es así que, desde la Dirección de Calidad de Servicios de Salud y sus dos subdirecciones: Subdirección de Inspección, Vigilancia y Control de Servicios de Salud y Subdirección de Calidad y Seguridad en Servicios de Salud, como parte de las acciones y actividades que realizará esta Secretaría en el marco de las funciones descritas y en el marco de las funciones establecidas en los artículos 19 a 20 del Decreto Distrital 507 de 2013 y de los hallazgos evidenciados por el ente de control, efectuarán visitas de verificación y control a la Subred Integrada de Servicios de Salud Centro Oriente E.S.E. en sus Unidades de Servicios de Salud frente a los componentes del Sistema Obligatorio de Garantía de Calidad en Salud (SOGCS).
 Con ocasión a lo anterior, este ente territorial mediante oficio 2022EE117258 del 07 de octubre de la presente anualidad, se radico ante la Superintendencia Nacional de Salud, el plan de mejora instaurado para la Subred Integrada de Servicios de Salud Centro Oriente E.S.E. en el que se incluyen asistencias técnicas y capacitaciones, visitas de verificación del cumplimiento de las condiciones de habilitación y de control, en virtud de los hallazgos evidenciados por esa Superintendencia en el Informe de visita Subred Integrada de Servicios de Salud Centro Oriente ESE, ordenada mediante Autos N° 2022410020000470-7 del 02 de mayo de 2022 y 2022410020000483-7.
 En ese sentido, indicamos los avances de las acciones adelantadas para la Unidad de Servicios de Salud Victoria:
 a. Realización de visita de verificación desde Inspección Vigilancia y Control.
 De acuerdo con lo evidenciado en la visita de verificación efectuada del 21, 22, 23, 26, 27, 28 y 30 septiembre, y 03, 04, 05, 06 y 12 de octubre 2022, no se autoriza certificación de la institución para los servicios habilitados por incumplimiento a los estándares de habilitación de talento humano, infraestructura, dotación, medicamentos, dispositivos médicos e insumos, procesos prioritarios, historia clínica y registros, interdependencia y condiciones de suficiencia patrimonial y financiera; se impuso medida de seguridad temporal y preventiva consistente en la suspensión total de servicios, destrucción de productos, congelamiento de equipos y suspensión a uso de equipos.
 Como consecuencia de lo anterior, se procede a iniciar proceso administrativo sancionatorio de acuerdo con lo establecido en el artículo 2.5.3.7.17 del Decreto 780 de 2016 expedido por el Ministerio de Salud y Protección Social “Por medio del cual se expide el Decreto Único Reglamentario del Sector Salud y Protección Social”.
 b. Asistencias técnicas y acompañamientos.
 Se realizaron asistencias técnicas de acuerdo con las necesidades evidenciadas en la Unidad de Servicios la Victoria.
 El 15 de septiembre se efectuó visita para realizar acompañamiento técnico a la institución en beneficio de la prevención de riesgos para los pacientes promoviendo el mejoramiento continuo.
 Dentro de las acciones de fortalecimiento en el Sistema Único de Habilitación –SUH del 3 al 13 de octubre se realizó asesoría en campo a la Subred Integrada de Servicios de Salud Centro Oriente E.S.E. en su sede Unidad de Servicios de Salud Victoria para orientar sobre los estándares y criterios del Sistema Único de Habilitación establecidos de acuerdo con lo definido en la Resolución 3100 de 2019.
 Finalmente, el 31 de octubre se realizó asistencia técnica en humanización y su articulación con los estándares con el Sistema Único de Habilitación, contando con 216 participantes de la Subred Integrada de Servicios de Salud Centro Oriente E.S.E.</v>
      </c>
      <c r="N394" s="55">
        <f ca="1">IFERROR(__xludf.DUMMYFUNCTION("""COMPUTED_VALUE"""),44926)</f>
        <v>44926</v>
      </c>
      <c r="O394" s="25" t="str">
        <f t="shared" ca="1" si="0"/>
        <v>Secretaría Distrital de Salud</v>
      </c>
      <c r="P394" s="25" t="str">
        <f t="shared" si="2"/>
        <v/>
      </c>
      <c r="Q394" s="25" t="str">
        <f ca="1">IFERROR(__xludf.DUMMYFUNCTION("""COMPUTED_VALUE"""),"Largo plazo")</f>
        <v>Largo plazo</v>
      </c>
      <c r="R394" s="25"/>
      <c r="S394" s="55"/>
      <c r="T394" s="56"/>
      <c r="U394" s="25"/>
      <c r="V394" s="25"/>
      <c r="W394" s="25"/>
      <c r="X394" s="25"/>
      <c r="Y394" s="25"/>
      <c r="Z394" s="25"/>
    </row>
    <row r="395" spans="1:26" ht="52.5" customHeight="1" x14ac:dyDescent="0.25">
      <c r="A395" s="25" t="str">
        <f ca="1">IFERROR(__xludf.DUMMYFUNCTION("""COMPUTED_VALUE"""),"Salud93")</f>
        <v>Salud93</v>
      </c>
      <c r="B395" s="25" t="str">
        <f ca="1">IFERROR(__xludf.DUMMYFUNCTION("""COMPUTED_VALUE"""),"Consejo Local de Giobierno de Rafael uribe Uribe")</f>
        <v>Consejo Local de Giobierno de Rafael uribe Uribe</v>
      </c>
      <c r="C395" s="55">
        <f ca="1">IFERROR(__xludf.DUMMYFUNCTION("""COMPUTED_VALUE"""),44714)</f>
        <v>44714</v>
      </c>
      <c r="D395" s="25" t="str">
        <f ca="1">IFERROR(__xludf.DUMMYFUNCTION("""COMPUTED_VALUE"""),"Salud")</f>
        <v>Salud</v>
      </c>
      <c r="E395" s="25" t="str">
        <f ca="1">IFERROR(__xludf.DUMMYFUNCTION("""COMPUTED_VALUE"""),"Secretaría Distrital de Salud")</f>
        <v>Secretaría Distrital de Salud</v>
      </c>
      <c r="F395" s="25" t="str">
        <f ca="1">IFERROR(__xludf.DUMMYFUNCTION("""COMPUTED_VALUE"""),"Entrega del centro de salud Diana Turbay")</f>
        <v>Entrega del centro de salud Diana Turbay</v>
      </c>
      <c r="G395" s="25" t="str">
        <f ca="1">IFERROR(__xludf.DUMMYFUNCTION("""COMPUTED_VALUE"""),"18. Rafael Uribe Uribe")</f>
        <v>18. Rafael Uribe Uribe</v>
      </c>
      <c r="H395" s="55">
        <f ca="1">IFERROR(__xludf.DUMMYFUNCTION("""COMPUTED_VALUE"""),44893)</f>
        <v>44893</v>
      </c>
      <c r="I395" s="25"/>
      <c r="J395" s="55" t="str">
        <f ca="1">IFERROR(__xludf.DUMMYFUNCTION("""COMPUTED_VALUE"""),"Media")</f>
        <v>Media</v>
      </c>
      <c r="K395" s="25">
        <f ca="1">IFERROR(__xludf.DUMMYFUNCTION("""COMPUTED_VALUE"""),179)</f>
        <v>179</v>
      </c>
      <c r="L395" s="62">
        <f ca="1">IFERROR(__xludf.DUMMYFUNCTION("""COMPUTED_VALUE"""),44893)</f>
        <v>44893</v>
      </c>
      <c r="M395" s="25" t="str">
        <f ca="1">IFERROR(__xludf.DUMMYFUNCTION("""COMPUTED_VALUE"""),"La obra del nuevo Centro de Salud Diana Turbay se ubica en la Calle 42 X Bis Sur # 1 - 61, barrio Diana Turbay en la localidad de Rafael Uribe Uribe. 
 El proyecto es construido en el mismo lugar donde funcionaba el antiguo centro de salud que ha sido e"&amp;"sperado por la comunidad desde décadas y hoy cuenta con una extensión de 3.975 metros cuadrados que permitirán ampliar los servicios de salud para atender a más de 271 mil habitantes de la localidad y sus alrededores, en especial de la zona alta que compr"&amp;"ende los barrios Marruecos, Marco Fidel Suarez y Diana Turbay.
 Actualmente, la obra cuenta con un porcentaje de ejecución del 96,99%, la infraestructura se encuentra terminada y está en proceso instalación de la dotación biomédica, se están realizando "&amp;"algunas posventas a nivel estético como pintura, arreglo de filos y limpieza. El predio ya cuenta con medidor para definitiva de Acueducto, y se encuentra en trámite con ENEL la instalación definitiva del servicio de energía, de la cual está pendiente una"&amp;" visita para recepción de obra y la revisión documental final. La entrega se encuentra programada para el 16 de diciembre del 2022.")</f>
        <v>La obra del nuevo Centro de Salud Diana Turbay se ubica en la Calle 42 X Bis Sur # 1 - 61, barrio Diana Turbay en la localidad de Rafael Uribe Uribe. 
 El proyecto es construido en el mismo lugar donde funcionaba el antiguo centro de salud que ha sido esperado por la comunidad desde décadas y hoy cuenta con una extensión de 3.975 metros cuadrados que permitirán ampliar los servicios de salud para atender a más de 271 mil habitantes de la localidad y sus alrededores, en especial de la zona alta que comprende los barrios Marruecos, Marco Fidel Suarez y Diana Turbay.
 Actualmente, la obra cuenta con un porcentaje de ejecución del 96,99%, la infraestructura se encuentra terminada y está en proceso instalación de la dotación biomédica, se están realizando algunas posventas a nivel estético como pintura, arreglo de filos y limpieza. El predio ya cuenta con medidor para definitiva de Acueducto, y se encuentra en trámite con ENEL la instalación definitiva del servicio de energía, de la cual está pendiente una visita para recepción de obra y la revisión documental final. La entrega se encuentra programada para el 16 de diciembre del 2022.</v>
      </c>
      <c r="N395" s="55">
        <f ca="1">IFERROR(__xludf.DUMMYFUNCTION("""COMPUTED_VALUE"""),44926)</f>
        <v>44926</v>
      </c>
      <c r="O395" s="25" t="str">
        <f t="shared" ca="1" si="0"/>
        <v>Secretaría Distrital de Salud</v>
      </c>
      <c r="P395" s="25" t="str">
        <f t="shared" si="2"/>
        <v/>
      </c>
      <c r="Q395" s="25" t="str">
        <f ca="1">IFERROR(__xludf.DUMMYFUNCTION("""COMPUTED_VALUE"""),"Mediano plazo")</f>
        <v>Mediano plazo</v>
      </c>
      <c r="R395" s="25"/>
      <c r="S395" s="55"/>
      <c r="T395" s="56"/>
      <c r="U395" s="25"/>
      <c r="V395" s="25"/>
      <c r="W395" s="25"/>
      <c r="X395" s="25"/>
      <c r="Y395" s="25"/>
      <c r="Z395" s="25"/>
    </row>
    <row r="396" spans="1:26" ht="52.5" customHeight="1" x14ac:dyDescent="0.25">
      <c r="A396" s="25" t="str">
        <f ca="1">IFERROR(__xludf.DUMMYFUNCTION("""COMPUTED_VALUE"""),"Salud94")</f>
        <v>Salud94</v>
      </c>
      <c r="B396" s="25" t="str">
        <f ca="1">IFERROR(__xludf.DUMMYFUNCTION("""COMPUTED_VALUE"""),"Consejo Local de Gobierno de Sumapaz")</f>
        <v>Consejo Local de Gobierno de Sumapaz</v>
      </c>
      <c r="C396" s="55">
        <f ca="1">IFERROR(__xludf.DUMMYFUNCTION("""COMPUTED_VALUE"""),44821)</f>
        <v>44821</v>
      </c>
      <c r="D396" s="25" t="str">
        <f ca="1">IFERROR(__xludf.DUMMYFUNCTION("""COMPUTED_VALUE"""),"Salud")</f>
        <v>Salud</v>
      </c>
      <c r="E396" s="25" t="str">
        <f ca="1">IFERROR(__xludf.DUMMYFUNCTION("""COMPUTED_VALUE"""),"Secretaría Distrital de Salud")</f>
        <v>Secretaría Distrital de Salud</v>
      </c>
      <c r="F396" s="25" t="str">
        <f ca="1">IFERROR(__xludf.DUMMYFUNCTION("""COMPUTED_VALUE"""),"Entrega de 2 ambulancias a la localidad de Sumapaz")</f>
        <v>Entrega de 2 ambulancias a la localidad de Sumapaz</v>
      </c>
      <c r="G396" s="25" t="str">
        <f ca="1">IFERROR(__xludf.DUMMYFUNCTION("""COMPUTED_VALUE"""),"20. Sumapaz")</f>
        <v>20. Sumapaz</v>
      </c>
      <c r="H396" s="55">
        <f ca="1">IFERROR(__xludf.DUMMYFUNCTION("""COMPUTED_VALUE"""),44893)</f>
        <v>44893</v>
      </c>
      <c r="I396" s="25"/>
      <c r="J396" s="55" t="str">
        <f ca="1">IFERROR(__xludf.DUMMYFUNCTION("""COMPUTED_VALUE"""),"Media")</f>
        <v>Media</v>
      </c>
      <c r="K396" s="25">
        <f ca="1">IFERROR(__xludf.DUMMYFUNCTION("""COMPUTED_VALUE"""),72)</f>
        <v>72</v>
      </c>
      <c r="L396" s="62">
        <f ca="1">IFERROR(__xludf.DUMMYFUNCTION("""COMPUTED_VALUE"""),44893)</f>
        <v>44893</v>
      </c>
      <c r="M396" s="25" t="str">
        <f ca="1">IFERROR(__xludf.DUMMYFUNCTION("""COMPUTED_VALUE"""),"Se hizo la entrega de 2 de ambulancias asignadas a la localidad de Sumapaz, una basica y una medicalizada")</f>
        <v>Se hizo la entrega de 2 de ambulancias asignadas a la localidad de Sumapaz, una basica y una medicalizada</v>
      </c>
      <c r="N396" s="55">
        <f ca="1">IFERROR(__xludf.DUMMYFUNCTION("""COMPUTED_VALUE"""),44926)</f>
        <v>44926</v>
      </c>
      <c r="O396" s="25" t="str">
        <f t="shared" ca="1" si="0"/>
        <v>Secretaría Distrital de Salud</v>
      </c>
      <c r="P396" s="25" t="str">
        <f t="shared" si="2"/>
        <v/>
      </c>
      <c r="Q396" s="25" t="str">
        <f ca="1">IFERROR(__xludf.DUMMYFUNCTION("""COMPUTED_VALUE"""),"Mediano plazo")</f>
        <v>Mediano plazo</v>
      </c>
      <c r="R396" s="25"/>
      <c r="S396" s="55"/>
      <c r="T396" s="56"/>
      <c r="U396" s="25"/>
      <c r="V396" s="25"/>
      <c r="W396" s="25"/>
      <c r="X396" s="25"/>
      <c r="Y396" s="25"/>
      <c r="Z396" s="25"/>
    </row>
    <row r="397" spans="1:26" ht="52.5" customHeight="1" x14ac:dyDescent="0.25">
      <c r="A397" s="25" t="str">
        <f ca="1">IFERROR(__xludf.DUMMYFUNCTION("""COMPUTED_VALUE"""),"Salud95")</f>
        <v>Salud95</v>
      </c>
      <c r="B397" s="25"/>
      <c r="C397" s="55"/>
      <c r="D397" s="25" t="str">
        <f ca="1">IFERROR(__xludf.DUMMYFUNCTION("""COMPUTED_VALUE"""),"Salud")</f>
        <v>Salud</v>
      </c>
      <c r="E397" s="25" t="str">
        <f ca="1">IFERROR(__xludf.DUMMYFUNCTION("""COMPUTED_VALUE"""),"Secretaría Distrital de Salud")</f>
        <v>Secretaría Distrital de Salud</v>
      </c>
      <c r="F397" s="25" t="str">
        <f ca="1">IFERROR(__xludf.DUMMYFUNCTION("""COMPUTED_VALUE"""),"Eliminada")</f>
        <v>Eliminada</v>
      </c>
      <c r="G397" s="25"/>
      <c r="H397" s="25"/>
      <c r="I397" s="25"/>
      <c r="J397" s="55"/>
      <c r="K397" s="25" t="str">
        <f ca="1">IFERROR(__xludf.DUMMYFUNCTION("""COMPUTED_VALUE"""),"Definir fecha")</f>
        <v>Definir fecha</v>
      </c>
      <c r="L397" s="62">
        <f ca="1">IFERROR(__xludf.DUMMYFUNCTION("""COMPUTED_VALUE"""),45077)</f>
        <v>45077</v>
      </c>
      <c r="M397" s="25"/>
      <c r="N397" s="25"/>
      <c r="O397" s="25" t="str">
        <f t="shared" ca="1" si="0"/>
        <v>Secretaría Distrital de Salud</v>
      </c>
      <c r="P397" s="25" t="str">
        <f t="shared" si="2"/>
        <v/>
      </c>
      <c r="Q397" s="25" t="str">
        <f ca="1">IFERROR(__xludf.DUMMYFUNCTION("""COMPUTED_VALUE"""),"Sin defenir")</f>
        <v>Sin defenir</v>
      </c>
      <c r="R397" s="25"/>
      <c r="S397" s="55"/>
      <c r="T397" s="56"/>
      <c r="U397" s="25"/>
      <c r="V397" s="25"/>
      <c r="W397" s="25"/>
      <c r="X397" s="25"/>
      <c r="Y397" s="25"/>
      <c r="Z397" s="25"/>
    </row>
    <row r="398" spans="1:26" ht="52.5" customHeight="1" x14ac:dyDescent="0.25">
      <c r="A398" s="25" t="str">
        <f ca="1">IFERROR(__xludf.DUMMYFUNCTION("""COMPUTED_VALUE"""),"Salud96")</f>
        <v>Salud96</v>
      </c>
      <c r="B398" s="25"/>
      <c r="C398" s="55"/>
      <c r="D398" s="25" t="str">
        <f ca="1">IFERROR(__xludf.DUMMYFUNCTION("""COMPUTED_VALUE"""),"Salud")</f>
        <v>Salud</v>
      </c>
      <c r="E398" s="25" t="str">
        <f ca="1">IFERROR(__xludf.DUMMYFUNCTION("""COMPUTED_VALUE"""),"Secretaría Distrital de Salud")</f>
        <v>Secretaría Distrital de Salud</v>
      </c>
      <c r="F398" s="25" t="str">
        <f ca="1">IFERROR(__xludf.DUMMYFUNCTION("""COMPUTED_VALUE"""),"Eliminada")</f>
        <v>Eliminada</v>
      </c>
      <c r="G398" s="25"/>
      <c r="H398" s="25"/>
      <c r="I398" s="25"/>
      <c r="J398" s="55"/>
      <c r="K398" s="25" t="str">
        <f ca="1">IFERROR(__xludf.DUMMYFUNCTION("""COMPUTED_VALUE"""),"Definir fecha")</f>
        <v>Definir fecha</v>
      </c>
      <c r="L398" s="62">
        <f ca="1">IFERROR(__xludf.DUMMYFUNCTION("""COMPUTED_VALUE"""),45077)</f>
        <v>45077</v>
      </c>
      <c r="M398" s="25"/>
      <c r="N398" s="25"/>
      <c r="O398" s="25" t="str">
        <f t="shared" ca="1" si="0"/>
        <v>Secretaría Distrital de Salud</v>
      </c>
      <c r="P398" s="25" t="str">
        <f t="shared" si="2"/>
        <v/>
      </c>
      <c r="Q398" s="25" t="str">
        <f ca="1">IFERROR(__xludf.DUMMYFUNCTION("""COMPUTED_VALUE"""),"Sin defenir")</f>
        <v>Sin defenir</v>
      </c>
      <c r="R398" s="25"/>
      <c r="S398" s="55"/>
      <c r="T398" s="56"/>
      <c r="U398" s="25"/>
      <c r="V398" s="25"/>
      <c r="W398" s="25"/>
      <c r="X398" s="25"/>
      <c r="Y398" s="25"/>
      <c r="Z398" s="25"/>
    </row>
    <row r="399" spans="1:26" ht="52.5" customHeight="1" x14ac:dyDescent="0.25">
      <c r="A399" s="25" t="str">
        <f ca="1">IFERROR(__xludf.DUMMYFUNCTION("""COMPUTED_VALUE"""),"Salud97")</f>
        <v>Salud97</v>
      </c>
      <c r="B399" s="25" t="str">
        <f ca="1">IFERROR(__xludf.DUMMYFUNCTION("""COMPUTED_VALUE"""),"Recorrido Usaquén")</f>
        <v>Recorrido Usaquén</v>
      </c>
      <c r="C399" s="55">
        <f ca="1">IFERROR(__xludf.DUMMYFUNCTION("""COMPUTED_VALUE"""),45034)</f>
        <v>45034</v>
      </c>
      <c r="D399" s="25" t="str">
        <f ca="1">IFERROR(__xludf.DUMMYFUNCTION("""COMPUTED_VALUE"""),"Salud")</f>
        <v>Salud</v>
      </c>
      <c r="E399" s="25" t="str">
        <f ca="1">IFERROR(__xludf.DUMMYFUNCTION("""COMPUTED_VALUE"""),"Secretaría Distrital de Salud")</f>
        <v>Secretaría Distrital de Salud</v>
      </c>
      <c r="F399" s="25" t="str">
        <f ca="1">IFERROR(__xludf.DUMMYFUNCTION("""COMPUTED_VALUE"""),"Realizar la entrega e inauguración del Centro de Salud Verbenal.")</f>
        <v>Realizar la entrega e inauguración del Centro de Salud Verbenal.</v>
      </c>
      <c r="G399" s="25" t="str">
        <f ca="1">IFERROR(__xludf.DUMMYFUNCTION("""COMPUTED_VALUE"""),"01. Usaquén")</f>
        <v>01. Usaquén</v>
      </c>
      <c r="H399" s="55">
        <f ca="1">IFERROR(__xludf.DUMMYFUNCTION("""COMPUTED_VALUE"""),45107)</f>
        <v>45107</v>
      </c>
      <c r="I399" s="25" t="str">
        <f ca="1">IFERROR(__xludf.DUMMYFUNCTION("""COMPUTED_VALUE"""),"Secretaría Privada")</f>
        <v>Secretaría Privada</v>
      </c>
      <c r="J399" s="55" t="str">
        <f ca="1">IFERROR(__xludf.DUMMYFUNCTION("""COMPUTED_VALUE"""),"Media")</f>
        <v>Media</v>
      </c>
      <c r="K399" s="25">
        <f ca="1">IFERROR(__xludf.DUMMYFUNCTION("""COMPUTED_VALUE"""),73)</f>
        <v>73</v>
      </c>
      <c r="L399" s="62">
        <f ca="1">IFERROR(__xludf.DUMMYFUNCTION("""COMPUTED_VALUE"""),45077)</f>
        <v>45077</v>
      </c>
      <c r="M399" s="25" t="str">
        <f ca="1">IFERROR(__xludf.DUMMYFUNCTION("""COMPUTED_VALUE"""),"Se tiene prevista la entrega e inauguración para el día 18 de julio de 2023. No obstante que a la fecha los contratos derivados se encuentran suspendidos a la espera del modificatorio de prórroga del convenio y autorización de uso de excedentes, la Subred"&amp;" no ha manifestado cambio en la fecha informada")</f>
        <v>Se tiene prevista la entrega e inauguración para el día 18 de julio de 2023. No obstante que a la fecha los contratos derivados se encuentran suspendidos a la espera del modificatorio de prórroga del convenio y autorización de uso de excedentes, la Subred no ha manifestado cambio en la fecha informada</v>
      </c>
      <c r="N399" s="25"/>
      <c r="O399" s="25" t="str">
        <f t="shared" ca="1" si="0"/>
        <v>Secretaría Distrital de Salud</v>
      </c>
      <c r="P399" s="25" t="str">
        <f t="shared" ca="1" si="2"/>
        <v/>
      </c>
      <c r="Q399" s="25" t="str">
        <f ca="1">IFERROR(__xludf.DUMMYFUNCTION("""COMPUTED_VALUE"""),"Mediano plazo")</f>
        <v>Mediano plazo</v>
      </c>
      <c r="R399" s="25"/>
      <c r="S399" s="55"/>
      <c r="T399" s="56"/>
      <c r="U399" s="25"/>
      <c r="V399" s="25"/>
      <c r="W399" s="25"/>
      <c r="X399" s="25"/>
      <c r="Y399" s="25"/>
      <c r="Z399" s="25"/>
    </row>
    <row r="400" spans="1:26" ht="52.5" customHeight="1" x14ac:dyDescent="0.25">
      <c r="A400" s="25" t="str">
        <f ca="1">IFERROR(__xludf.DUMMYFUNCTION("""COMPUTED_VALUE"""),"Salud98")</f>
        <v>Salud98</v>
      </c>
      <c r="B400" s="25" t="str">
        <f ca="1">IFERROR(__xludf.DUMMYFUNCTION("""COMPUTED_VALUE"""),"Recorrido Usaquén")</f>
        <v>Recorrido Usaquén</v>
      </c>
      <c r="C400" s="55">
        <f ca="1">IFERROR(__xludf.DUMMYFUNCTION("""COMPUTED_VALUE"""),45034)</f>
        <v>45034</v>
      </c>
      <c r="D400" s="25" t="str">
        <f ca="1">IFERROR(__xludf.DUMMYFUNCTION("""COMPUTED_VALUE"""),"Salud")</f>
        <v>Salud</v>
      </c>
      <c r="E400" s="25" t="str">
        <f ca="1">IFERROR(__xludf.DUMMYFUNCTION("""COMPUTED_VALUE"""),"Secretaría Distrital de Salud")</f>
        <v>Secretaría Distrital de Salud</v>
      </c>
      <c r="F400" s="25" t="str">
        <f ca="1">IFERROR(__xludf.DUMMYFUNCTION("""COMPUTED_VALUE"""),"La Subred Integrada de Servicios de Salud Norte radicará ante Enel Codensa solicitud de orientación y acompañamiento en la expedición del recibo de obra y acometida eléctrica del Centro de Salud Verbenal.")</f>
        <v>La Subred Integrada de Servicios de Salud Norte radicará ante Enel Codensa solicitud de orientación y acompañamiento en la expedición del recibo de obra y acometida eléctrica del Centro de Salud Verbenal.</v>
      </c>
      <c r="G400" s="25" t="str">
        <f ca="1">IFERROR(__xludf.DUMMYFUNCTION("""COMPUTED_VALUE"""),"01. Usaquén")</f>
        <v>01. Usaquén</v>
      </c>
      <c r="H400" s="55">
        <f ca="1">IFERROR(__xludf.DUMMYFUNCTION("""COMPUTED_VALUE"""),45045)</f>
        <v>45045</v>
      </c>
      <c r="I400" s="25" t="str">
        <f ca="1">IFERROR(__xludf.DUMMYFUNCTION("""COMPUTED_VALUE"""),"Secretaría Privada")</f>
        <v>Secretaría Privada</v>
      </c>
      <c r="J400" s="55" t="str">
        <f ca="1">IFERROR(__xludf.DUMMYFUNCTION("""COMPUTED_VALUE"""),"Alta")</f>
        <v>Alta</v>
      </c>
      <c r="K400" s="25">
        <f ca="1">IFERROR(__xludf.DUMMYFUNCTION("""COMPUTED_VALUE"""),11)</f>
        <v>11</v>
      </c>
      <c r="L400" s="62">
        <f ca="1">IFERROR(__xludf.DUMMYFUNCTION("""COMPUTED_VALUE"""),45077)</f>
        <v>45077</v>
      </c>
      <c r="M400" s="25" t="str">
        <f ca="1">IFERROR(__xludf.DUMMYFUNCTION("""COMPUTED_VALUE"""),"El 15 de mayo se realizó mesa de trabajo con ENEL Codensa para conexión definitiva, en donde se evidenció la necesidad de actualizar la factibilidad de la conexión definitiva, (ya está actualizada), para solicitar la visita de recibo final en el mes de ju"&amp;"nio")</f>
        <v>El 15 de mayo se realizó mesa de trabajo con ENEL Codensa para conexión definitiva, en donde se evidenció la necesidad de actualizar la factibilidad de la conexión definitiva, (ya está actualizada), para solicitar la visita de recibo final en el mes de junio</v>
      </c>
      <c r="N400" s="25"/>
      <c r="O400" s="25" t="str">
        <f t="shared" ca="1" si="0"/>
        <v>Secretaría Distrital de Salud</v>
      </c>
      <c r="P400" s="25" t="str">
        <f t="shared" ca="1" si="2"/>
        <v/>
      </c>
      <c r="Q400" s="25" t="str">
        <f ca="1">IFERROR(__xludf.DUMMYFUNCTION("""COMPUTED_VALUE"""),"Corto plazo")</f>
        <v>Corto plazo</v>
      </c>
      <c r="R400" s="25"/>
      <c r="S400" s="55"/>
      <c r="T400" s="56"/>
      <c r="U400" s="25"/>
      <c r="V400" s="25"/>
      <c r="W400" s="25"/>
      <c r="X400" s="25"/>
      <c r="Y400" s="25"/>
      <c r="Z400" s="25"/>
    </row>
    <row r="401" spans="1:26" ht="52.5" customHeight="1" x14ac:dyDescent="0.25">
      <c r="A401" s="25" t="str">
        <f ca="1">IFERROR(__xludf.DUMMYFUNCTION("""COMPUTED_VALUE"""),"Salud99")</f>
        <v>Salud99</v>
      </c>
      <c r="B401" s="25" t="str">
        <f ca="1">IFERROR(__xludf.DUMMYFUNCTION("""COMPUTED_VALUE"""),"Recorrido Kennedy")</f>
        <v>Recorrido Kennedy</v>
      </c>
      <c r="C401" s="55">
        <f ca="1">IFERROR(__xludf.DUMMYFUNCTION("""COMPUTED_VALUE"""),45055)</f>
        <v>45055</v>
      </c>
      <c r="D401" s="25" t="str">
        <f ca="1">IFERROR(__xludf.DUMMYFUNCTION("""COMPUTED_VALUE"""),"Salud")</f>
        <v>Salud</v>
      </c>
      <c r="E401" s="25" t="str">
        <f ca="1">IFERROR(__xludf.DUMMYFUNCTION("""COMPUTED_VALUE"""),"Secretaría Distrital de Salud")</f>
        <v>Secretaría Distrital de Salud</v>
      </c>
      <c r="F401" s="25" t="str">
        <f ca="1">IFERROR(__xludf.DUMMYFUNCTION("""COMPUTED_VALUE"""),"Desarrollar espacios de socialización de la estrategia Échele Cabeza y reducción de riesgos y daños con jovenes de las localidades.")</f>
        <v>Desarrollar espacios de socialización de la estrategia Échele Cabeza y reducción de riesgos y daños con jovenes de las localidades.</v>
      </c>
      <c r="G401" s="25" t="str">
        <f ca="1">IFERROR(__xludf.DUMMYFUNCTION("""COMPUTED_VALUE"""),"99. Distrito")</f>
        <v>99. Distrito</v>
      </c>
      <c r="H401" s="55">
        <f ca="1">IFERROR(__xludf.DUMMYFUNCTION("""COMPUTED_VALUE"""),45137)</f>
        <v>45137</v>
      </c>
      <c r="I401" s="25" t="str">
        <f ca="1">IFERROR(__xludf.DUMMYFUNCTION("""COMPUTED_VALUE"""),"Delivery Unit")</f>
        <v>Delivery Unit</v>
      </c>
      <c r="J401" s="55" t="str">
        <f ca="1">IFERROR(__xludf.DUMMYFUNCTION("""COMPUTED_VALUE"""),"Media")</f>
        <v>Media</v>
      </c>
      <c r="K401" s="25">
        <f ca="1">IFERROR(__xludf.DUMMYFUNCTION("""COMPUTED_VALUE"""),82)</f>
        <v>82</v>
      </c>
      <c r="L401" s="62">
        <f ca="1">IFERROR(__xludf.DUMMYFUNCTION("""COMPUTED_VALUE"""),45077)</f>
        <v>45077</v>
      </c>
      <c r="M401" s="25"/>
      <c r="N401" s="25"/>
      <c r="O401" s="25" t="str">
        <f t="shared" ca="1" si="0"/>
        <v>Secretaría Distrital de Salud</v>
      </c>
      <c r="P401" s="25" t="str">
        <f t="shared" ca="1" si="2"/>
        <v/>
      </c>
      <c r="Q401" s="25" t="str">
        <f ca="1">IFERROR(__xludf.DUMMYFUNCTION("""COMPUTED_VALUE"""),"Mediano plazo")</f>
        <v>Mediano plazo</v>
      </c>
      <c r="R401" s="25"/>
      <c r="S401" s="55"/>
      <c r="T401" s="56"/>
      <c r="U401" s="25"/>
      <c r="V401" s="25"/>
      <c r="W401" s="25"/>
      <c r="X401" s="25"/>
      <c r="Y401" s="25"/>
      <c r="Z401" s="25"/>
    </row>
    <row r="402" spans="1:26" ht="52.5" customHeight="1" x14ac:dyDescent="0.25">
      <c r="A402" s="25" t="str">
        <f ca="1">IFERROR(__xludf.DUMMYFUNCTION("""COMPUTED_VALUE"""),"Salud100")</f>
        <v>Salud100</v>
      </c>
      <c r="B402" s="25"/>
      <c r="C402" s="55"/>
      <c r="D402" s="25" t="str">
        <f ca="1">IFERROR(__xludf.DUMMYFUNCTION("""COMPUTED_VALUE"""),"Salud")</f>
        <v>Salud</v>
      </c>
      <c r="E402" s="25"/>
      <c r="F402" s="25"/>
      <c r="G402" s="25"/>
      <c r="H402" s="25"/>
      <c r="I402" s="25"/>
      <c r="J402" s="55"/>
      <c r="K402" s="25" t="str">
        <f ca="1">IFERROR(__xludf.DUMMYFUNCTION("""COMPUTED_VALUE"""),"Definir fecha")</f>
        <v>Definir fecha</v>
      </c>
      <c r="L402" s="62"/>
      <c r="M402" s="25"/>
      <c r="N402" s="25"/>
      <c r="O402" s="25">
        <f t="shared" si="0"/>
        <v>0</v>
      </c>
      <c r="P402" s="25" t="str">
        <f t="shared" si="2"/>
        <v/>
      </c>
      <c r="Q402" s="25" t="str">
        <f ca="1">IFERROR(__xludf.DUMMYFUNCTION("""COMPUTED_VALUE"""),"Sin defenir")</f>
        <v>Sin defenir</v>
      </c>
      <c r="R402" s="25"/>
      <c r="S402" s="55"/>
      <c r="T402" s="56"/>
      <c r="U402" s="25"/>
      <c r="V402" s="25"/>
      <c r="W402" s="25"/>
      <c r="X402" s="25"/>
      <c r="Y402" s="25"/>
      <c r="Z402" s="25"/>
    </row>
    <row r="403" spans="1:26" ht="52.5" customHeight="1" x14ac:dyDescent="0.25">
      <c r="A403" s="25" t="str">
        <f ca="1">IFERROR(__xludf.DUMMYFUNCTION("""COMPUTED_VALUE"""),"Salud101")</f>
        <v>Salud101</v>
      </c>
      <c r="B403" s="25"/>
      <c r="C403" s="55"/>
      <c r="D403" s="25" t="str">
        <f ca="1">IFERROR(__xludf.DUMMYFUNCTION("""COMPUTED_VALUE"""),"Salud")</f>
        <v>Salud</v>
      </c>
      <c r="E403" s="25"/>
      <c r="F403" s="25"/>
      <c r="G403" s="25"/>
      <c r="H403" s="25"/>
      <c r="I403" s="25"/>
      <c r="J403" s="55"/>
      <c r="K403" s="25" t="str">
        <f ca="1">IFERROR(__xludf.DUMMYFUNCTION("""COMPUTED_VALUE"""),"Definir fecha")</f>
        <v>Definir fecha</v>
      </c>
      <c r="L403" s="62"/>
      <c r="M403" s="25"/>
      <c r="N403" s="25"/>
      <c r="O403" s="25">
        <f t="shared" si="0"/>
        <v>0</v>
      </c>
      <c r="P403" s="25" t="str">
        <f t="shared" si="2"/>
        <v/>
      </c>
      <c r="Q403" s="25" t="str">
        <f ca="1">IFERROR(__xludf.DUMMYFUNCTION("""COMPUTED_VALUE"""),"Sin defenir")</f>
        <v>Sin defenir</v>
      </c>
      <c r="R403" s="25"/>
      <c r="S403" s="55"/>
      <c r="T403" s="56"/>
      <c r="U403" s="25"/>
      <c r="V403" s="25"/>
      <c r="W403" s="25"/>
      <c r="X403" s="25"/>
      <c r="Y403" s="25"/>
      <c r="Z403" s="25"/>
    </row>
    <row r="404" spans="1:26" ht="52.5" customHeight="1" x14ac:dyDescent="0.25">
      <c r="A404" s="25" t="str">
        <f ca="1">IFERROR(__xludf.DUMMYFUNCTION("""COMPUTED_VALUE"""),"Salud102")</f>
        <v>Salud102</v>
      </c>
      <c r="B404" s="25"/>
      <c r="C404" s="55"/>
      <c r="D404" s="25" t="str">
        <f ca="1">IFERROR(__xludf.DUMMYFUNCTION("""COMPUTED_VALUE"""),"Salud")</f>
        <v>Salud</v>
      </c>
      <c r="E404" s="25"/>
      <c r="F404" s="25"/>
      <c r="G404" s="25"/>
      <c r="H404" s="25"/>
      <c r="I404" s="25"/>
      <c r="J404" s="55"/>
      <c r="K404" s="25" t="str">
        <f ca="1">IFERROR(__xludf.DUMMYFUNCTION("""COMPUTED_VALUE"""),"Definir fecha")</f>
        <v>Definir fecha</v>
      </c>
      <c r="L404" s="62"/>
      <c r="M404" s="25"/>
      <c r="N404" s="25"/>
      <c r="O404" s="25">
        <f t="shared" si="0"/>
        <v>0</v>
      </c>
      <c r="P404" s="25" t="str">
        <f t="shared" si="2"/>
        <v/>
      </c>
      <c r="Q404" s="25" t="str">
        <f ca="1">IFERROR(__xludf.DUMMYFUNCTION("""COMPUTED_VALUE"""),"Sin defenir")</f>
        <v>Sin defenir</v>
      </c>
      <c r="R404" s="25"/>
      <c r="S404" s="55"/>
      <c r="T404" s="56"/>
      <c r="U404" s="25"/>
      <c r="V404" s="25"/>
      <c r="W404" s="25"/>
      <c r="X404" s="25"/>
      <c r="Y404" s="25"/>
      <c r="Z404" s="25"/>
    </row>
    <row r="405" spans="1:26" ht="52.5" customHeight="1" x14ac:dyDescent="0.25">
      <c r="A405" s="25" t="str">
        <f ca="1">IFERROR(__xludf.DUMMYFUNCTION("""COMPUTED_VALUE"""),"Salud103")</f>
        <v>Salud103</v>
      </c>
      <c r="B405" s="25"/>
      <c r="C405" s="55"/>
      <c r="D405" s="25" t="str">
        <f ca="1">IFERROR(__xludf.DUMMYFUNCTION("""COMPUTED_VALUE"""),"Salud")</f>
        <v>Salud</v>
      </c>
      <c r="E405" s="25"/>
      <c r="F405" s="25"/>
      <c r="G405" s="25"/>
      <c r="H405" s="25"/>
      <c r="I405" s="25"/>
      <c r="J405" s="55"/>
      <c r="K405" s="25" t="str">
        <f ca="1">IFERROR(__xludf.DUMMYFUNCTION("""COMPUTED_VALUE"""),"Definir fecha")</f>
        <v>Definir fecha</v>
      </c>
      <c r="L405" s="62"/>
      <c r="M405" s="25"/>
      <c r="N405" s="25"/>
      <c r="O405" s="25">
        <f t="shared" si="0"/>
        <v>0</v>
      </c>
      <c r="P405" s="25" t="str">
        <f t="shared" si="2"/>
        <v/>
      </c>
      <c r="Q405" s="25" t="str">
        <f ca="1">IFERROR(__xludf.DUMMYFUNCTION("""COMPUTED_VALUE"""),"Sin defenir")</f>
        <v>Sin defenir</v>
      </c>
      <c r="R405" s="25"/>
      <c r="S405" s="55"/>
      <c r="T405" s="56"/>
      <c r="U405" s="25"/>
      <c r="V405" s="25"/>
      <c r="W405" s="25"/>
      <c r="X405" s="25"/>
      <c r="Y405" s="25"/>
      <c r="Z405" s="25"/>
    </row>
    <row r="406" spans="1:26" ht="52.5" customHeight="1" x14ac:dyDescent="0.25">
      <c r="A406" s="25" t="str">
        <f ca="1">IFERROR(__xludf.DUMMYFUNCTION("""COMPUTED_VALUE"""),"Salud104")</f>
        <v>Salud104</v>
      </c>
      <c r="B406" s="25"/>
      <c r="C406" s="55"/>
      <c r="D406" s="25" t="str">
        <f ca="1">IFERROR(__xludf.DUMMYFUNCTION("""COMPUTED_VALUE"""),"Salud")</f>
        <v>Salud</v>
      </c>
      <c r="E406" s="25"/>
      <c r="F406" s="25"/>
      <c r="G406" s="25"/>
      <c r="H406" s="25"/>
      <c r="I406" s="25"/>
      <c r="J406" s="55"/>
      <c r="K406" s="25" t="str">
        <f ca="1">IFERROR(__xludf.DUMMYFUNCTION("""COMPUTED_VALUE"""),"Definir fecha")</f>
        <v>Definir fecha</v>
      </c>
      <c r="L406" s="62"/>
      <c r="M406" s="25"/>
      <c r="N406" s="25"/>
      <c r="O406" s="25">
        <f t="shared" si="0"/>
        <v>0</v>
      </c>
      <c r="P406" s="25" t="str">
        <f t="shared" si="2"/>
        <v/>
      </c>
      <c r="Q406" s="25" t="str">
        <f ca="1">IFERROR(__xludf.DUMMYFUNCTION("""COMPUTED_VALUE"""),"Sin defenir")</f>
        <v>Sin defenir</v>
      </c>
      <c r="R406" s="25"/>
      <c r="S406" s="55"/>
      <c r="T406" s="56"/>
      <c r="U406" s="25"/>
      <c r="V406" s="25"/>
      <c r="W406" s="25"/>
      <c r="X406" s="25"/>
      <c r="Y406" s="25"/>
      <c r="Z406" s="25"/>
    </row>
    <row r="407" spans="1:26" ht="52.5" customHeight="1" x14ac:dyDescent="0.25">
      <c r="A407" s="25" t="str">
        <f ca="1">IFERROR(__xludf.DUMMYFUNCTION("""COMPUTED_VALUE"""),"Salud105")</f>
        <v>Salud105</v>
      </c>
      <c r="B407" s="25"/>
      <c r="C407" s="55"/>
      <c r="D407" s="25" t="str">
        <f ca="1">IFERROR(__xludf.DUMMYFUNCTION("""COMPUTED_VALUE"""),"Salud")</f>
        <v>Salud</v>
      </c>
      <c r="E407" s="25"/>
      <c r="F407" s="25"/>
      <c r="G407" s="25"/>
      <c r="H407" s="25"/>
      <c r="I407" s="25"/>
      <c r="J407" s="55"/>
      <c r="K407" s="25" t="str">
        <f ca="1">IFERROR(__xludf.DUMMYFUNCTION("""COMPUTED_VALUE"""),"Definir fecha")</f>
        <v>Definir fecha</v>
      </c>
      <c r="L407" s="62"/>
      <c r="M407" s="25"/>
      <c r="N407" s="25"/>
      <c r="O407" s="25">
        <f t="shared" si="0"/>
        <v>0</v>
      </c>
      <c r="P407" s="25" t="str">
        <f t="shared" si="2"/>
        <v/>
      </c>
      <c r="Q407" s="25" t="str">
        <f ca="1">IFERROR(__xludf.DUMMYFUNCTION("""COMPUTED_VALUE"""),"Sin defenir")</f>
        <v>Sin defenir</v>
      </c>
      <c r="R407" s="25"/>
      <c r="S407" s="55"/>
      <c r="T407" s="56"/>
      <c r="U407" s="25"/>
      <c r="V407" s="25"/>
      <c r="W407" s="25"/>
      <c r="X407" s="25"/>
      <c r="Y407" s="25"/>
      <c r="Z407" s="25"/>
    </row>
    <row r="408" spans="1:26" ht="52.5" customHeight="1" x14ac:dyDescent="0.25">
      <c r="A408" s="25" t="str">
        <f ca="1">IFERROR(__xludf.DUMMYFUNCTION("""COMPUTED_VALUE"""),"Salud106")</f>
        <v>Salud106</v>
      </c>
      <c r="B408" s="25"/>
      <c r="C408" s="55"/>
      <c r="D408" s="25" t="str">
        <f ca="1">IFERROR(__xludf.DUMMYFUNCTION("""COMPUTED_VALUE"""),"Salud")</f>
        <v>Salud</v>
      </c>
      <c r="E408" s="25"/>
      <c r="F408" s="25"/>
      <c r="G408" s="25"/>
      <c r="H408" s="25"/>
      <c r="I408" s="25"/>
      <c r="J408" s="55"/>
      <c r="K408" s="25" t="str">
        <f ca="1">IFERROR(__xludf.DUMMYFUNCTION("""COMPUTED_VALUE"""),"Definir fecha")</f>
        <v>Definir fecha</v>
      </c>
      <c r="L408" s="62"/>
      <c r="M408" s="25"/>
      <c r="N408" s="25"/>
      <c r="O408" s="25">
        <f t="shared" si="0"/>
        <v>0</v>
      </c>
      <c r="P408" s="25" t="str">
        <f t="shared" si="2"/>
        <v/>
      </c>
      <c r="Q408" s="25" t="str">
        <f ca="1">IFERROR(__xludf.DUMMYFUNCTION("""COMPUTED_VALUE"""),"Sin defenir")</f>
        <v>Sin defenir</v>
      </c>
      <c r="R408" s="25"/>
      <c r="S408" s="55"/>
      <c r="T408" s="56"/>
      <c r="U408" s="25"/>
      <c r="V408" s="25"/>
      <c r="W408" s="25"/>
      <c r="X408" s="25"/>
      <c r="Y408" s="25"/>
      <c r="Z408" s="25"/>
    </row>
    <row r="409" spans="1:26" ht="52.5" customHeight="1" x14ac:dyDescent="0.25">
      <c r="A409" s="25" t="str">
        <f ca="1">IFERROR(__xludf.DUMMYFUNCTION("""COMPUTED_VALUE"""),"Salud107")</f>
        <v>Salud107</v>
      </c>
      <c r="B409" s="25"/>
      <c r="C409" s="55"/>
      <c r="D409" s="25" t="str">
        <f ca="1">IFERROR(__xludf.DUMMYFUNCTION("""COMPUTED_VALUE"""),"Salud")</f>
        <v>Salud</v>
      </c>
      <c r="E409" s="25"/>
      <c r="F409" s="25"/>
      <c r="G409" s="25"/>
      <c r="H409" s="25"/>
      <c r="I409" s="25"/>
      <c r="J409" s="55"/>
      <c r="K409" s="25" t="str">
        <f ca="1">IFERROR(__xludf.DUMMYFUNCTION("""COMPUTED_VALUE"""),"Definir fecha")</f>
        <v>Definir fecha</v>
      </c>
      <c r="L409" s="62"/>
      <c r="M409" s="25"/>
      <c r="N409" s="25"/>
      <c r="O409" s="25">
        <f t="shared" si="0"/>
        <v>0</v>
      </c>
      <c r="P409" s="25" t="str">
        <f t="shared" si="2"/>
        <v/>
      </c>
      <c r="Q409" s="25" t="str">
        <f ca="1">IFERROR(__xludf.DUMMYFUNCTION("""COMPUTED_VALUE"""),"Sin defenir")</f>
        <v>Sin defenir</v>
      </c>
      <c r="R409" s="25"/>
      <c r="S409" s="55"/>
      <c r="T409" s="56"/>
      <c r="U409" s="25"/>
      <c r="V409" s="25"/>
      <c r="W409" s="25"/>
      <c r="X409" s="25"/>
      <c r="Y409" s="25"/>
      <c r="Z409" s="25"/>
    </row>
    <row r="410" spans="1:26" ht="52.5" customHeight="1" x14ac:dyDescent="0.25">
      <c r="A410" s="25" t="str">
        <f ca="1">IFERROR(__xludf.DUMMYFUNCTION("""COMPUTED_VALUE"""),"Salud108")</f>
        <v>Salud108</v>
      </c>
      <c r="B410" s="25"/>
      <c r="C410" s="55"/>
      <c r="D410" s="25" t="str">
        <f ca="1">IFERROR(__xludf.DUMMYFUNCTION("""COMPUTED_VALUE"""),"Salud")</f>
        <v>Salud</v>
      </c>
      <c r="E410" s="25"/>
      <c r="F410" s="25"/>
      <c r="G410" s="25"/>
      <c r="H410" s="25"/>
      <c r="I410" s="25"/>
      <c r="J410" s="55"/>
      <c r="K410" s="25" t="str">
        <f ca="1">IFERROR(__xludf.DUMMYFUNCTION("""COMPUTED_VALUE"""),"Definir fecha")</f>
        <v>Definir fecha</v>
      </c>
      <c r="L410" s="62"/>
      <c r="M410" s="25"/>
      <c r="N410" s="25"/>
      <c r="O410" s="25">
        <f t="shared" si="0"/>
        <v>0</v>
      </c>
      <c r="P410" s="25" t="str">
        <f t="shared" si="2"/>
        <v/>
      </c>
      <c r="Q410" s="25" t="str">
        <f ca="1">IFERROR(__xludf.DUMMYFUNCTION("""COMPUTED_VALUE"""),"Sin defenir")</f>
        <v>Sin defenir</v>
      </c>
      <c r="R410" s="25"/>
      <c r="S410" s="55"/>
      <c r="T410" s="56"/>
      <c r="U410" s="25"/>
      <c r="V410" s="25"/>
      <c r="W410" s="25"/>
      <c r="X410" s="25"/>
      <c r="Y410" s="25"/>
      <c r="Z410" s="25"/>
    </row>
    <row r="411" spans="1:26" ht="52.5" customHeight="1" x14ac:dyDescent="0.25">
      <c r="A411" s="25" t="str">
        <f ca="1">IFERROR(__xludf.DUMMYFUNCTION("""COMPUTED_VALUE"""),"Salud109")</f>
        <v>Salud109</v>
      </c>
      <c r="B411" s="25"/>
      <c r="C411" s="55"/>
      <c r="D411" s="25" t="str">
        <f ca="1">IFERROR(__xludf.DUMMYFUNCTION("""COMPUTED_VALUE"""),"Salud")</f>
        <v>Salud</v>
      </c>
      <c r="E411" s="25"/>
      <c r="F411" s="25"/>
      <c r="G411" s="25"/>
      <c r="H411" s="25"/>
      <c r="I411" s="25"/>
      <c r="J411" s="55"/>
      <c r="K411" s="25" t="str">
        <f ca="1">IFERROR(__xludf.DUMMYFUNCTION("""COMPUTED_VALUE"""),"Definir fecha")</f>
        <v>Definir fecha</v>
      </c>
      <c r="L411" s="62"/>
      <c r="M411" s="25"/>
      <c r="N411" s="25"/>
      <c r="O411" s="25">
        <f t="shared" si="0"/>
        <v>0</v>
      </c>
      <c r="P411" s="25" t="str">
        <f t="shared" si="2"/>
        <v/>
      </c>
      <c r="Q411" s="25" t="str">
        <f ca="1">IFERROR(__xludf.DUMMYFUNCTION("""COMPUTED_VALUE"""),"Sin defenir")</f>
        <v>Sin defenir</v>
      </c>
      <c r="R411" s="25"/>
      <c r="S411" s="55"/>
      <c r="T411" s="56"/>
      <c r="U411" s="25"/>
      <c r="V411" s="25"/>
      <c r="W411" s="25"/>
      <c r="X411" s="25"/>
      <c r="Y411" s="25"/>
      <c r="Z411" s="25"/>
    </row>
    <row r="412" spans="1:26" ht="52.5" customHeight="1" x14ac:dyDescent="0.25">
      <c r="A412" s="25" t="str">
        <f ca="1">IFERROR(__xludf.DUMMYFUNCTION("""COMPUTED_VALUE"""),"Salud110")</f>
        <v>Salud110</v>
      </c>
      <c r="B412" s="25"/>
      <c r="C412" s="55"/>
      <c r="D412" s="25" t="str">
        <f ca="1">IFERROR(__xludf.DUMMYFUNCTION("""COMPUTED_VALUE"""),"Salud")</f>
        <v>Salud</v>
      </c>
      <c r="E412" s="25"/>
      <c r="F412" s="25"/>
      <c r="G412" s="25"/>
      <c r="H412" s="25"/>
      <c r="I412" s="25"/>
      <c r="J412" s="55"/>
      <c r="K412" s="25" t="str">
        <f ca="1">IFERROR(__xludf.DUMMYFUNCTION("""COMPUTED_VALUE"""),"Definir fecha")</f>
        <v>Definir fecha</v>
      </c>
      <c r="L412" s="62"/>
      <c r="M412" s="25"/>
      <c r="N412" s="25"/>
      <c r="O412" s="25">
        <f t="shared" si="0"/>
        <v>0</v>
      </c>
      <c r="P412" s="25" t="str">
        <f t="shared" si="2"/>
        <v/>
      </c>
      <c r="Q412" s="25" t="str">
        <f ca="1">IFERROR(__xludf.DUMMYFUNCTION("""COMPUTED_VALUE"""),"Sin defenir")</f>
        <v>Sin defenir</v>
      </c>
      <c r="R412" s="25"/>
      <c r="S412" s="55"/>
      <c r="T412" s="56"/>
      <c r="U412" s="25"/>
      <c r="V412" s="25"/>
      <c r="W412" s="25"/>
      <c r="X412" s="25"/>
      <c r="Y412" s="25"/>
      <c r="Z412" s="25"/>
    </row>
    <row r="413" spans="1:26" ht="52.5" customHeight="1" x14ac:dyDescent="0.25">
      <c r="A413" s="25" t="str">
        <f ca="1">IFERROR(__xludf.DUMMYFUNCTION("""COMPUTED_VALUE"""),"Salud111")</f>
        <v>Salud111</v>
      </c>
      <c r="B413" s="25"/>
      <c r="C413" s="55"/>
      <c r="D413" s="25" t="str">
        <f ca="1">IFERROR(__xludf.DUMMYFUNCTION("""COMPUTED_VALUE"""),"Salud")</f>
        <v>Salud</v>
      </c>
      <c r="E413" s="25"/>
      <c r="F413" s="25"/>
      <c r="G413" s="25"/>
      <c r="H413" s="25"/>
      <c r="I413" s="25"/>
      <c r="J413" s="55"/>
      <c r="K413" s="25" t="str">
        <f ca="1">IFERROR(__xludf.DUMMYFUNCTION("""COMPUTED_VALUE"""),"Definir fecha")</f>
        <v>Definir fecha</v>
      </c>
      <c r="L413" s="62"/>
      <c r="M413" s="25"/>
      <c r="N413" s="25"/>
      <c r="O413" s="25">
        <f t="shared" si="0"/>
        <v>0</v>
      </c>
      <c r="P413" s="25" t="str">
        <f t="shared" si="2"/>
        <v/>
      </c>
      <c r="Q413" s="25" t="str">
        <f ca="1">IFERROR(__xludf.DUMMYFUNCTION("""COMPUTED_VALUE"""),"Sin defenir")</f>
        <v>Sin defenir</v>
      </c>
      <c r="R413" s="25"/>
      <c r="S413" s="55"/>
      <c r="T413" s="56"/>
      <c r="U413" s="25"/>
      <c r="V413" s="25"/>
      <c r="W413" s="25"/>
      <c r="X413" s="25"/>
      <c r="Y413" s="25"/>
      <c r="Z413" s="25"/>
    </row>
    <row r="414" spans="1:26" ht="52.5" customHeight="1" x14ac:dyDescent="0.25">
      <c r="A414" s="25" t="str">
        <f ca="1">IFERROR(__xludf.DUMMYFUNCTION("""COMPUTED_VALUE"""),"Salud112")</f>
        <v>Salud112</v>
      </c>
      <c r="B414" s="25"/>
      <c r="C414" s="55"/>
      <c r="D414" s="25" t="str">
        <f ca="1">IFERROR(__xludf.DUMMYFUNCTION("""COMPUTED_VALUE"""),"Salud")</f>
        <v>Salud</v>
      </c>
      <c r="E414" s="25"/>
      <c r="F414" s="25"/>
      <c r="G414" s="25"/>
      <c r="H414" s="25"/>
      <c r="I414" s="25"/>
      <c r="J414" s="55"/>
      <c r="K414" s="25" t="str">
        <f ca="1">IFERROR(__xludf.DUMMYFUNCTION("""COMPUTED_VALUE"""),"Definir fecha")</f>
        <v>Definir fecha</v>
      </c>
      <c r="L414" s="62"/>
      <c r="M414" s="25"/>
      <c r="N414" s="25"/>
      <c r="O414" s="25">
        <f t="shared" si="0"/>
        <v>0</v>
      </c>
      <c r="P414" s="25" t="str">
        <f t="shared" si="2"/>
        <v/>
      </c>
      <c r="Q414" s="25" t="str">
        <f ca="1">IFERROR(__xludf.DUMMYFUNCTION("""COMPUTED_VALUE"""),"Sin defenir")</f>
        <v>Sin defenir</v>
      </c>
      <c r="R414" s="25"/>
      <c r="S414" s="55"/>
      <c r="T414" s="56"/>
      <c r="U414" s="25"/>
      <c r="V414" s="25"/>
      <c r="W414" s="25"/>
      <c r="X414" s="25"/>
      <c r="Y414" s="25"/>
      <c r="Z414" s="25"/>
    </row>
    <row r="415" spans="1:26" ht="52.5" customHeight="1" x14ac:dyDescent="0.25">
      <c r="A415" s="25" t="str">
        <f ca="1">IFERROR(__xludf.DUMMYFUNCTION("""COMPUTED_VALUE"""),"Salud113")</f>
        <v>Salud113</v>
      </c>
      <c r="B415" s="25"/>
      <c r="C415" s="55"/>
      <c r="D415" s="25" t="str">
        <f ca="1">IFERROR(__xludf.DUMMYFUNCTION("""COMPUTED_VALUE"""),"Salud")</f>
        <v>Salud</v>
      </c>
      <c r="E415" s="25"/>
      <c r="F415" s="25"/>
      <c r="G415" s="25"/>
      <c r="H415" s="25"/>
      <c r="I415" s="15"/>
      <c r="J415" s="55"/>
      <c r="K415" s="25" t="str">
        <f ca="1">IFERROR(__xludf.DUMMYFUNCTION("""COMPUTED_VALUE"""),"Definir fecha")</f>
        <v>Definir fecha</v>
      </c>
      <c r="L415" s="62"/>
      <c r="M415" s="25"/>
      <c r="N415" s="25"/>
      <c r="O415" s="25">
        <f t="shared" si="0"/>
        <v>0</v>
      </c>
      <c r="P415" s="25" t="str">
        <f t="shared" si="2"/>
        <v/>
      </c>
      <c r="Q415" s="25" t="str">
        <f ca="1">IFERROR(__xludf.DUMMYFUNCTION("""COMPUTED_VALUE"""),"Sin defenir")</f>
        <v>Sin defenir</v>
      </c>
      <c r="R415" s="25"/>
      <c r="S415" s="55"/>
      <c r="T415" s="56"/>
      <c r="U415" s="25"/>
      <c r="V415" s="25"/>
      <c r="W415" s="25"/>
      <c r="X415" s="25"/>
      <c r="Y415" s="25"/>
      <c r="Z415" s="25"/>
    </row>
    <row r="416" spans="1:26" ht="52.5" customHeight="1" x14ac:dyDescent="0.25">
      <c r="A416" s="25" t="str">
        <f ca="1">IFERROR(__xludf.DUMMYFUNCTION("""COMPUTED_VALUE"""),"Salud114")</f>
        <v>Salud114</v>
      </c>
      <c r="B416" s="25"/>
      <c r="C416" s="55"/>
      <c r="D416" s="25" t="str">
        <f ca="1">IFERROR(__xludf.DUMMYFUNCTION("""COMPUTED_VALUE"""),"Salud")</f>
        <v>Salud</v>
      </c>
      <c r="E416" s="25"/>
      <c r="F416" s="25"/>
      <c r="G416" s="25"/>
      <c r="H416" s="25"/>
      <c r="I416" s="25"/>
      <c r="J416" s="55"/>
      <c r="K416" s="25" t="str">
        <f ca="1">IFERROR(__xludf.DUMMYFUNCTION("""COMPUTED_VALUE"""),"Definir fecha")</f>
        <v>Definir fecha</v>
      </c>
      <c r="L416" s="62"/>
      <c r="M416" s="25"/>
      <c r="N416" s="25"/>
      <c r="O416" s="25">
        <f t="shared" si="0"/>
        <v>0</v>
      </c>
      <c r="P416" s="25" t="str">
        <f t="shared" si="2"/>
        <v/>
      </c>
      <c r="Q416" s="25" t="str">
        <f ca="1">IFERROR(__xludf.DUMMYFUNCTION("""COMPUTED_VALUE"""),"Sin defenir")</f>
        <v>Sin defenir</v>
      </c>
      <c r="R416" s="25"/>
      <c r="S416" s="55"/>
      <c r="T416" s="56"/>
      <c r="U416" s="25"/>
      <c r="V416" s="25"/>
      <c r="W416" s="25"/>
      <c r="X416" s="25"/>
      <c r="Y416" s="25"/>
      <c r="Z416" s="25"/>
    </row>
    <row r="417" spans="1:26" ht="52.5" customHeight="1" x14ac:dyDescent="0.25">
      <c r="A417" s="25" t="str">
        <f ca="1">IFERROR(__xludf.DUMMYFUNCTION("""COMPUTED_VALUE"""),"Salud115")</f>
        <v>Salud115</v>
      </c>
      <c r="B417" s="25"/>
      <c r="C417" s="55"/>
      <c r="D417" s="25" t="str">
        <f ca="1">IFERROR(__xludf.DUMMYFUNCTION("""COMPUTED_VALUE"""),"Salud")</f>
        <v>Salud</v>
      </c>
      <c r="E417" s="25"/>
      <c r="F417" s="25"/>
      <c r="G417" s="25"/>
      <c r="H417" s="25"/>
      <c r="I417" s="25"/>
      <c r="J417" s="55"/>
      <c r="K417" s="25" t="str">
        <f ca="1">IFERROR(__xludf.DUMMYFUNCTION("""COMPUTED_VALUE"""),"Definir fecha")</f>
        <v>Definir fecha</v>
      </c>
      <c r="L417" s="62"/>
      <c r="M417" s="25"/>
      <c r="N417" s="25"/>
      <c r="O417" s="25">
        <f t="shared" si="0"/>
        <v>0</v>
      </c>
      <c r="P417" s="25" t="str">
        <f t="shared" si="2"/>
        <v/>
      </c>
      <c r="Q417" s="25" t="str">
        <f ca="1">IFERROR(__xludf.DUMMYFUNCTION("""COMPUTED_VALUE"""),"Sin defenir")</f>
        <v>Sin defenir</v>
      </c>
      <c r="R417" s="25"/>
      <c r="S417" s="55"/>
      <c r="T417" s="56"/>
      <c r="U417" s="25"/>
      <c r="V417" s="25"/>
      <c r="W417" s="25"/>
      <c r="X417" s="25"/>
      <c r="Y417" s="25"/>
      <c r="Z417" s="25"/>
    </row>
    <row r="418" spans="1:26" ht="52.5" customHeight="1" x14ac:dyDescent="0.25">
      <c r="A418" s="25" t="str">
        <f ca="1">IFERROR(__xludf.DUMMYFUNCTION("""COMPUTED_VALUE"""),"Salud116")</f>
        <v>Salud116</v>
      </c>
      <c r="B418" s="25"/>
      <c r="C418" s="55"/>
      <c r="D418" s="25" t="str">
        <f ca="1">IFERROR(__xludf.DUMMYFUNCTION("""COMPUTED_VALUE"""),"Salud")</f>
        <v>Salud</v>
      </c>
      <c r="E418" s="25"/>
      <c r="F418" s="25"/>
      <c r="G418" s="25"/>
      <c r="H418" s="25"/>
      <c r="I418" s="25"/>
      <c r="J418" s="55"/>
      <c r="K418" s="25" t="str">
        <f ca="1">IFERROR(__xludf.DUMMYFUNCTION("""COMPUTED_VALUE"""),"Definir fecha")</f>
        <v>Definir fecha</v>
      </c>
      <c r="L418" s="62"/>
      <c r="M418" s="25"/>
      <c r="N418" s="25"/>
      <c r="O418" s="25">
        <f t="shared" si="0"/>
        <v>0</v>
      </c>
      <c r="P418" s="25" t="str">
        <f t="shared" si="2"/>
        <v/>
      </c>
      <c r="Q418" s="25" t="str">
        <f ca="1">IFERROR(__xludf.DUMMYFUNCTION("""COMPUTED_VALUE"""),"Sin defenir")</f>
        <v>Sin defenir</v>
      </c>
      <c r="R418" s="25"/>
      <c r="S418" s="55"/>
      <c r="T418" s="56"/>
      <c r="U418" s="25"/>
      <c r="V418" s="25"/>
      <c r="W418" s="25"/>
      <c r="X418" s="25"/>
      <c r="Y418" s="25"/>
      <c r="Z418" s="25"/>
    </row>
    <row r="419" spans="1:26" ht="52.5" customHeight="1" x14ac:dyDescent="0.25">
      <c r="A419" s="25" t="str">
        <f ca="1">IFERROR(__xludf.DUMMYFUNCTION("""COMPUTED_VALUE"""),"Salud117")</f>
        <v>Salud117</v>
      </c>
      <c r="B419" s="25"/>
      <c r="C419" s="55"/>
      <c r="D419" s="25" t="str">
        <f ca="1">IFERROR(__xludf.DUMMYFUNCTION("""COMPUTED_VALUE"""),"Salud")</f>
        <v>Salud</v>
      </c>
      <c r="E419" s="25"/>
      <c r="F419" s="25"/>
      <c r="G419" s="25"/>
      <c r="H419" s="25"/>
      <c r="I419" s="25"/>
      <c r="J419" s="55"/>
      <c r="K419" s="25" t="str">
        <f ca="1">IFERROR(__xludf.DUMMYFUNCTION("""COMPUTED_VALUE"""),"Definir fecha")</f>
        <v>Definir fecha</v>
      </c>
      <c r="L419" s="62"/>
      <c r="M419" s="25"/>
      <c r="N419" s="25"/>
      <c r="O419" s="25">
        <f t="shared" si="0"/>
        <v>0</v>
      </c>
      <c r="P419" s="25" t="str">
        <f t="shared" si="2"/>
        <v/>
      </c>
      <c r="Q419" s="25" t="str">
        <f ca="1">IFERROR(__xludf.DUMMYFUNCTION("""COMPUTED_VALUE"""),"Sin defenir")</f>
        <v>Sin defenir</v>
      </c>
      <c r="R419" s="25"/>
      <c r="S419" s="55"/>
      <c r="T419" s="56"/>
      <c r="U419" s="25"/>
      <c r="V419" s="25"/>
      <c r="W419" s="25"/>
      <c r="X419" s="25"/>
      <c r="Y419" s="25"/>
      <c r="Z419" s="25"/>
    </row>
    <row r="420" spans="1:26" ht="52.5" customHeight="1" x14ac:dyDescent="0.25">
      <c r="A420" s="25" t="str">
        <f ca="1">IFERROR(__xludf.DUMMYFUNCTION("""COMPUTED_VALUE"""),"Salud118")</f>
        <v>Salud118</v>
      </c>
      <c r="B420" s="25"/>
      <c r="C420" s="55"/>
      <c r="D420" s="25" t="str">
        <f ca="1">IFERROR(__xludf.DUMMYFUNCTION("""COMPUTED_VALUE"""),"Salud")</f>
        <v>Salud</v>
      </c>
      <c r="E420" s="25"/>
      <c r="F420" s="25"/>
      <c r="G420" s="25"/>
      <c r="H420" s="25"/>
      <c r="I420" s="25"/>
      <c r="J420" s="55"/>
      <c r="K420" s="25" t="str">
        <f ca="1">IFERROR(__xludf.DUMMYFUNCTION("""COMPUTED_VALUE"""),"Definir fecha")</f>
        <v>Definir fecha</v>
      </c>
      <c r="L420" s="62"/>
      <c r="M420" s="25"/>
      <c r="N420" s="25"/>
      <c r="O420" s="25">
        <f t="shared" si="0"/>
        <v>0</v>
      </c>
      <c r="P420" s="25" t="str">
        <f t="shared" si="2"/>
        <v/>
      </c>
      <c r="Q420" s="25" t="str">
        <f ca="1">IFERROR(__xludf.DUMMYFUNCTION("""COMPUTED_VALUE"""),"Sin defenir")</f>
        <v>Sin defenir</v>
      </c>
      <c r="R420" s="25"/>
      <c r="S420" s="55"/>
      <c r="T420" s="56"/>
      <c r="U420" s="25"/>
      <c r="V420" s="25"/>
      <c r="W420" s="25"/>
      <c r="X420" s="25"/>
      <c r="Y420" s="25"/>
      <c r="Z420" s="25"/>
    </row>
    <row r="421" spans="1:26" ht="52.5" customHeight="1" x14ac:dyDescent="0.25">
      <c r="A421" s="25" t="str">
        <f ca="1">IFERROR(__xludf.DUMMYFUNCTION("""COMPUTED_VALUE"""),"Salud119")</f>
        <v>Salud119</v>
      </c>
      <c r="B421" s="25"/>
      <c r="C421" s="55"/>
      <c r="D421" s="25" t="str">
        <f ca="1">IFERROR(__xludf.DUMMYFUNCTION("""COMPUTED_VALUE"""),"Salud")</f>
        <v>Salud</v>
      </c>
      <c r="E421" s="25"/>
      <c r="F421" s="25"/>
      <c r="G421" s="25"/>
      <c r="H421" s="25"/>
      <c r="I421" s="25"/>
      <c r="J421" s="55"/>
      <c r="K421" s="25" t="str">
        <f ca="1">IFERROR(__xludf.DUMMYFUNCTION("""COMPUTED_VALUE"""),"Definir fecha")</f>
        <v>Definir fecha</v>
      </c>
      <c r="L421" s="62"/>
      <c r="M421" s="25"/>
      <c r="N421" s="25"/>
      <c r="O421" s="25">
        <f t="shared" si="0"/>
        <v>0</v>
      </c>
      <c r="P421" s="25" t="str">
        <f t="shared" si="2"/>
        <v/>
      </c>
      <c r="Q421" s="25" t="str">
        <f ca="1">IFERROR(__xludf.DUMMYFUNCTION("""COMPUTED_VALUE"""),"Sin defenir")</f>
        <v>Sin defenir</v>
      </c>
      <c r="R421" s="25"/>
      <c r="S421" s="55"/>
      <c r="T421" s="56"/>
      <c r="U421" s="25"/>
      <c r="V421" s="25"/>
      <c r="W421" s="25"/>
      <c r="X421" s="25"/>
      <c r="Y421" s="25"/>
      <c r="Z421" s="25"/>
    </row>
    <row r="422" spans="1:26" ht="52.5" customHeight="1" x14ac:dyDescent="0.25">
      <c r="A422" s="25" t="str">
        <f ca="1">IFERROR(__xludf.DUMMYFUNCTION("""COMPUTED_VALUE"""),"Salud120")</f>
        <v>Salud120</v>
      </c>
      <c r="B422" s="25"/>
      <c r="C422" s="55"/>
      <c r="D422" s="25" t="str">
        <f ca="1">IFERROR(__xludf.DUMMYFUNCTION("""COMPUTED_VALUE"""),"Salud")</f>
        <v>Salud</v>
      </c>
      <c r="E422" s="25"/>
      <c r="F422" s="25"/>
      <c r="G422" s="25"/>
      <c r="H422" s="25"/>
      <c r="I422" s="25"/>
      <c r="J422" s="55"/>
      <c r="K422" s="25" t="str">
        <f ca="1">IFERROR(__xludf.DUMMYFUNCTION("""COMPUTED_VALUE"""),"Definir fecha")</f>
        <v>Definir fecha</v>
      </c>
      <c r="L422" s="62"/>
      <c r="M422" s="25"/>
      <c r="N422" s="25"/>
      <c r="O422" s="25">
        <f t="shared" si="0"/>
        <v>0</v>
      </c>
      <c r="P422" s="25" t="str">
        <f t="shared" si="2"/>
        <v/>
      </c>
      <c r="Q422" s="25" t="str">
        <f ca="1">IFERROR(__xludf.DUMMYFUNCTION("""COMPUTED_VALUE"""),"Sin defenir")</f>
        <v>Sin defenir</v>
      </c>
      <c r="R422" s="25"/>
      <c r="S422" s="55"/>
      <c r="T422" s="56"/>
      <c r="U422" s="25"/>
      <c r="V422" s="25"/>
      <c r="W422" s="25"/>
      <c r="X422" s="25"/>
      <c r="Y422" s="25"/>
      <c r="Z422" s="25"/>
    </row>
    <row r="423" spans="1:26" ht="52.5" customHeight="1" x14ac:dyDescent="0.25">
      <c r="A423" s="25" t="str">
        <f ca="1">IFERROR(__xludf.DUMMYFUNCTION("""COMPUTED_VALUE"""),"Salud121")</f>
        <v>Salud121</v>
      </c>
      <c r="B423" s="25"/>
      <c r="C423" s="55"/>
      <c r="D423" s="25" t="str">
        <f ca="1">IFERROR(__xludf.DUMMYFUNCTION("""COMPUTED_VALUE"""),"Salud")</f>
        <v>Salud</v>
      </c>
      <c r="E423" s="25"/>
      <c r="F423" s="25"/>
      <c r="G423" s="25"/>
      <c r="H423" s="25"/>
      <c r="I423" s="25"/>
      <c r="J423" s="55"/>
      <c r="K423" s="25" t="str">
        <f ca="1">IFERROR(__xludf.DUMMYFUNCTION("""COMPUTED_VALUE"""),"Definir fecha")</f>
        <v>Definir fecha</v>
      </c>
      <c r="L423" s="62"/>
      <c r="M423" s="25"/>
      <c r="N423" s="25"/>
      <c r="O423" s="25">
        <f t="shared" si="0"/>
        <v>0</v>
      </c>
      <c r="P423" s="25" t="str">
        <f t="shared" si="2"/>
        <v/>
      </c>
      <c r="Q423" s="25" t="str">
        <f ca="1">IFERROR(__xludf.DUMMYFUNCTION("""COMPUTED_VALUE"""),"Sin defenir")</f>
        <v>Sin defenir</v>
      </c>
      <c r="R423" s="25"/>
      <c r="S423" s="55"/>
      <c r="T423" s="56"/>
      <c r="U423" s="25"/>
      <c r="V423" s="25"/>
      <c r="W423" s="25"/>
      <c r="X423" s="25"/>
      <c r="Y423" s="25"/>
      <c r="Z423" s="25"/>
    </row>
    <row r="424" spans="1:26" ht="52.5" customHeight="1" x14ac:dyDescent="0.25">
      <c r="A424" s="25" t="str">
        <f ca="1">IFERROR(__xludf.DUMMYFUNCTION("""COMPUTED_VALUE"""),"Salud122")</f>
        <v>Salud122</v>
      </c>
      <c r="B424" s="25"/>
      <c r="C424" s="55"/>
      <c r="D424" s="25" t="str">
        <f ca="1">IFERROR(__xludf.DUMMYFUNCTION("""COMPUTED_VALUE"""),"Salud")</f>
        <v>Salud</v>
      </c>
      <c r="E424" s="25"/>
      <c r="F424" s="25"/>
      <c r="G424" s="25"/>
      <c r="H424" s="25"/>
      <c r="I424" s="25"/>
      <c r="J424" s="55"/>
      <c r="K424" s="25" t="str">
        <f ca="1">IFERROR(__xludf.DUMMYFUNCTION("""COMPUTED_VALUE"""),"Definir fecha")</f>
        <v>Definir fecha</v>
      </c>
      <c r="L424" s="62"/>
      <c r="M424" s="25"/>
      <c r="N424" s="25"/>
      <c r="O424" s="25">
        <f t="shared" si="0"/>
        <v>0</v>
      </c>
      <c r="P424" s="25" t="str">
        <f t="shared" si="2"/>
        <v/>
      </c>
      <c r="Q424" s="25" t="str">
        <f ca="1">IFERROR(__xludf.DUMMYFUNCTION("""COMPUTED_VALUE"""),"Sin defenir")</f>
        <v>Sin defenir</v>
      </c>
      <c r="R424" s="25"/>
      <c r="S424" s="55"/>
      <c r="T424" s="56"/>
      <c r="U424" s="25"/>
      <c r="V424" s="25"/>
      <c r="W424" s="25"/>
      <c r="X424" s="25"/>
      <c r="Y424" s="25"/>
      <c r="Z424" s="25"/>
    </row>
    <row r="425" spans="1:26" ht="52.5" customHeight="1" x14ac:dyDescent="0.25">
      <c r="A425" s="25" t="str">
        <f ca="1">IFERROR(__xludf.DUMMYFUNCTION("""COMPUTED_VALUE"""),"Salud123")</f>
        <v>Salud123</v>
      </c>
      <c r="B425" s="25"/>
      <c r="C425" s="55"/>
      <c r="D425" s="25" t="str">
        <f ca="1">IFERROR(__xludf.DUMMYFUNCTION("""COMPUTED_VALUE"""),"Salud")</f>
        <v>Salud</v>
      </c>
      <c r="E425" s="25"/>
      <c r="F425" s="25"/>
      <c r="G425" s="25"/>
      <c r="H425" s="25"/>
      <c r="I425" s="25"/>
      <c r="J425" s="55"/>
      <c r="K425" s="25" t="str">
        <f ca="1">IFERROR(__xludf.DUMMYFUNCTION("""COMPUTED_VALUE"""),"Definir fecha")</f>
        <v>Definir fecha</v>
      </c>
      <c r="L425" s="62"/>
      <c r="M425" s="25"/>
      <c r="N425" s="25"/>
      <c r="O425" s="25">
        <f t="shared" si="0"/>
        <v>0</v>
      </c>
      <c r="P425" s="25" t="str">
        <f t="shared" si="2"/>
        <v/>
      </c>
      <c r="Q425" s="25" t="str">
        <f ca="1">IFERROR(__xludf.DUMMYFUNCTION("""COMPUTED_VALUE"""),"Sin defenir")</f>
        <v>Sin defenir</v>
      </c>
      <c r="R425" s="25"/>
      <c r="S425" s="55"/>
      <c r="T425" s="56"/>
      <c r="U425" s="25"/>
      <c r="V425" s="25"/>
      <c r="W425" s="25"/>
      <c r="X425" s="25"/>
      <c r="Y425" s="25"/>
      <c r="Z425" s="25"/>
    </row>
    <row r="426" spans="1:26" ht="52.5" customHeight="1" x14ac:dyDescent="0.25">
      <c r="A426" s="25" t="str">
        <f ca="1">IFERROR(__xludf.DUMMYFUNCTION("""COMPUTED_VALUE"""),"Salud124")</f>
        <v>Salud124</v>
      </c>
      <c r="B426" s="25"/>
      <c r="C426" s="55"/>
      <c r="D426" s="25" t="str">
        <f ca="1">IFERROR(__xludf.DUMMYFUNCTION("""COMPUTED_VALUE"""),"Salud")</f>
        <v>Salud</v>
      </c>
      <c r="E426" s="25"/>
      <c r="F426" s="25"/>
      <c r="G426" s="25"/>
      <c r="H426" s="25"/>
      <c r="I426" s="25"/>
      <c r="J426" s="55"/>
      <c r="K426" s="25" t="str">
        <f ca="1">IFERROR(__xludf.DUMMYFUNCTION("""COMPUTED_VALUE"""),"Definir fecha")</f>
        <v>Definir fecha</v>
      </c>
      <c r="L426" s="62"/>
      <c r="M426" s="25"/>
      <c r="N426" s="25"/>
      <c r="O426" s="25">
        <f t="shared" si="0"/>
        <v>0</v>
      </c>
      <c r="P426" s="25" t="str">
        <f t="shared" si="2"/>
        <v/>
      </c>
      <c r="Q426" s="25" t="str">
        <f ca="1">IFERROR(__xludf.DUMMYFUNCTION("""COMPUTED_VALUE"""),"Sin defenir")</f>
        <v>Sin defenir</v>
      </c>
      <c r="R426" s="25"/>
      <c r="S426" s="55"/>
      <c r="T426" s="56"/>
      <c r="U426" s="25"/>
      <c r="V426" s="25"/>
      <c r="W426" s="25"/>
      <c r="X426" s="25"/>
      <c r="Y426" s="25"/>
      <c r="Z426" s="25"/>
    </row>
    <row r="427" spans="1:26" ht="52.5" customHeight="1" x14ac:dyDescent="0.25">
      <c r="A427" s="25" t="str">
        <f ca="1">IFERROR(__xludf.DUMMYFUNCTION("""COMPUTED_VALUE"""),"Salud125")</f>
        <v>Salud125</v>
      </c>
      <c r="B427" s="25"/>
      <c r="C427" s="55"/>
      <c r="D427" s="25" t="str">
        <f ca="1">IFERROR(__xludf.DUMMYFUNCTION("""COMPUTED_VALUE"""),"Salud")</f>
        <v>Salud</v>
      </c>
      <c r="E427" s="25"/>
      <c r="F427" s="25"/>
      <c r="G427" s="25"/>
      <c r="H427" s="25"/>
      <c r="I427" s="25"/>
      <c r="J427" s="55"/>
      <c r="K427" s="25" t="str">
        <f ca="1">IFERROR(__xludf.DUMMYFUNCTION("""COMPUTED_VALUE"""),"Definir fecha")</f>
        <v>Definir fecha</v>
      </c>
      <c r="L427" s="62"/>
      <c r="M427" s="25"/>
      <c r="N427" s="25"/>
      <c r="O427" s="25">
        <f t="shared" si="0"/>
        <v>0</v>
      </c>
      <c r="P427" s="25" t="str">
        <f t="shared" si="2"/>
        <v/>
      </c>
      <c r="Q427" s="25" t="str">
        <f ca="1">IFERROR(__xludf.DUMMYFUNCTION("""COMPUTED_VALUE"""),"Sin defenir")</f>
        <v>Sin defenir</v>
      </c>
      <c r="R427" s="25"/>
      <c r="S427" s="55"/>
      <c r="T427" s="56"/>
      <c r="U427" s="25"/>
      <c r="V427" s="25"/>
      <c r="W427" s="25"/>
      <c r="X427" s="25"/>
      <c r="Y427" s="25"/>
      <c r="Z427" s="25"/>
    </row>
    <row r="428" spans="1:26" ht="52.5" customHeight="1" x14ac:dyDescent="0.25">
      <c r="A428" s="25" t="str">
        <f ca="1">IFERROR(__xludf.DUMMYFUNCTION("""COMPUTED_VALUE"""),"Salud126")</f>
        <v>Salud126</v>
      </c>
      <c r="B428" s="25"/>
      <c r="C428" s="55"/>
      <c r="D428" s="25" t="str">
        <f ca="1">IFERROR(__xludf.DUMMYFUNCTION("""COMPUTED_VALUE"""),"Salud")</f>
        <v>Salud</v>
      </c>
      <c r="E428" s="25"/>
      <c r="F428" s="25"/>
      <c r="G428" s="25"/>
      <c r="H428" s="25"/>
      <c r="I428" s="25"/>
      <c r="J428" s="55"/>
      <c r="K428" s="25" t="str">
        <f ca="1">IFERROR(__xludf.DUMMYFUNCTION("""COMPUTED_VALUE"""),"Definir fecha")</f>
        <v>Definir fecha</v>
      </c>
      <c r="L428" s="62"/>
      <c r="M428" s="25"/>
      <c r="N428" s="25"/>
      <c r="O428" s="25">
        <f t="shared" si="0"/>
        <v>0</v>
      </c>
      <c r="P428" s="25" t="str">
        <f t="shared" si="2"/>
        <v/>
      </c>
      <c r="Q428" s="25" t="str">
        <f ca="1">IFERROR(__xludf.DUMMYFUNCTION("""COMPUTED_VALUE"""),"Sin defenir")</f>
        <v>Sin defenir</v>
      </c>
      <c r="R428" s="25"/>
      <c r="S428" s="55"/>
      <c r="T428" s="56"/>
      <c r="U428" s="25"/>
      <c r="V428" s="25"/>
      <c r="W428" s="25"/>
      <c r="X428" s="25"/>
      <c r="Y428" s="25"/>
      <c r="Z428" s="25"/>
    </row>
    <row r="429" spans="1:26" ht="52.5" customHeight="1" x14ac:dyDescent="0.25">
      <c r="A429" s="25" t="str">
        <f ca="1">IFERROR(__xludf.DUMMYFUNCTION("""COMPUTED_VALUE"""),"Salud127")</f>
        <v>Salud127</v>
      </c>
      <c r="B429" s="25"/>
      <c r="C429" s="55"/>
      <c r="D429" s="25" t="str">
        <f ca="1">IFERROR(__xludf.DUMMYFUNCTION("""COMPUTED_VALUE"""),"Salud")</f>
        <v>Salud</v>
      </c>
      <c r="E429" s="25"/>
      <c r="F429" s="25"/>
      <c r="G429" s="25"/>
      <c r="H429" s="25"/>
      <c r="I429" s="25"/>
      <c r="J429" s="55"/>
      <c r="K429" s="25" t="str">
        <f ca="1">IFERROR(__xludf.DUMMYFUNCTION("""COMPUTED_VALUE"""),"Definir fecha")</f>
        <v>Definir fecha</v>
      </c>
      <c r="L429" s="62"/>
      <c r="M429" s="25"/>
      <c r="N429" s="25"/>
      <c r="O429" s="25">
        <f t="shared" si="0"/>
        <v>0</v>
      </c>
      <c r="P429" s="25" t="str">
        <f t="shared" si="2"/>
        <v/>
      </c>
      <c r="Q429" s="25" t="str">
        <f ca="1">IFERROR(__xludf.DUMMYFUNCTION("""COMPUTED_VALUE"""),"Sin defenir")</f>
        <v>Sin defenir</v>
      </c>
      <c r="R429" s="25"/>
      <c r="S429" s="55"/>
      <c r="T429" s="56"/>
      <c r="U429" s="25"/>
      <c r="V429" s="25"/>
      <c r="W429" s="25"/>
      <c r="X429" s="25"/>
      <c r="Y429" s="25"/>
      <c r="Z429" s="25"/>
    </row>
    <row r="430" spans="1:26" ht="52.5" customHeight="1" x14ac:dyDescent="0.25">
      <c r="A430" s="25" t="str">
        <f ca="1">IFERROR(__xludf.DUMMYFUNCTION("""COMPUTED_VALUE"""),"Salud128")</f>
        <v>Salud128</v>
      </c>
      <c r="B430" s="25"/>
      <c r="C430" s="55"/>
      <c r="D430" s="25" t="str">
        <f ca="1">IFERROR(__xludf.DUMMYFUNCTION("""COMPUTED_VALUE"""),"Salud")</f>
        <v>Salud</v>
      </c>
      <c r="E430" s="25"/>
      <c r="F430" s="25"/>
      <c r="G430" s="25"/>
      <c r="H430" s="25"/>
      <c r="I430" s="25"/>
      <c r="J430" s="55"/>
      <c r="K430" s="25" t="str">
        <f ca="1">IFERROR(__xludf.DUMMYFUNCTION("""COMPUTED_VALUE"""),"Definir fecha")</f>
        <v>Definir fecha</v>
      </c>
      <c r="L430" s="62"/>
      <c r="M430" s="25"/>
      <c r="N430" s="25"/>
      <c r="O430" s="25">
        <f t="shared" si="0"/>
        <v>0</v>
      </c>
      <c r="P430" s="25" t="str">
        <f t="shared" si="2"/>
        <v/>
      </c>
      <c r="Q430" s="25" t="str">
        <f ca="1">IFERROR(__xludf.DUMMYFUNCTION("""COMPUTED_VALUE"""),"Sin defenir")</f>
        <v>Sin defenir</v>
      </c>
      <c r="R430" s="25"/>
      <c r="S430" s="55"/>
      <c r="T430" s="56"/>
      <c r="U430" s="25"/>
      <c r="V430" s="25"/>
      <c r="W430" s="25"/>
      <c r="X430" s="25"/>
      <c r="Y430" s="25"/>
      <c r="Z430" s="25"/>
    </row>
    <row r="431" spans="1:26" ht="52.5" customHeight="1" x14ac:dyDescent="0.25">
      <c r="A431" s="25" t="str">
        <f ca="1">IFERROR(__xludf.DUMMYFUNCTION("""COMPUTED_VALUE"""),"Salud129")</f>
        <v>Salud129</v>
      </c>
      <c r="B431" s="25"/>
      <c r="C431" s="55"/>
      <c r="D431" s="25" t="str">
        <f ca="1">IFERROR(__xludf.DUMMYFUNCTION("""COMPUTED_VALUE"""),"Salud")</f>
        <v>Salud</v>
      </c>
      <c r="E431" s="25"/>
      <c r="F431" s="25"/>
      <c r="G431" s="25"/>
      <c r="H431" s="25"/>
      <c r="I431" s="25"/>
      <c r="J431" s="55"/>
      <c r="K431" s="25" t="str">
        <f ca="1">IFERROR(__xludf.DUMMYFUNCTION("""COMPUTED_VALUE"""),"Definir fecha")</f>
        <v>Definir fecha</v>
      </c>
      <c r="L431" s="62"/>
      <c r="M431" s="25"/>
      <c r="N431" s="25"/>
      <c r="O431" s="25">
        <f t="shared" si="0"/>
        <v>0</v>
      </c>
      <c r="P431" s="25" t="str">
        <f t="shared" si="2"/>
        <v/>
      </c>
      <c r="Q431" s="25" t="str">
        <f ca="1">IFERROR(__xludf.DUMMYFUNCTION("""COMPUTED_VALUE"""),"Sin defenir")</f>
        <v>Sin defenir</v>
      </c>
      <c r="R431" s="25"/>
      <c r="S431" s="55"/>
      <c r="T431" s="56"/>
      <c r="U431" s="25"/>
      <c r="V431" s="25"/>
      <c r="W431" s="25"/>
      <c r="X431" s="25"/>
      <c r="Y431" s="25"/>
      <c r="Z431" s="25"/>
    </row>
    <row r="432" spans="1:26" ht="52.5" customHeight="1" x14ac:dyDescent="0.25">
      <c r="A432" s="25" t="str">
        <f ca="1">IFERROR(__xludf.DUMMYFUNCTION("""COMPUTED_VALUE"""),"Salud130")</f>
        <v>Salud130</v>
      </c>
      <c r="B432" s="25"/>
      <c r="C432" s="55"/>
      <c r="D432" s="25" t="str">
        <f ca="1">IFERROR(__xludf.DUMMYFUNCTION("""COMPUTED_VALUE"""),"Salud")</f>
        <v>Salud</v>
      </c>
      <c r="E432" s="25"/>
      <c r="F432" s="25"/>
      <c r="G432" s="25"/>
      <c r="H432" s="25"/>
      <c r="I432" s="25"/>
      <c r="J432" s="55"/>
      <c r="K432" s="25" t="str">
        <f ca="1">IFERROR(__xludf.DUMMYFUNCTION("""COMPUTED_VALUE"""),"Definir fecha")</f>
        <v>Definir fecha</v>
      </c>
      <c r="L432" s="62"/>
      <c r="M432" s="25"/>
      <c r="N432" s="25"/>
      <c r="O432" s="25">
        <f t="shared" si="0"/>
        <v>0</v>
      </c>
      <c r="P432" s="25" t="str">
        <f t="shared" si="2"/>
        <v/>
      </c>
      <c r="Q432" s="25" t="str">
        <f ca="1">IFERROR(__xludf.DUMMYFUNCTION("""COMPUTED_VALUE"""),"Sin defenir")</f>
        <v>Sin defenir</v>
      </c>
      <c r="R432" s="25"/>
      <c r="S432" s="55"/>
      <c r="T432" s="56"/>
      <c r="U432" s="25"/>
      <c r="V432" s="25"/>
      <c r="W432" s="25"/>
      <c r="X432" s="25"/>
      <c r="Y432" s="25"/>
      <c r="Z432" s="25"/>
    </row>
    <row r="433" spans="1:26" ht="52.5" customHeight="1" x14ac:dyDescent="0.25">
      <c r="A433" s="25" t="str">
        <f ca="1">IFERROR(__xludf.DUMMYFUNCTION("""COMPUTED_VALUE"""),"Salud131")</f>
        <v>Salud131</v>
      </c>
      <c r="B433" s="25"/>
      <c r="C433" s="55"/>
      <c r="D433" s="25" t="str">
        <f ca="1">IFERROR(__xludf.DUMMYFUNCTION("""COMPUTED_VALUE"""),"Salud")</f>
        <v>Salud</v>
      </c>
      <c r="E433" s="25"/>
      <c r="F433" s="25"/>
      <c r="G433" s="25"/>
      <c r="H433" s="25"/>
      <c r="I433" s="25"/>
      <c r="J433" s="55"/>
      <c r="K433" s="25" t="str">
        <f ca="1">IFERROR(__xludf.DUMMYFUNCTION("""COMPUTED_VALUE"""),"Definir fecha")</f>
        <v>Definir fecha</v>
      </c>
      <c r="L433" s="62"/>
      <c r="M433" s="25"/>
      <c r="N433" s="25"/>
      <c r="O433" s="25">
        <f t="shared" si="0"/>
        <v>0</v>
      </c>
      <c r="P433" s="25" t="str">
        <f t="shared" si="2"/>
        <v/>
      </c>
      <c r="Q433" s="25" t="str">
        <f ca="1">IFERROR(__xludf.DUMMYFUNCTION("""COMPUTED_VALUE"""),"Sin defenir")</f>
        <v>Sin defenir</v>
      </c>
      <c r="R433" s="25"/>
      <c r="S433" s="55"/>
      <c r="T433" s="56"/>
      <c r="U433" s="25"/>
      <c r="V433" s="25"/>
      <c r="W433" s="25"/>
      <c r="X433" s="25"/>
      <c r="Y433" s="25"/>
      <c r="Z433" s="25"/>
    </row>
    <row r="434" spans="1:26" ht="52.5" customHeight="1" x14ac:dyDescent="0.25">
      <c r="A434" s="25" t="str">
        <f ca="1">IFERROR(__xludf.DUMMYFUNCTION("""COMPUTED_VALUE"""),"Salud132")</f>
        <v>Salud132</v>
      </c>
      <c r="B434" s="25"/>
      <c r="C434" s="55"/>
      <c r="D434" s="25" t="str">
        <f ca="1">IFERROR(__xludf.DUMMYFUNCTION("""COMPUTED_VALUE"""),"Salud")</f>
        <v>Salud</v>
      </c>
      <c r="E434" s="25"/>
      <c r="F434" s="25"/>
      <c r="G434" s="25"/>
      <c r="H434" s="25"/>
      <c r="I434" s="25"/>
      <c r="J434" s="55"/>
      <c r="K434" s="25" t="str">
        <f ca="1">IFERROR(__xludf.DUMMYFUNCTION("""COMPUTED_VALUE"""),"Definir fecha")</f>
        <v>Definir fecha</v>
      </c>
      <c r="L434" s="62"/>
      <c r="M434" s="25"/>
      <c r="N434" s="25"/>
      <c r="O434" s="25">
        <f t="shared" si="0"/>
        <v>0</v>
      </c>
      <c r="P434" s="25" t="str">
        <f t="shared" si="2"/>
        <v/>
      </c>
      <c r="Q434" s="25" t="str">
        <f ca="1">IFERROR(__xludf.DUMMYFUNCTION("""COMPUTED_VALUE"""),"Sin defenir")</f>
        <v>Sin defenir</v>
      </c>
      <c r="R434" s="25"/>
      <c r="S434" s="55"/>
      <c r="T434" s="56"/>
      <c r="U434" s="25"/>
      <c r="V434" s="25"/>
      <c r="W434" s="25"/>
      <c r="X434" s="25"/>
      <c r="Y434" s="25"/>
      <c r="Z434" s="25"/>
    </row>
    <row r="435" spans="1:26" ht="52.5" customHeight="1" x14ac:dyDescent="0.25">
      <c r="A435" s="25" t="str">
        <f ca="1">IFERROR(__xludf.DUMMYFUNCTION("""COMPUTED_VALUE"""),"Salud133")</f>
        <v>Salud133</v>
      </c>
      <c r="B435" s="25"/>
      <c r="C435" s="55"/>
      <c r="D435" s="25" t="str">
        <f ca="1">IFERROR(__xludf.DUMMYFUNCTION("""COMPUTED_VALUE"""),"Salud")</f>
        <v>Salud</v>
      </c>
      <c r="E435" s="25"/>
      <c r="F435" s="25"/>
      <c r="G435" s="25"/>
      <c r="H435" s="25"/>
      <c r="I435" s="25"/>
      <c r="J435" s="55"/>
      <c r="K435" s="25" t="str">
        <f ca="1">IFERROR(__xludf.DUMMYFUNCTION("""COMPUTED_VALUE"""),"Definir fecha")</f>
        <v>Definir fecha</v>
      </c>
      <c r="L435" s="62"/>
      <c r="M435" s="25"/>
      <c r="N435" s="25"/>
      <c r="O435" s="25">
        <f t="shared" si="0"/>
        <v>0</v>
      </c>
      <c r="P435" s="25" t="str">
        <f t="shared" si="2"/>
        <v/>
      </c>
      <c r="Q435" s="25" t="str">
        <f ca="1">IFERROR(__xludf.DUMMYFUNCTION("""COMPUTED_VALUE"""),"Sin defenir")</f>
        <v>Sin defenir</v>
      </c>
      <c r="R435" s="25"/>
      <c r="S435" s="55"/>
      <c r="T435" s="56"/>
      <c r="U435" s="25"/>
      <c r="V435" s="25"/>
      <c r="W435" s="25"/>
      <c r="X435" s="25"/>
      <c r="Y435" s="25"/>
      <c r="Z435" s="25"/>
    </row>
    <row r="436" spans="1:26" ht="52.5" customHeight="1" x14ac:dyDescent="0.25">
      <c r="A436" s="25" t="str">
        <f ca="1">IFERROR(__xludf.DUMMYFUNCTION("""COMPUTED_VALUE"""),"Salud134")</f>
        <v>Salud134</v>
      </c>
      <c r="B436" s="25"/>
      <c r="C436" s="55"/>
      <c r="D436" s="25" t="str">
        <f ca="1">IFERROR(__xludf.DUMMYFUNCTION("""COMPUTED_VALUE"""),"Salud")</f>
        <v>Salud</v>
      </c>
      <c r="E436" s="25"/>
      <c r="F436" s="25"/>
      <c r="G436" s="25"/>
      <c r="H436" s="25"/>
      <c r="I436" s="25"/>
      <c r="J436" s="55"/>
      <c r="K436" s="25" t="str">
        <f ca="1">IFERROR(__xludf.DUMMYFUNCTION("""COMPUTED_VALUE"""),"Definir fecha")</f>
        <v>Definir fecha</v>
      </c>
      <c r="L436" s="62"/>
      <c r="M436" s="25"/>
      <c r="N436" s="25"/>
      <c r="O436" s="25">
        <f t="shared" si="0"/>
        <v>0</v>
      </c>
      <c r="P436" s="25" t="str">
        <f t="shared" si="2"/>
        <v/>
      </c>
      <c r="Q436" s="25" t="str">
        <f ca="1">IFERROR(__xludf.DUMMYFUNCTION("""COMPUTED_VALUE"""),"Sin defenir")</f>
        <v>Sin defenir</v>
      </c>
      <c r="R436" s="25"/>
      <c r="S436" s="55"/>
      <c r="T436" s="56"/>
      <c r="U436" s="25"/>
      <c r="V436" s="25"/>
      <c r="W436" s="25"/>
      <c r="X436" s="25"/>
      <c r="Y436" s="25"/>
      <c r="Z436" s="25"/>
    </row>
    <row r="437" spans="1:26" ht="52.5" customHeight="1" x14ac:dyDescent="0.25">
      <c r="A437" s="25" t="str">
        <f ca="1">IFERROR(__xludf.DUMMYFUNCTION("""COMPUTED_VALUE"""),"Salud135")</f>
        <v>Salud135</v>
      </c>
      <c r="B437" s="25"/>
      <c r="C437" s="55"/>
      <c r="D437" s="25" t="str">
        <f ca="1">IFERROR(__xludf.DUMMYFUNCTION("""COMPUTED_VALUE"""),"Salud")</f>
        <v>Salud</v>
      </c>
      <c r="E437" s="25"/>
      <c r="F437" s="25"/>
      <c r="G437" s="25"/>
      <c r="H437" s="25"/>
      <c r="I437" s="25"/>
      <c r="J437" s="55"/>
      <c r="K437" s="25" t="str">
        <f ca="1">IFERROR(__xludf.DUMMYFUNCTION("""COMPUTED_VALUE"""),"Definir fecha")</f>
        <v>Definir fecha</v>
      </c>
      <c r="L437" s="62"/>
      <c r="M437" s="25"/>
      <c r="N437" s="25"/>
      <c r="O437" s="25">
        <f t="shared" si="0"/>
        <v>0</v>
      </c>
      <c r="P437" s="25" t="str">
        <f t="shared" si="2"/>
        <v/>
      </c>
      <c r="Q437" s="25" t="str">
        <f ca="1">IFERROR(__xludf.DUMMYFUNCTION("""COMPUTED_VALUE"""),"Sin defenir")</f>
        <v>Sin defenir</v>
      </c>
      <c r="R437" s="25"/>
      <c r="S437" s="55"/>
      <c r="T437" s="56"/>
      <c r="U437" s="25"/>
      <c r="V437" s="25"/>
      <c r="W437" s="25"/>
      <c r="X437" s="25"/>
      <c r="Y437" s="25"/>
      <c r="Z437" s="25"/>
    </row>
    <row r="438" spans="1:26" ht="52.5" customHeight="1" x14ac:dyDescent="0.25">
      <c r="A438" s="25" t="str">
        <f ca="1">IFERROR(__xludf.DUMMYFUNCTION("""COMPUTED_VALUE"""),"Salud136")</f>
        <v>Salud136</v>
      </c>
      <c r="B438" s="25"/>
      <c r="C438" s="55"/>
      <c r="D438" s="25" t="str">
        <f ca="1">IFERROR(__xludf.DUMMYFUNCTION("""COMPUTED_VALUE"""),"Salud")</f>
        <v>Salud</v>
      </c>
      <c r="E438" s="25"/>
      <c r="F438" s="25"/>
      <c r="G438" s="25"/>
      <c r="H438" s="25"/>
      <c r="I438" s="25"/>
      <c r="J438" s="55"/>
      <c r="K438" s="25" t="str">
        <f ca="1">IFERROR(__xludf.DUMMYFUNCTION("""COMPUTED_VALUE"""),"Definir fecha")</f>
        <v>Definir fecha</v>
      </c>
      <c r="L438" s="62"/>
      <c r="M438" s="25"/>
      <c r="N438" s="25"/>
      <c r="O438" s="25">
        <f t="shared" si="0"/>
        <v>0</v>
      </c>
      <c r="P438" s="25" t="str">
        <f t="shared" si="2"/>
        <v/>
      </c>
      <c r="Q438" s="25" t="str">
        <f ca="1">IFERROR(__xludf.DUMMYFUNCTION("""COMPUTED_VALUE"""),"Sin defenir")</f>
        <v>Sin defenir</v>
      </c>
      <c r="R438" s="25"/>
      <c r="S438" s="55"/>
      <c r="T438" s="56"/>
      <c r="U438" s="25"/>
      <c r="V438" s="25"/>
      <c r="W438" s="25"/>
      <c r="X438" s="25"/>
      <c r="Y438" s="25"/>
      <c r="Z438" s="25"/>
    </row>
    <row r="439" spans="1:26" ht="52.5" customHeight="1" x14ac:dyDescent="0.25">
      <c r="A439" s="25" t="str">
        <f ca="1">IFERROR(__xludf.DUMMYFUNCTION("""COMPUTED_VALUE"""),"Salud137")</f>
        <v>Salud137</v>
      </c>
      <c r="B439" s="25"/>
      <c r="C439" s="55"/>
      <c r="D439" s="25" t="str">
        <f ca="1">IFERROR(__xludf.DUMMYFUNCTION("""COMPUTED_VALUE"""),"Salud")</f>
        <v>Salud</v>
      </c>
      <c r="E439" s="25"/>
      <c r="F439" s="25"/>
      <c r="G439" s="25"/>
      <c r="H439" s="25"/>
      <c r="I439" s="25"/>
      <c r="J439" s="55"/>
      <c r="K439" s="25" t="str">
        <f ca="1">IFERROR(__xludf.DUMMYFUNCTION("""COMPUTED_VALUE"""),"Definir fecha")</f>
        <v>Definir fecha</v>
      </c>
      <c r="L439" s="62"/>
      <c r="M439" s="25"/>
      <c r="N439" s="25"/>
      <c r="O439" s="25">
        <f t="shared" si="0"/>
        <v>0</v>
      </c>
      <c r="P439" s="25" t="str">
        <f t="shared" si="2"/>
        <v/>
      </c>
      <c r="Q439" s="25" t="str">
        <f ca="1">IFERROR(__xludf.DUMMYFUNCTION("""COMPUTED_VALUE"""),"Sin defenir")</f>
        <v>Sin defenir</v>
      </c>
      <c r="R439" s="25"/>
      <c r="S439" s="55"/>
      <c r="T439" s="56"/>
      <c r="U439" s="25"/>
      <c r="V439" s="25"/>
      <c r="W439" s="25"/>
      <c r="X439" s="25"/>
      <c r="Y439" s="25"/>
      <c r="Z439" s="25"/>
    </row>
    <row r="440" spans="1:26" ht="52.5" customHeight="1" x14ac:dyDescent="0.25">
      <c r="A440" s="25" t="str">
        <f ca="1">IFERROR(__xludf.DUMMYFUNCTION("""COMPUTED_VALUE"""),"Salud138")</f>
        <v>Salud138</v>
      </c>
      <c r="B440" s="25"/>
      <c r="C440" s="55"/>
      <c r="D440" s="25" t="str">
        <f ca="1">IFERROR(__xludf.DUMMYFUNCTION("""COMPUTED_VALUE"""),"Salud")</f>
        <v>Salud</v>
      </c>
      <c r="E440" s="25"/>
      <c r="F440" s="25"/>
      <c r="G440" s="25"/>
      <c r="H440" s="25"/>
      <c r="I440" s="25"/>
      <c r="J440" s="55"/>
      <c r="K440" s="25" t="str">
        <f ca="1">IFERROR(__xludf.DUMMYFUNCTION("""COMPUTED_VALUE"""),"Definir fecha")</f>
        <v>Definir fecha</v>
      </c>
      <c r="L440" s="62"/>
      <c r="M440" s="25"/>
      <c r="N440" s="25"/>
      <c r="O440" s="25">
        <f t="shared" si="0"/>
        <v>0</v>
      </c>
      <c r="P440" s="25" t="str">
        <f t="shared" si="2"/>
        <v/>
      </c>
      <c r="Q440" s="25" t="str">
        <f ca="1">IFERROR(__xludf.DUMMYFUNCTION("""COMPUTED_VALUE"""),"Sin defenir")</f>
        <v>Sin defenir</v>
      </c>
      <c r="R440" s="25"/>
      <c r="S440" s="55"/>
      <c r="T440" s="56"/>
      <c r="U440" s="25"/>
      <c r="V440" s="25"/>
      <c r="W440" s="25"/>
      <c r="X440" s="25"/>
      <c r="Y440" s="25"/>
      <c r="Z440" s="25"/>
    </row>
    <row r="441" spans="1:26" ht="52.5" customHeight="1" x14ac:dyDescent="0.25">
      <c r="A441" s="25" t="str">
        <f ca="1">IFERROR(__xludf.DUMMYFUNCTION("""COMPUTED_VALUE"""),"Salud139")</f>
        <v>Salud139</v>
      </c>
      <c r="B441" s="25"/>
      <c r="C441" s="55"/>
      <c r="D441" s="25" t="str">
        <f ca="1">IFERROR(__xludf.DUMMYFUNCTION("""COMPUTED_VALUE"""),"Salud")</f>
        <v>Salud</v>
      </c>
      <c r="E441" s="25"/>
      <c r="F441" s="25"/>
      <c r="G441" s="25"/>
      <c r="H441" s="25"/>
      <c r="I441" s="25"/>
      <c r="J441" s="55"/>
      <c r="K441" s="25" t="str">
        <f ca="1">IFERROR(__xludf.DUMMYFUNCTION("""COMPUTED_VALUE"""),"Definir fecha")</f>
        <v>Definir fecha</v>
      </c>
      <c r="L441" s="62"/>
      <c r="M441" s="25"/>
      <c r="N441" s="25"/>
      <c r="O441" s="25">
        <f t="shared" si="0"/>
        <v>0</v>
      </c>
      <c r="P441" s="25" t="str">
        <f t="shared" si="2"/>
        <v/>
      </c>
      <c r="Q441" s="25" t="str">
        <f ca="1">IFERROR(__xludf.DUMMYFUNCTION("""COMPUTED_VALUE"""),"Sin defenir")</f>
        <v>Sin defenir</v>
      </c>
      <c r="R441" s="25"/>
      <c r="S441" s="55"/>
      <c r="T441" s="56"/>
      <c r="U441" s="25"/>
      <c r="V441" s="25"/>
      <c r="W441" s="25"/>
      <c r="X441" s="25"/>
      <c r="Y441" s="25"/>
      <c r="Z441" s="25"/>
    </row>
    <row r="442" spans="1:26" ht="52.5" customHeight="1" x14ac:dyDescent="0.25">
      <c r="A442" s="25" t="str">
        <f ca="1">IFERROR(__xludf.DUMMYFUNCTION("""COMPUTED_VALUE"""),"Salud140")</f>
        <v>Salud140</v>
      </c>
      <c r="B442" s="25"/>
      <c r="C442" s="55"/>
      <c r="D442" s="25" t="str">
        <f ca="1">IFERROR(__xludf.DUMMYFUNCTION("""COMPUTED_VALUE"""),"Salud")</f>
        <v>Salud</v>
      </c>
      <c r="E442" s="25"/>
      <c r="F442" s="25"/>
      <c r="G442" s="25"/>
      <c r="H442" s="25"/>
      <c r="I442" s="25"/>
      <c r="J442" s="55"/>
      <c r="K442" s="25" t="str">
        <f ca="1">IFERROR(__xludf.DUMMYFUNCTION("""COMPUTED_VALUE"""),"Definir fecha")</f>
        <v>Definir fecha</v>
      </c>
      <c r="L442" s="62"/>
      <c r="M442" s="25"/>
      <c r="N442" s="25"/>
      <c r="O442" s="25">
        <f t="shared" si="0"/>
        <v>0</v>
      </c>
      <c r="P442" s="25" t="str">
        <f t="shared" si="2"/>
        <v/>
      </c>
      <c r="Q442" s="25" t="str">
        <f ca="1">IFERROR(__xludf.DUMMYFUNCTION("""COMPUTED_VALUE"""),"Sin defenir")</f>
        <v>Sin defenir</v>
      </c>
      <c r="R442" s="25"/>
      <c r="S442" s="55"/>
      <c r="T442" s="56"/>
      <c r="U442" s="25"/>
      <c r="V442" s="25"/>
      <c r="W442" s="25"/>
      <c r="X442" s="25"/>
      <c r="Y442" s="25"/>
      <c r="Z442" s="25"/>
    </row>
    <row r="443" spans="1:26" ht="52.5" customHeight="1" x14ac:dyDescent="0.25">
      <c r="A443" s="25" t="str">
        <f ca="1">IFERROR(__xludf.DUMMYFUNCTION("""COMPUTED_VALUE"""),"Salud141")</f>
        <v>Salud141</v>
      </c>
      <c r="B443" s="25"/>
      <c r="C443" s="55"/>
      <c r="D443" s="25" t="str">
        <f ca="1">IFERROR(__xludf.DUMMYFUNCTION("""COMPUTED_VALUE"""),"Salud")</f>
        <v>Salud</v>
      </c>
      <c r="E443" s="25"/>
      <c r="F443" s="25"/>
      <c r="G443" s="25"/>
      <c r="H443" s="25"/>
      <c r="I443" s="25"/>
      <c r="J443" s="55"/>
      <c r="K443" s="25" t="str">
        <f ca="1">IFERROR(__xludf.DUMMYFUNCTION("""COMPUTED_VALUE"""),"Definir fecha")</f>
        <v>Definir fecha</v>
      </c>
      <c r="L443" s="62"/>
      <c r="M443" s="25"/>
      <c r="N443" s="25"/>
      <c r="O443" s="25">
        <f t="shared" si="0"/>
        <v>0</v>
      </c>
      <c r="P443" s="25" t="str">
        <f t="shared" si="2"/>
        <v/>
      </c>
      <c r="Q443" s="25" t="str">
        <f ca="1">IFERROR(__xludf.DUMMYFUNCTION("""COMPUTED_VALUE"""),"Sin defenir")</f>
        <v>Sin defenir</v>
      </c>
      <c r="R443" s="25"/>
      <c r="S443" s="55"/>
      <c r="T443" s="56"/>
      <c r="U443" s="25"/>
      <c r="V443" s="25"/>
      <c r="W443" s="25"/>
      <c r="X443" s="25"/>
      <c r="Y443" s="25"/>
      <c r="Z443" s="25"/>
    </row>
    <row r="444" spans="1:26" ht="52.5" customHeight="1" x14ac:dyDescent="0.25">
      <c r="A444" s="25" t="str">
        <f ca="1">IFERROR(__xludf.DUMMYFUNCTION("""COMPUTED_VALUE"""),"Salud142")</f>
        <v>Salud142</v>
      </c>
      <c r="B444" s="25"/>
      <c r="C444" s="55"/>
      <c r="D444" s="25" t="str">
        <f ca="1">IFERROR(__xludf.DUMMYFUNCTION("""COMPUTED_VALUE"""),"Salud")</f>
        <v>Salud</v>
      </c>
      <c r="E444" s="25"/>
      <c r="F444" s="25"/>
      <c r="G444" s="25"/>
      <c r="H444" s="25"/>
      <c r="I444" s="25"/>
      <c r="J444" s="55"/>
      <c r="K444" s="25" t="str">
        <f ca="1">IFERROR(__xludf.DUMMYFUNCTION("""COMPUTED_VALUE"""),"Definir fecha")</f>
        <v>Definir fecha</v>
      </c>
      <c r="L444" s="62"/>
      <c r="M444" s="25"/>
      <c r="N444" s="25"/>
      <c r="O444" s="25">
        <f t="shared" si="0"/>
        <v>0</v>
      </c>
      <c r="P444" s="25" t="str">
        <f t="shared" si="2"/>
        <v/>
      </c>
      <c r="Q444" s="25" t="str">
        <f ca="1">IFERROR(__xludf.DUMMYFUNCTION("""COMPUTED_VALUE"""),"Sin defenir")</f>
        <v>Sin defenir</v>
      </c>
      <c r="R444" s="25"/>
      <c r="S444" s="55"/>
      <c r="T444" s="56"/>
      <c r="U444" s="25"/>
      <c r="V444" s="25"/>
      <c r="W444" s="25"/>
      <c r="X444" s="25"/>
      <c r="Y444" s="25"/>
      <c r="Z444" s="25"/>
    </row>
    <row r="445" spans="1:26" ht="52.5" customHeight="1" x14ac:dyDescent="0.25">
      <c r="A445" s="25" t="str">
        <f ca="1">IFERROR(__xludf.DUMMYFUNCTION("""COMPUTED_VALUE"""),"Salud143")</f>
        <v>Salud143</v>
      </c>
      <c r="B445" s="25"/>
      <c r="C445" s="55"/>
      <c r="D445" s="25" t="str">
        <f ca="1">IFERROR(__xludf.DUMMYFUNCTION("""COMPUTED_VALUE"""),"Salud")</f>
        <v>Salud</v>
      </c>
      <c r="E445" s="25"/>
      <c r="F445" s="25"/>
      <c r="G445" s="25"/>
      <c r="H445" s="25"/>
      <c r="I445" s="25"/>
      <c r="J445" s="55"/>
      <c r="K445" s="25" t="str">
        <f ca="1">IFERROR(__xludf.DUMMYFUNCTION("""COMPUTED_VALUE"""),"Definir fecha")</f>
        <v>Definir fecha</v>
      </c>
      <c r="L445" s="62"/>
      <c r="M445" s="25"/>
      <c r="N445" s="25"/>
      <c r="O445" s="25">
        <f t="shared" si="0"/>
        <v>0</v>
      </c>
      <c r="P445" s="25" t="str">
        <f t="shared" si="2"/>
        <v/>
      </c>
      <c r="Q445" s="25" t="str">
        <f ca="1">IFERROR(__xludf.DUMMYFUNCTION("""COMPUTED_VALUE"""),"Sin defenir")</f>
        <v>Sin defenir</v>
      </c>
      <c r="R445" s="25"/>
      <c r="S445" s="55"/>
      <c r="T445" s="56"/>
      <c r="U445" s="25"/>
      <c r="V445" s="25"/>
      <c r="W445" s="25"/>
      <c r="X445" s="25"/>
      <c r="Y445" s="25"/>
      <c r="Z445" s="25"/>
    </row>
    <row r="446" spans="1:26" ht="52.5" customHeight="1" x14ac:dyDescent="0.25">
      <c r="A446" s="25" t="str">
        <f ca="1">IFERROR(__xludf.DUMMYFUNCTION("""COMPUTED_VALUE"""),"Salud144")</f>
        <v>Salud144</v>
      </c>
      <c r="B446" s="25"/>
      <c r="C446" s="55"/>
      <c r="D446" s="25" t="str">
        <f ca="1">IFERROR(__xludf.DUMMYFUNCTION("""COMPUTED_VALUE"""),"Salud")</f>
        <v>Salud</v>
      </c>
      <c r="E446" s="25"/>
      <c r="F446" s="25"/>
      <c r="G446" s="25"/>
      <c r="H446" s="25"/>
      <c r="I446" s="25"/>
      <c r="J446" s="55"/>
      <c r="K446" s="25" t="str">
        <f ca="1">IFERROR(__xludf.DUMMYFUNCTION("""COMPUTED_VALUE"""),"Definir fecha")</f>
        <v>Definir fecha</v>
      </c>
      <c r="L446" s="62"/>
      <c r="M446" s="25"/>
      <c r="N446" s="25"/>
      <c r="O446" s="25">
        <f t="shared" si="0"/>
        <v>0</v>
      </c>
      <c r="P446" s="25" t="str">
        <f t="shared" si="2"/>
        <v/>
      </c>
      <c r="Q446" s="25" t="str">
        <f ca="1">IFERROR(__xludf.DUMMYFUNCTION("""COMPUTED_VALUE"""),"Sin defenir")</f>
        <v>Sin defenir</v>
      </c>
      <c r="R446" s="25"/>
      <c r="S446" s="55"/>
      <c r="T446" s="56"/>
      <c r="U446" s="25"/>
      <c r="V446" s="25"/>
      <c r="W446" s="25"/>
      <c r="X446" s="25"/>
      <c r="Y446" s="25"/>
      <c r="Z446" s="25"/>
    </row>
    <row r="447" spans="1:26" ht="52.5" customHeight="1" x14ac:dyDescent="0.25">
      <c r="A447" s="25" t="str">
        <f ca="1">IFERROR(__xludf.DUMMYFUNCTION("""COMPUTED_VALUE"""),"Salud145")</f>
        <v>Salud145</v>
      </c>
      <c r="B447" s="25"/>
      <c r="C447" s="55"/>
      <c r="D447" s="25" t="str">
        <f ca="1">IFERROR(__xludf.DUMMYFUNCTION("""COMPUTED_VALUE"""),"Salud")</f>
        <v>Salud</v>
      </c>
      <c r="E447" s="25"/>
      <c r="F447" s="25"/>
      <c r="G447" s="25"/>
      <c r="H447" s="25"/>
      <c r="I447" s="25"/>
      <c r="J447" s="55"/>
      <c r="K447" s="25" t="str">
        <f ca="1">IFERROR(__xludf.DUMMYFUNCTION("""COMPUTED_VALUE"""),"Definir fecha")</f>
        <v>Definir fecha</v>
      </c>
      <c r="L447" s="62"/>
      <c r="M447" s="25"/>
      <c r="N447" s="25"/>
      <c r="O447" s="25">
        <f t="shared" si="0"/>
        <v>0</v>
      </c>
      <c r="P447" s="25" t="str">
        <f t="shared" si="2"/>
        <v/>
      </c>
      <c r="Q447" s="25" t="str">
        <f ca="1">IFERROR(__xludf.DUMMYFUNCTION("""COMPUTED_VALUE"""),"Sin defenir")</f>
        <v>Sin defenir</v>
      </c>
      <c r="R447" s="25"/>
      <c r="S447" s="55"/>
      <c r="T447" s="56"/>
      <c r="U447" s="25"/>
      <c r="V447" s="25"/>
      <c r="W447" s="25"/>
      <c r="X447" s="25"/>
      <c r="Y447" s="25"/>
      <c r="Z447" s="25"/>
    </row>
    <row r="448" spans="1:26" ht="52.5" customHeight="1" x14ac:dyDescent="0.25">
      <c r="A448" s="25" t="str">
        <f ca="1">IFERROR(__xludf.DUMMYFUNCTION("""COMPUTED_VALUE"""),"Salud146")</f>
        <v>Salud146</v>
      </c>
      <c r="B448" s="25"/>
      <c r="C448" s="55"/>
      <c r="D448" s="25" t="str">
        <f ca="1">IFERROR(__xludf.DUMMYFUNCTION("""COMPUTED_VALUE"""),"Salud")</f>
        <v>Salud</v>
      </c>
      <c r="E448" s="25"/>
      <c r="F448" s="25"/>
      <c r="G448" s="25"/>
      <c r="H448" s="25"/>
      <c r="I448" s="25"/>
      <c r="J448" s="55"/>
      <c r="K448" s="25" t="str">
        <f ca="1">IFERROR(__xludf.DUMMYFUNCTION("""COMPUTED_VALUE"""),"Definir fecha")</f>
        <v>Definir fecha</v>
      </c>
      <c r="L448" s="62"/>
      <c r="M448" s="25"/>
      <c r="N448" s="25"/>
      <c r="O448" s="25">
        <f t="shared" si="0"/>
        <v>0</v>
      </c>
      <c r="P448" s="25" t="str">
        <f t="shared" si="2"/>
        <v/>
      </c>
      <c r="Q448" s="25" t="str">
        <f ca="1">IFERROR(__xludf.DUMMYFUNCTION("""COMPUTED_VALUE"""),"Sin defenir")</f>
        <v>Sin defenir</v>
      </c>
      <c r="R448" s="25"/>
      <c r="S448" s="55"/>
      <c r="T448" s="56"/>
      <c r="U448" s="25"/>
      <c r="V448" s="25"/>
      <c r="W448" s="25"/>
      <c r="X448" s="25"/>
      <c r="Y448" s="25"/>
      <c r="Z448" s="25"/>
    </row>
    <row r="449" spans="1:26" ht="52.5" customHeight="1" x14ac:dyDescent="0.25">
      <c r="A449" s="25" t="str">
        <f ca="1">IFERROR(__xludf.DUMMYFUNCTION("""COMPUTED_VALUE"""),"Salud147")</f>
        <v>Salud147</v>
      </c>
      <c r="B449" s="25"/>
      <c r="C449" s="55"/>
      <c r="D449" s="25" t="str">
        <f ca="1">IFERROR(__xludf.DUMMYFUNCTION("""COMPUTED_VALUE"""),"Salud")</f>
        <v>Salud</v>
      </c>
      <c r="E449" s="25"/>
      <c r="F449" s="25"/>
      <c r="G449" s="25"/>
      <c r="H449" s="25"/>
      <c r="I449" s="25"/>
      <c r="J449" s="55"/>
      <c r="K449" s="25" t="str">
        <f ca="1">IFERROR(__xludf.DUMMYFUNCTION("""COMPUTED_VALUE"""),"Definir fecha")</f>
        <v>Definir fecha</v>
      </c>
      <c r="L449" s="62"/>
      <c r="M449" s="25"/>
      <c r="N449" s="25"/>
      <c r="O449" s="25">
        <f t="shared" si="0"/>
        <v>0</v>
      </c>
      <c r="P449" s="25" t="str">
        <f t="shared" si="2"/>
        <v/>
      </c>
      <c r="Q449" s="25" t="str">
        <f ca="1">IFERROR(__xludf.DUMMYFUNCTION("""COMPUTED_VALUE"""),"Sin defenir")</f>
        <v>Sin defenir</v>
      </c>
      <c r="R449" s="25"/>
      <c r="S449" s="55"/>
      <c r="T449" s="56"/>
      <c r="U449" s="25"/>
      <c r="V449" s="25"/>
      <c r="W449" s="25"/>
      <c r="X449" s="25"/>
      <c r="Y449" s="25"/>
      <c r="Z449" s="25"/>
    </row>
    <row r="450" spans="1:26" ht="52.5" customHeight="1" x14ac:dyDescent="0.25">
      <c r="A450" s="25" t="str">
        <f ca="1">IFERROR(__xludf.DUMMYFUNCTION("""COMPUTED_VALUE"""),"Salud148")</f>
        <v>Salud148</v>
      </c>
      <c r="B450" s="25"/>
      <c r="C450" s="55"/>
      <c r="D450" s="25" t="str">
        <f ca="1">IFERROR(__xludf.DUMMYFUNCTION("""COMPUTED_VALUE"""),"Salud")</f>
        <v>Salud</v>
      </c>
      <c r="E450" s="25"/>
      <c r="F450" s="25"/>
      <c r="G450" s="25"/>
      <c r="H450" s="25"/>
      <c r="I450" s="25"/>
      <c r="J450" s="55"/>
      <c r="K450" s="25" t="str">
        <f ca="1">IFERROR(__xludf.DUMMYFUNCTION("""COMPUTED_VALUE"""),"Definir fecha")</f>
        <v>Definir fecha</v>
      </c>
      <c r="L450" s="62"/>
      <c r="M450" s="25"/>
      <c r="N450" s="25"/>
      <c r="O450" s="25">
        <f t="shared" si="0"/>
        <v>0</v>
      </c>
      <c r="P450" s="25" t="str">
        <f t="shared" si="2"/>
        <v/>
      </c>
      <c r="Q450" s="25" t="str">
        <f ca="1">IFERROR(__xludf.DUMMYFUNCTION("""COMPUTED_VALUE"""),"Sin defenir")</f>
        <v>Sin defenir</v>
      </c>
      <c r="R450" s="25"/>
      <c r="S450" s="55"/>
      <c r="T450" s="56"/>
      <c r="U450" s="25"/>
      <c r="V450" s="25"/>
      <c r="W450" s="25"/>
      <c r="X450" s="25"/>
      <c r="Y450" s="25"/>
      <c r="Z450" s="25"/>
    </row>
    <row r="451" spans="1:26" ht="52.5" customHeight="1" x14ac:dyDescent="0.25">
      <c r="A451" s="25" t="str">
        <f ca="1">IFERROR(__xludf.DUMMYFUNCTION("""COMPUTED_VALUE"""),"Salud149")</f>
        <v>Salud149</v>
      </c>
      <c r="B451" s="25"/>
      <c r="C451" s="55"/>
      <c r="D451" s="25" t="str">
        <f ca="1">IFERROR(__xludf.DUMMYFUNCTION("""COMPUTED_VALUE"""),"Salud")</f>
        <v>Salud</v>
      </c>
      <c r="E451" s="25"/>
      <c r="F451" s="25"/>
      <c r="G451" s="25"/>
      <c r="H451" s="25"/>
      <c r="I451" s="25"/>
      <c r="J451" s="55"/>
      <c r="K451" s="25" t="str">
        <f ca="1">IFERROR(__xludf.DUMMYFUNCTION("""COMPUTED_VALUE"""),"Definir fecha")</f>
        <v>Definir fecha</v>
      </c>
      <c r="L451" s="62"/>
      <c r="M451" s="25"/>
      <c r="N451" s="25"/>
      <c r="O451" s="25">
        <f t="shared" si="0"/>
        <v>0</v>
      </c>
      <c r="P451" s="25" t="str">
        <f t="shared" si="2"/>
        <v/>
      </c>
      <c r="Q451" s="25" t="str">
        <f ca="1">IFERROR(__xludf.DUMMYFUNCTION("""COMPUTED_VALUE"""),"Sin defenir")</f>
        <v>Sin defenir</v>
      </c>
      <c r="R451" s="25"/>
      <c r="S451" s="55"/>
      <c r="T451" s="56"/>
      <c r="U451" s="25"/>
      <c r="V451" s="25"/>
      <c r="W451" s="25"/>
      <c r="X451" s="25"/>
      <c r="Y451" s="25"/>
      <c r="Z451" s="25"/>
    </row>
    <row r="452" spans="1:26" ht="52.5" customHeight="1" x14ac:dyDescent="0.25">
      <c r="A452" s="25" t="str">
        <f ca="1">IFERROR(__xludf.DUMMYFUNCTION("""COMPUTED_VALUE"""),"Salud150")</f>
        <v>Salud150</v>
      </c>
      <c r="B452" s="25"/>
      <c r="C452" s="55"/>
      <c r="D452" s="25" t="str">
        <f ca="1">IFERROR(__xludf.DUMMYFUNCTION("""COMPUTED_VALUE"""),"Salud")</f>
        <v>Salud</v>
      </c>
      <c r="E452" s="25"/>
      <c r="F452" s="25"/>
      <c r="G452" s="25"/>
      <c r="H452" s="25"/>
      <c r="I452" s="25"/>
      <c r="J452" s="55"/>
      <c r="K452" s="25" t="str">
        <f ca="1">IFERROR(__xludf.DUMMYFUNCTION("""COMPUTED_VALUE"""),"Definir fecha")</f>
        <v>Definir fecha</v>
      </c>
      <c r="L452" s="62"/>
      <c r="M452" s="25"/>
      <c r="N452" s="25"/>
      <c r="O452" s="25">
        <f t="shared" si="0"/>
        <v>0</v>
      </c>
      <c r="P452" s="25" t="str">
        <f t="shared" si="2"/>
        <v/>
      </c>
      <c r="Q452" s="25" t="str">
        <f ca="1">IFERROR(__xludf.DUMMYFUNCTION("""COMPUTED_VALUE"""),"Sin defenir")</f>
        <v>Sin defenir</v>
      </c>
      <c r="R452" s="25"/>
      <c r="S452" s="55"/>
      <c r="T452" s="56"/>
      <c r="U452" s="25"/>
      <c r="V452" s="25"/>
      <c r="W452" s="25"/>
      <c r="X452" s="25"/>
      <c r="Y452" s="25"/>
      <c r="Z452" s="25"/>
    </row>
    <row r="453" spans="1:26" ht="52.5" customHeight="1" x14ac:dyDescent="0.25">
      <c r="A453" s="25" t="str">
        <f ca="1">IFERROR(__xludf.DUMMYFUNCTION("""COMPUTED_VALUE"""),"Salud151")</f>
        <v>Salud151</v>
      </c>
      <c r="B453" s="25"/>
      <c r="C453" s="55"/>
      <c r="D453" s="25" t="str">
        <f ca="1">IFERROR(__xludf.DUMMYFUNCTION("""COMPUTED_VALUE"""),"Salud")</f>
        <v>Salud</v>
      </c>
      <c r="E453" s="25"/>
      <c r="F453" s="25"/>
      <c r="G453" s="25"/>
      <c r="H453" s="25"/>
      <c r="I453" s="25"/>
      <c r="J453" s="55"/>
      <c r="K453" s="25" t="str">
        <f ca="1">IFERROR(__xludf.DUMMYFUNCTION("""COMPUTED_VALUE"""),"Definir fecha")</f>
        <v>Definir fecha</v>
      </c>
      <c r="L453" s="62"/>
      <c r="M453" s="25"/>
      <c r="N453" s="25"/>
      <c r="O453" s="25">
        <f t="shared" si="0"/>
        <v>0</v>
      </c>
      <c r="P453" s="25" t="str">
        <f t="shared" si="2"/>
        <v/>
      </c>
      <c r="Q453" s="25" t="str">
        <f ca="1">IFERROR(__xludf.DUMMYFUNCTION("""COMPUTED_VALUE"""),"Sin defenir")</f>
        <v>Sin defenir</v>
      </c>
      <c r="R453" s="25"/>
      <c r="S453" s="55"/>
      <c r="T453" s="56"/>
      <c r="U453" s="25"/>
      <c r="V453" s="25"/>
      <c r="W453" s="25"/>
      <c r="X453" s="25"/>
      <c r="Y453" s="25"/>
      <c r="Z453" s="25"/>
    </row>
    <row r="454" spans="1:26" ht="52.5" customHeight="1" x14ac:dyDescent="0.25">
      <c r="A454" s="25" t="str">
        <f ca="1">IFERROR(__xludf.DUMMYFUNCTION("""COMPUTED_VALUE"""),"Salud152")</f>
        <v>Salud152</v>
      </c>
      <c r="B454" s="25"/>
      <c r="C454" s="55"/>
      <c r="D454" s="25" t="str">
        <f ca="1">IFERROR(__xludf.DUMMYFUNCTION("""COMPUTED_VALUE"""),"Salud")</f>
        <v>Salud</v>
      </c>
      <c r="E454" s="25"/>
      <c r="F454" s="25"/>
      <c r="G454" s="25"/>
      <c r="H454" s="25"/>
      <c r="I454" s="25"/>
      <c r="J454" s="55"/>
      <c r="K454" s="25" t="str">
        <f ca="1">IFERROR(__xludf.DUMMYFUNCTION("""COMPUTED_VALUE"""),"Definir fecha")</f>
        <v>Definir fecha</v>
      </c>
      <c r="L454" s="62"/>
      <c r="M454" s="25"/>
      <c r="N454" s="25"/>
      <c r="O454" s="25">
        <f t="shared" si="0"/>
        <v>0</v>
      </c>
      <c r="P454" s="25" t="str">
        <f t="shared" si="2"/>
        <v/>
      </c>
      <c r="Q454" s="25" t="str">
        <f ca="1">IFERROR(__xludf.DUMMYFUNCTION("""COMPUTED_VALUE"""),"Sin defenir")</f>
        <v>Sin defenir</v>
      </c>
      <c r="R454" s="25"/>
      <c r="S454" s="55"/>
      <c r="T454" s="56"/>
      <c r="U454" s="25"/>
      <c r="V454" s="25"/>
      <c r="W454" s="25"/>
      <c r="X454" s="25"/>
      <c r="Y454" s="25"/>
      <c r="Z454" s="25"/>
    </row>
    <row r="455" spans="1:26" ht="52.5" customHeight="1" x14ac:dyDescent="0.25">
      <c r="A455" s="25" t="str">
        <f ca="1">IFERROR(__xludf.DUMMYFUNCTION("""COMPUTED_VALUE"""),"Salud153")</f>
        <v>Salud153</v>
      </c>
      <c r="B455" s="25"/>
      <c r="C455" s="55"/>
      <c r="D455" s="25" t="str">
        <f ca="1">IFERROR(__xludf.DUMMYFUNCTION("""COMPUTED_VALUE"""),"Salud")</f>
        <v>Salud</v>
      </c>
      <c r="E455" s="25"/>
      <c r="F455" s="25"/>
      <c r="G455" s="25"/>
      <c r="H455" s="25"/>
      <c r="I455" s="25"/>
      <c r="J455" s="55"/>
      <c r="K455" s="25" t="str">
        <f ca="1">IFERROR(__xludf.DUMMYFUNCTION("""COMPUTED_VALUE"""),"Definir fecha")</f>
        <v>Definir fecha</v>
      </c>
      <c r="L455" s="62"/>
      <c r="M455" s="25"/>
      <c r="N455" s="25"/>
      <c r="O455" s="25">
        <f t="shared" si="0"/>
        <v>0</v>
      </c>
      <c r="P455" s="25" t="str">
        <f t="shared" si="2"/>
        <v/>
      </c>
      <c r="Q455" s="25" t="str">
        <f ca="1">IFERROR(__xludf.DUMMYFUNCTION("""COMPUTED_VALUE"""),"Sin defenir")</f>
        <v>Sin defenir</v>
      </c>
      <c r="R455" s="25"/>
      <c r="S455" s="55"/>
      <c r="T455" s="56"/>
      <c r="U455" s="25"/>
      <c r="V455" s="25"/>
      <c r="W455" s="25"/>
      <c r="X455" s="25"/>
      <c r="Y455" s="25"/>
      <c r="Z455" s="25"/>
    </row>
    <row r="456" spans="1:26" ht="52.5" customHeight="1" x14ac:dyDescent="0.25">
      <c r="A456" s="25" t="str">
        <f ca="1">IFERROR(__xludf.DUMMYFUNCTION("""COMPUTED_VALUE"""),"Salud154")</f>
        <v>Salud154</v>
      </c>
      <c r="B456" s="25"/>
      <c r="C456" s="55"/>
      <c r="D456" s="25" t="str">
        <f ca="1">IFERROR(__xludf.DUMMYFUNCTION("""COMPUTED_VALUE"""),"Salud")</f>
        <v>Salud</v>
      </c>
      <c r="E456" s="25"/>
      <c r="F456" s="25"/>
      <c r="G456" s="25"/>
      <c r="H456" s="25"/>
      <c r="I456" s="25"/>
      <c r="J456" s="55"/>
      <c r="K456" s="25" t="str">
        <f ca="1">IFERROR(__xludf.DUMMYFUNCTION("""COMPUTED_VALUE"""),"Definir fecha")</f>
        <v>Definir fecha</v>
      </c>
      <c r="L456" s="62"/>
      <c r="M456" s="25"/>
      <c r="N456" s="25"/>
      <c r="O456" s="25">
        <f t="shared" si="0"/>
        <v>0</v>
      </c>
      <c r="P456" s="25" t="str">
        <f t="shared" si="2"/>
        <v/>
      </c>
      <c r="Q456" s="25" t="str">
        <f ca="1">IFERROR(__xludf.DUMMYFUNCTION("""COMPUTED_VALUE"""),"Sin defenir")</f>
        <v>Sin defenir</v>
      </c>
      <c r="R456" s="25"/>
      <c r="S456" s="55"/>
      <c r="T456" s="56"/>
      <c r="U456" s="25"/>
      <c r="V456" s="25"/>
      <c r="W456" s="25"/>
      <c r="X456" s="25"/>
      <c r="Y456" s="25"/>
      <c r="Z456" s="25"/>
    </row>
    <row r="457" spans="1:26" ht="52.5" customHeight="1" x14ac:dyDescent="0.25">
      <c r="A457" s="25" t="str">
        <f ca="1">IFERROR(__xludf.DUMMYFUNCTION("""COMPUTED_VALUE"""),"Salud155")</f>
        <v>Salud155</v>
      </c>
      <c r="B457" s="25"/>
      <c r="C457" s="55"/>
      <c r="D457" s="25" t="str">
        <f ca="1">IFERROR(__xludf.DUMMYFUNCTION("""COMPUTED_VALUE"""),"Salud")</f>
        <v>Salud</v>
      </c>
      <c r="E457" s="25"/>
      <c r="F457" s="25"/>
      <c r="G457" s="25"/>
      <c r="H457" s="25"/>
      <c r="I457" s="25"/>
      <c r="J457" s="55"/>
      <c r="K457" s="25" t="str">
        <f ca="1">IFERROR(__xludf.DUMMYFUNCTION("""COMPUTED_VALUE"""),"Definir fecha")</f>
        <v>Definir fecha</v>
      </c>
      <c r="L457" s="62"/>
      <c r="M457" s="25"/>
      <c r="N457" s="25"/>
      <c r="O457" s="25">
        <f t="shared" si="0"/>
        <v>0</v>
      </c>
      <c r="P457" s="25" t="str">
        <f t="shared" si="2"/>
        <v/>
      </c>
      <c r="Q457" s="25" t="str">
        <f ca="1">IFERROR(__xludf.DUMMYFUNCTION("""COMPUTED_VALUE"""),"Sin defenir")</f>
        <v>Sin defenir</v>
      </c>
      <c r="R457" s="25"/>
      <c r="S457" s="55"/>
      <c r="T457" s="56"/>
      <c r="U457" s="25"/>
      <c r="V457" s="25"/>
      <c r="W457" s="25"/>
      <c r="X457" s="25"/>
      <c r="Y457" s="25"/>
      <c r="Z457" s="25"/>
    </row>
    <row r="458" spans="1:26" ht="52.5" customHeight="1" x14ac:dyDescent="0.25">
      <c r="A458" s="25" t="str">
        <f ca="1">IFERROR(__xludf.DUMMYFUNCTION("""COMPUTED_VALUE"""),"Salud156")</f>
        <v>Salud156</v>
      </c>
      <c r="B458" s="25"/>
      <c r="C458" s="55"/>
      <c r="D458" s="25" t="str">
        <f ca="1">IFERROR(__xludf.DUMMYFUNCTION("""COMPUTED_VALUE"""),"Salud")</f>
        <v>Salud</v>
      </c>
      <c r="E458" s="25"/>
      <c r="F458" s="25"/>
      <c r="G458" s="25"/>
      <c r="H458" s="25"/>
      <c r="I458" s="25"/>
      <c r="J458" s="55"/>
      <c r="K458" s="25" t="str">
        <f ca="1">IFERROR(__xludf.DUMMYFUNCTION("""COMPUTED_VALUE"""),"Definir fecha")</f>
        <v>Definir fecha</v>
      </c>
      <c r="L458" s="62"/>
      <c r="M458" s="25"/>
      <c r="N458" s="25"/>
      <c r="O458" s="25">
        <f t="shared" si="0"/>
        <v>0</v>
      </c>
      <c r="P458" s="25" t="str">
        <f t="shared" si="2"/>
        <v/>
      </c>
      <c r="Q458" s="25" t="str">
        <f ca="1">IFERROR(__xludf.DUMMYFUNCTION("""COMPUTED_VALUE"""),"Sin defenir")</f>
        <v>Sin defenir</v>
      </c>
      <c r="R458" s="25"/>
      <c r="S458" s="55"/>
      <c r="T458" s="56"/>
      <c r="U458" s="25"/>
      <c r="V458" s="25"/>
      <c r="W458" s="25"/>
      <c r="X458" s="25"/>
      <c r="Y458" s="25"/>
      <c r="Z458" s="25"/>
    </row>
    <row r="459" spans="1:26" ht="52.5" customHeight="1" x14ac:dyDescent="0.25">
      <c r="A459" s="25" t="str">
        <f ca="1">IFERROR(__xludf.DUMMYFUNCTION("""COMPUTED_VALUE"""),"Salud157")</f>
        <v>Salud157</v>
      </c>
      <c r="B459" s="25"/>
      <c r="C459" s="55"/>
      <c r="D459" s="25" t="str">
        <f ca="1">IFERROR(__xludf.DUMMYFUNCTION("""COMPUTED_VALUE"""),"Salud")</f>
        <v>Salud</v>
      </c>
      <c r="E459" s="25"/>
      <c r="F459" s="25"/>
      <c r="G459" s="25"/>
      <c r="H459" s="25"/>
      <c r="I459" s="25"/>
      <c r="J459" s="55"/>
      <c r="K459" s="25" t="str">
        <f ca="1">IFERROR(__xludf.DUMMYFUNCTION("""COMPUTED_VALUE"""),"Definir fecha")</f>
        <v>Definir fecha</v>
      </c>
      <c r="L459" s="62"/>
      <c r="M459" s="25"/>
      <c r="N459" s="25"/>
      <c r="O459" s="25">
        <f t="shared" si="0"/>
        <v>0</v>
      </c>
      <c r="P459" s="25" t="str">
        <f t="shared" si="2"/>
        <v/>
      </c>
      <c r="Q459" s="25" t="str">
        <f ca="1">IFERROR(__xludf.DUMMYFUNCTION("""COMPUTED_VALUE"""),"Sin defenir")</f>
        <v>Sin defenir</v>
      </c>
      <c r="R459" s="25"/>
      <c r="S459" s="55"/>
      <c r="T459" s="56"/>
      <c r="U459" s="25"/>
      <c r="V459" s="25"/>
      <c r="W459" s="25"/>
      <c r="X459" s="25"/>
      <c r="Y459" s="25"/>
      <c r="Z459" s="25"/>
    </row>
    <row r="460" spans="1:26" ht="52.5" customHeight="1" x14ac:dyDescent="0.25">
      <c r="A460" s="25" t="str">
        <f ca="1">IFERROR(__xludf.DUMMYFUNCTION("""COMPUTED_VALUE"""),"Salud158")</f>
        <v>Salud158</v>
      </c>
      <c r="B460" s="25"/>
      <c r="C460" s="55"/>
      <c r="D460" s="25" t="str">
        <f ca="1">IFERROR(__xludf.DUMMYFUNCTION("""COMPUTED_VALUE"""),"Salud")</f>
        <v>Salud</v>
      </c>
      <c r="E460" s="25"/>
      <c r="F460" s="25"/>
      <c r="G460" s="25"/>
      <c r="H460" s="25"/>
      <c r="I460" s="25"/>
      <c r="J460" s="55"/>
      <c r="K460" s="25" t="str">
        <f ca="1">IFERROR(__xludf.DUMMYFUNCTION("""COMPUTED_VALUE"""),"Definir fecha")</f>
        <v>Definir fecha</v>
      </c>
      <c r="L460" s="62"/>
      <c r="M460" s="25"/>
      <c r="N460" s="25"/>
      <c r="O460" s="25">
        <f t="shared" si="0"/>
        <v>0</v>
      </c>
      <c r="P460" s="25" t="str">
        <f t="shared" si="2"/>
        <v/>
      </c>
      <c r="Q460" s="25" t="str">
        <f ca="1">IFERROR(__xludf.DUMMYFUNCTION("""COMPUTED_VALUE"""),"Sin defenir")</f>
        <v>Sin defenir</v>
      </c>
      <c r="R460" s="25"/>
      <c r="S460" s="55"/>
      <c r="T460" s="56"/>
      <c r="U460" s="25"/>
      <c r="V460" s="25"/>
      <c r="W460" s="25"/>
      <c r="X460" s="25"/>
      <c r="Y460" s="25"/>
      <c r="Z460" s="25"/>
    </row>
    <row r="461" spans="1:26" ht="52.5" customHeight="1" x14ac:dyDescent="0.25">
      <c r="A461" s="25" t="str">
        <f ca="1">IFERROR(__xludf.DUMMYFUNCTION("""COMPUTED_VALUE"""),"Salud159")</f>
        <v>Salud159</v>
      </c>
      <c r="B461" s="25"/>
      <c r="C461" s="55"/>
      <c r="D461" s="25" t="str">
        <f ca="1">IFERROR(__xludf.DUMMYFUNCTION("""COMPUTED_VALUE"""),"Salud")</f>
        <v>Salud</v>
      </c>
      <c r="E461" s="25"/>
      <c r="F461" s="25"/>
      <c r="G461" s="25"/>
      <c r="H461" s="25"/>
      <c r="I461" s="25"/>
      <c r="J461" s="55"/>
      <c r="K461" s="25" t="str">
        <f ca="1">IFERROR(__xludf.DUMMYFUNCTION("""COMPUTED_VALUE"""),"Definir fecha")</f>
        <v>Definir fecha</v>
      </c>
      <c r="L461" s="62"/>
      <c r="M461" s="25"/>
      <c r="N461" s="25"/>
      <c r="O461" s="25">
        <f t="shared" si="0"/>
        <v>0</v>
      </c>
      <c r="P461" s="25" t="str">
        <f t="shared" si="2"/>
        <v/>
      </c>
      <c r="Q461" s="25" t="str">
        <f ca="1">IFERROR(__xludf.DUMMYFUNCTION("""COMPUTED_VALUE"""),"Sin defenir")</f>
        <v>Sin defenir</v>
      </c>
      <c r="R461" s="25"/>
      <c r="S461" s="55"/>
      <c r="T461" s="56"/>
      <c r="U461" s="25"/>
      <c r="V461" s="25"/>
      <c r="W461" s="25"/>
      <c r="X461" s="25"/>
      <c r="Y461" s="25"/>
      <c r="Z461" s="25"/>
    </row>
    <row r="462" spans="1:26" ht="52.5" customHeight="1" x14ac:dyDescent="0.25">
      <c r="A462" s="25" t="str">
        <f ca="1">IFERROR(__xludf.DUMMYFUNCTION("""COMPUTED_VALUE"""),"Salud160")</f>
        <v>Salud160</v>
      </c>
      <c r="B462" s="25"/>
      <c r="C462" s="55"/>
      <c r="D462" s="25" t="str">
        <f ca="1">IFERROR(__xludf.DUMMYFUNCTION("""COMPUTED_VALUE"""),"Salud")</f>
        <v>Salud</v>
      </c>
      <c r="E462" s="25"/>
      <c r="F462" s="25"/>
      <c r="G462" s="25"/>
      <c r="H462" s="25"/>
      <c r="I462" s="25"/>
      <c r="J462" s="55"/>
      <c r="K462" s="25" t="str">
        <f ca="1">IFERROR(__xludf.DUMMYFUNCTION("""COMPUTED_VALUE"""),"Definir fecha")</f>
        <v>Definir fecha</v>
      </c>
      <c r="L462" s="62"/>
      <c r="M462" s="25"/>
      <c r="N462" s="25"/>
      <c r="O462" s="25">
        <f t="shared" si="0"/>
        <v>0</v>
      </c>
      <c r="P462" s="25" t="str">
        <f t="shared" si="2"/>
        <v/>
      </c>
      <c r="Q462" s="25" t="str">
        <f ca="1">IFERROR(__xludf.DUMMYFUNCTION("""COMPUTED_VALUE"""),"Sin defenir")</f>
        <v>Sin defenir</v>
      </c>
      <c r="R462" s="25"/>
      <c r="S462" s="55"/>
      <c r="T462" s="56"/>
      <c r="U462" s="25"/>
      <c r="V462" s="25"/>
      <c r="W462" s="25"/>
      <c r="X462" s="25"/>
      <c r="Y462" s="25"/>
      <c r="Z462" s="25"/>
    </row>
    <row r="463" spans="1:26" ht="52.5" customHeight="1" x14ac:dyDescent="0.25">
      <c r="A463" s="25" t="str">
        <f ca="1">IFERROR(__xludf.DUMMYFUNCTION("""COMPUTED_VALUE"""),"Salud161")</f>
        <v>Salud161</v>
      </c>
      <c r="B463" s="25"/>
      <c r="C463" s="55"/>
      <c r="D463" s="25" t="str">
        <f ca="1">IFERROR(__xludf.DUMMYFUNCTION("""COMPUTED_VALUE"""),"Salud")</f>
        <v>Salud</v>
      </c>
      <c r="E463" s="25"/>
      <c r="F463" s="25"/>
      <c r="G463" s="25"/>
      <c r="H463" s="25"/>
      <c r="I463" s="25"/>
      <c r="J463" s="55"/>
      <c r="K463" s="25" t="str">
        <f ca="1">IFERROR(__xludf.DUMMYFUNCTION("""COMPUTED_VALUE"""),"Definir fecha")</f>
        <v>Definir fecha</v>
      </c>
      <c r="L463" s="62"/>
      <c r="M463" s="25"/>
      <c r="N463" s="25"/>
      <c r="O463" s="25">
        <f t="shared" si="0"/>
        <v>0</v>
      </c>
      <c r="P463" s="25" t="str">
        <f t="shared" si="2"/>
        <v/>
      </c>
      <c r="Q463" s="25" t="str">
        <f ca="1">IFERROR(__xludf.DUMMYFUNCTION("""COMPUTED_VALUE"""),"Sin defenir")</f>
        <v>Sin defenir</v>
      </c>
      <c r="R463" s="25"/>
      <c r="S463" s="55"/>
      <c r="T463" s="56"/>
      <c r="U463" s="25"/>
      <c r="V463" s="25"/>
      <c r="W463" s="25"/>
      <c r="X463" s="25"/>
      <c r="Y463" s="25"/>
      <c r="Z463" s="25"/>
    </row>
    <row r="464" spans="1:26" ht="52.5" customHeight="1" x14ac:dyDescent="0.25">
      <c r="A464" s="25" t="str">
        <f ca="1">IFERROR(__xludf.DUMMYFUNCTION("""COMPUTED_VALUE"""),"Salud162")</f>
        <v>Salud162</v>
      </c>
      <c r="B464" s="25"/>
      <c r="C464" s="55"/>
      <c r="D464" s="25" t="str">
        <f ca="1">IFERROR(__xludf.DUMMYFUNCTION("""COMPUTED_VALUE"""),"Salud")</f>
        <v>Salud</v>
      </c>
      <c r="E464" s="25"/>
      <c r="F464" s="25"/>
      <c r="G464" s="25"/>
      <c r="H464" s="25"/>
      <c r="I464" s="25"/>
      <c r="J464" s="55"/>
      <c r="K464" s="25" t="str">
        <f ca="1">IFERROR(__xludf.DUMMYFUNCTION("""COMPUTED_VALUE"""),"Definir fecha")</f>
        <v>Definir fecha</v>
      </c>
      <c r="L464" s="62"/>
      <c r="M464" s="25"/>
      <c r="N464" s="25"/>
      <c r="O464" s="25">
        <f t="shared" si="0"/>
        <v>0</v>
      </c>
      <c r="P464" s="25" t="str">
        <f t="shared" si="2"/>
        <v/>
      </c>
      <c r="Q464" s="25" t="str">
        <f ca="1">IFERROR(__xludf.DUMMYFUNCTION("""COMPUTED_VALUE"""),"Sin defenir")</f>
        <v>Sin defenir</v>
      </c>
      <c r="R464" s="25"/>
      <c r="S464" s="55"/>
      <c r="T464" s="56"/>
      <c r="U464" s="25"/>
      <c r="V464" s="25"/>
      <c r="W464" s="25"/>
      <c r="X464" s="25"/>
      <c r="Y464" s="25"/>
      <c r="Z464" s="25"/>
    </row>
    <row r="465" spans="1:26" ht="52.5" customHeight="1" x14ac:dyDescent="0.25">
      <c r="A465" s="25" t="str">
        <f ca="1">IFERROR(__xludf.DUMMYFUNCTION("""COMPUTED_VALUE"""),"Salud163")</f>
        <v>Salud163</v>
      </c>
      <c r="B465" s="25"/>
      <c r="C465" s="55"/>
      <c r="D465" s="25" t="str">
        <f ca="1">IFERROR(__xludf.DUMMYFUNCTION("""COMPUTED_VALUE"""),"Salud")</f>
        <v>Salud</v>
      </c>
      <c r="E465" s="25"/>
      <c r="F465" s="25"/>
      <c r="G465" s="25"/>
      <c r="H465" s="25"/>
      <c r="I465" s="25"/>
      <c r="J465" s="55"/>
      <c r="K465" s="25" t="str">
        <f ca="1">IFERROR(__xludf.DUMMYFUNCTION("""COMPUTED_VALUE"""),"Definir fecha")</f>
        <v>Definir fecha</v>
      </c>
      <c r="L465" s="62"/>
      <c r="M465" s="25"/>
      <c r="N465" s="25"/>
      <c r="O465" s="25">
        <f t="shared" si="0"/>
        <v>0</v>
      </c>
      <c r="P465" s="25" t="str">
        <f t="shared" si="2"/>
        <v/>
      </c>
      <c r="Q465" s="25" t="str">
        <f ca="1">IFERROR(__xludf.DUMMYFUNCTION("""COMPUTED_VALUE"""),"Sin defenir")</f>
        <v>Sin defenir</v>
      </c>
      <c r="R465" s="25"/>
      <c r="S465" s="55"/>
      <c r="T465" s="56"/>
      <c r="U465" s="25"/>
      <c r="V465" s="25"/>
      <c r="W465" s="25"/>
      <c r="X465" s="25"/>
      <c r="Y465" s="25"/>
      <c r="Z465" s="25"/>
    </row>
    <row r="466" spans="1:26" ht="52.5" customHeight="1" x14ac:dyDescent="0.25">
      <c r="A466" s="25" t="str">
        <f ca="1">IFERROR(__xludf.DUMMYFUNCTION("""COMPUTED_VALUE"""),"Salud164")</f>
        <v>Salud164</v>
      </c>
      <c r="B466" s="25"/>
      <c r="C466" s="55"/>
      <c r="D466" s="25" t="str">
        <f ca="1">IFERROR(__xludf.DUMMYFUNCTION("""COMPUTED_VALUE"""),"Salud")</f>
        <v>Salud</v>
      </c>
      <c r="E466" s="25"/>
      <c r="F466" s="25"/>
      <c r="G466" s="25"/>
      <c r="H466" s="25"/>
      <c r="I466" s="25"/>
      <c r="J466" s="55"/>
      <c r="K466" s="25" t="str">
        <f ca="1">IFERROR(__xludf.DUMMYFUNCTION("""COMPUTED_VALUE"""),"Definir fecha")</f>
        <v>Definir fecha</v>
      </c>
      <c r="L466" s="62"/>
      <c r="M466" s="25"/>
      <c r="N466" s="25"/>
      <c r="O466" s="25">
        <f t="shared" si="0"/>
        <v>0</v>
      </c>
      <c r="P466" s="25" t="str">
        <f t="shared" si="2"/>
        <v/>
      </c>
      <c r="Q466" s="25" t="str">
        <f ca="1">IFERROR(__xludf.DUMMYFUNCTION("""COMPUTED_VALUE"""),"Sin defenir")</f>
        <v>Sin defenir</v>
      </c>
      <c r="R466" s="25"/>
      <c r="S466" s="55"/>
      <c r="T466" s="56"/>
      <c r="U466" s="25"/>
      <c r="V466" s="25"/>
      <c r="W466" s="25"/>
      <c r="X466" s="25"/>
      <c r="Y466" s="25"/>
      <c r="Z466" s="25"/>
    </row>
    <row r="467" spans="1:26" ht="52.5" customHeight="1" x14ac:dyDescent="0.25">
      <c r="A467" s="25" t="str">
        <f ca="1">IFERROR(__xludf.DUMMYFUNCTION("""COMPUTED_VALUE"""),"Salud165")</f>
        <v>Salud165</v>
      </c>
      <c r="B467" s="25"/>
      <c r="C467" s="55"/>
      <c r="D467" s="25" t="str">
        <f ca="1">IFERROR(__xludf.DUMMYFUNCTION("""COMPUTED_VALUE"""),"Salud")</f>
        <v>Salud</v>
      </c>
      <c r="E467" s="25"/>
      <c r="F467" s="25"/>
      <c r="G467" s="25"/>
      <c r="H467" s="25"/>
      <c r="I467" s="25"/>
      <c r="J467" s="55"/>
      <c r="K467" s="25" t="str">
        <f ca="1">IFERROR(__xludf.DUMMYFUNCTION("""COMPUTED_VALUE"""),"Definir fecha")</f>
        <v>Definir fecha</v>
      </c>
      <c r="L467" s="62"/>
      <c r="M467" s="25"/>
      <c r="N467" s="25"/>
      <c r="O467" s="25">
        <f t="shared" si="0"/>
        <v>0</v>
      </c>
      <c r="P467" s="25" t="str">
        <f t="shared" si="2"/>
        <v/>
      </c>
      <c r="Q467" s="25" t="str">
        <f ca="1">IFERROR(__xludf.DUMMYFUNCTION("""COMPUTED_VALUE"""),"Sin defenir")</f>
        <v>Sin defenir</v>
      </c>
      <c r="R467" s="25"/>
      <c r="S467" s="55"/>
      <c r="T467" s="56"/>
      <c r="U467" s="25"/>
      <c r="V467" s="25"/>
      <c r="W467" s="25"/>
      <c r="X467" s="25"/>
      <c r="Y467" s="25"/>
      <c r="Z467" s="25"/>
    </row>
    <row r="468" spans="1:26" ht="52.5" customHeight="1" x14ac:dyDescent="0.25">
      <c r="A468" s="25" t="str">
        <f ca="1">IFERROR(__xludf.DUMMYFUNCTION("""COMPUTED_VALUE"""),"Salud166")</f>
        <v>Salud166</v>
      </c>
      <c r="B468" s="25"/>
      <c r="C468" s="55"/>
      <c r="D468" s="25" t="str">
        <f ca="1">IFERROR(__xludf.DUMMYFUNCTION("""COMPUTED_VALUE"""),"Salud")</f>
        <v>Salud</v>
      </c>
      <c r="E468" s="25"/>
      <c r="F468" s="25"/>
      <c r="G468" s="25"/>
      <c r="H468" s="25"/>
      <c r="I468" s="25"/>
      <c r="J468" s="55"/>
      <c r="K468" s="25" t="str">
        <f ca="1">IFERROR(__xludf.DUMMYFUNCTION("""COMPUTED_VALUE"""),"Definir fecha")</f>
        <v>Definir fecha</v>
      </c>
      <c r="L468" s="62"/>
      <c r="M468" s="25"/>
      <c r="N468" s="25"/>
      <c r="O468" s="25">
        <f t="shared" si="0"/>
        <v>0</v>
      </c>
      <c r="P468" s="25" t="str">
        <f t="shared" si="2"/>
        <v/>
      </c>
      <c r="Q468" s="25" t="str">
        <f ca="1">IFERROR(__xludf.DUMMYFUNCTION("""COMPUTED_VALUE"""),"Sin defenir")</f>
        <v>Sin defenir</v>
      </c>
      <c r="R468" s="25"/>
      <c r="S468" s="55"/>
      <c r="T468" s="56"/>
      <c r="U468" s="25"/>
      <c r="V468" s="25"/>
      <c r="W468" s="25"/>
      <c r="X468" s="25"/>
      <c r="Y468" s="25"/>
      <c r="Z468" s="25"/>
    </row>
    <row r="469" spans="1:26" ht="52.5" customHeight="1" x14ac:dyDescent="0.25">
      <c r="A469" s="25" t="str">
        <f ca="1">IFERROR(__xludf.DUMMYFUNCTION("""COMPUTED_VALUE"""),"Salud167")</f>
        <v>Salud167</v>
      </c>
      <c r="B469" s="25"/>
      <c r="C469" s="55"/>
      <c r="D469" s="25" t="str">
        <f ca="1">IFERROR(__xludf.DUMMYFUNCTION("""COMPUTED_VALUE"""),"Salud")</f>
        <v>Salud</v>
      </c>
      <c r="E469" s="25"/>
      <c r="F469" s="25"/>
      <c r="G469" s="25"/>
      <c r="H469" s="25"/>
      <c r="I469" s="25"/>
      <c r="J469" s="55"/>
      <c r="K469" s="25" t="str">
        <f ca="1">IFERROR(__xludf.DUMMYFUNCTION("""COMPUTED_VALUE"""),"Definir fecha")</f>
        <v>Definir fecha</v>
      </c>
      <c r="L469" s="62"/>
      <c r="M469" s="25"/>
      <c r="N469" s="25"/>
      <c r="O469" s="25">
        <f t="shared" si="0"/>
        <v>0</v>
      </c>
      <c r="P469" s="25" t="str">
        <f t="shared" si="2"/>
        <v/>
      </c>
      <c r="Q469" s="25" t="str">
        <f ca="1">IFERROR(__xludf.DUMMYFUNCTION("""COMPUTED_VALUE"""),"Sin defenir")</f>
        <v>Sin defenir</v>
      </c>
      <c r="R469" s="25"/>
      <c r="S469" s="55"/>
      <c r="T469" s="56"/>
      <c r="U469" s="25"/>
      <c r="V469" s="25"/>
      <c r="W469" s="25"/>
      <c r="X469" s="25"/>
      <c r="Y469" s="25"/>
      <c r="Z469" s="25"/>
    </row>
    <row r="470" spans="1:26" ht="52.5" customHeight="1" x14ac:dyDescent="0.25">
      <c r="A470" s="25" t="str">
        <f ca="1">IFERROR(__xludf.DUMMYFUNCTION("""COMPUTED_VALUE"""),"Salud168")</f>
        <v>Salud168</v>
      </c>
      <c r="B470" s="25"/>
      <c r="C470" s="55"/>
      <c r="D470" s="25" t="str">
        <f ca="1">IFERROR(__xludf.DUMMYFUNCTION("""COMPUTED_VALUE"""),"Salud")</f>
        <v>Salud</v>
      </c>
      <c r="E470" s="25"/>
      <c r="F470" s="25"/>
      <c r="G470" s="25"/>
      <c r="H470" s="25"/>
      <c r="I470" s="25"/>
      <c r="J470" s="55"/>
      <c r="K470" s="25" t="str">
        <f ca="1">IFERROR(__xludf.DUMMYFUNCTION("""COMPUTED_VALUE"""),"Definir fecha")</f>
        <v>Definir fecha</v>
      </c>
      <c r="L470" s="62"/>
      <c r="M470" s="25"/>
      <c r="N470" s="25"/>
      <c r="O470" s="25">
        <f t="shared" si="0"/>
        <v>0</v>
      </c>
      <c r="P470" s="25" t="str">
        <f t="shared" si="2"/>
        <v/>
      </c>
      <c r="Q470" s="25" t="str">
        <f ca="1">IFERROR(__xludf.DUMMYFUNCTION("""COMPUTED_VALUE"""),"Sin defenir")</f>
        <v>Sin defenir</v>
      </c>
      <c r="R470" s="25"/>
      <c r="S470" s="55"/>
      <c r="T470" s="56"/>
      <c r="U470" s="25"/>
      <c r="V470" s="25"/>
      <c r="W470" s="25"/>
      <c r="X470" s="25"/>
      <c r="Y470" s="25"/>
      <c r="Z470" s="25"/>
    </row>
    <row r="471" spans="1:26" ht="52.5" customHeight="1" x14ac:dyDescent="0.25">
      <c r="A471" s="25" t="str">
        <f ca="1">IFERROR(__xludf.DUMMYFUNCTION("""COMPUTED_VALUE"""),"Salud169")</f>
        <v>Salud169</v>
      </c>
      <c r="B471" s="25"/>
      <c r="C471" s="55"/>
      <c r="D471" s="25" t="str">
        <f ca="1">IFERROR(__xludf.DUMMYFUNCTION("""COMPUTED_VALUE"""),"Salud")</f>
        <v>Salud</v>
      </c>
      <c r="E471" s="25"/>
      <c r="F471" s="25"/>
      <c r="G471" s="25"/>
      <c r="H471" s="25"/>
      <c r="I471" s="25"/>
      <c r="J471" s="55"/>
      <c r="K471" s="25" t="str">
        <f ca="1">IFERROR(__xludf.DUMMYFUNCTION("""COMPUTED_VALUE"""),"Definir fecha")</f>
        <v>Definir fecha</v>
      </c>
      <c r="L471" s="62"/>
      <c r="M471" s="25"/>
      <c r="N471" s="25"/>
      <c r="O471" s="25">
        <f t="shared" si="0"/>
        <v>0</v>
      </c>
      <c r="P471" s="25" t="str">
        <f t="shared" si="2"/>
        <v/>
      </c>
      <c r="Q471" s="25" t="str">
        <f ca="1">IFERROR(__xludf.DUMMYFUNCTION("""COMPUTED_VALUE"""),"Sin defenir")</f>
        <v>Sin defenir</v>
      </c>
      <c r="R471" s="25"/>
      <c r="S471" s="55"/>
      <c r="T471" s="56"/>
      <c r="U471" s="25"/>
      <c r="V471" s="25"/>
      <c r="W471" s="25"/>
      <c r="X471" s="25"/>
      <c r="Y471" s="25"/>
      <c r="Z471" s="25"/>
    </row>
    <row r="472" spans="1:26" ht="52.5" customHeight="1" x14ac:dyDescent="0.25">
      <c r="A472" s="25" t="str">
        <f ca="1">IFERROR(__xludf.DUMMYFUNCTION("""COMPUTED_VALUE"""),"Salud170")</f>
        <v>Salud170</v>
      </c>
      <c r="B472" s="25"/>
      <c r="C472" s="55"/>
      <c r="D472" s="25" t="str">
        <f ca="1">IFERROR(__xludf.DUMMYFUNCTION("""COMPUTED_VALUE"""),"Salud")</f>
        <v>Salud</v>
      </c>
      <c r="E472" s="25"/>
      <c r="F472" s="25"/>
      <c r="G472" s="25"/>
      <c r="H472" s="25"/>
      <c r="I472" s="25"/>
      <c r="J472" s="55"/>
      <c r="K472" s="25" t="str">
        <f ca="1">IFERROR(__xludf.DUMMYFUNCTION("""COMPUTED_VALUE"""),"Definir fecha")</f>
        <v>Definir fecha</v>
      </c>
      <c r="L472" s="62"/>
      <c r="M472" s="25"/>
      <c r="N472" s="25"/>
      <c r="O472" s="25">
        <f t="shared" si="0"/>
        <v>0</v>
      </c>
      <c r="P472" s="25" t="str">
        <f t="shared" si="2"/>
        <v/>
      </c>
      <c r="Q472" s="25" t="str">
        <f ca="1">IFERROR(__xludf.DUMMYFUNCTION("""COMPUTED_VALUE"""),"Sin defenir")</f>
        <v>Sin defenir</v>
      </c>
      <c r="R472" s="25"/>
      <c r="S472" s="55"/>
      <c r="T472" s="56"/>
      <c r="U472" s="25"/>
      <c r="V472" s="25"/>
      <c r="W472" s="25"/>
      <c r="X472" s="25"/>
      <c r="Y472" s="25"/>
      <c r="Z472" s="25"/>
    </row>
    <row r="473" spans="1:26" ht="52.5" customHeight="1" x14ac:dyDescent="0.25">
      <c r="A473" s="25" t="str">
        <f ca="1">IFERROR(__xludf.DUMMYFUNCTION("""COMPUTED_VALUE"""),"Salud171")</f>
        <v>Salud171</v>
      </c>
      <c r="B473" s="25"/>
      <c r="C473" s="55"/>
      <c r="D473" s="25" t="str">
        <f ca="1">IFERROR(__xludf.DUMMYFUNCTION("""COMPUTED_VALUE"""),"Salud")</f>
        <v>Salud</v>
      </c>
      <c r="E473" s="25"/>
      <c r="F473" s="25"/>
      <c r="G473" s="25"/>
      <c r="H473" s="25"/>
      <c r="I473" s="25"/>
      <c r="J473" s="55"/>
      <c r="K473" s="25" t="str">
        <f ca="1">IFERROR(__xludf.DUMMYFUNCTION("""COMPUTED_VALUE"""),"Definir fecha")</f>
        <v>Definir fecha</v>
      </c>
      <c r="L473" s="62"/>
      <c r="M473" s="25"/>
      <c r="N473" s="25"/>
      <c r="O473" s="25">
        <f t="shared" si="0"/>
        <v>0</v>
      </c>
      <c r="P473" s="25" t="str">
        <f t="shared" si="2"/>
        <v/>
      </c>
      <c r="Q473" s="25" t="str">
        <f ca="1">IFERROR(__xludf.DUMMYFUNCTION("""COMPUTED_VALUE"""),"Sin defenir")</f>
        <v>Sin defenir</v>
      </c>
      <c r="R473" s="25"/>
      <c r="S473" s="55"/>
      <c r="T473" s="56"/>
      <c r="U473" s="25"/>
      <c r="V473" s="25"/>
      <c r="W473" s="25"/>
      <c r="X473" s="25"/>
      <c r="Y473" s="25"/>
      <c r="Z473" s="25"/>
    </row>
    <row r="474" spans="1:26" ht="52.5" customHeight="1" x14ac:dyDescent="0.25">
      <c r="A474" s="25" t="str">
        <f ca="1">IFERROR(__xludf.DUMMYFUNCTION("""COMPUTED_VALUE"""),"Salud172")</f>
        <v>Salud172</v>
      </c>
      <c r="B474" s="25"/>
      <c r="C474" s="55"/>
      <c r="D474" s="25" t="str">
        <f ca="1">IFERROR(__xludf.DUMMYFUNCTION("""COMPUTED_VALUE"""),"Salud")</f>
        <v>Salud</v>
      </c>
      <c r="E474" s="25"/>
      <c r="F474" s="25"/>
      <c r="G474" s="25"/>
      <c r="H474" s="25"/>
      <c r="I474" s="25"/>
      <c r="J474" s="55"/>
      <c r="K474" s="25" t="str">
        <f ca="1">IFERROR(__xludf.DUMMYFUNCTION("""COMPUTED_VALUE"""),"Definir fecha")</f>
        <v>Definir fecha</v>
      </c>
      <c r="L474" s="62"/>
      <c r="M474" s="25"/>
      <c r="N474" s="25"/>
      <c r="O474" s="25">
        <f t="shared" si="0"/>
        <v>0</v>
      </c>
      <c r="P474" s="25" t="str">
        <f t="shared" si="2"/>
        <v/>
      </c>
      <c r="Q474" s="25" t="str">
        <f ca="1">IFERROR(__xludf.DUMMYFUNCTION("""COMPUTED_VALUE"""),"Sin defenir")</f>
        <v>Sin defenir</v>
      </c>
      <c r="R474" s="25"/>
      <c r="S474" s="55"/>
      <c r="T474" s="56"/>
      <c r="U474" s="25"/>
      <c r="V474" s="25"/>
      <c r="W474" s="25"/>
      <c r="X474" s="25"/>
      <c r="Y474" s="25"/>
      <c r="Z474" s="25"/>
    </row>
    <row r="475" spans="1:26" ht="52.5" customHeight="1" x14ac:dyDescent="0.25">
      <c r="A475" s="25" t="str">
        <f ca="1">IFERROR(__xludf.DUMMYFUNCTION("""COMPUTED_VALUE"""),"Salud173")</f>
        <v>Salud173</v>
      </c>
      <c r="B475" s="25"/>
      <c r="C475" s="55"/>
      <c r="D475" s="25" t="str">
        <f ca="1">IFERROR(__xludf.DUMMYFUNCTION("""COMPUTED_VALUE"""),"Salud")</f>
        <v>Salud</v>
      </c>
      <c r="E475" s="25"/>
      <c r="F475" s="25"/>
      <c r="G475" s="25"/>
      <c r="H475" s="25"/>
      <c r="I475" s="25"/>
      <c r="J475" s="55"/>
      <c r="K475" s="25" t="str">
        <f ca="1">IFERROR(__xludf.DUMMYFUNCTION("""COMPUTED_VALUE"""),"Definir fecha")</f>
        <v>Definir fecha</v>
      </c>
      <c r="L475" s="62"/>
      <c r="M475" s="25"/>
      <c r="N475" s="25"/>
      <c r="O475" s="25">
        <f t="shared" si="0"/>
        <v>0</v>
      </c>
      <c r="P475" s="25" t="str">
        <f t="shared" si="2"/>
        <v/>
      </c>
      <c r="Q475" s="25" t="str">
        <f ca="1">IFERROR(__xludf.DUMMYFUNCTION("""COMPUTED_VALUE"""),"Sin defenir")</f>
        <v>Sin defenir</v>
      </c>
      <c r="R475" s="25"/>
      <c r="S475" s="55"/>
      <c r="T475" s="56"/>
      <c r="U475" s="25"/>
      <c r="V475" s="25"/>
      <c r="W475" s="25"/>
      <c r="X475" s="25"/>
      <c r="Y475" s="25"/>
      <c r="Z475" s="25"/>
    </row>
    <row r="476" spans="1:26" ht="52.5" customHeight="1" x14ac:dyDescent="0.25">
      <c r="A476" s="25" t="str">
        <f ca="1">IFERROR(__xludf.DUMMYFUNCTION("""COMPUTED_VALUE"""),"Salud174")</f>
        <v>Salud174</v>
      </c>
      <c r="B476" s="25"/>
      <c r="C476" s="55"/>
      <c r="D476" s="25" t="str">
        <f ca="1">IFERROR(__xludf.DUMMYFUNCTION("""COMPUTED_VALUE"""),"Salud")</f>
        <v>Salud</v>
      </c>
      <c r="E476" s="25"/>
      <c r="F476" s="25"/>
      <c r="G476" s="25"/>
      <c r="H476" s="25"/>
      <c r="I476" s="25"/>
      <c r="J476" s="55"/>
      <c r="K476" s="25" t="str">
        <f ca="1">IFERROR(__xludf.DUMMYFUNCTION("""COMPUTED_VALUE"""),"Definir fecha")</f>
        <v>Definir fecha</v>
      </c>
      <c r="L476" s="62"/>
      <c r="M476" s="25"/>
      <c r="N476" s="25"/>
      <c r="O476" s="25">
        <f t="shared" si="0"/>
        <v>0</v>
      </c>
      <c r="P476" s="25" t="str">
        <f t="shared" si="2"/>
        <v/>
      </c>
      <c r="Q476" s="25" t="str">
        <f ca="1">IFERROR(__xludf.DUMMYFUNCTION("""COMPUTED_VALUE"""),"Sin defenir")</f>
        <v>Sin defenir</v>
      </c>
      <c r="R476" s="25"/>
      <c r="S476" s="55"/>
      <c r="T476" s="56"/>
      <c r="U476" s="25"/>
      <c r="V476" s="25"/>
      <c r="W476" s="25"/>
      <c r="X476" s="25"/>
      <c r="Y476" s="25"/>
      <c r="Z476" s="25"/>
    </row>
    <row r="477" spans="1:26" ht="52.5" customHeight="1" x14ac:dyDescent="0.25">
      <c r="A477" s="25" t="str">
        <f ca="1">IFERROR(__xludf.DUMMYFUNCTION("""COMPUTED_VALUE"""),"Salud175")</f>
        <v>Salud175</v>
      </c>
      <c r="B477" s="25"/>
      <c r="C477" s="55"/>
      <c r="D477" s="25" t="str">
        <f ca="1">IFERROR(__xludf.DUMMYFUNCTION("""COMPUTED_VALUE"""),"Salud")</f>
        <v>Salud</v>
      </c>
      <c r="E477" s="25"/>
      <c r="F477" s="25"/>
      <c r="G477" s="25"/>
      <c r="H477" s="25"/>
      <c r="I477" s="25"/>
      <c r="J477" s="55"/>
      <c r="K477" s="25" t="str">
        <f ca="1">IFERROR(__xludf.DUMMYFUNCTION("""COMPUTED_VALUE"""),"Definir fecha")</f>
        <v>Definir fecha</v>
      </c>
      <c r="L477" s="62"/>
      <c r="M477" s="25"/>
      <c r="N477" s="25"/>
      <c r="O477" s="25">
        <f t="shared" si="0"/>
        <v>0</v>
      </c>
      <c r="P477" s="25" t="str">
        <f t="shared" si="2"/>
        <v/>
      </c>
      <c r="Q477" s="25" t="str">
        <f ca="1">IFERROR(__xludf.DUMMYFUNCTION("""COMPUTED_VALUE"""),"Sin defenir")</f>
        <v>Sin defenir</v>
      </c>
      <c r="R477" s="25"/>
      <c r="S477" s="55"/>
      <c r="T477" s="56"/>
      <c r="U477" s="25"/>
      <c r="V477" s="25"/>
      <c r="W477" s="25"/>
      <c r="X477" s="25"/>
      <c r="Y477" s="25"/>
      <c r="Z477" s="25"/>
    </row>
    <row r="478" spans="1:26" ht="52.5" customHeight="1" x14ac:dyDescent="0.25">
      <c r="A478" s="25" t="str">
        <f ca="1">IFERROR(__xludf.DUMMYFUNCTION("""COMPUTED_VALUE"""),"Salud176")</f>
        <v>Salud176</v>
      </c>
      <c r="B478" s="25"/>
      <c r="C478" s="55"/>
      <c r="D478" s="25" t="str">
        <f ca="1">IFERROR(__xludf.DUMMYFUNCTION("""COMPUTED_VALUE"""),"Salud")</f>
        <v>Salud</v>
      </c>
      <c r="E478" s="25"/>
      <c r="F478" s="25"/>
      <c r="G478" s="25"/>
      <c r="H478" s="25"/>
      <c r="I478" s="25"/>
      <c r="J478" s="55"/>
      <c r="K478" s="25" t="str">
        <f ca="1">IFERROR(__xludf.DUMMYFUNCTION("""COMPUTED_VALUE"""),"Definir fecha")</f>
        <v>Definir fecha</v>
      </c>
      <c r="L478" s="62"/>
      <c r="M478" s="25"/>
      <c r="N478" s="25"/>
      <c r="O478" s="25">
        <f t="shared" si="0"/>
        <v>0</v>
      </c>
      <c r="P478" s="25" t="str">
        <f t="shared" si="2"/>
        <v/>
      </c>
      <c r="Q478" s="25" t="str">
        <f ca="1">IFERROR(__xludf.DUMMYFUNCTION("""COMPUTED_VALUE"""),"Sin defenir")</f>
        <v>Sin defenir</v>
      </c>
      <c r="R478" s="25"/>
      <c r="S478" s="55"/>
      <c r="T478" s="56"/>
      <c r="U478" s="25"/>
      <c r="V478" s="25"/>
      <c r="W478" s="25"/>
      <c r="X478" s="25"/>
      <c r="Y478" s="25"/>
      <c r="Z478" s="25"/>
    </row>
    <row r="479" spans="1:26" ht="52.5" customHeight="1" x14ac:dyDescent="0.25">
      <c r="A479" s="25" t="str">
        <f ca="1">IFERROR(__xludf.DUMMYFUNCTION("""COMPUTED_VALUE"""),"Salud177")</f>
        <v>Salud177</v>
      </c>
      <c r="B479" s="25"/>
      <c r="C479" s="55"/>
      <c r="D479" s="25" t="str">
        <f ca="1">IFERROR(__xludf.DUMMYFUNCTION("""COMPUTED_VALUE"""),"Salud")</f>
        <v>Salud</v>
      </c>
      <c r="E479" s="25"/>
      <c r="F479" s="25"/>
      <c r="G479" s="25"/>
      <c r="H479" s="25"/>
      <c r="I479" s="25"/>
      <c r="J479" s="55"/>
      <c r="K479" s="25" t="str">
        <f ca="1">IFERROR(__xludf.DUMMYFUNCTION("""COMPUTED_VALUE"""),"Definir fecha")</f>
        <v>Definir fecha</v>
      </c>
      <c r="L479" s="62"/>
      <c r="M479" s="25"/>
      <c r="N479" s="25"/>
      <c r="O479" s="25">
        <f t="shared" si="0"/>
        <v>0</v>
      </c>
      <c r="P479" s="25" t="str">
        <f t="shared" si="2"/>
        <v/>
      </c>
      <c r="Q479" s="25" t="str">
        <f ca="1">IFERROR(__xludf.DUMMYFUNCTION("""COMPUTED_VALUE"""),"Sin defenir")</f>
        <v>Sin defenir</v>
      </c>
      <c r="R479" s="25"/>
      <c r="S479" s="55"/>
      <c r="T479" s="56"/>
      <c r="U479" s="25"/>
      <c r="V479" s="25"/>
      <c r="W479" s="25"/>
      <c r="X479" s="25"/>
      <c r="Y479" s="25"/>
      <c r="Z479" s="25"/>
    </row>
    <row r="480" spans="1:26" ht="52.5" customHeight="1" x14ac:dyDescent="0.25">
      <c r="A480" s="25" t="str">
        <f ca="1">IFERROR(__xludf.DUMMYFUNCTION("""COMPUTED_VALUE"""),"Salud178")</f>
        <v>Salud178</v>
      </c>
      <c r="B480" s="25"/>
      <c r="C480" s="55"/>
      <c r="D480" s="25" t="str">
        <f ca="1">IFERROR(__xludf.DUMMYFUNCTION("""COMPUTED_VALUE"""),"Salud")</f>
        <v>Salud</v>
      </c>
      <c r="E480" s="25"/>
      <c r="F480" s="25"/>
      <c r="G480" s="25"/>
      <c r="H480" s="25"/>
      <c r="I480" s="25"/>
      <c r="J480" s="55"/>
      <c r="K480" s="25" t="str">
        <f ca="1">IFERROR(__xludf.DUMMYFUNCTION("""COMPUTED_VALUE"""),"Definir fecha")</f>
        <v>Definir fecha</v>
      </c>
      <c r="L480" s="62"/>
      <c r="M480" s="25"/>
      <c r="N480" s="25"/>
      <c r="O480" s="25">
        <f t="shared" si="0"/>
        <v>0</v>
      </c>
      <c r="P480" s="25" t="str">
        <f t="shared" si="2"/>
        <v/>
      </c>
      <c r="Q480" s="25" t="str">
        <f ca="1">IFERROR(__xludf.DUMMYFUNCTION("""COMPUTED_VALUE"""),"Sin defenir")</f>
        <v>Sin defenir</v>
      </c>
      <c r="R480" s="25"/>
      <c r="S480" s="55"/>
      <c r="T480" s="56"/>
      <c r="U480" s="25"/>
      <c r="V480" s="25"/>
      <c r="W480" s="25"/>
      <c r="X480" s="25"/>
      <c r="Y480" s="25"/>
      <c r="Z480" s="25"/>
    </row>
    <row r="481" spans="1:26" ht="52.5" customHeight="1" x14ac:dyDescent="0.25">
      <c r="A481" s="25" t="str">
        <f ca="1">IFERROR(__xludf.DUMMYFUNCTION("""COMPUTED_VALUE"""),"Salud179")</f>
        <v>Salud179</v>
      </c>
      <c r="B481" s="25"/>
      <c r="C481" s="55"/>
      <c r="D481" s="25" t="str">
        <f ca="1">IFERROR(__xludf.DUMMYFUNCTION("""COMPUTED_VALUE"""),"Salud")</f>
        <v>Salud</v>
      </c>
      <c r="E481" s="25"/>
      <c r="F481" s="25"/>
      <c r="G481" s="25"/>
      <c r="H481" s="25"/>
      <c r="I481" s="25"/>
      <c r="J481" s="55"/>
      <c r="K481" s="25" t="str">
        <f ca="1">IFERROR(__xludf.DUMMYFUNCTION("""COMPUTED_VALUE"""),"Definir fecha")</f>
        <v>Definir fecha</v>
      </c>
      <c r="L481" s="62"/>
      <c r="M481" s="25"/>
      <c r="N481" s="25"/>
      <c r="O481" s="25">
        <f t="shared" si="0"/>
        <v>0</v>
      </c>
      <c r="P481" s="25" t="str">
        <f t="shared" si="2"/>
        <v/>
      </c>
      <c r="Q481" s="25" t="str">
        <f ca="1">IFERROR(__xludf.DUMMYFUNCTION("""COMPUTED_VALUE"""),"Sin defenir")</f>
        <v>Sin defenir</v>
      </c>
      <c r="R481" s="25"/>
      <c r="S481" s="55"/>
      <c r="T481" s="56"/>
      <c r="U481" s="25"/>
      <c r="V481" s="25"/>
      <c r="W481" s="25"/>
      <c r="X481" s="25"/>
      <c r="Y481" s="25"/>
      <c r="Z481" s="25"/>
    </row>
    <row r="482" spans="1:26" ht="52.5" customHeight="1" x14ac:dyDescent="0.25">
      <c r="A482" s="25" t="str">
        <f ca="1">IFERROR(__xludf.DUMMYFUNCTION("""COMPUTED_VALUE"""),"Salud180")</f>
        <v>Salud180</v>
      </c>
      <c r="B482" s="25"/>
      <c r="C482" s="55"/>
      <c r="D482" s="25" t="str">
        <f ca="1">IFERROR(__xludf.DUMMYFUNCTION("""COMPUTED_VALUE"""),"Salud")</f>
        <v>Salud</v>
      </c>
      <c r="E482" s="25"/>
      <c r="F482" s="25"/>
      <c r="G482" s="25"/>
      <c r="H482" s="25"/>
      <c r="I482" s="25"/>
      <c r="J482" s="55"/>
      <c r="K482" s="25" t="str">
        <f ca="1">IFERROR(__xludf.DUMMYFUNCTION("""COMPUTED_VALUE"""),"Definir fecha")</f>
        <v>Definir fecha</v>
      </c>
      <c r="L482" s="62"/>
      <c r="M482" s="25"/>
      <c r="N482" s="25"/>
      <c r="O482" s="25">
        <f t="shared" si="0"/>
        <v>0</v>
      </c>
      <c r="P482" s="25" t="str">
        <f t="shared" si="2"/>
        <v/>
      </c>
      <c r="Q482" s="25" t="str">
        <f ca="1">IFERROR(__xludf.DUMMYFUNCTION("""COMPUTED_VALUE"""),"Sin defenir")</f>
        <v>Sin defenir</v>
      </c>
      <c r="R482" s="25"/>
      <c r="S482" s="55"/>
      <c r="T482" s="56"/>
      <c r="U482" s="25"/>
      <c r="V482" s="25"/>
      <c r="W482" s="25"/>
      <c r="X482" s="25"/>
      <c r="Y482" s="25"/>
      <c r="Z482" s="25"/>
    </row>
    <row r="483" spans="1:26" ht="52.5" customHeight="1" x14ac:dyDescent="0.25">
      <c r="A483" s="25" t="str">
        <f ca="1">IFERROR(__xludf.DUMMYFUNCTION("""COMPUTED_VALUE"""),"Salud181")</f>
        <v>Salud181</v>
      </c>
      <c r="B483" s="25"/>
      <c r="C483" s="55"/>
      <c r="D483" s="25" t="str">
        <f ca="1">IFERROR(__xludf.DUMMYFUNCTION("""COMPUTED_VALUE"""),"Salud")</f>
        <v>Salud</v>
      </c>
      <c r="E483" s="25"/>
      <c r="F483" s="25"/>
      <c r="G483" s="25"/>
      <c r="H483" s="25"/>
      <c r="I483" s="25"/>
      <c r="J483" s="55"/>
      <c r="K483" s="25" t="str">
        <f ca="1">IFERROR(__xludf.DUMMYFUNCTION("""COMPUTED_VALUE"""),"Definir fecha")</f>
        <v>Definir fecha</v>
      </c>
      <c r="L483" s="62"/>
      <c r="M483" s="25"/>
      <c r="N483" s="25"/>
      <c r="O483" s="25">
        <f t="shared" si="0"/>
        <v>0</v>
      </c>
      <c r="P483" s="25" t="str">
        <f t="shared" si="2"/>
        <v/>
      </c>
      <c r="Q483" s="25" t="str">
        <f ca="1">IFERROR(__xludf.DUMMYFUNCTION("""COMPUTED_VALUE"""),"Sin defenir")</f>
        <v>Sin defenir</v>
      </c>
      <c r="R483" s="25"/>
      <c r="S483" s="55"/>
      <c r="T483" s="56"/>
      <c r="U483" s="25"/>
      <c r="V483" s="25"/>
      <c r="W483" s="25"/>
      <c r="X483" s="25"/>
      <c r="Y483" s="25"/>
      <c r="Z483" s="25"/>
    </row>
    <row r="484" spans="1:26" ht="52.5" customHeight="1" x14ac:dyDescent="0.25">
      <c r="A484" s="25" t="str">
        <f ca="1">IFERROR(__xludf.DUMMYFUNCTION("""COMPUTED_VALUE"""),"Salud182")</f>
        <v>Salud182</v>
      </c>
      <c r="B484" s="25"/>
      <c r="C484" s="55"/>
      <c r="D484" s="25" t="str">
        <f ca="1">IFERROR(__xludf.DUMMYFUNCTION("""COMPUTED_VALUE"""),"Salud")</f>
        <v>Salud</v>
      </c>
      <c r="E484" s="25"/>
      <c r="F484" s="25"/>
      <c r="G484" s="25"/>
      <c r="H484" s="25"/>
      <c r="I484" s="25"/>
      <c r="J484" s="55"/>
      <c r="K484" s="25" t="str">
        <f ca="1">IFERROR(__xludf.DUMMYFUNCTION("""COMPUTED_VALUE"""),"Definir fecha")</f>
        <v>Definir fecha</v>
      </c>
      <c r="L484" s="62"/>
      <c r="M484" s="25"/>
      <c r="N484" s="25"/>
      <c r="O484" s="25">
        <f t="shared" si="0"/>
        <v>0</v>
      </c>
      <c r="P484" s="25" t="str">
        <f t="shared" si="2"/>
        <v/>
      </c>
      <c r="Q484" s="25" t="str">
        <f ca="1">IFERROR(__xludf.DUMMYFUNCTION("""COMPUTED_VALUE"""),"Sin defenir")</f>
        <v>Sin defenir</v>
      </c>
      <c r="R484" s="25"/>
      <c r="S484" s="55"/>
      <c r="T484" s="56"/>
      <c r="U484" s="25"/>
      <c r="V484" s="25"/>
      <c r="W484" s="25"/>
      <c r="X484" s="25"/>
      <c r="Y484" s="25"/>
      <c r="Z484" s="25"/>
    </row>
    <row r="485" spans="1:26" ht="52.5" customHeight="1" x14ac:dyDescent="0.25">
      <c r="A485" s="25" t="str">
        <f ca="1">IFERROR(__xludf.DUMMYFUNCTION("""COMPUTED_VALUE"""),"Salud183")</f>
        <v>Salud183</v>
      </c>
      <c r="B485" s="25"/>
      <c r="C485" s="55"/>
      <c r="D485" s="25" t="str">
        <f ca="1">IFERROR(__xludf.DUMMYFUNCTION("""COMPUTED_VALUE"""),"Salud")</f>
        <v>Salud</v>
      </c>
      <c r="E485" s="25"/>
      <c r="F485" s="25"/>
      <c r="G485" s="25"/>
      <c r="H485" s="25"/>
      <c r="I485" s="25"/>
      <c r="J485" s="55"/>
      <c r="K485" s="25" t="str">
        <f ca="1">IFERROR(__xludf.DUMMYFUNCTION("""COMPUTED_VALUE"""),"Definir fecha")</f>
        <v>Definir fecha</v>
      </c>
      <c r="L485" s="62"/>
      <c r="M485" s="25"/>
      <c r="N485" s="25"/>
      <c r="O485" s="25">
        <f t="shared" si="0"/>
        <v>0</v>
      </c>
      <c r="P485" s="25" t="str">
        <f t="shared" si="2"/>
        <v/>
      </c>
      <c r="Q485" s="25" t="str">
        <f ca="1">IFERROR(__xludf.DUMMYFUNCTION("""COMPUTED_VALUE"""),"Sin defenir")</f>
        <v>Sin defenir</v>
      </c>
      <c r="R485" s="25"/>
      <c r="S485" s="55"/>
      <c r="T485" s="56"/>
      <c r="U485" s="25"/>
      <c r="V485" s="25"/>
      <c r="W485" s="25"/>
      <c r="X485" s="25"/>
      <c r="Y485" s="25"/>
      <c r="Z485" s="25"/>
    </row>
    <row r="486" spans="1:26" ht="52.5" customHeight="1" x14ac:dyDescent="0.25">
      <c r="A486" s="25" t="str">
        <f ca="1">IFERROR(__xludf.DUMMYFUNCTION("""COMPUTED_VALUE"""),"Salud184")</f>
        <v>Salud184</v>
      </c>
      <c r="B486" s="25"/>
      <c r="C486" s="55"/>
      <c r="D486" s="25" t="str">
        <f ca="1">IFERROR(__xludf.DUMMYFUNCTION("""COMPUTED_VALUE"""),"Salud")</f>
        <v>Salud</v>
      </c>
      <c r="E486" s="25"/>
      <c r="F486" s="25"/>
      <c r="G486" s="25"/>
      <c r="H486" s="25"/>
      <c r="I486" s="25"/>
      <c r="J486" s="55"/>
      <c r="K486" s="25" t="str">
        <f ca="1">IFERROR(__xludf.DUMMYFUNCTION("""COMPUTED_VALUE"""),"Definir fecha")</f>
        <v>Definir fecha</v>
      </c>
      <c r="L486" s="62"/>
      <c r="M486" s="25"/>
      <c r="N486" s="25"/>
      <c r="O486" s="25">
        <f t="shared" si="0"/>
        <v>0</v>
      </c>
      <c r="P486" s="25" t="str">
        <f t="shared" si="2"/>
        <v/>
      </c>
      <c r="Q486" s="25" t="str">
        <f ca="1">IFERROR(__xludf.DUMMYFUNCTION("""COMPUTED_VALUE"""),"Sin defenir")</f>
        <v>Sin defenir</v>
      </c>
      <c r="R486" s="25"/>
      <c r="S486" s="55"/>
      <c r="T486" s="56"/>
      <c r="U486" s="25"/>
      <c r="V486" s="25"/>
      <c r="W486" s="25"/>
      <c r="X486" s="25"/>
      <c r="Y486" s="25"/>
      <c r="Z486" s="25"/>
    </row>
    <row r="487" spans="1:26" ht="52.5" customHeight="1" x14ac:dyDescent="0.25">
      <c r="A487" s="25" t="str">
        <f ca="1">IFERROR(__xludf.DUMMYFUNCTION("""COMPUTED_VALUE"""),"Salud185")</f>
        <v>Salud185</v>
      </c>
      <c r="B487" s="25"/>
      <c r="C487" s="55"/>
      <c r="D487" s="25" t="str">
        <f ca="1">IFERROR(__xludf.DUMMYFUNCTION("""COMPUTED_VALUE"""),"Salud")</f>
        <v>Salud</v>
      </c>
      <c r="E487" s="25"/>
      <c r="F487" s="25"/>
      <c r="G487" s="25"/>
      <c r="H487" s="25"/>
      <c r="I487" s="25"/>
      <c r="J487" s="55"/>
      <c r="K487" s="25" t="str">
        <f ca="1">IFERROR(__xludf.DUMMYFUNCTION("""COMPUTED_VALUE"""),"Definir fecha")</f>
        <v>Definir fecha</v>
      </c>
      <c r="L487" s="62"/>
      <c r="M487" s="25"/>
      <c r="N487" s="25"/>
      <c r="O487" s="25">
        <f t="shared" si="0"/>
        <v>0</v>
      </c>
      <c r="P487" s="25" t="str">
        <f t="shared" si="2"/>
        <v/>
      </c>
      <c r="Q487" s="25" t="str">
        <f ca="1">IFERROR(__xludf.DUMMYFUNCTION("""COMPUTED_VALUE"""),"Sin defenir")</f>
        <v>Sin defenir</v>
      </c>
      <c r="R487" s="25"/>
      <c r="S487" s="55"/>
      <c r="T487" s="56"/>
      <c r="U487" s="25"/>
      <c r="V487" s="25"/>
      <c r="W487" s="25"/>
      <c r="X487" s="25"/>
      <c r="Y487" s="25"/>
      <c r="Z487" s="25"/>
    </row>
    <row r="488" spans="1:26" ht="52.5" customHeight="1" x14ac:dyDescent="0.25">
      <c r="A488" s="25" t="str">
        <f ca="1">IFERROR(__xludf.DUMMYFUNCTION("""COMPUTED_VALUE"""),"Salud186")</f>
        <v>Salud186</v>
      </c>
      <c r="B488" s="25"/>
      <c r="C488" s="55"/>
      <c r="D488" s="25" t="str">
        <f ca="1">IFERROR(__xludf.DUMMYFUNCTION("""COMPUTED_VALUE"""),"Salud")</f>
        <v>Salud</v>
      </c>
      <c r="E488" s="25"/>
      <c r="F488" s="25"/>
      <c r="G488" s="25"/>
      <c r="H488" s="25"/>
      <c r="I488" s="25"/>
      <c r="J488" s="55"/>
      <c r="K488" s="25" t="str">
        <f ca="1">IFERROR(__xludf.DUMMYFUNCTION("""COMPUTED_VALUE"""),"Definir fecha")</f>
        <v>Definir fecha</v>
      </c>
      <c r="L488" s="62"/>
      <c r="M488" s="25"/>
      <c r="N488" s="25"/>
      <c r="O488" s="25">
        <f t="shared" si="0"/>
        <v>0</v>
      </c>
      <c r="P488" s="25" t="str">
        <f t="shared" si="2"/>
        <v/>
      </c>
      <c r="Q488" s="25" t="str">
        <f ca="1">IFERROR(__xludf.DUMMYFUNCTION("""COMPUTED_VALUE"""),"Sin defenir")</f>
        <v>Sin defenir</v>
      </c>
      <c r="R488" s="25"/>
      <c r="S488" s="55"/>
      <c r="T488" s="56"/>
      <c r="U488" s="25"/>
      <c r="V488" s="25"/>
      <c r="W488" s="25"/>
      <c r="X488" s="25"/>
      <c r="Y488" s="25"/>
      <c r="Z488" s="25"/>
    </row>
    <row r="489" spans="1:26" ht="52.5" customHeight="1" x14ac:dyDescent="0.25">
      <c r="A489" s="25" t="str">
        <f ca="1">IFERROR(__xludf.DUMMYFUNCTION("""COMPUTED_VALUE"""),"Salud187")</f>
        <v>Salud187</v>
      </c>
      <c r="B489" s="25"/>
      <c r="C489" s="55"/>
      <c r="D489" s="25" t="str">
        <f ca="1">IFERROR(__xludf.DUMMYFUNCTION("""COMPUTED_VALUE"""),"Salud")</f>
        <v>Salud</v>
      </c>
      <c r="E489" s="25"/>
      <c r="F489" s="25"/>
      <c r="G489" s="25"/>
      <c r="H489" s="25"/>
      <c r="I489" s="25"/>
      <c r="J489" s="55"/>
      <c r="K489" s="25" t="str">
        <f ca="1">IFERROR(__xludf.DUMMYFUNCTION("""COMPUTED_VALUE"""),"Definir fecha")</f>
        <v>Definir fecha</v>
      </c>
      <c r="L489" s="62"/>
      <c r="M489" s="25"/>
      <c r="N489" s="25"/>
      <c r="O489" s="25">
        <f t="shared" si="0"/>
        <v>0</v>
      </c>
      <c r="P489" s="25" t="str">
        <f t="shared" si="2"/>
        <v/>
      </c>
      <c r="Q489" s="25" t="str">
        <f ca="1">IFERROR(__xludf.DUMMYFUNCTION("""COMPUTED_VALUE"""),"Sin defenir")</f>
        <v>Sin defenir</v>
      </c>
      <c r="R489" s="25"/>
      <c r="S489" s="55"/>
      <c r="T489" s="56"/>
      <c r="U489" s="25"/>
      <c r="V489" s="25"/>
      <c r="W489" s="25"/>
      <c r="X489" s="25"/>
      <c r="Y489" s="25"/>
      <c r="Z489" s="25"/>
    </row>
    <row r="490" spans="1:26" ht="52.5" customHeight="1" x14ac:dyDescent="0.25">
      <c r="A490" s="25" t="str">
        <f ca="1">IFERROR(__xludf.DUMMYFUNCTION("""COMPUTED_VALUE"""),"Salud188")</f>
        <v>Salud188</v>
      </c>
      <c r="B490" s="25"/>
      <c r="C490" s="55"/>
      <c r="D490" s="25" t="str">
        <f ca="1">IFERROR(__xludf.DUMMYFUNCTION("""COMPUTED_VALUE"""),"Salud")</f>
        <v>Salud</v>
      </c>
      <c r="E490" s="25"/>
      <c r="F490" s="25"/>
      <c r="G490" s="25"/>
      <c r="H490" s="25"/>
      <c r="I490" s="25"/>
      <c r="J490" s="55"/>
      <c r="K490" s="25" t="str">
        <f ca="1">IFERROR(__xludf.DUMMYFUNCTION("""COMPUTED_VALUE"""),"Definir fecha")</f>
        <v>Definir fecha</v>
      </c>
      <c r="L490" s="62"/>
      <c r="M490" s="25"/>
      <c r="N490" s="25"/>
      <c r="O490" s="25">
        <f t="shared" si="0"/>
        <v>0</v>
      </c>
      <c r="P490" s="25" t="str">
        <f t="shared" si="2"/>
        <v/>
      </c>
      <c r="Q490" s="25" t="str">
        <f ca="1">IFERROR(__xludf.DUMMYFUNCTION("""COMPUTED_VALUE"""),"Sin defenir")</f>
        <v>Sin defenir</v>
      </c>
      <c r="R490" s="25"/>
      <c r="S490" s="55"/>
      <c r="T490" s="56"/>
      <c r="U490" s="25"/>
      <c r="V490" s="25"/>
      <c r="W490" s="25"/>
      <c r="X490" s="25"/>
      <c r="Y490" s="25"/>
      <c r="Z490" s="25"/>
    </row>
    <row r="491" spans="1:26" ht="52.5" customHeight="1" x14ac:dyDescent="0.25">
      <c r="A491" s="25" t="str">
        <f ca="1">IFERROR(__xludf.DUMMYFUNCTION("""COMPUTED_VALUE"""),"Salud189")</f>
        <v>Salud189</v>
      </c>
      <c r="B491" s="25"/>
      <c r="C491" s="55"/>
      <c r="D491" s="25" t="str">
        <f ca="1">IFERROR(__xludf.DUMMYFUNCTION("""COMPUTED_VALUE"""),"Salud")</f>
        <v>Salud</v>
      </c>
      <c r="E491" s="25"/>
      <c r="F491" s="25"/>
      <c r="G491" s="25"/>
      <c r="H491" s="25"/>
      <c r="I491" s="25"/>
      <c r="J491" s="55"/>
      <c r="K491" s="25" t="str">
        <f ca="1">IFERROR(__xludf.DUMMYFUNCTION("""COMPUTED_VALUE"""),"Definir fecha")</f>
        <v>Definir fecha</v>
      </c>
      <c r="L491" s="62"/>
      <c r="M491" s="25"/>
      <c r="N491" s="25"/>
      <c r="O491" s="25">
        <f t="shared" si="0"/>
        <v>0</v>
      </c>
      <c r="P491" s="25" t="str">
        <f t="shared" si="2"/>
        <v/>
      </c>
      <c r="Q491" s="25" t="str">
        <f ca="1">IFERROR(__xludf.DUMMYFUNCTION("""COMPUTED_VALUE"""),"Sin defenir")</f>
        <v>Sin defenir</v>
      </c>
      <c r="R491" s="25"/>
      <c r="S491" s="55"/>
      <c r="T491" s="56"/>
      <c r="U491" s="25"/>
      <c r="V491" s="25"/>
      <c r="W491" s="25"/>
      <c r="X491" s="25"/>
      <c r="Y491" s="25"/>
      <c r="Z491" s="25"/>
    </row>
    <row r="492" spans="1:26" ht="52.5" customHeight="1" x14ac:dyDescent="0.25">
      <c r="A492" s="25" t="str">
        <f ca="1">IFERROR(__xludf.DUMMYFUNCTION("""COMPUTED_VALUE"""),"Salud190")</f>
        <v>Salud190</v>
      </c>
      <c r="B492" s="25"/>
      <c r="C492" s="55"/>
      <c r="D492" s="25" t="str">
        <f ca="1">IFERROR(__xludf.DUMMYFUNCTION("""COMPUTED_VALUE"""),"Salud")</f>
        <v>Salud</v>
      </c>
      <c r="E492" s="25"/>
      <c r="F492" s="25"/>
      <c r="G492" s="25"/>
      <c r="H492" s="25"/>
      <c r="I492" s="25"/>
      <c r="J492" s="55"/>
      <c r="K492" s="25" t="str">
        <f ca="1">IFERROR(__xludf.DUMMYFUNCTION("""COMPUTED_VALUE"""),"Definir fecha")</f>
        <v>Definir fecha</v>
      </c>
      <c r="L492" s="62"/>
      <c r="M492" s="25"/>
      <c r="N492" s="25"/>
      <c r="O492" s="25">
        <f t="shared" si="0"/>
        <v>0</v>
      </c>
      <c r="P492" s="25" t="str">
        <f t="shared" si="2"/>
        <v/>
      </c>
      <c r="Q492" s="25" t="str">
        <f ca="1">IFERROR(__xludf.DUMMYFUNCTION("""COMPUTED_VALUE"""),"Sin defenir")</f>
        <v>Sin defenir</v>
      </c>
      <c r="R492" s="25"/>
      <c r="S492" s="55"/>
      <c r="T492" s="56"/>
      <c r="U492" s="25"/>
      <c r="V492" s="25"/>
      <c r="W492" s="25"/>
      <c r="X492" s="25"/>
      <c r="Y492" s="25"/>
      <c r="Z492" s="25"/>
    </row>
    <row r="493" spans="1:26" ht="52.5" customHeight="1" x14ac:dyDescent="0.25">
      <c r="A493" s="25" t="str">
        <f ca="1">IFERROR(__xludf.DUMMYFUNCTION("""COMPUTED_VALUE"""),"Salud191")</f>
        <v>Salud191</v>
      </c>
      <c r="B493" s="25"/>
      <c r="C493" s="55"/>
      <c r="D493" s="25" t="str">
        <f ca="1">IFERROR(__xludf.DUMMYFUNCTION("""COMPUTED_VALUE"""),"Salud")</f>
        <v>Salud</v>
      </c>
      <c r="E493" s="25"/>
      <c r="F493" s="25"/>
      <c r="G493" s="25"/>
      <c r="H493" s="25"/>
      <c r="I493" s="25"/>
      <c r="J493" s="55"/>
      <c r="K493" s="25" t="str">
        <f ca="1">IFERROR(__xludf.DUMMYFUNCTION("""COMPUTED_VALUE"""),"Definir fecha")</f>
        <v>Definir fecha</v>
      </c>
      <c r="L493" s="62"/>
      <c r="M493" s="25"/>
      <c r="N493" s="25"/>
      <c r="O493" s="25">
        <f t="shared" si="0"/>
        <v>0</v>
      </c>
      <c r="P493" s="25" t="str">
        <f t="shared" si="2"/>
        <v/>
      </c>
      <c r="Q493" s="25" t="str">
        <f ca="1">IFERROR(__xludf.DUMMYFUNCTION("""COMPUTED_VALUE"""),"Sin defenir")</f>
        <v>Sin defenir</v>
      </c>
      <c r="R493" s="25"/>
      <c r="S493" s="55"/>
      <c r="T493" s="56"/>
      <c r="U493" s="25"/>
      <c r="V493" s="25"/>
      <c r="W493" s="25"/>
      <c r="X493" s="25"/>
      <c r="Y493" s="25"/>
      <c r="Z493" s="25"/>
    </row>
    <row r="494" spans="1:26" ht="52.5" customHeight="1" x14ac:dyDescent="0.25">
      <c r="A494" s="25" t="str">
        <f ca="1">IFERROR(__xludf.DUMMYFUNCTION("""COMPUTED_VALUE"""),"Salud192")</f>
        <v>Salud192</v>
      </c>
      <c r="B494" s="25"/>
      <c r="C494" s="55"/>
      <c r="D494" s="25" t="str">
        <f ca="1">IFERROR(__xludf.DUMMYFUNCTION("""COMPUTED_VALUE"""),"Salud")</f>
        <v>Salud</v>
      </c>
      <c r="E494" s="25"/>
      <c r="F494" s="25"/>
      <c r="G494" s="25"/>
      <c r="H494" s="25"/>
      <c r="I494" s="25"/>
      <c r="J494" s="55"/>
      <c r="K494" s="25" t="str">
        <f ca="1">IFERROR(__xludf.DUMMYFUNCTION("""COMPUTED_VALUE"""),"Definir fecha")</f>
        <v>Definir fecha</v>
      </c>
      <c r="L494" s="62"/>
      <c r="M494" s="25"/>
      <c r="N494" s="25"/>
      <c r="O494" s="25">
        <f t="shared" si="0"/>
        <v>0</v>
      </c>
      <c r="P494" s="25" t="str">
        <f t="shared" si="2"/>
        <v/>
      </c>
      <c r="Q494" s="25" t="str">
        <f ca="1">IFERROR(__xludf.DUMMYFUNCTION("""COMPUTED_VALUE"""),"Sin defenir")</f>
        <v>Sin defenir</v>
      </c>
      <c r="R494" s="25"/>
      <c r="S494" s="55"/>
      <c r="T494" s="56"/>
      <c r="U494" s="25"/>
      <c r="V494" s="25"/>
      <c r="W494" s="25"/>
      <c r="X494" s="25"/>
      <c r="Y494" s="25"/>
      <c r="Z494" s="25"/>
    </row>
    <row r="495" spans="1:26" ht="52.5" customHeight="1" x14ac:dyDescent="0.25">
      <c r="A495" s="25" t="str">
        <f ca="1">IFERROR(__xludf.DUMMYFUNCTION("""COMPUTED_VALUE"""),"Salud193")</f>
        <v>Salud193</v>
      </c>
      <c r="B495" s="25"/>
      <c r="C495" s="55"/>
      <c r="D495" s="25" t="str">
        <f ca="1">IFERROR(__xludf.DUMMYFUNCTION("""COMPUTED_VALUE"""),"Salud")</f>
        <v>Salud</v>
      </c>
      <c r="E495" s="25"/>
      <c r="F495" s="25"/>
      <c r="G495" s="25"/>
      <c r="H495" s="25"/>
      <c r="I495" s="25"/>
      <c r="J495" s="55"/>
      <c r="K495" s="25" t="str">
        <f ca="1">IFERROR(__xludf.DUMMYFUNCTION("""COMPUTED_VALUE"""),"Definir fecha")</f>
        <v>Definir fecha</v>
      </c>
      <c r="L495" s="62"/>
      <c r="M495" s="25"/>
      <c r="N495" s="25"/>
      <c r="O495" s="25">
        <f t="shared" si="0"/>
        <v>0</v>
      </c>
      <c r="P495" s="25" t="str">
        <f t="shared" si="2"/>
        <v/>
      </c>
      <c r="Q495" s="25" t="str">
        <f ca="1">IFERROR(__xludf.DUMMYFUNCTION("""COMPUTED_VALUE"""),"Sin defenir")</f>
        <v>Sin defenir</v>
      </c>
      <c r="R495" s="25"/>
      <c r="S495" s="55"/>
      <c r="T495" s="56"/>
      <c r="U495" s="25"/>
      <c r="V495" s="25"/>
      <c r="W495" s="25"/>
      <c r="X495" s="25"/>
      <c r="Y495" s="25"/>
      <c r="Z495" s="25"/>
    </row>
    <row r="496" spans="1:26" ht="52.5" customHeight="1" x14ac:dyDescent="0.25">
      <c r="A496" s="25" t="str">
        <f ca="1">IFERROR(__xludf.DUMMYFUNCTION("""COMPUTED_VALUE"""),"Salud194")</f>
        <v>Salud194</v>
      </c>
      <c r="B496" s="25"/>
      <c r="C496" s="55"/>
      <c r="D496" s="25" t="str">
        <f ca="1">IFERROR(__xludf.DUMMYFUNCTION("""COMPUTED_VALUE"""),"Salud")</f>
        <v>Salud</v>
      </c>
      <c r="E496" s="25"/>
      <c r="F496" s="25"/>
      <c r="G496" s="25"/>
      <c r="H496" s="25"/>
      <c r="I496" s="25"/>
      <c r="J496" s="55"/>
      <c r="K496" s="25" t="str">
        <f ca="1">IFERROR(__xludf.DUMMYFUNCTION("""COMPUTED_VALUE"""),"Definir fecha")</f>
        <v>Definir fecha</v>
      </c>
      <c r="L496" s="62"/>
      <c r="M496" s="25"/>
      <c r="N496" s="25"/>
      <c r="O496" s="25">
        <f t="shared" si="0"/>
        <v>0</v>
      </c>
      <c r="P496" s="25" t="str">
        <f t="shared" si="2"/>
        <v/>
      </c>
      <c r="Q496" s="25" t="str">
        <f ca="1">IFERROR(__xludf.DUMMYFUNCTION("""COMPUTED_VALUE"""),"Sin defenir")</f>
        <v>Sin defenir</v>
      </c>
      <c r="R496" s="25"/>
      <c r="S496" s="55"/>
      <c r="T496" s="56"/>
      <c r="U496" s="25"/>
      <c r="V496" s="25"/>
      <c r="W496" s="25"/>
      <c r="X496" s="25"/>
      <c r="Y496" s="25"/>
      <c r="Z496" s="25"/>
    </row>
    <row r="497" spans="1:26" ht="52.5" customHeight="1" x14ac:dyDescent="0.25">
      <c r="A497" s="25" t="str">
        <f ca="1">IFERROR(__xludf.DUMMYFUNCTION("""COMPUTED_VALUE"""),"Salud195")</f>
        <v>Salud195</v>
      </c>
      <c r="B497" s="25"/>
      <c r="C497" s="55"/>
      <c r="D497" s="25" t="str">
        <f ca="1">IFERROR(__xludf.DUMMYFUNCTION("""COMPUTED_VALUE"""),"Salud")</f>
        <v>Salud</v>
      </c>
      <c r="E497" s="25"/>
      <c r="F497" s="25"/>
      <c r="G497" s="25"/>
      <c r="H497" s="25"/>
      <c r="I497" s="25"/>
      <c r="J497" s="55"/>
      <c r="K497" s="25" t="str">
        <f ca="1">IFERROR(__xludf.DUMMYFUNCTION("""COMPUTED_VALUE"""),"Definir fecha")</f>
        <v>Definir fecha</v>
      </c>
      <c r="L497" s="62"/>
      <c r="M497" s="25"/>
      <c r="N497" s="25"/>
      <c r="O497" s="25">
        <f t="shared" si="0"/>
        <v>0</v>
      </c>
      <c r="P497" s="25" t="str">
        <f t="shared" si="2"/>
        <v/>
      </c>
      <c r="Q497" s="25" t="str">
        <f ca="1">IFERROR(__xludf.DUMMYFUNCTION("""COMPUTED_VALUE"""),"Sin defenir")</f>
        <v>Sin defenir</v>
      </c>
      <c r="R497" s="25"/>
      <c r="S497" s="55"/>
      <c r="T497" s="56"/>
      <c r="U497" s="25"/>
      <c r="V497" s="25"/>
      <c r="W497" s="25"/>
      <c r="X497" s="25"/>
      <c r="Y497" s="25"/>
      <c r="Z497" s="25"/>
    </row>
    <row r="498" spans="1:26" ht="52.5" customHeight="1" x14ac:dyDescent="0.25">
      <c r="A498" s="25" t="str">
        <f ca="1">IFERROR(__xludf.DUMMYFUNCTION("""COMPUTED_VALUE"""),"Salud196")</f>
        <v>Salud196</v>
      </c>
      <c r="B498" s="25"/>
      <c r="C498" s="55"/>
      <c r="D498" s="25" t="str">
        <f ca="1">IFERROR(__xludf.DUMMYFUNCTION("""COMPUTED_VALUE"""),"Salud")</f>
        <v>Salud</v>
      </c>
      <c r="E498" s="25"/>
      <c r="F498" s="25"/>
      <c r="G498" s="25"/>
      <c r="H498" s="25"/>
      <c r="I498" s="25"/>
      <c r="J498" s="55"/>
      <c r="K498" s="25" t="str">
        <f ca="1">IFERROR(__xludf.DUMMYFUNCTION("""COMPUTED_VALUE"""),"Definir fecha")</f>
        <v>Definir fecha</v>
      </c>
      <c r="L498" s="62"/>
      <c r="M498" s="25"/>
      <c r="N498" s="25"/>
      <c r="O498" s="25">
        <f t="shared" si="0"/>
        <v>0</v>
      </c>
      <c r="P498" s="25" t="str">
        <f t="shared" si="2"/>
        <v/>
      </c>
      <c r="Q498" s="25" t="str">
        <f ca="1">IFERROR(__xludf.DUMMYFUNCTION("""COMPUTED_VALUE"""),"Sin defenir")</f>
        <v>Sin defenir</v>
      </c>
      <c r="R498" s="25"/>
      <c r="S498" s="55"/>
      <c r="T498" s="56"/>
      <c r="U498" s="25"/>
      <c r="V498" s="25"/>
      <c r="W498" s="25"/>
      <c r="X498" s="25"/>
      <c r="Y498" s="25"/>
      <c r="Z498" s="25"/>
    </row>
    <row r="499" spans="1:26" ht="52.5" customHeight="1" x14ac:dyDescent="0.25">
      <c r="A499" s="25" t="str">
        <f ca="1">IFERROR(__xludf.DUMMYFUNCTION("""COMPUTED_VALUE"""),"Salud197")</f>
        <v>Salud197</v>
      </c>
      <c r="B499" s="25"/>
      <c r="C499" s="55"/>
      <c r="D499" s="25" t="str">
        <f ca="1">IFERROR(__xludf.DUMMYFUNCTION("""COMPUTED_VALUE"""),"Salud")</f>
        <v>Salud</v>
      </c>
      <c r="E499" s="25"/>
      <c r="F499" s="25"/>
      <c r="G499" s="25"/>
      <c r="H499" s="25"/>
      <c r="I499" s="25"/>
      <c r="J499" s="55"/>
      <c r="K499" s="25" t="str">
        <f ca="1">IFERROR(__xludf.DUMMYFUNCTION("""COMPUTED_VALUE"""),"Definir fecha")</f>
        <v>Definir fecha</v>
      </c>
      <c r="L499" s="62"/>
      <c r="M499" s="25"/>
      <c r="N499" s="25"/>
      <c r="O499" s="25">
        <f t="shared" si="0"/>
        <v>0</v>
      </c>
      <c r="P499" s="25" t="str">
        <f t="shared" si="2"/>
        <v/>
      </c>
      <c r="Q499" s="25" t="str">
        <f ca="1">IFERROR(__xludf.DUMMYFUNCTION("""COMPUTED_VALUE"""),"Sin defenir")</f>
        <v>Sin defenir</v>
      </c>
      <c r="R499" s="25"/>
      <c r="S499" s="55"/>
      <c r="T499" s="56"/>
      <c r="U499" s="25"/>
      <c r="V499" s="25"/>
      <c r="W499" s="25"/>
      <c r="X499" s="25"/>
      <c r="Y499" s="25"/>
      <c r="Z499" s="25"/>
    </row>
    <row r="500" spans="1:26" ht="52.5" customHeight="1" x14ac:dyDescent="0.25">
      <c r="A500" s="25" t="str">
        <f ca="1">IFERROR(__xludf.DUMMYFUNCTION("""COMPUTED_VALUE"""),"Salud198")</f>
        <v>Salud198</v>
      </c>
      <c r="B500" s="25"/>
      <c r="C500" s="55"/>
      <c r="D500" s="25" t="str">
        <f ca="1">IFERROR(__xludf.DUMMYFUNCTION("""COMPUTED_VALUE"""),"Salud")</f>
        <v>Salud</v>
      </c>
      <c r="E500" s="25"/>
      <c r="F500" s="25"/>
      <c r="G500" s="25"/>
      <c r="H500" s="25"/>
      <c r="I500" s="25"/>
      <c r="J500" s="55"/>
      <c r="K500" s="25" t="str">
        <f ca="1">IFERROR(__xludf.DUMMYFUNCTION("""COMPUTED_VALUE"""),"Definir fecha")</f>
        <v>Definir fecha</v>
      </c>
      <c r="L500" s="62"/>
      <c r="M500" s="25"/>
      <c r="N500" s="25"/>
      <c r="O500" s="25">
        <f t="shared" si="0"/>
        <v>0</v>
      </c>
      <c r="P500" s="25" t="str">
        <f t="shared" si="2"/>
        <v/>
      </c>
      <c r="Q500" s="25" t="str">
        <f ca="1">IFERROR(__xludf.DUMMYFUNCTION("""COMPUTED_VALUE"""),"Sin defenir")</f>
        <v>Sin defenir</v>
      </c>
      <c r="R500" s="25"/>
      <c r="S500" s="55"/>
      <c r="T500" s="56"/>
      <c r="U500" s="25"/>
      <c r="V500" s="25"/>
      <c r="W500" s="25"/>
      <c r="X500" s="25"/>
      <c r="Y500" s="25"/>
      <c r="Z500" s="25"/>
    </row>
    <row r="501" spans="1:26" ht="52.5" customHeight="1" x14ac:dyDescent="0.25">
      <c r="A501" s="25" t="str">
        <f ca="1">IFERROR(__xludf.DUMMYFUNCTION("""COMPUTED_VALUE"""),"Salud199")</f>
        <v>Salud199</v>
      </c>
      <c r="B501" s="25"/>
      <c r="C501" s="55"/>
      <c r="D501" s="25" t="str">
        <f ca="1">IFERROR(__xludf.DUMMYFUNCTION("""COMPUTED_VALUE"""),"Salud")</f>
        <v>Salud</v>
      </c>
      <c r="E501" s="25"/>
      <c r="F501" s="25"/>
      <c r="G501" s="25"/>
      <c r="H501" s="25"/>
      <c r="I501" s="25"/>
      <c r="J501" s="55"/>
      <c r="K501" s="25" t="str">
        <f ca="1">IFERROR(__xludf.DUMMYFUNCTION("""COMPUTED_VALUE"""),"Definir fecha")</f>
        <v>Definir fecha</v>
      </c>
      <c r="L501" s="62"/>
      <c r="M501" s="25"/>
      <c r="N501" s="25"/>
      <c r="O501" s="25">
        <f t="shared" si="0"/>
        <v>0</v>
      </c>
      <c r="P501" s="25" t="str">
        <f t="shared" si="2"/>
        <v/>
      </c>
      <c r="Q501" s="25" t="str">
        <f ca="1">IFERROR(__xludf.DUMMYFUNCTION("""COMPUTED_VALUE"""),"Sin defenir")</f>
        <v>Sin defenir</v>
      </c>
      <c r="R501" s="25"/>
      <c r="S501" s="55"/>
      <c r="T501" s="56"/>
      <c r="U501" s="25"/>
      <c r="V501" s="25"/>
      <c r="W501" s="25"/>
      <c r="X501" s="25"/>
      <c r="Y501" s="25"/>
      <c r="Z501" s="25"/>
    </row>
    <row r="502" spans="1:26" ht="52.5" customHeight="1" x14ac:dyDescent="0.25">
      <c r="A502" s="25" t="str">
        <f ca="1">IFERROR(__xludf.DUMMYFUNCTION("""COMPUTED_VALUE"""),"Salud200")</f>
        <v>Salud200</v>
      </c>
      <c r="B502" s="25"/>
      <c r="C502" s="55"/>
      <c r="D502" s="25" t="str">
        <f ca="1">IFERROR(__xludf.DUMMYFUNCTION("""COMPUTED_VALUE"""),"Salud")</f>
        <v>Salud</v>
      </c>
      <c r="E502" s="25"/>
      <c r="F502" s="25"/>
      <c r="G502" s="25"/>
      <c r="H502" s="25"/>
      <c r="I502" s="25"/>
      <c r="J502" s="55"/>
      <c r="K502" s="25" t="str">
        <f ca="1">IFERROR(__xludf.DUMMYFUNCTION("""COMPUTED_VALUE"""),"Definir fecha")</f>
        <v>Definir fecha</v>
      </c>
      <c r="L502" s="62"/>
      <c r="M502" s="25"/>
      <c r="N502" s="25"/>
      <c r="O502" s="25">
        <f t="shared" si="0"/>
        <v>0</v>
      </c>
      <c r="P502" s="25" t="str">
        <f t="shared" si="2"/>
        <v/>
      </c>
      <c r="Q502" s="25" t="str">
        <f ca="1">IFERROR(__xludf.DUMMYFUNCTION("""COMPUTED_VALUE"""),"Sin defenir")</f>
        <v>Sin defenir</v>
      </c>
      <c r="R502" s="25"/>
      <c r="S502" s="55"/>
      <c r="T502" s="56"/>
      <c r="U502" s="25"/>
      <c r="V502" s="25"/>
      <c r="W502" s="25"/>
      <c r="X502" s="25"/>
      <c r="Y502" s="25"/>
      <c r="Z502" s="25"/>
    </row>
    <row r="503" spans="1:26" ht="52.5" customHeight="1" x14ac:dyDescent="0.25">
      <c r="A503" s="25" t="str">
        <f ca="1">IFERROR(__xludf.DUMMYFUNCTION("""COMPUTED_VALUE"""),"Salud201")</f>
        <v>Salud201</v>
      </c>
      <c r="B503" s="25"/>
      <c r="C503" s="55"/>
      <c r="D503" s="25" t="str">
        <f ca="1">IFERROR(__xludf.DUMMYFUNCTION("""COMPUTED_VALUE"""),"Salud")</f>
        <v>Salud</v>
      </c>
      <c r="E503" s="25"/>
      <c r="F503" s="25"/>
      <c r="G503" s="25"/>
      <c r="H503" s="25"/>
      <c r="I503" s="25"/>
      <c r="J503" s="55"/>
      <c r="K503" s="25" t="str">
        <f ca="1">IFERROR(__xludf.DUMMYFUNCTION("""COMPUTED_VALUE"""),"Definir fecha")</f>
        <v>Definir fecha</v>
      </c>
      <c r="L503" s="62"/>
      <c r="M503" s="25"/>
      <c r="N503" s="25"/>
      <c r="O503" s="25">
        <f t="shared" si="0"/>
        <v>0</v>
      </c>
      <c r="P503" s="25" t="str">
        <f t="shared" si="2"/>
        <v/>
      </c>
      <c r="Q503" s="25" t="str">
        <f ca="1">IFERROR(__xludf.DUMMYFUNCTION("""COMPUTED_VALUE"""),"Sin defenir")</f>
        <v>Sin defenir</v>
      </c>
      <c r="R503" s="25"/>
      <c r="S503" s="55"/>
      <c r="T503" s="56"/>
      <c r="U503" s="25"/>
      <c r="V503" s="25"/>
      <c r="W503" s="25"/>
      <c r="X503" s="25"/>
      <c r="Y503" s="25"/>
      <c r="Z503" s="25"/>
    </row>
    <row r="504" spans="1:26" ht="52.5" customHeight="1" x14ac:dyDescent="0.25">
      <c r="A504" s="25" t="str">
        <f ca="1">IFERROR(__xludf.DUMMYFUNCTION("""COMPUTED_VALUE"""),"Salud202")</f>
        <v>Salud202</v>
      </c>
      <c r="B504" s="25"/>
      <c r="C504" s="55"/>
      <c r="D504" s="25" t="str">
        <f ca="1">IFERROR(__xludf.DUMMYFUNCTION("""COMPUTED_VALUE"""),"Salud")</f>
        <v>Salud</v>
      </c>
      <c r="E504" s="25"/>
      <c r="F504" s="25"/>
      <c r="G504" s="25"/>
      <c r="H504" s="25"/>
      <c r="I504" s="25"/>
      <c r="J504" s="55"/>
      <c r="K504" s="25" t="str">
        <f ca="1">IFERROR(__xludf.DUMMYFUNCTION("""COMPUTED_VALUE"""),"Definir fecha")</f>
        <v>Definir fecha</v>
      </c>
      <c r="L504" s="62"/>
      <c r="M504" s="25"/>
      <c r="N504" s="25"/>
      <c r="O504" s="25">
        <f t="shared" si="0"/>
        <v>0</v>
      </c>
      <c r="P504" s="25" t="str">
        <f t="shared" si="2"/>
        <v/>
      </c>
      <c r="Q504" s="25" t="str">
        <f ca="1">IFERROR(__xludf.DUMMYFUNCTION("""COMPUTED_VALUE"""),"Sin defenir")</f>
        <v>Sin defenir</v>
      </c>
      <c r="R504" s="25"/>
      <c r="S504" s="55"/>
      <c r="T504" s="56"/>
      <c r="U504" s="25"/>
      <c r="V504" s="25"/>
      <c r="W504" s="25"/>
      <c r="X504" s="25"/>
      <c r="Y504" s="25"/>
      <c r="Z504" s="25"/>
    </row>
    <row r="505" spans="1:26" ht="52.5" customHeight="1" x14ac:dyDescent="0.25">
      <c r="A505" s="25" t="str">
        <f ca="1">IFERROR(__xludf.DUMMYFUNCTION("""COMPUTED_VALUE"""),"Salud203")</f>
        <v>Salud203</v>
      </c>
      <c r="B505" s="25"/>
      <c r="C505" s="55"/>
      <c r="D505" s="25" t="str">
        <f ca="1">IFERROR(__xludf.DUMMYFUNCTION("""COMPUTED_VALUE"""),"Salud")</f>
        <v>Salud</v>
      </c>
      <c r="E505" s="25"/>
      <c r="F505" s="25"/>
      <c r="G505" s="25"/>
      <c r="H505" s="25"/>
      <c r="I505" s="25"/>
      <c r="J505" s="55"/>
      <c r="K505" s="25" t="str">
        <f ca="1">IFERROR(__xludf.DUMMYFUNCTION("""COMPUTED_VALUE"""),"Definir fecha")</f>
        <v>Definir fecha</v>
      </c>
      <c r="L505" s="62"/>
      <c r="M505" s="25"/>
      <c r="N505" s="25"/>
      <c r="O505" s="25">
        <f t="shared" si="0"/>
        <v>0</v>
      </c>
      <c r="P505" s="25" t="str">
        <f t="shared" si="2"/>
        <v/>
      </c>
      <c r="Q505" s="25" t="str">
        <f ca="1">IFERROR(__xludf.DUMMYFUNCTION("""COMPUTED_VALUE"""),"Sin defenir")</f>
        <v>Sin defenir</v>
      </c>
      <c r="R505" s="25"/>
      <c r="S505" s="55"/>
      <c r="T505" s="56"/>
      <c r="U505" s="25"/>
      <c r="V505" s="25"/>
      <c r="W505" s="25"/>
      <c r="X505" s="25"/>
      <c r="Y505" s="25"/>
      <c r="Z505" s="25"/>
    </row>
    <row r="506" spans="1:26" ht="52.5" customHeight="1" x14ac:dyDescent="0.25">
      <c r="A506" s="25" t="str">
        <f ca="1">IFERROR(__xludf.DUMMYFUNCTION("""COMPUTED_VALUE"""),"Salud204")</f>
        <v>Salud204</v>
      </c>
      <c r="B506" s="25"/>
      <c r="C506" s="55"/>
      <c r="D506" s="25" t="str">
        <f ca="1">IFERROR(__xludf.DUMMYFUNCTION("""COMPUTED_VALUE"""),"Salud")</f>
        <v>Salud</v>
      </c>
      <c r="E506" s="25"/>
      <c r="F506" s="25"/>
      <c r="G506" s="25"/>
      <c r="H506" s="25"/>
      <c r="I506" s="25"/>
      <c r="J506" s="55"/>
      <c r="K506" s="25" t="str">
        <f ca="1">IFERROR(__xludf.DUMMYFUNCTION("""COMPUTED_VALUE"""),"Definir fecha")</f>
        <v>Definir fecha</v>
      </c>
      <c r="L506" s="62"/>
      <c r="M506" s="25"/>
      <c r="N506" s="25"/>
      <c r="O506" s="25">
        <f t="shared" si="0"/>
        <v>0</v>
      </c>
      <c r="P506" s="25" t="str">
        <f t="shared" si="2"/>
        <v/>
      </c>
      <c r="Q506" s="25" t="str">
        <f ca="1">IFERROR(__xludf.DUMMYFUNCTION("""COMPUTED_VALUE"""),"Sin defenir")</f>
        <v>Sin defenir</v>
      </c>
      <c r="R506" s="25"/>
      <c r="S506" s="55"/>
      <c r="T506" s="56"/>
      <c r="U506" s="25"/>
      <c r="V506" s="25"/>
      <c r="W506" s="25"/>
      <c r="X506" s="25"/>
      <c r="Y506" s="25"/>
      <c r="Z506" s="25"/>
    </row>
    <row r="507" spans="1:26" ht="52.5" customHeight="1" x14ac:dyDescent="0.25">
      <c r="A507" s="25" t="str">
        <f ca="1">IFERROR(__xludf.DUMMYFUNCTION("""COMPUTED_VALUE"""),"Salud205")</f>
        <v>Salud205</v>
      </c>
      <c r="B507" s="25"/>
      <c r="C507" s="55"/>
      <c r="D507" s="25" t="str">
        <f ca="1">IFERROR(__xludf.DUMMYFUNCTION("""COMPUTED_VALUE"""),"Salud")</f>
        <v>Salud</v>
      </c>
      <c r="E507" s="25"/>
      <c r="F507" s="25"/>
      <c r="G507" s="25"/>
      <c r="H507" s="25"/>
      <c r="I507" s="25"/>
      <c r="J507" s="55"/>
      <c r="K507" s="25" t="str">
        <f ca="1">IFERROR(__xludf.DUMMYFUNCTION("""COMPUTED_VALUE"""),"Definir fecha")</f>
        <v>Definir fecha</v>
      </c>
      <c r="L507" s="62"/>
      <c r="M507" s="25"/>
      <c r="N507" s="25"/>
      <c r="O507" s="25">
        <f t="shared" si="0"/>
        <v>0</v>
      </c>
      <c r="P507" s="25" t="str">
        <f t="shared" si="2"/>
        <v/>
      </c>
      <c r="Q507" s="25" t="str">
        <f ca="1">IFERROR(__xludf.DUMMYFUNCTION("""COMPUTED_VALUE"""),"Sin defenir")</f>
        <v>Sin defenir</v>
      </c>
      <c r="R507" s="25"/>
      <c r="S507" s="55"/>
      <c r="T507" s="56"/>
      <c r="U507" s="25"/>
      <c r="V507" s="25"/>
      <c r="W507" s="25"/>
      <c r="X507" s="25"/>
      <c r="Y507" s="25"/>
      <c r="Z507" s="25"/>
    </row>
    <row r="508" spans="1:26" ht="52.5" customHeight="1" x14ac:dyDescent="0.25">
      <c r="A508" s="25" t="str">
        <f ca="1">IFERROR(__xludf.DUMMYFUNCTION("""COMPUTED_VALUE"""),"Salud206")</f>
        <v>Salud206</v>
      </c>
      <c r="B508" s="25"/>
      <c r="C508" s="55"/>
      <c r="D508" s="25" t="str">
        <f ca="1">IFERROR(__xludf.DUMMYFUNCTION("""COMPUTED_VALUE"""),"Salud")</f>
        <v>Salud</v>
      </c>
      <c r="E508" s="25"/>
      <c r="F508" s="25"/>
      <c r="G508" s="25"/>
      <c r="H508" s="25"/>
      <c r="I508" s="25"/>
      <c r="J508" s="55"/>
      <c r="K508" s="25" t="str">
        <f ca="1">IFERROR(__xludf.DUMMYFUNCTION("""COMPUTED_VALUE"""),"Definir fecha")</f>
        <v>Definir fecha</v>
      </c>
      <c r="L508" s="62"/>
      <c r="M508" s="25"/>
      <c r="N508" s="25"/>
      <c r="O508" s="25">
        <f t="shared" si="0"/>
        <v>0</v>
      </c>
      <c r="P508" s="25" t="str">
        <f t="shared" si="2"/>
        <v/>
      </c>
      <c r="Q508" s="25" t="str">
        <f ca="1">IFERROR(__xludf.DUMMYFUNCTION("""COMPUTED_VALUE"""),"Sin defenir")</f>
        <v>Sin defenir</v>
      </c>
      <c r="R508" s="25"/>
      <c r="S508" s="55"/>
      <c r="T508" s="56"/>
      <c r="U508" s="25"/>
      <c r="V508" s="25"/>
      <c r="W508" s="25"/>
      <c r="X508" s="25"/>
      <c r="Y508" s="25"/>
      <c r="Z508" s="25"/>
    </row>
    <row r="509" spans="1:26" ht="52.5" customHeight="1" x14ac:dyDescent="0.25">
      <c r="A509" s="25" t="str">
        <f ca="1">IFERROR(__xludf.DUMMYFUNCTION("""COMPUTED_VALUE"""),"Salud207")</f>
        <v>Salud207</v>
      </c>
      <c r="B509" s="25"/>
      <c r="C509" s="55"/>
      <c r="D509" s="25" t="str">
        <f ca="1">IFERROR(__xludf.DUMMYFUNCTION("""COMPUTED_VALUE"""),"Salud")</f>
        <v>Salud</v>
      </c>
      <c r="E509" s="25"/>
      <c r="F509" s="25"/>
      <c r="G509" s="25"/>
      <c r="H509" s="25"/>
      <c r="I509" s="25"/>
      <c r="J509" s="55"/>
      <c r="K509" s="25" t="str">
        <f ca="1">IFERROR(__xludf.DUMMYFUNCTION("""COMPUTED_VALUE"""),"Definir fecha")</f>
        <v>Definir fecha</v>
      </c>
      <c r="L509" s="62"/>
      <c r="M509" s="25"/>
      <c r="N509" s="25"/>
      <c r="O509" s="25">
        <f t="shared" si="0"/>
        <v>0</v>
      </c>
      <c r="P509" s="25" t="str">
        <f t="shared" si="2"/>
        <v/>
      </c>
      <c r="Q509" s="25" t="str">
        <f ca="1">IFERROR(__xludf.DUMMYFUNCTION("""COMPUTED_VALUE"""),"Sin defenir")</f>
        <v>Sin defenir</v>
      </c>
      <c r="R509" s="25"/>
      <c r="S509" s="55"/>
      <c r="T509" s="56"/>
      <c r="U509" s="25"/>
      <c r="V509" s="25"/>
      <c r="W509" s="25"/>
      <c r="X509" s="25"/>
      <c r="Y509" s="25"/>
      <c r="Z509" s="25"/>
    </row>
    <row r="510" spans="1:26" ht="52.5" customHeight="1" x14ac:dyDescent="0.25">
      <c r="A510" s="25" t="str">
        <f ca="1">IFERROR(__xludf.DUMMYFUNCTION("""COMPUTED_VALUE"""),"Salud208")</f>
        <v>Salud208</v>
      </c>
      <c r="B510" s="25"/>
      <c r="C510" s="55"/>
      <c r="D510" s="25" t="str">
        <f ca="1">IFERROR(__xludf.DUMMYFUNCTION("""COMPUTED_VALUE"""),"Salud")</f>
        <v>Salud</v>
      </c>
      <c r="E510" s="25"/>
      <c r="F510" s="25"/>
      <c r="G510" s="25"/>
      <c r="H510" s="25"/>
      <c r="I510" s="25"/>
      <c r="J510" s="55"/>
      <c r="K510" s="25" t="str">
        <f ca="1">IFERROR(__xludf.DUMMYFUNCTION("""COMPUTED_VALUE"""),"Definir fecha")</f>
        <v>Definir fecha</v>
      </c>
      <c r="L510" s="62"/>
      <c r="M510" s="25"/>
      <c r="N510" s="25"/>
      <c r="O510" s="25">
        <f t="shared" si="0"/>
        <v>0</v>
      </c>
      <c r="P510" s="25" t="str">
        <f t="shared" si="2"/>
        <v/>
      </c>
      <c r="Q510" s="25" t="str">
        <f ca="1">IFERROR(__xludf.DUMMYFUNCTION("""COMPUTED_VALUE"""),"Sin defenir")</f>
        <v>Sin defenir</v>
      </c>
      <c r="R510" s="25"/>
      <c r="S510" s="55"/>
      <c r="T510" s="56"/>
      <c r="U510" s="25"/>
      <c r="V510" s="25"/>
      <c r="W510" s="25"/>
      <c r="X510" s="25"/>
      <c r="Y510" s="25"/>
      <c r="Z510" s="25"/>
    </row>
    <row r="511" spans="1:26" ht="52.5" customHeight="1" x14ac:dyDescent="0.25">
      <c r="A511" s="25" t="str">
        <f ca="1">IFERROR(__xludf.DUMMYFUNCTION("""COMPUTED_VALUE"""),"Salud209")</f>
        <v>Salud209</v>
      </c>
      <c r="B511" s="25"/>
      <c r="C511" s="55"/>
      <c r="D511" s="25" t="str">
        <f ca="1">IFERROR(__xludf.DUMMYFUNCTION("""COMPUTED_VALUE"""),"Salud")</f>
        <v>Salud</v>
      </c>
      <c r="E511" s="25"/>
      <c r="F511" s="25"/>
      <c r="G511" s="25"/>
      <c r="H511" s="25"/>
      <c r="I511" s="25"/>
      <c r="J511" s="55"/>
      <c r="K511" s="25" t="str">
        <f ca="1">IFERROR(__xludf.DUMMYFUNCTION("""COMPUTED_VALUE"""),"Definir fecha")</f>
        <v>Definir fecha</v>
      </c>
      <c r="L511" s="62"/>
      <c r="M511" s="25"/>
      <c r="N511" s="25"/>
      <c r="O511" s="25">
        <f t="shared" si="0"/>
        <v>0</v>
      </c>
      <c r="P511" s="25" t="str">
        <f t="shared" si="2"/>
        <v/>
      </c>
      <c r="Q511" s="25" t="str">
        <f ca="1">IFERROR(__xludf.DUMMYFUNCTION("""COMPUTED_VALUE"""),"Sin defenir")</f>
        <v>Sin defenir</v>
      </c>
      <c r="R511" s="25"/>
      <c r="S511" s="55"/>
      <c r="T511" s="56"/>
      <c r="U511" s="25"/>
      <c r="V511" s="25"/>
      <c r="W511" s="25"/>
      <c r="X511" s="25"/>
      <c r="Y511" s="25"/>
      <c r="Z511" s="25"/>
    </row>
    <row r="512" spans="1:26" ht="52.5" customHeight="1" x14ac:dyDescent="0.25">
      <c r="A512" s="25" t="str">
        <f ca="1">IFERROR(__xludf.DUMMYFUNCTION("""COMPUTED_VALUE"""),"Salud210")</f>
        <v>Salud210</v>
      </c>
      <c r="B512" s="25"/>
      <c r="C512" s="55"/>
      <c r="D512" s="25" t="str">
        <f ca="1">IFERROR(__xludf.DUMMYFUNCTION("""COMPUTED_VALUE"""),"Salud")</f>
        <v>Salud</v>
      </c>
      <c r="E512" s="25"/>
      <c r="F512" s="25"/>
      <c r="G512" s="25"/>
      <c r="H512" s="25"/>
      <c r="I512" s="25"/>
      <c r="J512" s="55"/>
      <c r="K512" s="25" t="str">
        <f ca="1">IFERROR(__xludf.DUMMYFUNCTION("""COMPUTED_VALUE"""),"Definir fecha")</f>
        <v>Definir fecha</v>
      </c>
      <c r="L512" s="62"/>
      <c r="M512" s="25"/>
      <c r="N512" s="25"/>
      <c r="O512" s="25">
        <f t="shared" si="0"/>
        <v>0</v>
      </c>
      <c r="P512" s="25" t="str">
        <f t="shared" si="2"/>
        <v/>
      </c>
      <c r="Q512" s="25" t="str">
        <f ca="1">IFERROR(__xludf.DUMMYFUNCTION("""COMPUTED_VALUE"""),"Sin defenir")</f>
        <v>Sin defenir</v>
      </c>
      <c r="R512" s="25"/>
      <c r="S512" s="55"/>
      <c r="T512" s="56"/>
      <c r="U512" s="25"/>
      <c r="V512" s="25"/>
      <c r="W512" s="25"/>
      <c r="X512" s="25"/>
      <c r="Y512" s="25"/>
      <c r="Z512" s="25"/>
    </row>
    <row r="513" spans="1:26" ht="52.5" customHeight="1" x14ac:dyDescent="0.25">
      <c r="A513" s="25" t="str">
        <f ca="1">IFERROR(__xludf.DUMMYFUNCTION("""COMPUTED_VALUE"""),"Salud211")</f>
        <v>Salud211</v>
      </c>
      <c r="B513" s="25"/>
      <c r="C513" s="55"/>
      <c r="D513" s="25" t="str">
        <f ca="1">IFERROR(__xludf.DUMMYFUNCTION("""COMPUTED_VALUE"""),"Salud")</f>
        <v>Salud</v>
      </c>
      <c r="E513" s="25"/>
      <c r="F513" s="25"/>
      <c r="G513" s="25"/>
      <c r="H513" s="25"/>
      <c r="I513" s="25"/>
      <c r="J513" s="55"/>
      <c r="K513" s="25" t="str">
        <f ca="1">IFERROR(__xludf.DUMMYFUNCTION("""COMPUTED_VALUE"""),"Definir fecha")</f>
        <v>Definir fecha</v>
      </c>
      <c r="L513" s="62"/>
      <c r="M513" s="25"/>
      <c r="N513" s="25"/>
      <c r="O513" s="25">
        <f t="shared" si="0"/>
        <v>0</v>
      </c>
      <c r="P513" s="25" t="str">
        <f t="shared" si="2"/>
        <v/>
      </c>
      <c r="Q513" s="25" t="str">
        <f ca="1">IFERROR(__xludf.DUMMYFUNCTION("""COMPUTED_VALUE"""),"Sin defenir")</f>
        <v>Sin defenir</v>
      </c>
      <c r="R513" s="25"/>
      <c r="S513" s="55"/>
      <c r="T513" s="56"/>
      <c r="U513" s="25"/>
      <c r="V513" s="25"/>
      <c r="W513" s="25"/>
      <c r="X513" s="25"/>
      <c r="Y513" s="25"/>
      <c r="Z513" s="25"/>
    </row>
    <row r="514" spans="1:26" ht="52.5" customHeight="1" x14ac:dyDescent="0.25">
      <c r="A514" s="25" t="str">
        <f ca="1">IFERROR(__xludf.DUMMYFUNCTION("""COMPUTED_VALUE"""),"Salud212")</f>
        <v>Salud212</v>
      </c>
      <c r="B514" s="25"/>
      <c r="C514" s="55"/>
      <c r="D514" s="25" t="str">
        <f ca="1">IFERROR(__xludf.DUMMYFUNCTION("""COMPUTED_VALUE"""),"Salud")</f>
        <v>Salud</v>
      </c>
      <c r="E514" s="25"/>
      <c r="F514" s="25"/>
      <c r="G514" s="25"/>
      <c r="H514" s="25"/>
      <c r="I514" s="25"/>
      <c r="J514" s="55"/>
      <c r="K514" s="25" t="str">
        <f ca="1">IFERROR(__xludf.DUMMYFUNCTION("""COMPUTED_VALUE"""),"Definir fecha")</f>
        <v>Definir fecha</v>
      </c>
      <c r="L514" s="62"/>
      <c r="M514" s="25"/>
      <c r="N514" s="25"/>
      <c r="O514" s="25">
        <f t="shared" si="0"/>
        <v>0</v>
      </c>
      <c r="P514" s="25" t="str">
        <f t="shared" si="2"/>
        <v/>
      </c>
      <c r="Q514" s="25" t="str">
        <f ca="1">IFERROR(__xludf.DUMMYFUNCTION("""COMPUTED_VALUE"""),"Sin defenir")</f>
        <v>Sin defenir</v>
      </c>
      <c r="R514" s="25"/>
      <c r="S514" s="55"/>
      <c r="T514" s="56"/>
      <c r="U514" s="25"/>
      <c r="V514" s="25"/>
      <c r="W514" s="25"/>
      <c r="X514" s="25"/>
      <c r="Y514" s="25"/>
      <c r="Z514" s="25"/>
    </row>
    <row r="515" spans="1:26" ht="52.5" customHeight="1" x14ac:dyDescent="0.25">
      <c r="A515" s="25" t="str">
        <f ca="1">IFERROR(__xludf.DUMMYFUNCTION("""COMPUTED_VALUE"""),"Salud213")</f>
        <v>Salud213</v>
      </c>
      <c r="B515" s="25"/>
      <c r="C515" s="55"/>
      <c r="D515" s="25" t="str">
        <f ca="1">IFERROR(__xludf.DUMMYFUNCTION("""COMPUTED_VALUE"""),"Salud")</f>
        <v>Salud</v>
      </c>
      <c r="E515" s="25"/>
      <c r="F515" s="25"/>
      <c r="G515" s="25"/>
      <c r="H515" s="25"/>
      <c r="I515" s="25"/>
      <c r="J515" s="55"/>
      <c r="K515" s="25" t="str">
        <f ca="1">IFERROR(__xludf.DUMMYFUNCTION("""COMPUTED_VALUE"""),"Definir fecha")</f>
        <v>Definir fecha</v>
      </c>
      <c r="L515" s="62"/>
      <c r="M515" s="25"/>
      <c r="N515" s="25"/>
      <c r="O515" s="25">
        <f t="shared" si="0"/>
        <v>0</v>
      </c>
      <c r="P515" s="25" t="str">
        <f t="shared" si="2"/>
        <v/>
      </c>
      <c r="Q515" s="25" t="str">
        <f ca="1">IFERROR(__xludf.DUMMYFUNCTION("""COMPUTED_VALUE"""),"Sin defenir")</f>
        <v>Sin defenir</v>
      </c>
      <c r="R515" s="25"/>
      <c r="S515" s="55"/>
      <c r="T515" s="56"/>
      <c r="U515" s="25"/>
      <c r="V515" s="25"/>
      <c r="W515" s="25"/>
      <c r="X515" s="25"/>
      <c r="Y515" s="25"/>
      <c r="Z515" s="25"/>
    </row>
    <row r="516" spans="1:26" ht="52.5" customHeight="1" x14ac:dyDescent="0.25">
      <c r="A516" s="25" t="str">
        <f ca="1">IFERROR(__xludf.DUMMYFUNCTION("""COMPUTED_VALUE"""),"Salud214")</f>
        <v>Salud214</v>
      </c>
      <c r="B516" s="25"/>
      <c r="C516" s="55"/>
      <c r="D516" s="25" t="str">
        <f ca="1">IFERROR(__xludf.DUMMYFUNCTION("""COMPUTED_VALUE"""),"Salud")</f>
        <v>Salud</v>
      </c>
      <c r="E516" s="25"/>
      <c r="F516" s="25"/>
      <c r="G516" s="25"/>
      <c r="H516" s="25"/>
      <c r="I516" s="25"/>
      <c r="J516" s="55"/>
      <c r="K516" s="25" t="str">
        <f ca="1">IFERROR(__xludf.DUMMYFUNCTION("""COMPUTED_VALUE"""),"Definir fecha")</f>
        <v>Definir fecha</v>
      </c>
      <c r="L516" s="62"/>
      <c r="M516" s="25"/>
      <c r="N516" s="25"/>
      <c r="O516" s="25">
        <f t="shared" si="0"/>
        <v>0</v>
      </c>
      <c r="P516" s="25" t="str">
        <f t="shared" si="2"/>
        <v/>
      </c>
      <c r="Q516" s="25" t="str">
        <f ca="1">IFERROR(__xludf.DUMMYFUNCTION("""COMPUTED_VALUE"""),"Sin defenir")</f>
        <v>Sin defenir</v>
      </c>
      <c r="R516" s="25"/>
      <c r="S516" s="55"/>
      <c r="T516" s="56"/>
      <c r="U516" s="25"/>
      <c r="V516" s="25"/>
      <c r="W516" s="25"/>
      <c r="X516" s="25"/>
      <c r="Y516" s="25"/>
      <c r="Z516" s="25"/>
    </row>
    <row r="517" spans="1:26" ht="52.5" customHeight="1" x14ac:dyDescent="0.25">
      <c r="A517" s="25" t="str">
        <f ca="1">IFERROR(__xludf.DUMMYFUNCTION("""COMPUTED_VALUE"""),"Salud215")</f>
        <v>Salud215</v>
      </c>
      <c r="B517" s="25"/>
      <c r="C517" s="55"/>
      <c r="D517" s="25" t="str">
        <f ca="1">IFERROR(__xludf.DUMMYFUNCTION("""COMPUTED_VALUE"""),"Salud")</f>
        <v>Salud</v>
      </c>
      <c r="E517" s="25"/>
      <c r="F517" s="25"/>
      <c r="G517" s="25"/>
      <c r="H517" s="25"/>
      <c r="I517" s="25"/>
      <c r="J517" s="55"/>
      <c r="K517" s="25" t="str">
        <f ca="1">IFERROR(__xludf.DUMMYFUNCTION("""COMPUTED_VALUE"""),"Definir fecha")</f>
        <v>Definir fecha</v>
      </c>
      <c r="L517" s="62"/>
      <c r="M517" s="25"/>
      <c r="N517" s="25"/>
      <c r="O517" s="25">
        <f t="shared" si="0"/>
        <v>0</v>
      </c>
      <c r="P517" s="25" t="str">
        <f t="shared" si="2"/>
        <v/>
      </c>
      <c r="Q517" s="25" t="str">
        <f ca="1">IFERROR(__xludf.DUMMYFUNCTION("""COMPUTED_VALUE"""),"Sin defenir")</f>
        <v>Sin defenir</v>
      </c>
      <c r="R517" s="25"/>
      <c r="S517" s="55"/>
      <c r="T517" s="56"/>
      <c r="U517" s="25"/>
      <c r="V517" s="25"/>
      <c r="W517" s="25"/>
      <c r="X517" s="25"/>
      <c r="Y517" s="25"/>
      <c r="Z517" s="25"/>
    </row>
    <row r="518" spans="1:26" ht="52.5" customHeight="1" x14ac:dyDescent="0.25">
      <c r="A518" s="25" t="str">
        <f ca="1">IFERROR(__xludf.DUMMYFUNCTION("""COMPUTED_VALUE"""),"Salud216")</f>
        <v>Salud216</v>
      </c>
      <c r="B518" s="25"/>
      <c r="C518" s="55"/>
      <c r="D518" s="25" t="str">
        <f ca="1">IFERROR(__xludf.DUMMYFUNCTION("""COMPUTED_VALUE"""),"Salud")</f>
        <v>Salud</v>
      </c>
      <c r="E518" s="25"/>
      <c r="F518" s="25"/>
      <c r="G518" s="25"/>
      <c r="H518" s="25"/>
      <c r="I518" s="25"/>
      <c r="J518" s="55"/>
      <c r="K518" s="25" t="str">
        <f ca="1">IFERROR(__xludf.DUMMYFUNCTION("""COMPUTED_VALUE"""),"Definir fecha")</f>
        <v>Definir fecha</v>
      </c>
      <c r="L518" s="62"/>
      <c r="M518" s="25"/>
      <c r="N518" s="25"/>
      <c r="O518" s="25">
        <f t="shared" si="0"/>
        <v>0</v>
      </c>
      <c r="P518" s="25" t="str">
        <f t="shared" si="2"/>
        <v/>
      </c>
      <c r="Q518" s="25" t="str">
        <f ca="1">IFERROR(__xludf.DUMMYFUNCTION("""COMPUTED_VALUE"""),"Sin defenir")</f>
        <v>Sin defenir</v>
      </c>
      <c r="R518" s="25"/>
      <c r="S518" s="55"/>
      <c r="T518" s="56"/>
      <c r="U518" s="25"/>
      <c r="V518" s="25"/>
      <c r="W518" s="25"/>
      <c r="X518" s="25"/>
      <c r="Y518" s="25"/>
      <c r="Z518" s="25"/>
    </row>
    <row r="519" spans="1:26" ht="52.5" customHeight="1" x14ac:dyDescent="0.25">
      <c r="A519" s="25" t="str">
        <f ca="1">IFERROR(__xludf.DUMMYFUNCTION("""COMPUTED_VALUE"""),"Salud217")</f>
        <v>Salud217</v>
      </c>
      <c r="B519" s="25"/>
      <c r="C519" s="55"/>
      <c r="D519" s="25" t="str">
        <f ca="1">IFERROR(__xludf.DUMMYFUNCTION("""COMPUTED_VALUE"""),"Salud")</f>
        <v>Salud</v>
      </c>
      <c r="E519" s="25"/>
      <c r="F519" s="25"/>
      <c r="G519" s="25"/>
      <c r="H519" s="25"/>
      <c r="I519" s="25"/>
      <c r="J519" s="55"/>
      <c r="K519" s="25" t="str">
        <f ca="1">IFERROR(__xludf.DUMMYFUNCTION("""COMPUTED_VALUE"""),"Definir fecha")</f>
        <v>Definir fecha</v>
      </c>
      <c r="L519" s="62"/>
      <c r="M519" s="25"/>
      <c r="N519" s="25"/>
      <c r="O519" s="25">
        <f t="shared" si="0"/>
        <v>0</v>
      </c>
      <c r="P519" s="25" t="str">
        <f t="shared" si="2"/>
        <v/>
      </c>
      <c r="Q519" s="25" t="str">
        <f ca="1">IFERROR(__xludf.DUMMYFUNCTION("""COMPUTED_VALUE"""),"Sin defenir")</f>
        <v>Sin defenir</v>
      </c>
      <c r="R519" s="25"/>
      <c r="S519" s="55"/>
      <c r="T519" s="56"/>
      <c r="U519" s="25"/>
      <c r="V519" s="25"/>
      <c r="W519" s="25"/>
      <c r="X519" s="25"/>
      <c r="Y519" s="25"/>
      <c r="Z519" s="25"/>
    </row>
    <row r="520" spans="1:26" ht="52.5" customHeight="1" x14ac:dyDescent="0.25">
      <c r="A520" s="25" t="str">
        <f ca="1">IFERROR(__xludf.DUMMYFUNCTION("""COMPUTED_VALUE"""),"Salud218")</f>
        <v>Salud218</v>
      </c>
      <c r="B520" s="25"/>
      <c r="C520" s="55"/>
      <c r="D520" s="25" t="str">
        <f ca="1">IFERROR(__xludf.DUMMYFUNCTION("""COMPUTED_VALUE"""),"Salud")</f>
        <v>Salud</v>
      </c>
      <c r="E520" s="25"/>
      <c r="F520" s="25"/>
      <c r="G520" s="25"/>
      <c r="H520" s="25"/>
      <c r="I520" s="25"/>
      <c r="J520" s="55"/>
      <c r="K520" s="25" t="str">
        <f ca="1">IFERROR(__xludf.DUMMYFUNCTION("""COMPUTED_VALUE"""),"Definir fecha")</f>
        <v>Definir fecha</v>
      </c>
      <c r="L520" s="62"/>
      <c r="M520" s="25"/>
      <c r="N520" s="25"/>
      <c r="O520" s="25">
        <f t="shared" si="0"/>
        <v>0</v>
      </c>
      <c r="P520" s="25" t="str">
        <f t="shared" si="2"/>
        <v/>
      </c>
      <c r="Q520" s="25" t="str">
        <f ca="1">IFERROR(__xludf.DUMMYFUNCTION("""COMPUTED_VALUE"""),"Sin defenir")</f>
        <v>Sin defenir</v>
      </c>
      <c r="R520" s="25"/>
      <c r="S520" s="55"/>
      <c r="T520" s="56"/>
      <c r="U520" s="25"/>
      <c r="V520" s="25"/>
      <c r="W520" s="25"/>
      <c r="X520" s="25"/>
      <c r="Y520" s="25"/>
      <c r="Z520" s="25"/>
    </row>
    <row r="521" spans="1:26" ht="52.5" customHeight="1" x14ac:dyDescent="0.25">
      <c r="A521" s="25" t="str">
        <f ca="1">IFERROR(__xludf.DUMMYFUNCTION("""COMPUTED_VALUE"""),"Salud219")</f>
        <v>Salud219</v>
      </c>
      <c r="B521" s="25"/>
      <c r="C521" s="55"/>
      <c r="D521" s="25" t="str">
        <f ca="1">IFERROR(__xludf.DUMMYFUNCTION("""COMPUTED_VALUE"""),"Salud")</f>
        <v>Salud</v>
      </c>
      <c r="E521" s="25"/>
      <c r="F521" s="25"/>
      <c r="G521" s="25"/>
      <c r="H521" s="25"/>
      <c r="I521" s="25"/>
      <c r="J521" s="55"/>
      <c r="K521" s="25" t="str">
        <f ca="1">IFERROR(__xludf.DUMMYFUNCTION("""COMPUTED_VALUE"""),"Definir fecha")</f>
        <v>Definir fecha</v>
      </c>
      <c r="L521" s="62"/>
      <c r="M521" s="25"/>
      <c r="N521" s="25"/>
      <c r="O521" s="25">
        <f t="shared" si="0"/>
        <v>0</v>
      </c>
      <c r="P521" s="25" t="str">
        <f t="shared" si="2"/>
        <v/>
      </c>
      <c r="Q521" s="25" t="str">
        <f ca="1">IFERROR(__xludf.DUMMYFUNCTION("""COMPUTED_VALUE"""),"Sin defenir")</f>
        <v>Sin defenir</v>
      </c>
      <c r="R521" s="25"/>
      <c r="S521" s="55"/>
      <c r="T521" s="56"/>
      <c r="U521" s="25"/>
      <c r="V521" s="25"/>
      <c r="W521" s="25"/>
      <c r="X521" s="25"/>
      <c r="Y521" s="25"/>
      <c r="Z521" s="25"/>
    </row>
    <row r="522" spans="1:26" ht="52.5" customHeight="1" x14ac:dyDescent="0.25">
      <c r="A522" s="25" t="str">
        <f ca="1">IFERROR(__xludf.DUMMYFUNCTION("""COMPUTED_VALUE"""),"Salud220")</f>
        <v>Salud220</v>
      </c>
      <c r="B522" s="25"/>
      <c r="C522" s="55"/>
      <c r="D522" s="25" t="str">
        <f ca="1">IFERROR(__xludf.DUMMYFUNCTION("""COMPUTED_VALUE"""),"Salud")</f>
        <v>Salud</v>
      </c>
      <c r="E522" s="25"/>
      <c r="F522" s="25"/>
      <c r="G522" s="25"/>
      <c r="H522" s="25"/>
      <c r="I522" s="25"/>
      <c r="J522" s="55"/>
      <c r="K522" s="25" t="str">
        <f ca="1">IFERROR(__xludf.DUMMYFUNCTION("""COMPUTED_VALUE"""),"Definir fecha")</f>
        <v>Definir fecha</v>
      </c>
      <c r="L522" s="62"/>
      <c r="M522" s="25"/>
      <c r="N522" s="25"/>
      <c r="O522" s="25">
        <f t="shared" si="0"/>
        <v>0</v>
      </c>
      <c r="P522" s="25" t="str">
        <f t="shared" si="2"/>
        <v/>
      </c>
      <c r="Q522" s="25" t="str">
        <f ca="1">IFERROR(__xludf.DUMMYFUNCTION("""COMPUTED_VALUE"""),"Sin defenir")</f>
        <v>Sin defenir</v>
      </c>
      <c r="R522" s="25"/>
      <c r="S522" s="55"/>
      <c r="T522" s="56"/>
      <c r="U522" s="25"/>
      <c r="V522" s="25"/>
      <c r="W522" s="25"/>
      <c r="X522" s="25"/>
      <c r="Y522" s="25"/>
      <c r="Z522" s="25"/>
    </row>
    <row r="523" spans="1:26" ht="52.5" customHeight="1" x14ac:dyDescent="0.25">
      <c r="A523" s="25" t="str">
        <f ca="1">IFERROR(__xludf.DUMMYFUNCTION("""COMPUTED_VALUE"""),"Salud221")</f>
        <v>Salud221</v>
      </c>
      <c r="B523" s="25"/>
      <c r="C523" s="55"/>
      <c r="D523" s="25" t="str">
        <f ca="1">IFERROR(__xludf.DUMMYFUNCTION("""COMPUTED_VALUE"""),"Salud")</f>
        <v>Salud</v>
      </c>
      <c r="E523" s="25"/>
      <c r="F523" s="25"/>
      <c r="G523" s="25"/>
      <c r="H523" s="25"/>
      <c r="I523" s="25"/>
      <c r="J523" s="55"/>
      <c r="K523" s="25" t="str">
        <f ca="1">IFERROR(__xludf.DUMMYFUNCTION("""COMPUTED_VALUE"""),"Definir fecha")</f>
        <v>Definir fecha</v>
      </c>
      <c r="L523" s="62"/>
      <c r="M523" s="25"/>
      <c r="N523" s="25"/>
      <c r="O523" s="25">
        <f t="shared" si="0"/>
        <v>0</v>
      </c>
      <c r="P523" s="25" t="str">
        <f t="shared" si="2"/>
        <v/>
      </c>
      <c r="Q523" s="25" t="str">
        <f ca="1">IFERROR(__xludf.DUMMYFUNCTION("""COMPUTED_VALUE"""),"Sin defenir")</f>
        <v>Sin defenir</v>
      </c>
      <c r="R523" s="25"/>
      <c r="S523" s="55"/>
      <c r="T523" s="56"/>
      <c r="U523" s="25"/>
      <c r="V523" s="25"/>
      <c r="W523" s="25"/>
      <c r="X523" s="25"/>
      <c r="Y523" s="25"/>
      <c r="Z523" s="25"/>
    </row>
    <row r="524" spans="1:26" ht="52.5" customHeight="1" x14ac:dyDescent="0.25">
      <c r="A524" s="25" t="str">
        <f ca="1">IFERROR(__xludf.DUMMYFUNCTION("""COMPUTED_VALUE"""),"Salud222")</f>
        <v>Salud222</v>
      </c>
      <c r="B524" s="25"/>
      <c r="C524" s="55"/>
      <c r="D524" s="25" t="str">
        <f ca="1">IFERROR(__xludf.DUMMYFUNCTION("""COMPUTED_VALUE"""),"Salud")</f>
        <v>Salud</v>
      </c>
      <c r="E524" s="25"/>
      <c r="F524" s="25"/>
      <c r="G524" s="25"/>
      <c r="H524" s="25"/>
      <c r="I524" s="25"/>
      <c r="J524" s="55"/>
      <c r="K524" s="25" t="str">
        <f ca="1">IFERROR(__xludf.DUMMYFUNCTION("""COMPUTED_VALUE"""),"Definir fecha")</f>
        <v>Definir fecha</v>
      </c>
      <c r="L524" s="62"/>
      <c r="M524" s="25"/>
      <c r="N524" s="25"/>
      <c r="O524" s="25">
        <f t="shared" si="0"/>
        <v>0</v>
      </c>
      <c r="P524" s="25" t="str">
        <f t="shared" si="2"/>
        <v/>
      </c>
      <c r="Q524" s="25" t="str">
        <f ca="1">IFERROR(__xludf.DUMMYFUNCTION("""COMPUTED_VALUE"""),"Sin defenir")</f>
        <v>Sin defenir</v>
      </c>
      <c r="R524" s="25"/>
      <c r="S524" s="55"/>
      <c r="T524" s="56"/>
      <c r="U524" s="25"/>
      <c r="V524" s="25"/>
      <c r="W524" s="25"/>
      <c r="X524" s="25"/>
      <c r="Y524" s="25"/>
      <c r="Z524" s="25"/>
    </row>
    <row r="525" spans="1:26" ht="52.5" customHeight="1" x14ac:dyDescent="0.25">
      <c r="A525" s="25" t="str">
        <f ca="1">IFERROR(__xludf.DUMMYFUNCTION("""COMPUTED_VALUE"""),"Salud223")</f>
        <v>Salud223</v>
      </c>
      <c r="B525" s="25"/>
      <c r="C525" s="55"/>
      <c r="D525" s="25" t="str">
        <f ca="1">IFERROR(__xludf.DUMMYFUNCTION("""COMPUTED_VALUE"""),"Salud")</f>
        <v>Salud</v>
      </c>
      <c r="E525" s="25"/>
      <c r="F525" s="25"/>
      <c r="G525" s="25"/>
      <c r="H525" s="25"/>
      <c r="I525" s="25"/>
      <c r="J525" s="55"/>
      <c r="K525" s="25" t="str">
        <f ca="1">IFERROR(__xludf.DUMMYFUNCTION("""COMPUTED_VALUE"""),"Definir fecha")</f>
        <v>Definir fecha</v>
      </c>
      <c r="L525" s="62"/>
      <c r="M525" s="25"/>
      <c r="N525" s="25"/>
      <c r="O525" s="25">
        <f t="shared" si="0"/>
        <v>0</v>
      </c>
      <c r="P525" s="25" t="str">
        <f t="shared" si="2"/>
        <v/>
      </c>
      <c r="Q525" s="25" t="str">
        <f ca="1">IFERROR(__xludf.DUMMYFUNCTION("""COMPUTED_VALUE"""),"Sin defenir")</f>
        <v>Sin defenir</v>
      </c>
      <c r="R525" s="25"/>
      <c r="S525" s="55"/>
      <c r="T525" s="56"/>
      <c r="U525" s="25"/>
      <c r="V525" s="25"/>
      <c r="W525" s="25"/>
      <c r="X525" s="25"/>
      <c r="Y525" s="25"/>
      <c r="Z525" s="25"/>
    </row>
    <row r="526" spans="1:26" ht="52.5" customHeight="1" x14ac:dyDescent="0.25">
      <c r="A526" s="25" t="str">
        <f ca="1">IFERROR(__xludf.DUMMYFUNCTION("""COMPUTED_VALUE"""),"Salud224")</f>
        <v>Salud224</v>
      </c>
      <c r="B526" s="25"/>
      <c r="C526" s="55"/>
      <c r="D526" s="25" t="str">
        <f ca="1">IFERROR(__xludf.DUMMYFUNCTION("""COMPUTED_VALUE"""),"Salud")</f>
        <v>Salud</v>
      </c>
      <c r="E526" s="25"/>
      <c r="F526" s="25"/>
      <c r="G526" s="25"/>
      <c r="H526" s="25"/>
      <c r="I526" s="25"/>
      <c r="J526" s="55"/>
      <c r="K526" s="25" t="str">
        <f ca="1">IFERROR(__xludf.DUMMYFUNCTION("""COMPUTED_VALUE"""),"Definir fecha")</f>
        <v>Definir fecha</v>
      </c>
      <c r="L526" s="62"/>
      <c r="M526" s="25"/>
      <c r="N526" s="25"/>
      <c r="O526" s="25">
        <f t="shared" si="0"/>
        <v>0</v>
      </c>
      <c r="P526" s="25" t="str">
        <f t="shared" si="2"/>
        <v/>
      </c>
      <c r="Q526" s="25" t="str">
        <f ca="1">IFERROR(__xludf.DUMMYFUNCTION("""COMPUTED_VALUE"""),"Sin defenir")</f>
        <v>Sin defenir</v>
      </c>
      <c r="R526" s="25"/>
      <c r="S526" s="55"/>
      <c r="T526" s="56"/>
      <c r="U526" s="25"/>
      <c r="V526" s="25"/>
      <c r="W526" s="25"/>
      <c r="X526" s="25"/>
      <c r="Y526" s="25"/>
      <c r="Z526" s="25"/>
    </row>
    <row r="527" spans="1:26" ht="52.5" customHeight="1" x14ac:dyDescent="0.25">
      <c r="A527" s="25" t="str">
        <f ca="1">IFERROR(__xludf.DUMMYFUNCTION("""COMPUTED_VALUE"""),"Salud225")</f>
        <v>Salud225</v>
      </c>
      <c r="B527" s="25"/>
      <c r="C527" s="55"/>
      <c r="D527" s="25" t="str">
        <f ca="1">IFERROR(__xludf.DUMMYFUNCTION("""COMPUTED_VALUE"""),"Salud")</f>
        <v>Salud</v>
      </c>
      <c r="E527" s="25"/>
      <c r="F527" s="25"/>
      <c r="G527" s="25"/>
      <c r="H527" s="25"/>
      <c r="I527" s="25"/>
      <c r="J527" s="55"/>
      <c r="K527" s="25" t="str">
        <f ca="1">IFERROR(__xludf.DUMMYFUNCTION("""COMPUTED_VALUE"""),"Definir fecha")</f>
        <v>Definir fecha</v>
      </c>
      <c r="L527" s="62"/>
      <c r="M527" s="25"/>
      <c r="N527" s="25"/>
      <c r="O527" s="25">
        <f t="shared" si="0"/>
        <v>0</v>
      </c>
      <c r="P527" s="25" t="str">
        <f t="shared" si="2"/>
        <v/>
      </c>
      <c r="Q527" s="25" t="str">
        <f ca="1">IFERROR(__xludf.DUMMYFUNCTION("""COMPUTED_VALUE"""),"Sin defenir")</f>
        <v>Sin defenir</v>
      </c>
      <c r="R527" s="25"/>
      <c r="S527" s="55"/>
      <c r="T527" s="56"/>
      <c r="U527" s="25"/>
      <c r="V527" s="25"/>
      <c r="W527" s="25"/>
      <c r="X527" s="25"/>
      <c r="Y527" s="25"/>
      <c r="Z527" s="25"/>
    </row>
    <row r="528" spans="1:26" ht="52.5" customHeight="1" x14ac:dyDescent="0.25">
      <c r="A528" s="25" t="str">
        <f ca="1">IFERROR(__xludf.DUMMYFUNCTION("""COMPUTED_VALUE"""),"Salud226")</f>
        <v>Salud226</v>
      </c>
      <c r="B528" s="25"/>
      <c r="C528" s="55"/>
      <c r="D528" s="25" t="str">
        <f ca="1">IFERROR(__xludf.DUMMYFUNCTION("""COMPUTED_VALUE"""),"Salud")</f>
        <v>Salud</v>
      </c>
      <c r="E528" s="25"/>
      <c r="F528" s="25"/>
      <c r="G528" s="25"/>
      <c r="H528" s="25"/>
      <c r="I528" s="25"/>
      <c r="J528" s="55"/>
      <c r="K528" s="25" t="str">
        <f ca="1">IFERROR(__xludf.DUMMYFUNCTION("""COMPUTED_VALUE"""),"Definir fecha")</f>
        <v>Definir fecha</v>
      </c>
      <c r="L528" s="62"/>
      <c r="M528" s="25"/>
      <c r="N528" s="25"/>
      <c r="O528" s="25">
        <f t="shared" si="0"/>
        <v>0</v>
      </c>
      <c r="P528" s="25" t="str">
        <f t="shared" si="2"/>
        <v/>
      </c>
      <c r="Q528" s="25" t="str">
        <f ca="1">IFERROR(__xludf.DUMMYFUNCTION("""COMPUTED_VALUE"""),"Sin defenir")</f>
        <v>Sin defenir</v>
      </c>
      <c r="R528" s="25"/>
      <c r="S528" s="55"/>
      <c r="T528" s="56"/>
      <c r="U528" s="25"/>
      <c r="V528" s="25"/>
      <c r="W528" s="25"/>
      <c r="X528" s="25"/>
      <c r="Y528" s="25"/>
      <c r="Z528" s="25"/>
    </row>
    <row r="529" spans="1:26" ht="52.5" customHeight="1" x14ac:dyDescent="0.25">
      <c r="A529" s="25" t="str">
        <f ca="1">IFERROR(__xludf.DUMMYFUNCTION("""COMPUTED_VALUE"""),"Salud227")</f>
        <v>Salud227</v>
      </c>
      <c r="B529" s="25"/>
      <c r="C529" s="55"/>
      <c r="D529" s="25" t="str">
        <f ca="1">IFERROR(__xludf.DUMMYFUNCTION("""COMPUTED_VALUE"""),"Salud")</f>
        <v>Salud</v>
      </c>
      <c r="E529" s="25"/>
      <c r="F529" s="25"/>
      <c r="G529" s="25"/>
      <c r="H529" s="25"/>
      <c r="I529" s="25"/>
      <c r="J529" s="55"/>
      <c r="K529" s="25" t="str">
        <f ca="1">IFERROR(__xludf.DUMMYFUNCTION("""COMPUTED_VALUE"""),"Definir fecha")</f>
        <v>Definir fecha</v>
      </c>
      <c r="L529" s="62"/>
      <c r="M529" s="25"/>
      <c r="N529" s="25"/>
      <c r="O529" s="25">
        <f t="shared" si="0"/>
        <v>0</v>
      </c>
      <c r="P529" s="25" t="str">
        <f t="shared" si="2"/>
        <v/>
      </c>
      <c r="Q529" s="25" t="str">
        <f ca="1">IFERROR(__xludf.DUMMYFUNCTION("""COMPUTED_VALUE"""),"Sin defenir")</f>
        <v>Sin defenir</v>
      </c>
      <c r="R529" s="25"/>
      <c r="S529" s="55"/>
      <c r="T529" s="56"/>
      <c r="U529" s="25"/>
      <c r="V529" s="25"/>
      <c r="W529" s="25"/>
      <c r="X529" s="25"/>
      <c r="Y529" s="25"/>
      <c r="Z529" s="25"/>
    </row>
    <row r="530" spans="1:26" ht="52.5" customHeight="1" x14ac:dyDescent="0.25">
      <c r="A530" s="25" t="str">
        <f ca="1">IFERROR(__xludf.DUMMYFUNCTION("""COMPUTED_VALUE"""),"Salud228")</f>
        <v>Salud228</v>
      </c>
      <c r="B530" s="25"/>
      <c r="C530" s="55"/>
      <c r="D530" s="25" t="str">
        <f ca="1">IFERROR(__xludf.DUMMYFUNCTION("""COMPUTED_VALUE"""),"Salud")</f>
        <v>Salud</v>
      </c>
      <c r="E530" s="25"/>
      <c r="F530" s="25"/>
      <c r="G530" s="25"/>
      <c r="H530" s="25"/>
      <c r="I530" s="25"/>
      <c r="J530" s="55"/>
      <c r="K530" s="25" t="str">
        <f ca="1">IFERROR(__xludf.DUMMYFUNCTION("""COMPUTED_VALUE"""),"Definir fecha")</f>
        <v>Definir fecha</v>
      </c>
      <c r="L530" s="62"/>
      <c r="M530" s="25"/>
      <c r="N530" s="25"/>
      <c r="O530" s="25">
        <f t="shared" si="0"/>
        <v>0</v>
      </c>
      <c r="P530" s="25" t="str">
        <f t="shared" si="2"/>
        <v/>
      </c>
      <c r="Q530" s="25" t="str">
        <f ca="1">IFERROR(__xludf.DUMMYFUNCTION("""COMPUTED_VALUE"""),"Sin defenir")</f>
        <v>Sin defenir</v>
      </c>
      <c r="R530" s="25"/>
      <c r="S530" s="55"/>
      <c r="T530" s="56"/>
      <c r="U530" s="25"/>
      <c r="V530" s="25"/>
      <c r="W530" s="25"/>
      <c r="X530" s="25"/>
      <c r="Y530" s="25"/>
      <c r="Z530" s="25"/>
    </row>
    <row r="531" spans="1:26" ht="52.5" customHeight="1" x14ac:dyDescent="0.25">
      <c r="A531" s="25" t="str">
        <f ca="1">IFERROR(__xludf.DUMMYFUNCTION("""COMPUTED_VALUE"""),"Salud229")</f>
        <v>Salud229</v>
      </c>
      <c r="B531" s="25"/>
      <c r="C531" s="55"/>
      <c r="D531" s="25" t="str">
        <f ca="1">IFERROR(__xludf.DUMMYFUNCTION("""COMPUTED_VALUE"""),"Salud")</f>
        <v>Salud</v>
      </c>
      <c r="E531" s="25"/>
      <c r="F531" s="25"/>
      <c r="G531" s="25"/>
      <c r="H531" s="25"/>
      <c r="I531" s="25"/>
      <c r="J531" s="55"/>
      <c r="K531" s="25" t="str">
        <f ca="1">IFERROR(__xludf.DUMMYFUNCTION("""COMPUTED_VALUE"""),"Definir fecha")</f>
        <v>Definir fecha</v>
      </c>
      <c r="L531" s="62"/>
      <c r="M531" s="25"/>
      <c r="N531" s="25"/>
      <c r="O531" s="25">
        <f t="shared" si="0"/>
        <v>0</v>
      </c>
      <c r="P531" s="25" t="str">
        <f t="shared" si="2"/>
        <v/>
      </c>
      <c r="Q531" s="25" t="str">
        <f ca="1">IFERROR(__xludf.DUMMYFUNCTION("""COMPUTED_VALUE"""),"Sin defenir")</f>
        <v>Sin defenir</v>
      </c>
      <c r="R531" s="25"/>
      <c r="S531" s="55"/>
      <c r="T531" s="56"/>
      <c r="U531" s="25"/>
      <c r="V531" s="25"/>
      <c r="W531" s="25"/>
      <c r="X531" s="25"/>
      <c r="Y531" s="25"/>
      <c r="Z531" s="25"/>
    </row>
    <row r="532" spans="1:26" ht="52.5" customHeight="1" x14ac:dyDescent="0.25">
      <c r="A532" s="25" t="str">
        <f ca="1">IFERROR(__xludf.DUMMYFUNCTION("""COMPUTED_VALUE"""),"Salud230")</f>
        <v>Salud230</v>
      </c>
      <c r="B532" s="25"/>
      <c r="C532" s="55"/>
      <c r="D532" s="25" t="str">
        <f ca="1">IFERROR(__xludf.DUMMYFUNCTION("""COMPUTED_VALUE"""),"Salud")</f>
        <v>Salud</v>
      </c>
      <c r="E532" s="25"/>
      <c r="F532" s="25"/>
      <c r="G532" s="25"/>
      <c r="H532" s="25"/>
      <c r="I532" s="25"/>
      <c r="J532" s="55"/>
      <c r="K532" s="25" t="str">
        <f ca="1">IFERROR(__xludf.DUMMYFUNCTION("""COMPUTED_VALUE"""),"Definir fecha")</f>
        <v>Definir fecha</v>
      </c>
      <c r="L532" s="62"/>
      <c r="M532" s="25"/>
      <c r="N532" s="25"/>
      <c r="O532" s="25">
        <f t="shared" si="0"/>
        <v>0</v>
      </c>
      <c r="P532" s="25" t="str">
        <f t="shared" si="2"/>
        <v/>
      </c>
      <c r="Q532" s="25" t="str">
        <f ca="1">IFERROR(__xludf.DUMMYFUNCTION("""COMPUTED_VALUE"""),"Sin defenir")</f>
        <v>Sin defenir</v>
      </c>
      <c r="R532" s="25"/>
      <c r="S532" s="55"/>
      <c r="T532" s="56"/>
      <c r="U532" s="25"/>
      <c r="V532" s="25"/>
      <c r="W532" s="25"/>
      <c r="X532" s="25"/>
      <c r="Y532" s="25"/>
      <c r="Z532" s="25"/>
    </row>
    <row r="533" spans="1:26" ht="52.5" customHeight="1" x14ac:dyDescent="0.25">
      <c r="A533" s="25" t="str">
        <f ca="1">IFERROR(__xludf.DUMMYFUNCTION("""COMPUTED_VALUE"""),"Salud231")</f>
        <v>Salud231</v>
      </c>
      <c r="B533" s="25"/>
      <c r="C533" s="55"/>
      <c r="D533" s="25" t="str">
        <f ca="1">IFERROR(__xludf.DUMMYFUNCTION("""COMPUTED_VALUE"""),"Salud")</f>
        <v>Salud</v>
      </c>
      <c r="E533" s="25"/>
      <c r="F533" s="25"/>
      <c r="G533" s="25"/>
      <c r="H533" s="25"/>
      <c r="I533" s="25"/>
      <c r="J533" s="55"/>
      <c r="K533" s="25" t="str">
        <f ca="1">IFERROR(__xludf.DUMMYFUNCTION("""COMPUTED_VALUE"""),"Definir fecha")</f>
        <v>Definir fecha</v>
      </c>
      <c r="L533" s="62"/>
      <c r="M533" s="25"/>
      <c r="N533" s="25"/>
      <c r="O533" s="25">
        <f t="shared" si="0"/>
        <v>0</v>
      </c>
      <c r="P533" s="25" t="str">
        <f t="shared" si="2"/>
        <v/>
      </c>
      <c r="Q533" s="25" t="str">
        <f ca="1">IFERROR(__xludf.DUMMYFUNCTION("""COMPUTED_VALUE"""),"Sin defenir")</f>
        <v>Sin defenir</v>
      </c>
      <c r="R533" s="25"/>
      <c r="S533" s="55"/>
      <c r="T533" s="56"/>
      <c r="U533" s="25"/>
      <c r="V533" s="25"/>
      <c r="W533" s="25"/>
      <c r="X533" s="25"/>
      <c r="Y533" s="25"/>
      <c r="Z533" s="25"/>
    </row>
    <row r="534" spans="1:26" ht="52.5" customHeight="1" x14ac:dyDescent="0.25">
      <c r="A534" s="25" t="str">
        <f ca="1">IFERROR(__xludf.DUMMYFUNCTION("""COMPUTED_VALUE"""),"Salud232")</f>
        <v>Salud232</v>
      </c>
      <c r="B534" s="25"/>
      <c r="C534" s="55"/>
      <c r="D534" s="25" t="str">
        <f ca="1">IFERROR(__xludf.DUMMYFUNCTION("""COMPUTED_VALUE"""),"Salud")</f>
        <v>Salud</v>
      </c>
      <c r="E534" s="25"/>
      <c r="F534" s="25"/>
      <c r="G534" s="25"/>
      <c r="H534" s="25"/>
      <c r="I534" s="25"/>
      <c r="J534" s="55"/>
      <c r="K534" s="25" t="str">
        <f ca="1">IFERROR(__xludf.DUMMYFUNCTION("""COMPUTED_VALUE"""),"Definir fecha")</f>
        <v>Definir fecha</v>
      </c>
      <c r="L534" s="62"/>
      <c r="M534" s="25"/>
      <c r="N534" s="25"/>
      <c r="O534" s="25">
        <f t="shared" si="0"/>
        <v>0</v>
      </c>
      <c r="P534" s="25" t="str">
        <f t="shared" si="2"/>
        <v/>
      </c>
      <c r="Q534" s="25" t="str">
        <f ca="1">IFERROR(__xludf.DUMMYFUNCTION("""COMPUTED_VALUE"""),"Sin defenir")</f>
        <v>Sin defenir</v>
      </c>
      <c r="R534" s="25"/>
      <c r="S534" s="55"/>
      <c r="T534" s="56"/>
      <c r="U534" s="25"/>
      <c r="V534" s="25"/>
      <c r="W534" s="25"/>
      <c r="X534" s="25"/>
      <c r="Y534" s="25"/>
      <c r="Z534" s="25"/>
    </row>
    <row r="535" spans="1:26" ht="52.5" customHeight="1" x14ac:dyDescent="0.25">
      <c r="A535" s="25" t="str">
        <f ca="1">IFERROR(__xludf.DUMMYFUNCTION("""COMPUTED_VALUE"""),"Salud233")</f>
        <v>Salud233</v>
      </c>
      <c r="B535" s="25"/>
      <c r="C535" s="55"/>
      <c r="D535" s="25" t="str">
        <f ca="1">IFERROR(__xludf.DUMMYFUNCTION("""COMPUTED_VALUE"""),"Salud")</f>
        <v>Salud</v>
      </c>
      <c r="E535" s="25"/>
      <c r="F535" s="25"/>
      <c r="G535" s="25"/>
      <c r="H535" s="25"/>
      <c r="I535" s="25"/>
      <c r="J535" s="55"/>
      <c r="K535" s="25" t="str">
        <f ca="1">IFERROR(__xludf.DUMMYFUNCTION("""COMPUTED_VALUE"""),"Definir fecha")</f>
        <v>Definir fecha</v>
      </c>
      <c r="L535" s="62"/>
      <c r="M535" s="25"/>
      <c r="N535" s="25"/>
      <c r="O535" s="25">
        <f t="shared" si="0"/>
        <v>0</v>
      </c>
      <c r="P535" s="25" t="str">
        <f t="shared" si="2"/>
        <v/>
      </c>
      <c r="Q535" s="25" t="str">
        <f ca="1">IFERROR(__xludf.DUMMYFUNCTION("""COMPUTED_VALUE"""),"Sin defenir")</f>
        <v>Sin defenir</v>
      </c>
      <c r="R535" s="25"/>
      <c r="S535" s="55"/>
      <c r="T535" s="56"/>
      <c r="U535" s="25"/>
      <c r="V535" s="25"/>
      <c r="W535" s="25"/>
      <c r="X535" s="25"/>
      <c r="Y535" s="25"/>
      <c r="Z535" s="25"/>
    </row>
    <row r="536" spans="1:26" ht="52.5" customHeight="1" x14ac:dyDescent="0.25">
      <c r="A536" s="25" t="str">
        <f ca="1">IFERROR(__xludf.DUMMYFUNCTION("""COMPUTED_VALUE"""),"Salud234")</f>
        <v>Salud234</v>
      </c>
      <c r="B536" s="25"/>
      <c r="C536" s="55"/>
      <c r="D536" s="25" t="str">
        <f ca="1">IFERROR(__xludf.DUMMYFUNCTION("""COMPUTED_VALUE"""),"Salud")</f>
        <v>Salud</v>
      </c>
      <c r="E536" s="25"/>
      <c r="F536" s="25"/>
      <c r="G536" s="25"/>
      <c r="H536" s="25"/>
      <c r="I536" s="25"/>
      <c r="J536" s="55"/>
      <c r="K536" s="25" t="str">
        <f ca="1">IFERROR(__xludf.DUMMYFUNCTION("""COMPUTED_VALUE"""),"Definir fecha")</f>
        <v>Definir fecha</v>
      </c>
      <c r="L536" s="62"/>
      <c r="M536" s="25"/>
      <c r="N536" s="25"/>
      <c r="O536" s="25">
        <f t="shared" si="0"/>
        <v>0</v>
      </c>
      <c r="P536" s="25" t="str">
        <f t="shared" si="2"/>
        <v/>
      </c>
      <c r="Q536" s="25" t="str">
        <f ca="1">IFERROR(__xludf.DUMMYFUNCTION("""COMPUTED_VALUE"""),"Sin defenir")</f>
        <v>Sin defenir</v>
      </c>
      <c r="R536" s="25"/>
      <c r="S536" s="55"/>
      <c r="T536" s="56"/>
      <c r="U536" s="25"/>
      <c r="V536" s="25"/>
      <c r="W536" s="25"/>
      <c r="X536" s="25"/>
      <c r="Y536" s="25"/>
      <c r="Z536" s="25"/>
    </row>
    <row r="537" spans="1:26" ht="52.5" customHeight="1" x14ac:dyDescent="0.25">
      <c r="A537" s="25" t="str">
        <f ca="1">IFERROR(__xludf.DUMMYFUNCTION("""COMPUTED_VALUE"""),"Salud235")</f>
        <v>Salud235</v>
      </c>
      <c r="B537" s="25"/>
      <c r="C537" s="55"/>
      <c r="D537" s="25" t="str">
        <f ca="1">IFERROR(__xludf.DUMMYFUNCTION("""COMPUTED_VALUE"""),"Salud")</f>
        <v>Salud</v>
      </c>
      <c r="E537" s="25"/>
      <c r="F537" s="25"/>
      <c r="G537" s="25"/>
      <c r="H537" s="25"/>
      <c r="I537" s="25"/>
      <c r="J537" s="55"/>
      <c r="K537" s="25" t="str">
        <f ca="1">IFERROR(__xludf.DUMMYFUNCTION("""COMPUTED_VALUE"""),"Definir fecha")</f>
        <v>Definir fecha</v>
      </c>
      <c r="L537" s="62"/>
      <c r="M537" s="25"/>
      <c r="N537" s="25"/>
      <c r="O537" s="25">
        <f t="shared" si="0"/>
        <v>0</v>
      </c>
      <c r="P537" s="25" t="str">
        <f t="shared" si="2"/>
        <v/>
      </c>
      <c r="Q537" s="25" t="str">
        <f ca="1">IFERROR(__xludf.DUMMYFUNCTION("""COMPUTED_VALUE"""),"Sin defenir")</f>
        <v>Sin defenir</v>
      </c>
      <c r="R537" s="25"/>
      <c r="S537" s="55"/>
      <c r="T537" s="56"/>
      <c r="U537" s="25"/>
      <c r="V537" s="25"/>
      <c r="W537" s="25"/>
      <c r="X537" s="25"/>
      <c r="Y537" s="25"/>
      <c r="Z537" s="25"/>
    </row>
    <row r="538" spans="1:26" ht="52.5" customHeight="1" x14ac:dyDescent="0.25">
      <c r="A538" s="25" t="str">
        <f ca="1">IFERROR(__xludf.DUMMYFUNCTION("""COMPUTED_VALUE"""),"Salud236")</f>
        <v>Salud236</v>
      </c>
      <c r="B538" s="25"/>
      <c r="C538" s="55"/>
      <c r="D538" s="25" t="str">
        <f ca="1">IFERROR(__xludf.DUMMYFUNCTION("""COMPUTED_VALUE"""),"Salud")</f>
        <v>Salud</v>
      </c>
      <c r="E538" s="25"/>
      <c r="F538" s="25"/>
      <c r="G538" s="25"/>
      <c r="H538" s="25"/>
      <c r="I538" s="25"/>
      <c r="J538" s="55"/>
      <c r="K538" s="25" t="str">
        <f ca="1">IFERROR(__xludf.DUMMYFUNCTION("""COMPUTED_VALUE"""),"Definir fecha")</f>
        <v>Definir fecha</v>
      </c>
      <c r="L538" s="62"/>
      <c r="M538" s="25"/>
      <c r="N538" s="25"/>
      <c r="O538" s="25">
        <f t="shared" si="0"/>
        <v>0</v>
      </c>
      <c r="P538" s="25" t="str">
        <f t="shared" si="2"/>
        <v/>
      </c>
      <c r="Q538" s="25" t="str">
        <f ca="1">IFERROR(__xludf.DUMMYFUNCTION("""COMPUTED_VALUE"""),"Sin defenir")</f>
        <v>Sin defenir</v>
      </c>
      <c r="R538" s="25"/>
      <c r="S538" s="55"/>
      <c r="T538" s="56"/>
      <c r="U538" s="25"/>
      <c r="V538" s="25"/>
      <c r="W538" s="25"/>
      <c r="X538" s="25"/>
      <c r="Y538" s="25"/>
      <c r="Z538" s="25"/>
    </row>
    <row r="539" spans="1:26" ht="52.5" customHeight="1" x14ac:dyDescent="0.25">
      <c r="A539" s="25" t="str">
        <f ca="1">IFERROR(__xludf.DUMMYFUNCTION("""COMPUTED_VALUE"""),"Salud237")</f>
        <v>Salud237</v>
      </c>
      <c r="B539" s="25"/>
      <c r="C539" s="55"/>
      <c r="D539" s="25" t="str">
        <f ca="1">IFERROR(__xludf.DUMMYFUNCTION("""COMPUTED_VALUE"""),"Salud")</f>
        <v>Salud</v>
      </c>
      <c r="E539" s="25"/>
      <c r="F539" s="25"/>
      <c r="G539" s="25"/>
      <c r="H539" s="25"/>
      <c r="I539" s="25"/>
      <c r="J539" s="55"/>
      <c r="K539" s="25" t="str">
        <f ca="1">IFERROR(__xludf.DUMMYFUNCTION("""COMPUTED_VALUE"""),"Definir fecha")</f>
        <v>Definir fecha</v>
      </c>
      <c r="L539" s="62"/>
      <c r="M539" s="25"/>
      <c r="N539" s="25"/>
      <c r="O539" s="25">
        <f t="shared" si="0"/>
        <v>0</v>
      </c>
      <c r="P539" s="25" t="str">
        <f t="shared" si="2"/>
        <v/>
      </c>
      <c r="Q539" s="25" t="str">
        <f ca="1">IFERROR(__xludf.DUMMYFUNCTION("""COMPUTED_VALUE"""),"Sin defenir")</f>
        <v>Sin defenir</v>
      </c>
      <c r="R539" s="25"/>
      <c r="S539" s="55"/>
      <c r="T539" s="56"/>
      <c r="U539" s="25"/>
      <c r="V539" s="25"/>
      <c r="W539" s="25"/>
      <c r="X539" s="25"/>
      <c r="Y539" s="25"/>
      <c r="Z539" s="25"/>
    </row>
    <row r="540" spans="1:26" ht="52.5" customHeight="1" x14ac:dyDescent="0.25">
      <c r="A540" s="25" t="str">
        <f ca="1">IFERROR(__xludf.DUMMYFUNCTION("""COMPUTED_VALUE"""),"Salud238")</f>
        <v>Salud238</v>
      </c>
      <c r="B540" s="25"/>
      <c r="C540" s="55"/>
      <c r="D540" s="25" t="str">
        <f ca="1">IFERROR(__xludf.DUMMYFUNCTION("""COMPUTED_VALUE"""),"Salud")</f>
        <v>Salud</v>
      </c>
      <c r="E540" s="25"/>
      <c r="F540" s="25"/>
      <c r="G540" s="25"/>
      <c r="H540" s="25"/>
      <c r="I540" s="25"/>
      <c r="J540" s="55"/>
      <c r="K540" s="25" t="str">
        <f ca="1">IFERROR(__xludf.DUMMYFUNCTION("""COMPUTED_VALUE"""),"Definir fecha")</f>
        <v>Definir fecha</v>
      </c>
      <c r="L540" s="62"/>
      <c r="M540" s="25"/>
      <c r="N540" s="25"/>
      <c r="O540" s="25">
        <f t="shared" si="0"/>
        <v>0</v>
      </c>
      <c r="P540" s="25" t="str">
        <f t="shared" si="2"/>
        <v/>
      </c>
      <c r="Q540" s="25" t="str">
        <f ca="1">IFERROR(__xludf.DUMMYFUNCTION("""COMPUTED_VALUE"""),"Sin defenir")</f>
        <v>Sin defenir</v>
      </c>
      <c r="R540" s="25"/>
      <c r="S540" s="55"/>
      <c r="T540" s="56"/>
      <c r="U540" s="25"/>
      <c r="V540" s="25"/>
      <c r="W540" s="25"/>
      <c r="X540" s="25"/>
      <c r="Y540" s="25"/>
      <c r="Z540" s="25"/>
    </row>
    <row r="541" spans="1:26" ht="52.5" customHeight="1" x14ac:dyDescent="0.25">
      <c r="A541" s="25" t="str">
        <f ca="1">IFERROR(__xludf.DUMMYFUNCTION("""COMPUTED_VALUE"""),"Salud239")</f>
        <v>Salud239</v>
      </c>
      <c r="B541" s="25"/>
      <c r="C541" s="55"/>
      <c r="D541" s="25" t="str">
        <f ca="1">IFERROR(__xludf.DUMMYFUNCTION("""COMPUTED_VALUE"""),"Salud")</f>
        <v>Salud</v>
      </c>
      <c r="E541" s="25"/>
      <c r="F541" s="25"/>
      <c r="G541" s="25"/>
      <c r="H541" s="25"/>
      <c r="I541" s="25"/>
      <c r="J541" s="55"/>
      <c r="K541" s="25" t="str">
        <f ca="1">IFERROR(__xludf.DUMMYFUNCTION("""COMPUTED_VALUE"""),"Definir fecha")</f>
        <v>Definir fecha</v>
      </c>
      <c r="L541" s="62"/>
      <c r="M541" s="25"/>
      <c r="N541" s="25"/>
      <c r="O541" s="25">
        <f t="shared" si="0"/>
        <v>0</v>
      </c>
      <c r="P541" s="25" t="str">
        <f t="shared" si="2"/>
        <v/>
      </c>
      <c r="Q541" s="25" t="str">
        <f ca="1">IFERROR(__xludf.DUMMYFUNCTION("""COMPUTED_VALUE"""),"Sin defenir")</f>
        <v>Sin defenir</v>
      </c>
      <c r="R541" s="25"/>
      <c r="S541" s="55"/>
      <c r="T541" s="56"/>
      <c r="U541" s="25"/>
      <c r="V541" s="25"/>
      <c r="W541" s="25"/>
      <c r="X541" s="25"/>
      <c r="Y541" s="25"/>
      <c r="Z541" s="25"/>
    </row>
    <row r="542" spans="1:26" ht="52.5" customHeight="1" x14ac:dyDescent="0.25">
      <c r="A542" s="25" t="str">
        <f ca="1">IFERROR(__xludf.DUMMYFUNCTION("""COMPUTED_VALUE"""),"Salud240")</f>
        <v>Salud240</v>
      </c>
      <c r="B542" s="25"/>
      <c r="C542" s="55"/>
      <c r="D542" s="25" t="str">
        <f ca="1">IFERROR(__xludf.DUMMYFUNCTION("""COMPUTED_VALUE"""),"Salud")</f>
        <v>Salud</v>
      </c>
      <c r="E542" s="25"/>
      <c r="F542" s="25"/>
      <c r="G542" s="25"/>
      <c r="H542" s="25"/>
      <c r="I542" s="25"/>
      <c r="J542" s="55"/>
      <c r="K542" s="25" t="str">
        <f ca="1">IFERROR(__xludf.DUMMYFUNCTION("""COMPUTED_VALUE"""),"Definir fecha")</f>
        <v>Definir fecha</v>
      </c>
      <c r="L542" s="62"/>
      <c r="M542" s="25"/>
      <c r="N542" s="25"/>
      <c r="O542" s="25">
        <f t="shared" si="0"/>
        <v>0</v>
      </c>
      <c r="P542" s="25" t="str">
        <f t="shared" si="2"/>
        <v/>
      </c>
      <c r="Q542" s="25" t="str">
        <f ca="1">IFERROR(__xludf.DUMMYFUNCTION("""COMPUTED_VALUE"""),"Sin defenir")</f>
        <v>Sin defenir</v>
      </c>
      <c r="R542" s="25"/>
      <c r="S542" s="55"/>
      <c r="T542" s="56"/>
      <c r="U542" s="25"/>
      <c r="V542" s="25"/>
      <c r="W542" s="25"/>
      <c r="X542" s="25"/>
      <c r="Y542" s="25"/>
      <c r="Z542" s="25"/>
    </row>
    <row r="543" spans="1:26" ht="52.5" customHeight="1" x14ac:dyDescent="0.25">
      <c r="A543" s="25" t="str">
        <f ca="1">IFERROR(__xludf.DUMMYFUNCTION("""COMPUTED_VALUE"""),"Salud241")</f>
        <v>Salud241</v>
      </c>
      <c r="B543" s="25"/>
      <c r="C543" s="55"/>
      <c r="D543" s="25" t="str">
        <f ca="1">IFERROR(__xludf.DUMMYFUNCTION("""COMPUTED_VALUE"""),"Salud")</f>
        <v>Salud</v>
      </c>
      <c r="E543" s="25"/>
      <c r="F543" s="25"/>
      <c r="G543" s="25"/>
      <c r="H543" s="25"/>
      <c r="I543" s="25"/>
      <c r="J543" s="55"/>
      <c r="K543" s="25" t="str">
        <f ca="1">IFERROR(__xludf.DUMMYFUNCTION("""COMPUTED_VALUE"""),"Definir fecha")</f>
        <v>Definir fecha</v>
      </c>
      <c r="L543" s="62"/>
      <c r="M543" s="25"/>
      <c r="N543" s="25"/>
      <c r="O543" s="25">
        <f t="shared" si="0"/>
        <v>0</v>
      </c>
      <c r="P543" s="25" t="str">
        <f t="shared" si="2"/>
        <v/>
      </c>
      <c r="Q543" s="25" t="str">
        <f ca="1">IFERROR(__xludf.DUMMYFUNCTION("""COMPUTED_VALUE"""),"Sin defenir")</f>
        <v>Sin defenir</v>
      </c>
      <c r="R543" s="25"/>
      <c r="S543" s="55"/>
      <c r="T543" s="56"/>
      <c r="U543" s="25"/>
      <c r="V543" s="25"/>
      <c r="W543" s="25"/>
      <c r="X543" s="25"/>
      <c r="Y543" s="25"/>
      <c r="Z543" s="25"/>
    </row>
    <row r="544" spans="1:26" ht="52.5" customHeight="1" x14ac:dyDescent="0.25">
      <c r="A544" s="25" t="str">
        <f ca="1">IFERROR(__xludf.DUMMYFUNCTION("""COMPUTED_VALUE"""),"Salud242")</f>
        <v>Salud242</v>
      </c>
      <c r="B544" s="25"/>
      <c r="C544" s="55"/>
      <c r="D544" s="25" t="str">
        <f ca="1">IFERROR(__xludf.DUMMYFUNCTION("""COMPUTED_VALUE"""),"Salud")</f>
        <v>Salud</v>
      </c>
      <c r="E544" s="25"/>
      <c r="F544" s="25"/>
      <c r="G544" s="25"/>
      <c r="H544" s="25"/>
      <c r="I544" s="25"/>
      <c r="J544" s="55"/>
      <c r="K544" s="25" t="str">
        <f ca="1">IFERROR(__xludf.DUMMYFUNCTION("""COMPUTED_VALUE"""),"Definir fecha")</f>
        <v>Definir fecha</v>
      </c>
      <c r="L544" s="62"/>
      <c r="M544" s="25"/>
      <c r="N544" s="25"/>
      <c r="O544" s="25">
        <f t="shared" si="0"/>
        <v>0</v>
      </c>
      <c r="P544" s="25" t="str">
        <f t="shared" si="2"/>
        <v/>
      </c>
      <c r="Q544" s="25" t="str">
        <f ca="1">IFERROR(__xludf.DUMMYFUNCTION("""COMPUTED_VALUE"""),"Sin defenir")</f>
        <v>Sin defenir</v>
      </c>
      <c r="R544" s="25"/>
      <c r="S544" s="55"/>
      <c r="T544" s="56"/>
      <c r="U544" s="25"/>
      <c r="V544" s="25"/>
      <c r="W544" s="25"/>
      <c r="X544" s="25"/>
      <c r="Y544" s="25"/>
      <c r="Z544" s="25"/>
    </row>
    <row r="545" spans="1:26" ht="52.5" customHeight="1" x14ac:dyDescent="0.25">
      <c r="A545" s="25" t="str">
        <f ca="1">IFERROR(__xludf.DUMMYFUNCTION("""COMPUTED_VALUE"""),"Salud243")</f>
        <v>Salud243</v>
      </c>
      <c r="B545" s="25"/>
      <c r="C545" s="55"/>
      <c r="D545" s="25" t="str">
        <f ca="1">IFERROR(__xludf.DUMMYFUNCTION("""COMPUTED_VALUE"""),"Salud")</f>
        <v>Salud</v>
      </c>
      <c r="E545" s="25"/>
      <c r="F545" s="25"/>
      <c r="G545" s="25"/>
      <c r="H545" s="25"/>
      <c r="I545" s="25"/>
      <c r="J545" s="55"/>
      <c r="K545" s="25" t="str">
        <f ca="1">IFERROR(__xludf.DUMMYFUNCTION("""COMPUTED_VALUE"""),"Definir fecha")</f>
        <v>Definir fecha</v>
      </c>
      <c r="L545" s="62"/>
      <c r="M545" s="25"/>
      <c r="N545" s="25"/>
      <c r="O545" s="25">
        <f t="shared" si="0"/>
        <v>0</v>
      </c>
      <c r="P545" s="25" t="str">
        <f t="shared" si="2"/>
        <v/>
      </c>
      <c r="Q545" s="25" t="str">
        <f ca="1">IFERROR(__xludf.DUMMYFUNCTION("""COMPUTED_VALUE"""),"Sin defenir")</f>
        <v>Sin defenir</v>
      </c>
      <c r="R545" s="25"/>
      <c r="S545" s="55"/>
      <c r="T545" s="56"/>
      <c r="U545" s="25"/>
      <c r="V545" s="25"/>
      <c r="W545" s="25"/>
      <c r="X545" s="25"/>
      <c r="Y545" s="25"/>
      <c r="Z545" s="25"/>
    </row>
    <row r="546" spans="1:26" ht="52.5" customHeight="1" x14ac:dyDescent="0.25">
      <c r="A546" s="25" t="str">
        <f ca="1">IFERROR(__xludf.DUMMYFUNCTION("""COMPUTED_VALUE"""),"Salud244")</f>
        <v>Salud244</v>
      </c>
      <c r="B546" s="25"/>
      <c r="C546" s="55"/>
      <c r="D546" s="25" t="str">
        <f ca="1">IFERROR(__xludf.DUMMYFUNCTION("""COMPUTED_VALUE"""),"Salud")</f>
        <v>Salud</v>
      </c>
      <c r="E546" s="25"/>
      <c r="F546" s="25"/>
      <c r="G546" s="25"/>
      <c r="H546" s="25"/>
      <c r="I546" s="25"/>
      <c r="J546" s="55"/>
      <c r="K546" s="25" t="str">
        <f ca="1">IFERROR(__xludf.DUMMYFUNCTION("""COMPUTED_VALUE"""),"Definir fecha")</f>
        <v>Definir fecha</v>
      </c>
      <c r="L546" s="62"/>
      <c r="M546" s="25"/>
      <c r="N546" s="25"/>
      <c r="O546" s="25">
        <f t="shared" si="0"/>
        <v>0</v>
      </c>
      <c r="P546" s="25" t="str">
        <f t="shared" si="2"/>
        <v/>
      </c>
      <c r="Q546" s="25" t="str">
        <f ca="1">IFERROR(__xludf.DUMMYFUNCTION("""COMPUTED_VALUE"""),"Sin defenir")</f>
        <v>Sin defenir</v>
      </c>
      <c r="R546" s="25"/>
      <c r="S546" s="55"/>
      <c r="T546" s="56"/>
      <c r="U546" s="25"/>
      <c r="V546" s="25"/>
      <c r="W546" s="25"/>
      <c r="X546" s="25"/>
      <c r="Y546" s="25"/>
      <c r="Z546" s="25"/>
    </row>
    <row r="547" spans="1:26" ht="52.5" customHeight="1" x14ac:dyDescent="0.25">
      <c r="A547" s="25" t="str">
        <f ca="1">IFERROR(__xludf.DUMMYFUNCTION("""COMPUTED_VALUE"""),"Salud245")</f>
        <v>Salud245</v>
      </c>
      <c r="B547" s="25"/>
      <c r="C547" s="55"/>
      <c r="D547" s="25" t="str">
        <f ca="1">IFERROR(__xludf.DUMMYFUNCTION("""COMPUTED_VALUE"""),"Salud")</f>
        <v>Salud</v>
      </c>
      <c r="E547" s="25"/>
      <c r="F547" s="25"/>
      <c r="G547" s="25"/>
      <c r="H547" s="25"/>
      <c r="I547" s="25"/>
      <c r="J547" s="55"/>
      <c r="K547" s="25" t="str">
        <f ca="1">IFERROR(__xludf.DUMMYFUNCTION("""COMPUTED_VALUE"""),"Definir fecha")</f>
        <v>Definir fecha</v>
      </c>
      <c r="L547" s="62"/>
      <c r="M547" s="25"/>
      <c r="N547" s="25"/>
      <c r="O547" s="25">
        <f t="shared" si="0"/>
        <v>0</v>
      </c>
      <c r="P547" s="25" t="str">
        <f t="shared" si="2"/>
        <v/>
      </c>
      <c r="Q547" s="25" t="str">
        <f ca="1">IFERROR(__xludf.DUMMYFUNCTION("""COMPUTED_VALUE"""),"Sin defenir")</f>
        <v>Sin defenir</v>
      </c>
      <c r="R547" s="25"/>
      <c r="S547" s="55"/>
      <c r="T547" s="56"/>
      <c r="U547" s="25"/>
      <c r="V547" s="25"/>
      <c r="W547" s="25"/>
      <c r="X547" s="25"/>
      <c r="Y547" s="25"/>
      <c r="Z547" s="25"/>
    </row>
    <row r="548" spans="1:26" ht="52.5" customHeight="1" x14ac:dyDescent="0.25">
      <c r="A548" s="25" t="str">
        <f ca="1">IFERROR(__xludf.DUMMYFUNCTION("""COMPUTED_VALUE"""),"Salud246")</f>
        <v>Salud246</v>
      </c>
      <c r="B548" s="25"/>
      <c r="C548" s="55"/>
      <c r="D548" s="25" t="str">
        <f ca="1">IFERROR(__xludf.DUMMYFUNCTION("""COMPUTED_VALUE"""),"Salud")</f>
        <v>Salud</v>
      </c>
      <c r="E548" s="25"/>
      <c r="F548" s="25"/>
      <c r="G548" s="25"/>
      <c r="H548" s="25"/>
      <c r="I548" s="25"/>
      <c r="J548" s="55"/>
      <c r="K548" s="25" t="str">
        <f ca="1">IFERROR(__xludf.DUMMYFUNCTION("""COMPUTED_VALUE"""),"Definir fecha")</f>
        <v>Definir fecha</v>
      </c>
      <c r="L548" s="62"/>
      <c r="M548" s="25"/>
      <c r="N548" s="25"/>
      <c r="O548" s="25">
        <f t="shared" si="0"/>
        <v>0</v>
      </c>
      <c r="P548" s="25" t="str">
        <f t="shared" si="2"/>
        <v/>
      </c>
      <c r="Q548" s="25" t="str">
        <f ca="1">IFERROR(__xludf.DUMMYFUNCTION("""COMPUTED_VALUE"""),"Sin defenir")</f>
        <v>Sin defenir</v>
      </c>
      <c r="R548" s="25"/>
      <c r="S548" s="55"/>
      <c r="T548" s="56"/>
      <c r="U548" s="25"/>
      <c r="V548" s="25"/>
      <c r="W548" s="25"/>
      <c r="X548" s="25"/>
      <c r="Y548" s="25"/>
      <c r="Z548" s="25"/>
    </row>
    <row r="549" spans="1:26" ht="52.5" customHeight="1" x14ac:dyDescent="0.25">
      <c r="A549" s="25" t="str">
        <f ca="1">IFERROR(__xludf.DUMMYFUNCTION("""COMPUTED_VALUE"""),"Salud247")</f>
        <v>Salud247</v>
      </c>
      <c r="B549" s="25"/>
      <c r="C549" s="55"/>
      <c r="D549" s="25" t="str">
        <f ca="1">IFERROR(__xludf.DUMMYFUNCTION("""COMPUTED_VALUE"""),"Salud")</f>
        <v>Salud</v>
      </c>
      <c r="E549" s="25"/>
      <c r="F549" s="25"/>
      <c r="G549" s="25"/>
      <c r="H549" s="25"/>
      <c r="I549" s="25"/>
      <c r="J549" s="55"/>
      <c r="K549" s="25" t="str">
        <f ca="1">IFERROR(__xludf.DUMMYFUNCTION("""COMPUTED_VALUE"""),"Definir fecha")</f>
        <v>Definir fecha</v>
      </c>
      <c r="L549" s="62"/>
      <c r="M549" s="25"/>
      <c r="N549" s="25"/>
      <c r="O549" s="25">
        <f t="shared" si="0"/>
        <v>0</v>
      </c>
      <c r="P549" s="25" t="str">
        <f t="shared" si="2"/>
        <v/>
      </c>
      <c r="Q549" s="25" t="str">
        <f ca="1">IFERROR(__xludf.DUMMYFUNCTION("""COMPUTED_VALUE"""),"Sin defenir")</f>
        <v>Sin defenir</v>
      </c>
      <c r="R549" s="25"/>
      <c r="S549" s="55"/>
      <c r="T549" s="56"/>
      <c r="U549" s="25"/>
      <c r="V549" s="25"/>
      <c r="W549" s="25"/>
      <c r="X549" s="25"/>
      <c r="Y549" s="25"/>
      <c r="Z549" s="25"/>
    </row>
    <row r="550" spans="1:26" ht="52.5" customHeight="1" x14ac:dyDescent="0.25">
      <c r="A550" s="25" t="str">
        <f ca="1">IFERROR(__xludf.DUMMYFUNCTION("""COMPUTED_VALUE"""),"Salud248")</f>
        <v>Salud248</v>
      </c>
      <c r="B550" s="25"/>
      <c r="C550" s="55"/>
      <c r="D550" s="25" t="str">
        <f ca="1">IFERROR(__xludf.DUMMYFUNCTION("""COMPUTED_VALUE"""),"Salud")</f>
        <v>Salud</v>
      </c>
      <c r="E550" s="25"/>
      <c r="F550" s="25"/>
      <c r="G550" s="25"/>
      <c r="H550" s="25"/>
      <c r="I550" s="25"/>
      <c r="J550" s="55"/>
      <c r="K550" s="25" t="str">
        <f ca="1">IFERROR(__xludf.DUMMYFUNCTION("""COMPUTED_VALUE"""),"Definir fecha")</f>
        <v>Definir fecha</v>
      </c>
      <c r="L550" s="62"/>
      <c r="M550" s="25"/>
      <c r="N550" s="25"/>
      <c r="O550" s="25">
        <f t="shared" si="0"/>
        <v>0</v>
      </c>
      <c r="P550" s="25" t="str">
        <f t="shared" si="2"/>
        <v/>
      </c>
      <c r="Q550" s="25" t="str">
        <f ca="1">IFERROR(__xludf.DUMMYFUNCTION("""COMPUTED_VALUE"""),"Sin defenir")</f>
        <v>Sin defenir</v>
      </c>
      <c r="R550" s="25"/>
      <c r="S550" s="55"/>
      <c r="T550" s="56"/>
      <c r="U550" s="25"/>
      <c r="V550" s="25"/>
      <c r="W550" s="25"/>
      <c r="X550" s="25"/>
      <c r="Y550" s="25"/>
      <c r="Z550" s="25"/>
    </row>
    <row r="551" spans="1:26" ht="52.5" customHeight="1" x14ac:dyDescent="0.25">
      <c r="A551" s="25" t="str">
        <f ca="1">IFERROR(__xludf.DUMMYFUNCTION("""COMPUTED_VALUE"""),"Salud249")</f>
        <v>Salud249</v>
      </c>
      <c r="B551" s="25"/>
      <c r="C551" s="55"/>
      <c r="D551" s="25" t="str">
        <f ca="1">IFERROR(__xludf.DUMMYFUNCTION("""COMPUTED_VALUE"""),"Salud")</f>
        <v>Salud</v>
      </c>
      <c r="E551" s="25"/>
      <c r="F551" s="25"/>
      <c r="G551" s="25"/>
      <c r="H551" s="25"/>
      <c r="I551" s="25"/>
      <c r="J551" s="55"/>
      <c r="K551" s="25" t="str">
        <f ca="1">IFERROR(__xludf.DUMMYFUNCTION("""COMPUTED_VALUE"""),"Definir fecha")</f>
        <v>Definir fecha</v>
      </c>
      <c r="L551" s="62"/>
      <c r="M551" s="25"/>
      <c r="N551" s="25"/>
      <c r="O551" s="25">
        <f t="shared" si="0"/>
        <v>0</v>
      </c>
      <c r="P551" s="25" t="str">
        <f t="shared" si="2"/>
        <v/>
      </c>
      <c r="Q551" s="25" t="str">
        <f ca="1">IFERROR(__xludf.DUMMYFUNCTION("""COMPUTED_VALUE"""),"Sin defenir")</f>
        <v>Sin defenir</v>
      </c>
      <c r="R551" s="25"/>
      <c r="S551" s="55"/>
      <c r="T551" s="56"/>
      <c r="U551" s="25"/>
      <c r="V551" s="25"/>
      <c r="W551" s="25"/>
      <c r="X551" s="25"/>
      <c r="Y551" s="25"/>
      <c r="Z551" s="25"/>
    </row>
    <row r="552" spans="1:26" ht="52.5" customHeight="1" x14ac:dyDescent="0.25">
      <c r="A552" s="25" t="str">
        <f ca="1">IFERROR(__xludf.DUMMYFUNCTION("""COMPUTED_VALUE"""),"Salud250")</f>
        <v>Salud250</v>
      </c>
      <c r="B552" s="25"/>
      <c r="C552" s="55"/>
      <c r="D552" s="25" t="str">
        <f ca="1">IFERROR(__xludf.DUMMYFUNCTION("""COMPUTED_VALUE"""),"Salud")</f>
        <v>Salud</v>
      </c>
      <c r="E552" s="25"/>
      <c r="F552" s="25"/>
      <c r="G552" s="25"/>
      <c r="H552" s="25"/>
      <c r="I552" s="25"/>
      <c r="J552" s="55"/>
      <c r="K552" s="25" t="str">
        <f ca="1">IFERROR(__xludf.DUMMYFUNCTION("""COMPUTED_VALUE"""),"Definir fecha")</f>
        <v>Definir fecha</v>
      </c>
      <c r="L552" s="62"/>
      <c r="M552" s="25"/>
      <c r="N552" s="25"/>
      <c r="O552" s="25">
        <f t="shared" si="0"/>
        <v>0</v>
      </c>
      <c r="P552" s="25" t="str">
        <f t="shared" si="2"/>
        <v/>
      </c>
      <c r="Q552" s="25" t="str">
        <f ca="1">IFERROR(__xludf.DUMMYFUNCTION("""COMPUTED_VALUE"""),"Sin defenir")</f>
        <v>Sin defenir</v>
      </c>
      <c r="R552" s="25"/>
      <c r="S552" s="55"/>
      <c r="T552" s="56"/>
      <c r="U552" s="25"/>
      <c r="V552" s="25"/>
      <c r="W552" s="25"/>
      <c r="X552" s="25"/>
      <c r="Y552" s="25"/>
      <c r="Z552" s="25"/>
    </row>
    <row r="553" spans="1:26" ht="52.5" customHeight="1" x14ac:dyDescent="0.25">
      <c r="A553" s="25" t="str">
        <f ca="1">IFERROR(__xludf.DUMMYFUNCTION("""COMPUTED_VALUE"""),"Salud251")</f>
        <v>Salud251</v>
      </c>
      <c r="B553" s="25"/>
      <c r="C553" s="55"/>
      <c r="D553" s="25" t="str">
        <f ca="1">IFERROR(__xludf.DUMMYFUNCTION("""COMPUTED_VALUE"""),"Salud")</f>
        <v>Salud</v>
      </c>
      <c r="E553" s="25"/>
      <c r="F553" s="25"/>
      <c r="G553" s="25"/>
      <c r="H553" s="25"/>
      <c r="I553" s="25"/>
      <c r="J553" s="55"/>
      <c r="K553" s="25" t="str">
        <f ca="1">IFERROR(__xludf.DUMMYFUNCTION("""COMPUTED_VALUE"""),"Definir fecha")</f>
        <v>Definir fecha</v>
      </c>
      <c r="L553" s="62"/>
      <c r="M553" s="25"/>
      <c r="N553" s="25"/>
      <c r="O553" s="25">
        <f t="shared" si="0"/>
        <v>0</v>
      </c>
      <c r="P553" s="25" t="str">
        <f t="shared" si="2"/>
        <v/>
      </c>
      <c r="Q553" s="25" t="str">
        <f ca="1">IFERROR(__xludf.DUMMYFUNCTION("""COMPUTED_VALUE"""),"Sin defenir")</f>
        <v>Sin defenir</v>
      </c>
      <c r="R553" s="25"/>
      <c r="S553" s="55"/>
      <c r="T553" s="56"/>
      <c r="U553" s="25"/>
      <c r="V553" s="25"/>
      <c r="W553" s="25"/>
      <c r="X553" s="25"/>
      <c r="Y553" s="25"/>
      <c r="Z553" s="25"/>
    </row>
    <row r="554" spans="1:26" ht="52.5" customHeight="1" x14ac:dyDescent="0.25">
      <c r="A554" s="25" t="str">
        <f ca="1">IFERROR(__xludf.DUMMYFUNCTION("""COMPUTED_VALUE"""),"Salud252")</f>
        <v>Salud252</v>
      </c>
      <c r="B554" s="25"/>
      <c r="C554" s="55"/>
      <c r="D554" s="25" t="str">
        <f ca="1">IFERROR(__xludf.DUMMYFUNCTION("""COMPUTED_VALUE"""),"Salud")</f>
        <v>Salud</v>
      </c>
      <c r="E554" s="25"/>
      <c r="F554" s="25"/>
      <c r="G554" s="25"/>
      <c r="H554" s="25"/>
      <c r="I554" s="25"/>
      <c r="J554" s="55"/>
      <c r="K554" s="25" t="str">
        <f ca="1">IFERROR(__xludf.DUMMYFUNCTION("""COMPUTED_VALUE"""),"Definir fecha")</f>
        <v>Definir fecha</v>
      </c>
      <c r="L554" s="62"/>
      <c r="M554" s="25"/>
      <c r="N554" s="25"/>
      <c r="O554" s="25">
        <f t="shared" si="0"/>
        <v>0</v>
      </c>
      <c r="P554" s="25" t="str">
        <f t="shared" si="2"/>
        <v/>
      </c>
      <c r="Q554" s="25" t="str">
        <f ca="1">IFERROR(__xludf.DUMMYFUNCTION("""COMPUTED_VALUE"""),"Sin defenir")</f>
        <v>Sin defenir</v>
      </c>
      <c r="R554" s="25"/>
      <c r="S554" s="55"/>
      <c r="T554" s="56"/>
      <c r="U554" s="25"/>
      <c r="V554" s="25"/>
      <c r="W554" s="25"/>
      <c r="X554" s="25"/>
      <c r="Y554" s="25"/>
      <c r="Z554" s="25"/>
    </row>
    <row r="555" spans="1:26" ht="52.5" customHeight="1" x14ac:dyDescent="0.25">
      <c r="A555" s="25" t="str">
        <f ca="1">IFERROR(__xludf.DUMMYFUNCTION("""COMPUTED_VALUE"""),"Salud253")</f>
        <v>Salud253</v>
      </c>
      <c r="B555" s="25"/>
      <c r="C555" s="55"/>
      <c r="D555" s="25" t="str">
        <f ca="1">IFERROR(__xludf.DUMMYFUNCTION("""COMPUTED_VALUE"""),"Salud")</f>
        <v>Salud</v>
      </c>
      <c r="E555" s="25"/>
      <c r="F555" s="25"/>
      <c r="G555" s="25"/>
      <c r="H555" s="25"/>
      <c r="I555" s="25"/>
      <c r="J555" s="55"/>
      <c r="K555" s="25" t="str">
        <f ca="1">IFERROR(__xludf.DUMMYFUNCTION("""COMPUTED_VALUE"""),"Definir fecha")</f>
        <v>Definir fecha</v>
      </c>
      <c r="L555" s="62"/>
      <c r="M555" s="25"/>
      <c r="N555" s="25"/>
      <c r="O555" s="25">
        <f t="shared" si="0"/>
        <v>0</v>
      </c>
      <c r="P555" s="25" t="str">
        <f t="shared" si="2"/>
        <v/>
      </c>
      <c r="Q555" s="25" t="str">
        <f ca="1">IFERROR(__xludf.DUMMYFUNCTION("""COMPUTED_VALUE"""),"Sin defenir")</f>
        <v>Sin defenir</v>
      </c>
      <c r="R555" s="25"/>
      <c r="S555" s="55"/>
      <c r="T555" s="56"/>
      <c r="U555" s="25"/>
      <c r="V555" s="25"/>
      <c r="W555" s="25"/>
      <c r="X555" s="25"/>
      <c r="Y555" s="25"/>
      <c r="Z555" s="25"/>
    </row>
    <row r="556" spans="1:26" ht="52.5" customHeight="1" x14ac:dyDescent="0.25">
      <c r="A556" s="25" t="str">
        <f ca="1">IFERROR(__xludf.DUMMYFUNCTION("""COMPUTED_VALUE"""),"Salud254")</f>
        <v>Salud254</v>
      </c>
      <c r="B556" s="25"/>
      <c r="C556" s="55"/>
      <c r="D556" s="25" t="str">
        <f ca="1">IFERROR(__xludf.DUMMYFUNCTION("""COMPUTED_VALUE"""),"Salud")</f>
        <v>Salud</v>
      </c>
      <c r="E556" s="25"/>
      <c r="F556" s="25"/>
      <c r="G556" s="25"/>
      <c r="H556" s="25"/>
      <c r="I556" s="25"/>
      <c r="J556" s="55"/>
      <c r="K556" s="25" t="str">
        <f ca="1">IFERROR(__xludf.DUMMYFUNCTION("""COMPUTED_VALUE"""),"Definir fecha")</f>
        <v>Definir fecha</v>
      </c>
      <c r="L556" s="62"/>
      <c r="M556" s="25"/>
      <c r="N556" s="25"/>
      <c r="O556" s="25">
        <f t="shared" si="0"/>
        <v>0</v>
      </c>
      <c r="P556" s="25" t="str">
        <f t="shared" si="2"/>
        <v/>
      </c>
      <c r="Q556" s="25" t="str">
        <f ca="1">IFERROR(__xludf.DUMMYFUNCTION("""COMPUTED_VALUE"""),"Sin defenir")</f>
        <v>Sin defenir</v>
      </c>
      <c r="R556" s="25"/>
      <c r="S556" s="55"/>
      <c r="T556" s="56"/>
      <c r="U556" s="25"/>
      <c r="V556" s="25"/>
      <c r="W556" s="25"/>
      <c r="X556" s="25"/>
      <c r="Y556" s="25"/>
      <c r="Z556" s="25"/>
    </row>
    <row r="557" spans="1:26" ht="52.5" customHeight="1" x14ac:dyDescent="0.25">
      <c r="A557" s="25" t="str">
        <f ca="1">IFERROR(__xludf.DUMMYFUNCTION("""COMPUTED_VALUE"""),"Salud255")</f>
        <v>Salud255</v>
      </c>
      <c r="B557" s="25"/>
      <c r="C557" s="55"/>
      <c r="D557" s="25" t="str">
        <f ca="1">IFERROR(__xludf.DUMMYFUNCTION("""COMPUTED_VALUE"""),"Salud")</f>
        <v>Salud</v>
      </c>
      <c r="E557" s="25"/>
      <c r="F557" s="25"/>
      <c r="G557" s="25"/>
      <c r="H557" s="25"/>
      <c r="I557" s="25"/>
      <c r="J557" s="55"/>
      <c r="K557" s="25" t="str">
        <f ca="1">IFERROR(__xludf.DUMMYFUNCTION("""COMPUTED_VALUE"""),"Definir fecha")</f>
        <v>Definir fecha</v>
      </c>
      <c r="L557" s="62"/>
      <c r="M557" s="25"/>
      <c r="N557" s="25"/>
      <c r="O557" s="25">
        <f t="shared" si="0"/>
        <v>0</v>
      </c>
      <c r="P557" s="25" t="str">
        <f t="shared" si="2"/>
        <v/>
      </c>
      <c r="Q557" s="25" t="str">
        <f ca="1">IFERROR(__xludf.DUMMYFUNCTION("""COMPUTED_VALUE"""),"Sin defenir")</f>
        <v>Sin defenir</v>
      </c>
      <c r="R557" s="25"/>
      <c r="S557" s="55"/>
      <c r="T557" s="56"/>
      <c r="U557" s="25"/>
      <c r="V557" s="25"/>
      <c r="W557" s="25"/>
      <c r="X557" s="25"/>
      <c r="Y557" s="25"/>
      <c r="Z557" s="25"/>
    </row>
    <row r="558" spans="1:26" ht="52.5" customHeight="1" x14ac:dyDescent="0.25">
      <c r="A558" s="25" t="str">
        <f ca="1">IFERROR(__xludf.DUMMYFUNCTION("""COMPUTED_VALUE"""),"Salud256")</f>
        <v>Salud256</v>
      </c>
      <c r="B558" s="25"/>
      <c r="C558" s="55"/>
      <c r="D558" s="25" t="str">
        <f ca="1">IFERROR(__xludf.DUMMYFUNCTION("""COMPUTED_VALUE"""),"Salud")</f>
        <v>Salud</v>
      </c>
      <c r="E558" s="25"/>
      <c r="F558" s="25"/>
      <c r="G558" s="25"/>
      <c r="H558" s="25"/>
      <c r="I558" s="25"/>
      <c r="J558" s="55"/>
      <c r="K558" s="25" t="str">
        <f ca="1">IFERROR(__xludf.DUMMYFUNCTION("""COMPUTED_VALUE"""),"Definir fecha")</f>
        <v>Definir fecha</v>
      </c>
      <c r="L558" s="62"/>
      <c r="M558" s="25"/>
      <c r="N558" s="25"/>
      <c r="O558" s="25">
        <f t="shared" si="0"/>
        <v>0</v>
      </c>
      <c r="P558" s="25" t="str">
        <f t="shared" si="2"/>
        <v/>
      </c>
      <c r="Q558" s="25" t="str">
        <f ca="1">IFERROR(__xludf.DUMMYFUNCTION("""COMPUTED_VALUE"""),"Sin defenir")</f>
        <v>Sin defenir</v>
      </c>
      <c r="R558" s="25"/>
      <c r="S558" s="55"/>
      <c r="T558" s="56"/>
      <c r="U558" s="25"/>
      <c r="V558" s="25"/>
      <c r="W558" s="25"/>
      <c r="X558" s="25"/>
      <c r="Y558" s="25"/>
      <c r="Z558" s="25"/>
    </row>
    <row r="559" spans="1:26" ht="52.5" customHeight="1" x14ac:dyDescent="0.25">
      <c r="A559" s="25" t="str">
        <f ca="1">IFERROR(__xludf.DUMMYFUNCTION("""COMPUTED_VALUE"""),"Salud257")</f>
        <v>Salud257</v>
      </c>
      <c r="B559" s="25"/>
      <c r="C559" s="55"/>
      <c r="D559" s="25" t="str">
        <f ca="1">IFERROR(__xludf.DUMMYFUNCTION("""COMPUTED_VALUE"""),"Salud")</f>
        <v>Salud</v>
      </c>
      <c r="E559" s="25"/>
      <c r="F559" s="25"/>
      <c r="G559" s="25"/>
      <c r="H559" s="25"/>
      <c r="I559" s="25"/>
      <c r="J559" s="55"/>
      <c r="K559" s="25" t="str">
        <f ca="1">IFERROR(__xludf.DUMMYFUNCTION("""COMPUTED_VALUE"""),"Definir fecha")</f>
        <v>Definir fecha</v>
      </c>
      <c r="L559" s="62"/>
      <c r="M559" s="25"/>
      <c r="N559" s="25"/>
      <c r="O559" s="25">
        <f t="shared" si="0"/>
        <v>0</v>
      </c>
      <c r="P559" s="25" t="str">
        <f t="shared" si="2"/>
        <v/>
      </c>
      <c r="Q559" s="25" t="str">
        <f ca="1">IFERROR(__xludf.DUMMYFUNCTION("""COMPUTED_VALUE"""),"Sin defenir")</f>
        <v>Sin defenir</v>
      </c>
      <c r="R559" s="25"/>
      <c r="S559" s="55"/>
      <c r="T559" s="56"/>
      <c r="U559" s="25"/>
      <c r="V559" s="25"/>
      <c r="W559" s="25"/>
      <c r="X559" s="25"/>
      <c r="Y559" s="25"/>
      <c r="Z559" s="25"/>
    </row>
    <row r="560" spans="1:26" ht="52.5" customHeight="1" x14ac:dyDescent="0.25">
      <c r="A560" s="25" t="str">
        <f ca="1">IFERROR(__xludf.DUMMYFUNCTION("""COMPUTED_VALUE"""),"Salud258")</f>
        <v>Salud258</v>
      </c>
      <c r="B560" s="25"/>
      <c r="C560" s="55"/>
      <c r="D560" s="25" t="str">
        <f ca="1">IFERROR(__xludf.DUMMYFUNCTION("""COMPUTED_VALUE"""),"Salud")</f>
        <v>Salud</v>
      </c>
      <c r="E560" s="25"/>
      <c r="F560" s="25"/>
      <c r="G560" s="25"/>
      <c r="H560" s="25"/>
      <c r="I560" s="25"/>
      <c r="J560" s="55"/>
      <c r="K560" s="25" t="str">
        <f ca="1">IFERROR(__xludf.DUMMYFUNCTION("""COMPUTED_VALUE"""),"Definir fecha")</f>
        <v>Definir fecha</v>
      </c>
      <c r="L560" s="62"/>
      <c r="M560" s="25"/>
      <c r="N560" s="25"/>
      <c r="O560" s="25">
        <f t="shared" si="0"/>
        <v>0</v>
      </c>
      <c r="P560" s="25" t="str">
        <f t="shared" si="2"/>
        <v/>
      </c>
      <c r="Q560" s="25" t="str">
        <f ca="1">IFERROR(__xludf.DUMMYFUNCTION("""COMPUTED_VALUE"""),"Sin defenir")</f>
        <v>Sin defenir</v>
      </c>
      <c r="R560" s="25"/>
      <c r="S560" s="55"/>
      <c r="T560" s="56"/>
      <c r="U560" s="25"/>
      <c r="V560" s="25"/>
      <c r="W560" s="25"/>
      <c r="X560" s="25"/>
      <c r="Y560" s="25"/>
      <c r="Z560" s="25"/>
    </row>
    <row r="561" spans="1:26" ht="52.5" customHeight="1" x14ac:dyDescent="0.25">
      <c r="A561" s="25" t="str">
        <f ca="1">IFERROR(__xludf.DUMMYFUNCTION("""COMPUTED_VALUE"""),"Salud259")</f>
        <v>Salud259</v>
      </c>
      <c r="B561" s="25"/>
      <c r="C561" s="55"/>
      <c r="D561" s="25" t="str">
        <f ca="1">IFERROR(__xludf.DUMMYFUNCTION("""COMPUTED_VALUE"""),"Salud")</f>
        <v>Salud</v>
      </c>
      <c r="E561" s="25"/>
      <c r="F561" s="25"/>
      <c r="G561" s="25"/>
      <c r="H561" s="25"/>
      <c r="I561" s="25"/>
      <c r="J561" s="55"/>
      <c r="K561" s="25" t="str">
        <f ca="1">IFERROR(__xludf.DUMMYFUNCTION("""COMPUTED_VALUE"""),"Definir fecha")</f>
        <v>Definir fecha</v>
      </c>
      <c r="L561" s="62"/>
      <c r="M561" s="25"/>
      <c r="N561" s="25"/>
      <c r="O561" s="25">
        <f t="shared" si="0"/>
        <v>0</v>
      </c>
      <c r="P561" s="25" t="str">
        <f t="shared" si="2"/>
        <v/>
      </c>
      <c r="Q561" s="25" t="str">
        <f ca="1">IFERROR(__xludf.DUMMYFUNCTION("""COMPUTED_VALUE"""),"Sin defenir")</f>
        <v>Sin defenir</v>
      </c>
      <c r="R561" s="25"/>
      <c r="S561" s="55"/>
      <c r="T561" s="56"/>
      <c r="U561" s="25"/>
      <c r="V561" s="25"/>
      <c r="W561" s="25"/>
      <c r="X561" s="25"/>
      <c r="Y561" s="25"/>
      <c r="Z561" s="25"/>
    </row>
    <row r="562" spans="1:26" ht="52.5" customHeight="1" x14ac:dyDescent="0.25">
      <c r="A562" s="25" t="str">
        <f ca="1">IFERROR(__xludf.DUMMYFUNCTION("""COMPUTED_VALUE"""),"Salud260")</f>
        <v>Salud260</v>
      </c>
      <c r="B562" s="25"/>
      <c r="C562" s="55"/>
      <c r="D562" s="25" t="str">
        <f ca="1">IFERROR(__xludf.DUMMYFUNCTION("""COMPUTED_VALUE"""),"Salud")</f>
        <v>Salud</v>
      </c>
      <c r="E562" s="25"/>
      <c r="F562" s="25"/>
      <c r="G562" s="25"/>
      <c r="H562" s="25"/>
      <c r="I562" s="25"/>
      <c r="J562" s="55"/>
      <c r="K562" s="25" t="str">
        <f ca="1">IFERROR(__xludf.DUMMYFUNCTION("""COMPUTED_VALUE"""),"Definir fecha")</f>
        <v>Definir fecha</v>
      </c>
      <c r="L562" s="62"/>
      <c r="M562" s="25"/>
      <c r="N562" s="25"/>
      <c r="O562" s="25">
        <f t="shared" si="0"/>
        <v>0</v>
      </c>
      <c r="P562" s="25" t="str">
        <f t="shared" si="2"/>
        <v/>
      </c>
      <c r="Q562" s="25" t="str">
        <f ca="1">IFERROR(__xludf.DUMMYFUNCTION("""COMPUTED_VALUE"""),"Sin defenir")</f>
        <v>Sin defenir</v>
      </c>
      <c r="R562" s="25"/>
      <c r="S562" s="55"/>
      <c r="T562" s="56"/>
      <c r="U562" s="25"/>
      <c r="V562" s="25"/>
      <c r="W562" s="25"/>
      <c r="X562" s="25"/>
      <c r="Y562" s="25"/>
      <c r="Z562" s="25"/>
    </row>
    <row r="563" spans="1:26" ht="52.5" customHeight="1" x14ac:dyDescent="0.25">
      <c r="A563" s="25" t="str">
        <f ca="1">IFERROR(__xludf.DUMMYFUNCTION("""COMPUTED_VALUE"""),"Salud261")</f>
        <v>Salud261</v>
      </c>
      <c r="B563" s="25"/>
      <c r="C563" s="55"/>
      <c r="D563" s="25" t="str">
        <f ca="1">IFERROR(__xludf.DUMMYFUNCTION("""COMPUTED_VALUE"""),"Salud")</f>
        <v>Salud</v>
      </c>
      <c r="E563" s="25"/>
      <c r="F563" s="25"/>
      <c r="G563" s="25"/>
      <c r="H563" s="25"/>
      <c r="I563" s="25"/>
      <c r="J563" s="55"/>
      <c r="K563" s="25" t="str">
        <f ca="1">IFERROR(__xludf.DUMMYFUNCTION("""COMPUTED_VALUE"""),"Definir fecha")</f>
        <v>Definir fecha</v>
      </c>
      <c r="L563" s="62"/>
      <c r="M563" s="25"/>
      <c r="N563" s="25"/>
      <c r="O563" s="25">
        <f t="shared" si="0"/>
        <v>0</v>
      </c>
      <c r="P563" s="25" t="str">
        <f t="shared" si="2"/>
        <v/>
      </c>
      <c r="Q563" s="25" t="str">
        <f ca="1">IFERROR(__xludf.DUMMYFUNCTION("""COMPUTED_VALUE"""),"Sin defenir")</f>
        <v>Sin defenir</v>
      </c>
      <c r="R563" s="25"/>
      <c r="S563" s="55"/>
      <c r="T563" s="56"/>
      <c r="U563" s="25"/>
      <c r="V563" s="25"/>
      <c r="W563" s="25"/>
      <c r="X563" s="25"/>
      <c r="Y563" s="25"/>
      <c r="Z563" s="25"/>
    </row>
    <row r="564" spans="1:26" ht="52.5" customHeight="1" x14ac:dyDescent="0.25">
      <c r="A564" s="25" t="str">
        <f ca="1">IFERROR(__xludf.DUMMYFUNCTION("""COMPUTED_VALUE"""),"Salud262")</f>
        <v>Salud262</v>
      </c>
      <c r="B564" s="25"/>
      <c r="C564" s="55"/>
      <c r="D564" s="25" t="str">
        <f ca="1">IFERROR(__xludf.DUMMYFUNCTION("""COMPUTED_VALUE"""),"Salud")</f>
        <v>Salud</v>
      </c>
      <c r="E564" s="25"/>
      <c r="F564" s="25"/>
      <c r="G564" s="25"/>
      <c r="H564" s="25"/>
      <c r="I564" s="25"/>
      <c r="J564" s="55"/>
      <c r="K564" s="25" t="str">
        <f ca="1">IFERROR(__xludf.DUMMYFUNCTION("""COMPUTED_VALUE"""),"Definir fecha")</f>
        <v>Definir fecha</v>
      </c>
      <c r="L564" s="62"/>
      <c r="M564" s="25"/>
      <c r="N564" s="25"/>
      <c r="O564" s="25">
        <f t="shared" si="0"/>
        <v>0</v>
      </c>
      <c r="P564" s="25" t="str">
        <f t="shared" si="2"/>
        <v/>
      </c>
      <c r="Q564" s="25" t="str">
        <f ca="1">IFERROR(__xludf.DUMMYFUNCTION("""COMPUTED_VALUE"""),"Sin defenir")</f>
        <v>Sin defenir</v>
      </c>
      <c r="R564" s="25"/>
      <c r="S564" s="55"/>
      <c r="T564" s="56"/>
      <c r="U564" s="25"/>
      <c r="V564" s="25"/>
      <c r="W564" s="25"/>
      <c r="X564" s="25"/>
      <c r="Y564" s="25"/>
      <c r="Z564" s="25"/>
    </row>
    <row r="565" spans="1:26" ht="52.5" customHeight="1" x14ac:dyDescent="0.25">
      <c r="A565" s="25" t="str">
        <f ca="1">IFERROR(__xludf.DUMMYFUNCTION("""COMPUTED_VALUE"""),"Salud263")</f>
        <v>Salud263</v>
      </c>
      <c r="B565" s="25"/>
      <c r="C565" s="55"/>
      <c r="D565" s="25" t="str">
        <f ca="1">IFERROR(__xludf.DUMMYFUNCTION("""COMPUTED_VALUE"""),"Salud")</f>
        <v>Salud</v>
      </c>
      <c r="E565" s="25"/>
      <c r="F565" s="25"/>
      <c r="G565" s="25"/>
      <c r="H565" s="25"/>
      <c r="I565" s="25"/>
      <c r="J565" s="55"/>
      <c r="K565" s="25" t="str">
        <f ca="1">IFERROR(__xludf.DUMMYFUNCTION("""COMPUTED_VALUE"""),"Definir fecha")</f>
        <v>Definir fecha</v>
      </c>
      <c r="L565" s="62"/>
      <c r="M565" s="25"/>
      <c r="N565" s="25"/>
      <c r="O565" s="25">
        <f t="shared" si="0"/>
        <v>0</v>
      </c>
      <c r="P565" s="25" t="str">
        <f t="shared" si="2"/>
        <v/>
      </c>
      <c r="Q565" s="25" t="str">
        <f ca="1">IFERROR(__xludf.DUMMYFUNCTION("""COMPUTED_VALUE"""),"Sin defenir")</f>
        <v>Sin defenir</v>
      </c>
      <c r="R565" s="25"/>
      <c r="S565" s="55"/>
      <c r="T565" s="56"/>
      <c r="U565" s="25"/>
      <c r="V565" s="25"/>
      <c r="W565" s="25"/>
      <c r="X565" s="25"/>
      <c r="Y565" s="25"/>
      <c r="Z565" s="25"/>
    </row>
    <row r="566" spans="1:26" ht="52.5" customHeight="1" x14ac:dyDescent="0.25">
      <c r="A566" s="25" t="str">
        <f ca="1">IFERROR(__xludf.DUMMYFUNCTION("""COMPUTED_VALUE"""),"Salud264")</f>
        <v>Salud264</v>
      </c>
      <c r="B566" s="25"/>
      <c r="C566" s="55"/>
      <c r="D566" s="25" t="str">
        <f ca="1">IFERROR(__xludf.DUMMYFUNCTION("""COMPUTED_VALUE"""),"Salud")</f>
        <v>Salud</v>
      </c>
      <c r="E566" s="25"/>
      <c r="F566" s="25"/>
      <c r="G566" s="25"/>
      <c r="H566" s="25"/>
      <c r="I566" s="25"/>
      <c r="J566" s="55"/>
      <c r="K566" s="25" t="str">
        <f ca="1">IFERROR(__xludf.DUMMYFUNCTION("""COMPUTED_VALUE"""),"Definir fecha")</f>
        <v>Definir fecha</v>
      </c>
      <c r="L566" s="62"/>
      <c r="M566" s="25"/>
      <c r="N566" s="25"/>
      <c r="O566" s="25">
        <f t="shared" si="0"/>
        <v>0</v>
      </c>
      <c r="P566" s="25" t="str">
        <f t="shared" si="2"/>
        <v/>
      </c>
      <c r="Q566" s="25" t="str">
        <f ca="1">IFERROR(__xludf.DUMMYFUNCTION("""COMPUTED_VALUE"""),"Sin defenir")</f>
        <v>Sin defenir</v>
      </c>
      <c r="R566" s="25"/>
      <c r="S566" s="55"/>
      <c r="T566" s="56"/>
      <c r="U566" s="25"/>
      <c r="V566" s="25"/>
      <c r="W566" s="25"/>
      <c r="X566" s="25"/>
      <c r="Y566" s="25"/>
      <c r="Z566" s="25"/>
    </row>
    <row r="567" spans="1:26" ht="52.5" customHeight="1" x14ac:dyDescent="0.25">
      <c r="A567" s="25" t="str">
        <f ca="1">IFERROR(__xludf.DUMMYFUNCTION("""COMPUTED_VALUE"""),"Salud265")</f>
        <v>Salud265</v>
      </c>
      <c r="B567" s="25"/>
      <c r="C567" s="55"/>
      <c r="D567" s="25" t="str">
        <f ca="1">IFERROR(__xludf.DUMMYFUNCTION("""COMPUTED_VALUE"""),"Salud")</f>
        <v>Salud</v>
      </c>
      <c r="E567" s="25"/>
      <c r="F567" s="25"/>
      <c r="G567" s="25"/>
      <c r="H567" s="25"/>
      <c r="I567" s="25"/>
      <c r="J567" s="55"/>
      <c r="K567" s="25" t="str">
        <f ca="1">IFERROR(__xludf.DUMMYFUNCTION("""COMPUTED_VALUE"""),"Definir fecha")</f>
        <v>Definir fecha</v>
      </c>
      <c r="L567" s="62"/>
      <c r="M567" s="25"/>
      <c r="N567" s="25"/>
      <c r="O567" s="25">
        <f t="shared" si="0"/>
        <v>0</v>
      </c>
      <c r="P567" s="25" t="str">
        <f t="shared" si="2"/>
        <v/>
      </c>
      <c r="Q567" s="25" t="str">
        <f ca="1">IFERROR(__xludf.DUMMYFUNCTION("""COMPUTED_VALUE"""),"Sin defenir")</f>
        <v>Sin defenir</v>
      </c>
      <c r="R567" s="25"/>
      <c r="S567" s="55"/>
      <c r="T567" s="56"/>
      <c r="U567" s="25"/>
      <c r="V567" s="25"/>
      <c r="W567" s="25"/>
      <c r="X567" s="25"/>
      <c r="Y567" s="25"/>
      <c r="Z567" s="25"/>
    </row>
    <row r="568" spans="1:26" ht="52.5" customHeight="1" x14ac:dyDescent="0.25">
      <c r="A568" s="25" t="str">
        <f ca="1">IFERROR(__xludf.DUMMYFUNCTION("""COMPUTED_VALUE"""),"Salud266")</f>
        <v>Salud266</v>
      </c>
      <c r="B568" s="25"/>
      <c r="C568" s="55"/>
      <c r="D568" s="25" t="str">
        <f ca="1">IFERROR(__xludf.DUMMYFUNCTION("""COMPUTED_VALUE"""),"Salud")</f>
        <v>Salud</v>
      </c>
      <c r="E568" s="25"/>
      <c r="F568" s="25"/>
      <c r="G568" s="25"/>
      <c r="H568" s="25"/>
      <c r="I568" s="25"/>
      <c r="J568" s="55"/>
      <c r="K568" s="25" t="str">
        <f ca="1">IFERROR(__xludf.DUMMYFUNCTION("""COMPUTED_VALUE"""),"Definir fecha")</f>
        <v>Definir fecha</v>
      </c>
      <c r="L568" s="62"/>
      <c r="M568" s="25"/>
      <c r="N568" s="25"/>
      <c r="O568" s="25">
        <f t="shared" si="0"/>
        <v>0</v>
      </c>
      <c r="P568" s="25" t="str">
        <f t="shared" si="2"/>
        <v/>
      </c>
      <c r="Q568" s="25" t="str">
        <f ca="1">IFERROR(__xludf.DUMMYFUNCTION("""COMPUTED_VALUE"""),"Sin defenir")</f>
        <v>Sin defenir</v>
      </c>
      <c r="R568" s="25"/>
      <c r="S568" s="55"/>
      <c r="T568" s="56"/>
      <c r="U568" s="25"/>
      <c r="V568" s="25"/>
      <c r="W568" s="25"/>
      <c r="X568" s="25"/>
      <c r="Y568" s="25"/>
      <c r="Z568" s="25"/>
    </row>
    <row r="569" spans="1:26" ht="52.5" customHeight="1" x14ac:dyDescent="0.25">
      <c r="A569" s="25" t="str">
        <f ca="1">IFERROR(__xludf.DUMMYFUNCTION("""COMPUTED_VALUE"""),"Salud267")</f>
        <v>Salud267</v>
      </c>
      <c r="B569" s="25"/>
      <c r="C569" s="55"/>
      <c r="D569" s="25" t="str">
        <f ca="1">IFERROR(__xludf.DUMMYFUNCTION("""COMPUTED_VALUE"""),"Salud")</f>
        <v>Salud</v>
      </c>
      <c r="E569" s="25"/>
      <c r="F569" s="25"/>
      <c r="G569" s="25"/>
      <c r="H569" s="25"/>
      <c r="I569" s="25"/>
      <c r="J569" s="55"/>
      <c r="K569" s="25" t="str">
        <f ca="1">IFERROR(__xludf.DUMMYFUNCTION("""COMPUTED_VALUE"""),"Definir fecha")</f>
        <v>Definir fecha</v>
      </c>
      <c r="L569" s="62"/>
      <c r="M569" s="25"/>
      <c r="N569" s="25"/>
      <c r="O569" s="25">
        <f t="shared" si="0"/>
        <v>0</v>
      </c>
      <c r="P569" s="25" t="str">
        <f t="shared" si="2"/>
        <v/>
      </c>
      <c r="Q569" s="25" t="str">
        <f ca="1">IFERROR(__xludf.DUMMYFUNCTION("""COMPUTED_VALUE"""),"Sin defenir")</f>
        <v>Sin defenir</v>
      </c>
      <c r="R569" s="25"/>
      <c r="S569" s="55"/>
      <c r="T569" s="56"/>
      <c r="U569" s="25"/>
      <c r="V569" s="25"/>
      <c r="W569" s="25"/>
      <c r="X569" s="25"/>
      <c r="Y569" s="25"/>
      <c r="Z569" s="25"/>
    </row>
    <row r="570" spans="1:26" ht="52.5" customHeight="1" x14ac:dyDescent="0.25">
      <c r="A570" s="25" t="str">
        <f ca="1">IFERROR(__xludf.DUMMYFUNCTION("""COMPUTED_VALUE"""),"Salud268")</f>
        <v>Salud268</v>
      </c>
      <c r="B570" s="25"/>
      <c r="C570" s="55"/>
      <c r="D570" s="25" t="str">
        <f ca="1">IFERROR(__xludf.DUMMYFUNCTION("""COMPUTED_VALUE"""),"Salud")</f>
        <v>Salud</v>
      </c>
      <c r="E570" s="25"/>
      <c r="F570" s="25"/>
      <c r="G570" s="25"/>
      <c r="H570" s="25"/>
      <c r="I570" s="25"/>
      <c r="J570" s="55"/>
      <c r="K570" s="25" t="str">
        <f ca="1">IFERROR(__xludf.DUMMYFUNCTION("""COMPUTED_VALUE"""),"Definir fecha")</f>
        <v>Definir fecha</v>
      </c>
      <c r="L570" s="62"/>
      <c r="M570" s="25"/>
      <c r="N570" s="25"/>
      <c r="O570" s="25">
        <f t="shared" si="0"/>
        <v>0</v>
      </c>
      <c r="P570" s="25" t="str">
        <f t="shared" si="2"/>
        <v/>
      </c>
      <c r="Q570" s="25" t="str">
        <f ca="1">IFERROR(__xludf.DUMMYFUNCTION("""COMPUTED_VALUE"""),"Sin defenir")</f>
        <v>Sin defenir</v>
      </c>
      <c r="R570" s="25"/>
      <c r="S570" s="55"/>
      <c r="T570" s="56"/>
      <c r="U570" s="25"/>
      <c r="V570" s="25"/>
      <c r="W570" s="25"/>
      <c r="X570" s="25"/>
      <c r="Y570" s="25"/>
      <c r="Z570" s="25"/>
    </row>
    <row r="571" spans="1:26" ht="52.5" customHeight="1" x14ac:dyDescent="0.25">
      <c r="A571" s="25" t="str">
        <f ca="1">IFERROR(__xludf.DUMMYFUNCTION("""COMPUTED_VALUE"""),"Salud269")</f>
        <v>Salud269</v>
      </c>
      <c r="B571" s="25"/>
      <c r="C571" s="55"/>
      <c r="D571" s="25" t="str">
        <f ca="1">IFERROR(__xludf.DUMMYFUNCTION("""COMPUTED_VALUE"""),"Salud")</f>
        <v>Salud</v>
      </c>
      <c r="E571" s="25"/>
      <c r="F571" s="25"/>
      <c r="G571" s="25"/>
      <c r="H571" s="25"/>
      <c r="I571" s="25"/>
      <c r="J571" s="55"/>
      <c r="K571" s="25" t="str">
        <f ca="1">IFERROR(__xludf.DUMMYFUNCTION("""COMPUTED_VALUE"""),"Definir fecha")</f>
        <v>Definir fecha</v>
      </c>
      <c r="L571" s="62"/>
      <c r="M571" s="25"/>
      <c r="N571" s="25"/>
      <c r="O571" s="25">
        <f t="shared" si="0"/>
        <v>0</v>
      </c>
      <c r="P571" s="25" t="str">
        <f t="shared" si="2"/>
        <v/>
      </c>
      <c r="Q571" s="25" t="str">
        <f ca="1">IFERROR(__xludf.DUMMYFUNCTION("""COMPUTED_VALUE"""),"Sin defenir")</f>
        <v>Sin defenir</v>
      </c>
      <c r="R571" s="25"/>
      <c r="S571" s="55"/>
      <c r="T571" s="56"/>
      <c r="U571" s="25"/>
      <c r="V571" s="25"/>
      <c r="W571" s="25"/>
      <c r="X571" s="25"/>
      <c r="Y571" s="25"/>
      <c r="Z571" s="25"/>
    </row>
    <row r="572" spans="1:26" ht="52.5" customHeight="1" x14ac:dyDescent="0.25">
      <c r="A572" s="25" t="str">
        <f ca="1">IFERROR(__xludf.DUMMYFUNCTION("""COMPUTED_VALUE"""),"Salud270")</f>
        <v>Salud270</v>
      </c>
      <c r="B572" s="25"/>
      <c r="C572" s="55"/>
      <c r="D572" s="25" t="str">
        <f ca="1">IFERROR(__xludf.DUMMYFUNCTION("""COMPUTED_VALUE"""),"Salud")</f>
        <v>Salud</v>
      </c>
      <c r="E572" s="25"/>
      <c r="F572" s="25"/>
      <c r="G572" s="25"/>
      <c r="H572" s="25"/>
      <c r="I572" s="25"/>
      <c r="J572" s="55"/>
      <c r="K572" s="25" t="str">
        <f ca="1">IFERROR(__xludf.DUMMYFUNCTION("""COMPUTED_VALUE"""),"Definir fecha")</f>
        <v>Definir fecha</v>
      </c>
      <c r="L572" s="62"/>
      <c r="M572" s="25"/>
      <c r="N572" s="25"/>
      <c r="O572" s="25">
        <f t="shared" si="0"/>
        <v>0</v>
      </c>
      <c r="P572" s="25" t="str">
        <f t="shared" si="2"/>
        <v/>
      </c>
      <c r="Q572" s="25" t="str">
        <f ca="1">IFERROR(__xludf.DUMMYFUNCTION("""COMPUTED_VALUE"""),"Sin defenir")</f>
        <v>Sin defenir</v>
      </c>
      <c r="R572" s="25"/>
      <c r="S572" s="55"/>
      <c r="T572" s="56"/>
      <c r="U572" s="25"/>
      <c r="V572" s="25"/>
      <c r="W572" s="25"/>
      <c r="X572" s="25"/>
      <c r="Y572" s="25"/>
      <c r="Z572" s="25"/>
    </row>
    <row r="573" spans="1:26" ht="52.5" customHeight="1" x14ac:dyDescent="0.25">
      <c r="A573" s="25" t="str">
        <f ca="1">IFERROR(__xludf.DUMMYFUNCTION("""COMPUTED_VALUE"""),"Salud271")</f>
        <v>Salud271</v>
      </c>
      <c r="B573" s="25"/>
      <c r="C573" s="55"/>
      <c r="D573" s="25" t="str">
        <f ca="1">IFERROR(__xludf.DUMMYFUNCTION("""COMPUTED_VALUE"""),"Salud")</f>
        <v>Salud</v>
      </c>
      <c r="E573" s="25"/>
      <c r="F573" s="25"/>
      <c r="G573" s="25"/>
      <c r="H573" s="25"/>
      <c r="I573" s="25"/>
      <c r="J573" s="55"/>
      <c r="K573" s="25" t="str">
        <f ca="1">IFERROR(__xludf.DUMMYFUNCTION("""COMPUTED_VALUE"""),"Definir fecha")</f>
        <v>Definir fecha</v>
      </c>
      <c r="L573" s="62"/>
      <c r="M573" s="25"/>
      <c r="N573" s="25"/>
      <c r="O573" s="25">
        <f t="shared" si="0"/>
        <v>0</v>
      </c>
      <c r="P573" s="25" t="str">
        <f t="shared" si="2"/>
        <v/>
      </c>
      <c r="Q573" s="25" t="str">
        <f ca="1">IFERROR(__xludf.DUMMYFUNCTION("""COMPUTED_VALUE"""),"Sin defenir")</f>
        <v>Sin defenir</v>
      </c>
      <c r="R573" s="25"/>
      <c r="S573" s="55"/>
      <c r="T573" s="56"/>
      <c r="U573" s="25"/>
      <c r="V573" s="25"/>
      <c r="W573" s="25"/>
      <c r="X573" s="25"/>
      <c r="Y573" s="25"/>
      <c r="Z573" s="25"/>
    </row>
    <row r="574" spans="1:26" ht="52.5" customHeight="1" x14ac:dyDescent="0.25">
      <c r="A574" s="25" t="str">
        <f ca="1">IFERROR(__xludf.DUMMYFUNCTION("""COMPUTED_VALUE"""),"Salud272")</f>
        <v>Salud272</v>
      </c>
      <c r="B574" s="25"/>
      <c r="C574" s="55"/>
      <c r="D574" s="25" t="str">
        <f ca="1">IFERROR(__xludf.DUMMYFUNCTION("""COMPUTED_VALUE"""),"Salud")</f>
        <v>Salud</v>
      </c>
      <c r="E574" s="25"/>
      <c r="F574" s="25"/>
      <c r="G574" s="25"/>
      <c r="H574" s="25"/>
      <c r="I574" s="25"/>
      <c r="J574" s="55"/>
      <c r="K574" s="25" t="str">
        <f ca="1">IFERROR(__xludf.DUMMYFUNCTION("""COMPUTED_VALUE"""),"Definir fecha")</f>
        <v>Definir fecha</v>
      </c>
      <c r="L574" s="62"/>
      <c r="M574" s="25"/>
      <c r="N574" s="25"/>
      <c r="O574" s="25">
        <f t="shared" si="0"/>
        <v>0</v>
      </c>
      <c r="P574" s="25" t="str">
        <f t="shared" si="2"/>
        <v/>
      </c>
      <c r="Q574" s="25" t="str">
        <f ca="1">IFERROR(__xludf.DUMMYFUNCTION("""COMPUTED_VALUE"""),"Sin defenir")</f>
        <v>Sin defenir</v>
      </c>
      <c r="R574" s="25"/>
      <c r="S574" s="55"/>
      <c r="T574" s="56"/>
      <c r="U574" s="25"/>
      <c r="V574" s="25"/>
      <c r="W574" s="25"/>
      <c r="X574" s="25"/>
      <c r="Y574" s="25"/>
      <c r="Z574" s="25"/>
    </row>
    <row r="575" spans="1:26" ht="52.5" customHeight="1" x14ac:dyDescent="0.25">
      <c r="A575" s="25" t="str">
        <f ca="1">IFERROR(__xludf.DUMMYFUNCTION("""COMPUTED_VALUE"""),"Salud273")</f>
        <v>Salud273</v>
      </c>
      <c r="B575" s="25"/>
      <c r="C575" s="55"/>
      <c r="D575" s="25" t="str">
        <f ca="1">IFERROR(__xludf.DUMMYFUNCTION("""COMPUTED_VALUE"""),"Salud")</f>
        <v>Salud</v>
      </c>
      <c r="E575" s="25"/>
      <c r="F575" s="25"/>
      <c r="G575" s="25"/>
      <c r="H575" s="25"/>
      <c r="I575" s="25"/>
      <c r="J575" s="55"/>
      <c r="K575" s="25" t="str">
        <f ca="1">IFERROR(__xludf.DUMMYFUNCTION("""COMPUTED_VALUE"""),"Definir fecha")</f>
        <v>Definir fecha</v>
      </c>
      <c r="L575" s="62"/>
      <c r="M575" s="25"/>
      <c r="N575" s="25"/>
      <c r="O575" s="25">
        <f t="shared" si="0"/>
        <v>0</v>
      </c>
      <c r="P575" s="25" t="str">
        <f t="shared" si="2"/>
        <v/>
      </c>
      <c r="Q575" s="25" t="str">
        <f ca="1">IFERROR(__xludf.DUMMYFUNCTION("""COMPUTED_VALUE"""),"Sin defenir")</f>
        <v>Sin defenir</v>
      </c>
      <c r="R575" s="25"/>
      <c r="S575" s="55"/>
      <c r="T575" s="56"/>
      <c r="U575" s="25"/>
      <c r="V575" s="25"/>
      <c r="W575" s="25"/>
      <c r="X575" s="25"/>
      <c r="Y575" s="25"/>
      <c r="Z575" s="25"/>
    </row>
    <row r="576" spans="1:26" ht="52.5" customHeight="1" x14ac:dyDescent="0.25">
      <c r="A576" s="25" t="str">
        <f ca="1">IFERROR(__xludf.DUMMYFUNCTION("""COMPUTED_VALUE"""),"Salud274")</f>
        <v>Salud274</v>
      </c>
      <c r="B576" s="25"/>
      <c r="C576" s="55"/>
      <c r="D576" s="25" t="str">
        <f ca="1">IFERROR(__xludf.DUMMYFUNCTION("""COMPUTED_VALUE"""),"Salud")</f>
        <v>Salud</v>
      </c>
      <c r="E576" s="25"/>
      <c r="F576" s="25"/>
      <c r="G576" s="25"/>
      <c r="H576" s="25"/>
      <c r="I576" s="25"/>
      <c r="J576" s="55"/>
      <c r="K576" s="25" t="str">
        <f ca="1">IFERROR(__xludf.DUMMYFUNCTION("""COMPUTED_VALUE"""),"Definir fecha")</f>
        <v>Definir fecha</v>
      </c>
      <c r="L576" s="62"/>
      <c r="M576" s="25"/>
      <c r="N576" s="25"/>
      <c r="O576" s="25">
        <f t="shared" si="0"/>
        <v>0</v>
      </c>
      <c r="P576" s="25" t="str">
        <f t="shared" si="2"/>
        <v/>
      </c>
      <c r="Q576" s="25" t="str">
        <f ca="1">IFERROR(__xludf.DUMMYFUNCTION("""COMPUTED_VALUE"""),"Sin defenir")</f>
        <v>Sin defenir</v>
      </c>
      <c r="R576" s="25"/>
      <c r="S576" s="55"/>
      <c r="T576" s="56"/>
      <c r="U576" s="25"/>
      <c r="V576" s="25"/>
      <c r="W576" s="25"/>
      <c r="X576" s="25"/>
      <c r="Y576" s="25"/>
      <c r="Z576" s="25"/>
    </row>
    <row r="577" spans="1:26" ht="52.5" customHeight="1" x14ac:dyDescent="0.25">
      <c r="A577" s="25" t="str">
        <f ca="1">IFERROR(__xludf.DUMMYFUNCTION("""COMPUTED_VALUE"""),"Salud275")</f>
        <v>Salud275</v>
      </c>
      <c r="B577" s="25"/>
      <c r="C577" s="55"/>
      <c r="D577" s="25" t="str">
        <f ca="1">IFERROR(__xludf.DUMMYFUNCTION("""COMPUTED_VALUE"""),"Salud")</f>
        <v>Salud</v>
      </c>
      <c r="E577" s="25"/>
      <c r="F577" s="25"/>
      <c r="G577" s="25"/>
      <c r="H577" s="25"/>
      <c r="I577" s="25"/>
      <c r="J577" s="55"/>
      <c r="K577" s="25" t="str">
        <f ca="1">IFERROR(__xludf.DUMMYFUNCTION("""COMPUTED_VALUE"""),"Definir fecha")</f>
        <v>Definir fecha</v>
      </c>
      <c r="L577" s="62"/>
      <c r="M577" s="25"/>
      <c r="N577" s="25"/>
      <c r="O577" s="25">
        <f t="shared" si="0"/>
        <v>0</v>
      </c>
      <c r="P577" s="25" t="str">
        <f t="shared" si="2"/>
        <v/>
      </c>
      <c r="Q577" s="25" t="str">
        <f ca="1">IFERROR(__xludf.DUMMYFUNCTION("""COMPUTED_VALUE"""),"Sin defenir")</f>
        <v>Sin defenir</v>
      </c>
      <c r="R577" s="25"/>
      <c r="S577" s="55"/>
      <c r="T577" s="56"/>
      <c r="U577" s="25"/>
      <c r="V577" s="25"/>
      <c r="W577" s="25"/>
      <c r="X577" s="25"/>
      <c r="Y577" s="25"/>
      <c r="Z577" s="25"/>
    </row>
    <row r="578" spans="1:26" ht="52.5" customHeight="1" x14ac:dyDescent="0.25">
      <c r="A578" s="25" t="str">
        <f ca="1">IFERROR(__xludf.DUMMYFUNCTION("""COMPUTED_VALUE"""),"Salud276")</f>
        <v>Salud276</v>
      </c>
      <c r="B578" s="25"/>
      <c r="C578" s="55"/>
      <c r="D578" s="25" t="str">
        <f ca="1">IFERROR(__xludf.DUMMYFUNCTION("""COMPUTED_VALUE"""),"Salud")</f>
        <v>Salud</v>
      </c>
      <c r="E578" s="25"/>
      <c r="F578" s="25"/>
      <c r="G578" s="25"/>
      <c r="H578" s="25"/>
      <c r="I578" s="25"/>
      <c r="J578" s="55"/>
      <c r="K578" s="25" t="str">
        <f ca="1">IFERROR(__xludf.DUMMYFUNCTION("""COMPUTED_VALUE"""),"Definir fecha")</f>
        <v>Definir fecha</v>
      </c>
      <c r="L578" s="62"/>
      <c r="M578" s="25"/>
      <c r="N578" s="25"/>
      <c r="O578" s="25">
        <f t="shared" si="0"/>
        <v>0</v>
      </c>
      <c r="P578" s="25" t="str">
        <f t="shared" si="2"/>
        <v/>
      </c>
      <c r="Q578" s="25" t="str">
        <f ca="1">IFERROR(__xludf.DUMMYFUNCTION("""COMPUTED_VALUE"""),"Sin defenir")</f>
        <v>Sin defenir</v>
      </c>
      <c r="R578" s="25"/>
      <c r="S578" s="55"/>
      <c r="T578" s="56"/>
      <c r="U578" s="25"/>
      <c r="V578" s="25"/>
      <c r="W578" s="25"/>
      <c r="X578" s="25"/>
      <c r="Y578" s="25"/>
      <c r="Z578" s="25"/>
    </row>
    <row r="579" spans="1:26" ht="52.5" customHeight="1" x14ac:dyDescent="0.25">
      <c r="A579" s="25" t="str">
        <f ca="1">IFERROR(__xludf.DUMMYFUNCTION("""COMPUTED_VALUE"""),"Salud277")</f>
        <v>Salud277</v>
      </c>
      <c r="B579" s="25"/>
      <c r="C579" s="55"/>
      <c r="D579" s="25" t="str">
        <f ca="1">IFERROR(__xludf.DUMMYFUNCTION("""COMPUTED_VALUE"""),"Salud")</f>
        <v>Salud</v>
      </c>
      <c r="E579" s="25"/>
      <c r="F579" s="25"/>
      <c r="G579" s="25"/>
      <c r="H579" s="25"/>
      <c r="I579" s="25"/>
      <c r="J579" s="55"/>
      <c r="K579" s="25" t="str">
        <f ca="1">IFERROR(__xludf.DUMMYFUNCTION("""COMPUTED_VALUE"""),"Definir fecha")</f>
        <v>Definir fecha</v>
      </c>
      <c r="L579" s="62"/>
      <c r="M579" s="25"/>
      <c r="N579" s="25"/>
      <c r="O579" s="25">
        <f t="shared" si="0"/>
        <v>0</v>
      </c>
      <c r="P579" s="25" t="str">
        <f t="shared" si="2"/>
        <v/>
      </c>
      <c r="Q579" s="25" t="str">
        <f ca="1">IFERROR(__xludf.DUMMYFUNCTION("""COMPUTED_VALUE"""),"Sin defenir")</f>
        <v>Sin defenir</v>
      </c>
      <c r="R579" s="25"/>
      <c r="S579" s="55"/>
      <c r="T579" s="56"/>
      <c r="U579" s="25"/>
      <c r="V579" s="25"/>
      <c r="W579" s="25"/>
      <c r="X579" s="25"/>
      <c r="Y579" s="25"/>
      <c r="Z579" s="25"/>
    </row>
    <row r="580" spans="1:26" ht="52.5" customHeight="1" x14ac:dyDescent="0.25">
      <c r="A580" s="25" t="str">
        <f ca="1">IFERROR(__xludf.DUMMYFUNCTION("""COMPUTED_VALUE"""),"Salud278")</f>
        <v>Salud278</v>
      </c>
      <c r="B580" s="25"/>
      <c r="C580" s="55"/>
      <c r="D580" s="25" t="str">
        <f ca="1">IFERROR(__xludf.DUMMYFUNCTION("""COMPUTED_VALUE"""),"Salud")</f>
        <v>Salud</v>
      </c>
      <c r="E580" s="25"/>
      <c r="F580" s="25"/>
      <c r="G580" s="25"/>
      <c r="H580" s="25"/>
      <c r="I580" s="25"/>
      <c r="J580" s="55"/>
      <c r="K580" s="25" t="str">
        <f ca="1">IFERROR(__xludf.DUMMYFUNCTION("""COMPUTED_VALUE"""),"Definir fecha")</f>
        <v>Definir fecha</v>
      </c>
      <c r="L580" s="62"/>
      <c r="M580" s="25"/>
      <c r="N580" s="25"/>
      <c r="O580" s="25">
        <f t="shared" si="0"/>
        <v>0</v>
      </c>
      <c r="P580" s="25" t="str">
        <f t="shared" si="2"/>
        <v/>
      </c>
      <c r="Q580" s="25" t="str">
        <f ca="1">IFERROR(__xludf.DUMMYFUNCTION("""COMPUTED_VALUE"""),"Sin defenir")</f>
        <v>Sin defenir</v>
      </c>
      <c r="R580" s="25"/>
      <c r="S580" s="55"/>
      <c r="T580" s="56"/>
      <c r="U580" s="25"/>
      <c r="V580" s="25"/>
      <c r="W580" s="25"/>
      <c r="X580" s="25"/>
      <c r="Y580" s="25"/>
      <c r="Z580" s="25"/>
    </row>
    <row r="581" spans="1:26" ht="52.5" customHeight="1" x14ac:dyDescent="0.25">
      <c r="A581" s="25" t="str">
        <f ca="1">IFERROR(__xludf.DUMMYFUNCTION("""COMPUTED_VALUE"""),"Salud279")</f>
        <v>Salud279</v>
      </c>
      <c r="B581" s="25"/>
      <c r="C581" s="55"/>
      <c r="D581" s="25" t="str">
        <f ca="1">IFERROR(__xludf.DUMMYFUNCTION("""COMPUTED_VALUE"""),"Salud")</f>
        <v>Salud</v>
      </c>
      <c r="E581" s="25"/>
      <c r="F581" s="25"/>
      <c r="G581" s="25"/>
      <c r="H581" s="25"/>
      <c r="I581" s="25"/>
      <c r="J581" s="55"/>
      <c r="K581" s="25" t="str">
        <f ca="1">IFERROR(__xludf.DUMMYFUNCTION("""COMPUTED_VALUE"""),"Definir fecha")</f>
        <v>Definir fecha</v>
      </c>
      <c r="L581" s="62"/>
      <c r="M581" s="25"/>
      <c r="N581" s="25"/>
      <c r="O581" s="25">
        <f t="shared" si="0"/>
        <v>0</v>
      </c>
      <c r="P581" s="25" t="str">
        <f t="shared" si="2"/>
        <v/>
      </c>
      <c r="Q581" s="25" t="str">
        <f ca="1">IFERROR(__xludf.DUMMYFUNCTION("""COMPUTED_VALUE"""),"Sin defenir")</f>
        <v>Sin defenir</v>
      </c>
      <c r="R581" s="25"/>
      <c r="S581" s="55"/>
      <c r="T581" s="56"/>
      <c r="U581" s="25"/>
      <c r="V581" s="25"/>
      <c r="W581" s="25"/>
      <c r="X581" s="25"/>
      <c r="Y581" s="25"/>
      <c r="Z581" s="25"/>
    </row>
    <row r="582" spans="1:26" ht="52.5" customHeight="1" x14ac:dyDescent="0.25">
      <c r="A582" s="25" t="str">
        <f ca="1">IFERROR(__xludf.DUMMYFUNCTION("""COMPUTED_VALUE"""),"Salud280")</f>
        <v>Salud280</v>
      </c>
      <c r="B582" s="25"/>
      <c r="C582" s="55"/>
      <c r="D582" s="25" t="str">
        <f ca="1">IFERROR(__xludf.DUMMYFUNCTION("""COMPUTED_VALUE"""),"Salud")</f>
        <v>Salud</v>
      </c>
      <c r="E582" s="25"/>
      <c r="F582" s="25"/>
      <c r="G582" s="25"/>
      <c r="H582" s="25"/>
      <c r="I582" s="25"/>
      <c r="J582" s="55"/>
      <c r="K582" s="25" t="str">
        <f ca="1">IFERROR(__xludf.DUMMYFUNCTION("""COMPUTED_VALUE"""),"Definir fecha")</f>
        <v>Definir fecha</v>
      </c>
      <c r="L582" s="62"/>
      <c r="M582" s="25"/>
      <c r="N582" s="25"/>
      <c r="O582" s="25">
        <f t="shared" si="0"/>
        <v>0</v>
      </c>
      <c r="P582" s="25" t="str">
        <f t="shared" si="2"/>
        <v/>
      </c>
      <c r="Q582" s="25" t="str">
        <f ca="1">IFERROR(__xludf.DUMMYFUNCTION("""COMPUTED_VALUE"""),"Sin defenir")</f>
        <v>Sin defenir</v>
      </c>
      <c r="R582" s="25"/>
      <c r="S582" s="55"/>
      <c r="T582" s="56"/>
      <c r="U582" s="25"/>
      <c r="V582" s="25"/>
      <c r="W582" s="25"/>
      <c r="X582" s="25"/>
      <c r="Y582" s="25"/>
      <c r="Z582" s="25"/>
    </row>
    <row r="583" spans="1:26" ht="52.5" customHeight="1" x14ac:dyDescent="0.25">
      <c r="A583" s="25" t="str">
        <f ca="1">IFERROR(__xludf.DUMMYFUNCTION("""COMPUTED_VALUE"""),"Salud281")</f>
        <v>Salud281</v>
      </c>
      <c r="B583" s="25"/>
      <c r="C583" s="55"/>
      <c r="D583" s="25" t="str">
        <f ca="1">IFERROR(__xludf.DUMMYFUNCTION("""COMPUTED_VALUE"""),"Salud")</f>
        <v>Salud</v>
      </c>
      <c r="E583" s="25"/>
      <c r="F583" s="25"/>
      <c r="G583" s="25"/>
      <c r="H583" s="25"/>
      <c r="I583" s="25"/>
      <c r="J583" s="55"/>
      <c r="K583" s="25" t="str">
        <f ca="1">IFERROR(__xludf.DUMMYFUNCTION("""COMPUTED_VALUE"""),"Definir fecha")</f>
        <v>Definir fecha</v>
      </c>
      <c r="L583" s="62"/>
      <c r="M583" s="25"/>
      <c r="N583" s="25"/>
      <c r="O583" s="25">
        <f t="shared" si="0"/>
        <v>0</v>
      </c>
      <c r="P583" s="25" t="str">
        <f t="shared" si="2"/>
        <v/>
      </c>
      <c r="Q583" s="25" t="str">
        <f ca="1">IFERROR(__xludf.DUMMYFUNCTION("""COMPUTED_VALUE"""),"Sin defenir")</f>
        <v>Sin defenir</v>
      </c>
      <c r="R583" s="25"/>
      <c r="S583" s="55"/>
      <c r="T583" s="56"/>
      <c r="U583" s="25"/>
      <c r="V583" s="25"/>
      <c r="W583" s="25"/>
      <c r="X583" s="25"/>
      <c r="Y583" s="25"/>
      <c r="Z583" s="25"/>
    </row>
    <row r="584" spans="1:26" ht="52.5" customHeight="1" x14ac:dyDescent="0.25">
      <c r="A584" s="25" t="str">
        <f ca="1">IFERROR(__xludf.DUMMYFUNCTION("""COMPUTED_VALUE"""),"Salud282")</f>
        <v>Salud282</v>
      </c>
      <c r="B584" s="25"/>
      <c r="C584" s="55"/>
      <c r="D584" s="25" t="str">
        <f ca="1">IFERROR(__xludf.DUMMYFUNCTION("""COMPUTED_VALUE"""),"Salud")</f>
        <v>Salud</v>
      </c>
      <c r="E584" s="25"/>
      <c r="F584" s="25"/>
      <c r="G584" s="25"/>
      <c r="H584" s="25"/>
      <c r="I584" s="25"/>
      <c r="J584" s="55"/>
      <c r="K584" s="25" t="str">
        <f ca="1">IFERROR(__xludf.DUMMYFUNCTION("""COMPUTED_VALUE"""),"Definir fecha")</f>
        <v>Definir fecha</v>
      </c>
      <c r="L584" s="62"/>
      <c r="M584" s="25"/>
      <c r="N584" s="25"/>
      <c r="O584" s="25">
        <f t="shared" si="0"/>
        <v>0</v>
      </c>
      <c r="P584" s="25" t="str">
        <f t="shared" si="2"/>
        <v/>
      </c>
      <c r="Q584" s="25" t="str">
        <f ca="1">IFERROR(__xludf.DUMMYFUNCTION("""COMPUTED_VALUE"""),"Sin defenir")</f>
        <v>Sin defenir</v>
      </c>
      <c r="R584" s="25"/>
      <c r="S584" s="55"/>
      <c r="T584" s="56"/>
      <c r="U584" s="25"/>
      <c r="V584" s="25"/>
      <c r="W584" s="25"/>
      <c r="X584" s="25"/>
      <c r="Y584" s="25"/>
      <c r="Z584" s="25"/>
    </row>
    <row r="585" spans="1:26" ht="52.5" customHeight="1" x14ac:dyDescent="0.25">
      <c r="A585" s="25" t="str">
        <f ca="1">IFERROR(__xludf.DUMMYFUNCTION("""COMPUTED_VALUE"""),"Salud283")</f>
        <v>Salud283</v>
      </c>
      <c r="B585" s="25"/>
      <c r="C585" s="55"/>
      <c r="D585" s="25" t="str">
        <f ca="1">IFERROR(__xludf.DUMMYFUNCTION("""COMPUTED_VALUE"""),"Salud")</f>
        <v>Salud</v>
      </c>
      <c r="E585" s="25"/>
      <c r="F585" s="25"/>
      <c r="G585" s="25"/>
      <c r="H585" s="25"/>
      <c r="I585" s="25"/>
      <c r="J585" s="55"/>
      <c r="K585" s="25" t="str">
        <f ca="1">IFERROR(__xludf.DUMMYFUNCTION("""COMPUTED_VALUE"""),"Definir fecha")</f>
        <v>Definir fecha</v>
      </c>
      <c r="L585" s="62"/>
      <c r="M585" s="25"/>
      <c r="N585" s="25"/>
      <c r="O585" s="25">
        <f t="shared" si="0"/>
        <v>0</v>
      </c>
      <c r="P585" s="25" t="str">
        <f t="shared" si="2"/>
        <v/>
      </c>
      <c r="Q585" s="25" t="str">
        <f ca="1">IFERROR(__xludf.DUMMYFUNCTION("""COMPUTED_VALUE"""),"Sin defenir")</f>
        <v>Sin defenir</v>
      </c>
      <c r="R585" s="25"/>
      <c r="S585" s="55"/>
      <c r="T585" s="56"/>
      <c r="U585" s="25"/>
      <c r="V585" s="25"/>
      <c r="W585" s="25"/>
      <c r="X585" s="25"/>
      <c r="Y585" s="25"/>
      <c r="Z585" s="25"/>
    </row>
    <row r="586" spans="1:26" ht="52.5" customHeight="1" x14ac:dyDescent="0.25">
      <c r="A586" s="25" t="str">
        <f ca="1">IFERROR(__xludf.DUMMYFUNCTION("""COMPUTED_VALUE"""),"Salud284")</f>
        <v>Salud284</v>
      </c>
      <c r="B586" s="25"/>
      <c r="C586" s="55"/>
      <c r="D586" s="25" t="str">
        <f ca="1">IFERROR(__xludf.DUMMYFUNCTION("""COMPUTED_VALUE"""),"Salud")</f>
        <v>Salud</v>
      </c>
      <c r="E586" s="25"/>
      <c r="F586" s="25"/>
      <c r="G586" s="25"/>
      <c r="H586" s="25"/>
      <c r="I586" s="25"/>
      <c r="J586" s="55"/>
      <c r="K586" s="25" t="str">
        <f ca="1">IFERROR(__xludf.DUMMYFUNCTION("""COMPUTED_VALUE"""),"Definir fecha")</f>
        <v>Definir fecha</v>
      </c>
      <c r="L586" s="62"/>
      <c r="M586" s="25"/>
      <c r="N586" s="25"/>
      <c r="O586" s="25">
        <f t="shared" si="0"/>
        <v>0</v>
      </c>
      <c r="P586" s="25" t="str">
        <f t="shared" si="2"/>
        <v/>
      </c>
      <c r="Q586" s="25" t="str">
        <f ca="1">IFERROR(__xludf.DUMMYFUNCTION("""COMPUTED_VALUE"""),"Sin defenir")</f>
        <v>Sin defenir</v>
      </c>
      <c r="R586" s="25"/>
      <c r="S586" s="55"/>
      <c r="T586" s="56"/>
      <c r="U586" s="25"/>
      <c r="V586" s="25"/>
      <c r="W586" s="25"/>
      <c r="X586" s="25"/>
      <c r="Y586" s="25"/>
      <c r="Z586" s="25"/>
    </row>
    <row r="587" spans="1:26" ht="52.5" customHeight="1" x14ac:dyDescent="0.25">
      <c r="A587" s="25" t="str">
        <f ca="1">IFERROR(__xludf.DUMMYFUNCTION("""COMPUTED_VALUE"""),"Salud285")</f>
        <v>Salud285</v>
      </c>
      <c r="B587" s="25"/>
      <c r="C587" s="55"/>
      <c r="D587" s="25" t="str">
        <f ca="1">IFERROR(__xludf.DUMMYFUNCTION("""COMPUTED_VALUE"""),"Salud")</f>
        <v>Salud</v>
      </c>
      <c r="E587" s="25"/>
      <c r="F587" s="25"/>
      <c r="G587" s="25"/>
      <c r="H587" s="25"/>
      <c r="I587" s="25"/>
      <c r="J587" s="55"/>
      <c r="K587" s="25" t="str">
        <f ca="1">IFERROR(__xludf.DUMMYFUNCTION("""COMPUTED_VALUE"""),"Definir fecha")</f>
        <v>Definir fecha</v>
      </c>
      <c r="L587" s="62"/>
      <c r="M587" s="25"/>
      <c r="N587" s="25"/>
      <c r="O587" s="25">
        <f t="shared" si="0"/>
        <v>0</v>
      </c>
      <c r="P587" s="25" t="str">
        <f t="shared" si="2"/>
        <v/>
      </c>
      <c r="Q587" s="25" t="str">
        <f ca="1">IFERROR(__xludf.DUMMYFUNCTION("""COMPUTED_VALUE"""),"Sin defenir")</f>
        <v>Sin defenir</v>
      </c>
      <c r="R587" s="25"/>
      <c r="S587" s="55"/>
      <c r="T587" s="56"/>
      <c r="U587" s="25"/>
      <c r="V587" s="25"/>
      <c r="W587" s="25"/>
      <c r="X587" s="25"/>
      <c r="Y587" s="25"/>
      <c r="Z587" s="25"/>
    </row>
    <row r="588" spans="1:26" ht="52.5" customHeight="1" x14ac:dyDescent="0.25">
      <c r="A588" s="25" t="str">
        <f ca="1">IFERROR(__xludf.DUMMYFUNCTION("""COMPUTED_VALUE"""),"Salud286")</f>
        <v>Salud286</v>
      </c>
      <c r="B588" s="25"/>
      <c r="C588" s="55"/>
      <c r="D588" s="25" t="str">
        <f ca="1">IFERROR(__xludf.DUMMYFUNCTION("""COMPUTED_VALUE"""),"Salud")</f>
        <v>Salud</v>
      </c>
      <c r="E588" s="25"/>
      <c r="F588" s="25"/>
      <c r="G588" s="25"/>
      <c r="H588" s="25"/>
      <c r="I588" s="25"/>
      <c r="J588" s="55"/>
      <c r="K588" s="25" t="str">
        <f ca="1">IFERROR(__xludf.DUMMYFUNCTION("""COMPUTED_VALUE"""),"Definir fecha")</f>
        <v>Definir fecha</v>
      </c>
      <c r="L588" s="62"/>
      <c r="M588" s="25"/>
      <c r="N588" s="25"/>
      <c r="O588" s="25">
        <f t="shared" si="0"/>
        <v>0</v>
      </c>
      <c r="P588" s="25" t="str">
        <f t="shared" si="2"/>
        <v/>
      </c>
      <c r="Q588" s="25" t="str">
        <f ca="1">IFERROR(__xludf.DUMMYFUNCTION("""COMPUTED_VALUE"""),"Sin defenir")</f>
        <v>Sin defenir</v>
      </c>
      <c r="R588" s="25"/>
      <c r="S588" s="55"/>
      <c r="T588" s="56"/>
      <c r="U588" s="25"/>
      <c r="V588" s="25"/>
      <c r="W588" s="25"/>
      <c r="X588" s="25"/>
      <c r="Y588" s="25"/>
      <c r="Z588" s="25"/>
    </row>
    <row r="589" spans="1:26" ht="52.5" customHeight="1" x14ac:dyDescent="0.25">
      <c r="A589" s="25" t="str">
        <f ca="1">IFERROR(__xludf.DUMMYFUNCTION("""COMPUTED_VALUE"""),"Salud287")</f>
        <v>Salud287</v>
      </c>
      <c r="B589" s="25"/>
      <c r="C589" s="55"/>
      <c r="D589" s="25" t="str">
        <f ca="1">IFERROR(__xludf.DUMMYFUNCTION("""COMPUTED_VALUE"""),"Salud")</f>
        <v>Salud</v>
      </c>
      <c r="E589" s="25"/>
      <c r="F589" s="25"/>
      <c r="G589" s="25"/>
      <c r="H589" s="25"/>
      <c r="I589" s="25"/>
      <c r="J589" s="55"/>
      <c r="K589" s="25" t="str">
        <f ca="1">IFERROR(__xludf.DUMMYFUNCTION("""COMPUTED_VALUE"""),"Definir fecha")</f>
        <v>Definir fecha</v>
      </c>
      <c r="L589" s="62"/>
      <c r="M589" s="25"/>
      <c r="N589" s="25"/>
      <c r="O589" s="25">
        <f t="shared" si="0"/>
        <v>0</v>
      </c>
      <c r="P589" s="25" t="str">
        <f t="shared" si="2"/>
        <v/>
      </c>
      <c r="Q589" s="25" t="str">
        <f ca="1">IFERROR(__xludf.DUMMYFUNCTION("""COMPUTED_VALUE"""),"Sin defenir")</f>
        <v>Sin defenir</v>
      </c>
      <c r="R589" s="25"/>
      <c r="S589" s="55"/>
      <c r="T589" s="56"/>
      <c r="U589" s="25"/>
      <c r="V589" s="25"/>
      <c r="W589" s="25"/>
      <c r="X589" s="25"/>
      <c r="Y589" s="25"/>
      <c r="Z589" s="25"/>
    </row>
    <row r="590" spans="1:26" ht="52.5" customHeight="1" x14ac:dyDescent="0.25">
      <c r="A590" s="25" t="str">
        <f ca="1">IFERROR(__xludf.DUMMYFUNCTION("""COMPUTED_VALUE"""),"Salud288")</f>
        <v>Salud288</v>
      </c>
      <c r="B590" s="25"/>
      <c r="C590" s="55"/>
      <c r="D590" s="25" t="str">
        <f ca="1">IFERROR(__xludf.DUMMYFUNCTION("""COMPUTED_VALUE"""),"Salud")</f>
        <v>Salud</v>
      </c>
      <c r="E590" s="25"/>
      <c r="F590" s="25"/>
      <c r="G590" s="25"/>
      <c r="H590" s="25"/>
      <c r="I590" s="25"/>
      <c r="J590" s="55"/>
      <c r="K590" s="25" t="str">
        <f ca="1">IFERROR(__xludf.DUMMYFUNCTION("""COMPUTED_VALUE"""),"Definir fecha")</f>
        <v>Definir fecha</v>
      </c>
      <c r="L590" s="62"/>
      <c r="M590" s="25"/>
      <c r="N590" s="25"/>
      <c r="O590" s="25">
        <f t="shared" si="0"/>
        <v>0</v>
      </c>
      <c r="P590" s="25" t="str">
        <f t="shared" si="2"/>
        <v/>
      </c>
      <c r="Q590" s="25" t="str">
        <f ca="1">IFERROR(__xludf.DUMMYFUNCTION("""COMPUTED_VALUE"""),"Sin defenir")</f>
        <v>Sin defenir</v>
      </c>
      <c r="R590" s="25"/>
      <c r="S590" s="55"/>
      <c r="T590" s="56"/>
      <c r="U590" s="25"/>
      <c r="V590" s="25"/>
      <c r="W590" s="25"/>
      <c r="X590" s="25"/>
      <c r="Y590" s="25"/>
      <c r="Z590" s="25"/>
    </row>
    <row r="591" spans="1:26" ht="52.5" customHeight="1" x14ac:dyDescent="0.25">
      <c r="A591" s="25" t="str">
        <f ca="1">IFERROR(__xludf.DUMMYFUNCTION("""COMPUTED_VALUE"""),"Salud289")</f>
        <v>Salud289</v>
      </c>
      <c r="B591" s="25"/>
      <c r="C591" s="55"/>
      <c r="D591" s="25" t="str">
        <f ca="1">IFERROR(__xludf.DUMMYFUNCTION("""COMPUTED_VALUE"""),"Salud")</f>
        <v>Salud</v>
      </c>
      <c r="E591" s="25"/>
      <c r="F591" s="25"/>
      <c r="G591" s="25"/>
      <c r="H591" s="25"/>
      <c r="I591" s="25"/>
      <c r="J591" s="55"/>
      <c r="K591" s="25" t="str">
        <f ca="1">IFERROR(__xludf.DUMMYFUNCTION("""COMPUTED_VALUE"""),"Definir fecha")</f>
        <v>Definir fecha</v>
      </c>
      <c r="L591" s="62"/>
      <c r="M591" s="25"/>
      <c r="N591" s="25"/>
      <c r="O591" s="25">
        <f t="shared" si="0"/>
        <v>0</v>
      </c>
      <c r="P591" s="25" t="str">
        <f t="shared" si="2"/>
        <v/>
      </c>
      <c r="Q591" s="25" t="str">
        <f ca="1">IFERROR(__xludf.DUMMYFUNCTION("""COMPUTED_VALUE"""),"Sin defenir")</f>
        <v>Sin defenir</v>
      </c>
      <c r="R591" s="25"/>
      <c r="S591" s="55"/>
      <c r="T591" s="56"/>
      <c r="U591" s="25"/>
      <c r="V591" s="25"/>
      <c r="W591" s="25"/>
      <c r="X591" s="25"/>
      <c r="Y591" s="25"/>
      <c r="Z591" s="25"/>
    </row>
    <row r="592" spans="1:26" ht="52.5" customHeight="1" x14ac:dyDescent="0.25">
      <c r="A592" s="25" t="str">
        <f ca="1">IFERROR(__xludf.DUMMYFUNCTION("""COMPUTED_VALUE"""),"Salud290")</f>
        <v>Salud290</v>
      </c>
      <c r="B592" s="25"/>
      <c r="C592" s="55"/>
      <c r="D592" s="25" t="str">
        <f ca="1">IFERROR(__xludf.DUMMYFUNCTION("""COMPUTED_VALUE"""),"Salud")</f>
        <v>Salud</v>
      </c>
      <c r="E592" s="25"/>
      <c r="F592" s="25"/>
      <c r="G592" s="25"/>
      <c r="H592" s="25"/>
      <c r="I592" s="25"/>
      <c r="J592" s="55"/>
      <c r="K592" s="25" t="str">
        <f ca="1">IFERROR(__xludf.DUMMYFUNCTION("""COMPUTED_VALUE"""),"Definir fecha")</f>
        <v>Definir fecha</v>
      </c>
      <c r="L592" s="62"/>
      <c r="M592" s="25"/>
      <c r="N592" s="25"/>
      <c r="O592" s="25">
        <f t="shared" si="0"/>
        <v>0</v>
      </c>
      <c r="P592" s="25" t="str">
        <f t="shared" si="2"/>
        <v/>
      </c>
      <c r="Q592" s="25" t="str">
        <f ca="1">IFERROR(__xludf.DUMMYFUNCTION("""COMPUTED_VALUE"""),"Sin defenir")</f>
        <v>Sin defenir</v>
      </c>
      <c r="R592" s="25"/>
      <c r="S592" s="55"/>
      <c r="T592" s="56"/>
      <c r="U592" s="25"/>
      <c r="V592" s="25"/>
      <c r="W592" s="25"/>
      <c r="X592" s="25"/>
      <c r="Y592" s="25"/>
      <c r="Z592" s="25"/>
    </row>
    <row r="593" spans="1:26" ht="52.5" customHeight="1" x14ac:dyDescent="0.25">
      <c r="A593" s="25" t="str">
        <f ca="1">IFERROR(__xludf.DUMMYFUNCTION("""COMPUTED_VALUE"""),"Salud291")</f>
        <v>Salud291</v>
      </c>
      <c r="B593" s="25"/>
      <c r="C593" s="55"/>
      <c r="D593" s="25" t="str">
        <f ca="1">IFERROR(__xludf.DUMMYFUNCTION("""COMPUTED_VALUE"""),"Salud")</f>
        <v>Salud</v>
      </c>
      <c r="E593" s="25"/>
      <c r="F593" s="25"/>
      <c r="G593" s="25"/>
      <c r="H593" s="25"/>
      <c r="I593" s="25"/>
      <c r="J593" s="55"/>
      <c r="K593" s="25" t="str">
        <f ca="1">IFERROR(__xludf.DUMMYFUNCTION("""COMPUTED_VALUE"""),"Definir fecha")</f>
        <v>Definir fecha</v>
      </c>
      <c r="L593" s="62"/>
      <c r="M593" s="25"/>
      <c r="N593" s="25"/>
      <c r="O593" s="25">
        <f t="shared" si="0"/>
        <v>0</v>
      </c>
      <c r="P593" s="25" t="str">
        <f t="shared" si="2"/>
        <v/>
      </c>
      <c r="Q593" s="25" t="str">
        <f ca="1">IFERROR(__xludf.DUMMYFUNCTION("""COMPUTED_VALUE"""),"Sin defenir")</f>
        <v>Sin defenir</v>
      </c>
      <c r="R593" s="25"/>
      <c r="S593" s="55"/>
      <c r="T593" s="56"/>
      <c r="U593" s="25"/>
      <c r="V593" s="25"/>
      <c r="W593" s="25"/>
      <c r="X593" s="25"/>
      <c r="Y593" s="25"/>
      <c r="Z593" s="25"/>
    </row>
    <row r="594" spans="1:26" ht="52.5" customHeight="1" x14ac:dyDescent="0.25">
      <c r="A594" s="25" t="str">
        <f ca="1">IFERROR(__xludf.DUMMYFUNCTION("""COMPUTED_VALUE"""),"Salud292")</f>
        <v>Salud292</v>
      </c>
      <c r="B594" s="25"/>
      <c r="C594" s="55"/>
      <c r="D594" s="25" t="str">
        <f ca="1">IFERROR(__xludf.DUMMYFUNCTION("""COMPUTED_VALUE"""),"Salud")</f>
        <v>Salud</v>
      </c>
      <c r="E594" s="25"/>
      <c r="F594" s="25"/>
      <c r="G594" s="25"/>
      <c r="H594" s="25"/>
      <c r="I594" s="25"/>
      <c r="J594" s="55"/>
      <c r="K594" s="25" t="str">
        <f ca="1">IFERROR(__xludf.DUMMYFUNCTION("""COMPUTED_VALUE"""),"Definir fecha")</f>
        <v>Definir fecha</v>
      </c>
      <c r="L594" s="62"/>
      <c r="M594" s="25"/>
      <c r="N594" s="25"/>
      <c r="O594" s="25">
        <f t="shared" si="0"/>
        <v>0</v>
      </c>
      <c r="P594" s="25" t="str">
        <f t="shared" si="2"/>
        <v/>
      </c>
      <c r="Q594" s="25" t="str">
        <f ca="1">IFERROR(__xludf.DUMMYFUNCTION("""COMPUTED_VALUE"""),"Sin defenir")</f>
        <v>Sin defenir</v>
      </c>
      <c r="R594" s="25"/>
      <c r="S594" s="55"/>
      <c r="T594" s="56"/>
      <c r="U594" s="25"/>
      <c r="V594" s="25"/>
      <c r="W594" s="25"/>
      <c r="X594" s="25"/>
      <c r="Y594" s="25"/>
      <c r="Z594" s="25"/>
    </row>
    <row r="595" spans="1:26" ht="52.5" customHeight="1" x14ac:dyDescent="0.25">
      <c r="A595" s="25" t="str">
        <f ca="1">IFERROR(__xludf.DUMMYFUNCTION("""COMPUTED_VALUE"""),"Salud293")</f>
        <v>Salud293</v>
      </c>
      <c r="B595" s="25"/>
      <c r="C595" s="55"/>
      <c r="D595" s="25" t="str">
        <f ca="1">IFERROR(__xludf.DUMMYFUNCTION("""COMPUTED_VALUE"""),"Salud")</f>
        <v>Salud</v>
      </c>
      <c r="E595" s="25"/>
      <c r="F595" s="25"/>
      <c r="G595" s="25"/>
      <c r="H595" s="25"/>
      <c r="I595" s="25"/>
      <c r="J595" s="55"/>
      <c r="K595" s="25" t="str">
        <f ca="1">IFERROR(__xludf.DUMMYFUNCTION("""COMPUTED_VALUE"""),"Definir fecha")</f>
        <v>Definir fecha</v>
      </c>
      <c r="L595" s="62"/>
      <c r="M595" s="25"/>
      <c r="N595" s="25"/>
      <c r="O595" s="25">
        <f t="shared" si="0"/>
        <v>0</v>
      </c>
      <c r="P595" s="25" t="str">
        <f t="shared" si="2"/>
        <v/>
      </c>
      <c r="Q595" s="25" t="str">
        <f ca="1">IFERROR(__xludf.DUMMYFUNCTION("""COMPUTED_VALUE"""),"Sin defenir")</f>
        <v>Sin defenir</v>
      </c>
      <c r="R595" s="25"/>
      <c r="S595" s="55"/>
      <c r="T595" s="56"/>
      <c r="U595" s="25"/>
      <c r="V595" s="25"/>
      <c r="W595" s="25"/>
      <c r="X595" s="25"/>
      <c r="Y595" s="25"/>
      <c r="Z595" s="25"/>
    </row>
    <row r="596" spans="1:26" ht="52.5" customHeight="1" x14ac:dyDescent="0.25">
      <c r="A596" s="25" t="str">
        <f ca="1">IFERROR(__xludf.DUMMYFUNCTION("""COMPUTED_VALUE"""),"Salud294")</f>
        <v>Salud294</v>
      </c>
      <c r="B596" s="25"/>
      <c r="C596" s="55"/>
      <c r="D596" s="25" t="str">
        <f ca="1">IFERROR(__xludf.DUMMYFUNCTION("""COMPUTED_VALUE"""),"Salud")</f>
        <v>Salud</v>
      </c>
      <c r="E596" s="25"/>
      <c r="F596" s="25"/>
      <c r="G596" s="25"/>
      <c r="H596" s="25"/>
      <c r="I596" s="25"/>
      <c r="J596" s="55"/>
      <c r="K596" s="25" t="str">
        <f ca="1">IFERROR(__xludf.DUMMYFUNCTION("""COMPUTED_VALUE"""),"Definir fecha")</f>
        <v>Definir fecha</v>
      </c>
      <c r="L596" s="62"/>
      <c r="M596" s="25"/>
      <c r="N596" s="25"/>
      <c r="O596" s="25">
        <f t="shared" si="0"/>
        <v>0</v>
      </c>
      <c r="P596" s="25" t="str">
        <f t="shared" si="2"/>
        <v/>
      </c>
      <c r="Q596" s="25" t="str">
        <f ca="1">IFERROR(__xludf.DUMMYFUNCTION("""COMPUTED_VALUE"""),"Sin defenir")</f>
        <v>Sin defenir</v>
      </c>
      <c r="R596" s="25"/>
      <c r="S596" s="55"/>
      <c r="T596" s="56"/>
      <c r="U596" s="25"/>
      <c r="V596" s="25"/>
      <c r="W596" s="25"/>
      <c r="X596" s="25"/>
      <c r="Y596" s="25"/>
      <c r="Z596" s="25"/>
    </row>
    <row r="597" spans="1:26" ht="52.5" customHeight="1" x14ac:dyDescent="0.25">
      <c r="A597" s="25" t="str">
        <f ca="1">IFERROR(__xludf.DUMMYFUNCTION("""COMPUTED_VALUE"""),"Salud295")</f>
        <v>Salud295</v>
      </c>
      <c r="B597" s="25"/>
      <c r="C597" s="55"/>
      <c r="D597" s="25" t="str">
        <f ca="1">IFERROR(__xludf.DUMMYFUNCTION("""COMPUTED_VALUE"""),"Salud")</f>
        <v>Salud</v>
      </c>
      <c r="E597" s="25"/>
      <c r="F597" s="25"/>
      <c r="G597" s="25"/>
      <c r="H597" s="25"/>
      <c r="I597" s="25"/>
      <c r="J597" s="55"/>
      <c r="K597" s="25" t="str">
        <f ca="1">IFERROR(__xludf.DUMMYFUNCTION("""COMPUTED_VALUE"""),"Definir fecha")</f>
        <v>Definir fecha</v>
      </c>
      <c r="L597" s="62"/>
      <c r="M597" s="25"/>
      <c r="N597" s="25"/>
      <c r="O597" s="25">
        <f t="shared" si="0"/>
        <v>0</v>
      </c>
      <c r="P597" s="25" t="str">
        <f t="shared" si="2"/>
        <v/>
      </c>
      <c r="Q597" s="25" t="str">
        <f ca="1">IFERROR(__xludf.DUMMYFUNCTION("""COMPUTED_VALUE"""),"Sin defenir")</f>
        <v>Sin defenir</v>
      </c>
      <c r="R597" s="25"/>
      <c r="S597" s="55"/>
      <c r="T597" s="56"/>
      <c r="U597" s="25"/>
      <c r="V597" s="25"/>
      <c r="W597" s="25"/>
      <c r="X597" s="25"/>
      <c r="Y597" s="25"/>
      <c r="Z597" s="25"/>
    </row>
    <row r="598" spans="1:26" ht="52.5" customHeight="1" x14ac:dyDescent="0.25">
      <c r="A598" s="25" t="str">
        <f ca="1">IFERROR(__xludf.DUMMYFUNCTION("""COMPUTED_VALUE"""),"Salud296")</f>
        <v>Salud296</v>
      </c>
      <c r="B598" s="25"/>
      <c r="C598" s="55"/>
      <c r="D598" s="25" t="str">
        <f ca="1">IFERROR(__xludf.DUMMYFUNCTION("""COMPUTED_VALUE"""),"Salud")</f>
        <v>Salud</v>
      </c>
      <c r="E598" s="25"/>
      <c r="F598" s="25"/>
      <c r="G598" s="25"/>
      <c r="H598" s="25"/>
      <c r="I598" s="25"/>
      <c r="J598" s="55"/>
      <c r="K598" s="25" t="str">
        <f ca="1">IFERROR(__xludf.DUMMYFUNCTION("""COMPUTED_VALUE"""),"Definir fecha")</f>
        <v>Definir fecha</v>
      </c>
      <c r="L598" s="62"/>
      <c r="M598" s="25"/>
      <c r="N598" s="25"/>
      <c r="O598" s="25">
        <f t="shared" si="0"/>
        <v>0</v>
      </c>
      <c r="P598" s="25" t="str">
        <f t="shared" si="2"/>
        <v/>
      </c>
      <c r="Q598" s="25" t="str">
        <f ca="1">IFERROR(__xludf.DUMMYFUNCTION("""COMPUTED_VALUE"""),"Sin defenir")</f>
        <v>Sin defenir</v>
      </c>
      <c r="R598" s="25"/>
      <c r="S598" s="55"/>
      <c r="T598" s="56"/>
      <c r="U598" s="25"/>
      <c r="V598" s="25"/>
      <c r="W598" s="25"/>
      <c r="X598" s="25"/>
      <c r="Y598" s="25"/>
      <c r="Z598" s="25"/>
    </row>
    <row r="599" spans="1:26" ht="52.5" customHeight="1" x14ac:dyDescent="0.25">
      <c r="A599" s="25" t="str">
        <f ca="1">IFERROR(__xludf.DUMMYFUNCTION("""COMPUTED_VALUE"""),"Salud297")</f>
        <v>Salud297</v>
      </c>
      <c r="B599" s="25"/>
      <c r="C599" s="55"/>
      <c r="D599" s="25" t="str">
        <f ca="1">IFERROR(__xludf.DUMMYFUNCTION("""COMPUTED_VALUE"""),"Salud")</f>
        <v>Salud</v>
      </c>
      <c r="E599" s="25"/>
      <c r="F599" s="25"/>
      <c r="G599" s="25"/>
      <c r="H599" s="25"/>
      <c r="I599" s="25"/>
      <c r="J599" s="55"/>
      <c r="K599" s="25" t="str">
        <f ca="1">IFERROR(__xludf.DUMMYFUNCTION("""COMPUTED_VALUE"""),"Definir fecha")</f>
        <v>Definir fecha</v>
      </c>
      <c r="L599" s="62"/>
      <c r="M599" s="25"/>
      <c r="N599" s="25"/>
      <c r="O599" s="25">
        <f t="shared" si="0"/>
        <v>0</v>
      </c>
      <c r="P599" s="25" t="str">
        <f t="shared" si="2"/>
        <v/>
      </c>
      <c r="Q599" s="25" t="str">
        <f ca="1">IFERROR(__xludf.DUMMYFUNCTION("""COMPUTED_VALUE"""),"Sin defenir")</f>
        <v>Sin defenir</v>
      </c>
      <c r="R599" s="25"/>
      <c r="S599" s="55"/>
      <c r="T599" s="56"/>
      <c r="U599" s="25"/>
      <c r="V599" s="25"/>
      <c r="W599" s="25"/>
      <c r="X599" s="25"/>
      <c r="Y599" s="25"/>
      <c r="Z599" s="25"/>
    </row>
    <row r="600" spans="1:26" ht="52.5" customHeight="1" x14ac:dyDescent="0.25">
      <c r="A600" s="25" t="str">
        <f ca="1">IFERROR(__xludf.DUMMYFUNCTION("""COMPUTED_VALUE"""),"Salud298")</f>
        <v>Salud298</v>
      </c>
      <c r="B600" s="25"/>
      <c r="C600" s="55"/>
      <c r="D600" s="25" t="str">
        <f ca="1">IFERROR(__xludf.DUMMYFUNCTION("""COMPUTED_VALUE"""),"Salud")</f>
        <v>Salud</v>
      </c>
      <c r="E600" s="25"/>
      <c r="F600" s="25"/>
      <c r="G600" s="25"/>
      <c r="H600" s="25"/>
      <c r="I600" s="25"/>
      <c r="J600" s="55"/>
      <c r="K600" s="25" t="str">
        <f ca="1">IFERROR(__xludf.DUMMYFUNCTION("""COMPUTED_VALUE"""),"Definir fecha")</f>
        <v>Definir fecha</v>
      </c>
      <c r="L600" s="62"/>
      <c r="M600" s="25"/>
      <c r="N600" s="25"/>
      <c r="O600" s="25">
        <f t="shared" si="0"/>
        <v>0</v>
      </c>
      <c r="P600" s="25" t="str">
        <f t="shared" si="2"/>
        <v/>
      </c>
      <c r="Q600" s="25" t="str">
        <f ca="1">IFERROR(__xludf.DUMMYFUNCTION("""COMPUTED_VALUE"""),"Sin defenir")</f>
        <v>Sin defenir</v>
      </c>
      <c r="R600" s="25"/>
      <c r="S600" s="55"/>
      <c r="T600" s="56"/>
      <c r="U600" s="25"/>
      <c r="V600" s="25"/>
      <c r="W600" s="25"/>
      <c r="X600" s="25"/>
      <c r="Y600" s="25"/>
      <c r="Z600" s="25"/>
    </row>
    <row r="601" spans="1:26" ht="52.5" customHeight="1" x14ac:dyDescent="0.25">
      <c r="A601" s="25" t="str">
        <f ca="1">IFERROR(__xludf.DUMMYFUNCTION("""COMPUTED_VALUE"""),"Salud299")</f>
        <v>Salud299</v>
      </c>
      <c r="B601" s="25"/>
      <c r="C601" s="55"/>
      <c r="D601" s="25" t="str">
        <f ca="1">IFERROR(__xludf.DUMMYFUNCTION("""COMPUTED_VALUE"""),"Salud")</f>
        <v>Salud</v>
      </c>
      <c r="E601" s="25"/>
      <c r="F601" s="25"/>
      <c r="G601" s="25"/>
      <c r="H601" s="25"/>
      <c r="I601" s="25"/>
      <c r="J601" s="55"/>
      <c r="K601" s="25" t="str">
        <f ca="1">IFERROR(__xludf.DUMMYFUNCTION("""COMPUTED_VALUE"""),"Definir fecha")</f>
        <v>Definir fecha</v>
      </c>
      <c r="L601" s="62"/>
      <c r="M601" s="25"/>
      <c r="N601" s="25"/>
      <c r="O601" s="25">
        <f t="shared" si="0"/>
        <v>0</v>
      </c>
      <c r="P601" s="25" t="str">
        <f t="shared" si="2"/>
        <v/>
      </c>
      <c r="Q601" s="25" t="str">
        <f ca="1">IFERROR(__xludf.DUMMYFUNCTION("""COMPUTED_VALUE"""),"Sin defenir")</f>
        <v>Sin defenir</v>
      </c>
      <c r="R601" s="25"/>
      <c r="S601" s="55"/>
      <c r="T601" s="56"/>
      <c r="U601" s="25"/>
      <c r="V601" s="25"/>
      <c r="W601" s="25"/>
      <c r="X601" s="25"/>
      <c r="Y601" s="25"/>
      <c r="Z601" s="25"/>
    </row>
    <row r="602" spans="1:26" ht="52.5" customHeight="1" x14ac:dyDescent="0.25">
      <c r="A602" s="25" t="str">
        <f ca="1">IFERROR(__xludf.DUMMYFUNCTION("""COMPUTED_VALUE"""),"Salud300")</f>
        <v>Salud300</v>
      </c>
      <c r="B602" s="25"/>
      <c r="C602" s="55"/>
      <c r="D602" s="25" t="str">
        <f ca="1">IFERROR(__xludf.DUMMYFUNCTION("""COMPUTED_VALUE"""),"Salud")</f>
        <v>Salud</v>
      </c>
      <c r="E602" s="25"/>
      <c r="F602" s="25"/>
      <c r="G602" s="25"/>
      <c r="H602" s="25"/>
      <c r="I602" s="25"/>
      <c r="J602" s="55"/>
      <c r="K602" s="25" t="str">
        <f ca="1">IFERROR(__xludf.DUMMYFUNCTION("""COMPUTED_VALUE"""),"Definir fecha")</f>
        <v>Definir fecha</v>
      </c>
      <c r="L602" s="62"/>
      <c r="M602" s="25"/>
      <c r="N602" s="25"/>
      <c r="O602" s="25">
        <f t="shared" si="0"/>
        <v>0</v>
      </c>
      <c r="P602" s="25" t="str">
        <f t="shared" si="2"/>
        <v/>
      </c>
      <c r="Q602" s="25" t="str">
        <f ca="1">IFERROR(__xludf.DUMMYFUNCTION("""COMPUTED_VALUE"""),"Sin defenir")</f>
        <v>Sin defenir</v>
      </c>
      <c r="R602" s="25"/>
      <c r="S602" s="55"/>
      <c r="T602" s="56"/>
      <c r="U602" s="25"/>
      <c r="V602" s="25"/>
      <c r="W602" s="25"/>
      <c r="X602" s="25"/>
      <c r="Y602" s="25"/>
      <c r="Z602" s="25"/>
    </row>
    <row r="603" spans="1:26" ht="52.5" customHeight="1" x14ac:dyDescent="0.25">
      <c r="A603" s="25" t="str">
        <f ca="1">IFERROR(__xludf.DUMMYFUNCTION("IMPORTRANGE(""https://docs.google.com/spreadsheets/d/1SUh42QDwFP8obN0GNIj4rWfstJx5kDi_GF8-hP5_7Ug/edit#gid=330735094"",""Mujer!A2:K301"")"),"Mujer1")</f>
        <v>Mujer1</v>
      </c>
      <c r="B603" s="25" t="str">
        <f ca="1">IFERROR(__xludf.DUMMYFUNCTION("""COMPUTED_VALUE"""),"Consejo de Seguridad del 13 de abril ")</f>
        <v xml:space="preserve">Consejo de Seguridad del 13 de abril </v>
      </c>
      <c r="C603" s="55" t="str">
        <f ca="1">IFERROR(__xludf.DUMMYFUNCTION("""COMPUTED_VALUE"""),"22/04/2021")</f>
        <v>22/04/2021</v>
      </c>
      <c r="D603" s="25" t="str">
        <f ca="1">IFERROR(__xludf.DUMMYFUNCTION("""COMPUTED_VALUE"""),"Mujer")</f>
        <v>Mujer</v>
      </c>
      <c r="E603" s="25" t="str">
        <f ca="1">IFERROR(__xludf.DUMMYFUNCTION("""COMPUTED_VALUE"""),"Secretaría Distrital de la Mujer")</f>
        <v>Secretaría Distrital de la Mujer</v>
      </c>
      <c r="F603" s="25" t="str">
        <f ca="1">IFERROR(__xludf.DUMMYFUNCTION("""COMPUTED_VALUE"""),"La Manzana del Cuidado, el CAIGS y la casa de todas en la localidad de Martires deben tener ofertas coordinadas y funcionar 24 horas. ")</f>
        <v xml:space="preserve">La Manzana del Cuidado, el CAIGS y la casa de todas en la localidad de Martires deben tener ofertas coordinadas y funcionar 24 horas. </v>
      </c>
      <c r="G603" s="25" t="str">
        <f ca="1">IFERROR(__xludf.DUMMYFUNCTION("""COMPUTED_VALUE"""),"99. Distrito")</f>
        <v>99. Distrito</v>
      </c>
      <c r="H603" s="55">
        <f ca="1">IFERROR(__xludf.DUMMYFUNCTION("""COMPUTED_VALUE"""),44338)</f>
        <v>44338</v>
      </c>
      <c r="I603" s="25"/>
      <c r="J603" s="55"/>
      <c r="K603" s="25">
        <f ca="1">IFERROR(__xludf.DUMMYFUNCTION("""COMPUTED_VALUE"""),30)</f>
        <v>30</v>
      </c>
      <c r="L603" s="62">
        <f ca="1">IFERROR(__xludf.DUMMYFUNCTION("IMPORTRANGE(""https://docs.google.com/spreadsheets/d/1SUh42QDwFP8obN0GNIj4rWfstJx5kDi_GF8-hP5_7Ug/edit#gid=330735094"",""Mujer!M2:O301"")"),44384)</f>
        <v>44384</v>
      </c>
      <c r="M603" s="25" t="str">
        <f ca="1">IFERROR(__xludf.DUMMYFUNCTION("""COMPUTED_VALUE"""),"EJECUTADO: El 15 de junio se inauguró la manzana del cuidado de mártires en donde se prestarán 27 servicios  para personas cuidadoras y personas que requieren cuidado con articulación de 10 sectores de distrito. El castillo de las artes y el jardín tendrá"&amp;"n servicios 24/7 ")</f>
        <v xml:space="preserve">EJECUTADO: El 15 de junio se inauguró la manzana del cuidado de mártires en donde se prestarán 27 servicios  para personas cuidadoras y personas que requieren cuidado con articulación de 10 sectores de distrito. El castillo de las artes y el jardín tendrán servicios 24/7 </v>
      </c>
      <c r="N603" s="55">
        <f ca="1">IFERROR(__xludf.DUMMYFUNCTION("""COMPUTED_VALUE"""),44384)</f>
        <v>44384</v>
      </c>
      <c r="O603" s="25" t="str">
        <f t="shared" ca="1" si="0"/>
        <v>Secretaría Distrital de la Mujer</v>
      </c>
      <c r="P603" s="25" t="str">
        <f t="shared" si="2"/>
        <v/>
      </c>
      <c r="Q603" s="25" t="str">
        <f ca="1">IFERROR(__xludf.DUMMYFUNCTION("IMPORTRANGE(""https://docs.google.com/spreadsheets/d/1SUh42QDwFP8obN0GNIj4rWfstJx5kDi_GF8-hP5_7Ug/edit#gid=330735094"",""Mujer!L2:L301"")"),"Corto plazo")</f>
        <v>Corto plazo</v>
      </c>
      <c r="R603" s="25"/>
      <c r="S603" s="55"/>
      <c r="T603" s="56"/>
      <c r="U603" s="25"/>
      <c r="V603" s="25"/>
      <c r="W603" s="25"/>
      <c r="X603" s="25"/>
      <c r="Y603" s="25"/>
      <c r="Z603" s="25"/>
    </row>
    <row r="604" spans="1:26" ht="52.5" customHeight="1" x14ac:dyDescent="0.25">
      <c r="A604" s="25" t="str">
        <f ca="1">IFERROR(__xludf.DUMMYFUNCTION("""COMPUTED_VALUE"""),"Mujer2")</f>
        <v>Mujer2</v>
      </c>
      <c r="B604" s="25" t="str">
        <f ca="1">IFERROR(__xludf.DUMMYFUNCTION("""COMPUTED_VALUE"""),"Consejo de Seguridad del 13 de abril ")</f>
        <v xml:space="preserve">Consejo de Seguridad del 13 de abril </v>
      </c>
      <c r="C604" s="55" t="str">
        <f ca="1">IFERROR(__xludf.DUMMYFUNCTION("""COMPUTED_VALUE"""),"22/04/2021")</f>
        <v>22/04/2021</v>
      </c>
      <c r="D604" s="25" t="str">
        <f ca="1">IFERROR(__xludf.DUMMYFUNCTION("""COMPUTED_VALUE"""),"Mujer")</f>
        <v>Mujer</v>
      </c>
      <c r="E604" s="25" t="str">
        <f ca="1">IFERROR(__xludf.DUMMYFUNCTION("""COMPUTED_VALUE"""),"Secretaría Distrital de la Mujer")</f>
        <v>Secretaría Distrital de la Mujer</v>
      </c>
      <c r="F604" s="25" t="str">
        <f ca="1">IFERROR(__xludf.DUMMYFUNCTION("""COMPUTED_VALUE"""),"Reunirse con las organizaciones trans del sector, especialmente red comunitaria trans para coordinar la oferta con ellos.")</f>
        <v>Reunirse con las organizaciones trans del sector, especialmente red comunitaria trans para coordinar la oferta con ellos.</v>
      </c>
      <c r="G604" s="25" t="str">
        <f ca="1">IFERROR(__xludf.DUMMYFUNCTION("""COMPUTED_VALUE"""),"99. Distrito")</f>
        <v>99. Distrito</v>
      </c>
      <c r="H604" s="55">
        <f ca="1">IFERROR(__xludf.DUMMYFUNCTION("""COMPUTED_VALUE"""),44338)</f>
        <v>44338</v>
      </c>
      <c r="I604" s="25"/>
      <c r="J604" s="55"/>
      <c r="K604" s="25">
        <f ca="1">IFERROR(__xludf.DUMMYFUNCTION("""COMPUTED_VALUE"""),30)</f>
        <v>30</v>
      </c>
      <c r="L604" s="62">
        <f ca="1">IFERROR(__xludf.DUMMYFUNCTION("""COMPUTED_VALUE"""),44362)</f>
        <v>44362</v>
      </c>
      <c r="M604" s="25" t="str">
        <f ca="1">IFERROR(__xludf.DUMMYFUNCTION("""COMPUTED_VALUE"""),"EJECUTADO: Resultados presentados en la UTA el 8 de junio. Se realizaron sesiones de socialización con la población trans de la localidad de Los Mártires previo a la inauguración de la manzana de cuidado.")</f>
        <v>EJECUTADO: Resultados presentados en la UTA el 8 de junio. Se realizaron sesiones de socialización con la población trans de la localidad de Los Mártires previo a la inauguración de la manzana de cuidado.</v>
      </c>
      <c r="N604" s="55">
        <f ca="1">IFERROR(__xludf.DUMMYFUNCTION("""COMPUTED_VALUE"""),44362)</f>
        <v>44362</v>
      </c>
      <c r="O604" s="25" t="str">
        <f t="shared" ca="1" si="0"/>
        <v>Secretaría Distrital de la Mujer</v>
      </c>
      <c r="P604" s="25" t="str">
        <f t="shared" si="2"/>
        <v/>
      </c>
      <c r="Q604" s="25" t="str">
        <f ca="1">IFERROR(__xludf.DUMMYFUNCTION("""COMPUTED_VALUE"""),"Corto plazo")</f>
        <v>Corto plazo</v>
      </c>
      <c r="R604" s="25"/>
      <c r="S604" s="55"/>
      <c r="T604" s="56"/>
      <c r="U604" s="25"/>
      <c r="V604" s="25"/>
      <c r="W604" s="25"/>
      <c r="X604" s="25"/>
      <c r="Y604" s="25"/>
      <c r="Z604" s="25"/>
    </row>
    <row r="605" spans="1:26" ht="52.5" customHeight="1" x14ac:dyDescent="0.25">
      <c r="A605" s="25" t="str">
        <f ca="1">IFERROR(__xludf.DUMMYFUNCTION("""COMPUTED_VALUE"""),"Mujer3")</f>
        <v>Mujer3</v>
      </c>
      <c r="B605" s="25" t="str">
        <f ca="1">IFERROR(__xludf.DUMMYFUNCTION("""COMPUTED_VALUE"""),"Consejos Locales de Gobierno")</f>
        <v>Consejos Locales de Gobierno</v>
      </c>
      <c r="C605" s="55" t="str">
        <f ca="1">IFERROR(__xludf.DUMMYFUNCTION("""COMPUTED_VALUE"""),"22/04/2021")</f>
        <v>22/04/2021</v>
      </c>
      <c r="D605" s="25" t="str">
        <f ca="1">IFERROR(__xludf.DUMMYFUNCTION("""COMPUTED_VALUE"""),"Mujer")</f>
        <v>Mujer</v>
      </c>
      <c r="E605" s="25" t="str">
        <f ca="1">IFERROR(__xludf.DUMMYFUNCTION("""COMPUTED_VALUE"""),"Secretaría Distrital de la Mujer")</f>
        <v>Secretaría Distrital de la Mujer</v>
      </c>
      <c r="F605" s="25" t="str">
        <f ca="1">IFERROR(__xludf.DUMMYFUNCTION("""COMPUTED_VALUE"""),"Programar reuniones con: DADEP e IDU (tema baldíos y subastas); SED (modelo de educación superior); SED, SDMujer, SDDE (convenio SENA)
Programar reunión sobre entornos seguros")</f>
        <v>Programar reuniones con: DADEP e IDU (tema baldíos y subastas); SED (modelo de educación superior); SED, SDMujer, SDDE (convenio SENA)
Programar reunión sobre entornos seguros</v>
      </c>
      <c r="G605" s="25" t="str">
        <f ca="1">IFERROR(__xludf.DUMMYFUNCTION("""COMPUTED_VALUE"""),"99. Distrito")</f>
        <v>99. Distrito</v>
      </c>
      <c r="H605" s="55">
        <f ca="1">IFERROR(__xludf.DUMMYFUNCTION("""COMPUTED_VALUE"""),44338)</f>
        <v>44338</v>
      </c>
      <c r="I605" s="25"/>
      <c r="J605" s="55"/>
      <c r="K605" s="25">
        <f ca="1">IFERROR(__xludf.DUMMYFUNCTION("""COMPUTED_VALUE"""),30)</f>
        <v>30</v>
      </c>
      <c r="L605" s="62">
        <f ca="1">IFERROR(__xludf.DUMMYFUNCTION("""COMPUTED_VALUE"""),44362)</f>
        <v>44362</v>
      </c>
      <c r="M605" s="25" t="str">
        <f ca="1">IFERROR(__xludf.DUMMYFUNCTION("""COMPUTED_VALUE"""),"EJECUTADO")</f>
        <v>EJECUTADO</v>
      </c>
      <c r="N605" s="55">
        <f ca="1">IFERROR(__xludf.DUMMYFUNCTION("""COMPUTED_VALUE"""),44362)</f>
        <v>44362</v>
      </c>
      <c r="O605" s="25" t="str">
        <f t="shared" ca="1" si="0"/>
        <v>Secretaría Distrital de la Mujer</v>
      </c>
      <c r="P605" s="25" t="str">
        <f t="shared" si="2"/>
        <v/>
      </c>
      <c r="Q605" s="25" t="str">
        <f ca="1">IFERROR(__xludf.DUMMYFUNCTION("""COMPUTED_VALUE"""),"Corto plazo")</f>
        <v>Corto plazo</v>
      </c>
      <c r="R605" s="25"/>
      <c r="S605" s="55"/>
      <c r="T605" s="56"/>
      <c r="U605" s="25"/>
      <c r="V605" s="25"/>
      <c r="W605" s="25"/>
      <c r="X605" s="25"/>
      <c r="Y605" s="25"/>
      <c r="Z605" s="25"/>
    </row>
    <row r="606" spans="1:26" ht="52.5" customHeight="1" x14ac:dyDescent="0.25">
      <c r="A606" s="25" t="str">
        <f ca="1">IFERROR(__xludf.DUMMYFUNCTION("""COMPUTED_VALUE"""),"Mujer4")</f>
        <v>Mujer4</v>
      </c>
      <c r="B606" s="25" t="str">
        <f ca="1">IFERROR(__xludf.DUMMYFUNCTION("""COMPUTED_VALUE"""),"Reunión SIDICU")</f>
        <v>Reunión SIDICU</v>
      </c>
      <c r="C606" s="55" t="str">
        <f ca="1">IFERROR(__xludf.DUMMYFUNCTION("""COMPUTED_VALUE"""),"16/03/2021")</f>
        <v>16/03/2021</v>
      </c>
      <c r="D606" s="25" t="str">
        <f ca="1">IFERROR(__xludf.DUMMYFUNCTION("""COMPUTED_VALUE"""),"Mujer")</f>
        <v>Mujer</v>
      </c>
      <c r="E606" s="25" t="str">
        <f ca="1">IFERROR(__xludf.DUMMYFUNCTION("""COMPUTED_VALUE"""),"Secretaría Distrital de la Mujer")</f>
        <v>Secretaría Distrital de la Mujer</v>
      </c>
      <c r="F606" s="25" t="str">
        <f ca="1">IFERROR(__xludf.DUMMYFUNCTION("""COMPUTED_VALUE"""),"Revisar posibilidad de construir manzana del cuidado de Engativá en el lote contiguo al Hospital de Engativá
")</f>
        <v xml:space="preserve">Revisar posibilidad de construir manzana del cuidado de Engativá en el lote contiguo al Hospital de Engativá
</v>
      </c>
      <c r="G606" s="25" t="str">
        <f ca="1">IFERROR(__xludf.DUMMYFUNCTION("""COMPUTED_VALUE"""),"10. Engativá")</f>
        <v>10. Engativá</v>
      </c>
      <c r="H606" s="55">
        <f ca="1">IFERROR(__xludf.DUMMYFUNCTION("""COMPUTED_VALUE"""),44301)</f>
        <v>44301</v>
      </c>
      <c r="I606" s="25"/>
      <c r="J606" s="55"/>
      <c r="K606" s="25">
        <f ca="1">IFERROR(__xludf.DUMMYFUNCTION("""COMPUTED_VALUE"""),30)</f>
        <v>30</v>
      </c>
      <c r="L606" s="62">
        <f ca="1">IFERROR(__xludf.DUMMYFUNCTION("""COMPUTED_VALUE"""),44420)</f>
        <v>44420</v>
      </c>
      <c r="M606" s="25" t="str">
        <f ca="1">IFERROR(__xludf.DUMMYFUNCTION("""COMPUTED_VALUE"""),"16.09.2021
 Manzana de Engativá: se realizó visita al Hospital Emaús para definir las especificaciones técnicas y jurídicas para el uso del suelo e intalación de containers para prestación de servicios de formación. ")</f>
        <v xml:space="preserve">16.09.2021
 Manzana de Engativá: se realizó visita al Hospital Emaús para definir las especificaciones técnicas y jurídicas para el uso del suelo e intalación de containers para prestación de servicios de formación. </v>
      </c>
      <c r="N606" s="55">
        <f ca="1">IFERROR(__xludf.DUMMYFUNCTION("""COMPUTED_VALUE"""),44420)</f>
        <v>44420</v>
      </c>
      <c r="O606" s="25" t="str">
        <f t="shared" ca="1" si="0"/>
        <v>Secretaría Distrital de la Mujer</v>
      </c>
      <c r="P606" s="25" t="str">
        <f t="shared" si="2"/>
        <v/>
      </c>
      <c r="Q606" s="25" t="str">
        <f ca="1">IFERROR(__xludf.DUMMYFUNCTION("""COMPUTED_VALUE"""),"Corto plazo")</f>
        <v>Corto plazo</v>
      </c>
      <c r="R606" s="25"/>
      <c r="S606" s="55"/>
      <c r="T606" s="56"/>
      <c r="U606" s="25"/>
      <c r="V606" s="25"/>
      <c r="W606" s="25"/>
      <c r="X606" s="25"/>
      <c r="Y606" s="25"/>
      <c r="Z606" s="25"/>
    </row>
    <row r="607" spans="1:26" ht="52.5" customHeight="1" x14ac:dyDescent="0.25">
      <c r="A607" s="25" t="str">
        <f ca="1">IFERROR(__xludf.DUMMYFUNCTION("""COMPUTED_VALUE"""),"Mujer5")</f>
        <v>Mujer5</v>
      </c>
      <c r="B607" s="25" t="str">
        <f ca="1">IFERROR(__xludf.DUMMYFUNCTION("""COMPUTED_VALUE"""),"Reunión SIDICU")</f>
        <v>Reunión SIDICU</v>
      </c>
      <c r="C607" s="55">
        <f ca="1">IFERROR(__xludf.DUMMYFUNCTION("""COMPUTED_VALUE"""),44600)</f>
        <v>44600</v>
      </c>
      <c r="D607" s="25" t="str">
        <f ca="1">IFERROR(__xludf.DUMMYFUNCTION("""COMPUTED_VALUE"""),"Mujer")</f>
        <v>Mujer</v>
      </c>
      <c r="E607" s="25" t="str">
        <f ca="1">IFERROR(__xludf.DUMMYFUNCTION("""COMPUTED_VALUE"""),"Secretaría Distrital de la Mujer")</f>
        <v>Secretaría Distrital de la Mujer</v>
      </c>
      <c r="F607" s="25" t="str">
        <f ca="1">IFERROR(__xludf.DUMMYFUNCTION("""COMPUTED_VALUE"""),"Adelantar el lanzamiento de la manzana de cuidado de suba (CEFE Fontanar), para el primer semestre de 2021. En la última UTA se propuso como mes de apertura Junio. 
Igualmente, el IDRD informará acerca de la operación del CEFE en relación con el manual d"&amp;"e uso del suelo. 
")</f>
        <v xml:space="preserve">Adelantar el lanzamiento de la manzana de cuidado de suba (CEFE Fontanar), para el primer semestre de 2021. En la última UTA se propuso como mes de apertura Junio. 
Igualmente, el IDRD informará acerca de la operación del CEFE en relación con el manual de uso del suelo. 
</v>
      </c>
      <c r="G607" s="25" t="str">
        <f ca="1">IFERROR(__xludf.DUMMYFUNCTION("""COMPUTED_VALUE"""),"11. Suba")</f>
        <v>11. Suba</v>
      </c>
      <c r="H607" s="55">
        <f ca="1">IFERROR(__xludf.DUMMYFUNCTION("""COMPUTED_VALUE"""),44630)</f>
        <v>44630</v>
      </c>
      <c r="I607" s="25"/>
      <c r="J607" s="55"/>
      <c r="K607" s="25">
        <f ca="1">IFERROR(__xludf.DUMMYFUNCTION("""COMPUTED_VALUE"""),30)</f>
        <v>30</v>
      </c>
      <c r="L607" s="62">
        <f ca="1">IFERROR(__xludf.DUMMYFUNCTION("""COMPUTED_VALUE"""),44420)</f>
        <v>44420</v>
      </c>
      <c r="M607" s="25" t="str">
        <f ca="1">IFERROR(__xludf.DUMMYFUNCTION("""COMPUTED_VALUE"""),"16.09.2021
 Manzana del Suba: Se propone aplazar para 2022 dado que el IDRD aun está estudiando la forma por medio de la cual los CEFES se articulen a la operación del Sistema Distrital de Cuidado. 
")</f>
        <v xml:space="preserve">16.09.2021
 Manzana del Suba: Se propone aplazar para 2022 dado que el IDRD aun está estudiando la forma por medio de la cual los CEFES se articulen a la operación del Sistema Distrital de Cuidado. 
</v>
      </c>
      <c r="N607" s="55">
        <f ca="1">IFERROR(__xludf.DUMMYFUNCTION("""COMPUTED_VALUE"""),44420)</f>
        <v>44420</v>
      </c>
      <c r="O607" s="25" t="str">
        <f t="shared" ca="1" si="0"/>
        <v>Secretaría Distrital de la Mujer</v>
      </c>
      <c r="P607" s="25" t="str">
        <f t="shared" si="2"/>
        <v/>
      </c>
      <c r="Q607" s="25" t="str">
        <f ca="1">IFERROR(__xludf.DUMMYFUNCTION("""COMPUTED_VALUE"""),"Corto plazo")</f>
        <v>Corto plazo</v>
      </c>
      <c r="R607" s="25"/>
      <c r="S607" s="55"/>
      <c r="T607" s="56"/>
      <c r="U607" s="25"/>
      <c r="V607" s="25"/>
      <c r="W607" s="25"/>
      <c r="X607" s="25"/>
      <c r="Y607" s="25"/>
      <c r="Z607" s="25"/>
    </row>
    <row r="608" spans="1:26" ht="52.5" customHeight="1" x14ac:dyDescent="0.25">
      <c r="A608" s="25" t="str">
        <f ca="1">IFERROR(__xludf.DUMMYFUNCTION("""COMPUTED_VALUE"""),"Mujer6")</f>
        <v>Mujer6</v>
      </c>
      <c r="B608" s="25" t="str">
        <f ca="1">IFERROR(__xludf.DUMMYFUNCTION("""COMPUTED_VALUE"""),"Reunión SIDICU")</f>
        <v>Reunión SIDICU</v>
      </c>
      <c r="C608" s="55">
        <f ca="1">IFERROR(__xludf.DUMMYFUNCTION("""COMPUTED_VALUE"""),44600)</f>
        <v>44600</v>
      </c>
      <c r="D608" s="25" t="str">
        <f ca="1">IFERROR(__xludf.DUMMYFUNCTION("""COMPUTED_VALUE"""),"Mujer")</f>
        <v>Mujer</v>
      </c>
      <c r="E608" s="25" t="str">
        <f ca="1">IFERROR(__xludf.DUMMYFUNCTION("""COMPUTED_VALUE"""),"Secretaría Distrital de la Mujer")</f>
        <v>Secretaría Distrital de la Mujer</v>
      </c>
      <c r="F608" s="25" t="str">
        <f ca="1">IFERROR(__xludf.DUMMYFUNCTION("""COMPUTED_VALUE"""),"Pensar en cambio de branding del sistema. Se definió el slogan “Cuidamos a las que nos cuidan” y se adaptó toda la imagen del SIDICU con este (por ejemplo, las unidades móviles ya cuentan con este slogan)")</f>
        <v>Pensar en cambio de branding del sistema. Se definió el slogan “Cuidamos a las que nos cuidan” y se adaptó toda la imagen del SIDICU con este (por ejemplo, las unidades móviles ya cuentan con este slogan)</v>
      </c>
      <c r="G608" s="25" t="str">
        <f ca="1">IFERROR(__xludf.DUMMYFUNCTION("""COMPUTED_VALUE"""),"99. Distrito")</f>
        <v>99. Distrito</v>
      </c>
      <c r="H608" s="55">
        <f ca="1">IFERROR(__xludf.DUMMYFUNCTION("""COMPUTED_VALUE"""),44630)</f>
        <v>44630</v>
      </c>
      <c r="I608" s="25"/>
      <c r="J608" s="55"/>
      <c r="K608" s="25">
        <f ca="1">IFERROR(__xludf.DUMMYFUNCTION("""COMPUTED_VALUE"""),30)</f>
        <v>30</v>
      </c>
      <c r="L608" s="62">
        <f ca="1">IFERROR(__xludf.DUMMYFUNCTION("""COMPUTED_VALUE"""),44384)</f>
        <v>44384</v>
      </c>
      <c r="M608" s="25" t="str">
        <f ca="1">IFERROR(__xludf.DUMMYFUNCTION("""COMPUTED_VALUE"""),"Actividad ya cerrada. ")</f>
        <v xml:space="preserve">Actividad ya cerrada. </v>
      </c>
      <c r="N608" s="55">
        <f ca="1">IFERROR(__xludf.DUMMYFUNCTION("""COMPUTED_VALUE"""),44384)</f>
        <v>44384</v>
      </c>
      <c r="O608" s="25" t="str">
        <f t="shared" ca="1" si="0"/>
        <v>Secretaría Distrital de la Mujer</v>
      </c>
      <c r="P608" s="25" t="str">
        <f t="shared" si="2"/>
        <v/>
      </c>
      <c r="Q608" s="25" t="str">
        <f ca="1">IFERROR(__xludf.DUMMYFUNCTION("""COMPUTED_VALUE"""),"Corto plazo")</f>
        <v>Corto plazo</v>
      </c>
      <c r="R608" s="25"/>
      <c r="S608" s="55"/>
      <c r="T608" s="56"/>
      <c r="U608" s="25"/>
      <c r="V608" s="25"/>
      <c r="W608" s="25"/>
      <c r="X608" s="25"/>
      <c r="Y608" s="25"/>
      <c r="Z608" s="25"/>
    </row>
    <row r="609" spans="1:26" ht="52.5" customHeight="1" x14ac:dyDescent="0.25">
      <c r="A609" s="25" t="str">
        <f ca="1">IFERROR(__xludf.DUMMYFUNCTION("""COMPUTED_VALUE"""),"Mujer7")</f>
        <v>Mujer7</v>
      </c>
      <c r="B609" s="25" t="str">
        <f ca="1">IFERROR(__xludf.DUMMYFUNCTION("""COMPUTED_VALUE"""),"Reunión SIDICU")</f>
        <v>Reunión SIDICU</v>
      </c>
      <c r="C609" s="55">
        <f ca="1">IFERROR(__xludf.DUMMYFUNCTION("""COMPUTED_VALUE"""),44600)</f>
        <v>44600</v>
      </c>
      <c r="D609" s="25" t="str">
        <f ca="1">IFERROR(__xludf.DUMMYFUNCTION("""COMPUTED_VALUE"""),"Mujer")</f>
        <v>Mujer</v>
      </c>
      <c r="E609" s="25" t="str">
        <f ca="1">IFERROR(__xludf.DUMMYFUNCTION("""COMPUTED_VALUE"""),"Secretaría Distrital de la Mujer")</f>
        <v>Secretaría Distrital de la Mujer</v>
      </c>
      <c r="F609" s="25" t="str">
        <f ca="1">IFERROR(__xludf.DUMMYFUNCTION("""COMPUTED_VALUE"""),"Revisar espacios abiertos cerca de las manzanas existentes para hacer allí, las actividades de respiro. Esta tarea es responsabilidad del IDRD y corresponde a revisar los cupos gratuitos para respiro por parte del IDRD en el CEFE San Cristóbal. El IDRD en"&amp;" la última UTA indicó que una vez se defina el funcionamiento del CEFE se informará el número de cupos.   
")</f>
        <v xml:space="preserve">Revisar espacios abiertos cerca de las manzanas existentes para hacer allí, las actividades de respiro. Esta tarea es responsabilidad del IDRD y corresponde a revisar los cupos gratuitos para respiro por parte del IDRD en el CEFE San Cristóbal. El IDRD en la última UTA indicó que una vez se defina el funcionamiento del CEFE se informará el número de cupos.   
</v>
      </c>
      <c r="G609" s="25" t="str">
        <f ca="1">IFERROR(__xludf.DUMMYFUNCTION("""COMPUTED_VALUE"""),"99. Distrito")</f>
        <v>99. Distrito</v>
      </c>
      <c r="H609" s="55">
        <f ca="1">IFERROR(__xludf.DUMMYFUNCTION("""COMPUTED_VALUE"""),44630)</f>
        <v>44630</v>
      </c>
      <c r="I609" s="25"/>
      <c r="J609" s="55"/>
      <c r="K609" s="25">
        <f ca="1">IFERROR(__xludf.DUMMYFUNCTION("""COMPUTED_VALUE"""),30)</f>
        <v>30</v>
      </c>
      <c r="L609" s="62">
        <f ca="1">IFERROR(__xludf.DUMMYFUNCTION("""COMPUTED_VALUE"""),44420)</f>
        <v>44420</v>
      </c>
      <c r="M609" s="25" t="str">
        <f ca="1">IFERROR(__xludf.DUMMYFUNCTION("""COMPUTED_VALUE"""),"Actividad ya cerrada. ")</f>
        <v xml:space="preserve">Actividad ya cerrada. </v>
      </c>
      <c r="N609" s="55">
        <f ca="1">IFERROR(__xludf.DUMMYFUNCTION("""COMPUTED_VALUE"""),44420)</f>
        <v>44420</v>
      </c>
      <c r="O609" s="25" t="str">
        <f t="shared" ca="1" si="0"/>
        <v>Secretaría Distrital de la Mujer</v>
      </c>
      <c r="P609" s="25" t="str">
        <f t="shared" si="2"/>
        <v/>
      </c>
      <c r="Q609" s="25" t="str">
        <f ca="1">IFERROR(__xludf.DUMMYFUNCTION("""COMPUTED_VALUE"""),"Corto plazo")</f>
        <v>Corto plazo</v>
      </c>
      <c r="R609" s="25"/>
      <c r="S609" s="55"/>
      <c r="T609" s="56"/>
      <c r="U609" s="25"/>
      <c r="V609" s="25"/>
      <c r="W609" s="25"/>
      <c r="X609" s="25"/>
      <c r="Y609" s="25"/>
      <c r="Z609" s="25"/>
    </row>
    <row r="610" spans="1:26" ht="52.5" customHeight="1" x14ac:dyDescent="0.25">
      <c r="A610" s="25" t="str">
        <f ca="1">IFERROR(__xludf.DUMMYFUNCTION("""COMPUTED_VALUE"""),"Mujer8")</f>
        <v>Mujer8</v>
      </c>
      <c r="B610" s="25" t="str">
        <f ca="1">IFERROR(__xludf.DUMMYFUNCTION("""COMPUTED_VALUE"""),"Comité Sistema Distrital del Cuidado -SIDICU")</f>
        <v>Comité Sistema Distrital del Cuidado -SIDICU</v>
      </c>
      <c r="C610" s="55" t="str">
        <f ca="1">IFERROR(__xludf.DUMMYFUNCTION("""COMPUTED_VALUE"""),"04/12/2020")</f>
        <v>04/12/2020</v>
      </c>
      <c r="D610" s="25" t="str">
        <f ca="1">IFERROR(__xludf.DUMMYFUNCTION("""COMPUTED_VALUE"""),"Mujer")</f>
        <v>Mujer</v>
      </c>
      <c r="E610" s="25" t="str">
        <f ca="1">IFERROR(__xludf.DUMMYFUNCTION("""COMPUTED_VALUE"""),"Secretaría Distrital de la Mujer")</f>
        <v>Secretaría Distrital de la Mujer</v>
      </c>
      <c r="F610" s="25" t="str">
        <f ca="1">IFERROR(__xludf.DUMMYFUNCTION("""COMPUTED_VALUE"""),"Puesta en marcha de servicios del SIDICU en colegios priorizados por altos niveles de violencia definidos en la Comisión Intersectorial del mes de feberero.")</f>
        <v>Puesta en marcha de servicios del SIDICU en colegios priorizados por altos niveles de violencia definidos en la Comisión Intersectorial del mes de feberero.</v>
      </c>
      <c r="G610" s="25" t="str">
        <f ca="1">IFERROR(__xludf.DUMMYFUNCTION("""COMPUTED_VALUE"""),"99. Distrito")</f>
        <v>99. Distrito</v>
      </c>
      <c r="H610" s="55">
        <f ca="1">IFERROR(__xludf.DUMMYFUNCTION("""COMPUTED_VALUE"""),44199)</f>
        <v>44199</v>
      </c>
      <c r="I610" s="25"/>
      <c r="J610" s="55"/>
      <c r="K610" s="25">
        <f ca="1">IFERROR(__xludf.DUMMYFUNCTION("""COMPUTED_VALUE"""),30)</f>
        <v>30</v>
      </c>
      <c r="L610" s="62">
        <f ca="1">IFERROR(__xludf.DUMMYFUNCTION("""COMPUTED_VALUE"""),44420)</f>
        <v>44420</v>
      </c>
      <c r="M610" s="25" t="str">
        <f ca="1">IFERROR(__xludf.DUMMYFUNCTION("""COMPUTED_VALUE"""),"16.09.21
 El 16 de septiembre se llevó acabo reunión con la SED, SDIS y SDMujer para coodinar la prestación del servicio en dupla. Se acordó relaizar visitas a los tres colegios (Nuevo Chile, Gerado Paredes, Los Alpes) para identificar los espacios en don"&amp;"de se prestarán los servicios de formación complementaria y flexible para cuidadoras, asi como el arte de cuidarte para el cuidado de niños y niñas.")</f>
        <v>16.09.21
 El 16 de septiembre se llevó acabo reunión con la SED, SDIS y SDMujer para coodinar la prestación del servicio en dupla. Se acordó relaizar visitas a los tres colegios (Nuevo Chile, Gerado Paredes, Los Alpes) para identificar los espacios en donde se prestarán los servicios de formación complementaria y flexible para cuidadoras, asi como el arte de cuidarte para el cuidado de niños y niñas.</v>
      </c>
      <c r="N610" s="55">
        <f ca="1">IFERROR(__xludf.DUMMYFUNCTION("""COMPUTED_VALUE"""),44420)</f>
        <v>44420</v>
      </c>
      <c r="O610" s="25" t="str">
        <f t="shared" ca="1" si="0"/>
        <v>Secretaría Distrital de la Mujer</v>
      </c>
      <c r="P610" s="25" t="str">
        <f t="shared" si="2"/>
        <v/>
      </c>
      <c r="Q610" s="25" t="str">
        <f ca="1">IFERROR(__xludf.DUMMYFUNCTION("""COMPUTED_VALUE"""),"Corto plazo")</f>
        <v>Corto plazo</v>
      </c>
      <c r="R610" s="25"/>
      <c r="S610" s="55"/>
      <c r="T610" s="56"/>
      <c r="U610" s="25"/>
      <c r="V610" s="25"/>
      <c r="W610" s="25"/>
      <c r="X610" s="25"/>
      <c r="Y610" s="25"/>
      <c r="Z610" s="25"/>
    </row>
    <row r="611" spans="1:26" ht="52.5" customHeight="1" x14ac:dyDescent="0.25">
      <c r="A611" s="25" t="str">
        <f ca="1">IFERROR(__xludf.DUMMYFUNCTION("""COMPUTED_VALUE"""),"Mujer9")</f>
        <v>Mujer9</v>
      </c>
      <c r="B611" s="25" t="str">
        <f ca="1">IFERROR(__xludf.DUMMYFUNCTION("""COMPUTED_VALUE"""),"SIDICU Planes 2022")</f>
        <v>SIDICU Planes 2022</v>
      </c>
      <c r="C611" s="55">
        <f ca="1">IFERROR(__xludf.DUMMYFUNCTION("""COMPUTED_VALUE"""),44600)</f>
        <v>44600</v>
      </c>
      <c r="D611" s="25" t="str">
        <f ca="1">IFERROR(__xludf.DUMMYFUNCTION("""COMPUTED_VALUE"""),"Mujer")</f>
        <v>Mujer</v>
      </c>
      <c r="E611" s="25" t="str">
        <f ca="1">IFERROR(__xludf.DUMMYFUNCTION("""COMPUTED_VALUE"""),"Secretaría Distrital de la Mujer")</f>
        <v>Secretaría Distrital de la Mujer</v>
      </c>
      <c r="F611" s="25" t="str">
        <f ca="1">IFERROR(__xludf.DUMMYFUNCTION("""COMPUTED_VALUE"""),"Revisar orden de las manzanas a inaugurar en el 2022")</f>
        <v>Revisar orden de las manzanas a inaugurar en el 2022</v>
      </c>
      <c r="G611" s="25" t="str">
        <f ca="1">IFERROR(__xludf.DUMMYFUNCTION("""COMPUTED_VALUE"""),"99. Distrito")</f>
        <v>99. Distrito</v>
      </c>
      <c r="H611" s="55">
        <f ca="1">IFERROR(__xludf.DUMMYFUNCTION("""COMPUTED_VALUE"""),44630)</f>
        <v>44630</v>
      </c>
      <c r="I611" s="25"/>
      <c r="J611" s="55"/>
      <c r="K611" s="25">
        <f ca="1">IFERROR(__xludf.DUMMYFUNCTION("""COMPUTED_VALUE"""),30)</f>
        <v>30</v>
      </c>
      <c r="L611" s="62">
        <f ca="1">IFERROR(__xludf.DUMMYFUNCTION("""COMPUTED_VALUE"""),44631)</f>
        <v>44631</v>
      </c>
      <c r="M611" s="25" t="str">
        <f ca="1">IFERROR(__xludf.DUMMYFUNCTION("""COMPUTED_VALUE"""),"Se ajusto la programación de la inaguración de las nuevas manzanas así: 
 1. Santa Fé - Candelaría (Centro) puesta en operación el 28 de febrero; 
 2. Engativá 30 de marzo, en Hospital Engativá
 3. Rafael Uribe Uribe Abril, Centro de Desarrollo Comunitari"&amp;"o Colinas
 4. Bosa Junio, Casa de Justicia
 5 Ciudad Bolívar Agosto, Jardín Mochuerlo 
 6. Ciudad Bolívar Agosto, Centro Día Sierra Morena
 7. Tunjuelito Octubre, Antigual Alcaldía Local")</f>
        <v>Se ajusto la programación de la inaguración de las nuevas manzanas así: 
 1. Santa Fé - Candelaría (Centro) puesta en operación el 28 de febrero; 
 2. Engativá 30 de marzo, en Hospital Engativá
 3. Rafael Uribe Uribe Abril, Centro de Desarrollo Comunitario Colinas
 4. Bosa Junio, Casa de Justicia
 5 Ciudad Bolívar Agosto, Jardín Mochuerlo 
 6. Ciudad Bolívar Agosto, Centro Día Sierra Morena
 7. Tunjuelito Octubre, Antigual Alcaldía Local</v>
      </c>
      <c r="N611" s="55">
        <f ca="1">IFERROR(__xludf.DUMMYFUNCTION("""COMPUTED_VALUE"""),44631)</f>
        <v>44631</v>
      </c>
      <c r="O611" s="25" t="str">
        <f t="shared" ca="1" si="0"/>
        <v>Secretaría Distrital de la Mujer</v>
      </c>
      <c r="P611" s="25" t="str">
        <f t="shared" si="2"/>
        <v/>
      </c>
      <c r="Q611" s="25" t="str">
        <f ca="1">IFERROR(__xludf.DUMMYFUNCTION("""COMPUTED_VALUE"""),"Corto plazo")</f>
        <v>Corto plazo</v>
      </c>
      <c r="R611" s="25"/>
      <c r="S611" s="55"/>
      <c r="T611" s="56"/>
      <c r="U611" s="25"/>
      <c r="V611" s="25"/>
      <c r="W611" s="25"/>
      <c r="X611" s="25"/>
      <c r="Y611" s="25"/>
      <c r="Z611" s="25"/>
    </row>
    <row r="612" spans="1:26" ht="52.5" customHeight="1" x14ac:dyDescent="0.25">
      <c r="A612" s="25" t="str">
        <f ca="1">IFERROR(__xludf.DUMMYFUNCTION("""COMPUTED_VALUE"""),"Mujer10")</f>
        <v>Mujer10</v>
      </c>
      <c r="B612" s="25" t="str">
        <f ca="1">IFERROR(__xludf.DUMMYFUNCTION("""COMPUTED_VALUE"""),"SIDICU Planes 2022")</f>
        <v>SIDICU Planes 2022</v>
      </c>
      <c r="C612" s="55">
        <f ca="1">IFERROR(__xludf.DUMMYFUNCTION("""COMPUTED_VALUE"""),44600)</f>
        <v>44600</v>
      </c>
      <c r="D612" s="25" t="str">
        <f ca="1">IFERROR(__xludf.DUMMYFUNCTION("""COMPUTED_VALUE"""),"Mujer")</f>
        <v>Mujer</v>
      </c>
      <c r="E612" s="25" t="str">
        <f ca="1">IFERROR(__xludf.DUMMYFUNCTION("""COMPUTED_VALUE"""),"Secretaría Distrital de la Mujer")</f>
        <v>Secretaría Distrital de la Mujer</v>
      </c>
      <c r="F612" s="25" t="str">
        <f ca="1">IFERROR(__xludf.DUMMYFUNCTION("""COMPUTED_VALUE"""),"Incluir la manzana de Bosa Campo Verde en el listado de manzanas a inaugurar en 2022.")</f>
        <v>Incluir la manzana de Bosa Campo Verde en el listado de manzanas a inaugurar en 2022.</v>
      </c>
      <c r="G612" s="25" t="str">
        <f ca="1">IFERROR(__xludf.DUMMYFUNCTION("""COMPUTED_VALUE"""),"99. Distrito")</f>
        <v>99. Distrito</v>
      </c>
      <c r="H612" s="55">
        <f ca="1">IFERROR(__xludf.DUMMYFUNCTION("""COMPUTED_VALUE"""),44630)</f>
        <v>44630</v>
      </c>
      <c r="I612" s="25"/>
      <c r="J612" s="55"/>
      <c r="K612" s="25">
        <f ca="1">IFERROR(__xludf.DUMMYFUNCTION("""COMPUTED_VALUE"""),30)</f>
        <v>30</v>
      </c>
      <c r="L612" s="62">
        <f ca="1">IFERROR(__xludf.DUMMYFUNCTION("""COMPUTED_VALUE"""),44266)</f>
        <v>44266</v>
      </c>
      <c r="M612" s="25" t="str">
        <f ca="1">IFERROR(__xludf.DUMMYFUNCTION("""COMPUTED_VALUE"""),"Se incluyó dentro de la programación de inauguración de las manzanas.")</f>
        <v>Se incluyó dentro de la programación de inauguración de las manzanas.</v>
      </c>
      <c r="N612" s="55">
        <f ca="1">IFERROR(__xludf.DUMMYFUNCTION("""COMPUTED_VALUE"""),44266)</f>
        <v>44266</v>
      </c>
      <c r="O612" s="25" t="str">
        <f t="shared" ca="1" si="0"/>
        <v>Secretaría Distrital de la Mujer</v>
      </c>
      <c r="P612" s="25" t="str">
        <f t="shared" si="2"/>
        <v/>
      </c>
      <c r="Q612" s="25" t="str">
        <f ca="1">IFERROR(__xludf.DUMMYFUNCTION("""COMPUTED_VALUE"""),"Corto plazo")</f>
        <v>Corto plazo</v>
      </c>
      <c r="R612" s="25"/>
      <c r="S612" s="55"/>
      <c r="T612" s="56"/>
      <c r="U612" s="25"/>
      <c r="V612" s="25"/>
      <c r="W612" s="25"/>
      <c r="X612" s="25"/>
      <c r="Y612" s="25"/>
      <c r="Z612" s="25"/>
    </row>
    <row r="613" spans="1:26" ht="52.5" customHeight="1" x14ac:dyDescent="0.25">
      <c r="A613" s="25" t="str">
        <f ca="1">IFERROR(__xludf.DUMMYFUNCTION("""COMPUTED_VALUE"""),"Mujer11")</f>
        <v>Mujer11</v>
      </c>
      <c r="B613" s="25" t="str">
        <f ca="1">IFERROR(__xludf.DUMMYFUNCTION("""COMPUTED_VALUE"""),"SIDICU Planes 2022")</f>
        <v>SIDICU Planes 2022</v>
      </c>
      <c r="C613" s="55">
        <f ca="1">IFERROR(__xludf.DUMMYFUNCTION("""COMPUTED_VALUE"""),44600)</f>
        <v>44600</v>
      </c>
      <c r="D613" s="25" t="str">
        <f ca="1">IFERROR(__xludf.DUMMYFUNCTION("""COMPUTED_VALUE"""),"Mujer")</f>
        <v>Mujer</v>
      </c>
      <c r="E613" s="25" t="str">
        <f ca="1">IFERROR(__xludf.DUMMYFUNCTION("""COMPUTED_VALUE"""),"Secretaría Distrital de la Mujer")</f>
        <v>Secretaría Distrital de la Mujer</v>
      </c>
      <c r="F613" s="25" t="str">
        <f ca="1">IFERROR(__xludf.DUMMYFUNCTION("""COMPUTED_VALUE"""),"Gestionar para que cada manzana tenga un aula de escuela de cuidado para hombres")</f>
        <v>Gestionar para que cada manzana tenga un aula de escuela de cuidado para hombres</v>
      </c>
      <c r="G613" s="25" t="str">
        <f ca="1">IFERROR(__xludf.DUMMYFUNCTION("""COMPUTED_VALUE"""),"99. Distrito")</f>
        <v>99. Distrito</v>
      </c>
      <c r="H613" s="55">
        <f ca="1">IFERROR(__xludf.DUMMYFUNCTION("""COMPUTED_VALUE"""),44630)</f>
        <v>44630</v>
      </c>
      <c r="I613" s="25"/>
      <c r="J613" s="55"/>
      <c r="K613" s="25">
        <f ca="1">IFERROR(__xludf.DUMMYFUNCTION("""COMPUTED_VALUE"""),30)</f>
        <v>30</v>
      </c>
      <c r="L613" s="62">
        <f ca="1">IFERROR(__xludf.DUMMYFUNCTION("""COMPUTED_VALUE"""),44631)</f>
        <v>44631</v>
      </c>
      <c r="M613" s="64" t="str">
        <f ca="1">IFERROR(__xludf.DUMMYFUNCTION("""COMPUTED_VALUE"""),"En la Unidad Técnica de Apoyo (UTA) del 5 de mayo de 2022, se solicitó al sector Cultura estimar el costo del servicio y solicitar adición presupuestal. El sector se comprometió a implementar la Escuela en todas las Manzanas este año. (Acta UTA https://ww"&amp;"w.sdmujer.gov.co/sites/default/files/2022-05/documentos/acta-No16-comision-intersectorial-del-sistema-distrital-de-cuidado-05-05-2022_.pdf)")</f>
        <v>En la Unidad Técnica de Apoyo (UTA) del 5 de mayo de 2022, se solicitó al sector Cultura estimar el costo del servicio y solicitar adición presupuestal. El sector se comprometió a implementar la Escuela en todas las Manzanas este año. (Acta UTA https://www.sdmujer.gov.co/sites/default/files/2022-05/documentos/acta-No16-comision-intersectorial-del-sistema-distrital-de-cuidado-05-05-2022_.pdf)</v>
      </c>
      <c r="N613" s="55">
        <f ca="1">IFERROR(__xludf.DUMMYFUNCTION("""COMPUTED_VALUE"""),44631)</f>
        <v>44631</v>
      </c>
      <c r="O613" s="25" t="str">
        <f t="shared" ca="1" si="0"/>
        <v>Secretaría Distrital de la Mujer</v>
      </c>
      <c r="P613" s="25" t="str">
        <f t="shared" si="2"/>
        <v/>
      </c>
      <c r="Q613" s="25" t="str">
        <f ca="1">IFERROR(__xludf.DUMMYFUNCTION("""COMPUTED_VALUE"""),"Corto plazo")</f>
        <v>Corto plazo</v>
      </c>
      <c r="R613" s="25"/>
      <c r="S613" s="55"/>
      <c r="T613" s="56"/>
      <c r="U613" s="25"/>
      <c r="V613" s="25"/>
      <c r="W613" s="25"/>
      <c r="X613" s="25"/>
      <c r="Y613" s="25"/>
      <c r="Z613" s="25"/>
    </row>
    <row r="614" spans="1:26" ht="52.5" customHeight="1" x14ac:dyDescent="0.25">
      <c r="A614" s="25" t="str">
        <f ca="1">IFERROR(__xludf.DUMMYFUNCTION("""COMPUTED_VALUE"""),"Mujer12")</f>
        <v>Mujer12</v>
      </c>
      <c r="B614" s="25" t="str">
        <f ca="1">IFERROR(__xludf.DUMMYFUNCTION("""COMPUTED_VALUE"""),"SIDICU Planes 2022")</f>
        <v>SIDICU Planes 2022</v>
      </c>
      <c r="C614" s="55">
        <f ca="1">IFERROR(__xludf.DUMMYFUNCTION("""COMPUTED_VALUE"""),44600)</f>
        <v>44600</v>
      </c>
      <c r="D614" s="25" t="str">
        <f ca="1">IFERROR(__xludf.DUMMYFUNCTION("""COMPUTED_VALUE"""),"Mujer")</f>
        <v>Mujer</v>
      </c>
      <c r="E614" s="25" t="str">
        <f ca="1">IFERROR(__xludf.DUMMYFUNCTION("""COMPUTED_VALUE"""),"Secretaría Distrital de la Mujer")</f>
        <v>Secretaría Distrital de la Mujer</v>
      </c>
      <c r="F614" s="25" t="str">
        <f ca="1">IFERROR(__xludf.DUMMYFUNCTION("""COMPUTED_VALUE"""),"Identificar qué servicios tiene cada entidad para prestar, si tiene o no el personal y cuánto le cuesta (costo per cápita o por servicio de cada entidad). Cuánto se necesita para llegar a la meta del 2022 en cada entidad.")</f>
        <v>Identificar qué servicios tiene cada entidad para prestar, si tiene o no el personal y cuánto le cuesta (costo per cápita o por servicio de cada entidad). Cuánto se necesita para llegar a la meta del 2022 en cada entidad.</v>
      </c>
      <c r="G614" s="25" t="str">
        <f ca="1">IFERROR(__xludf.DUMMYFUNCTION("""COMPUTED_VALUE"""),"99. Distrito")</f>
        <v>99. Distrito</v>
      </c>
      <c r="H614" s="55">
        <f ca="1">IFERROR(__xludf.DUMMYFUNCTION("""COMPUTED_VALUE"""),44630)</f>
        <v>44630</v>
      </c>
      <c r="I614" s="25"/>
      <c r="J614" s="55"/>
      <c r="K614" s="25">
        <f ca="1">IFERROR(__xludf.DUMMYFUNCTION("""COMPUTED_VALUE"""),30)</f>
        <v>30</v>
      </c>
      <c r="L614" s="62">
        <f ca="1">IFERROR(__xludf.DUMMYFUNCTION("""COMPUTED_VALUE"""),44631)</f>
        <v>44631</v>
      </c>
      <c r="M614" s="25" t="str">
        <f ca="1">IFERROR(__xludf.DUMMYFUNCTION("""COMPUTED_VALUE"""),"Las entidades remitieron todos los costeos y el PNUD presentará a la alcaldesa en la Comisión Intersectorial del Sistema de Cuidado del 25 de julio de 2022")</f>
        <v>Las entidades remitieron todos los costeos y el PNUD presentará a la alcaldesa en la Comisión Intersectorial del Sistema de Cuidado del 25 de julio de 2022</v>
      </c>
      <c r="N614" s="55">
        <f ca="1">IFERROR(__xludf.DUMMYFUNCTION("""COMPUTED_VALUE"""),44631)</f>
        <v>44631</v>
      </c>
      <c r="O614" s="25" t="str">
        <f t="shared" ca="1" si="0"/>
        <v>Secretaría Distrital de la Mujer</v>
      </c>
      <c r="P614" s="25" t="str">
        <f t="shared" si="2"/>
        <v/>
      </c>
      <c r="Q614" s="25" t="str">
        <f ca="1">IFERROR(__xludf.DUMMYFUNCTION("""COMPUTED_VALUE"""),"Corto plazo")</f>
        <v>Corto plazo</v>
      </c>
      <c r="R614" s="25"/>
      <c r="S614" s="55"/>
      <c r="T614" s="56"/>
      <c r="U614" s="25"/>
      <c r="V614" s="25"/>
      <c r="W614" s="25"/>
      <c r="X614" s="25"/>
      <c r="Y614" s="25"/>
      <c r="Z614" s="25"/>
    </row>
    <row r="615" spans="1:26" ht="52.5" customHeight="1" x14ac:dyDescent="0.25">
      <c r="A615" s="25" t="str">
        <f ca="1">IFERROR(__xludf.DUMMYFUNCTION("""COMPUTED_VALUE"""),"Mujer13")</f>
        <v>Mujer13</v>
      </c>
      <c r="B615" s="25" t="str">
        <f ca="1">IFERROR(__xludf.DUMMYFUNCTION("""COMPUTED_VALUE"""),"SIDICU Planes 2022")</f>
        <v>SIDICU Planes 2022</v>
      </c>
      <c r="C615" s="55">
        <f ca="1">IFERROR(__xludf.DUMMYFUNCTION("""COMPUTED_VALUE"""),44600)</f>
        <v>44600</v>
      </c>
      <c r="D615" s="25" t="str">
        <f ca="1">IFERROR(__xludf.DUMMYFUNCTION("""COMPUTED_VALUE"""),"Mujer")</f>
        <v>Mujer</v>
      </c>
      <c r="E615" s="25" t="str">
        <f ca="1">IFERROR(__xludf.DUMMYFUNCTION("""COMPUTED_VALUE"""),"Secretaría Distrital de la Mujer")</f>
        <v>Secretaría Distrital de la Mujer</v>
      </c>
      <c r="F615" s="25" t="str">
        <f ca="1">IFERROR(__xludf.DUMMYFUNCTION("""COMPUTED_VALUE"""),"Incluir los servicios que faltan en cada una de las manzanas que están en operación")</f>
        <v>Incluir los servicios que faltan en cada una de las manzanas que están en operación</v>
      </c>
      <c r="G615" s="25" t="str">
        <f ca="1">IFERROR(__xludf.DUMMYFUNCTION("""COMPUTED_VALUE"""),"99. Distrito")</f>
        <v>99. Distrito</v>
      </c>
      <c r="H615" s="55">
        <f ca="1">IFERROR(__xludf.DUMMYFUNCTION("""COMPUTED_VALUE"""),44630)</f>
        <v>44630</v>
      </c>
      <c r="I615" s="25"/>
      <c r="J615" s="55"/>
      <c r="K615" s="25">
        <f ca="1">IFERROR(__xludf.DUMMYFUNCTION("""COMPUTED_VALUE"""),30)</f>
        <v>30</v>
      </c>
      <c r="L615" s="62">
        <f ca="1">IFERROR(__xludf.DUMMYFUNCTION("""COMPUTED_VALUE"""),44631)</f>
        <v>44631</v>
      </c>
      <c r="M615" s="25" t="str">
        <f ca="1">IFERROR(__xludf.DUMMYFUNCTION("""COMPUTED_VALUE"""),"Se aprobaron 30 servicios mínimos en el sistema de cuidado en reunión con la alcaldesa y conforme a esto se actualizaron más 10 fichas técnicas de las manzanas del cuidado")</f>
        <v>Se aprobaron 30 servicios mínimos en el sistema de cuidado en reunión con la alcaldesa y conforme a esto se actualizaron más 10 fichas técnicas de las manzanas del cuidado</v>
      </c>
      <c r="N615" s="55">
        <f ca="1">IFERROR(__xludf.DUMMYFUNCTION("""COMPUTED_VALUE"""),44631)</f>
        <v>44631</v>
      </c>
      <c r="O615" s="25" t="str">
        <f t="shared" ca="1" si="0"/>
        <v>Secretaría Distrital de la Mujer</v>
      </c>
      <c r="P615" s="25" t="str">
        <f t="shared" si="2"/>
        <v/>
      </c>
      <c r="Q615" s="25" t="str">
        <f ca="1">IFERROR(__xludf.DUMMYFUNCTION("""COMPUTED_VALUE"""),"Corto plazo")</f>
        <v>Corto plazo</v>
      </c>
      <c r="R615" s="25"/>
      <c r="S615" s="55"/>
      <c r="T615" s="56"/>
      <c r="U615" s="25"/>
      <c r="V615" s="25"/>
      <c r="W615" s="25"/>
      <c r="X615" s="25"/>
      <c r="Y615" s="25"/>
      <c r="Z615" s="25"/>
    </row>
    <row r="616" spans="1:26" ht="52.5" customHeight="1" x14ac:dyDescent="0.25">
      <c r="A616" s="25" t="str">
        <f ca="1">IFERROR(__xludf.DUMMYFUNCTION("""COMPUTED_VALUE"""),"Mujer14")</f>
        <v>Mujer14</v>
      </c>
      <c r="B616" s="25" t="str">
        <f ca="1">IFERROR(__xludf.DUMMYFUNCTION("""COMPUTED_VALUE"""),"Comisión SIDICU")</f>
        <v>Comisión SIDICU</v>
      </c>
      <c r="C616" s="55">
        <f ca="1">IFERROR(__xludf.DUMMYFUNCTION("""COMPUTED_VALUE"""),44620)</f>
        <v>44620</v>
      </c>
      <c r="D616" s="25" t="str">
        <f ca="1">IFERROR(__xludf.DUMMYFUNCTION("""COMPUTED_VALUE"""),"Mujer")</f>
        <v>Mujer</v>
      </c>
      <c r="E616" s="25" t="str">
        <f ca="1">IFERROR(__xludf.DUMMYFUNCTION("""COMPUTED_VALUE"""),"Secretaría Distrital de la Mujer")</f>
        <v>Secretaría Distrital de la Mujer</v>
      </c>
      <c r="F616" s="25" t="str">
        <f ca="1">IFERROR(__xludf.DUMMYFUNCTION("""COMPUTED_VALUE"""),"Hacer doble testeada al slogan: si es tiempo y cuidado para las mujeres o a cuidar se aprende")</f>
        <v>Hacer doble testeada al slogan: si es tiempo y cuidado para las mujeres o a cuidar se aprende</v>
      </c>
      <c r="G616" s="25" t="str">
        <f ca="1">IFERROR(__xludf.DUMMYFUNCTION("""COMPUTED_VALUE"""),"99. Distrito")</f>
        <v>99. Distrito</v>
      </c>
      <c r="H616" s="55">
        <f ca="1">IFERROR(__xludf.DUMMYFUNCTION("""COMPUTED_VALUE"""),44650)</f>
        <v>44650</v>
      </c>
      <c r="I616" s="25"/>
      <c r="J616" s="55"/>
      <c r="K616" s="25">
        <f ca="1">IFERROR(__xludf.DUMMYFUNCTION("""COMPUTED_VALUE"""),30)</f>
        <v>30</v>
      </c>
      <c r="L616" s="62"/>
      <c r="M616" s="25" t="str">
        <f ca="1">IFERROR(__xludf.DUMMYFUNCTION("""COMPUTED_VALUE"""),"La Alcaldesa decidió sobre el slogan del sistema en la comisión intersectorial hace 5 meses")</f>
        <v>La Alcaldesa decidió sobre el slogan del sistema en la comisión intersectorial hace 5 meses</v>
      </c>
      <c r="N616" s="55">
        <f ca="1">IFERROR(__xludf.DUMMYFUNCTION("""COMPUTED_VALUE"""),44927)</f>
        <v>44927</v>
      </c>
      <c r="O616" s="25" t="str">
        <f t="shared" ca="1" si="0"/>
        <v>Secretaría Distrital de la Mujer</v>
      </c>
      <c r="P616" s="25" t="str">
        <f t="shared" si="2"/>
        <v/>
      </c>
      <c r="Q616" s="25" t="str">
        <f ca="1">IFERROR(__xludf.DUMMYFUNCTION("""COMPUTED_VALUE"""),"Corto plazo")</f>
        <v>Corto plazo</v>
      </c>
      <c r="R616" s="25"/>
      <c r="S616" s="55"/>
      <c r="T616" s="56"/>
      <c r="U616" s="25"/>
      <c r="V616" s="25"/>
      <c r="W616" s="25"/>
      <c r="X616" s="25"/>
      <c r="Y616" s="25"/>
      <c r="Z616" s="25"/>
    </row>
    <row r="617" spans="1:26" ht="52.5" customHeight="1" x14ac:dyDescent="0.25">
      <c r="A617" s="25" t="str">
        <f ca="1">IFERROR(__xludf.DUMMYFUNCTION("""COMPUTED_VALUE"""),"Mujer15")</f>
        <v>Mujer15</v>
      </c>
      <c r="B617" s="25" t="str">
        <f ca="1">IFERROR(__xludf.DUMMYFUNCTION("""COMPUTED_VALUE"""),"Comisión SIDICU")</f>
        <v>Comisión SIDICU</v>
      </c>
      <c r="C617" s="55">
        <f ca="1">IFERROR(__xludf.DUMMYFUNCTION("""COMPUTED_VALUE"""),44620)</f>
        <v>44620</v>
      </c>
      <c r="D617" s="25" t="str">
        <f ca="1">IFERROR(__xludf.DUMMYFUNCTION("""COMPUTED_VALUE"""),"Mujer")</f>
        <v>Mujer</v>
      </c>
      <c r="E617" s="25" t="str">
        <f ca="1">IFERROR(__xludf.DUMMYFUNCTION("""COMPUTED_VALUE"""),"Secretaría Distrital de la Mujer")</f>
        <v>Secretaría Distrital de la Mujer</v>
      </c>
      <c r="F617" s="25" t="str">
        <f ca="1">IFERROR(__xludf.DUMMYFUNCTION("""COMPUTED_VALUE"""),"Mover la inauguración de las dos manzanas de Ciudad Bolívar para Agosto")</f>
        <v>Mover la inauguración de las dos manzanas de Ciudad Bolívar para Agosto</v>
      </c>
      <c r="G617" s="25" t="str">
        <f ca="1">IFERROR(__xludf.DUMMYFUNCTION("""COMPUTED_VALUE"""),"19. Ciudad Bolívar")</f>
        <v>19. Ciudad Bolívar</v>
      </c>
      <c r="H617" s="55">
        <f ca="1">IFERROR(__xludf.DUMMYFUNCTION("""COMPUTED_VALUE"""),44650)</f>
        <v>44650</v>
      </c>
      <c r="I617" s="25"/>
      <c r="J617" s="55"/>
      <c r="K617" s="25">
        <f ca="1">IFERROR(__xludf.DUMMYFUNCTION("""COMPUTED_VALUE"""),30)</f>
        <v>30</v>
      </c>
      <c r="L617" s="62"/>
      <c r="M617" s="25" t="str">
        <f ca="1">IFERROR(__xludf.DUMMYFUNCTION("""COMPUTED_VALUE"""),"La inauguración de la Manzana del Cuidado en Mochuelo fue movida para el mes de agosto. Y la de Ecoparque, para septiembre.")</f>
        <v>La inauguración de la Manzana del Cuidado en Mochuelo fue movida para el mes de agosto. Y la de Ecoparque, para septiembre.</v>
      </c>
      <c r="N617" s="55">
        <f ca="1">IFERROR(__xludf.DUMMYFUNCTION("""COMPUTED_VALUE"""),44927)</f>
        <v>44927</v>
      </c>
      <c r="O617" s="25" t="str">
        <f t="shared" ca="1" si="0"/>
        <v>Secretaría Distrital de la Mujer</v>
      </c>
      <c r="P617" s="25" t="str">
        <f t="shared" si="2"/>
        <v/>
      </c>
      <c r="Q617" s="25" t="str">
        <f ca="1">IFERROR(__xludf.DUMMYFUNCTION("""COMPUTED_VALUE"""),"Corto plazo")</f>
        <v>Corto plazo</v>
      </c>
      <c r="R617" s="25"/>
      <c r="S617" s="55"/>
      <c r="T617" s="56"/>
      <c r="U617" s="25"/>
      <c r="V617" s="25"/>
      <c r="W617" s="25"/>
      <c r="X617" s="25"/>
      <c r="Y617" s="25"/>
      <c r="Z617" s="25"/>
    </row>
    <row r="618" spans="1:26" ht="52.5" customHeight="1" x14ac:dyDescent="0.25">
      <c r="A618" s="25" t="str">
        <f ca="1">IFERROR(__xludf.DUMMYFUNCTION("""COMPUTED_VALUE"""),"Mujer16")</f>
        <v>Mujer16</v>
      </c>
      <c r="B618" s="25" t="str">
        <f ca="1">IFERROR(__xludf.DUMMYFUNCTION("""COMPUTED_VALUE"""),"Consejo de seguridad")</f>
        <v>Consejo de seguridad</v>
      </c>
      <c r="C618" s="55">
        <f ca="1">IFERROR(__xludf.DUMMYFUNCTION("""COMPUTED_VALUE"""),44595)</f>
        <v>44595</v>
      </c>
      <c r="D618" s="25" t="str">
        <f ca="1">IFERROR(__xludf.DUMMYFUNCTION("""COMPUTED_VALUE"""),"Mujer")</f>
        <v>Mujer</v>
      </c>
      <c r="E618" s="25" t="str">
        <f ca="1">IFERROR(__xludf.DUMMYFUNCTION("""COMPUTED_VALUE"""),"Secretaría Distrital de la Mujer")</f>
        <v>Secretaría Distrital de la Mujer</v>
      </c>
      <c r="F618" s="25" t="str">
        <f ca="1">IFERROR(__xludf.DUMMYFUNCTION("""COMPUTED_VALUE"""),"Realizar un análisis mensual, por COSEC, de los delitos con víctima mujer, que incluya los siguientes elementos:
(i) número de medidas de protección por parte de las Comisarías de Familia y el ICBF
(ii) número de capturas por parte de la Policía
(iii) núm"&amp;"ero de procesos judiciales abiertos sin capturas
(iv) número de judicializaciones con capturas
Este análisis debe contrastarse con el número de rondas que se están haciendo efectivamente por parte de la MEBOG, en el marco de una medida de protección otor"&amp;"gada a una víctima, con el fin de verificar cuántas se están cumpliendo
")</f>
        <v xml:space="preserve">Realizar un análisis mensual, por COSEC, de los delitos con víctima mujer, que incluya los siguientes elementos:
(i) número de medidas de protección por parte de las Comisarías de Familia y el ICBF
(ii) número de capturas por parte de la Policía
(iii) número de procesos judiciales abiertos sin capturas
(iv) número de judicializaciones con capturas
Este análisis debe contrastarse con el número de rondas que se están haciendo efectivamente por parte de la MEBOG, en el marco de una medida de protección otorgada a una víctima, con el fin de verificar cuántas se están cumpliendo
</v>
      </c>
      <c r="G618" s="55" t="str">
        <f ca="1">IFERROR(__xludf.DUMMYFUNCTION("""COMPUTED_VALUE"""),"19. Ciudad Bolívar")</f>
        <v>19. Ciudad Bolívar</v>
      </c>
      <c r="H618" s="55">
        <f ca="1">IFERROR(__xludf.DUMMYFUNCTION("""COMPUTED_VALUE"""),44625)</f>
        <v>44625</v>
      </c>
      <c r="I618" s="25"/>
      <c r="J618" s="55"/>
      <c r="K618" s="25">
        <f ca="1">IFERROR(__xludf.DUMMYFUNCTION("""COMPUTED_VALUE"""),30)</f>
        <v>30</v>
      </c>
      <c r="L618" s="62"/>
      <c r="M618" s="25" t="str">
        <f ca="1">IFERROR(__xludf.DUMMYFUNCTION("""COMPUTED_VALUE"""),"Realizado y presentado a la alcaldesa en el Consejo de Seguridad del 18 de enero de 2022.
Debido al cambio de estructura de los Consejos de Seguridad ya no es solicitada esta información de forma periódica, aún así en cada consejo de seguridad se reporta"&amp;" (si es requerido por la alcaldesa) la información de violencia contra las mujeres en la localidad que se esté visitando.
Fecha de actialización: 10 de marzo de 2022")</f>
        <v>Realizado y presentado a la alcaldesa en el Consejo de Seguridad del 18 de enero de 2022.
Debido al cambio de estructura de los Consejos de Seguridad ya no es solicitada esta información de forma periódica, aún así en cada consejo de seguridad se reporta (si es requerido por la alcaldesa) la información de violencia contra las mujeres en la localidad que se esté visitando.
Fecha de actialización: 10 de marzo de 2022</v>
      </c>
      <c r="N618" s="55">
        <f ca="1">IFERROR(__xludf.DUMMYFUNCTION("""COMPUTED_VALUE"""),44927)</f>
        <v>44927</v>
      </c>
      <c r="O618" s="25" t="str">
        <f t="shared" ca="1" si="0"/>
        <v>Secretaría Distrital de la Mujer</v>
      </c>
      <c r="P618" s="25" t="str">
        <f t="shared" si="2"/>
        <v/>
      </c>
      <c r="Q618" s="25" t="str">
        <f ca="1">IFERROR(__xludf.DUMMYFUNCTION("""COMPUTED_VALUE"""),"Corto plazo")</f>
        <v>Corto plazo</v>
      </c>
      <c r="R618" s="25"/>
      <c r="S618" s="55"/>
      <c r="T618" s="56"/>
      <c r="U618" s="25"/>
      <c r="V618" s="25"/>
      <c r="W618" s="25"/>
      <c r="X618" s="25"/>
      <c r="Y618" s="25"/>
      <c r="Z618" s="25"/>
    </row>
    <row r="619" spans="1:26" ht="52.5" customHeight="1" x14ac:dyDescent="0.25">
      <c r="A619" s="25" t="str">
        <f ca="1">IFERROR(__xludf.DUMMYFUNCTION("""COMPUTED_VALUE"""),"Mujer17")</f>
        <v>Mujer17</v>
      </c>
      <c r="B619" s="25" t="str">
        <f ca="1">IFERROR(__xludf.DUMMYFUNCTION("""COMPUTED_VALUE"""),"Manzana del cuidado ideal")</f>
        <v>Manzana del cuidado ideal</v>
      </c>
      <c r="C619" s="55">
        <f ca="1">IFERROR(__xludf.DUMMYFUNCTION("""COMPUTED_VALUE"""),44593)</f>
        <v>44593</v>
      </c>
      <c r="D619" s="25" t="str">
        <f ca="1">IFERROR(__xludf.DUMMYFUNCTION("""COMPUTED_VALUE"""),"Mujer")</f>
        <v>Mujer</v>
      </c>
      <c r="E619" s="25" t="str">
        <f ca="1">IFERROR(__xludf.DUMMYFUNCTION("""COMPUTED_VALUE"""),"Secretaría Distrital de la Mujer")</f>
        <v>Secretaría Distrital de la Mujer</v>
      </c>
      <c r="F619" s="25" t="str">
        <f ca="1">IFERROR(__xludf.DUMMYFUNCTION("""COMPUTED_VALUE"""),"La SDMujer debe asumir los costos de gestión en las manzanas. Estimar el costo de gestión de cada manzana")</f>
        <v>La SDMujer debe asumir los costos de gestión en las manzanas. Estimar el costo de gestión de cada manzana</v>
      </c>
      <c r="G619" s="25" t="str">
        <f ca="1">IFERROR(__xludf.DUMMYFUNCTION("""COMPUTED_VALUE"""),"99. Distrito")</f>
        <v>99. Distrito</v>
      </c>
      <c r="H619" s="55">
        <f ca="1">IFERROR(__xludf.DUMMYFUNCTION("""COMPUTED_VALUE"""),44623)</f>
        <v>44623</v>
      </c>
      <c r="I619" s="25"/>
      <c r="J619" s="55"/>
      <c r="K619" s="25">
        <f ca="1">IFERROR(__xludf.DUMMYFUNCTION("""COMPUTED_VALUE"""),30)</f>
        <v>30</v>
      </c>
      <c r="L619" s="62">
        <f ca="1">IFERROR(__xludf.DUMMYFUNCTION("""COMPUTED_VALUE"""),44631)</f>
        <v>44631</v>
      </c>
      <c r="M619" s="25" t="str">
        <f ca="1">IFERROR(__xludf.DUMMYFUNCTION("""COMPUTED_VALUE"""),"Se cuenta con un costo estimado de la manzana prototipo con base en los costeos de los servicios de cada sector. Ya fue presentado a la alcaldesa en enero 2022. Una vez validado por la Alcaldía los servicios de las manzanas del cuidado, la SDMujer en alia"&amp;"nza con el PNUD hará un costeo final para presentar a la comisión intersectorial.")</f>
        <v>Se cuenta con un costo estimado de la manzana prototipo con base en los costeos de los servicios de cada sector. Ya fue presentado a la alcaldesa en enero 2022. Una vez validado por la Alcaldía los servicios de las manzanas del cuidado, la SDMujer en alianza con el PNUD hará un costeo final para presentar a la comisión intersectorial.</v>
      </c>
      <c r="N619" s="55">
        <f ca="1">IFERROR(__xludf.DUMMYFUNCTION("""COMPUTED_VALUE"""),44631)</f>
        <v>44631</v>
      </c>
      <c r="O619" s="25" t="str">
        <f t="shared" ca="1" si="0"/>
        <v>Secretaría Distrital de la Mujer</v>
      </c>
      <c r="P619" s="25" t="str">
        <f t="shared" si="2"/>
        <v/>
      </c>
      <c r="Q619" s="25" t="str">
        <f ca="1">IFERROR(__xludf.DUMMYFUNCTION("""COMPUTED_VALUE"""),"Corto plazo")</f>
        <v>Corto plazo</v>
      </c>
      <c r="R619" s="25"/>
      <c r="S619" s="55"/>
      <c r="T619" s="56"/>
      <c r="U619" s="25"/>
      <c r="V619" s="25"/>
      <c r="W619" s="25"/>
      <c r="X619" s="25"/>
      <c r="Y619" s="25"/>
      <c r="Z619" s="25"/>
    </row>
    <row r="620" spans="1:26" ht="52.5" customHeight="1" x14ac:dyDescent="0.25">
      <c r="A620" s="25" t="str">
        <f ca="1">IFERROR(__xludf.DUMMYFUNCTION("""COMPUTED_VALUE"""),"Mujer18")</f>
        <v>Mujer18</v>
      </c>
      <c r="B620" s="25" t="str">
        <f ca="1">IFERROR(__xludf.DUMMYFUNCTION("""COMPUTED_VALUE"""),"Manzana del cuidado ideal")</f>
        <v>Manzana del cuidado ideal</v>
      </c>
      <c r="C620" s="55">
        <f ca="1">IFERROR(__xludf.DUMMYFUNCTION("""COMPUTED_VALUE"""),44593)</f>
        <v>44593</v>
      </c>
      <c r="D620" s="25" t="str">
        <f ca="1">IFERROR(__xludf.DUMMYFUNCTION("""COMPUTED_VALUE"""),"Mujer")</f>
        <v>Mujer</v>
      </c>
      <c r="E620" s="25" t="str">
        <f ca="1">IFERROR(__xludf.DUMMYFUNCTION("""COMPUTED_VALUE"""),"Secretaría Distrital de la Mujer")</f>
        <v>Secretaría Distrital de la Mujer</v>
      </c>
      <c r="F620" s="25" t="str">
        <f ca="1">IFERROR(__xludf.DUMMYFUNCTION("""COMPUTED_VALUE"""),"Modificar el nombre y el solgan de acuerdo con las recomendaciones y el testeo")</f>
        <v>Modificar el nombre y el solgan de acuerdo con las recomendaciones y el testeo</v>
      </c>
      <c r="G620" s="25" t="str">
        <f ca="1">IFERROR(__xludf.DUMMYFUNCTION("""COMPUTED_VALUE"""),"99. Distrito")</f>
        <v>99. Distrito</v>
      </c>
      <c r="H620" s="55">
        <f ca="1">IFERROR(__xludf.DUMMYFUNCTION("""COMPUTED_VALUE"""),44652)</f>
        <v>44652</v>
      </c>
      <c r="I620" s="25"/>
      <c r="J620" s="55"/>
      <c r="K620" s="25">
        <f ca="1">IFERROR(__xludf.DUMMYFUNCTION("""COMPUTED_VALUE"""),59)</f>
        <v>59</v>
      </c>
      <c r="L620" s="62">
        <f ca="1">IFERROR(__xludf.DUMMYFUNCTION("""COMPUTED_VALUE"""),44631)</f>
        <v>44631</v>
      </c>
      <c r="M620" s="25" t="str">
        <f ca="1">IFERROR(__xludf.DUMMYFUNCTION("""COMPUTED_VALUE"""),"El 28 de febrero de 2022 se realizó la primera sesión de la Comisión Intersectorial del Sistema Distrital de Cuidado del año, donde se socializaron los resultados de los grupos focales para la nueva marca del Sistema de Cuidado, por parte de la Dirección "&amp;"de Gestión del Conocimiento de la Secretaría Distrital de la Mujer. Entre el 14 y 17 de febrero se testearon en seis grupos con personas que no conocían el Sistema Distrital de Cuidado, nombres, slogan, ilustraciones, logos y colores para la renovación de"&amp;" marca institucional. Entre el 17 y 23 de febrero, la entidad realizó el procesamiento de la información encontrada y el análisis de los datos, cuyos resultados contribuyeron al diseño de una marca institucional renovada: ""Sistema de Cuidado. Tiempo y se"&amp;"rvicios para las mujeres"" con un logo que incorpora efectivamente los enfoques de género y diferencial y que contribuirá a mejorar el porcentaje de recordación de la población bogotana y su posicionamiento en el Distrito Capital. Se propusieron algunos a"&amp;"justes que se están realizando y en esta sesión, la Comisión aprobó la siguiente marca: 
 ")</f>
        <v xml:space="preserve">El 28 de febrero de 2022 se realizó la primera sesión de la Comisión Intersectorial del Sistema Distrital de Cuidado del año, donde se socializaron los resultados de los grupos focales para la nueva marca del Sistema de Cuidado, por parte de la Dirección de Gestión del Conocimiento de la Secretaría Distrital de la Mujer. Entre el 14 y 17 de febrero se testearon en seis grupos con personas que no conocían el Sistema Distrital de Cuidado, nombres, slogan, ilustraciones, logos y colores para la renovación de marca institucional. Entre el 17 y 23 de febrero, la entidad realizó el procesamiento de la información encontrada y el análisis de los datos, cuyos resultados contribuyeron al diseño de una marca institucional renovada: "Sistema de Cuidado. Tiempo y servicios para las mujeres" con un logo que incorpora efectivamente los enfoques de género y diferencial y que contribuirá a mejorar el porcentaje de recordación de la población bogotana y su posicionamiento en el Distrito Capital. Se propusieron algunos ajustes que se están realizando y en esta sesión, la Comisión aprobó la siguiente marca: 
 </v>
      </c>
      <c r="N620" s="55">
        <f ca="1">IFERROR(__xludf.DUMMYFUNCTION("""COMPUTED_VALUE"""),44631)</f>
        <v>44631</v>
      </c>
      <c r="O620" s="25" t="str">
        <f t="shared" ca="1" si="0"/>
        <v>Secretaría Distrital de la Mujer</v>
      </c>
      <c r="P620" s="25" t="str">
        <f t="shared" si="2"/>
        <v/>
      </c>
      <c r="Q620" s="25" t="str">
        <f ca="1">IFERROR(__xludf.DUMMYFUNCTION("""COMPUTED_VALUE"""),"Corto plazo")</f>
        <v>Corto plazo</v>
      </c>
      <c r="R620" s="25"/>
      <c r="S620" s="55"/>
      <c r="T620" s="56"/>
      <c r="U620" s="25"/>
      <c r="V620" s="25"/>
      <c r="W620" s="25"/>
      <c r="X620" s="25"/>
      <c r="Y620" s="25"/>
      <c r="Z620" s="25"/>
    </row>
    <row r="621" spans="1:26" ht="52.5" customHeight="1" x14ac:dyDescent="0.25">
      <c r="A621" s="25" t="str">
        <f ca="1">IFERROR(__xludf.DUMMYFUNCTION("""COMPUTED_VALUE"""),"Mujer19")</f>
        <v>Mujer19</v>
      </c>
      <c r="B621" s="25" t="str">
        <f ca="1">IFERROR(__xludf.DUMMYFUNCTION("""COMPUTED_VALUE"""),"Consejo Distrital de Seguridad")</f>
        <v>Consejo Distrital de Seguridad</v>
      </c>
      <c r="C621" s="55">
        <f ca="1">IFERROR(__xludf.DUMMYFUNCTION("""COMPUTED_VALUE"""),44565)</f>
        <v>44565</v>
      </c>
      <c r="D621" s="25" t="str">
        <f ca="1">IFERROR(__xludf.DUMMYFUNCTION("""COMPUTED_VALUE"""),"Mujer")</f>
        <v>Mujer</v>
      </c>
      <c r="E621" s="25" t="str">
        <f ca="1">IFERROR(__xludf.DUMMYFUNCTION("""COMPUTED_VALUE"""),"Secretaría Distrital de la Mujer")</f>
        <v>Secretaría Distrital de la Mujer</v>
      </c>
      <c r="F621" s="25" t="str">
        <f ca="1">IFERROR(__xludf.DUMMYFUNCTION("""COMPUTED_VALUE"""),"Hacer un análisis de correlación entre aumento de pie de fuerza, operatividad, judicialización y servicios del distrito con la reducción del delito de violencia intrafamiliar y violencia sexual")</f>
        <v>Hacer un análisis de correlación entre aumento de pie de fuerza, operatividad, judicialización y servicios del distrito con la reducción del delito de violencia intrafamiliar y violencia sexual</v>
      </c>
      <c r="G621" s="25" t="str">
        <f ca="1">IFERROR(__xludf.DUMMYFUNCTION("""COMPUTED_VALUE"""),"99. Distrito")</f>
        <v>99. Distrito</v>
      </c>
      <c r="H621" s="55">
        <f ca="1">IFERROR(__xludf.DUMMYFUNCTION("""COMPUTED_VALUE"""),44595)</f>
        <v>44595</v>
      </c>
      <c r="I621" s="25"/>
      <c r="J621" s="55"/>
      <c r="K621" s="25">
        <f ca="1">IFERROR(__xludf.DUMMYFUNCTION("""COMPUTED_VALUE"""),30)</f>
        <v>30</v>
      </c>
      <c r="L621" s="62"/>
      <c r="M621" s="25" t="str">
        <f ca="1">IFERROR(__xludf.DUMMYFUNCTION("""COMPUTED_VALUE"""),"Realizado y presentado a la alcaldesa en el Consejo de Seguridad del 18 de enero de 2022.
Fecha de actialización: 10 de marzo de 2022")</f>
        <v>Realizado y presentado a la alcaldesa en el Consejo de Seguridad del 18 de enero de 2022.
Fecha de actialización: 10 de marzo de 2022</v>
      </c>
      <c r="N621" s="55">
        <f ca="1">IFERROR(__xludf.DUMMYFUNCTION("""COMPUTED_VALUE"""),44927)</f>
        <v>44927</v>
      </c>
      <c r="O621" s="25" t="str">
        <f t="shared" ca="1" si="0"/>
        <v>Secretaría Distrital de la Mujer</v>
      </c>
      <c r="P621" s="25" t="str">
        <f t="shared" si="2"/>
        <v/>
      </c>
      <c r="Q621" s="25" t="str">
        <f ca="1">IFERROR(__xludf.DUMMYFUNCTION("""COMPUTED_VALUE"""),"Corto plazo")</f>
        <v>Corto plazo</v>
      </c>
      <c r="R621" s="25"/>
      <c r="S621" s="55"/>
      <c r="T621" s="56"/>
      <c r="U621" s="25"/>
      <c r="V621" s="25"/>
      <c r="W621" s="25"/>
      <c r="X621" s="25"/>
      <c r="Y621" s="25"/>
      <c r="Z621" s="25"/>
    </row>
    <row r="622" spans="1:26" ht="52.5" customHeight="1" x14ac:dyDescent="0.25">
      <c r="A622" s="25" t="str">
        <f ca="1">IFERROR(__xludf.DUMMYFUNCTION("""COMPUTED_VALUE"""),"Mujer20")</f>
        <v>Mujer20</v>
      </c>
      <c r="B622" s="25" t="str">
        <f ca="1">IFERROR(__xludf.DUMMYFUNCTION("""COMPUTED_VALUE"""),"Sistema Distrital del Cuidado ")</f>
        <v xml:space="preserve">Sistema Distrital del Cuidado </v>
      </c>
      <c r="C622" s="55">
        <f ca="1">IFERROR(__xludf.DUMMYFUNCTION("""COMPUTED_VALUE"""),44467)</f>
        <v>44467</v>
      </c>
      <c r="D622" s="25" t="str">
        <f ca="1">IFERROR(__xludf.DUMMYFUNCTION("""COMPUTED_VALUE"""),"Mujer")</f>
        <v>Mujer</v>
      </c>
      <c r="E622" s="25" t="str">
        <f ca="1">IFERROR(__xludf.DUMMYFUNCTION("""COMPUTED_VALUE"""),"Secretaría Distrital de la Mujer")</f>
        <v>Secretaría Distrital de la Mujer</v>
      </c>
      <c r="F622" s="25" t="str">
        <f ca="1">IFERROR(__xludf.DUMMYFUNCTION("""COMPUTED_VALUE"""),"Tener una base única de beneficiarios del Sistema Distrital del Cuidado.")</f>
        <v>Tener una base única de beneficiarios del Sistema Distrital del Cuidado.</v>
      </c>
      <c r="G622" s="25" t="str">
        <f ca="1">IFERROR(__xludf.DUMMYFUNCTION("""COMPUTED_VALUE"""),"99. Distrito")</f>
        <v>99. Distrito</v>
      </c>
      <c r="H622" s="55">
        <f ca="1">IFERROR(__xludf.DUMMYFUNCTION("""COMPUTED_VALUE"""),44915)</f>
        <v>44915</v>
      </c>
      <c r="I622" s="25"/>
      <c r="J622" s="55"/>
      <c r="K622" s="25">
        <f ca="1">IFERROR(__xludf.DUMMYFUNCTION("""COMPUTED_VALUE"""),448)</f>
        <v>448</v>
      </c>
      <c r="L622" s="62">
        <f ca="1">IFERROR(__xludf.DUMMYFUNCTION("""COMPUTED_VALUE"""),44953)</f>
        <v>44953</v>
      </c>
      <c r="M622" s="25" t="str">
        <f ca="1">IFERROR(__xludf.DUMMYFUNCTION("""COMPUTED_VALUE"""),"El Sistema de información del Sistema Distrital de Cuidado ya está en funcionamiento, se priorizaron 5 sectores: Integración Social, Educación, Salud, Cultura y Mujer. 
Se presentaron los resultados de la consolidación del Sistema de información en el Con"&amp;"sejo de Gobierno de diciembre del 2022. ")</f>
        <v xml:space="preserve">El Sistema de información del Sistema Distrital de Cuidado ya está en funcionamiento, se priorizaron 5 sectores: Integración Social, Educación, Salud, Cultura y Mujer. 
Se presentaron los resultados de la consolidación del Sistema de información en el Consejo de Gobierno de diciembre del 2022. </v>
      </c>
      <c r="N622" s="55">
        <f ca="1">IFERROR(__xludf.DUMMYFUNCTION("""COMPUTED_VALUE"""),44915)</f>
        <v>44915</v>
      </c>
      <c r="O622" s="25" t="str">
        <f t="shared" ca="1" si="0"/>
        <v>Secretaría Distrital de la Mujer</v>
      </c>
      <c r="P622" s="25" t="str">
        <f t="shared" si="2"/>
        <v/>
      </c>
      <c r="Q622" s="25" t="str">
        <f ca="1">IFERROR(__xludf.DUMMYFUNCTION("""COMPUTED_VALUE"""),"Largo plazo")</f>
        <v>Largo plazo</v>
      </c>
      <c r="R622" s="25"/>
      <c r="S622" s="55"/>
      <c r="T622" s="56"/>
      <c r="U622" s="25"/>
      <c r="V622" s="25"/>
      <c r="W622" s="25"/>
      <c r="X622" s="25"/>
      <c r="Y622" s="25"/>
      <c r="Z622" s="25"/>
    </row>
    <row r="623" spans="1:26" ht="52.5" customHeight="1" x14ac:dyDescent="0.25">
      <c r="A623" s="25" t="str">
        <f ca="1">IFERROR(__xludf.DUMMYFUNCTION("""COMPUTED_VALUE"""),"Mujer21")</f>
        <v>Mujer21</v>
      </c>
      <c r="B623" s="25" t="str">
        <f ca="1">IFERROR(__xludf.DUMMYFUNCTION("""COMPUTED_VALUE"""),"Sistema Distrital del Cuidado ")</f>
        <v xml:space="preserve">Sistema Distrital del Cuidado </v>
      </c>
      <c r="C623" s="55">
        <f ca="1">IFERROR(__xludf.DUMMYFUNCTION("""COMPUTED_VALUE"""),44467)</f>
        <v>44467</v>
      </c>
      <c r="D623" s="25" t="str">
        <f ca="1">IFERROR(__xludf.DUMMYFUNCTION("""COMPUTED_VALUE"""),"Mujer")</f>
        <v>Mujer</v>
      </c>
      <c r="E623" s="25" t="str">
        <f ca="1">IFERROR(__xludf.DUMMYFUNCTION("""COMPUTED_VALUE"""),"Secretaría Distrital de la Mujer")</f>
        <v>Secretaría Distrital de la Mujer</v>
      </c>
      <c r="F623" s="25" t="str">
        <f ca="1">IFERROR(__xludf.DUMMYFUNCTION("""COMPUTED_VALUE"""),"Incorporar en las fichas EBI la necesidad de las manzanas del cuidado para conservar su legado y preservarlas en el tiempo. ")</f>
        <v xml:space="preserve">Incorporar en las fichas EBI la necesidad de las manzanas del cuidado para conservar su legado y preservarlas en el tiempo. </v>
      </c>
      <c r="G623" s="25" t="str">
        <f ca="1">IFERROR(__xludf.DUMMYFUNCTION("""COMPUTED_VALUE"""),"99. Distrito")</f>
        <v>99. Distrito</v>
      </c>
      <c r="H623" s="55">
        <f ca="1">IFERROR(__xludf.DUMMYFUNCTION("""COMPUTED_VALUE"""),44497)</f>
        <v>44497</v>
      </c>
      <c r="I623" s="25"/>
      <c r="J623" s="55"/>
      <c r="K623" s="25">
        <f ca="1">IFERROR(__xludf.DUMMYFUNCTION("""COMPUTED_VALUE"""),30)</f>
        <v>30</v>
      </c>
      <c r="L623" s="62">
        <f ca="1">IFERROR(__xludf.DUMMYFUNCTION("""COMPUTED_VALUE"""),44631)</f>
        <v>44631</v>
      </c>
      <c r="M623" s="25" t="str">
        <f ca="1">IFERROR(__xludf.DUMMYFUNCTION("""COMPUTED_VALUE"""),"Se hizo una revisión de la ficha EBI proyecto 7718 Implementación del Sistema Distrital de Cuidado en Bogotá. Veersión 21 del 16 de Febrero de 2022, encontrando que en el númeral 4. Identificación de problema o necesidad se presenta la magnitud del proble"&amp;"ma e indicadores de referencia sobre el trabajo doméstico en Bogotá. Así mismo, en el número 5. Descripción del proyecto se plantea como parte de las alternativas la gestión de la estratégia territorial del Sistema de Cuidado mediante la implementación de"&amp;" las manzanas de cuidado y las unidades moviles del servicio del cuidado.")</f>
        <v>Se hizo una revisión de la ficha EBI proyecto 7718 Implementación del Sistema Distrital de Cuidado en Bogotá. Veersión 21 del 16 de Febrero de 2022, encontrando que en el númeral 4. Identificación de problema o necesidad se presenta la magnitud del problema e indicadores de referencia sobre el trabajo doméstico en Bogotá. Así mismo, en el número 5. Descripción del proyecto se plantea como parte de las alternativas la gestión de la estratégia territorial del Sistema de Cuidado mediante la implementación de las manzanas de cuidado y las unidades moviles del servicio del cuidado.</v>
      </c>
      <c r="N623" s="55">
        <f ca="1">IFERROR(__xludf.DUMMYFUNCTION("""COMPUTED_VALUE"""),44631)</f>
        <v>44631</v>
      </c>
      <c r="O623" s="25" t="str">
        <f t="shared" ca="1" si="0"/>
        <v>Secretaría Distrital de la Mujer</v>
      </c>
      <c r="P623" s="25" t="str">
        <f t="shared" si="2"/>
        <v/>
      </c>
      <c r="Q623" s="25" t="str">
        <f ca="1">IFERROR(__xludf.DUMMYFUNCTION("""COMPUTED_VALUE"""),"Corto plazo")</f>
        <v>Corto plazo</v>
      </c>
      <c r="R623" s="25"/>
      <c r="S623" s="55"/>
      <c r="T623" s="56"/>
      <c r="U623" s="25"/>
      <c r="V623" s="25"/>
      <c r="W623" s="25"/>
      <c r="X623" s="25"/>
      <c r="Y623" s="25"/>
      <c r="Z623" s="25"/>
    </row>
    <row r="624" spans="1:26" ht="52.5" customHeight="1" x14ac:dyDescent="0.25">
      <c r="A624" s="25" t="str">
        <f ca="1">IFERROR(__xludf.DUMMYFUNCTION("""COMPUTED_VALUE"""),"Mujer22")</f>
        <v>Mujer22</v>
      </c>
      <c r="B624" s="25" t="str">
        <f ca="1">IFERROR(__xludf.DUMMYFUNCTION("""COMPUTED_VALUE"""),"Revisión retos y oportunidades UPL (POT)")</f>
        <v>Revisión retos y oportunidades UPL (POT)</v>
      </c>
      <c r="C624" s="55">
        <f ca="1">IFERROR(__xludf.DUMMYFUNCTION("""COMPUTED_VALUE"""),44400)</f>
        <v>44400</v>
      </c>
      <c r="D624" s="25" t="str">
        <f ca="1">IFERROR(__xludf.DUMMYFUNCTION("""COMPUTED_VALUE"""),"Mujer")</f>
        <v>Mujer</v>
      </c>
      <c r="E624" s="25" t="str">
        <f ca="1">IFERROR(__xludf.DUMMYFUNCTION("""COMPUTED_VALUE"""),"Secretaría Distrital de la Mujer")</f>
        <v>Secretaría Distrital de la Mujer</v>
      </c>
      <c r="F624" s="25" t="str">
        <f ca="1">IFERROR(__xludf.DUMMYFUNCTION("""COMPUTED_VALUE"""),"Presentar el modelo de la manzana del cuidado ideal con todos los equipamientos requeridos (servicios o infraestructura), en concordancia con el POT. ")</f>
        <v xml:space="preserve">Presentar el modelo de la manzana del cuidado ideal con todos los equipamientos requeridos (servicios o infraestructura), en concordancia con el POT. </v>
      </c>
      <c r="G624" s="25" t="str">
        <f ca="1">IFERROR(__xludf.DUMMYFUNCTION("""COMPUTED_VALUE"""),"99. Distrito")</f>
        <v>99. Distrito</v>
      </c>
      <c r="H624" s="55">
        <f ca="1">IFERROR(__xludf.DUMMYFUNCTION("""COMPUTED_VALUE"""),44413)</f>
        <v>44413</v>
      </c>
      <c r="I624" s="25"/>
      <c r="J624" s="55"/>
      <c r="K624" s="25">
        <f ca="1">IFERROR(__xludf.DUMMYFUNCTION("""COMPUTED_VALUE"""),13)</f>
        <v>13</v>
      </c>
      <c r="L624" s="62"/>
      <c r="M624" s="25" t="str">
        <f ca="1">IFERROR(__xludf.DUMMYFUNCTION("""COMPUTED_VALUE"""),"Diseño manzana ideal: se cuenta con una presentación que contiene el siguiente indice: (i) manzanas en el mundo; (ii) la manzana del cuidado; (iii) potencialidades de la manzana; (iv) componentes: servicios del cuidado; (v) Componentes espacio público efe"&amp;"ctuvo y productivo; (vi) componentes: movilidad; (vii) Manzna ideal: perspectiva urbana; (viii) Porgrama Arquitectónico; (ix) Manzana ideal en el POT. 
")</f>
        <v xml:space="preserve">Diseño manzana ideal: se cuenta con una presentación que contiene el siguiente indice: (i) manzanas en el mundo; (ii) la manzana del cuidado; (iii) potencialidades de la manzana; (iv) componentes: servicios del cuidado; (v) Componentes espacio público efectuvo y productivo; (vi) componentes: movilidad; (vii) Manzna ideal: perspectiva urbana; (viii) Porgrama Arquitectónico; (ix) Manzana ideal en el POT. 
</v>
      </c>
      <c r="N624" s="55">
        <f ca="1">IFERROR(__xludf.DUMMYFUNCTION("""COMPUTED_VALUE"""),44927)</f>
        <v>44927</v>
      </c>
      <c r="O624" s="25" t="str">
        <f t="shared" ca="1" si="0"/>
        <v>Secretaría Distrital de la Mujer</v>
      </c>
      <c r="P624" s="25" t="str">
        <f t="shared" si="2"/>
        <v/>
      </c>
      <c r="Q624" s="25" t="str">
        <f ca="1">IFERROR(__xludf.DUMMYFUNCTION("""COMPUTED_VALUE"""),"Corto plazo")</f>
        <v>Corto plazo</v>
      </c>
      <c r="R624" s="25"/>
      <c r="S624" s="55"/>
      <c r="T624" s="56"/>
      <c r="U624" s="25"/>
      <c r="V624" s="25"/>
      <c r="W624" s="25"/>
      <c r="X624" s="25"/>
      <c r="Y624" s="25"/>
      <c r="Z624" s="25"/>
    </row>
    <row r="625" spans="1:26" ht="52.5" customHeight="1" x14ac:dyDescent="0.25">
      <c r="A625" s="25" t="str">
        <f ca="1">IFERROR(__xludf.DUMMYFUNCTION("""COMPUTED_VALUE"""),"Mujer23")</f>
        <v>Mujer23</v>
      </c>
      <c r="B625" s="25" t="str">
        <f ca="1">IFERROR(__xludf.DUMMYFUNCTION("""COMPUTED_VALUE"""),"Revisión retos y oportunidades UPL (POT)")</f>
        <v>Revisión retos y oportunidades UPL (POT)</v>
      </c>
      <c r="C625" s="55">
        <f ca="1">IFERROR(__xludf.DUMMYFUNCTION("""COMPUTED_VALUE"""),44400)</f>
        <v>44400</v>
      </c>
      <c r="D625" s="25" t="str">
        <f ca="1">IFERROR(__xludf.DUMMYFUNCTION("""COMPUTED_VALUE"""),"Mujer")</f>
        <v>Mujer</v>
      </c>
      <c r="E625" s="25" t="str">
        <f ca="1">IFERROR(__xludf.DUMMYFUNCTION("""COMPUTED_VALUE"""),"Secretaría Distrital de la Mujer")</f>
        <v>Secretaría Distrital de la Mujer</v>
      </c>
      <c r="F625" s="25" t="str">
        <f ca="1">IFERROR(__xludf.DUMMYFUNCTION("""COMPUTED_VALUE"""),"Demostrar porque sustentan que cada UPL necesita 3 manzanas de cuidado, y pedir asesoría de Secretaría Distrital de Planeación para  revisar de manera detallada este indicador. ")</f>
        <v xml:space="preserve">Demostrar porque sustentan que cada UPL necesita 3 manzanas de cuidado, y pedir asesoría de Secretaría Distrital de Planeación para  revisar de manera detallada este indicador. </v>
      </c>
      <c r="G625" s="25" t="str">
        <f ca="1">IFERROR(__xludf.DUMMYFUNCTION("""COMPUTED_VALUE"""),"99. Distrito")</f>
        <v>99. Distrito</v>
      </c>
      <c r="H625" s="55">
        <f ca="1">IFERROR(__xludf.DUMMYFUNCTION("""COMPUTED_VALUE"""),44413)</f>
        <v>44413</v>
      </c>
      <c r="I625" s="25"/>
      <c r="J625" s="55"/>
      <c r="K625" s="25">
        <f ca="1">IFERROR(__xludf.DUMMYFUNCTION("""COMPUTED_VALUE"""),13)</f>
        <v>13</v>
      </c>
      <c r="L625" s="62"/>
      <c r="M625" s="25" t="str">
        <f ca="1">IFERROR(__xludf.DUMMYFUNCTION("""COMPUTED_VALUE"""),"EJECUTADO. Este criterio fue revisado y replanteado con base en los siguiente scriterios: 
 Fase 1.1 (2020 - 2021): Índice de priorización (4 variables: demanda de cuidado (25%), densidad de cuidadoras (25%), pobreza (25%), presupuestos participativos ("&amp;"25%)).
 Fase 1.2, 2 y 3 (2022-2035): déficit de equipamientos, megaproyectos de movilidad (AIM), disponibilidad de suelo, proyectos priorizados por el POT. 
 Finalmente 21 UPL cuentan con 1 manzana del cuidado. 
 7 UPL cuntan con 2 manzanas del cuidad"&amp;"o. 
 2 UPL cuentan con 3 manzanas del cuidado 
 1UPL cuenta con 4 manzanas del cuidado.
  Actividad ya cerrada.")</f>
        <v>EJECUTADO. Este criterio fue revisado y replanteado con base en los siguiente scriterios: 
 Fase 1.1 (2020 - 2021): Índice de priorización (4 variables: demanda de cuidado (25%), densidad de cuidadoras (25%), pobreza (25%), presupuestos participativos (25%)).
 Fase 1.2, 2 y 3 (2022-2035): déficit de equipamientos, megaproyectos de movilidad (AIM), disponibilidad de suelo, proyectos priorizados por el POT. 
 Finalmente 21 UPL cuentan con 1 manzana del cuidado. 
 7 UPL cuntan con 2 manzanas del cuidado. 
 2 UPL cuentan con 3 manzanas del cuidado 
 1UPL cuenta con 4 manzanas del cuidado.
  Actividad ya cerrada.</v>
      </c>
      <c r="N625" s="55">
        <f ca="1">IFERROR(__xludf.DUMMYFUNCTION("""COMPUTED_VALUE"""),44927)</f>
        <v>44927</v>
      </c>
      <c r="O625" s="25" t="str">
        <f t="shared" ca="1" si="0"/>
        <v>Secretaría Distrital de la Mujer</v>
      </c>
      <c r="P625" s="25" t="str">
        <f t="shared" si="2"/>
        <v/>
      </c>
      <c r="Q625" s="25" t="str">
        <f ca="1">IFERROR(__xludf.DUMMYFUNCTION("""COMPUTED_VALUE"""),"Corto plazo")</f>
        <v>Corto plazo</v>
      </c>
      <c r="R625" s="25"/>
      <c r="S625" s="55"/>
      <c r="T625" s="56"/>
      <c r="U625" s="25"/>
      <c r="V625" s="25"/>
      <c r="W625" s="25"/>
      <c r="X625" s="25"/>
      <c r="Y625" s="25"/>
      <c r="Z625" s="25"/>
    </row>
    <row r="626" spans="1:26" ht="52.5" customHeight="1" x14ac:dyDescent="0.25">
      <c r="A626" s="25" t="str">
        <f ca="1">IFERROR(__xludf.DUMMYFUNCTION("""COMPUTED_VALUE"""),"Mujer24")</f>
        <v>Mujer24</v>
      </c>
      <c r="B626" s="25" t="str">
        <f ca="1">IFERROR(__xludf.DUMMYFUNCTION("""COMPUTED_VALUE"""),"Consejo Consultivo LGBTI")</f>
        <v>Consejo Consultivo LGBTI</v>
      </c>
      <c r="C626" s="55">
        <f ca="1">IFERROR(__xludf.DUMMYFUNCTION("""COMPUTED_VALUE"""),44398)</f>
        <v>44398</v>
      </c>
      <c r="D626" s="25" t="str">
        <f ca="1">IFERROR(__xludf.DUMMYFUNCTION("""COMPUTED_VALUE"""),"Mujer")</f>
        <v>Mujer</v>
      </c>
      <c r="E626" s="25" t="str">
        <f ca="1">IFERROR(__xludf.DUMMYFUNCTION("""COMPUTED_VALUE"""),"Secretaría Distrital de la Mujer")</f>
        <v>Secretaría Distrital de la Mujer</v>
      </c>
      <c r="F626" s="25" t="str">
        <f ca="1">IFERROR(__xludf.DUMMYFUNCTION("""COMPUTED_VALUE"""),"Adelantar reunión previa al Consejo con mujeres lesbianas")</f>
        <v>Adelantar reunión previa al Consejo con mujeres lesbianas</v>
      </c>
      <c r="G626" s="25" t="str">
        <f ca="1">IFERROR(__xludf.DUMMYFUNCTION("""COMPUTED_VALUE"""),"99. Distrito")</f>
        <v>99. Distrito</v>
      </c>
      <c r="H626" s="55">
        <f ca="1">IFERROR(__xludf.DUMMYFUNCTION("""COMPUTED_VALUE"""),44428)</f>
        <v>44428</v>
      </c>
      <c r="I626" s="25"/>
      <c r="J626" s="55"/>
      <c r="K626" s="25">
        <f ca="1">IFERROR(__xludf.DUMMYFUNCTION("""COMPUTED_VALUE"""),30)</f>
        <v>30</v>
      </c>
      <c r="L626" s="62">
        <f ca="1">IFERROR(__xludf.DUMMYFUNCTION("""COMPUTED_VALUE"""),44462)</f>
        <v>44462</v>
      </c>
      <c r="M626" s="25" t="str">
        <f ca="1">IFERROR(__xludf.DUMMYFUNCTION("""COMPUTED_VALUE"""),"La reunión se llevará a cabo el 30 de Septiembre de 2021. Fueron invitados (as) el IDPAC, la Dirección de Diversidad Sexual y la SubLGBT en en la Casa de Igualdad para Las Mujeres de Teusaquillo.")</f>
        <v>La reunión se llevará a cabo el 30 de Septiembre de 2021. Fueron invitados (as) el IDPAC, la Dirección de Diversidad Sexual y la SubLGBT en en la Casa de Igualdad para Las Mujeres de Teusaquillo.</v>
      </c>
      <c r="N626" s="55">
        <f ca="1">IFERROR(__xludf.DUMMYFUNCTION("""COMPUTED_VALUE"""),44462)</f>
        <v>44462</v>
      </c>
      <c r="O626" s="25" t="str">
        <f t="shared" ca="1" si="0"/>
        <v>Secretaría Distrital de la Mujer</v>
      </c>
      <c r="P626" s="25" t="str">
        <f t="shared" si="2"/>
        <v/>
      </c>
      <c r="Q626" s="25" t="str">
        <f ca="1">IFERROR(__xludf.DUMMYFUNCTION("""COMPUTED_VALUE"""),"Corto plazo")</f>
        <v>Corto plazo</v>
      </c>
      <c r="R626" s="25"/>
      <c r="S626" s="55"/>
      <c r="T626" s="56"/>
      <c r="U626" s="25"/>
      <c r="V626" s="25"/>
      <c r="W626" s="25"/>
      <c r="X626" s="25"/>
      <c r="Y626" s="25"/>
      <c r="Z626" s="25"/>
    </row>
    <row r="627" spans="1:26" ht="52.5" customHeight="1" x14ac:dyDescent="0.25">
      <c r="A627" s="25" t="str">
        <f ca="1">IFERROR(__xludf.DUMMYFUNCTION("""COMPUTED_VALUE"""),"Mujer25")</f>
        <v>Mujer25</v>
      </c>
      <c r="B627" s="25" t="str">
        <f ca="1">IFERROR(__xludf.DUMMYFUNCTION("""COMPUTED_VALUE"""),"Comisión Sistema Distrital del Cuidado")</f>
        <v>Comisión Sistema Distrital del Cuidado</v>
      </c>
      <c r="C627" s="55">
        <f ca="1">IFERROR(__xludf.DUMMYFUNCTION("""COMPUTED_VALUE"""),44386)</f>
        <v>44386</v>
      </c>
      <c r="D627" s="25" t="str">
        <f ca="1">IFERROR(__xludf.DUMMYFUNCTION("""COMPUTED_VALUE"""),"Mujer")</f>
        <v>Mujer</v>
      </c>
      <c r="E627" s="25" t="str">
        <f ca="1">IFERROR(__xludf.DUMMYFUNCTION("""COMPUTED_VALUE"""),"Secretaría Distrital de la Mujer")</f>
        <v>Secretaría Distrital de la Mujer</v>
      </c>
      <c r="F627" s="25" t="str">
        <f ca="1">IFERROR(__xludf.DUMMYFUNCTION("""COMPUTED_VALUE"""),"No dejar el proyecto de acuerdo del sistema distrital del cuidado en lo más básico. Ahondar en la institucionalización del sistema haciendo un cronograma para las administraciones por venir fijando metas en temas de servicios, poblaciones y atenciones.")</f>
        <v>No dejar el proyecto de acuerdo del sistema distrital del cuidado en lo más básico. Ahondar en la institucionalización del sistema haciendo un cronograma para las administraciones por venir fijando metas en temas de servicios, poblaciones y atenciones.</v>
      </c>
      <c r="G627" s="25" t="str">
        <f ca="1">IFERROR(__xludf.DUMMYFUNCTION("""COMPUTED_VALUE"""),"99. Distrito")</f>
        <v>99. Distrito</v>
      </c>
      <c r="H627" s="55">
        <f ca="1">IFERROR(__xludf.DUMMYFUNCTION("""COMPUTED_VALUE"""),44416)</f>
        <v>44416</v>
      </c>
      <c r="I627" s="25"/>
      <c r="J627" s="55"/>
      <c r="K627" s="25">
        <f ca="1">IFERROR(__xludf.DUMMYFUNCTION("""COMPUTED_VALUE"""),30)</f>
        <v>30</v>
      </c>
      <c r="L627" s="62"/>
      <c r="M627" s="25" t="str">
        <f ca="1">IFERROR(__xludf.DUMMYFUNCTION("""COMPUTED_VALUE"""),"16.09.2021
 Se elaboró una propuesta de articulado para el proyecto de acuerdo con el proposito de expandir las poblaciones objetivo hacia el futuro y para establecer metas en términos de cobertura de cara a las siguientes adminsitraciones.")</f>
        <v>16.09.2021
 Se elaboró una propuesta de articulado para el proyecto de acuerdo con el proposito de expandir las poblaciones objetivo hacia el futuro y para establecer metas en términos de cobertura de cara a las siguientes adminsitraciones.</v>
      </c>
      <c r="N627" s="55">
        <f ca="1">IFERROR(__xludf.DUMMYFUNCTION("""COMPUTED_VALUE"""),44927)</f>
        <v>44927</v>
      </c>
      <c r="O627" s="25" t="str">
        <f t="shared" ca="1" si="0"/>
        <v>Secretaría Distrital de la Mujer</v>
      </c>
      <c r="P627" s="25" t="str">
        <f t="shared" si="2"/>
        <v/>
      </c>
      <c r="Q627" s="25" t="str">
        <f ca="1">IFERROR(__xludf.DUMMYFUNCTION("""COMPUTED_VALUE"""),"Corto plazo")</f>
        <v>Corto plazo</v>
      </c>
      <c r="R627" s="25"/>
      <c r="S627" s="55"/>
      <c r="T627" s="56"/>
      <c r="U627" s="25"/>
      <c r="V627" s="25"/>
      <c r="W627" s="25"/>
      <c r="X627" s="25"/>
      <c r="Y627" s="25"/>
      <c r="Z627" s="25"/>
    </row>
    <row r="628" spans="1:26" ht="52.5" customHeight="1" x14ac:dyDescent="0.25">
      <c r="A628" s="25" t="str">
        <f ca="1">IFERROR(__xludf.DUMMYFUNCTION("""COMPUTED_VALUE"""),"Mujer26")</f>
        <v>Mujer26</v>
      </c>
      <c r="B628" s="25" t="str">
        <f ca="1">IFERROR(__xludf.DUMMYFUNCTION("""COMPUTED_VALUE"""),"Comisión Sistema Distrital del Cuidado")</f>
        <v>Comisión Sistema Distrital del Cuidado</v>
      </c>
      <c r="C628" s="55">
        <f ca="1">IFERROR(__xludf.DUMMYFUNCTION("""COMPUTED_VALUE"""),44386)</f>
        <v>44386</v>
      </c>
      <c r="D628" s="25" t="str">
        <f ca="1">IFERROR(__xludf.DUMMYFUNCTION("""COMPUTED_VALUE"""),"Mujer")</f>
        <v>Mujer</v>
      </c>
      <c r="E628" s="25" t="str">
        <f ca="1">IFERROR(__xludf.DUMMYFUNCTION("""COMPUTED_VALUE"""),"Secretaría Distrital de la Mujer")</f>
        <v>Secretaría Distrital de la Mujer</v>
      </c>
      <c r="F628" s="25" t="str">
        <f ca="1">IFERROR(__xludf.DUMMYFUNCTION("""COMPUTED_VALUE"""),"Ciudadela del cuidado:
considerar Gibraltar (500 mil m2) y la antigua reserva de la aló (27 hectáreas).")</f>
        <v>Ciudadela del cuidado:
considerar Gibraltar (500 mil m2) y la antigua reserva de la aló (27 hectáreas).</v>
      </c>
      <c r="G628" s="25" t="str">
        <f ca="1">IFERROR(__xludf.DUMMYFUNCTION("""COMPUTED_VALUE"""),"99. Distrito")</f>
        <v>99. Distrito</v>
      </c>
      <c r="H628" s="55">
        <f ca="1">IFERROR(__xludf.DUMMYFUNCTION("""COMPUTED_VALUE"""),44416)</f>
        <v>44416</v>
      </c>
      <c r="I628" s="25"/>
      <c r="J628" s="55"/>
      <c r="K628" s="25">
        <f ca="1">IFERROR(__xludf.DUMMYFUNCTION("""COMPUTED_VALUE"""),30)</f>
        <v>30</v>
      </c>
      <c r="L628" s="62"/>
      <c r="M628" s="25" t="str">
        <f ca="1">IFERROR(__xludf.DUMMYFUNCTION("""COMPUTED_VALUE"""),"NO ES VIABLE. FAVOR CERRAR. 
 Dentro de las 36 manzanas propuestas para implementar en la vigencia del POT, en la ciudadela educativa y del cuidado se propone implementar la manzana del cuidado de la ULP Rincon de Suba.Debido a la proximidad con las manza"&amp;"nas de Bosa y Kennedy con el predio de Gibraltar se propuso que no sea entidad ancla de manzana del cuidado.")</f>
        <v>NO ES VIABLE. FAVOR CERRAR. 
 Dentro de las 36 manzanas propuestas para implementar en la vigencia del POT, en la ciudadela educativa y del cuidado se propone implementar la manzana del cuidado de la ULP Rincon de Suba.Debido a la proximidad con las manzanas de Bosa y Kennedy con el predio de Gibraltar se propuso que no sea entidad ancla de manzana del cuidado.</v>
      </c>
      <c r="N628" s="55">
        <f ca="1">IFERROR(__xludf.DUMMYFUNCTION("""COMPUTED_VALUE"""),44927)</f>
        <v>44927</v>
      </c>
      <c r="O628" s="25" t="str">
        <f t="shared" ca="1" si="0"/>
        <v>Secretaría Distrital de la Mujer</v>
      </c>
      <c r="P628" s="25" t="str">
        <f t="shared" si="2"/>
        <v/>
      </c>
      <c r="Q628" s="25" t="str">
        <f ca="1">IFERROR(__xludf.DUMMYFUNCTION("""COMPUTED_VALUE"""),"Corto plazo")</f>
        <v>Corto plazo</v>
      </c>
      <c r="R628" s="25"/>
      <c r="S628" s="55"/>
      <c r="T628" s="56"/>
      <c r="U628" s="25"/>
      <c r="V628" s="25"/>
      <c r="W628" s="25"/>
      <c r="X628" s="25"/>
      <c r="Y628" s="25"/>
      <c r="Z628" s="25"/>
    </row>
    <row r="629" spans="1:26" ht="52.5" customHeight="1" x14ac:dyDescent="0.25">
      <c r="A629" s="25" t="str">
        <f ca="1">IFERROR(__xludf.DUMMYFUNCTION("""COMPUTED_VALUE"""),"Mujer27")</f>
        <v>Mujer27</v>
      </c>
      <c r="B629" s="25" t="str">
        <f ca="1">IFERROR(__xludf.DUMMYFUNCTION("""COMPUTED_VALUE"""),"Comisión Sistema Distrital del Cuidado")</f>
        <v>Comisión Sistema Distrital del Cuidado</v>
      </c>
      <c r="C629" s="55">
        <f ca="1">IFERROR(__xludf.DUMMYFUNCTION("""COMPUTED_VALUE"""),44386)</f>
        <v>44386</v>
      </c>
      <c r="D629" s="25" t="str">
        <f ca="1">IFERROR(__xludf.DUMMYFUNCTION("""COMPUTED_VALUE"""),"Mujer")</f>
        <v>Mujer</v>
      </c>
      <c r="E629" s="25" t="str">
        <f ca="1">IFERROR(__xludf.DUMMYFUNCTION("""COMPUTED_VALUE"""),"Secretaría Distrital de la Mujer")</f>
        <v>Secretaría Distrital de la Mujer</v>
      </c>
      <c r="F629" s="25" t="str">
        <f ca="1">IFERROR(__xludf.DUMMYFUNCTION("""COMPUTED_VALUE"""),"Usar móvil del cuidado para vacunación de covid en Sumapaz")</f>
        <v>Usar móvil del cuidado para vacunación de covid en Sumapaz</v>
      </c>
      <c r="G629" s="25" t="str">
        <f ca="1">IFERROR(__xludf.DUMMYFUNCTION("""COMPUTED_VALUE"""),"99. Distrito")</f>
        <v>99. Distrito</v>
      </c>
      <c r="H629" s="55">
        <f ca="1">IFERROR(__xludf.DUMMYFUNCTION("""COMPUTED_VALUE"""),44416)</f>
        <v>44416</v>
      </c>
      <c r="I629" s="25"/>
      <c r="J629" s="55"/>
      <c r="K629" s="25">
        <f ca="1">IFERROR(__xludf.DUMMYFUNCTION("""COMPUTED_VALUE"""),30)</f>
        <v>30</v>
      </c>
      <c r="L629" s="62"/>
      <c r="M629" s="25" t="str">
        <f ca="1">IFERROR(__xludf.DUMMYFUNCTION("""COMPUTED_VALUE"""),"NO ES VIABLE. FAVOR CERRAR. SDS indica que no es posible llevar el servicio de vacunación en la unidad móvil rural dado que el Plan Distrital de Vacunación tiene zonas y días previstos para la localidad de Sumapaz los cuales no coincidian con los horarios"&amp;" de la Unidad Móvil Rural en dicha localidad.")</f>
        <v>NO ES VIABLE. FAVOR CERRAR. SDS indica que no es posible llevar el servicio de vacunación en la unidad móvil rural dado que el Plan Distrital de Vacunación tiene zonas y días previstos para la localidad de Sumapaz los cuales no coincidian con los horarios de la Unidad Móvil Rural en dicha localidad.</v>
      </c>
      <c r="N629" s="55">
        <f ca="1">IFERROR(__xludf.DUMMYFUNCTION("""COMPUTED_VALUE"""),44927)</f>
        <v>44927</v>
      </c>
      <c r="O629" s="25" t="str">
        <f t="shared" ca="1" si="0"/>
        <v>Secretaría Distrital de la Mujer</v>
      </c>
      <c r="P629" s="25" t="str">
        <f t="shared" si="2"/>
        <v/>
      </c>
      <c r="Q629" s="25" t="str">
        <f ca="1">IFERROR(__xludf.DUMMYFUNCTION("""COMPUTED_VALUE"""),"Corto plazo")</f>
        <v>Corto plazo</v>
      </c>
      <c r="R629" s="25"/>
      <c r="S629" s="55"/>
      <c r="T629" s="56"/>
      <c r="U629" s="25"/>
      <c r="V629" s="25"/>
      <c r="W629" s="25"/>
      <c r="X629" s="25"/>
      <c r="Y629" s="25"/>
      <c r="Z629" s="25"/>
    </row>
    <row r="630" spans="1:26" ht="52.5" customHeight="1" x14ac:dyDescent="0.25">
      <c r="A630" s="25" t="str">
        <f ca="1">IFERROR(__xludf.DUMMYFUNCTION("""COMPUTED_VALUE"""),"Mujer28")</f>
        <v>Mujer28</v>
      </c>
      <c r="B630" s="25" t="str">
        <f ca="1">IFERROR(__xludf.DUMMYFUNCTION("""COMPUTED_VALUE"""),"Comisión Sistema Distrital del Cuidado")</f>
        <v>Comisión Sistema Distrital del Cuidado</v>
      </c>
      <c r="C630" s="55">
        <f ca="1">IFERROR(__xludf.DUMMYFUNCTION("""COMPUTED_VALUE"""),44386)</f>
        <v>44386</v>
      </c>
      <c r="D630" s="25" t="str">
        <f ca="1">IFERROR(__xludf.DUMMYFUNCTION("""COMPUTED_VALUE"""),"Mujer")</f>
        <v>Mujer</v>
      </c>
      <c r="E630" s="25" t="str">
        <f ca="1">IFERROR(__xludf.DUMMYFUNCTION("""COMPUTED_VALUE"""),"Secretaría Distrital de la Mujer")</f>
        <v>Secretaría Distrital de la Mujer</v>
      </c>
      <c r="F630" s="25" t="str">
        <f ca="1">IFERROR(__xludf.DUMMYFUNCTION("""COMPUTED_VALUE"""),"Presentar propuesta de administración y uso de los CEFES  pensando que son parte de las Manzanas del Cuidado. Para esto es necesario entender que los CEFES deben adaptarse al Sistema del Cuidado y no al revés. ")</f>
        <v xml:space="preserve">Presentar propuesta de administración y uso de los CEFES  pensando que son parte de las Manzanas del Cuidado. Para esto es necesario entender que los CEFES deben adaptarse al Sistema del Cuidado y no al revés. </v>
      </c>
      <c r="G630" s="25" t="str">
        <f ca="1">IFERROR(__xludf.DUMMYFUNCTION("""COMPUTED_VALUE"""),"99. Distrito")</f>
        <v>99. Distrito</v>
      </c>
      <c r="H630" s="55">
        <f ca="1">IFERROR(__xludf.DUMMYFUNCTION("""COMPUTED_VALUE"""),44416)</f>
        <v>44416</v>
      </c>
      <c r="I630" s="25"/>
      <c r="J630" s="55"/>
      <c r="K630" s="25">
        <f ca="1">IFERROR(__xludf.DUMMYFUNCTION("""COMPUTED_VALUE"""),30)</f>
        <v>30</v>
      </c>
      <c r="L630" s="62">
        <f ca="1">IFERROR(__xludf.DUMMYFUNCTION("""COMPUTED_VALUE"""),44631)</f>
        <v>44631</v>
      </c>
      <c r="M630" s="25" t="str">
        <f ca="1">IFERROR(__xludf.DUMMYFUNCTION("""COMPUTED_VALUE"""),"Los criterios de administración y uso de los CEFES fueron incorporados en el Convenio Interadministrativo 913 de 2021 ""para la articulación de servicios intersectoriales del Sistema Distrital del Cuidado"".")</f>
        <v>Los criterios de administración y uso de los CEFES fueron incorporados en el Convenio Interadministrativo 913 de 2021 "para la articulación de servicios intersectoriales del Sistema Distrital del Cuidado".</v>
      </c>
      <c r="N630" s="55">
        <f ca="1">IFERROR(__xludf.DUMMYFUNCTION("""COMPUTED_VALUE"""),44631)</f>
        <v>44631</v>
      </c>
      <c r="O630" s="25" t="str">
        <f t="shared" ca="1" si="0"/>
        <v>Secretaría Distrital de la Mujer</v>
      </c>
      <c r="P630" s="25" t="str">
        <f t="shared" si="2"/>
        <v/>
      </c>
      <c r="Q630" s="25" t="str">
        <f ca="1">IFERROR(__xludf.DUMMYFUNCTION("""COMPUTED_VALUE"""),"Corto plazo")</f>
        <v>Corto plazo</v>
      </c>
      <c r="R630" s="25"/>
      <c r="S630" s="55"/>
      <c r="T630" s="56"/>
      <c r="U630" s="25"/>
      <c r="V630" s="25"/>
      <c r="W630" s="25"/>
      <c r="X630" s="25"/>
      <c r="Y630" s="25"/>
      <c r="Z630" s="25"/>
    </row>
    <row r="631" spans="1:26" ht="52.5" customHeight="1" x14ac:dyDescent="0.25">
      <c r="A631" s="25" t="str">
        <f ca="1">IFERROR(__xludf.DUMMYFUNCTION("""COMPUTED_VALUE"""),"Mujer29")</f>
        <v>Mujer29</v>
      </c>
      <c r="B631" s="25" t="str">
        <f ca="1">IFERROR(__xludf.DUMMYFUNCTION("""COMPUTED_VALUE"""),"Comisión Sistema Distrital del Cuidado")</f>
        <v>Comisión Sistema Distrital del Cuidado</v>
      </c>
      <c r="C631" s="55">
        <f ca="1">IFERROR(__xludf.DUMMYFUNCTION("""COMPUTED_VALUE"""),44386)</f>
        <v>44386</v>
      </c>
      <c r="D631" s="25" t="str">
        <f ca="1">IFERROR(__xludf.DUMMYFUNCTION("""COMPUTED_VALUE"""),"Mujer")</f>
        <v>Mujer</v>
      </c>
      <c r="E631" s="25" t="str">
        <f ca="1">IFERROR(__xludf.DUMMYFUNCTION("""COMPUTED_VALUE"""),"Secretaría Distrital de la Mujer")</f>
        <v>Secretaría Distrital de la Mujer</v>
      </c>
      <c r="F631" s="25" t="str">
        <f ca="1">IFERROR(__xludf.DUMMYFUNCTION("""COMPUTED_VALUE"""),"Presentar propuesta de comodato con otras entidades distritales, cubriendo los costos razonablemente pero cambiando la perspectiva donde son los CEFES quienes se adaptan al Sistema del Cuidado. ")</f>
        <v xml:space="preserve">Presentar propuesta de comodato con otras entidades distritales, cubriendo los costos razonablemente pero cambiando la perspectiva donde son los CEFES quienes se adaptan al Sistema del Cuidado. </v>
      </c>
      <c r="G631" s="25" t="str">
        <f ca="1">IFERROR(__xludf.DUMMYFUNCTION("""COMPUTED_VALUE"""),"99. Distrito")</f>
        <v>99. Distrito</v>
      </c>
      <c r="H631" s="55">
        <f ca="1">IFERROR(__xludf.DUMMYFUNCTION("""COMPUTED_VALUE"""),44416)</f>
        <v>44416</v>
      </c>
      <c r="I631" s="25"/>
      <c r="J631" s="55"/>
      <c r="K631" s="25">
        <f ca="1">IFERROR(__xludf.DUMMYFUNCTION("""COMPUTED_VALUE"""),30)</f>
        <v>30</v>
      </c>
      <c r="L631" s="62">
        <f ca="1">IFERROR(__xludf.DUMMYFUNCTION("""COMPUTED_VALUE"""),44428)</f>
        <v>44428</v>
      </c>
      <c r="M631" s="25" t="str">
        <f ca="1">IFERROR(__xludf.DUMMYFUNCTION("""COMPUTED_VALUE"""),"16.09.2021 
 La reunión fue concertada con las mujeres para el jueves 30 de septiembre a las 6 pm en la Casa de Igualdad de Oportunidades de Teusaquillo. Nos encontramos realizando los oficios para citar a las entidades que solicitan las mujeres acompañen"&amp;". 
 ")</f>
        <v xml:space="preserve">16.09.2021 
 La reunión fue concertada con las mujeres para el jueves 30 de septiembre a las 6 pm en la Casa de Igualdad de Oportunidades de Teusaquillo. Nos encontramos realizando los oficios para citar a las entidades que solicitan las mujeres acompañen. 
 </v>
      </c>
      <c r="N631" s="55">
        <f ca="1">IFERROR(__xludf.DUMMYFUNCTION("""COMPUTED_VALUE"""),44428)</f>
        <v>44428</v>
      </c>
      <c r="O631" s="25" t="str">
        <f t="shared" ca="1" si="0"/>
        <v>Secretaría Distrital de la Mujer</v>
      </c>
      <c r="P631" s="25" t="str">
        <f t="shared" si="2"/>
        <v/>
      </c>
      <c r="Q631" s="25" t="str">
        <f ca="1">IFERROR(__xludf.DUMMYFUNCTION("""COMPUTED_VALUE"""),"Corto plazo")</f>
        <v>Corto plazo</v>
      </c>
      <c r="R631" s="25"/>
      <c r="S631" s="55"/>
      <c r="T631" s="56"/>
      <c r="U631" s="25"/>
      <c r="V631" s="25"/>
      <c r="W631" s="25"/>
      <c r="X631" s="25"/>
      <c r="Y631" s="25"/>
      <c r="Z631" s="25"/>
    </row>
    <row r="632" spans="1:26" ht="52.5" customHeight="1" x14ac:dyDescent="0.25">
      <c r="A632" s="25" t="str">
        <f ca="1">IFERROR(__xludf.DUMMYFUNCTION("""COMPUTED_VALUE"""),"Mujer30")</f>
        <v>Mujer30</v>
      </c>
      <c r="B632" s="25" t="str">
        <f ca="1">IFERROR(__xludf.DUMMYFUNCTION("""COMPUTED_VALUE"""),"Despachando: Secretaría distrital de la mujer")</f>
        <v>Despachando: Secretaría distrital de la mujer</v>
      </c>
      <c r="C632" s="55">
        <f ca="1">IFERROR(__xludf.DUMMYFUNCTION("""COMPUTED_VALUE"""),44118)</f>
        <v>44118</v>
      </c>
      <c r="D632" s="25" t="str">
        <f ca="1">IFERROR(__xludf.DUMMYFUNCTION("""COMPUTED_VALUE"""),"Mujer")</f>
        <v>Mujer</v>
      </c>
      <c r="E632" s="25" t="str">
        <f ca="1">IFERROR(__xludf.DUMMYFUNCTION("""COMPUTED_VALUE"""),"Secretaría Distrital de la Mujer")</f>
        <v>Secretaría Distrital de la Mujer</v>
      </c>
      <c r="F632" s="25" t="str">
        <f ca="1">IFERROR(__xludf.DUMMYFUNCTION("""COMPUTED_VALUE"""),"Inaugurar manzana del cuidado en Ciudad Bolivar")</f>
        <v>Inaugurar manzana del cuidado en Ciudad Bolivar</v>
      </c>
      <c r="G632" s="25" t="str">
        <f ca="1">IFERROR(__xludf.DUMMYFUNCTION("""COMPUTED_VALUE"""),"99. Distrito")</f>
        <v>99. Distrito</v>
      </c>
      <c r="H632" s="55">
        <f ca="1">IFERROR(__xludf.DUMMYFUNCTION("""COMPUTED_VALUE"""),44148)</f>
        <v>44148</v>
      </c>
      <c r="I632" s="25"/>
      <c r="J632" s="55"/>
      <c r="K632" s="25">
        <f ca="1">IFERROR(__xludf.DUMMYFUNCTION("""COMPUTED_VALUE"""),30)</f>
        <v>30</v>
      </c>
      <c r="L632" s="62">
        <f ca="1">IFERROR(__xludf.DUMMYFUNCTION("""COMPUTED_VALUE"""),44384)</f>
        <v>44384</v>
      </c>
      <c r="M632" s="25" t="str">
        <f ca="1">IFERROR(__xludf.DUMMYFUNCTION("""COMPUTED_VALUE"""),"Inauguración y funcionamiento de la Manzana del cuidado desde el 9 de noviembre, 2020")</f>
        <v>Inauguración y funcionamiento de la Manzana del cuidado desde el 9 de noviembre, 2020</v>
      </c>
      <c r="N632" s="55">
        <f ca="1">IFERROR(__xludf.DUMMYFUNCTION("""COMPUTED_VALUE"""),44384)</f>
        <v>44384</v>
      </c>
      <c r="O632" s="25" t="str">
        <f t="shared" ca="1" si="0"/>
        <v>Secretaría Distrital de la Mujer</v>
      </c>
      <c r="P632" s="25" t="str">
        <f t="shared" si="2"/>
        <v/>
      </c>
      <c r="Q632" s="25" t="str">
        <f ca="1">IFERROR(__xludf.DUMMYFUNCTION("""COMPUTED_VALUE"""),"Corto plazo")</f>
        <v>Corto plazo</v>
      </c>
      <c r="R632" s="25"/>
      <c r="S632" s="55"/>
      <c r="T632" s="56"/>
      <c r="U632" s="25"/>
      <c r="V632" s="25"/>
      <c r="W632" s="25"/>
      <c r="X632" s="25"/>
      <c r="Y632" s="25"/>
      <c r="Z632" s="25"/>
    </row>
    <row r="633" spans="1:26" ht="52.5" customHeight="1" x14ac:dyDescent="0.25">
      <c r="A633" s="25" t="str">
        <f ca="1">IFERROR(__xludf.DUMMYFUNCTION("""COMPUTED_VALUE"""),"Mujer31")</f>
        <v>Mujer31</v>
      </c>
      <c r="B633" s="25" t="str">
        <f ca="1">IFERROR(__xludf.DUMMYFUNCTION("""COMPUTED_VALUE"""),"Despachando: Secretaría distrital de la mujer")</f>
        <v>Despachando: Secretaría distrital de la mujer</v>
      </c>
      <c r="C633" s="55">
        <f ca="1">IFERROR(__xludf.DUMMYFUNCTION("""COMPUTED_VALUE"""),44118)</f>
        <v>44118</v>
      </c>
      <c r="D633" s="25" t="str">
        <f ca="1">IFERROR(__xludf.DUMMYFUNCTION("""COMPUTED_VALUE"""),"Mujer")</f>
        <v>Mujer</v>
      </c>
      <c r="E633" s="25" t="str">
        <f ca="1">IFERROR(__xludf.DUMMYFUNCTION("""COMPUTED_VALUE"""),"Secretaría Distrital de la Mujer")</f>
        <v>Secretaría Distrital de la Mujer</v>
      </c>
      <c r="F633" s="25" t="str">
        <f ca="1">IFERROR(__xludf.DUMMYFUNCTION("""COMPUTED_VALUE"""),"Poner en marcha de 2 unidades móviles del SIDICU")</f>
        <v>Poner en marcha de 2 unidades móviles del SIDICU</v>
      </c>
      <c r="G633" s="25" t="str">
        <f ca="1">IFERROR(__xludf.DUMMYFUNCTION("""COMPUTED_VALUE"""),"99. Distrito")</f>
        <v>99. Distrito</v>
      </c>
      <c r="H633" s="55">
        <f ca="1">IFERROR(__xludf.DUMMYFUNCTION("""COMPUTED_VALUE"""),44148)</f>
        <v>44148</v>
      </c>
      <c r="I633" s="25"/>
      <c r="J633" s="55"/>
      <c r="K633" s="25">
        <f ca="1">IFERROR(__xludf.DUMMYFUNCTION("""COMPUTED_VALUE"""),30)</f>
        <v>30</v>
      </c>
      <c r="L633" s="62">
        <f ca="1">IFERROR(__xludf.DUMMYFUNCTION("""COMPUTED_VALUE"""),44384)</f>
        <v>44384</v>
      </c>
      <c r="M633" s="25" t="str">
        <f ca="1">IFERROR(__xludf.DUMMYFUNCTION("""COMPUTED_VALUE"""),"EJECUTADO. Definición de operadores de las unidades móviles y inicio de contratación con la Fundación Barco para la puesta en marcha de las unidades móviles del SIDICU")</f>
        <v>EJECUTADO. Definición de operadores de las unidades móviles y inicio de contratación con la Fundación Barco para la puesta en marcha de las unidades móviles del SIDICU</v>
      </c>
      <c r="N633" s="55">
        <f ca="1">IFERROR(__xludf.DUMMYFUNCTION("""COMPUTED_VALUE"""),44384)</f>
        <v>44384</v>
      </c>
      <c r="O633" s="25" t="str">
        <f t="shared" ca="1" si="0"/>
        <v>Secretaría Distrital de la Mujer</v>
      </c>
      <c r="P633" s="25" t="str">
        <f t="shared" si="2"/>
        <v/>
      </c>
      <c r="Q633" s="25" t="str">
        <f ca="1">IFERROR(__xludf.DUMMYFUNCTION("""COMPUTED_VALUE"""),"Corto plazo")</f>
        <v>Corto plazo</v>
      </c>
      <c r="R633" s="25"/>
      <c r="S633" s="55"/>
      <c r="T633" s="56"/>
      <c r="U633" s="25"/>
      <c r="V633" s="25"/>
      <c r="W633" s="25"/>
      <c r="X633" s="25"/>
      <c r="Y633" s="25"/>
      <c r="Z633" s="25"/>
    </row>
    <row r="634" spans="1:26" ht="52.5" customHeight="1" x14ac:dyDescent="0.25">
      <c r="A634" s="25" t="str">
        <f ca="1">IFERROR(__xludf.DUMMYFUNCTION("""COMPUTED_VALUE"""),"Mujer32")</f>
        <v>Mujer32</v>
      </c>
      <c r="B634" s="25" t="str">
        <f ca="1">IFERROR(__xludf.DUMMYFUNCTION("""COMPUTED_VALUE"""),"Despachando: Secretaría distrital de la mujer")</f>
        <v>Despachando: Secretaría distrital de la mujer</v>
      </c>
      <c r="C634" s="55">
        <f ca="1">IFERROR(__xludf.DUMMYFUNCTION("""COMPUTED_VALUE"""),44118)</f>
        <v>44118</v>
      </c>
      <c r="D634" s="25" t="str">
        <f ca="1">IFERROR(__xludf.DUMMYFUNCTION("""COMPUTED_VALUE"""),"Mujer")</f>
        <v>Mujer</v>
      </c>
      <c r="E634" s="25" t="str">
        <f ca="1">IFERROR(__xludf.DUMMYFUNCTION("""COMPUTED_VALUE"""),"Secretaría Distrital de la Mujer")</f>
        <v>Secretaría Distrital de la Mujer</v>
      </c>
      <c r="F634" s="25" t="str">
        <f ca="1">IFERROR(__xludf.DUMMYFUNCTION("""COMPUTED_VALUE"""),"Versión final de las Bases técnicas del SIDICU")</f>
        <v>Versión final de las Bases técnicas del SIDICU</v>
      </c>
      <c r="G634" s="25" t="str">
        <f ca="1">IFERROR(__xludf.DUMMYFUNCTION("""COMPUTED_VALUE"""),"99. Distrito")</f>
        <v>99. Distrito</v>
      </c>
      <c r="H634" s="55">
        <f ca="1">IFERROR(__xludf.DUMMYFUNCTION("""COMPUTED_VALUE"""),44148)</f>
        <v>44148</v>
      </c>
      <c r="I634" s="25"/>
      <c r="J634" s="55"/>
      <c r="K634" s="25">
        <f ca="1">IFERROR(__xludf.DUMMYFUNCTION("""COMPUTED_VALUE"""),30)</f>
        <v>30</v>
      </c>
      <c r="L634" s="62">
        <f ca="1">IFERROR(__xludf.DUMMYFUNCTION("""COMPUTED_VALUE"""),44384)</f>
        <v>44384</v>
      </c>
      <c r="M634" s="25" t="str">
        <f ca="1">IFERROR(__xludf.DUMMYFUNCTION("""COMPUTED_VALUE"""),"Versión final de las bases técnicas del SIDICU")</f>
        <v>Versión final de las bases técnicas del SIDICU</v>
      </c>
      <c r="N634" s="55">
        <f ca="1">IFERROR(__xludf.DUMMYFUNCTION("""COMPUTED_VALUE"""),44384)</f>
        <v>44384</v>
      </c>
      <c r="O634" s="25" t="str">
        <f t="shared" ca="1" si="0"/>
        <v>Secretaría Distrital de la Mujer</v>
      </c>
      <c r="P634" s="25" t="str">
        <f t="shared" si="2"/>
        <v/>
      </c>
      <c r="Q634" s="25" t="str">
        <f ca="1">IFERROR(__xludf.DUMMYFUNCTION("""COMPUTED_VALUE"""),"Corto plazo")</f>
        <v>Corto plazo</v>
      </c>
      <c r="R634" s="25"/>
      <c r="S634" s="55"/>
      <c r="T634" s="56"/>
      <c r="U634" s="25"/>
      <c r="V634" s="25"/>
      <c r="W634" s="25"/>
      <c r="X634" s="25"/>
      <c r="Y634" s="25"/>
      <c r="Z634" s="25"/>
    </row>
    <row r="635" spans="1:26" ht="52.5" customHeight="1" x14ac:dyDescent="0.25">
      <c r="A635" s="25" t="str">
        <f ca="1">IFERROR(__xludf.DUMMYFUNCTION("""COMPUTED_VALUE"""),"Mujer33")</f>
        <v>Mujer33</v>
      </c>
      <c r="B635" s="25" t="str">
        <f ca="1">IFERROR(__xludf.DUMMYFUNCTION("""COMPUTED_VALUE"""),"Despachando: Secretaría distrital de la mujer")</f>
        <v>Despachando: Secretaría distrital de la mujer</v>
      </c>
      <c r="C635" s="55">
        <f ca="1">IFERROR(__xludf.DUMMYFUNCTION("""COMPUTED_VALUE"""),44118)</f>
        <v>44118</v>
      </c>
      <c r="D635" s="25" t="str">
        <f ca="1">IFERROR(__xludf.DUMMYFUNCTION("""COMPUTED_VALUE"""),"Mujer")</f>
        <v>Mujer</v>
      </c>
      <c r="E635" s="25" t="str">
        <f ca="1">IFERROR(__xludf.DUMMYFUNCTION("""COMPUTED_VALUE"""),"Secretaría Distrital de la Mujer")</f>
        <v>Secretaría Distrital de la Mujer</v>
      </c>
      <c r="F635" s="25" t="str">
        <f ca="1">IFERROR(__xludf.DUMMYFUNCTION("""COMPUTED_VALUE"""),"Poner en marcha de la Comisión intersectorial del cuidado del SIDICU")</f>
        <v>Poner en marcha de la Comisión intersectorial del cuidado del SIDICU</v>
      </c>
      <c r="G635" s="25" t="str">
        <f ca="1">IFERROR(__xludf.DUMMYFUNCTION("""COMPUTED_VALUE"""),"99. Distrito")</f>
        <v>99. Distrito</v>
      </c>
      <c r="H635" s="55">
        <f ca="1">IFERROR(__xludf.DUMMYFUNCTION("""COMPUTED_VALUE"""),44148)</f>
        <v>44148</v>
      </c>
      <c r="I635" s="25"/>
      <c r="J635" s="55"/>
      <c r="K635" s="25">
        <f ca="1">IFERROR(__xludf.DUMMYFUNCTION("""COMPUTED_VALUE"""),30)</f>
        <v>30</v>
      </c>
      <c r="L635" s="62">
        <f ca="1">IFERROR(__xludf.DUMMYFUNCTION("""COMPUTED_VALUE"""),44384)</f>
        <v>44384</v>
      </c>
      <c r="M635" s="25" t="str">
        <f ca="1">IFERROR(__xludf.DUMMYFUNCTION("""COMPUTED_VALUE"""),"Realizada la primera sesión de la Comisión intersectorial del cuidado del SIDICU")</f>
        <v>Realizada la primera sesión de la Comisión intersectorial del cuidado del SIDICU</v>
      </c>
      <c r="N635" s="55">
        <f ca="1">IFERROR(__xludf.DUMMYFUNCTION("""COMPUTED_VALUE"""),44384)</f>
        <v>44384</v>
      </c>
      <c r="O635" s="25" t="str">
        <f t="shared" ca="1" si="0"/>
        <v>Secretaría Distrital de la Mujer</v>
      </c>
      <c r="P635" s="25" t="str">
        <f t="shared" si="2"/>
        <v/>
      </c>
      <c r="Q635" s="25" t="str">
        <f ca="1">IFERROR(__xludf.DUMMYFUNCTION("""COMPUTED_VALUE"""),"Corto plazo")</f>
        <v>Corto plazo</v>
      </c>
      <c r="R635" s="25"/>
      <c r="S635" s="55"/>
      <c r="T635" s="56"/>
      <c r="U635" s="25"/>
      <c r="V635" s="25"/>
      <c r="W635" s="25"/>
      <c r="X635" s="25"/>
      <c r="Y635" s="25"/>
      <c r="Z635" s="25"/>
    </row>
    <row r="636" spans="1:26" ht="52.5" customHeight="1" x14ac:dyDescent="0.25">
      <c r="A636" s="25" t="str">
        <f ca="1">IFERROR(__xludf.DUMMYFUNCTION("""COMPUTED_VALUE"""),"Mujer34")</f>
        <v>Mujer34</v>
      </c>
      <c r="B636" s="25" t="str">
        <f ca="1">IFERROR(__xludf.DUMMYFUNCTION("""COMPUTED_VALUE"""),"Despachando: Secretaría distrital de la mujer")</f>
        <v>Despachando: Secretaría distrital de la mujer</v>
      </c>
      <c r="C636" s="55">
        <f ca="1">IFERROR(__xludf.DUMMYFUNCTION("""COMPUTED_VALUE"""),44118)</f>
        <v>44118</v>
      </c>
      <c r="D636" s="25" t="str">
        <f ca="1">IFERROR(__xludf.DUMMYFUNCTION("""COMPUTED_VALUE"""),"Mujer")</f>
        <v>Mujer</v>
      </c>
      <c r="E636" s="25" t="str">
        <f ca="1">IFERROR(__xludf.DUMMYFUNCTION("""COMPUTED_VALUE"""),"Secretaría Distrital de la Mujer")</f>
        <v>Secretaría Distrital de la Mujer</v>
      </c>
      <c r="F636" s="25" t="str">
        <f ca="1">IFERROR(__xludf.DUMMYFUNCTION("""COMPUTED_VALUE"""),"Brindar atención por parte de SDMujer las 24 horas al día en las 4 Subredes públicas y 1 clínica privada")</f>
        <v>Brindar atención por parte de SDMujer las 24 horas al día en las 4 Subredes públicas y 1 clínica privada</v>
      </c>
      <c r="G636" s="25" t="str">
        <f ca="1">IFERROR(__xludf.DUMMYFUNCTION("""COMPUTED_VALUE"""),"99. Distrito")</f>
        <v>99. Distrito</v>
      </c>
      <c r="H636" s="55">
        <f ca="1">IFERROR(__xludf.DUMMYFUNCTION("""COMPUTED_VALUE"""),44148)</f>
        <v>44148</v>
      </c>
      <c r="I636" s="25"/>
      <c r="J636" s="55"/>
      <c r="K636" s="25">
        <f ca="1">IFERROR(__xludf.DUMMYFUNCTION("""COMPUTED_VALUE"""),30)</f>
        <v>30</v>
      </c>
      <c r="L636" s="62">
        <f ca="1">IFERROR(__xludf.DUMMYFUNCTION("""COMPUTED_VALUE"""),44384)</f>
        <v>44384</v>
      </c>
      <c r="M636" s="25" t="str">
        <f ca="1">IFERROR(__xludf.DUMMYFUNCTION("""COMPUTED_VALUE"""),"La SDMujer brinda atención las 24 horas al día en las 4 Subredes públicas y 1 clínica privada")</f>
        <v>La SDMujer brinda atención las 24 horas al día en las 4 Subredes públicas y 1 clínica privada</v>
      </c>
      <c r="N636" s="55">
        <f ca="1">IFERROR(__xludf.DUMMYFUNCTION("""COMPUTED_VALUE"""),44384)</f>
        <v>44384</v>
      </c>
      <c r="O636" s="25" t="str">
        <f t="shared" ca="1" si="0"/>
        <v>Secretaría Distrital de la Mujer</v>
      </c>
      <c r="P636" s="25" t="str">
        <f t="shared" si="2"/>
        <v/>
      </c>
      <c r="Q636" s="25" t="str">
        <f ca="1">IFERROR(__xludf.DUMMYFUNCTION("""COMPUTED_VALUE"""),"Corto plazo")</f>
        <v>Corto plazo</v>
      </c>
      <c r="R636" s="25"/>
      <c r="S636" s="55"/>
      <c r="T636" s="56"/>
      <c r="U636" s="25"/>
      <c r="V636" s="25"/>
      <c r="W636" s="25"/>
      <c r="X636" s="25"/>
      <c r="Y636" s="25"/>
      <c r="Z636" s="25"/>
    </row>
    <row r="637" spans="1:26" ht="52.5" customHeight="1" x14ac:dyDescent="0.25">
      <c r="A637" s="25" t="str">
        <f ca="1">IFERROR(__xludf.DUMMYFUNCTION("""COMPUTED_VALUE"""),"Mujer35")</f>
        <v>Mujer35</v>
      </c>
      <c r="B637" s="25" t="str">
        <f ca="1">IFERROR(__xludf.DUMMYFUNCTION("""COMPUTED_VALUE"""),"Despachando: Secretaría distrital de la mujer")</f>
        <v>Despachando: Secretaría distrital de la mujer</v>
      </c>
      <c r="C637" s="55">
        <f ca="1">IFERROR(__xludf.DUMMYFUNCTION("""COMPUTED_VALUE"""),44118)</f>
        <v>44118</v>
      </c>
      <c r="D637" s="25" t="str">
        <f ca="1">IFERROR(__xludf.DUMMYFUNCTION("""COMPUTED_VALUE"""),"Mujer")</f>
        <v>Mujer</v>
      </c>
      <c r="E637" s="25" t="str">
        <f ca="1">IFERROR(__xludf.DUMMYFUNCTION("""COMPUTED_VALUE"""),"Secretaría Distrital de la Mujer")</f>
        <v>Secretaría Distrital de la Mujer</v>
      </c>
      <c r="F637" s="25" t="str">
        <f ca="1">IFERROR(__xludf.DUMMYFUNCTION("""COMPUTED_VALUE"""),"Desarrollar el modelo de casa refugio rural")</f>
        <v>Desarrollar el modelo de casa refugio rural</v>
      </c>
      <c r="G637" s="25" t="str">
        <f ca="1">IFERROR(__xludf.DUMMYFUNCTION("""COMPUTED_VALUE"""),"99. Distrito")</f>
        <v>99. Distrito</v>
      </c>
      <c r="H637" s="55">
        <f ca="1">IFERROR(__xludf.DUMMYFUNCTION("""COMPUTED_VALUE"""),44148)</f>
        <v>44148</v>
      </c>
      <c r="I637" s="25"/>
      <c r="J637" s="55"/>
      <c r="K637" s="25">
        <f ca="1">IFERROR(__xludf.DUMMYFUNCTION("""COMPUTED_VALUE"""),30)</f>
        <v>30</v>
      </c>
      <c r="L637" s="62">
        <f ca="1">IFERROR(__xludf.DUMMYFUNCTION("""COMPUTED_VALUE"""),44540)</f>
        <v>44540</v>
      </c>
      <c r="M637" s="25" t="str">
        <f ca="1">IFERROR(__xludf.DUMMYFUNCTION("""COMPUTED_VALUE"""),"Contratado y operando")</f>
        <v>Contratado y operando</v>
      </c>
      <c r="N637" s="55">
        <f ca="1">IFERROR(__xludf.DUMMYFUNCTION("""COMPUTED_VALUE"""),44540)</f>
        <v>44540</v>
      </c>
      <c r="O637" s="25" t="str">
        <f t="shared" ca="1" si="0"/>
        <v>Secretaría Distrital de la Mujer</v>
      </c>
      <c r="P637" s="25" t="str">
        <f t="shared" si="2"/>
        <v/>
      </c>
      <c r="Q637" s="25" t="str">
        <f ca="1">IFERROR(__xludf.DUMMYFUNCTION("""COMPUTED_VALUE"""),"Corto plazo")</f>
        <v>Corto plazo</v>
      </c>
      <c r="R637" s="25"/>
      <c r="S637" s="55"/>
      <c r="T637" s="56"/>
      <c r="U637" s="25"/>
      <c r="V637" s="25"/>
      <c r="W637" s="25"/>
      <c r="X637" s="25"/>
      <c r="Y637" s="25"/>
      <c r="Z637" s="25"/>
    </row>
    <row r="638" spans="1:26" ht="52.5" customHeight="1" x14ac:dyDescent="0.25">
      <c r="A638" s="25" t="str">
        <f ca="1">IFERROR(__xludf.DUMMYFUNCTION("""COMPUTED_VALUE"""),"Mujer36")</f>
        <v>Mujer36</v>
      </c>
      <c r="B638" s="25" t="str">
        <f ca="1">IFERROR(__xludf.DUMMYFUNCTION("""COMPUTED_VALUE"""),"Despachando: Secretaría distrital de la mujer")</f>
        <v>Despachando: Secretaría distrital de la mujer</v>
      </c>
      <c r="C638" s="55">
        <f ca="1">IFERROR(__xludf.DUMMYFUNCTION("""COMPUTED_VALUE"""),44118)</f>
        <v>44118</v>
      </c>
      <c r="D638" s="25" t="str">
        <f ca="1">IFERROR(__xludf.DUMMYFUNCTION("""COMPUTED_VALUE"""),"Mujer")</f>
        <v>Mujer</v>
      </c>
      <c r="E638" s="25" t="str">
        <f ca="1">IFERROR(__xludf.DUMMYFUNCTION("""COMPUTED_VALUE"""),"Secretaría Distrital de la Mujer")</f>
        <v>Secretaría Distrital de la Mujer</v>
      </c>
      <c r="F638" s="25" t="str">
        <f ca="1">IFERROR(__xludf.DUMMYFUNCTION("""COMPUTED_VALUE"""),"Crear dos duplas
 especializados en espacio y
 transporte público")</f>
        <v>Crear dos duplas
 especializados en espacio y
 transporte público</v>
      </c>
      <c r="G638" s="25" t="str">
        <f ca="1">IFERROR(__xludf.DUMMYFUNCTION("""COMPUTED_VALUE"""),"99. Distrito")</f>
        <v>99. Distrito</v>
      </c>
      <c r="H638" s="55">
        <f ca="1">IFERROR(__xludf.DUMMYFUNCTION("""COMPUTED_VALUE"""),44148)</f>
        <v>44148</v>
      </c>
      <c r="I638" s="25"/>
      <c r="J638" s="55"/>
      <c r="K638" s="25">
        <f ca="1">IFERROR(__xludf.DUMMYFUNCTION("""COMPUTED_VALUE"""),30)</f>
        <v>30</v>
      </c>
      <c r="L638" s="62">
        <f ca="1">IFERROR(__xludf.DUMMYFUNCTION("""COMPUTED_VALUE"""),44421)</f>
        <v>44421</v>
      </c>
      <c r="M638" s="25" t="str">
        <f ca="1">IFERROR(__xludf.DUMMYFUNCTION("""COMPUTED_VALUE"""),"CERRADO")</f>
        <v>CERRADO</v>
      </c>
      <c r="N638" s="55">
        <f ca="1">IFERROR(__xludf.DUMMYFUNCTION("""COMPUTED_VALUE"""),44421)</f>
        <v>44421</v>
      </c>
      <c r="O638" s="25" t="str">
        <f t="shared" ca="1" si="0"/>
        <v>Secretaría Distrital de la Mujer</v>
      </c>
      <c r="P638" s="25" t="str">
        <f t="shared" si="2"/>
        <v/>
      </c>
      <c r="Q638" s="25" t="str">
        <f ca="1">IFERROR(__xludf.DUMMYFUNCTION("""COMPUTED_VALUE"""),"Corto plazo")</f>
        <v>Corto plazo</v>
      </c>
      <c r="R638" s="25"/>
      <c r="S638" s="55"/>
      <c r="T638" s="56"/>
      <c r="U638" s="25"/>
      <c r="V638" s="25"/>
      <c r="W638" s="25"/>
      <c r="X638" s="25"/>
      <c r="Y638" s="25"/>
      <c r="Z638" s="25"/>
    </row>
    <row r="639" spans="1:26" ht="52.5" customHeight="1" x14ac:dyDescent="0.25">
      <c r="A639" s="25" t="str">
        <f ca="1">IFERROR(__xludf.DUMMYFUNCTION("""COMPUTED_VALUE"""),"Mujer37")</f>
        <v>Mujer37</v>
      </c>
      <c r="B639" s="25" t="str">
        <f ca="1">IFERROR(__xludf.DUMMYFUNCTION("""COMPUTED_VALUE"""),"Despachando: Secretaría distrital de la mujer")</f>
        <v>Despachando: Secretaría distrital de la mujer</v>
      </c>
      <c r="C639" s="55">
        <f ca="1">IFERROR(__xludf.DUMMYFUNCTION("""COMPUTED_VALUE"""),44118)</f>
        <v>44118</v>
      </c>
      <c r="D639" s="25" t="str">
        <f ca="1">IFERROR(__xludf.DUMMYFUNCTION("""COMPUTED_VALUE"""),"Mujer")</f>
        <v>Mujer</v>
      </c>
      <c r="E639" s="25" t="str">
        <f ca="1">IFERROR(__xludf.DUMMYFUNCTION("""COMPUTED_VALUE"""),"Secretaría Distrital de la Mujer")</f>
        <v>Secretaría Distrital de la Mujer</v>
      </c>
      <c r="F639" s="25" t="str">
        <f ca="1">IFERROR(__xludf.DUMMYFUNCTION("""COMPUTED_VALUE"""),"Expedir el CONPES de la Política de Mujer y Equidad de Género")</f>
        <v>Expedir el CONPES de la Política de Mujer y Equidad de Género</v>
      </c>
      <c r="G639" s="25" t="str">
        <f ca="1">IFERROR(__xludf.DUMMYFUNCTION("""COMPUTED_VALUE"""),"99. Distrito")</f>
        <v>99. Distrito</v>
      </c>
      <c r="H639" s="55">
        <f ca="1">IFERROR(__xludf.DUMMYFUNCTION("""COMPUTED_VALUE"""),44148)</f>
        <v>44148</v>
      </c>
      <c r="I639" s="25"/>
      <c r="J639" s="55"/>
      <c r="K639" s="25">
        <f ca="1">IFERROR(__xludf.DUMMYFUNCTION("""COMPUTED_VALUE"""),30)</f>
        <v>30</v>
      </c>
      <c r="L639" s="62">
        <f ca="1">IFERROR(__xludf.DUMMYFUNCTION("""COMPUTED_VALUE"""),44422)</f>
        <v>44422</v>
      </c>
      <c r="M639" s="25" t="str">
        <f ca="1">IFERROR(__xludf.DUMMYFUNCTION("""COMPUTED_VALUE"""),"EJECUTADO.
- Se expidió el CONPES 14 del 28 de diciembre de 2020. 
- Con relación a la PPMyEG de enero a julio, se realizaron 57 jornadas de socialización sobre la PPMyEG, de los cuales 18 se han realizado en los COLMYG; 24 jornadas en los sectores distr"&amp;"itales; 3 jornadas en las JAL; 1 en la Mesa Coordinadora del Espacio Autónomo del CCM,1 en la CIM y 1 en la CIDPO, 1 con la Mesa Equidad de Género; 5 jornadas con equipos de la SDMujer, 1 con el equipo de Territorialización de la SDMujer; y, 2 en la UTA c"&amp;"on los Consejos Operativos Locales de Política social.
- Asi mismo se continúa con el acompañamiento técnico a los sectores responsables y corresponsables para la implementación de la política
- Se ha realizado el seguimiento, y para esto se han solicitad"&amp;"o reportes con relación a las vigencias 2020 y al segundo semestre de 2021.
")</f>
        <v xml:space="preserve">EJECUTADO.
- Se expidió el CONPES 14 del 28 de diciembre de 2020. 
- Con relación a la PPMyEG de enero a julio, se realizaron 57 jornadas de socialización sobre la PPMyEG, de los cuales 18 se han realizado en los COLMYG; 24 jornadas en los sectores distritales; 3 jornadas en las JAL; 1 en la Mesa Coordinadora del Espacio Autónomo del CCM,1 en la CIM y 1 en la CIDPO, 1 con la Mesa Equidad de Género; 5 jornadas con equipos de la SDMujer, 1 con el equipo de Territorialización de la SDMujer; y, 2 en la UTA con los Consejos Operativos Locales de Política social.
- Asi mismo se continúa con el acompañamiento técnico a los sectores responsables y corresponsables para la implementación de la política
- Se ha realizado el seguimiento, y para esto se han solicitado reportes con relación a las vigencias 2020 y al segundo semestre de 2021.
</v>
      </c>
      <c r="N639" s="55">
        <f ca="1">IFERROR(__xludf.DUMMYFUNCTION("""COMPUTED_VALUE"""),44422)</f>
        <v>44422</v>
      </c>
      <c r="O639" s="25" t="str">
        <f t="shared" ca="1" si="0"/>
        <v>Secretaría Distrital de la Mujer</v>
      </c>
      <c r="P639" s="25" t="str">
        <f t="shared" si="2"/>
        <v/>
      </c>
      <c r="Q639" s="25" t="str">
        <f ca="1">IFERROR(__xludf.DUMMYFUNCTION("""COMPUTED_VALUE"""),"Corto plazo")</f>
        <v>Corto plazo</v>
      </c>
      <c r="R639" s="25"/>
      <c r="S639" s="55"/>
      <c r="T639" s="56"/>
      <c r="U639" s="25"/>
      <c r="V639" s="25"/>
      <c r="W639" s="25"/>
      <c r="X639" s="25"/>
      <c r="Y639" s="25"/>
      <c r="Z639" s="25"/>
    </row>
    <row r="640" spans="1:26" ht="52.5" customHeight="1" x14ac:dyDescent="0.25">
      <c r="A640" s="25" t="str">
        <f ca="1">IFERROR(__xludf.DUMMYFUNCTION("""COMPUTED_VALUE"""),"Mujer38")</f>
        <v>Mujer38</v>
      </c>
      <c r="B640" s="25" t="str">
        <f ca="1">IFERROR(__xludf.DUMMYFUNCTION("""COMPUTED_VALUE"""),"Comisión Intersectorial del Cuidado")</f>
        <v>Comisión Intersectorial del Cuidado</v>
      </c>
      <c r="C640" s="55">
        <f ca="1">IFERROR(__xludf.DUMMYFUNCTION("""COMPUTED_VALUE"""),44767)</f>
        <v>44767</v>
      </c>
      <c r="D640" s="25" t="str">
        <f ca="1">IFERROR(__xludf.DUMMYFUNCTION("""COMPUTED_VALUE"""),"Mujer")</f>
        <v>Mujer</v>
      </c>
      <c r="E640" s="25" t="str">
        <f ca="1">IFERROR(__xludf.DUMMYFUNCTION("""COMPUTED_VALUE"""),"Secretaría Distrital de la Mujer")</f>
        <v>Secretaría Distrital de la Mujer</v>
      </c>
      <c r="F640" s="25" t="str">
        <f ca="1">IFERROR(__xludf.DUMMYFUNCTION("""COMPUTED_VALUE"""),"Las manzanas del cuidado de Bosa en el complejo de justicia Campo Verde y Tunjuelito en la casa de justicia (donde antes funcionaba la alcaldía local) se deben abrir en 2022")</f>
        <v>Las manzanas del cuidado de Bosa en el complejo de justicia Campo Verde y Tunjuelito en la casa de justicia (donde antes funcionaba la alcaldía local) se deben abrir en 2022</v>
      </c>
      <c r="G640" s="25" t="str">
        <f ca="1">IFERROR(__xludf.DUMMYFUNCTION("""COMPUTED_VALUE"""),"99. Distrito")</f>
        <v>99. Distrito</v>
      </c>
      <c r="H640" s="55">
        <f ca="1">IFERROR(__xludf.DUMMYFUNCTION("""COMPUTED_VALUE"""),44797)</f>
        <v>44797</v>
      </c>
      <c r="I640" s="25"/>
      <c r="J640" s="55"/>
      <c r="K640" s="25">
        <f ca="1">IFERROR(__xludf.DUMMYFUNCTION("""COMPUTED_VALUE"""),30)</f>
        <v>30</v>
      </c>
      <c r="L640" s="62"/>
      <c r="M640" s="25" t="str">
        <f ca="1">IFERROR(__xludf.DUMMYFUNCTION("""COMPUTED_VALUE"""),"La manzana de Campoverde fue inaugurada el 4 de octubre del 2022 y la inauguración de Tunjuelito está agendada para el 21 de noviembre con la alcaldesa.  (Se puede cerrar la tarea) ")</f>
        <v xml:space="preserve">La manzana de Campoverde fue inaugurada el 4 de octubre del 2022 y la inauguración de Tunjuelito está agendada para el 21 de noviembre con la alcaldesa.  (Se puede cerrar la tarea) </v>
      </c>
      <c r="N640" s="55">
        <f ca="1">IFERROR(__xludf.DUMMYFUNCTION("""COMPUTED_VALUE"""),44927)</f>
        <v>44927</v>
      </c>
      <c r="O640" s="25" t="str">
        <f t="shared" ca="1" si="0"/>
        <v>Secretaría Distrital de la Mujer</v>
      </c>
      <c r="P640" s="25" t="str">
        <f t="shared" si="2"/>
        <v/>
      </c>
      <c r="Q640" s="25" t="str">
        <f ca="1">IFERROR(__xludf.DUMMYFUNCTION("""COMPUTED_VALUE"""),"Corto plazo")</f>
        <v>Corto plazo</v>
      </c>
      <c r="R640" s="25"/>
      <c r="S640" s="55"/>
      <c r="T640" s="56"/>
      <c r="U640" s="25"/>
      <c r="V640" s="25"/>
      <c r="W640" s="25"/>
      <c r="X640" s="25"/>
      <c r="Y640" s="25"/>
      <c r="Z640" s="25"/>
    </row>
    <row r="641" spans="1:26" ht="52.5" customHeight="1" x14ac:dyDescent="0.25">
      <c r="A641" s="25" t="str">
        <f ca="1">IFERROR(__xludf.DUMMYFUNCTION("""COMPUTED_VALUE"""),"Mujer39")</f>
        <v>Mujer39</v>
      </c>
      <c r="B641" s="25" t="str">
        <f ca="1">IFERROR(__xludf.DUMMYFUNCTION("""COMPUTED_VALUE"""),"Comisión Intersectorial del Cuidado")</f>
        <v>Comisión Intersectorial del Cuidado</v>
      </c>
      <c r="C641" s="55">
        <f ca="1">IFERROR(__xludf.DUMMYFUNCTION("""COMPUTED_VALUE"""),44767)</f>
        <v>44767</v>
      </c>
      <c r="D641" s="25" t="str">
        <f ca="1">IFERROR(__xludf.DUMMYFUNCTION("""COMPUTED_VALUE"""),"Mujer")</f>
        <v>Mujer</v>
      </c>
      <c r="E641" s="25" t="str">
        <f ca="1">IFERROR(__xludf.DUMMYFUNCTION("""COMPUTED_VALUE"""),"Secretaría Distrital de la Mujer")</f>
        <v>Secretaría Distrital de la Mujer</v>
      </c>
      <c r="F641" s="25" t="str">
        <f ca="1">IFERROR(__xludf.DUMMYFUNCTION("""COMPUTED_VALUE"""),"Incorporar en la Manzana del cuidado en San Cristóbal (3 servicios: formación flexible, arte de cuidarte y generación de ingresos) en el aula ambiental Entrenubes – Juan Reyser el campamento de mujeres que reverdecen. Adicionalmente, usar la estación de b"&amp;"omberos para la lavandería  y escuela de cuidado. También usar el Jardín Infantil Quindío")</f>
        <v>Incorporar en la Manzana del cuidado en San Cristóbal (3 servicios: formación flexible, arte de cuidarte y generación de ingresos) en el aula ambiental Entrenubes – Juan Reyser el campamento de mujeres que reverdecen. Adicionalmente, usar la estación de bomberos para la lavandería  y escuela de cuidado. También usar el Jardín Infantil Quindío</v>
      </c>
      <c r="G641" s="25" t="str">
        <f ca="1">IFERROR(__xludf.DUMMYFUNCTION("""COMPUTED_VALUE"""),"99. Distrito")</f>
        <v>99. Distrito</v>
      </c>
      <c r="H641" s="55">
        <f ca="1">IFERROR(__xludf.DUMMYFUNCTION("""COMPUTED_VALUE"""),44797)</f>
        <v>44797</v>
      </c>
      <c r="I641" s="25"/>
      <c r="J641" s="55"/>
      <c r="K641" s="25">
        <f ca="1">IFERROR(__xludf.DUMMYFUNCTION("""COMPUTED_VALUE"""),30)</f>
        <v>30</v>
      </c>
      <c r="L641" s="62">
        <f ca="1">IFERROR(__xludf.DUMMYFUNCTION("""COMPUTED_VALUE"""),44894)</f>
        <v>44894</v>
      </c>
      <c r="M641" s="25" t="str">
        <f ca="1">IFERROR(__xludf.DUMMYFUNCTION("""COMPUTED_VALUE"""),"El 22 de noviembre se inauguró la manzana de cuidado en el aula ambiental de Juan Rey, que ya se encuentra operando. ")</f>
        <v xml:space="preserve">El 22 de noviembre se inauguró la manzana de cuidado en el aula ambiental de Juan Rey, que ya se encuentra operando. </v>
      </c>
      <c r="N641" s="55">
        <f ca="1">IFERROR(__xludf.DUMMYFUNCTION("""COMPUTED_VALUE"""),44894)</f>
        <v>44894</v>
      </c>
      <c r="O641" s="25" t="str">
        <f t="shared" ca="1" si="0"/>
        <v>Secretaría Distrital de la Mujer</v>
      </c>
      <c r="P641" s="25" t="str">
        <f t="shared" si="2"/>
        <v/>
      </c>
      <c r="Q641" s="25" t="str">
        <f ca="1">IFERROR(__xludf.DUMMYFUNCTION("""COMPUTED_VALUE"""),"Corto plazo")</f>
        <v>Corto plazo</v>
      </c>
      <c r="R641" s="25"/>
      <c r="S641" s="55"/>
      <c r="T641" s="56"/>
      <c r="U641" s="25"/>
      <c r="V641" s="25"/>
      <c r="W641" s="25"/>
      <c r="X641" s="25"/>
      <c r="Y641" s="25"/>
      <c r="Z641" s="25"/>
    </row>
    <row r="642" spans="1:26" ht="52.5" customHeight="1" x14ac:dyDescent="0.25">
      <c r="A642" s="25" t="str">
        <f ca="1">IFERROR(__xludf.DUMMYFUNCTION("""COMPUTED_VALUE"""),"Mujer40")</f>
        <v>Mujer40</v>
      </c>
      <c r="B642" s="25" t="str">
        <f ca="1">IFERROR(__xludf.DUMMYFUNCTION("""COMPUTED_VALUE"""),"Comisión Intersectorial del Cuidado")</f>
        <v>Comisión Intersectorial del Cuidado</v>
      </c>
      <c r="C642" s="55">
        <f ca="1">IFERROR(__xludf.DUMMYFUNCTION("""COMPUTED_VALUE"""),44767)</f>
        <v>44767</v>
      </c>
      <c r="D642" s="25" t="str">
        <f ca="1">IFERROR(__xludf.DUMMYFUNCTION("""COMPUTED_VALUE"""),"Mujer")</f>
        <v>Mujer</v>
      </c>
      <c r="E642" s="25" t="str">
        <f ca="1">IFERROR(__xludf.DUMMYFUNCTION("""COMPUTED_VALUE"""),"Secretaría Distrital de la Mujer")</f>
        <v>Secretaría Distrital de la Mujer</v>
      </c>
      <c r="F642" s="25" t="str">
        <f ca="1">IFERROR(__xludf.DUMMYFUNCTION("""COMPUTED_VALUE"""),"Los secretarios, subsecretario o directores deben de forma indelegable visitar a las manzanas, decidir que servicios colocar, decidir fecha de apertura y ahí si delegar a sus equipos")</f>
        <v>Los secretarios, subsecretario o directores deben de forma indelegable visitar a las manzanas, decidir que servicios colocar, decidir fecha de apertura y ahí si delegar a sus equipos</v>
      </c>
      <c r="G642" s="25" t="str">
        <f ca="1">IFERROR(__xludf.DUMMYFUNCTION("""COMPUTED_VALUE"""),"99. Distrito")</f>
        <v>99. Distrito</v>
      </c>
      <c r="H642" s="55">
        <f ca="1">IFERROR(__xludf.DUMMYFUNCTION("""COMPUTED_VALUE"""),44797)</f>
        <v>44797</v>
      </c>
      <c r="I642" s="25"/>
      <c r="J642" s="55"/>
      <c r="K642" s="25">
        <f ca="1">IFERROR(__xludf.DUMMYFUNCTION("""COMPUTED_VALUE"""),30)</f>
        <v>30</v>
      </c>
      <c r="L642" s="62"/>
      <c r="M642" s="25" t="str">
        <f ca="1">IFERROR(__xludf.DUMMYFUNCTION("""COMPUTED_VALUE"""),"Cuales y para qué propósito especifico ? No entiendo la tarea ")</f>
        <v xml:space="preserve">Cuales y para qué propósito especifico ? No entiendo la tarea </v>
      </c>
      <c r="N642" s="55">
        <f ca="1">IFERROR(__xludf.DUMMYFUNCTION("""COMPUTED_VALUE"""),44927)</f>
        <v>44927</v>
      </c>
      <c r="O642" s="25" t="str">
        <f t="shared" ca="1" si="0"/>
        <v>Secretaría Distrital de la Mujer</v>
      </c>
      <c r="P642" s="25" t="str">
        <f t="shared" si="2"/>
        <v/>
      </c>
      <c r="Q642" s="25" t="str">
        <f ca="1">IFERROR(__xludf.DUMMYFUNCTION("""COMPUTED_VALUE"""),"Corto plazo")</f>
        <v>Corto plazo</v>
      </c>
      <c r="R642" s="25"/>
      <c r="S642" s="55"/>
      <c r="T642" s="56"/>
      <c r="U642" s="25"/>
      <c r="V642" s="25"/>
      <c r="W642" s="25"/>
      <c r="X642" s="25"/>
      <c r="Y642" s="25"/>
      <c r="Z642" s="25"/>
    </row>
    <row r="643" spans="1:26" ht="52.5" customHeight="1" x14ac:dyDescent="0.25">
      <c r="A643" s="25" t="str">
        <f ca="1">IFERROR(__xludf.DUMMYFUNCTION("""COMPUTED_VALUE"""),"Mujer41")</f>
        <v>Mujer41</v>
      </c>
      <c r="B643" s="25" t="str">
        <f ca="1">IFERROR(__xludf.DUMMYFUNCTION("""COMPUTED_VALUE"""),"Comisión Intersectorial del Cuidado")</f>
        <v>Comisión Intersectorial del Cuidado</v>
      </c>
      <c r="C643" s="55">
        <f ca="1">IFERROR(__xludf.DUMMYFUNCTION("""COMPUTED_VALUE"""),44767)</f>
        <v>44767</v>
      </c>
      <c r="D643" s="25" t="str">
        <f ca="1">IFERROR(__xludf.DUMMYFUNCTION("""COMPUTED_VALUE"""),"Mujer")</f>
        <v>Mujer</v>
      </c>
      <c r="E643" s="25" t="str">
        <f ca="1">IFERROR(__xludf.DUMMYFUNCTION("""COMPUTED_VALUE"""),"Secretaría Distrital de la Mujer")</f>
        <v>Secretaría Distrital de la Mujer</v>
      </c>
      <c r="F643" s="25" t="str">
        <f ca="1">IFERROR(__xludf.DUMMYFUNCTION("""COMPUTED_VALUE"""),"Colocar las Unidades Móviles en modalidad urbana en Kennedy (Gran Britalia), Suba (Tibabuyes) y Fontibón Centro; y en modalidad Rural en Sumapaz, Chapinero (San Luis El Verjón) y Usme (La Requilina)")</f>
        <v>Colocar las Unidades Móviles en modalidad urbana en Kennedy (Gran Britalia), Suba (Tibabuyes) y Fontibón Centro; y en modalidad Rural en Sumapaz, Chapinero (San Luis El Verjón) y Usme (La Requilina)</v>
      </c>
      <c r="G643" s="25" t="str">
        <f ca="1">IFERROR(__xludf.DUMMYFUNCTION("""COMPUTED_VALUE"""),"99. Distrito")</f>
        <v>99. Distrito</v>
      </c>
      <c r="H643" s="55">
        <f ca="1">IFERROR(__xludf.DUMMYFUNCTION("""COMPUTED_VALUE"""),44797)</f>
        <v>44797</v>
      </c>
      <c r="I643" s="25"/>
      <c r="J643" s="55"/>
      <c r="K643" s="25">
        <f ca="1">IFERROR(__xludf.DUMMYFUNCTION("""COMPUTED_VALUE"""),30)</f>
        <v>30</v>
      </c>
      <c r="L643" s="62"/>
      <c r="M643" s="25" t="str">
        <f ca="1">IFERROR(__xludf.DUMMYFUNCTION("""COMPUTED_VALUE"""),"El tercer ciclo de operación de las unidades móviles inició en octubre del 2022, los buses están en esas ubicaciones. (Se puede cerrar la tarea) ")</f>
        <v xml:space="preserve">El tercer ciclo de operación de las unidades móviles inició en octubre del 2022, los buses están en esas ubicaciones. (Se puede cerrar la tarea) </v>
      </c>
      <c r="N643" s="55">
        <f ca="1">IFERROR(__xludf.DUMMYFUNCTION("""COMPUTED_VALUE"""),44927)</f>
        <v>44927</v>
      </c>
      <c r="O643" s="25" t="str">
        <f t="shared" ca="1" si="0"/>
        <v>Secretaría Distrital de la Mujer</v>
      </c>
      <c r="P643" s="25" t="str">
        <f t="shared" si="2"/>
        <v/>
      </c>
      <c r="Q643" s="25" t="str">
        <f ca="1">IFERROR(__xludf.DUMMYFUNCTION("""COMPUTED_VALUE"""),"Corto plazo")</f>
        <v>Corto plazo</v>
      </c>
      <c r="R643" s="25"/>
      <c r="S643" s="55"/>
      <c r="T643" s="56"/>
      <c r="U643" s="25"/>
      <c r="V643" s="25"/>
      <c r="W643" s="25"/>
      <c r="X643" s="25"/>
      <c r="Y643" s="25"/>
      <c r="Z643" s="25"/>
    </row>
    <row r="644" spans="1:26" ht="52.5" customHeight="1" x14ac:dyDescent="0.25">
      <c r="A644" s="25" t="str">
        <f ca="1">IFERROR(__xludf.DUMMYFUNCTION("""COMPUTED_VALUE"""),"Mujer42")</f>
        <v>Mujer42</v>
      </c>
      <c r="B644" s="25" t="str">
        <f ca="1">IFERROR(__xludf.DUMMYFUNCTION("""COMPUTED_VALUE"""),"Comisión Intersectorial del Cuidado")</f>
        <v>Comisión Intersectorial del Cuidado</v>
      </c>
      <c r="C644" s="55">
        <f ca="1">IFERROR(__xludf.DUMMYFUNCTION("""COMPUTED_VALUE"""),44767)</f>
        <v>44767</v>
      </c>
      <c r="D644" s="25" t="str">
        <f ca="1">IFERROR(__xludf.DUMMYFUNCTION("""COMPUTED_VALUE"""),"Mujer")</f>
        <v>Mujer</v>
      </c>
      <c r="E644" s="25" t="str">
        <f ca="1">IFERROR(__xludf.DUMMYFUNCTION("""COMPUTED_VALUE"""),"Secretaría Distrital de la Mujer")</f>
        <v>Secretaría Distrital de la Mujer</v>
      </c>
      <c r="F644" s="25" t="str">
        <f ca="1">IFERROR(__xludf.DUMMYFUNCTION("""COMPUTED_VALUE"""),"Sistema de información y expediente 360:
 Tener el sistema de información donde se logre identificar: i) mujer o cuidadora asistió, ii)  qué servicios utilizó,  iii) a qué manzana y cuantas veces por cada uno de los 6 servicios (respiro, formación, genera"&amp;"ción de ingresos, transformación cultura, lavandería y arte de cuidarte). Debe incluir unidades móviles y los colegios y jardines que están por fuera de las manzanas y hacen parte de la red de cuidado.")</f>
        <v>Sistema de información y expediente 360:
 Tener el sistema de información donde se logre identificar: i) mujer o cuidadora asistió, ii)  qué servicios utilizó,  iii) a qué manzana y cuantas veces por cada uno de los 6 servicios (respiro, formación, generación de ingresos, transformación cultura, lavandería y arte de cuidarte). Debe incluir unidades móviles y los colegios y jardines que están por fuera de las manzanas y hacen parte de la red de cuidado.</v>
      </c>
      <c r="G644" s="25" t="str">
        <f ca="1">IFERROR(__xludf.DUMMYFUNCTION("""COMPUTED_VALUE"""),"99. Distrito")</f>
        <v>99. Distrito</v>
      </c>
      <c r="H644" s="55">
        <f ca="1">IFERROR(__xludf.DUMMYFUNCTION("""COMPUTED_VALUE"""),44915)</f>
        <v>44915</v>
      </c>
      <c r="I644" s="25"/>
      <c r="J644" s="55"/>
      <c r="K644" s="25">
        <f ca="1">IFERROR(__xludf.DUMMYFUNCTION("""COMPUTED_VALUE"""),148)</f>
        <v>148</v>
      </c>
      <c r="L644" s="62">
        <f ca="1">IFERROR(__xludf.DUMMYFUNCTION("""COMPUTED_VALUE"""),44953)</f>
        <v>44953</v>
      </c>
      <c r="M644" s="25" t="str">
        <f ca="1">IFERROR(__xludf.DUMMYFUNCTION("""COMPUTED_VALUE"""),"El Sistema de Información entró en funcionamiento en diciembre (fue presentado a la alcaldesa el 20 de diciembre en comisión intersectorial SIDICU) con estos temas en consideración. El Sistema de Información será la base para ciudadano 360 y se está const"&amp;"ruyendo de esta forma. Para el 2022, se priorizaron 5 sectores: Integración Social, Educación, Salud, Cultura y Mujer. 
")</f>
        <v xml:space="preserve">El Sistema de Información entró en funcionamiento en diciembre (fue presentado a la alcaldesa el 20 de diciembre en comisión intersectorial SIDICU) con estos temas en consideración. El Sistema de Información será la base para ciudadano 360 y se está construyendo de esta forma. Para el 2022, se priorizaron 5 sectores: Integración Social, Educación, Salud, Cultura y Mujer. 
</v>
      </c>
      <c r="N644" s="55">
        <f ca="1">IFERROR(__xludf.DUMMYFUNCTION("""COMPUTED_VALUE"""),44915)</f>
        <v>44915</v>
      </c>
      <c r="O644" s="25" t="str">
        <f t="shared" ca="1" si="0"/>
        <v>Secretaría Distrital de la Mujer</v>
      </c>
      <c r="P644" s="25" t="str">
        <f t="shared" si="2"/>
        <v/>
      </c>
      <c r="Q644" s="25" t="str">
        <f ca="1">IFERROR(__xludf.DUMMYFUNCTION("""COMPUTED_VALUE"""),"Mediano plazo")</f>
        <v>Mediano plazo</v>
      </c>
      <c r="R644" s="25"/>
      <c r="S644" s="55"/>
      <c r="T644" s="56"/>
      <c r="U644" s="25"/>
      <c r="V644" s="25"/>
      <c r="W644" s="25"/>
      <c r="X644" s="25"/>
      <c r="Y644" s="25"/>
      <c r="Z644" s="25"/>
    </row>
    <row r="645" spans="1:26" ht="52.5" customHeight="1" x14ac:dyDescent="0.25">
      <c r="A645" s="25" t="str">
        <f ca="1">IFERROR(__xludf.DUMMYFUNCTION("""COMPUTED_VALUE"""),"Mujer43")</f>
        <v>Mujer43</v>
      </c>
      <c r="B645" s="25" t="str">
        <f ca="1">IFERROR(__xludf.DUMMYFUNCTION("""COMPUTED_VALUE"""),"Recorrido Usme")</f>
        <v>Recorrido Usme</v>
      </c>
      <c r="C645" s="55">
        <f ca="1">IFERROR(__xludf.DUMMYFUNCTION("""COMPUTED_VALUE"""),44798)</f>
        <v>44798</v>
      </c>
      <c r="D645" s="25" t="str">
        <f ca="1">IFERROR(__xludf.DUMMYFUNCTION("""COMPUTED_VALUE"""),"Mujer")</f>
        <v>Mujer</v>
      </c>
      <c r="E645" s="25" t="str">
        <f ca="1">IFERROR(__xludf.DUMMYFUNCTION("""COMPUTED_VALUE"""),"Secretaría Distrital de la Mujer")</f>
        <v>Secretaría Distrital de la Mujer</v>
      </c>
      <c r="F645" s="25" t="str">
        <f ca="1">IFERROR(__xludf.DUMMYFUNCTION("""COMPUTED_VALUE"""),"Realizar jornadas móviles de las ofertas del sistema de cuidado a los hogares de Usme, con priorización especial a los hogares de personas con discapacidad.")</f>
        <v>Realizar jornadas móviles de las ofertas del sistema de cuidado a los hogares de Usme, con priorización especial a los hogares de personas con discapacidad.</v>
      </c>
      <c r="G645" s="25" t="str">
        <f ca="1">IFERROR(__xludf.DUMMYFUNCTION("""COMPUTED_VALUE"""),"05. Usme")</f>
        <v>05. Usme</v>
      </c>
      <c r="H645" s="55">
        <f ca="1">IFERROR(__xludf.DUMMYFUNCTION("""COMPUTED_VALUE"""),44828)</f>
        <v>44828</v>
      </c>
      <c r="I645" s="25"/>
      <c r="J645" s="55"/>
      <c r="K645" s="25">
        <f ca="1">IFERROR(__xludf.DUMMYFUNCTION("""COMPUTED_VALUE"""),30)</f>
        <v>30</v>
      </c>
      <c r="L645" s="62"/>
      <c r="M645" s="25" t="str">
        <f ca="1">IFERROR(__xludf.DUMMYFUNCTION("""COMPUTED_VALUE"""),"La unidad móvil de cuidado está haciendo su tercer ciclo en la vereda la requilina en Usme y en el cuarto ciclo también estará en Usme rural. Se puede cerrar esta tarea")</f>
        <v>La unidad móvil de cuidado está haciendo su tercer ciclo en la vereda la requilina en Usme y en el cuarto ciclo también estará en Usme rural. Se puede cerrar esta tarea</v>
      </c>
      <c r="N645" s="55">
        <f ca="1">IFERROR(__xludf.DUMMYFUNCTION("""COMPUTED_VALUE"""),44927)</f>
        <v>44927</v>
      </c>
      <c r="O645" s="25" t="str">
        <f t="shared" ca="1" si="0"/>
        <v>Secretaría Distrital de la Mujer</v>
      </c>
      <c r="P645" s="25" t="str">
        <f t="shared" si="2"/>
        <v/>
      </c>
      <c r="Q645" s="25" t="str">
        <f ca="1">IFERROR(__xludf.DUMMYFUNCTION("""COMPUTED_VALUE"""),"Corto plazo")</f>
        <v>Corto plazo</v>
      </c>
      <c r="R645" s="25"/>
      <c r="S645" s="55"/>
      <c r="T645" s="56"/>
      <c r="U645" s="25"/>
      <c r="V645" s="25"/>
      <c r="W645" s="25"/>
      <c r="X645" s="25"/>
      <c r="Y645" s="25"/>
      <c r="Z645" s="25"/>
    </row>
    <row r="646" spans="1:26" ht="52.5" customHeight="1" x14ac:dyDescent="0.25">
      <c r="A646" s="25" t="str">
        <f ca="1">IFERROR(__xludf.DUMMYFUNCTION("""COMPUTED_VALUE"""),"Mujer44")</f>
        <v>Mujer44</v>
      </c>
      <c r="B646" s="25" t="str">
        <f ca="1">IFERROR(__xludf.DUMMYFUNCTION("""COMPUTED_VALUE"""),"Consejo Distrital de Política Social y Consejo de Sabios y Sabias        ")</f>
        <v xml:space="preserve">Consejo Distrital de Política Social y Consejo de Sabios y Sabias        </v>
      </c>
      <c r="C646" s="55">
        <f ca="1">IFERROR(__xludf.DUMMYFUNCTION("""COMPUTED_VALUE"""),44790)</f>
        <v>44790</v>
      </c>
      <c r="D646" s="25" t="str">
        <f ca="1">IFERROR(__xludf.DUMMYFUNCTION("""COMPUTED_VALUE"""),"Mujer")</f>
        <v>Mujer</v>
      </c>
      <c r="E646" s="25" t="str">
        <f ca="1">IFERROR(__xludf.DUMMYFUNCTION("""COMPUTED_VALUE"""),"Secretaría Distrital de la Mujer")</f>
        <v>Secretaría Distrital de la Mujer</v>
      </c>
      <c r="F646" s="25" t="str">
        <f ca="1">IFERROR(__xludf.DUMMYFUNCTION("""COMPUTED_VALUE"""),"Programar con los consejeros de sabios y sabias un recorrido en las manzanas del cuidado para recibir retroalimentación desde su perspectiva. Y programar por localidad que los miembros de todos los 4 consejos consultivos locales (niños y niñas, mujer, sab"&amp;"ios y sabias, discapacidad) vayan a recorrer la manzana de su localidad (de las 10 manzanas) y hagan comentarios sobre funcionamiento.")</f>
        <v>Programar con los consejeros de sabios y sabias un recorrido en las manzanas del cuidado para recibir retroalimentación desde su perspectiva. Y programar por localidad que los miembros de todos los 4 consejos consultivos locales (niños y niñas, mujer, sabios y sabias, discapacidad) vayan a recorrer la manzana de su localidad (de las 10 manzanas) y hagan comentarios sobre funcionamiento.</v>
      </c>
      <c r="G646" s="25" t="str">
        <f ca="1">IFERROR(__xludf.DUMMYFUNCTION("""COMPUTED_VALUE"""),"99. Distrito")</f>
        <v>99. Distrito</v>
      </c>
      <c r="H646" s="55">
        <f ca="1">IFERROR(__xludf.DUMMYFUNCTION("""COMPUTED_VALUE"""),44820)</f>
        <v>44820</v>
      </c>
      <c r="I646" s="25"/>
      <c r="J646" s="55"/>
      <c r="K646" s="25">
        <f ca="1">IFERROR(__xludf.DUMMYFUNCTION("""COMPUTED_VALUE"""),30)</f>
        <v>30</v>
      </c>
      <c r="L646" s="62"/>
      <c r="M646" s="25" t="str">
        <f ca="1">IFERROR(__xludf.DUMMYFUNCTION("""COMPUTED_VALUE"""),"se han realizado recorridos en las Manzanas del Cuidado de Bosa - Porvenir (19 de octubre y 04 de noviembre), Ciudad Bolívar (21 de octubre), San Cristóbal (29 de octubre) y Usaquén (18 de noviembre), a los que se ha invitado a las consejeras y consejeros"&amp;" de Sabias y Sabios. Con el CDD también se ha hecho programación de recorridos.")</f>
        <v>se han realizado recorridos en las Manzanas del Cuidado de Bosa - Porvenir (19 de octubre y 04 de noviembre), Ciudad Bolívar (21 de octubre), San Cristóbal (29 de octubre) y Usaquén (18 de noviembre), a los que se ha invitado a las consejeras y consejeros de Sabias y Sabios. Con el CDD también se ha hecho programación de recorridos.</v>
      </c>
      <c r="N646" s="55">
        <f ca="1">IFERROR(__xludf.DUMMYFUNCTION("""COMPUTED_VALUE"""),44927)</f>
        <v>44927</v>
      </c>
      <c r="O646" s="25" t="str">
        <f t="shared" ca="1" si="0"/>
        <v>Secretaría Distrital de la Mujer</v>
      </c>
      <c r="P646" s="25" t="str">
        <f t="shared" si="2"/>
        <v/>
      </c>
      <c r="Q646" s="25" t="str">
        <f ca="1">IFERROR(__xludf.DUMMYFUNCTION("""COMPUTED_VALUE"""),"Corto plazo")</f>
        <v>Corto plazo</v>
      </c>
      <c r="R646" s="25"/>
      <c r="S646" s="55"/>
      <c r="T646" s="56"/>
      <c r="U646" s="25"/>
      <c r="V646" s="25"/>
      <c r="W646" s="25"/>
      <c r="X646" s="25"/>
      <c r="Y646" s="25"/>
      <c r="Z646" s="25"/>
    </row>
    <row r="647" spans="1:26" ht="52.5" customHeight="1" x14ac:dyDescent="0.25">
      <c r="A647" s="25" t="str">
        <f ca="1">IFERROR(__xludf.DUMMYFUNCTION("""COMPUTED_VALUE"""),"Mujer45")</f>
        <v>Mujer45</v>
      </c>
      <c r="B647" s="25" t="str">
        <f ca="1">IFERROR(__xludf.DUMMYFUNCTION("""COMPUTED_VALUE"""),"Mesa sistema de cuidado presupuesto 2023")</f>
        <v>Mesa sistema de cuidado presupuesto 2023</v>
      </c>
      <c r="C647" s="55">
        <f ca="1">IFERROR(__xludf.DUMMYFUNCTION("""COMPUTED_VALUE"""),44832)</f>
        <v>44832</v>
      </c>
      <c r="D647" s="25" t="str">
        <f ca="1">IFERROR(__xludf.DUMMYFUNCTION("""COMPUTED_VALUE"""),"Mujer")</f>
        <v>Mujer</v>
      </c>
      <c r="E647" s="25" t="str">
        <f ca="1">IFERROR(__xludf.DUMMYFUNCTION("""COMPUTED_VALUE"""),"Secretaría Distrital de la Mujer")</f>
        <v>Secretaría Distrital de la Mujer</v>
      </c>
      <c r="F647" s="25" t="str">
        <f ca="1">IFERROR(__xludf.DUMMYFUNCTION("""COMPUTED_VALUE"""),"Mantener las 3 URIs definidas en el PDD para orientación psicojurídica (No hacer las dos adicionales)")</f>
        <v>Mantener las 3 URIs definidas en el PDD para orientación psicojurídica (No hacer las dos adicionales)</v>
      </c>
      <c r="G647" s="25" t="str">
        <f ca="1">IFERROR(__xludf.DUMMYFUNCTION("""COMPUTED_VALUE"""),"99. Distrito")</f>
        <v>99. Distrito</v>
      </c>
      <c r="H647" s="55">
        <f ca="1">IFERROR(__xludf.DUMMYFUNCTION("""COMPUTED_VALUE"""),44862)</f>
        <v>44862</v>
      </c>
      <c r="I647" s="25"/>
      <c r="J647" s="55"/>
      <c r="K647" s="25">
        <f ca="1">IFERROR(__xludf.DUMMYFUNCTION("""COMPUTED_VALUE"""),30)</f>
        <v>30</v>
      </c>
      <c r="L647" s="62">
        <f ca="1">IFERROR(__xludf.DUMMYFUNCTION("""COMPUTED_VALUE"""),44894)</f>
        <v>44894</v>
      </c>
      <c r="M647" s="25" t="str">
        <f ca="1">IFERROR(__xludf.DUMMYFUNCTION("""COMPUTED_VALUE"""),"Después se encontró la posibilidad de hacer presencia en 5 URIs con cambios al presupuesto por lo que será posible hacer presencia en 5 URIs y la alcaldesa está al tanto. Se puede cerrar esta tarea ")</f>
        <v xml:space="preserve">Después se encontró la posibilidad de hacer presencia en 5 URIs con cambios al presupuesto por lo que será posible hacer presencia en 5 URIs y la alcaldesa está al tanto. Se puede cerrar esta tarea </v>
      </c>
      <c r="N647" s="55">
        <f ca="1">IFERROR(__xludf.DUMMYFUNCTION("""COMPUTED_VALUE"""),44894)</f>
        <v>44894</v>
      </c>
      <c r="O647" s="25" t="str">
        <f t="shared" ca="1" si="0"/>
        <v>Secretaría Distrital de la Mujer</v>
      </c>
      <c r="P647" s="25" t="str">
        <f t="shared" si="2"/>
        <v/>
      </c>
      <c r="Q647" s="25" t="str">
        <f ca="1">IFERROR(__xludf.DUMMYFUNCTION("""COMPUTED_VALUE"""),"Corto plazo")</f>
        <v>Corto plazo</v>
      </c>
      <c r="R647" s="25"/>
      <c r="S647" s="55"/>
      <c r="T647" s="56"/>
      <c r="U647" s="25"/>
      <c r="V647" s="25"/>
      <c r="W647" s="25"/>
      <c r="X647" s="25"/>
      <c r="Y647" s="25"/>
      <c r="Z647" s="25"/>
    </row>
    <row r="648" spans="1:26" ht="52.5" customHeight="1" x14ac:dyDescent="0.25">
      <c r="A648" s="25" t="str">
        <f ca="1">IFERROR(__xludf.DUMMYFUNCTION("""COMPUTED_VALUE"""),"Mujer46")</f>
        <v>Mujer46</v>
      </c>
      <c r="B648" s="25" t="str">
        <f ca="1">IFERROR(__xludf.DUMMYFUNCTION("""COMPUTED_VALUE"""),"Conpes")</f>
        <v>Conpes</v>
      </c>
      <c r="C648" s="55">
        <f ca="1">IFERROR(__xludf.DUMMYFUNCTION("""COMPUTED_VALUE"""),44867)</f>
        <v>44867</v>
      </c>
      <c r="D648" s="25" t="str">
        <f ca="1">IFERROR(__xludf.DUMMYFUNCTION("""COMPUTED_VALUE"""),"Mujer")</f>
        <v>Mujer</v>
      </c>
      <c r="E648" s="25" t="str">
        <f ca="1">IFERROR(__xludf.DUMMYFUNCTION("""COMPUTED_VALUE"""),"Secretaría Distrital de la Mujer")</f>
        <v>Secretaría Distrital de la Mujer</v>
      </c>
      <c r="F648" s="25" t="str">
        <f ca="1">IFERROR(__xludf.DUMMYFUNCTION("""COMPUTED_VALUE"""),"Actualizar el reporte de avance y seguimiento del Plan de Acción de la Política de Actividades Sexuales Pagas.")</f>
        <v>Actualizar el reporte de avance y seguimiento del Plan de Acción de la Política de Actividades Sexuales Pagas.</v>
      </c>
      <c r="G648" s="25" t="str">
        <f ca="1">IFERROR(__xludf.DUMMYFUNCTION("""COMPUTED_VALUE"""),"99. Distrito")</f>
        <v>99. Distrito</v>
      </c>
      <c r="H648" s="55">
        <f ca="1">IFERROR(__xludf.DUMMYFUNCTION("""COMPUTED_VALUE"""),44985)</f>
        <v>44985</v>
      </c>
      <c r="I648" s="25" t="str">
        <f ca="1">IFERROR(__xludf.DUMMYFUNCTION("""COMPUTED_VALUE"""),"Delivery Unit")</f>
        <v>Delivery Unit</v>
      </c>
      <c r="J648" s="55" t="str">
        <f ca="1">IFERROR(__xludf.DUMMYFUNCTION("""COMPUTED_VALUE"""),"Baja")</f>
        <v>Baja</v>
      </c>
      <c r="K648" s="25">
        <f ca="1">IFERROR(__xludf.DUMMYFUNCTION("""COMPUTED_VALUE"""),118)</f>
        <v>118</v>
      </c>
      <c r="L648" s="62">
        <f ca="1">IFERROR(__xludf.DUMMYFUNCTION("""COMPUTED_VALUE"""),45077)</f>
        <v>45077</v>
      </c>
      <c r="M648" s="25" t="str">
        <f ca="1">IFERROR(__xludf.DUMMYFUNCTION("""COMPUTED_VALUE"""),"Se actualizó reporte a la Secretaría de Planeación. Se pasó de una brecha de avance de 1,87% a 1,57%, es decir disminuyo 0,30% la brecha, la cual se presenta por cumplimiento menor al programado en las metas por parte de los sectores desarrollo económico,"&amp;" educación, gobierno, salud e integración social. Esto se presentó en la sesión de Conpes de marzo. ")</f>
        <v xml:space="preserve">Se actualizó reporte a la Secretaría de Planeación. Se pasó de una brecha de avance de 1,87% a 1,57%, es decir disminuyo 0,30% la brecha, la cual se presenta por cumplimiento menor al programado en las metas por parte de los sectores desarrollo económico, educación, gobierno, salud e integración social. Esto se presentó en la sesión de Conpes de marzo. </v>
      </c>
      <c r="N648" s="25"/>
      <c r="O648" s="25" t="str">
        <f t="shared" ca="1" si="0"/>
        <v>Secretaría Distrital de la Mujer</v>
      </c>
      <c r="P648" s="25" t="str">
        <f t="shared" ca="1" si="2"/>
        <v/>
      </c>
      <c r="Q648" s="25" t="str">
        <f ca="1">IFERROR(__xludf.DUMMYFUNCTION("""COMPUTED_VALUE"""),"Mediano plazo")</f>
        <v>Mediano plazo</v>
      </c>
      <c r="R648" s="25"/>
      <c r="S648" s="55"/>
      <c r="T648" s="56"/>
      <c r="U648" s="25"/>
      <c r="V648" s="25"/>
      <c r="W648" s="25"/>
      <c r="X648" s="25"/>
      <c r="Y648" s="25"/>
      <c r="Z648" s="25"/>
    </row>
    <row r="649" spans="1:26" ht="52.5" customHeight="1" x14ac:dyDescent="0.25">
      <c r="A649" s="25" t="str">
        <f ca="1">IFERROR(__xludf.DUMMYFUNCTION("""COMPUTED_VALUE"""),"Mujer47")</f>
        <v>Mujer47</v>
      </c>
      <c r="B649" s="25" t="str">
        <f ca="1">IFERROR(__xludf.DUMMYFUNCTION("""COMPUTED_VALUE"""),"AE – Ciudadela Educativa y del Cuidado")</f>
        <v>AE – Ciudadela Educativa y del Cuidado</v>
      </c>
      <c r="C649" s="55">
        <f ca="1">IFERROR(__xludf.DUMMYFUNCTION("""COMPUTED_VALUE"""),44875)</f>
        <v>44875</v>
      </c>
      <c r="D649" s="25" t="str">
        <f ca="1">IFERROR(__xludf.DUMMYFUNCTION("""COMPUTED_VALUE"""),"Mujer")</f>
        <v>Mujer</v>
      </c>
      <c r="E649" s="25" t="str">
        <f ca="1">IFERROR(__xludf.DUMMYFUNCTION("""COMPUTED_VALUE"""),"Secretaría Distrital de la Mujer")</f>
        <v>Secretaría Distrital de la Mujer</v>
      </c>
      <c r="F649" s="25" t="str">
        <f ca="1">IFERROR(__xludf.DUMMYFUNCTION("""COMPUTED_VALUE"""),"Articularse con la Secretaría Distrital del Hábitat yla Secretaría de Educación con el fin de precisar de manera específica los servicios que serán incluídos en la Ciudadela Educativa y del Cuidado .")</f>
        <v>Articularse con la Secretaría Distrital del Hábitat yla Secretaría de Educación con el fin de precisar de manera específica los servicios que serán incluídos en la Ciudadela Educativa y del Cuidado .</v>
      </c>
      <c r="G649" s="25" t="str">
        <f ca="1">IFERROR(__xludf.DUMMYFUNCTION("""COMPUTED_VALUE"""),"99. Distrito")</f>
        <v>99. Distrito</v>
      </c>
      <c r="H649" s="55">
        <f ca="1">IFERROR(__xludf.DUMMYFUNCTION("""COMPUTED_VALUE"""),44910)</f>
        <v>44910</v>
      </c>
      <c r="I649" s="25"/>
      <c r="J649" s="55"/>
      <c r="K649" s="25">
        <f ca="1">IFERROR(__xludf.DUMMYFUNCTION("""COMPUTED_VALUE"""),35)</f>
        <v>35</v>
      </c>
      <c r="L649" s="62"/>
      <c r="M649" s="25" t="str">
        <f ca="1">IFERROR(__xludf.DUMMYFUNCTION("""COMPUTED_VALUE"""),"esta manzana no se inaugurará en esta administración por lo que decir de manera concreta es imposible. Sin embargo hemos acompañado a la SDH en el diseño arquitectónico para que se contemplen los servicio mínimos del sistema en la planeación de la ciudade"&amp;"la: formación respiro, generación de ingresos, cuidado y cambio cultural.")</f>
        <v>esta manzana no se inaugurará en esta administración por lo que decir de manera concreta es imposible. Sin embargo hemos acompañado a la SDH en el diseño arquitectónico para que se contemplen los servicio mínimos del sistema en la planeación de la ciudadela: formación respiro, generación de ingresos, cuidado y cambio cultural.</v>
      </c>
      <c r="N649" s="55">
        <f ca="1">IFERROR(__xludf.DUMMYFUNCTION("""COMPUTED_VALUE"""),44607)</f>
        <v>44607</v>
      </c>
      <c r="O649" s="25" t="str">
        <f t="shared" ca="1" si="0"/>
        <v>Secretaría Distrital de la Mujer</v>
      </c>
      <c r="P649" s="25" t="str">
        <f t="shared" si="2"/>
        <v/>
      </c>
      <c r="Q649" s="25" t="str">
        <f ca="1">IFERROR(__xludf.DUMMYFUNCTION("""COMPUTED_VALUE"""),"Corto plazo")</f>
        <v>Corto plazo</v>
      </c>
      <c r="R649" s="25"/>
      <c r="S649" s="55"/>
      <c r="T649" s="56"/>
      <c r="U649" s="25"/>
      <c r="V649" s="25"/>
      <c r="W649" s="25"/>
      <c r="X649" s="25"/>
      <c r="Y649" s="25"/>
      <c r="Z649" s="25"/>
    </row>
    <row r="650" spans="1:26" ht="52.5" customHeight="1" x14ac:dyDescent="0.25">
      <c r="A650" s="25" t="str">
        <f ca="1">IFERROR(__xludf.DUMMYFUNCTION("""COMPUTED_VALUE"""),"Mujer48")</f>
        <v>Mujer48</v>
      </c>
      <c r="B650" s="25" t="str">
        <f ca="1">IFERROR(__xludf.DUMMYFUNCTION("""COMPUTED_VALUE"""),"Recorrido Usme ")</f>
        <v xml:space="preserve">Recorrido Usme </v>
      </c>
      <c r="C650" s="55">
        <f ca="1">IFERROR(__xludf.DUMMYFUNCTION("""COMPUTED_VALUE"""),44798)</f>
        <v>44798</v>
      </c>
      <c r="D650" s="25" t="str">
        <f ca="1">IFERROR(__xludf.DUMMYFUNCTION("""COMPUTED_VALUE"""),"Mujer")</f>
        <v>Mujer</v>
      </c>
      <c r="E650" s="25" t="str">
        <f ca="1">IFERROR(__xludf.DUMMYFUNCTION("""COMPUTED_VALUE"""),"Secretaría Distrital de la Mujer")</f>
        <v>Secretaría Distrital de la Mujer</v>
      </c>
      <c r="F650" s="25" t="str">
        <f ca="1">IFERROR(__xludf.DUMMYFUNCTION("""COMPUTED_VALUE"""),"Presionar el tema del predio para la Casa de la Igualdad. ")</f>
        <v xml:space="preserve">Presionar el tema del predio para la Casa de la Igualdad. </v>
      </c>
      <c r="G650" s="55" t="str">
        <f ca="1">IFERROR(__xludf.DUMMYFUNCTION("""COMPUTED_VALUE"""),"05. Usme")</f>
        <v>05. Usme</v>
      </c>
      <c r="H650" s="55">
        <f ca="1">IFERROR(__xludf.DUMMYFUNCTION("""COMPUTED_VALUE"""),44828)</f>
        <v>44828</v>
      </c>
      <c r="I650" s="25"/>
      <c r="J650" s="55"/>
      <c r="K650" s="25">
        <f ca="1">IFERROR(__xludf.DUMMYFUNCTION("""COMPUTED_VALUE"""),30)</f>
        <v>30</v>
      </c>
      <c r="L650" s="62">
        <f ca="1">IFERROR(__xludf.DUMMYFUNCTION("""COMPUTED_VALUE"""),44895)</f>
        <v>44895</v>
      </c>
      <c r="M650" s="25" t="str">
        <f ca="1">IFERROR(__xludf.DUMMYFUNCTION("""COMPUTED_VALUE"""),"La Casa de Igualdad de oportunidades de Usme abrió con nueva sede el 10 de noviembre. Se puede cerrar ")</f>
        <v xml:space="preserve">La Casa de Igualdad de oportunidades de Usme abrió con nueva sede el 10 de noviembre. Se puede cerrar </v>
      </c>
      <c r="N650" s="55">
        <f ca="1">IFERROR(__xludf.DUMMYFUNCTION("""COMPUTED_VALUE"""),44895)</f>
        <v>44895</v>
      </c>
      <c r="O650" s="25" t="str">
        <f t="shared" ca="1" si="0"/>
        <v>Secretaría Distrital de la Mujer</v>
      </c>
      <c r="P650" s="25" t="str">
        <f t="shared" si="2"/>
        <v/>
      </c>
      <c r="Q650" s="25" t="str">
        <f ca="1">IFERROR(__xludf.DUMMYFUNCTION("""COMPUTED_VALUE"""),"Corto plazo")</f>
        <v>Corto plazo</v>
      </c>
      <c r="R650" s="25"/>
      <c r="S650" s="55"/>
      <c r="T650" s="56"/>
      <c r="U650" s="25"/>
      <c r="V650" s="25"/>
      <c r="W650" s="25"/>
      <c r="X650" s="25"/>
      <c r="Y650" s="25"/>
      <c r="Z650" s="25"/>
    </row>
    <row r="651" spans="1:26" ht="52.5" customHeight="1" x14ac:dyDescent="0.25">
      <c r="A651" s="25" t="str">
        <f ca="1">IFERROR(__xludf.DUMMYFUNCTION("""COMPUTED_VALUE"""),"Mujer49")</f>
        <v>Mujer49</v>
      </c>
      <c r="B651" s="25" t="str">
        <f ca="1">IFERROR(__xludf.DUMMYFUNCTION("""COMPUTED_VALUE"""),"Presidente SAE - Articulación Bogotá")</f>
        <v>Presidente SAE - Articulación Bogotá</v>
      </c>
      <c r="C651" s="55">
        <f ca="1">IFERROR(__xludf.DUMMYFUNCTION("""COMPUTED_VALUE"""),44950)</f>
        <v>44950</v>
      </c>
      <c r="D651" s="25" t="str">
        <f ca="1">IFERROR(__xludf.DUMMYFUNCTION("""COMPUTED_VALUE"""),"Mujer")</f>
        <v>Mujer</v>
      </c>
      <c r="E651" s="25" t="str">
        <f ca="1">IFERROR(__xludf.DUMMYFUNCTION("""COMPUTED_VALUE"""),"Secretaría Distrital de la Mujer")</f>
        <v>Secretaría Distrital de la Mujer</v>
      </c>
      <c r="F651" s="25" t="str">
        <f ca="1">IFERROR(__xludf.DUMMYFUNCTION("""COMPUTED_VALUE"""),"Revisar predios de la SAE para usar en manzanas del cuidado.")</f>
        <v>Revisar predios de la SAE para usar en manzanas del cuidado.</v>
      </c>
      <c r="G651" s="25" t="str">
        <f ca="1">IFERROR(__xludf.DUMMYFUNCTION("""COMPUTED_VALUE"""),"99. Distrito")</f>
        <v>99. Distrito</v>
      </c>
      <c r="H651" s="55">
        <f ca="1">IFERROR(__xludf.DUMMYFUNCTION("""COMPUTED_VALUE"""),44986)</f>
        <v>44986</v>
      </c>
      <c r="I651" s="25" t="str">
        <f ca="1">IFERROR(__xludf.DUMMYFUNCTION("""COMPUTED_VALUE"""),"Delivery Unit")</f>
        <v>Delivery Unit</v>
      </c>
      <c r="J651" s="55" t="str">
        <f ca="1">IFERROR(__xludf.DUMMYFUNCTION("""COMPUTED_VALUE"""),"Alta")</f>
        <v>Alta</v>
      </c>
      <c r="K651" s="25">
        <f ca="1">IFERROR(__xludf.DUMMYFUNCTION("""COMPUTED_VALUE"""),36)</f>
        <v>36</v>
      </c>
      <c r="L651" s="62">
        <f ca="1">IFERROR(__xludf.DUMMYFUNCTION("""COMPUTED_VALUE"""),45072)</f>
        <v>45072</v>
      </c>
      <c r="M651" s="25" t="str">
        <f ca="1">IFERROR(__xludf.DUMMYFUNCTION("""COMPUTED_VALUE"""),"Ya se ubicó un predio de la Secretaría de Gobierno en el que se hará la manzana de cuidado de Teusaquillo, ya no es necesario identificar predios de la SAE ya que con este predio se podrá hacer la manzana y con esto se garantizan las 20 acordadas. Se inau"&amp;"guró manzana de cuidado de Teusaquillo el 23 de mayo del 2023. ")</f>
        <v xml:space="preserve">Ya se ubicó un predio de la Secretaría de Gobierno en el que se hará la manzana de cuidado de Teusaquillo, ya no es necesario identificar predios de la SAE ya que con este predio se podrá hacer la manzana y con esto se garantizan las 20 acordadas. Se inauguró manzana de cuidado de Teusaquillo el 23 de mayo del 2023. </v>
      </c>
      <c r="N651" s="55">
        <f ca="1">IFERROR(__xludf.DUMMYFUNCTION("""COMPUTED_VALUE"""),45077)</f>
        <v>45077</v>
      </c>
      <c r="O651" s="25" t="str">
        <f t="shared" ca="1" si="0"/>
        <v>Secretaría Distrital de la Mujer</v>
      </c>
      <c r="P651" s="25" t="str">
        <f t="shared" ca="1" si="2"/>
        <v/>
      </c>
      <c r="Q651" s="25" t="str">
        <f ca="1">IFERROR(__xludf.DUMMYFUNCTION("""COMPUTED_VALUE"""),"Corto plazo")</f>
        <v>Corto plazo</v>
      </c>
      <c r="R651" s="25"/>
      <c r="S651" s="55"/>
      <c r="T651" s="56"/>
      <c r="U651" s="25"/>
      <c r="V651" s="25"/>
      <c r="W651" s="25"/>
      <c r="X651" s="25"/>
      <c r="Y651" s="25"/>
      <c r="Z651" s="25"/>
    </row>
    <row r="652" spans="1:26" ht="52.5" customHeight="1" x14ac:dyDescent="0.25">
      <c r="A652" s="25" t="str">
        <f ca="1">IFERROR(__xludf.DUMMYFUNCTION("""COMPUTED_VALUE"""),"Mujer50")</f>
        <v>Mujer50</v>
      </c>
      <c r="B652" s="25"/>
      <c r="C652" s="55"/>
      <c r="D652" s="25" t="str">
        <f ca="1">IFERROR(__xludf.DUMMYFUNCTION("""COMPUTED_VALUE"""),"Mujer")</f>
        <v>Mujer</v>
      </c>
      <c r="E652" s="25" t="str">
        <f ca="1">IFERROR(__xludf.DUMMYFUNCTION("""COMPUTED_VALUE"""),"Secretaría Distrital de la Mujer")</f>
        <v>Secretaría Distrital de la Mujer</v>
      </c>
      <c r="F652" s="25" t="str">
        <f ca="1">IFERROR(__xludf.DUMMYFUNCTION("""COMPUTED_VALUE"""),"Eliminada")</f>
        <v>Eliminada</v>
      </c>
      <c r="G652" s="25"/>
      <c r="H652" s="25"/>
      <c r="I652" s="25"/>
      <c r="J652" s="55"/>
      <c r="K652" s="25" t="str">
        <f ca="1">IFERROR(__xludf.DUMMYFUNCTION("""COMPUTED_VALUE"""),"Definir fecha")</f>
        <v>Definir fecha</v>
      </c>
      <c r="L652" s="62"/>
      <c r="M652" s="25"/>
      <c r="N652" s="25"/>
      <c r="O652" s="25" t="str">
        <f t="shared" ca="1" si="0"/>
        <v>Secretaría Distrital de la Mujer</v>
      </c>
      <c r="P652" s="25" t="str">
        <f t="shared" si="2"/>
        <v/>
      </c>
      <c r="Q652" s="25" t="str">
        <f ca="1">IFERROR(__xludf.DUMMYFUNCTION("""COMPUTED_VALUE"""),"Sin defenir")</f>
        <v>Sin defenir</v>
      </c>
      <c r="R652" s="25"/>
      <c r="S652" s="55"/>
      <c r="T652" s="56"/>
      <c r="U652" s="25"/>
      <c r="V652" s="25"/>
      <c r="W652" s="25"/>
      <c r="X652" s="25"/>
      <c r="Y652" s="25"/>
      <c r="Z652" s="25"/>
    </row>
    <row r="653" spans="1:26" ht="52.5" customHeight="1" x14ac:dyDescent="0.25">
      <c r="A653" s="25" t="str">
        <f ca="1">IFERROR(__xludf.DUMMYFUNCTION("""COMPUTED_VALUE"""),"Mujer51")</f>
        <v>Mujer51</v>
      </c>
      <c r="B653" s="25" t="str">
        <f ca="1">IFERROR(__xludf.DUMMYFUNCTION("""COMPUTED_VALUE"""),"Recorrido Antonio Nariño")</f>
        <v>Recorrido Antonio Nariño</v>
      </c>
      <c r="C653" s="55">
        <f ca="1">IFERROR(__xludf.DUMMYFUNCTION("""COMPUTED_VALUE"""),44999)</f>
        <v>44999</v>
      </c>
      <c r="D653" s="25" t="str">
        <f ca="1">IFERROR(__xludf.DUMMYFUNCTION("""COMPUTED_VALUE"""),"Mujer")</f>
        <v>Mujer</v>
      </c>
      <c r="E653" s="25" t="str">
        <f ca="1">IFERROR(__xludf.DUMMYFUNCTION("""COMPUTED_VALUE"""),"Secretaría Distrital de la Mujer")</f>
        <v>Secretaría Distrital de la Mujer</v>
      </c>
      <c r="F653" s="25" t="str">
        <f ca="1">IFERROR(__xludf.DUMMYFUNCTION("""COMPUTED_VALUE"""),"Hacer con el COLMYG de la localidad una tela tipo mural alusiva a destacar el rol de la mujer en Bogotá.")</f>
        <v>Hacer con el COLMYG de la localidad una tela tipo mural alusiva a destacar el rol de la mujer en Bogotá.</v>
      </c>
      <c r="G653" s="25" t="str">
        <f ca="1">IFERROR(__xludf.DUMMYFUNCTION("""COMPUTED_VALUE"""),"15. Antonio Nariño")</f>
        <v>15. Antonio Nariño</v>
      </c>
      <c r="H653" s="55">
        <f ca="1">IFERROR(__xludf.DUMMYFUNCTION("""COMPUTED_VALUE"""),45015)</f>
        <v>45015</v>
      </c>
      <c r="I653" s="25" t="str">
        <f ca="1">IFERROR(__xludf.DUMMYFUNCTION("""COMPUTED_VALUE"""),"Secretaría Privada")</f>
        <v>Secretaría Privada</v>
      </c>
      <c r="J653" s="55" t="str">
        <f ca="1">IFERROR(__xludf.DUMMYFUNCTION("""COMPUTED_VALUE"""),"Baja")</f>
        <v>Baja</v>
      </c>
      <c r="K653" s="25">
        <f ca="1">IFERROR(__xludf.DUMMYFUNCTION("""COMPUTED_VALUE"""),16)</f>
        <v>16</v>
      </c>
      <c r="L653" s="62">
        <f ca="1">IFERROR(__xludf.DUMMYFUNCTION("""COMPUTED_VALUE"""),45077)</f>
        <v>45077</v>
      </c>
      <c r="M653" s="25" t="str">
        <f ca="1">IFERROR(__xludf.DUMMYFUNCTION("""COMPUTED_VALUE"""),"El lunes 29 de mayo se llevó a cabo sesión de semillero con el COLMYG de la localidad en donde se discutió lo que las mujeres quieren plasmar en el mural. En dicha reunión se hizo lluvia de ideas con las mujeres del semillero para ir construyendo el nuevo"&amp;" mural con esas ideas, ellas sugirieron hacer más sesiones de construcción colectiva con más mujeres, no solo las del COLMYG. 
")</f>
        <v xml:space="preserve">El lunes 29 de mayo se llevó a cabo sesión de semillero con el COLMYG de la localidad en donde se discutió lo que las mujeres quieren plasmar en el mural. En dicha reunión se hizo lluvia de ideas con las mujeres del semillero para ir construyendo el nuevo mural con esas ideas, ellas sugirieron hacer más sesiones de construcción colectiva con más mujeres, no solo las del COLMYG. 
</v>
      </c>
      <c r="N653" s="25"/>
      <c r="O653" s="25" t="str">
        <f t="shared" ca="1" si="0"/>
        <v>Secretaría Distrital de la Mujer</v>
      </c>
      <c r="P653" s="25" t="str">
        <f t="shared" ca="1" si="2"/>
        <v/>
      </c>
      <c r="Q653" s="25" t="str">
        <f ca="1">IFERROR(__xludf.DUMMYFUNCTION("""COMPUTED_VALUE"""),"Corto plazo")</f>
        <v>Corto plazo</v>
      </c>
      <c r="R653" s="25"/>
      <c r="S653" s="55"/>
      <c r="T653" s="56"/>
      <c r="U653" s="25"/>
      <c r="V653" s="25"/>
      <c r="W653" s="25"/>
      <c r="X653" s="25"/>
      <c r="Y653" s="25"/>
      <c r="Z653" s="25"/>
    </row>
    <row r="654" spans="1:26" ht="52.5" customHeight="1" x14ac:dyDescent="0.25">
      <c r="A654" s="25" t="str">
        <f ca="1">IFERROR(__xludf.DUMMYFUNCTION("""COMPUTED_VALUE"""),"Mujer52")</f>
        <v>Mujer52</v>
      </c>
      <c r="B654" s="25" t="str">
        <f ca="1">IFERROR(__xludf.DUMMYFUNCTION("""COMPUTED_VALUE"""),"Recorrido Antonio Nariño")</f>
        <v>Recorrido Antonio Nariño</v>
      </c>
      <c r="C654" s="55">
        <f ca="1">IFERROR(__xludf.DUMMYFUNCTION("""COMPUTED_VALUE"""),44999)</f>
        <v>44999</v>
      </c>
      <c r="D654" s="25" t="str">
        <f ca="1">IFERROR(__xludf.DUMMYFUNCTION("""COMPUTED_VALUE"""),"Mujer")</f>
        <v>Mujer</v>
      </c>
      <c r="E654" s="25" t="str">
        <f ca="1">IFERROR(__xludf.DUMMYFUNCTION("""COMPUTED_VALUE"""),"Secretaría Distrital de la Mujer")</f>
        <v>Secretaría Distrital de la Mujer</v>
      </c>
      <c r="F654" s="25" t="str">
        <f ca="1">IFERROR(__xludf.DUMMYFUNCTION("""COMPUTED_VALUE"""),"Disponer vitrina rotativa de productos hechos por las mujeres, en las manzanas del cuidado,.")</f>
        <v>Disponer vitrina rotativa de productos hechos por las mujeres, en las manzanas del cuidado,.</v>
      </c>
      <c r="G654" s="25" t="str">
        <f ca="1">IFERROR(__xludf.DUMMYFUNCTION("""COMPUTED_VALUE"""),"99. Distrito")</f>
        <v>99. Distrito</v>
      </c>
      <c r="H654" s="55">
        <f ca="1">IFERROR(__xludf.DUMMYFUNCTION("""COMPUTED_VALUE"""),45046)</f>
        <v>45046</v>
      </c>
      <c r="I654" s="25" t="str">
        <f ca="1">IFERROR(__xludf.DUMMYFUNCTION("""COMPUTED_VALUE"""),"Secretaría Privada")</f>
        <v>Secretaría Privada</v>
      </c>
      <c r="J654" s="55" t="str">
        <f ca="1">IFERROR(__xludf.DUMMYFUNCTION("""COMPUTED_VALUE"""),"Media")</f>
        <v>Media</v>
      </c>
      <c r="K654" s="25">
        <f ca="1">IFERROR(__xludf.DUMMYFUNCTION("""COMPUTED_VALUE"""),47)</f>
        <v>47</v>
      </c>
      <c r="L654" s="62">
        <f ca="1">IFERROR(__xludf.DUMMYFUNCTION("""COMPUTED_VALUE"""),45077)</f>
        <v>45077</v>
      </c>
      <c r="M654" s="25" t="str">
        <f ca="1">IFERROR(__xludf.DUMMYFUNCTION("""COMPUTED_VALUE"""),"La tarea que dejó la alcaldesa fue hacer una feria de Hecho en Bogotá con la Secretaría de Desarrollo Económico, en donde se mostraran los productos de las mujeres de las CIOM. Esta feria ya se llevó a cabo, las mujeres ya pasaron por el proceso de curadu"&amp;"ría de SDDE y se llevó a cabo el 6 y 7 de mayo en la calle 85 (Plazoleta de Carulla) , como lo pidió la alcaldesa para que coincidiera con el día de la madre ")</f>
        <v xml:space="preserve">La tarea que dejó la alcaldesa fue hacer una feria de Hecho en Bogotá con la Secretaría de Desarrollo Económico, en donde se mostraran los productos de las mujeres de las CIOM. Esta feria ya se llevó a cabo, las mujeres ya pasaron por el proceso de curaduría de SDDE y se llevó a cabo el 6 y 7 de mayo en la calle 85 (Plazoleta de Carulla) , como lo pidió la alcaldesa para que coincidiera con el día de la madre </v>
      </c>
      <c r="N654" s="25"/>
      <c r="O654" s="25" t="str">
        <f t="shared" ca="1" si="0"/>
        <v>Secretaría Distrital de la Mujer</v>
      </c>
      <c r="P654" s="25" t="str">
        <f t="shared" ca="1" si="2"/>
        <v/>
      </c>
      <c r="Q654" s="25" t="str">
        <f ca="1">IFERROR(__xludf.DUMMYFUNCTION("""COMPUTED_VALUE"""),"Corto plazo")</f>
        <v>Corto plazo</v>
      </c>
      <c r="R654" s="25"/>
      <c r="S654" s="55"/>
      <c r="T654" s="56"/>
      <c r="U654" s="25"/>
      <c r="V654" s="25"/>
      <c r="W654" s="25"/>
      <c r="X654" s="25"/>
      <c r="Y654" s="25"/>
      <c r="Z654" s="25"/>
    </row>
    <row r="655" spans="1:26" ht="52.5" customHeight="1" x14ac:dyDescent="0.25">
      <c r="A655" s="25" t="str">
        <f ca="1">IFERROR(__xludf.DUMMYFUNCTION("""COMPUTED_VALUE"""),"Mujer53")</f>
        <v>Mujer53</v>
      </c>
      <c r="B655" s="25"/>
      <c r="C655" s="55"/>
      <c r="D655" s="25" t="str">
        <f ca="1">IFERROR(__xludf.DUMMYFUNCTION("""COMPUTED_VALUE"""),"Mujer")</f>
        <v>Mujer</v>
      </c>
      <c r="E655" s="25" t="str">
        <f ca="1">IFERROR(__xludf.DUMMYFUNCTION("""COMPUTED_VALUE"""),"Secretaría Distrital de la Mujer")</f>
        <v>Secretaría Distrital de la Mujer</v>
      </c>
      <c r="F655" s="25" t="str">
        <f ca="1">IFERROR(__xludf.DUMMYFUNCTION("""COMPUTED_VALUE"""),"Eliminada")</f>
        <v>Eliminada</v>
      </c>
      <c r="G655" s="25"/>
      <c r="H655" s="25"/>
      <c r="I655" s="25"/>
      <c r="J655" s="55"/>
      <c r="K655" s="25" t="str">
        <f ca="1">IFERROR(__xludf.DUMMYFUNCTION("""COMPUTED_VALUE"""),"Definir fecha")</f>
        <v>Definir fecha</v>
      </c>
      <c r="L655" s="62"/>
      <c r="M655" s="25"/>
      <c r="N655" s="25"/>
      <c r="O655" s="25" t="str">
        <f t="shared" ca="1" si="0"/>
        <v>Secretaría Distrital de la Mujer</v>
      </c>
      <c r="P655" s="25" t="str">
        <f t="shared" si="2"/>
        <v/>
      </c>
      <c r="Q655" s="25" t="str">
        <f ca="1">IFERROR(__xludf.DUMMYFUNCTION("""COMPUTED_VALUE"""),"Sin defenir")</f>
        <v>Sin defenir</v>
      </c>
      <c r="R655" s="25"/>
      <c r="S655" s="55"/>
      <c r="T655" s="56"/>
      <c r="U655" s="25"/>
      <c r="V655" s="25"/>
      <c r="W655" s="25"/>
      <c r="X655" s="25"/>
      <c r="Y655" s="25"/>
      <c r="Z655" s="25"/>
    </row>
    <row r="656" spans="1:26" ht="52.5" customHeight="1" x14ac:dyDescent="0.25">
      <c r="A656" s="25" t="str">
        <f ca="1">IFERROR(__xludf.DUMMYFUNCTION("""COMPUTED_VALUE"""),"Mujer54")</f>
        <v>Mujer54</v>
      </c>
      <c r="B656" s="25" t="str">
        <f ca="1">IFERROR(__xludf.DUMMYFUNCTION("""COMPUTED_VALUE"""),"Consejo Local de Gobierno de Kennedy")</f>
        <v>Consejo Local de Gobierno de Kennedy</v>
      </c>
      <c r="C656" s="55">
        <f ca="1">IFERROR(__xludf.DUMMYFUNCTION("""COMPUTED_VALUE"""),44581)</f>
        <v>44581</v>
      </c>
      <c r="D656" s="25" t="str">
        <f ca="1">IFERROR(__xludf.DUMMYFUNCTION("""COMPUTED_VALUE"""),"Mujer")</f>
        <v>Mujer</v>
      </c>
      <c r="E656" s="25" t="str">
        <f ca="1">IFERROR(__xludf.DUMMYFUNCTION("""COMPUTED_VALUE"""),"Secretaría Distrital de la Mujer")</f>
        <v>Secretaría Distrital de la Mujer</v>
      </c>
      <c r="F656" s="25" t="str">
        <f ca="1">IFERROR(__xludf.DUMMYFUNCTION("""COMPUTED_VALUE"""),"Mejorar el entorno de la manzana del cuidado de Bella Vista y la atención de personas con discapacidad")</f>
        <v>Mejorar el entorno de la manzana del cuidado de Bella Vista y la atención de personas con discapacidad</v>
      </c>
      <c r="G656" s="25" t="str">
        <f ca="1">IFERROR(__xludf.DUMMYFUNCTION("""COMPUTED_VALUE"""),"08. Kennedy")</f>
        <v>08. Kennedy</v>
      </c>
      <c r="H656" s="55">
        <f ca="1">IFERROR(__xludf.DUMMYFUNCTION("""COMPUTED_VALUE"""),44670)</f>
        <v>44670</v>
      </c>
      <c r="I656" s="25"/>
      <c r="J656" s="55"/>
      <c r="K656" s="61">
        <f ca="1">IFERROR(__xludf.DUMMYFUNCTION("""COMPUTED_VALUE"""),44670)</f>
        <v>44670</v>
      </c>
      <c r="L656" s="62">
        <f ca="1">IFERROR(__xludf.DUMMYFUNCTION("""COMPUTED_VALUE"""),45049)</f>
        <v>45049</v>
      </c>
      <c r="M656" s="25" t="str">
        <f ca="1">IFERROR(__xludf.DUMMYFUNCTION("""COMPUTED_VALUE"""),"La SDMujer le informó a la ciudadana las acciones que se han desarrollado en torno a: 1. Servicios para cuidadoras de personas en condición de discapacidad y sus familias, 2. Acompañamiento a proyectos y espacios de las personas con discapacidad y sus cui"&amp;"dadores, y 3. Difusión de servicios que no sea únicamente a través de medios tecnológicos.
Esta manzana ha sido priorizada dentro del plan de la secretaría de Habitat para hacer intervenciones de acupuntura urbana en el entorno de la manzana. Ya se adelan"&amp;"taron estudios y diseños con el apoyo de Camacol y el 30 de mayo iniciarán las intervenciones que constarán de pintura, mobiliario y señalética. Ya se tiene agendada reunión con la alcaldesa para el 17 de mayo en donde se presentarán todas las intervencio"&amp;"nes programadas a entornos de manzanas del cuidado.")</f>
        <v>La SDMujer le informó a la ciudadana las acciones que se han desarrollado en torno a: 1. Servicios para cuidadoras de personas en condición de discapacidad y sus familias, 2. Acompañamiento a proyectos y espacios de las personas con discapacidad y sus cuidadores, y 3. Difusión de servicios que no sea únicamente a través de medios tecnológicos.
Esta manzana ha sido priorizada dentro del plan de la secretaría de Habitat para hacer intervenciones de acupuntura urbana en el entorno de la manzana. Ya se adelantaron estudios y diseños con el apoyo de Camacol y el 30 de mayo iniciarán las intervenciones que constarán de pintura, mobiliario y señalética. Ya se tiene agendada reunión con la alcaldesa para el 17 de mayo en donde se presentarán todas las intervenciones programadas a entornos de manzanas del cuidado.</v>
      </c>
      <c r="N656" s="55">
        <f ca="1">IFERROR(__xludf.DUMMYFUNCTION("""COMPUTED_VALUE"""),44926)</f>
        <v>44926</v>
      </c>
      <c r="O656" s="25" t="str">
        <f t="shared" ca="1" si="0"/>
        <v>Secretaría Distrital de la Mujer</v>
      </c>
      <c r="P656" s="25" t="str">
        <f t="shared" si="2"/>
        <v/>
      </c>
      <c r="Q656" s="25" t="str">
        <f ca="1">IFERROR(__xludf.DUMMYFUNCTION("""COMPUTED_VALUE"""),"Largo plazo")</f>
        <v>Largo plazo</v>
      </c>
      <c r="R656" s="25"/>
      <c r="S656" s="55"/>
      <c r="T656" s="56"/>
      <c r="U656" s="25"/>
      <c r="V656" s="25"/>
      <c r="W656" s="25"/>
      <c r="X656" s="25"/>
      <c r="Y656" s="25"/>
      <c r="Z656" s="25"/>
    </row>
    <row r="657" spans="1:26" ht="52.5" customHeight="1" x14ac:dyDescent="0.25">
      <c r="A657" s="25" t="str">
        <f ca="1">IFERROR(__xludf.DUMMYFUNCTION("""COMPUTED_VALUE"""),"Mujer55")</f>
        <v>Mujer55</v>
      </c>
      <c r="B657" s="25" t="str">
        <f ca="1">IFERROR(__xludf.DUMMYFUNCTION("""COMPUTED_VALUE"""),"Consejo Local de Gobierno de Engativá")</f>
        <v>Consejo Local de Gobierno de Engativá</v>
      </c>
      <c r="C657" s="55">
        <f ca="1">IFERROR(__xludf.DUMMYFUNCTION("""COMPUTED_VALUE"""),44588)</f>
        <v>44588</v>
      </c>
      <c r="D657" s="25" t="str">
        <f ca="1">IFERROR(__xludf.DUMMYFUNCTION("""COMPUTED_VALUE"""),"Mujer")</f>
        <v>Mujer</v>
      </c>
      <c r="E657" s="25" t="str">
        <f ca="1">IFERROR(__xludf.DUMMYFUNCTION("""COMPUTED_VALUE"""),"Secretaría Distrital de la Mujer")</f>
        <v>Secretaría Distrital de la Mujer</v>
      </c>
      <c r="F657" s="25" t="str">
        <f ca="1">IFERROR(__xludf.DUMMYFUNCTION("""COMPUTED_VALUE"""),"Poner en funcionamiento la manzana del cuidado para las mujeres en Engativá pueblo")</f>
        <v>Poner en funcionamiento la manzana del cuidado para las mujeres en Engativá pueblo</v>
      </c>
      <c r="G657" s="25" t="str">
        <f ca="1">IFERROR(__xludf.DUMMYFUNCTION("""COMPUTED_VALUE"""),"10. Engativá")</f>
        <v>10. Engativá</v>
      </c>
      <c r="H657" s="55">
        <f ca="1">IFERROR(__xludf.DUMMYFUNCTION("""COMPUTED_VALUE"""),44650)</f>
        <v>44650</v>
      </c>
      <c r="I657" s="25"/>
      <c r="J657" s="55"/>
      <c r="K657" s="61">
        <f ca="1">IFERROR(__xludf.DUMMYFUNCTION("""COMPUTED_VALUE"""),44650)</f>
        <v>44650</v>
      </c>
      <c r="L657" s="62">
        <f ca="1">IFERROR(__xludf.DUMMYFUNCTION("""COMPUTED_VALUE"""),44650)</f>
        <v>44650</v>
      </c>
      <c r="M657" s="25" t="str">
        <f ca="1">IFERROR(__xludf.DUMMYFUNCTION("""COMPUTED_VALUE"""),"La alcaldesa Claudia López y la secretaria de la Mujer pusieron en marcha el 30/03/22 la novena Manzana del Cuidado en la ciudad, la cual beneficiará a 5.325 cuidadoras, 4.070 niñas y niños, 3.120 personas mayores y 3.871 personas con discapacidad que viv"&amp;"en en la zona de cobertura peatonal.")</f>
        <v>La alcaldesa Claudia López y la secretaria de la Mujer pusieron en marcha el 30/03/22 la novena Manzana del Cuidado en la ciudad, la cual beneficiará a 5.325 cuidadoras, 4.070 niñas y niños, 3.120 personas mayores y 3.871 personas con discapacidad que viven en la zona de cobertura peatonal.</v>
      </c>
      <c r="N657" s="55">
        <f ca="1">IFERROR(__xludf.DUMMYFUNCTION("""COMPUTED_VALUE"""),44926)</f>
        <v>44926</v>
      </c>
      <c r="O657" s="25" t="str">
        <f t="shared" ca="1" si="0"/>
        <v>Secretaría Distrital de la Mujer</v>
      </c>
      <c r="P657" s="25" t="str">
        <f t="shared" si="2"/>
        <v/>
      </c>
      <c r="Q657" s="25" t="str">
        <f ca="1">IFERROR(__xludf.DUMMYFUNCTION("""COMPUTED_VALUE"""),"Largo plazo")</f>
        <v>Largo plazo</v>
      </c>
      <c r="R657" s="25"/>
      <c r="S657" s="55"/>
      <c r="T657" s="56"/>
      <c r="U657" s="25"/>
      <c r="V657" s="25"/>
      <c r="W657" s="25"/>
      <c r="X657" s="25"/>
      <c r="Y657" s="25"/>
      <c r="Z657" s="25"/>
    </row>
    <row r="658" spans="1:26" ht="52.5" customHeight="1" x14ac:dyDescent="0.25">
      <c r="A658" s="25" t="str">
        <f ca="1">IFERROR(__xludf.DUMMYFUNCTION("""COMPUTED_VALUE"""),"Mujer56")</f>
        <v>Mujer56</v>
      </c>
      <c r="B658" s="25" t="str">
        <f ca="1">IFERROR(__xludf.DUMMYFUNCTION("""COMPUTED_VALUE"""),"Consejo Local de Gobienro de Teusaquillo")</f>
        <v>Consejo Local de Gobienro de Teusaquillo</v>
      </c>
      <c r="C658" s="55">
        <f ca="1">IFERROR(__xludf.DUMMYFUNCTION("""COMPUTED_VALUE"""),44651)</f>
        <v>44651</v>
      </c>
      <c r="D658" s="25" t="str">
        <f ca="1">IFERROR(__xludf.DUMMYFUNCTION("""COMPUTED_VALUE"""),"Mujer")</f>
        <v>Mujer</v>
      </c>
      <c r="E658" s="25" t="str">
        <f ca="1">IFERROR(__xludf.DUMMYFUNCTION("""COMPUTED_VALUE"""),"Secretaría Distrital de la Mujer")</f>
        <v>Secretaría Distrital de la Mujer</v>
      </c>
      <c r="F658" s="25" t="str">
        <f ca="1">IFERROR(__xludf.DUMMYFUNCTION("""COMPUTED_VALUE"""),"Organizar una mesa de trabajo con el Consejo Consultivo de Mujeres con el propósito de hacer rendición de cuentas respecto de los datos sobre el proceso de transversalización de género")</f>
        <v>Organizar una mesa de trabajo con el Consejo Consultivo de Mujeres con el propósito de hacer rendición de cuentas respecto de los datos sobre el proceso de transversalización de género</v>
      </c>
      <c r="G658" s="25" t="str">
        <f ca="1">IFERROR(__xludf.DUMMYFUNCTION("""COMPUTED_VALUE"""),"13. Teusaquillo")</f>
        <v>13. Teusaquillo</v>
      </c>
      <c r="H658" s="55">
        <f ca="1">IFERROR(__xludf.DUMMYFUNCTION("""COMPUTED_VALUE"""),44669)</f>
        <v>44669</v>
      </c>
      <c r="I658" s="25"/>
      <c r="J658" s="55"/>
      <c r="K658" s="61">
        <f ca="1">IFERROR(__xludf.DUMMYFUNCTION("""COMPUTED_VALUE"""),44669)</f>
        <v>44669</v>
      </c>
      <c r="L658" s="62">
        <f ca="1">IFERROR(__xludf.DUMMYFUNCTION("""COMPUTED_VALUE"""),44669)</f>
        <v>44669</v>
      </c>
      <c r="M658" s="25" t="str">
        <f ca="1">IFERROR(__xludf.DUMMYFUNCTION("""COMPUTED_VALUE"""),"En la mesa coordinadora del Consejo Consultivo de Mujeres se llevó a cabo el 20 de abril se realizó la rendición de cuentas")</f>
        <v>En la mesa coordinadora del Consejo Consultivo de Mujeres se llevó a cabo el 20 de abril se realizó la rendición de cuentas</v>
      </c>
      <c r="N658" s="55">
        <f ca="1">IFERROR(__xludf.DUMMYFUNCTION("""COMPUTED_VALUE"""),44926)</f>
        <v>44926</v>
      </c>
      <c r="O658" s="25" t="str">
        <f t="shared" ca="1" si="0"/>
        <v>Secretaría Distrital de la Mujer</v>
      </c>
      <c r="P658" s="25" t="str">
        <f t="shared" si="2"/>
        <v/>
      </c>
      <c r="Q658" s="25" t="str">
        <f ca="1">IFERROR(__xludf.DUMMYFUNCTION("""COMPUTED_VALUE"""),"Largo plazo")</f>
        <v>Largo plazo</v>
      </c>
      <c r="R658" s="25"/>
      <c r="S658" s="55"/>
      <c r="T658" s="56"/>
      <c r="U658" s="25"/>
      <c r="V658" s="25"/>
      <c r="W658" s="25"/>
      <c r="X658" s="25"/>
      <c r="Y658" s="25"/>
      <c r="Z658" s="25"/>
    </row>
    <row r="659" spans="1:26" ht="52.5" customHeight="1" x14ac:dyDescent="0.25">
      <c r="A659" s="25" t="str">
        <f ca="1">IFERROR(__xludf.DUMMYFUNCTION("""COMPUTED_VALUE"""),"Mujer57")</f>
        <v>Mujer57</v>
      </c>
      <c r="B659" s="25" t="str">
        <f ca="1">IFERROR(__xludf.DUMMYFUNCTION("""COMPUTED_VALUE"""),"Consejo Local de Gobierno de San Crisóbal")</f>
        <v>Consejo Local de Gobierno de San Crisóbal</v>
      </c>
      <c r="C659" s="55">
        <f ca="1">IFERROR(__xludf.DUMMYFUNCTION("""COMPUTED_VALUE"""),44700)</f>
        <v>44700</v>
      </c>
      <c r="D659" s="25" t="str">
        <f ca="1">IFERROR(__xludf.DUMMYFUNCTION("""COMPUTED_VALUE"""),"Mujer")</f>
        <v>Mujer</v>
      </c>
      <c r="E659" s="25" t="str">
        <f ca="1">IFERROR(__xludf.DUMMYFUNCTION("""COMPUTED_VALUE"""),"Secretaría Distrital de la Mujer")</f>
        <v>Secretaría Distrital de la Mujer</v>
      </c>
      <c r="F659" s="25" t="str">
        <f ca="1">IFERROR(__xludf.DUMMYFUNCTION("""COMPUTED_VALUE"""),"Apoyar al trámite del proyecto de ley puesto en consideración de la comisión séptima del Senado de la República resultado de la acumulación de los proyectos de ley 041/20 y 267/20 relacionado con subsidios de vivienda para cuidadores y cuidadoras")</f>
        <v>Apoyar al trámite del proyecto de ley puesto en consideración de la comisión séptima del Senado de la República resultado de la acumulación de los proyectos de ley 041/20 y 267/20 relacionado con subsidios de vivienda para cuidadores y cuidadoras</v>
      </c>
      <c r="G659" s="25" t="str">
        <f ca="1">IFERROR(__xludf.DUMMYFUNCTION("""COMPUTED_VALUE"""),"04. San Cristóbal")</f>
        <v>04. San Cristóbal</v>
      </c>
      <c r="H659" s="55">
        <f ca="1">IFERROR(__xludf.DUMMYFUNCTION("""COMPUTED_VALUE"""),45138)</f>
        <v>45138</v>
      </c>
      <c r="I659" s="25" t="str">
        <f ca="1">IFERROR(__xludf.DUMMYFUNCTION("""COMPUTED_VALUE"""),"Secretaría Privada")</f>
        <v>Secretaría Privada</v>
      </c>
      <c r="J659" s="55" t="str">
        <f ca="1">IFERROR(__xludf.DUMMYFUNCTION("""COMPUTED_VALUE"""),"Alta")</f>
        <v>Alta</v>
      </c>
      <c r="K659" s="65">
        <f ca="1">IFERROR(__xludf.DUMMYFUNCTION("""COMPUTED_VALUE"""),44893)</f>
        <v>44893</v>
      </c>
      <c r="L659" s="62">
        <f ca="1">IFERROR(__xludf.DUMMYFUNCTION("""COMPUTED_VALUE"""),45077)</f>
        <v>45077</v>
      </c>
      <c r="M659" s="25" t="str">
        <f ca="1">IFERROR(__xludf.DUMMYFUNCTION("""COMPUTED_VALUE"""),"El proyecto de Ley se encuentra en trámite de objeciones presidenciales y según observaciones fue objetado por insconstitucionalidad parcial en el artículo 12. En lo que compete a SDMujer se envió concepto considerando el Proyecto de Ley como viable. Ya s"&amp;"e entró en contacto para ofrecer una mesa técnica y adicionalmente se mencionó la tarea a secretaría de gobierno para que citen a la SDMujer cuando el proyecto avance.")</f>
        <v>El proyecto de Ley se encuentra en trámite de objeciones presidenciales y según observaciones fue objetado por insconstitucionalidad parcial en el artículo 12. En lo que compete a SDMujer se envió concepto considerando el Proyecto de Ley como viable. Ya se entró en contacto para ofrecer una mesa técnica y adicionalmente se mencionó la tarea a secretaría de gobierno para que citen a la SDMujer cuando el proyecto avance.</v>
      </c>
      <c r="N659" s="25"/>
      <c r="O659" s="25" t="str">
        <f t="shared" ca="1" si="0"/>
        <v>Secretaría Distrital de la Mujer</v>
      </c>
      <c r="P659" s="25" t="str">
        <f t="shared" ca="1" si="2"/>
        <v/>
      </c>
      <c r="Q659" s="25" t="str">
        <f ca="1">IFERROR(__xludf.DUMMYFUNCTION("""COMPUTED_VALUE"""),"Largo plazo")</f>
        <v>Largo plazo</v>
      </c>
      <c r="R659" s="25"/>
      <c r="S659" s="55"/>
      <c r="T659" s="56"/>
      <c r="U659" s="25"/>
      <c r="V659" s="25"/>
      <c r="W659" s="25"/>
      <c r="X659" s="25"/>
      <c r="Y659" s="25"/>
      <c r="Z659" s="25"/>
    </row>
    <row r="660" spans="1:26" ht="52.5" customHeight="1" x14ac:dyDescent="0.25">
      <c r="A660" s="25" t="str">
        <f ca="1">IFERROR(__xludf.DUMMYFUNCTION("""COMPUTED_VALUE"""),"Mujer58")</f>
        <v>Mujer58</v>
      </c>
      <c r="B660" s="25" t="str">
        <f ca="1">IFERROR(__xludf.DUMMYFUNCTION("""COMPUTED_VALUE"""),"Consejo Local de Gobierno de Antonio Nariño")</f>
        <v>Consejo Local de Gobierno de Antonio Nariño</v>
      </c>
      <c r="C660" s="55">
        <f ca="1">IFERROR(__xludf.DUMMYFUNCTION("""COMPUTED_VALUE"""),44770)</f>
        <v>44770</v>
      </c>
      <c r="D660" s="25" t="str">
        <f ca="1">IFERROR(__xludf.DUMMYFUNCTION("""COMPUTED_VALUE"""),"Mujer")</f>
        <v>Mujer</v>
      </c>
      <c r="E660" s="25" t="str">
        <f ca="1">IFERROR(__xludf.DUMMYFUNCTION("""COMPUTED_VALUE"""),"Secretaría Distrital de la Mujer")</f>
        <v>Secretaría Distrital de la Mujer</v>
      </c>
      <c r="F660" s="25" t="str">
        <f ca="1">IFERROR(__xludf.DUMMYFUNCTION("""COMPUTED_VALUE"""),"Priorizar para el año 2023 una manzana del cuidado para la localidad de Antonio Nariño")</f>
        <v>Priorizar para el año 2023 una manzana del cuidado para la localidad de Antonio Nariño</v>
      </c>
      <c r="G660" s="25" t="str">
        <f ca="1">IFERROR(__xludf.DUMMYFUNCTION("""COMPUTED_VALUE"""),"15. Antonio Nariño")</f>
        <v>15. Antonio Nariño</v>
      </c>
      <c r="H660" s="55">
        <f ca="1">IFERROR(__xludf.DUMMYFUNCTION("""COMPUTED_VALUE"""),45230)</f>
        <v>45230</v>
      </c>
      <c r="I660" s="25" t="str">
        <f ca="1">IFERROR(__xludf.DUMMYFUNCTION("""COMPUTED_VALUE"""),"Delivery Unit")</f>
        <v>Delivery Unit</v>
      </c>
      <c r="J660" s="55" t="str">
        <f ca="1">IFERROR(__xludf.DUMMYFUNCTION("""COMPUTED_VALUE"""),"Alta")</f>
        <v>Alta</v>
      </c>
      <c r="K660" s="65">
        <f ca="1">IFERROR(__xludf.DUMMYFUNCTION("""COMPUTED_VALUE"""),44893)</f>
        <v>44893</v>
      </c>
      <c r="L660" s="62">
        <f ca="1">IFERROR(__xludf.DUMMYFUNCTION("""COMPUTED_VALUE"""),45077)</f>
        <v>45077</v>
      </c>
      <c r="M660" s="25" t="str">
        <f ca="1">IFERROR(__xludf.DUMMYFUNCTION("""COMPUTED_VALUE"""),"La Manzana de Cuidado de Antonio Nariño se encuentra priorizada para apertura en el segundo semestre de 2023 (Julio o Agosto) con ancla en la casa de juventud de la localidad, ya que la manzana operará en conjunto con el bus de cuidado que inicia ciclo.")</f>
        <v>La Manzana de Cuidado de Antonio Nariño se encuentra priorizada para apertura en el segundo semestre de 2023 (Julio o Agosto) con ancla en la casa de juventud de la localidad, ya que la manzana operará en conjunto con el bus de cuidado que inicia ciclo.</v>
      </c>
      <c r="N660" s="25"/>
      <c r="O660" s="25" t="str">
        <f t="shared" ca="1" si="0"/>
        <v>Secretaría Distrital de la Mujer</v>
      </c>
      <c r="P660" s="25" t="str">
        <f t="shared" ca="1" si="2"/>
        <v/>
      </c>
      <c r="Q660" s="25" t="str">
        <f ca="1">IFERROR(__xludf.DUMMYFUNCTION("""COMPUTED_VALUE"""),"Largo plazo")</f>
        <v>Largo plazo</v>
      </c>
      <c r="R660" s="25"/>
      <c r="S660" s="55"/>
      <c r="T660" s="56"/>
      <c r="U660" s="25"/>
      <c r="V660" s="25"/>
      <c r="W660" s="25"/>
      <c r="X660" s="25"/>
      <c r="Y660" s="25"/>
      <c r="Z660" s="25"/>
    </row>
    <row r="661" spans="1:26" ht="52.5" customHeight="1" x14ac:dyDescent="0.25">
      <c r="A661" s="25" t="str">
        <f ca="1">IFERROR(__xludf.DUMMYFUNCTION("""COMPUTED_VALUE"""),"Mujer59")</f>
        <v>Mujer59</v>
      </c>
      <c r="B661" s="25" t="str">
        <f ca="1">IFERROR(__xludf.DUMMYFUNCTION("""COMPUTED_VALUE"""),"Recorrido Fontibón")</f>
        <v>Recorrido Fontibón</v>
      </c>
      <c r="C661" s="55">
        <f ca="1">IFERROR(__xludf.DUMMYFUNCTION("""COMPUTED_VALUE"""),44984)</f>
        <v>44984</v>
      </c>
      <c r="D661" s="25" t="str">
        <f ca="1">IFERROR(__xludf.DUMMYFUNCTION("""COMPUTED_VALUE"""),"Mujer")</f>
        <v>Mujer</v>
      </c>
      <c r="E661" s="25" t="str">
        <f ca="1">IFERROR(__xludf.DUMMYFUNCTION("""COMPUTED_VALUE"""),"Secretaría Distrital de la Mujer")</f>
        <v>Secretaría Distrital de la Mujer</v>
      </c>
      <c r="F661" s="25" t="str">
        <f ca="1">IFERROR(__xludf.DUMMYFUNCTION("""COMPUTED_VALUE"""),"Revisar el aumento de las Personas que Realizan Actividades Sexuales Pagadas (PRASP) en Versalles y Ferrocaril de occidente")</f>
        <v>Revisar el aumento de las Personas que Realizan Actividades Sexuales Pagadas (PRASP) en Versalles y Ferrocaril de occidente</v>
      </c>
      <c r="G661" s="25" t="str">
        <f ca="1">IFERROR(__xludf.DUMMYFUNCTION("""COMPUTED_VALUE"""),"09. Fontibón")</f>
        <v>09. Fontibón</v>
      </c>
      <c r="H661" s="55">
        <f ca="1">IFERROR(__xludf.DUMMYFUNCTION("""COMPUTED_VALUE"""),45039)</f>
        <v>45039</v>
      </c>
      <c r="I661" s="25" t="str">
        <f ca="1">IFERROR(__xludf.DUMMYFUNCTION("""COMPUTED_VALUE"""),"Secretaría Privada")</f>
        <v>Secretaría Privada</v>
      </c>
      <c r="J661" s="55" t="str">
        <f ca="1">IFERROR(__xludf.DUMMYFUNCTION("""COMPUTED_VALUE"""),"Alta")</f>
        <v>Alta</v>
      </c>
      <c r="K661" s="25">
        <f ca="1">IFERROR(__xludf.DUMMYFUNCTION("""COMPUTED_VALUE"""),55)</f>
        <v>55</v>
      </c>
      <c r="L661" s="62">
        <f ca="1">IFERROR(__xludf.DUMMYFUNCTION("""COMPUTED_VALUE"""),45077)</f>
        <v>45077</v>
      </c>
      <c r="M661" s="25" t="str">
        <f ca="1">IFERROR(__xludf.DUMMYFUNCTION("""COMPUTED_VALUE"""),"Se solicita trasladar esta tarea a SDIS ya que la tropa social podría hacer caracterización de las situaciones de vulnerabilidad de estas mujeres, cosa que la sdmujer no tiene competencias para hacer. La SDMujer está dispuesta para acompañar esta jornada "&amp;"y hacerla conjuntamente con las gestoras de la Casa de Todas, para ofrecer las atenciones que se pueden ofrecer puntualmente desde la entidad a las mujeres en ASP. ")</f>
        <v xml:space="preserve">Se solicita trasladar esta tarea a SDIS ya que la tropa social podría hacer caracterización de las situaciones de vulnerabilidad de estas mujeres, cosa que la sdmujer no tiene competencias para hacer. La SDMujer está dispuesta para acompañar esta jornada y hacerla conjuntamente con las gestoras de la Casa de Todas, para ofrecer las atenciones que se pueden ofrecer puntualmente desde la entidad a las mujeres en ASP. </v>
      </c>
      <c r="N661" s="25"/>
      <c r="O661" s="25" t="str">
        <f t="shared" ca="1" si="0"/>
        <v>Secretaría Distrital de la Mujer</v>
      </c>
      <c r="P661" s="25" t="str">
        <f t="shared" ca="1" si="2"/>
        <v/>
      </c>
      <c r="Q661" s="25" t="str">
        <f ca="1">IFERROR(__xludf.DUMMYFUNCTION("""COMPUTED_VALUE"""),"Corto plazo")</f>
        <v>Corto plazo</v>
      </c>
      <c r="R661" s="25"/>
      <c r="S661" s="55"/>
      <c r="T661" s="56"/>
      <c r="U661" s="25"/>
      <c r="V661" s="25"/>
      <c r="W661" s="25"/>
      <c r="X661" s="25"/>
      <c r="Y661" s="25"/>
      <c r="Z661" s="25"/>
    </row>
    <row r="662" spans="1:26" ht="52.5" customHeight="1" x14ac:dyDescent="0.25">
      <c r="A662" s="25" t="str">
        <f ca="1">IFERROR(__xludf.DUMMYFUNCTION("""COMPUTED_VALUE"""),"Mujer60")</f>
        <v>Mujer60</v>
      </c>
      <c r="B662" s="25" t="str">
        <f ca="1">IFERROR(__xludf.DUMMYFUNCTION("""COMPUTED_VALUE"""),"Consejo Local de Gobierno de Bosa")</f>
        <v>Consejo Local de Gobierno de Bosa</v>
      </c>
      <c r="C662" s="55">
        <f ca="1">IFERROR(__xludf.DUMMYFUNCTION("""COMPUTED_VALUE"""),44602)</f>
        <v>44602</v>
      </c>
      <c r="D662" s="25" t="str">
        <f ca="1">IFERROR(__xludf.DUMMYFUNCTION("""COMPUTED_VALUE"""),"Mujer")</f>
        <v>Mujer</v>
      </c>
      <c r="E662" s="25" t="str">
        <f ca="1">IFERROR(__xludf.DUMMYFUNCTION("""COMPUTED_VALUE"""),"Secretaría Distrital de la Mujer")</f>
        <v>Secretaría Distrital de la Mujer</v>
      </c>
      <c r="F662" s="25" t="str">
        <f ca="1">IFERROR(__xludf.DUMMYFUNCTION("""COMPUTED_VALUE"""),"Poner en funcionamiento la manzana de cuidado de Campo Verde")</f>
        <v>Poner en funcionamiento la manzana de cuidado de Campo Verde</v>
      </c>
      <c r="G662" s="25" t="str">
        <f ca="1">IFERROR(__xludf.DUMMYFUNCTION("""COMPUTED_VALUE"""),"07. Bosa")</f>
        <v>07. Bosa</v>
      </c>
      <c r="H662" s="55">
        <f ca="1">IFERROR(__xludf.DUMMYFUNCTION("""COMPUTED_VALUE"""),44893)</f>
        <v>44893</v>
      </c>
      <c r="I662" s="25"/>
      <c r="J662" s="55"/>
      <c r="K662" s="25">
        <f ca="1">IFERROR(__xludf.DUMMYFUNCTION("""COMPUTED_VALUE"""),291)</f>
        <v>291</v>
      </c>
      <c r="L662" s="62">
        <f ca="1">IFERROR(__xludf.DUMMYFUNCTION("""COMPUTED_VALUE"""),44893)</f>
        <v>44893</v>
      </c>
      <c r="M662" s="25" t="str">
        <f ca="1">IFERROR(__xludf.DUMMYFUNCTION("""COMPUTED_VALUE"""),"Se puede dar por cerrada la tarea. La manzana de cuidado de Bosa Campoverde entró en funcionamiento en el 4 de octubre, se hizo evento con la alcaldesa.")</f>
        <v>Se puede dar por cerrada la tarea. La manzana de cuidado de Bosa Campoverde entró en funcionamiento en el 4 de octubre, se hizo evento con la alcaldesa.</v>
      </c>
      <c r="N662" s="55">
        <f ca="1">IFERROR(__xludf.DUMMYFUNCTION("""COMPUTED_VALUE"""),44926)</f>
        <v>44926</v>
      </c>
      <c r="O662" s="25" t="str">
        <f t="shared" ca="1" si="0"/>
        <v>Secretaría Distrital de la Mujer</v>
      </c>
      <c r="P662" s="25" t="str">
        <f t="shared" si="2"/>
        <v/>
      </c>
      <c r="Q662" s="25" t="str">
        <f ca="1">IFERROR(__xludf.DUMMYFUNCTION("""COMPUTED_VALUE"""),"Largo plazo")</f>
        <v>Largo plazo</v>
      </c>
      <c r="R662" s="25"/>
      <c r="S662" s="55"/>
      <c r="T662" s="56"/>
      <c r="U662" s="25"/>
      <c r="V662" s="25"/>
      <c r="W662" s="25"/>
      <c r="X662" s="25"/>
      <c r="Y662" s="25"/>
      <c r="Z662" s="25"/>
    </row>
    <row r="663" spans="1:26" ht="52.5" customHeight="1" x14ac:dyDescent="0.25">
      <c r="A663" s="25" t="str">
        <f ca="1">IFERROR(__xludf.DUMMYFUNCTION("""COMPUTED_VALUE"""),"Mujer61")</f>
        <v>Mujer61</v>
      </c>
      <c r="B663" s="25" t="str">
        <f ca="1">IFERROR(__xludf.DUMMYFUNCTION("""COMPUTED_VALUE"""),"Consejo Local de Gobierno de Bosa")</f>
        <v>Consejo Local de Gobierno de Bosa</v>
      </c>
      <c r="C663" s="55">
        <f ca="1">IFERROR(__xludf.DUMMYFUNCTION("""COMPUTED_VALUE"""),44602)</f>
        <v>44602</v>
      </c>
      <c r="D663" s="25" t="str">
        <f ca="1">IFERROR(__xludf.DUMMYFUNCTION("""COMPUTED_VALUE"""),"Mujer")</f>
        <v>Mujer</v>
      </c>
      <c r="E663" s="25" t="str">
        <f ca="1">IFERROR(__xludf.DUMMYFUNCTION("""COMPUTED_VALUE"""),"Secretaría Distrital de la Mujer")</f>
        <v>Secretaría Distrital de la Mujer</v>
      </c>
      <c r="F663" s="25" t="str">
        <f ca="1">IFERROR(__xludf.DUMMYFUNCTION("""COMPUTED_VALUE"""),"Revisar el caso de abuso de la hija de la señora Jesenia Tovar por parte de un vecino.")</f>
        <v>Revisar el caso de abuso de la hija de la señora Jesenia Tovar por parte de un vecino.</v>
      </c>
      <c r="G663" s="25" t="str">
        <f ca="1">IFERROR(__xludf.DUMMYFUNCTION("""COMPUTED_VALUE"""),"07. Bosa")</f>
        <v>07. Bosa</v>
      </c>
      <c r="H663" s="55">
        <f ca="1">IFERROR(__xludf.DUMMYFUNCTION("""COMPUTED_VALUE"""),44621)</f>
        <v>44621</v>
      </c>
      <c r="I663" s="25"/>
      <c r="J663" s="55"/>
      <c r="K663" s="25">
        <f ca="1">IFERROR(__xludf.DUMMYFUNCTION("""COMPUTED_VALUE"""),19)</f>
        <v>19</v>
      </c>
      <c r="L663" s="62">
        <f ca="1">IFERROR(__xludf.DUMMYFUNCTION("""COMPUTED_VALUE"""),44621)</f>
        <v>44621</v>
      </c>
      <c r="M663" s="25" t="str">
        <f ca="1">IFERROR(__xludf.DUMMYFUNCTION("""COMPUTED_VALUE"""),"La ciudadana fue atendida por una abogada de la Secretaría de la Mujer, con el fin de definir si se reabre proceso que se cerró en la Fisalía. La abogada efectuó trámite de impulso procesal para que la fiscalía desarchive el proceso pero no se ve un panor"&amp;"ama positivo al parecer no fue entregado ningún vídeo que pruebe el delito.")</f>
        <v>La ciudadana fue atendida por una abogada de la Secretaría de la Mujer, con el fin de definir si se reabre proceso que se cerró en la Fisalía. La abogada efectuó trámite de impulso procesal para que la fiscalía desarchive el proceso pero no se ve un panorama positivo al parecer no fue entregado ningún vídeo que pruebe el delito.</v>
      </c>
      <c r="N663" s="55">
        <f ca="1">IFERROR(__xludf.DUMMYFUNCTION("""COMPUTED_VALUE"""),44926)</f>
        <v>44926</v>
      </c>
      <c r="O663" s="25" t="str">
        <f t="shared" ca="1" si="0"/>
        <v>Secretaría Distrital de la Mujer</v>
      </c>
      <c r="P663" s="25" t="str">
        <f t="shared" si="2"/>
        <v/>
      </c>
      <c r="Q663" s="25" t="str">
        <f ca="1">IFERROR(__xludf.DUMMYFUNCTION("""COMPUTED_VALUE"""),"Corto plazo")</f>
        <v>Corto plazo</v>
      </c>
      <c r="R663" s="25"/>
      <c r="S663" s="55"/>
      <c r="T663" s="56"/>
      <c r="U663" s="25"/>
      <c r="V663" s="25"/>
      <c r="W663" s="25"/>
      <c r="X663" s="25"/>
      <c r="Y663" s="25"/>
      <c r="Z663" s="25"/>
    </row>
    <row r="664" spans="1:26" ht="52.5" customHeight="1" x14ac:dyDescent="0.25">
      <c r="A664" s="25" t="str">
        <f ca="1">IFERROR(__xludf.DUMMYFUNCTION("""COMPUTED_VALUE"""),"Mujer62")</f>
        <v>Mujer62</v>
      </c>
      <c r="B664" s="25" t="str">
        <f ca="1">IFERROR(__xludf.DUMMYFUNCTION("""COMPUTED_VALUE"""),"Consejo Local de Gobierno de Santa Fe")</f>
        <v>Consejo Local de Gobierno de Santa Fe</v>
      </c>
      <c r="C664" s="55">
        <f ca="1">IFERROR(__xludf.DUMMYFUNCTION("""COMPUTED_VALUE"""),44693)</f>
        <v>44693</v>
      </c>
      <c r="D664" s="25" t="str">
        <f ca="1">IFERROR(__xludf.DUMMYFUNCTION("""COMPUTED_VALUE"""),"Mujer")</f>
        <v>Mujer</v>
      </c>
      <c r="E664" s="25" t="str">
        <f ca="1">IFERROR(__xludf.DUMMYFUNCTION("""COMPUTED_VALUE"""),"Secretaría Distrital de la Mujer")</f>
        <v>Secretaría Distrital de la Mujer</v>
      </c>
      <c r="F664" s="25" t="str">
        <f ca="1">IFERROR(__xludf.DUMMYFUNCTION("""COMPUTED_VALUE"""),"Organizar una manzana del ciudado rural en la Vereda de El Verjón")</f>
        <v>Organizar una manzana del ciudado rural en la Vereda de El Verjón</v>
      </c>
      <c r="G664" s="25" t="str">
        <f ca="1">IFERROR(__xludf.DUMMYFUNCTION("""COMPUTED_VALUE"""),"03. Santa Fe")</f>
        <v>03. Santa Fe</v>
      </c>
      <c r="H664" s="55">
        <f ca="1">IFERROR(__xludf.DUMMYFUNCTION("""COMPUTED_VALUE"""),45078)</f>
        <v>45078</v>
      </c>
      <c r="I664" s="25" t="str">
        <f ca="1">IFERROR(__xludf.DUMMYFUNCTION("""COMPUTED_VALUE"""),"Delivery Unit")</f>
        <v>Delivery Unit</v>
      </c>
      <c r="J664" s="55"/>
      <c r="K664" s="25">
        <f ca="1">IFERROR(__xludf.DUMMYFUNCTION("""COMPUTED_VALUE"""),385)</f>
        <v>385</v>
      </c>
      <c r="L664" s="62">
        <f ca="1">IFERROR(__xludf.DUMMYFUNCTION("""COMPUTED_VALUE"""),45077)</f>
        <v>45077</v>
      </c>
      <c r="M664" s="25" t="str">
        <f ca="1">IFERROR(__xludf.DUMMYFUNCTION("""COMPUTED_VALUE"""),"No se tiene priorizada para este año, ya se inauguró la manzana del cuidado para la localidad de Chapinero en el CDC Titos (Inaugurada en diciembre 2022).  Posterior a la instrucción de la alcaldesa se hicieron visitas a la zona, en donde se encontro que "&amp;"el colegio disponible como ancla en El Verjón estaba en zona de amenaza por remosión de masa. El sector tampoco contaba con un lugar apto para el montaje de bus del cuidado por lo que en el tercer ciclo se llevó el bus al sector de San Luis (zona rural de"&amp;" Chapinero también). Como se mencionó al inicio, actualmente la localidad ya cuenta con Manzana de Cuidado ubicada en el CDC Titos .")</f>
        <v>No se tiene priorizada para este año, ya se inauguró la manzana del cuidado para la localidad de Chapinero en el CDC Titos (Inaugurada en diciembre 2022).  Posterior a la instrucción de la alcaldesa se hicieron visitas a la zona, en donde se encontro que el colegio disponible como ancla en El Verjón estaba en zona de amenaza por remosión de masa. El sector tampoco contaba con un lugar apto para el montaje de bus del cuidado por lo que en el tercer ciclo se llevó el bus al sector de San Luis (zona rural de Chapinero también). Como se mencionó al inicio, actualmente la localidad ya cuenta con Manzana de Cuidado ubicada en el CDC Titos .</v>
      </c>
      <c r="N664" s="25"/>
      <c r="O664" s="25" t="str">
        <f t="shared" ca="1" si="0"/>
        <v>Secretaría Distrital de la Mujer</v>
      </c>
      <c r="P664" s="25" t="str">
        <f t="shared" ca="1" si="2"/>
        <v/>
      </c>
      <c r="Q664" s="25" t="str">
        <f ca="1">IFERROR(__xludf.DUMMYFUNCTION("""COMPUTED_VALUE"""),"Largo plazo")</f>
        <v>Largo plazo</v>
      </c>
      <c r="R664" s="25"/>
      <c r="S664" s="55"/>
      <c r="T664" s="56"/>
      <c r="U664" s="25"/>
      <c r="V664" s="25"/>
      <c r="W664" s="25"/>
      <c r="X664" s="25"/>
      <c r="Y664" s="25"/>
      <c r="Z664" s="25"/>
    </row>
    <row r="665" spans="1:26" ht="52.5" customHeight="1" x14ac:dyDescent="0.25">
      <c r="A665" s="25" t="str">
        <f ca="1">IFERROR(__xludf.DUMMYFUNCTION("""COMPUTED_VALUE"""),"Mujer63")</f>
        <v>Mujer63</v>
      </c>
      <c r="B665" s="25" t="str">
        <f ca="1">IFERROR(__xludf.DUMMYFUNCTION("""COMPUTED_VALUE"""),"Comisión Intersectorial SIDICU")</f>
        <v>Comisión Intersectorial SIDICU</v>
      </c>
      <c r="C665" s="55">
        <f ca="1">IFERROR(__xludf.DUMMYFUNCTION("""COMPUTED_VALUE"""),45071)</f>
        <v>45071</v>
      </c>
      <c r="D665" s="25" t="str">
        <f ca="1">IFERROR(__xludf.DUMMYFUNCTION("""COMPUTED_VALUE"""),"Mujer")</f>
        <v>Mujer</v>
      </c>
      <c r="E665" s="25" t="str">
        <f ca="1">IFERROR(__xludf.DUMMYFUNCTION("""COMPUTED_VALUE"""),"Secretaría Distrital de la Mujer")</f>
        <v>Secretaría Distrital de la Mujer</v>
      </c>
      <c r="F665" s="25" t="str">
        <f ca="1">IFERROR(__xludf.DUMMYFUNCTION("""COMPUTED_VALUE"""),"En el Sistema de Información, en el No. De personas atendidas, diferenciar entre lo que siempre ha hecho el Distrito y lo nuevo (lo que el Sistema está agregando) en Unidades Operativas")</f>
        <v>En el Sistema de Información, en el No. De personas atendidas, diferenciar entre lo que siempre ha hecho el Distrito y lo nuevo (lo que el Sistema está agregando) en Unidades Operativas</v>
      </c>
      <c r="G665" s="25" t="str">
        <f ca="1">IFERROR(__xludf.DUMMYFUNCTION("""COMPUTED_VALUE"""),"99. Distrito")</f>
        <v>99. Distrito</v>
      </c>
      <c r="H665" s="55">
        <f ca="1">IFERROR(__xludf.DUMMYFUNCTION("""COMPUTED_VALUE"""),45107)</f>
        <v>45107</v>
      </c>
      <c r="I665" s="25" t="str">
        <f ca="1">IFERROR(__xludf.DUMMYFUNCTION("""COMPUTED_VALUE"""),"Delivery Unit")</f>
        <v>Delivery Unit</v>
      </c>
      <c r="J665" s="55" t="str">
        <f ca="1">IFERROR(__xludf.DUMMYFUNCTION("""COMPUTED_VALUE"""),"Media")</f>
        <v>Media</v>
      </c>
      <c r="K665" s="25">
        <f ca="1">IFERROR(__xludf.DUMMYFUNCTION("""COMPUTED_VALUE"""),36)</f>
        <v>36</v>
      </c>
      <c r="L665" s="62"/>
      <c r="M665" s="25"/>
      <c r="N665" s="25"/>
      <c r="O665" s="25" t="str">
        <f t="shared" ca="1" si="0"/>
        <v>Secretaría Distrital de la Mujer</v>
      </c>
      <c r="P665" s="25" t="str">
        <f t="shared" ca="1" si="2"/>
        <v/>
      </c>
      <c r="Q665" s="25" t="str">
        <f ca="1">IFERROR(__xludf.DUMMYFUNCTION("""COMPUTED_VALUE"""),"Corto plazo")</f>
        <v>Corto plazo</v>
      </c>
      <c r="R665" s="25"/>
      <c r="S665" s="55"/>
      <c r="T665" s="56"/>
      <c r="U665" s="25"/>
      <c r="V665" s="25"/>
      <c r="W665" s="25"/>
      <c r="X665" s="25"/>
      <c r="Y665" s="25"/>
      <c r="Z665" s="25"/>
    </row>
    <row r="666" spans="1:26" ht="52.5" customHeight="1" x14ac:dyDescent="0.25">
      <c r="A666" s="25" t="str">
        <f ca="1">IFERROR(__xludf.DUMMYFUNCTION("""COMPUTED_VALUE"""),"Mujer64")</f>
        <v>Mujer64</v>
      </c>
      <c r="B666" s="25" t="str">
        <f ca="1">IFERROR(__xludf.DUMMYFUNCTION("""COMPUTED_VALUE"""),"Comisión Intersectorial SIDICU")</f>
        <v>Comisión Intersectorial SIDICU</v>
      </c>
      <c r="C666" s="55">
        <f ca="1">IFERROR(__xludf.DUMMYFUNCTION("""COMPUTED_VALUE"""),45071)</f>
        <v>45071</v>
      </c>
      <c r="D666" s="25" t="str">
        <f ca="1">IFERROR(__xludf.DUMMYFUNCTION("""COMPUTED_VALUE"""),"Mujer")</f>
        <v>Mujer</v>
      </c>
      <c r="E666" s="25" t="str">
        <f ca="1">IFERROR(__xludf.DUMMYFUNCTION("""COMPUTED_VALUE"""),"Secretaría Distrital de la Mujer")</f>
        <v>Secretaría Distrital de la Mujer</v>
      </c>
      <c r="F666" s="25" t="str">
        <f ca="1">IFERROR(__xludf.DUMMYFUNCTION("""COMPUTED_VALUE"""),"Incluir en el sistema de información cuantas horas de cuidado se estima que se redujeron, se relevaron o se redistribuyeron, por tipo se servicio")</f>
        <v>Incluir en el sistema de información cuantas horas de cuidado se estima que se redujeron, se relevaron o se redistribuyeron, por tipo se servicio</v>
      </c>
      <c r="G666" s="25" t="str">
        <f ca="1">IFERROR(__xludf.DUMMYFUNCTION("""COMPUTED_VALUE"""),"99. Distrito")</f>
        <v>99. Distrito</v>
      </c>
      <c r="H666" s="55">
        <f ca="1">IFERROR(__xludf.DUMMYFUNCTION("""COMPUTED_VALUE"""),45107)</f>
        <v>45107</v>
      </c>
      <c r="I666" s="25" t="str">
        <f ca="1">IFERROR(__xludf.DUMMYFUNCTION("""COMPUTED_VALUE"""),"Delivery Unit")</f>
        <v>Delivery Unit</v>
      </c>
      <c r="J666" s="55" t="str">
        <f ca="1">IFERROR(__xludf.DUMMYFUNCTION("""COMPUTED_VALUE"""),"Media")</f>
        <v>Media</v>
      </c>
      <c r="K666" s="25">
        <f ca="1">IFERROR(__xludf.DUMMYFUNCTION("""COMPUTED_VALUE"""),36)</f>
        <v>36</v>
      </c>
      <c r="L666" s="62"/>
      <c r="M666" s="25"/>
      <c r="N666" s="25"/>
      <c r="O666" s="25" t="str">
        <f t="shared" ca="1" si="0"/>
        <v>Secretaría Distrital de la Mujer</v>
      </c>
      <c r="P666" s="25" t="str">
        <f t="shared" ca="1" si="2"/>
        <v/>
      </c>
      <c r="Q666" s="25" t="str">
        <f ca="1">IFERROR(__xludf.DUMMYFUNCTION("""COMPUTED_VALUE"""),"Corto plazo")</f>
        <v>Corto plazo</v>
      </c>
      <c r="R666" s="25"/>
      <c r="S666" s="55"/>
      <c r="T666" s="56"/>
      <c r="U666" s="25"/>
      <c r="V666" s="25"/>
      <c r="W666" s="25"/>
      <c r="X666" s="25"/>
      <c r="Y666" s="25"/>
      <c r="Z666" s="25"/>
    </row>
    <row r="667" spans="1:26" ht="52.5" customHeight="1" x14ac:dyDescent="0.25">
      <c r="A667" s="25" t="str">
        <f ca="1">IFERROR(__xludf.DUMMYFUNCTION("""COMPUTED_VALUE"""),"Mujer65")</f>
        <v>Mujer65</v>
      </c>
      <c r="B667" s="25" t="str">
        <f ca="1">IFERROR(__xludf.DUMMYFUNCTION("""COMPUTED_VALUE"""),"Comisión Intersectorial SIDICU")</f>
        <v>Comisión Intersectorial SIDICU</v>
      </c>
      <c r="C667" s="55">
        <f ca="1">IFERROR(__xludf.DUMMYFUNCTION("""COMPUTED_VALUE"""),45071)</f>
        <v>45071</v>
      </c>
      <c r="D667" s="25" t="str">
        <f ca="1">IFERROR(__xludf.DUMMYFUNCTION("""COMPUTED_VALUE"""),"Mujer")</f>
        <v>Mujer</v>
      </c>
      <c r="E667" s="25" t="str">
        <f ca="1">IFERROR(__xludf.DUMMYFUNCTION("""COMPUTED_VALUE"""),"Secretaría Distrital de la Mujer")</f>
        <v>Secretaría Distrital de la Mujer</v>
      </c>
      <c r="F667" s="25" t="str">
        <f ca="1">IFERROR(__xludf.DUMMYFUNCTION("""COMPUTED_VALUE"""),"En el Sistema de Información, distinguir entre personas que requieren cuidado y cuidadores, y dentro de los cuidadores distinguir cuántas son mujeres.")</f>
        <v>En el Sistema de Información, distinguir entre personas que requieren cuidado y cuidadores, y dentro de los cuidadores distinguir cuántas son mujeres.</v>
      </c>
      <c r="G667" s="25" t="str">
        <f ca="1">IFERROR(__xludf.DUMMYFUNCTION("""COMPUTED_VALUE"""),"99. Distrito")</f>
        <v>99. Distrito</v>
      </c>
      <c r="H667" s="55">
        <f ca="1">IFERROR(__xludf.DUMMYFUNCTION("""COMPUTED_VALUE"""),45107)</f>
        <v>45107</v>
      </c>
      <c r="I667" s="25" t="str">
        <f ca="1">IFERROR(__xludf.DUMMYFUNCTION("""COMPUTED_VALUE"""),"Delivery Unit")</f>
        <v>Delivery Unit</v>
      </c>
      <c r="J667" s="55" t="str">
        <f ca="1">IFERROR(__xludf.DUMMYFUNCTION("""COMPUTED_VALUE"""),"Media")</f>
        <v>Media</v>
      </c>
      <c r="K667" s="25">
        <f ca="1">IFERROR(__xludf.DUMMYFUNCTION("""COMPUTED_VALUE"""),36)</f>
        <v>36</v>
      </c>
      <c r="L667" s="62"/>
      <c r="M667" s="25"/>
      <c r="N667" s="25"/>
      <c r="O667" s="25" t="str">
        <f t="shared" ca="1" si="0"/>
        <v>Secretaría Distrital de la Mujer</v>
      </c>
      <c r="P667" s="25" t="str">
        <f t="shared" ca="1" si="2"/>
        <v/>
      </c>
      <c r="Q667" s="25" t="str">
        <f ca="1">IFERROR(__xludf.DUMMYFUNCTION("""COMPUTED_VALUE"""),"Corto plazo")</f>
        <v>Corto plazo</v>
      </c>
      <c r="R667" s="25"/>
      <c r="S667" s="55"/>
      <c r="T667" s="56"/>
      <c r="U667" s="25"/>
      <c r="V667" s="25"/>
      <c r="W667" s="25"/>
      <c r="X667" s="25"/>
      <c r="Y667" s="25"/>
      <c r="Z667" s="25"/>
    </row>
    <row r="668" spans="1:26" ht="52.5" customHeight="1" x14ac:dyDescent="0.25">
      <c r="A668" s="25" t="str">
        <f ca="1">IFERROR(__xludf.DUMMYFUNCTION("""COMPUTED_VALUE"""),"Mujer66")</f>
        <v>Mujer66</v>
      </c>
      <c r="B668" s="25" t="str">
        <f ca="1">IFERROR(__xludf.DUMMYFUNCTION("""COMPUTED_VALUE"""),"Comisión Intersectorial SIDICU")</f>
        <v>Comisión Intersectorial SIDICU</v>
      </c>
      <c r="C668" s="55">
        <f ca="1">IFERROR(__xludf.DUMMYFUNCTION("""COMPUTED_VALUE"""),45071)</f>
        <v>45071</v>
      </c>
      <c r="D668" s="25" t="str">
        <f ca="1">IFERROR(__xludf.DUMMYFUNCTION("""COMPUTED_VALUE"""),"Mujer")</f>
        <v>Mujer</v>
      </c>
      <c r="E668" s="25" t="str">
        <f ca="1">IFERROR(__xludf.DUMMYFUNCTION("""COMPUTED_VALUE"""),"Secretaría Distrital de la Mujer")</f>
        <v>Secretaría Distrital de la Mujer</v>
      </c>
      <c r="F668" s="25" t="str">
        <f ca="1">IFERROR(__xludf.DUMMYFUNCTION("""COMPUTED_VALUE"""),"En el tema de la alianza con las Cajas de Compensación mirar la infraestructura donde quisieramos estar y que hoy no tenemos, por ubicación y personas que no estamos cubriendo con nuestras manzanas, buses y demás, especialmente en el sur y el occidente")</f>
        <v>En el tema de la alianza con las Cajas de Compensación mirar la infraestructura donde quisieramos estar y que hoy no tenemos, por ubicación y personas que no estamos cubriendo con nuestras manzanas, buses y demás, especialmente en el sur y el occidente</v>
      </c>
      <c r="G668" s="25" t="str">
        <f ca="1">IFERROR(__xludf.DUMMYFUNCTION("""COMPUTED_VALUE"""),"99. Distrito")</f>
        <v>99. Distrito</v>
      </c>
      <c r="H668" s="55">
        <f ca="1">IFERROR(__xludf.DUMMYFUNCTION("""COMPUTED_VALUE"""),45079)</f>
        <v>45079</v>
      </c>
      <c r="I668" s="25" t="str">
        <f ca="1">IFERROR(__xludf.DUMMYFUNCTION("""COMPUTED_VALUE"""),"Delivery Unit")</f>
        <v>Delivery Unit</v>
      </c>
      <c r="J668" s="55" t="str">
        <f ca="1">IFERROR(__xludf.DUMMYFUNCTION("""COMPUTED_VALUE"""),"Media")</f>
        <v>Media</v>
      </c>
      <c r="K668" s="25">
        <f ca="1">IFERROR(__xludf.DUMMYFUNCTION("""COMPUTED_VALUE"""),8)</f>
        <v>8</v>
      </c>
      <c r="L668" s="62"/>
      <c r="M668" s="25"/>
      <c r="N668" s="25"/>
      <c r="O668" s="25" t="str">
        <f t="shared" ca="1" si="0"/>
        <v>Secretaría Distrital de la Mujer</v>
      </c>
      <c r="P668" s="25" t="str">
        <f t="shared" ca="1" si="2"/>
        <v/>
      </c>
      <c r="Q668" s="25" t="str">
        <f ca="1">IFERROR(__xludf.DUMMYFUNCTION("""COMPUTED_VALUE"""),"Corto plazo")</f>
        <v>Corto plazo</v>
      </c>
      <c r="R668" s="25"/>
      <c r="S668" s="55"/>
      <c r="T668" s="56"/>
      <c r="U668" s="25"/>
      <c r="V668" s="25"/>
      <c r="W668" s="25"/>
      <c r="X668" s="25"/>
      <c r="Y668" s="25"/>
      <c r="Z668" s="25"/>
    </row>
    <row r="669" spans="1:26" ht="52.5" customHeight="1" x14ac:dyDescent="0.25">
      <c r="A669" s="25" t="str">
        <f ca="1">IFERROR(__xludf.DUMMYFUNCTION("""COMPUTED_VALUE"""),"Mujer67")</f>
        <v>Mujer67</v>
      </c>
      <c r="B669" s="25" t="str">
        <f ca="1">IFERROR(__xludf.DUMMYFUNCTION("""COMPUTED_VALUE"""),"Comisión Intersectorial SIDICU")</f>
        <v>Comisión Intersectorial SIDICU</v>
      </c>
      <c r="C669" s="55">
        <f ca="1">IFERROR(__xludf.DUMMYFUNCTION("""COMPUTED_VALUE"""),45071)</f>
        <v>45071</v>
      </c>
      <c r="D669" s="25" t="str">
        <f ca="1">IFERROR(__xludf.DUMMYFUNCTION("""COMPUTED_VALUE"""),"Mujer")</f>
        <v>Mujer</v>
      </c>
      <c r="E669" s="25" t="str">
        <f ca="1">IFERROR(__xludf.DUMMYFUNCTION("""COMPUTED_VALUE"""),"Secretaría Distrital de la Mujer")</f>
        <v>Secretaría Distrital de la Mujer</v>
      </c>
      <c r="F669" s="25" t="str">
        <f ca="1">IFERROR(__xludf.DUMMYFUNCTION("""COMPUTED_VALUE"""),"Este año se debe abrir la manzana del cuidado en la Localidad de Antonio Nariño en su fase I,en la Casa de la Juventud y el bus del cuidado.")</f>
        <v>Este año se debe abrir la manzana del cuidado en la Localidad de Antonio Nariño en su fase I,en la Casa de la Juventud y el bus del cuidado.</v>
      </c>
      <c r="G669" s="25" t="str">
        <f ca="1">IFERROR(__xludf.DUMMYFUNCTION("""COMPUTED_VALUE"""),"15. Antonio Nariño")</f>
        <v>15. Antonio Nariño</v>
      </c>
      <c r="H669" s="55">
        <f ca="1">IFERROR(__xludf.DUMMYFUNCTION("""COMPUTED_VALUE"""),45137)</f>
        <v>45137</v>
      </c>
      <c r="I669" s="25" t="str">
        <f ca="1">IFERROR(__xludf.DUMMYFUNCTION("""COMPUTED_VALUE"""),"Delivery Unit")</f>
        <v>Delivery Unit</v>
      </c>
      <c r="J669" s="55" t="str">
        <f ca="1">IFERROR(__xludf.DUMMYFUNCTION("""COMPUTED_VALUE"""),"Alta")</f>
        <v>Alta</v>
      </c>
      <c r="K669" s="25">
        <f ca="1">IFERROR(__xludf.DUMMYFUNCTION("""COMPUTED_VALUE"""),66)</f>
        <v>66</v>
      </c>
      <c r="L669" s="62"/>
      <c r="M669" s="25"/>
      <c r="N669" s="25"/>
      <c r="O669" s="25" t="str">
        <f t="shared" ca="1" si="0"/>
        <v>Secretaría Distrital de la Mujer</v>
      </c>
      <c r="P669" s="25" t="str">
        <f t="shared" ca="1" si="2"/>
        <v/>
      </c>
      <c r="Q669" s="25" t="str">
        <f ca="1">IFERROR(__xludf.DUMMYFUNCTION("""COMPUTED_VALUE"""),"Mediano plazo")</f>
        <v>Mediano plazo</v>
      </c>
      <c r="R669" s="25"/>
      <c r="S669" s="55"/>
      <c r="T669" s="56"/>
      <c r="U669" s="25"/>
      <c r="V669" s="25"/>
      <c r="W669" s="25"/>
      <c r="X669" s="25"/>
      <c r="Y669" s="25"/>
      <c r="Z669" s="25"/>
    </row>
    <row r="670" spans="1:26" ht="52.5" customHeight="1" x14ac:dyDescent="0.25">
      <c r="A670" s="25" t="str">
        <f ca="1">IFERROR(__xludf.DUMMYFUNCTION("""COMPUTED_VALUE"""),"Mujer68")</f>
        <v>Mujer68</v>
      </c>
      <c r="B670" s="25" t="str">
        <f ca="1">IFERROR(__xludf.DUMMYFUNCTION("""COMPUTED_VALUE"""),"Comisión Intersectorial SIDICU")</f>
        <v>Comisión Intersectorial SIDICU</v>
      </c>
      <c r="C670" s="55">
        <f ca="1">IFERROR(__xludf.DUMMYFUNCTION("""COMPUTED_VALUE"""),45071)</f>
        <v>45071</v>
      </c>
      <c r="D670" s="25" t="str">
        <f ca="1">IFERROR(__xludf.DUMMYFUNCTION("""COMPUTED_VALUE"""),"Mujer")</f>
        <v>Mujer</v>
      </c>
      <c r="E670" s="25" t="str">
        <f ca="1">IFERROR(__xludf.DUMMYFUNCTION("""COMPUTED_VALUE"""),"Secretaría Distrital de la Mujer")</f>
        <v>Secretaría Distrital de la Mujer</v>
      </c>
      <c r="F670" s="25" t="str">
        <f ca="1">IFERROR(__xludf.DUMMYFUNCTION("""COMPUTED_VALUE"""),"Incuir en el presupuesto 2024 la fase II de la manzana del cuidado en Antonio Nariño, con los estudios y diseños del IPES del espacio que tienen ocupado tempralmente o los centros comerciales pequeños")</f>
        <v>Incuir en el presupuesto 2024 la fase II de la manzana del cuidado en Antonio Nariño, con los estudios y diseños del IPES del espacio que tienen ocupado tempralmente o los centros comerciales pequeños</v>
      </c>
      <c r="G670" s="25" t="str">
        <f ca="1">IFERROR(__xludf.DUMMYFUNCTION("""COMPUTED_VALUE"""),"15. Antonio Nariño")</f>
        <v>15. Antonio Nariño</v>
      </c>
      <c r="H670" s="55">
        <f ca="1">IFERROR(__xludf.DUMMYFUNCTION("""COMPUTED_VALUE"""),45168)</f>
        <v>45168</v>
      </c>
      <c r="I670" s="25" t="str">
        <f ca="1">IFERROR(__xludf.DUMMYFUNCTION("""COMPUTED_VALUE"""),"Delivery Unit")</f>
        <v>Delivery Unit</v>
      </c>
      <c r="J670" s="55" t="str">
        <f ca="1">IFERROR(__xludf.DUMMYFUNCTION("""COMPUTED_VALUE"""),"Media")</f>
        <v>Media</v>
      </c>
      <c r="K670" s="25">
        <f ca="1">IFERROR(__xludf.DUMMYFUNCTION("""COMPUTED_VALUE"""),97)</f>
        <v>97</v>
      </c>
      <c r="L670" s="62"/>
      <c r="M670" s="25"/>
      <c r="N670" s="25"/>
      <c r="O670" s="25" t="str">
        <f t="shared" ca="1" si="0"/>
        <v>Secretaría Distrital de la Mujer</v>
      </c>
      <c r="P670" s="25" t="str">
        <f t="shared" ca="1" si="2"/>
        <v/>
      </c>
      <c r="Q670" s="25" t="str">
        <f ca="1">IFERROR(__xludf.DUMMYFUNCTION("""COMPUTED_VALUE"""),"Mediano plazo")</f>
        <v>Mediano plazo</v>
      </c>
      <c r="R670" s="25"/>
      <c r="S670" s="55"/>
      <c r="T670" s="56"/>
      <c r="U670" s="25"/>
      <c r="V670" s="25"/>
      <c r="W670" s="25"/>
      <c r="X670" s="25"/>
      <c r="Y670" s="25"/>
      <c r="Z670" s="25"/>
    </row>
    <row r="671" spans="1:26" ht="52.5" customHeight="1" x14ac:dyDescent="0.25">
      <c r="A671" s="25" t="str">
        <f ca="1">IFERROR(__xludf.DUMMYFUNCTION("""COMPUTED_VALUE"""),"Mujer69")</f>
        <v>Mujer69</v>
      </c>
      <c r="B671" s="25"/>
      <c r="C671" s="55"/>
      <c r="D671" s="25" t="str">
        <f ca="1">IFERROR(__xludf.DUMMYFUNCTION("""COMPUTED_VALUE"""),"Mujer")</f>
        <v>Mujer</v>
      </c>
      <c r="E671" s="25"/>
      <c r="F671" s="25"/>
      <c r="G671" s="25"/>
      <c r="H671" s="25"/>
      <c r="I671" s="25"/>
      <c r="J671" s="55"/>
      <c r="K671" s="25" t="str">
        <f ca="1">IFERROR(__xludf.DUMMYFUNCTION("""COMPUTED_VALUE"""),"Definir fecha")</f>
        <v>Definir fecha</v>
      </c>
      <c r="L671" s="62"/>
      <c r="M671" s="25"/>
      <c r="N671" s="25"/>
      <c r="O671" s="25">
        <f t="shared" si="0"/>
        <v>0</v>
      </c>
      <c r="P671" s="25" t="str">
        <f t="shared" si="2"/>
        <v/>
      </c>
      <c r="Q671" s="25" t="str">
        <f ca="1">IFERROR(__xludf.DUMMYFUNCTION("""COMPUTED_VALUE"""),"Sin defenir")</f>
        <v>Sin defenir</v>
      </c>
      <c r="R671" s="25"/>
      <c r="S671" s="55"/>
      <c r="T671" s="56"/>
      <c r="U671" s="25"/>
      <c r="V671" s="25"/>
      <c r="W671" s="25"/>
      <c r="X671" s="25"/>
      <c r="Y671" s="25"/>
      <c r="Z671" s="25"/>
    </row>
    <row r="672" spans="1:26" ht="52.5" customHeight="1" x14ac:dyDescent="0.25">
      <c r="A672" s="25" t="str">
        <f ca="1">IFERROR(__xludf.DUMMYFUNCTION("""COMPUTED_VALUE"""),"Mujer70")</f>
        <v>Mujer70</v>
      </c>
      <c r="B672" s="25"/>
      <c r="C672" s="55"/>
      <c r="D672" s="25" t="str">
        <f ca="1">IFERROR(__xludf.DUMMYFUNCTION("""COMPUTED_VALUE"""),"Mujer")</f>
        <v>Mujer</v>
      </c>
      <c r="E672" s="25"/>
      <c r="F672" s="25"/>
      <c r="G672" s="25"/>
      <c r="H672" s="25"/>
      <c r="I672" s="25"/>
      <c r="J672" s="55"/>
      <c r="K672" s="25" t="str">
        <f ca="1">IFERROR(__xludf.DUMMYFUNCTION("""COMPUTED_VALUE"""),"Definir fecha")</f>
        <v>Definir fecha</v>
      </c>
      <c r="L672" s="62"/>
      <c r="M672" s="25"/>
      <c r="N672" s="25"/>
      <c r="O672" s="25">
        <f t="shared" si="0"/>
        <v>0</v>
      </c>
      <c r="P672" s="25" t="str">
        <f t="shared" si="2"/>
        <v/>
      </c>
      <c r="Q672" s="25" t="str">
        <f ca="1">IFERROR(__xludf.DUMMYFUNCTION("""COMPUTED_VALUE"""),"Sin defenir")</f>
        <v>Sin defenir</v>
      </c>
      <c r="R672" s="25"/>
      <c r="S672" s="55"/>
      <c r="T672" s="56"/>
      <c r="U672" s="25"/>
      <c r="V672" s="25"/>
      <c r="W672" s="25"/>
      <c r="X672" s="25"/>
      <c r="Y672" s="25"/>
      <c r="Z672" s="25"/>
    </row>
    <row r="673" spans="1:26" ht="52.5" customHeight="1" x14ac:dyDescent="0.25">
      <c r="A673" s="25" t="str">
        <f ca="1">IFERROR(__xludf.DUMMYFUNCTION("""COMPUTED_VALUE"""),"Mujer71")</f>
        <v>Mujer71</v>
      </c>
      <c r="B673" s="25"/>
      <c r="C673" s="55"/>
      <c r="D673" s="25" t="str">
        <f ca="1">IFERROR(__xludf.DUMMYFUNCTION("""COMPUTED_VALUE"""),"Mujer")</f>
        <v>Mujer</v>
      </c>
      <c r="E673" s="25"/>
      <c r="F673" s="25"/>
      <c r="G673" s="25"/>
      <c r="H673" s="25"/>
      <c r="I673" s="25"/>
      <c r="J673" s="55"/>
      <c r="K673" s="25" t="str">
        <f ca="1">IFERROR(__xludf.DUMMYFUNCTION("""COMPUTED_VALUE"""),"Definir fecha")</f>
        <v>Definir fecha</v>
      </c>
      <c r="L673" s="62"/>
      <c r="M673" s="25"/>
      <c r="N673" s="25"/>
      <c r="O673" s="25">
        <f t="shared" si="0"/>
        <v>0</v>
      </c>
      <c r="P673" s="25" t="str">
        <f t="shared" si="2"/>
        <v/>
      </c>
      <c r="Q673" s="25" t="str">
        <f ca="1">IFERROR(__xludf.DUMMYFUNCTION("""COMPUTED_VALUE"""),"Sin defenir")</f>
        <v>Sin defenir</v>
      </c>
      <c r="R673" s="25"/>
      <c r="S673" s="55"/>
      <c r="T673" s="56"/>
      <c r="U673" s="25"/>
      <c r="V673" s="25"/>
      <c r="W673" s="25"/>
      <c r="X673" s="25"/>
      <c r="Y673" s="25"/>
      <c r="Z673" s="25"/>
    </row>
    <row r="674" spans="1:26" ht="52.5" customHeight="1" x14ac:dyDescent="0.25">
      <c r="A674" s="25" t="str">
        <f ca="1">IFERROR(__xludf.DUMMYFUNCTION("""COMPUTED_VALUE"""),"Mujer72")</f>
        <v>Mujer72</v>
      </c>
      <c r="B674" s="25"/>
      <c r="C674" s="55"/>
      <c r="D674" s="25" t="str">
        <f ca="1">IFERROR(__xludf.DUMMYFUNCTION("""COMPUTED_VALUE"""),"Mujer")</f>
        <v>Mujer</v>
      </c>
      <c r="E674" s="25"/>
      <c r="F674" s="25"/>
      <c r="G674" s="25"/>
      <c r="H674" s="25"/>
      <c r="I674" s="25"/>
      <c r="J674" s="55"/>
      <c r="K674" s="25" t="str">
        <f ca="1">IFERROR(__xludf.DUMMYFUNCTION("""COMPUTED_VALUE"""),"Definir fecha")</f>
        <v>Definir fecha</v>
      </c>
      <c r="L674" s="62"/>
      <c r="M674" s="25"/>
      <c r="N674" s="25"/>
      <c r="O674" s="25">
        <f t="shared" si="0"/>
        <v>0</v>
      </c>
      <c r="P674" s="25" t="str">
        <f t="shared" si="2"/>
        <v/>
      </c>
      <c r="Q674" s="25" t="str">
        <f ca="1">IFERROR(__xludf.DUMMYFUNCTION("""COMPUTED_VALUE"""),"Sin defenir")</f>
        <v>Sin defenir</v>
      </c>
      <c r="R674" s="25"/>
      <c r="S674" s="55"/>
      <c r="T674" s="56"/>
      <c r="U674" s="25"/>
      <c r="V674" s="25"/>
      <c r="W674" s="25"/>
      <c r="X674" s="25"/>
      <c r="Y674" s="25"/>
      <c r="Z674" s="25"/>
    </row>
    <row r="675" spans="1:26" ht="52.5" customHeight="1" x14ac:dyDescent="0.25">
      <c r="A675" s="25" t="str">
        <f ca="1">IFERROR(__xludf.DUMMYFUNCTION("""COMPUTED_VALUE"""),"Mujer73")</f>
        <v>Mujer73</v>
      </c>
      <c r="B675" s="25"/>
      <c r="C675" s="55"/>
      <c r="D675" s="25" t="str">
        <f ca="1">IFERROR(__xludf.DUMMYFUNCTION("""COMPUTED_VALUE"""),"Mujer")</f>
        <v>Mujer</v>
      </c>
      <c r="E675" s="25"/>
      <c r="F675" s="25"/>
      <c r="G675" s="25"/>
      <c r="H675" s="25"/>
      <c r="I675" s="25"/>
      <c r="J675" s="55"/>
      <c r="K675" s="25" t="str">
        <f ca="1">IFERROR(__xludf.DUMMYFUNCTION("""COMPUTED_VALUE"""),"Definir fecha")</f>
        <v>Definir fecha</v>
      </c>
      <c r="L675" s="62"/>
      <c r="M675" s="25"/>
      <c r="N675" s="25"/>
      <c r="O675" s="25">
        <f t="shared" si="0"/>
        <v>0</v>
      </c>
      <c r="P675" s="25" t="str">
        <f t="shared" si="2"/>
        <v/>
      </c>
      <c r="Q675" s="25" t="str">
        <f ca="1">IFERROR(__xludf.DUMMYFUNCTION("""COMPUTED_VALUE"""),"Sin defenir")</f>
        <v>Sin defenir</v>
      </c>
      <c r="R675" s="25"/>
      <c r="S675" s="55"/>
      <c r="T675" s="56"/>
      <c r="U675" s="25"/>
      <c r="V675" s="25"/>
      <c r="W675" s="25"/>
      <c r="X675" s="25"/>
      <c r="Y675" s="25"/>
      <c r="Z675" s="25"/>
    </row>
    <row r="676" spans="1:26" ht="52.5" customHeight="1" x14ac:dyDescent="0.25">
      <c r="A676" s="25" t="str">
        <f ca="1">IFERROR(__xludf.DUMMYFUNCTION("""COMPUTED_VALUE"""),"Mujer74")</f>
        <v>Mujer74</v>
      </c>
      <c r="B676" s="25"/>
      <c r="C676" s="55"/>
      <c r="D676" s="25" t="str">
        <f ca="1">IFERROR(__xludf.DUMMYFUNCTION("""COMPUTED_VALUE"""),"Mujer")</f>
        <v>Mujer</v>
      </c>
      <c r="E676" s="25"/>
      <c r="F676" s="25"/>
      <c r="G676" s="25"/>
      <c r="H676" s="25"/>
      <c r="I676" s="25"/>
      <c r="J676" s="55"/>
      <c r="K676" s="25" t="str">
        <f ca="1">IFERROR(__xludf.DUMMYFUNCTION("""COMPUTED_VALUE"""),"Definir fecha")</f>
        <v>Definir fecha</v>
      </c>
      <c r="L676" s="62"/>
      <c r="M676" s="25"/>
      <c r="N676" s="25"/>
      <c r="O676" s="25">
        <f t="shared" si="0"/>
        <v>0</v>
      </c>
      <c r="P676" s="25" t="str">
        <f t="shared" si="2"/>
        <v/>
      </c>
      <c r="Q676" s="25" t="str">
        <f ca="1">IFERROR(__xludf.DUMMYFUNCTION("""COMPUTED_VALUE"""),"Sin defenir")</f>
        <v>Sin defenir</v>
      </c>
      <c r="R676" s="25"/>
      <c r="S676" s="55"/>
      <c r="T676" s="56"/>
      <c r="U676" s="25"/>
      <c r="V676" s="25"/>
      <c r="W676" s="25"/>
      <c r="X676" s="25"/>
      <c r="Y676" s="25"/>
      <c r="Z676" s="25"/>
    </row>
    <row r="677" spans="1:26" ht="52.5" customHeight="1" x14ac:dyDescent="0.25">
      <c r="A677" s="25" t="str">
        <f ca="1">IFERROR(__xludf.DUMMYFUNCTION("""COMPUTED_VALUE"""),"Mujer75")</f>
        <v>Mujer75</v>
      </c>
      <c r="B677" s="25"/>
      <c r="C677" s="55"/>
      <c r="D677" s="25" t="str">
        <f ca="1">IFERROR(__xludf.DUMMYFUNCTION("""COMPUTED_VALUE"""),"Mujer")</f>
        <v>Mujer</v>
      </c>
      <c r="E677" s="25"/>
      <c r="F677" s="25"/>
      <c r="G677" s="25"/>
      <c r="H677" s="25"/>
      <c r="I677" s="25"/>
      <c r="J677" s="55"/>
      <c r="K677" s="25" t="str">
        <f ca="1">IFERROR(__xludf.DUMMYFUNCTION("""COMPUTED_VALUE"""),"Definir fecha")</f>
        <v>Definir fecha</v>
      </c>
      <c r="L677" s="62"/>
      <c r="M677" s="25"/>
      <c r="N677" s="25"/>
      <c r="O677" s="25">
        <f t="shared" si="0"/>
        <v>0</v>
      </c>
      <c r="P677" s="25" t="str">
        <f t="shared" si="2"/>
        <v/>
      </c>
      <c r="Q677" s="25" t="str">
        <f ca="1">IFERROR(__xludf.DUMMYFUNCTION("""COMPUTED_VALUE"""),"Sin defenir")</f>
        <v>Sin defenir</v>
      </c>
      <c r="R677" s="25"/>
      <c r="S677" s="55"/>
      <c r="T677" s="56"/>
      <c r="U677" s="25"/>
      <c r="V677" s="25"/>
      <c r="W677" s="25"/>
      <c r="X677" s="25"/>
      <c r="Y677" s="25"/>
      <c r="Z677" s="25"/>
    </row>
    <row r="678" spans="1:26" ht="52.5" customHeight="1" x14ac:dyDescent="0.25">
      <c r="A678" s="25" t="str">
        <f ca="1">IFERROR(__xludf.DUMMYFUNCTION("""COMPUTED_VALUE"""),"Mujer76")</f>
        <v>Mujer76</v>
      </c>
      <c r="B678" s="25"/>
      <c r="C678" s="55"/>
      <c r="D678" s="25" t="str">
        <f ca="1">IFERROR(__xludf.DUMMYFUNCTION("""COMPUTED_VALUE"""),"Mujer")</f>
        <v>Mujer</v>
      </c>
      <c r="E678" s="25"/>
      <c r="F678" s="25"/>
      <c r="G678" s="25"/>
      <c r="H678" s="25"/>
      <c r="I678" s="25"/>
      <c r="J678" s="55"/>
      <c r="K678" s="25" t="str">
        <f ca="1">IFERROR(__xludf.DUMMYFUNCTION("""COMPUTED_VALUE"""),"Definir fecha")</f>
        <v>Definir fecha</v>
      </c>
      <c r="L678" s="62"/>
      <c r="M678" s="25"/>
      <c r="N678" s="25"/>
      <c r="O678" s="25">
        <f t="shared" si="0"/>
        <v>0</v>
      </c>
      <c r="P678" s="25" t="str">
        <f t="shared" si="2"/>
        <v/>
      </c>
      <c r="Q678" s="25" t="str">
        <f ca="1">IFERROR(__xludf.DUMMYFUNCTION("""COMPUTED_VALUE"""),"Sin defenir")</f>
        <v>Sin defenir</v>
      </c>
      <c r="R678" s="25"/>
      <c r="S678" s="55"/>
      <c r="T678" s="56"/>
      <c r="U678" s="25"/>
      <c r="V678" s="25"/>
      <c r="W678" s="25"/>
      <c r="X678" s="25"/>
      <c r="Y678" s="25"/>
      <c r="Z678" s="25"/>
    </row>
    <row r="679" spans="1:26" ht="52.5" customHeight="1" x14ac:dyDescent="0.25">
      <c r="A679" s="25" t="str">
        <f ca="1">IFERROR(__xludf.DUMMYFUNCTION("""COMPUTED_VALUE"""),"Mujer77")</f>
        <v>Mujer77</v>
      </c>
      <c r="B679" s="25"/>
      <c r="C679" s="55"/>
      <c r="D679" s="25" t="str">
        <f ca="1">IFERROR(__xludf.DUMMYFUNCTION("""COMPUTED_VALUE"""),"Mujer")</f>
        <v>Mujer</v>
      </c>
      <c r="E679" s="25"/>
      <c r="F679" s="25"/>
      <c r="G679" s="25"/>
      <c r="H679" s="25"/>
      <c r="I679" s="25"/>
      <c r="J679" s="55"/>
      <c r="K679" s="25" t="str">
        <f ca="1">IFERROR(__xludf.DUMMYFUNCTION("""COMPUTED_VALUE"""),"Definir fecha")</f>
        <v>Definir fecha</v>
      </c>
      <c r="L679" s="62"/>
      <c r="M679" s="25"/>
      <c r="N679" s="25"/>
      <c r="O679" s="25">
        <f t="shared" si="0"/>
        <v>0</v>
      </c>
      <c r="P679" s="25" t="str">
        <f t="shared" si="2"/>
        <v/>
      </c>
      <c r="Q679" s="25" t="str">
        <f ca="1">IFERROR(__xludf.DUMMYFUNCTION("""COMPUTED_VALUE"""),"Sin defenir")</f>
        <v>Sin defenir</v>
      </c>
      <c r="R679" s="25"/>
      <c r="S679" s="55"/>
      <c r="T679" s="56"/>
      <c r="U679" s="25"/>
      <c r="V679" s="25"/>
      <c r="W679" s="25"/>
      <c r="X679" s="25"/>
      <c r="Y679" s="25"/>
      <c r="Z679" s="25"/>
    </row>
    <row r="680" spans="1:26" ht="52.5" customHeight="1" x14ac:dyDescent="0.25">
      <c r="A680" s="25" t="str">
        <f ca="1">IFERROR(__xludf.DUMMYFUNCTION("""COMPUTED_VALUE"""),"Mujer78")</f>
        <v>Mujer78</v>
      </c>
      <c r="B680" s="25"/>
      <c r="C680" s="55"/>
      <c r="D680" s="25" t="str">
        <f ca="1">IFERROR(__xludf.DUMMYFUNCTION("""COMPUTED_VALUE"""),"Mujer")</f>
        <v>Mujer</v>
      </c>
      <c r="E680" s="25"/>
      <c r="F680" s="25"/>
      <c r="G680" s="25"/>
      <c r="H680" s="25"/>
      <c r="I680" s="25"/>
      <c r="J680" s="55"/>
      <c r="K680" s="25" t="str">
        <f ca="1">IFERROR(__xludf.DUMMYFUNCTION("""COMPUTED_VALUE"""),"Definir fecha")</f>
        <v>Definir fecha</v>
      </c>
      <c r="L680" s="62"/>
      <c r="M680" s="25"/>
      <c r="N680" s="25"/>
      <c r="O680" s="25">
        <f t="shared" si="0"/>
        <v>0</v>
      </c>
      <c r="P680" s="25" t="str">
        <f t="shared" si="2"/>
        <v/>
      </c>
      <c r="Q680" s="25" t="str">
        <f ca="1">IFERROR(__xludf.DUMMYFUNCTION("""COMPUTED_VALUE"""),"Sin defenir")</f>
        <v>Sin defenir</v>
      </c>
      <c r="R680" s="25"/>
      <c r="S680" s="55"/>
      <c r="T680" s="56"/>
      <c r="U680" s="25"/>
      <c r="V680" s="25"/>
      <c r="W680" s="25"/>
      <c r="X680" s="25"/>
      <c r="Y680" s="25"/>
      <c r="Z680" s="25"/>
    </row>
    <row r="681" spans="1:26" ht="52.5" customHeight="1" x14ac:dyDescent="0.25">
      <c r="A681" s="25" t="str">
        <f ca="1">IFERROR(__xludf.DUMMYFUNCTION("""COMPUTED_VALUE"""),"Mujer79")</f>
        <v>Mujer79</v>
      </c>
      <c r="B681" s="25"/>
      <c r="C681" s="55"/>
      <c r="D681" s="25" t="str">
        <f ca="1">IFERROR(__xludf.DUMMYFUNCTION("""COMPUTED_VALUE"""),"Mujer")</f>
        <v>Mujer</v>
      </c>
      <c r="E681" s="25"/>
      <c r="F681" s="25"/>
      <c r="G681" s="25"/>
      <c r="H681" s="25"/>
      <c r="I681" s="25"/>
      <c r="J681" s="55"/>
      <c r="K681" s="25" t="str">
        <f ca="1">IFERROR(__xludf.DUMMYFUNCTION("""COMPUTED_VALUE"""),"Definir fecha")</f>
        <v>Definir fecha</v>
      </c>
      <c r="L681" s="62"/>
      <c r="M681" s="25"/>
      <c r="N681" s="25"/>
      <c r="O681" s="25">
        <f t="shared" si="0"/>
        <v>0</v>
      </c>
      <c r="P681" s="25" t="str">
        <f t="shared" si="2"/>
        <v/>
      </c>
      <c r="Q681" s="25" t="str">
        <f ca="1">IFERROR(__xludf.DUMMYFUNCTION("""COMPUTED_VALUE"""),"Sin defenir")</f>
        <v>Sin defenir</v>
      </c>
      <c r="R681" s="25"/>
      <c r="S681" s="55"/>
      <c r="T681" s="56"/>
      <c r="U681" s="25"/>
      <c r="V681" s="25"/>
      <c r="W681" s="25"/>
      <c r="X681" s="25"/>
      <c r="Y681" s="25"/>
      <c r="Z681" s="25"/>
    </row>
    <row r="682" spans="1:26" ht="52.5" customHeight="1" x14ac:dyDescent="0.25">
      <c r="A682" s="25" t="str">
        <f ca="1">IFERROR(__xludf.DUMMYFUNCTION("""COMPUTED_VALUE"""),"Mujer80")</f>
        <v>Mujer80</v>
      </c>
      <c r="B682" s="25"/>
      <c r="C682" s="55"/>
      <c r="D682" s="25" t="str">
        <f ca="1">IFERROR(__xludf.DUMMYFUNCTION("""COMPUTED_VALUE"""),"Mujer")</f>
        <v>Mujer</v>
      </c>
      <c r="E682" s="25"/>
      <c r="F682" s="25"/>
      <c r="G682" s="25"/>
      <c r="H682" s="25"/>
      <c r="I682" s="25"/>
      <c r="J682" s="55"/>
      <c r="K682" s="25" t="str">
        <f ca="1">IFERROR(__xludf.DUMMYFUNCTION("""COMPUTED_VALUE"""),"Definir fecha")</f>
        <v>Definir fecha</v>
      </c>
      <c r="L682" s="62"/>
      <c r="M682" s="25"/>
      <c r="N682" s="25"/>
      <c r="O682" s="25">
        <f t="shared" si="0"/>
        <v>0</v>
      </c>
      <c r="P682" s="25" t="str">
        <f t="shared" si="2"/>
        <v/>
      </c>
      <c r="Q682" s="25" t="str">
        <f ca="1">IFERROR(__xludf.DUMMYFUNCTION("""COMPUTED_VALUE"""),"Sin defenir")</f>
        <v>Sin defenir</v>
      </c>
      <c r="R682" s="25"/>
      <c r="S682" s="55"/>
      <c r="T682" s="56"/>
      <c r="U682" s="25"/>
      <c r="V682" s="25"/>
      <c r="W682" s="25"/>
      <c r="X682" s="25"/>
      <c r="Y682" s="25"/>
      <c r="Z682" s="25"/>
    </row>
    <row r="683" spans="1:26" ht="52.5" customHeight="1" x14ac:dyDescent="0.25">
      <c r="A683" s="25" t="str">
        <f ca="1">IFERROR(__xludf.DUMMYFUNCTION("""COMPUTED_VALUE"""),"Mujer81")</f>
        <v>Mujer81</v>
      </c>
      <c r="B683" s="25"/>
      <c r="C683" s="55"/>
      <c r="D683" s="25" t="str">
        <f ca="1">IFERROR(__xludf.DUMMYFUNCTION("""COMPUTED_VALUE"""),"Mujer")</f>
        <v>Mujer</v>
      </c>
      <c r="E683" s="25"/>
      <c r="F683" s="25"/>
      <c r="G683" s="25"/>
      <c r="H683" s="25"/>
      <c r="I683" s="25"/>
      <c r="J683" s="55"/>
      <c r="K683" s="25" t="str">
        <f ca="1">IFERROR(__xludf.DUMMYFUNCTION("""COMPUTED_VALUE"""),"Definir fecha")</f>
        <v>Definir fecha</v>
      </c>
      <c r="L683" s="62"/>
      <c r="M683" s="25"/>
      <c r="N683" s="25"/>
      <c r="O683" s="25">
        <f t="shared" si="0"/>
        <v>0</v>
      </c>
      <c r="P683" s="25" t="str">
        <f t="shared" si="2"/>
        <v/>
      </c>
      <c r="Q683" s="25" t="str">
        <f ca="1">IFERROR(__xludf.DUMMYFUNCTION("""COMPUTED_VALUE"""),"Sin defenir")</f>
        <v>Sin defenir</v>
      </c>
      <c r="R683" s="25"/>
      <c r="S683" s="55"/>
      <c r="T683" s="56"/>
      <c r="U683" s="25"/>
      <c r="V683" s="25"/>
      <c r="W683" s="25"/>
      <c r="X683" s="25"/>
      <c r="Y683" s="25"/>
      <c r="Z683" s="25"/>
    </row>
    <row r="684" spans="1:26" ht="52.5" customHeight="1" x14ac:dyDescent="0.25">
      <c r="A684" s="25" t="str">
        <f ca="1">IFERROR(__xludf.DUMMYFUNCTION("""COMPUTED_VALUE"""),"Mujer82")</f>
        <v>Mujer82</v>
      </c>
      <c r="B684" s="25"/>
      <c r="C684" s="55"/>
      <c r="D684" s="25" t="str">
        <f ca="1">IFERROR(__xludf.DUMMYFUNCTION("""COMPUTED_VALUE"""),"Mujer")</f>
        <v>Mujer</v>
      </c>
      <c r="E684" s="25"/>
      <c r="F684" s="25"/>
      <c r="G684" s="25"/>
      <c r="H684" s="25"/>
      <c r="I684" s="25"/>
      <c r="J684" s="55"/>
      <c r="K684" s="25" t="str">
        <f ca="1">IFERROR(__xludf.DUMMYFUNCTION("""COMPUTED_VALUE"""),"Definir fecha")</f>
        <v>Definir fecha</v>
      </c>
      <c r="L684" s="62"/>
      <c r="M684" s="25"/>
      <c r="N684" s="25"/>
      <c r="O684" s="25">
        <f t="shared" si="0"/>
        <v>0</v>
      </c>
      <c r="P684" s="25" t="str">
        <f t="shared" si="2"/>
        <v/>
      </c>
      <c r="Q684" s="25" t="str">
        <f ca="1">IFERROR(__xludf.DUMMYFUNCTION("""COMPUTED_VALUE"""),"Sin defenir")</f>
        <v>Sin defenir</v>
      </c>
      <c r="R684" s="25"/>
      <c r="S684" s="55"/>
      <c r="T684" s="56"/>
      <c r="U684" s="25"/>
      <c r="V684" s="25"/>
      <c r="W684" s="25"/>
      <c r="X684" s="25"/>
      <c r="Y684" s="25"/>
      <c r="Z684" s="25"/>
    </row>
    <row r="685" spans="1:26" ht="52.5" customHeight="1" x14ac:dyDescent="0.25">
      <c r="A685" s="25" t="str">
        <f ca="1">IFERROR(__xludf.DUMMYFUNCTION("""COMPUTED_VALUE"""),"Mujer83")</f>
        <v>Mujer83</v>
      </c>
      <c r="B685" s="25"/>
      <c r="C685" s="55"/>
      <c r="D685" s="25" t="str">
        <f ca="1">IFERROR(__xludf.DUMMYFUNCTION("""COMPUTED_VALUE"""),"Mujer")</f>
        <v>Mujer</v>
      </c>
      <c r="E685" s="25"/>
      <c r="F685" s="25"/>
      <c r="G685" s="25"/>
      <c r="H685" s="25"/>
      <c r="I685" s="25"/>
      <c r="J685" s="55"/>
      <c r="K685" s="25" t="str">
        <f ca="1">IFERROR(__xludf.DUMMYFUNCTION("""COMPUTED_VALUE"""),"Definir fecha")</f>
        <v>Definir fecha</v>
      </c>
      <c r="L685" s="62"/>
      <c r="M685" s="25"/>
      <c r="N685" s="25"/>
      <c r="O685" s="25">
        <f t="shared" si="0"/>
        <v>0</v>
      </c>
      <c r="P685" s="25" t="str">
        <f t="shared" si="2"/>
        <v/>
      </c>
      <c r="Q685" s="25" t="str">
        <f ca="1">IFERROR(__xludf.DUMMYFUNCTION("""COMPUTED_VALUE"""),"Sin defenir")</f>
        <v>Sin defenir</v>
      </c>
      <c r="R685" s="25"/>
      <c r="S685" s="55"/>
      <c r="T685" s="56"/>
      <c r="U685" s="25"/>
      <c r="V685" s="25"/>
      <c r="W685" s="25"/>
      <c r="X685" s="25"/>
      <c r="Y685" s="25"/>
      <c r="Z685" s="25"/>
    </row>
    <row r="686" spans="1:26" ht="52.5" customHeight="1" x14ac:dyDescent="0.25">
      <c r="A686" s="25" t="str">
        <f ca="1">IFERROR(__xludf.DUMMYFUNCTION("""COMPUTED_VALUE"""),"Mujer84")</f>
        <v>Mujer84</v>
      </c>
      <c r="B686" s="25"/>
      <c r="C686" s="55"/>
      <c r="D686" s="25" t="str">
        <f ca="1">IFERROR(__xludf.DUMMYFUNCTION("""COMPUTED_VALUE"""),"Mujer")</f>
        <v>Mujer</v>
      </c>
      <c r="E686" s="25"/>
      <c r="F686" s="25"/>
      <c r="G686" s="25"/>
      <c r="H686" s="25"/>
      <c r="I686" s="25"/>
      <c r="J686" s="55"/>
      <c r="K686" s="25" t="str">
        <f ca="1">IFERROR(__xludf.DUMMYFUNCTION("""COMPUTED_VALUE"""),"Definir fecha")</f>
        <v>Definir fecha</v>
      </c>
      <c r="L686" s="62"/>
      <c r="M686" s="25"/>
      <c r="N686" s="25"/>
      <c r="O686" s="25">
        <f t="shared" si="0"/>
        <v>0</v>
      </c>
      <c r="P686" s="25" t="str">
        <f t="shared" si="2"/>
        <v/>
      </c>
      <c r="Q686" s="25" t="str">
        <f ca="1">IFERROR(__xludf.DUMMYFUNCTION("""COMPUTED_VALUE"""),"Sin defenir")</f>
        <v>Sin defenir</v>
      </c>
      <c r="R686" s="25"/>
      <c r="S686" s="55"/>
      <c r="T686" s="56"/>
      <c r="U686" s="25"/>
      <c r="V686" s="25"/>
      <c r="W686" s="25"/>
      <c r="X686" s="25"/>
      <c r="Y686" s="25"/>
      <c r="Z686" s="25"/>
    </row>
    <row r="687" spans="1:26" ht="52.5" customHeight="1" x14ac:dyDescent="0.25">
      <c r="A687" s="25" t="str">
        <f ca="1">IFERROR(__xludf.DUMMYFUNCTION("""COMPUTED_VALUE"""),"Mujer85")</f>
        <v>Mujer85</v>
      </c>
      <c r="B687" s="25"/>
      <c r="C687" s="55"/>
      <c r="D687" s="25" t="str">
        <f ca="1">IFERROR(__xludf.DUMMYFUNCTION("""COMPUTED_VALUE"""),"Mujer")</f>
        <v>Mujer</v>
      </c>
      <c r="E687" s="25"/>
      <c r="F687" s="25"/>
      <c r="G687" s="25"/>
      <c r="H687" s="25"/>
      <c r="I687" s="25"/>
      <c r="J687" s="55"/>
      <c r="K687" s="25" t="str">
        <f ca="1">IFERROR(__xludf.DUMMYFUNCTION("""COMPUTED_VALUE"""),"Definir fecha")</f>
        <v>Definir fecha</v>
      </c>
      <c r="L687" s="62"/>
      <c r="M687" s="25"/>
      <c r="N687" s="25"/>
      <c r="O687" s="25">
        <f t="shared" si="0"/>
        <v>0</v>
      </c>
      <c r="P687" s="25" t="str">
        <f t="shared" si="2"/>
        <v/>
      </c>
      <c r="Q687" s="25" t="str">
        <f ca="1">IFERROR(__xludf.DUMMYFUNCTION("""COMPUTED_VALUE"""),"Sin defenir")</f>
        <v>Sin defenir</v>
      </c>
      <c r="R687" s="25"/>
      <c r="S687" s="55"/>
      <c r="T687" s="56"/>
      <c r="U687" s="25"/>
      <c r="V687" s="25"/>
      <c r="W687" s="25"/>
      <c r="X687" s="25"/>
      <c r="Y687" s="25"/>
      <c r="Z687" s="25"/>
    </row>
    <row r="688" spans="1:26" ht="52.5" customHeight="1" x14ac:dyDescent="0.25">
      <c r="A688" s="25" t="str">
        <f ca="1">IFERROR(__xludf.DUMMYFUNCTION("""COMPUTED_VALUE"""),"Mujer86")</f>
        <v>Mujer86</v>
      </c>
      <c r="B688" s="25"/>
      <c r="C688" s="55"/>
      <c r="D688" s="25" t="str">
        <f ca="1">IFERROR(__xludf.DUMMYFUNCTION("""COMPUTED_VALUE"""),"Mujer")</f>
        <v>Mujer</v>
      </c>
      <c r="E688" s="25"/>
      <c r="F688" s="25"/>
      <c r="G688" s="25"/>
      <c r="H688" s="25"/>
      <c r="I688" s="25"/>
      <c r="J688" s="55"/>
      <c r="K688" s="25" t="str">
        <f ca="1">IFERROR(__xludf.DUMMYFUNCTION("""COMPUTED_VALUE"""),"Definir fecha")</f>
        <v>Definir fecha</v>
      </c>
      <c r="L688" s="62"/>
      <c r="M688" s="25"/>
      <c r="N688" s="25"/>
      <c r="O688" s="25">
        <f t="shared" si="0"/>
        <v>0</v>
      </c>
      <c r="P688" s="25" t="str">
        <f t="shared" si="2"/>
        <v/>
      </c>
      <c r="Q688" s="25" t="str">
        <f ca="1">IFERROR(__xludf.DUMMYFUNCTION("""COMPUTED_VALUE"""),"Sin defenir")</f>
        <v>Sin defenir</v>
      </c>
      <c r="R688" s="25"/>
      <c r="S688" s="55"/>
      <c r="T688" s="56"/>
      <c r="U688" s="25"/>
      <c r="V688" s="25"/>
      <c r="W688" s="25"/>
      <c r="X688" s="25"/>
      <c r="Y688" s="25"/>
      <c r="Z688" s="25"/>
    </row>
    <row r="689" spans="1:26" ht="52.5" customHeight="1" x14ac:dyDescent="0.25">
      <c r="A689" s="25" t="str">
        <f ca="1">IFERROR(__xludf.DUMMYFUNCTION("""COMPUTED_VALUE"""),"Mujer87")</f>
        <v>Mujer87</v>
      </c>
      <c r="B689" s="25"/>
      <c r="C689" s="55"/>
      <c r="D689" s="25" t="str">
        <f ca="1">IFERROR(__xludf.DUMMYFUNCTION("""COMPUTED_VALUE"""),"Mujer")</f>
        <v>Mujer</v>
      </c>
      <c r="E689" s="25"/>
      <c r="F689" s="25"/>
      <c r="G689" s="25"/>
      <c r="H689" s="25"/>
      <c r="I689" s="25"/>
      <c r="J689" s="55"/>
      <c r="K689" s="25" t="str">
        <f ca="1">IFERROR(__xludf.DUMMYFUNCTION("""COMPUTED_VALUE"""),"Definir fecha")</f>
        <v>Definir fecha</v>
      </c>
      <c r="L689" s="62"/>
      <c r="M689" s="25"/>
      <c r="N689" s="25"/>
      <c r="O689" s="25">
        <f t="shared" si="0"/>
        <v>0</v>
      </c>
      <c r="P689" s="25" t="str">
        <f t="shared" si="2"/>
        <v/>
      </c>
      <c r="Q689" s="25" t="str">
        <f ca="1">IFERROR(__xludf.DUMMYFUNCTION("""COMPUTED_VALUE"""),"Sin defenir")</f>
        <v>Sin defenir</v>
      </c>
      <c r="R689" s="25"/>
      <c r="S689" s="55"/>
      <c r="T689" s="56"/>
      <c r="U689" s="25"/>
      <c r="V689" s="25"/>
      <c r="W689" s="25"/>
      <c r="X689" s="25"/>
      <c r="Y689" s="25"/>
      <c r="Z689" s="25"/>
    </row>
    <row r="690" spans="1:26" ht="52.5" customHeight="1" x14ac:dyDescent="0.25">
      <c r="A690" s="25" t="str">
        <f ca="1">IFERROR(__xludf.DUMMYFUNCTION("""COMPUTED_VALUE"""),"Mujer88")</f>
        <v>Mujer88</v>
      </c>
      <c r="B690" s="25"/>
      <c r="C690" s="55"/>
      <c r="D690" s="25" t="str">
        <f ca="1">IFERROR(__xludf.DUMMYFUNCTION("""COMPUTED_VALUE"""),"Mujer")</f>
        <v>Mujer</v>
      </c>
      <c r="E690" s="25"/>
      <c r="F690" s="25"/>
      <c r="G690" s="25"/>
      <c r="H690" s="25"/>
      <c r="I690" s="25"/>
      <c r="J690" s="55"/>
      <c r="K690" s="25" t="str">
        <f ca="1">IFERROR(__xludf.DUMMYFUNCTION("""COMPUTED_VALUE"""),"Definir fecha")</f>
        <v>Definir fecha</v>
      </c>
      <c r="L690" s="62"/>
      <c r="M690" s="25"/>
      <c r="N690" s="25"/>
      <c r="O690" s="25">
        <f t="shared" si="0"/>
        <v>0</v>
      </c>
      <c r="P690" s="25" t="str">
        <f t="shared" si="2"/>
        <v/>
      </c>
      <c r="Q690" s="25" t="str">
        <f ca="1">IFERROR(__xludf.DUMMYFUNCTION("""COMPUTED_VALUE"""),"Sin defenir")</f>
        <v>Sin defenir</v>
      </c>
      <c r="R690" s="25"/>
      <c r="S690" s="55"/>
      <c r="T690" s="56"/>
      <c r="U690" s="25"/>
      <c r="V690" s="25"/>
      <c r="W690" s="25"/>
      <c r="X690" s="25"/>
      <c r="Y690" s="25"/>
      <c r="Z690" s="25"/>
    </row>
    <row r="691" spans="1:26" ht="52.5" customHeight="1" x14ac:dyDescent="0.25">
      <c r="A691" s="25" t="str">
        <f ca="1">IFERROR(__xludf.DUMMYFUNCTION("""COMPUTED_VALUE"""),"Mujer89")</f>
        <v>Mujer89</v>
      </c>
      <c r="B691" s="25"/>
      <c r="C691" s="55"/>
      <c r="D691" s="25" t="str">
        <f ca="1">IFERROR(__xludf.DUMMYFUNCTION("""COMPUTED_VALUE"""),"Mujer")</f>
        <v>Mujer</v>
      </c>
      <c r="E691" s="25"/>
      <c r="F691" s="25"/>
      <c r="G691" s="25"/>
      <c r="H691" s="25"/>
      <c r="I691" s="25"/>
      <c r="J691" s="55"/>
      <c r="K691" s="25" t="str">
        <f ca="1">IFERROR(__xludf.DUMMYFUNCTION("""COMPUTED_VALUE"""),"Definir fecha")</f>
        <v>Definir fecha</v>
      </c>
      <c r="L691" s="62"/>
      <c r="M691" s="25"/>
      <c r="N691" s="25"/>
      <c r="O691" s="25">
        <f t="shared" si="0"/>
        <v>0</v>
      </c>
      <c r="P691" s="25" t="str">
        <f t="shared" si="2"/>
        <v/>
      </c>
      <c r="Q691" s="25" t="str">
        <f ca="1">IFERROR(__xludf.DUMMYFUNCTION("""COMPUTED_VALUE"""),"Sin defenir")</f>
        <v>Sin defenir</v>
      </c>
      <c r="R691" s="25"/>
      <c r="S691" s="55"/>
      <c r="T691" s="56"/>
      <c r="U691" s="25"/>
      <c r="V691" s="25"/>
      <c r="W691" s="25"/>
      <c r="X691" s="25"/>
      <c r="Y691" s="25"/>
      <c r="Z691" s="25"/>
    </row>
    <row r="692" spans="1:26" ht="52.5" customHeight="1" x14ac:dyDescent="0.25">
      <c r="A692" s="25" t="str">
        <f ca="1">IFERROR(__xludf.DUMMYFUNCTION("""COMPUTED_VALUE"""),"Mujer90")</f>
        <v>Mujer90</v>
      </c>
      <c r="B692" s="25"/>
      <c r="C692" s="55"/>
      <c r="D692" s="25" t="str">
        <f ca="1">IFERROR(__xludf.DUMMYFUNCTION("""COMPUTED_VALUE"""),"Mujer")</f>
        <v>Mujer</v>
      </c>
      <c r="E692" s="25"/>
      <c r="F692" s="25"/>
      <c r="G692" s="25"/>
      <c r="H692" s="25"/>
      <c r="I692" s="25"/>
      <c r="J692" s="55"/>
      <c r="K692" s="25" t="str">
        <f ca="1">IFERROR(__xludf.DUMMYFUNCTION("""COMPUTED_VALUE"""),"Definir fecha")</f>
        <v>Definir fecha</v>
      </c>
      <c r="L692" s="62"/>
      <c r="M692" s="25"/>
      <c r="N692" s="25"/>
      <c r="O692" s="25">
        <f t="shared" si="0"/>
        <v>0</v>
      </c>
      <c r="P692" s="25" t="str">
        <f t="shared" si="2"/>
        <v/>
      </c>
      <c r="Q692" s="25" t="str">
        <f ca="1">IFERROR(__xludf.DUMMYFUNCTION("""COMPUTED_VALUE"""),"Sin defenir")</f>
        <v>Sin defenir</v>
      </c>
      <c r="R692" s="25"/>
      <c r="S692" s="55"/>
      <c r="T692" s="56"/>
      <c r="U692" s="25"/>
      <c r="V692" s="25"/>
      <c r="W692" s="25"/>
      <c r="X692" s="25"/>
      <c r="Y692" s="25"/>
      <c r="Z692" s="25"/>
    </row>
    <row r="693" spans="1:26" ht="52.5" customHeight="1" x14ac:dyDescent="0.25">
      <c r="A693" s="25" t="str">
        <f ca="1">IFERROR(__xludf.DUMMYFUNCTION("""COMPUTED_VALUE"""),"Mujer91")</f>
        <v>Mujer91</v>
      </c>
      <c r="B693" s="25"/>
      <c r="C693" s="55"/>
      <c r="D693" s="25" t="str">
        <f ca="1">IFERROR(__xludf.DUMMYFUNCTION("""COMPUTED_VALUE"""),"Mujer")</f>
        <v>Mujer</v>
      </c>
      <c r="E693" s="25"/>
      <c r="F693" s="25"/>
      <c r="G693" s="25"/>
      <c r="H693" s="25"/>
      <c r="I693" s="25"/>
      <c r="J693" s="55"/>
      <c r="K693" s="25" t="str">
        <f ca="1">IFERROR(__xludf.DUMMYFUNCTION("""COMPUTED_VALUE"""),"Definir fecha")</f>
        <v>Definir fecha</v>
      </c>
      <c r="L693" s="62"/>
      <c r="M693" s="25"/>
      <c r="N693" s="25"/>
      <c r="O693" s="25">
        <f t="shared" si="0"/>
        <v>0</v>
      </c>
      <c r="P693" s="25" t="str">
        <f t="shared" si="2"/>
        <v/>
      </c>
      <c r="Q693" s="25" t="str">
        <f ca="1">IFERROR(__xludf.DUMMYFUNCTION("""COMPUTED_VALUE"""),"Sin defenir")</f>
        <v>Sin defenir</v>
      </c>
      <c r="R693" s="25"/>
      <c r="S693" s="55"/>
      <c r="T693" s="56"/>
      <c r="U693" s="25"/>
      <c r="V693" s="25"/>
      <c r="W693" s="25"/>
      <c r="X693" s="25"/>
      <c r="Y693" s="25"/>
      <c r="Z693" s="25"/>
    </row>
    <row r="694" spans="1:26" ht="52.5" customHeight="1" x14ac:dyDescent="0.25">
      <c r="A694" s="25" t="str">
        <f ca="1">IFERROR(__xludf.DUMMYFUNCTION("""COMPUTED_VALUE"""),"Mujer92")</f>
        <v>Mujer92</v>
      </c>
      <c r="B694" s="25"/>
      <c r="C694" s="55"/>
      <c r="D694" s="25" t="str">
        <f ca="1">IFERROR(__xludf.DUMMYFUNCTION("""COMPUTED_VALUE"""),"Mujer")</f>
        <v>Mujer</v>
      </c>
      <c r="E694" s="25"/>
      <c r="F694" s="25"/>
      <c r="G694" s="25"/>
      <c r="H694" s="25"/>
      <c r="I694" s="25"/>
      <c r="J694" s="55"/>
      <c r="K694" s="25" t="str">
        <f ca="1">IFERROR(__xludf.DUMMYFUNCTION("""COMPUTED_VALUE"""),"Definir fecha")</f>
        <v>Definir fecha</v>
      </c>
      <c r="L694" s="62"/>
      <c r="M694" s="25"/>
      <c r="N694" s="25"/>
      <c r="O694" s="25">
        <f t="shared" si="0"/>
        <v>0</v>
      </c>
      <c r="P694" s="25" t="str">
        <f t="shared" si="2"/>
        <v/>
      </c>
      <c r="Q694" s="25" t="str">
        <f ca="1">IFERROR(__xludf.DUMMYFUNCTION("""COMPUTED_VALUE"""),"Sin defenir")</f>
        <v>Sin defenir</v>
      </c>
      <c r="R694" s="25"/>
      <c r="S694" s="55"/>
      <c r="T694" s="56"/>
      <c r="U694" s="25"/>
      <c r="V694" s="25"/>
      <c r="W694" s="25"/>
      <c r="X694" s="25"/>
      <c r="Y694" s="25"/>
      <c r="Z694" s="25"/>
    </row>
    <row r="695" spans="1:26" ht="52.5" customHeight="1" x14ac:dyDescent="0.25">
      <c r="A695" s="25" t="str">
        <f ca="1">IFERROR(__xludf.DUMMYFUNCTION("""COMPUTED_VALUE"""),"Mujer93")</f>
        <v>Mujer93</v>
      </c>
      <c r="B695" s="25"/>
      <c r="C695" s="55"/>
      <c r="D695" s="25" t="str">
        <f ca="1">IFERROR(__xludf.DUMMYFUNCTION("""COMPUTED_VALUE"""),"Mujer")</f>
        <v>Mujer</v>
      </c>
      <c r="E695" s="25"/>
      <c r="F695" s="25"/>
      <c r="G695" s="25"/>
      <c r="H695" s="25"/>
      <c r="I695" s="25"/>
      <c r="J695" s="55"/>
      <c r="K695" s="25" t="str">
        <f ca="1">IFERROR(__xludf.DUMMYFUNCTION("""COMPUTED_VALUE"""),"Definir fecha")</f>
        <v>Definir fecha</v>
      </c>
      <c r="L695" s="62"/>
      <c r="M695" s="25"/>
      <c r="N695" s="25"/>
      <c r="O695" s="25">
        <f t="shared" si="0"/>
        <v>0</v>
      </c>
      <c r="P695" s="25" t="str">
        <f t="shared" si="2"/>
        <v/>
      </c>
      <c r="Q695" s="25" t="str">
        <f ca="1">IFERROR(__xludf.DUMMYFUNCTION("""COMPUTED_VALUE"""),"Sin defenir")</f>
        <v>Sin defenir</v>
      </c>
      <c r="R695" s="25"/>
      <c r="S695" s="55"/>
      <c r="T695" s="56"/>
      <c r="U695" s="25"/>
      <c r="V695" s="25"/>
      <c r="W695" s="25"/>
      <c r="X695" s="25"/>
      <c r="Y695" s="25"/>
      <c r="Z695" s="25"/>
    </row>
    <row r="696" spans="1:26" ht="52.5" customHeight="1" x14ac:dyDescent="0.25">
      <c r="A696" s="25" t="str">
        <f ca="1">IFERROR(__xludf.DUMMYFUNCTION("""COMPUTED_VALUE"""),"Mujer94")</f>
        <v>Mujer94</v>
      </c>
      <c r="B696" s="25"/>
      <c r="C696" s="55"/>
      <c r="D696" s="25" t="str">
        <f ca="1">IFERROR(__xludf.DUMMYFUNCTION("""COMPUTED_VALUE"""),"Mujer")</f>
        <v>Mujer</v>
      </c>
      <c r="E696" s="25"/>
      <c r="F696" s="25"/>
      <c r="G696" s="25"/>
      <c r="H696" s="25"/>
      <c r="I696" s="25"/>
      <c r="J696" s="55"/>
      <c r="K696" s="25" t="str">
        <f ca="1">IFERROR(__xludf.DUMMYFUNCTION("""COMPUTED_VALUE"""),"Definir fecha")</f>
        <v>Definir fecha</v>
      </c>
      <c r="L696" s="62"/>
      <c r="M696" s="25"/>
      <c r="N696" s="25"/>
      <c r="O696" s="25">
        <f t="shared" si="0"/>
        <v>0</v>
      </c>
      <c r="P696" s="25" t="str">
        <f t="shared" si="2"/>
        <v/>
      </c>
      <c r="Q696" s="25" t="str">
        <f ca="1">IFERROR(__xludf.DUMMYFUNCTION("""COMPUTED_VALUE"""),"Sin defenir")</f>
        <v>Sin defenir</v>
      </c>
      <c r="R696" s="25"/>
      <c r="S696" s="55"/>
      <c r="T696" s="56"/>
      <c r="U696" s="25"/>
      <c r="V696" s="25"/>
      <c r="W696" s="25"/>
      <c r="X696" s="25"/>
      <c r="Y696" s="25"/>
      <c r="Z696" s="25"/>
    </row>
    <row r="697" spans="1:26" ht="52.5" customHeight="1" x14ac:dyDescent="0.25">
      <c r="A697" s="25" t="str">
        <f ca="1">IFERROR(__xludf.DUMMYFUNCTION("""COMPUTED_VALUE"""),"Mujer95")</f>
        <v>Mujer95</v>
      </c>
      <c r="B697" s="25"/>
      <c r="C697" s="55"/>
      <c r="D697" s="25" t="str">
        <f ca="1">IFERROR(__xludf.DUMMYFUNCTION("""COMPUTED_VALUE"""),"Mujer")</f>
        <v>Mujer</v>
      </c>
      <c r="E697" s="25"/>
      <c r="F697" s="25"/>
      <c r="G697" s="25"/>
      <c r="H697" s="25"/>
      <c r="I697" s="25"/>
      <c r="J697" s="55"/>
      <c r="K697" s="25" t="str">
        <f ca="1">IFERROR(__xludf.DUMMYFUNCTION("""COMPUTED_VALUE"""),"Definir fecha")</f>
        <v>Definir fecha</v>
      </c>
      <c r="L697" s="62"/>
      <c r="M697" s="25"/>
      <c r="N697" s="25"/>
      <c r="O697" s="25">
        <f t="shared" si="0"/>
        <v>0</v>
      </c>
      <c r="P697" s="25" t="str">
        <f t="shared" si="2"/>
        <v/>
      </c>
      <c r="Q697" s="25" t="str">
        <f ca="1">IFERROR(__xludf.DUMMYFUNCTION("""COMPUTED_VALUE"""),"Sin defenir")</f>
        <v>Sin defenir</v>
      </c>
      <c r="R697" s="25"/>
      <c r="S697" s="55"/>
      <c r="T697" s="56"/>
      <c r="U697" s="25"/>
      <c r="V697" s="25"/>
      <c r="W697" s="25"/>
      <c r="X697" s="25"/>
      <c r="Y697" s="25"/>
      <c r="Z697" s="25"/>
    </row>
    <row r="698" spans="1:26" ht="52.5" customHeight="1" x14ac:dyDescent="0.25">
      <c r="A698" s="25" t="str">
        <f ca="1">IFERROR(__xludf.DUMMYFUNCTION("""COMPUTED_VALUE"""),"Mujer96")</f>
        <v>Mujer96</v>
      </c>
      <c r="B698" s="25"/>
      <c r="C698" s="55"/>
      <c r="D698" s="25" t="str">
        <f ca="1">IFERROR(__xludf.DUMMYFUNCTION("""COMPUTED_VALUE"""),"Mujer")</f>
        <v>Mujer</v>
      </c>
      <c r="E698" s="25"/>
      <c r="F698" s="25"/>
      <c r="G698" s="25"/>
      <c r="H698" s="25"/>
      <c r="I698" s="25"/>
      <c r="J698" s="55"/>
      <c r="K698" s="25" t="str">
        <f ca="1">IFERROR(__xludf.DUMMYFUNCTION("""COMPUTED_VALUE"""),"Definir fecha")</f>
        <v>Definir fecha</v>
      </c>
      <c r="L698" s="62"/>
      <c r="M698" s="25"/>
      <c r="N698" s="25"/>
      <c r="O698" s="25">
        <f t="shared" si="0"/>
        <v>0</v>
      </c>
      <c r="P698" s="25" t="str">
        <f t="shared" si="2"/>
        <v/>
      </c>
      <c r="Q698" s="25" t="str">
        <f ca="1">IFERROR(__xludf.DUMMYFUNCTION("""COMPUTED_VALUE"""),"Sin defenir")</f>
        <v>Sin defenir</v>
      </c>
      <c r="R698" s="25"/>
      <c r="S698" s="55"/>
      <c r="T698" s="56"/>
      <c r="U698" s="25"/>
      <c r="V698" s="25"/>
      <c r="W698" s="25"/>
      <c r="X698" s="25"/>
      <c r="Y698" s="25"/>
      <c r="Z698" s="25"/>
    </row>
    <row r="699" spans="1:26" ht="52.5" customHeight="1" x14ac:dyDescent="0.25">
      <c r="A699" s="25" t="str">
        <f ca="1">IFERROR(__xludf.DUMMYFUNCTION("""COMPUTED_VALUE"""),"Mujer97")</f>
        <v>Mujer97</v>
      </c>
      <c r="B699" s="25"/>
      <c r="C699" s="55"/>
      <c r="D699" s="25" t="str">
        <f ca="1">IFERROR(__xludf.DUMMYFUNCTION("""COMPUTED_VALUE"""),"Mujer")</f>
        <v>Mujer</v>
      </c>
      <c r="E699" s="25"/>
      <c r="F699" s="25"/>
      <c r="G699" s="25"/>
      <c r="H699" s="25"/>
      <c r="I699" s="25"/>
      <c r="J699" s="55"/>
      <c r="K699" s="25" t="str">
        <f ca="1">IFERROR(__xludf.DUMMYFUNCTION("""COMPUTED_VALUE"""),"Definir fecha")</f>
        <v>Definir fecha</v>
      </c>
      <c r="L699" s="62"/>
      <c r="M699" s="25"/>
      <c r="N699" s="25"/>
      <c r="O699" s="25">
        <f t="shared" si="0"/>
        <v>0</v>
      </c>
      <c r="P699" s="25" t="str">
        <f t="shared" si="2"/>
        <v/>
      </c>
      <c r="Q699" s="25" t="str">
        <f ca="1">IFERROR(__xludf.DUMMYFUNCTION("""COMPUTED_VALUE"""),"Sin defenir")</f>
        <v>Sin defenir</v>
      </c>
      <c r="R699" s="25"/>
      <c r="S699" s="55"/>
      <c r="T699" s="56"/>
      <c r="U699" s="25"/>
      <c r="V699" s="25"/>
      <c r="W699" s="25"/>
      <c r="X699" s="25"/>
      <c r="Y699" s="25"/>
      <c r="Z699" s="25"/>
    </row>
    <row r="700" spans="1:26" ht="52.5" customHeight="1" x14ac:dyDescent="0.25">
      <c r="A700" s="25" t="str">
        <f ca="1">IFERROR(__xludf.DUMMYFUNCTION("""COMPUTED_VALUE"""),"Mujer98")</f>
        <v>Mujer98</v>
      </c>
      <c r="B700" s="25"/>
      <c r="C700" s="55"/>
      <c r="D700" s="25" t="str">
        <f ca="1">IFERROR(__xludf.DUMMYFUNCTION("""COMPUTED_VALUE"""),"Mujer")</f>
        <v>Mujer</v>
      </c>
      <c r="E700" s="25"/>
      <c r="F700" s="25"/>
      <c r="G700" s="25"/>
      <c r="H700" s="25"/>
      <c r="I700" s="25"/>
      <c r="J700" s="55"/>
      <c r="K700" s="25" t="str">
        <f ca="1">IFERROR(__xludf.DUMMYFUNCTION("""COMPUTED_VALUE"""),"Definir fecha")</f>
        <v>Definir fecha</v>
      </c>
      <c r="L700" s="62"/>
      <c r="M700" s="25"/>
      <c r="N700" s="25"/>
      <c r="O700" s="25">
        <f t="shared" si="0"/>
        <v>0</v>
      </c>
      <c r="P700" s="25" t="str">
        <f t="shared" si="2"/>
        <v/>
      </c>
      <c r="Q700" s="25" t="str">
        <f ca="1">IFERROR(__xludf.DUMMYFUNCTION("""COMPUTED_VALUE"""),"Sin defenir")</f>
        <v>Sin defenir</v>
      </c>
      <c r="R700" s="25"/>
      <c r="S700" s="55"/>
      <c r="T700" s="56"/>
      <c r="U700" s="25"/>
      <c r="V700" s="25"/>
      <c r="W700" s="25"/>
      <c r="X700" s="25"/>
      <c r="Y700" s="25"/>
      <c r="Z700" s="25"/>
    </row>
    <row r="701" spans="1:26" ht="52.5" customHeight="1" x14ac:dyDescent="0.25">
      <c r="A701" s="25" t="str">
        <f ca="1">IFERROR(__xludf.DUMMYFUNCTION("""COMPUTED_VALUE"""),"Mujer99")</f>
        <v>Mujer99</v>
      </c>
      <c r="B701" s="25"/>
      <c r="C701" s="55"/>
      <c r="D701" s="25" t="str">
        <f ca="1">IFERROR(__xludf.DUMMYFUNCTION("""COMPUTED_VALUE"""),"Mujer")</f>
        <v>Mujer</v>
      </c>
      <c r="E701" s="25"/>
      <c r="F701" s="25"/>
      <c r="G701" s="25"/>
      <c r="H701" s="25"/>
      <c r="I701" s="25"/>
      <c r="J701" s="55"/>
      <c r="K701" s="25" t="str">
        <f ca="1">IFERROR(__xludf.DUMMYFUNCTION("""COMPUTED_VALUE"""),"Definir fecha")</f>
        <v>Definir fecha</v>
      </c>
      <c r="L701" s="62"/>
      <c r="M701" s="25"/>
      <c r="N701" s="25"/>
      <c r="O701" s="25">
        <f t="shared" si="0"/>
        <v>0</v>
      </c>
      <c r="P701" s="25" t="str">
        <f t="shared" si="2"/>
        <v/>
      </c>
      <c r="Q701" s="25" t="str">
        <f ca="1">IFERROR(__xludf.DUMMYFUNCTION("""COMPUTED_VALUE"""),"Sin defenir")</f>
        <v>Sin defenir</v>
      </c>
      <c r="R701" s="25"/>
      <c r="S701" s="55"/>
      <c r="T701" s="56"/>
      <c r="U701" s="25"/>
      <c r="V701" s="25"/>
      <c r="W701" s="25"/>
      <c r="X701" s="25"/>
      <c r="Y701" s="25"/>
      <c r="Z701" s="25"/>
    </row>
    <row r="702" spans="1:26" ht="52.5" customHeight="1" x14ac:dyDescent="0.25">
      <c r="A702" s="25" t="str">
        <f ca="1">IFERROR(__xludf.DUMMYFUNCTION("""COMPUTED_VALUE"""),"Mujer100")</f>
        <v>Mujer100</v>
      </c>
      <c r="B702" s="25"/>
      <c r="C702" s="55"/>
      <c r="D702" s="25" t="str">
        <f ca="1">IFERROR(__xludf.DUMMYFUNCTION("""COMPUTED_VALUE"""),"Mujer")</f>
        <v>Mujer</v>
      </c>
      <c r="E702" s="25"/>
      <c r="F702" s="25"/>
      <c r="G702" s="25"/>
      <c r="H702" s="25"/>
      <c r="I702" s="25"/>
      <c r="J702" s="55"/>
      <c r="K702" s="25" t="str">
        <f ca="1">IFERROR(__xludf.DUMMYFUNCTION("""COMPUTED_VALUE"""),"Definir fecha")</f>
        <v>Definir fecha</v>
      </c>
      <c r="L702" s="62"/>
      <c r="M702" s="25"/>
      <c r="N702" s="25"/>
      <c r="O702" s="25">
        <f t="shared" si="0"/>
        <v>0</v>
      </c>
      <c r="P702" s="25" t="str">
        <f t="shared" si="2"/>
        <v/>
      </c>
      <c r="Q702" s="25" t="str">
        <f ca="1">IFERROR(__xludf.DUMMYFUNCTION("""COMPUTED_VALUE"""),"Sin defenir")</f>
        <v>Sin defenir</v>
      </c>
      <c r="R702" s="25"/>
      <c r="S702" s="55"/>
      <c r="T702" s="56"/>
      <c r="U702" s="25"/>
      <c r="V702" s="25"/>
      <c r="W702" s="25"/>
      <c r="X702" s="25"/>
      <c r="Y702" s="25"/>
      <c r="Z702" s="25"/>
    </row>
    <row r="703" spans="1:26" ht="52.5" customHeight="1" x14ac:dyDescent="0.25">
      <c r="A703" s="25" t="str">
        <f ca="1">IFERROR(__xludf.DUMMYFUNCTION("""COMPUTED_VALUE"""),"Mujer101")</f>
        <v>Mujer101</v>
      </c>
      <c r="B703" s="25"/>
      <c r="C703" s="55"/>
      <c r="D703" s="25" t="str">
        <f ca="1">IFERROR(__xludf.DUMMYFUNCTION("""COMPUTED_VALUE"""),"Mujer")</f>
        <v>Mujer</v>
      </c>
      <c r="E703" s="25"/>
      <c r="F703" s="25"/>
      <c r="G703" s="25"/>
      <c r="H703" s="25"/>
      <c r="I703" s="25"/>
      <c r="J703" s="55"/>
      <c r="K703" s="25" t="str">
        <f ca="1">IFERROR(__xludf.DUMMYFUNCTION("""COMPUTED_VALUE"""),"Definir fecha")</f>
        <v>Definir fecha</v>
      </c>
      <c r="L703" s="62"/>
      <c r="M703" s="25"/>
      <c r="N703" s="25"/>
      <c r="O703" s="25">
        <f t="shared" si="0"/>
        <v>0</v>
      </c>
      <c r="P703" s="25" t="str">
        <f t="shared" si="2"/>
        <v/>
      </c>
      <c r="Q703" s="25" t="str">
        <f ca="1">IFERROR(__xludf.DUMMYFUNCTION("""COMPUTED_VALUE"""),"Sin defenir")</f>
        <v>Sin defenir</v>
      </c>
      <c r="R703" s="25"/>
      <c r="S703" s="55"/>
      <c r="T703" s="56"/>
      <c r="U703" s="25"/>
      <c r="V703" s="25"/>
      <c r="W703" s="25"/>
      <c r="X703" s="25"/>
      <c r="Y703" s="25"/>
      <c r="Z703" s="25"/>
    </row>
    <row r="704" spans="1:26" ht="52.5" customHeight="1" x14ac:dyDescent="0.25">
      <c r="A704" s="25" t="str">
        <f ca="1">IFERROR(__xludf.DUMMYFUNCTION("""COMPUTED_VALUE"""),"Mujer102")</f>
        <v>Mujer102</v>
      </c>
      <c r="B704" s="25"/>
      <c r="C704" s="55"/>
      <c r="D704" s="25" t="str">
        <f ca="1">IFERROR(__xludf.DUMMYFUNCTION("""COMPUTED_VALUE"""),"Mujer")</f>
        <v>Mujer</v>
      </c>
      <c r="E704" s="25"/>
      <c r="F704" s="25"/>
      <c r="G704" s="25"/>
      <c r="H704" s="25"/>
      <c r="I704" s="25"/>
      <c r="J704" s="55"/>
      <c r="K704" s="25" t="str">
        <f ca="1">IFERROR(__xludf.DUMMYFUNCTION("""COMPUTED_VALUE"""),"Definir fecha")</f>
        <v>Definir fecha</v>
      </c>
      <c r="L704" s="62"/>
      <c r="M704" s="25"/>
      <c r="N704" s="25"/>
      <c r="O704" s="25">
        <f t="shared" si="0"/>
        <v>0</v>
      </c>
      <c r="P704" s="25" t="str">
        <f t="shared" si="2"/>
        <v/>
      </c>
      <c r="Q704" s="25" t="str">
        <f ca="1">IFERROR(__xludf.DUMMYFUNCTION("""COMPUTED_VALUE"""),"Sin defenir")</f>
        <v>Sin defenir</v>
      </c>
      <c r="R704" s="25"/>
      <c r="S704" s="55"/>
      <c r="T704" s="56"/>
      <c r="U704" s="25"/>
      <c r="V704" s="25"/>
      <c r="W704" s="25"/>
      <c r="X704" s="25"/>
      <c r="Y704" s="25"/>
      <c r="Z704" s="25"/>
    </row>
    <row r="705" spans="1:26" ht="52.5" customHeight="1" x14ac:dyDescent="0.25">
      <c r="A705" s="25" t="str">
        <f ca="1">IFERROR(__xludf.DUMMYFUNCTION("""COMPUTED_VALUE"""),"Mujer103")</f>
        <v>Mujer103</v>
      </c>
      <c r="B705" s="25"/>
      <c r="C705" s="55"/>
      <c r="D705" s="25" t="str">
        <f ca="1">IFERROR(__xludf.DUMMYFUNCTION("""COMPUTED_VALUE"""),"Mujer")</f>
        <v>Mujer</v>
      </c>
      <c r="E705" s="25"/>
      <c r="F705" s="25"/>
      <c r="G705" s="25"/>
      <c r="H705" s="25"/>
      <c r="I705" s="25"/>
      <c r="J705" s="55"/>
      <c r="K705" s="25" t="str">
        <f ca="1">IFERROR(__xludf.DUMMYFUNCTION("""COMPUTED_VALUE"""),"Definir fecha")</f>
        <v>Definir fecha</v>
      </c>
      <c r="L705" s="62"/>
      <c r="M705" s="25"/>
      <c r="N705" s="25"/>
      <c r="O705" s="25">
        <f t="shared" si="0"/>
        <v>0</v>
      </c>
      <c r="P705" s="25" t="str">
        <f t="shared" si="2"/>
        <v/>
      </c>
      <c r="Q705" s="25" t="str">
        <f ca="1">IFERROR(__xludf.DUMMYFUNCTION("""COMPUTED_VALUE"""),"Sin defenir")</f>
        <v>Sin defenir</v>
      </c>
      <c r="R705" s="25"/>
      <c r="S705" s="55"/>
      <c r="T705" s="56"/>
      <c r="U705" s="25"/>
      <c r="V705" s="25"/>
      <c r="W705" s="25"/>
      <c r="X705" s="25"/>
      <c r="Y705" s="25"/>
      <c r="Z705" s="25"/>
    </row>
    <row r="706" spans="1:26" ht="52.5" customHeight="1" x14ac:dyDescent="0.25">
      <c r="A706" s="25" t="str">
        <f ca="1">IFERROR(__xludf.DUMMYFUNCTION("""COMPUTED_VALUE"""),"Mujer104")</f>
        <v>Mujer104</v>
      </c>
      <c r="B706" s="25"/>
      <c r="C706" s="55"/>
      <c r="D706" s="25" t="str">
        <f ca="1">IFERROR(__xludf.DUMMYFUNCTION("""COMPUTED_VALUE"""),"Mujer")</f>
        <v>Mujer</v>
      </c>
      <c r="E706" s="25"/>
      <c r="F706" s="25"/>
      <c r="G706" s="25"/>
      <c r="H706" s="25"/>
      <c r="I706" s="25"/>
      <c r="J706" s="55"/>
      <c r="K706" s="25" t="str">
        <f ca="1">IFERROR(__xludf.DUMMYFUNCTION("""COMPUTED_VALUE"""),"Definir fecha")</f>
        <v>Definir fecha</v>
      </c>
      <c r="L706" s="62"/>
      <c r="M706" s="25"/>
      <c r="N706" s="25"/>
      <c r="O706" s="25">
        <f t="shared" si="0"/>
        <v>0</v>
      </c>
      <c r="P706" s="25" t="str">
        <f t="shared" si="2"/>
        <v/>
      </c>
      <c r="Q706" s="25" t="str">
        <f ca="1">IFERROR(__xludf.DUMMYFUNCTION("""COMPUTED_VALUE"""),"Sin defenir")</f>
        <v>Sin defenir</v>
      </c>
      <c r="R706" s="25"/>
      <c r="S706" s="55"/>
      <c r="T706" s="56"/>
      <c r="U706" s="25"/>
      <c r="V706" s="25"/>
      <c r="W706" s="25"/>
      <c r="X706" s="25"/>
      <c r="Y706" s="25"/>
      <c r="Z706" s="25"/>
    </row>
    <row r="707" spans="1:26" ht="52.5" customHeight="1" x14ac:dyDescent="0.25">
      <c r="A707" s="25" t="str">
        <f ca="1">IFERROR(__xludf.DUMMYFUNCTION("""COMPUTED_VALUE"""),"Mujer105")</f>
        <v>Mujer105</v>
      </c>
      <c r="B707" s="25"/>
      <c r="C707" s="55"/>
      <c r="D707" s="25" t="str">
        <f ca="1">IFERROR(__xludf.DUMMYFUNCTION("""COMPUTED_VALUE"""),"Mujer")</f>
        <v>Mujer</v>
      </c>
      <c r="E707" s="25"/>
      <c r="F707" s="25"/>
      <c r="G707" s="25"/>
      <c r="H707" s="25"/>
      <c r="I707" s="25"/>
      <c r="J707" s="55"/>
      <c r="K707" s="25" t="str">
        <f ca="1">IFERROR(__xludf.DUMMYFUNCTION("""COMPUTED_VALUE"""),"Definir fecha")</f>
        <v>Definir fecha</v>
      </c>
      <c r="L707" s="62"/>
      <c r="M707" s="25"/>
      <c r="N707" s="25"/>
      <c r="O707" s="25">
        <f t="shared" si="0"/>
        <v>0</v>
      </c>
      <c r="P707" s="25" t="str">
        <f t="shared" si="2"/>
        <v/>
      </c>
      <c r="Q707" s="25" t="str">
        <f ca="1">IFERROR(__xludf.DUMMYFUNCTION("""COMPUTED_VALUE"""),"Sin defenir")</f>
        <v>Sin defenir</v>
      </c>
      <c r="R707" s="25"/>
      <c r="S707" s="55"/>
      <c r="T707" s="56"/>
      <c r="U707" s="25"/>
      <c r="V707" s="25"/>
      <c r="W707" s="25"/>
      <c r="X707" s="25"/>
      <c r="Y707" s="25"/>
      <c r="Z707" s="25"/>
    </row>
    <row r="708" spans="1:26" ht="52.5" customHeight="1" x14ac:dyDescent="0.25">
      <c r="A708" s="25" t="str">
        <f ca="1">IFERROR(__xludf.DUMMYFUNCTION("""COMPUTED_VALUE"""),"Mujer106")</f>
        <v>Mujer106</v>
      </c>
      <c r="B708" s="25"/>
      <c r="C708" s="55"/>
      <c r="D708" s="25" t="str">
        <f ca="1">IFERROR(__xludf.DUMMYFUNCTION("""COMPUTED_VALUE"""),"Mujer")</f>
        <v>Mujer</v>
      </c>
      <c r="E708" s="25"/>
      <c r="F708" s="25"/>
      <c r="G708" s="25"/>
      <c r="H708" s="25"/>
      <c r="I708" s="25"/>
      <c r="J708" s="55"/>
      <c r="K708" s="25" t="str">
        <f ca="1">IFERROR(__xludf.DUMMYFUNCTION("""COMPUTED_VALUE"""),"Definir fecha")</f>
        <v>Definir fecha</v>
      </c>
      <c r="L708" s="62"/>
      <c r="M708" s="25"/>
      <c r="N708" s="25"/>
      <c r="O708" s="25">
        <f t="shared" si="0"/>
        <v>0</v>
      </c>
      <c r="P708" s="25" t="str">
        <f t="shared" si="2"/>
        <v/>
      </c>
      <c r="Q708" s="25" t="str">
        <f ca="1">IFERROR(__xludf.DUMMYFUNCTION("""COMPUTED_VALUE"""),"Sin defenir")</f>
        <v>Sin defenir</v>
      </c>
      <c r="R708" s="25"/>
      <c r="S708" s="55"/>
      <c r="T708" s="56"/>
      <c r="U708" s="25"/>
      <c r="V708" s="25"/>
      <c r="W708" s="25"/>
      <c r="X708" s="25"/>
      <c r="Y708" s="25"/>
      <c r="Z708" s="25"/>
    </row>
    <row r="709" spans="1:26" ht="52.5" customHeight="1" x14ac:dyDescent="0.25">
      <c r="A709" s="25" t="str">
        <f ca="1">IFERROR(__xludf.DUMMYFUNCTION("""COMPUTED_VALUE"""),"Mujer107")</f>
        <v>Mujer107</v>
      </c>
      <c r="B709" s="25"/>
      <c r="C709" s="55"/>
      <c r="D709" s="25" t="str">
        <f ca="1">IFERROR(__xludf.DUMMYFUNCTION("""COMPUTED_VALUE"""),"Mujer")</f>
        <v>Mujer</v>
      </c>
      <c r="E709" s="25"/>
      <c r="F709" s="25"/>
      <c r="G709" s="25"/>
      <c r="H709" s="25"/>
      <c r="I709" s="25"/>
      <c r="J709" s="55"/>
      <c r="K709" s="25" t="str">
        <f ca="1">IFERROR(__xludf.DUMMYFUNCTION("""COMPUTED_VALUE"""),"Definir fecha")</f>
        <v>Definir fecha</v>
      </c>
      <c r="L709" s="62"/>
      <c r="M709" s="25"/>
      <c r="N709" s="25"/>
      <c r="O709" s="25">
        <f t="shared" si="0"/>
        <v>0</v>
      </c>
      <c r="P709" s="25" t="str">
        <f t="shared" si="2"/>
        <v/>
      </c>
      <c r="Q709" s="25" t="str">
        <f ca="1">IFERROR(__xludf.DUMMYFUNCTION("""COMPUTED_VALUE"""),"Sin defenir")</f>
        <v>Sin defenir</v>
      </c>
      <c r="R709" s="25"/>
      <c r="S709" s="55"/>
      <c r="T709" s="56"/>
      <c r="U709" s="25"/>
      <c r="V709" s="25"/>
      <c r="W709" s="25"/>
      <c r="X709" s="25"/>
      <c r="Y709" s="25"/>
      <c r="Z709" s="25"/>
    </row>
    <row r="710" spans="1:26" ht="52.5" customHeight="1" x14ac:dyDescent="0.25">
      <c r="A710" s="25" t="str">
        <f ca="1">IFERROR(__xludf.DUMMYFUNCTION("""COMPUTED_VALUE"""),"Mujer108")</f>
        <v>Mujer108</v>
      </c>
      <c r="B710" s="25"/>
      <c r="C710" s="55"/>
      <c r="D710" s="25" t="str">
        <f ca="1">IFERROR(__xludf.DUMMYFUNCTION("""COMPUTED_VALUE"""),"Mujer")</f>
        <v>Mujer</v>
      </c>
      <c r="E710" s="25"/>
      <c r="F710" s="25"/>
      <c r="G710" s="25"/>
      <c r="H710" s="25"/>
      <c r="I710" s="25"/>
      <c r="J710" s="55"/>
      <c r="K710" s="25" t="str">
        <f ca="1">IFERROR(__xludf.DUMMYFUNCTION("""COMPUTED_VALUE"""),"Definir fecha")</f>
        <v>Definir fecha</v>
      </c>
      <c r="L710" s="62"/>
      <c r="M710" s="25"/>
      <c r="N710" s="25"/>
      <c r="O710" s="25">
        <f t="shared" si="0"/>
        <v>0</v>
      </c>
      <c r="P710" s="25" t="str">
        <f t="shared" si="2"/>
        <v/>
      </c>
      <c r="Q710" s="25" t="str">
        <f ca="1">IFERROR(__xludf.DUMMYFUNCTION("""COMPUTED_VALUE"""),"Sin defenir")</f>
        <v>Sin defenir</v>
      </c>
      <c r="R710" s="25"/>
      <c r="S710" s="55"/>
      <c r="T710" s="56"/>
      <c r="U710" s="25"/>
      <c r="V710" s="25"/>
      <c r="W710" s="25"/>
      <c r="X710" s="25"/>
      <c r="Y710" s="25"/>
      <c r="Z710" s="25"/>
    </row>
    <row r="711" spans="1:26" ht="52.5" customHeight="1" x14ac:dyDescent="0.25">
      <c r="A711" s="25" t="str">
        <f ca="1">IFERROR(__xludf.DUMMYFUNCTION("""COMPUTED_VALUE"""),"Mujer109")</f>
        <v>Mujer109</v>
      </c>
      <c r="B711" s="25"/>
      <c r="C711" s="55"/>
      <c r="D711" s="25" t="str">
        <f ca="1">IFERROR(__xludf.DUMMYFUNCTION("""COMPUTED_VALUE"""),"Mujer")</f>
        <v>Mujer</v>
      </c>
      <c r="E711" s="25"/>
      <c r="F711" s="25"/>
      <c r="G711" s="25"/>
      <c r="H711" s="25"/>
      <c r="I711" s="25"/>
      <c r="J711" s="55"/>
      <c r="K711" s="25" t="str">
        <f ca="1">IFERROR(__xludf.DUMMYFUNCTION("""COMPUTED_VALUE"""),"Definir fecha")</f>
        <v>Definir fecha</v>
      </c>
      <c r="L711" s="62"/>
      <c r="M711" s="25"/>
      <c r="N711" s="25"/>
      <c r="O711" s="25">
        <f t="shared" si="0"/>
        <v>0</v>
      </c>
      <c r="P711" s="25" t="str">
        <f t="shared" si="2"/>
        <v/>
      </c>
      <c r="Q711" s="25" t="str">
        <f ca="1">IFERROR(__xludf.DUMMYFUNCTION("""COMPUTED_VALUE"""),"Sin defenir")</f>
        <v>Sin defenir</v>
      </c>
      <c r="R711" s="25"/>
      <c r="S711" s="55"/>
      <c r="T711" s="56"/>
      <c r="U711" s="25"/>
      <c r="V711" s="25"/>
      <c r="W711" s="25"/>
      <c r="X711" s="25"/>
      <c r="Y711" s="25"/>
      <c r="Z711" s="25"/>
    </row>
    <row r="712" spans="1:26" ht="52.5" customHeight="1" x14ac:dyDescent="0.25">
      <c r="A712" s="25" t="str">
        <f ca="1">IFERROR(__xludf.DUMMYFUNCTION("""COMPUTED_VALUE"""),"Mujer110")</f>
        <v>Mujer110</v>
      </c>
      <c r="B712" s="25"/>
      <c r="C712" s="55"/>
      <c r="D712" s="25" t="str">
        <f ca="1">IFERROR(__xludf.DUMMYFUNCTION("""COMPUTED_VALUE"""),"Mujer")</f>
        <v>Mujer</v>
      </c>
      <c r="E712" s="25"/>
      <c r="F712" s="25"/>
      <c r="G712" s="25"/>
      <c r="H712" s="25"/>
      <c r="I712" s="25"/>
      <c r="J712" s="55"/>
      <c r="K712" s="25" t="str">
        <f ca="1">IFERROR(__xludf.DUMMYFUNCTION("""COMPUTED_VALUE"""),"Definir fecha")</f>
        <v>Definir fecha</v>
      </c>
      <c r="L712" s="62"/>
      <c r="M712" s="25"/>
      <c r="N712" s="25"/>
      <c r="O712" s="25">
        <f t="shared" si="0"/>
        <v>0</v>
      </c>
      <c r="P712" s="25" t="str">
        <f t="shared" si="2"/>
        <v/>
      </c>
      <c r="Q712" s="25" t="str">
        <f ca="1">IFERROR(__xludf.DUMMYFUNCTION("""COMPUTED_VALUE"""),"Sin defenir")</f>
        <v>Sin defenir</v>
      </c>
      <c r="R712" s="25"/>
      <c r="S712" s="55"/>
      <c r="T712" s="56"/>
      <c r="U712" s="25"/>
      <c r="V712" s="25"/>
      <c r="W712" s="25"/>
      <c r="X712" s="25"/>
      <c r="Y712" s="25"/>
      <c r="Z712" s="25"/>
    </row>
    <row r="713" spans="1:26" ht="52.5" customHeight="1" x14ac:dyDescent="0.25">
      <c r="A713" s="25" t="str">
        <f ca="1">IFERROR(__xludf.DUMMYFUNCTION("""COMPUTED_VALUE"""),"Mujer111")</f>
        <v>Mujer111</v>
      </c>
      <c r="B713" s="25"/>
      <c r="C713" s="55"/>
      <c r="D713" s="25" t="str">
        <f ca="1">IFERROR(__xludf.DUMMYFUNCTION("""COMPUTED_VALUE"""),"Mujer")</f>
        <v>Mujer</v>
      </c>
      <c r="E713" s="25"/>
      <c r="F713" s="25"/>
      <c r="G713" s="25"/>
      <c r="H713" s="25"/>
      <c r="I713" s="25"/>
      <c r="J713" s="55"/>
      <c r="K713" s="25" t="str">
        <f ca="1">IFERROR(__xludf.DUMMYFUNCTION("""COMPUTED_VALUE"""),"Definir fecha")</f>
        <v>Definir fecha</v>
      </c>
      <c r="L713" s="62"/>
      <c r="M713" s="25"/>
      <c r="N713" s="25"/>
      <c r="O713" s="25">
        <f t="shared" si="0"/>
        <v>0</v>
      </c>
      <c r="P713" s="25" t="str">
        <f t="shared" si="2"/>
        <v/>
      </c>
      <c r="Q713" s="25" t="str">
        <f ca="1">IFERROR(__xludf.DUMMYFUNCTION("""COMPUTED_VALUE"""),"Sin defenir")</f>
        <v>Sin defenir</v>
      </c>
      <c r="R713" s="25"/>
      <c r="S713" s="55"/>
      <c r="T713" s="56"/>
      <c r="U713" s="25"/>
      <c r="V713" s="25"/>
      <c r="W713" s="25"/>
      <c r="X713" s="25"/>
      <c r="Y713" s="25"/>
      <c r="Z713" s="25"/>
    </row>
    <row r="714" spans="1:26" ht="52.5" customHeight="1" x14ac:dyDescent="0.25">
      <c r="A714" s="25" t="str">
        <f ca="1">IFERROR(__xludf.DUMMYFUNCTION("""COMPUTED_VALUE"""),"Mujer112")</f>
        <v>Mujer112</v>
      </c>
      <c r="B714" s="25"/>
      <c r="C714" s="55"/>
      <c r="D714" s="25" t="str">
        <f ca="1">IFERROR(__xludf.DUMMYFUNCTION("""COMPUTED_VALUE"""),"Mujer")</f>
        <v>Mujer</v>
      </c>
      <c r="E714" s="25"/>
      <c r="F714" s="25"/>
      <c r="G714" s="25"/>
      <c r="H714" s="25"/>
      <c r="I714" s="25"/>
      <c r="J714" s="55"/>
      <c r="K714" s="25" t="str">
        <f ca="1">IFERROR(__xludf.DUMMYFUNCTION("""COMPUTED_VALUE"""),"Definir fecha")</f>
        <v>Definir fecha</v>
      </c>
      <c r="L714" s="62"/>
      <c r="M714" s="25"/>
      <c r="N714" s="25"/>
      <c r="O714" s="25">
        <f t="shared" si="0"/>
        <v>0</v>
      </c>
      <c r="P714" s="25" t="str">
        <f t="shared" si="2"/>
        <v/>
      </c>
      <c r="Q714" s="25" t="str">
        <f ca="1">IFERROR(__xludf.DUMMYFUNCTION("""COMPUTED_VALUE"""),"Sin defenir")</f>
        <v>Sin defenir</v>
      </c>
      <c r="R714" s="25"/>
      <c r="S714" s="55"/>
      <c r="T714" s="56"/>
      <c r="U714" s="25"/>
      <c r="V714" s="25"/>
      <c r="W714" s="25"/>
      <c r="X714" s="25"/>
      <c r="Y714" s="25"/>
      <c r="Z714" s="25"/>
    </row>
    <row r="715" spans="1:26" ht="52.5" customHeight="1" x14ac:dyDescent="0.25">
      <c r="A715" s="25" t="str">
        <f ca="1">IFERROR(__xludf.DUMMYFUNCTION("""COMPUTED_VALUE"""),"Mujer113")</f>
        <v>Mujer113</v>
      </c>
      <c r="B715" s="25"/>
      <c r="C715" s="55"/>
      <c r="D715" s="25" t="str">
        <f ca="1">IFERROR(__xludf.DUMMYFUNCTION("""COMPUTED_VALUE"""),"Mujer")</f>
        <v>Mujer</v>
      </c>
      <c r="E715" s="25"/>
      <c r="F715" s="25"/>
      <c r="G715" s="25"/>
      <c r="H715" s="25"/>
      <c r="I715" s="25"/>
      <c r="J715" s="55"/>
      <c r="K715" s="25" t="str">
        <f ca="1">IFERROR(__xludf.DUMMYFUNCTION("""COMPUTED_VALUE"""),"Definir fecha")</f>
        <v>Definir fecha</v>
      </c>
      <c r="L715" s="62"/>
      <c r="M715" s="25"/>
      <c r="N715" s="25"/>
      <c r="O715" s="25">
        <f t="shared" si="0"/>
        <v>0</v>
      </c>
      <c r="P715" s="25" t="str">
        <f t="shared" si="2"/>
        <v/>
      </c>
      <c r="Q715" s="25" t="str">
        <f ca="1">IFERROR(__xludf.DUMMYFUNCTION("""COMPUTED_VALUE"""),"Sin defenir")</f>
        <v>Sin defenir</v>
      </c>
      <c r="R715" s="25"/>
      <c r="S715" s="55"/>
      <c r="T715" s="56"/>
      <c r="U715" s="25"/>
      <c r="V715" s="25"/>
      <c r="W715" s="25"/>
      <c r="X715" s="25"/>
      <c r="Y715" s="25"/>
      <c r="Z715" s="25"/>
    </row>
    <row r="716" spans="1:26" ht="52.5" customHeight="1" x14ac:dyDescent="0.25">
      <c r="A716" s="25" t="str">
        <f ca="1">IFERROR(__xludf.DUMMYFUNCTION("""COMPUTED_VALUE"""),"Mujer114")</f>
        <v>Mujer114</v>
      </c>
      <c r="B716" s="25"/>
      <c r="C716" s="55"/>
      <c r="D716" s="25" t="str">
        <f ca="1">IFERROR(__xludf.DUMMYFUNCTION("""COMPUTED_VALUE"""),"Mujer")</f>
        <v>Mujer</v>
      </c>
      <c r="E716" s="25"/>
      <c r="F716" s="25"/>
      <c r="G716" s="25"/>
      <c r="H716" s="25"/>
      <c r="I716" s="25"/>
      <c r="J716" s="55"/>
      <c r="K716" s="25" t="str">
        <f ca="1">IFERROR(__xludf.DUMMYFUNCTION("""COMPUTED_VALUE"""),"Definir fecha")</f>
        <v>Definir fecha</v>
      </c>
      <c r="L716" s="62"/>
      <c r="M716" s="25"/>
      <c r="N716" s="25"/>
      <c r="O716" s="25">
        <f t="shared" si="0"/>
        <v>0</v>
      </c>
      <c r="P716" s="25" t="str">
        <f t="shared" si="2"/>
        <v/>
      </c>
      <c r="Q716" s="25" t="str">
        <f ca="1">IFERROR(__xludf.DUMMYFUNCTION("""COMPUTED_VALUE"""),"Sin defenir")</f>
        <v>Sin defenir</v>
      </c>
      <c r="R716" s="25"/>
      <c r="S716" s="55"/>
      <c r="T716" s="56"/>
      <c r="U716" s="25"/>
      <c r="V716" s="25"/>
      <c r="W716" s="25"/>
      <c r="X716" s="25"/>
      <c r="Y716" s="25"/>
      <c r="Z716" s="25"/>
    </row>
    <row r="717" spans="1:26" ht="52.5" customHeight="1" x14ac:dyDescent="0.25">
      <c r="A717" s="25" t="str">
        <f ca="1">IFERROR(__xludf.DUMMYFUNCTION("""COMPUTED_VALUE"""),"Mujer115")</f>
        <v>Mujer115</v>
      </c>
      <c r="B717" s="25"/>
      <c r="C717" s="55"/>
      <c r="D717" s="25" t="str">
        <f ca="1">IFERROR(__xludf.DUMMYFUNCTION("""COMPUTED_VALUE"""),"Mujer")</f>
        <v>Mujer</v>
      </c>
      <c r="E717" s="25"/>
      <c r="F717" s="25"/>
      <c r="G717" s="25"/>
      <c r="H717" s="25"/>
      <c r="I717" s="25"/>
      <c r="J717" s="55"/>
      <c r="K717" s="25" t="str">
        <f ca="1">IFERROR(__xludf.DUMMYFUNCTION("""COMPUTED_VALUE"""),"Definir fecha")</f>
        <v>Definir fecha</v>
      </c>
      <c r="L717" s="62"/>
      <c r="M717" s="25"/>
      <c r="N717" s="25"/>
      <c r="O717" s="25">
        <f t="shared" si="0"/>
        <v>0</v>
      </c>
      <c r="P717" s="25" t="str">
        <f t="shared" si="2"/>
        <v/>
      </c>
      <c r="Q717" s="25" t="str">
        <f ca="1">IFERROR(__xludf.DUMMYFUNCTION("""COMPUTED_VALUE"""),"Sin defenir")</f>
        <v>Sin defenir</v>
      </c>
      <c r="R717" s="25"/>
      <c r="S717" s="55"/>
      <c r="T717" s="56"/>
      <c r="U717" s="25"/>
      <c r="V717" s="25"/>
      <c r="W717" s="25"/>
      <c r="X717" s="25"/>
      <c r="Y717" s="25"/>
      <c r="Z717" s="25"/>
    </row>
    <row r="718" spans="1:26" ht="52.5" customHeight="1" x14ac:dyDescent="0.25">
      <c r="A718" s="25" t="str">
        <f ca="1">IFERROR(__xludf.DUMMYFUNCTION("""COMPUTED_VALUE"""),"Mujer116")</f>
        <v>Mujer116</v>
      </c>
      <c r="B718" s="25"/>
      <c r="C718" s="55"/>
      <c r="D718" s="25" t="str">
        <f ca="1">IFERROR(__xludf.DUMMYFUNCTION("""COMPUTED_VALUE"""),"Mujer")</f>
        <v>Mujer</v>
      </c>
      <c r="E718" s="25"/>
      <c r="F718" s="25"/>
      <c r="G718" s="25"/>
      <c r="H718" s="25"/>
      <c r="I718" s="25"/>
      <c r="J718" s="55"/>
      <c r="K718" s="25" t="str">
        <f ca="1">IFERROR(__xludf.DUMMYFUNCTION("""COMPUTED_VALUE"""),"Definir fecha")</f>
        <v>Definir fecha</v>
      </c>
      <c r="L718" s="62"/>
      <c r="M718" s="25"/>
      <c r="N718" s="25"/>
      <c r="O718" s="25">
        <f t="shared" si="0"/>
        <v>0</v>
      </c>
      <c r="P718" s="25" t="str">
        <f t="shared" si="2"/>
        <v/>
      </c>
      <c r="Q718" s="25" t="str">
        <f ca="1">IFERROR(__xludf.DUMMYFUNCTION("""COMPUTED_VALUE"""),"Sin defenir")</f>
        <v>Sin defenir</v>
      </c>
      <c r="R718" s="25"/>
      <c r="S718" s="55"/>
      <c r="T718" s="56"/>
      <c r="U718" s="25"/>
      <c r="V718" s="25"/>
      <c r="W718" s="25"/>
      <c r="X718" s="25"/>
      <c r="Y718" s="25"/>
      <c r="Z718" s="25"/>
    </row>
    <row r="719" spans="1:26" ht="52.5" customHeight="1" x14ac:dyDescent="0.25">
      <c r="A719" s="25" t="str">
        <f ca="1">IFERROR(__xludf.DUMMYFUNCTION("""COMPUTED_VALUE"""),"Mujer117")</f>
        <v>Mujer117</v>
      </c>
      <c r="B719" s="25"/>
      <c r="C719" s="55"/>
      <c r="D719" s="25" t="str">
        <f ca="1">IFERROR(__xludf.DUMMYFUNCTION("""COMPUTED_VALUE"""),"Mujer")</f>
        <v>Mujer</v>
      </c>
      <c r="E719" s="25"/>
      <c r="F719" s="25"/>
      <c r="G719" s="25"/>
      <c r="H719" s="25"/>
      <c r="I719" s="25"/>
      <c r="J719" s="55"/>
      <c r="K719" s="25" t="str">
        <f ca="1">IFERROR(__xludf.DUMMYFUNCTION("""COMPUTED_VALUE"""),"Definir fecha")</f>
        <v>Definir fecha</v>
      </c>
      <c r="L719" s="62"/>
      <c r="M719" s="25"/>
      <c r="N719" s="25"/>
      <c r="O719" s="25">
        <f t="shared" si="0"/>
        <v>0</v>
      </c>
      <c r="P719" s="25" t="str">
        <f t="shared" si="2"/>
        <v/>
      </c>
      <c r="Q719" s="25" t="str">
        <f ca="1">IFERROR(__xludf.DUMMYFUNCTION("""COMPUTED_VALUE"""),"Sin defenir")</f>
        <v>Sin defenir</v>
      </c>
      <c r="R719" s="25"/>
      <c r="S719" s="55"/>
      <c r="T719" s="56"/>
      <c r="U719" s="25"/>
      <c r="V719" s="25"/>
      <c r="W719" s="25"/>
      <c r="X719" s="25"/>
      <c r="Y719" s="25"/>
      <c r="Z719" s="25"/>
    </row>
    <row r="720" spans="1:26" ht="52.5" customHeight="1" x14ac:dyDescent="0.25">
      <c r="A720" s="25" t="str">
        <f ca="1">IFERROR(__xludf.DUMMYFUNCTION("""COMPUTED_VALUE"""),"Mujer118")</f>
        <v>Mujer118</v>
      </c>
      <c r="B720" s="25"/>
      <c r="C720" s="55"/>
      <c r="D720" s="25" t="str">
        <f ca="1">IFERROR(__xludf.DUMMYFUNCTION("""COMPUTED_VALUE"""),"Mujer")</f>
        <v>Mujer</v>
      </c>
      <c r="E720" s="25"/>
      <c r="F720" s="25"/>
      <c r="G720" s="25"/>
      <c r="H720" s="25"/>
      <c r="I720" s="25"/>
      <c r="J720" s="55"/>
      <c r="K720" s="25" t="str">
        <f ca="1">IFERROR(__xludf.DUMMYFUNCTION("""COMPUTED_VALUE"""),"Definir fecha")</f>
        <v>Definir fecha</v>
      </c>
      <c r="L720" s="62"/>
      <c r="M720" s="25"/>
      <c r="N720" s="25"/>
      <c r="O720" s="25">
        <f t="shared" si="0"/>
        <v>0</v>
      </c>
      <c r="P720" s="25" t="str">
        <f t="shared" si="2"/>
        <v/>
      </c>
      <c r="Q720" s="25" t="str">
        <f ca="1">IFERROR(__xludf.DUMMYFUNCTION("""COMPUTED_VALUE"""),"Sin defenir")</f>
        <v>Sin defenir</v>
      </c>
      <c r="R720" s="25"/>
      <c r="S720" s="55"/>
      <c r="T720" s="56"/>
      <c r="U720" s="25"/>
      <c r="V720" s="25"/>
      <c r="W720" s="25"/>
      <c r="X720" s="25"/>
      <c r="Y720" s="25"/>
      <c r="Z720" s="25"/>
    </row>
    <row r="721" spans="1:26" ht="52.5" customHeight="1" x14ac:dyDescent="0.25">
      <c r="A721" s="25" t="str">
        <f ca="1">IFERROR(__xludf.DUMMYFUNCTION("""COMPUTED_VALUE"""),"Mujer119")</f>
        <v>Mujer119</v>
      </c>
      <c r="B721" s="25"/>
      <c r="C721" s="55"/>
      <c r="D721" s="25" t="str">
        <f ca="1">IFERROR(__xludf.DUMMYFUNCTION("""COMPUTED_VALUE"""),"Mujer")</f>
        <v>Mujer</v>
      </c>
      <c r="E721" s="25"/>
      <c r="F721" s="25"/>
      <c r="G721" s="25"/>
      <c r="H721" s="25"/>
      <c r="I721" s="25"/>
      <c r="J721" s="55"/>
      <c r="K721" s="25" t="str">
        <f ca="1">IFERROR(__xludf.DUMMYFUNCTION("""COMPUTED_VALUE"""),"Definir fecha")</f>
        <v>Definir fecha</v>
      </c>
      <c r="L721" s="62"/>
      <c r="M721" s="25"/>
      <c r="N721" s="25"/>
      <c r="O721" s="25">
        <f t="shared" si="0"/>
        <v>0</v>
      </c>
      <c r="P721" s="25" t="str">
        <f t="shared" si="2"/>
        <v/>
      </c>
      <c r="Q721" s="25" t="str">
        <f ca="1">IFERROR(__xludf.DUMMYFUNCTION("""COMPUTED_VALUE"""),"Sin defenir")</f>
        <v>Sin defenir</v>
      </c>
      <c r="R721" s="25"/>
      <c r="S721" s="55"/>
      <c r="T721" s="56"/>
      <c r="U721" s="25"/>
      <c r="V721" s="25"/>
      <c r="W721" s="25"/>
      <c r="X721" s="25"/>
      <c r="Y721" s="25"/>
      <c r="Z721" s="25"/>
    </row>
    <row r="722" spans="1:26" ht="52.5" customHeight="1" x14ac:dyDescent="0.25">
      <c r="A722" s="25" t="str">
        <f ca="1">IFERROR(__xludf.DUMMYFUNCTION("""COMPUTED_VALUE"""),"Mujer120")</f>
        <v>Mujer120</v>
      </c>
      <c r="B722" s="25"/>
      <c r="C722" s="55"/>
      <c r="D722" s="25" t="str">
        <f ca="1">IFERROR(__xludf.DUMMYFUNCTION("""COMPUTED_VALUE"""),"Mujer")</f>
        <v>Mujer</v>
      </c>
      <c r="E722" s="25"/>
      <c r="F722" s="25"/>
      <c r="G722" s="25"/>
      <c r="H722" s="25"/>
      <c r="I722" s="25"/>
      <c r="J722" s="55"/>
      <c r="K722" s="25" t="str">
        <f ca="1">IFERROR(__xludf.DUMMYFUNCTION("""COMPUTED_VALUE"""),"Definir fecha")</f>
        <v>Definir fecha</v>
      </c>
      <c r="L722" s="62"/>
      <c r="M722" s="25"/>
      <c r="N722" s="25"/>
      <c r="O722" s="25">
        <f t="shared" si="0"/>
        <v>0</v>
      </c>
      <c r="P722" s="25" t="str">
        <f t="shared" si="2"/>
        <v/>
      </c>
      <c r="Q722" s="25" t="str">
        <f ca="1">IFERROR(__xludf.DUMMYFUNCTION("""COMPUTED_VALUE"""),"Sin defenir")</f>
        <v>Sin defenir</v>
      </c>
      <c r="R722" s="25"/>
      <c r="S722" s="55"/>
      <c r="T722" s="56"/>
      <c r="U722" s="25"/>
      <c r="V722" s="25"/>
      <c r="W722" s="25"/>
      <c r="X722" s="25"/>
      <c r="Y722" s="25"/>
      <c r="Z722" s="25"/>
    </row>
    <row r="723" spans="1:26" ht="52.5" customHeight="1" x14ac:dyDescent="0.25">
      <c r="A723" s="25" t="str">
        <f ca="1">IFERROR(__xludf.DUMMYFUNCTION("""COMPUTED_VALUE"""),"Mujer121")</f>
        <v>Mujer121</v>
      </c>
      <c r="B723" s="25"/>
      <c r="C723" s="55"/>
      <c r="D723" s="25" t="str">
        <f ca="1">IFERROR(__xludf.DUMMYFUNCTION("""COMPUTED_VALUE"""),"Mujer")</f>
        <v>Mujer</v>
      </c>
      <c r="E723" s="25"/>
      <c r="F723" s="25"/>
      <c r="G723" s="25"/>
      <c r="H723" s="25"/>
      <c r="I723" s="25"/>
      <c r="J723" s="55"/>
      <c r="K723" s="25" t="str">
        <f ca="1">IFERROR(__xludf.DUMMYFUNCTION("""COMPUTED_VALUE"""),"Definir fecha")</f>
        <v>Definir fecha</v>
      </c>
      <c r="L723" s="62"/>
      <c r="M723" s="25"/>
      <c r="N723" s="25"/>
      <c r="O723" s="25">
        <f t="shared" si="0"/>
        <v>0</v>
      </c>
      <c r="P723" s="25" t="str">
        <f t="shared" si="2"/>
        <v/>
      </c>
      <c r="Q723" s="25" t="str">
        <f ca="1">IFERROR(__xludf.DUMMYFUNCTION("""COMPUTED_VALUE"""),"Sin defenir")</f>
        <v>Sin defenir</v>
      </c>
      <c r="R723" s="25"/>
      <c r="S723" s="55"/>
      <c r="T723" s="56"/>
      <c r="U723" s="25"/>
      <c r="V723" s="25"/>
      <c r="W723" s="25"/>
      <c r="X723" s="25"/>
      <c r="Y723" s="25"/>
      <c r="Z723" s="25"/>
    </row>
    <row r="724" spans="1:26" ht="52.5" customHeight="1" x14ac:dyDescent="0.25">
      <c r="A724" s="25" t="str">
        <f ca="1">IFERROR(__xludf.DUMMYFUNCTION("""COMPUTED_VALUE"""),"Mujer122")</f>
        <v>Mujer122</v>
      </c>
      <c r="B724" s="25"/>
      <c r="C724" s="55"/>
      <c r="D724" s="25" t="str">
        <f ca="1">IFERROR(__xludf.DUMMYFUNCTION("""COMPUTED_VALUE"""),"Mujer")</f>
        <v>Mujer</v>
      </c>
      <c r="E724" s="25"/>
      <c r="F724" s="25"/>
      <c r="G724" s="25"/>
      <c r="H724" s="25"/>
      <c r="I724" s="25"/>
      <c r="J724" s="55"/>
      <c r="K724" s="25" t="str">
        <f ca="1">IFERROR(__xludf.DUMMYFUNCTION("""COMPUTED_VALUE"""),"Definir fecha")</f>
        <v>Definir fecha</v>
      </c>
      <c r="L724" s="62"/>
      <c r="M724" s="25"/>
      <c r="N724" s="25"/>
      <c r="O724" s="25">
        <f t="shared" si="0"/>
        <v>0</v>
      </c>
      <c r="P724" s="25" t="str">
        <f t="shared" si="2"/>
        <v/>
      </c>
      <c r="Q724" s="25" t="str">
        <f ca="1">IFERROR(__xludf.DUMMYFUNCTION("""COMPUTED_VALUE"""),"Sin defenir")</f>
        <v>Sin defenir</v>
      </c>
      <c r="R724" s="25"/>
      <c r="S724" s="55"/>
      <c r="T724" s="56"/>
      <c r="U724" s="25"/>
      <c r="V724" s="25"/>
      <c r="W724" s="25"/>
      <c r="X724" s="25"/>
      <c r="Y724" s="25"/>
      <c r="Z724" s="25"/>
    </row>
    <row r="725" spans="1:26" ht="52.5" customHeight="1" x14ac:dyDescent="0.25">
      <c r="A725" s="25" t="str">
        <f ca="1">IFERROR(__xludf.DUMMYFUNCTION("""COMPUTED_VALUE"""),"Mujer123")</f>
        <v>Mujer123</v>
      </c>
      <c r="B725" s="25"/>
      <c r="C725" s="55"/>
      <c r="D725" s="25" t="str">
        <f ca="1">IFERROR(__xludf.DUMMYFUNCTION("""COMPUTED_VALUE"""),"Mujer")</f>
        <v>Mujer</v>
      </c>
      <c r="E725" s="25"/>
      <c r="F725" s="25"/>
      <c r="G725" s="25"/>
      <c r="H725" s="25"/>
      <c r="I725" s="25"/>
      <c r="J725" s="55"/>
      <c r="K725" s="25" t="str">
        <f ca="1">IFERROR(__xludf.DUMMYFUNCTION("""COMPUTED_VALUE"""),"Definir fecha")</f>
        <v>Definir fecha</v>
      </c>
      <c r="L725" s="62"/>
      <c r="M725" s="25"/>
      <c r="N725" s="25"/>
      <c r="O725" s="25">
        <f t="shared" si="0"/>
        <v>0</v>
      </c>
      <c r="P725" s="25" t="str">
        <f t="shared" si="2"/>
        <v/>
      </c>
      <c r="Q725" s="25" t="str">
        <f ca="1">IFERROR(__xludf.DUMMYFUNCTION("""COMPUTED_VALUE"""),"Sin defenir")</f>
        <v>Sin defenir</v>
      </c>
      <c r="R725" s="25"/>
      <c r="S725" s="55"/>
      <c r="T725" s="56"/>
      <c r="U725" s="25"/>
      <c r="V725" s="25"/>
      <c r="W725" s="25"/>
      <c r="X725" s="25"/>
      <c r="Y725" s="25"/>
      <c r="Z725" s="25"/>
    </row>
    <row r="726" spans="1:26" ht="52.5" customHeight="1" x14ac:dyDescent="0.25">
      <c r="A726" s="25" t="str">
        <f ca="1">IFERROR(__xludf.DUMMYFUNCTION("""COMPUTED_VALUE"""),"Mujer124")</f>
        <v>Mujer124</v>
      </c>
      <c r="B726" s="25"/>
      <c r="C726" s="55"/>
      <c r="D726" s="25" t="str">
        <f ca="1">IFERROR(__xludf.DUMMYFUNCTION("""COMPUTED_VALUE"""),"Mujer")</f>
        <v>Mujer</v>
      </c>
      <c r="E726" s="25"/>
      <c r="F726" s="25"/>
      <c r="G726" s="25"/>
      <c r="H726" s="25"/>
      <c r="I726" s="25"/>
      <c r="J726" s="55"/>
      <c r="K726" s="25" t="str">
        <f ca="1">IFERROR(__xludf.DUMMYFUNCTION("""COMPUTED_VALUE"""),"Definir fecha")</f>
        <v>Definir fecha</v>
      </c>
      <c r="L726" s="62"/>
      <c r="M726" s="25"/>
      <c r="N726" s="25"/>
      <c r="O726" s="25">
        <f t="shared" si="0"/>
        <v>0</v>
      </c>
      <c r="P726" s="25" t="str">
        <f t="shared" si="2"/>
        <v/>
      </c>
      <c r="Q726" s="25" t="str">
        <f ca="1">IFERROR(__xludf.DUMMYFUNCTION("""COMPUTED_VALUE"""),"Sin defenir")</f>
        <v>Sin defenir</v>
      </c>
      <c r="R726" s="25"/>
      <c r="S726" s="55"/>
      <c r="T726" s="56"/>
      <c r="U726" s="25"/>
      <c r="V726" s="25"/>
      <c r="W726" s="25"/>
      <c r="X726" s="25"/>
      <c r="Y726" s="25"/>
      <c r="Z726" s="25"/>
    </row>
    <row r="727" spans="1:26" ht="52.5" customHeight="1" x14ac:dyDescent="0.25">
      <c r="A727" s="25" t="str">
        <f ca="1">IFERROR(__xludf.DUMMYFUNCTION("""COMPUTED_VALUE"""),"Mujer125")</f>
        <v>Mujer125</v>
      </c>
      <c r="B727" s="25"/>
      <c r="C727" s="55"/>
      <c r="D727" s="25" t="str">
        <f ca="1">IFERROR(__xludf.DUMMYFUNCTION("""COMPUTED_VALUE"""),"Mujer")</f>
        <v>Mujer</v>
      </c>
      <c r="E727" s="25"/>
      <c r="F727" s="25"/>
      <c r="G727" s="25"/>
      <c r="H727" s="25"/>
      <c r="I727" s="25"/>
      <c r="J727" s="55"/>
      <c r="K727" s="25" t="str">
        <f ca="1">IFERROR(__xludf.DUMMYFUNCTION("""COMPUTED_VALUE"""),"Definir fecha")</f>
        <v>Definir fecha</v>
      </c>
      <c r="L727" s="62"/>
      <c r="M727" s="25"/>
      <c r="N727" s="25"/>
      <c r="O727" s="25">
        <f t="shared" si="0"/>
        <v>0</v>
      </c>
      <c r="P727" s="25" t="str">
        <f t="shared" si="2"/>
        <v/>
      </c>
      <c r="Q727" s="25" t="str">
        <f ca="1">IFERROR(__xludf.DUMMYFUNCTION("""COMPUTED_VALUE"""),"Sin defenir")</f>
        <v>Sin defenir</v>
      </c>
      <c r="R727" s="25"/>
      <c r="S727" s="55"/>
      <c r="T727" s="56"/>
      <c r="U727" s="25"/>
      <c r="V727" s="25"/>
      <c r="W727" s="25"/>
      <c r="X727" s="25"/>
      <c r="Y727" s="25"/>
      <c r="Z727" s="25"/>
    </row>
    <row r="728" spans="1:26" ht="52.5" customHeight="1" x14ac:dyDescent="0.25">
      <c r="A728" s="25" t="str">
        <f ca="1">IFERROR(__xludf.DUMMYFUNCTION("""COMPUTED_VALUE"""),"Mujer126")</f>
        <v>Mujer126</v>
      </c>
      <c r="B728" s="25"/>
      <c r="C728" s="55"/>
      <c r="D728" s="25" t="str">
        <f ca="1">IFERROR(__xludf.DUMMYFUNCTION("""COMPUTED_VALUE"""),"Mujer")</f>
        <v>Mujer</v>
      </c>
      <c r="E728" s="25"/>
      <c r="F728" s="25"/>
      <c r="G728" s="25"/>
      <c r="H728" s="25"/>
      <c r="I728" s="25"/>
      <c r="J728" s="55"/>
      <c r="K728" s="25" t="str">
        <f ca="1">IFERROR(__xludf.DUMMYFUNCTION("""COMPUTED_VALUE"""),"Definir fecha")</f>
        <v>Definir fecha</v>
      </c>
      <c r="L728" s="62"/>
      <c r="M728" s="25"/>
      <c r="N728" s="25"/>
      <c r="O728" s="25">
        <f t="shared" si="0"/>
        <v>0</v>
      </c>
      <c r="P728" s="25" t="str">
        <f t="shared" si="2"/>
        <v/>
      </c>
      <c r="Q728" s="25" t="str">
        <f ca="1">IFERROR(__xludf.DUMMYFUNCTION("""COMPUTED_VALUE"""),"Sin defenir")</f>
        <v>Sin defenir</v>
      </c>
      <c r="R728" s="25"/>
      <c r="S728" s="55"/>
      <c r="T728" s="56"/>
      <c r="U728" s="25"/>
      <c r="V728" s="25"/>
      <c r="W728" s="25"/>
      <c r="X728" s="25"/>
      <c r="Y728" s="25"/>
      <c r="Z728" s="25"/>
    </row>
    <row r="729" spans="1:26" ht="52.5" customHeight="1" x14ac:dyDescent="0.25">
      <c r="A729" s="25" t="str">
        <f ca="1">IFERROR(__xludf.DUMMYFUNCTION("""COMPUTED_VALUE"""),"Mujer127")</f>
        <v>Mujer127</v>
      </c>
      <c r="B729" s="25"/>
      <c r="C729" s="55"/>
      <c r="D729" s="25" t="str">
        <f ca="1">IFERROR(__xludf.DUMMYFUNCTION("""COMPUTED_VALUE"""),"Mujer")</f>
        <v>Mujer</v>
      </c>
      <c r="E729" s="25"/>
      <c r="F729" s="25"/>
      <c r="G729" s="25"/>
      <c r="H729" s="25"/>
      <c r="I729" s="25"/>
      <c r="J729" s="55"/>
      <c r="K729" s="25" t="str">
        <f ca="1">IFERROR(__xludf.DUMMYFUNCTION("""COMPUTED_VALUE"""),"Definir fecha")</f>
        <v>Definir fecha</v>
      </c>
      <c r="L729" s="62"/>
      <c r="M729" s="25"/>
      <c r="N729" s="25"/>
      <c r="O729" s="25">
        <f t="shared" si="0"/>
        <v>0</v>
      </c>
      <c r="P729" s="25" t="str">
        <f t="shared" si="2"/>
        <v/>
      </c>
      <c r="Q729" s="25" t="str">
        <f ca="1">IFERROR(__xludf.DUMMYFUNCTION("""COMPUTED_VALUE"""),"Sin defenir")</f>
        <v>Sin defenir</v>
      </c>
      <c r="R729" s="25"/>
      <c r="S729" s="55"/>
      <c r="T729" s="56"/>
      <c r="U729" s="25"/>
      <c r="V729" s="25"/>
      <c r="W729" s="25"/>
      <c r="X729" s="25"/>
      <c r="Y729" s="25"/>
      <c r="Z729" s="25"/>
    </row>
    <row r="730" spans="1:26" ht="52.5" customHeight="1" x14ac:dyDescent="0.25">
      <c r="A730" s="25" t="str">
        <f ca="1">IFERROR(__xludf.DUMMYFUNCTION("""COMPUTED_VALUE"""),"Mujer128")</f>
        <v>Mujer128</v>
      </c>
      <c r="B730" s="25"/>
      <c r="C730" s="55"/>
      <c r="D730" s="25" t="str">
        <f ca="1">IFERROR(__xludf.DUMMYFUNCTION("""COMPUTED_VALUE"""),"Mujer")</f>
        <v>Mujer</v>
      </c>
      <c r="E730" s="25"/>
      <c r="F730" s="25"/>
      <c r="G730" s="25"/>
      <c r="H730" s="25"/>
      <c r="I730" s="25"/>
      <c r="J730" s="55"/>
      <c r="K730" s="25" t="str">
        <f ca="1">IFERROR(__xludf.DUMMYFUNCTION("""COMPUTED_VALUE"""),"Definir fecha")</f>
        <v>Definir fecha</v>
      </c>
      <c r="L730" s="62"/>
      <c r="M730" s="25"/>
      <c r="N730" s="25"/>
      <c r="O730" s="25">
        <f t="shared" si="0"/>
        <v>0</v>
      </c>
      <c r="P730" s="25" t="str">
        <f t="shared" si="2"/>
        <v/>
      </c>
      <c r="Q730" s="25" t="str">
        <f ca="1">IFERROR(__xludf.DUMMYFUNCTION("""COMPUTED_VALUE"""),"Sin defenir")</f>
        <v>Sin defenir</v>
      </c>
      <c r="R730" s="25"/>
      <c r="S730" s="55"/>
      <c r="T730" s="56"/>
      <c r="U730" s="25"/>
      <c r="V730" s="25"/>
      <c r="W730" s="25"/>
      <c r="X730" s="25"/>
      <c r="Y730" s="25"/>
      <c r="Z730" s="25"/>
    </row>
    <row r="731" spans="1:26" ht="52.5" customHeight="1" x14ac:dyDescent="0.25">
      <c r="A731" s="25" t="str">
        <f ca="1">IFERROR(__xludf.DUMMYFUNCTION("""COMPUTED_VALUE"""),"Mujer129")</f>
        <v>Mujer129</v>
      </c>
      <c r="B731" s="25"/>
      <c r="C731" s="55"/>
      <c r="D731" s="25" t="str">
        <f ca="1">IFERROR(__xludf.DUMMYFUNCTION("""COMPUTED_VALUE"""),"Mujer")</f>
        <v>Mujer</v>
      </c>
      <c r="E731" s="25"/>
      <c r="F731" s="25"/>
      <c r="G731" s="25"/>
      <c r="H731" s="25"/>
      <c r="I731" s="25"/>
      <c r="J731" s="55"/>
      <c r="K731" s="25" t="str">
        <f ca="1">IFERROR(__xludf.DUMMYFUNCTION("""COMPUTED_VALUE"""),"Definir fecha")</f>
        <v>Definir fecha</v>
      </c>
      <c r="L731" s="62"/>
      <c r="M731" s="25"/>
      <c r="N731" s="25"/>
      <c r="O731" s="25">
        <f t="shared" si="0"/>
        <v>0</v>
      </c>
      <c r="P731" s="25" t="str">
        <f t="shared" si="2"/>
        <v/>
      </c>
      <c r="Q731" s="25" t="str">
        <f ca="1">IFERROR(__xludf.DUMMYFUNCTION("""COMPUTED_VALUE"""),"Sin defenir")</f>
        <v>Sin defenir</v>
      </c>
      <c r="R731" s="25"/>
      <c r="S731" s="55"/>
      <c r="T731" s="56"/>
      <c r="U731" s="25"/>
      <c r="V731" s="25"/>
      <c r="W731" s="25"/>
      <c r="X731" s="25"/>
      <c r="Y731" s="25"/>
      <c r="Z731" s="25"/>
    </row>
    <row r="732" spans="1:26" ht="52.5" customHeight="1" x14ac:dyDescent="0.25">
      <c r="A732" s="25" t="str">
        <f ca="1">IFERROR(__xludf.DUMMYFUNCTION("""COMPUTED_VALUE"""),"Mujer130")</f>
        <v>Mujer130</v>
      </c>
      <c r="B732" s="25"/>
      <c r="C732" s="55"/>
      <c r="D732" s="25" t="str">
        <f ca="1">IFERROR(__xludf.DUMMYFUNCTION("""COMPUTED_VALUE"""),"Mujer")</f>
        <v>Mujer</v>
      </c>
      <c r="E732" s="25"/>
      <c r="F732" s="25"/>
      <c r="G732" s="25"/>
      <c r="H732" s="25"/>
      <c r="I732" s="25"/>
      <c r="J732" s="55"/>
      <c r="K732" s="25" t="str">
        <f ca="1">IFERROR(__xludf.DUMMYFUNCTION("""COMPUTED_VALUE"""),"Definir fecha")</f>
        <v>Definir fecha</v>
      </c>
      <c r="L732" s="62"/>
      <c r="M732" s="25"/>
      <c r="N732" s="25"/>
      <c r="O732" s="25">
        <f t="shared" si="0"/>
        <v>0</v>
      </c>
      <c r="P732" s="25" t="str">
        <f t="shared" si="2"/>
        <v/>
      </c>
      <c r="Q732" s="25" t="str">
        <f ca="1">IFERROR(__xludf.DUMMYFUNCTION("""COMPUTED_VALUE"""),"Sin defenir")</f>
        <v>Sin defenir</v>
      </c>
      <c r="R732" s="25"/>
      <c r="S732" s="55"/>
      <c r="T732" s="56"/>
      <c r="U732" s="25"/>
      <c r="V732" s="25"/>
      <c r="W732" s="25"/>
      <c r="X732" s="25"/>
      <c r="Y732" s="25"/>
      <c r="Z732" s="25"/>
    </row>
    <row r="733" spans="1:26" ht="52.5" customHeight="1" x14ac:dyDescent="0.25">
      <c r="A733" s="25" t="str">
        <f ca="1">IFERROR(__xludf.DUMMYFUNCTION("""COMPUTED_VALUE"""),"Mujer131")</f>
        <v>Mujer131</v>
      </c>
      <c r="B733" s="25"/>
      <c r="C733" s="55"/>
      <c r="D733" s="25" t="str">
        <f ca="1">IFERROR(__xludf.DUMMYFUNCTION("""COMPUTED_VALUE"""),"Mujer")</f>
        <v>Mujer</v>
      </c>
      <c r="E733" s="25"/>
      <c r="F733" s="25"/>
      <c r="G733" s="25"/>
      <c r="H733" s="25"/>
      <c r="I733" s="25"/>
      <c r="J733" s="55"/>
      <c r="K733" s="25" t="str">
        <f ca="1">IFERROR(__xludf.DUMMYFUNCTION("""COMPUTED_VALUE"""),"Definir fecha")</f>
        <v>Definir fecha</v>
      </c>
      <c r="L733" s="62"/>
      <c r="M733" s="25"/>
      <c r="N733" s="25"/>
      <c r="O733" s="25">
        <f t="shared" si="0"/>
        <v>0</v>
      </c>
      <c r="P733" s="25" t="str">
        <f t="shared" si="2"/>
        <v/>
      </c>
      <c r="Q733" s="25" t="str">
        <f ca="1">IFERROR(__xludf.DUMMYFUNCTION("""COMPUTED_VALUE"""),"Sin defenir")</f>
        <v>Sin defenir</v>
      </c>
      <c r="R733" s="25"/>
      <c r="S733" s="55"/>
      <c r="T733" s="56"/>
      <c r="U733" s="25"/>
      <c r="V733" s="25"/>
      <c r="W733" s="25"/>
      <c r="X733" s="25"/>
      <c r="Y733" s="25"/>
      <c r="Z733" s="25"/>
    </row>
    <row r="734" spans="1:26" ht="52.5" customHeight="1" x14ac:dyDescent="0.25">
      <c r="A734" s="25" t="str">
        <f ca="1">IFERROR(__xludf.DUMMYFUNCTION("""COMPUTED_VALUE"""),"Mujer132")</f>
        <v>Mujer132</v>
      </c>
      <c r="B734" s="25"/>
      <c r="C734" s="55"/>
      <c r="D734" s="25" t="str">
        <f ca="1">IFERROR(__xludf.DUMMYFUNCTION("""COMPUTED_VALUE"""),"Mujer")</f>
        <v>Mujer</v>
      </c>
      <c r="E734" s="25"/>
      <c r="F734" s="25"/>
      <c r="G734" s="25"/>
      <c r="H734" s="25"/>
      <c r="I734" s="25"/>
      <c r="J734" s="55"/>
      <c r="K734" s="25" t="str">
        <f ca="1">IFERROR(__xludf.DUMMYFUNCTION("""COMPUTED_VALUE"""),"Definir fecha")</f>
        <v>Definir fecha</v>
      </c>
      <c r="L734" s="62"/>
      <c r="M734" s="25"/>
      <c r="N734" s="25"/>
      <c r="O734" s="25">
        <f t="shared" si="0"/>
        <v>0</v>
      </c>
      <c r="P734" s="25" t="str">
        <f t="shared" si="2"/>
        <v/>
      </c>
      <c r="Q734" s="25" t="str">
        <f ca="1">IFERROR(__xludf.DUMMYFUNCTION("""COMPUTED_VALUE"""),"Sin defenir")</f>
        <v>Sin defenir</v>
      </c>
      <c r="R734" s="25"/>
      <c r="S734" s="55"/>
      <c r="T734" s="56"/>
      <c r="U734" s="25"/>
      <c r="V734" s="25"/>
      <c r="W734" s="25"/>
      <c r="X734" s="25"/>
      <c r="Y734" s="25"/>
      <c r="Z734" s="25"/>
    </row>
    <row r="735" spans="1:26" ht="52.5" customHeight="1" x14ac:dyDescent="0.25">
      <c r="A735" s="25" t="str">
        <f ca="1">IFERROR(__xludf.DUMMYFUNCTION("""COMPUTED_VALUE"""),"Mujer133")</f>
        <v>Mujer133</v>
      </c>
      <c r="B735" s="25"/>
      <c r="C735" s="55"/>
      <c r="D735" s="25" t="str">
        <f ca="1">IFERROR(__xludf.DUMMYFUNCTION("""COMPUTED_VALUE"""),"Mujer")</f>
        <v>Mujer</v>
      </c>
      <c r="E735" s="25"/>
      <c r="F735" s="25"/>
      <c r="G735" s="25"/>
      <c r="H735" s="25"/>
      <c r="I735" s="25"/>
      <c r="J735" s="55"/>
      <c r="K735" s="25" t="str">
        <f ca="1">IFERROR(__xludf.DUMMYFUNCTION("""COMPUTED_VALUE"""),"Definir fecha")</f>
        <v>Definir fecha</v>
      </c>
      <c r="L735" s="62"/>
      <c r="M735" s="25"/>
      <c r="N735" s="25"/>
      <c r="O735" s="25">
        <f t="shared" si="0"/>
        <v>0</v>
      </c>
      <c r="P735" s="25" t="str">
        <f t="shared" si="2"/>
        <v/>
      </c>
      <c r="Q735" s="25" t="str">
        <f ca="1">IFERROR(__xludf.DUMMYFUNCTION("""COMPUTED_VALUE"""),"Sin defenir")</f>
        <v>Sin defenir</v>
      </c>
      <c r="R735" s="25"/>
      <c r="S735" s="55"/>
      <c r="T735" s="56"/>
      <c r="U735" s="25"/>
      <c r="V735" s="25"/>
      <c r="W735" s="25"/>
      <c r="X735" s="25"/>
      <c r="Y735" s="25"/>
      <c r="Z735" s="25"/>
    </row>
    <row r="736" spans="1:26" ht="52.5" customHeight="1" x14ac:dyDescent="0.25">
      <c r="A736" s="25" t="str">
        <f ca="1">IFERROR(__xludf.DUMMYFUNCTION("""COMPUTED_VALUE"""),"Mujer134")</f>
        <v>Mujer134</v>
      </c>
      <c r="B736" s="25"/>
      <c r="C736" s="55"/>
      <c r="D736" s="25" t="str">
        <f ca="1">IFERROR(__xludf.DUMMYFUNCTION("""COMPUTED_VALUE"""),"Mujer")</f>
        <v>Mujer</v>
      </c>
      <c r="E736" s="25"/>
      <c r="F736" s="25"/>
      <c r="G736" s="25"/>
      <c r="H736" s="25"/>
      <c r="I736" s="25"/>
      <c r="J736" s="55"/>
      <c r="K736" s="25" t="str">
        <f ca="1">IFERROR(__xludf.DUMMYFUNCTION("""COMPUTED_VALUE"""),"Definir fecha")</f>
        <v>Definir fecha</v>
      </c>
      <c r="L736" s="62"/>
      <c r="M736" s="25"/>
      <c r="N736" s="25"/>
      <c r="O736" s="25">
        <f t="shared" si="0"/>
        <v>0</v>
      </c>
      <c r="P736" s="25" t="str">
        <f t="shared" si="2"/>
        <v/>
      </c>
      <c r="Q736" s="25" t="str">
        <f ca="1">IFERROR(__xludf.DUMMYFUNCTION("""COMPUTED_VALUE"""),"Sin defenir")</f>
        <v>Sin defenir</v>
      </c>
      <c r="R736" s="25"/>
      <c r="S736" s="55"/>
      <c r="T736" s="56"/>
      <c r="U736" s="25"/>
      <c r="V736" s="25"/>
      <c r="W736" s="25"/>
      <c r="X736" s="25"/>
      <c r="Y736" s="25"/>
      <c r="Z736" s="25"/>
    </row>
    <row r="737" spans="1:26" ht="52.5" customHeight="1" x14ac:dyDescent="0.25">
      <c r="A737" s="25" t="str">
        <f ca="1">IFERROR(__xludf.DUMMYFUNCTION("""COMPUTED_VALUE"""),"Mujer135")</f>
        <v>Mujer135</v>
      </c>
      <c r="B737" s="25"/>
      <c r="C737" s="55"/>
      <c r="D737" s="25" t="str">
        <f ca="1">IFERROR(__xludf.DUMMYFUNCTION("""COMPUTED_VALUE"""),"Mujer")</f>
        <v>Mujer</v>
      </c>
      <c r="E737" s="25"/>
      <c r="F737" s="25"/>
      <c r="G737" s="25"/>
      <c r="H737" s="25"/>
      <c r="I737" s="25"/>
      <c r="J737" s="55"/>
      <c r="K737" s="25" t="str">
        <f ca="1">IFERROR(__xludf.DUMMYFUNCTION("""COMPUTED_VALUE"""),"Definir fecha")</f>
        <v>Definir fecha</v>
      </c>
      <c r="L737" s="62"/>
      <c r="M737" s="25"/>
      <c r="N737" s="25"/>
      <c r="O737" s="25">
        <f t="shared" si="0"/>
        <v>0</v>
      </c>
      <c r="P737" s="25" t="str">
        <f t="shared" si="2"/>
        <v/>
      </c>
      <c r="Q737" s="25" t="str">
        <f ca="1">IFERROR(__xludf.DUMMYFUNCTION("""COMPUTED_VALUE"""),"Sin defenir")</f>
        <v>Sin defenir</v>
      </c>
      <c r="R737" s="25"/>
      <c r="S737" s="55"/>
      <c r="T737" s="56"/>
      <c r="U737" s="25"/>
      <c r="V737" s="25"/>
      <c r="W737" s="25"/>
      <c r="X737" s="25"/>
      <c r="Y737" s="25"/>
      <c r="Z737" s="25"/>
    </row>
    <row r="738" spans="1:26" ht="52.5" customHeight="1" x14ac:dyDescent="0.25">
      <c r="A738" s="25" t="str">
        <f ca="1">IFERROR(__xludf.DUMMYFUNCTION("""COMPUTED_VALUE"""),"Mujer136")</f>
        <v>Mujer136</v>
      </c>
      <c r="B738" s="25"/>
      <c r="C738" s="55"/>
      <c r="D738" s="25" t="str">
        <f ca="1">IFERROR(__xludf.DUMMYFUNCTION("""COMPUTED_VALUE"""),"Mujer")</f>
        <v>Mujer</v>
      </c>
      <c r="E738" s="25"/>
      <c r="F738" s="25"/>
      <c r="G738" s="25"/>
      <c r="H738" s="25"/>
      <c r="I738" s="25"/>
      <c r="J738" s="55"/>
      <c r="K738" s="25" t="str">
        <f ca="1">IFERROR(__xludf.DUMMYFUNCTION("""COMPUTED_VALUE"""),"Definir fecha")</f>
        <v>Definir fecha</v>
      </c>
      <c r="L738" s="62"/>
      <c r="M738" s="25"/>
      <c r="N738" s="25"/>
      <c r="O738" s="25">
        <f t="shared" si="0"/>
        <v>0</v>
      </c>
      <c r="P738" s="25" t="str">
        <f t="shared" si="2"/>
        <v/>
      </c>
      <c r="Q738" s="25" t="str">
        <f ca="1">IFERROR(__xludf.DUMMYFUNCTION("""COMPUTED_VALUE"""),"Sin defenir")</f>
        <v>Sin defenir</v>
      </c>
      <c r="R738" s="25"/>
      <c r="S738" s="55"/>
      <c r="T738" s="56"/>
      <c r="U738" s="25"/>
      <c r="V738" s="25"/>
      <c r="W738" s="25"/>
      <c r="X738" s="25"/>
      <c r="Y738" s="25"/>
      <c r="Z738" s="25"/>
    </row>
    <row r="739" spans="1:26" ht="52.5" customHeight="1" x14ac:dyDescent="0.25">
      <c r="A739" s="25" t="str">
        <f ca="1">IFERROR(__xludf.DUMMYFUNCTION("""COMPUTED_VALUE"""),"Mujer137")</f>
        <v>Mujer137</v>
      </c>
      <c r="B739" s="25"/>
      <c r="C739" s="55"/>
      <c r="D739" s="25" t="str">
        <f ca="1">IFERROR(__xludf.DUMMYFUNCTION("""COMPUTED_VALUE"""),"Mujer")</f>
        <v>Mujer</v>
      </c>
      <c r="E739" s="25"/>
      <c r="F739" s="25"/>
      <c r="G739" s="25"/>
      <c r="H739" s="25"/>
      <c r="I739" s="25"/>
      <c r="J739" s="55"/>
      <c r="K739" s="25" t="str">
        <f ca="1">IFERROR(__xludf.DUMMYFUNCTION("""COMPUTED_VALUE"""),"Definir fecha")</f>
        <v>Definir fecha</v>
      </c>
      <c r="L739" s="62"/>
      <c r="M739" s="25"/>
      <c r="N739" s="25"/>
      <c r="O739" s="25">
        <f t="shared" si="0"/>
        <v>0</v>
      </c>
      <c r="P739" s="25" t="str">
        <f t="shared" si="2"/>
        <v/>
      </c>
      <c r="Q739" s="25" t="str">
        <f ca="1">IFERROR(__xludf.DUMMYFUNCTION("""COMPUTED_VALUE"""),"Sin defenir")</f>
        <v>Sin defenir</v>
      </c>
      <c r="R739" s="25"/>
      <c r="S739" s="55"/>
      <c r="T739" s="56"/>
      <c r="U739" s="25"/>
      <c r="V739" s="25"/>
      <c r="W739" s="25"/>
      <c r="X739" s="25"/>
      <c r="Y739" s="25"/>
      <c r="Z739" s="25"/>
    </row>
    <row r="740" spans="1:26" ht="52.5" customHeight="1" x14ac:dyDescent="0.25">
      <c r="A740" s="25" t="str">
        <f ca="1">IFERROR(__xludf.DUMMYFUNCTION("""COMPUTED_VALUE"""),"Mujer138")</f>
        <v>Mujer138</v>
      </c>
      <c r="B740" s="25"/>
      <c r="C740" s="55"/>
      <c r="D740" s="25" t="str">
        <f ca="1">IFERROR(__xludf.DUMMYFUNCTION("""COMPUTED_VALUE"""),"Mujer")</f>
        <v>Mujer</v>
      </c>
      <c r="E740" s="25"/>
      <c r="F740" s="25"/>
      <c r="G740" s="25"/>
      <c r="H740" s="25"/>
      <c r="I740" s="25"/>
      <c r="J740" s="55"/>
      <c r="K740" s="25" t="str">
        <f ca="1">IFERROR(__xludf.DUMMYFUNCTION("""COMPUTED_VALUE"""),"Definir fecha")</f>
        <v>Definir fecha</v>
      </c>
      <c r="L740" s="62"/>
      <c r="M740" s="25"/>
      <c r="N740" s="25"/>
      <c r="O740" s="25">
        <f t="shared" si="0"/>
        <v>0</v>
      </c>
      <c r="P740" s="25" t="str">
        <f t="shared" si="2"/>
        <v/>
      </c>
      <c r="Q740" s="25" t="str">
        <f ca="1">IFERROR(__xludf.DUMMYFUNCTION("""COMPUTED_VALUE"""),"Sin defenir")</f>
        <v>Sin defenir</v>
      </c>
      <c r="R740" s="25"/>
      <c r="S740" s="55"/>
      <c r="T740" s="56"/>
      <c r="U740" s="25"/>
      <c r="V740" s="25"/>
      <c r="W740" s="25"/>
      <c r="X740" s="25"/>
      <c r="Y740" s="25"/>
      <c r="Z740" s="25"/>
    </row>
    <row r="741" spans="1:26" ht="52.5" customHeight="1" x14ac:dyDescent="0.25">
      <c r="A741" s="25" t="str">
        <f ca="1">IFERROR(__xludf.DUMMYFUNCTION("""COMPUTED_VALUE"""),"Mujer139")</f>
        <v>Mujer139</v>
      </c>
      <c r="B741" s="25"/>
      <c r="C741" s="55"/>
      <c r="D741" s="25" t="str">
        <f ca="1">IFERROR(__xludf.DUMMYFUNCTION("""COMPUTED_VALUE"""),"Mujer")</f>
        <v>Mujer</v>
      </c>
      <c r="E741" s="25"/>
      <c r="F741" s="25"/>
      <c r="G741" s="25"/>
      <c r="H741" s="25"/>
      <c r="I741" s="25"/>
      <c r="J741" s="55"/>
      <c r="K741" s="25" t="str">
        <f ca="1">IFERROR(__xludf.DUMMYFUNCTION("""COMPUTED_VALUE"""),"Definir fecha")</f>
        <v>Definir fecha</v>
      </c>
      <c r="L741" s="62"/>
      <c r="M741" s="25"/>
      <c r="N741" s="25"/>
      <c r="O741" s="25">
        <f t="shared" si="0"/>
        <v>0</v>
      </c>
      <c r="P741" s="25" t="str">
        <f t="shared" si="2"/>
        <v/>
      </c>
      <c r="Q741" s="25" t="str">
        <f ca="1">IFERROR(__xludf.DUMMYFUNCTION("""COMPUTED_VALUE"""),"Sin defenir")</f>
        <v>Sin defenir</v>
      </c>
      <c r="R741" s="25"/>
      <c r="S741" s="55"/>
      <c r="T741" s="56"/>
      <c r="U741" s="25"/>
      <c r="V741" s="25"/>
      <c r="W741" s="25"/>
      <c r="X741" s="25"/>
      <c r="Y741" s="25"/>
      <c r="Z741" s="25"/>
    </row>
    <row r="742" spans="1:26" ht="52.5" customHeight="1" x14ac:dyDescent="0.25">
      <c r="A742" s="25" t="str">
        <f ca="1">IFERROR(__xludf.DUMMYFUNCTION("""COMPUTED_VALUE"""),"Mujer140")</f>
        <v>Mujer140</v>
      </c>
      <c r="B742" s="25"/>
      <c r="C742" s="55"/>
      <c r="D742" s="25" t="str">
        <f ca="1">IFERROR(__xludf.DUMMYFUNCTION("""COMPUTED_VALUE"""),"Mujer")</f>
        <v>Mujer</v>
      </c>
      <c r="E742" s="25"/>
      <c r="F742" s="25"/>
      <c r="G742" s="25"/>
      <c r="H742" s="25"/>
      <c r="I742" s="25"/>
      <c r="J742" s="55"/>
      <c r="K742" s="25" t="str">
        <f ca="1">IFERROR(__xludf.DUMMYFUNCTION("""COMPUTED_VALUE"""),"Definir fecha")</f>
        <v>Definir fecha</v>
      </c>
      <c r="L742" s="62"/>
      <c r="M742" s="25"/>
      <c r="N742" s="25"/>
      <c r="O742" s="25">
        <f t="shared" si="0"/>
        <v>0</v>
      </c>
      <c r="P742" s="25" t="str">
        <f t="shared" si="2"/>
        <v/>
      </c>
      <c r="Q742" s="25" t="str">
        <f ca="1">IFERROR(__xludf.DUMMYFUNCTION("""COMPUTED_VALUE"""),"Sin defenir")</f>
        <v>Sin defenir</v>
      </c>
      <c r="R742" s="25"/>
      <c r="S742" s="55"/>
      <c r="T742" s="56"/>
      <c r="U742" s="25"/>
      <c r="V742" s="25"/>
      <c r="W742" s="25"/>
      <c r="X742" s="25"/>
      <c r="Y742" s="25"/>
      <c r="Z742" s="25"/>
    </row>
    <row r="743" spans="1:26" ht="52.5" customHeight="1" x14ac:dyDescent="0.25">
      <c r="A743" s="25" t="str">
        <f ca="1">IFERROR(__xludf.DUMMYFUNCTION("""COMPUTED_VALUE"""),"Mujer141")</f>
        <v>Mujer141</v>
      </c>
      <c r="B743" s="25"/>
      <c r="C743" s="55"/>
      <c r="D743" s="25" t="str">
        <f ca="1">IFERROR(__xludf.DUMMYFUNCTION("""COMPUTED_VALUE"""),"Mujer")</f>
        <v>Mujer</v>
      </c>
      <c r="E743" s="25"/>
      <c r="F743" s="25"/>
      <c r="G743" s="25"/>
      <c r="H743" s="25"/>
      <c r="I743" s="25"/>
      <c r="J743" s="55"/>
      <c r="K743" s="25" t="str">
        <f ca="1">IFERROR(__xludf.DUMMYFUNCTION("""COMPUTED_VALUE"""),"Definir fecha")</f>
        <v>Definir fecha</v>
      </c>
      <c r="L743" s="62"/>
      <c r="M743" s="25"/>
      <c r="N743" s="25"/>
      <c r="O743" s="25">
        <f t="shared" si="0"/>
        <v>0</v>
      </c>
      <c r="P743" s="25" t="str">
        <f t="shared" si="2"/>
        <v/>
      </c>
      <c r="Q743" s="25" t="str">
        <f ca="1">IFERROR(__xludf.DUMMYFUNCTION("""COMPUTED_VALUE"""),"Sin defenir")</f>
        <v>Sin defenir</v>
      </c>
      <c r="R743" s="25"/>
      <c r="S743" s="55"/>
      <c r="T743" s="56"/>
      <c r="U743" s="25"/>
      <c r="V743" s="25"/>
      <c r="W743" s="25"/>
      <c r="X743" s="25"/>
      <c r="Y743" s="25"/>
      <c r="Z743" s="25"/>
    </row>
    <row r="744" spans="1:26" ht="52.5" customHeight="1" x14ac:dyDescent="0.25">
      <c r="A744" s="25" t="str">
        <f ca="1">IFERROR(__xludf.DUMMYFUNCTION("""COMPUTED_VALUE"""),"Mujer142")</f>
        <v>Mujer142</v>
      </c>
      <c r="B744" s="25"/>
      <c r="C744" s="55"/>
      <c r="D744" s="25" t="str">
        <f ca="1">IFERROR(__xludf.DUMMYFUNCTION("""COMPUTED_VALUE"""),"Mujer")</f>
        <v>Mujer</v>
      </c>
      <c r="E744" s="25"/>
      <c r="F744" s="25"/>
      <c r="G744" s="25"/>
      <c r="H744" s="25"/>
      <c r="I744" s="25"/>
      <c r="J744" s="55"/>
      <c r="K744" s="25" t="str">
        <f ca="1">IFERROR(__xludf.DUMMYFUNCTION("""COMPUTED_VALUE"""),"Definir fecha")</f>
        <v>Definir fecha</v>
      </c>
      <c r="L744" s="62"/>
      <c r="M744" s="25"/>
      <c r="N744" s="25"/>
      <c r="O744" s="25">
        <f t="shared" si="0"/>
        <v>0</v>
      </c>
      <c r="P744" s="25" t="str">
        <f t="shared" si="2"/>
        <v/>
      </c>
      <c r="Q744" s="25" t="str">
        <f ca="1">IFERROR(__xludf.DUMMYFUNCTION("""COMPUTED_VALUE"""),"Sin defenir")</f>
        <v>Sin defenir</v>
      </c>
      <c r="R744" s="25"/>
      <c r="S744" s="55"/>
      <c r="T744" s="56"/>
      <c r="U744" s="25"/>
      <c r="V744" s="25"/>
      <c r="W744" s="25"/>
      <c r="X744" s="25"/>
      <c r="Y744" s="25"/>
      <c r="Z744" s="25"/>
    </row>
    <row r="745" spans="1:26" ht="52.5" customHeight="1" x14ac:dyDescent="0.25">
      <c r="A745" s="25" t="str">
        <f ca="1">IFERROR(__xludf.DUMMYFUNCTION("""COMPUTED_VALUE"""),"Mujer143")</f>
        <v>Mujer143</v>
      </c>
      <c r="B745" s="25"/>
      <c r="C745" s="55"/>
      <c r="D745" s="25" t="str">
        <f ca="1">IFERROR(__xludf.DUMMYFUNCTION("""COMPUTED_VALUE"""),"Mujer")</f>
        <v>Mujer</v>
      </c>
      <c r="E745" s="25"/>
      <c r="F745" s="25"/>
      <c r="G745" s="25"/>
      <c r="H745" s="25"/>
      <c r="I745" s="25"/>
      <c r="J745" s="55"/>
      <c r="K745" s="25" t="str">
        <f ca="1">IFERROR(__xludf.DUMMYFUNCTION("""COMPUTED_VALUE"""),"Definir fecha")</f>
        <v>Definir fecha</v>
      </c>
      <c r="L745" s="62"/>
      <c r="M745" s="25"/>
      <c r="N745" s="25"/>
      <c r="O745" s="25">
        <f t="shared" si="0"/>
        <v>0</v>
      </c>
      <c r="P745" s="25" t="str">
        <f t="shared" si="2"/>
        <v/>
      </c>
      <c r="Q745" s="25" t="str">
        <f ca="1">IFERROR(__xludf.DUMMYFUNCTION("""COMPUTED_VALUE"""),"Sin defenir")</f>
        <v>Sin defenir</v>
      </c>
      <c r="R745" s="25"/>
      <c r="S745" s="55"/>
      <c r="T745" s="56"/>
      <c r="U745" s="25"/>
      <c r="V745" s="25"/>
      <c r="W745" s="25"/>
      <c r="X745" s="25"/>
      <c r="Y745" s="25"/>
      <c r="Z745" s="25"/>
    </row>
    <row r="746" spans="1:26" ht="52.5" customHeight="1" x14ac:dyDescent="0.25">
      <c r="A746" s="25" t="str">
        <f ca="1">IFERROR(__xludf.DUMMYFUNCTION("""COMPUTED_VALUE"""),"Mujer144")</f>
        <v>Mujer144</v>
      </c>
      <c r="B746" s="25"/>
      <c r="C746" s="55"/>
      <c r="D746" s="25" t="str">
        <f ca="1">IFERROR(__xludf.DUMMYFUNCTION("""COMPUTED_VALUE"""),"Mujer")</f>
        <v>Mujer</v>
      </c>
      <c r="E746" s="25"/>
      <c r="F746" s="25"/>
      <c r="G746" s="25"/>
      <c r="H746" s="25"/>
      <c r="I746" s="25"/>
      <c r="J746" s="55"/>
      <c r="K746" s="25" t="str">
        <f ca="1">IFERROR(__xludf.DUMMYFUNCTION("""COMPUTED_VALUE"""),"Definir fecha")</f>
        <v>Definir fecha</v>
      </c>
      <c r="L746" s="62"/>
      <c r="M746" s="25"/>
      <c r="N746" s="25"/>
      <c r="O746" s="25">
        <f t="shared" si="0"/>
        <v>0</v>
      </c>
      <c r="P746" s="25" t="str">
        <f t="shared" si="2"/>
        <v/>
      </c>
      <c r="Q746" s="25" t="str">
        <f ca="1">IFERROR(__xludf.DUMMYFUNCTION("""COMPUTED_VALUE"""),"Sin defenir")</f>
        <v>Sin defenir</v>
      </c>
      <c r="R746" s="25"/>
      <c r="S746" s="55"/>
      <c r="T746" s="56"/>
      <c r="U746" s="25"/>
      <c r="V746" s="25"/>
      <c r="W746" s="25"/>
      <c r="X746" s="25"/>
      <c r="Y746" s="25"/>
      <c r="Z746" s="25"/>
    </row>
    <row r="747" spans="1:26" ht="52.5" customHeight="1" x14ac:dyDescent="0.25">
      <c r="A747" s="25" t="str">
        <f ca="1">IFERROR(__xludf.DUMMYFUNCTION("""COMPUTED_VALUE"""),"Mujer145")</f>
        <v>Mujer145</v>
      </c>
      <c r="B747" s="25"/>
      <c r="C747" s="55"/>
      <c r="D747" s="25" t="str">
        <f ca="1">IFERROR(__xludf.DUMMYFUNCTION("""COMPUTED_VALUE"""),"Mujer")</f>
        <v>Mujer</v>
      </c>
      <c r="E747" s="25"/>
      <c r="F747" s="25"/>
      <c r="G747" s="25"/>
      <c r="H747" s="25"/>
      <c r="I747" s="25"/>
      <c r="J747" s="55"/>
      <c r="K747" s="25" t="str">
        <f ca="1">IFERROR(__xludf.DUMMYFUNCTION("""COMPUTED_VALUE"""),"Definir fecha")</f>
        <v>Definir fecha</v>
      </c>
      <c r="L747" s="62"/>
      <c r="M747" s="25"/>
      <c r="N747" s="25"/>
      <c r="O747" s="25">
        <f t="shared" si="0"/>
        <v>0</v>
      </c>
      <c r="P747" s="25" t="str">
        <f t="shared" si="2"/>
        <v/>
      </c>
      <c r="Q747" s="25" t="str">
        <f ca="1">IFERROR(__xludf.DUMMYFUNCTION("""COMPUTED_VALUE"""),"Sin defenir")</f>
        <v>Sin defenir</v>
      </c>
      <c r="R747" s="25"/>
      <c r="S747" s="55"/>
      <c r="T747" s="56"/>
      <c r="U747" s="25"/>
      <c r="V747" s="25"/>
      <c r="W747" s="25"/>
      <c r="X747" s="25"/>
      <c r="Y747" s="25"/>
      <c r="Z747" s="25"/>
    </row>
    <row r="748" spans="1:26" ht="52.5" customHeight="1" x14ac:dyDescent="0.25">
      <c r="A748" s="25" t="str">
        <f ca="1">IFERROR(__xludf.DUMMYFUNCTION("""COMPUTED_VALUE"""),"Mujer146")</f>
        <v>Mujer146</v>
      </c>
      <c r="B748" s="25"/>
      <c r="C748" s="55"/>
      <c r="D748" s="25" t="str">
        <f ca="1">IFERROR(__xludf.DUMMYFUNCTION("""COMPUTED_VALUE"""),"Mujer")</f>
        <v>Mujer</v>
      </c>
      <c r="E748" s="25"/>
      <c r="F748" s="25"/>
      <c r="G748" s="25"/>
      <c r="H748" s="25"/>
      <c r="I748" s="25"/>
      <c r="J748" s="55"/>
      <c r="K748" s="25" t="str">
        <f ca="1">IFERROR(__xludf.DUMMYFUNCTION("""COMPUTED_VALUE"""),"Definir fecha")</f>
        <v>Definir fecha</v>
      </c>
      <c r="L748" s="62"/>
      <c r="M748" s="25"/>
      <c r="N748" s="25"/>
      <c r="O748" s="25">
        <f t="shared" si="0"/>
        <v>0</v>
      </c>
      <c r="P748" s="25" t="str">
        <f t="shared" si="2"/>
        <v/>
      </c>
      <c r="Q748" s="25" t="str">
        <f ca="1">IFERROR(__xludf.DUMMYFUNCTION("""COMPUTED_VALUE"""),"Sin defenir")</f>
        <v>Sin defenir</v>
      </c>
      <c r="R748" s="25"/>
      <c r="S748" s="55"/>
      <c r="T748" s="56"/>
      <c r="U748" s="25"/>
      <c r="V748" s="25"/>
      <c r="W748" s="25"/>
      <c r="X748" s="25"/>
      <c r="Y748" s="25"/>
      <c r="Z748" s="25"/>
    </row>
    <row r="749" spans="1:26" ht="52.5" customHeight="1" x14ac:dyDescent="0.25">
      <c r="A749" s="25" t="str">
        <f ca="1">IFERROR(__xludf.DUMMYFUNCTION("""COMPUTED_VALUE"""),"Mujer147")</f>
        <v>Mujer147</v>
      </c>
      <c r="B749" s="25"/>
      <c r="C749" s="55"/>
      <c r="D749" s="25" t="str">
        <f ca="1">IFERROR(__xludf.DUMMYFUNCTION("""COMPUTED_VALUE"""),"Mujer")</f>
        <v>Mujer</v>
      </c>
      <c r="E749" s="25"/>
      <c r="F749" s="25"/>
      <c r="G749" s="25"/>
      <c r="H749" s="25"/>
      <c r="I749" s="25"/>
      <c r="J749" s="55"/>
      <c r="K749" s="25" t="str">
        <f ca="1">IFERROR(__xludf.DUMMYFUNCTION("""COMPUTED_VALUE"""),"Definir fecha")</f>
        <v>Definir fecha</v>
      </c>
      <c r="L749" s="62"/>
      <c r="M749" s="25"/>
      <c r="N749" s="25"/>
      <c r="O749" s="25">
        <f t="shared" si="0"/>
        <v>0</v>
      </c>
      <c r="P749" s="25" t="str">
        <f t="shared" si="2"/>
        <v/>
      </c>
      <c r="Q749" s="25" t="str">
        <f ca="1">IFERROR(__xludf.DUMMYFUNCTION("""COMPUTED_VALUE"""),"Sin defenir")</f>
        <v>Sin defenir</v>
      </c>
      <c r="R749" s="25"/>
      <c r="S749" s="55"/>
      <c r="T749" s="56"/>
      <c r="U749" s="25"/>
      <c r="V749" s="25"/>
      <c r="W749" s="25"/>
      <c r="X749" s="25"/>
      <c r="Y749" s="25"/>
      <c r="Z749" s="25"/>
    </row>
    <row r="750" spans="1:26" ht="52.5" customHeight="1" x14ac:dyDescent="0.25">
      <c r="A750" s="25" t="str">
        <f ca="1">IFERROR(__xludf.DUMMYFUNCTION("""COMPUTED_VALUE"""),"Mujer148")</f>
        <v>Mujer148</v>
      </c>
      <c r="B750" s="25"/>
      <c r="C750" s="55"/>
      <c r="D750" s="25" t="str">
        <f ca="1">IFERROR(__xludf.DUMMYFUNCTION("""COMPUTED_VALUE"""),"Mujer")</f>
        <v>Mujer</v>
      </c>
      <c r="E750" s="25"/>
      <c r="F750" s="25"/>
      <c r="G750" s="25"/>
      <c r="H750" s="25"/>
      <c r="I750" s="25"/>
      <c r="J750" s="55"/>
      <c r="K750" s="25" t="str">
        <f ca="1">IFERROR(__xludf.DUMMYFUNCTION("""COMPUTED_VALUE"""),"Definir fecha")</f>
        <v>Definir fecha</v>
      </c>
      <c r="L750" s="62"/>
      <c r="M750" s="25"/>
      <c r="N750" s="25"/>
      <c r="O750" s="25">
        <f t="shared" si="0"/>
        <v>0</v>
      </c>
      <c r="P750" s="25" t="str">
        <f t="shared" si="2"/>
        <v/>
      </c>
      <c r="Q750" s="25" t="str">
        <f ca="1">IFERROR(__xludf.DUMMYFUNCTION("""COMPUTED_VALUE"""),"Sin defenir")</f>
        <v>Sin defenir</v>
      </c>
      <c r="R750" s="25"/>
      <c r="S750" s="55"/>
      <c r="T750" s="56"/>
      <c r="U750" s="25"/>
      <c r="V750" s="25"/>
      <c r="W750" s="25"/>
      <c r="X750" s="25"/>
      <c r="Y750" s="25"/>
      <c r="Z750" s="25"/>
    </row>
    <row r="751" spans="1:26" ht="52.5" customHeight="1" x14ac:dyDescent="0.25">
      <c r="A751" s="25" t="str">
        <f ca="1">IFERROR(__xludf.DUMMYFUNCTION("""COMPUTED_VALUE"""),"Mujer149")</f>
        <v>Mujer149</v>
      </c>
      <c r="B751" s="25"/>
      <c r="C751" s="55"/>
      <c r="D751" s="25" t="str">
        <f ca="1">IFERROR(__xludf.DUMMYFUNCTION("""COMPUTED_VALUE"""),"Mujer")</f>
        <v>Mujer</v>
      </c>
      <c r="E751" s="25"/>
      <c r="F751" s="25"/>
      <c r="G751" s="25"/>
      <c r="H751" s="25"/>
      <c r="I751" s="25"/>
      <c r="J751" s="55"/>
      <c r="K751" s="25" t="str">
        <f ca="1">IFERROR(__xludf.DUMMYFUNCTION("""COMPUTED_VALUE"""),"Definir fecha")</f>
        <v>Definir fecha</v>
      </c>
      <c r="L751" s="62"/>
      <c r="M751" s="25"/>
      <c r="N751" s="25"/>
      <c r="O751" s="25">
        <f t="shared" si="0"/>
        <v>0</v>
      </c>
      <c r="P751" s="25" t="str">
        <f t="shared" si="2"/>
        <v/>
      </c>
      <c r="Q751" s="25" t="str">
        <f ca="1">IFERROR(__xludf.DUMMYFUNCTION("""COMPUTED_VALUE"""),"Sin defenir")</f>
        <v>Sin defenir</v>
      </c>
      <c r="R751" s="25"/>
      <c r="S751" s="55"/>
      <c r="T751" s="56"/>
      <c r="U751" s="25"/>
      <c r="V751" s="25"/>
      <c r="W751" s="25"/>
      <c r="X751" s="25"/>
      <c r="Y751" s="25"/>
      <c r="Z751" s="25"/>
    </row>
    <row r="752" spans="1:26" ht="52.5" customHeight="1" x14ac:dyDescent="0.25">
      <c r="A752" s="25" t="str">
        <f ca="1">IFERROR(__xludf.DUMMYFUNCTION("""COMPUTED_VALUE"""),"Mujer150")</f>
        <v>Mujer150</v>
      </c>
      <c r="B752" s="25"/>
      <c r="C752" s="55"/>
      <c r="D752" s="25" t="str">
        <f ca="1">IFERROR(__xludf.DUMMYFUNCTION("""COMPUTED_VALUE"""),"Mujer")</f>
        <v>Mujer</v>
      </c>
      <c r="E752" s="25"/>
      <c r="F752" s="25"/>
      <c r="G752" s="25"/>
      <c r="H752" s="25"/>
      <c r="I752" s="25"/>
      <c r="J752" s="55"/>
      <c r="K752" s="25" t="str">
        <f ca="1">IFERROR(__xludf.DUMMYFUNCTION("""COMPUTED_VALUE"""),"Definir fecha")</f>
        <v>Definir fecha</v>
      </c>
      <c r="L752" s="62"/>
      <c r="M752" s="25"/>
      <c r="N752" s="25"/>
      <c r="O752" s="25">
        <f t="shared" si="0"/>
        <v>0</v>
      </c>
      <c r="P752" s="25" t="str">
        <f t="shared" si="2"/>
        <v/>
      </c>
      <c r="Q752" s="25" t="str">
        <f ca="1">IFERROR(__xludf.DUMMYFUNCTION("""COMPUTED_VALUE"""),"Sin defenir")</f>
        <v>Sin defenir</v>
      </c>
      <c r="R752" s="25"/>
      <c r="S752" s="55"/>
      <c r="T752" s="56"/>
      <c r="U752" s="25"/>
      <c r="V752" s="25"/>
      <c r="W752" s="25"/>
      <c r="X752" s="25"/>
      <c r="Y752" s="25"/>
      <c r="Z752" s="25"/>
    </row>
    <row r="753" spans="1:26" ht="52.5" customHeight="1" x14ac:dyDescent="0.25">
      <c r="A753" s="25" t="str">
        <f ca="1">IFERROR(__xludf.DUMMYFUNCTION("""COMPUTED_VALUE"""),"Mujer151")</f>
        <v>Mujer151</v>
      </c>
      <c r="B753" s="25"/>
      <c r="C753" s="55"/>
      <c r="D753" s="25" t="str">
        <f ca="1">IFERROR(__xludf.DUMMYFUNCTION("""COMPUTED_VALUE"""),"Mujer")</f>
        <v>Mujer</v>
      </c>
      <c r="E753" s="25"/>
      <c r="F753" s="25"/>
      <c r="G753" s="25"/>
      <c r="H753" s="25"/>
      <c r="I753" s="25"/>
      <c r="J753" s="55"/>
      <c r="K753" s="25" t="str">
        <f ca="1">IFERROR(__xludf.DUMMYFUNCTION("""COMPUTED_VALUE"""),"Definir fecha")</f>
        <v>Definir fecha</v>
      </c>
      <c r="L753" s="62"/>
      <c r="M753" s="25"/>
      <c r="N753" s="25"/>
      <c r="O753" s="25">
        <f t="shared" si="0"/>
        <v>0</v>
      </c>
      <c r="P753" s="25" t="str">
        <f t="shared" si="2"/>
        <v/>
      </c>
      <c r="Q753" s="25" t="str">
        <f ca="1">IFERROR(__xludf.DUMMYFUNCTION("""COMPUTED_VALUE"""),"Sin defenir")</f>
        <v>Sin defenir</v>
      </c>
      <c r="R753" s="25"/>
      <c r="S753" s="55"/>
      <c r="T753" s="56"/>
      <c r="U753" s="25"/>
      <c r="V753" s="25"/>
      <c r="W753" s="25"/>
      <c r="X753" s="25"/>
      <c r="Y753" s="25"/>
      <c r="Z753" s="25"/>
    </row>
    <row r="754" spans="1:26" ht="52.5" customHeight="1" x14ac:dyDescent="0.25">
      <c r="A754" s="25" t="str">
        <f ca="1">IFERROR(__xludf.DUMMYFUNCTION("""COMPUTED_VALUE"""),"Mujer152")</f>
        <v>Mujer152</v>
      </c>
      <c r="B754" s="25"/>
      <c r="C754" s="55"/>
      <c r="D754" s="25" t="str">
        <f ca="1">IFERROR(__xludf.DUMMYFUNCTION("""COMPUTED_VALUE"""),"Mujer")</f>
        <v>Mujer</v>
      </c>
      <c r="E754" s="25"/>
      <c r="F754" s="25"/>
      <c r="G754" s="25"/>
      <c r="H754" s="25"/>
      <c r="I754" s="25"/>
      <c r="J754" s="55"/>
      <c r="K754" s="25" t="str">
        <f ca="1">IFERROR(__xludf.DUMMYFUNCTION("""COMPUTED_VALUE"""),"Definir fecha")</f>
        <v>Definir fecha</v>
      </c>
      <c r="L754" s="62"/>
      <c r="M754" s="25"/>
      <c r="N754" s="25"/>
      <c r="O754" s="25">
        <f t="shared" si="0"/>
        <v>0</v>
      </c>
      <c r="P754" s="25" t="str">
        <f t="shared" si="2"/>
        <v/>
      </c>
      <c r="Q754" s="25" t="str">
        <f ca="1">IFERROR(__xludf.DUMMYFUNCTION("""COMPUTED_VALUE"""),"Sin defenir")</f>
        <v>Sin defenir</v>
      </c>
      <c r="R754" s="25"/>
      <c r="S754" s="55"/>
      <c r="T754" s="56"/>
      <c r="U754" s="25"/>
      <c r="V754" s="25"/>
      <c r="W754" s="25"/>
      <c r="X754" s="25"/>
      <c r="Y754" s="25"/>
      <c r="Z754" s="25"/>
    </row>
    <row r="755" spans="1:26" ht="52.5" customHeight="1" x14ac:dyDescent="0.25">
      <c r="A755" s="25" t="str">
        <f ca="1">IFERROR(__xludf.DUMMYFUNCTION("""COMPUTED_VALUE"""),"Mujer153")</f>
        <v>Mujer153</v>
      </c>
      <c r="B755" s="25"/>
      <c r="C755" s="55"/>
      <c r="D755" s="25" t="str">
        <f ca="1">IFERROR(__xludf.DUMMYFUNCTION("""COMPUTED_VALUE"""),"Mujer")</f>
        <v>Mujer</v>
      </c>
      <c r="E755" s="25"/>
      <c r="F755" s="25"/>
      <c r="G755" s="25"/>
      <c r="H755" s="25"/>
      <c r="I755" s="25"/>
      <c r="J755" s="55"/>
      <c r="K755" s="25" t="str">
        <f ca="1">IFERROR(__xludf.DUMMYFUNCTION("""COMPUTED_VALUE"""),"Definir fecha")</f>
        <v>Definir fecha</v>
      </c>
      <c r="L755" s="62"/>
      <c r="M755" s="25"/>
      <c r="N755" s="25"/>
      <c r="O755" s="25">
        <f t="shared" si="0"/>
        <v>0</v>
      </c>
      <c r="P755" s="25" t="str">
        <f t="shared" si="2"/>
        <v/>
      </c>
      <c r="Q755" s="25" t="str">
        <f ca="1">IFERROR(__xludf.DUMMYFUNCTION("""COMPUTED_VALUE"""),"Sin defenir")</f>
        <v>Sin defenir</v>
      </c>
      <c r="R755" s="25"/>
      <c r="S755" s="55"/>
      <c r="T755" s="56"/>
      <c r="U755" s="25"/>
      <c r="V755" s="25"/>
      <c r="W755" s="25"/>
      <c r="X755" s="25"/>
      <c r="Y755" s="25"/>
      <c r="Z755" s="25"/>
    </row>
    <row r="756" spans="1:26" ht="52.5" customHeight="1" x14ac:dyDescent="0.25">
      <c r="A756" s="25" t="str">
        <f ca="1">IFERROR(__xludf.DUMMYFUNCTION("""COMPUTED_VALUE"""),"Mujer154")</f>
        <v>Mujer154</v>
      </c>
      <c r="B756" s="25"/>
      <c r="C756" s="55"/>
      <c r="D756" s="25" t="str">
        <f ca="1">IFERROR(__xludf.DUMMYFUNCTION("""COMPUTED_VALUE"""),"Mujer")</f>
        <v>Mujer</v>
      </c>
      <c r="E756" s="25"/>
      <c r="F756" s="25"/>
      <c r="G756" s="25"/>
      <c r="H756" s="25"/>
      <c r="I756" s="25"/>
      <c r="J756" s="55"/>
      <c r="K756" s="25" t="str">
        <f ca="1">IFERROR(__xludf.DUMMYFUNCTION("""COMPUTED_VALUE"""),"Definir fecha")</f>
        <v>Definir fecha</v>
      </c>
      <c r="L756" s="62"/>
      <c r="M756" s="25"/>
      <c r="N756" s="25"/>
      <c r="O756" s="25">
        <f t="shared" si="0"/>
        <v>0</v>
      </c>
      <c r="P756" s="25" t="str">
        <f t="shared" si="2"/>
        <v/>
      </c>
      <c r="Q756" s="25" t="str">
        <f ca="1">IFERROR(__xludf.DUMMYFUNCTION("""COMPUTED_VALUE"""),"Sin defenir")</f>
        <v>Sin defenir</v>
      </c>
      <c r="R756" s="25"/>
      <c r="S756" s="55"/>
      <c r="T756" s="56"/>
      <c r="U756" s="25"/>
      <c r="V756" s="25"/>
      <c r="W756" s="25"/>
      <c r="X756" s="25"/>
      <c r="Y756" s="25"/>
      <c r="Z756" s="25"/>
    </row>
    <row r="757" spans="1:26" ht="52.5" customHeight="1" x14ac:dyDescent="0.25">
      <c r="A757" s="25" t="str">
        <f ca="1">IFERROR(__xludf.DUMMYFUNCTION("""COMPUTED_VALUE"""),"Mujer155")</f>
        <v>Mujer155</v>
      </c>
      <c r="B757" s="25"/>
      <c r="C757" s="55"/>
      <c r="D757" s="25" t="str">
        <f ca="1">IFERROR(__xludf.DUMMYFUNCTION("""COMPUTED_VALUE"""),"Mujer")</f>
        <v>Mujer</v>
      </c>
      <c r="E757" s="25"/>
      <c r="F757" s="25"/>
      <c r="G757" s="25"/>
      <c r="H757" s="25"/>
      <c r="I757" s="25"/>
      <c r="J757" s="55"/>
      <c r="K757" s="25" t="str">
        <f ca="1">IFERROR(__xludf.DUMMYFUNCTION("""COMPUTED_VALUE"""),"Definir fecha")</f>
        <v>Definir fecha</v>
      </c>
      <c r="L757" s="62"/>
      <c r="M757" s="25"/>
      <c r="N757" s="25"/>
      <c r="O757" s="25">
        <f t="shared" si="0"/>
        <v>0</v>
      </c>
      <c r="P757" s="25" t="str">
        <f t="shared" si="2"/>
        <v/>
      </c>
      <c r="Q757" s="25" t="str">
        <f ca="1">IFERROR(__xludf.DUMMYFUNCTION("""COMPUTED_VALUE"""),"Sin defenir")</f>
        <v>Sin defenir</v>
      </c>
      <c r="R757" s="25"/>
      <c r="S757" s="55"/>
      <c r="T757" s="56"/>
      <c r="U757" s="25"/>
      <c r="V757" s="25"/>
      <c r="W757" s="25"/>
      <c r="X757" s="25"/>
      <c r="Y757" s="25"/>
      <c r="Z757" s="25"/>
    </row>
    <row r="758" spans="1:26" ht="52.5" customHeight="1" x14ac:dyDescent="0.25">
      <c r="A758" s="25" t="str">
        <f ca="1">IFERROR(__xludf.DUMMYFUNCTION("""COMPUTED_VALUE"""),"Mujer156")</f>
        <v>Mujer156</v>
      </c>
      <c r="B758" s="25"/>
      <c r="C758" s="55"/>
      <c r="D758" s="25" t="str">
        <f ca="1">IFERROR(__xludf.DUMMYFUNCTION("""COMPUTED_VALUE"""),"Mujer")</f>
        <v>Mujer</v>
      </c>
      <c r="E758" s="25"/>
      <c r="F758" s="25"/>
      <c r="G758" s="25"/>
      <c r="H758" s="25"/>
      <c r="I758" s="25"/>
      <c r="J758" s="55"/>
      <c r="K758" s="25" t="str">
        <f ca="1">IFERROR(__xludf.DUMMYFUNCTION("""COMPUTED_VALUE"""),"Definir fecha")</f>
        <v>Definir fecha</v>
      </c>
      <c r="L758" s="62"/>
      <c r="M758" s="25"/>
      <c r="N758" s="25"/>
      <c r="O758" s="25">
        <f t="shared" si="0"/>
        <v>0</v>
      </c>
      <c r="P758" s="25" t="str">
        <f t="shared" si="2"/>
        <v/>
      </c>
      <c r="Q758" s="25" t="str">
        <f ca="1">IFERROR(__xludf.DUMMYFUNCTION("""COMPUTED_VALUE"""),"Sin defenir")</f>
        <v>Sin defenir</v>
      </c>
      <c r="R758" s="25"/>
      <c r="S758" s="55"/>
      <c r="T758" s="56"/>
      <c r="U758" s="25"/>
      <c r="V758" s="25"/>
      <c r="W758" s="25"/>
      <c r="X758" s="25"/>
      <c r="Y758" s="25"/>
      <c r="Z758" s="25"/>
    </row>
    <row r="759" spans="1:26" ht="52.5" customHeight="1" x14ac:dyDescent="0.25">
      <c r="A759" s="25" t="str">
        <f ca="1">IFERROR(__xludf.DUMMYFUNCTION("""COMPUTED_VALUE"""),"Mujer157")</f>
        <v>Mujer157</v>
      </c>
      <c r="B759" s="25"/>
      <c r="C759" s="55"/>
      <c r="D759" s="25" t="str">
        <f ca="1">IFERROR(__xludf.DUMMYFUNCTION("""COMPUTED_VALUE"""),"Mujer")</f>
        <v>Mujer</v>
      </c>
      <c r="E759" s="25"/>
      <c r="F759" s="25"/>
      <c r="G759" s="25"/>
      <c r="H759" s="25"/>
      <c r="I759" s="25"/>
      <c r="J759" s="55"/>
      <c r="K759" s="25" t="str">
        <f ca="1">IFERROR(__xludf.DUMMYFUNCTION("""COMPUTED_VALUE"""),"Definir fecha")</f>
        <v>Definir fecha</v>
      </c>
      <c r="L759" s="62"/>
      <c r="M759" s="25"/>
      <c r="N759" s="25"/>
      <c r="O759" s="25">
        <f t="shared" si="0"/>
        <v>0</v>
      </c>
      <c r="P759" s="25" t="str">
        <f t="shared" si="2"/>
        <v/>
      </c>
      <c r="Q759" s="25" t="str">
        <f ca="1">IFERROR(__xludf.DUMMYFUNCTION("""COMPUTED_VALUE"""),"Sin defenir")</f>
        <v>Sin defenir</v>
      </c>
      <c r="R759" s="25"/>
      <c r="S759" s="55"/>
      <c r="T759" s="56"/>
      <c r="U759" s="25"/>
      <c r="V759" s="25"/>
      <c r="W759" s="25"/>
      <c r="X759" s="25"/>
      <c r="Y759" s="25"/>
      <c r="Z759" s="25"/>
    </row>
    <row r="760" spans="1:26" ht="52.5" customHeight="1" x14ac:dyDescent="0.25">
      <c r="A760" s="25" t="str">
        <f ca="1">IFERROR(__xludf.DUMMYFUNCTION("""COMPUTED_VALUE"""),"Mujer158")</f>
        <v>Mujer158</v>
      </c>
      <c r="B760" s="25"/>
      <c r="C760" s="55"/>
      <c r="D760" s="25" t="str">
        <f ca="1">IFERROR(__xludf.DUMMYFUNCTION("""COMPUTED_VALUE"""),"Mujer")</f>
        <v>Mujer</v>
      </c>
      <c r="E760" s="25"/>
      <c r="F760" s="25"/>
      <c r="G760" s="25"/>
      <c r="H760" s="25"/>
      <c r="I760" s="25"/>
      <c r="J760" s="55"/>
      <c r="K760" s="25" t="str">
        <f ca="1">IFERROR(__xludf.DUMMYFUNCTION("""COMPUTED_VALUE"""),"Definir fecha")</f>
        <v>Definir fecha</v>
      </c>
      <c r="L760" s="62"/>
      <c r="M760" s="25"/>
      <c r="N760" s="25"/>
      <c r="O760" s="25">
        <f t="shared" si="0"/>
        <v>0</v>
      </c>
      <c r="P760" s="25" t="str">
        <f t="shared" si="2"/>
        <v/>
      </c>
      <c r="Q760" s="25" t="str">
        <f ca="1">IFERROR(__xludf.DUMMYFUNCTION("""COMPUTED_VALUE"""),"Sin defenir")</f>
        <v>Sin defenir</v>
      </c>
      <c r="R760" s="25"/>
      <c r="S760" s="55"/>
      <c r="T760" s="56"/>
      <c r="U760" s="25"/>
      <c r="V760" s="25"/>
      <c r="W760" s="25"/>
      <c r="X760" s="25"/>
      <c r="Y760" s="25"/>
      <c r="Z760" s="25"/>
    </row>
    <row r="761" spans="1:26" ht="52.5" customHeight="1" x14ac:dyDescent="0.25">
      <c r="A761" s="25" t="str">
        <f ca="1">IFERROR(__xludf.DUMMYFUNCTION("""COMPUTED_VALUE"""),"Mujer159")</f>
        <v>Mujer159</v>
      </c>
      <c r="B761" s="25"/>
      <c r="C761" s="55"/>
      <c r="D761" s="25" t="str">
        <f ca="1">IFERROR(__xludf.DUMMYFUNCTION("""COMPUTED_VALUE"""),"Mujer")</f>
        <v>Mujer</v>
      </c>
      <c r="E761" s="25"/>
      <c r="F761" s="25"/>
      <c r="G761" s="25"/>
      <c r="H761" s="25"/>
      <c r="I761" s="25"/>
      <c r="J761" s="55"/>
      <c r="K761" s="25" t="str">
        <f ca="1">IFERROR(__xludf.DUMMYFUNCTION("""COMPUTED_VALUE"""),"Definir fecha")</f>
        <v>Definir fecha</v>
      </c>
      <c r="L761" s="62"/>
      <c r="M761" s="25"/>
      <c r="N761" s="25"/>
      <c r="O761" s="25">
        <f t="shared" si="0"/>
        <v>0</v>
      </c>
      <c r="P761" s="25" t="str">
        <f t="shared" si="2"/>
        <v/>
      </c>
      <c r="Q761" s="25" t="str">
        <f ca="1">IFERROR(__xludf.DUMMYFUNCTION("""COMPUTED_VALUE"""),"Sin defenir")</f>
        <v>Sin defenir</v>
      </c>
      <c r="R761" s="25"/>
      <c r="S761" s="55"/>
      <c r="T761" s="56"/>
      <c r="U761" s="25"/>
      <c r="V761" s="25"/>
      <c r="W761" s="25"/>
      <c r="X761" s="25"/>
      <c r="Y761" s="25"/>
      <c r="Z761" s="25"/>
    </row>
    <row r="762" spans="1:26" ht="52.5" customHeight="1" x14ac:dyDescent="0.25">
      <c r="A762" s="25" t="str">
        <f ca="1">IFERROR(__xludf.DUMMYFUNCTION("""COMPUTED_VALUE"""),"Mujer160")</f>
        <v>Mujer160</v>
      </c>
      <c r="B762" s="25"/>
      <c r="C762" s="55"/>
      <c r="D762" s="25" t="str">
        <f ca="1">IFERROR(__xludf.DUMMYFUNCTION("""COMPUTED_VALUE"""),"Mujer")</f>
        <v>Mujer</v>
      </c>
      <c r="E762" s="25"/>
      <c r="F762" s="25"/>
      <c r="G762" s="25"/>
      <c r="H762" s="25"/>
      <c r="I762" s="25"/>
      <c r="J762" s="55"/>
      <c r="K762" s="25" t="str">
        <f ca="1">IFERROR(__xludf.DUMMYFUNCTION("""COMPUTED_VALUE"""),"Definir fecha")</f>
        <v>Definir fecha</v>
      </c>
      <c r="L762" s="62"/>
      <c r="M762" s="25"/>
      <c r="N762" s="25"/>
      <c r="O762" s="25">
        <f t="shared" si="0"/>
        <v>0</v>
      </c>
      <c r="P762" s="25" t="str">
        <f t="shared" si="2"/>
        <v/>
      </c>
      <c r="Q762" s="25" t="str">
        <f ca="1">IFERROR(__xludf.DUMMYFUNCTION("""COMPUTED_VALUE"""),"Sin defenir")</f>
        <v>Sin defenir</v>
      </c>
      <c r="R762" s="25"/>
      <c r="S762" s="55"/>
      <c r="T762" s="56"/>
      <c r="U762" s="25"/>
      <c r="V762" s="25"/>
      <c r="W762" s="25"/>
      <c r="X762" s="25"/>
      <c r="Y762" s="25"/>
      <c r="Z762" s="25"/>
    </row>
    <row r="763" spans="1:26" ht="52.5" customHeight="1" x14ac:dyDescent="0.25">
      <c r="A763" s="25" t="str">
        <f ca="1">IFERROR(__xludf.DUMMYFUNCTION("""COMPUTED_VALUE"""),"Mujer161")</f>
        <v>Mujer161</v>
      </c>
      <c r="B763" s="25"/>
      <c r="C763" s="55"/>
      <c r="D763" s="25" t="str">
        <f ca="1">IFERROR(__xludf.DUMMYFUNCTION("""COMPUTED_VALUE"""),"Mujer")</f>
        <v>Mujer</v>
      </c>
      <c r="E763" s="25"/>
      <c r="F763" s="25"/>
      <c r="G763" s="25"/>
      <c r="H763" s="25"/>
      <c r="I763" s="25"/>
      <c r="J763" s="55"/>
      <c r="K763" s="25" t="str">
        <f ca="1">IFERROR(__xludf.DUMMYFUNCTION("""COMPUTED_VALUE"""),"Definir fecha")</f>
        <v>Definir fecha</v>
      </c>
      <c r="L763" s="62"/>
      <c r="M763" s="25"/>
      <c r="N763" s="25"/>
      <c r="O763" s="25">
        <f t="shared" si="0"/>
        <v>0</v>
      </c>
      <c r="P763" s="25" t="str">
        <f t="shared" si="2"/>
        <v/>
      </c>
      <c r="Q763" s="25" t="str">
        <f ca="1">IFERROR(__xludf.DUMMYFUNCTION("""COMPUTED_VALUE"""),"Sin defenir")</f>
        <v>Sin defenir</v>
      </c>
      <c r="R763" s="25"/>
      <c r="S763" s="55"/>
      <c r="T763" s="56"/>
      <c r="U763" s="25"/>
      <c r="V763" s="25"/>
      <c r="W763" s="25"/>
      <c r="X763" s="25"/>
      <c r="Y763" s="25"/>
      <c r="Z763" s="25"/>
    </row>
    <row r="764" spans="1:26" ht="52.5" customHeight="1" x14ac:dyDescent="0.25">
      <c r="A764" s="25" t="str">
        <f ca="1">IFERROR(__xludf.DUMMYFUNCTION("""COMPUTED_VALUE"""),"Mujer162")</f>
        <v>Mujer162</v>
      </c>
      <c r="B764" s="25"/>
      <c r="C764" s="55"/>
      <c r="D764" s="25" t="str">
        <f ca="1">IFERROR(__xludf.DUMMYFUNCTION("""COMPUTED_VALUE"""),"Mujer")</f>
        <v>Mujer</v>
      </c>
      <c r="E764" s="25"/>
      <c r="F764" s="25"/>
      <c r="G764" s="25"/>
      <c r="H764" s="25"/>
      <c r="I764" s="25"/>
      <c r="J764" s="55"/>
      <c r="K764" s="25" t="str">
        <f ca="1">IFERROR(__xludf.DUMMYFUNCTION("""COMPUTED_VALUE"""),"Definir fecha")</f>
        <v>Definir fecha</v>
      </c>
      <c r="L764" s="62"/>
      <c r="M764" s="25"/>
      <c r="N764" s="25"/>
      <c r="O764" s="25">
        <f t="shared" si="0"/>
        <v>0</v>
      </c>
      <c r="P764" s="25" t="str">
        <f t="shared" si="2"/>
        <v/>
      </c>
      <c r="Q764" s="25" t="str">
        <f ca="1">IFERROR(__xludf.DUMMYFUNCTION("""COMPUTED_VALUE"""),"Sin defenir")</f>
        <v>Sin defenir</v>
      </c>
      <c r="R764" s="25"/>
      <c r="S764" s="55"/>
      <c r="T764" s="56"/>
      <c r="U764" s="25"/>
      <c r="V764" s="25"/>
      <c r="W764" s="25"/>
      <c r="X764" s="25"/>
      <c r="Y764" s="25"/>
      <c r="Z764" s="25"/>
    </row>
    <row r="765" spans="1:26" ht="52.5" customHeight="1" x14ac:dyDescent="0.25">
      <c r="A765" s="25" t="str">
        <f ca="1">IFERROR(__xludf.DUMMYFUNCTION("""COMPUTED_VALUE"""),"Mujer163")</f>
        <v>Mujer163</v>
      </c>
      <c r="B765" s="25"/>
      <c r="C765" s="55"/>
      <c r="D765" s="25" t="str">
        <f ca="1">IFERROR(__xludf.DUMMYFUNCTION("""COMPUTED_VALUE"""),"Mujer")</f>
        <v>Mujer</v>
      </c>
      <c r="E765" s="25"/>
      <c r="F765" s="25"/>
      <c r="G765" s="25"/>
      <c r="H765" s="25"/>
      <c r="I765" s="25"/>
      <c r="J765" s="55"/>
      <c r="K765" s="25" t="str">
        <f ca="1">IFERROR(__xludf.DUMMYFUNCTION("""COMPUTED_VALUE"""),"Definir fecha")</f>
        <v>Definir fecha</v>
      </c>
      <c r="L765" s="62"/>
      <c r="M765" s="25"/>
      <c r="N765" s="25"/>
      <c r="O765" s="25">
        <f t="shared" si="0"/>
        <v>0</v>
      </c>
      <c r="P765" s="25" t="str">
        <f t="shared" si="2"/>
        <v/>
      </c>
      <c r="Q765" s="25" t="str">
        <f ca="1">IFERROR(__xludf.DUMMYFUNCTION("""COMPUTED_VALUE"""),"Sin defenir")</f>
        <v>Sin defenir</v>
      </c>
      <c r="R765" s="25"/>
      <c r="S765" s="55"/>
      <c r="T765" s="56"/>
      <c r="U765" s="25"/>
      <c r="V765" s="25"/>
      <c r="W765" s="25"/>
      <c r="X765" s="25"/>
      <c r="Y765" s="25"/>
      <c r="Z765" s="25"/>
    </row>
    <row r="766" spans="1:26" ht="52.5" customHeight="1" x14ac:dyDescent="0.25">
      <c r="A766" s="25" t="str">
        <f ca="1">IFERROR(__xludf.DUMMYFUNCTION("""COMPUTED_VALUE"""),"Mujer164")</f>
        <v>Mujer164</v>
      </c>
      <c r="B766" s="25"/>
      <c r="C766" s="55"/>
      <c r="D766" s="25" t="str">
        <f ca="1">IFERROR(__xludf.DUMMYFUNCTION("""COMPUTED_VALUE"""),"Mujer")</f>
        <v>Mujer</v>
      </c>
      <c r="E766" s="25"/>
      <c r="F766" s="25"/>
      <c r="G766" s="25"/>
      <c r="H766" s="25"/>
      <c r="I766" s="25"/>
      <c r="J766" s="55"/>
      <c r="K766" s="25" t="str">
        <f ca="1">IFERROR(__xludf.DUMMYFUNCTION("""COMPUTED_VALUE"""),"Definir fecha")</f>
        <v>Definir fecha</v>
      </c>
      <c r="L766" s="62"/>
      <c r="M766" s="25"/>
      <c r="N766" s="25"/>
      <c r="O766" s="25">
        <f t="shared" si="0"/>
        <v>0</v>
      </c>
      <c r="P766" s="25" t="str">
        <f t="shared" si="2"/>
        <v/>
      </c>
      <c r="Q766" s="25" t="str">
        <f ca="1">IFERROR(__xludf.DUMMYFUNCTION("""COMPUTED_VALUE"""),"Sin defenir")</f>
        <v>Sin defenir</v>
      </c>
      <c r="R766" s="25"/>
      <c r="S766" s="55"/>
      <c r="T766" s="56"/>
      <c r="U766" s="25"/>
      <c r="V766" s="25"/>
      <c r="W766" s="25"/>
      <c r="X766" s="25"/>
      <c r="Y766" s="25"/>
      <c r="Z766" s="25"/>
    </row>
    <row r="767" spans="1:26" ht="52.5" customHeight="1" x14ac:dyDescent="0.25">
      <c r="A767" s="25" t="str">
        <f ca="1">IFERROR(__xludf.DUMMYFUNCTION("""COMPUTED_VALUE"""),"Mujer165")</f>
        <v>Mujer165</v>
      </c>
      <c r="B767" s="25"/>
      <c r="C767" s="55"/>
      <c r="D767" s="25" t="str">
        <f ca="1">IFERROR(__xludf.DUMMYFUNCTION("""COMPUTED_VALUE"""),"Mujer")</f>
        <v>Mujer</v>
      </c>
      <c r="E767" s="25"/>
      <c r="F767" s="25"/>
      <c r="G767" s="25"/>
      <c r="H767" s="25"/>
      <c r="I767" s="25"/>
      <c r="J767" s="55"/>
      <c r="K767" s="25" t="str">
        <f ca="1">IFERROR(__xludf.DUMMYFUNCTION("""COMPUTED_VALUE"""),"Definir fecha")</f>
        <v>Definir fecha</v>
      </c>
      <c r="L767" s="62"/>
      <c r="M767" s="25"/>
      <c r="N767" s="25"/>
      <c r="O767" s="25">
        <f t="shared" si="0"/>
        <v>0</v>
      </c>
      <c r="P767" s="25" t="str">
        <f t="shared" si="2"/>
        <v/>
      </c>
      <c r="Q767" s="25" t="str">
        <f ca="1">IFERROR(__xludf.DUMMYFUNCTION("""COMPUTED_VALUE"""),"Sin defenir")</f>
        <v>Sin defenir</v>
      </c>
      <c r="R767" s="25"/>
      <c r="S767" s="55"/>
      <c r="T767" s="56"/>
      <c r="U767" s="25"/>
      <c r="V767" s="25"/>
      <c r="W767" s="25"/>
      <c r="X767" s="25"/>
      <c r="Y767" s="25"/>
      <c r="Z767" s="25"/>
    </row>
    <row r="768" spans="1:26" ht="52.5" customHeight="1" x14ac:dyDescent="0.25">
      <c r="A768" s="25" t="str">
        <f ca="1">IFERROR(__xludf.DUMMYFUNCTION("""COMPUTED_VALUE"""),"Mujer166")</f>
        <v>Mujer166</v>
      </c>
      <c r="B768" s="25"/>
      <c r="C768" s="55"/>
      <c r="D768" s="25" t="str">
        <f ca="1">IFERROR(__xludf.DUMMYFUNCTION("""COMPUTED_VALUE"""),"Mujer")</f>
        <v>Mujer</v>
      </c>
      <c r="E768" s="25"/>
      <c r="F768" s="25"/>
      <c r="G768" s="25"/>
      <c r="H768" s="25"/>
      <c r="I768" s="25"/>
      <c r="J768" s="55"/>
      <c r="K768" s="25" t="str">
        <f ca="1">IFERROR(__xludf.DUMMYFUNCTION("""COMPUTED_VALUE"""),"Definir fecha")</f>
        <v>Definir fecha</v>
      </c>
      <c r="L768" s="62"/>
      <c r="M768" s="25"/>
      <c r="N768" s="25"/>
      <c r="O768" s="25">
        <f t="shared" si="0"/>
        <v>0</v>
      </c>
      <c r="P768" s="25" t="str">
        <f t="shared" si="2"/>
        <v/>
      </c>
      <c r="Q768" s="25" t="str">
        <f ca="1">IFERROR(__xludf.DUMMYFUNCTION("""COMPUTED_VALUE"""),"Sin defenir")</f>
        <v>Sin defenir</v>
      </c>
      <c r="R768" s="25"/>
      <c r="S768" s="55"/>
      <c r="T768" s="56"/>
      <c r="U768" s="25"/>
      <c r="V768" s="25"/>
      <c r="W768" s="25"/>
      <c r="X768" s="25"/>
      <c r="Y768" s="25"/>
      <c r="Z768" s="25"/>
    </row>
    <row r="769" spans="1:26" ht="52.5" customHeight="1" x14ac:dyDescent="0.25">
      <c r="A769" s="25" t="str">
        <f ca="1">IFERROR(__xludf.DUMMYFUNCTION("""COMPUTED_VALUE"""),"Mujer167")</f>
        <v>Mujer167</v>
      </c>
      <c r="B769" s="25"/>
      <c r="C769" s="55"/>
      <c r="D769" s="25" t="str">
        <f ca="1">IFERROR(__xludf.DUMMYFUNCTION("""COMPUTED_VALUE"""),"Mujer")</f>
        <v>Mujer</v>
      </c>
      <c r="E769" s="25"/>
      <c r="F769" s="25"/>
      <c r="G769" s="25"/>
      <c r="H769" s="25"/>
      <c r="I769" s="25"/>
      <c r="J769" s="55"/>
      <c r="K769" s="25" t="str">
        <f ca="1">IFERROR(__xludf.DUMMYFUNCTION("""COMPUTED_VALUE"""),"Definir fecha")</f>
        <v>Definir fecha</v>
      </c>
      <c r="L769" s="62"/>
      <c r="M769" s="25"/>
      <c r="N769" s="25"/>
      <c r="O769" s="25">
        <f t="shared" si="0"/>
        <v>0</v>
      </c>
      <c r="P769" s="25" t="str">
        <f t="shared" si="2"/>
        <v/>
      </c>
      <c r="Q769" s="25" t="str">
        <f ca="1">IFERROR(__xludf.DUMMYFUNCTION("""COMPUTED_VALUE"""),"Sin defenir")</f>
        <v>Sin defenir</v>
      </c>
      <c r="R769" s="25"/>
      <c r="S769" s="55"/>
      <c r="T769" s="56"/>
      <c r="U769" s="25"/>
      <c r="V769" s="25"/>
      <c r="W769" s="25"/>
      <c r="X769" s="25"/>
      <c r="Y769" s="25"/>
      <c r="Z769" s="25"/>
    </row>
    <row r="770" spans="1:26" ht="52.5" customHeight="1" x14ac:dyDescent="0.25">
      <c r="A770" s="25" t="str">
        <f ca="1">IFERROR(__xludf.DUMMYFUNCTION("""COMPUTED_VALUE"""),"Mujer168")</f>
        <v>Mujer168</v>
      </c>
      <c r="B770" s="25"/>
      <c r="C770" s="55"/>
      <c r="D770" s="25" t="str">
        <f ca="1">IFERROR(__xludf.DUMMYFUNCTION("""COMPUTED_VALUE"""),"Mujer")</f>
        <v>Mujer</v>
      </c>
      <c r="E770" s="25"/>
      <c r="F770" s="25"/>
      <c r="G770" s="25"/>
      <c r="H770" s="25"/>
      <c r="I770" s="25"/>
      <c r="J770" s="55"/>
      <c r="K770" s="25" t="str">
        <f ca="1">IFERROR(__xludf.DUMMYFUNCTION("""COMPUTED_VALUE"""),"Definir fecha")</f>
        <v>Definir fecha</v>
      </c>
      <c r="L770" s="62"/>
      <c r="M770" s="25"/>
      <c r="N770" s="25"/>
      <c r="O770" s="25">
        <f t="shared" si="0"/>
        <v>0</v>
      </c>
      <c r="P770" s="25" t="str">
        <f t="shared" si="2"/>
        <v/>
      </c>
      <c r="Q770" s="25" t="str">
        <f ca="1">IFERROR(__xludf.DUMMYFUNCTION("""COMPUTED_VALUE"""),"Sin defenir")</f>
        <v>Sin defenir</v>
      </c>
      <c r="R770" s="25"/>
      <c r="S770" s="55"/>
      <c r="T770" s="56"/>
      <c r="U770" s="25"/>
      <c r="V770" s="25"/>
      <c r="W770" s="25"/>
      <c r="X770" s="25"/>
      <c r="Y770" s="25"/>
      <c r="Z770" s="25"/>
    </row>
    <row r="771" spans="1:26" ht="52.5" customHeight="1" x14ac:dyDescent="0.25">
      <c r="A771" s="25" t="str">
        <f ca="1">IFERROR(__xludf.DUMMYFUNCTION("""COMPUTED_VALUE"""),"Mujer169")</f>
        <v>Mujer169</v>
      </c>
      <c r="B771" s="25"/>
      <c r="C771" s="55"/>
      <c r="D771" s="25" t="str">
        <f ca="1">IFERROR(__xludf.DUMMYFUNCTION("""COMPUTED_VALUE"""),"Mujer")</f>
        <v>Mujer</v>
      </c>
      <c r="E771" s="25"/>
      <c r="F771" s="25"/>
      <c r="G771" s="25"/>
      <c r="H771" s="25"/>
      <c r="I771" s="25"/>
      <c r="J771" s="55"/>
      <c r="K771" s="25" t="str">
        <f ca="1">IFERROR(__xludf.DUMMYFUNCTION("""COMPUTED_VALUE"""),"Definir fecha")</f>
        <v>Definir fecha</v>
      </c>
      <c r="L771" s="62"/>
      <c r="M771" s="25"/>
      <c r="N771" s="25"/>
      <c r="O771" s="25">
        <f t="shared" si="0"/>
        <v>0</v>
      </c>
      <c r="P771" s="25" t="str">
        <f t="shared" si="2"/>
        <v/>
      </c>
      <c r="Q771" s="25" t="str">
        <f ca="1">IFERROR(__xludf.DUMMYFUNCTION("""COMPUTED_VALUE"""),"Sin defenir")</f>
        <v>Sin defenir</v>
      </c>
      <c r="R771" s="25"/>
      <c r="S771" s="55"/>
      <c r="T771" s="56"/>
      <c r="U771" s="25"/>
      <c r="V771" s="25"/>
      <c r="W771" s="25"/>
      <c r="X771" s="25"/>
      <c r="Y771" s="25"/>
      <c r="Z771" s="25"/>
    </row>
    <row r="772" spans="1:26" ht="52.5" customHeight="1" x14ac:dyDescent="0.25">
      <c r="A772" s="25" t="str">
        <f ca="1">IFERROR(__xludf.DUMMYFUNCTION("""COMPUTED_VALUE"""),"Mujer170")</f>
        <v>Mujer170</v>
      </c>
      <c r="B772" s="25"/>
      <c r="C772" s="55"/>
      <c r="D772" s="25" t="str">
        <f ca="1">IFERROR(__xludf.DUMMYFUNCTION("""COMPUTED_VALUE"""),"Mujer")</f>
        <v>Mujer</v>
      </c>
      <c r="E772" s="25"/>
      <c r="F772" s="25"/>
      <c r="G772" s="25"/>
      <c r="H772" s="25"/>
      <c r="I772" s="25"/>
      <c r="J772" s="55"/>
      <c r="K772" s="25" t="str">
        <f ca="1">IFERROR(__xludf.DUMMYFUNCTION("""COMPUTED_VALUE"""),"Definir fecha")</f>
        <v>Definir fecha</v>
      </c>
      <c r="L772" s="62"/>
      <c r="M772" s="25"/>
      <c r="N772" s="25"/>
      <c r="O772" s="25">
        <f t="shared" si="0"/>
        <v>0</v>
      </c>
      <c r="P772" s="25" t="str">
        <f t="shared" si="2"/>
        <v/>
      </c>
      <c r="Q772" s="25" t="str">
        <f ca="1">IFERROR(__xludf.DUMMYFUNCTION("""COMPUTED_VALUE"""),"Sin defenir")</f>
        <v>Sin defenir</v>
      </c>
      <c r="R772" s="25"/>
      <c r="S772" s="55"/>
      <c r="T772" s="56"/>
      <c r="U772" s="25"/>
      <c r="V772" s="25"/>
      <c r="W772" s="25"/>
      <c r="X772" s="25"/>
      <c r="Y772" s="25"/>
      <c r="Z772" s="25"/>
    </row>
    <row r="773" spans="1:26" ht="52.5" customHeight="1" x14ac:dyDescent="0.25">
      <c r="A773" s="25" t="str">
        <f ca="1">IFERROR(__xludf.DUMMYFUNCTION("""COMPUTED_VALUE"""),"Mujer171")</f>
        <v>Mujer171</v>
      </c>
      <c r="B773" s="25"/>
      <c r="C773" s="55"/>
      <c r="D773" s="25" t="str">
        <f ca="1">IFERROR(__xludf.DUMMYFUNCTION("""COMPUTED_VALUE"""),"Mujer")</f>
        <v>Mujer</v>
      </c>
      <c r="E773" s="25"/>
      <c r="F773" s="25"/>
      <c r="G773" s="25"/>
      <c r="H773" s="25"/>
      <c r="I773" s="25"/>
      <c r="J773" s="55"/>
      <c r="K773" s="25" t="str">
        <f ca="1">IFERROR(__xludf.DUMMYFUNCTION("""COMPUTED_VALUE"""),"Definir fecha")</f>
        <v>Definir fecha</v>
      </c>
      <c r="L773" s="62"/>
      <c r="M773" s="25"/>
      <c r="N773" s="25"/>
      <c r="O773" s="25">
        <f t="shared" si="0"/>
        <v>0</v>
      </c>
      <c r="P773" s="25" t="str">
        <f t="shared" si="2"/>
        <v/>
      </c>
      <c r="Q773" s="25" t="str">
        <f ca="1">IFERROR(__xludf.DUMMYFUNCTION("""COMPUTED_VALUE"""),"Sin defenir")</f>
        <v>Sin defenir</v>
      </c>
      <c r="R773" s="25"/>
      <c r="S773" s="55"/>
      <c r="T773" s="56"/>
      <c r="U773" s="25"/>
      <c r="V773" s="25"/>
      <c r="W773" s="25"/>
      <c r="X773" s="25"/>
      <c r="Y773" s="25"/>
      <c r="Z773" s="25"/>
    </row>
    <row r="774" spans="1:26" ht="52.5" customHeight="1" x14ac:dyDescent="0.25">
      <c r="A774" s="25" t="str">
        <f ca="1">IFERROR(__xludf.DUMMYFUNCTION("""COMPUTED_VALUE"""),"Mujer172")</f>
        <v>Mujer172</v>
      </c>
      <c r="B774" s="25"/>
      <c r="C774" s="55"/>
      <c r="D774" s="25" t="str">
        <f ca="1">IFERROR(__xludf.DUMMYFUNCTION("""COMPUTED_VALUE"""),"Mujer")</f>
        <v>Mujer</v>
      </c>
      <c r="E774" s="25"/>
      <c r="F774" s="25"/>
      <c r="G774" s="25"/>
      <c r="H774" s="25"/>
      <c r="I774" s="25"/>
      <c r="J774" s="55"/>
      <c r="K774" s="25" t="str">
        <f ca="1">IFERROR(__xludf.DUMMYFUNCTION("""COMPUTED_VALUE"""),"Definir fecha")</f>
        <v>Definir fecha</v>
      </c>
      <c r="L774" s="62"/>
      <c r="M774" s="25"/>
      <c r="N774" s="25"/>
      <c r="O774" s="25">
        <f t="shared" si="0"/>
        <v>0</v>
      </c>
      <c r="P774" s="25" t="str">
        <f t="shared" si="2"/>
        <v/>
      </c>
      <c r="Q774" s="25" t="str">
        <f ca="1">IFERROR(__xludf.DUMMYFUNCTION("""COMPUTED_VALUE"""),"Sin defenir")</f>
        <v>Sin defenir</v>
      </c>
      <c r="R774" s="25"/>
      <c r="S774" s="55"/>
      <c r="T774" s="56"/>
      <c r="U774" s="25"/>
      <c r="V774" s="25"/>
      <c r="W774" s="25"/>
      <c r="X774" s="25"/>
      <c r="Y774" s="25"/>
      <c r="Z774" s="25"/>
    </row>
    <row r="775" spans="1:26" ht="52.5" customHeight="1" x14ac:dyDescent="0.25">
      <c r="A775" s="25" t="str">
        <f ca="1">IFERROR(__xludf.DUMMYFUNCTION("""COMPUTED_VALUE"""),"Mujer173")</f>
        <v>Mujer173</v>
      </c>
      <c r="B775" s="25"/>
      <c r="C775" s="55"/>
      <c r="D775" s="25" t="str">
        <f ca="1">IFERROR(__xludf.DUMMYFUNCTION("""COMPUTED_VALUE"""),"Mujer")</f>
        <v>Mujer</v>
      </c>
      <c r="E775" s="25"/>
      <c r="F775" s="25"/>
      <c r="G775" s="25"/>
      <c r="H775" s="25"/>
      <c r="I775" s="25"/>
      <c r="J775" s="55"/>
      <c r="K775" s="25" t="str">
        <f ca="1">IFERROR(__xludf.DUMMYFUNCTION("""COMPUTED_VALUE"""),"Definir fecha")</f>
        <v>Definir fecha</v>
      </c>
      <c r="L775" s="62"/>
      <c r="M775" s="25"/>
      <c r="N775" s="25"/>
      <c r="O775" s="25">
        <f t="shared" si="0"/>
        <v>0</v>
      </c>
      <c r="P775" s="25" t="str">
        <f t="shared" si="2"/>
        <v/>
      </c>
      <c r="Q775" s="25" t="str">
        <f ca="1">IFERROR(__xludf.DUMMYFUNCTION("""COMPUTED_VALUE"""),"Sin defenir")</f>
        <v>Sin defenir</v>
      </c>
      <c r="R775" s="25"/>
      <c r="S775" s="55"/>
      <c r="T775" s="56"/>
      <c r="U775" s="25"/>
      <c r="V775" s="25"/>
      <c r="W775" s="25"/>
      <c r="X775" s="25"/>
      <c r="Y775" s="25"/>
      <c r="Z775" s="25"/>
    </row>
    <row r="776" spans="1:26" ht="52.5" customHeight="1" x14ac:dyDescent="0.25">
      <c r="A776" s="25" t="str">
        <f ca="1">IFERROR(__xludf.DUMMYFUNCTION("""COMPUTED_VALUE"""),"Mujer174")</f>
        <v>Mujer174</v>
      </c>
      <c r="B776" s="25"/>
      <c r="C776" s="55"/>
      <c r="D776" s="25" t="str">
        <f ca="1">IFERROR(__xludf.DUMMYFUNCTION("""COMPUTED_VALUE"""),"Mujer")</f>
        <v>Mujer</v>
      </c>
      <c r="E776" s="25"/>
      <c r="F776" s="25"/>
      <c r="G776" s="25"/>
      <c r="H776" s="25"/>
      <c r="I776" s="25"/>
      <c r="J776" s="55"/>
      <c r="K776" s="25" t="str">
        <f ca="1">IFERROR(__xludf.DUMMYFUNCTION("""COMPUTED_VALUE"""),"Definir fecha")</f>
        <v>Definir fecha</v>
      </c>
      <c r="L776" s="62"/>
      <c r="M776" s="25"/>
      <c r="N776" s="25"/>
      <c r="O776" s="25">
        <f t="shared" si="0"/>
        <v>0</v>
      </c>
      <c r="P776" s="25" t="str">
        <f t="shared" si="2"/>
        <v/>
      </c>
      <c r="Q776" s="25" t="str">
        <f ca="1">IFERROR(__xludf.DUMMYFUNCTION("""COMPUTED_VALUE"""),"Sin defenir")</f>
        <v>Sin defenir</v>
      </c>
      <c r="R776" s="25"/>
      <c r="S776" s="55"/>
      <c r="T776" s="56"/>
      <c r="U776" s="25"/>
      <c r="V776" s="25"/>
      <c r="W776" s="25"/>
      <c r="X776" s="25"/>
      <c r="Y776" s="25"/>
      <c r="Z776" s="25"/>
    </row>
    <row r="777" spans="1:26" ht="52.5" customHeight="1" x14ac:dyDescent="0.25">
      <c r="A777" s="25" t="str">
        <f ca="1">IFERROR(__xludf.DUMMYFUNCTION("""COMPUTED_VALUE"""),"Mujer175")</f>
        <v>Mujer175</v>
      </c>
      <c r="B777" s="25"/>
      <c r="C777" s="55"/>
      <c r="D777" s="25" t="str">
        <f ca="1">IFERROR(__xludf.DUMMYFUNCTION("""COMPUTED_VALUE"""),"Mujer")</f>
        <v>Mujer</v>
      </c>
      <c r="E777" s="25"/>
      <c r="F777" s="25"/>
      <c r="G777" s="25"/>
      <c r="H777" s="25"/>
      <c r="I777" s="25"/>
      <c r="J777" s="55"/>
      <c r="K777" s="25" t="str">
        <f ca="1">IFERROR(__xludf.DUMMYFUNCTION("""COMPUTED_VALUE"""),"Definir fecha")</f>
        <v>Definir fecha</v>
      </c>
      <c r="L777" s="62"/>
      <c r="M777" s="25"/>
      <c r="N777" s="25"/>
      <c r="O777" s="25">
        <f t="shared" si="0"/>
        <v>0</v>
      </c>
      <c r="P777" s="25" t="str">
        <f t="shared" si="2"/>
        <v/>
      </c>
      <c r="Q777" s="25" t="str">
        <f ca="1">IFERROR(__xludf.DUMMYFUNCTION("""COMPUTED_VALUE"""),"Sin defenir")</f>
        <v>Sin defenir</v>
      </c>
      <c r="R777" s="25"/>
      <c r="S777" s="55"/>
      <c r="T777" s="56"/>
      <c r="U777" s="25"/>
      <c r="V777" s="25"/>
      <c r="W777" s="25"/>
      <c r="X777" s="25"/>
      <c r="Y777" s="25"/>
      <c r="Z777" s="25"/>
    </row>
    <row r="778" spans="1:26" ht="52.5" customHeight="1" x14ac:dyDescent="0.25">
      <c r="A778" s="25" t="str">
        <f ca="1">IFERROR(__xludf.DUMMYFUNCTION("""COMPUTED_VALUE"""),"Mujer176")</f>
        <v>Mujer176</v>
      </c>
      <c r="B778" s="25"/>
      <c r="C778" s="55"/>
      <c r="D778" s="25" t="str">
        <f ca="1">IFERROR(__xludf.DUMMYFUNCTION("""COMPUTED_VALUE"""),"Mujer")</f>
        <v>Mujer</v>
      </c>
      <c r="E778" s="25"/>
      <c r="F778" s="25"/>
      <c r="G778" s="25"/>
      <c r="H778" s="25"/>
      <c r="I778" s="25"/>
      <c r="J778" s="55"/>
      <c r="K778" s="25" t="str">
        <f ca="1">IFERROR(__xludf.DUMMYFUNCTION("""COMPUTED_VALUE"""),"Definir fecha")</f>
        <v>Definir fecha</v>
      </c>
      <c r="L778" s="62"/>
      <c r="M778" s="25"/>
      <c r="N778" s="25"/>
      <c r="O778" s="25">
        <f t="shared" si="0"/>
        <v>0</v>
      </c>
      <c r="P778" s="25" t="str">
        <f t="shared" si="2"/>
        <v/>
      </c>
      <c r="Q778" s="25" t="str">
        <f ca="1">IFERROR(__xludf.DUMMYFUNCTION("""COMPUTED_VALUE"""),"Sin defenir")</f>
        <v>Sin defenir</v>
      </c>
      <c r="R778" s="25"/>
      <c r="S778" s="55"/>
      <c r="T778" s="56"/>
      <c r="U778" s="25"/>
      <c r="V778" s="25"/>
      <c r="W778" s="25"/>
      <c r="X778" s="25"/>
      <c r="Y778" s="25"/>
      <c r="Z778" s="25"/>
    </row>
    <row r="779" spans="1:26" ht="52.5" customHeight="1" x14ac:dyDescent="0.25">
      <c r="A779" s="25" t="str">
        <f ca="1">IFERROR(__xludf.DUMMYFUNCTION("""COMPUTED_VALUE"""),"Mujer177")</f>
        <v>Mujer177</v>
      </c>
      <c r="B779" s="25"/>
      <c r="C779" s="55"/>
      <c r="D779" s="25" t="str">
        <f ca="1">IFERROR(__xludf.DUMMYFUNCTION("""COMPUTED_VALUE"""),"Mujer")</f>
        <v>Mujer</v>
      </c>
      <c r="E779" s="25"/>
      <c r="F779" s="25"/>
      <c r="G779" s="25"/>
      <c r="H779" s="25"/>
      <c r="I779" s="25"/>
      <c r="J779" s="55"/>
      <c r="K779" s="25" t="str">
        <f ca="1">IFERROR(__xludf.DUMMYFUNCTION("""COMPUTED_VALUE"""),"Definir fecha")</f>
        <v>Definir fecha</v>
      </c>
      <c r="L779" s="62"/>
      <c r="M779" s="25"/>
      <c r="N779" s="25"/>
      <c r="O779" s="25">
        <f t="shared" si="0"/>
        <v>0</v>
      </c>
      <c r="P779" s="25" t="str">
        <f t="shared" si="2"/>
        <v/>
      </c>
      <c r="Q779" s="25" t="str">
        <f ca="1">IFERROR(__xludf.DUMMYFUNCTION("""COMPUTED_VALUE"""),"Sin defenir")</f>
        <v>Sin defenir</v>
      </c>
      <c r="R779" s="25"/>
      <c r="S779" s="55"/>
      <c r="T779" s="56"/>
      <c r="U779" s="25"/>
      <c r="V779" s="25"/>
      <c r="W779" s="25"/>
      <c r="X779" s="25"/>
      <c r="Y779" s="25"/>
      <c r="Z779" s="25"/>
    </row>
    <row r="780" spans="1:26" ht="52.5" customHeight="1" x14ac:dyDescent="0.25">
      <c r="A780" s="25" t="str">
        <f ca="1">IFERROR(__xludf.DUMMYFUNCTION("""COMPUTED_VALUE"""),"Mujer178")</f>
        <v>Mujer178</v>
      </c>
      <c r="B780" s="25"/>
      <c r="C780" s="55"/>
      <c r="D780" s="25" t="str">
        <f ca="1">IFERROR(__xludf.DUMMYFUNCTION("""COMPUTED_VALUE"""),"Mujer")</f>
        <v>Mujer</v>
      </c>
      <c r="E780" s="25"/>
      <c r="F780" s="25"/>
      <c r="G780" s="25"/>
      <c r="H780" s="25"/>
      <c r="I780" s="25"/>
      <c r="J780" s="55"/>
      <c r="K780" s="25" t="str">
        <f ca="1">IFERROR(__xludf.DUMMYFUNCTION("""COMPUTED_VALUE"""),"Definir fecha")</f>
        <v>Definir fecha</v>
      </c>
      <c r="L780" s="62"/>
      <c r="M780" s="25"/>
      <c r="N780" s="25"/>
      <c r="O780" s="25">
        <f t="shared" si="0"/>
        <v>0</v>
      </c>
      <c r="P780" s="25" t="str">
        <f t="shared" si="2"/>
        <v/>
      </c>
      <c r="Q780" s="25" t="str">
        <f ca="1">IFERROR(__xludf.DUMMYFUNCTION("""COMPUTED_VALUE"""),"Sin defenir")</f>
        <v>Sin defenir</v>
      </c>
      <c r="R780" s="25"/>
      <c r="S780" s="55"/>
      <c r="T780" s="56"/>
      <c r="U780" s="25"/>
      <c r="V780" s="25"/>
      <c r="W780" s="25"/>
      <c r="X780" s="25"/>
      <c r="Y780" s="25"/>
      <c r="Z780" s="25"/>
    </row>
    <row r="781" spans="1:26" ht="52.5" customHeight="1" x14ac:dyDescent="0.25">
      <c r="A781" s="25" t="str">
        <f ca="1">IFERROR(__xludf.DUMMYFUNCTION("""COMPUTED_VALUE"""),"Mujer179")</f>
        <v>Mujer179</v>
      </c>
      <c r="B781" s="25"/>
      <c r="C781" s="55"/>
      <c r="D781" s="25" t="str">
        <f ca="1">IFERROR(__xludf.DUMMYFUNCTION("""COMPUTED_VALUE"""),"Mujer")</f>
        <v>Mujer</v>
      </c>
      <c r="E781" s="25"/>
      <c r="F781" s="25"/>
      <c r="G781" s="25"/>
      <c r="H781" s="25"/>
      <c r="I781" s="25"/>
      <c r="J781" s="55"/>
      <c r="K781" s="25" t="str">
        <f ca="1">IFERROR(__xludf.DUMMYFUNCTION("""COMPUTED_VALUE"""),"Definir fecha")</f>
        <v>Definir fecha</v>
      </c>
      <c r="L781" s="62"/>
      <c r="M781" s="25"/>
      <c r="N781" s="25"/>
      <c r="O781" s="25">
        <f t="shared" si="0"/>
        <v>0</v>
      </c>
      <c r="P781" s="25" t="str">
        <f t="shared" si="2"/>
        <v/>
      </c>
      <c r="Q781" s="25" t="str">
        <f ca="1">IFERROR(__xludf.DUMMYFUNCTION("""COMPUTED_VALUE"""),"Sin defenir")</f>
        <v>Sin defenir</v>
      </c>
      <c r="R781" s="25"/>
      <c r="S781" s="55"/>
      <c r="T781" s="56"/>
      <c r="U781" s="25"/>
      <c r="V781" s="25"/>
      <c r="W781" s="25"/>
      <c r="X781" s="25"/>
      <c r="Y781" s="25"/>
      <c r="Z781" s="25"/>
    </row>
    <row r="782" spans="1:26" ht="52.5" customHeight="1" x14ac:dyDescent="0.25">
      <c r="A782" s="25" t="str">
        <f ca="1">IFERROR(__xludf.DUMMYFUNCTION("""COMPUTED_VALUE"""),"Mujer180")</f>
        <v>Mujer180</v>
      </c>
      <c r="B782" s="25"/>
      <c r="C782" s="55"/>
      <c r="D782" s="25" t="str">
        <f ca="1">IFERROR(__xludf.DUMMYFUNCTION("""COMPUTED_VALUE"""),"Mujer")</f>
        <v>Mujer</v>
      </c>
      <c r="E782" s="25"/>
      <c r="F782" s="25"/>
      <c r="G782" s="25"/>
      <c r="H782" s="25"/>
      <c r="I782" s="25"/>
      <c r="J782" s="55"/>
      <c r="K782" s="25" t="str">
        <f ca="1">IFERROR(__xludf.DUMMYFUNCTION("""COMPUTED_VALUE"""),"Definir fecha")</f>
        <v>Definir fecha</v>
      </c>
      <c r="L782" s="62"/>
      <c r="M782" s="25"/>
      <c r="N782" s="25"/>
      <c r="O782" s="25">
        <f t="shared" si="0"/>
        <v>0</v>
      </c>
      <c r="P782" s="25" t="str">
        <f t="shared" si="2"/>
        <v/>
      </c>
      <c r="Q782" s="25" t="str">
        <f ca="1">IFERROR(__xludf.DUMMYFUNCTION("""COMPUTED_VALUE"""),"Sin defenir")</f>
        <v>Sin defenir</v>
      </c>
      <c r="R782" s="25"/>
      <c r="S782" s="55"/>
      <c r="T782" s="56"/>
      <c r="U782" s="25"/>
      <c r="V782" s="25"/>
      <c r="W782" s="25"/>
      <c r="X782" s="25"/>
      <c r="Y782" s="25"/>
      <c r="Z782" s="25"/>
    </row>
    <row r="783" spans="1:26" ht="52.5" customHeight="1" x14ac:dyDescent="0.25">
      <c r="A783" s="25" t="str">
        <f ca="1">IFERROR(__xludf.DUMMYFUNCTION("""COMPUTED_VALUE"""),"Mujer181")</f>
        <v>Mujer181</v>
      </c>
      <c r="B783" s="25"/>
      <c r="C783" s="55"/>
      <c r="D783" s="25" t="str">
        <f ca="1">IFERROR(__xludf.DUMMYFUNCTION("""COMPUTED_VALUE"""),"Mujer")</f>
        <v>Mujer</v>
      </c>
      <c r="E783" s="25"/>
      <c r="F783" s="25"/>
      <c r="G783" s="25"/>
      <c r="H783" s="25"/>
      <c r="I783" s="25"/>
      <c r="J783" s="55"/>
      <c r="K783" s="25" t="str">
        <f ca="1">IFERROR(__xludf.DUMMYFUNCTION("""COMPUTED_VALUE"""),"Definir fecha")</f>
        <v>Definir fecha</v>
      </c>
      <c r="L783" s="62"/>
      <c r="M783" s="25"/>
      <c r="N783" s="25"/>
      <c r="O783" s="25">
        <f t="shared" si="0"/>
        <v>0</v>
      </c>
      <c r="P783" s="25" t="str">
        <f t="shared" si="2"/>
        <v/>
      </c>
      <c r="Q783" s="25" t="str">
        <f ca="1">IFERROR(__xludf.DUMMYFUNCTION("""COMPUTED_VALUE"""),"Sin defenir")</f>
        <v>Sin defenir</v>
      </c>
      <c r="R783" s="25"/>
      <c r="S783" s="55"/>
      <c r="T783" s="56"/>
      <c r="U783" s="25"/>
      <c r="V783" s="25"/>
      <c r="W783" s="25"/>
      <c r="X783" s="25"/>
      <c r="Y783" s="25"/>
      <c r="Z783" s="25"/>
    </row>
    <row r="784" spans="1:26" ht="52.5" customHeight="1" x14ac:dyDescent="0.25">
      <c r="A784" s="25" t="str">
        <f ca="1">IFERROR(__xludf.DUMMYFUNCTION("""COMPUTED_VALUE"""),"Mujer182")</f>
        <v>Mujer182</v>
      </c>
      <c r="B784" s="25"/>
      <c r="C784" s="55"/>
      <c r="D784" s="25" t="str">
        <f ca="1">IFERROR(__xludf.DUMMYFUNCTION("""COMPUTED_VALUE"""),"Mujer")</f>
        <v>Mujer</v>
      </c>
      <c r="E784" s="25"/>
      <c r="F784" s="25"/>
      <c r="G784" s="25"/>
      <c r="H784" s="25"/>
      <c r="I784" s="25"/>
      <c r="J784" s="55"/>
      <c r="K784" s="25" t="str">
        <f ca="1">IFERROR(__xludf.DUMMYFUNCTION("""COMPUTED_VALUE"""),"Definir fecha")</f>
        <v>Definir fecha</v>
      </c>
      <c r="L784" s="62"/>
      <c r="M784" s="25"/>
      <c r="N784" s="25"/>
      <c r="O784" s="25">
        <f t="shared" si="0"/>
        <v>0</v>
      </c>
      <c r="P784" s="25" t="str">
        <f t="shared" si="2"/>
        <v/>
      </c>
      <c r="Q784" s="25" t="str">
        <f ca="1">IFERROR(__xludf.DUMMYFUNCTION("""COMPUTED_VALUE"""),"Sin defenir")</f>
        <v>Sin defenir</v>
      </c>
      <c r="R784" s="25"/>
      <c r="S784" s="55"/>
      <c r="T784" s="56"/>
      <c r="U784" s="25"/>
      <c r="V784" s="25"/>
      <c r="W784" s="25"/>
      <c r="X784" s="25"/>
      <c r="Y784" s="25"/>
      <c r="Z784" s="25"/>
    </row>
    <row r="785" spans="1:26" ht="52.5" customHeight="1" x14ac:dyDescent="0.25">
      <c r="A785" s="25" t="str">
        <f ca="1">IFERROR(__xludf.DUMMYFUNCTION("""COMPUTED_VALUE"""),"Mujer183")</f>
        <v>Mujer183</v>
      </c>
      <c r="B785" s="25"/>
      <c r="C785" s="55"/>
      <c r="D785" s="25" t="str">
        <f ca="1">IFERROR(__xludf.DUMMYFUNCTION("""COMPUTED_VALUE"""),"Mujer")</f>
        <v>Mujer</v>
      </c>
      <c r="E785" s="25"/>
      <c r="F785" s="25"/>
      <c r="G785" s="25"/>
      <c r="H785" s="25"/>
      <c r="I785" s="25"/>
      <c r="J785" s="55"/>
      <c r="K785" s="25" t="str">
        <f ca="1">IFERROR(__xludf.DUMMYFUNCTION("""COMPUTED_VALUE"""),"Definir fecha")</f>
        <v>Definir fecha</v>
      </c>
      <c r="L785" s="62"/>
      <c r="M785" s="25"/>
      <c r="N785" s="25"/>
      <c r="O785" s="25">
        <f t="shared" si="0"/>
        <v>0</v>
      </c>
      <c r="P785" s="25" t="str">
        <f t="shared" si="2"/>
        <v/>
      </c>
      <c r="Q785" s="25" t="str">
        <f ca="1">IFERROR(__xludf.DUMMYFUNCTION("""COMPUTED_VALUE"""),"Sin defenir")</f>
        <v>Sin defenir</v>
      </c>
      <c r="R785" s="25"/>
      <c r="S785" s="55"/>
      <c r="T785" s="56"/>
      <c r="U785" s="25"/>
      <c r="V785" s="25"/>
      <c r="W785" s="25"/>
      <c r="X785" s="25"/>
      <c r="Y785" s="25"/>
      <c r="Z785" s="25"/>
    </row>
    <row r="786" spans="1:26" ht="52.5" customHeight="1" x14ac:dyDescent="0.25">
      <c r="A786" s="25" t="str">
        <f ca="1">IFERROR(__xludf.DUMMYFUNCTION("""COMPUTED_VALUE"""),"Mujer184")</f>
        <v>Mujer184</v>
      </c>
      <c r="B786" s="25"/>
      <c r="C786" s="55"/>
      <c r="D786" s="25" t="str">
        <f ca="1">IFERROR(__xludf.DUMMYFUNCTION("""COMPUTED_VALUE"""),"Mujer")</f>
        <v>Mujer</v>
      </c>
      <c r="E786" s="25"/>
      <c r="F786" s="25"/>
      <c r="G786" s="25"/>
      <c r="H786" s="25"/>
      <c r="I786" s="25"/>
      <c r="J786" s="55"/>
      <c r="K786" s="25" t="str">
        <f ca="1">IFERROR(__xludf.DUMMYFUNCTION("""COMPUTED_VALUE"""),"Definir fecha")</f>
        <v>Definir fecha</v>
      </c>
      <c r="L786" s="62"/>
      <c r="M786" s="25"/>
      <c r="N786" s="25"/>
      <c r="O786" s="25">
        <f t="shared" si="0"/>
        <v>0</v>
      </c>
      <c r="P786" s="25" t="str">
        <f t="shared" si="2"/>
        <v/>
      </c>
      <c r="Q786" s="25" t="str">
        <f ca="1">IFERROR(__xludf.DUMMYFUNCTION("""COMPUTED_VALUE"""),"Sin defenir")</f>
        <v>Sin defenir</v>
      </c>
      <c r="R786" s="25"/>
      <c r="S786" s="55"/>
      <c r="T786" s="56"/>
      <c r="U786" s="25"/>
      <c r="V786" s="25"/>
      <c r="W786" s="25"/>
      <c r="X786" s="25"/>
      <c r="Y786" s="25"/>
      <c r="Z786" s="25"/>
    </row>
    <row r="787" spans="1:26" ht="52.5" customHeight="1" x14ac:dyDescent="0.25">
      <c r="A787" s="25" t="str">
        <f ca="1">IFERROR(__xludf.DUMMYFUNCTION("""COMPUTED_VALUE"""),"Mujer185")</f>
        <v>Mujer185</v>
      </c>
      <c r="B787" s="25"/>
      <c r="C787" s="55"/>
      <c r="D787" s="25" t="str">
        <f ca="1">IFERROR(__xludf.DUMMYFUNCTION("""COMPUTED_VALUE"""),"Mujer")</f>
        <v>Mujer</v>
      </c>
      <c r="E787" s="25"/>
      <c r="F787" s="25"/>
      <c r="G787" s="25"/>
      <c r="H787" s="25"/>
      <c r="I787" s="25"/>
      <c r="J787" s="55"/>
      <c r="K787" s="25" t="str">
        <f ca="1">IFERROR(__xludf.DUMMYFUNCTION("""COMPUTED_VALUE"""),"Definir fecha")</f>
        <v>Definir fecha</v>
      </c>
      <c r="L787" s="62"/>
      <c r="M787" s="25"/>
      <c r="N787" s="25"/>
      <c r="O787" s="25">
        <f t="shared" si="0"/>
        <v>0</v>
      </c>
      <c r="P787" s="25" t="str">
        <f t="shared" si="2"/>
        <v/>
      </c>
      <c r="Q787" s="25" t="str">
        <f ca="1">IFERROR(__xludf.DUMMYFUNCTION("""COMPUTED_VALUE"""),"Sin defenir")</f>
        <v>Sin defenir</v>
      </c>
      <c r="R787" s="25"/>
      <c r="S787" s="55"/>
      <c r="T787" s="56"/>
      <c r="U787" s="25"/>
      <c r="V787" s="25"/>
      <c r="W787" s="25"/>
      <c r="X787" s="25"/>
      <c r="Y787" s="25"/>
      <c r="Z787" s="25"/>
    </row>
    <row r="788" spans="1:26" ht="52.5" customHeight="1" x14ac:dyDescent="0.25">
      <c r="A788" s="25" t="str">
        <f ca="1">IFERROR(__xludf.DUMMYFUNCTION("""COMPUTED_VALUE"""),"Mujer186")</f>
        <v>Mujer186</v>
      </c>
      <c r="B788" s="25"/>
      <c r="C788" s="55"/>
      <c r="D788" s="25" t="str">
        <f ca="1">IFERROR(__xludf.DUMMYFUNCTION("""COMPUTED_VALUE"""),"Mujer")</f>
        <v>Mujer</v>
      </c>
      <c r="E788" s="25"/>
      <c r="F788" s="25"/>
      <c r="G788" s="25"/>
      <c r="H788" s="25"/>
      <c r="I788" s="25"/>
      <c r="J788" s="55"/>
      <c r="K788" s="25" t="str">
        <f ca="1">IFERROR(__xludf.DUMMYFUNCTION("""COMPUTED_VALUE"""),"Definir fecha")</f>
        <v>Definir fecha</v>
      </c>
      <c r="L788" s="62"/>
      <c r="M788" s="25"/>
      <c r="N788" s="25"/>
      <c r="O788" s="25">
        <f t="shared" si="0"/>
        <v>0</v>
      </c>
      <c r="P788" s="25" t="str">
        <f t="shared" si="2"/>
        <v/>
      </c>
      <c r="Q788" s="25" t="str">
        <f ca="1">IFERROR(__xludf.DUMMYFUNCTION("""COMPUTED_VALUE"""),"Sin defenir")</f>
        <v>Sin defenir</v>
      </c>
      <c r="R788" s="25"/>
      <c r="S788" s="55"/>
      <c r="T788" s="56"/>
      <c r="U788" s="25"/>
      <c r="V788" s="25"/>
      <c r="W788" s="25"/>
      <c r="X788" s="25"/>
      <c r="Y788" s="25"/>
      <c r="Z788" s="25"/>
    </row>
    <row r="789" spans="1:26" ht="52.5" customHeight="1" x14ac:dyDescent="0.25">
      <c r="A789" s="25" t="str">
        <f ca="1">IFERROR(__xludf.DUMMYFUNCTION("""COMPUTED_VALUE"""),"Mujer187")</f>
        <v>Mujer187</v>
      </c>
      <c r="B789" s="25"/>
      <c r="C789" s="55"/>
      <c r="D789" s="25" t="str">
        <f ca="1">IFERROR(__xludf.DUMMYFUNCTION("""COMPUTED_VALUE"""),"Mujer")</f>
        <v>Mujer</v>
      </c>
      <c r="E789" s="25"/>
      <c r="F789" s="25"/>
      <c r="G789" s="25"/>
      <c r="H789" s="25"/>
      <c r="I789" s="25"/>
      <c r="J789" s="55"/>
      <c r="K789" s="25" t="str">
        <f ca="1">IFERROR(__xludf.DUMMYFUNCTION("""COMPUTED_VALUE"""),"Definir fecha")</f>
        <v>Definir fecha</v>
      </c>
      <c r="L789" s="62"/>
      <c r="M789" s="25"/>
      <c r="N789" s="25"/>
      <c r="O789" s="25">
        <f t="shared" si="0"/>
        <v>0</v>
      </c>
      <c r="P789" s="25" t="str">
        <f t="shared" si="2"/>
        <v/>
      </c>
      <c r="Q789" s="25" t="str">
        <f ca="1">IFERROR(__xludf.DUMMYFUNCTION("""COMPUTED_VALUE"""),"Sin defenir")</f>
        <v>Sin defenir</v>
      </c>
      <c r="R789" s="25"/>
      <c r="S789" s="55"/>
      <c r="T789" s="56"/>
      <c r="U789" s="25"/>
      <c r="V789" s="25"/>
      <c r="W789" s="25"/>
      <c r="X789" s="25"/>
      <c r="Y789" s="25"/>
      <c r="Z789" s="25"/>
    </row>
    <row r="790" spans="1:26" ht="52.5" customHeight="1" x14ac:dyDescent="0.25">
      <c r="A790" s="25" t="str">
        <f ca="1">IFERROR(__xludf.DUMMYFUNCTION("""COMPUTED_VALUE"""),"Mujer188")</f>
        <v>Mujer188</v>
      </c>
      <c r="B790" s="25"/>
      <c r="C790" s="55"/>
      <c r="D790" s="25" t="str">
        <f ca="1">IFERROR(__xludf.DUMMYFUNCTION("""COMPUTED_VALUE"""),"Mujer")</f>
        <v>Mujer</v>
      </c>
      <c r="E790" s="25"/>
      <c r="F790" s="25"/>
      <c r="G790" s="25"/>
      <c r="H790" s="25"/>
      <c r="I790" s="25"/>
      <c r="J790" s="55"/>
      <c r="K790" s="25" t="str">
        <f ca="1">IFERROR(__xludf.DUMMYFUNCTION("""COMPUTED_VALUE"""),"Definir fecha")</f>
        <v>Definir fecha</v>
      </c>
      <c r="L790" s="62"/>
      <c r="M790" s="25"/>
      <c r="N790" s="25"/>
      <c r="O790" s="25">
        <f t="shared" si="0"/>
        <v>0</v>
      </c>
      <c r="P790" s="25" t="str">
        <f t="shared" si="2"/>
        <v/>
      </c>
      <c r="Q790" s="25" t="str">
        <f ca="1">IFERROR(__xludf.DUMMYFUNCTION("""COMPUTED_VALUE"""),"Sin defenir")</f>
        <v>Sin defenir</v>
      </c>
      <c r="R790" s="25"/>
      <c r="S790" s="55"/>
      <c r="T790" s="56"/>
      <c r="U790" s="25"/>
      <c r="V790" s="25"/>
      <c r="W790" s="25"/>
      <c r="X790" s="25"/>
      <c r="Y790" s="25"/>
      <c r="Z790" s="25"/>
    </row>
    <row r="791" spans="1:26" ht="52.5" customHeight="1" x14ac:dyDescent="0.25">
      <c r="A791" s="25" t="str">
        <f ca="1">IFERROR(__xludf.DUMMYFUNCTION("""COMPUTED_VALUE"""),"Mujer189")</f>
        <v>Mujer189</v>
      </c>
      <c r="B791" s="25"/>
      <c r="C791" s="55"/>
      <c r="D791" s="25" t="str">
        <f ca="1">IFERROR(__xludf.DUMMYFUNCTION("""COMPUTED_VALUE"""),"Mujer")</f>
        <v>Mujer</v>
      </c>
      <c r="E791" s="25"/>
      <c r="F791" s="25"/>
      <c r="G791" s="25"/>
      <c r="H791" s="25"/>
      <c r="I791" s="25"/>
      <c r="J791" s="55"/>
      <c r="K791" s="25" t="str">
        <f ca="1">IFERROR(__xludf.DUMMYFUNCTION("""COMPUTED_VALUE"""),"Definir fecha")</f>
        <v>Definir fecha</v>
      </c>
      <c r="L791" s="62"/>
      <c r="M791" s="25"/>
      <c r="N791" s="25"/>
      <c r="O791" s="25">
        <f t="shared" si="0"/>
        <v>0</v>
      </c>
      <c r="P791" s="25" t="str">
        <f t="shared" si="2"/>
        <v/>
      </c>
      <c r="Q791" s="25" t="str">
        <f ca="1">IFERROR(__xludf.DUMMYFUNCTION("""COMPUTED_VALUE"""),"Sin defenir")</f>
        <v>Sin defenir</v>
      </c>
      <c r="R791" s="25"/>
      <c r="S791" s="55"/>
      <c r="T791" s="56"/>
      <c r="U791" s="25"/>
      <c r="V791" s="25"/>
      <c r="W791" s="25"/>
      <c r="X791" s="25"/>
      <c r="Y791" s="25"/>
      <c r="Z791" s="25"/>
    </row>
    <row r="792" spans="1:26" ht="52.5" customHeight="1" x14ac:dyDescent="0.25">
      <c r="A792" s="25" t="str">
        <f ca="1">IFERROR(__xludf.DUMMYFUNCTION("""COMPUTED_VALUE"""),"Mujer190")</f>
        <v>Mujer190</v>
      </c>
      <c r="B792" s="25"/>
      <c r="C792" s="55"/>
      <c r="D792" s="25" t="str">
        <f ca="1">IFERROR(__xludf.DUMMYFUNCTION("""COMPUTED_VALUE"""),"Mujer")</f>
        <v>Mujer</v>
      </c>
      <c r="E792" s="25"/>
      <c r="F792" s="25"/>
      <c r="G792" s="25"/>
      <c r="H792" s="25"/>
      <c r="I792" s="25"/>
      <c r="J792" s="55"/>
      <c r="K792" s="25" t="str">
        <f ca="1">IFERROR(__xludf.DUMMYFUNCTION("""COMPUTED_VALUE"""),"Definir fecha")</f>
        <v>Definir fecha</v>
      </c>
      <c r="L792" s="62"/>
      <c r="M792" s="25"/>
      <c r="N792" s="25"/>
      <c r="O792" s="25">
        <f t="shared" si="0"/>
        <v>0</v>
      </c>
      <c r="P792" s="25" t="str">
        <f t="shared" si="2"/>
        <v/>
      </c>
      <c r="Q792" s="25" t="str">
        <f ca="1">IFERROR(__xludf.DUMMYFUNCTION("""COMPUTED_VALUE"""),"Sin defenir")</f>
        <v>Sin defenir</v>
      </c>
      <c r="R792" s="25"/>
      <c r="S792" s="55"/>
      <c r="T792" s="56"/>
      <c r="U792" s="25"/>
      <c r="V792" s="25"/>
      <c r="W792" s="25"/>
      <c r="X792" s="25"/>
      <c r="Y792" s="25"/>
      <c r="Z792" s="25"/>
    </row>
    <row r="793" spans="1:26" ht="52.5" customHeight="1" x14ac:dyDescent="0.25">
      <c r="A793" s="25" t="str">
        <f ca="1">IFERROR(__xludf.DUMMYFUNCTION("""COMPUTED_VALUE"""),"Mujer191")</f>
        <v>Mujer191</v>
      </c>
      <c r="B793" s="25"/>
      <c r="C793" s="55"/>
      <c r="D793" s="25" t="str">
        <f ca="1">IFERROR(__xludf.DUMMYFUNCTION("""COMPUTED_VALUE"""),"Mujer")</f>
        <v>Mujer</v>
      </c>
      <c r="E793" s="25"/>
      <c r="F793" s="25"/>
      <c r="G793" s="25"/>
      <c r="H793" s="25"/>
      <c r="I793" s="25"/>
      <c r="J793" s="55"/>
      <c r="K793" s="25" t="str">
        <f ca="1">IFERROR(__xludf.DUMMYFUNCTION("""COMPUTED_VALUE"""),"Definir fecha")</f>
        <v>Definir fecha</v>
      </c>
      <c r="L793" s="62"/>
      <c r="M793" s="25"/>
      <c r="N793" s="25"/>
      <c r="O793" s="25">
        <f t="shared" si="0"/>
        <v>0</v>
      </c>
      <c r="P793" s="25" t="str">
        <f t="shared" si="2"/>
        <v/>
      </c>
      <c r="Q793" s="25" t="str">
        <f ca="1">IFERROR(__xludf.DUMMYFUNCTION("""COMPUTED_VALUE"""),"Sin defenir")</f>
        <v>Sin defenir</v>
      </c>
      <c r="R793" s="25"/>
      <c r="S793" s="55"/>
      <c r="T793" s="56"/>
      <c r="U793" s="25"/>
      <c r="V793" s="25"/>
      <c r="W793" s="25"/>
      <c r="X793" s="25"/>
      <c r="Y793" s="25"/>
      <c r="Z793" s="25"/>
    </row>
    <row r="794" spans="1:26" ht="52.5" customHeight="1" x14ac:dyDescent="0.25">
      <c r="A794" s="25" t="str">
        <f ca="1">IFERROR(__xludf.DUMMYFUNCTION("""COMPUTED_VALUE"""),"Mujer192")</f>
        <v>Mujer192</v>
      </c>
      <c r="B794" s="25"/>
      <c r="C794" s="55"/>
      <c r="D794" s="25" t="str">
        <f ca="1">IFERROR(__xludf.DUMMYFUNCTION("""COMPUTED_VALUE"""),"Mujer")</f>
        <v>Mujer</v>
      </c>
      <c r="E794" s="25"/>
      <c r="F794" s="25"/>
      <c r="G794" s="25"/>
      <c r="H794" s="25"/>
      <c r="I794" s="25"/>
      <c r="J794" s="55"/>
      <c r="K794" s="25" t="str">
        <f ca="1">IFERROR(__xludf.DUMMYFUNCTION("""COMPUTED_VALUE"""),"Definir fecha")</f>
        <v>Definir fecha</v>
      </c>
      <c r="L794" s="62"/>
      <c r="M794" s="25"/>
      <c r="N794" s="25"/>
      <c r="O794" s="25">
        <f t="shared" si="0"/>
        <v>0</v>
      </c>
      <c r="P794" s="25" t="str">
        <f t="shared" si="2"/>
        <v/>
      </c>
      <c r="Q794" s="25" t="str">
        <f ca="1">IFERROR(__xludf.DUMMYFUNCTION("""COMPUTED_VALUE"""),"Sin defenir")</f>
        <v>Sin defenir</v>
      </c>
      <c r="R794" s="25"/>
      <c r="S794" s="55"/>
      <c r="T794" s="56"/>
      <c r="U794" s="25"/>
      <c r="V794" s="25"/>
      <c r="W794" s="25"/>
      <c r="X794" s="25"/>
      <c r="Y794" s="25"/>
      <c r="Z794" s="25"/>
    </row>
    <row r="795" spans="1:26" ht="52.5" customHeight="1" x14ac:dyDescent="0.25">
      <c r="A795" s="25" t="str">
        <f ca="1">IFERROR(__xludf.DUMMYFUNCTION("""COMPUTED_VALUE"""),"Mujer193")</f>
        <v>Mujer193</v>
      </c>
      <c r="B795" s="25"/>
      <c r="C795" s="55"/>
      <c r="D795" s="25" t="str">
        <f ca="1">IFERROR(__xludf.DUMMYFUNCTION("""COMPUTED_VALUE"""),"Mujer")</f>
        <v>Mujer</v>
      </c>
      <c r="E795" s="25"/>
      <c r="F795" s="25"/>
      <c r="G795" s="25"/>
      <c r="H795" s="25"/>
      <c r="I795" s="25"/>
      <c r="J795" s="55"/>
      <c r="K795" s="25" t="str">
        <f ca="1">IFERROR(__xludf.DUMMYFUNCTION("""COMPUTED_VALUE"""),"Definir fecha")</f>
        <v>Definir fecha</v>
      </c>
      <c r="L795" s="62"/>
      <c r="M795" s="25"/>
      <c r="N795" s="25"/>
      <c r="O795" s="25">
        <f t="shared" si="0"/>
        <v>0</v>
      </c>
      <c r="P795" s="25" t="str">
        <f t="shared" si="2"/>
        <v/>
      </c>
      <c r="Q795" s="25" t="str">
        <f ca="1">IFERROR(__xludf.DUMMYFUNCTION("""COMPUTED_VALUE"""),"Sin defenir")</f>
        <v>Sin defenir</v>
      </c>
      <c r="R795" s="25"/>
      <c r="S795" s="55"/>
      <c r="T795" s="56"/>
      <c r="U795" s="25"/>
      <c r="V795" s="25"/>
      <c r="W795" s="25"/>
      <c r="X795" s="25"/>
      <c r="Y795" s="25"/>
      <c r="Z795" s="25"/>
    </row>
    <row r="796" spans="1:26" ht="52.5" customHeight="1" x14ac:dyDescent="0.25">
      <c r="A796" s="25" t="str">
        <f ca="1">IFERROR(__xludf.DUMMYFUNCTION("""COMPUTED_VALUE"""),"Mujer194")</f>
        <v>Mujer194</v>
      </c>
      <c r="B796" s="25"/>
      <c r="C796" s="55"/>
      <c r="D796" s="25" t="str">
        <f ca="1">IFERROR(__xludf.DUMMYFUNCTION("""COMPUTED_VALUE"""),"Mujer")</f>
        <v>Mujer</v>
      </c>
      <c r="E796" s="25"/>
      <c r="F796" s="25"/>
      <c r="G796" s="25"/>
      <c r="H796" s="25"/>
      <c r="I796" s="25"/>
      <c r="J796" s="55"/>
      <c r="K796" s="25" t="str">
        <f ca="1">IFERROR(__xludf.DUMMYFUNCTION("""COMPUTED_VALUE"""),"Definir fecha")</f>
        <v>Definir fecha</v>
      </c>
      <c r="L796" s="62"/>
      <c r="M796" s="25"/>
      <c r="N796" s="25"/>
      <c r="O796" s="25">
        <f t="shared" si="0"/>
        <v>0</v>
      </c>
      <c r="P796" s="25" t="str">
        <f t="shared" si="2"/>
        <v/>
      </c>
      <c r="Q796" s="25" t="str">
        <f ca="1">IFERROR(__xludf.DUMMYFUNCTION("""COMPUTED_VALUE"""),"Sin defenir")</f>
        <v>Sin defenir</v>
      </c>
      <c r="R796" s="25"/>
      <c r="S796" s="55"/>
      <c r="T796" s="56"/>
      <c r="U796" s="25"/>
      <c r="V796" s="25"/>
      <c r="W796" s="25"/>
      <c r="X796" s="25"/>
      <c r="Y796" s="25"/>
      <c r="Z796" s="25"/>
    </row>
    <row r="797" spans="1:26" ht="52.5" customHeight="1" x14ac:dyDescent="0.25">
      <c r="A797" s="25" t="str">
        <f ca="1">IFERROR(__xludf.DUMMYFUNCTION("""COMPUTED_VALUE"""),"Mujer195")</f>
        <v>Mujer195</v>
      </c>
      <c r="B797" s="25"/>
      <c r="C797" s="55"/>
      <c r="D797" s="25" t="str">
        <f ca="1">IFERROR(__xludf.DUMMYFUNCTION("""COMPUTED_VALUE"""),"Mujer")</f>
        <v>Mujer</v>
      </c>
      <c r="E797" s="25"/>
      <c r="F797" s="25"/>
      <c r="G797" s="25"/>
      <c r="H797" s="25"/>
      <c r="I797" s="25"/>
      <c r="J797" s="55"/>
      <c r="K797" s="25" t="str">
        <f ca="1">IFERROR(__xludf.DUMMYFUNCTION("""COMPUTED_VALUE"""),"Definir fecha")</f>
        <v>Definir fecha</v>
      </c>
      <c r="L797" s="62"/>
      <c r="M797" s="25"/>
      <c r="N797" s="25"/>
      <c r="O797" s="25">
        <f t="shared" si="0"/>
        <v>0</v>
      </c>
      <c r="P797" s="25" t="str">
        <f t="shared" si="2"/>
        <v/>
      </c>
      <c r="Q797" s="25" t="str">
        <f ca="1">IFERROR(__xludf.DUMMYFUNCTION("""COMPUTED_VALUE"""),"Sin defenir")</f>
        <v>Sin defenir</v>
      </c>
      <c r="R797" s="25"/>
      <c r="S797" s="55"/>
      <c r="T797" s="56"/>
      <c r="U797" s="25"/>
      <c r="V797" s="25"/>
      <c r="W797" s="25"/>
      <c r="X797" s="25"/>
      <c r="Y797" s="25"/>
      <c r="Z797" s="25"/>
    </row>
    <row r="798" spans="1:26" ht="52.5" customHeight="1" x14ac:dyDescent="0.25">
      <c r="A798" s="25" t="str">
        <f ca="1">IFERROR(__xludf.DUMMYFUNCTION("""COMPUTED_VALUE"""),"Mujer196")</f>
        <v>Mujer196</v>
      </c>
      <c r="B798" s="25"/>
      <c r="C798" s="55"/>
      <c r="D798" s="25" t="str">
        <f ca="1">IFERROR(__xludf.DUMMYFUNCTION("""COMPUTED_VALUE"""),"Mujer")</f>
        <v>Mujer</v>
      </c>
      <c r="E798" s="25"/>
      <c r="F798" s="25"/>
      <c r="G798" s="25"/>
      <c r="H798" s="25"/>
      <c r="I798" s="25"/>
      <c r="J798" s="55"/>
      <c r="K798" s="25" t="str">
        <f ca="1">IFERROR(__xludf.DUMMYFUNCTION("""COMPUTED_VALUE"""),"Definir fecha")</f>
        <v>Definir fecha</v>
      </c>
      <c r="L798" s="62"/>
      <c r="M798" s="25"/>
      <c r="N798" s="25"/>
      <c r="O798" s="25">
        <f t="shared" si="0"/>
        <v>0</v>
      </c>
      <c r="P798" s="25" t="str">
        <f t="shared" si="2"/>
        <v/>
      </c>
      <c r="Q798" s="25" t="str">
        <f ca="1">IFERROR(__xludf.DUMMYFUNCTION("""COMPUTED_VALUE"""),"Sin defenir")</f>
        <v>Sin defenir</v>
      </c>
      <c r="R798" s="25"/>
      <c r="S798" s="55"/>
      <c r="T798" s="56"/>
      <c r="U798" s="25"/>
      <c r="V798" s="25"/>
      <c r="W798" s="25"/>
      <c r="X798" s="25"/>
      <c r="Y798" s="25"/>
      <c r="Z798" s="25"/>
    </row>
    <row r="799" spans="1:26" ht="52.5" customHeight="1" x14ac:dyDescent="0.25">
      <c r="A799" s="25" t="str">
        <f ca="1">IFERROR(__xludf.DUMMYFUNCTION("""COMPUTED_VALUE"""),"Mujer197")</f>
        <v>Mujer197</v>
      </c>
      <c r="B799" s="25"/>
      <c r="C799" s="55"/>
      <c r="D799" s="25" t="str">
        <f ca="1">IFERROR(__xludf.DUMMYFUNCTION("""COMPUTED_VALUE"""),"Mujer")</f>
        <v>Mujer</v>
      </c>
      <c r="E799" s="25"/>
      <c r="F799" s="25"/>
      <c r="G799" s="25"/>
      <c r="H799" s="25"/>
      <c r="I799" s="25"/>
      <c r="J799" s="55"/>
      <c r="K799" s="25" t="str">
        <f ca="1">IFERROR(__xludf.DUMMYFUNCTION("""COMPUTED_VALUE"""),"Definir fecha")</f>
        <v>Definir fecha</v>
      </c>
      <c r="L799" s="62"/>
      <c r="M799" s="25"/>
      <c r="N799" s="25"/>
      <c r="O799" s="25">
        <f t="shared" si="0"/>
        <v>0</v>
      </c>
      <c r="P799" s="25" t="str">
        <f t="shared" si="2"/>
        <v/>
      </c>
      <c r="Q799" s="25" t="str">
        <f ca="1">IFERROR(__xludf.DUMMYFUNCTION("""COMPUTED_VALUE"""),"Sin defenir")</f>
        <v>Sin defenir</v>
      </c>
      <c r="R799" s="25"/>
      <c r="S799" s="55"/>
      <c r="T799" s="56"/>
      <c r="U799" s="25"/>
      <c r="V799" s="25"/>
      <c r="W799" s="25"/>
      <c r="X799" s="25"/>
      <c r="Y799" s="25"/>
      <c r="Z799" s="25"/>
    </row>
    <row r="800" spans="1:26" ht="52.5" customHeight="1" x14ac:dyDescent="0.25">
      <c r="A800" s="25" t="str">
        <f ca="1">IFERROR(__xludf.DUMMYFUNCTION("""COMPUTED_VALUE"""),"Mujer198")</f>
        <v>Mujer198</v>
      </c>
      <c r="B800" s="25"/>
      <c r="C800" s="55"/>
      <c r="D800" s="25" t="str">
        <f ca="1">IFERROR(__xludf.DUMMYFUNCTION("""COMPUTED_VALUE"""),"Mujer")</f>
        <v>Mujer</v>
      </c>
      <c r="E800" s="25"/>
      <c r="F800" s="25"/>
      <c r="G800" s="25"/>
      <c r="H800" s="25"/>
      <c r="I800" s="25"/>
      <c r="J800" s="55"/>
      <c r="K800" s="25" t="str">
        <f ca="1">IFERROR(__xludf.DUMMYFUNCTION("""COMPUTED_VALUE"""),"Definir fecha")</f>
        <v>Definir fecha</v>
      </c>
      <c r="L800" s="62"/>
      <c r="M800" s="25"/>
      <c r="N800" s="25"/>
      <c r="O800" s="25">
        <f t="shared" si="0"/>
        <v>0</v>
      </c>
      <c r="P800" s="25" t="str">
        <f t="shared" si="2"/>
        <v/>
      </c>
      <c r="Q800" s="25" t="str">
        <f ca="1">IFERROR(__xludf.DUMMYFUNCTION("""COMPUTED_VALUE"""),"Sin defenir")</f>
        <v>Sin defenir</v>
      </c>
      <c r="R800" s="25"/>
      <c r="S800" s="55"/>
      <c r="T800" s="56"/>
      <c r="U800" s="25"/>
      <c r="V800" s="25"/>
      <c r="W800" s="25"/>
      <c r="X800" s="25"/>
      <c r="Y800" s="25"/>
      <c r="Z800" s="25"/>
    </row>
    <row r="801" spans="1:26" ht="52.5" customHeight="1" x14ac:dyDescent="0.25">
      <c r="A801" s="25" t="str">
        <f ca="1">IFERROR(__xludf.DUMMYFUNCTION("""COMPUTED_VALUE"""),"Mujer199")</f>
        <v>Mujer199</v>
      </c>
      <c r="B801" s="25"/>
      <c r="C801" s="55"/>
      <c r="D801" s="25" t="str">
        <f ca="1">IFERROR(__xludf.DUMMYFUNCTION("""COMPUTED_VALUE"""),"Mujer")</f>
        <v>Mujer</v>
      </c>
      <c r="E801" s="25"/>
      <c r="F801" s="25"/>
      <c r="G801" s="25"/>
      <c r="H801" s="25"/>
      <c r="I801" s="25"/>
      <c r="J801" s="55"/>
      <c r="K801" s="25" t="str">
        <f ca="1">IFERROR(__xludf.DUMMYFUNCTION("""COMPUTED_VALUE"""),"Definir fecha")</f>
        <v>Definir fecha</v>
      </c>
      <c r="L801" s="62"/>
      <c r="M801" s="25"/>
      <c r="N801" s="25"/>
      <c r="O801" s="25">
        <f t="shared" si="0"/>
        <v>0</v>
      </c>
      <c r="P801" s="25" t="str">
        <f t="shared" si="2"/>
        <v/>
      </c>
      <c r="Q801" s="25" t="str">
        <f ca="1">IFERROR(__xludf.DUMMYFUNCTION("""COMPUTED_VALUE"""),"Sin defenir")</f>
        <v>Sin defenir</v>
      </c>
      <c r="R801" s="25"/>
      <c r="S801" s="55"/>
      <c r="T801" s="56"/>
      <c r="U801" s="25"/>
      <c r="V801" s="25"/>
      <c r="W801" s="25"/>
      <c r="X801" s="25"/>
      <c r="Y801" s="25"/>
      <c r="Z801" s="25"/>
    </row>
    <row r="802" spans="1:26" ht="52.5" customHeight="1" x14ac:dyDescent="0.25">
      <c r="A802" s="25" t="str">
        <f ca="1">IFERROR(__xludf.DUMMYFUNCTION("""COMPUTED_VALUE"""),"Mujer200")</f>
        <v>Mujer200</v>
      </c>
      <c r="B802" s="25"/>
      <c r="C802" s="55"/>
      <c r="D802" s="25" t="str">
        <f ca="1">IFERROR(__xludf.DUMMYFUNCTION("""COMPUTED_VALUE"""),"Mujer")</f>
        <v>Mujer</v>
      </c>
      <c r="E802" s="25"/>
      <c r="F802" s="25"/>
      <c r="G802" s="25"/>
      <c r="H802" s="25"/>
      <c r="I802" s="25"/>
      <c r="J802" s="55"/>
      <c r="K802" s="25" t="str">
        <f ca="1">IFERROR(__xludf.DUMMYFUNCTION("""COMPUTED_VALUE"""),"Definir fecha")</f>
        <v>Definir fecha</v>
      </c>
      <c r="L802" s="62"/>
      <c r="M802" s="25"/>
      <c r="N802" s="25"/>
      <c r="O802" s="25">
        <f t="shared" si="0"/>
        <v>0</v>
      </c>
      <c r="P802" s="25" t="str">
        <f t="shared" si="2"/>
        <v/>
      </c>
      <c r="Q802" s="25" t="str">
        <f ca="1">IFERROR(__xludf.DUMMYFUNCTION("""COMPUTED_VALUE"""),"Sin defenir")</f>
        <v>Sin defenir</v>
      </c>
      <c r="R802" s="25"/>
      <c r="S802" s="55"/>
      <c r="T802" s="56"/>
      <c r="U802" s="25"/>
      <c r="V802" s="25"/>
      <c r="W802" s="25"/>
      <c r="X802" s="25"/>
      <c r="Y802" s="25"/>
      <c r="Z802" s="25"/>
    </row>
    <row r="803" spans="1:26" ht="52.5" customHeight="1" x14ac:dyDescent="0.25">
      <c r="A803" s="25" t="str">
        <f ca="1">IFERROR(__xludf.DUMMYFUNCTION("""COMPUTED_VALUE"""),"Mujer201")</f>
        <v>Mujer201</v>
      </c>
      <c r="B803" s="25"/>
      <c r="C803" s="55"/>
      <c r="D803" s="25" t="str">
        <f ca="1">IFERROR(__xludf.DUMMYFUNCTION("""COMPUTED_VALUE"""),"Mujer")</f>
        <v>Mujer</v>
      </c>
      <c r="E803" s="25"/>
      <c r="F803" s="25"/>
      <c r="G803" s="25"/>
      <c r="H803" s="25"/>
      <c r="I803" s="25"/>
      <c r="J803" s="55"/>
      <c r="K803" s="25" t="str">
        <f ca="1">IFERROR(__xludf.DUMMYFUNCTION("""COMPUTED_VALUE"""),"Definir fecha")</f>
        <v>Definir fecha</v>
      </c>
      <c r="L803" s="62"/>
      <c r="M803" s="25"/>
      <c r="N803" s="25"/>
      <c r="O803" s="25">
        <f t="shared" si="0"/>
        <v>0</v>
      </c>
      <c r="P803" s="25" t="str">
        <f t="shared" si="2"/>
        <v/>
      </c>
      <c r="Q803" s="25" t="str">
        <f ca="1">IFERROR(__xludf.DUMMYFUNCTION("""COMPUTED_VALUE"""),"Sin defenir")</f>
        <v>Sin defenir</v>
      </c>
      <c r="R803" s="25"/>
      <c r="S803" s="55"/>
      <c r="T803" s="56"/>
      <c r="U803" s="25"/>
      <c r="V803" s="25"/>
      <c r="W803" s="25"/>
      <c r="X803" s="25"/>
      <c r="Y803" s="25"/>
      <c r="Z803" s="25"/>
    </row>
    <row r="804" spans="1:26" ht="52.5" customHeight="1" x14ac:dyDescent="0.25">
      <c r="A804" s="25" t="str">
        <f ca="1">IFERROR(__xludf.DUMMYFUNCTION("""COMPUTED_VALUE"""),"Mujer202")</f>
        <v>Mujer202</v>
      </c>
      <c r="B804" s="25"/>
      <c r="C804" s="55"/>
      <c r="D804" s="25" t="str">
        <f ca="1">IFERROR(__xludf.DUMMYFUNCTION("""COMPUTED_VALUE"""),"Mujer")</f>
        <v>Mujer</v>
      </c>
      <c r="E804" s="25"/>
      <c r="F804" s="25"/>
      <c r="G804" s="25"/>
      <c r="H804" s="25"/>
      <c r="I804" s="25"/>
      <c r="J804" s="55"/>
      <c r="K804" s="25" t="str">
        <f ca="1">IFERROR(__xludf.DUMMYFUNCTION("""COMPUTED_VALUE"""),"Definir fecha")</f>
        <v>Definir fecha</v>
      </c>
      <c r="L804" s="62"/>
      <c r="M804" s="25"/>
      <c r="N804" s="25"/>
      <c r="O804" s="25">
        <f t="shared" si="0"/>
        <v>0</v>
      </c>
      <c r="P804" s="25" t="str">
        <f t="shared" si="2"/>
        <v/>
      </c>
      <c r="Q804" s="25" t="str">
        <f ca="1">IFERROR(__xludf.DUMMYFUNCTION("""COMPUTED_VALUE"""),"Sin defenir")</f>
        <v>Sin defenir</v>
      </c>
      <c r="R804" s="25"/>
      <c r="S804" s="55"/>
      <c r="T804" s="56"/>
      <c r="U804" s="25"/>
      <c r="V804" s="25"/>
      <c r="W804" s="25"/>
      <c r="X804" s="25"/>
      <c r="Y804" s="25"/>
      <c r="Z804" s="25"/>
    </row>
    <row r="805" spans="1:26" ht="52.5" customHeight="1" x14ac:dyDescent="0.25">
      <c r="A805" s="25" t="str">
        <f ca="1">IFERROR(__xludf.DUMMYFUNCTION("""COMPUTED_VALUE"""),"Mujer203")</f>
        <v>Mujer203</v>
      </c>
      <c r="B805" s="25"/>
      <c r="C805" s="55"/>
      <c r="D805" s="25" t="str">
        <f ca="1">IFERROR(__xludf.DUMMYFUNCTION("""COMPUTED_VALUE"""),"Mujer")</f>
        <v>Mujer</v>
      </c>
      <c r="E805" s="25"/>
      <c r="F805" s="25"/>
      <c r="G805" s="25"/>
      <c r="H805" s="25"/>
      <c r="I805" s="25"/>
      <c r="J805" s="55"/>
      <c r="K805" s="25" t="str">
        <f ca="1">IFERROR(__xludf.DUMMYFUNCTION("""COMPUTED_VALUE"""),"Definir fecha")</f>
        <v>Definir fecha</v>
      </c>
      <c r="L805" s="62"/>
      <c r="M805" s="25"/>
      <c r="N805" s="25"/>
      <c r="O805" s="25">
        <f t="shared" si="0"/>
        <v>0</v>
      </c>
      <c r="P805" s="25" t="str">
        <f t="shared" si="2"/>
        <v/>
      </c>
      <c r="Q805" s="25" t="str">
        <f ca="1">IFERROR(__xludf.DUMMYFUNCTION("""COMPUTED_VALUE"""),"Sin defenir")</f>
        <v>Sin defenir</v>
      </c>
      <c r="R805" s="25"/>
      <c r="S805" s="55"/>
      <c r="T805" s="56"/>
      <c r="U805" s="25"/>
      <c r="V805" s="25"/>
      <c r="W805" s="25"/>
      <c r="X805" s="25"/>
      <c r="Y805" s="25"/>
      <c r="Z805" s="25"/>
    </row>
    <row r="806" spans="1:26" ht="52.5" customHeight="1" x14ac:dyDescent="0.25">
      <c r="A806" s="25" t="str">
        <f ca="1">IFERROR(__xludf.DUMMYFUNCTION("""COMPUTED_VALUE"""),"Mujer204")</f>
        <v>Mujer204</v>
      </c>
      <c r="B806" s="25"/>
      <c r="C806" s="55"/>
      <c r="D806" s="25" t="str">
        <f ca="1">IFERROR(__xludf.DUMMYFUNCTION("""COMPUTED_VALUE"""),"Mujer")</f>
        <v>Mujer</v>
      </c>
      <c r="E806" s="25"/>
      <c r="F806" s="25"/>
      <c r="G806" s="25"/>
      <c r="H806" s="25"/>
      <c r="I806" s="25"/>
      <c r="J806" s="55"/>
      <c r="K806" s="25" t="str">
        <f ca="1">IFERROR(__xludf.DUMMYFUNCTION("""COMPUTED_VALUE"""),"Definir fecha")</f>
        <v>Definir fecha</v>
      </c>
      <c r="L806" s="62"/>
      <c r="M806" s="25"/>
      <c r="N806" s="25"/>
      <c r="O806" s="25">
        <f t="shared" si="0"/>
        <v>0</v>
      </c>
      <c r="P806" s="25" t="str">
        <f t="shared" si="2"/>
        <v/>
      </c>
      <c r="Q806" s="25" t="str">
        <f ca="1">IFERROR(__xludf.DUMMYFUNCTION("""COMPUTED_VALUE"""),"Sin defenir")</f>
        <v>Sin defenir</v>
      </c>
      <c r="R806" s="25"/>
      <c r="S806" s="55"/>
      <c r="T806" s="56"/>
      <c r="U806" s="25"/>
      <c r="V806" s="25"/>
      <c r="W806" s="25"/>
      <c r="X806" s="25"/>
      <c r="Y806" s="25"/>
      <c r="Z806" s="25"/>
    </row>
    <row r="807" spans="1:26" ht="52.5" customHeight="1" x14ac:dyDescent="0.25">
      <c r="A807" s="25" t="str">
        <f ca="1">IFERROR(__xludf.DUMMYFUNCTION("""COMPUTED_VALUE"""),"Mujer205")</f>
        <v>Mujer205</v>
      </c>
      <c r="B807" s="25"/>
      <c r="C807" s="55"/>
      <c r="D807" s="25" t="str">
        <f ca="1">IFERROR(__xludf.DUMMYFUNCTION("""COMPUTED_VALUE"""),"Mujer")</f>
        <v>Mujer</v>
      </c>
      <c r="E807" s="25"/>
      <c r="F807" s="25"/>
      <c r="G807" s="25"/>
      <c r="H807" s="25"/>
      <c r="I807" s="25"/>
      <c r="J807" s="55"/>
      <c r="K807" s="25" t="str">
        <f ca="1">IFERROR(__xludf.DUMMYFUNCTION("""COMPUTED_VALUE"""),"Definir fecha")</f>
        <v>Definir fecha</v>
      </c>
      <c r="L807" s="62"/>
      <c r="M807" s="25"/>
      <c r="N807" s="25"/>
      <c r="O807" s="25">
        <f t="shared" si="0"/>
        <v>0</v>
      </c>
      <c r="P807" s="25" t="str">
        <f t="shared" si="2"/>
        <v/>
      </c>
      <c r="Q807" s="25" t="str">
        <f ca="1">IFERROR(__xludf.DUMMYFUNCTION("""COMPUTED_VALUE"""),"Sin defenir")</f>
        <v>Sin defenir</v>
      </c>
      <c r="R807" s="25"/>
      <c r="S807" s="55"/>
      <c r="T807" s="56"/>
      <c r="U807" s="25"/>
      <c r="V807" s="25"/>
      <c r="W807" s="25"/>
      <c r="X807" s="25"/>
      <c r="Y807" s="25"/>
      <c r="Z807" s="25"/>
    </row>
    <row r="808" spans="1:26" ht="52.5" customHeight="1" x14ac:dyDescent="0.25">
      <c r="A808" s="25" t="str">
        <f ca="1">IFERROR(__xludf.DUMMYFUNCTION("""COMPUTED_VALUE"""),"Mujer206")</f>
        <v>Mujer206</v>
      </c>
      <c r="B808" s="25"/>
      <c r="C808" s="55"/>
      <c r="D808" s="25" t="str">
        <f ca="1">IFERROR(__xludf.DUMMYFUNCTION("""COMPUTED_VALUE"""),"Mujer")</f>
        <v>Mujer</v>
      </c>
      <c r="E808" s="25"/>
      <c r="F808" s="25"/>
      <c r="G808" s="25"/>
      <c r="H808" s="25"/>
      <c r="I808" s="25"/>
      <c r="J808" s="55"/>
      <c r="K808" s="25" t="str">
        <f ca="1">IFERROR(__xludf.DUMMYFUNCTION("""COMPUTED_VALUE"""),"Definir fecha")</f>
        <v>Definir fecha</v>
      </c>
      <c r="L808" s="62"/>
      <c r="M808" s="25"/>
      <c r="N808" s="25"/>
      <c r="O808" s="25">
        <f t="shared" si="0"/>
        <v>0</v>
      </c>
      <c r="P808" s="25" t="str">
        <f t="shared" si="2"/>
        <v/>
      </c>
      <c r="Q808" s="25" t="str">
        <f ca="1">IFERROR(__xludf.DUMMYFUNCTION("""COMPUTED_VALUE"""),"Sin defenir")</f>
        <v>Sin defenir</v>
      </c>
      <c r="R808" s="25"/>
      <c r="S808" s="55"/>
      <c r="T808" s="56"/>
      <c r="U808" s="25"/>
      <c r="V808" s="25"/>
      <c r="W808" s="25"/>
      <c r="X808" s="25"/>
      <c r="Y808" s="25"/>
      <c r="Z808" s="25"/>
    </row>
    <row r="809" spans="1:26" ht="52.5" customHeight="1" x14ac:dyDescent="0.25">
      <c r="A809" s="25" t="str">
        <f ca="1">IFERROR(__xludf.DUMMYFUNCTION("""COMPUTED_VALUE"""),"Mujer207")</f>
        <v>Mujer207</v>
      </c>
      <c r="B809" s="25"/>
      <c r="C809" s="55"/>
      <c r="D809" s="25" t="str">
        <f ca="1">IFERROR(__xludf.DUMMYFUNCTION("""COMPUTED_VALUE"""),"Mujer")</f>
        <v>Mujer</v>
      </c>
      <c r="E809" s="25"/>
      <c r="F809" s="25"/>
      <c r="G809" s="25"/>
      <c r="H809" s="25"/>
      <c r="I809" s="25"/>
      <c r="J809" s="55"/>
      <c r="K809" s="25" t="str">
        <f ca="1">IFERROR(__xludf.DUMMYFUNCTION("""COMPUTED_VALUE"""),"Definir fecha")</f>
        <v>Definir fecha</v>
      </c>
      <c r="L809" s="62"/>
      <c r="M809" s="25"/>
      <c r="N809" s="25"/>
      <c r="O809" s="25">
        <f t="shared" si="0"/>
        <v>0</v>
      </c>
      <c r="P809" s="25" t="str">
        <f t="shared" si="2"/>
        <v/>
      </c>
      <c r="Q809" s="25" t="str">
        <f ca="1">IFERROR(__xludf.DUMMYFUNCTION("""COMPUTED_VALUE"""),"Sin defenir")</f>
        <v>Sin defenir</v>
      </c>
      <c r="R809" s="25"/>
      <c r="S809" s="55"/>
      <c r="T809" s="56"/>
      <c r="U809" s="25"/>
      <c r="V809" s="25"/>
      <c r="W809" s="25"/>
      <c r="X809" s="25"/>
      <c r="Y809" s="25"/>
      <c r="Z809" s="25"/>
    </row>
    <row r="810" spans="1:26" ht="52.5" customHeight="1" x14ac:dyDescent="0.25">
      <c r="A810" s="25" t="str">
        <f ca="1">IFERROR(__xludf.DUMMYFUNCTION("""COMPUTED_VALUE"""),"Mujer208")</f>
        <v>Mujer208</v>
      </c>
      <c r="B810" s="25"/>
      <c r="C810" s="55"/>
      <c r="D810" s="25" t="str">
        <f ca="1">IFERROR(__xludf.DUMMYFUNCTION("""COMPUTED_VALUE"""),"Mujer")</f>
        <v>Mujer</v>
      </c>
      <c r="E810" s="25"/>
      <c r="F810" s="25"/>
      <c r="G810" s="25"/>
      <c r="H810" s="25"/>
      <c r="I810" s="25"/>
      <c r="J810" s="55"/>
      <c r="K810" s="25" t="str">
        <f ca="1">IFERROR(__xludf.DUMMYFUNCTION("""COMPUTED_VALUE"""),"Definir fecha")</f>
        <v>Definir fecha</v>
      </c>
      <c r="L810" s="62"/>
      <c r="M810" s="25"/>
      <c r="N810" s="25"/>
      <c r="O810" s="25">
        <f t="shared" si="0"/>
        <v>0</v>
      </c>
      <c r="P810" s="25" t="str">
        <f t="shared" si="2"/>
        <v/>
      </c>
      <c r="Q810" s="25" t="str">
        <f ca="1">IFERROR(__xludf.DUMMYFUNCTION("""COMPUTED_VALUE"""),"Sin defenir")</f>
        <v>Sin defenir</v>
      </c>
      <c r="R810" s="25"/>
      <c r="S810" s="55"/>
      <c r="T810" s="56"/>
      <c r="U810" s="25"/>
      <c r="V810" s="25"/>
      <c r="W810" s="25"/>
      <c r="X810" s="25"/>
      <c r="Y810" s="25"/>
      <c r="Z810" s="25"/>
    </row>
    <row r="811" spans="1:26" ht="52.5" customHeight="1" x14ac:dyDescent="0.25">
      <c r="A811" s="25" t="str">
        <f ca="1">IFERROR(__xludf.DUMMYFUNCTION("""COMPUTED_VALUE"""),"Mujer209")</f>
        <v>Mujer209</v>
      </c>
      <c r="B811" s="25"/>
      <c r="C811" s="55"/>
      <c r="D811" s="25" t="str">
        <f ca="1">IFERROR(__xludf.DUMMYFUNCTION("""COMPUTED_VALUE"""),"Mujer")</f>
        <v>Mujer</v>
      </c>
      <c r="E811" s="25"/>
      <c r="F811" s="25"/>
      <c r="G811" s="25"/>
      <c r="H811" s="25"/>
      <c r="I811" s="25"/>
      <c r="J811" s="55"/>
      <c r="K811" s="25" t="str">
        <f ca="1">IFERROR(__xludf.DUMMYFUNCTION("""COMPUTED_VALUE"""),"Definir fecha")</f>
        <v>Definir fecha</v>
      </c>
      <c r="L811" s="62"/>
      <c r="M811" s="25"/>
      <c r="N811" s="25"/>
      <c r="O811" s="25">
        <f t="shared" si="0"/>
        <v>0</v>
      </c>
      <c r="P811" s="25" t="str">
        <f t="shared" si="2"/>
        <v/>
      </c>
      <c r="Q811" s="25" t="str">
        <f ca="1">IFERROR(__xludf.DUMMYFUNCTION("""COMPUTED_VALUE"""),"Sin defenir")</f>
        <v>Sin defenir</v>
      </c>
      <c r="R811" s="25"/>
      <c r="S811" s="55"/>
      <c r="T811" s="56"/>
      <c r="U811" s="25"/>
      <c r="V811" s="25"/>
      <c r="W811" s="25"/>
      <c r="X811" s="25"/>
      <c r="Y811" s="25"/>
      <c r="Z811" s="25"/>
    </row>
    <row r="812" spans="1:26" ht="52.5" customHeight="1" x14ac:dyDescent="0.25">
      <c r="A812" s="25" t="str">
        <f ca="1">IFERROR(__xludf.DUMMYFUNCTION("""COMPUTED_VALUE"""),"Mujer210")</f>
        <v>Mujer210</v>
      </c>
      <c r="B812" s="25"/>
      <c r="C812" s="55"/>
      <c r="D812" s="25" t="str">
        <f ca="1">IFERROR(__xludf.DUMMYFUNCTION("""COMPUTED_VALUE"""),"Mujer")</f>
        <v>Mujer</v>
      </c>
      <c r="E812" s="25"/>
      <c r="F812" s="25"/>
      <c r="G812" s="25"/>
      <c r="H812" s="25"/>
      <c r="I812" s="25"/>
      <c r="J812" s="55"/>
      <c r="K812" s="25" t="str">
        <f ca="1">IFERROR(__xludf.DUMMYFUNCTION("""COMPUTED_VALUE"""),"Definir fecha")</f>
        <v>Definir fecha</v>
      </c>
      <c r="L812" s="62"/>
      <c r="M812" s="25"/>
      <c r="N812" s="25"/>
      <c r="O812" s="25">
        <f t="shared" si="0"/>
        <v>0</v>
      </c>
      <c r="P812" s="25" t="str">
        <f t="shared" si="2"/>
        <v/>
      </c>
      <c r="Q812" s="25" t="str">
        <f ca="1">IFERROR(__xludf.DUMMYFUNCTION("""COMPUTED_VALUE"""),"Sin defenir")</f>
        <v>Sin defenir</v>
      </c>
      <c r="R812" s="25"/>
      <c r="S812" s="55"/>
      <c r="T812" s="56"/>
      <c r="U812" s="25"/>
      <c r="V812" s="25"/>
      <c r="W812" s="25"/>
      <c r="X812" s="25"/>
      <c r="Y812" s="25"/>
      <c r="Z812" s="25"/>
    </row>
    <row r="813" spans="1:26" ht="52.5" customHeight="1" x14ac:dyDescent="0.25">
      <c r="A813" s="25" t="str">
        <f ca="1">IFERROR(__xludf.DUMMYFUNCTION("""COMPUTED_VALUE"""),"Mujer211")</f>
        <v>Mujer211</v>
      </c>
      <c r="B813" s="25"/>
      <c r="C813" s="55"/>
      <c r="D813" s="25" t="str">
        <f ca="1">IFERROR(__xludf.DUMMYFUNCTION("""COMPUTED_VALUE"""),"Mujer")</f>
        <v>Mujer</v>
      </c>
      <c r="E813" s="25"/>
      <c r="F813" s="25"/>
      <c r="G813" s="25"/>
      <c r="H813" s="25"/>
      <c r="I813" s="25"/>
      <c r="J813" s="55"/>
      <c r="K813" s="25" t="str">
        <f ca="1">IFERROR(__xludf.DUMMYFUNCTION("""COMPUTED_VALUE"""),"Definir fecha")</f>
        <v>Definir fecha</v>
      </c>
      <c r="L813" s="62"/>
      <c r="M813" s="25"/>
      <c r="N813" s="25"/>
      <c r="O813" s="25">
        <f t="shared" si="0"/>
        <v>0</v>
      </c>
      <c r="P813" s="25" t="str">
        <f t="shared" si="2"/>
        <v/>
      </c>
      <c r="Q813" s="25" t="str">
        <f ca="1">IFERROR(__xludf.DUMMYFUNCTION("""COMPUTED_VALUE"""),"Sin defenir")</f>
        <v>Sin defenir</v>
      </c>
      <c r="R813" s="25"/>
      <c r="S813" s="55"/>
      <c r="T813" s="56"/>
      <c r="U813" s="25"/>
      <c r="V813" s="25"/>
      <c r="W813" s="25"/>
      <c r="X813" s="25"/>
      <c r="Y813" s="25"/>
      <c r="Z813" s="25"/>
    </row>
    <row r="814" spans="1:26" ht="52.5" customHeight="1" x14ac:dyDescent="0.25">
      <c r="A814" s="25" t="str">
        <f ca="1">IFERROR(__xludf.DUMMYFUNCTION("""COMPUTED_VALUE"""),"Mujer212")</f>
        <v>Mujer212</v>
      </c>
      <c r="B814" s="25"/>
      <c r="C814" s="55"/>
      <c r="D814" s="25" t="str">
        <f ca="1">IFERROR(__xludf.DUMMYFUNCTION("""COMPUTED_VALUE"""),"Mujer")</f>
        <v>Mujer</v>
      </c>
      <c r="E814" s="25"/>
      <c r="F814" s="25"/>
      <c r="G814" s="25"/>
      <c r="H814" s="25"/>
      <c r="I814" s="25"/>
      <c r="J814" s="55"/>
      <c r="K814" s="25" t="str">
        <f ca="1">IFERROR(__xludf.DUMMYFUNCTION("""COMPUTED_VALUE"""),"Definir fecha")</f>
        <v>Definir fecha</v>
      </c>
      <c r="L814" s="62"/>
      <c r="M814" s="25"/>
      <c r="N814" s="25"/>
      <c r="O814" s="25">
        <f t="shared" si="0"/>
        <v>0</v>
      </c>
      <c r="P814" s="25" t="str">
        <f t="shared" si="2"/>
        <v/>
      </c>
      <c r="Q814" s="25" t="str">
        <f ca="1">IFERROR(__xludf.DUMMYFUNCTION("""COMPUTED_VALUE"""),"Sin defenir")</f>
        <v>Sin defenir</v>
      </c>
      <c r="R814" s="25"/>
      <c r="S814" s="55"/>
      <c r="T814" s="56"/>
      <c r="U814" s="25"/>
      <c r="V814" s="25"/>
      <c r="W814" s="25"/>
      <c r="X814" s="25"/>
      <c r="Y814" s="25"/>
      <c r="Z814" s="25"/>
    </row>
    <row r="815" spans="1:26" ht="52.5" customHeight="1" x14ac:dyDescent="0.25">
      <c r="A815" s="25" t="str">
        <f ca="1">IFERROR(__xludf.DUMMYFUNCTION("""COMPUTED_VALUE"""),"Mujer213")</f>
        <v>Mujer213</v>
      </c>
      <c r="B815" s="25"/>
      <c r="C815" s="55"/>
      <c r="D815" s="25" t="str">
        <f ca="1">IFERROR(__xludf.DUMMYFUNCTION("""COMPUTED_VALUE"""),"Mujer")</f>
        <v>Mujer</v>
      </c>
      <c r="E815" s="25"/>
      <c r="F815" s="25"/>
      <c r="G815" s="25"/>
      <c r="H815" s="25"/>
      <c r="I815" s="25"/>
      <c r="J815" s="55"/>
      <c r="K815" s="25" t="str">
        <f ca="1">IFERROR(__xludf.DUMMYFUNCTION("""COMPUTED_VALUE"""),"Definir fecha")</f>
        <v>Definir fecha</v>
      </c>
      <c r="L815" s="62"/>
      <c r="M815" s="25"/>
      <c r="N815" s="25"/>
      <c r="O815" s="25">
        <f t="shared" si="0"/>
        <v>0</v>
      </c>
      <c r="P815" s="25" t="str">
        <f t="shared" si="2"/>
        <v/>
      </c>
      <c r="Q815" s="25" t="str">
        <f ca="1">IFERROR(__xludf.DUMMYFUNCTION("""COMPUTED_VALUE"""),"Sin defenir")</f>
        <v>Sin defenir</v>
      </c>
      <c r="R815" s="25"/>
      <c r="S815" s="55"/>
      <c r="T815" s="56"/>
      <c r="U815" s="25"/>
      <c r="V815" s="25"/>
      <c r="W815" s="25"/>
      <c r="X815" s="25"/>
      <c r="Y815" s="25"/>
      <c r="Z815" s="25"/>
    </row>
    <row r="816" spans="1:26" ht="52.5" customHeight="1" x14ac:dyDescent="0.25">
      <c r="A816" s="25" t="str">
        <f ca="1">IFERROR(__xludf.DUMMYFUNCTION("""COMPUTED_VALUE"""),"Mujer214")</f>
        <v>Mujer214</v>
      </c>
      <c r="B816" s="25"/>
      <c r="C816" s="55"/>
      <c r="D816" s="25" t="str">
        <f ca="1">IFERROR(__xludf.DUMMYFUNCTION("""COMPUTED_VALUE"""),"Mujer")</f>
        <v>Mujer</v>
      </c>
      <c r="E816" s="25"/>
      <c r="F816" s="25"/>
      <c r="G816" s="25"/>
      <c r="H816" s="25"/>
      <c r="I816" s="25"/>
      <c r="J816" s="55"/>
      <c r="K816" s="25" t="str">
        <f ca="1">IFERROR(__xludf.DUMMYFUNCTION("""COMPUTED_VALUE"""),"Definir fecha")</f>
        <v>Definir fecha</v>
      </c>
      <c r="L816" s="62"/>
      <c r="M816" s="25"/>
      <c r="N816" s="25"/>
      <c r="O816" s="25">
        <f t="shared" si="0"/>
        <v>0</v>
      </c>
      <c r="P816" s="25" t="str">
        <f t="shared" si="2"/>
        <v/>
      </c>
      <c r="Q816" s="25" t="str">
        <f ca="1">IFERROR(__xludf.DUMMYFUNCTION("""COMPUTED_VALUE"""),"Sin defenir")</f>
        <v>Sin defenir</v>
      </c>
      <c r="R816" s="25"/>
      <c r="S816" s="55"/>
      <c r="T816" s="56"/>
      <c r="U816" s="25"/>
      <c r="V816" s="25"/>
      <c r="W816" s="25"/>
      <c r="X816" s="25"/>
      <c r="Y816" s="25"/>
      <c r="Z816" s="25"/>
    </row>
    <row r="817" spans="1:26" ht="52.5" customHeight="1" x14ac:dyDescent="0.25">
      <c r="A817" s="25" t="str">
        <f ca="1">IFERROR(__xludf.DUMMYFUNCTION("""COMPUTED_VALUE"""),"Mujer215")</f>
        <v>Mujer215</v>
      </c>
      <c r="B817" s="25"/>
      <c r="C817" s="55"/>
      <c r="D817" s="25" t="str">
        <f ca="1">IFERROR(__xludf.DUMMYFUNCTION("""COMPUTED_VALUE"""),"Mujer")</f>
        <v>Mujer</v>
      </c>
      <c r="E817" s="25"/>
      <c r="F817" s="25"/>
      <c r="G817" s="25"/>
      <c r="H817" s="25"/>
      <c r="I817" s="25"/>
      <c r="J817" s="55"/>
      <c r="K817" s="25" t="str">
        <f ca="1">IFERROR(__xludf.DUMMYFUNCTION("""COMPUTED_VALUE"""),"Definir fecha")</f>
        <v>Definir fecha</v>
      </c>
      <c r="L817" s="62"/>
      <c r="M817" s="25"/>
      <c r="N817" s="25"/>
      <c r="O817" s="25">
        <f t="shared" si="0"/>
        <v>0</v>
      </c>
      <c r="P817" s="25" t="str">
        <f t="shared" si="2"/>
        <v/>
      </c>
      <c r="Q817" s="25" t="str">
        <f ca="1">IFERROR(__xludf.DUMMYFUNCTION("""COMPUTED_VALUE"""),"Sin defenir")</f>
        <v>Sin defenir</v>
      </c>
      <c r="R817" s="25"/>
      <c r="S817" s="55"/>
      <c r="T817" s="56"/>
      <c r="U817" s="25"/>
      <c r="V817" s="25"/>
      <c r="W817" s="25"/>
      <c r="X817" s="25"/>
      <c r="Y817" s="25"/>
      <c r="Z817" s="25"/>
    </row>
    <row r="818" spans="1:26" ht="52.5" customHeight="1" x14ac:dyDescent="0.25">
      <c r="A818" s="25" t="str">
        <f ca="1">IFERROR(__xludf.DUMMYFUNCTION("""COMPUTED_VALUE"""),"Mujer216")</f>
        <v>Mujer216</v>
      </c>
      <c r="B818" s="25"/>
      <c r="C818" s="55"/>
      <c r="D818" s="25" t="str">
        <f ca="1">IFERROR(__xludf.DUMMYFUNCTION("""COMPUTED_VALUE"""),"Mujer")</f>
        <v>Mujer</v>
      </c>
      <c r="E818" s="25"/>
      <c r="F818" s="25"/>
      <c r="G818" s="25"/>
      <c r="H818" s="25"/>
      <c r="I818" s="25"/>
      <c r="J818" s="55"/>
      <c r="K818" s="25" t="str">
        <f ca="1">IFERROR(__xludf.DUMMYFUNCTION("""COMPUTED_VALUE"""),"Definir fecha")</f>
        <v>Definir fecha</v>
      </c>
      <c r="L818" s="62"/>
      <c r="M818" s="25"/>
      <c r="N818" s="25"/>
      <c r="O818" s="25">
        <f t="shared" si="0"/>
        <v>0</v>
      </c>
      <c r="P818" s="25" t="str">
        <f t="shared" si="2"/>
        <v/>
      </c>
      <c r="Q818" s="25" t="str">
        <f ca="1">IFERROR(__xludf.DUMMYFUNCTION("""COMPUTED_VALUE"""),"Sin defenir")</f>
        <v>Sin defenir</v>
      </c>
      <c r="R818" s="25"/>
      <c r="S818" s="55"/>
      <c r="T818" s="56"/>
      <c r="U818" s="25"/>
      <c r="V818" s="25"/>
      <c r="W818" s="25"/>
      <c r="X818" s="25"/>
      <c r="Y818" s="25"/>
      <c r="Z818" s="25"/>
    </row>
    <row r="819" spans="1:26" ht="52.5" customHeight="1" x14ac:dyDescent="0.25">
      <c r="A819" s="25" t="str">
        <f ca="1">IFERROR(__xludf.DUMMYFUNCTION("""COMPUTED_VALUE"""),"Mujer217")</f>
        <v>Mujer217</v>
      </c>
      <c r="B819" s="25"/>
      <c r="C819" s="55"/>
      <c r="D819" s="25" t="str">
        <f ca="1">IFERROR(__xludf.DUMMYFUNCTION("""COMPUTED_VALUE"""),"Mujer")</f>
        <v>Mujer</v>
      </c>
      <c r="E819" s="25"/>
      <c r="F819" s="25"/>
      <c r="G819" s="25"/>
      <c r="H819" s="25"/>
      <c r="I819" s="25"/>
      <c r="J819" s="55"/>
      <c r="K819" s="25" t="str">
        <f ca="1">IFERROR(__xludf.DUMMYFUNCTION("""COMPUTED_VALUE"""),"Definir fecha")</f>
        <v>Definir fecha</v>
      </c>
      <c r="L819" s="62"/>
      <c r="M819" s="25"/>
      <c r="N819" s="25"/>
      <c r="O819" s="25">
        <f t="shared" si="0"/>
        <v>0</v>
      </c>
      <c r="P819" s="25" t="str">
        <f t="shared" si="2"/>
        <v/>
      </c>
      <c r="Q819" s="25" t="str">
        <f ca="1">IFERROR(__xludf.DUMMYFUNCTION("""COMPUTED_VALUE"""),"Sin defenir")</f>
        <v>Sin defenir</v>
      </c>
      <c r="R819" s="25"/>
      <c r="S819" s="55"/>
      <c r="T819" s="56"/>
      <c r="U819" s="25"/>
      <c r="V819" s="25"/>
      <c r="W819" s="25"/>
      <c r="X819" s="25"/>
      <c r="Y819" s="25"/>
      <c r="Z819" s="25"/>
    </row>
    <row r="820" spans="1:26" ht="52.5" customHeight="1" x14ac:dyDescent="0.25">
      <c r="A820" s="25" t="str">
        <f ca="1">IFERROR(__xludf.DUMMYFUNCTION("""COMPUTED_VALUE"""),"Mujer218")</f>
        <v>Mujer218</v>
      </c>
      <c r="B820" s="25"/>
      <c r="C820" s="55"/>
      <c r="D820" s="25" t="str">
        <f ca="1">IFERROR(__xludf.DUMMYFUNCTION("""COMPUTED_VALUE"""),"Mujer")</f>
        <v>Mujer</v>
      </c>
      <c r="E820" s="25"/>
      <c r="F820" s="25"/>
      <c r="G820" s="25"/>
      <c r="H820" s="25"/>
      <c r="I820" s="25"/>
      <c r="J820" s="55"/>
      <c r="K820" s="25" t="str">
        <f ca="1">IFERROR(__xludf.DUMMYFUNCTION("""COMPUTED_VALUE"""),"Definir fecha")</f>
        <v>Definir fecha</v>
      </c>
      <c r="L820" s="62"/>
      <c r="M820" s="25"/>
      <c r="N820" s="25"/>
      <c r="O820" s="25">
        <f t="shared" si="0"/>
        <v>0</v>
      </c>
      <c r="P820" s="25" t="str">
        <f t="shared" si="2"/>
        <v/>
      </c>
      <c r="Q820" s="25" t="str">
        <f ca="1">IFERROR(__xludf.DUMMYFUNCTION("""COMPUTED_VALUE"""),"Sin defenir")</f>
        <v>Sin defenir</v>
      </c>
      <c r="R820" s="25"/>
      <c r="S820" s="55"/>
      <c r="T820" s="56"/>
      <c r="U820" s="25"/>
      <c r="V820" s="25"/>
      <c r="W820" s="25"/>
      <c r="X820" s="25"/>
      <c r="Y820" s="25"/>
      <c r="Z820" s="25"/>
    </row>
    <row r="821" spans="1:26" ht="52.5" customHeight="1" x14ac:dyDescent="0.25">
      <c r="A821" s="25" t="str">
        <f ca="1">IFERROR(__xludf.DUMMYFUNCTION("""COMPUTED_VALUE"""),"Mujer219")</f>
        <v>Mujer219</v>
      </c>
      <c r="B821" s="25"/>
      <c r="C821" s="55"/>
      <c r="D821" s="25" t="str">
        <f ca="1">IFERROR(__xludf.DUMMYFUNCTION("""COMPUTED_VALUE"""),"Mujer")</f>
        <v>Mujer</v>
      </c>
      <c r="E821" s="25"/>
      <c r="F821" s="25"/>
      <c r="G821" s="25"/>
      <c r="H821" s="25"/>
      <c r="I821" s="25"/>
      <c r="J821" s="55"/>
      <c r="K821" s="25" t="str">
        <f ca="1">IFERROR(__xludf.DUMMYFUNCTION("""COMPUTED_VALUE"""),"Definir fecha")</f>
        <v>Definir fecha</v>
      </c>
      <c r="L821" s="62"/>
      <c r="M821" s="25"/>
      <c r="N821" s="25"/>
      <c r="O821" s="25">
        <f t="shared" si="0"/>
        <v>0</v>
      </c>
      <c r="P821" s="25" t="str">
        <f t="shared" si="2"/>
        <v/>
      </c>
      <c r="Q821" s="25" t="str">
        <f ca="1">IFERROR(__xludf.DUMMYFUNCTION("""COMPUTED_VALUE"""),"Sin defenir")</f>
        <v>Sin defenir</v>
      </c>
      <c r="R821" s="25"/>
      <c r="S821" s="55"/>
      <c r="T821" s="56"/>
      <c r="U821" s="25"/>
      <c r="V821" s="25"/>
      <c r="W821" s="25"/>
      <c r="X821" s="25"/>
      <c r="Y821" s="25"/>
      <c r="Z821" s="25"/>
    </row>
    <row r="822" spans="1:26" ht="52.5" customHeight="1" x14ac:dyDescent="0.25">
      <c r="A822" s="25" t="str">
        <f ca="1">IFERROR(__xludf.DUMMYFUNCTION("""COMPUTED_VALUE"""),"Mujer220")</f>
        <v>Mujer220</v>
      </c>
      <c r="B822" s="25"/>
      <c r="C822" s="55"/>
      <c r="D822" s="25" t="str">
        <f ca="1">IFERROR(__xludf.DUMMYFUNCTION("""COMPUTED_VALUE"""),"Mujer")</f>
        <v>Mujer</v>
      </c>
      <c r="E822" s="25"/>
      <c r="F822" s="25"/>
      <c r="G822" s="25"/>
      <c r="H822" s="25"/>
      <c r="I822" s="25"/>
      <c r="J822" s="55"/>
      <c r="K822" s="25" t="str">
        <f ca="1">IFERROR(__xludf.DUMMYFUNCTION("""COMPUTED_VALUE"""),"Definir fecha")</f>
        <v>Definir fecha</v>
      </c>
      <c r="L822" s="62"/>
      <c r="M822" s="25"/>
      <c r="N822" s="25"/>
      <c r="O822" s="25">
        <f t="shared" si="0"/>
        <v>0</v>
      </c>
      <c r="P822" s="25" t="str">
        <f t="shared" si="2"/>
        <v/>
      </c>
      <c r="Q822" s="25" t="str">
        <f ca="1">IFERROR(__xludf.DUMMYFUNCTION("""COMPUTED_VALUE"""),"Sin defenir")</f>
        <v>Sin defenir</v>
      </c>
      <c r="R822" s="25"/>
      <c r="S822" s="55"/>
      <c r="T822" s="56"/>
      <c r="U822" s="25"/>
      <c r="V822" s="25"/>
      <c r="W822" s="25"/>
      <c r="X822" s="25"/>
      <c r="Y822" s="25"/>
      <c r="Z822" s="25"/>
    </row>
    <row r="823" spans="1:26" ht="52.5" customHeight="1" x14ac:dyDescent="0.25">
      <c r="A823" s="25" t="str">
        <f ca="1">IFERROR(__xludf.DUMMYFUNCTION("""COMPUTED_VALUE"""),"Mujer221")</f>
        <v>Mujer221</v>
      </c>
      <c r="B823" s="25"/>
      <c r="C823" s="55"/>
      <c r="D823" s="25" t="str">
        <f ca="1">IFERROR(__xludf.DUMMYFUNCTION("""COMPUTED_VALUE"""),"Mujer")</f>
        <v>Mujer</v>
      </c>
      <c r="E823" s="25"/>
      <c r="F823" s="25"/>
      <c r="G823" s="25"/>
      <c r="H823" s="25"/>
      <c r="I823" s="25"/>
      <c r="J823" s="55"/>
      <c r="K823" s="25" t="str">
        <f ca="1">IFERROR(__xludf.DUMMYFUNCTION("""COMPUTED_VALUE"""),"Definir fecha")</f>
        <v>Definir fecha</v>
      </c>
      <c r="L823" s="62"/>
      <c r="M823" s="25"/>
      <c r="N823" s="25"/>
      <c r="O823" s="25">
        <f t="shared" si="0"/>
        <v>0</v>
      </c>
      <c r="P823" s="25" t="str">
        <f t="shared" si="2"/>
        <v/>
      </c>
      <c r="Q823" s="25" t="str">
        <f ca="1">IFERROR(__xludf.DUMMYFUNCTION("""COMPUTED_VALUE"""),"Sin defenir")</f>
        <v>Sin defenir</v>
      </c>
      <c r="R823" s="25"/>
      <c r="S823" s="55"/>
      <c r="T823" s="56"/>
      <c r="U823" s="25"/>
      <c r="V823" s="25"/>
      <c r="W823" s="25"/>
      <c r="X823" s="25"/>
      <c r="Y823" s="25"/>
      <c r="Z823" s="25"/>
    </row>
    <row r="824" spans="1:26" ht="52.5" customHeight="1" x14ac:dyDescent="0.25">
      <c r="A824" s="25" t="str">
        <f ca="1">IFERROR(__xludf.DUMMYFUNCTION("""COMPUTED_VALUE"""),"Mujer222")</f>
        <v>Mujer222</v>
      </c>
      <c r="B824" s="25"/>
      <c r="C824" s="55"/>
      <c r="D824" s="25" t="str">
        <f ca="1">IFERROR(__xludf.DUMMYFUNCTION("""COMPUTED_VALUE"""),"Mujer")</f>
        <v>Mujer</v>
      </c>
      <c r="E824" s="25"/>
      <c r="F824" s="25"/>
      <c r="G824" s="25"/>
      <c r="H824" s="25"/>
      <c r="I824" s="25"/>
      <c r="J824" s="55"/>
      <c r="K824" s="25" t="str">
        <f ca="1">IFERROR(__xludf.DUMMYFUNCTION("""COMPUTED_VALUE"""),"Definir fecha")</f>
        <v>Definir fecha</v>
      </c>
      <c r="L824" s="62"/>
      <c r="M824" s="25"/>
      <c r="N824" s="25"/>
      <c r="O824" s="25">
        <f t="shared" si="0"/>
        <v>0</v>
      </c>
      <c r="P824" s="25" t="str">
        <f t="shared" si="2"/>
        <v/>
      </c>
      <c r="Q824" s="25" t="str">
        <f ca="1">IFERROR(__xludf.DUMMYFUNCTION("""COMPUTED_VALUE"""),"Sin defenir")</f>
        <v>Sin defenir</v>
      </c>
      <c r="R824" s="25"/>
      <c r="S824" s="55"/>
      <c r="T824" s="56"/>
      <c r="U824" s="25"/>
      <c r="V824" s="25"/>
      <c r="W824" s="25"/>
      <c r="X824" s="25"/>
      <c r="Y824" s="25"/>
      <c r="Z824" s="25"/>
    </row>
    <row r="825" spans="1:26" ht="52.5" customHeight="1" x14ac:dyDescent="0.25">
      <c r="A825" s="25" t="str">
        <f ca="1">IFERROR(__xludf.DUMMYFUNCTION("""COMPUTED_VALUE"""),"Mujer223")</f>
        <v>Mujer223</v>
      </c>
      <c r="B825" s="25"/>
      <c r="C825" s="55"/>
      <c r="D825" s="25" t="str">
        <f ca="1">IFERROR(__xludf.DUMMYFUNCTION("""COMPUTED_VALUE"""),"Mujer")</f>
        <v>Mujer</v>
      </c>
      <c r="E825" s="25"/>
      <c r="F825" s="25"/>
      <c r="G825" s="25"/>
      <c r="H825" s="25"/>
      <c r="I825" s="25"/>
      <c r="J825" s="55"/>
      <c r="K825" s="25" t="str">
        <f ca="1">IFERROR(__xludf.DUMMYFUNCTION("""COMPUTED_VALUE"""),"Definir fecha")</f>
        <v>Definir fecha</v>
      </c>
      <c r="L825" s="62"/>
      <c r="M825" s="25"/>
      <c r="N825" s="25"/>
      <c r="O825" s="25">
        <f t="shared" si="0"/>
        <v>0</v>
      </c>
      <c r="P825" s="25" t="str">
        <f t="shared" si="2"/>
        <v/>
      </c>
      <c r="Q825" s="25" t="str">
        <f ca="1">IFERROR(__xludf.DUMMYFUNCTION("""COMPUTED_VALUE"""),"Sin defenir")</f>
        <v>Sin defenir</v>
      </c>
      <c r="R825" s="25"/>
      <c r="S825" s="55"/>
      <c r="T825" s="56"/>
      <c r="U825" s="25"/>
      <c r="V825" s="25"/>
      <c r="W825" s="25"/>
      <c r="X825" s="25"/>
      <c r="Y825" s="25"/>
      <c r="Z825" s="25"/>
    </row>
    <row r="826" spans="1:26" ht="52.5" customHeight="1" x14ac:dyDescent="0.25">
      <c r="A826" s="25" t="str">
        <f ca="1">IFERROR(__xludf.DUMMYFUNCTION("""COMPUTED_VALUE"""),"Mujer224")</f>
        <v>Mujer224</v>
      </c>
      <c r="B826" s="25"/>
      <c r="C826" s="55"/>
      <c r="D826" s="25" t="str">
        <f ca="1">IFERROR(__xludf.DUMMYFUNCTION("""COMPUTED_VALUE"""),"Mujer")</f>
        <v>Mujer</v>
      </c>
      <c r="E826" s="25"/>
      <c r="F826" s="25"/>
      <c r="G826" s="25"/>
      <c r="H826" s="25"/>
      <c r="I826" s="25"/>
      <c r="J826" s="55"/>
      <c r="K826" s="25" t="str">
        <f ca="1">IFERROR(__xludf.DUMMYFUNCTION("""COMPUTED_VALUE"""),"Definir fecha")</f>
        <v>Definir fecha</v>
      </c>
      <c r="L826" s="62"/>
      <c r="M826" s="25"/>
      <c r="N826" s="25"/>
      <c r="O826" s="25">
        <f t="shared" si="0"/>
        <v>0</v>
      </c>
      <c r="P826" s="25" t="str">
        <f t="shared" si="2"/>
        <v/>
      </c>
      <c r="Q826" s="25" t="str">
        <f ca="1">IFERROR(__xludf.DUMMYFUNCTION("""COMPUTED_VALUE"""),"Sin defenir")</f>
        <v>Sin defenir</v>
      </c>
      <c r="R826" s="25"/>
      <c r="S826" s="55"/>
      <c r="T826" s="56"/>
      <c r="U826" s="25"/>
      <c r="V826" s="25"/>
      <c r="W826" s="25"/>
      <c r="X826" s="25"/>
      <c r="Y826" s="25"/>
      <c r="Z826" s="25"/>
    </row>
    <row r="827" spans="1:26" ht="52.5" customHeight="1" x14ac:dyDescent="0.25">
      <c r="A827" s="25" t="str">
        <f ca="1">IFERROR(__xludf.DUMMYFUNCTION("""COMPUTED_VALUE"""),"Mujer225")</f>
        <v>Mujer225</v>
      </c>
      <c r="B827" s="25"/>
      <c r="C827" s="55"/>
      <c r="D827" s="25" t="str">
        <f ca="1">IFERROR(__xludf.DUMMYFUNCTION("""COMPUTED_VALUE"""),"Mujer")</f>
        <v>Mujer</v>
      </c>
      <c r="E827" s="25"/>
      <c r="F827" s="25"/>
      <c r="G827" s="25"/>
      <c r="H827" s="25"/>
      <c r="I827" s="25"/>
      <c r="J827" s="55"/>
      <c r="K827" s="25" t="str">
        <f ca="1">IFERROR(__xludf.DUMMYFUNCTION("""COMPUTED_VALUE"""),"Definir fecha")</f>
        <v>Definir fecha</v>
      </c>
      <c r="L827" s="62"/>
      <c r="M827" s="25"/>
      <c r="N827" s="25"/>
      <c r="O827" s="25">
        <f t="shared" si="0"/>
        <v>0</v>
      </c>
      <c r="P827" s="25" t="str">
        <f t="shared" si="2"/>
        <v/>
      </c>
      <c r="Q827" s="25" t="str">
        <f ca="1">IFERROR(__xludf.DUMMYFUNCTION("""COMPUTED_VALUE"""),"Sin defenir")</f>
        <v>Sin defenir</v>
      </c>
      <c r="R827" s="25"/>
      <c r="S827" s="55"/>
      <c r="T827" s="56"/>
      <c r="U827" s="25"/>
      <c r="V827" s="25"/>
      <c r="W827" s="25"/>
      <c r="X827" s="25"/>
      <c r="Y827" s="25"/>
      <c r="Z827" s="25"/>
    </row>
    <row r="828" spans="1:26" ht="52.5" customHeight="1" x14ac:dyDescent="0.25">
      <c r="A828" s="25" t="str">
        <f ca="1">IFERROR(__xludf.DUMMYFUNCTION("""COMPUTED_VALUE"""),"Mujer226")</f>
        <v>Mujer226</v>
      </c>
      <c r="B828" s="25"/>
      <c r="C828" s="55"/>
      <c r="D828" s="25" t="str">
        <f ca="1">IFERROR(__xludf.DUMMYFUNCTION("""COMPUTED_VALUE"""),"Mujer")</f>
        <v>Mujer</v>
      </c>
      <c r="E828" s="25"/>
      <c r="F828" s="25"/>
      <c r="G828" s="25"/>
      <c r="H828" s="25"/>
      <c r="I828" s="25"/>
      <c r="J828" s="55"/>
      <c r="K828" s="25" t="str">
        <f ca="1">IFERROR(__xludf.DUMMYFUNCTION("""COMPUTED_VALUE"""),"Definir fecha")</f>
        <v>Definir fecha</v>
      </c>
      <c r="L828" s="62"/>
      <c r="M828" s="25"/>
      <c r="N828" s="25"/>
      <c r="O828" s="25">
        <f t="shared" si="0"/>
        <v>0</v>
      </c>
      <c r="P828" s="25" t="str">
        <f t="shared" si="2"/>
        <v/>
      </c>
      <c r="Q828" s="25" t="str">
        <f ca="1">IFERROR(__xludf.DUMMYFUNCTION("""COMPUTED_VALUE"""),"Sin defenir")</f>
        <v>Sin defenir</v>
      </c>
      <c r="R828" s="25"/>
      <c r="S828" s="55"/>
      <c r="T828" s="56"/>
      <c r="U828" s="25"/>
      <c r="V828" s="25"/>
      <c r="W828" s="25"/>
      <c r="X828" s="25"/>
      <c r="Y828" s="25"/>
      <c r="Z828" s="25"/>
    </row>
    <row r="829" spans="1:26" ht="52.5" customHeight="1" x14ac:dyDescent="0.25">
      <c r="A829" s="25" t="str">
        <f ca="1">IFERROR(__xludf.DUMMYFUNCTION("""COMPUTED_VALUE"""),"Mujer227")</f>
        <v>Mujer227</v>
      </c>
      <c r="B829" s="25"/>
      <c r="C829" s="55"/>
      <c r="D829" s="25" t="str">
        <f ca="1">IFERROR(__xludf.DUMMYFUNCTION("""COMPUTED_VALUE"""),"Mujer")</f>
        <v>Mujer</v>
      </c>
      <c r="E829" s="25"/>
      <c r="F829" s="25"/>
      <c r="G829" s="25"/>
      <c r="H829" s="25"/>
      <c r="I829" s="25"/>
      <c r="J829" s="55"/>
      <c r="K829" s="25" t="str">
        <f ca="1">IFERROR(__xludf.DUMMYFUNCTION("""COMPUTED_VALUE"""),"Definir fecha")</f>
        <v>Definir fecha</v>
      </c>
      <c r="L829" s="62"/>
      <c r="M829" s="25"/>
      <c r="N829" s="25"/>
      <c r="O829" s="25">
        <f t="shared" si="0"/>
        <v>0</v>
      </c>
      <c r="P829" s="25" t="str">
        <f t="shared" si="2"/>
        <v/>
      </c>
      <c r="Q829" s="25" t="str">
        <f ca="1">IFERROR(__xludf.DUMMYFUNCTION("""COMPUTED_VALUE"""),"Sin defenir")</f>
        <v>Sin defenir</v>
      </c>
      <c r="R829" s="25"/>
      <c r="S829" s="55"/>
      <c r="T829" s="56"/>
      <c r="U829" s="25"/>
      <c r="V829" s="25"/>
      <c r="W829" s="25"/>
      <c r="X829" s="25"/>
      <c r="Y829" s="25"/>
      <c r="Z829" s="25"/>
    </row>
    <row r="830" spans="1:26" ht="52.5" customHeight="1" x14ac:dyDescent="0.25">
      <c r="A830" s="25" t="str">
        <f ca="1">IFERROR(__xludf.DUMMYFUNCTION("""COMPUTED_VALUE"""),"Mujer228")</f>
        <v>Mujer228</v>
      </c>
      <c r="B830" s="25"/>
      <c r="C830" s="55"/>
      <c r="D830" s="25" t="str">
        <f ca="1">IFERROR(__xludf.DUMMYFUNCTION("""COMPUTED_VALUE"""),"Mujer")</f>
        <v>Mujer</v>
      </c>
      <c r="E830" s="25"/>
      <c r="F830" s="25"/>
      <c r="G830" s="25"/>
      <c r="H830" s="25"/>
      <c r="I830" s="25"/>
      <c r="J830" s="55"/>
      <c r="K830" s="25" t="str">
        <f ca="1">IFERROR(__xludf.DUMMYFUNCTION("""COMPUTED_VALUE"""),"Definir fecha")</f>
        <v>Definir fecha</v>
      </c>
      <c r="L830" s="62"/>
      <c r="M830" s="25"/>
      <c r="N830" s="25"/>
      <c r="O830" s="25">
        <f t="shared" si="0"/>
        <v>0</v>
      </c>
      <c r="P830" s="25" t="str">
        <f t="shared" si="2"/>
        <v/>
      </c>
      <c r="Q830" s="25" t="str">
        <f ca="1">IFERROR(__xludf.DUMMYFUNCTION("""COMPUTED_VALUE"""),"Sin defenir")</f>
        <v>Sin defenir</v>
      </c>
      <c r="R830" s="25"/>
      <c r="S830" s="55"/>
      <c r="T830" s="56"/>
      <c r="U830" s="25"/>
      <c r="V830" s="25"/>
      <c r="W830" s="25"/>
      <c r="X830" s="25"/>
      <c r="Y830" s="25"/>
      <c r="Z830" s="25"/>
    </row>
    <row r="831" spans="1:26" ht="52.5" customHeight="1" x14ac:dyDescent="0.25">
      <c r="A831" s="25" t="str">
        <f ca="1">IFERROR(__xludf.DUMMYFUNCTION("""COMPUTED_VALUE"""),"Mujer229")</f>
        <v>Mujer229</v>
      </c>
      <c r="B831" s="25"/>
      <c r="C831" s="55"/>
      <c r="D831" s="25" t="str">
        <f ca="1">IFERROR(__xludf.DUMMYFUNCTION("""COMPUTED_VALUE"""),"Mujer")</f>
        <v>Mujer</v>
      </c>
      <c r="E831" s="25"/>
      <c r="F831" s="25"/>
      <c r="G831" s="25"/>
      <c r="H831" s="25"/>
      <c r="I831" s="25"/>
      <c r="J831" s="55"/>
      <c r="K831" s="25" t="str">
        <f ca="1">IFERROR(__xludf.DUMMYFUNCTION("""COMPUTED_VALUE"""),"Definir fecha")</f>
        <v>Definir fecha</v>
      </c>
      <c r="L831" s="62"/>
      <c r="M831" s="25"/>
      <c r="N831" s="25"/>
      <c r="O831" s="25">
        <f t="shared" si="0"/>
        <v>0</v>
      </c>
      <c r="P831" s="25" t="str">
        <f t="shared" si="2"/>
        <v/>
      </c>
      <c r="Q831" s="25" t="str">
        <f ca="1">IFERROR(__xludf.DUMMYFUNCTION("""COMPUTED_VALUE"""),"Sin defenir")</f>
        <v>Sin defenir</v>
      </c>
      <c r="R831" s="25"/>
      <c r="S831" s="55"/>
      <c r="T831" s="56"/>
      <c r="U831" s="25"/>
      <c r="V831" s="25"/>
      <c r="W831" s="25"/>
      <c r="X831" s="25"/>
      <c r="Y831" s="25"/>
      <c r="Z831" s="25"/>
    </row>
    <row r="832" spans="1:26" ht="52.5" customHeight="1" x14ac:dyDescent="0.25">
      <c r="A832" s="25" t="str">
        <f ca="1">IFERROR(__xludf.DUMMYFUNCTION("""COMPUTED_VALUE"""),"Mujer230")</f>
        <v>Mujer230</v>
      </c>
      <c r="B832" s="25"/>
      <c r="C832" s="55"/>
      <c r="D832" s="25" t="str">
        <f ca="1">IFERROR(__xludf.DUMMYFUNCTION("""COMPUTED_VALUE"""),"Mujer")</f>
        <v>Mujer</v>
      </c>
      <c r="E832" s="25"/>
      <c r="F832" s="25"/>
      <c r="G832" s="25"/>
      <c r="H832" s="25"/>
      <c r="I832" s="25"/>
      <c r="J832" s="55"/>
      <c r="K832" s="25" t="str">
        <f ca="1">IFERROR(__xludf.DUMMYFUNCTION("""COMPUTED_VALUE"""),"Definir fecha")</f>
        <v>Definir fecha</v>
      </c>
      <c r="L832" s="62"/>
      <c r="M832" s="25"/>
      <c r="N832" s="25"/>
      <c r="O832" s="25">
        <f t="shared" si="0"/>
        <v>0</v>
      </c>
      <c r="P832" s="25" t="str">
        <f t="shared" si="2"/>
        <v/>
      </c>
      <c r="Q832" s="25" t="str">
        <f ca="1">IFERROR(__xludf.DUMMYFUNCTION("""COMPUTED_VALUE"""),"Sin defenir")</f>
        <v>Sin defenir</v>
      </c>
      <c r="R832" s="25"/>
      <c r="S832" s="55"/>
      <c r="T832" s="56"/>
      <c r="U832" s="25"/>
      <c r="V832" s="25"/>
      <c r="W832" s="25"/>
      <c r="X832" s="25"/>
      <c r="Y832" s="25"/>
      <c r="Z832" s="25"/>
    </row>
    <row r="833" spans="1:26" ht="52.5" customHeight="1" x14ac:dyDescent="0.25">
      <c r="A833" s="25" t="str">
        <f ca="1">IFERROR(__xludf.DUMMYFUNCTION("""COMPUTED_VALUE"""),"Mujer231")</f>
        <v>Mujer231</v>
      </c>
      <c r="B833" s="25"/>
      <c r="C833" s="55"/>
      <c r="D833" s="25" t="str">
        <f ca="1">IFERROR(__xludf.DUMMYFUNCTION("""COMPUTED_VALUE"""),"Mujer")</f>
        <v>Mujer</v>
      </c>
      <c r="E833" s="25"/>
      <c r="F833" s="25"/>
      <c r="G833" s="25"/>
      <c r="H833" s="25"/>
      <c r="I833" s="25"/>
      <c r="J833" s="55"/>
      <c r="K833" s="25" t="str">
        <f ca="1">IFERROR(__xludf.DUMMYFUNCTION("""COMPUTED_VALUE"""),"Definir fecha")</f>
        <v>Definir fecha</v>
      </c>
      <c r="L833" s="62"/>
      <c r="M833" s="25"/>
      <c r="N833" s="25"/>
      <c r="O833" s="25">
        <f t="shared" si="0"/>
        <v>0</v>
      </c>
      <c r="P833" s="25" t="str">
        <f t="shared" si="2"/>
        <v/>
      </c>
      <c r="Q833" s="25" t="str">
        <f ca="1">IFERROR(__xludf.DUMMYFUNCTION("""COMPUTED_VALUE"""),"Sin defenir")</f>
        <v>Sin defenir</v>
      </c>
      <c r="R833" s="25"/>
      <c r="S833" s="55"/>
      <c r="T833" s="56"/>
      <c r="U833" s="25"/>
      <c r="V833" s="25"/>
      <c r="W833" s="25"/>
      <c r="X833" s="25"/>
      <c r="Y833" s="25"/>
      <c r="Z833" s="25"/>
    </row>
    <row r="834" spans="1:26" ht="52.5" customHeight="1" x14ac:dyDescent="0.25">
      <c r="A834" s="25" t="str">
        <f ca="1">IFERROR(__xludf.DUMMYFUNCTION("""COMPUTED_VALUE"""),"Mujer232")</f>
        <v>Mujer232</v>
      </c>
      <c r="B834" s="25"/>
      <c r="C834" s="55"/>
      <c r="D834" s="25" t="str">
        <f ca="1">IFERROR(__xludf.DUMMYFUNCTION("""COMPUTED_VALUE"""),"Mujer")</f>
        <v>Mujer</v>
      </c>
      <c r="E834" s="25"/>
      <c r="F834" s="25"/>
      <c r="G834" s="25"/>
      <c r="H834" s="25"/>
      <c r="I834" s="25"/>
      <c r="J834" s="55"/>
      <c r="K834" s="25" t="str">
        <f ca="1">IFERROR(__xludf.DUMMYFUNCTION("""COMPUTED_VALUE"""),"Definir fecha")</f>
        <v>Definir fecha</v>
      </c>
      <c r="L834" s="62"/>
      <c r="M834" s="25"/>
      <c r="N834" s="25"/>
      <c r="O834" s="25">
        <f t="shared" si="0"/>
        <v>0</v>
      </c>
      <c r="P834" s="25" t="str">
        <f t="shared" si="2"/>
        <v/>
      </c>
      <c r="Q834" s="25" t="str">
        <f ca="1">IFERROR(__xludf.DUMMYFUNCTION("""COMPUTED_VALUE"""),"Sin defenir")</f>
        <v>Sin defenir</v>
      </c>
      <c r="R834" s="25"/>
      <c r="S834" s="55"/>
      <c r="T834" s="56"/>
      <c r="U834" s="25"/>
      <c r="V834" s="25"/>
      <c r="W834" s="25"/>
      <c r="X834" s="25"/>
      <c r="Y834" s="25"/>
      <c r="Z834" s="25"/>
    </row>
    <row r="835" spans="1:26" ht="52.5" customHeight="1" x14ac:dyDescent="0.25">
      <c r="A835" s="25" t="str">
        <f ca="1">IFERROR(__xludf.DUMMYFUNCTION("""COMPUTED_VALUE"""),"Mujer233")</f>
        <v>Mujer233</v>
      </c>
      <c r="B835" s="25"/>
      <c r="C835" s="55"/>
      <c r="D835" s="25" t="str">
        <f ca="1">IFERROR(__xludf.DUMMYFUNCTION("""COMPUTED_VALUE"""),"Mujer")</f>
        <v>Mujer</v>
      </c>
      <c r="E835" s="25"/>
      <c r="F835" s="25"/>
      <c r="G835" s="25"/>
      <c r="H835" s="25"/>
      <c r="I835" s="25"/>
      <c r="J835" s="55"/>
      <c r="K835" s="25" t="str">
        <f ca="1">IFERROR(__xludf.DUMMYFUNCTION("""COMPUTED_VALUE"""),"Definir fecha")</f>
        <v>Definir fecha</v>
      </c>
      <c r="L835" s="62"/>
      <c r="M835" s="25"/>
      <c r="N835" s="25"/>
      <c r="O835" s="25">
        <f t="shared" si="0"/>
        <v>0</v>
      </c>
      <c r="P835" s="25" t="str">
        <f t="shared" si="2"/>
        <v/>
      </c>
      <c r="Q835" s="25" t="str">
        <f ca="1">IFERROR(__xludf.DUMMYFUNCTION("""COMPUTED_VALUE"""),"Sin defenir")</f>
        <v>Sin defenir</v>
      </c>
      <c r="R835" s="25"/>
      <c r="S835" s="55"/>
      <c r="T835" s="56"/>
      <c r="U835" s="25"/>
      <c r="V835" s="25"/>
      <c r="W835" s="25"/>
      <c r="X835" s="25"/>
      <c r="Y835" s="25"/>
      <c r="Z835" s="25"/>
    </row>
    <row r="836" spans="1:26" ht="52.5" customHeight="1" x14ac:dyDescent="0.25">
      <c r="A836" s="25" t="str">
        <f ca="1">IFERROR(__xludf.DUMMYFUNCTION("""COMPUTED_VALUE"""),"Mujer234")</f>
        <v>Mujer234</v>
      </c>
      <c r="B836" s="25"/>
      <c r="C836" s="55"/>
      <c r="D836" s="25" t="str">
        <f ca="1">IFERROR(__xludf.DUMMYFUNCTION("""COMPUTED_VALUE"""),"Mujer")</f>
        <v>Mujer</v>
      </c>
      <c r="E836" s="25"/>
      <c r="F836" s="25"/>
      <c r="G836" s="25"/>
      <c r="H836" s="25"/>
      <c r="I836" s="25"/>
      <c r="J836" s="55"/>
      <c r="K836" s="25" t="str">
        <f ca="1">IFERROR(__xludf.DUMMYFUNCTION("""COMPUTED_VALUE"""),"Definir fecha")</f>
        <v>Definir fecha</v>
      </c>
      <c r="L836" s="62"/>
      <c r="M836" s="25"/>
      <c r="N836" s="25"/>
      <c r="O836" s="25">
        <f t="shared" si="0"/>
        <v>0</v>
      </c>
      <c r="P836" s="25" t="str">
        <f t="shared" si="2"/>
        <v/>
      </c>
      <c r="Q836" s="25" t="str">
        <f ca="1">IFERROR(__xludf.DUMMYFUNCTION("""COMPUTED_VALUE"""),"Sin defenir")</f>
        <v>Sin defenir</v>
      </c>
      <c r="R836" s="25"/>
      <c r="S836" s="55"/>
      <c r="T836" s="56"/>
      <c r="U836" s="25"/>
      <c r="V836" s="25"/>
      <c r="W836" s="25"/>
      <c r="X836" s="25"/>
      <c r="Y836" s="25"/>
      <c r="Z836" s="25"/>
    </row>
    <row r="837" spans="1:26" ht="52.5" customHeight="1" x14ac:dyDescent="0.25">
      <c r="A837" s="25" t="str">
        <f ca="1">IFERROR(__xludf.DUMMYFUNCTION("""COMPUTED_VALUE"""),"Mujer235")</f>
        <v>Mujer235</v>
      </c>
      <c r="B837" s="25"/>
      <c r="C837" s="55"/>
      <c r="D837" s="25" t="str">
        <f ca="1">IFERROR(__xludf.DUMMYFUNCTION("""COMPUTED_VALUE"""),"Mujer")</f>
        <v>Mujer</v>
      </c>
      <c r="E837" s="25"/>
      <c r="F837" s="25"/>
      <c r="G837" s="25"/>
      <c r="H837" s="25"/>
      <c r="I837" s="25"/>
      <c r="J837" s="55"/>
      <c r="K837" s="25" t="str">
        <f ca="1">IFERROR(__xludf.DUMMYFUNCTION("""COMPUTED_VALUE"""),"Definir fecha")</f>
        <v>Definir fecha</v>
      </c>
      <c r="L837" s="62"/>
      <c r="M837" s="25"/>
      <c r="N837" s="25"/>
      <c r="O837" s="25">
        <f t="shared" si="0"/>
        <v>0</v>
      </c>
      <c r="P837" s="25" t="str">
        <f t="shared" si="2"/>
        <v/>
      </c>
      <c r="Q837" s="25" t="str">
        <f ca="1">IFERROR(__xludf.DUMMYFUNCTION("""COMPUTED_VALUE"""),"Sin defenir")</f>
        <v>Sin defenir</v>
      </c>
      <c r="R837" s="25"/>
      <c r="S837" s="55"/>
      <c r="T837" s="56"/>
      <c r="U837" s="25"/>
      <c r="V837" s="25"/>
      <c r="W837" s="25"/>
      <c r="X837" s="25"/>
      <c r="Y837" s="25"/>
      <c r="Z837" s="25"/>
    </row>
    <row r="838" spans="1:26" ht="52.5" customHeight="1" x14ac:dyDescent="0.25">
      <c r="A838" s="25" t="str">
        <f ca="1">IFERROR(__xludf.DUMMYFUNCTION("""COMPUTED_VALUE"""),"Mujer236")</f>
        <v>Mujer236</v>
      </c>
      <c r="B838" s="25"/>
      <c r="C838" s="55"/>
      <c r="D838" s="25" t="str">
        <f ca="1">IFERROR(__xludf.DUMMYFUNCTION("""COMPUTED_VALUE"""),"Mujer")</f>
        <v>Mujer</v>
      </c>
      <c r="E838" s="25"/>
      <c r="F838" s="25"/>
      <c r="G838" s="25"/>
      <c r="H838" s="25"/>
      <c r="I838" s="25"/>
      <c r="J838" s="55"/>
      <c r="K838" s="25" t="str">
        <f ca="1">IFERROR(__xludf.DUMMYFUNCTION("""COMPUTED_VALUE"""),"Definir fecha")</f>
        <v>Definir fecha</v>
      </c>
      <c r="L838" s="62"/>
      <c r="M838" s="25"/>
      <c r="N838" s="25"/>
      <c r="O838" s="25">
        <f t="shared" si="0"/>
        <v>0</v>
      </c>
      <c r="P838" s="25" t="str">
        <f t="shared" si="2"/>
        <v/>
      </c>
      <c r="Q838" s="25" t="str">
        <f ca="1">IFERROR(__xludf.DUMMYFUNCTION("""COMPUTED_VALUE"""),"Sin defenir")</f>
        <v>Sin defenir</v>
      </c>
      <c r="R838" s="25"/>
      <c r="S838" s="55"/>
      <c r="T838" s="56"/>
      <c r="U838" s="25"/>
      <c r="V838" s="25"/>
      <c r="W838" s="25"/>
      <c r="X838" s="25"/>
      <c r="Y838" s="25"/>
      <c r="Z838" s="25"/>
    </row>
    <row r="839" spans="1:26" ht="52.5" customHeight="1" x14ac:dyDescent="0.25">
      <c r="A839" s="25" t="str">
        <f ca="1">IFERROR(__xludf.DUMMYFUNCTION("""COMPUTED_VALUE"""),"Mujer237")</f>
        <v>Mujer237</v>
      </c>
      <c r="B839" s="25"/>
      <c r="C839" s="55"/>
      <c r="D839" s="25" t="str">
        <f ca="1">IFERROR(__xludf.DUMMYFUNCTION("""COMPUTED_VALUE"""),"Mujer")</f>
        <v>Mujer</v>
      </c>
      <c r="E839" s="25"/>
      <c r="F839" s="25"/>
      <c r="G839" s="25"/>
      <c r="H839" s="25"/>
      <c r="I839" s="25"/>
      <c r="J839" s="55"/>
      <c r="K839" s="25" t="str">
        <f ca="1">IFERROR(__xludf.DUMMYFUNCTION("""COMPUTED_VALUE"""),"Definir fecha")</f>
        <v>Definir fecha</v>
      </c>
      <c r="L839" s="62"/>
      <c r="M839" s="25"/>
      <c r="N839" s="25"/>
      <c r="O839" s="25">
        <f t="shared" si="0"/>
        <v>0</v>
      </c>
      <c r="P839" s="25" t="str">
        <f t="shared" si="2"/>
        <v/>
      </c>
      <c r="Q839" s="25" t="str">
        <f ca="1">IFERROR(__xludf.DUMMYFUNCTION("""COMPUTED_VALUE"""),"Sin defenir")</f>
        <v>Sin defenir</v>
      </c>
      <c r="R839" s="25"/>
      <c r="S839" s="55"/>
      <c r="T839" s="56"/>
      <c r="U839" s="25"/>
      <c r="V839" s="25"/>
      <c r="W839" s="25"/>
      <c r="X839" s="25"/>
      <c r="Y839" s="25"/>
      <c r="Z839" s="25"/>
    </row>
    <row r="840" spans="1:26" ht="52.5" customHeight="1" x14ac:dyDescent="0.25">
      <c r="A840" s="25" t="str">
        <f ca="1">IFERROR(__xludf.DUMMYFUNCTION("""COMPUTED_VALUE"""),"Mujer238")</f>
        <v>Mujer238</v>
      </c>
      <c r="B840" s="25"/>
      <c r="C840" s="55"/>
      <c r="D840" s="25" t="str">
        <f ca="1">IFERROR(__xludf.DUMMYFUNCTION("""COMPUTED_VALUE"""),"Mujer")</f>
        <v>Mujer</v>
      </c>
      <c r="E840" s="25"/>
      <c r="F840" s="25"/>
      <c r="G840" s="25"/>
      <c r="H840" s="25"/>
      <c r="I840" s="25"/>
      <c r="J840" s="55"/>
      <c r="K840" s="25" t="str">
        <f ca="1">IFERROR(__xludf.DUMMYFUNCTION("""COMPUTED_VALUE"""),"Definir fecha")</f>
        <v>Definir fecha</v>
      </c>
      <c r="L840" s="62"/>
      <c r="M840" s="25"/>
      <c r="N840" s="25"/>
      <c r="O840" s="25">
        <f t="shared" si="0"/>
        <v>0</v>
      </c>
      <c r="P840" s="25" t="str">
        <f t="shared" si="2"/>
        <v/>
      </c>
      <c r="Q840" s="25" t="str">
        <f ca="1">IFERROR(__xludf.DUMMYFUNCTION("""COMPUTED_VALUE"""),"Sin defenir")</f>
        <v>Sin defenir</v>
      </c>
      <c r="R840" s="25"/>
      <c r="S840" s="55"/>
      <c r="T840" s="56"/>
      <c r="U840" s="25"/>
      <c r="V840" s="25"/>
      <c r="W840" s="25"/>
      <c r="X840" s="25"/>
      <c r="Y840" s="25"/>
      <c r="Z840" s="25"/>
    </row>
    <row r="841" spans="1:26" ht="52.5" customHeight="1" x14ac:dyDescent="0.25">
      <c r="A841" s="25" t="str">
        <f ca="1">IFERROR(__xludf.DUMMYFUNCTION("""COMPUTED_VALUE"""),"Mujer239")</f>
        <v>Mujer239</v>
      </c>
      <c r="B841" s="25"/>
      <c r="C841" s="55"/>
      <c r="D841" s="25" t="str">
        <f ca="1">IFERROR(__xludf.DUMMYFUNCTION("""COMPUTED_VALUE"""),"Mujer")</f>
        <v>Mujer</v>
      </c>
      <c r="E841" s="25"/>
      <c r="F841" s="25"/>
      <c r="G841" s="25"/>
      <c r="H841" s="25"/>
      <c r="I841" s="25"/>
      <c r="J841" s="55"/>
      <c r="K841" s="25" t="str">
        <f ca="1">IFERROR(__xludf.DUMMYFUNCTION("""COMPUTED_VALUE"""),"Definir fecha")</f>
        <v>Definir fecha</v>
      </c>
      <c r="L841" s="62"/>
      <c r="M841" s="25"/>
      <c r="N841" s="25"/>
      <c r="O841" s="25">
        <f t="shared" si="0"/>
        <v>0</v>
      </c>
      <c r="P841" s="25" t="str">
        <f t="shared" si="2"/>
        <v/>
      </c>
      <c r="Q841" s="25" t="str">
        <f ca="1">IFERROR(__xludf.DUMMYFUNCTION("""COMPUTED_VALUE"""),"Sin defenir")</f>
        <v>Sin defenir</v>
      </c>
      <c r="R841" s="25"/>
      <c r="S841" s="55"/>
      <c r="T841" s="56"/>
      <c r="U841" s="25"/>
      <c r="V841" s="25"/>
      <c r="W841" s="25"/>
      <c r="X841" s="25"/>
      <c r="Y841" s="25"/>
      <c r="Z841" s="25"/>
    </row>
    <row r="842" spans="1:26" ht="52.5" customHeight="1" x14ac:dyDescent="0.25">
      <c r="A842" s="25" t="str">
        <f ca="1">IFERROR(__xludf.DUMMYFUNCTION("""COMPUTED_VALUE"""),"Mujer240")</f>
        <v>Mujer240</v>
      </c>
      <c r="B842" s="25"/>
      <c r="C842" s="55"/>
      <c r="D842" s="25" t="str">
        <f ca="1">IFERROR(__xludf.DUMMYFUNCTION("""COMPUTED_VALUE"""),"Mujer")</f>
        <v>Mujer</v>
      </c>
      <c r="E842" s="25"/>
      <c r="F842" s="25"/>
      <c r="G842" s="25"/>
      <c r="H842" s="25"/>
      <c r="I842" s="25"/>
      <c r="J842" s="55"/>
      <c r="K842" s="25" t="str">
        <f ca="1">IFERROR(__xludf.DUMMYFUNCTION("""COMPUTED_VALUE"""),"Definir fecha")</f>
        <v>Definir fecha</v>
      </c>
      <c r="L842" s="62"/>
      <c r="M842" s="25"/>
      <c r="N842" s="25"/>
      <c r="O842" s="25">
        <f t="shared" si="0"/>
        <v>0</v>
      </c>
      <c r="P842" s="25" t="str">
        <f t="shared" si="2"/>
        <v/>
      </c>
      <c r="Q842" s="25" t="str">
        <f ca="1">IFERROR(__xludf.DUMMYFUNCTION("""COMPUTED_VALUE"""),"Sin defenir")</f>
        <v>Sin defenir</v>
      </c>
      <c r="R842" s="25"/>
      <c r="S842" s="55"/>
      <c r="T842" s="56"/>
      <c r="U842" s="25"/>
      <c r="V842" s="25"/>
      <c r="W842" s="25"/>
      <c r="X842" s="25"/>
      <c r="Y842" s="25"/>
      <c r="Z842" s="25"/>
    </row>
    <row r="843" spans="1:26" ht="52.5" customHeight="1" x14ac:dyDescent="0.25">
      <c r="A843" s="25" t="str">
        <f ca="1">IFERROR(__xludf.DUMMYFUNCTION("""COMPUTED_VALUE"""),"Mujer241")</f>
        <v>Mujer241</v>
      </c>
      <c r="B843" s="25"/>
      <c r="C843" s="55"/>
      <c r="D843" s="25" t="str">
        <f ca="1">IFERROR(__xludf.DUMMYFUNCTION("""COMPUTED_VALUE"""),"Mujer")</f>
        <v>Mujer</v>
      </c>
      <c r="E843" s="25"/>
      <c r="F843" s="25"/>
      <c r="G843" s="25"/>
      <c r="H843" s="25"/>
      <c r="I843" s="25"/>
      <c r="J843" s="55"/>
      <c r="K843" s="25" t="str">
        <f ca="1">IFERROR(__xludf.DUMMYFUNCTION("""COMPUTED_VALUE"""),"Definir fecha")</f>
        <v>Definir fecha</v>
      </c>
      <c r="L843" s="62"/>
      <c r="M843" s="25"/>
      <c r="N843" s="25"/>
      <c r="O843" s="25">
        <f t="shared" si="0"/>
        <v>0</v>
      </c>
      <c r="P843" s="25" t="str">
        <f t="shared" si="2"/>
        <v/>
      </c>
      <c r="Q843" s="25" t="str">
        <f ca="1">IFERROR(__xludf.DUMMYFUNCTION("""COMPUTED_VALUE"""),"Sin defenir")</f>
        <v>Sin defenir</v>
      </c>
      <c r="R843" s="25"/>
      <c r="S843" s="55"/>
      <c r="T843" s="56"/>
      <c r="U843" s="25"/>
      <c r="V843" s="25"/>
      <c r="W843" s="25"/>
      <c r="X843" s="25"/>
      <c r="Y843" s="25"/>
      <c r="Z843" s="25"/>
    </row>
    <row r="844" spans="1:26" ht="52.5" customHeight="1" x14ac:dyDescent="0.25">
      <c r="A844" s="25" t="str">
        <f ca="1">IFERROR(__xludf.DUMMYFUNCTION("""COMPUTED_VALUE"""),"Mujer242")</f>
        <v>Mujer242</v>
      </c>
      <c r="B844" s="25"/>
      <c r="C844" s="55"/>
      <c r="D844" s="25" t="str">
        <f ca="1">IFERROR(__xludf.DUMMYFUNCTION("""COMPUTED_VALUE"""),"Mujer")</f>
        <v>Mujer</v>
      </c>
      <c r="E844" s="25"/>
      <c r="F844" s="25"/>
      <c r="G844" s="25"/>
      <c r="H844" s="25"/>
      <c r="I844" s="25"/>
      <c r="J844" s="55"/>
      <c r="K844" s="25" t="str">
        <f ca="1">IFERROR(__xludf.DUMMYFUNCTION("""COMPUTED_VALUE"""),"Definir fecha")</f>
        <v>Definir fecha</v>
      </c>
      <c r="L844" s="62"/>
      <c r="M844" s="25"/>
      <c r="N844" s="25"/>
      <c r="O844" s="25">
        <f t="shared" si="0"/>
        <v>0</v>
      </c>
      <c r="P844" s="25" t="str">
        <f t="shared" si="2"/>
        <v/>
      </c>
      <c r="Q844" s="25" t="str">
        <f ca="1">IFERROR(__xludf.DUMMYFUNCTION("""COMPUTED_VALUE"""),"Sin defenir")</f>
        <v>Sin defenir</v>
      </c>
      <c r="R844" s="25"/>
      <c r="S844" s="55"/>
      <c r="T844" s="56"/>
      <c r="U844" s="25"/>
      <c r="V844" s="25"/>
      <c r="W844" s="25"/>
      <c r="X844" s="25"/>
      <c r="Y844" s="25"/>
      <c r="Z844" s="25"/>
    </row>
    <row r="845" spans="1:26" ht="52.5" customHeight="1" x14ac:dyDescent="0.25">
      <c r="A845" s="25" t="str">
        <f ca="1">IFERROR(__xludf.DUMMYFUNCTION("""COMPUTED_VALUE"""),"Mujer243")</f>
        <v>Mujer243</v>
      </c>
      <c r="B845" s="25"/>
      <c r="C845" s="55"/>
      <c r="D845" s="25" t="str">
        <f ca="1">IFERROR(__xludf.DUMMYFUNCTION("""COMPUTED_VALUE"""),"Mujer")</f>
        <v>Mujer</v>
      </c>
      <c r="E845" s="25"/>
      <c r="F845" s="25"/>
      <c r="G845" s="25"/>
      <c r="H845" s="25"/>
      <c r="I845" s="25"/>
      <c r="J845" s="55"/>
      <c r="K845" s="25" t="str">
        <f ca="1">IFERROR(__xludf.DUMMYFUNCTION("""COMPUTED_VALUE"""),"Definir fecha")</f>
        <v>Definir fecha</v>
      </c>
      <c r="L845" s="62"/>
      <c r="M845" s="25"/>
      <c r="N845" s="25"/>
      <c r="O845" s="25">
        <f t="shared" si="0"/>
        <v>0</v>
      </c>
      <c r="P845" s="25" t="str">
        <f t="shared" si="2"/>
        <v/>
      </c>
      <c r="Q845" s="25" t="str">
        <f ca="1">IFERROR(__xludf.DUMMYFUNCTION("""COMPUTED_VALUE"""),"Sin defenir")</f>
        <v>Sin defenir</v>
      </c>
      <c r="R845" s="25"/>
      <c r="S845" s="55"/>
      <c r="T845" s="56"/>
      <c r="U845" s="25"/>
      <c r="V845" s="25"/>
      <c r="W845" s="25"/>
      <c r="X845" s="25"/>
      <c r="Y845" s="25"/>
      <c r="Z845" s="25"/>
    </row>
    <row r="846" spans="1:26" ht="52.5" customHeight="1" x14ac:dyDescent="0.25">
      <c r="A846" s="25" t="str">
        <f ca="1">IFERROR(__xludf.DUMMYFUNCTION("""COMPUTED_VALUE"""),"Mujer244")</f>
        <v>Mujer244</v>
      </c>
      <c r="B846" s="25"/>
      <c r="C846" s="55"/>
      <c r="D846" s="25" t="str">
        <f ca="1">IFERROR(__xludf.DUMMYFUNCTION("""COMPUTED_VALUE"""),"Mujer")</f>
        <v>Mujer</v>
      </c>
      <c r="E846" s="25"/>
      <c r="F846" s="25"/>
      <c r="G846" s="25"/>
      <c r="H846" s="25"/>
      <c r="I846" s="25"/>
      <c r="J846" s="55"/>
      <c r="K846" s="25" t="str">
        <f ca="1">IFERROR(__xludf.DUMMYFUNCTION("""COMPUTED_VALUE"""),"Definir fecha")</f>
        <v>Definir fecha</v>
      </c>
      <c r="L846" s="62"/>
      <c r="M846" s="25"/>
      <c r="N846" s="25"/>
      <c r="O846" s="25">
        <f t="shared" si="0"/>
        <v>0</v>
      </c>
      <c r="P846" s="25" t="str">
        <f t="shared" si="2"/>
        <v/>
      </c>
      <c r="Q846" s="25" t="str">
        <f ca="1">IFERROR(__xludf.DUMMYFUNCTION("""COMPUTED_VALUE"""),"Sin defenir")</f>
        <v>Sin defenir</v>
      </c>
      <c r="R846" s="25"/>
      <c r="S846" s="55"/>
      <c r="T846" s="56"/>
      <c r="U846" s="25"/>
      <c r="V846" s="25"/>
      <c r="W846" s="25"/>
      <c r="X846" s="25"/>
      <c r="Y846" s="25"/>
      <c r="Z846" s="25"/>
    </row>
    <row r="847" spans="1:26" ht="52.5" customHeight="1" x14ac:dyDescent="0.25">
      <c r="A847" s="25" t="str">
        <f ca="1">IFERROR(__xludf.DUMMYFUNCTION("""COMPUTED_VALUE"""),"Mujer245")</f>
        <v>Mujer245</v>
      </c>
      <c r="B847" s="25"/>
      <c r="C847" s="55"/>
      <c r="D847" s="25" t="str">
        <f ca="1">IFERROR(__xludf.DUMMYFUNCTION("""COMPUTED_VALUE"""),"Mujer")</f>
        <v>Mujer</v>
      </c>
      <c r="E847" s="25"/>
      <c r="F847" s="25"/>
      <c r="G847" s="25"/>
      <c r="H847" s="25"/>
      <c r="I847" s="25"/>
      <c r="J847" s="55"/>
      <c r="K847" s="25" t="str">
        <f ca="1">IFERROR(__xludf.DUMMYFUNCTION("""COMPUTED_VALUE"""),"Definir fecha")</f>
        <v>Definir fecha</v>
      </c>
      <c r="L847" s="62"/>
      <c r="M847" s="25"/>
      <c r="N847" s="25"/>
      <c r="O847" s="25">
        <f t="shared" si="0"/>
        <v>0</v>
      </c>
      <c r="P847" s="25" t="str">
        <f t="shared" si="2"/>
        <v/>
      </c>
      <c r="Q847" s="25" t="str">
        <f ca="1">IFERROR(__xludf.DUMMYFUNCTION("""COMPUTED_VALUE"""),"Sin defenir")</f>
        <v>Sin defenir</v>
      </c>
      <c r="R847" s="25"/>
      <c r="S847" s="55"/>
      <c r="T847" s="56"/>
      <c r="U847" s="25"/>
      <c r="V847" s="25"/>
      <c r="W847" s="25"/>
      <c r="X847" s="25"/>
      <c r="Y847" s="25"/>
      <c r="Z847" s="25"/>
    </row>
    <row r="848" spans="1:26" ht="52.5" customHeight="1" x14ac:dyDescent="0.25">
      <c r="A848" s="25" t="str">
        <f ca="1">IFERROR(__xludf.DUMMYFUNCTION("""COMPUTED_VALUE"""),"Mujer246")</f>
        <v>Mujer246</v>
      </c>
      <c r="B848" s="25"/>
      <c r="C848" s="55"/>
      <c r="D848" s="25" t="str">
        <f ca="1">IFERROR(__xludf.DUMMYFUNCTION("""COMPUTED_VALUE"""),"Mujer")</f>
        <v>Mujer</v>
      </c>
      <c r="E848" s="25"/>
      <c r="F848" s="25"/>
      <c r="G848" s="25"/>
      <c r="H848" s="25"/>
      <c r="I848" s="25"/>
      <c r="J848" s="55"/>
      <c r="K848" s="25" t="str">
        <f ca="1">IFERROR(__xludf.DUMMYFUNCTION("""COMPUTED_VALUE"""),"Definir fecha")</f>
        <v>Definir fecha</v>
      </c>
      <c r="L848" s="62"/>
      <c r="M848" s="25"/>
      <c r="N848" s="25"/>
      <c r="O848" s="25">
        <f t="shared" si="0"/>
        <v>0</v>
      </c>
      <c r="P848" s="25" t="str">
        <f t="shared" si="2"/>
        <v/>
      </c>
      <c r="Q848" s="25" t="str">
        <f ca="1">IFERROR(__xludf.DUMMYFUNCTION("""COMPUTED_VALUE"""),"Sin defenir")</f>
        <v>Sin defenir</v>
      </c>
      <c r="R848" s="25"/>
      <c r="S848" s="55"/>
      <c r="T848" s="56"/>
      <c r="U848" s="25"/>
      <c r="V848" s="25"/>
      <c r="W848" s="25"/>
      <c r="X848" s="25"/>
      <c r="Y848" s="25"/>
      <c r="Z848" s="25"/>
    </row>
    <row r="849" spans="1:26" ht="52.5" customHeight="1" x14ac:dyDescent="0.25">
      <c r="A849" s="25" t="str">
        <f ca="1">IFERROR(__xludf.DUMMYFUNCTION("""COMPUTED_VALUE"""),"Mujer247")</f>
        <v>Mujer247</v>
      </c>
      <c r="B849" s="25"/>
      <c r="C849" s="55"/>
      <c r="D849" s="25" t="str">
        <f ca="1">IFERROR(__xludf.DUMMYFUNCTION("""COMPUTED_VALUE"""),"Mujer")</f>
        <v>Mujer</v>
      </c>
      <c r="E849" s="25"/>
      <c r="F849" s="25"/>
      <c r="G849" s="25"/>
      <c r="H849" s="25"/>
      <c r="I849" s="25"/>
      <c r="J849" s="55"/>
      <c r="K849" s="25" t="str">
        <f ca="1">IFERROR(__xludf.DUMMYFUNCTION("""COMPUTED_VALUE"""),"Definir fecha")</f>
        <v>Definir fecha</v>
      </c>
      <c r="L849" s="62"/>
      <c r="M849" s="25"/>
      <c r="N849" s="25"/>
      <c r="O849" s="25">
        <f t="shared" si="0"/>
        <v>0</v>
      </c>
      <c r="P849" s="25" t="str">
        <f t="shared" si="2"/>
        <v/>
      </c>
      <c r="Q849" s="25" t="str">
        <f ca="1">IFERROR(__xludf.DUMMYFUNCTION("""COMPUTED_VALUE"""),"Sin defenir")</f>
        <v>Sin defenir</v>
      </c>
      <c r="R849" s="25"/>
      <c r="S849" s="55"/>
      <c r="T849" s="56"/>
      <c r="U849" s="25"/>
      <c r="V849" s="25"/>
      <c r="W849" s="25"/>
      <c r="X849" s="25"/>
      <c r="Y849" s="25"/>
      <c r="Z849" s="25"/>
    </row>
    <row r="850" spans="1:26" ht="52.5" customHeight="1" x14ac:dyDescent="0.25">
      <c r="A850" s="25" t="str">
        <f ca="1">IFERROR(__xludf.DUMMYFUNCTION("""COMPUTED_VALUE"""),"Mujer248")</f>
        <v>Mujer248</v>
      </c>
      <c r="B850" s="25"/>
      <c r="C850" s="55"/>
      <c r="D850" s="25" t="str">
        <f ca="1">IFERROR(__xludf.DUMMYFUNCTION("""COMPUTED_VALUE"""),"Mujer")</f>
        <v>Mujer</v>
      </c>
      <c r="E850" s="25"/>
      <c r="F850" s="25"/>
      <c r="G850" s="25"/>
      <c r="H850" s="25"/>
      <c r="I850" s="25"/>
      <c r="J850" s="55"/>
      <c r="K850" s="25" t="str">
        <f ca="1">IFERROR(__xludf.DUMMYFUNCTION("""COMPUTED_VALUE"""),"Definir fecha")</f>
        <v>Definir fecha</v>
      </c>
      <c r="L850" s="62"/>
      <c r="M850" s="25"/>
      <c r="N850" s="25"/>
      <c r="O850" s="25">
        <f t="shared" si="0"/>
        <v>0</v>
      </c>
      <c r="P850" s="25" t="str">
        <f t="shared" si="2"/>
        <v/>
      </c>
      <c r="Q850" s="25" t="str">
        <f ca="1">IFERROR(__xludf.DUMMYFUNCTION("""COMPUTED_VALUE"""),"Sin defenir")</f>
        <v>Sin defenir</v>
      </c>
      <c r="R850" s="25"/>
      <c r="S850" s="55"/>
      <c r="T850" s="56"/>
      <c r="U850" s="25"/>
      <c r="V850" s="25"/>
      <c r="W850" s="25"/>
      <c r="X850" s="25"/>
      <c r="Y850" s="25"/>
      <c r="Z850" s="25"/>
    </row>
    <row r="851" spans="1:26" ht="52.5" customHeight="1" x14ac:dyDescent="0.25">
      <c r="A851" s="25" t="str">
        <f ca="1">IFERROR(__xludf.DUMMYFUNCTION("""COMPUTED_VALUE"""),"Mujer249")</f>
        <v>Mujer249</v>
      </c>
      <c r="B851" s="25"/>
      <c r="C851" s="55"/>
      <c r="D851" s="25" t="str">
        <f ca="1">IFERROR(__xludf.DUMMYFUNCTION("""COMPUTED_VALUE"""),"Mujer")</f>
        <v>Mujer</v>
      </c>
      <c r="E851" s="25"/>
      <c r="F851" s="25"/>
      <c r="G851" s="25"/>
      <c r="H851" s="25"/>
      <c r="I851" s="25"/>
      <c r="J851" s="55"/>
      <c r="K851" s="25" t="str">
        <f ca="1">IFERROR(__xludf.DUMMYFUNCTION("""COMPUTED_VALUE"""),"Definir fecha")</f>
        <v>Definir fecha</v>
      </c>
      <c r="L851" s="62"/>
      <c r="M851" s="25"/>
      <c r="N851" s="25"/>
      <c r="O851" s="25">
        <f t="shared" si="0"/>
        <v>0</v>
      </c>
      <c r="P851" s="25" t="str">
        <f t="shared" si="2"/>
        <v/>
      </c>
      <c r="Q851" s="25" t="str">
        <f ca="1">IFERROR(__xludf.DUMMYFUNCTION("""COMPUTED_VALUE"""),"Sin defenir")</f>
        <v>Sin defenir</v>
      </c>
      <c r="R851" s="25"/>
      <c r="S851" s="55"/>
      <c r="T851" s="56"/>
      <c r="U851" s="25"/>
      <c r="V851" s="25"/>
      <c r="W851" s="25"/>
      <c r="X851" s="25"/>
      <c r="Y851" s="25"/>
      <c r="Z851" s="25"/>
    </row>
    <row r="852" spans="1:26" ht="52.5" customHeight="1" x14ac:dyDescent="0.25">
      <c r="A852" s="25" t="str">
        <f ca="1">IFERROR(__xludf.DUMMYFUNCTION("""COMPUTED_VALUE"""),"Mujer250")</f>
        <v>Mujer250</v>
      </c>
      <c r="B852" s="25"/>
      <c r="C852" s="55"/>
      <c r="D852" s="25" t="str">
        <f ca="1">IFERROR(__xludf.DUMMYFUNCTION("""COMPUTED_VALUE"""),"Mujer")</f>
        <v>Mujer</v>
      </c>
      <c r="E852" s="25"/>
      <c r="F852" s="25"/>
      <c r="G852" s="25"/>
      <c r="H852" s="25"/>
      <c r="I852" s="25"/>
      <c r="J852" s="55"/>
      <c r="K852" s="25" t="str">
        <f ca="1">IFERROR(__xludf.DUMMYFUNCTION("""COMPUTED_VALUE"""),"Definir fecha")</f>
        <v>Definir fecha</v>
      </c>
      <c r="L852" s="62"/>
      <c r="M852" s="25"/>
      <c r="N852" s="25"/>
      <c r="O852" s="25">
        <f t="shared" si="0"/>
        <v>0</v>
      </c>
      <c r="P852" s="25" t="str">
        <f t="shared" si="2"/>
        <v/>
      </c>
      <c r="Q852" s="25" t="str">
        <f ca="1">IFERROR(__xludf.DUMMYFUNCTION("""COMPUTED_VALUE"""),"Sin defenir")</f>
        <v>Sin defenir</v>
      </c>
      <c r="R852" s="25"/>
      <c r="S852" s="55"/>
      <c r="T852" s="56"/>
      <c r="U852" s="25"/>
      <c r="V852" s="25"/>
      <c r="W852" s="25"/>
      <c r="X852" s="25"/>
      <c r="Y852" s="25"/>
      <c r="Z852" s="25"/>
    </row>
    <row r="853" spans="1:26" ht="52.5" customHeight="1" x14ac:dyDescent="0.25">
      <c r="A853" s="25" t="str">
        <f ca="1">IFERROR(__xludf.DUMMYFUNCTION("""COMPUTED_VALUE"""),"Mujer251")</f>
        <v>Mujer251</v>
      </c>
      <c r="B853" s="25"/>
      <c r="C853" s="55"/>
      <c r="D853" s="25" t="str">
        <f ca="1">IFERROR(__xludf.DUMMYFUNCTION("""COMPUTED_VALUE"""),"Mujer")</f>
        <v>Mujer</v>
      </c>
      <c r="E853" s="25"/>
      <c r="F853" s="25"/>
      <c r="G853" s="25"/>
      <c r="H853" s="25"/>
      <c r="I853" s="25"/>
      <c r="J853" s="55"/>
      <c r="K853" s="25" t="str">
        <f ca="1">IFERROR(__xludf.DUMMYFUNCTION("""COMPUTED_VALUE"""),"Definir fecha")</f>
        <v>Definir fecha</v>
      </c>
      <c r="L853" s="62"/>
      <c r="M853" s="25"/>
      <c r="N853" s="25"/>
      <c r="O853" s="25">
        <f t="shared" si="0"/>
        <v>0</v>
      </c>
      <c r="P853" s="25" t="str">
        <f t="shared" si="2"/>
        <v/>
      </c>
      <c r="Q853" s="25" t="str">
        <f ca="1">IFERROR(__xludf.DUMMYFUNCTION("""COMPUTED_VALUE"""),"Sin defenir")</f>
        <v>Sin defenir</v>
      </c>
      <c r="R853" s="25"/>
      <c r="S853" s="55"/>
      <c r="T853" s="56"/>
      <c r="U853" s="25"/>
      <c r="V853" s="25"/>
      <c r="W853" s="25"/>
      <c r="X853" s="25"/>
      <c r="Y853" s="25"/>
      <c r="Z853" s="25"/>
    </row>
    <row r="854" spans="1:26" ht="52.5" customHeight="1" x14ac:dyDescent="0.25">
      <c r="A854" s="25" t="str">
        <f ca="1">IFERROR(__xludf.DUMMYFUNCTION("""COMPUTED_VALUE"""),"Mujer252")</f>
        <v>Mujer252</v>
      </c>
      <c r="B854" s="25"/>
      <c r="C854" s="55"/>
      <c r="D854" s="25" t="str">
        <f ca="1">IFERROR(__xludf.DUMMYFUNCTION("""COMPUTED_VALUE"""),"Mujer")</f>
        <v>Mujer</v>
      </c>
      <c r="E854" s="25"/>
      <c r="F854" s="25"/>
      <c r="G854" s="25"/>
      <c r="H854" s="25"/>
      <c r="I854" s="25"/>
      <c r="J854" s="55"/>
      <c r="K854" s="25" t="str">
        <f ca="1">IFERROR(__xludf.DUMMYFUNCTION("""COMPUTED_VALUE"""),"Definir fecha")</f>
        <v>Definir fecha</v>
      </c>
      <c r="L854" s="62"/>
      <c r="M854" s="25"/>
      <c r="N854" s="25"/>
      <c r="O854" s="25">
        <f t="shared" si="0"/>
        <v>0</v>
      </c>
      <c r="P854" s="25" t="str">
        <f t="shared" si="2"/>
        <v/>
      </c>
      <c r="Q854" s="25" t="str">
        <f ca="1">IFERROR(__xludf.DUMMYFUNCTION("""COMPUTED_VALUE"""),"Sin defenir")</f>
        <v>Sin defenir</v>
      </c>
      <c r="R854" s="25"/>
      <c r="S854" s="55"/>
      <c r="T854" s="56"/>
      <c r="U854" s="25"/>
      <c r="V854" s="25"/>
      <c r="W854" s="25"/>
      <c r="X854" s="25"/>
      <c r="Y854" s="25"/>
      <c r="Z854" s="25"/>
    </row>
    <row r="855" spans="1:26" ht="52.5" customHeight="1" x14ac:dyDescent="0.25">
      <c r="A855" s="25" t="str">
        <f ca="1">IFERROR(__xludf.DUMMYFUNCTION("""COMPUTED_VALUE"""),"Mujer253")</f>
        <v>Mujer253</v>
      </c>
      <c r="B855" s="25"/>
      <c r="C855" s="55"/>
      <c r="D855" s="25" t="str">
        <f ca="1">IFERROR(__xludf.DUMMYFUNCTION("""COMPUTED_VALUE"""),"Mujer")</f>
        <v>Mujer</v>
      </c>
      <c r="E855" s="25"/>
      <c r="F855" s="25"/>
      <c r="G855" s="25"/>
      <c r="H855" s="25"/>
      <c r="I855" s="25"/>
      <c r="J855" s="55"/>
      <c r="K855" s="25" t="str">
        <f ca="1">IFERROR(__xludf.DUMMYFUNCTION("""COMPUTED_VALUE"""),"Definir fecha")</f>
        <v>Definir fecha</v>
      </c>
      <c r="L855" s="62"/>
      <c r="M855" s="25"/>
      <c r="N855" s="25"/>
      <c r="O855" s="25">
        <f t="shared" si="0"/>
        <v>0</v>
      </c>
      <c r="P855" s="25" t="str">
        <f t="shared" si="2"/>
        <v/>
      </c>
      <c r="Q855" s="25" t="str">
        <f ca="1">IFERROR(__xludf.DUMMYFUNCTION("""COMPUTED_VALUE"""),"Sin defenir")</f>
        <v>Sin defenir</v>
      </c>
      <c r="R855" s="25"/>
      <c r="S855" s="55"/>
      <c r="T855" s="56"/>
      <c r="U855" s="25"/>
      <c r="V855" s="25"/>
      <c r="W855" s="25"/>
      <c r="X855" s="25"/>
      <c r="Y855" s="25"/>
      <c r="Z855" s="25"/>
    </row>
    <row r="856" spans="1:26" ht="52.5" customHeight="1" x14ac:dyDescent="0.25">
      <c r="A856" s="25" t="str">
        <f ca="1">IFERROR(__xludf.DUMMYFUNCTION("""COMPUTED_VALUE"""),"Mujer254")</f>
        <v>Mujer254</v>
      </c>
      <c r="B856" s="25"/>
      <c r="C856" s="55"/>
      <c r="D856" s="25" t="str">
        <f ca="1">IFERROR(__xludf.DUMMYFUNCTION("""COMPUTED_VALUE"""),"Mujer")</f>
        <v>Mujer</v>
      </c>
      <c r="E856" s="25"/>
      <c r="F856" s="25"/>
      <c r="G856" s="25"/>
      <c r="H856" s="25"/>
      <c r="I856" s="25"/>
      <c r="J856" s="55"/>
      <c r="K856" s="25" t="str">
        <f ca="1">IFERROR(__xludf.DUMMYFUNCTION("""COMPUTED_VALUE"""),"Definir fecha")</f>
        <v>Definir fecha</v>
      </c>
      <c r="L856" s="62"/>
      <c r="M856" s="25"/>
      <c r="N856" s="25"/>
      <c r="O856" s="25">
        <f t="shared" si="0"/>
        <v>0</v>
      </c>
      <c r="P856" s="25" t="str">
        <f t="shared" si="2"/>
        <v/>
      </c>
      <c r="Q856" s="25" t="str">
        <f ca="1">IFERROR(__xludf.DUMMYFUNCTION("""COMPUTED_VALUE"""),"Sin defenir")</f>
        <v>Sin defenir</v>
      </c>
      <c r="R856" s="25"/>
      <c r="S856" s="55"/>
      <c r="T856" s="56"/>
      <c r="U856" s="25"/>
      <c r="V856" s="25"/>
      <c r="W856" s="25"/>
      <c r="X856" s="25"/>
      <c r="Y856" s="25"/>
      <c r="Z856" s="25"/>
    </row>
    <row r="857" spans="1:26" ht="52.5" customHeight="1" x14ac:dyDescent="0.25">
      <c r="A857" s="25" t="str">
        <f ca="1">IFERROR(__xludf.DUMMYFUNCTION("""COMPUTED_VALUE"""),"Mujer255")</f>
        <v>Mujer255</v>
      </c>
      <c r="B857" s="25"/>
      <c r="C857" s="55"/>
      <c r="D857" s="25" t="str">
        <f ca="1">IFERROR(__xludf.DUMMYFUNCTION("""COMPUTED_VALUE"""),"Mujer")</f>
        <v>Mujer</v>
      </c>
      <c r="E857" s="25"/>
      <c r="F857" s="25"/>
      <c r="G857" s="25"/>
      <c r="H857" s="25"/>
      <c r="I857" s="25"/>
      <c r="J857" s="55"/>
      <c r="K857" s="25" t="str">
        <f ca="1">IFERROR(__xludf.DUMMYFUNCTION("""COMPUTED_VALUE"""),"Definir fecha")</f>
        <v>Definir fecha</v>
      </c>
      <c r="L857" s="62"/>
      <c r="M857" s="25"/>
      <c r="N857" s="25"/>
      <c r="O857" s="25">
        <f t="shared" si="0"/>
        <v>0</v>
      </c>
      <c r="P857" s="25" t="str">
        <f t="shared" si="2"/>
        <v/>
      </c>
      <c r="Q857" s="25" t="str">
        <f ca="1">IFERROR(__xludf.DUMMYFUNCTION("""COMPUTED_VALUE"""),"Sin defenir")</f>
        <v>Sin defenir</v>
      </c>
      <c r="R857" s="25"/>
      <c r="S857" s="55"/>
      <c r="T857" s="56"/>
      <c r="U857" s="25"/>
      <c r="V857" s="25"/>
      <c r="W857" s="25"/>
      <c r="X857" s="25"/>
      <c r="Y857" s="25"/>
      <c r="Z857" s="25"/>
    </row>
    <row r="858" spans="1:26" ht="52.5" customHeight="1" x14ac:dyDescent="0.25">
      <c r="A858" s="25" t="str">
        <f ca="1">IFERROR(__xludf.DUMMYFUNCTION("""COMPUTED_VALUE"""),"Mujer256")</f>
        <v>Mujer256</v>
      </c>
      <c r="B858" s="25"/>
      <c r="C858" s="55"/>
      <c r="D858" s="25" t="str">
        <f ca="1">IFERROR(__xludf.DUMMYFUNCTION("""COMPUTED_VALUE"""),"Mujer")</f>
        <v>Mujer</v>
      </c>
      <c r="E858" s="25"/>
      <c r="F858" s="25"/>
      <c r="G858" s="25"/>
      <c r="H858" s="25"/>
      <c r="I858" s="25"/>
      <c r="J858" s="55"/>
      <c r="K858" s="25" t="str">
        <f ca="1">IFERROR(__xludf.DUMMYFUNCTION("""COMPUTED_VALUE"""),"Definir fecha")</f>
        <v>Definir fecha</v>
      </c>
      <c r="L858" s="62"/>
      <c r="M858" s="25"/>
      <c r="N858" s="25"/>
      <c r="O858" s="25">
        <f t="shared" si="0"/>
        <v>0</v>
      </c>
      <c r="P858" s="25" t="str">
        <f t="shared" si="2"/>
        <v/>
      </c>
      <c r="Q858" s="25" t="str">
        <f ca="1">IFERROR(__xludf.DUMMYFUNCTION("""COMPUTED_VALUE"""),"Sin defenir")</f>
        <v>Sin defenir</v>
      </c>
      <c r="R858" s="25"/>
      <c r="S858" s="55"/>
      <c r="T858" s="56"/>
      <c r="U858" s="25"/>
      <c r="V858" s="25"/>
      <c r="W858" s="25"/>
      <c r="X858" s="25"/>
      <c r="Y858" s="25"/>
      <c r="Z858" s="25"/>
    </row>
    <row r="859" spans="1:26" ht="52.5" customHeight="1" x14ac:dyDescent="0.25">
      <c r="A859" s="25" t="str">
        <f ca="1">IFERROR(__xludf.DUMMYFUNCTION("""COMPUTED_VALUE"""),"Mujer257")</f>
        <v>Mujer257</v>
      </c>
      <c r="B859" s="25"/>
      <c r="C859" s="55"/>
      <c r="D859" s="25" t="str">
        <f ca="1">IFERROR(__xludf.DUMMYFUNCTION("""COMPUTED_VALUE"""),"Mujer")</f>
        <v>Mujer</v>
      </c>
      <c r="E859" s="25"/>
      <c r="F859" s="25"/>
      <c r="G859" s="25"/>
      <c r="H859" s="25"/>
      <c r="I859" s="25"/>
      <c r="J859" s="55"/>
      <c r="K859" s="25" t="str">
        <f ca="1">IFERROR(__xludf.DUMMYFUNCTION("""COMPUTED_VALUE"""),"Definir fecha")</f>
        <v>Definir fecha</v>
      </c>
      <c r="L859" s="62"/>
      <c r="M859" s="25"/>
      <c r="N859" s="25"/>
      <c r="O859" s="25">
        <f t="shared" si="0"/>
        <v>0</v>
      </c>
      <c r="P859" s="25" t="str">
        <f t="shared" si="2"/>
        <v/>
      </c>
      <c r="Q859" s="25" t="str">
        <f ca="1">IFERROR(__xludf.DUMMYFUNCTION("""COMPUTED_VALUE"""),"Sin defenir")</f>
        <v>Sin defenir</v>
      </c>
      <c r="R859" s="25"/>
      <c r="S859" s="55"/>
      <c r="T859" s="56"/>
      <c r="U859" s="25"/>
      <c r="V859" s="25"/>
      <c r="W859" s="25"/>
      <c r="X859" s="25"/>
      <c r="Y859" s="25"/>
      <c r="Z859" s="25"/>
    </row>
    <row r="860" spans="1:26" ht="52.5" customHeight="1" x14ac:dyDescent="0.25">
      <c r="A860" s="25" t="str">
        <f ca="1">IFERROR(__xludf.DUMMYFUNCTION("""COMPUTED_VALUE"""),"Mujer258")</f>
        <v>Mujer258</v>
      </c>
      <c r="B860" s="25"/>
      <c r="C860" s="55"/>
      <c r="D860" s="25" t="str">
        <f ca="1">IFERROR(__xludf.DUMMYFUNCTION("""COMPUTED_VALUE"""),"Mujer")</f>
        <v>Mujer</v>
      </c>
      <c r="E860" s="25"/>
      <c r="F860" s="25"/>
      <c r="G860" s="25"/>
      <c r="H860" s="25"/>
      <c r="I860" s="25"/>
      <c r="J860" s="55"/>
      <c r="K860" s="25" t="str">
        <f ca="1">IFERROR(__xludf.DUMMYFUNCTION("""COMPUTED_VALUE"""),"Definir fecha")</f>
        <v>Definir fecha</v>
      </c>
      <c r="L860" s="62"/>
      <c r="M860" s="25"/>
      <c r="N860" s="25"/>
      <c r="O860" s="25">
        <f t="shared" si="0"/>
        <v>0</v>
      </c>
      <c r="P860" s="25" t="str">
        <f t="shared" si="2"/>
        <v/>
      </c>
      <c r="Q860" s="25" t="str">
        <f ca="1">IFERROR(__xludf.DUMMYFUNCTION("""COMPUTED_VALUE"""),"Sin defenir")</f>
        <v>Sin defenir</v>
      </c>
      <c r="R860" s="25"/>
      <c r="S860" s="55"/>
      <c r="T860" s="56"/>
      <c r="U860" s="25"/>
      <c r="V860" s="25"/>
      <c r="W860" s="25"/>
      <c r="X860" s="25"/>
      <c r="Y860" s="25"/>
      <c r="Z860" s="25"/>
    </row>
    <row r="861" spans="1:26" ht="52.5" customHeight="1" x14ac:dyDescent="0.25">
      <c r="A861" s="25" t="str">
        <f ca="1">IFERROR(__xludf.DUMMYFUNCTION("""COMPUTED_VALUE"""),"Mujer259")</f>
        <v>Mujer259</v>
      </c>
      <c r="B861" s="25"/>
      <c r="C861" s="55"/>
      <c r="D861" s="25" t="str">
        <f ca="1">IFERROR(__xludf.DUMMYFUNCTION("""COMPUTED_VALUE"""),"Mujer")</f>
        <v>Mujer</v>
      </c>
      <c r="E861" s="25"/>
      <c r="F861" s="25"/>
      <c r="G861" s="25"/>
      <c r="H861" s="25"/>
      <c r="I861" s="25"/>
      <c r="J861" s="55"/>
      <c r="K861" s="25" t="str">
        <f ca="1">IFERROR(__xludf.DUMMYFUNCTION("""COMPUTED_VALUE"""),"Definir fecha")</f>
        <v>Definir fecha</v>
      </c>
      <c r="L861" s="62"/>
      <c r="M861" s="25"/>
      <c r="N861" s="25"/>
      <c r="O861" s="25">
        <f t="shared" si="0"/>
        <v>0</v>
      </c>
      <c r="P861" s="25" t="str">
        <f t="shared" si="2"/>
        <v/>
      </c>
      <c r="Q861" s="25" t="str">
        <f ca="1">IFERROR(__xludf.DUMMYFUNCTION("""COMPUTED_VALUE"""),"Sin defenir")</f>
        <v>Sin defenir</v>
      </c>
      <c r="R861" s="25"/>
      <c r="S861" s="55"/>
      <c r="T861" s="56"/>
      <c r="U861" s="25"/>
      <c r="V861" s="25"/>
      <c r="W861" s="25"/>
      <c r="X861" s="25"/>
      <c r="Y861" s="25"/>
      <c r="Z861" s="25"/>
    </row>
    <row r="862" spans="1:26" ht="52.5" customHeight="1" x14ac:dyDescent="0.25">
      <c r="A862" s="25" t="str">
        <f ca="1">IFERROR(__xludf.DUMMYFUNCTION("""COMPUTED_VALUE"""),"Mujer260")</f>
        <v>Mujer260</v>
      </c>
      <c r="B862" s="25"/>
      <c r="C862" s="55"/>
      <c r="D862" s="25" t="str">
        <f ca="1">IFERROR(__xludf.DUMMYFUNCTION("""COMPUTED_VALUE"""),"Mujer")</f>
        <v>Mujer</v>
      </c>
      <c r="E862" s="25"/>
      <c r="F862" s="25"/>
      <c r="G862" s="25"/>
      <c r="H862" s="25"/>
      <c r="I862" s="25"/>
      <c r="J862" s="55"/>
      <c r="K862" s="25" t="str">
        <f ca="1">IFERROR(__xludf.DUMMYFUNCTION("""COMPUTED_VALUE"""),"Definir fecha")</f>
        <v>Definir fecha</v>
      </c>
      <c r="L862" s="62"/>
      <c r="M862" s="25"/>
      <c r="N862" s="25"/>
      <c r="O862" s="25">
        <f t="shared" si="0"/>
        <v>0</v>
      </c>
      <c r="P862" s="25" t="str">
        <f t="shared" si="2"/>
        <v/>
      </c>
      <c r="Q862" s="25" t="str">
        <f ca="1">IFERROR(__xludf.DUMMYFUNCTION("""COMPUTED_VALUE"""),"Sin defenir")</f>
        <v>Sin defenir</v>
      </c>
      <c r="R862" s="25"/>
      <c r="S862" s="55"/>
      <c r="T862" s="56"/>
      <c r="U862" s="25"/>
      <c r="V862" s="25"/>
      <c r="W862" s="25"/>
      <c r="X862" s="25"/>
      <c r="Y862" s="25"/>
      <c r="Z862" s="25"/>
    </row>
    <row r="863" spans="1:26" ht="52.5" customHeight="1" x14ac:dyDescent="0.25">
      <c r="A863" s="25" t="str">
        <f ca="1">IFERROR(__xludf.DUMMYFUNCTION("""COMPUTED_VALUE"""),"Mujer261")</f>
        <v>Mujer261</v>
      </c>
      <c r="B863" s="25"/>
      <c r="C863" s="55"/>
      <c r="D863" s="25" t="str">
        <f ca="1">IFERROR(__xludf.DUMMYFUNCTION("""COMPUTED_VALUE"""),"Mujer")</f>
        <v>Mujer</v>
      </c>
      <c r="E863" s="25"/>
      <c r="F863" s="25"/>
      <c r="G863" s="25"/>
      <c r="H863" s="25"/>
      <c r="I863" s="25"/>
      <c r="J863" s="55"/>
      <c r="K863" s="25" t="str">
        <f ca="1">IFERROR(__xludf.DUMMYFUNCTION("""COMPUTED_VALUE"""),"Definir fecha")</f>
        <v>Definir fecha</v>
      </c>
      <c r="L863" s="62"/>
      <c r="M863" s="25"/>
      <c r="N863" s="25"/>
      <c r="O863" s="25">
        <f t="shared" si="0"/>
        <v>0</v>
      </c>
      <c r="P863" s="25" t="str">
        <f t="shared" si="2"/>
        <v/>
      </c>
      <c r="Q863" s="25" t="str">
        <f ca="1">IFERROR(__xludf.DUMMYFUNCTION("""COMPUTED_VALUE"""),"Sin defenir")</f>
        <v>Sin defenir</v>
      </c>
      <c r="R863" s="25"/>
      <c r="S863" s="55"/>
      <c r="T863" s="56"/>
      <c r="U863" s="25"/>
      <c r="V863" s="25"/>
      <c r="W863" s="25"/>
      <c r="X863" s="25"/>
      <c r="Y863" s="25"/>
      <c r="Z863" s="25"/>
    </row>
    <row r="864" spans="1:26" ht="52.5" customHeight="1" x14ac:dyDescent="0.25">
      <c r="A864" s="25" t="str">
        <f ca="1">IFERROR(__xludf.DUMMYFUNCTION("""COMPUTED_VALUE"""),"Mujer262")</f>
        <v>Mujer262</v>
      </c>
      <c r="B864" s="25"/>
      <c r="C864" s="55"/>
      <c r="D864" s="25" t="str">
        <f ca="1">IFERROR(__xludf.DUMMYFUNCTION("""COMPUTED_VALUE"""),"Mujer")</f>
        <v>Mujer</v>
      </c>
      <c r="E864" s="25"/>
      <c r="F864" s="25"/>
      <c r="G864" s="25"/>
      <c r="H864" s="25"/>
      <c r="I864" s="25"/>
      <c r="J864" s="55"/>
      <c r="K864" s="25" t="str">
        <f ca="1">IFERROR(__xludf.DUMMYFUNCTION("""COMPUTED_VALUE"""),"Definir fecha")</f>
        <v>Definir fecha</v>
      </c>
      <c r="L864" s="62"/>
      <c r="M864" s="25"/>
      <c r="N864" s="25"/>
      <c r="O864" s="25">
        <f t="shared" si="0"/>
        <v>0</v>
      </c>
      <c r="P864" s="25" t="str">
        <f t="shared" si="2"/>
        <v/>
      </c>
      <c r="Q864" s="25" t="str">
        <f ca="1">IFERROR(__xludf.DUMMYFUNCTION("""COMPUTED_VALUE"""),"Sin defenir")</f>
        <v>Sin defenir</v>
      </c>
      <c r="R864" s="25"/>
      <c r="S864" s="55"/>
      <c r="T864" s="56"/>
      <c r="U864" s="25"/>
      <c r="V864" s="25"/>
      <c r="W864" s="25"/>
      <c r="X864" s="25"/>
      <c r="Y864" s="25"/>
      <c r="Z864" s="25"/>
    </row>
    <row r="865" spans="1:26" ht="52.5" customHeight="1" x14ac:dyDescent="0.25">
      <c r="A865" s="25" t="str">
        <f ca="1">IFERROR(__xludf.DUMMYFUNCTION("""COMPUTED_VALUE"""),"Mujer263")</f>
        <v>Mujer263</v>
      </c>
      <c r="B865" s="25"/>
      <c r="C865" s="55"/>
      <c r="D865" s="25" t="str">
        <f ca="1">IFERROR(__xludf.DUMMYFUNCTION("""COMPUTED_VALUE"""),"Mujer")</f>
        <v>Mujer</v>
      </c>
      <c r="E865" s="25"/>
      <c r="F865" s="25"/>
      <c r="G865" s="25"/>
      <c r="H865" s="25"/>
      <c r="I865" s="25"/>
      <c r="J865" s="55"/>
      <c r="K865" s="25" t="str">
        <f ca="1">IFERROR(__xludf.DUMMYFUNCTION("""COMPUTED_VALUE"""),"Definir fecha")</f>
        <v>Definir fecha</v>
      </c>
      <c r="L865" s="62"/>
      <c r="M865" s="25"/>
      <c r="N865" s="25"/>
      <c r="O865" s="25">
        <f t="shared" si="0"/>
        <v>0</v>
      </c>
      <c r="P865" s="25" t="str">
        <f t="shared" si="2"/>
        <v/>
      </c>
      <c r="Q865" s="25" t="str">
        <f ca="1">IFERROR(__xludf.DUMMYFUNCTION("""COMPUTED_VALUE"""),"Sin defenir")</f>
        <v>Sin defenir</v>
      </c>
      <c r="R865" s="25"/>
      <c r="S865" s="55"/>
      <c r="T865" s="56"/>
      <c r="U865" s="25"/>
      <c r="V865" s="25"/>
      <c r="W865" s="25"/>
      <c r="X865" s="25"/>
      <c r="Y865" s="25"/>
      <c r="Z865" s="25"/>
    </row>
    <row r="866" spans="1:26" ht="52.5" customHeight="1" x14ac:dyDescent="0.25">
      <c r="A866" s="25" t="str">
        <f ca="1">IFERROR(__xludf.DUMMYFUNCTION("""COMPUTED_VALUE"""),"Mujer264")</f>
        <v>Mujer264</v>
      </c>
      <c r="B866" s="25"/>
      <c r="C866" s="55"/>
      <c r="D866" s="25" t="str">
        <f ca="1">IFERROR(__xludf.DUMMYFUNCTION("""COMPUTED_VALUE"""),"Mujer")</f>
        <v>Mujer</v>
      </c>
      <c r="E866" s="25"/>
      <c r="F866" s="25"/>
      <c r="G866" s="25"/>
      <c r="H866" s="25"/>
      <c r="I866" s="25"/>
      <c r="J866" s="55"/>
      <c r="K866" s="25" t="str">
        <f ca="1">IFERROR(__xludf.DUMMYFUNCTION("""COMPUTED_VALUE"""),"Definir fecha")</f>
        <v>Definir fecha</v>
      </c>
      <c r="L866" s="62"/>
      <c r="M866" s="25"/>
      <c r="N866" s="25"/>
      <c r="O866" s="25">
        <f t="shared" si="0"/>
        <v>0</v>
      </c>
      <c r="P866" s="25" t="str">
        <f t="shared" si="2"/>
        <v/>
      </c>
      <c r="Q866" s="25" t="str">
        <f ca="1">IFERROR(__xludf.DUMMYFUNCTION("""COMPUTED_VALUE"""),"Sin defenir")</f>
        <v>Sin defenir</v>
      </c>
      <c r="R866" s="25"/>
      <c r="S866" s="55"/>
      <c r="T866" s="56"/>
      <c r="U866" s="25"/>
      <c r="V866" s="25"/>
      <c r="W866" s="25"/>
      <c r="X866" s="25"/>
      <c r="Y866" s="25"/>
      <c r="Z866" s="25"/>
    </row>
    <row r="867" spans="1:26" ht="52.5" customHeight="1" x14ac:dyDescent="0.25">
      <c r="A867" s="25" t="str">
        <f ca="1">IFERROR(__xludf.DUMMYFUNCTION("""COMPUTED_VALUE"""),"Mujer265")</f>
        <v>Mujer265</v>
      </c>
      <c r="B867" s="25"/>
      <c r="C867" s="55"/>
      <c r="D867" s="25" t="str">
        <f ca="1">IFERROR(__xludf.DUMMYFUNCTION("""COMPUTED_VALUE"""),"Mujer")</f>
        <v>Mujer</v>
      </c>
      <c r="E867" s="25"/>
      <c r="F867" s="25"/>
      <c r="G867" s="25"/>
      <c r="H867" s="25"/>
      <c r="I867" s="25"/>
      <c r="J867" s="55"/>
      <c r="K867" s="25" t="str">
        <f ca="1">IFERROR(__xludf.DUMMYFUNCTION("""COMPUTED_VALUE"""),"Definir fecha")</f>
        <v>Definir fecha</v>
      </c>
      <c r="L867" s="62"/>
      <c r="M867" s="25"/>
      <c r="N867" s="25"/>
      <c r="O867" s="25">
        <f t="shared" si="0"/>
        <v>0</v>
      </c>
      <c r="P867" s="25" t="str">
        <f t="shared" si="2"/>
        <v/>
      </c>
      <c r="Q867" s="25" t="str">
        <f ca="1">IFERROR(__xludf.DUMMYFUNCTION("""COMPUTED_VALUE"""),"Sin defenir")</f>
        <v>Sin defenir</v>
      </c>
      <c r="R867" s="25"/>
      <c r="S867" s="55"/>
      <c r="T867" s="56"/>
      <c r="U867" s="25"/>
      <c r="V867" s="25"/>
      <c r="W867" s="25"/>
      <c r="X867" s="25"/>
      <c r="Y867" s="25"/>
      <c r="Z867" s="25"/>
    </row>
    <row r="868" spans="1:26" ht="52.5" customHeight="1" x14ac:dyDescent="0.25">
      <c r="A868" s="25" t="str">
        <f ca="1">IFERROR(__xludf.DUMMYFUNCTION("""COMPUTED_VALUE"""),"Mujer266")</f>
        <v>Mujer266</v>
      </c>
      <c r="B868" s="25"/>
      <c r="C868" s="55"/>
      <c r="D868" s="25" t="str">
        <f ca="1">IFERROR(__xludf.DUMMYFUNCTION("""COMPUTED_VALUE"""),"Mujer")</f>
        <v>Mujer</v>
      </c>
      <c r="E868" s="25"/>
      <c r="F868" s="25"/>
      <c r="G868" s="25"/>
      <c r="H868" s="25"/>
      <c r="I868" s="25"/>
      <c r="J868" s="55"/>
      <c r="K868" s="25" t="str">
        <f ca="1">IFERROR(__xludf.DUMMYFUNCTION("""COMPUTED_VALUE"""),"Definir fecha")</f>
        <v>Definir fecha</v>
      </c>
      <c r="L868" s="62"/>
      <c r="M868" s="25"/>
      <c r="N868" s="25"/>
      <c r="O868" s="25">
        <f t="shared" si="0"/>
        <v>0</v>
      </c>
      <c r="P868" s="25" t="str">
        <f t="shared" si="2"/>
        <v/>
      </c>
      <c r="Q868" s="25" t="str">
        <f ca="1">IFERROR(__xludf.DUMMYFUNCTION("""COMPUTED_VALUE"""),"Sin defenir")</f>
        <v>Sin defenir</v>
      </c>
      <c r="R868" s="25"/>
      <c r="S868" s="55"/>
      <c r="T868" s="56"/>
      <c r="U868" s="25"/>
      <c r="V868" s="25"/>
      <c r="W868" s="25"/>
      <c r="X868" s="25"/>
      <c r="Y868" s="25"/>
      <c r="Z868" s="25"/>
    </row>
    <row r="869" spans="1:26" ht="52.5" customHeight="1" x14ac:dyDescent="0.25">
      <c r="A869" s="25" t="str">
        <f ca="1">IFERROR(__xludf.DUMMYFUNCTION("""COMPUTED_VALUE"""),"Mujer267")</f>
        <v>Mujer267</v>
      </c>
      <c r="B869" s="25"/>
      <c r="C869" s="55"/>
      <c r="D869" s="25" t="str">
        <f ca="1">IFERROR(__xludf.DUMMYFUNCTION("""COMPUTED_VALUE"""),"Mujer")</f>
        <v>Mujer</v>
      </c>
      <c r="E869" s="25"/>
      <c r="F869" s="25"/>
      <c r="G869" s="25"/>
      <c r="H869" s="25"/>
      <c r="I869" s="25"/>
      <c r="J869" s="55"/>
      <c r="K869" s="25" t="str">
        <f ca="1">IFERROR(__xludf.DUMMYFUNCTION("""COMPUTED_VALUE"""),"Definir fecha")</f>
        <v>Definir fecha</v>
      </c>
      <c r="L869" s="62"/>
      <c r="M869" s="25"/>
      <c r="N869" s="25"/>
      <c r="O869" s="25">
        <f t="shared" si="0"/>
        <v>0</v>
      </c>
      <c r="P869" s="25" t="str">
        <f t="shared" si="2"/>
        <v/>
      </c>
      <c r="Q869" s="25" t="str">
        <f ca="1">IFERROR(__xludf.DUMMYFUNCTION("""COMPUTED_VALUE"""),"Sin defenir")</f>
        <v>Sin defenir</v>
      </c>
      <c r="R869" s="25"/>
      <c r="S869" s="55"/>
      <c r="T869" s="56"/>
      <c r="U869" s="25"/>
      <c r="V869" s="25"/>
      <c r="W869" s="25"/>
      <c r="X869" s="25"/>
      <c r="Y869" s="25"/>
      <c r="Z869" s="25"/>
    </row>
    <row r="870" spans="1:26" ht="52.5" customHeight="1" x14ac:dyDescent="0.25">
      <c r="A870" s="25" t="str">
        <f ca="1">IFERROR(__xludf.DUMMYFUNCTION("""COMPUTED_VALUE"""),"Mujer268")</f>
        <v>Mujer268</v>
      </c>
      <c r="B870" s="25"/>
      <c r="C870" s="55"/>
      <c r="D870" s="25" t="str">
        <f ca="1">IFERROR(__xludf.DUMMYFUNCTION("""COMPUTED_VALUE"""),"Mujer")</f>
        <v>Mujer</v>
      </c>
      <c r="E870" s="25"/>
      <c r="F870" s="25"/>
      <c r="G870" s="25"/>
      <c r="H870" s="25"/>
      <c r="I870" s="25"/>
      <c r="J870" s="55"/>
      <c r="K870" s="25" t="str">
        <f ca="1">IFERROR(__xludf.DUMMYFUNCTION("""COMPUTED_VALUE"""),"Definir fecha")</f>
        <v>Definir fecha</v>
      </c>
      <c r="L870" s="62"/>
      <c r="M870" s="25"/>
      <c r="N870" s="25"/>
      <c r="O870" s="25">
        <f t="shared" si="0"/>
        <v>0</v>
      </c>
      <c r="P870" s="25" t="str">
        <f t="shared" si="2"/>
        <v/>
      </c>
      <c r="Q870" s="25" t="str">
        <f ca="1">IFERROR(__xludf.DUMMYFUNCTION("""COMPUTED_VALUE"""),"Sin defenir")</f>
        <v>Sin defenir</v>
      </c>
      <c r="R870" s="25"/>
      <c r="S870" s="55"/>
      <c r="T870" s="56"/>
      <c r="U870" s="25"/>
      <c r="V870" s="25"/>
      <c r="W870" s="25"/>
      <c r="X870" s="25"/>
      <c r="Y870" s="25"/>
      <c r="Z870" s="25"/>
    </row>
    <row r="871" spans="1:26" ht="52.5" customHeight="1" x14ac:dyDescent="0.25">
      <c r="A871" s="25" t="str">
        <f ca="1">IFERROR(__xludf.DUMMYFUNCTION("""COMPUTED_VALUE"""),"Mujer269")</f>
        <v>Mujer269</v>
      </c>
      <c r="B871" s="25"/>
      <c r="C871" s="55"/>
      <c r="D871" s="25" t="str">
        <f ca="1">IFERROR(__xludf.DUMMYFUNCTION("""COMPUTED_VALUE"""),"Mujer")</f>
        <v>Mujer</v>
      </c>
      <c r="E871" s="25"/>
      <c r="F871" s="25"/>
      <c r="G871" s="25"/>
      <c r="H871" s="25"/>
      <c r="I871" s="25"/>
      <c r="J871" s="55"/>
      <c r="K871" s="25" t="str">
        <f ca="1">IFERROR(__xludf.DUMMYFUNCTION("""COMPUTED_VALUE"""),"Definir fecha")</f>
        <v>Definir fecha</v>
      </c>
      <c r="L871" s="62"/>
      <c r="M871" s="25"/>
      <c r="N871" s="25"/>
      <c r="O871" s="25">
        <f t="shared" si="0"/>
        <v>0</v>
      </c>
      <c r="P871" s="25" t="str">
        <f t="shared" si="2"/>
        <v/>
      </c>
      <c r="Q871" s="25" t="str">
        <f ca="1">IFERROR(__xludf.DUMMYFUNCTION("""COMPUTED_VALUE"""),"Sin defenir")</f>
        <v>Sin defenir</v>
      </c>
      <c r="R871" s="25"/>
      <c r="S871" s="55"/>
      <c r="T871" s="56"/>
      <c r="U871" s="25"/>
      <c r="V871" s="25"/>
      <c r="W871" s="25"/>
      <c r="X871" s="25"/>
      <c r="Y871" s="25"/>
      <c r="Z871" s="25"/>
    </row>
    <row r="872" spans="1:26" ht="52.5" customHeight="1" x14ac:dyDescent="0.25">
      <c r="A872" s="25" t="str">
        <f ca="1">IFERROR(__xludf.DUMMYFUNCTION("""COMPUTED_VALUE"""),"Mujer270")</f>
        <v>Mujer270</v>
      </c>
      <c r="B872" s="25"/>
      <c r="C872" s="55"/>
      <c r="D872" s="25" t="str">
        <f ca="1">IFERROR(__xludf.DUMMYFUNCTION("""COMPUTED_VALUE"""),"Mujer")</f>
        <v>Mujer</v>
      </c>
      <c r="E872" s="25"/>
      <c r="F872" s="25"/>
      <c r="G872" s="25"/>
      <c r="H872" s="25"/>
      <c r="I872" s="25"/>
      <c r="J872" s="55"/>
      <c r="K872" s="25" t="str">
        <f ca="1">IFERROR(__xludf.DUMMYFUNCTION("""COMPUTED_VALUE"""),"Definir fecha")</f>
        <v>Definir fecha</v>
      </c>
      <c r="L872" s="62"/>
      <c r="M872" s="25"/>
      <c r="N872" s="25"/>
      <c r="O872" s="25">
        <f t="shared" si="0"/>
        <v>0</v>
      </c>
      <c r="P872" s="25" t="str">
        <f t="shared" si="2"/>
        <v/>
      </c>
      <c r="Q872" s="25" t="str">
        <f ca="1">IFERROR(__xludf.DUMMYFUNCTION("""COMPUTED_VALUE"""),"Sin defenir")</f>
        <v>Sin defenir</v>
      </c>
      <c r="R872" s="25"/>
      <c r="S872" s="55"/>
      <c r="T872" s="56"/>
      <c r="U872" s="25"/>
      <c r="V872" s="25"/>
      <c r="W872" s="25"/>
      <c r="X872" s="25"/>
      <c r="Y872" s="25"/>
      <c r="Z872" s="25"/>
    </row>
    <row r="873" spans="1:26" ht="52.5" customHeight="1" x14ac:dyDescent="0.25">
      <c r="A873" s="25" t="str">
        <f ca="1">IFERROR(__xludf.DUMMYFUNCTION("""COMPUTED_VALUE"""),"Mujer271")</f>
        <v>Mujer271</v>
      </c>
      <c r="B873" s="25"/>
      <c r="C873" s="55"/>
      <c r="D873" s="25" t="str">
        <f ca="1">IFERROR(__xludf.DUMMYFUNCTION("""COMPUTED_VALUE"""),"Mujer")</f>
        <v>Mujer</v>
      </c>
      <c r="E873" s="25"/>
      <c r="F873" s="25"/>
      <c r="G873" s="25"/>
      <c r="H873" s="25"/>
      <c r="I873" s="25"/>
      <c r="J873" s="55"/>
      <c r="K873" s="25" t="str">
        <f ca="1">IFERROR(__xludf.DUMMYFUNCTION("""COMPUTED_VALUE"""),"Definir fecha")</f>
        <v>Definir fecha</v>
      </c>
      <c r="L873" s="62"/>
      <c r="M873" s="25"/>
      <c r="N873" s="25"/>
      <c r="O873" s="25">
        <f t="shared" si="0"/>
        <v>0</v>
      </c>
      <c r="P873" s="25" t="str">
        <f t="shared" si="2"/>
        <v/>
      </c>
      <c r="Q873" s="25" t="str">
        <f ca="1">IFERROR(__xludf.DUMMYFUNCTION("""COMPUTED_VALUE"""),"Sin defenir")</f>
        <v>Sin defenir</v>
      </c>
      <c r="R873" s="25"/>
      <c r="S873" s="55"/>
      <c r="T873" s="56"/>
      <c r="U873" s="25"/>
      <c r="V873" s="25"/>
      <c r="W873" s="25"/>
      <c r="X873" s="25"/>
      <c r="Y873" s="25"/>
      <c r="Z873" s="25"/>
    </row>
    <row r="874" spans="1:26" ht="52.5" customHeight="1" x14ac:dyDescent="0.25">
      <c r="A874" s="25" t="str">
        <f ca="1">IFERROR(__xludf.DUMMYFUNCTION("""COMPUTED_VALUE"""),"Mujer272")</f>
        <v>Mujer272</v>
      </c>
      <c r="B874" s="25"/>
      <c r="C874" s="55"/>
      <c r="D874" s="25" t="str">
        <f ca="1">IFERROR(__xludf.DUMMYFUNCTION("""COMPUTED_VALUE"""),"Mujer")</f>
        <v>Mujer</v>
      </c>
      <c r="E874" s="25"/>
      <c r="F874" s="25"/>
      <c r="G874" s="25"/>
      <c r="H874" s="25"/>
      <c r="I874" s="25"/>
      <c r="J874" s="55"/>
      <c r="K874" s="25" t="str">
        <f ca="1">IFERROR(__xludf.DUMMYFUNCTION("""COMPUTED_VALUE"""),"Definir fecha")</f>
        <v>Definir fecha</v>
      </c>
      <c r="L874" s="62"/>
      <c r="M874" s="25"/>
      <c r="N874" s="25"/>
      <c r="O874" s="25">
        <f t="shared" si="0"/>
        <v>0</v>
      </c>
      <c r="P874" s="25" t="str">
        <f t="shared" si="2"/>
        <v/>
      </c>
      <c r="Q874" s="25" t="str">
        <f ca="1">IFERROR(__xludf.DUMMYFUNCTION("""COMPUTED_VALUE"""),"Sin defenir")</f>
        <v>Sin defenir</v>
      </c>
      <c r="R874" s="25"/>
      <c r="S874" s="55"/>
      <c r="T874" s="56"/>
      <c r="U874" s="25"/>
      <c r="V874" s="25"/>
      <c r="W874" s="25"/>
      <c r="X874" s="25"/>
      <c r="Y874" s="25"/>
      <c r="Z874" s="25"/>
    </row>
    <row r="875" spans="1:26" ht="52.5" customHeight="1" x14ac:dyDescent="0.25">
      <c r="A875" s="25" t="str">
        <f ca="1">IFERROR(__xludf.DUMMYFUNCTION("""COMPUTED_VALUE"""),"Mujer273")</f>
        <v>Mujer273</v>
      </c>
      <c r="B875" s="25"/>
      <c r="C875" s="55"/>
      <c r="D875" s="25" t="str">
        <f ca="1">IFERROR(__xludf.DUMMYFUNCTION("""COMPUTED_VALUE"""),"Mujer")</f>
        <v>Mujer</v>
      </c>
      <c r="E875" s="25"/>
      <c r="F875" s="25"/>
      <c r="G875" s="25"/>
      <c r="H875" s="25"/>
      <c r="I875" s="25"/>
      <c r="J875" s="55"/>
      <c r="K875" s="25" t="str">
        <f ca="1">IFERROR(__xludf.DUMMYFUNCTION("""COMPUTED_VALUE"""),"Definir fecha")</f>
        <v>Definir fecha</v>
      </c>
      <c r="L875" s="62"/>
      <c r="M875" s="25"/>
      <c r="N875" s="25"/>
      <c r="O875" s="25">
        <f t="shared" si="0"/>
        <v>0</v>
      </c>
      <c r="P875" s="25" t="str">
        <f t="shared" si="2"/>
        <v/>
      </c>
      <c r="Q875" s="25" t="str">
        <f ca="1">IFERROR(__xludf.DUMMYFUNCTION("""COMPUTED_VALUE"""),"Sin defenir")</f>
        <v>Sin defenir</v>
      </c>
      <c r="R875" s="25"/>
      <c r="S875" s="55"/>
      <c r="T875" s="56"/>
      <c r="U875" s="25"/>
      <c r="V875" s="25"/>
      <c r="W875" s="25"/>
      <c r="X875" s="25"/>
      <c r="Y875" s="25"/>
      <c r="Z875" s="25"/>
    </row>
    <row r="876" spans="1:26" ht="52.5" customHeight="1" x14ac:dyDescent="0.25">
      <c r="A876" s="25" t="str">
        <f ca="1">IFERROR(__xludf.DUMMYFUNCTION("""COMPUTED_VALUE"""),"Mujer274")</f>
        <v>Mujer274</v>
      </c>
      <c r="B876" s="25"/>
      <c r="C876" s="55"/>
      <c r="D876" s="25" t="str">
        <f ca="1">IFERROR(__xludf.DUMMYFUNCTION("""COMPUTED_VALUE"""),"Mujer")</f>
        <v>Mujer</v>
      </c>
      <c r="E876" s="25"/>
      <c r="F876" s="25"/>
      <c r="G876" s="25"/>
      <c r="H876" s="25"/>
      <c r="I876" s="25"/>
      <c r="J876" s="55"/>
      <c r="K876" s="25" t="str">
        <f ca="1">IFERROR(__xludf.DUMMYFUNCTION("""COMPUTED_VALUE"""),"Definir fecha")</f>
        <v>Definir fecha</v>
      </c>
      <c r="L876" s="62"/>
      <c r="M876" s="25"/>
      <c r="N876" s="25"/>
      <c r="O876" s="25">
        <f t="shared" si="0"/>
        <v>0</v>
      </c>
      <c r="P876" s="25" t="str">
        <f t="shared" si="2"/>
        <v/>
      </c>
      <c r="Q876" s="25" t="str">
        <f ca="1">IFERROR(__xludf.DUMMYFUNCTION("""COMPUTED_VALUE"""),"Sin defenir")</f>
        <v>Sin defenir</v>
      </c>
      <c r="R876" s="25"/>
      <c r="S876" s="55"/>
      <c r="T876" s="56"/>
      <c r="U876" s="25"/>
      <c r="V876" s="25"/>
      <c r="W876" s="25"/>
      <c r="X876" s="25"/>
      <c r="Y876" s="25"/>
      <c r="Z876" s="25"/>
    </row>
    <row r="877" spans="1:26" ht="52.5" customHeight="1" x14ac:dyDescent="0.25">
      <c r="A877" s="25" t="str">
        <f ca="1">IFERROR(__xludf.DUMMYFUNCTION("""COMPUTED_VALUE"""),"Mujer275")</f>
        <v>Mujer275</v>
      </c>
      <c r="B877" s="25"/>
      <c r="C877" s="55"/>
      <c r="D877" s="25" t="str">
        <f ca="1">IFERROR(__xludf.DUMMYFUNCTION("""COMPUTED_VALUE"""),"Mujer")</f>
        <v>Mujer</v>
      </c>
      <c r="E877" s="25"/>
      <c r="F877" s="25"/>
      <c r="G877" s="25"/>
      <c r="H877" s="25"/>
      <c r="I877" s="25"/>
      <c r="J877" s="55"/>
      <c r="K877" s="25" t="str">
        <f ca="1">IFERROR(__xludf.DUMMYFUNCTION("""COMPUTED_VALUE"""),"Definir fecha")</f>
        <v>Definir fecha</v>
      </c>
      <c r="L877" s="62"/>
      <c r="M877" s="25"/>
      <c r="N877" s="25"/>
      <c r="O877" s="25">
        <f t="shared" si="0"/>
        <v>0</v>
      </c>
      <c r="P877" s="25" t="str">
        <f t="shared" si="2"/>
        <v/>
      </c>
      <c r="Q877" s="25" t="str">
        <f ca="1">IFERROR(__xludf.DUMMYFUNCTION("""COMPUTED_VALUE"""),"Sin defenir")</f>
        <v>Sin defenir</v>
      </c>
      <c r="R877" s="25"/>
      <c r="S877" s="55"/>
      <c r="T877" s="56"/>
      <c r="U877" s="25"/>
      <c r="V877" s="25"/>
      <c r="W877" s="25"/>
      <c r="X877" s="25"/>
      <c r="Y877" s="25"/>
      <c r="Z877" s="25"/>
    </row>
    <row r="878" spans="1:26" ht="52.5" customHeight="1" x14ac:dyDescent="0.25">
      <c r="A878" s="25" t="str">
        <f ca="1">IFERROR(__xludf.DUMMYFUNCTION("""COMPUTED_VALUE"""),"Mujer276")</f>
        <v>Mujer276</v>
      </c>
      <c r="B878" s="25"/>
      <c r="C878" s="55"/>
      <c r="D878" s="25" t="str">
        <f ca="1">IFERROR(__xludf.DUMMYFUNCTION("""COMPUTED_VALUE"""),"Mujer")</f>
        <v>Mujer</v>
      </c>
      <c r="E878" s="25"/>
      <c r="F878" s="25"/>
      <c r="G878" s="25"/>
      <c r="H878" s="25"/>
      <c r="I878" s="25"/>
      <c r="J878" s="55"/>
      <c r="K878" s="25" t="str">
        <f ca="1">IFERROR(__xludf.DUMMYFUNCTION("""COMPUTED_VALUE"""),"Definir fecha")</f>
        <v>Definir fecha</v>
      </c>
      <c r="L878" s="62"/>
      <c r="M878" s="25"/>
      <c r="N878" s="25"/>
      <c r="O878" s="25">
        <f t="shared" si="0"/>
        <v>0</v>
      </c>
      <c r="P878" s="25" t="str">
        <f t="shared" si="2"/>
        <v/>
      </c>
      <c r="Q878" s="25" t="str">
        <f ca="1">IFERROR(__xludf.DUMMYFUNCTION("""COMPUTED_VALUE"""),"Sin defenir")</f>
        <v>Sin defenir</v>
      </c>
      <c r="R878" s="25"/>
      <c r="S878" s="55"/>
      <c r="T878" s="56"/>
      <c r="U878" s="25"/>
      <c r="V878" s="25"/>
      <c r="W878" s="25"/>
      <c r="X878" s="25"/>
      <c r="Y878" s="25"/>
      <c r="Z878" s="25"/>
    </row>
    <row r="879" spans="1:26" ht="52.5" customHeight="1" x14ac:dyDescent="0.25">
      <c r="A879" s="25" t="str">
        <f ca="1">IFERROR(__xludf.DUMMYFUNCTION("""COMPUTED_VALUE"""),"Mujer277")</f>
        <v>Mujer277</v>
      </c>
      <c r="B879" s="25"/>
      <c r="C879" s="55"/>
      <c r="D879" s="25" t="str">
        <f ca="1">IFERROR(__xludf.DUMMYFUNCTION("""COMPUTED_VALUE"""),"Mujer")</f>
        <v>Mujer</v>
      </c>
      <c r="E879" s="25"/>
      <c r="F879" s="25"/>
      <c r="G879" s="25"/>
      <c r="H879" s="25"/>
      <c r="I879" s="25"/>
      <c r="J879" s="55"/>
      <c r="K879" s="25" t="str">
        <f ca="1">IFERROR(__xludf.DUMMYFUNCTION("""COMPUTED_VALUE"""),"Definir fecha")</f>
        <v>Definir fecha</v>
      </c>
      <c r="L879" s="62"/>
      <c r="M879" s="25"/>
      <c r="N879" s="25"/>
      <c r="O879" s="25">
        <f t="shared" si="0"/>
        <v>0</v>
      </c>
      <c r="P879" s="25" t="str">
        <f t="shared" si="2"/>
        <v/>
      </c>
      <c r="Q879" s="25" t="str">
        <f ca="1">IFERROR(__xludf.DUMMYFUNCTION("""COMPUTED_VALUE"""),"Sin defenir")</f>
        <v>Sin defenir</v>
      </c>
      <c r="R879" s="25"/>
      <c r="S879" s="55"/>
      <c r="T879" s="56"/>
      <c r="U879" s="25"/>
      <c r="V879" s="25"/>
      <c r="W879" s="25"/>
      <c r="X879" s="25"/>
      <c r="Y879" s="25"/>
      <c r="Z879" s="25"/>
    </row>
    <row r="880" spans="1:26" ht="52.5" customHeight="1" x14ac:dyDescent="0.25">
      <c r="A880" s="25" t="str">
        <f ca="1">IFERROR(__xludf.DUMMYFUNCTION("""COMPUTED_VALUE"""),"Mujer278")</f>
        <v>Mujer278</v>
      </c>
      <c r="B880" s="25"/>
      <c r="C880" s="55"/>
      <c r="D880" s="25" t="str">
        <f ca="1">IFERROR(__xludf.DUMMYFUNCTION("""COMPUTED_VALUE"""),"Mujer")</f>
        <v>Mujer</v>
      </c>
      <c r="E880" s="25"/>
      <c r="F880" s="25"/>
      <c r="G880" s="25"/>
      <c r="H880" s="25"/>
      <c r="I880" s="25"/>
      <c r="J880" s="55"/>
      <c r="K880" s="25" t="str">
        <f ca="1">IFERROR(__xludf.DUMMYFUNCTION("""COMPUTED_VALUE"""),"Definir fecha")</f>
        <v>Definir fecha</v>
      </c>
      <c r="L880" s="62"/>
      <c r="M880" s="25"/>
      <c r="N880" s="25"/>
      <c r="O880" s="25">
        <f t="shared" si="0"/>
        <v>0</v>
      </c>
      <c r="P880" s="25" t="str">
        <f t="shared" si="2"/>
        <v/>
      </c>
      <c r="Q880" s="25" t="str">
        <f ca="1">IFERROR(__xludf.DUMMYFUNCTION("""COMPUTED_VALUE"""),"Sin defenir")</f>
        <v>Sin defenir</v>
      </c>
      <c r="R880" s="25"/>
      <c r="S880" s="55"/>
      <c r="T880" s="56"/>
      <c r="U880" s="25"/>
      <c r="V880" s="25"/>
      <c r="W880" s="25"/>
      <c r="X880" s="25"/>
      <c r="Y880" s="25"/>
      <c r="Z880" s="25"/>
    </row>
    <row r="881" spans="1:26" ht="52.5" customHeight="1" x14ac:dyDescent="0.25">
      <c r="A881" s="25" t="str">
        <f ca="1">IFERROR(__xludf.DUMMYFUNCTION("""COMPUTED_VALUE"""),"Mujer279")</f>
        <v>Mujer279</v>
      </c>
      <c r="B881" s="25"/>
      <c r="C881" s="55"/>
      <c r="D881" s="25" t="str">
        <f ca="1">IFERROR(__xludf.DUMMYFUNCTION("""COMPUTED_VALUE"""),"Mujer")</f>
        <v>Mujer</v>
      </c>
      <c r="E881" s="25"/>
      <c r="F881" s="25"/>
      <c r="G881" s="25"/>
      <c r="H881" s="25"/>
      <c r="I881" s="25"/>
      <c r="J881" s="55"/>
      <c r="K881" s="25" t="str">
        <f ca="1">IFERROR(__xludf.DUMMYFUNCTION("""COMPUTED_VALUE"""),"Definir fecha")</f>
        <v>Definir fecha</v>
      </c>
      <c r="L881" s="62"/>
      <c r="M881" s="25"/>
      <c r="N881" s="25"/>
      <c r="O881" s="25">
        <f t="shared" si="0"/>
        <v>0</v>
      </c>
      <c r="P881" s="25" t="str">
        <f t="shared" si="2"/>
        <v/>
      </c>
      <c r="Q881" s="25" t="str">
        <f ca="1">IFERROR(__xludf.DUMMYFUNCTION("""COMPUTED_VALUE"""),"Sin defenir")</f>
        <v>Sin defenir</v>
      </c>
      <c r="R881" s="25"/>
      <c r="S881" s="55"/>
      <c r="T881" s="56"/>
      <c r="U881" s="25"/>
      <c r="V881" s="25"/>
      <c r="W881" s="25"/>
      <c r="X881" s="25"/>
      <c r="Y881" s="25"/>
      <c r="Z881" s="25"/>
    </row>
    <row r="882" spans="1:26" ht="52.5" customHeight="1" x14ac:dyDescent="0.25">
      <c r="A882" s="25" t="str">
        <f ca="1">IFERROR(__xludf.DUMMYFUNCTION("""COMPUTED_VALUE"""),"Mujer280")</f>
        <v>Mujer280</v>
      </c>
      <c r="B882" s="25"/>
      <c r="C882" s="55"/>
      <c r="D882" s="25" t="str">
        <f ca="1">IFERROR(__xludf.DUMMYFUNCTION("""COMPUTED_VALUE"""),"Mujer")</f>
        <v>Mujer</v>
      </c>
      <c r="E882" s="25"/>
      <c r="F882" s="25"/>
      <c r="G882" s="25"/>
      <c r="H882" s="25"/>
      <c r="I882" s="25"/>
      <c r="J882" s="55"/>
      <c r="K882" s="25" t="str">
        <f ca="1">IFERROR(__xludf.DUMMYFUNCTION("""COMPUTED_VALUE"""),"Definir fecha")</f>
        <v>Definir fecha</v>
      </c>
      <c r="L882" s="62"/>
      <c r="M882" s="25"/>
      <c r="N882" s="25"/>
      <c r="O882" s="25">
        <f t="shared" si="0"/>
        <v>0</v>
      </c>
      <c r="P882" s="25" t="str">
        <f t="shared" si="2"/>
        <v/>
      </c>
      <c r="Q882" s="25" t="str">
        <f ca="1">IFERROR(__xludf.DUMMYFUNCTION("""COMPUTED_VALUE"""),"Sin defenir")</f>
        <v>Sin defenir</v>
      </c>
      <c r="R882" s="25"/>
      <c r="S882" s="55"/>
      <c r="T882" s="56"/>
      <c r="U882" s="25"/>
      <c r="V882" s="25"/>
      <c r="W882" s="25"/>
      <c r="X882" s="25"/>
      <c r="Y882" s="25"/>
      <c r="Z882" s="25"/>
    </row>
    <row r="883" spans="1:26" ht="52.5" customHeight="1" x14ac:dyDescent="0.25">
      <c r="A883" s="25" t="str">
        <f ca="1">IFERROR(__xludf.DUMMYFUNCTION("""COMPUTED_VALUE"""),"Mujer281")</f>
        <v>Mujer281</v>
      </c>
      <c r="B883" s="25"/>
      <c r="C883" s="55"/>
      <c r="D883" s="25" t="str">
        <f ca="1">IFERROR(__xludf.DUMMYFUNCTION("""COMPUTED_VALUE"""),"Mujer")</f>
        <v>Mujer</v>
      </c>
      <c r="E883" s="25"/>
      <c r="F883" s="25"/>
      <c r="G883" s="25"/>
      <c r="H883" s="25"/>
      <c r="I883" s="25"/>
      <c r="J883" s="55"/>
      <c r="K883" s="25" t="str">
        <f ca="1">IFERROR(__xludf.DUMMYFUNCTION("""COMPUTED_VALUE"""),"Definir fecha")</f>
        <v>Definir fecha</v>
      </c>
      <c r="L883" s="62"/>
      <c r="M883" s="25"/>
      <c r="N883" s="25"/>
      <c r="O883" s="25">
        <f t="shared" si="0"/>
        <v>0</v>
      </c>
      <c r="P883" s="25" t="str">
        <f t="shared" si="2"/>
        <v/>
      </c>
      <c r="Q883" s="25" t="str">
        <f ca="1">IFERROR(__xludf.DUMMYFUNCTION("""COMPUTED_VALUE"""),"Sin defenir")</f>
        <v>Sin defenir</v>
      </c>
      <c r="R883" s="25"/>
      <c r="S883" s="55"/>
      <c r="T883" s="56"/>
      <c r="U883" s="25"/>
      <c r="V883" s="25"/>
      <c r="W883" s="25"/>
      <c r="X883" s="25"/>
      <c r="Y883" s="25"/>
      <c r="Z883" s="25"/>
    </row>
    <row r="884" spans="1:26" ht="52.5" customHeight="1" x14ac:dyDescent="0.25">
      <c r="A884" s="25" t="str">
        <f ca="1">IFERROR(__xludf.DUMMYFUNCTION("""COMPUTED_VALUE"""),"Mujer282")</f>
        <v>Mujer282</v>
      </c>
      <c r="B884" s="25"/>
      <c r="C884" s="55"/>
      <c r="D884" s="25" t="str">
        <f ca="1">IFERROR(__xludf.DUMMYFUNCTION("""COMPUTED_VALUE"""),"Mujer")</f>
        <v>Mujer</v>
      </c>
      <c r="E884" s="25"/>
      <c r="F884" s="25"/>
      <c r="G884" s="25"/>
      <c r="H884" s="25"/>
      <c r="I884" s="25"/>
      <c r="J884" s="55"/>
      <c r="K884" s="25" t="str">
        <f ca="1">IFERROR(__xludf.DUMMYFUNCTION("""COMPUTED_VALUE"""),"Definir fecha")</f>
        <v>Definir fecha</v>
      </c>
      <c r="L884" s="62"/>
      <c r="M884" s="25"/>
      <c r="N884" s="25"/>
      <c r="O884" s="25">
        <f t="shared" si="0"/>
        <v>0</v>
      </c>
      <c r="P884" s="25" t="str">
        <f t="shared" si="2"/>
        <v/>
      </c>
      <c r="Q884" s="25" t="str">
        <f ca="1">IFERROR(__xludf.DUMMYFUNCTION("""COMPUTED_VALUE"""),"Sin defenir")</f>
        <v>Sin defenir</v>
      </c>
      <c r="R884" s="25"/>
      <c r="S884" s="55"/>
      <c r="T884" s="56"/>
      <c r="U884" s="25"/>
      <c r="V884" s="25"/>
      <c r="W884" s="25"/>
      <c r="X884" s="25"/>
      <c r="Y884" s="25"/>
      <c r="Z884" s="25"/>
    </row>
    <row r="885" spans="1:26" ht="52.5" customHeight="1" x14ac:dyDescent="0.25">
      <c r="A885" s="25" t="str">
        <f ca="1">IFERROR(__xludf.DUMMYFUNCTION("""COMPUTED_VALUE"""),"Mujer283")</f>
        <v>Mujer283</v>
      </c>
      <c r="B885" s="25"/>
      <c r="C885" s="55"/>
      <c r="D885" s="25" t="str">
        <f ca="1">IFERROR(__xludf.DUMMYFUNCTION("""COMPUTED_VALUE"""),"Mujer")</f>
        <v>Mujer</v>
      </c>
      <c r="E885" s="25"/>
      <c r="F885" s="25"/>
      <c r="G885" s="25"/>
      <c r="H885" s="25"/>
      <c r="I885" s="25"/>
      <c r="J885" s="55"/>
      <c r="K885" s="25" t="str">
        <f ca="1">IFERROR(__xludf.DUMMYFUNCTION("""COMPUTED_VALUE"""),"Definir fecha")</f>
        <v>Definir fecha</v>
      </c>
      <c r="L885" s="62"/>
      <c r="M885" s="25"/>
      <c r="N885" s="25"/>
      <c r="O885" s="25">
        <f t="shared" si="0"/>
        <v>0</v>
      </c>
      <c r="P885" s="25" t="str">
        <f t="shared" si="2"/>
        <v/>
      </c>
      <c r="Q885" s="25" t="str">
        <f ca="1">IFERROR(__xludf.DUMMYFUNCTION("""COMPUTED_VALUE"""),"Sin defenir")</f>
        <v>Sin defenir</v>
      </c>
      <c r="R885" s="25"/>
      <c r="S885" s="55"/>
      <c r="T885" s="56"/>
      <c r="U885" s="25"/>
      <c r="V885" s="25"/>
      <c r="W885" s="25"/>
      <c r="X885" s="25"/>
      <c r="Y885" s="25"/>
      <c r="Z885" s="25"/>
    </row>
    <row r="886" spans="1:26" ht="52.5" customHeight="1" x14ac:dyDescent="0.25">
      <c r="A886" s="25" t="str">
        <f ca="1">IFERROR(__xludf.DUMMYFUNCTION("""COMPUTED_VALUE"""),"Mujer284")</f>
        <v>Mujer284</v>
      </c>
      <c r="B886" s="25"/>
      <c r="C886" s="55"/>
      <c r="D886" s="25" t="str">
        <f ca="1">IFERROR(__xludf.DUMMYFUNCTION("""COMPUTED_VALUE"""),"Mujer")</f>
        <v>Mujer</v>
      </c>
      <c r="E886" s="25"/>
      <c r="F886" s="25"/>
      <c r="G886" s="25"/>
      <c r="H886" s="25"/>
      <c r="I886" s="25"/>
      <c r="J886" s="55"/>
      <c r="K886" s="25" t="str">
        <f ca="1">IFERROR(__xludf.DUMMYFUNCTION("""COMPUTED_VALUE"""),"Definir fecha")</f>
        <v>Definir fecha</v>
      </c>
      <c r="L886" s="62"/>
      <c r="M886" s="25"/>
      <c r="N886" s="25"/>
      <c r="O886" s="25">
        <f t="shared" si="0"/>
        <v>0</v>
      </c>
      <c r="P886" s="25" t="str">
        <f t="shared" si="2"/>
        <v/>
      </c>
      <c r="Q886" s="25" t="str">
        <f ca="1">IFERROR(__xludf.DUMMYFUNCTION("""COMPUTED_VALUE"""),"Sin defenir")</f>
        <v>Sin defenir</v>
      </c>
      <c r="R886" s="25"/>
      <c r="S886" s="55"/>
      <c r="T886" s="56"/>
      <c r="U886" s="25"/>
      <c r="V886" s="25"/>
      <c r="W886" s="25"/>
      <c r="X886" s="25"/>
      <c r="Y886" s="25"/>
      <c r="Z886" s="25"/>
    </row>
    <row r="887" spans="1:26" ht="52.5" customHeight="1" x14ac:dyDescent="0.25">
      <c r="A887" s="25" t="str">
        <f ca="1">IFERROR(__xludf.DUMMYFUNCTION("""COMPUTED_VALUE"""),"Mujer285")</f>
        <v>Mujer285</v>
      </c>
      <c r="B887" s="25"/>
      <c r="C887" s="55"/>
      <c r="D887" s="25" t="str">
        <f ca="1">IFERROR(__xludf.DUMMYFUNCTION("""COMPUTED_VALUE"""),"Mujer")</f>
        <v>Mujer</v>
      </c>
      <c r="E887" s="25"/>
      <c r="F887" s="25"/>
      <c r="G887" s="25"/>
      <c r="H887" s="25"/>
      <c r="I887" s="25"/>
      <c r="J887" s="55"/>
      <c r="K887" s="25" t="str">
        <f ca="1">IFERROR(__xludf.DUMMYFUNCTION("""COMPUTED_VALUE"""),"Definir fecha")</f>
        <v>Definir fecha</v>
      </c>
      <c r="L887" s="62"/>
      <c r="M887" s="25"/>
      <c r="N887" s="25"/>
      <c r="O887" s="25">
        <f t="shared" si="0"/>
        <v>0</v>
      </c>
      <c r="P887" s="25" t="str">
        <f t="shared" si="2"/>
        <v/>
      </c>
      <c r="Q887" s="25" t="str">
        <f ca="1">IFERROR(__xludf.DUMMYFUNCTION("""COMPUTED_VALUE"""),"Sin defenir")</f>
        <v>Sin defenir</v>
      </c>
      <c r="R887" s="25"/>
      <c r="S887" s="55"/>
      <c r="T887" s="56"/>
      <c r="U887" s="25"/>
      <c r="V887" s="25"/>
      <c r="W887" s="25"/>
      <c r="X887" s="25"/>
      <c r="Y887" s="25"/>
      <c r="Z887" s="25"/>
    </row>
    <row r="888" spans="1:26" ht="52.5" customHeight="1" x14ac:dyDescent="0.25">
      <c r="A888" s="25" t="str">
        <f ca="1">IFERROR(__xludf.DUMMYFUNCTION("""COMPUTED_VALUE"""),"Mujer286")</f>
        <v>Mujer286</v>
      </c>
      <c r="B888" s="25"/>
      <c r="C888" s="55"/>
      <c r="D888" s="25" t="str">
        <f ca="1">IFERROR(__xludf.DUMMYFUNCTION("""COMPUTED_VALUE"""),"Mujer")</f>
        <v>Mujer</v>
      </c>
      <c r="E888" s="25"/>
      <c r="F888" s="25"/>
      <c r="G888" s="25"/>
      <c r="H888" s="25"/>
      <c r="I888" s="25"/>
      <c r="J888" s="55"/>
      <c r="K888" s="25" t="str">
        <f ca="1">IFERROR(__xludf.DUMMYFUNCTION("""COMPUTED_VALUE"""),"Definir fecha")</f>
        <v>Definir fecha</v>
      </c>
      <c r="L888" s="62"/>
      <c r="M888" s="25"/>
      <c r="N888" s="25"/>
      <c r="O888" s="25">
        <f t="shared" si="0"/>
        <v>0</v>
      </c>
      <c r="P888" s="25" t="str">
        <f t="shared" si="2"/>
        <v/>
      </c>
      <c r="Q888" s="25" t="str">
        <f ca="1">IFERROR(__xludf.DUMMYFUNCTION("""COMPUTED_VALUE"""),"Sin defenir")</f>
        <v>Sin defenir</v>
      </c>
      <c r="R888" s="25"/>
      <c r="S888" s="55"/>
      <c r="T888" s="56"/>
      <c r="U888" s="25"/>
      <c r="V888" s="25"/>
      <c r="W888" s="25"/>
      <c r="X888" s="25"/>
      <c r="Y888" s="25"/>
      <c r="Z888" s="25"/>
    </row>
    <row r="889" spans="1:26" ht="52.5" customHeight="1" x14ac:dyDescent="0.25">
      <c r="A889" s="25" t="str">
        <f ca="1">IFERROR(__xludf.DUMMYFUNCTION("""COMPUTED_VALUE"""),"Mujer287")</f>
        <v>Mujer287</v>
      </c>
      <c r="B889" s="25"/>
      <c r="C889" s="55"/>
      <c r="D889" s="25" t="str">
        <f ca="1">IFERROR(__xludf.DUMMYFUNCTION("""COMPUTED_VALUE"""),"Mujer")</f>
        <v>Mujer</v>
      </c>
      <c r="E889" s="25"/>
      <c r="F889" s="25"/>
      <c r="G889" s="25"/>
      <c r="H889" s="25"/>
      <c r="I889" s="25"/>
      <c r="J889" s="55"/>
      <c r="K889" s="25" t="str">
        <f ca="1">IFERROR(__xludf.DUMMYFUNCTION("""COMPUTED_VALUE"""),"Definir fecha")</f>
        <v>Definir fecha</v>
      </c>
      <c r="L889" s="62"/>
      <c r="M889" s="25"/>
      <c r="N889" s="25"/>
      <c r="O889" s="25">
        <f t="shared" si="0"/>
        <v>0</v>
      </c>
      <c r="P889" s="25" t="str">
        <f t="shared" si="2"/>
        <v/>
      </c>
      <c r="Q889" s="25" t="str">
        <f ca="1">IFERROR(__xludf.DUMMYFUNCTION("""COMPUTED_VALUE"""),"Sin defenir")</f>
        <v>Sin defenir</v>
      </c>
      <c r="R889" s="25"/>
      <c r="S889" s="55"/>
      <c r="T889" s="56"/>
      <c r="U889" s="25"/>
      <c r="V889" s="25"/>
      <c r="W889" s="25"/>
      <c r="X889" s="25"/>
      <c r="Y889" s="25"/>
      <c r="Z889" s="25"/>
    </row>
    <row r="890" spans="1:26" ht="52.5" customHeight="1" x14ac:dyDescent="0.25">
      <c r="A890" s="25" t="str">
        <f ca="1">IFERROR(__xludf.DUMMYFUNCTION("""COMPUTED_VALUE"""),"Mujer288")</f>
        <v>Mujer288</v>
      </c>
      <c r="B890" s="25"/>
      <c r="C890" s="55"/>
      <c r="D890" s="25" t="str">
        <f ca="1">IFERROR(__xludf.DUMMYFUNCTION("""COMPUTED_VALUE"""),"Mujer")</f>
        <v>Mujer</v>
      </c>
      <c r="E890" s="25"/>
      <c r="F890" s="25"/>
      <c r="G890" s="25"/>
      <c r="H890" s="25"/>
      <c r="I890" s="25"/>
      <c r="J890" s="55"/>
      <c r="K890" s="25" t="str">
        <f ca="1">IFERROR(__xludf.DUMMYFUNCTION("""COMPUTED_VALUE"""),"Definir fecha")</f>
        <v>Definir fecha</v>
      </c>
      <c r="L890" s="62"/>
      <c r="M890" s="25"/>
      <c r="N890" s="25"/>
      <c r="O890" s="25">
        <f t="shared" si="0"/>
        <v>0</v>
      </c>
      <c r="P890" s="25" t="str">
        <f t="shared" si="2"/>
        <v/>
      </c>
      <c r="Q890" s="25" t="str">
        <f ca="1">IFERROR(__xludf.DUMMYFUNCTION("""COMPUTED_VALUE"""),"Sin defenir")</f>
        <v>Sin defenir</v>
      </c>
      <c r="R890" s="25"/>
      <c r="S890" s="55"/>
      <c r="T890" s="56"/>
      <c r="U890" s="25"/>
      <c r="V890" s="25"/>
      <c r="W890" s="25"/>
      <c r="X890" s="25"/>
      <c r="Y890" s="25"/>
      <c r="Z890" s="25"/>
    </row>
    <row r="891" spans="1:26" ht="52.5" customHeight="1" x14ac:dyDescent="0.25">
      <c r="A891" s="25" t="str">
        <f ca="1">IFERROR(__xludf.DUMMYFUNCTION("""COMPUTED_VALUE"""),"Mujer289")</f>
        <v>Mujer289</v>
      </c>
      <c r="B891" s="25"/>
      <c r="C891" s="55"/>
      <c r="D891" s="25" t="str">
        <f ca="1">IFERROR(__xludf.DUMMYFUNCTION("""COMPUTED_VALUE"""),"Mujer")</f>
        <v>Mujer</v>
      </c>
      <c r="E891" s="25"/>
      <c r="F891" s="25"/>
      <c r="G891" s="25"/>
      <c r="H891" s="25"/>
      <c r="I891" s="25"/>
      <c r="J891" s="55"/>
      <c r="K891" s="25" t="str">
        <f ca="1">IFERROR(__xludf.DUMMYFUNCTION("""COMPUTED_VALUE"""),"Definir fecha")</f>
        <v>Definir fecha</v>
      </c>
      <c r="L891" s="62"/>
      <c r="M891" s="25"/>
      <c r="N891" s="25"/>
      <c r="O891" s="25">
        <f t="shared" si="0"/>
        <v>0</v>
      </c>
      <c r="P891" s="25" t="str">
        <f t="shared" si="2"/>
        <v/>
      </c>
      <c r="Q891" s="25" t="str">
        <f ca="1">IFERROR(__xludf.DUMMYFUNCTION("""COMPUTED_VALUE"""),"Sin defenir")</f>
        <v>Sin defenir</v>
      </c>
      <c r="R891" s="25"/>
      <c r="S891" s="55"/>
      <c r="T891" s="56"/>
      <c r="U891" s="25"/>
      <c r="V891" s="25"/>
      <c r="W891" s="25"/>
      <c r="X891" s="25"/>
      <c r="Y891" s="25"/>
      <c r="Z891" s="25"/>
    </row>
    <row r="892" spans="1:26" ht="52.5" customHeight="1" x14ac:dyDescent="0.25">
      <c r="A892" s="25" t="str">
        <f ca="1">IFERROR(__xludf.DUMMYFUNCTION("""COMPUTED_VALUE"""),"Mujer290")</f>
        <v>Mujer290</v>
      </c>
      <c r="B892" s="25"/>
      <c r="C892" s="55"/>
      <c r="D892" s="25" t="str">
        <f ca="1">IFERROR(__xludf.DUMMYFUNCTION("""COMPUTED_VALUE"""),"Mujer")</f>
        <v>Mujer</v>
      </c>
      <c r="E892" s="25"/>
      <c r="F892" s="25"/>
      <c r="G892" s="25"/>
      <c r="H892" s="25"/>
      <c r="I892" s="25"/>
      <c r="J892" s="55"/>
      <c r="K892" s="25" t="str">
        <f ca="1">IFERROR(__xludf.DUMMYFUNCTION("""COMPUTED_VALUE"""),"Definir fecha")</f>
        <v>Definir fecha</v>
      </c>
      <c r="L892" s="62"/>
      <c r="M892" s="25"/>
      <c r="N892" s="25"/>
      <c r="O892" s="25">
        <f t="shared" si="0"/>
        <v>0</v>
      </c>
      <c r="P892" s="25" t="str">
        <f t="shared" si="2"/>
        <v/>
      </c>
      <c r="Q892" s="25" t="str">
        <f ca="1">IFERROR(__xludf.DUMMYFUNCTION("""COMPUTED_VALUE"""),"Sin defenir")</f>
        <v>Sin defenir</v>
      </c>
      <c r="R892" s="25"/>
      <c r="S892" s="55"/>
      <c r="T892" s="56"/>
      <c r="U892" s="25"/>
      <c r="V892" s="25"/>
      <c r="W892" s="25"/>
      <c r="X892" s="25"/>
      <c r="Y892" s="25"/>
      <c r="Z892" s="25"/>
    </row>
    <row r="893" spans="1:26" ht="52.5" customHeight="1" x14ac:dyDescent="0.25">
      <c r="A893" s="25" t="str">
        <f ca="1">IFERROR(__xludf.DUMMYFUNCTION("""COMPUTED_VALUE"""),"Mujer291")</f>
        <v>Mujer291</v>
      </c>
      <c r="B893" s="25"/>
      <c r="C893" s="55"/>
      <c r="D893" s="25" t="str">
        <f ca="1">IFERROR(__xludf.DUMMYFUNCTION("""COMPUTED_VALUE"""),"Mujer")</f>
        <v>Mujer</v>
      </c>
      <c r="E893" s="25"/>
      <c r="F893" s="25"/>
      <c r="G893" s="25"/>
      <c r="H893" s="25"/>
      <c r="I893" s="25"/>
      <c r="J893" s="55"/>
      <c r="K893" s="25" t="str">
        <f ca="1">IFERROR(__xludf.DUMMYFUNCTION("""COMPUTED_VALUE"""),"Definir fecha")</f>
        <v>Definir fecha</v>
      </c>
      <c r="L893" s="62"/>
      <c r="M893" s="25"/>
      <c r="N893" s="25"/>
      <c r="O893" s="25">
        <f t="shared" si="0"/>
        <v>0</v>
      </c>
      <c r="P893" s="25" t="str">
        <f t="shared" si="2"/>
        <v/>
      </c>
      <c r="Q893" s="25" t="str">
        <f ca="1">IFERROR(__xludf.DUMMYFUNCTION("""COMPUTED_VALUE"""),"Sin defenir")</f>
        <v>Sin defenir</v>
      </c>
      <c r="R893" s="25"/>
      <c r="S893" s="55"/>
      <c r="T893" s="56"/>
      <c r="U893" s="25"/>
      <c r="V893" s="25"/>
      <c r="W893" s="25"/>
      <c r="X893" s="25"/>
      <c r="Y893" s="25"/>
      <c r="Z893" s="25"/>
    </row>
    <row r="894" spans="1:26" ht="52.5" customHeight="1" x14ac:dyDescent="0.25">
      <c r="A894" s="25" t="str">
        <f ca="1">IFERROR(__xludf.DUMMYFUNCTION("""COMPUTED_VALUE"""),"Mujer292")</f>
        <v>Mujer292</v>
      </c>
      <c r="B894" s="25"/>
      <c r="C894" s="55"/>
      <c r="D894" s="25" t="str">
        <f ca="1">IFERROR(__xludf.DUMMYFUNCTION("""COMPUTED_VALUE"""),"Mujer")</f>
        <v>Mujer</v>
      </c>
      <c r="E894" s="25"/>
      <c r="F894" s="25"/>
      <c r="G894" s="25"/>
      <c r="H894" s="25"/>
      <c r="I894" s="25"/>
      <c r="J894" s="55"/>
      <c r="K894" s="25" t="str">
        <f ca="1">IFERROR(__xludf.DUMMYFUNCTION("""COMPUTED_VALUE"""),"Definir fecha")</f>
        <v>Definir fecha</v>
      </c>
      <c r="L894" s="62"/>
      <c r="M894" s="25"/>
      <c r="N894" s="25"/>
      <c r="O894" s="25">
        <f t="shared" si="0"/>
        <v>0</v>
      </c>
      <c r="P894" s="25" t="str">
        <f t="shared" si="2"/>
        <v/>
      </c>
      <c r="Q894" s="25" t="str">
        <f ca="1">IFERROR(__xludf.DUMMYFUNCTION("""COMPUTED_VALUE"""),"Sin defenir")</f>
        <v>Sin defenir</v>
      </c>
      <c r="R894" s="25"/>
      <c r="S894" s="55"/>
      <c r="T894" s="56"/>
      <c r="U894" s="25"/>
      <c r="V894" s="25"/>
      <c r="W894" s="25"/>
      <c r="X894" s="25"/>
      <c r="Y894" s="25"/>
      <c r="Z894" s="25"/>
    </row>
    <row r="895" spans="1:26" ht="52.5" customHeight="1" x14ac:dyDescent="0.25">
      <c r="A895" s="25" t="str">
        <f ca="1">IFERROR(__xludf.DUMMYFUNCTION("""COMPUTED_VALUE"""),"Mujer293")</f>
        <v>Mujer293</v>
      </c>
      <c r="B895" s="25"/>
      <c r="C895" s="55"/>
      <c r="D895" s="25" t="str">
        <f ca="1">IFERROR(__xludf.DUMMYFUNCTION("""COMPUTED_VALUE"""),"Mujer")</f>
        <v>Mujer</v>
      </c>
      <c r="E895" s="25"/>
      <c r="F895" s="25"/>
      <c r="G895" s="25"/>
      <c r="H895" s="25"/>
      <c r="I895" s="25"/>
      <c r="J895" s="55"/>
      <c r="K895" s="25" t="str">
        <f ca="1">IFERROR(__xludf.DUMMYFUNCTION("""COMPUTED_VALUE"""),"Definir fecha")</f>
        <v>Definir fecha</v>
      </c>
      <c r="L895" s="62"/>
      <c r="M895" s="25"/>
      <c r="N895" s="25"/>
      <c r="O895" s="25">
        <f t="shared" si="0"/>
        <v>0</v>
      </c>
      <c r="P895" s="25" t="str">
        <f t="shared" si="2"/>
        <v/>
      </c>
      <c r="Q895" s="25" t="str">
        <f ca="1">IFERROR(__xludf.DUMMYFUNCTION("""COMPUTED_VALUE"""),"Sin defenir")</f>
        <v>Sin defenir</v>
      </c>
      <c r="R895" s="25"/>
      <c r="S895" s="55"/>
      <c r="T895" s="56"/>
      <c r="U895" s="25"/>
      <c r="V895" s="25"/>
      <c r="W895" s="25"/>
      <c r="X895" s="25"/>
      <c r="Y895" s="25"/>
      <c r="Z895" s="25"/>
    </row>
    <row r="896" spans="1:26" ht="52.5" customHeight="1" x14ac:dyDescent="0.25">
      <c r="A896" s="25" t="str">
        <f ca="1">IFERROR(__xludf.DUMMYFUNCTION("""COMPUTED_VALUE"""),"Mujer294")</f>
        <v>Mujer294</v>
      </c>
      <c r="B896" s="25"/>
      <c r="C896" s="55"/>
      <c r="D896" s="25" t="str">
        <f ca="1">IFERROR(__xludf.DUMMYFUNCTION("""COMPUTED_VALUE"""),"Mujer")</f>
        <v>Mujer</v>
      </c>
      <c r="E896" s="25"/>
      <c r="F896" s="25"/>
      <c r="G896" s="25"/>
      <c r="H896" s="25"/>
      <c r="I896" s="25"/>
      <c r="J896" s="55"/>
      <c r="K896" s="25" t="str">
        <f ca="1">IFERROR(__xludf.DUMMYFUNCTION("""COMPUTED_VALUE"""),"Definir fecha")</f>
        <v>Definir fecha</v>
      </c>
      <c r="L896" s="62"/>
      <c r="M896" s="25"/>
      <c r="N896" s="25"/>
      <c r="O896" s="25">
        <f t="shared" si="0"/>
        <v>0</v>
      </c>
      <c r="P896" s="25" t="str">
        <f t="shared" si="2"/>
        <v/>
      </c>
      <c r="Q896" s="25" t="str">
        <f ca="1">IFERROR(__xludf.DUMMYFUNCTION("""COMPUTED_VALUE"""),"Sin defenir")</f>
        <v>Sin defenir</v>
      </c>
      <c r="R896" s="25"/>
      <c r="S896" s="55"/>
      <c r="T896" s="56"/>
      <c r="U896" s="25"/>
      <c r="V896" s="25"/>
      <c r="W896" s="25"/>
      <c r="X896" s="25"/>
      <c r="Y896" s="25"/>
      <c r="Z896" s="25"/>
    </row>
    <row r="897" spans="1:26" ht="52.5" customHeight="1" x14ac:dyDescent="0.25">
      <c r="A897" s="25" t="str">
        <f ca="1">IFERROR(__xludf.DUMMYFUNCTION("""COMPUTED_VALUE"""),"Mujer295")</f>
        <v>Mujer295</v>
      </c>
      <c r="B897" s="25"/>
      <c r="C897" s="55"/>
      <c r="D897" s="25" t="str">
        <f ca="1">IFERROR(__xludf.DUMMYFUNCTION("""COMPUTED_VALUE"""),"Mujer")</f>
        <v>Mujer</v>
      </c>
      <c r="E897" s="25"/>
      <c r="F897" s="25"/>
      <c r="G897" s="25"/>
      <c r="H897" s="25"/>
      <c r="I897" s="25"/>
      <c r="J897" s="55"/>
      <c r="K897" s="25" t="str">
        <f ca="1">IFERROR(__xludf.DUMMYFUNCTION("""COMPUTED_VALUE"""),"Definir fecha")</f>
        <v>Definir fecha</v>
      </c>
      <c r="L897" s="62"/>
      <c r="M897" s="25"/>
      <c r="N897" s="25"/>
      <c r="O897" s="25">
        <f t="shared" si="0"/>
        <v>0</v>
      </c>
      <c r="P897" s="25" t="str">
        <f t="shared" si="2"/>
        <v/>
      </c>
      <c r="Q897" s="25" t="str">
        <f ca="1">IFERROR(__xludf.DUMMYFUNCTION("""COMPUTED_VALUE"""),"Sin defenir")</f>
        <v>Sin defenir</v>
      </c>
      <c r="R897" s="25"/>
      <c r="S897" s="55"/>
      <c r="T897" s="56"/>
      <c r="U897" s="25"/>
      <c r="V897" s="25"/>
      <c r="W897" s="25"/>
      <c r="X897" s="25"/>
      <c r="Y897" s="25"/>
      <c r="Z897" s="25"/>
    </row>
    <row r="898" spans="1:26" ht="52.5" customHeight="1" x14ac:dyDescent="0.25">
      <c r="A898" s="25" t="str">
        <f ca="1">IFERROR(__xludf.DUMMYFUNCTION("""COMPUTED_VALUE"""),"Mujer296")</f>
        <v>Mujer296</v>
      </c>
      <c r="B898" s="25"/>
      <c r="C898" s="55"/>
      <c r="D898" s="25" t="str">
        <f ca="1">IFERROR(__xludf.DUMMYFUNCTION("""COMPUTED_VALUE"""),"Mujer")</f>
        <v>Mujer</v>
      </c>
      <c r="E898" s="25"/>
      <c r="F898" s="25"/>
      <c r="G898" s="25"/>
      <c r="H898" s="25"/>
      <c r="I898" s="25"/>
      <c r="J898" s="55"/>
      <c r="K898" s="25" t="str">
        <f ca="1">IFERROR(__xludf.DUMMYFUNCTION("""COMPUTED_VALUE"""),"Definir fecha")</f>
        <v>Definir fecha</v>
      </c>
      <c r="L898" s="62"/>
      <c r="M898" s="25"/>
      <c r="N898" s="25"/>
      <c r="O898" s="25">
        <f t="shared" si="0"/>
        <v>0</v>
      </c>
      <c r="P898" s="25" t="str">
        <f t="shared" si="2"/>
        <v/>
      </c>
      <c r="Q898" s="25" t="str">
        <f ca="1">IFERROR(__xludf.DUMMYFUNCTION("""COMPUTED_VALUE"""),"Sin defenir")</f>
        <v>Sin defenir</v>
      </c>
      <c r="R898" s="25"/>
      <c r="S898" s="55"/>
      <c r="T898" s="56"/>
      <c r="U898" s="25"/>
      <c r="V898" s="25"/>
      <c r="W898" s="25"/>
      <c r="X898" s="25"/>
      <c r="Y898" s="25"/>
      <c r="Z898" s="25"/>
    </row>
    <row r="899" spans="1:26" ht="52.5" customHeight="1" x14ac:dyDescent="0.25">
      <c r="A899" s="25" t="str">
        <f ca="1">IFERROR(__xludf.DUMMYFUNCTION("""COMPUTED_VALUE"""),"Mujer297")</f>
        <v>Mujer297</v>
      </c>
      <c r="B899" s="25"/>
      <c r="C899" s="55"/>
      <c r="D899" s="25" t="str">
        <f ca="1">IFERROR(__xludf.DUMMYFUNCTION("""COMPUTED_VALUE"""),"Mujer")</f>
        <v>Mujer</v>
      </c>
      <c r="E899" s="25"/>
      <c r="F899" s="25"/>
      <c r="G899" s="25"/>
      <c r="H899" s="25"/>
      <c r="I899" s="25"/>
      <c r="J899" s="55"/>
      <c r="K899" s="25" t="str">
        <f ca="1">IFERROR(__xludf.DUMMYFUNCTION("""COMPUTED_VALUE"""),"Definir fecha")</f>
        <v>Definir fecha</v>
      </c>
      <c r="L899" s="62"/>
      <c r="M899" s="25"/>
      <c r="N899" s="25"/>
      <c r="O899" s="25">
        <f t="shared" si="0"/>
        <v>0</v>
      </c>
      <c r="P899" s="25" t="str">
        <f t="shared" si="2"/>
        <v/>
      </c>
      <c r="Q899" s="25" t="str">
        <f ca="1">IFERROR(__xludf.DUMMYFUNCTION("""COMPUTED_VALUE"""),"Sin defenir")</f>
        <v>Sin defenir</v>
      </c>
      <c r="R899" s="25"/>
      <c r="S899" s="55"/>
      <c r="T899" s="56"/>
      <c r="U899" s="25"/>
      <c r="V899" s="25"/>
      <c r="W899" s="25"/>
      <c r="X899" s="25"/>
      <c r="Y899" s="25"/>
      <c r="Z899" s="25"/>
    </row>
    <row r="900" spans="1:26" ht="52.5" customHeight="1" x14ac:dyDescent="0.25">
      <c r="A900" s="25" t="str">
        <f ca="1">IFERROR(__xludf.DUMMYFUNCTION("""COMPUTED_VALUE"""),"Mujer298")</f>
        <v>Mujer298</v>
      </c>
      <c r="B900" s="25"/>
      <c r="C900" s="55"/>
      <c r="D900" s="25" t="str">
        <f ca="1">IFERROR(__xludf.DUMMYFUNCTION("""COMPUTED_VALUE"""),"Mujer")</f>
        <v>Mujer</v>
      </c>
      <c r="E900" s="25"/>
      <c r="F900" s="25"/>
      <c r="G900" s="25"/>
      <c r="H900" s="25"/>
      <c r="I900" s="25"/>
      <c r="J900" s="55"/>
      <c r="K900" s="25" t="str">
        <f ca="1">IFERROR(__xludf.DUMMYFUNCTION("""COMPUTED_VALUE"""),"Definir fecha")</f>
        <v>Definir fecha</v>
      </c>
      <c r="L900" s="62"/>
      <c r="M900" s="25"/>
      <c r="N900" s="25"/>
      <c r="O900" s="25">
        <f t="shared" si="0"/>
        <v>0</v>
      </c>
      <c r="P900" s="25" t="str">
        <f t="shared" si="2"/>
        <v/>
      </c>
      <c r="Q900" s="25" t="str">
        <f ca="1">IFERROR(__xludf.DUMMYFUNCTION("""COMPUTED_VALUE"""),"Sin defenir")</f>
        <v>Sin defenir</v>
      </c>
      <c r="R900" s="25"/>
      <c r="S900" s="55"/>
      <c r="T900" s="56"/>
      <c r="U900" s="25"/>
      <c r="V900" s="25"/>
      <c r="W900" s="25"/>
      <c r="X900" s="25"/>
      <c r="Y900" s="25"/>
      <c r="Z900" s="25"/>
    </row>
    <row r="901" spans="1:26" ht="52.5" customHeight="1" x14ac:dyDescent="0.25">
      <c r="A901" s="25" t="str">
        <f ca="1">IFERROR(__xludf.DUMMYFUNCTION("""COMPUTED_VALUE"""),"Mujer299")</f>
        <v>Mujer299</v>
      </c>
      <c r="B901" s="25"/>
      <c r="C901" s="55"/>
      <c r="D901" s="25" t="str">
        <f ca="1">IFERROR(__xludf.DUMMYFUNCTION("""COMPUTED_VALUE"""),"Mujer")</f>
        <v>Mujer</v>
      </c>
      <c r="E901" s="25"/>
      <c r="F901" s="25"/>
      <c r="G901" s="25"/>
      <c r="H901" s="25"/>
      <c r="I901" s="25"/>
      <c r="J901" s="55"/>
      <c r="K901" s="25" t="str">
        <f ca="1">IFERROR(__xludf.DUMMYFUNCTION("""COMPUTED_VALUE"""),"Definir fecha")</f>
        <v>Definir fecha</v>
      </c>
      <c r="L901" s="62"/>
      <c r="M901" s="25"/>
      <c r="N901" s="25"/>
      <c r="O901" s="25">
        <f t="shared" si="0"/>
        <v>0</v>
      </c>
      <c r="P901" s="25" t="str">
        <f t="shared" si="2"/>
        <v/>
      </c>
      <c r="Q901" s="25" t="str">
        <f ca="1">IFERROR(__xludf.DUMMYFUNCTION("""COMPUTED_VALUE"""),"Sin defenir")</f>
        <v>Sin defenir</v>
      </c>
      <c r="R901" s="25"/>
      <c r="S901" s="55"/>
      <c r="T901" s="56"/>
      <c r="U901" s="25"/>
      <c r="V901" s="25"/>
      <c r="W901" s="25"/>
      <c r="X901" s="25"/>
      <c r="Y901" s="25"/>
      <c r="Z901" s="25"/>
    </row>
    <row r="902" spans="1:26" ht="52.5" customHeight="1" x14ac:dyDescent="0.25">
      <c r="A902" s="25" t="str">
        <f ca="1">IFERROR(__xludf.DUMMYFUNCTION("""COMPUTED_VALUE"""),"Mujer300")</f>
        <v>Mujer300</v>
      </c>
      <c r="B902" s="25"/>
      <c r="C902" s="55"/>
      <c r="D902" s="25" t="str">
        <f ca="1">IFERROR(__xludf.DUMMYFUNCTION("""COMPUTED_VALUE"""),"Mujer")</f>
        <v>Mujer</v>
      </c>
      <c r="E902" s="25"/>
      <c r="F902" s="25"/>
      <c r="G902" s="25"/>
      <c r="H902" s="25"/>
      <c r="I902" s="25"/>
      <c r="J902" s="55"/>
      <c r="K902" s="25" t="str">
        <f ca="1">IFERROR(__xludf.DUMMYFUNCTION("""COMPUTED_VALUE"""),"Definir fecha")</f>
        <v>Definir fecha</v>
      </c>
      <c r="L902" s="62"/>
      <c r="M902" s="25"/>
      <c r="N902" s="25"/>
      <c r="O902" s="25">
        <f t="shared" si="0"/>
        <v>0</v>
      </c>
      <c r="P902" s="25" t="str">
        <f t="shared" si="2"/>
        <v/>
      </c>
      <c r="Q902" s="25" t="str">
        <f ca="1">IFERROR(__xludf.DUMMYFUNCTION("""COMPUTED_VALUE"""),"Sin defenir")</f>
        <v>Sin defenir</v>
      </c>
      <c r="R902" s="25"/>
      <c r="S902" s="55"/>
      <c r="T902" s="56"/>
      <c r="U902" s="25"/>
      <c r="V902" s="25"/>
      <c r="W902" s="25"/>
      <c r="X902" s="25"/>
      <c r="Y902" s="25"/>
      <c r="Z902" s="25"/>
    </row>
    <row r="903" spans="1:26" ht="52.5" customHeight="1" x14ac:dyDescent="0.25">
      <c r="A903" s="25" t="str">
        <f ca="1">IFERROR(__xludf.DUMMYFUNCTION("IMPORTRANGE(""https://docs.google.com/spreadsheets/d/1SUh42QDwFP8obN0GNIj4rWfstJx5kDi_GF8-hP5_7Ug/edit#gid=330735094"",""'Integración Social'!A2:K301"")"),"Integ1")</f>
        <v>Integ1</v>
      </c>
      <c r="B903" s="25" t="str">
        <f ca="1">IFERROR(__xludf.DUMMYFUNCTION("""COMPUTED_VALUE"""),"EMRE Estrategia de Pobreza ")</f>
        <v xml:space="preserve">EMRE Estrategia de Pobreza </v>
      </c>
      <c r="C903" s="55" t="str">
        <f ca="1">IFERROR(__xludf.DUMMYFUNCTION("""COMPUTED_VALUE"""),"31/03/2021")</f>
        <v>31/03/2021</v>
      </c>
      <c r="D903" s="25" t="str">
        <f ca="1">IFERROR(__xludf.DUMMYFUNCTION("""COMPUTED_VALUE"""),"Integración_Social")</f>
        <v>Integración_Social</v>
      </c>
      <c r="E903" s="25" t="str">
        <f ca="1">IFERROR(__xludf.DUMMYFUNCTION("""COMPUTED_VALUE"""),"Secretaría Distrital de Integración Social")</f>
        <v>Secretaría Distrital de Integración Social</v>
      </c>
      <c r="F903" s="25" t="str">
        <f ca="1">IFERROR(__xludf.DUMMYFUNCTION("""COMPUTED_VALUE"""),"Hay que incluir en EMRE acciones sobre la indigencia y acciones para mitigar el hambre. 
Indigencia: comida caliente
Hambre: bonos de Bogotá Solidaria en casa o renta básica")</f>
        <v>Hay que incluir en EMRE acciones sobre la indigencia y acciones para mitigar el hambre. 
Indigencia: comida caliente
Hambre: bonos de Bogotá Solidaria en casa o renta básica</v>
      </c>
      <c r="G903" s="25" t="str">
        <f ca="1">IFERROR(__xludf.DUMMYFUNCTION("""COMPUTED_VALUE"""),"99. Distrito")</f>
        <v>99. Distrito</v>
      </c>
      <c r="H903" s="55">
        <f ca="1">IFERROR(__xludf.DUMMYFUNCTION("""COMPUTED_VALUE"""),44316)</f>
        <v>44316</v>
      </c>
      <c r="I903" s="25"/>
      <c r="J903" s="55" t="str">
        <f ca="1">IFERROR(__xludf.DUMMYFUNCTION("""COMPUTED_VALUE"""),"Alta")</f>
        <v>Alta</v>
      </c>
      <c r="K903" s="25">
        <f ca="1">IFERROR(__xludf.DUMMYFUNCTION("""COMPUTED_VALUE"""),30)</f>
        <v>30</v>
      </c>
      <c r="L903" s="62">
        <f ca="1">IFERROR(__xludf.DUMMYFUNCTION("IMPORTRANGE(""https://docs.google.com/spreadsheets/d/1SUh42QDwFP8obN0GNIj4rWfstJx5kDi_GF8-hP5_7Ug/edit#gid=330735094"",""'Integración Social'!M2:O301"")"),44435)</f>
        <v>44435</v>
      </c>
      <c r="M903" s="25" t="str">
        <f ca="1">IFERROR(__xludf.DUMMYFUNCTION("""COMPUTED_VALUE"""),"Ambos proyectos se incluyeron en la recomposición del cupo de endeudamientos así;
Raciones de comida caliente: Se incluyó en la estrategia de Rescate Social, con 20.000 raciones de comida caliente.
Bonos: Se incluyó en la estrategia de Rescate Social, s"&amp;"e incluyó 37 mil bonos ")</f>
        <v xml:space="preserve">Ambos proyectos se incluyeron en la recomposición del cupo de endeudamientos así;
Raciones de comida caliente: Se incluyó en la estrategia de Rescate Social, con 20.000 raciones de comida caliente.
Bonos: Se incluyó en la estrategia de Rescate Social, se incluyó 37 mil bonos </v>
      </c>
      <c r="N903" s="55">
        <f ca="1">IFERROR(__xludf.DUMMYFUNCTION("""COMPUTED_VALUE"""),44435)</f>
        <v>44435</v>
      </c>
      <c r="O903" s="25" t="str">
        <f t="shared" ca="1" si="0"/>
        <v>Secretaría Distrital de Integración Social</v>
      </c>
      <c r="P903" s="25" t="str">
        <f t="shared" si="2"/>
        <v/>
      </c>
      <c r="Q903" s="25" t="str">
        <f ca="1">IFERROR(__xludf.DUMMYFUNCTION("IMPORTRANGE(""https://docs.google.com/spreadsheets/d/1SUh42QDwFP8obN0GNIj4rWfstJx5kDi_GF8-hP5_7Ug/edit#gid=330735094"",""'Integración Social'!L2:L301"")"),"Corto plazo")</f>
        <v>Corto plazo</v>
      </c>
      <c r="R903" s="25"/>
      <c r="S903" s="55"/>
      <c r="T903" s="56"/>
      <c r="U903" s="25"/>
      <c r="V903" s="25"/>
      <c r="W903" s="25"/>
      <c r="X903" s="25"/>
      <c r="Y903" s="25"/>
      <c r="Z903" s="25"/>
    </row>
    <row r="904" spans="1:26" ht="52.5" customHeight="1" x14ac:dyDescent="0.25">
      <c r="A904" s="25" t="str">
        <f ca="1">IFERROR(__xludf.DUMMYFUNCTION("""COMPUTED_VALUE"""),"Integ2")</f>
        <v>Integ2</v>
      </c>
      <c r="B904" s="25" t="str">
        <f ca="1">IFERROR(__xludf.DUMMYFUNCTION("""COMPUTED_VALUE"""),"EMRE Estrategia de Pobreza ")</f>
        <v xml:space="preserve">EMRE Estrategia de Pobreza </v>
      </c>
      <c r="C904" s="55" t="str">
        <f ca="1">IFERROR(__xludf.DUMMYFUNCTION("""COMPUTED_VALUE"""),"31/03/2021")</f>
        <v>31/03/2021</v>
      </c>
      <c r="D904" s="25" t="str">
        <f ca="1">IFERROR(__xludf.DUMMYFUNCTION("""COMPUTED_VALUE"""),"Integración_Social")</f>
        <v>Integración_Social</v>
      </c>
      <c r="E904" s="25" t="str">
        <f ca="1">IFERROR(__xludf.DUMMYFUNCTION("""COMPUTED_VALUE"""),"Secretaría Distrital de Integración Social")</f>
        <v>Secretaría Distrital de Integración Social</v>
      </c>
      <c r="F904" s="25" t="str">
        <f ca="1">IFERROR(__xludf.DUMMYFUNCTION("""COMPUTED_VALUE"""),"En la estrategia EMRE es necesario que el programa Jóvenes en paz debe concentrarse en la población joven, para que así, el empleo de emergencia se enfoque en mayores. ")</f>
        <v xml:space="preserve">En la estrategia EMRE es necesario que el programa Jóvenes en paz debe concentrarse en la población joven, para que así, el empleo de emergencia se enfoque en mayores. </v>
      </c>
      <c r="G904" s="25" t="str">
        <f ca="1">IFERROR(__xludf.DUMMYFUNCTION("""COMPUTED_VALUE"""),"99. Distrito")</f>
        <v>99. Distrito</v>
      </c>
      <c r="H904" s="55">
        <f ca="1">IFERROR(__xludf.DUMMYFUNCTION("""COMPUTED_VALUE"""),44316)</f>
        <v>44316</v>
      </c>
      <c r="I904" s="25"/>
      <c r="J904" s="55" t="str">
        <f ca="1">IFERROR(__xludf.DUMMYFUNCTION("""COMPUTED_VALUE"""),"Alta")</f>
        <v>Alta</v>
      </c>
      <c r="K904" s="25">
        <f ca="1">IFERROR(__xludf.DUMMYFUNCTION("""COMPUTED_VALUE"""),30)</f>
        <v>30</v>
      </c>
      <c r="L904" s="62">
        <f ca="1">IFERROR(__xludf.DUMMYFUNCTION("""COMPUTED_VALUE"""),44435)</f>
        <v>44435</v>
      </c>
      <c r="M904" s="25" t="str">
        <f ca="1">IFERROR(__xludf.DUMMYFUNCTION("""COMPUTED_VALUE"""),"En el marco del convenio con la Secretaría Distrital de Gobierno inició el programa Parceros por Bogotá, con la participación de 5.000 jóvenes de 8 localidades, en agosto iniciaron 1.600 jóvenes y en septiembre ingresarán los restantes 3.400.")</f>
        <v>En el marco del convenio con la Secretaría Distrital de Gobierno inició el programa Parceros por Bogotá, con la participación de 5.000 jóvenes de 8 localidades, en agosto iniciaron 1.600 jóvenes y en septiembre ingresarán los restantes 3.400.</v>
      </c>
      <c r="N904" s="55">
        <f ca="1">IFERROR(__xludf.DUMMYFUNCTION("""COMPUTED_VALUE"""),44435)</f>
        <v>44435</v>
      </c>
      <c r="O904" s="25" t="str">
        <f t="shared" ca="1" si="0"/>
        <v>Secretaría Distrital de Integración Social</v>
      </c>
      <c r="P904" s="25" t="str">
        <f t="shared" si="2"/>
        <v/>
      </c>
      <c r="Q904" s="25" t="str">
        <f ca="1">IFERROR(__xludf.DUMMYFUNCTION("""COMPUTED_VALUE"""),"Corto plazo")</f>
        <v>Corto plazo</v>
      </c>
      <c r="R904" s="25"/>
      <c r="S904" s="55"/>
      <c r="T904" s="56"/>
      <c r="U904" s="25"/>
      <c r="V904" s="25"/>
      <c r="W904" s="25"/>
      <c r="X904" s="25"/>
      <c r="Y904" s="25"/>
      <c r="Z904" s="25"/>
    </row>
    <row r="905" spans="1:26" ht="52.5" customHeight="1" x14ac:dyDescent="0.25">
      <c r="A905" s="25" t="str">
        <f ca="1">IFERROR(__xludf.DUMMYFUNCTION("""COMPUTED_VALUE"""),"Integ3")</f>
        <v>Integ3</v>
      </c>
      <c r="B905" s="25" t="str">
        <f ca="1">IFERROR(__xludf.DUMMYFUNCTION("""COMPUTED_VALUE"""),"Consejo Distrital de Política Social")</f>
        <v>Consejo Distrital de Política Social</v>
      </c>
      <c r="C905" s="55">
        <f ca="1">IFERROR(__xludf.DUMMYFUNCTION("""COMPUTED_VALUE"""),44523)</f>
        <v>44523</v>
      </c>
      <c r="D905" s="25" t="str">
        <f ca="1">IFERROR(__xludf.DUMMYFUNCTION("""COMPUTED_VALUE"""),"Integración_Social")</f>
        <v>Integración_Social</v>
      </c>
      <c r="E905" s="25" t="str">
        <f ca="1">IFERROR(__xludf.DUMMYFUNCTION("""COMPUTED_VALUE"""),"Secretaría Distrital de Integración Social")</f>
        <v>Secretaría Distrital de Integración Social</v>
      </c>
      <c r="F905" s="25" t="str">
        <f ca="1">IFERROR(__xludf.DUMMYFUNCTION("""COMPUTED_VALUE"""),"Programar agenda para el Comité Afro para el 25 de noviembre de 2021")</f>
        <v>Programar agenda para el Comité Afro para el 25 de noviembre de 2021</v>
      </c>
      <c r="G905" s="25" t="str">
        <f ca="1">IFERROR(__xludf.DUMMYFUNCTION("""COMPUTED_VALUE"""),"99. Distrito")</f>
        <v>99. Distrito</v>
      </c>
      <c r="H905" s="55">
        <f ca="1">IFERROR(__xludf.DUMMYFUNCTION("""COMPUTED_VALUE"""),44553)</f>
        <v>44553</v>
      </c>
      <c r="I905" s="25"/>
      <c r="J905" s="55" t="str">
        <f ca="1">IFERROR(__xludf.DUMMYFUNCTION("""COMPUTED_VALUE"""),"Alta")</f>
        <v>Alta</v>
      </c>
      <c r="K905" s="25">
        <f ca="1">IFERROR(__xludf.DUMMYFUNCTION("""COMPUTED_VALUE"""),30)</f>
        <v>30</v>
      </c>
      <c r="L905" s="62">
        <f ca="1">IFERROR(__xludf.DUMMYFUNCTION("""COMPUTED_VALUE"""),44616)</f>
        <v>44616</v>
      </c>
      <c r="M905" s="25" t="str">
        <f ca="1">IFERROR(__xludf.DUMMYFUNCTION("""COMPUTED_VALUE"""),"El 25 de noviembre de 2021 se acompañó desde la Dirección Poblacional la primera sesión mixta de la Consultiva Distrital de Comunidades Negras, Afrocolombianas, Raizales y Palenqueras en Bogotá, espacio en que se presentó el balance de las acciones Afirma"&amp;"tivas intersectoriales para las comunidades negras y afro con la delegación como directiva del Subdirector para la Infancia Luis Hernando Parra")</f>
        <v>El 25 de noviembre de 2021 se acompañó desde la Dirección Poblacional la primera sesión mixta de la Consultiva Distrital de Comunidades Negras, Afrocolombianas, Raizales y Palenqueras en Bogotá, espacio en que se presentó el balance de las acciones Afirmativas intersectoriales para las comunidades negras y afro con la delegación como directiva del Subdirector para la Infancia Luis Hernando Parra</v>
      </c>
      <c r="N905" s="55">
        <f ca="1">IFERROR(__xludf.DUMMYFUNCTION("""COMPUTED_VALUE"""),44616)</f>
        <v>44616</v>
      </c>
      <c r="O905" s="25" t="str">
        <f t="shared" ca="1" si="0"/>
        <v>Secretaría Distrital de Integración Social</v>
      </c>
      <c r="P905" s="25" t="str">
        <f t="shared" si="2"/>
        <v/>
      </c>
      <c r="Q905" s="25" t="str">
        <f ca="1">IFERROR(__xludf.DUMMYFUNCTION("""COMPUTED_VALUE"""),"Corto plazo")</f>
        <v>Corto plazo</v>
      </c>
      <c r="R905" s="25"/>
      <c r="S905" s="55"/>
      <c r="T905" s="56"/>
      <c r="U905" s="25"/>
      <c r="V905" s="25"/>
      <c r="W905" s="25"/>
      <c r="X905" s="25"/>
      <c r="Y905" s="25"/>
      <c r="Z905" s="25"/>
    </row>
    <row r="906" spans="1:26" ht="52.5" customHeight="1" x14ac:dyDescent="0.25">
      <c r="A906" s="25" t="str">
        <f ca="1">IFERROR(__xludf.DUMMYFUNCTION("""COMPUTED_VALUE"""),"Integ4")</f>
        <v>Integ4</v>
      </c>
      <c r="B906" s="25" t="str">
        <f ca="1">IFERROR(__xludf.DUMMYFUNCTION("""COMPUTED_VALUE"""),"Consejo Distrital de Política Social")</f>
        <v>Consejo Distrital de Política Social</v>
      </c>
      <c r="C906" s="55">
        <f ca="1">IFERROR(__xludf.DUMMYFUNCTION("""COMPUTED_VALUE"""),44523)</f>
        <v>44523</v>
      </c>
      <c r="D906" s="25" t="str">
        <f ca="1">IFERROR(__xludf.DUMMYFUNCTION("""COMPUTED_VALUE"""),"Integración_Social")</f>
        <v>Integración_Social</v>
      </c>
      <c r="E906" s="25" t="str">
        <f ca="1">IFERROR(__xludf.DUMMYFUNCTION("""COMPUTED_VALUE"""),"Secretaría Distrital de Integración Social")</f>
        <v>Secretaría Distrital de Integración Social</v>
      </c>
      <c r="F906" s="25" t="str">
        <f ca="1">IFERROR(__xludf.DUMMYFUNCTION("""COMPUTED_VALUE"""),"Seguir aunando esfuerzo y dar a conocer resultados de los esfuerzos para mejorar las condiciones de vida de las madres cabeza de familia, en la localidad de Sumapaz y todas las demás localidades")</f>
        <v>Seguir aunando esfuerzo y dar a conocer resultados de los esfuerzos para mejorar las condiciones de vida de las madres cabeza de familia, en la localidad de Sumapaz y todas las demás localidades</v>
      </c>
      <c r="G906" s="25" t="str">
        <f ca="1">IFERROR(__xludf.DUMMYFUNCTION("""COMPUTED_VALUE"""),"99. Distrito")</f>
        <v>99. Distrito</v>
      </c>
      <c r="H906" s="55">
        <f ca="1">IFERROR(__xludf.DUMMYFUNCTION("""COMPUTED_VALUE"""),44553)</f>
        <v>44553</v>
      </c>
      <c r="I906" s="25"/>
      <c r="J906" s="55" t="str">
        <f ca="1">IFERROR(__xludf.DUMMYFUNCTION("""COMPUTED_VALUE"""),"Alta")</f>
        <v>Alta</v>
      </c>
      <c r="K906" s="25">
        <f ca="1">IFERROR(__xludf.DUMMYFUNCTION("""COMPUTED_VALUE"""),30)</f>
        <v>30</v>
      </c>
      <c r="L906" s="62">
        <f ca="1">IFERROR(__xludf.DUMMYFUNCTION("""COMPUTED_VALUE"""),44769)</f>
        <v>44769</v>
      </c>
      <c r="M906" s="25" t="str">
        <f ca="1">IFERROR(__xludf.DUMMYFUNCTION("""COMPUTED_VALUE"""),"Se continua en la gestión de las alertas desde la UAT según las competencias misionales de cada sector. Es decir se ha emitido las alertas de los 487 hogares visitados,  generando vinculación a servicios sociales  y articulando interintitucinalmente para "&amp;"dar atención a dicho tablero de control.")</f>
        <v>Se continua en la gestión de las alertas desde la UAT según las competencias misionales de cada sector. Es decir se ha emitido las alertas de los 487 hogares visitados,  generando vinculación a servicios sociales  y articulando interintitucinalmente para dar atención a dicho tablero de control.</v>
      </c>
      <c r="N906" s="55">
        <f ca="1">IFERROR(__xludf.DUMMYFUNCTION("""COMPUTED_VALUE"""),44769)</f>
        <v>44769</v>
      </c>
      <c r="O906" s="25" t="str">
        <f t="shared" ca="1" si="0"/>
        <v>Secretaría Distrital de Integración Social</v>
      </c>
      <c r="P906" s="25" t="str">
        <f t="shared" si="2"/>
        <v/>
      </c>
      <c r="Q906" s="25" t="str">
        <f ca="1">IFERROR(__xludf.DUMMYFUNCTION("""COMPUTED_VALUE"""),"Corto plazo")</f>
        <v>Corto plazo</v>
      </c>
      <c r="R906" s="25"/>
      <c r="S906" s="55"/>
      <c r="T906" s="56"/>
      <c r="U906" s="25"/>
      <c r="V906" s="25"/>
      <c r="W906" s="25"/>
      <c r="X906" s="25"/>
      <c r="Y906" s="25"/>
      <c r="Z906" s="25"/>
    </row>
    <row r="907" spans="1:26" ht="52.5" customHeight="1" x14ac:dyDescent="0.25">
      <c r="A907" s="25" t="str">
        <f ca="1">IFERROR(__xludf.DUMMYFUNCTION("""COMPUTED_VALUE"""),"Integ5")</f>
        <v>Integ5</v>
      </c>
      <c r="B907" s="25" t="str">
        <f ca="1">IFERROR(__xludf.DUMMYFUNCTION("""COMPUTED_VALUE"""),"Reunión Ricard Martínez -BID ")</f>
        <v xml:space="preserve">Reunión Ricard Martínez -BID </v>
      </c>
      <c r="C907" s="55">
        <f ca="1">IFERROR(__xludf.DUMMYFUNCTION("""COMPUTED_VALUE"""),44516)</f>
        <v>44516</v>
      </c>
      <c r="D907" s="25" t="str">
        <f ca="1">IFERROR(__xludf.DUMMYFUNCTION("""COMPUTED_VALUE"""),"Integración_Social")</f>
        <v>Integración_Social</v>
      </c>
      <c r="E907" s="25" t="str">
        <f ca="1">IFERROR(__xludf.DUMMYFUNCTION("""COMPUTED_VALUE"""),"Secretaría Distrital de Integración Social")</f>
        <v>Secretaría Distrital de Integración Social</v>
      </c>
      <c r="F907" s="25" t="str">
        <f ca="1">IFERROR(__xludf.DUMMYFUNCTION("""COMPUTED_VALUE"""),"Revisar el proceso de acreditación de los títulos de la población migrante ")</f>
        <v xml:space="preserve">Revisar el proceso de acreditación de los títulos de la población migrante </v>
      </c>
      <c r="G907" s="25" t="str">
        <f ca="1">IFERROR(__xludf.DUMMYFUNCTION("""COMPUTED_VALUE"""),"99. Distrito")</f>
        <v>99. Distrito</v>
      </c>
      <c r="H907" s="55">
        <f ca="1">IFERROR(__xludf.DUMMYFUNCTION("""COMPUTED_VALUE"""),44546)</f>
        <v>44546</v>
      </c>
      <c r="I907" s="25"/>
      <c r="J907" s="55" t="str">
        <f ca="1">IFERROR(__xludf.DUMMYFUNCTION("""COMPUTED_VALUE"""),"Alta")</f>
        <v>Alta</v>
      </c>
      <c r="K907" s="25">
        <f ca="1">IFERROR(__xludf.DUMMYFUNCTION("""COMPUTED_VALUE"""),30)</f>
        <v>30</v>
      </c>
      <c r="L907" s="62">
        <f ca="1">IFERROR(__xludf.DUMMYFUNCTION("""COMPUTED_VALUE"""),44540)</f>
        <v>44540</v>
      </c>
      <c r="M907" s="25" t="str">
        <f ca="1">IFERROR(__xludf.DUMMYFUNCTION("""COMPUTED_VALUE"""),"La convalidación de títulos académicos es competencia del orden nacional, a cargo del Ministerio de Educación. No obstante, desde la Secretaría Distrital de Integración Social, el Proyecto 7730 en su modalidad de atención 4, ofrece asesorías para la conva"&amp;"lidación.")</f>
        <v>La convalidación de títulos académicos es competencia del orden nacional, a cargo del Ministerio de Educación. No obstante, desde la Secretaría Distrital de Integración Social, el Proyecto 7730 en su modalidad de atención 4, ofrece asesorías para la convalidación.</v>
      </c>
      <c r="N907" s="55">
        <f ca="1">IFERROR(__xludf.DUMMYFUNCTION("""COMPUTED_VALUE"""),44540)</f>
        <v>44540</v>
      </c>
      <c r="O907" s="25" t="str">
        <f t="shared" ca="1" si="0"/>
        <v>Secretaría Distrital de Integración Social</v>
      </c>
      <c r="P907" s="25" t="str">
        <f t="shared" si="2"/>
        <v/>
      </c>
      <c r="Q907" s="25" t="str">
        <f ca="1">IFERROR(__xludf.DUMMYFUNCTION("""COMPUTED_VALUE"""),"Corto plazo")</f>
        <v>Corto plazo</v>
      </c>
      <c r="R907" s="25"/>
      <c r="S907" s="55"/>
      <c r="T907" s="56"/>
      <c r="U907" s="25"/>
      <c r="V907" s="25"/>
      <c r="W907" s="25"/>
      <c r="X907" s="25"/>
      <c r="Y907" s="25"/>
      <c r="Z907" s="25"/>
    </row>
    <row r="908" spans="1:26" ht="52.5" customHeight="1" x14ac:dyDescent="0.25">
      <c r="A908" s="25" t="str">
        <f ca="1">IFERROR(__xludf.DUMMYFUNCTION("""COMPUTED_VALUE"""),"Integ6")</f>
        <v>Integ6</v>
      </c>
      <c r="B908" s="25" t="str">
        <f ca="1">IFERROR(__xludf.DUMMYFUNCTION("""COMPUTED_VALUE"""),"Avances tareas Consejos Consultivos, Política Pública y Migrantes. ")</f>
        <v xml:space="preserve">Avances tareas Consejos Consultivos, Política Pública y Migrantes. </v>
      </c>
      <c r="C908" s="55">
        <f ca="1">IFERROR(__xludf.DUMMYFUNCTION("""COMPUTED_VALUE"""),44446)</f>
        <v>44446</v>
      </c>
      <c r="D908" s="25" t="str">
        <f ca="1">IFERROR(__xludf.DUMMYFUNCTION("""COMPUTED_VALUE"""),"Integración_Social")</f>
        <v>Integración_Social</v>
      </c>
      <c r="E908" s="25" t="str">
        <f ca="1">IFERROR(__xludf.DUMMYFUNCTION("""COMPUTED_VALUE"""),"Secretaría Distrital de Integración Social")</f>
        <v>Secretaría Distrital de Integración Social</v>
      </c>
      <c r="F908" s="25" t="str">
        <f ca="1">IFERROR(__xludf.DUMMYFUNCTION("""COMPUTED_VALUE"""),"En el marco de la implementación del Estatuto Temporal de protección para Migrantes Venezolanos, cuantos pre-registros virtuales se han apoyado desde la Secretaría Distrital de Integración Social a la población proveniente de Venezuela. ")</f>
        <v xml:space="preserve">En el marco de la implementación del Estatuto Temporal de protección para Migrantes Venezolanos, cuantos pre-registros virtuales se han apoyado desde la Secretaría Distrital de Integración Social a la población proveniente de Venezuela. </v>
      </c>
      <c r="G908" s="25" t="str">
        <f ca="1">IFERROR(__xludf.DUMMYFUNCTION("""COMPUTED_VALUE"""),"99. Distrito")</f>
        <v>99. Distrito</v>
      </c>
      <c r="H908" s="55">
        <f ca="1">IFERROR(__xludf.DUMMYFUNCTION("""COMPUTED_VALUE"""),44476)</f>
        <v>44476</v>
      </c>
      <c r="I908" s="25"/>
      <c r="J908" s="55" t="str">
        <f ca="1">IFERROR(__xludf.DUMMYFUNCTION("""COMPUTED_VALUE"""),"Alta")</f>
        <v>Alta</v>
      </c>
      <c r="K908" s="25">
        <f ca="1">IFERROR(__xludf.DUMMYFUNCTION("""COMPUTED_VALUE"""),30)</f>
        <v>30</v>
      </c>
      <c r="L908" s="62">
        <f ca="1">IFERROR(__xludf.DUMMYFUNCTION("""COMPUTED_VALUE"""),44480)</f>
        <v>44480</v>
      </c>
      <c r="M908" s="25" t="str">
        <f ca="1">IFERROR(__xludf.DUMMYFUNCTION("""COMPUTED_VALUE"""),"Nota aclaratoria: La implementación del Estatuto Temporal de Protección para Migrantes Venezolanos es competencia de Migración Colombia, regulada por la Resolución 0971 de 2021. La primera fase es el Registro Único de Migrantes Venezolanos – RUMV, el cual"&amp;" está conformada por el Pre- Registro Virtual y el Registro Biométrico Presencial, fase habilitada a partir del 5 de mayo de 2021 y hasta el 28 de mayo de 2022, continuando hasta noviembre del 2023 para quienes ingresan a territorio colombiano de manera r"&amp;"egular durante los primeros dos años de vigencia del Estatuto. A partir del 14 de septiembre del 2021 desde el proyecto 7730 de la Secretaría Distrital de Integración social se inició el apoyo al pre-registro virtual asistido en articulación con el ACNUR "&amp;"en el marco del artículo 8 de la Resolución 0971 de 2021. Así mismo se orienta al migrante venezolano en las siguientes etapas para terminar su proceso de regularización, cita para el registro Biométrico Presencial y la posterior entrega del documento de "&amp;"identificación que permite la regularización migratoria como es el Permiso por Protección Temporal (PPT), en los puntos fijos dispuestos por Migración Colombia. Para definir la población regularizada se debe esperar que se culmine el proceso de implementa"&amp;"ción del Estatuto, el cual termina con la entrega del PPT.
Desde la SDIS a partir del 14 de septiembre del 2021 llevamos un registro en el sistema de información de la Entidad de la población venezolana a quienes hemos apoyado en el pre-registro virtual a"&amp;"sistido. 
")</f>
        <v xml:space="preserve">Nota aclaratoria: La implementación del Estatuto Temporal de Protección para Migrantes Venezolanos es competencia de Migración Colombia, regulada por la Resolución 0971 de 2021. La primera fase es el Registro Único de Migrantes Venezolanos – RUMV, el cual está conformada por el Pre- Registro Virtual y el Registro Biométrico Presencial, fase habilitada a partir del 5 de mayo de 2021 y hasta el 28 de mayo de 2022, continuando hasta noviembre del 2023 para quienes ingresan a territorio colombiano de manera regular durante los primeros dos años de vigencia del Estatuto. A partir del 14 de septiembre del 2021 desde el proyecto 7730 de la Secretaría Distrital de Integración social se inició el apoyo al pre-registro virtual asistido en articulación con el ACNUR en el marco del artículo 8 de la Resolución 0971 de 2021. Así mismo se orienta al migrante venezolano en las siguientes etapas para terminar su proceso de regularización, cita para el registro Biométrico Presencial y la posterior entrega del documento de identificación que permite la regularización migratoria como es el Permiso por Protección Temporal (PPT), en los puntos fijos dispuestos por Migración Colombia. Para definir la población regularizada se debe esperar que se culmine el proceso de implementación del Estatuto, el cual termina con la entrega del PPT.
Desde la SDIS a partir del 14 de septiembre del 2021 llevamos un registro en el sistema de información de la Entidad de la población venezolana a quienes hemos apoyado en el pre-registro virtual asistido. 
</v>
      </c>
      <c r="N908" s="55">
        <f ca="1">IFERROR(__xludf.DUMMYFUNCTION("""COMPUTED_VALUE"""),44480)</f>
        <v>44480</v>
      </c>
      <c r="O908" s="25" t="str">
        <f t="shared" ca="1" si="0"/>
        <v>Secretaría Distrital de Integración Social</v>
      </c>
      <c r="P908" s="25" t="str">
        <f t="shared" si="2"/>
        <v/>
      </c>
      <c r="Q908" s="25" t="str">
        <f ca="1">IFERROR(__xludf.DUMMYFUNCTION("""COMPUTED_VALUE"""),"Corto plazo")</f>
        <v>Corto plazo</v>
      </c>
      <c r="R908" s="25"/>
      <c r="S908" s="55"/>
      <c r="T908" s="56"/>
      <c r="U908" s="25"/>
      <c r="V908" s="25"/>
      <c r="W908" s="25"/>
      <c r="X908" s="25"/>
      <c r="Y908" s="25"/>
      <c r="Z908" s="25"/>
    </row>
    <row r="909" spans="1:26" ht="52.5" customHeight="1" x14ac:dyDescent="0.25">
      <c r="A909" s="25" t="str">
        <f ca="1">IFERROR(__xludf.DUMMYFUNCTION("""COMPUTED_VALUE"""),"Integ7")</f>
        <v>Integ7</v>
      </c>
      <c r="B909" s="25" t="str">
        <f ca="1">IFERROR(__xludf.DUMMYFUNCTION("""COMPUTED_VALUE"""),"Consejo Consultivo de niños, niñas y adolescentes")</f>
        <v>Consejo Consultivo de niños, niñas y adolescentes</v>
      </c>
      <c r="C909" s="55">
        <f ca="1">IFERROR(__xludf.DUMMYFUNCTION("""COMPUTED_VALUE"""),44431)</f>
        <v>44431</v>
      </c>
      <c r="D909" s="25" t="str">
        <f ca="1">IFERROR(__xludf.DUMMYFUNCTION("""COMPUTED_VALUE"""),"Integración_Social")</f>
        <v>Integración_Social</v>
      </c>
      <c r="E909" s="25" t="str">
        <f ca="1">IFERROR(__xludf.DUMMYFUNCTION("""COMPUTED_VALUE"""),"Secretaría Distrital de Integración Social")</f>
        <v>Secretaría Distrital de Integración Social</v>
      </c>
      <c r="F909" s="25" t="str">
        <f ca="1">IFERROR(__xludf.DUMMYFUNCTION("""COMPUTED_VALUE"""),"Crear certificados para los consejeros locales donde se acredite su experiencia, participación y funciones que se desarrollaron dentro del Consejo Consultivo de niños, niñas y adolescentes.")</f>
        <v>Crear certificados para los consejeros locales donde se acredite su experiencia, participación y funciones que se desarrollaron dentro del Consejo Consultivo de niños, niñas y adolescentes.</v>
      </c>
      <c r="G909" s="25" t="str">
        <f ca="1">IFERROR(__xludf.DUMMYFUNCTION("""COMPUTED_VALUE"""),"99. Distrito")</f>
        <v>99. Distrito</v>
      </c>
      <c r="H909" s="55">
        <f ca="1">IFERROR(__xludf.DUMMYFUNCTION("""COMPUTED_VALUE"""),44461)</f>
        <v>44461</v>
      </c>
      <c r="I909" s="25"/>
      <c r="J909" s="55" t="str">
        <f ca="1">IFERROR(__xludf.DUMMYFUNCTION("""COMPUTED_VALUE"""),"Alta")</f>
        <v>Alta</v>
      </c>
      <c r="K909" s="25">
        <f ca="1">IFERROR(__xludf.DUMMYFUNCTION("""COMPUTED_VALUE"""),30)</f>
        <v>30</v>
      </c>
      <c r="L909" s="62">
        <f ca="1">IFERROR(__xludf.DUMMYFUNCTION("""COMPUTED_VALUE"""),44511)</f>
        <v>44511</v>
      </c>
      <c r="M909" s="25" t="str">
        <f ca="1">IFERROR(__xludf.DUMMYFUNCTION("""COMPUTED_VALUE"""),"El día 16 de noviembre en la segunda sesión del Consejo Consultivo Distrital de Niños,  Niñas y Adolescentes en la agenda dispuesta para este día en el ítem denominado: Seguimiento a compromisos, se procedió a realizar la entrega oficial a cada uno de los"&amp;" y las consejeras de una constancia de participación en las instancia avalada y respaldada por el Subdirector para la Infancia de la Secretaría Distrital de Integración Social. Comentarios para realizar ajustes: El compromiso se lleva a cabo al 100% por p"&amp;"arte de la SDIS.")</f>
        <v>El día 16 de noviembre en la segunda sesión del Consejo Consultivo Distrital de Niños,  Niñas y Adolescentes en la agenda dispuesta para este día en el ítem denominado: Seguimiento a compromisos, se procedió a realizar la entrega oficial a cada uno de los y las consejeras de una constancia de participación en las instancia avalada y respaldada por el Subdirector para la Infancia de la Secretaría Distrital de Integración Social. Comentarios para realizar ajustes: El compromiso se lleva a cabo al 100% por parte de la SDIS.</v>
      </c>
      <c r="N909" s="55">
        <f ca="1">IFERROR(__xludf.DUMMYFUNCTION("""COMPUTED_VALUE"""),44511)</f>
        <v>44511</v>
      </c>
      <c r="O909" s="25" t="str">
        <f t="shared" ca="1" si="0"/>
        <v>Secretaría Distrital de Integración Social</v>
      </c>
      <c r="P909" s="25" t="str">
        <f t="shared" si="2"/>
        <v/>
      </c>
      <c r="Q909" s="25" t="str">
        <f ca="1">IFERROR(__xludf.DUMMYFUNCTION("""COMPUTED_VALUE"""),"Corto plazo")</f>
        <v>Corto plazo</v>
      </c>
      <c r="R909" s="25"/>
      <c r="S909" s="55"/>
      <c r="T909" s="56"/>
      <c r="U909" s="25"/>
      <c r="V909" s="25"/>
      <c r="W909" s="25"/>
      <c r="X909" s="25"/>
      <c r="Y909" s="25"/>
      <c r="Z909" s="25"/>
    </row>
    <row r="910" spans="1:26" ht="52.5" customHeight="1" x14ac:dyDescent="0.25">
      <c r="A910" s="25" t="str">
        <f ca="1">IFERROR(__xludf.DUMMYFUNCTION("""COMPUTED_VALUE"""),"Integ8")</f>
        <v>Integ8</v>
      </c>
      <c r="B910" s="25" t="str">
        <f ca="1">IFERROR(__xludf.DUMMYFUNCTION("""COMPUTED_VALUE"""),"Kennedy")</f>
        <v>Kennedy</v>
      </c>
      <c r="C910" s="55">
        <f ca="1">IFERROR(__xludf.DUMMYFUNCTION("""COMPUTED_VALUE"""),44415)</f>
        <v>44415</v>
      </c>
      <c r="D910" s="25" t="str">
        <f ca="1">IFERROR(__xludf.DUMMYFUNCTION("""COMPUTED_VALUE"""),"Integración_Social")</f>
        <v>Integración_Social</v>
      </c>
      <c r="E910" s="25" t="str">
        <f ca="1">IFERROR(__xludf.DUMMYFUNCTION("""COMPUTED_VALUE"""),"Secretaría Distrital de Integración Social")</f>
        <v>Secretaría Distrital de Integración Social</v>
      </c>
      <c r="F910" s="25" t="str">
        <f ca="1">IFERROR(__xludf.DUMMYFUNCTION("""COMPUTED_VALUE"""),"Evaluar la posibilidad de hacer centro para habitantes de calle por la zona del parque Timiza")</f>
        <v>Evaluar la posibilidad de hacer centro para habitantes de calle por la zona del parque Timiza</v>
      </c>
      <c r="G910" s="55" t="str">
        <f ca="1">IFERROR(__xludf.DUMMYFUNCTION("""COMPUTED_VALUE"""),"08. Kennedy")</f>
        <v>08. Kennedy</v>
      </c>
      <c r="H910" s="55">
        <f ca="1">IFERROR(__xludf.DUMMYFUNCTION("""COMPUTED_VALUE"""),44445)</f>
        <v>44445</v>
      </c>
      <c r="I910" s="25"/>
      <c r="J910" s="55" t="str">
        <f ca="1">IFERROR(__xludf.DUMMYFUNCTION("""COMPUTED_VALUE"""),"Alta")</f>
        <v>Alta</v>
      </c>
      <c r="K910" s="25">
        <f ca="1">IFERROR(__xludf.DUMMYFUNCTION("""COMPUTED_VALUE"""),30)</f>
        <v>30</v>
      </c>
      <c r="L910" s="62">
        <f ca="1">IFERROR(__xludf.DUMMYFUNCTION("""COMPUTED_VALUE"""),44215)</f>
        <v>44215</v>
      </c>
      <c r="M910" s="25" t="str">
        <f ca="1">IFERROR(__xludf.DUMMYFUNCTION("""COMPUTED_VALUE"""),"En reunión entre el Subdirector para la Adultez, el subsecretario de la SDIS y la directora de la UAESP el dia 13 de septiembre de 2021, se evaluó la posibilidad de ubicar un centro en Timiza, pero podría generar un impacto negativo con los vecinos. Por t"&amp;"anto, se acordó continuar con la consolidación del centro de cuidado transitorio de cuidado al carretero  y de autocuidado para ciudadanas y ciudadanos habitantes de calle en la zona del barrio María Paz, de acuerdo con lo que se estableció en la Directiv"&amp;"a 004  de 2021 y desde la misionalidad de la UAESP. Se implementa la estrategia móvil de abordaje en calle, para atender a la población habitante de calle que permanece en la localidad se realizan jornadas de autocuidado y escucha activa, las cuales se de"&amp;"sarrollan generalmente en el CDC Timiza, y se realizan referenciaciones hacia las unidades operativas ubicadas en otras localidades.")</f>
        <v>En reunión entre el Subdirector para la Adultez, el subsecretario de la SDIS y la directora de la UAESP el dia 13 de septiembre de 2021, se evaluó la posibilidad de ubicar un centro en Timiza, pero podría generar un impacto negativo con los vecinos. Por tanto, se acordó continuar con la consolidación del centro de cuidado transitorio de cuidado al carretero  y de autocuidado para ciudadanas y ciudadanos habitantes de calle en la zona del barrio María Paz, de acuerdo con lo que se estableció en la Directiva 004  de 2021 y desde la misionalidad de la UAESP. Se implementa la estrategia móvil de abordaje en calle, para atender a la población habitante de calle que permanece en la localidad se realizan jornadas de autocuidado y escucha activa, las cuales se desarrollan generalmente en el CDC Timiza, y se realizan referenciaciones hacia las unidades operativas ubicadas en otras localidades.</v>
      </c>
      <c r="N910" s="55">
        <f ca="1">IFERROR(__xludf.DUMMYFUNCTION("""COMPUTED_VALUE"""),44215)</f>
        <v>44215</v>
      </c>
      <c r="O910" s="25" t="str">
        <f t="shared" ca="1" si="0"/>
        <v>Secretaría Distrital de Integración Social</v>
      </c>
      <c r="P910" s="25" t="str">
        <f t="shared" si="2"/>
        <v/>
      </c>
      <c r="Q910" s="25" t="str">
        <f ca="1">IFERROR(__xludf.DUMMYFUNCTION("""COMPUTED_VALUE"""),"Corto plazo")</f>
        <v>Corto plazo</v>
      </c>
      <c r="R910" s="25"/>
      <c r="S910" s="55"/>
      <c r="T910" s="56"/>
      <c r="U910" s="25"/>
      <c r="V910" s="25"/>
      <c r="W910" s="25"/>
      <c r="X910" s="25"/>
      <c r="Y910" s="25"/>
      <c r="Z910" s="25"/>
    </row>
    <row r="911" spans="1:26" ht="52.5" customHeight="1" x14ac:dyDescent="0.25">
      <c r="A911" s="25" t="str">
        <f ca="1">IFERROR(__xludf.DUMMYFUNCTION("""COMPUTED_VALUE"""),"Integ9")</f>
        <v>Integ9</v>
      </c>
      <c r="B911" s="25" t="str">
        <f ca="1">IFERROR(__xludf.DUMMYFUNCTION("""COMPUTED_VALUE"""),"POT")</f>
        <v>POT</v>
      </c>
      <c r="C911" s="55">
        <f ca="1">IFERROR(__xludf.DUMMYFUNCTION("""COMPUTED_VALUE"""),44407)</f>
        <v>44407</v>
      </c>
      <c r="D911" s="25" t="str">
        <f ca="1">IFERROR(__xludf.DUMMYFUNCTION("""COMPUTED_VALUE"""),"Integración_Social")</f>
        <v>Integración_Social</v>
      </c>
      <c r="E911" s="25" t="str">
        <f ca="1">IFERROR(__xludf.DUMMYFUNCTION("""COMPUTED_VALUE"""),"Secretaría Distrital de Integración Social")</f>
        <v>Secretaría Distrital de Integración Social</v>
      </c>
      <c r="F911" s="25" t="str">
        <f ca="1">IFERROR(__xludf.DUMMYFUNCTION("""COMPUTED_VALUE"""),"¿Qué tipo de infraestructura en materia de servicios es viable unificar? ¿Cuanto y cuales grupos de equipamientos se pueden unificar de acuerdo a los servicios que ofrecen? Esto con el fin de evitar la dispersión de los 82 servicios y 20 equipamientos exp"&amp;"uestos.   ")</f>
        <v xml:space="preserve">¿Qué tipo de infraestructura en materia de servicios es viable unificar? ¿Cuanto y cuales grupos de equipamientos se pueden unificar de acuerdo a los servicios que ofrecen? Esto con el fin de evitar la dispersión de los 82 servicios y 20 equipamientos expuestos.   </v>
      </c>
      <c r="G911" s="25" t="str">
        <f ca="1">IFERROR(__xludf.DUMMYFUNCTION("""COMPUTED_VALUE"""),"99. Distrito")</f>
        <v>99. Distrito</v>
      </c>
      <c r="H911" s="55">
        <f ca="1">IFERROR(__xludf.DUMMYFUNCTION("""COMPUTED_VALUE"""),44437)</f>
        <v>44437</v>
      </c>
      <c r="I911" s="25"/>
      <c r="J911" s="55" t="str">
        <f ca="1">IFERROR(__xludf.DUMMYFUNCTION("""COMPUTED_VALUE"""),"Alta")</f>
        <v>Alta</v>
      </c>
      <c r="K911" s="25">
        <f ca="1">IFERROR(__xludf.DUMMYFUNCTION("""COMPUTED_VALUE"""),30)</f>
        <v>30</v>
      </c>
      <c r="L911" s="62">
        <f ca="1">IFERROR(__xludf.DUMMYFUNCTION("""COMPUTED_VALUE"""),44419)</f>
        <v>44419</v>
      </c>
      <c r="M911" s="25" t="str">
        <f ca="1">IFERROR(__xludf.DUMMYFUNCTION("""COMPUTED_VALUE"""),"Las modalidades que según un análisis previo se adaptan mejor al concepto manzanas de cuidado se pueden resumir en: 
1. El cuidado de nuestros niños: Servicios para la primera infancia 
2. Atención al hermano migrante: Rutas de atención y direccionamiento"&amp;" inicial a población migrante. 
3. Apoyando a nuestra Juventud: Mejorando el bienestar y aumentando las oportunidades de nuestros jóvenes. 
4. Vindicando a nuestros sabios: Servicios para el adulto mayor  
5. Restituyendo derechos: comisarías de familia y"&amp;" servicios de apoyo alimentario. 
En esta medida en las Manzanas de Cuidado se concentraría la infraestructura para brindar la atención según estas modalidades.
")</f>
        <v xml:space="preserve">Las modalidades que según un análisis previo se adaptan mejor al concepto manzanas de cuidado se pueden resumir en: 
1. El cuidado de nuestros niños: Servicios para la primera infancia 
2. Atención al hermano migrante: Rutas de atención y direccionamiento inicial a población migrante. 
3. Apoyando a nuestra Juventud: Mejorando el bienestar y aumentando las oportunidades de nuestros jóvenes. 
4. Vindicando a nuestros sabios: Servicios para el adulto mayor  
5. Restituyendo derechos: comisarías de familia y servicios de apoyo alimentario. 
En esta medida en las Manzanas de Cuidado se concentraría la infraestructura para brindar la atención según estas modalidades.
</v>
      </c>
      <c r="N911" s="55">
        <f ca="1">IFERROR(__xludf.DUMMYFUNCTION("""COMPUTED_VALUE"""),44419)</f>
        <v>44419</v>
      </c>
      <c r="O911" s="25" t="str">
        <f t="shared" ca="1" si="0"/>
        <v>Secretaría Distrital de Integración Social</v>
      </c>
      <c r="P911" s="25" t="str">
        <f t="shared" si="2"/>
        <v/>
      </c>
      <c r="Q911" s="25" t="str">
        <f ca="1">IFERROR(__xludf.DUMMYFUNCTION("""COMPUTED_VALUE"""),"Corto plazo")</f>
        <v>Corto plazo</v>
      </c>
      <c r="R911" s="25"/>
      <c r="S911" s="55"/>
      <c r="T911" s="56"/>
      <c r="U911" s="25"/>
      <c r="V911" s="25"/>
      <c r="W911" s="25"/>
      <c r="X911" s="25"/>
      <c r="Y911" s="25"/>
      <c r="Z911" s="25"/>
    </row>
    <row r="912" spans="1:26" ht="52.5" customHeight="1" x14ac:dyDescent="0.25">
      <c r="A912" s="25" t="str">
        <f ca="1">IFERROR(__xludf.DUMMYFUNCTION("""COMPUTED_VALUE"""),"Integ10")</f>
        <v>Integ10</v>
      </c>
      <c r="B912" s="25" t="str">
        <f ca="1">IFERROR(__xludf.DUMMYFUNCTION("""COMPUTED_VALUE"""),"Revisión retos y oportunidades UPL (POT)")</f>
        <v>Revisión retos y oportunidades UPL (POT)</v>
      </c>
      <c r="C912" s="55">
        <f ca="1">IFERROR(__xludf.DUMMYFUNCTION("""COMPUTED_VALUE"""),44400)</f>
        <v>44400</v>
      </c>
      <c r="D912" s="25" t="str">
        <f ca="1">IFERROR(__xludf.DUMMYFUNCTION("""COMPUTED_VALUE"""),"Integración_Social")</f>
        <v>Integración_Social</v>
      </c>
      <c r="E912" s="25" t="str">
        <f ca="1">IFERROR(__xludf.DUMMYFUNCTION("""COMPUTED_VALUE"""),"Secretaría Distrital de Integración Social")</f>
        <v>Secretaría Distrital de Integración Social</v>
      </c>
      <c r="F912" s="25" t="str">
        <f ca="1">IFERROR(__xludf.DUMMYFUNCTION("""COMPUTED_VALUE"""),"Hacer un plan para que los equipamientos de la Sec. de Integración Social no sean dispersos y que se puedan concentrar en las manzanas del cuidado. Dentro del mismo plan, se debe especificar cuáles servicios se pueden concentrar en un equipamiento ")</f>
        <v xml:space="preserve">Hacer un plan para que los equipamientos de la Sec. de Integración Social no sean dispersos y que se puedan concentrar en las manzanas del cuidado. Dentro del mismo plan, se debe especificar cuáles servicios se pueden concentrar en un equipamiento </v>
      </c>
      <c r="G912" s="25" t="str">
        <f ca="1">IFERROR(__xludf.DUMMYFUNCTION("""COMPUTED_VALUE"""),"99. Distrito")</f>
        <v>99. Distrito</v>
      </c>
      <c r="H912" s="55">
        <f ca="1">IFERROR(__xludf.DUMMYFUNCTION("""COMPUTED_VALUE"""),44430)</f>
        <v>44430</v>
      </c>
      <c r="I912" s="25"/>
      <c r="J912" s="55" t="str">
        <f ca="1">IFERROR(__xludf.DUMMYFUNCTION("""COMPUTED_VALUE"""),"Alta")</f>
        <v>Alta</v>
      </c>
      <c r="K912" s="25">
        <f ca="1">IFERROR(__xludf.DUMMYFUNCTION("""COMPUTED_VALUE"""),30)</f>
        <v>30</v>
      </c>
      <c r="L912" s="62">
        <f ca="1">IFERROR(__xludf.DUMMYFUNCTION("""COMPUTED_VALUE"""),44419)</f>
        <v>44419</v>
      </c>
      <c r="M912" s="25" t="str">
        <f ca="1">IFERROR(__xludf.DUMMYFUNCTION("""COMPUTED_VALUE"""),"Se parte del supuesto de que todas las manzanas de cuidado deberán tener servicios de cuidado para mejorar el bienestar de la población especialmente femenina. En este caso como estrategia se crearon 4 paquetes diferenciales, también se calculó el número "&amp;"total de personas beneficiarias con cada paquete y  se incluyeron las necesidades de infraestructura para discapacidad y de comisarías de familia, de acuerdo al número de denuncias de los últimos 3 años y finalmente se estableció una ruta de atención a la"&amp;" pobreza oculta. 
•        Paquete 1: Este incluye servicios de infancia, juventud, adulto mayor, alimentación, comisarías de familia. Se identificaron 19 manzanas con una población beneficiaria de más de 602.401 personas. De estas 34 manzanas además 16 d"&amp;"eberían contar con infraestructura de discapacidad, 15 con comisarías de familia y 15 deberían tener también la ruta de apoyo para pobreza oculta.
•        Paquete 2: Son manzanas que no contienen servicios de infancia, pero sí de juventud, vejez y alimen"&amp;"tación. Se detectaron 25 manzanas del cuidado con estas necesidades, con una población total de 277.549 personas.  Se identificó que de las 25 manzanas 7 deben tener infraestructura para discapacidad, 9 deben contar con comisarías de familia, y en 8 debe "&amp;"haber algún apoyo para enfrentar la pobreza oculta.
•        Paquete 3: En este paquete no se ofrecen servicios de infancia y de adulto mayor. Se identificaron 9 manzanas con una población potencial de 15.531. De estas, 1 debe tener infraestructura para p"&amp;"ersonas en condición de discapacidad, 4 deben tener comisarías de familia y 5 deberían ofrecer servicios para enfrentar la pobreza oculta.
•        Paquete 4: Este paquete no incluye los servicios de infancia, juventud y vejez. Solo se identificó una manz"&amp;"ana con esas características con una población potencial de 5887 personas.
Las manzanas del cuidado se caracterizan por aunar esfuerzos entre las diferentes entidades bajo los principios de integración y complementariedad de servicios sociales. Es decir, "&amp;"que desde la configuración de una dupla de atención se tenga la oportunidad que, en un mismo espacio se brinde atención a las personas que requieren cuidado (niños, niñas, personas mayores, personas con discapacidad, migrantes) y simultáneamente las perso"&amp;"nas cuidadoras puedan acceder a servicios de respiro y desarrollo de capacidades sin mayor desplazamiento.")</f>
        <v>Se parte del supuesto de que todas las manzanas de cuidado deberán tener servicios de cuidado para mejorar el bienestar de la población especialmente femenina. En este caso como estrategia se crearon 4 paquetes diferenciales, también se calculó el número total de personas beneficiarias con cada paquete y  se incluyeron las necesidades de infraestructura para discapacidad y de comisarías de familia, de acuerdo al número de denuncias de los últimos 3 años y finalmente se estableció una ruta de atención a la pobreza oculta. 
•        Paquete 1: Este incluye servicios de infancia, juventud, adulto mayor, alimentación, comisarías de familia. Se identificaron 19 manzanas con una población beneficiaria de más de 602.401 personas. De estas 34 manzanas además 16 deberían contar con infraestructura de discapacidad, 15 con comisarías de familia y 15 deberían tener también la ruta de apoyo para pobreza oculta.
•        Paquete 2: Son manzanas que no contienen servicios de infancia, pero sí de juventud, vejez y alimentación. Se detectaron 25 manzanas del cuidado con estas necesidades, con una población total de 277.549 personas.  Se identificó que de las 25 manzanas 7 deben tener infraestructura para discapacidad, 9 deben contar con comisarías de familia, y en 8 debe haber algún apoyo para enfrentar la pobreza oculta.
•        Paquete 3: En este paquete no se ofrecen servicios de infancia y de adulto mayor. Se identificaron 9 manzanas con una población potencial de 15.531. De estas, 1 debe tener infraestructura para personas en condición de discapacidad, 4 deben tener comisarías de familia y 5 deberían ofrecer servicios para enfrentar la pobreza oculta.
•        Paquete 4: Este paquete no incluye los servicios de infancia, juventud y vejez. Solo se identificó una manzana con esas características con una población potencial de 5887 personas.
Las manzanas del cuidado se caracterizan por aunar esfuerzos entre las diferentes entidades bajo los principios de integración y complementariedad de servicios sociales. Es decir, que desde la configuración de una dupla de atención se tenga la oportunidad que, en un mismo espacio se brinde atención a las personas que requieren cuidado (niños, niñas, personas mayores, personas con discapacidad, migrantes) y simultáneamente las personas cuidadoras puedan acceder a servicios de respiro y desarrollo de capacidades sin mayor desplazamiento.</v>
      </c>
      <c r="N912" s="55">
        <f ca="1">IFERROR(__xludf.DUMMYFUNCTION("""COMPUTED_VALUE"""),44419)</f>
        <v>44419</v>
      </c>
      <c r="O912" s="25" t="str">
        <f t="shared" ca="1" si="0"/>
        <v>Secretaría Distrital de Integración Social</v>
      </c>
      <c r="P912" s="25" t="str">
        <f t="shared" si="2"/>
        <v/>
      </c>
      <c r="Q912" s="25" t="str">
        <f ca="1">IFERROR(__xludf.DUMMYFUNCTION("""COMPUTED_VALUE"""),"Corto plazo")</f>
        <v>Corto plazo</v>
      </c>
      <c r="R912" s="25"/>
      <c r="S912" s="55"/>
      <c r="T912" s="56"/>
      <c r="U912" s="25"/>
      <c r="V912" s="25"/>
      <c r="W912" s="25"/>
      <c r="X912" s="25"/>
      <c r="Y912" s="25"/>
      <c r="Z912" s="25"/>
    </row>
    <row r="913" spans="1:26" ht="52.5" customHeight="1" x14ac:dyDescent="0.25">
      <c r="A913" s="25" t="str">
        <f ca="1">IFERROR(__xludf.DUMMYFUNCTION("""COMPUTED_VALUE"""),"Integ11")</f>
        <v>Integ11</v>
      </c>
      <c r="B913" s="25" t="str">
        <f ca="1">IFERROR(__xludf.DUMMYFUNCTION("""COMPUTED_VALUE"""),"Consejo Consultivo LGBTI")</f>
        <v>Consejo Consultivo LGBTI</v>
      </c>
      <c r="C913" s="55">
        <f ca="1">IFERROR(__xludf.DUMMYFUNCTION("""COMPUTED_VALUE"""),44398)</f>
        <v>44398</v>
      </c>
      <c r="D913" s="25" t="str">
        <f ca="1">IFERROR(__xludf.DUMMYFUNCTION("""COMPUTED_VALUE"""),"Integración_Social")</f>
        <v>Integración_Social</v>
      </c>
      <c r="E913" s="25" t="str">
        <f ca="1">IFERROR(__xludf.DUMMYFUNCTION("""COMPUTED_VALUE"""),"Secretaría Distrital de Integración Social")</f>
        <v>Secretaría Distrital de Integración Social</v>
      </c>
      <c r="F913" s="25" t="str">
        <f ca="1">IFERROR(__xludf.DUMMYFUNCTION("""COMPUTED_VALUE"""),"Realizar un reporte de registro administrativo/censo que permita tener información para la generación de documentos técnicos orientados a la toma de decisiones frente a los servicios sociales Distritales para personas de los sectores sociales LGBTI (Se ge"&amp;"nera la aclaración debido a que se lidera desde la rectoría de Política Pública LGBTI que está en SDP a través de la Dirección de Diversidad Sexual")</f>
        <v>Realizar un reporte de registro administrativo/censo que permita tener información para la generación de documentos técnicos orientados a la toma de decisiones frente a los servicios sociales Distritales para personas de los sectores sociales LGBTI (Se genera la aclaración debido a que se lidera desde la rectoría de Política Pública LGBTI que está en SDP a través de la Dirección de Diversidad Sexual</v>
      </c>
      <c r="G913" s="25" t="str">
        <f ca="1">IFERROR(__xludf.DUMMYFUNCTION("""COMPUTED_VALUE"""),"99. Distrito")</f>
        <v>99. Distrito</v>
      </c>
      <c r="H913" s="55">
        <f ca="1">IFERROR(__xludf.DUMMYFUNCTION("""COMPUTED_VALUE"""),44428)</f>
        <v>44428</v>
      </c>
      <c r="I913" s="25"/>
      <c r="J913" s="55" t="str">
        <f ca="1">IFERROR(__xludf.DUMMYFUNCTION("""COMPUTED_VALUE"""),"Alta")</f>
        <v>Alta</v>
      </c>
      <c r="K913" s="25">
        <f ca="1">IFERROR(__xludf.DUMMYFUNCTION("""COMPUTED_VALUE"""),30)</f>
        <v>30</v>
      </c>
      <c r="L913" s="62">
        <f ca="1">IFERROR(__xludf.DUMMYFUNCTION("""COMPUTED_VALUE"""),44631)</f>
        <v>44631</v>
      </c>
      <c r="M913" s="25" t="str">
        <f ca="1">IFERROR(__xludf.DUMMYFUNCTION("""COMPUTED_VALUE"""),"Actualmente la SDP está desarrollando el instrumento de registro administrativo, para la cual la Secretaria Distrital de Integración Social-SDIS aportó lo siguiente:
 1. El instrumento que la tropa social LGBTI ha desarrollado para la identificación de ne"&amp;"cesidades de la población LGBTI.
 2. La Secretaria Distrital de Planeación-SDP realizó solicitud formal a la Secretaria Distrital de Integración Social – Asunto Registro distrital de personas de los sectores LGBTI …(¨)…“La construcción de este registro in"&amp;"cluye el diagnóstico de la información disponible a nivel de los sectores y entidades corresponsales de la política. Para ello, solicitamos su apoyo con el diligenciamiento de la matriz adjunta, sobre información de bases de datos existentes en las difere"&amp;"ntes entidades que puedan contener registros de personas de los sectores LGBTI.” La Secretaria Distrital de Integración Social dio respuesta a conformidad mediante Rad: S2021104007 acompañado del anexo Datos SDIS_ Base SDP.
 De conformidad a lo anterior, "&amp;"la Secretaria Distrital de Integración Social aportó todo lo requerido para el desarrollo y cumplimiento del compromiso en relación. Sin embargo el procesamiento de esta información y la posterior generación de documentos técnicos están a cargo de la Secr"&amp;"etaria Distrital de Planeación-SDP.")</f>
        <v>Actualmente la SDP está desarrollando el instrumento de registro administrativo, para la cual la Secretaria Distrital de Integración Social-SDIS aportó lo siguiente:
 1. El instrumento que la tropa social LGBTI ha desarrollado para la identificación de necesidades de la población LGBTI.
 2. La Secretaria Distrital de Planeación-SDP realizó solicitud formal a la Secretaria Distrital de Integración Social – Asunto Registro distrital de personas de los sectores LGBTI …(¨)…“La construcción de este registro incluye el diagnóstico de la información disponible a nivel de los sectores y entidades corresponsales de la política. Para ello, solicitamos su apoyo con el diligenciamiento de la matriz adjunta, sobre información de bases de datos existentes en las diferentes entidades que puedan contener registros de personas de los sectores LGBTI.” La Secretaria Distrital de Integración Social dio respuesta a conformidad mediante Rad: S2021104007 acompañado del anexo Datos SDIS_ Base SDP.
 De conformidad a lo anterior, la Secretaria Distrital de Integración Social aportó todo lo requerido para el desarrollo y cumplimiento del compromiso en relación. Sin embargo el procesamiento de esta información y la posterior generación de documentos técnicos están a cargo de la Secretaria Distrital de Planeación-SDP.</v>
      </c>
      <c r="N913" s="55">
        <f ca="1">IFERROR(__xludf.DUMMYFUNCTION("""COMPUTED_VALUE"""),44631)</f>
        <v>44631</v>
      </c>
      <c r="O913" s="25" t="str">
        <f t="shared" ca="1" si="0"/>
        <v>Secretaría Distrital de Integración Social</v>
      </c>
      <c r="P913" s="25" t="str">
        <f t="shared" si="2"/>
        <v/>
      </c>
      <c r="Q913" s="25" t="str">
        <f ca="1">IFERROR(__xludf.DUMMYFUNCTION("""COMPUTED_VALUE"""),"Corto plazo")</f>
        <v>Corto plazo</v>
      </c>
      <c r="R913" s="25"/>
      <c r="S913" s="55"/>
      <c r="T913" s="56"/>
      <c r="U913" s="25"/>
      <c r="V913" s="25"/>
      <c r="W913" s="25"/>
      <c r="X913" s="25"/>
      <c r="Y913" s="25"/>
      <c r="Z913" s="25"/>
    </row>
    <row r="914" spans="1:26" ht="52.5" customHeight="1" x14ac:dyDescent="0.25">
      <c r="A914" s="25" t="str">
        <f ca="1">IFERROR(__xludf.DUMMYFUNCTION("""COMPUTED_VALUE"""),"Integ12")</f>
        <v>Integ12</v>
      </c>
      <c r="B914" s="25" t="str">
        <f ca="1">IFERROR(__xludf.DUMMYFUNCTION("""COMPUTED_VALUE"""),"Recorrido San Cristóbal ")</f>
        <v xml:space="preserve">Recorrido San Cristóbal </v>
      </c>
      <c r="C914" s="55">
        <f ca="1">IFERROR(__xludf.DUMMYFUNCTION("""COMPUTED_VALUE"""),44372)</f>
        <v>44372</v>
      </c>
      <c r="D914" s="25" t="str">
        <f ca="1">IFERROR(__xludf.DUMMYFUNCTION("""COMPUTED_VALUE"""),"Integración_Social")</f>
        <v>Integración_Social</v>
      </c>
      <c r="E914" s="25" t="str">
        <f ca="1">IFERROR(__xludf.DUMMYFUNCTION("""COMPUTED_VALUE"""),"Secretaría Distrital de Integración Social")</f>
        <v>Secretaría Distrital de Integración Social</v>
      </c>
      <c r="F914" s="25" t="str">
        <f ca="1">IFERROR(__xludf.DUMMYFUNCTION("""COMPUTED_VALUE"""),"SDIS debe hablar con las comunidades afro de San Cristóbal y preguntarles si prefieren recibir mercados del distrito o bonos alimenticios.")</f>
        <v>SDIS debe hablar con las comunidades afro de San Cristóbal y preguntarles si prefieren recibir mercados del distrito o bonos alimenticios.</v>
      </c>
      <c r="G914" s="55" t="str">
        <f ca="1">IFERROR(__xludf.DUMMYFUNCTION("""COMPUTED_VALUE"""),"04. San Cristóbal")</f>
        <v>04. San Cristóbal</v>
      </c>
      <c r="H914" s="55">
        <f ca="1">IFERROR(__xludf.DUMMYFUNCTION("""COMPUTED_VALUE"""),44402)</f>
        <v>44402</v>
      </c>
      <c r="I914" s="25"/>
      <c r="J914" s="55" t="str">
        <f ca="1">IFERROR(__xludf.DUMMYFUNCTION("""COMPUTED_VALUE"""),"Alta")</f>
        <v>Alta</v>
      </c>
      <c r="K914" s="25">
        <f ca="1">IFERROR(__xludf.DUMMYFUNCTION("""COMPUTED_VALUE"""),30)</f>
        <v>30</v>
      </c>
      <c r="L914" s="62">
        <f ca="1">IFERROR(__xludf.DUMMYFUNCTION("""COMPUTED_VALUE"""),44425)</f>
        <v>44425</v>
      </c>
      <c r="M914" s="25" t="str">
        <f ca="1">IFERROR(__xludf.DUMMYFUNCTION("""COMPUTED_VALUE"""),"Se adelantó reunión el día 16 de julio con la comunidad Afro de la Localidad de San Cristóbal donde se les manifestó que la entrega de canastas básicas se realiza debido a que así fue solicitado en su momento por la Mesa Consultiva Distrital AFRO y que  l"&amp;"os alimentos entregados con las canastas alimentarias cumplen con los requerimientos nutricionales indicados para este apoyo alimentario. Con esta información se orienta entonces a los participantes de la reunión para  que conforme al procedimiento, la so"&amp;"licitud de hacer el cambio a la modalidad de bonos canjeables debe tramitarse a través de la mesa consultiva con el propósito de contar con criterios unificados para la solicitud y aval. ")</f>
        <v xml:space="preserve">Se adelantó reunión el día 16 de julio con la comunidad Afro de la Localidad de San Cristóbal donde se les manifestó que la entrega de canastas básicas se realiza debido a que así fue solicitado en su momento por la Mesa Consultiva Distrital AFRO y que  los alimentos entregados con las canastas alimentarias cumplen con los requerimientos nutricionales indicados para este apoyo alimentario. Con esta información se orienta entonces a los participantes de la reunión para  que conforme al procedimiento, la solicitud de hacer el cambio a la modalidad de bonos canjeables debe tramitarse a través de la mesa consultiva con el propósito de contar con criterios unificados para la solicitud y aval. </v>
      </c>
      <c r="N914" s="55">
        <f ca="1">IFERROR(__xludf.DUMMYFUNCTION("""COMPUTED_VALUE"""),44425)</f>
        <v>44425</v>
      </c>
      <c r="O914" s="25" t="str">
        <f t="shared" ca="1" si="0"/>
        <v>Secretaría Distrital de Integración Social</v>
      </c>
      <c r="P914" s="25" t="str">
        <f t="shared" si="2"/>
        <v/>
      </c>
      <c r="Q914" s="25" t="str">
        <f ca="1">IFERROR(__xludf.DUMMYFUNCTION("""COMPUTED_VALUE"""),"Corto plazo")</f>
        <v>Corto plazo</v>
      </c>
      <c r="R914" s="25"/>
      <c r="S914" s="55"/>
      <c r="T914" s="56"/>
      <c r="U914" s="25"/>
      <c r="V914" s="25"/>
      <c r="W914" s="25"/>
      <c r="X914" s="25"/>
      <c r="Y914" s="25"/>
      <c r="Z914" s="25"/>
    </row>
    <row r="915" spans="1:26" ht="52.5" customHeight="1" x14ac:dyDescent="0.25">
      <c r="A915" s="25" t="str">
        <f ca="1">IFERROR(__xludf.DUMMYFUNCTION("""COMPUTED_VALUE"""),"Integ13")</f>
        <v>Integ13</v>
      </c>
      <c r="B915" s="25" t="str">
        <f ca="1">IFERROR(__xludf.DUMMYFUNCTION("""COMPUTED_VALUE"""),"Consejo Consultivo LGBTI")</f>
        <v>Consejo Consultivo LGBTI</v>
      </c>
      <c r="C915" s="55">
        <f ca="1">IFERROR(__xludf.DUMMYFUNCTION("""COMPUTED_VALUE"""),44362)</f>
        <v>44362</v>
      </c>
      <c r="D915" s="25" t="str">
        <f ca="1">IFERROR(__xludf.DUMMYFUNCTION("""COMPUTED_VALUE"""),"Integración_Social")</f>
        <v>Integración_Social</v>
      </c>
      <c r="E915" s="25" t="str">
        <f ca="1">IFERROR(__xludf.DUMMYFUNCTION("""COMPUTED_VALUE"""),"Secretaría Distrital de Integración Social")</f>
        <v>Secretaría Distrital de Integración Social</v>
      </c>
      <c r="F915" s="25" t="str">
        <f ca="1">IFERROR(__xludf.DUMMYFUNCTION("""COMPUTED_VALUE"""),"Buscar un predio propio para la instalación en CAIDSG en Teusaquillo ")</f>
        <v xml:space="preserve">Buscar un predio propio para la instalación en CAIDSG en Teusaquillo </v>
      </c>
      <c r="G915" s="25" t="str">
        <f ca="1">IFERROR(__xludf.DUMMYFUNCTION("""COMPUTED_VALUE"""),"99. Distrito")</f>
        <v>99. Distrito</v>
      </c>
      <c r="H915" s="55">
        <f ca="1">IFERROR(__xludf.DUMMYFUNCTION("""COMPUTED_VALUE"""),44392)</f>
        <v>44392</v>
      </c>
      <c r="I915" s="25"/>
      <c r="J915" s="55" t="str">
        <f ca="1">IFERROR(__xludf.DUMMYFUNCTION("""COMPUTED_VALUE"""),"Alta")</f>
        <v>Alta</v>
      </c>
      <c r="K915" s="25">
        <f ca="1">IFERROR(__xludf.DUMMYFUNCTION("""COMPUTED_VALUE"""),30)</f>
        <v>30</v>
      </c>
      <c r="L915" s="62">
        <f ca="1">IFERROR(__xludf.DUMMYFUNCTION("""COMPUTED_VALUE"""),44320)</f>
        <v>44320</v>
      </c>
      <c r="M915" s="25" t="str">
        <f ca="1">IFERROR(__xludf.DUMMYFUNCTION("""COMPUTED_VALUE"""),"El 12 de abril de 2021 se realizó la entrega del actual predio ubicado en la Calle 31 No 17-49 con el fin de contribuir al fortalecimiento del CAIDSG Sebastian Romero")</f>
        <v>El 12 de abril de 2021 se realizó la entrega del actual predio ubicado en la Calle 31 No 17-49 con el fin de contribuir al fortalecimiento del CAIDSG Sebastian Romero</v>
      </c>
      <c r="N915" s="55">
        <f ca="1">IFERROR(__xludf.DUMMYFUNCTION("""COMPUTED_VALUE"""),44320)</f>
        <v>44320</v>
      </c>
      <c r="O915" s="25" t="str">
        <f t="shared" ca="1" si="0"/>
        <v>Secretaría Distrital de Integración Social</v>
      </c>
      <c r="P915" s="25" t="str">
        <f t="shared" si="2"/>
        <v/>
      </c>
      <c r="Q915" s="25" t="str">
        <f ca="1">IFERROR(__xludf.DUMMYFUNCTION("""COMPUTED_VALUE"""),"Corto plazo")</f>
        <v>Corto plazo</v>
      </c>
      <c r="R915" s="25"/>
      <c r="S915" s="55"/>
      <c r="T915" s="56"/>
      <c r="U915" s="25"/>
      <c r="V915" s="25"/>
      <c r="W915" s="25"/>
      <c r="X915" s="25"/>
      <c r="Y915" s="25"/>
      <c r="Z915" s="25"/>
    </row>
    <row r="916" spans="1:26" ht="52.5" customHeight="1" x14ac:dyDescent="0.25">
      <c r="A916" s="25" t="str">
        <f ca="1">IFERROR(__xludf.DUMMYFUNCTION("""COMPUTED_VALUE"""),"Integ14")</f>
        <v>Integ14</v>
      </c>
      <c r="B916" s="25" t="str">
        <f ca="1">IFERROR(__xludf.DUMMYFUNCTION("""COMPUTED_VALUE"""),"Reunión Comunidad Trans")</f>
        <v>Reunión Comunidad Trans</v>
      </c>
      <c r="C916" s="55">
        <f ca="1">IFERROR(__xludf.DUMMYFUNCTION("""COMPUTED_VALUE"""),44322)</f>
        <v>44322</v>
      </c>
      <c r="D916" s="25" t="str">
        <f ca="1">IFERROR(__xludf.DUMMYFUNCTION("""COMPUTED_VALUE"""),"Integración_Social")</f>
        <v>Integración_Social</v>
      </c>
      <c r="E916" s="25" t="str">
        <f ca="1">IFERROR(__xludf.DUMMYFUNCTION("""COMPUTED_VALUE"""),"Secretaría Distrital de Integración Social")</f>
        <v>Secretaría Distrital de Integración Social</v>
      </c>
      <c r="F916" s="25" t="str">
        <f ca="1">IFERROR(__xludf.DUMMYFUNCTION("""COMPUTED_VALUE""")," Hacer un plan de educación flexible y establecer una cuota en el convenio con el SENA para la población Trans 
 ")</f>
        <v xml:space="preserve"> Hacer un plan de educación flexible y establecer una cuota en el convenio con el SENA para la población Trans 
 </v>
      </c>
      <c r="G916" s="25" t="str">
        <f ca="1">IFERROR(__xludf.DUMMYFUNCTION("""COMPUTED_VALUE"""),"99. Distrito")</f>
        <v>99. Distrito</v>
      </c>
      <c r="H916" s="55">
        <f ca="1">IFERROR(__xludf.DUMMYFUNCTION("""COMPUTED_VALUE"""),44352)</f>
        <v>44352</v>
      </c>
      <c r="I916" s="25"/>
      <c r="J916" s="55" t="str">
        <f ca="1">IFERROR(__xludf.DUMMYFUNCTION("""COMPUTED_VALUE"""),"Alta")</f>
        <v>Alta</v>
      </c>
      <c r="K916" s="25">
        <f ca="1">IFERROR(__xludf.DUMMYFUNCTION("""COMPUTED_VALUE"""),30)</f>
        <v>30</v>
      </c>
      <c r="L916" s="62">
        <f ca="1">IFERROR(__xludf.DUMMYFUNCTION("""COMPUTED_VALUE"""),44456)</f>
        <v>44456</v>
      </c>
      <c r="M916" s="25" t="str">
        <f ca="1">IFERROR(__xludf.DUMMYFUNCTION("""COMPUTED_VALUE"""),"Desde la Subdirección para Asuntos LGBTI se adelantaron todas las gestiones pertinentes requeridas para que a través del convenio marco con el SENA  brindar siete (7) formaciones técnicas y complementarias que beneficiarán a la población de los sectores s"&amp;"ociales LGBTI en las siguientes áreas:  I) Inglés básico, II) Asistencia administrativa III) Procesos de costura IV) Bioseguridad aplicada a la estética V) Higiene y manipulación de alimentos VI) Marketing digital y VII) Emprendimiento digital, dichos pro"&amp;"cesos formativos van dirigidos al fortalecimiento del proyecto de vida de las personas, así como al fomento del emprendimiento, y a contribuir a la disminución de barreras al acceso de oportunidades laborales. El  link dispuesto para realizar la preiscrip"&amp;"ción para esta oferta es el siguiente: https://docs.google.com/forms/d/e/1FAIpQLSdplTQpqgMSN-_yWmKK8mGxQZNbehmvNYs1LTdtPuJSGv-UkA/viewform
El convenio vigente entre SDIS y el SENA brindará cobertura a 3,434 personas de los sectores sociales LGBTI durante"&amp;" el cuatrienio.")</f>
        <v>Desde la Subdirección para Asuntos LGBTI se adelantaron todas las gestiones pertinentes requeridas para que a través del convenio marco con el SENA  brindar siete (7) formaciones técnicas y complementarias que beneficiarán a la población de los sectores sociales LGBTI en las siguientes áreas:  I) Inglés básico, II) Asistencia administrativa III) Procesos de costura IV) Bioseguridad aplicada a la estética V) Higiene y manipulación de alimentos VI) Marketing digital y VII) Emprendimiento digital, dichos procesos formativos van dirigidos al fortalecimiento del proyecto de vida de las personas, así como al fomento del emprendimiento, y a contribuir a la disminución de barreras al acceso de oportunidades laborales. El  link dispuesto para realizar la preiscripción para esta oferta es el siguiente: https://docs.google.com/forms/d/e/1FAIpQLSdplTQpqgMSN-_yWmKK8mGxQZNbehmvNYs1LTdtPuJSGv-UkA/viewform
El convenio vigente entre SDIS y el SENA brindará cobertura a 3,434 personas de los sectores sociales LGBTI durante el cuatrienio.</v>
      </c>
      <c r="N916" s="55">
        <f ca="1">IFERROR(__xludf.DUMMYFUNCTION("""COMPUTED_VALUE"""),44456)</f>
        <v>44456</v>
      </c>
      <c r="O916" s="25" t="str">
        <f t="shared" ca="1" si="0"/>
        <v>Secretaría Distrital de Integración Social</v>
      </c>
      <c r="P916" s="25" t="str">
        <f t="shared" si="2"/>
        <v/>
      </c>
      <c r="Q916" s="25" t="str">
        <f ca="1">IFERROR(__xludf.DUMMYFUNCTION("""COMPUTED_VALUE"""),"Corto plazo")</f>
        <v>Corto plazo</v>
      </c>
      <c r="R916" s="25"/>
      <c r="S916" s="55"/>
      <c r="T916" s="56"/>
      <c r="U916" s="25"/>
      <c r="V916" s="25"/>
      <c r="W916" s="25"/>
      <c r="X916" s="25"/>
      <c r="Y916" s="25"/>
      <c r="Z916" s="25"/>
    </row>
    <row r="917" spans="1:26" ht="52.5" customHeight="1" x14ac:dyDescent="0.25">
      <c r="A917" s="25" t="str">
        <f ca="1">IFERROR(__xludf.DUMMYFUNCTION("""COMPUTED_VALUE"""),"Integ15")</f>
        <v>Integ15</v>
      </c>
      <c r="B917" s="25" t="str">
        <f ca="1">IFERROR(__xludf.DUMMYFUNCTION("""COMPUTED_VALUE"""),"Reunión Comunidad Trans")</f>
        <v>Reunión Comunidad Trans</v>
      </c>
      <c r="C917" s="55">
        <f ca="1">IFERROR(__xludf.DUMMYFUNCTION("""COMPUTED_VALUE"""),44322)</f>
        <v>44322</v>
      </c>
      <c r="D917" s="25" t="str">
        <f ca="1">IFERROR(__xludf.DUMMYFUNCTION("""COMPUTED_VALUE"""),"Integración_Social")</f>
        <v>Integración_Social</v>
      </c>
      <c r="E917" s="25" t="str">
        <f ca="1">IFERROR(__xludf.DUMMYFUNCTION("""COMPUTED_VALUE"""),"Secretaría Distrital de Integración Social")</f>
        <v>Secretaría Distrital de Integración Social</v>
      </c>
      <c r="F917" s="25" t="str">
        <f ca="1">IFERROR(__xludf.DUMMYFUNCTION("""COMPUTED_VALUE"""),"Establecer y brindar atención en los CAIDSG de 24 horas 
 ")</f>
        <v xml:space="preserve">Establecer y brindar atención en los CAIDSG de 24 horas 
 </v>
      </c>
      <c r="G917" s="55" t="str">
        <f ca="1">IFERROR(__xludf.DUMMYFUNCTION("""COMPUTED_VALUE"""),"14. Mártires")</f>
        <v>14. Mártires</v>
      </c>
      <c r="H917" s="55">
        <f ca="1">IFERROR(__xludf.DUMMYFUNCTION("""COMPUTED_VALUE"""),44352)</f>
        <v>44352</v>
      </c>
      <c r="I917" s="25"/>
      <c r="J917" s="55" t="str">
        <f ca="1">IFERROR(__xludf.DUMMYFUNCTION("""COMPUTED_VALUE"""),"Alta")</f>
        <v>Alta</v>
      </c>
      <c r="K917" s="25">
        <f ca="1">IFERROR(__xludf.DUMMYFUNCTION("""COMPUTED_VALUE"""),30)</f>
        <v>30</v>
      </c>
      <c r="L917" s="62">
        <f ca="1">IFERROR(__xludf.DUMMYFUNCTION("""COMPUTED_VALUE"""),44404)</f>
        <v>44404</v>
      </c>
      <c r="M917" s="25" t="str">
        <f ca="1">IFERROR(__xludf.DUMMYFUNCTION("""COMPUTED_VALUE"""),"Los servicios en zona centro (Localidad Mártires) se ajustaron según el requerimiento. Sin embargo, en el proceso de implementación se presentaron diferentes situaciones que hicieron aconsejable regresar al modelo diurno. A continuación, se resaltan los a"&amp;"spectos mencionados: 
1.	Se presentó baja demanda de servicios sociales del CAIDSG Zona Centro, en el horario nocturno, debido a que muchas personas de la zona, ejercen actividades sexuales pagadas en dicho horario.
2.	La ampliación del horario se reali"&amp;"zó con el mismo equipo de trabajo que está vinculado en la unidad operativa (6 personas, vinculadas mediante OPS). Para cubrir toda la jornada, debieron repartirse y tuvieron que asumir una carga de trabajo adicional, al mismo tiempo se vio afectada la pr"&amp;"estación del servicio diurno. 
3.	La sobrecarga representó agotamiento físico y emocional del equipo involucrado. 
4.	La operación en horario nocturno, representó un sobre costo en el transporte (debido a uso de hasta 3 vale taxis) para garantizar el tr"&amp;"aslado y la seguridad de los contratistas que finalizaban el servicio en la unidad operativa, en horarios nocturnos o de madrugada. 
5.	La ubicación del CAIDSG en zona especial de alto impacto para el ejercicio de actividades sexuales pagadas implica una"&amp;"s condiciones determinadas de seguridad y dificulta el acceso en horario nocturno, de personas de los sectores sociales LGBTI, desde otras localidades de Bogotá. 
6.	No hubo cumplimiento en los compromisos realizados con los diferentes sectores de la adm"&amp;"inistración para la articulación y prestación de servicios sociales en el horario ampliado nocturno. 
7.	 Para garantizar la prestación de servicios sociales en horario nocturno, o para cualquier ampliación de servicios en las unidades operativas, se hac"&amp;"e necesario el fortalecimiento y ampliación del capital humano.")</f>
        <v>Los servicios en zona centro (Localidad Mártires) se ajustaron según el requerimiento. Sin embargo, en el proceso de implementación se presentaron diferentes situaciones que hicieron aconsejable regresar al modelo diurno. A continuación, se resaltan los aspectos mencionados: 
1.	Se presentó baja demanda de servicios sociales del CAIDSG Zona Centro, en el horario nocturno, debido a que muchas personas de la zona, ejercen actividades sexuales pagadas en dicho horario.
2.	La ampliación del horario se realizó con el mismo equipo de trabajo que está vinculado en la unidad operativa (6 personas, vinculadas mediante OPS). Para cubrir toda la jornada, debieron repartirse y tuvieron que asumir una carga de trabajo adicional, al mismo tiempo se vio afectada la prestación del servicio diurno. 
3.	La sobrecarga representó agotamiento físico y emocional del equipo involucrado. 
4.	La operación en horario nocturno, representó un sobre costo en el transporte (debido a uso de hasta 3 vale taxis) para garantizar el traslado y la seguridad de los contratistas que finalizaban el servicio en la unidad operativa, en horarios nocturnos o de madrugada. 
5.	La ubicación del CAIDSG en zona especial de alto impacto para el ejercicio de actividades sexuales pagadas implica unas condiciones determinadas de seguridad y dificulta el acceso en horario nocturno, de personas de los sectores sociales LGBTI, desde otras localidades de Bogotá. 
6.	No hubo cumplimiento en los compromisos realizados con los diferentes sectores de la administración para la articulación y prestación de servicios sociales en el horario ampliado nocturno. 
7.	 Para garantizar la prestación de servicios sociales en horario nocturno, o para cualquier ampliación de servicios en las unidades operativas, se hace necesario el fortalecimiento y ampliación del capital humano.</v>
      </c>
      <c r="N917" s="55">
        <f ca="1">IFERROR(__xludf.DUMMYFUNCTION("""COMPUTED_VALUE"""),44404)</f>
        <v>44404</v>
      </c>
      <c r="O917" s="25" t="str">
        <f t="shared" ca="1" si="0"/>
        <v>Secretaría Distrital de Integración Social</v>
      </c>
      <c r="P917" s="25" t="str">
        <f t="shared" si="2"/>
        <v/>
      </c>
      <c r="Q917" s="25" t="str">
        <f ca="1">IFERROR(__xludf.DUMMYFUNCTION("""COMPUTED_VALUE"""),"Corto plazo")</f>
        <v>Corto plazo</v>
      </c>
      <c r="R917" s="25"/>
      <c r="S917" s="55"/>
      <c r="T917" s="56"/>
      <c r="U917" s="25"/>
      <c r="V917" s="25"/>
      <c r="W917" s="25"/>
      <c r="X917" s="25"/>
      <c r="Y917" s="25"/>
      <c r="Z917" s="25"/>
    </row>
    <row r="918" spans="1:26" ht="52.5" customHeight="1" x14ac:dyDescent="0.25">
      <c r="A918" s="25" t="str">
        <f ca="1">IFERROR(__xludf.DUMMYFUNCTION("""COMPUTED_VALUE"""),"Integ16")</f>
        <v>Integ16</v>
      </c>
      <c r="B918" s="25" t="str">
        <f ca="1">IFERROR(__xludf.DUMMYFUNCTION("""COMPUTED_VALUE"""),"Reunión Comunidad Trans")</f>
        <v>Reunión Comunidad Trans</v>
      </c>
      <c r="C918" s="55">
        <f ca="1">IFERROR(__xludf.DUMMYFUNCTION("""COMPUTED_VALUE"""),44322)</f>
        <v>44322</v>
      </c>
      <c r="D918" s="25" t="str">
        <f ca="1">IFERROR(__xludf.DUMMYFUNCTION("""COMPUTED_VALUE"""),"Integración_Social")</f>
        <v>Integración_Social</v>
      </c>
      <c r="E918" s="25" t="str">
        <f ca="1">IFERROR(__xludf.DUMMYFUNCTION("""COMPUTED_VALUE"""),"Secretaría Distrital de Integración Social")</f>
        <v>Secretaría Distrital de Integración Social</v>
      </c>
      <c r="F918" s="25" t="str">
        <f ca="1">IFERROR(__xludf.DUMMYFUNCTION("""COMPUTED_VALUE"""),"Hacer un plan para que todo el personal del CAIDGS de Mártires sea de la comunidad Trans 
 ")</f>
        <v xml:space="preserve">Hacer un plan para que todo el personal del CAIDGS de Mártires sea de la comunidad Trans 
 </v>
      </c>
      <c r="G918" s="25" t="str">
        <f ca="1">IFERROR(__xludf.DUMMYFUNCTION("""COMPUTED_VALUE"""),"99. Distrito")</f>
        <v>99. Distrito</v>
      </c>
      <c r="H918" s="55">
        <f ca="1">IFERROR(__xludf.DUMMYFUNCTION("""COMPUTED_VALUE"""),44352)</f>
        <v>44352</v>
      </c>
      <c r="I918" s="25"/>
      <c r="J918" s="55" t="str">
        <f ca="1">IFERROR(__xludf.DUMMYFUNCTION("""COMPUTED_VALUE"""),"Alta")</f>
        <v>Alta</v>
      </c>
      <c r="K918" s="25">
        <f ca="1">IFERROR(__xludf.DUMMYFUNCTION("""COMPUTED_VALUE"""),30)</f>
        <v>30</v>
      </c>
      <c r="L918" s="62">
        <f ca="1">IFERROR(__xludf.DUMMYFUNCTION("""COMPUTED_VALUE"""),44425)</f>
        <v>44425</v>
      </c>
      <c r="M918" s="25" t="str">
        <f ca="1">IFERROR(__xludf.DUMMYFUNCTION("""COMPUTED_VALUE"""),"SDIS-SUB LGBTI
Actualmente el CAIDSG Zona centro cuenta con 12 personas Trans, de las cuales 7 están asociadas a servicios de vigilancia, 1 persona asociada a servicios generales, 1 persona para comedor y 3 contratistas ")</f>
        <v xml:space="preserve">SDIS-SUB LGBTI
Actualmente el CAIDSG Zona centro cuenta con 12 personas Trans, de las cuales 7 están asociadas a servicios de vigilancia, 1 persona asociada a servicios generales, 1 persona para comedor y 3 contratistas </v>
      </c>
      <c r="N918" s="55">
        <f ca="1">IFERROR(__xludf.DUMMYFUNCTION("""COMPUTED_VALUE"""),44425)</f>
        <v>44425</v>
      </c>
      <c r="O918" s="25" t="str">
        <f t="shared" ca="1" si="0"/>
        <v>Secretaría Distrital de Integración Social</v>
      </c>
      <c r="P918" s="25" t="str">
        <f t="shared" si="2"/>
        <v/>
      </c>
      <c r="Q918" s="25" t="str">
        <f ca="1">IFERROR(__xludf.DUMMYFUNCTION("""COMPUTED_VALUE"""),"Corto plazo")</f>
        <v>Corto plazo</v>
      </c>
      <c r="R918" s="25"/>
      <c r="S918" s="55"/>
      <c r="T918" s="56"/>
      <c r="U918" s="25"/>
      <c r="V918" s="25"/>
      <c r="W918" s="25"/>
      <c r="X918" s="25"/>
      <c r="Y918" s="25"/>
      <c r="Z918" s="25"/>
    </row>
    <row r="919" spans="1:26" ht="52.5" customHeight="1" x14ac:dyDescent="0.25">
      <c r="A919" s="25" t="str">
        <f ca="1">IFERROR(__xludf.DUMMYFUNCTION("""COMPUTED_VALUE"""),"Integ17")</f>
        <v>Integ17</v>
      </c>
      <c r="B919" s="25" t="str">
        <f ca="1">IFERROR(__xludf.DUMMYFUNCTION("""COMPUTED_VALUE"""),"Reunión Comunidad Trans")</f>
        <v>Reunión Comunidad Trans</v>
      </c>
      <c r="C919" s="55">
        <f ca="1">IFERROR(__xludf.DUMMYFUNCTION("""COMPUTED_VALUE"""),44322)</f>
        <v>44322</v>
      </c>
      <c r="D919" s="25" t="str">
        <f ca="1">IFERROR(__xludf.DUMMYFUNCTION("""COMPUTED_VALUE"""),"Integración_Social")</f>
        <v>Integración_Social</v>
      </c>
      <c r="E919" s="25" t="str">
        <f ca="1">IFERROR(__xludf.DUMMYFUNCTION("""COMPUTED_VALUE"""),"Secretaría Distrital de Integración Social")</f>
        <v>Secretaría Distrital de Integración Social</v>
      </c>
      <c r="F919" s="25" t="str">
        <f ca="1">IFERROR(__xludf.DUMMYFUNCTION("""COMPUTED_VALUE"""),"En el CAIDGS establecer un punto de asistencia jurídica y de atención en salud 
")</f>
        <v xml:space="preserve">En el CAIDGS establecer un punto de asistencia jurídica y de atención en salud 
</v>
      </c>
      <c r="G919" s="25" t="str">
        <f ca="1">IFERROR(__xludf.DUMMYFUNCTION("""COMPUTED_VALUE"""),"99. Distrito")</f>
        <v>99. Distrito</v>
      </c>
      <c r="H919" s="55">
        <f ca="1">IFERROR(__xludf.DUMMYFUNCTION("""COMPUTED_VALUE"""),44352)</f>
        <v>44352</v>
      </c>
      <c r="I919" s="25"/>
      <c r="J919" s="55" t="str">
        <f ca="1">IFERROR(__xludf.DUMMYFUNCTION("""COMPUTED_VALUE"""),"Alta")</f>
        <v>Alta</v>
      </c>
      <c r="K919" s="25">
        <f ca="1">IFERROR(__xludf.DUMMYFUNCTION("""COMPUTED_VALUE"""),30)</f>
        <v>30</v>
      </c>
      <c r="L919" s="62">
        <f ca="1">IFERROR(__xludf.DUMMYFUNCTION("""COMPUTED_VALUE"""),44392)</f>
        <v>44392</v>
      </c>
      <c r="M919" s="25" t="str">
        <f ca="1">IFERROR(__xludf.DUMMYFUNCTION("""COMPUTED_VALUE"""),"SDG, SDS, SDIS
Actualmente implementado y operando: un punto de atención de denuncias por violación de DDHH por parte de SDG, así como un punto de atención en salud en el CAIDSG Zona Centro.")</f>
        <v>SDG, SDS, SDIS
Actualmente implementado y operando: un punto de atención de denuncias por violación de DDHH por parte de SDG, así como un punto de atención en salud en el CAIDSG Zona Centro.</v>
      </c>
      <c r="N919" s="55">
        <f ca="1">IFERROR(__xludf.DUMMYFUNCTION("""COMPUTED_VALUE"""),44392)</f>
        <v>44392</v>
      </c>
      <c r="O919" s="25" t="str">
        <f t="shared" ca="1" si="0"/>
        <v>Secretaría Distrital de Integración Social</v>
      </c>
      <c r="P919" s="25" t="str">
        <f t="shared" si="2"/>
        <v/>
      </c>
      <c r="Q919" s="25" t="str">
        <f ca="1">IFERROR(__xludf.DUMMYFUNCTION("""COMPUTED_VALUE"""),"Corto plazo")</f>
        <v>Corto plazo</v>
      </c>
      <c r="R919" s="25"/>
      <c r="S919" s="55"/>
      <c r="T919" s="56"/>
      <c r="U919" s="25"/>
      <c r="V919" s="25"/>
      <c r="W919" s="25"/>
      <c r="X919" s="25"/>
      <c r="Y919" s="25"/>
      <c r="Z919" s="25"/>
    </row>
    <row r="920" spans="1:26" ht="52.5" customHeight="1" x14ac:dyDescent="0.25">
      <c r="A920" s="25" t="str">
        <f ca="1">IFERROR(__xludf.DUMMYFUNCTION("""COMPUTED_VALUE"""),"Integ18")</f>
        <v>Integ18</v>
      </c>
      <c r="B920" s="25" t="str">
        <f ca="1">IFERROR(__xludf.DUMMYFUNCTION("""COMPUTED_VALUE"""),"Reunión Comunidad Trans")</f>
        <v>Reunión Comunidad Trans</v>
      </c>
      <c r="C920" s="55">
        <f ca="1">IFERROR(__xludf.DUMMYFUNCTION("""COMPUTED_VALUE"""),44322)</f>
        <v>44322</v>
      </c>
      <c r="D920" s="25" t="str">
        <f ca="1">IFERROR(__xludf.DUMMYFUNCTION("""COMPUTED_VALUE"""),"Integración_Social")</f>
        <v>Integración_Social</v>
      </c>
      <c r="E920" s="25" t="str">
        <f ca="1">IFERROR(__xludf.DUMMYFUNCTION("""COMPUTED_VALUE"""),"Secretaría Distrital de Integración Social")</f>
        <v>Secretaría Distrital de Integración Social</v>
      </c>
      <c r="F920" s="25" t="str">
        <f ca="1">IFERROR(__xludf.DUMMYFUNCTION("""COMPUTED_VALUE"""),"Hacer una manzana del cuidado en la zona de Mártires teniendo como punto ancla el Castillo de las Artes")</f>
        <v>Hacer una manzana del cuidado en la zona de Mártires teniendo como punto ancla el Castillo de las Artes</v>
      </c>
      <c r="G920" s="25" t="str">
        <f ca="1">IFERROR(__xludf.DUMMYFUNCTION("""COMPUTED_VALUE"""),"99. Distrito")</f>
        <v>99. Distrito</v>
      </c>
      <c r="H920" s="55">
        <f ca="1">IFERROR(__xludf.DUMMYFUNCTION("""COMPUTED_VALUE"""),44352)</f>
        <v>44352</v>
      </c>
      <c r="I920" s="25"/>
      <c r="J920" s="55" t="str">
        <f ca="1">IFERROR(__xludf.DUMMYFUNCTION("""COMPUTED_VALUE"""),"Alta")</f>
        <v>Alta</v>
      </c>
      <c r="K920" s="25">
        <f ca="1">IFERROR(__xludf.DUMMYFUNCTION("""COMPUTED_VALUE"""),30)</f>
        <v>30</v>
      </c>
      <c r="L920" s="62">
        <f ca="1">IFERROR(__xludf.DUMMYFUNCTION("""COMPUTED_VALUE"""),44365)</f>
        <v>44365</v>
      </c>
      <c r="M920" s="25" t="str">
        <f ca="1">IFERROR(__xludf.DUMMYFUNCTION("""COMPUTED_VALUE"""),"Entregada el 15 de junio")</f>
        <v>Entregada el 15 de junio</v>
      </c>
      <c r="N920" s="55">
        <f ca="1">IFERROR(__xludf.DUMMYFUNCTION("""COMPUTED_VALUE"""),44365)</f>
        <v>44365</v>
      </c>
      <c r="O920" s="25" t="str">
        <f t="shared" ca="1" si="0"/>
        <v>Secretaría Distrital de Integración Social</v>
      </c>
      <c r="P920" s="25" t="str">
        <f t="shared" si="2"/>
        <v/>
      </c>
      <c r="Q920" s="25" t="str">
        <f ca="1">IFERROR(__xludf.DUMMYFUNCTION("""COMPUTED_VALUE"""),"Corto plazo")</f>
        <v>Corto plazo</v>
      </c>
      <c r="R920" s="25"/>
      <c r="S920" s="55"/>
      <c r="T920" s="56"/>
      <c r="U920" s="25"/>
      <c r="V920" s="25"/>
      <c r="W920" s="25"/>
      <c r="X920" s="25"/>
      <c r="Y920" s="25"/>
      <c r="Z920" s="25"/>
    </row>
    <row r="921" spans="1:26" ht="52.5" customHeight="1" x14ac:dyDescent="0.25">
      <c r="A921" s="25" t="str">
        <f ca="1">IFERROR(__xludf.DUMMYFUNCTION("""COMPUTED_VALUE"""),"Integ19")</f>
        <v>Integ19</v>
      </c>
      <c r="B921" s="25" t="str">
        <f ca="1">IFERROR(__xludf.DUMMYFUNCTION("""COMPUTED_VALUE"""),"Rento local jóvenes y entornos seguros")</f>
        <v>Rento local jóvenes y entornos seguros</v>
      </c>
      <c r="C921" s="55">
        <f ca="1">IFERROR(__xludf.DUMMYFUNCTION("""COMPUTED_VALUE"""),44317)</f>
        <v>44317</v>
      </c>
      <c r="D921" s="25" t="str">
        <f ca="1">IFERROR(__xludf.DUMMYFUNCTION("""COMPUTED_VALUE"""),"Integración_Social")</f>
        <v>Integración_Social</v>
      </c>
      <c r="E921" s="25" t="str">
        <f ca="1">IFERROR(__xludf.DUMMYFUNCTION("""COMPUTED_VALUE"""),"Secretaría Distrital de Integración Social")</f>
        <v>Secretaría Distrital de Integración Social</v>
      </c>
      <c r="F921" s="25" t="str">
        <f ca="1">IFERROR(__xludf.DUMMYFUNCTION("""COMPUTED_VALUE"""),"Unificar costos para el programa de Transferencias Monetarias 
")</f>
        <v xml:space="preserve">Unificar costos para el programa de Transferencias Monetarias 
</v>
      </c>
      <c r="G921" s="25" t="str">
        <f ca="1">IFERROR(__xludf.DUMMYFUNCTION("""COMPUTED_VALUE"""),"99. Distrito")</f>
        <v>99. Distrito</v>
      </c>
      <c r="H921" s="55">
        <f ca="1">IFERROR(__xludf.DUMMYFUNCTION("""COMPUTED_VALUE"""),44347)</f>
        <v>44347</v>
      </c>
      <c r="I921" s="25"/>
      <c r="J921" s="55" t="str">
        <f ca="1">IFERROR(__xludf.DUMMYFUNCTION("""COMPUTED_VALUE"""),"Alta")</f>
        <v>Alta</v>
      </c>
      <c r="K921" s="25">
        <f ca="1">IFERROR(__xludf.DUMMYFUNCTION("""COMPUTED_VALUE"""),30)</f>
        <v>30</v>
      </c>
      <c r="L921" s="62">
        <f ca="1">IFERROR(__xludf.DUMMYFUNCTION("""COMPUTED_VALUE"""),44344)</f>
        <v>44344</v>
      </c>
      <c r="M921" s="25" t="str">
        <f ca="1">IFERROR(__xludf.DUMMYFUNCTION("""COMPUTED_VALUE"""),"Se unificaron costos para el programa de transferencias monetarias condicionadas con los aportes de SDIS y los 8 FDL")</f>
        <v>Se unificaron costos para el programa de transferencias monetarias condicionadas con los aportes de SDIS y los 8 FDL</v>
      </c>
      <c r="N921" s="55">
        <f ca="1">IFERROR(__xludf.DUMMYFUNCTION("""COMPUTED_VALUE"""),44344)</f>
        <v>44344</v>
      </c>
      <c r="O921" s="25" t="str">
        <f t="shared" ca="1" si="0"/>
        <v>Secretaría Distrital de Integración Social</v>
      </c>
      <c r="P921" s="25" t="str">
        <f t="shared" si="2"/>
        <v/>
      </c>
      <c r="Q921" s="25" t="str">
        <f ca="1">IFERROR(__xludf.DUMMYFUNCTION("""COMPUTED_VALUE"""),"Corto plazo")</f>
        <v>Corto plazo</v>
      </c>
      <c r="R921" s="25"/>
      <c r="S921" s="55"/>
      <c r="T921" s="56"/>
      <c r="U921" s="25"/>
      <c r="V921" s="25"/>
      <c r="W921" s="25"/>
      <c r="X921" s="25"/>
      <c r="Y921" s="25"/>
      <c r="Z921" s="25"/>
    </row>
    <row r="922" spans="1:26" ht="52.5" customHeight="1" x14ac:dyDescent="0.25">
      <c r="A922" s="25" t="str">
        <f ca="1">IFERROR(__xludf.DUMMYFUNCTION("""COMPUTED_VALUE"""),"Integ20")</f>
        <v>Integ20</v>
      </c>
      <c r="B922" s="25" t="str">
        <f ca="1">IFERROR(__xludf.DUMMYFUNCTION("""COMPUTED_VALUE"""),"Rento local jóvenes y entornos seguros")</f>
        <v>Rento local jóvenes y entornos seguros</v>
      </c>
      <c r="C922" s="55">
        <f ca="1">IFERROR(__xludf.DUMMYFUNCTION("""COMPUTED_VALUE"""),44317)</f>
        <v>44317</v>
      </c>
      <c r="D922" s="25" t="str">
        <f ca="1">IFERROR(__xludf.DUMMYFUNCTION("""COMPUTED_VALUE"""),"Integración_Social")</f>
        <v>Integración_Social</v>
      </c>
      <c r="E922" s="25" t="str">
        <f ca="1">IFERROR(__xludf.DUMMYFUNCTION("""COMPUTED_VALUE"""),"Secretaría Distrital de Integración Social")</f>
        <v>Secretaría Distrital de Integración Social</v>
      </c>
      <c r="F922" s="25" t="str">
        <f ca="1">IFERROR(__xludf.DUMMYFUNCTION("""COMPUTED_VALUE"""),"Unificar los servicios de la Sec. de Gobierno y la Sec. de Integración en el marco de Transferencias Monetarias 
")</f>
        <v xml:space="preserve">Unificar los servicios de la Sec. de Gobierno y la Sec. de Integración en el marco de Transferencias Monetarias 
</v>
      </c>
      <c r="G922" s="25" t="str">
        <f ca="1">IFERROR(__xludf.DUMMYFUNCTION("""COMPUTED_VALUE"""),"99. Distrito")</f>
        <v>99. Distrito</v>
      </c>
      <c r="H922" s="55">
        <f ca="1">IFERROR(__xludf.DUMMYFUNCTION("""COMPUTED_VALUE"""),44347)</f>
        <v>44347</v>
      </c>
      <c r="I922" s="25"/>
      <c r="J922" s="55" t="str">
        <f ca="1">IFERROR(__xludf.DUMMYFUNCTION("""COMPUTED_VALUE"""),"Alta")</f>
        <v>Alta</v>
      </c>
      <c r="K922" s="25">
        <f ca="1">IFERROR(__xludf.DUMMYFUNCTION("""COMPUTED_VALUE"""),30)</f>
        <v>30</v>
      </c>
      <c r="L922" s="62">
        <f ca="1">IFERROR(__xludf.DUMMYFUNCTION("""COMPUTED_VALUE"""),44344)</f>
        <v>44344</v>
      </c>
      <c r="M922" s="25" t="str">
        <f ca="1">IFERROR(__xludf.DUMMYFUNCTION("""COMPUTED_VALUE"""),"Se unificaron servicios y se diseñó el convenio para beneficiar a las y los jóvenes que entren al programa Reto local jóvenes y entornos seguros, con base en los criterios de viabilidad y elegibilidad que da la Secretaria Distrital de Integración Social y"&amp;" al servicio ya existente de la SDIS servicio social para la seguridad económica de la juventud")</f>
        <v>Se unificaron servicios y se diseñó el convenio para beneficiar a las y los jóvenes que entren al programa Reto local jóvenes y entornos seguros, con base en los criterios de viabilidad y elegibilidad que da la Secretaria Distrital de Integración Social y al servicio ya existente de la SDIS servicio social para la seguridad económica de la juventud</v>
      </c>
      <c r="N922" s="55">
        <f ca="1">IFERROR(__xludf.DUMMYFUNCTION("""COMPUTED_VALUE"""),44344)</f>
        <v>44344</v>
      </c>
      <c r="O922" s="25" t="str">
        <f t="shared" ca="1" si="0"/>
        <v>Secretaría Distrital de Integración Social</v>
      </c>
      <c r="P922" s="25" t="str">
        <f t="shared" si="2"/>
        <v/>
      </c>
      <c r="Q922" s="25" t="str">
        <f ca="1">IFERROR(__xludf.DUMMYFUNCTION("""COMPUTED_VALUE"""),"Corto plazo")</f>
        <v>Corto plazo</v>
      </c>
      <c r="R922" s="25"/>
      <c r="S922" s="55"/>
      <c r="T922" s="56"/>
      <c r="U922" s="25"/>
      <c r="V922" s="25"/>
      <c r="W922" s="25"/>
      <c r="X922" s="25"/>
      <c r="Y922" s="25"/>
      <c r="Z922" s="25"/>
    </row>
    <row r="923" spans="1:26" ht="52.5" customHeight="1" x14ac:dyDescent="0.25">
      <c r="A923" s="25" t="str">
        <f ca="1">IFERROR(__xludf.DUMMYFUNCTION("""COMPUTED_VALUE"""),"Integ21")</f>
        <v>Integ21</v>
      </c>
      <c r="B923" s="25" t="str">
        <f ca="1">IFERROR(__xludf.DUMMYFUNCTION("""COMPUTED_VALUE"""),"Reto local jóvenes y entornos seguros")</f>
        <v>Reto local jóvenes y entornos seguros</v>
      </c>
      <c r="C923" s="55">
        <f ca="1">IFERROR(__xludf.DUMMYFUNCTION("""COMPUTED_VALUE"""),44317)</f>
        <v>44317</v>
      </c>
      <c r="D923" s="25" t="str">
        <f ca="1">IFERROR(__xludf.DUMMYFUNCTION("""COMPUTED_VALUE"""),"Integración_Social")</f>
        <v>Integración_Social</v>
      </c>
      <c r="E923" s="25" t="str">
        <f ca="1">IFERROR(__xludf.DUMMYFUNCTION("""COMPUTED_VALUE"""),"Secretaría Distrital de Integración Social")</f>
        <v>Secretaría Distrital de Integración Social</v>
      </c>
      <c r="F923" s="25" t="str">
        <f ca="1">IFERROR(__xludf.DUMMYFUNCTION("""COMPUTED_VALUE""")," Hacer un convenio para operar las Transferencias Monetarias. 
El convenio debe establecer que Gobierno le gira a Integración, e Integración gestiona contratación, formación y componente pedagógico (El convenio debe hacerse por un año mínimo, para que la "&amp;"entrada al programa sea escalonada)- 
")</f>
        <v xml:space="preserve"> Hacer un convenio para operar las Transferencias Monetarias. 
El convenio debe establecer que Gobierno le gira a Integración, e Integración gestiona contratación, formación y componente pedagógico (El convenio debe hacerse por un año mínimo, para que la entrada al programa sea escalonada)- 
</v>
      </c>
      <c r="G923" s="25" t="str">
        <f ca="1">IFERROR(__xludf.DUMMYFUNCTION("""COMPUTED_VALUE"""),"99. Distrito")</f>
        <v>99. Distrito</v>
      </c>
      <c r="H923" s="55">
        <f ca="1">IFERROR(__xludf.DUMMYFUNCTION("""COMPUTED_VALUE"""),44347)</f>
        <v>44347</v>
      </c>
      <c r="I923" s="25"/>
      <c r="J923" s="55" t="str">
        <f ca="1">IFERROR(__xludf.DUMMYFUNCTION("""COMPUTED_VALUE"""),"Alta")</f>
        <v>Alta</v>
      </c>
      <c r="K923" s="25">
        <f ca="1">IFERROR(__xludf.DUMMYFUNCTION("""COMPUTED_VALUE"""),30)</f>
        <v>30</v>
      </c>
      <c r="L923" s="62">
        <f ca="1">IFERROR(__xludf.DUMMYFUNCTION("""COMPUTED_VALUE"""),44344)</f>
        <v>44344</v>
      </c>
      <c r="M923" s="25" t="str">
        <f ca="1">IFERROR(__xludf.DUMMYFUNCTION("""COMPUTED_VALUE"""),"Se firma convenio interadministrativo con fecha 18 de junio, y numero 008336, celebrado entre la Secretaría Distrital de Integración Social -SDIS- y el Fondo de Desarrollo Local de Usaquén; Fondo de Desarrollo Local de San Cristobal; Fondo de Desarrollo L"&amp;"ocal de Usme; Fondo de Desarrollo Local de Bosa; Fondo de Desarrollo Local de Kennedy; Fondo de Desarrollo Local de Suba; Fondo de Desarrollo Local de Rafael Uribe Uribe; y el Fondo de Desarrollo Local de Ciudad Bolívar. con el objeto de aunar esfuerzos t"&amp;"ècnicos, administrativos, logísticos, y financieros entre las partes, para la operación y puesta en marcha del programa Reto Local Jóvenes y entornos seguros. con un plazo del convenio de Doce meses contados a partir de la suscripción del acta de inicio.")</f>
        <v>Se firma convenio interadministrativo con fecha 18 de junio, y numero 008336, celebrado entre la Secretaría Distrital de Integración Social -SDIS- y el Fondo de Desarrollo Local de Usaquén; Fondo de Desarrollo Local de San Cristobal; Fondo de Desarrollo Local de Usme; Fondo de Desarrollo Local de Bosa; Fondo de Desarrollo Local de Kennedy; Fondo de Desarrollo Local de Suba; Fondo de Desarrollo Local de Rafael Uribe Uribe; y el Fondo de Desarrollo Local de Ciudad Bolívar. con el objeto de aunar esfuerzos tècnicos, administrativos, logísticos, y financieros entre las partes, para la operación y puesta en marcha del programa Reto Local Jóvenes y entornos seguros. con un plazo del convenio de Doce meses contados a partir de la suscripción del acta de inicio.</v>
      </c>
      <c r="N923" s="55">
        <f ca="1">IFERROR(__xludf.DUMMYFUNCTION("""COMPUTED_VALUE"""),44344)</f>
        <v>44344</v>
      </c>
      <c r="O923" s="25" t="str">
        <f t="shared" ca="1" si="0"/>
        <v>Secretaría Distrital de Integración Social</v>
      </c>
      <c r="P923" s="25" t="str">
        <f t="shared" si="2"/>
        <v/>
      </c>
      <c r="Q923" s="25" t="str">
        <f ca="1">IFERROR(__xludf.DUMMYFUNCTION("""COMPUTED_VALUE"""),"Corto plazo")</f>
        <v>Corto plazo</v>
      </c>
      <c r="R923" s="25"/>
      <c r="S923" s="55"/>
      <c r="T923" s="56"/>
      <c r="U923" s="25"/>
      <c r="V923" s="25"/>
      <c r="W923" s="25"/>
      <c r="X923" s="25"/>
      <c r="Y923" s="25"/>
      <c r="Z923" s="25"/>
    </row>
    <row r="924" spans="1:26" ht="52.5" customHeight="1" x14ac:dyDescent="0.25">
      <c r="A924" s="25" t="str">
        <f ca="1">IFERROR(__xludf.DUMMYFUNCTION("""COMPUTED_VALUE"""),"Integ22")</f>
        <v>Integ22</v>
      </c>
      <c r="B924" s="25" t="str">
        <f ca="1">IFERROR(__xludf.DUMMYFUNCTION("""COMPUTED_VALUE"""),"Reto local jóvenes y entornos seguros")</f>
        <v>Reto local jóvenes y entornos seguros</v>
      </c>
      <c r="C924" s="55">
        <f ca="1">IFERROR(__xludf.DUMMYFUNCTION("""COMPUTED_VALUE"""),44317)</f>
        <v>44317</v>
      </c>
      <c r="D924" s="25" t="str">
        <f ca="1">IFERROR(__xludf.DUMMYFUNCTION("""COMPUTED_VALUE"""),"Integración_Social")</f>
        <v>Integración_Social</v>
      </c>
      <c r="E924" s="25" t="str">
        <f ca="1">IFERROR(__xludf.DUMMYFUNCTION("""COMPUTED_VALUE"""),"Secretaría Distrital de Integración Social")</f>
        <v>Secretaría Distrital de Integración Social</v>
      </c>
      <c r="F924" s="25" t="str">
        <f ca="1">IFERROR(__xludf.DUMMYFUNCTION("""COMPUTED_VALUE"""),"Hacer converger el programa desde las dos Secretarías. Los servicios condicionados deben ser los mismos e incorporar “seguridad y espacio público” como modalidad ofrecida por Gobierno. Unificar presentación de acuerdo con esto. 
")</f>
        <v xml:space="preserve">Hacer converger el programa desde las dos Secretarías. Los servicios condicionados deben ser los mismos e incorporar “seguridad y espacio público” como modalidad ofrecida por Gobierno. Unificar presentación de acuerdo con esto. 
</v>
      </c>
      <c r="G924" s="25" t="str">
        <f ca="1">IFERROR(__xludf.DUMMYFUNCTION("""COMPUTED_VALUE"""),"99. Distrito")</f>
        <v>99. Distrito</v>
      </c>
      <c r="H924" s="55">
        <f ca="1">IFERROR(__xludf.DUMMYFUNCTION("""COMPUTED_VALUE"""),44347)</f>
        <v>44347</v>
      </c>
      <c r="I924" s="25"/>
      <c r="J924" s="55" t="str">
        <f ca="1">IFERROR(__xludf.DUMMYFUNCTION("""COMPUTED_VALUE"""),"Alta")</f>
        <v>Alta</v>
      </c>
      <c r="K924" s="25">
        <f ca="1">IFERROR(__xludf.DUMMYFUNCTION("""COMPUTED_VALUE"""),30)</f>
        <v>30</v>
      </c>
      <c r="L924" s="62">
        <f ca="1">IFERROR(__xludf.DUMMYFUNCTION("""COMPUTED_VALUE"""),44344)</f>
        <v>44344</v>
      </c>
      <c r="M924" s="25" t="str">
        <f ca="1">IFERROR(__xludf.DUMMYFUNCTION("""COMPUTED_VALUE"""),"Se incorpora en el convenio los servicios y actividades condicionados aportados por las alcaldías locales en temas de seguridad y espacio público.")</f>
        <v>Se incorpora en el convenio los servicios y actividades condicionados aportados por las alcaldías locales en temas de seguridad y espacio público.</v>
      </c>
      <c r="N924" s="55">
        <f ca="1">IFERROR(__xludf.DUMMYFUNCTION("""COMPUTED_VALUE"""),44344)</f>
        <v>44344</v>
      </c>
      <c r="O924" s="25" t="str">
        <f t="shared" ca="1" si="0"/>
        <v>Secretaría Distrital de Integración Social</v>
      </c>
      <c r="P924" s="25" t="str">
        <f t="shared" si="2"/>
        <v/>
      </c>
      <c r="Q924" s="25" t="str">
        <f ca="1">IFERROR(__xludf.DUMMYFUNCTION("""COMPUTED_VALUE"""),"Corto plazo")</f>
        <v>Corto plazo</v>
      </c>
      <c r="R924" s="25"/>
      <c r="S924" s="55"/>
      <c r="T924" s="56"/>
      <c r="U924" s="25"/>
      <c r="V924" s="25"/>
      <c r="W924" s="25"/>
      <c r="X924" s="25"/>
      <c r="Y924" s="25"/>
      <c r="Z924" s="25"/>
    </row>
    <row r="925" spans="1:26" ht="52.5" customHeight="1" x14ac:dyDescent="0.25">
      <c r="A925" s="25" t="str">
        <f ca="1">IFERROR(__xludf.DUMMYFUNCTION("""COMPUTED_VALUE"""),"Integ23")</f>
        <v>Integ23</v>
      </c>
      <c r="B925" s="25" t="str">
        <f ca="1">IFERROR(__xludf.DUMMYFUNCTION("""COMPUTED_VALUE"""),"Reto local jóvenes y entornos seguros")</f>
        <v>Reto local jóvenes y entornos seguros</v>
      </c>
      <c r="C925" s="55">
        <f ca="1">IFERROR(__xludf.DUMMYFUNCTION("""COMPUTED_VALUE"""),44317)</f>
        <v>44317</v>
      </c>
      <c r="D925" s="25" t="str">
        <f ca="1">IFERROR(__xludf.DUMMYFUNCTION("""COMPUTED_VALUE"""),"Integración_Social")</f>
        <v>Integración_Social</v>
      </c>
      <c r="E925" s="25" t="str">
        <f ca="1">IFERROR(__xludf.DUMMYFUNCTION("""COMPUTED_VALUE"""),"Secretaría Distrital de Integración Social")</f>
        <v>Secretaría Distrital de Integración Social</v>
      </c>
      <c r="F925" s="25" t="str">
        <f ca="1">IFERROR(__xludf.DUMMYFUNCTION("""COMPUTED_VALUE"""),"Poner nombre nuevo al programa, puede ser “Fuerza Joven”. No usar término Ninis para atender específicamente a los ninis nivel 0. 
")</f>
        <v xml:space="preserve">Poner nombre nuevo al programa, puede ser “Fuerza Joven”. No usar término Ninis para atender específicamente a los ninis nivel 0. 
</v>
      </c>
      <c r="G925" s="25" t="str">
        <f ca="1">IFERROR(__xludf.DUMMYFUNCTION("""COMPUTED_VALUE"""),"99. Distrito")</f>
        <v>99. Distrito</v>
      </c>
      <c r="H925" s="55">
        <f ca="1">IFERROR(__xludf.DUMMYFUNCTION("""COMPUTED_VALUE"""),44347)</f>
        <v>44347</v>
      </c>
      <c r="I925" s="25"/>
      <c r="J925" s="55" t="str">
        <f ca="1">IFERROR(__xludf.DUMMYFUNCTION("""COMPUTED_VALUE"""),"Alta")</f>
        <v>Alta</v>
      </c>
      <c r="K925" s="25">
        <f ca="1">IFERROR(__xludf.DUMMYFUNCTION("""COMPUTED_VALUE"""),30)</f>
        <v>30</v>
      </c>
      <c r="L925" s="62">
        <f ca="1">IFERROR(__xludf.DUMMYFUNCTION("""COMPUTED_VALUE"""),44344)</f>
        <v>44344</v>
      </c>
      <c r="M925" s="25" t="str">
        <f ca="1">IFERROR(__xludf.DUMMYFUNCTION("""COMPUTED_VALUE"""),"El nombre del proyecto y concepto de gasto acordado entre las partes es: Reto Local Jóvenes y entornos seguros")</f>
        <v>El nombre del proyecto y concepto de gasto acordado entre las partes es: Reto Local Jóvenes y entornos seguros</v>
      </c>
      <c r="N925" s="55">
        <f ca="1">IFERROR(__xludf.DUMMYFUNCTION("""COMPUTED_VALUE"""),44344)</f>
        <v>44344</v>
      </c>
      <c r="O925" s="25" t="str">
        <f t="shared" ca="1" si="0"/>
        <v>Secretaría Distrital de Integración Social</v>
      </c>
      <c r="P925" s="25" t="str">
        <f t="shared" si="2"/>
        <v/>
      </c>
      <c r="Q925" s="25" t="str">
        <f ca="1">IFERROR(__xludf.DUMMYFUNCTION("""COMPUTED_VALUE"""),"Corto plazo")</f>
        <v>Corto plazo</v>
      </c>
      <c r="R925" s="25"/>
      <c r="S925" s="55"/>
      <c r="T925" s="56"/>
      <c r="U925" s="25"/>
      <c r="V925" s="25"/>
      <c r="W925" s="25"/>
      <c r="X925" s="25"/>
      <c r="Y925" s="25"/>
      <c r="Z925" s="25"/>
    </row>
    <row r="926" spans="1:26" ht="52.5" customHeight="1" x14ac:dyDescent="0.25">
      <c r="A926" s="25" t="str">
        <f ca="1">IFERROR(__xludf.DUMMYFUNCTION("""COMPUTED_VALUE"""),"Integ24")</f>
        <v>Integ24</v>
      </c>
      <c r="B926" s="25" t="str">
        <f ca="1">IFERROR(__xludf.DUMMYFUNCTION("""COMPUTED_VALUE"""),"Reto local jóvenes y entornos seguros")</f>
        <v>Reto local jóvenes y entornos seguros</v>
      </c>
      <c r="C926" s="55">
        <f ca="1">IFERROR(__xludf.DUMMYFUNCTION("""COMPUTED_VALUE"""),44317)</f>
        <v>44317</v>
      </c>
      <c r="D926" s="25" t="str">
        <f ca="1">IFERROR(__xludf.DUMMYFUNCTION("""COMPUTED_VALUE"""),"Integración_Social")</f>
        <v>Integración_Social</v>
      </c>
      <c r="E926" s="25" t="str">
        <f ca="1">IFERROR(__xludf.DUMMYFUNCTION("""COMPUTED_VALUE"""),"Secretaría Distrital de Integración Social")</f>
        <v>Secretaría Distrital de Integración Social</v>
      </c>
      <c r="F926" s="25" t="str">
        <f ca="1">IFERROR(__xludf.DUMMYFUNCTION("""COMPUTED_VALUE"""),"Hacer presupuesto para cubrir universo (16.000 jóvenes) para contemplar pedir plata en el concejo.""")</f>
        <v>Hacer presupuesto para cubrir universo (16.000 jóvenes) para contemplar pedir plata en el concejo."</v>
      </c>
      <c r="G926" s="25" t="str">
        <f ca="1">IFERROR(__xludf.DUMMYFUNCTION("""COMPUTED_VALUE"""),"99. Distrito")</f>
        <v>99. Distrito</v>
      </c>
      <c r="H926" s="55">
        <f ca="1">IFERROR(__xludf.DUMMYFUNCTION("""COMPUTED_VALUE"""),44347)</f>
        <v>44347</v>
      </c>
      <c r="I926" s="25"/>
      <c r="J926" s="55" t="str">
        <f ca="1">IFERROR(__xludf.DUMMYFUNCTION("""COMPUTED_VALUE"""),"Alta")</f>
        <v>Alta</v>
      </c>
      <c r="K926" s="25">
        <f ca="1">IFERROR(__xludf.DUMMYFUNCTION("""COMPUTED_VALUE"""),30)</f>
        <v>30</v>
      </c>
      <c r="L926" s="62">
        <f ca="1">IFERROR(__xludf.DUMMYFUNCTION("""COMPUTED_VALUE"""),44344)</f>
        <v>44344</v>
      </c>
      <c r="M926" s="25" t="str">
        <f ca="1">IFERROR(__xludf.DUMMYFUNCTION("""COMPUTED_VALUE"""),"Se realizó el presupuesto y en este momento se encuentra la propuesta de adición para ser aprobada en el concejo")</f>
        <v>Se realizó el presupuesto y en este momento se encuentra la propuesta de adición para ser aprobada en el concejo</v>
      </c>
      <c r="N926" s="55">
        <f ca="1">IFERROR(__xludf.DUMMYFUNCTION("""COMPUTED_VALUE"""),44344)</f>
        <v>44344</v>
      </c>
      <c r="O926" s="25" t="str">
        <f t="shared" ca="1" si="0"/>
        <v>Secretaría Distrital de Integración Social</v>
      </c>
      <c r="P926" s="25" t="str">
        <f t="shared" si="2"/>
        <v/>
      </c>
      <c r="Q926" s="25" t="str">
        <f ca="1">IFERROR(__xludf.DUMMYFUNCTION("""COMPUTED_VALUE"""),"Corto plazo")</f>
        <v>Corto plazo</v>
      </c>
      <c r="R926" s="25"/>
      <c r="S926" s="55"/>
      <c r="T926" s="56"/>
      <c r="U926" s="25"/>
      <c r="V926" s="25"/>
      <c r="W926" s="25"/>
      <c r="X926" s="25"/>
      <c r="Y926" s="25"/>
      <c r="Z926" s="25"/>
    </row>
    <row r="927" spans="1:26" ht="52.5" customHeight="1" x14ac:dyDescent="0.25">
      <c r="A927" s="25" t="str">
        <f ca="1">IFERROR(__xludf.DUMMYFUNCTION("""COMPUTED_VALUE"""),"Integ25")</f>
        <v>Integ25</v>
      </c>
      <c r="B927" s="25" t="str">
        <f ca="1">IFERROR(__xludf.DUMMYFUNCTION("""COMPUTED_VALUE"""),"Recorrido Plan Centro ")</f>
        <v xml:space="preserve">Recorrido Plan Centro </v>
      </c>
      <c r="C927" s="55">
        <f ca="1">IFERROR(__xludf.DUMMYFUNCTION("""COMPUTED_VALUE"""),44294)</f>
        <v>44294</v>
      </c>
      <c r="D927" s="25" t="str">
        <f ca="1">IFERROR(__xludf.DUMMYFUNCTION("""COMPUTED_VALUE"""),"Integración_Social")</f>
        <v>Integración_Social</v>
      </c>
      <c r="E927" s="25" t="str">
        <f ca="1">IFERROR(__xludf.DUMMYFUNCTION("""COMPUTED_VALUE"""),"Secretaría Distrital de Integración Social")</f>
        <v>Secretaría Distrital de Integración Social</v>
      </c>
      <c r="F927" s="25" t="str">
        <f ca="1">IFERROR(__xludf.DUMMYFUNCTION("""COMPUTED_VALUE"""),"Definir fecha de la instalación del trailer de ""comida caliente para habitantes de calle")</f>
        <v>Definir fecha de la instalación del trailer de "comida caliente para habitantes de calle</v>
      </c>
      <c r="G927" s="55" t="str">
        <f ca="1">IFERROR(__xludf.DUMMYFUNCTION("""COMPUTED_VALUE"""),"14. Mártires")</f>
        <v>14. Mártires</v>
      </c>
      <c r="H927" s="55">
        <f ca="1">IFERROR(__xludf.DUMMYFUNCTION("""COMPUTED_VALUE"""),44324)</f>
        <v>44324</v>
      </c>
      <c r="I927" s="25"/>
      <c r="J927" s="55" t="str">
        <f ca="1">IFERROR(__xludf.DUMMYFUNCTION("""COMPUTED_VALUE"""),"Alta")</f>
        <v>Alta</v>
      </c>
      <c r="K927" s="25">
        <f ca="1">IFERROR(__xludf.DUMMYFUNCTION("""COMPUTED_VALUE"""),30)</f>
        <v>30</v>
      </c>
      <c r="L927" s="62">
        <f ca="1">IFERROR(__xludf.DUMMYFUNCTION("""COMPUTED_VALUE"""),44362)</f>
        <v>44362</v>
      </c>
      <c r="M927" s="25" t="str">
        <f ca="1">IFERROR(__xludf.DUMMYFUNCTION("""COMPUTED_VALUE"""),"Equipos de la SDIS e IDIPRON, iniciaron la entrega de comida caliente así: Martes 13 de abril: parque san bernardo, 300 sopa.
Jueves 15 abril: parque Óscar del barrio Santa fe, 300 secos.
Viernes 16 de abril: Parque Las Cruces (Santa Fe) 300 sopas. 
Sábad"&amp;"o 17 de abril La Carrilera (150 sopas), Barrio Santa Fe (50 sopas), Centro de Autocuidado Voto Nacional (100 sopas). 
Domingo 18 de abril: Plaza España (100 sopas), Tercer Milenio - San Bernardo (500 sopas), María Paz (900 sopas)")</f>
        <v>Equipos de la SDIS e IDIPRON, iniciaron la entrega de comida caliente así: Martes 13 de abril: parque san bernardo, 300 sopa.
Jueves 15 abril: parque Óscar del barrio Santa fe, 300 secos.
Viernes 16 de abril: Parque Las Cruces (Santa Fe) 300 sopas. 
Sábado 17 de abril La Carrilera (150 sopas), Barrio Santa Fe (50 sopas), Centro de Autocuidado Voto Nacional (100 sopas). 
Domingo 18 de abril: Plaza España (100 sopas), Tercer Milenio - San Bernardo (500 sopas), María Paz (900 sopas)</v>
      </c>
      <c r="N927" s="55">
        <f ca="1">IFERROR(__xludf.DUMMYFUNCTION("""COMPUTED_VALUE"""),44362)</f>
        <v>44362</v>
      </c>
      <c r="O927" s="25" t="str">
        <f t="shared" ca="1" si="0"/>
        <v>Secretaría Distrital de Integración Social</v>
      </c>
      <c r="P927" s="25" t="str">
        <f t="shared" si="2"/>
        <v/>
      </c>
      <c r="Q927" s="25" t="str">
        <f ca="1">IFERROR(__xludf.DUMMYFUNCTION("""COMPUTED_VALUE"""),"Corto plazo")</f>
        <v>Corto plazo</v>
      </c>
      <c r="R927" s="25"/>
      <c r="S927" s="55"/>
      <c r="T927" s="56"/>
      <c r="U927" s="25"/>
      <c r="V927" s="25"/>
      <c r="W927" s="25"/>
      <c r="X927" s="25"/>
      <c r="Y927" s="25"/>
      <c r="Z927" s="25"/>
    </row>
    <row r="928" spans="1:26" ht="52.5" customHeight="1" x14ac:dyDescent="0.25">
      <c r="A928" s="25" t="str">
        <f ca="1">IFERROR(__xludf.DUMMYFUNCTION("""COMPUTED_VALUE"""),"Integ26")</f>
        <v>Integ26</v>
      </c>
      <c r="B928" s="25" t="str">
        <f ca="1">IFERROR(__xludf.DUMMYFUNCTION("""COMPUTED_VALUE"""),"Estrategia Territorial de Integración Social ")</f>
        <v xml:space="preserve">Estrategia Territorial de Integración Social </v>
      </c>
      <c r="C928" s="55">
        <f ca="1">IFERROR(__xludf.DUMMYFUNCTION("""COMPUTED_VALUE"""),44271)</f>
        <v>44271</v>
      </c>
      <c r="D928" s="25" t="str">
        <f ca="1">IFERROR(__xludf.DUMMYFUNCTION("""COMPUTED_VALUE"""),"Integración_Social")</f>
        <v>Integración_Social</v>
      </c>
      <c r="E928" s="25" t="str">
        <f ca="1">IFERROR(__xludf.DUMMYFUNCTION("""COMPUTED_VALUE"""),"Secretaría Distrital de Integración Social")</f>
        <v>Secretaría Distrital de Integración Social</v>
      </c>
      <c r="F928" s="25" t="str">
        <f ca="1">IFERROR(__xludf.DUMMYFUNCTION("""COMPUTED_VALUE"""),"Enviar la BD de 22.000 personas que dicen tener interés por formación en educación superior al equipo del convenio SENA. Al equipo de Bogotá Local y diferentes personas del Distrito en cabeza de la SDDE. 
")</f>
        <v xml:space="preserve">Enviar la BD de 22.000 personas que dicen tener interés por formación en educación superior al equipo del convenio SENA. Al equipo de Bogotá Local y diferentes personas del Distrito en cabeza de la SDDE. 
</v>
      </c>
      <c r="G928" s="25" t="str">
        <f ca="1">IFERROR(__xludf.DUMMYFUNCTION("""COMPUTED_VALUE"""),"99. Distrito")</f>
        <v>99. Distrito</v>
      </c>
      <c r="H928" s="55">
        <f ca="1">IFERROR(__xludf.DUMMYFUNCTION("""COMPUTED_VALUE"""),44301)</f>
        <v>44301</v>
      </c>
      <c r="I928" s="25"/>
      <c r="J928" s="55" t="str">
        <f ca="1">IFERROR(__xludf.DUMMYFUNCTION("""COMPUTED_VALUE"""),"Alta")</f>
        <v>Alta</v>
      </c>
      <c r="K928" s="25">
        <f ca="1">IFERROR(__xludf.DUMMYFUNCTION("""COMPUTED_VALUE"""),30)</f>
        <v>30</v>
      </c>
      <c r="L928" s="62">
        <f ca="1">IFERROR(__xludf.DUMMYFUNCTION("""COMPUTED_VALUE"""),44530)</f>
        <v>44530</v>
      </c>
      <c r="M928" s="25" t="str">
        <f ca="1">IFERROR(__xludf.DUMMYFUNCTION("""COMPUTED_VALUE"""),"Desde la SDDE, se está dirigiendo la ruta de empleabilidad y empleo joven a la base ETIS de 22000 alertas, puesto que a estos dos programas se pueden vincular personas buscando empleo y empresas con vacantes.")</f>
        <v>Desde la SDDE, se está dirigiendo la ruta de empleabilidad y empleo joven a la base ETIS de 22000 alertas, puesto que a estos dos programas se pueden vincular personas buscando empleo y empresas con vacantes.</v>
      </c>
      <c r="N928" s="55">
        <f ca="1">IFERROR(__xludf.DUMMYFUNCTION("""COMPUTED_VALUE"""),44530)</f>
        <v>44530</v>
      </c>
      <c r="O928" s="25" t="str">
        <f t="shared" ca="1" si="0"/>
        <v>Secretaría Distrital de Integración Social</v>
      </c>
      <c r="P928" s="25" t="str">
        <f t="shared" si="2"/>
        <v/>
      </c>
      <c r="Q928" s="25" t="str">
        <f ca="1">IFERROR(__xludf.DUMMYFUNCTION("""COMPUTED_VALUE"""),"Corto plazo")</f>
        <v>Corto plazo</v>
      </c>
      <c r="R928" s="25"/>
      <c r="S928" s="55"/>
      <c r="T928" s="56"/>
      <c r="U928" s="25"/>
      <c r="V928" s="25"/>
      <c r="W928" s="25"/>
      <c r="X928" s="25"/>
      <c r="Y928" s="25"/>
      <c r="Z928" s="25"/>
    </row>
    <row r="929" spans="1:26" ht="52.5" customHeight="1" x14ac:dyDescent="0.25">
      <c r="A929" s="25" t="str">
        <f ca="1">IFERROR(__xludf.DUMMYFUNCTION("""COMPUTED_VALUE"""),"Integ27")</f>
        <v>Integ27</v>
      </c>
      <c r="B929" s="25" t="str">
        <f ca="1">IFERROR(__xludf.DUMMYFUNCTION("""COMPUTED_VALUE"""),"Estrategia Territorial de Integración Social ")</f>
        <v xml:space="preserve">Estrategia Territorial de Integración Social </v>
      </c>
      <c r="C929" s="55">
        <f ca="1">IFERROR(__xludf.DUMMYFUNCTION("""COMPUTED_VALUE"""),44271)</f>
        <v>44271</v>
      </c>
      <c r="D929" s="25" t="str">
        <f ca="1">IFERROR(__xludf.DUMMYFUNCTION("""COMPUTED_VALUE"""),"Integración_Social")</f>
        <v>Integración_Social</v>
      </c>
      <c r="E929" s="25" t="str">
        <f ca="1">IFERROR(__xludf.DUMMYFUNCTION("""COMPUTED_VALUE"""),"Secretaría Distrital de Integración Social")</f>
        <v>Secretaría Distrital de Integración Social</v>
      </c>
      <c r="F929" s="25" t="str">
        <f ca="1">IFERROR(__xludf.DUMMYFUNCTION("""COMPUTED_VALUE"""),"Revisar cómo presentamos en el tablero los hogares que están siendo atendidos. Hacer un ranking")</f>
        <v>Revisar cómo presentamos en el tablero los hogares que están siendo atendidos. Hacer un ranking</v>
      </c>
      <c r="G929" s="25" t="str">
        <f ca="1">IFERROR(__xludf.DUMMYFUNCTION("""COMPUTED_VALUE"""),"99. Distrito")</f>
        <v>99. Distrito</v>
      </c>
      <c r="H929" s="55">
        <f ca="1">IFERROR(__xludf.DUMMYFUNCTION("""COMPUTED_VALUE"""),44301)</f>
        <v>44301</v>
      </c>
      <c r="I929" s="25"/>
      <c r="J929" s="55" t="str">
        <f ca="1">IFERROR(__xludf.DUMMYFUNCTION("""COMPUTED_VALUE"""),"Alta")</f>
        <v>Alta</v>
      </c>
      <c r="K929" s="25">
        <f ca="1">IFERROR(__xludf.DUMMYFUNCTION("""COMPUTED_VALUE"""),30)</f>
        <v>30</v>
      </c>
      <c r="L929" s="62">
        <f ca="1">IFERROR(__xludf.DUMMYFUNCTION("""COMPUTED_VALUE"""),44316)</f>
        <v>44316</v>
      </c>
      <c r="M929" s="25" t="str">
        <f ca="1">IFERROR(__xludf.DUMMYFUNCTION("""COMPUTED_VALUE"""),"Ya está el ranking de hogares en el sistema y en el tablero de CGB")</f>
        <v>Ya está el ranking de hogares en el sistema y en el tablero de CGB</v>
      </c>
      <c r="N929" s="55">
        <f ca="1">IFERROR(__xludf.DUMMYFUNCTION("""COMPUTED_VALUE"""),44316)</f>
        <v>44316</v>
      </c>
      <c r="O929" s="25" t="str">
        <f t="shared" ca="1" si="0"/>
        <v>Secretaría Distrital de Integración Social</v>
      </c>
      <c r="P929" s="25" t="str">
        <f t="shared" si="2"/>
        <v/>
      </c>
      <c r="Q929" s="25" t="str">
        <f ca="1">IFERROR(__xludf.DUMMYFUNCTION("""COMPUTED_VALUE"""),"Corto plazo")</f>
        <v>Corto plazo</v>
      </c>
      <c r="R929" s="25"/>
      <c r="S929" s="55"/>
      <c r="T929" s="56"/>
      <c r="U929" s="25"/>
      <c r="V929" s="25"/>
      <c r="W929" s="25"/>
      <c r="X929" s="25"/>
      <c r="Y929" s="25"/>
      <c r="Z929" s="25"/>
    </row>
    <row r="930" spans="1:26" ht="52.5" customHeight="1" x14ac:dyDescent="0.25">
      <c r="A930" s="25" t="str">
        <f ca="1">IFERROR(__xludf.DUMMYFUNCTION("""COMPUTED_VALUE"""),"Integ28")</f>
        <v>Integ28</v>
      </c>
      <c r="B930" s="25" t="str">
        <f ca="1">IFERROR(__xludf.DUMMYFUNCTION("""COMPUTED_VALUE"""),"Estrategia Territorial de Integración Social ")</f>
        <v xml:space="preserve">Estrategia Territorial de Integración Social </v>
      </c>
      <c r="C930" s="55">
        <f ca="1">IFERROR(__xludf.DUMMYFUNCTION("""COMPUTED_VALUE"""),44271)</f>
        <v>44271</v>
      </c>
      <c r="D930" s="25" t="str">
        <f ca="1">IFERROR(__xludf.DUMMYFUNCTION("""COMPUTED_VALUE"""),"Integración_Social")</f>
        <v>Integración_Social</v>
      </c>
      <c r="E930" s="25" t="str">
        <f ca="1">IFERROR(__xludf.DUMMYFUNCTION("""COMPUTED_VALUE"""),"Secretaría Distrital de Integración Social")</f>
        <v>Secretaría Distrital de Integración Social</v>
      </c>
      <c r="F930" s="25" t="str">
        <f ca="1">IFERROR(__xludf.DUMMYFUNCTION("""COMPUTED_VALUE"""),"Las alertas deben estar atadas a una ruta de atención con tiempos claros. Tener un indicador de operatividad, que nos dé cuenta de qué tanto estamos atrasados. ")</f>
        <v xml:space="preserve">Las alertas deben estar atadas a una ruta de atención con tiempos claros. Tener un indicador de operatividad, que nos dé cuenta de qué tanto estamos atrasados. </v>
      </c>
      <c r="G930" s="25" t="str">
        <f ca="1">IFERROR(__xludf.DUMMYFUNCTION("""COMPUTED_VALUE"""),"99. Distrito")</f>
        <v>99. Distrito</v>
      </c>
      <c r="H930" s="55">
        <f ca="1">IFERROR(__xludf.DUMMYFUNCTION("""COMPUTED_VALUE"""),44301)</f>
        <v>44301</v>
      </c>
      <c r="I930" s="25"/>
      <c r="J930" s="55" t="str">
        <f ca="1">IFERROR(__xludf.DUMMYFUNCTION("""COMPUTED_VALUE"""),"Alta")</f>
        <v>Alta</v>
      </c>
      <c r="K930" s="25">
        <f ca="1">IFERROR(__xludf.DUMMYFUNCTION("""COMPUTED_VALUE"""),30)</f>
        <v>30</v>
      </c>
      <c r="L930" s="62">
        <f ca="1">IFERROR(__xludf.DUMMYFUNCTION("""COMPUTED_VALUE"""),44425)</f>
        <v>44425</v>
      </c>
      <c r="M930" s="25" t="str">
        <f ca="1">IFERROR(__xludf.DUMMYFUNCTION("""COMPUTED_VALUE"""),"agosto: Se definió adelantar  reunión con cada sector para identificar las situaciones presentadas para la atención de las alertas prioritarias y definir acciones articuladas para dar respuesta en el menor tiempo posible e igual revisar la pertinencia de "&amp;"estas alertas como inmediatas, dada la  consecución de los hogares para la atención de las mismas.
9 de julio: el equipo de alertas está realizando un ejercicio de identificación de servicios con cada entidad, para ajustar las rutas de atención. 
6 de may"&amp;"o: En el tablero se dejaron las alertas prioritarias en rojo que indican que éstas llevan más de 2 meses sin atender.                                                                                                          13 de ")</f>
        <v xml:space="preserve">agosto: Se definió adelantar  reunión con cada sector para identificar las situaciones presentadas para la atención de las alertas prioritarias y definir acciones articuladas para dar respuesta en el menor tiempo posible e igual revisar la pertinencia de estas alertas como inmediatas, dada la  consecución de los hogares para la atención de las mismas.
9 de julio: el equipo de alertas está realizando un ejercicio de identificación de servicios con cada entidad, para ajustar las rutas de atención. 
6 de mayo: En el tablero se dejaron las alertas prioritarias en rojo que indican que éstas llevan más de 2 meses sin atender.                                                                                                          13 de </v>
      </c>
      <c r="N930" s="55">
        <f ca="1">IFERROR(__xludf.DUMMYFUNCTION("""COMPUTED_VALUE"""),44425)</f>
        <v>44425</v>
      </c>
      <c r="O930" s="25" t="str">
        <f t="shared" ca="1" si="0"/>
        <v>Secretaría Distrital de Integración Social</v>
      </c>
      <c r="P930" s="25" t="str">
        <f t="shared" si="2"/>
        <v/>
      </c>
      <c r="Q930" s="25" t="str">
        <f ca="1">IFERROR(__xludf.DUMMYFUNCTION("""COMPUTED_VALUE"""),"Corto plazo")</f>
        <v>Corto plazo</v>
      </c>
      <c r="R930" s="25"/>
      <c r="S930" s="55"/>
      <c r="T930" s="56"/>
      <c r="U930" s="25"/>
      <c r="V930" s="25"/>
      <c r="W930" s="25"/>
      <c r="X930" s="25"/>
      <c r="Y930" s="25"/>
      <c r="Z930" s="25"/>
    </row>
    <row r="931" spans="1:26" ht="52.5" customHeight="1" x14ac:dyDescent="0.25">
      <c r="A931" s="25" t="str">
        <f ca="1">IFERROR(__xludf.DUMMYFUNCTION("""COMPUTED_VALUE"""),"Integ29")</f>
        <v>Integ29</v>
      </c>
      <c r="B931" s="25" t="str">
        <f ca="1">IFERROR(__xludf.DUMMYFUNCTION("""COMPUTED_VALUE"""),"Estrategia Territorial de Integración Social ")</f>
        <v xml:space="preserve">Estrategia Territorial de Integración Social </v>
      </c>
      <c r="C931" s="55">
        <f ca="1">IFERROR(__xludf.DUMMYFUNCTION("""COMPUTED_VALUE"""),44271)</f>
        <v>44271</v>
      </c>
      <c r="D931" s="25" t="str">
        <f ca="1">IFERROR(__xludf.DUMMYFUNCTION("""COMPUTED_VALUE"""),"Integración_Social")</f>
        <v>Integración_Social</v>
      </c>
      <c r="E931" s="25" t="str">
        <f ca="1">IFERROR(__xludf.DUMMYFUNCTION("""COMPUTED_VALUE"""),"Secretaría Distrital de Integración Social")</f>
        <v>Secretaría Distrital de Integración Social</v>
      </c>
      <c r="F931" s="25" t="str">
        <f ca="1">IFERROR(__xludf.DUMMYFUNCTION("""COMPUTED_VALUE"""),"Tener la información de ETIS en la estrategia de Priorización de frentes de seguridad y patrullando.")</f>
        <v>Tener la información de ETIS en la estrategia de Priorización de frentes de seguridad y patrullando.</v>
      </c>
      <c r="G931" s="25" t="str">
        <f ca="1">IFERROR(__xludf.DUMMYFUNCTION("""COMPUTED_VALUE"""),"99. Distrito")</f>
        <v>99. Distrito</v>
      </c>
      <c r="H931" s="55">
        <f ca="1">IFERROR(__xludf.DUMMYFUNCTION("""COMPUTED_VALUE"""),44301)</f>
        <v>44301</v>
      </c>
      <c r="I931" s="25"/>
      <c r="J931" s="55" t="str">
        <f ca="1">IFERROR(__xludf.DUMMYFUNCTION("""COMPUTED_VALUE"""),"Alta")</f>
        <v>Alta</v>
      </c>
      <c r="K931" s="25">
        <f ca="1">IFERROR(__xludf.DUMMYFUNCTION("""COMPUTED_VALUE"""),30)</f>
        <v>30</v>
      </c>
      <c r="L931" s="62">
        <f ca="1">IFERROR(__xludf.DUMMYFUNCTION("""COMPUTED_VALUE"""),44316)</f>
        <v>44316</v>
      </c>
      <c r="M931" s="25" t="str">
        <f ca="1">IFERROR(__xludf.DUMMYFUNCTION("""COMPUTED_VALUE"""),"De acuerdo al reporte de caracterización, la Secretaría de Seguridad explica lo siguiente: La estrategia de intervención está compuesta por tres elementos diferenciados: (a) un patrullaje intensivo enmarcado en el Modelo Nacional de Vigilancia Comunitaria"&amp;" por Cuadrantes en los puntos arrojados por el modelo, (b) una estrategia de disuasión focalizada a través de comunicación inteligente, dirigida inicialmente a fomentar medidas de autocuidado y solidaridad de las víctimas, y además, a disuadir a los posib"&amp;"les delincuentes de cometer los delitos que se predijeron en los puntos arrojados por el modelo y, (c) una intervención integral que combina diferentes actividades de prevención, reconstrucción del tejido social y resignificación de los espacios públicos "&amp;"en puntos denominados Entornos de Confianza; la selección de los mismos, utiliza entre otras variables para su selección y caracterización la información contenida en ETIS, la cual a su vez, resulta de gran importancia en la identificación de factores de "&amp;"riesgo que inciden en la probabilidad de ocurrencia de violencias y delitos, posibilitando la focalización de acciones para el fortalecimiento de la participación comunitaria para la construcción de confianza y la mejora de la convivencia.")</f>
        <v>De acuerdo al reporte de caracterización, la Secretaría de Seguridad explica lo siguiente: La estrategia de intervención está compuesta por tres elementos diferenciados: (a) un patrullaje intensivo enmarcado en el Modelo Nacional de Vigilancia Comunitaria por Cuadrantes en los puntos arrojados por el modelo, (b) una estrategia de disuasión focalizada a través de comunicación inteligente, dirigida inicialmente a fomentar medidas de autocuidado y solidaridad de las víctimas, y además, a disuadir a los posibles delincuentes de cometer los delitos que se predijeron en los puntos arrojados por el modelo y, (c) una intervención integral que combina diferentes actividades de prevención, reconstrucción del tejido social y resignificación de los espacios públicos en puntos denominados Entornos de Confianza; la selección de los mismos, utiliza entre otras variables para su selección y caracterización la información contenida en ETIS, la cual a su vez, resulta de gran importancia en la identificación de factores de riesgo que inciden en la probabilidad de ocurrencia de violencias y delitos, posibilitando la focalización de acciones para el fortalecimiento de la participación comunitaria para la construcción de confianza y la mejora de la convivencia.</v>
      </c>
      <c r="N931" s="55">
        <f ca="1">IFERROR(__xludf.DUMMYFUNCTION("""COMPUTED_VALUE"""),44316)</f>
        <v>44316</v>
      </c>
      <c r="O931" s="25" t="str">
        <f t="shared" ca="1" si="0"/>
        <v>Secretaría Distrital de Integración Social</v>
      </c>
      <c r="P931" s="25" t="str">
        <f t="shared" si="2"/>
        <v/>
      </c>
      <c r="Q931" s="25" t="str">
        <f ca="1">IFERROR(__xludf.DUMMYFUNCTION("""COMPUTED_VALUE"""),"Corto plazo")</f>
        <v>Corto plazo</v>
      </c>
      <c r="R931" s="25"/>
      <c r="S931" s="55"/>
      <c r="T931" s="56"/>
      <c r="U931" s="25"/>
      <c r="V931" s="25"/>
      <c r="W931" s="25"/>
      <c r="X931" s="25"/>
      <c r="Y931" s="25"/>
      <c r="Z931" s="25"/>
    </row>
    <row r="932" spans="1:26" ht="52.5" customHeight="1" x14ac:dyDescent="0.25">
      <c r="A932" s="25" t="str">
        <f ca="1">IFERROR(__xludf.DUMMYFUNCTION("""COMPUTED_VALUE"""),"Integ30")</f>
        <v>Integ30</v>
      </c>
      <c r="B932" s="25" t="str">
        <f ca="1">IFERROR(__xludf.DUMMYFUNCTION("""COMPUTED_VALUE"""),"Recorrido Ciudad Bolívar")</f>
        <v>Recorrido Ciudad Bolívar</v>
      </c>
      <c r="C932" s="55">
        <f ca="1">IFERROR(__xludf.DUMMYFUNCTION("""COMPUTED_VALUE"""),44259)</f>
        <v>44259</v>
      </c>
      <c r="D932" s="25" t="str">
        <f ca="1">IFERROR(__xludf.DUMMYFUNCTION("""COMPUTED_VALUE"""),"Integración_Social")</f>
        <v>Integración_Social</v>
      </c>
      <c r="E932" s="25" t="str">
        <f ca="1">IFERROR(__xludf.DUMMYFUNCTION("""COMPUTED_VALUE"""),"Secretaría Distrital de Integración Social")</f>
        <v>Secretaría Distrital de Integración Social</v>
      </c>
      <c r="F932" s="25" t="str">
        <f ca="1">IFERROR(__xludf.DUMMYFUNCTION("""COMPUTED_VALUE"""),"Entregar en abril el Jardín Pasquilla en zona rural de Ciudad Bolívar  ")</f>
        <v xml:space="preserve">Entregar en abril el Jardín Pasquilla en zona rural de Ciudad Bolívar  </v>
      </c>
      <c r="G932" s="55" t="str">
        <f ca="1">IFERROR(__xludf.DUMMYFUNCTION("""COMPUTED_VALUE"""),"19. Ciudad Bolívar")</f>
        <v>19. Ciudad Bolívar</v>
      </c>
      <c r="H932" s="55">
        <f ca="1">IFERROR(__xludf.DUMMYFUNCTION("""COMPUTED_VALUE"""),44289)</f>
        <v>44289</v>
      </c>
      <c r="I932" s="25"/>
      <c r="J932" s="55" t="str">
        <f ca="1">IFERROR(__xludf.DUMMYFUNCTION("""COMPUTED_VALUE"""),"Alta")</f>
        <v>Alta</v>
      </c>
      <c r="K932" s="25">
        <f ca="1">IFERROR(__xludf.DUMMYFUNCTION("""COMPUTED_VALUE"""),30)</f>
        <v>30</v>
      </c>
      <c r="L932" s="62">
        <f ca="1">IFERROR(__xludf.DUMMYFUNCTION("""COMPUTED_VALUE"""),44362)</f>
        <v>44362</v>
      </c>
      <c r="M932" s="25" t="str">
        <f ca="1">IFERROR(__xludf.DUMMYFUNCTION("""COMPUTED_VALUE"""),"Se entregó el Jardín el día 27 de mayo.")</f>
        <v>Se entregó el Jardín el día 27 de mayo.</v>
      </c>
      <c r="N932" s="55">
        <f ca="1">IFERROR(__xludf.DUMMYFUNCTION("""COMPUTED_VALUE"""),44362)</f>
        <v>44362</v>
      </c>
      <c r="O932" s="25" t="str">
        <f t="shared" ca="1" si="0"/>
        <v>Secretaría Distrital de Integración Social</v>
      </c>
      <c r="P932" s="25" t="str">
        <f t="shared" si="2"/>
        <v/>
      </c>
      <c r="Q932" s="25" t="str">
        <f ca="1">IFERROR(__xludf.DUMMYFUNCTION("""COMPUTED_VALUE"""),"Corto plazo")</f>
        <v>Corto plazo</v>
      </c>
      <c r="R932" s="25"/>
      <c r="S932" s="55"/>
      <c r="T932" s="56"/>
      <c r="U932" s="25"/>
      <c r="V932" s="25"/>
      <c r="W932" s="25"/>
      <c r="X932" s="25"/>
      <c r="Y932" s="25"/>
      <c r="Z932" s="25"/>
    </row>
    <row r="933" spans="1:26" ht="52.5" customHeight="1" x14ac:dyDescent="0.25">
      <c r="A933" s="25" t="str">
        <f ca="1">IFERROR(__xludf.DUMMYFUNCTION("""COMPUTED_VALUE"""),"Integ31")</f>
        <v>Integ31</v>
      </c>
      <c r="B933" s="25" t="str">
        <f ca="1">IFERROR(__xludf.DUMMYFUNCTION("""COMPUTED_VALUE"""),"Infraestructura - Visita campo y reunión Santa Teresita San Cristóbal")</f>
        <v>Infraestructura - Visita campo y reunión Santa Teresita San Cristóbal</v>
      </c>
      <c r="C933" s="55">
        <f ca="1">IFERROR(__xludf.DUMMYFUNCTION("""COMPUTED_VALUE"""),44229)</f>
        <v>44229</v>
      </c>
      <c r="D933" s="25" t="str">
        <f ca="1">IFERROR(__xludf.DUMMYFUNCTION("""COMPUTED_VALUE"""),"Integración_Social")</f>
        <v>Integración_Social</v>
      </c>
      <c r="E933" s="25" t="str">
        <f ca="1">IFERROR(__xludf.DUMMYFUNCTION("""COMPUTED_VALUE"""),"Secretaría Distrital de Integración Social")</f>
        <v>Secretaría Distrital de Integración Social</v>
      </c>
      <c r="F933" s="25" t="str">
        <f ca="1">IFERROR(__xludf.DUMMYFUNCTION("""COMPUTED_VALUE"""),"Adelantar mesas  técnicas  donde  se  revisará  el  detalle  de  los  aspectos técnicos  a  resolver,  definir  ruta  a  seguir  y  cronograma  para  la  entrega  de  las  obras asociadas al acueducto así como la conexión definitiva del jardín y del coleg"&amp;"io a este. El  cronograma  definido  será  remitido  a  la  Alcaldía  Mayor,  desde  donde  se  hará seguimiento al avance.")</f>
        <v>Adelantar mesas  técnicas  donde  se  revisará  el  detalle  de  los  aspectos técnicos  a  resolver,  definir  ruta  a  seguir  y  cronograma  para  la  entrega  de  las  obras asociadas al acueducto así como la conexión definitiva del jardín y del colegio a este. El  cronograma  definido  será  remitido  a  la  Alcaldía  Mayor,  desde  donde  se  hará seguimiento al avance.</v>
      </c>
      <c r="G933" s="25" t="str">
        <f ca="1">IFERROR(__xludf.DUMMYFUNCTION("""COMPUTED_VALUE"""),"04. San Cristóbal")</f>
        <v>04. San Cristóbal</v>
      </c>
      <c r="H933" s="55">
        <f ca="1">IFERROR(__xludf.DUMMYFUNCTION("""COMPUTED_VALUE"""),44259)</f>
        <v>44259</v>
      </c>
      <c r="I933" s="25"/>
      <c r="J933" s="55" t="str">
        <f ca="1">IFERROR(__xludf.DUMMYFUNCTION("""COMPUTED_VALUE"""),"Alta")</f>
        <v>Alta</v>
      </c>
      <c r="K933" s="25">
        <f ca="1">IFERROR(__xludf.DUMMYFUNCTION("""COMPUTED_VALUE"""),30)</f>
        <v>30</v>
      </c>
      <c r="L933" s="62">
        <f ca="1">IFERROR(__xludf.DUMMYFUNCTION("""COMPUTED_VALUE"""),44387)</f>
        <v>44387</v>
      </c>
      <c r="M933" s="25" t="str">
        <f ca="1">IFERROR(__xludf.DUMMYFUNCTION("""COMPUTED_VALUE"""),"Después de realizar diferentes mesas técnicas, se definieron los aspectos técnicos a resolver con el fin de entregar las obras asociadas al acueducto y la conexión definitiva del jardín infantil Santa Teresita. Es así como el día 17 de agosto de 2022 con "&amp;"el acta-volante 2516 del acueducto de Bogotá se dio por cumplida esta tarea por parte de la Secretaría Distrital de Integración Social.")</f>
        <v>Después de realizar diferentes mesas técnicas, se definieron los aspectos técnicos a resolver con el fin de entregar las obras asociadas al acueducto y la conexión definitiva del jardín infantil Santa Teresita. Es así como el día 17 de agosto de 2022 con el acta-volante 2516 del acueducto de Bogotá se dio por cumplida esta tarea por parte de la Secretaría Distrital de Integración Social.</v>
      </c>
      <c r="N933" s="55">
        <f ca="1">IFERROR(__xludf.DUMMYFUNCTION("""COMPUTED_VALUE"""),44387)</f>
        <v>44387</v>
      </c>
      <c r="O933" s="25" t="str">
        <f t="shared" ca="1" si="0"/>
        <v>Secretaría Distrital de Integración Social</v>
      </c>
      <c r="P933" s="25" t="str">
        <f t="shared" si="2"/>
        <v/>
      </c>
      <c r="Q933" s="25" t="str">
        <f ca="1">IFERROR(__xludf.DUMMYFUNCTION("""COMPUTED_VALUE"""),"Corto plazo")</f>
        <v>Corto plazo</v>
      </c>
      <c r="R933" s="25"/>
      <c r="S933" s="55"/>
      <c r="T933" s="56"/>
      <c r="U933" s="25"/>
      <c r="V933" s="25"/>
      <c r="W933" s="25"/>
      <c r="X933" s="25"/>
      <c r="Y933" s="25"/>
      <c r="Z933" s="25"/>
    </row>
    <row r="934" spans="1:26" ht="52.5" customHeight="1" x14ac:dyDescent="0.25">
      <c r="A934" s="25" t="str">
        <f ca="1">IFERROR(__xludf.DUMMYFUNCTION("""COMPUTED_VALUE"""),"Integ32")</f>
        <v>Integ32</v>
      </c>
      <c r="B934" s="25" t="str">
        <f ca="1">IFERROR(__xludf.DUMMYFUNCTION("""COMPUTED_VALUE"""),"Infraestructura - Visita campo y reunión Santa Teresita San Cristóbal")</f>
        <v>Infraestructura - Visita campo y reunión Santa Teresita San Cristóbal</v>
      </c>
      <c r="C934" s="55">
        <f ca="1">IFERROR(__xludf.DUMMYFUNCTION("""COMPUTED_VALUE"""),44229)</f>
        <v>44229</v>
      </c>
      <c r="D934" s="25" t="str">
        <f ca="1">IFERROR(__xludf.DUMMYFUNCTION("""COMPUTED_VALUE"""),"Integración_Social")</f>
        <v>Integración_Social</v>
      </c>
      <c r="E934" s="25" t="str">
        <f ca="1">IFERROR(__xludf.DUMMYFUNCTION("""COMPUTED_VALUE"""),"Secretaría Distrital de Integración Social")</f>
        <v>Secretaría Distrital de Integración Social</v>
      </c>
      <c r="F934" s="25" t="str">
        <f ca="1">IFERROR(__xludf.DUMMYFUNCTION("""COMPUTED_VALUE"""),"La SDIS citará y liderará la primera mesa técnica de trabajo, a desarrollarse el lunes 8  de  febrero  en  las  instalaciones  de  la  CVP.  Para  que  resulte  más  provechoso  las entidades involucradas deberán remitir previamente la información pertine"&amp;"nte.")</f>
        <v>La SDIS citará y liderará la primera mesa técnica de trabajo, a desarrollarse el lunes 8  de  febrero  en  las  instalaciones  de  la  CVP.  Para  que  resulte  más  provechoso  las entidades involucradas deberán remitir previamente la información pertinente.</v>
      </c>
      <c r="G934" s="25" t="str">
        <f ca="1">IFERROR(__xludf.DUMMYFUNCTION("""COMPUTED_VALUE"""),"99. Distrito")</f>
        <v>99. Distrito</v>
      </c>
      <c r="H934" s="55">
        <f ca="1">IFERROR(__xludf.DUMMYFUNCTION("""COMPUTED_VALUE"""),44259)</f>
        <v>44259</v>
      </c>
      <c r="I934" s="25"/>
      <c r="J934" s="55" t="str">
        <f ca="1">IFERROR(__xludf.DUMMYFUNCTION("""COMPUTED_VALUE"""),"Alta")</f>
        <v>Alta</v>
      </c>
      <c r="K934" s="25">
        <f ca="1">IFERROR(__xludf.DUMMYFUNCTION("""COMPUTED_VALUE"""),30)</f>
        <v>30</v>
      </c>
      <c r="L934" s="62">
        <f ca="1">IFERROR(__xludf.DUMMYFUNCTION("""COMPUTED_VALUE"""),44387)</f>
        <v>44387</v>
      </c>
      <c r="M934" s="25" t="str">
        <f ca="1">IFERROR(__xludf.DUMMYFUNCTION("""COMPUTED_VALUE"""),"La  SDIS mediante radicado no. S2021039709 del 5 de abril de 2021, y conforme a los compromisos, solicitó a la CVP, informar cuál ha sido el plan de emergencia para la culminación de las obras de las redes de servicios públicos. En respuesta, la CVP media"&amp;"nte radicado No. 2021 13000067 del 18 de mayo de 2021, informa que el plazo contractual, con los contratistas a cargo del desarrollo de las obras, venció el 20 de abril de 2021, sin que el mismo cumpliera y culminará el objeto del contrato. Así mismo info"&amp;"rmó que, la CVP adelantó las medidas jurídicas y técnicas para poder dar cumplimento a los compromisos y realizar la conexión definitiva, pero que una vez contarán con una solución definitiva, lo informarán a la SDIS. Adicionalmente, informaron que las re"&amp;"des de aguas lluvias y residuales se encontraban terminadas, para que el contratista del jardín infantil pudiera realizar las gestiones. 
En virtud de lo anterior, es de aclarar que el contratista de obra del jardín infantil realizó la radicación de la d"&amp;"ocumentación ante la EAAB, para la aprobación de la red definitiva, sin embargo, esta solicitud fue rechazada por esa entidad debido a que la obra completa, que ejecutó el contratista de la CVP, no ha sido recibida por la EAAB.")</f>
        <v>La  SDIS mediante radicado no. S2021039709 del 5 de abril de 2021, y conforme a los compromisos, solicitó a la CVP, informar cuál ha sido el plan de emergencia para la culminación de las obras de las redes de servicios públicos. En respuesta, la CVP mediante radicado No. 2021 13000067 del 18 de mayo de 2021, informa que el plazo contractual, con los contratistas a cargo del desarrollo de las obras, venció el 20 de abril de 2021, sin que el mismo cumpliera y culminará el objeto del contrato. Así mismo informó que, la CVP adelantó las medidas jurídicas y técnicas para poder dar cumplimento a los compromisos y realizar la conexión definitiva, pero que una vez contarán con una solución definitiva, lo informarán a la SDIS. Adicionalmente, informaron que las redes de aguas lluvias y residuales se encontraban terminadas, para que el contratista del jardín infantil pudiera realizar las gestiones. 
En virtud de lo anterior, es de aclarar que el contratista de obra del jardín infantil realizó la radicación de la documentación ante la EAAB, para la aprobación de la red definitiva, sin embargo, esta solicitud fue rechazada por esa entidad debido a que la obra completa, que ejecutó el contratista de la CVP, no ha sido recibida por la EAAB.</v>
      </c>
      <c r="N934" s="55">
        <f ca="1">IFERROR(__xludf.DUMMYFUNCTION("""COMPUTED_VALUE"""),44387)</f>
        <v>44387</v>
      </c>
      <c r="O934" s="25" t="str">
        <f t="shared" ca="1" si="0"/>
        <v>Secretaría Distrital de Integración Social</v>
      </c>
      <c r="P934" s="25" t="str">
        <f t="shared" si="2"/>
        <v/>
      </c>
      <c r="Q934" s="25" t="str">
        <f ca="1">IFERROR(__xludf.DUMMYFUNCTION("""COMPUTED_VALUE"""),"Corto plazo")</f>
        <v>Corto plazo</v>
      </c>
      <c r="R934" s="25"/>
      <c r="S934" s="55"/>
      <c r="T934" s="56"/>
      <c r="U934" s="25"/>
      <c r="V934" s="25"/>
      <c r="W934" s="25"/>
      <c r="X934" s="25"/>
      <c r="Y934" s="25"/>
      <c r="Z934" s="25"/>
    </row>
    <row r="935" spans="1:26" ht="52.5" customHeight="1" x14ac:dyDescent="0.25">
      <c r="A935" s="25" t="str">
        <f ca="1">IFERROR(__xludf.DUMMYFUNCTION("""COMPUTED_VALUE"""),"Integ33")</f>
        <v>Integ33</v>
      </c>
      <c r="B935" s="25" t="str">
        <f ca="1">IFERROR(__xludf.DUMMYFUNCTION("""COMPUTED_VALUE"""),"Reunión Alto Comisionado ACNUR")</f>
        <v>Reunión Alto Comisionado ACNUR</v>
      </c>
      <c r="C935" s="55">
        <f ca="1">IFERROR(__xludf.DUMMYFUNCTION("""COMPUTED_VALUE"""),44162)</f>
        <v>44162</v>
      </c>
      <c r="D935" s="25" t="str">
        <f ca="1">IFERROR(__xludf.DUMMYFUNCTION("""COMPUTED_VALUE"""),"Integración_Social")</f>
        <v>Integración_Social</v>
      </c>
      <c r="E935" s="25" t="str">
        <f ca="1">IFERROR(__xludf.DUMMYFUNCTION("""COMPUTED_VALUE"""),"Secretaría Distrital de Integración Social")</f>
        <v>Secretaría Distrital de Integración Social</v>
      </c>
      <c r="F935" s="25" t="str">
        <f ca="1">IFERROR(__xludf.DUMMYFUNCTION("""COMPUTED_VALUE"""),"Diseñar publicidad que permitan la divulgación del apoyo de la Secretaría Distrital de Integración Social al pre-registro virtual asistido en el marco del Estatuto Temporal de Protección para Migrantes Venezolanos. ")</f>
        <v xml:space="preserve">Diseñar publicidad que permitan la divulgación del apoyo de la Secretaría Distrital de Integración Social al pre-registro virtual asistido en el marco del Estatuto Temporal de Protección para Migrantes Venezolanos. </v>
      </c>
      <c r="G935" s="25" t="str">
        <f ca="1">IFERROR(__xludf.DUMMYFUNCTION("""COMPUTED_VALUE"""),"99. Distrito")</f>
        <v>99. Distrito</v>
      </c>
      <c r="H935" s="55">
        <f ca="1">IFERROR(__xludf.DUMMYFUNCTION("""COMPUTED_VALUE"""),44192)</f>
        <v>44192</v>
      </c>
      <c r="I935" s="25"/>
      <c r="J935" s="55" t="str">
        <f ca="1">IFERROR(__xludf.DUMMYFUNCTION("""COMPUTED_VALUE"""),"Alta")</f>
        <v>Alta</v>
      </c>
      <c r="K935" s="25">
        <f ca="1">IFERROR(__xludf.DUMMYFUNCTION("""COMPUTED_VALUE"""),30)</f>
        <v>30</v>
      </c>
      <c r="L935" s="62">
        <f ca="1">IFERROR(__xludf.DUMMYFUNCTION("""COMPUTED_VALUE"""),44543)</f>
        <v>44543</v>
      </c>
      <c r="M935" s="25" t="str">
        <f ca="1">IFERROR(__xludf.DUMMYFUNCTION("""COMPUTED_VALUE"""),"En el marco del apoyo que la Secretaría Distrital de Integración Social brinda a la implementación del Estatuto Temporal de Protección para Migrantes Venezolanos en articulación con el ACNUR, mediante el pre-registro virtual asistido se cuenta con la sigu"&amp;"iente publicidad y/o visibilidad para su divulgación:
        En la página web de la Entidad https://www.integracionsocial.gov.co/ contamos con una pieza gráfica donde se encuentran publicados los cuatro (4) puntos fijos para que la población migrante ve"&amp;"nezolana se acerque a realizar el pre-registro virtual asistido, como son: el Centro Distrital de Integración y Derechos a Migrantes, Refugiados y Retornados – CEDID, SuperCade Social de la Terminal de Transporte Salitre, Centro de Atención Integral a la "&amp;"Diversidad Sexual y de Géneros CAIDS y la Subdirección Local de Ciudad Bolívar, así como de manera itinerante en los territorios con la tropa social migrantes.
        En cada uno de los puntos fijos de atención y en las jornadas en los territorios cont"&amp;"amos con pendones con información para acceder al Estatuto Temporal de Protección Para Migrantes Venezolanos.
        El equipo de los tres (13) profesionales conformados por 4 abogados, 2 psicosociales y 7 agentes comunitarios con los que cuenta la SDI"&amp;"S con el apoyo del ACNUR para adelantar el pre-registro virtual asistido portan en sus chalecos un botón de visibilidad con información del Estatuto Temporal de Protección para Migrantes Venezolanos.")</f>
        <v>En el marco del apoyo que la Secretaría Distrital de Integración Social brinda a la implementación del Estatuto Temporal de Protección para Migrantes Venezolanos en articulación con el ACNUR, mediante el pre-registro virtual asistido se cuenta con la siguiente publicidad y/o visibilidad para su divulgación:
        En la página web de la Entidad https://www.integracionsocial.gov.co/ contamos con una pieza gráfica donde se encuentran publicados los cuatro (4) puntos fijos para que la población migrante venezolana se acerque a realizar el pre-registro virtual asistido, como son: el Centro Distrital de Integración y Derechos a Migrantes, Refugiados y Retornados – CEDID, SuperCade Social de la Terminal de Transporte Salitre, Centro de Atención Integral a la Diversidad Sexual y de Géneros CAIDS y la Subdirección Local de Ciudad Bolívar, así como de manera itinerante en los territorios con la tropa social migrantes.
        En cada uno de los puntos fijos de atención y en las jornadas en los territorios contamos con pendones con información para acceder al Estatuto Temporal de Protección Para Migrantes Venezolanos.
        El equipo de los tres (13) profesionales conformados por 4 abogados, 2 psicosociales y 7 agentes comunitarios con los que cuenta la SDIS con el apoyo del ACNUR para adelantar el pre-registro virtual asistido portan en sus chalecos un botón de visibilidad con información del Estatuto Temporal de Protección para Migrantes Venezolanos.</v>
      </c>
      <c r="N935" s="55">
        <f ca="1">IFERROR(__xludf.DUMMYFUNCTION("""COMPUTED_VALUE"""),44543)</f>
        <v>44543</v>
      </c>
      <c r="O935" s="25" t="str">
        <f t="shared" ca="1" si="0"/>
        <v>Secretaría Distrital de Integración Social</v>
      </c>
      <c r="P935" s="25" t="str">
        <f t="shared" si="2"/>
        <v/>
      </c>
      <c r="Q935" s="25" t="str">
        <f ca="1">IFERROR(__xludf.DUMMYFUNCTION("""COMPUTED_VALUE"""),"Corto plazo")</f>
        <v>Corto plazo</v>
      </c>
      <c r="R935" s="25"/>
      <c r="S935" s="55"/>
      <c r="T935" s="56"/>
      <c r="U935" s="25"/>
      <c r="V935" s="25"/>
      <c r="W935" s="25"/>
      <c r="X935" s="25"/>
      <c r="Y935" s="25"/>
      <c r="Z935" s="25"/>
    </row>
    <row r="936" spans="1:26" ht="52.5" customHeight="1" x14ac:dyDescent="0.25">
      <c r="A936" s="25" t="str">
        <f ca="1">IFERROR(__xludf.DUMMYFUNCTION("""COMPUTED_VALUE"""),"Integ34")</f>
        <v>Integ34</v>
      </c>
      <c r="B936" s="25" t="str">
        <f ca="1">IFERROR(__xludf.DUMMYFUNCTION("""COMPUTED_VALUE"""),"Despachando desde IDIPRON")</f>
        <v>Despachando desde IDIPRON</v>
      </c>
      <c r="C936" s="55">
        <f ca="1">IFERROR(__xludf.DUMMYFUNCTION("""COMPUTED_VALUE"""),44155)</f>
        <v>44155</v>
      </c>
      <c r="D936" s="25" t="str">
        <f ca="1">IFERROR(__xludf.DUMMYFUNCTION("""COMPUTED_VALUE"""),"Integración_Social")</f>
        <v>Integración_Social</v>
      </c>
      <c r="E936" s="25" t="str">
        <f ca="1">IFERROR(__xludf.DUMMYFUNCTION("""COMPUTED_VALUE"""),"Secretaría Distrital de Integración Social")</f>
        <v>Secretaría Distrital de Integración Social</v>
      </c>
      <c r="F936" s="25" t="str">
        <f ca="1">IFERROR(__xludf.DUMMYFUNCTION("""COMPUTED_VALUE"""),"Realizar jornadas conjuntas en las localidades llevando:
 1. Cuadrilátero del Idipron
 2. Diálogo intergeneracional
 3. Jornada de respiración
 En torno a esto, hacer jornadas pedagógicas en las localidades para mejorar el tejido social")</f>
        <v>Realizar jornadas conjuntas en las localidades llevando:
 1. Cuadrilátero del Idipron
 2. Diálogo intergeneracional
 3. Jornada de respiración
 En torno a esto, hacer jornadas pedagógicas en las localidades para mejorar el tejido social</v>
      </c>
      <c r="G936" s="25" t="str">
        <f ca="1">IFERROR(__xludf.DUMMYFUNCTION("""COMPUTED_VALUE"""),"99. Distrito")</f>
        <v>99. Distrito</v>
      </c>
      <c r="H936" s="55">
        <f ca="1">IFERROR(__xludf.DUMMYFUNCTION("""COMPUTED_VALUE"""),44185)</f>
        <v>44185</v>
      </c>
      <c r="I936" s="25"/>
      <c r="J936" s="55" t="str">
        <f ca="1">IFERROR(__xludf.DUMMYFUNCTION("""COMPUTED_VALUE"""),"Alta")</f>
        <v>Alta</v>
      </c>
      <c r="K936" s="25">
        <f ca="1">IFERROR(__xludf.DUMMYFUNCTION("""COMPUTED_VALUE"""),30)</f>
        <v>30</v>
      </c>
      <c r="L936" s="62"/>
      <c r="M936" s="25" t="str">
        <f ca="1">IFERROR(__xludf.DUMMYFUNCTION("""COMPUTED_VALUE"""),"Boxvida en Barrio Maria paz, localidad de kennedy 10 de diciembre. 
 Boxvida en Barrio llano grande, localidad de kennedy 13 de diciembre en conjunto con la mesa local de Juventud. 
 Boxvida entre el IDIPRON y delegación de Antioquia los días 4 y 5 de dic"&amp;"iembre en el parque Illimani en la localidad de Ciudad Bolívar y parque la Manuelita en la localidad de Suba")</f>
        <v>Boxvida en Barrio Maria paz, localidad de kennedy 10 de diciembre. 
 Boxvida en Barrio llano grande, localidad de kennedy 13 de diciembre en conjunto con la mesa local de Juventud. 
 Boxvida entre el IDIPRON y delegación de Antioquia los días 4 y 5 de diciembre en el parque Illimani en la localidad de Ciudad Bolívar y parque la Manuelita en la localidad de Suba</v>
      </c>
      <c r="N936" s="55">
        <f ca="1">IFERROR(__xludf.DUMMYFUNCTION("""COMPUTED_VALUE"""),44927)</f>
        <v>44927</v>
      </c>
      <c r="O936" s="25" t="str">
        <f t="shared" ca="1" si="0"/>
        <v>Secretaría Distrital de Integración Social</v>
      </c>
      <c r="P936" s="25" t="str">
        <f t="shared" si="2"/>
        <v/>
      </c>
      <c r="Q936" s="25" t="str">
        <f ca="1">IFERROR(__xludf.DUMMYFUNCTION("""COMPUTED_VALUE"""),"Corto plazo")</f>
        <v>Corto plazo</v>
      </c>
      <c r="R936" s="25"/>
      <c r="S936" s="55"/>
      <c r="T936" s="56"/>
      <c r="U936" s="25"/>
      <c r="V936" s="25"/>
      <c r="W936" s="25"/>
      <c r="X936" s="25"/>
      <c r="Y936" s="25"/>
      <c r="Z936" s="25"/>
    </row>
    <row r="937" spans="1:26" ht="52.5" customHeight="1" x14ac:dyDescent="0.25">
      <c r="A937" s="25" t="str">
        <f ca="1">IFERROR(__xludf.DUMMYFUNCTION("""COMPUTED_VALUE"""),"Integ35")</f>
        <v>Integ35</v>
      </c>
      <c r="B937" s="25" t="str">
        <f ca="1">IFERROR(__xludf.DUMMYFUNCTION("""COMPUTED_VALUE"""),"Despachando desde IDIPRON")</f>
        <v>Despachando desde IDIPRON</v>
      </c>
      <c r="C937" s="55">
        <f ca="1">IFERROR(__xludf.DUMMYFUNCTION("""COMPUTED_VALUE"""),44155)</f>
        <v>44155</v>
      </c>
      <c r="D937" s="25" t="str">
        <f ca="1">IFERROR(__xludf.DUMMYFUNCTION("""COMPUTED_VALUE"""),"Integración_Social")</f>
        <v>Integración_Social</v>
      </c>
      <c r="E937" s="25" t="str">
        <f ca="1">IFERROR(__xludf.DUMMYFUNCTION("""COMPUTED_VALUE"""),"Secretaría Distrital de Integración Social")</f>
        <v>Secretaría Distrital de Integración Social</v>
      </c>
      <c r="F937" s="25" t="str">
        <f ca="1">IFERROR(__xludf.DUMMYFUNCTION("""COMPUTED_VALUE"""),"Pasar la información a la alcaldesa de todos los predios que tiene el idipron que están sin uso, incluyendo los predios en el Vichada y el Chocó")</f>
        <v>Pasar la información a la alcaldesa de todos los predios que tiene el idipron que están sin uso, incluyendo los predios en el Vichada y el Chocó</v>
      </c>
      <c r="G937" s="25" t="str">
        <f ca="1">IFERROR(__xludf.DUMMYFUNCTION("""COMPUTED_VALUE"""),"99. Distrito")</f>
        <v>99. Distrito</v>
      </c>
      <c r="H937" s="55">
        <f ca="1">IFERROR(__xludf.DUMMYFUNCTION("""COMPUTED_VALUE"""),44185)</f>
        <v>44185</v>
      </c>
      <c r="I937" s="25"/>
      <c r="J937" s="55" t="str">
        <f ca="1">IFERROR(__xludf.DUMMYFUNCTION("""COMPUTED_VALUE"""),"Alta")</f>
        <v>Alta</v>
      </c>
      <c r="K937" s="25">
        <f ca="1">IFERROR(__xludf.DUMMYFUNCTION("""COMPUTED_VALUE"""),30)</f>
        <v>30</v>
      </c>
      <c r="L937" s="62"/>
      <c r="M937" s="25" t="str">
        <f ca="1">IFERROR(__xludf.DUMMYFUNCTION("""COMPUTED_VALUE"""),"Consolidación de la carpeta del predio el Tuparro ubicada en el Vichada y se envió a la Alcaldía el 14 de diciembre de 2020, con radicado IDIPRON 2020EE3610
 Acerca del predio en el departamento del Chocó, se debe aclarar que este no es del IDIPRON")</f>
        <v>Consolidación de la carpeta del predio el Tuparro ubicada en el Vichada y se envió a la Alcaldía el 14 de diciembre de 2020, con radicado IDIPRON 2020EE3610
 Acerca del predio en el departamento del Chocó, se debe aclarar que este no es del IDIPRON</v>
      </c>
      <c r="N937" s="55">
        <f ca="1">IFERROR(__xludf.DUMMYFUNCTION("""COMPUTED_VALUE"""),44927)</f>
        <v>44927</v>
      </c>
      <c r="O937" s="25" t="str">
        <f t="shared" ca="1" si="0"/>
        <v>Secretaría Distrital de Integración Social</v>
      </c>
      <c r="P937" s="25" t="str">
        <f t="shared" si="2"/>
        <v/>
      </c>
      <c r="Q937" s="25" t="str">
        <f ca="1">IFERROR(__xludf.DUMMYFUNCTION("""COMPUTED_VALUE"""),"Corto plazo")</f>
        <v>Corto plazo</v>
      </c>
      <c r="R937" s="25"/>
      <c r="S937" s="55"/>
      <c r="T937" s="56"/>
      <c r="U937" s="25"/>
      <c r="V937" s="25"/>
      <c r="W937" s="25"/>
      <c r="X937" s="25"/>
      <c r="Y937" s="25"/>
      <c r="Z937" s="25"/>
    </row>
    <row r="938" spans="1:26" ht="52.5" customHeight="1" x14ac:dyDescent="0.25">
      <c r="A938" s="25" t="str">
        <f ca="1">IFERROR(__xludf.DUMMYFUNCTION("""COMPUTED_VALUE"""),"Integ36")</f>
        <v>Integ36</v>
      </c>
      <c r="B938" s="25" t="str">
        <f ca="1">IFERROR(__xludf.DUMMYFUNCTION("""COMPUTED_VALUE"""),"Despachando desde IDIPRON")</f>
        <v>Despachando desde IDIPRON</v>
      </c>
      <c r="C938" s="55">
        <f ca="1">IFERROR(__xludf.DUMMYFUNCTION("""COMPUTED_VALUE"""),44155)</f>
        <v>44155</v>
      </c>
      <c r="D938" s="25" t="str">
        <f ca="1">IFERROR(__xludf.DUMMYFUNCTION("""COMPUTED_VALUE"""),"Integración_Social")</f>
        <v>Integración_Social</v>
      </c>
      <c r="E938" s="25" t="str">
        <f ca="1">IFERROR(__xludf.DUMMYFUNCTION("""COMPUTED_VALUE"""),"Secretaría Distrital de Integración Social")</f>
        <v>Secretaría Distrital de Integración Social</v>
      </c>
      <c r="F938" s="25" t="str">
        <f ca="1">IFERROR(__xludf.DUMMYFUNCTION("""COMPUTED_VALUE"""),"Realizar la caracterización de lugares donde pueden hacerse lugares para pasar la noche para niños, jóvenes y adolescentes")</f>
        <v>Realizar la caracterización de lugares donde pueden hacerse lugares para pasar la noche para niños, jóvenes y adolescentes</v>
      </c>
      <c r="G938" s="25" t="str">
        <f ca="1">IFERROR(__xludf.DUMMYFUNCTION("""COMPUTED_VALUE"""),"99. Distrito")</f>
        <v>99. Distrito</v>
      </c>
      <c r="H938" s="55">
        <f ca="1">IFERROR(__xludf.DUMMYFUNCTION("""COMPUTED_VALUE"""),44185)</f>
        <v>44185</v>
      </c>
      <c r="I938" s="25"/>
      <c r="J938" s="55" t="str">
        <f ca="1">IFERROR(__xludf.DUMMYFUNCTION("""COMPUTED_VALUE"""),"Alta")</f>
        <v>Alta</v>
      </c>
      <c r="K938" s="25">
        <f ca="1">IFERROR(__xludf.DUMMYFUNCTION("""COMPUTED_VALUE"""),30)</f>
        <v>30</v>
      </c>
      <c r="L938" s="62">
        <f ca="1">IFERROR(__xludf.DUMMYFUNCTION("""COMPUTED_VALUE"""),44399)</f>
        <v>44399</v>
      </c>
      <c r="M938" s="25" t="str">
        <f ca="1">IFERROR(__xludf.DUMMYFUNCTION("""COMPUTED_VALUE"""),"En articulación con SDIS, UAESP, DADEP, IPES, Secretaría de Seguridad, Secretaría de Hábitat y Alcaldías locales, se identificaron y caracterizaron 9 predios. Se establecieron caracterizaciones a la población objetivo. La UAESP estableció la primera .cont"&amp;"rato a bodega en la zona de Maria Paz, donde se está atendiendo el primer Centro de Cuidado para Carreteros. El Modelo de atención es integral con el sector Social, Alcaldía Local y de Secretaría de Seguridad.")</f>
        <v>En articulación con SDIS, UAESP, DADEP, IPES, Secretaría de Seguridad, Secretaría de Hábitat y Alcaldías locales, se identificaron y caracterizaron 9 predios. Se establecieron caracterizaciones a la población objetivo. La UAESP estableció la primera .contrato a bodega en la zona de Maria Paz, donde se está atendiendo el primer Centro de Cuidado para Carreteros. El Modelo de atención es integral con el sector Social, Alcaldía Local y de Secretaría de Seguridad.</v>
      </c>
      <c r="N938" s="55">
        <f ca="1">IFERROR(__xludf.DUMMYFUNCTION("""COMPUTED_VALUE"""),44399)</f>
        <v>44399</v>
      </c>
      <c r="O938" s="25" t="str">
        <f t="shared" ca="1" si="0"/>
        <v>Secretaría Distrital de Integración Social</v>
      </c>
      <c r="P938" s="25" t="str">
        <f t="shared" si="2"/>
        <v/>
      </c>
      <c r="Q938" s="25" t="str">
        <f ca="1">IFERROR(__xludf.DUMMYFUNCTION("""COMPUTED_VALUE"""),"Corto plazo")</f>
        <v>Corto plazo</v>
      </c>
      <c r="R938" s="25"/>
      <c r="S938" s="55"/>
      <c r="T938" s="56"/>
      <c r="U938" s="25"/>
      <c r="V938" s="25"/>
      <c r="W938" s="25"/>
      <c r="X938" s="25"/>
      <c r="Y938" s="25"/>
      <c r="Z938" s="25"/>
    </row>
    <row r="939" spans="1:26" ht="52.5" customHeight="1" x14ac:dyDescent="0.25">
      <c r="A939" s="25" t="str">
        <f ca="1">IFERROR(__xludf.DUMMYFUNCTION("""COMPUTED_VALUE"""),"Integ37")</f>
        <v>Integ37</v>
      </c>
      <c r="B939" s="25" t="str">
        <f ca="1">IFERROR(__xludf.DUMMYFUNCTION("""COMPUTED_VALUE"""),"Despachando desde IDIPRON")</f>
        <v>Despachando desde IDIPRON</v>
      </c>
      <c r="C939" s="55">
        <f ca="1">IFERROR(__xludf.DUMMYFUNCTION("""COMPUTED_VALUE"""),44155)</f>
        <v>44155</v>
      </c>
      <c r="D939" s="25" t="str">
        <f ca="1">IFERROR(__xludf.DUMMYFUNCTION("""COMPUTED_VALUE"""),"Integración_Social")</f>
        <v>Integración_Social</v>
      </c>
      <c r="E939" s="25" t="str">
        <f ca="1">IFERROR(__xludf.DUMMYFUNCTION("""COMPUTED_VALUE"""),"Secretaría Distrital de Integración Social")</f>
        <v>Secretaría Distrital de Integración Social</v>
      </c>
      <c r="F939" s="25" t="str">
        <f ca="1">IFERROR(__xludf.DUMMYFUNCTION("""COMPUTED_VALUE"""),"Elegir nombre representativo para el proyecto de El Castillo, que cuente con apropiación del lugar e importancia artística")</f>
        <v>Elegir nombre representativo para el proyecto de El Castillo, que cuente con apropiación del lugar e importancia artística</v>
      </c>
      <c r="G939" s="25" t="str">
        <f ca="1">IFERROR(__xludf.DUMMYFUNCTION("""COMPUTED_VALUE"""),"99. Distrito")</f>
        <v>99. Distrito</v>
      </c>
      <c r="H939" s="55">
        <f ca="1">IFERROR(__xludf.DUMMYFUNCTION("""COMPUTED_VALUE"""),44185)</f>
        <v>44185</v>
      </c>
      <c r="I939" s="25"/>
      <c r="J939" s="55" t="str">
        <f ca="1">IFERROR(__xludf.DUMMYFUNCTION("""COMPUTED_VALUE"""),"Alta")</f>
        <v>Alta</v>
      </c>
      <c r="K939" s="25">
        <f ca="1">IFERROR(__xludf.DUMMYFUNCTION("""COMPUTED_VALUE"""),30)</f>
        <v>30</v>
      </c>
      <c r="L939" s="62"/>
      <c r="M939" s="25" t="str">
        <f ca="1">IFERROR(__xludf.DUMMYFUNCTION("""COMPUTED_VALUE"""),"Se acordó mediante gestión intersectorial el nombre EL CASTILLO DE LAS ARTES")</f>
        <v>Se acordó mediante gestión intersectorial el nombre EL CASTILLO DE LAS ARTES</v>
      </c>
      <c r="N939" s="55">
        <f ca="1">IFERROR(__xludf.DUMMYFUNCTION("""COMPUTED_VALUE"""),44927)</f>
        <v>44927</v>
      </c>
      <c r="O939" s="25" t="str">
        <f t="shared" ca="1" si="0"/>
        <v>Secretaría Distrital de Integración Social</v>
      </c>
      <c r="P939" s="25" t="str">
        <f t="shared" si="2"/>
        <v/>
      </c>
      <c r="Q939" s="25" t="str">
        <f ca="1">IFERROR(__xludf.DUMMYFUNCTION("""COMPUTED_VALUE"""),"Corto plazo")</f>
        <v>Corto plazo</v>
      </c>
      <c r="R939" s="25"/>
      <c r="S939" s="55"/>
      <c r="T939" s="56"/>
      <c r="U939" s="25"/>
      <c r="V939" s="25"/>
      <c r="W939" s="25"/>
      <c r="X939" s="25"/>
      <c r="Y939" s="25"/>
      <c r="Z939" s="25"/>
    </row>
    <row r="940" spans="1:26" ht="52.5" customHeight="1" x14ac:dyDescent="0.25">
      <c r="A940" s="25" t="str">
        <f ca="1">IFERROR(__xludf.DUMMYFUNCTION("""COMPUTED_VALUE"""),"Integ38")</f>
        <v>Integ38</v>
      </c>
      <c r="B940" s="25" t="str">
        <f ca="1">IFERROR(__xludf.DUMMYFUNCTION("""COMPUTED_VALUE"""),"Jóvenes Reto")</f>
        <v>Jóvenes Reto</v>
      </c>
      <c r="C940" s="55">
        <f ca="1">IFERROR(__xludf.DUMMYFUNCTION("""COMPUTED_VALUE"""),44148)</f>
        <v>44148</v>
      </c>
      <c r="D940" s="25" t="str">
        <f ca="1">IFERROR(__xludf.DUMMYFUNCTION("""COMPUTED_VALUE"""),"Integración_Social")</f>
        <v>Integración_Social</v>
      </c>
      <c r="E940" s="25" t="str">
        <f ca="1">IFERROR(__xludf.DUMMYFUNCTION("""COMPUTED_VALUE"""),"Secretaría Distrital de Integración Social")</f>
        <v>Secretaría Distrital de Integración Social</v>
      </c>
      <c r="F940" s="25" t="str">
        <f ca="1">IFERROR(__xludf.DUMMYFUNCTION("""COMPUTED_VALUE"""),"Crear la ruta para jóvenes emprendedores en RETO. ")</f>
        <v xml:space="preserve">Crear la ruta para jóvenes emprendedores en RETO. </v>
      </c>
      <c r="G940" s="25" t="str">
        <f ca="1">IFERROR(__xludf.DUMMYFUNCTION("""COMPUTED_VALUE"""),"99. Distrito")</f>
        <v>99. Distrito</v>
      </c>
      <c r="H940" s="55">
        <f ca="1">IFERROR(__xludf.DUMMYFUNCTION("""COMPUTED_VALUE"""),44178)</f>
        <v>44178</v>
      </c>
      <c r="I940" s="25"/>
      <c r="J940" s="55" t="str">
        <f ca="1">IFERROR(__xludf.DUMMYFUNCTION("""COMPUTED_VALUE"""),"Alta")</f>
        <v>Alta</v>
      </c>
      <c r="K940" s="25">
        <f ca="1">IFERROR(__xludf.DUMMYFUNCTION("""COMPUTED_VALUE"""),30)</f>
        <v>30</v>
      </c>
      <c r="L940" s="62">
        <f ca="1">IFERROR(__xludf.DUMMYFUNCTION("""COMPUTED_VALUE"""),44316)</f>
        <v>44316</v>
      </c>
      <c r="M940" s="25" t="str">
        <f ca="1">IFERROR(__xludf.DUMMYFUNCTION("""COMPUTED_VALUE"""),"Ruta de emprendedores. Se tienen tres líneas: 1. Convenio de SDIS con CISCO, cursos para fortalecimiento en temas de emprendimiento. 2. Emprendimientos con el IPES, creó nueva oferta de apoyo para 100 emprendimientos juveniles a 2021; y 3. La SDDE apoyará"&amp;" 200 emprendimientos en el 2021 e inicia desde marzo.")</f>
        <v>Ruta de emprendedores. Se tienen tres líneas: 1. Convenio de SDIS con CISCO, cursos para fortalecimiento en temas de emprendimiento. 2. Emprendimientos con el IPES, creó nueva oferta de apoyo para 100 emprendimientos juveniles a 2021; y 3. La SDDE apoyará 200 emprendimientos en el 2021 e inicia desde marzo.</v>
      </c>
      <c r="N940" s="55">
        <f ca="1">IFERROR(__xludf.DUMMYFUNCTION("""COMPUTED_VALUE"""),44316)</f>
        <v>44316</v>
      </c>
      <c r="O940" s="25" t="str">
        <f t="shared" ca="1" si="0"/>
        <v>Secretaría Distrital de Integración Social</v>
      </c>
      <c r="P940" s="25" t="str">
        <f t="shared" si="2"/>
        <v/>
      </c>
      <c r="Q940" s="25" t="str">
        <f ca="1">IFERROR(__xludf.DUMMYFUNCTION("""COMPUTED_VALUE"""),"Corto plazo")</f>
        <v>Corto plazo</v>
      </c>
      <c r="R940" s="25"/>
      <c r="S940" s="55"/>
      <c r="T940" s="56"/>
      <c r="U940" s="25"/>
      <c r="V940" s="25"/>
      <c r="W940" s="25"/>
      <c r="X940" s="25"/>
      <c r="Y940" s="25"/>
      <c r="Z940" s="25"/>
    </row>
    <row r="941" spans="1:26" ht="52.5" customHeight="1" x14ac:dyDescent="0.25">
      <c r="A941" s="25" t="str">
        <f ca="1">IFERROR(__xludf.DUMMYFUNCTION("""COMPUTED_VALUE"""),"Integ39")</f>
        <v>Integ39</v>
      </c>
      <c r="B941" s="25" t="str">
        <f ca="1">IFERROR(__xludf.DUMMYFUNCTION("""COMPUTED_VALUE"""),"Despachando. Secretaría Distrital de seguridad, convivencia y justicia")</f>
        <v>Despachando. Secretaría Distrital de seguridad, convivencia y justicia</v>
      </c>
      <c r="C941" s="55">
        <f ca="1">IFERROR(__xludf.DUMMYFUNCTION("""COMPUTED_VALUE"""),44099)</f>
        <v>44099</v>
      </c>
      <c r="D941" s="25" t="str">
        <f ca="1">IFERROR(__xludf.DUMMYFUNCTION("""COMPUTED_VALUE"""),"Integración_Social")</f>
        <v>Integración_Social</v>
      </c>
      <c r="E941" s="25" t="str">
        <f ca="1">IFERROR(__xludf.DUMMYFUNCTION("""COMPUTED_VALUE"""),"Secretaría Distrital de Integración Social")</f>
        <v>Secretaría Distrital de Integración Social</v>
      </c>
      <c r="F941" s="25" t="str">
        <f ca="1">IFERROR(__xludf.DUMMYFUNCTION("""COMPUTED_VALUE"""),"Bancarizar a todos los jóvenes en los programas de formación a cargo de la Secretaría, y coordinar con la SED cursos de formación flexibles")</f>
        <v>Bancarizar a todos los jóvenes en los programas de formación a cargo de la Secretaría, y coordinar con la SED cursos de formación flexibles</v>
      </c>
      <c r="G941" s="25" t="str">
        <f ca="1">IFERROR(__xludf.DUMMYFUNCTION("""COMPUTED_VALUE"""),"99. Distrito")</f>
        <v>99. Distrito</v>
      </c>
      <c r="H941" s="55">
        <f ca="1">IFERROR(__xludf.DUMMYFUNCTION("""COMPUTED_VALUE"""),44129)</f>
        <v>44129</v>
      </c>
      <c r="I941" s="25"/>
      <c r="J941" s="55" t="str">
        <f ca="1">IFERROR(__xludf.DUMMYFUNCTION("""COMPUTED_VALUE"""),"Alta")</f>
        <v>Alta</v>
      </c>
      <c r="K941" s="25">
        <f ca="1">IFERROR(__xludf.DUMMYFUNCTION("""COMPUTED_VALUE"""),30)</f>
        <v>30</v>
      </c>
      <c r="L941" s="62">
        <f ca="1">IFERROR(__xludf.DUMMYFUNCTION("""COMPUTED_VALUE"""),44539)</f>
        <v>44539</v>
      </c>
      <c r="M941" s="25" t="str">
        <f ca="1">IFERROR(__xludf.DUMMYFUNCTION("""COMPUTED_VALUE"""),"Los 76 jóvenes vinculados a la estrategia de jóvenes de la Secretaría de Seguridad fueron bancarizados (cuenta de ahorros). 
 En relación a los cursos de formación flexibles, esto se articulará por medio de la Secretaría de Integración Social. ")</f>
        <v xml:space="preserve">Los 76 jóvenes vinculados a la estrategia de jóvenes de la Secretaría de Seguridad fueron bancarizados (cuenta de ahorros). 
 En relación a los cursos de formación flexibles, esto se articulará por medio de la Secretaría de Integración Social. </v>
      </c>
      <c r="N941" s="55">
        <f ca="1">IFERROR(__xludf.DUMMYFUNCTION("""COMPUTED_VALUE"""),44539)</f>
        <v>44539</v>
      </c>
      <c r="O941" s="25" t="str">
        <f t="shared" ca="1" si="0"/>
        <v>Secretaría Distrital de Integración Social</v>
      </c>
      <c r="P941" s="25" t="str">
        <f t="shared" si="2"/>
        <v/>
      </c>
      <c r="Q941" s="25" t="str">
        <f ca="1">IFERROR(__xludf.DUMMYFUNCTION("""COMPUTED_VALUE"""),"Corto plazo")</f>
        <v>Corto plazo</v>
      </c>
      <c r="R941" s="25"/>
      <c r="S941" s="55"/>
      <c r="T941" s="56"/>
      <c r="U941" s="25"/>
      <c r="V941" s="25"/>
      <c r="W941" s="25"/>
      <c r="X941" s="25"/>
      <c r="Y941" s="25"/>
      <c r="Z941" s="25"/>
    </row>
    <row r="942" spans="1:26" ht="52.5" customHeight="1" x14ac:dyDescent="0.25">
      <c r="A942" s="25" t="str">
        <f ca="1">IFERROR(__xludf.DUMMYFUNCTION("""COMPUTED_VALUE"""),"Integ40")</f>
        <v>Integ40</v>
      </c>
      <c r="B942" s="25" t="str">
        <f ca="1">IFERROR(__xludf.DUMMYFUNCTION("""COMPUTED_VALUE"""),"Despachando desde la Secretaría distrital de integración social")</f>
        <v>Despachando desde la Secretaría distrital de integración social</v>
      </c>
      <c r="C942" s="55">
        <f ca="1">IFERROR(__xludf.DUMMYFUNCTION("""COMPUTED_VALUE"""),44062)</f>
        <v>44062</v>
      </c>
      <c r="D942" s="25" t="str">
        <f ca="1">IFERROR(__xludf.DUMMYFUNCTION("""COMPUTED_VALUE"""),"Integración_Social")</f>
        <v>Integración_Social</v>
      </c>
      <c r="E942" s="25" t="str">
        <f ca="1">IFERROR(__xludf.DUMMYFUNCTION("""COMPUTED_VALUE"""),"Secretaría Distrital de Integración Social")</f>
        <v>Secretaría Distrital de Integración Social</v>
      </c>
      <c r="F942" s="25" t="str">
        <f ca="1">IFERROR(__xludf.DUMMYFUNCTION("""COMPUTED_VALUE"""),"Revisar y actualizar la política de vejez, y coordinar reunión entre consejo de sabios y sabias y la alcaldesa")</f>
        <v>Revisar y actualizar la política de vejez, y coordinar reunión entre consejo de sabios y sabias y la alcaldesa</v>
      </c>
      <c r="G942" s="25" t="str">
        <f ca="1">IFERROR(__xludf.DUMMYFUNCTION("""COMPUTED_VALUE"""),"99. Distrito")</f>
        <v>99. Distrito</v>
      </c>
      <c r="H942" s="55">
        <f ca="1">IFERROR(__xludf.DUMMYFUNCTION("""COMPUTED_VALUE"""),44092)</f>
        <v>44092</v>
      </c>
      <c r="I942" s="25"/>
      <c r="J942" s="55" t="str">
        <f ca="1">IFERROR(__xludf.DUMMYFUNCTION("""COMPUTED_VALUE"""),"Alta")</f>
        <v>Alta</v>
      </c>
      <c r="K942" s="25">
        <f ca="1">IFERROR(__xludf.DUMMYFUNCTION("""COMPUTED_VALUE"""),30)</f>
        <v>30</v>
      </c>
      <c r="L942" s="62">
        <f ca="1">IFERROR(__xludf.DUMMYFUNCTION("""COMPUTED_VALUE"""),44456)</f>
        <v>44456</v>
      </c>
      <c r="M942" s="25" t="str">
        <f ca="1">IFERROR(__xludf.DUMMYFUNCTION("""COMPUTED_VALUE"""),"La formulación de la nueva política pública para la vejez y el envejecimiento inicia en el 2023, teniendo en cuenta que la actual está hasta 2025. La Subdirección para la Vejez aclara que la actualización es del plan de acción de la política, mas no la fo"&amp;"rmulación de la política pública, porque ella  no se actualiza sino que se reformula para el año 2025. Se informa que la fecha de actualización del plan de acción no se conoce, porque no depende de la SDIS sino de la Secretaría Distrital Planeación; quien"&amp;" actualmente está llevando a cabo la revisión y emisión del concepto técnico junto con todas las entidades que intervienen en el proceso. Por lo anterior, no se tiene certeza de cuando efectivamente se produzca, no obstante, se proyecta que esa aprobación"&amp;" se logre para el mes de octubre. ")</f>
        <v xml:space="preserve">La formulación de la nueva política pública para la vejez y el envejecimiento inicia en el 2023, teniendo en cuenta que la actual está hasta 2025. La Subdirección para la Vejez aclara que la actualización es del plan de acción de la política, mas no la formulación de la política pública, porque ella  no se actualiza sino que se reformula para el año 2025. Se informa que la fecha de actualización del plan de acción no se conoce, porque no depende de la SDIS sino de la Secretaría Distrital Planeación; quien actualmente está llevando a cabo la revisión y emisión del concepto técnico junto con todas las entidades que intervienen en el proceso. Por lo anterior, no se tiene certeza de cuando efectivamente se produzca, no obstante, se proyecta que esa aprobación se logre para el mes de octubre. </v>
      </c>
      <c r="N942" s="55">
        <f ca="1">IFERROR(__xludf.DUMMYFUNCTION("""COMPUTED_VALUE"""),44456)</f>
        <v>44456</v>
      </c>
      <c r="O942" s="25" t="str">
        <f t="shared" ca="1" si="0"/>
        <v>Secretaría Distrital de Integración Social</v>
      </c>
      <c r="P942" s="25" t="str">
        <f t="shared" si="2"/>
        <v/>
      </c>
      <c r="Q942" s="25" t="str">
        <f ca="1">IFERROR(__xludf.DUMMYFUNCTION("""COMPUTED_VALUE"""),"Corto plazo")</f>
        <v>Corto plazo</v>
      </c>
      <c r="R942" s="25"/>
      <c r="S942" s="55"/>
      <c r="T942" s="56"/>
      <c r="U942" s="25"/>
      <c r="V942" s="25"/>
      <c r="W942" s="25"/>
      <c r="X942" s="25"/>
      <c r="Y942" s="25"/>
      <c r="Z942" s="25"/>
    </row>
    <row r="943" spans="1:26" ht="52.5" customHeight="1" x14ac:dyDescent="0.25">
      <c r="A943" s="25" t="str">
        <f ca="1">IFERROR(__xludf.DUMMYFUNCTION("""COMPUTED_VALUE"""),"Integ41")</f>
        <v>Integ41</v>
      </c>
      <c r="B943" s="25" t="str">
        <f ca="1">IFERROR(__xludf.DUMMYFUNCTION("""COMPUTED_VALUE"""),"Despachando desde la Secretaría distrital de integración social")</f>
        <v>Despachando desde la Secretaría distrital de integración social</v>
      </c>
      <c r="C943" s="55">
        <f ca="1">IFERROR(__xludf.DUMMYFUNCTION("""COMPUTED_VALUE"""),44062)</f>
        <v>44062</v>
      </c>
      <c r="D943" s="25" t="str">
        <f ca="1">IFERROR(__xludf.DUMMYFUNCTION("""COMPUTED_VALUE"""),"Integración_Social")</f>
        <v>Integración_Social</v>
      </c>
      <c r="E943" s="25" t="str">
        <f ca="1">IFERROR(__xludf.DUMMYFUNCTION("""COMPUTED_VALUE"""),"Secretaría Distrital de Integración Social")</f>
        <v>Secretaría Distrital de Integración Social</v>
      </c>
      <c r="F943" s="25" t="str">
        <f ca="1">IFERROR(__xludf.DUMMYFUNCTION("""COMPUTED_VALUE"""),"Desarrollar todos los servicios de la SDIS en función de las manzanas del cuidado de la SDMujer")</f>
        <v>Desarrollar todos los servicios de la SDIS en función de las manzanas del cuidado de la SDMujer</v>
      </c>
      <c r="G943" s="25" t="str">
        <f ca="1">IFERROR(__xludf.DUMMYFUNCTION("""COMPUTED_VALUE"""),"99. Distrito")</f>
        <v>99. Distrito</v>
      </c>
      <c r="H943" s="55">
        <f ca="1">IFERROR(__xludf.DUMMYFUNCTION("""COMPUTED_VALUE"""),44092)</f>
        <v>44092</v>
      </c>
      <c r="I943" s="25"/>
      <c r="J943" s="55" t="str">
        <f ca="1">IFERROR(__xludf.DUMMYFUNCTION("""COMPUTED_VALUE"""),"Alta")</f>
        <v>Alta</v>
      </c>
      <c r="K943" s="25">
        <f ca="1">IFERROR(__xludf.DUMMYFUNCTION("""COMPUTED_VALUE"""),30)</f>
        <v>30</v>
      </c>
      <c r="L943" s="62"/>
      <c r="M943" s="25" t="str">
        <f ca="1">IFERROR(__xludf.DUMMYFUNCTION("""COMPUTED_VALUE"""),"Se firmó el convenio interadministrativo 725 de 2020 con la SDMujer cuyo objeto es: Aunar esfuerzos entre la Secretaría Distrital de la Mujer y la Secretaría Distrital de Integración Social para la articulación de servicios intersectoriales en el marco de"&amp;"l Sistema Distrital de Cuidado, que sirvan para garantizar la orientación, información, prestación de servicios que ofrecen las dos entidades de forma oportuna, eficiente y eficaz a las ciudadanas y ciudadanos que hacen uso de los Centros de Desarrollo Co"&amp;"munitario pertenecientes a la Secretaría Distrital de Integración Social. Se definieron servicios y estrategias SDIS para poner en marcha las Manzanas del cuidado Manitas en la localidad de Ciudad Bolívar y Porvenir en Bosa.
 A la fecha, se amplió el port"&amp;"afolio de servicios de 36 servicios sociales para contar con modalidades, estrategias y beneficios de atención a la población más pobre y vulnerable, con la intención de que, en todas esas formas de atender se priorice a las mujeres del SDC. Proyectamos h"&amp;"acer la formalización de 48 servicios nuevos, 19 transformados y 14 servicios nuevos dirigidos a cuidadoras: Uso de gimnasios, orientados por edufisicos; Prácticas de Yoga, relajación, Zumba y zumba, Actividad física orientada al aire libre, Talleres de a"&amp;"limentación saludable, Aprendizajes artísticos, Cursos de oficios y habilidades, Encuentros para el buen vivir: autoestima y autocuidado, prevención de violencias, responsabilidades compartidas, manejo de emociones, Cine al aire libre, entre otros.
 Duran"&amp;"te la fase de planeación institucional se han centrado los esfuerzos en pensar el cuidado como una prioridad en los servicios sociales y buscando que en los proyectos de inversión (20 metas Plan de Desarrollo) y en los servicios sociales como herramientas"&amp;" de implementación de política social, se dé prioridad a las estrategias como la ETIS para la identificación, abordaje, intervención y seguimiento a los hogares de mujeres cuidadoras que a través de las Manzanas de cuidado y otras formas de atención, con "&amp;"la participación activa del sector Social.")</f>
        <v>Se firmó el convenio interadministrativo 725 de 2020 con la SDMujer cuyo objeto es: Aunar esfuerzos entre la Secretaría Distrital de la Mujer y la Secretaría Distrital de Integración Social para la articulación de servicios intersectoriales en el marco del Sistema Distrital de Cuidado, que sirvan para garantizar la orientación, información, prestación de servicios que ofrecen las dos entidades de forma oportuna, eficiente y eficaz a las ciudadanas y ciudadanos que hacen uso de los Centros de Desarrollo Comunitario pertenecientes a la Secretaría Distrital de Integración Social. Se definieron servicios y estrategias SDIS para poner en marcha las Manzanas del cuidado Manitas en la localidad de Ciudad Bolívar y Porvenir en Bosa.
 A la fecha, se amplió el portafolio de servicios de 36 servicios sociales para contar con modalidades, estrategias y beneficios de atención a la población más pobre y vulnerable, con la intención de que, en todas esas formas de atender se priorice a las mujeres del SDC. Proyectamos hacer la formalización de 48 servicios nuevos, 19 transformados y 14 servicios nuevos dirigidos a cuidadoras: Uso de gimnasios, orientados por edufisicos; Prácticas de Yoga, relajación, Zumba y zumba, Actividad física orientada al aire libre, Talleres de alimentación saludable, Aprendizajes artísticos, Cursos de oficios y habilidades, Encuentros para el buen vivir: autoestima y autocuidado, prevención de violencias, responsabilidades compartidas, manejo de emociones, Cine al aire libre, entre otros.
 Durante la fase de planeación institucional se han centrado los esfuerzos en pensar el cuidado como una prioridad en los servicios sociales y buscando que en los proyectos de inversión (20 metas Plan de Desarrollo) y en los servicios sociales como herramientas de implementación de política social, se dé prioridad a las estrategias como la ETIS para la identificación, abordaje, intervención y seguimiento a los hogares de mujeres cuidadoras que a través de las Manzanas de cuidado y otras formas de atención, con la participación activa del sector Social.</v>
      </c>
      <c r="N943" s="55">
        <f ca="1">IFERROR(__xludf.DUMMYFUNCTION("""COMPUTED_VALUE"""),44927)</f>
        <v>44927</v>
      </c>
      <c r="O943" s="25" t="str">
        <f t="shared" ca="1" si="0"/>
        <v>Secretaría Distrital de Integración Social</v>
      </c>
      <c r="P943" s="25" t="str">
        <f t="shared" si="2"/>
        <v/>
      </c>
      <c r="Q943" s="25" t="str">
        <f ca="1">IFERROR(__xludf.DUMMYFUNCTION("""COMPUTED_VALUE"""),"Corto plazo")</f>
        <v>Corto plazo</v>
      </c>
      <c r="R943" s="25"/>
      <c r="S943" s="55"/>
      <c r="T943" s="56"/>
      <c r="U943" s="25"/>
      <c r="V943" s="25"/>
      <c r="W943" s="25"/>
      <c r="X943" s="25"/>
      <c r="Y943" s="25"/>
      <c r="Z943" s="25"/>
    </row>
    <row r="944" spans="1:26" ht="52.5" customHeight="1" x14ac:dyDescent="0.25">
      <c r="A944" s="25" t="str">
        <f ca="1">IFERROR(__xludf.DUMMYFUNCTION("""COMPUTED_VALUE"""),"Integ42")</f>
        <v>Integ42</v>
      </c>
      <c r="B944" s="25" t="str">
        <f ca="1">IFERROR(__xludf.DUMMYFUNCTION("""COMPUTED_VALUE"""),"Despachando desde la Secretaría distrital de integración social")</f>
        <v>Despachando desde la Secretaría distrital de integración social</v>
      </c>
      <c r="C944" s="55">
        <f ca="1">IFERROR(__xludf.DUMMYFUNCTION("""COMPUTED_VALUE"""),44062)</f>
        <v>44062</v>
      </c>
      <c r="D944" s="25" t="str">
        <f ca="1">IFERROR(__xludf.DUMMYFUNCTION("""COMPUTED_VALUE"""),"Integración_Social")</f>
        <v>Integración_Social</v>
      </c>
      <c r="E944" s="25" t="str">
        <f ca="1">IFERROR(__xludf.DUMMYFUNCTION("""COMPUTED_VALUE"""),"Secretaría Distrital de Integración Social")</f>
        <v>Secretaría Distrital de Integración Social</v>
      </c>
      <c r="F944" s="25" t="str">
        <f ca="1">IFERROR(__xludf.DUMMYFUNCTION("""COMPUTED_VALUE"""),"Explorar la posibilidad de prestar servicios sociales en los CEFE. Empezar con Fontanar")</f>
        <v>Explorar la posibilidad de prestar servicios sociales en los CEFE. Empezar con Fontanar</v>
      </c>
      <c r="G944" s="25" t="str">
        <f ca="1">IFERROR(__xludf.DUMMYFUNCTION("""COMPUTED_VALUE"""),"99. Distrito")</f>
        <v>99. Distrito</v>
      </c>
      <c r="H944" s="55">
        <f ca="1">IFERROR(__xludf.DUMMYFUNCTION("""COMPUTED_VALUE"""),44092)</f>
        <v>44092</v>
      </c>
      <c r="I944" s="25"/>
      <c r="J944" s="55" t="str">
        <f ca="1">IFERROR(__xludf.DUMMYFUNCTION("""COMPUTED_VALUE"""),"Alta")</f>
        <v>Alta</v>
      </c>
      <c r="K944" s="25">
        <f ca="1">IFERROR(__xludf.DUMMYFUNCTION("""COMPUTED_VALUE"""),30)</f>
        <v>30</v>
      </c>
      <c r="L944" s="62">
        <f ca="1">IFERROR(__xludf.DUMMYFUNCTION("""COMPUTED_VALUE"""),44894)</f>
        <v>44894</v>
      </c>
      <c r="M944" s="25" t="str">
        <f ca="1">IFERROR(__xludf.DUMMYFUNCTION("""COMPUTED_VALUE"""),"En el marco del servicio Desarrollo de Capacidades en el eje de Tiempo liberado, se asignó un profesional recreo deportivo dos veces a la semana, los días lunes y viernes entre 8am y 4:30pm para la programación de actividades de actividad física y activid"&amp;"ad musicalizada.")</f>
        <v>En el marco del servicio Desarrollo de Capacidades en el eje de Tiempo liberado, se asignó un profesional recreo deportivo dos veces a la semana, los días lunes y viernes entre 8am y 4:30pm para la programación de actividades de actividad física y actividad musicalizada.</v>
      </c>
      <c r="N944" s="55">
        <f ca="1">IFERROR(__xludf.DUMMYFUNCTION("""COMPUTED_VALUE"""),44894)</f>
        <v>44894</v>
      </c>
      <c r="O944" s="25" t="str">
        <f t="shared" ca="1" si="0"/>
        <v>Secretaría Distrital de Integración Social</v>
      </c>
      <c r="P944" s="25" t="str">
        <f t="shared" si="2"/>
        <v/>
      </c>
      <c r="Q944" s="25" t="str">
        <f ca="1">IFERROR(__xludf.DUMMYFUNCTION("""COMPUTED_VALUE"""),"Corto plazo")</f>
        <v>Corto plazo</v>
      </c>
      <c r="R944" s="25"/>
      <c r="S944" s="55"/>
      <c r="T944" s="56"/>
      <c r="U944" s="25"/>
      <c r="V944" s="25"/>
      <c r="W944" s="25"/>
      <c r="X944" s="25"/>
      <c r="Y944" s="25"/>
      <c r="Z944" s="25"/>
    </row>
    <row r="945" spans="1:26" ht="52.5" customHeight="1" x14ac:dyDescent="0.25">
      <c r="A945" s="25" t="str">
        <f ca="1">IFERROR(__xludf.DUMMYFUNCTION("""COMPUTED_VALUE"""),"Integ43")</f>
        <v>Integ43</v>
      </c>
      <c r="B945" s="25" t="str">
        <f ca="1">IFERROR(__xludf.DUMMYFUNCTION("""COMPUTED_VALUE"""),"Despachando desde la Secretaría distrital de integración social")</f>
        <v>Despachando desde la Secretaría distrital de integración social</v>
      </c>
      <c r="C945" s="55">
        <f ca="1">IFERROR(__xludf.DUMMYFUNCTION("""COMPUTED_VALUE"""),44062)</f>
        <v>44062</v>
      </c>
      <c r="D945" s="25" t="str">
        <f ca="1">IFERROR(__xludf.DUMMYFUNCTION("""COMPUTED_VALUE"""),"Integración_Social")</f>
        <v>Integración_Social</v>
      </c>
      <c r="E945" s="25" t="str">
        <f ca="1">IFERROR(__xludf.DUMMYFUNCTION("""COMPUTED_VALUE"""),"Secretaría Distrital de Integración Social")</f>
        <v>Secretaría Distrital de Integración Social</v>
      </c>
      <c r="F945" s="25" t="str">
        <f ca="1">IFERROR(__xludf.DUMMYFUNCTION("""COMPUTED_VALUE"""),"Organizar el diplomado certificado para los agentes comunitarios, con alguna universidad.")</f>
        <v>Organizar el diplomado certificado para los agentes comunitarios, con alguna universidad.</v>
      </c>
      <c r="G945" s="25" t="str">
        <f ca="1">IFERROR(__xludf.DUMMYFUNCTION("""COMPUTED_VALUE"""),"99. Distrito")</f>
        <v>99. Distrito</v>
      </c>
      <c r="H945" s="55">
        <f ca="1">IFERROR(__xludf.DUMMYFUNCTION("""COMPUTED_VALUE"""),44092)</f>
        <v>44092</v>
      </c>
      <c r="I945" s="25"/>
      <c r="J945" s="55" t="str">
        <f ca="1">IFERROR(__xludf.DUMMYFUNCTION("""COMPUTED_VALUE"""),"Alta")</f>
        <v>Alta</v>
      </c>
      <c r="K945" s="25">
        <f ca="1">IFERROR(__xludf.DUMMYFUNCTION("""COMPUTED_VALUE"""),30)</f>
        <v>30</v>
      </c>
      <c r="L945" s="62"/>
      <c r="M945" s="25" t="str">
        <f ca="1">IFERROR(__xludf.DUMMYFUNCTION("""COMPUTED_VALUE"""),"Durante el segundo semestre de la vigencia 2020 se implementa la Escuela Territorial como una herramienta de gestión del conocimiento a 86 servidores y servidoras de las Subdirecciones Locales, fortaleciendo sus capacidades a través de orientaciones técni"&amp;"cas y operativas relacionadas con la implementación de los proyectos, servicios y políticas sociales de la Secretaría de Integración Social. El proceso se desarrolló en 4 sesiones con una intensidad horaria de 20 horas. En este marco, se elaboró un docume"&amp;"nto de necesidades de formación y actualización técnica en las Subdirecciones Locales con el objetivo de orientar los posibles contenidos temáticos del Diplomado para la vigencia 2021.
 En el mes de diciembre de 2020 se realizó una reunión con el IDPAC pa"&amp;"ra articular acciones y revisar los procesos de formación que están desarrollando y generar una alianza para la implementación del Diplomado con los servidores públicos y comunidad.
 Se ha avanzado en el inicio del proceso contractual, la elaboración de"&amp;"l estudio previo y la definición con las áreas técnicas de la SDIS que orienten la necesidad de temas que nutran el diplomado.
Agosto 17/21 En la actualidad ya se encuentra publicado en la plataforma de secop proceso contractual para escoger la universid"&amp;"ad que realizará el Diplomado Etis 
Proceso de selección abreviada de menor cuantía 
SDIS-SAMC-007-2021
https://community.secop.gov.co/Public/Tendering/ContractNoticePhases/View?PPI=CO1.PPI.14457439&amp;isFromPublicArea=True&amp;isModal=False
Objeto: PRESTAR "&amp;"LOS SERVICIOS PARA LA PUESTA EN MARCHA DEL DIPLOMADO E.T.I.S. (ESTRATEGIA TERRITORIAL INTEGRAL SOCIAL) CON EL FIN DE APORTAR MARCOS CONCEPTUALES, METODOLÓGICOS Y OPERATIVOS DEL ABORDAJE TERRITORIAL EN EL DISTRITO.
Plazo para la manifestación de interés e"&amp;"n participar: Desde el 18 de agosto hasta el 20 de agosto de 2021
NOTA: QUIENES NO MANIFIESTEN INTERÉS EN PARTICIPAR EN EL PROCESO, QUEDARÁN EXCLUIDOS DE PARTICIPAR.
")</f>
        <v xml:space="preserve">Durante el segundo semestre de la vigencia 2020 se implementa la Escuela Territorial como una herramienta de gestión del conocimiento a 86 servidores y servidoras de las Subdirecciones Locales, fortaleciendo sus capacidades a través de orientaciones técnicas y operativas relacionadas con la implementación de los proyectos, servicios y políticas sociales de la Secretaría de Integración Social. El proceso se desarrolló en 4 sesiones con una intensidad horaria de 20 horas. En este marco, se elaboró un documento de necesidades de formación y actualización técnica en las Subdirecciones Locales con el objetivo de orientar los posibles contenidos temáticos del Diplomado para la vigencia 2021.
 En el mes de diciembre de 2020 se realizó una reunión con el IDPAC para articular acciones y revisar los procesos de formación que están desarrollando y generar una alianza para la implementación del Diplomado con los servidores públicos y comunidad.
 Se ha avanzado en el inicio del proceso contractual, la elaboración del estudio previo y la definición con las áreas técnicas de la SDIS que orienten la necesidad de temas que nutran el diplomado.
Agosto 17/21 En la actualidad ya se encuentra publicado en la plataforma de secop proceso contractual para escoger la universidad que realizará el Diplomado Etis 
Proceso de selección abreviada de menor cuantía 
SDIS-SAMC-007-2021
https://community.secop.gov.co/Public/Tendering/ContractNoticePhases/View?PPI=CO1.PPI.14457439&amp;isFromPublicArea=True&amp;isModal=False
Objeto: PRESTAR LOS SERVICIOS PARA LA PUESTA EN MARCHA DEL DIPLOMADO E.T.I.S. (ESTRATEGIA TERRITORIAL INTEGRAL SOCIAL) CON EL FIN DE APORTAR MARCOS CONCEPTUALES, METODOLÓGICOS Y OPERATIVOS DEL ABORDAJE TERRITORIAL EN EL DISTRITO.
Plazo para la manifestación de interés en participar: Desde el 18 de agosto hasta el 20 de agosto de 2021
NOTA: QUIENES NO MANIFIESTEN INTERÉS EN PARTICIPAR EN EL PROCESO, QUEDARÁN EXCLUIDOS DE PARTICIPAR.
</v>
      </c>
      <c r="N945" s="55">
        <f ca="1">IFERROR(__xludf.DUMMYFUNCTION("""COMPUTED_VALUE"""),44927)</f>
        <v>44927</v>
      </c>
      <c r="O945" s="25" t="str">
        <f t="shared" ca="1" si="0"/>
        <v>Secretaría Distrital de Integración Social</v>
      </c>
      <c r="P945" s="25" t="str">
        <f t="shared" si="2"/>
        <v/>
      </c>
      <c r="Q945" s="25" t="str">
        <f ca="1">IFERROR(__xludf.DUMMYFUNCTION("""COMPUTED_VALUE"""),"Corto plazo")</f>
        <v>Corto plazo</v>
      </c>
      <c r="R945" s="25"/>
      <c r="S945" s="55"/>
      <c r="T945" s="56"/>
      <c r="U945" s="25"/>
      <c r="V945" s="25"/>
      <c r="W945" s="25"/>
      <c r="X945" s="25"/>
      <c r="Y945" s="25"/>
      <c r="Z945" s="25"/>
    </row>
    <row r="946" spans="1:26" ht="52.5" customHeight="1" x14ac:dyDescent="0.25">
      <c r="A946" s="25" t="str">
        <f ca="1">IFERROR(__xludf.DUMMYFUNCTION("""COMPUTED_VALUE"""),"Integ44")</f>
        <v>Integ44</v>
      </c>
      <c r="B946" s="25" t="str">
        <f ca="1">IFERROR(__xludf.DUMMYFUNCTION("""COMPUTED_VALUE"""),"Despachando desde la Secretaría distrital de integración social")</f>
        <v>Despachando desde la Secretaría distrital de integración social</v>
      </c>
      <c r="C946" s="55">
        <f ca="1">IFERROR(__xludf.DUMMYFUNCTION("""COMPUTED_VALUE"""),44062)</f>
        <v>44062</v>
      </c>
      <c r="D946" s="25" t="str">
        <f ca="1">IFERROR(__xludf.DUMMYFUNCTION("""COMPUTED_VALUE"""),"Integración_Social")</f>
        <v>Integración_Social</v>
      </c>
      <c r="E946" s="25" t="str">
        <f ca="1">IFERROR(__xludf.DUMMYFUNCTION("""COMPUTED_VALUE"""),"Secretaría Distrital de Integración Social")</f>
        <v>Secretaría Distrital de Integración Social</v>
      </c>
      <c r="F946" s="25" t="str">
        <f ca="1">IFERROR(__xludf.DUMMYFUNCTION("""COMPUTED_VALUE"""),"Diseñar dobles turnos en los jardines infantiles, para saber qué cantidad se inscriben y que cantidad de maestros se debe tener. Ejemplo clave, madres del sistema de cuidado y algunos, triple turno.")</f>
        <v>Diseñar dobles turnos en los jardines infantiles, para saber qué cantidad se inscriben y que cantidad de maestros se debe tener. Ejemplo clave, madres del sistema de cuidado y algunos, triple turno.</v>
      </c>
      <c r="G946" s="25" t="str">
        <f ca="1">IFERROR(__xludf.DUMMYFUNCTION("""COMPUTED_VALUE"""),"99. Distrito")</f>
        <v>99. Distrito</v>
      </c>
      <c r="H946" s="55">
        <f ca="1">IFERROR(__xludf.DUMMYFUNCTION("""COMPUTED_VALUE"""),44092)</f>
        <v>44092</v>
      </c>
      <c r="I946" s="25"/>
      <c r="J946" s="55" t="str">
        <f ca="1">IFERROR(__xludf.DUMMYFUNCTION("""COMPUTED_VALUE"""),"Alta")</f>
        <v>Alta</v>
      </c>
      <c r="K946" s="25">
        <f ca="1">IFERROR(__xludf.DUMMYFUNCTION("""COMPUTED_VALUE"""),30)</f>
        <v>30</v>
      </c>
      <c r="L946" s="62"/>
      <c r="M946" s="25" t="str">
        <f ca="1">IFERROR(__xludf.DUMMYFUNCTION("""COMPUTED_VALUE"""),"Se diseñaron horarios que amplían la atención desde las 6am. y hasta las 10 pm. en los jardines infantiles. 
 Actualmente, la Secretaría de Integración Social cuenta con 12 jardines infantiles nocturnos que operan en jornada alterna en predios de operac"&amp;"ión diurna, de los cuales 3 se encuentran atendiendo en el esquema de educación inicial en alternancia, en el marco de la normatividad vigente en las subdirecciones de kennedy (2) y Chapinero. 
 Se avanzó en la formulación de consulta permanente de inte"&amp;"reses y necesidades de las familias de las niñas y niños, que permita establecer de acuerdo con sus realidades sociales, culturales y económicas, nuevos horarios y ampliación de servicios de los jardines infantiles.")</f>
        <v>Se diseñaron horarios que amplían la atención desde las 6am. y hasta las 10 pm. en los jardines infantiles. 
 Actualmente, la Secretaría de Integración Social cuenta con 12 jardines infantiles nocturnos que operan en jornada alterna en predios de operación diurna, de los cuales 3 se encuentran atendiendo en el esquema de educación inicial en alternancia, en el marco de la normatividad vigente en las subdirecciones de kennedy (2) y Chapinero. 
 Se avanzó en la formulación de consulta permanente de intereses y necesidades de las familias de las niñas y niños, que permita establecer de acuerdo con sus realidades sociales, culturales y económicas, nuevos horarios y ampliación de servicios de los jardines infantiles.</v>
      </c>
      <c r="N946" s="55">
        <f ca="1">IFERROR(__xludf.DUMMYFUNCTION("""COMPUTED_VALUE"""),44927)</f>
        <v>44927</v>
      </c>
      <c r="O946" s="25" t="str">
        <f t="shared" ca="1" si="0"/>
        <v>Secretaría Distrital de Integración Social</v>
      </c>
      <c r="P946" s="25" t="str">
        <f t="shared" si="2"/>
        <v/>
      </c>
      <c r="Q946" s="25" t="str">
        <f ca="1">IFERROR(__xludf.DUMMYFUNCTION("""COMPUTED_VALUE"""),"Corto plazo")</f>
        <v>Corto plazo</v>
      </c>
      <c r="R946" s="25"/>
      <c r="S946" s="55"/>
      <c r="T946" s="56"/>
      <c r="U946" s="25"/>
      <c r="V946" s="25"/>
      <c r="W946" s="25"/>
      <c r="X946" s="25"/>
      <c r="Y946" s="25"/>
      <c r="Z946" s="25"/>
    </row>
    <row r="947" spans="1:26" ht="52.5" customHeight="1" x14ac:dyDescent="0.25">
      <c r="A947" s="25" t="str">
        <f ca="1">IFERROR(__xludf.DUMMYFUNCTION("""COMPUTED_VALUE"""),"Integ45")</f>
        <v>Integ45</v>
      </c>
      <c r="B947" s="25" t="str">
        <f ca="1">IFERROR(__xludf.DUMMYFUNCTION("""COMPUTED_VALUE"""),"Plan de carreteros, habitantes de calle y basuras")</f>
        <v>Plan de carreteros, habitantes de calle y basuras</v>
      </c>
      <c r="C947" s="55">
        <f ca="1">IFERROR(__xludf.DUMMYFUNCTION("""COMPUTED_VALUE"""),44620)</f>
        <v>44620</v>
      </c>
      <c r="D947" s="25" t="str">
        <f ca="1">IFERROR(__xludf.DUMMYFUNCTION("""COMPUTED_VALUE"""),"Integración_Social")</f>
        <v>Integración_Social</v>
      </c>
      <c r="E947" s="25" t="str">
        <f ca="1">IFERROR(__xludf.DUMMYFUNCTION("""COMPUTED_VALUE"""),"Secretaría Distrital de Integración Social")</f>
        <v>Secretaría Distrital de Integración Social</v>
      </c>
      <c r="F947" s="25" t="str">
        <f ca="1">IFERROR(__xludf.DUMMYFUNCTION("""COMPUTED_VALUE"""),"Los materiales para el escuadrón de la limpieza deben ser garantizados con recursos de SDIS e IDIPRON.")</f>
        <v>Los materiales para el escuadrón de la limpieza deben ser garantizados con recursos de SDIS e IDIPRON.</v>
      </c>
      <c r="G947" s="25" t="str">
        <f ca="1">IFERROR(__xludf.DUMMYFUNCTION("""COMPUTED_VALUE"""),"99. Distrito")</f>
        <v>99. Distrito</v>
      </c>
      <c r="H947" s="55">
        <f ca="1">IFERROR(__xludf.DUMMYFUNCTION("""COMPUTED_VALUE"""),44650)</f>
        <v>44650</v>
      </c>
      <c r="I947" s="25"/>
      <c r="J947" s="55" t="str">
        <f ca="1">IFERROR(__xludf.DUMMYFUNCTION("""COMPUTED_VALUE"""),"Alta")</f>
        <v>Alta</v>
      </c>
      <c r="K947" s="25">
        <f ca="1">IFERROR(__xludf.DUMMYFUNCTION("""COMPUTED_VALUE"""),30)</f>
        <v>30</v>
      </c>
      <c r="L947" s="62">
        <f ca="1">IFERROR(__xludf.DUMMYFUNCTION("""COMPUTED_VALUE"""),44722)</f>
        <v>44722</v>
      </c>
      <c r="M947" s="25" t="str">
        <f ca="1">IFERROR(__xludf.DUMMYFUNCTION("""COMPUTED_VALUE"""),"En relación a esta tarea, la SDIS, a través de la Subdirección para la Adultez, continua implementando la estrategia móvil de abordaje en calle, mediante la cual los equipos en calle recorren puntos criticos de la ciudad donde se ha identificado permanenc"&amp;"ia constante de habitantes de calle que generan malas prácticas al reciclar. Por lo tanto, se implementa una estrategia pedágogica territorial en el marco de la educación en calle que invita a mejorar esta actividad en aras de fortalecer la convivencia ci"&amp;"udadana. Actualmente, no se cuenta por plan de adquisiciones con recursos relacionados con la tarea especifica de limpiar las calles, por lo que el accionar se centra en el fortalecimiento de la sensibilización y abordaje pedagógico a la población en esta"&amp;" actividad.")</f>
        <v>En relación a esta tarea, la SDIS, a través de la Subdirección para la Adultez, continua implementando la estrategia móvil de abordaje en calle, mediante la cual los equipos en calle recorren puntos criticos de la ciudad donde se ha identificado permanencia constante de habitantes de calle que generan malas prácticas al reciclar. Por lo tanto, se implementa una estrategia pedágogica territorial en el marco de la educación en calle que invita a mejorar esta actividad en aras de fortalecer la convivencia ciudadana. Actualmente, no se cuenta por plan de adquisiciones con recursos relacionados con la tarea especifica de limpiar las calles, por lo que el accionar se centra en el fortalecimiento de la sensibilización y abordaje pedagógico a la población en esta actividad.</v>
      </c>
      <c r="N947" s="55">
        <f ca="1">IFERROR(__xludf.DUMMYFUNCTION("""COMPUTED_VALUE"""),44722)</f>
        <v>44722</v>
      </c>
      <c r="O947" s="25" t="str">
        <f t="shared" ca="1" si="0"/>
        <v>Secretaría Distrital de Integración Social</v>
      </c>
      <c r="P947" s="25" t="str">
        <f t="shared" si="2"/>
        <v/>
      </c>
      <c r="Q947" s="25" t="str">
        <f ca="1">IFERROR(__xludf.DUMMYFUNCTION("""COMPUTED_VALUE"""),"Corto plazo")</f>
        <v>Corto plazo</v>
      </c>
      <c r="R947" s="25"/>
      <c r="S947" s="55"/>
      <c r="T947" s="56"/>
      <c r="U947" s="25"/>
      <c r="V947" s="25"/>
      <c r="W947" s="25"/>
      <c r="X947" s="25"/>
      <c r="Y947" s="25"/>
      <c r="Z947" s="25"/>
    </row>
    <row r="948" spans="1:26" ht="52.5" customHeight="1" x14ac:dyDescent="0.25">
      <c r="A948" s="25" t="str">
        <f ca="1">IFERROR(__xludf.DUMMYFUNCTION("""COMPUTED_VALUE"""),"Integ46")</f>
        <v>Integ46</v>
      </c>
      <c r="B948" s="25" t="str">
        <f ca="1">IFERROR(__xludf.DUMMYFUNCTION("""COMPUTED_VALUE"""),"Plan de carreteros, habitantes de calle y basuras")</f>
        <v>Plan de carreteros, habitantes de calle y basuras</v>
      </c>
      <c r="C948" s="55">
        <f ca="1">IFERROR(__xludf.DUMMYFUNCTION("""COMPUTED_VALUE"""),44620)</f>
        <v>44620</v>
      </c>
      <c r="D948" s="25" t="str">
        <f ca="1">IFERROR(__xludf.DUMMYFUNCTION("""COMPUTED_VALUE"""),"Integración_Social")</f>
        <v>Integración_Social</v>
      </c>
      <c r="E948" s="25" t="str">
        <f ca="1">IFERROR(__xludf.DUMMYFUNCTION("""COMPUTED_VALUE"""),"Secretaría Distrital de Integración Social")</f>
        <v>Secretaría Distrital de Integración Social</v>
      </c>
      <c r="F948" s="25" t="str">
        <f ca="1">IFERROR(__xludf.DUMMYFUNCTION("""COMPUTED_VALUE"""),"Tener y entregar un kit de habitante de calle a quienes se declaren recicladores.  ")</f>
        <v xml:space="preserve">Tener y entregar un kit de habitante de calle a quienes se declaren recicladores.  </v>
      </c>
      <c r="G948" s="25" t="str">
        <f ca="1">IFERROR(__xludf.DUMMYFUNCTION("""COMPUTED_VALUE"""),"99. Distrito")</f>
        <v>99. Distrito</v>
      </c>
      <c r="H948" s="55">
        <f ca="1">IFERROR(__xludf.DUMMYFUNCTION("""COMPUTED_VALUE"""),44650)</f>
        <v>44650</v>
      </c>
      <c r="I948" s="25"/>
      <c r="J948" s="55" t="str">
        <f ca="1">IFERROR(__xludf.DUMMYFUNCTION("""COMPUTED_VALUE"""),"Alta")</f>
        <v>Alta</v>
      </c>
      <c r="K948" s="25">
        <f ca="1">IFERROR(__xludf.DUMMYFUNCTION("""COMPUTED_VALUE"""),30)</f>
        <v>30</v>
      </c>
      <c r="L948" s="62">
        <f ca="1">IFERROR(__xludf.DUMMYFUNCTION("""COMPUTED_VALUE"""),44708)</f>
        <v>44708</v>
      </c>
      <c r="M948" s="25" t="str">
        <f ca="1">IFERROR(__xludf.DUMMYFUNCTION("""COMPUTED_VALUE"""),"Los insumos para el cuidado e higiene personal de las y los habitantes de calle son entregados en el territorio en el marco de las jornadas de autocuidado y escucha activa por la Subdirección para la Adultez , y en las diferentes modalidades de atención c"&amp;"on los que cuenta la SDIS en el marco del servicio para la dignificación y resignificación del fenómeno de habitabiidad en calle, esto incluye a las personas habitantes de calle que son recicladores.")</f>
        <v>Los insumos para el cuidado e higiene personal de las y los habitantes de calle son entregados en el territorio en el marco de las jornadas de autocuidado y escucha activa por la Subdirección para la Adultez , y en las diferentes modalidades de atención con los que cuenta la SDIS en el marco del servicio para la dignificación y resignificación del fenómeno de habitabiidad en calle, esto incluye a las personas habitantes de calle que son recicladores.</v>
      </c>
      <c r="N948" s="55">
        <f ca="1">IFERROR(__xludf.DUMMYFUNCTION("""COMPUTED_VALUE"""),44708)</f>
        <v>44708</v>
      </c>
      <c r="O948" s="25" t="str">
        <f t="shared" ca="1" si="0"/>
        <v>Secretaría Distrital de Integración Social</v>
      </c>
      <c r="P948" s="25" t="str">
        <f t="shared" si="2"/>
        <v/>
      </c>
      <c r="Q948" s="25" t="str">
        <f ca="1">IFERROR(__xludf.DUMMYFUNCTION("""COMPUTED_VALUE"""),"Corto plazo")</f>
        <v>Corto plazo</v>
      </c>
      <c r="R948" s="25"/>
      <c r="S948" s="55"/>
      <c r="T948" s="56"/>
      <c r="U948" s="25"/>
      <c r="V948" s="25"/>
      <c r="W948" s="25"/>
      <c r="X948" s="25"/>
      <c r="Y948" s="25"/>
      <c r="Z948" s="25"/>
    </row>
    <row r="949" spans="1:26" ht="52.5" customHeight="1" x14ac:dyDescent="0.25">
      <c r="A949" s="25" t="str">
        <f ca="1">IFERROR(__xludf.DUMMYFUNCTION("""COMPUTED_VALUE"""),"Integ47")</f>
        <v>Integ47</v>
      </c>
      <c r="B949" s="25" t="str">
        <f ca="1">IFERROR(__xludf.DUMMYFUNCTION("""COMPUTED_VALUE"""),"Instalación Comisión Intersectorial para flujos migratorios mixtos")</f>
        <v>Instalación Comisión Intersectorial para flujos migratorios mixtos</v>
      </c>
      <c r="C949" s="55">
        <f ca="1">IFERROR(__xludf.DUMMYFUNCTION("""COMPUTED_VALUE"""),44649)</f>
        <v>44649</v>
      </c>
      <c r="D949" s="25" t="str">
        <f ca="1">IFERROR(__xludf.DUMMYFUNCTION("""COMPUTED_VALUE"""),"Integración_Social")</f>
        <v>Integración_Social</v>
      </c>
      <c r="E949" s="25" t="str">
        <f ca="1">IFERROR(__xludf.DUMMYFUNCTION("""COMPUTED_VALUE"""),"Secretaría Distrital de Integración Social")</f>
        <v>Secretaría Distrital de Integración Social</v>
      </c>
      <c r="F949" s="25" t="str">
        <f ca="1">IFERROR(__xludf.DUMMYFUNCTION("""COMPUTED_VALUE"""),"Poner en marcha las sesiones mensuales de la Comisión Intersectorial ")</f>
        <v xml:space="preserve">Poner en marcha las sesiones mensuales de la Comisión Intersectorial </v>
      </c>
      <c r="G949" s="25" t="str">
        <f ca="1">IFERROR(__xludf.DUMMYFUNCTION("""COMPUTED_VALUE"""),"99. Distrito")</f>
        <v>99. Distrito</v>
      </c>
      <c r="H949" s="55">
        <f ca="1">IFERROR(__xludf.DUMMYFUNCTION("""COMPUTED_VALUE"""),44679)</f>
        <v>44679</v>
      </c>
      <c r="I949" s="25"/>
      <c r="J949" s="55" t="str">
        <f ca="1">IFERROR(__xludf.DUMMYFUNCTION("""COMPUTED_VALUE"""),"Alta")</f>
        <v>Alta</v>
      </c>
      <c r="K949" s="25">
        <f ca="1">IFERROR(__xludf.DUMMYFUNCTION("""COMPUTED_VALUE"""),30)</f>
        <v>30</v>
      </c>
      <c r="L949" s="62">
        <f ca="1">IFERROR(__xludf.DUMMYFUNCTION("""COMPUTED_VALUE"""),44754)</f>
        <v>44754</v>
      </c>
      <c r="M949" s="25" t="str">
        <f ca="1">IFERROR(__xludf.DUMMYFUNCTION("""COMPUTED_VALUE"""),"Se realizó reunión con delegados el día 30 de Junio para la conformación de las Unidades Técnicas de Apoyo – UTAS y se da inicio el 02 de agosto de 2022.")</f>
        <v>Se realizó reunión con delegados el día 30 de Junio para la conformación de las Unidades Técnicas de Apoyo – UTAS y se da inicio el 02 de agosto de 2022.</v>
      </c>
      <c r="N949" s="55">
        <f ca="1">IFERROR(__xludf.DUMMYFUNCTION("""COMPUTED_VALUE"""),44754)</f>
        <v>44754</v>
      </c>
      <c r="O949" s="25" t="str">
        <f t="shared" ca="1" si="0"/>
        <v>Secretaría Distrital de Integración Social</v>
      </c>
      <c r="P949" s="25" t="str">
        <f t="shared" si="2"/>
        <v/>
      </c>
      <c r="Q949" s="25" t="str">
        <f ca="1">IFERROR(__xludf.DUMMYFUNCTION("""COMPUTED_VALUE"""),"Corto plazo")</f>
        <v>Corto plazo</v>
      </c>
      <c r="R949" s="25"/>
      <c r="S949" s="55"/>
      <c r="T949" s="56"/>
      <c r="U949" s="25"/>
      <c r="V949" s="25"/>
      <c r="W949" s="25"/>
      <c r="X949" s="25"/>
      <c r="Y949" s="25"/>
      <c r="Z949" s="25"/>
    </row>
    <row r="950" spans="1:26" ht="52.5" customHeight="1" x14ac:dyDescent="0.25">
      <c r="A950" s="25" t="str">
        <f ca="1">IFERROR(__xludf.DUMMYFUNCTION("""COMPUTED_VALUE"""),"Integ48")</f>
        <v>Integ48</v>
      </c>
      <c r="B950" s="25" t="str">
        <f ca="1">IFERROR(__xludf.DUMMYFUNCTION("""COMPUTED_VALUE"""),"Consejo consultivo de niñas, niños y adolescentes")</f>
        <v>Consejo consultivo de niñas, niños y adolescentes</v>
      </c>
      <c r="C950" s="55">
        <f ca="1">IFERROR(__xludf.DUMMYFUNCTION("""COMPUTED_VALUE"""),44672)</f>
        <v>44672</v>
      </c>
      <c r="D950" s="25" t="str">
        <f ca="1">IFERROR(__xludf.DUMMYFUNCTION("""COMPUTED_VALUE"""),"Integración_Social")</f>
        <v>Integración_Social</v>
      </c>
      <c r="E950" s="25" t="str">
        <f ca="1">IFERROR(__xludf.DUMMYFUNCTION("""COMPUTED_VALUE"""),"Secretaría Distrital de Integración Social")</f>
        <v>Secretaría Distrital de Integración Social</v>
      </c>
      <c r="F950" s="25" t="str">
        <f ca="1">IFERROR(__xludf.DUMMYFUNCTION("""COMPUTED_VALUE"""),"Hacer un desfile y la presentación del  Consejo Consultivo de Niñas, Niños y Adolescentes con el festival de Es Cultura Local.")</f>
        <v>Hacer un desfile y la presentación del  Consejo Consultivo de Niñas, Niños y Adolescentes con el festival de Es Cultura Local.</v>
      </c>
      <c r="G950" s="25" t="str">
        <f ca="1">IFERROR(__xludf.DUMMYFUNCTION("""COMPUTED_VALUE"""),"99. Distrito")</f>
        <v>99. Distrito</v>
      </c>
      <c r="H950" s="55">
        <f ca="1">IFERROR(__xludf.DUMMYFUNCTION("""COMPUTED_VALUE"""),44906)</f>
        <v>44906</v>
      </c>
      <c r="I950" s="25"/>
      <c r="J950" s="55" t="str">
        <f ca="1">IFERROR(__xludf.DUMMYFUNCTION("""COMPUTED_VALUE"""),"Baja")</f>
        <v>Baja</v>
      </c>
      <c r="K950" s="25">
        <f ca="1">IFERROR(__xludf.DUMMYFUNCTION("""COMPUTED_VALUE"""),234)</f>
        <v>234</v>
      </c>
      <c r="L950" s="62">
        <f ca="1">IFERROR(__xludf.DUMMYFUNCTION("""COMPUTED_VALUE"""),44946)</f>
        <v>44946</v>
      </c>
      <c r="M950" s="25" t="str">
        <f ca="1">IFERROR(__xludf.DUMMYFUNCTION("""COMPUTED_VALUE"""),"""Cumpliendo con el compromiso, la SDCRD, la SDIS, Consejeras y Consejeros locales, se articularon para visibilizar las iniciativas que realizaron las niñas, niños y adolescentes durante el 2022.
Es así como, del 15 al 29 de diciembre del 2022, en la Bib"&amp;"lioteca Pública El Tintal, se llevó a cabo una muestra - exposición gráfica con las 20 iniciativas de los Consejos Locales de Niñas, Niños y Adolescentes.
Se resalta la visita de varios consejeros y consejeras de diferentes localidades con sus familias y"&amp;" el interés de sus pares por conocer acerca de estas iniciatovas ya que representan temas del interés particular de las infancias y las adolescencias, tales como: la protección animal, el medio ambiente, la seguridad en los entornos escolares y públicos, "&amp;"el juego, entre otros.
Las 20 iniciativas expuestas fueron:
USAQUÉN: cuidado del medio ambiente. Te cuidas y me cuido
CHAPINERO: conviviendo con los animales
SANTA FE: no al maltrato animal
SAN CRISTÓBAL: guardianes del territorio
USME: Bonsa: usmeca
T"&amp;"UNJUELITO: cuidando lo público estaremos unidos y en paz
BOSA: En 4 patas por Bosa
KENNEDY: Recuperando nuestros parques de Kennedy
FONTIBÓN: Cuidémonos con Cultura Ciudadana
ENGATIVÁ : Seguridad en los parques de Engativá
SUBA: Cuidemos el medio ambiente"&amp;" en nuestra localidad de Suba
BARRIOS UNIDOS: Todos en contra del Bullying
TEUSAQUILLO: Micrositio CCLONNA-PLAY
LOS MÁRTIRES: Prevengo y actúo con amor en la Localidad de Los Mártires
ANTONIO NARIÑO: Juntémonos para crear una localidad más sostenible y se"&amp;"gura
PUENTE ARANDA: Patitas a mil por Puente Aranda
LA CANDELARIA: Por una mejor seguridad en los lugares de nuestra Candelaria
RAFAEL URIBE URIBE: Parques por el derecho al juego
CIUDAD BOLÍVAR: Campaña por el ambiente y la protección de los animales
SUM"&amp;"APAZ: Agua, vida y paz en Sumapaz.
Así se da cumplimiento al compromiso pactado entre la SDIS con los CCLONNA y la SDCRD. """)</f>
        <v>"Cumpliendo con el compromiso, la SDCRD, la SDIS, Consejeras y Consejeros locales, se articularon para visibilizar las iniciativas que realizaron las niñas, niños y adolescentes durante el 2022.
Es así como, del 15 al 29 de diciembre del 2022, en la Biblioteca Pública El Tintal, se llevó a cabo una muestra - exposición gráfica con las 20 iniciativas de los Consejos Locales de Niñas, Niños y Adolescentes.
Se resalta la visita de varios consejeros y consejeras de diferentes localidades con sus familias y el interés de sus pares por conocer acerca de estas iniciatovas ya que representan temas del interés particular de las infancias y las adolescencias, tales como: la protección animal, el medio ambiente, la seguridad en los entornos escolares y públicos, el juego, entre otros.
Las 20 iniciativas expuestas fueron:
USAQUÉN: cuidado del medio ambiente. Te cuidas y me cuido
CHAPINERO: conviviendo con los animales
SANTA FE: no al maltrato animal
SAN CRISTÓBAL: guardianes del territorio
USME: Bonsa: usmeca
TUNJUELITO: cuidando lo público estaremos unidos y en paz
BOSA: En 4 patas por Bosa
KENNEDY: Recuperando nuestros parques de Kennedy
FONTIBÓN: Cuidémonos con Cultura Ciudadana
ENGATIVÁ : Seguridad en los parques de Engativá
SUBA: Cuidemos el medio ambiente en nuestra localidad de Suba
BARRIOS UNIDOS: Todos en contra del Bullying
TEUSAQUILLO: Micrositio CCLONNA-PLAY
LOS MÁRTIRES: Prevengo y actúo con amor en la Localidad de Los Mártires
ANTONIO NARIÑO: Juntémonos para crear una localidad más sostenible y segura
PUENTE ARANDA: Patitas a mil por Puente Aranda
LA CANDELARIA: Por una mejor seguridad en los lugares de nuestra Candelaria
RAFAEL URIBE URIBE: Parques por el derecho al juego
CIUDAD BOLÍVAR: Campaña por el ambiente y la protección de los animales
SUMAPAZ: Agua, vida y paz en Sumapaz.
Así se da cumplimiento al compromiso pactado entre la SDIS con los CCLONNA y la SDCRD. "</v>
      </c>
      <c r="N950" s="55">
        <f ca="1">IFERROR(__xludf.DUMMYFUNCTION("""COMPUTED_VALUE"""),44924)</f>
        <v>44924</v>
      </c>
      <c r="O950" s="25" t="str">
        <f t="shared" ca="1" si="0"/>
        <v>Secretaría Distrital de Integración Social</v>
      </c>
      <c r="P950" s="25" t="str">
        <f t="shared" si="2"/>
        <v/>
      </c>
      <c r="Q950" s="25" t="str">
        <f ca="1">IFERROR(__xludf.DUMMYFUNCTION("""COMPUTED_VALUE"""),"Largo plazo")</f>
        <v>Largo plazo</v>
      </c>
      <c r="R950" s="25"/>
      <c r="S950" s="55"/>
      <c r="T950" s="56"/>
      <c r="U950" s="25"/>
      <c r="V950" s="25"/>
      <c r="W950" s="25"/>
      <c r="X950" s="25"/>
      <c r="Y950" s="25"/>
      <c r="Z950" s="25"/>
    </row>
    <row r="951" spans="1:26" ht="52.5" customHeight="1" x14ac:dyDescent="0.25">
      <c r="A951" s="25" t="str">
        <f ca="1">IFERROR(__xludf.DUMMYFUNCTION("""COMPUTED_VALUE"""),"Integ49")</f>
        <v>Integ49</v>
      </c>
      <c r="B951" s="25" t="str">
        <f ca="1">IFERROR(__xludf.DUMMYFUNCTION("""COMPUTED_VALUE"""),"Consejo consultivo de niñas, niños y adolescentes")</f>
        <v>Consejo consultivo de niñas, niños y adolescentes</v>
      </c>
      <c r="C951" s="55">
        <f ca="1">IFERROR(__xludf.DUMMYFUNCTION("""COMPUTED_VALUE"""),44672)</f>
        <v>44672</v>
      </c>
      <c r="D951" s="25" t="str">
        <f ca="1">IFERROR(__xludf.DUMMYFUNCTION("""COMPUTED_VALUE"""),"Integración_Social")</f>
        <v>Integración_Social</v>
      </c>
      <c r="E951" s="25" t="str">
        <f ca="1">IFERROR(__xludf.DUMMYFUNCTION("""COMPUTED_VALUE"""),"Secretaría Distrital de Integración Social")</f>
        <v>Secretaría Distrital de Integración Social</v>
      </c>
      <c r="F951" s="25" t="str">
        <f ca="1">IFERROR(__xludf.DUMMYFUNCTION("""COMPUTED_VALUE"""),"1. Refrendar el compromiso que los delegados de cada entidad DEBEN asistir al Consejo Consultivo de Niñas, Niños y Adolescentes local. 
2. En cada Consejo Consultivo de Niñas, Niños y Adolescentes se informe la fecha y qué temas va a tratar para que se as"&amp;"ista con los delegados de las entidades pertinentes.")</f>
        <v>1. Refrendar el compromiso que los delegados de cada entidad DEBEN asistir al Consejo Consultivo de Niñas, Niños y Adolescentes local. 
2. En cada Consejo Consultivo de Niñas, Niños y Adolescentes se informe la fecha y qué temas va a tratar para que se asista con los delegados de las entidades pertinentes.</v>
      </c>
      <c r="G951" s="25" t="str">
        <f ca="1">IFERROR(__xludf.DUMMYFUNCTION("""COMPUTED_VALUE"""),"99. Distrito")</f>
        <v>99. Distrito</v>
      </c>
      <c r="H951" s="55">
        <f ca="1">IFERROR(__xludf.DUMMYFUNCTION("""COMPUTED_VALUE"""),44702)</f>
        <v>44702</v>
      </c>
      <c r="I951" s="25"/>
      <c r="J951" s="55" t="str">
        <f ca="1">IFERROR(__xludf.DUMMYFUNCTION("""COMPUTED_VALUE"""),"Alta")</f>
        <v>Alta</v>
      </c>
      <c r="K951" s="25">
        <f ca="1">IFERROR(__xludf.DUMMYFUNCTION("""COMPUTED_VALUE"""),30)</f>
        <v>30</v>
      </c>
      <c r="L951" s="62">
        <f ca="1">IFERROR(__xludf.DUMMYFUNCTION("""COMPUTED_VALUE"""),44770)</f>
        <v>44770</v>
      </c>
      <c r="M951" s="25" t="str">
        <f ca="1">IFERROR(__xludf.DUMMYFUNCTION("""COMPUTED_VALUE"""),"Como secretaría técnica del Consejo Consultivo de Niños, Niñas y Adolescentes se continúa enviando la convocatoria a las sesiones, a cada uno de los respresentantes de los sectores parte del Decreto 121 de 2012. En varias localidades se ha sumado el llama"&amp;"do por parte del alcalde local (como presidente) y por los subdirectores locales de la SLIS (como secretarios de la instancia) para fortalecer la participación de los sectores en las sesiones. 
 Adicionalmente, el equipo de Participación Infanitl y Movili"&amp;"zación Social de la Subdirección para la Infancia realiza la convocatoria en los Comités Operativos Locales de Niños, Niñas y Adolescentes de cada localidad.")</f>
        <v>Como secretaría técnica del Consejo Consultivo de Niños, Niñas y Adolescentes se continúa enviando la convocatoria a las sesiones, a cada uno de los respresentantes de los sectores parte del Decreto 121 de 2012. En varias localidades se ha sumado el llamado por parte del alcalde local (como presidente) y por los subdirectores locales de la SLIS (como secretarios de la instancia) para fortalecer la participación de los sectores en las sesiones. 
 Adicionalmente, el equipo de Participación Infanitl y Movilización Social de la Subdirección para la Infancia realiza la convocatoria en los Comités Operativos Locales de Niños, Niñas y Adolescentes de cada localidad.</v>
      </c>
      <c r="N951" s="55">
        <f ca="1">IFERROR(__xludf.DUMMYFUNCTION("""COMPUTED_VALUE"""),44770)</f>
        <v>44770</v>
      </c>
      <c r="O951" s="25" t="str">
        <f t="shared" ca="1" si="0"/>
        <v>Secretaría Distrital de Integración Social</v>
      </c>
      <c r="P951" s="25" t="str">
        <f t="shared" si="2"/>
        <v/>
      </c>
      <c r="Q951" s="25" t="str">
        <f ca="1">IFERROR(__xludf.DUMMYFUNCTION("""COMPUTED_VALUE"""),"Corto plazo")</f>
        <v>Corto plazo</v>
      </c>
      <c r="R951" s="25"/>
      <c r="S951" s="55"/>
      <c r="T951" s="56"/>
      <c r="U951" s="25"/>
      <c r="V951" s="25"/>
      <c r="W951" s="25"/>
      <c r="X951" s="25"/>
      <c r="Y951" s="25"/>
      <c r="Z951" s="25"/>
    </row>
    <row r="952" spans="1:26" ht="52.5" customHeight="1" x14ac:dyDescent="0.25">
      <c r="A952" s="25" t="str">
        <f ca="1">IFERROR(__xludf.DUMMYFUNCTION("""COMPUTED_VALUE"""),"Integ50")</f>
        <v>Integ50</v>
      </c>
      <c r="B952" s="25" t="str">
        <f ca="1">IFERROR(__xludf.DUMMYFUNCTION("""COMPUTED_VALUE"""),"Consejo consultivo de niñas, niños y adolescentes")</f>
        <v>Consejo consultivo de niñas, niños y adolescentes</v>
      </c>
      <c r="C952" s="55">
        <f ca="1">IFERROR(__xludf.DUMMYFUNCTION("""COMPUTED_VALUE"""),44672)</f>
        <v>44672</v>
      </c>
      <c r="D952" s="25" t="str">
        <f ca="1">IFERROR(__xludf.DUMMYFUNCTION("""COMPUTED_VALUE"""),"Integración_Social")</f>
        <v>Integración_Social</v>
      </c>
      <c r="E952" s="25" t="str">
        <f ca="1">IFERROR(__xludf.DUMMYFUNCTION("""COMPUTED_VALUE"""),"Secretaría Distrital de Integración Social")</f>
        <v>Secretaría Distrital de Integración Social</v>
      </c>
      <c r="F952" s="25" t="str">
        <f ca="1">IFERROR(__xludf.DUMMYFUNCTION("""COMPUTED_VALUE"""),"Hacer una gran celebración del día de los niños y niñas a finales de abril y acordar cómo hacer la jornada con la SED y la SCRD (quienes ya tienen una actividad) y considerar si se debe hacer otra jornada en el segundo semestre.")</f>
        <v>Hacer una gran celebración del día de los niños y niñas a finales de abril y acordar cómo hacer la jornada con la SED y la SCRD (quienes ya tienen una actividad) y considerar si se debe hacer otra jornada en el segundo semestre.</v>
      </c>
      <c r="G952" s="25" t="str">
        <f ca="1">IFERROR(__xludf.DUMMYFUNCTION("""COMPUTED_VALUE"""),"99. Distrito")</f>
        <v>99. Distrito</v>
      </c>
      <c r="H952" s="55">
        <f ca="1">IFERROR(__xludf.DUMMYFUNCTION("""COMPUTED_VALUE"""),44702)</f>
        <v>44702</v>
      </c>
      <c r="I952" s="25"/>
      <c r="J952" s="55" t="str">
        <f ca="1">IFERROR(__xludf.DUMMYFUNCTION("""COMPUTED_VALUE"""),"Alta")</f>
        <v>Alta</v>
      </c>
      <c r="K952" s="25">
        <f ca="1">IFERROR(__xludf.DUMMYFUNCTION("""COMPUTED_VALUE"""),30)</f>
        <v>30</v>
      </c>
      <c r="L952" s="62">
        <f ca="1">IFERROR(__xludf.DUMMYFUNCTION("""COMPUTED_VALUE"""),44848)</f>
        <v>44848</v>
      </c>
      <c r="M952" s="25"/>
      <c r="N952" s="55">
        <f ca="1">IFERROR(__xludf.DUMMYFUNCTION("""COMPUTED_VALUE"""),44848)</f>
        <v>44848</v>
      </c>
      <c r="O952" s="25" t="str">
        <f t="shared" ca="1" si="0"/>
        <v>Secretaría Distrital de Integración Social</v>
      </c>
      <c r="P952" s="25" t="str">
        <f t="shared" si="2"/>
        <v/>
      </c>
      <c r="Q952" s="25" t="str">
        <f ca="1">IFERROR(__xludf.DUMMYFUNCTION("""COMPUTED_VALUE"""),"Corto plazo")</f>
        <v>Corto plazo</v>
      </c>
      <c r="R952" s="25"/>
      <c r="S952" s="55"/>
      <c r="T952" s="56"/>
      <c r="U952" s="25"/>
      <c r="V952" s="25"/>
      <c r="W952" s="25"/>
      <c r="X952" s="25"/>
      <c r="Y952" s="25"/>
      <c r="Z952" s="25"/>
    </row>
    <row r="953" spans="1:26" ht="52.5" customHeight="1" x14ac:dyDescent="0.25">
      <c r="A953" s="25" t="str">
        <f ca="1">IFERROR(__xludf.DUMMYFUNCTION("""COMPUTED_VALUE"""),"Integ51")</f>
        <v>Integ51</v>
      </c>
      <c r="B953" s="25" t="str">
        <f ca="1">IFERROR(__xludf.DUMMYFUNCTION("""COMPUTED_VALUE"""),"Consejo Distrital de Política Social")</f>
        <v>Consejo Distrital de Política Social</v>
      </c>
      <c r="C953" s="55">
        <f ca="1">IFERROR(__xludf.DUMMYFUNCTION("""COMPUTED_VALUE"""),44685)</f>
        <v>44685</v>
      </c>
      <c r="D953" s="25" t="str">
        <f ca="1">IFERROR(__xludf.DUMMYFUNCTION("""COMPUTED_VALUE"""),"Integración_Social")</f>
        <v>Integración_Social</v>
      </c>
      <c r="E953" s="25" t="str">
        <f ca="1">IFERROR(__xludf.DUMMYFUNCTION("""COMPUTED_VALUE"""),"Secretaría Distrital de Integración Social")</f>
        <v>Secretaría Distrital de Integración Social</v>
      </c>
      <c r="F953" s="25" t="str">
        <f ca="1">IFERROR(__xludf.DUMMYFUNCTION("""COMPUTED_VALUE"""),"Hacer una reunión con los consejeros de los consejos consultivos para socializar el impacto de los resultados de la evaluación de la SDP, sobre cómo los programas inciden en el IPM.")</f>
        <v>Hacer una reunión con los consejeros de los consejos consultivos para socializar el impacto de los resultados de la evaluación de la SDP, sobre cómo los programas inciden en el IPM.</v>
      </c>
      <c r="G953" s="25" t="str">
        <f ca="1">IFERROR(__xludf.DUMMYFUNCTION("""COMPUTED_VALUE"""),"99. Distrito")</f>
        <v>99. Distrito</v>
      </c>
      <c r="H953" s="55">
        <f ca="1">IFERROR(__xludf.DUMMYFUNCTION("""COMPUTED_VALUE"""),44715)</f>
        <v>44715</v>
      </c>
      <c r="I953" s="25"/>
      <c r="J953" s="55" t="str">
        <f ca="1">IFERROR(__xludf.DUMMYFUNCTION("""COMPUTED_VALUE"""),"Alta")</f>
        <v>Alta</v>
      </c>
      <c r="K953" s="25">
        <f ca="1">IFERROR(__xludf.DUMMYFUNCTION("""COMPUTED_VALUE"""),30)</f>
        <v>30</v>
      </c>
      <c r="L953" s="62">
        <f ca="1">IFERROR(__xludf.DUMMYFUNCTION("""COMPUTED_VALUE"""),44848)</f>
        <v>44848</v>
      </c>
      <c r="M953" s="25"/>
      <c r="N953" s="55">
        <f ca="1">IFERROR(__xludf.DUMMYFUNCTION("""COMPUTED_VALUE"""),44848)</f>
        <v>44848</v>
      </c>
      <c r="O953" s="25" t="str">
        <f t="shared" ca="1" si="0"/>
        <v>Secretaría Distrital de Integración Social</v>
      </c>
      <c r="P953" s="25" t="str">
        <f t="shared" si="2"/>
        <v/>
      </c>
      <c r="Q953" s="25" t="str">
        <f ca="1">IFERROR(__xludf.DUMMYFUNCTION("""COMPUTED_VALUE"""),"Corto plazo")</f>
        <v>Corto plazo</v>
      </c>
      <c r="R953" s="25"/>
      <c r="S953" s="55"/>
      <c r="T953" s="56"/>
      <c r="U953" s="25"/>
      <c r="V953" s="25"/>
      <c r="W953" s="25"/>
      <c r="X953" s="25"/>
      <c r="Y953" s="25"/>
      <c r="Z953" s="25"/>
    </row>
    <row r="954" spans="1:26" ht="52.5" customHeight="1" x14ac:dyDescent="0.25">
      <c r="A954" s="25" t="str">
        <f ca="1">IFERROR(__xludf.DUMMYFUNCTION("""COMPUTED_VALUE"""),"Integ52")</f>
        <v>Integ52</v>
      </c>
      <c r="B954" s="25" t="str">
        <f ca="1">IFERROR(__xludf.DUMMYFUNCTION("""COMPUTED_VALUE"""),"Presentación resultados de pobreza")</f>
        <v>Presentación resultados de pobreza</v>
      </c>
      <c r="C954" s="55">
        <f ca="1">IFERROR(__xludf.DUMMYFUNCTION("""COMPUTED_VALUE"""),44707)</f>
        <v>44707</v>
      </c>
      <c r="D954" s="25" t="str">
        <f ca="1">IFERROR(__xludf.DUMMYFUNCTION("""COMPUTED_VALUE"""),"Integración_Social")</f>
        <v>Integración_Social</v>
      </c>
      <c r="E954" s="25" t="str">
        <f ca="1">IFERROR(__xludf.DUMMYFUNCTION("""COMPUTED_VALUE"""),"Secretaría Distrital de Integración Social")</f>
        <v>Secretaría Distrital de Integración Social</v>
      </c>
      <c r="F954" s="25" t="str">
        <f ca="1">IFERROR(__xludf.DUMMYFUNCTION("""COMPUTED_VALUE"""),"A final de año se debe tener, cruce de persona por persona y hogar por hogar entre los programas sociales, ingreso mínimo garantizado y ayudas nacionales, con el fin de identificar con documento de identificación a quien se le está brindando ayudas.")</f>
        <v>A final de año se debe tener, cruce de persona por persona y hogar por hogar entre los programas sociales, ingreso mínimo garantizado y ayudas nacionales, con el fin de identificar con documento de identificación a quien se le está brindando ayudas.</v>
      </c>
      <c r="G954" s="25" t="str">
        <f ca="1">IFERROR(__xludf.DUMMYFUNCTION("""COMPUTED_VALUE"""),"99. Distrito")</f>
        <v>99. Distrito</v>
      </c>
      <c r="H954" s="55">
        <f ca="1">IFERROR(__xludf.DUMMYFUNCTION("""COMPUTED_VALUE"""),44737)</f>
        <v>44737</v>
      </c>
      <c r="I954" s="25"/>
      <c r="J954" s="55" t="str">
        <f ca="1">IFERROR(__xludf.DUMMYFUNCTION("""COMPUTED_VALUE"""),"Alta")</f>
        <v>Alta</v>
      </c>
      <c r="K954" s="25">
        <f ca="1">IFERROR(__xludf.DUMMYFUNCTION("""COMPUTED_VALUE"""),30)</f>
        <v>30</v>
      </c>
      <c r="L954" s="62">
        <f ca="1">IFERROR(__xludf.DUMMYFUNCTION("""COMPUTED_VALUE"""),44895)</f>
        <v>44895</v>
      </c>
      <c r="M954" s="25" t="str">
        <f ca="1">IFERROR(__xludf.DUMMYFUNCTION("""COMPUTED_VALUE"""),"Se realizó en el mes de octubre el cruce entre los servicios de la SDIS registrados en SIRBE y los hogares beneficiados de TMO incluidos en base maestra, obtebiebdo l,os siguie ntes resultados:
1. 26.626 personas unicas estan siendo atendidas en los setvi"&amp;"cios de la SDIS, fueron dispersadas para TMO y estan clasificadas en SISBEN IV
2. 223.768 personas unicas  estan siendo atendidas en los setvicios de la SDIS, estan clasificadas en SISBEN IV pero no fueorn dispersadas para TMO
")</f>
        <v xml:space="preserve">Se realizó en el mes de octubre el cruce entre los servicios de la SDIS registrados en SIRBE y los hogares beneficiados de TMO incluidos en base maestra, obtebiebdo l,os siguie ntes resultados:
1. 26.626 personas unicas estan siendo atendidas en los setvicios de la SDIS, fueron dispersadas para TMO y estan clasificadas en SISBEN IV
2. 223.768 personas unicas  estan siendo atendidas en los setvicios de la SDIS, estan clasificadas en SISBEN IV pero no fueorn dispersadas para TMO
</v>
      </c>
      <c r="N954" s="55">
        <f ca="1">IFERROR(__xludf.DUMMYFUNCTION("""COMPUTED_VALUE"""),44895)</f>
        <v>44895</v>
      </c>
      <c r="O954" s="25" t="str">
        <f t="shared" ca="1" si="0"/>
        <v>Secretaría Distrital de Integración Social</v>
      </c>
      <c r="P954" s="25" t="str">
        <f t="shared" si="2"/>
        <v/>
      </c>
      <c r="Q954" s="25" t="str">
        <f ca="1">IFERROR(__xludf.DUMMYFUNCTION("""COMPUTED_VALUE"""),"Corto plazo")</f>
        <v>Corto plazo</v>
      </c>
      <c r="R954" s="25"/>
      <c r="S954" s="55"/>
      <c r="T954" s="56"/>
      <c r="U954" s="25"/>
      <c r="V954" s="25"/>
      <c r="W954" s="25"/>
      <c r="X954" s="25"/>
      <c r="Y954" s="25"/>
      <c r="Z954" s="25"/>
    </row>
    <row r="955" spans="1:26" ht="52.5" customHeight="1" x14ac:dyDescent="0.25">
      <c r="A955" s="25" t="str">
        <f ca="1">IFERROR(__xludf.DUMMYFUNCTION("""COMPUTED_VALUE"""),"Integ53")</f>
        <v>Integ53</v>
      </c>
      <c r="B955" s="25" t="str">
        <f ca="1">IFERROR(__xludf.DUMMYFUNCTION("""COMPUTED_VALUE"""),"Presentación resultados de pobreza")</f>
        <v>Presentación resultados de pobreza</v>
      </c>
      <c r="C955" s="55">
        <f ca="1">IFERROR(__xludf.DUMMYFUNCTION("""COMPUTED_VALUE"""),44707)</f>
        <v>44707</v>
      </c>
      <c r="D955" s="25" t="str">
        <f ca="1">IFERROR(__xludf.DUMMYFUNCTION("""COMPUTED_VALUE"""),"Integración_Social")</f>
        <v>Integración_Social</v>
      </c>
      <c r="E955" s="25" t="str">
        <f ca="1">IFERROR(__xludf.DUMMYFUNCTION("""COMPUTED_VALUE"""),"Secretaría Distrital de Integración Social")</f>
        <v>Secretaría Distrital de Integración Social</v>
      </c>
      <c r="F955" s="25" t="str">
        <f ca="1">IFERROR(__xludf.DUMMYFUNCTION("""COMPUTED_VALUE"""),"Definir: ¿cuánto le costaría incluir transporte para jardines y poner Ciempiés Jardines? ")</f>
        <v xml:space="preserve">Definir: ¿cuánto le costaría incluir transporte para jardines y poner Ciempiés Jardines? </v>
      </c>
      <c r="G955" s="25" t="str">
        <f ca="1">IFERROR(__xludf.DUMMYFUNCTION("""COMPUTED_VALUE"""),"99. Distrito")</f>
        <v>99. Distrito</v>
      </c>
      <c r="H955" s="55">
        <f ca="1">IFERROR(__xludf.DUMMYFUNCTION("""COMPUTED_VALUE"""),44737)</f>
        <v>44737</v>
      </c>
      <c r="I955" s="25"/>
      <c r="J955" s="55" t="str">
        <f ca="1">IFERROR(__xludf.DUMMYFUNCTION("""COMPUTED_VALUE"""),"Alta")</f>
        <v>Alta</v>
      </c>
      <c r="K955" s="25">
        <f ca="1">IFERROR(__xludf.DUMMYFUNCTION("""COMPUTED_VALUE"""),30)</f>
        <v>30</v>
      </c>
      <c r="L955" s="62">
        <f ca="1">IFERROR(__xludf.DUMMYFUNCTION("""COMPUTED_VALUE"""),44802)</f>
        <v>44802</v>
      </c>
      <c r="M955" s="25" t="str">
        <f ca="1">IFERROR(__xludf.DUMMYFUNCTION("""COMPUTED_VALUE"""),"Fue aprobada la adición presupuestal por parte del Concejo de Bogotá con el acuerdo No 843 del 02 de agosto de 2002 y el Decreto No 320 del 5 de agosto de 2022. Se pide el cierre de la tarea dado que ya se incorporo el transporte en la adición presupuesta"&amp;"l")</f>
        <v>Fue aprobada la adición presupuestal por parte del Concejo de Bogotá con el acuerdo No 843 del 02 de agosto de 2002 y el Decreto No 320 del 5 de agosto de 2022. Se pide el cierre de la tarea dado que ya se incorporo el transporte en la adición presupuestal</v>
      </c>
      <c r="N955" s="55">
        <f ca="1">IFERROR(__xludf.DUMMYFUNCTION("""COMPUTED_VALUE"""),44802)</f>
        <v>44802</v>
      </c>
      <c r="O955" s="25" t="str">
        <f t="shared" ca="1" si="0"/>
        <v>Secretaría Distrital de Integración Social</v>
      </c>
      <c r="P955" s="25" t="str">
        <f t="shared" si="2"/>
        <v/>
      </c>
      <c r="Q955" s="25" t="str">
        <f ca="1">IFERROR(__xludf.DUMMYFUNCTION("""COMPUTED_VALUE"""),"Corto plazo")</f>
        <v>Corto plazo</v>
      </c>
      <c r="R955" s="25"/>
      <c r="S955" s="55"/>
      <c r="T955" s="56"/>
      <c r="U955" s="25"/>
      <c r="V955" s="25"/>
      <c r="W955" s="25"/>
      <c r="X955" s="25"/>
      <c r="Y955" s="25"/>
      <c r="Z955" s="25"/>
    </row>
    <row r="956" spans="1:26" ht="52.5" customHeight="1" x14ac:dyDescent="0.25">
      <c r="A956" s="25" t="str">
        <f ca="1">IFERROR(__xludf.DUMMYFUNCTION("""COMPUTED_VALUE"""),"Integ54")</f>
        <v>Integ54</v>
      </c>
      <c r="B956" s="25" t="str">
        <f ca="1">IFERROR(__xludf.DUMMYFUNCTION("""COMPUTED_VALUE"""),"Presentación resultados de pobreza")</f>
        <v>Presentación resultados de pobreza</v>
      </c>
      <c r="C956" s="55">
        <f ca="1">IFERROR(__xludf.DUMMYFUNCTION("""COMPUTED_VALUE"""),44707)</f>
        <v>44707</v>
      </c>
      <c r="D956" s="25" t="str">
        <f ca="1">IFERROR(__xludf.DUMMYFUNCTION("""COMPUTED_VALUE"""),"Integración_Social")</f>
        <v>Integración_Social</v>
      </c>
      <c r="E956" s="25" t="str">
        <f ca="1">IFERROR(__xludf.DUMMYFUNCTION("""COMPUTED_VALUE"""),"Secretaría Distrital de Integración Social")</f>
        <v>Secretaría Distrital de Integración Social</v>
      </c>
      <c r="F956" s="25" t="str">
        <f ca="1">IFERROR(__xludf.DUMMYFUNCTION("""COMPUTED_VALUE"""),"Poner a la tropa social o a parceros como gestores de ciempiés de 6 a 7am o de 12 a 1pm (los horarios de los jardines).")</f>
        <v>Poner a la tropa social o a parceros como gestores de ciempiés de 6 a 7am o de 12 a 1pm (los horarios de los jardines).</v>
      </c>
      <c r="G956" s="25" t="str">
        <f ca="1">IFERROR(__xludf.DUMMYFUNCTION("""COMPUTED_VALUE"""),"99. Distrito")</f>
        <v>99. Distrito</v>
      </c>
      <c r="H956" s="55">
        <f ca="1">IFERROR(__xludf.DUMMYFUNCTION("""COMPUTED_VALUE"""),44737)</f>
        <v>44737</v>
      </c>
      <c r="I956" s="25"/>
      <c r="J956" s="55" t="str">
        <f ca="1">IFERROR(__xludf.DUMMYFUNCTION("""COMPUTED_VALUE"""),"Alta")</f>
        <v>Alta</v>
      </c>
      <c r="K956" s="25">
        <f ca="1">IFERROR(__xludf.DUMMYFUNCTION("""COMPUTED_VALUE"""),30)</f>
        <v>30</v>
      </c>
      <c r="L956" s="62">
        <f ca="1">IFERROR(__xludf.DUMMYFUNCTION("""COMPUTED_VALUE"""),44742)</f>
        <v>44742</v>
      </c>
      <c r="M956" s="25" t="str">
        <f ca="1">IFERROR(__xludf.DUMMYFUNCTION("""COMPUTED_VALUE"""),"Esta tarea no es viable para su desarrollo desde lo que compete el alcance de la Tropa Social. 
Es importante resaltar que, la Tropa Social surge dentro de la estrategia ETIS, como eje operativo y se consolida como la herramienta de identificación y cara"&amp;"cterización de hogares que, en el marco de la emergencia sanitaria COVID 19, se vieron con mayor vulnerabilidad en virtud del aislamiento, la disminución de sus ingresos,  la imposibilidad de un sustento económico y la desmejora en su calidad de vida. Par"&amp;"a dicho ejercicio de identificación la Entidad dispuso del 80% de los servidores y funcionarios para la operación de la tropa social, teniendo en cuenta la necesidad de transformación y adaptación de los servicios. Una vez superada la fase crítica de la E"&amp;"mergencia Sanitaria COVID 19, el Gobierno Nacional emite el decreto 655 del 2022 que tienen por objeto regular la “nueva normalidad” definiendo la fase de Aislamiento Selectivo, Distanciamiento Individual responsable y Reactivación Económica Segura. 
Part"&amp;"iendo de lo anterior y dada la necesidad de la Entidad de cumplir con la prestación de los servicios sociales de manera presencial, se solicita al talento humano retomar sus funciones regulares desde sus unidades operativas, viéndose afectada la operativi"&amp;"dad en territorio de la tropa social. 
Circunstancia que antepone un nuevo escenario para la ejecución de la Tropa Social, y por tanto, la no disponibilidad de recurso humano para poder integrar y poner en marcha acciones de acompañamiento a los jardines "&amp;"infantiles como gestores de Ciempiés, en el marco de la tarea referenciada.""
SE SOLICITA EL CIERRE DE LA ACTIVIDAD")</f>
        <v>Esta tarea no es viable para su desarrollo desde lo que compete el alcance de la Tropa Social. 
Es importante resaltar que, la Tropa Social surge dentro de la estrategia ETIS, como eje operativo y se consolida como la herramienta de identificación y caracterización de hogares que, en el marco de la emergencia sanitaria COVID 19, se vieron con mayor vulnerabilidad en virtud del aislamiento, la disminución de sus ingresos,  la imposibilidad de un sustento económico y la desmejora en su calidad de vida. Para dicho ejercicio de identificación la Entidad dispuso del 80% de los servidores y funcionarios para la operación de la tropa social, teniendo en cuenta la necesidad de transformación y adaptación de los servicios. Una vez superada la fase crítica de la Emergencia Sanitaria COVID 19, el Gobierno Nacional emite el decreto 655 del 2022 que tienen por objeto regular la “nueva normalidad” definiendo la fase de Aislamiento Selectivo, Distanciamiento Individual responsable y Reactivación Económica Segura. 
Partiendo de lo anterior y dada la necesidad de la Entidad de cumplir con la prestación de los servicios sociales de manera presencial, se solicita al talento humano retomar sus funciones regulares desde sus unidades operativas, viéndose afectada la operatividad en territorio de la tropa social. 
Circunstancia que antepone un nuevo escenario para la ejecución de la Tropa Social, y por tanto, la no disponibilidad de recurso humano para poder integrar y poner en marcha acciones de acompañamiento a los jardines infantiles como gestores de Ciempiés, en el marco de la tarea referenciada."
SE SOLICITA EL CIERRE DE LA ACTIVIDAD</v>
      </c>
      <c r="N956" s="55">
        <f ca="1">IFERROR(__xludf.DUMMYFUNCTION("""COMPUTED_VALUE"""),44742)</f>
        <v>44742</v>
      </c>
      <c r="O956" s="25" t="str">
        <f t="shared" ca="1" si="0"/>
        <v>Secretaría Distrital de Integración Social</v>
      </c>
      <c r="P956" s="25" t="str">
        <f t="shared" si="2"/>
        <v/>
      </c>
      <c r="Q956" s="25" t="str">
        <f ca="1">IFERROR(__xludf.DUMMYFUNCTION("""COMPUTED_VALUE"""),"Corto plazo")</f>
        <v>Corto plazo</v>
      </c>
      <c r="R956" s="25"/>
      <c r="S956" s="55"/>
      <c r="T956" s="56"/>
      <c r="U956" s="25"/>
      <c r="V956" s="25"/>
      <c r="W956" s="25"/>
      <c r="X956" s="25"/>
      <c r="Y956" s="25"/>
      <c r="Z956" s="25"/>
    </row>
    <row r="957" spans="1:26" ht="52.5" customHeight="1" x14ac:dyDescent="0.25">
      <c r="A957" s="25" t="str">
        <f ca="1">IFERROR(__xludf.DUMMYFUNCTION("""COMPUTED_VALUE"""),"Integ55")</f>
        <v>Integ55</v>
      </c>
      <c r="B957" s="25" t="str">
        <f ca="1">IFERROR(__xludf.DUMMYFUNCTION("""COMPUTED_VALUE"""),"Comisión consultiva de afros, negritudes y palenqueras")</f>
        <v>Comisión consultiva de afros, negritudes y palenqueras</v>
      </c>
      <c r="C957" s="55">
        <f ca="1">IFERROR(__xludf.DUMMYFUNCTION("""COMPUTED_VALUE"""),44712)</f>
        <v>44712</v>
      </c>
      <c r="D957" s="25" t="str">
        <f ca="1">IFERROR(__xludf.DUMMYFUNCTION("""COMPUTED_VALUE"""),"Integración_Social")</f>
        <v>Integración_Social</v>
      </c>
      <c r="E957" s="25" t="str">
        <f ca="1">IFERROR(__xludf.DUMMYFUNCTION("""COMPUTED_VALUE"""),"Secretaría Distrital de Integración Social")</f>
        <v>Secretaría Distrital de Integración Social</v>
      </c>
      <c r="F957" s="25" t="str">
        <f ca="1">IFERROR(__xludf.DUMMYFUNCTION("""COMPUTED_VALUE"""),"Llevar a cabo reuniones con el consejo consultivo de afros, negros y palenqueras (deben ir los secretarios).")</f>
        <v>Llevar a cabo reuniones con el consejo consultivo de afros, negros y palenqueras (deben ir los secretarios).</v>
      </c>
      <c r="G957" s="25" t="str">
        <f ca="1">IFERROR(__xludf.DUMMYFUNCTION("""COMPUTED_VALUE"""),"99. Distrito")</f>
        <v>99. Distrito</v>
      </c>
      <c r="H957" s="55">
        <f ca="1">IFERROR(__xludf.DUMMYFUNCTION("""COMPUTED_VALUE"""),44742)</f>
        <v>44742</v>
      </c>
      <c r="I957" s="25"/>
      <c r="J957" s="55" t="str">
        <f ca="1">IFERROR(__xludf.DUMMYFUNCTION("""COMPUTED_VALUE"""),"Alta")</f>
        <v>Alta</v>
      </c>
      <c r="K957" s="25">
        <f ca="1">IFERROR(__xludf.DUMMYFUNCTION("""COMPUTED_VALUE"""),30)</f>
        <v>30</v>
      </c>
      <c r="L957" s="62">
        <f ca="1">IFERROR(__xludf.DUMMYFUNCTION("""COMPUTED_VALUE"""),44771)</f>
        <v>44771</v>
      </c>
      <c r="M957" s="25" t="str">
        <f ca="1">IFERROR(__xludf.DUMMYFUNCTION("""COMPUTED_VALUE"""),"El 19 de julio se organizó la reunión con la Subcomisión Colegiada para Integración Social de la Comisión Consultiva de comunidades negra, afrocolombianas, a la que asistió la Secretaria de Integración Social acompañada por las áreas de Poblacional, Terri"&amp;"torial, Nutrición y Abastecimiento.")</f>
        <v>El 19 de julio se organizó la reunión con la Subcomisión Colegiada para Integración Social de la Comisión Consultiva de comunidades negra, afrocolombianas, a la que asistió la Secretaria de Integración Social acompañada por las áreas de Poblacional, Territorial, Nutrición y Abastecimiento.</v>
      </c>
      <c r="N957" s="55">
        <f ca="1">IFERROR(__xludf.DUMMYFUNCTION("""COMPUTED_VALUE"""),44771)</f>
        <v>44771</v>
      </c>
      <c r="O957" s="25" t="str">
        <f t="shared" ca="1" si="0"/>
        <v>Secretaría Distrital de Integración Social</v>
      </c>
      <c r="P957" s="25" t="str">
        <f t="shared" si="2"/>
        <v/>
      </c>
      <c r="Q957" s="25" t="str">
        <f ca="1">IFERROR(__xludf.DUMMYFUNCTION("""COMPUTED_VALUE"""),"Corto plazo")</f>
        <v>Corto plazo</v>
      </c>
      <c r="R957" s="25"/>
      <c r="S957" s="55"/>
      <c r="T957" s="56"/>
      <c r="U957" s="25"/>
      <c r="V957" s="25"/>
      <c r="W957" s="25"/>
      <c r="X957" s="25"/>
      <c r="Y957" s="25"/>
      <c r="Z957" s="25"/>
    </row>
    <row r="958" spans="1:26" ht="52.5" customHeight="1" x14ac:dyDescent="0.25">
      <c r="A958" s="25" t="str">
        <f ca="1">IFERROR(__xludf.DUMMYFUNCTION("""COMPUTED_VALUE"""),"Integ56")</f>
        <v>Integ56</v>
      </c>
      <c r="B958" s="25" t="str">
        <f ca="1">IFERROR(__xludf.DUMMYFUNCTION("""COMPUTED_VALUE"""),"Comisión Intersectorial del Cuidado")</f>
        <v>Comisión Intersectorial del Cuidado</v>
      </c>
      <c r="C958" s="55">
        <f ca="1">IFERROR(__xludf.DUMMYFUNCTION("""COMPUTED_VALUE"""),44767)</f>
        <v>44767</v>
      </c>
      <c r="D958" s="25" t="str">
        <f ca="1">IFERROR(__xludf.DUMMYFUNCTION("""COMPUTED_VALUE"""),"Integración_Social")</f>
        <v>Integración_Social</v>
      </c>
      <c r="E958" s="25" t="str">
        <f ca="1">IFERROR(__xludf.DUMMYFUNCTION("""COMPUTED_VALUE"""),"Secretaría Distrital de Integración Social")</f>
        <v>Secretaría Distrital de Integración Social</v>
      </c>
      <c r="F958" s="25" t="str">
        <f ca="1">IFERROR(__xludf.DUMMYFUNCTION("""COMPUTED_VALUE"""),"En Tunjuelito, en el corto plazo, colocar en la casa de justicia la lavandería o el arte de cuidarte, y buscar el espacio para la escuela del cuidado.")</f>
        <v>En Tunjuelito, en el corto plazo, colocar en la casa de justicia la lavandería o el arte de cuidarte, y buscar el espacio para la escuela del cuidado.</v>
      </c>
      <c r="G958" s="55" t="str">
        <f ca="1">IFERROR(__xludf.DUMMYFUNCTION("""COMPUTED_VALUE"""),"06. Tunjuelito")</f>
        <v>06. Tunjuelito</v>
      </c>
      <c r="H958" s="55">
        <f ca="1">IFERROR(__xludf.DUMMYFUNCTION("""COMPUTED_VALUE"""),44797)</f>
        <v>44797</v>
      </c>
      <c r="I958" s="25"/>
      <c r="J958" s="55" t="str">
        <f ca="1">IFERROR(__xludf.DUMMYFUNCTION("""COMPUTED_VALUE"""),"Alta")</f>
        <v>Alta</v>
      </c>
      <c r="K958" s="25">
        <f ca="1">IFERROR(__xludf.DUMMYFUNCTION("""COMPUTED_VALUE"""),30)</f>
        <v>30</v>
      </c>
      <c r="L958" s="62">
        <f ca="1">IFERROR(__xludf.DUMMYFUNCTION("""COMPUTED_VALUE"""),44848)</f>
        <v>44848</v>
      </c>
      <c r="M958" s="25" t="str">
        <f ca="1">IFERROR(__xludf.DUMMYFUNCTION("""COMPUTED_VALUE"""),"No se cuentan con predios por parte del DADEP para la ubicación del servicio lavandería.
 No se cuentan con recursos para arrendamiento de un equipamiento.")</f>
        <v>No se cuentan con predios por parte del DADEP para la ubicación del servicio lavandería.
 No se cuentan con recursos para arrendamiento de un equipamiento.</v>
      </c>
      <c r="N958" s="55">
        <f ca="1">IFERROR(__xludf.DUMMYFUNCTION("""COMPUTED_VALUE"""),44848)</f>
        <v>44848</v>
      </c>
      <c r="O958" s="25" t="str">
        <f t="shared" ca="1" si="0"/>
        <v>Secretaría Distrital de Integración Social</v>
      </c>
      <c r="P958" s="25" t="str">
        <f t="shared" si="2"/>
        <v/>
      </c>
      <c r="Q958" s="25" t="str">
        <f ca="1">IFERROR(__xludf.DUMMYFUNCTION("""COMPUTED_VALUE"""),"Corto plazo")</f>
        <v>Corto plazo</v>
      </c>
      <c r="R958" s="25"/>
      <c r="S958" s="55"/>
      <c r="T958" s="56"/>
      <c r="U958" s="25"/>
      <c r="V958" s="25"/>
      <c r="W958" s="25"/>
      <c r="X958" s="25"/>
      <c r="Y958" s="25"/>
      <c r="Z958" s="25"/>
    </row>
    <row r="959" spans="1:26" ht="52.5" customHeight="1" x14ac:dyDescent="0.25">
      <c r="A959" s="25" t="str">
        <f ca="1">IFERROR(__xludf.DUMMYFUNCTION("""COMPUTED_VALUE"""),"Integ57")</f>
        <v>Integ57</v>
      </c>
      <c r="B959" s="25" t="str">
        <f ca="1">IFERROR(__xludf.DUMMYFUNCTION("""COMPUTED_VALUE"""),"Consejo Distrital de Política Social y Consejo de Sabios y Sabias        ")</f>
        <v xml:space="preserve">Consejo Distrital de Política Social y Consejo de Sabios y Sabias        </v>
      </c>
      <c r="C959" s="55">
        <f ca="1">IFERROR(__xludf.DUMMYFUNCTION("""COMPUTED_VALUE"""),44790)</f>
        <v>44790</v>
      </c>
      <c r="D959" s="25" t="str">
        <f ca="1">IFERROR(__xludf.DUMMYFUNCTION("""COMPUTED_VALUE"""),"Integración_Social")</f>
        <v>Integración_Social</v>
      </c>
      <c r="E959" s="25" t="str">
        <f ca="1">IFERROR(__xludf.DUMMYFUNCTION("""COMPUTED_VALUE"""),"Secretaría Distrital de Integración Social")</f>
        <v>Secretaría Distrital de Integración Social</v>
      </c>
      <c r="F959" s="25" t="str">
        <f ca="1">IFERROR(__xludf.DUMMYFUNCTION("""COMPUTED_VALUE"""),"Programar visita de la alcaldesa a obra de El Camino – proyecto de adulto mayor. ")</f>
        <v xml:space="preserve">Programar visita de la alcaldesa a obra de El Camino – proyecto de adulto mayor. </v>
      </c>
      <c r="G959" s="25" t="str">
        <f ca="1">IFERROR(__xludf.DUMMYFUNCTION("""COMPUTED_VALUE"""),"99. Distrito")</f>
        <v>99. Distrito</v>
      </c>
      <c r="H959" s="55">
        <f ca="1">IFERROR(__xludf.DUMMYFUNCTION("""COMPUTED_VALUE"""),44820)</f>
        <v>44820</v>
      </c>
      <c r="I959" s="25"/>
      <c r="J959" s="55" t="str">
        <f ca="1">IFERROR(__xludf.DUMMYFUNCTION("""COMPUTED_VALUE"""),"Alta")</f>
        <v>Alta</v>
      </c>
      <c r="K959" s="25">
        <f ca="1">IFERROR(__xludf.DUMMYFUNCTION("""COMPUTED_VALUE"""),30)</f>
        <v>30</v>
      </c>
      <c r="L959" s="62">
        <f ca="1">IFERROR(__xludf.DUMMYFUNCTION("""COMPUTED_VALUE"""),44880)</f>
        <v>44880</v>
      </c>
      <c r="M959" s="25" t="str">
        <f ca="1">IFERROR(__xludf.DUMMYFUNCTION("""COMPUTED_VALUE"""),"Para el mes de noviembre se solicitó a través de los hitos mensuales al despacho de la alcaldesa la visita a esta obra. No obstante, no fue priorizada. Se continurá en la gestión por parte de la Secretaría")</f>
        <v>Para el mes de noviembre se solicitó a través de los hitos mensuales al despacho de la alcaldesa la visita a esta obra. No obstante, no fue priorizada. Se continurá en la gestión por parte de la Secretaría</v>
      </c>
      <c r="N959" s="55">
        <f ca="1">IFERROR(__xludf.DUMMYFUNCTION("""COMPUTED_VALUE"""),44880)</f>
        <v>44880</v>
      </c>
      <c r="O959" s="25" t="str">
        <f t="shared" ca="1" si="0"/>
        <v>Secretaría Distrital de Integración Social</v>
      </c>
      <c r="P959" s="25" t="str">
        <f t="shared" si="2"/>
        <v/>
      </c>
      <c r="Q959" s="25" t="str">
        <f ca="1">IFERROR(__xludf.DUMMYFUNCTION("""COMPUTED_VALUE"""),"Corto plazo")</f>
        <v>Corto plazo</v>
      </c>
      <c r="R959" s="25"/>
      <c r="S959" s="55"/>
      <c r="T959" s="56"/>
      <c r="U959" s="25"/>
      <c r="V959" s="25"/>
      <c r="W959" s="25"/>
      <c r="X959" s="25"/>
      <c r="Y959" s="25"/>
      <c r="Z959" s="25"/>
    </row>
    <row r="960" spans="1:26" ht="52.5" customHeight="1" x14ac:dyDescent="0.25">
      <c r="A960" s="25" t="str">
        <f ca="1">IFERROR(__xludf.DUMMYFUNCTION("""COMPUTED_VALUE"""),"Integ58")</f>
        <v>Integ58</v>
      </c>
      <c r="B960" s="25" t="str">
        <f ca="1">IFERROR(__xludf.DUMMYFUNCTION("""COMPUTED_VALUE"""),"Consejo Distrital de Política Social y Consejo de Sabios y Sabias        ")</f>
        <v xml:space="preserve">Consejo Distrital de Política Social y Consejo de Sabios y Sabias        </v>
      </c>
      <c r="C960" s="55">
        <f ca="1">IFERROR(__xludf.DUMMYFUNCTION("""COMPUTED_VALUE"""),44790)</f>
        <v>44790</v>
      </c>
      <c r="D960" s="25" t="str">
        <f ca="1">IFERROR(__xludf.DUMMYFUNCTION("""COMPUTED_VALUE"""),"Integración_Social")</f>
        <v>Integración_Social</v>
      </c>
      <c r="E960" s="25" t="str">
        <f ca="1">IFERROR(__xludf.DUMMYFUNCTION("""COMPUTED_VALUE"""),"Secretaría Distrital de Integración Social")</f>
        <v>Secretaría Distrital de Integración Social</v>
      </c>
      <c r="F960" s="25" t="str">
        <f ca="1">IFERROR(__xludf.DUMMYFUNCTION("""COMPUTED_VALUE"""),"Poner en presupuesto de 2023 los cupos para atender a las personas en lista de espera de personas adultos mayores.
SDIS responde en la reunión que ya hicieron la revisión y el anteproyecto crea los cupos nuevos para atender la lista.
")</f>
        <v xml:space="preserve">Poner en presupuesto de 2023 los cupos para atender a las personas en lista de espera de personas adultos mayores.
SDIS responde en la reunión que ya hicieron la revisión y el anteproyecto crea los cupos nuevos para atender la lista.
</v>
      </c>
      <c r="G960" s="25" t="str">
        <f ca="1">IFERROR(__xludf.DUMMYFUNCTION("""COMPUTED_VALUE"""),"99. Distrito")</f>
        <v>99. Distrito</v>
      </c>
      <c r="H960" s="55">
        <f ca="1">IFERROR(__xludf.DUMMYFUNCTION("""COMPUTED_VALUE"""),44820)</f>
        <v>44820</v>
      </c>
      <c r="I960" s="25"/>
      <c r="J960" s="55" t="str">
        <f ca="1">IFERROR(__xludf.DUMMYFUNCTION("""COMPUTED_VALUE"""),"Alta")</f>
        <v>Alta</v>
      </c>
      <c r="K960" s="25">
        <f ca="1">IFERROR(__xludf.DUMMYFUNCTION("""COMPUTED_VALUE"""),30)</f>
        <v>30</v>
      </c>
      <c r="L960" s="62">
        <f ca="1">IFERROR(__xludf.DUMMYFUNCTION("""COMPUTED_VALUE"""),44819)</f>
        <v>44819</v>
      </c>
      <c r="M960" s="25" t="str">
        <f ca="1">IFERROR(__xludf.DUMMYFUNCTION("""COMPUTED_VALUE"""),"En el anteproyecto de presupuesto 2023 se programaron los aumentos de cobertura en los servicios sociales de la siguiente forma:
 Para la meta de apoyos económicos se programaron 2.660 cupos adicionales para alcanzar la cobertura en la meta plan de 92.500"&amp;" cupos ofertados.
 En la meta 4 ""Atender 2800 personas mayores en servicios de cuidado integral y protección en modalidad institucionalizada"" se proyectó para la vigencia 2023 la ampliación de 300 cupos para la atención de personas mayores nuevas, atend"&amp;"iendo a la necesidad y compromiso político de atender a todas las personas mayores que se encuentran en lista de espera, que con corte a agosto 31, asciende a 484 personas. 
 Para la meta de Centro Día se llegará a atender 38.300 personas mayores.
 Desde "&amp;"el punto de vista de los recursos programados frente a las maginutdes proyectadas se tienen los siguientes valores
 $113.209.312.000 para Servicio Apoyos Económicos
 $96.309.357.000 para Servicio Comunidad de Cuidado
 $32.416.189.000 para Servicio Centro "&amp;"Día 
 Estos valores de maginutd fueron calculados por los líderes de los servicios y son el insumo principal para la presupuestación de la siguiente vigencia con cargo al proyecto de inversión. Cabe resaltar que estos valores corresponden a la versión i"&amp;"nicial del anteproyecto de presupuesto, dado que a la fecha no se ha definido la cuota de la Entidad.")</f>
        <v>En el anteproyecto de presupuesto 2023 se programaron los aumentos de cobertura en los servicios sociales de la siguiente forma:
 Para la meta de apoyos económicos se programaron 2.660 cupos adicionales para alcanzar la cobertura en la meta plan de 92.500 cupos ofertados.
 En la meta 4 "Atender 2800 personas mayores en servicios de cuidado integral y protección en modalidad institucionalizada" se proyectó para la vigencia 2023 la ampliación de 300 cupos para la atención de personas mayores nuevas, atendiendo a la necesidad y compromiso político de atender a todas las personas mayores que se encuentran en lista de espera, que con corte a agosto 31, asciende a 484 personas. 
 Para la meta de Centro Día se llegará a atender 38.300 personas mayores.
 Desde el punto de vista de los recursos programados frente a las maginutdes proyectadas se tienen los siguientes valores
 $113.209.312.000 para Servicio Apoyos Económicos
 $96.309.357.000 para Servicio Comunidad de Cuidado
 $32.416.189.000 para Servicio Centro Día 
 Estos valores de maginutd fueron calculados por los líderes de los servicios y son el insumo principal para la presupuestación de la siguiente vigencia con cargo al proyecto de inversión. Cabe resaltar que estos valores corresponden a la versión inicial del anteproyecto de presupuesto, dado que a la fecha no se ha definido la cuota de la Entidad.</v>
      </c>
      <c r="N960" s="55">
        <f ca="1">IFERROR(__xludf.DUMMYFUNCTION("""COMPUTED_VALUE"""),44819)</f>
        <v>44819</v>
      </c>
      <c r="O960" s="25" t="str">
        <f t="shared" ca="1" si="0"/>
        <v>Secretaría Distrital de Integración Social</v>
      </c>
      <c r="P960" s="25" t="str">
        <f t="shared" si="2"/>
        <v/>
      </c>
      <c r="Q960" s="25" t="str">
        <f ca="1">IFERROR(__xludf.DUMMYFUNCTION("""COMPUTED_VALUE"""),"Corto plazo")</f>
        <v>Corto plazo</v>
      </c>
      <c r="R960" s="25"/>
      <c r="S960" s="55"/>
      <c r="T960" s="56"/>
      <c r="U960" s="25"/>
      <c r="V960" s="25"/>
      <c r="W960" s="25"/>
      <c r="X960" s="25"/>
      <c r="Y960" s="25"/>
      <c r="Z960" s="25"/>
    </row>
    <row r="961" spans="1:26" ht="52.5" customHeight="1" x14ac:dyDescent="0.25">
      <c r="A961" s="25" t="str">
        <f ca="1">IFERROR(__xludf.DUMMYFUNCTION("""COMPUTED_VALUE"""),"Integ59")</f>
        <v>Integ59</v>
      </c>
      <c r="B961" s="25" t="str">
        <f ca="1">IFERROR(__xludf.DUMMYFUNCTION("""COMPUTED_VALUE"""),"Consejo Distrital de Política Social y Consejo de Sabios y Sabias        ")</f>
        <v xml:space="preserve">Consejo Distrital de Política Social y Consejo de Sabios y Sabias        </v>
      </c>
      <c r="C961" s="55">
        <f ca="1">IFERROR(__xludf.DUMMYFUNCTION("""COMPUTED_VALUE"""),44790)</f>
        <v>44790</v>
      </c>
      <c r="D961" s="25" t="str">
        <f ca="1">IFERROR(__xludf.DUMMYFUNCTION("""COMPUTED_VALUE"""),"Integración_Social")</f>
        <v>Integración_Social</v>
      </c>
      <c r="E961" s="25" t="str">
        <f ca="1">IFERROR(__xludf.DUMMYFUNCTION("""COMPUTED_VALUE"""),"Secretaría Distrital de Integración Social")</f>
        <v>Secretaría Distrital de Integración Social</v>
      </c>
      <c r="F961" s="25" t="str">
        <f ca="1">IFERROR(__xludf.DUMMYFUNCTION("""COMPUTED_VALUE"""),"Incrementar, a través de presupuestos participativos, la inversión en cuidado local o en el centro día al barrio. En necesario que cada consejo local participe, se organicen y que postulen las iniciativas para los presupuestos participativos. ")</f>
        <v xml:space="preserve">Incrementar, a través de presupuestos participativos, la inversión en cuidado local o en el centro día al barrio. En necesario que cada consejo local participe, se organicen y que postulen las iniciativas para los presupuestos participativos. </v>
      </c>
      <c r="G961" s="25" t="str">
        <f ca="1">IFERROR(__xludf.DUMMYFUNCTION("""COMPUTED_VALUE"""),"99. Distrito")</f>
        <v>99. Distrito</v>
      </c>
      <c r="H961" s="55">
        <f ca="1">IFERROR(__xludf.DUMMYFUNCTION("""COMPUTED_VALUE"""),44820)</f>
        <v>44820</v>
      </c>
      <c r="I961" s="25"/>
      <c r="J961" s="55" t="str">
        <f ca="1">IFERROR(__xludf.DUMMYFUNCTION("""COMPUTED_VALUE"""),"Alta")</f>
        <v>Alta</v>
      </c>
      <c r="K961" s="25">
        <f ca="1">IFERROR(__xludf.DUMMYFUNCTION("""COMPUTED_VALUE"""),30)</f>
        <v>30</v>
      </c>
      <c r="L961" s="62">
        <f ca="1">IFERROR(__xludf.DUMMYFUNCTION("""COMPUTED_VALUE"""),44895)</f>
        <v>44895</v>
      </c>
      <c r="M961" s="25" t="str">
        <f ca="1">IFERROR(__xludf.DUMMYFUNCTION("""COMPUTED_VALUE"""),"A la fecha en los diferentes espacios en los que se trabajan los presupuestos participativos, la cuidadania no ha manifestado su interes ni a presentado propuesta de una iniciativa destinada a los centros días al barrio. ")</f>
        <v xml:space="preserve">A la fecha en los diferentes espacios en los que se trabajan los presupuestos participativos, la cuidadania no ha manifestado su interes ni a presentado propuesta de una iniciativa destinada a los centros días al barrio. </v>
      </c>
      <c r="N961" s="55">
        <f ca="1">IFERROR(__xludf.DUMMYFUNCTION("""COMPUTED_VALUE"""),44895)</f>
        <v>44895</v>
      </c>
      <c r="O961" s="25" t="str">
        <f t="shared" ca="1" si="0"/>
        <v>Secretaría Distrital de Integración Social</v>
      </c>
      <c r="P961" s="25" t="str">
        <f t="shared" si="2"/>
        <v/>
      </c>
      <c r="Q961" s="25" t="str">
        <f ca="1">IFERROR(__xludf.DUMMYFUNCTION("""COMPUTED_VALUE"""),"Corto plazo")</f>
        <v>Corto plazo</v>
      </c>
      <c r="R961" s="25"/>
      <c r="S961" s="55"/>
      <c r="T961" s="56"/>
      <c r="U961" s="25"/>
      <c r="V961" s="25"/>
      <c r="W961" s="25"/>
      <c r="X961" s="25"/>
      <c r="Y961" s="25"/>
      <c r="Z961" s="25"/>
    </row>
    <row r="962" spans="1:26" ht="52.5" customHeight="1" x14ac:dyDescent="0.25">
      <c r="A962" s="25" t="str">
        <f ca="1">IFERROR(__xludf.DUMMYFUNCTION("""COMPUTED_VALUE"""),"Integ60")</f>
        <v>Integ60</v>
      </c>
      <c r="B962" s="25" t="str">
        <f ca="1">IFERROR(__xludf.DUMMYFUNCTION("""COMPUTED_VALUE"""),"Consejo Distrital de Política Social y Consejo de Sabios y Sabias        ")</f>
        <v xml:space="preserve">Consejo Distrital de Política Social y Consejo de Sabios y Sabias        </v>
      </c>
      <c r="C962" s="55">
        <f ca="1">IFERROR(__xludf.DUMMYFUNCTION("""COMPUTED_VALUE"""),44790)</f>
        <v>44790</v>
      </c>
      <c r="D962" s="25" t="str">
        <f ca="1">IFERROR(__xludf.DUMMYFUNCTION("""COMPUTED_VALUE"""),"Integración_Social")</f>
        <v>Integración_Social</v>
      </c>
      <c r="E962" s="25" t="str">
        <f ca="1">IFERROR(__xludf.DUMMYFUNCTION("""COMPUTED_VALUE"""),"Secretaría Distrital de Integración Social")</f>
        <v>Secretaría Distrital de Integración Social</v>
      </c>
      <c r="F962" s="25" t="str">
        <f ca="1">IFERROR(__xludf.DUMMYFUNCTION("""COMPUTED_VALUE"""),"Llevar una propuesta (para PND y diseño del Ministerio de la igualdad) con los consejeros de sabios y sabias para sacar a la población mayor del Ministerio de Salud y que esta pase al Ministerio de la Igualdad")</f>
        <v>Llevar una propuesta (para PND y diseño del Ministerio de la igualdad) con los consejeros de sabios y sabias para sacar a la población mayor del Ministerio de Salud y que esta pase al Ministerio de la Igualdad</v>
      </c>
      <c r="G962" s="25" t="str">
        <f ca="1">IFERROR(__xludf.DUMMYFUNCTION("""COMPUTED_VALUE"""),"99. Distrito")</f>
        <v>99. Distrito</v>
      </c>
      <c r="H962" s="55">
        <f ca="1">IFERROR(__xludf.DUMMYFUNCTION("""COMPUTED_VALUE"""),44911)</f>
        <v>44911</v>
      </c>
      <c r="I962" s="25"/>
      <c r="J962" s="55" t="str">
        <f ca="1">IFERROR(__xludf.DUMMYFUNCTION("""COMPUTED_VALUE"""),"Media")</f>
        <v>Media</v>
      </c>
      <c r="K962" s="25">
        <f ca="1">IFERROR(__xludf.DUMMYFUNCTION("""COMPUTED_VALUE"""),121)</f>
        <v>121</v>
      </c>
      <c r="L962" s="62">
        <f ca="1">IFERROR(__xludf.DUMMYFUNCTION("""COMPUTED_VALUE"""),44910)</f>
        <v>44910</v>
      </c>
      <c r="M962" s="25" t="str">
        <f ca="1">IFERROR(__xludf.DUMMYFUNCTION("""COMPUTED_VALUE"""),"La Subdirección para la Vejez, en el ámbito de sus competencia de asistencia técnica al Consejo Distrital de Sabios y Sabias, solicitó a este organismo autónomo en el marco de la Política Publica Social de Envejecimiento y Vejez, pronunciarse frente al pr"&amp;"oyecto de ley N° 222 de 2022 “ Por medio de la cual se crea el Ministerio de Igualdad y Equidad y se dictan otras disposiciones”.
En este sentido, el día 07 de diciembre de 2022, se recibió comunicación digital escrita por parte del Consejo Distrital de "&amp;"Sabios y Sabias en donde afirman “ha considerado prudente aguardar la norma de creación de este Ministerio con el fin de poder analizar los efectos de salir del Ministerio de Salud para ser incluidos en el de la Igualdad”.
Adicional el día 13 de diciembr"&amp;"e el Consejo Distrital de Sabio y Sabias, envió un comunicado frente al Proyecto de Ley N° 222 de 2022, haciendo consideraciones valiosas para ser incluidas en el articulado del proyecto de ley.")</f>
        <v>La Subdirección para la Vejez, en el ámbito de sus competencia de asistencia técnica al Consejo Distrital de Sabios y Sabias, solicitó a este organismo autónomo en el marco de la Política Publica Social de Envejecimiento y Vejez, pronunciarse frente al proyecto de ley N° 222 de 2022 “ Por medio de la cual se crea el Ministerio de Igualdad y Equidad y se dictan otras disposiciones”.
En este sentido, el día 07 de diciembre de 2022, se recibió comunicación digital escrita por parte del Consejo Distrital de Sabios y Sabias en donde afirman “ha considerado prudente aguardar la norma de creación de este Ministerio con el fin de poder analizar los efectos de salir del Ministerio de Salud para ser incluidos en el de la Igualdad”.
Adicional el día 13 de diciembre el Consejo Distrital de Sabio y Sabias, envió un comunicado frente al Proyecto de Ley N° 222 de 2022, haciendo consideraciones valiosas para ser incluidas en el articulado del proyecto de ley.</v>
      </c>
      <c r="N962" s="55">
        <f ca="1">IFERROR(__xludf.DUMMYFUNCTION("""COMPUTED_VALUE"""),44910)</f>
        <v>44910</v>
      </c>
      <c r="O962" s="25" t="str">
        <f t="shared" ca="1" si="0"/>
        <v>Secretaría Distrital de Integración Social</v>
      </c>
      <c r="P962" s="25" t="str">
        <f t="shared" si="2"/>
        <v/>
      </c>
      <c r="Q962" s="25" t="str">
        <f ca="1">IFERROR(__xludf.DUMMYFUNCTION("""COMPUTED_VALUE"""),"Mediano plazo")</f>
        <v>Mediano plazo</v>
      </c>
      <c r="R962" s="25"/>
      <c r="S962" s="55"/>
      <c r="T962" s="56"/>
      <c r="U962" s="25"/>
      <c r="V962" s="25"/>
      <c r="W962" s="25"/>
      <c r="X962" s="25"/>
      <c r="Y962" s="25"/>
      <c r="Z962" s="25"/>
    </row>
    <row r="963" spans="1:26" ht="52.5" customHeight="1" x14ac:dyDescent="0.25">
      <c r="A963" s="25" t="str">
        <f ca="1">IFERROR(__xludf.DUMMYFUNCTION("""COMPUTED_VALUE"""),"Integ61")</f>
        <v>Integ61</v>
      </c>
      <c r="B963" s="25" t="str">
        <f ca="1">IFERROR(__xludf.DUMMYFUNCTION("""COMPUTED_VALUE"""),"Pobreza y reactivación económica presupuesto 2023 ")</f>
        <v xml:space="preserve">Pobreza y reactivación económica presupuesto 2023 </v>
      </c>
      <c r="C963" s="55">
        <f ca="1">IFERROR(__xludf.DUMMYFUNCTION("""COMPUTED_VALUE"""),44827)</f>
        <v>44827</v>
      </c>
      <c r="D963" s="25" t="str">
        <f ca="1">IFERROR(__xludf.DUMMYFUNCTION("""COMPUTED_VALUE"""),"Integración_Social")</f>
        <v>Integración_Social</v>
      </c>
      <c r="E963" s="25" t="str">
        <f ca="1">IFERROR(__xludf.DUMMYFUNCTION("""COMPUTED_VALUE"""),"Secretaría Distrital de Integración Social")</f>
        <v>Secretaría Distrital de Integración Social</v>
      </c>
      <c r="F963" s="25" t="str">
        <f ca="1">IFERROR(__xludf.DUMMYFUNCTION("""COMPUTED_VALUE"""),"Mirar de los componentes de TMC cuáles hogares cruzan con IMG (por ejemplo, de personas LGBT cuáles cruzan en IMG)")</f>
        <v>Mirar de los componentes de TMC cuáles hogares cruzan con IMG (por ejemplo, de personas LGBT cuáles cruzan en IMG)</v>
      </c>
      <c r="G963" s="25" t="str">
        <f ca="1">IFERROR(__xludf.DUMMYFUNCTION("""COMPUTED_VALUE"""),"99. Distrito")</f>
        <v>99. Distrito</v>
      </c>
      <c r="H963" s="55">
        <f ca="1">IFERROR(__xludf.DUMMYFUNCTION("""COMPUTED_VALUE"""),44857)</f>
        <v>44857</v>
      </c>
      <c r="I963" s="25"/>
      <c r="J963" s="55" t="str">
        <f ca="1">IFERROR(__xludf.DUMMYFUNCTION("""COMPUTED_VALUE"""),"Alta")</f>
        <v>Alta</v>
      </c>
      <c r="K963" s="25">
        <f ca="1">IFERROR(__xludf.DUMMYFUNCTION("""COMPUTED_VALUE"""),30)</f>
        <v>30</v>
      </c>
      <c r="L963" s="62">
        <f ca="1">IFERROR(__xludf.DUMMYFUNCTION("""COMPUTED_VALUE"""),44895)</f>
        <v>44895</v>
      </c>
      <c r="M963" s="25" t="str">
        <f ca="1">IFERROR(__xludf.DUMMYFUNCTION("""COMPUTED_VALUE"""),"""Al realizar el cruce de beneficiarios se obtuvieron los siguientes resultados:
*JUEVENTUD*-*TMO*
-Jovenes con las dos transferencias: 7.426 (26% del total de beneficiarios).
-hogares de jóvenes beneficiarios de parceros en base maestra y con un miembro "&amp;"del hogar beneficiario de TMO: 13.261 (74.3% del total de beneficiarios).
*VEJEZ*- *TMO* (FDL)
-Personas mayores con las dos transferencias: 15.042 (26.% del total de beneficiarios)
-Personas mayores beneficiarios de apoyos económicos en base maestra y co"&amp;"n un miembro del hogar beneficiario de TMO: 35.884 (62% del totalde beneficiarios)
*VEJEZ*- *TMO* (SDIS)
-Personas mayores con las dos transferencias: 32.116 (32 % del total de beneficiarios)
-Personas mayores beneficiarios de apoyos económicos en base ma"&amp;"estra y con un miembro del hogar beneficiario de TMO:  (59.5% del total de beneficiarios)
*NUTRICIÓN INTEGRAL*
- Beneficiarios con las dos transferencias: 397 (79% del total de beneficiarios)
-Beneficiarios de apoyos económicos en base maestra y con un mi"&amp;"embro del hogar beneficiario de TMO: 481 (96% del total de beneficiarios)
*CUIDADORES*- *TMO*
- Beneficiarios con las dos transferencias: 88 (59% del total de beneficiarios)
-Beneficiarios en base maestra y con un miembro del hogar beneficiario de TMO:616"&amp;"  (88% del total de beneficiarios)
*LGBTI*-*TMO*
- Beneficiarios con las dos transferencias: 417  (34% del total de beneficiarios)
-beneficiarios en base maestra y con un miembro del hogar beneficiario de TMO: 661 (54% del total de beneficiarios)
*POBREZA"&amp;" EVIDENTE*-*TMO*
- Beneficiarios con las dos transferencias: 1139  (69% del total de beneficiarios)
-Beneficiarios en base maestra y con un miembro del hogar beneficiario de TMO:  1582 (96% del total de beneficiarios)
*POBREZA OCULTA*
-Beneficiarios con l"&amp;"as dos transferencias: 49  (5 % del total de beneficiarios)
-Beneficiarios en base maestra y con un miembro del hogar beneficiario de TMO: 64 (6% del total de beneficiarios)
*RESCATE SOCIAL*-*TMO*
-Beneficiarios con las dos transferencias: 14.755 (63 % de"&amp;"l total de beneficiarios)
-Beneficiarios en base maestra y con un miembro del hogar beneficiario de TMO: 18547 (79% del total de beneficiarios)
SOLICITAMOS CERRAR EL CASO POR CUMPLIMIENTO DE LA TAREA")</f>
        <v>"Al realizar el cruce de beneficiarios se obtuvieron los siguientes resultados:
*JUEVENTUD*-*TMO*
-Jovenes con las dos transferencias: 7.426 (26% del total de beneficiarios).
-hogares de jóvenes beneficiarios de parceros en base maestra y con un miembro del hogar beneficiario de TMO: 13.261 (74.3% del total de beneficiarios).
*VEJEZ*- *TMO* (FDL)
-Personas mayores con las dos transferencias: 15.042 (26.% del total de beneficiarios)
-Personas mayores beneficiarios de apoyos económicos en base maestra y con un miembro del hogar beneficiario de TMO: 35.884 (62% del totalde beneficiarios)
*VEJEZ*- *TMO* (SDIS)
-Personas mayores con las dos transferencias: 32.116 (32 % del total de beneficiarios)
-Personas mayores beneficiarios de apoyos económicos en base maestra y con un miembro del hogar beneficiario de TMO:  (59.5% del total de beneficiarios)
*NUTRICIÓN INTEGRAL*
- Beneficiarios con las dos transferencias: 397 (79% del total de beneficiarios)
-Beneficiarios de apoyos económicos en base maestra y con un miembro del hogar beneficiario de TMO: 481 (96% del total de beneficiarios)
*CUIDADORES*- *TMO*
- Beneficiarios con las dos transferencias: 88 (59% del total de beneficiarios)
-Beneficiarios en base maestra y con un miembro del hogar beneficiario de TMO:616  (88% del total de beneficiarios)
*LGBTI*-*TMO*
- Beneficiarios con las dos transferencias: 417  (34% del total de beneficiarios)
-beneficiarios en base maestra y con un miembro del hogar beneficiario de TMO: 661 (54% del total de beneficiarios)
*POBREZA EVIDENTE*-*TMO*
- Beneficiarios con las dos transferencias: 1139  (69% del total de beneficiarios)
-Beneficiarios en base maestra y con un miembro del hogar beneficiario de TMO:  1582 (96% del total de beneficiarios)
*POBREZA OCULTA*
-Beneficiarios con las dos transferencias: 49  (5 % del total de beneficiarios)
-Beneficiarios en base maestra y con un miembro del hogar beneficiario de TMO: 64 (6% del total de beneficiarios)
*RESCATE SOCIAL*-*TMO*
-Beneficiarios con las dos transferencias: 14.755 (63 % del total de beneficiarios)
-Beneficiarios en base maestra y con un miembro del hogar beneficiario de TMO: 18547 (79% del total de beneficiarios)
SOLICITAMOS CERRAR EL CASO POR CUMPLIMIENTO DE LA TAREA</v>
      </c>
      <c r="N963" s="55">
        <f ca="1">IFERROR(__xludf.DUMMYFUNCTION("""COMPUTED_VALUE"""),44895)</f>
        <v>44895</v>
      </c>
      <c r="O963" s="25" t="str">
        <f t="shared" ca="1" si="0"/>
        <v>Secretaría Distrital de Integración Social</v>
      </c>
      <c r="P963" s="25" t="str">
        <f t="shared" si="2"/>
        <v/>
      </c>
      <c r="Q963" s="25" t="str">
        <f ca="1">IFERROR(__xludf.DUMMYFUNCTION("""COMPUTED_VALUE"""),"Corto plazo")</f>
        <v>Corto plazo</v>
      </c>
      <c r="R963" s="25"/>
      <c r="S963" s="55"/>
      <c r="T963" s="56"/>
      <c r="U963" s="25"/>
      <c r="V963" s="25"/>
      <c r="W963" s="25"/>
      <c r="X963" s="25"/>
      <c r="Y963" s="25"/>
      <c r="Z963" s="25"/>
    </row>
    <row r="964" spans="1:26" ht="52.5" customHeight="1" x14ac:dyDescent="0.25">
      <c r="A964" s="25" t="str">
        <f ca="1">IFERROR(__xludf.DUMMYFUNCTION("""COMPUTED_VALUE"""),"Integ62")</f>
        <v>Integ62</v>
      </c>
      <c r="B964" s="25" t="str">
        <f ca="1">IFERROR(__xludf.DUMMYFUNCTION("""COMPUTED_VALUE"""),"Presupuesto educación, salud e integración social")</f>
        <v>Presupuesto educación, salud e integración social</v>
      </c>
      <c r="C964" s="55">
        <f ca="1">IFERROR(__xludf.DUMMYFUNCTION("""COMPUTED_VALUE"""),44837)</f>
        <v>44837</v>
      </c>
      <c r="D964" s="25" t="str">
        <f ca="1">IFERROR(__xludf.DUMMYFUNCTION("""COMPUTED_VALUE"""),"Integración_Social")</f>
        <v>Integración_Social</v>
      </c>
      <c r="E964" s="25" t="str">
        <f ca="1">IFERROR(__xludf.DUMMYFUNCTION("""COMPUTED_VALUE"""),"Secretaría Distrital de Integración Social")</f>
        <v>Secretaría Distrital de Integración Social</v>
      </c>
      <c r="F964" s="25" t="str">
        <f ca="1">IFERROR(__xludf.DUMMYFUNCTION("""COMPUTED_VALUE"""),"La Secretaría Distrital de Integración Social y la Secretaría de la Mujer deben articular para revisar el diseño del CDC Tibabuyes para que quede como manzanda del cuidado ideal y que complemente los servicios del CEFE , aprovechando que este cerca.")</f>
        <v>La Secretaría Distrital de Integración Social y la Secretaría de la Mujer deben articular para revisar el diseño del CDC Tibabuyes para que quede como manzanda del cuidado ideal y que complemente los servicios del CEFE , aprovechando que este cerca.</v>
      </c>
      <c r="G964" s="25" t="str">
        <f ca="1">IFERROR(__xludf.DUMMYFUNCTION("""COMPUTED_VALUE"""),"99. Distrito")</f>
        <v>99. Distrito</v>
      </c>
      <c r="H964" s="55">
        <f ca="1">IFERROR(__xludf.DUMMYFUNCTION("""COMPUTED_VALUE"""),45078)</f>
        <v>45078</v>
      </c>
      <c r="I964" s="25"/>
      <c r="J964" s="55" t="str">
        <f ca="1">IFERROR(__xludf.DUMMYFUNCTION("""COMPUTED_VALUE"""),"Baja")</f>
        <v>Baja</v>
      </c>
      <c r="K964" s="25">
        <f ca="1">IFERROR(__xludf.DUMMYFUNCTION("""COMPUTED_VALUE"""),241)</f>
        <v>241</v>
      </c>
      <c r="L964" s="62">
        <f ca="1">IFERROR(__xludf.DUMMYFUNCTION("""COMPUTED_VALUE"""),45031)</f>
        <v>45031</v>
      </c>
      <c r="M964" s="25" t="str">
        <f ca="1">IFERROR(__xludf.DUMMYFUNCTION("""COMPUTED_VALUE"""),"En la localidad de Suba ya existe una manzana del cuidado en el CEFE Fontanar, considerando que se encuentra a una distancia apróximada de 6 cuadras no es necesario construir una nueva manzana del cuidado en esta zona. ")</f>
        <v xml:space="preserve">En la localidad de Suba ya existe una manzana del cuidado en el CEFE Fontanar, considerando que se encuentra a una distancia apróximada de 6 cuadras no es necesario construir una nueva manzana del cuidado en esta zona. </v>
      </c>
      <c r="N964" s="55">
        <f ca="1">IFERROR(__xludf.DUMMYFUNCTION("""COMPUTED_VALUE"""),45031)</f>
        <v>45031</v>
      </c>
      <c r="O964" s="25" t="str">
        <f t="shared" ca="1" si="0"/>
        <v>Secretaría Distrital de Integración Social</v>
      </c>
      <c r="P964" s="25" t="str">
        <f t="shared" si="2"/>
        <v/>
      </c>
      <c r="Q964" s="25" t="str">
        <f ca="1">IFERROR(__xludf.DUMMYFUNCTION("""COMPUTED_VALUE"""),"Largo plazo")</f>
        <v>Largo plazo</v>
      </c>
      <c r="R964" s="25"/>
      <c r="S964" s="55"/>
      <c r="T964" s="56"/>
      <c r="U964" s="25"/>
      <c r="V964" s="25"/>
      <c r="W964" s="25"/>
      <c r="X964" s="25"/>
      <c r="Y964" s="25"/>
      <c r="Z964" s="25"/>
    </row>
    <row r="965" spans="1:26" ht="52.5" customHeight="1" x14ac:dyDescent="0.25">
      <c r="A965" s="25" t="str">
        <f ca="1">IFERROR(__xludf.DUMMYFUNCTION("""COMPUTED_VALUE"""),"Integ63")</f>
        <v>Integ63</v>
      </c>
      <c r="B965" s="25" t="str">
        <f ca="1">IFERROR(__xludf.DUMMYFUNCTION("""COMPUTED_VALUE"""),"Mesa sistema de cuidado presupuesto 2023")</f>
        <v>Mesa sistema de cuidado presupuesto 2023</v>
      </c>
      <c r="C965" s="55">
        <f ca="1">IFERROR(__xludf.DUMMYFUNCTION("""COMPUTED_VALUE"""),44832)</f>
        <v>44832</v>
      </c>
      <c r="D965" s="25" t="str">
        <f ca="1">IFERROR(__xludf.DUMMYFUNCTION("""COMPUTED_VALUE"""),"Integración_Social")</f>
        <v>Integración_Social</v>
      </c>
      <c r="E965" s="25" t="str">
        <f ca="1">IFERROR(__xludf.DUMMYFUNCTION("""COMPUTED_VALUE"""),"Secretaría Distrital de Integración Social")</f>
        <v>Secretaría Distrital de Integración Social</v>
      </c>
      <c r="F965" s="25" t="str">
        <f ca="1">IFERROR(__xludf.DUMMYFUNCTION("""COMPUTED_VALUE"""),"Buscar una articulación con Prosperidad Social para la estrategia de Bogotá Hambre Cero.")</f>
        <v>Buscar una articulación con Prosperidad Social para la estrategia de Bogotá Hambre Cero.</v>
      </c>
      <c r="G965" s="25" t="str">
        <f ca="1">IFERROR(__xludf.DUMMYFUNCTION("""COMPUTED_VALUE"""),"99. Distrito")</f>
        <v>99. Distrito</v>
      </c>
      <c r="H965" s="55">
        <f ca="1">IFERROR(__xludf.DUMMYFUNCTION("""COMPUTED_VALUE"""),44925)</f>
        <v>44925</v>
      </c>
      <c r="I965" s="25"/>
      <c r="J965" s="55" t="str">
        <f ca="1">IFERROR(__xludf.DUMMYFUNCTION("""COMPUTED_VALUE"""),"Media")</f>
        <v>Media</v>
      </c>
      <c r="K965" s="25">
        <f ca="1">IFERROR(__xludf.DUMMYFUNCTION("""COMPUTED_VALUE"""),93)</f>
        <v>93</v>
      </c>
      <c r="L965" s="62">
        <f ca="1">IFERROR(__xludf.DUMMYFUNCTION("""COMPUTED_VALUE"""),44956)</f>
        <v>44956</v>
      </c>
      <c r="M965" s="25" t="str">
        <f ca="1">IFERROR(__xludf.DUMMYFUNCTION("""COMPUTED_VALUE"""),"""La articulación Distrito-Nación es fundamental, en la reducción de la pobreza monetaria y la pobreza extrema en el país y la ciudad. En la reunión del 3 de eneroel 2023, se definió trabajar intercambió de la información en tres programas específicos con"&amp;" el objetivo de seguir ampliando las coberturas. Estos programas son: 1) Ingreso Mínimo Garantizado (IMG), 2) Parceros por Bogotá y 3) Hambre Cero.
Para Hambre Cero, se propuso atender a 100.000 personas en inseguridad alimentaria severa que se encuentren"&amp;" en los niveles de Sisbén A y B por medio 10.000 nuevos cupos en comedores comunitarios y 90.000 bonos canjeables por alimentos. Se estima que la implementación de esta propuesta es equivalente a una inversión aproximada de $227.673 millones. Este valor h"&amp;"a sido estimado a partir de la información disponible en la Secretaría, pero puede variar en función del intercambio de información que se produzca entre los gobiernos nacional y distrital.""")</f>
        <v>"La articulación Distrito-Nación es fundamental, en la reducción de la pobreza monetaria y la pobreza extrema en el país y la ciudad. En la reunión del 3 de eneroel 2023, se definió trabajar intercambió de la información en tres programas específicos con el objetivo de seguir ampliando las coberturas. Estos programas son: 1) Ingreso Mínimo Garantizado (IMG), 2) Parceros por Bogotá y 3) Hambre Cero.
Para Hambre Cero, se propuso atender a 100.000 personas en inseguridad alimentaria severa que se encuentren en los niveles de Sisbén A y B por medio 10.000 nuevos cupos en comedores comunitarios y 90.000 bonos canjeables por alimentos. Se estima que la implementación de esta propuesta es equivalente a una inversión aproximada de $227.673 millones. Este valor ha sido estimado a partir de la información disponible en la Secretaría, pero puede variar en función del intercambio de información que se produzca entre los gobiernos nacional y distrital."</v>
      </c>
      <c r="N965" s="55">
        <f ca="1">IFERROR(__xludf.DUMMYFUNCTION("""COMPUTED_VALUE"""),44929)</f>
        <v>44929</v>
      </c>
      <c r="O965" s="25" t="str">
        <f t="shared" ca="1" si="0"/>
        <v>Secretaría Distrital de Integración Social</v>
      </c>
      <c r="P965" s="25" t="str">
        <f t="shared" si="2"/>
        <v/>
      </c>
      <c r="Q965" s="25" t="str">
        <f ca="1">IFERROR(__xludf.DUMMYFUNCTION("""COMPUTED_VALUE"""),"Mediano plazo")</f>
        <v>Mediano plazo</v>
      </c>
      <c r="R965" s="25"/>
      <c r="S965" s="55"/>
      <c r="T965" s="56"/>
      <c r="U965" s="25"/>
      <c r="V965" s="25"/>
      <c r="W965" s="25"/>
      <c r="X965" s="25"/>
      <c r="Y965" s="25"/>
      <c r="Z965" s="25"/>
    </row>
    <row r="966" spans="1:26" ht="52.5" customHeight="1" x14ac:dyDescent="0.25">
      <c r="A966" s="25" t="str">
        <f ca="1">IFERROR(__xludf.DUMMYFUNCTION("""COMPUTED_VALUE"""),"Integ64")</f>
        <v>Integ64</v>
      </c>
      <c r="B966" s="25" t="str">
        <f ca="1">IFERROR(__xludf.DUMMYFUNCTION("""COMPUTED_VALUE"""),"Bogotá sin Hambre")</f>
        <v>Bogotá sin Hambre</v>
      </c>
      <c r="C966" s="55">
        <f ca="1">IFERROR(__xludf.DUMMYFUNCTION("""COMPUTED_VALUE"""),44803)</f>
        <v>44803</v>
      </c>
      <c r="D966" s="25" t="str">
        <f ca="1">IFERROR(__xludf.DUMMYFUNCTION("""COMPUTED_VALUE"""),"Integración_Social")</f>
        <v>Integración_Social</v>
      </c>
      <c r="E966" s="25" t="str">
        <f ca="1">IFERROR(__xludf.DUMMYFUNCTION("""COMPUTED_VALUE"""),"Secretaría Distrital de Integración Social")</f>
        <v>Secretaría Distrital de Integración Social</v>
      </c>
      <c r="F966" s="25" t="str">
        <f ca="1">IFERROR(__xludf.DUMMYFUNCTION("""COMPUTED_VALUE"""),"Articularse con la Secretaría de Educación y revisar qué se requiere para volver los comedores escolares/jardines en comedores comunitario. Considerar esto para verificar presupuesto:
1.        Atención nocturna
2.        Uso de los espacios en los colegi"&amp;"os
3.        Operadores del PAE si pueden operar un turno más
4.        Comprarle insumos a la RAPE
La condición de asistir es que las personas se registren y se les mida peso y talla.   
")</f>
        <v xml:space="preserve">Articularse con la Secretaría de Educación y revisar qué se requiere para volver los comedores escolares/jardines en comedores comunitario. Considerar esto para verificar presupuesto:
1.        Atención nocturna
2.        Uso de los espacios en los colegios
3.        Operadores del PAE si pueden operar un turno más
4.        Comprarle insumos a la RAPE
La condición de asistir es que las personas se registren y se les mida peso y talla.   
</v>
      </c>
      <c r="G966" s="25" t="str">
        <f ca="1">IFERROR(__xludf.DUMMYFUNCTION("""COMPUTED_VALUE"""),"99. Distrito")</f>
        <v>99. Distrito</v>
      </c>
      <c r="H966" s="55">
        <f ca="1">IFERROR(__xludf.DUMMYFUNCTION("""COMPUTED_VALUE"""),44910)</f>
        <v>44910</v>
      </c>
      <c r="I966" s="25"/>
      <c r="J966" s="55" t="str">
        <f ca="1">IFERROR(__xludf.DUMMYFUNCTION("""COMPUTED_VALUE"""),"Media")</f>
        <v>Media</v>
      </c>
      <c r="K966" s="25">
        <f ca="1">IFERROR(__xludf.DUMMYFUNCTION("""COMPUTED_VALUE"""),107)</f>
        <v>107</v>
      </c>
      <c r="L966" s="62">
        <f ca="1">IFERROR(__xludf.DUMMYFUNCTION("""COMPUTED_VALUE"""),44956)</f>
        <v>44956</v>
      </c>
      <c r="M966" s="25" t="str">
        <f ca="1">IFERROR(__xludf.DUMMYFUNCTION("""COMPUTED_VALUE"""),"En cuanto a la tarea aclaramos: En cuanto a la RAPE esto lo están impulsando desde los comedores. El tema de uso en espacios escolares, en esa prueba piloto (la cena de navidad) fue muy complejo para coordinar con el operador. Y comedores nocturnos no tie"&amp;"nen recursos. De acuerdo a lo anterior se pide el cierre de la tarea")</f>
        <v>En cuanto a la tarea aclaramos: En cuanto a la RAPE esto lo están impulsando desde los comedores. El tema de uso en espacios escolares, en esa prueba piloto (la cena de navidad) fue muy complejo para coordinar con el operador. Y comedores nocturnos no tienen recursos. De acuerdo a lo anterior se pide el cierre de la tarea</v>
      </c>
      <c r="N966" s="55">
        <f ca="1">IFERROR(__xludf.DUMMYFUNCTION("""COMPUTED_VALUE"""),44956)</f>
        <v>44956</v>
      </c>
      <c r="O966" s="25" t="str">
        <f t="shared" ca="1" si="0"/>
        <v>Secretaría Distrital de Integración Social</v>
      </c>
      <c r="P966" s="25" t="str">
        <f t="shared" si="2"/>
        <v/>
      </c>
      <c r="Q966" s="25" t="str">
        <f ca="1">IFERROR(__xludf.DUMMYFUNCTION("""COMPUTED_VALUE"""),"Mediano plazo")</f>
        <v>Mediano plazo</v>
      </c>
      <c r="R966" s="25"/>
      <c r="S966" s="55"/>
      <c r="T966" s="56"/>
      <c r="U966" s="25"/>
      <c r="V966" s="25"/>
      <c r="W966" s="25"/>
      <c r="X966" s="25"/>
      <c r="Y966" s="25"/>
      <c r="Z966" s="25"/>
    </row>
    <row r="967" spans="1:26" ht="52.5" customHeight="1" x14ac:dyDescent="0.25">
      <c r="A967" s="25" t="str">
        <f ca="1">IFERROR(__xludf.DUMMYFUNCTION("""COMPUTED_VALUE"""),"Integ65")</f>
        <v>Integ65</v>
      </c>
      <c r="B967" s="25" t="str">
        <f ca="1">IFERROR(__xludf.DUMMYFUNCTION("""COMPUTED_VALUE"""),"Bogotá sin Hambre")</f>
        <v>Bogotá sin Hambre</v>
      </c>
      <c r="C967" s="55">
        <f ca="1">IFERROR(__xludf.DUMMYFUNCTION("""COMPUTED_VALUE"""),44803)</f>
        <v>44803</v>
      </c>
      <c r="D967" s="25" t="str">
        <f ca="1">IFERROR(__xludf.DUMMYFUNCTION("""COMPUTED_VALUE"""),"Integración_Social")</f>
        <v>Integración_Social</v>
      </c>
      <c r="E967" s="25" t="str">
        <f ca="1">IFERROR(__xludf.DUMMYFUNCTION("""COMPUTED_VALUE"""),"Secretaría Distrital de Integración Social")</f>
        <v>Secretaría Distrital de Integración Social</v>
      </c>
      <c r="F967" s="25" t="str">
        <f ca="1">IFERROR(__xludf.DUMMYFUNCTION("""COMPUTED_VALUE"""),"Los 65.000 niños y niñas tamizados por la SED deben estar en IMG o un servicio de la SDIS. Cruzar con IMG primero.")</f>
        <v>Los 65.000 niños y niñas tamizados por la SED deben estar en IMG o un servicio de la SDIS. Cruzar con IMG primero.</v>
      </c>
      <c r="G967" s="25" t="str">
        <f ca="1">IFERROR(__xludf.DUMMYFUNCTION("""COMPUTED_VALUE"""),"99. Distrito")</f>
        <v>99. Distrito</v>
      </c>
      <c r="H967" s="55">
        <f ca="1">IFERROR(__xludf.DUMMYFUNCTION("""COMPUTED_VALUE"""),45000)</f>
        <v>45000</v>
      </c>
      <c r="I967" s="25"/>
      <c r="J967" s="55" t="str">
        <f ca="1">IFERROR(__xludf.DUMMYFUNCTION("""COMPUTED_VALUE"""),"Baja")</f>
        <v>Baja</v>
      </c>
      <c r="K967" s="25">
        <f ca="1">IFERROR(__xludf.DUMMYFUNCTION("""COMPUTED_VALUE"""),197)</f>
        <v>197</v>
      </c>
      <c r="L967" s="62">
        <f ca="1">IFERROR(__xludf.DUMMYFUNCTION("""COMPUTED_VALUE"""),45000)</f>
        <v>45000</v>
      </c>
      <c r="M967" s="25" t="str">
        <f ca="1">IFERROR(__xludf.DUMMYFUNCTION("""COMPUTED_VALUE"""),"La base de datos remitida por la Secretaría Distrital de Planeación cuenta con 301.055 registros, de los cuales 178.873 son registros unicos que cuentan con registro civil o tajeta de identidad. Se realiza el cruce de estos menores con la base de datos de"&amp;" la Secretaría Distrital de Intergarción Social y se encuentran 51.272 registros unicos que han tenido actuaciones con la entidad, de los mismos 3.927 estan en atención en alguno de los servicios que presta la entidad")</f>
        <v>La base de datos remitida por la Secretaría Distrital de Planeación cuenta con 301.055 registros, de los cuales 178.873 son registros unicos que cuentan con registro civil o tajeta de identidad. Se realiza el cruce de estos menores con la base de datos de la Secretaría Distrital de Intergarción Social y se encuentran 51.272 registros unicos que han tenido actuaciones con la entidad, de los mismos 3.927 estan en atención en alguno de los servicios que presta la entidad</v>
      </c>
      <c r="N967" s="55">
        <f ca="1">IFERROR(__xludf.DUMMYFUNCTION("""COMPUTED_VALUE"""),44988)</f>
        <v>44988</v>
      </c>
      <c r="O967" s="25" t="str">
        <f t="shared" ca="1" si="0"/>
        <v>Secretaría Distrital de Integración Social</v>
      </c>
      <c r="P967" s="25" t="str">
        <f t="shared" si="2"/>
        <v/>
      </c>
      <c r="Q967" s="25" t="str">
        <f ca="1">IFERROR(__xludf.DUMMYFUNCTION("""COMPUTED_VALUE"""),"Largo plazo")</f>
        <v>Largo plazo</v>
      </c>
      <c r="R967" s="25"/>
      <c r="S967" s="55"/>
      <c r="T967" s="56"/>
      <c r="U967" s="25"/>
      <c r="V967" s="25"/>
      <c r="W967" s="25"/>
      <c r="X967" s="25"/>
      <c r="Y967" s="25"/>
      <c r="Z967" s="25"/>
    </row>
    <row r="968" spans="1:26" ht="52.5" customHeight="1" x14ac:dyDescent="0.25">
      <c r="A968" s="25" t="str">
        <f ca="1">IFERROR(__xludf.DUMMYFUNCTION("""COMPUTED_VALUE"""),"Integ66")</f>
        <v>Integ66</v>
      </c>
      <c r="B968" s="25" t="str">
        <f ca="1">IFERROR(__xludf.DUMMYFUNCTION("""COMPUTED_VALUE"""),"Reunión alcaldesa")</f>
        <v>Reunión alcaldesa</v>
      </c>
      <c r="C968" s="55">
        <f ca="1">IFERROR(__xludf.DUMMYFUNCTION("""COMPUTED_VALUE"""),44904)</f>
        <v>44904</v>
      </c>
      <c r="D968" s="25" t="str">
        <f ca="1">IFERROR(__xludf.DUMMYFUNCTION("""COMPUTED_VALUE"""),"Integración_Social")</f>
        <v>Integración_Social</v>
      </c>
      <c r="E968" s="25" t="str">
        <f ca="1">IFERROR(__xludf.DUMMYFUNCTION("""COMPUTED_VALUE"""),"Secretaría Distrital de Integración Social")</f>
        <v>Secretaría Distrital de Integración Social</v>
      </c>
      <c r="F968" s="25" t="str">
        <f ca="1">IFERROR(__xludf.DUMMYFUNCTION("""COMPUTED_VALUE"""),"Cambiar el aro de basket de la cancha de CDC Titos Garzón")</f>
        <v>Cambiar el aro de basket de la cancha de CDC Titos Garzón</v>
      </c>
      <c r="G968" s="25" t="str">
        <f ca="1">IFERROR(__xludf.DUMMYFUNCTION("""COMPUTED_VALUE"""),"99. Distrito")</f>
        <v>99. Distrito</v>
      </c>
      <c r="H968" s="55">
        <f ca="1">IFERROR(__xludf.DUMMYFUNCTION("""COMPUTED_VALUE"""),45000)</f>
        <v>45000</v>
      </c>
      <c r="I968" s="25"/>
      <c r="J968" s="55" t="str">
        <f ca="1">IFERROR(__xludf.DUMMYFUNCTION("""COMPUTED_VALUE"""),"Media")</f>
        <v>Media</v>
      </c>
      <c r="K968" s="25">
        <f ca="1">IFERROR(__xludf.DUMMYFUNCTION("""COMPUTED_VALUE"""),96)</f>
        <v>96</v>
      </c>
      <c r="L968" s="62">
        <f ca="1">IFERROR(__xludf.DUMMYFUNCTION("""COMPUTED_VALUE"""),45000)</f>
        <v>45000</v>
      </c>
      <c r="M968" s="25" t="str">
        <f ca="1">IFERROR(__xludf.DUMMYFUNCTION("""COMPUTED_VALUE"""),"El CDC Titos se encuentra ubicado en la Transversal 3 bis este # 47 b 45 en el barrio Pardo Rubio de la localidad de Chapinero; esta unidad operativa en su interior no tiene canchas. Sin embargo, frente al CDC se encuentran ubicadas dos canchas de balonce"&amp;"sto que no pertenecen a la SDIS.  Por lo tanto, las canchas no son administradas por la entidad, el acceso a ellas es público y su mantenimiento corresponde al IDRD")</f>
        <v>El CDC Titos se encuentra ubicado en la Transversal 3 bis este # 47 b 45 en el barrio Pardo Rubio de la localidad de Chapinero; esta unidad operativa en su interior no tiene canchas. Sin embargo, frente al CDC se encuentran ubicadas dos canchas de baloncesto que no pertenecen a la SDIS.  Por lo tanto, las canchas no son administradas por la entidad, el acceso a ellas es público y su mantenimiento corresponde al IDRD</v>
      </c>
      <c r="N968" s="55">
        <f ca="1">IFERROR(__xludf.DUMMYFUNCTION("""COMPUTED_VALUE"""),44972)</f>
        <v>44972</v>
      </c>
      <c r="O968" s="25" t="str">
        <f t="shared" ca="1" si="0"/>
        <v>Secretaría Distrital de Integración Social</v>
      </c>
      <c r="P968" s="25" t="str">
        <f t="shared" si="2"/>
        <v/>
      </c>
      <c r="Q968" s="25" t="str">
        <f ca="1">IFERROR(__xludf.DUMMYFUNCTION("""COMPUTED_VALUE"""),"Mediano plazo")</f>
        <v>Mediano plazo</v>
      </c>
      <c r="R968" s="25"/>
      <c r="S968" s="55"/>
      <c r="T968" s="56"/>
      <c r="U968" s="25"/>
      <c r="V968" s="25"/>
      <c r="W968" s="25"/>
      <c r="X968" s="25"/>
      <c r="Y968" s="25"/>
      <c r="Z968" s="25"/>
    </row>
    <row r="969" spans="1:26" ht="52.5" customHeight="1" x14ac:dyDescent="0.25">
      <c r="A969" s="25" t="str">
        <f ca="1">IFERROR(__xludf.DUMMYFUNCTION("""COMPUTED_VALUE"""),"Integ67")</f>
        <v>Integ67</v>
      </c>
      <c r="B969" s="25" t="str">
        <f ca="1">IFERROR(__xludf.DUMMYFUNCTION("""COMPUTED_VALUE"""),"Reunión alcaldesa")</f>
        <v>Reunión alcaldesa</v>
      </c>
      <c r="C969" s="55">
        <f ca="1">IFERROR(__xludf.DUMMYFUNCTION("""COMPUTED_VALUE"""),44904)</f>
        <v>44904</v>
      </c>
      <c r="D969" s="25" t="str">
        <f ca="1">IFERROR(__xludf.DUMMYFUNCTION("""COMPUTED_VALUE"""),"Integración_Social")</f>
        <v>Integración_Social</v>
      </c>
      <c r="E969" s="25" t="str">
        <f ca="1">IFERROR(__xludf.DUMMYFUNCTION("""COMPUTED_VALUE"""),"Secretaría Distrital de Integración Social")</f>
        <v>Secretaría Distrital de Integración Social</v>
      </c>
      <c r="F969" s="25" t="str">
        <f ca="1">IFERROR(__xludf.DUMMYFUNCTION("""COMPUTED_VALUE"""),"Tumbar el muro interno del CDC Titos Garzón")</f>
        <v>Tumbar el muro interno del CDC Titos Garzón</v>
      </c>
      <c r="G969" s="25" t="str">
        <f ca="1">IFERROR(__xludf.DUMMYFUNCTION("""COMPUTED_VALUE"""),"99. Distrito")</f>
        <v>99. Distrito</v>
      </c>
      <c r="H969" s="55">
        <f ca="1">IFERROR(__xludf.DUMMYFUNCTION("""COMPUTED_VALUE"""),45017)</f>
        <v>45017</v>
      </c>
      <c r="I969" s="25"/>
      <c r="J969" s="55" t="str">
        <f ca="1">IFERROR(__xludf.DUMMYFUNCTION("""COMPUTED_VALUE"""),"Media")</f>
        <v>Media</v>
      </c>
      <c r="K969" s="25">
        <f ca="1">IFERROR(__xludf.DUMMYFUNCTION("""COMPUTED_VALUE"""),113)</f>
        <v>113</v>
      </c>
      <c r="L969" s="62">
        <f ca="1">IFERROR(__xludf.DUMMYFUNCTION("""COMPUTED_VALUE"""),45015)</f>
        <v>45015</v>
      </c>
      <c r="M969" s="25" t="str">
        <f ca="1">IFERROR(__xludf.DUMMYFUNCTION("""COMPUTED_VALUE"""),"A la fecha del reporte el muro interno ya fue derrumbado,  así que la tarea puntual ya fue cumplida  ")</f>
        <v xml:space="preserve">A la fecha del reporte el muro interno ya fue derrumbado,  así que la tarea puntual ya fue cumplida  </v>
      </c>
      <c r="N969" s="55">
        <f ca="1">IFERROR(__xludf.DUMMYFUNCTION("""COMPUTED_VALUE"""),45015)</f>
        <v>45015</v>
      </c>
      <c r="O969" s="25" t="str">
        <f t="shared" ca="1" si="0"/>
        <v>Secretaría Distrital de Integración Social</v>
      </c>
      <c r="P969" s="25" t="str">
        <f t="shared" si="2"/>
        <v/>
      </c>
      <c r="Q969" s="25" t="str">
        <f ca="1">IFERROR(__xludf.DUMMYFUNCTION("""COMPUTED_VALUE"""),"Mediano plazo")</f>
        <v>Mediano plazo</v>
      </c>
      <c r="R969" s="25"/>
      <c r="S969" s="55"/>
      <c r="T969" s="56"/>
      <c r="U969" s="25"/>
      <c r="V969" s="25"/>
      <c r="W969" s="25"/>
      <c r="X969" s="25"/>
      <c r="Y969" s="25"/>
      <c r="Z969" s="25"/>
    </row>
    <row r="970" spans="1:26" ht="52.5" customHeight="1" x14ac:dyDescent="0.25">
      <c r="A970" s="25" t="str">
        <f ca="1">IFERROR(__xludf.DUMMYFUNCTION("""COMPUTED_VALUE"""),"Integ68")</f>
        <v>Integ68</v>
      </c>
      <c r="B970" s="25"/>
      <c r="C970" s="55"/>
      <c r="D970" s="25" t="str">
        <f ca="1">IFERROR(__xludf.DUMMYFUNCTION("""COMPUTED_VALUE"""),"Integración_Social")</f>
        <v>Integración_Social</v>
      </c>
      <c r="E970" s="25" t="str">
        <f ca="1">IFERROR(__xludf.DUMMYFUNCTION("""COMPUTED_VALUE"""),"Secretaría Distrital de Integración Social")</f>
        <v>Secretaría Distrital de Integración Social</v>
      </c>
      <c r="F970" s="25" t="str">
        <f ca="1">IFERROR(__xludf.DUMMYFUNCTION("""COMPUTED_VALUE"""),"Eliminada")</f>
        <v>Eliminada</v>
      </c>
      <c r="G970" s="25"/>
      <c r="H970" s="25"/>
      <c r="I970" s="25"/>
      <c r="J970" s="55"/>
      <c r="K970" s="25" t="str">
        <f ca="1">IFERROR(__xludf.DUMMYFUNCTION("""COMPUTED_VALUE"""),"Definir fecha")</f>
        <v>Definir fecha</v>
      </c>
      <c r="L970" s="62"/>
      <c r="M970" s="25"/>
      <c r="N970" s="25"/>
      <c r="O970" s="25" t="str">
        <f t="shared" ca="1" si="0"/>
        <v>Secretaría Distrital de Integración Social</v>
      </c>
      <c r="P970" s="25" t="str">
        <f t="shared" si="2"/>
        <v/>
      </c>
      <c r="Q970" s="25" t="str">
        <f ca="1">IFERROR(__xludf.DUMMYFUNCTION("""COMPUTED_VALUE"""),"Sin defenir")</f>
        <v>Sin defenir</v>
      </c>
      <c r="R970" s="25"/>
      <c r="S970" s="55"/>
      <c r="T970" s="56"/>
      <c r="U970" s="25"/>
      <c r="V970" s="25"/>
      <c r="W970" s="25"/>
      <c r="X970" s="25"/>
      <c r="Y970" s="25"/>
      <c r="Z970" s="25"/>
    </row>
    <row r="971" spans="1:26" ht="52.5" customHeight="1" x14ac:dyDescent="0.25">
      <c r="A971" s="25" t="str">
        <f ca="1">IFERROR(__xludf.DUMMYFUNCTION("""COMPUTED_VALUE"""),"Integ69")</f>
        <v>Integ69</v>
      </c>
      <c r="B971" s="25" t="str">
        <f ca="1">IFERROR(__xludf.DUMMYFUNCTION("""COMPUTED_VALUE"""),"Recorrido Puente Aranda")</f>
        <v>Recorrido Puente Aranda</v>
      </c>
      <c r="C971" s="55">
        <f ca="1">IFERROR(__xludf.DUMMYFUNCTION("""COMPUTED_VALUE"""),44971)</f>
        <v>44971</v>
      </c>
      <c r="D971" s="25" t="str">
        <f ca="1">IFERROR(__xludf.DUMMYFUNCTION("""COMPUTED_VALUE"""),"Integración_Social")</f>
        <v>Integración_Social</v>
      </c>
      <c r="E971" s="25" t="str">
        <f ca="1">IFERROR(__xludf.DUMMYFUNCTION("""COMPUTED_VALUE"""),"Secretaría Distrital de Integración Social")</f>
        <v>Secretaría Distrital de Integración Social</v>
      </c>
      <c r="F971" s="25" t="str">
        <f ca="1">IFERROR(__xludf.DUMMYFUNCTION("""COMPUTED_VALUE"""),"Revisar por qué quitaron el Jardín Infantil de la Plaza de la Hoja y mirar si es posible reabrirlo (evaluar si es posible en el CDC Galán donde operará la manzana del cuidado), toda vez que son poblaciones muy diferentes a la del Jardín de Bochica, donde "&amp;"los unificaron.")</f>
        <v>Revisar por qué quitaron el Jardín Infantil de la Plaza de la Hoja y mirar si es posible reabrirlo (evaluar si es posible en el CDC Galán donde operará la manzana del cuidado), toda vez que son poblaciones muy diferentes a la del Jardín de Bochica, donde los unificaron.</v>
      </c>
      <c r="G971" s="25" t="str">
        <f ca="1">IFERROR(__xludf.DUMMYFUNCTION("""COMPUTED_VALUE"""),"16. Puente Aranda")</f>
        <v>16. Puente Aranda</v>
      </c>
      <c r="H971" s="55">
        <f ca="1">IFERROR(__xludf.DUMMYFUNCTION("""COMPUTED_VALUE"""),44985)</f>
        <v>44985</v>
      </c>
      <c r="I971" s="25" t="str">
        <f ca="1">IFERROR(__xludf.DUMMYFUNCTION("""COMPUTED_VALUE"""),"Secretaría Privada")</f>
        <v>Secretaría Privada</v>
      </c>
      <c r="J971" s="55" t="str">
        <f ca="1">IFERROR(__xludf.DUMMYFUNCTION("""COMPUTED_VALUE"""),"Alta")</f>
        <v>Alta</v>
      </c>
      <c r="K971" s="25">
        <f ca="1">IFERROR(__xludf.DUMMYFUNCTION("""COMPUTED_VALUE"""),14)</f>
        <v>14</v>
      </c>
      <c r="L971" s="62">
        <f ca="1">IFERROR(__xludf.DUMMYFUNCTION("""COMPUTED_VALUE"""),45077)</f>
        <v>45077</v>
      </c>
      <c r="M971" s="25" t="str">
        <f ca="1">IFERROR(__xludf.DUMMYFUNCTION("""COMPUTED_VALUE"""),"El jardín Plaza de la Hoja no se ha quitado de manera definitiva,será re aperturado una vez se finalice el proceso contractual de renovación del arriendo del predio  ubicado en la carrera 31 No. 4-55 en el barrio Veraguas, mientras tanto se garantizará la"&amp;" atención de los niños y la niñas a través de la asignación de transporte.")</f>
        <v>El jardín Plaza de la Hoja no se ha quitado de manera definitiva,será re aperturado una vez se finalice el proceso contractual de renovación del arriendo del predio  ubicado en la carrera 31 No. 4-55 en el barrio Veraguas, mientras tanto se garantizará la atención de los niños y la niñas a través de la asignación de transporte.</v>
      </c>
      <c r="N971" s="25"/>
      <c r="O971" s="25" t="str">
        <f t="shared" ca="1" si="0"/>
        <v>Secretaría Distrital de Integración Social</v>
      </c>
      <c r="P971" s="25" t="str">
        <f t="shared" ca="1" si="2"/>
        <v/>
      </c>
      <c r="Q971" s="25" t="str">
        <f ca="1">IFERROR(__xludf.DUMMYFUNCTION("""COMPUTED_VALUE"""),"Corto plazo")</f>
        <v>Corto plazo</v>
      </c>
      <c r="R971" s="25"/>
      <c r="S971" s="55"/>
      <c r="T971" s="56"/>
      <c r="U971" s="25"/>
      <c r="V971" s="25"/>
      <c r="W971" s="25"/>
      <c r="X971" s="25"/>
      <c r="Y971" s="25"/>
      <c r="Z971" s="25"/>
    </row>
    <row r="972" spans="1:26" ht="52.5" customHeight="1" x14ac:dyDescent="0.25">
      <c r="A972" s="25" t="str">
        <f ca="1">IFERROR(__xludf.DUMMYFUNCTION("""COMPUTED_VALUE"""),"Integ70")</f>
        <v>Integ70</v>
      </c>
      <c r="B972" s="25"/>
      <c r="C972" s="55"/>
      <c r="D972" s="25" t="str">
        <f ca="1">IFERROR(__xludf.DUMMYFUNCTION("""COMPUTED_VALUE"""),"Integración_Social")</f>
        <v>Integración_Social</v>
      </c>
      <c r="E972" s="25" t="str">
        <f ca="1">IFERROR(__xludf.DUMMYFUNCTION("""COMPUTED_VALUE"""),"Secretaría Distrital de Integración Social")</f>
        <v>Secretaría Distrital de Integración Social</v>
      </c>
      <c r="F972" s="25" t="str">
        <f ca="1">IFERROR(__xludf.DUMMYFUNCTION("""COMPUTED_VALUE"""),"Eliminada")</f>
        <v>Eliminada</v>
      </c>
      <c r="G972" s="25"/>
      <c r="H972" s="25"/>
      <c r="I972" s="25"/>
      <c r="J972" s="55"/>
      <c r="K972" s="25" t="str">
        <f ca="1">IFERROR(__xludf.DUMMYFUNCTION("""COMPUTED_VALUE"""),"Definir fecha")</f>
        <v>Definir fecha</v>
      </c>
      <c r="L972" s="62"/>
      <c r="M972" s="25"/>
      <c r="N972" s="25"/>
      <c r="O972" s="25" t="str">
        <f t="shared" ca="1" si="0"/>
        <v>Secretaría Distrital de Integración Social</v>
      </c>
      <c r="P972" s="25" t="str">
        <f t="shared" si="2"/>
        <v/>
      </c>
      <c r="Q972" s="25" t="str">
        <f ca="1">IFERROR(__xludf.DUMMYFUNCTION("""COMPUTED_VALUE"""),"Sin defenir")</f>
        <v>Sin defenir</v>
      </c>
      <c r="R972" s="25"/>
      <c r="S972" s="55"/>
      <c r="T972" s="56"/>
      <c r="U972" s="25"/>
      <c r="V972" s="25"/>
      <c r="W972" s="25"/>
      <c r="X972" s="25"/>
      <c r="Y972" s="25"/>
      <c r="Z972" s="25"/>
    </row>
    <row r="973" spans="1:26" ht="52.5" customHeight="1" x14ac:dyDescent="0.25">
      <c r="A973" s="25" t="str">
        <f ca="1">IFERROR(__xludf.DUMMYFUNCTION("""COMPUTED_VALUE"""),"Integ71")</f>
        <v>Integ71</v>
      </c>
      <c r="B973" s="25" t="str">
        <f ca="1">IFERROR(__xludf.DUMMYFUNCTION("""COMPUTED_VALUE"""),"Recorrido Fontibón")</f>
        <v>Recorrido Fontibón</v>
      </c>
      <c r="C973" s="55">
        <f ca="1">IFERROR(__xludf.DUMMYFUNCTION("""COMPUTED_VALUE"""),44984)</f>
        <v>44984</v>
      </c>
      <c r="D973" s="25" t="str">
        <f ca="1">IFERROR(__xludf.DUMMYFUNCTION("""COMPUTED_VALUE"""),"Integración_Social")</f>
        <v>Integración_Social</v>
      </c>
      <c r="E973" s="25" t="str">
        <f ca="1">IFERROR(__xludf.DUMMYFUNCTION("""COMPUTED_VALUE"""),"Secretaría Distrital de Integración Social")</f>
        <v>Secretaría Distrital de Integración Social</v>
      </c>
      <c r="F973" s="25" t="str">
        <f ca="1">IFERROR(__xludf.DUMMYFUNCTION("""COMPUTED_VALUE"""),"Ampliar los servicios del centro crecer, ya que los problemas cognitivos profundos, no son atendidos después de los 18 años. Es necesaria la apertura de atención integral a mayores de 18. Así mismo, se requiere corresponsabilidad de la SDS para la interve"&amp;"nción de terapias físicas y psíquicas de menores de edad.")</f>
        <v>Ampliar los servicios del centro crecer, ya que los problemas cognitivos profundos, no son atendidos después de los 18 años. Es necesaria la apertura de atención integral a mayores de 18. Así mismo, se requiere corresponsabilidad de la SDS para la intervención de terapias físicas y psíquicas de menores de edad.</v>
      </c>
      <c r="G973" s="25" t="str">
        <f ca="1">IFERROR(__xludf.DUMMYFUNCTION("""COMPUTED_VALUE"""),"09. Fontibón")</f>
        <v>09. Fontibón</v>
      </c>
      <c r="H973" s="55">
        <f ca="1">IFERROR(__xludf.DUMMYFUNCTION("""COMPUTED_VALUE"""),45040)</f>
        <v>45040</v>
      </c>
      <c r="I973" s="25"/>
      <c r="J973" s="55" t="str">
        <f ca="1">IFERROR(__xludf.DUMMYFUNCTION("""COMPUTED_VALUE"""),"Alta")</f>
        <v>Alta</v>
      </c>
      <c r="K973" s="25">
        <f ca="1">IFERROR(__xludf.DUMMYFUNCTION("""COMPUTED_VALUE"""),56)</f>
        <v>56</v>
      </c>
      <c r="L973" s="62">
        <f ca="1">IFERROR(__xludf.DUMMYFUNCTION("""COMPUTED_VALUE"""),45016)</f>
        <v>45016</v>
      </c>
      <c r="M973" s="25" t="str">
        <f ca="1">IFERROR(__xludf.DUMMYFUNCTION("""COMPUTED_VALUE"""),"Respecto a la ampliación del servicio centros crecer, es preciso mencionar  de conformidad con la resolución No 0218 de 2023 la población objetivo de este servicio social son las Niñas, niños, adolescentes y/o jóvenes que se encuentren en edades entre los"&amp;" seis (6) y diecisiete (17) años once (11) meses con discapacidad intelectual no psicosocial que requieran apoyos extensos y generalizados o con discapacidad múltiple que requieran apoyos intermitentes y limitados, que residan en la ciudad de Bogotá.
S"&amp;"in embargo, en la actualidad la Subdirección para la Discapacidad cuenta servicios sociales dirigidos a personas con Discapacidad mayores de 18 años, a saber:
 Centros integrarte atención interna dirigido a personas con discapacidad que se encuentren e"&amp;"n edades entre los dieciocho (18) años y hasta los cincuenta y nueve (59) años once (11) meses de edad, con discapacidad intelectual o psicosocial o física o múltiple, que requieran apoyos extensos o generalizados, o con discapacidad intelectual o psicoso"&amp;"cial que requieran apoyos intermitentes o limitados que se encuentren en abandono social o que su cuidador no pueda ejercer su cuidado, que no se encuentren en fase aguda de enfermedad y que no presenten trastorno de la personalidad, que residan en la ciu"&amp;"dad de Bogotá D.C., que no cuenten con una red familiar o social de apoyo que garantice su cuidado, que no perciba pensión o subsidio económico mayor o igual a 1 SMMLV, verificado de acuerdo   con los procedimientos establecidos por la entidad.
")</f>
        <v xml:space="preserve">Respecto a la ampliación del servicio centros crecer, es preciso mencionar  de conformidad con la resolución No 0218 de 2023 la población objetivo de este servicio social son las Niñas, niños, adolescentes y/o jóvenes que se encuentren en edades entre los seis (6) y diecisiete (17) años once (11) meses con discapacidad intelectual no psicosocial que requieran apoyos extensos y generalizados o con discapacidad múltiple que requieran apoyos intermitentes y limitados, que residan en la ciudad de Bogotá.
Sin embargo, en la actualidad la Subdirección para la Discapacidad cuenta servicios sociales dirigidos a personas con Discapacidad mayores de 18 años, a saber:
 Centros integrarte atención interna dirigido a personas con discapacidad que se encuentren en edades entre los dieciocho (18) años y hasta los cincuenta y nueve (59) años once (11) meses de edad, con discapacidad intelectual o psicosocial o física o múltiple, que requieran apoyos extensos o generalizados, o con discapacidad intelectual o psicosocial que requieran apoyos intermitentes o limitados que se encuentren en abandono social o que su cuidador no pueda ejercer su cuidado, que no se encuentren en fase aguda de enfermedad y que no presenten trastorno de la personalidad, que residan en la ciudad de Bogotá D.C., que no cuenten con una red familiar o social de apoyo que garantice su cuidado, que no perciba pensión o subsidio económico mayor o igual a 1 SMMLV, verificado de acuerdo   con los procedimientos establecidos por la entidad.
</v>
      </c>
      <c r="N973" s="55">
        <f ca="1">IFERROR(__xludf.DUMMYFUNCTION("""COMPUTED_VALUE"""),45016)</f>
        <v>45016</v>
      </c>
      <c r="O973" s="25" t="str">
        <f t="shared" ca="1" si="0"/>
        <v>Secretaría Distrital de Integración Social</v>
      </c>
      <c r="P973" s="25" t="str">
        <f t="shared" si="2"/>
        <v/>
      </c>
      <c r="Q973" s="25" t="str">
        <f ca="1">IFERROR(__xludf.DUMMYFUNCTION("""COMPUTED_VALUE"""),"Corto plazo")</f>
        <v>Corto plazo</v>
      </c>
      <c r="R973" s="25"/>
      <c r="S973" s="55"/>
      <c r="T973" s="56"/>
      <c r="U973" s="25"/>
      <c r="V973" s="25"/>
      <c r="W973" s="25"/>
      <c r="X973" s="25"/>
      <c r="Y973" s="25"/>
      <c r="Z973" s="25"/>
    </row>
    <row r="974" spans="1:26" ht="52.5" customHeight="1" x14ac:dyDescent="0.25">
      <c r="A974" s="25" t="str">
        <f ca="1">IFERROR(__xludf.DUMMYFUNCTION("""COMPUTED_VALUE"""),"Integ72")</f>
        <v>Integ72</v>
      </c>
      <c r="B974" s="25" t="str">
        <f ca="1">IFERROR(__xludf.DUMMYFUNCTION("""COMPUTED_VALUE"""),"Recorrido Fontibón")</f>
        <v>Recorrido Fontibón</v>
      </c>
      <c r="C974" s="55">
        <f ca="1">IFERROR(__xludf.DUMMYFUNCTION("""COMPUTED_VALUE"""),44984)</f>
        <v>44984</v>
      </c>
      <c r="D974" s="25" t="str">
        <f ca="1">IFERROR(__xludf.DUMMYFUNCTION("""COMPUTED_VALUE"""),"Integración_Social")</f>
        <v>Integración_Social</v>
      </c>
      <c r="E974" s="25" t="str">
        <f ca="1">IFERROR(__xludf.DUMMYFUNCTION("""COMPUTED_VALUE"""),"Secretaría Distrital de Integración Social")</f>
        <v>Secretaría Distrital de Integración Social</v>
      </c>
      <c r="F974" s="25" t="str">
        <f ca="1">IFERROR(__xludf.DUMMYFUNCTION("""COMPUTED_VALUE"""),"Brindar atención a la infraestructura de algunos jardines como Rafael Pombo, ya que presentan humedad.")</f>
        <v>Brindar atención a la infraestructura de algunos jardines como Rafael Pombo, ya que presentan humedad.</v>
      </c>
      <c r="G974" s="25" t="str">
        <f ca="1">IFERROR(__xludf.DUMMYFUNCTION("""COMPUTED_VALUE"""),"09. Fontibón")</f>
        <v>09. Fontibón</v>
      </c>
      <c r="H974" s="55">
        <f ca="1">IFERROR(__xludf.DUMMYFUNCTION("""COMPUTED_VALUE"""),45042)</f>
        <v>45042</v>
      </c>
      <c r="I974" s="25" t="str">
        <f ca="1">IFERROR(__xludf.DUMMYFUNCTION("""COMPUTED_VALUE"""),"Secretaría Privada")</f>
        <v>Secretaría Privada</v>
      </c>
      <c r="J974" s="55" t="str">
        <f ca="1">IFERROR(__xludf.DUMMYFUNCTION("""COMPUTED_VALUE"""),"Alta")</f>
        <v>Alta</v>
      </c>
      <c r="K974" s="25">
        <f ca="1">IFERROR(__xludf.DUMMYFUNCTION("""COMPUTED_VALUE"""),58)</f>
        <v>58</v>
      </c>
      <c r="L974" s="62">
        <f ca="1">IFERROR(__xludf.DUMMYFUNCTION("""COMPUTED_VALUE"""),45061)</f>
        <v>45061</v>
      </c>
      <c r="M974" s="55" t="str">
        <f ca="1">IFERROR(__xludf.DUMMYFUNCTION("""COMPUTED_VALUE"""),"El día 12/05/2023 se finalizan las actividades de reparaciones locativas en el Jardín Infantil Rafael Pombo.")</f>
        <v>El día 12/05/2023 se finalizan las actividades de reparaciones locativas en el Jardín Infantil Rafael Pombo.</v>
      </c>
      <c r="N974" s="55">
        <f ca="1">IFERROR(__xludf.DUMMYFUNCTION("""COMPUTED_VALUE"""),45058)</f>
        <v>45058</v>
      </c>
      <c r="O974" s="25" t="str">
        <f t="shared" ca="1" si="0"/>
        <v>Secretaría Distrital de Integración Social</v>
      </c>
      <c r="P974" s="25" t="str">
        <f t="shared" ca="1" si="2"/>
        <v/>
      </c>
      <c r="Q974" s="25" t="str">
        <f ca="1">IFERROR(__xludf.DUMMYFUNCTION("""COMPUTED_VALUE"""),"Corto plazo")</f>
        <v>Corto plazo</v>
      </c>
      <c r="R974" s="25"/>
      <c r="S974" s="55"/>
      <c r="T974" s="56"/>
      <c r="U974" s="25"/>
      <c r="V974" s="25"/>
      <c r="W974" s="25"/>
      <c r="X974" s="25"/>
      <c r="Y974" s="25"/>
      <c r="Z974" s="25"/>
    </row>
    <row r="975" spans="1:26" ht="52.5" customHeight="1" x14ac:dyDescent="0.25">
      <c r="A975" s="25" t="str">
        <f ca="1">IFERROR(__xludf.DUMMYFUNCTION("""COMPUTED_VALUE"""),"Integ73")</f>
        <v>Integ73</v>
      </c>
      <c r="B975" s="25" t="str">
        <f ca="1">IFERROR(__xludf.DUMMYFUNCTION("""COMPUTED_VALUE"""),"Recorrido Tunjuelito")</f>
        <v>Recorrido Tunjuelito</v>
      </c>
      <c r="C975" s="55">
        <f ca="1">IFERROR(__xludf.DUMMYFUNCTION("""COMPUTED_VALUE"""),44992)</f>
        <v>44992</v>
      </c>
      <c r="D975" s="25" t="str">
        <f ca="1">IFERROR(__xludf.DUMMYFUNCTION("""COMPUTED_VALUE"""),"Integración_Social")</f>
        <v>Integración_Social</v>
      </c>
      <c r="E975" s="25" t="str">
        <f ca="1">IFERROR(__xludf.DUMMYFUNCTION("""COMPUTED_VALUE"""),"Secretaría Distrital de Integración Social")</f>
        <v>Secretaría Distrital de Integración Social</v>
      </c>
      <c r="F975" s="25" t="str">
        <f ca="1">IFERROR(__xludf.DUMMYFUNCTION("""COMPUTED_VALUE"""),"Realizar intervención en la Av Boyacá desde la Sevillana hasta el Portal Tunal ante presencia de un alto número de personas en condición de habitabilidad en calle.")</f>
        <v>Realizar intervención en la Av Boyacá desde la Sevillana hasta el Portal Tunal ante presencia de un alto número de personas en condición de habitabilidad en calle.</v>
      </c>
      <c r="G975" s="25" t="str">
        <f ca="1">IFERROR(__xludf.DUMMYFUNCTION("""COMPUTED_VALUE"""),"06. Tunjuelito")</f>
        <v>06. Tunjuelito</v>
      </c>
      <c r="H975" s="55">
        <f ca="1">IFERROR(__xludf.DUMMYFUNCTION("""COMPUTED_VALUE"""),45077)</f>
        <v>45077</v>
      </c>
      <c r="I975" s="25" t="str">
        <f ca="1">IFERROR(__xludf.DUMMYFUNCTION("""COMPUTED_VALUE"""),"Secretaría Privada")</f>
        <v>Secretaría Privada</v>
      </c>
      <c r="J975" s="55" t="str">
        <f ca="1">IFERROR(__xludf.DUMMYFUNCTION("""COMPUTED_VALUE"""),"Media")</f>
        <v>Media</v>
      </c>
      <c r="K975" s="25">
        <f ca="1">IFERROR(__xludf.DUMMYFUNCTION("""COMPUTED_VALUE"""),85)</f>
        <v>85</v>
      </c>
      <c r="L975" s="62">
        <f ca="1">IFERROR(__xludf.DUMMYFUNCTION("""COMPUTED_VALUE"""),45061)</f>
        <v>45061</v>
      </c>
      <c r="M975" s="25" t="str">
        <f ca="1">IFERROR(__xludf.DUMMYFUNCTION("""COMPUTED_VALUE"""),"De acuerdo con el compromiso establecido en Comité Operativo del Fenómeno de habitabilidad en calle de la localidad de Tunjuelito realizado en el mes de abril del año en curso, se realizó intervención en el polígono correspondiente a la Avenida  Boyacá in"&amp;"iciando desde la Autopista Sur (Tv 60 # 45 A 20 sur, hasta la CL 58 Sur # 19 B-77 Portal Tunal) el día 4 de mayo del presente año, donde participaron las siguientes entidades:
•        Alcaldía Local
•        Subred de Salud Sur
•        Secretaria de Seg"&amp;"uridad Convivencia y Justicia
•        Secretaria de Ambiente – Administración Humedal el Tunjo
•        Secretaria de Integración Social - Subdirección para la Adultez
•        Instituto Distrital para la Protección de la Niñez y la Juventud - IDIPRON
Lo"&amp;"s resultados obtenidos fueron:
Se identificaron seis (6) Cambuches circunstanciales, cinco (5) Ciudadanos habitantes de calle mayores de 29 años de edad, Uno (1) Ciudadano habitante de calle menor de 29 años, tres (3) ciudadanos migrantes de nacionalidad "&amp;"venezolana y tres (3) Carretas.
Sector social: 
•        Activación de ruta de para manejo de sustancias psicoactivas con la Fundación Casa del Rey para una (1) persona en flujo migratorio irregular de nacionalidad venezolana, un (1) ciudadano de nacional"&amp;"idad Colombiana, para atención  
•        Se realiza orientación y referenciación a población en riesgo de habitabilidad en calle frente al posible acceso de arriendo solidario.
•        Activación de ruta para atención de ciudadano habitante de calle men"&amp;"or de 29 años en la UPI Perdomo de IDIPRON
•        Orientación a la población habitante de calle que no acepta la oferta social, frente a ruta de aseguramiento en salud, acceso a comedores comunitarios, y se deja información para que en el momento que de"&amp;" forma voluntaria deseen aceptar la oferta del sector social puedan acceder a ellas.
Sector Salud: 
•        Activación de ruta de salud mental.
•        Orientación frente a enfermedades de transmisión sexual y mitigación de daños asociados al consumo de"&amp;" sustancias psicoactivas, 
Sector gobierno y seguridad:
•        Orientación frente al uso adecuado del espacio público y normas de convivencia ")</f>
        <v xml:space="preserve">De acuerdo con el compromiso establecido en Comité Operativo del Fenómeno de habitabilidad en calle de la localidad de Tunjuelito realizado en el mes de abril del año en curso, se realizó intervención en el polígono correspondiente a la Avenida  Boyacá iniciando desde la Autopista Sur (Tv 60 # 45 A 20 sur, hasta la CL 58 Sur # 19 B-77 Portal Tunal) el día 4 de mayo del presente año, donde participaron las siguientes entidades:
•        Alcaldía Local
•        Subred de Salud Sur
•        Secretaria de Seguridad Convivencia y Justicia
•        Secretaria de Ambiente – Administración Humedal el Tunjo
•        Secretaria de Integración Social - Subdirección para la Adultez
•        Instituto Distrital para la Protección de la Niñez y la Juventud - IDIPRON
Los resultados obtenidos fueron:
Se identificaron seis (6) Cambuches circunstanciales, cinco (5) Ciudadanos habitantes de calle mayores de 29 años de edad, Uno (1) Ciudadano habitante de calle menor de 29 años, tres (3) ciudadanos migrantes de nacionalidad venezolana y tres (3) Carretas.
Sector social: 
•        Activación de ruta de para manejo de sustancias psicoactivas con la Fundación Casa del Rey para una (1) persona en flujo migratorio irregular de nacionalidad venezolana, un (1) ciudadano de nacionalidad Colombiana, para atención  
•        Se realiza orientación y referenciación a población en riesgo de habitabilidad en calle frente al posible acceso de arriendo solidario.
•        Activación de ruta para atención de ciudadano habitante de calle menor de 29 años en la UPI Perdomo de IDIPRON
•        Orientación a la población habitante de calle que no acepta la oferta social, frente a ruta de aseguramiento en salud, acceso a comedores comunitarios, y se deja información para que en el momento que de forma voluntaria deseen aceptar la oferta del sector social puedan acceder a ellas.
Sector Salud: 
•        Activación de ruta de salud mental.
•        Orientación frente a enfermedades de transmisión sexual y mitigación de daños asociados al consumo de sustancias psicoactivas, 
Sector gobierno y seguridad:
•        Orientación frente al uso adecuado del espacio público y normas de convivencia </v>
      </c>
      <c r="N975" s="55">
        <f ca="1">IFERROR(__xludf.DUMMYFUNCTION("""COMPUTED_VALUE"""),45050)</f>
        <v>45050</v>
      </c>
      <c r="O975" s="25" t="str">
        <f t="shared" ca="1" si="0"/>
        <v>Secretaría Distrital de Integración Social</v>
      </c>
      <c r="P975" s="25" t="str">
        <f t="shared" ca="1" si="2"/>
        <v/>
      </c>
      <c r="Q975" s="25" t="str">
        <f ca="1">IFERROR(__xludf.DUMMYFUNCTION("""COMPUTED_VALUE"""),"Mediano plazo")</f>
        <v>Mediano plazo</v>
      </c>
      <c r="R975" s="25"/>
      <c r="S975" s="55"/>
      <c r="T975" s="56"/>
      <c r="U975" s="25"/>
      <c r="V975" s="25"/>
      <c r="W975" s="25"/>
      <c r="X975" s="25"/>
      <c r="Y975" s="25"/>
      <c r="Z975" s="25"/>
    </row>
    <row r="976" spans="1:26" ht="52.5" customHeight="1" x14ac:dyDescent="0.25">
      <c r="A976" s="25" t="str">
        <f ca="1">IFERROR(__xludf.DUMMYFUNCTION("""COMPUTED_VALUE"""),"Integ74")</f>
        <v>Integ74</v>
      </c>
      <c r="B976" s="25" t="str">
        <f ca="1">IFERROR(__xludf.DUMMYFUNCTION("""COMPUTED_VALUE"""),"Recorrido Antonio Nariño")</f>
        <v>Recorrido Antonio Nariño</v>
      </c>
      <c r="C976" s="55">
        <f ca="1">IFERROR(__xludf.DUMMYFUNCTION("""COMPUTED_VALUE"""),44999)</f>
        <v>44999</v>
      </c>
      <c r="D976" s="25" t="str">
        <f ca="1">IFERROR(__xludf.DUMMYFUNCTION("""COMPUTED_VALUE"""),"Integración_Social")</f>
        <v>Integración_Social</v>
      </c>
      <c r="E976" s="25" t="str">
        <f ca="1">IFERROR(__xludf.DUMMYFUNCTION("""COMPUTED_VALUE"""),"Secretaría Distrital de Integración Social")</f>
        <v>Secretaría Distrital de Integración Social</v>
      </c>
      <c r="F976" s="25" t="str">
        <f ca="1">IFERROR(__xludf.DUMMYFUNCTION("""COMPUTED_VALUE"""),"La SDIS debe revisar junto con la Secretaría Distrital de la Mujer la viabilidad técnica y favorabilidad ciudadana de disponer la casa de la juventud para uso compartido y de manera temporal como manzana del cuidado.")</f>
        <v>La SDIS debe revisar junto con la Secretaría Distrital de la Mujer la viabilidad técnica y favorabilidad ciudadana de disponer la casa de la juventud para uso compartido y de manera temporal como manzana del cuidado.</v>
      </c>
      <c r="G976" s="25" t="str">
        <f ca="1">IFERROR(__xludf.DUMMYFUNCTION("""COMPUTED_VALUE"""),"15. Antonio Nariño")</f>
        <v>15. Antonio Nariño</v>
      </c>
      <c r="H976" s="55">
        <f ca="1">IFERROR(__xludf.DUMMYFUNCTION("""COMPUTED_VALUE"""),45046)</f>
        <v>45046</v>
      </c>
      <c r="I976" s="25"/>
      <c r="J976" s="55" t="str">
        <f ca="1">IFERROR(__xludf.DUMMYFUNCTION("""COMPUTED_VALUE"""),"Alta")</f>
        <v>Alta</v>
      </c>
      <c r="K976" s="25">
        <f ca="1">IFERROR(__xludf.DUMMYFUNCTION("""COMPUTED_VALUE"""),47)</f>
        <v>47</v>
      </c>
      <c r="L976" s="62">
        <f ca="1">IFERROR(__xludf.DUMMYFUNCTION("""COMPUTED_VALUE"""),45015)</f>
        <v>45015</v>
      </c>
      <c r="M976" s="25" t="str">
        <f ca="1">IFERROR(__xludf.DUMMYFUNCTION("""COMPUTED_VALUE"""),"En reunion de funcionarios de la Secretaria de la Mujer, Secretaria de Integración Social y Alcaldesa Mayor  llevada a cabo el 14 de Marzo , se evaluo la viabibilidad, concluyendo  que, por la estructura fisica del espacio, no es la insfraestrctura más ad"&amp;"ecuada, por lo tanto se cancela esta proposición y se esta en espera de la identificación del espacio pertinente y que permita las adecuaciones e implementación necesarias.")</f>
        <v>En reunion de funcionarios de la Secretaria de la Mujer, Secretaria de Integración Social y Alcaldesa Mayor  llevada a cabo el 14 de Marzo , se evaluo la viabibilidad, concluyendo  que, por la estructura fisica del espacio, no es la insfraestrctura más adecuada, por lo tanto se cancela esta proposición y se esta en espera de la identificación del espacio pertinente y que permita las adecuaciones e implementación necesarias.</v>
      </c>
      <c r="N976" s="55">
        <f ca="1">IFERROR(__xludf.DUMMYFUNCTION("""COMPUTED_VALUE"""),45015)</f>
        <v>45015</v>
      </c>
      <c r="O976" s="25" t="str">
        <f t="shared" ca="1" si="0"/>
        <v>Secretaría Distrital de Integración Social</v>
      </c>
      <c r="P976" s="25" t="str">
        <f t="shared" si="2"/>
        <v/>
      </c>
      <c r="Q976" s="25" t="str">
        <f ca="1">IFERROR(__xludf.DUMMYFUNCTION("""COMPUTED_VALUE"""),"Corto plazo")</f>
        <v>Corto plazo</v>
      </c>
      <c r="R976" s="25"/>
      <c r="S976" s="55"/>
      <c r="T976" s="56"/>
      <c r="U976" s="25"/>
      <c r="V976" s="25"/>
      <c r="W976" s="25"/>
      <c r="X976" s="25"/>
      <c r="Y976" s="25"/>
      <c r="Z976" s="25"/>
    </row>
    <row r="977" spans="1:26" ht="52.5" customHeight="1" x14ac:dyDescent="0.25">
      <c r="A977" s="25" t="str">
        <f ca="1">IFERROR(__xludf.DUMMYFUNCTION("""COMPUTED_VALUE"""),"Integ75")</f>
        <v>Integ75</v>
      </c>
      <c r="B977" s="25" t="str">
        <f ca="1">IFERROR(__xludf.DUMMYFUNCTION("""COMPUTED_VALUE"""),"Consejo Local de Gobierno de Engativá")</f>
        <v>Consejo Local de Gobierno de Engativá</v>
      </c>
      <c r="C977" s="55">
        <f ca="1">IFERROR(__xludf.DUMMYFUNCTION("""COMPUTED_VALUE"""),44588)</f>
        <v>44588</v>
      </c>
      <c r="D977" s="25" t="str">
        <f ca="1">IFERROR(__xludf.DUMMYFUNCTION("""COMPUTED_VALUE"""),"Integración_Social")</f>
        <v>Integración_Social</v>
      </c>
      <c r="E977" s="25" t="str">
        <f ca="1">IFERROR(__xludf.DUMMYFUNCTION("""COMPUTED_VALUE"""),"Secretaría Distrital de Integración Social")</f>
        <v>Secretaría Distrital de Integración Social</v>
      </c>
      <c r="F977" s="25" t="str">
        <f ca="1">IFERROR(__xludf.DUMMYFUNCTION("""COMPUTED_VALUE"""),"Entregar el Centro de Protección del Adulto Mayor y Habitante de Calle (El Camino)")</f>
        <v>Entregar el Centro de Protección del Adulto Mayor y Habitante de Calle (El Camino)</v>
      </c>
      <c r="G977" s="25" t="str">
        <f ca="1">IFERROR(__xludf.DUMMYFUNCTION("""COMPUTED_VALUE"""),"10. Engativá")</f>
        <v>10. Engativá</v>
      </c>
      <c r="H977" s="55">
        <f ca="1">IFERROR(__xludf.DUMMYFUNCTION("""COMPUTED_VALUE"""),45245)</f>
        <v>45245</v>
      </c>
      <c r="I977" s="25" t="str">
        <f ca="1">IFERROR(__xludf.DUMMYFUNCTION("""COMPUTED_VALUE"""),"Junta de Infraestructura")</f>
        <v>Junta de Infraestructura</v>
      </c>
      <c r="J977" s="55" t="str">
        <f ca="1">IFERROR(__xludf.DUMMYFUNCTION("""COMPUTED_VALUE"""),"Baja")</f>
        <v>Baja</v>
      </c>
      <c r="K977" s="25">
        <f ca="1">IFERROR(__xludf.DUMMYFUNCTION("""COMPUTED_VALUE"""),657)</f>
        <v>657</v>
      </c>
      <c r="L977" s="62">
        <f ca="1">IFERROR(__xludf.DUMMYFUNCTION("""COMPUTED_VALUE"""),45077)</f>
        <v>45077</v>
      </c>
      <c r="M977" s="25" t="str">
        <f ca="1">IFERROR(__xludf.DUMMYFUNCTION("""COMPUTED_VALUE"""),"El Centro el Camino, esta compuesto por tres edificaciones: centro protección, centro día y centro vida, con base en el informe semanal No. 61 con corte al 28 de mayo de 2023 lleva un avance ejecutado de la obra del 58.52% a la fecha existen 100 empleos g"&amp;"enerados. La obra avanza de la siguiente manera: 
Centro de Protección - Continúa construcción de muros en ladrillo coral en el piso 3 y piso 4, instalación de redes hidrosanitarias y eléctricas, retiro y adecuación de casetones bajo placa del piso 6, in"&amp;"stalación de redes contra incendios en piso 3, aplicación de pañetes en muros de piso 2, continúa amarre de acero de refuerzo y encofrado para placa de cubierta entre ejes 5-10.
En Centro Vida - continua instalación de ladrillo vicenzo en muros de piso 2"&amp;", instalación de ladrillo coral en piso 3, retiro de casetones bajo placa del piso 5, continúa trasiego de parales y materiales para construcción de plataforma de placa de cubierta, continúa descabece de pilotes para construcción de muro MC3 entre ejes 7-"&amp;"5.    
En Centro Día - Continúa descabece de pilotes.  ")</f>
        <v xml:space="preserve">El Centro el Camino, esta compuesto por tres edificaciones: centro protección, centro día y centro vida, con base en el informe semanal No. 61 con corte al 28 de mayo de 2023 lleva un avance ejecutado de la obra del 58.52% a la fecha existen 100 empleos generados. La obra avanza de la siguiente manera: 
Centro de Protección - Continúa construcción de muros en ladrillo coral en el piso 3 y piso 4, instalación de redes hidrosanitarias y eléctricas, retiro y adecuación de casetones bajo placa del piso 6, instalación de redes contra incendios en piso 3, aplicación de pañetes en muros de piso 2, continúa amarre de acero de refuerzo y encofrado para placa de cubierta entre ejes 5-10.
En Centro Vida - continua instalación de ladrillo vicenzo en muros de piso 2, instalación de ladrillo coral en piso 3, retiro de casetones bajo placa del piso 5, continúa trasiego de parales y materiales para construcción de plataforma de placa de cubierta, continúa descabece de pilotes para construcción de muro MC3 entre ejes 7-5.    
En Centro Día - Continúa descabece de pilotes.  </v>
      </c>
      <c r="N977" s="25"/>
      <c r="O977" s="25" t="str">
        <f t="shared" ca="1" si="0"/>
        <v>Secretaría Distrital de Integración Social</v>
      </c>
      <c r="P977" s="25" t="str">
        <f t="shared" ca="1" si="2"/>
        <v/>
      </c>
      <c r="Q977" s="25" t="str">
        <f ca="1">IFERROR(__xludf.DUMMYFUNCTION("""COMPUTED_VALUE"""),"Largo plazo")</f>
        <v>Largo plazo</v>
      </c>
      <c r="R977" s="25"/>
      <c r="S977" s="55"/>
      <c r="T977" s="56"/>
      <c r="U977" s="25"/>
      <c r="V977" s="25"/>
      <c r="W977" s="25"/>
      <c r="X977" s="25"/>
      <c r="Y977" s="25"/>
      <c r="Z977" s="25"/>
    </row>
    <row r="978" spans="1:26" ht="52.5" customHeight="1" x14ac:dyDescent="0.25">
      <c r="A978" s="25" t="str">
        <f ca="1">IFERROR(__xludf.DUMMYFUNCTION("""COMPUTED_VALUE"""),"Integ76")</f>
        <v>Integ76</v>
      </c>
      <c r="B978" s="25" t="str">
        <f ca="1">IFERROR(__xludf.DUMMYFUNCTION("""COMPUTED_VALUE"""),"Consejo Local de Gobierno de Ciudad Bolívar")</f>
        <v>Consejo Local de Gobierno de Ciudad Bolívar</v>
      </c>
      <c r="C978" s="55">
        <f ca="1">IFERROR(__xludf.DUMMYFUNCTION("""COMPUTED_VALUE"""),44595)</f>
        <v>44595</v>
      </c>
      <c r="D978" s="25" t="str">
        <f ca="1">IFERROR(__xludf.DUMMYFUNCTION("""COMPUTED_VALUE"""),"Integración_Social")</f>
        <v>Integración_Social</v>
      </c>
      <c r="E978" s="25" t="str">
        <f ca="1">IFERROR(__xludf.DUMMYFUNCTION("""COMPUTED_VALUE"""),"Secretaría Distrital de Integración Social")</f>
        <v>Secretaría Distrital de Integración Social</v>
      </c>
      <c r="F978" s="25" t="str">
        <f ca="1">IFERROR(__xludf.DUMMYFUNCTION("""COMPUTED_VALUE"""),"Abrir el Centro día para el adulto mayor en bella flor")</f>
        <v>Abrir el Centro día para el adulto mayor en bella flor</v>
      </c>
      <c r="G978" s="25" t="str">
        <f ca="1">IFERROR(__xludf.DUMMYFUNCTION("""COMPUTED_VALUE"""),"19. Ciudad Bolívar")</f>
        <v>19. Ciudad Bolívar</v>
      </c>
      <c r="H978" s="55">
        <f ca="1">IFERROR(__xludf.DUMMYFUNCTION("""COMPUTED_VALUE"""),44630)</f>
        <v>44630</v>
      </c>
      <c r="I978" s="25"/>
      <c r="J978" s="55" t="str">
        <f ca="1">IFERROR(__xludf.DUMMYFUNCTION("""COMPUTED_VALUE"""),"Alta")</f>
        <v>Alta</v>
      </c>
      <c r="K978" s="25">
        <f ca="1">IFERROR(__xludf.DUMMYFUNCTION("""COMPUTED_VALUE"""),35)</f>
        <v>35</v>
      </c>
      <c r="L978" s="62">
        <f ca="1">IFERROR(__xludf.DUMMYFUNCTION("""COMPUTED_VALUE"""),44630)</f>
        <v>44630</v>
      </c>
      <c r="M978" s="25" t="str">
        <f ca="1">IFERROR(__xludf.DUMMYFUNCTION("""COMPUTED_VALUE"""),"La apertura de la unidad operativa Centro Día Casa de la Sabiduría Bella Flor se realizó el 28 de febrero de 2022 y se inició la prestación del servicio a partir del 01 de marzo.")</f>
        <v>La apertura de la unidad operativa Centro Día Casa de la Sabiduría Bella Flor se realizó el 28 de febrero de 2022 y se inició la prestación del servicio a partir del 01 de marzo.</v>
      </c>
      <c r="N978" s="55">
        <f ca="1">IFERROR(__xludf.DUMMYFUNCTION("""COMPUTED_VALUE"""),44926)</f>
        <v>44926</v>
      </c>
      <c r="O978" s="25" t="str">
        <f t="shared" ca="1" si="0"/>
        <v>Secretaría Distrital de Integración Social</v>
      </c>
      <c r="P978" s="25" t="str">
        <f t="shared" si="2"/>
        <v/>
      </c>
      <c r="Q978" s="25" t="str">
        <f ca="1">IFERROR(__xludf.DUMMYFUNCTION("""COMPUTED_VALUE"""),"Corto plazo")</f>
        <v>Corto plazo</v>
      </c>
      <c r="R978" s="25"/>
      <c r="S978" s="55"/>
      <c r="T978" s="56"/>
      <c r="U978" s="25"/>
      <c r="V978" s="25"/>
      <c r="W978" s="25"/>
      <c r="X978" s="25"/>
      <c r="Y978" s="25"/>
      <c r="Z978" s="25"/>
    </row>
    <row r="979" spans="1:26" ht="52.5" customHeight="1" x14ac:dyDescent="0.25">
      <c r="A979" s="25" t="str">
        <f ca="1">IFERROR(__xludf.DUMMYFUNCTION("""COMPUTED_VALUE"""),"Integ77")</f>
        <v>Integ77</v>
      </c>
      <c r="B979" s="25" t="str">
        <f ca="1">IFERROR(__xludf.DUMMYFUNCTION("""COMPUTED_VALUE"""),"Consejo Local de Gobierno de Usaquén")</f>
        <v>Consejo Local de Gobierno de Usaquén</v>
      </c>
      <c r="C979" s="55">
        <f ca="1">IFERROR(__xludf.DUMMYFUNCTION("""COMPUTED_VALUE"""),44644)</f>
        <v>44644</v>
      </c>
      <c r="D979" s="25" t="str">
        <f ca="1">IFERROR(__xludf.DUMMYFUNCTION("""COMPUTED_VALUE"""),"Integración_Social")</f>
        <v>Integración_Social</v>
      </c>
      <c r="E979" s="25" t="str">
        <f ca="1">IFERROR(__xludf.DUMMYFUNCTION("""COMPUTED_VALUE"""),"Secretaría Distrital de Integración Social")</f>
        <v>Secretaría Distrital de Integración Social</v>
      </c>
      <c r="F979" s="25" t="str">
        <f ca="1">IFERROR(__xludf.DUMMYFUNCTION("""COMPUTED_VALUE"""),"Hacer seguimiento a las denuncias tomadas por la Secretaria de Integración Social sobre las irregularidades reportadas por el ciudadano Mauricio Valenzuela sobre la alimentación que se está dando a los niños, la calidad de las docentes y el número de niño"&amp;"s matriculados vs el número de niños atendidos en los jardines infantiles de la localidad")</f>
        <v>Hacer seguimiento a las denuncias tomadas por la Secretaria de Integración Social sobre las irregularidades reportadas por el ciudadano Mauricio Valenzuela sobre la alimentación que se está dando a los niños, la calidad de las docentes y el número de niños matriculados vs el número de niños atendidos en los jardines infantiles de la localidad</v>
      </c>
      <c r="G979" s="25" t="str">
        <f ca="1">IFERROR(__xludf.DUMMYFUNCTION("""COMPUTED_VALUE"""),"01. Usaquén")</f>
        <v>01. Usaquén</v>
      </c>
      <c r="H979" s="55">
        <f ca="1">IFERROR(__xludf.DUMMYFUNCTION("""COMPUTED_VALUE"""),44692)</f>
        <v>44692</v>
      </c>
      <c r="I979" s="25"/>
      <c r="J979" s="55" t="str">
        <f ca="1">IFERROR(__xludf.DUMMYFUNCTION("""COMPUTED_VALUE"""),"Alta")</f>
        <v>Alta</v>
      </c>
      <c r="K979" s="25">
        <f ca="1">IFERROR(__xludf.DUMMYFUNCTION("""COMPUTED_VALUE"""),48)</f>
        <v>48</v>
      </c>
      <c r="L979" s="62">
        <f ca="1">IFERROR(__xludf.DUMMYFUNCTION("""COMPUTED_VALUE"""),44692)</f>
        <v>44692</v>
      </c>
      <c r="M979" s="25" t="str">
        <f ca="1">IFERROR(__xludf.DUMMYFUNCTION("""COMPUTED_VALUE"""),"La Secretaría de Integración Social por medio de la Dirección de Nutrición y Abastecimiento, se comunicó por teléfono con el Señor Valenzuela el día 6 de abril en horas de la mañana y manifestó lo siguiente: “Con respecto al tema de alimentación, ese mism"&amp;"o día de Consejo se dio respuesta por parte de la Señora secretaria Margarita Barraquer indicándole que ya se habían normalizado las minutas de alimentos con las preparaciones tradicionales y manifestó estar satisfecho con la respuesta.” 
 En cuanto a l"&amp;"as denuncias realizada por el señor, relacionadas con la calidad de las docentes y el número de niños matriculados vs el número de niños atendidos en los jardines infantiles de la localidad, la subdirección para la infancia de la SDIS, envío correo al pet"&amp;"icionario el 8 de abril dando respuesta a sus inquietudes.")</f>
        <v>La Secretaría de Integración Social por medio de la Dirección de Nutrición y Abastecimiento, se comunicó por teléfono con el Señor Valenzuela el día 6 de abril en horas de la mañana y manifestó lo siguiente: “Con respecto al tema de alimentación, ese mismo día de Consejo se dio respuesta por parte de la Señora secretaria Margarita Barraquer indicándole que ya se habían normalizado las minutas de alimentos con las preparaciones tradicionales y manifestó estar satisfecho con la respuesta.” 
 En cuanto a las denuncias realizada por el señor, relacionadas con la calidad de las docentes y el número de niños matriculados vs el número de niños atendidos en los jardines infantiles de la localidad, la subdirección para la infancia de la SDIS, envío correo al peticionario el 8 de abril dando respuesta a sus inquietudes.</v>
      </c>
      <c r="N979" s="55">
        <f ca="1">IFERROR(__xludf.DUMMYFUNCTION("""COMPUTED_VALUE"""),44926)</f>
        <v>44926</v>
      </c>
      <c r="O979" s="25" t="str">
        <f t="shared" ca="1" si="0"/>
        <v>Secretaría Distrital de Integración Social</v>
      </c>
      <c r="P979" s="25" t="str">
        <f t="shared" si="2"/>
        <v/>
      </c>
      <c r="Q979" s="25" t="str">
        <f ca="1">IFERROR(__xludf.DUMMYFUNCTION("""COMPUTED_VALUE"""),"Corto plazo")</f>
        <v>Corto plazo</v>
      </c>
      <c r="R979" s="25"/>
      <c r="S979" s="55"/>
      <c r="T979" s="56"/>
      <c r="U979" s="25"/>
      <c r="V979" s="25"/>
      <c r="W979" s="25"/>
      <c r="X979" s="25"/>
      <c r="Y979" s="25"/>
      <c r="Z979" s="25"/>
    </row>
    <row r="980" spans="1:26" ht="52.5" customHeight="1" x14ac:dyDescent="0.25">
      <c r="A980" s="25" t="str">
        <f ca="1">IFERROR(__xludf.DUMMYFUNCTION("""COMPUTED_VALUE"""),"Integ78")</f>
        <v>Integ78</v>
      </c>
      <c r="B980" s="25" t="str">
        <f ca="1">IFERROR(__xludf.DUMMYFUNCTION("""COMPUTED_VALUE"""),"Consejo Local de Gobierno de Puente Aranda")</f>
        <v>Consejo Local de Gobierno de Puente Aranda</v>
      </c>
      <c r="C980" s="55">
        <f ca="1">IFERROR(__xludf.DUMMYFUNCTION("""COMPUTED_VALUE"""),44672)</f>
        <v>44672</v>
      </c>
      <c r="D980" s="25" t="str">
        <f ca="1">IFERROR(__xludf.DUMMYFUNCTION("""COMPUTED_VALUE"""),"Integración_Social")</f>
        <v>Integración_Social</v>
      </c>
      <c r="E980" s="25" t="str">
        <f ca="1">IFERROR(__xludf.DUMMYFUNCTION("""COMPUTED_VALUE"""),"Secretaría Distrital de Integración Social")</f>
        <v>Secretaría Distrital de Integración Social</v>
      </c>
      <c r="F980" s="25" t="str">
        <f ca="1">IFERROR(__xludf.DUMMYFUNCTION("""COMPUTED_VALUE"""),"Verificar qué ocurrió con el pago a los 47 profesionales sociales que fueron contratados en noviembre de 2021 bajo el Convenio 10623 suscrito entre la Subdirección de Nutrición y Abastecimiento y Asodifac. No recibieron remuneración por los meses de novie"&amp;"mbre y diciembre")</f>
        <v>Verificar qué ocurrió con el pago a los 47 profesionales sociales que fueron contratados en noviembre de 2021 bajo el Convenio 10623 suscrito entre la Subdirección de Nutrición y Abastecimiento y Asodifac. No recibieron remuneración por los meses de noviembre y diciembre</v>
      </c>
      <c r="G980" s="25" t="str">
        <f ca="1">IFERROR(__xludf.DUMMYFUNCTION("""COMPUTED_VALUE"""),"16. Puente Aranda")</f>
        <v>16. Puente Aranda</v>
      </c>
      <c r="H980" s="55">
        <f ca="1">IFERROR(__xludf.DUMMYFUNCTION("""COMPUTED_VALUE"""),45077)</f>
        <v>45077</v>
      </c>
      <c r="I980" s="25" t="str">
        <f ca="1">IFERROR(__xludf.DUMMYFUNCTION("""COMPUTED_VALUE"""),"Delivery Unit")</f>
        <v>Delivery Unit</v>
      </c>
      <c r="J980" s="55" t="str">
        <f ca="1">IFERROR(__xludf.DUMMYFUNCTION("""COMPUTED_VALUE"""),"Baja")</f>
        <v>Baja</v>
      </c>
      <c r="K980" s="25">
        <f ca="1">IFERROR(__xludf.DUMMYFUNCTION("""COMPUTED_VALUE"""),405)</f>
        <v>405</v>
      </c>
      <c r="L980" s="62">
        <f ca="1">IFERROR(__xludf.DUMMYFUNCTION("""COMPUTED_VALUE"""),45046)</f>
        <v>45046</v>
      </c>
      <c r="M980" s="25" t="str">
        <f ca="1">IFERROR(__xludf.DUMMYFUNCTION("""COMPUTED_VALUE"""),"la Dirección de Nutrición y Abastecimiento, solicitó mediante el Radicado  I2023010822   tramité de presunto  incumplimento en contra de ASODIFAC, debido a que no cumplió a cabalidad las obligaciones  estipuladas en el Convenio 10623 incluida la obligació"&amp;"n de pago de los contratistas necesarios para la ejecución del convenio. Cabe aclarar,  que los trabajadores no tienen vinculación contractual directa con la Secretaría Distrital de Integración Social y que el avance de este proceso en este momento depend"&amp;"e de la revisión y fallo que se origine desde las Oficina Jurídica de la Secretaría de Integración Social.")</f>
        <v>la Dirección de Nutrición y Abastecimiento, solicitó mediante el Radicado  I2023010822   tramité de presunto  incumplimento en contra de ASODIFAC, debido a que no cumplió a cabalidad las obligaciones  estipuladas en el Convenio 10623 incluida la obligación de pago de los contratistas necesarios para la ejecución del convenio. Cabe aclarar,  que los trabajadores no tienen vinculación contractual directa con la Secretaría Distrital de Integración Social y que el avance de este proceso en este momento depende de la revisión y fallo que se origine desde las Oficina Jurídica de la Secretaría de Integración Social.</v>
      </c>
      <c r="N980" s="55">
        <f ca="1">IFERROR(__xludf.DUMMYFUNCTION("""COMPUTED_VALUE"""),45044)</f>
        <v>45044</v>
      </c>
      <c r="O980" s="25" t="str">
        <f t="shared" ca="1" si="0"/>
        <v>Secretaría Distrital de Integración Social</v>
      </c>
      <c r="P980" s="25" t="str">
        <f t="shared" ca="1" si="2"/>
        <v/>
      </c>
      <c r="Q980" s="25" t="str">
        <f ca="1">IFERROR(__xludf.DUMMYFUNCTION("""COMPUTED_VALUE"""),"Largo plazo")</f>
        <v>Largo plazo</v>
      </c>
      <c r="R980" s="25"/>
      <c r="S980" s="55"/>
      <c r="T980" s="56"/>
      <c r="U980" s="25"/>
      <c r="V980" s="25"/>
      <c r="W980" s="25"/>
      <c r="X980" s="25"/>
      <c r="Y980" s="25"/>
      <c r="Z980" s="25"/>
    </row>
    <row r="981" spans="1:26" ht="52.5" customHeight="1" x14ac:dyDescent="0.25">
      <c r="A981" s="25" t="str">
        <f ca="1">IFERROR(__xludf.DUMMYFUNCTION("""COMPUTED_VALUE"""),"Integ79")</f>
        <v>Integ79</v>
      </c>
      <c r="B981" s="25" t="str">
        <f ca="1">IFERROR(__xludf.DUMMYFUNCTION("""COMPUTED_VALUE"""),"Consejo Local de Gobierno de Puente Aranda")</f>
        <v>Consejo Local de Gobierno de Puente Aranda</v>
      </c>
      <c r="C981" s="55">
        <f ca="1">IFERROR(__xludf.DUMMYFUNCTION("""COMPUTED_VALUE"""),44672)</f>
        <v>44672</v>
      </c>
      <c r="D981" s="25" t="str">
        <f ca="1">IFERROR(__xludf.DUMMYFUNCTION("""COMPUTED_VALUE"""),"Integración_Social")</f>
        <v>Integración_Social</v>
      </c>
      <c r="E981" s="25" t="str">
        <f ca="1">IFERROR(__xludf.DUMMYFUNCTION("""COMPUTED_VALUE"""),"Secretaría Distrital de Integración Social")</f>
        <v>Secretaría Distrital de Integración Social</v>
      </c>
      <c r="F981" s="25" t="str">
        <f ca="1">IFERROR(__xludf.DUMMYFUNCTION("""COMPUTED_VALUE"""),"Programar una sesión del Consejo Distrital de Sabios y Sabias, presidida por la Alcaldesa Mayor")</f>
        <v>Programar una sesión del Consejo Distrital de Sabios y Sabias, presidida por la Alcaldesa Mayor</v>
      </c>
      <c r="G981" s="25" t="str">
        <f ca="1">IFERROR(__xludf.DUMMYFUNCTION("""COMPUTED_VALUE"""),"16. Puente Aranda")</f>
        <v>16. Puente Aranda</v>
      </c>
      <c r="H981" s="55">
        <f ca="1">IFERROR(__xludf.DUMMYFUNCTION("""COMPUTED_VALUE"""),44802)</f>
        <v>44802</v>
      </c>
      <c r="I981" s="25"/>
      <c r="J981" s="55" t="str">
        <f ca="1">IFERROR(__xludf.DUMMYFUNCTION("""COMPUTED_VALUE"""),"Media")</f>
        <v>Media</v>
      </c>
      <c r="K981" s="25">
        <f ca="1">IFERROR(__xludf.DUMMYFUNCTION("""COMPUTED_VALUE"""),130)</f>
        <v>130</v>
      </c>
      <c r="L981" s="62">
        <f ca="1">IFERROR(__xludf.DUMMYFUNCTION("""COMPUTED_VALUE"""),44802)</f>
        <v>44802</v>
      </c>
      <c r="M981" s="25" t="str">
        <f ca="1">IFERROR(__xludf.DUMMYFUNCTION("""COMPUTED_VALUE"""),"Se realizó sesión del Consejo Distrital de Sabios y Sabias ""Encuentro con la alcaldesa Claudia Lopez"" en el marco del Consejo Distrital de Politica Social, el día miercoles 17 de agosto de 2022, de 9:00 a.m. a 12:00 p.m. en el Salón Barule de la Alcaldí"&amp;"a Mayor de Bogotá. La sesión del consejo fue instalada por la alcaldesa mayor y contó con la asistencia del Gabinete Distrital y de Margarita Barraquer, Secretaria Distrital de Integración Social. Se pide el cierre de la actividad")</f>
        <v>Se realizó sesión del Consejo Distrital de Sabios y Sabias "Encuentro con la alcaldesa Claudia Lopez" en el marco del Consejo Distrital de Politica Social, el día miercoles 17 de agosto de 2022, de 9:00 a.m. a 12:00 p.m. en el Salón Barule de la Alcaldía Mayor de Bogotá. La sesión del consejo fue instalada por la alcaldesa mayor y contó con la asistencia del Gabinete Distrital y de Margarita Barraquer, Secretaria Distrital de Integración Social. Se pide el cierre de la actividad</v>
      </c>
      <c r="N981" s="55">
        <f ca="1">IFERROR(__xludf.DUMMYFUNCTION("""COMPUTED_VALUE"""),44926)</f>
        <v>44926</v>
      </c>
      <c r="O981" s="25" t="str">
        <f t="shared" ca="1" si="0"/>
        <v>Secretaría Distrital de Integración Social</v>
      </c>
      <c r="P981" s="25" t="str">
        <f t="shared" si="2"/>
        <v/>
      </c>
      <c r="Q981" s="25" t="str">
        <f ca="1">IFERROR(__xludf.DUMMYFUNCTION("""COMPUTED_VALUE"""),"Mediano plazo")</f>
        <v>Mediano plazo</v>
      </c>
      <c r="R981" s="25"/>
      <c r="S981" s="55"/>
      <c r="T981" s="56"/>
      <c r="U981" s="25"/>
      <c r="V981" s="25"/>
      <c r="W981" s="25"/>
      <c r="X981" s="25"/>
      <c r="Y981" s="25"/>
      <c r="Z981" s="25"/>
    </row>
    <row r="982" spans="1:26" ht="52.5" customHeight="1" x14ac:dyDescent="0.25">
      <c r="A982" s="25" t="str">
        <f ca="1">IFERROR(__xludf.DUMMYFUNCTION("""COMPUTED_VALUE"""),"Integ80")</f>
        <v>Integ80</v>
      </c>
      <c r="B982" s="25" t="str">
        <f ca="1">IFERROR(__xludf.DUMMYFUNCTION("""COMPUTED_VALUE"""),"Consejo Local de Gobierno de Puente Aranda")</f>
        <v>Consejo Local de Gobierno de Puente Aranda</v>
      </c>
      <c r="C982" s="55">
        <f ca="1">IFERROR(__xludf.DUMMYFUNCTION("""COMPUTED_VALUE"""),44672)</f>
        <v>44672</v>
      </c>
      <c r="D982" s="25" t="str">
        <f ca="1">IFERROR(__xludf.DUMMYFUNCTION("""COMPUTED_VALUE"""),"Integración_Social")</f>
        <v>Integración_Social</v>
      </c>
      <c r="E982" s="25" t="str">
        <f ca="1">IFERROR(__xludf.DUMMYFUNCTION("""COMPUTED_VALUE"""),"Secretaría Distrital de Integración Social")</f>
        <v>Secretaría Distrital de Integración Social</v>
      </c>
      <c r="F982" s="25" t="str">
        <f ca="1">IFERROR(__xludf.DUMMYFUNCTION("""COMPUTED_VALUE"""),"Realizar socialización con la población venezolana la oferta institucional, los programas y normas para una migración responsable de la Alta Consejería para la Migración")</f>
        <v>Realizar socialización con la población venezolana la oferta institucional, los programas y normas para una migración responsable de la Alta Consejería para la Migración</v>
      </c>
      <c r="G982" s="25" t="str">
        <f ca="1">IFERROR(__xludf.DUMMYFUNCTION("""COMPUTED_VALUE"""),"16. Puente Aranda")</f>
        <v>16. Puente Aranda</v>
      </c>
      <c r="H982" s="55">
        <f ca="1">IFERROR(__xludf.DUMMYFUNCTION("""COMPUTED_VALUE"""),44802)</f>
        <v>44802</v>
      </c>
      <c r="I982" s="25"/>
      <c r="J982" s="55" t="str">
        <f ca="1">IFERROR(__xludf.DUMMYFUNCTION("""COMPUTED_VALUE"""),"Media")</f>
        <v>Media</v>
      </c>
      <c r="K982" s="25">
        <f ca="1">IFERROR(__xludf.DUMMYFUNCTION("""COMPUTED_VALUE"""),130)</f>
        <v>130</v>
      </c>
      <c r="L982" s="62">
        <f ca="1">IFERROR(__xludf.DUMMYFUNCTION("""COMPUTED_VALUE"""),44802)</f>
        <v>44802</v>
      </c>
      <c r="M982" s="25" t="str">
        <f ca="1">IFERROR(__xludf.DUMMYFUNCTION("""COMPUTED_VALUE"""),"La Subdirección Local de Integración Social de Puente Aranda y Antonio Nariño - SLIS PAAN, realizó una jornada de tropa social de identificación y oferta de servicios a población migrante venezolana residente en la localidad de Puente Aranda. 
  La int"&amp;"ervención de tropa social se desarrolló en dos momentos:
  1. Identificación y georreferenciación del área de intervención: El equipo territorial de la SLIS PAAN, realizó un recorrido previo por el barrio San Eusebio y Cundinamarca, con el fin de delim"&amp;"itar la zona de intervención de la tropa social; esta primera actividad se realizó en la semana del 16 al 20 de mayo de 2022. 
  2. Intervención: se efectuó jornada de tropa social para la identificación y oferta de servicios sociales a población migrante"&amp;" venezolana, el día 23 de mayo de 2022. En el abordaje se realizó socialización de servicios sociales y modalidades de atención de la SDIS, a migrantes venezolanos que se encontraban desarrollando actividades para la generación de ingresos (trabajo inform"&amp;"al). Durante la jornada, también se identificó población migrante venezolana en condición de habitabilidad en calle, a quienes se les realizó oferta de servicios de la Subdirección para la Adultez, junto con una charla de sensibilización frente a la preve"&amp;"nción del consumo de SPA, recuperación de habitos saludables y buenas practicas en la separación de residuos sólidos.
  Finalmente, se efectuó busqueda de ciudadanos venezolanos referenciados en solicitud ciudadana allegada al equipo territorial de la SLI"&amp;"S; en inmediaciones del sector ""Jumbo de la calle 19 con carrera 30""; durante la intervención no se observó la presencia de migrantes venezolanos en la zona.
 SE SOLICITA EL CIERRE DE LA ACTIVIDAD")</f>
        <v>La Subdirección Local de Integración Social de Puente Aranda y Antonio Nariño - SLIS PAAN, realizó una jornada de tropa social de identificación y oferta de servicios a población migrante venezolana residente en la localidad de Puente Aranda. 
  La intervención de tropa social se desarrolló en dos momentos:
  1. Identificación y georreferenciación del área de intervención: El equipo territorial de la SLIS PAAN, realizó un recorrido previo por el barrio San Eusebio y Cundinamarca, con el fin de delimitar la zona de intervención de la tropa social; esta primera actividad se realizó en la semana del 16 al 20 de mayo de 2022. 
  2. Intervención: se efectuó jornada de tropa social para la identificación y oferta de servicios sociales a población migrante venezolana, el día 23 de mayo de 2022. En el abordaje se realizó socialización de servicios sociales y modalidades de atención de la SDIS, a migrantes venezolanos que se encontraban desarrollando actividades para la generación de ingresos (trabajo informal). Durante la jornada, también se identificó población migrante venezolana en condición de habitabilidad en calle, a quienes se les realizó oferta de servicios de la Subdirección para la Adultez, junto con una charla de sensibilización frente a la prevención del consumo de SPA, recuperación de habitos saludables y buenas practicas en la separación de residuos sólidos.
  Finalmente, se efectuó busqueda de ciudadanos venezolanos referenciados en solicitud ciudadana allegada al equipo territorial de la SLIS; en inmediaciones del sector "Jumbo de la calle 19 con carrera 30"; durante la intervención no se observó la presencia de migrantes venezolanos en la zona.
 SE SOLICITA EL CIERRE DE LA ACTIVIDAD</v>
      </c>
      <c r="N982" s="55">
        <f ca="1">IFERROR(__xludf.DUMMYFUNCTION("""COMPUTED_VALUE"""),44926)</f>
        <v>44926</v>
      </c>
      <c r="O982" s="25" t="str">
        <f t="shared" ca="1" si="0"/>
        <v>Secretaría Distrital de Integración Social</v>
      </c>
      <c r="P982" s="25" t="str">
        <f t="shared" si="2"/>
        <v/>
      </c>
      <c r="Q982" s="25" t="str">
        <f ca="1">IFERROR(__xludf.DUMMYFUNCTION("""COMPUTED_VALUE"""),"Mediano plazo")</f>
        <v>Mediano plazo</v>
      </c>
      <c r="R982" s="25"/>
      <c r="S982" s="55"/>
      <c r="T982" s="56"/>
      <c r="U982" s="25"/>
      <c r="V982" s="25"/>
      <c r="W982" s="25"/>
      <c r="X982" s="25"/>
      <c r="Y982" s="25"/>
      <c r="Z982" s="25"/>
    </row>
    <row r="983" spans="1:26" ht="52.5" customHeight="1" x14ac:dyDescent="0.25">
      <c r="A983" s="25" t="str">
        <f ca="1">IFERROR(__xludf.DUMMYFUNCTION("""COMPUTED_VALUE"""),"Integ81")</f>
        <v>Integ81</v>
      </c>
      <c r="B983" s="25" t="str">
        <f ca="1">IFERROR(__xludf.DUMMYFUNCTION("""COMPUTED_VALUE"""),"Consejo Local de Gobienro de Teusaquillo")</f>
        <v>Consejo Local de Gobienro de Teusaquillo</v>
      </c>
      <c r="C983" s="55">
        <f ca="1">IFERROR(__xludf.DUMMYFUNCTION("""COMPUTED_VALUE"""),44651)</f>
        <v>44651</v>
      </c>
      <c r="D983" s="25" t="str">
        <f ca="1">IFERROR(__xludf.DUMMYFUNCTION("""COMPUTED_VALUE"""),"Integración_Social")</f>
        <v>Integración_Social</v>
      </c>
      <c r="E983" s="25" t="str">
        <f ca="1">IFERROR(__xludf.DUMMYFUNCTION("""COMPUTED_VALUE"""),"Secretaría Distrital de Integración Social")</f>
        <v>Secretaría Distrital de Integración Social</v>
      </c>
      <c r="F983" s="25" t="str">
        <f ca="1">IFERROR(__xludf.DUMMYFUNCTION("""COMPUTED_VALUE"""),"Reforzar el tema de los comedores comunitarios para las comunidades indígenas y vulnerables de la localidad")</f>
        <v>Reforzar el tema de los comedores comunitarios para las comunidades indígenas y vulnerables de la localidad</v>
      </c>
      <c r="G983" s="25" t="str">
        <f ca="1">IFERROR(__xludf.DUMMYFUNCTION("""COMPUTED_VALUE"""),"13. Teusaquillo")</f>
        <v>13. Teusaquillo</v>
      </c>
      <c r="H983" s="55">
        <f ca="1">IFERROR(__xludf.DUMMYFUNCTION("""COMPUTED_VALUE"""),44802)</f>
        <v>44802</v>
      </c>
      <c r="I983" s="25"/>
      <c r="J983" s="55" t="str">
        <f ca="1">IFERROR(__xludf.DUMMYFUNCTION("""COMPUTED_VALUE"""),"Media")</f>
        <v>Media</v>
      </c>
      <c r="K983" s="25">
        <f ca="1">IFERROR(__xludf.DUMMYFUNCTION("""COMPUTED_VALUE"""),151)</f>
        <v>151</v>
      </c>
      <c r="L983" s="62">
        <f ca="1">IFERROR(__xludf.DUMMYFUNCTION("""COMPUTED_VALUE"""),45030)</f>
        <v>45030</v>
      </c>
      <c r="M983" s="25" t="str">
        <f ca="1">IFERROR(__xludf.DUMMYFUNCTION("""COMPUTED_VALUE"""),"Teniendo en cuenta que  la solicitud de implementación de comedor comunitario en la localidad de Teusaquillo fue elevada en Consejo Local de Gobierno en el mes de abril de 2022, se realizó verificación de solicitudes de atención en la Localidad encontrand"&amp;"o solamente solicitud de 5 personas que fueron registradas en el Sistema Misional SIRBE. Ante la reducida demanda, se adelantó, desde la Subdirección Local de Teusaquillo, jornada de identificación de potenciales beneficiarios los días 26 y 29 de abril 20"&amp;"22 junto con difusión de pieza comunicativa para que quien estuviera interesado se acercara a realizar la inscripción.
Una vez adelantadas las jornadas y pasado un tiempo de espera, se identificaron únicamente 15 familias con 23 personas interesadas en ac"&amp;"ceder al servicio de comedor comunitario, demanda que resulta insuficiente para dar apertura a una nueva unidad operativa debido a los costos y  logística que el servicio conlleva.
Por lo anterior, desde el mes de octubre de la vigencia 2022 se registró e"&amp;"sta información para que se diera concluida la tarea, informando que por la baja demanda no era viable incluir una unidad operativa en la Localidad de Teusaquillo  para la operación de comedores en la vigencia 2023, toda vez que, la relación costo benefic"&amp;"io no era equilibrada y por ende no  se ajustaba al presupuesto que le fue asignado al Proyecto de Inversión para este propósito.")</f>
        <v>Teniendo en cuenta que  la solicitud de implementación de comedor comunitario en la localidad de Teusaquillo fue elevada en Consejo Local de Gobierno en el mes de abril de 2022, se realizó verificación de solicitudes de atención en la Localidad encontrando solamente solicitud de 5 personas que fueron registradas en el Sistema Misional SIRBE. Ante la reducida demanda, se adelantó, desde la Subdirección Local de Teusaquillo, jornada de identificación de potenciales beneficiarios los días 26 y 29 de abril 2022 junto con difusión de pieza comunicativa para que quien estuviera interesado se acercara a realizar la inscripción.
Una vez adelantadas las jornadas y pasado un tiempo de espera, se identificaron únicamente 15 familias con 23 personas interesadas en acceder al servicio de comedor comunitario, demanda que resulta insuficiente para dar apertura a una nueva unidad operativa debido a los costos y  logística que el servicio conlleva.
Por lo anterior, desde el mes de octubre de la vigencia 2022 se registró esta información para que se diera concluida la tarea, informando que por la baja demanda no era viable incluir una unidad operativa en la Localidad de Teusaquillo  para la operación de comedores en la vigencia 2023, toda vez que, la relación costo beneficio no era equilibrada y por ende no  se ajustaba al presupuesto que le fue asignado al Proyecto de Inversión para este propósito.</v>
      </c>
      <c r="N983" s="55">
        <f ca="1">IFERROR(__xludf.DUMMYFUNCTION("""COMPUTED_VALUE"""),44865)</f>
        <v>44865</v>
      </c>
      <c r="O983" s="25" t="str">
        <f t="shared" ca="1" si="0"/>
        <v>Secretaría Distrital de Integración Social</v>
      </c>
      <c r="P983" s="25" t="str">
        <f t="shared" si="2"/>
        <v/>
      </c>
      <c r="Q983" s="25" t="str">
        <f ca="1">IFERROR(__xludf.DUMMYFUNCTION("""COMPUTED_VALUE"""),"Mediano plazo")</f>
        <v>Mediano plazo</v>
      </c>
      <c r="R983" s="25"/>
      <c r="S983" s="55"/>
      <c r="T983" s="56"/>
      <c r="U983" s="25"/>
      <c r="V983" s="25"/>
      <c r="W983" s="25"/>
      <c r="X983" s="25"/>
      <c r="Y983" s="25"/>
      <c r="Z983" s="25"/>
    </row>
    <row r="984" spans="1:26" ht="52.5" customHeight="1" x14ac:dyDescent="0.25">
      <c r="A984" s="25" t="str">
        <f ca="1">IFERROR(__xludf.DUMMYFUNCTION("""COMPUTED_VALUE"""),"Integ82")</f>
        <v>Integ82</v>
      </c>
      <c r="B984" s="25" t="str">
        <f ca="1">IFERROR(__xludf.DUMMYFUNCTION("""COMPUTED_VALUE"""),"Consejo Local de Gobierno de Santa Fe")</f>
        <v>Consejo Local de Gobierno de Santa Fe</v>
      </c>
      <c r="C984" s="55">
        <f ca="1">IFERROR(__xludf.DUMMYFUNCTION("""COMPUTED_VALUE"""),44693)</f>
        <v>44693</v>
      </c>
      <c r="D984" s="25" t="str">
        <f ca="1">IFERROR(__xludf.DUMMYFUNCTION("""COMPUTED_VALUE"""),"Integración_Social")</f>
        <v>Integración_Social</v>
      </c>
      <c r="E984" s="25" t="str">
        <f ca="1">IFERROR(__xludf.DUMMYFUNCTION("""COMPUTED_VALUE"""),"Secretaría Distrital de Integración Social")</f>
        <v>Secretaría Distrital de Integración Social</v>
      </c>
      <c r="F984" s="25" t="str">
        <f ca="1">IFERROR(__xludf.DUMMYFUNCTION("""COMPUTED_VALUE"""),"Brindar información sobre la política de adulto mayor y los subsidios que benefician a esta población en las localidades de La Candelaria y Santa Fe")</f>
        <v>Brindar información sobre la política de adulto mayor y los subsidios que benefician a esta población en las localidades de La Candelaria y Santa Fe</v>
      </c>
      <c r="G984" s="25" t="str">
        <f ca="1">IFERROR(__xludf.DUMMYFUNCTION("""COMPUTED_VALUE"""),"03. Santa Fe")</f>
        <v>03. Santa Fe</v>
      </c>
      <c r="H984" s="55">
        <f ca="1">IFERROR(__xludf.DUMMYFUNCTION("""COMPUTED_VALUE"""),44754)</f>
        <v>44754</v>
      </c>
      <c r="I984" s="25"/>
      <c r="J984" s="55" t="str">
        <f ca="1">IFERROR(__xludf.DUMMYFUNCTION("""COMPUTED_VALUE"""),"Media")</f>
        <v>Media</v>
      </c>
      <c r="K984" s="25">
        <f ca="1">IFERROR(__xludf.DUMMYFUNCTION("""COMPUTED_VALUE"""),61)</f>
        <v>61</v>
      </c>
      <c r="L984" s="62">
        <f ca="1">IFERROR(__xludf.DUMMYFUNCTION("""COMPUTED_VALUE"""),44754)</f>
        <v>44754</v>
      </c>
      <c r="M984" s="25" t="str">
        <f ca="1">IFERROR(__xludf.DUMMYFUNCTION("""COMPUTED_VALUE"""),"Dando cumplimiento al compromiso del CLG, se realizó reunión con del Señor Gregorio Herrera el día 18 de mayo de 2022 donde se abordaron los siguientes temas: 1. Egresos del bono de adulto mayor, 2. costos de servicios públicos, 3. Jornadas de ejercicios "&amp;"para adultos mayores, implementos deportivos, ajedrez CDC Lourdes y piscina, 4. Problemas media torta barrio Girardot, 5. POT localidades Santa Fe, Candelaria y Martires, 6. Punto Vive Digital, 7. Comida en el comedor comunitario. Asisten a la reunión el "&amp;"Alcalde Local de Santa Fe Diego Fernando Herrera y dos funcionarios y delegado de la Subdirección Local para la Integración Social Santa Fe y La Candelaria")</f>
        <v>Dando cumplimiento al compromiso del CLG, se realizó reunión con del Señor Gregorio Herrera el día 18 de mayo de 2022 donde se abordaron los siguientes temas: 1. Egresos del bono de adulto mayor, 2. costos de servicios públicos, 3. Jornadas de ejercicios para adultos mayores, implementos deportivos, ajedrez CDC Lourdes y piscina, 4. Problemas media torta barrio Girardot, 5. POT localidades Santa Fe, Candelaria y Martires, 6. Punto Vive Digital, 7. Comida en el comedor comunitario. Asisten a la reunión el Alcalde Local de Santa Fe Diego Fernando Herrera y dos funcionarios y delegado de la Subdirección Local para la Integración Social Santa Fe y La Candelaria</v>
      </c>
      <c r="N984" s="55">
        <f ca="1">IFERROR(__xludf.DUMMYFUNCTION("""COMPUTED_VALUE"""),44926)</f>
        <v>44926</v>
      </c>
      <c r="O984" s="25" t="str">
        <f t="shared" ca="1" si="0"/>
        <v>Secretaría Distrital de Integración Social</v>
      </c>
      <c r="P984" s="25" t="str">
        <f t="shared" si="2"/>
        <v/>
      </c>
      <c r="Q984" s="25" t="str">
        <f ca="1">IFERROR(__xludf.DUMMYFUNCTION("""COMPUTED_VALUE"""),"Mediano plazo")</f>
        <v>Mediano plazo</v>
      </c>
      <c r="R984" s="25"/>
      <c r="S984" s="55"/>
      <c r="T984" s="56"/>
      <c r="U984" s="25"/>
      <c r="V984" s="25"/>
      <c r="W984" s="25"/>
      <c r="X984" s="25"/>
      <c r="Y984" s="25"/>
      <c r="Z984" s="25"/>
    </row>
    <row r="985" spans="1:26" ht="52.5" customHeight="1" x14ac:dyDescent="0.25">
      <c r="A985" s="25" t="str">
        <f ca="1">IFERROR(__xludf.DUMMYFUNCTION("""COMPUTED_VALUE"""),"Integ83")</f>
        <v>Integ83</v>
      </c>
      <c r="B985" s="25" t="str">
        <f ca="1">IFERROR(__xludf.DUMMYFUNCTION("""COMPUTED_VALUE"""),"Consejo Local de Gobierno de San Crisóbal")</f>
        <v>Consejo Local de Gobierno de San Crisóbal</v>
      </c>
      <c r="C985" s="55">
        <f ca="1">IFERROR(__xludf.DUMMYFUNCTION("""COMPUTED_VALUE"""),44700)</f>
        <v>44700</v>
      </c>
      <c r="D985" s="25" t="str">
        <f ca="1">IFERROR(__xludf.DUMMYFUNCTION("""COMPUTED_VALUE"""),"Integración_Social")</f>
        <v>Integración_Social</v>
      </c>
      <c r="E985" s="25" t="str">
        <f ca="1">IFERROR(__xludf.DUMMYFUNCTION("""COMPUTED_VALUE"""),"Secretaría Distrital de Integración Social")</f>
        <v>Secretaría Distrital de Integración Social</v>
      </c>
      <c r="F985" s="25" t="str">
        <f ca="1">IFERROR(__xludf.DUMMYFUNCTION("""COMPUTED_VALUE"""),"Procurar que en las nuevas convocatorias de la estrategia PARCEROS se incluyan jóvenes que pertenezcan a las primeras líneas y barras de fútbol")</f>
        <v>Procurar que en las nuevas convocatorias de la estrategia PARCEROS se incluyan jóvenes que pertenezcan a las primeras líneas y barras de fútbol</v>
      </c>
      <c r="G985" s="25" t="str">
        <f ca="1">IFERROR(__xludf.DUMMYFUNCTION("""COMPUTED_VALUE"""),"04. San Cristóbal")</f>
        <v>04. San Cristóbal</v>
      </c>
      <c r="H985" s="55">
        <f ca="1">IFERROR(__xludf.DUMMYFUNCTION("""COMPUTED_VALUE"""),44707)</f>
        <v>44707</v>
      </c>
      <c r="I985" s="25"/>
      <c r="J985" s="55" t="str">
        <f ca="1">IFERROR(__xludf.DUMMYFUNCTION("""COMPUTED_VALUE"""),"Alta")</f>
        <v>Alta</v>
      </c>
      <c r="K985" s="25">
        <f ca="1">IFERROR(__xludf.DUMMYFUNCTION("""COMPUTED_VALUE"""),7)</f>
        <v>7</v>
      </c>
      <c r="L985" s="62">
        <f ca="1">IFERROR(__xludf.DUMMYFUNCTION("""COMPUTED_VALUE"""),44707)</f>
        <v>44707</v>
      </c>
      <c r="M985" s="25" t="str">
        <f ca="1">IFERROR(__xludf.DUMMYFUNCTION("""COMPUTED_VALUE"""),"La inscripción al Servicio Social Parceros por Bogotá se realiza por medio de diferentes canales: a través de la página web y APP de Distrito Joven, en puntos específicos en las diferentes localidades de la ciudad y a través de procesos de caracterización"&amp;" realizados por el equipo de la Subdirección para la Juventud, por lo que cualquier joven entre 18 y 28 años y seis meses puede inscribirse. De igual manera, se han realizado ejercicios con distintos grupos de jóvenes incluidos jóvenes que pertenecen a ba"&amp;"rras de futbol y distintas organizaciones con el fin de que se puedan inscribirse al programa y seguir el proceso mencionado.")</f>
        <v>La inscripción al Servicio Social Parceros por Bogotá se realiza por medio de diferentes canales: a través de la página web y APP de Distrito Joven, en puntos específicos en las diferentes localidades de la ciudad y a través de procesos de caracterización realizados por el equipo de la Subdirección para la Juventud, por lo que cualquier joven entre 18 y 28 años y seis meses puede inscribirse. De igual manera, se han realizado ejercicios con distintos grupos de jóvenes incluidos jóvenes que pertenecen a barras de futbol y distintas organizaciones con el fin de que se puedan inscribirse al programa y seguir el proceso mencionado.</v>
      </c>
      <c r="N985" s="55">
        <f ca="1">IFERROR(__xludf.DUMMYFUNCTION("""COMPUTED_VALUE"""),44926)</f>
        <v>44926</v>
      </c>
      <c r="O985" s="25" t="str">
        <f t="shared" ca="1" si="0"/>
        <v>Secretaría Distrital de Integración Social</v>
      </c>
      <c r="P985" s="25" t="str">
        <f t="shared" si="2"/>
        <v/>
      </c>
      <c r="Q985" s="25" t="str">
        <f ca="1">IFERROR(__xludf.DUMMYFUNCTION("""COMPUTED_VALUE"""),"Corto plazo")</f>
        <v>Corto plazo</v>
      </c>
      <c r="R985" s="25"/>
      <c r="S985" s="55"/>
      <c r="T985" s="56"/>
      <c r="U985" s="25"/>
      <c r="V985" s="25"/>
      <c r="W985" s="25"/>
      <c r="X985" s="25"/>
      <c r="Y985" s="25"/>
      <c r="Z985" s="25"/>
    </row>
    <row r="986" spans="1:26" ht="52.5" customHeight="1" x14ac:dyDescent="0.25">
      <c r="A986" s="25" t="str">
        <f ca="1">IFERROR(__xludf.DUMMYFUNCTION("""COMPUTED_VALUE"""),"Integ84")</f>
        <v>Integ84</v>
      </c>
      <c r="B986" s="25" t="str">
        <f ca="1">IFERROR(__xludf.DUMMYFUNCTION("""COMPUTED_VALUE"""),"Consejo Local de Gobierno de San Crisóbal")</f>
        <v>Consejo Local de Gobierno de San Crisóbal</v>
      </c>
      <c r="C986" s="55">
        <f ca="1">IFERROR(__xludf.DUMMYFUNCTION("""COMPUTED_VALUE"""),44700)</f>
        <v>44700</v>
      </c>
      <c r="D986" s="25" t="str">
        <f ca="1">IFERROR(__xludf.DUMMYFUNCTION("""COMPUTED_VALUE"""),"Integración_Social")</f>
        <v>Integración_Social</v>
      </c>
      <c r="E986" s="25" t="str">
        <f ca="1">IFERROR(__xludf.DUMMYFUNCTION("""COMPUTED_VALUE"""),"Secretaría Distrital de Integración Social")</f>
        <v>Secretaría Distrital de Integración Social</v>
      </c>
      <c r="F986" s="25" t="str">
        <f ca="1">IFERROR(__xludf.DUMMYFUNCTION("""COMPUTED_VALUE"""),"Revisar el caso de la señora Ana Dolores e informar los requisitos del bono solidario")</f>
        <v>Revisar el caso de la señora Ana Dolores e informar los requisitos del bono solidario</v>
      </c>
      <c r="G986" s="25" t="str">
        <f ca="1">IFERROR(__xludf.DUMMYFUNCTION("""COMPUTED_VALUE"""),"04. San Cristóbal")</f>
        <v>04. San Cristóbal</v>
      </c>
      <c r="H986" s="55">
        <f ca="1">IFERROR(__xludf.DUMMYFUNCTION("""COMPUTED_VALUE"""),44706)</f>
        <v>44706</v>
      </c>
      <c r="I986" s="25"/>
      <c r="J986" s="55" t="str">
        <f ca="1">IFERROR(__xludf.DUMMYFUNCTION("""COMPUTED_VALUE"""),"Alta")</f>
        <v>Alta</v>
      </c>
      <c r="K986" s="25">
        <f ca="1">IFERROR(__xludf.DUMMYFUNCTION("""COMPUTED_VALUE"""),6)</f>
        <v>6</v>
      </c>
      <c r="L986" s="62">
        <f ca="1">IFERROR(__xludf.DUMMYFUNCTION("""COMPUTED_VALUE"""),44706)</f>
        <v>44706</v>
      </c>
      <c r="M986" s="25" t="str">
        <f ca="1">IFERROR(__xludf.DUMMYFUNCTION("""COMPUTED_VALUE"""),"La señora Ana Dolores Castro Rodríguez con cédula de ciudadanía 4170982, fue visitada por el equipo de la Subdirección Local de San Cristóbal de la Secretaría de Integración social el día 20/05/2022 en su domicilio. La señora recibió el bono canjeable por"&amp;" alimentos en el marco de una situación de emergencia social (ya fue canjeado) y fue priorizada en la validación de condiciones para ingresar al servicio de apoyo económico de Vejez donde recibirá 135 mil pesos mensuales.")</f>
        <v>La señora Ana Dolores Castro Rodríguez con cédula de ciudadanía 4170982, fue visitada por el equipo de la Subdirección Local de San Cristóbal de la Secretaría de Integración social el día 20/05/2022 en su domicilio. La señora recibió el bono canjeable por alimentos en el marco de una situación de emergencia social (ya fue canjeado) y fue priorizada en la validación de condiciones para ingresar al servicio de apoyo económico de Vejez donde recibirá 135 mil pesos mensuales.</v>
      </c>
      <c r="N986" s="55">
        <f ca="1">IFERROR(__xludf.DUMMYFUNCTION("""COMPUTED_VALUE"""),44926)</f>
        <v>44926</v>
      </c>
      <c r="O986" s="25" t="str">
        <f t="shared" ca="1" si="0"/>
        <v>Secretaría Distrital de Integración Social</v>
      </c>
      <c r="P986" s="25" t="str">
        <f t="shared" si="2"/>
        <v/>
      </c>
      <c r="Q986" s="25" t="str">
        <f ca="1">IFERROR(__xludf.DUMMYFUNCTION("""COMPUTED_VALUE"""),"Corto plazo")</f>
        <v>Corto plazo</v>
      </c>
      <c r="R986" s="25"/>
      <c r="S986" s="55"/>
      <c r="T986" s="56"/>
      <c r="U986" s="25"/>
      <c r="V986" s="25"/>
      <c r="W986" s="25"/>
      <c r="X986" s="25"/>
      <c r="Y986" s="25"/>
      <c r="Z986" s="25"/>
    </row>
    <row r="987" spans="1:26" ht="52.5" customHeight="1" x14ac:dyDescent="0.25">
      <c r="A987" s="25" t="str">
        <f ca="1">IFERROR(__xludf.DUMMYFUNCTION("""COMPUTED_VALUE"""),"Integ85")</f>
        <v>Integ85</v>
      </c>
      <c r="B987" s="25" t="str">
        <f ca="1">IFERROR(__xludf.DUMMYFUNCTION("""COMPUTED_VALUE"""),"Consejo Local de Gobierno de San Crisóbal")</f>
        <v>Consejo Local de Gobierno de San Crisóbal</v>
      </c>
      <c r="C987" s="55">
        <f ca="1">IFERROR(__xludf.DUMMYFUNCTION("""COMPUTED_VALUE"""),44700)</f>
        <v>44700</v>
      </c>
      <c r="D987" s="25" t="str">
        <f ca="1">IFERROR(__xludf.DUMMYFUNCTION("""COMPUTED_VALUE"""),"Integración_Social")</f>
        <v>Integración_Social</v>
      </c>
      <c r="E987" s="25" t="str">
        <f ca="1">IFERROR(__xludf.DUMMYFUNCTION("""COMPUTED_VALUE"""),"Secretaría Distrital de Integración Social")</f>
        <v>Secretaría Distrital de Integración Social</v>
      </c>
      <c r="F987" s="25" t="str">
        <f ca="1">IFERROR(__xludf.DUMMYFUNCTION("""COMPUTED_VALUE"""),"Construir un Centro Día en La Gloria, dentro de los equipamientos sociales alrededor del Cable, para la población en condición de discapacidad")</f>
        <v>Construir un Centro Día en La Gloria, dentro de los equipamientos sociales alrededor del Cable, para la población en condición de discapacidad</v>
      </c>
      <c r="G987" s="25" t="str">
        <f ca="1">IFERROR(__xludf.DUMMYFUNCTION("""COMPUTED_VALUE"""),"04. San Cristóbal")</f>
        <v>04. San Cristóbal</v>
      </c>
      <c r="H987" s="55">
        <f ca="1">IFERROR(__xludf.DUMMYFUNCTION("""COMPUTED_VALUE"""),45199)</f>
        <v>45199</v>
      </c>
      <c r="I987" s="25" t="str">
        <f ca="1">IFERROR(__xludf.DUMMYFUNCTION("""COMPUTED_VALUE"""),"Junta de Infraestructura")</f>
        <v>Junta de Infraestructura</v>
      </c>
      <c r="J987" s="55" t="str">
        <f ca="1">IFERROR(__xludf.DUMMYFUNCTION("""COMPUTED_VALUE"""),"Baja")</f>
        <v>Baja</v>
      </c>
      <c r="K987" s="25">
        <f ca="1">IFERROR(__xludf.DUMMYFUNCTION("""COMPUTED_VALUE"""),499)</f>
        <v>499</v>
      </c>
      <c r="L987" s="62">
        <f ca="1">IFERROR(__xludf.DUMMYFUNCTION("""COMPUTED_VALUE"""),45077)</f>
        <v>45077</v>
      </c>
      <c r="M987" s="25" t="str">
        <f ca="1">IFERROR(__xludf.DUMMYFUNCTION("""COMPUTED_VALUE"""),"Actualmente, ya se finalizó la etapa de revisión y ajuste de los diseños del Centro Día La Gloria. Una vez, se finalice la revisión y diseños del Nodo Altamira, se iniciará la fase de construcción. Sin embargo, esta fase no se encuentra a cargo de la Secr"&amp;"etaría Distrital de Integración Social sino de la ERU. Por tanto, se solicita trasladar la tarea a la ERU.  
Los ajustes realizados se encuentran acordes a los requerimientos de la Entidad para los servicios desarrollados en el equipamiento.
Como requeri"&amp;"mientos adicionales se solicitó que:
- Todas las puertas tuvieran un ancho mínimo de 90 cms, en todos los servicios de la SDIS
-Colocar una puerta adicional en las cocinas del Centro Crecer y del Centro Día que independizarán los baños del personal de co"&amp;"cina del área de cocción, con el fin de evitar riesgos de contaminación cruzada.
-La independización de servicios y sus contadores para el Centro Día (teniendo en cuenta que los recursos vienen de estampilla)
Estamos a la espera que la ERU cite a reunión"&amp;" para verificar los anteriores requerimientos.")</f>
        <v>Actualmente, ya se finalizó la etapa de revisión y ajuste de los diseños del Centro Día La Gloria. Una vez, se finalice la revisión y diseños del Nodo Altamira, se iniciará la fase de construcción. Sin embargo, esta fase no se encuentra a cargo de la Secretaría Distrital de Integración Social sino de la ERU. Por tanto, se solicita trasladar la tarea a la ERU.  
Los ajustes realizados se encuentran acordes a los requerimientos de la Entidad para los servicios desarrollados en el equipamiento.
Como requerimientos adicionales se solicitó que:
- Todas las puertas tuvieran un ancho mínimo de 90 cms, en todos los servicios de la SDIS
-Colocar una puerta adicional en las cocinas del Centro Crecer y del Centro Día que independizarán los baños del personal de cocina del área de cocción, con el fin de evitar riesgos de contaminación cruzada.
-La independización de servicios y sus contadores para el Centro Día (teniendo en cuenta que los recursos vienen de estampilla)
Estamos a la espera que la ERU cite a reunión para verificar los anteriores requerimientos.</v>
      </c>
      <c r="N987" s="25"/>
      <c r="O987" s="25" t="str">
        <f t="shared" ca="1" si="0"/>
        <v>Secretaría Distrital de Integración Social</v>
      </c>
      <c r="P987" s="25" t="str">
        <f t="shared" ca="1" si="2"/>
        <v/>
      </c>
      <c r="Q987" s="25" t="str">
        <f ca="1">IFERROR(__xludf.DUMMYFUNCTION("""COMPUTED_VALUE"""),"Largo plazo")</f>
        <v>Largo plazo</v>
      </c>
      <c r="R987" s="25"/>
      <c r="S987" s="55"/>
      <c r="T987" s="56"/>
      <c r="U987" s="25"/>
      <c r="V987" s="25"/>
      <c r="W987" s="25"/>
      <c r="X987" s="25"/>
      <c r="Y987" s="25"/>
      <c r="Z987" s="25"/>
    </row>
    <row r="988" spans="1:26" ht="52.5" customHeight="1" x14ac:dyDescent="0.25">
      <c r="A988" s="25" t="str">
        <f ca="1">IFERROR(__xludf.DUMMYFUNCTION("""COMPUTED_VALUE"""),"Integ86")</f>
        <v>Integ86</v>
      </c>
      <c r="B988" s="25" t="str">
        <f ca="1">IFERROR(__xludf.DUMMYFUNCTION("""COMPUTED_VALUE"""),"Consejo Local de Gobierno de San Crisóbal")</f>
        <v>Consejo Local de Gobierno de San Crisóbal</v>
      </c>
      <c r="C988" s="55">
        <f ca="1">IFERROR(__xludf.DUMMYFUNCTION("""COMPUTED_VALUE"""),44700)</f>
        <v>44700</v>
      </c>
      <c r="D988" s="25" t="str">
        <f ca="1">IFERROR(__xludf.DUMMYFUNCTION("""COMPUTED_VALUE"""),"Integración_Social")</f>
        <v>Integración_Social</v>
      </c>
      <c r="E988" s="25" t="str">
        <f ca="1">IFERROR(__xludf.DUMMYFUNCTION("""COMPUTED_VALUE"""),"Secretaría Distrital de Integración Social")</f>
        <v>Secretaría Distrital de Integración Social</v>
      </c>
      <c r="F988" s="25" t="str">
        <f ca="1">IFERROR(__xludf.DUMMYFUNCTION("""COMPUTED_VALUE"""),"Verificar si el ciudadano es beneficiario del ingreso solidario del nivel nacional y si no, verificar si puede acceder al programa de renta básica")</f>
        <v>Verificar si el ciudadano es beneficiario del ingreso solidario del nivel nacional y si no, verificar si puede acceder al programa de renta básica</v>
      </c>
      <c r="G988" s="25" t="str">
        <f ca="1">IFERROR(__xludf.DUMMYFUNCTION("""COMPUTED_VALUE"""),"04. San Cristóbal")</f>
        <v>04. San Cristóbal</v>
      </c>
      <c r="H988" s="55">
        <f ca="1">IFERROR(__xludf.DUMMYFUNCTION("""COMPUTED_VALUE"""),44707)</f>
        <v>44707</v>
      </c>
      <c r="I988" s="25"/>
      <c r="J988" s="55" t="str">
        <f ca="1">IFERROR(__xludf.DUMMYFUNCTION("""COMPUTED_VALUE"""),"Alta")</f>
        <v>Alta</v>
      </c>
      <c r="K988" s="25">
        <f ca="1">IFERROR(__xludf.DUMMYFUNCTION("""COMPUTED_VALUE"""),7)</f>
        <v>7</v>
      </c>
      <c r="L988" s="62">
        <f ca="1">IFERROR(__xludf.DUMMYFUNCTION("""COMPUTED_VALUE"""),44707)</f>
        <v>44707</v>
      </c>
      <c r="M988" s="25" t="str">
        <f ca="1">IFERROR(__xludf.DUMMYFUNCTION("""COMPUTED_VALUE"""),"Una vez verificado el Sistema de Registro de Beneficiarios SIRBE de la Secretaría de Integración Social, el señor Joaquín Albarracín identificado con cedula 79.393.004 se encuentra recibiendo bono canjeable por alimentos para personas con discapacidad , e"&amp;"l cual consiste en un giro de 180 mil pesos mensuales desde el año 2019, y cada uno de sus padres recibe un apoyo economico tipo D, el cual consiste en un giro de 135 mil pesos mensual desde el año 2013.
 Para verificar si es beneficiario del ingreso soli"&amp;"dario a nivel nacional o si puede acceder a la renta básica, es la Secretaria Distrital de Planeación quien brindaria esta información.")</f>
        <v>Una vez verificado el Sistema de Registro de Beneficiarios SIRBE de la Secretaría de Integración Social, el señor Joaquín Albarracín identificado con cedula 79.393.004 se encuentra recibiendo bono canjeable por alimentos para personas con discapacidad , el cual consiste en un giro de 180 mil pesos mensuales desde el año 2019, y cada uno de sus padres recibe un apoyo economico tipo D, el cual consiste en un giro de 135 mil pesos mensual desde el año 2013.
 Para verificar si es beneficiario del ingreso solidario a nivel nacional o si puede acceder a la renta básica, es la Secretaria Distrital de Planeación quien brindaria esta información.</v>
      </c>
      <c r="N988" s="55">
        <f ca="1">IFERROR(__xludf.DUMMYFUNCTION("""COMPUTED_VALUE"""),44926)</f>
        <v>44926</v>
      </c>
      <c r="O988" s="25" t="str">
        <f t="shared" ca="1" si="0"/>
        <v>Secretaría Distrital de Integración Social</v>
      </c>
      <c r="P988" s="25" t="str">
        <f t="shared" si="2"/>
        <v/>
      </c>
      <c r="Q988" s="25" t="str">
        <f ca="1">IFERROR(__xludf.DUMMYFUNCTION("""COMPUTED_VALUE"""),"Corto plazo")</f>
        <v>Corto plazo</v>
      </c>
      <c r="R988" s="25"/>
      <c r="S988" s="55"/>
      <c r="T988" s="56"/>
      <c r="U988" s="25"/>
      <c r="V988" s="25"/>
      <c r="W988" s="25"/>
      <c r="X988" s="25"/>
      <c r="Y988" s="25"/>
      <c r="Z988" s="25"/>
    </row>
    <row r="989" spans="1:26" ht="52.5" customHeight="1" x14ac:dyDescent="0.25">
      <c r="A989" s="25" t="str">
        <f ca="1">IFERROR(__xludf.DUMMYFUNCTION("""COMPUTED_VALUE"""),"Integ87")</f>
        <v>Integ87</v>
      </c>
      <c r="B989" s="25" t="str">
        <f ca="1">IFERROR(__xludf.DUMMYFUNCTION("""COMPUTED_VALUE"""),"Consejo Local de Giobierno de Rafael uribe Uribe")</f>
        <v>Consejo Local de Giobierno de Rafael uribe Uribe</v>
      </c>
      <c r="C989" s="55">
        <f ca="1">IFERROR(__xludf.DUMMYFUNCTION("""COMPUTED_VALUE"""),44714)</f>
        <v>44714</v>
      </c>
      <c r="D989" s="25" t="str">
        <f ca="1">IFERROR(__xludf.DUMMYFUNCTION("""COMPUTED_VALUE"""),"Integración_Social")</f>
        <v>Integración_Social</v>
      </c>
      <c r="E989" s="25" t="str">
        <f ca="1">IFERROR(__xludf.DUMMYFUNCTION("""COMPUTED_VALUE"""),"Secretaría Distrital de Integración Social")</f>
        <v>Secretaría Distrital de Integración Social</v>
      </c>
      <c r="F989" s="25" t="str">
        <f ca="1">IFERROR(__xludf.DUMMYFUNCTION("""COMPUTED_VALUE"""),"Verificar e informar a la ciudadanía a qué se debe el retraso en la entrega de los bonos para la población en condición de discapacidad del mes de mayo")</f>
        <v>Verificar e informar a la ciudadanía a qué se debe el retraso en la entrega de los bonos para la población en condición de discapacidad del mes de mayo</v>
      </c>
      <c r="G989" s="25" t="str">
        <f ca="1">IFERROR(__xludf.DUMMYFUNCTION("""COMPUTED_VALUE"""),"18. Rafael Uribe Uribe")</f>
        <v>18. Rafael Uribe Uribe</v>
      </c>
      <c r="H989" s="55">
        <f ca="1">IFERROR(__xludf.DUMMYFUNCTION("""COMPUTED_VALUE"""),44735)</f>
        <v>44735</v>
      </c>
      <c r="I989" s="25"/>
      <c r="J989" s="55" t="str">
        <f ca="1">IFERROR(__xludf.DUMMYFUNCTION("""COMPUTED_VALUE"""),"Alta")</f>
        <v>Alta</v>
      </c>
      <c r="K989" s="25">
        <f ca="1">IFERROR(__xludf.DUMMYFUNCTION("""COMPUTED_VALUE"""),21)</f>
        <v>21</v>
      </c>
      <c r="L989" s="62">
        <f ca="1">IFERROR(__xludf.DUMMYFUNCTION("""COMPUTED_VALUE"""),44735)</f>
        <v>44735</v>
      </c>
      <c r="M989" s="25" t="str">
        <f ca="1">IFERROR(__xludf.DUMMYFUNCTION("""COMPUTED_VALUE"""),"La subdirectora local para la integración social de Rafael Uribe Uribe, realizó reuniones presenciales con líderes y liderezas de personas con discapacidad participantes del proyecto 7771 que reciben bono canjeable por alimentos, con el fin de informar la"&amp;"s novedades y avances en los temas contractuales de los bonos que a la fecha no habían sido entregados. Estas reuniones se realizaron los días días 6 y 13 de junio - 2022, en las instalaciones de la subdirección local.")</f>
        <v>La subdirectora local para la integración social de Rafael Uribe Uribe, realizó reuniones presenciales con líderes y liderezas de personas con discapacidad participantes del proyecto 7771 que reciben bono canjeable por alimentos, con el fin de informar las novedades y avances en los temas contractuales de los bonos que a la fecha no habían sido entregados. Estas reuniones se realizaron los días días 6 y 13 de junio - 2022, en las instalaciones de la subdirección local.</v>
      </c>
      <c r="N989" s="55">
        <f ca="1">IFERROR(__xludf.DUMMYFUNCTION("""COMPUTED_VALUE"""),44926)</f>
        <v>44926</v>
      </c>
      <c r="O989" s="25" t="str">
        <f t="shared" ca="1" si="0"/>
        <v>Secretaría Distrital de Integración Social</v>
      </c>
      <c r="P989" s="25" t="str">
        <f t="shared" si="2"/>
        <v/>
      </c>
      <c r="Q989" s="25" t="str">
        <f ca="1">IFERROR(__xludf.DUMMYFUNCTION("""COMPUTED_VALUE"""),"Corto plazo")</f>
        <v>Corto plazo</v>
      </c>
      <c r="R989" s="25"/>
      <c r="S989" s="55"/>
      <c r="T989" s="56"/>
      <c r="U989" s="25"/>
      <c r="V989" s="25"/>
      <c r="W989" s="25"/>
      <c r="X989" s="25"/>
      <c r="Y989" s="25"/>
      <c r="Z989" s="25"/>
    </row>
    <row r="990" spans="1:26" ht="52.5" customHeight="1" x14ac:dyDescent="0.25">
      <c r="A990" s="25" t="str">
        <f ca="1">IFERROR(__xludf.DUMMYFUNCTION("""COMPUTED_VALUE"""),"Integ88")</f>
        <v>Integ88</v>
      </c>
      <c r="B990" s="25" t="str">
        <f ca="1">IFERROR(__xludf.DUMMYFUNCTION("""COMPUTED_VALUE"""),"Consejo Local de Gobierno de Antonio Nariño")</f>
        <v>Consejo Local de Gobierno de Antonio Nariño</v>
      </c>
      <c r="C990" s="55">
        <f ca="1">IFERROR(__xludf.DUMMYFUNCTION("""COMPUTED_VALUE"""),44770)</f>
        <v>44770</v>
      </c>
      <c r="D990" s="25" t="str">
        <f ca="1">IFERROR(__xludf.DUMMYFUNCTION("""COMPUTED_VALUE"""),"Integración_Social")</f>
        <v>Integración_Social</v>
      </c>
      <c r="E990" s="25" t="str">
        <f ca="1">IFERROR(__xludf.DUMMYFUNCTION("""COMPUTED_VALUE"""),"Secretaría Distrital de Integración Social")</f>
        <v>Secretaría Distrital de Integración Social</v>
      </c>
      <c r="F990" s="25" t="str">
        <f ca="1">IFERROR(__xludf.DUMMYFUNCTION("""COMPUTED_VALUE"""),"Brindar información al ciudadano sobre los comedores comunitarios y los centros día")</f>
        <v>Brindar información al ciudadano sobre los comedores comunitarios y los centros día</v>
      </c>
      <c r="G990" s="25" t="str">
        <f ca="1">IFERROR(__xludf.DUMMYFUNCTION("""COMPUTED_VALUE"""),"15. Antonio Nariño")</f>
        <v>15. Antonio Nariño</v>
      </c>
      <c r="H990" s="55">
        <f ca="1">IFERROR(__xludf.DUMMYFUNCTION("""COMPUTED_VALUE"""),44819)</f>
        <v>44819</v>
      </c>
      <c r="I990" s="25"/>
      <c r="J990" s="55" t="str">
        <f ca="1">IFERROR(__xludf.DUMMYFUNCTION("""COMPUTED_VALUE"""),"Alta")</f>
        <v>Alta</v>
      </c>
      <c r="K990" s="25">
        <f ca="1">IFERROR(__xludf.DUMMYFUNCTION("""COMPUTED_VALUE"""),49)</f>
        <v>49</v>
      </c>
      <c r="L990" s="62">
        <f ca="1">IFERROR(__xludf.DUMMYFUNCTION("""COMPUTED_VALUE"""),44819)</f>
        <v>44819</v>
      </c>
      <c r="M990" s="25" t="str">
        <f ca="1">IFERROR(__xludf.DUMMYFUNCTION("""COMPUTED_VALUE"""),"Se realizó contacto telefónico con la persona mayor indicando que actualmente se encuentra en atención en la Casa de la Sabiduría Palabras Mayores de la localidad de Rafael Uribe Uribe al igual que su esposa. Adicional a ello, es miembro activo del Concej"&amp;"o Local de Sabios y Sabias con el fin de ayudar de manera proactiva a la camunidad. Con respecto al servicio social ""Compromiso por una alimentación integral en Bogotá"" no es competencia de la Subdirección para la vejez. Sin embargo se remite a dicho se"&amp;"rvicio en lo local con el fin de ser atendido")</f>
        <v>Se realizó contacto telefónico con la persona mayor indicando que actualmente se encuentra en atención en la Casa de la Sabiduría Palabras Mayores de la localidad de Rafael Uribe Uribe al igual que su esposa. Adicional a ello, es miembro activo del Concejo Local de Sabios y Sabias con el fin de ayudar de manera proactiva a la camunidad. Con respecto al servicio social "Compromiso por una alimentación integral en Bogotá" no es competencia de la Subdirección para la vejez. Sin embargo se remite a dicho servicio en lo local con el fin de ser atendido</v>
      </c>
      <c r="N990" s="55">
        <f ca="1">IFERROR(__xludf.DUMMYFUNCTION("""COMPUTED_VALUE"""),44926)</f>
        <v>44926</v>
      </c>
      <c r="O990" s="25" t="str">
        <f t="shared" ca="1" si="0"/>
        <v>Secretaría Distrital de Integración Social</v>
      </c>
      <c r="P990" s="25" t="str">
        <f t="shared" si="2"/>
        <v/>
      </c>
      <c r="Q990" s="25" t="str">
        <f ca="1">IFERROR(__xludf.DUMMYFUNCTION("""COMPUTED_VALUE"""),"Corto plazo")</f>
        <v>Corto plazo</v>
      </c>
      <c r="R990" s="25"/>
      <c r="S990" s="55"/>
      <c r="T990" s="56"/>
      <c r="U990" s="25"/>
      <c r="V990" s="25"/>
      <c r="W990" s="25"/>
      <c r="X990" s="25"/>
      <c r="Y990" s="25"/>
      <c r="Z990" s="25"/>
    </row>
    <row r="991" spans="1:26" ht="52.5" customHeight="1" x14ac:dyDescent="0.25">
      <c r="A991" s="25" t="str">
        <f ca="1">IFERROR(__xludf.DUMMYFUNCTION("""COMPUTED_VALUE"""),"Integ89")</f>
        <v>Integ89</v>
      </c>
      <c r="B991" s="25" t="str">
        <f ca="1">IFERROR(__xludf.DUMMYFUNCTION("""COMPUTED_VALUE"""),"Consejo Local de Gobierno de Antonio Nariño")</f>
        <v>Consejo Local de Gobierno de Antonio Nariño</v>
      </c>
      <c r="C991" s="55">
        <f ca="1">IFERROR(__xludf.DUMMYFUNCTION("""COMPUTED_VALUE"""),44770)</f>
        <v>44770</v>
      </c>
      <c r="D991" s="25" t="str">
        <f ca="1">IFERROR(__xludf.DUMMYFUNCTION("""COMPUTED_VALUE"""),"Integración_Social")</f>
        <v>Integración_Social</v>
      </c>
      <c r="E991" s="25" t="str">
        <f ca="1">IFERROR(__xludf.DUMMYFUNCTION("""COMPUTED_VALUE"""),"Secretaría Distrital de Integración Social")</f>
        <v>Secretaría Distrital de Integración Social</v>
      </c>
      <c r="F991" s="25" t="str">
        <f ca="1">IFERROR(__xludf.DUMMYFUNCTION("""COMPUTED_VALUE"""),"Revisar la problemática de punto sanitario y habitantes alrededor del colegio y la iglesia Manuel María Camargo")</f>
        <v>Revisar la problemática de punto sanitario y habitantes alrededor del colegio y la iglesia Manuel María Camargo</v>
      </c>
      <c r="G991" s="25" t="str">
        <f ca="1">IFERROR(__xludf.DUMMYFUNCTION("""COMPUTED_VALUE"""),"15. Antonio Nariño")</f>
        <v>15. Antonio Nariño</v>
      </c>
      <c r="H991" s="55">
        <f ca="1">IFERROR(__xludf.DUMMYFUNCTION("""COMPUTED_VALUE"""),44848)</f>
        <v>44848</v>
      </c>
      <c r="I991" s="25"/>
      <c r="J991" s="55" t="str">
        <f ca="1">IFERROR(__xludf.DUMMYFUNCTION("""COMPUTED_VALUE"""),"Media")</f>
        <v>Media</v>
      </c>
      <c r="K991" s="25">
        <f ca="1">IFERROR(__xludf.DUMMYFUNCTION("""COMPUTED_VALUE"""),78)</f>
        <v>78</v>
      </c>
      <c r="L991" s="62">
        <f ca="1">IFERROR(__xludf.DUMMYFUNCTION("""COMPUTED_VALUE"""),44848)</f>
        <v>44848</v>
      </c>
      <c r="M991" s="25" t="str">
        <f ca="1">IFERROR(__xludf.DUMMYFUNCTION("""COMPUTED_VALUE"""),"""En el mes de mayo se realizó con la Fundación Monseñor Manuel María Camargo, UAESP y Secretaria de Integración Social (SDIS) mesa de trabajo para articulación de acciones conjuntas para mejorar la convivencia con respecto al fenómeno de habitabilidad en"&amp;" calle.
 En el mes de junio se programa actividad de embellecimiento en los alrededores del Gimnasio Manuel María Camargo, con la participación para intervención artística de Mural de ciudadanos en inclusión social, ciudadanos habitantes de calle de loc"&amp;"alidad Antonio Nariño, equipo territorial local (SDIS), estrategia de las artes del eje de ampliación de oportunidades de la SDIS, UAESP, Subred Centro Oriente, Secretaria de seguridad, convivencia y justicia (SSCJ), Alcaldía local, Jóvenes RETO. ambienta"&amp;"l y comunidad (Cumpliendo comparendo pedagógico).
 Se realizó recorrido con la UAESP puerta a puerta sensibilizando a la comunidad sobre la correcta disposición de residuos sólidos.
 Se logra mitigar la problemática relacionada con el fenómeno de habi"&amp;"tabilidad en calle como lo es la incorrecta disposición y separación de residuos sólidos y la permanencia de ciudadanos habitantes de calle en éste lugar.
 Se realizan recorridos periódicos durante el mes de julio por parte del equipo de abordaje territ"&amp;"orial (SDIS), para ofertar los servicios encontrando que no hay permanencia de ciudadanos habitantes de calle y se ha mitigado la mala disposición de residuos sólidos en los alrededores del colegio
 Durante el mes de agosto de 2022, se vienen realizando"&amp;" recorridos de abordaje territorial una vez por semana , identificando ciudadanos habitantes de calle con problemas de salud y orientandolos en las rutas de acceso a los servicios de Salud. Realizado
 En el mes de septiembre se realiza recorrido por el "&amp;"sector por parte del equipo territorial realizando oferta de los servicios de la SDIS una vez por semana , traslado a ciudadano habitante de calle a hogar de paso Mártires, activación de ruta de salud a hospital Santa Clara a persona Mayor con apoyo de PO"&amp;"NAL.
 En el mes de octubre se realiza recorrido en el sector para identificación de actores sociales estratégicos que permitan establecer un diálogo comunitario para el desarrollo de plan de acción orientado a la creación de entornos protectores y la mi"&amp;"tigación de los conflictos asociados al fenómeno de habitabilidad en calle.""")</f>
        <v>"En el mes de mayo se realizó con la Fundación Monseñor Manuel María Camargo, UAESP y Secretaria de Integración Social (SDIS) mesa de trabajo para articulación de acciones conjuntas para mejorar la convivencia con respecto al fenómeno de habitabilidad en calle.
 En el mes de junio se programa actividad de embellecimiento en los alrededores del Gimnasio Manuel María Camargo, con la participación para intervención artística de Mural de ciudadanos en inclusión social, ciudadanos habitantes de calle de localidad Antonio Nariño, equipo territorial local (SDIS), estrategia de las artes del eje de ampliación de oportunidades de la SDIS, UAESP, Subred Centro Oriente, Secretaria de seguridad, convivencia y justicia (SSCJ), Alcaldía local, Jóvenes RETO. ambiental y comunidad (Cumpliendo comparendo pedagógico).
 Se realizó recorrido con la UAESP puerta a puerta sensibilizando a la comunidad sobre la correcta disposición de residuos sólidos.
 Se logra mitigar la problemática relacionada con el fenómeno de habitabilidad en calle como lo es la incorrecta disposición y separación de residuos sólidos y la permanencia de ciudadanos habitantes de calle en éste lugar.
 Se realizan recorridos periódicos durante el mes de julio por parte del equipo de abordaje territorial (SDIS), para ofertar los servicios encontrando que no hay permanencia de ciudadanos habitantes de calle y se ha mitigado la mala disposición de residuos sólidos en los alrededores del colegio
 Durante el mes de agosto de 2022, se vienen realizando recorridos de abordaje territorial una vez por semana , identificando ciudadanos habitantes de calle con problemas de salud y orientandolos en las rutas de acceso a los servicios de Salud. Realizado
 En el mes de septiembre se realiza recorrido por el sector por parte del equipo territorial realizando oferta de los servicios de la SDIS una vez por semana , traslado a ciudadano habitante de calle a hogar de paso Mártires, activación de ruta de salud a hospital Santa Clara a persona Mayor con apoyo de PONAL.
 En el mes de octubre se realiza recorrido en el sector para identificación de actores sociales estratégicos que permitan establecer un diálogo comunitario para el desarrollo de plan de acción orientado a la creación de entornos protectores y la mitigación de los conflictos asociados al fenómeno de habitabilidad en calle."</v>
      </c>
      <c r="N991" s="55">
        <f ca="1">IFERROR(__xludf.DUMMYFUNCTION("""COMPUTED_VALUE"""),44926)</f>
        <v>44926</v>
      </c>
      <c r="O991" s="25" t="str">
        <f t="shared" ca="1" si="0"/>
        <v>Secretaría Distrital de Integración Social</v>
      </c>
      <c r="P991" s="25" t="str">
        <f t="shared" si="2"/>
        <v/>
      </c>
      <c r="Q991" s="25" t="str">
        <f ca="1">IFERROR(__xludf.DUMMYFUNCTION("""COMPUTED_VALUE"""),"Mediano plazo")</f>
        <v>Mediano plazo</v>
      </c>
      <c r="R991" s="25"/>
      <c r="S991" s="55"/>
      <c r="T991" s="56"/>
      <c r="U991" s="25"/>
      <c r="V991" s="25"/>
      <c r="W991" s="25"/>
      <c r="X991" s="25"/>
      <c r="Y991" s="25"/>
      <c r="Z991" s="25"/>
    </row>
    <row r="992" spans="1:26" ht="52.5" customHeight="1" x14ac:dyDescent="0.25">
      <c r="A992" s="25" t="str">
        <f ca="1">IFERROR(__xludf.DUMMYFUNCTION("""COMPUTED_VALUE"""),"Integ90")</f>
        <v>Integ90</v>
      </c>
      <c r="B992" s="25" t="str">
        <f ca="1">IFERROR(__xludf.DUMMYFUNCTION("""COMPUTED_VALUE"""),"Evaluación de resultados IMG + Revisión política pública de pobreza")</f>
        <v>Evaluación de resultados IMG + Revisión política pública de pobreza</v>
      </c>
      <c r="C992" s="55">
        <f ca="1">IFERROR(__xludf.DUMMYFUNCTION("""COMPUTED_VALUE"""),44981)</f>
        <v>44981</v>
      </c>
      <c r="D992" s="25" t="str">
        <f ca="1">IFERROR(__xludf.DUMMYFUNCTION("""COMPUTED_VALUE"""),"Integración_Social")</f>
        <v>Integración_Social</v>
      </c>
      <c r="E992" s="25" t="str">
        <f ca="1">IFERROR(__xludf.DUMMYFUNCTION("""COMPUTED_VALUE"""),"Secretaría Distrital de Integración Social")</f>
        <v>Secretaría Distrital de Integración Social</v>
      </c>
      <c r="F992" s="25" t="str">
        <f ca="1">IFERROR(__xludf.DUMMYFUNCTION("""COMPUTED_VALUE"""),"Hacer un plan de trabajo para la definición de un esquema diferenciado de pagos a diferentes grupos poblaciones y definir a qué miembro del hogar se le debe realizar el pago")</f>
        <v>Hacer un plan de trabajo para la definición de un esquema diferenciado de pagos a diferentes grupos poblaciones y definir a qué miembro del hogar se le debe realizar el pago</v>
      </c>
      <c r="G992" s="25" t="str">
        <f ca="1">IFERROR(__xludf.DUMMYFUNCTION("""COMPUTED_VALUE"""),"99. Distrito")</f>
        <v>99. Distrito</v>
      </c>
      <c r="H992" s="55">
        <f ca="1">IFERROR(__xludf.DUMMYFUNCTION("""COMPUTED_VALUE"""),45077)</f>
        <v>45077</v>
      </c>
      <c r="I992" s="25" t="str">
        <f ca="1">IFERROR(__xludf.DUMMYFUNCTION("""COMPUTED_VALUE"""),"Delivery Unit")</f>
        <v>Delivery Unit</v>
      </c>
      <c r="J992" s="55" t="str">
        <f ca="1">IFERROR(__xludf.DUMMYFUNCTION("""COMPUTED_VALUE"""),"Alta")</f>
        <v>Alta</v>
      </c>
      <c r="K992" s="25">
        <f ca="1">IFERROR(__xludf.DUMMYFUNCTION("""COMPUTED_VALUE"""),96)</f>
        <v>96</v>
      </c>
      <c r="L992" s="62">
        <f ca="1">IFERROR(__xludf.DUMMYFUNCTION("""COMPUTED_VALUE"""),45077)</f>
        <v>45077</v>
      </c>
      <c r="M992" s="25" t="str">
        <f ca="1">IFERROR(__xludf.DUMMYFUNCTION("""COMPUTED_VALUE"""),"Dirección de Transferencias: En reuniónes adelantadas con el Equipo Asesor que acompaña el Comite Coordinador en la definición de algunos temas relevantes de IMG, se viene coordinando el Plan de Trabajo para avanzar en la construcción del esquema de atenc"&amp;"ión a grupos poblacionales de acuerdo con los resultados obtenidos de la Evaluación de Diseño, presentada durante 2022 por la Secretaría Distrital de Hacienda. De acuerdo con el cronograma establecido por el Equipo Asesor, se presentará esta propuesta de "&amp;"plan de trabajo al Comite Coordinador en la proxima sesión ordinaria para su aprobación")</f>
        <v>Dirección de Transferencias: En reuniónes adelantadas con el Equipo Asesor que acompaña el Comite Coordinador en la definición de algunos temas relevantes de IMG, se viene coordinando el Plan de Trabajo para avanzar en la construcción del esquema de atención a grupos poblacionales de acuerdo con los resultados obtenidos de la Evaluación de Diseño, presentada durante 2022 por la Secretaría Distrital de Hacienda. De acuerdo con el cronograma establecido por el Equipo Asesor, se presentará esta propuesta de plan de trabajo al Comite Coordinador en la proxima sesión ordinaria para su aprobación</v>
      </c>
      <c r="N992" s="25"/>
      <c r="O992" s="25" t="str">
        <f t="shared" ca="1" si="0"/>
        <v>Secretaría Distrital de Integración Social</v>
      </c>
      <c r="P992" s="25" t="str">
        <f t="shared" ca="1" si="2"/>
        <v/>
      </c>
      <c r="Q992" s="25" t="str">
        <f ca="1">IFERROR(__xludf.DUMMYFUNCTION("""COMPUTED_VALUE"""),"Mediano plazo")</f>
        <v>Mediano plazo</v>
      </c>
      <c r="R992" s="25"/>
      <c r="S992" s="55"/>
      <c r="T992" s="56"/>
      <c r="U992" s="25"/>
      <c r="V992" s="25"/>
      <c r="W992" s="25"/>
      <c r="X992" s="25"/>
      <c r="Y992" s="25"/>
      <c r="Z992" s="25"/>
    </row>
    <row r="993" spans="1:26" ht="52.5" customHeight="1" x14ac:dyDescent="0.25">
      <c r="A993" s="25" t="str">
        <f ca="1">IFERROR(__xludf.DUMMYFUNCTION("""COMPUTED_VALUE"""),"Integ91")</f>
        <v>Integ91</v>
      </c>
      <c r="B993" s="25" t="str">
        <f ca="1">IFERROR(__xludf.DUMMYFUNCTION("""COMPUTED_VALUE"""),"Evaluación de resultados IMG + Revisión política pública de pobreza")</f>
        <v>Evaluación de resultados IMG + Revisión política pública de pobreza</v>
      </c>
      <c r="C993" s="55">
        <f ca="1">IFERROR(__xludf.DUMMYFUNCTION("""COMPUTED_VALUE"""),44981)</f>
        <v>44981</v>
      </c>
      <c r="D993" s="25" t="str">
        <f ca="1">IFERROR(__xludf.DUMMYFUNCTION("""COMPUTED_VALUE"""),"Integración_Social")</f>
        <v>Integración_Social</v>
      </c>
      <c r="E993" s="25" t="str">
        <f ca="1">IFERROR(__xludf.DUMMYFUNCTION("""COMPUTED_VALUE"""),"Secretaría Distrital de Integración Social")</f>
        <v>Secretaría Distrital de Integración Social</v>
      </c>
      <c r="F993" s="25" t="str">
        <f ca="1">IFERROR(__xludf.DUMMYFUNCTION("""COMPUTED_VALUE"""),"Enviar un mensaje de texto a las personas para decirles que antes recibía un monto X y ahora recibe otro porque no tiene el giro de Nación.")</f>
        <v>Enviar un mensaje de texto a las personas para decirles que antes recibía un monto X y ahora recibe otro porque no tiene el giro de Nación.</v>
      </c>
      <c r="G993" s="25" t="str">
        <f ca="1">IFERROR(__xludf.DUMMYFUNCTION("""COMPUTED_VALUE"""),"99. Distrito")</f>
        <v>99. Distrito</v>
      </c>
      <c r="H993" s="55">
        <f ca="1">IFERROR(__xludf.DUMMYFUNCTION("""COMPUTED_VALUE"""),45046)</f>
        <v>45046</v>
      </c>
      <c r="I993" s="25" t="str">
        <f ca="1">IFERROR(__xludf.DUMMYFUNCTION("""COMPUTED_VALUE"""),"Delivery Unit")</f>
        <v>Delivery Unit</v>
      </c>
      <c r="J993" s="55" t="str">
        <f ca="1">IFERROR(__xludf.DUMMYFUNCTION("""COMPUTED_VALUE"""),"Alta")</f>
        <v>Alta</v>
      </c>
      <c r="K993" s="25">
        <f ca="1">IFERROR(__xludf.DUMMYFUNCTION("""COMPUTED_VALUE"""),65)</f>
        <v>65</v>
      </c>
      <c r="L993" s="62">
        <f ca="1">IFERROR(__xludf.DUMMYFUNCTION("""COMPUTED_VALUE"""),45077)</f>
        <v>45077</v>
      </c>
      <c r="M993" s="25" t="str">
        <f ca="1">IFERROR(__xludf.DUMMYFUNCTION("""COMPUTED_VALUE"""),"Dirección de Transferencias: Durante las dos primeras semanas del mes de mayo, se han realizado mesas de trabajo, para definir el monto necesario y el origen de los recursos para financiar el envio de los mensajes de texto. De manera paralela, se está rea"&amp;"lizando la construcción del contenido del mensaje, que estara aprobado en su versión final  para la tercera semana de mayo.")</f>
        <v>Dirección de Transferencias: Durante las dos primeras semanas del mes de mayo, se han realizado mesas de trabajo, para definir el monto necesario y el origen de los recursos para financiar el envio de los mensajes de texto. De manera paralela, se está realizando la construcción del contenido del mensaje, que estara aprobado en su versión final  para la tercera semana de mayo.</v>
      </c>
      <c r="N993" s="25"/>
      <c r="O993" s="25" t="str">
        <f t="shared" ca="1" si="0"/>
        <v>Secretaría Distrital de Integración Social</v>
      </c>
      <c r="P993" s="25" t="str">
        <f t="shared" ca="1" si="2"/>
        <v/>
      </c>
      <c r="Q993" s="25" t="str">
        <f ca="1">IFERROR(__xludf.DUMMYFUNCTION("""COMPUTED_VALUE"""),"Mediano plazo")</f>
        <v>Mediano plazo</v>
      </c>
      <c r="R993" s="25"/>
      <c r="S993" s="55"/>
      <c r="T993" s="56"/>
      <c r="U993" s="25"/>
      <c r="V993" s="25"/>
      <c r="W993" s="25"/>
      <c r="X993" s="25"/>
      <c r="Y993" s="25"/>
      <c r="Z993" s="25"/>
    </row>
    <row r="994" spans="1:26" ht="52.5" customHeight="1" x14ac:dyDescent="0.25">
      <c r="A994" s="25" t="str">
        <f ca="1">IFERROR(__xludf.DUMMYFUNCTION("""COMPUTED_VALUE"""),"Integ92")</f>
        <v>Integ92</v>
      </c>
      <c r="B994" s="25" t="str">
        <f ca="1">IFERROR(__xludf.DUMMYFUNCTION("""COMPUTED_VALUE"""),"Recorrido San Cristóbal")</f>
        <v>Recorrido San Cristóbal</v>
      </c>
      <c r="C994" s="55">
        <f ca="1">IFERROR(__xludf.DUMMYFUNCTION("""COMPUTED_VALUE"""),45026)</f>
        <v>45026</v>
      </c>
      <c r="D994" s="25" t="str">
        <f ca="1">IFERROR(__xludf.DUMMYFUNCTION("""COMPUTED_VALUE"""),"Integración_Social")</f>
        <v>Integración_Social</v>
      </c>
      <c r="E994" s="25" t="str">
        <f ca="1">IFERROR(__xludf.DUMMYFUNCTION("""COMPUTED_VALUE"""),"Secretaría Distrital de Integración Social")</f>
        <v>Secretaría Distrital de Integración Social</v>
      </c>
      <c r="F994" s="25" t="str">
        <f ca="1">IFERROR(__xludf.DUMMYFUNCTION("""COMPUTED_VALUE"""),"Terminar el proceso de nueva contratación de personal de Integrarte Balcanes grupo 7 y 10, en 15 días.")</f>
        <v>Terminar el proceso de nueva contratación de personal de Integrarte Balcanes grupo 7 y 10, en 15 días.</v>
      </c>
      <c r="G994" s="25" t="str">
        <f ca="1">IFERROR(__xludf.DUMMYFUNCTION("""COMPUTED_VALUE"""),"04. San Cristóbal")</f>
        <v>04. San Cristóbal</v>
      </c>
      <c r="H994" s="55">
        <f ca="1">IFERROR(__xludf.DUMMYFUNCTION("""COMPUTED_VALUE"""),45076)</f>
        <v>45076</v>
      </c>
      <c r="I994" s="25" t="str">
        <f ca="1">IFERROR(__xludf.DUMMYFUNCTION("""COMPUTED_VALUE"""),"Secretaría Privada")</f>
        <v>Secretaría Privada</v>
      </c>
      <c r="J994" s="55" t="str">
        <f ca="1">IFERROR(__xludf.DUMMYFUNCTION("""COMPUTED_VALUE"""),"Alta")</f>
        <v>Alta</v>
      </c>
      <c r="K994" s="25">
        <f ca="1">IFERROR(__xludf.DUMMYFUNCTION("""COMPUTED_VALUE"""),50)</f>
        <v>50</v>
      </c>
      <c r="L994" s="62">
        <f ca="1">IFERROR(__xludf.DUMMYFUNCTION("""COMPUTED_VALUE"""),45077)</f>
        <v>45077</v>
      </c>
      <c r="M994" s="25" t="str">
        <f ca="1">IFERROR(__xludf.DUMMYFUNCTION("""COMPUTED_VALUE"""),"Para el reporte del 15  de mayo quedaban dos cupos por cubrir, actualmente  uno de ellos se encuentra en proceso de firmas, y el otro tuvo un cambio de proponente por desistimiento, y se prevé radicar en la primera semana de Junio. Por lo anterior se soli"&amp;"cita se amplie la fecha de cumplimiento de la tarea a 30 de Junio")</f>
        <v>Para el reporte del 15  de mayo quedaban dos cupos por cubrir, actualmente  uno de ellos se encuentra en proceso de firmas, y el otro tuvo un cambio de proponente por desistimiento, y se prevé radicar en la primera semana de Junio. Por lo anterior se solicita se amplie la fecha de cumplimiento de la tarea a 30 de Junio</v>
      </c>
      <c r="N994" s="25"/>
      <c r="O994" s="25" t="str">
        <f t="shared" ca="1" si="0"/>
        <v>Secretaría Distrital de Integración Social</v>
      </c>
      <c r="P994" s="25" t="str">
        <f t="shared" ca="1" si="2"/>
        <v/>
      </c>
      <c r="Q994" s="25" t="str">
        <f ca="1">IFERROR(__xludf.DUMMYFUNCTION("""COMPUTED_VALUE"""),"Corto plazo")</f>
        <v>Corto plazo</v>
      </c>
      <c r="R994" s="25"/>
      <c r="S994" s="55"/>
      <c r="T994" s="56"/>
      <c r="U994" s="25"/>
      <c r="V994" s="25"/>
      <c r="W994" s="25"/>
      <c r="X994" s="25"/>
      <c r="Y994" s="25"/>
      <c r="Z994" s="25"/>
    </row>
    <row r="995" spans="1:26" ht="52.5" customHeight="1" x14ac:dyDescent="0.25">
      <c r="A995" s="25" t="str">
        <f ca="1">IFERROR(__xludf.DUMMYFUNCTION("""COMPUTED_VALUE"""),"Integ93")</f>
        <v>Integ93</v>
      </c>
      <c r="B995" s="25" t="str">
        <f ca="1">IFERROR(__xludf.DUMMYFUNCTION("""COMPUTED_VALUE"""),"Recorrido San Cristóbal")</f>
        <v>Recorrido San Cristóbal</v>
      </c>
      <c r="C995" s="55">
        <f ca="1">IFERROR(__xludf.DUMMYFUNCTION("""COMPUTED_VALUE"""),45026)</f>
        <v>45026</v>
      </c>
      <c r="D995" s="25" t="str">
        <f ca="1">IFERROR(__xludf.DUMMYFUNCTION("""COMPUTED_VALUE"""),"Integración_Social")</f>
        <v>Integración_Social</v>
      </c>
      <c r="E995" s="25" t="str">
        <f ca="1">IFERROR(__xludf.DUMMYFUNCTION("""COMPUTED_VALUE"""),"Secretaría Distrital de Integración Social")</f>
        <v>Secretaría Distrital de Integración Social</v>
      </c>
      <c r="F995" s="25" t="str">
        <f ca="1">IFERROR(__xludf.DUMMYFUNCTION("""COMPUTED_VALUE"""),"Revisar la opción de brindar bono canjeable en lugar de mercado a la comunidad beneficiada de Canasta Afro en la localidad.")</f>
        <v>Revisar la opción de brindar bono canjeable en lugar de mercado a la comunidad beneficiada de Canasta Afro en la localidad.</v>
      </c>
      <c r="G995" s="25" t="str">
        <f ca="1">IFERROR(__xludf.DUMMYFUNCTION("""COMPUTED_VALUE"""),"04. San Cristóbal")</f>
        <v>04. San Cristóbal</v>
      </c>
      <c r="H995" s="55">
        <f ca="1">IFERROR(__xludf.DUMMYFUNCTION("""COMPUTED_VALUE"""),45076)</f>
        <v>45076</v>
      </c>
      <c r="I995" s="25" t="str">
        <f ca="1">IFERROR(__xludf.DUMMYFUNCTION("""COMPUTED_VALUE"""),"Secretaría Privada")</f>
        <v>Secretaría Privada</v>
      </c>
      <c r="J995" s="55" t="str">
        <f ca="1">IFERROR(__xludf.DUMMYFUNCTION("""COMPUTED_VALUE"""),"Alta")</f>
        <v>Alta</v>
      </c>
      <c r="K995" s="25">
        <f ca="1">IFERROR(__xludf.DUMMYFUNCTION("""COMPUTED_VALUE"""),50)</f>
        <v>50</v>
      </c>
      <c r="L995" s="62">
        <f ca="1">IFERROR(__xludf.DUMMYFUNCTION("""COMPUTED_VALUE"""),45077)</f>
        <v>45077</v>
      </c>
      <c r="M995" s="25" t="str">
        <f ca="1">IFERROR(__xludf.DUMMYFUNCTION("""COMPUTED_VALUE"""),"Si bien la terea surge del recorrido que realizó la Alcaldesa Mayor el 10 de abril por la localidad, entregar bono canjeable por alimentos en lugar de Canasta Afro a las personas receptoras de este servicio en la localidad, no es una decisión del ámbito d"&amp;"e la subdirección local. 
Como es un servicio distrital, de manera respetuosa, se sugiere que la gestión esta tarea sea liderada desde la Secretaría Distrital de Gobierno, a fin de que se pueda llevar la solicitud a la Consultiva de las Comunidades Negra"&amp;"s, Afrocolombianas, Raizales y Palenqueras de Bogotá, D.C, cuya secretaría técnica es ejercida por la Secretaría Distrital de Gobierno (Decreto 474 del 2019), pues entregar la canasta afro parte del plan integral de acciones afirmativas.")</f>
        <v>Si bien la terea surge del recorrido que realizó la Alcaldesa Mayor el 10 de abril por la localidad, entregar bono canjeable por alimentos en lugar de Canasta Afro a las personas receptoras de este servicio en la localidad, no es una decisión del ámbito de la subdirección local. 
Como es un servicio distrital, de manera respetuosa, se sugiere que la gestión esta tarea sea liderada desde la Secretaría Distrital de Gobierno, a fin de que se pueda llevar la solicitud a la Consultiva de las Comunidades Negras, Afrocolombianas, Raizales y Palenqueras de Bogotá, D.C, cuya secretaría técnica es ejercida por la Secretaría Distrital de Gobierno (Decreto 474 del 2019), pues entregar la canasta afro parte del plan integral de acciones afirmativas.</v>
      </c>
      <c r="N995" s="25"/>
      <c r="O995" s="25" t="str">
        <f t="shared" ca="1" si="0"/>
        <v>Secretaría Distrital de Integración Social</v>
      </c>
      <c r="P995" s="25" t="str">
        <f t="shared" ca="1" si="2"/>
        <v/>
      </c>
      <c r="Q995" s="25" t="str">
        <f ca="1">IFERROR(__xludf.DUMMYFUNCTION("""COMPUTED_VALUE"""),"Corto plazo")</f>
        <v>Corto plazo</v>
      </c>
      <c r="R995" s="25"/>
      <c r="S995" s="55"/>
      <c r="T995" s="56"/>
      <c r="U995" s="25"/>
      <c r="V995" s="25"/>
      <c r="W995" s="25"/>
      <c r="X995" s="25"/>
      <c r="Y995" s="25"/>
      <c r="Z995" s="25"/>
    </row>
    <row r="996" spans="1:26" ht="52.5" customHeight="1" x14ac:dyDescent="0.25">
      <c r="A996" s="25" t="str">
        <f ca="1">IFERROR(__xludf.DUMMYFUNCTION("""COMPUTED_VALUE"""),"Integ94")</f>
        <v>Integ94</v>
      </c>
      <c r="B996" s="25" t="str">
        <f ca="1">IFERROR(__xludf.DUMMYFUNCTION("""COMPUTED_VALUE"""),"Recorrido Rafael Uribe Uribe")</f>
        <v>Recorrido Rafael Uribe Uribe</v>
      </c>
      <c r="C996" s="55">
        <f ca="1">IFERROR(__xludf.DUMMYFUNCTION("""COMPUTED_VALUE"""),45006)</f>
        <v>45006</v>
      </c>
      <c r="D996" s="25" t="str">
        <f ca="1">IFERROR(__xludf.DUMMYFUNCTION("""COMPUTED_VALUE"""),"Integración_Social")</f>
        <v>Integración_Social</v>
      </c>
      <c r="E996" s="25" t="str">
        <f ca="1">IFERROR(__xludf.DUMMYFUNCTION("""COMPUTED_VALUE"""),"Secretaría Distrital de Integración Social")</f>
        <v>Secretaría Distrital de Integración Social</v>
      </c>
      <c r="F996" s="25" t="str">
        <f ca="1">IFERROR(__xludf.DUMMYFUNCTION("""COMPUTED_VALUE"""),"Suscribir convenio entre el colegio Cafam Acacías y el Jardín Acacías I.E.D para garantizar el ingreso de egresados del jardín a esta institución educativa y que así los estudiantes puedan continuar con su proceso formativo de educación básica.")</f>
        <v>Suscribir convenio entre el colegio Cafam Acacías y el Jardín Acacías I.E.D para garantizar el ingreso de egresados del jardín a esta institución educativa y que así los estudiantes puedan continuar con su proceso formativo de educación básica.</v>
      </c>
      <c r="G996" s="25" t="str">
        <f ca="1">IFERROR(__xludf.DUMMYFUNCTION("""COMPUTED_VALUE"""),"18. Rafael Uribe Uribe")</f>
        <v>18. Rafael Uribe Uribe</v>
      </c>
      <c r="H996" s="55">
        <f ca="1">IFERROR(__xludf.DUMMYFUNCTION("""COMPUTED_VALUE"""),45076)</f>
        <v>45076</v>
      </c>
      <c r="I996" s="25" t="str">
        <f ca="1">IFERROR(__xludf.DUMMYFUNCTION("""COMPUTED_VALUE"""),"Secretaría Privada")</f>
        <v>Secretaría Privada</v>
      </c>
      <c r="J996" s="55" t="str">
        <f ca="1">IFERROR(__xludf.DUMMYFUNCTION("""COMPUTED_VALUE"""),"Media")</f>
        <v>Media</v>
      </c>
      <c r="K996" s="25">
        <f ca="1">IFERROR(__xludf.DUMMYFUNCTION("""COMPUTED_VALUE"""),70)</f>
        <v>70</v>
      </c>
      <c r="L996" s="62">
        <f ca="1">IFERROR(__xludf.DUMMYFUNCTION("""COMPUTED_VALUE"""),45077)</f>
        <v>45077</v>
      </c>
      <c r="M996" s="25" t="str">
        <f ca="1">IFERROR(__xludf.DUMMYFUNCTION("""COMPUTED_VALUE"""),"Esta tarea fue asignada a la SDIS el día14/05/2023, se realizó la gestión vía telefónica de la cita con la Directora del Departamento de Colegios de la Caja de Compensación Familiar - Cafam, Se estableció contacto y el próximo 5 de junio, se tendrá un enc"&amp;"uentro en el que participarán la Rectora del Colegio Cafam Santa Lucía I.E.D., una persona del Departamento de Colegios de Cafam y la Subdirectora para la Infancia, en esta reunión se abordarán las posibles acciones que se puedan desarrollar para el trans"&amp;"ito armónico y efectivo de los niños y niñas del jardín al colegio, de igual forma se revisará la figura jurídica bajo la cual se puede formalizar dicha alianza.")</f>
        <v>Esta tarea fue asignada a la SDIS el día14/05/2023, se realizó la gestión vía telefónica de la cita con la Directora del Departamento de Colegios de la Caja de Compensación Familiar - Cafam, Se estableció contacto y el próximo 5 de junio, se tendrá un encuentro en el que participarán la Rectora del Colegio Cafam Santa Lucía I.E.D., una persona del Departamento de Colegios de Cafam y la Subdirectora para la Infancia, en esta reunión se abordarán las posibles acciones que se puedan desarrollar para el transito armónico y efectivo de los niños y niñas del jardín al colegio, de igual forma se revisará la figura jurídica bajo la cual se puede formalizar dicha alianza.</v>
      </c>
      <c r="N996" s="25"/>
      <c r="O996" s="25" t="str">
        <f t="shared" ca="1" si="0"/>
        <v>Secretaría Distrital de Integración Social</v>
      </c>
      <c r="P996" s="25" t="str">
        <f t="shared" ca="1" si="2"/>
        <v/>
      </c>
      <c r="Q996" s="25" t="str">
        <f ca="1">IFERROR(__xludf.DUMMYFUNCTION("""COMPUTED_VALUE"""),"Mediano plazo")</f>
        <v>Mediano plazo</v>
      </c>
      <c r="R996" s="25"/>
      <c r="S996" s="55"/>
      <c r="T996" s="56"/>
      <c r="U996" s="25"/>
      <c r="V996" s="25"/>
      <c r="W996" s="25"/>
      <c r="X996" s="25"/>
      <c r="Y996" s="25"/>
      <c r="Z996" s="25"/>
    </row>
    <row r="997" spans="1:26" ht="52.5" customHeight="1" x14ac:dyDescent="0.25">
      <c r="A997" s="25" t="str">
        <f ca="1">IFERROR(__xludf.DUMMYFUNCTION("""COMPUTED_VALUE"""),"Integ95")</f>
        <v>Integ95</v>
      </c>
      <c r="B997" s="25" t="str">
        <f ca="1">IFERROR(__xludf.DUMMYFUNCTION("""COMPUTED_VALUE"""),"CONPES")</f>
        <v>CONPES</v>
      </c>
      <c r="C997" s="55">
        <f ca="1">IFERROR(__xludf.DUMMYFUNCTION("""COMPUTED_VALUE"""),45016)</f>
        <v>45016</v>
      </c>
      <c r="D997" s="25" t="str">
        <f ca="1">IFERROR(__xludf.DUMMYFUNCTION("""COMPUTED_VALUE"""),"Integración_Social")</f>
        <v>Integración_Social</v>
      </c>
      <c r="E997" s="25" t="str">
        <f ca="1">IFERROR(__xludf.DUMMYFUNCTION("""COMPUTED_VALUE"""),"Secretaría Distrital de Integración Social")</f>
        <v>Secretaría Distrital de Integración Social</v>
      </c>
      <c r="F997" s="25" t="str">
        <f ca="1">IFERROR(__xludf.DUMMYFUNCTION("""COMPUTED_VALUE"""),"Dejar explícito en la Política de Infancia la propuesta de pasar las Comisarías de familia al sector Justicia (así haya quedado en la Política de seguridad). Que quede en ambas políticas lo mismo.")</f>
        <v>Dejar explícito en la Política de Infancia la propuesta de pasar las Comisarías de familia al sector Justicia (así haya quedado en la Política de seguridad). Que quede en ambas políticas lo mismo.</v>
      </c>
      <c r="G997" s="25" t="str">
        <f ca="1">IFERROR(__xludf.DUMMYFUNCTION("""COMPUTED_VALUE"""),"99. Distrito")</f>
        <v>99. Distrito</v>
      </c>
      <c r="H997" s="55">
        <f ca="1">IFERROR(__xludf.DUMMYFUNCTION("""COMPUTED_VALUE"""),45092)</f>
        <v>45092</v>
      </c>
      <c r="I997" s="25" t="str">
        <f ca="1">IFERROR(__xludf.DUMMYFUNCTION("""COMPUTED_VALUE"""),"Delivery Unit")</f>
        <v>Delivery Unit</v>
      </c>
      <c r="J997" s="55" t="str">
        <f ca="1">IFERROR(__xludf.DUMMYFUNCTION("""COMPUTED_VALUE"""),"Alta")</f>
        <v>Alta</v>
      </c>
      <c r="K997" s="25">
        <f ca="1">IFERROR(__xludf.DUMMYFUNCTION("""COMPUTED_VALUE"""),76)</f>
        <v>76</v>
      </c>
      <c r="L997" s="62">
        <f ca="1">IFERROR(__xludf.DUMMYFUNCTION("""COMPUTED_VALUE"""),45082)</f>
        <v>45082</v>
      </c>
      <c r="M997" s="25" t="str">
        <f ca="1">IFERROR(__xludf.DUMMYFUNCTION("""COMPUTED_VALUE"""),"En CONPES realizado el 31/05/2023, fue aprobada la Política de infancia que incluye avanzar en el diseño y trámite del proceso institucional necesario para llevar a cabo el traslado de las comisarías de familia, desde el sector Integración Social al secto"&amp;"r Seguridad, Convivencia y Justicia, este rediseño se encuentra orientado al fortalecimiento de la arquitectura institucional que garantice el acceso a la justicia familiar, en el marco normativo que lo define.")</f>
        <v>En CONPES realizado el 31/05/2023, fue aprobada la Política de infancia que incluye avanzar en el diseño y trámite del proceso institucional necesario para llevar a cabo el traslado de las comisarías de familia, desde el sector Integración Social al sector Seguridad, Convivencia y Justicia, este rediseño se encuentra orientado al fortalecimiento de la arquitectura institucional que garantice el acceso a la justicia familiar, en el marco normativo que lo define.</v>
      </c>
      <c r="N997" s="25"/>
      <c r="O997" s="25" t="str">
        <f t="shared" ca="1" si="0"/>
        <v>Secretaría Distrital de Integración Social</v>
      </c>
      <c r="P997" s="25" t="str">
        <f t="shared" ca="1" si="2"/>
        <v/>
      </c>
      <c r="Q997" s="25" t="str">
        <f ca="1">IFERROR(__xludf.DUMMYFUNCTION("""COMPUTED_VALUE"""),"Mediano plazo")</f>
        <v>Mediano plazo</v>
      </c>
      <c r="R997" s="25"/>
      <c r="S997" s="55"/>
      <c r="T997" s="56"/>
      <c r="U997" s="25"/>
      <c r="V997" s="25"/>
      <c r="W997" s="25"/>
      <c r="X997" s="25"/>
      <c r="Y997" s="25"/>
      <c r="Z997" s="25"/>
    </row>
    <row r="998" spans="1:26" ht="52.5" customHeight="1" x14ac:dyDescent="0.25">
      <c r="A998" s="25" t="str">
        <f ca="1">IFERROR(__xludf.DUMMYFUNCTION("""COMPUTED_VALUE"""),"Integ96")</f>
        <v>Integ96</v>
      </c>
      <c r="B998" s="25" t="str">
        <f ca="1">IFERROR(__xludf.DUMMYFUNCTION("""COMPUTED_VALUE"""),"CONPES")</f>
        <v>CONPES</v>
      </c>
      <c r="C998" s="55">
        <f ca="1">IFERROR(__xludf.DUMMYFUNCTION("""COMPUTED_VALUE"""),45016)</f>
        <v>45016</v>
      </c>
      <c r="D998" s="25" t="str">
        <f ca="1">IFERROR(__xludf.DUMMYFUNCTION("""COMPUTED_VALUE"""),"Integración_Social")</f>
        <v>Integración_Social</v>
      </c>
      <c r="E998" s="25" t="str">
        <f ca="1">IFERROR(__xludf.DUMMYFUNCTION("""COMPUTED_VALUE"""),"Secretaría Distrital de Integración Social")</f>
        <v>Secretaría Distrital de Integración Social</v>
      </c>
      <c r="F998" s="25" t="str">
        <f ca="1">IFERROR(__xludf.DUMMYFUNCTION("""COMPUTED_VALUE"""),"En el objetivo 2: dejar explícito en la política el Acuerdo de ciudad sobre la Ciudad de los niños y las niñas, como reconocimiento de la ciudad para reconocer la agencia de los niños y niñas (producto de la política).")</f>
        <v>En el objetivo 2: dejar explícito en la política el Acuerdo de ciudad sobre la Ciudad de los niños y las niñas, como reconocimiento de la ciudad para reconocer la agencia de los niños y niñas (producto de la política).</v>
      </c>
      <c r="G998" s="25" t="str">
        <f ca="1">IFERROR(__xludf.DUMMYFUNCTION("""COMPUTED_VALUE"""),"99. Distrito")</f>
        <v>99. Distrito</v>
      </c>
      <c r="H998" s="55">
        <f ca="1">IFERROR(__xludf.DUMMYFUNCTION("""COMPUTED_VALUE"""),45092)</f>
        <v>45092</v>
      </c>
      <c r="I998" s="25" t="str">
        <f ca="1">IFERROR(__xludf.DUMMYFUNCTION("""COMPUTED_VALUE"""),"Delivery Unit")</f>
        <v>Delivery Unit</v>
      </c>
      <c r="J998" s="55" t="str">
        <f ca="1">IFERROR(__xludf.DUMMYFUNCTION("""COMPUTED_VALUE"""),"Alta")</f>
        <v>Alta</v>
      </c>
      <c r="K998" s="25">
        <f ca="1">IFERROR(__xludf.DUMMYFUNCTION("""COMPUTED_VALUE"""),76)</f>
        <v>76</v>
      </c>
      <c r="L998" s="62">
        <f ca="1">IFERROR(__xludf.DUMMYFUNCTION("""COMPUTED_VALUE"""),45082)</f>
        <v>45082</v>
      </c>
      <c r="M998" s="25" t="str">
        <f ca="1">IFERROR(__xludf.DUMMYFUNCTION("""COMPUTED_VALUE"""),"En CONPES realizado el 31/05/2023, fue aprobado incluir en el documento CONPES, en la sección del marco normativo todo lo relacionado con el Acuerdo Distrital 887 de 2023, quedando incluido el acuerdo sobre la Ciudad de los niños y las niñas, como reconoc"&amp;"imiento de la ciudad a la agencia de los niños y niñas.
")</f>
        <v xml:space="preserve">En CONPES realizado el 31/05/2023, fue aprobado incluir en el documento CONPES, en la sección del marco normativo todo lo relacionado con el Acuerdo Distrital 887 de 2023, quedando incluido el acuerdo sobre la Ciudad de los niños y las niñas, como reconocimiento de la ciudad a la agencia de los niños y niñas.
</v>
      </c>
      <c r="N998" s="25"/>
      <c r="O998" s="25" t="str">
        <f t="shared" ca="1" si="0"/>
        <v>Secretaría Distrital de Integración Social</v>
      </c>
      <c r="P998" s="25" t="str">
        <f t="shared" ca="1" si="2"/>
        <v/>
      </c>
      <c r="Q998" s="25" t="str">
        <f ca="1">IFERROR(__xludf.DUMMYFUNCTION("""COMPUTED_VALUE"""),"Mediano plazo")</f>
        <v>Mediano plazo</v>
      </c>
      <c r="R998" s="25"/>
      <c r="S998" s="55"/>
      <c r="T998" s="56"/>
      <c r="U998" s="25"/>
      <c r="V998" s="25"/>
      <c r="W998" s="25"/>
      <c r="X998" s="25"/>
      <c r="Y998" s="25"/>
      <c r="Z998" s="25"/>
    </row>
    <row r="999" spans="1:26" ht="52.5" customHeight="1" x14ac:dyDescent="0.25">
      <c r="A999" s="25" t="str">
        <f ca="1">IFERROR(__xludf.DUMMYFUNCTION("""COMPUTED_VALUE"""),"Integ97")</f>
        <v>Integ97</v>
      </c>
      <c r="B999" s="25" t="str">
        <f ca="1">IFERROR(__xludf.DUMMYFUNCTION("""COMPUTED_VALUE"""),"CONPES")</f>
        <v>CONPES</v>
      </c>
      <c r="C999" s="55">
        <f ca="1">IFERROR(__xludf.DUMMYFUNCTION("""COMPUTED_VALUE"""),45016)</f>
        <v>45016</v>
      </c>
      <c r="D999" s="25" t="str">
        <f ca="1">IFERROR(__xludf.DUMMYFUNCTION("""COMPUTED_VALUE"""),"Integración_Social")</f>
        <v>Integración_Social</v>
      </c>
      <c r="E999" s="25" t="str">
        <f ca="1">IFERROR(__xludf.DUMMYFUNCTION("""COMPUTED_VALUE"""),"Secretaría Distrital de Integración Social")</f>
        <v>Secretaría Distrital de Integración Social</v>
      </c>
      <c r="F999" s="25" t="str">
        <f ca="1">IFERROR(__xludf.DUMMYFUNCTION("""COMPUTED_VALUE"""),"En el objetivo 2: Dejar explícito en la Política que es clave consultar con los niños y las niñas para la formulación del PDD, ponerles recursos y considerar sus recomendaciones para que quede en el PDD como metas donde Gobierno vigila que se convoque y P"&amp;"laneación garantiza que quede en las metas (producto de la política). Sobre esto, averiguar sobre el premio que nos ganamos para destacar lo que hicimos por el proceso participativo con los niños y niñas sobre su participación en el PDD.")</f>
        <v>En el objetivo 2: Dejar explícito en la Política que es clave consultar con los niños y las niñas para la formulación del PDD, ponerles recursos y considerar sus recomendaciones para que quede en el PDD como metas donde Gobierno vigila que se convoque y Planeación garantiza que quede en las metas (producto de la política). Sobre esto, averiguar sobre el premio que nos ganamos para destacar lo que hicimos por el proceso participativo con los niños y niñas sobre su participación en el PDD.</v>
      </c>
      <c r="G999" s="25" t="str">
        <f ca="1">IFERROR(__xludf.DUMMYFUNCTION("""COMPUTED_VALUE"""),"99. Distrito")</f>
        <v>99. Distrito</v>
      </c>
      <c r="H999" s="55">
        <f ca="1">IFERROR(__xludf.DUMMYFUNCTION("""COMPUTED_VALUE"""),45092)</f>
        <v>45092</v>
      </c>
      <c r="I999" s="25" t="str">
        <f ca="1">IFERROR(__xludf.DUMMYFUNCTION("""COMPUTED_VALUE"""),"Delivery Unit")</f>
        <v>Delivery Unit</v>
      </c>
      <c r="J999" s="55" t="str">
        <f ca="1">IFERROR(__xludf.DUMMYFUNCTION("""COMPUTED_VALUE"""),"Alta")</f>
        <v>Alta</v>
      </c>
      <c r="K999" s="25">
        <f ca="1">IFERROR(__xludf.DUMMYFUNCTION("""COMPUTED_VALUE"""),76)</f>
        <v>76</v>
      </c>
      <c r="L999" s="62">
        <f ca="1">IFERROR(__xludf.DUMMYFUNCTION("""COMPUTED_VALUE"""),45082)</f>
        <v>45082</v>
      </c>
      <c r="M999" s="25" t="str">
        <f ca="1">IFERROR(__xludf.DUMMYFUNCTION("""COMPUTED_VALUE"""),"En CONPES realizado el 31/05/2023, fue aprobado el acuerdo entre la Secretaría Distrital de Integración Social, el Instituto Distrital de Participación y Acción Comunal y la Secretaría Distrital de Planeación, la inclusión de consultas en las que niñas, n"&amp;"iños y adolescentes, tengan la posibilidad de participar en la etapa de diseño del plan de desarrollo distrital de la ciudad, para las vigencias de las administraciones de los años 2024, 2028 y 2032. Dichas consultas se realizarán a niñas, niños y adolesc"&amp;"entes desde la primera infancia hasta la adolescencia, en escenarios como: Grupos territoriales de participación infantil y Consejos Consultivos Locales de Niñas, Niños y Adolescentes (CLONNA).")</f>
        <v>En CONPES realizado el 31/05/2023, fue aprobado el acuerdo entre la Secretaría Distrital de Integración Social, el Instituto Distrital de Participación y Acción Comunal y la Secretaría Distrital de Planeación, la inclusión de consultas en las que niñas, niños y adolescentes, tengan la posibilidad de participar en la etapa de diseño del plan de desarrollo distrital de la ciudad, para las vigencias de las administraciones de los años 2024, 2028 y 2032. Dichas consultas se realizarán a niñas, niños y adolescentes desde la primera infancia hasta la adolescencia, en escenarios como: Grupos territoriales de participación infantil y Consejos Consultivos Locales de Niñas, Niños y Adolescentes (CLONNA).</v>
      </c>
      <c r="N999" s="25"/>
      <c r="O999" s="25" t="str">
        <f t="shared" ca="1" si="0"/>
        <v>Secretaría Distrital de Integración Social</v>
      </c>
      <c r="P999" s="25" t="str">
        <f t="shared" ca="1" si="2"/>
        <v/>
      </c>
      <c r="Q999" s="25" t="str">
        <f ca="1">IFERROR(__xludf.DUMMYFUNCTION("""COMPUTED_VALUE"""),"Mediano plazo")</f>
        <v>Mediano plazo</v>
      </c>
      <c r="R999" s="25"/>
      <c r="S999" s="55"/>
      <c r="T999" s="56"/>
      <c r="U999" s="25"/>
      <c r="V999" s="25"/>
      <c r="W999" s="25"/>
      <c r="X999" s="25"/>
      <c r="Y999" s="25"/>
      <c r="Z999" s="25"/>
    </row>
    <row r="1000" spans="1:26" ht="52.5" customHeight="1" x14ac:dyDescent="0.25">
      <c r="A1000" s="25" t="str">
        <f ca="1">IFERROR(__xludf.DUMMYFUNCTION("""COMPUTED_VALUE"""),"Integ98")</f>
        <v>Integ98</v>
      </c>
      <c r="B1000" s="25" t="str">
        <f ca="1">IFERROR(__xludf.DUMMYFUNCTION("""COMPUTED_VALUE"""),"Recorrido Engativá")</f>
        <v>Recorrido Engativá</v>
      </c>
      <c r="C1000" s="55">
        <f ca="1">IFERROR(__xludf.DUMMYFUNCTION("""COMPUTED_VALUE"""),45048)</f>
        <v>45048</v>
      </c>
      <c r="D1000" s="25" t="str">
        <f ca="1">IFERROR(__xludf.DUMMYFUNCTION("""COMPUTED_VALUE"""),"Integración_Social")</f>
        <v>Integración_Social</v>
      </c>
      <c r="E1000" s="25" t="str">
        <f ca="1">IFERROR(__xludf.DUMMYFUNCTION("""COMPUTED_VALUE"""),"Secretaría Distrital de Integración Social")</f>
        <v>Secretaría Distrital de Integración Social</v>
      </c>
      <c r="F1000" s="25" t="str">
        <f ca="1">IFERROR(__xludf.DUMMYFUNCTION("""COMPUTED_VALUE"""),"Ajustar los diseños del Centro el Camino de forma tal que, se ubique en la misma infraestructura una Manzana del Cuidado, el Centro día, Centro de Protección y Centro Vida.")</f>
        <v>Ajustar los diseños del Centro el Camino de forma tal que, se ubique en la misma infraestructura una Manzana del Cuidado, el Centro día, Centro de Protección y Centro Vida.</v>
      </c>
      <c r="G1000" s="25" t="str">
        <f ca="1">IFERROR(__xludf.DUMMYFUNCTION("""COMPUTED_VALUE"""),"10. Engativá")</f>
        <v>10. Engativá</v>
      </c>
      <c r="H1000" s="55">
        <f ca="1">IFERROR(__xludf.DUMMYFUNCTION("""COMPUTED_VALUE"""),45107)</f>
        <v>45107</v>
      </c>
      <c r="I1000" s="25" t="str">
        <f ca="1">IFERROR(__xludf.DUMMYFUNCTION("""COMPUTED_VALUE"""),"Delivery Unit")</f>
        <v>Delivery Unit</v>
      </c>
      <c r="J1000" s="55" t="str">
        <f ca="1">IFERROR(__xludf.DUMMYFUNCTION("""COMPUTED_VALUE"""),"Alta")</f>
        <v>Alta</v>
      </c>
      <c r="K1000" s="25">
        <f ca="1">IFERROR(__xludf.DUMMYFUNCTION("""COMPUTED_VALUE"""),59)</f>
        <v>59</v>
      </c>
      <c r="L1000" s="62">
        <f ca="1">IFERROR(__xludf.DUMMYFUNCTION("""COMPUTED_VALUE"""),45077)</f>
        <v>45077</v>
      </c>
      <c r="M1000" s="25" t="str">
        <f ca="1">IFERROR(__xludf.DUMMYFUNCTION("""COMPUTED_VALUE"""),"Por parte de la entidad, mediante correo electrónico del 25 de mayo de 2023, se remitió al contratista de interventoría y supervisor arquitectónico, la propuesta de ajuste de los diseños con el fin de que los mismos fueran revisados y observados por parte"&amp;" de ellos, a la fecha del reporte se encuentra en espera de las observaciones")</f>
        <v>Por parte de la entidad, mediante correo electrónico del 25 de mayo de 2023, se remitió al contratista de interventoría y supervisor arquitectónico, la propuesta de ajuste de los diseños con el fin de que los mismos fueran revisados y observados por parte de ellos, a la fecha del reporte se encuentra en espera de las observaciones</v>
      </c>
      <c r="N1000" s="25"/>
      <c r="O1000" s="25" t="str">
        <f t="shared" ca="1" si="0"/>
        <v>Secretaría Distrital de Integración Social</v>
      </c>
      <c r="P1000" s="25" t="str">
        <f t="shared" ca="1" si="2"/>
        <v/>
      </c>
      <c r="Q1000" s="25" t="str">
        <f ca="1">IFERROR(__xludf.DUMMYFUNCTION("""COMPUTED_VALUE"""),"Corto plazo")</f>
        <v>Corto plazo</v>
      </c>
      <c r="R1000" s="25"/>
      <c r="S1000" s="55"/>
      <c r="T1000" s="56"/>
      <c r="U1000" s="25"/>
      <c r="V1000" s="25"/>
      <c r="W1000" s="25"/>
      <c r="X1000" s="25"/>
      <c r="Y1000" s="25"/>
      <c r="Z1000" s="25"/>
    </row>
    <row r="1001" spans="1:26" ht="52.5" customHeight="1" x14ac:dyDescent="0.25">
      <c r="A1001" s="25" t="str">
        <f ca="1">IFERROR(__xludf.DUMMYFUNCTION("""COMPUTED_VALUE"""),"Integ99")</f>
        <v>Integ99</v>
      </c>
      <c r="B1001" s="25" t="str">
        <f ca="1">IFERROR(__xludf.DUMMYFUNCTION("""COMPUTED_VALUE"""),"Recorrido Kennedy")</f>
        <v>Recorrido Kennedy</v>
      </c>
      <c r="C1001" s="55">
        <f ca="1">IFERROR(__xludf.DUMMYFUNCTION("""COMPUTED_VALUE"""),45055)</f>
        <v>45055</v>
      </c>
      <c r="D1001" s="25" t="str">
        <f ca="1">IFERROR(__xludf.DUMMYFUNCTION("""COMPUTED_VALUE"""),"Integración_Social")</f>
        <v>Integración_Social</v>
      </c>
      <c r="E1001" s="25" t="str">
        <f ca="1">IFERROR(__xludf.DUMMYFUNCTION("""COMPUTED_VALUE"""),"Secretaría Distrital de Integración Social")</f>
        <v>Secretaría Distrital de Integración Social</v>
      </c>
      <c r="F1001" s="55" t="str">
        <f ca="1">IFERROR(__xludf.DUMMYFUNCTION("""COMPUTED_VALUE"""),"Promocionar la Casa de la Juventud IWOKA a través de pauta publicitaria en redes sociales.")</f>
        <v>Promocionar la Casa de la Juventud IWOKA a través de pauta publicitaria en redes sociales.</v>
      </c>
      <c r="G1001" s="25" t="str">
        <f ca="1">IFERROR(__xludf.DUMMYFUNCTION("""COMPUTED_VALUE"""),"08. Kennedy")</f>
        <v>08. Kennedy</v>
      </c>
      <c r="H1001" s="55">
        <f ca="1">IFERROR(__xludf.DUMMYFUNCTION("""COMPUTED_VALUE"""),45076)</f>
        <v>45076</v>
      </c>
      <c r="I1001" s="25" t="str">
        <f ca="1">IFERROR(__xludf.DUMMYFUNCTION("""COMPUTED_VALUE"""),"Delivery Unit")</f>
        <v>Delivery Unit</v>
      </c>
      <c r="J1001" s="55" t="str">
        <f ca="1">IFERROR(__xludf.DUMMYFUNCTION("""COMPUTED_VALUE"""),"Alta")</f>
        <v>Alta</v>
      </c>
      <c r="K1001" s="25">
        <f ca="1">IFERROR(__xludf.DUMMYFUNCTION("""COMPUTED_VALUE"""),21)</f>
        <v>21</v>
      </c>
      <c r="L1001" s="62">
        <f ca="1">IFERROR(__xludf.DUMMYFUNCTION("""COMPUTED_VALUE"""),45077)</f>
        <v>45077</v>
      </c>
      <c r="M1001" s="66" t="str">
        <f ca="1">IFERROR(__xludf.DUMMYFUNCTION("""COMPUTED_VALUE"""),"Se inició promoción en redes sociales de Integración Social y de Distrito Joven  sobre la casa IWOKA. La promoción en redes se hizo de forma orgánica, dado que no se cuentan con recursos para hacer pauta digital o paga. Se adjunta links de publicación:
S"&amp;"e anexan algunas publicaciones realizadas✅ Facebook:
https://www.facebook.com/100064728671347/posts/pfbid01QC7Jt5tRigEEGmweq6ZqBbWfTyjUBa5qKpzVjAqtRs35jpL18sagr5GzU15v6Usl/?mibextid=cr9u03
✅ Twitter:
https://twitter.com/DistritoJoven_/status/1656345238120"&amp;"562695
✅ Instagram:
https://www.instagram.com/p/CsEid46LnQM/?igshid=NTc4MTIwNjQ2YQ== Publicaciones con mayor alcance Casa de Juventud Iwoka
Twitter
https://twitter.com/integracionbta/status/1655987360817983488?t=yyqdXMcoRHj6r9XZSO725g&amp;s=08
https://twitt"&amp;"er.com/integracionbta/status/1655991402604396600?t=PO9GDEcEtvZcLYLpLUP_UQ&amp;s=08
Facebook
https://fb.watch/kQAbKuPqMB/?mibextid=cr9u03
Instagram
https://www.instagram.com/reel/CsEmB29gcL_/?igshid=MzRlODBiNWFlZA==
https://www.instagram.com/p/CsCk1UdL2V5/?"&amp;"igshid=MzRlODBiNWFlZA==
https://www.instagram.com/reel/CsB_oakgNVl/?igshid=MzRlODBiNWFlZA==
YouTube
https://youtu.be/5NR0bSqD26k")</f>
        <v>Se inició promoción en redes sociales de Integración Social y de Distrito Joven  sobre la casa IWOKA. La promoción en redes se hizo de forma orgánica, dado que no se cuentan con recursos para hacer pauta digital o paga. Se adjunta links de publicación:
Se anexan algunas publicaciones realizadas✅ Facebook:
https://www.facebook.com/100064728671347/posts/pfbid01QC7Jt5tRigEEGmweq6ZqBbWfTyjUBa5qKpzVjAqtRs35jpL18sagr5GzU15v6Usl/?mibextid=cr9u03
✅ Twitter:
https://twitter.com/DistritoJoven_/status/1656345238120562695
✅ Instagram:
https://www.instagram.com/p/CsEid46LnQM/?igshid=NTc4MTIwNjQ2YQ== Publicaciones con mayor alcance Casa de Juventud Iwoka
Twitter
https://twitter.com/integracionbta/status/1655987360817983488?t=yyqdXMcoRHj6r9XZSO725g&amp;s=08
https://twitter.com/integracionbta/status/1655991402604396600?t=PO9GDEcEtvZcLYLpLUP_UQ&amp;s=08
Facebook
https://fb.watch/kQAbKuPqMB/?mibextid=cr9u03
Instagram
https://www.instagram.com/reel/CsEmB29gcL_/?igshid=MzRlODBiNWFlZA==
https://www.instagram.com/p/CsCk1UdL2V5/?igshid=MzRlODBiNWFlZA==
https://www.instagram.com/reel/CsB_oakgNVl/?igshid=MzRlODBiNWFlZA==
YouTube
https://youtu.be/5NR0bSqD26k</v>
      </c>
      <c r="N1001" s="55">
        <f ca="1">IFERROR(__xludf.DUMMYFUNCTION("""COMPUTED_VALUE"""),45055)</f>
        <v>45055</v>
      </c>
      <c r="O1001" s="25" t="str">
        <f t="shared" ca="1" si="0"/>
        <v>Secretaría Distrital de Integración Social</v>
      </c>
      <c r="P1001" s="25" t="str">
        <f t="shared" ca="1" si="2"/>
        <v/>
      </c>
      <c r="Q1001" s="25" t="str">
        <f ca="1">IFERROR(__xludf.DUMMYFUNCTION("""COMPUTED_VALUE"""),"Corto plazo")</f>
        <v>Corto plazo</v>
      </c>
      <c r="R1001" s="25"/>
      <c r="S1001" s="55"/>
      <c r="T1001" s="56"/>
      <c r="U1001" s="25"/>
      <c r="V1001" s="25"/>
      <c r="W1001" s="25"/>
      <c r="X1001" s="25"/>
      <c r="Y1001" s="25"/>
      <c r="Z1001" s="25"/>
    </row>
    <row r="1002" spans="1:26" ht="52.5" customHeight="1" x14ac:dyDescent="0.25">
      <c r="A1002" s="25" t="str">
        <f ca="1">IFERROR(__xludf.DUMMYFUNCTION("""COMPUTED_VALUE"""),"Integ100")</f>
        <v>Integ100</v>
      </c>
      <c r="B1002" s="25" t="str">
        <f ca="1">IFERROR(__xludf.DUMMYFUNCTION("""COMPUTED_VALUE"""),"Recorrido Kennedy")</f>
        <v>Recorrido Kennedy</v>
      </c>
      <c r="C1002" s="55">
        <f ca="1">IFERROR(__xludf.DUMMYFUNCTION("""COMPUTED_VALUE"""),45055)</f>
        <v>45055</v>
      </c>
      <c r="D1002" s="25" t="str">
        <f ca="1">IFERROR(__xludf.DUMMYFUNCTION("""COMPUTED_VALUE"""),"Integración_Social")</f>
        <v>Integración_Social</v>
      </c>
      <c r="E1002" s="25" t="str">
        <f ca="1">IFERROR(__xludf.DUMMYFUNCTION("""COMPUTED_VALUE"""),"Secretaría Distrital de Integración Social")</f>
        <v>Secretaría Distrital de Integración Social</v>
      </c>
      <c r="F1002" s="55" t="str">
        <f ca="1">IFERROR(__xludf.DUMMYFUNCTION("""COMPUTED_VALUE"""),"Programar en el presupuesto de la SDIS los canones de arrendamiento de la casa de juventud IWOKA para el primer semestre del 2024.")</f>
        <v>Programar en el presupuesto de la SDIS los canones de arrendamiento de la casa de juventud IWOKA para el primer semestre del 2024.</v>
      </c>
      <c r="G1002" s="25" t="str">
        <f ca="1">IFERROR(__xludf.DUMMYFUNCTION("""COMPUTED_VALUE"""),"08. Kennedy")</f>
        <v>08. Kennedy</v>
      </c>
      <c r="H1002" s="55">
        <f ca="1">IFERROR(__xludf.DUMMYFUNCTION("""COMPUTED_VALUE"""),45199)</f>
        <v>45199</v>
      </c>
      <c r="I1002" s="25" t="str">
        <f ca="1">IFERROR(__xludf.DUMMYFUNCTION("""COMPUTED_VALUE"""),"Delivery Unit")</f>
        <v>Delivery Unit</v>
      </c>
      <c r="J1002" s="55" t="str">
        <f ca="1">IFERROR(__xludf.DUMMYFUNCTION("""COMPUTED_VALUE"""),"Media")</f>
        <v>Media</v>
      </c>
      <c r="K1002" s="25">
        <f ca="1">IFERROR(__xludf.DUMMYFUNCTION("""COMPUTED_VALUE"""),144)</f>
        <v>144</v>
      </c>
      <c r="L1002" s="62">
        <f ca="1">IFERROR(__xludf.DUMMYFUNCTION("""COMPUTED_VALUE"""),45077)</f>
        <v>45077</v>
      </c>
      <c r="M1002" s="25" t="str">
        <f ca="1">IFERROR(__xludf.DUMMYFUNCTION("""COMPUTED_VALUE"""),"El ante proyecto de presupuesto de 2024 se debe realizar conforme a las directrices de la Secretaría Distrital de Planeación en los tiempos que son establecidos por la misma que se esperan sean en agosto, este recurso se programa directamente desde la dir"&amp;"ección corporativa y desde la subdirección para la juventud se establece la necesidad técnica.
Así las cosas, se tiene planeado realizar la programación de la apropiación presupuestal para el primer semestre del año, toda vez, que para la vigencia 2023 s"&amp;"e tiene garantizado el recurso para el arrendamiento y funcionamiento de la unidad operativa de la casa de juventud de Kennedy-Iwoka. ")</f>
        <v xml:space="preserve">El ante proyecto de presupuesto de 2024 se debe realizar conforme a las directrices de la Secretaría Distrital de Planeación en los tiempos que son establecidos por la misma que se esperan sean en agosto, este recurso se programa directamente desde la dirección corporativa y desde la subdirección para la juventud se establece la necesidad técnica.
Así las cosas, se tiene planeado realizar la programación de la apropiación presupuestal para el primer semestre del año, toda vez, que para la vigencia 2023 se tiene garantizado el recurso para el arrendamiento y funcionamiento de la unidad operativa de la casa de juventud de Kennedy-Iwoka. </v>
      </c>
      <c r="N1002" s="25"/>
      <c r="O1002" s="25" t="str">
        <f t="shared" ca="1" si="0"/>
        <v>Secretaría Distrital de Integración Social</v>
      </c>
      <c r="P1002" s="25" t="str">
        <f t="shared" ca="1" si="2"/>
        <v/>
      </c>
      <c r="Q1002" s="25" t="str">
        <f ca="1">IFERROR(__xludf.DUMMYFUNCTION("""COMPUTED_VALUE"""),"Mediano plazo")</f>
        <v>Mediano plazo</v>
      </c>
      <c r="R1002" s="25"/>
      <c r="S1002" s="55"/>
      <c r="T1002" s="56"/>
      <c r="U1002" s="25"/>
      <c r="V1002" s="25"/>
      <c r="W1002" s="25"/>
      <c r="X1002" s="25"/>
      <c r="Y1002" s="25"/>
      <c r="Z1002" s="25"/>
    </row>
    <row r="1003" spans="1:26" ht="52.5" customHeight="1" x14ac:dyDescent="0.25">
      <c r="A1003" s="25" t="str">
        <f ca="1">IFERROR(__xludf.DUMMYFUNCTION("""COMPUTED_VALUE"""),"Integ101")</f>
        <v>Integ101</v>
      </c>
      <c r="B1003" s="25" t="str">
        <f ca="1">IFERROR(__xludf.DUMMYFUNCTION("""COMPUTED_VALUE"""),"Recorrido Kennedy")</f>
        <v>Recorrido Kennedy</v>
      </c>
      <c r="C1003" s="55">
        <f ca="1">IFERROR(__xludf.DUMMYFUNCTION("""COMPUTED_VALUE"""),45055)</f>
        <v>45055</v>
      </c>
      <c r="D1003" s="25" t="str">
        <f ca="1">IFERROR(__xludf.DUMMYFUNCTION("""COMPUTED_VALUE"""),"Integración_Social")</f>
        <v>Integración_Social</v>
      </c>
      <c r="E1003" s="25" t="str">
        <f ca="1">IFERROR(__xludf.DUMMYFUNCTION("""COMPUTED_VALUE"""),"Secretaría Distrital de Integración Social")</f>
        <v>Secretaría Distrital de Integración Social</v>
      </c>
      <c r="F1003" s="55" t="str">
        <f ca="1">IFERROR(__xludf.DUMMYFUNCTION("""COMPUTED_VALUE"""),"Realizar socialización sobre los servicios del CAIDSG Sur con el Consejo Local de Juventud, la mesa local LGBTI y los Jóvenes de la casa IWOKA.")</f>
        <v>Realizar socialización sobre los servicios del CAIDSG Sur con el Consejo Local de Juventud, la mesa local LGBTI y los Jóvenes de la casa IWOKA.</v>
      </c>
      <c r="G1003" s="25" t="str">
        <f ca="1">IFERROR(__xludf.DUMMYFUNCTION("""COMPUTED_VALUE"""),"08. Kennedy")</f>
        <v>08. Kennedy</v>
      </c>
      <c r="H1003" s="55">
        <f ca="1">IFERROR(__xludf.DUMMYFUNCTION("""COMPUTED_VALUE"""),45076)</f>
        <v>45076</v>
      </c>
      <c r="I1003" s="25" t="str">
        <f ca="1">IFERROR(__xludf.DUMMYFUNCTION("""COMPUTED_VALUE"""),"Delivery Unit")</f>
        <v>Delivery Unit</v>
      </c>
      <c r="J1003" s="55" t="str">
        <f ca="1">IFERROR(__xludf.DUMMYFUNCTION("""COMPUTED_VALUE"""),"Alta")</f>
        <v>Alta</v>
      </c>
      <c r="K1003" s="25">
        <f ca="1">IFERROR(__xludf.DUMMYFUNCTION("""COMPUTED_VALUE"""),21)</f>
        <v>21</v>
      </c>
      <c r="L1003" s="62">
        <f ca="1">IFERROR(__xludf.DUMMYFUNCTION("""COMPUTED_VALUE"""),45077)</f>
        <v>45077</v>
      </c>
      <c r="M1003" s="25" t="str">
        <f ca="1">IFERROR(__xludf.DUMMYFUNCTION("""COMPUTED_VALUE"""),"Para el mes de junio las subdirecciones LGBTI y para la juventud tienen planeado realizar la socialización de los servicios del del CAIDSG Sur a los jóvenes usuarios de la unidad operativa de Kennedy.")</f>
        <v>Para el mes de junio las subdirecciones LGBTI y para la juventud tienen planeado realizar la socialización de los servicios del del CAIDSG Sur a los jóvenes usuarios de la unidad operativa de Kennedy.</v>
      </c>
      <c r="N1003" s="25"/>
      <c r="O1003" s="25" t="str">
        <f t="shared" ca="1" si="0"/>
        <v>Secretaría Distrital de Integración Social</v>
      </c>
      <c r="P1003" s="25" t="str">
        <f t="shared" ca="1" si="2"/>
        <v/>
      </c>
      <c r="Q1003" s="25" t="str">
        <f ca="1">IFERROR(__xludf.DUMMYFUNCTION("""COMPUTED_VALUE"""),"Corto plazo")</f>
        <v>Corto plazo</v>
      </c>
      <c r="R1003" s="25"/>
      <c r="S1003" s="55"/>
      <c r="T1003" s="56"/>
      <c r="U1003" s="25"/>
      <c r="V1003" s="25"/>
      <c r="W1003" s="25"/>
      <c r="X1003" s="25"/>
      <c r="Y1003" s="25"/>
      <c r="Z1003" s="25"/>
    </row>
    <row r="1004" spans="1:26" ht="52.5" customHeight="1" x14ac:dyDescent="0.25">
      <c r="A1004" s="25" t="str">
        <f ca="1">IFERROR(__xludf.DUMMYFUNCTION("""COMPUTED_VALUE"""),"Integ102")</f>
        <v>Integ102</v>
      </c>
      <c r="B1004" s="25" t="str">
        <f ca="1">IFERROR(__xludf.DUMMYFUNCTION("""COMPUTED_VALUE"""),"Entrega manzana del cuidado Chapinero")</f>
        <v>Entrega manzana del cuidado Chapinero</v>
      </c>
      <c r="C1004" s="55">
        <f ca="1">IFERROR(__xludf.DUMMYFUNCTION("""COMPUTED_VALUE"""),44904)</f>
        <v>44904</v>
      </c>
      <c r="D1004" s="25" t="str">
        <f ca="1">IFERROR(__xludf.DUMMYFUNCTION("""COMPUTED_VALUE"""),"Integración_Social")</f>
        <v>Integración_Social</v>
      </c>
      <c r="E1004" s="25" t="str">
        <f ca="1">IFERROR(__xludf.DUMMYFUNCTION("""COMPUTED_VALUE"""),"Secretaría Distrital de Integración Social")</f>
        <v>Secretaría Distrital de Integración Social</v>
      </c>
      <c r="F1004" s="25" t="str">
        <f ca="1">IFERROR(__xludf.DUMMYFUNCTION("""COMPUTED_VALUE"""),"Cambiar el aro de Basket de la cancha del Centro de Desarrollo Comunitario Titos Garzón en la localidad de Chapinero.")</f>
        <v>Cambiar el aro de Basket de la cancha del Centro de Desarrollo Comunitario Titos Garzón en la localidad de Chapinero.</v>
      </c>
      <c r="G1004" s="25" t="str">
        <f ca="1">IFERROR(__xludf.DUMMYFUNCTION("""COMPUTED_VALUE"""),"02. Chapinero")</f>
        <v>02. Chapinero</v>
      </c>
      <c r="H1004" s="55">
        <f ca="1">IFERROR(__xludf.DUMMYFUNCTION("""COMPUTED_VALUE"""),45046)</f>
        <v>45046</v>
      </c>
      <c r="I1004" s="25" t="str">
        <f ca="1">IFERROR(__xludf.DUMMYFUNCTION("""COMPUTED_VALUE"""),"Delivery Unit")</f>
        <v>Delivery Unit</v>
      </c>
      <c r="J1004" s="55" t="str">
        <f ca="1">IFERROR(__xludf.DUMMYFUNCTION("""COMPUTED_VALUE"""),"Baja")</f>
        <v>Baja</v>
      </c>
      <c r="K1004" s="25">
        <f ca="1">IFERROR(__xludf.DUMMYFUNCTION("""COMPUTED_VALUE"""),142)</f>
        <v>142</v>
      </c>
      <c r="L1004" s="62">
        <f ca="1">IFERROR(__xludf.DUMMYFUNCTION("""COMPUTED_VALUE"""),45077)</f>
        <v>45077</v>
      </c>
      <c r="M1004" s="25" t="str">
        <f ca="1">IFERROR(__xludf.DUMMYFUNCTION("""COMPUTED_VALUE"""),"El cambio de los aros de basket de las canchas, no corresponde a la Secretaría Distrital de Integración Social, toda vez que las canchas se encuentran frente a instalaciones de la secretaría pero su administración corresponde al IDRD, por lo que de manera"&amp;" respetuosa se solicita el traslado .")</f>
        <v>El cambio de los aros de basket de las canchas, no corresponde a la Secretaría Distrital de Integración Social, toda vez que las canchas se encuentran frente a instalaciones de la secretaría pero su administración corresponde al IDRD, por lo que de manera respetuosa se solicita el traslado .</v>
      </c>
      <c r="N1004" s="25"/>
      <c r="O1004" s="25" t="str">
        <f t="shared" ca="1" si="0"/>
        <v>Secretaría Distrital de Integración Social</v>
      </c>
      <c r="P1004" s="25" t="str">
        <f t="shared" ca="1" si="2"/>
        <v/>
      </c>
      <c r="Q1004" s="25" t="str">
        <f ca="1">IFERROR(__xludf.DUMMYFUNCTION("""COMPUTED_VALUE"""),"Mediano plazo")</f>
        <v>Mediano plazo</v>
      </c>
      <c r="R1004" s="25"/>
      <c r="S1004" s="55"/>
      <c r="T1004" s="56"/>
      <c r="U1004" s="25"/>
      <c r="V1004" s="25"/>
      <c r="W1004" s="25"/>
      <c r="X1004" s="25"/>
      <c r="Y1004" s="25"/>
      <c r="Z1004" s="25"/>
    </row>
    <row r="1005" spans="1:26" ht="52.5" customHeight="1" x14ac:dyDescent="0.25">
      <c r="A1005" s="25" t="str">
        <f ca="1">IFERROR(__xludf.DUMMYFUNCTION("""COMPUTED_VALUE"""),"Integ103")</f>
        <v>Integ103</v>
      </c>
      <c r="B1005" s="25" t="str">
        <f ca="1">IFERROR(__xludf.DUMMYFUNCTION("""COMPUTED_VALUE"""),"Recorrido Rafael Uribe Uribe")</f>
        <v>Recorrido Rafael Uribe Uribe</v>
      </c>
      <c r="C1005" s="55">
        <f ca="1">IFERROR(__xludf.DUMMYFUNCTION("""COMPUTED_VALUE"""),45006)</f>
        <v>45006</v>
      </c>
      <c r="D1005" s="25" t="str">
        <f ca="1">IFERROR(__xludf.DUMMYFUNCTION("""COMPUTED_VALUE"""),"Integración_Social")</f>
        <v>Integración_Social</v>
      </c>
      <c r="E1005" s="25" t="str">
        <f ca="1">IFERROR(__xludf.DUMMYFUNCTION("""COMPUTED_VALUE"""),"Secretaría Distrital de Integración Social")</f>
        <v>Secretaría Distrital de Integración Social</v>
      </c>
      <c r="F1005" s="25" t="str">
        <f ca="1">IFERROR(__xludf.DUMMYFUNCTION("""COMPUTED_VALUE"""),"Promocionar en todas las casas LGBTI de Bogotá, el programa Todos a la U y empleo incluyente.")</f>
        <v>Promocionar en todas las casas LGBTI de Bogotá, el programa Todos a la U y empleo incluyente.</v>
      </c>
      <c r="G1005" s="25" t="str">
        <f ca="1">IFERROR(__xludf.DUMMYFUNCTION("""COMPUTED_VALUE"""),"18. Rafael Uribe Uribe")</f>
        <v>18. Rafael Uribe Uribe</v>
      </c>
      <c r="H1005" s="55">
        <f ca="1">IFERROR(__xludf.DUMMYFUNCTION("""COMPUTED_VALUE"""),45031)</f>
        <v>45031</v>
      </c>
      <c r="I1005" s="25" t="str">
        <f ca="1">IFERROR(__xludf.DUMMYFUNCTION("""COMPUTED_VALUE"""),"Secretaría Privada")</f>
        <v>Secretaría Privada</v>
      </c>
      <c r="J1005" s="55" t="str">
        <f ca="1">IFERROR(__xludf.DUMMYFUNCTION("""COMPUTED_VALUE"""),"Alta")</f>
        <v>Alta</v>
      </c>
      <c r="K1005" s="25">
        <f ca="1">IFERROR(__xludf.DUMMYFUNCTION("""COMPUTED_VALUE"""),25)</f>
        <v>25</v>
      </c>
      <c r="L1005" s="62">
        <f ca="1">IFERROR(__xludf.DUMMYFUNCTION("""COMPUTED_VALUE"""),45077)</f>
        <v>45077</v>
      </c>
      <c r="M1005" s="25" t="str">
        <f ca="1">IFERROR(__xludf.DUMMYFUNCTION("""COMPUTED_VALUE"""),"Si bien esta tarea le corresponde a la Secretaría de Integración Social, desde la SDP apoyamos el 31 de marzo, con la realización de una jornada de registro en la agencia pública de empleo, dirigida a sectores trans. También se han realizado jornadas de s"&amp;"ocialización con empresa privada: Cafam, Satena, Bpm consulting, Davissa group, Almaarchivos, y TGI.")</f>
        <v>Si bien esta tarea le corresponde a la Secretaría de Integración Social, desde la SDP apoyamos el 31 de marzo, con la realización de una jornada de registro en la agencia pública de empleo, dirigida a sectores trans. También se han realizado jornadas de socialización con empresa privada: Cafam, Satena, Bpm consulting, Davissa group, Almaarchivos, y TGI.</v>
      </c>
      <c r="N1005" s="25"/>
      <c r="O1005" s="25" t="str">
        <f t="shared" ca="1" si="0"/>
        <v>Secretaría Distrital de Integración Social</v>
      </c>
      <c r="P1005" s="25" t="str">
        <f t="shared" ca="1" si="2"/>
        <v/>
      </c>
      <c r="Q1005" s="25" t="str">
        <f ca="1">IFERROR(__xludf.DUMMYFUNCTION("""COMPUTED_VALUE"""),"Corto plazo")</f>
        <v>Corto plazo</v>
      </c>
      <c r="R1005" s="25"/>
      <c r="S1005" s="55"/>
      <c r="T1005" s="56"/>
      <c r="U1005" s="25"/>
      <c r="V1005" s="25"/>
      <c r="W1005" s="25"/>
      <c r="X1005" s="25"/>
      <c r="Y1005" s="25"/>
      <c r="Z1005" s="25"/>
    </row>
    <row r="1006" spans="1:26" ht="52.5" customHeight="1" x14ac:dyDescent="0.25">
      <c r="A1006" s="25" t="str">
        <f ca="1">IFERROR(__xludf.DUMMYFUNCTION("""COMPUTED_VALUE"""),"Integ104")</f>
        <v>Integ104</v>
      </c>
      <c r="B1006" s="25" t="str">
        <f ca="1">IFERROR(__xludf.DUMMYFUNCTION("""COMPUTED_VALUE"""),"Recorrido Tunjuelito")</f>
        <v>Recorrido Tunjuelito</v>
      </c>
      <c r="C1006" s="55">
        <f ca="1">IFERROR(__xludf.DUMMYFUNCTION("""COMPUTED_VALUE"""),44992)</f>
        <v>44992</v>
      </c>
      <c r="D1006" s="25" t="str">
        <f ca="1">IFERROR(__xludf.DUMMYFUNCTION("""COMPUTED_VALUE"""),"Integración_Social")</f>
        <v>Integración_Social</v>
      </c>
      <c r="E1006" s="25" t="str">
        <f ca="1">IFERROR(__xludf.DUMMYFUNCTION("""COMPUTED_VALUE"""),"Secretaría Distrital de Integración Social")</f>
        <v>Secretaría Distrital de Integración Social</v>
      </c>
      <c r="F1006" s="25" t="str">
        <f ca="1">IFERROR(__xludf.DUMMYFUNCTION("""COMPUTED_VALUE"""),"Revisar situación de mendicidad infantil y/o explotación sexual infantil en el barrio Venecia.")</f>
        <v>Revisar situación de mendicidad infantil y/o explotación sexual infantil en el barrio Venecia.</v>
      </c>
      <c r="G1006" s="25" t="str">
        <f ca="1">IFERROR(__xludf.DUMMYFUNCTION("""COMPUTED_VALUE"""),"06. Tunjuelito")</f>
        <v>06. Tunjuelito</v>
      </c>
      <c r="H1006" s="55">
        <f ca="1">IFERROR(__xludf.DUMMYFUNCTION("""COMPUTED_VALUE"""),45000)</f>
        <v>45000</v>
      </c>
      <c r="I1006" s="25" t="str">
        <f ca="1">IFERROR(__xludf.DUMMYFUNCTION("""COMPUTED_VALUE"""),"Secretaría Privada")</f>
        <v>Secretaría Privada</v>
      </c>
      <c r="J1006" s="55" t="str">
        <f ca="1">IFERROR(__xludf.DUMMYFUNCTION("""COMPUTED_VALUE"""),"Alta")</f>
        <v>Alta</v>
      </c>
      <c r="K1006" s="25">
        <f ca="1">IFERROR(__xludf.DUMMYFUNCTION("""COMPUTED_VALUE"""),8)</f>
        <v>8</v>
      </c>
      <c r="L1006" s="62">
        <f ca="1">IFERROR(__xludf.DUMMYFUNCTION("""COMPUTED_VALUE"""),45070)</f>
        <v>45070</v>
      </c>
      <c r="M1006" s="25" t="str">
        <f ca="1">IFERROR(__xludf.DUMMYFUNCTION("""COMPUTED_VALUE"""),"La Secretaría Distrital de Gobierno no tiene competencia en atención a población infantil. Motivo por el cual no se puede validar las situaciones de mendicidad y prostitución infantil")</f>
        <v>La Secretaría Distrital de Gobierno no tiene competencia en atención a población infantil. Motivo por el cual no se puede validar las situaciones de mendicidad y prostitución infantil</v>
      </c>
      <c r="N1006" s="25"/>
      <c r="O1006" s="25" t="str">
        <f t="shared" ca="1" si="0"/>
        <v>Secretaría Distrital de Integración Social</v>
      </c>
      <c r="P1006" s="25" t="str">
        <f t="shared" ca="1" si="2"/>
        <v/>
      </c>
      <c r="Q1006" s="25" t="str">
        <f ca="1">IFERROR(__xludf.DUMMYFUNCTION("""COMPUTED_VALUE"""),"Corto plazo")</f>
        <v>Corto plazo</v>
      </c>
      <c r="R1006" s="25"/>
      <c r="S1006" s="55"/>
      <c r="T1006" s="56"/>
      <c r="U1006" s="25"/>
      <c r="V1006" s="25"/>
      <c r="W1006" s="25"/>
      <c r="X1006" s="25"/>
      <c r="Y1006" s="25"/>
      <c r="Z1006" s="25"/>
    </row>
    <row r="1007" spans="1:26" ht="52.5" customHeight="1" x14ac:dyDescent="0.25">
      <c r="A1007" s="25" t="str">
        <f ca="1">IFERROR(__xludf.DUMMYFUNCTION("""COMPUTED_VALUE"""),"Integ105")</f>
        <v>Integ105</v>
      </c>
      <c r="B1007" s="25"/>
      <c r="C1007" s="55"/>
      <c r="D1007" s="25" t="str">
        <f ca="1">IFERROR(__xludf.DUMMYFUNCTION("""COMPUTED_VALUE"""),"Integración_Social")</f>
        <v>Integración_Social</v>
      </c>
      <c r="E1007" s="25"/>
      <c r="F1007" s="25"/>
      <c r="G1007" s="25"/>
      <c r="H1007" s="25"/>
      <c r="I1007" s="25"/>
      <c r="J1007" s="55"/>
      <c r="K1007" s="25" t="str">
        <f ca="1">IFERROR(__xludf.DUMMYFUNCTION("""COMPUTED_VALUE"""),"Definir fecha")</f>
        <v>Definir fecha</v>
      </c>
      <c r="L1007" s="62"/>
      <c r="M1007" s="25"/>
      <c r="N1007" s="25"/>
      <c r="O1007" s="25">
        <f t="shared" si="0"/>
        <v>0</v>
      </c>
      <c r="P1007" s="25" t="str">
        <f t="shared" si="2"/>
        <v/>
      </c>
      <c r="Q1007" s="25" t="str">
        <f ca="1">IFERROR(__xludf.DUMMYFUNCTION("""COMPUTED_VALUE"""),"Sin defenir")</f>
        <v>Sin defenir</v>
      </c>
      <c r="R1007" s="25"/>
      <c r="S1007" s="55"/>
      <c r="T1007" s="56"/>
      <c r="U1007" s="25"/>
      <c r="V1007" s="25"/>
      <c r="W1007" s="25"/>
      <c r="X1007" s="25"/>
      <c r="Y1007" s="25"/>
      <c r="Z1007" s="25"/>
    </row>
    <row r="1008" spans="1:26" ht="52.5" customHeight="1" x14ac:dyDescent="0.25">
      <c r="A1008" s="25" t="str">
        <f ca="1">IFERROR(__xludf.DUMMYFUNCTION("""COMPUTED_VALUE"""),"Integ106")</f>
        <v>Integ106</v>
      </c>
      <c r="B1008" s="25"/>
      <c r="C1008" s="55"/>
      <c r="D1008" s="25" t="str">
        <f ca="1">IFERROR(__xludf.DUMMYFUNCTION("""COMPUTED_VALUE"""),"Integración_Social")</f>
        <v>Integración_Social</v>
      </c>
      <c r="E1008" s="25"/>
      <c r="F1008" s="25"/>
      <c r="G1008" s="25"/>
      <c r="H1008" s="25"/>
      <c r="I1008" s="25"/>
      <c r="J1008" s="55"/>
      <c r="K1008" s="25" t="str">
        <f ca="1">IFERROR(__xludf.DUMMYFUNCTION("""COMPUTED_VALUE"""),"Definir fecha")</f>
        <v>Definir fecha</v>
      </c>
      <c r="L1008" s="62"/>
      <c r="M1008" s="25"/>
      <c r="N1008" s="25"/>
      <c r="O1008" s="25">
        <f t="shared" si="0"/>
        <v>0</v>
      </c>
      <c r="P1008" s="25" t="str">
        <f t="shared" si="2"/>
        <v/>
      </c>
      <c r="Q1008" s="25" t="str">
        <f ca="1">IFERROR(__xludf.DUMMYFUNCTION("""COMPUTED_VALUE"""),"Sin defenir")</f>
        <v>Sin defenir</v>
      </c>
      <c r="R1008" s="25"/>
      <c r="S1008" s="55"/>
      <c r="T1008" s="56"/>
      <c r="U1008" s="25"/>
      <c r="V1008" s="25"/>
      <c r="W1008" s="25"/>
      <c r="X1008" s="25"/>
      <c r="Y1008" s="25"/>
      <c r="Z1008" s="25"/>
    </row>
    <row r="1009" spans="1:26" ht="52.5" customHeight="1" x14ac:dyDescent="0.25">
      <c r="A1009" s="25" t="str">
        <f ca="1">IFERROR(__xludf.DUMMYFUNCTION("""COMPUTED_VALUE"""),"Integ107")</f>
        <v>Integ107</v>
      </c>
      <c r="B1009" s="25"/>
      <c r="C1009" s="55"/>
      <c r="D1009" s="25" t="str">
        <f ca="1">IFERROR(__xludf.DUMMYFUNCTION("""COMPUTED_VALUE"""),"Integración_Social")</f>
        <v>Integración_Social</v>
      </c>
      <c r="E1009" s="25"/>
      <c r="F1009" s="25"/>
      <c r="G1009" s="25"/>
      <c r="H1009" s="25"/>
      <c r="I1009" s="25"/>
      <c r="J1009" s="55"/>
      <c r="K1009" s="25" t="str">
        <f ca="1">IFERROR(__xludf.DUMMYFUNCTION("""COMPUTED_VALUE"""),"Definir fecha")</f>
        <v>Definir fecha</v>
      </c>
      <c r="L1009" s="62"/>
      <c r="M1009" s="25"/>
      <c r="N1009" s="25"/>
      <c r="O1009" s="25">
        <f t="shared" si="0"/>
        <v>0</v>
      </c>
      <c r="P1009" s="25" t="str">
        <f t="shared" si="2"/>
        <v/>
      </c>
      <c r="Q1009" s="25" t="str">
        <f ca="1">IFERROR(__xludf.DUMMYFUNCTION("""COMPUTED_VALUE"""),"Sin defenir")</f>
        <v>Sin defenir</v>
      </c>
      <c r="R1009" s="25"/>
      <c r="S1009" s="55"/>
      <c r="T1009" s="56"/>
      <c r="U1009" s="25"/>
      <c r="V1009" s="25"/>
      <c r="W1009" s="25"/>
      <c r="X1009" s="25"/>
      <c r="Y1009" s="25"/>
      <c r="Z1009" s="25"/>
    </row>
    <row r="1010" spans="1:26" ht="52.5" customHeight="1" x14ac:dyDescent="0.25">
      <c r="A1010" s="25" t="str">
        <f ca="1">IFERROR(__xludf.DUMMYFUNCTION("""COMPUTED_VALUE"""),"Integ108")</f>
        <v>Integ108</v>
      </c>
      <c r="B1010" s="25"/>
      <c r="C1010" s="55"/>
      <c r="D1010" s="25" t="str">
        <f ca="1">IFERROR(__xludf.DUMMYFUNCTION("""COMPUTED_VALUE"""),"Integración_Social")</f>
        <v>Integración_Social</v>
      </c>
      <c r="E1010" s="25"/>
      <c r="F1010" s="25"/>
      <c r="G1010" s="25"/>
      <c r="H1010" s="25"/>
      <c r="I1010" s="25"/>
      <c r="J1010" s="55"/>
      <c r="K1010" s="25" t="str">
        <f ca="1">IFERROR(__xludf.DUMMYFUNCTION("""COMPUTED_VALUE"""),"Definir fecha")</f>
        <v>Definir fecha</v>
      </c>
      <c r="L1010" s="62"/>
      <c r="M1010" s="25"/>
      <c r="N1010" s="25"/>
      <c r="O1010" s="25">
        <f t="shared" si="0"/>
        <v>0</v>
      </c>
      <c r="P1010" s="25" t="str">
        <f t="shared" si="2"/>
        <v/>
      </c>
      <c r="Q1010" s="25" t="str">
        <f ca="1">IFERROR(__xludf.DUMMYFUNCTION("""COMPUTED_VALUE"""),"Sin defenir")</f>
        <v>Sin defenir</v>
      </c>
      <c r="R1010" s="25"/>
      <c r="S1010" s="55"/>
      <c r="T1010" s="56"/>
      <c r="U1010" s="25"/>
      <c r="V1010" s="25"/>
      <c r="W1010" s="25"/>
      <c r="X1010" s="25"/>
      <c r="Y1010" s="25"/>
      <c r="Z1010" s="25"/>
    </row>
    <row r="1011" spans="1:26" ht="52.5" customHeight="1" x14ac:dyDescent="0.25">
      <c r="A1011" s="25" t="str">
        <f ca="1">IFERROR(__xludf.DUMMYFUNCTION("""COMPUTED_VALUE"""),"Integ109")</f>
        <v>Integ109</v>
      </c>
      <c r="B1011" s="25"/>
      <c r="C1011" s="55"/>
      <c r="D1011" s="25" t="str">
        <f ca="1">IFERROR(__xludf.DUMMYFUNCTION("""COMPUTED_VALUE"""),"Integración_Social")</f>
        <v>Integración_Social</v>
      </c>
      <c r="E1011" s="25"/>
      <c r="F1011" s="25"/>
      <c r="G1011" s="25"/>
      <c r="H1011" s="25"/>
      <c r="I1011" s="25"/>
      <c r="J1011" s="55"/>
      <c r="K1011" s="25" t="str">
        <f ca="1">IFERROR(__xludf.DUMMYFUNCTION("""COMPUTED_VALUE"""),"Definir fecha")</f>
        <v>Definir fecha</v>
      </c>
      <c r="L1011" s="62"/>
      <c r="M1011" s="25"/>
      <c r="N1011" s="25"/>
      <c r="O1011" s="25">
        <f t="shared" si="0"/>
        <v>0</v>
      </c>
      <c r="P1011" s="25" t="str">
        <f t="shared" si="2"/>
        <v/>
      </c>
      <c r="Q1011" s="25" t="str">
        <f ca="1">IFERROR(__xludf.DUMMYFUNCTION("""COMPUTED_VALUE"""),"Sin defenir")</f>
        <v>Sin defenir</v>
      </c>
      <c r="R1011" s="25"/>
      <c r="S1011" s="55"/>
      <c r="T1011" s="56"/>
      <c r="U1011" s="25"/>
      <c r="V1011" s="25"/>
      <c r="W1011" s="25"/>
      <c r="X1011" s="25"/>
      <c r="Y1011" s="25"/>
      <c r="Z1011" s="25"/>
    </row>
    <row r="1012" spans="1:26" ht="52.5" customHeight="1" x14ac:dyDescent="0.25">
      <c r="A1012" s="25" t="str">
        <f ca="1">IFERROR(__xludf.DUMMYFUNCTION("""COMPUTED_VALUE"""),"Integ110")</f>
        <v>Integ110</v>
      </c>
      <c r="B1012" s="25"/>
      <c r="C1012" s="55"/>
      <c r="D1012" s="25" t="str">
        <f ca="1">IFERROR(__xludf.DUMMYFUNCTION("""COMPUTED_VALUE"""),"Integración_Social")</f>
        <v>Integración_Social</v>
      </c>
      <c r="E1012" s="25"/>
      <c r="F1012" s="25"/>
      <c r="G1012" s="25"/>
      <c r="H1012" s="25"/>
      <c r="I1012" s="25"/>
      <c r="J1012" s="55"/>
      <c r="K1012" s="25" t="str">
        <f ca="1">IFERROR(__xludf.DUMMYFUNCTION("""COMPUTED_VALUE"""),"Definir fecha")</f>
        <v>Definir fecha</v>
      </c>
      <c r="L1012" s="62"/>
      <c r="M1012" s="25"/>
      <c r="N1012" s="25"/>
      <c r="O1012" s="25">
        <f t="shared" si="0"/>
        <v>0</v>
      </c>
      <c r="P1012" s="25" t="str">
        <f t="shared" si="2"/>
        <v/>
      </c>
      <c r="Q1012" s="25" t="str">
        <f ca="1">IFERROR(__xludf.DUMMYFUNCTION("""COMPUTED_VALUE"""),"Sin defenir")</f>
        <v>Sin defenir</v>
      </c>
      <c r="R1012" s="25"/>
      <c r="S1012" s="55"/>
      <c r="T1012" s="56"/>
      <c r="U1012" s="25"/>
      <c r="V1012" s="25"/>
      <c r="W1012" s="25"/>
      <c r="X1012" s="25"/>
      <c r="Y1012" s="25"/>
      <c r="Z1012" s="25"/>
    </row>
    <row r="1013" spans="1:26" ht="52.5" customHeight="1" x14ac:dyDescent="0.25">
      <c r="A1013" s="25" t="str">
        <f ca="1">IFERROR(__xludf.DUMMYFUNCTION("""COMPUTED_VALUE"""),"Integ111")</f>
        <v>Integ111</v>
      </c>
      <c r="B1013" s="25"/>
      <c r="C1013" s="55"/>
      <c r="D1013" s="25" t="str">
        <f ca="1">IFERROR(__xludf.DUMMYFUNCTION("""COMPUTED_VALUE"""),"Integración_Social")</f>
        <v>Integración_Social</v>
      </c>
      <c r="E1013" s="25"/>
      <c r="F1013" s="25"/>
      <c r="G1013" s="25"/>
      <c r="H1013" s="25"/>
      <c r="I1013" s="25"/>
      <c r="J1013" s="55"/>
      <c r="K1013" s="25" t="str">
        <f ca="1">IFERROR(__xludf.DUMMYFUNCTION("""COMPUTED_VALUE"""),"Definir fecha")</f>
        <v>Definir fecha</v>
      </c>
      <c r="L1013" s="62"/>
      <c r="M1013" s="25"/>
      <c r="N1013" s="25"/>
      <c r="O1013" s="25">
        <f t="shared" si="0"/>
        <v>0</v>
      </c>
      <c r="P1013" s="25" t="str">
        <f t="shared" si="2"/>
        <v/>
      </c>
      <c r="Q1013" s="25" t="str">
        <f ca="1">IFERROR(__xludf.DUMMYFUNCTION("""COMPUTED_VALUE"""),"Sin defenir")</f>
        <v>Sin defenir</v>
      </c>
      <c r="R1013" s="25"/>
      <c r="S1013" s="55"/>
      <c r="T1013" s="56"/>
      <c r="U1013" s="25"/>
      <c r="V1013" s="25"/>
      <c r="W1013" s="25"/>
      <c r="X1013" s="25"/>
      <c r="Y1013" s="25"/>
      <c r="Z1013" s="25"/>
    </row>
    <row r="1014" spans="1:26" ht="52.5" customHeight="1" x14ac:dyDescent="0.25">
      <c r="A1014" s="25" t="str">
        <f ca="1">IFERROR(__xludf.DUMMYFUNCTION("""COMPUTED_VALUE"""),"Integ112")</f>
        <v>Integ112</v>
      </c>
      <c r="B1014" s="25"/>
      <c r="C1014" s="55"/>
      <c r="D1014" s="25" t="str">
        <f ca="1">IFERROR(__xludf.DUMMYFUNCTION("""COMPUTED_VALUE"""),"Integración_Social")</f>
        <v>Integración_Social</v>
      </c>
      <c r="E1014" s="25"/>
      <c r="F1014" s="25"/>
      <c r="G1014" s="25"/>
      <c r="H1014" s="25"/>
      <c r="I1014" s="25"/>
      <c r="J1014" s="55"/>
      <c r="K1014" s="25" t="str">
        <f ca="1">IFERROR(__xludf.DUMMYFUNCTION("""COMPUTED_VALUE"""),"Definir fecha")</f>
        <v>Definir fecha</v>
      </c>
      <c r="L1014" s="62"/>
      <c r="M1014" s="25"/>
      <c r="N1014" s="25"/>
      <c r="O1014" s="25">
        <f t="shared" si="0"/>
        <v>0</v>
      </c>
      <c r="P1014" s="25" t="str">
        <f t="shared" si="2"/>
        <v/>
      </c>
      <c r="Q1014" s="25" t="str">
        <f ca="1">IFERROR(__xludf.DUMMYFUNCTION("""COMPUTED_VALUE"""),"Sin defenir")</f>
        <v>Sin defenir</v>
      </c>
      <c r="R1014" s="25"/>
      <c r="S1014" s="55"/>
      <c r="T1014" s="56"/>
      <c r="U1014" s="25"/>
      <c r="V1014" s="25"/>
      <c r="W1014" s="25"/>
      <c r="X1014" s="25"/>
      <c r="Y1014" s="25"/>
      <c r="Z1014" s="25"/>
    </row>
    <row r="1015" spans="1:26" ht="52.5" customHeight="1" x14ac:dyDescent="0.25">
      <c r="A1015" s="25" t="str">
        <f ca="1">IFERROR(__xludf.DUMMYFUNCTION("""COMPUTED_VALUE"""),"Integ113")</f>
        <v>Integ113</v>
      </c>
      <c r="B1015" s="25"/>
      <c r="C1015" s="55"/>
      <c r="D1015" s="25" t="str">
        <f ca="1">IFERROR(__xludf.DUMMYFUNCTION("""COMPUTED_VALUE"""),"Integración_Social")</f>
        <v>Integración_Social</v>
      </c>
      <c r="E1015" s="25"/>
      <c r="F1015" s="25"/>
      <c r="G1015" s="25"/>
      <c r="H1015" s="25"/>
      <c r="I1015" s="25"/>
      <c r="J1015" s="55"/>
      <c r="K1015" s="25" t="str">
        <f ca="1">IFERROR(__xludf.DUMMYFUNCTION("""COMPUTED_VALUE"""),"Definir fecha")</f>
        <v>Definir fecha</v>
      </c>
      <c r="L1015" s="62"/>
      <c r="M1015" s="25"/>
      <c r="N1015" s="25"/>
      <c r="O1015" s="25">
        <f t="shared" si="0"/>
        <v>0</v>
      </c>
      <c r="P1015" s="25" t="str">
        <f t="shared" si="2"/>
        <v/>
      </c>
      <c r="Q1015" s="25" t="str">
        <f ca="1">IFERROR(__xludf.DUMMYFUNCTION("""COMPUTED_VALUE"""),"Sin defenir")</f>
        <v>Sin defenir</v>
      </c>
      <c r="R1015" s="25"/>
      <c r="S1015" s="55"/>
      <c r="T1015" s="56"/>
      <c r="U1015" s="25"/>
      <c r="V1015" s="25"/>
      <c r="W1015" s="25"/>
      <c r="X1015" s="25"/>
      <c r="Y1015" s="25"/>
      <c r="Z1015" s="25"/>
    </row>
    <row r="1016" spans="1:26" ht="52.5" customHeight="1" x14ac:dyDescent="0.25">
      <c r="A1016" s="25" t="str">
        <f ca="1">IFERROR(__xludf.DUMMYFUNCTION("""COMPUTED_VALUE"""),"Integ114")</f>
        <v>Integ114</v>
      </c>
      <c r="B1016" s="25"/>
      <c r="C1016" s="55"/>
      <c r="D1016" s="25" t="str">
        <f ca="1">IFERROR(__xludf.DUMMYFUNCTION("""COMPUTED_VALUE"""),"Integración_Social")</f>
        <v>Integración_Social</v>
      </c>
      <c r="E1016" s="25"/>
      <c r="F1016" s="25"/>
      <c r="G1016" s="25"/>
      <c r="H1016" s="25"/>
      <c r="I1016" s="25"/>
      <c r="J1016" s="55"/>
      <c r="K1016" s="25" t="str">
        <f ca="1">IFERROR(__xludf.DUMMYFUNCTION("""COMPUTED_VALUE"""),"Definir fecha")</f>
        <v>Definir fecha</v>
      </c>
      <c r="L1016" s="62"/>
      <c r="M1016" s="25"/>
      <c r="N1016" s="25"/>
      <c r="O1016" s="25">
        <f t="shared" si="0"/>
        <v>0</v>
      </c>
      <c r="P1016" s="25" t="str">
        <f t="shared" si="2"/>
        <v/>
      </c>
      <c r="Q1016" s="25" t="str">
        <f ca="1">IFERROR(__xludf.DUMMYFUNCTION("""COMPUTED_VALUE"""),"Sin defenir")</f>
        <v>Sin defenir</v>
      </c>
      <c r="R1016" s="25"/>
      <c r="S1016" s="55"/>
      <c r="T1016" s="56"/>
      <c r="U1016" s="25"/>
      <c r="V1016" s="25"/>
      <c r="W1016" s="25"/>
      <c r="X1016" s="25"/>
      <c r="Y1016" s="25"/>
      <c r="Z1016" s="25"/>
    </row>
    <row r="1017" spans="1:26" ht="52.5" customHeight="1" x14ac:dyDescent="0.25">
      <c r="A1017" s="25" t="str">
        <f ca="1">IFERROR(__xludf.DUMMYFUNCTION("""COMPUTED_VALUE"""),"Integ115")</f>
        <v>Integ115</v>
      </c>
      <c r="B1017" s="25"/>
      <c r="C1017" s="55"/>
      <c r="D1017" s="25" t="str">
        <f ca="1">IFERROR(__xludf.DUMMYFUNCTION("""COMPUTED_VALUE"""),"Integración_Social")</f>
        <v>Integración_Social</v>
      </c>
      <c r="E1017" s="25"/>
      <c r="F1017" s="25"/>
      <c r="G1017" s="25"/>
      <c r="H1017" s="25"/>
      <c r="I1017" s="25"/>
      <c r="J1017" s="55"/>
      <c r="K1017" s="25" t="str">
        <f ca="1">IFERROR(__xludf.DUMMYFUNCTION("""COMPUTED_VALUE"""),"Definir fecha")</f>
        <v>Definir fecha</v>
      </c>
      <c r="L1017" s="62"/>
      <c r="M1017" s="25"/>
      <c r="N1017" s="25"/>
      <c r="O1017" s="25">
        <f t="shared" si="0"/>
        <v>0</v>
      </c>
      <c r="P1017" s="25" t="str">
        <f t="shared" si="2"/>
        <v/>
      </c>
      <c r="Q1017" s="25" t="str">
        <f ca="1">IFERROR(__xludf.DUMMYFUNCTION("""COMPUTED_VALUE"""),"Sin defenir")</f>
        <v>Sin defenir</v>
      </c>
      <c r="R1017" s="25"/>
      <c r="S1017" s="55"/>
      <c r="T1017" s="56"/>
      <c r="U1017" s="25"/>
      <c r="V1017" s="25"/>
      <c r="W1017" s="25"/>
      <c r="X1017" s="25"/>
      <c r="Y1017" s="25"/>
      <c r="Z1017" s="25"/>
    </row>
    <row r="1018" spans="1:26" ht="52.5" customHeight="1" x14ac:dyDescent="0.25">
      <c r="A1018" s="25" t="str">
        <f ca="1">IFERROR(__xludf.DUMMYFUNCTION("""COMPUTED_VALUE"""),"Integ116")</f>
        <v>Integ116</v>
      </c>
      <c r="B1018" s="25"/>
      <c r="C1018" s="55"/>
      <c r="D1018" s="25" t="str">
        <f ca="1">IFERROR(__xludf.DUMMYFUNCTION("""COMPUTED_VALUE"""),"Integración_Social")</f>
        <v>Integración_Social</v>
      </c>
      <c r="E1018" s="25"/>
      <c r="F1018" s="25"/>
      <c r="G1018" s="25"/>
      <c r="H1018" s="25"/>
      <c r="I1018" s="25"/>
      <c r="J1018" s="55"/>
      <c r="K1018" s="25" t="str">
        <f ca="1">IFERROR(__xludf.DUMMYFUNCTION("""COMPUTED_VALUE"""),"Definir fecha")</f>
        <v>Definir fecha</v>
      </c>
      <c r="L1018" s="62"/>
      <c r="M1018" s="25"/>
      <c r="N1018" s="25"/>
      <c r="O1018" s="25">
        <f t="shared" si="0"/>
        <v>0</v>
      </c>
      <c r="P1018" s="25" t="str">
        <f t="shared" si="2"/>
        <v/>
      </c>
      <c r="Q1018" s="25" t="str">
        <f ca="1">IFERROR(__xludf.DUMMYFUNCTION("""COMPUTED_VALUE"""),"Sin defenir")</f>
        <v>Sin defenir</v>
      </c>
      <c r="R1018" s="25"/>
      <c r="S1018" s="55"/>
      <c r="T1018" s="56"/>
      <c r="U1018" s="25"/>
      <c r="V1018" s="25"/>
      <c r="W1018" s="25"/>
      <c r="X1018" s="25"/>
      <c r="Y1018" s="25"/>
      <c r="Z1018" s="25"/>
    </row>
    <row r="1019" spans="1:26" ht="52.5" customHeight="1" x14ac:dyDescent="0.25">
      <c r="A1019" s="25" t="str">
        <f ca="1">IFERROR(__xludf.DUMMYFUNCTION("""COMPUTED_VALUE"""),"Integ117")</f>
        <v>Integ117</v>
      </c>
      <c r="B1019" s="25"/>
      <c r="C1019" s="55"/>
      <c r="D1019" s="25" t="str">
        <f ca="1">IFERROR(__xludf.DUMMYFUNCTION("""COMPUTED_VALUE"""),"Integración_Social")</f>
        <v>Integración_Social</v>
      </c>
      <c r="E1019" s="25"/>
      <c r="F1019" s="25"/>
      <c r="G1019" s="25"/>
      <c r="H1019" s="25"/>
      <c r="I1019" s="25"/>
      <c r="J1019" s="55"/>
      <c r="K1019" s="25" t="str">
        <f ca="1">IFERROR(__xludf.DUMMYFUNCTION("""COMPUTED_VALUE"""),"Definir fecha")</f>
        <v>Definir fecha</v>
      </c>
      <c r="L1019" s="62"/>
      <c r="M1019" s="25"/>
      <c r="N1019" s="25"/>
      <c r="O1019" s="25">
        <f t="shared" si="0"/>
        <v>0</v>
      </c>
      <c r="P1019" s="25" t="str">
        <f t="shared" si="2"/>
        <v/>
      </c>
      <c r="Q1019" s="25" t="str">
        <f ca="1">IFERROR(__xludf.DUMMYFUNCTION("""COMPUTED_VALUE"""),"Sin defenir")</f>
        <v>Sin defenir</v>
      </c>
      <c r="R1019" s="25"/>
      <c r="S1019" s="55"/>
      <c r="T1019" s="56"/>
      <c r="U1019" s="25"/>
      <c r="V1019" s="25"/>
      <c r="W1019" s="25"/>
      <c r="X1019" s="25"/>
      <c r="Y1019" s="25"/>
      <c r="Z1019" s="25"/>
    </row>
    <row r="1020" spans="1:26" ht="52.5" customHeight="1" x14ac:dyDescent="0.25">
      <c r="A1020" s="25" t="str">
        <f ca="1">IFERROR(__xludf.DUMMYFUNCTION("""COMPUTED_VALUE"""),"Integ118")</f>
        <v>Integ118</v>
      </c>
      <c r="B1020" s="25"/>
      <c r="C1020" s="55"/>
      <c r="D1020" s="25" t="str">
        <f ca="1">IFERROR(__xludf.DUMMYFUNCTION("""COMPUTED_VALUE"""),"Integración_Social")</f>
        <v>Integración_Social</v>
      </c>
      <c r="E1020" s="25"/>
      <c r="F1020" s="25"/>
      <c r="G1020" s="25"/>
      <c r="H1020" s="25"/>
      <c r="I1020" s="25"/>
      <c r="J1020" s="55"/>
      <c r="K1020" s="25" t="str">
        <f ca="1">IFERROR(__xludf.DUMMYFUNCTION("""COMPUTED_VALUE"""),"Definir fecha")</f>
        <v>Definir fecha</v>
      </c>
      <c r="L1020" s="62"/>
      <c r="M1020" s="25"/>
      <c r="N1020" s="25"/>
      <c r="O1020" s="25">
        <f t="shared" si="0"/>
        <v>0</v>
      </c>
      <c r="P1020" s="25" t="str">
        <f t="shared" si="2"/>
        <v/>
      </c>
      <c r="Q1020" s="25" t="str">
        <f ca="1">IFERROR(__xludf.DUMMYFUNCTION("""COMPUTED_VALUE"""),"Sin defenir")</f>
        <v>Sin defenir</v>
      </c>
      <c r="R1020" s="25"/>
      <c r="S1020" s="55"/>
      <c r="T1020" s="56"/>
      <c r="U1020" s="25"/>
      <c r="V1020" s="25"/>
      <c r="W1020" s="25"/>
      <c r="X1020" s="25"/>
      <c r="Y1020" s="25"/>
      <c r="Z1020" s="25"/>
    </row>
    <row r="1021" spans="1:26" ht="52.5" customHeight="1" x14ac:dyDescent="0.25">
      <c r="A1021" s="25" t="str">
        <f ca="1">IFERROR(__xludf.DUMMYFUNCTION("""COMPUTED_VALUE"""),"Integ119")</f>
        <v>Integ119</v>
      </c>
      <c r="B1021" s="25"/>
      <c r="C1021" s="55"/>
      <c r="D1021" s="25" t="str">
        <f ca="1">IFERROR(__xludf.DUMMYFUNCTION("""COMPUTED_VALUE"""),"Integración_Social")</f>
        <v>Integración_Social</v>
      </c>
      <c r="E1021" s="25"/>
      <c r="F1021" s="25"/>
      <c r="G1021" s="25"/>
      <c r="H1021" s="25"/>
      <c r="I1021" s="25"/>
      <c r="J1021" s="55"/>
      <c r="K1021" s="25" t="str">
        <f ca="1">IFERROR(__xludf.DUMMYFUNCTION("""COMPUTED_VALUE"""),"Definir fecha")</f>
        <v>Definir fecha</v>
      </c>
      <c r="L1021" s="62"/>
      <c r="M1021" s="25"/>
      <c r="N1021" s="25"/>
      <c r="O1021" s="25">
        <f t="shared" si="0"/>
        <v>0</v>
      </c>
      <c r="P1021" s="25" t="str">
        <f t="shared" si="2"/>
        <v/>
      </c>
      <c r="Q1021" s="25" t="str">
        <f ca="1">IFERROR(__xludf.DUMMYFUNCTION("""COMPUTED_VALUE"""),"Sin defenir")</f>
        <v>Sin defenir</v>
      </c>
      <c r="R1021" s="25"/>
      <c r="S1021" s="55"/>
      <c r="T1021" s="56"/>
      <c r="U1021" s="25"/>
      <c r="V1021" s="25"/>
      <c r="W1021" s="25"/>
      <c r="X1021" s="25"/>
      <c r="Y1021" s="25"/>
      <c r="Z1021" s="25"/>
    </row>
    <row r="1022" spans="1:26" ht="52.5" customHeight="1" x14ac:dyDescent="0.25">
      <c r="A1022" s="25" t="str">
        <f ca="1">IFERROR(__xludf.DUMMYFUNCTION("""COMPUTED_VALUE"""),"Integ120")</f>
        <v>Integ120</v>
      </c>
      <c r="B1022" s="25"/>
      <c r="C1022" s="55"/>
      <c r="D1022" s="25" t="str">
        <f ca="1">IFERROR(__xludf.DUMMYFUNCTION("""COMPUTED_VALUE"""),"Integración_Social")</f>
        <v>Integración_Social</v>
      </c>
      <c r="E1022" s="25"/>
      <c r="F1022" s="25"/>
      <c r="G1022" s="25"/>
      <c r="H1022" s="25"/>
      <c r="I1022" s="25"/>
      <c r="J1022" s="55"/>
      <c r="K1022" s="25" t="str">
        <f ca="1">IFERROR(__xludf.DUMMYFUNCTION("""COMPUTED_VALUE"""),"Definir fecha")</f>
        <v>Definir fecha</v>
      </c>
      <c r="L1022" s="62"/>
      <c r="M1022" s="25"/>
      <c r="N1022" s="25"/>
      <c r="O1022" s="25">
        <f t="shared" si="0"/>
        <v>0</v>
      </c>
      <c r="P1022" s="25" t="str">
        <f t="shared" si="2"/>
        <v/>
      </c>
      <c r="Q1022" s="25" t="str">
        <f ca="1">IFERROR(__xludf.DUMMYFUNCTION("""COMPUTED_VALUE"""),"Sin defenir")</f>
        <v>Sin defenir</v>
      </c>
      <c r="R1022" s="25"/>
      <c r="S1022" s="55"/>
      <c r="T1022" s="56"/>
      <c r="U1022" s="25"/>
      <c r="V1022" s="25"/>
      <c r="W1022" s="25"/>
      <c r="X1022" s="25"/>
      <c r="Y1022" s="25"/>
      <c r="Z1022" s="25"/>
    </row>
    <row r="1023" spans="1:26" ht="52.5" customHeight="1" x14ac:dyDescent="0.25">
      <c r="A1023" s="25" t="str">
        <f ca="1">IFERROR(__xludf.DUMMYFUNCTION("""COMPUTED_VALUE"""),"Integ121")</f>
        <v>Integ121</v>
      </c>
      <c r="B1023" s="25"/>
      <c r="C1023" s="55"/>
      <c r="D1023" s="25" t="str">
        <f ca="1">IFERROR(__xludf.DUMMYFUNCTION("""COMPUTED_VALUE"""),"Integración_Social")</f>
        <v>Integración_Social</v>
      </c>
      <c r="E1023" s="25"/>
      <c r="F1023" s="25"/>
      <c r="G1023" s="25"/>
      <c r="H1023" s="25"/>
      <c r="I1023" s="25"/>
      <c r="J1023" s="55"/>
      <c r="K1023" s="25" t="str">
        <f ca="1">IFERROR(__xludf.DUMMYFUNCTION("""COMPUTED_VALUE"""),"Definir fecha")</f>
        <v>Definir fecha</v>
      </c>
      <c r="L1023" s="62"/>
      <c r="M1023" s="25"/>
      <c r="N1023" s="25"/>
      <c r="O1023" s="25">
        <f t="shared" si="0"/>
        <v>0</v>
      </c>
      <c r="P1023" s="25" t="str">
        <f t="shared" si="2"/>
        <v/>
      </c>
      <c r="Q1023" s="25" t="str">
        <f ca="1">IFERROR(__xludf.DUMMYFUNCTION("""COMPUTED_VALUE"""),"Sin defenir")</f>
        <v>Sin defenir</v>
      </c>
      <c r="R1023" s="25"/>
      <c r="S1023" s="55"/>
      <c r="T1023" s="56"/>
      <c r="U1023" s="25"/>
      <c r="V1023" s="25"/>
      <c r="W1023" s="25"/>
      <c r="X1023" s="25"/>
      <c r="Y1023" s="25"/>
      <c r="Z1023" s="25"/>
    </row>
    <row r="1024" spans="1:26" ht="52.5" customHeight="1" x14ac:dyDescent="0.25">
      <c r="A1024" s="25" t="str">
        <f ca="1">IFERROR(__xludf.DUMMYFUNCTION("""COMPUTED_VALUE"""),"Integ122")</f>
        <v>Integ122</v>
      </c>
      <c r="B1024" s="25"/>
      <c r="C1024" s="55"/>
      <c r="D1024" s="25" t="str">
        <f ca="1">IFERROR(__xludf.DUMMYFUNCTION("""COMPUTED_VALUE"""),"Integración_Social")</f>
        <v>Integración_Social</v>
      </c>
      <c r="E1024" s="25"/>
      <c r="F1024" s="25"/>
      <c r="G1024" s="25"/>
      <c r="H1024" s="25"/>
      <c r="I1024" s="25"/>
      <c r="J1024" s="55"/>
      <c r="K1024" s="25" t="str">
        <f ca="1">IFERROR(__xludf.DUMMYFUNCTION("""COMPUTED_VALUE"""),"Definir fecha")</f>
        <v>Definir fecha</v>
      </c>
      <c r="L1024" s="62"/>
      <c r="M1024" s="25"/>
      <c r="N1024" s="25"/>
      <c r="O1024" s="25">
        <f t="shared" si="0"/>
        <v>0</v>
      </c>
      <c r="P1024" s="25" t="str">
        <f t="shared" si="2"/>
        <v/>
      </c>
      <c r="Q1024" s="25" t="str">
        <f ca="1">IFERROR(__xludf.DUMMYFUNCTION("""COMPUTED_VALUE"""),"Sin defenir")</f>
        <v>Sin defenir</v>
      </c>
      <c r="R1024" s="25"/>
      <c r="S1024" s="55"/>
      <c r="T1024" s="56"/>
      <c r="U1024" s="25"/>
      <c r="V1024" s="25"/>
      <c r="W1024" s="25"/>
      <c r="X1024" s="25"/>
      <c r="Y1024" s="25"/>
      <c r="Z1024" s="25"/>
    </row>
    <row r="1025" spans="1:26" ht="52.5" customHeight="1" x14ac:dyDescent="0.25">
      <c r="A1025" s="25" t="str">
        <f ca="1">IFERROR(__xludf.DUMMYFUNCTION("""COMPUTED_VALUE"""),"Integ123")</f>
        <v>Integ123</v>
      </c>
      <c r="B1025" s="25"/>
      <c r="C1025" s="55"/>
      <c r="D1025" s="25" t="str">
        <f ca="1">IFERROR(__xludf.DUMMYFUNCTION("""COMPUTED_VALUE"""),"Integración_Social")</f>
        <v>Integración_Social</v>
      </c>
      <c r="E1025" s="25"/>
      <c r="F1025" s="25"/>
      <c r="G1025" s="25"/>
      <c r="H1025" s="25"/>
      <c r="I1025" s="25"/>
      <c r="J1025" s="55"/>
      <c r="K1025" s="25" t="str">
        <f ca="1">IFERROR(__xludf.DUMMYFUNCTION("""COMPUTED_VALUE"""),"Definir fecha")</f>
        <v>Definir fecha</v>
      </c>
      <c r="L1025" s="62"/>
      <c r="M1025" s="25"/>
      <c r="N1025" s="25"/>
      <c r="O1025" s="25">
        <f t="shared" si="0"/>
        <v>0</v>
      </c>
      <c r="P1025" s="25" t="str">
        <f t="shared" si="2"/>
        <v/>
      </c>
      <c r="Q1025" s="25" t="str">
        <f ca="1">IFERROR(__xludf.DUMMYFUNCTION("""COMPUTED_VALUE"""),"Sin defenir")</f>
        <v>Sin defenir</v>
      </c>
      <c r="R1025" s="25"/>
      <c r="S1025" s="55"/>
      <c r="T1025" s="56"/>
      <c r="U1025" s="25"/>
      <c r="V1025" s="25"/>
      <c r="W1025" s="25"/>
      <c r="X1025" s="25"/>
      <c r="Y1025" s="25"/>
      <c r="Z1025" s="25"/>
    </row>
    <row r="1026" spans="1:26" ht="52.5" customHeight="1" x14ac:dyDescent="0.25">
      <c r="A1026" s="25" t="str">
        <f ca="1">IFERROR(__xludf.DUMMYFUNCTION("""COMPUTED_VALUE"""),"Integ124")</f>
        <v>Integ124</v>
      </c>
      <c r="B1026" s="25"/>
      <c r="C1026" s="55"/>
      <c r="D1026" s="25" t="str">
        <f ca="1">IFERROR(__xludf.DUMMYFUNCTION("""COMPUTED_VALUE"""),"Integración_Social")</f>
        <v>Integración_Social</v>
      </c>
      <c r="E1026" s="25"/>
      <c r="F1026" s="25"/>
      <c r="G1026" s="25"/>
      <c r="H1026" s="25"/>
      <c r="I1026" s="25"/>
      <c r="J1026" s="55"/>
      <c r="K1026" s="25" t="str">
        <f ca="1">IFERROR(__xludf.DUMMYFUNCTION("""COMPUTED_VALUE"""),"Definir fecha")</f>
        <v>Definir fecha</v>
      </c>
      <c r="L1026" s="62"/>
      <c r="M1026" s="25"/>
      <c r="N1026" s="25"/>
      <c r="O1026" s="25">
        <f t="shared" si="0"/>
        <v>0</v>
      </c>
      <c r="P1026" s="25" t="str">
        <f t="shared" si="2"/>
        <v/>
      </c>
      <c r="Q1026" s="25" t="str">
        <f ca="1">IFERROR(__xludf.DUMMYFUNCTION("""COMPUTED_VALUE"""),"Sin defenir")</f>
        <v>Sin defenir</v>
      </c>
      <c r="R1026" s="25"/>
      <c r="S1026" s="55"/>
      <c r="T1026" s="56"/>
      <c r="U1026" s="25"/>
      <c r="V1026" s="25"/>
      <c r="W1026" s="25"/>
      <c r="X1026" s="25"/>
      <c r="Y1026" s="25"/>
      <c r="Z1026" s="25"/>
    </row>
    <row r="1027" spans="1:26" ht="52.5" customHeight="1" x14ac:dyDescent="0.25">
      <c r="A1027" s="25" t="str">
        <f ca="1">IFERROR(__xludf.DUMMYFUNCTION("""COMPUTED_VALUE"""),"Integ125")</f>
        <v>Integ125</v>
      </c>
      <c r="B1027" s="25"/>
      <c r="C1027" s="55"/>
      <c r="D1027" s="25" t="str">
        <f ca="1">IFERROR(__xludf.DUMMYFUNCTION("""COMPUTED_VALUE"""),"Integración_Social")</f>
        <v>Integración_Social</v>
      </c>
      <c r="E1027" s="25"/>
      <c r="F1027" s="25"/>
      <c r="G1027" s="25"/>
      <c r="H1027" s="25"/>
      <c r="I1027" s="25"/>
      <c r="J1027" s="55"/>
      <c r="K1027" s="25" t="str">
        <f ca="1">IFERROR(__xludf.DUMMYFUNCTION("""COMPUTED_VALUE"""),"Definir fecha")</f>
        <v>Definir fecha</v>
      </c>
      <c r="L1027" s="62"/>
      <c r="M1027" s="25"/>
      <c r="N1027" s="25"/>
      <c r="O1027" s="25">
        <f t="shared" si="0"/>
        <v>0</v>
      </c>
      <c r="P1027" s="25" t="str">
        <f t="shared" si="2"/>
        <v/>
      </c>
      <c r="Q1027" s="25" t="str">
        <f ca="1">IFERROR(__xludf.DUMMYFUNCTION("""COMPUTED_VALUE"""),"Sin defenir")</f>
        <v>Sin defenir</v>
      </c>
      <c r="R1027" s="25"/>
      <c r="S1027" s="55"/>
      <c r="T1027" s="56"/>
      <c r="U1027" s="25"/>
      <c r="V1027" s="25"/>
      <c r="W1027" s="25"/>
      <c r="X1027" s="25"/>
      <c r="Y1027" s="25"/>
      <c r="Z1027" s="25"/>
    </row>
    <row r="1028" spans="1:26" ht="52.5" customHeight="1" x14ac:dyDescent="0.25">
      <c r="A1028" s="25" t="str">
        <f ca="1">IFERROR(__xludf.DUMMYFUNCTION("""COMPUTED_VALUE"""),"Integ126")</f>
        <v>Integ126</v>
      </c>
      <c r="B1028" s="25"/>
      <c r="C1028" s="55"/>
      <c r="D1028" s="25" t="str">
        <f ca="1">IFERROR(__xludf.DUMMYFUNCTION("""COMPUTED_VALUE"""),"Integración_Social")</f>
        <v>Integración_Social</v>
      </c>
      <c r="E1028" s="25"/>
      <c r="F1028" s="25"/>
      <c r="G1028" s="25"/>
      <c r="H1028" s="25"/>
      <c r="I1028" s="25"/>
      <c r="J1028" s="55"/>
      <c r="K1028" s="25" t="str">
        <f ca="1">IFERROR(__xludf.DUMMYFUNCTION("""COMPUTED_VALUE"""),"Definir fecha")</f>
        <v>Definir fecha</v>
      </c>
      <c r="L1028" s="62"/>
      <c r="M1028" s="25"/>
      <c r="N1028" s="25"/>
      <c r="O1028" s="25">
        <f t="shared" si="0"/>
        <v>0</v>
      </c>
      <c r="P1028" s="25" t="str">
        <f t="shared" si="2"/>
        <v/>
      </c>
      <c r="Q1028" s="25" t="str">
        <f ca="1">IFERROR(__xludf.DUMMYFUNCTION("""COMPUTED_VALUE"""),"Sin defenir")</f>
        <v>Sin defenir</v>
      </c>
      <c r="R1028" s="25"/>
      <c r="S1028" s="55"/>
      <c r="T1028" s="56"/>
      <c r="U1028" s="25"/>
      <c r="V1028" s="25"/>
      <c r="W1028" s="25"/>
      <c r="X1028" s="25"/>
      <c r="Y1028" s="25"/>
      <c r="Z1028" s="25"/>
    </row>
    <row r="1029" spans="1:26" ht="52.5" customHeight="1" x14ac:dyDescent="0.25">
      <c r="A1029" s="25" t="str">
        <f ca="1">IFERROR(__xludf.DUMMYFUNCTION("""COMPUTED_VALUE"""),"Integ127")</f>
        <v>Integ127</v>
      </c>
      <c r="B1029" s="25"/>
      <c r="C1029" s="55"/>
      <c r="D1029" s="25" t="str">
        <f ca="1">IFERROR(__xludf.DUMMYFUNCTION("""COMPUTED_VALUE"""),"Integración_Social")</f>
        <v>Integración_Social</v>
      </c>
      <c r="E1029" s="25"/>
      <c r="F1029" s="25"/>
      <c r="G1029" s="25"/>
      <c r="H1029" s="25"/>
      <c r="I1029" s="25"/>
      <c r="J1029" s="55"/>
      <c r="K1029" s="25" t="str">
        <f ca="1">IFERROR(__xludf.DUMMYFUNCTION("""COMPUTED_VALUE"""),"Definir fecha")</f>
        <v>Definir fecha</v>
      </c>
      <c r="L1029" s="62"/>
      <c r="M1029" s="25"/>
      <c r="N1029" s="25"/>
      <c r="O1029" s="25">
        <f t="shared" si="0"/>
        <v>0</v>
      </c>
      <c r="P1029" s="25" t="str">
        <f t="shared" si="2"/>
        <v/>
      </c>
      <c r="Q1029" s="25" t="str">
        <f ca="1">IFERROR(__xludf.DUMMYFUNCTION("""COMPUTED_VALUE"""),"Sin defenir")</f>
        <v>Sin defenir</v>
      </c>
      <c r="R1029" s="25"/>
      <c r="S1029" s="55"/>
      <c r="T1029" s="56"/>
      <c r="U1029" s="25"/>
      <c r="V1029" s="25"/>
      <c r="W1029" s="25"/>
      <c r="X1029" s="25"/>
      <c r="Y1029" s="25"/>
      <c r="Z1029" s="25"/>
    </row>
    <row r="1030" spans="1:26" ht="52.5" customHeight="1" x14ac:dyDescent="0.25">
      <c r="A1030" s="25" t="str">
        <f ca="1">IFERROR(__xludf.DUMMYFUNCTION("""COMPUTED_VALUE"""),"Integ128")</f>
        <v>Integ128</v>
      </c>
      <c r="B1030" s="25"/>
      <c r="C1030" s="55"/>
      <c r="D1030" s="25" t="str">
        <f ca="1">IFERROR(__xludf.DUMMYFUNCTION("""COMPUTED_VALUE"""),"Integración_Social")</f>
        <v>Integración_Social</v>
      </c>
      <c r="E1030" s="25"/>
      <c r="F1030" s="25"/>
      <c r="G1030" s="25"/>
      <c r="H1030" s="25"/>
      <c r="I1030" s="25"/>
      <c r="J1030" s="55"/>
      <c r="K1030" s="25" t="str">
        <f ca="1">IFERROR(__xludf.DUMMYFUNCTION("""COMPUTED_VALUE"""),"Definir fecha")</f>
        <v>Definir fecha</v>
      </c>
      <c r="L1030" s="62"/>
      <c r="M1030" s="25"/>
      <c r="N1030" s="25"/>
      <c r="O1030" s="25">
        <f t="shared" si="0"/>
        <v>0</v>
      </c>
      <c r="P1030" s="25" t="str">
        <f t="shared" si="2"/>
        <v/>
      </c>
      <c r="Q1030" s="25" t="str">
        <f ca="1">IFERROR(__xludf.DUMMYFUNCTION("""COMPUTED_VALUE"""),"Sin defenir")</f>
        <v>Sin defenir</v>
      </c>
      <c r="R1030" s="25"/>
      <c r="S1030" s="55"/>
      <c r="T1030" s="56"/>
      <c r="U1030" s="25"/>
      <c r="V1030" s="25"/>
      <c r="W1030" s="25"/>
      <c r="X1030" s="25"/>
      <c r="Y1030" s="25"/>
      <c r="Z1030" s="25"/>
    </row>
    <row r="1031" spans="1:26" ht="52.5" customHeight="1" x14ac:dyDescent="0.25">
      <c r="A1031" s="25" t="str">
        <f ca="1">IFERROR(__xludf.DUMMYFUNCTION("""COMPUTED_VALUE"""),"Integ129")</f>
        <v>Integ129</v>
      </c>
      <c r="B1031" s="25"/>
      <c r="C1031" s="55"/>
      <c r="D1031" s="25" t="str">
        <f ca="1">IFERROR(__xludf.DUMMYFUNCTION("""COMPUTED_VALUE"""),"Integración_Social")</f>
        <v>Integración_Social</v>
      </c>
      <c r="E1031" s="25"/>
      <c r="F1031" s="25"/>
      <c r="G1031" s="25"/>
      <c r="H1031" s="25"/>
      <c r="I1031" s="25"/>
      <c r="J1031" s="55"/>
      <c r="K1031" s="25" t="str">
        <f ca="1">IFERROR(__xludf.DUMMYFUNCTION("""COMPUTED_VALUE"""),"Definir fecha")</f>
        <v>Definir fecha</v>
      </c>
      <c r="L1031" s="62"/>
      <c r="M1031" s="25"/>
      <c r="N1031" s="25"/>
      <c r="O1031" s="25">
        <f t="shared" si="0"/>
        <v>0</v>
      </c>
      <c r="P1031" s="25" t="str">
        <f t="shared" si="2"/>
        <v/>
      </c>
      <c r="Q1031" s="25" t="str">
        <f ca="1">IFERROR(__xludf.DUMMYFUNCTION("""COMPUTED_VALUE"""),"Sin defenir")</f>
        <v>Sin defenir</v>
      </c>
      <c r="R1031" s="25"/>
      <c r="S1031" s="55"/>
      <c r="T1031" s="56"/>
      <c r="U1031" s="25"/>
      <c r="V1031" s="25"/>
      <c r="W1031" s="25"/>
      <c r="X1031" s="25"/>
      <c r="Y1031" s="25"/>
      <c r="Z1031" s="25"/>
    </row>
    <row r="1032" spans="1:26" ht="52.5" customHeight="1" x14ac:dyDescent="0.25">
      <c r="A1032" s="25" t="str">
        <f ca="1">IFERROR(__xludf.DUMMYFUNCTION("""COMPUTED_VALUE"""),"Integ130")</f>
        <v>Integ130</v>
      </c>
      <c r="B1032" s="25"/>
      <c r="C1032" s="55"/>
      <c r="D1032" s="25" t="str">
        <f ca="1">IFERROR(__xludf.DUMMYFUNCTION("""COMPUTED_VALUE"""),"Integración_Social")</f>
        <v>Integración_Social</v>
      </c>
      <c r="E1032" s="25"/>
      <c r="F1032" s="25"/>
      <c r="G1032" s="25"/>
      <c r="H1032" s="25"/>
      <c r="I1032" s="25"/>
      <c r="J1032" s="55"/>
      <c r="K1032" s="25" t="str">
        <f ca="1">IFERROR(__xludf.DUMMYFUNCTION("""COMPUTED_VALUE"""),"Definir fecha")</f>
        <v>Definir fecha</v>
      </c>
      <c r="L1032" s="62"/>
      <c r="M1032" s="25"/>
      <c r="N1032" s="25"/>
      <c r="O1032" s="25">
        <f t="shared" si="0"/>
        <v>0</v>
      </c>
      <c r="P1032" s="25" t="str">
        <f t="shared" si="2"/>
        <v/>
      </c>
      <c r="Q1032" s="25" t="str">
        <f ca="1">IFERROR(__xludf.DUMMYFUNCTION("""COMPUTED_VALUE"""),"Sin defenir")</f>
        <v>Sin defenir</v>
      </c>
      <c r="R1032" s="25"/>
      <c r="S1032" s="55"/>
      <c r="T1032" s="56"/>
      <c r="U1032" s="25"/>
      <c r="V1032" s="25"/>
      <c r="W1032" s="25"/>
      <c r="X1032" s="25"/>
      <c r="Y1032" s="25"/>
      <c r="Z1032" s="25"/>
    </row>
    <row r="1033" spans="1:26" ht="52.5" customHeight="1" x14ac:dyDescent="0.25">
      <c r="A1033" s="25" t="str">
        <f ca="1">IFERROR(__xludf.DUMMYFUNCTION("""COMPUTED_VALUE"""),"Integ131")</f>
        <v>Integ131</v>
      </c>
      <c r="B1033" s="25"/>
      <c r="C1033" s="55"/>
      <c r="D1033" s="25" t="str">
        <f ca="1">IFERROR(__xludf.DUMMYFUNCTION("""COMPUTED_VALUE"""),"Integración_Social")</f>
        <v>Integración_Social</v>
      </c>
      <c r="E1033" s="25"/>
      <c r="F1033" s="25"/>
      <c r="G1033" s="25"/>
      <c r="H1033" s="25"/>
      <c r="I1033" s="25"/>
      <c r="J1033" s="55"/>
      <c r="K1033" s="25" t="str">
        <f ca="1">IFERROR(__xludf.DUMMYFUNCTION("""COMPUTED_VALUE"""),"Definir fecha")</f>
        <v>Definir fecha</v>
      </c>
      <c r="L1033" s="62"/>
      <c r="M1033" s="25"/>
      <c r="N1033" s="25"/>
      <c r="O1033" s="25">
        <f t="shared" si="0"/>
        <v>0</v>
      </c>
      <c r="P1033" s="25" t="str">
        <f t="shared" si="2"/>
        <v/>
      </c>
      <c r="Q1033" s="25" t="str">
        <f ca="1">IFERROR(__xludf.DUMMYFUNCTION("""COMPUTED_VALUE"""),"Sin defenir")</f>
        <v>Sin defenir</v>
      </c>
      <c r="R1033" s="25"/>
      <c r="S1033" s="55"/>
      <c r="T1033" s="56"/>
      <c r="U1033" s="25"/>
      <c r="V1033" s="25"/>
      <c r="W1033" s="25"/>
      <c r="X1033" s="25"/>
      <c r="Y1033" s="25"/>
      <c r="Z1033" s="25"/>
    </row>
    <row r="1034" spans="1:26" ht="52.5" customHeight="1" x14ac:dyDescent="0.25">
      <c r="A1034" s="25" t="str">
        <f ca="1">IFERROR(__xludf.DUMMYFUNCTION("""COMPUTED_VALUE"""),"Integ132")</f>
        <v>Integ132</v>
      </c>
      <c r="B1034" s="25"/>
      <c r="C1034" s="55"/>
      <c r="D1034" s="25" t="str">
        <f ca="1">IFERROR(__xludf.DUMMYFUNCTION("""COMPUTED_VALUE"""),"Integración_Social")</f>
        <v>Integración_Social</v>
      </c>
      <c r="E1034" s="25"/>
      <c r="F1034" s="25"/>
      <c r="G1034" s="25"/>
      <c r="H1034" s="25"/>
      <c r="I1034" s="25"/>
      <c r="J1034" s="55"/>
      <c r="K1034" s="25" t="str">
        <f ca="1">IFERROR(__xludf.DUMMYFUNCTION("""COMPUTED_VALUE"""),"Definir fecha")</f>
        <v>Definir fecha</v>
      </c>
      <c r="L1034" s="62"/>
      <c r="M1034" s="25"/>
      <c r="N1034" s="25"/>
      <c r="O1034" s="25">
        <f t="shared" si="0"/>
        <v>0</v>
      </c>
      <c r="P1034" s="25" t="str">
        <f t="shared" si="2"/>
        <v/>
      </c>
      <c r="Q1034" s="25" t="str">
        <f ca="1">IFERROR(__xludf.DUMMYFUNCTION("""COMPUTED_VALUE"""),"Sin defenir")</f>
        <v>Sin defenir</v>
      </c>
      <c r="R1034" s="25"/>
      <c r="S1034" s="55"/>
      <c r="T1034" s="56"/>
      <c r="U1034" s="25"/>
      <c r="V1034" s="25"/>
      <c r="W1034" s="25"/>
      <c r="X1034" s="25"/>
      <c r="Y1034" s="25"/>
      <c r="Z1034" s="25"/>
    </row>
    <row r="1035" spans="1:26" ht="52.5" customHeight="1" x14ac:dyDescent="0.25">
      <c r="A1035" s="25" t="str">
        <f ca="1">IFERROR(__xludf.DUMMYFUNCTION("""COMPUTED_VALUE"""),"Integ133")</f>
        <v>Integ133</v>
      </c>
      <c r="B1035" s="25"/>
      <c r="C1035" s="55"/>
      <c r="D1035" s="25" t="str">
        <f ca="1">IFERROR(__xludf.DUMMYFUNCTION("""COMPUTED_VALUE"""),"Integración_Social")</f>
        <v>Integración_Social</v>
      </c>
      <c r="E1035" s="25"/>
      <c r="F1035" s="25"/>
      <c r="G1035" s="25"/>
      <c r="H1035" s="25"/>
      <c r="I1035" s="25"/>
      <c r="J1035" s="55"/>
      <c r="K1035" s="25" t="str">
        <f ca="1">IFERROR(__xludf.DUMMYFUNCTION("""COMPUTED_VALUE"""),"Definir fecha")</f>
        <v>Definir fecha</v>
      </c>
      <c r="L1035" s="62"/>
      <c r="M1035" s="25"/>
      <c r="N1035" s="25"/>
      <c r="O1035" s="25">
        <f t="shared" si="0"/>
        <v>0</v>
      </c>
      <c r="P1035" s="25" t="str">
        <f t="shared" si="2"/>
        <v/>
      </c>
      <c r="Q1035" s="25" t="str">
        <f ca="1">IFERROR(__xludf.DUMMYFUNCTION("""COMPUTED_VALUE"""),"Sin defenir")</f>
        <v>Sin defenir</v>
      </c>
      <c r="R1035" s="25"/>
      <c r="S1035" s="55"/>
      <c r="T1035" s="56"/>
      <c r="U1035" s="25"/>
      <c r="V1035" s="25"/>
      <c r="W1035" s="25"/>
      <c r="X1035" s="25"/>
      <c r="Y1035" s="25"/>
      <c r="Z1035" s="25"/>
    </row>
    <row r="1036" spans="1:26" ht="52.5" customHeight="1" x14ac:dyDescent="0.25">
      <c r="A1036" s="25" t="str">
        <f ca="1">IFERROR(__xludf.DUMMYFUNCTION("""COMPUTED_VALUE"""),"Integ134")</f>
        <v>Integ134</v>
      </c>
      <c r="B1036" s="25"/>
      <c r="C1036" s="55"/>
      <c r="D1036" s="25" t="str">
        <f ca="1">IFERROR(__xludf.DUMMYFUNCTION("""COMPUTED_VALUE"""),"Integración_Social")</f>
        <v>Integración_Social</v>
      </c>
      <c r="E1036" s="25"/>
      <c r="F1036" s="25"/>
      <c r="G1036" s="25"/>
      <c r="H1036" s="25"/>
      <c r="I1036" s="25"/>
      <c r="J1036" s="55"/>
      <c r="K1036" s="25" t="str">
        <f ca="1">IFERROR(__xludf.DUMMYFUNCTION("""COMPUTED_VALUE"""),"Definir fecha")</f>
        <v>Definir fecha</v>
      </c>
      <c r="L1036" s="62"/>
      <c r="M1036" s="25"/>
      <c r="N1036" s="25"/>
      <c r="O1036" s="25">
        <f t="shared" si="0"/>
        <v>0</v>
      </c>
      <c r="P1036" s="25" t="str">
        <f t="shared" si="2"/>
        <v/>
      </c>
      <c r="Q1036" s="25" t="str">
        <f ca="1">IFERROR(__xludf.DUMMYFUNCTION("""COMPUTED_VALUE"""),"Sin defenir")</f>
        <v>Sin defenir</v>
      </c>
      <c r="R1036" s="25"/>
      <c r="S1036" s="55"/>
      <c r="T1036" s="56"/>
      <c r="U1036" s="25"/>
      <c r="V1036" s="25"/>
      <c r="W1036" s="25"/>
      <c r="X1036" s="25"/>
      <c r="Y1036" s="25"/>
      <c r="Z1036" s="25"/>
    </row>
    <row r="1037" spans="1:26" ht="52.5" customHeight="1" x14ac:dyDescent="0.25">
      <c r="A1037" s="25" t="str">
        <f ca="1">IFERROR(__xludf.DUMMYFUNCTION("""COMPUTED_VALUE"""),"Integ135")</f>
        <v>Integ135</v>
      </c>
      <c r="B1037" s="25"/>
      <c r="C1037" s="55"/>
      <c r="D1037" s="25" t="str">
        <f ca="1">IFERROR(__xludf.DUMMYFUNCTION("""COMPUTED_VALUE"""),"Integración_Social")</f>
        <v>Integración_Social</v>
      </c>
      <c r="E1037" s="25"/>
      <c r="F1037" s="25"/>
      <c r="G1037" s="25"/>
      <c r="H1037" s="25"/>
      <c r="I1037" s="25"/>
      <c r="J1037" s="55"/>
      <c r="K1037" s="25" t="str">
        <f ca="1">IFERROR(__xludf.DUMMYFUNCTION("""COMPUTED_VALUE"""),"Definir fecha")</f>
        <v>Definir fecha</v>
      </c>
      <c r="L1037" s="62"/>
      <c r="M1037" s="25"/>
      <c r="N1037" s="25"/>
      <c r="O1037" s="25">
        <f t="shared" si="0"/>
        <v>0</v>
      </c>
      <c r="P1037" s="25" t="str">
        <f t="shared" si="2"/>
        <v/>
      </c>
      <c r="Q1037" s="25" t="str">
        <f ca="1">IFERROR(__xludf.DUMMYFUNCTION("""COMPUTED_VALUE"""),"Sin defenir")</f>
        <v>Sin defenir</v>
      </c>
      <c r="R1037" s="25"/>
      <c r="S1037" s="55"/>
      <c r="T1037" s="56"/>
      <c r="U1037" s="25"/>
      <c r="V1037" s="25"/>
      <c r="W1037" s="25"/>
      <c r="X1037" s="25"/>
      <c r="Y1037" s="25"/>
      <c r="Z1037" s="25"/>
    </row>
    <row r="1038" spans="1:26" ht="52.5" customHeight="1" x14ac:dyDescent="0.25">
      <c r="A1038" s="25" t="str">
        <f ca="1">IFERROR(__xludf.DUMMYFUNCTION("""COMPUTED_VALUE"""),"Integ136")</f>
        <v>Integ136</v>
      </c>
      <c r="B1038" s="25"/>
      <c r="C1038" s="55"/>
      <c r="D1038" s="25" t="str">
        <f ca="1">IFERROR(__xludf.DUMMYFUNCTION("""COMPUTED_VALUE"""),"Integración_Social")</f>
        <v>Integración_Social</v>
      </c>
      <c r="E1038" s="25"/>
      <c r="F1038" s="25"/>
      <c r="G1038" s="25"/>
      <c r="H1038" s="25"/>
      <c r="I1038" s="25"/>
      <c r="J1038" s="55"/>
      <c r="K1038" s="25" t="str">
        <f ca="1">IFERROR(__xludf.DUMMYFUNCTION("""COMPUTED_VALUE"""),"Definir fecha")</f>
        <v>Definir fecha</v>
      </c>
      <c r="L1038" s="62"/>
      <c r="M1038" s="25"/>
      <c r="N1038" s="25"/>
      <c r="O1038" s="25">
        <f t="shared" si="0"/>
        <v>0</v>
      </c>
      <c r="P1038" s="25" t="str">
        <f t="shared" si="2"/>
        <v/>
      </c>
      <c r="Q1038" s="25" t="str">
        <f ca="1">IFERROR(__xludf.DUMMYFUNCTION("""COMPUTED_VALUE"""),"Sin defenir")</f>
        <v>Sin defenir</v>
      </c>
      <c r="R1038" s="25"/>
      <c r="S1038" s="55"/>
      <c r="T1038" s="56"/>
      <c r="U1038" s="25"/>
      <c r="V1038" s="25"/>
      <c r="W1038" s="25"/>
      <c r="X1038" s="25"/>
      <c r="Y1038" s="25"/>
      <c r="Z1038" s="25"/>
    </row>
    <row r="1039" spans="1:26" ht="52.5" customHeight="1" x14ac:dyDescent="0.25">
      <c r="A1039" s="25" t="str">
        <f ca="1">IFERROR(__xludf.DUMMYFUNCTION("""COMPUTED_VALUE"""),"Integ137")</f>
        <v>Integ137</v>
      </c>
      <c r="B1039" s="25"/>
      <c r="C1039" s="55"/>
      <c r="D1039" s="25" t="str">
        <f ca="1">IFERROR(__xludf.DUMMYFUNCTION("""COMPUTED_VALUE"""),"Integración_Social")</f>
        <v>Integración_Social</v>
      </c>
      <c r="E1039" s="25"/>
      <c r="F1039" s="25"/>
      <c r="G1039" s="25"/>
      <c r="H1039" s="25"/>
      <c r="I1039" s="25"/>
      <c r="J1039" s="55"/>
      <c r="K1039" s="25" t="str">
        <f ca="1">IFERROR(__xludf.DUMMYFUNCTION("""COMPUTED_VALUE"""),"Definir fecha")</f>
        <v>Definir fecha</v>
      </c>
      <c r="L1039" s="62"/>
      <c r="M1039" s="25"/>
      <c r="N1039" s="25"/>
      <c r="O1039" s="25">
        <f t="shared" si="0"/>
        <v>0</v>
      </c>
      <c r="P1039" s="25" t="str">
        <f t="shared" si="2"/>
        <v/>
      </c>
      <c r="Q1039" s="25" t="str">
        <f ca="1">IFERROR(__xludf.DUMMYFUNCTION("""COMPUTED_VALUE"""),"Sin defenir")</f>
        <v>Sin defenir</v>
      </c>
      <c r="R1039" s="25"/>
      <c r="S1039" s="55"/>
      <c r="T1039" s="56"/>
      <c r="U1039" s="25"/>
      <c r="V1039" s="25"/>
      <c r="W1039" s="25"/>
      <c r="X1039" s="25"/>
      <c r="Y1039" s="25"/>
      <c r="Z1039" s="25"/>
    </row>
    <row r="1040" spans="1:26" ht="52.5" customHeight="1" x14ac:dyDescent="0.25">
      <c r="A1040" s="25" t="str">
        <f ca="1">IFERROR(__xludf.DUMMYFUNCTION("""COMPUTED_VALUE"""),"Integ138")</f>
        <v>Integ138</v>
      </c>
      <c r="B1040" s="25"/>
      <c r="C1040" s="55"/>
      <c r="D1040" s="25" t="str">
        <f ca="1">IFERROR(__xludf.DUMMYFUNCTION("""COMPUTED_VALUE"""),"Integración_Social")</f>
        <v>Integración_Social</v>
      </c>
      <c r="E1040" s="25"/>
      <c r="F1040" s="25"/>
      <c r="G1040" s="25"/>
      <c r="H1040" s="25"/>
      <c r="I1040" s="25"/>
      <c r="J1040" s="55"/>
      <c r="K1040" s="25" t="str">
        <f ca="1">IFERROR(__xludf.DUMMYFUNCTION("""COMPUTED_VALUE"""),"Definir fecha")</f>
        <v>Definir fecha</v>
      </c>
      <c r="L1040" s="62"/>
      <c r="M1040" s="25"/>
      <c r="N1040" s="25"/>
      <c r="O1040" s="25">
        <f t="shared" si="0"/>
        <v>0</v>
      </c>
      <c r="P1040" s="25" t="str">
        <f t="shared" si="2"/>
        <v/>
      </c>
      <c r="Q1040" s="25" t="str">
        <f ca="1">IFERROR(__xludf.DUMMYFUNCTION("""COMPUTED_VALUE"""),"Sin defenir")</f>
        <v>Sin defenir</v>
      </c>
      <c r="R1040" s="25"/>
      <c r="S1040" s="55"/>
      <c r="T1040" s="56"/>
      <c r="U1040" s="25"/>
      <c r="V1040" s="25"/>
      <c r="W1040" s="25"/>
      <c r="X1040" s="25"/>
      <c r="Y1040" s="25"/>
      <c r="Z1040" s="25"/>
    </row>
    <row r="1041" spans="1:26" ht="52.5" customHeight="1" x14ac:dyDescent="0.25">
      <c r="A1041" s="25" t="str">
        <f ca="1">IFERROR(__xludf.DUMMYFUNCTION("""COMPUTED_VALUE"""),"Integ139")</f>
        <v>Integ139</v>
      </c>
      <c r="B1041" s="25"/>
      <c r="C1041" s="55"/>
      <c r="D1041" s="25" t="str">
        <f ca="1">IFERROR(__xludf.DUMMYFUNCTION("""COMPUTED_VALUE"""),"Integración_Social")</f>
        <v>Integración_Social</v>
      </c>
      <c r="E1041" s="25"/>
      <c r="F1041" s="25"/>
      <c r="G1041" s="25"/>
      <c r="H1041" s="25"/>
      <c r="I1041" s="25"/>
      <c r="J1041" s="55"/>
      <c r="K1041" s="25" t="str">
        <f ca="1">IFERROR(__xludf.DUMMYFUNCTION("""COMPUTED_VALUE"""),"Definir fecha")</f>
        <v>Definir fecha</v>
      </c>
      <c r="L1041" s="62"/>
      <c r="M1041" s="25"/>
      <c r="N1041" s="25"/>
      <c r="O1041" s="25">
        <f t="shared" si="0"/>
        <v>0</v>
      </c>
      <c r="P1041" s="25" t="str">
        <f t="shared" si="2"/>
        <v/>
      </c>
      <c r="Q1041" s="25" t="str">
        <f ca="1">IFERROR(__xludf.DUMMYFUNCTION("""COMPUTED_VALUE"""),"Sin defenir")</f>
        <v>Sin defenir</v>
      </c>
      <c r="R1041" s="25"/>
      <c r="S1041" s="55"/>
      <c r="T1041" s="56"/>
      <c r="U1041" s="25"/>
      <c r="V1041" s="25"/>
      <c r="W1041" s="25"/>
      <c r="X1041" s="25"/>
      <c r="Y1041" s="25"/>
      <c r="Z1041" s="25"/>
    </row>
    <row r="1042" spans="1:26" ht="52.5" customHeight="1" x14ac:dyDescent="0.25">
      <c r="A1042" s="25" t="str">
        <f ca="1">IFERROR(__xludf.DUMMYFUNCTION("""COMPUTED_VALUE"""),"Integ140")</f>
        <v>Integ140</v>
      </c>
      <c r="B1042" s="25"/>
      <c r="C1042" s="55"/>
      <c r="D1042" s="25" t="str">
        <f ca="1">IFERROR(__xludf.DUMMYFUNCTION("""COMPUTED_VALUE"""),"Integración_Social")</f>
        <v>Integración_Social</v>
      </c>
      <c r="E1042" s="25"/>
      <c r="F1042" s="25"/>
      <c r="G1042" s="25"/>
      <c r="H1042" s="25"/>
      <c r="I1042" s="25"/>
      <c r="J1042" s="55"/>
      <c r="K1042" s="25" t="str">
        <f ca="1">IFERROR(__xludf.DUMMYFUNCTION("""COMPUTED_VALUE"""),"Definir fecha")</f>
        <v>Definir fecha</v>
      </c>
      <c r="L1042" s="62"/>
      <c r="M1042" s="25"/>
      <c r="N1042" s="25"/>
      <c r="O1042" s="25">
        <f t="shared" si="0"/>
        <v>0</v>
      </c>
      <c r="P1042" s="25" t="str">
        <f t="shared" si="2"/>
        <v/>
      </c>
      <c r="Q1042" s="25" t="str">
        <f ca="1">IFERROR(__xludf.DUMMYFUNCTION("""COMPUTED_VALUE"""),"Sin defenir")</f>
        <v>Sin defenir</v>
      </c>
      <c r="R1042" s="25"/>
      <c r="S1042" s="55"/>
      <c r="T1042" s="56"/>
      <c r="U1042" s="25"/>
      <c r="V1042" s="25"/>
      <c r="W1042" s="25"/>
      <c r="X1042" s="25"/>
      <c r="Y1042" s="25"/>
      <c r="Z1042" s="25"/>
    </row>
    <row r="1043" spans="1:26" ht="52.5" customHeight="1" x14ac:dyDescent="0.25">
      <c r="A1043" s="25" t="str">
        <f ca="1">IFERROR(__xludf.DUMMYFUNCTION("""COMPUTED_VALUE"""),"Integ141")</f>
        <v>Integ141</v>
      </c>
      <c r="B1043" s="25"/>
      <c r="C1043" s="55"/>
      <c r="D1043" s="25" t="str">
        <f ca="1">IFERROR(__xludf.DUMMYFUNCTION("""COMPUTED_VALUE"""),"Integración_Social")</f>
        <v>Integración_Social</v>
      </c>
      <c r="E1043" s="25"/>
      <c r="F1043" s="25"/>
      <c r="G1043" s="25"/>
      <c r="H1043" s="25"/>
      <c r="I1043" s="25"/>
      <c r="J1043" s="55"/>
      <c r="K1043" s="25" t="str">
        <f ca="1">IFERROR(__xludf.DUMMYFUNCTION("""COMPUTED_VALUE"""),"Definir fecha")</f>
        <v>Definir fecha</v>
      </c>
      <c r="L1043" s="62"/>
      <c r="M1043" s="25"/>
      <c r="N1043" s="25"/>
      <c r="O1043" s="25">
        <f t="shared" si="0"/>
        <v>0</v>
      </c>
      <c r="P1043" s="25" t="str">
        <f t="shared" si="2"/>
        <v/>
      </c>
      <c r="Q1043" s="25" t="str">
        <f ca="1">IFERROR(__xludf.DUMMYFUNCTION("""COMPUTED_VALUE"""),"Sin defenir")</f>
        <v>Sin defenir</v>
      </c>
      <c r="R1043" s="25"/>
      <c r="S1043" s="55"/>
      <c r="T1043" s="56"/>
      <c r="U1043" s="25"/>
      <c r="V1043" s="25"/>
      <c r="W1043" s="25"/>
      <c r="X1043" s="25"/>
      <c r="Y1043" s="25"/>
      <c r="Z1043" s="25"/>
    </row>
    <row r="1044" spans="1:26" ht="52.5" customHeight="1" x14ac:dyDescent="0.25">
      <c r="A1044" s="25" t="str">
        <f ca="1">IFERROR(__xludf.DUMMYFUNCTION("""COMPUTED_VALUE"""),"Integ142")</f>
        <v>Integ142</v>
      </c>
      <c r="B1044" s="25"/>
      <c r="C1044" s="55"/>
      <c r="D1044" s="25" t="str">
        <f ca="1">IFERROR(__xludf.DUMMYFUNCTION("""COMPUTED_VALUE"""),"Integración_Social")</f>
        <v>Integración_Social</v>
      </c>
      <c r="E1044" s="25"/>
      <c r="F1044" s="25"/>
      <c r="G1044" s="25"/>
      <c r="H1044" s="25"/>
      <c r="I1044" s="25"/>
      <c r="J1044" s="55"/>
      <c r="K1044" s="25" t="str">
        <f ca="1">IFERROR(__xludf.DUMMYFUNCTION("""COMPUTED_VALUE"""),"Definir fecha")</f>
        <v>Definir fecha</v>
      </c>
      <c r="L1044" s="62"/>
      <c r="M1044" s="25"/>
      <c r="N1044" s="25"/>
      <c r="O1044" s="25">
        <f t="shared" si="0"/>
        <v>0</v>
      </c>
      <c r="P1044" s="25" t="str">
        <f t="shared" si="2"/>
        <v/>
      </c>
      <c r="Q1044" s="25" t="str">
        <f ca="1">IFERROR(__xludf.DUMMYFUNCTION("""COMPUTED_VALUE"""),"Sin defenir")</f>
        <v>Sin defenir</v>
      </c>
      <c r="R1044" s="25"/>
      <c r="S1044" s="55"/>
      <c r="T1044" s="56"/>
      <c r="U1044" s="25"/>
      <c r="V1044" s="25"/>
      <c r="W1044" s="25"/>
      <c r="X1044" s="25"/>
      <c r="Y1044" s="25"/>
      <c r="Z1044" s="25"/>
    </row>
    <row r="1045" spans="1:26" ht="52.5" customHeight="1" x14ac:dyDescent="0.25">
      <c r="A1045" s="25" t="str">
        <f ca="1">IFERROR(__xludf.DUMMYFUNCTION("""COMPUTED_VALUE"""),"Integ143")</f>
        <v>Integ143</v>
      </c>
      <c r="B1045" s="25"/>
      <c r="C1045" s="55"/>
      <c r="D1045" s="25" t="str">
        <f ca="1">IFERROR(__xludf.DUMMYFUNCTION("""COMPUTED_VALUE"""),"Integración_Social")</f>
        <v>Integración_Social</v>
      </c>
      <c r="E1045" s="25"/>
      <c r="F1045" s="25"/>
      <c r="G1045" s="25"/>
      <c r="H1045" s="25"/>
      <c r="I1045" s="25"/>
      <c r="J1045" s="55"/>
      <c r="K1045" s="25" t="str">
        <f ca="1">IFERROR(__xludf.DUMMYFUNCTION("""COMPUTED_VALUE"""),"Definir fecha")</f>
        <v>Definir fecha</v>
      </c>
      <c r="L1045" s="62"/>
      <c r="M1045" s="25"/>
      <c r="N1045" s="25"/>
      <c r="O1045" s="25">
        <f t="shared" si="0"/>
        <v>0</v>
      </c>
      <c r="P1045" s="25" t="str">
        <f t="shared" si="2"/>
        <v/>
      </c>
      <c r="Q1045" s="25" t="str">
        <f ca="1">IFERROR(__xludf.DUMMYFUNCTION("""COMPUTED_VALUE"""),"Sin defenir")</f>
        <v>Sin defenir</v>
      </c>
      <c r="R1045" s="25"/>
      <c r="S1045" s="55"/>
      <c r="T1045" s="56"/>
      <c r="U1045" s="25"/>
      <c r="V1045" s="25"/>
      <c r="W1045" s="25"/>
      <c r="X1045" s="25"/>
      <c r="Y1045" s="25"/>
      <c r="Z1045" s="25"/>
    </row>
    <row r="1046" spans="1:26" ht="52.5" customHeight="1" x14ac:dyDescent="0.25">
      <c r="A1046" s="25" t="str">
        <f ca="1">IFERROR(__xludf.DUMMYFUNCTION("""COMPUTED_VALUE"""),"Integ144")</f>
        <v>Integ144</v>
      </c>
      <c r="B1046" s="25"/>
      <c r="C1046" s="55"/>
      <c r="D1046" s="25" t="str">
        <f ca="1">IFERROR(__xludf.DUMMYFUNCTION("""COMPUTED_VALUE"""),"Integración_Social")</f>
        <v>Integración_Social</v>
      </c>
      <c r="E1046" s="25"/>
      <c r="F1046" s="25"/>
      <c r="G1046" s="25"/>
      <c r="H1046" s="25"/>
      <c r="I1046" s="25"/>
      <c r="J1046" s="55"/>
      <c r="K1046" s="25" t="str">
        <f ca="1">IFERROR(__xludf.DUMMYFUNCTION("""COMPUTED_VALUE"""),"Definir fecha")</f>
        <v>Definir fecha</v>
      </c>
      <c r="L1046" s="62"/>
      <c r="M1046" s="25"/>
      <c r="N1046" s="25"/>
      <c r="O1046" s="25">
        <f t="shared" si="0"/>
        <v>0</v>
      </c>
      <c r="P1046" s="25" t="str">
        <f t="shared" si="2"/>
        <v/>
      </c>
      <c r="Q1046" s="25" t="str">
        <f ca="1">IFERROR(__xludf.DUMMYFUNCTION("""COMPUTED_VALUE"""),"Sin defenir")</f>
        <v>Sin defenir</v>
      </c>
      <c r="R1046" s="25"/>
      <c r="S1046" s="55"/>
      <c r="T1046" s="56"/>
      <c r="U1046" s="25"/>
      <c r="V1046" s="25"/>
      <c r="W1046" s="25"/>
      <c r="X1046" s="25"/>
      <c r="Y1046" s="25"/>
      <c r="Z1046" s="25"/>
    </row>
    <row r="1047" spans="1:26" ht="52.5" customHeight="1" x14ac:dyDescent="0.25">
      <c r="A1047" s="25" t="str">
        <f ca="1">IFERROR(__xludf.DUMMYFUNCTION("""COMPUTED_VALUE"""),"Integ145")</f>
        <v>Integ145</v>
      </c>
      <c r="B1047" s="25"/>
      <c r="C1047" s="55"/>
      <c r="D1047" s="25" t="str">
        <f ca="1">IFERROR(__xludf.DUMMYFUNCTION("""COMPUTED_VALUE"""),"Integración_Social")</f>
        <v>Integración_Social</v>
      </c>
      <c r="E1047" s="25"/>
      <c r="F1047" s="25"/>
      <c r="G1047" s="25"/>
      <c r="H1047" s="25"/>
      <c r="I1047" s="25"/>
      <c r="J1047" s="55"/>
      <c r="K1047" s="25" t="str">
        <f ca="1">IFERROR(__xludf.DUMMYFUNCTION("""COMPUTED_VALUE"""),"Definir fecha")</f>
        <v>Definir fecha</v>
      </c>
      <c r="L1047" s="62"/>
      <c r="M1047" s="25"/>
      <c r="N1047" s="25"/>
      <c r="O1047" s="25">
        <f t="shared" si="0"/>
        <v>0</v>
      </c>
      <c r="P1047" s="25" t="str">
        <f t="shared" si="2"/>
        <v/>
      </c>
      <c r="Q1047" s="25" t="str">
        <f ca="1">IFERROR(__xludf.DUMMYFUNCTION("""COMPUTED_VALUE"""),"Sin defenir")</f>
        <v>Sin defenir</v>
      </c>
      <c r="R1047" s="25"/>
      <c r="S1047" s="55"/>
      <c r="T1047" s="56"/>
      <c r="U1047" s="25"/>
      <c r="V1047" s="25"/>
      <c r="W1047" s="25"/>
      <c r="X1047" s="25"/>
      <c r="Y1047" s="25"/>
      <c r="Z1047" s="25"/>
    </row>
    <row r="1048" spans="1:26" ht="52.5" customHeight="1" x14ac:dyDescent="0.25">
      <c r="A1048" s="25" t="str">
        <f ca="1">IFERROR(__xludf.DUMMYFUNCTION("""COMPUTED_VALUE"""),"Integ146")</f>
        <v>Integ146</v>
      </c>
      <c r="B1048" s="25"/>
      <c r="C1048" s="55"/>
      <c r="D1048" s="25" t="str">
        <f ca="1">IFERROR(__xludf.DUMMYFUNCTION("""COMPUTED_VALUE"""),"Integración_Social")</f>
        <v>Integración_Social</v>
      </c>
      <c r="E1048" s="25"/>
      <c r="F1048" s="25"/>
      <c r="G1048" s="25"/>
      <c r="H1048" s="25"/>
      <c r="I1048" s="25"/>
      <c r="J1048" s="55"/>
      <c r="K1048" s="25" t="str">
        <f ca="1">IFERROR(__xludf.DUMMYFUNCTION("""COMPUTED_VALUE"""),"Definir fecha")</f>
        <v>Definir fecha</v>
      </c>
      <c r="L1048" s="62"/>
      <c r="M1048" s="25"/>
      <c r="N1048" s="25"/>
      <c r="O1048" s="25">
        <f t="shared" si="0"/>
        <v>0</v>
      </c>
      <c r="P1048" s="25" t="str">
        <f t="shared" si="2"/>
        <v/>
      </c>
      <c r="Q1048" s="25" t="str">
        <f ca="1">IFERROR(__xludf.DUMMYFUNCTION("""COMPUTED_VALUE"""),"Sin defenir")</f>
        <v>Sin defenir</v>
      </c>
      <c r="R1048" s="25"/>
      <c r="S1048" s="55"/>
      <c r="T1048" s="56"/>
      <c r="U1048" s="25"/>
      <c r="V1048" s="25"/>
      <c r="W1048" s="25"/>
      <c r="X1048" s="25"/>
      <c r="Y1048" s="25"/>
      <c r="Z1048" s="25"/>
    </row>
    <row r="1049" spans="1:26" ht="52.5" customHeight="1" x14ac:dyDescent="0.25">
      <c r="A1049" s="25" t="str">
        <f ca="1">IFERROR(__xludf.DUMMYFUNCTION("""COMPUTED_VALUE"""),"Integ147")</f>
        <v>Integ147</v>
      </c>
      <c r="B1049" s="25"/>
      <c r="C1049" s="55"/>
      <c r="D1049" s="25" t="str">
        <f ca="1">IFERROR(__xludf.DUMMYFUNCTION("""COMPUTED_VALUE"""),"Integración_Social")</f>
        <v>Integración_Social</v>
      </c>
      <c r="E1049" s="25"/>
      <c r="F1049" s="25"/>
      <c r="G1049" s="25"/>
      <c r="H1049" s="25"/>
      <c r="I1049" s="25"/>
      <c r="J1049" s="55"/>
      <c r="K1049" s="25" t="str">
        <f ca="1">IFERROR(__xludf.DUMMYFUNCTION("""COMPUTED_VALUE"""),"Definir fecha")</f>
        <v>Definir fecha</v>
      </c>
      <c r="L1049" s="62"/>
      <c r="M1049" s="25"/>
      <c r="N1049" s="25"/>
      <c r="O1049" s="25">
        <f t="shared" si="0"/>
        <v>0</v>
      </c>
      <c r="P1049" s="25" t="str">
        <f t="shared" si="2"/>
        <v/>
      </c>
      <c r="Q1049" s="25" t="str">
        <f ca="1">IFERROR(__xludf.DUMMYFUNCTION("""COMPUTED_VALUE"""),"Sin defenir")</f>
        <v>Sin defenir</v>
      </c>
      <c r="R1049" s="25"/>
      <c r="S1049" s="55"/>
      <c r="T1049" s="56"/>
      <c r="U1049" s="25"/>
      <c r="V1049" s="25"/>
      <c r="W1049" s="25"/>
      <c r="X1049" s="25"/>
      <c r="Y1049" s="25"/>
      <c r="Z1049" s="25"/>
    </row>
    <row r="1050" spans="1:26" ht="52.5" customHeight="1" x14ac:dyDescent="0.25">
      <c r="A1050" s="25" t="str">
        <f ca="1">IFERROR(__xludf.DUMMYFUNCTION("""COMPUTED_VALUE"""),"Integ148")</f>
        <v>Integ148</v>
      </c>
      <c r="B1050" s="25"/>
      <c r="C1050" s="55"/>
      <c r="D1050" s="25" t="str">
        <f ca="1">IFERROR(__xludf.DUMMYFUNCTION("""COMPUTED_VALUE"""),"Integración_Social")</f>
        <v>Integración_Social</v>
      </c>
      <c r="E1050" s="25"/>
      <c r="F1050" s="25"/>
      <c r="G1050" s="25"/>
      <c r="H1050" s="25"/>
      <c r="I1050" s="25"/>
      <c r="J1050" s="55"/>
      <c r="K1050" s="25" t="str">
        <f ca="1">IFERROR(__xludf.DUMMYFUNCTION("""COMPUTED_VALUE"""),"Definir fecha")</f>
        <v>Definir fecha</v>
      </c>
      <c r="L1050" s="62"/>
      <c r="M1050" s="25"/>
      <c r="N1050" s="25"/>
      <c r="O1050" s="25">
        <f t="shared" si="0"/>
        <v>0</v>
      </c>
      <c r="P1050" s="25" t="str">
        <f t="shared" si="2"/>
        <v/>
      </c>
      <c r="Q1050" s="25" t="str">
        <f ca="1">IFERROR(__xludf.DUMMYFUNCTION("""COMPUTED_VALUE"""),"Sin defenir")</f>
        <v>Sin defenir</v>
      </c>
      <c r="R1050" s="25"/>
      <c r="S1050" s="55"/>
      <c r="T1050" s="56"/>
      <c r="U1050" s="25"/>
      <c r="V1050" s="25"/>
      <c r="W1050" s="25"/>
      <c r="X1050" s="25"/>
      <c r="Y1050" s="25"/>
      <c r="Z1050" s="25"/>
    </row>
    <row r="1051" spans="1:26" ht="52.5" customHeight="1" x14ac:dyDescent="0.25">
      <c r="A1051" s="25" t="str">
        <f ca="1">IFERROR(__xludf.DUMMYFUNCTION("""COMPUTED_VALUE"""),"Integ149")</f>
        <v>Integ149</v>
      </c>
      <c r="B1051" s="25"/>
      <c r="C1051" s="55"/>
      <c r="D1051" s="25" t="str">
        <f ca="1">IFERROR(__xludf.DUMMYFUNCTION("""COMPUTED_VALUE"""),"Integración_Social")</f>
        <v>Integración_Social</v>
      </c>
      <c r="E1051" s="25"/>
      <c r="F1051" s="25"/>
      <c r="G1051" s="25"/>
      <c r="H1051" s="25"/>
      <c r="I1051" s="25"/>
      <c r="J1051" s="55"/>
      <c r="K1051" s="25" t="str">
        <f ca="1">IFERROR(__xludf.DUMMYFUNCTION("""COMPUTED_VALUE"""),"Definir fecha")</f>
        <v>Definir fecha</v>
      </c>
      <c r="L1051" s="62"/>
      <c r="M1051" s="25"/>
      <c r="N1051" s="25"/>
      <c r="O1051" s="25">
        <f t="shared" si="0"/>
        <v>0</v>
      </c>
      <c r="P1051" s="25" t="str">
        <f t="shared" si="2"/>
        <v/>
      </c>
      <c r="Q1051" s="25" t="str">
        <f ca="1">IFERROR(__xludf.DUMMYFUNCTION("""COMPUTED_VALUE"""),"Sin defenir")</f>
        <v>Sin defenir</v>
      </c>
      <c r="R1051" s="25"/>
      <c r="S1051" s="55"/>
      <c r="T1051" s="56"/>
      <c r="U1051" s="25"/>
      <c r="V1051" s="25"/>
      <c r="W1051" s="25"/>
      <c r="X1051" s="25"/>
      <c r="Y1051" s="25"/>
      <c r="Z1051" s="25"/>
    </row>
    <row r="1052" spans="1:26" ht="52.5" customHeight="1" x14ac:dyDescent="0.25">
      <c r="A1052" s="25" t="str">
        <f ca="1">IFERROR(__xludf.DUMMYFUNCTION("""COMPUTED_VALUE"""),"Integ150")</f>
        <v>Integ150</v>
      </c>
      <c r="B1052" s="25"/>
      <c r="C1052" s="55"/>
      <c r="D1052" s="25" t="str">
        <f ca="1">IFERROR(__xludf.DUMMYFUNCTION("""COMPUTED_VALUE"""),"Integración_Social")</f>
        <v>Integración_Social</v>
      </c>
      <c r="E1052" s="25"/>
      <c r="F1052" s="25"/>
      <c r="G1052" s="25"/>
      <c r="H1052" s="25"/>
      <c r="I1052" s="25"/>
      <c r="J1052" s="55"/>
      <c r="K1052" s="25" t="str">
        <f ca="1">IFERROR(__xludf.DUMMYFUNCTION("""COMPUTED_VALUE"""),"Definir fecha")</f>
        <v>Definir fecha</v>
      </c>
      <c r="L1052" s="62"/>
      <c r="M1052" s="25"/>
      <c r="N1052" s="25"/>
      <c r="O1052" s="25">
        <f t="shared" si="0"/>
        <v>0</v>
      </c>
      <c r="P1052" s="25" t="str">
        <f t="shared" si="2"/>
        <v/>
      </c>
      <c r="Q1052" s="25" t="str">
        <f ca="1">IFERROR(__xludf.DUMMYFUNCTION("""COMPUTED_VALUE"""),"Sin defenir")</f>
        <v>Sin defenir</v>
      </c>
      <c r="R1052" s="25"/>
      <c r="S1052" s="55"/>
      <c r="T1052" s="56"/>
      <c r="U1052" s="25"/>
      <c r="V1052" s="25"/>
      <c r="W1052" s="25"/>
      <c r="X1052" s="25"/>
      <c r="Y1052" s="25"/>
      <c r="Z1052" s="25"/>
    </row>
    <row r="1053" spans="1:26" ht="52.5" customHeight="1" x14ac:dyDescent="0.25">
      <c r="A1053" s="25" t="str">
        <f ca="1">IFERROR(__xludf.DUMMYFUNCTION("""COMPUTED_VALUE"""),"Integ151")</f>
        <v>Integ151</v>
      </c>
      <c r="B1053" s="25"/>
      <c r="C1053" s="55"/>
      <c r="D1053" s="25" t="str">
        <f ca="1">IFERROR(__xludf.DUMMYFUNCTION("""COMPUTED_VALUE"""),"Integración_Social")</f>
        <v>Integración_Social</v>
      </c>
      <c r="E1053" s="25"/>
      <c r="F1053" s="25"/>
      <c r="G1053" s="25"/>
      <c r="H1053" s="25"/>
      <c r="I1053" s="25"/>
      <c r="J1053" s="55"/>
      <c r="K1053" s="25" t="str">
        <f ca="1">IFERROR(__xludf.DUMMYFUNCTION("""COMPUTED_VALUE"""),"Definir fecha")</f>
        <v>Definir fecha</v>
      </c>
      <c r="L1053" s="62"/>
      <c r="M1053" s="25"/>
      <c r="N1053" s="25"/>
      <c r="O1053" s="25">
        <f t="shared" si="0"/>
        <v>0</v>
      </c>
      <c r="P1053" s="25" t="str">
        <f t="shared" si="2"/>
        <v/>
      </c>
      <c r="Q1053" s="25" t="str">
        <f ca="1">IFERROR(__xludf.DUMMYFUNCTION("""COMPUTED_VALUE"""),"Sin defenir")</f>
        <v>Sin defenir</v>
      </c>
      <c r="R1053" s="25"/>
      <c r="S1053" s="55"/>
      <c r="T1053" s="56"/>
      <c r="U1053" s="25"/>
      <c r="V1053" s="25"/>
      <c r="W1053" s="25"/>
      <c r="X1053" s="25"/>
      <c r="Y1053" s="25"/>
      <c r="Z1053" s="25"/>
    </row>
    <row r="1054" spans="1:26" ht="52.5" customHeight="1" x14ac:dyDescent="0.25">
      <c r="A1054" s="25" t="str">
        <f ca="1">IFERROR(__xludf.DUMMYFUNCTION("""COMPUTED_VALUE"""),"Integ152")</f>
        <v>Integ152</v>
      </c>
      <c r="B1054" s="25"/>
      <c r="C1054" s="55"/>
      <c r="D1054" s="25" t="str">
        <f ca="1">IFERROR(__xludf.DUMMYFUNCTION("""COMPUTED_VALUE"""),"Integración_Social")</f>
        <v>Integración_Social</v>
      </c>
      <c r="E1054" s="25"/>
      <c r="F1054" s="25"/>
      <c r="G1054" s="25"/>
      <c r="H1054" s="25"/>
      <c r="I1054" s="25"/>
      <c r="J1054" s="55"/>
      <c r="K1054" s="25" t="str">
        <f ca="1">IFERROR(__xludf.DUMMYFUNCTION("""COMPUTED_VALUE"""),"Definir fecha")</f>
        <v>Definir fecha</v>
      </c>
      <c r="L1054" s="62"/>
      <c r="M1054" s="25"/>
      <c r="N1054" s="25"/>
      <c r="O1054" s="25">
        <f t="shared" si="0"/>
        <v>0</v>
      </c>
      <c r="P1054" s="25" t="str">
        <f t="shared" si="2"/>
        <v/>
      </c>
      <c r="Q1054" s="25" t="str">
        <f ca="1">IFERROR(__xludf.DUMMYFUNCTION("""COMPUTED_VALUE"""),"Sin defenir")</f>
        <v>Sin defenir</v>
      </c>
      <c r="R1054" s="25"/>
      <c r="S1054" s="55"/>
      <c r="T1054" s="56"/>
      <c r="U1054" s="25"/>
      <c r="V1054" s="25"/>
      <c r="W1054" s="25"/>
      <c r="X1054" s="25"/>
      <c r="Y1054" s="25"/>
      <c r="Z1054" s="25"/>
    </row>
    <row r="1055" spans="1:26" ht="52.5" customHeight="1" x14ac:dyDescent="0.25">
      <c r="A1055" s="25" t="str">
        <f ca="1">IFERROR(__xludf.DUMMYFUNCTION("""COMPUTED_VALUE"""),"Integ153")</f>
        <v>Integ153</v>
      </c>
      <c r="B1055" s="25"/>
      <c r="C1055" s="55"/>
      <c r="D1055" s="25" t="str">
        <f ca="1">IFERROR(__xludf.DUMMYFUNCTION("""COMPUTED_VALUE"""),"Integración_Social")</f>
        <v>Integración_Social</v>
      </c>
      <c r="E1055" s="25"/>
      <c r="F1055" s="25"/>
      <c r="G1055" s="25"/>
      <c r="H1055" s="25"/>
      <c r="I1055" s="25"/>
      <c r="J1055" s="55"/>
      <c r="K1055" s="25" t="str">
        <f ca="1">IFERROR(__xludf.DUMMYFUNCTION("""COMPUTED_VALUE"""),"Definir fecha")</f>
        <v>Definir fecha</v>
      </c>
      <c r="L1055" s="62"/>
      <c r="M1055" s="25"/>
      <c r="N1055" s="25"/>
      <c r="O1055" s="25">
        <f t="shared" si="0"/>
        <v>0</v>
      </c>
      <c r="P1055" s="25" t="str">
        <f t="shared" si="2"/>
        <v/>
      </c>
      <c r="Q1055" s="25" t="str">
        <f ca="1">IFERROR(__xludf.DUMMYFUNCTION("""COMPUTED_VALUE"""),"Sin defenir")</f>
        <v>Sin defenir</v>
      </c>
      <c r="R1055" s="25"/>
      <c r="S1055" s="55"/>
      <c r="T1055" s="56"/>
      <c r="U1055" s="25"/>
      <c r="V1055" s="25"/>
      <c r="W1055" s="25"/>
      <c r="X1055" s="25"/>
      <c r="Y1055" s="25"/>
      <c r="Z1055" s="25"/>
    </row>
    <row r="1056" spans="1:26" ht="52.5" customHeight="1" x14ac:dyDescent="0.25">
      <c r="A1056" s="25" t="str">
        <f ca="1">IFERROR(__xludf.DUMMYFUNCTION("""COMPUTED_VALUE"""),"Integ154")</f>
        <v>Integ154</v>
      </c>
      <c r="B1056" s="25"/>
      <c r="C1056" s="55"/>
      <c r="D1056" s="25" t="str">
        <f ca="1">IFERROR(__xludf.DUMMYFUNCTION("""COMPUTED_VALUE"""),"Integración_Social")</f>
        <v>Integración_Social</v>
      </c>
      <c r="E1056" s="25"/>
      <c r="F1056" s="25"/>
      <c r="G1056" s="25"/>
      <c r="H1056" s="25"/>
      <c r="I1056" s="25"/>
      <c r="J1056" s="55"/>
      <c r="K1056" s="25" t="str">
        <f ca="1">IFERROR(__xludf.DUMMYFUNCTION("""COMPUTED_VALUE"""),"Definir fecha")</f>
        <v>Definir fecha</v>
      </c>
      <c r="L1056" s="62"/>
      <c r="M1056" s="25"/>
      <c r="N1056" s="25"/>
      <c r="O1056" s="25">
        <f t="shared" si="0"/>
        <v>0</v>
      </c>
      <c r="P1056" s="25" t="str">
        <f t="shared" si="2"/>
        <v/>
      </c>
      <c r="Q1056" s="25" t="str">
        <f ca="1">IFERROR(__xludf.DUMMYFUNCTION("""COMPUTED_VALUE"""),"Sin defenir")</f>
        <v>Sin defenir</v>
      </c>
      <c r="R1056" s="25"/>
      <c r="S1056" s="55"/>
      <c r="T1056" s="56"/>
      <c r="U1056" s="25"/>
      <c r="V1056" s="25"/>
      <c r="W1056" s="25"/>
      <c r="X1056" s="25"/>
      <c r="Y1056" s="25"/>
      <c r="Z1056" s="25"/>
    </row>
    <row r="1057" spans="1:26" ht="52.5" customHeight="1" x14ac:dyDescent="0.25">
      <c r="A1057" s="25" t="str">
        <f ca="1">IFERROR(__xludf.DUMMYFUNCTION("""COMPUTED_VALUE"""),"Integ155")</f>
        <v>Integ155</v>
      </c>
      <c r="B1057" s="25"/>
      <c r="C1057" s="55"/>
      <c r="D1057" s="25" t="str">
        <f ca="1">IFERROR(__xludf.DUMMYFUNCTION("""COMPUTED_VALUE"""),"Integración_Social")</f>
        <v>Integración_Social</v>
      </c>
      <c r="E1057" s="25"/>
      <c r="F1057" s="25"/>
      <c r="G1057" s="25"/>
      <c r="H1057" s="25"/>
      <c r="I1057" s="25"/>
      <c r="J1057" s="55"/>
      <c r="K1057" s="25" t="str">
        <f ca="1">IFERROR(__xludf.DUMMYFUNCTION("""COMPUTED_VALUE"""),"Definir fecha")</f>
        <v>Definir fecha</v>
      </c>
      <c r="L1057" s="62"/>
      <c r="M1057" s="25"/>
      <c r="N1057" s="25"/>
      <c r="O1057" s="25">
        <f t="shared" si="0"/>
        <v>0</v>
      </c>
      <c r="P1057" s="25" t="str">
        <f t="shared" si="2"/>
        <v/>
      </c>
      <c r="Q1057" s="25" t="str">
        <f ca="1">IFERROR(__xludf.DUMMYFUNCTION("""COMPUTED_VALUE"""),"Sin defenir")</f>
        <v>Sin defenir</v>
      </c>
      <c r="R1057" s="25"/>
      <c r="S1057" s="55"/>
      <c r="T1057" s="56"/>
      <c r="U1057" s="25"/>
      <c r="V1057" s="25"/>
      <c r="W1057" s="25"/>
      <c r="X1057" s="25"/>
      <c r="Y1057" s="25"/>
      <c r="Z1057" s="25"/>
    </row>
    <row r="1058" spans="1:26" ht="52.5" customHeight="1" x14ac:dyDescent="0.25">
      <c r="A1058" s="25" t="str">
        <f ca="1">IFERROR(__xludf.DUMMYFUNCTION("""COMPUTED_VALUE"""),"Integ156")</f>
        <v>Integ156</v>
      </c>
      <c r="B1058" s="25"/>
      <c r="C1058" s="55"/>
      <c r="D1058" s="25" t="str">
        <f ca="1">IFERROR(__xludf.DUMMYFUNCTION("""COMPUTED_VALUE"""),"Integración_Social")</f>
        <v>Integración_Social</v>
      </c>
      <c r="E1058" s="25"/>
      <c r="F1058" s="25"/>
      <c r="G1058" s="25"/>
      <c r="H1058" s="25"/>
      <c r="I1058" s="25"/>
      <c r="J1058" s="55"/>
      <c r="K1058" s="25" t="str">
        <f ca="1">IFERROR(__xludf.DUMMYFUNCTION("""COMPUTED_VALUE"""),"Definir fecha")</f>
        <v>Definir fecha</v>
      </c>
      <c r="L1058" s="62"/>
      <c r="M1058" s="25"/>
      <c r="N1058" s="25"/>
      <c r="O1058" s="25">
        <f t="shared" si="0"/>
        <v>0</v>
      </c>
      <c r="P1058" s="25" t="str">
        <f t="shared" si="2"/>
        <v/>
      </c>
      <c r="Q1058" s="25" t="str">
        <f ca="1">IFERROR(__xludf.DUMMYFUNCTION("""COMPUTED_VALUE"""),"Sin defenir")</f>
        <v>Sin defenir</v>
      </c>
      <c r="R1058" s="25"/>
      <c r="S1058" s="55"/>
      <c r="T1058" s="56"/>
      <c r="U1058" s="25"/>
      <c r="V1058" s="25"/>
      <c r="W1058" s="25"/>
      <c r="X1058" s="25"/>
      <c r="Y1058" s="25"/>
      <c r="Z1058" s="25"/>
    </row>
    <row r="1059" spans="1:26" ht="52.5" customHeight="1" x14ac:dyDescent="0.25">
      <c r="A1059" s="25" t="str">
        <f ca="1">IFERROR(__xludf.DUMMYFUNCTION("""COMPUTED_VALUE"""),"Integ157")</f>
        <v>Integ157</v>
      </c>
      <c r="B1059" s="25"/>
      <c r="C1059" s="55"/>
      <c r="D1059" s="25" t="str">
        <f ca="1">IFERROR(__xludf.DUMMYFUNCTION("""COMPUTED_VALUE"""),"Integración_Social")</f>
        <v>Integración_Social</v>
      </c>
      <c r="E1059" s="25"/>
      <c r="F1059" s="25"/>
      <c r="G1059" s="25"/>
      <c r="H1059" s="25"/>
      <c r="I1059" s="25"/>
      <c r="J1059" s="55"/>
      <c r="K1059" s="25" t="str">
        <f ca="1">IFERROR(__xludf.DUMMYFUNCTION("""COMPUTED_VALUE"""),"Definir fecha")</f>
        <v>Definir fecha</v>
      </c>
      <c r="L1059" s="62"/>
      <c r="M1059" s="25"/>
      <c r="N1059" s="25"/>
      <c r="O1059" s="25">
        <f t="shared" si="0"/>
        <v>0</v>
      </c>
      <c r="P1059" s="25" t="str">
        <f t="shared" si="2"/>
        <v/>
      </c>
      <c r="Q1059" s="25" t="str">
        <f ca="1">IFERROR(__xludf.DUMMYFUNCTION("""COMPUTED_VALUE"""),"Sin defenir")</f>
        <v>Sin defenir</v>
      </c>
      <c r="R1059" s="25"/>
      <c r="S1059" s="55"/>
      <c r="T1059" s="56"/>
      <c r="U1059" s="25"/>
      <c r="V1059" s="25"/>
      <c r="W1059" s="25"/>
      <c r="X1059" s="25"/>
      <c r="Y1059" s="25"/>
      <c r="Z1059" s="25"/>
    </row>
    <row r="1060" spans="1:26" ht="52.5" customHeight="1" x14ac:dyDescent="0.25">
      <c r="A1060" s="25" t="str">
        <f ca="1">IFERROR(__xludf.DUMMYFUNCTION("""COMPUTED_VALUE"""),"Integ158")</f>
        <v>Integ158</v>
      </c>
      <c r="B1060" s="25"/>
      <c r="C1060" s="55"/>
      <c r="D1060" s="25" t="str">
        <f ca="1">IFERROR(__xludf.DUMMYFUNCTION("""COMPUTED_VALUE"""),"Integración_Social")</f>
        <v>Integración_Social</v>
      </c>
      <c r="E1060" s="25"/>
      <c r="F1060" s="25"/>
      <c r="G1060" s="25"/>
      <c r="H1060" s="25"/>
      <c r="I1060" s="25"/>
      <c r="J1060" s="55"/>
      <c r="K1060" s="25" t="str">
        <f ca="1">IFERROR(__xludf.DUMMYFUNCTION("""COMPUTED_VALUE"""),"Definir fecha")</f>
        <v>Definir fecha</v>
      </c>
      <c r="L1060" s="62"/>
      <c r="M1060" s="25"/>
      <c r="N1060" s="25"/>
      <c r="O1060" s="25">
        <f t="shared" si="0"/>
        <v>0</v>
      </c>
      <c r="P1060" s="25" t="str">
        <f t="shared" si="2"/>
        <v/>
      </c>
      <c r="Q1060" s="25" t="str">
        <f ca="1">IFERROR(__xludf.DUMMYFUNCTION("""COMPUTED_VALUE"""),"Sin defenir")</f>
        <v>Sin defenir</v>
      </c>
      <c r="R1060" s="25"/>
      <c r="S1060" s="55"/>
      <c r="T1060" s="56"/>
      <c r="U1060" s="25"/>
      <c r="V1060" s="25"/>
      <c r="W1060" s="25"/>
      <c r="X1060" s="25"/>
      <c r="Y1060" s="25"/>
      <c r="Z1060" s="25"/>
    </row>
    <row r="1061" spans="1:26" ht="52.5" customHeight="1" x14ac:dyDescent="0.25">
      <c r="A1061" s="25" t="str">
        <f ca="1">IFERROR(__xludf.DUMMYFUNCTION("""COMPUTED_VALUE"""),"Integ159")</f>
        <v>Integ159</v>
      </c>
      <c r="B1061" s="25"/>
      <c r="C1061" s="55"/>
      <c r="D1061" s="25" t="str">
        <f ca="1">IFERROR(__xludf.DUMMYFUNCTION("""COMPUTED_VALUE"""),"Integración_Social")</f>
        <v>Integración_Social</v>
      </c>
      <c r="E1061" s="25"/>
      <c r="F1061" s="25"/>
      <c r="G1061" s="25"/>
      <c r="H1061" s="25"/>
      <c r="I1061" s="25"/>
      <c r="J1061" s="55"/>
      <c r="K1061" s="25" t="str">
        <f ca="1">IFERROR(__xludf.DUMMYFUNCTION("""COMPUTED_VALUE"""),"Definir fecha")</f>
        <v>Definir fecha</v>
      </c>
      <c r="L1061" s="62"/>
      <c r="M1061" s="25"/>
      <c r="N1061" s="25"/>
      <c r="O1061" s="25">
        <f t="shared" si="0"/>
        <v>0</v>
      </c>
      <c r="P1061" s="25" t="str">
        <f t="shared" si="2"/>
        <v/>
      </c>
      <c r="Q1061" s="25" t="str">
        <f ca="1">IFERROR(__xludf.DUMMYFUNCTION("""COMPUTED_VALUE"""),"Sin defenir")</f>
        <v>Sin defenir</v>
      </c>
      <c r="R1061" s="25"/>
      <c r="S1061" s="55"/>
      <c r="T1061" s="56"/>
      <c r="U1061" s="25"/>
      <c r="V1061" s="25"/>
      <c r="W1061" s="25"/>
      <c r="X1061" s="25"/>
      <c r="Y1061" s="25"/>
      <c r="Z1061" s="25"/>
    </row>
    <row r="1062" spans="1:26" ht="52.5" customHeight="1" x14ac:dyDescent="0.25">
      <c r="A1062" s="25" t="str">
        <f ca="1">IFERROR(__xludf.DUMMYFUNCTION("""COMPUTED_VALUE"""),"Integ160")</f>
        <v>Integ160</v>
      </c>
      <c r="B1062" s="25"/>
      <c r="C1062" s="55"/>
      <c r="D1062" s="25" t="str">
        <f ca="1">IFERROR(__xludf.DUMMYFUNCTION("""COMPUTED_VALUE"""),"Integración_Social")</f>
        <v>Integración_Social</v>
      </c>
      <c r="E1062" s="25"/>
      <c r="F1062" s="25"/>
      <c r="G1062" s="25"/>
      <c r="H1062" s="25"/>
      <c r="I1062" s="25"/>
      <c r="J1062" s="55"/>
      <c r="K1062" s="25" t="str">
        <f ca="1">IFERROR(__xludf.DUMMYFUNCTION("""COMPUTED_VALUE"""),"Definir fecha")</f>
        <v>Definir fecha</v>
      </c>
      <c r="L1062" s="62"/>
      <c r="M1062" s="25"/>
      <c r="N1062" s="25"/>
      <c r="O1062" s="25">
        <f t="shared" si="0"/>
        <v>0</v>
      </c>
      <c r="P1062" s="25" t="str">
        <f t="shared" si="2"/>
        <v/>
      </c>
      <c r="Q1062" s="25" t="str">
        <f ca="1">IFERROR(__xludf.DUMMYFUNCTION("""COMPUTED_VALUE"""),"Sin defenir")</f>
        <v>Sin defenir</v>
      </c>
      <c r="R1062" s="25"/>
      <c r="S1062" s="55"/>
      <c r="T1062" s="56"/>
      <c r="U1062" s="25"/>
      <c r="V1062" s="25"/>
      <c r="W1062" s="25"/>
      <c r="X1062" s="25"/>
      <c r="Y1062" s="25"/>
      <c r="Z1062" s="25"/>
    </row>
    <row r="1063" spans="1:26" ht="52.5" customHeight="1" x14ac:dyDescent="0.25">
      <c r="A1063" s="25" t="str">
        <f ca="1">IFERROR(__xludf.DUMMYFUNCTION("""COMPUTED_VALUE"""),"Integ161")</f>
        <v>Integ161</v>
      </c>
      <c r="B1063" s="25"/>
      <c r="C1063" s="55"/>
      <c r="D1063" s="25" t="str">
        <f ca="1">IFERROR(__xludf.DUMMYFUNCTION("""COMPUTED_VALUE"""),"Integración_Social")</f>
        <v>Integración_Social</v>
      </c>
      <c r="E1063" s="25"/>
      <c r="F1063" s="25"/>
      <c r="G1063" s="25"/>
      <c r="H1063" s="25"/>
      <c r="I1063" s="25"/>
      <c r="J1063" s="55"/>
      <c r="K1063" s="25" t="str">
        <f ca="1">IFERROR(__xludf.DUMMYFUNCTION("""COMPUTED_VALUE"""),"Definir fecha")</f>
        <v>Definir fecha</v>
      </c>
      <c r="L1063" s="62"/>
      <c r="M1063" s="25"/>
      <c r="N1063" s="25"/>
      <c r="O1063" s="25">
        <f t="shared" si="0"/>
        <v>0</v>
      </c>
      <c r="P1063" s="25" t="str">
        <f t="shared" si="2"/>
        <v/>
      </c>
      <c r="Q1063" s="25" t="str">
        <f ca="1">IFERROR(__xludf.DUMMYFUNCTION("""COMPUTED_VALUE"""),"Sin defenir")</f>
        <v>Sin defenir</v>
      </c>
      <c r="R1063" s="25"/>
      <c r="S1063" s="55"/>
      <c r="T1063" s="56"/>
      <c r="U1063" s="25"/>
      <c r="V1063" s="25"/>
      <c r="W1063" s="25"/>
      <c r="X1063" s="25"/>
      <c r="Y1063" s="25"/>
      <c r="Z1063" s="25"/>
    </row>
    <row r="1064" spans="1:26" ht="52.5" customHeight="1" x14ac:dyDescent="0.25">
      <c r="A1064" s="25" t="str">
        <f ca="1">IFERROR(__xludf.DUMMYFUNCTION("""COMPUTED_VALUE"""),"Integ162")</f>
        <v>Integ162</v>
      </c>
      <c r="B1064" s="25"/>
      <c r="C1064" s="55"/>
      <c r="D1064" s="25" t="str">
        <f ca="1">IFERROR(__xludf.DUMMYFUNCTION("""COMPUTED_VALUE"""),"Integración_Social")</f>
        <v>Integración_Social</v>
      </c>
      <c r="E1064" s="25"/>
      <c r="F1064" s="25"/>
      <c r="G1064" s="25"/>
      <c r="H1064" s="25"/>
      <c r="I1064" s="25"/>
      <c r="J1064" s="55"/>
      <c r="K1064" s="25" t="str">
        <f ca="1">IFERROR(__xludf.DUMMYFUNCTION("""COMPUTED_VALUE"""),"Definir fecha")</f>
        <v>Definir fecha</v>
      </c>
      <c r="L1064" s="62"/>
      <c r="M1064" s="25"/>
      <c r="N1064" s="25"/>
      <c r="O1064" s="25">
        <f t="shared" si="0"/>
        <v>0</v>
      </c>
      <c r="P1064" s="25" t="str">
        <f t="shared" si="2"/>
        <v/>
      </c>
      <c r="Q1064" s="25" t="str">
        <f ca="1">IFERROR(__xludf.DUMMYFUNCTION("""COMPUTED_VALUE"""),"Sin defenir")</f>
        <v>Sin defenir</v>
      </c>
      <c r="R1064" s="25"/>
      <c r="S1064" s="55"/>
      <c r="T1064" s="56"/>
      <c r="U1064" s="25"/>
      <c r="V1064" s="25"/>
      <c r="W1064" s="25"/>
      <c r="X1064" s="25"/>
      <c r="Y1064" s="25"/>
      <c r="Z1064" s="25"/>
    </row>
    <row r="1065" spans="1:26" ht="52.5" customHeight="1" x14ac:dyDescent="0.25">
      <c r="A1065" s="25" t="str">
        <f ca="1">IFERROR(__xludf.DUMMYFUNCTION("""COMPUTED_VALUE"""),"Integ163")</f>
        <v>Integ163</v>
      </c>
      <c r="B1065" s="25"/>
      <c r="C1065" s="55"/>
      <c r="D1065" s="25" t="str">
        <f ca="1">IFERROR(__xludf.DUMMYFUNCTION("""COMPUTED_VALUE"""),"Integración_Social")</f>
        <v>Integración_Social</v>
      </c>
      <c r="E1065" s="25"/>
      <c r="F1065" s="25"/>
      <c r="G1065" s="25"/>
      <c r="H1065" s="25"/>
      <c r="I1065" s="25"/>
      <c r="J1065" s="55"/>
      <c r="K1065" s="25" t="str">
        <f ca="1">IFERROR(__xludf.DUMMYFUNCTION("""COMPUTED_VALUE"""),"Definir fecha")</f>
        <v>Definir fecha</v>
      </c>
      <c r="L1065" s="62"/>
      <c r="M1065" s="25"/>
      <c r="N1065" s="25"/>
      <c r="O1065" s="25">
        <f t="shared" si="0"/>
        <v>0</v>
      </c>
      <c r="P1065" s="25" t="str">
        <f t="shared" si="2"/>
        <v/>
      </c>
      <c r="Q1065" s="25" t="str">
        <f ca="1">IFERROR(__xludf.DUMMYFUNCTION("""COMPUTED_VALUE"""),"Sin defenir")</f>
        <v>Sin defenir</v>
      </c>
      <c r="R1065" s="25"/>
      <c r="S1065" s="55"/>
      <c r="T1065" s="56"/>
      <c r="U1065" s="25"/>
      <c r="V1065" s="25"/>
      <c r="W1065" s="25"/>
      <c r="X1065" s="25"/>
      <c r="Y1065" s="25"/>
      <c r="Z1065" s="25"/>
    </row>
    <row r="1066" spans="1:26" ht="52.5" customHeight="1" x14ac:dyDescent="0.25">
      <c r="A1066" s="25" t="str">
        <f ca="1">IFERROR(__xludf.DUMMYFUNCTION("""COMPUTED_VALUE"""),"Integ164")</f>
        <v>Integ164</v>
      </c>
      <c r="B1066" s="25"/>
      <c r="C1066" s="55"/>
      <c r="D1066" s="25" t="str">
        <f ca="1">IFERROR(__xludf.DUMMYFUNCTION("""COMPUTED_VALUE"""),"Integración_Social")</f>
        <v>Integración_Social</v>
      </c>
      <c r="E1066" s="25"/>
      <c r="F1066" s="25"/>
      <c r="G1066" s="25"/>
      <c r="H1066" s="25"/>
      <c r="I1066" s="25"/>
      <c r="J1066" s="55"/>
      <c r="K1066" s="25" t="str">
        <f ca="1">IFERROR(__xludf.DUMMYFUNCTION("""COMPUTED_VALUE"""),"Definir fecha")</f>
        <v>Definir fecha</v>
      </c>
      <c r="L1066" s="62"/>
      <c r="M1066" s="25"/>
      <c r="N1066" s="25"/>
      <c r="O1066" s="25">
        <f t="shared" si="0"/>
        <v>0</v>
      </c>
      <c r="P1066" s="25" t="str">
        <f t="shared" si="2"/>
        <v/>
      </c>
      <c r="Q1066" s="25" t="str">
        <f ca="1">IFERROR(__xludf.DUMMYFUNCTION("""COMPUTED_VALUE"""),"Sin defenir")</f>
        <v>Sin defenir</v>
      </c>
      <c r="R1066" s="25"/>
      <c r="S1066" s="55"/>
      <c r="T1066" s="56"/>
      <c r="U1066" s="25"/>
      <c r="V1066" s="25"/>
      <c r="W1066" s="25"/>
      <c r="X1066" s="25"/>
      <c r="Y1066" s="25"/>
      <c r="Z1066" s="25"/>
    </row>
    <row r="1067" spans="1:26" ht="52.5" customHeight="1" x14ac:dyDescent="0.25">
      <c r="A1067" s="25" t="str">
        <f ca="1">IFERROR(__xludf.DUMMYFUNCTION("""COMPUTED_VALUE"""),"Integ165")</f>
        <v>Integ165</v>
      </c>
      <c r="B1067" s="25"/>
      <c r="C1067" s="55"/>
      <c r="D1067" s="25" t="str">
        <f ca="1">IFERROR(__xludf.DUMMYFUNCTION("""COMPUTED_VALUE"""),"Integración_Social")</f>
        <v>Integración_Social</v>
      </c>
      <c r="E1067" s="25"/>
      <c r="F1067" s="25"/>
      <c r="G1067" s="25"/>
      <c r="H1067" s="25"/>
      <c r="I1067" s="25"/>
      <c r="J1067" s="55"/>
      <c r="K1067" s="25" t="str">
        <f ca="1">IFERROR(__xludf.DUMMYFUNCTION("""COMPUTED_VALUE"""),"Definir fecha")</f>
        <v>Definir fecha</v>
      </c>
      <c r="L1067" s="62"/>
      <c r="M1067" s="25"/>
      <c r="N1067" s="25"/>
      <c r="O1067" s="25">
        <f t="shared" si="0"/>
        <v>0</v>
      </c>
      <c r="P1067" s="25" t="str">
        <f t="shared" si="2"/>
        <v/>
      </c>
      <c r="Q1067" s="25" t="str">
        <f ca="1">IFERROR(__xludf.DUMMYFUNCTION("""COMPUTED_VALUE"""),"Sin defenir")</f>
        <v>Sin defenir</v>
      </c>
      <c r="R1067" s="25"/>
      <c r="S1067" s="55"/>
      <c r="T1067" s="56"/>
      <c r="U1067" s="25"/>
      <c r="V1067" s="25"/>
      <c r="W1067" s="25"/>
      <c r="X1067" s="25"/>
      <c r="Y1067" s="25"/>
      <c r="Z1067" s="25"/>
    </row>
    <row r="1068" spans="1:26" ht="52.5" customHeight="1" x14ac:dyDescent="0.25">
      <c r="A1068" s="25" t="str">
        <f ca="1">IFERROR(__xludf.DUMMYFUNCTION("""COMPUTED_VALUE"""),"Integ166")</f>
        <v>Integ166</v>
      </c>
      <c r="B1068" s="25"/>
      <c r="C1068" s="55"/>
      <c r="D1068" s="25" t="str">
        <f ca="1">IFERROR(__xludf.DUMMYFUNCTION("""COMPUTED_VALUE"""),"Integración_Social")</f>
        <v>Integración_Social</v>
      </c>
      <c r="E1068" s="25"/>
      <c r="F1068" s="25"/>
      <c r="G1068" s="25"/>
      <c r="H1068" s="25"/>
      <c r="I1068" s="25"/>
      <c r="J1068" s="55"/>
      <c r="K1068" s="25" t="str">
        <f ca="1">IFERROR(__xludf.DUMMYFUNCTION("""COMPUTED_VALUE"""),"Definir fecha")</f>
        <v>Definir fecha</v>
      </c>
      <c r="L1068" s="62"/>
      <c r="M1068" s="25"/>
      <c r="N1068" s="25"/>
      <c r="O1068" s="25">
        <f t="shared" si="0"/>
        <v>0</v>
      </c>
      <c r="P1068" s="25" t="str">
        <f t="shared" si="2"/>
        <v/>
      </c>
      <c r="Q1068" s="25" t="str">
        <f ca="1">IFERROR(__xludf.DUMMYFUNCTION("""COMPUTED_VALUE"""),"Sin defenir")</f>
        <v>Sin defenir</v>
      </c>
      <c r="R1068" s="25"/>
      <c r="S1068" s="55"/>
      <c r="T1068" s="56"/>
      <c r="U1068" s="25"/>
      <c r="V1068" s="25"/>
      <c r="W1068" s="25"/>
      <c r="X1068" s="25"/>
      <c r="Y1068" s="25"/>
      <c r="Z1068" s="25"/>
    </row>
    <row r="1069" spans="1:26" ht="52.5" customHeight="1" x14ac:dyDescent="0.25">
      <c r="A1069" s="25" t="str">
        <f ca="1">IFERROR(__xludf.DUMMYFUNCTION("""COMPUTED_VALUE"""),"Integ167")</f>
        <v>Integ167</v>
      </c>
      <c r="B1069" s="25"/>
      <c r="C1069" s="55"/>
      <c r="D1069" s="25" t="str">
        <f ca="1">IFERROR(__xludf.DUMMYFUNCTION("""COMPUTED_VALUE"""),"Integración_Social")</f>
        <v>Integración_Social</v>
      </c>
      <c r="E1069" s="25"/>
      <c r="F1069" s="25"/>
      <c r="G1069" s="25"/>
      <c r="H1069" s="25"/>
      <c r="I1069" s="25"/>
      <c r="J1069" s="55"/>
      <c r="K1069" s="25" t="str">
        <f ca="1">IFERROR(__xludf.DUMMYFUNCTION("""COMPUTED_VALUE"""),"Definir fecha")</f>
        <v>Definir fecha</v>
      </c>
      <c r="L1069" s="62"/>
      <c r="M1069" s="25"/>
      <c r="N1069" s="25"/>
      <c r="O1069" s="25">
        <f t="shared" si="0"/>
        <v>0</v>
      </c>
      <c r="P1069" s="25" t="str">
        <f t="shared" si="2"/>
        <v/>
      </c>
      <c r="Q1069" s="25" t="str">
        <f ca="1">IFERROR(__xludf.DUMMYFUNCTION("""COMPUTED_VALUE"""),"Sin defenir")</f>
        <v>Sin defenir</v>
      </c>
      <c r="R1069" s="25"/>
      <c r="S1069" s="55"/>
      <c r="T1069" s="56"/>
      <c r="U1069" s="25"/>
      <c r="V1069" s="25"/>
      <c r="W1069" s="25"/>
      <c r="X1069" s="25"/>
      <c r="Y1069" s="25"/>
      <c r="Z1069" s="25"/>
    </row>
    <row r="1070" spans="1:26" ht="52.5" customHeight="1" x14ac:dyDescent="0.25">
      <c r="A1070" s="25" t="str">
        <f ca="1">IFERROR(__xludf.DUMMYFUNCTION("""COMPUTED_VALUE"""),"Integ168")</f>
        <v>Integ168</v>
      </c>
      <c r="B1070" s="25"/>
      <c r="C1070" s="55"/>
      <c r="D1070" s="25" t="str">
        <f ca="1">IFERROR(__xludf.DUMMYFUNCTION("""COMPUTED_VALUE"""),"Integración_Social")</f>
        <v>Integración_Social</v>
      </c>
      <c r="E1070" s="25"/>
      <c r="F1070" s="25"/>
      <c r="G1070" s="25"/>
      <c r="H1070" s="25"/>
      <c r="I1070" s="25"/>
      <c r="J1070" s="55"/>
      <c r="K1070" s="25" t="str">
        <f ca="1">IFERROR(__xludf.DUMMYFUNCTION("""COMPUTED_VALUE"""),"Definir fecha")</f>
        <v>Definir fecha</v>
      </c>
      <c r="L1070" s="62"/>
      <c r="M1070" s="25"/>
      <c r="N1070" s="25"/>
      <c r="O1070" s="25">
        <f t="shared" si="0"/>
        <v>0</v>
      </c>
      <c r="P1070" s="25" t="str">
        <f t="shared" si="2"/>
        <v/>
      </c>
      <c r="Q1070" s="25" t="str">
        <f ca="1">IFERROR(__xludf.DUMMYFUNCTION("""COMPUTED_VALUE"""),"Sin defenir")</f>
        <v>Sin defenir</v>
      </c>
      <c r="R1070" s="25"/>
      <c r="S1070" s="55"/>
      <c r="T1070" s="56"/>
      <c r="U1070" s="25"/>
      <c r="V1070" s="25"/>
      <c r="W1070" s="25"/>
      <c r="X1070" s="25"/>
      <c r="Y1070" s="25"/>
      <c r="Z1070" s="25"/>
    </row>
    <row r="1071" spans="1:26" ht="52.5" customHeight="1" x14ac:dyDescent="0.25">
      <c r="A1071" s="25" t="str">
        <f ca="1">IFERROR(__xludf.DUMMYFUNCTION("""COMPUTED_VALUE"""),"Integ169")</f>
        <v>Integ169</v>
      </c>
      <c r="B1071" s="25"/>
      <c r="C1071" s="55"/>
      <c r="D1071" s="25" t="str">
        <f ca="1">IFERROR(__xludf.DUMMYFUNCTION("""COMPUTED_VALUE"""),"Integración_Social")</f>
        <v>Integración_Social</v>
      </c>
      <c r="E1071" s="25"/>
      <c r="F1071" s="25"/>
      <c r="G1071" s="25"/>
      <c r="H1071" s="25"/>
      <c r="I1071" s="25"/>
      <c r="J1071" s="55"/>
      <c r="K1071" s="25" t="str">
        <f ca="1">IFERROR(__xludf.DUMMYFUNCTION("""COMPUTED_VALUE"""),"Definir fecha")</f>
        <v>Definir fecha</v>
      </c>
      <c r="L1071" s="62"/>
      <c r="M1071" s="25"/>
      <c r="N1071" s="25"/>
      <c r="O1071" s="25">
        <f t="shared" si="0"/>
        <v>0</v>
      </c>
      <c r="P1071" s="25" t="str">
        <f t="shared" si="2"/>
        <v/>
      </c>
      <c r="Q1071" s="25" t="str">
        <f ca="1">IFERROR(__xludf.DUMMYFUNCTION("""COMPUTED_VALUE"""),"Sin defenir")</f>
        <v>Sin defenir</v>
      </c>
      <c r="R1071" s="25"/>
      <c r="S1071" s="55"/>
      <c r="T1071" s="56"/>
      <c r="U1071" s="25"/>
      <c r="V1071" s="25"/>
      <c r="W1071" s="25"/>
      <c r="X1071" s="25"/>
      <c r="Y1071" s="25"/>
      <c r="Z1071" s="25"/>
    </row>
    <row r="1072" spans="1:26" ht="52.5" customHeight="1" x14ac:dyDescent="0.25">
      <c r="A1072" s="25" t="str">
        <f ca="1">IFERROR(__xludf.DUMMYFUNCTION("""COMPUTED_VALUE"""),"Integ170")</f>
        <v>Integ170</v>
      </c>
      <c r="B1072" s="25"/>
      <c r="C1072" s="55"/>
      <c r="D1072" s="25" t="str">
        <f ca="1">IFERROR(__xludf.DUMMYFUNCTION("""COMPUTED_VALUE"""),"Integración_Social")</f>
        <v>Integración_Social</v>
      </c>
      <c r="E1072" s="25"/>
      <c r="F1072" s="25"/>
      <c r="G1072" s="25"/>
      <c r="H1072" s="25"/>
      <c r="I1072" s="25"/>
      <c r="J1072" s="55"/>
      <c r="K1072" s="25" t="str">
        <f ca="1">IFERROR(__xludf.DUMMYFUNCTION("""COMPUTED_VALUE"""),"Definir fecha")</f>
        <v>Definir fecha</v>
      </c>
      <c r="L1072" s="62"/>
      <c r="M1072" s="25"/>
      <c r="N1072" s="25"/>
      <c r="O1072" s="25">
        <f t="shared" si="0"/>
        <v>0</v>
      </c>
      <c r="P1072" s="25" t="str">
        <f t="shared" si="2"/>
        <v/>
      </c>
      <c r="Q1072" s="25" t="str">
        <f ca="1">IFERROR(__xludf.DUMMYFUNCTION("""COMPUTED_VALUE"""),"Sin defenir")</f>
        <v>Sin defenir</v>
      </c>
      <c r="R1072" s="25"/>
      <c r="S1072" s="55"/>
      <c r="T1072" s="56"/>
      <c r="U1072" s="25"/>
      <c r="V1072" s="25"/>
      <c r="W1072" s="25"/>
      <c r="X1072" s="25"/>
      <c r="Y1072" s="25"/>
      <c r="Z1072" s="25"/>
    </row>
    <row r="1073" spans="1:26" ht="52.5" customHeight="1" x14ac:dyDescent="0.25">
      <c r="A1073" s="25" t="str">
        <f ca="1">IFERROR(__xludf.DUMMYFUNCTION("""COMPUTED_VALUE"""),"Integ171")</f>
        <v>Integ171</v>
      </c>
      <c r="B1073" s="25"/>
      <c r="C1073" s="55"/>
      <c r="D1073" s="25" t="str">
        <f ca="1">IFERROR(__xludf.DUMMYFUNCTION("""COMPUTED_VALUE"""),"Integración_Social")</f>
        <v>Integración_Social</v>
      </c>
      <c r="E1073" s="25"/>
      <c r="F1073" s="25"/>
      <c r="G1073" s="25"/>
      <c r="H1073" s="25"/>
      <c r="I1073" s="25"/>
      <c r="J1073" s="55"/>
      <c r="K1073" s="25" t="str">
        <f ca="1">IFERROR(__xludf.DUMMYFUNCTION("""COMPUTED_VALUE"""),"Definir fecha")</f>
        <v>Definir fecha</v>
      </c>
      <c r="L1073" s="62"/>
      <c r="M1073" s="25"/>
      <c r="N1073" s="25"/>
      <c r="O1073" s="25">
        <f t="shared" si="0"/>
        <v>0</v>
      </c>
      <c r="P1073" s="25" t="str">
        <f t="shared" si="2"/>
        <v/>
      </c>
      <c r="Q1073" s="25" t="str">
        <f ca="1">IFERROR(__xludf.DUMMYFUNCTION("""COMPUTED_VALUE"""),"Sin defenir")</f>
        <v>Sin defenir</v>
      </c>
      <c r="R1073" s="25"/>
      <c r="S1073" s="55"/>
      <c r="T1073" s="56"/>
      <c r="U1073" s="25"/>
      <c r="V1073" s="25"/>
      <c r="W1073" s="25"/>
      <c r="X1073" s="25"/>
      <c r="Y1073" s="25"/>
      <c r="Z1073" s="25"/>
    </row>
    <row r="1074" spans="1:26" ht="52.5" customHeight="1" x14ac:dyDescent="0.25">
      <c r="A1074" s="25" t="str">
        <f ca="1">IFERROR(__xludf.DUMMYFUNCTION("""COMPUTED_VALUE"""),"Integ172")</f>
        <v>Integ172</v>
      </c>
      <c r="B1074" s="25"/>
      <c r="C1074" s="55"/>
      <c r="D1074" s="25" t="str">
        <f ca="1">IFERROR(__xludf.DUMMYFUNCTION("""COMPUTED_VALUE"""),"Integración_Social")</f>
        <v>Integración_Social</v>
      </c>
      <c r="E1074" s="25"/>
      <c r="F1074" s="25"/>
      <c r="G1074" s="25"/>
      <c r="H1074" s="25"/>
      <c r="I1074" s="25"/>
      <c r="J1074" s="55"/>
      <c r="K1074" s="25" t="str">
        <f ca="1">IFERROR(__xludf.DUMMYFUNCTION("""COMPUTED_VALUE"""),"Definir fecha")</f>
        <v>Definir fecha</v>
      </c>
      <c r="L1074" s="62"/>
      <c r="M1074" s="25"/>
      <c r="N1074" s="25"/>
      <c r="O1074" s="25">
        <f t="shared" si="0"/>
        <v>0</v>
      </c>
      <c r="P1074" s="25" t="str">
        <f t="shared" si="2"/>
        <v/>
      </c>
      <c r="Q1074" s="25" t="str">
        <f ca="1">IFERROR(__xludf.DUMMYFUNCTION("""COMPUTED_VALUE"""),"Sin defenir")</f>
        <v>Sin defenir</v>
      </c>
      <c r="R1074" s="25"/>
      <c r="S1074" s="55"/>
      <c r="T1074" s="56"/>
      <c r="U1074" s="25"/>
      <c r="V1074" s="25"/>
      <c r="W1074" s="25"/>
      <c r="X1074" s="25"/>
      <c r="Y1074" s="25"/>
      <c r="Z1074" s="25"/>
    </row>
    <row r="1075" spans="1:26" ht="52.5" customHeight="1" x14ac:dyDescent="0.25">
      <c r="A1075" s="25" t="str">
        <f ca="1">IFERROR(__xludf.DUMMYFUNCTION("""COMPUTED_VALUE"""),"Integ173")</f>
        <v>Integ173</v>
      </c>
      <c r="B1075" s="25"/>
      <c r="C1075" s="55"/>
      <c r="D1075" s="25" t="str">
        <f ca="1">IFERROR(__xludf.DUMMYFUNCTION("""COMPUTED_VALUE"""),"Integración_Social")</f>
        <v>Integración_Social</v>
      </c>
      <c r="E1075" s="25"/>
      <c r="F1075" s="25"/>
      <c r="G1075" s="25"/>
      <c r="H1075" s="25"/>
      <c r="I1075" s="25"/>
      <c r="J1075" s="55"/>
      <c r="K1075" s="25" t="str">
        <f ca="1">IFERROR(__xludf.DUMMYFUNCTION("""COMPUTED_VALUE"""),"Definir fecha")</f>
        <v>Definir fecha</v>
      </c>
      <c r="L1075" s="62"/>
      <c r="M1075" s="25"/>
      <c r="N1075" s="25"/>
      <c r="O1075" s="25">
        <f t="shared" si="0"/>
        <v>0</v>
      </c>
      <c r="P1075" s="25" t="str">
        <f t="shared" si="2"/>
        <v/>
      </c>
      <c r="Q1075" s="25" t="str">
        <f ca="1">IFERROR(__xludf.DUMMYFUNCTION("""COMPUTED_VALUE"""),"Sin defenir")</f>
        <v>Sin defenir</v>
      </c>
      <c r="R1075" s="25"/>
      <c r="S1075" s="55"/>
      <c r="T1075" s="56"/>
      <c r="U1075" s="25"/>
      <c r="V1075" s="25"/>
      <c r="W1075" s="25"/>
      <c r="X1075" s="25"/>
      <c r="Y1075" s="25"/>
      <c r="Z1075" s="25"/>
    </row>
    <row r="1076" spans="1:26" ht="52.5" customHeight="1" x14ac:dyDescent="0.25">
      <c r="A1076" s="25" t="str">
        <f ca="1">IFERROR(__xludf.DUMMYFUNCTION("""COMPUTED_VALUE"""),"Integ174")</f>
        <v>Integ174</v>
      </c>
      <c r="B1076" s="25"/>
      <c r="C1076" s="55"/>
      <c r="D1076" s="25" t="str">
        <f ca="1">IFERROR(__xludf.DUMMYFUNCTION("""COMPUTED_VALUE"""),"Integración_Social")</f>
        <v>Integración_Social</v>
      </c>
      <c r="E1076" s="25"/>
      <c r="F1076" s="25"/>
      <c r="G1076" s="25"/>
      <c r="H1076" s="25"/>
      <c r="I1076" s="25"/>
      <c r="J1076" s="55"/>
      <c r="K1076" s="25" t="str">
        <f ca="1">IFERROR(__xludf.DUMMYFUNCTION("""COMPUTED_VALUE"""),"Definir fecha")</f>
        <v>Definir fecha</v>
      </c>
      <c r="L1076" s="62"/>
      <c r="M1076" s="25"/>
      <c r="N1076" s="25"/>
      <c r="O1076" s="25">
        <f t="shared" si="0"/>
        <v>0</v>
      </c>
      <c r="P1076" s="25" t="str">
        <f t="shared" si="2"/>
        <v/>
      </c>
      <c r="Q1076" s="25" t="str">
        <f ca="1">IFERROR(__xludf.DUMMYFUNCTION("""COMPUTED_VALUE"""),"Sin defenir")</f>
        <v>Sin defenir</v>
      </c>
      <c r="R1076" s="25"/>
      <c r="S1076" s="55"/>
      <c r="T1076" s="56"/>
      <c r="U1076" s="25"/>
      <c r="V1076" s="25"/>
      <c r="W1076" s="25"/>
      <c r="X1076" s="25"/>
      <c r="Y1076" s="25"/>
      <c r="Z1076" s="25"/>
    </row>
    <row r="1077" spans="1:26" ht="52.5" customHeight="1" x14ac:dyDescent="0.25">
      <c r="A1077" s="25" t="str">
        <f ca="1">IFERROR(__xludf.DUMMYFUNCTION("""COMPUTED_VALUE"""),"Integ175")</f>
        <v>Integ175</v>
      </c>
      <c r="B1077" s="25"/>
      <c r="C1077" s="55"/>
      <c r="D1077" s="25" t="str">
        <f ca="1">IFERROR(__xludf.DUMMYFUNCTION("""COMPUTED_VALUE"""),"Integración_Social")</f>
        <v>Integración_Social</v>
      </c>
      <c r="E1077" s="25"/>
      <c r="F1077" s="25"/>
      <c r="G1077" s="25"/>
      <c r="H1077" s="25"/>
      <c r="I1077" s="25"/>
      <c r="J1077" s="55"/>
      <c r="K1077" s="25" t="str">
        <f ca="1">IFERROR(__xludf.DUMMYFUNCTION("""COMPUTED_VALUE"""),"Definir fecha")</f>
        <v>Definir fecha</v>
      </c>
      <c r="L1077" s="62"/>
      <c r="M1077" s="25"/>
      <c r="N1077" s="25"/>
      <c r="O1077" s="25">
        <f t="shared" si="0"/>
        <v>0</v>
      </c>
      <c r="P1077" s="25" t="str">
        <f t="shared" si="2"/>
        <v/>
      </c>
      <c r="Q1077" s="25" t="str">
        <f ca="1">IFERROR(__xludf.DUMMYFUNCTION("""COMPUTED_VALUE"""),"Sin defenir")</f>
        <v>Sin defenir</v>
      </c>
      <c r="R1077" s="25"/>
      <c r="S1077" s="55"/>
      <c r="T1077" s="56"/>
      <c r="U1077" s="25"/>
      <c r="V1077" s="25"/>
      <c r="W1077" s="25"/>
      <c r="X1077" s="25"/>
      <c r="Y1077" s="25"/>
      <c r="Z1077" s="25"/>
    </row>
    <row r="1078" spans="1:26" ht="52.5" customHeight="1" x14ac:dyDescent="0.25">
      <c r="A1078" s="25" t="str">
        <f ca="1">IFERROR(__xludf.DUMMYFUNCTION("""COMPUTED_VALUE"""),"Integ176")</f>
        <v>Integ176</v>
      </c>
      <c r="B1078" s="25"/>
      <c r="C1078" s="55"/>
      <c r="D1078" s="25" t="str">
        <f ca="1">IFERROR(__xludf.DUMMYFUNCTION("""COMPUTED_VALUE"""),"Integración_Social")</f>
        <v>Integración_Social</v>
      </c>
      <c r="E1078" s="25"/>
      <c r="F1078" s="25"/>
      <c r="G1078" s="25"/>
      <c r="H1078" s="25"/>
      <c r="I1078" s="25"/>
      <c r="J1078" s="55"/>
      <c r="K1078" s="25" t="str">
        <f ca="1">IFERROR(__xludf.DUMMYFUNCTION("""COMPUTED_VALUE"""),"Definir fecha")</f>
        <v>Definir fecha</v>
      </c>
      <c r="L1078" s="62"/>
      <c r="M1078" s="25"/>
      <c r="N1078" s="25"/>
      <c r="O1078" s="25">
        <f t="shared" si="0"/>
        <v>0</v>
      </c>
      <c r="P1078" s="25" t="str">
        <f t="shared" si="2"/>
        <v/>
      </c>
      <c r="Q1078" s="25" t="str">
        <f ca="1">IFERROR(__xludf.DUMMYFUNCTION("""COMPUTED_VALUE"""),"Sin defenir")</f>
        <v>Sin defenir</v>
      </c>
      <c r="R1078" s="25"/>
      <c r="S1078" s="55"/>
      <c r="T1078" s="56"/>
      <c r="U1078" s="25"/>
      <c r="V1078" s="25"/>
      <c r="W1078" s="25"/>
      <c r="X1078" s="25"/>
      <c r="Y1078" s="25"/>
      <c r="Z1078" s="25"/>
    </row>
    <row r="1079" spans="1:26" ht="52.5" customHeight="1" x14ac:dyDescent="0.25">
      <c r="A1079" s="25" t="str">
        <f ca="1">IFERROR(__xludf.DUMMYFUNCTION("""COMPUTED_VALUE"""),"Integ177")</f>
        <v>Integ177</v>
      </c>
      <c r="B1079" s="25"/>
      <c r="C1079" s="55"/>
      <c r="D1079" s="25" t="str">
        <f ca="1">IFERROR(__xludf.DUMMYFUNCTION("""COMPUTED_VALUE"""),"Integración_Social")</f>
        <v>Integración_Social</v>
      </c>
      <c r="E1079" s="25"/>
      <c r="F1079" s="25"/>
      <c r="G1079" s="25"/>
      <c r="H1079" s="25"/>
      <c r="I1079" s="25"/>
      <c r="J1079" s="55"/>
      <c r="K1079" s="25" t="str">
        <f ca="1">IFERROR(__xludf.DUMMYFUNCTION("""COMPUTED_VALUE"""),"Definir fecha")</f>
        <v>Definir fecha</v>
      </c>
      <c r="L1079" s="62"/>
      <c r="M1079" s="25"/>
      <c r="N1079" s="25"/>
      <c r="O1079" s="25">
        <f t="shared" si="0"/>
        <v>0</v>
      </c>
      <c r="P1079" s="25" t="str">
        <f t="shared" si="2"/>
        <v/>
      </c>
      <c r="Q1079" s="25" t="str">
        <f ca="1">IFERROR(__xludf.DUMMYFUNCTION("""COMPUTED_VALUE"""),"Sin defenir")</f>
        <v>Sin defenir</v>
      </c>
      <c r="R1079" s="25"/>
      <c r="S1079" s="55"/>
      <c r="T1079" s="56"/>
      <c r="U1079" s="25"/>
      <c r="V1079" s="25"/>
      <c r="W1079" s="25"/>
      <c r="X1079" s="25"/>
      <c r="Y1079" s="25"/>
      <c r="Z1079" s="25"/>
    </row>
    <row r="1080" spans="1:26" ht="52.5" customHeight="1" x14ac:dyDescent="0.25">
      <c r="A1080" s="25" t="str">
        <f ca="1">IFERROR(__xludf.DUMMYFUNCTION("""COMPUTED_VALUE"""),"Integ178")</f>
        <v>Integ178</v>
      </c>
      <c r="B1080" s="25"/>
      <c r="C1080" s="55"/>
      <c r="D1080" s="25" t="str">
        <f ca="1">IFERROR(__xludf.DUMMYFUNCTION("""COMPUTED_VALUE"""),"Integración_Social")</f>
        <v>Integración_Social</v>
      </c>
      <c r="E1080" s="25"/>
      <c r="F1080" s="25"/>
      <c r="G1080" s="25"/>
      <c r="H1080" s="25"/>
      <c r="I1080" s="25"/>
      <c r="J1080" s="55"/>
      <c r="K1080" s="25" t="str">
        <f ca="1">IFERROR(__xludf.DUMMYFUNCTION("""COMPUTED_VALUE"""),"Definir fecha")</f>
        <v>Definir fecha</v>
      </c>
      <c r="L1080" s="62"/>
      <c r="M1080" s="25"/>
      <c r="N1080" s="25"/>
      <c r="O1080" s="25">
        <f t="shared" si="0"/>
        <v>0</v>
      </c>
      <c r="P1080" s="25" t="str">
        <f t="shared" si="2"/>
        <v/>
      </c>
      <c r="Q1080" s="25" t="str">
        <f ca="1">IFERROR(__xludf.DUMMYFUNCTION("""COMPUTED_VALUE"""),"Sin defenir")</f>
        <v>Sin defenir</v>
      </c>
      <c r="R1080" s="25"/>
      <c r="S1080" s="55"/>
      <c r="T1080" s="56"/>
      <c r="U1080" s="25"/>
      <c r="V1080" s="25"/>
      <c r="W1080" s="25"/>
      <c r="X1080" s="25"/>
      <c r="Y1080" s="25"/>
      <c r="Z1080" s="25"/>
    </row>
    <row r="1081" spans="1:26" ht="52.5" customHeight="1" x14ac:dyDescent="0.25">
      <c r="A1081" s="25" t="str">
        <f ca="1">IFERROR(__xludf.DUMMYFUNCTION("""COMPUTED_VALUE"""),"Integ179")</f>
        <v>Integ179</v>
      </c>
      <c r="B1081" s="25"/>
      <c r="C1081" s="55"/>
      <c r="D1081" s="25" t="str">
        <f ca="1">IFERROR(__xludf.DUMMYFUNCTION("""COMPUTED_VALUE"""),"Integración_Social")</f>
        <v>Integración_Social</v>
      </c>
      <c r="E1081" s="25"/>
      <c r="F1081" s="25"/>
      <c r="G1081" s="25"/>
      <c r="H1081" s="25"/>
      <c r="I1081" s="25"/>
      <c r="J1081" s="55"/>
      <c r="K1081" s="25" t="str">
        <f ca="1">IFERROR(__xludf.DUMMYFUNCTION("""COMPUTED_VALUE"""),"Definir fecha")</f>
        <v>Definir fecha</v>
      </c>
      <c r="L1081" s="62"/>
      <c r="M1081" s="25"/>
      <c r="N1081" s="25"/>
      <c r="O1081" s="25">
        <f t="shared" si="0"/>
        <v>0</v>
      </c>
      <c r="P1081" s="25" t="str">
        <f t="shared" si="2"/>
        <v/>
      </c>
      <c r="Q1081" s="25" t="str">
        <f ca="1">IFERROR(__xludf.DUMMYFUNCTION("""COMPUTED_VALUE"""),"Sin defenir")</f>
        <v>Sin defenir</v>
      </c>
      <c r="R1081" s="25"/>
      <c r="S1081" s="55"/>
      <c r="T1081" s="56"/>
      <c r="U1081" s="25"/>
      <c r="V1081" s="25"/>
      <c r="W1081" s="25"/>
      <c r="X1081" s="25"/>
      <c r="Y1081" s="25"/>
      <c r="Z1081" s="25"/>
    </row>
    <row r="1082" spans="1:26" ht="52.5" customHeight="1" x14ac:dyDescent="0.25">
      <c r="A1082" s="25" t="str">
        <f ca="1">IFERROR(__xludf.DUMMYFUNCTION("""COMPUTED_VALUE"""),"Integ180")</f>
        <v>Integ180</v>
      </c>
      <c r="B1082" s="25"/>
      <c r="C1082" s="55"/>
      <c r="D1082" s="25" t="str">
        <f ca="1">IFERROR(__xludf.DUMMYFUNCTION("""COMPUTED_VALUE"""),"Integración_Social")</f>
        <v>Integración_Social</v>
      </c>
      <c r="E1082" s="25"/>
      <c r="F1082" s="25"/>
      <c r="G1082" s="25"/>
      <c r="H1082" s="25"/>
      <c r="I1082" s="25"/>
      <c r="J1082" s="55"/>
      <c r="K1082" s="25" t="str">
        <f ca="1">IFERROR(__xludf.DUMMYFUNCTION("""COMPUTED_VALUE"""),"Definir fecha")</f>
        <v>Definir fecha</v>
      </c>
      <c r="L1082" s="62"/>
      <c r="M1082" s="25"/>
      <c r="N1082" s="25"/>
      <c r="O1082" s="25">
        <f t="shared" si="0"/>
        <v>0</v>
      </c>
      <c r="P1082" s="25" t="str">
        <f t="shared" si="2"/>
        <v/>
      </c>
      <c r="Q1082" s="25" t="str">
        <f ca="1">IFERROR(__xludf.DUMMYFUNCTION("""COMPUTED_VALUE"""),"Sin defenir")</f>
        <v>Sin defenir</v>
      </c>
      <c r="R1082" s="25"/>
      <c r="S1082" s="55"/>
      <c r="T1082" s="56"/>
      <c r="U1082" s="25"/>
      <c r="V1082" s="25"/>
      <c r="W1082" s="25"/>
      <c r="X1082" s="25"/>
      <c r="Y1082" s="25"/>
      <c r="Z1082" s="25"/>
    </row>
    <row r="1083" spans="1:26" ht="52.5" customHeight="1" x14ac:dyDescent="0.25">
      <c r="A1083" s="25" t="str">
        <f ca="1">IFERROR(__xludf.DUMMYFUNCTION("""COMPUTED_VALUE"""),"Integ181")</f>
        <v>Integ181</v>
      </c>
      <c r="B1083" s="25"/>
      <c r="C1083" s="55"/>
      <c r="D1083" s="25" t="str">
        <f ca="1">IFERROR(__xludf.DUMMYFUNCTION("""COMPUTED_VALUE"""),"Integración_Social")</f>
        <v>Integración_Social</v>
      </c>
      <c r="E1083" s="25"/>
      <c r="F1083" s="25"/>
      <c r="G1083" s="25"/>
      <c r="H1083" s="25"/>
      <c r="I1083" s="25"/>
      <c r="J1083" s="55"/>
      <c r="K1083" s="25" t="str">
        <f ca="1">IFERROR(__xludf.DUMMYFUNCTION("""COMPUTED_VALUE"""),"Definir fecha")</f>
        <v>Definir fecha</v>
      </c>
      <c r="L1083" s="62"/>
      <c r="M1083" s="25"/>
      <c r="N1083" s="25"/>
      <c r="O1083" s="25">
        <f t="shared" si="0"/>
        <v>0</v>
      </c>
      <c r="P1083" s="25" t="str">
        <f t="shared" si="2"/>
        <v/>
      </c>
      <c r="Q1083" s="25" t="str">
        <f ca="1">IFERROR(__xludf.DUMMYFUNCTION("""COMPUTED_VALUE"""),"Sin defenir")</f>
        <v>Sin defenir</v>
      </c>
      <c r="R1083" s="25"/>
      <c r="S1083" s="55"/>
      <c r="T1083" s="56"/>
      <c r="U1083" s="25"/>
      <c r="V1083" s="25"/>
      <c r="W1083" s="25"/>
      <c r="X1083" s="25"/>
      <c r="Y1083" s="25"/>
      <c r="Z1083" s="25"/>
    </row>
    <row r="1084" spans="1:26" ht="52.5" customHeight="1" x14ac:dyDescent="0.25">
      <c r="A1084" s="25" t="str">
        <f ca="1">IFERROR(__xludf.DUMMYFUNCTION("""COMPUTED_VALUE"""),"Integ182")</f>
        <v>Integ182</v>
      </c>
      <c r="B1084" s="25"/>
      <c r="C1084" s="55"/>
      <c r="D1084" s="25" t="str">
        <f ca="1">IFERROR(__xludf.DUMMYFUNCTION("""COMPUTED_VALUE"""),"Integración_Social")</f>
        <v>Integración_Social</v>
      </c>
      <c r="E1084" s="25"/>
      <c r="F1084" s="25"/>
      <c r="G1084" s="25"/>
      <c r="H1084" s="25"/>
      <c r="I1084" s="25"/>
      <c r="J1084" s="55"/>
      <c r="K1084" s="25" t="str">
        <f ca="1">IFERROR(__xludf.DUMMYFUNCTION("""COMPUTED_VALUE"""),"Definir fecha")</f>
        <v>Definir fecha</v>
      </c>
      <c r="L1084" s="62"/>
      <c r="M1084" s="25"/>
      <c r="N1084" s="25"/>
      <c r="O1084" s="25">
        <f t="shared" si="0"/>
        <v>0</v>
      </c>
      <c r="P1084" s="25" t="str">
        <f t="shared" si="2"/>
        <v/>
      </c>
      <c r="Q1084" s="25" t="str">
        <f ca="1">IFERROR(__xludf.DUMMYFUNCTION("""COMPUTED_VALUE"""),"Sin defenir")</f>
        <v>Sin defenir</v>
      </c>
      <c r="R1084" s="25"/>
      <c r="S1084" s="55"/>
      <c r="T1084" s="56"/>
      <c r="U1084" s="25"/>
      <c r="V1084" s="25"/>
      <c r="W1084" s="25"/>
      <c r="X1084" s="25"/>
      <c r="Y1084" s="25"/>
      <c r="Z1084" s="25"/>
    </row>
    <row r="1085" spans="1:26" ht="52.5" customHeight="1" x14ac:dyDescent="0.25">
      <c r="A1085" s="25" t="str">
        <f ca="1">IFERROR(__xludf.DUMMYFUNCTION("""COMPUTED_VALUE"""),"Integ183")</f>
        <v>Integ183</v>
      </c>
      <c r="B1085" s="25"/>
      <c r="C1085" s="55"/>
      <c r="D1085" s="25" t="str">
        <f ca="1">IFERROR(__xludf.DUMMYFUNCTION("""COMPUTED_VALUE"""),"Integración_Social")</f>
        <v>Integración_Social</v>
      </c>
      <c r="E1085" s="25"/>
      <c r="F1085" s="25"/>
      <c r="G1085" s="25"/>
      <c r="H1085" s="25"/>
      <c r="I1085" s="25"/>
      <c r="J1085" s="55"/>
      <c r="K1085" s="25" t="str">
        <f ca="1">IFERROR(__xludf.DUMMYFUNCTION("""COMPUTED_VALUE"""),"Definir fecha")</f>
        <v>Definir fecha</v>
      </c>
      <c r="L1085" s="62"/>
      <c r="M1085" s="25"/>
      <c r="N1085" s="25"/>
      <c r="O1085" s="25">
        <f t="shared" si="0"/>
        <v>0</v>
      </c>
      <c r="P1085" s="25" t="str">
        <f t="shared" si="2"/>
        <v/>
      </c>
      <c r="Q1085" s="25" t="str">
        <f ca="1">IFERROR(__xludf.DUMMYFUNCTION("""COMPUTED_VALUE"""),"Sin defenir")</f>
        <v>Sin defenir</v>
      </c>
      <c r="R1085" s="25"/>
      <c r="S1085" s="55"/>
      <c r="T1085" s="56"/>
      <c r="U1085" s="25"/>
      <c r="V1085" s="25"/>
      <c r="W1085" s="25"/>
      <c r="X1085" s="25"/>
      <c r="Y1085" s="25"/>
      <c r="Z1085" s="25"/>
    </row>
    <row r="1086" spans="1:26" ht="52.5" customHeight="1" x14ac:dyDescent="0.25">
      <c r="A1086" s="25" t="str">
        <f ca="1">IFERROR(__xludf.DUMMYFUNCTION("""COMPUTED_VALUE"""),"Integ184")</f>
        <v>Integ184</v>
      </c>
      <c r="B1086" s="25"/>
      <c r="C1086" s="55"/>
      <c r="D1086" s="25" t="str">
        <f ca="1">IFERROR(__xludf.DUMMYFUNCTION("""COMPUTED_VALUE"""),"Integración_Social")</f>
        <v>Integración_Social</v>
      </c>
      <c r="E1086" s="25"/>
      <c r="F1086" s="25"/>
      <c r="G1086" s="25"/>
      <c r="H1086" s="25"/>
      <c r="I1086" s="25"/>
      <c r="J1086" s="55"/>
      <c r="K1086" s="25" t="str">
        <f ca="1">IFERROR(__xludf.DUMMYFUNCTION("""COMPUTED_VALUE"""),"Definir fecha")</f>
        <v>Definir fecha</v>
      </c>
      <c r="L1086" s="62"/>
      <c r="M1086" s="25"/>
      <c r="N1086" s="25"/>
      <c r="O1086" s="25">
        <f t="shared" si="0"/>
        <v>0</v>
      </c>
      <c r="P1086" s="25" t="str">
        <f t="shared" si="2"/>
        <v/>
      </c>
      <c r="Q1086" s="25" t="str">
        <f ca="1">IFERROR(__xludf.DUMMYFUNCTION("""COMPUTED_VALUE"""),"Sin defenir")</f>
        <v>Sin defenir</v>
      </c>
      <c r="R1086" s="25"/>
      <c r="S1086" s="55"/>
      <c r="T1086" s="56"/>
      <c r="U1086" s="25"/>
      <c r="V1086" s="25"/>
      <c r="W1086" s="25"/>
      <c r="X1086" s="25"/>
      <c r="Y1086" s="25"/>
      <c r="Z1086" s="25"/>
    </row>
    <row r="1087" spans="1:26" ht="52.5" customHeight="1" x14ac:dyDescent="0.25">
      <c r="A1087" s="25" t="str">
        <f ca="1">IFERROR(__xludf.DUMMYFUNCTION("""COMPUTED_VALUE"""),"Integ185")</f>
        <v>Integ185</v>
      </c>
      <c r="B1087" s="25"/>
      <c r="C1087" s="55"/>
      <c r="D1087" s="25" t="str">
        <f ca="1">IFERROR(__xludf.DUMMYFUNCTION("""COMPUTED_VALUE"""),"Integración_Social")</f>
        <v>Integración_Social</v>
      </c>
      <c r="E1087" s="25"/>
      <c r="F1087" s="25"/>
      <c r="G1087" s="25"/>
      <c r="H1087" s="25"/>
      <c r="I1087" s="25"/>
      <c r="J1087" s="55"/>
      <c r="K1087" s="25" t="str">
        <f ca="1">IFERROR(__xludf.DUMMYFUNCTION("""COMPUTED_VALUE"""),"Definir fecha")</f>
        <v>Definir fecha</v>
      </c>
      <c r="L1087" s="62"/>
      <c r="M1087" s="25"/>
      <c r="N1087" s="25"/>
      <c r="O1087" s="25">
        <f t="shared" si="0"/>
        <v>0</v>
      </c>
      <c r="P1087" s="25" t="str">
        <f t="shared" si="2"/>
        <v/>
      </c>
      <c r="Q1087" s="25" t="str">
        <f ca="1">IFERROR(__xludf.DUMMYFUNCTION("""COMPUTED_VALUE"""),"Sin defenir")</f>
        <v>Sin defenir</v>
      </c>
      <c r="R1087" s="25"/>
      <c r="S1087" s="55"/>
      <c r="T1087" s="56"/>
      <c r="U1087" s="25"/>
      <c r="V1087" s="25"/>
      <c r="W1087" s="25"/>
      <c r="X1087" s="25"/>
      <c r="Y1087" s="25"/>
      <c r="Z1087" s="25"/>
    </row>
    <row r="1088" spans="1:26" ht="52.5" customHeight="1" x14ac:dyDescent="0.25">
      <c r="A1088" s="25" t="str">
        <f ca="1">IFERROR(__xludf.DUMMYFUNCTION("""COMPUTED_VALUE"""),"Integ186")</f>
        <v>Integ186</v>
      </c>
      <c r="B1088" s="25"/>
      <c r="C1088" s="55"/>
      <c r="D1088" s="25" t="str">
        <f ca="1">IFERROR(__xludf.DUMMYFUNCTION("""COMPUTED_VALUE"""),"Integración_Social")</f>
        <v>Integración_Social</v>
      </c>
      <c r="E1088" s="25"/>
      <c r="F1088" s="25"/>
      <c r="G1088" s="25"/>
      <c r="H1088" s="25"/>
      <c r="I1088" s="25"/>
      <c r="J1088" s="55"/>
      <c r="K1088" s="25" t="str">
        <f ca="1">IFERROR(__xludf.DUMMYFUNCTION("""COMPUTED_VALUE"""),"Definir fecha")</f>
        <v>Definir fecha</v>
      </c>
      <c r="L1088" s="62"/>
      <c r="M1088" s="25"/>
      <c r="N1088" s="25"/>
      <c r="O1088" s="25">
        <f t="shared" si="0"/>
        <v>0</v>
      </c>
      <c r="P1088" s="25" t="str">
        <f t="shared" si="2"/>
        <v/>
      </c>
      <c r="Q1088" s="25" t="str">
        <f ca="1">IFERROR(__xludf.DUMMYFUNCTION("""COMPUTED_VALUE"""),"Sin defenir")</f>
        <v>Sin defenir</v>
      </c>
      <c r="R1088" s="25"/>
      <c r="S1088" s="55"/>
      <c r="T1088" s="56"/>
      <c r="U1088" s="25"/>
      <c r="V1088" s="25"/>
      <c r="W1088" s="25"/>
      <c r="X1088" s="25"/>
      <c r="Y1088" s="25"/>
      <c r="Z1088" s="25"/>
    </row>
    <row r="1089" spans="1:26" ht="52.5" customHeight="1" x14ac:dyDescent="0.25">
      <c r="A1089" s="25" t="str">
        <f ca="1">IFERROR(__xludf.DUMMYFUNCTION("""COMPUTED_VALUE"""),"Integ187")</f>
        <v>Integ187</v>
      </c>
      <c r="B1089" s="25"/>
      <c r="C1089" s="55"/>
      <c r="D1089" s="25" t="str">
        <f ca="1">IFERROR(__xludf.DUMMYFUNCTION("""COMPUTED_VALUE"""),"Integración_Social")</f>
        <v>Integración_Social</v>
      </c>
      <c r="E1089" s="25"/>
      <c r="F1089" s="25"/>
      <c r="G1089" s="25"/>
      <c r="H1089" s="25"/>
      <c r="I1089" s="25"/>
      <c r="J1089" s="55"/>
      <c r="K1089" s="25" t="str">
        <f ca="1">IFERROR(__xludf.DUMMYFUNCTION("""COMPUTED_VALUE"""),"Definir fecha")</f>
        <v>Definir fecha</v>
      </c>
      <c r="L1089" s="62"/>
      <c r="M1089" s="25"/>
      <c r="N1089" s="25"/>
      <c r="O1089" s="25">
        <f t="shared" si="0"/>
        <v>0</v>
      </c>
      <c r="P1089" s="25" t="str">
        <f t="shared" si="2"/>
        <v/>
      </c>
      <c r="Q1089" s="25" t="str">
        <f ca="1">IFERROR(__xludf.DUMMYFUNCTION("""COMPUTED_VALUE"""),"Sin defenir")</f>
        <v>Sin defenir</v>
      </c>
      <c r="R1089" s="25"/>
      <c r="S1089" s="55"/>
      <c r="T1089" s="56"/>
      <c r="U1089" s="25"/>
      <c r="V1089" s="25"/>
      <c r="W1089" s="25"/>
      <c r="X1089" s="25"/>
      <c r="Y1089" s="25"/>
      <c r="Z1089" s="25"/>
    </row>
    <row r="1090" spans="1:26" ht="52.5" customHeight="1" x14ac:dyDescent="0.25">
      <c r="A1090" s="25" t="str">
        <f ca="1">IFERROR(__xludf.DUMMYFUNCTION("""COMPUTED_VALUE"""),"Integ188")</f>
        <v>Integ188</v>
      </c>
      <c r="B1090" s="25"/>
      <c r="C1090" s="55"/>
      <c r="D1090" s="25" t="str">
        <f ca="1">IFERROR(__xludf.DUMMYFUNCTION("""COMPUTED_VALUE"""),"Integración_Social")</f>
        <v>Integración_Social</v>
      </c>
      <c r="E1090" s="25"/>
      <c r="F1090" s="25"/>
      <c r="G1090" s="25"/>
      <c r="H1090" s="25"/>
      <c r="I1090" s="25"/>
      <c r="J1090" s="55"/>
      <c r="K1090" s="25" t="str">
        <f ca="1">IFERROR(__xludf.DUMMYFUNCTION("""COMPUTED_VALUE"""),"Definir fecha")</f>
        <v>Definir fecha</v>
      </c>
      <c r="L1090" s="62"/>
      <c r="M1090" s="25"/>
      <c r="N1090" s="25"/>
      <c r="O1090" s="25">
        <f t="shared" si="0"/>
        <v>0</v>
      </c>
      <c r="P1090" s="25" t="str">
        <f t="shared" si="2"/>
        <v/>
      </c>
      <c r="Q1090" s="25" t="str">
        <f ca="1">IFERROR(__xludf.DUMMYFUNCTION("""COMPUTED_VALUE"""),"Sin defenir")</f>
        <v>Sin defenir</v>
      </c>
      <c r="R1090" s="25"/>
      <c r="S1090" s="55"/>
      <c r="T1090" s="56"/>
      <c r="U1090" s="25"/>
      <c r="V1090" s="25"/>
      <c r="W1090" s="25"/>
      <c r="X1090" s="25"/>
      <c r="Y1090" s="25"/>
      <c r="Z1090" s="25"/>
    </row>
    <row r="1091" spans="1:26" ht="52.5" customHeight="1" x14ac:dyDescent="0.25">
      <c r="A1091" s="25" t="str">
        <f ca="1">IFERROR(__xludf.DUMMYFUNCTION("""COMPUTED_VALUE"""),"Integ189")</f>
        <v>Integ189</v>
      </c>
      <c r="B1091" s="25"/>
      <c r="C1091" s="55"/>
      <c r="D1091" s="25" t="str">
        <f ca="1">IFERROR(__xludf.DUMMYFUNCTION("""COMPUTED_VALUE"""),"Integración_Social")</f>
        <v>Integración_Social</v>
      </c>
      <c r="E1091" s="25"/>
      <c r="F1091" s="25"/>
      <c r="G1091" s="25"/>
      <c r="H1091" s="25"/>
      <c r="I1091" s="25"/>
      <c r="J1091" s="55"/>
      <c r="K1091" s="25" t="str">
        <f ca="1">IFERROR(__xludf.DUMMYFUNCTION("""COMPUTED_VALUE"""),"Definir fecha")</f>
        <v>Definir fecha</v>
      </c>
      <c r="L1091" s="62"/>
      <c r="M1091" s="25"/>
      <c r="N1091" s="25"/>
      <c r="O1091" s="25">
        <f t="shared" si="0"/>
        <v>0</v>
      </c>
      <c r="P1091" s="25" t="str">
        <f t="shared" si="2"/>
        <v/>
      </c>
      <c r="Q1091" s="25" t="str">
        <f ca="1">IFERROR(__xludf.DUMMYFUNCTION("""COMPUTED_VALUE"""),"Sin defenir")</f>
        <v>Sin defenir</v>
      </c>
      <c r="R1091" s="25"/>
      <c r="S1091" s="55"/>
      <c r="T1091" s="56"/>
      <c r="U1091" s="25"/>
      <c r="V1091" s="25"/>
      <c r="W1091" s="25"/>
      <c r="X1091" s="25"/>
      <c r="Y1091" s="25"/>
      <c r="Z1091" s="25"/>
    </row>
    <row r="1092" spans="1:26" ht="52.5" customHeight="1" x14ac:dyDescent="0.25">
      <c r="A1092" s="25" t="str">
        <f ca="1">IFERROR(__xludf.DUMMYFUNCTION("""COMPUTED_VALUE"""),"Integ190")</f>
        <v>Integ190</v>
      </c>
      <c r="B1092" s="25"/>
      <c r="C1092" s="55"/>
      <c r="D1092" s="25" t="str">
        <f ca="1">IFERROR(__xludf.DUMMYFUNCTION("""COMPUTED_VALUE"""),"Integración_Social")</f>
        <v>Integración_Social</v>
      </c>
      <c r="E1092" s="25"/>
      <c r="F1092" s="25"/>
      <c r="G1092" s="25"/>
      <c r="H1092" s="25"/>
      <c r="I1092" s="25"/>
      <c r="J1092" s="55"/>
      <c r="K1092" s="25" t="str">
        <f ca="1">IFERROR(__xludf.DUMMYFUNCTION("""COMPUTED_VALUE"""),"Definir fecha")</f>
        <v>Definir fecha</v>
      </c>
      <c r="L1092" s="62"/>
      <c r="M1092" s="25"/>
      <c r="N1092" s="25"/>
      <c r="O1092" s="25">
        <f t="shared" si="0"/>
        <v>0</v>
      </c>
      <c r="P1092" s="25" t="str">
        <f t="shared" si="2"/>
        <v/>
      </c>
      <c r="Q1092" s="25" t="str">
        <f ca="1">IFERROR(__xludf.DUMMYFUNCTION("""COMPUTED_VALUE"""),"Sin defenir")</f>
        <v>Sin defenir</v>
      </c>
      <c r="R1092" s="25"/>
      <c r="S1092" s="55"/>
      <c r="T1092" s="56"/>
      <c r="U1092" s="25"/>
      <c r="V1092" s="25"/>
      <c r="W1092" s="25"/>
      <c r="X1092" s="25"/>
      <c r="Y1092" s="25"/>
      <c r="Z1092" s="25"/>
    </row>
    <row r="1093" spans="1:26" ht="52.5" customHeight="1" x14ac:dyDescent="0.25">
      <c r="A1093" s="25" t="str">
        <f ca="1">IFERROR(__xludf.DUMMYFUNCTION("""COMPUTED_VALUE"""),"Integ191")</f>
        <v>Integ191</v>
      </c>
      <c r="B1093" s="25"/>
      <c r="C1093" s="55"/>
      <c r="D1093" s="25" t="str">
        <f ca="1">IFERROR(__xludf.DUMMYFUNCTION("""COMPUTED_VALUE"""),"Integración_Social")</f>
        <v>Integración_Social</v>
      </c>
      <c r="E1093" s="25"/>
      <c r="F1093" s="25"/>
      <c r="G1093" s="25"/>
      <c r="H1093" s="25"/>
      <c r="I1093" s="25"/>
      <c r="J1093" s="55"/>
      <c r="K1093" s="25" t="str">
        <f ca="1">IFERROR(__xludf.DUMMYFUNCTION("""COMPUTED_VALUE"""),"Definir fecha")</f>
        <v>Definir fecha</v>
      </c>
      <c r="L1093" s="62"/>
      <c r="M1093" s="25"/>
      <c r="N1093" s="25"/>
      <c r="O1093" s="25">
        <f t="shared" si="0"/>
        <v>0</v>
      </c>
      <c r="P1093" s="25" t="str">
        <f t="shared" si="2"/>
        <v/>
      </c>
      <c r="Q1093" s="25" t="str">
        <f ca="1">IFERROR(__xludf.DUMMYFUNCTION("""COMPUTED_VALUE"""),"Sin defenir")</f>
        <v>Sin defenir</v>
      </c>
      <c r="R1093" s="25"/>
      <c r="S1093" s="55"/>
      <c r="T1093" s="56"/>
      <c r="U1093" s="25"/>
      <c r="V1093" s="25"/>
      <c r="W1093" s="25"/>
      <c r="X1093" s="25"/>
      <c r="Y1093" s="25"/>
      <c r="Z1093" s="25"/>
    </row>
    <row r="1094" spans="1:26" ht="52.5" customHeight="1" x14ac:dyDescent="0.25">
      <c r="A1094" s="25" t="str">
        <f ca="1">IFERROR(__xludf.DUMMYFUNCTION("""COMPUTED_VALUE"""),"Integ192")</f>
        <v>Integ192</v>
      </c>
      <c r="B1094" s="25"/>
      <c r="C1094" s="55"/>
      <c r="D1094" s="25" t="str">
        <f ca="1">IFERROR(__xludf.DUMMYFUNCTION("""COMPUTED_VALUE"""),"Integración_Social")</f>
        <v>Integración_Social</v>
      </c>
      <c r="E1094" s="25"/>
      <c r="F1094" s="25"/>
      <c r="G1094" s="25"/>
      <c r="H1094" s="25"/>
      <c r="I1094" s="25"/>
      <c r="J1094" s="55"/>
      <c r="K1094" s="25" t="str">
        <f ca="1">IFERROR(__xludf.DUMMYFUNCTION("""COMPUTED_VALUE"""),"Definir fecha")</f>
        <v>Definir fecha</v>
      </c>
      <c r="L1094" s="62"/>
      <c r="M1094" s="25"/>
      <c r="N1094" s="25"/>
      <c r="O1094" s="25">
        <f t="shared" si="0"/>
        <v>0</v>
      </c>
      <c r="P1094" s="25" t="str">
        <f t="shared" si="2"/>
        <v/>
      </c>
      <c r="Q1094" s="25" t="str">
        <f ca="1">IFERROR(__xludf.DUMMYFUNCTION("""COMPUTED_VALUE"""),"Sin defenir")</f>
        <v>Sin defenir</v>
      </c>
      <c r="R1094" s="25"/>
      <c r="S1094" s="55"/>
      <c r="T1094" s="56"/>
      <c r="U1094" s="25"/>
      <c r="V1094" s="25"/>
      <c r="W1094" s="25"/>
      <c r="X1094" s="25"/>
      <c r="Y1094" s="25"/>
      <c r="Z1094" s="25"/>
    </row>
    <row r="1095" spans="1:26" ht="52.5" customHeight="1" x14ac:dyDescent="0.25">
      <c r="A1095" s="25" t="str">
        <f ca="1">IFERROR(__xludf.DUMMYFUNCTION("""COMPUTED_VALUE"""),"Integ193")</f>
        <v>Integ193</v>
      </c>
      <c r="B1095" s="25"/>
      <c r="C1095" s="55"/>
      <c r="D1095" s="25" t="str">
        <f ca="1">IFERROR(__xludf.DUMMYFUNCTION("""COMPUTED_VALUE"""),"Integración_Social")</f>
        <v>Integración_Social</v>
      </c>
      <c r="E1095" s="25"/>
      <c r="F1095" s="25"/>
      <c r="G1095" s="25"/>
      <c r="H1095" s="25"/>
      <c r="I1095" s="25"/>
      <c r="J1095" s="55"/>
      <c r="K1095" s="25" t="str">
        <f ca="1">IFERROR(__xludf.DUMMYFUNCTION("""COMPUTED_VALUE"""),"Definir fecha")</f>
        <v>Definir fecha</v>
      </c>
      <c r="L1095" s="62"/>
      <c r="M1095" s="25"/>
      <c r="N1095" s="25"/>
      <c r="O1095" s="25">
        <f t="shared" si="0"/>
        <v>0</v>
      </c>
      <c r="P1095" s="25" t="str">
        <f t="shared" si="2"/>
        <v/>
      </c>
      <c r="Q1095" s="25" t="str">
        <f ca="1">IFERROR(__xludf.DUMMYFUNCTION("""COMPUTED_VALUE"""),"Sin defenir")</f>
        <v>Sin defenir</v>
      </c>
      <c r="R1095" s="25"/>
      <c r="S1095" s="55"/>
      <c r="T1095" s="56"/>
      <c r="U1095" s="25"/>
      <c r="V1095" s="25"/>
      <c r="W1095" s="25"/>
      <c r="X1095" s="25"/>
      <c r="Y1095" s="25"/>
      <c r="Z1095" s="25"/>
    </row>
    <row r="1096" spans="1:26" ht="52.5" customHeight="1" x14ac:dyDescent="0.25">
      <c r="A1096" s="25" t="str">
        <f ca="1">IFERROR(__xludf.DUMMYFUNCTION("""COMPUTED_VALUE"""),"Integ194")</f>
        <v>Integ194</v>
      </c>
      <c r="B1096" s="25"/>
      <c r="C1096" s="55"/>
      <c r="D1096" s="25" t="str">
        <f ca="1">IFERROR(__xludf.DUMMYFUNCTION("""COMPUTED_VALUE"""),"Integración_Social")</f>
        <v>Integración_Social</v>
      </c>
      <c r="E1096" s="25"/>
      <c r="F1096" s="25"/>
      <c r="G1096" s="25"/>
      <c r="H1096" s="25"/>
      <c r="I1096" s="25"/>
      <c r="J1096" s="55"/>
      <c r="K1096" s="25" t="str">
        <f ca="1">IFERROR(__xludf.DUMMYFUNCTION("""COMPUTED_VALUE"""),"Definir fecha")</f>
        <v>Definir fecha</v>
      </c>
      <c r="L1096" s="62"/>
      <c r="M1096" s="25"/>
      <c r="N1096" s="25"/>
      <c r="O1096" s="25">
        <f t="shared" si="0"/>
        <v>0</v>
      </c>
      <c r="P1096" s="25" t="str">
        <f t="shared" si="2"/>
        <v/>
      </c>
      <c r="Q1096" s="25" t="str">
        <f ca="1">IFERROR(__xludf.DUMMYFUNCTION("""COMPUTED_VALUE"""),"Sin defenir")</f>
        <v>Sin defenir</v>
      </c>
      <c r="R1096" s="25"/>
      <c r="S1096" s="55"/>
      <c r="T1096" s="56"/>
      <c r="U1096" s="25"/>
      <c r="V1096" s="25"/>
      <c r="W1096" s="25"/>
      <c r="X1096" s="25"/>
      <c r="Y1096" s="25"/>
      <c r="Z1096" s="25"/>
    </row>
    <row r="1097" spans="1:26" ht="52.5" customHeight="1" x14ac:dyDescent="0.25">
      <c r="A1097" s="25" t="str">
        <f ca="1">IFERROR(__xludf.DUMMYFUNCTION("""COMPUTED_VALUE"""),"Integ195")</f>
        <v>Integ195</v>
      </c>
      <c r="B1097" s="25"/>
      <c r="C1097" s="55"/>
      <c r="D1097" s="25" t="str">
        <f ca="1">IFERROR(__xludf.DUMMYFUNCTION("""COMPUTED_VALUE"""),"Integración_Social")</f>
        <v>Integración_Social</v>
      </c>
      <c r="E1097" s="25"/>
      <c r="F1097" s="25"/>
      <c r="G1097" s="25"/>
      <c r="H1097" s="25"/>
      <c r="I1097" s="25"/>
      <c r="J1097" s="55"/>
      <c r="K1097" s="25" t="str">
        <f ca="1">IFERROR(__xludf.DUMMYFUNCTION("""COMPUTED_VALUE"""),"Definir fecha")</f>
        <v>Definir fecha</v>
      </c>
      <c r="L1097" s="62"/>
      <c r="M1097" s="25"/>
      <c r="N1097" s="25"/>
      <c r="O1097" s="25">
        <f t="shared" si="0"/>
        <v>0</v>
      </c>
      <c r="P1097" s="25" t="str">
        <f t="shared" si="2"/>
        <v/>
      </c>
      <c r="Q1097" s="25" t="str">
        <f ca="1">IFERROR(__xludf.DUMMYFUNCTION("""COMPUTED_VALUE"""),"Sin defenir")</f>
        <v>Sin defenir</v>
      </c>
      <c r="R1097" s="25"/>
      <c r="S1097" s="55"/>
      <c r="T1097" s="56"/>
      <c r="U1097" s="25"/>
      <c r="V1097" s="25"/>
      <c r="W1097" s="25"/>
      <c r="X1097" s="25"/>
      <c r="Y1097" s="25"/>
      <c r="Z1097" s="25"/>
    </row>
    <row r="1098" spans="1:26" ht="52.5" customHeight="1" x14ac:dyDescent="0.25">
      <c r="A1098" s="25" t="str">
        <f ca="1">IFERROR(__xludf.DUMMYFUNCTION("""COMPUTED_VALUE"""),"Integ196")</f>
        <v>Integ196</v>
      </c>
      <c r="B1098" s="25"/>
      <c r="C1098" s="55"/>
      <c r="D1098" s="25" t="str">
        <f ca="1">IFERROR(__xludf.DUMMYFUNCTION("""COMPUTED_VALUE"""),"Integración_Social")</f>
        <v>Integración_Social</v>
      </c>
      <c r="E1098" s="25"/>
      <c r="F1098" s="25"/>
      <c r="G1098" s="25"/>
      <c r="H1098" s="25"/>
      <c r="I1098" s="25"/>
      <c r="J1098" s="55"/>
      <c r="K1098" s="25" t="str">
        <f ca="1">IFERROR(__xludf.DUMMYFUNCTION("""COMPUTED_VALUE"""),"Definir fecha")</f>
        <v>Definir fecha</v>
      </c>
      <c r="L1098" s="62"/>
      <c r="M1098" s="25"/>
      <c r="N1098" s="25"/>
      <c r="O1098" s="25">
        <f t="shared" si="0"/>
        <v>0</v>
      </c>
      <c r="P1098" s="25" t="str">
        <f t="shared" si="2"/>
        <v/>
      </c>
      <c r="Q1098" s="25" t="str">
        <f ca="1">IFERROR(__xludf.DUMMYFUNCTION("""COMPUTED_VALUE"""),"Sin defenir")</f>
        <v>Sin defenir</v>
      </c>
      <c r="R1098" s="25"/>
      <c r="S1098" s="55"/>
      <c r="T1098" s="56"/>
      <c r="U1098" s="25"/>
      <c r="V1098" s="25"/>
      <c r="W1098" s="25"/>
      <c r="X1098" s="25"/>
      <c r="Y1098" s="25"/>
      <c r="Z1098" s="25"/>
    </row>
    <row r="1099" spans="1:26" ht="52.5" customHeight="1" x14ac:dyDescent="0.25">
      <c r="A1099" s="25" t="str">
        <f ca="1">IFERROR(__xludf.DUMMYFUNCTION("""COMPUTED_VALUE"""),"Integ197")</f>
        <v>Integ197</v>
      </c>
      <c r="B1099" s="25"/>
      <c r="C1099" s="55"/>
      <c r="D1099" s="25" t="str">
        <f ca="1">IFERROR(__xludf.DUMMYFUNCTION("""COMPUTED_VALUE"""),"Integración_Social")</f>
        <v>Integración_Social</v>
      </c>
      <c r="E1099" s="25"/>
      <c r="F1099" s="25"/>
      <c r="G1099" s="25"/>
      <c r="H1099" s="25"/>
      <c r="I1099" s="25"/>
      <c r="J1099" s="55"/>
      <c r="K1099" s="25" t="str">
        <f ca="1">IFERROR(__xludf.DUMMYFUNCTION("""COMPUTED_VALUE"""),"Definir fecha")</f>
        <v>Definir fecha</v>
      </c>
      <c r="L1099" s="62"/>
      <c r="M1099" s="25"/>
      <c r="N1099" s="25"/>
      <c r="O1099" s="25">
        <f t="shared" si="0"/>
        <v>0</v>
      </c>
      <c r="P1099" s="25" t="str">
        <f t="shared" si="2"/>
        <v/>
      </c>
      <c r="Q1099" s="25" t="str">
        <f ca="1">IFERROR(__xludf.DUMMYFUNCTION("""COMPUTED_VALUE"""),"Sin defenir")</f>
        <v>Sin defenir</v>
      </c>
      <c r="R1099" s="25"/>
      <c r="S1099" s="55"/>
      <c r="T1099" s="56"/>
      <c r="U1099" s="25"/>
      <c r="V1099" s="25"/>
      <c r="W1099" s="25"/>
      <c r="X1099" s="25"/>
      <c r="Y1099" s="25"/>
      <c r="Z1099" s="25"/>
    </row>
    <row r="1100" spans="1:26" ht="52.5" customHeight="1" x14ac:dyDescent="0.25">
      <c r="A1100" s="25" t="str">
        <f ca="1">IFERROR(__xludf.DUMMYFUNCTION("""COMPUTED_VALUE"""),"Integ198")</f>
        <v>Integ198</v>
      </c>
      <c r="B1100" s="25"/>
      <c r="C1100" s="55"/>
      <c r="D1100" s="25" t="str">
        <f ca="1">IFERROR(__xludf.DUMMYFUNCTION("""COMPUTED_VALUE"""),"Integración_Social")</f>
        <v>Integración_Social</v>
      </c>
      <c r="E1100" s="25"/>
      <c r="F1100" s="25"/>
      <c r="G1100" s="25"/>
      <c r="H1100" s="25"/>
      <c r="I1100" s="25"/>
      <c r="J1100" s="55"/>
      <c r="K1100" s="25" t="str">
        <f ca="1">IFERROR(__xludf.DUMMYFUNCTION("""COMPUTED_VALUE"""),"Definir fecha")</f>
        <v>Definir fecha</v>
      </c>
      <c r="L1100" s="62"/>
      <c r="M1100" s="25"/>
      <c r="N1100" s="25"/>
      <c r="O1100" s="25">
        <f t="shared" si="0"/>
        <v>0</v>
      </c>
      <c r="P1100" s="25" t="str">
        <f t="shared" si="2"/>
        <v/>
      </c>
      <c r="Q1100" s="25" t="str">
        <f ca="1">IFERROR(__xludf.DUMMYFUNCTION("""COMPUTED_VALUE"""),"Sin defenir")</f>
        <v>Sin defenir</v>
      </c>
      <c r="R1100" s="25"/>
      <c r="S1100" s="55"/>
      <c r="T1100" s="56"/>
      <c r="U1100" s="25"/>
      <c r="V1100" s="25"/>
      <c r="W1100" s="25"/>
      <c r="X1100" s="25"/>
      <c r="Y1100" s="25"/>
      <c r="Z1100" s="25"/>
    </row>
    <row r="1101" spans="1:26" ht="52.5" customHeight="1" x14ac:dyDescent="0.25">
      <c r="A1101" s="25" t="str">
        <f ca="1">IFERROR(__xludf.DUMMYFUNCTION("""COMPUTED_VALUE"""),"Integ199")</f>
        <v>Integ199</v>
      </c>
      <c r="B1101" s="25"/>
      <c r="C1101" s="55"/>
      <c r="D1101" s="25" t="str">
        <f ca="1">IFERROR(__xludf.DUMMYFUNCTION("""COMPUTED_VALUE"""),"Integración_Social")</f>
        <v>Integración_Social</v>
      </c>
      <c r="E1101" s="25"/>
      <c r="F1101" s="25"/>
      <c r="G1101" s="25"/>
      <c r="H1101" s="25"/>
      <c r="I1101" s="25"/>
      <c r="J1101" s="55"/>
      <c r="K1101" s="25" t="str">
        <f ca="1">IFERROR(__xludf.DUMMYFUNCTION("""COMPUTED_VALUE"""),"Definir fecha")</f>
        <v>Definir fecha</v>
      </c>
      <c r="L1101" s="62"/>
      <c r="M1101" s="25"/>
      <c r="N1101" s="25"/>
      <c r="O1101" s="25">
        <f t="shared" si="0"/>
        <v>0</v>
      </c>
      <c r="P1101" s="25" t="str">
        <f t="shared" si="2"/>
        <v/>
      </c>
      <c r="Q1101" s="25" t="str">
        <f ca="1">IFERROR(__xludf.DUMMYFUNCTION("""COMPUTED_VALUE"""),"Sin defenir")</f>
        <v>Sin defenir</v>
      </c>
      <c r="R1101" s="25"/>
      <c r="S1101" s="55"/>
      <c r="T1101" s="56"/>
      <c r="U1101" s="25"/>
      <c r="V1101" s="25"/>
      <c r="W1101" s="25"/>
      <c r="X1101" s="25"/>
      <c r="Y1101" s="25"/>
      <c r="Z1101" s="25"/>
    </row>
    <row r="1102" spans="1:26" ht="52.5" customHeight="1" x14ac:dyDescent="0.25">
      <c r="A1102" s="25" t="str">
        <f ca="1">IFERROR(__xludf.DUMMYFUNCTION("""COMPUTED_VALUE"""),"Integ200")</f>
        <v>Integ200</v>
      </c>
      <c r="B1102" s="25"/>
      <c r="C1102" s="55"/>
      <c r="D1102" s="25" t="str">
        <f ca="1">IFERROR(__xludf.DUMMYFUNCTION("""COMPUTED_VALUE"""),"Integración_Social")</f>
        <v>Integración_Social</v>
      </c>
      <c r="E1102" s="25"/>
      <c r="F1102" s="25"/>
      <c r="G1102" s="25"/>
      <c r="H1102" s="25"/>
      <c r="I1102" s="25"/>
      <c r="J1102" s="55"/>
      <c r="K1102" s="25" t="str">
        <f ca="1">IFERROR(__xludf.DUMMYFUNCTION("""COMPUTED_VALUE"""),"Definir fecha")</f>
        <v>Definir fecha</v>
      </c>
      <c r="L1102" s="62"/>
      <c r="M1102" s="25"/>
      <c r="N1102" s="25"/>
      <c r="O1102" s="25">
        <f t="shared" si="0"/>
        <v>0</v>
      </c>
      <c r="P1102" s="25" t="str">
        <f t="shared" si="2"/>
        <v/>
      </c>
      <c r="Q1102" s="25" t="str">
        <f ca="1">IFERROR(__xludf.DUMMYFUNCTION("""COMPUTED_VALUE"""),"Sin defenir")</f>
        <v>Sin defenir</v>
      </c>
      <c r="R1102" s="25"/>
      <c r="S1102" s="55"/>
      <c r="T1102" s="56"/>
      <c r="U1102" s="25"/>
      <c r="V1102" s="25"/>
      <c r="W1102" s="25"/>
      <c r="X1102" s="25"/>
      <c r="Y1102" s="25"/>
      <c r="Z1102" s="25"/>
    </row>
    <row r="1103" spans="1:26" ht="52.5" customHeight="1" x14ac:dyDescent="0.25">
      <c r="A1103" s="25" t="str">
        <f ca="1">IFERROR(__xludf.DUMMYFUNCTION("""COMPUTED_VALUE"""),"Integ201")</f>
        <v>Integ201</v>
      </c>
      <c r="B1103" s="25"/>
      <c r="C1103" s="55"/>
      <c r="D1103" s="25" t="str">
        <f ca="1">IFERROR(__xludf.DUMMYFUNCTION("""COMPUTED_VALUE"""),"Integración_Social")</f>
        <v>Integración_Social</v>
      </c>
      <c r="E1103" s="25"/>
      <c r="F1103" s="25"/>
      <c r="G1103" s="25"/>
      <c r="H1103" s="25"/>
      <c r="I1103" s="25"/>
      <c r="J1103" s="55"/>
      <c r="K1103" s="25" t="str">
        <f ca="1">IFERROR(__xludf.DUMMYFUNCTION("""COMPUTED_VALUE"""),"Definir fecha")</f>
        <v>Definir fecha</v>
      </c>
      <c r="L1103" s="62"/>
      <c r="M1103" s="25"/>
      <c r="N1103" s="25"/>
      <c r="O1103" s="25">
        <f t="shared" si="0"/>
        <v>0</v>
      </c>
      <c r="P1103" s="25" t="str">
        <f t="shared" si="2"/>
        <v/>
      </c>
      <c r="Q1103" s="25" t="str">
        <f ca="1">IFERROR(__xludf.DUMMYFUNCTION("""COMPUTED_VALUE"""),"Sin defenir")</f>
        <v>Sin defenir</v>
      </c>
      <c r="R1103" s="25"/>
      <c r="S1103" s="55"/>
      <c r="T1103" s="56"/>
      <c r="U1103" s="25"/>
      <c r="V1103" s="25"/>
      <c r="W1103" s="25"/>
      <c r="X1103" s="25"/>
      <c r="Y1103" s="25"/>
      <c r="Z1103" s="25"/>
    </row>
    <row r="1104" spans="1:26" ht="52.5" customHeight="1" x14ac:dyDescent="0.25">
      <c r="A1104" s="25" t="str">
        <f ca="1">IFERROR(__xludf.DUMMYFUNCTION("""COMPUTED_VALUE"""),"Integ202")</f>
        <v>Integ202</v>
      </c>
      <c r="B1104" s="25"/>
      <c r="C1104" s="55"/>
      <c r="D1104" s="25" t="str">
        <f ca="1">IFERROR(__xludf.DUMMYFUNCTION("""COMPUTED_VALUE"""),"Integración_Social")</f>
        <v>Integración_Social</v>
      </c>
      <c r="E1104" s="25"/>
      <c r="F1104" s="25"/>
      <c r="G1104" s="25"/>
      <c r="H1104" s="25"/>
      <c r="I1104" s="25"/>
      <c r="J1104" s="55"/>
      <c r="K1104" s="25" t="str">
        <f ca="1">IFERROR(__xludf.DUMMYFUNCTION("""COMPUTED_VALUE"""),"Definir fecha")</f>
        <v>Definir fecha</v>
      </c>
      <c r="L1104" s="62"/>
      <c r="M1104" s="25"/>
      <c r="N1104" s="25"/>
      <c r="O1104" s="25">
        <f t="shared" si="0"/>
        <v>0</v>
      </c>
      <c r="P1104" s="25" t="str">
        <f t="shared" si="2"/>
        <v/>
      </c>
      <c r="Q1104" s="25" t="str">
        <f ca="1">IFERROR(__xludf.DUMMYFUNCTION("""COMPUTED_VALUE"""),"Sin defenir")</f>
        <v>Sin defenir</v>
      </c>
      <c r="R1104" s="25"/>
      <c r="S1104" s="55"/>
      <c r="T1104" s="56"/>
      <c r="U1104" s="25"/>
      <c r="V1104" s="25"/>
      <c r="W1104" s="25"/>
      <c r="X1104" s="25"/>
      <c r="Y1104" s="25"/>
      <c r="Z1104" s="25"/>
    </row>
    <row r="1105" spans="1:26" ht="52.5" customHeight="1" x14ac:dyDescent="0.25">
      <c r="A1105" s="25" t="str">
        <f ca="1">IFERROR(__xludf.DUMMYFUNCTION("""COMPUTED_VALUE"""),"Integ203")</f>
        <v>Integ203</v>
      </c>
      <c r="B1105" s="25"/>
      <c r="C1105" s="55"/>
      <c r="D1105" s="25" t="str">
        <f ca="1">IFERROR(__xludf.DUMMYFUNCTION("""COMPUTED_VALUE"""),"Integración_Social")</f>
        <v>Integración_Social</v>
      </c>
      <c r="E1105" s="25"/>
      <c r="F1105" s="25"/>
      <c r="G1105" s="25"/>
      <c r="H1105" s="25"/>
      <c r="I1105" s="25"/>
      <c r="J1105" s="55"/>
      <c r="K1105" s="25" t="str">
        <f ca="1">IFERROR(__xludf.DUMMYFUNCTION("""COMPUTED_VALUE"""),"Definir fecha")</f>
        <v>Definir fecha</v>
      </c>
      <c r="L1105" s="62"/>
      <c r="M1105" s="25"/>
      <c r="N1105" s="25"/>
      <c r="O1105" s="25">
        <f t="shared" si="0"/>
        <v>0</v>
      </c>
      <c r="P1105" s="25" t="str">
        <f t="shared" si="2"/>
        <v/>
      </c>
      <c r="Q1105" s="25" t="str">
        <f ca="1">IFERROR(__xludf.DUMMYFUNCTION("""COMPUTED_VALUE"""),"Sin defenir")</f>
        <v>Sin defenir</v>
      </c>
      <c r="R1105" s="25"/>
      <c r="S1105" s="55"/>
      <c r="T1105" s="56"/>
      <c r="U1105" s="25"/>
      <c r="V1105" s="25"/>
      <c r="W1105" s="25"/>
      <c r="X1105" s="25"/>
      <c r="Y1105" s="25"/>
      <c r="Z1105" s="25"/>
    </row>
    <row r="1106" spans="1:26" ht="52.5" customHeight="1" x14ac:dyDescent="0.25">
      <c r="A1106" s="25" t="str">
        <f ca="1">IFERROR(__xludf.DUMMYFUNCTION("""COMPUTED_VALUE"""),"Integ204")</f>
        <v>Integ204</v>
      </c>
      <c r="B1106" s="25"/>
      <c r="C1106" s="55"/>
      <c r="D1106" s="25" t="str">
        <f ca="1">IFERROR(__xludf.DUMMYFUNCTION("""COMPUTED_VALUE"""),"Integración_Social")</f>
        <v>Integración_Social</v>
      </c>
      <c r="E1106" s="25"/>
      <c r="F1106" s="25"/>
      <c r="G1106" s="25"/>
      <c r="H1106" s="25"/>
      <c r="I1106" s="25"/>
      <c r="J1106" s="55"/>
      <c r="K1106" s="25" t="str">
        <f ca="1">IFERROR(__xludf.DUMMYFUNCTION("""COMPUTED_VALUE"""),"Definir fecha")</f>
        <v>Definir fecha</v>
      </c>
      <c r="L1106" s="62"/>
      <c r="M1106" s="25"/>
      <c r="N1106" s="25"/>
      <c r="O1106" s="25">
        <f t="shared" si="0"/>
        <v>0</v>
      </c>
      <c r="P1106" s="25" t="str">
        <f t="shared" si="2"/>
        <v/>
      </c>
      <c r="Q1106" s="25" t="str">
        <f ca="1">IFERROR(__xludf.DUMMYFUNCTION("""COMPUTED_VALUE"""),"Sin defenir")</f>
        <v>Sin defenir</v>
      </c>
      <c r="R1106" s="25"/>
      <c r="S1106" s="55"/>
      <c r="T1106" s="56"/>
      <c r="U1106" s="25"/>
      <c r="V1106" s="25"/>
      <c r="W1106" s="25"/>
      <c r="X1106" s="25"/>
      <c r="Y1106" s="25"/>
      <c r="Z1106" s="25"/>
    </row>
    <row r="1107" spans="1:26" ht="52.5" customHeight="1" x14ac:dyDescent="0.25">
      <c r="A1107" s="25" t="str">
        <f ca="1">IFERROR(__xludf.DUMMYFUNCTION("""COMPUTED_VALUE"""),"Integ205")</f>
        <v>Integ205</v>
      </c>
      <c r="B1107" s="25"/>
      <c r="C1107" s="55"/>
      <c r="D1107" s="25" t="str">
        <f ca="1">IFERROR(__xludf.DUMMYFUNCTION("""COMPUTED_VALUE"""),"Integración_Social")</f>
        <v>Integración_Social</v>
      </c>
      <c r="E1107" s="25"/>
      <c r="F1107" s="25"/>
      <c r="G1107" s="25"/>
      <c r="H1107" s="25"/>
      <c r="I1107" s="25"/>
      <c r="J1107" s="55"/>
      <c r="K1107" s="25" t="str">
        <f ca="1">IFERROR(__xludf.DUMMYFUNCTION("""COMPUTED_VALUE"""),"Definir fecha")</f>
        <v>Definir fecha</v>
      </c>
      <c r="L1107" s="62"/>
      <c r="M1107" s="25"/>
      <c r="N1107" s="25"/>
      <c r="O1107" s="25">
        <f t="shared" si="0"/>
        <v>0</v>
      </c>
      <c r="P1107" s="25" t="str">
        <f t="shared" si="2"/>
        <v/>
      </c>
      <c r="Q1107" s="25" t="str">
        <f ca="1">IFERROR(__xludf.DUMMYFUNCTION("""COMPUTED_VALUE"""),"Sin defenir")</f>
        <v>Sin defenir</v>
      </c>
      <c r="R1107" s="25"/>
      <c r="S1107" s="55"/>
      <c r="T1107" s="56"/>
      <c r="U1107" s="25"/>
      <c r="V1107" s="25"/>
      <c r="W1107" s="25"/>
      <c r="X1107" s="25"/>
      <c r="Y1107" s="25"/>
      <c r="Z1107" s="25"/>
    </row>
    <row r="1108" spans="1:26" ht="52.5" customHeight="1" x14ac:dyDescent="0.25">
      <c r="A1108" s="25" t="str">
        <f ca="1">IFERROR(__xludf.DUMMYFUNCTION("""COMPUTED_VALUE"""),"Integ206")</f>
        <v>Integ206</v>
      </c>
      <c r="B1108" s="25"/>
      <c r="C1108" s="55"/>
      <c r="D1108" s="25" t="str">
        <f ca="1">IFERROR(__xludf.DUMMYFUNCTION("""COMPUTED_VALUE"""),"Integración_Social")</f>
        <v>Integración_Social</v>
      </c>
      <c r="E1108" s="25"/>
      <c r="F1108" s="25"/>
      <c r="G1108" s="25"/>
      <c r="H1108" s="25"/>
      <c r="I1108" s="25"/>
      <c r="J1108" s="55"/>
      <c r="K1108" s="25" t="str">
        <f ca="1">IFERROR(__xludf.DUMMYFUNCTION("""COMPUTED_VALUE"""),"Definir fecha")</f>
        <v>Definir fecha</v>
      </c>
      <c r="L1108" s="62"/>
      <c r="M1108" s="25"/>
      <c r="N1108" s="25"/>
      <c r="O1108" s="25">
        <f t="shared" si="0"/>
        <v>0</v>
      </c>
      <c r="P1108" s="25" t="str">
        <f t="shared" si="2"/>
        <v/>
      </c>
      <c r="Q1108" s="25" t="str">
        <f ca="1">IFERROR(__xludf.DUMMYFUNCTION("""COMPUTED_VALUE"""),"Sin defenir")</f>
        <v>Sin defenir</v>
      </c>
      <c r="R1108" s="25"/>
      <c r="S1108" s="55"/>
      <c r="T1108" s="56"/>
      <c r="U1108" s="25"/>
      <c r="V1108" s="25"/>
      <c r="W1108" s="25"/>
      <c r="X1108" s="25"/>
      <c r="Y1108" s="25"/>
      <c r="Z1108" s="25"/>
    </row>
    <row r="1109" spans="1:26" ht="52.5" customHeight="1" x14ac:dyDescent="0.25">
      <c r="A1109" s="25" t="str">
        <f ca="1">IFERROR(__xludf.DUMMYFUNCTION("""COMPUTED_VALUE"""),"Integ207")</f>
        <v>Integ207</v>
      </c>
      <c r="B1109" s="25"/>
      <c r="C1109" s="55"/>
      <c r="D1109" s="25" t="str">
        <f ca="1">IFERROR(__xludf.DUMMYFUNCTION("""COMPUTED_VALUE"""),"Integración_Social")</f>
        <v>Integración_Social</v>
      </c>
      <c r="E1109" s="25"/>
      <c r="F1109" s="25"/>
      <c r="G1109" s="25"/>
      <c r="H1109" s="25"/>
      <c r="I1109" s="25"/>
      <c r="J1109" s="55"/>
      <c r="K1109" s="25" t="str">
        <f ca="1">IFERROR(__xludf.DUMMYFUNCTION("""COMPUTED_VALUE"""),"Definir fecha")</f>
        <v>Definir fecha</v>
      </c>
      <c r="L1109" s="62"/>
      <c r="M1109" s="25"/>
      <c r="N1109" s="25"/>
      <c r="O1109" s="25">
        <f t="shared" si="0"/>
        <v>0</v>
      </c>
      <c r="P1109" s="25" t="str">
        <f t="shared" si="2"/>
        <v/>
      </c>
      <c r="Q1109" s="25" t="str">
        <f ca="1">IFERROR(__xludf.DUMMYFUNCTION("""COMPUTED_VALUE"""),"Sin defenir")</f>
        <v>Sin defenir</v>
      </c>
      <c r="R1109" s="25"/>
      <c r="S1109" s="55"/>
      <c r="T1109" s="56"/>
      <c r="U1109" s="25"/>
      <c r="V1109" s="25"/>
      <c r="W1109" s="25"/>
      <c r="X1109" s="25"/>
      <c r="Y1109" s="25"/>
      <c r="Z1109" s="25"/>
    </row>
    <row r="1110" spans="1:26" ht="52.5" customHeight="1" x14ac:dyDescent="0.25">
      <c r="A1110" s="25" t="str">
        <f ca="1">IFERROR(__xludf.DUMMYFUNCTION("""COMPUTED_VALUE"""),"Integ208")</f>
        <v>Integ208</v>
      </c>
      <c r="B1110" s="25"/>
      <c r="C1110" s="55"/>
      <c r="D1110" s="25" t="str">
        <f ca="1">IFERROR(__xludf.DUMMYFUNCTION("""COMPUTED_VALUE"""),"Integración_Social")</f>
        <v>Integración_Social</v>
      </c>
      <c r="E1110" s="25"/>
      <c r="F1110" s="25"/>
      <c r="G1110" s="25"/>
      <c r="H1110" s="25"/>
      <c r="I1110" s="25"/>
      <c r="J1110" s="55"/>
      <c r="K1110" s="25" t="str">
        <f ca="1">IFERROR(__xludf.DUMMYFUNCTION("""COMPUTED_VALUE"""),"Definir fecha")</f>
        <v>Definir fecha</v>
      </c>
      <c r="L1110" s="62"/>
      <c r="M1110" s="25"/>
      <c r="N1110" s="25"/>
      <c r="O1110" s="25">
        <f t="shared" si="0"/>
        <v>0</v>
      </c>
      <c r="P1110" s="25" t="str">
        <f t="shared" si="2"/>
        <v/>
      </c>
      <c r="Q1110" s="25" t="str">
        <f ca="1">IFERROR(__xludf.DUMMYFUNCTION("""COMPUTED_VALUE"""),"Sin defenir")</f>
        <v>Sin defenir</v>
      </c>
      <c r="R1110" s="25"/>
      <c r="S1110" s="55"/>
      <c r="T1110" s="56"/>
      <c r="U1110" s="25"/>
      <c r="V1110" s="25"/>
      <c r="W1110" s="25"/>
      <c r="X1110" s="25"/>
      <c r="Y1110" s="25"/>
      <c r="Z1110" s="25"/>
    </row>
    <row r="1111" spans="1:26" ht="52.5" customHeight="1" x14ac:dyDescent="0.25">
      <c r="A1111" s="25" t="str">
        <f ca="1">IFERROR(__xludf.DUMMYFUNCTION("""COMPUTED_VALUE"""),"Integ209")</f>
        <v>Integ209</v>
      </c>
      <c r="B1111" s="25"/>
      <c r="C1111" s="55"/>
      <c r="D1111" s="25" t="str">
        <f ca="1">IFERROR(__xludf.DUMMYFUNCTION("""COMPUTED_VALUE"""),"Integración_Social")</f>
        <v>Integración_Social</v>
      </c>
      <c r="E1111" s="25"/>
      <c r="F1111" s="25"/>
      <c r="G1111" s="25"/>
      <c r="H1111" s="25"/>
      <c r="I1111" s="25"/>
      <c r="J1111" s="55"/>
      <c r="K1111" s="25" t="str">
        <f ca="1">IFERROR(__xludf.DUMMYFUNCTION("""COMPUTED_VALUE"""),"Definir fecha")</f>
        <v>Definir fecha</v>
      </c>
      <c r="L1111" s="62"/>
      <c r="M1111" s="25"/>
      <c r="N1111" s="25"/>
      <c r="O1111" s="25">
        <f t="shared" si="0"/>
        <v>0</v>
      </c>
      <c r="P1111" s="25" t="str">
        <f t="shared" si="2"/>
        <v/>
      </c>
      <c r="Q1111" s="25" t="str">
        <f ca="1">IFERROR(__xludf.DUMMYFUNCTION("""COMPUTED_VALUE"""),"Sin defenir")</f>
        <v>Sin defenir</v>
      </c>
      <c r="R1111" s="25"/>
      <c r="S1111" s="55"/>
      <c r="T1111" s="56"/>
      <c r="U1111" s="25"/>
      <c r="V1111" s="25"/>
      <c r="W1111" s="25"/>
      <c r="X1111" s="25"/>
      <c r="Y1111" s="25"/>
      <c r="Z1111" s="25"/>
    </row>
    <row r="1112" spans="1:26" ht="52.5" customHeight="1" x14ac:dyDescent="0.25">
      <c r="A1112" s="25" t="str">
        <f ca="1">IFERROR(__xludf.DUMMYFUNCTION("""COMPUTED_VALUE"""),"Integ210")</f>
        <v>Integ210</v>
      </c>
      <c r="B1112" s="25"/>
      <c r="C1112" s="55"/>
      <c r="D1112" s="25" t="str">
        <f ca="1">IFERROR(__xludf.DUMMYFUNCTION("""COMPUTED_VALUE"""),"Integración_Social")</f>
        <v>Integración_Social</v>
      </c>
      <c r="E1112" s="25"/>
      <c r="F1112" s="25"/>
      <c r="G1112" s="25"/>
      <c r="H1112" s="25"/>
      <c r="I1112" s="25"/>
      <c r="J1112" s="55"/>
      <c r="K1112" s="25" t="str">
        <f ca="1">IFERROR(__xludf.DUMMYFUNCTION("""COMPUTED_VALUE"""),"Definir fecha")</f>
        <v>Definir fecha</v>
      </c>
      <c r="L1112" s="62"/>
      <c r="M1112" s="25"/>
      <c r="N1112" s="25"/>
      <c r="O1112" s="25">
        <f t="shared" si="0"/>
        <v>0</v>
      </c>
      <c r="P1112" s="25" t="str">
        <f t="shared" si="2"/>
        <v/>
      </c>
      <c r="Q1112" s="25" t="str">
        <f ca="1">IFERROR(__xludf.DUMMYFUNCTION("""COMPUTED_VALUE"""),"Sin defenir")</f>
        <v>Sin defenir</v>
      </c>
      <c r="R1112" s="25"/>
      <c r="S1112" s="55"/>
      <c r="T1112" s="56"/>
      <c r="U1112" s="25"/>
      <c r="V1112" s="25"/>
      <c r="W1112" s="25"/>
      <c r="X1112" s="25"/>
      <c r="Y1112" s="25"/>
      <c r="Z1112" s="25"/>
    </row>
    <row r="1113" spans="1:26" ht="52.5" customHeight="1" x14ac:dyDescent="0.25">
      <c r="A1113" s="25" t="str">
        <f ca="1">IFERROR(__xludf.DUMMYFUNCTION("""COMPUTED_VALUE"""),"Integ211")</f>
        <v>Integ211</v>
      </c>
      <c r="B1113" s="25"/>
      <c r="C1113" s="55"/>
      <c r="D1113" s="25" t="str">
        <f ca="1">IFERROR(__xludf.DUMMYFUNCTION("""COMPUTED_VALUE"""),"Integración_Social")</f>
        <v>Integración_Social</v>
      </c>
      <c r="E1113" s="25"/>
      <c r="F1113" s="25"/>
      <c r="G1113" s="25"/>
      <c r="H1113" s="25"/>
      <c r="I1113" s="25"/>
      <c r="J1113" s="55"/>
      <c r="K1113" s="25" t="str">
        <f ca="1">IFERROR(__xludf.DUMMYFUNCTION("""COMPUTED_VALUE"""),"Definir fecha")</f>
        <v>Definir fecha</v>
      </c>
      <c r="L1113" s="62"/>
      <c r="M1113" s="25"/>
      <c r="N1113" s="25"/>
      <c r="O1113" s="25">
        <f t="shared" si="0"/>
        <v>0</v>
      </c>
      <c r="P1113" s="25" t="str">
        <f t="shared" si="2"/>
        <v/>
      </c>
      <c r="Q1113" s="25" t="str">
        <f ca="1">IFERROR(__xludf.DUMMYFUNCTION("""COMPUTED_VALUE"""),"Sin defenir")</f>
        <v>Sin defenir</v>
      </c>
      <c r="R1113" s="25"/>
      <c r="S1113" s="55"/>
      <c r="T1113" s="56"/>
      <c r="U1113" s="25"/>
      <c r="V1113" s="25"/>
      <c r="W1113" s="25"/>
      <c r="X1113" s="25"/>
      <c r="Y1113" s="25"/>
      <c r="Z1113" s="25"/>
    </row>
    <row r="1114" spans="1:26" ht="52.5" customHeight="1" x14ac:dyDescent="0.25">
      <c r="A1114" s="25" t="str">
        <f ca="1">IFERROR(__xludf.DUMMYFUNCTION("""COMPUTED_VALUE"""),"Integ212")</f>
        <v>Integ212</v>
      </c>
      <c r="B1114" s="25"/>
      <c r="C1114" s="55"/>
      <c r="D1114" s="25" t="str">
        <f ca="1">IFERROR(__xludf.DUMMYFUNCTION("""COMPUTED_VALUE"""),"Integración_Social")</f>
        <v>Integración_Social</v>
      </c>
      <c r="E1114" s="25"/>
      <c r="F1114" s="25"/>
      <c r="G1114" s="25"/>
      <c r="H1114" s="25"/>
      <c r="I1114" s="25"/>
      <c r="J1114" s="55"/>
      <c r="K1114" s="25" t="str">
        <f ca="1">IFERROR(__xludf.DUMMYFUNCTION("""COMPUTED_VALUE"""),"Definir fecha")</f>
        <v>Definir fecha</v>
      </c>
      <c r="L1114" s="62"/>
      <c r="M1114" s="25"/>
      <c r="N1114" s="25"/>
      <c r="O1114" s="25">
        <f t="shared" si="0"/>
        <v>0</v>
      </c>
      <c r="P1114" s="25" t="str">
        <f t="shared" si="2"/>
        <v/>
      </c>
      <c r="Q1114" s="25" t="str">
        <f ca="1">IFERROR(__xludf.DUMMYFUNCTION("""COMPUTED_VALUE"""),"Sin defenir")</f>
        <v>Sin defenir</v>
      </c>
      <c r="R1114" s="25"/>
      <c r="S1114" s="55"/>
      <c r="T1114" s="56"/>
      <c r="U1114" s="25"/>
      <c r="V1114" s="25"/>
      <c r="W1114" s="25"/>
      <c r="X1114" s="25"/>
      <c r="Y1114" s="25"/>
      <c r="Z1114" s="25"/>
    </row>
    <row r="1115" spans="1:26" ht="52.5" customHeight="1" x14ac:dyDescent="0.25">
      <c r="A1115" s="25" t="str">
        <f ca="1">IFERROR(__xludf.DUMMYFUNCTION("""COMPUTED_VALUE"""),"Integ213")</f>
        <v>Integ213</v>
      </c>
      <c r="B1115" s="25"/>
      <c r="C1115" s="55"/>
      <c r="D1115" s="25" t="str">
        <f ca="1">IFERROR(__xludf.DUMMYFUNCTION("""COMPUTED_VALUE"""),"Integración_Social")</f>
        <v>Integración_Social</v>
      </c>
      <c r="E1115" s="25"/>
      <c r="F1115" s="25"/>
      <c r="G1115" s="25"/>
      <c r="H1115" s="25"/>
      <c r="I1115" s="25"/>
      <c r="J1115" s="55"/>
      <c r="K1115" s="25" t="str">
        <f ca="1">IFERROR(__xludf.DUMMYFUNCTION("""COMPUTED_VALUE"""),"Definir fecha")</f>
        <v>Definir fecha</v>
      </c>
      <c r="L1115" s="62"/>
      <c r="M1115" s="25"/>
      <c r="N1115" s="25"/>
      <c r="O1115" s="25">
        <f t="shared" si="0"/>
        <v>0</v>
      </c>
      <c r="P1115" s="25" t="str">
        <f t="shared" si="2"/>
        <v/>
      </c>
      <c r="Q1115" s="25" t="str">
        <f ca="1">IFERROR(__xludf.DUMMYFUNCTION("""COMPUTED_VALUE"""),"Sin defenir")</f>
        <v>Sin defenir</v>
      </c>
      <c r="R1115" s="25"/>
      <c r="S1115" s="55"/>
      <c r="T1115" s="56"/>
      <c r="U1115" s="25"/>
      <c r="V1115" s="25"/>
      <c r="W1115" s="25"/>
      <c r="X1115" s="25"/>
      <c r="Y1115" s="25"/>
      <c r="Z1115" s="25"/>
    </row>
    <row r="1116" spans="1:26" ht="52.5" customHeight="1" x14ac:dyDescent="0.25">
      <c r="A1116" s="25" t="str">
        <f ca="1">IFERROR(__xludf.DUMMYFUNCTION("""COMPUTED_VALUE"""),"Integ214")</f>
        <v>Integ214</v>
      </c>
      <c r="B1116" s="25"/>
      <c r="C1116" s="55"/>
      <c r="D1116" s="25" t="str">
        <f ca="1">IFERROR(__xludf.DUMMYFUNCTION("""COMPUTED_VALUE"""),"Integración_Social")</f>
        <v>Integración_Social</v>
      </c>
      <c r="E1116" s="25"/>
      <c r="F1116" s="25"/>
      <c r="G1116" s="25"/>
      <c r="H1116" s="25"/>
      <c r="I1116" s="25"/>
      <c r="J1116" s="55"/>
      <c r="K1116" s="25" t="str">
        <f ca="1">IFERROR(__xludf.DUMMYFUNCTION("""COMPUTED_VALUE"""),"Definir fecha")</f>
        <v>Definir fecha</v>
      </c>
      <c r="L1116" s="62"/>
      <c r="M1116" s="25"/>
      <c r="N1116" s="25"/>
      <c r="O1116" s="25">
        <f t="shared" si="0"/>
        <v>0</v>
      </c>
      <c r="P1116" s="25" t="str">
        <f t="shared" si="2"/>
        <v/>
      </c>
      <c r="Q1116" s="25" t="str">
        <f ca="1">IFERROR(__xludf.DUMMYFUNCTION("""COMPUTED_VALUE"""),"Sin defenir")</f>
        <v>Sin defenir</v>
      </c>
      <c r="R1116" s="25"/>
      <c r="S1116" s="55"/>
      <c r="T1116" s="56"/>
      <c r="U1116" s="25"/>
      <c r="V1116" s="25"/>
      <c r="W1116" s="25"/>
      <c r="X1116" s="25"/>
      <c r="Y1116" s="25"/>
      <c r="Z1116" s="25"/>
    </row>
    <row r="1117" spans="1:26" ht="52.5" customHeight="1" x14ac:dyDescent="0.25">
      <c r="A1117" s="25" t="str">
        <f ca="1">IFERROR(__xludf.DUMMYFUNCTION("""COMPUTED_VALUE"""),"Integ215")</f>
        <v>Integ215</v>
      </c>
      <c r="B1117" s="25"/>
      <c r="C1117" s="55"/>
      <c r="D1117" s="25" t="str">
        <f ca="1">IFERROR(__xludf.DUMMYFUNCTION("""COMPUTED_VALUE"""),"Integración_Social")</f>
        <v>Integración_Social</v>
      </c>
      <c r="E1117" s="25"/>
      <c r="F1117" s="25"/>
      <c r="G1117" s="25"/>
      <c r="H1117" s="25"/>
      <c r="I1117" s="25"/>
      <c r="J1117" s="55"/>
      <c r="K1117" s="25" t="str">
        <f ca="1">IFERROR(__xludf.DUMMYFUNCTION("""COMPUTED_VALUE"""),"Definir fecha")</f>
        <v>Definir fecha</v>
      </c>
      <c r="L1117" s="62"/>
      <c r="M1117" s="25"/>
      <c r="N1117" s="25"/>
      <c r="O1117" s="25">
        <f t="shared" si="0"/>
        <v>0</v>
      </c>
      <c r="P1117" s="25" t="str">
        <f t="shared" si="2"/>
        <v/>
      </c>
      <c r="Q1117" s="25" t="str">
        <f ca="1">IFERROR(__xludf.DUMMYFUNCTION("""COMPUTED_VALUE"""),"Sin defenir")</f>
        <v>Sin defenir</v>
      </c>
      <c r="R1117" s="25"/>
      <c r="S1117" s="55"/>
      <c r="T1117" s="56"/>
      <c r="U1117" s="25"/>
      <c r="V1117" s="25"/>
      <c r="W1117" s="25"/>
      <c r="X1117" s="25"/>
      <c r="Y1117" s="25"/>
      <c r="Z1117" s="25"/>
    </row>
    <row r="1118" spans="1:26" ht="52.5" customHeight="1" x14ac:dyDescent="0.25">
      <c r="A1118" s="25" t="str">
        <f ca="1">IFERROR(__xludf.DUMMYFUNCTION("""COMPUTED_VALUE"""),"Integ216")</f>
        <v>Integ216</v>
      </c>
      <c r="B1118" s="25"/>
      <c r="C1118" s="55"/>
      <c r="D1118" s="25" t="str">
        <f ca="1">IFERROR(__xludf.DUMMYFUNCTION("""COMPUTED_VALUE"""),"Integración_Social")</f>
        <v>Integración_Social</v>
      </c>
      <c r="E1118" s="25"/>
      <c r="F1118" s="25"/>
      <c r="G1118" s="25"/>
      <c r="H1118" s="25"/>
      <c r="I1118" s="25"/>
      <c r="J1118" s="55"/>
      <c r="K1118" s="25" t="str">
        <f ca="1">IFERROR(__xludf.DUMMYFUNCTION("""COMPUTED_VALUE"""),"Definir fecha")</f>
        <v>Definir fecha</v>
      </c>
      <c r="L1118" s="62"/>
      <c r="M1118" s="25"/>
      <c r="N1118" s="25"/>
      <c r="O1118" s="25">
        <f t="shared" si="0"/>
        <v>0</v>
      </c>
      <c r="P1118" s="25" t="str">
        <f t="shared" si="2"/>
        <v/>
      </c>
      <c r="Q1118" s="25" t="str">
        <f ca="1">IFERROR(__xludf.DUMMYFUNCTION("""COMPUTED_VALUE"""),"Sin defenir")</f>
        <v>Sin defenir</v>
      </c>
      <c r="R1118" s="25"/>
      <c r="S1118" s="55"/>
      <c r="T1118" s="56"/>
      <c r="U1118" s="25"/>
      <c r="V1118" s="25"/>
      <c r="W1118" s="25"/>
      <c r="X1118" s="25"/>
      <c r="Y1118" s="25"/>
      <c r="Z1118" s="25"/>
    </row>
    <row r="1119" spans="1:26" ht="52.5" customHeight="1" x14ac:dyDescent="0.25">
      <c r="A1119" s="25" t="str">
        <f ca="1">IFERROR(__xludf.DUMMYFUNCTION("""COMPUTED_VALUE"""),"Integ217")</f>
        <v>Integ217</v>
      </c>
      <c r="B1119" s="25"/>
      <c r="C1119" s="55"/>
      <c r="D1119" s="25" t="str">
        <f ca="1">IFERROR(__xludf.DUMMYFUNCTION("""COMPUTED_VALUE"""),"Integración_Social")</f>
        <v>Integración_Social</v>
      </c>
      <c r="E1119" s="25"/>
      <c r="F1119" s="25"/>
      <c r="G1119" s="25"/>
      <c r="H1119" s="25"/>
      <c r="I1119" s="25"/>
      <c r="J1119" s="55"/>
      <c r="K1119" s="25" t="str">
        <f ca="1">IFERROR(__xludf.DUMMYFUNCTION("""COMPUTED_VALUE"""),"Definir fecha")</f>
        <v>Definir fecha</v>
      </c>
      <c r="L1119" s="62"/>
      <c r="M1119" s="25"/>
      <c r="N1119" s="25"/>
      <c r="O1119" s="25">
        <f t="shared" si="0"/>
        <v>0</v>
      </c>
      <c r="P1119" s="25" t="str">
        <f t="shared" si="2"/>
        <v/>
      </c>
      <c r="Q1119" s="25" t="str">
        <f ca="1">IFERROR(__xludf.DUMMYFUNCTION("""COMPUTED_VALUE"""),"Sin defenir")</f>
        <v>Sin defenir</v>
      </c>
      <c r="R1119" s="25"/>
      <c r="S1119" s="55"/>
      <c r="T1119" s="56"/>
      <c r="U1119" s="25"/>
      <c r="V1119" s="25"/>
      <c r="W1119" s="25"/>
      <c r="X1119" s="25"/>
      <c r="Y1119" s="25"/>
      <c r="Z1119" s="25"/>
    </row>
    <row r="1120" spans="1:26" ht="52.5" customHeight="1" x14ac:dyDescent="0.25">
      <c r="A1120" s="25" t="str">
        <f ca="1">IFERROR(__xludf.DUMMYFUNCTION("""COMPUTED_VALUE"""),"Integ218")</f>
        <v>Integ218</v>
      </c>
      <c r="B1120" s="25"/>
      <c r="C1120" s="55"/>
      <c r="D1120" s="25" t="str">
        <f ca="1">IFERROR(__xludf.DUMMYFUNCTION("""COMPUTED_VALUE"""),"Integración_Social")</f>
        <v>Integración_Social</v>
      </c>
      <c r="E1120" s="25"/>
      <c r="F1120" s="25"/>
      <c r="G1120" s="25"/>
      <c r="H1120" s="25"/>
      <c r="I1120" s="25"/>
      <c r="J1120" s="55"/>
      <c r="K1120" s="25" t="str">
        <f ca="1">IFERROR(__xludf.DUMMYFUNCTION("""COMPUTED_VALUE"""),"Definir fecha")</f>
        <v>Definir fecha</v>
      </c>
      <c r="L1120" s="62"/>
      <c r="M1120" s="25"/>
      <c r="N1120" s="25"/>
      <c r="O1120" s="25">
        <f t="shared" si="0"/>
        <v>0</v>
      </c>
      <c r="P1120" s="25" t="str">
        <f t="shared" si="2"/>
        <v/>
      </c>
      <c r="Q1120" s="25" t="str">
        <f ca="1">IFERROR(__xludf.DUMMYFUNCTION("""COMPUTED_VALUE"""),"Sin defenir")</f>
        <v>Sin defenir</v>
      </c>
      <c r="R1120" s="25"/>
      <c r="S1120" s="55"/>
      <c r="T1120" s="56"/>
      <c r="U1120" s="25"/>
      <c r="V1120" s="25"/>
      <c r="W1120" s="25"/>
      <c r="X1120" s="25"/>
      <c r="Y1120" s="25"/>
      <c r="Z1120" s="25"/>
    </row>
    <row r="1121" spans="1:26" ht="52.5" customHeight="1" x14ac:dyDescent="0.25">
      <c r="A1121" s="25" t="str">
        <f ca="1">IFERROR(__xludf.DUMMYFUNCTION("""COMPUTED_VALUE"""),"Integ219")</f>
        <v>Integ219</v>
      </c>
      <c r="B1121" s="25"/>
      <c r="C1121" s="55"/>
      <c r="D1121" s="25" t="str">
        <f ca="1">IFERROR(__xludf.DUMMYFUNCTION("""COMPUTED_VALUE"""),"Integración_Social")</f>
        <v>Integración_Social</v>
      </c>
      <c r="E1121" s="25"/>
      <c r="F1121" s="25"/>
      <c r="G1121" s="25"/>
      <c r="H1121" s="25"/>
      <c r="I1121" s="25"/>
      <c r="J1121" s="55"/>
      <c r="K1121" s="25" t="str">
        <f ca="1">IFERROR(__xludf.DUMMYFUNCTION("""COMPUTED_VALUE"""),"Definir fecha")</f>
        <v>Definir fecha</v>
      </c>
      <c r="L1121" s="62"/>
      <c r="M1121" s="25"/>
      <c r="N1121" s="25"/>
      <c r="O1121" s="25">
        <f t="shared" si="0"/>
        <v>0</v>
      </c>
      <c r="P1121" s="25" t="str">
        <f t="shared" si="2"/>
        <v/>
      </c>
      <c r="Q1121" s="25" t="str">
        <f ca="1">IFERROR(__xludf.DUMMYFUNCTION("""COMPUTED_VALUE"""),"Sin defenir")</f>
        <v>Sin defenir</v>
      </c>
      <c r="R1121" s="25"/>
      <c r="S1121" s="55"/>
      <c r="T1121" s="56"/>
      <c r="U1121" s="25"/>
      <c r="V1121" s="25"/>
      <c r="W1121" s="25"/>
      <c r="X1121" s="25"/>
      <c r="Y1121" s="25"/>
      <c r="Z1121" s="25"/>
    </row>
    <row r="1122" spans="1:26" ht="52.5" customHeight="1" x14ac:dyDescent="0.25">
      <c r="A1122" s="25" t="str">
        <f ca="1">IFERROR(__xludf.DUMMYFUNCTION("""COMPUTED_VALUE"""),"Integ220")</f>
        <v>Integ220</v>
      </c>
      <c r="B1122" s="25"/>
      <c r="C1122" s="55"/>
      <c r="D1122" s="25" t="str">
        <f ca="1">IFERROR(__xludf.DUMMYFUNCTION("""COMPUTED_VALUE"""),"Integración_Social")</f>
        <v>Integración_Social</v>
      </c>
      <c r="E1122" s="25"/>
      <c r="F1122" s="25"/>
      <c r="G1122" s="25"/>
      <c r="H1122" s="25"/>
      <c r="I1122" s="25"/>
      <c r="J1122" s="55"/>
      <c r="K1122" s="25" t="str">
        <f ca="1">IFERROR(__xludf.DUMMYFUNCTION("""COMPUTED_VALUE"""),"Definir fecha")</f>
        <v>Definir fecha</v>
      </c>
      <c r="L1122" s="62"/>
      <c r="M1122" s="25"/>
      <c r="N1122" s="25"/>
      <c r="O1122" s="25">
        <f t="shared" si="0"/>
        <v>0</v>
      </c>
      <c r="P1122" s="25" t="str">
        <f t="shared" si="2"/>
        <v/>
      </c>
      <c r="Q1122" s="25" t="str">
        <f ca="1">IFERROR(__xludf.DUMMYFUNCTION("""COMPUTED_VALUE"""),"Sin defenir")</f>
        <v>Sin defenir</v>
      </c>
      <c r="R1122" s="25"/>
      <c r="S1122" s="55"/>
      <c r="T1122" s="56"/>
      <c r="U1122" s="25"/>
      <c r="V1122" s="25"/>
      <c r="W1122" s="25"/>
      <c r="X1122" s="25"/>
      <c r="Y1122" s="25"/>
      <c r="Z1122" s="25"/>
    </row>
    <row r="1123" spans="1:26" ht="52.5" customHeight="1" x14ac:dyDescent="0.25">
      <c r="A1123" s="25" t="str">
        <f ca="1">IFERROR(__xludf.DUMMYFUNCTION("""COMPUTED_VALUE"""),"Integ221")</f>
        <v>Integ221</v>
      </c>
      <c r="B1123" s="25"/>
      <c r="C1123" s="55"/>
      <c r="D1123" s="25" t="str">
        <f ca="1">IFERROR(__xludf.DUMMYFUNCTION("""COMPUTED_VALUE"""),"Integración_Social")</f>
        <v>Integración_Social</v>
      </c>
      <c r="E1123" s="25"/>
      <c r="F1123" s="25"/>
      <c r="G1123" s="25"/>
      <c r="H1123" s="25"/>
      <c r="I1123" s="25"/>
      <c r="J1123" s="55"/>
      <c r="K1123" s="25" t="str">
        <f ca="1">IFERROR(__xludf.DUMMYFUNCTION("""COMPUTED_VALUE"""),"Definir fecha")</f>
        <v>Definir fecha</v>
      </c>
      <c r="L1123" s="62"/>
      <c r="M1123" s="25"/>
      <c r="N1123" s="25"/>
      <c r="O1123" s="25">
        <f t="shared" si="0"/>
        <v>0</v>
      </c>
      <c r="P1123" s="25" t="str">
        <f t="shared" si="2"/>
        <v/>
      </c>
      <c r="Q1123" s="25" t="str">
        <f ca="1">IFERROR(__xludf.DUMMYFUNCTION("""COMPUTED_VALUE"""),"Sin defenir")</f>
        <v>Sin defenir</v>
      </c>
      <c r="R1123" s="25"/>
      <c r="S1123" s="55"/>
      <c r="T1123" s="56"/>
      <c r="U1123" s="25"/>
      <c r="V1123" s="25"/>
      <c r="W1123" s="25"/>
      <c r="X1123" s="25"/>
      <c r="Y1123" s="25"/>
      <c r="Z1123" s="25"/>
    </row>
    <row r="1124" spans="1:26" ht="52.5" customHeight="1" x14ac:dyDescent="0.25">
      <c r="A1124" s="25" t="str">
        <f ca="1">IFERROR(__xludf.DUMMYFUNCTION("""COMPUTED_VALUE"""),"Integ222")</f>
        <v>Integ222</v>
      </c>
      <c r="B1124" s="25"/>
      <c r="C1124" s="55"/>
      <c r="D1124" s="25" t="str">
        <f ca="1">IFERROR(__xludf.DUMMYFUNCTION("""COMPUTED_VALUE"""),"Integración_Social")</f>
        <v>Integración_Social</v>
      </c>
      <c r="E1124" s="25"/>
      <c r="F1124" s="25"/>
      <c r="G1124" s="25"/>
      <c r="H1124" s="25"/>
      <c r="I1124" s="25"/>
      <c r="J1124" s="55"/>
      <c r="K1124" s="25" t="str">
        <f ca="1">IFERROR(__xludf.DUMMYFUNCTION("""COMPUTED_VALUE"""),"Definir fecha")</f>
        <v>Definir fecha</v>
      </c>
      <c r="L1124" s="62"/>
      <c r="M1124" s="25"/>
      <c r="N1124" s="25"/>
      <c r="O1124" s="25">
        <f t="shared" si="0"/>
        <v>0</v>
      </c>
      <c r="P1124" s="25" t="str">
        <f t="shared" si="2"/>
        <v/>
      </c>
      <c r="Q1124" s="25" t="str">
        <f ca="1">IFERROR(__xludf.DUMMYFUNCTION("""COMPUTED_VALUE"""),"Sin defenir")</f>
        <v>Sin defenir</v>
      </c>
      <c r="R1124" s="25"/>
      <c r="S1124" s="55"/>
      <c r="T1124" s="56"/>
      <c r="U1124" s="25"/>
      <c r="V1124" s="25"/>
      <c r="W1124" s="25"/>
      <c r="X1124" s="25"/>
      <c r="Y1124" s="25"/>
      <c r="Z1124" s="25"/>
    </row>
    <row r="1125" spans="1:26" ht="52.5" customHeight="1" x14ac:dyDescent="0.25">
      <c r="A1125" s="25" t="str">
        <f ca="1">IFERROR(__xludf.DUMMYFUNCTION("""COMPUTED_VALUE"""),"Integ223")</f>
        <v>Integ223</v>
      </c>
      <c r="B1125" s="25"/>
      <c r="C1125" s="55"/>
      <c r="D1125" s="25" t="str">
        <f ca="1">IFERROR(__xludf.DUMMYFUNCTION("""COMPUTED_VALUE"""),"Integración_Social")</f>
        <v>Integración_Social</v>
      </c>
      <c r="E1125" s="25"/>
      <c r="F1125" s="25"/>
      <c r="G1125" s="25"/>
      <c r="H1125" s="25"/>
      <c r="I1125" s="25"/>
      <c r="J1125" s="55"/>
      <c r="K1125" s="25" t="str">
        <f ca="1">IFERROR(__xludf.DUMMYFUNCTION("""COMPUTED_VALUE"""),"Definir fecha")</f>
        <v>Definir fecha</v>
      </c>
      <c r="L1125" s="62"/>
      <c r="M1125" s="25"/>
      <c r="N1125" s="25"/>
      <c r="O1125" s="25">
        <f t="shared" si="0"/>
        <v>0</v>
      </c>
      <c r="P1125" s="25" t="str">
        <f t="shared" si="2"/>
        <v/>
      </c>
      <c r="Q1125" s="25" t="str">
        <f ca="1">IFERROR(__xludf.DUMMYFUNCTION("""COMPUTED_VALUE"""),"Sin defenir")</f>
        <v>Sin defenir</v>
      </c>
      <c r="R1125" s="25"/>
      <c r="S1125" s="55"/>
      <c r="T1125" s="56"/>
      <c r="U1125" s="25"/>
      <c r="V1125" s="25"/>
      <c r="W1125" s="25"/>
      <c r="X1125" s="25"/>
      <c r="Y1125" s="25"/>
      <c r="Z1125" s="25"/>
    </row>
    <row r="1126" spans="1:26" ht="52.5" customHeight="1" x14ac:dyDescent="0.25">
      <c r="A1126" s="25" t="str">
        <f ca="1">IFERROR(__xludf.DUMMYFUNCTION("""COMPUTED_VALUE"""),"Integ224")</f>
        <v>Integ224</v>
      </c>
      <c r="B1126" s="25"/>
      <c r="C1126" s="55"/>
      <c r="D1126" s="25" t="str">
        <f ca="1">IFERROR(__xludf.DUMMYFUNCTION("""COMPUTED_VALUE"""),"Integración_Social")</f>
        <v>Integración_Social</v>
      </c>
      <c r="E1126" s="25"/>
      <c r="F1126" s="25"/>
      <c r="G1126" s="25"/>
      <c r="H1126" s="25"/>
      <c r="I1126" s="25"/>
      <c r="J1126" s="55"/>
      <c r="K1126" s="25" t="str">
        <f ca="1">IFERROR(__xludf.DUMMYFUNCTION("""COMPUTED_VALUE"""),"Definir fecha")</f>
        <v>Definir fecha</v>
      </c>
      <c r="L1126" s="62"/>
      <c r="M1126" s="25"/>
      <c r="N1126" s="25"/>
      <c r="O1126" s="25">
        <f t="shared" si="0"/>
        <v>0</v>
      </c>
      <c r="P1126" s="25" t="str">
        <f t="shared" si="2"/>
        <v/>
      </c>
      <c r="Q1126" s="25" t="str">
        <f ca="1">IFERROR(__xludf.DUMMYFUNCTION("""COMPUTED_VALUE"""),"Sin defenir")</f>
        <v>Sin defenir</v>
      </c>
      <c r="R1126" s="25"/>
      <c r="S1126" s="55"/>
      <c r="T1126" s="56"/>
      <c r="U1126" s="25"/>
      <c r="V1126" s="25"/>
      <c r="W1126" s="25"/>
      <c r="X1126" s="25"/>
      <c r="Y1126" s="25"/>
      <c r="Z1126" s="25"/>
    </row>
    <row r="1127" spans="1:26" ht="52.5" customHeight="1" x14ac:dyDescent="0.25">
      <c r="A1127" s="25" t="str">
        <f ca="1">IFERROR(__xludf.DUMMYFUNCTION("""COMPUTED_VALUE"""),"Integ225")</f>
        <v>Integ225</v>
      </c>
      <c r="B1127" s="25"/>
      <c r="C1127" s="55"/>
      <c r="D1127" s="25" t="str">
        <f ca="1">IFERROR(__xludf.DUMMYFUNCTION("""COMPUTED_VALUE"""),"Integración_Social")</f>
        <v>Integración_Social</v>
      </c>
      <c r="E1127" s="25"/>
      <c r="F1127" s="25"/>
      <c r="G1127" s="25"/>
      <c r="H1127" s="25"/>
      <c r="I1127" s="25"/>
      <c r="J1127" s="55"/>
      <c r="K1127" s="25" t="str">
        <f ca="1">IFERROR(__xludf.DUMMYFUNCTION("""COMPUTED_VALUE"""),"Definir fecha")</f>
        <v>Definir fecha</v>
      </c>
      <c r="L1127" s="62"/>
      <c r="M1127" s="25"/>
      <c r="N1127" s="25"/>
      <c r="O1127" s="25">
        <f t="shared" si="0"/>
        <v>0</v>
      </c>
      <c r="P1127" s="25" t="str">
        <f t="shared" si="2"/>
        <v/>
      </c>
      <c r="Q1127" s="25" t="str">
        <f ca="1">IFERROR(__xludf.DUMMYFUNCTION("""COMPUTED_VALUE"""),"Sin defenir")</f>
        <v>Sin defenir</v>
      </c>
      <c r="R1127" s="25"/>
      <c r="S1127" s="55"/>
      <c r="T1127" s="56"/>
      <c r="U1127" s="25"/>
      <c r="V1127" s="25"/>
      <c r="W1127" s="25"/>
      <c r="X1127" s="25"/>
      <c r="Y1127" s="25"/>
      <c r="Z1127" s="25"/>
    </row>
    <row r="1128" spans="1:26" ht="52.5" customHeight="1" x14ac:dyDescent="0.25">
      <c r="A1128" s="25" t="str">
        <f ca="1">IFERROR(__xludf.DUMMYFUNCTION("""COMPUTED_VALUE"""),"Integ226")</f>
        <v>Integ226</v>
      </c>
      <c r="B1128" s="25"/>
      <c r="C1128" s="55"/>
      <c r="D1128" s="25" t="str">
        <f ca="1">IFERROR(__xludf.DUMMYFUNCTION("""COMPUTED_VALUE"""),"Integración_Social")</f>
        <v>Integración_Social</v>
      </c>
      <c r="E1128" s="25"/>
      <c r="F1128" s="25"/>
      <c r="G1128" s="25"/>
      <c r="H1128" s="25"/>
      <c r="I1128" s="25"/>
      <c r="J1128" s="55"/>
      <c r="K1128" s="25" t="str">
        <f ca="1">IFERROR(__xludf.DUMMYFUNCTION("""COMPUTED_VALUE"""),"Definir fecha")</f>
        <v>Definir fecha</v>
      </c>
      <c r="L1128" s="62"/>
      <c r="M1128" s="25"/>
      <c r="N1128" s="25"/>
      <c r="O1128" s="25">
        <f t="shared" si="0"/>
        <v>0</v>
      </c>
      <c r="P1128" s="25" t="str">
        <f t="shared" si="2"/>
        <v/>
      </c>
      <c r="Q1128" s="25" t="str">
        <f ca="1">IFERROR(__xludf.DUMMYFUNCTION("""COMPUTED_VALUE"""),"Sin defenir")</f>
        <v>Sin defenir</v>
      </c>
      <c r="R1128" s="25"/>
      <c r="S1128" s="55"/>
      <c r="T1128" s="56"/>
      <c r="U1128" s="25"/>
      <c r="V1128" s="25"/>
      <c r="W1128" s="25"/>
      <c r="X1128" s="25"/>
      <c r="Y1128" s="25"/>
      <c r="Z1128" s="25"/>
    </row>
    <row r="1129" spans="1:26" ht="52.5" customHeight="1" x14ac:dyDescent="0.25">
      <c r="A1129" s="25" t="str">
        <f ca="1">IFERROR(__xludf.DUMMYFUNCTION("""COMPUTED_VALUE"""),"Integ227")</f>
        <v>Integ227</v>
      </c>
      <c r="B1129" s="25"/>
      <c r="C1129" s="55"/>
      <c r="D1129" s="25" t="str">
        <f ca="1">IFERROR(__xludf.DUMMYFUNCTION("""COMPUTED_VALUE"""),"Integración_Social")</f>
        <v>Integración_Social</v>
      </c>
      <c r="E1129" s="25"/>
      <c r="F1129" s="25"/>
      <c r="G1129" s="25"/>
      <c r="H1129" s="25"/>
      <c r="I1129" s="25"/>
      <c r="J1129" s="55"/>
      <c r="K1129" s="25" t="str">
        <f ca="1">IFERROR(__xludf.DUMMYFUNCTION("""COMPUTED_VALUE"""),"Definir fecha")</f>
        <v>Definir fecha</v>
      </c>
      <c r="L1129" s="62"/>
      <c r="M1129" s="25"/>
      <c r="N1129" s="25"/>
      <c r="O1129" s="25">
        <f t="shared" si="0"/>
        <v>0</v>
      </c>
      <c r="P1129" s="25" t="str">
        <f t="shared" si="2"/>
        <v/>
      </c>
      <c r="Q1129" s="25" t="str">
        <f ca="1">IFERROR(__xludf.DUMMYFUNCTION("""COMPUTED_VALUE"""),"Sin defenir")</f>
        <v>Sin defenir</v>
      </c>
      <c r="R1129" s="25"/>
      <c r="S1129" s="55"/>
      <c r="T1129" s="56"/>
      <c r="U1129" s="25"/>
      <c r="V1129" s="25"/>
      <c r="W1129" s="25"/>
      <c r="X1129" s="25"/>
      <c r="Y1129" s="25"/>
      <c r="Z1129" s="25"/>
    </row>
    <row r="1130" spans="1:26" ht="52.5" customHeight="1" x14ac:dyDescent="0.25">
      <c r="A1130" s="25" t="str">
        <f ca="1">IFERROR(__xludf.DUMMYFUNCTION("""COMPUTED_VALUE"""),"Integ228")</f>
        <v>Integ228</v>
      </c>
      <c r="B1130" s="25"/>
      <c r="C1130" s="55"/>
      <c r="D1130" s="25" t="str">
        <f ca="1">IFERROR(__xludf.DUMMYFUNCTION("""COMPUTED_VALUE"""),"Integración_Social")</f>
        <v>Integración_Social</v>
      </c>
      <c r="E1130" s="25"/>
      <c r="F1130" s="25"/>
      <c r="G1130" s="25"/>
      <c r="H1130" s="25"/>
      <c r="I1130" s="25"/>
      <c r="J1130" s="55"/>
      <c r="K1130" s="25" t="str">
        <f ca="1">IFERROR(__xludf.DUMMYFUNCTION("""COMPUTED_VALUE"""),"Definir fecha")</f>
        <v>Definir fecha</v>
      </c>
      <c r="L1130" s="62"/>
      <c r="M1130" s="25"/>
      <c r="N1130" s="25"/>
      <c r="O1130" s="25">
        <f t="shared" si="0"/>
        <v>0</v>
      </c>
      <c r="P1130" s="25" t="str">
        <f t="shared" si="2"/>
        <v/>
      </c>
      <c r="Q1130" s="25" t="str">
        <f ca="1">IFERROR(__xludf.DUMMYFUNCTION("""COMPUTED_VALUE"""),"Sin defenir")</f>
        <v>Sin defenir</v>
      </c>
      <c r="R1130" s="25"/>
      <c r="S1130" s="55"/>
      <c r="T1130" s="56"/>
      <c r="U1130" s="25"/>
      <c r="V1130" s="25"/>
      <c r="W1130" s="25"/>
      <c r="X1130" s="25"/>
      <c r="Y1130" s="25"/>
      <c r="Z1130" s="25"/>
    </row>
    <row r="1131" spans="1:26" ht="52.5" customHeight="1" x14ac:dyDescent="0.25">
      <c r="A1131" s="25" t="str">
        <f ca="1">IFERROR(__xludf.DUMMYFUNCTION("""COMPUTED_VALUE"""),"Integ229")</f>
        <v>Integ229</v>
      </c>
      <c r="B1131" s="25"/>
      <c r="C1131" s="55"/>
      <c r="D1131" s="25" t="str">
        <f ca="1">IFERROR(__xludf.DUMMYFUNCTION("""COMPUTED_VALUE"""),"Integración_Social")</f>
        <v>Integración_Social</v>
      </c>
      <c r="E1131" s="25"/>
      <c r="F1131" s="25"/>
      <c r="G1131" s="25"/>
      <c r="H1131" s="25"/>
      <c r="I1131" s="25"/>
      <c r="J1131" s="55"/>
      <c r="K1131" s="25" t="str">
        <f ca="1">IFERROR(__xludf.DUMMYFUNCTION("""COMPUTED_VALUE"""),"Definir fecha")</f>
        <v>Definir fecha</v>
      </c>
      <c r="L1131" s="62"/>
      <c r="M1131" s="25"/>
      <c r="N1131" s="25"/>
      <c r="O1131" s="25">
        <f t="shared" si="0"/>
        <v>0</v>
      </c>
      <c r="P1131" s="25" t="str">
        <f t="shared" si="2"/>
        <v/>
      </c>
      <c r="Q1131" s="25" t="str">
        <f ca="1">IFERROR(__xludf.DUMMYFUNCTION("""COMPUTED_VALUE"""),"Sin defenir")</f>
        <v>Sin defenir</v>
      </c>
      <c r="R1131" s="25"/>
      <c r="S1131" s="55"/>
      <c r="T1131" s="56"/>
      <c r="U1131" s="25"/>
      <c r="V1131" s="25"/>
      <c r="W1131" s="25"/>
      <c r="X1131" s="25"/>
      <c r="Y1131" s="25"/>
      <c r="Z1131" s="25"/>
    </row>
    <row r="1132" spans="1:26" ht="52.5" customHeight="1" x14ac:dyDescent="0.25">
      <c r="A1132" s="25" t="str">
        <f ca="1">IFERROR(__xludf.DUMMYFUNCTION("""COMPUTED_VALUE"""),"Integ230")</f>
        <v>Integ230</v>
      </c>
      <c r="B1132" s="25"/>
      <c r="C1132" s="55"/>
      <c r="D1132" s="25" t="str">
        <f ca="1">IFERROR(__xludf.DUMMYFUNCTION("""COMPUTED_VALUE"""),"Integración_Social")</f>
        <v>Integración_Social</v>
      </c>
      <c r="E1132" s="25"/>
      <c r="F1132" s="25"/>
      <c r="G1132" s="25"/>
      <c r="H1132" s="25"/>
      <c r="I1132" s="25"/>
      <c r="J1132" s="55"/>
      <c r="K1132" s="25" t="str">
        <f ca="1">IFERROR(__xludf.DUMMYFUNCTION("""COMPUTED_VALUE"""),"Definir fecha")</f>
        <v>Definir fecha</v>
      </c>
      <c r="L1132" s="62"/>
      <c r="M1132" s="25"/>
      <c r="N1132" s="25"/>
      <c r="O1132" s="25">
        <f t="shared" si="0"/>
        <v>0</v>
      </c>
      <c r="P1132" s="25" t="str">
        <f t="shared" si="2"/>
        <v/>
      </c>
      <c r="Q1132" s="25" t="str">
        <f ca="1">IFERROR(__xludf.DUMMYFUNCTION("""COMPUTED_VALUE"""),"Sin defenir")</f>
        <v>Sin defenir</v>
      </c>
      <c r="R1132" s="25"/>
      <c r="S1132" s="55"/>
      <c r="T1132" s="56"/>
      <c r="U1132" s="25"/>
      <c r="V1132" s="25"/>
      <c r="W1132" s="25"/>
      <c r="X1132" s="25"/>
      <c r="Y1132" s="25"/>
      <c r="Z1132" s="25"/>
    </row>
    <row r="1133" spans="1:26" ht="52.5" customHeight="1" x14ac:dyDescent="0.25">
      <c r="A1133" s="25" t="str">
        <f ca="1">IFERROR(__xludf.DUMMYFUNCTION("""COMPUTED_VALUE"""),"Integ231")</f>
        <v>Integ231</v>
      </c>
      <c r="B1133" s="25"/>
      <c r="C1133" s="55"/>
      <c r="D1133" s="25" t="str">
        <f ca="1">IFERROR(__xludf.DUMMYFUNCTION("""COMPUTED_VALUE"""),"Integración_Social")</f>
        <v>Integración_Social</v>
      </c>
      <c r="E1133" s="25"/>
      <c r="F1133" s="25"/>
      <c r="G1133" s="25"/>
      <c r="H1133" s="25"/>
      <c r="I1133" s="25"/>
      <c r="J1133" s="55"/>
      <c r="K1133" s="25" t="str">
        <f ca="1">IFERROR(__xludf.DUMMYFUNCTION("""COMPUTED_VALUE"""),"Definir fecha")</f>
        <v>Definir fecha</v>
      </c>
      <c r="L1133" s="62"/>
      <c r="M1133" s="25"/>
      <c r="N1133" s="25"/>
      <c r="O1133" s="25">
        <f t="shared" si="0"/>
        <v>0</v>
      </c>
      <c r="P1133" s="25" t="str">
        <f t="shared" si="2"/>
        <v/>
      </c>
      <c r="Q1133" s="25" t="str">
        <f ca="1">IFERROR(__xludf.DUMMYFUNCTION("""COMPUTED_VALUE"""),"Sin defenir")</f>
        <v>Sin defenir</v>
      </c>
      <c r="R1133" s="25"/>
      <c r="S1133" s="55"/>
      <c r="T1133" s="56"/>
      <c r="U1133" s="25"/>
      <c r="V1133" s="25"/>
      <c r="W1133" s="25"/>
      <c r="X1133" s="25"/>
      <c r="Y1133" s="25"/>
      <c r="Z1133" s="25"/>
    </row>
    <row r="1134" spans="1:26" ht="52.5" customHeight="1" x14ac:dyDescent="0.25">
      <c r="A1134" s="25" t="str">
        <f ca="1">IFERROR(__xludf.DUMMYFUNCTION("""COMPUTED_VALUE"""),"Integ232")</f>
        <v>Integ232</v>
      </c>
      <c r="B1134" s="25"/>
      <c r="C1134" s="55"/>
      <c r="D1134" s="25" t="str">
        <f ca="1">IFERROR(__xludf.DUMMYFUNCTION("""COMPUTED_VALUE"""),"Integración_Social")</f>
        <v>Integración_Social</v>
      </c>
      <c r="E1134" s="25"/>
      <c r="F1134" s="25"/>
      <c r="G1134" s="25"/>
      <c r="H1134" s="25"/>
      <c r="I1134" s="25"/>
      <c r="J1134" s="55"/>
      <c r="K1134" s="25" t="str">
        <f ca="1">IFERROR(__xludf.DUMMYFUNCTION("""COMPUTED_VALUE"""),"Definir fecha")</f>
        <v>Definir fecha</v>
      </c>
      <c r="L1134" s="62"/>
      <c r="M1134" s="25"/>
      <c r="N1134" s="25"/>
      <c r="O1134" s="25">
        <f t="shared" si="0"/>
        <v>0</v>
      </c>
      <c r="P1134" s="25" t="str">
        <f t="shared" si="2"/>
        <v/>
      </c>
      <c r="Q1134" s="25" t="str">
        <f ca="1">IFERROR(__xludf.DUMMYFUNCTION("""COMPUTED_VALUE"""),"Sin defenir")</f>
        <v>Sin defenir</v>
      </c>
      <c r="R1134" s="25"/>
      <c r="S1134" s="55"/>
      <c r="T1134" s="56"/>
      <c r="U1134" s="25"/>
      <c r="V1134" s="25"/>
      <c r="W1134" s="25"/>
      <c r="X1134" s="25"/>
      <c r="Y1134" s="25"/>
      <c r="Z1134" s="25"/>
    </row>
    <row r="1135" spans="1:26" ht="52.5" customHeight="1" x14ac:dyDescent="0.25">
      <c r="A1135" s="25" t="str">
        <f ca="1">IFERROR(__xludf.DUMMYFUNCTION("""COMPUTED_VALUE"""),"Integ233")</f>
        <v>Integ233</v>
      </c>
      <c r="B1135" s="25"/>
      <c r="C1135" s="55"/>
      <c r="D1135" s="25" t="str">
        <f ca="1">IFERROR(__xludf.DUMMYFUNCTION("""COMPUTED_VALUE"""),"Integración_Social")</f>
        <v>Integración_Social</v>
      </c>
      <c r="E1135" s="25"/>
      <c r="F1135" s="25"/>
      <c r="G1135" s="25"/>
      <c r="H1135" s="25"/>
      <c r="I1135" s="25"/>
      <c r="J1135" s="55"/>
      <c r="K1135" s="25" t="str">
        <f ca="1">IFERROR(__xludf.DUMMYFUNCTION("""COMPUTED_VALUE"""),"Definir fecha")</f>
        <v>Definir fecha</v>
      </c>
      <c r="L1135" s="62"/>
      <c r="M1135" s="25"/>
      <c r="N1135" s="25"/>
      <c r="O1135" s="25">
        <f t="shared" si="0"/>
        <v>0</v>
      </c>
      <c r="P1135" s="25" t="str">
        <f t="shared" si="2"/>
        <v/>
      </c>
      <c r="Q1135" s="25" t="str">
        <f ca="1">IFERROR(__xludf.DUMMYFUNCTION("""COMPUTED_VALUE"""),"Sin defenir")</f>
        <v>Sin defenir</v>
      </c>
      <c r="R1135" s="25"/>
      <c r="S1135" s="55"/>
      <c r="T1135" s="56"/>
      <c r="U1135" s="25"/>
      <c r="V1135" s="25"/>
      <c r="W1135" s="25"/>
      <c r="X1135" s="25"/>
      <c r="Y1135" s="25"/>
      <c r="Z1135" s="25"/>
    </row>
    <row r="1136" spans="1:26" ht="52.5" customHeight="1" x14ac:dyDescent="0.25">
      <c r="A1136" s="25" t="str">
        <f ca="1">IFERROR(__xludf.DUMMYFUNCTION("""COMPUTED_VALUE"""),"Integ234")</f>
        <v>Integ234</v>
      </c>
      <c r="B1136" s="25"/>
      <c r="C1136" s="55"/>
      <c r="D1136" s="25" t="str">
        <f ca="1">IFERROR(__xludf.DUMMYFUNCTION("""COMPUTED_VALUE"""),"Integración_Social")</f>
        <v>Integración_Social</v>
      </c>
      <c r="E1136" s="25"/>
      <c r="F1136" s="25"/>
      <c r="G1136" s="25"/>
      <c r="H1136" s="25"/>
      <c r="I1136" s="25"/>
      <c r="J1136" s="55"/>
      <c r="K1136" s="25" t="str">
        <f ca="1">IFERROR(__xludf.DUMMYFUNCTION("""COMPUTED_VALUE"""),"Definir fecha")</f>
        <v>Definir fecha</v>
      </c>
      <c r="L1136" s="62"/>
      <c r="M1136" s="25"/>
      <c r="N1136" s="25"/>
      <c r="O1136" s="25">
        <f t="shared" si="0"/>
        <v>0</v>
      </c>
      <c r="P1136" s="25" t="str">
        <f t="shared" si="2"/>
        <v/>
      </c>
      <c r="Q1136" s="25" t="str">
        <f ca="1">IFERROR(__xludf.DUMMYFUNCTION("""COMPUTED_VALUE"""),"Sin defenir")</f>
        <v>Sin defenir</v>
      </c>
      <c r="R1136" s="25"/>
      <c r="S1136" s="55"/>
      <c r="T1136" s="56"/>
      <c r="U1136" s="25"/>
      <c r="V1136" s="25"/>
      <c r="W1136" s="25"/>
      <c r="X1136" s="25"/>
      <c r="Y1136" s="25"/>
      <c r="Z1136" s="25"/>
    </row>
    <row r="1137" spans="1:26" ht="52.5" customHeight="1" x14ac:dyDescent="0.25">
      <c r="A1137" s="25" t="str">
        <f ca="1">IFERROR(__xludf.DUMMYFUNCTION("""COMPUTED_VALUE"""),"Integ235")</f>
        <v>Integ235</v>
      </c>
      <c r="B1137" s="25"/>
      <c r="C1137" s="55"/>
      <c r="D1137" s="25" t="str">
        <f ca="1">IFERROR(__xludf.DUMMYFUNCTION("""COMPUTED_VALUE"""),"Integración_Social")</f>
        <v>Integración_Social</v>
      </c>
      <c r="E1137" s="25"/>
      <c r="F1137" s="25"/>
      <c r="G1137" s="25"/>
      <c r="H1137" s="25"/>
      <c r="I1137" s="25"/>
      <c r="J1137" s="55"/>
      <c r="K1137" s="25" t="str">
        <f ca="1">IFERROR(__xludf.DUMMYFUNCTION("""COMPUTED_VALUE"""),"Definir fecha")</f>
        <v>Definir fecha</v>
      </c>
      <c r="L1137" s="62"/>
      <c r="M1137" s="25"/>
      <c r="N1137" s="25"/>
      <c r="O1137" s="25">
        <f t="shared" si="0"/>
        <v>0</v>
      </c>
      <c r="P1137" s="25" t="str">
        <f t="shared" si="2"/>
        <v/>
      </c>
      <c r="Q1137" s="25" t="str">
        <f ca="1">IFERROR(__xludf.DUMMYFUNCTION("""COMPUTED_VALUE"""),"Sin defenir")</f>
        <v>Sin defenir</v>
      </c>
      <c r="R1137" s="25"/>
      <c r="S1137" s="55"/>
      <c r="T1137" s="56"/>
      <c r="U1137" s="25"/>
      <c r="V1137" s="25"/>
      <c r="W1137" s="25"/>
      <c r="X1137" s="25"/>
      <c r="Y1137" s="25"/>
      <c r="Z1137" s="25"/>
    </row>
    <row r="1138" spans="1:26" ht="52.5" customHeight="1" x14ac:dyDescent="0.25">
      <c r="A1138" s="25" t="str">
        <f ca="1">IFERROR(__xludf.DUMMYFUNCTION("""COMPUTED_VALUE"""),"Integ236")</f>
        <v>Integ236</v>
      </c>
      <c r="B1138" s="25"/>
      <c r="C1138" s="55"/>
      <c r="D1138" s="25" t="str">
        <f ca="1">IFERROR(__xludf.DUMMYFUNCTION("""COMPUTED_VALUE"""),"Integración_Social")</f>
        <v>Integración_Social</v>
      </c>
      <c r="E1138" s="25"/>
      <c r="F1138" s="25"/>
      <c r="G1138" s="25"/>
      <c r="H1138" s="25"/>
      <c r="I1138" s="25"/>
      <c r="J1138" s="55"/>
      <c r="K1138" s="25" t="str">
        <f ca="1">IFERROR(__xludf.DUMMYFUNCTION("""COMPUTED_VALUE"""),"Definir fecha")</f>
        <v>Definir fecha</v>
      </c>
      <c r="L1138" s="62"/>
      <c r="M1138" s="25"/>
      <c r="N1138" s="25"/>
      <c r="O1138" s="25">
        <f t="shared" si="0"/>
        <v>0</v>
      </c>
      <c r="P1138" s="25" t="str">
        <f t="shared" si="2"/>
        <v/>
      </c>
      <c r="Q1138" s="25" t="str">
        <f ca="1">IFERROR(__xludf.DUMMYFUNCTION("""COMPUTED_VALUE"""),"Sin defenir")</f>
        <v>Sin defenir</v>
      </c>
      <c r="R1138" s="25"/>
      <c r="S1138" s="55"/>
      <c r="T1138" s="56"/>
      <c r="U1138" s="25"/>
      <c r="V1138" s="25"/>
      <c r="W1138" s="25"/>
      <c r="X1138" s="25"/>
      <c r="Y1138" s="25"/>
      <c r="Z1138" s="25"/>
    </row>
    <row r="1139" spans="1:26" ht="52.5" customHeight="1" x14ac:dyDescent="0.25">
      <c r="A1139" s="25" t="str">
        <f ca="1">IFERROR(__xludf.DUMMYFUNCTION("""COMPUTED_VALUE"""),"Integ237")</f>
        <v>Integ237</v>
      </c>
      <c r="B1139" s="25"/>
      <c r="C1139" s="55"/>
      <c r="D1139" s="25" t="str">
        <f ca="1">IFERROR(__xludf.DUMMYFUNCTION("""COMPUTED_VALUE"""),"Integración_Social")</f>
        <v>Integración_Social</v>
      </c>
      <c r="E1139" s="25"/>
      <c r="F1139" s="25"/>
      <c r="G1139" s="25"/>
      <c r="H1139" s="25"/>
      <c r="I1139" s="25"/>
      <c r="J1139" s="55"/>
      <c r="K1139" s="25" t="str">
        <f ca="1">IFERROR(__xludf.DUMMYFUNCTION("""COMPUTED_VALUE"""),"Definir fecha")</f>
        <v>Definir fecha</v>
      </c>
      <c r="L1139" s="62"/>
      <c r="M1139" s="25"/>
      <c r="N1139" s="25"/>
      <c r="O1139" s="25">
        <f t="shared" si="0"/>
        <v>0</v>
      </c>
      <c r="P1139" s="25" t="str">
        <f t="shared" si="2"/>
        <v/>
      </c>
      <c r="Q1139" s="25" t="str">
        <f ca="1">IFERROR(__xludf.DUMMYFUNCTION("""COMPUTED_VALUE"""),"Sin defenir")</f>
        <v>Sin defenir</v>
      </c>
      <c r="R1139" s="25"/>
      <c r="S1139" s="55"/>
      <c r="T1139" s="56"/>
      <c r="U1139" s="25"/>
      <c r="V1139" s="25"/>
      <c r="W1139" s="25"/>
      <c r="X1139" s="25"/>
      <c r="Y1139" s="25"/>
      <c r="Z1139" s="25"/>
    </row>
    <row r="1140" spans="1:26" ht="52.5" customHeight="1" x14ac:dyDescent="0.25">
      <c r="A1140" s="25" t="str">
        <f ca="1">IFERROR(__xludf.DUMMYFUNCTION("""COMPUTED_VALUE"""),"Integ238")</f>
        <v>Integ238</v>
      </c>
      <c r="B1140" s="25"/>
      <c r="C1140" s="55"/>
      <c r="D1140" s="25" t="str">
        <f ca="1">IFERROR(__xludf.DUMMYFUNCTION("""COMPUTED_VALUE"""),"Integración_Social")</f>
        <v>Integración_Social</v>
      </c>
      <c r="E1140" s="25"/>
      <c r="F1140" s="25"/>
      <c r="G1140" s="25"/>
      <c r="H1140" s="25"/>
      <c r="I1140" s="25"/>
      <c r="J1140" s="55"/>
      <c r="K1140" s="25" t="str">
        <f ca="1">IFERROR(__xludf.DUMMYFUNCTION("""COMPUTED_VALUE"""),"Definir fecha")</f>
        <v>Definir fecha</v>
      </c>
      <c r="L1140" s="62"/>
      <c r="M1140" s="25"/>
      <c r="N1140" s="25"/>
      <c r="O1140" s="25">
        <f t="shared" si="0"/>
        <v>0</v>
      </c>
      <c r="P1140" s="25" t="str">
        <f t="shared" si="2"/>
        <v/>
      </c>
      <c r="Q1140" s="25" t="str">
        <f ca="1">IFERROR(__xludf.DUMMYFUNCTION("""COMPUTED_VALUE"""),"Sin defenir")</f>
        <v>Sin defenir</v>
      </c>
      <c r="R1140" s="25"/>
      <c r="S1140" s="55"/>
      <c r="T1140" s="56"/>
      <c r="U1140" s="25"/>
      <c r="V1140" s="25"/>
      <c r="W1140" s="25"/>
      <c r="X1140" s="25"/>
      <c r="Y1140" s="25"/>
      <c r="Z1140" s="25"/>
    </row>
    <row r="1141" spans="1:26" ht="52.5" customHeight="1" x14ac:dyDescent="0.25">
      <c r="A1141" s="25" t="str">
        <f ca="1">IFERROR(__xludf.DUMMYFUNCTION("""COMPUTED_VALUE"""),"Integ239")</f>
        <v>Integ239</v>
      </c>
      <c r="B1141" s="25"/>
      <c r="C1141" s="55"/>
      <c r="D1141" s="25" t="str">
        <f ca="1">IFERROR(__xludf.DUMMYFUNCTION("""COMPUTED_VALUE"""),"Integración_Social")</f>
        <v>Integración_Social</v>
      </c>
      <c r="E1141" s="25"/>
      <c r="F1141" s="25"/>
      <c r="G1141" s="25"/>
      <c r="H1141" s="25"/>
      <c r="I1141" s="25"/>
      <c r="J1141" s="55"/>
      <c r="K1141" s="25" t="str">
        <f ca="1">IFERROR(__xludf.DUMMYFUNCTION("""COMPUTED_VALUE"""),"Definir fecha")</f>
        <v>Definir fecha</v>
      </c>
      <c r="L1141" s="62"/>
      <c r="M1141" s="25"/>
      <c r="N1141" s="25"/>
      <c r="O1141" s="25">
        <f t="shared" si="0"/>
        <v>0</v>
      </c>
      <c r="P1141" s="25" t="str">
        <f t="shared" si="2"/>
        <v/>
      </c>
      <c r="Q1141" s="25" t="str">
        <f ca="1">IFERROR(__xludf.DUMMYFUNCTION("""COMPUTED_VALUE"""),"Sin defenir")</f>
        <v>Sin defenir</v>
      </c>
      <c r="R1141" s="25"/>
      <c r="S1141" s="55"/>
      <c r="T1141" s="56"/>
      <c r="U1141" s="25"/>
      <c r="V1141" s="25"/>
      <c r="W1141" s="25"/>
      <c r="X1141" s="25"/>
      <c r="Y1141" s="25"/>
      <c r="Z1141" s="25"/>
    </row>
    <row r="1142" spans="1:26" ht="52.5" customHeight="1" x14ac:dyDescent="0.25">
      <c r="A1142" s="25" t="str">
        <f ca="1">IFERROR(__xludf.DUMMYFUNCTION("""COMPUTED_VALUE"""),"Integ240")</f>
        <v>Integ240</v>
      </c>
      <c r="B1142" s="25"/>
      <c r="C1142" s="55"/>
      <c r="D1142" s="25" t="str">
        <f ca="1">IFERROR(__xludf.DUMMYFUNCTION("""COMPUTED_VALUE"""),"Integración_Social")</f>
        <v>Integración_Social</v>
      </c>
      <c r="E1142" s="25"/>
      <c r="F1142" s="25"/>
      <c r="G1142" s="25"/>
      <c r="H1142" s="25"/>
      <c r="I1142" s="25"/>
      <c r="J1142" s="55"/>
      <c r="K1142" s="25" t="str">
        <f ca="1">IFERROR(__xludf.DUMMYFUNCTION("""COMPUTED_VALUE"""),"Definir fecha")</f>
        <v>Definir fecha</v>
      </c>
      <c r="L1142" s="62"/>
      <c r="M1142" s="25"/>
      <c r="N1142" s="25"/>
      <c r="O1142" s="25">
        <f t="shared" si="0"/>
        <v>0</v>
      </c>
      <c r="P1142" s="25" t="str">
        <f t="shared" si="2"/>
        <v/>
      </c>
      <c r="Q1142" s="25" t="str">
        <f ca="1">IFERROR(__xludf.DUMMYFUNCTION("""COMPUTED_VALUE"""),"Sin defenir")</f>
        <v>Sin defenir</v>
      </c>
      <c r="R1142" s="25"/>
      <c r="S1142" s="55"/>
      <c r="T1142" s="56"/>
      <c r="U1142" s="25"/>
      <c r="V1142" s="25"/>
      <c r="W1142" s="25"/>
      <c r="X1142" s="25"/>
      <c r="Y1142" s="25"/>
      <c r="Z1142" s="25"/>
    </row>
    <row r="1143" spans="1:26" ht="52.5" customHeight="1" x14ac:dyDescent="0.25">
      <c r="A1143" s="25" t="str">
        <f ca="1">IFERROR(__xludf.DUMMYFUNCTION("""COMPUTED_VALUE"""),"Integ241")</f>
        <v>Integ241</v>
      </c>
      <c r="B1143" s="25"/>
      <c r="C1143" s="55"/>
      <c r="D1143" s="25" t="str">
        <f ca="1">IFERROR(__xludf.DUMMYFUNCTION("""COMPUTED_VALUE"""),"Integración_Social")</f>
        <v>Integración_Social</v>
      </c>
      <c r="E1143" s="25"/>
      <c r="F1143" s="25"/>
      <c r="G1143" s="25"/>
      <c r="H1143" s="25"/>
      <c r="I1143" s="25"/>
      <c r="J1143" s="55"/>
      <c r="K1143" s="25" t="str">
        <f ca="1">IFERROR(__xludf.DUMMYFUNCTION("""COMPUTED_VALUE"""),"Definir fecha")</f>
        <v>Definir fecha</v>
      </c>
      <c r="L1143" s="62"/>
      <c r="M1143" s="25"/>
      <c r="N1143" s="25"/>
      <c r="O1143" s="25">
        <f t="shared" si="0"/>
        <v>0</v>
      </c>
      <c r="P1143" s="25" t="str">
        <f t="shared" si="2"/>
        <v/>
      </c>
      <c r="Q1143" s="25" t="str">
        <f ca="1">IFERROR(__xludf.DUMMYFUNCTION("""COMPUTED_VALUE"""),"Sin defenir")</f>
        <v>Sin defenir</v>
      </c>
      <c r="R1143" s="25"/>
      <c r="S1143" s="55"/>
      <c r="T1143" s="56"/>
      <c r="U1143" s="25"/>
      <c r="V1143" s="25"/>
      <c r="W1143" s="25"/>
      <c r="X1143" s="25"/>
      <c r="Y1143" s="25"/>
      <c r="Z1143" s="25"/>
    </row>
    <row r="1144" spans="1:26" ht="52.5" customHeight="1" x14ac:dyDescent="0.25">
      <c r="A1144" s="25" t="str">
        <f ca="1">IFERROR(__xludf.DUMMYFUNCTION("""COMPUTED_VALUE"""),"Integ242")</f>
        <v>Integ242</v>
      </c>
      <c r="B1144" s="25"/>
      <c r="C1144" s="55"/>
      <c r="D1144" s="25" t="str">
        <f ca="1">IFERROR(__xludf.DUMMYFUNCTION("""COMPUTED_VALUE"""),"Integración_Social")</f>
        <v>Integración_Social</v>
      </c>
      <c r="E1144" s="25"/>
      <c r="F1144" s="25"/>
      <c r="G1144" s="25"/>
      <c r="H1144" s="25"/>
      <c r="I1144" s="25"/>
      <c r="J1144" s="55"/>
      <c r="K1144" s="25" t="str">
        <f ca="1">IFERROR(__xludf.DUMMYFUNCTION("""COMPUTED_VALUE"""),"Definir fecha")</f>
        <v>Definir fecha</v>
      </c>
      <c r="L1144" s="62"/>
      <c r="M1144" s="25"/>
      <c r="N1144" s="25"/>
      <c r="O1144" s="25">
        <f t="shared" si="0"/>
        <v>0</v>
      </c>
      <c r="P1144" s="25" t="str">
        <f t="shared" si="2"/>
        <v/>
      </c>
      <c r="Q1144" s="25" t="str">
        <f ca="1">IFERROR(__xludf.DUMMYFUNCTION("""COMPUTED_VALUE"""),"Sin defenir")</f>
        <v>Sin defenir</v>
      </c>
      <c r="R1144" s="25"/>
      <c r="S1144" s="55"/>
      <c r="T1144" s="56"/>
      <c r="U1144" s="25"/>
      <c r="V1144" s="25"/>
      <c r="W1144" s="25"/>
      <c r="X1144" s="25"/>
      <c r="Y1144" s="25"/>
      <c r="Z1144" s="25"/>
    </row>
    <row r="1145" spans="1:26" ht="52.5" customHeight="1" x14ac:dyDescent="0.25">
      <c r="A1145" s="25" t="str">
        <f ca="1">IFERROR(__xludf.DUMMYFUNCTION("""COMPUTED_VALUE"""),"Integ243")</f>
        <v>Integ243</v>
      </c>
      <c r="B1145" s="25"/>
      <c r="C1145" s="55"/>
      <c r="D1145" s="25" t="str">
        <f ca="1">IFERROR(__xludf.DUMMYFUNCTION("""COMPUTED_VALUE"""),"Integración_Social")</f>
        <v>Integración_Social</v>
      </c>
      <c r="E1145" s="25"/>
      <c r="F1145" s="25"/>
      <c r="G1145" s="25"/>
      <c r="H1145" s="25"/>
      <c r="I1145" s="25"/>
      <c r="J1145" s="55"/>
      <c r="K1145" s="25" t="str">
        <f ca="1">IFERROR(__xludf.DUMMYFUNCTION("""COMPUTED_VALUE"""),"Definir fecha")</f>
        <v>Definir fecha</v>
      </c>
      <c r="L1145" s="62"/>
      <c r="M1145" s="25"/>
      <c r="N1145" s="25"/>
      <c r="O1145" s="25">
        <f t="shared" si="0"/>
        <v>0</v>
      </c>
      <c r="P1145" s="25" t="str">
        <f t="shared" si="2"/>
        <v/>
      </c>
      <c r="Q1145" s="25" t="str">
        <f ca="1">IFERROR(__xludf.DUMMYFUNCTION("""COMPUTED_VALUE"""),"Sin defenir")</f>
        <v>Sin defenir</v>
      </c>
      <c r="R1145" s="25"/>
      <c r="S1145" s="55"/>
      <c r="T1145" s="56"/>
      <c r="U1145" s="25"/>
      <c r="V1145" s="25"/>
      <c r="W1145" s="25"/>
      <c r="X1145" s="25"/>
      <c r="Y1145" s="25"/>
      <c r="Z1145" s="25"/>
    </row>
    <row r="1146" spans="1:26" ht="52.5" customHeight="1" x14ac:dyDescent="0.25">
      <c r="A1146" s="25" t="str">
        <f ca="1">IFERROR(__xludf.DUMMYFUNCTION("""COMPUTED_VALUE"""),"Integ244")</f>
        <v>Integ244</v>
      </c>
      <c r="B1146" s="25"/>
      <c r="C1146" s="55"/>
      <c r="D1146" s="25" t="str">
        <f ca="1">IFERROR(__xludf.DUMMYFUNCTION("""COMPUTED_VALUE"""),"Integración_Social")</f>
        <v>Integración_Social</v>
      </c>
      <c r="E1146" s="25"/>
      <c r="F1146" s="25"/>
      <c r="G1146" s="25"/>
      <c r="H1146" s="25"/>
      <c r="I1146" s="25"/>
      <c r="J1146" s="55"/>
      <c r="K1146" s="25" t="str">
        <f ca="1">IFERROR(__xludf.DUMMYFUNCTION("""COMPUTED_VALUE"""),"Definir fecha")</f>
        <v>Definir fecha</v>
      </c>
      <c r="L1146" s="62"/>
      <c r="M1146" s="25"/>
      <c r="N1146" s="25"/>
      <c r="O1146" s="25">
        <f t="shared" si="0"/>
        <v>0</v>
      </c>
      <c r="P1146" s="25" t="str">
        <f t="shared" si="2"/>
        <v/>
      </c>
      <c r="Q1146" s="25" t="str">
        <f ca="1">IFERROR(__xludf.DUMMYFUNCTION("""COMPUTED_VALUE"""),"Sin defenir")</f>
        <v>Sin defenir</v>
      </c>
      <c r="R1146" s="25"/>
      <c r="S1146" s="55"/>
      <c r="T1146" s="56"/>
      <c r="U1146" s="25"/>
      <c r="V1146" s="25"/>
      <c r="W1146" s="25"/>
      <c r="X1146" s="25"/>
      <c r="Y1146" s="25"/>
      <c r="Z1146" s="25"/>
    </row>
    <row r="1147" spans="1:26" ht="52.5" customHeight="1" x14ac:dyDescent="0.25">
      <c r="A1147" s="25" t="str">
        <f ca="1">IFERROR(__xludf.DUMMYFUNCTION("""COMPUTED_VALUE"""),"Integ245")</f>
        <v>Integ245</v>
      </c>
      <c r="B1147" s="25"/>
      <c r="C1147" s="55"/>
      <c r="D1147" s="25" t="str">
        <f ca="1">IFERROR(__xludf.DUMMYFUNCTION("""COMPUTED_VALUE"""),"Integración_Social")</f>
        <v>Integración_Social</v>
      </c>
      <c r="E1147" s="25"/>
      <c r="F1147" s="25"/>
      <c r="G1147" s="25"/>
      <c r="H1147" s="25"/>
      <c r="I1147" s="25"/>
      <c r="J1147" s="55"/>
      <c r="K1147" s="25" t="str">
        <f ca="1">IFERROR(__xludf.DUMMYFUNCTION("""COMPUTED_VALUE"""),"Definir fecha")</f>
        <v>Definir fecha</v>
      </c>
      <c r="L1147" s="62"/>
      <c r="M1147" s="25"/>
      <c r="N1147" s="25"/>
      <c r="O1147" s="25">
        <f t="shared" si="0"/>
        <v>0</v>
      </c>
      <c r="P1147" s="25" t="str">
        <f t="shared" si="2"/>
        <v/>
      </c>
      <c r="Q1147" s="25" t="str">
        <f ca="1">IFERROR(__xludf.DUMMYFUNCTION("""COMPUTED_VALUE"""),"Sin defenir")</f>
        <v>Sin defenir</v>
      </c>
      <c r="R1147" s="25"/>
      <c r="S1147" s="55"/>
      <c r="T1147" s="56"/>
      <c r="U1147" s="25"/>
      <c r="V1147" s="25"/>
      <c r="W1147" s="25"/>
      <c r="X1147" s="25"/>
      <c r="Y1147" s="25"/>
      <c r="Z1147" s="25"/>
    </row>
    <row r="1148" spans="1:26" ht="52.5" customHeight="1" x14ac:dyDescent="0.25">
      <c r="A1148" s="25" t="str">
        <f ca="1">IFERROR(__xludf.DUMMYFUNCTION("""COMPUTED_VALUE"""),"Integ246")</f>
        <v>Integ246</v>
      </c>
      <c r="B1148" s="25"/>
      <c r="C1148" s="55"/>
      <c r="D1148" s="25" t="str">
        <f ca="1">IFERROR(__xludf.DUMMYFUNCTION("""COMPUTED_VALUE"""),"Integración_Social")</f>
        <v>Integración_Social</v>
      </c>
      <c r="E1148" s="25"/>
      <c r="F1148" s="25"/>
      <c r="G1148" s="25"/>
      <c r="H1148" s="25"/>
      <c r="I1148" s="25"/>
      <c r="J1148" s="55"/>
      <c r="K1148" s="25" t="str">
        <f ca="1">IFERROR(__xludf.DUMMYFUNCTION("""COMPUTED_VALUE"""),"Definir fecha")</f>
        <v>Definir fecha</v>
      </c>
      <c r="L1148" s="62"/>
      <c r="M1148" s="25"/>
      <c r="N1148" s="25"/>
      <c r="O1148" s="25">
        <f t="shared" si="0"/>
        <v>0</v>
      </c>
      <c r="P1148" s="25" t="str">
        <f t="shared" si="2"/>
        <v/>
      </c>
      <c r="Q1148" s="25" t="str">
        <f ca="1">IFERROR(__xludf.DUMMYFUNCTION("""COMPUTED_VALUE"""),"Sin defenir")</f>
        <v>Sin defenir</v>
      </c>
      <c r="R1148" s="25"/>
      <c r="S1148" s="55"/>
      <c r="T1148" s="56"/>
      <c r="U1148" s="25"/>
      <c r="V1148" s="25"/>
      <c r="W1148" s="25"/>
      <c r="X1148" s="25"/>
      <c r="Y1148" s="25"/>
      <c r="Z1148" s="25"/>
    </row>
    <row r="1149" spans="1:26" ht="52.5" customHeight="1" x14ac:dyDescent="0.25">
      <c r="A1149" s="25" t="str">
        <f ca="1">IFERROR(__xludf.DUMMYFUNCTION("""COMPUTED_VALUE"""),"Integ247")</f>
        <v>Integ247</v>
      </c>
      <c r="B1149" s="25"/>
      <c r="C1149" s="55"/>
      <c r="D1149" s="25" t="str">
        <f ca="1">IFERROR(__xludf.DUMMYFUNCTION("""COMPUTED_VALUE"""),"Integración_Social")</f>
        <v>Integración_Social</v>
      </c>
      <c r="E1149" s="25"/>
      <c r="F1149" s="25"/>
      <c r="G1149" s="25"/>
      <c r="H1149" s="25"/>
      <c r="I1149" s="25"/>
      <c r="J1149" s="55"/>
      <c r="K1149" s="25" t="str">
        <f ca="1">IFERROR(__xludf.DUMMYFUNCTION("""COMPUTED_VALUE"""),"Definir fecha")</f>
        <v>Definir fecha</v>
      </c>
      <c r="L1149" s="62"/>
      <c r="M1149" s="25"/>
      <c r="N1149" s="25"/>
      <c r="O1149" s="25">
        <f t="shared" si="0"/>
        <v>0</v>
      </c>
      <c r="P1149" s="25" t="str">
        <f t="shared" si="2"/>
        <v/>
      </c>
      <c r="Q1149" s="25" t="str">
        <f ca="1">IFERROR(__xludf.DUMMYFUNCTION("""COMPUTED_VALUE"""),"Sin defenir")</f>
        <v>Sin defenir</v>
      </c>
      <c r="R1149" s="25"/>
      <c r="S1149" s="55"/>
      <c r="T1149" s="56"/>
      <c r="U1149" s="25"/>
      <c r="V1149" s="25"/>
      <c r="W1149" s="25"/>
      <c r="X1149" s="25"/>
      <c r="Y1149" s="25"/>
      <c r="Z1149" s="25"/>
    </row>
    <row r="1150" spans="1:26" ht="52.5" customHeight="1" x14ac:dyDescent="0.25">
      <c r="A1150" s="25" t="str">
        <f ca="1">IFERROR(__xludf.DUMMYFUNCTION("""COMPUTED_VALUE"""),"Integ248")</f>
        <v>Integ248</v>
      </c>
      <c r="B1150" s="25"/>
      <c r="C1150" s="55"/>
      <c r="D1150" s="25" t="str">
        <f ca="1">IFERROR(__xludf.DUMMYFUNCTION("""COMPUTED_VALUE"""),"Integración_Social")</f>
        <v>Integración_Social</v>
      </c>
      <c r="E1150" s="25"/>
      <c r="F1150" s="25"/>
      <c r="G1150" s="25"/>
      <c r="H1150" s="25"/>
      <c r="I1150" s="25"/>
      <c r="J1150" s="55"/>
      <c r="K1150" s="25" t="str">
        <f ca="1">IFERROR(__xludf.DUMMYFUNCTION("""COMPUTED_VALUE"""),"Definir fecha")</f>
        <v>Definir fecha</v>
      </c>
      <c r="L1150" s="62"/>
      <c r="M1150" s="25"/>
      <c r="N1150" s="25"/>
      <c r="O1150" s="25">
        <f t="shared" si="0"/>
        <v>0</v>
      </c>
      <c r="P1150" s="25" t="str">
        <f t="shared" si="2"/>
        <v/>
      </c>
      <c r="Q1150" s="25" t="str">
        <f ca="1">IFERROR(__xludf.DUMMYFUNCTION("""COMPUTED_VALUE"""),"Sin defenir")</f>
        <v>Sin defenir</v>
      </c>
      <c r="R1150" s="25"/>
      <c r="S1150" s="55"/>
      <c r="T1150" s="56"/>
      <c r="U1150" s="25"/>
      <c r="V1150" s="25"/>
      <c r="W1150" s="25"/>
      <c r="X1150" s="25"/>
      <c r="Y1150" s="25"/>
      <c r="Z1150" s="25"/>
    </row>
    <row r="1151" spans="1:26" ht="52.5" customHeight="1" x14ac:dyDescent="0.25">
      <c r="A1151" s="25" t="str">
        <f ca="1">IFERROR(__xludf.DUMMYFUNCTION("""COMPUTED_VALUE"""),"Integ249")</f>
        <v>Integ249</v>
      </c>
      <c r="B1151" s="25"/>
      <c r="C1151" s="55"/>
      <c r="D1151" s="25" t="str">
        <f ca="1">IFERROR(__xludf.DUMMYFUNCTION("""COMPUTED_VALUE"""),"Integración_Social")</f>
        <v>Integración_Social</v>
      </c>
      <c r="E1151" s="25"/>
      <c r="F1151" s="25"/>
      <c r="G1151" s="25"/>
      <c r="H1151" s="25"/>
      <c r="I1151" s="25"/>
      <c r="J1151" s="55"/>
      <c r="K1151" s="25" t="str">
        <f ca="1">IFERROR(__xludf.DUMMYFUNCTION("""COMPUTED_VALUE"""),"Definir fecha")</f>
        <v>Definir fecha</v>
      </c>
      <c r="L1151" s="62"/>
      <c r="M1151" s="25"/>
      <c r="N1151" s="25"/>
      <c r="O1151" s="25">
        <f t="shared" si="0"/>
        <v>0</v>
      </c>
      <c r="P1151" s="25" t="str">
        <f t="shared" si="2"/>
        <v/>
      </c>
      <c r="Q1151" s="25" t="str">
        <f ca="1">IFERROR(__xludf.DUMMYFUNCTION("""COMPUTED_VALUE"""),"Sin defenir")</f>
        <v>Sin defenir</v>
      </c>
      <c r="R1151" s="25"/>
      <c r="S1151" s="55"/>
      <c r="T1151" s="56"/>
      <c r="U1151" s="25"/>
      <c r="V1151" s="25"/>
      <c r="W1151" s="25"/>
      <c r="X1151" s="25"/>
      <c r="Y1151" s="25"/>
      <c r="Z1151" s="25"/>
    </row>
    <row r="1152" spans="1:26" ht="52.5" customHeight="1" x14ac:dyDescent="0.25">
      <c r="A1152" s="25" t="str">
        <f ca="1">IFERROR(__xludf.DUMMYFUNCTION("""COMPUTED_VALUE"""),"Integ250")</f>
        <v>Integ250</v>
      </c>
      <c r="B1152" s="25"/>
      <c r="C1152" s="55"/>
      <c r="D1152" s="25" t="str">
        <f ca="1">IFERROR(__xludf.DUMMYFUNCTION("""COMPUTED_VALUE"""),"Integración_Social")</f>
        <v>Integración_Social</v>
      </c>
      <c r="E1152" s="25"/>
      <c r="F1152" s="25"/>
      <c r="G1152" s="25"/>
      <c r="H1152" s="25"/>
      <c r="I1152" s="25"/>
      <c r="J1152" s="55"/>
      <c r="K1152" s="25" t="str">
        <f ca="1">IFERROR(__xludf.DUMMYFUNCTION("""COMPUTED_VALUE"""),"Definir fecha")</f>
        <v>Definir fecha</v>
      </c>
      <c r="L1152" s="62"/>
      <c r="M1152" s="25"/>
      <c r="N1152" s="25"/>
      <c r="O1152" s="25">
        <f t="shared" si="0"/>
        <v>0</v>
      </c>
      <c r="P1152" s="25" t="str">
        <f t="shared" si="2"/>
        <v/>
      </c>
      <c r="Q1152" s="25" t="str">
        <f ca="1">IFERROR(__xludf.DUMMYFUNCTION("""COMPUTED_VALUE"""),"Sin defenir")</f>
        <v>Sin defenir</v>
      </c>
      <c r="R1152" s="25"/>
      <c r="S1152" s="55"/>
      <c r="T1152" s="56"/>
      <c r="U1152" s="25"/>
      <c r="V1152" s="25"/>
      <c r="W1152" s="25"/>
      <c r="X1152" s="25"/>
      <c r="Y1152" s="25"/>
      <c r="Z1152" s="25"/>
    </row>
    <row r="1153" spans="1:26" ht="52.5" customHeight="1" x14ac:dyDescent="0.25">
      <c r="A1153" s="25" t="str">
        <f ca="1">IFERROR(__xludf.DUMMYFUNCTION("""COMPUTED_VALUE"""),"Integ251")</f>
        <v>Integ251</v>
      </c>
      <c r="B1153" s="25"/>
      <c r="C1153" s="55"/>
      <c r="D1153" s="25" t="str">
        <f ca="1">IFERROR(__xludf.DUMMYFUNCTION("""COMPUTED_VALUE"""),"Integración_Social")</f>
        <v>Integración_Social</v>
      </c>
      <c r="E1153" s="25"/>
      <c r="F1153" s="25"/>
      <c r="G1153" s="25"/>
      <c r="H1153" s="25"/>
      <c r="I1153" s="25"/>
      <c r="J1153" s="55"/>
      <c r="K1153" s="25" t="str">
        <f ca="1">IFERROR(__xludf.DUMMYFUNCTION("""COMPUTED_VALUE"""),"Definir fecha")</f>
        <v>Definir fecha</v>
      </c>
      <c r="L1153" s="62"/>
      <c r="M1153" s="25"/>
      <c r="N1153" s="25"/>
      <c r="O1153" s="25">
        <f t="shared" si="0"/>
        <v>0</v>
      </c>
      <c r="P1153" s="25" t="str">
        <f t="shared" si="2"/>
        <v/>
      </c>
      <c r="Q1153" s="25" t="str">
        <f ca="1">IFERROR(__xludf.DUMMYFUNCTION("""COMPUTED_VALUE"""),"Sin defenir")</f>
        <v>Sin defenir</v>
      </c>
      <c r="R1153" s="25"/>
      <c r="S1153" s="55"/>
      <c r="T1153" s="56"/>
      <c r="U1153" s="25"/>
      <c r="V1153" s="25"/>
      <c r="W1153" s="25"/>
      <c r="X1153" s="25"/>
      <c r="Y1153" s="25"/>
      <c r="Z1153" s="25"/>
    </row>
    <row r="1154" spans="1:26" ht="52.5" customHeight="1" x14ac:dyDescent="0.25">
      <c r="A1154" s="25" t="str">
        <f ca="1">IFERROR(__xludf.DUMMYFUNCTION("""COMPUTED_VALUE"""),"Integ252")</f>
        <v>Integ252</v>
      </c>
      <c r="B1154" s="25"/>
      <c r="C1154" s="55"/>
      <c r="D1154" s="25" t="str">
        <f ca="1">IFERROR(__xludf.DUMMYFUNCTION("""COMPUTED_VALUE"""),"Integración_Social")</f>
        <v>Integración_Social</v>
      </c>
      <c r="E1154" s="25"/>
      <c r="F1154" s="25"/>
      <c r="G1154" s="25"/>
      <c r="H1154" s="25"/>
      <c r="I1154" s="25"/>
      <c r="J1154" s="55"/>
      <c r="K1154" s="25" t="str">
        <f ca="1">IFERROR(__xludf.DUMMYFUNCTION("""COMPUTED_VALUE"""),"Definir fecha")</f>
        <v>Definir fecha</v>
      </c>
      <c r="L1154" s="62"/>
      <c r="M1154" s="25"/>
      <c r="N1154" s="25"/>
      <c r="O1154" s="25">
        <f t="shared" si="0"/>
        <v>0</v>
      </c>
      <c r="P1154" s="25" t="str">
        <f t="shared" si="2"/>
        <v/>
      </c>
      <c r="Q1154" s="25" t="str">
        <f ca="1">IFERROR(__xludf.DUMMYFUNCTION("""COMPUTED_VALUE"""),"Sin defenir")</f>
        <v>Sin defenir</v>
      </c>
      <c r="R1154" s="25"/>
      <c r="S1154" s="55"/>
      <c r="T1154" s="56"/>
      <c r="U1154" s="25"/>
      <c r="V1154" s="25"/>
      <c r="W1154" s="25"/>
      <c r="X1154" s="25"/>
      <c r="Y1154" s="25"/>
      <c r="Z1154" s="25"/>
    </row>
    <row r="1155" spans="1:26" ht="52.5" customHeight="1" x14ac:dyDescent="0.25">
      <c r="A1155" s="25" t="str">
        <f ca="1">IFERROR(__xludf.DUMMYFUNCTION("""COMPUTED_VALUE"""),"Integ253")</f>
        <v>Integ253</v>
      </c>
      <c r="B1155" s="25"/>
      <c r="C1155" s="55"/>
      <c r="D1155" s="25" t="str">
        <f ca="1">IFERROR(__xludf.DUMMYFUNCTION("""COMPUTED_VALUE"""),"Integración_Social")</f>
        <v>Integración_Social</v>
      </c>
      <c r="E1155" s="25"/>
      <c r="F1155" s="25"/>
      <c r="G1155" s="25"/>
      <c r="H1155" s="25"/>
      <c r="I1155" s="25"/>
      <c r="J1155" s="55"/>
      <c r="K1155" s="25" t="str">
        <f ca="1">IFERROR(__xludf.DUMMYFUNCTION("""COMPUTED_VALUE"""),"Definir fecha")</f>
        <v>Definir fecha</v>
      </c>
      <c r="L1155" s="62"/>
      <c r="M1155" s="25"/>
      <c r="N1155" s="25"/>
      <c r="O1155" s="25">
        <f t="shared" si="0"/>
        <v>0</v>
      </c>
      <c r="P1155" s="25" t="str">
        <f t="shared" si="2"/>
        <v/>
      </c>
      <c r="Q1155" s="25" t="str">
        <f ca="1">IFERROR(__xludf.DUMMYFUNCTION("""COMPUTED_VALUE"""),"Sin defenir")</f>
        <v>Sin defenir</v>
      </c>
      <c r="R1155" s="25"/>
      <c r="S1155" s="55"/>
      <c r="T1155" s="56"/>
      <c r="U1155" s="25"/>
      <c r="V1155" s="25"/>
      <c r="W1155" s="25"/>
      <c r="X1155" s="25"/>
      <c r="Y1155" s="25"/>
      <c r="Z1155" s="25"/>
    </row>
    <row r="1156" spans="1:26" ht="52.5" customHeight="1" x14ac:dyDescent="0.25">
      <c r="A1156" s="25" t="str">
        <f ca="1">IFERROR(__xludf.DUMMYFUNCTION("""COMPUTED_VALUE"""),"Integ254")</f>
        <v>Integ254</v>
      </c>
      <c r="B1156" s="25"/>
      <c r="C1156" s="55"/>
      <c r="D1156" s="25" t="str">
        <f ca="1">IFERROR(__xludf.DUMMYFUNCTION("""COMPUTED_VALUE"""),"Integración_Social")</f>
        <v>Integración_Social</v>
      </c>
      <c r="E1156" s="25"/>
      <c r="F1156" s="25"/>
      <c r="G1156" s="25"/>
      <c r="H1156" s="25"/>
      <c r="I1156" s="25"/>
      <c r="J1156" s="55"/>
      <c r="K1156" s="25" t="str">
        <f ca="1">IFERROR(__xludf.DUMMYFUNCTION("""COMPUTED_VALUE"""),"Definir fecha")</f>
        <v>Definir fecha</v>
      </c>
      <c r="L1156" s="62"/>
      <c r="M1156" s="25"/>
      <c r="N1156" s="25"/>
      <c r="O1156" s="25">
        <f t="shared" si="0"/>
        <v>0</v>
      </c>
      <c r="P1156" s="25" t="str">
        <f t="shared" si="2"/>
        <v/>
      </c>
      <c r="Q1156" s="25" t="str">
        <f ca="1">IFERROR(__xludf.DUMMYFUNCTION("""COMPUTED_VALUE"""),"Sin defenir")</f>
        <v>Sin defenir</v>
      </c>
      <c r="R1156" s="25"/>
      <c r="S1156" s="55"/>
      <c r="T1156" s="56"/>
      <c r="U1156" s="25"/>
      <c r="V1156" s="25"/>
      <c r="W1156" s="25"/>
      <c r="X1156" s="25"/>
      <c r="Y1156" s="25"/>
      <c r="Z1156" s="25"/>
    </row>
    <row r="1157" spans="1:26" ht="52.5" customHeight="1" x14ac:dyDescent="0.25">
      <c r="A1157" s="25" t="str">
        <f ca="1">IFERROR(__xludf.DUMMYFUNCTION("""COMPUTED_VALUE"""),"Integ255")</f>
        <v>Integ255</v>
      </c>
      <c r="B1157" s="25"/>
      <c r="C1157" s="55"/>
      <c r="D1157" s="25" t="str">
        <f ca="1">IFERROR(__xludf.DUMMYFUNCTION("""COMPUTED_VALUE"""),"Integración_Social")</f>
        <v>Integración_Social</v>
      </c>
      <c r="E1157" s="25"/>
      <c r="F1157" s="25"/>
      <c r="G1157" s="25"/>
      <c r="H1157" s="25"/>
      <c r="I1157" s="25"/>
      <c r="J1157" s="55"/>
      <c r="K1157" s="25" t="str">
        <f ca="1">IFERROR(__xludf.DUMMYFUNCTION("""COMPUTED_VALUE"""),"Definir fecha")</f>
        <v>Definir fecha</v>
      </c>
      <c r="L1157" s="62"/>
      <c r="M1157" s="25"/>
      <c r="N1157" s="25"/>
      <c r="O1157" s="25">
        <f t="shared" si="0"/>
        <v>0</v>
      </c>
      <c r="P1157" s="25" t="str">
        <f t="shared" si="2"/>
        <v/>
      </c>
      <c r="Q1157" s="25" t="str">
        <f ca="1">IFERROR(__xludf.DUMMYFUNCTION("""COMPUTED_VALUE"""),"Sin defenir")</f>
        <v>Sin defenir</v>
      </c>
      <c r="R1157" s="25"/>
      <c r="S1157" s="55"/>
      <c r="T1157" s="56"/>
      <c r="U1157" s="25"/>
      <c r="V1157" s="25"/>
      <c r="W1157" s="25"/>
      <c r="X1157" s="25"/>
      <c r="Y1157" s="25"/>
      <c r="Z1157" s="25"/>
    </row>
    <row r="1158" spans="1:26" ht="52.5" customHeight="1" x14ac:dyDescent="0.25">
      <c r="A1158" s="25" t="str">
        <f ca="1">IFERROR(__xludf.DUMMYFUNCTION("""COMPUTED_VALUE"""),"Integ256")</f>
        <v>Integ256</v>
      </c>
      <c r="B1158" s="25"/>
      <c r="C1158" s="55"/>
      <c r="D1158" s="25" t="str">
        <f ca="1">IFERROR(__xludf.DUMMYFUNCTION("""COMPUTED_VALUE"""),"Integración_Social")</f>
        <v>Integración_Social</v>
      </c>
      <c r="E1158" s="25"/>
      <c r="F1158" s="25"/>
      <c r="G1158" s="25"/>
      <c r="H1158" s="25"/>
      <c r="I1158" s="25"/>
      <c r="J1158" s="55"/>
      <c r="K1158" s="25" t="str">
        <f ca="1">IFERROR(__xludf.DUMMYFUNCTION("""COMPUTED_VALUE"""),"Definir fecha")</f>
        <v>Definir fecha</v>
      </c>
      <c r="L1158" s="62"/>
      <c r="M1158" s="25"/>
      <c r="N1158" s="25"/>
      <c r="O1158" s="25">
        <f t="shared" si="0"/>
        <v>0</v>
      </c>
      <c r="P1158" s="25" t="str">
        <f t="shared" si="2"/>
        <v/>
      </c>
      <c r="Q1158" s="25" t="str">
        <f ca="1">IFERROR(__xludf.DUMMYFUNCTION("""COMPUTED_VALUE"""),"Sin defenir")</f>
        <v>Sin defenir</v>
      </c>
      <c r="R1158" s="25"/>
      <c r="S1158" s="55"/>
      <c r="T1158" s="56"/>
      <c r="U1158" s="25"/>
      <c r="V1158" s="25"/>
      <c r="W1158" s="25"/>
      <c r="X1158" s="25"/>
      <c r="Y1158" s="25"/>
      <c r="Z1158" s="25"/>
    </row>
    <row r="1159" spans="1:26" ht="52.5" customHeight="1" x14ac:dyDescent="0.25">
      <c r="A1159" s="25" t="str">
        <f ca="1">IFERROR(__xludf.DUMMYFUNCTION("""COMPUTED_VALUE"""),"Integ257")</f>
        <v>Integ257</v>
      </c>
      <c r="B1159" s="25"/>
      <c r="C1159" s="55"/>
      <c r="D1159" s="25" t="str">
        <f ca="1">IFERROR(__xludf.DUMMYFUNCTION("""COMPUTED_VALUE"""),"Integración_Social")</f>
        <v>Integración_Social</v>
      </c>
      <c r="E1159" s="25"/>
      <c r="F1159" s="25"/>
      <c r="G1159" s="25"/>
      <c r="H1159" s="25"/>
      <c r="I1159" s="25"/>
      <c r="J1159" s="55"/>
      <c r="K1159" s="25" t="str">
        <f ca="1">IFERROR(__xludf.DUMMYFUNCTION("""COMPUTED_VALUE"""),"Definir fecha")</f>
        <v>Definir fecha</v>
      </c>
      <c r="L1159" s="62"/>
      <c r="M1159" s="25"/>
      <c r="N1159" s="25"/>
      <c r="O1159" s="25">
        <f t="shared" si="0"/>
        <v>0</v>
      </c>
      <c r="P1159" s="25" t="str">
        <f t="shared" si="2"/>
        <v/>
      </c>
      <c r="Q1159" s="25" t="str">
        <f ca="1">IFERROR(__xludf.DUMMYFUNCTION("""COMPUTED_VALUE"""),"Sin defenir")</f>
        <v>Sin defenir</v>
      </c>
      <c r="R1159" s="25"/>
      <c r="S1159" s="55"/>
      <c r="T1159" s="56"/>
      <c r="U1159" s="25"/>
      <c r="V1159" s="25"/>
      <c r="W1159" s="25"/>
      <c r="X1159" s="25"/>
      <c r="Y1159" s="25"/>
      <c r="Z1159" s="25"/>
    </row>
    <row r="1160" spans="1:26" ht="52.5" customHeight="1" x14ac:dyDescent="0.25">
      <c r="A1160" s="25" t="str">
        <f ca="1">IFERROR(__xludf.DUMMYFUNCTION("""COMPUTED_VALUE"""),"Integ258")</f>
        <v>Integ258</v>
      </c>
      <c r="B1160" s="25"/>
      <c r="C1160" s="55"/>
      <c r="D1160" s="25" t="str">
        <f ca="1">IFERROR(__xludf.DUMMYFUNCTION("""COMPUTED_VALUE"""),"Integración_Social")</f>
        <v>Integración_Social</v>
      </c>
      <c r="E1160" s="25"/>
      <c r="F1160" s="25"/>
      <c r="G1160" s="25"/>
      <c r="H1160" s="25"/>
      <c r="I1160" s="25"/>
      <c r="J1160" s="55"/>
      <c r="K1160" s="25" t="str">
        <f ca="1">IFERROR(__xludf.DUMMYFUNCTION("""COMPUTED_VALUE"""),"Definir fecha")</f>
        <v>Definir fecha</v>
      </c>
      <c r="L1160" s="62"/>
      <c r="M1160" s="25"/>
      <c r="N1160" s="25"/>
      <c r="O1160" s="25">
        <f t="shared" si="0"/>
        <v>0</v>
      </c>
      <c r="P1160" s="25" t="str">
        <f t="shared" si="2"/>
        <v/>
      </c>
      <c r="Q1160" s="25" t="str">
        <f ca="1">IFERROR(__xludf.DUMMYFUNCTION("""COMPUTED_VALUE"""),"Sin defenir")</f>
        <v>Sin defenir</v>
      </c>
      <c r="R1160" s="25"/>
      <c r="S1160" s="55"/>
      <c r="T1160" s="56"/>
      <c r="U1160" s="25"/>
      <c r="V1160" s="25"/>
      <c r="W1160" s="25"/>
      <c r="X1160" s="25"/>
      <c r="Y1160" s="25"/>
      <c r="Z1160" s="25"/>
    </row>
    <row r="1161" spans="1:26" ht="52.5" customHeight="1" x14ac:dyDescent="0.25">
      <c r="A1161" s="25" t="str">
        <f ca="1">IFERROR(__xludf.DUMMYFUNCTION("""COMPUTED_VALUE"""),"Integ259")</f>
        <v>Integ259</v>
      </c>
      <c r="B1161" s="25"/>
      <c r="C1161" s="55"/>
      <c r="D1161" s="25" t="str">
        <f ca="1">IFERROR(__xludf.DUMMYFUNCTION("""COMPUTED_VALUE"""),"Integración_Social")</f>
        <v>Integración_Social</v>
      </c>
      <c r="E1161" s="25"/>
      <c r="F1161" s="25"/>
      <c r="G1161" s="25"/>
      <c r="H1161" s="25"/>
      <c r="I1161" s="25"/>
      <c r="J1161" s="55"/>
      <c r="K1161" s="25" t="str">
        <f ca="1">IFERROR(__xludf.DUMMYFUNCTION("""COMPUTED_VALUE"""),"Definir fecha")</f>
        <v>Definir fecha</v>
      </c>
      <c r="L1161" s="62"/>
      <c r="M1161" s="25"/>
      <c r="N1161" s="25"/>
      <c r="O1161" s="25">
        <f t="shared" si="0"/>
        <v>0</v>
      </c>
      <c r="P1161" s="25" t="str">
        <f t="shared" si="2"/>
        <v/>
      </c>
      <c r="Q1161" s="25" t="str">
        <f ca="1">IFERROR(__xludf.DUMMYFUNCTION("""COMPUTED_VALUE"""),"Sin defenir")</f>
        <v>Sin defenir</v>
      </c>
      <c r="R1161" s="25"/>
      <c r="S1161" s="55"/>
      <c r="T1161" s="56"/>
      <c r="U1161" s="25"/>
      <c r="V1161" s="25"/>
      <c r="W1161" s="25"/>
      <c r="X1161" s="25"/>
      <c r="Y1161" s="25"/>
      <c r="Z1161" s="25"/>
    </row>
    <row r="1162" spans="1:26" ht="52.5" customHeight="1" x14ac:dyDescent="0.25">
      <c r="A1162" s="25" t="str">
        <f ca="1">IFERROR(__xludf.DUMMYFUNCTION("""COMPUTED_VALUE"""),"Integ260")</f>
        <v>Integ260</v>
      </c>
      <c r="B1162" s="25"/>
      <c r="C1162" s="55"/>
      <c r="D1162" s="25" t="str">
        <f ca="1">IFERROR(__xludf.DUMMYFUNCTION("""COMPUTED_VALUE"""),"Integración_Social")</f>
        <v>Integración_Social</v>
      </c>
      <c r="E1162" s="25"/>
      <c r="F1162" s="25"/>
      <c r="G1162" s="25"/>
      <c r="H1162" s="25"/>
      <c r="I1162" s="25"/>
      <c r="J1162" s="55"/>
      <c r="K1162" s="25" t="str">
        <f ca="1">IFERROR(__xludf.DUMMYFUNCTION("""COMPUTED_VALUE"""),"Definir fecha")</f>
        <v>Definir fecha</v>
      </c>
      <c r="L1162" s="62"/>
      <c r="M1162" s="25"/>
      <c r="N1162" s="25"/>
      <c r="O1162" s="25">
        <f t="shared" si="0"/>
        <v>0</v>
      </c>
      <c r="P1162" s="25" t="str">
        <f t="shared" si="2"/>
        <v/>
      </c>
      <c r="Q1162" s="25" t="str">
        <f ca="1">IFERROR(__xludf.DUMMYFUNCTION("""COMPUTED_VALUE"""),"Sin defenir")</f>
        <v>Sin defenir</v>
      </c>
      <c r="R1162" s="25"/>
      <c r="S1162" s="55"/>
      <c r="T1162" s="56"/>
      <c r="U1162" s="25"/>
      <c r="V1162" s="25"/>
      <c r="W1162" s="25"/>
      <c r="X1162" s="25"/>
      <c r="Y1162" s="25"/>
      <c r="Z1162" s="25"/>
    </row>
    <row r="1163" spans="1:26" ht="52.5" customHeight="1" x14ac:dyDescent="0.25">
      <c r="A1163" s="25" t="str">
        <f ca="1">IFERROR(__xludf.DUMMYFUNCTION("""COMPUTED_VALUE"""),"Integ261")</f>
        <v>Integ261</v>
      </c>
      <c r="B1163" s="25"/>
      <c r="C1163" s="55"/>
      <c r="D1163" s="25" t="str">
        <f ca="1">IFERROR(__xludf.DUMMYFUNCTION("""COMPUTED_VALUE"""),"Integración_Social")</f>
        <v>Integración_Social</v>
      </c>
      <c r="E1163" s="25"/>
      <c r="F1163" s="25"/>
      <c r="G1163" s="25"/>
      <c r="H1163" s="25"/>
      <c r="I1163" s="25"/>
      <c r="J1163" s="55"/>
      <c r="K1163" s="25" t="str">
        <f ca="1">IFERROR(__xludf.DUMMYFUNCTION("""COMPUTED_VALUE"""),"Definir fecha")</f>
        <v>Definir fecha</v>
      </c>
      <c r="L1163" s="62"/>
      <c r="M1163" s="25"/>
      <c r="N1163" s="25"/>
      <c r="O1163" s="25">
        <f t="shared" si="0"/>
        <v>0</v>
      </c>
      <c r="P1163" s="25" t="str">
        <f t="shared" si="2"/>
        <v/>
      </c>
      <c r="Q1163" s="25" t="str">
        <f ca="1">IFERROR(__xludf.DUMMYFUNCTION("""COMPUTED_VALUE"""),"Sin defenir")</f>
        <v>Sin defenir</v>
      </c>
      <c r="R1163" s="25"/>
      <c r="S1163" s="55"/>
      <c r="T1163" s="56"/>
      <c r="U1163" s="25"/>
      <c r="V1163" s="25"/>
      <c r="W1163" s="25"/>
      <c r="X1163" s="25"/>
      <c r="Y1163" s="25"/>
      <c r="Z1163" s="25"/>
    </row>
    <row r="1164" spans="1:26" ht="52.5" customHeight="1" x14ac:dyDescent="0.25">
      <c r="A1164" s="25" t="str">
        <f ca="1">IFERROR(__xludf.DUMMYFUNCTION("""COMPUTED_VALUE"""),"Integ262")</f>
        <v>Integ262</v>
      </c>
      <c r="B1164" s="25"/>
      <c r="C1164" s="55"/>
      <c r="D1164" s="25" t="str">
        <f ca="1">IFERROR(__xludf.DUMMYFUNCTION("""COMPUTED_VALUE"""),"Integración_Social")</f>
        <v>Integración_Social</v>
      </c>
      <c r="E1164" s="25"/>
      <c r="F1164" s="25"/>
      <c r="G1164" s="25"/>
      <c r="H1164" s="25"/>
      <c r="I1164" s="25"/>
      <c r="J1164" s="55"/>
      <c r="K1164" s="25" t="str">
        <f ca="1">IFERROR(__xludf.DUMMYFUNCTION("""COMPUTED_VALUE"""),"Definir fecha")</f>
        <v>Definir fecha</v>
      </c>
      <c r="L1164" s="62"/>
      <c r="M1164" s="25"/>
      <c r="N1164" s="25"/>
      <c r="O1164" s="25">
        <f t="shared" si="0"/>
        <v>0</v>
      </c>
      <c r="P1164" s="25" t="str">
        <f t="shared" si="2"/>
        <v/>
      </c>
      <c r="Q1164" s="25" t="str">
        <f ca="1">IFERROR(__xludf.DUMMYFUNCTION("""COMPUTED_VALUE"""),"Sin defenir")</f>
        <v>Sin defenir</v>
      </c>
      <c r="R1164" s="25"/>
      <c r="S1164" s="55"/>
      <c r="T1164" s="56"/>
      <c r="U1164" s="25"/>
      <c r="V1164" s="25"/>
      <c r="W1164" s="25"/>
      <c r="X1164" s="25"/>
      <c r="Y1164" s="25"/>
      <c r="Z1164" s="25"/>
    </row>
    <row r="1165" spans="1:26" ht="52.5" customHeight="1" x14ac:dyDescent="0.25">
      <c r="A1165" s="25" t="str">
        <f ca="1">IFERROR(__xludf.DUMMYFUNCTION("""COMPUTED_VALUE"""),"Integ263")</f>
        <v>Integ263</v>
      </c>
      <c r="B1165" s="25"/>
      <c r="C1165" s="55"/>
      <c r="D1165" s="25" t="str">
        <f ca="1">IFERROR(__xludf.DUMMYFUNCTION("""COMPUTED_VALUE"""),"Integración_Social")</f>
        <v>Integración_Social</v>
      </c>
      <c r="E1165" s="25"/>
      <c r="F1165" s="25"/>
      <c r="G1165" s="25"/>
      <c r="H1165" s="25"/>
      <c r="I1165" s="25"/>
      <c r="J1165" s="55"/>
      <c r="K1165" s="25" t="str">
        <f ca="1">IFERROR(__xludf.DUMMYFUNCTION("""COMPUTED_VALUE"""),"Definir fecha")</f>
        <v>Definir fecha</v>
      </c>
      <c r="L1165" s="62"/>
      <c r="M1165" s="25"/>
      <c r="N1165" s="25"/>
      <c r="O1165" s="25">
        <f t="shared" si="0"/>
        <v>0</v>
      </c>
      <c r="P1165" s="25" t="str">
        <f t="shared" si="2"/>
        <v/>
      </c>
      <c r="Q1165" s="25" t="str">
        <f ca="1">IFERROR(__xludf.DUMMYFUNCTION("""COMPUTED_VALUE"""),"Sin defenir")</f>
        <v>Sin defenir</v>
      </c>
      <c r="R1165" s="25"/>
      <c r="S1165" s="55"/>
      <c r="T1165" s="56"/>
      <c r="U1165" s="25"/>
      <c r="V1165" s="25"/>
      <c r="W1165" s="25"/>
      <c r="X1165" s="25"/>
      <c r="Y1165" s="25"/>
      <c r="Z1165" s="25"/>
    </row>
    <row r="1166" spans="1:26" ht="52.5" customHeight="1" x14ac:dyDescent="0.25">
      <c r="A1166" s="25" t="str">
        <f ca="1">IFERROR(__xludf.DUMMYFUNCTION("""COMPUTED_VALUE"""),"Integ264")</f>
        <v>Integ264</v>
      </c>
      <c r="B1166" s="25"/>
      <c r="C1166" s="55"/>
      <c r="D1166" s="25" t="str">
        <f ca="1">IFERROR(__xludf.DUMMYFUNCTION("""COMPUTED_VALUE"""),"Integración_Social")</f>
        <v>Integración_Social</v>
      </c>
      <c r="E1166" s="25"/>
      <c r="F1166" s="25"/>
      <c r="G1166" s="25"/>
      <c r="H1166" s="25"/>
      <c r="I1166" s="25"/>
      <c r="J1166" s="55"/>
      <c r="K1166" s="25" t="str">
        <f ca="1">IFERROR(__xludf.DUMMYFUNCTION("""COMPUTED_VALUE"""),"Definir fecha")</f>
        <v>Definir fecha</v>
      </c>
      <c r="L1166" s="62"/>
      <c r="M1166" s="25"/>
      <c r="N1166" s="25"/>
      <c r="O1166" s="25">
        <f t="shared" si="0"/>
        <v>0</v>
      </c>
      <c r="P1166" s="25" t="str">
        <f t="shared" si="2"/>
        <v/>
      </c>
      <c r="Q1166" s="25" t="str">
        <f ca="1">IFERROR(__xludf.DUMMYFUNCTION("""COMPUTED_VALUE"""),"Sin defenir")</f>
        <v>Sin defenir</v>
      </c>
      <c r="R1166" s="25"/>
      <c r="S1166" s="55"/>
      <c r="T1166" s="56"/>
      <c r="U1166" s="25"/>
      <c r="V1166" s="25"/>
      <c r="W1166" s="25"/>
      <c r="X1166" s="25"/>
      <c r="Y1166" s="25"/>
      <c r="Z1166" s="25"/>
    </row>
    <row r="1167" spans="1:26" ht="52.5" customHeight="1" x14ac:dyDescent="0.25">
      <c r="A1167" s="25" t="str">
        <f ca="1">IFERROR(__xludf.DUMMYFUNCTION("""COMPUTED_VALUE"""),"Integ265")</f>
        <v>Integ265</v>
      </c>
      <c r="B1167" s="25"/>
      <c r="C1167" s="55"/>
      <c r="D1167" s="25" t="str">
        <f ca="1">IFERROR(__xludf.DUMMYFUNCTION("""COMPUTED_VALUE"""),"Integración_Social")</f>
        <v>Integración_Social</v>
      </c>
      <c r="E1167" s="25"/>
      <c r="F1167" s="25"/>
      <c r="G1167" s="25"/>
      <c r="H1167" s="25"/>
      <c r="I1167" s="25"/>
      <c r="J1167" s="55"/>
      <c r="K1167" s="25" t="str">
        <f ca="1">IFERROR(__xludf.DUMMYFUNCTION("""COMPUTED_VALUE"""),"Definir fecha")</f>
        <v>Definir fecha</v>
      </c>
      <c r="L1167" s="62"/>
      <c r="M1167" s="25"/>
      <c r="N1167" s="25"/>
      <c r="O1167" s="25">
        <f t="shared" si="0"/>
        <v>0</v>
      </c>
      <c r="P1167" s="25" t="str">
        <f t="shared" si="2"/>
        <v/>
      </c>
      <c r="Q1167" s="25" t="str">
        <f ca="1">IFERROR(__xludf.DUMMYFUNCTION("""COMPUTED_VALUE"""),"Sin defenir")</f>
        <v>Sin defenir</v>
      </c>
      <c r="R1167" s="25"/>
      <c r="S1167" s="55"/>
      <c r="T1167" s="56"/>
      <c r="U1167" s="25"/>
      <c r="V1167" s="25"/>
      <c r="W1167" s="25"/>
      <c r="X1167" s="25"/>
      <c r="Y1167" s="25"/>
      <c r="Z1167" s="25"/>
    </row>
    <row r="1168" spans="1:26" ht="52.5" customHeight="1" x14ac:dyDescent="0.25">
      <c r="A1168" s="25" t="str">
        <f ca="1">IFERROR(__xludf.DUMMYFUNCTION("""COMPUTED_VALUE"""),"Integ266")</f>
        <v>Integ266</v>
      </c>
      <c r="B1168" s="25"/>
      <c r="C1168" s="55"/>
      <c r="D1168" s="25" t="str">
        <f ca="1">IFERROR(__xludf.DUMMYFUNCTION("""COMPUTED_VALUE"""),"Integración_Social")</f>
        <v>Integración_Social</v>
      </c>
      <c r="E1168" s="25"/>
      <c r="F1168" s="25"/>
      <c r="G1168" s="25"/>
      <c r="H1168" s="25"/>
      <c r="I1168" s="25"/>
      <c r="J1168" s="55"/>
      <c r="K1168" s="25" t="str">
        <f ca="1">IFERROR(__xludf.DUMMYFUNCTION("""COMPUTED_VALUE"""),"Definir fecha")</f>
        <v>Definir fecha</v>
      </c>
      <c r="L1168" s="62"/>
      <c r="M1168" s="25"/>
      <c r="N1168" s="25"/>
      <c r="O1168" s="25">
        <f t="shared" si="0"/>
        <v>0</v>
      </c>
      <c r="P1168" s="25" t="str">
        <f t="shared" si="2"/>
        <v/>
      </c>
      <c r="Q1168" s="25" t="str">
        <f ca="1">IFERROR(__xludf.DUMMYFUNCTION("""COMPUTED_VALUE"""),"Sin defenir")</f>
        <v>Sin defenir</v>
      </c>
      <c r="R1168" s="25"/>
      <c r="S1168" s="55"/>
      <c r="T1168" s="56"/>
      <c r="U1168" s="25"/>
      <c r="V1168" s="25"/>
      <c r="W1168" s="25"/>
      <c r="X1168" s="25"/>
      <c r="Y1168" s="25"/>
      <c r="Z1168" s="25"/>
    </row>
    <row r="1169" spans="1:26" ht="52.5" customHeight="1" x14ac:dyDescent="0.25">
      <c r="A1169" s="25" t="str">
        <f ca="1">IFERROR(__xludf.DUMMYFUNCTION("""COMPUTED_VALUE"""),"Integ267")</f>
        <v>Integ267</v>
      </c>
      <c r="B1169" s="25"/>
      <c r="C1169" s="55"/>
      <c r="D1169" s="25" t="str">
        <f ca="1">IFERROR(__xludf.DUMMYFUNCTION("""COMPUTED_VALUE"""),"Integración_Social")</f>
        <v>Integración_Social</v>
      </c>
      <c r="E1169" s="25"/>
      <c r="F1169" s="25"/>
      <c r="G1169" s="25"/>
      <c r="H1169" s="25"/>
      <c r="I1169" s="25"/>
      <c r="J1169" s="55"/>
      <c r="K1169" s="25" t="str">
        <f ca="1">IFERROR(__xludf.DUMMYFUNCTION("""COMPUTED_VALUE"""),"Definir fecha")</f>
        <v>Definir fecha</v>
      </c>
      <c r="L1169" s="62"/>
      <c r="M1169" s="25"/>
      <c r="N1169" s="25"/>
      <c r="O1169" s="25">
        <f t="shared" si="0"/>
        <v>0</v>
      </c>
      <c r="P1169" s="25" t="str">
        <f t="shared" si="2"/>
        <v/>
      </c>
      <c r="Q1169" s="25" t="str">
        <f ca="1">IFERROR(__xludf.DUMMYFUNCTION("""COMPUTED_VALUE"""),"Sin defenir")</f>
        <v>Sin defenir</v>
      </c>
      <c r="R1169" s="25"/>
      <c r="S1169" s="55"/>
      <c r="T1169" s="56"/>
      <c r="U1169" s="25"/>
      <c r="V1169" s="25"/>
      <c r="W1169" s="25"/>
      <c r="X1169" s="25"/>
      <c r="Y1169" s="25"/>
      <c r="Z1169" s="25"/>
    </row>
    <row r="1170" spans="1:26" ht="52.5" customHeight="1" x14ac:dyDescent="0.25">
      <c r="A1170" s="25" t="str">
        <f ca="1">IFERROR(__xludf.DUMMYFUNCTION("""COMPUTED_VALUE"""),"Integ268")</f>
        <v>Integ268</v>
      </c>
      <c r="B1170" s="25"/>
      <c r="C1170" s="55"/>
      <c r="D1170" s="25" t="str">
        <f ca="1">IFERROR(__xludf.DUMMYFUNCTION("""COMPUTED_VALUE"""),"Integración_Social")</f>
        <v>Integración_Social</v>
      </c>
      <c r="E1170" s="25"/>
      <c r="F1170" s="25"/>
      <c r="G1170" s="25"/>
      <c r="H1170" s="25"/>
      <c r="I1170" s="25"/>
      <c r="J1170" s="55"/>
      <c r="K1170" s="25" t="str">
        <f ca="1">IFERROR(__xludf.DUMMYFUNCTION("""COMPUTED_VALUE"""),"Definir fecha")</f>
        <v>Definir fecha</v>
      </c>
      <c r="L1170" s="62"/>
      <c r="M1170" s="25"/>
      <c r="N1170" s="25"/>
      <c r="O1170" s="25">
        <f t="shared" si="0"/>
        <v>0</v>
      </c>
      <c r="P1170" s="25" t="str">
        <f t="shared" si="2"/>
        <v/>
      </c>
      <c r="Q1170" s="25" t="str">
        <f ca="1">IFERROR(__xludf.DUMMYFUNCTION("""COMPUTED_VALUE"""),"Sin defenir")</f>
        <v>Sin defenir</v>
      </c>
      <c r="R1170" s="25"/>
      <c r="S1170" s="55"/>
      <c r="T1170" s="56"/>
      <c r="U1170" s="25"/>
      <c r="V1170" s="25"/>
      <c r="W1170" s="25"/>
      <c r="X1170" s="25"/>
      <c r="Y1170" s="25"/>
      <c r="Z1170" s="25"/>
    </row>
    <row r="1171" spans="1:26" ht="52.5" customHeight="1" x14ac:dyDescent="0.25">
      <c r="A1171" s="25" t="str">
        <f ca="1">IFERROR(__xludf.DUMMYFUNCTION("""COMPUTED_VALUE"""),"Integ269")</f>
        <v>Integ269</v>
      </c>
      <c r="B1171" s="25"/>
      <c r="C1171" s="55"/>
      <c r="D1171" s="25" t="str">
        <f ca="1">IFERROR(__xludf.DUMMYFUNCTION("""COMPUTED_VALUE"""),"Integración_Social")</f>
        <v>Integración_Social</v>
      </c>
      <c r="E1171" s="25"/>
      <c r="F1171" s="25"/>
      <c r="G1171" s="25"/>
      <c r="H1171" s="25"/>
      <c r="I1171" s="25"/>
      <c r="J1171" s="55"/>
      <c r="K1171" s="25" t="str">
        <f ca="1">IFERROR(__xludf.DUMMYFUNCTION("""COMPUTED_VALUE"""),"Definir fecha")</f>
        <v>Definir fecha</v>
      </c>
      <c r="L1171" s="62"/>
      <c r="M1171" s="25"/>
      <c r="N1171" s="25"/>
      <c r="O1171" s="25">
        <f t="shared" si="0"/>
        <v>0</v>
      </c>
      <c r="P1171" s="25" t="str">
        <f t="shared" si="2"/>
        <v/>
      </c>
      <c r="Q1171" s="25" t="str">
        <f ca="1">IFERROR(__xludf.DUMMYFUNCTION("""COMPUTED_VALUE"""),"Sin defenir")</f>
        <v>Sin defenir</v>
      </c>
      <c r="R1171" s="25"/>
      <c r="S1171" s="55"/>
      <c r="T1171" s="56"/>
      <c r="U1171" s="25"/>
      <c r="V1171" s="25"/>
      <c r="W1171" s="25"/>
      <c r="X1171" s="25"/>
      <c r="Y1171" s="25"/>
      <c r="Z1171" s="25"/>
    </row>
    <row r="1172" spans="1:26" ht="52.5" customHeight="1" x14ac:dyDescent="0.25">
      <c r="A1172" s="25" t="str">
        <f ca="1">IFERROR(__xludf.DUMMYFUNCTION("""COMPUTED_VALUE"""),"Integ270")</f>
        <v>Integ270</v>
      </c>
      <c r="B1172" s="25"/>
      <c r="C1172" s="55"/>
      <c r="D1172" s="25" t="str">
        <f ca="1">IFERROR(__xludf.DUMMYFUNCTION("""COMPUTED_VALUE"""),"Integración_Social")</f>
        <v>Integración_Social</v>
      </c>
      <c r="E1172" s="25"/>
      <c r="F1172" s="25"/>
      <c r="G1172" s="25"/>
      <c r="H1172" s="25"/>
      <c r="I1172" s="25"/>
      <c r="J1172" s="55"/>
      <c r="K1172" s="25" t="str">
        <f ca="1">IFERROR(__xludf.DUMMYFUNCTION("""COMPUTED_VALUE"""),"Definir fecha")</f>
        <v>Definir fecha</v>
      </c>
      <c r="L1172" s="62"/>
      <c r="M1172" s="25"/>
      <c r="N1172" s="25"/>
      <c r="O1172" s="25">
        <f t="shared" si="0"/>
        <v>0</v>
      </c>
      <c r="P1172" s="25" t="str">
        <f t="shared" si="2"/>
        <v/>
      </c>
      <c r="Q1172" s="25" t="str">
        <f ca="1">IFERROR(__xludf.DUMMYFUNCTION("""COMPUTED_VALUE"""),"Sin defenir")</f>
        <v>Sin defenir</v>
      </c>
      <c r="R1172" s="25"/>
      <c r="S1172" s="55"/>
      <c r="T1172" s="56"/>
      <c r="U1172" s="25"/>
      <c r="V1172" s="25"/>
      <c r="W1172" s="25"/>
      <c r="X1172" s="25"/>
      <c r="Y1172" s="25"/>
      <c r="Z1172" s="25"/>
    </row>
    <row r="1173" spans="1:26" ht="52.5" customHeight="1" x14ac:dyDescent="0.25">
      <c r="A1173" s="25" t="str">
        <f ca="1">IFERROR(__xludf.DUMMYFUNCTION("""COMPUTED_VALUE"""),"Integ271")</f>
        <v>Integ271</v>
      </c>
      <c r="B1173" s="25"/>
      <c r="C1173" s="55"/>
      <c r="D1173" s="25" t="str">
        <f ca="1">IFERROR(__xludf.DUMMYFUNCTION("""COMPUTED_VALUE"""),"Integración_Social")</f>
        <v>Integración_Social</v>
      </c>
      <c r="E1173" s="25"/>
      <c r="F1173" s="25"/>
      <c r="G1173" s="25"/>
      <c r="H1173" s="25"/>
      <c r="I1173" s="25"/>
      <c r="J1173" s="55"/>
      <c r="K1173" s="25" t="str">
        <f ca="1">IFERROR(__xludf.DUMMYFUNCTION("""COMPUTED_VALUE"""),"Definir fecha")</f>
        <v>Definir fecha</v>
      </c>
      <c r="L1173" s="62"/>
      <c r="M1173" s="25"/>
      <c r="N1173" s="25"/>
      <c r="O1173" s="25">
        <f t="shared" si="0"/>
        <v>0</v>
      </c>
      <c r="P1173" s="25" t="str">
        <f t="shared" si="2"/>
        <v/>
      </c>
      <c r="Q1173" s="25" t="str">
        <f ca="1">IFERROR(__xludf.DUMMYFUNCTION("""COMPUTED_VALUE"""),"Sin defenir")</f>
        <v>Sin defenir</v>
      </c>
      <c r="R1173" s="25"/>
      <c r="S1173" s="55"/>
      <c r="T1173" s="56"/>
      <c r="U1173" s="25"/>
      <c r="V1173" s="25"/>
      <c r="W1173" s="25"/>
      <c r="X1173" s="25"/>
      <c r="Y1173" s="25"/>
      <c r="Z1173" s="25"/>
    </row>
    <row r="1174" spans="1:26" ht="52.5" customHeight="1" x14ac:dyDescent="0.25">
      <c r="A1174" s="25" t="str">
        <f ca="1">IFERROR(__xludf.DUMMYFUNCTION("""COMPUTED_VALUE"""),"Integ272")</f>
        <v>Integ272</v>
      </c>
      <c r="B1174" s="25"/>
      <c r="C1174" s="55"/>
      <c r="D1174" s="25" t="str">
        <f ca="1">IFERROR(__xludf.DUMMYFUNCTION("""COMPUTED_VALUE"""),"Integración_Social")</f>
        <v>Integración_Social</v>
      </c>
      <c r="E1174" s="25"/>
      <c r="F1174" s="25"/>
      <c r="G1174" s="25"/>
      <c r="H1174" s="25"/>
      <c r="I1174" s="25"/>
      <c r="J1174" s="55"/>
      <c r="K1174" s="25" t="str">
        <f ca="1">IFERROR(__xludf.DUMMYFUNCTION("""COMPUTED_VALUE"""),"Definir fecha")</f>
        <v>Definir fecha</v>
      </c>
      <c r="L1174" s="62"/>
      <c r="M1174" s="25"/>
      <c r="N1174" s="25"/>
      <c r="O1174" s="25">
        <f t="shared" si="0"/>
        <v>0</v>
      </c>
      <c r="P1174" s="25" t="str">
        <f t="shared" si="2"/>
        <v/>
      </c>
      <c r="Q1174" s="25" t="str">
        <f ca="1">IFERROR(__xludf.DUMMYFUNCTION("""COMPUTED_VALUE"""),"Sin defenir")</f>
        <v>Sin defenir</v>
      </c>
      <c r="R1174" s="25"/>
      <c r="S1174" s="55"/>
      <c r="T1174" s="56"/>
      <c r="U1174" s="25"/>
      <c r="V1174" s="25"/>
      <c r="W1174" s="25"/>
      <c r="X1174" s="25"/>
      <c r="Y1174" s="25"/>
      <c r="Z1174" s="25"/>
    </row>
    <row r="1175" spans="1:26" ht="52.5" customHeight="1" x14ac:dyDescent="0.25">
      <c r="A1175" s="25" t="str">
        <f ca="1">IFERROR(__xludf.DUMMYFUNCTION("""COMPUTED_VALUE"""),"Integ273")</f>
        <v>Integ273</v>
      </c>
      <c r="B1175" s="25"/>
      <c r="C1175" s="55"/>
      <c r="D1175" s="25" t="str">
        <f ca="1">IFERROR(__xludf.DUMMYFUNCTION("""COMPUTED_VALUE"""),"Integración_Social")</f>
        <v>Integración_Social</v>
      </c>
      <c r="E1175" s="25"/>
      <c r="F1175" s="25"/>
      <c r="G1175" s="25"/>
      <c r="H1175" s="25"/>
      <c r="I1175" s="25"/>
      <c r="J1175" s="55"/>
      <c r="K1175" s="25" t="str">
        <f ca="1">IFERROR(__xludf.DUMMYFUNCTION("""COMPUTED_VALUE"""),"Definir fecha")</f>
        <v>Definir fecha</v>
      </c>
      <c r="L1175" s="62"/>
      <c r="M1175" s="25"/>
      <c r="N1175" s="25"/>
      <c r="O1175" s="25">
        <f t="shared" si="0"/>
        <v>0</v>
      </c>
      <c r="P1175" s="25" t="str">
        <f t="shared" si="2"/>
        <v/>
      </c>
      <c r="Q1175" s="25" t="str">
        <f ca="1">IFERROR(__xludf.DUMMYFUNCTION("""COMPUTED_VALUE"""),"Sin defenir")</f>
        <v>Sin defenir</v>
      </c>
      <c r="R1175" s="25"/>
      <c r="S1175" s="55"/>
      <c r="T1175" s="56"/>
      <c r="U1175" s="25"/>
      <c r="V1175" s="25"/>
      <c r="W1175" s="25"/>
      <c r="X1175" s="25"/>
      <c r="Y1175" s="25"/>
      <c r="Z1175" s="25"/>
    </row>
    <row r="1176" spans="1:26" ht="52.5" customHeight="1" x14ac:dyDescent="0.25">
      <c r="A1176" s="25" t="str">
        <f ca="1">IFERROR(__xludf.DUMMYFUNCTION("""COMPUTED_VALUE"""),"Integ274")</f>
        <v>Integ274</v>
      </c>
      <c r="B1176" s="25"/>
      <c r="C1176" s="55"/>
      <c r="D1176" s="25" t="str">
        <f ca="1">IFERROR(__xludf.DUMMYFUNCTION("""COMPUTED_VALUE"""),"Integración_Social")</f>
        <v>Integración_Social</v>
      </c>
      <c r="E1176" s="25"/>
      <c r="F1176" s="25"/>
      <c r="G1176" s="25"/>
      <c r="H1176" s="25"/>
      <c r="I1176" s="25"/>
      <c r="J1176" s="55"/>
      <c r="K1176" s="25" t="str">
        <f ca="1">IFERROR(__xludf.DUMMYFUNCTION("""COMPUTED_VALUE"""),"Definir fecha")</f>
        <v>Definir fecha</v>
      </c>
      <c r="L1176" s="62"/>
      <c r="M1176" s="25"/>
      <c r="N1176" s="25"/>
      <c r="O1176" s="25">
        <f t="shared" si="0"/>
        <v>0</v>
      </c>
      <c r="P1176" s="25" t="str">
        <f t="shared" si="2"/>
        <v/>
      </c>
      <c r="Q1176" s="25" t="str">
        <f ca="1">IFERROR(__xludf.DUMMYFUNCTION("""COMPUTED_VALUE"""),"Sin defenir")</f>
        <v>Sin defenir</v>
      </c>
      <c r="R1176" s="25"/>
      <c r="S1176" s="55"/>
      <c r="T1176" s="56"/>
      <c r="U1176" s="25"/>
      <c r="V1176" s="25"/>
      <c r="W1176" s="25"/>
      <c r="X1176" s="25"/>
      <c r="Y1176" s="25"/>
      <c r="Z1176" s="25"/>
    </row>
    <row r="1177" spans="1:26" ht="52.5" customHeight="1" x14ac:dyDescent="0.25">
      <c r="A1177" s="25" t="str">
        <f ca="1">IFERROR(__xludf.DUMMYFUNCTION("""COMPUTED_VALUE"""),"Integ275")</f>
        <v>Integ275</v>
      </c>
      <c r="B1177" s="25"/>
      <c r="C1177" s="55"/>
      <c r="D1177" s="25" t="str">
        <f ca="1">IFERROR(__xludf.DUMMYFUNCTION("""COMPUTED_VALUE"""),"Integración_Social")</f>
        <v>Integración_Social</v>
      </c>
      <c r="E1177" s="25"/>
      <c r="F1177" s="25"/>
      <c r="G1177" s="25"/>
      <c r="H1177" s="25"/>
      <c r="I1177" s="25"/>
      <c r="J1177" s="55"/>
      <c r="K1177" s="25" t="str">
        <f ca="1">IFERROR(__xludf.DUMMYFUNCTION("""COMPUTED_VALUE"""),"Definir fecha")</f>
        <v>Definir fecha</v>
      </c>
      <c r="L1177" s="62"/>
      <c r="M1177" s="25"/>
      <c r="N1177" s="25"/>
      <c r="O1177" s="25">
        <f t="shared" si="0"/>
        <v>0</v>
      </c>
      <c r="P1177" s="25" t="str">
        <f t="shared" si="2"/>
        <v/>
      </c>
      <c r="Q1177" s="25" t="str">
        <f ca="1">IFERROR(__xludf.DUMMYFUNCTION("""COMPUTED_VALUE"""),"Sin defenir")</f>
        <v>Sin defenir</v>
      </c>
      <c r="R1177" s="25"/>
      <c r="S1177" s="55"/>
      <c r="T1177" s="56"/>
      <c r="U1177" s="25"/>
      <c r="V1177" s="25"/>
      <c r="W1177" s="25"/>
      <c r="X1177" s="25"/>
      <c r="Y1177" s="25"/>
      <c r="Z1177" s="25"/>
    </row>
    <row r="1178" spans="1:26" ht="52.5" customHeight="1" x14ac:dyDescent="0.25">
      <c r="A1178" s="25" t="str">
        <f ca="1">IFERROR(__xludf.DUMMYFUNCTION("""COMPUTED_VALUE"""),"Integ276")</f>
        <v>Integ276</v>
      </c>
      <c r="B1178" s="25"/>
      <c r="C1178" s="55"/>
      <c r="D1178" s="25" t="str">
        <f ca="1">IFERROR(__xludf.DUMMYFUNCTION("""COMPUTED_VALUE"""),"Integración_Social")</f>
        <v>Integración_Social</v>
      </c>
      <c r="E1178" s="25"/>
      <c r="F1178" s="25"/>
      <c r="G1178" s="25"/>
      <c r="H1178" s="25"/>
      <c r="I1178" s="25"/>
      <c r="J1178" s="55"/>
      <c r="K1178" s="25" t="str">
        <f ca="1">IFERROR(__xludf.DUMMYFUNCTION("""COMPUTED_VALUE"""),"Definir fecha")</f>
        <v>Definir fecha</v>
      </c>
      <c r="L1178" s="62"/>
      <c r="M1178" s="25"/>
      <c r="N1178" s="25"/>
      <c r="O1178" s="25">
        <f t="shared" si="0"/>
        <v>0</v>
      </c>
      <c r="P1178" s="25" t="str">
        <f t="shared" si="2"/>
        <v/>
      </c>
      <c r="Q1178" s="25" t="str">
        <f ca="1">IFERROR(__xludf.DUMMYFUNCTION("""COMPUTED_VALUE"""),"Sin defenir")</f>
        <v>Sin defenir</v>
      </c>
      <c r="R1178" s="25"/>
      <c r="S1178" s="55"/>
      <c r="T1178" s="56"/>
      <c r="U1178" s="25"/>
      <c r="V1178" s="25"/>
      <c r="W1178" s="25"/>
      <c r="X1178" s="25"/>
      <c r="Y1178" s="25"/>
      <c r="Z1178" s="25"/>
    </row>
    <row r="1179" spans="1:26" ht="52.5" customHeight="1" x14ac:dyDescent="0.25">
      <c r="A1179" s="25" t="str">
        <f ca="1">IFERROR(__xludf.DUMMYFUNCTION("""COMPUTED_VALUE"""),"Integ277")</f>
        <v>Integ277</v>
      </c>
      <c r="B1179" s="25"/>
      <c r="C1179" s="55"/>
      <c r="D1179" s="25" t="str">
        <f ca="1">IFERROR(__xludf.DUMMYFUNCTION("""COMPUTED_VALUE"""),"Integración_Social")</f>
        <v>Integración_Social</v>
      </c>
      <c r="E1179" s="25"/>
      <c r="F1179" s="25"/>
      <c r="G1179" s="25"/>
      <c r="H1179" s="25"/>
      <c r="I1179" s="25"/>
      <c r="J1179" s="55"/>
      <c r="K1179" s="25" t="str">
        <f ca="1">IFERROR(__xludf.DUMMYFUNCTION("""COMPUTED_VALUE"""),"Definir fecha")</f>
        <v>Definir fecha</v>
      </c>
      <c r="L1179" s="62"/>
      <c r="M1179" s="25"/>
      <c r="N1179" s="25"/>
      <c r="O1179" s="25">
        <f t="shared" si="0"/>
        <v>0</v>
      </c>
      <c r="P1179" s="25" t="str">
        <f t="shared" si="2"/>
        <v/>
      </c>
      <c r="Q1179" s="25" t="str">
        <f ca="1">IFERROR(__xludf.DUMMYFUNCTION("""COMPUTED_VALUE"""),"Sin defenir")</f>
        <v>Sin defenir</v>
      </c>
      <c r="R1179" s="25"/>
      <c r="S1179" s="55"/>
      <c r="T1179" s="56"/>
      <c r="U1179" s="25"/>
      <c r="V1179" s="25"/>
      <c r="W1179" s="25"/>
      <c r="X1179" s="25"/>
      <c r="Y1179" s="25"/>
      <c r="Z1179" s="25"/>
    </row>
    <row r="1180" spans="1:26" ht="52.5" customHeight="1" x14ac:dyDescent="0.25">
      <c r="A1180" s="25" t="str">
        <f ca="1">IFERROR(__xludf.DUMMYFUNCTION("""COMPUTED_VALUE"""),"Integ278")</f>
        <v>Integ278</v>
      </c>
      <c r="B1180" s="25"/>
      <c r="C1180" s="55"/>
      <c r="D1180" s="25" t="str">
        <f ca="1">IFERROR(__xludf.DUMMYFUNCTION("""COMPUTED_VALUE"""),"Integración_Social")</f>
        <v>Integración_Social</v>
      </c>
      <c r="E1180" s="25"/>
      <c r="F1180" s="25"/>
      <c r="G1180" s="25"/>
      <c r="H1180" s="25"/>
      <c r="I1180" s="25"/>
      <c r="J1180" s="55"/>
      <c r="K1180" s="25" t="str">
        <f ca="1">IFERROR(__xludf.DUMMYFUNCTION("""COMPUTED_VALUE"""),"Definir fecha")</f>
        <v>Definir fecha</v>
      </c>
      <c r="L1180" s="62"/>
      <c r="M1180" s="25"/>
      <c r="N1180" s="25"/>
      <c r="O1180" s="25">
        <f t="shared" si="0"/>
        <v>0</v>
      </c>
      <c r="P1180" s="25" t="str">
        <f t="shared" si="2"/>
        <v/>
      </c>
      <c r="Q1180" s="25" t="str">
        <f ca="1">IFERROR(__xludf.DUMMYFUNCTION("""COMPUTED_VALUE"""),"Sin defenir")</f>
        <v>Sin defenir</v>
      </c>
      <c r="R1180" s="25"/>
      <c r="S1180" s="55"/>
      <c r="T1180" s="56"/>
      <c r="U1180" s="25"/>
      <c r="V1180" s="25"/>
      <c r="W1180" s="25"/>
      <c r="X1180" s="25"/>
      <c r="Y1180" s="25"/>
      <c r="Z1180" s="25"/>
    </row>
    <row r="1181" spans="1:26" ht="52.5" customHeight="1" x14ac:dyDescent="0.25">
      <c r="A1181" s="25" t="str">
        <f ca="1">IFERROR(__xludf.DUMMYFUNCTION("""COMPUTED_VALUE"""),"Integ279")</f>
        <v>Integ279</v>
      </c>
      <c r="B1181" s="25"/>
      <c r="C1181" s="55"/>
      <c r="D1181" s="25" t="str">
        <f ca="1">IFERROR(__xludf.DUMMYFUNCTION("""COMPUTED_VALUE"""),"Integración_Social")</f>
        <v>Integración_Social</v>
      </c>
      <c r="E1181" s="25"/>
      <c r="F1181" s="25"/>
      <c r="G1181" s="25"/>
      <c r="H1181" s="25"/>
      <c r="I1181" s="25"/>
      <c r="J1181" s="55"/>
      <c r="K1181" s="25" t="str">
        <f ca="1">IFERROR(__xludf.DUMMYFUNCTION("""COMPUTED_VALUE"""),"Definir fecha")</f>
        <v>Definir fecha</v>
      </c>
      <c r="L1181" s="62"/>
      <c r="M1181" s="25"/>
      <c r="N1181" s="25"/>
      <c r="O1181" s="25">
        <f t="shared" si="0"/>
        <v>0</v>
      </c>
      <c r="P1181" s="25" t="str">
        <f t="shared" si="2"/>
        <v/>
      </c>
      <c r="Q1181" s="25" t="str">
        <f ca="1">IFERROR(__xludf.DUMMYFUNCTION("""COMPUTED_VALUE"""),"Sin defenir")</f>
        <v>Sin defenir</v>
      </c>
      <c r="R1181" s="25"/>
      <c r="S1181" s="55"/>
      <c r="T1181" s="56"/>
      <c r="U1181" s="25"/>
      <c r="V1181" s="25"/>
      <c r="W1181" s="25"/>
      <c r="X1181" s="25"/>
      <c r="Y1181" s="25"/>
      <c r="Z1181" s="25"/>
    </row>
    <row r="1182" spans="1:26" ht="52.5" customHeight="1" x14ac:dyDescent="0.25">
      <c r="A1182" s="25" t="str">
        <f ca="1">IFERROR(__xludf.DUMMYFUNCTION("""COMPUTED_VALUE"""),"Integ280")</f>
        <v>Integ280</v>
      </c>
      <c r="B1182" s="25"/>
      <c r="C1182" s="55"/>
      <c r="D1182" s="25" t="str">
        <f ca="1">IFERROR(__xludf.DUMMYFUNCTION("""COMPUTED_VALUE"""),"Integración_Social")</f>
        <v>Integración_Social</v>
      </c>
      <c r="E1182" s="25"/>
      <c r="F1182" s="25"/>
      <c r="G1182" s="25"/>
      <c r="H1182" s="25"/>
      <c r="I1182" s="25"/>
      <c r="J1182" s="55"/>
      <c r="K1182" s="25" t="str">
        <f ca="1">IFERROR(__xludf.DUMMYFUNCTION("""COMPUTED_VALUE"""),"Definir fecha")</f>
        <v>Definir fecha</v>
      </c>
      <c r="L1182" s="62"/>
      <c r="M1182" s="25"/>
      <c r="N1182" s="25"/>
      <c r="O1182" s="25">
        <f t="shared" si="0"/>
        <v>0</v>
      </c>
      <c r="P1182" s="25" t="str">
        <f t="shared" si="2"/>
        <v/>
      </c>
      <c r="Q1182" s="25" t="str">
        <f ca="1">IFERROR(__xludf.DUMMYFUNCTION("""COMPUTED_VALUE"""),"Sin defenir")</f>
        <v>Sin defenir</v>
      </c>
      <c r="R1182" s="25"/>
      <c r="S1182" s="55"/>
      <c r="T1182" s="56"/>
      <c r="U1182" s="25"/>
      <c r="V1182" s="25"/>
      <c r="W1182" s="25"/>
      <c r="X1182" s="25"/>
      <c r="Y1182" s="25"/>
      <c r="Z1182" s="25"/>
    </row>
    <row r="1183" spans="1:26" ht="52.5" customHeight="1" x14ac:dyDescent="0.25">
      <c r="A1183" s="25" t="str">
        <f ca="1">IFERROR(__xludf.DUMMYFUNCTION("""COMPUTED_VALUE"""),"Integ281")</f>
        <v>Integ281</v>
      </c>
      <c r="B1183" s="25"/>
      <c r="C1183" s="55"/>
      <c r="D1183" s="25" t="str">
        <f ca="1">IFERROR(__xludf.DUMMYFUNCTION("""COMPUTED_VALUE"""),"Integración_Social")</f>
        <v>Integración_Social</v>
      </c>
      <c r="E1183" s="25"/>
      <c r="F1183" s="25"/>
      <c r="G1183" s="25"/>
      <c r="H1183" s="25"/>
      <c r="I1183" s="25"/>
      <c r="J1183" s="55"/>
      <c r="K1183" s="25" t="str">
        <f ca="1">IFERROR(__xludf.DUMMYFUNCTION("""COMPUTED_VALUE"""),"Definir fecha")</f>
        <v>Definir fecha</v>
      </c>
      <c r="L1183" s="62"/>
      <c r="M1183" s="25"/>
      <c r="N1183" s="25"/>
      <c r="O1183" s="25">
        <f t="shared" si="0"/>
        <v>0</v>
      </c>
      <c r="P1183" s="25" t="str">
        <f t="shared" si="2"/>
        <v/>
      </c>
      <c r="Q1183" s="25" t="str">
        <f ca="1">IFERROR(__xludf.DUMMYFUNCTION("""COMPUTED_VALUE"""),"Sin defenir")</f>
        <v>Sin defenir</v>
      </c>
      <c r="R1183" s="25"/>
      <c r="S1183" s="55"/>
      <c r="T1183" s="56"/>
      <c r="U1183" s="25"/>
      <c r="V1183" s="25"/>
      <c r="W1183" s="25"/>
      <c r="X1183" s="25"/>
      <c r="Y1183" s="25"/>
      <c r="Z1183" s="25"/>
    </row>
    <row r="1184" spans="1:26" ht="52.5" customHeight="1" x14ac:dyDescent="0.25">
      <c r="A1184" s="25" t="str">
        <f ca="1">IFERROR(__xludf.DUMMYFUNCTION("""COMPUTED_VALUE"""),"Integ282")</f>
        <v>Integ282</v>
      </c>
      <c r="B1184" s="25"/>
      <c r="C1184" s="55"/>
      <c r="D1184" s="25" t="str">
        <f ca="1">IFERROR(__xludf.DUMMYFUNCTION("""COMPUTED_VALUE"""),"Integración_Social")</f>
        <v>Integración_Social</v>
      </c>
      <c r="E1184" s="25"/>
      <c r="F1184" s="25"/>
      <c r="G1184" s="25"/>
      <c r="H1184" s="25"/>
      <c r="I1184" s="25"/>
      <c r="J1184" s="55"/>
      <c r="K1184" s="25" t="str">
        <f ca="1">IFERROR(__xludf.DUMMYFUNCTION("""COMPUTED_VALUE"""),"Definir fecha")</f>
        <v>Definir fecha</v>
      </c>
      <c r="L1184" s="62"/>
      <c r="M1184" s="25"/>
      <c r="N1184" s="25"/>
      <c r="O1184" s="25">
        <f t="shared" si="0"/>
        <v>0</v>
      </c>
      <c r="P1184" s="25" t="str">
        <f t="shared" si="2"/>
        <v/>
      </c>
      <c r="Q1184" s="25" t="str">
        <f ca="1">IFERROR(__xludf.DUMMYFUNCTION("""COMPUTED_VALUE"""),"Sin defenir")</f>
        <v>Sin defenir</v>
      </c>
      <c r="R1184" s="25"/>
      <c r="S1184" s="55"/>
      <c r="T1184" s="56"/>
      <c r="U1184" s="25"/>
      <c r="V1184" s="25"/>
      <c r="W1184" s="25"/>
      <c r="X1184" s="25"/>
      <c r="Y1184" s="25"/>
      <c r="Z1184" s="25"/>
    </row>
    <row r="1185" spans="1:26" ht="52.5" customHeight="1" x14ac:dyDescent="0.25">
      <c r="A1185" s="25" t="str">
        <f ca="1">IFERROR(__xludf.DUMMYFUNCTION("""COMPUTED_VALUE"""),"Integ283")</f>
        <v>Integ283</v>
      </c>
      <c r="B1185" s="25"/>
      <c r="C1185" s="55"/>
      <c r="D1185" s="25" t="str">
        <f ca="1">IFERROR(__xludf.DUMMYFUNCTION("""COMPUTED_VALUE"""),"Integración_Social")</f>
        <v>Integración_Social</v>
      </c>
      <c r="E1185" s="25"/>
      <c r="F1185" s="25"/>
      <c r="G1185" s="25"/>
      <c r="H1185" s="25"/>
      <c r="I1185" s="25"/>
      <c r="J1185" s="55"/>
      <c r="K1185" s="25" t="str">
        <f ca="1">IFERROR(__xludf.DUMMYFUNCTION("""COMPUTED_VALUE"""),"Definir fecha")</f>
        <v>Definir fecha</v>
      </c>
      <c r="L1185" s="62"/>
      <c r="M1185" s="25"/>
      <c r="N1185" s="25"/>
      <c r="O1185" s="25">
        <f t="shared" si="0"/>
        <v>0</v>
      </c>
      <c r="P1185" s="25" t="str">
        <f t="shared" si="2"/>
        <v/>
      </c>
      <c r="Q1185" s="25" t="str">
        <f ca="1">IFERROR(__xludf.DUMMYFUNCTION("""COMPUTED_VALUE"""),"Sin defenir")</f>
        <v>Sin defenir</v>
      </c>
      <c r="R1185" s="25"/>
      <c r="S1185" s="55"/>
      <c r="T1185" s="56"/>
      <c r="U1185" s="25"/>
      <c r="V1185" s="25"/>
      <c r="W1185" s="25"/>
      <c r="X1185" s="25"/>
      <c r="Y1185" s="25"/>
      <c r="Z1185" s="25"/>
    </row>
    <row r="1186" spans="1:26" ht="52.5" customHeight="1" x14ac:dyDescent="0.25">
      <c r="A1186" s="25" t="str">
        <f ca="1">IFERROR(__xludf.DUMMYFUNCTION("""COMPUTED_VALUE"""),"Integ284")</f>
        <v>Integ284</v>
      </c>
      <c r="B1186" s="25"/>
      <c r="C1186" s="55"/>
      <c r="D1186" s="25" t="str">
        <f ca="1">IFERROR(__xludf.DUMMYFUNCTION("""COMPUTED_VALUE"""),"Integración_Social")</f>
        <v>Integración_Social</v>
      </c>
      <c r="E1186" s="25"/>
      <c r="F1186" s="25"/>
      <c r="G1186" s="25"/>
      <c r="H1186" s="25"/>
      <c r="I1186" s="25"/>
      <c r="J1186" s="55"/>
      <c r="K1186" s="25" t="str">
        <f ca="1">IFERROR(__xludf.DUMMYFUNCTION("""COMPUTED_VALUE"""),"Definir fecha")</f>
        <v>Definir fecha</v>
      </c>
      <c r="L1186" s="62"/>
      <c r="M1186" s="25"/>
      <c r="N1186" s="25"/>
      <c r="O1186" s="25">
        <f t="shared" si="0"/>
        <v>0</v>
      </c>
      <c r="P1186" s="25" t="str">
        <f t="shared" si="2"/>
        <v/>
      </c>
      <c r="Q1186" s="25" t="str">
        <f ca="1">IFERROR(__xludf.DUMMYFUNCTION("""COMPUTED_VALUE"""),"Sin defenir")</f>
        <v>Sin defenir</v>
      </c>
      <c r="R1186" s="25"/>
      <c r="S1186" s="55"/>
      <c r="T1186" s="56"/>
      <c r="U1186" s="25"/>
      <c r="V1186" s="25"/>
      <c r="W1186" s="25"/>
      <c r="X1186" s="25"/>
      <c r="Y1186" s="25"/>
      <c r="Z1186" s="25"/>
    </row>
    <row r="1187" spans="1:26" ht="52.5" customHeight="1" x14ac:dyDescent="0.25">
      <c r="A1187" s="25" t="str">
        <f ca="1">IFERROR(__xludf.DUMMYFUNCTION("""COMPUTED_VALUE"""),"Integ285")</f>
        <v>Integ285</v>
      </c>
      <c r="B1187" s="25"/>
      <c r="C1187" s="55"/>
      <c r="D1187" s="25" t="str">
        <f ca="1">IFERROR(__xludf.DUMMYFUNCTION("""COMPUTED_VALUE"""),"Integración_Social")</f>
        <v>Integración_Social</v>
      </c>
      <c r="E1187" s="25"/>
      <c r="F1187" s="25"/>
      <c r="G1187" s="25"/>
      <c r="H1187" s="25"/>
      <c r="I1187" s="25"/>
      <c r="J1187" s="55"/>
      <c r="K1187" s="25" t="str">
        <f ca="1">IFERROR(__xludf.DUMMYFUNCTION("""COMPUTED_VALUE"""),"Definir fecha")</f>
        <v>Definir fecha</v>
      </c>
      <c r="L1187" s="62"/>
      <c r="M1187" s="25"/>
      <c r="N1187" s="25"/>
      <c r="O1187" s="25">
        <f t="shared" si="0"/>
        <v>0</v>
      </c>
      <c r="P1187" s="25" t="str">
        <f t="shared" si="2"/>
        <v/>
      </c>
      <c r="Q1187" s="25" t="str">
        <f ca="1">IFERROR(__xludf.DUMMYFUNCTION("""COMPUTED_VALUE"""),"Sin defenir")</f>
        <v>Sin defenir</v>
      </c>
      <c r="R1187" s="25"/>
      <c r="S1187" s="55"/>
      <c r="T1187" s="56"/>
      <c r="U1187" s="25"/>
      <c r="V1187" s="25"/>
      <c r="W1187" s="25"/>
      <c r="X1187" s="25"/>
      <c r="Y1187" s="25"/>
      <c r="Z1187" s="25"/>
    </row>
    <row r="1188" spans="1:26" ht="52.5" customHeight="1" x14ac:dyDescent="0.25">
      <c r="A1188" s="25" t="str">
        <f ca="1">IFERROR(__xludf.DUMMYFUNCTION("""COMPUTED_VALUE"""),"Integ286")</f>
        <v>Integ286</v>
      </c>
      <c r="B1188" s="25"/>
      <c r="C1188" s="55"/>
      <c r="D1188" s="25" t="str">
        <f ca="1">IFERROR(__xludf.DUMMYFUNCTION("""COMPUTED_VALUE"""),"Integración_Social")</f>
        <v>Integración_Social</v>
      </c>
      <c r="E1188" s="25"/>
      <c r="F1188" s="25"/>
      <c r="G1188" s="25"/>
      <c r="H1188" s="25"/>
      <c r="I1188" s="25"/>
      <c r="J1188" s="55"/>
      <c r="K1188" s="25" t="str">
        <f ca="1">IFERROR(__xludf.DUMMYFUNCTION("""COMPUTED_VALUE"""),"Definir fecha")</f>
        <v>Definir fecha</v>
      </c>
      <c r="L1188" s="62"/>
      <c r="M1188" s="25"/>
      <c r="N1188" s="25"/>
      <c r="O1188" s="25">
        <f t="shared" si="0"/>
        <v>0</v>
      </c>
      <c r="P1188" s="25" t="str">
        <f t="shared" si="2"/>
        <v/>
      </c>
      <c r="Q1188" s="25" t="str">
        <f ca="1">IFERROR(__xludf.DUMMYFUNCTION("""COMPUTED_VALUE"""),"Sin defenir")</f>
        <v>Sin defenir</v>
      </c>
      <c r="R1188" s="25"/>
      <c r="S1188" s="55"/>
      <c r="T1188" s="56"/>
      <c r="U1188" s="25"/>
      <c r="V1188" s="25"/>
      <c r="W1188" s="25"/>
      <c r="X1188" s="25"/>
      <c r="Y1188" s="25"/>
      <c r="Z1188" s="25"/>
    </row>
    <row r="1189" spans="1:26" ht="52.5" customHeight="1" x14ac:dyDescent="0.25">
      <c r="A1189" s="25" t="str">
        <f ca="1">IFERROR(__xludf.DUMMYFUNCTION("""COMPUTED_VALUE"""),"Integ287")</f>
        <v>Integ287</v>
      </c>
      <c r="B1189" s="25"/>
      <c r="C1189" s="55"/>
      <c r="D1189" s="25" t="str">
        <f ca="1">IFERROR(__xludf.DUMMYFUNCTION("""COMPUTED_VALUE"""),"Integración_Social")</f>
        <v>Integración_Social</v>
      </c>
      <c r="E1189" s="25"/>
      <c r="F1189" s="25"/>
      <c r="G1189" s="25"/>
      <c r="H1189" s="25"/>
      <c r="I1189" s="25"/>
      <c r="J1189" s="55"/>
      <c r="K1189" s="25" t="str">
        <f ca="1">IFERROR(__xludf.DUMMYFUNCTION("""COMPUTED_VALUE"""),"Definir fecha")</f>
        <v>Definir fecha</v>
      </c>
      <c r="L1189" s="62"/>
      <c r="M1189" s="25"/>
      <c r="N1189" s="25"/>
      <c r="O1189" s="25">
        <f t="shared" si="0"/>
        <v>0</v>
      </c>
      <c r="P1189" s="25" t="str">
        <f t="shared" si="2"/>
        <v/>
      </c>
      <c r="Q1189" s="25" t="str">
        <f ca="1">IFERROR(__xludf.DUMMYFUNCTION("""COMPUTED_VALUE"""),"Sin defenir")</f>
        <v>Sin defenir</v>
      </c>
      <c r="R1189" s="25"/>
      <c r="S1189" s="55"/>
      <c r="T1189" s="56"/>
      <c r="U1189" s="25"/>
      <c r="V1189" s="25"/>
      <c r="W1189" s="25"/>
      <c r="X1189" s="25"/>
      <c r="Y1189" s="25"/>
      <c r="Z1189" s="25"/>
    </row>
    <row r="1190" spans="1:26" ht="52.5" customHeight="1" x14ac:dyDescent="0.25">
      <c r="A1190" s="25" t="str">
        <f ca="1">IFERROR(__xludf.DUMMYFUNCTION("""COMPUTED_VALUE"""),"Integ288")</f>
        <v>Integ288</v>
      </c>
      <c r="B1190" s="25"/>
      <c r="C1190" s="55"/>
      <c r="D1190" s="25" t="str">
        <f ca="1">IFERROR(__xludf.DUMMYFUNCTION("""COMPUTED_VALUE"""),"Integración_Social")</f>
        <v>Integración_Social</v>
      </c>
      <c r="E1190" s="25"/>
      <c r="F1190" s="25"/>
      <c r="G1190" s="25"/>
      <c r="H1190" s="25"/>
      <c r="I1190" s="25"/>
      <c r="J1190" s="55"/>
      <c r="K1190" s="25" t="str">
        <f ca="1">IFERROR(__xludf.DUMMYFUNCTION("""COMPUTED_VALUE"""),"Definir fecha")</f>
        <v>Definir fecha</v>
      </c>
      <c r="L1190" s="62"/>
      <c r="M1190" s="25"/>
      <c r="N1190" s="25"/>
      <c r="O1190" s="25">
        <f t="shared" si="0"/>
        <v>0</v>
      </c>
      <c r="P1190" s="25" t="str">
        <f t="shared" si="2"/>
        <v/>
      </c>
      <c r="Q1190" s="25" t="str">
        <f ca="1">IFERROR(__xludf.DUMMYFUNCTION("""COMPUTED_VALUE"""),"Sin defenir")</f>
        <v>Sin defenir</v>
      </c>
      <c r="R1190" s="25"/>
      <c r="S1190" s="55"/>
      <c r="T1190" s="56"/>
      <c r="U1190" s="25"/>
      <c r="V1190" s="25"/>
      <c r="W1190" s="25"/>
      <c r="X1190" s="25"/>
      <c r="Y1190" s="25"/>
      <c r="Z1190" s="25"/>
    </row>
    <row r="1191" spans="1:26" ht="52.5" customHeight="1" x14ac:dyDescent="0.25">
      <c r="A1191" s="25" t="str">
        <f ca="1">IFERROR(__xludf.DUMMYFUNCTION("""COMPUTED_VALUE"""),"Integ289")</f>
        <v>Integ289</v>
      </c>
      <c r="B1191" s="25"/>
      <c r="C1191" s="55"/>
      <c r="D1191" s="25" t="str">
        <f ca="1">IFERROR(__xludf.DUMMYFUNCTION("""COMPUTED_VALUE"""),"Integración_Social")</f>
        <v>Integración_Social</v>
      </c>
      <c r="E1191" s="25"/>
      <c r="F1191" s="25"/>
      <c r="G1191" s="25"/>
      <c r="H1191" s="25"/>
      <c r="I1191" s="25"/>
      <c r="J1191" s="55"/>
      <c r="K1191" s="25" t="str">
        <f ca="1">IFERROR(__xludf.DUMMYFUNCTION("""COMPUTED_VALUE"""),"Definir fecha")</f>
        <v>Definir fecha</v>
      </c>
      <c r="L1191" s="62"/>
      <c r="M1191" s="25"/>
      <c r="N1191" s="25"/>
      <c r="O1191" s="25">
        <f t="shared" si="0"/>
        <v>0</v>
      </c>
      <c r="P1191" s="25" t="str">
        <f t="shared" si="2"/>
        <v/>
      </c>
      <c r="Q1191" s="25" t="str">
        <f ca="1">IFERROR(__xludf.DUMMYFUNCTION("""COMPUTED_VALUE"""),"Sin defenir")</f>
        <v>Sin defenir</v>
      </c>
      <c r="R1191" s="25"/>
      <c r="S1191" s="55"/>
      <c r="T1191" s="56"/>
      <c r="U1191" s="25"/>
      <c r="V1191" s="25"/>
      <c r="W1191" s="25"/>
      <c r="X1191" s="25"/>
      <c r="Y1191" s="25"/>
      <c r="Z1191" s="25"/>
    </row>
    <row r="1192" spans="1:26" ht="52.5" customHeight="1" x14ac:dyDescent="0.25">
      <c r="A1192" s="25" t="str">
        <f ca="1">IFERROR(__xludf.DUMMYFUNCTION("""COMPUTED_VALUE"""),"Integ290")</f>
        <v>Integ290</v>
      </c>
      <c r="B1192" s="25"/>
      <c r="C1192" s="55"/>
      <c r="D1192" s="25" t="str">
        <f ca="1">IFERROR(__xludf.DUMMYFUNCTION("""COMPUTED_VALUE"""),"Integración_Social")</f>
        <v>Integración_Social</v>
      </c>
      <c r="E1192" s="25"/>
      <c r="F1192" s="25"/>
      <c r="G1192" s="25"/>
      <c r="H1192" s="25"/>
      <c r="I1192" s="25"/>
      <c r="J1192" s="55"/>
      <c r="K1192" s="25" t="str">
        <f ca="1">IFERROR(__xludf.DUMMYFUNCTION("""COMPUTED_VALUE"""),"Definir fecha")</f>
        <v>Definir fecha</v>
      </c>
      <c r="L1192" s="62"/>
      <c r="M1192" s="25"/>
      <c r="N1192" s="25"/>
      <c r="O1192" s="25">
        <f t="shared" si="0"/>
        <v>0</v>
      </c>
      <c r="P1192" s="25" t="str">
        <f t="shared" si="2"/>
        <v/>
      </c>
      <c r="Q1192" s="25" t="str">
        <f ca="1">IFERROR(__xludf.DUMMYFUNCTION("""COMPUTED_VALUE"""),"Sin defenir")</f>
        <v>Sin defenir</v>
      </c>
      <c r="R1192" s="25"/>
      <c r="S1192" s="55"/>
      <c r="T1192" s="56"/>
      <c r="U1192" s="25"/>
      <c r="V1192" s="25"/>
      <c r="W1192" s="25"/>
      <c r="X1192" s="25"/>
      <c r="Y1192" s="25"/>
      <c r="Z1192" s="25"/>
    </row>
    <row r="1193" spans="1:26" ht="52.5" customHeight="1" x14ac:dyDescent="0.25">
      <c r="A1193" s="25" t="str">
        <f ca="1">IFERROR(__xludf.DUMMYFUNCTION("""COMPUTED_VALUE"""),"Integ291")</f>
        <v>Integ291</v>
      </c>
      <c r="B1193" s="25"/>
      <c r="C1193" s="55"/>
      <c r="D1193" s="25" t="str">
        <f ca="1">IFERROR(__xludf.DUMMYFUNCTION("""COMPUTED_VALUE"""),"Integración_Social")</f>
        <v>Integración_Social</v>
      </c>
      <c r="E1193" s="25"/>
      <c r="F1193" s="25"/>
      <c r="G1193" s="25"/>
      <c r="H1193" s="25"/>
      <c r="I1193" s="25"/>
      <c r="J1193" s="55"/>
      <c r="K1193" s="25" t="str">
        <f ca="1">IFERROR(__xludf.DUMMYFUNCTION("""COMPUTED_VALUE"""),"Definir fecha")</f>
        <v>Definir fecha</v>
      </c>
      <c r="L1193" s="62"/>
      <c r="M1193" s="25"/>
      <c r="N1193" s="25"/>
      <c r="O1193" s="25">
        <f t="shared" si="0"/>
        <v>0</v>
      </c>
      <c r="P1193" s="25" t="str">
        <f t="shared" si="2"/>
        <v/>
      </c>
      <c r="Q1193" s="25" t="str">
        <f ca="1">IFERROR(__xludf.DUMMYFUNCTION("""COMPUTED_VALUE"""),"Sin defenir")</f>
        <v>Sin defenir</v>
      </c>
      <c r="R1193" s="25"/>
      <c r="S1193" s="55"/>
      <c r="T1193" s="56"/>
      <c r="U1193" s="25"/>
      <c r="V1193" s="25"/>
      <c r="W1193" s="25"/>
      <c r="X1193" s="25"/>
      <c r="Y1193" s="25"/>
      <c r="Z1193" s="25"/>
    </row>
    <row r="1194" spans="1:26" ht="52.5" customHeight="1" x14ac:dyDescent="0.25">
      <c r="A1194" s="25" t="str">
        <f ca="1">IFERROR(__xludf.DUMMYFUNCTION("""COMPUTED_VALUE"""),"Integ292")</f>
        <v>Integ292</v>
      </c>
      <c r="B1194" s="25"/>
      <c r="C1194" s="55"/>
      <c r="D1194" s="25" t="str">
        <f ca="1">IFERROR(__xludf.DUMMYFUNCTION("""COMPUTED_VALUE"""),"Integración_Social")</f>
        <v>Integración_Social</v>
      </c>
      <c r="E1194" s="25"/>
      <c r="F1194" s="25"/>
      <c r="G1194" s="25"/>
      <c r="H1194" s="25"/>
      <c r="I1194" s="25"/>
      <c r="J1194" s="55"/>
      <c r="K1194" s="25" t="str">
        <f ca="1">IFERROR(__xludf.DUMMYFUNCTION("""COMPUTED_VALUE"""),"Definir fecha")</f>
        <v>Definir fecha</v>
      </c>
      <c r="L1194" s="62"/>
      <c r="M1194" s="25"/>
      <c r="N1194" s="25"/>
      <c r="O1194" s="25">
        <f t="shared" si="0"/>
        <v>0</v>
      </c>
      <c r="P1194" s="25" t="str">
        <f t="shared" si="2"/>
        <v/>
      </c>
      <c r="Q1194" s="25" t="str">
        <f ca="1">IFERROR(__xludf.DUMMYFUNCTION("""COMPUTED_VALUE"""),"Sin defenir")</f>
        <v>Sin defenir</v>
      </c>
      <c r="R1194" s="25"/>
      <c r="S1194" s="55"/>
      <c r="T1194" s="56"/>
      <c r="U1194" s="25"/>
      <c r="V1194" s="25"/>
      <c r="W1194" s="25"/>
      <c r="X1194" s="25"/>
      <c r="Y1194" s="25"/>
      <c r="Z1194" s="25"/>
    </row>
    <row r="1195" spans="1:26" ht="52.5" customHeight="1" x14ac:dyDescent="0.25">
      <c r="A1195" s="25" t="str">
        <f ca="1">IFERROR(__xludf.DUMMYFUNCTION("""COMPUTED_VALUE"""),"Integ293")</f>
        <v>Integ293</v>
      </c>
      <c r="B1195" s="25"/>
      <c r="C1195" s="55"/>
      <c r="D1195" s="25" t="str">
        <f ca="1">IFERROR(__xludf.DUMMYFUNCTION("""COMPUTED_VALUE"""),"Integración_Social")</f>
        <v>Integración_Social</v>
      </c>
      <c r="E1195" s="25"/>
      <c r="F1195" s="25"/>
      <c r="G1195" s="25"/>
      <c r="H1195" s="25"/>
      <c r="I1195" s="25"/>
      <c r="J1195" s="55"/>
      <c r="K1195" s="25" t="str">
        <f ca="1">IFERROR(__xludf.DUMMYFUNCTION("""COMPUTED_VALUE"""),"Definir fecha")</f>
        <v>Definir fecha</v>
      </c>
      <c r="L1195" s="62"/>
      <c r="M1195" s="25"/>
      <c r="N1195" s="25"/>
      <c r="O1195" s="25">
        <f t="shared" si="0"/>
        <v>0</v>
      </c>
      <c r="P1195" s="25" t="str">
        <f t="shared" si="2"/>
        <v/>
      </c>
      <c r="Q1195" s="25" t="str">
        <f ca="1">IFERROR(__xludf.DUMMYFUNCTION("""COMPUTED_VALUE"""),"Sin defenir")</f>
        <v>Sin defenir</v>
      </c>
      <c r="R1195" s="25"/>
      <c r="S1195" s="55"/>
      <c r="T1195" s="56"/>
      <c r="U1195" s="25"/>
      <c r="V1195" s="25"/>
      <c r="W1195" s="25"/>
      <c r="X1195" s="25"/>
      <c r="Y1195" s="25"/>
      <c r="Z1195" s="25"/>
    </row>
    <row r="1196" spans="1:26" ht="52.5" customHeight="1" x14ac:dyDescent="0.25">
      <c r="A1196" s="25" t="str">
        <f ca="1">IFERROR(__xludf.DUMMYFUNCTION("""COMPUTED_VALUE"""),"Integ294")</f>
        <v>Integ294</v>
      </c>
      <c r="B1196" s="25"/>
      <c r="C1196" s="55"/>
      <c r="D1196" s="25" t="str">
        <f ca="1">IFERROR(__xludf.DUMMYFUNCTION("""COMPUTED_VALUE"""),"Integración_Social")</f>
        <v>Integración_Social</v>
      </c>
      <c r="E1196" s="25"/>
      <c r="F1196" s="25"/>
      <c r="G1196" s="25"/>
      <c r="H1196" s="25"/>
      <c r="I1196" s="25"/>
      <c r="J1196" s="55"/>
      <c r="K1196" s="25" t="str">
        <f ca="1">IFERROR(__xludf.DUMMYFUNCTION("""COMPUTED_VALUE"""),"Definir fecha")</f>
        <v>Definir fecha</v>
      </c>
      <c r="L1196" s="62"/>
      <c r="M1196" s="25"/>
      <c r="N1196" s="25"/>
      <c r="O1196" s="25">
        <f t="shared" si="0"/>
        <v>0</v>
      </c>
      <c r="P1196" s="25" t="str">
        <f t="shared" si="2"/>
        <v/>
      </c>
      <c r="Q1196" s="25" t="str">
        <f ca="1">IFERROR(__xludf.DUMMYFUNCTION("""COMPUTED_VALUE"""),"Sin defenir")</f>
        <v>Sin defenir</v>
      </c>
      <c r="R1196" s="25"/>
      <c r="S1196" s="55"/>
      <c r="T1196" s="56"/>
      <c r="U1196" s="25"/>
      <c r="V1196" s="25"/>
      <c r="W1196" s="25"/>
      <c r="X1196" s="25"/>
      <c r="Y1196" s="25"/>
      <c r="Z1196" s="25"/>
    </row>
    <row r="1197" spans="1:26" ht="52.5" customHeight="1" x14ac:dyDescent="0.25">
      <c r="A1197" s="25" t="str">
        <f ca="1">IFERROR(__xludf.DUMMYFUNCTION("""COMPUTED_VALUE"""),"Integ295")</f>
        <v>Integ295</v>
      </c>
      <c r="B1197" s="25"/>
      <c r="C1197" s="55"/>
      <c r="D1197" s="25" t="str">
        <f ca="1">IFERROR(__xludf.DUMMYFUNCTION("""COMPUTED_VALUE"""),"Integración_Social")</f>
        <v>Integración_Social</v>
      </c>
      <c r="E1197" s="25"/>
      <c r="F1197" s="25"/>
      <c r="G1197" s="25"/>
      <c r="H1197" s="25"/>
      <c r="I1197" s="25"/>
      <c r="J1197" s="55"/>
      <c r="K1197" s="25" t="str">
        <f ca="1">IFERROR(__xludf.DUMMYFUNCTION("""COMPUTED_VALUE"""),"Definir fecha")</f>
        <v>Definir fecha</v>
      </c>
      <c r="L1197" s="62"/>
      <c r="M1197" s="25"/>
      <c r="N1197" s="25"/>
      <c r="O1197" s="25">
        <f t="shared" si="0"/>
        <v>0</v>
      </c>
      <c r="P1197" s="25" t="str">
        <f t="shared" si="2"/>
        <v/>
      </c>
      <c r="Q1197" s="25" t="str">
        <f ca="1">IFERROR(__xludf.DUMMYFUNCTION("""COMPUTED_VALUE"""),"Sin defenir")</f>
        <v>Sin defenir</v>
      </c>
      <c r="R1197" s="25"/>
      <c r="S1197" s="55"/>
      <c r="T1197" s="56"/>
      <c r="U1197" s="25"/>
      <c r="V1197" s="25"/>
      <c r="W1197" s="25"/>
      <c r="X1197" s="25"/>
      <c r="Y1197" s="25"/>
      <c r="Z1197" s="25"/>
    </row>
    <row r="1198" spans="1:26" ht="52.5" customHeight="1" x14ac:dyDescent="0.25">
      <c r="A1198" s="25" t="str">
        <f ca="1">IFERROR(__xludf.DUMMYFUNCTION("""COMPUTED_VALUE"""),"Integ296")</f>
        <v>Integ296</v>
      </c>
      <c r="B1198" s="25"/>
      <c r="C1198" s="55"/>
      <c r="D1198" s="25" t="str">
        <f ca="1">IFERROR(__xludf.DUMMYFUNCTION("""COMPUTED_VALUE"""),"Integración_Social")</f>
        <v>Integración_Social</v>
      </c>
      <c r="E1198" s="25"/>
      <c r="F1198" s="25"/>
      <c r="G1198" s="25"/>
      <c r="H1198" s="25"/>
      <c r="I1198" s="25"/>
      <c r="J1198" s="55"/>
      <c r="K1198" s="25" t="str">
        <f ca="1">IFERROR(__xludf.DUMMYFUNCTION("""COMPUTED_VALUE"""),"Definir fecha")</f>
        <v>Definir fecha</v>
      </c>
      <c r="L1198" s="62"/>
      <c r="M1198" s="25"/>
      <c r="N1198" s="25"/>
      <c r="O1198" s="25">
        <f t="shared" si="0"/>
        <v>0</v>
      </c>
      <c r="P1198" s="25" t="str">
        <f t="shared" si="2"/>
        <v/>
      </c>
      <c r="Q1198" s="25" t="str">
        <f ca="1">IFERROR(__xludf.DUMMYFUNCTION("""COMPUTED_VALUE"""),"Sin defenir")</f>
        <v>Sin defenir</v>
      </c>
      <c r="R1198" s="25"/>
      <c r="S1198" s="55"/>
      <c r="T1198" s="56"/>
      <c r="U1198" s="25"/>
      <c r="V1198" s="25"/>
      <c r="W1198" s="25"/>
      <c r="X1198" s="25"/>
      <c r="Y1198" s="25"/>
      <c r="Z1198" s="25"/>
    </row>
    <row r="1199" spans="1:26" ht="52.5" customHeight="1" x14ac:dyDescent="0.25">
      <c r="A1199" s="25" t="str">
        <f ca="1">IFERROR(__xludf.DUMMYFUNCTION("""COMPUTED_VALUE"""),"Integ297")</f>
        <v>Integ297</v>
      </c>
      <c r="B1199" s="25"/>
      <c r="C1199" s="55"/>
      <c r="D1199" s="25" t="str">
        <f ca="1">IFERROR(__xludf.DUMMYFUNCTION("""COMPUTED_VALUE"""),"Integración_Social")</f>
        <v>Integración_Social</v>
      </c>
      <c r="E1199" s="25"/>
      <c r="F1199" s="25"/>
      <c r="G1199" s="25"/>
      <c r="H1199" s="25"/>
      <c r="I1199" s="25"/>
      <c r="J1199" s="55"/>
      <c r="K1199" s="25" t="str">
        <f ca="1">IFERROR(__xludf.DUMMYFUNCTION("""COMPUTED_VALUE"""),"Definir fecha")</f>
        <v>Definir fecha</v>
      </c>
      <c r="L1199" s="62"/>
      <c r="M1199" s="25"/>
      <c r="N1199" s="25"/>
      <c r="O1199" s="25">
        <f t="shared" si="0"/>
        <v>0</v>
      </c>
      <c r="P1199" s="25" t="str">
        <f t="shared" si="2"/>
        <v/>
      </c>
      <c r="Q1199" s="25" t="str">
        <f ca="1">IFERROR(__xludf.DUMMYFUNCTION("""COMPUTED_VALUE"""),"Sin defenir")</f>
        <v>Sin defenir</v>
      </c>
      <c r="R1199" s="25"/>
      <c r="S1199" s="55"/>
      <c r="T1199" s="56"/>
      <c r="U1199" s="25"/>
      <c r="V1199" s="25"/>
      <c r="W1199" s="25"/>
      <c r="X1199" s="25"/>
      <c r="Y1199" s="25"/>
      <c r="Z1199" s="25"/>
    </row>
    <row r="1200" spans="1:26" ht="52.5" customHeight="1" x14ac:dyDescent="0.25">
      <c r="A1200" s="25" t="str">
        <f ca="1">IFERROR(__xludf.DUMMYFUNCTION("""COMPUTED_VALUE"""),"Integ298")</f>
        <v>Integ298</v>
      </c>
      <c r="B1200" s="25"/>
      <c r="C1200" s="55"/>
      <c r="D1200" s="25" t="str">
        <f ca="1">IFERROR(__xludf.DUMMYFUNCTION("""COMPUTED_VALUE"""),"Integración_Social")</f>
        <v>Integración_Social</v>
      </c>
      <c r="E1200" s="25"/>
      <c r="F1200" s="25"/>
      <c r="G1200" s="25"/>
      <c r="H1200" s="25"/>
      <c r="I1200" s="25"/>
      <c r="J1200" s="55"/>
      <c r="K1200" s="25" t="str">
        <f ca="1">IFERROR(__xludf.DUMMYFUNCTION("""COMPUTED_VALUE"""),"Definir fecha")</f>
        <v>Definir fecha</v>
      </c>
      <c r="L1200" s="62"/>
      <c r="M1200" s="25"/>
      <c r="N1200" s="25"/>
      <c r="O1200" s="25">
        <f t="shared" si="0"/>
        <v>0</v>
      </c>
      <c r="P1200" s="25" t="str">
        <f t="shared" si="2"/>
        <v/>
      </c>
      <c r="Q1200" s="25" t="str">
        <f ca="1">IFERROR(__xludf.DUMMYFUNCTION("""COMPUTED_VALUE"""),"Sin defenir")</f>
        <v>Sin defenir</v>
      </c>
      <c r="R1200" s="25"/>
      <c r="S1200" s="55"/>
      <c r="T1200" s="56"/>
      <c r="U1200" s="25"/>
      <c r="V1200" s="25"/>
      <c r="W1200" s="25"/>
      <c r="X1200" s="25"/>
      <c r="Y1200" s="25"/>
      <c r="Z1200" s="25"/>
    </row>
    <row r="1201" spans="1:26" ht="52.5" customHeight="1" x14ac:dyDescent="0.25">
      <c r="A1201" s="25" t="str">
        <f ca="1">IFERROR(__xludf.DUMMYFUNCTION("""COMPUTED_VALUE"""),"Integ299")</f>
        <v>Integ299</v>
      </c>
      <c r="B1201" s="25"/>
      <c r="C1201" s="55"/>
      <c r="D1201" s="25" t="str">
        <f ca="1">IFERROR(__xludf.DUMMYFUNCTION("""COMPUTED_VALUE"""),"Integración_Social")</f>
        <v>Integración_Social</v>
      </c>
      <c r="E1201" s="25"/>
      <c r="F1201" s="25"/>
      <c r="G1201" s="25"/>
      <c r="H1201" s="25"/>
      <c r="I1201" s="25"/>
      <c r="J1201" s="55"/>
      <c r="K1201" s="25" t="str">
        <f ca="1">IFERROR(__xludf.DUMMYFUNCTION("""COMPUTED_VALUE"""),"Definir fecha")</f>
        <v>Definir fecha</v>
      </c>
      <c r="L1201" s="62"/>
      <c r="M1201" s="25"/>
      <c r="N1201" s="25"/>
      <c r="O1201" s="25">
        <f t="shared" si="0"/>
        <v>0</v>
      </c>
      <c r="P1201" s="25" t="str">
        <f t="shared" si="2"/>
        <v/>
      </c>
      <c r="Q1201" s="25" t="str">
        <f ca="1">IFERROR(__xludf.DUMMYFUNCTION("""COMPUTED_VALUE"""),"Sin defenir")</f>
        <v>Sin defenir</v>
      </c>
      <c r="R1201" s="25"/>
      <c r="S1201" s="55"/>
      <c r="T1201" s="56"/>
      <c r="U1201" s="25"/>
      <c r="V1201" s="25"/>
      <c r="W1201" s="25"/>
      <c r="X1201" s="25"/>
      <c r="Y1201" s="25"/>
      <c r="Z1201" s="25"/>
    </row>
    <row r="1202" spans="1:26" ht="52.5" customHeight="1" x14ac:dyDescent="0.25">
      <c r="A1202" s="25" t="str">
        <f ca="1">IFERROR(__xludf.DUMMYFUNCTION("""COMPUTED_VALUE"""),"Integ300")</f>
        <v>Integ300</v>
      </c>
      <c r="B1202" s="25"/>
      <c r="C1202" s="55"/>
      <c r="D1202" s="25" t="str">
        <f ca="1">IFERROR(__xludf.DUMMYFUNCTION("""COMPUTED_VALUE"""),"Integración_Social")</f>
        <v>Integración_Social</v>
      </c>
      <c r="E1202" s="25"/>
      <c r="F1202" s="25"/>
      <c r="G1202" s="25"/>
      <c r="H1202" s="25"/>
      <c r="I1202" s="25"/>
      <c r="J1202" s="55"/>
      <c r="K1202" s="25" t="str">
        <f ca="1">IFERROR(__xludf.DUMMYFUNCTION("""COMPUTED_VALUE"""),"Definir fecha")</f>
        <v>Definir fecha</v>
      </c>
      <c r="L1202" s="62"/>
      <c r="M1202" s="25"/>
      <c r="N1202" s="25"/>
      <c r="O1202" s="25">
        <f t="shared" si="0"/>
        <v>0</v>
      </c>
      <c r="P1202" s="25" t="str">
        <f t="shared" si="2"/>
        <v/>
      </c>
      <c r="Q1202" s="25" t="str">
        <f ca="1">IFERROR(__xludf.DUMMYFUNCTION("""COMPUTED_VALUE"""),"Sin defenir")</f>
        <v>Sin defenir</v>
      </c>
      <c r="R1202" s="25"/>
      <c r="S1202" s="55"/>
      <c r="T1202" s="56"/>
      <c r="U1202" s="25"/>
      <c r="V1202" s="25"/>
      <c r="W1202" s="25"/>
      <c r="X1202" s="25"/>
      <c r="Y1202" s="25"/>
      <c r="Z1202" s="25"/>
    </row>
    <row r="1203" spans="1:26" ht="52.5" customHeight="1" x14ac:dyDescent="0.25">
      <c r="A1203" s="25" t="str">
        <f ca="1">IFERROR(__xludf.DUMMYFUNCTION("IMPORTRANGE(""https://docs.google.com/spreadsheets/d/1SUh42QDwFP8obN0GNIj4rWfstJx5kDi_GF8-hP5_7Ug/edit#gid=330735094"",""Educación!A2:K301"")"),"Educa1")</f>
        <v>Educa1</v>
      </c>
      <c r="B1203" s="25" t="str">
        <f ca="1">IFERROR(__xludf.DUMMYFUNCTION("""COMPUTED_VALUE"""),"Colegio Lombaría")</f>
        <v>Colegio Lombaría</v>
      </c>
      <c r="C1203" s="55">
        <f ca="1">IFERROR(__xludf.DUMMYFUNCTION("""COMPUTED_VALUE"""),44121)</f>
        <v>44121</v>
      </c>
      <c r="D1203" s="25" t="str">
        <f ca="1">IFERROR(__xludf.DUMMYFUNCTION("""COMPUTED_VALUE"""),"Educación")</f>
        <v>Educación</v>
      </c>
      <c r="E1203" s="25" t="str">
        <f ca="1">IFERROR(__xludf.DUMMYFUNCTION("""COMPUTED_VALUE"""),"Secretaría de Educación del Distrito")</f>
        <v>Secretaría de Educación del Distrito</v>
      </c>
      <c r="F1203" s="25" t="str">
        <f ca="1">IFERROR(__xludf.DUMMYFUNCTION("""COMPUTED_VALUE"""),"Compromiso de que la SED continuará trabajando de la mano de la Fundación y del DADEP, a fin de suscribir un contrato de comodato sobre dicho predio de manera tal que el Distrito pueda garantizar la continuidad de las actividades académicas, y la garantía"&amp;" del servicio para el total de la matrícula actual")</f>
        <v>Compromiso de que la SED continuará trabajando de la mano de la Fundación y del DADEP, a fin de suscribir un contrato de comodato sobre dicho predio de manera tal que el Distrito pueda garantizar la continuidad de las actividades académicas, y la garantía del servicio para el total de la matrícula actual</v>
      </c>
      <c r="G1203" s="25" t="str">
        <f ca="1">IFERROR(__xludf.DUMMYFUNCTION("""COMPUTED_VALUE"""),"99. Distrito")</f>
        <v>99. Distrito</v>
      </c>
      <c r="H1203" s="55">
        <f ca="1">IFERROR(__xludf.DUMMYFUNCTION("""COMPUTED_VALUE"""),44151)</f>
        <v>44151</v>
      </c>
      <c r="I1203" s="25"/>
      <c r="J1203" s="55" t="str">
        <f ca="1">IFERROR(__xludf.DUMMYFUNCTION("""COMPUTED_VALUE"""),"Alta")</f>
        <v>Alta</v>
      </c>
      <c r="K1203" s="25">
        <f ca="1">IFERROR(__xludf.DUMMYFUNCTION("""COMPUTED_VALUE"""),30)</f>
        <v>30</v>
      </c>
      <c r="L1203" s="62">
        <f ca="1">IFERROR(__xludf.DUMMYFUNCTION("IMPORTRANGE(""https://docs.google.com/spreadsheets/d/1SUh42QDwFP8obN0GNIj4rWfstJx5kDi_GF8-hP5_7Ug/edit#gid=330735094"",""Educación!M2:O301"")"),44420)</f>
        <v>44420</v>
      </c>
      <c r="M1203" s="25" t="str">
        <f ca="1">IFERROR(__xludf.DUMMYFUNCTION("""COMPUTED_VALUE"""),"Acción terminada.  La SED suscribió el respectivo comodato con la Fundación Compartir, lo que le permitió poner en operación el nuevo Colegio Compartir Suba desde inicios del año 2021, garantizando el servicio educativo para la población que venía matricu"&amp;"lada en años anteriores.")</f>
        <v>Acción terminada.  La SED suscribió el respectivo comodato con la Fundación Compartir, lo que le permitió poner en operación el nuevo Colegio Compartir Suba desde inicios del año 2021, garantizando el servicio educativo para la población que venía matriculada en años anteriores.</v>
      </c>
      <c r="N1203" s="55">
        <f ca="1">IFERROR(__xludf.DUMMYFUNCTION("""COMPUTED_VALUE"""),44927)</f>
        <v>44927</v>
      </c>
      <c r="O1203" s="25" t="str">
        <f t="shared" ca="1" si="0"/>
        <v>Secretaría de Educación del Distrito</v>
      </c>
      <c r="P1203" s="25" t="str">
        <f t="shared" si="2"/>
        <v/>
      </c>
      <c r="Q1203" s="25" t="str">
        <f ca="1">IFERROR(__xludf.DUMMYFUNCTION("IMPORTRANGE(""https://docs.google.com/spreadsheets/d/1SUh42QDwFP8obN0GNIj4rWfstJx5kDi_GF8-hP5_7Ug/edit#gid=330735094"",""Educación!L2:L301"")"),"Corto plazo")</f>
        <v>Corto plazo</v>
      </c>
      <c r="R1203" s="25"/>
      <c r="S1203" s="55"/>
      <c r="T1203" s="56"/>
      <c r="U1203" s="25"/>
      <c r="V1203" s="25"/>
      <c r="W1203" s="25"/>
      <c r="X1203" s="25"/>
      <c r="Y1203" s="25"/>
      <c r="Z1203" s="25"/>
    </row>
    <row r="1204" spans="1:26" ht="52.5" customHeight="1" x14ac:dyDescent="0.25">
      <c r="A1204" s="25" t="str">
        <f ca="1">IFERROR(__xludf.DUMMYFUNCTION("""COMPUTED_VALUE"""),"Educa2")</f>
        <v>Educa2</v>
      </c>
      <c r="B1204" s="25" t="str">
        <f ca="1">IFERROR(__xludf.DUMMYFUNCTION("""COMPUTED_VALUE"""),"Colegio Lombaría")</f>
        <v>Colegio Lombaría</v>
      </c>
      <c r="C1204" s="55">
        <f ca="1">IFERROR(__xludf.DUMMYFUNCTION("""COMPUTED_VALUE"""),44121)</f>
        <v>44121</v>
      </c>
      <c r="D1204" s="25" t="str">
        <f ca="1">IFERROR(__xludf.DUMMYFUNCTION("""COMPUTED_VALUE"""),"Educación")</f>
        <v>Educación</v>
      </c>
      <c r="E1204" s="25" t="str">
        <f ca="1">IFERROR(__xludf.DUMMYFUNCTION("""COMPUTED_VALUE"""),"Secretaría de Educación del Distrito")</f>
        <v>Secretaría de Educación del Distrito</v>
      </c>
      <c r="F1204" s="25" t="str">
        <f ca="1">IFERROR(__xludf.DUMMYFUNCTION("""COMPUTED_VALUE"""),"Coordinar con el IDRD lo atinente al uso de las zonas verdes aledañas a la Institución Educativa de manera tal que se revise si, dentro de las inversiones programadas, se encuentran la adecuación y mantenimiento de los parques que se describen en el proye"&amp;"cto arquitectónico y que, conjuntamente con las infraestructura que contempla el proyecto, se pudieran convertir en núcleo para una Manzana del Cuidado, articulando lo necesario con el proyecto que lidera la Secretaría de la Mujer")</f>
        <v>Coordinar con el IDRD lo atinente al uso de las zonas verdes aledañas a la Institución Educativa de manera tal que se revise si, dentro de las inversiones programadas, se encuentran la adecuación y mantenimiento de los parques que se describen en el proyecto arquitectónico y que, conjuntamente con las infraestructura que contempla el proyecto, se pudieran convertir en núcleo para una Manzana del Cuidado, articulando lo necesario con el proyecto que lidera la Secretaría de la Mujer</v>
      </c>
      <c r="G1204" s="25" t="str">
        <f ca="1">IFERROR(__xludf.DUMMYFUNCTION("""COMPUTED_VALUE"""),"99. Distrito")</f>
        <v>99. Distrito</v>
      </c>
      <c r="H1204" s="55">
        <f ca="1">IFERROR(__xludf.DUMMYFUNCTION("""COMPUTED_VALUE"""),44151)</f>
        <v>44151</v>
      </c>
      <c r="I1204" s="25"/>
      <c r="J1204" s="55" t="str">
        <f ca="1">IFERROR(__xludf.DUMMYFUNCTION("""COMPUTED_VALUE"""),"Alta")</f>
        <v>Alta</v>
      </c>
      <c r="K1204" s="25">
        <f ca="1">IFERROR(__xludf.DUMMYFUNCTION("""COMPUTED_VALUE"""),30)</f>
        <v>30</v>
      </c>
      <c r="L1204" s="62">
        <f ca="1">IFERROR(__xludf.DUMMYFUNCTION("""COMPUTED_VALUE"""),44483)</f>
        <v>44483</v>
      </c>
      <c r="M1204" s="25" t="str">
        <f ca="1">IFERROR(__xludf.DUMMYFUNCTION("""COMPUTED_VALUE"""),"La zona verde que es parque, aún está en cabeza del urbanizador (Fundación Exito). Aún no han sido entregadas al Distrito, por lo que se está a la espera de la entrega para coordinar lo respectivo con el IDRD.
Esta es una obra actualmente en ejecución. E"&amp;"l porcentaje de avance es del 33%. La proyección de terminación de la obra es el primer semestre de 2022.")</f>
        <v>La zona verde que es parque, aún está en cabeza del urbanizador (Fundación Exito). Aún no han sido entregadas al Distrito, por lo que se está a la espera de la entrega para coordinar lo respectivo con el IDRD.
Esta es una obra actualmente en ejecución. El porcentaje de avance es del 33%. La proyección de terminación de la obra es el primer semestre de 2022.</v>
      </c>
      <c r="N1204" s="55">
        <f ca="1">IFERROR(__xludf.DUMMYFUNCTION("""COMPUTED_VALUE"""),44927)</f>
        <v>44927</v>
      </c>
      <c r="O1204" s="25" t="str">
        <f t="shared" ca="1" si="0"/>
        <v>Secretaría de Educación del Distrito</v>
      </c>
      <c r="P1204" s="25" t="str">
        <f t="shared" si="2"/>
        <v/>
      </c>
      <c r="Q1204" s="25" t="str">
        <f ca="1">IFERROR(__xludf.DUMMYFUNCTION("""COMPUTED_VALUE"""),"Corto plazo")</f>
        <v>Corto plazo</v>
      </c>
      <c r="R1204" s="25" t="s">
        <v>78</v>
      </c>
      <c r="S1204" s="55">
        <v>44378</v>
      </c>
      <c r="T1204" s="56"/>
      <c r="U1204" s="25"/>
      <c r="V1204" s="25"/>
      <c r="W1204" s="25"/>
      <c r="X1204" s="25"/>
      <c r="Y1204" s="25"/>
      <c r="Z1204" s="25"/>
    </row>
    <row r="1205" spans="1:26" ht="52.5" customHeight="1" x14ac:dyDescent="0.25">
      <c r="A1205" s="25" t="str">
        <f ca="1">IFERROR(__xludf.DUMMYFUNCTION("""COMPUTED_VALUE"""),"Educa3")</f>
        <v>Educa3</v>
      </c>
      <c r="B1205" s="25" t="str">
        <f ca="1">IFERROR(__xludf.DUMMYFUNCTION("""COMPUTED_VALUE"""),"Colegio Lombaría")</f>
        <v>Colegio Lombaría</v>
      </c>
      <c r="C1205" s="55">
        <f ca="1">IFERROR(__xludf.DUMMYFUNCTION("""COMPUTED_VALUE"""),44121)</f>
        <v>44121</v>
      </c>
      <c r="D1205" s="25" t="str">
        <f ca="1">IFERROR(__xludf.DUMMYFUNCTION("""COMPUTED_VALUE"""),"Educación")</f>
        <v>Educación</v>
      </c>
      <c r="E1205" s="25" t="str">
        <f ca="1">IFERROR(__xludf.DUMMYFUNCTION("""COMPUTED_VALUE"""),"Secretaría de Educación del Distrito")</f>
        <v>Secretaría de Educación del Distrito</v>
      </c>
      <c r="F1205" s="25" t="str">
        <f ca="1">IFERROR(__xludf.DUMMYFUNCTION("""COMPUTED_VALUE"""),"Revisar la situación jurídica, de infraestructura y de operación de la sede B del Colegio, y conforme a sus propios planes de cobertura y demás condiciones, promoverá las medidas que resulten más adecuadas a la situación")</f>
        <v>Revisar la situación jurídica, de infraestructura y de operación de la sede B del Colegio, y conforme a sus propios planes de cobertura y demás condiciones, promoverá las medidas que resulten más adecuadas a la situación</v>
      </c>
      <c r="G1205" s="25" t="str">
        <f ca="1">IFERROR(__xludf.DUMMYFUNCTION("""COMPUTED_VALUE"""),"99. Distrito")</f>
        <v>99. Distrito</v>
      </c>
      <c r="H1205" s="55">
        <f ca="1">IFERROR(__xludf.DUMMYFUNCTION("""COMPUTED_VALUE"""),44151)</f>
        <v>44151</v>
      </c>
      <c r="I1205" s="25"/>
      <c r="J1205" s="55" t="str">
        <f ca="1">IFERROR(__xludf.DUMMYFUNCTION("""COMPUTED_VALUE"""),"Alta")</f>
        <v>Alta</v>
      </c>
      <c r="K1205" s="25">
        <f ca="1">IFERROR(__xludf.DUMMYFUNCTION("""COMPUTED_VALUE"""),30)</f>
        <v>30</v>
      </c>
      <c r="L1205" s="62">
        <f ca="1">IFERROR(__xludf.DUMMYFUNCTION("""COMPUTED_VALUE"""),44420)</f>
        <v>44420</v>
      </c>
      <c r="M1205" s="25" t="str">
        <f ca="1">IFERROR(__xludf.DUMMYFUNCTION("""COMPUTED_VALUE"""),"Acción terminada. La SED suscribió el respectivo comodato con la Fundación Compartir, lo que le permitió poner en operación el nuevo Colegio Compartir Suba desde inicios del año 2021, garantizando el servicio educativo para la población que venía matricul"&amp;"ada en años anteriores. En relación con la Sede B, se realizaron las respectivas adecuaciones en los primeros meses del año, logrando recuperarla y ponerla en funcionamiento.")</f>
        <v>Acción terminada. La SED suscribió el respectivo comodato con la Fundación Compartir, lo que le permitió poner en operación el nuevo Colegio Compartir Suba desde inicios del año 2021, garantizando el servicio educativo para la población que venía matriculada en años anteriores. En relación con la Sede B, se realizaron las respectivas adecuaciones en los primeros meses del año, logrando recuperarla y ponerla en funcionamiento.</v>
      </c>
      <c r="N1205" s="55">
        <f ca="1">IFERROR(__xludf.DUMMYFUNCTION("""COMPUTED_VALUE"""),44927)</f>
        <v>44927</v>
      </c>
      <c r="O1205" s="25" t="str">
        <f t="shared" ca="1" si="0"/>
        <v>Secretaría de Educación del Distrito</v>
      </c>
      <c r="P1205" s="25" t="str">
        <f t="shared" si="2"/>
        <v/>
      </c>
      <c r="Q1205" s="25" t="str">
        <f ca="1">IFERROR(__xludf.DUMMYFUNCTION("""COMPUTED_VALUE"""),"Corto plazo")</f>
        <v>Corto plazo</v>
      </c>
      <c r="R1205" s="25"/>
      <c r="S1205" s="55"/>
      <c r="T1205" s="56"/>
      <c r="U1205" s="25"/>
      <c r="V1205" s="25"/>
      <c r="W1205" s="25"/>
      <c r="X1205" s="25"/>
      <c r="Y1205" s="25"/>
      <c r="Z1205" s="25"/>
    </row>
    <row r="1206" spans="1:26" ht="52.5" customHeight="1" x14ac:dyDescent="0.25">
      <c r="A1206" s="25" t="str">
        <f ca="1">IFERROR(__xludf.DUMMYFUNCTION("""COMPUTED_VALUE"""),"Educa4")</f>
        <v>Educa4</v>
      </c>
      <c r="B1206" s="25" t="str">
        <f ca="1">IFERROR(__xludf.DUMMYFUNCTION("""COMPUTED_VALUE"""),"Compromisos Academia 4 ")</f>
        <v xml:space="preserve">Compromisos Academia 4 </v>
      </c>
      <c r="C1206" s="55">
        <f ca="1">IFERROR(__xludf.DUMMYFUNCTION("""COMPUTED_VALUE"""),44285)</f>
        <v>44285</v>
      </c>
      <c r="D1206" s="25" t="str">
        <f ca="1">IFERROR(__xludf.DUMMYFUNCTION("""COMPUTED_VALUE"""),"Educación")</f>
        <v>Educación</v>
      </c>
      <c r="E1206" s="25" t="str">
        <f ca="1">IFERROR(__xludf.DUMMYFUNCTION("""COMPUTED_VALUE"""),"Secretaría de Educación del Distrito")</f>
        <v>Secretaría de Educación del Distrito</v>
      </c>
      <c r="F1206" s="25" t="str">
        <f ca="1">IFERROR(__xludf.DUMMYFUNCTION("""COMPUTED_VALUE"""),"Fortalecer la narrativa que permite ver cuál es el valor agregado que se genera al tener la vista completa del ecosistema 
")</f>
        <v xml:space="preserve">Fortalecer la narrativa que permite ver cuál es el valor agregado que se genera al tener la vista completa del ecosistema 
</v>
      </c>
      <c r="G1206" s="25" t="str">
        <f ca="1">IFERROR(__xludf.DUMMYFUNCTION("""COMPUTED_VALUE"""),"99. Distrito")</f>
        <v>99. Distrito</v>
      </c>
      <c r="H1206" s="55">
        <f ca="1">IFERROR(__xludf.DUMMYFUNCTION("""COMPUTED_VALUE"""),44315)</f>
        <v>44315</v>
      </c>
      <c r="I1206" s="25"/>
      <c r="J1206" s="55" t="str">
        <f ca="1">IFERROR(__xludf.DUMMYFUNCTION("""COMPUTED_VALUE"""),"Alta")</f>
        <v>Alta</v>
      </c>
      <c r="K1206" s="25">
        <f ca="1">IFERROR(__xludf.DUMMYFUNCTION("""COMPUTED_VALUE"""),30)</f>
        <v>30</v>
      </c>
      <c r="L1206" s="62">
        <f ca="1">IFERROR(__xludf.DUMMYFUNCTION("""COMPUTED_VALUE"""),44379)</f>
        <v>44379</v>
      </c>
      <c r="M1206" s="25" t="str">
        <f ca="1">IFERROR(__xludf.DUMMYFUNCTION("""COMPUTED_VALUE"""),"Hemos avanzado en la narrativa en el marco de la Estrategia Educación y Tecnología, se enmarca dentro de la Política Bogotá́ Territorio Inteligente que está diseñando e implementando la Alta Consejería TIC  incluyendo objetivos de largo plazo, que repres"&amp;"entan la hipotesis o el para qué debe existir una A4RI, ligado a unos programas y objetivos sobre cuatro ejes:
1. Articular, acelerar y apoyar la generación de competencias en habilidades para la 4RI para 40.000+ personas con enfoque en jóvenes y mujeres,"&amp;" desde la oferta de formación de la SDDE, SDE y el nuevo modelo.
2. Aceleración y articulación de mecanismos de conexión con el empleo y el emprendimiento de base tecnológica.
3. Fortalecimiento del ecosistema de la 4a Revolución Industrial, identificació"&amp;"n de aliados clave, formalización de alianzas, creación mesa de trabajo 4RI 
4. Creación del Observatorio de la 4 aRI para articular los diferentes esfuerzos alrededor de mapeo de oferta y demanda, estudios de brechas de talento. Metas de largo plazo:
Cie"&amp;"rre de brechas: Contribuir al cierre de brechas de talento humano de cantidad, calidad y pertinencia, presente y futura, relacionada con la cuarta revolución industrial, de acuerdo con las necesidades de los sectores económicos de Bogotá - Región, con foc"&amp;"o en jóvenes y mujeres.
Contribuir a la movilidad laboral: Contribuir a la reducción del desempleo y la movilidad laboral nacional e internacional, a través facilitar la movilidad y progresión, educativa, formativa y laboral y el fomento, visibilización y"&amp;" conexión del talento con el empleo y el emprendimiento de base tecnológica.  
Crear un ecosistema de empleo y formación 4RI robusto: Contribuir al fortalecimiento del ecosistema de formación y empleo para la 4a Revolución Industrial en Bogotá-Región, pro"&amp;"moviendo una mayor interacción entre los actores de gobierno, el sector productivo, la academia, etc.
Habilitación de territorio inteligente: Avanzar en la construcción de un territorio inteligente que aprovecha los datos, la innovación y la tecnología, p"&amp;"ara brindar mejores oportunidades y mayor calidad de vida a sus habitantes.")</f>
        <v>Hemos avanzado en la narrativa en el marco de la Estrategia Educación y Tecnología, se enmarca dentro de la Política Bogotá́ Territorio Inteligente que está diseñando e implementando la Alta Consejería TIC  incluyendo objetivos de largo plazo, que representan la hipotesis o el para qué debe existir una A4RI, ligado a unos programas y objetivos sobre cuatro ejes:
1. Articular, acelerar y apoyar la generación de competencias en habilidades para la 4RI para 40.000+ personas con enfoque en jóvenes y mujeres, desde la oferta de formación de la SDDE, SDE y el nuevo modelo.
2. Aceleración y articulación de mecanismos de conexión con el empleo y el emprendimiento de base tecnológica.
3. Fortalecimiento del ecosistema de la 4a Revolución Industrial, identificación de aliados clave, formalización de alianzas, creación mesa de trabajo 4RI 
4. Creación del Observatorio de la 4 aRI para articular los diferentes esfuerzos alrededor de mapeo de oferta y demanda, estudios de brechas de talento. Metas de largo plazo:
Cierre de brechas: Contribuir al cierre de brechas de talento humano de cantidad, calidad y pertinencia, presente y futura, relacionada con la cuarta revolución industrial, de acuerdo con las necesidades de los sectores económicos de Bogotá - Región, con foco en jóvenes y mujeres.
Contribuir a la movilidad laboral: Contribuir a la reducción del desempleo y la movilidad laboral nacional e internacional, a través facilitar la movilidad y progresión, educativa, formativa y laboral y el fomento, visibilización y conexión del talento con el empleo y el emprendimiento de base tecnológica.  
Crear un ecosistema de empleo y formación 4RI robusto: Contribuir al fortalecimiento del ecosistema de formación y empleo para la 4a Revolución Industrial en Bogotá-Región, promoviendo una mayor interacción entre los actores de gobierno, el sector productivo, la academia, etc.
Habilitación de territorio inteligente: Avanzar en la construcción de un territorio inteligente que aprovecha los datos, la innovación y la tecnología, para brindar mejores oportunidades y mayor calidad de vida a sus habitantes.</v>
      </c>
      <c r="N1206" s="55">
        <f ca="1">IFERROR(__xludf.DUMMYFUNCTION("""COMPUTED_VALUE"""),44927)</f>
        <v>44927</v>
      </c>
      <c r="O1206" s="25" t="str">
        <f t="shared" ca="1" si="0"/>
        <v>Secretaría de Educación del Distrito</v>
      </c>
      <c r="P1206" s="25" t="str">
        <f t="shared" si="2"/>
        <v/>
      </c>
      <c r="Q1206" s="25" t="str">
        <f ca="1">IFERROR(__xludf.DUMMYFUNCTION("""COMPUTED_VALUE"""),"Corto plazo")</f>
        <v>Corto plazo</v>
      </c>
      <c r="R1206" s="25"/>
      <c r="S1206" s="55"/>
      <c r="T1206" s="56"/>
      <c r="U1206" s="25"/>
      <c r="V1206" s="25"/>
      <c r="W1206" s="25"/>
      <c r="X1206" s="25"/>
      <c r="Y1206" s="25"/>
      <c r="Z1206" s="25"/>
    </row>
    <row r="1207" spans="1:26" ht="52.5" customHeight="1" x14ac:dyDescent="0.25">
      <c r="A1207" s="25" t="str">
        <f ca="1">IFERROR(__xludf.DUMMYFUNCTION("""COMPUTED_VALUE"""),"Educa5")</f>
        <v>Educa5</v>
      </c>
      <c r="B1207" s="25" t="str">
        <f ca="1">IFERROR(__xludf.DUMMYFUNCTION("""COMPUTED_VALUE"""),"Compromisos Academia 4 ")</f>
        <v xml:space="preserve">Compromisos Academia 4 </v>
      </c>
      <c r="C1207" s="55">
        <f ca="1">IFERROR(__xludf.DUMMYFUNCTION("""COMPUTED_VALUE"""),44285)</f>
        <v>44285</v>
      </c>
      <c r="D1207" s="25" t="str">
        <f ca="1">IFERROR(__xludf.DUMMYFUNCTION("""COMPUTED_VALUE"""),"Educación")</f>
        <v>Educación</v>
      </c>
      <c r="E1207" s="25" t="str">
        <f ca="1">IFERROR(__xludf.DUMMYFUNCTION("""COMPUTED_VALUE"""),"Secretaría de Educación del Distrito")</f>
        <v>Secretaría de Educación del Distrito</v>
      </c>
      <c r="F1207" s="25" t="str">
        <f ca="1">IFERROR(__xludf.DUMMYFUNCTION("""COMPUTED_VALUE"""),"Articular todas las discusiones con la mesa de formación liderada por Natalia Ariza")</f>
        <v>Articular todas las discusiones con la mesa de formación liderada por Natalia Ariza</v>
      </c>
      <c r="G1207" s="25" t="str">
        <f ca="1">IFERROR(__xludf.DUMMYFUNCTION("""COMPUTED_VALUE"""),"99. Distrito")</f>
        <v>99. Distrito</v>
      </c>
      <c r="H1207" s="55">
        <f ca="1">IFERROR(__xludf.DUMMYFUNCTION("""COMPUTED_VALUE"""),44315)</f>
        <v>44315</v>
      </c>
      <c r="I1207" s="25"/>
      <c r="J1207" s="55" t="str">
        <f ca="1">IFERROR(__xludf.DUMMYFUNCTION("""COMPUTED_VALUE"""),"Alta")</f>
        <v>Alta</v>
      </c>
      <c r="K1207" s="25">
        <f ca="1">IFERROR(__xludf.DUMMYFUNCTION("""COMPUTED_VALUE"""),30)</f>
        <v>30</v>
      </c>
      <c r="L1207" s="62">
        <f ca="1">IFERROR(__xludf.DUMMYFUNCTION("""COMPUTED_VALUE"""),44379)</f>
        <v>44379</v>
      </c>
      <c r="M1207" s="25" t="str">
        <f ca="1">IFERROR(__xludf.DUMMYFUNCTION("""COMPUTED_VALUE"""),"Se artículo de la siguiente manera:
1. Identificación de líneas de trabajo conjunto A4RI, Atenea
2. Generación de Anexo Técnico para ciclo de cierre de brechas para el programa Jóvenes a la U, para inducir e incentivar a las IE´s a incluir oferta de forma"&amp;"ción en áreas relacionadas con la 4RI
3. Articulación con actores clave en el ecosistema e identificación de potenciales aliados para Atentar, hemos propiciado las siguiente reuniones:
 a. Uniempresarial (Modelo de educación dual)
b. LinkedIn - Formación "&amp;"y Empleo
c. Acenture - Formación cursos cortos gratuitos
de. Google, programas de formación con IEs
e. AWS programas de formación con IEs
f. Fundación Coronó Global Youth opportunity Network GOYN. Marketplace, mapeo de oferte y demanda y mecanismos de fin"&amp;"anciación
g. Reunión socialización A4RI con IEs públicas y privadas
h. OIT, mesa de trabajo 4RI
Se logró incluir el ajuste de la imagen institucional de los  contenidos de Aprende TIC en el marco del convenio con la OIT y se incluirán en el diplomado ofre"&amp;"cido por Atenea en el nuevo modelo, en el segundo semestre de 2021.""
")</f>
        <v xml:space="preserve">Se artículo de la siguiente manera:
1. Identificación de líneas de trabajo conjunto A4RI, Atenea
2. Generación de Anexo Técnico para ciclo de cierre de brechas para el programa Jóvenes a la U, para inducir e incentivar a las IE´s a incluir oferta de formación en áreas relacionadas con la 4RI
3. Articulación con actores clave en el ecosistema e identificación de potenciales aliados para Atentar, hemos propiciado las siguiente reuniones:
 a. Uniempresarial (Modelo de educación dual)
b. LinkedIn - Formación y Empleo
c. Acenture - Formación cursos cortos gratuitos
de. Google, programas de formación con IEs
e. AWS programas de formación con IEs
f. Fundación Coronó Global Youth opportunity Network GOYN. Marketplace, mapeo de oferte y demanda y mecanismos de financiación
g. Reunión socialización A4RI con IEs públicas y privadas
h. OIT, mesa de trabajo 4RI
Se logró incluir el ajuste de la imagen institucional de los  contenidos de Aprende TIC en el marco del convenio con la OIT y se incluirán en el diplomado ofrecido por Atenea en el nuevo modelo, en el segundo semestre de 2021."
</v>
      </c>
      <c r="N1207" s="55">
        <f ca="1">IFERROR(__xludf.DUMMYFUNCTION("""COMPUTED_VALUE"""),44927)</f>
        <v>44927</v>
      </c>
      <c r="O1207" s="25" t="str">
        <f t="shared" ca="1" si="0"/>
        <v>Secretaría de Educación del Distrito</v>
      </c>
      <c r="P1207" s="25" t="str">
        <f t="shared" si="2"/>
        <v/>
      </c>
      <c r="Q1207" s="25" t="str">
        <f ca="1">IFERROR(__xludf.DUMMYFUNCTION("""COMPUTED_VALUE"""),"Corto plazo")</f>
        <v>Corto plazo</v>
      </c>
      <c r="R1207" s="25"/>
      <c r="S1207" s="55"/>
      <c r="T1207" s="56"/>
      <c r="U1207" s="25"/>
      <c r="V1207" s="25"/>
      <c r="W1207" s="25"/>
      <c r="X1207" s="25"/>
      <c r="Y1207" s="25"/>
      <c r="Z1207" s="25"/>
    </row>
    <row r="1208" spans="1:26" ht="52.5" customHeight="1" x14ac:dyDescent="0.25">
      <c r="A1208" s="25" t="str">
        <f ca="1">IFERROR(__xludf.DUMMYFUNCTION("""COMPUTED_VALUE"""),"Educa6")</f>
        <v>Educa6</v>
      </c>
      <c r="B1208" s="25" t="str">
        <f ca="1">IFERROR(__xludf.DUMMYFUNCTION("""COMPUTED_VALUE"""),"Compromisos Academia 4 ")</f>
        <v xml:space="preserve">Compromisos Academia 4 </v>
      </c>
      <c r="C1208" s="55">
        <f ca="1">IFERROR(__xludf.DUMMYFUNCTION("""COMPUTED_VALUE"""),44285)</f>
        <v>44285</v>
      </c>
      <c r="D1208" s="25" t="str">
        <f ca="1">IFERROR(__xludf.DUMMYFUNCTION("""COMPUTED_VALUE"""),"Educación")</f>
        <v>Educación</v>
      </c>
      <c r="E1208" s="25" t="str">
        <f ca="1">IFERROR(__xludf.DUMMYFUNCTION("""COMPUTED_VALUE"""),"Secretaría de Educación del Distrito")</f>
        <v>Secretaría de Educación del Distrito</v>
      </c>
      <c r="F1208" s="25" t="str">
        <f ca="1">IFERROR(__xludf.DUMMYFUNCTION("""COMPUTED_VALUE"""),"Incorporar metas de bilingüismo SED en las metas de la Academia 4RI")</f>
        <v>Incorporar metas de bilingüismo SED en las metas de la Academia 4RI</v>
      </c>
      <c r="G1208" s="25" t="str">
        <f ca="1">IFERROR(__xludf.DUMMYFUNCTION("""COMPUTED_VALUE"""),"99. Distrito")</f>
        <v>99. Distrito</v>
      </c>
      <c r="H1208" s="55">
        <f ca="1">IFERROR(__xludf.DUMMYFUNCTION("""COMPUTED_VALUE"""),44315)</f>
        <v>44315</v>
      </c>
      <c r="I1208" s="25"/>
      <c r="J1208" s="55" t="str">
        <f ca="1">IFERROR(__xludf.DUMMYFUNCTION("""COMPUTED_VALUE"""),"Alta")</f>
        <v>Alta</v>
      </c>
      <c r="K1208" s="25">
        <f ca="1">IFERROR(__xludf.DUMMYFUNCTION("""COMPUTED_VALUE"""),30)</f>
        <v>30</v>
      </c>
      <c r="L1208" s="62">
        <f ca="1">IFERROR(__xludf.DUMMYFUNCTION("""COMPUTED_VALUE"""),44379)</f>
        <v>44379</v>
      </c>
      <c r="M1208" s="25" t="str">
        <f ca="1">IFERROR(__xludf.DUMMYFUNCTION("""COMPUTED_VALUE"""),"Se incluyó en los objetivos de aceleración de la A4RI el Programa de Bilingüismo para docentes y estudiantes
Aliados Clave: Sena
Meta: Reducción del número de estudiantes en A- y A1, para que al final del cuatrienio un 30% de ellos logren nivel A2, según "&amp;"el Marco Común Europeo de Referencia.
Meta a 2024
2.000 docentes certificados y/o formados
220 IED implementando planes de acción en segunda lengua
13.200 estudiantes en Nivel A2 (Saber 11)
IED con Currículo Fortalecido y 100% articulado al Currículo Suge"&amp;"rido 
Transformación Pedagógica y prácticas de aula innovadoras
Inglés con propósitos específicos – Estudiantes Media Integral
Aliados Clave: Sena")</f>
        <v>Se incluyó en los objetivos de aceleración de la A4RI el Programa de Bilingüismo para docentes y estudiantes
Aliados Clave: Sena
Meta: Reducción del número de estudiantes en A- y A1, para que al final del cuatrienio un 30% de ellos logren nivel A2, según el Marco Común Europeo de Referencia.
Meta a 2024
2.000 docentes certificados y/o formados
220 IED implementando planes de acción en segunda lengua
13.200 estudiantes en Nivel A2 (Saber 11)
IED con Currículo Fortalecido y 100% articulado al Currículo Sugerido 
Transformación Pedagógica y prácticas de aula innovadoras
Inglés con propósitos específicos – Estudiantes Media Integral
Aliados Clave: Sena</v>
      </c>
      <c r="N1208" s="55">
        <f ca="1">IFERROR(__xludf.DUMMYFUNCTION("""COMPUTED_VALUE"""),44927)</f>
        <v>44927</v>
      </c>
      <c r="O1208" s="25" t="str">
        <f t="shared" ca="1" si="0"/>
        <v>Secretaría de Educación del Distrito</v>
      </c>
      <c r="P1208" s="25" t="str">
        <f t="shared" si="2"/>
        <v/>
      </c>
      <c r="Q1208" s="25" t="str">
        <f ca="1">IFERROR(__xludf.DUMMYFUNCTION("""COMPUTED_VALUE"""),"Corto plazo")</f>
        <v>Corto plazo</v>
      </c>
      <c r="R1208" s="25"/>
      <c r="S1208" s="55"/>
      <c r="T1208" s="56"/>
      <c r="U1208" s="25"/>
      <c r="V1208" s="25"/>
      <c r="W1208" s="25"/>
      <c r="X1208" s="25"/>
      <c r="Y1208" s="25"/>
      <c r="Z1208" s="25"/>
    </row>
    <row r="1209" spans="1:26" ht="52.5" customHeight="1" x14ac:dyDescent="0.25">
      <c r="A1209" s="25" t="str">
        <f ca="1">IFERROR(__xludf.DUMMYFUNCTION("""COMPUTED_VALUE"""),"Educa7")</f>
        <v>Educa7</v>
      </c>
      <c r="B1209" s="25" t="str">
        <f ca="1">IFERROR(__xludf.DUMMYFUNCTION("""COMPUTED_VALUE"""),"Compromisos Academia 4 ")</f>
        <v xml:space="preserve">Compromisos Academia 4 </v>
      </c>
      <c r="C1209" s="55">
        <f ca="1">IFERROR(__xludf.DUMMYFUNCTION("""COMPUTED_VALUE"""),44285)</f>
        <v>44285</v>
      </c>
      <c r="D1209" s="25" t="str">
        <f ca="1">IFERROR(__xludf.DUMMYFUNCTION("""COMPUTED_VALUE"""),"Educación")</f>
        <v>Educación</v>
      </c>
      <c r="E1209" s="25" t="str">
        <f ca="1">IFERROR(__xludf.DUMMYFUNCTION("""COMPUTED_VALUE"""),"Secretaría de Educación del Distrito")</f>
        <v>Secretaría de Educación del Distrito</v>
      </c>
      <c r="F1209" s="25" t="str">
        <f ca="1">IFERROR(__xludf.DUMMYFUNCTION("""COMPUTED_VALUE"""),"Presentar Hitos a largo plazo con claridad de qué le vamos a dejar a la ciudad")</f>
        <v>Presentar Hitos a largo plazo con claridad de qué le vamos a dejar a la ciudad</v>
      </c>
      <c r="G1209" s="25" t="str">
        <f ca="1">IFERROR(__xludf.DUMMYFUNCTION("""COMPUTED_VALUE"""),"99. Distrito")</f>
        <v>99. Distrito</v>
      </c>
      <c r="H1209" s="55">
        <f ca="1">IFERROR(__xludf.DUMMYFUNCTION("""COMPUTED_VALUE"""),44315)</f>
        <v>44315</v>
      </c>
      <c r="I1209" s="25"/>
      <c r="J1209" s="55" t="str">
        <f ca="1">IFERROR(__xludf.DUMMYFUNCTION("""COMPUTED_VALUE"""),"Alta")</f>
        <v>Alta</v>
      </c>
      <c r="K1209" s="25">
        <f ca="1">IFERROR(__xludf.DUMMYFUNCTION("""COMPUTED_VALUE"""),30)</f>
        <v>30</v>
      </c>
      <c r="L1209" s="62">
        <f ca="1">IFERROR(__xludf.DUMMYFUNCTION("""COMPUTED_VALUE"""),44379)</f>
        <v>44379</v>
      </c>
      <c r="M1209" s="25" t="str">
        <f ca="1">IFERROR(__xludf.DUMMYFUNCTION("""COMPUTED_VALUE"""),"Diagrama entregado a Despacho Secretaria Privada")</f>
        <v>Diagrama entregado a Despacho Secretaria Privada</v>
      </c>
      <c r="N1209" s="55">
        <f ca="1">IFERROR(__xludf.DUMMYFUNCTION("""COMPUTED_VALUE"""),44927)</f>
        <v>44927</v>
      </c>
      <c r="O1209" s="25" t="str">
        <f t="shared" ca="1" si="0"/>
        <v>Secretaría de Educación del Distrito</v>
      </c>
      <c r="P1209" s="25" t="str">
        <f t="shared" si="2"/>
        <v/>
      </c>
      <c r="Q1209" s="25" t="str">
        <f ca="1">IFERROR(__xludf.DUMMYFUNCTION("""COMPUTED_VALUE"""),"Corto plazo")</f>
        <v>Corto plazo</v>
      </c>
      <c r="R1209" s="25"/>
      <c r="S1209" s="55"/>
      <c r="T1209" s="56"/>
      <c r="U1209" s="25"/>
      <c r="V1209" s="25"/>
      <c r="W1209" s="25"/>
      <c r="X1209" s="25"/>
      <c r="Y1209" s="25"/>
      <c r="Z1209" s="25"/>
    </row>
    <row r="1210" spans="1:26" ht="52.5" customHeight="1" x14ac:dyDescent="0.25">
      <c r="A1210" s="25" t="str">
        <f ca="1">IFERROR(__xludf.DUMMYFUNCTION("""COMPUTED_VALUE"""),"Educa8")</f>
        <v>Educa8</v>
      </c>
      <c r="B1210" s="25" t="str">
        <f ca="1">IFERROR(__xludf.DUMMYFUNCTION("""COMPUTED_VALUE"""),"Infraestructura - Visita campo y reunión Santa Teresita San Cristóbal")</f>
        <v>Infraestructura - Visita campo y reunión Santa Teresita San Cristóbal</v>
      </c>
      <c r="C1210" s="55">
        <f ca="1">IFERROR(__xludf.DUMMYFUNCTION("""COMPUTED_VALUE"""),44229)</f>
        <v>44229</v>
      </c>
      <c r="D1210" s="25" t="str">
        <f ca="1">IFERROR(__xludf.DUMMYFUNCTION("""COMPUTED_VALUE"""),"Educación")</f>
        <v>Educación</v>
      </c>
      <c r="E1210" s="25" t="str">
        <f ca="1">IFERROR(__xludf.DUMMYFUNCTION("""COMPUTED_VALUE"""),"Secretaría de Educación del Distrito")</f>
        <v>Secretaría de Educación del Distrito</v>
      </c>
      <c r="F1210" s="25" t="str">
        <f ca="1">IFERROR(__xludf.DUMMYFUNCTION("""COMPUTED_VALUE"""),"La  SED  remitirá  a  la  EAAB  la  solicitud  de  conexión  temporal  del  colegio  Santa Teresita, la EAAB se compromete a reevaluar esta solicitud.")</f>
        <v>La  SED  remitirá  a  la  EAAB  la  solicitud  de  conexión  temporal  del  colegio  Santa Teresita, la EAAB se compromete a reevaluar esta solicitud.</v>
      </c>
      <c r="G1210" s="25" t="str">
        <f ca="1">IFERROR(__xludf.DUMMYFUNCTION("""COMPUTED_VALUE"""),"04. San Cristóbal")</f>
        <v>04. San Cristóbal</v>
      </c>
      <c r="H1210" s="55">
        <f ca="1">IFERROR(__xludf.DUMMYFUNCTION("""COMPUTED_VALUE"""),44259)</f>
        <v>44259</v>
      </c>
      <c r="I1210" s="25"/>
      <c r="J1210" s="55" t="str">
        <f ca="1">IFERROR(__xludf.DUMMYFUNCTION("""COMPUTED_VALUE"""),"Alta")</f>
        <v>Alta</v>
      </c>
      <c r="K1210" s="25">
        <f ca="1">IFERROR(__xludf.DUMMYFUNCTION("""COMPUTED_VALUE"""),30)</f>
        <v>30</v>
      </c>
      <c r="L1210" s="62"/>
      <c r="M1210" s="25" t="str">
        <f ca="1">IFERROR(__xludf.DUMMYFUNCTION("""COMPUTED_VALUE"""),"El proyecto Gloria Valencia de Castaño (Predio Santa Teresita) se encuentra con servicio de acueducto y alcantarillado definitivo, en tal sentido las domiciliarias se encuentran recibidas y el 19 de enero se realizó la instalación del medidor con número 2"&amp;"134010426 y cuenta contrato N°.12661301. 
En este sentido la tarea ya fue concluida ya que el servicio de acueducto y alcantarillado lo presta la EAAB sin novedad.
")</f>
        <v xml:space="preserve">El proyecto Gloria Valencia de Castaño (Predio Santa Teresita) se encuentra con servicio de acueducto y alcantarillado definitivo, en tal sentido las domiciliarias se encuentran recibidas y el 19 de enero se realizó la instalación del medidor con número 2134010426 y cuenta contrato N°.12661301. 
En este sentido la tarea ya fue concluida ya que el servicio de acueducto y alcantarillado lo presta la EAAB sin novedad.
</v>
      </c>
      <c r="N1210" s="55">
        <f ca="1">IFERROR(__xludf.DUMMYFUNCTION("""COMPUTED_VALUE"""),44927)</f>
        <v>44927</v>
      </c>
      <c r="O1210" s="25" t="str">
        <f t="shared" ca="1" si="0"/>
        <v>Secretaría de Educación del Distrito</v>
      </c>
      <c r="P1210" s="25" t="str">
        <f t="shared" si="2"/>
        <v/>
      </c>
      <c r="Q1210" s="25" t="str">
        <f ca="1">IFERROR(__xludf.DUMMYFUNCTION("""COMPUTED_VALUE"""),"Corto plazo")</f>
        <v>Corto plazo</v>
      </c>
      <c r="R1210" s="25"/>
      <c r="S1210" s="55"/>
      <c r="T1210" s="56"/>
      <c r="U1210" s="25"/>
      <c r="V1210" s="25"/>
      <c r="W1210" s="25"/>
      <c r="X1210" s="25"/>
      <c r="Y1210" s="25"/>
      <c r="Z1210" s="25"/>
    </row>
    <row r="1211" spans="1:26" ht="52.5" customHeight="1" x14ac:dyDescent="0.25">
      <c r="A1211" s="25" t="str">
        <f ca="1">IFERROR(__xludf.DUMMYFUNCTION("""COMPUTED_VALUE"""),"Educa9")</f>
        <v>Educa9</v>
      </c>
      <c r="B1211" s="25" t="str">
        <f ca="1">IFERROR(__xludf.DUMMYFUNCTION("""COMPUTED_VALUE"""),"Jóvenes Reto")</f>
        <v>Jóvenes Reto</v>
      </c>
      <c r="C1211" s="55">
        <f ca="1">IFERROR(__xludf.DUMMYFUNCTION("""COMPUTED_VALUE"""),44148)</f>
        <v>44148</v>
      </c>
      <c r="D1211" s="25" t="str">
        <f ca="1">IFERROR(__xludf.DUMMYFUNCTION("""COMPUTED_VALUE"""),"Educación")</f>
        <v>Educación</v>
      </c>
      <c r="E1211" s="25" t="str">
        <f ca="1">IFERROR(__xludf.DUMMYFUNCTION("""COMPUTED_VALUE"""),"Secretaría de Educación del Distrito")</f>
        <v>Secretaría de Educación del Distrito</v>
      </c>
      <c r="F1211" s="25" t="str">
        <f ca="1">IFERROR(__xludf.DUMMYFUNCTION("""COMPUTED_VALUE"""),"Reto con JeA: pendiente programar una reunión con la Directora Regional de Bogotá de Prosperidad Social. Ella contactó a José Roldán (director de media de la SED) con el fin de solicitarle apoyo en la socialización del programa de JeA en los colegios. E")</f>
        <v>Reto con JeA: pendiente programar una reunión con la Directora Regional de Bogotá de Prosperidad Social. Ella contactó a José Roldán (director de media de la SED) con el fin de solicitarle apoyo en la socialización del programa de JeA en los colegios. E</v>
      </c>
      <c r="G1211" s="25" t="str">
        <f ca="1">IFERROR(__xludf.DUMMYFUNCTION("""COMPUTED_VALUE"""),"99. Distrito")</f>
        <v>99. Distrito</v>
      </c>
      <c r="H1211" s="55">
        <f ca="1">IFERROR(__xludf.DUMMYFUNCTION("""COMPUTED_VALUE"""),44178)</f>
        <v>44178</v>
      </c>
      <c r="I1211" s="25"/>
      <c r="J1211" s="55" t="str">
        <f ca="1">IFERROR(__xludf.DUMMYFUNCTION("""COMPUTED_VALUE"""),"Alta")</f>
        <v>Alta</v>
      </c>
      <c r="K1211" s="25">
        <f ca="1">IFERROR(__xludf.DUMMYFUNCTION("""COMPUTED_VALUE"""),30)</f>
        <v>30</v>
      </c>
      <c r="L1211" s="62">
        <f ca="1">IFERROR(__xludf.DUMMYFUNCTION("""COMPUTED_VALUE"""),44468)</f>
        <v>44468</v>
      </c>
      <c r="M1211" s="25" t="str">
        <f ca="1">IFERROR(__xludf.DUMMYFUNCTION("""COMPUTED_VALUE"""),"- Durante los meses de julio y agosto se realizaron de manera conjunta con el equipo DPS las jornadas de socialización del programa JeA por localidad, logrando la participación de más de 1400 estudiantes de grado 11 de los colegios del distrito.
- Se ent"&amp;"regó la base de datos de los jóvenes habilitados para ingresar al programa de Jóvenes a la U, como insumo para la identificación de potenciales participantes del programa JeA y definir la viabilidad de la implementación del piloto de articulación.")</f>
        <v>- Durante los meses de julio y agosto se realizaron de manera conjunta con el equipo DPS las jornadas de socialización del programa JeA por localidad, logrando la participación de más de 1400 estudiantes de grado 11 de los colegios del distrito.
- Se entregó la base de datos de los jóvenes habilitados para ingresar al programa de Jóvenes a la U, como insumo para la identificación de potenciales participantes del programa JeA y definir la viabilidad de la implementación del piloto de articulación.</v>
      </c>
      <c r="N1211" s="55">
        <f ca="1">IFERROR(__xludf.DUMMYFUNCTION("""COMPUTED_VALUE"""),44927)</f>
        <v>44927</v>
      </c>
      <c r="O1211" s="25" t="str">
        <f t="shared" ca="1" si="0"/>
        <v>Secretaría de Educación del Distrito</v>
      </c>
      <c r="P1211" s="25" t="str">
        <f t="shared" si="2"/>
        <v/>
      </c>
      <c r="Q1211" s="25" t="str">
        <f ca="1">IFERROR(__xludf.DUMMYFUNCTION("""COMPUTED_VALUE"""),"Corto plazo")</f>
        <v>Corto plazo</v>
      </c>
      <c r="R1211" s="25"/>
      <c r="S1211" s="55"/>
      <c r="T1211" s="56"/>
      <c r="U1211" s="25"/>
      <c r="V1211" s="25"/>
      <c r="W1211" s="25"/>
      <c r="X1211" s="25"/>
      <c r="Y1211" s="25"/>
      <c r="Z1211" s="25"/>
    </row>
    <row r="1212" spans="1:26" ht="52.5" customHeight="1" x14ac:dyDescent="0.25">
      <c r="A1212" s="25" t="str">
        <f ca="1">IFERROR(__xludf.DUMMYFUNCTION("""COMPUTED_VALUE"""),"Educa10")</f>
        <v>Educa10</v>
      </c>
      <c r="B1212" s="25" t="str">
        <f ca="1">IFERROR(__xludf.DUMMYFUNCTION("""COMPUTED_VALUE"""),"Recorrido Ciudad Bolívar")</f>
        <v>Recorrido Ciudad Bolívar</v>
      </c>
      <c r="C1212" s="55">
        <f ca="1">IFERROR(__xludf.DUMMYFUNCTION("""COMPUTED_VALUE"""),44259)</f>
        <v>44259</v>
      </c>
      <c r="D1212" s="25" t="str">
        <f ca="1">IFERROR(__xludf.DUMMYFUNCTION("""COMPUTED_VALUE"""),"Educación")</f>
        <v>Educación</v>
      </c>
      <c r="E1212" s="25" t="str">
        <f ca="1">IFERROR(__xludf.DUMMYFUNCTION("""COMPUTED_VALUE"""),"Universidad Distrital Francisco José de Caldas")</f>
        <v>Universidad Distrital Francisco José de Caldas</v>
      </c>
      <c r="F1212" s="25" t="str">
        <f ca="1">IFERROR(__xludf.DUMMYFUNCTION("""COMPUTED_VALUE"""),"Aprobar obras de mitigación afuera de la Universidad Distrital -Sede Ciudad Bolívar ")</f>
        <v xml:space="preserve">Aprobar obras de mitigación afuera de la Universidad Distrital -Sede Ciudad Bolívar </v>
      </c>
      <c r="G1212" s="25" t="str">
        <f ca="1">IFERROR(__xludf.DUMMYFUNCTION("""COMPUTED_VALUE"""),"19. Ciudad Bolívar")</f>
        <v>19. Ciudad Bolívar</v>
      </c>
      <c r="H1212" s="55">
        <f ca="1">IFERROR(__xludf.DUMMYFUNCTION("""COMPUTED_VALUE"""),44289)</f>
        <v>44289</v>
      </c>
      <c r="I1212" s="25"/>
      <c r="J1212" s="55" t="str">
        <f ca="1">IFERROR(__xludf.DUMMYFUNCTION("""COMPUTED_VALUE"""),"Alta")</f>
        <v>Alta</v>
      </c>
      <c r="K1212" s="25">
        <f ca="1">IFERROR(__xludf.DUMMYFUNCTION("""COMPUTED_VALUE"""),30)</f>
        <v>30</v>
      </c>
      <c r="L1212" s="62">
        <f ca="1">IFERROR(__xludf.DUMMYFUNCTION("""COMPUTED_VALUE"""),44753)</f>
        <v>44753</v>
      </c>
      <c r="M1212" s="25" t="str">
        <f ca="1">IFERROR(__xludf.DUMMYFUNCTION("""COMPUTED_VALUE"""),"Se realizó la cesión del contrato de obra por parte de la Alcaldía Local y el actual constructor está avanzando conforme lo establecido en el cronograma, desde la U Distrital. Se solicitó mesa de trabajo con DADEP  y la UD, pero a la fecha no sido posible"&amp;" concretar dicha agenda. Desde DRESET SED, se apoyarán las gestiones pertinentes para propiciar dicha reunión.")</f>
        <v>Se realizó la cesión del contrato de obra por parte de la Alcaldía Local y el actual constructor está avanzando conforme lo establecido en el cronograma, desde la U Distrital. Se solicitó mesa de trabajo con DADEP  y la UD, pero a la fecha no sido posible concretar dicha agenda. Desde DRESET SED, se apoyarán las gestiones pertinentes para propiciar dicha reunión.</v>
      </c>
      <c r="N1212" s="55">
        <f ca="1">IFERROR(__xludf.DUMMYFUNCTION("""COMPUTED_VALUE"""),44927)</f>
        <v>44927</v>
      </c>
      <c r="O1212" s="25" t="str">
        <f t="shared" ca="1" si="0"/>
        <v>Universidad Distrital Francisco José de Caldas</v>
      </c>
      <c r="P1212" s="25" t="str">
        <f t="shared" si="2"/>
        <v/>
      </c>
      <c r="Q1212" s="25" t="str">
        <f ca="1">IFERROR(__xludf.DUMMYFUNCTION("""COMPUTED_VALUE"""),"Corto plazo")</f>
        <v>Corto plazo</v>
      </c>
      <c r="R1212" s="25"/>
      <c r="S1212" s="55"/>
      <c r="T1212" s="56"/>
      <c r="U1212" s="25"/>
      <c r="V1212" s="25"/>
      <c r="W1212" s="25"/>
      <c r="X1212" s="25"/>
      <c r="Y1212" s="25"/>
      <c r="Z1212" s="25"/>
    </row>
    <row r="1213" spans="1:26" ht="52.5" customHeight="1" x14ac:dyDescent="0.25">
      <c r="A1213" s="25" t="str">
        <f ca="1">IFERROR(__xludf.DUMMYFUNCTION("""COMPUTED_VALUE"""),"Educa11")</f>
        <v>Educa11</v>
      </c>
      <c r="B1213" s="25" t="str">
        <f ca="1">IFERROR(__xludf.DUMMYFUNCTION("""COMPUTED_VALUE"""),"Proyectos estratégicos SED")</f>
        <v>Proyectos estratégicos SED</v>
      </c>
      <c r="C1213" s="55">
        <f ca="1">IFERROR(__xludf.DUMMYFUNCTION("""COMPUTED_VALUE"""),44181)</f>
        <v>44181</v>
      </c>
      <c r="D1213" s="25" t="str">
        <f ca="1">IFERROR(__xludf.DUMMYFUNCTION("""COMPUTED_VALUE"""),"Educación")</f>
        <v>Educación</v>
      </c>
      <c r="E1213" s="25" t="str">
        <f ca="1">IFERROR(__xludf.DUMMYFUNCTION("""COMPUTED_VALUE"""),"Secretaría de Educación del Distrito")</f>
        <v>Secretaría de Educación del Distrito</v>
      </c>
      <c r="F1213" s="25" t="str">
        <f ca="1">IFERROR(__xludf.DUMMYFUNCTION("""COMPUTED_VALUE"""),"Revisar los predios de la reserva vial de la ALO norte y: 
- De acuerdo con el déficit de colegios/demanda de estudiantes que hay en la zona, revisar dónde sería más eficiente poner dos colegios.
- Hacer el mismo ejercicio en Fontanar del Río ")</f>
        <v xml:space="preserve">Revisar los predios de la reserva vial de la ALO norte y: 
- De acuerdo con el déficit de colegios/demanda de estudiantes que hay en la zona, revisar dónde sería más eficiente poner dos colegios.
- Hacer el mismo ejercicio en Fontanar del Río </v>
      </c>
      <c r="G1213" s="25" t="str">
        <f ca="1">IFERROR(__xludf.DUMMYFUNCTION("""COMPUTED_VALUE"""),"99. Distrito")</f>
        <v>99. Distrito</v>
      </c>
      <c r="H1213" s="55">
        <f ca="1">IFERROR(__xludf.DUMMYFUNCTION("""COMPUTED_VALUE"""),44211)</f>
        <v>44211</v>
      </c>
      <c r="I1213" s="25"/>
      <c r="J1213" s="55" t="str">
        <f ca="1">IFERROR(__xludf.DUMMYFUNCTION("""COMPUTED_VALUE"""),"Alta")</f>
        <v>Alta</v>
      </c>
      <c r="K1213" s="25">
        <f ca="1">IFERROR(__xludf.DUMMYFUNCTION("""COMPUTED_VALUE"""),30)</f>
        <v>30</v>
      </c>
      <c r="L1213" s="62"/>
      <c r="M1213" s="25"/>
      <c r="N1213" s="55">
        <f ca="1">IFERROR(__xludf.DUMMYFUNCTION("""COMPUTED_VALUE"""),44927)</f>
        <v>44927</v>
      </c>
      <c r="O1213" s="25" t="str">
        <f t="shared" ca="1" si="0"/>
        <v>Secretaría de Educación del Distrito</v>
      </c>
      <c r="P1213" s="25" t="str">
        <f t="shared" si="2"/>
        <v/>
      </c>
      <c r="Q1213" s="25" t="str">
        <f ca="1">IFERROR(__xludf.DUMMYFUNCTION("""COMPUTED_VALUE"""),"Corto plazo")</f>
        <v>Corto plazo</v>
      </c>
      <c r="R1213" s="25"/>
      <c r="S1213" s="55"/>
      <c r="T1213" s="56"/>
      <c r="U1213" s="25"/>
      <c r="V1213" s="25"/>
      <c r="W1213" s="25"/>
      <c r="X1213" s="25"/>
      <c r="Y1213" s="25"/>
      <c r="Z1213" s="25"/>
    </row>
    <row r="1214" spans="1:26" ht="52.5" customHeight="1" x14ac:dyDescent="0.25">
      <c r="A1214" s="25" t="str">
        <f ca="1">IFERROR(__xludf.DUMMYFUNCTION("""COMPUTED_VALUE"""),"Educa12")</f>
        <v>Educa12</v>
      </c>
      <c r="B1214" s="25" t="str">
        <f ca="1">IFERROR(__xludf.DUMMYFUNCTION("""COMPUTED_VALUE"""),"Proyectos estratégicos SED")</f>
        <v>Proyectos estratégicos SED</v>
      </c>
      <c r="C1214" s="55">
        <f ca="1">IFERROR(__xludf.DUMMYFUNCTION("""COMPUTED_VALUE"""),44181)</f>
        <v>44181</v>
      </c>
      <c r="D1214" s="25" t="str">
        <f ca="1">IFERROR(__xludf.DUMMYFUNCTION("""COMPUTED_VALUE"""),"Educación")</f>
        <v>Educación</v>
      </c>
      <c r="E1214" s="25" t="str">
        <f ca="1">IFERROR(__xludf.DUMMYFUNCTION("""COMPUTED_VALUE"""),"Secretaría de Educación del Distrito")</f>
        <v>Secretaría de Educación del Distrito</v>
      </c>
      <c r="F1214" s="25" t="str">
        <f ca="1">IFERROR(__xludf.DUMMYFUNCTION("""COMPUTED_VALUE"""),"Sacar 40-50 mil millones de la bolsa flexible de recursos, para mejorar cobertura ")</f>
        <v xml:space="preserve">Sacar 40-50 mil millones de la bolsa flexible de recursos, para mejorar cobertura </v>
      </c>
      <c r="G1214" s="25" t="str">
        <f ca="1">IFERROR(__xludf.DUMMYFUNCTION("""COMPUTED_VALUE"""),"99. Distrito")</f>
        <v>99. Distrito</v>
      </c>
      <c r="H1214" s="55">
        <f ca="1">IFERROR(__xludf.DUMMYFUNCTION("""COMPUTED_VALUE"""),44211)</f>
        <v>44211</v>
      </c>
      <c r="I1214" s="25"/>
      <c r="J1214" s="55" t="str">
        <f ca="1">IFERROR(__xludf.DUMMYFUNCTION("""COMPUTED_VALUE"""),"Alta")</f>
        <v>Alta</v>
      </c>
      <c r="K1214" s="25">
        <f ca="1">IFERROR(__xludf.DUMMYFUNCTION("""COMPUTED_VALUE"""),30)</f>
        <v>30</v>
      </c>
      <c r="L1214" s="62">
        <f ca="1">IFERROR(__xludf.DUMMYFUNCTION("""COMPUTED_VALUE"""),44362)</f>
        <v>44362</v>
      </c>
      <c r="M1214" s="25" t="str">
        <f ca="1">IFERROR(__xludf.DUMMYFUNCTION("""COMPUTED_VALUE"""),"Para Reto a la U 2.0 se tienen cupos adicionales para iniciar en el 2021. En la convocatoria se inscribieron 6.376 personas, fueron habilitadas 4.627 y seleccionadas 4.447.")</f>
        <v>Para Reto a la U 2.0 se tienen cupos adicionales para iniciar en el 2021. En la convocatoria se inscribieron 6.376 personas, fueron habilitadas 4.627 y seleccionadas 4.447.</v>
      </c>
      <c r="N1214" s="55">
        <f ca="1">IFERROR(__xludf.DUMMYFUNCTION("""COMPUTED_VALUE"""),44927)</f>
        <v>44927</v>
      </c>
      <c r="O1214" s="25" t="str">
        <f t="shared" ca="1" si="0"/>
        <v>Secretaría de Educación del Distrito</v>
      </c>
      <c r="P1214" s="25" t="str">
        <f t="shared" si="2"/>
        <v/>
      </c>
      <c r="Q1214" s="25" t="str">
        <f ca="1">IFERROR(__xludf.DUMMYFUNCTION("""COMPUTED_VALUE"""),"Corto plazo")</f>
        <v>Corto plazo</v>
      </c>
      <c r="R1214" s="25"/>
      <c r="S1214" s="55"/>
      <c r="T1214" s="56"/>
      <c r="U1214" s="25"/>
      <c r="V1214" s="25"/>
      <c r="W1214" s="25"/>
      <c r="X1214" s="25"/>
      <c r="Y1214" s="25"/>
      <c r="Z1214" s="25"/>
    </row>
    <row r="1215" spans="1:26" ht="52.5" customHeight="1" x14ac:dyDescent="0.25">
      <c r="A1215" s="25" t="str">
        <f ca="1">IFERROR(__xludf.DUMMYFUNCTION("""COMPUTED_VALUE"""),"Educa13")</f>
        <v>Educa13</v>
      </c>
      <c r="B1215" s="25" t="str">
        <f ca="1">IFERROR(__xludf.DUMMYFUNCTION("""COMPUTED_VALUE"""),"Proyectos estratégicos SED")</f>
        <v>Proyectos estratégicos SED</v>
      </c>
      <c r="C1215" s="55">
        <f ca="1">IFERROR(__xludf.DUMMYFUNCTION("""COMPUTED_VALUE"""),44181)</f>
        <v>44181</v>
      </c>
      <c r="D1215" s="25" t="str">
        <f ca="1">IFERROR(__xludf.DUMMYFUNCTION("""COMPUTED_VALUE"""),"Educación")</f>
        <v>Educación</v>
      </c>
      <c r="E1215" s="25" t="str">
        <f ca="1">IFERROR(__xludf.DUMMYFUNCTION("""COMPUTED_VALUE"""),"Secretaría de Educación del Distrito")</f>
        <v>Secretaría de Educación del Distrito</v>
      </c>
      <c r="F1215" s="25" t="str">
        <f ca="1">IFERROR(__xludf.DUMMYFUNCTION("""COMPUTED_VALUE"""),"Modificar/flexibilizar los requisitos de entrada de Reto a la U. En la próxima convocatoria –que debe ser hecha por Atenea, se debe garantizar acceso a personas que trabajan, a los de región y permitir flexibilidad para que sea sostenible (para los estudi"&amp;"antes) ")</f>
        <v xml:space="preserve">Modificar/flexibilizar los requisitos de entrada de Reto a la U. En la próxima convocatoria –que debe ser hecha por Atenea, se debe garantizar acceso a personas que trabajan, a los de región y permitir flexibilidad para que sea sostenible (para los estudiantes) </v>
      </c>
      <c r="G1215" s="25" t="str">
        <f ca="1">IFERROR(__xludf.DUMMYFUNCTION("""COMPUTED_VALUE"""),"99. Distrito")</f>
        <v>99. Distrito</v>
      </c>
      <c r="H1215" s="55">
        <f ca="1">IFERROR(__xludf.DUMMYFUNCTION("""COMPUTED_VALUE"""),44211)</f>
        <v>44211</v>
      </c>
      <c r="I1215" s="25"/>
      <c r="J1215" s="55" t="str">
        <f ca="1">IFERROR(__xludf.DUMMYFUNCTION("""COMPUTED_VALUE"""),"Alta")</f>
        <v>Alta</v>
      </c>
      <c r="K1215" s="25">
        <f ca="1">IFERROR(__xludf.DUMMYFUNCTION("""COMPUTED_VALUE"""),30)</f>
        <v>30</v>
      </c>
      <c r="L1215" s="62">
        <f ca="1">IFERROR(__xludf.DUMMYFUNCTION("""COMPUTED_VALUE"""),44362)</f>
        <v>44362</v>
      </c>
      <c r="M1215" s="25" t="str">
        <f ca="1">IFERROR(__xludf.DUMMYFUNCTION("""COMPUTED_VALUE"""),"Para Reto a la U 2.0 se tienen cupos adicionales para iniciar en el 2021. En la convocatoria se inscribieron 6.376 personas, fueron habilitadas 4.627 y seleccionadas 4.447.
La SED planteó 15 líneas de intervención que pretenden cubrir características dif"&amp;"erentes de la población joven a impactar y que serán llevadas a cabo por ATENEA. Dentro de los requisitos se ajustó:  
1. Que viva en la localidad por lo menos 1 año (en caso de haber estudiado en otro colegio que no es de Bogotá). 
2. Si está trabajando"&amp;" puede aplicar a la convocatoria.
Con las 28 Instituciones de educación se desarrollaron estrategias de acceso especial y ruta flexibles.   ")</f>
        <v xml:space="preserve">Para Reto a la U 2.0 se tienen cupos adicionales para iniciar en el 2021. En la convocatoria se inscribieron 6.376 personas, fueron habilitadas 4.627 y seleccionadas 4.447.
La SED planteó 15 líneas de intervención que pretenden cubrir características diferentes de la población joven a impactar y que serán llevadas a cabo por ATENEA. Dentro de los requisitos se ajustó:  
1. Que viva en la localidad por lo menos 1 año (en caso de haber estudiado en otro colegio que no es de Bogotá). 
2. Si está trabajando puede aplicar a la convocatoria.
Con las 28 Instituciones de educación se desarrollaron estrategias de acceso especial y ruta flexibles.   </v>
      </c>
      <c r="N1215" s="55">
        <f ca="1">IFERROR(__xludf.DUMMYFUNCTION("""COMPUTED_VALUE"""),44927)</f>
        <v>44927</v>
      </c>
      <c r="O1215" s="25" t="str">
        <f t="shared" ca="1" si="0"/>
        <v>Secretaría de Educación del Distrito</v>
      </c>
      <c r="P1215" s="25" t="str">
        <f t="shared" si="2"/>
        <v/>
      </c>
      <c r="Q1215" s="25" t="str">
        <f ca="1">IFERROR(__xludf.DUMMYFUNCTION("""COMPUTED_VALUE"""),"Corto plazo")</f>
        <v>Corto plazo</v>
      </c>
      <c r="R1215" s="25"/>
      <c r="S1215" s="55"/>
      <c r="T1215" s="56"/>
      <c r="U1215" s="25"/>
      <c r="V1215" s="25"/>
      <c r="W1215" s="25"/>
      <c r="X1215" s="25"/>
      <c r="Y1215" s="25"/>
      <c r="Z1215" s="25"/>
    </row>
    <row r="1216" spans="1:26" ht="52.5" customHeight="1" x14ac:dyDescent="0.25">
      <c r="A1216" s="25" t="str">
        <f ca="1">IFERROR(__xludf.DUMMYFUNCTION("""COMPUTED_VALUE"""),"Educa14")</f>
        <v>Educa14</v>
      </c>
      <c r="B1216" s="25" t="str">
        <f ca="1">IFERROR(__xludf.DUMMYFUNCTION("""COMPUTED_VALUE"""),"Reunión seguimiento temas SED")</f>
        <v>Reunión seguimiento temas SED</v>
      </c>
      <c r="C1216" s="55">
        <f ca="1">IFERROR(__xludf.DUMMYFUNCTION("""COMPUTED_VALUE"""),44258)</f>
        <v>44258</v>
      </c>
      <c r="D1216" s="25" t="str">
        <f ca="1">IFERROR(__xludf.DUMMYFUNCTION("""COMPUTED_VALUE"""),"Educación")</f>
        <v>Educación</v>
      </c>
      <c r="E1216" s="25" t="str">
        <f ca="1">IFERROR(__xludf.DUMMYFUNCTION("""COMPUTED_VALUE"""),"Secretaría de Educación del Distrito")</f>
        <v>Secretaría de Educación del Distrito</v>
      </c>
      <c r="F1216" s="25" t="str">
        <f ca="1">IFERROR(__xludf.DUMMYFUNCTION("""COMPUTED_VALUE"""),"Programar evento de cierre de la Misión de Educadores y Sabiduría Ciudadana")</f>
        <v>Programar evento de cierre de la Misión de Educadores y Sabiduría Ciudadana</v>
      </c>
      <c r="G1216" s="25" t="str">
        <f ca="1">IFERROR(__xludf.DUMMYFUNCTION("""COMPUTED_VALUE"""),"99. Distrito")</f>
        <v>99. Distrito</v>
      </c>
      <c r="H1216" s="55">
        <f ca="1">IFERROR(__xludf.DUMMYFUNCTION("""COMPUTED_VALUE"""),44288)</f>
        <v>44288</v>
      </c>
      <c r="I1216" s="25"/>
      <c r="J1216" s="55" t="str">
        <f ca="1">IFERROR(__xludf.DUMMYFUNCTION("""COMPUTED_VALUE"""),"Alta")</f>
        <v>Alta</v>
      </c>
      <c r="K1216" s="25">
        <f ca="1">IFERROR(__xludf.DUMMYFUNCTION("""COMPUTED_VALUE"""),30)</f>
        <v>30</v>
      </c>
      <c r="L1216" s="62">
        <f ca="1">IFERROR(__xludf.DUMMYFUNCTION("""COMPUTED_VALUE"""),44421)</f>
        <v>44421</v>
      </c>
      <c r="M1216" s="25" t="str">
        <f ca="1">IFERROR(__xludf.DUMMYFUNCTION("""COMPUTED_VALUE"""),"El evento se realizó el pasado jueves 12 de agosto con presencia de la Alcaldesa y la Secretaria.")</f>
        <v>El evento se realizó el pasado jueves 12 de agosto con presencia de la Alcaldesa y la Secretaria.</v>
      </c>
      <c r="N1216" s="55">
        <f ca="1">IFERROR(__xludf.DUMMYFUNCTION("""COMPUTED_VALUE"""),44927)</f>
        <v>44927</v>
      </c>
      <c r="O1216" s="25" t="str">
        <f t="shared" ca="1" si="0"/>
        <v>Secretaría de Educación del Distrito</v>
      </c>
      <c r="P1216" s="25" t="str">
        <f t="shared" si="2"/>
        <v/>
      </c>
      <c r="Q1216" s="25" t="str">
        <f ca="1">IFERROR(__xludf.DUMMYFUNCTION("""COMPUTED_VALUE"""),"Corto plazo")</f>
        <v>Corto plazo</v>
      </c>
      <c r="R1216" s="25"/>
      <c r="S1216" s="55"/>
      <c r="T1216" s="56"/>
      <c r="U1216" s="25"/>
      <c r="V1216" s="25"/>
      <c r="W1216" s="25"/>
      <c r="X1216" s="25"/>
      <c r="Y1216" s="25"/>
      <c r="Z1216" s="25"/>
    </row>
    <row r="1217" spans="1:26" ht="52.5" customHeight="1" x14ac:dyDescent="0.25">
      <c r="A1217" s="25" t="str">
        <f ca="1">IFERROR(__xludf.DUMMYFUNCTION("""COMPUTED_VALUE"""),"Educa15")</f>
        <v>Educa15</v>
      </c>
      <c r="B1217" s="25" t="str">
        <f ca="1">IFERROR(__xludf.DUMMYFUNCTION("""COMPUTED_VALUE"""),"Reunión seguimiento temas SED")</f>
        <v>Reunión seguimiento temas SED</v>
      </c>
      <c r="C1217" s="55">
        <f ca="1">IFERROR(__xludf.DUMMYFUNCTION("""COMPUTED_VALUE"""),44258)</f>
        <v>44258</v>
      </c>
      <c r="D1217" s="25" t="str">
        <f ca="1">IFERROR(__xludf.DUMMYFUNCTION("""COMPUTED_VALUE"""),"Educación")</f>
        <v>Educación</v>
      </c>
      <c r="E1217" s="25" t="str">
        <f ca="1">IFERROR(__xludf.DUMMYFUNCTION("""COMPUTED_VALUE"""),"Secretaría de Educación del Distrito")</f>
        <v>Secretaría de Educación del Distrito</v>
      </c>
      <c r="F1217" s="25" t="str">
        <f ca="1">IFERROR(__xludf.DUMMYFUNCTION("""COMPUTED_VALUE"""),"Avanzar la propuesta de paneles solares/huertas/sistemas de reciclaje en todos los colegios nuevos (en construcción), y revisar en cuáles de los viejos se podría instalar también")</f>
        <v>Avanzar la propuesta de paneles solares/huertas/sistemas de reciclaje en todos los colegios nuevos (en construcción), y revisar en cuáles de los viejos se podría instalar también</v>
      </c>
      <c r="G1217" s="25" t="str">
        <f ca="1">IFERROR(__xludf.DUMMYFUNCTION("""COMPUTED_VALUE"""),"99. Distrito")</f>
        <v>99. Distrito</v>
      </c>
      <c r="H1217" s="55">
        <f ca="1">IFERROR(__xludf.DUMMYFUNCTION("""COMPUTED_VALUE"""),44288)</f>
        <v>44288</v>
      </c>
      <c r="I1217" s="25"/>
      <c r="J1217" s="55" t="str">
        <f ca="1">IFERROR(__xludf.DUMMYFUNCTION("""COMPUTED_VALUE"""),"Alta")</f>
        <v>Alta</v>
      </c>
      <c r="K1217" s="25">
        <f ca="1">IFERROR(__xludf.DUMMYFUNCTION("""COMPUTED_VALUE"""),30)</f>
        <v>30</v>
      </c>
      <c r="L1217" s="62">
        <f ca="1">IFERROR(__xludf.DUMMYFUNCTION("""COMPUTED_VALUE"""),44468)</f>
        <v>44468</v>
      </c>
      <c r="M1217" s="25" t="str">
        <f ca="1">IFERROR(__xludf.DUMMYFUNCTION("""COMPUTED_VALUE"""),"Se firmó el convenio entre las entidades y ya hay un plan de intervención en 5 colegios")</f>
        <v>Se firmó el convenio entre las entidades y ya hay un plan de intervención en 5 colegios</v>
      </c>
      <c r="N1217" s="55">
        <f ca="1">IFERROR(__xludf.DUMMYFUNCTION("""COMPUTED_VALUE"""),44927)</f>
        <v>44927</v>
      </c>
      <c r="O1217" s="25" t="str">
        <f t="shared" ca="1" si="0"/>
        <v>Secretaría de Educación del Distrito</v>
      </c>
      <c r="P1217" s="25" t="str">
        <f t="shared" si="2"/>
        <v/>
      </c>
      <c r="Q1217" s="25" t="str">
        <f ca="1">IFERROR(__xludf.DUMMYFUNCTION("""COMPUTED_VALUE"""),"Corto plazo")</f>
        <v>Corto plazo</v>
      </c>
      <c r="R1217" s="25"/>
      <c r="S1217" s="55"/>
      <c r="T1217" s="56"/>
      <c r="U1217" s="25"/>
      <c r="V1217" s="25"/>
      <c r="W1217" s="25"/>
      <c r="X1217" s="25"/>
      <c r="Y1217" s="25"/>
      <c r="Z1217" s="25"/>
    </row>
    <row r="1218" spans="1:26" ht="52.5" customHeight="1" x14ac:dyDescent="0.25">
      <c r="A1218" s="25" t="str">
        <f ca="1">IFERROR(__xludf.DUMMYFUNCTION("""COMPUTED_VALUE"""),"Educa16")</f>
        <v>Educa16</v>
      </c>
      <c r="B1218" s="25" t="str">
        <f ca="1">IFERROR(__xludf.DUMMYFUNCTION("""COMPUTED_VALUE"""),"Reunión seguimiento temas SED")</f>
        <v>Reunión seguimiento temas SED</v>
      </c>
      <c r="C1218" s="55">
        <f ca="1">IFERROR(__xludf.DUMMYFUNCTION("""COMPUTED_VALUE"""),44258)</f>
        <v>44258</v>
      </c>
      <c r="D1218" s="25" t="str">
        <f ca="1">IFERROR(__xludf.DUMMYFUNCTION("""COMPUTED_VALUE"""),"Educación")</f>
        <v>Educación</v>
      </c>
      <c r="E1218" s="25" t="str">
        <f ca="1">IFERROR(__xludf.DUMMYFUNCTION("""COMPUTED_VALUE"""),"Secretaría de Educación del Distrito")</f>
        <v>Secretaría de Educación del Distrito</v>
      </c>
      <c r="F1218" s="25" t="str">
        <f ca="1">IFERROR(__xludf.DUMMYFUNCTION("""COMPUTED_VALUE"""),"Asegurar la reapertura de colegios al 13 de abril de 2021. ")</f>
        <v xml:space="preserve">Asegurar la reapertura de colegios al 13 de abril de 2021. </v>
      </c>
      <c r="G1218" s="25" t="str">
        <f ca="1">IFERROR(__xludf.DUMMYFUNCTION("""COMPUTED_VALUE"""),"99. Distrito")</f>
        <v>99. Distrito</v>
      </c>
      <c r="H1218" s="55">
        <f ca="1">IFERROR(__xludf.DUMMYFUNCTION("""COMPUTED_VALUE"""),44288)</f>
        <v>44288</v>
      </c>
      <c r="I1218" s="25"/>
      <c r="J1218" s="55" t="str">
        <f ca="1">IFERROR(__xludf.DUMMYFUNCTION("""COMPUTED_VALUE"""),"Alta")</f>
        <v>Alta</v>
      </c>
      <c r="K1218" s="25">
        <f ca="1">IFERROR(__xludf.DUMMYFUNCTION("""COMPUTED_VALUE"""),30)</f>
        <v>30</v>
      </c>
      <c r="L1218" s="62">
        <f ca="1">IFERROR(__xludf.DUMMYFUNCTION("""COMPUTED_VALUE"""),44362)</f>
        <v>44362</v>
      </c>
      <c r="M1218" s="25" t="str">
        <f ca="1">IFERROR(__xludf.DUMMYFUNCTION("""COMPUTED_VALUE"""),"En reunión el 9 de abril, se mencionó que la semana del 12 de abril entrarían 100 a 120 colegios oficiales. Se espera que a fin de mes estén 122.000 niños y niñas en alternancia e ir aumentando ese número.")</f>
        <v>En reunión el 9 de abril, se mencionó que la semana del 12 de abril entrarían 100 a 120 colegios oficiales. Se espera que a fin de mes estén 122.000 niños y niñas en alternancia e ir aumentando ese número.</v>
      </c>
      <c r="N1218" s="55">
        <f ca="1">IFERROR(__xludf.DUMMYFUNCTION("""COMPUTED_VALUE"""),44927)</f>
        <v>44927</v>
      </c>
      <c r="O1218" s="25" t="str">
        <f t="shared" ca="1" si="0"/>
        <v>Secretaría de Educación del Distrito</v>
      </c>
      <c r="P1218" s="25" t="str">
        <f t="shared" si="2"/>
        <v/>
      </c>
      <c r="Q1218" s="25" t="str">
        <f ca="1">IFERROR(__xludf.DUMMYFUNCTION("""COMPUTED_VALUE"""),"Corto plazo")</f>
        <v>Corto plazo</v>
      </c>
      <c r="R1218" s="25"/>
      <c r="S1218" s="55"/>
      <c r="T1218" s="56"/>
      <c r="U1218" s="25"/>
      <c r="V1218" s="25"/>
      <c r="W1218" s="25"/>
      <c r="X1218" s="25"/>
      <c r="Y1218" s="25"/>
      <c r="Z1218" s="25"/>
    </row>
    <row r="1219" spans="1:26" ht="52.5" customHeight="1" x14ac:dyDescent="0.25">
      <c r="A1219" s="25" t="str">
        <f ca="1">IFERROR(__xludf.DUMMYFUNCTION("""COMPUTED_VALUE"""),"Educa17")</f>
        <v>Educa17</v>
      </c>
      <c r="B1219" s="25" t="str">
        <f ca="1">IFERROR(__xludf.DUMMYFUNCTION("""COMPUTED_VALUE"""),"Reunión seguimiento temas SED")</f>
        <v>Reunión seguimiento temas SED</v>
      </c>
      <c r="C1219" s="55">
        <f ca="1">IFERROR(__xludf.DUMMYFUNCTION("""COMPUTED_VALUE"""),44258)</f>
        <v>44258</v>
      </c>
      <c r="D1219" s="25" t="str">
        <f ca="1">IFERROR(__xludf.DUMMYFUNCTION("""COMPUTED_VALUE"""),"Educación")</f>
        <v>Educación</v>
      </c>
      <c r="E1219" s="25" t="str">
        <f ca="1">IFERROR(__xludf.DUMMYFUNCTION("""COMPUTED_VALUE"""),"Secretaría de Educación del Distrito")</f>
        <v>Secretaría de Educación del Distrito</v>
      </c>
      <c r="F1219" s="25" t="str">
        <f ca="1">IFERROR(__xludf.DUMMYFUNCTION("""COMPUTED_VALUE"""),"Viabilizar pronto el proyecto de regalías para compra de tablets")</f>
        <v>Viabilizar pronto el proyecto de regalías para compra de tablets</v>
      </c>
      <c r="G1219" s="25" t="str">
        <f ca="1">IFERROR(__xludf.DUMMYFUNCTION("""COMPUTED_VALUE"""),"99. Distrito")</f>
        <v>99. Distrito</v>
      </c>
      <c r="H1219" s="55">
        <f ca="1">IFERROR(__xludf.DUMMYFUNCTION("""COMPUTED_VALUE"""),44288)</f>
        <v>44288</v>
      </c>
      <c r="I1219" s="25"/>
      <c r="J1219" s="55" t="str">
        <f ca="1">IFERROR(__xludf.DUMMYFUNCTION("""COMPUTED_VALUE"""),"Alta")</f>
        <v>Alta</v>
      </c>
      <c r="K1219" s="25">
        <f ca="1">IFERROR(__xludf.DUMMYFUNCTION("""COMPUTED_VALUE"""),30)</f>
        <v>30</v>
      </c>
      <c r="L1219" s="62">
        <f ca="1">IFERROR(__xludf.DUMMYFUNCTION("""COMPUTED_VALUE"""),44420)</f>
        <v>44420</v>
      </c>
      <c r="M1219" s="25" t="str">
        <f ca="1">IFERROR(__xludf.DUMMYFUNCTION("""COMPUTED_VALUE"""),"Seguimiento 12 de agosto: Se formularon y estructuraron dos proyectos en el marco de la convocatoria 016-2021 ASIGNACIÓN PARA LA CTEI DEL SGR PARA LA APROPIACIÓN SOCIAL DEL CONOCIMIENTO. De ser seleccionados, los proyectos se ejecutarán en alianza con la "&amp;"organización Indígena Bakatá y la Universidad Minuto de Dios. Ambas postulaciones fueron oficializadas el 12 de agosto de 2021.
Seguimiento 2 de junio: Después de un proceso de formulación del proyecto vía fondo de ciencia y tecnología, el proyecto se est"&amp;"á reformulando, por instrucciones de la SDP vía fondos propios. ")</f>
        <v xml:space="preserve">Seguimiento 12 de agosto: Se formularon y estructuraron dos proyectos en el marco de la convocatoria 016-2021 ASIGNACIÓN PARA LA CTEI DEL SGR PARA LA APROPIACIÓN SOCIAL DEL CONOCIMIENTO. De ser seleccionados, los proyectos se ejecutarán en alianza con la organización Indígena Bakatá y la Universidad Minuto de Dios. Ambas postulaciones fueron oficializadas el 12 de agosto de 2021.
Seguimiento 2 de junio: Después de un proceso de formulación del proyecto vía fondo de ciencia y tecnología, el proyecto se está reformulando, por instrucciones de la SDP vía fondos propios. </v>
      </c>
      <c r="N1219" s="55">
        <f ca="1">IFERROR(__xludf.DUMMYFUNCTION("""COMPUTED_VALUE"""),44927)</f>
        <v>44927</v>
      </c>
      <c r="O1219" s="25" t="str">
        <f t="shared" ca="1" si="0"/>
        <v>Secretaría de Educación del Distrito</v>
      </c>
      <c r="P1219" s="25" t="str">
        <f t="shared" si="2"/>
        <v/>
      </c>
      <c r="Q1219" s="25" t="str">
        <f ca="1">IFERROR(__xludf.DUMMYFUNCTION("""COMPUTED_VALUE"""),"Corto plazo")</f>
        <v>Corto plazo</v>
      </c>
      <c r="R1219" s="25"/>
      <c r="S1219" s="55"/>
      <c r="T1219" s="56"/>
      <c r="U1219" s="25"/>
      <c r="V1219" s="25"/>
      <c r="W1219" s="25"/>
      <c r="X1219" s="25"/>
      <c r="Y1219" s="25"/>
      <c r="Z1219" s="25"/>
    </row>
    <row r="1220" spans="1:26" ht="52.5" customHeight="1" x14ac:dyDescent="0.25">
      <c r="A1220" s="25" t="str">
        <f ca="1">IFERROR(__xludf.DUMMYFUNCTION("""COMPUTED_VALUE"""),"Educa18")</f>
        <v>Educa18</v>
      </c>
      <c r="B1220" s="25" t="str">
        <f ca="1">IFERROR(__xludf.DUMMYFUNCTION("""COMPUTED_VALUE"""),"Reunión seguimiento temas SED")</f>
        <v>Reunión seguimiento temas SED</v>
      </c>
      <c r="C1220" s="55">
        <f ca="1">IFERROR(__xludf.DUMMYFUNCTION("""COMPUTED_VALUE"""),44258)</f>
        <v>44258</v>
      </c>
      <c r="D1220" s="25" t="str">
        <f ca="1">IFERROR(__xludf.DUMMYFUNCTION("""COMPUTED_VALUE"""),"Educación")</f>
        <v>Educación</v>
      </c>
      <c r="E1220" s="25" t="str">
        <f ca="1">IFERROR(__xludf.DUMMYFUNCTION("""COMPUTED_VALUE"""),"Secretaría de Educación del Distrito")</f>
        <v>Secretaría de Educación del Distrito</v>
      </c>
      <c r="F1220" s="25" t="str">
        <f ca="1">IFERROR(__xludf.DUMMYFUNCTION("""COMPUTED_VALUE"""),"Preparar cronograma de metas concretas por año para cada uno de los componentes de formación de convenio con el SENA")</f>
        <v>Preparar cronograma de metas concretas por año para cada uno de los componentes de formación de convenio con el SENA</v>
      </c>
      <c r="G1220" s="25" t="str">
        <f ca="1">IFERROR(__xludf.DUMMYFUNCTION("""COMPUTED_VALUE"""),"99. Distrito")</f>
        <v>99. Distrito</v>
      </c>
      <c r="H1220" s="55">
        <f ca="1">IFERROR(__xludf.DUMMYFUNCTION("""COMPUTED_VALUE"""),44288)</f>
        <v>44288</v>
      </c>
      <c r="I1220" s="25"/>
      <c r="J1220" s="55" t="str">
        <f ca="1">IFERROR(__xludf.DUMMYFUNCTION("""COMPUTED_VALUE"""),"Alta")</f>
        <v>Alta</v>
      </c>
      <c r="K1220" s="25">
        <f ca="1">IFERROR(__xludf.DUMMYFUNCTION("""COMPUTED_VALUE"""),30)</f>
        <v>30</v>
      </c>
      <c r="L1220" s="62">
        <f ca="1">IFERROR(__xludf.DUMMYFUNCTION("""COMPUTED_VALUE"""),44362)</f>
        <v>44362</v>
      </c>
      <c r="M1220" s="25" t="str">
        <f ca="1">IFERROR(__xludf.DUMMYFUNCTION("""COMPUTED_VALUE"""),"Se define un cronograma y metas trimestrales para el 2021, con las entidades que tienen relación con el convenio SENA. Será presentado a la alcaldesa el 14 de abril.")</f>
        <v>Se define un cronograma y metas trimestrales para el 2021, con las entidades que tienen relación con el convenio SENA. Será presentado a la alcaldesa el 14 de abril.</v>
      </c>
      <c r="N1220" s="55">
        <f ca="1">IFERROR(__xludf.DUMMYFUNCTION("""COMPUTED_VALUE"""),44927)</f>
        <v>44927</v>
      </c>
      <c r="O1220" s="25" t="str">
        <f t="shared" ca="1" si="0"/>
        <v>Secretaría de Educación del Distrito</v>
      </c>
      <c r="P1220" s="25" t="str">
        <f t="shared" si="2"/>
        <v/>
      </c>
      <c r="Q1220" s="25" t="str">
        <f ca="1">IFERROR(__xludf.DUMMYFUNCTION("""COMPUTED_VALUE"""),"Corto plazo")</f>
        <v>Corto plazo</v>
      </c>
      <c r="R1220" s="25"/>
      <c r="S1220" s="55"/>
      <c r="T1220" s="56"/>
      <c r="U1220" s="25"/>
      <c r="V1220" s="25"/>
      <c r="W1220" s="25"/>
      <c r="X1220" s="25"/>
      <c r="Y1220" s="25"/>
      <c r="Z1220" s="25"/>
    </row>
    <row r="1221" spans="1:26" ht="52.5" customHeight="1" x14ac:dyDescent="0.25">
      <c r="A1221" s="25" t="str">
        <f ca="1">IFERROR(__xludf.DUMMYFUNCTION("""COMPUTED_VALUE"""),"Educa19")</f>
        <v>Educa19</v>
      </c>
      <c r="B1221" s="25" t="str">
        <f ca="1">IFERROR(__xludf.DUMMYFUNCTION("""COMPUTED_VALUE"""),"Tareas SED")</f>
        <v>Tareas SED</v>
      </c>
      <c r="C1221" s="55">
        <f ca="1">IFERROR(__xludf.DUMMYFUNCTION("""COMPUTED_VALUE"""),44295)</f>
        <v>44295</v>
      </c>
      <c r="D1221" s="25" t="str">
        <f ca="1">IFERROR(__xludf.DUMMYFUNCTION("""COMPUTED_VALUE"""),"Educación")</f>
        <v>Educación</v>
      </c>
      <c r="E1221" s="25" t="str">
        <f ca="1">IFERROR(__xludf.DUMMYFUNCTION("""COMPUTED_VALUE"""),"Secretaría de Educación del Distrito")</f>
        <v>Secretaría de Educación del Distrito</v>
      </c>
      <c r="F1221" s="25" t="str">
        <f ca="1">IFERROR(__xludf.DUMMYFUNCTION("""COMPUTED_VALUE"""),"¿Cuál es el presupuesto que se necesita por la brecha que existe en educación? ")</f>
        <v xml:space="preserve">¿Cuál es el presupuesto que se necesita por la brecha que existe en educación? </v>
      </c>
      <c r="G1221" s="25" t="str">
        <f ca="1">IFERROR(__xludf.DUMMYFUNCTION("""COMPUTED_VALUE"""),"99. Distrito")</f>
        <v>99. Distrito</v>
      </c>
      <c r="H1221" s="55">
        <f ca="1">IFERROR(__xludf.DUMMYFUNCTION("""COMPUTED_VALUE"""),44325)</f>
        <v>44325</v>
      </c>
      <c r="I1221" s="25"/>
      <c r="J1221" s="55" t="str">
        <f ca="1">IFERROR(__xludf.DUMMYFUNCTION("""COMPUTED_VALUE"""),"Alta")</f>
        <v>Alta</v>
      </c>
      <c r="K1221" s="25">
        <f ca="1">IFERROR(__xludf.DUMMYFUNCTION("""COMPUTED_VALUE"""),30)</f>
        <v>30</v>
      </c>
      <c r="L1221" s="62">
        <f ca="1">IFERROR(__xludf.DUMMYFUNCTION("""COMPUTED_VALUE"""),44362)</f>
        <v>44362</v>
      </c>
      <c r="M1221" s="25" t="str">
        <f ca="1">IFERROR(__xludf.DUMMYFUNCTION("""COMPUTED_VALUE"""),"El presupuesto adicional (2021-2023) para atender a 40.000 estudiantes aproximadamente en las diferentes áreas es de $34.128.075.000. Esta tarea se relaciona con la determinación del costeo de tutorías en tres áreas: Bilingüismo, STEM y otras que apoyen c"&amp;"ompetencias socioemocionales. Base: Para 2021, se toma como base de focalización 128 colegios distritales, con un total 40.903 estudiantes de los grados 9° y 10°. Para el grado 9º se atenderán a 20.939 de 598 grupos y para el 10º se atenderán 19.964 de 56"&amp;"9 grupos.")</f>
        <v>El presupuesto adicional (2021-2023) para atender a 40.000 estudiantes aproximadamente en las diferentes áreas es de $34.128.075.000. Esta tarea se relaciona con la determinación del costeo de tutorías en tres áreas: Bilingüismo, STEM y otras que apoyen competencias socioemocionales. Base: Para 2021, se toma como base de focalización 128 colegios distritales, con un total 40.903 estudiantes de los grados 9° y 10°. Para el grado 9º se atenderán a 20.939 de 598 grupos y para el 10º se atenderán 19.964 de 569 grupos.</v>
      </c>
      <c r="N1221" s="55">
        <f ca="1">IFERROR(__xludf.DUMMYFUNCTION("""COMPUTED_VALUE"""),44927)</f>
        <v>44927</v>
      </c>
      <c r="O1221" s="25" t="str">
        <f t="shared" ca="1" si="0"/>
        <v>Secretaría de Educación del Distrito</v>
      </c>
      <c r="P1221" s="25" t="str">
        <f t="shared" si="2"/>
        <v/>
      </c>
      <c r="Q1221" s="25" t="str">
        <f ca="1">IFERROR(__xludf.DUMMYFUNCTION("""COMPUTED_VALUE"""),"Corto plazo")</f>
        <v>Corto plazo</v>
      </c>
      <c r="R1221" s="25"/>
      <c r="S1221" s="55"/>
      <c r="T1221" s="56"/>
      <c r="U1221" s="25"/>
      <c r="V1221" s="25"/>
      <c r="W1221" s="25"/>
      <c r="X1221" s="25"/>
      <c r="Y1221" s="25"/>
      <c r="Z1221" s="25"/>
    </row>
    <row r="1222" spans="1:26" ht="52.5" customHeight="1" x14ac:dyDescent="0.25">
      <c r="A1222" s="25" t="str">
        <f ca="1">IFERROR(__xludf.DUMMYFUNCTION("""COMPUTED_VALUE"""),"Educa20")</f>
        <v>Educa20</v>
      </c>
      <c r="B1222" s="25" t="str">
        <f ca="1">IFERROR(__xludf.DUMMYFUNCTION("""COMPUTED_VALUE"""),"Tareas SED")</f>
        <v>Tareas SED</v>
      </c>
      <c r="C1222" s="55">
        <f ca="1">IFERROR(__xludf.DUMMYFUNCTION("""COMPUTED_VALUE"""),44295)</f>
        <v>44295</v>
      </c>
      <c r="D1222" s="25" t="str">
        <f ca="1">IFERROR(__xludf.DUMMYFUNCTION("""COMPUTED_VALUE"""),"Educación")</f>
        <v>Educación</v>
      </c>
      <c r="E1222" s="25" t="str">
        <f ca="1">IFERROR(__xludf.DUMMYFUNCTION("""COMPUTED_VALUE"""),"Secretaría de Educación del Distrito")</f>
        <v>Secretaría de Educación del Distrito</v>
      </c>
      <c r="F1222" s="25" t="str">
        <f ca="1">IFERROR(__xludf.DUMMYFUNCTION("""COMPUTED_VALUE"""),"Determinar costeo de tutorías personalizadas por estudiante / grupo de estudiantes en 3 areas: bilingüismo, competencias socioemocionales, resto de áreas.  Hacer este cálculo para el universo y para priorizados.  ")</f>
        <v xml:space="preserve">Determinar costeo de tutorías personalizadas por estudiante / grupo de estudiantes en 3 areas: bilingüismo, competencias socioemocionales, resto de áreas.  Hacer este cálculo para el universo y para priorizados.  </v>
      </c>
      <c r="G1222" s="25" t="str">
        <f ca="1">IFERROR(__xludf.DUMMYFUNCTION("""COMPUTED_VALUE"""),"99. Distrito")</f>
        <v>99. Distrito</v>
      </c>
      <c r="H1222" s="55">
        <f ca="1">IFERROR(__xludf.DUMMYFUNCTION("""COMPUTED_VALUE"""),44325)</f>
        <v>44325</v>
      </c>
      <c r="I1222" s="25"/>
      <c r="J1222" s="55" t="str">
        <f ca="1">IFERROR(__xludf.DUMMYFUNCTION("""COMPUTED_VALUE"""),"Alta")</f>
        <v>Alta</v>
      </c>
      <c r="K1222" s="25">
        <f ca="1">IFERROR(__xludf.DUMMYFUNCTION("""COMPUTED_VALUE"""),30)</f>
        <v>30</v>
      </c>
      <c r="L1222" s="62">
        <f ca="1">IFERROR(__xludf.DUMMYFUNCTION("""COMPUTED_VALUE"""),44469)</f>
        <v>44469</v>
      </c>
      <c r="M1222" s="25" t="str">
        <f ca="1">IFERROR(__xludf.DUMMYFUNCTION("""COMPUTED_VALUE"""),"Se avanza en la ejecución de un plan de choque (abril-agosto 2021) para fortalecer aprendizajes, de los estudiantes de grado 11° acciones orientadas a estudiantes y docentes, con énfasis en las diferentes áreas que evaluadas en la Prueba Saber. El plan co"&amp;"ntiene las actividades específicas, la población beneficiada, los recursos y los tiempos en los que las actividades se desarrollarán.
Se avanza también en un plan de mediano plazo (2021-2023) que incluye trabajo con estudiantes y docentes de diferentes gr"&amp;"ados, en áreas STEM, así como en las demás áreas evaluadas en la Prueba Saber, en perspectiva de cierre de brechas educativas digitales, de cobertura, calidad plasmadas en la meta 108 del PDD. Estos planes se presentarán a la Secretaría para su aprobación"&amp;" y posterior presentación a la Alcaldesa.
Informe a septiembre: La DEE ha realizado un plan de choque para los estudiantes de grado 11, en 86 sesiones con énfasis en las áreas de matematicas, lectura crítica, ciencias naturales , inglés, ciencias sociale"&amp;"s y competencias ciudadanas,  con el apoyo de 5 profesionales en estas áreas, 10 talleristas y 6 intérpretes de lengua de señas para población sorda. Durante su desarrollo, se tuvo una participación de cerca de diez mil asistencias reiteradas de estudiant"&amp;"es,  y se está a la expectativa de mejora en los resultados de la prueba saber 11, 2021, los cuales se recibirán por parte del Icfes en diciembre de 2021.
El costo total de la estrategia (talleres y tutorías) para 2021,  desarrollada en  86 sesiones, 80 "&amp;" virtuales y 6 presenciales para la localidad de Sumapaz, apoyadas con  interpretes de lengua de señas para población sorda que acompañaron 60 sesiones, tuvo un costo de $ 149.969.900, lo que correpsonde a un  valor  aproximado por sesión de  $1.744.000. "&amp;"Estos espacios se ofrecieron para todos los colegios, y la participacaión fue voluntaria.")</f>
        <v>Se avanza en la ejecución de un plan de choque (abril-agosto 2021) para fortalecer aprendizajes, de los estudiantes de grado 11° acciones orientadas a estudiantes y docentes, con énfasis en las diferentes áreas que evaluadas en la Prueba Saber. El plan contiene las actividades específicas, la población beneficiada, los recursos y los tiempos en los que las actividades se desarrollarán.
Se avanza también en un plan de mediano plazo (2021-2023) que incluye trabajo con estudiantes y docentes de diferentes grados, en áreas STEM, así como en las demás áreas evaluadas en la Prueba Saber, en perspectiva de cierre de brechas educativas digitales, de cobertura, calidad plasmadas en la meta 108 del PDD. Estos planes se presentarán a la Secretaría para su aprobación y posterior presentación a la Alcaldesa.
Informe a septiembre: La DEE ha realizado un plan de choque para los estudiantes de grado 11, en 86 sesiones con énfasis en las áreas de matematicas, lectura crítica, ciencias naturales , inglés, ciencias sociales y competencias ciudadanas,  con el apoyo de 5 profesionales en estas áreas, 10 talleristas y 6 intérpretes de lengua de señas para población sorda. Durante su desarrollo, se tuvo una participación de cerca de diez mil asistencias reiteradas de estudiantes,  y se está a la expectativa de mejora en los resultados de la prueba saber 11, 2021, los cuales se recibirán por parte del Icfes en diciembre de 2021.
El costo total de la estrategia (talleres y tutorías) para 2021,  desarrollada en  86 sesiones, 80  virtuales y 6 presenciales para la localidad de Sumapaz, apoyadas con  interpretes de lengua de señas para población sorda que acompañaron 60 sesiones, tuvo un costo de $ 149.969.900, lo que correpsonde a un  valor  aproximado por sesión de  $1.744.000. Estos espacios se ofrecieron para todos los colegios, y la participacaión fue voluntaria.</v>
      </c>
      <c r="N1222" s="55">
        <f ca="1">IFERROR(__xludf.DUMMYFUNCTION("""COMPUTED_VALUE"""),44927)</f>
        <v>44927</v>
      </c>
      <c r="O1222" s="25" t="str">
        <f t="shared" ca="1" si="0"/>
        <v>Secretaría de Educación del Distrito</v>
      </c>
      <c r="P1222" s="25" t="str">
        <f t="shared" si="2"/>
        <v/>
      </c>
      <c r="Q1222" s="25" t="str">
        <f ca="1">IFERROR(__xludf.DUMMYFUNCTION("""COMPUTED_VALUE"""),"Corto plazo")</f>
        <v>Corto plazo</v>
      </c>
      <c r="R1222" s="25"/>
      <c r="S1222" s="55"/>
      <c r="T1222" s="56"/>
      <c r="U1222" s="25"/>
      <c r="V1222" s="25"/>
      <c r="W1222" s="25"/>
      <c r="X1222" s="25"/>
      <c r="Y1222" s="25"/>
      <c r="Z1222" s="25"/>
    </row>
    <row r="1223" spans="1:26" ht="52.5" customHeight="1" x14ac:dyDescent="0.25">
      <c r="A1223" s="25" t="str">
        <f ca="1">IFERROR(__xludf.DUMMYFUNCTION("""COMPUTED_VALUE"""),"Educa21")</f>
        <v>Educa21</v>
      </c>
      <c r="B1223" s="25" t="str">
        <f ca="1">IFERROR(__xludf.DUMMYFUNCTION("""COMPUTED_VALUE"""),"Tareas SED")</f>
        <v>Tareas SED</v>
      </c>
      <c r="C1223" s="55">
        <f ca="1">IFERROR(__xludf.DUMMYFUNCTION("""COMPUTED_VALUE"""),44295)</f>
        <v>44295</v>
      </c>
      <c r="D1223" s="25" t="str">
        <f ca="1">IFERROR(__xludf.DUMMYFUNCTION("""COMPUTED_VALUE"""),"Educación")</f>
        <v>Educación</v>
      </c>
      <c r="E1223" s="25" t="str">
        <f ca="1">IFERROR(__xludf.DUMMYFUNCTION("""COMPUTED_VALUE"""),"Secretaría de Educación del Distrito")</f>
        <v>Secretaría de Educación del Distrito</v>
      </c>
      <c r="F1223" s="25" t="str">
        <f ca="1">IFERROR(__xludf.DUMMYFUNCTION("""COMPUTED_VALUE"""),"Presentar a la alcaldesa en reunión de Convenio Sena, la oferta del convenio específicamente para el SIDICU y para procesos de Int. Social.  ")</f>
        <v xml:space="preserve">Presentar a la alcaldesa en reunión de Convenio Sena, la oferta del convenio específicamente para el SIDICU y para procesos de Int. Social.  </v>
      </c>
      <c r="G1223" s="25" t="str">
        <f ca="1">IFERROR(__xludf.DUMMYFUNCTION("""COMPUTED_VALUE"""),"99. Distrito")</f>
        <v>99. Distrito</v>
      </c>
      <c r="H1223" s="55">
        <f ca="1">IFERROR(__xludf.DUMMYFUNCTION("""COMPUTED_VALUE"""),44325)</f>
        <v>44325</v>
      </c>
      <c r="I1223" s="25"/>
      <c r="J1223" s="55" t="str">
        <f ca="1">IFERROR(__xludf.DUMMYFUNCTION("""COMPUTED_VALUE"""),"Alta")</f>
        <v>Alta</v>
      </c>
      <c r="K1223" s="25">
        <f ca="1">IFERROR(__xludf.DUMMYFUNCTION("""COMPUTED_VALUE"""),30)</f>
        <v>30</v>
      </c>
      <c r="L1223" s="62">
        <f ca="1">IFERROR(__xludf.DUMMYFUNCTION("""COMPUTED_VALUE"""),44362)</f>
        <v>44362</v>
      </c>
      <c r="M1223" s="25" t="str">
        <f ca="1">IFERROR(__xludf.DUMMYFUNCTION("""COMPUTED_VALUE"""),"Los avances del convenio SENA se presentaron el 14 de abril. Participaron las entidades que están trabajando en el convenio (educación, mujer, integración, desarrollo económico, cultura y movilidad), la oferta que tienen y los hitos de estos próximos mese"&amp;"s.")</f>
        <v>Los avances del convenio SENA se presentaron el 14 de abril. Participaron las entidades que están trabajando en el convenio (educación, mujer, integración, desarrollo económico, cultura y movilidad), la oferta que tienen y los hitos de estos próximos meses.</v>
      </c>
      <c r="N1223" s="55">
        <f ca="1">IFERROR(__xludf.DUMMYFUNCTION("""COMPUTED_VALUE"""),44927)</f>
        <v>44927</v>
      </c>
      <c r="O1223" s="25" t="str">
        <f t="shared" ca="1" si="0"/>
        <v>Secretaría de Educación del Distrito</v>
      </c>
      <c r="P1223" s="25" t="str">
        <f t="shared" si="2"/>
        <v/>
      </c>
      <c r="Q1223" s="25" t="str">
        <f ca="1">IFERROR(__xludf.DUMMYFUNCTION("""COMPUTED_VALUE"""),"Corto plazo")</f>
        <v>Corto plazo</v>
      </c>
      <c r="R1223" s="25"/>
      <c r="S1223" s="55"/>
      <c r="T1223" s="56"/>
      <c r="U1223" s="25"/>
      <c r="V1223" s="25"/>
      <c r="W1223" s="25"/>
      <c r="X1223" s="25"/>
      <c r="Y1223" s="25"/>
      <c r="Z1223" s="25"/>
    </row>
    <row r="1224" spans="1:26" ht="52.5" customHeight="1" x14ac:dyDescent="0.25">
      <c r="A1224" s="25" t="str">
        <f ca="1">IFERROR(__xludf.DUMMYFUNCTION("""COMPUTED_VALUE"""),"Educa22")</f>
        <v>Educa22</v>
      </c>
      <c r="B1224" s="25" t="str">
        <f ca="1">IFERROR(__xludf.DUMMYFUNCTION("""COMPUTED_VALUE"""),"Tareas SED")</f>
        <v>Tareas SED</v>
      </c>
      <c r="C1224" s="55">
        <f ca="1">IFERROR(__xludf.DUMMYFUNCTION("""COMPUTED_VALUE"""),44295)</f>
        <v>44295</v>
      </c>
      <c r="D1224" s="25" t="str">
        <f ca="1">IFERROR(__xludf.DUMMYFUNCTION("""COMPUTED_VALUE"""),"Educación")</f>
        <v>Educación</v>
      </c>
      <c r="E1224" s="25" t="str">
        <f ca="1">IFERROR(__xludf.DUMMYFUNCTION("""COMPUTED_VALUE"""),"Secretaría de Educación del Distrito")</f>
        <v>Secretaría de Educación del Distrito</v>
      </c>
      <c r="F1224" s="25" t="str">
        <f ca="1">IFERROR(__xludf.DUMMYFUNCTION("""COMPUTED_VALUE"""),"Traer propuesta de cómo volver a enganchar a clase media que debido a la pandemia salió de oportunidades educativas, especialmente mujeres.")</f>
        <v>Traer propuesta de cómo volver a enganchar a clase media que debido a la pandemia salió de oportunidades educativas, especialmente mujeres.</v>
      </c>
      <c r="G1224" s="25" t="str">
        <f ca="1">IFERROR(__xludf.DUMMYFUNCTION("""COMPUTED_VALUE"""),"99. Distrito")</f>
        <v>99. Distrito</v>
      </c>
      <c r="H1224" s="55">
        <f ca="1">IFERROR(__xludf.DUMMYFUNCTION("""COMPUTED_VALUE"""),44325)</f>
        <v>44325</v>
      </c>
      <c r="I1224" s="25"/>
      <c r="J1224" s="55" t="str">
        <f ca="1">IFERROR(__xludf.DUMMYFUNCTION("""COMPUTED_VALUE"""),"Alta")</f>
        <v>Alta</v>
      </c>
      <c r="K1224" s="25">
        <f ca="1">IFERROR(__xludf.DUMMYFUNCTION("""COMPUTED_VALUE"""),30)</f>
        <v>30</v>
      </c>
      <c r="L1224" s="62">
        <f ca="1">IFERROR(__xludf.DUMMYFUNCTION("""COMPUTED_VALUE"""),44420)</f>
        <v>44420</v>
      </c>
      <c r="M1224" s="25" t="str">
        <f ca="1">IFERROR(__xludf.DUMMYFUNCTION("""COMPUTED_VALUE"""),"TAREA CUMPLIDA. La SED ya viene implementando acciones afirmativas que fortalecen la cobertura con equidad, el acceso y la permanencia en el marco de la educación inclusiva. Cabe resaltar que dichas acciones han permitido, que contrario a lo que ha ocurri"&amp;"do en otras ciudades,  en Bogotá, la matrícula creciera desde que comenzó la pandemia y sea la más alta en los últimos 5 años.
Las acciones comprenden:
1.  Búsqueda activa de población desescolarizada. 
2.  Implementación de propuesta educativa flexible p"&amp;"ara población vulnerable. 
3.  Acompañamiento a la deserción. ")</f>
        <v xml:space="preserve">TAREA CUMPLIDA. La SED ya viene implementando acciones afirmativas que fortalecen la cobertura con equidad, el acceso y la permanencia en el marco de la educación inclusiva. Cabe resaltar que dichas acciones han permitido, que contrario a lo que ha ocurrido en otras ciudades,  en Bogotá, la matrícula creciera desde que comenzó la pandemia y sea la más alta en los últimos 5 años.
Las acciones comprenden:
1.  Búsqueda activa de población desescolarizada. 
2.  Implementación de propuesta educativa flexible para población vulnerable. 
3.  Acompañamiento a la deserción. </v>
      </c>
      <c r="N1224" s="55">
        <f ca="1">IFERROR(__xludf.DUMMYFUNCTION("""COMPUTED_VALUE"""),44927)</f>
        <v>44927</v>
      </c>
      <c r="O1224" s="25" t="str">
        <f t="shared" ca="1" si="0"/>
        <v>Secretaría de Educación del Distrito</v>
      </c>
      <c r="P1224" s="25" t="str">
        <f t="shared" si="2"/>
        <v/>
      </c>
      <c r="Q1224" s="25" t="str">
        <f ca="1">IFERROR(__xludf.DUMMYFUNCTION("""COMPUTED_VALUE"""),"Corto plazo")</f>
        <v>Corto plazo</v>
      </c>
      <c r="R1224" s="25"/>
      <c r="S1224" s="55"/>
      <c r="T1224" s="56"/>
      <c r="U1224" s="25"/>
      <c r="V1224" s="25"/>
      <c r="W1224" s="25"/>
      <c r="X1224" s="25"/>
      <c r="Y1224" s="25"/>
      <c r="Z1224" s="25"/>
    </row>
    <row r="1225" spans="1:26" ht="52.5" customHeight="1" x14ac:dyDescent="0.25">
      <c r="A1225" s="25" t="str">
        <f ca="1">IFERROR(__xludf.DUMMYFUNCTION("""COMPUTED_VALUE"""),"Educa23")</f>
        <v>Educa23</v>
      </c>
      <c r="B1225" s="25" t="str">
        <f ca="1">IFERROR(__xludf.DUMMYFUNCTION("""COMPUTED_VALUE"""),"Tareas SED")</f>
        <v>Tareas SED</v>
      </c>
      <c r="C1225" s="55">
        <f ca="1">IFERROR(__xludf.DUMMYFUNCTION("""COMPUTED_VALUE"""),44295)</f>
        <v>44295</v>
      </c>
      <c r="D1225" s="25" t="str">
        <f ca="1">IFERROR(__xludf.DUMMYFUNCTION("""COMPUTED_VALUE"""),"Educación")</f>
        <v>Educación</v>
      </c>
      <c r="E1225" s="25" t="str">
        <f ca="1">IFERROR(__xludf.DUMMYFUNCTION("""COMPUTED_VALUE"""),"Secretaría de Educación del Distrito")</f>
        <v>Secretaría de Educación del Distrito</v>
      </c>
      <c r="F1225" s="25" t="str">
        <f ca="1">IFERROR(__xludf.DUMMYFUNCTION("""COMPUTED_VALUE"""),"Traer una propuesta de la oferta educativa que se puede crear para personas en pobreza extrema, que no se limita a ofrecimiento de matrículas.  ¿Qué educación se le puede ofrecer a las personas en condición de indigencia para llevarlos progresivamente a l"&amp;"a escolarización? ")</f>
        <v xml:space="preserve">Traer una propuesta de la oferta educativa que se puede crear para personas en pobreza extrema, que no se limita a ofrecimiento de matrículas.  ¿Qué educación se le puede ofrecer a las personas en condición de indigencia para llevarlos progresivamente a la escolarización? </v>
      </c>
      <c r="G1225" s="25" t="str">
        <f ca="1">IFERROR(__xludf.DUMMYFUNCTION("""COMPUTED_VALUE"""),"99. Distrito")</f>
        <v>99. Distrito</v>
      </c>
      <c r="H1225" s="55">
        <f ca="1">IFERROR(__xludf.DUMMYFUNCTION("""COMPUTED_VALUE"""),44325)</f>
        <v>44325</v>
      </c>
      <c r="I1225" s="25"/>
      <c r="J1225" s="55" t="str">
        <f ca="1">IFERROR(__xludf.DUMMYFUNCTION("""COMPUTED_VALUE"""),"Alta")</f>
        <v>Alta</v>
      </c>
      <c r="K1225" s="25">
        <f ca="1">IFERROR(__xludf.DUMMYFUNCTION("""COMPUTED_VALUE"""),30)</f>
        <v>30</v>
      </c>
      <c r="L1225" s="62"/>
      <c r="M1225" s="25" t="str">
        <f ca="1">IFERROR(__xludf.DUMMYFUNCTION("""COMPUTED_VALUE"""),"La SED en el marco del Plan Distrital de Desarrollo ya viene implementando acciones afirmativas que fortalecen la cobertura con equidad, el acceso y la permanencia en el marco de la educación inclusiva.  Cabe resaltar que dichas acciones han permitido, qu"&amp;"e contrario a lo que ha ocurrido en otras ciudades,  en Bogotá la matrícula creciera desde que comenzó la pandemia y sea la más alta en los últimos 5 años:
Las acciones comprenden:
1.  Búsqueda activa de población desescolarizada. con el objetivo de iden"&amp;"tificar y caracterizar a los niños, niñas, adolescentes, jóvenes y adultos que se encuentran por fuera del sistema educativo distrital y garantizar su retorno a las instituciones educativas distritales en la actual emergencia por COVID-19, la SED realiza "&amp;"búsqueda de población desescolarizada tanto de manera presencial, “casa a casa” en UPZ focalizadas como de forma no presencial a partir de contacto telefónico y virtual.
En dicho marco, a lo largo de la vigencia 2020 y en especial del periodo de aislamien"&amp;"to por causa del COVID-19 se realizaron recorridos barriales y gestión telefónica, en 122 barrios de 89 UPZ en 19 Localidades. El resultado de dichas acciones permitió la matrícula de 2.556 estudiantes que se identificaron como desescolarizados. Igualment"&amp;"e, con SDIS y otras entidades con presencia en el territorio se ha venido articulando para que la población identificada por dichas entidades sea incorporada al sistema educativo según la respectiva necesidad y edad (tanto en los grados regulares como en "&amp;"estrategias flexibles y en educación de adultos). 
2.  Implementación de propuesta educativa flexible para población vulnerable. Atención educativa a través de Ciclos Lectivos Especiales Integrados (CLEI), atención educativa para personas en extraedad, j"&amp;"óvenes, adultas y personas mayores. Esta atención educativa está dirigida de manera particular y desde el reconocimiento de la diversidad, a las poblaciones con mayor riesgo de inasistencia y deserción escolar. Entre ellas las personas en condición de pob"&amp;"reza, habitantes de calle y mujeres y todas aquellas de especial protección constitucional como por ejemplo personas víctimas del conflicto, población en extra-edad, grupos étnicos, población migrante, entre otros. Dichas estrategias son flexibles en hora"&amp;"rios, espacios de atención, pedagogías y didácticas diferenciales. Actualmente está en ejecución. Se requerirían más recursos para ampliación.
3.  Acompañamiento a la deserción. Desde la SED, conforme a lo previsto en el Plan Distrital de Desarrollo se a"&amp;"compaña al 100% instituciones educativas distritales en las que se evidencia un aumento de la deserción escolar por encima del promedio de la ciudad. Dicho acompañamiento incluye intercambio de experiencias entre colegios sobre permanencia escolar, incent"&amp;"ivos para la implementación de proyectos orientados a disminuir la deserción, articulación de la oferta institucional a las problemáticas concretas de cada colegio e implementación de los mecanismos de seguimiento a la permanencia y deserción escolar.")</f>
        <v>La SED en el marco del Plan Distrital de Desarrollo ya viene implementando acciones afirmativas que fortalecen la cobertura con equidad, el acceso y la permanencia en el marco de la educación inclusiva.  Cabe resaltar que dichas acciones han permitido, que contrario a lo que ha ocurrido en otras ciudades,  en Bogotá la matrícula creciera desde que comenzó la pandemia y sea la más alta en los últimos 5 años:
Las acciones comprenden:
1.  Búsqueda activa de población desescolarizada. con el objetivo de identificar y caracterizar a los niños, niñas, adolescentes, jóvenes y adultos que se encuentran por fuera del sistema educativo distrital y garantizar su retorno a las instituciones educativas distritales en la actual emergencia por COVID-19, la SED realiza búsqueda de población desescolarizada tanto de manera presencial, “casa a casa” en UPZ focalizadas como de forma no presencial a partir de contacto telefónico y virtual.
En dicho marco, a lo largo de la vigencia 2020 y en especial del periodo de aislamiento por causa del COVID-19 se realizaron recorridos barriales y gestión telefónica, en 122 barrios de 89 UPZ en 19 Localidades. El resultado de dichas acciones permitió la matrícula de 2.556 estudiantes que se identificaron como desescolarizados. Igualmente, con SDIS y otras entidades con presencia en el territorio se ha venido articulando para que la población identificada por dichas entidades sea incorporada al sistema educativo según la respectiva necesidad y edad (tanto en los grados regulares como en estrategias flexibles y en educación de adultos). 
2.  Implementación de propuesta educativa flexible para población vulnerable. Atención educativa a través de Ciclos Lectivos Especiales Integrados (CLEI), atención educativa para personas en extraedad, jóvenes, adultas y personas mayores. Esta atención educativa está dirigida de manera particular y desde el reconocimiento de la diversidad, a las poblaciones con mayor riesgo de inasistencia y deserción escolar. Entre ellas las personas en condición de pobreza, habitantes de calle y mujeres y todas aquellas de especial protección constitucional como por ejemplo personas víctimas del conflicto, población en extra-edad, grupos étnicos, población migrante, entre otros. Dichas estrategias son flexibles en horarios, espacios de atención, pedagogías y didácticas diferenciales. Actualmente está en ejecución. Se requerirían más recursos para ampliación.
3.  Acompañamiento a la deserción. Desde la SED, conforme a lo previsto en el Plan Distrital de Desarrollo se acompaña al 100% instituciones educativas distritales en las que se evidencia un aumento de la deserción escolar por encima del promedio de la ciudad. Dicho acompañamiento incluye intercambio de experiencias entre colegios sobre permanencia escolar, incentivos para la implementación de proyectos orientados a disminuir la deserción, articulación de la oferta institucional a las problemáticas concretas de cada colegio e implementación de los mecanismos de seguimiento a la permanencia y deserción escolar.</v>
      </c>
      <c r="N1225" s="55">
        <f ca="1">IFERROR(__xludf.DUMMYFUNCTION("""COMPUTED_VALUE"""),44927)</f>
        <v>44927</v>
      </c>
      <c r="O1225" s="25" t="str">
        <f t="shared" ca="1" si="0"/>
        <v>Secretaría de Educación del Distrito</v>
      </c>
      <c r="P1225" s="25" t="str">
        <f t="shared" si="2"/>
        <v/>
      </c>
      <c r="Q1225" s="25" t="str">
        <f ca="1">IFERROR(__xludf.DUMMYFUNCTION("""COMPUTED_VALUE"""),"Corto plazo")</f>
        <v>Corto plazo</v>
      </c>
      <c r="R1225" s="25"/>
      <c r="S1225" s="55"/>
      <c r="T1225" s="56"/>
      <c r="U1225" s="25"/>
      <c r="V1225" s="25"/>
      <c r="W1225" s="25"/>
      <c r="X1225" s="25"/>
      <c r="Y1225" s="25"/>
      <c r="Z1225" s="25"/>
    </row>
    <row r="1226" spans="1:26" ht="52.5" customHeight="1" x14ac:dyDescent="0.25">
      <c r="A1226" s="25" t="str">
        <f ca="1">IFERROR(__xludf.DUMMYFUNCTION("""COMPUTED_VALUE"""),"Educa24")</f>
        <v>Educa24</v>
      </c>
      <c r="B1226" s="25" t="str">
        <f ca="1">IFERROR(__xludf.DUMMYFUNCTION("""COMPUTED_VALUE"""),"Infraestructura- Sesión 9 infraestructura educativa, PP campo verde y Hospitales")</f>
        <v>Infraestructura- Sesión 9 infraestructura educativa, PP campo verde y Hospitales</v>
      </c>
      <c r="C1226" s="55">
        <f ca="1">IFERROR(__xludf.DUMMYFUNCTION("""COMPUTED_VALUE"""),44322)</f>
        <v>44322</v>
      </c>
      <c r="D1226" s="25" t="str">
        <f ca="1">IFERROR(__xludf.DUMMYFUNCTION("""COMPUTED_VALUE"""),"Educación")</f>
        <v>Educación</v>
      </c>
      <c r="E1226" s="25" t="str">
        <f ca="1">IFERROR(__xludf.DUMMYFUNCTION("""COMPUTED_VALUE"""),"Secretaría de Educación del Distrito")</f>
        <v>Secretaría de Educación del Distrito</v>
      </c>
      <c r="F1226" s="25" t="str">
        <f ca="1">IFERROR(__xludf.DUMMYFUNCTION("""COMPUTED_VALUE"""),"1.  Infraestructura educativa: Remitir la información correspondiente a los trámites o gestiones en cursos ante las empresas de servicios públicos referentes a las conexiones definitivas a estos. De modo que desde la Alcaldía se pueda apoyar en la gestión"&amp;".")</f>
        <v>1.  Infraestructura educativa: Remitir la información correspondiente a los trámites o gestiones en cursos ante las empresas de servicios públicos referentes a las conexiones definitivas a estos. De modo que desde la Alcaldía se pueda apoyar en la gestión.</v>
      </c>
      <c r="G1226" s="25" t="str">
        <f ca="1">IFERROR(__xludf.DUMMYFUNCTION("""COMPUTED_VALUE"""),"99. Distrito")</f>
        <v>99. Distrito</v>
      </c>
      <c r="H1226" s="55">
        <f ca="1">IFERROR(__xludf.DUMMYFUNCTION("""COMPUTED_VALUE"""),44352)</f>
        <v>44352</v>
      </c>
      <c r="I1226" s="25"/>
      <c r="J1226" s="55" t="str">
        <f ca="1">IFERROR(__xludf.DUMMYFUNCTION("""COMPUTED_VALUE"""),"Alta")</f>
        <v>Alta</v>
      </c>
      <c r="K1226" s="25">
        <f ca="1">IFERROR(__xludf.DUMMYFUNCTION("""COMPUTED_VALUE"""),30)</f>
        <v>30</v>
      </c>
      <c r="L1226" s="62">
        <f ca="1">IFERROR(__xludf.DUMMYFUNCTION("""COMPUTED_VALUE"""),44420)</f>
        <v>44420</v>
      </c>
      <c r="M1226" s="25" t="str">
        <f ca="1">IFERROR(__xludf.DUMMYFUNCTION("""COMPUTED_VALUE"""),"Se remitió por correo electrónico a la junta de infraestructura con copia a Ingrid Portilla")</f>
        <v>Se remitió por correo electrónico a la junta de infraestructura con copia a Ingrid Portilla</v>
      </c>
      <c r="N1226" s="55">
        <f ca="1">IFERROR(__xludf.DUMMYFUNCTION("""COMPUTED_VALUE"""),44927)</f>
        <v>44927</v>
      </c>
      <c r="O1226" s="25" t="str">
        <f t="shared" ca="1" si="0"/>
        <v>Secretaría de Educación del Distrito</v>
      </c>
      <c r="P1226" s="25" t="str">
        <f t="shared" si="2"/>
        <v/>
      </c>
      <c r="Q1226" s="25" t="str">
        <f ca="1">IFERROR(__xludf.DUMMYFUNCTION("""COMPUTED_VALUE"""),"Corto plazo")</f>
        <v>Corto plazo</v>
      </c>
      <c r="R1226" s="25"/>
      <c r="S1226" s="55"/>
      <c r="T1226" s="56"/>
      <c r="U1226" s="25"/>
      <c r="V1226" s="25"/>
      <c r="W1226" s="25"/>
      <c r="X1226" s="25"/>
      <c r="Y1226" s="25"/>
      <c r="Z1226" s="25"/>
    </row>
    <row r="1227" spans="1:26" ht="52.5" customHeight="1" x14ac:dyDescent="0.25">
      <c r="A1227" s="25" t="str">
        <f ca="1">IFERROR(__xludf.DUMMYFUNCTION("""COMPUTED_VALUE"""),"Educa25")</f>
        <v>Educa25</v>
      </c>
      <c r="B1227" s="25" t="str">
        <f ca="1">IFERROR(__xludf.DUMMYFUNCTION("""COMPUTED_VALUE"""),"Infraestructura- Sesión 9 infraestructura educativa, PP campo verde y Hospitales")</f>
        <v>Infraestructura- Sesión 9 infraestructura educativa, PP campo verde y Hospitales</v>
      </c>
      <c r="C1227" s="55">
        <f ca="1">IFERROR(__xludf.DUMMYFUNCTION("""COMPUTED_VALUE"""),44322)</f>
        <v>44322</v>
      </c>
      <c r="D1227" s="25" t="str">
        <f ca="1">IFERROR(__xludf.DUMMYFUNCTION("""COMPUTED_VALUE"""),"Educación")</f>
        <v>Educación</v>
      </c>
      <c r="E1227" s="25" t="str">
        <f ca="1">IFERROR(__xludf.DUMMYFUNCTION("""COMPUTED_VALUE"""),"Secretaría de Educación del Distrito")</f>
        <v>Secretaría de Educación del Distrito</v>
      </c>
      <c r="F1227" s="25" t="str">
        <f ca="1">IFERROR(__xludf.DUMMYFUNCTION("""COMPUTED_VALUE"""),"2.  Infraestructura educativa: Incluir en la presentación las fechas de entrega de obra y las de dotación para próxima reunión de junta con la alcaldesa.")</f>
        <v>2.  Infraestructura educativa: Incluir en la presentación las fechas de entrega de obra y las de dotación para próxima reunión de junta con la alcaldesa.</v>
      </c>
      <c r="G1227" s="25" t="str">
        <f ca="1">IFERROR(__xludf.DUMMYFUNCTION("""COMPUTED_VALUE"""),"99. Distrito")</f>
        <v>99. Distrito</v>
      </c>
      <c r="H1227" s="55">
        <f ca="1">IFERROR(__xludf.DUMMYFUNCTION("""COMPUTED_VALUE"""),44352)</f>
        <v>44352</v>
      </c>
      <c r="I1227" s="25"/>
      <c r="J1227" s="55" t="str">
        <f ca="1">IFERROR(__xludf.DUMMYFUNCTION("""COMPUTED_VALUE"""),"Alta")</f>
        <v>Alta</v>
      </c>
      <c r="K1227" s="25">
        <f ca="1">IFERROR(__xludf.DUMMYFUNCTION("""COMPUTED_VALUE"""),30)</f>
        <v>30</v>
      </c>
      <c r="L1227" s="62">
        <f ca="1">IFERROR(__xludf.DUMMYFUNCTION("""COMPUTED_VALUE"""),44420)</f>
        <v>44420</v>
      </c>
      <c r="M1227" s="25" t="str">
        <f ca="1">IFERROR(__xludf.DUMMYFUNCTION("""COMPUTED_VALUE"""),"Se remitió por correo electrónico a la junta de infraestructura con copia a Ingrid Portilla")</f>
        <v>Se remitió por correo electrónico a la junta de infraestructura con copia a Ingrid Portilla</v>
      </c>
      <c r="N1227" s="55">
        <f ca="1">IFERROR(__xludf.DUMMYFUNCTION("""COMPUTED_VALUE"""),44927)</f>
        <v>44927</v>
      </c>
      <c r="O1227" s="25" t="str">
        <f t="shared" ca="1" si="0"/>
        <v>Secretaría de Educación del Distrito</v>
      </c>
      <c r="P1227" s="25" t="str">
        <f t="shared" si="2"/>
        <v/>
      </c>
      <c r="Q1227" s="25" t="str">
        <f ca="1">IFERROR(__xludf.DUMMYFUNCTION("""COMPUTED_VALUE"""),"Corto plazo")</f>
        <v>Corto plazo</v>
      </c>
      <c r="R1227" s="25"/>
      <c r="S1227" s="55"/>
      <c r="T1227" s="56"/>
      <c r="U1227" s="25"/>
      <c r="V1227" s="25"/>
      <c r="W1227" s="25"/>
      <c r="X1227" s="25"/>
      <c r="Y1227" s="25"/>
      <c r="Z1227" s="25"/>
    </row>
    <row r="1228" spans="1:26" ht="52.5" customHeight="1" x14ac:dyDescent="0.25">
      <c r="A1228" s="25" t="str">
        <f ca="1">IFERROR(__xludf.DUMMYFUNCTION("""COMPUTED_VALUE"""),"Educa26")</f>
        <v>Educa26</v>
      </c>
      <c r="B1228" s="25" t="str">
        <f ca="1">IFERROR(__xludf.DUMMYFUNCTION("""COMPUTED_VALUE"""),"Consejo Consultivo LGBTI")</f>
        <v>Consejo Consultivo LGBTI</v>
      </c>
      <c r="C1228" s="55">
        <f ca="1">IFERROR(__xludf.DUMMYFUNCTION("""COMPUTED_VALUE"""),44362)</f>
        <v>44362</v>
      </c>
      <c r="D1228" s="25" t="str">
        <f ca="1">IFERROR(__xludf.DUMMYFUNCTION("""COMPUTED_VALUE"""),"Educación")</f>
        <v>Educación</v>
      </c>
      <c r="E1228" s="25" t="str">
        <f ca="1">IFERROR(__xludf.DUMMYFUNCTION("""COMPUTED_VALUE"""),"Secretaría de Educación del Distrito")</f>
        <v>Secretaría de Educación del Distrito</v>
      </c>
      <c r="F1228" s="25" t="str">
        <f ca="1">IFERROR(__xludf.DUMMYFUNCTION("""COMPUTED_VALUE"""),"Lograr que la Universidad Distrital asuma la responsabilidad de los producto propios del nuevo plan de acción de la política pública LGBT para implementarlos en la Universidad.")</f>
        <v>Lograr que la Universidad Distrital asuma la responsabilidad de los producto propios del nuevo plan de acción de la política pública LGBT para implementarlos en la Universidad.</v>
      </c>
      <c r="G1228" s="25" t="str">
        <f ca="1">IFERROR(__xludf.DUMMYFUNCTION("""COMPUTED_VALUE"""),"99. Distrito")</f>
        <v>99. Distrito</v>
      </c>
      <c r="H1228" s="55">
        <f ca="1">IFERROR(__xludf.DUMMYFUNCTION("""COMPUTED_VALUE"""),44392)</f>
        <v>44392</v>
      </c>
      <c r="I1228" s="25"/>
      <c r="J1228" s="55" t="str">
        <f ca="1">IFERROR(__xludf.DUMMYFUNCTION("""COMPUTED_VALUE"""),"Alta")</f>
        <v>Alta</v>
      </c>
      <c r="K1228" s="25">
        <f ca="1">IFERROR(__xludf.DUMMYFUNCTION("""COMPUTED_VALUE"""),30)</f>
        <v>30</v>
      </c>
      <c r="L1228" s="62">
        <f ca="1">IFERROR(__xludf.DUMMYFUNCTION("""COMPUTED_VALUE"""),44741)</f>
        <v>44741</v>
      </c>
      <c r="M1228" s="25" t="str">
        <f ca="1">IFERROR(__xludf.DUMMYFUNCTION("""COMPUTED_VALUE"""),"Se llevó a cabo mesa de trabajo el 29 de junio de 2022 con las Direcciones de Participación y Educación Superior de la SED, el equipo de género de la UDFJC, los y las colectivas de la UDFJC y la Dirección de Diversidad Sexual de la Secretaría de Planeació"&amp;"n para continuar con el apoyo en la aprobación del documento sobre la diversidad sexual al interior de la Universidad.")</f>
        <v>Se llevó a cabo mesa de trabajo el 29 de junio de 2022 con las Direcciones de Participación y Educación Superior de la SED, el equipo de género de la UDFJC, los y las colectivas de la UDFJC y la Dirección de Diversidad Sexual de la Secretaría de Planeación para continuar con el apoyo en la aprobación del documento sobre la diversidad sexual al interior de la Universidad.</v>
      </c>
      <c r="N1228" s="55">
        <f ca="1">IFERROR(__xludf.DUMMYFUNCTION("""COMPUTED_VALUE"""),44927)</f>
        <v>44927</v>
      </c>
      <c r="O1228" s="25" t="str">
        <f t="shared" ca="1" si="0"/>
        <v>Secretaría de Educación del Distrito</v>
      </c>
      <c r="P1228" s="25" t="str">
        <f t="shared" si="2"/>
        <v/>
      </c>
      <c r="Q1228" s="25" t="str">
        <f ca="1">IFERROR(__xludf.DUMMYFUNCTION("""COMPUTED_VALUE"""),"Corto plazo")</f>
        <v>Corto plazo</v>
      </c>
      <c r="R1228" s="25"/>
      <c r="S1228" s="55"/>
      <c r="T1228" s="56"/>
      <c r="U1228" s="25"/>
      <c r="V1228" s="25"/>
      <c r="W1228" s="25"/>
      <c r="X1228" s="25"/>
      <c r="Y1228" s="25"/>
      <c r="Z1228" s="25"/>
    </row>
    <row r="1229" spans="1:26" ht="52.5" customHeight="1" x14ac:dyDescent="0.25">
      <c r="A1229" s="25" t="str">
        <f ca="1">IFERROR(__xludf.DUMMYFUNCTION("""COMPUTED_VALUE"""),"Educa27")</f>
        <v>Educa27</v>
      </c>
      <c r="B1229" s="25" t="str">
        <f ca="1">IFERROR(__xludf.DUMMYFUNCTION("""COMPUTED_VALUE"""),"Despachando: Secretaría de educación")</f>
        <v>Despachando: Secretaría de educación</v>
      </c>
      <c r="C1229" s="55">
        <f ca="1">IFERROR(__xludf.DUMMYFUNCTION("""COMPUTED_VALUE"""),44069)</f>
        <v>44069</v>
      </c>
      <c r="D1229" s="25" t="str">
        <f ca="1">IFERROR(__xludf.DUMMYFUNCTION("""COMPUTED_VALUE"""),"Educación")</f>
        <v>Educación</v>
      </c>
      <c r="E1229" s="25" t="str">
        <f ca="1">IFERROR(__xludf.DUMMYFUNCTION("""COMPUTED_VALUE"""),"Secretaría de Educación del Distrito")</f>
        <v>Secretaría de Educación del Distrito</v>
      </c>
      <c r="F1229" s="25" t="str">
        <f ca="1">IFERROR(__xludf.DUMMYFUNCTION("""COMPUTED_VALUE"""),"Solicitar a la Misión de Educadores que trabajan en la estructuración de la jornada única con los mismos elementos del nuevo sistema de educación superior")</f>
        <v>Solicitar a la Misión de Educadores que trabajan en la estructuración de la jornada única con los mismos elementos del nuevo sistema de educación superior</v>
      </c>
      <c r="G1229" s="25" t="str">
        <f ca="1">IFERROR(__xludf.DUMMYFUNCTION("""COMPUTED_VALUE"""),"99. Distrito")</f>
        <v>99. Distrito</v>
      </c>
      <c r="H1229" s="55">
        <f ca="1">IFERROR(__xludf.DUMMYFUNCTION("""COMPUTED_VALUE"""),44099)</f>
        <v>44099</v>
      </c>
      <c r="I1229" s="25"/>
      <c r="J1229" s="55" t="str">
        <f ca="1">IFERROR(__xludf.DUMMYFUNCTION("""COMPUTED_VALUE"""),"Alta")</f>
        <v>Alta</v>
      </c>
      <c r="K1229" s="25">
        <f ca="1">IFERROR(__xludf.DUMMYFUNCTION("""COMPUTED_VALUE"""),30)</f>
        <v>30</v>
      </c>
      <c r="L1229" s="62">
        <f ca="1">IFERROR(__xludf.DUMMYFUNCTION("""COMPUTED_VALUE"""),44389)</f>
        <v>44389</v>
      </c>
      <c r="M1229" s="25" t="str">
        <f ca="1">IFERROR(__xludf.DUMMYFUNCTION("""COMPUTED_VALUE"""),"La Misión da unos lineamientos y recomendaciones a la SED para la estructuración de la jornada única. Estos lineamientos y recomendaciones (preliminares al documento final) ya fueron entregados a la SED a finales de abril para su análisis y consideracione"&amp;"s. El documento final con las recomendaciones será entregado al cierre de la misión.")</f>
        <v>La Misión da unos lineamientos y recomendaciones a la SED para la estructuración de la jornada única. Estos lineamientos y recomendaciones (preliminares al documento final) ya fueron entregados a la SED a finales de abril para su análisis y consideraciones. El documento final con las recomendaciones será entregado al cierre de la misión.</v>
      </c>
      <c r="N1229" s="55">
        <f ca="1">IFERROR(__xludf.DUMMYFUNCTION("""COMPUTED_VALUE"""),44927)</f>
        <v>44927</v>
      </c>
      <c r="O1229" s="25" t="str">
        <f t="shared" ca="1" si="0"/>
        <v>Secretaría de Educación del Distrito</v>
      </c>
      <c r="P1229" s="25" t="str">
        <f t="shared" si="2"/>
        <v/>
      </c>
      <c r="Q1229" s="25" t="str">
        <f ca="1">IFERROR(__xludf.DUMMYFUNCTION("""COMPUTED_VALUE"""),"Corto plazo")</f>
        <v>Corto plazo</v>
      </c>
      <c r="R1229" s="25"/>
      <c r="S1229" s="55"/>
      <c r="T1229" s="56"/>
      <c r="U1229" s="25"/>
      <c r="V1229" s="25"/>
      <c r="W1229" s="25"/>
      <c r="X1229" s="25"/>
      <c r="Y1229" s="25"/>
      <c r="Z1229" s="25"/>
    </row>
    <row r="1230" spans="1:26" ht="52.5" customHeight="1" x14ac:dyDescent="0.25">
      <c r="A1230" s="25" t="str">
        <f ca="1">IFERROR(__xludf.DUMMYFUNCTION("""COMPUTED_VALUE"""),"Educa28")</f>
        <v>Educa28</v>
      </c>
      <c r="B1230" s="25" t="str">
        <f ca="1">IFERROR(__xludf.DUMMYFUNCTION("""COMPUTED_VALUE"""),"Despachando: Secretaría de educación")</f>
        <v>Despachando: Secretaría de educación</v>
      </c>
      <c r="C1230" s="55">
        <f ca="1">IFERROR(__xludf.DUMMYFUNCTION("""COMPUTED_VALUE"""),44069)</f>
        <v>44069</v>
      </c>
      <c r="D1230" s="25" t="str">
        <f ca="1">IFERROR(__xludf.DUMMYFUNCTION("""COMPUTED_VALUE"""),"Educación")</f>
        <v>Educación</v>
      </c>
      <c r="E1230" s="25" t="str">
        <f ca="1">IFERROR(__xludf.DUMMYFUNCTION("""COMPUTED_VALUE"""),"Secretaría de Educación del Distrito")</f>
        <v>Secretaría de Educación del Distrito</v>
      </c>
      <c r="F1230" s="25" t="str">
        <f ca="1">IFERROR(__xludf.DUMMYFUNCTION("""COMPUTED_VALUE"""),"Acelerar el proceso de bilingüismo con herramientas tecnológicas (hacer curaduría de programas, plataformas y aplicaciones)")</f>
        <v>Acelerar el proceso de bilingüismo con herramientas tecnológicas (hacer curaduría de programas, plataformas y aplicaciones)</v>
      </c>
      <c r="G1230" s="25" t="str">
        <f ca="1">IFERROR(__xludf.DUMMYFUNCTION("""COMPUTED_VALUE"""),"99. Distrito")</f>
        <v>99. Distrito</v>
      </c>
      <c r="H1230" s="55">
        <f ca="1">IFERROR(__xludf.DUMMYFUNCTION("""COMPUTED_VALUE"""),44099)</f>
        <v>44099</v>
      </c>
      <c r="I1230" s="25"/>
      <c r="J1230" s="55" t="str">
        <f ca="1">IFERROR(__xludf.DUMMYFUNCTION("""COMPUTED_VALUE"""),"Alta")</f>
        <v>Alta</v>
      </c>
      <c r="K1230" s="25">
        <f ca="1">IFERROR(__xludf.DUMMYFUNCTION("""COMPUTED_VALUE"""),30)</f>
        <v>30</v>
      </c>
      <c r="L1230" s="62">
        <f ca="1">IFERROR(__xludf.DUMMYFUNCTION("""COMPUTED_VALUE"""),44419)</f>
        <v>44419</v>
      </c>
      <c r="M1230" s="25" t="str">
        <f ca="1">IFERROR(__xludf.DUMMYFUNCTION("""COMPUTED_VALUE"""),"British Council consolidó un documento de curaduría de plataformas y aplicaciones para la enseñanza de inglés, el cual fue entregado a la SED en enero de 2021.
Adicionalmente, se realizó pilotaje gratuito de la app LingoChamp con docentes y estudiantes d"&amp;"el Distrito durante un mes (del 1 al 31 de octubre de 2020), con el fin de experimentar su método de aprendizaje de inglés y conocer su efectividad en nuestro contexto educativo.
Se solicitó la transferencia de los OVA SENA para poderlos usar en la plata"&amp;"forma de Red ACadémica como parte del aprendizaje autónomo de estudiantes de secundaria y media.
Actualmente se están adelantando labores para articular MEN y SED con la aplicación B1 Challenge.
Al 11 de agosto se tiene que, en el marco de la implementa"&amp;"ción del Plan de Choque, se asignaron $250.000.000.oo para la contratación de licencias de aplicaciones web y para dispositivos móviles. 
Para la identificación de empresas que oferten este software, Invest In Bogotá invitó a un conjunto de organizacione"&amp;"s para exponer su propuesta. Estas fueron posteriormente invitadas para cotizar en el estudio de mercado realizado como parte del proceso de contratación que se está adelantando.")</f>
        <v>British Council consolidó un documento de curaduría de plataformas y aplicaciones para la enseñanza de inglés, el cual fue entregado a la SED en enero de 2021.
Adicionalmente, se realizó pilotaje gratuito de la app LingoChamp con docentes y estudiantes del Distrito durante un mes (del 1 al 31 de octubre de 2020), con el fin de experimentar su método de aprendizaje de inglés y conocer su efectividad en nuestro contexto educativo.
Se solicitó la transferencia de los OVA SENA para poderlos usar en la plataforma de Red ACadémica como parte del aprendizaje autónomo de estudiantes de secundaria y media.
Actualmente se están adelantando labores para articular MEN y SED con la aplicación B1 Challenge.
Al 11 de agosto se tiene que, en el marco de la implementación del Plan de Choque, se asignaron $250.000.000.oo para la contratación de licencias de aplicaciones web y para dispositivos móviles. 
Para la identificación de empresas que oferten este software, Invest In Bogotá invitó a un conjunto de organizaciones para exponer su propuesta. Estas fueron posteriormente invitadas para cotizar en el estudio de mercado realizado como parte del proceso de contratación que se está adelantando.</v>
      </c>
      <c r="N1230" s="55">
        <f ca="1">IFERROR(__xludf.DUMMYFUNCTION("""COMPUTED_VALUE"""),44927)</f>
        <v>44927</v>
      </c>
      <c r="O1230" s="25" t="str">
        <f t="shared" ca="1" si="0"/>
        <v>Secretaría de Educación del Distrito</v>
      </c>
      <c r="P1230" s="25" t="str">
        <f t="shared" si="2"/>
        <v/>
      </c>
      <c r="Q1230" s="25" t="str">
        <f ca="1">IFERROR(__xludf.DUMMYFUNCTION("""COMPUTED_VALUE"""),"Corto plazo")</f>
        <v>Corto plazo</v>
      </c>
      <c r="R1230" s="25"/>
      <c r="S1230" s="55"/>
      <c r="T1230" s="56"/>
      <c r="U1230" s="25"/>
      <c r="V1230" s="25"/>
      <c r="W1230" s="25"/>
      <c r="X1230" s="25"/>
      <c r="Y1230" s="25"/>
      <c r="Z1230" s="25"/>
    </row>
    <row r="1231" spans="1:26" ht="52.5" customHeight="1" x14ac:dyDescent="0.25">
      <c r="A1231" s="25" t="str">
        <f ca="1">IFERROR(__xludf.DUMMYFUNCTION("""COMPUTED_VALUE"""),"Educa29")</f>
        <v>Educa29</v>
      </c>
      <c r="B1231" s="25" t="str">
        <f ca="1">IFERROR(__xludf.DUMMYFUNCTION("""COMPUTED_VALUE"""),"Despachando: Secretaría de educación")</f>
        <v>Despachando: Secretaría de educación</v>
      </c>
      <c r="C1231" s="55">
        <f ca="1">IFERROR(__xludf.DUMMYFUNCTION("""COMPUTED_VALUE"""),44069)</f>
        <v>44069</v>
      </c>
      <c r="D1231" s="25" t="str">
        <f ca="1">IFERROR(__xludf.DUMMYFUNCTION("""COMPUTED_VALUE"""),"Educación")</f>
        <v>Educación</v>
      </c>
      <c r="E1231" s="25" t="str">
        <f ca="1">IFERROR(__xludf.DUMMYFUNCTION("""COMPUTED_VALUE"""),"Secretaría de Educación del Distrito")</f>
        <v>Secretaría de Educación del Distrito</v>
      </c>
      <c r="F1231" s="25" t="str">
        <f ca="1">IFERROR(__xludf.DUMMYFUNCTION("""COMPUTED_VALUE"""),"Detallar el número de cupos año a año en colegios nuevos o adecuados, que permitan hacer el traslado de los niños de jardines de la SDIS")</f>
        <v>Detallar el número de cupos año a año en colegios nuevos o adecuados, que permitan hacer el traslado de los niños de jardines de la SDIS</v>
      </c>
      <c r="G1231" s="25" t="str">
        <f ca="1">IFERROR(__xludf.DUMMYFUNCTION("""COMPUTED_VALUE"""),"99. Distrito")</f>
        <v>99. Distrito</v>
      </c>
      <c r="H1231" s="55">
        <f ca="1">IFERROR(__xludf.DUMMYFUNCTION("""COMPUTED_VALUE"""),44099)</f>
        <v>44099</v>
      </c>
      <c r="I1231" s="25"/>
      <c r="J1231" s="55" t="str">
        <f ca="1">IFERROR(__xludf.DUMMYFUNCTION("""COMPUTED_VALUE"""),"Alta")</f>
        <v>Alta</v>
      </c>
      <c r="K1231" s="25">
        <f ca="1">IFERROR(__xludf.DUMMYFUNCTION("""COMPUTED_VALUE"""),30)</f>
        <v>30</v>
      </c>
      <c r="L1231" s="62">
        <f ca="1">IFERROR(__xludf.DUMMYFUNCTION("""COMPUTED_VALUE"""),44419)</f>
        <v>44419</v>
      </c>
      <c r="M1231" s="25" t="str">
        <f ca="1">IFERROR(__xludf.DUMMYFUNCTION("""COMPUTED_VALUE"""),"Seguimiento 11 de agosto de 2021: Se concertó reunión para el 7 de septiembre con el Secretario Felipe Jiménez y la Secretaria Xinia Navarro para avanzar en esta tarea.
Proyección de cupos en IED para el año 2021 en los grados: pre jardín 3.097, jardín 26"&amp;"0, transición 240, total 3.597, para 2022 prejardín 3.097, jardín 825, transición 340, total 4.402, para 2023 prejardín 3.097, jardín 1.595, transición 340, total 5.032 y para 2024 prejardín 3.097, jardín 1.595, transición 340, total 5.032. Fuente SIMAT c"&amp;"orte 18-11-2020.")</f>
        <v>Seguimiento 11 de agosto de 2021: Se concertó reunión para el 7 de septiembre con el Secretario Felipe Jiménez y la Secretaria Xinia Navarro para avanzar en esta tarea.
Proyección de cupos en IED para el año 2021 en los grados: pre jardín 3.097, jardín 260, transición 240, total 3.597, para 2022 prejardín 3.097, jardín 825, transición 340, total 4.402, para 2023 prejardín 3.097, jardín 1.595, transición 340, total 5.032 y para 2024 prejardín 3.097, jardín 1.595, transición 340, total 5.032. Fuente SIMAT corte 18-11-2020.</v>
      </c>
      <c r="N1231" s="55">
        <f ca="1">IFERROR(__xludf.DUMMYFUNCTION("""COMPUTED_VALUE"""),44927)</f>
        <v>44927</v>
      </c>
      <c r="O1231" s="25" t="str">
        <f t="shared" ca="1" si="0"/>
        <v>Secretaría de Educación del Distrito</v>
      </c>
      <c r="P1231" s="25" t="str">
        <f t="shared" si="2"/>
        <v/>
      </c>
      <c r="Q1231" s="25" t="str">
        <f ca="1">IFERROR(__xludf.DUMMYFUNCTION("""COMPUTED_VALUE"""),"Corto plazo")</f>
        <v>Corto plazo</v>
      </c>
      <c r="R1231" s="25"/>
      <c r="S1231" s="55"/>
      <c r="T1231" s="56"/>
      <c r="U1231" s="25"/>
      <c r="V1231" s="25"/>
      <c r="W1231" s="25"/>
      <c r="X1231" s="25"/>
      <c r="Y1231" s="25"/>
      <c r="Z1231" s="25"/>
    </row>
    <row r="1232" spans="1:26" ht="52.5" customHeight="1" x14ac:dyDescent="0.25">
      <c r="A1232" s="25" t="str">
        <f ca="1">IFERROR(__xludf.DUMMYFUNCTION("""COMPUTED_VALUE"""),"Educa30")</f>
        <v>Educa30</v>
      </c>
      <c r="B1232" s="25" t="str">
        <f ca="1">IFERROR(__xludf.DUMMYFUNCTION("""COMPUTED_VALUE"""),"Despachando: Secretaría de educación")</f>
        <v>Despachando: Secretaría de educación</v>
      </c>
      <c r="C1232" s="55">
        <f ca="1">IFERROR(__xludf.DUMMYFUNCTION("""COMPUTED_VALUE"""),44069)</f>
        <v>44069</v>
      </c>
      <c r="D1232" s="25" t="str">
        <f ca="1">IFERROR(__xludf.DUMMYFUNCTION("""COMPUTED_VALUE"""),"Educación")</f>
        <v>Educación</v>
      </c>
      <c r="E1232" s="25" t="str">
        <f ca="1">IFERROR(__xludf.DUMMYFUNCTION("""COMPUTED_VALUE"""),"Secretaría de Educación del Distrito")</f>
        <v>Secretaría de Educación del Distrito</v>
      </c>
      <c r="F1232" s="25" t="str">
        <f ca="1">IFERROR(__xludf.DUMMYFUNCTION("""COMPUTED_VALUE"""),"Incluir una cátedra de reciclaje/economía circular en los IED.")</f>
        <v>Incluir una cátedra de reciclaje/economía circular en los IED.</v>
      </c>
      <c r="G1232" s="25" t="str">
        <f ca="1">IFERROR(__xludf.DUMMYFUNCTION("""COMPUTED_VALUE"""),"99. Distrito")</f>
        <v>99. Distrito</v>
      </c>
      <c r="H1232" s="55">
        <f ca="1">IFERROR(__xludf.DUMMYFUNCTION("""COMPUTED_VALUE"""),44099)</f>
        <v>44099</v>
      </c>
      <c r="I1232" s="25"/>
      <c r="J1232" s="55" t="str">
        <f ca="1">IFERROR(__xludf.DUMMYFUNCTION("""COMPUTED_VALUE"""),"Alta")</f>
        <v>Alta</v>
      </c>
      <c r="K1232" s="25">
        <f ca="1">IFERROR(__xludf.DUMMYFUNCTION("""COMPUTED_VALUE"""),30)</f>
        <v>30</v>
      </c>
      <c r="L1232" s="62">
        <f ca="1">IFERROR(__xludf.DUMMYFUNCTION("""COMPUTED_VALUE"""),44419)</f>
        <v>44419</v>
      </c>
      <c r="M1232" s="25" t="str">
        <f ca="1">IFERROR(__xludf.DUMMYFUNCTION("""COMPUTED_VALUE"""),"Toda vez que las acciones de Educación Ambiental se enmarcan dentro de los PRAE, no se ha incluido una cátedra adicional sobre economía circular/reciclaje. Las IED en el marco de su autonomía y énfasis del proyecto, dinamizan prácticas y saberes ambiental"&amp;"es en articulación con su currículo, contexto institucional y territorial en algunas de las siguientes líneas: manejo integral de residuos sólidos, consumo responsable, adaptación y mitigación al cambio climático, biodiversidad y/o sistema hídrico.
Con co"&amp;"rte a 31 de julio de 2021, en el marco del Proyecto de inversión 7599 ""Fortalecimiento de la educación ambiental en los colegios públicos de Bogotá"", se inició el acompañamiento pedagógico para el fortalecimiento del PRAE en 100 IED,  de las cuales, 29 "&amp;"IED ya han recibido 4 o más sesiones de acompañamiento y se les ha hecho retroalimentación del documento PRAE. ")</f>
        <v xml:space="preserve">Toda vez que las acciones de Educación Ambiental se enmarcan dentro de los PRAE, no se ha incluido una cátedra adicional sobre economía circular/reciclaje. Las IED en el marco de su autonomía y énfasis del proyecto, dinamizan prácticas y saberes ambientales en articulación con su currículo, contexto institucional y territorial en algunas de las siguientes líneas: manejo integral de residuos sólidos, consumo responsable, adaptación y mitigación al cambio climático, biodiversidad y/o sistema hídrico.
Con corte a 31 de julio de 2021, en el marco del Proyecto de inversión 7599 "Fortalecimiento de la educación ambiental en los colegios públicos de Bogotá", se inició el acompañamiento pedagógico para el fortalecimiento del PRAE en 100 IED,  de las cuales, 29 IED ya han recibido 4 o más sesiones de acompañamiento y se les ha hecho retroalimentación del documento PRAE. </v>
      </c>
      <c r="N1232" s="55">
        <f ca="1">IFERROR(__xludf.DUMMYFUNCTION("""COMPUTED_VALUE"""),44927)</f>
        <v>44927</v>
      </c>
      <c r="O1232" s="25" t="str">
        <f t="shared" ca="1" si="0"/>
        <v>Secretaría de Educación del Distrito</v>
      </c>
      <c r="P1232" s="25" t="str">
        <f t="shared" si="2"/>
        <v/>
      </c>
      <c r="Q1232" s="25" t="str">
        <f ca="1">IFERROR(__xludf.DUMMYFUNCTION("""COMPUTED_VALUE"""),"Corto plazo")</f>
        <v>Corto plazo</v>
      </c>
      <c r="R1232" s="25"/>
      <c r="S1232" s="55"/>
      <c r="T1232" s="56"/>
      <c r="U1232" s="25"/>
      <c r="V1232" s="25"/>
      <c r="W1232" s="25"/>
      <c r="X1232" s="25"/>
      <c r="Y1232" s="25"/>
      <c r="Z1232" s="25"/>
    </row>
    <row r="1233" spans="1:26" ht="52.5" customHeight="1" x14ac:dyDescent="0.25">
      <c r="A1233" s="25" t="str">
        <f ca="1">IFERROR(__xludf.DUMMYFUNCTION("""COMPUTED_VALUE"""),"Educa31")</f>
        <v>Educa31</v>
      </c>
      <c r="B1233" s="25" t="str">
        <f ca="1">IFERROR(__xludf.DUMMYFUNCTION("""COMPUTED_VALUE"""),"Despachando: Secretaría de educación")</f>
        <v>Despachando: Secretaría de educación</v>
      </c>
      <c r="C1233" s="55">
        <f ca="1">IFERROR(__xludf.DUMMYFUNCTION("""COMPUTED_VALUE"""),44069)</f>
        <v>44069</v>
      </c>
      <c r="D1233" s="25" t="str">
        <f ca="1">IFERROR(__xludf.DUMMYFUNCTION("""COMPUTED_VALUE"""),"Educación")</f>
        <v>Educación</v>
      </c>
      <c r="E1233" s="25" t="str">
        <f ca="1">IFERROR(__xludf.DUMMYFUNCTION("""COMPUTED_VALUE"""),"Secretaría de Educación del Distrito")</f>
        <v>Secretaría de Educación del Distrito</v>
      </c>
      <c r="F1233" s="25" t="str">
        <f ca="1">IFERROR(__xludf.DUMMYFUNCTION("""COMPUTED_VALUE"""),"Fortalecer la franja de canal capital para niños")</f>
        <v>Fortalecer la franja de canal capital para niños</v>
      </c>
      <c r="G1233" s="25" t="str">
        <f ca="1">IFERROR(__xludf.DUMMYFUNCTION("""COMPUTED_VALUE"""),"99. Distrito")</f>
        <v>99. Distrito</v>
      </c>
      <c r="H1233" s="55">
        <f ca="1">IFERROR(__xludf.DUMMYFUNCTION("""COMPUTED_VALUE"""),44099)</f>
        <v>44099</v>
      </c>
      <c r="I1233" s="25"/>
      <c r="J1233" s="55" t="str">
        <f ca="1">IFERROR(__xludf.DUMMYFUNCTION("""COMPUTED_VALUE"""),"Alta")</f>
        <v>Alta</v>
      </c>
      <c r="K1233" s="25">
        <f ca="1">IFERROR(__xludf.DUMMYFUNCTION("""COMPUTED_VALUE"""),30)</f>
        <v>30</v>
      </c>
      <c r="L1233" s="62"/>
      <c r="M1233" s="25" t="str">
        <f ca="1">IFERROR(__xludf.DUMMYFUNCTION("""COMPUTED_VALUE"""),"A la fecha se han completado la producción de las 720 piezas audiovisuales con contenido educomunicativo (540 con actores y 180 videografías) que pretenden acompañar y mediar pedagógicamente los contenidos de Aprende en casa dirigidos a la audiencia infan"&amp;"til y a la comunidad educativa, la estrategia además, comprende el diseño y la ejecución de una estrategia digital con énfasis en la participación activa de los actores de la comunidad educativa de Bogotá. Se tiene previsto gestionar contenidos en inglés "&amp;"para TV en el marco del convenio de cooperación 2021, con el British Council.")</f>
        <v>A la fecha se han completado la producción de las 720 piezas audiovisuales con contenido educomunicativo (540 con actores y 180 videografías) que pretenden acompañar y mediar pedagógicamente los contenidos de Aprende en casa dirigidos a la audiencia infantil y a la comunidad educativa, la estrategia además, comprende el diseño y la ejecución de una estrategia digital con énfasis en la participación activa de los actores de la comunidad educativa de Bogotá. Se tiene previsto gestionar contenidos en inglés para TV en el marco del convenio de cooperación 2021, con el British Council.</v>
      </c>
      <c r="N1233" s="55">
        <f ca="1">IFERROR(__xludf.DUMMYFUNCTION("""COMPUTED_VALUE"""),44927)</f>
        <v>44927</v>
      </c>
      <c r="O1233" s="25" t="str">
        <f t="shared" ca="1" si="0"/>
        <v>Secretaría de Educación del Distrito</v>
      </c>
      <c r="P1233" s="25" t="str">
        <f t="shared" si="2"/>
        <v/>
      </c>
      <c r="Q1233" s="25" t="str">
        <f ca="1">IFERROR(__xludf.DUMMYFUNCTION("""COMPUTED_VALUE"""),"Corto plazo")</f>
        <v>Corto plazo</v>
      </c>
      <c r="R1233" s="25"/>
      <c r="S1233" s="55"/>
      <c r="T1233" s="56"/>
      <c r="U1233" s="25"/>
      <c r="V1233" s="25"/>
      <c r="W1233" s="25"/>
      <c r="X1233" s="25"/>
      <c r="Y1233" s="25"/>
      <c r="Z1233" s="25"/>
    </row>
    <row r="1234" spans="1:26" ht="52.5" customHeight="1" x14ac:dyDescent="0.25">
      <c r="A1234" s="25" t="str">
        <f ca="1">IFERROR(__xludf.DUMMYFUNCTION("""COMPUTED_VALUE"""),"Educa32")</f>
        <v>Educa32</v>
      </c>
      <c r="B1234" s="25" t="str">
        <f ca="1">IFERROR(__xludf.DUMMYFUNCTION("""COMPUTED_VALUE"""),"EMRE Estrategia de Pobreza ")</f>
        <v xml:space="preserve">EMRE Estrategia de Pobreza </v>
      </c>
      <c r="C1234" s="55" t="str">
        <f ca="1">IFERROR(__xludf.DUMMYFUNCTION("""COMPUTED_VALUE"""),"31/03/2021")</f>
        <v>31/03/2021</v>
      </c>
      <c r="D1234" s="25" t="str">
        <f ca="1">IFERROR(__xludf.DUMMYFUNCTION("""COMPUTED_VALUE"""),"Educación")</f>
        <v>Educación</v>
      </c>
      <c r="E1234" s="25" t="str">
        <f ca="1">IFERROR(__xludf.DUMMYFUNCTION("""COMPUTED_VALUE"""),"Secretaría de Educación del Distrito")</f>
        <v>Secretaría de Educación del Distrito</v>
      </c>
      <c r="F1234" s="25" t="str">
        <f ca="1">IFERROR(__xludf.DUMMYFUNCTION("""COMPUTED_VALUE"""),"Hacer un plan para ampliar la infraestructura en educación, para esto se debe claridad de la demanda actual y la posible demanda de los próximos años. ")</f>
        <v xml:space="preserve">Hacer un plan para ampliar la infraestructura en educación, para esto se debe claridad de la demanda actual y la posible demanda de los próximos años. </v>
      </c>
      <c r="G1234" s="25" t="str">
        <f ca="1">IFERROR(__xludf.DUMMYFUNCTION("""COMPUTED_VALUE"""),"99. Distrito")</f>
        <v>99. Distrito</v>
      </c>
      <c r="H1234" s="55">
        <f ca="1">IFERROR(__xludf.DUMMYFUNCTION("""COMPUTED_VALUE"""),44316)</f>
        <v>44316</v>
      </c>
      <c r="I1234" s="25"/>
      <c r="J1234" s="55" t="str">
        <f ca="1">IFERROR(__xludf.DUMMYFUNCTION("""COMPUTED_VALUE"""),"Alta")</f>
        <v>Alta</v>
      </c>
      <c r="K1234" s="25">
        <f ca="1">IFERROR(__xludf.DUMMYFUNCTION("""COMPUTED_VALUE"""),30)</f>
        <v>30</v>
      </c>
      <c r="L1234" s="62"/>
      <c r="M1234" s="25" t="str">
        <f ca="1">IFERROR(__xludf.DUMMYFUNCTION("""COMPUTED_VALUE"""),"Luego de hablar con la Secretaría de Educación se decidió que no era necesaria realizar esta inversión.")</f>
        <v>Luego de hablar con la Secretaría de Educación se decidió que no era necesaria realizar esta inversión.</v>
      </c>
      <c r="N1234" s="55">
        <f ca="1">IFERROR(__xludf.DUMMYFUNCTION("""COMPUTED_VALUE"""),44927)</f>
        <v>44927</v>
      </c>
      <c r="O1234" s="25" t="str">
        <f t="shared" ca="1" si="0"/>
        <v>Secretaría de Educación del Distrito</v>
      </c>
      <c r="P1234" s="25" t="str">
        <f t="shared" si="2"/>
        <v/>
      </c>
      <c r="Q1234" s="25" t="str">
        <f ca="1">IFERROR(__xludf.DUMMYFUNCTION("""COMPUTED_VALUE"""),"Corto plazo")</f>
        <v>Corto plazo</v>
      </c>
      <c r="R1234" s="25"/>
      <c r="S1234" s="55"/>
      <c r="T1234" s="56"/>
      <c r="U1234" s="25"/>
      <c r="V1234" s="25"/>
      <c r="W1234" s="25"/>
      <c r="X1234" s="25"/>
      <c r="Y1234" s="25"/>
      <c r="Z1234" s="25"/>
    </row>
    <row r="1235" spans="1:26" ht="52.5" customHeight="1" x14ac:dyDescent="0.25">
      <c r="A1235" s="25" t="str">
        <f ca="1">IFERROR(__xludf.DUMMYFUNCTION("""COMPUTED_VALUE"""),"Educa33")</f>
        <v>Educa33</v>
      </c>
      <c r="B1235" s="25" t="str">
        <f ca="1">IFERROR(__xludf.DUMMYFUNCTION("""COMPUTED_VALUE"""),"Despachando desde IDIPRON")</f>
        <v>Despachando desde IDIPRON</v>
      </c>
      <c r="C1235" s="55">
        <f ca="1">IFERROR(__xludf.DUMMYFUNCTION("""COMPUTED_VALUE"""),44155)</f>
        <v>44155</v>
      </c>
      <c r="D1235" s="25" t="str">
        <f ca="1">IFERROR(__xludf.DUMMYFUNCTION("""COMPUTED_VALUE"""),"Educación")</f>
        <v>Educación</v>
      </c>
      <c r="E1235" s="25" t="str">
        <f ca="1">IFERROR(__xludf.DUMMYFUNCTION("""COMPUTED_VALUE"""),"Secretaría de Educación del Distrito")</f>
        <v>Secretaría de Educación del Distrito</v>
      </c>
      <c r="F1235" s="25" t="str">
        <f ca="1">IFERROR(__xludf.DUMMYFUNCTION("""COMPUTED_VALUE"""),"Reunión balance de la estrategia RETO")</f>
        <v>Reunión balance de la estrategia RETO</v>
      </c>
      <c r="G1235" s="25" t="str">
        <f ca="1">IFERROR(__xludf.DUMMYFUNCTION("""COMPUTED_VALUE"""),"99. Distrito")</f>
        <v>99. Distrito</v>
      </c>
      <c r="H1235" s="55">
        <f ca="1">IFERROR(__xludf.DUMMYFUNCTION("""COMPUTED_VALUE"""),44185)</f>
        <v>44185</v>
      </c>
      <c r="I1235" s="25"/>
      <c r="J1235" s="55" t="str">
        <f ca="1">IFERROR(__xludf.DUMMYFUNCTION("""COMPUTED_VALUE"""),"Alta")</f>
        <v>Alta</v>
      </c>
      <c r="K1235" s="25">
        <f ca="1">IFERROR(__xludf.DUMMYFUNCTION("""COMPUTED_VALUE"""),30)</f>
        <v>30</v>
      </c>
      <c r="L1235" s="62"/>
      <c r="M1235" s="25" t="str">
        <f ca="1">IFERROR(__xludf.DUMMYFUNCTION("""COMPUTED_VALUE"""),"Se realizó reunión para consolidar informe del sector con relación a RETO: cifras y elementos cuantitativos de los diferentes proyectos con metas relacionadas, y un complemento de carácter cualitativo correspondiente. También se definirán conclusiones de "&amp;"la estrategia de lo desarrollado en 2020, y lo proyectado para 2021.")</f>
        <v>Se realizó reunión para consolidar informe del sector con relación a RETO: cifras y elementos cuantitativos de los diferentes proyectos con metas relacionadas, y un complemento de carácter cualitativo correspondiente. También se definirán conclusiones de la estrategia de lo desarrollado en 2020, y lo proyectado para 2021.</v>
      </c>
      <c r="N1235" s="55">
        <f ca="1">IFERROR(__xludf.DUMMYFUNCTION("""COMPUTED_VALUE"""),44927)</f>
        <v>44927</v>
      </c>
      <c r="O1235" s="25" t="str">
        <f t="shared" ca="1" si="0"/>
        <v>Secretaría de Educación del Distrito</v>
      </c>
      <c r="P1235" s="25" t="str">
        <f t="shared" si="2"/>
        <v/>
      </c>
      <c r="Q1235" s="25" t="str">
        <f ca="1">IFERROR(__xludf.DUMMYFUNCTION("""COMPUTED_VALUE"""),"Corto plazo")</f>
        <v>Corto plazo</v>
      </c>
      <c r="R1235" s="25"/>
      <c r="S1235" s="55"/>
      <c r="T1235" s="56"/>
      <c r="U1235" s="25"/>
      <c r="V1235" s="25"/>
      <c r="W1235" s="25"/>
      <c r="X1235" s="25"/>
      <c r="Y1235" s="25"/>
      <c r="Z1235" s="25"/>
    </row>
    <row r="1236" spans="1:26" ht="52.5" customHeight="1" x14ac:dyDescent="0.25">
      <c r="A1236" s="25" t="str">
        <f ca="1">IFERROR(__xludf.DUMMYFUNCTION("""COMPUTED_VALUE"""),"Educa34")</f>
        <v>Educa34</v>
      </c>
      <c r="B1236" s="25" t="str">
        <f ca="1">IFERROR(__xludf.DUMMYFUNCTION("""COMPUTED_VALUE"""),"Reunión presentación de resultados Misión de Educadores")</f>
        <v>Reunión presentación de resultados Misión de Educadores</v>
      </c>
      <c r="C1236" s="55">
        <f ca="1">IFERROR(__xludf.DUMMYFUNCTION("""COMPUTED_VALUE"""),44394)</f>
        <v>44394</v>
      </c>
      <c r="D1236" s="25" t="str">
        <f ca="1">IFERROR(__xludf.DUMMYFUNCTION("""COMPUTED_VALUE"""),"Educación")</f>
        <v>Educación</v>
      </c>
      <c r="E1236" s="25" t="str">
        <f ca="1">IFERROR(__xludf.DUMMYFUNCTION("""COMPUTED_VALUE"""),"Secretaría de Educación del Distrito")</f>
        <v>Secretaría de Educación del Distrito</v>
      </c>
      <c r="F1236" s="25" t="str">
        <f ca="1">IFERROR(__xludf.DUMMYFUNCTION("""COMPUTED_VALUE"""),"Presentar metodología para la presentación y retroalimentación de la fase 2 de misión de educadores que incluya pensadores globales y universidades. ")</f>
        <v xml:space="preserve">Presentar metodología para la presentación y retroalimentación de la fase 2 de misión de educadores que incluya pensadores globales y universidades. </v>
      </c>
      <c r="G1236" s="25" t="str">
        <f ca="1">IFERROR(__xludf.DUMMYFUNCTION("""COMPUTED_VALUE"""),"99. Distrito")</f>
        <v>99. Distrito</v>
      </c>
      <c r="H1236" s="55">
        <f ca="1">IFERROR(__xludf.DUMMYFUNCTION("""COMPUTED_VALUE"""),44424)</f>
        <v>44424</v>
      </c>
      <c r="I1236" s="25"/>
      <c r="J1236" s="55" t="str">
        <f ca="1">IFERROR(__xludf.DUMMYFUNCTION("""COMPUTED_VALUE"""),"Alta")</f>
        <v>Alta</v>
      </c>
      <c r="K1236" s="25">
        <f ca="1">IFERROR(__xludf.DUMMYFUNCTION("""COMPUTED_VALUE"""),30)</f>
        <v>30</v>
      </c>
      <c r="L1236" s="62">
        <f ca="1">IFERROR(__xludf.DUMMYFUNCTION("""COMPUTED_VALUE"""),44421)</f>
        <v>44421</v>
      </c>
      <c r="M1236" s="25" t="str">
        <f ca="1">IFERROR(__xludf.DUMMYFUNCTION("""COMPUTED_VALUE"""),"La metodología general fue presentada a la alcaldesa en reunión en el mes de julio. El plan detallado será aprobado el 27 de agosto por la SED.")</f>
        <v>La metodología general fue presentada a la alcaldesa en reunión en el mes de julio. El plan detallado será aprobado el 27 de agosto por la SED.</v>
      </c>
      <c r="N1236" s="55">
        <f ca="1">IFERROR(__xludf.DUMMYFUNCTION("""COMPUTED_VALUE"""),44927)</f>
        <v>44927</v>
      </c>
      <c r="O1236" s="25" t="str">
        <f t="shared" ca="1" si="0"/>
        <v>Secretaría de Educación del Distrito</v>
      </c>
      <c r="P1236" s="25" t="str">
        <f t="shared" si="2"/>
        <v/>
      </c>
      <c r="Q1236" s="25" t="str">
        <f ca="1">IFERROR(__xludf.DUMMYFUNCTION("""COMPUTED_VALUE"""),"Corto plazo")</f>
        <v>Corto plazo</v>
      </c>
      <c r="R1236" s="25"/>
      <c r="S1236" s="55"/>
      <c r="T1236" s="56"/>
      <c r="U1236" s="25"/>
      <c r="V1236" s="25"/>
      <c r="W1236" s="25"/>
      <c r="X1236" s="25"/>
      <c r="Y1236" s="25"/>
      <c r="Z1236" s="25"/>
    </row>
    <row r="1237" spans="1:26" ht="52.5" customHeight="1" x14ac:dyDescent="0.25">
      <c r="A1237" s="25" t="str">
        <f ca="1">IFERROR(__xludf.DUMMYFUNCTION("""COMPUTED_VALUE"""),"Educa35")</f>
        <v>Educa35</v>
      </c>
      <c r="B1237" s="25" t="str">
        <f ca="1">IFERROR(__xludf.DUMMYFUNCTION("""COMPUTED_VALUE"""),"Reunión presentación de resultados Misión de Educadores")</f>
        <v>Reunión presentación de resultados Misión de Educadores</v>
      </c>
      <c r="C1237" s="55">
        <f ca="1">IFERROR(__xludf.DUMMYFUNCTION("""COMPUTED_VALUE"""),44394)</f>
        <v>44394</v>
      </c>
      <c r="D1237" s="25" t="str">
        <f ca="1">IFERROR(__xludf.DUMMYFUNCTION("""COMPUTED_VALUE"""),"Educación")</f>
        <v>Educación</v>
      </c>
      <c r="E1237" s="25" t="str">
        <f ca="1">IFERROR(__xludf.DUMMYFUNCTION("""COMPUTED_VALUE"""),"Secretaría de Educación del Distrito")</f>
        <v>Secretaría de Educación del Distrito</v>
      </c>
      <c r="F1237" s="25" t="str">
        <f ca="1">IFERROR(__xludf.DUMMYFUNCTION("""COMPUTED_VALUE"""),"Presentar metodología para la presentación y retroalimentación de la fase 2 de misión de educadores que incluya pensadores globales y universidades. ")</f>
        <v xml:space="preserve">Presentar metodología para la presentación y retroalimentación de la fase 2 de misión de educadores que incluya pensadores globales y universidades. </v>
      </c>
      <c r="G1237" s="25" t="str">
        <f ca="1">IFERROR(__xludf.DUMMYFUNCTION("""COMPUTED_VALUE"""),"99. Distrito")</f>
        <v>99. Distrito</v>
      </c>
      <c r="H1237" s="55">
        <f ca="1">IFERROR(__xludf.DUMMYFUNCTION("""COMPUTED_VALUE"""),44424)</f>
        <v>44424</v>
      </c>
      <c r="I1237" s="25"/>
      <c r="J1237" s="55" t="str">
        <f ca="1">IFERROR(__xludf.DUMMYFUNCTION("""COMPUTED_VALUE"""),"Alta")</f>
        <v>Alta</v>
      </c>
      <c r="K1237" s="25">
        <f ca="1">IFERROR(__xludf.DUMMYFUNCTION("""COMPUTED_VALUE"""),30)</f>
        <v>30</v>
      </c>
      <c r="L1237" s="62">
        <f ca="1">IFERROR(__xludf.DUMMYFUNCTION("""COMPUTED_VALUE"""),44784)</f>
        <v>44784</v>
      </c>
      <c r="M1237" s="25" t="str">
        <f ca="1">IFERROR(__xludf.DUMMYFUNCTION("""COMPUTED_VALUE"""),"El documento de diagnóstico ya fue retroalimentado por SDP. Dieron concepto positivo y se están realizando los ajustes pertinentes. Se radicará nuevamente la semana del 22 de agosto de 2022.")</f>
        <v>El documento de diagnóstico ya fue retroalimentado por SDP. Dieron concepto positivo y se están realizando los ajustes pertinentes. Se radicará nuevamente la semana del 22 de agosto de 2022.</v>
      </c>
      <c r="N1237" s="55">
        <f ca="1">IFERROR(__xludf.DUMMYFUNCTION("""COMPUTED_VALUE"""),44927)</f>
        <v>44927</v>
      </c>
      <c r="O1237" s="25" t="str">
        <f t="shared" ca="1" si="0"/>
        <v>Secretaría de Educación del Distrito</v>
      </c>
      <c r="P1237" s="25" t="str">
        <f t="shared" si="2"/>
        <v/>
      </c>
      <c r="Q1237" s="25" t="str">
        <f ca="1">IFERROR(__xludf.DUMMYFUNCTION("""COMPUTED_VALUE"""),"Corto plazo")</f>
        <v>Corto plazo</v>
      </c>
      <c r="R1237" s="25"/>
      <c r="S1237" s="55"/>
      <c r="T1237" s="56"/>
      <c r="U1237" s="25"/>
      <c r="V1237" s="25"/>
      <c r="W1237" s="25"/>
      <c r="X1237" s="25"/>
      <c r="Y1237" s="25"/>
      <c r="Z1237" s="25"/>
    </row>
    <row r="1238" spans="1:26" ht="52.5" customHeight="1" x14ac:dyDescent="0.25">
      <c r="A1238" s="25" t="str">
        <f ca="1">IFERROR(__xludf.DUMMYFUNCTION("""COMPUTED_VALUE"""),"Educa36")</f>
        <v>Educa36</v>
      </c>
      <c r="B1238" s="25" t="str">
        <f ca="1">IFERROR(__xludf.DUMMYFUNCTION("""COMPUTED_VALUE"""),"Reunión presentación de resultados Misión de Educadores")</f>
        <v>Reunión presentación de resultados Misión de Educadores</v>
      </c>
      <c r="C1238" s="55">
        <f ca="1">IFERROR(__xludf.DUMMYFUNCTION("""COMPUTED_VALUE"""),44394)</f>
        <v>44394</v>
      </c>
      <c r="D1238" s="25" t="str">
        <f ca="1">IFERROR(__xludf.DUMMYFUNCTION("""COMPUTED_VALUE"""),"Educación")</f>
        <v>Educación</v>
      </c>
      <c r="E1238" s="25" t="str">
        <f ca="1">IFERROR(__xludf.DUMMYFUNCTION("""COMPUTED_VALUE"""),"Secretaría de Educación del Distrito")</f>
        <v>Secretaría de Educación del Distrito</v>
      </c>
      <c r="F1238" s="25" t="str">
        <f ca="1">IFERROR(__xludf.DUMMYFUNCTION("""COMPUTED_VALUE"""),"Invitar a los miembros de misión educadores a las reuniones del POT y del Sistema Distrital del Cuidado para articular la infraestructura con los equipamientos y servicios que brinda la ciudad de manera transversal en todos los grupos poblacionales y etar"&amp;"ios de Bogotá. ")</f>
        <v xml:space="preserve">Invitar a los miembros de misión educadores a las reuniones del POT y del Sistema Distrital del Cuidado para articular la infraestructura con los equipamientos y servicios que brinda la ciudad de manera transversal en todos los grupos poblacionales y etarios de Bogotá. </v>
      </c>
      <c r="G1238" s="25" t="str">
        <f ca="1">IFERROR(__xludf.DUMMYFUNCTION("""COMPUTED_VALUE"""),"99. Distrito")</f>
        <v>99. Distrito</v>
      </c>
      <c r="H1238" s="55">
        <f ca="1">IFERROR(__xludf.DUMMYFUNCTION("""COMPUTED_VALUE"""),44424)</f>
        <v>44424</v>
      </c>
      <c r="I1238" s="25"/>
      <c r="J1238" s="55" t="str">
        <f ca="1">IFERROR(__xludf.DUMMYFUNCTION("""COMPUTED_VALUE"""),"Alta")</f>
        <v>Alta</v>
      </c>
      <c r="K1238" s="25">
        <f ca="1">IFERROR(__xludf.DUMMYFUNCTION("""COMPUTED_VALUE"""),30)</f>
        <v>30</v>
      </c>
      <c r="L1238" s="62">
        <f ca="1">IFERROR(__xludf.DUMMYFUNCTION("""COMPUTED_VALUE"""),44421)</f>
        <v>44421</v>
      </c>
      <c r="M1238" s="25" t="str">
        <f ca="1">IFERROR(__xludf.DUMMYFUNCTION("""COMPUTED_VALUE"""),"Se está programando agenda en coordinación con Alcaldía")</f>
        <v>Se está programando agenda en coordinación con Alcaldía</v>
      </c>
      <c r="N1238" s="55">
        <f ca="1">IFERROR(__xludf.DUMMYFUNCTION("""COMPUTED_VALUE"""),44927)</f>
        <v>44927</v>
      </c>
      <c r="O1238" s="25" t="str">
        <f t="shared" ca="1" si="0"/>
        <v>Secretaría de Educación del Distrito</v>
      </c>
      <c r="P1238" s="25" t="str">
        <f t="shared" si="2"/>
        <v/>
      </c>
      <c r="Q1238" s="25" t="str">
        <f ca="1">IFERROR(__xludf.DUMMYFUNCTION("""COMPUTED_VALUE"""),"Corto plazo")</f>
        <v>Corto plazo</v>
      </c>
      <c r="R1238" s="25"/>
      <c r="S1238" s="55"/>
      <c r="T1238" s="56"/>
      <c r="U1238" s="25"/>
      <c r="V1238" s="25"/>
      <c r="W1238" s="25"/>
      <c r="X1238" s="25"/>
      <c r="Y1238" s="25"/>
      <c r="Z1238" s="25"/>
    </row>
    <row r="1239" spans="1:26" ht="52.5" customHeight="1" x14ac:dyDescent="0.25">
      <c r="A1239" s="25" t="str">
        <f ca="1">IFERROR(__xludf.DUMMYFUNCTION("""COMPUTED_VALUE"""),"Educa37")</f>
        <v>Educa37</v>
      </c>
      <c r="B1239" s="25" t="str">
        <f ca="1">IFERROR(__xludf.DUMMYFUNCTION("""COMPUTED_VALUE"""),"Reunión presentación de resultados Misión de Educadores")</f>
        <v>Reunión presentación de resultados Misión de Educadores</v>
      </c>
      <c r="C1239" s="55">
        <f ca="1">IFERROR(__xludf.DUMMYFUNCTION("""COMPUTED_VALUE"""),44394)</f>
        <v>44394</v>
      </c>
      <c r="D1239" s="25" t="str">
        <f ca="1">IFERROR(__xludf.DUMMYFUNCTION("""COMPUTED_VALUE"""),"Educación")</f>
        <v>Educación</v>
      </c>
      <c r="E1239" s="25" t="str">
        <f ca="1">IFERROR(__xludf.DUMMYFUNCTION("""COMPUTED_VALUE"""),"Secretaría de Educación del Distrito")</f>
        <v>Secretaría de Educación del Distrito</v>
      </c>
      <c r="F1239" s="25" t="str">
        <f ca="1">IFERROR(__xludf.DUMMYFUNCTION("""COMPUTED_VALUE"""),"Revisar si la prueba Ser Ciudadanía pueda realizarse en grado 8vo en vez de  9vo, teniendo en cuenta el desafío que presenta en el sistema educativo este curso donde se pierde alrededor del 40% de sus estudiantes a nivel nacional. ")</f>
        <v xml:space="preserve">Revisar si la prueba Ser Ciudadanía pueda realizarse en grado 8vo en vez de  9vo, teniendo en cuenta el desafío que presenta en el sistema educativo este curso donde se pierde alrededor del 40% de sus estudiantes a nivel nacional. </v>
      </c>
      <c r="G1239" s="25" t="str">
        <f ca="1">IFERROR(__xludf.DUMMYFUNCTION("""COMPUTED_VALUE"""),"99. Distrito")</f>
        <v>99. Distrito</v>
      </c>
      <c r="H1239" s="55">
        <f ca="1">IFERROR(__xludf.DUMMYFUNCTION("""COMPUTED_VALUE"""),44424)</f>
        <v>44424</v>
      </c>
      <c r="I1239" s="25"/>
      <c r="J1239" s="55" t="str">
        <f ca="1">IFERROR(__xludf.DUMMYFUNCTION("""COMPUTED_VALUE"""),"Alta")</f>
        <v>Alta</v>
      </c>
      <c r="K1239" s="25">
        <f ca="1">IFERROR(__xludf.DUMMYFUNCTION("""COMPUTED_VALUE"""),30)</f>
        <v>30</v>
      </c>
      <c r="L1239" s="62">
        <f ca="1">IFERROR(__xludf.DUMMYFUNCTION("""COMPUTED_VALUE"""),44740)</f>
        <v>44740</v>
      </c>
      <c r="M1239" s="25" t="str">
        <f ca="1">IFERROR(__xludf.DUMMYFUNCTION("""COMPUTED_VALUE"""),"En relación con esta tarea es importante precisar que las Pruebas Ser actualmente evalúan la apreciación y el desempeño en artes de los estudiantes y que el Módulo de Ciudadanía se ha aplicado en 2017, 2019 y 2021. Es importante profundizar en la pregunta"&amp;" y aclarar si el 40% de estudiantes que """"pierde"""" en 8° se refiere a un área en particular.
Ahora bien, la Universidad Nacional entregó los resultados del Módulo de Ciudadanía el 31 de marzo de 2022. Con estos resultados se realizarán algunos anális"&amp;"is que permitirán profundizar, revisar y determinar la viabilidad de aplicar esta prueba en grado 8°, teniendo en cuenta que este módulo está diseñado para estudiantes de 9° y esto implicará un diseño adicional.
Actualmente, se dispuso de parte del equip"&amp;"o de la Dirección de Evaluación para que inicien dichos análisis y contar con una decisión informada en el cuarto trimestre.")</f>
        <v>En relación con esta tarea es importante precisar que las Pruebas Ser actualmente evalúan la apreciación y el desempeño en artes de los estudiantes y que el Módulo de Ciudadanía se ha aplicado en 2017, 2019 y 2021. Es importante profundizar en la pregunta y aclarar si el 40% de estudiantes que ""pierde"" en 8° se refiere a un área en particular.
Ahora bien, la Universidad Nacional entregó los resultados del Módulo de Ciudadanía el 31 de marzo de 2022. Con estos resultados se realizarán algunos análisis que permitirán profundizar, revisar y determinar la viabilidad de aplicar esta prueba en grado 8°, teniendo en cuenta que este módulo está diseñado para estudiantes de 9° y esto implicará un diseño adicional.
Actualmente, se dispuso de parte del equipo de la Dirección de Evaluación para que inicien dichos análisis y contar con una decisión informada en el cuarto trimestre.</v>
      </c>
      <c r="N1239" s="55">
        <f ca="1">IFERROR(__xludf.DUMMYFUNCTION("""COMPUTED_VALUE"""),44927)</f>
        <v>44927</v>
      </c>
      <c r="O1239" s="25" t="str">
        <f t="shared" ca="1" si="0"/>
        <v>Secretaría de Educación del Distrito</v>
      </c>
      <c r="P1239" s="25" t="str">
        <f t="shared" si="2"/>
        <v/>
      </c>
      <c r="Q1239" s="25" t="str">
        <f ca="1">IFERROR(__xludf.DUMMYFUNCTION("""COMPUTED_VALUE"""),"Corto plazo")</f>
        <v>Corto plazo</v>
      </c>
      <c r="R1239" s="25"/>
      <c r="S1239" s="55"/>
      <c r="T1239" s="56"/>
      <c r="U1239" s="25"/>
      <c r="V1239" s="25"/>
      <c r="W1239" s="25"/>
      <c r="X1239" s="25"/>
      <c r="Y1239" s="25"/>
      <c r="Z1239" s="25"/>
    </row>
    <row r="1240" spans="1:26" ht="52.5" customHeight="1" x14ac:dyDescent="0.25">
      <c r="A1240" s="25" t="str">
        <f ca="1">IFERROR(__xludf.DUMMYFUNCTION("""COMPUTED_VALUE"""),"Educa38")</f>
        <v>Educa38</v>
      </c>
      <c r="B1240" s="25" t="str">
        <f ca="1">IFERROR(__xludf.DUMMYFUNCTION("""COMPUTED_VALUE"""),"Reunión presentación de resultados Misión de Educadores")</f>
        <v>Reunión presentación de resultados Misión de Educadores</v>
      </c>
      <c r="C1240" s="55">
        <f ca="1">IFERROR(__xludf.DUMMYFUNCTION("""COMPUTED_VALUE"""),44394)</f>
        <v>44394</v>
      </c>
      <c r="D1240" s="25" t="str">
        <f ca="1">IFERROR(__xludf.DUMMYFUNCTION("""COMPUTED_VALUE"""),"Educación")</f>
        <v>Educación</v>
      </c>
      <c r="E1240" s="25" t="str">
        <f ca="1">IFERROR(__xludf.DUMMYFUNCTION("""COMPUTED_VALUE"""),"Secretaría de Educación del Distrito")</f>
        <v>Secretaría de Educación del Distrito</v>
      </c>
      <c r="F1240" s="25" t="str">
        <f ca="1">IFERROR(__xludf.DUMMYFUNCTION("""COMPUTED_VALUE"""),"Revisar que la jornada educativa 2.0 incluya más y mejor presencialidad en los 3 espacios (colegio, ciudad y virtualidad) donde se acceda a formación de calidad y se contemplen los nuevos desafíos que ya no es el  únicamente el bilingüismo sino también ot"&amp;"ros idiomas como el chino/mandarín y la programación o habilidades digitales.  Es importante aprovechar la estructura virtual y digital para dar mejor uso a los recursos y calidad educativa. ")</f>
        <v xml:space="preserve">Revisar que la jornada educativa 2.0 incluya más y mejor presencialidad en los 3 espacios (colegio, ciudad y virtualidad) donde se acceda a formación de calidad y se contemplen los nuevos desafíos que ya no es el  únicamente el bilingüismo sino también otros idiomas como el chino/mandarín y la programación o habilidades digitales.  Es importante aprovechar la estructura virtual y digital para dar mejor uso a los recursos y calidad educativa. </v>
      </c>
      <c r="G1240" s="25" t="str">
        <f ca="1">IFERROR(__xludf.DUMMYFUNCTION("""COMPUTED_VALUE"""),"99. Distrito")</f>
        <v>99. Distrito</v>
      </c>
      <c r="H1240" s="55">
        <f ca="1">IFERROR(__xludf.DUMMYFUNCTION("""COMPUTED_VALUE"""),44424)</f>
        <v>44424</v>
      </c>
      <c r="I1240" s="25"/>
      <c r="J1240" s="55" t="str">
        <f ca="1">IFERROR(__xludf.DUMMYFUNCTION("""COMPUTED_VALUE"""),"Alta")</f>
        <v>Alta</v>
      </c>
      <c r="K1240" s="25">
        <f ca="1">IFERROR(__xludf.DUMMYFUNCTION("""COMPUTED_VALUE"""),30)</f>
        <v>30</v>
      </c>
      <c r="L1240" s="62">
        <f ca="1">IFERROR(__xludf.DUMMYFUNCTION("""COMPUTED_VALUE"""),44419)</f>
        <v>44419</v>
      </c>
      <c r="M1240" s="25" t="str">
        <f ca="1">IFERROR(__xludf.DUMMYFUNCTION("""COMPUTED_VALUE"""),"A corte 30 de julio de 2021, la Jornada Completa cuenta con 120.657 estudiantes de colegios públicos beneficiados, con mínimo tres atenciones semanales y mínimo una atención semanal en las líneas pedagógicas de: deporte escolar, arte y cultura y patrimoni"&amp;"o; ciencia, tecnología y pensamiento lógico; oralidad, lectura y escritura y ciudadanía y convivencia; esto corresponde al avance más alto en el cumplimiento de la meta. Así mismo, se reporta la operación del 100% de convenios interadministrativos y de as"&amp;"ociación para la atención de estudiantes, también en el marco de la estrategia de Reapertura Gradual Progresiva y Segura (RGP-S). Actualmente desde la Dirección de Educación Preescolar y Básica se están diseñando estrategias para fortalecer la tercera ate"&amp;"nción, a través del uso de ambientes virtuales de aprendizaje, que impacten a su vez el fortalecimiento de los aprendizajes esenciales de los estudiantes (lenguaje, matemáticas y ciencias naturales).")</f>
        <v>A corte 30 de julio de 2021, la Jornada Completa cuenta con 120.657 estudiantes de colegios públicos beneficiados, con mínimo tres atenciones semanales y mínimo una atención semanal en las líneas pedagógicas de: deporte escolar, arte y cultura y patrimonio; ciencia, tecnología y pensamiento lógico; oralidad, lectura y escritura y ciudadanía y convivencia; esto corresponde al avance más alto en el cumplimiento de la meta. Así mismo, se reporta la operación del 100% de convenios interadministrativos y de asociación para la atención de estudiantes, también en el marco de la estrategia de Reapertura Gradual Progresiva y Segura (RGP-S). Actualmente desde la Dirección de Educación Preescolar y Básica se están diseñando estrategias para fortalecer la tercera atención, a través del uso de ambientes virtuales de aprendizaje, que impacten a su vez el fortalecimiento de los aprendizajes esenciales de los estudiantes (lenguaje, matemáticas y ciencias naturales).</v>
      </c>
      <c r="N1240" s="55">
        <f ca="1">IFERROR(__xludf.DUMMYFUNCTION("""COMPUTED_VALUE"""),44927)</f>
        <v>44927</v>
      </c>
      <c r="O1240" s="25" t="str">
        <f t="shared" ca="1" si="0"/>
        <v>Secretaría de Educación del Distrito</v>
      </c>
      <c r="P1240" s="25" t="str">
        <f t="shared" si="2"/>
        <v/>
      </c>
      <c r="Q1240" s="25" t="str">
        <f ca="1">IFERROR(__xludf.DUMMYFUNCTION("""COMPUTED_VALUE"""),"Corto plazo")</f>
        <v>Corto plazo</v>
      </c>
      <c r="R1240" s="25"/>
      <c r="S1240" s="55"/>
      <c r="T1240" s="56"/>
      <c r="U1240" s="25"/>
      <c r="V1240" s="25"/>
      <c r="W1240" s="25"/>
      <c r="X1240" s="25"/>
      <c r="Y1240" s="25"/>
      <c r="Z1240" s="25"/>
    </row>
    <row r="1241" spans="1:26" ht="52.5" customHeight="1" x14ac:dyDescent="0.25">
      <c r="A1241" s="25" t="str">
        <f ca="1">IFERROR(__xludf.DUMMYFUNCTION("""COMPUTED_VALUE"""),"Educa39")</f>
        <v>Educa39</v>
      </c>
      <c r="B1241" s="25" t="str">
        <f ca="1">IFERROR(__xludf.DUMMYFUNCTION("""COMPUTED_VALUE"""),"Reunión presentación de resultados Misión de Educadores")</f>
        <v>Reunión presentación de resultados Misión de Educadores</v>
      </c>
      <c r="C1241" s="55">
        <f ca="1">IFERROR(__xludf.DUMMYFUNCTION("""COMPUTED_VALUE"""),44394)</f>
        <v>44394</v>
      </c>
      <c r="D1241" s="25" t="str">
        <f ca="1">IFERROR(__xludf.DUMMYFUNCTION("""COMPUTED_VALUE"""),"Educación")</f>
        <v>Educación</v>
      </c>
      <c r="E1241" s="25" t="str">
        <f ca="1">IFERROR(__xludf.DUMMYFUNCTION("""COMPUTED_VALUE"""),"Secretaría de Educación del Distrito")</f>
        <v>Secretaría de Educación del Distrito</v>
      </c>
      <c r="F1241" s="25" t="str">
        <f ca="1">IFERROR(__xludf.DUMMYFUNCTION("""COMPUTED_VALUE"""),"Realizar el lanzamiento a la ciudad del informe de Misión de Educadores el 12 de agosto con las recomendaciones en materia de educación y a su vez se entregue un plan de trabajo donde se dé seguimiento a las mismas. ")</f>
        <v xml:space="preserve">Realizar el lanzamiento a la ciudad del informe de Misión de Educadores el 12 de agosto con las recomendaciones en materia de educación y a su vez se entregue un plan de trabajo donde se dé seguimiento a las mismas. </v>
      </c>
      <c r="G1241" s="25" t="str">
        <f ca="1">IFERROR(__xludf.DUMMYFUNCTION("""COMPUTED_VALUE"""),"99. Distrito")</f>
        <v>99. Distrito</v>
      </c>
      <c r="H1241" s="55">
        <f ca="1">IFERROR(__xludf.DUMMYFUNCTION("""COMPUTED_VALUE"""),44420)</f>
        <v>44420</v>
      </c>
      <c r="I1241" s="25"/>
      <c r="J1241" s="55" t="str">
        <f ca="1">IFERROR(__xludf.DUMMYFUNCTION("""COMPUTED_VALUE"""),"Alta")</f>
        <v>Alta</v>
      </c>
      <c r="K1241" s="25">
        <f ca="1">IFERROR(__xludf.DUMMYFUNCTION("""COMPUTED_VALUE"""),26)</f>
        <v>26</v>
      </c>
      <c r="L1241" s="62">
        <f ca="1">IFERROR(__xludf.DUMMYFUNCTION("""COMPUTED_VALUE"""),44421)</f>
        <v>44421</v>
      </c>
      <c r="M1241" s="25" t="str">
        <f ca="1">IFERROR(__xludf.DUMMYFUNCTION("""COMPUTED_VALUE"""),"El evento se realizó el pasado jueves 12 de agosto con presencia de la Alcaldesa y la Secretaria.")</f>
        <v>El evento se realizó el pasado jueves 12 de agosto con presencia de la Alcaldesa y la Secretaria.</v>
      </c>
      <c r="N1241" s="55">
        <f ca="1">IFERROR(__xludf.DUMMYFUNCTION("""COMPUTED_VALUE"""),44927)</f>
        <v>44927</v>
      </c>
      <c r="O1241" s="25" t="str">
        <f t="shared" ca="1" si="0"/>
        <v>Secretaría de Educación del Distrito</v>
      </c>
      <c r="P1241" s="25" t="str">
        <f t="shared" si="2"/>
        <v/>
      </c>
      <c r="Q1241" s="25" t="str">
        <f ca="1">IFERROR(__xludf.DUMMYFUNCTION("""COMPUTED_VALUE"""),"Corto plazo")</f>
        <v>Corto plazo</v>
      </c>
      <c r="R1241" s="25"/>
      <c r="S1241" s="55"/>
      <c r="T1241" s="56"/>
      <c r="U1241" s="25"/>
      <c r="V1241" s="25"/>
      <c r="W1241" s="25"/>
      <c r="X1241" s="25"/>
      <c r="Y1241" s="25"/>
      <c r="Z1241" s="25"/>
    </row>
    <row r="1242" spans="1:26" ht="52.5" customHeight="1" x14ac:dyDescent="0.25">
      <c r="A1242" s="25" t="str">
        <f ca="1">IFERROR(__xludf.DUMMYFUNCTION("""COMPUTED_VALUE"""),"Educa40")</f>
        <v>Educa40</v>
      </c>
      <c r="B1242" s="25" t="str">
        <f ca="1">IFERROR(__xludf.DUMMYFUNCTION("""COMPUTED_VALUE"""),"Reunión presentación de resultados Misión de Educadores")</f>
        <v>Reunión presentación de resultados Misión de Educadores</v>
      </c>
      <c r="C1242" s="55">
        <f ca="1">IFERROR(__xludf.DUMMYFUNCTION("""COMPUTED_VALUE"""),44394)</f>
        <v>44394</v>
      </c>
      <c r="D1242" s="25" t="str">
        <f ca="1">IFERROR(__xludf.DUMMYFUNCTION("""COMPUTED_VALUE"""),"Educación")</f>
        <v>Educación</v>
      </c>
      <c r="E1242" s="25" t="str">
        <f ca="1">IFERROR(__xludf.DUMMYFUNCTION("""COMPUTED_VALUE"""),"Secretaría de Educación del Distrito")</f>
        <v>Secretaría de Educación del Distrito</v>
      </c>
      <c r="F1242" s="25" t="str">
        <f ca="1">IFERROR(__xludf.DUMMYFUNCTION("""COMPUTED_VALUE"""),"Articular los resultados de la Misión de Educadores con la oferta del Sistema Distrital de Cuidado. ")</f>
        <v xml:space="preserve">Articular los resultados de la Misión de Educadores con la oferta del Sistema Distrital de Cuidado. </v>
      </c>
      <c r="G1242" s="25" t="str">
        <f ca="1">IFERROR(__xludf.DUMMYFUNCTION("""COMPUTED_VALUE"""),"99. Distrito")</f>
        <v>99. Distrito</v>
      </c>
      <c r="H1242" s="55">
        <f ca="1">IFERROR(__xludf.DUMMYFUNCTION("""COMPUTED_VALUE"""),44424)</f>
        <v>44424</v>
      </c>
      <c r="I1242" s="25"/>
      <c r="J1242" s="55" t="str">
        <f ca="1">IFERROR(__xludf.DUMMYFUNCTION("""COMPUTED_VALUE"""),"Alta")</f>
        <v>Alta</v>
      </c>
      <c r="K1242" s="25">
        <f ca="1">IFERROR(__xludf.DUMMYFUNCTION("""COMPUTED_VALUE"""),30)</f>
        <v>30</v>
      </c>
      <c r="L1242" s="62"/>
      <c r="M1242" s="25"/>
      <c r="N1242" s="55">
        <f ca="1">IFERROR(__xludf.DUMMYFUNCTION("""COMPUTED_VALUE"""),44927)</f>
        <v>44927</v>
      </c>
      <c r="O1242" s="25" t="str">
        <f t="shared" ca="1" si="0"/>
        <v>Secretaría de Educación del Distrito</v>
      </c>
      <c r="P1242" s="25" t="str">
        <f t="shared" si="2"/>
        <v/>
      </c>
      <c r="Q1242" s="25" t="str">
        <f ca="1">IFERROR(__xludf.DUMMYFUNCTION("""COMPUTED_VALUE"""),"Corto plazo")</f>
        <v>Corto plazo</v>
      </c>
      <c r="R1242" s="25"/>
      <c r="S1242" s="55"/>
      <c r="T1242" s="56"/>
      <c r="U1242" s="25"/>
      <c r="V1242" s="25"/>
      <c r="W1242" s="25"/>
      <c r="X1242" s="25"/>
      <c r="Y1242" s="25"/>
      <c r="Z1242" s="25"/>
    </row>
    <row r="1243" spans="1:26" ht="52.5" customHeight="1" x14ac:dyDescent="0.25">
      <c r="A1243" s="25" t="str">
        <f ca="1">IFERROR(__xludf.DUMMYFUNCTION("""COMPUTED_VALUE"""),"Educa41")</f>
        <v>Educa41</v>
      </c>
      <c r="B1243" s="25" t="str">
        <f ca="1">IFERROR(__xludf.DUMMYFUNCTION("""COMPUTED_VALUE"""),"Reunión presentación de resultados Misión de Educadores")</f>
        <v>Reunión presentación de resultados Misión de Educadores</v>
      </c>
      <c r="C1243" s="55">
        <f ca="1">IFERROR(__xludf.DUMMYFUNCTION("""COMPUTED_VALUE"""),44394)</f>
        <v>44394</v>
      </c>
      <c r="D1243" s="25" t="str">
        <f ca="1">IFERROR(__xludf.DUMMYFUNCTION("""COMPUTED_VALUE"""),"Educación")</f>
        <v>Educación</v>
      </c>
      <c r="E1243" s="25" t="str">
        <f ca="1">IFERROR(__xludf.DUMMYFUNCTION("""COMPUTED_VALUE"""),"Secretaría de Educación del Distrito")</f>
        <v>Secretaría de Educación del Distrito</v>
      </c>
      <c r="F1243" s="25" t="str">
        <f ca="1">IFERROR(__xludf.DUMMYFUNCTION("""COMPUTED_VALUE"""),"Verificar plan de ejecución de la Misión de educadores")</f>
        <v>Verificar plan de ejecución de la Misión de educadores</v>
      </c>
      <c r="G1243" s="25" t="str">
        <f ca="1">IFERROR(__xludf.DUMMYFUNCTION("""COMPUTED_VALUE"""),"99. Distrito")</f>
        <v>99. Distrito</v>
      </c>
      <c r="H1243" s="55">
        <f ca="1">IFERROR(__xludf.DUMMYFUNCTION("""COMPUTED_VALUE"""),44424)</f>
        <v>44424</v>
      </c>
      <c r="I1243" s="25"/>
      <c r="J1243" s="55" t="str">
        <f ca="1">IFERROR(__xludf.DUMMYFUNCTION("""COMPUTED_VALUE"""),"Alta")</f>
        <v>Alta</v>
      </c>
      <c r="K1243" s="25">
        <f ca="1">IFERROR(__xludf.DUMMYFUNCTION("""COMPUTED_VALUE"""),30)</f>
        <v>30</v>
      </c>
      <c r="L1243" s="62">
        <f ca="1">IFERROR(__xludf.DUMMYFUNCTION("""COMPUTED_VALUE"""),44784)</f>
        <v>44784</v>
      </c>
      <c r="M1243" s="25" t="str">
        <f ca="1">IFERROR(__xludf.DUMMYFUNCTION("""COMPUTED_VALUE"""),"El proceso de formulación de CONPES surge de las recomendaciones de la misión, de manera que con la entrada en vigencia de la política educativa se podrá verificar el plan de ejecución de la misma.")</f>
        <v>El proceso de formulación de CONPES surge de las recomendaciones de la misión, de manera que con la entrada en vigencia de la política educativa se podrá verificar el plan de ejecución de la misma.</v>
      </c>
      <c r="N1243" s="55">
        <f ca="1">IFERROR(__xludf.DUMMYFUNCTION("""COMPUTED_VALUE"""),44927)</f>
        <v>44927</v>
      </c>
      <c r="O1243" s="25" t="str">
        <f t="shared" ca="1" si="0"/>
        <v>Secretaría de Educación del Distrito</v>
      </c>
      <c r="P1243" s="25" t="str">
        <f t="shared" si="2"/>
        <v/>
      </c>
      <c r="Q1243" s="25" t="str">
        <f ca="1">IFERROR(__xludf.DUMMYFUNCTION("""COMPUTED_VALUE"""),"Corto plazo")</f>
        <v>Corto plazo</v>
      </c>
      <c r="R1243" s="25"/>
      <c r="S1243" s="55"/>
      <c r="T1243" s="56"/>
      <c r="U1243" s="25"/>
      <c r="V1243" s="25"/>
      <c r="W1243" s="25"/>
      <c r="X1243" s="25"/>
      <c r="Y1243" s="25"/>
      <c r="Z1243" s="25"/>
    </row>
    <row r="1244" spans="1:26" ht="52.5" customHeight="1" x14ac:dyDescent="0.25">
      <c r="A1244" s="25" t="str">
        <f ca="1">IFERROR(__xludf.DUMMYFUNCTION("""COMPUTED_VALUE"""),"Educa42")</f>
        <v>Educa42</v>
      </c>
      <c r="B1244" s="25" t="str">
        <f ca="1">IFERROR(__xludf.DUMMYFUNCTION("""COMPUTED_VALUE"""),"Reunión presentación de resultados Misión de Educadores")</f>
        <v>Reunión presentación de resultados Misión de Educadores</v>
      </c>
      <c r="C1244" s="55">
        <f ca="1">IFERROR(__xludf.DUMMYFUNCTION("""COMPUTED_VALUE"""),44394)</f>
        <v>44394</v>
      </c>
      <c r="D1244" s="25" t="str">
        <f ca="1">IFERROR(__xludf.DUMMYFUNCTION("""COMPUTED_VALUE"""),"Educación")</f>
        <v>Educación</v>
      </c>
      <c r="E1244" s="25" t="str">
        <f ca="1">IFERROR(__xludf.DUMMYFUNCTION("""COMPUTED_VALUE"""),"Secretaría de Educación del Distrito")</f>
        <v>Secretaría de Educación del Distrito</v>
      </c>
      <c r="F1244" s="25" t="str">
        <f ca="1">IFERROR(__xludf.DUMMYFUNCTION("""COMPUTED_VALUE"""),"Hacer una revisión de posibles nuevas fuentes que sirvan para financiar la jornada única ")</f>
        <v xml:space="preserve">Hacer una revisión de posibles nuevas fuentes que sirvan para financiar la jornada única </v>
      </c>
      <c r="G1244" s="25" t="str">
        <f ca="1">IFERROR(__xludf.DUMMYFUNCTION("""COMPUTED_VALUE"""),"99. Distrito")</f>
        <v>99. Distrito</v>
      </c>
      <c r="H1244" s="55">
        <f ca="1">IFERROR(__xludf.DUMMYFUNCTION("""COMPUTED_VALUE"""),44424)</f>
        <v>44424</v>
      </c>
      <c r="I1244" s="25"/>
      <c r="J1244" s="55" t="str">
        <f ca="1">IFERROR(__xludf.DUMMYFUNCTION("""COMPUTED_VALUE"""),"Alta")</f>
        <v>Alta</v>
      </c>
      <c r="K1244" s="25">
        <f ca="1">IFERROR(__xludf.DUMMYFUNCTION("""COMPUTED_VALUE"""),30)</f>
        <v>30</v>
      </c>
      <c r="L1244" s="62"/>
      <c r="M1244" s="25"/>
      <c r="N1244" s="55">
        <f ca="1">IFERROR(__xludf.DUMMYFUNCTION("""COMPUTED_VALUE"""),44927)</f>
        <v>44927</v>
      </c>
      <c r="O1244" s="25" t="str">
        <f t="shared" ca="1" si="0"/>
        <v>Secretaría de Educación del Distrito</v>
      </c>
      <c r="P1244" s="25" t="str">
        <f t="shared" si="2"/>
        <v/>
      </c>
      <c r="Q1244" s="25" t="str">
        <f ca="1">IFERROR(__xludf.DUMMYFUNCTION("""COMPUTED_VALUE"""),"Corto plazo")</f>
        <v>Corto plazo</v>
      </c>
      <c r="R1244" s="25"/>
      <c r="S1244" s="55"/>
      <c r="T1244" s="56"/>
      <c r="U1244" s="25"/>
      <c r="V1244" s="25"/>
      <c r="W1244" s="25"/>
      <c r="X1244" s="25"/>
      <c r="Y1244" s="25"/>
      <c r="Z1244" s="25"/>
    </row>
    <row r="1245" spans="1:26" ht="52.5" customHeight="1" x14ac:dyDescent="0.25">
      <c r="A1245" s="25" t="str">
        <f ca="1">IFERROR(__xludf.DUMMYFUNCTION("""COMPUTED_VALUE"""),"Educa43")</f>
        <v>Educa43</v>
      </c>
      <c r="B1245" s="25" t="str">
        <f ca="1">IFERROR(__xludf.DUMMYFUNCTION("""COMPUTED_VALUE"""),"Reunión presentación de resultados Misión de Educadores")</f>
        <v>Reunión presentación de resultados Misión de Educadores</v>
      </c>
      <c r="C1245" s="55">
        <f ca="1">IFERROR(__xludf.DUMMYFUNCTION("""COMPUTED_VALUE"""),44394)</f>
        <v>44394</v>
      </c>
      <c r="D1245" s="25" t="str">
        <f ca="1">IFERROR(__xludf.DUMMYFUNCTION("""COMPUTED_VALUE"""),"Educación")</f>
        <v>Educación</v>
      </c>
      <c r="E1245" s="25" t="str">
        <f ca="1">IFERROR(__xludf.DUMMYFUNCTION("""COMPUTED_VALUE"""),"Secretaría de Educación del Distrito")</f>
        <v>Secretaría de Educación del Distrito</v>
      </c>
      <c r="F1245" s="25" t="str">
        <f ca="1">IFERROR(__xludf.DUMMYFUNCTION("""COMPUTED_VALUE"""),"Hacer reuniones periódicas para hacerle seguimiento a las propuestas de la Misión de Educadores")</f>
        <v>Hacer reuniones periódicas para hacerle seguimiento a las propuestas de la Misión de Educadores</v>
      </c>
      <c r="G1245" s="25" t="str">
        <f ca="1">IFERROR(__xludf.DUMMYFUNCTION("""COMPUTED_VALUE"""),"99. Distrito")</f>
        <v>99. Distrito</v>
      </c>
      <c r="H1245" s="55">
        <f ca="1">IFERROR(__xludf.DUMMYFUNCTION("""COMPUTED_VALUE"""),44424)</f>
        <v>44424</v>
      </c>
      <c r="I1245" s="25"/>
      <c r="J1245" s="55" t="str">
        <f ca="1">IFERROR(__xludf.DUMMYFUNCTION("""COMPUTED_VALUE"""),"Alta")</f>
        <v>Alta</v>
      </c>
      <c r="K1245" s="25">
        <f ca="1">IFERROR(__xludf.DUMMYFUNCTION("""COMPUTED_VALUE"""),30)</f>
        <v>30</v>
      </c>
      <c r="L1245" s="62"/>
      <c r="M1245" s="25" t="str">
        <f ca="1">IFERROR(__xludf.DUMMYFUNCTION("""COMPUTED_VALUE"""),"Se realizaron las reuniones respectivas y se hará el lanzamiento del documento con los resultados de la misión el 12 de agosto de 2021")</f>
        <v>Se realizaron las reuniones respectivas y se hará el lanzamiento del documento con los resultados de la misión el 12 de agosto de 2021</v>
      </c>
      <c r="N1245" s="55">
        <f ca="1">IFERROR(__xludf.DUMMYFUNCTION("""COMPUTED_VALUE"""),44927)</f>
        <v>44927</v>
      </c>
      <c r="O1245" s="25" t="str">
        <f t="shared" ca="1" si="0"/>
        <v>Secretaría de Educación del Distrito</v>
      </c>
      <c r="P1245" s="25" t="str">
        <f t="shared" si="2"/>
        <v/>
      </c>
      <c r="Q1245" s="25" t="str">
        <f ca="1">IFERROR(__xludf.DUMMYFUNCTION("""COMPUTED_VALUE"""),"Corto plazo")</f>
        <v>Corto plazo</v>
      </c>
      <c r="R1245" s="25"/>
      <c r="S1245" s="55"/>
      <c r="T1245" s="56"/>
      <c r="U1245" s="25"/>
      <c r="V1245" s="25"/>
      <c r="W1245" s="25"/>
      <c r="X1245" s="25"/>
      <c r="Y1245" s="25"/>
      <c r="Z1245" s="25"/>
    </row>
    <row r="1246" spans="1:26" ht="52.5" customHeight="1" x14ac:dyDescent="0.25">
      <c r="A1246" s="25" t="str">
        <f ca="1">IFERROR(__xludf.DUMMYFUNCTION("""COMPUTED_VALUE"""),"Educa44")</f>
        <v>Educa44</v>
      </c>
      <c r="B1246" s="25" t="str">
        <f ca="1">IFERROR(__xludf.DUMMYFUNCTION("""COMPUTED_VALUE"""),"Consejo Consultivo LGBTI")</f>
        <v>Consejo Consultivo LGBTI</v>
      </c>
      <c r="C1246" s="55">
        <f ca="1">IFERROR(__xludf.DUMMYFUNCTION("""COMPUTED_VALUE"""),44398)</f>
        <v>44398</v>
      </c>
      <c r="D1246" s="25" t="str">
        <f ca="1">IFERROR(__xludf.DUMMYFUNCTION("""COMPUTED_VALUE"""),"Educación")</f>
        <v>Educación</v>
      </c>
      <c r="E1246" s="25" t="str">
        <f ca="1">IFERROR(__xludf.DUMMYFUNCTION("""COMPUTED_VALUE"""),"Secretaría de Educación del Distrito")</f>
        <v>Secretaría de Educación del Distrito</v>
      </c>
      <c r="F1246" s="25" t="str">
        <f ca="1">IFERROR(__xludf.DUMMYFUNCTION("""COMPUTED_VALUE"""),"Revisar de manera detallada el grupo de las 87 personas  lgtbi de  inscritas a Jóvenes a la U (76 personas) y Reto a la u (11 personas) dado que solo 1 ingreso. En este sentido, es importante conocer la pertinencia y el adecuado funcionamiento, al igual q"&amp;"ue si el diseño es adecuado como acción afirmativa para jóvenes lgtbi. ")</f>
        <v xml:space="preserve">Revisar de manera detallada el grupo de las 87 personas  lgtbi de  inscritas a Jóvenes a la U (76 personas) y Reto a la u (11 personas) dado que solo 1 ingreso. En este sentido, es importante conocer la pertinencia y el adecuado funcionamiento, al igual que si el diseño es adecuado como acción afirmativa para jóvenes lgtbi. </v>
      </c>
      <c r="G1246" s="25" t="str">
        <f ca="1">IFERROR(__xludf.DUMMYFUNCTION("""COMPUTED_VALUE"""),"99. Distrito")</f>
        <v>99. Distrito</v>
      </c>
      <c r="H1246" s="55">
        <f ca="1">IFERROR(__xludf.DUMMYFUNCTION("""COMPUTED_VALUE"""),44428)</f>
        <v>44428</v>
      </c>
      <c r="I1246" s="25"/>
      <c r="J1246" s="55" t="str">
        <f ca="1">IFERROR(__xludf.DUMMYFUNCTION("""COMPUTED_VALUE"""),"Alta")</f>
        <v>Alta</v>
      </c>
      <c r="K1246" s="25">
        <f ca="1">IFERROR(__xludf.DUMMYFUNCTION("""COMPUTED_VALUE"""),30)</f>
        <v>30</v>
      </c>
      <c r="L1246" s="62">
        <f ca="1">IFERROR(__xludf.DUMMYFUNCTION("""COMPUTED_VALUE"""),44420)</f>
        <v>44420</v>
      </c>
      <c r="M1246" s="25" t="str">
        <f ca="1">IFERROR(__xludf.DUMMYFUNCTION("""COMPUTED_VALUE"""),"Las personas LGTBI que en el aplicativo de inscripción manifestaron pertenecer a esta comunidad recibieron 10 puntos adicionales con respecto a la población general. En ese sentido, el equipo de la Secretaría está revisando si el puntaje adicional o las d"&amp;"emás condiciones evaluadas fueron las que incidieron en el resultado de selección de esta población. Los resultados se podrán entregar el 31 de agosto.")</f>
        <v>Las personas LGTBI que en el aplicativo de inscripción manifestaron pertenecer a esta comunidad recibieron 10 puntos adicionales con respecto a la población general. En ese sentido, el equipo de la Secretaría está revisando si el puntaje adicional o las demás condiciones evaluadas fueron las que incidieron en el resultado de selección de esta población. Los resultados se podrán entregar el 31 de agosto.</v>
      </c>
      <c r="N1246" s="55">
        <f ca="1">IFERROR(__xludf.DUMMYFUNCTION("""COMPUTED_VALUE"""),44927)</f>
        <v>44927</v>
      </c>
      <c r="O1246" s="25" t="str">
        <f t="shared" ca="1" si="0"/>
        <v>Secretaría de Educación del Distrito</v>
      </c>
      <c r="P1246" s="25" t="str">
        <f t="shared" si="2"/>
        <v/>
      </c>
      <c r="Q1246" s="25" t="str">
        <f ca="1">IFERROR(__xludf.DUMMYFUNCTION("""COMPUTED_VALUE"""),"Corto plazo")</f>
        <v>Corto plazo</v>
      </c>
      <c r="R1246" s="25"/>
      <c r="S1246" s="55"/>
      <c r="T1246" s="56"/>
      <c r="U1246" s="25"/>
      <c r="V1246" s="25"/>
      <c r="W1246" s="25"/>
      <c r="X1246" s="25"/>
      <c r="Y1246" s="25"/>
      <c r="Z1246" s="25"/>
    </row>
    <row r="1247" spans="1:26" ht="52.5" customHeight="1" x14ac:dyDescent="0.25">
      <c r="A1247" s="25" t="str">
        <f ca="1">IFERROR(__xludf.DUMMYFUNCTION("""COMPUTED_VALUE"""),"Educa45")</f>
        <v>Educa45</v>
      </c>
      <c r="B1247" s="25" t="str">
        <f ca="1">IFERROR(__xludf.DUMMYFUNCTION("""COMPUTED_VALUE"""),"Consejo Distrital de Política Social y Consejo de Sabios y Sabias        ")</f>
        <v xml:space="preserve">Consejo Distrital de Política Social y Consejo de Sabios y Sabias        </v>
      </c>
      <c r="C1247" s="55">
        <f ca="1">IFERROR(__xludf.DUMMYFUNCTION("""COMPUTED_VALUE"""),44790)</f>
        <v>44790</v>
      </c>
      <c r="D1247" s="25" t="str">
        <f ca="1">IFERROR(__xludf.DUMMYFUNCTION("""COMPUTED_VALUE"""),"Educación")</f>
        <v>Educación</v>
      </c>
      <c r="E1247" s="25" t="str">
        <f ca="1">IFERROR(__xludf.DUMMYFUNCTION("""COMPUTED_VALUE"""),"Secretaría de Educación del Distrito")</f>
        <v>Secretaría de Educación del Distrito</v>
      </c>
      <c r="F1247" s="25" t="str">
        <f ca="1">IFERROR(__xludf.DUMMYFUNCTION("""COMPUTED_VALUE"""),"Incluir en Jóvenes a la U programas de formación especializada para adultos mayores.")</f>
        <v>Incluir en Jóvenes a la U programas de formación especializada para adultos mayores.</v>
      </c>
      <c r="G1247" s="25" t="str">
        <f ca="1">IFERROR(__xludf.DUMMYFUNCTION("""COMPUTED_VALUE"""),"99. Distrito")</f>
        <v>99. Distrito</v>
      </c>
      <c r="H1247" s="55">
        <f ca="1">IFERROR(__xludf.DUMMYFUNCTION("""COMPUTED_VALUE"""),44925)</f>
        <v>44925</v>
      </c>
      <c r="I1247" s="25"/>
      <c r="J1247" s="55" t="str">
        <f ca="1">IFERROR(__xludf.DUMMYFUNCTION("""COMPUTED_VALUE"""),"Media")</f>
        <v>Media</v>
      </c>
      <c r="K1247" s="25">
        <f ca="1">IFERROR(__xludf.DUMMYFUNCTION("""COMPUTED_VALUE"""),135)</f>
        <v>135</v>
      </c>
      <c r="L1247" s="62">
        <f ca="1">IFERROR(__xludf.DUMMYFUNCTION("""COMPUTED_VALUE"""),44888)</f>
        <v>44888</v>
      </c>
      <c r="M1247" s="25" t="str">
        <f ca="1">IFERROR(__xludf.DUMMYFUNCTION("""COMPUTED_VALUE"""),"Creación de estrategias en las cuales se excluye el criterio de pertenecer al grupo etáreo ""jóvenes"" para la obtención de los beneficios. Adicionalmente se fortalece convocatoria a otros fondos que no contemplan este criterio para el otorgamiento del be"&amp;"neficio")</f>
        <v>Creación de estrategias en las cuales se excluye el criterio de pertenecer al grupo etáreo "jóvenes" para la obtención de los beneficios. Adicionalmente se fortalece convocatoria a otros fondos que no contemplan este criterio para el otorgamiento del beneficio</v>
      </c>
      <c r="N1247" s="55">
        <f ca="1">IFERROR(__xludf.DUMMYFUNCTION("""COMPUTED_VALUE"""),44927)</f>
        <v>44927</v>
      </c>
      <c r="O1247" s="25" t="str">
        <f t="shared" ca="1" si="0"/>
        <v>Secretaría de Educación del Distrito</v>
      </c>
      <c r="P1247" s="25" t="str">
        <f t="shared" si="2"/>
        <v/>
      </c>
      <c r="Q1247" s="25" t="str">
        <f ca="1">IFERROR(__xludf.DUMMYFUNCTION("""COMPUTED_VALUE"""),"Mediano plazo")</f>
        <v>Mediano plazo</v>
      </c>
      <c r="R1247" s="25"/>
      <c r="S1247" s="55"/>
      <c r="T1247" s="56"/>
      <c r="U1247" s="25"/>
      <c r="V1247" s="25"/>
      <c r="W1247" s="25"/>
      <c r="X1247" s="25"/>
      <c r="Y1247" s="25"/>
      <c r="Z1247" s="25"/>
    </row>
    <row r="1248" spans="1:26" ht="52.5" customHeight="1" x14ac:dyDescent="0.25">
      <c r="A1248" s="25" t="str">
        <f ca="1">IFERROR(__xludf.DUMMYFUNCTION("""COMPUTED_VALUE"""),"Educa46")</f>
        <v>Educa46</v>
      </c>
      <c r="B1248" s="25" t="str">
        <f ca="1">IFERROR(__xludf.DUMMYFUNCTION("""COMPUTED_VALUE"""),"Consejo Consultivo LGBTI")</f>
        <v>Consejo Consultivo LGBTI</v>
      </c>
      <c r="C1248" s="55">
        <f ca="1">IFERROR(__xludf.DUMMYFUNCTION("""COMPUTED_VALUE"""),44398)</f>
        <v>44398</v>
      </c>
      <c r="D1248" s="25" t="str">
        <f ca="1">IFERROR(__xludf.DUMMYFUNCTION("""COMPUTED_VALUE"""),"Educación")</f>
        <v>Educación</v>
      </c>
      <c r="E1248" s="25" t="str">
        <f ca="1">IFERROR(__xludf.DUMMYFUNCTION("""COMPUTED_VALUE"""),"Secretaría de Educación del Distrito")</f>
        <v>Secretaría de Educación del Distrito</v>
      </c>
      <c r="F1248" s="25" t="str">
        <f ca="1">IFERROR(__xludf.DUMMYFUNCTION("""COMPUTED_VALUE"""),"Definir qué otras acciones afirmativas pueden incluirse tanto en las estrategias: Jóvenes y Reto a la U como con los Convenios del SENA que permitan tener mayor efecto en la inclusión de la población LGBTI dentro de éstas. ")</f>
        <v xml:space="preserve">Definir qué otras acciones afirmativas pueden incluirse tanto en las estrategias: Jóvenes y Reto a la U como con los Convenios del SENA que permitan tener mayor efecto en la inclusión de la población LGBTI dentro de éstas. </v>
      </c>
      <c r="G1248" s="25" t="str">
        <f ca="1">IFERROR(__xludf.DUMMYFUNCTION("""COMPUTED_VALUE"""),"99. Distrito")</f>
        <v>99. Distrito</v>
      </c>
      <c r="H1248" s="55">
        <f ca="1">IFERROR(__xludf.DUMMYFUNCTION("""COMPUTED_VALUE"""),44428)</f>
        <v>44428</v>
      </c>
      <c r="I1248" s="25"/>
      <c r="J1248" s="55" t="str">
        <f ca="1">IFERROR(__xludf.DUMMYFUNCTION("""COMPUTED_VALUE"""),"Alta")</f>
        <v>Alta</v>
      </c>
      <c r="K1248" s="25">
        <f ca="1">IFERROR(__xludf.DUMMYFUNCTION("""COMPUTED_VALUE"""),30)</f>
        <v>30</v>
      </c>
      <c r="L1248" s="62">
        <f ca="1">IFERROR(__xludf.DUMMYFUNCTION("""COMPUTED_VALUE"""),44740)</f>
        <v>44740</v>
      </c>
      <c r="M1248" s="25" t="str">
        <f ca="1">IFERROR(__xludf.DUMMYFUNCTION("""COMPUTED_VALUE"""),"En relación con el SENA, el 11 de agosto tuvo lugar una reunión para ampliar la oferta a esta población. Dado que la SDIS es quien tiene metas asociadas a formación técnica, el SENA nos pide establecer contacto con esa Secretaría para poder separar los cu"&amp;"pos asociados a formación para esta población. En relación con el número mínimo de personas por grupo de formación, el SENA señala que por normatividad interna, los grupos no pueden ser de menos de 28 personas.
Se acuerda que se debe revisar con el Sena l"&amp;"a posibilidad de flexibilizar la oferta respecto al número de estudiantes por grupo, pues el Sena tiene un parámetro de 25 estudiantes por grupo y para dicha población este número es muy alto. Se acordó para el 5 de agosto la mesa con educación superior p"&amp;"ara mirar cómo se está realizando la convocatoria de Jóvenes a la U y Reto a la U e identificar cuáles son las causas para que esta población no acceda.
_________
En el caso del programa Jóvenes a la U, la tercera convocatoria establece una seleccción pr"&amp;"eferente para la población transgénero al establecer 5 puntos adicionales si una persona se autoidentifica como tal, priorizando así la selección de esta población. ")</f>
        <v xml:space="preserve">En relación con el SENA, el 11 de agosto tuvo lugar una reunión para ampliar la oferta a esta población. Dado que la SDIS es quien tiene metas asociadas a formación técnica, el SENA nos pide establecer contacto con esa Secretaría para poder separar los cupos asociados a formación para esta población. En relación con el número mínimo de personas por grupo de formación, el SENA señala que por normatividad interna, los grupos no pueden ser de menos de 28 personas.
Se acuerda que se debe revisar con el Sena la posibilidad de flexibilizar la oferta respecto al número de estudiantes por grupo, pues el Sena tiene un parámetro de 25 estudiantes por grupo y para dicha población este número es muy alto. Se acordó para el 5 de agosto la mesa con educación superior para mirar cómo se está realizando la convocatoria de Jóvenes a la U y Reto a la U e identificar cuáles son las causas para que esta población no acceda.
_________
En el caso del programa Jóvenes a la U, la tercera convocatoria establece una seleccción preferente para la población transgénero al establecer 5 puntos adicionales si una persona se autoidentifica como tal, priorizando así la selección de esta población. </v>
      </c>
      <c r="N1248" s="55">
        <f ca="1">IFERROR(__xludf.DUMMYFUNCTION("""COMPUTED_VALUE"""),44927)</f>
        <v>44927</v>
      </c>
      <c r="O1248" s="25" t="str">
        <f t="shared" ca="1" si="0"/>
        <v>Secretaría de Educación del Distrito</v>
      </c>
      <c r="P1248" s="25" t="str">
        <f t="shared" si="2"/>
        <v/>
      </c>
      <c r="Q1248" s="25" t="str">
        <f ca="1">IFERROR(__xludf.DUMMYFUNCTION("""COMPUTED_VALUE"""),"Corto plazo")</f>
        <v>Corto plazo</v>
      </c>
      <c r="R1248" s="25"/>
      <c r="S1248" s="55"/>
      <c r="T1248" s="56"/>
      <c r="U1248" s="25"/>
      <c r="V1248" s="25"/>
      <c r="W1248" s="25"/>
      <c r="X1248" s="25"/>
      <c r="Y1248" s="25"/>
      <c r="Z1248" s="25"/>
    </row>
    <row r="1249" spans="1:26" ht="52.5" customHeight="1" x14ac:dyDescent="0.25">
      <c r="A1249" s="25" t="str">
        <f ca="1">IFERROR(__xludf.DUMMYFUNCTION("""COMPUTED_VALUE"""),"Educa47")</f>
        <v>Educa47</v>
      </c>
      <c r="B1249" s="25" t="str">
        <f ca="1">IFERROR(__xludf.DUMMYFUNCTION("""COMPUTED_VALUE"""),"Consejo Distrital de Política Social y Consejo de Sabios y Sabias        ")</f>
        <v xml:space="preserve">Consejo Distrital de Política Social y Consejo de Sabios y Sabias        </v>
      </c>
      <c r="C1249" s="55">
        <f ca="1">IFERROR(__xludf.DUMMYFUNCTION("""COMPUTED_VALUE"""),44790)</f>
        <v>44790</v>
      </c>
      <c r="D1249" s="25" t="str">
        <f ca="1">IFERROR(__xludf.DUMMYFUNCTION("""COMPUTED_VALUE"""),"Educación")</f>
        <v>Educación</v>
      </c>
      <c r="E1249" s="25" t="str">
        <f ca="1">IFERROR(__xludf.DUMMYFUNCTION("""COMPUTED_VALUE"""),"Secretaría de Educación del Distrito")</f>
        <v>Secretaría de Educación del Distrito</v>
      </c>
      <c r="F1249" s="25" t="str">
        <f ca="1">IFERROR(__xludf.DUMMYFUNCTION("""COMPUTED_VALUE"""),"Incluir en Jóvenes a la U programas de formación especializada para que jóvenes se formen en atención a adultos mayores.")</f>
        <v>Incluir en Jóvenes a la U programas de formación especializada para que jóvenes se formen en atención a adultos mayores.</v>
      </c>
      <c r="G1249" s="25" t="str">
        <f ca="1">IFERROR(__xludf.DUMMYFUNCTION("""COMPUTED_VALUE"""),"99. Distrito")</f>
        <v>99. Distrito</v>
      </c>
      <c r="H1249" s="55">
        <f ca="1">IFERROR(__xludf.DUMMYFUNCTION("""COMPUTED_VALUE"""),44926)</f>
        <v>44926</v>
      </c>
      <c r="I1249" s="25"/>
      <c r="J1249" s="55" t="str">
        <f ca="1">IFERROR(__xludf.DUMMYFUNCTION("""COMPUTED_VALUE"""),"Media")</f>
        <v>Media</v>
      </c>
      <c r="K1249" s="25">
        <f ca="1">IFERROR(__xludf.DUMMYFUNCTION("""COMPUTED_VALUE"""),136)</f>
        <v>136</v>
      </c>
      <c r="L1249" s="62">
        <f ca="1">IFERROR(__xludf.DUMMYFUNCTION("""COMPUTED_VALUE"""),44888)</f>
        <v>44888</v>
      </c>
      <c r="M1249" s="25" t="str">
        <f ca="1">IFERROR(__xludf.DUMMYFUNCTION("""COMPUTED_VALUE"""),"Desde la convocatoria 3 (junio de 2022) del Programa Jóvenes a la U se vienen priorizando ofertas de programas relacionados con el sector de la economía del cuidado")</f>
        <v>Desde la convocatoria 3 (junio de 2022) del Programa Jóvenes a la U se vienen priorizando ofertas de programas relacionados con el sector de la economía del cuidado</v>
      </c>
      <c r="N1249" s="55">
        <f ca="1">IFERROR(__xludf.DUMMYFUNCTION("""COMPUTED_VALUE"""),44926)</f>
        <v>44926</v>
      </c>
      <c r="O1249" s="25" t="str">
        <f t="shared" ca="1" si="0"/>
        <v>Secretaría de Educación del Distrito</v>
      </c>
      <c r="P1249" s="25" t="str">
        <f t="shared" si="2"/>
        <v/>
      </c>
      <c r="Q1249" s="25" t="str">
        <f ca="1">IFERROR(__xludf.DUMMYFUNCTION("""COMPUTED_VALUE"""),"Mediano plazo")</f>
        <v>Mediano plazo</v>
      </c>
      <c r="R1249" s="25"/>
      <c r="S1249" s="55"/>
      <c r="T1249" s="56"/>
      <c r="U1249" s="25"/>
      <c r="V1249" s="25"/>
      <c r="W1249" s="25"/>
      <c r="X1249" s="25"/>
      <c r="Y1249" s="25"/>
      <c r="Z1249" s="25"/>
    </row>
    <row r="1250" spans="1:26" ht="52.5" customHeight="1" x14ac:dyDescent="0.25">
      <c r="A1250" s="25" t="str">
        <f ca="1">IFERROR(__xludf.DUMMYFUNCTION("""COMPUTED_VALUE"""),"Educa48")</f>
        <v>Educa48</v>
      </c>
      <c r="B1250" s="25" t="str">
        <f ca="1">IFERROR(__xludf.DUMMYFUNCTION("""COMPUTED_VALUE"""),"Consejo Consultivo LGBTI")</f>
        <v>Consejo Consultivo LGBTI</v>
      </c>
      <c r="C1250" s="55">
        <f ca="1">IFERROR(__xludf.DUMMYFUNCTION("""COMPUTED_VALUE"""),44398)</f>
        <v>44398</v>
      </c>
      <c r="D1250" s="25" t="str">
        <f ca="1">IFERROR(__xludf.DUMMYFUNCTION("""COMPUTED_VALUE"""),"Educación")</f>
        <v>Educación</v>
      </c>
      <c r="E1250" s="25" t="str">
        <f ca="1">IFERROR(__xludf.DUMMYFUNCTION("""COMPUTED_VALUE"""),"Universidad Distrital Francisco José de Caldas")</f>
        <v>Universidad Distrital Francisco José de Caldas</v>
      </c>
      <c r="F1250" s="25" t="str">
        <f ca="1">IFERROR(__xludf.DUMMYFUNCTION("""COMPUTED_VALUE"""),"Proyectar para firma de la alcaldesa oficio en el cual se solicita incluir criterio de acción afirmativa en el proceso de selección de la U Distrital que incluya postgrados.")</f>
        <v>Proyectar para firma de la alcaldesa oficio en el cual se solicita incluir criterio de acción afirmativa en el proceso de selección de la U Distrital que incluya postgrados.</v>
      </c>
      <c r="G1250" s="25" t="str">
        <f ca="1">IFERROR(__xludf.DUMMYFUNCTION("""COMPUTED_VALUE"""),"99. Distrito")</f>
        <v>99. Distrito</v>
      </c>
      <c r="H1250" s="55">
        <f ca="1">IFERROR(__xludf.DUMMYFUNCTION("""COMPUTED_VALUE"""),44428)</f>
        <v>44428</v>
      </c>
      <c r="I1250" s="25"/>
      <c r="J1250" s="55" t="str">
        <f ca="1">IFERROR(__xludf.DUMMYFUNCTION("""COMPUTED_VALUE"""),"Alta")</f>
        <v>Alta</v>
      </c>
      <c r="K1250" s="25">
        <f ca="1">IFERROR(__xludf.DUMMYFUNCTION("""COMPUTED_VALUE"""),30)</f>
        <v>30</v>
      </c>
      <c r="L1250" s="62">
        <f ca="1">IFERROR(__xludf.DUMMYFUNCTION("""COMPUTED_VALUE"""),44741)</f>
        <v>44741</v>
      </c>
      <c r="M1250" s="25" t="str">
        <f ca="1">IFERROR(__xludf.DUMMYFUNCTION("""COMPUTED_VALUE"""),"En la sesión No. 8 del 23 de junio de 2022 del CSU, la Universidad Distrital presentó un informe  en relación con los avances en el proceso de  Incorporación de un enfoque diferencial para las diversidades sexuales y de género en la Institución dentro de "&amp;"la construcción de la política de inclusión de género, dentro de las que se destacan las siguientes actividades:
• Articulación interinstitucional. Criterios Diferenciales para la población trans en la UDFJC
• Acceso a la educación de personas con experi"&amp;"encia de vida trans SED - Secretaría Distrital de Planeación Dirección de Diversidad Sexual.
• Reuniones con colectivas estudiantiles trans.
• Elaboración de la propuesta construida con las Secretarías y las colectivas para su respectiva presentación a la"&amp;" Vicerrectoría Académica. 
_______
A partir de la reunión llevada a cabo el pasado 4 de abril de 2022  con la Dirección de Participación de la SED, el Rector y el equipo de género de la UDFJC y la Dirección de Diversidad Sexual de la Secretaría de Planeac"&amp;"ión, para solicitar apoyo y viabilizar cómo se debía proceder en otorgar puntaje diferencial a la población Trans, según lo mencionado por el Rector, se iniciaría a otorgar el puntaje diferencial a la población Trans en el 2022-2, sin embargo, dicha inici"&amp;"ativa deberá tramitarse en el Consejo Académico de la Universidad Distrital.
En aras de que inicie el otorgamiento de los puntajes diferenciales, la Dirección de Diversidad Sexual de la Secretaría de Planeación indicó que a través del formato ficha SIRBE"&amp;" (sistema de información de registro de beneficarios) se comprobará que una persona pertenece a la población Trans.")</f>
        <v>En la sesión No. 8 del 23 de junio de 2022 del CSU, la Universidad Distrital presentó un informe  en relación con los avances en el proceso de  Incorporación de un enfoque diferencial para las diversidades sexuales y de género en la Institución dentro de la construcción de la política de inclusión de género, dentro de las que se destacan las siguientes actividades:
• Articulación interinstitucional. Criterios Diferenciales para la población trans en la UDFJC
• Acceso a la educación de personas con experiencia de vida trans SED - Secretaría Distrital de Planeación Dirección de Diversidad Sexual.
• Reuniones con colectivas estudiantiles trans.
• Elaboración de la propuesta construida con las Secretarías y las colectivas para su respectiva presentación a la Vicerrectoría Académica. 
_______
A partir de la reunión llevada a cabo el pasado 4 de abril de 2022  con la Dirección de Participación de la SED, el Rector y el equipo de género de la UDFJC y la Dirección de Diversidad Sexual de la Secretaría de Planeación, para solicitar apoyo y viabilizar cómo se debía proceder en otorgar puntaje diferencial a la población Trans, según lo mencionado por el Rector, se iniciaría a otorgar el puntaje diferencial a la población Trans en el 2022-2, sin embargo, dicha iniciativa deberá tramitarse en el Consejo Académico de la Universidad Distrital.
En aras de que inicie el otorgamiento de los puntajes diferenciales, la Dirección de Diversidad Sexual de la Secretaría de Planeación indicó que a través del formato ficha SIRBE (sistema de información de registro de beneficarios) se comprobará que una persona pertenece a la población Trans.</v>
      </c>
      <c r="N1250" s="55">
        <f ca="1">IFERROR(__xludf.DUMMYFUNCTION("""COMPUTED_VALUE"""),44927)</f>
        <v>44927</v>
      </c>
      <c r="O1250" s="25" t="str">
        <f t="shared" ca="1" si="0"/>
        <v>Universidad Distrital Francisco José de Caldas</v>
      </c>
      <c r="P1250" s="25" t="str">
        <f t="shared" si="2"/>
        <v/>
      </c>
      <c r="Q1250" s="25" t="str">
        <f ca="1">IFERROR(__xludf.DUMMYFUNCTION("""COMPUTED_VALUE"""),"Corto plazo")</f>
        <v>Corto plazo</v>
      </c>
      <c r="R1250" s="25"/>
      <c r="S1250" s="55"/>
      <c r="T1250" s="56"/>
      <c r="U1250" s="25"/>
      <c r="V1250" s="25"/>
      <c r="W1250" s="25"/>
      <c r="X1250" s="25"/>
      <c r="Y1250" s="25"/>
      <c r="Z1250" s="25"/>
    </row>
    <row r="1251" spans="1:26" ht="52.5" customHeight="1" x14ac:dyDescent="0.25">
      <c r="A1251" s="25" t="str">
        <f ca="1">IFERROR(__xludf.DUMMYFUNCTION("""COMPUTED_VALUE"""),"Educa49")</f>
        <v>Educa49</v>
      </c>
      <c r="B1251" s="25"/>
      <c r="C1251" s="55"/>
      <c r="D1251" s="25" t="str">
        <f ca="1">IFERROR(__xludf.DUMMYFUNCTION("""COMPUTED_VALUE"""),"Educación")</f>
        <v>Educación</v>
      </c>
      <c r="E1251" s="25" t="str">
        <f ca="1">IFERROR(__xludf.DUMMYFUNCTION("""COMPUTED_VALUE"""),"Secretaría de Educación del Distrito")</f>
        <v>Secretaría de Educación del Distrito</v>
      </c>
      <c r="F1251" s="25" t="str">
        <f ca="1">IFERROR(__xludf.DUMMYFUNCTION("""COMPUTED_VALUE"""),"Eliminada")</f>
        <v>Eliminada</v>
      </c>
      <c r="G1251" s="25"/>
      <c r="H1251" s="25"/>
      <c r="I1251" s="25"/>
      <c r="J1251" s="55"/>
      <c r="K1251" s="25" t="str">
        <f ca="1">IFERROR(__xludf.DUMMYFUNCTION("""COMPUTED_VALUE"""),"Definir fecha")</f>
        <v>Definir fecha</v>
      </c>
      <c r="L1251" s="62"/>
      <c r="M1251" s="25"/>
      <c r="N1251" s="25"/>
      <c r="O1251" s="25" t="str">
        <f t="shared" ca="1" si="0"/>
        <v>Secretaría de Educación del Distrito</v>
      </c>
      <c r="P1251" s="25" t="str">
        <f t="shared" si="2"/>
        <v/>
      </c>
      <c r="Q1251" s="25" t="str">
        <f ca="1">IFERROR(__xludf.DUMMYFUNCTION("""COMPUTED_VALUE"""),"Sin defenir")</f>
        <v>Sin defenir</v>
      </c>
      <c r="R1251" s="25"/>
      <c r="S1251" s="55"/>
      <c r="T1251" s="56"/>
      <c r="U1251" s="25"/>
      <c r="V1251" s="25"/>
      <c r="W1251" s="25"/>
      <c r="X1251" s="25"/>
      <c r="Y1251" s="25"/>
      <c r="Z1251" s="25"/>
    </row>
    <row r="1252" spans="1:26" ht="52.5" customHeight="1" x14ac:dyDescent="0.25">
      <c r="A1252" s="25" t="str">
        <f ca="1">IFERROR(__xludf.DUMMYFUNCTION("""COMPUTED_VALUE"""),"Educa50")</f>
        <v>Educa50</v>
      </c>
      <c r="B1252" s="25" t="str">
        <f ca="1">IFERROR(__xludf.DUMMYFUNCTION("""COMPUTED_VALUE"""),"Consejo Consultivo LGBTI")</f>
        <v>Consejo Consultivo LGBTI</v>
      </c>
      <c r="C1252" s="55">
        <f ca="1">IFERROR(__xludf.DUMMYFUNCTION("""COMPUTED_VALUE"""),44398)</f>
        <v>44398</v>
      </c>
      <c r="D1252" s="25" t="str">
        <f ca="1">IFERROR(__xludf.DUMMYFUNCTION("""COMPUTED_VALUE"""),"Educación")</f>
        <v>Educación</v>
      </c>
      <c r="E1252" s="25" t="str">
        <f ca="1">IFERROR(__xludf.DUMMYFUNCTION("""COMPUTED_VALUE"""),"Secretaría de Educación del Distrito")</f>
        <v>Secretaría de Educación del Distrito</v>
      </c>
      <c r="F1252" s="25" t="str">
        <f ca="1">IFERROR(__xludf.DUMMYFUNCTION("""COMPUTED_VALUE"""),"En la agenda del próximo Consejo Superior de la Universidad Distrital revisar si se está incluyendo el protocolo de atención y denuncias de violencias basadas en género y de identidad de género, y en caso contrario, cómo podría lograrse. ")</f>
        <v xml:space="preserve">En la agenda del próximo Consejo Superior de la Universidad Distrital revisar si se está incluyendo el protocolo de atención y denuncias de violencias basadas en género y de identidad de género, y en caso contrario, cómo podría lograrse. </v>
      </c>
      <c r="G1252" s="25" t="str">
        <f ca="1">IFERROR(__xludf.DUMMYFUNCTION("""COMPUTED_VALUE"""),"99. Distrito")</f>
        <v>99. Distrito</v>
      </c>
      <c r="H1252" s="55">
        <f ca="1">IFERROR(__xludf.DUMMYFUNCTION("""COMPUTED_VALUE"""),44428)</f>
        <v>44428</v>
      </c>
      <c r="I1252" s="25"/>
      <c r="J1252" s="55" t="str">
        <f ca="1">IFERROR(__xludf.DUMMYFUNCTION("""COMPUTED_VALUE"""),"Alta")</f>
        <v>Alta</v>
      </c>
      <c r="K1252" s="25">
        <f ca="1">IFERROR(__xludf.DUMMYFUNCTION("""COMPUTED_VALUE"""),30)</f>
        <v>30</v>
      </c>
      <c r="L1252" s="62">
        <f ca="1">IFERROR(__xludf.DUMMYFUNCTION("""COMPUTED_VALUE"""),44617)</f>
        <v>44617</v>
      </c>
      <c r="M1252" s="25" t="str">
        <f ca="1">IFERROR(__xludf.DUMMYFUNCTION("""COMPUTED_VALUE"""),"En el segundo semestre de año 2021, el  Consejo Superior Universitario de la UDFJC, incorporó dentro de la agenda de tres sesiones realizadas el 11, 24 de junio y el 23 de septiembre, el reporte y avance de acciones por parte de la Rectoría del UDFJC en r"&amp;"elación con la aplicación y actualización de los  protocolos  para la prevención y atención de casos de violencias basadas en género y violencias sexuales de la Universidad. El último avance reportado por Bienestar universitario y el Comité de Equidad de "&amp;"Género de la UDFJC  permite concluir que existen acciones positivas en relación con el tema. En ese contexto se entendería cumplido el compromiso con la Alcaldesa, independientemente de las acciones de seguimiento y control que continuará adelantando la S"&amp;"ED en el CSU de la Universidad.")</f>
        <v>En el segundo semestre de año 2021, el  Consejo Superior Universitario de la UDFJC, incorporó dentro de la agenda de tres sesiones realizadas el 11, 24 de junio y el 23 de septiembre, el reporte y avance de acciones por parte de la Rectoría del UDFJC en relación con la aplicación y actualización de los  protocolos  para la prevención y atención de casos de violencias basadas en género y violencias sexuales de la Universidad. El último avance reportado por Bienestar universitario y el Comité de Equidad de Género de la UDFJC  permite concluir que existen acciones positivas en relación con el tema. En ese contexto se entendería cumplido el compromiso con la Alcaldesa, independientemente de las acciones de seguimiento y control que continuará adelantando la SED en el CSU de la Universidad.</v>
      </c>
      <c r="N1252" s="55">
        <f ca="1">IFERROR(__xludf.DUMMYFUNCTION("""COMPUTED_VALUE"""),44927)</f>
        <v>44927</v>
      </c>
      <c r="O1252" s="25" t="str">
        <f t="shared" ca="1" si="0"/>
        <v>Secretaría de Educación del Distrito</v>
      </c>
      <c r="P1252" s="25" t="str">
        <f t="shared" si="2"/>
        <v/>
      </c>
      <c r="Q1252" s="25" t="str">
        <f ca="1">IFERROR(__xludf.DUMMYFUNCTION("""COMPUTED_VALUE"""),"Corto plazo")</f>
        <v>Corto plazo</v>
      </c>
      <c r="R1252" s="25"/>
      <c r="S1252" s="55"/>
      <c r="T1252" s="56"/>
      <c r="U1252" s="25"/>
      <c r="V1252" s="25"/>
      <c r="W1252" s="25"/>
      <c r="X1252" s="25"/>
      <c r="Y1252" s="25"/>
      <c r="Z1252" s="25"/>
    </row>
    <row r="1253" spans="1:26" ht="52.5" customHeight="1" x14ac:dyDescent="0.25">
      <c r="A1253" s="25" t="str">
        <f ca="1">IFERROR(__xludf.DUMMYFUNCTION("""COMPUTED_VALUE"""),"Educa51")</f>
        <v>Educa51</v>
      </c>
      <c r="B1253" s="25" t="str">
        <f ca="1">IFERROR(__xludf.DUMMYFUNCTION("""COMPUTED_VALUE"""),"Bogotá sin Hambre")</f>
        <v>Bogotá sin Hambre</v>
      </c>
      <c r="C1253" s="55">
        <f ca="1">IFERROR(__xludf.DUMMYFUNCTION("""COMPUTED_VALUE"""),44803)</f>
        <v>44803</v>
      </c>
      <c r="D1253" s="25" t="str">
        <f ca="1">IFERROR(__xludf.DUMMYFUNCTION("""COMPUTED_VALUE"""),"Educación")</f>
        <v>Educación</v>
      </c>
      <c r="E1253" s="25" t="str">
        <f ca="1">IFERROR(__xludf.DUMMYFUNCTION("""COMPUTED_VALUE"""),"Secretaría de Educación del Distrito")</f>
        <v>Secretaría de Educación del Distrito</v>
      </c>
      <c r="F1253" s="25" t="str">
        <f ca="1">IFERROR(__xludf.DUMMYFUNCTION("""COMPUTED_VALUE"""),"Escoger de los 100 colegios cuáles tienen comedor y cruzar con UPZ de inseguridad alimentaria severa.")</f>
        <v>Escoger de los 100 colegios cuáles tienen comedor y cruzar con UPZ de inseguridad alimentaria severa.</v>
      </c>
      <c r="G1253" s="25" t="str">
        <f ca="1">IFERROR(__xludf.DUMMYFUNCTION("""COMPUTED_VALUE"""),"99. Distrito")</f>
        <v>99. Distrito</v>
      </c>
      <c r="H1253" s="55">
        <f ca="1">IFERROR(__xludf.DUMMYFUNCTION("""COMPUTED_VALUE"""),44853)</f>
        <v>44853</v>
      </c>
      <c r="I1253" s="25"/>
      <c r="J1253" s="55" t="str">
        <f ca="1">IFERROR(__xludf.DUMMYFUNCTION("""COMPUTED_VALUE"""),"Alta")</f>
        <v>Alta</v>
      </c>
      <c r="K1253" s="25">
        <f ca="1">IFERROR(__xludf.DUMMYFUNCTION("""COMPUTED_VALUE"""),50)</f>
        <v>50</v>
      </c>
      <c r="L1253" s="62">
        <f ca="1">IFERROR(__xludf.DUMMYFUNCTION("""COMPUTED_VALUE"""),44888)</f>
        <v>44888</v>
      </c>
      <c r="M1253" s="25" t="str">
        <f ca="1">IFERROR(__xludf.DUMMYFUNCTION("""COMPUTED_VALUE"""),"El 22 de septiembre se envió información de la ubicación de los comedores a la Secretaría de Integración para la realización del respectivo cruce y priorización por parte de SDIS, para la utilización de dichos comedores conforme a las variables que maneja"&amp;" dicha entidad.
Las gestiones competencia de la SED finalizaron el día 19 de octubre, fecha en la que se hizo reunión entre los equipos donde se socializó la información.
")</f>
        <v xml:space="preserve">El 22 de septiembre se envió información de la ubicación de los comedores a la Secretaría de Integración para la realización del respectivo cruce y priorización por parte de SDIS, para la utilización de dichos comedores conforme a las variables que maneja dicha entidad.
Las gestiones competencia de la SED finalizaron el día 19 de octubre, fecha en la que se hizo reunión entre los equipos donde se socializó la información.
</v>
      </c>
      <c r="N1253" s="55">
        <f ca="1">IFERROR(__xludf.DUMMYFUNCTION("""COMPUTED_VALUE"""),44927)</f>
        <v>44927</v>
      </c>
      <c r="O1253" s="25" t="str">
        <f t="shared" ca="1" si="0"/>
        <v>Secretaría de Educación del Distrito</v>
      </c>
      <c r="P1253" s="25" t="str">
        <f t="shared" si="2"/>
        <v/>
      </c>
      <c r="Q1253" s="25" t="str">
        <f ca="1">IFERROR(__xludf.DUMMYFUNCTION("""COMPUTED_VALUE"""),"Corto plazo")</f>
        <v>Corto plazo</v>
      </c>
      <c r="R1253" s="25"/>
      <c r="S1253" s="55"/>
      <c r="T1253" s="56"/>
      <c r="U1253" s="25"/>
      <c r="V1253" s="25"/>
      <c r="W1253" s="25"/>
      <c r="X1253" s="25"/>
      <c r="Y1253" s="25"/>
      <c r="Z1253" s="25"/>
    </row>
    <row r="1254" spans="1:26" ht="52.5" customHeight="1" x14ac:dyDescent="0.25">
      <c r="A1254" s="25" t="str">
        <f ca="1">IFERROR(__xludf.DUMMYFUNCTION("""COMPUTED_VALUE"""),"Educa52")</f>
        <v>Educa52</v>
      </c>
      <c r="B1254" s="25" t="str">
        <f ca="1">IFERROR(__xludf.DUMMYFUNCTION("""COMPUTED_VALUE"""),"Revisión Proyectos de Regalías ")</f>
        <v xml:space="preserve">Revisión Proyectos de Regalías </v>
      </c>
      <c r="C1254" s="55">
        <f ca="1">IFERROR(__xludf.DUMMYFUNCTION("""COMPUTED_VALUE"""),44404)</f>
        <v>44404</v>
      </c>
      <c r="D1254" s="25" t="str">
        <f ca="1">IFERROR(__xludf.DUMMYFUNCTION("""COMPUTED_VALUE"""),"Educación")</f>
        <v>Educación</v>
      </c>
      <c r="E1254" s="25" t="str">
        <f ca="1">IFERROR(__xludf.DUMMYFUNCTION("""COMPUTED_VALUE"""),"Secretaría de Educación del Distrito")</f>
        <v>Secretaría de Educación del Distrito</v>
      </c>
      <c r="F1254" s="25" t="str">
        <f ca="1">IFERROR(__xludf.DUMMYFUNCTION("""COMPUTED_VALUE"""),"Todos proyectos de la bolsa de Ciencia, Tecnología e Innovación deben ser radicados el 6 de agosto")</f>
        <v>Todos proyectos de la bolsa de Ciencia, Tecnología e Innovación deben ser radicados el 6 de agosto</v>
      </c>
      <c r="G1254" s="25" t="str">
        <f ca="1">IFERROR(__xludf.DUMMYFUNCTION("""COMPUTED_VALUE"""),"99. Distrito")</f>
        <v>99. Distrito</v>
      </c>
      <c r="H1254" s="55">
        <f ca="1">IFERROR(__xludf.DUMMYFUNCTION("""COMPUTED_VALUE"""),44414)</f>
        <v>44414</v>
      </c>
      <c r="I1254" s="25"/>
      <c r="J1254" s="55" t="str">
        <f ca="1">IFERROR(__xludf.DUMMYFUNCTION("""COMPUTED_VALUE"""),"Alta")</f>
        <v>Alta</v>
      </c>
      <c r="K1254" s="25">
        <f ca="1">IFERROR(__xludf.DUMMYFUNCTION("""COMPUTED_VALUE"""),10)</f>
        <v>10</v>
      </c>
      <c r="L1254" s="62">
        <f ca="1">IFERROR(__xludf.DUMMYFUNCTION("""COMPUTED_VALUE"""),44420)</f>
        <v>44420</v>
      </c>
      <c r="M1254" s="25" t="str">
        <f ca="1">IFERROR(__xludf.DUMMYFUNCTION("""COMPUTED_VALUE"""),"Se radicaron los proyectos en la fecha prevista")</f>
        <v>Se radicaron los proyectos en la fecha prevista</v>
      </c>
      <c r="N1254" s="55">
        <f ca="1">IFERROR(__xludf.DUMMYFUNCTION("""COMPUTED_VALUE"""),44927)</f>
        <v>44927</v>
      </c>
      <c r="O1254" s="25" t="str">
        <f t="shared" ca="1" si="0"/>
        <v>Secretaría de Educación del Distrito</v>
      </c>
      <c r="P1254" s="25" t="str">
        <f t="shared" si="2"/>
        <v/>
      </c>
      <c r="Q1254" s="25" t="str">
        <f ca="1">IFERROR(__xludf.DUMMYFUNCTION("""COMPUTED_VALUE"""),"Corto plazo")</f>
        <v>Corto plazo</v>
      </c>
      <c r="R1254" s="25"/>
      <c r="S1254" s="55"/>
      <c r="T1254" s="56"/>
      <c r="U1254" s="25"/>
      <c r="V1254" s="25"/>
      <c r="W1254" s="25"/>
      <c r="X1254" s="25"/>
      <c r="Y1254" s="25"/>
      <c r="Z1254" s="25"/>
    </row>
    <row r="1255" spans="1:26" ht="52.5" customHeight="1" x14ac:dyDescent="0.25">
      <c r="A1255" s="25" t="str">
        <f ca="1">IFERROR(__xludf.DUMMYFUNCTION("""COMPUTED_VALUE"""),"Educa53")</f>
        <v>Educa53</v>
      </c>
      <c r="B1255" s="25" t="str">
        <f ca="1">IFERROR(__xludf.DUMMYFUNCTION("""COMPUTED_VALUE"""),"Foro educativo distrital 2022")</f>
        <v>Foro educativo distrital 2022</v>
      </c>
      <c r="C1255" s="55">
        <f ca="1">IFERROR(__xludf.DUMMYFUNCTION("""COMPUTED_VALUE"""),44830)</f>
        <v>44830</v>
      </c>
      <c r="D1255" s="25" t="str">
        <f ca="1">IFERROR(__xludf.DUMMYFUNCTION("""COMPUTED_VALUE"""),"Educación")</f>
        <v>Educación</v>
      </c>
      <c r="E1255" s="25" t="str">
        <f ca="1">IFERROR(__xludf.DUMMYFUNCTION("""COMPUTED_VALUE"""),"Secretaría de Educación del Distrito")</f>
        <v>Secretaría de Educación del Distrito</v>
      </c>
      <c r="F1255" s="25" t="str">
        <f ca="1">IFERROR(__xludf.DUMMYFUNCTION("""COMPUTED_VALUE"""),"Medir a partir de indicadores de eficiencia el gasto invertido por niño en el distrito y compararlo con el logro educativo.
")</f>
        <v xml:space="preserve">Medir a partir de indicadores de eficiencia el gasto invertido por niño en el distrito y compararlo con el logro educativo.
</v>
      </c>
      <c r="G1255" s="25" t="str">
        <f ca="1">IFERROR(__xludf.DUMMYFUNCTION("""COMPUTED_VALUE"""),"99. Distrito")</f>
        <v>99. Distrito</v>
      </c>
      <c r="H1255" s="55">
        <f ca="1">IFERROR(__xludf.DUMMYFUNCTION("""COMPUTED_VALUE"""),45030)</f>
        <v>45030</v>
      </c>
      <c r="I1255" s="25"/>
      <c r="J1255" s="55" t="str">
        <f ca="1">IFERROR(__xludf.DUMMYFUNCTION("""COMPUTED_VALUE"""),"Baja")</f>
        <v>Baja</v>
      </c>
      <c r="K1255" s="25">
        <f ca="1">IFERROR(__xludf.DUMMYFUNCTION("""COMPUTED_VALUE"""),200)</f>
        <v>200</v>
      </c>
      <c r="L1255" s="62">
        <f ca="1">IFERROR(__xludf.DUMMYFUNCTION("""COMPUTED_VALUE"""),45016)</f>
        <v>45016</v>
      </c>
      <c r="M1255" s="25" t="str">
        <f ca="1">IFERROR(__xludf.DUMMYFUNCTION("""COMPUTED_VALUE"""),"Se hizo entrega del informe final del estudio ""Recursos Propios y Calidad de la Educación en Bogotá"", que analiza la estructura del gasto en Bogotá D.C, comparando la ciudad frente a los demás distritos y municipios certificados del país.
El informe "&amp;"centra su atención en el gasto por alumno, financiado con recursos del Sistema General de Participaciones (SGP) por una parte, y con recursos propios de las entidades territoriales, por el otro. Contiene una parte descriptiva, al igual que otra de carácte"&amp;"r estadístico. Esta última pretende estimar el efecto que las variables relacionadas con el gasto, al igual que otras de carácter instrumental asociadas a otros indicadores educativos, tienen sobre los estudiantes de los colegios oficiales en los resultad"&amp;"os de las pruebas Saber 11.")</f>
        <v>Se hizo entrega del informe final del estudio "Recursos Propios y Calidad de la Educación en Bogotá", que analiza la estructura del gasto en Bogotá D.C, comparando la ciudad frente a los demás distritos y municipios certificados del país.
El informe centra su atención en el gasto por alumno, financiado con recursos del Sistema General de Participaciones (SGP) por una parte, y con recursos propios de las entidades territoriales, por el otro. Contiene una parte descriptiva, al igual que otra de carácter estadístico. Esta última pretende estimar el efecto que las variables relacionadas con el gasto, al igual que otras de carácter instrumental asociadas a otros indicadores educativos, tienen sobre los estudiantes de los colegios oficiales en los resultados de las pruebas Saber 11.</v>
      </c>
      <c r="N1255" s="55">
        <f ca="1">IFERROR(__xludf.DUMMYFUNCTION("""COMPUTED_VALUE"""),45015)</f>
        <v>45015</v>
      </c>
      <c r="O1255" s="25" t="str">
        <f t="shared" ca="1" si="0"/>
        <v>Secretaría de Educación del Distrito</v>
      </c>
      <c r="P1255" s="25" t="str">
        <f t="shared" si="2"/>
        <v/>
      </c>
      <c r="Q1255" s="25" t="str">
        <f ca="1">IFERROR(__xludf.DUMMYFUNCTION("""COMPUTED_VALUE"""),"Largo plazo")</f>
        <v>Largo plazo</v>
      </c>
      <c r="R1255" s="25"/>
      <c r="S1255" s="55"/>
      <c r="T1255" s="56"/>
      <c r="U1255" s="25"/>
      <c r="V1255" s="25"/>
      <c r="W1255" s="25"/>
      <c r="X1255" s="25"/>
      <c r="Y1255" s="25"/>
      <c r="Z1255" s="25"/>
    </row>
    <row r="1256" spans="1:26" ht="52.5" customHeight="1" x14ac:dyDescent="0.25">
      <c r="A1256" s="25" t="str">
        <f ca="1">IFERROR(__xludf.DUMMYFUNCTION("""COMPUTED_VALUE"""),"Educa54")</f>
        <v>Educa54</v>
      </c>
      <c r="B1256" s="25" t="str">
        <f ca="1">IFERROR(__xludf.DUMMYFUNCTION("""COMPUTED_VALUE"""),"Revisión retos y oportunidades UPL (POT)")</f>
        <v>Revisión retos y oportunidades UPL (POT)</v>
      </c>
      <c r="C1256" s="55">
        <f ca="1">IFERROR(__xludf.DUMMYFUNCTION("""COMPUTED_VALUE"""),44398)</f>
        <v>44398</v>
      </c>
      <c r="D1256" s="25" t="str">
        <f ca="1">IFERROR(__xludf.DUMMYFUNCTION("""COMPUTED_VALUE"""),"Educación")</f>
        <v>Educación</v>
      </c>
      <c r="E1256" s="25" t="str">
        <f ca="1">IFERROR(__xludf.DUMMYFUNCTION("""COMPUTED_VALUE"""),"Secretaría de Educación del Distrito")</f>
        <v>Secretaría de Educación del Distrito</v>
      </c>
      <c r="F1256" s="25" t="str">
        <f ca="1">IFERROR(__xludf.DUMMYFUNCTION("""COMPUTED_VALUE"""),"Cruzar los cálculos de la presentación de equipamientos del sector educación en el POT con los resultados y equipamientos referidos en el informe de la Misión de Educadores")</f>
        <v>Cruzar los cálculos de la presentación de equipamientos del sector educación en el POT con los resultados y equipamientos referidos en el informe de la Misión de Educadores</v>
      </c>
      <c r="G1256" s="25" t="str">
        <f ca="1">IFERROR(__xludf.DUMMYFUNCTION("""COMPUTED_VALUE"""),"99. Distrito")</f>
        <v>99. Distrito</v>
      </c>
      <c r="H1256" s="55">
        <f ca="1">IFERROR(__xludf.DUMMYFUNCTION("""COMPUTED_VALUE"""),44428)</f>
        <v>44428</v>
      </c>
      <c r="I1256" s="25"/>
      <c r="J1256" s="55" t="str">
        <f ca="1">IFERROR(__xludf.DUMMYFUNCTION("""COMPUTED_VALUE"""),"Alta")</f>
        <v>Alta</v>
      </c>
      <c r="K1256" s="25">
        <f ca="1">IFERROR(__xludf.DUMMYFUNCTION("""COMPUTED_VALUE"""),30)</f>
        <v>30</v>
      </c>
      <c r="L1256" s="62"/>
      <c r="M1256" s="25"/>
      <c r="N1256" s="55">
        <f ca="1">IFERROR(__xludf.DUMMYFUNCTION("""COMPUTED_VALUE"""),44927)</f>
        <v>44927</v>
      </c>
      <c r="O1256" s="25" t="str">
        <f t="shared" ca="1" si="0"/>
        <v>Secretaría de Educación del Distrito</v>
      </c>
      <c r="P1256" s="25" t="str">
        <f t="shared" si="2"/>
        <v/>
      </c>
      <c r="Q1256" s="25" t="str">
        <f ca="1">IFERROR(__xludf.DUMMYFUNCTION("""COMPUTED_VALUE"""),"Corto plazo")</f>
        <v>Corto plazo</v>
      </c>
      <c r="R1256" s="25"/>
      <c r="S1256" s="55"/>
      <c r="T1256" s="56"/>
      <c r="U1256" s="25"/>
      <c r="V1256" s="25"/>
      <c r="W1256" s="25"/>
      <c r="X1256" s="25"/>
      <c r="Y1256" s="25"/>
      <c r="Z1256" s="25"/>
    </row>
    <row r="1257" spans="1:26" ht="52.5" customHeight="1" x14ac:dyDescent="0.25">
      <c r="A1257" s="25" t="str">
        <f ca="1">IFERROR(__xludf.DUMMYFUNCTION("""COMPUTED_VALUE"""),"Educa55")</f>
        <v>Educa55</v>
      </c>
      <c r="B1257" s="25" t="str">
        <f ca="1">IFERROR(__xludf.DUMMYFUNCTION("""COMPUTED_VALUE"""),"Foro educativo distrital 2022")</f>
        <v>Foro educativo distrital 2022</v>
      </c>
      <c r="C1257" s="55">
        <f ca="1">IFERROR(__xludf.DUMMYFUNCTION("""COMPUTED_VALUE"""),44830)</f>
        <v>44830</v>
      </c>
      <c r="D1257" s="25" t="str">
        <f ca="1">IFERROR(__xludf.DUMMYFUNCTION("""COMPUTED_VALUE"""),"Educación")</f>
        <v>Educación</v>
      </c>
      <c r="E1257" s="25" t="str">
        <f ca="1">IFERROR(__xludf.DUMMYFUNCTION("""COMPUTED_VALUE"""),"Secretaría de Educación del Distrito")</f>
        <v>Secretaría de Educación del Distrito</v>
      </c>
      <c r="F1257" s="25" t="str">
        <f ca="1">IFERROR(__xludf.DUMMYFUNCTION("""COMPUTED_VALUE"""),"Medir el logro educativo dentro del sistema público del distrito y de Bogotá-región, y compararlos")</f>
        <v>Medir el logro educativo dentro del sistema público del distrito y de Bogotá-región, y compararlos</v>
      </c>
      <c r="G1257" s="25" t="str">
        <f ca="1">IFERROR(__xludf.DUMMYFUNCTION("""COMPUTED_VALUE"""),"99. Distrito")</f>
        <v>99. Distrito</v>
      </c>
      <c r="H1257" s="55">
        <f ca="1">IFERROR(__xludf.DUMMYFUNCTION("""COMPUTED_VALUE"""),45107)</f>
        <v>45107</v>
      </c>
      <c r="I1257" s="25"/>
      <c r="J1257" s="55" t="str">
        <f ca="1">IFERROR(__xludf.DUMMYFUNCTION("""COMPUTED_VALUE"""),"Baja")</f>
        <v>Baja</v>
      </c>
      <c r="K1257" s="25">
        <f ca="1">IFERROR(__xludf.DUMMYFUNCTION("""COMPUTED_VALUE"""),277)</f>
        <v>277</v>
      </c>
      <c r="L1257" s="62">
        <f ca="1">IFERROR(__xludf.DUMMYFUNCTION("""COMPUTED_VALUE"""),44985)</f>
        <v>44985</v>
      </c>
      <c r="M1257" s="25" t="str">
        <f ca="1">IFERROR(__xludf.DUMMYFUNCTION("""COMPUTED_VALUE"""),"Se realizo la medición del logro educativo del sistema público del Distrito Capital mediante diferentes evaluaciones internas, externas y del clima escolar, generando análisis comparativos entre vigencias, así como entre Bogotá D.C., las principales entid"&amp;"ades territoriales y país:
1. Evaluación interna a través de los registros de valoraciones que hacen los docentes de sus estudiantes, mediante el Sistema de Apoyo Escolar (SAE). Se contó con la información de 261 colegios, 469 sedes y 413.625 estudiantes"&amp;" en el corte preliminar para 2022. En cada uno de estos cortes se establecieron los porcentajes de estudiantes que se ubican en los diferentes niveles de desempeño en la escala nacional establecida por el MEN (Bajo, Básico, Alto y Superior), por áreas y s"&amp;"e calcularon los respectivos indicadores, con el fin de obtener análisis comparativos con los años 2020 y 2021.
2.  Evaluación externa mediante el análisis de los resultados de pruebas Saber 11º,  pruebas Saber 3º, 5º y 9º y el estudio de habilidades soc"&amp;"iemocionales. Se generaron resultados agregados por colegio a nivel nacional, se adicionaron variables de clase y entidad territorial y se realizaron los respectivos cálculos y gráficas comparativas entre Bogotá, las principales entidades territoriales y "&amp;"país. Para las pruebas Saber  3º, 5º y 9º  se realizaron análisis  por área y por grado en la aplicación electrónica en el año 2021, que fueron reportados en el Informe Nacional. Para el estudio de habilidades sociemocionales se presentaron los datos agre"&amp;"gados para los índices y subíndices estimados.
3. Evaluación del Clima Escolar, mediante la Encuesta de Clima Escolar y el Módulo de Ciudadanía.Se realizaron los análisis correspondientes a los índices y niveles de desempeño por dimensión, subdimensión y"&amp;" tema para las Encuestas de clima escolar (estudiantes), encuesta de clima familiar (estudiantes), encuesta de clima escolar cuando se aprende en casa (hogares), encuesta de docentes, aplicada a estudiantes de grado sexto a undécimo y para el módulo de ci"&amp;"udadanía, aplicado a estudiantes de grado noveno.")</f>
        <v>Se realizo la medición del logro educativo del sistema público del Distrito Capital mediante diferentes evaluaciones internas, externas y del clima escolar, generando análisis comparativos entre vigencias, así como entre Bogotá D.C., las principales entidades territoriales y país:
1. Evaluación interna a través de los registros de valoraciones que hacen los docentes de sus estudiantes, mediante el Sistema de Apoyo Escolar (SAE). Se contó con la información de 261 colegios, 469 sedes y 413.625 estudiantes en el corte preliminar para 2022. En cada uno de estos cortes se establecieron los porcentajes de estudiantes que se ubican en los diferentes niveles de desempeño en la escala nacional establecida por el MEN (Bajo, Básico, Alto y Superior), por áreas y se calcularon los respectivos indicadores, con el fin de obtener análisis comparativos con los años 2020 y 2021.
2.  Evaluación externa mediante el análisis de los resultados de pruebas Saber 11º,  pruebas Saber 3º, 5º y 9º y el estudio de habilidades sociemocionales. Se generaron resultados agregados por colegio a nivel nacional, se adicionaron variables de clase y entidad territorial y se realizaron los respectivos cálculos y gráficas comparativas entre Bogotá, las principales entidades territoriales y país. Para las pruebas Saber  3º, 5º y 9º  se realizaron análisis  por área y por grado en la aplicación electrónica en el año 2021, que fueron reportados en el Informe Nacional. Para el estudio de habilidades sociemocionales se presentaron los datos agregados para los índices y subíndices estimados.
3. Evaluación del Clima Escolar, mediante la Encuesta de Clima Escolar y el Módulo de Ciudadanía.Se realizaron los análisis correspondientes a los índices y niveles de desempeño por dimensión, subdimensión y tema para las Encuestas de clima escolar (estudiantes), encuesta de clima familiar (estudiantes), encuesta de clima escolar cuando se aprende en casa (hogares), encuesta de docentes, aplicada a estudiantes de grado sexto a undécimo y para el módulo de ciudadanía, aplicado a estudiantes de grado noveno.</v>
      </c>
      <c r="N1257" s="55">
        <f ca="1">IFERROR(__xludf.DUMMYFUNCTION("""COMPUTED_VALUE"""),44957)</f>
        <v>44957</v>
      </c>
      <c r="O1257" s="25" t="str">
        <f t="shared" ca="1" si="0"/>
        <v>Secretaría de Educación del Distrito</v>
      </c>
      <c r="P1257" s="25" t="str">
        <f t="shared" si="2"/>
        <v/>
      </c>
      <c r="Q1257" s="25" t="str">
        <f ca="1">IFERROR(__xludf.DUMMYFUNCTION("""COMPUTED_VALUE"""),"Largo plazo")</f>
        <v>Largo plazo</v>
      </c>
      <c r="R1257" s="25"/>
      <c r="S1257" s="55"/>
      <c r="T1257" s="56"/>
      <c r="U1257" s="25"/>
      <c r="V1257" s="25"/>
      <c r="W1257" s="25"/>
      <c r="X1257" s="25"/>
      <c r="Y1257" s="25"/>
      <c r="Z1257" s="25"/>
    </row>
    <row r="1258" spans="1:26" ht="52.5" customHeight="1" x14ac:dyDescent="0.25">
      <c r="A1258" s="25" t="str">
        <f ca="1">IFERROR(__xludf.DUMMYFUNCTION("""COMPUTED_VALUE"""),"Educa56")</f>
        <v>Educa56</v>
      </c>
      <c r="B1258" s="25" t="str">
        <f ca="1">IFERROR(__xludf.DUMMYFUNCTION("""COMPUTED_VALUE"""),"Avances en transición de Jardines a Colegios")</f>
        <v>Avances en transición de Jardines a Colegios</v>
      </c>
      <c r="C1258" s="55">
        <f ca="1">IFERROR(__xludf.DUMMYFUNCTION("""COMPUTED_VALUE"""),44449)</f>
        <v>44449</v>
      </c>
      <c r="D1258" s="25" t="str">
        <f ca="1">IFERROR(__xludf.DUMMYFUNCTION("""COMPUTED_VALUE"""),"Educación")</f>
        <v>Educación</v>
      </c>
      <c r="E1258" s="25" t="str">
        <f ca="1">IFERROR(__xludf.DUMMYFUNCTION("""COMPUTED_VALUE"""),"Secretaría de Educación del Distrito")</f>
        <v>Secretaría de Educación del Distrito</v>
      </c>
      <c r="F1258" s="25" t="str">
        <f ca="1">IFERROR(__xludf.DUMMYFUNCTION("""COMPUTED_VALUE"""),"Realizar reunión con Secretaria de Hacienda para establecer como prioridad en la designación del presupuesto al proyecto de la transición de jardines a colegios los niños y niñas del distrito.")</f>
        <v>Realizar reunión con Secretaria de Hacienda para establecer como prioridad en la designación del presupuesto al proyecto de la transición de jardines a colegios los niños y niñas del distrito.</v>
      </c>
      <c r="G1258" s="25" t="str">
        <f ca="1">IFERROR(__xludf.DUMMYFUNCTION("""COMPUTED_VALUE"""),"99. Distrito")</f>
        <v>99. Distrito</v>
      </c>
      <c r="H1258" s="55">
        <f ca="1">IFERROR(__xludf.DUMMYFUNCTION("""COMPUTED_VALUE"""),44479)</f>
        <v>44479</v>
      </c>
      <c r="I1258" s="25"/>
      <c r="J1258" s="55" t="str">
        <f ca="1">IFERROR(__xludf.DUMMYFUNCTION("""COMPUTED_VALUE"""),"Alta")</f>
        <v>Alta</v>
      </c>
      <c r="K1258" s="25">
        <f ca="1">IFERROR(__xludf.DUMMYFUNCTION("""COMPUTED_VALUE"""),30)</f>
        <v>30</v>
      </c>
      <c r="L1258" s="62">
        <f ca="1">IFERROR(__xludf.DUMMYFUNCTION("""COMPUTED_VALUE"""),44540)</f>
        <v>44540</v>
      </c>
      <c r="M1258" s="25" t="str">
        <f ca="1">IFERROR(__xludf.DUMMYFUNCTION("""COMPUTED_VALUE"""),"Reunión realizada.")</f>
        <v>Reunión realizada.</v>
      </c>
      <c r="N1258" s="55">
        <f ca="1">IFERROR(__xludf.DUMMYFUNCTION("""COMPUTED_VALUE"""),44927)</f>
        <v>44927</v>
      </c>
      <c r="O1258" s="25" t="str">
        <f t="shared" ca="1" si="0"/>
        <v>Secretaría de Educación del Distrito</v>
      </c>
      <c r="P1258" s="25" t="str">
        <f t="shared" si="2"/>
        <v/>
      </c>
      <c r="Q1258" s="25" t="str">
        <f ca="1">IFERROR(__xludf.DUMMYFUNCTION("""COMPUTED_VALUE"""),"Corto plazo")</f>
        <v>Corto plazo</v>
      </c>
      <c r="R1258" s="25"/>
      <c r="S1258" s="55"/>
      <c r="T1258" s="56"/>
      <c r="U1258" s="25"/>
      <c r="V1258" s="25"/>
      <c r="W1258" s="25"/>
      <c r="X1258" s="25"/>
      <c r="Y1258" s="25"/>
      <c r="Z1258" s="25"/>
    </row>
    <row r="1259" spans="1:26" ht="52.5" customHeight="1" x14ac:dyDescent="0.25">
      <c r="A1259" s="25" t="str">
        <f ca="1">IFERROR(__xludf.DUMMYFUNCTION("""COMPUTED_VALUE"""),"Educa57")</f>
        <v>Educa57</v>
      </c>
      <c r="B1259" s="25" t="str">
        <f ca="1">IFERROR(__xludf.DUMMYFUNCTION("""COMPUTED_VALUE"""),"Foro educativo distrital 2022")</f>
        <v>Foro educativo distrital 2022</v>
      </c>
      <c r="C1259" s="55">
        <f ca="1">IFERROR(__xludf.DUMMYFUNCTION("""COMPUTED_VALUE"""),44830)</f>
        <v>44830</v>
      </c>
      <c r="D1259" s="25" t="str">
        <f ca="1">IFERROR(__xludf.DUMMYFUNCTION("""COMPUTED_VALUE"""),"Educación")</f>
        <v>Educación</v>
      </c>
      <c r="E1259" s="25" t="str">
        <f ca="1">IFERROR(__xludf.DUMMYFUNCTION("""COMPUTED_VALUE"""),"Secretaría de Educación del Distrito")</f>
        <v>Secretaría de Educación del Distrito</v>
      </c>
      <c r="F1259" s="25" t="str">
        <f ca="1">IFERROR(__xludf.DUMMYFUNCTION("""COMPUTED_VALUE"""),"Establecer unos currículos y textos curriculares uniformes para todo el país que incluyan competencias básicas y estandarizadas en ciencias básicas, ciencias sociales y en competencias socio-emocionales.")</f>
        <v>Establecer unos currículos y textos curriculares uniformes para todo el país que incluyan competencias básicas y estandarizadas en ciencias básicas, ciencias sociales y en competencias socio-emocionales.</v>
      </c>
      <c r="G1259" s="25" t="str">
        <f ca="1">IFERROR(__xludf.DUMMYFUNCTION("""COMPUTED_VALUE"""),"99. Distrito")</f>
        <v>99. Distrito</v>
      </c>
      <c r="H1259" s="55">
        <f ca="1">IFERROR(__xludf.DUMMYFUNCTION("""COMPUTED_VALUE"""),44860)</f>
        <v>44860</v>
      </c>
      <c r="I1259" s="25"/>
      <c r="J1259" s="55" t="str">
        <f ca="1">IFERROR(__xludf.DUMMYFUNCTION("""COMPUTED_VALUE"""),"Alta")</f>
        <v>Alta</v>
      </c>
      <c r="K1259" s="25">
        <f ca="1">IFERROR(__xludf.DUMMYFUNCTION("""COMPUTED_VALUE"""),30)</f>
        <v>30</v>
      </c>
      <c r="L1259" s="62">
        <f ca="1">IFERROR(__xludf.DUMMYFUNCTION("""COMPUTED_VALUE"""),44888)</f>
        <v>44888</v>
      </c>
      <c r="M1259" s="25" t="str">
        <f ca="1">IFERROR(__xludf.DUMMYFUNCTION("""COMPUTED_VALUE"""),"N.A.")</f>
        <v>N.A.</v>
      </c>
      <c r="N1259" s="55">
        <f ca="1">IFERROR(__xludf.DUMMYFUNCTION("""COMPUTED_VALUE"""),44927)</f>
        <v>44927</v>
      </c>
      <c r="O1259" s="25" t="str">
        <f t="shared" ca="1" si="0"/>
        <v>Secretaría de Educación del Distrito</v>
      </c>
      <c r="P1259" s="25" t="str">
        <f t="shared" si="2"/>
        <v/>
      </c>
      <c r="Q1259" s="25" t="str">
        <f ca="1">IFERROR(__xludf.DUMMYFUNCTION("""COMPUTED_VALUE"""),"Corto plazo")</f>
        <v>Corto plazo</v>
      </c>
      <c r="R1259" s="25"/>
      <c r="S1259" s="55"/>
      <c r="T1259" s="56"/>
      <c r="U1259" s="25"/>
      <c r="V1259" s="25"/>
      <c r="W1259" s="25"/>
      <c r="X1259" s="25"/>
      <c r="Y1259" s="25"/>
      <c r="Z1259" s="25"/>
    </row>
    <row r="1260" spans="1:26" ht="52.5" customHeight="1" x14ac:dyDescent="0.25">
      <c r="A1260" s="25" t="str">
        <f ca="1">IFERROR(__xludf.DUMMYFUNCTION("""COMPUTED_VALUE"""),"Educa58")</f>
        <v>Educa58</v>
      </c>
      <c r="B1260" s="25" t="str">
        <f ca="1">IFERROR(__xludf.DUMMYFUNCTION("""COMPUTED_VALUE"""),"Foro educativo distrital 2022")</f>
        <v>Foro educativo distrital 2022</v>
      </c>
      <c r="C1260" s="55">
        <f ca="1">IFERROR(__xludf.DUMMYFUNCTION("""COMPUTED_VALUE"""),44830)</f>
        <v>44830</v>
      </c>
      <c r="D1260" s="25" t="str">
        <f ca="1">IFERROR(__xludf.DUMMYFUNCTION("""COMPUTED_VALUE"""),"Educación")</f>
        <v>Educación</v>
      </c>
      <c r="E1260" s="25" t="str">
        <f ca="1">IFERROR(__xludf.DUMMYFUNCTION("""COMPUTED_VALUE"""),"Secretaría de Educación del Distrito")</f>
        <v>Secretaría de Educación del Distrito</v>
      </c>
      <c r="F1260" s="25" t="str">
        <f ca="1">IFERROR(__xludf.DUMMYFUNCTION("""COMPUTED_VALUE"""),"Incorporar al sistema distrital la medición de las competencias socio-emocionales como rendimiento educativo de los profesores, sin incidencia directa en el salario de los mismos.")</f>
        <v>Incorporar al sistema distrital la medición de las competencias socio-emocionales como rendimiento educativo de los profesores, sin incidencia directa en el salario de los mismos.</v>
      </c>
      <c r="G1260" s="25" t="str">
        <f ca="1">IFERROR(__xludf.DUMMYFUNCTION("""COMPUTED_VALUE"""),"99. Distrito")</f>
        <v>99. Distrito</v>
      </c>
      <c r="H1260" s="55">
        <f ca="1">IFERROR(__xludf.DUMMYFUNCTION("""COMPUTED_VALUE"""),44860)</f>
        <v>44860</v>
      </c>
      <c r="I1260" s="25"/>
      <c r="J1260" s="55" t="str">
        <f ca="1">IFERROR(__xludf.DUMMYFUNCTION("""COMPUTED_VALUE"""),"Alta")</f>
        <v>Alta</v>
      </c>
      <c r="K1260" s="25">
        <f ca="1">IFERROR(__xludf.DUMMYFUNCTION("""COMPUTED_VALUE"""),30)</f>
        <v>30</v>
      </c>
      <c r="L1260" s="62">
        <f ca="1">IFERROR(__xludf.DUMMYFUNCTION("""COMPUTED_VALUE"""),44888)</f>
        <v>44888</v>
      </c>
      <c r="M1260" s="25" t="str">
        <f ca="1">IFERROR(__xludf.DUMMYFUNCTION("""COMPUTED_VALUE"""),"N.A.")</f>
        <v>N.A.</v>
      </c>
      <c r="N1260" s="55">
        <f ca="1">IFERROR(__xludf.DUMMYFUNCTION("""COMPUTED_VALUE"""),44927)</f>
        <v>44927</v>
      </c>
      <c r="O1260" s="25" t="str">
        <f t="shared" ca="1" si="0"/>
        <v>Secretaría de Educación del Distrito</v>
      </c>
      <c r="P1260" s="25" t="str">
        <f t="shared" si="2"/>
        <v/>
      </c>
      <c r="Q1260" s="25" t="str">
        <f ca="1">IFERROR(__xludf.DUMMYFUNCTION("""COMPUTED_VALUE"""),"Corto plazo")</f>
        <v>Corto plazo</v>
      </c>
      <c r="R1260" s="25"/>
      <c r="S1260" s="55"/>
      <c r="T1260" s="56"/>
      <c r="U1260" s="25"/>
      <c r="V1260" s="25"/>
      <c r="W1260" s="25"/>
      <c r="X1260" s="25"/>
      <c r="Y1260" s="25"/>
      <c r="Z1260" s="25"/>
    </row>
    <row r="1261" spans="1:26" ht="52.5" customHeight="1" x14ac:dyDescent="0.25">
      <c r="A1261" s="25" t="str">
        <f ca="1">IFERROR(__xludf.DUMMYFUNCTION("""COMPUTED_VALUE"""),"Educa59")</f>
        <v>Educa59</v>
      </c>
      <c r="B1261" s="25" t="str">
        <f ca="1">IFERROR(__xludf.DUMMYFUNCTION("""COMPUTED_VALUE"""),"Maloka")</f>
        <v>Maloka</v>
      </c>
      <c r="C1261" s="55">
        <f ca="1">IFERROR(__xludf.DUMMYFUNCTION("""COMPUTED_VALUE"""),44421)</f>
        <v>44421</v>
      </c>
      <c r="D1261" s="25" t="str">
        <f ca="1">IFERROR(__xludf.DUMMYFUNCTION("""COMPUTED_VALUE"""),"Educación")</f>
        <v>Educación</v>
      </c>
      <c r="E1261" s="25" t="str">
        <f ca="1">IFERROR(__xludf.DUMMYFUNCTION("""COMPUTED_VALUE"""),"Secretaría de Educación del Distrito")</f>
        <v>Secretaría de Educación del Distrito</v>
      </c>
      <c r="F1261" s="25" t="str">
        <f ca="1">IFERROR(__xludf.DUMMYFUNCTION("""COMPUTED_VALUE"""),"Hacer un plan para fortalecer la relación entre la Sec. de Educación y Maloka en la educación media")</f>
        <v>Hacer un plan para fortalecer la relación entre la Sec. de Educación y Maloka en la educación media</v>
      </c>
      <c r="G1261" s="25" t="str">
        <f ca="1">IFERROR(__xludf.DUMMYFUNCTION("""COMPUTED_VALUE"""),"99. Distrito")</f>
        <v>99. Distrito</v>
      </c>
      <c r="H1261" s="55">
        <f ca="1">IFERROR(__xludf.DUMMYFUNCTION("""COMPUTED_VALUE"""),44451)</f>
        <v>44451</v>
      </c>
      <c r="I1261" s="25"/>
      <c r="J1261" s="55" t="str">
        <f ca="1">IFERROR(__xludf.DUMMYFUNCTION("""COMPUTED_VALUE"""),"Alta")</f>
        <v>Alta</v>
      </c>
      <c r="K1261" s="25">
        <f ca="1">IFERROR(__xludf.DUMMYFUNCTION("""COMPUTED_VALUE"""),30)</f>
        <v>30</v>
      </c>
      <c r="L1261" s="62">
        <f ca="1">IFERROR(__xludf.DUMMYFUNCTION("""COMPUTED_VALUE"""),44617)</f>
        <v>44617</v>
      </c>
      <c r="M1261" s="25" t="str">
        <f ca="1">IFERROR(__xludf.DUMMYFUNCTION("""COMPUTED_VALUE"""),"Maloka tiene proyectado el componente “Maloka Puertas Abiertas – Desafío del Saber”, con una atención específica para 12.068 estudiantes de grado 10° y 11°, quienes realizarán recorridos guiados, diseñados en alianza con la Secretaría de Educación, para b"&amp;"rindar a los estudiantes de grado 10° y 11° de Bogotá, elementos que aporten al fortalecimiento de sus aprendizajes en el área de ciencias naturales y promover en los jóvenes el desarrollo de habilidades y actitudes científicas.")</f>
        <v>Maloka tiene proyectado el componente “Maloka Puertas Abiertas – Desafío del Saber”, con una atención específica para 12.068 estudiantes de grado 10° y 11°, quienes realizarán recorridos guiados, diseñados en alianza con la Secretaría de Educación, para brindar a los estudiantes de grado 10° y 11° de Bogotá, elementos que aporten al fortalecimiento de sus aprendizajes en el área de ciencias naturales y promover en los jóvenes el desarrollo de habilidades y actitudes científicas.</v>
      </c>
      <c r="N1261" s="55">
        <f ca="1">IFERROR(__xludf.DUMMYFUNCTION("""COMPUTED_VALUE"""),44927)</f>
        <v>44927</v>
      </c>
      <c r="O1261" s="25" t="str">
        <f t="shared" ca="1" si="0"/>
        <v>Secretaría de Educación del Distrito</v>
      </c>
      <c r="P1261" s="25" t="str">
        <f t="shared" si="2"/>
        <v/>
      </c>
      <c r="Q1261" s="25" t="str">
        <f ca="1">IFERROR(__xludf.DUMMYFUNCTION("""COMPUTED_VALUE"""),"Corto plazo")</f>
        <v>Corto plazo</v>
      </c>
      <c r="R1261" s="25"/>
      <c r="S1261" s="55"/>
      <c r="T1261" s="56"/>
      <c r="U1261" s="25"/>
      <c r="V1261" s="25"/>
      <c r="W1261" s="25"/>
      <c r="X1261" s="25"/>
      <c r="Y1261" s="25"/>
      <c r="Z1261" s="25"/>
    </row>
    <row r="1262" spans="1:26" ht="52.5" customHeight="1" x14ac:dyDescent="0.25">
      <c r="A1262" s="25" t="str">
        <f ca="1">IFERROR(__xludf.DUMMYFUNCTION("""COMPUTED_VALUE"""),"Educa60")</f>
        <v>Educa60</v>
      </c>
      <c r="B1262" s="25" t="str">
        <f ca="1">IFERROR(__xludf.DUMMYFUNCTION("""COMPUTED_VALUE"""),"Foro educativo distrital 2022")</f>
        <v>Foro educativo distrital 2022</v>
      </c>
      <c r="C1262" s="55">
        <f ca="1">IFERROR(__xludf.DUMMYFUNCTION("""COMPUTED_VALUE"""),44830)</f>
        <v>44830</v>
      </c>
      <c r="D1262" s="25" t="str">
        <f ca="1">IFERROR(__xludf.DUMMYFUNCTION("""COMPUTED_VALUE"""),"Educación")</f>
        <v>Educación</v>
      </c>
      <c r="E1262" s="25" t="str">
        <f ca="1">IFERROR(__xludf.DUMMYFUNCTION("""COMPUTED_VALUE"""),"Secretaría de Educación del Distrito")</f>
        <v>Secretaría de Educación del Distrito</v>
      </c>
      <c r="F1262" s="25" t="str">
        <f ca="1">IFERROR(__xludf.DUMMYFUNCTION("""COMPUTED_VALUE"""),"Dejar como recomendación del foro la propuesta de convergencia de las cuatro fuentes de financiación principales (PGN, Presupuesto territorial, SGP y SGR) para primero, lograr financiar la inclusión de competencias socioemocionales en los currículos de la"&amp;"s instituciones educativas; segundo, garantizar el acceso a educación de la primera infancia y tercero, la financiación de la educación post media.")</f>
        <v>Dejar como recomendación del foro la propuesta de convergencia de las cuatro fuentes de financiación principales (PGN, Presupuesto territorial, SGP y SGR) para primero, lograr financiar la inclusión de competencias socioemocionales en los currículos de las instituciones educativas; segundo, garantizar el acceso a educación de la primera infancia y tercero, la financiación de la educación post media.</v>
      </c>
      <c r="G1262" s="25" t="str">
        <f ca="1">IFERROR(__xludf.DUMMYFUNCTION("""COMPUTED_VALUE"""),"99. Distrito")</f>
        <v>99. Distrito</v>
      </c>
      <c r="H1262" s="55">
        <f ca="1">IFERROR(__xludf.DUMMYFUNCTION("""COMPUTED_VALUE"""),45016)</f>
        <v>45016</v>
      </c>
      <c r="I1262" s="25"/>
      <c r="J1262" s="55" t="str">
        <f ca="1">IFERROR(__xludf.DUMMYFUNCTION("""COMPUTED_VALUE"""),"Baja")</f>
        <v>Baja</v>
      </c>
      <c r="K1262" s="25">
        <f ca="1">IFERROR(__xludf.DUMMYFUNCTION("""COMPUTED_VALUE"""),186)</f>
        <v>186</v>
      </c>
      <c r="L1262" s="62">
        <f ca="1">IFERROR(__xludf.DUMMYFUNCTION("""COMPUTED_VALUE"""),44985)</f>
        <v>44985</v>
      </c>
      <c r="M1262" s="25" t="str">
        <f ca="1">IFERROR(__xludf.DUMMYFUNCTION("""COMPUTED_VALUE"""),"La Universidad Externado de Colombia adelantó la curaduría del Foro Educativo Distrital así como la elaboración de sus memorias, que incluyen recomendaciones frente a las principales fuentes de financiación de la educación y la construcción de una propues"&amp;"ta de transformación normativa. Ese documento fue entregado el 16 de diciembre 2022 y al 15 de febrero de 2023 se encuentra en ajustes y diagramación para la generación de su versión final.
Las principales recomendaciones se orientan a la necesidad de re"&amp;"visar el funcionamiento de las cuatro principales fuentes de financiación actuales del sistema educativo: Presupuesto General de la Nación (PGN), Sistema General de Participaciones (SGP), los recursos propios de cada Entidad Territorial Certificada y el S"&amp;"istema General de Regalías (SGR); analizando los criterios de focalización en las Entidades Territoriales Certificadas (ETC) más vulnerables y priorizando la inversión en la primera infancia como un eje que requiere de manera urgente una revisión de su fi"&amp;"nanciación para el cierre de brechas.
Adicionalmente, se plantea como necesario, no solamente, movilizar la reforma al sistema de financiamiento, sino también revisar la distribución de las competencias y responsabilidades de los actores del sistema con "&amp;"el fin de mejorar la eficiencia del uso de estos recursos, garantizando una verdadera descentralización y la posibilidad de brindar una mayor flexibilidad y autonomía a las ETC que demuestran mejores capacidades institucionales en el manejo de los recurso"&amp;"s. 
Otro aspecto relevante en relación con la financiación es la revisión de la asignación y eficiencia de los recursos. En este sentido, se observa que el sistema actual de flujos de financiación del sistema educativo colombiano tiene un alto nivel de c"&amp;"omplejidad que en su conjunto genera inequidades en la distribución y son las entidades con menor desarrollo las que más necesitan inversiones y menos quienes pueden aportar recursos propios, lo que ha generando disparidades territoriales.
En relación c"&amp;"on las fuentes y distribución de los recursos destinados al financiamiento del sistema educativo, es necesaria una reforma a la Ley 715 de 2001, que se encuentre acorde con las necesidades territoriales identificadas, como la inclusión de los niveles de e"&amp;"ducación inicial con enfoque integral, las estrategias de ampliación de la jornada y las relaciones técnicas; la obligatoriedad del nivel de educación media y las exigencias en términos de articulación con la educación posmedia, al igual que la necesaria "&amp;"reorganización y descentralización de las competencias. En este sentido, también sería importante la revisión de las orientaciones de orden nacional sobre la organización de las plantas de cargos docentes, directivos y administrativos de los establecimien"&amp;"tos educativos públicos.")</f>
        <v>La Universidad Externado de Colombia adelantó la curaduría del Foro Educativo Distrital así como la elaboración de sus memorias, que incluyen recomendaciones frente a las principales fuentes de financiación de la educación y la construcción de una propuesta de transformación normativa. Ese documento fue entregado el 16 de diciembre 2022 y al 15 de febrero de 2023 se encuentra en ajustes y diagramación para la generación de su versión final.
Las principales recomendaciones se orientan a la necesidad de revisar el funcionamiento de las cuatro principales fuentes de financiación actuales del sistema educativo: Presupuesto General de la Nación (PGN), Sistema General de Participaciones (SGP), los recursos propios de cada Entidad Territorial Certificada y el Sistema General de Regalías (SGR); analizando los criterios de focalización en las Entidades Territoriales Certificadas (ETC) más vulnerables y priorizando la inversión en la primera infancia como un eje que requiere de manera urgente una revisión de su financiación para el cierre de brechas.
Adicionalmente, se plantea como necesario, no solamente, movilizar la reforma al sistema de financiamiento, sino también revisar la distribución de las competencias y responsabilidades de los actores del sistema con el fin de mejorar la eficiencia del uso de estos recursos, garantizando una verdadera descentralización y la posibilidad de brindar una mayor flexibilidad y autonomía a las ETC que demuestran mejores capacidades institucionales en el manejo de los recursos. 
Otro aspecto relevante en relación con la financiación es la revisión de la asignación y eficiencia de los recursos. En este sentido, se observa que el sistema actual de flujos de financiación del sistema educativo colombiano tiene un alto nivel de complejidad que en su conjunto genera inequidades en la distribución y son las entidades con menor desarrollo las que más necesitan inversiones y menos quienes pueden aportar recursos propios, lo que ha generando disparidades territoriales.
En relación con las fuentes y distribución de los recursos destinados al financiamiento del sistema educativo, es necesaria una reforma a la Ley 715 de 2001, que se encuentre acorde con las necesidades territoriales identificadas, como la inclusión de los niveles de educación inicial con enfoque integral, las estrategias de ampliación de la jornada y las relaciones técnicas; la obligatoriedad del nivel de educación media y las exigencias en términos de articulación con la educación posmedia, al igual que la necesaria reorganización y descentralización de las competencias. En este sentido, también sería importante la revisión de las orientaciones de orden nacional sobre la organización de las plantas de cargos docentes, directivos y administrativos de los establecimientos educativos públicos.</v>
      </c>
      <c r="N1262" s="55">
        <f ca="1">IFERROR(__xludf.DUMMYFUNCTION("""COMPUTED_VALUE"""),44972)</f>
        <v>44972</v>
      </c>
      <c r="O1262" s="25" t="str">
        <f t="shared" ca="1" si="0"/>
        <v>Secretaría de Educación del Distrito</v>
      </c>
      <c r="P1262" s="25" t="str">
        <f t="shared" si="2"/>
        <v/>
      </c>
      <c r="Q1262" s="25" t="str">
        <f ca="1">IFERROR(__xludf.DUMMYFUNCTION("""COMPUTED_VALUE"""),"Largo plazo")</f>
        <v>Largo plazo</v>
      </c>
      <c r="R1262" s="25"/>
      <c r="S1262" s="55"/>
      <c r="T1262" s="56"/>
      <c r="U1262" s="25"/>
      <c r="V1262" s="25"/>
      <c r="W1262" s="25"/>
      <c r="X1262" s="25"/>
      <c r="Y1262" s="25"/>
      <c r="Z1262" s="25"/>
    </row>
    <row r="1263" spans="1:26" ht="52.5" customHeight="1" x14ac:dyDescent="0.25">
      <c r="A1263" s="25" t="str">
        <f ca="1">IFERROR(__xludf.DUMMYFUNCTION("""COMPUTED_VALUE"""),"Educa61")</f>
        <v>Educa61</v>
      </c>
      <c r="B1263" s="25" t="str">
        <f ca="1">IFERROR(__xludf.DUMMYFUNCTION("""COMPUTED_VALUE"""),"Recorrido Sumapaz        ")</f>
        <v xml:space="preserve">Recorrido Sumapaz        </v>
      </c>
      <c r="C1263" s="55">
        <f ca="1">IFERROR(__xludf.DUMMYFUNCTION("""COMPUTED_VALUE"""),44450)</f>
        <v>44450</v>
      </c>
      <c r="D1263" s="25" t="str">
        <f ca="1">IFERROR(__xludf.DUMMYFUNCTION("""COMPUTED_VALUE"""),"Educación")</f>
        <v>Educación</v>
      </c>
      <c r="E1263" s="25" t="str">
        <f ca="1">IFERROR(__xludf.DUMMYFUNCTION("""COMPUTED_VALUE"""),"Secretaría de Educación del Distrito")</f>
        <v>Secretaría de Educación del Distrito</v>
      </c>
      <c r="F1263" s="25" t="str">
        <f ca="1">IFERROR(__xludf.DUMMYFUNCTION("""COMPUTED_VALUE"""),"Hacer un plan para llevar a Sumapaz la posibilidad de realizar doble titulación.")</f>
        <v>Hacer un plan para llevar a Sumapaz la posibilidad de realizar doble titulación.</v>
      </c>
      <c r="G1263" s="25" t="str">
        <f ca="1">IFERROR(__xludf.DUMMYFUNCTION("""COMPUTED_VALUE"""),"99. Distrito")</f>
        <v>99. Distrito</v>
      </c>
      <c r="H1263" s="55">
        <f ca="1">IFERROR(__xludf.DUMMYFUNCTION("""COMPUTED_VALUE"""),44480)</f>
        <v>44480</v>
      </c>
      <c r="I1263" s="25"/>
      <c r="J1263" s="55" t="str">
        <f ca="1">IFERROR(__xludf.DUMMYFUNCTION("""COMPUTED_VALUE"""),"Alta")</f>
        <v>Alta</v>
      </c>
      <c r="K1263" s="25">
        <f ca="1">IFERROR(__xludf.DUMMYFUNCTION("""COMPUTED_VALUE"""),30)</f>
        <v>30</v>
      </c>
      <c r="L1263" s="62">
        <f ca="1">IFERROR(__xludf.DUMMYFUNCTION("""COMPUTED_VALUE"""),44617)</f>
        <v>44617</v>
      </c>
      <c r="M1263" s="25" t="str">
        <f ca="1">IFERROR(__xludf.DUMMYFUNCTION("""COMPUTED_VALUE"""),"Durante lo corrido del 2022, la Dirección de Educación Media de manera conjunta con la Regional Cundinamarca, avanzó en las acciones para el proceso de incorporación de la IED al programa de doble titulación con el programa Técnico en producción agropecua"&amp;"ria ecológica. Los actuales estudiantes de décimo ya están matriculados también en el SENA. Cuando se gradúen el próximo año, saldrán con doble titulación.")</f>
        <v>Durante lo corrido del 2022, la Dirección de Educación Media de manera conjunta con la Regional Cundinamarca, avanzó en las acciones para el proceso de incorporación de la IED al programa de doble titulación con el programa Técnico en producción agropecuaria ecológica. Los actuales estudiantes de décimo ya están matriculados también en el SENA. Cuando se gradúen el próximo año, saldrán con doble titulación.</v>
      </c>
      <c r="N1263" s="55">
        <f ca="1">IFERROR(__xludf.DUMMYFUNCTION("""COMPUTED_VALUE"""),44927)</f>
        <v>44927</v>
      </c>
      <c r="O1263" s="25" t="str">
        <f t="shared" ca="1" si="0"/>
        <v>Secretaría de Educación del Distrito</v>
      </c>
      <c r="P1263" s="25" t="str">
        <f t="shared" si="2"/>
        <v/>
      </c>
      <c r="Q1263" s="25" t="str">
        <f ca="1">IFERROR(__xludf.DUMMYFUNCTION("""COMPUTED_VALUE"""),"Corto plazo")</f>
        <v>Corto plazo</v>
      </c>
      <c r="R1263" s="25"/>
      <c r="S1263" s="55"/>
      <c r="T1263" s="56"/>
      <c r="U1263" s="25"/>
      <c r="V1263" s="25"/>
      <c r="W1263" s="25"/>
      <c r="X1263" s="25"/>
      <c r="Y1263" s="25"/>
      <c r="Z1263" s="25"/>
    </row>
    <row r="1264" spans="1:26" ht="52.5" customHeight="1" x14ac:dyDescent="0.25">
      <c r="A1264" s="25" t="str">
        <f ca="1">IFERROR(__xludf.DUMMYFUNCTION("""COMPUTED_VALUE"""),"Educa62")</f>
        <v>Educa62</v>
      </c>
      <c r="B1264" s="25" t="str">
        <f ca="1">IFERROR(__xludf.DUMMYFUNCTION("""COMPUTED_VALUE"""),"Foro educativo distrital 2022")</f>
        <v>Foro educativo distrital 2022</v>
      </c>
      <c r="C1264" s="55">
        <f ca="1">IFERROR(__xludf.DUMMYFUNCTION("""COMPUTED_VALUE"""),44830)</f>
        <v>44830</v>
      </c>
      <c r="D1264" s="25" t="str">
        <f ca="1">IFERROR(__xludf.DUMMYFUNCTION("""COMPUTED_VALUE"""),"Educación")</f>
        <v>Educación</v>
      </c>
      <c r="E1264" s="25" t="str">
        <f ca="1">IFERROR(__xludf.DUMMYFUNCTION("""COMPUTED_VALUE"""),"Secretaría de Educación del Distrito")</f>
        <v>Secretaría de Educación del Distrito</v>
      </c>
      <c r="F1264" s="25" t="str">
        <f ca="1">IFERROR(__xludf.DUMMYFUNCTION("""COMPUTED_VALUE"""),"Presentar propuestas para que la inversión que hace Bogotá en Educación se vea reflejada en los logros obtenidos")</f>
        <v>Presentar propuestas para que la inversión que hace Bogotá en Educación se vea reflejada en los logros obtenidos</v>
      </c>
      <c r="G1264" s="25" t="str">
        <f ca="1">IFERROR(__xludf.DUMMYFUNCTION("""COMPUTED_VALUE"""),"99. Distrito")</f>
        <v>99. Distrito</v>
      </c>
      <c r="H1264" s="55">
        <f ca="1">IFERROR(__xludf.DUMMYFUNCTION("""COMPUTED_VALUE"""),44860)</f>
        <v>44860</v>
      </c>
      <c r="I1264" s="25"/>
      <c r="J1264" s="55" t="str">
        <f ca="1">IFERROR(__xludf.DUMMYFUNCTION("""COMPUTED_VALUE"""),"Alta")</f>
        <v>Alta</v>
      </c>
      <c r="K1264" s="25">
        <f ca="1">IFERROR(__xludf.DUMMYFUNCTION("""COMPUTED_VALUE"""),30)</f>
        <v>30</v>
      </c>
      <c r="L1264" s="62">
        <f ca="1">IFERROR(__xludf.DUMMYFUNCTION("""COMPUTED_VALUE"""),44888)</f>
        <v>44888</v>
      </c>
      <c r="M1264" s="25" t="str">
        <f ca="1">IFERROR(__xludf.DUMMYFUNCTION("""COMPUTED_VALUE"""),"1. Revisión del CONPES de educación 2022.
2. Diagnóstico financiero de recursos asignados frente al plan de acción del CONPES 2022.
3. Versión inicial de la propuesta de acuerdo con los hitos 1 y 2")</f>
        <v>1. Revisión del CONPES de educación 2022.
2. Diagnóstico financiero de recursos asignados frente al plan de acción del CONPES 2022.
3. Versión inicial de la propuesta de acuerdo con los hitos 1 y 2</v>
      </c>
      <c r="N1264" s="55">
        <f ca="1">IFERROR(__xludf.DUMMYFUNCTION("""COMPUTED_VALUE"""),44927)</f>
        <v>44927</v>
      </c>
      <c r="O1264" s="25" t="str">
        <f t="shared" ca="1" si="0"/>
        <v>Secretaría de Educación del Distrito</v>
      </c>
      <c r="P1264" s="25" t="str">
        <f t="shared" si="2"/>
        <v/>
      </c>
      <c r="Q1264" s="25" t="str">
        <f ca="1">IFERROR(__xludf.DUMMYFUNCTION("""COMPUTED_VALUE"""),"Corto plazo")</f>
        <v>Corto plazo</v>
      </c>
      <c r="R1264" s="25"/>
      <c r="S1264" s="55"/>
      <c r="T1264" s="56"/>
      <c r="U1264" s="25"/>
      <c r="V1264" s="25"/>
      <c r="W1264" s="25"/>
      <c r="X1264" s="25"/>
      <c r="Y1264" s="25"/>
      <c r="Z1264" s="25"/>
    </row>
    <row r="1265" spans="1:26" ht="52.5" customHeight="1" x14ac:dyDescent="0.25">
      <c r="A1265" s="25" t="str">
        <f ca="1">IFERROR(__xludf.DUMMYFUNCTION("""COMPUTED_VALUE"""),"Educa63")</f>
        <v>Educa63</v>
      </c>
      <c r="B1265" s="25" t="str">
        <f ca="1">IFERROR(__xludf.DUMMYFUNCTION("""COMPUTED_VALUE"""),"Recorrido Sumapaz        ")</f>
        <v xml:space="preserve">Recorrido Sumapaz        </v>
      </c>
      <c r="C1265" s="55">
        <f ca="1">IFERROR(__xludf.DUMMYFUNCTION("""COMPUTED_VALUE"""),44450)</f>
        <v>44450</v>
      </c>
      <c r="D1265" s="25" t="str">
        <f ca="1">IFERROR(__xludf.DUMMYFUNCTION("""COMPUTED_VALUE"""),"Educación")</f>
        <v>Educación</v>
      </c>
      <c r="E1265" s="25" t="str">
        <f ca="1">IFERROR(__xludf.DUMMYFUNCTION("""COMPUTED_VALUE"""),"Secretaría de Educación del Distrito")</f>
        <v>Secretaría de Educación del Distrito</v>
      </c>
      <c r="F1265" s="25" t="str">
        <f ca="1">IFERROR(__xludf.DUMMYFUNCTION("""COMPUTED_VALUE"""),"Realizar en diagnóstico en la localidad de Sumapaz de doble titulación con el SENA. ")</f>
        <v xml:space="preserve">Realizar en diagnóstico en la localidad de Sumapaz de doble titulación con el SENA. </v>
      </c>
      <c r="G1265" s="25" t="str">
        <f ca="1">IFERROR(__xludf.DUMMYFUNCTION("""COMPUTED_VALUE"""),"99. Distrito")</f>
        <v>99. Distrito</v>
      </c>
      <c r="H1265" s="55">
        <f ca="1">IFERROR(__xludf.DUMMYFUNCTION("""COMPUTED_VALUE"""),44480)</f>
        <v>44480</v>
      </c>
      <c r="I1265" s="25"/>
      <c r="J1265" s="55" t="str">
        <f ca="1">IFERROR(__xludf.DUMMYFUNCTION("""COMPUTED_VALUE"""),"Alta")</f>
        <v>Alta</v>
      </c>
      <c r="K1265" s="25">
        <f ca="1">IFERROR(__xludf.DUMMYFUNCTION("""COMPUTED_VALUE"""),30)</f>
        <v>30</v>
      </c>
      <c r="L1265" s="62">
        <f ca="1">IFERROR(__xludf.DUMMYFUNCTION("""COMPUTED_VALUE"""),44530)</f>
        <v>44530</v>
      </c>
      <c r="M1265" s="25" t="str">
        <f ca="1">IFERROR(__xludf.DUMMYFUNCTION("""COMPUTED_VALUE"""),"Se realizó el diagnóstico y se está trabajando con la IED Jaime Garzón.")</f>
        <v>Se realizó el diagnóstico y se está trabajando con la IED Jaime Garzón.</v>
      </c>
      <c r="N1265" s="55">
        <f ca="1">IFERROR(__xludf.DUMMYFUNCTION("""COMPUTED_VALUE"""),44927)</f>
        <v>44927</v>
      </c>
      <c r="O1265" s="25" t="str">
        <f t="shared" ca="1" si="0"/>
        <v>Secretaría de Educación del Distrito</v>
      </c>
      <c r="P1265" s="25" t="str">
        <f t="shared" si="2"/>
        <v/>
      </c>
      <c r="Q1265" s="25" t="str">
        <f ca="1">IFERROR(__xludf.DUMMYFUNCTION("""COMPUTED_VALUE"""),"Corto plazo")</f>
        <v>Corto plazo</v>
      </c>
      <c r="R1265" s="25"/>
      <c r="S1265" s="55"/>
      <c r="T1265" s="56"/>
      <c r="U1265" s="25"/>
      <c r="V1265" s="25"/>
      <c r="W1265" s="25"/>
      <c r="X1265" s="25"/>
      <c r="Y1265" s="25"/>
      <c r="Z1265" s="25"/>
    </row>
    <row r="1266" spans="1:26" ht="52.5" customHeight="1" x14ac:dyDescent="0.25">
      <c r="A1266" s="25" t="str">
        <f ca="1">IFERROR(__xludf.DUMMYFUNCTION("""COMPUTED_VALUE"""),"Educa64")</f>
        <v>Educa64</v>
      </c>
      <c r="B1266" s="25" t="str">
        <f ca="1">IFERROR(__xludf.DUMMYFUNCTION("""COMPUTED_VALUE"""),"SED Atenea ")</f>
        <v xml:space="preserve">SED Atenea </v>
      </c>
      <c r="C1266" s="55">
        <f ca="1">IFERROR(__xludf.DUMMYFUNCTION("""COMPUTED_VALUE"""),44813)</f>
        <v>44813</v>
      </c>
      <c r="D1266" s="25" t="str">
        <f ca="1">IFERROR(__xludf.DUMMYFUNCTION("""COMPUTED_VALUE"""),"Educación")</f>
        <v>Educación</v>
      </c>
      <c r="E1266" s="25" t="str">
        <f ca="1">IFERROR(__xludf.DUMMYFUNCTION("""COMPUTED_VALUE"""),"Secretaría de Educación del Distrito")</f>
        <v>Secretaría de Educación del Distrito</v>
      </c>
      <c r="F1266" s="25" t="str">
        <f ca="1">IFERROR(__xludf.DUMMYFUNCTION("""COMPUTED_VALUE"""),"Solicitar la colaboración del equipo del profesor Michael Kremer para que ayuden a evaluar los criterios para la selección de los beneficiarios en los programas de educación. ")</f>
        <v xml:space="preserve">Solicitar la colaboración del equipo del profesor Michael Kremer para que ayuden a evaluar los criterios para la selección de los beneficiarios en los programas de educación. </v>
      </c>
      <c r="G1266" s="25" t="str">
        <f ca="1">IFERROR(__xludf.DUMMYFUNCTION("""COMPUTED_VALUE"""),"99. Distrito")</f>
        <v>99. Distrito</v>
      </c>
      <c r="H1266" s="55">
        <f ca="1">IFERROR(__xludf.DUMMYFUNCTION("""COMPUTED_VALUE"""),44925)</f>
        <v>44925</v>
      </c>
      <c r="I1266" s="25"/>
      <c r="J1266" s="55" t="str">
        <f ca="1">IFERROR(__xludf.DUMMYFUNCTION("""COMPUTED_VALUE"""),"Media")</f>
        <v>Media</v>
      </c>
      <c r="K1266" s="25">
        <f ca="1">IFERROR(__xludf.DUMMYFUNCTION("""COMPUTED_VALUE"""),112)</f>
        <v>112</v>
      </c>
      <c r="L1266" s="62">
        <f ca="1">IFERROR(__xludf.DUMMYFUNCTION("""COMPUTED_VALUE"""),44951)</f>
        <v>44951</v>
      </c>
      <c r="M1266" s="25" t="str">
        <f ca="1">IFERROR(__xludf.DUMMYFUNCTION("""COMPUTED_VALUE"""),"El 18 de octubre de 2022 se firmó memorando de entendimiento entre la Agencia ATENEA y la Universidad de Los Andes, cuyo objeto correspondió a establecer un marco de intercambio de información para que se logren adelantar análisis de bases de datos/algori"&amp;"tmos y otros. En desarrollo de éste se incluyó la revisión técnica del Programa Jóvenes a la U, con énfasis en la asignación de puntuación para elegibilidad de las y los inscritos, en aras de ajustar y mejorar el mecanismo de selección. La Universidad de "&amp;"los Andes trabaja con el equipo del profesor Michael Kremer.
Para inicios de febrero de 2023 se tiene prevista una mesa de trabajo entre ATENEA y la Universidad de Los Andes, con el propósito de revisar sus observaciones frente al análisis del algoritm"&amp;"o, así como para determinar el plan de trabajo para dar continuidad al proceso. ")</f>
        <v xml:space="preserve">El 18 de octubre de 2022 se firmó memorando de entendimiento entre la Agencia ATENEA y la Universidad de Los Andes, cuyo objeto correspondió a establecer un marco de intercambio de información para que se logren adelantar análisis de bases de datos/algoritmos y otros. En desarrollo de éste se incluyó la revisión técnica del Programa Jóvenes a la U, con énfasis en la asignación de puntuación para elegibilidad de las y los inscritos, en aras de ajustar y mejorar el mecanismo de selección. La Universidad de los Andes trabaja con el equipo del profesor Michael Kremer.
Para inicios de febrero de 2023 se tiene prevista una mesa de trabajo entre ATENEA y la Universidad de Los Andes, con el propósito de revisar sus observaciones frente al análisis del algoritmo, así como para determinar el plan de trabajo para dar continuidad al proceso. </v>
      </c>
      <c r="N1266" s="55">
        <f ca="1">IFERROR(__xludf.DUMMYFUNCTION("""COMPUTED_VALUE"""),44925)</f>
        <v>44925</v>
      </c>
      <c r="O1266" s="25" t="str">
        <f t="shared" ca="1" si="0"/>
        <v>Secretaría de Educación del Distrito</v>
      </c>
      <c r="P1266" s="25" t="str">
        <f t="shared" si="2"/>
        <v/>
      </c>
      <c r="Q1266" s="25" t="str">
        <f ca="1">IFERROR(__xludf.DUMMYFUNCTION("""COMPUTED_VALUE"""),"Mediano plazo")</f>
        <v>Mediano plazo</v>
      </c>
      <c r="R1266" s="25"/>
      <c r="S1266" s="55"/>
      <c r="T1266" s="56"/>
      <c r="U1266" s="25"/>
      <c r="V1266" s="25"/>
      <c r="W1266" s="25"/>
      <c r="X1266" s="25"/>
      <c r="Y1266" s="25"/>
      <c r="Z1266" s="25"/>
    </row>
    <row r="1267" spans="1:26" ht="52.5" customHeight="1" x14ac:dyDescent="0.25">
      <c r="A1267" s="25" t="str">
        <f ca="1">IFERROR(__xludf.DUMMYFUNCTION("""COMPUTED_VALUE"""),"Educa65")</f>
        <v>Educa65</v>
      </c>
      <c r="B1267" s="25" t="str">
        <f ca="1">IFERROR(__xludf.DUMMYFUNCTION("""COMPUTED_VALUE"""),"Despachando frentes de seguridad")</f>
        <v>Despachando frentes de seguridad</v>
      </c>
      <c r="C1267" s="55">
        <f ca="1">IFERROR(__xludf.DUMMYFUNCTION("""COMPUTED_VALUE"""),44459)</f>
        <v>44459</v>
      </c>
      <c r="D1267" s="25" t="str">
        <f ca="1">IFERROR(__xludf.DUMMYFUNCTION("""COMPUTED_VALUE"""),"Educación")</f>
        <v>Educación</v>
      </c>
      <c r="E1267" s="25" t="str">
        <f ca="1">IFERROR(__xludf.DUMMYFUNCTION("""COMPUTED_VALUE"""),"Secretaría de Educación del Distrito")</f>
        <v>Secretaría de Educación del Distrito</v>
      </c>
      <c r="F1267" s="25" t="str">
        <f ca="1">IFERROR(__xludf.DUMMYFUNCTION("""COMPUTED_VALUE"""),"Definir estrategias para entornos seguros escolares ¿que se esta haciendo en los parques? ¿como se puede mejorar? Articularse con la SED,  IDRD, hábitat para realizar sctividades recreativas, huertas, embellecimiento . ")</f>
        <v xml:space="preserve">Definir estrategias para entornos seguros escolares ¿que se esta haciendo en los parques? ¿como se puede mejorar? Articularse con la SED,  IDRD, hábitat para realizar sctividades recreativas, huertas, embellecimiento . </v>
      </c>
      <c r="G1267" s="25" t="str">
        <f ca="1">IFERROR(__xludf.DUMMYFUNCTION("""COMPUTED_VALUE"""),"99. Distrito")</f>
        <v>99. Distrito</v>
      </c>
      <c r="H1267" s="55">
        <f ca="1">IFERROR(__xludf.DUMMYFUNCTION("""COMPUTED_VALUE"""),44489)</f>
        <v>44489</v>
      </c>
      <c r="I1267" s="25"/>
      <c r="J1267" s="55" t="str">
        <f ca="1">IFERROR(__xludf.DUMMYFUNCTION("""COMPUTED_VALUE"""),"Alta")</f>
        <v>Alta</v>
      </c>
      <c r="K1267" s="25">
        <f ca="1">IFERROR(__xludf.DUMMYFUNCTION("""COMPUTED_VALUE"""),30)</f>
        <v>30</v>
      </c>
      <c r="L1267" s="62">
        <f ca="1">IFERROR(__xludf.DUMMYFUNCTION("""COMPUTED_VALUE"""),44543)</f>
        <v>44543</v>
      </c>
      <c r="M1267" s="25" t="str">
        <f ca="1">IFERROR(__xludf.DUMMYFUNCTION("""COMPUTED_VALUE"""),"La estrategia de entornos escolares seguros comenzó la última semana de octubre con la intervención de 2 colegios en la localidad de Suba, en coordinación con la Secretaría de Gobierno y de Seguridad. Se realizaron 3 entornos escolares en el mes de noviem"&amp;"bre con trabajo conjunto con Sec Movilidad, UMV y UMP para articular la estrategia 100 pies, llegando así a 5 IED intervenidas. Los colegios fueron:
- IED Nueva Colombia
- IED Virginia Gutierrez 
- IED fe y alegria  jose María Velaz 
- IED La Toscana 
- I"&amp;"ED Tibabuyes Universal")</f>
        <v>La estrategia de entornos escolares seguros comenzó la última semana de octubre con la intervención de 2 colegios en la localidad de Suba, en coordinación con la Secretaría de Gobierno y de Seguridad. Se realizaron 3 entornos escolares en el mes de noviembre con trabajo conjunto con Sec Movilidad, UMV y UMP para articular la estrategia 100 pies, llegando así a 5 IED intervenidas. Los colegios fueron:
- IED Nueva Colombia
- IED Virginia Gutierrez 
- IED fe y alegria  jose María Velaz 
- IED La Toscana 
- IED Tibabuyes Universal</v>
      </c>
      <c r="N1267" s="55">
        <f ca="1">IFERROR(__xludf.DUMMYFUNCTION("""COMPUTED_VALUE"""),44927)</f>
        <v>44927</v>
      </c>
      <c r="O1267" s="25" t="str">
        <f t="shared" ca="1" si="0"/>
        <v>Secretaría de Educación del Distrito</v>
      </c>
      <c r="P1267" s="25" t="str">
        <f t="shared" si="2"/>
        <v/>
      </c>
      <c r="Q1267" s="25" t="str">
        <f ca="1">IFERROR(__xludf.DUMMYFUNCTION("""COMPUTED_VALUE"""),"Corto plazo")</f>
        <v>Corto plazo</v>
      </c>
      <c r="R1267" s="25"/>
      <c r="S1267" s="55"/>
      <c r="T1267" s="56"/>
      <c r="U1267" s="25"/>
      <c r="V1267" s="25"/>
      <c r="W1267" s="25"/>
      <c r="X1267" s="25"/>
      <c r="Y1267" s="25"/>
      <c r="Z1267" s="25"/>
    </row>
    <row r="1268" spans="1:26" ht="52.5" customHeight="1" x14ac:dyDescent="0.25">
      <c r="A1268" s="25" t="str">
        <f ca="1">IFERROR(__xludf.DUMMYFUNCTION("""COMPUTED_VALUE"""),"Educa66")</f>
        <v>Educa66</v>
      </c>
      <c r="B1268" s="25" t="str">
        <f ca="1">IFERROR(__xludf.DUMMYFUNCTION("""COMPUTED_VALUE"""),"Nuevo modelo de trayectoria educativa ")</f>
        <v xml:space="preserve">Nuevo modelo de trayectoria educativa </v>
      </c>
      <c r="C1268" s="55">
        <f ca="1">IFERROR(__xludf.DUMMYFUNCTION("""COMPUTED_VALUE"""),44819)</f>
        <v>44819</v>
      </c>
      <c r="D1268" s="25" t="str">
        <f ca="1">IFERROR(__xludf.DUMMYFUNCTION("""COMPUTED_VALUE"""),"Educación")</f>
        <v>Educación</v>
      </c>
      <c r="E1268" s="25" t="str">
        <f ca="1">IFERROR(__xludf.DUMMYFUNCTION("""COMPUTED_VALUE"""),"Universidad Distrital Francisco José de Caldas")</f>
        <v>Universidad Distrital Francisco José de Caldas</v>
      </c>
      <c r="F1268" s="25" t="str">
        <f ca="1">IFERROR(__xludf.DUMMYFUNCTION("""COMPUTED_VALUE"""),"Hacer visita al lote de Bosa de la Universidad Distrital.")</f>
        <v>Hacer visita al lote de Bosa de la Universidad Distrital.</v>
      </c>
      <c r="G1268" s="25" t="str">
        <f ca="1">IFERROR(__xludf.DUMMYFUNCTION("""COMPUTED_VALUE"""),"07. Bosa")</f>
        <v>07. Bosa</v>
      </c>
      <c r="H1268" s="55">
        <f ca="1">IFERROR(__xludf.DUMMYFUNCTION("""COMPUTED_VALUE"""),44925)</f>
        <v>44925</v>
      </c>
      <c r="I1268" s="25"/>
      <c r="J1268" s="55" t="str">
        <f ca="1">IFERROR(__xludf.DUMMYFUNCTION("""COMPUTED_VALUE"""),"Media")</f>
        <v>Media</v>
      </c>
      <c r="K1268" s="25">
        <f ca="1">IFERROR(__xludf.DUMMYFUNCTION("""COMPUTED_VALUE"""),106)</f>
        <v>106</v>
      </c>
      <c r="L1268" s="62">
        <f ca="1">IFERROR(__xludf.DUMMYFUNCTION("""COMPUTED_VALUE"""),44951)</f>
        <v>44951</v>
      </c>
      <c r="M1268" s="25" t="str">
        <f ca="1">IFERROR(__xludf.DUMMYFUNCTION("""COMPUTED_VALUE"""),"Se realizó visita al lote el 6 de diciembre de 2022 en la que, además se surtió verificación de las condiciones de funcionamiento de la infraestructura existente. Con ocasión de lo anterior, se procede a adelantar las  actividades necesarias para identifi"&amp;"car los recursos que se requieren para la factibilidad de estudios y diseños.")</f>
        <v>Se realizó visita al lote el 6 de diciembre de 2022 en la que, además se surtió verificación de las condiciones de funcionamiento de la infraestructura existente. Con ocasión de lo anterior, se procede a adelantar las  actividades necesarias para identificar los recursos que se requieren para la factibilidad de estudios y diseños.</v>
      </c>
      <c r="N1268" s="55">
        <f ca="1">IFERROR(__xludf.DUMMYFUNCTION("""COMPUTED_VALUE"""),44901)</f>
        <v>44901</v>
      </c>
      <c r="O1268" s="25" t="str">
        <f t="shared" ca="1" si="0"/>
        <v>Universidad Distrital Francisco José de Caldas</v>
      </c>
      <c r="P1268" s="25" t="str">
        <f t="shared" si="2"/>
        <v/>
      </c>
      <c r="Q1268" s="25" t="str">
        <f ca="1">IFERROR(__xludf.DUMMYFUNCTION("""COMPUTED_VALUE"""),"Mediano plazo")</f>
        <v>Mediano plazo</v>
      </c>
      <c r="R1268" s="25"/>
      <c r="S1268" s="55"/>
      <c r="T1268" s="56"/>
      <c r="U1268" s="25"/>
      <c r="V1268" s="25"/>
      <c r="W1268" s="25"/>
      <c r="X1268" s="25"/>
      <c r="Y1268" s="25"/>
      <c r="Z1268" s="25"/>
    </row>
    <row r="1269" spans="1:26" ht="52.5" customHeight="1" x14ac:dyDescent="0.25">
      <c r="A1269" s="25" t="str">
        <f ca="1">IFERROR(__xludf.DUMMYFUNCTION("""COMPUTED_VALUE"""),"Educa67")</f>
        <v>Educa67</v>
      </c>
      <c r="B1269" s="25" t="str">
        <f ca="1">IFERROR(__xludf.DUMMYFUNCTION("""COMPUTED_VALUE"""),"Plan de acción climática")</f>
        <v>Plan de acción climática</v>
      </c>
      <c r="C1269" s="55" t="str">
        <f ca="1">IFERROR(__xludf.DUMMYFUNCTION("""COMPUTED_VALUE"""),"04/01/2021")</f>
        <v>04/01/2021</v>
      </c>
      <c r="D1269" s="25" t="str">
        <f ca="1">IFERROR(__xludf.DUMMYFUNCTION("""COMPUTED_VALUE"""),"Educación")</f>
        <v>Educación</v>
      </c>
      <c r="E1269" s="25" t="str">
        <f ca="1">IFERROR(__xludf.DUMMYFUNCTION("""COMPUTED_VALUE"""),"Secretaría de Educación del Distrito")</f>
        <v>Secretaría de Educación del Distrito</v>
      </c>
      <c r="F1269" s="25" t="str">
        <f ca="1">IFERROR(__xludf.DUMMYFUNCTION("""COMPUTED_VALUE"""),"Garantizar que los nuevos colegios tengan: panel solar, huertas y reciclaje")</f>
        <v>Garantizar que los nuevos colegios tengan: panel solar, huertas y reciclaje</v>
      </c>
      <c r="G1269" s="25" t="str">
        <f ca="1">IFERROR(__xludf.DUMMYFUNCTION("""COMPUTED_VALUE"""),"99. Distrito")</f>
        <v>99. Distrito</v>
      </c>
      <c r="H1269" s="55">
        <f ca="1">IFERROR(__xludf.DUMMYFUNCTION("""COMPUTED_VALUE"""),44230)</f>
        <v>44230</v>
      </c>
      <c r="I1269" s="25"/>
      <c r="J1269" s="55" t="str">
        <f ca="1">IFERROR(__xludf.DUMMYFUNCTION("""COMPUTED_VALUE"""),"Alta")</f>
        <v>Alta</v>
      </c>
      <c r="K1269" s="25">
        <f ca="1">IFERROR(__xludf.DUMMYFUNCTION("""COMPUTED_VALUE"""),30)</f>
        <v>30</v>
      </c>
      <c r="L1269" s="62">
        <f ca="1">IFERROR(__xludf.DUMMYFUNCTION("""COMPUTED_VALUE"""),44540)</f>
        <v>44540</v>
      </c>
      <c r="M1269" s="25" t="str">
        <f ca="1">IFERROR(__xludf.DUMMYFUNCTION("""COMPUTED_VALUE"""),"Se relaciona con la tarea 666 - Se realizaron los convenios entre la SED, JBB y Uaesp para desarrollar huertas, separación de residuos en los colegios. Para los nuevos colegios en el concurso de diseño, se especificó que debían tener paneles solares, huer"&amp;"tas y separación de residuos.")</f>
        <v>Se relaciona con la tarea 666 - Se realizaron los convenios entre la SED, JBB y Uaesp para desarrollar huertas, separación de residuos en los colegios. Para los nuevos colegios en el concurso de diseño, se especificó que debían tener paneles solares, huertas y separación de residuos.</v>
      </c>
      <c r="N1269" s="55">
        <f ca="1">IFERROR(__xludf.DUMMYFUNCTION("""COMPUTED_VALUE"""),44927)</f>
        <v>44927</v>
      </c>
      <c r="O1269" s="25" t="str">
        <f t="shared" ca="1" si="0"/>
        <v>Secretaría de Educación del Distrito</v>
      </c>
      <c r="P1269" s="25" t="str">
        <f t="shared" si="2"/>
        <v/>
      </c>
      <c r="Q1269" s="25" t="str">
        <f ca="1">IFERROR(__xludf.DUMMYFUNCTION("""COMPUTED_VALUE"""),"Corto plazo")</f>
        <v>Corto plazo</v>
      </c>
      <c r="R1269" s="25"/>
      <c r="S1269" s="55"/>
      <c r="T1269" s="56"/>
      <c r="U1269" s="25"/>
      <c r="V1269" s="25"/>
      <c r="W1269" s="25"/>
      <c r="X1269" s="25"/>
      <c r="Y1269" s="25"/>
      <c r="Z1269" s="25"/>
    </row>
    <row r="1270" spans="1:26" ht="52.5" customHeight="1" x14ac:dyDescent="0.25">
      <c r="A1270" s="25" t="str">
        <f ca="1">IFERROR(__xludf.DUMMYFUNCTION("""COMPUTED_VALUE"""),"Educa68")</f>
        <v>Educa68</v>
      </c>
      <c r="B1270" s="25" t="str">
        <f ca="1">IFERROR(__xludf.DUMMYFUNCTION("""COMPUTED_VALUE"""),"Nuevo modelo de trayectoria educativa ")</f>
        <v xml:space="preserve">Nuevo modelo de trayectoria educativa </v>
      </c>
      <c r="C1270" s="55">
        <f ca="1">IFERROR(__xludf.DUMMYFUNCTION("""COMPUTED_VALUE"""),44819)</f>
        <v>44819</v>
      </c>
      <c r="D1270" s="25" t="str">
        <f ca="1">IFERROR(__xludf.DUMMYFUNCTION("""COMPUTED_VALUE"""),"Educación")</f>
        <v>Educación</v>
      </c>
      <c r="E1270" s="25" t="str">
        <f ca="1">IFERROR(__xludf.DUMMYFUNCTION("""COMPUTED_VALUE"""),"Universidad Distrital Francisco José de Caldas")</f>
        <v>Universidad Distrital Francisco José de Caldas</v>
      </c>
      <c r="F1270" s="25" t="str">
        <f ca="1">IFERROR(__xludf.DUMMYFUNCTION("""COMPUTED_VALUE"""),"Sobre el lote de Bosa:
Identificar los recursos que se requieren para la factibilidad de estudios y diseños.")</f>
        <v>Sobre el lote de Bosa:
Identificar los recursos que se requieren para la factibilidad de estudios y diseños.</v>
      </c>
      <c r="G1270" s="25" t="str">
        <f ca="1">IFERROR(__xludf.DUMMYFUNCTION("""COMPUTED_VALUE"""),"07. Bosa")</f>
        <v>07. Bosa</v>
      </c>
      <c r="H1270" s="55">
        <f ca="1">IFERROR(__xludf.DUMMYFUNCTION("""COMPUTED_VALUE"""),45107)</f>
        <v>45107</v>
      </c>
      <c r="I1270" s="25"/>
      <c r="J1270" s="55" t="str">
        <f ca="1">IFERROR(__xludf.DUMMYFUNCTION("""COMPUTED_VALUE"""),"Baja")</f>
        <v>Baja</v>
      </c>
      <c r="K1270" s="25">
        <f ca="1">IFERROR(__xludf.DUMMYFUNCTION("""COMPUTED_VALUE"""),288)</f>
        <v>288</v>
      </c>
      <c r="L1270" s="62">
        <f ca="1">IFERROR(__xludf.DUMMYFUNCTION("""COMPUTED_VALUE"""),44985)</f>
        <v>44985</v>
      </c>
      <c r="M1270" s="25" t="str">
        <f ca="1">IFERROR(__xludf.DUMMYFUNCTION("""COMPUTED_VALUE"""),"La Universidad Distrital Francisco José de Caldas presentó en el Consejo Superior Universitario realizado el 27 de febrero de 2023, concepto de evaluación financiera en el que informaron el detalle de las necesidades de una nueva infraestructura física pa"&amp;"ra el funcionamiento de la Facultad de Ciencias de la Salud, con su programa de enfermería y los demás programas que se estructuren dentro de esta facultad, con el siguiente detalle de los gastos asociados a la construcción en un mediano plazo: Diseño $8."&amp;"182'016.738, Construcción $181.896'960.000 y Dotación Mobiliario $17.286'623.345 para un Total de Gastos de $207.365'600.084. Los recursos proyectados tendrían como fuente cupo de endeudamiento solicitado por la administración distrital.")</f>
        <v>La Universidad Distrital Francisco José de Caldas presentó en el Consejo Superior Universitario realizado el 27 de febrero de 2023, concepto de evaluación financiera en el que informaron el detalle de las necesidades de una nueva infraestructura física para el funcionamiento de la Facultad de Ciencias de la Salud, con su programa de enfermería y los demás programas que se estructuren dentro de esta facultad, con el siguiente detalle de los gastos asociados a la construcción en un mediano plazo: Diseño $8.182'016.738, Construcción $181.896'960.000 y Dotación Mobiliario $17.286'623.345 para un Total de Gastos de $207.365'600.084. Los recursos proyectados tendrían como fuente cupo de endeudamiento solicitado por la administración distrital.</v>
      </c>
      <c r="N1270" s="55">
        <f ca="1">IFERROR(__xludf.DUMMYFUNCTION("""COMPUTED_VALUE"""),44984)</f>
        <v>44984</v>
      </c>
      <c r="O1270" s="25" t="str">
        <f t="shared" ca="1" si="0"/>
        <v>Universidad Distrital Francisco José de Caldas</v>
      </c>
      <c r="P1270" s="25" t="str">
        <f t="shared" si="2"/>
        <v/>
      </c>
      <c r="Q1270" s="25" t="str">
        <f ca="1">IFERROR(__xludf.DUMMYFUNCTION("""COMPUTED_VALUE"""),"Largo plazo")</f>
        <v>Largo plazo</v>
      </c>
      <c r="R1270" s="25"/>
      <c r="S1270" s="55"/>
      <c r="T1270" s="56"/>
      <c r="U1270" s="25"/>
      <c r="V1270" s="25"/>
      <c r="W1270" s="25"/>
      <c r="X1270" s="25"/>
      <c r="Y1270" s="25"/>
      <c r="Z1270" s="25"/>
    </row>
    <row r="1271" spans="1:26" ht="52.5" customHeight="1" x14ac:dyDescent="0.25">
      <c r="A1271" s="25" t="str">
        <f ca="1">IFERROR(__xludf.DUMMYFUNCTION("""COMPUTED_VALUE"""),"Educa69")</f>
        <v>Educa69</v>
      </c>
      <c r="B1271" s="25" t="str">
        <f ca="1">IFERROR(__xludf.DUMMYFUNCTION("""COMPUTED_VALUE"""),"Taller Felipe Jiménez en Integración Social")</f>
        <v>Taller Felipe Jiménez en Integración Social</v>
      </c>
      <c r="C1271" s="55">
        <f ca="1">IFERROR(__xludf.DUMMYFUNCTION("""COMPUTED_VALUE"""),44447)</f>
        <v>44447</v>
      </c>
      <c r="D1271" s="25" t="str">
        <f ca="1">IFERROR(__xludf.DUMMYFUNCTION("""COMPUTED_VALUE"""),"Educación")</f>
        <v>Educación</v>
      </c>
      <c r="E1271" s="25" t="str">
        <f ca="1">IFERROR(__xludf.DUMMYFUNCTION("""COMPUTED_VALUE"""),"Secretaría de Educación del Distrito")</f>
        <v>Secretaría de Educación del Distrito</v>
      </c>
      <c r="F1271" s="25" t="str">
        <f ca="1">IFERROR(__xludf.DUMMYFUNCTION("""COMPUTED_VALUE"""),"Seguimiento al SENA y revisar si hay dificultades para resolver con las entidades")</f>
        <v>Seguimiento al SENA y revisar si hay dificultades para resolver con las entidades</v>
      </c>
      <c r="G1271" s="25" t="str">
        <f ca="1">IFERROR(__xludf.DUMMYFUNCTION("""COMPUTED_VALUE"""),"99. Distrito")</f>
        <v>99. Distrito</v>
      </c>
      <c r="H1271" s="55">
        <f ca="1">IFERROR(__xludf.DUMMYFUNCTION("""COMPUTED_VALUE"""),44463)</f>
        <v>44463</v>
      </c>
      <c r="I1271" s="25"/>
      <c r="J1271" s="55" t="str">
        <f ca="1">IFERROR(__xludf.DUMMYFUNCTION("""COMPUTED_VALUE"""),"Alta")</f>
        <v>Alta</v>
      </c>
      <c r="K1271" s="25">
        <f ca="1">IFERROR(__xludf.DUMMYFUNCTION("""COMPUTED_VALUE"""),16)</f>
        <v>16</v>
      </c>
      <c r="L1271" s="62">
        <f ca="1">IFERROR(__xludf.DUMMYFUNCTION("""COMPUTED_VALUE"""),44482)</f>
        <v>44482</v>
      </c>
      <c r="M1271" s="25" t="str">
        <f ca="1">IFERROR(__xludf.DUMMYFUNCTION("""COMPUTED_VALUE"""),"Se realizó la reunión con la secretaria Edna Bonilla y el director de media Jose Roldán, con los insumos de las entidades del convenio.")</f>
        <v>Se realizó la reunión con la secretaria Edna Bonilla y el director de media Jose Roldán, con los insumos de las entidades del convenio.</v>
      </c>
      <c r="N1271" s="55">
        <f ca="1">IFERROR(__xludf.DUMMYFUNCTION("""COMPUTED_VALUE"""),44927)</f>
        <v>44927</v>
      </c>
      <c r="O1271" s="25" t="str">
        <f t="shared" ca="1" si="0"/>
        <v>Secretaría de Educación del Distrito</v>
      </c>
      <c r="P1271" s="25" t="str">
        <f t="shared" si="2"/>
        <v/>
      </c>
      <c r="Q1271" s="25" t="str">
        <f ca="1">IFERROR(__xludf.DUMMYFUNCTION("""COMPUTED_VALUE"""),"Corto plazo")</f>
        <v>Corto plazo</v>
      </c>
      <c r="R1271" s="25"/>
      <c r="S1271" s="55"/>
      <c r="T1271" s="56"/>
      <c r="U1271" s="25"/>
      <c r="V1271" s="25"/>
      <c r="W1271" s="25"/>
      <c r="X1271" s="25"/>
      <c r="Y1271" s="25"/>
      <c r="Z1271" s="25"/>
    </row>
    <row r="1272" spans="1:26" ht="52.5" customHeight="1" x14ac:dyDescent="0.25">
      <c r="A1272" s="25" t="str">
        <f ca="1">IFERROR(__xludf.DUMMYFUNCTION("""COMPUTED_VALUE"""),"Educa70")</f>
        <v>Educa70</v>
      </c>
      <c r="B1272" s="25" t="str">
        <f ca="1">IFERROR(__xludf.DUMMYFUNCTION("""COMPUTED_VALUE"""),"Nuevo modelo de trayectoria educativa ")</f>
        <v xml:space="preserve">Nuevo modelo de trayectoria educativa </v>
      </c>
      <c r="C1272" s="55">
        <f ca="1">IFERROR(__xludf.DUMMYFUNCTION("""COMPUTED_VALUE"""),44819)</f>
        <v>44819</v>
      </c>
      <c r="D1272" s="25" t="str">
        <f ca="1">IFERROR(__xludf.DUMMYFUNCTION("""COMPUTED_VALUE"""),"Educación")</f>
        <v>Educación</v>
      </c>
      <c r="E1272" s="25" t="str">
        <f ca="1">IFERROR(__xludf.DUMMYFUNCTION("""COMPUTED_VALUE"""),"Secretaría de Educación del Distrito")</f>
        <v>Secretaría de Educación del Distrito</v>
      </c>
      <c r="F1272" s="25" t="str">
        <f ca="1">IFERROR(__xludf.DUMMYFUNCTION("""COMPUTED_VALUE"""),"Invitar a la Universidad Nacional a hacer parte del politécnico.")</f>
        <v>Invitar a la Universidad Nacional a hacer parte del politécnico.</v>
      </c>
      <c r="G1272" s="25" t="str">
        <f ca="1">IFERROR(__xludf.DUMMYFUNCTION("""COMPUTED_VALUE"""),"99. Distrito")</f>
        <v>99. Distrito</v>
      </c>
      <c r="H1272" s="55">
        <f ca="1">IFERROR(__xludf.DUMMYFUNCTION("""COMPUTED_VALUE"""),45016)</f>
        <v>45016</v>
      </c>
      <c r="I1272" s="25"/>
      <c r="J1272" s="55" t="str">
        <f ca="1">IFERROR(__xludf.DUMMYFUNCTION("""COMPUTED_VALUE"""),"Baja")</f>
        <v>Baja</v>
      </c>
      <c r="K1272" s="25">
        <f ca="1">IFERROR(__xludf.DUMMYFUNCTION("""COMPUTED_VALUE"""),197)</f>
        <v>197</v>
      </c>
      <c r="L1272" s="62">
        <f ca="1">IFERROR(__xludf.DUMMYFUNCTION("""COMPUTED_VALUE"""),45016)</f>
        <v>45016</v>
      </c>
      <c r="M1272" s="25" t="str">
        <f ca="1">IFERROR(__xludf.DUMMYFUNCTION("""COMPUTED_VALUE"""),"El 24 de marzo de 2023 se llevó a cabo reunón de acercamiento entre la Universidad Nacional y la Escuela Tecnológica Instituto Técnico Central (ETITC), institución administradora de la Universidad Pública de Kennedy (UPK), con el fin de que la Universidad"&amp;" Nacional de Colombia (UNC) pudiera tener una relación directa con la ETITC, además de la explicación al detalle del funcionamiento de las instalaciones de la UPK.
En esta reunión se plantearon condiciones necesarias para la entrada de cualquier instit"&amp;"ución de educación superior a la UPK, las cuales se están evaluando por parte de la UNC con el fin de poder valorar las características de entrada. Como compromisos del espacio se estableció que la UNC y la ETITC se reunirán nuevamente con el fin de que l"&amp;"a UNC presente la propuesta de espacios y tiempos.
")</f>
        <v xml:space="preserve">El 24 de marzo de 2023 se llevó a cabo reunón de acercamiento entre la Universidad Nacional y la Escuela Tecnológica Instituto Técnico Central (ETITC), institución administradora de la Universidad Pública de Kennedy (UPK), con el fin de que la Universidad Nacional de Colombia (UNC) pudiera tener una relación directa con la ETITC, además de la explicación al detalle del funcionamiento de las instalaciones de la UPK.
En esta reunión se plantearon condiciones necesarias para la entrada de cualquier institución de educación superior a la UPK, las cuales se están evaluando por parte de la UNC con el fin de poder valorar las características de entrada. Como compromisos del espacio se estableció que la UNC y la ETITC se reunirán nuevamente con el fin de que la UNC presente la propuesta de espacios y tiempos.
</v>
      </c>
      <c r="N1272" s="55">
        <f ca="1">IFERROR(__xludf.DUMMYFUNCTION("""COMPUTED_VALUE"""),45009)</f>
        <v>45009</v>
      </c>
      <c r="O1272" s="25" t="str">
        <f t="shared" ca="1" si="0"/>
        <v>Secretaría de Educación del Distrito</v>
      </c>
      <c r="P1272" s="25" t="str">
        <f t="shared" si="2"/>
        <v/>
      </c>
      <c r="Q1272" s="25" t="str">
        <f ca="1">IFERROR(__xludf.DUMMYFUNCTION("""COMPUTED_VALUE"""),"Largo plazo")</f>
        <v>Largo plazo</v>
      </c>
      <c r="R1272" s="25"/>
      <c r="S1272" s="55"/>
      <c r="T1272" s="56"/>
      <c r="U1272" s="25"/>
      <c r="V1272" s="25"/>
      <c r="W1272" s="25"/>
      <c r="X1272" s="25"/>
      <c r="Y1272" s="25"/>
      <c r="Z1272" s="25"/>
    </row>
    <row r="1273" spans="1:26" ht="52.5" customHeight="1" x14ac:dyDescent="0.25">
      <c r="A1273" s="25" t="str">
        <f ca="1">IFERROR(__xludf.DUMMYFUNCTION("""COMPUTED_VALUE"""),"Educa71")</f>
        <v>Educa71</v>
      </c>
      <c r="B1273" s="25" t="str">
        <f ca="1">IFERROR(__xludf.DUMMYFUNCTION("""COMPUTED_VALUE"""),"Reunión balance SENA")</f>
        <v>Reunión balance SENA</v>
      </c>
      <c r="C1273" s="55">
        <f ca="1">IFERROR(__xludf.DUMMYFUNCTION("""COMPUTED_VALUE"""),44482)</f>
        <v>44482</v>
      </c>
      <c r="D1273" s="25" t="str">
        <f ca="1">IFERROR(__xludf.DUMMYFUNCTION("""COMPUTED_VALUE"""),"Educación")</f>
        <v>Educación</v>
      </c>
      <c r="E1273" s="25" t="str">
        <f ca="1">IFERROR(__xludf.DUMMYFUNCTION("""COMPUTED_VALUE"""),"Secretaría de Educación del Distrito")</f>
        <v>Secretaría de Educación del Distrito</v>
      </c>
      <c r="F1273" s="25" t="str">
        <f ca="1">IFERROR(__xludf.DUMMYFUNCTION("""COMPUTED_VALUE"""),"Solicitar el perfil de las personas que acceden a los cursos ofertados en Desarrollo Económico  (Linkn , Microsoft, etc)")</f>
        <v>Solicitar el perfil de las personas que acceden a los cursos ofertados en Desarrollo Económico  (Linkn , Microsoft, etc)</v>
      </c>
      <c r="G1273" s="25" t="str">
        <f ca="1">IFERROR(__xludf.DUMMYFUNCTION("""COMPUTED_VALUE"""),"99. Distrito")</f>
        <v>99. Distrito</v>
      </c>
      <c r="H1273" s="55">
        <f ca="1">IFERROR(__xludf.DUMMYFUNCTION("""COMPUTED_VALUE"""),44512)</f>
        <v>44512</v>
      </c>
      <c r="I1273" s="25"/>
      <c r="J1273" s="55" t="str">
        <f ca="1">IFERROR(__xludf.DUMMYFUNCTION("""COMPUTED_VALUE"""),"Alta")</f>
        <v>Alta</v>
      </c>
      <c r="K1273" s="25">
        <f ca="1">IFERROR(__xludf.DUMMYFUNCTION("""COMPUTED_VALUE"""),30)</f>
        <v>30</v>
      </c>
      <c r="L1273" s="62">
        <f ca="1">IFERROR(__xludf.DUMMYFUNCTION("""COMPUTED_VALUE"""),44530)</f>
        <v>44530</v>
      </c>
      <c r="M1273" s="25" t="str">
        <f ca="1">IFERROR(__xludf.DUMMYFUNCTION("""COMPUTED_VALUE"""),"La SDDE entregó el perfil de los usuarios de la agencia de empleo. Se identifica que los usuarios cuentan con limitaciones de acceso a las tecnologías de la información y la comunicación, lo cual predomina el acceso a las ofertas de formación para el trab"&amp;"ajo y desarrollo personal, en tal sentido es importante que los buscadores de empleo reconozcan y empoderen sus capacidades y habilidades en el mercado laboral. Sin embargo, de forma general el perfil destacado en la agencia de empleo a nivel académico es"&amp;" bachiller y profesional con máxima experiencia de 6 meses y con opciones de reforzar el perfil laboral a través de competencias blandas y transversales y formación laboral.")</f>
        <v>La SDDE entregó el perfil de los usuarios de la agencia de empleo. Se identifica que los usuarios cuentan con limitaciones de acceso a las tecnologías de la información y la comunicación, lo cual predomina el acceso a las ofertas de formación para el trabajo y desarrollo personal, en tal sentido es importante que los buscadores de empleo reconozcan y empoderen sus capacidades y habilidades en el mercado laboral. Sin embargo, de forma general el perfil destacado en la agencia de empleo a nivel académico es bachiller y profesional con máxima experiencia de 6 meses y con opciones de reforzar el perfil laboral a través de competencias blandas y transversales y formación laboral.</v>
      </c>
      <c r="N1273" s="55">
        <f ca="1">IFERROR(__xludf.DUMMYFUNCTION("""COMPUTED_VALUE"""),44927)</f>
        <v>44927</v>
      </c>
      <c r="O1273" s="25" t="str">
        <f t="shared" ca="1" si="0"/>
        <v>Secretaría de Educación del Distrito</v>
      </c>
      <c r="P1273" s="25" t="str">
        <f t="shared" si="2"/>
        <v/>
      </c>
      <c r="Q1273" s="25" t="str">
        <f ca="1">IFERROR(__xludf.DUMMYFUNCTION("""COMPUTED_VALUE"""),"Corto plazo")</f>
        <v>Corto plazo</v>
      </c>
      <c r="R1273" s="25"/>
      <c r="S1273" s="55"/>
      <c r="T1273" s="56"/>
      <c r="U1273" s="25"/>
      <c r="V1273" s="25"/>
      <c r="W1273" s="25"/>
      <c r="X1273" s="25"/>
      <c r="Y1273" s="25"/>
      <c r="Z1273" s="25"/>
    </row>
    <row r="1274" spans="1:26" ht="52.5" customHeight="1" x14ac:dyDescent="0.25">
      <c r="A1274" s="25" t="str">
        <f ca="1">IFERROR(__xludf.DUMMYFUNCTION("""COMPUTED_VALUE"""),"Educa72")</f>
        <v>Educa72</v>
      </c>
      <c r="B1274" s="25" t="str">
        <f ca="1">IFERROR(__xludf.DUMMYFUNCTION("""COMPUTED_VALUE"""),"Nuevo modelo de trayectoria educativa ")</f>
        <v xml:space="preserve">Nuevo modelo de trayectoria educativa </v>
      </c>
      <c r="C1274" s="55">
        <f ca="1">IFERROR(__xludf.DUMMYFUNCTION("""COMPUTED_VALUE"""),44819)</f>
        <v>44819</v>
      </c>
      <c r="D1274" s="25" t="str">
        <f ca="1">IFERROR(__xludf.DUMMYFUNCTION("""COMPUTED_VALUE"""),"Educación")</f>
        <v>Educación</v>
      </c>
      <c r="E1274" s="25" t="str">
        <f ca="1">IFERROR(__xludf.DUMMYFUNCTION("""COMPUTED_VALUE"""),"Universidad Distrital Francisco José de Caldas")</f>
        <v>Universidad Distrital Francisco José de Caldas</v>
      </c>
      <c r="F1274" s="25" t="str">
        <f ca="1">IFERROR(__xludf.DUMMYFUNCTION("""COMPUTED_VALUE"""),"El primer politécnico hacerlo en Ciudad Bolívar, en la entrega que se hará en 2022 de la UD. Planear la operación para 2023. SENA-UD-UN-SED/ATENEA")</f>
        <v>El primer politécnico hacerlo en Ciudad Bolívar, en la entrega que se hará en 2022 de la UD. Planear la operación para 2023. SENA-UD-UN-SED/ATENEA</v>
      </c>
      <c r="G1274" s="25" t="str">
        <f ca="1">IFERROR(__xludf.DUMMYFUNCTION("""COMPUTED_VALUE"""),"19. Ciudad Bolívar")</f>
        <v>19. Ciudad Bolívar</v>
      </c>
      <c r="H1274" s="55">
        <f ca="1">IFERROR(__xludf.DUMMYFUNCTION("""COMPUTED_VALUE"""),44925)</f>
        <v>44925</v>
      </c>
      <c r="I1274" s="25"/>
      <c r="J1274" s="55" t="str">
        <f ca="1">IFERROR(__xludf.DUMMYFUNCTION("""COMPUTED_VALUE"""),"Media")</f>
        <v>Media</v>
      </c>
      <c r="K1274" s="25">
        <f ca="1">IFERROR(__xludf.DUMMYFUNCTION("""COMPUTED_VALUE"""),106)</f>
        <v>106</v>
      </c>
      <c r="L1274" s="62">
        <f ca="1">IFERROR(__xludf.DUMMYFUNCTION("""COMPUTED_VALUE"""),44951)</f>
        <v>44951</v>
      </c>
      <c r="M1274" s="25" t="str">
        <f ca="1">IFERROR(__xludf.DUMMYFUNCTION("""COMPUTED_VALUE"""),"El 15 de diciembre de 2022 se realizó la entrega técnica de la sede El Ensueño de la Facultad Tecnológica de la Universidad Distrital Francisco José de Caldas. En dicho espacio se conversó la posibilidad de generar el proyecto 'Politécnico', sin embargo e"&amp;"l proyecto en principio se construyó para superar las condiciones de hacinamiento de la facultad, por lo que no sería posible que el diseño entregado soporte además la carga de la nueva iniciativa. ")</f>
        <v xml:space="preserve">El 15 de diciembre de 2022 se realizó la entrega técnica de la sede El Ensueño de la Facultad Tecnológica de la Universidad Distrital Francisco José de Caldas. En dicho espacio se conversó la posibilidad de generar el proyecto 'Politécnico', sin embargo el proyecto en principio se construyó para superar las condiciones de hacinamiento de la facultad, por lo que no sería posible que el diseño entregado soporte además la carga de la nueva iniciativa. </v>
      </c>
      <c r="N1274" s="55">
        <f ca="1">IFERROR(__xludf.DUMMYFUNCTION("""COMPUTED_VALUE"""),44910)</f>
        <v>44910</v>
      </c>
      <c r="O1274" s="25" t="str">
        <f t="shared" ca="1" si="0"/>
        <v>Universidad Distrital Francisco José de Caldas</v>
      </c>
      <c r="P1274" s="25" t="str">
        <f t="shared" si="2"/>
        <v/>
      </c>
      <c r="Q1274" s="25" t="str">
        <f ca="1">IFERROR(__xludf.DUMMYFUNCTION("""COMPUTED_VALUE"""),"Mediano plazo")</f>
        <v>Mediano plazo</v>
      </c>
      <c r="R1274" s="25"/>
      <c r="S1274" s="55"/>
      <c r="T1274" s="56"/>
      <c r="U1274" s="25"/>
      <c r="V1274" s="25"/>
      <c r="W1274" s="25"/>
      <c r="X1274" s="25"/>
      <c r="Y1274" s="25"/>
      <c r="Z1274" s="25"/>
    </row>
    <row r="1275" spans="1:26" ht="52.5" customHeight="1" x14ac:dyDescent="0.25">
      <c r="A1275" s="25" t="str">
        <f ca="1">IFERROR(__xludf.DUMMYFUNCTION("""COMPUTED_VALUE"""),"Educa73")</f>
        <v>Educa73</v>
      </c>
      <c r="B1275" s="25" t="str">
        <f ca="1">IFERROR(__xludf.DUMMYFUNCTION("""COMPUTED_VALUE"""),"Reunión balance SENA")</f>
        <v>Reunión balance SENA</v>
      </c>
      <c r="C1275" s="55">
        <f ca="1">IFERROR(__xludf.DUMMYFUNCTION("""COMPUTED_VALUE"""),44482)</f>
        <v>44482</v>
      </c>
      <c r="D1275" s="25" t="str">
        <f ca="1">IFERROR(__xludf.DUMMYFUNCTION("""COMPUTED_VALUE"""),"Educación")</f>
        <v>Educación</v>
      </c>
      <c r="E1275" s="25" t="str">
        <f ca="1">IFERROR(__xludf.DUMMYFUNCTION("""COMPUTED_VALUE"""),"Secretaría de Educación del Distrito")</f>
        <v>Secretaría de Educación del Distrito</v>
      </c>
      <c r="F1275" s="25" t="str">
        <f ca="1">IFERROR(__xludf.DUMMYFUNCTION("""COMPUTED_VALUE"""),"Mostrar oferta educativa para mayores de 50 años atendiendo las nuevas realidades post pandemia")</f>
        <v>Mostrar oferta educativa para mayores de 50 años atendiendo las nuevas realidades post pandemia</v>
      </c>
      <c r="G1275" s="25" t="str">
        <f ca="1">IFERROR(__xludf.DUMMYFUNCTION("""COMPUTED_VALUE"""),"99. Distrito")</f>
        <v>99. Distrito</v>
      </c>
      <c r="H1275" s="55">
        <f ca="1">IFERROR(__xludf.DUMMYFUNCTION("""COMPUTED_VALUE"""),44512)</f>
        <v>44512</v>
      </c>
      <c r="I1275" s="25"/>
      <c r="J1275" s="55" t="str">
        <f ca="1">IFERROR(__xludf.DUMMYFUNCTION("""COMPUTED_VALUE"""),"Alta")</f>
        <v>Alta</v>
      </c>
      <c r="K1275" s="25">
        <f ca="1">IFERROR(__xludf.DUMMYFUNCTION("""COMPUTED_VALUE"""),30)</f>
        <v>30</v>
      </c>
      <c r="L1275" s="62">
        <f ca="1">IFERROR(__xludf.DUMMYFUNCTION("""COMPUTED_VALUE"""),44530)</f>
        <v>44530</v>
      </c>
      <c r="M1275" s="25" t="str">
        <f ca="1">IFERROR(__xludf.DUMMYFUNCTION("""COMPUTED_VALUE"""),"Se solicitó a las entidades que presentaran los beneficiarios mayores de 50 años por el SENA. A corte de octubre fueron beneficiadas: 927 mujeres desde la SDMujer; 176 desde la SDDE; 56 personas desde la SDM; 3019 personas desde la SDIS y 18 personas de l"&amp;"a SCRD. No aplica de la SED ni de IDIPRON.")</f>
        <v>Se solicitó a las entidades que presentaran los beneficiarios mayores de 50 años por el SENA. A corte de octubre fueron beneficiadas: 927 mujeres desde la SDMujer; 176 desde la SDDE; 56 personas desde la SDM; 3019 personas desde la SDIS y 18 personas de la SCRD. No aplica de la SED ni de IDIPRON.</v>
      </c>
      <c r="N1275" s="55">
        <f ca="1">IFERROR(__xludf.DUMMYFUNCTION("""COMPUTED_VALUE"""),44927)</f>
        <v>44927</v>
      </c>
      <c r="O1275" s="25" t="str">
        <f t="shared" ca="1" si="0"/>
        <v>Secretaría de Educación del Distrito</v>
      </c>
      <c r="P1275" s="25" t="str">
        <f t="shared" si="2"/>
        <v/>
      </c>
      <c r="Q1275" s="25" t="str">
        <f ca="1">IFERROR(__xludf.DUMMYFUNCTION("""COMPUTED_VALUE"""),"Corto plazo")</f>
        <v>Corto plazo</v>
      </c>
      <c r="R1275" s="25"/>
      <c r="S1275" s="55"/>
      <c r="T1275" s="56"/>
      <c r="U1275" s="25"/>
      <c r="V1275" s="25"/>
      <c r="W1275" s="25"/>
      <c r="X1275" s="25"/>
      <c r="Y1275" s="25"/>
      <c r="Z1275" s="25"/>
    </row>
    <row r="1276" spans="1:26" ht="52.5" customHeight="1" x14ac:dyDescent="0.25">
      <c r="A1276" s="25" t="str">
        <f ca="1">IFERROR(__xludf.DUMMYFUNCTION("""COMPUTED_VALUE"""),"Educa74")</f>
        <v>Educa74</v>
      </c>
      <c r="B1276" s="25" t="str">
        <f ca="1">IFERROR(__xludf.DUMMYFUNCTION("""COMPUTED_VALUE"""),"Nuevo modelo de trayectoria educativa ")</f>
        <v xml:space="preserve">Nuevo modelo de trayectoria educativa </v>
      </c>
      <c r="C1276" s="55">
        <f ca="1">IFERROR(__xludf.DUMMYFUNCTION("""COMPUTED_VALUE"""),44819)</f>
        <v>44819</v>
      </c>
      <c r="D1276" s="25" t="str">
        <f ca="1">IFERROR(__xludf.DUMMYFUNCTION("""COMPUTED_VALUE"""),"Educación")</f>
        <v>Educación</v>
      </c>
      <c r="E1276" s="25" t="str">
        <f ca="1">IFERROR(__xludf.DUMMYFUNCTION("""COMPUTED_VALUE"""),"Secretaría de Educación del Distrito")</f>
        <v>Secretaría de Educación del Distrito</v>
      </c>
      <c r="F1276" s="25" t="str">
        <f ca="1">IFERROR(__xludf.DUMMYFUNCTION("""COMPUTED_VALUE"""),"Que Mauricio Toro converse con SED y Atenea para plantear un modelo de cofinanciación con las alcaldías como Jóvenes a la U. ")</f>
        <v xml:space="preserve">Que Mauricio Toro converse con SED y Atenea para plantear un modelo de cofinanciación con las alcaldías como Jóvenes a la U. </v>
      </c>
      <c r="G1276" s="25" t="str">
        <f ca="1">IFERROR(__xludf.DUMMYFUNCTION("""COMPUTED_VALUE"""),"99. Distrito")</f>
        <v>99. Distrito</v>
      </c>
      <c r="H1276" s="55">
        <f ca="1">IFERROR(__xludf.DUMMYFUNCTION("""COMPUTED_VALUE"""),45046)</f>
        <v>45046</v>
      </c>
      <c r="I1276" s="25"/>
      <c r="J1276" s="55" t="str">
        <f ca="1">IFERROR(__xludf.DUMMYFUNCTION("""COMPUTED_VALUE"""),"Baja")</f>
        <v>Baja</v>
      </c>
      <c r="K1276" s="25">
        <f ca="1">IFERROR(__xludf.DUMMYFUNCTION("""COMPUTED_VALUE"""),227)</f>
        <v>227</v>
      </c>
      <c r="L1276" s="62">
        <f ca="1">IFERROR(__xludf.DUMMYFUNCTION("""COMPUTED_VALUE"""),45000)</f>
        <v>45000</v>
      </c>
      <c r="M1276" s="25" t="str">
        <f ca="1">IFERROR(__xludf.DUMMYFUNCTION("""COMPUTED_VALUE"""),"El 10 de marzo de 2023 se sostuvo reunión entre la SED, ATENEA, la Vicepresidenta de Fondos del ICETEX y su equipo, en donde se planteó la posibilidad de un modelo de cofinanciación con las Alcaldías Locales similar al administrado por ATENEA.
El ICETE"&amp;"X quedó de estudiar posibilidades de cofinanciación compatibles con la apuesta de gratuidad que adelanta la administración distrital. Al respecto, el ICETEX señaló que revisará si hay alternativas que le permita hacer aportes en estas condiciones.")</f>
        <v>El 10 de marzo de 2023 se sostuvo reunión entre la SED, ATENEA, la Vicepresidenta de Fondos del ICETEX y su equipo, en donde se planteó la posibilidad de un modelo de cofinanciación con las Alcaldías Locales similar al administrado por ATENEA.
El ICETEX quedó de estudiar posibilidades de cofinanciación compatibles con la apuesta de gratuidad que adelanta la administración distrital. Al respecto, el ICETEX señaló que revisará si hay alternativas que le permita hacer aportes en estas condiciones.</v>
      </c>
      <c r="N1276" s="55">
        <f ca="1">IFERROR(__xludf.DUMMYFUNCTION("""COMPUTED_VALUE"""),44995)</f>
        <v>44995</v>
      </c>
      <c r="O1276" s="25" t="str">
        <f t="shared" ca="1" si="0"/>
        <v>Secretaría de Educación del Distrito</v>
      </c>
      <c r="P1276" s="25" t="str">
        <f t="shared" si="2"/>
        <v/>
      </c>
      <c r="Q1276" s="25" t="str">
        <f ca="1">IFERROR(__xludf.DUMMYFUNCTION("""COMPUTED_VALUE"""),"Largo plazo")</f>
        <v>Largo plazo</v>
      </c>
      <c r="R1276" s="25"/>
      <c r="S1276" s="55"/>
      <c r="T1276" s="56"/>
      <c r="U1276" s="25"/>
      <c r="V1276" s="25"/>
      <c r="W1276" s="25"/>
      <c r="X1276" s="25"/>
      <c r="Y1276" s="25"/>
      <c r="Z1276" s="25"/>
    </row>
    <row r="1277" spans="1:26" ht="52.5" customHeight="1" x14ac:dyDescent="0.25">
      <c r="A1277" s="25" t="str">
        <f ca="1">IFERROR(__xludf.DUMMYFUNCTION("""COMPUTED_VALUE"""),"Educa75")</f>
        <v>Educa75</v>
      </c>
      <c r="B1277" s="25" t="str">
        <f ca="1">IFERROR(__xludf.DUMMYFUNCTION("""COMPUTED_VALUE"""),"Comité epidemiológico ")</f>
        <v xml:space="preserve">Comité epidemiológico </v>
      </c>
      <c r="C1277" s="55">
        <f ca="1">IFERROR(__xludf.DUMMYFUNCTION("""COMPUTED_VALUE"""),44573)</f>
        <v>44573</v>
      </c>
      <c r="D1277" s="25" t="str">
        <f ca="1">IFERROR(__xludf.DUMMYFUNCTION("""COMPUTED_VALUE"""),"Educación")</f>
        <v>Educación</v>
      </c>
      <c r="E1277" s="25" t="str">
        <f ca="1">IFERROR(__xludf.DUMMYFUNCTION("""COMPUTED_VALUE"""),"Secretaría de Educación del Distrito")</f>
        <v>Secretaría de Educación del Distrito</v>
      </c>
      <c r="F1277" s="25" t="str">
        <f ca="1">IFERROR(__xludf.DUMMYFUNCTION("""COMPUTED_VALUE"""),"Los auxiliares de enfermería deben hacer tamizaje de peso y talla de todos los niños hasta primaria, e identificación y remisión para temas de salud mental. 
-        Tamizaje universal en primaria y básica. 
-        En secundaria hacer tamizaje aleator"&amp;"io.
-        Para todos los casos identificación y remisión en materia de salud mental. 
-        Muestra aleatoria y remisión para cualquier caso de salud sexual y reproductiva. 
Hacer la remisión directa a la EPS encargada y reportar. 
Conectar toda l"&amp;"a ruta de atención. 
")</f>
        <v xml:space="preserve">Los auxiliares de enfermería deben hacer tamizaje de peso y talla de todos los niños hasta primaria, e identificación y remisión para temas de salud mental. 
-        Tamizaje universal en primaria y básica. 
-        En secundaria hacer tamizaje aleatorio.
-        Para todos los casos identificación y remisión en materia de salud mental. 
-        Muestra aleatoria y remisión para cualquier caso de salud sexual y reproductiva. 
Hacer la remisión directa a la EPS encargada y reportar. 
Conectar toda la ruta de atención. 
</v>
      </c>
      <c r="G1277" s="25" t="str">
        <f ca="1">IFERROR(__xludf.DUMMYFUNCTION("""COMPUTED_VALUE"""),"99. Distrito")</f>
        <v>99. Distrito</v>
      </c>
      <c r="H1277" s="55">
        <f ca="1">IFERROR(__xludf.DUMMYFUNCTION("""COMPUTED_VALUE"""),44603)</f>
        <v>44603</v>
      </c>
      <c r="I1277" s="25"/>
      <c r="J1277" s="55" t="str">
        <f ca="1">IFERROR(__xludf.DUMMYFUNCTION("""COMPUTED_VALUE"""),"Alta")</f>
        <v>Alta</v>
      </c>
      <c r="K1277" s="25">
        <f ca="1">IFERROR(__xludf.DUMMYFUNCTION("""COMPUTED_VALUE"""),30)</f>
        <v>30</v>
      </c>
      <c r="L1277" s="62">
        <f ca="1">IFERROR(__xludf.DUMMYFUNCTION("""COMPUTED_VALUE"""),44740)</f>
        <v>44740</v>
      </c>
      <c r="M1277" s="25" t="str">
        <f ca="1">IFERROR(__xludf.DUMMYFUNCTION("""COMPUTED_VALUE"""),"Se ha avanzado en reuniones por la SED (Dirección de Bienestar Estudiantil, Educación Prescolar y Básica, Participación y Relaciones Interinstitucionales) para un Memorando de entendimiento (documento y soporte marco) con la  Secretaría Distrital de Salud"&amp;"  para el apoyo a los tamizajes en estudiantes de básica primaria y secundaria que se proyectan realizar durante el segundo semestre.
Debe recordarse que con base en la Resolución 3280/2018, las mediciones en peso y talla son competencia exclusiva del se"&amp;"ctor salud.")</f>
        <v>Se ha avanzado en reuniones por la SED (Dirección de Bienestar Estudiantil, Educación Prescolar y Básica, Participación y Relaciones Interinstitucionales) para un Memorando de entendimiento (documento y soporte marco) con la  Secretaría Distrital de Salud  para el apoyo a los tamizajes en estudiantes de básica primaria y secundaria que se proyectan realizar durante el segundo semestre.
Debe recordarse que con base en la Resolución 3280/2018, las mediciones en peso y talla son competencia exclusiva del sector salud.</v>
      </c>
      <c r="N1277" s="55">
        <f ca="1">IFERROR(__xludf.DUMMYFUNCTION("""COMPUTED_VALUE"""),44927)</f>
        <v>44927</v>
      </c>
      <c r="O1277" s="25" t="str">
        <f t="shared" ca="1" si="0"/>
        <v>Secretaría de Educación del Distrito</v>
      </c>
      <c r="P1277" s="25" t="str">
        <f t="shared" si="2"/>
        <v/>
      </c>
      <c r="Q1277" s="25" t="str">
        <f ca="1">IFERROR(__xludf.DUMMYFUNCTION("""COMPUTED_VALUE"""),"Corto plazo")</f>
        <v>Corto plazo</v>
      </c>
      <c r="R1277" s="25"/>
      <c r="S1277" s="55"/>
      <c r="T1277" s="56"/>
      <c r="U1277" s="25"/>
      <c r="V1277" s="25"/>
      <c r="W1277" s="25"/>
      <c r="X1277" s="25"/>
      <c r="Y1277" s="25"/>
      <c r="Z1277" s="25"/>
    </row>
    <row r="1278" spans="1:26" ht="52.5" customHeight="1" x14ac:dyDescent="0.25">
      <c r="A1278" s="25" t="str">
        <f ca="1">IFERROR(__xludf.DUMMYFUNCTION("""COMPUTED_VALUE"""),"Educa76")</f>
        <v>Educa76</v>
      </c>
      <c r="B1278" s="25" t="str">
        <f ca="1">IFERROR(__xludf.DUMMYFUNCTION("""COMPUTED_VALUE"""),"Pobreza y reactivación económica presupuesto 2023 ")</f>
        <v xml:space="preserve">Pobreza y reactivación económica presupuesto 2023 </v>
      </c>
      <c r="C1278" s="55">
        <f ca="1">IFERROR(__xludf.DUMMYFUNCTION("""COMPUTED_VALUE"""),44827)</f>
        <v>44827</v>
      </c>
      <c r="D1278" s="25" t="str">
        <f ca="1">IFERROR(__xludf.DUMMYFUNCTION("""COMPUTED_VALUE"""),"Educación")</f>
        <v>Educación</v>
      </c>
      <c r="E1278" s="25" t="str">
        <f ca="1">IFERROR(__xludf.DUMMYFUNCTION("""COMPUTED_VALUE"""),"Secretaría de Educación del Distrito")</f>
        <v>Secretaría de Educación del Distrito</v>
      </c>
      <c r="F1278" s="25" t="str">
        <f ca="1">IFERROR(__xludf.DUMMYFUNCTION("""COMPUTED_VALUE"""),"Revisar cómo queda el presupuesto si se elimina la asignación presupuestal del Fondo FEST y pasarlo con la presentación de presupuesto al Concejo.")</f>
        <v>Revisar cómo queda el presupuesto si se elimina la asignación presupuestal del Fondo FEST y pasarlo con la presentación de presupuesto al Concejo.</v>
      </c>
      <c r="G1278" s="25" t="str">
        <f ca="1">IFERROR(__xludf.DUMMYFUNCTION("""COMPUTED_VALUE"""),"99. Distrito")</f>
        <v>99. Distrito</v>
      </c>
      <c r="H1278" s="55">
        <f ca="1">IFERROR(__xludf.DUMMYFUNCTION("""COMPUTED_VALUE"""),45107)</f>
        <v>45107</v>
      </c>
      <c r="I1278" s="25"/>
      <c r="J1278" s="55" t="str">
        <f ca="1">IFERROR(__xludf.DUMMYFUNCTION("""COMPUTED_VALUE"""),"Baja")</f>
        <v>Baja</v>
      </c>
      <c r="K1278" s="25">
        <f ca="1">IFERROR(__xludf.DUMMYFUNCTION("""COMPUTED_VALUE"""),280)</f>
        <v>280</v>
      </c>
      <c r="L1278" s="62">
        <f ca="1">IFERROR(__xludf.DUMMYFUNCTION("""COMPUTED_VALUE"""),45000)</f>
        <v>45000</v>
      </c>
      <c r="M1278" s="25" t="str">
        <f ca="1">IFERROR(__xludf.DUMMYFUNCTION("""COMPUTED_VALUE"""),"A la luz de lo estipulado en el artículo 35 del Decreto 571 de 2022 (Presupuesto Anual del Distrito), el cual señala que ATENEA debe asumir la gestión y todas las actividades necesarias que garanticen la ejecución normal del Fondo Cuenta ""Fondo Distrital"&amp;" para la Financiación de la Educación Superior -Educación Superior para Todos”, se está avanzando con la revisión técnica y jurídica para proponer la modificación del Decreto Distrital 631 de 2017, con el fin de que el Fondo empiece a ser administrado por"&amp;" ATENEA. ")</f>
        <v xml:space="preserve">A la luz de lo estipulado en el artículo 35 del Decreto 571 de 2022 (Presupuesto Anual del Distrito), el cual señala que ATENEA debe asumir la gestión y todas las actividades necesarias que garanticen la ejecución normal del Fondo Cuenta "Fondo Distrital para la Financiación de la Educación Superior -Educación Superior para Todos”, se está avanzando con la revisión técnica y jurídica para proponer la modificación del Decreto Distrital 631 de 2017, con el fin de que el Fondo empiece a ser administrado por ATENEA. </v>
      </c>
      <c r="N1278" s="55">
        <f ca="1">IFERROR(__xludf.DUMMYFUNCTION("""COMPUTED_VALUE"""),45000)</f>
        <v>45000</v>
      </c>
      <c r="O1278" s="25" t="str">
        <f t="shared" ca="1" si="0"/>
        <v>Secretaría de Educación del Distrito</v>
      </c>
      <c r="P1278" s="25" t="str">
        <f t="shared" si="2"/>
        <v/>
      </c>
      <c r="Q1278" s="25" t="str">
        <f ca="1">IFERROR(__xludf.DUMMYFUNCTION("""COMPUTED_VALUE"""),"Largo plazo")</f>
        <v>Largo plazo</v>
      </c>
      <c r="R1278" s="25"/>
      <c r="S1278" s="55"/>
      <c r="T1278" s="56"/>
      <c r="U1278" s="25"/>
      <c r="V1278" s="25"/>
      <c r="W1278" s="25"/>
      <c r="X1278" s="25"/>
      <c r="Y1278" s="25"/>
      <c r="Z1278" s="25"/>
    </row>
    <row r="1279" spans="1:26" ht="52.5" customHeight="1" x14ac:dyDescent="0.25">
      <c r="A1279" s="25" t="str">
        <f ca="1">IFERROR(__xludf.DUMMYFUNCTION("""COMPUTED_VALUE"""),"Educa77")</f>
        <v>Educa77</v>
      </c>
      <c r="B1279" s="55" t="str">
        <f ca="1">IFERROR(__xludf.DUMMYFUNCTION("""COMPUTED_VALUE"""),"Comité epidemiológico ")</f>
        <v xml:space="preserve">Comité epidemiológico </v>
      </c>
      <c r="C1279" s="55">
        <f ca="1">IFERROR(__xludf.DUMMYFUNCTION("""COMPUTED_VALUE"""),44573)</f>
        <v>44573</v>
      </c>
      <c r="D1279" s="25" t="str">
        <f ca="1">IFERROR(__xludf.DUMMYFUNCTION("""COMPUTED_VALUE"""),"Educación")</f>
        <v>Educación</v>
      </c>
      <c r="E1279" s="25" t="str">
        <f ca="1">IFERROR(__xludf.DUMMYFUNCTION("""COMPUTED_VALUE"""),"Secretaría de Educación del Distrito")</f>
        <v>Secretaría de Educación del Distrito</v>
      </c>
      <c r="F1279" s="25" t="str">
        <f ca="1">IFERROR(__xludf.DUMMYFUNCTION("""COMPUTED_VALUE"""),"Preparar personal de reemplazo para eventual aislamiento de maestros")</f>
        <v>Preparar personal de reemplazo para eventual aislamiento de maestros</v>
      </c>
      <c r="G1279" s="25" t="str">
        <f ca="1">IFERROR(__xludf.DUMMYFUNCTION("""COMPUTED_VALUE"""),"99. Distrito")</f>
        <v>99. Distrito</v>
      </c>
      <c r="H1279" s="55">
        <f ca="1">IFERROR(__xludf.DUMMYFUNCTION("""COMPUTED_VALUE"""),44603)</f>
        <v>44603</v>
      </c>
      <c r="I1279" s="25"/>
      <c r="J1279" s="55" t="str">
        <f ca="1">IFERROR(__xludf.DUMMYFUNCTION("""COMPUTED_VALUE"""),"Alta")</f>
        <v>Alta</v>
      </c>
      <c r="K1279" s="25">
        <f ca="1">IFERROR(__xludf.DUMMYFUNCTION("""COMPUTED_VALUE"""),30)</f>
        <v>30</v>
      </c>
      <c r="L1279" s="62">
        <f ca="1">IFERROR(__xludf.DUMMYFUNCTION("""COMPUTED_VALUE"""),44589)</f>
        <v>44589</v>
      </c>
      <c r="M1279" s="25" t="str">
        <f ca="1">IFERROR(__xludf.DUMMYFUNCTION("""COMPUTED_VALUE"""),"Se estableció un equipo de voluntarios tanto de la SED como de otras entidades de la Alcaldía, como personal de reemplazo, además de otras acciones de contingencia. Esto quedó establecido en la Circular 004 del 24 de enero de 2022, con el Asunto: Acciones"&amp;" para atender la contingencia generada por la ausencia de las y los docentes a los colegios a causa de incapacidades y certificados de aislamiento por COVID -19")</f>
        <v>Se estableció un equipo de voluntarios tanto de la SED como de otras entidades de la Alcaldía, como personal de reemplazo, además de otras acciones de contingencia. Esto quedó establecido en la Circular 004 del 24 de enero de 2022, con el Asunto: Acciones para atender la contingencia generada por la ausencia de las y los docentes a los colegios a causa de incapacidades y certificados de aislamiento por COVID -19</v>
      </c>
      <c r="N1279" s="55">
        <f ca="1">IFERROR(__xludf.DUMMYFUNCTION("""COMPUTED_VALUE"""),44927)</f>
        <v>44927</v>
      </c>
      <c r="O1279" s="25" t="str">
        <f t="shared" ca="1" si="0"/>
        <v>Secretaría de Educación del Distrito</v>
      </c>
      <c r="P1279" s="25" t="str">
        <f t="shared" si="2"/>
        <v/>
      </c>
      <c r="Q1279" s="25" t="str">
        <f ca="1">IFERROR(__xludf.DUMMYFUNCTION("""COMPUTED_VALUE"""),"Corto plazo")</f>
        <v>Corto plazo</v>
      </c>
      <c r="R1279" s="25"/>
      <c r="S1279" s="55"/>
      <c r="T1279" s="56"/>
      <c r="U1279" s="25"/>
      <c r="V1279" s="25"/>
      <c r="W1279" s="25"/>
      <c r="X1279" s="25"/>
      <c r="Y1279" s="25"/>
      <c r="Z1279" s="25"/>
    </row>
    <row r="1280" spans="1:26" ht="52.5" customHeight="1" x14ac:dyDescent="0.25">
      <c r="A1280" s="25" t="str">
        <f ca="1">IFERROR(__xludf.DUMMYFUNCTION("""COMPUTED_VALUE"""),"Educa78")</f>
        <v>Educa78</v>
      </c>
      <c r="B1280" s="25" t="str">
        <f ca="1">IFERROR(__xludf.DUMMYFUNCTION("""COMPUTED_VALUE"""),"AE – Ciudadela Educativa y del Cuidado")</f>
        <v>AE – Ciudadela Educativa y del Cuidado</v>
      </c>
      <c r="C1280" s="55">
        <f ca="1">IFERROR(__xludf.DUMMYFUNCTION("""COMPUTED_VALUE"""),44875)</f>
        <v>44875</v>
      </c>
      <c r="D1280" s="25" t="str">
        <f ca="1">IFERROR(__xludf.DUMMYFUNCTION("""COMPUTED_VALUE"""),"Educación")</f>
        <v>Educación</v>
      </c>
      <c r="E1280" s="25" t="str">
        <f ca="1">IFERROR(__xludf.DUMMYFUNCTION("""COMPUTED_VALUE"""),"Secretaría de Educación del Distrito")</f>
        <v>Secretaría de Educación del Distrito</v>
      </c>
      <c r="F1280" s="25" t="str">
        <f ca="1">IFERROR(__xludf.DUMMYFUNCTION("""COMPUTED_VALUE"""),"Precisar cuáles son los servicios que serán incluídos en la Ciudadela Educativa y del Cuidado ")</f>
        <v xml:space="preserve">Precisar cuáles son los servicios que serán incluídos en la Ciudadela Educativa y del Cuidado </v>
      </c>
      <c r="G1280" s="25" t="str">
        <f ca="1">IFERROR(__xludf.DUMMYFUNCTION("""COMPUTED_VALUE"""),"99. Distrito")</f>
        <v>99. Distrito</v>
      </c>
      <c r="H1280" s="55">
        <f ca="1">IFERROR(__xludf.DUMMYFUNCTION("""COMPUTED_VALUE"""),44910)</f>
        <v>44910</v>
      </c>
      <c r="I1280" s="25"/>
      <c r="J1280" s="55" t="str">
        <f ca="1">IFERROR(__xludf.DUMMYFUNCTION("""COMPUTED_VALUE"""),"Alta")</f>
        <v>Alta</v>
      </c>
      <c r="K1280" s="25">
        <f ca="1">IFERROR(__xludf.DUMMYFUNCTION("""COMPUTED_VALUE"""),35)</f>
        <v>35</v>
      </c>
      <c r="L1280" s="62">
        <f ca="1">IFERROR(__xludf.DUMMYFUNCTION("""COMPUTED_VALUE"""),44951)</f>
        <v>44951</v>
      </c>
      <c r="M1280" s="25" t="str">
        <f ca="1">IFERROR(__xludf.DUMMYFUNCTION("""COMPUTED_VALUE"""),"Los equipamientos y servicios que estarán en la Actuación Estratégica de la Ciudadela Educativa son:
1 Campus universitario; 1 Museo; 2 Colegios; 1 Biblioteca zonal; 1 Centro de formación (aulas culturales); 1 jardín infantil; 1 centro crecer; 1 centro dí"&amp;"a; 1 comisaría; 1 parque deportivo; 1 polideportivo paraolímpico; 1 hospital; 1 centro de salud; 1 centro administrativo; 1 estación de policía; 2 manzanas del cuidado.
El gerente de la Actuación Estratégica es la Secretaría Distrital del Hábitat.")</f>
        <v>Los equipamientos y servicios que estarán en la Actuación Estratégica de la Ciudadela Educativa son:
1 Campus universitario; 1 Museo; 2 Colegios; 1 Biblioteca zonal; 1 Centro de formación (aulas culturales); 1 jardín infantil; 1 centro crecer; 1 centro día; 1 comisaría; 1 parque deportivo; 1 polideportivo paraolímpico; 1 hospital; 1 centro de salud; 1 centro administrativo; 1 estación de policía; 2 manzanas del cuidado.
El gerente de la Actuación Estratégica es la Secretaría Distrital del Hábitat.</v>
      </c>
      <c r="N1280" s="55">
        <f ca="1">IFERROR(__xludf.DUMMYFUNCTION("""COMPUTED_VALUE"""),44910)</f>
        <v>44910</v>
      </c>
      <c r="O1280" s="25" t="str">
        <f t="shared" ca="1" si="0"/>
        <v>Secretaría de Educación del Distrito</v>
      </c>
      <c r="P1280" s="25" t="str">
        <f t="shared" si="2"/>
        <v/>
      </c>
      <c r="Q1280" s="25" t="str">
        <f ca="1">IFERROR(__xludf.DUMMYFUNCTION("""COMPUTED_VALUE"""),"Corto plazo")</f>
        <v>Corto plazo</v>
      </c>
      <c r="R1280" s="25"/>
      <c r="S1280" s="55"/>
      <c r="T1280" s="56"/>
      <c r="U1280" s="25"/>
      <c r="V1280" s="25"/>
      <c r="W1280" s="25"/>
      <c r="X1280" s="25"/>
      <c r="Y1280" s="25"/>
      <c r="Z1280" s="25"/>
    </row>
    <row r="1281" spans="1:26" ht="52.5" customHeight="1" x14ac:dyDescent="0.25">
      <c r="A1281" s="25" t="str">
        <f ca="1">IFERROR(__xludf.DUMMYFUNCTION("""COMPUTED_VALUE"""),"Educa79")</f>
        <v>Educa79</v>
      </c>
      <c r="B1281" s="25" t="str">
        <f ca="1">IFERROR(__xludf.DUMMYFUNCTION("""COMPUTED_VALUE"""),"Comité epidemiológico ")</f>
        <v xml:space="preserve">Comité epidemiológico </v>
      </c>
      <c r="C1281" s="55">
        <f ca="1">IFERROR(__xludf.DUMMYFUNCTION("""COMPUTED_VALUE"""),44573)</f>
        <v>44573</v>
      </c>
      <c r="D1281" s="25" t="str">
        <f ca="1">IFERROR(__xludf.DUMMYFUNCTION("""COMPUTED_VALUE"""),"Educación")</f>
        <v>Educación</v>
      </c>
      <c r="E1281" s="25" t="str">
        <f ca="1">IFERROR(__xludf.DUMMYFUNCTION("""COMPUTED_VALUE"""),"Secretaría de Educación del Distrito")</f>
        <v>Secretaría de Educación del Distrito</v>
      </c>
      <c r="F1281" s="25" t="str">
        <f ca="1">IFERROR(__xludf.DUMMYFUNCTION("""COMPUTED_VALUE"""),"Articularse con la Secretaria de Ambiente para iImplementar en todos los Colegios amigables con el ambiente. 
Todos los colegios deben sembrar, reciclar, separar, etc… En los colegios debe haber profesores líderes de huertas, separación, reciclaje, punto "&amp;"limpio en el colegio etc…")</f>
        <v>Articularse con la Secretaria de Ambiente para iImplementar en todos los Colegios amigables con el ambiente. 
Todos los colegios deben sembrar, reciclar, separar, etc… En los colegios debe haber profesores líderes de huertas, separación, reciclaje, punto limpio en el colegio etc…</v>
      </c>
      <c r="G1281" s="25" t="str">
        <f ca="1">IFERROR(__xludf.DUMMYFUNCTION("""COMPUTED_VALUE"""),"99. Distrito")</f>
        <v>99. Distrito</v>
      </c>
      <c r="H1281" s="55">
        <f ca="1">IFERROR(__xludf.DUMMYFUNCTION("""COMPUTED_VALUE"""),44603)</f>
        <v>44603</v>
      </c>
      <c r="I1281" s="25"/>
      <c r="J1281" s="55" t="str">
        <f ca="1">IFERROR(__xludf.DUMMYFUNCTION("""COMPUTED_VALUE"""),"Alta")</f>
        <v>Alta</v>
      </c>
      <c r="K1281" s="25">
        <f ca="1">IFERROR(__xludf.DUMMYFUNCTION("""COMPUTED_VALUE"""),30)</f>
        <v>30</v>
      </c>
      <c r="L1281" s="62">
        <f ca="1">IFERROR(__xludf.DUMMYFUNCTION("""COMPUTED_VALUE"""),44740)</f>
        <v>44740</v>
      </c>
      <c r="M1281" s="25" t="str">
        <f ca="1">IFERROR(__xludf.DUMMYFUNCTION("""COMPUTED_VALUE"""),"La SED ha realizado acompañamiento pedagógico desde el 2020, a la fecha se cuenta con 300 Proyectos Ambientales Escolares – PRAE de las IED, mediante los cuales se brindan orientaciones a los docentes del proyecto para dinamizar el enfoque transversal y t"&amp;"erritorial en los procesos de educación ambiental, a través del Proyecto de Inversión 7599 ""Fortalecimiento de las estrategias de educación ambiental y protección animal en los colegios públicos de Bogotá"", a partir del cual, se brindan orientaciones pe"&amp;"dagógicas para dinamizar en las comunidades educativas las siguientes líneas temáticas: manejo y minimización de residuos sólidos, adaptación y mitigación al cambio climático, consumo responsable, sistema hídrico y biodiversidad. Así mismo, se orienta a l"&amp;"os colegios para articular los procesos de educación ambiental al contexto institucional (PEI, currículo y modelo pedagógico) y a las dinámicas de los territorios ambientales.
Para la vigencia 2022, a la fecha se inició el acompañamiento en 150 IED con l"&amp;"a concertación del plan de trabajo respectivo, durante este proceso los dinamizadores de la SED se reúnen con los docentes del PRAE para identificar las necesidades de acompañamiento y realizar talleres presenciales en las comunidades educativas que permi"&amp;"tan fortalecer las diferentes líneas temáticas del proyecto y promover la dimensión curricular en los procesos de educación ambiental institucional. 
De otra parte, en el marco del convenio interadministrativo del 2021 suscrito entre la SED y el Jardín "&amp;"Botánico de Bogotá para fortalecer las huertas escolares de las IED desde el ámbito técnico y pedagógico, se vienen realizando talleres con estudiantes y docentes de agricultura urbana, alimentos ancestrales, manejo de residuos orgánicos y biodiversidad.
"&amp;"
En cuanto a los puntos ecológicos para la separación en la fuente, es importante resaltar que las IED en el marco de su Plan Institucional de Gestión Ambiental (PIGA), tienen instalados estos puntos para un adecuado manejo de los residuos sólidos. Por ot"&amp;"ra parte, en el marco de una alianza estratégica con United Way se tiene proyectado instalar 5 puntos ecológicos en los colegios, en los que los estudiantes a través del arte participan en su construcción.
")</f>
        <v xml:space="preserve">La SED ha realizado acompañamiento pedagógico desde el 2020, a la fecha se cuenta con 300 Proyectos Ambientales Escolares – PRAE de las IED, mediante los cuales se brindan orientaciones a los docentes del proyecto para dinamizar el enfoque transversal y territorial en los procesos de educación ambiental, a través del Proyecto de Inversión 7599 "Fortalecimiento de las estrategias de educación ambiental y protección animal en los colegios públicos de Bogotá", a partir del cual, se brindan orientaciones pedagógicas para dinamizar en las comunidades educativas las siguientes líneas temáticas: manejo y minimización de residuos sólidos, adaptación y mitigación al cambio climático, consumo responsable, sistema hídrico y biodiversidad. Así mismo, se orienta a los colegios para articular los procesos de educación ambiental al contexto institucional (PEI, currículo y modelo pedagógico) y a las dinámicas de los territorios ambientales.
Para la vigencia 2022, a la fecha se inició el acompañamiento en 150 IED con la concertación del plan de trabajo respectivo, durante este proceso los dinamizadores de la SED se reúnen con los docentes del PRAE para identificar las necesidades de acompañamiento y realizar talleres presenciales en las comunidades educativas que permitan fortalecer las diferentes líneas temáticas del proyecto y promover la dimensión curricular en los procesos de educación ambiental institucional. 
De otra parte, en el marco del convenio interadministrativo del 2021 suscrito entre la SED y el Jardín Botánico de Bogotá para fortalecer las huertas escolares de las IED desde el ámbito técnico y pedagógico, se vienen realizando talleres con estudiantes y docentes de agricultura urbana, alimentos ancestrales, manejo de residuos orgánicos y biodiversidad.
En cuanto a los puntos ecológicos para la separación en la fuente, es importante resaltar que las IED en el marco de su Plan Institucional de Gestión Ambiental (PIGA), tienen instalados estos puntos para un adecuado manejo de los residuos sólidos. Por otra parte, en el marco de una alianza estratégica con United Way se tiene proyectado instalar 5 puntos ecológicos en los colegios, en los que los estudiantes a través del arte participan en su construcción.
</v>
      </c>
      <c r="N1281" s="55">
        <f ca="1">IFERROR(__xludf.DUMMYFUNCTION("""COMPUTED_VALUE"""),44927)</f>
        <v>44927</v>
      </c>
      <c r="O1281" s="25" t="str">
        <f t="shared" ca="1" si="0"/>
        <v>Secretaría de Educación del Distrito</v>
      </c>
      <c r="P1281" s="25" t="str">
        <f t="shared" si="2"/>
        <v/>
      </c>
      <c r="Q1281" s="25" t="str">
        <f ca="1">IFERROR(__xludf.DUMMYFUNCTION("""COMPUTED_VALUE"""),"Corto plazo")</f>
        <v>Corto plazo</v>
      </c>
      <c r="R1281" s="25"/>
      <c r="S1281" s="55"/>
      <c r="T1281" s="56"/>
      <c r="U1281" s="25"/>
      <c r="V1281" s="25"/>
      <c r="W1281" s="25"/>
      <c r="X1281" s="25"/>
      <c r="Y1281" s="25"/>
      <c r="Z1281" s="25"/>
    </row>
    <row r="1282" spans="1:26" ht="52.5" customHeight="1" x14ac:dyDescent="0.25">
      <c r="A1282" s="25" t="str">
        <f ca="1">IFERROR(__xludf.DUMMYFUNCTION("""COMPUTED_VALUE"""),"Educa80")</f>
        <v>Educa80</v>
      </c>
      <c r="B1282" s="25" t="str">
        <f ca="1">IFERROR(__xludf.DUMMYFUNCTION("""COMPUTED_VALUE"""),"Comité epidemiológico ")</f>
        <v xml:space="preserve">Comité epidemiológico </v>
      </c>
      <c r="C1282" s="55">
        <f ca="1">IFERROR(__xludf.DUMMYFUNCTION("""COMPUTED_VALUE"""),44573)</f>
        <v>44573</v>
      </c>
      <c r="D1282" s="25" t="str">
        <f ca="1">IFERROR(__xludf.DUMMYFUNCTION("""COMPUTED_VALUE"""),"Educación")</f>
        <v>Educación</v>
      </c>
      <c r="E1282" s="25" t="str">
        <f ca="1">IFERROR(__xludf.DUMMYFUNCTION("""COMPUTED_VALUE"""),"Secretaría de Educación del Distrito")</f>
        <v>Secretaría de Educación del Distrito</v>
      </c>
      <c r="F1282" s="25" t="str">
        <f ca="1">IFERROR(__xludf.DUMMYFUNCTION("""COMPUTED_VALUE"""),"El 22 de marzo (día mundial del agua) declarar todos los Colegios amigables con el ambiente. 
1.        Siembra 
2.        Reverdecimiento 
3.        Separación 
4.        Reciclaje 
")</f>
        <v xml:space="preserve">El 22 de marzo (día mundial del agua) declarar todos los Colegios amigables con el ambiente. 
1.        Siembra 
2.        Reverdecimiento 
3.        Separación 
4.        Reciclaje 
</v>
      </c>
      <c r="G1282" s="25" t="str">
        <f ca="1">IFERROR(__xludf.DUMMYFUNCTION("""COMPUTED_VALUE"""),"99. Distrito")</f>
        <v>99. Distrito</v>
      </c>
      <c r="H1282" s="55">
        <f ca="1">IFERROR(__xludf.DUMMYFUNCTION("""COMPUTED_VALUE"""),44603)</f>
        <v>44603</v>
      </c>
      <c r="I1282" s="25"/>
      <c r="J1282" s="55" t="str">
        <f ca="1">IFERROR(__xludf.DUMMYFUNCTION("""COMPUTED_VALUE"""),"Alta")</f>
        <v>Alta</v>
      </c>
      <c r="K1282" s="25">
        <f ca="1">IFERROR(__xludf.DUMMYFUNCTION("""COMPUTED_VALUE"""),30)</f>
        <v>30</v>
      </c>
      <c r="L1282" s="62">
        <f ca="1">IFERROR(__xludf.DUMMYFUNCTION("""COMPUTED_VALUE"""),44740)</f>
        <v>44740</v>
      </c>
      <c r="M1282" s="25" t="str">
        <f ca="1">IFERROR(__xludf.DUMMYFUNCTION("""COMPUTED_VALUE"""),"El 22 de marzo de 2022, se realizó el evento de conmemoración del Día Mundial del Agua, denominado ""Aulas ambientales en la SED: territorios de agua y vida"" en el Colegio José Félix Restrepo, con la participación de estudiantes y docentes de 14 IED, ent"&amp;"idades distritales, la secretaria de Educación, Edna Bonilla, y la alcaldesa de Bogotá, Claudia López. En el evento se hizo la declaratoria de los colegios como aulas ambientales, con el propósito que los colegios resignifiquen sus prácticas y saberes en "&amp;"educación ambiental y contribuyan en la construcción de una ciudadanía ambiental. A continuación, se mencionan algunas de las actividades realizadas en esta jornada:
1. Conversatorio con estudiantes, docentes y lideres ambientales, relacionado con la apr"&amp;"opiación y protección del sistema hídrico de la ciudad. 
2. Socialización de experiencias transformadoras en educación ambiental por parte de 14 IED.
3. Socialización de experiencias en educación ambiental de algunas entidades distritales.
Con el ánimo d"&amp;"e fortalecer las aulas ambientales en los colegios y en el marco del proceso de acompañamiento pedagógico a las IED  que viene adelantando la SED para el fortalecimiento del PRAE, los dinamizadores ambientales  han venido realizando talleres de educación "&amp;"ambiental en los colegios focalizados del 2022 en diferentes líneas temáticas (residuos sólidos, cambio climático, consumo responsable, biodiversidad y sistema hídrico) con estudiantes y docentes. 
Por otra parte, y dado que uno de los ejes temáticos de "&amp;"mayor relevancia en la actualidad es el cambio climático, la SED en alianza con la Academia Colombiana de Ciencias realizó un curso de  educación para el cambio climático, en el que participaron y se certificaron 100 docentes del PRAE. Este tipo de accion"&amp;"es contribuyen a dinamizar la dimensión curricular de la educación ambiental en los colegios y fortalecer el conocimiento didáctico y disciplinar de los docentes, tan importante para impulsar las aulas ambientales en los colegios.")</f>
        <v>El 22 de marzo de 2022, se realizó el evento de conmemoración del Día Mundial del Agua, denominado "Aulas ambientales en la SED: territorios de agua y vida" en el Colegio José Félix Restrepo, con la participación de estudiantes y docentes de 14 IED, entidades distritales, la secretaria de Educación, Edna Bonilla, y la alcaldesa de Bogotá, Claudia López. En el evento se hizo la declaratoria de los colegios como aulas ambientales, con el propósito que los colegios resignifiquen sus prácticas y saberes en educación ambiental y contribuyan en la construcción de una ciudadanía ambiental. A continuación, se mencionan algunas de las actividades realizadas en esta jornada:
1. Conversatorio con estudiantes, docentes y lideres ambientales, relacionado con la apropiación y protección del sistema hídrico de la ciudad. 
2. Socialización de experiencias transformadoras en educación ambiental por parte de 14 IED.
3. Socialización de experiencias en educación ambiental de algunas entidades distritales.
Con el ánimo de fortalecer las aulas ambientales en los colegios y en el marco del proceso de acompañamiento pedagógico a las IED  que viene adelantando la SED para el fortalecimiento del PRAE, los dinamizadores ambientales  han venido realizando talleres de educación ambiental en los colegios focalizados del 2022 en diferentes líneas temáticas (residuos sólidos, cambio climático, consumo responsable, biodiversidad y sistema hídrico) con estudiantes y docentes. 
Por otra parte, y dado que uno de los ejes temáticos de mayor relevancia en la actualidad es el cambio climático, la SED en alianza con la Academia Colombiana de Ciencias realizó un curso de  educación para el cambio climático, en el que participaron y se certificaron 100 docentes del PRAE. Este tipo de acciones contribuyen a dinamizar la dimensión curricular de la educación ambiental en los colegios y fortalecer el conocimiento didáctico y disciplinar de los docentes, tan importante para impulsar las aulas ambientales en los colegios.</v>
      </c>
      <c r="N1282" s="55">
        <f ca="1">IFERROR(__xludf.DUMMYFUNCTION("""COMPUTED_VALUE"""),44927)</f>
        <v>44927</v>
      </c>
      <c r="O1282" s="25" t="str">
        <f t="shared" ca="1" si="0"/>
        <v>Secretaría de Educación del Distrito</v>
      </c>
      <c r="P1282" s="25" t="str">
        <f t="shared" si="2"/>
        <v/>
      </c>
      <c r="Q1282" s="25" t="str">
        <f ca="1">IFERROR(__xludf.DUMMYFUNCTION("""COMPUTED_VALUE"""),"Corto plazo")</f>
        <v>Corto plazo</v>
      </c>
      <c r="R1282" s="25"/>
      <c r="S1282" s="55"/>
      <c r="T1282" s="56"/>
      <c r="U1282" s="25"/>
      <c r="V1282" s="25"/>
      <c r="W1282" s="25"/>
      <c r="X1282" s="25"/>
      <c r="Y1282" s="25"/>
      <c r="Z1282" s="25"/>
    </row>
    <row r="1283" spans="1:26" ht="52.5" customHeight="1" x14ac:dyDescent="0.25">
      <c r="A1283" s="25" t="str">
        <f ca="1">IFERROR(__xludf.DUMMYFUNCTION("""COMPUTED_VALUE"""),"Educa81")</f>
        <v>Educa81</v>
      </c>
      <c r="B1283" s="25" t="str">
        <f ca="1">IFERROR(__xludf.DUMMYFUNCTION("""COMPUTED_VALUE"""),"Comité epidemiológico ")</f>
        <v xml:space="preserve">Comité epidemiológico </v>
      </c>
      <c r="C1283" s="55">
        <f ca="1">IFERROR(__xludf.DUMMYFUNCTION("""COMPUTED_VALUE"""),44573)</f>
        <v>44573</v>
      </c>
      <c r="D1283" s="25" t="str">
        <f ca="1">IFERROR(__xludf.DUMMYFUNCTION("""COMPUTED_VALUE"""),"Educación")</f>
        <v>Educación</v>
      </c>
      <c r="E1283" s="25" t="str">
        <f ca="1">IFERROR(__xludf.DUMMYFUNCTION("""COMPUTED_VALUE"""),"Secretaría de Educación del Distrito")</f>
        <v>Secretaría de Educación del Distrito</v>
      </c>
      <c r="F1283" s="25" t="str">
        <f ca="1">IFERROR(__xludf.DUMMYFUNCTION("""COMPUTED_VALUE"""),"Los 35 colegios nuevos deben tener energía renovable/ paneles solares. 
Presentar plan verde de los colegios de Bogotá")</f>
        <v>Los 35 colegios nuevos deben tener energía renovable/ paneles solares. 
Presentar plan verde de los colegios de Bogotá</v>
      </c>
      <c r="G1283" s="25" t="str">
        <f ca="1">IFERROR(__xludf.DUMMYFUNCTION("""COMPUTED_VALUE"""),"99. Distrito")</f>
        <v>99. Distrito</v>
      </c>
      <c r="H1283" s="55">
        <f ca="1">IFERROR(__xludf.DUMMYFUNCTION("""COMPUTED_VALUE"""),44603)</f>
        <v>44603</v>
      </c>
      <c r="I1283" s="25"/>
      <c r="J1283" s="55" t="str">
        <f ca="1">IFERROR(__xludf.DUMMYFUNCTION("""COMPUTED_VALUE"""),"Alta")</f>
        <v>Alta</v>
      </c>
      <c r="K1283" s="25">
        <f ca="1">IFERROR(__xludf.DUMMYFUNCTION("""COMPUTED_VALUE"""),30)</f>
        <v>30</v>
      </c>
      <c r="L1283" s="62">
        <f ca="1">IFERROR(__xludf.DUMMYFUNCTION("""COMPUTED_VALUE"""),44727)</f>
        <v>44727</v>
      </c>
      <c r="M1283" s="25" t="str">
        <f ca="1">IFERROR(__xludf.DUMMYFUNCTION("""COMPUTED_VALUE"""),"De los 35 colegios nuevos, 13 ya cuentan con un sistema de paneles fotovoltaicos o similares incluidos dentro de su diseño y obra. 
Bajo esta modalidad, se espera que por lo menos 24 colegios tengan paneles solares, 12 colegios ya están terminados, y para"&amp;" los 11 colegios restantes se han realizado los siguientes acercamientos para el cumplimiento de la meta:
- Mesas de trabajo y participación en el proyecto “Eficiencia energética y energía solar fotovoltaica para entidades públicas en la Ciudad de Bogotá”"&amp;" con la Secretaría Distrital de A ambiente y C 40 CFF (Cities Finance Facility). Se inició la etapa ""kick off institucional / debida diligencia""  para la determinación de los colegios nuevos a postular para la inclusión en el programa. 
- Avance con el "&amp;"Grupo de Energía de Bogotá (GEB) en el diagnóstico técnico para los 35 colegios, y proyección del presupuesto para la implementación de paneles solares. En el momento,  se está realizando el análisis de las opciones de modalidad de contratación. De igual "&amp;"forma, el GEB está a la espera de la creación de la respectiva entidad pública que se encargaría del tema.")</f>
        <v>De los 35 colegios nuevos, 13 ya cuentan con un sistema de paneles fotovoltaicos o similares incluidos dentro de su diseño y obra. 
Bajo esta modalidad, se espera que por lo menos 24 colegios tengan paneles solares, 12 colegios ya están terminados, y para los 11 colegios restantes se han realizado los siguientes acercamientos para el cumplimiento de la meta:
- Mesas de trabajo y participación en el proyecto “Eficiencia energética y energía solar fotovoltaica para entidades públicas en la Ciudad de Bogotá” con la Secretaría Distrital de A ambiente y C 40 CFF (Cities Finance Facility). Se inició la etapa "kick off institucional / debida diligencia"  para la determinación de los colegios nuevos a postular para la inclusión en el programa. 
- Avance con el Grupo de Energía de Bogotá (GEB) en el diagnóstico técnico para los 35 colegios, y proyección del presupuesto para la implementación de paneles solares. En el momento,  se está realizando el análisis de las opciones de modalidad de contratación. De igual forma, el GEB está a la espera de la creación de la respectiva entidad pública que se encargaría del tema.</v>
      </c>
      <c r="N1283" s="55">
        <f ca="1">IFERROR(__xludf.DUMMYFUNCTION("""COMPUTED_VALUE"""),44927)</f>
        <v>44927</v>
      </c>
      <c r="O1283" s="25" t="str">
        <f t="shared" ca="1" si="0"/>
        <v>Secretaría de Educación del Distrito</v>
      </c>
      <c r="P1283" s="25" t="str">
        <f t="shared" si="2"/>
        <v/>
      </c>
      <c r="Q1283" s="25" t="str">
        <f ca="1">IFERROR(__xludf.DUMMYFUNCTION("""COMPUTED_VALUE"""),"Corto plazo")</f>
        <v>Corto plazo</v>
      </c>
      <c r="R1283" s="25"/>
      <c r="S1283" s="55"/>
      <c r="T1283" s="56"/>
      <c r="U1283" s="25"/>
      <c r="V1283" s="25"/>
      <c r="W1283" s="25"/>
      <c r="X1283" s="25"/>
      <c r="Y1283" s="25"/>
      <c r="Z1283" s="25"/>
    </row>
    <row r="1284" spans="1:26" ht="52.5" customHeight="1" x14ac:dyDescent="0.25">
      <c r="A1284" s="25" t="str">
        <f ca="1">IFERROR(__xludf.DUMMYFUNCTION("""COMPUTED_VALUE"""),"Educa82")</f>
        <v>Educa82</v>
      </c>
      <c r="B1284" s="25" t="str">
        <f ca="1">IFERROR(__xludf.DUMMYFUNCTION("""COMPUTED_VALUE"""),"Comité epidemiológico ")</f>
        <v xml:space="preserve">Comité epidemiológico </v>
      </c>
      <c r="C1284" s="55">
        <f ca="1">IFERROR(__xludf.DUMMYFUNCTION("""COMPUTED_VALUE"""),44573)</f>
        <v>44573</v>
      </c>
      <c r="D1284" s="25" t="str">
        <f ca="1">IFERROR(__xludf.DUMMYFUNCTION("""COMPUTED_VALUE"""),"Educación")</f>
        <v>Educación</v>
      </c>
      <c r="E1284" s="25" t="str">
        <f ca="1">IFERROR(__xludf.DUMMYFUNCTION("""COMPUTED_VALUE"""),"Secretaría de Educación del Distrito")</f>
        <v>Secretaría de Educación del Distrito</v>
      </c>
      <c r="F1284" s="25" t="str">
        <f ca="1">IFERROR(__xludf.DUMMYFUNCTION("""COMPUTED_VALUE"""),"Todas las sedes públicas de las entidades distritales deben: 
-        En 2022 declarase como aulas ambientales 
-        En 2023 tener energía renovable. 
Aplica también para infraestructura de salud (CAPS, Hospitales, etc…) 
Plan de transición razonabl"&amp;"e para infraestructura existente. 
Hablar con Juan Ricardo Ortega para que a través de su fundación patrocina el plan. 
")</f>
        <v xml:space="preserve">Todas las sedes públicas de las entidades distritales deben: 
-        En 2022 declarase como aulas ambientales 
-        En 2023 tener energía renovable. 
Aplica también para infraestructura de salud (CAPS, Hospitales, etc…) 
Plan de transición razonable para infraestructura existente. 
Hablar con Juan Ricardo Ortega para que a través de su fundación patrocina el plan. 
</v>
      </c>
      <c r="G1284" s="25" t="str">
        <f ca="1">IFERROR(__xludf.DUMMYFUNCTION("""COMPUTED_VALUE"""),"99. Distrito")</f>
        <v>99. Distrito</v>
      </c>
      <c r="H1284" s="55">
        <f ca="1">IFERROR(__xludf.DUMMYFUNCTION("""COMPUTED_VALUE"""),44603)</f>
        <v>44603</v>
      </c>
      <c r="I1284" s="25"/>
      <c r="J1284" s="55" t="str">
        <f ca="1">IFERROR(__xludf.DUMMYFUNCTION("""COMPUTED_VALUE"""),"Alta")</f>
        <v>Alta</v>
      </c>
      <c r="K1284" s="25">
        <f ca="1">IFERROR(__xludf.DUMMYFUNCTION("""COMPUTED_VALUE"""),30)</f>
        <v>30</v>
      </c>
      <c r="L1284" s="62">
        <f ca="1">IFERROR(__xludf.DUMMYFUNCTION("""COMPUTED_VALUE"""),44740)</f>
        <v>44740</v>
      </c>
      <c r="M1284" s="25" t="str">
        <f ca="1">IFERROR(__xludf.DUMMYFUNCTION("""COMPUTED_VALUE"""),"Avance con el Grupo de Energía de Bogotá en el diagnóstico técnico y proyección del presupuesto para la implementación de paneles solares. En el momento se está realizando el análisis de las opciones de modalidad de contratación. De igual forma se espera "&amp;"la creación de la respectiva entidad pública por parte del Grupo de Energía de Bogotá que se encargaría del tema.
Frente a la creacion de la Entidad Publica por parte del GEB - ENEL CODENSA se indica lo siguiente: 
*La EEB informo el 1 de junio de 2022 "&amp;", que si se creará la nueva compañía GEB-ENEL, pero su alcance se limitará, al menos durante varios años, a los temas de Alumbrado Público. Por lo anterior lo relacionado con paneles solares deberá ser revisado entre la SED y ENEL CODENSA directamente.
*P"&amp;"or otra parte, al inicio del  mes de Junio de 2022,  la SED y ENEL CODENSA adelantaron reunión virtual donde se presentó por parte de ENEL,  un modelo piloto de paneles solares para Instituiciones Educativas Distritales, las alternativas de implementación"&amp;" y financiación.
Derivado de lo anterior, se acordó que se realizaria por cada una de las partes un análisis de las opciones de contratación del servicio y se remitiria a la SED por parte de ENEL unos modelos de minutas para revisión. A la fecha las enti"&amp;"dades se encuentran en dicho proceso. ")</f>
        <v xml:space="preserve">Avance con el Grupo de Energía de Bogotá en el diagnóstico técnico y proyección del presupuesto para la implementación de paneles solares. En el momento se está realizando el análisis de las opciones de modalidad de contratación. De igual forma se espera la creación de la respectiva entidad pública por parte del Grupo de Energía de Bogotá que se encargaría del tema.
Frente a la creacion de la Entidad Publica por parte del GEB - ENEL CODENSA se indica lo siguiente: 
*La EEB informo el 1 de junio de 2022 , que si se creará la nueva compañía GEB-ENEL, pero su alcance se limitará, al menos durante varios años, a los temas de Alumbrado Público. Por lo anterior lo relacionado con paneles solares deberá ser revisado entre la SED y ENEL CODENSA directamente.
*Por otra parte, al inicio del  mes de Junio de 2022,  la SED y ENEL CODENSA adelantaron reunión virtual donde se presentó por parte de ENEL,  un modelo piloto de paneles solares para Instituiciones Educativas Distritales, las alternativas de implementación y financiación.
Derivado de lo anterior, se acordó que se realizaria por cada una de las partes un análisis de las opciones de contratación del servicio y se remitiria a la SED por parte de ENEL unos modelos de minutas para revisión. A la fecha las entidades se encuentran en dicho proceso. </v>
      </c>
      <c r="N1284" s="55">
        <f ca="1">IFERROR(__xludf.DUMMYFUNCTION("""COMPUTED_VALUE"""),44927)</f>
        <v>44927</v>
      </c>
      <c r="O1284" s="25" t="str">
        <f t="shared" ca="1" si="0"/>
        <v>Secretaría de Educación del Distrito</v>
      </c>
      <c r="P1284" s="25" t="str">
        <f t="shared" si="2"/>
        <v/>
      </c>
      <c r="Q1284" s="25" t="str">
        <f ca="1">IFERROR(__xludf.DUMMYFUNCTION("""COMPUTED_VALUE"""),"Corto plazo")</f>
        <v>Corto plazo</v>
      </c>
      <c r="R1284" s="25"/>
      <c r="S1284" s="55"/>
      <c r="T1284" s="56"/>
      <c r="U1284" s="25"/>
      <c r="V1284" s="25"/>
      <c r="W1284" s="25"/>
      <c r="X1284" s="25"/>
      <c r="Y1284" s="25"/>
      <c r="Z1284" s="25"/>
    </row>
    <row r="1285" spans="1:26" ht="52.5" customHeight="1" x14ac:dyDescent="0.25">
      <c r="A1285" s="25" t="str">
        <f ca="1">IFERROR(__xludf.DUMMYFUNCTION("""COMPUTED_VALUE"""),"Educa83")</f>
        <v>Educa83</v>
      </c>
      <c r="B1285" s="25" t="str">
        <f ca="1">IFERROR(__xludf.DUMMYFUNCTION("""COMPUTED_VALUE"""),"Programa Educación")</f>
        <v>Programa Educación</v>
      </c>
      <c r="C1285" s="55">
        <f ca="1">IFERROR(__xludf.DUMMYFUNCTION("""COMPUTED_VALUE"""),44573)</f>
        <v>44573</v>
      </c>
      <c r="D1285" s="25" t="str">
        <f ca="1">IFERROR(__xludf.DUMMYFUNCTION("""COMPUTED_VALUE"""),"Educación")</f>
        <v>Educación</v>
      </c>
      <c r="E1285" s="25" t="str">
        <f ca="1">IFERROR(__xludf.DUMMYFUNCTION("""COMPUTED_VALUE"""),"Secretaría de Educación del Distrito")</f>
        <v>Secretaría de Educación del Distrito</v>
      </c>
      <c r="F1285" s="25" t="str">
        <f ca="1">IFERROR(__xludf.DUMMYFUNCTION("""COMPUTED_VALUE"""),"Traducir ciclos a horas: 
Técnico
Tecnólogo 
")</f>
        <v xml:space="preserve">Traducir ciclos a horas: 
Técnico
Tecnólogo 
</v>
      </c>
      <c r="G1285" s="25" t="str">
        <f ca="1">IFERROR(__xludf.DUMMYFUNCTION("""COMPUTED_VALUE"""),"99. Distrito")</f>
        <v>99. Distrito</v>
      </c>
      <c r="H1285" s="55">
        <f ca="1">IFERROR(__xludf.DUMMYFUNCTION("""COMPUTED_VALUE"""),44603)</f>
        <v>44603</v>
      </c>
      <c r="I1285" s="25"/>
      <c r="J1285" s="55" t="str">
        <f ca="1">IFERROR(__xludf.DUMMYFUNCTION("""COMPUTED_VALUE"""),"Alta")</f>
        <v>Alta</v>
      </c>
      <c r="K1285" s="25">
        <f ca="1">IFERROR(__xludf.DUMMYFUNCTION("""COMPUTED_VALUE"""),30)</f>
        <v>30</v>
      </c>
      <c r="L1285" s="62">
        <f ca="1">IFERROR(__xludf.DUMMYFUNCTION("""COMPUTED_VALUE"""),44596)</f>
        <v>44596</v>
      </c>
      <c r="M1285" s="25" t="str">
        <f ca="1">IFERROR(__xludf.DUMMYFUNCTION("""COMPUTED_VALUE"""),"Se incorporan las equivalencias a horas, de los programas de formación y educación postmedia para los que existe un estándar. Se cuenta con una matriz y una infografía con la información de equivalencias.")</f>
        <v>Se incorporan las equivalencias a horas, de los programas de formación y educación postmedia para los que existe un estándar. Se cuenta con una matriz y una infografía con la información de equivalencias.</v>
      </c>
      <c r="N1285" s="55">
        <f ca="1">IFERROR(__xludf.DUMMYFUNCTION("""COMPUTED_VALUE"""),44927)</f>
        <v>44927</v>
      </c>
      <c r="O1285" s="25" t="str">
        <f t="shared" ca="1" si="0"/>
        <v>Secretaría de Educación del Distrito</v>
      </c>
      <c r="P1285" s="25" t="str">
        <f t="shared" si="2"/>
        <v/>
      </c>
      <c r="Q1285" s="25" t="str">
        <f ca="1">IFERROR(__xludf.DUMMYFUNCTION("""COMPUTED_VALUE"""),"Corto plazo")</f>
        <v>Corto plazo</v>
      </c>
      <c r="R1285" s="25"/>
      <c r="S1285" s="55"/>
      <c r="T1285" s="56"/>
      <c r="U1285" s="25"/>
      <c r="V1285" s="25"/>
      <c r="W1285" s="25"/>
      <c r="X1285" s="25"/>
      <c r="Y1285" s="25"/>
      <c r="Z1285" s="25"/>
    </row>
    <row r="1286" spans="1:26" ht="52.5" customHeight="1" x14ac:dyDescent="0.25">
      <c r="A1286" s="25" t="str">
        <f ca="1">IFERROR(__xludf.DUMMYFUNCTION("""COMPUTED_VALUE"""),"Educa84")</f>
        <v>Educa84</v>
      </c>
      <c r="B1286" s="25" t="str">
        <f ca="1">IFERROR(__xludf.DUMMYFUNCTION("""COMPUTED_VALUE"""),"Programa Educación")</f>
        <v>Programa Educación</v>
      </c>
      <c r="C1286" s="55">
        <f ca="1">IFERROR(__xludf.DUMMYFUNCTION("""COMPUTED_VALUE"""),44573)</f>
        <v>44573</v>
      </c>
      <c r="D1286" s="25" t="str">
        <f ca="1">IFERROR(__xludf.DUMMYFUNCTION("""COMPUTED_VALUE"""),"Educación")</f>
        <v>Educación</v>
      </c>
      <c r="E1286" s="25" t="str">
        <f ca="1">IFERROR(__xludf.DUMMYFUNCTION("""COMPUTED_VALUE"""),"Secretaría de Educación del Distrito")</f>
        <v>Secretaría de Educación del Distrito</v>
      </c>
      <c r="F1286" s="25" t="str">
        <f ca="1">IFERROR(__xludf.DUMMYFUNCTION("""COMPUTED_VALUE"""),"Hacer acuerdo con universidades para prueba de talento que debería servir para:  
1.        Para hacer valer educación previa 
2.        Para identificar habilidades del joven
")</f>
        <v xml:space="preserve">Hacer acuerdo con universidades para prueba de talento que debería servir para:  
1.        Para hacer valer educación previa 
2.        Para identificar habilidades del joven
</v>
      </c>
      <c r="G1286" s="25" t="str">
        <f ca="1">IFERROR(__xludf.DUMMYFUNCTION("""COMPUTED_VALUE"""),"99. Distrito")</f>
        <v>99. Distrito</v>
      </c>
      <c r="H1286" s="55">
        <f ca="1">IFERROR(__xludf.DUMMYFUNCTION("""COMPUTED_VALUE"""),44603)</f>
        <v>44603</v>
      </c>
      <c r="I1286" s="25"/>
      <c r="J1286" s="55" t="str">
        <f ca="1">IFERROR(__xludf.DUMMYFUNCTION("""COMPUTED_VALUE"""),"Alta")</f>
        <v>Alta</v>
      </c>
      <c r="K1286" s="25">
        <f ca="1">IFERROR(__xludf.DUMMYFUNCTION("""COMPUTED_VALUE"""),30)</f>
        <v>30</v>
      </c>
      <c r="L1286" s="62">
        <f ca="1">IFERROR(__xludf.DUMMYFUNCTION("""COMPUTED_VALUE"""),44740)</f>
        <v>44740</v>
      </c>
      <c r="M1286" s="25" t="str">
        <f ca="1">IFERROR(__xludf.DUMMYFUNCTION("""COMPUTED_VALUE"""),"Se estableció contacto con la Universidad del Rosario para el potencial uso una prueba de referencia, previa revisión de la misma. Así mismo, se estableció una ruta de revisión de otras universidades que hoy aplican pruebas de talento o admisión para la e"&amp;"valuación de aplicación o construcción. 
Durante 20 Semanas la Agencia desarrollará gestiones con las Universidades para alcanzar acuerdos de homologación, incluyendo acuerdos para la aceptación de mediciones del distrito como mecanismo que apoye los pro"&amp;"cesos de admisión de las Universidades.")</f>
        <v>Se estableció contacto con la Universidad del Rosario para el potencial uso una prueba de referencia, previa revisión de la misma. Así mismo, se estableció una ruta de revisión de otras universidades que hoy aplican pruebas de talento o admisión para la evaluación de aplicación o construcción. 
Durante 20 Semanas la Agencia desarrollará gestiones con las Universidades para alcanzar acuerdos de homologación, incluyendo acuerdos para la aceptación de mediciones del distrito como mecanismo que apoye los procesos de admisión de las Universidades.</v>
      </c>
      <c r="N1286" s="55">
        <f ca="1">IFERROR(__xludf.DUMMYFUNCTION("""COMPUTED_VALUE"""),44927)</f>
        <v>44927</v>
      </c>
      <c r="O1286" s="25" t="str">
        <f t="shared" ca="1" si="0"/>
        <v>Secretaría de Educación del Distrito</v>
      </c>
      <c r="P1286" s="25" t="str">
        <f t="shared" si="2"/>
        <v/>
      </c>
      <c r="Q1286" s="25" t="str">
        <f ca="1">IFERROR(__xludf.DUMMYFUNCTION("""COMPUTED_VALUE"""),"Corto plazo")</f>
        <v>Corto plazo</v>
      </c>
      <c r="R1286" s="25"/>
      <c r="S1286" s="55"/>
      <c r="T1286" s="56"/>
      <c r="U1286" s="25"/>
      <c r="V1286" s="25"/>
      <c r="W1286" s="25"/>
      <c r="X1286" s="25"/>
      <c r="Y1286" s="25"/>
      <c r="Z1286" s="25"/>
    </row>
    <row r="1287" spans="1:26" ht="52.5" customHeight="1" x14ac:dyDescent="0.25">
      <c r="A1287" s="25" t="str">
        <f ca="1">IFERROR(__xludf.DUMMYFUNCTION("""COMPUTED_VALUE"""),"Educa85")</f>
        <v>Educa85</v>
      </c>
      <c r="B1287" s="25" t="str">
        <f ca="1">IFERROR(__xludf.DUMMYFUNCTION("""COMPUTED_VALUE"""),"Programa Educación")</f>
        <v>Programa Educación</v>
      </c>
      <c r="C1287" s="55">
        <f ca="1">IFERROR(__xludf.DUMMYFUNCTION("""COMPUTED_VALUE"""),44578)</f>
        <v>44578</v>
      </c>
      <c r="D1287" s="25" t="str">
        <f ca="1">IFERROR(__xludf.DUMMYFUNCTION("""COMPUTED_VALUE"""),"Educación")</f>
        <v>Educación</v>
      </c>
      <c r="E1287" s="25" t="str">
        <f ca="1">IFERROR(__xludf.DUMMYFUNCTION("""COMPUTED_VALUE"""),"Secretaría de Educación del Distrito")</f>
        <v>Secretaría de Educación del Distrito</v>
      </c>
      <c r="F1287" s="25" t="str">
        <f ca="1">IFERROR(__xludf.DUMMYFUNCTION("""COMPUTED_VALUE"""),"En jóvenes a la U:  
-Poner como requisito el ciclo común
")</f>
        <v xml:space="preserve">En jóvenes a la U:  
-Poner como requisito el ciclo común
</v>
      </c>
      <c r="G1287" s="25" t="str">
        <f ca="1">IFERROR(__xludf.DUMMYFUNCTION("""COMPUTED_VALUE"""),"99. Distrito")</f>
        <v>99. Distrito</v>
      </c>
      <c r="H1287" s="55">
        <f ca="1">IFERROR(__xludf.DUMMYFUNCTION("""COMPUTED_VALUE"""),44608)</f>
        <v>44608</v>
      </c>
      <c r="I1287" s="25"/>
      <c r="J1287" s="55" t="str">
        <f ca="1">IFERROR(__xludf.DUMMYFUNCTION("""COMPUTED_VALUE"""),"Alta")</f>
        <v>Alta</v>
      </c>
      <c r="K1287" s="25">
        <f ca="1">IFERROR(__xludf.DUMMYFUNCTION("""COMPUTED_VALUE"""),30)</f>
        <v>30</v>
      </c>
      <c r="L1287" s="62">
        <f ca="1">IFERROR(__xludf.DUMMYFUNCTION("""COMPUTED_VALUE"""),44620)</f>
        <v>44620</v>
      </c>
      <c r="M1287" s="25" t="str">
        <f ca="1">IFERROR(__xludf.DUMMYFUNCTION("""COMPUTED_VALUE"""),"Se avanzó en la identificación de universidades / áreas en las que ofertan en la actualidad procesos de ciclo común, identificando la intensidad horaria, créditos, y materias. Se avanzará en el desarrollo de mesas de trabajo con las IES con el propósito d"&amp;"e profundizar la conversación acerca de la ampliación del ciclo común en la ciudad y las condiciones de homologación. Desde la agencia se viene  trabajando en la consolidación del manual de contratación que definirá el mecanismo de relacionamiento con las"&amp;" universidades para la convocatoria del primer semestre y en adelante. En este proceso se diseñarán los instrumentos de contratación de las IES, los incentivos y condiciones.")</f>
        <v>Se avanzó en la identificación de universidades / áreas en las que ofertan en la actualidad procesos de ciclo común, identificando la intensidad horaria, créditos, y materias. Se avanzará en el desarrollo de mesas de trabajo con las IES con el propósito de profundizar la conversación acerca de la ampliación del ciclo común en la ciudad y las condiciones de homologación. Desde la agencia se viene  trabajando en la consolidación del manual de contratación que definirá el mecanismo de relacionamiento con las universidades para la convocatoria del primer semestre y en adelante. En este proceso se diseñarán los instrumentos de contratación de las IES, los incentivos y condiciones.</v>
      </c>
      <c r="N1287" s="55">
        <f ca="1">IFERROR(__xludf.DUMMYFUNCTION("""COMPUTED_VALUE"""),44927)</f>
        <v>44927</v>
      </c>
      <c r="O1287" s="25" t="str">
        <f t="shared" ca="1" si="0"/>
        <v>Secretaría de Educación del Distrito</v>
      </c>
      <c r="P1287" s="25" t="str">
        <f t="shared" si="2"/>
        <v/>
      </c>
      <c r="Q1287" s="25" t="str">
        <f ca="1">IFERROR(__xludf.DUMMYFUNCTION("""COMPUTED_VALUE"""),"Corto plazo")</f>
        <v>Corto plazo</v>
      </c>
      <c r="R1287" s="25"/>
      <c r="S1287" s="55"/>
      <c r="T1287" s="56"/>
      <c r="U1287" s="25"/>
      <c r="V1287" s="25"/>
      <c r="W1287" s="25"/>
      <c r="X1287" s="25"/>
      <c r="Y1287" s="25"/>
      <c r="Z1287" s="25"/>
    </row>
    <row r="1288" spans="1:26" ht="52.5" customHeight="1" x14ac:dyDescent="0.25">
      <c r="A1288" s="25" t="str">
        <f ca="1">IFERROR(__xludf.DUMMYFUNCTION("""COMPUTED_VALUE"""),"Educa86")</f>
        <v>Educa86</v>
      </c>
      <c r="B1288" s="25" t="str">
        <f ca="1">IFERROR(__xludf.DUMMYFUNCTION("""COMPUTED_VALUE"""),"Programa Educación")</f>
        <v>Programa Educación</v>
      </c>
      <c r="C1288" s="55">
        <f ca="1">IFERROR(__xludf.DUMMYFUNCTION("""COMPUTED_VALUE"""),44578)</f>
        <v>44578</v>
      </c>
      <c r="D1288" s="25" t="str">
        <f ca="1">IFERROR(__xludf.DUMMYFUNCTION("""COMPUTED_VALUE"""),"Educación")</f>
        <v>Educación</v>
      </c>
      <c r="E1288" s="25" t="str">
        <f ca="1">IFERROR(__xludf.DUMMYFUNCTION("""COMPUTED_VALUE"""),"Secretaría de Educación del Distrito")</f>
        <v>Secretaría de Educación del Distrito</v>
      </c>
      <c r="F1288" s="25" t="str">
        <f ca="1">IFERROR(__xludf.DUMMYFUNCTION("""COMPUTED_VALUE"""),"Elaborar propuesta para Ministro del trabajo, en la que se valide el ciclo común como parte de titulación “técnico profesional” (no certificación, sino titulación)")</f>
        <v>Elaborar propuesta para Ministro del trabajo, en la que se valide el ciclo común como parte de titulación “técnico profesional” (no certificación, sino titulación)</v>
      </c>
      <c r="G1288" s="25" t="str">
        <f ca="1">IFERROR(__xludf.DUMMYFUNCTION("""COMPUTED_VALUE"""),"99. Distrito")</f>
        <v>99. Distrito</v>
      </c>
      <c r="H1288" s="55">
        <f ca="1">IFERROR(__xludf.DUMMYFUNCTION("""COMPUTED_VALUE"""),44608)</f>
        <v>44608</v>
      </c>
      <c r="I1288" s="25"/>
      <c r="J1288" s="55" t="str">
        <f ca="1">IFERROR(__xludf.DUMMYFUNCTION("""COMPUTED_VALUE"""),"Alta")</f>
        <v>Alta</v>
      </c>
      <c r="K1288" s="25">
        <f ca="1">IFERROR(__xludf.DUMMYFUNCTION("""COMPUTED_VALUE"""),30)</f>
        <v>30</v>
      </c>
      <c r="L1288" s="62">
        <f ca="1">IFERROR(__xludf.DUMMYFUNCTION("""COMPUTED_VALUE"""),44740)</f>
        <v>44740</v>
      </c>
      <c r="M1288" s="25" t="str">
        <f ca="1">IFERROR(__xludf.DUMMYFUNCTION("""COMPUTED_VALUE"""),"Después de las sesiones realizadas con el Ministerio del Trabajo, en donde se presentó el Sistema Nacional de Cualificaciones, la Agencia realizó una propuesta de 16 cualificaciones de interés para aplicar el primer piloto de formación en el nuevo Subsist"&amp;"ema de Formación para el Trabajo, en donde se priorizaron los siguientes temas: sector digital y biotecnología. Así mismo, el diseño del piloto ha iniciado con la construcción de una ruta de trabajo y diálogo conjunto entre el Ministerio del Trabajo y la "&amp;"Agencia, en donde se ha proyectado la herramienta ocupacional y la construcción de los términos de referencia para la convocatoria de programas de formación.")</f>
        <v>Después de las sesiones realizadas con el Ministerio del Trabajo, en donde se presentó el Sistema Nacional de Cualificaciones, la Agencia realizó una propuesta de 16 cualificaciones de interés para aplicar el primer piloto de formación en el nuevo Subsistema de Formación para el Trabajo, en donde se priorizaron los siguientes temas: sector digital y biotecnología. Así mismo, el diseño del piloto ha iniciado con la construcción de una ruta de trabajo y diálogo conjunto entre el Ministerio del Trabajo y la Agencia, en donde se ha proyectado la herramienta ocupacional y la construcción de los términos de referencia para la convocatoria de programas de formación.</v>
      </c>
      <c r="N1288" s="55">
        <f ca="1">IFERROR(__xludf.DUMMYFUNCTION("""COMPUTED_VALUE"""),44927)</f>
        <v>44927</v>
      </c>
      <c r="O1288" s="25" t="str">
        <f t="shared" ca="1" si="0"/>
        <v>Secretaría de Educación del Distrito</v>
      </c>
      <c r="P1288" s="25" t="str">
        <f t="shared" si="2"/>
        <v/>
      </c>
      <c r="Q1288" s="25" t="str">
        <f ca="1">IFERROR(__xludf.DUMMYFUNCTION("""COMPUTED_VALUE"""),"Corto plazo")</f>
        <v>Corto plazo</v>
      </c>
      <c r="R1288" s="25"/>
      <c r="S1288" s="55"/>
      <c r="T1288" s="56"/>
      <c r="U1288" s="25"/>
      <c r="V1288" s="25"/>
      <c r="W1288" s="25"/>
      <c r="X1288" s="25"/>
      <c r="Y1288" s="25"/>
      <c r="Z1288" s="25"/>
    </row>
    <row r="1289" spans="1:26" ht="52.5" customHeight="1" x14ac:dyDescent="0.25">
      <c r="A1289" s="25" t="str">
        <f ca="1">IFERROR(__xludf.DUMMYFUNCTION("""COMPUTED_VALUE"""),"Educa87")</f>
        <v>Educa87</v>
      </c>
      <c r="B1289" s="25" t="str">
        <f ca="1">IFERROR(__xludf.DUMMYFUNCTION("""COMPUTED_VALUE"""),"Reunión BID")</f>
        <v>Reunión BID</v>
      </c>
      <c r="C1289" s="55">
        <f ca="1">IFERROR(__xludf.DUMMYFUNCTION("""COMPUTED_VALUE"""),44410)</f>
        <v>44410</v>
      </c>
      <c r="D1289" s="25" t="str">
        <f ca="1">IFERROR(__xludf.DUMMYFUNCTION("""COMPUTED_VALUE"""),"Educación")</f>
        <v>Educación</v>
      </c>
      <c r="E1289" s="25" t="str">
        <f ca="1">IFERROR(__xludf.DUMMYFUNCTION("""COMPUTED_VALUE"""),"Secretaría de Educación del Distrito")</f>
        <v>Secretaría de Educación del Distrito</v>
      </c>
      <c r="F1289" s="25" t="str">
        <f ca="1">IFERROR(__xludf.DUMMYFUNCTION("""COMPUTED_VALUE"""),"Hacer un plan para firmar un plan marco para cubrir el costo de las recomendaciones de la Misión de educadores")</f>
        <v>Hacer un plan para firmar un plan marco para cubrir el costo de las recomendaciones de la Misión de educadores</v>
      </c>
      <c r="G1289" s="25" t="str">
        <f ca="1">IFERROR(__xludf.DUMMYFUNCTION("""COMPUTED_VALUE"""),"99. Distrito")</f>
        <v>99. Distrito</v>
      </c>
      <c r="H1289" s="55">
        <f ca="1">IFERROR(__xludf.DUMMYFUNCTION("""COMPUTED_VALUE"""),44440)</f>
        <v>44440</v>
      </c>
      <c r="I1289" s="25"/>
      <c r="J1289" s="55" t="str">
        <f ca="1">IFERROR(__xludf.DUMMYFUNCTION("""COMPUTED_VALUE"""),"Alta")</f>
        <v>Alta</v>
      </c>
      <c r="K1289" s="25">
        <f ca="1">IFERROR(__xludf.DUMMYFUNCTION("""COMPUTED_VALUE"""),30)</f>
        <v>30</v>
      </c>
      <c r="L1289" s="62">
        <f ca="1">IFERROR(__xludf.DUMMYFUNCTION("""COMPUTED_VALUE"""),44784)</f>
        <v>44784</v>
      </c>
      <c r="M1289" s="25" t="str">
        <f ca="1">IFERROR(__xludf.DUMMYFUNCTION("""COMPUTED_VALUE"""),"El plan de costeo de la implementación recomendaciones está incluído en el proceso del CONPES de política educativa que se espera quede en firme en octubre de 2022.")</f>
        <v>El plan de costeo de la implementación recomendaciones está incluído en el proceso del CONPES de política educativa que se espera quede en firme en octubre de 2022.</v>
      </c>
      <c r="N1289" s="55">
        <f ca="1">IFERROR(__xludf.DUMMYFUNCTION("""COMPUTED_VALUE"""),44927)</f>
        <v>44927</v>
      </c>
      <c r="O1289" s="25" t="str">
        <f t="shared" ca="1" si="0"/>
        <v>Secretaría de Educación del Distrito</v>
      </c>
      <c r="P1289" s="25" t="str">
        <f t="shared" si="2"/>
        <v/>
      </c>
      <c r="Q1289" s="25" t="str">
        <f ca="1">IFERROR(__xludf.DUMMYFUNCTION("""COMPUTED_VALUE"""),"Corto plazo")</f>
        <v>Corto plazo</v>
      </c>
      <c r="R1289" s="25"/>
      <c r="S1289" s="55"/>
      <c r="T1289" s="56"/>
      <c r="U1289" s="25"/>
      <c r="V1289" s="25"/>
      <c r="W1289" s="25"/>
      <c r="X1289" s="25"/>
      <c r="Y1289" s="25"/>
      <c r="Z1289" s="25"/>
    </row>
    <row r="1290" spans="1:26" ht="52.5" customHeight="1" x14ac:dyDescent="0.25">
      <c r="A1290" s="25" t="str">
        <f ca="1">IFERROR(__xludf.DUMMYFUNCTION("""COMPUTED_VALUE"""),"Educa88")</f>
        <v>Educa88</v>
      </c>
      <c r="B1290" s="25" t="str">
        <f ca="1">IFERROR(__xludf.DUMMYFUNCTION("""COMPUTED_VALUE"""),"Campañas Cultura Ciudadana")</f>
        <v>Campañas Cultura Ciudadana</v>
      </c>
      <c r="C1290" s="55">
        <f ca="1">IFERROR(__xludf.DUMMYFUNCTION("""COMPUTED_VALUE"""),44627)</f>
        <v>44627</v>
      </c>
      <c r="D1290" s="25" t="str">
        <f ca="1">IFERROR(__xludf.DUMMYFUNCTION("""COMPUTED_VALUE"""),"Educación")</f>
        <v>Educación</v>
      </c>
      <c r="E1290" s="25" t="str">
        <f ca="1">IFERROR(__xludf.DUMMYFUNCTION("""COMPUTED_VALUE"""),"Secretaría de Educación del Distrito")</f>
        <v>Secretaría de Educación del Distrito</v>
      </c>
      <c r="F1290" s="25" t="str">
        <f ca="1">IFERROR(__xludf.DUMMYFUNCTION("""COMPUTED_VALUE"""),"Coordinar para que los niños sean los dueños de la ciudad por un día, ellos sean los que pongan stickers, pongan los mensajes (un colegio por semana)")</f>
        <v>Coordinar para que los niños sean los dueños de la ciudad por un día, ellos sean los que pongan stickers, pongan los mensajes (un colegio por semana)</v>
      </c>
      <c r="G1290" s="25" t="str">
        <f ca="1">IFERROR(__xludf.DUMMYFUNCTION("""COMPUTED_VALUE"""),"99. Distrito")</f>
        <v>99. Distrito</v>
      </c>
      <c r="H1290" s="55">
        <f ca="1">IFERROR(__xludf.DUMMYFUNCTION("""COMPUTED_VALUE"""),44657)</f>
        <v>44657</v>
      </c>
      <c r="I1290" s="25"/>
      <c r="J1290" s="55" t="str">
        <f ca="1">IFERROR(__xludf.DUMMYFUNCTION("""COMPUTED_VALUE"""),"Alta")</f>
        <v>Alta</v>
      </c>
      <c r="K1290" s="25">
        <f ca="1">IFERROR(__xludf.DUMMYFUNCTION("""COMPUTED_VALUE"""),30)</f>
        <v>30</v>
      </c>
      <c r="L1290" s="62">
        <f ca="1">IFERROR(__xludf.DUMMYFUNCTION("""COMPUTED_VALUE"""),44741)</f>
        <v>44741</v>
      </c>
      <c r="M1290" s="25" t="str">
        <f ca="1">IFERROR(__xludf.DUMMYFUNCTION("""COMPUTED_VALUE"""),"La construcción metodológica del laboratorio con tomadores de decisiones convocado desde la Alcaldía Mayor como actividad hito en el marco de la inclusión de Bogotá en el proyecto La Ciudad de las Niñas y Los Niños, convirtiendo a Bogotá en epicentro de l"&amp;"a participación infantil se encuentra desarrollada. No obstante, se encuentra pendiente la programación de la fecha para su realización, conforme a la agenda de la Alcaldesa Mayor de Bogotá, el Consejo de Gobierno y/o del Consejo de Alcaldes Locales.")</f>
        <v>La construcción metodológica del laboratorio con tomadores de decisiones convocado desde la Alcaldía Mayor como actividad hito en el marco de la inclusión de Bogotá en el proyecto La Ciudad de las Niñas y Los Niños, convirtiendo a Bogotá en epicentro de la participación infantil se encuentra desarrollada. No obstante, se encuentra pendiente la programación de la fecha para su realización, conforme a la agenda de la Alcaldesa Mayor de Bogotá, el Consejo de Gobierno y/o del Consejo de Alcaldes Locales.</v>
      </c>
      <c r="N1290" s="55">
        <f ca="1">IFERROR(__xludf.DUMMYFUNCTION("""COMPUTED_VALUE"""),44927)</f>
        <v>44927</v>
      </c>
      <c r="O1290" s="25" t="str">
        <f t="shared" ca="1" si="0"/>
        <v>Secretaría de Educación del Distrito</v>
      </c>
      <c r="P1290" s="25" t="str">
        <f t="shared" si="2"/>
        <v/>
      </c>
      <c r="Q1290" s="25" t="str">
        <f ca="1">IFERROR(__xludf.DUMMYFUNCTION("""COMPUTED_VALUE"""),"Corto plazo")</f>
        <v>Corto plazo</v>
      </c>
      <c r="R1290" s="25"/>
      <c r="S1290" s="55"/>
      <c r="T1290" s="56"/>
      <c r="U1290" s="25"/>
      <c r="V1290" s="25"/>
      <c r="W1290" s="25"/>
      <c r="X1290" s="25"/>
      <c r="Y1290" s="25"/>
      <c r="Z1290" s="25"/>
    </row>
    <row r="1291" spans="1:26" ht="52.5" customHeight="1" x14ac:dyDescent="0.25">
      <c r="A1291" s="25" t="str">
        <f ca="1">IFERROR(__xludf.DUMMYFUNCTION("""COMPUTED_VALUE"""),"Educa89")</f>
        <v>Educa89</v>
      </c>
      <c r="B1291" s="25" t="str">
        <f ca="1">IFERROR(__xludf.DUMMYFUNCTION("""COMPUTED_VALUE"""),"Consejo Consultivo de niños, niñas y adolescentes")</f>
        <v>Consejo Consultivo de niños, niñas y adolescentes</v>
      </c>
      <c r="C1291" s="55">
        <f ca="1">IFERROR(__xludf.DUMMYFUNCTION("""COMPUTED_VALUE"""),44431)</f>
        <v>44431</v>
      </c>
      <c r="D1291" s="25" t="str">
        <f ca="1">IFERROR(__xludf.DUMMYFUNCTION("""COMPUTED_VALUE"""),"Educación")</f>
        <v>Educación</v>
      </c>
      <c r="E1291" s="25" t="str">
        <f ca="1">IFERROR(__xludf.DUMMYFUNCTION("""COMPUTED_VALUE"""),"Secretaría de Educación del Distrito")</f>
        <v>Secretaría de Educación del Distrito</v>
      </c>
      <c r="F1291" s="25" t="str">
        <f ca="1">IFERROR(__xludf.DUMMYFUNCTION("""COMPUTED_VALUE"""),"Crear un día de los niños, niñas y adolescentes donde sean ellos quienes dirijan todas las entidades del distrito y nos enseñen cómo se imaginan y sueñan la ciudad.")</f>
        <v>Crear un día de los niños, niñas y adolescentes donde sean ellos quienes dirijan todas las entidades del distrito y nos enseñen cómo se imaginan y sueñan la ciudad.</v>
      </c>
      <c r="G1291" s="25" t="str">
        <f ca="1">IFERROR(__xludf.DUMMYFUNCTION("""COMPUTED_VALUE"""),"99. Distrito")</f>
        <v>99. Distrito</v>
      </c>
      <c r="H1291" s="55">
        <f ca="1">IFERROR(__xludf.DUMMYFUNCTION("""COMPUTED_VALUE"""),44461)</f>
        <v>44461</v>
      </c>
      <c r="I1291" s="25"/>
      <c r="J1291" s="55" t="str">
        <f ca="1">IFERROR(__xludf.DUMMYFUNCTION("""COMPUTED_VALUE"""),"Alta")</f>
        <v>Alta</v>
      </c>
      <c r="K1291" s="25">
        <f ca="1">IFERROR(__xludf.DUMMYFUNCTION("""COMPUTED_VALUE"""),30)</f>
        <v>30</v>
      </c>
      <c r="L1291" s="62">
        <f ca="1">IFERROR(__xludf.DUMMYFUNCTION("""COMPUTED_VALUE"""),44741)</f>
        <v>44741</v>
      </c>
      <c r="M1291" s="25" t="str">
        <f ca="1">IFERROR(__xludf.DUMMYFUNCTION("""COMPUTED_VALUE"""),"En el marco del Proyecto de Acuerdo por el cual ""Se convierte a Bogotá en epicentro de la participación infantil y se fortalece La ciudad de las niñas, niños y adolescentes"" liderado desde la Secretaría de Educación el Distrito con la Mesa Intersectoria"&amp;"l de Participación Infantil (MIPI), se prevé la jornada de movilización ""La ciudad de las niñas, niños y adolescentes"" a desarrollarse en el mes de octubre. Desde la MIPI se ha avanzado en la preparación de la presentación del mismo por parte de niñas y"&amp;" niños líderes y participantes en su construcción y se avanza en la creación participativa de la identidad gráfica del mismo con niñas y niños del Programa Niñas y Niños Educan a los Adultos y los Consejos Consultivos Distritales; no obstante, para dar cu"&amp;"rso a la actividad de movilización, se está a la espera de la inclusión del Proyecto de Acuerdo en las sesiones extraordinarias del Concejo de Bogotá, pospuesta para el mes de junio conforme a la decisión de la Alcaldía Mayor y la Secretaría de Gobierno d"&amp;"e incluirlo en el marco de las mismas.")</f>
        <v>En el marco del Proyecto de Acuerdo por el cual "Se convierte a Bogotá en epicentro de la participación infantil y se fortalece La ciudad de las niñas, niños y adolescentes" liderado desde la Secretaría de Educación el Distrito con la Mesa Intersectorial de Participación Infantil (MIPI), se prevé la jornada de movilización "La ciudad de las niñas, niños y adolescentes" a desarrollarse en el mes de octubre. Desde la MIPI se ha avanzado en la preparación de la presentación del mismo por parte de niñas y niños líderes y participantes en su construcción y se avanza en la creación participativa de la identidad gráfica del mismo con niñas y niños del Programa Niñas y Niños Educan a los Adultos y los Consejos Consultivos Distritales; no obstante, para dar curso a la actividad de movilización, se está a la espera de la inclusión del Proyecto de Acuerdo en las sesiones extraordinarias del Concejo de Bogotá, pospuesta para el mes de junio conforme a la decisión de la Alcaldía Mayor y la Secretaría de Gobierno de incluirlo en el marco de las mismas.</v>
      </c>
      <c r="N1291" s="55">
        <f ca="1">IFERROR(__xludf.DUMMYFUNCTION("""COMPUTED_VALUE"""),44927)</f>
        <v>44927</v>
      </c>
      <c r="O1291" s="25" t="str">
        <f t="shared" ca="1" si="0"/>
        <v>Secretaría de Educación del Distrito</v>
      </c>
      <c r="P1291" s="25" t="str">
        <f t="shared" si="2"/>
        <v/>
      </c>
      <c r="Q1291" s="25" t="str">
        <f ca="1">IFERROR(__xludf.DUMMYFUNCTION("""COMPUTED_VALUE"""),"Corto plazo")</f>
        <v>Corto plazo</v>
      </c>
      <c r="R1291" s="25"/>
      <c r="S1291" s="55"/>
      <c r="T1291" s="56"/>
      <c r="U1291" s="25"/>
      <c r="V1291" s="25"/>
      <c r="W1291" s="25"/>
      <c r="X1291" s="25"/>
      <c r="Y1291" s="25"/>
      <c r="Z1291" s="25"/>
    </row>
    <row r="1292" spans="1:26" ht="52.5" customHeight="1" x14ac:dyDescent="0.25">
      <c r="A1292" s="25" t="str">
        <f ca="1">IFERROR(__xludf.DUMMYFUNCTION("""COMPUTED_VALUE"""),"Educa90")</f>
        <v>Educa90</v>
      </c>
      <c r="B1292" s="25" t="str">
        <f ca="1">IFERROR(__xludf.DUMMYFUNCTION("""COMPUTED_VALUE"""),"ATENEA - Escenarios de implementación de educación posmedia")</f>
        <v>ATENEA - Escenarios de implementación de educación posmedia</v>
      </c>
      <c r="C1292" s="55">
        <f ca="1">IFERROR(__xludf.DUMMYFUNCTION("""COMPUTED_VALUE"""),44623)</f>
        <v>44623</v>
      </c>
      <c r="D1292" s="25" t="str">
        <f ca="1">IFERROR(__xludf.DUMMYFUNCTION("""COMPUTED_VALUE"""),"Educación")</f>
        <v>Educación</v>
      </c>
      <c r="E1292" s="25" t="str">
        <f ca="1">IFERROR(__xludf.DUMMYFUNCTION("""COMPUTED_VALUE"""),"Secretaría de Educación del Distrito")</f>
        <v>Secretaría de Educación del Distrito</v>
      </c>
      <c r="F1292" s="25" t="str">
        <f ca="1">IFERROR(__xludf.DUMMYFUNCTION("""COMPUTED_VALUE"""),"Hacer un estudio de mercado. Realizar una convocatoria de oferta de mercado diciendo que estamos buscando potenciales oferentes que en máximo año y medio formen programadores con bilingüismo y habilidades blandas, o programadores avanzados con bilingüismo"&amp;" y habilidades blandas. Se les incluye un bono adicional si lo emplea (pago por resultados).")</f>
        <v>Hacer un estudio de mercado. Realizar una convocatoria de oferta de mercado diciendo que estamos buscando potenciales oferentes que en máximo año y medio formen programadores con bilingüismo y habilidades blandas, o programadores avanzados con bilingüismo y habilidades blandas. Se les incluye un bono adicional si lo emplea (pago por resultados).</v>
      </c>
      <c r="G1292" s="25" t="str">
        <f ca="1">IFERROR(__xludf.DUMMYFUNCTION("""COMPUTED_VALUE"""),"99. Distrito")</f>
        <v>99. Distrito</v>
      </c>
      <c r="H1292" s="55">
        <f ca="1">IFERROR(__xludf.DUMMYFUNCTION("""COMPUTED_VALUE"""),44653)</f>
        <v>44653</v>
      </c>
      <c r="I1292" s="25"/>
      <c r="J1292" s="55" t="str">
        <f ca="1">IFERROR(__xludf.DUMMYFUNCTION("""COMPUTED_VALUE"""),"Alta")</f>
        <v>Alta</v>
      </c>
      <c r="K1292" s="25">
        <f ca="1">IFERROR(__xludf.DUMMYFUNCTION("""COMPUTED_VALUE"""),30)</f>
        <v>30</v>
      </c>
      <c r="L1292" s="62">
        <f ca="1">IFERROR(__xludf.DUMMYFUNCTION("""COMPUTED_VALUE"""),44740)</f>
        <v>44740</v>
      </c>
      <c r="M1292" s="25" t="str">
        <f ca="1">IFERROR(__xludf.DUMMYFUNCTION("""COMPUTED_VALUE"""),"Dado que el programa se realizará en alianza con la Secretaría de Desarrollo Económico, se están preparando los documentos relacionados con el convenio interadministrativo para la transferencia de los recursos. Adicionalmente se están finalizando los deta"&amp;"lles de diseño técnico y operativo del programa para la elaboración del estudio de mercado y los anexos técnicos de la licitación. Además se están llevando a cabo conversaciones para establecer alianzas con actores como Enel, GOYN, ACDI VOCA, CISCO, entre"&amp;" otros.")</f>
        <v>Dado que el programa se realizará en alianza con la Secretaría de Desarrollo Económico, se están preparando los documentos relacionados con el convenio interadministrativo para la transferencia de los recursos. Adicionalmente se están finalizando los detalles de diseño técnico y operativo del programa para la elaboración del estudio de mercado y los anexos técnicos de la licitación. Además se están llevando a cabo conversaciones para establecer alianzas con actores como Enel, GOYN, ACDI VOCA, CISCO, entre otros.</v>
      </c>
      <c r="N1292" s="55">
        <f ca="1">IFERROR(__xludf.DUMMYFUNCTION("""COMPUTED_VALUE"""),44927)</f>
        <v>44927</v>
      </c>
      <c r="O1292" s="25" t="str">
        <f t="shared" ca="1" si="0"/>
        <v>Secretaría de Educación del Distrito</v>
      </c>
      <c r="P1292" s="25" t="str">
        <f t="shared" si="2"/>
        <v/>
      </c>
      <c r="Q1292" s="25" t="str">
        <f ca="1">IFERROR(__xludf.DUMMYFUNCTION("""COMPUTED_VALUE"""),"Corto plazo")</f>
        <v>Corto plazo</v>
      </c>
      <c r="R1292" s="25"/>
      <c r="S1292" s="55"/>
      <c r="T1292" s="56"/>
      <c r="U1292" s="25"/>
      <c r="V1292" s="25"/>
      <c r="W1292" s="25"/>
      <c r="X1292" s="25"/>
      <c r="Y1292" s="25"/>
      <c r="Z1292" s="25"/>
    </row>
    <row r="1293" spans="1:26" ht="52.5" customHeight="1" x14ac:dyDescent="0.25">
      <c r="A1293" s="25" t="str">
        <f ca="1">IFERROR(__xludf.DUMMYFUNCTION("""COMPUTED_VALUE"""),"Educa91")</f>
        <v>Educa91</v>
      </c>
      <c r="B1293" s="25" t="str">
        <f ca="1">IFERROR(__xludf.DUMMYFUNCTION("""COMPUTED_VALUE"""),"ATENEA - Escenarios de implementación de educación posmedia")</f>
        <v>ATENEA - Escenarios de implementación de educación posmedia</v>
      </c>
      <c r="C1293" s="55">
        <f ca="1">IFERROR(__xludf.DUMMYFUNCTION("""COMPUTED_VALUE"""),44623)</f>
        <v>44623</v>
      </c>
      <c r="D1293" s="25" t="str">
        <f ca="1">IFERROR(__xludf.DUMMYFUNCTION("""COMPUTED_VALUE"""),"Educación")</f>
        <v>Educación</v>
      </c>
      <c r="E1293" s="25" t="str">
        <f ca="1">IFERROR(__xludf.DUMMYFUNCTION("""COMPUTED_VALUE"""),"Secretaría de Educación del Distrito")</f>
        <v>Secretaría de Educación del Distrito</v>
      </c>
      <c r="F1293" s="25" t="str">
        <f ca="1">IFERROR(__xludf.DUMMYFUNCTION("""COMPUTED_VALUE"""),"Abrir la convocatoria de jóvenes a la u y de programadores bilingües en paralelo.")</f>
        <v>Abrir la convocatoria de jóvenes a la u y de programadores bilingües en paralelo.</v>
      </c>
      <c r="G1293" s="25" t="str">
        <f ca="1">IFERROR(__xludf.DUMMYFUNCTION("""COMPUTED_VALUE"""),"99. Distrito")</f>
        <v>99. Distrito</v>
      </c>
      <c r="H1293" s="55">
        <f ca="1">IFERROR(__xludf.DUMMYFUNCTION("""COMPUTED_VALUE"""),44653)</f>
        <v>44653</v>
      </c>
      <c r="I1293" s="25"/>
      <c r="J1293" s="55" t="str">
        <f ca="1">IFERROR(__xludf.DUMMYFUNCTION("""COMPUTED_VALUE"""),"Alta")</f>
        <v>Alta</v>
      </c>
      <c r="K1293" s="25">
        <f ca="1">IFERROR(__xludf.DUMMYFUNCTION("""COMPUTED_VALUE"""),30)</f>
        <v>30</v>
      </c>
      <c r="L1293" s="62">
        <f ca="1">IFERROR(__xludf.DUMMYFUNCTION("""COMPUTED_VALUE"""),44740)</f>
        <v>44740</v>
      </c>
      <c r="M1293" s="25" t="str">
        <f ca="1">IFERROR(__xludf.DUMMYFUNCTION("""COMPUTED_VALUE"""),"Se estan adelantando todas las acciones para lanzar la convocatoria en el mes de agosto.
Por su parte, la tercera convocatoria de Jóvenes a la U se lanzó desde el pasado 4 de junio y hasta el 27 del mismo mes, con una inscripción aproximada de más de 40 "&amp;"mil jóvenes, en línea con el inicio de calendarios académicos del segundo semestre del año.")</f>
        <v>Se estan adelantando todas las acciones para lanzar la convocatoria en el mes de agosto.
Por su parte, la tercera convocatoria de Jóvenes a la U se lanzó desde el pasado 4 de junio y hasta el 27 del mismo mes, con una inscripción aproximada de más de 40 mil jóvenes, en línea con el inicio de calendarios académicos del segundo semestre del año.</v>
      </c>
      <c r="N1293" s="55">
        <f ca="1">IFERROR(__xludf.DUMMYFUNCTION("""COMPUTED_VALUE"""),44927)</f>
        <v>44927</v>
      </c>
      <c r="O1293" s="25" t="str">
        <f t="shared" ca="1" si="0"/>
        <v>Secretaría de Educación del Distrito</v>
      </c>
      <c r="P1293" s="25" t="str">
        <f t="shared" si="2"/>
        <v/>
      </c>
      <c r="Q1293" s="25" t="str">
        <f ca="1">IFERROR(__xludf.DUMMYFUNCTION("""COMPUTED_VALUE"""),"Corto plazo")</f>
        <v>Corto plazo</v>
      </c>
      <c r="R1293" s="25"/>
      <c r="S1293" s="55"/>
      <c r="T1293" s="56"/>
      <c r="U1293" s="25"/>
      <c r="V1293" s="25"/>
      <c r="W1293" s="25"/>
      <c r="X1293" s="25"/>
      <c r="Y1293" s="25"/>
      <c r="Z1293" s="25"/>
    </row>
    <row r="1294" spans="1:26" ht="52.5" customHeight="1" x14ac:dyDescent="0.25">
      <c r="A1294" s="25" t="str">
        <f ca="1">IFERROR(__xludf.DUMMYFUNCTION("""COMPUTED_VALUE"""),"Educa92")</f>
        <v>Educa92</v>
      </c>
      <c r="B1294" s="25" t="str">
        <f ca="1">IFERROR(__xludf.DUMMYFUNCTION("""COMPUTED_VALUE"""),"ATENEA - Escenarios de implementación de educación posmedia")</f>
        <v>ATENEA - Escenarios de implementación de educación posmedia</v>
      </c>
      <c r="C1294" s="55">
        <f ca="1">IFERROR(__xludf.DUMMYFUNCTION("""COMPUTED_VALUE"""),44623)</f>
        <v>44623</v>
      </c>
      <c r="D1294" s="25" t="str">
        <f ca="1">IFERROR(__xludf.DUMMYFUNCTION("""COMPUTED_VALUE"""),"Educación")</f>
        <v>Educación</v>
      </c>
      <c r="E1294" s="25" t="str">
        <f ca="1">IFERROR(__xludf.DUMMYFUNCTION("""COMPUTED_VALUE"""),"Secretaría de Educación del Distrito")</f>
        <v>Secretaría de Educación del Distrito</v>
      </c>
      <c r="F1294" s="25" t="str">
        <f ca="1">IFERROR(__xludf.DUMMYFUNCTION("""COMPUTED_VALUE"""),"Involucrar a Ágata y Enel para que contraten a los jóvenes que salgan del programa")</f>
        <v>Involucrar a Ágata y Enel para que contraten a los jóvenes que salgan del programa</v>
      </c>
      <c r="G1294" s="25" t="str">
        <f ca="1">IFERROR(__xludf.DUMMYFUNCTION("""COMPUTED_VALUE"""),"99. Distrito")</f>
        <v>99. Distrito</v>
      </c>
      <c r="H1294" s="55">
        <f ca="1">IFERROR(__xludf.DUMMYFUNCTION("""COMPUTED_VALUE"""),44653)</f>
        <v>44653</v>
      </c>
      <c r="I1294" s="25"/>
      <c r="J1294" s="55" t="str">
        <f ca="1">IFERROR(__xludf.DUMMYFUNCTION("""COMPUTED_VALUE"""),"Alta")</f>
        <v>Alta</v>
      </c>
      <c r="K1294" s="25">
        <f ca="1">IFERROR(__xludf.DUMMYFUNCTION("""COMPUTED_VALUE"""),30)</f>
        <v>30</v>
      </c>
      <c r="L1294" s="62">
        <f ca="1">IFERROR(__xludf.DUMMYFUNCTION("""COMPUTED_VALUE"""),44740)</f>
        <v>44740</v>
      </c>
      <c r="M1294" s="25" t="str">
        <f ca="1">IFERROR(__xludf.DUMMYFUNCTION("""COMPUTED_VALUE"""),"Se estan realizando reuniones con estas entidades para tal fin. Adicionalmente, se ha presentado la iniciativa en el marco de la Mesa técnica de la comunidad de Academia 4RI y otros espacios con representantes de la industria.")</f>
        <v>Se estan realizando reuniones con estas entidades para tal fin. Adicionalmente, se ha presentado la iniciativa en el marco de la Mesa técnica de la comunidad de Academia 4RI y otros espacios con representantes de la industria.</v>
      </c>
      <c r="N1294" s="55">
        <f ca="1">IFERROR(__xludf.DUMMYFUNCTION("""COMPUTED_VALUE"""),44927)</f>
        <v>44927</v>
      </c>
      <c r="O1294" s="25" t="str">
        <f t="shared" ca="1" si="0"/>
        <v>Secretaría de Educación del Distrito</v>
      </c>
      <c r="P1294" s="25" t="str">
        <f t="shared" si="2"/>
        <v/>
      </c>
      <c r="Q1294" s="25" t="str">
        <f ca="1">IFERROR(__xludf.DUMMYFUNCTION("""COMPUTED_VALUE"""),"Corto plazo")</f>
        <v>Corto plazo</v>
      </c>
      <c r="R1294" s="25"/>
      <c r="S1294" s="55"/>
      <c r="T1294" s="56"/>
      <c r="U1294" s="25"/>
      <c r="V1294" s="25"/>
      <c r="W1294" s="25"/>
      <c r="X1294" s="25"/>
      <c r="Y1294" s="25"/>
      <c r="Z1294" s="25"/>
    </row>
    <row r="1295" spans="1:26" ht="52.5" customHeight="1" x14ac:dyDescent="0.25">
      <c r="A1295" s="25" t="str">
        <f ca="1">IFERROR(__xludf.DUMMYFUNCTION("""COMPUTED_VALUE"""),"Educa93")</f>
        <v>Educa93</v>
      </c>
      <c r="B1295" s="25" t="str">
        <f ca="1">IFERROR(__xludf.DUMMYFUNCTION("""COMPUTED_VALUE"""),"ATENEA - Escenarios de implementación de educación posmedia")</f>
        <v>ATENEA - Escenarios de implementación de educación posmedia</v>
      </c>
      <c r="C1295" s="55">
        <f ca="1">IFERROR(__xludf.DUMMYFUNCTION("""COMPUTED_VALUE"""),44623)</f>
        <v>44623</v>
      </c>
      <c r="D1295" s="25" t="str">
        <f ca="1">IFERROR(__xludf.DUMMYFUNCTION("""COMPUTED_VALUE"""),"Educación")</f>
        <v>Educación</v>
      </c>
      <c r="E1295" s="25" t="str">
        <f ca="1">IFERROR(__xludf.DUMMYFUNCTION("""COMPUTED_VALUE"""),"Secretaría de Educación del Distrito")</f>
        <v>Secretaría de Educación del Distrito</v>
      </c>
      <c r="F1295" s="25" t="str">
        <f ca="1">IFERROR(__xludf.DUMMYFUNCTION("""COMPUTED_VALUE"""),"Para la solicitud de adición incluir las prioridades de la alcaldesa: entornos escolares seguros en todas las sedes y en infraestructura (estudios y diseños de nuevos colegios que se puedan contratar en el primer semestre de 2023).")</f>
        <v>Para la solicitud de adición incluir las prioridades de la alcaldesa: entornos escolares seguros en todas las sedes y en infraestructura (estudios y diseños de nuevos colegios que se puedan contratar en el primer semestre de 2023).</v>
      </c>
      <c r="G1295" s="25" t="str">
        <f ca="1">IFERROR(__xludf.DUMMYFUNCTION("""COMPUTED_VALUE"""),"99. Distrito")</f>
        <v>99. Distrito</v>
      </c>
      <c r="H1295" s="55">
        <f ca="1">IFERROR(__xludf.DUMMYFUNCTION("""COMPUTED_VALUE"""),44653)</f>
        <v>44653</v>
      </c>
      <c r="I1295" s="25"/>
      <c r="J1295" s="55" t="str">
        <f ca="1">IFERROR(__xludf.DUMMYFUNCTION("""COMPUTED_VALUE"""),"Alta")</f>
        <v>Alta</v>
      </c>
      <c r="K1295" s="25">
        <f ca="1">IFERROR(__xludf.DUMMYFUNCTION("""COMPUTED_VALUE"""),30)</f>
        <v>30</v>
      </c>
      <c r="L1295" s="62">
        <f ca="1">IFERROR(__xludf.DUMMYFUNCTION("""COMPUTED_VALUE"""),44742)</f>
        <v>44742</v>
      </c>
      <c r="M1295" s="25" t="str">
        <f ca="1">IFERROR(__xludf.DUMMYFUNCTION("""COMPUTED_VALUE"""),"La SED incluyó en la propuesta de adición presupuestal los recursos para  ampliar los equipos y recursos para la atención del programa Entornos Educativos Protectores y Confiables, y para adelantar los contratos de estudios y diseños de los nuevos colegio"&amp;"s aprobados en el segundo cupo de endedudamiento.
Esta tarea se termina una vez concluya el trámite del proyecto de acuerdo de adición en el Concejo de la ciudad.")</f>
        <v>La SED incluyó en la propuesta de adición presupuestal los recursos para  ampliar los equipos y recursos para la atención del programa Entornos Educativos Protectores y Confiables, y para adelantar los contratos de estudios y diseños de los nuevos colegios aprobados en el segundo cupo de endedudamiento.
Esta tarea se termina una vez concluya el trámite del proyecto de acuerdo de adición en el Concejo de la ciudad.</v>
      </c>
      <c r="N1295" s="55">
        <f ca="1">IFERROR(__xludf.DUMMYFUNCTION("""COMPUTED_VALUE"""),44927)</f>
        <v>44927</v>
      </c>
      <c r="O1295" s="25" t="str">
        <f t="shared" ca="1" si="0"/>
        <v>Secretaría de Educación del Distrito</v>
      </c>
      <c r="P1295" s="25" t="str">
        <f t="shared" si="2"/>
        <v/>
      </c>
      <c r="Q1295" s="25" t="str">
        <f ca="1">IFERROR(__xludf.DUMMYFUNCTION("""COMPUTED_VALUE"""),"Corto plazo")</f>
        <v>Corto plazo</v>
      </c>
      <c r="R1295" s="25"/>
      <c r="S1295" s="55"/>
      <c r="T1295" s="56"/>
      <c r="U1295" s="25"/>
      <c r="V1295" s="25"/>
      <c r="W1295" s="25"/>
      <c r="X1295" s="25"/>
      <c r="Y1295" s="25"/>
      <c r="Z1295" s="25"/>
    </row>
    <row r="1296" spans="1:26" ht="52.5" customHeight="1" x14ac:dyDescent="0.25">
      <c r="A1296" s="25" t="str">
        <f ca="1">IFERROR(__xludf.DUMMYFUNCTION("""COMPUTED_VALUE"""),"Educa94")</f>
        <v>Educa94</v>
      </c>
      <c r="B1296" s="25" t="str">
        <f ca="1">IFERROR(__xludf.DUMMYFUNCTION("""COMPUTED_VALUE"""),"ATENEA - Escenarios de implementación de educación posmedia")</f>
        <v>ATENEA - Escenarios de implementación de educación posmedia</v>
      </c>
      <c r="C1296" s="55">
        <f ca="1">IFERROR(__xludf.DUMMYFUNCTION("""COMPUTED_VALUE"""),44623)</f>
        <v>44623</v>
      </c>
      <c r="D1296" s="25" t="str">
        <f ca="1">IFERROR(__xludf.DUMMYFUNCTION("""COMPUTED_VALUE"""),"Educación")</f>
        <v>Educación</v>
      </c>
      <c r="E1296" s="25" t="str">
        <f ca="1">IFERROR(__xludf.DUMMYFUNCTION("""COMPUTED_VALUE"""),"Secretaría de Educación del Distrito")</f>
        <v>Secretaría de Educación del Distrito</v>
      </c>
      <c r="F1296" s="25" t="str">
        <f ca="1">IFERROR(__xludf.DUMMYFUNCTION("""COMPUTED_VALUE"""),"Para el cupo de endeudamiento identificar cuáles podemos iniciar construcción. Hacer énfasis en las localidades deficitarias.")</f>
        <v>Para el cupo de endeudamiento identificar cuáles podemos iniciar construcción. Hacer énfasis en las localidades deficitarias.</v>
      </c>
      <c r="G1296" s="25" t="str">
        <f ca="1">IFERROR(__xludf.DUMMYFUNCTION("""COMPUTED_VALUE"""),"99. Distrito")</f>
        <v>99. Distrito</v>
      </c>
      <c r="H1296" s="55">
        <f ca="1">IFERROR(__xludf.DUMMYFUNCTION("""COMPUTED_VALUE"""),44653)</f>
        <v>44653</v>
      </c>
      <c r="I1296" s="25"/>
      <c r="J1296" s="55" t="str">
        <f ca="1">IFERROR(__xludf.DUMMYFUNCTION("""COMPUTED_VALUE"""),"Alta")</f>
        <v>Alta</v>
      </c>
      <c r="K1296" s="25">
        <f ca="1">IFERROR(__xludf.DUMMYFUNCTION("""COMPUTED_VALUE"""),30)</f>
        <v>30</v>
      </c>
      <c r="L1296" s="62">
        <f ca="1">IFERROR(__xludf.DUMMYFUNCTION("""COMPUTED_VALUE"""),44727)</f>
        <v>44727</v>
      </c>
      <c r="M1296" s="25" t="str">
        <f ca="1">IFERROR(__xludf.DUMMYFUNCTION("""COMPUTED_VALUE"""),"El cupo de endeudamiento aprobado mediante Acuerdo 840 de 2022, comprende la ejecución de las 26 obras (25 colegios y 1 Centro Pedagógico Cultural ) de los cuales (6)  seis colegios se encuentran en el desarrollo de las consultorías de Diseño  y se estima"&amp;" el inicio de las obras para el segundo  trimestre de 2023; otros (6) seis corresponden a construcciones  para la atención a primera infancia y se encuentran en concurso con la Sociedad Colombiana de Arquitectos (SCA) , estimando que sean proclamados los "&amp;"ganadores durante el próximo 7 de julio de 2022.  Los restantes (12) y el Centro pedagógico se encuentran en estructuración de los concursos con la SCA.")</f>
        <v>El cupo de endeudamiento aprobado mediante Acuerdo 840 de 2022, comprende la ejecución de las 26 obras (25 colegios y 1 Centro Pedagógico Cultural ) de los cuales (6)  seis colegios se encuentran en el desarrollo de las consultorías de Diseño  y se estima el inicio de las obras para el segundo  trimestre de 2023; otros (6) seis corresponden a construcciones  para la atención a primera infancia y se encuentran en concurso con la Sociedad Colombiana de Arquitectos (SCA) , estimando que sean proclamados los ganadores durante el próximo 7 de julio de 2022.  Los restantes (12) y el Centro pedagógico se encuentran en estructuración de los concursos con la SCA.</v>
      </c>
      <c r="N1296" s="55">
        <f ca="1">IFERROR(__xludf.DUMMYFUNCTION("""COMPUTED_VALUE"""),44927)</f>
        <v>44927</v>
      </c>
      <c r="O1296" s="25" t="str">
        <f t="shared" ca="1" si="0"/>
        <v>Secretaría de Educación del Distrito</v>
      </c>
      <c r="P1296" s="25" t="str">
        <f t="shared" si="2"/>
        <v/>
      </c>
      <c r="Q1296" s="25" t="str">
        <f ca="1">IFERROR(__xludf.DUMMYFUNCTION("""COMPUTED_VALUE"""),"Corto plazo")</f>
        <v>Corto plazo</v>
      </c>
      <c r="R1296" s="25"/>
      <c r="S1296" s="55"/>
      <c r="T1296" s="56"/>
      <c r="U1296" s="25"/>
      <c r="V1296" s="25"/>
      <c r="W1296" s="25"/>
      <c r="X1296" s="25"/>
      <c r="Y1296" s="25"/>
      <c r="Z1296" s="25"/>
    </row>
    <row r="1297" spans="1:26" ht="52.5" customHeight="1" x14ac:dyDescent="0.25">
      <c r="A1297" s="25" t="str">
        <f ca="1">IFERROR(__xludf.DUMMYFUNCTION("""COMPUTED_VALUE"""),"Educa95")</f>
        <v>Educa95</v>
      </c>
      <c r="B1297" s="25" t="str">
        <f ca="1">IFERROR(__xludf.DUMMYFUNCTION("""COMPUTED_VALUE"""),"CONFIS ORDINARIO")</f>
        <v>CONFIS ORDINARIO</v>
      </c>
      <c r="C1297" s="55">
        <f ca="1">IFERROR(__xludf.DUMMYFUNCTION("""COMPUTED_VALUE"""),44631)</f>
        <v>44631</v>
      </c>
      <c r="D1297" s="25" t="str">
        <f ca="1">IFERROR(__xludf.DUMMYFUNCTION("""COMPUTED_VALUE"""),"Educación")</f>
        <v>Educación</v>
      </c>
      <c r="E1297" s="25" t="str">
        <f ca="1">IFERROR(__xludf.DUMMYFUNCTION("""COMPUTED_VALUE"""),"Secretaría de Educación del Distrito")</f>
        <v>Secretaría de Educación del Distrito</v>
      </c>
      <c r="F1297" s="25" t="str">
        <f ca="1">IFERROR(__xludf.DUMMYFUNCTION("""COMPUTED_VALUE"""),"Identificar colegio próximo a entregar para inaugurar con el nombre del exsecretario Abel Rodríguez.")</f>
        <v>Identificar colegio próximo a entregar para inaugurar con el nombre del exsecretario Abel Rodríguez.</v>
      </c>
      <c r="G1297" s="25" t="str">
        <f ca="1">IFERROR(__xludf.DUMMYFUNCTION("""COMPUTED_VALUE"""),"99. Distrito")</f>
        <v>99. Distrito</v>
      </c>
      <c r="H1297" s="55">
        <f ca="1">IFERROR(__xludf.DUMMYFUNCTION("""COMPUTED_VALUE"""),44661)</f>
        <v>44661</v>
      </c>
      <c r="I1297" s="25"/>
      <c r="J1297" s="55" t="str">
        <f ca="1">IFERROR(__xludf.DUMMYFUNCTION("""COMPUTED_VALUE"""),"Alta")</f>
        <v>Alta</v>
      </c>
      <c r="K1297" s="25">
        <f ca="1">IFERROR(__xludf.DUMMYFUNCTION("""COMPUTED_VALUE"""),30)</f>
        <v>30</v>
      </c>
      <c r="L1297" s="62">
        <f ca="1">IFERROR(__xludf.DUMMYFUNCTION("""COMPUTED_VALUE"""),44727)</f>
        <v>44727</v>
      </c>
      <c r="M1297" s="25" t="str">
        <f ca="1">IFERROR(__xludf.DUMMYFUNCTION("""COMPUTED_VALUE"""),"El proyecto los Cerezos tiene un avance de 74,60%. 
Se estima la entrega para el mes de octubre de 2022.")</f>
        <v>El proyecto los Cerezos tiene un avance de 74,60%. 
Se estima la entrega para el mes de octubre de 2022.</v>
      </c>
      <c r="N1297" s="55">
        <f ca="1">IFERROR(__xludf.DUMMYFUNCTION("""COMPUTED_VALUE"""),44927)</f>
        <v>44927</v>
      </c>
      <c r="O1297" s="25" t="str">
        <f t="shared" ca="1" si="0"/>
        <v>Secretaría de Educación del Distrito</v>
      </c>
      <c r="P1297" s="25" t="str">
        <f t="shared" si="2"/>
        <v/>
      </c>
      <c r="Q1297" s="25" t="str">
        <f ca="1">IFERROR(__xludf.DUMMYFUNCTION("""COMPUTED_VALUE"""),"Corto plazo")</f>
        <v>Corto plazo</v>
      </c>
      <c r="R1297" s="25"/>
      <c r="S1297" s="55"/>
      <c r="T1297" s="56"/>
      <c r="U1297" s="25"/>
      <c r="V1297" s="25"/>
      <c r="W1297" s="25"/>
      <c r="X1297" s="25"/>
      <c r="Y1297" s="25"/>
      <c r="Z1297" s="25"/>
    </row>
    <row r="1298" spans="1:26" ht="52.5" customHeight="1" x14ac:dyDescent="0.25">
      <c r="A1298" s="25" t="str">
        <f ca="1">IFERROR(__xludf.DUMMYFUNCTION("""COMPUTED_VALUE"""),"Educa96")</f>
        <v>Educa96</v>
      </c>
      <c r="B1298" s="25" t="str">
        <f ca="1">IFERROR(__xludf.DUMMYFUNCTION("""COMPUTED_VALUE"""),"Consejo de gobierno -Juntos cuidados  a los niños, niñas y jóvenes. ")</f>
        <v xml:space="preserve">Consejo de gobierno -Juntos cuidados  a los niños, niñas y jóvenes. </v>
      </c>
      <c r="C1298" s="55">
        <f ca="1">IFERROR(__xludf.DUMMYFUNCTION("""COMPUTED_VALUE"""),44656)</f>
        <v>44656</v>
      </c>
      <c r="D1298" s="25" t="str">
        <f ca="1">IFERROR(__xludf.DUMMYFUNCTION("""COMPUTED_VALUE"""),"Educación")</f>
        <v>Educación</v>
      </c>
      <c r="E1298" s="25" t="str">
        <f ca="1">IFERROR(__xludf.DUMMYFUNCTION("""COMPUTED_VALUE"""),"Secretaría de Educación del Distrito")</f>
        <v>Secretaría de Educación del Distrito</v>
      </c>
      <c r="F1298" s="25" t="str">
        <f ca="1">IFERROR(__xludf.DUMMYFUNCTION("""COMPUTED_VALUE"""),"Diferenciar de los temas de trabajo en bloque con cada entidad: 
-	Qué existe y qué se tiene que crear.
-	De lo que existe, cuánto se está cubriendo y cuántos colegios faltan.
-	De los que faltan, cuál es el orden de prioridades a cubrir (primer semest"&amp;"re, segundo semestre, primero de 2023, y segundo 2023)
-	Cuánto vale lo anterior.
Identificar qué entidades lo hacen y hasta dónde llegamos (a qué colegios).
")</f>
        <v xml:space="preserve">Diferenciar de los temas de trabajo en bloque con cada entidad: 
-	Qué existe y qué se tiene que crear.
-	De lo que existe, cuánto se está cubriendo y cuántos colegios faltan.
-	De los que faltan, cuál es el orden de prioridades a cubrir (primer semestre, segundo semestre, primero de 2023, y segundo 2023)
-	Cuánto vale lo anterior.
Identificar qué entidades lo hacen y hasta dónde llegamos (a qué colegios).
</v>
      </c>
      <c r="G1298" s="25" t="str">
        <f ca="1">IFERROR(__xludf.DUMMYFUNCTION("""COMPUTED_VALUE"""),"99. Distrito")</f>
        <v>99. Distrito</v>
      </c>
      <c r="H1298" s="55">
        <f ca="1">IFERROR(__xludf.DUMMYFUNCTION("""COMPUTED_VALUE"""),44686)</f>
        <v>44686</v>
      </c>
      <c r="I1298" s="25"/>
      <c r="J1298" s="55" t="str">
        <f ca="1">IFERROR(__xludf.DUMMYFUNCTION("""COMPUTED_VALUE"""),"Alta")</f>
        <v>Alta</v>
      </c>
      <c r="K1298" s="25">
        <f ca="1">IFERROR(__xludf.DUMMYFUNCTION("""COMPUTED_VALUE"""),30)</f>
        <v>30</v>
      </c>
      <c r="L1298" s="62"/>
      <c r="M1298" s="25"/>
      <c r="N1298" s="55">
        <f ca="1">IFERROR(__xludf.DUMMYFUNCTION("""COMPUTED_VALUE"""),44927)</f>
        <v>44927</v>
      </c>
      <c r="O1298" s="25" t="str">
        <f t="shared" ca="1" si="0"/>
        <v>Secretaría de Educación del Distrito</v>
      </c>
      <c r="P1298" s="25" t="str">
        <f t="shared" si="2"/>
        <v/>
      </c>
      <c r="Q1298" s="25" t="str">
        <f ca="1">IFERROR(__xludf.DUMMYFUNCTION("""COMPUTED_VALUE"""),"Corto plazo")</f>
        <v>Corto plazo</v>
      </c>
      <c r="R1298" s="25"/>
      <c r="S1298" s="55"/>
      <c r="T1298" s="56"/>
      <c r="U1298" s="25"/>
      <c r="V1298" s="25"/>
      <c r="W1298" s="25"/>
      <c r="X1298" s="25"/>
      <c r="Y1298" s="25"/>
      <c r="Z1298" s="25"/>
    </row>
    <row r="1299" spans="1:26" ht="52.5" customHeight="1" x14ac:dyDescent="0.25">
      <c r="A1299" s="25" t="str">
        <f ca="1">IFERROR(__xludf.DUMMYFUNCTION("""COMPUTED_VALUE"""),"Educa97")</f>
        <v>Educa97</v>
      </c>
      <c r="B1299" s="25" t="str">
        <f ca="1">IFERROR(__xludf.DUMMYFUNCTION("""COMPUTED_VALUE"""),"Consejo de gobierno -Juntos cuidados  a los niños, niñas y jóvenes. ")</f>
        <v xml:space="preserve">Consejo de gobierno -Juntos cuidados  a los niños, niñas y jóvenes. </v>
      </c>
      <c r="C1299" s="55">
        <f ca="1">IFERROR(__xludf.DUMMYFUNCTION("""COMPUTED_VALUE"""),44656)</f>
        <v>44656</v>
      </c>
      <c r="D1299" s="25" t="str">
        <f ca="1">IFERROR(__xludf.DUMMYFUNCTION("""COMPUTED_VALUE"""),"Educación")</f>
        <v>Educación</v>
      </c>
      <c r="E1299" s="25" t="str">
        <f ca="1">IFERROR(__xludf.DUMMYFUNCTION("""COMPUTED_VALUE"""),"Secretaría de Educación del Distrito")</f>
        <v>Secretaría de Educación del Distrito</v>
      </c>
      <c r="F1299" s="25" t="str">
        <f ca="1">IFERROR(__xludf.DUMMYFUNCTION("""COMPUTED_VALUE"""),"Tema jurídico. Sobre abusos: remitir casos graves a casas de justicia y fiscalía. Tener algo similar a lo que tiene mujer (duplas, fiscales en las casas de justicia). ")</f>
        <v xml:space="preserve">Tema jurídico. Sobre abusos: remitir casos graves a casas de justicia y fiscalía. Tener algo similar a lo que tiene mujer (duplas, fiscales en las casas de justicia). </v>
      </c>
      <c r="G1299" s="25" t="str">
        <f ca="1">IFERROR(__xludf.DUMMYFUNCTION("""COMPUTED_VALUE"""),"99. Distrito")</f>
        <v>99. Distrito</v>
      </c>
      <c r="H1299" s="55">
        <f ca="1">IFERROR(__xludf.DUMMYFUNCTION("""COMPUTED_VALUE"""),44686)</f>
        <v>44686</v>
      </c>
      <c r="I1299" s="25"/>
      <c r="J1299" s="55" t="str">
        <f ca="1">IFERROR(__xludf.DUMMYFUNCTION("""COMPUTED_VALUE"""),"Alta")</f>
        <v>Alta</v>
      </c>
      <c r="K1299" s="25">
        <f ca="1">IFERROR(__xludf.DUMMYFUNCTION("""COMPUTED_VALUE"""),30)</f>
        <v>30</v>
      </c>
      <c r="L1299" s="62">
        <f ca="1">IFERROR(__xludf.DUMMYFUNCTION("""COMPUTED_VALUE"""),44754)</f>
        <v>44754</v>
      </c>
      <c r="M1299" s="25" t="str">
        <f ca="1">IFERROR(__xludf.DUMMYFUNCTION("""COMPUTED_VALUE"""),"Esta tarea se realizó, el 18 de marzo de 22 se entregaron los casos registrados en la SED a la Fiscalía General de la Nación. Asi mismo, hacia finales de abril y principio inició la implementación del protocolo para la atención de violencia sexual contra "&amp;"NNA en las Casas de Justicia de Mujer actualmente en funcionamiento.
_______
Conforme lo informado en el marco de la Mesa interinstitucional de seguimiento a los compromisos entre la Alcadesa y el Fiscal General de la Nación, desde el mes de mayo se inici"&amp;"ó la implementación de la atención de casos de VS contra menores en las tres Casas de Justicia de Mujer que actualmente se tienen funcionando. Se espera implementar este protocolo de atención en las próximas Casas que se aperturen.")</f>
        <v>Esta tarea se realizó, el 18 de marzo de 22 se entregaron los casos registrados en la SED a la Fiscalía General de la Nación. Asi mismo, hacia finales de abril y principio inició la implementación del protocolo para la atención de violencia sexual contra NNA en las Casas de Justicia de Mujer actualmente en funcionamiento.
_______
Conforme lo informado en el marco de la Mesa interinstitucional de seguimiento a los compromisos entre la Alcadesa y el Fiscal General de la Nación, desde el mes de mayo se inició la implementación de la atención de casos de VS contra menores en las tres Casas de Justicia de Mujer que actualmente se tienen funcionando. Se espera implementar este protocolo de atención en las próximas Casas que se aperturen.</v>
      </c>
      <c r="N1299" s="55">
        <f ca="1">IFERROR(__xludf.DUMMYFUNCTION("""COMPUTED_VALUE"""),44927)</f>
        <v>44927</v>
      </c>
      <c r="O1299" s="25" t="str">
        <f t="shared" ca="1" si="0"/>
        <v>Secretaría de Educación del Distrito</v>
      </c>
      <c r="P1299" s="25" t="str">
        <f t="shared" si="2"/>
        <v/>
      </c>
      <c r="Q1299" s="25" t="str">
        <f ca="1">IFERROR(__xludf.DUMMYFUNCTION("""COMPUTED_VALUE"""),"Corto plazo")</f>
        <v>Corto plazo</v>
      </c>
      <c r="R1299" s="25"/>
      <c r="S1299" s="55"/>
      <c r="T1299" s="56"/>
      <c r="U1299" s="25"/>
      <c r="V1299" s="25"/>
      <c r="W1299" s="25"/>
      <c r="X1299" s="25"/>
      <c r="Y1299" s="25"/>
      <c r="Z1299" s="25"/>
    </row>
    <row r="1300" spans="1:26" ht="52.5" customHeight="1" x14ac:dyDescent="0.25">
      <c r="A1300" s="25" t="str">
        <f ca="1">IFERROR(__xludf.DUMMYFUNCTION("""COMPUTED_VALUE"""),"Educa98")</f>
        <v>Educa98</v>
      </c>
      <c r="B1300" s="25" t="str">
        <f ca="1">IFERROR(__xludf.DUMMYFUNCTION("""COMPUTED_VALUE"""),"Consejo de gobierno -Juntos cuidados  a los niños, niñas y jóvenes. ")</f>
        <v xml:space="preserve">Consejo de gobierno -Juntos cuidados  a los niños, niñas y jóvenes. </v>
      </c>
      <c r="C1300" s="55">
        <f ca="1">IFERROR(__xludf.DUMMYFUNCTION("""COMPUTED_VALUE"""),44656)</f>
        <v>44656</v>
      </c>
      <c r="D1300" s="25" t="str">
        <f ca="1">IFERROR(__xludf.DUMMYFUNCTION("""COMPUTED_VALUE"""),"Educación")</f>
        <v>Educación</v>
      </c>
      <c r="E1300" s="25" t="str">
        <f ca="1">IFERROR(__xludf.DUMMYFUNCTION("""COMPUTED_VALUE"""),"Secretaría de Educación del Distrito")</f>
        <v>Secretaría de Educación del Distrito</v>
      </c>
      <c r="F1300" s="25" t="str">
        <f ca="1">IFERROR(__xludf.DUMMYFUNCTION("""COMPUTED_VALUE"""),"Tema jurídico. Que las entidades apoyen con abogados para descongestión. Creación de la oficina en la SED para el juzgamiento")</f>
        <v>Tema jurídico. Que las entidades apoyen con abogados para descongestión. Creación de la oficina en la SED para el juzgamiento</v>
      </c>
      <c r="G1300" s="25" t="str">
        <f ca="1">IFERROR(__xludf.DUMMYFUNCTION("""COMPUTED_VALUE"""),"99. Distrito")</f>
        <v>99. Distrito</v>
      </c>
      <c r="H1300" s="55">
        <f ca="1">IFERROR(__xludf.DUMMYFUNCTION("""COMPUTED_VALUE"""),44686)</f>
        <v>44686</v>
      </c>
      <c r="I1300" s="25"/>
      <c r="J1300" s="55" t="str">
        <f ca="1">IFERROR(__xludf.DUMMYFUNCTION("""COMPUTED_VALUE"""),"Alta")</f>
        <v>Alta</v>
      </c>
      <c r="K1300" s="25">
        <f ca="1">IFERROR(__xludf.DUMMYFUNCTION("""COMPUTED_VALUE"""),30)</f>
        <v>30</v>
      </c>
      <c r="L1300" s="62">
        <f ca="1">IFERROR(__xludf.DUMMYFUNCTION("""COMPUTED_VALUE"""),44740)</f>
        <v>44740</v>
      </c>
      <c r="M1300" s="25" t="str">
        <f ca="1">IFERROR(__xludf.DUMMYFUNCTION("""COMPUTED_VALUE"""),"La SED tiene listo para entregar oficialmente al Departamento Administrativo del Servicio Civil,  la documentación requerida para la modificación de la estructura de la entidad, en lo que refiere a la creación de una dependencia para la etapa de juzgamien"&amp;"to de los procesos disciplinarios.
Se estima que el viernes 1° de julio se realice la correspondiente radicación ante el  Departamento Administrativo del Servicio Civil y en esa misma fecha se realice la prublicación para oservaciones.  Se continúa reali"&amp;"zando un trabajo coordinado que permita contar con el decreto de modificación de la estructura expedido a más tardar el 30 de julio de 2022.")</f>
        <v>La SED tiene listo para entregar oficialmente al Departamento Administrativo del Servicio Civil,  la documentación requerida para la modificación de la estructura de la entidad, en lo que refiere a la creación de una dependencia para la etapa de juzgamiento de los procesos disciplinarios.
Se estima que el viernes 1° de julio se realice la correspondiente radicación ante el  Departamento Administrativo del Servicio Civil y en esa misma fecha se realice la prublicación para oservaciones.  Se continúa realizando un trabajo coordinado que permita contar con el decreto de modificación de la estructura expedido a más tardar el 30 de julio de 2022.</v>
      </c>
      <c r="N1300" s="55">
        <f ca="1">IFERROR(__xludf.DUMMYFUNCTION("""COMPUTED_VALUE"""),44927)</f>
        <v>44927</v>
      </c>
      <c r="O1300" s="25" t="str">
        <f t="shared" ca="1" si="0"/>
        <v>Secretaría de Educación del Distrito</v>
      </c>
      <c r="P1300" s="25" t="str">
        <f t="shared" si="2"/>
        <v/>
      </c>
      <c r="Q1300" s="25" t="str">
        <f ca="1">IFERROR(__xludf.DUMMYFUNCTION("""COMPUTED_VALUE"""),"Corto plazo")</f>
        <v>Corto plazo</v>
      </c>
      <c r="R1300" s="25"/>
      <c r="S1300" s="55"/>
      <c r="T1300" s="56"/>
      <c r="U1300" s="25"/>
      <c r="V1300" s="25"/>
      <c r="W1300" s="25"/>
      <c r="X1300" s="25"/>
      <c r="Y1300" s="25"/>
      <c r="Z1300" s="25"/>
    </row>
    <row r="1301" spans="1:26" ht="52.5" customHeight="1" x14ac:dyDescent="0.25">
      <c r="A1301" s="25" t="str">
        <f ca="1">IFERROR(__xludf.DUMMYFUNCTION("""COMPUTED_VALUE"""),"Educa99")</f>
        <v>Educa99</v>
      </c>
      <c r="B1301" s="25" t="str">
        <f ca="1">IFERROR(__xludf.DUMMYFUNCTION("""COMPUTED_VALUE"""),"Consejo de gobierno -Juntos cuidados  a los niños, niñas y jóvenes. ")</f>
        <v xml:space="preserve">Consejo de gobierno -Juntos cuidados  a los niños, niñas y jóvenes. </v>
      </c>
      <c r="C1301" s="55">
        <f ca="1">IFERROR(__xludf.DUMMYFUNCTION("""COMPUTED_VALUE"""),44656)</f>
        <v>44656</v>
      </c>
      <c r="D1301" s="25" t="str">
        <f ca="1">IFERROR(__xludf.DUMMYFUNCTION("""COMPUTED_VALUE"""),"Educación")</f>
        <v>Educación</v>
      </c>
      <c r="E1301" s="25" t="str">
        <f ca="1">IFERROR(__xludf.DUMMYFUNCTION("""COMPUTED_VALUE"""),"Secretaría de Educación del Distrito")</f>
        <v>Secretaría de Educación del Distrito</v>
      </c>
      <c r="F1301" s="25" t="str">
        <f ca="1">IFERROR(__xludf.DUMMYFUNCTION("""COMPUTED_VALUE"""),"Tema jurídico. Incluir los dos artículos de no pagarles salario a los implicados. Proyecto legislativo en el congreso.")</f>
        <v>Tema jurídico. Incluir los dos artículos de no pagarles salario a los implicados. Proyecto legislativo en el congreso.</v>
      </c>
      <c r="G1301" s="25" t="str">
        <f ca="1">IFERROR(__xludf.DUMMYFUNCTION("""COMPUTED_VALUE"""),"99. Distrito")</f>
        <v>99. Distrito</v>
      </c>
      <c r="H1301" s="55">
        <f ca="1">IFERROR(__xludf.DUMMYFUNCTION("""COMPUTED_VALUE"""),44686)</f>
        <v>44686</v>
      </c>
      <c r="I1301" s="25"/>
      <c r="J1301" s="55" t="str">
        <f ca="1">IFERROR(__xludf.DUMMYFUNCTION("""COMPUTED_VALUE"""),"Alta")</f>
        <v>Alta</v>
      </c>
      <c r="K1301" s="25">
        <f ca="1">IFERROR(__xludf.DUMMYFUNCTION("""COMPUTED_VALUE"""),30)</f>
        <v>30</v>
      </c>
      <c r="L1301" s="62"/>
      <c r="M1301" s="25" t="str">
        <f ca="1">IFERROR(__xludf.DUMMYFUNCTION("""COMPUTED_VALUE"""),"Es la tarea 5001 de la Secretaría Jurídica. Ya enviaron la propuesta a Fiscalía y Ministerio del Interior.")</f>
        <v>Es la tarea 5001 de la Secretaría Jurídica. Ya enviaron la propuesta a Fiscalía y Ministerio del Interior.</v>
      </c>
      <c r="N1301" s="55">
        <f ca="1">IFERROR(__xludf.DUMMYFUNCTION("""COMPUTED_VALUE"""),44927)</f>
        <v>44927</v>
      </c>
      <c r="O1301" s="25" t="str">
        <f t="shared" ca="1" si="0"/>
        <v>Secretaría de Educación del Distrito</v>
      </c>
      <c r="P1301" s="25" t="str">
        <f t="shared" si="2"/>
        <v/>
      </c>
      <c r="Q1301" s="25" t="str">
        <f ca="1">IFERROR(__xludf.DUMMYFUNCTION("""COMPUTED_VALUE"""),"Corto plazo")</f>
        <v>Corto plazo</v>
      </c>
      <c r="R1301" s="25"/>
      <c r="S1301" s="55"/>
      <c r="T1301" s="56"/>
      <c r="U1301" s="25"/>
      <c r="V1301" s="25"/>
      <c r="W1301" s="25"/>
      <c r="X1301" s="25"/>
      <c r="Y1301" s="25"/>
      <c r="Z1301" s="25"/>
    </row>
    <row r="1302" spans="1:26" ht="52.5" customHeight="1" x14ac:dyDescent="0.25">
      <c r="A1302" s="25" t="str">
        <f ca="1">IFERROR(__xludf.DUMMYFUNCTION("""COMPUTED_VALUE"""),"Educa100")</f>
        <v>Educa100</v>
      </c>
      <c r="B1302" s="25" t="str">
        <f ca="1">IFERROR(__xludf.DUMMYFUNCTION("""COMPUTED_VALUE"""),"Consejo de gobierno -Juntos cuidados  a los niños, niñas y jóvenes. ")</f>
        <v xml:space="preserve">Consejo de gobierno -Juntos cuidados  a los niños, niñas y jóvenes. </v>
      </c>
      <c r="C1302" s="55">
        <f ca="1">IFERROR(__xludf.DUMMYFUNCTION("""COMPUTED_VALUE"""),44656)</f>
        <v>44656</v>
      </c>
      <c r="D1302" s="25" t="str">
        <f ca="1">IFERROR(__xludf.DUMMYFUNCTION("""COMPUTED_VALUE"""),"Educación")</f>
        <v>Educación</v>
      </c>
      <c r="E1302" s="25" t="str">
        <f ca="1">IFERROR(__xludf.DUMMYFUNCTION("""COMPUTED_VALUE"""),"Secretaría de Educación del Distrito")</f>
        <v>Secretaría de Educación del Distrito</v>
      </c>
      <c r="F1302" s="25" t="str">
        <f ca="1">IFERROR(__xludf.DUMMYFUNCTION("""COMPUTED_VALUE"""),"Tema entornos escolares. Dentro del colegio: tener más orientadores o personas que puedan recibir el reporte de las alertas.")</f>
        <v>Tema entornos escolares. Dentro del colegio: tener más orientadores o personas que puedan recibir el reporte de las alertas.</v>
      </c>
      <c r="G1302" s="25" t="str">
        <f ca="1">IFERROR(__xludf.DUMMYFUNCTION("""COMPUTED_VALUE"""),"99. Distrito")</f>
        <v>99. Distrito</v>
      </c>
      <c r="H1302" s="55">
        <f ca="1">IFERROR(__xludf.DUMMYFUNCTION("""COMPUTED_VALUE"""),44686)</f>
        <v>44686</v>
      </c>
      <c r="I1302" s="25"/>
      <c r="J1302" s="55" t="str">
        <f ca="1">IFERROR(__xludf.DUMMYFUNCTION("""COMPUTED_VALUE"""),"Alta")</f>
        <v>Alta</v>
      </c>
      <c r="K1302" s="25">
        <f ca="1">IFERROR(__xludf.DUMMYFUNCTION("""COMPUTED_VALUE"""),30)</f>
        <v>30</v>
      </c>
      <c r="L1302" s="62">
        <f ca="1">IFERROR(__xludf.DUMMYFUNCTION("""COMPUTED_VALUE"""),44741)</f>
        <v>44741</v>
      </c>
      <c r="M1302" s="25" t="str">
        <f ca="1">IFERROR(__xludf.DUMMYFUNCTION("""COMPUTED_VALUE"""),"Se construyó la justificación técnica para la solicitud presupuestal para la contratación de 538 docentes orientadores, quienes acompañarán a las comunidades edcativas de la ciudad")</f>
        <v>Se construyó la justificación técnica para la solicitud presupuestal para la contratación de 538 docentes orientadores, quienes acompañarán a las comunidades edcativas de la ciudad</v>
      </c>
      <c r="N1302" s="55">
        <f ca="1">IFERROR(__xludf.DUMMYFUNCTION("""COMPUTED_VALUE"""),44927)</f>
        <v>44927</v>
      </c>
      <c r="O1302" s="25" t="str">
        <f t="shared" ca="1" si="0"/>
        <v>Secretaría de Educación del Distrito</v>
      </c>
      <c r="P1302" s="25" t="str">
        <f t="shared" si="2"/>
        <v/>
      </c>
      <c r="Q1302" s="25" t="str">
        <f ca="1">IFERROR(__xludf.DUMMYFUNCTION("""COMPUTED_VALUE"""),"Corto plazo")</f>
        <v>Corto plazo</v>
      </c>
      <c r="R1302" s="25"/>
      <c r="S1302" s="55"/>
      <c r="T1302" s="56"/>
      <c r="U1302" s="25"/>
      <c r="V1302" s="25"/>
      <c r="W1302" s="25"/>
      <c r="X1302" s="25"/>
      <c r="Y1302" s="25"/>
      <c r="Z1302" s="25"/>
    </row>
    <row r="1303" spans="1:26" ht="52.5" customHeight="1" x14ac:dyDescent="0.25">
      <c r="A1303" s="25" t="str">
        <f ca="1">IFERROR(__xludf.DUMMYFUNCTION("""COMPUTED_VALUE"""),"Educa101")</f>
        <v>Educa101</v>
      </c>
      <c r="B1303" s="25" t="str">
        <f ca="1">IFERROR(__xludf.DUMMYFUNCTION("""COMPUTED_VALUE"""),"Consejo de gobierno -Juntos cuidados  a los niños, niñas y jóvenes. ")</f>
        <v xml:space="preserve">Consejo de gobierno -Juntos cuidados  a los niños, niñas y jóvenes. </v>
      </c>
      <c r="C1303" s="55">
        <f ca="1">IFERROR(__xludf.DUMMYFUNCTION("""COMPUTED_VALUE"""),44656)</f>
        <v>44656</v>
      </c>
      <c r="D1303" s="25" t="str">
        <f ca="1">IFERROR(__xludf.DUMMYFUNCTION("""COMPUTED_VALUE"""),"Educación")</f>
        <v>Educación</v>
      </c>
      <c r="E1303" s="25" t="str">
        <f ca="1">IFERROR(__xludf.DUMMYFUNCTION("""COMPUTED_VALUE"""),"Secretaría de Educación del Distrito")</f>
        <v>Secretaría de Educación del Distrito</v>
      </c>
      <c r="F1303" s="25" t="str">
        <f ca="1">IFERROR(__xludf.DUMMYFUNCTION("""COMPUTED_VALUE"""),"Tema entornos escolares. Por fuera del colegio: Juntos Cuidamos Bogotá, Parceros y Cuadrilla de limpieza dedicados al 100% a los 400 entornos.")</f>
        <v>Tema entornos escolares. Por fuera del colegio: Juntos Cuidamos Bogotá, Parceros y Cuadrilla de limpieza dedicados al 100% a los 400 entornos.</v>
      </c>
      <c r="G1303" s="25" t="str">
        <f ca="1">IFERROR(__xludf.DUMMYFUNCTION("""COMPUTED_VALUE"""),"99. Distrito")</f>
        <v>99. Distrito</v>
      </c>
      <c r="H1303" s="55">
        <f ca="1">IFERROR(__xludf.DUMMYFUNCTION("""COMPUTED_VALUE"""),44686)</f>
        <v>44686</v>
      </c>
      <c r="I1303" s="25"/>
      <c r="J1303" s="55" t="str">
        <f ca="1">IFERROR(__xludf.DUMMYFUNCTION("""COMPUTED_VALUE"""),"Alta")</f>
        <v>Alta</v>
      </c>
      <c r="K1303" s="25">
        <f ca="1">IFERROR(__xludf.DUMMYFUNCTION("""COMPUTED_VALUE"""),30)</f>
        <v>30</v>
      </c>
      <c r="L1303" s="62">
        <f ca="1">IFERROR(__xludf.DUMMYFUNCTION("""COMPUTED_VALUE"""),44741)</f>
        <v>44741</v>
      </c>
      <c r="M1303" s="25" t="str">
        <f ca="1">IFERROR(__xludf.DUMMYFUNCTION("""COMPUTED_VALUE"""),"* Se compartió a la UAESP, en el marco de la tercera Mesa Distrital de Entornos Educativos, la información de 102 puntos criticos que corresponden a sedes afectadas por 206 stuaciones asociadas a: contenedores que aumentan el volumen de residuos, aglomera"&amp;"ción de escombros y residuos sólidos en los entornos escolares. Se espera que de esta información se activen protocolos de atención por parte del sector.
*Se ha participado en dos espacios de articulación para abordar tema de riñas en entornos escolares "&amp;"contando con el apoyo de Despacho de Alcaldia Mayor, Secretaria Distrital de Seguridad, Convivencia y Justicia,  IDRD y Secretaria de Cultura.
")</f>
        <v xml:space="preserve">* Se compartió a la UAESP, en el marco de la tercera Mesa Distrital de Entornos Educativos, la información de 102 puntos criticos que corresponden a sedes afectadas por 206 stuaciones asociadas a: contenedores que aumentan el volumen de residuos, aglomeración de escombros y residuos sólidos en los entornos escolares. Se espera que de esta información se activen protocolos de atención por parte del sector.
*Se ha participado en dos espacios de articulación para abordar tema de riñas en entornos escolares contando con el apoyo de Despacho de Alcaldia Mayor, Secretaria Distrital de Seguridad, Convivencia y Justicia,  IDRD y Secretaria de Cultura.
</v>
      </c>
      <c r="N1303" s="55">
        <f ca="1">IFERROR(__xludf.DUMMYFUNCTION("""COMPUTED_VALUE"""),44927)</f>
        <v>44927</v>
      </c>
      <c r="O1303" s="25" t="str">
        <f t="shared" ca="1" si="0"/>
        <v>Secretaría de Educación del Distrito</v>
      </c>
      <c r="P1303" s="25" t="str">
        <f t="shared" si="2"/>
        <v/>
      </c>
      <c r="Q1303" s="25" t="str">
        <f ca="1">IFERROR(__xludf.DUMMYFUNCTION("""COMPUTED_VALUE"""),"Corto plazo")</f>
        <v>Corto plazo</v>
      </c>
      <c r="R1303" s="25"/>
      <c r="S1303" s="55"/>
      <c r="T1303" s="56"/>
      <c r="U1303" s="25"/>
      <c r="V1303" s="25"/>
      <c r="W1303" s="25"/>
      <c r="X1303" s="25"/>
      <c r="Y1303" s="25"/>
      <c r="Z1303" s="25"/>
    </row>
    <row r="1304" spans="1:26" ht="52.5" customHeight="1" x14ac:dyDescent="0.25">
      <c r="A1304" s="25" t="str">
        <f ca="1">IFERROR(__xludf.DUMMYFUNCTION("""COMPUTED_VALUE"""),"Educa102")</f>
        <v>Educa102</v>
      </c>
      <c r="B1304" s="25" t="str">
        <f ca="1">IFERROR(__xludf.DUMMYFUNCTION("""COMPUTED_VALUE"""),"Consejo de gobierno -Juntos cuidados  a los niños, niñas y jóvenes. ")</f>
        <v xml:space="preserve">Consejo de gobierno -Juntos cuidados  a los niños, niñas y jóvenes. </v>
      </c>
      <c r="C1304" s="55">
        <f ca="1">IFERROR(__xludf.DUMMYFUNCTION("""COMPUTED_VALUE"""),44656)</f>
        <v>44656</v>
      </c>
      <c r="D1304" s="25" t="str">
        <f ca="1">IFERROR(__xludf.DUMMYFUNCTION("""COMPUTED_VALUE"""),"Educación")</f>
        <v>Educación</v>
      </c>
      <c r="E1304" s="25" t="str">
        <f ca="1">IFERROR(__xludf.DUMMYFUNCTION("""COMPUTED_VALUE"""),"Secretaría de Educación del Distrito")</f>
        <v>Secretaría de Educación del Distrito</v>
      </c>
      <c r="F1304" s="25" t="str">
        <f ca="1">IFERROR(__xludf.DUMMYFUNCTION("""COMPUTED_VALUE"""),"Tema entornos escolares. Organizar el kit (más allá de movilidad) que deben tener los colegios para atender la situación. 
Ejemplo de Kit: 1 orientador mínimo dentro del colegio, cuadrilla, ruta escolar, un comité de padres, ambulancia RIOP, dupla psic"&amp;"ojurídica por cada X colegios.
")</f>
        <v xml:space="preserve">Tema entornos escolares. Organizar el kit (más allá de movilidad) que deben tener los colegios para atender la situación. 
Ejemplo de Kit: 1 orientador mínimo dentro del colegio, cuadrilla, ruta escolar, un comité de padres, ambulancia RIOP, dupla psicojurídica por cada X colegios.
</v>
      </c>
      <c r="G1304" s="25" t="str">
        <f ca="1">IFERROR(__xludf.DUMMYFUNCTION("""COMPUTED_VALUE"""),"99. Distrito")</f>
        <v>99. Distrito</v>
      </c>
      <c r="H1304" s="55">
        <f ca="1">IFERROR(__xludf.DUMMYFUNCTION("""COMPUTED_VALUE"""),44686)</f>
        <v>44686</v>
      </c>
      <c r="I1304" s="25"/>
      <c r="J1304" s="55" t="str">
        <f ca="1">IFERROR(__xludf.DUMMYFUNCTION("""COMPUTED_VALUE"""),"Alta")</f>
        <v>Alta</v>
      </c>
      <c r="K1304" s="25">
        <f ca="1">IFERROR(__xludf.DUMMYFUNCTION("""COMPUTED_VALUE"""),30)</f>
        <v>30</v>
      </c>
      <c r="L1304" s="62">
        <f ca="1">IFERROR(__xludf.DUMMYFUNCTION("""COMPUTED_VALUE"""),44741)</f>
        <v>44741</v>
      </c>
      <c r="M1304" s="25" t="str">
        <f ca="1">IFERROR(__xludf.DUMMYFUNCTION("""COMPUTED_VALUE"""),"Teniendo en cuenta que los elementos y por consiguiente los equipos que conforman el kit de entornos escolares ya estan en operación en las localidades de Bogotá, lo que se requiere para terminar de organizar el kit son elementos asociados a la ampliación"&amp;" de la capacidad del equipo humano para mejorar la oportunidad de respuesta y cobertura en el territorio; entre otros, los cuales dependen de la ampliación del recurso. Estas necesidades ya están identificadas desde un ejercicio de diálogo interno de los "&amp;"equipos de la Secretaría y se está a la espera de la destinación del recurso adicional. 
Se construyó la justificación técnica para la solicitud presupuestal para la contratación de 538 docentes orientadores, quienes acompañarán a las comunidades educati"&amp;"vas de la ciudad. Así mismo, se generó justificación técnica y presupuestal para el incremento de profesionales  de las estrategias RIO-P y ECO, con el fin de que cada localidad cuente con un equipo especializado de acompañamiento.
")</f>
        <v xml:space="preserve">Teniendo en cuenta que los elementos y por consiguiente los equipos que conforman el kit de entornos escolares ya estan en operación en las localidades de Bogotá, lo que se requiere para terminar de organizar el kit son elementos asociados a la ampliación de la capacidad del equipo humano para mejorar la oportunidad de respuesta y cobertura en el territorio; entre otros, los cuales dependen de la ampliación del recurso. Estas necesidades ya están identificadas desde un ejercicio de diálogo interno de los equipos de la Secretaría y se está a la espera de la destinación del recurso adicional. 
Se construyó la justificación técnica para la solicitud presupuestal para la contratación de 538 docentes orientadores, quienes acompañarán a las comunidades educativas de la ciudad. Así mismo, se generó justificación técnica y presupuestal para el incremento de profesionales  de las estrategias RIO-P y ECO, con el fin de que cada localidad cuente con un equipo especializado de acompañamiento.
</v>
      </c>
      <c r="N1304" s="55">
        <f ca="1">IFERROR(__xludf.DUMMYFUNCTION("""COMPUTED_VALUE"""),44927)</f>
        <v>44927</v>
      </c>
      <c r="O1304" s="25" t="str">
        <f t="shared" ca="1" si="0"/>
        <v>Secretaría de Educación del Distrito</v>
      </c>
      <c r="P1304" s="25" t="str">
        <f t="shared" si="2"/>
        <v/>
      </c>
      <c r="Q1304" s="25" t="str">
        <f ca="1">IFERROR(__xludf.DUMMYFUNCTION("""COMPUTED_VALUE"""),"Corto plazo")</f>
        <v>Corto plazo</v>
      </c>
      <c r="R1304" s="25"/>
      <c r="S1304" s="55"/>
      <c r="T1304" s="56"/>
      <c r="U1304" s="25"/>
      <c r="V1304" s="25"/>
      <c r="W1304" s="25"/>
      <c r="X1304" s="25"/>
      <c r="Y1304" s="25"/>
      <c r="Z1304" s="25"/>
    </row>
    <row r="1305" spans="1:26" ht="52.5" customHeight="1" x14ac:dyDescent="0.25">
      <c r="A1305" s="25" t="str">
        <f ca="1">IFERROR(__xludf.DUMMYFUNCTION("""COMPUTED_VALUE"""),"Educa103")</f>
        <v>Educa103</v>
      </c>
      <c r="B1305" s="25" t="str">
        <f ca="1">IFERROR(__xludf.DUMMYFUNCTION("""COMPUTED_VALUE"""),"Consejo de gobierno -Juntos cuidados  a los niños, niñas y jóvenes. ")</f>
        <v xml:space="preserve">Consejo de gobierno -Juntos cuidados  a los niños, niñas y jóvenes. </v>
      </c>
      <c r="C1305" s="55">
        <f ca="1">IFERROR(__xludf.DUMMYFUNCTION("""COMPUTED_VALUE"""),44656)</f>
        <v>44656</v>
      </c>
      <c r="D1305" s="25" t="str">
        <f ca="1">IFERROR(__xludf.DUMMYFUNCTION("""COMPUTED_VALUE"""),"Educación")</f>
        <v>Educación</v>
      </c>
      <c r="E1305" s="25" t="str">
        <f ca="1">IFERROR(__xludf.DUMMYFUNCTION("""COMPUTED_VALUE"""),"Secretaría de Educación del Distrito")</f>
        <v>Secretaría de Educación del Distrito</v>
      </c>
      <c r="F1305" s="25" t="str">
        <f ca="1">IFERROR(__xludf.DUMMYFUNCTION("""COMPUTED_VALUE"""),"Tema rutas escolares. Dar un subsidio en el corto plazo a las familias (pedir plata en cupo).")</f>
        <v>Tema rutas escolares. Dar un subsidio en el corto plazo a las familias (pedir plata en cupo).</v>
      </c>
      <c r="G1305" s="25" t="str">
        <f ca="1">IFERROR(__xludf.DUMMYFUNCTION("""COMPUTED_VALUE"""),"99. Distrito")</f>
        <v>99. Distrito</v>
      </c>
      <c r="H1305" s="55">
        <f ca="1">IFERROR(__xludf.DUMMYFUNCTION("""COMPUTED_VALUE"""),44686)</f>
        <v>44686</v>
      </c>
      <c r="I1305" s="25"/>
      <c r="J1305" s="55" t="str">
        <f ca="1">IFERROR(__xludf.DUMMYFUNCTION("""COMPUTED_VALUE"""),"Alta")</f>
        <v>Alta</v>
      </c>
      <c r="K1305" s="25">
        <f ca="1">IFERROR(__xludf.DUMMYFUNCTION("""COMPUTED_VALUE"""),30)</f>
        <v>30</v>
      </c>
      <c r="L1305" s="62">
        <f ca="1">IFERROR(__xludf.DUMMYFUNCTION("""COMPUTED_VALUE"""),44740)</f>
        <v>44740</v>
      </c>
      <c r="M1305" s="25" t="str">
        <f ca="1">IFERROR(__xludf.DUMMYFUNCTION("""COMPUTED_VALUE"""),"Con el objetivo de garantizar el acceso y permanencia de los estudiantes que están proyectados como beneficiarios de la modalidad de rutas escolares y que a la fecha no han podido ser transportados en los vehículos contratados por la SED, se asignó de for"&amp;"ma provisional el subsidio de transporte escolar con un carácter temporal desde el inicio del calendario académico hasta la fecha en la que se active la ruta escolar. Es así como, se emitieron las Resoluciones 0042 del 8 de abril de 2022, 0082 y 0083 del "&amp;"9 de mayo del 2022, “Por la cual se ordena el pago del subsidio de Transporte Escolar”. Mediante los nombrados actos administrativos se garantiza la entrega del beneficio a través de recargas de tarjetas inteligentes del Sistema Integrado de Transporte Pú"&amp;"blico (SITP) tu llave plus o colocación electrónica de dinero a través de una APP de la entidad financiera correspondiente.
A pesar de las dificultades con algunos transportadores por la disponibilidad de los vehículos, al realizar una comparación entre "&amp;"las vigencias 2021 y 2022, se observa un aumento de aproximadamente un 93% de beneficiarios por las diversas estrategias de movilidad escolar casa-colegio-casa (rutas, modalidades alternativas, subsidios de movilidad) pasando de 29.949 estudiantes benefic"&amp;"iarios en recorridos casa-colegio-casa en 2021 a 57.753 beneficiarios en 2022. De igual forma, en comparación con el 2020, antes de la pandemia, se pasó de 40.348 beneficiarios en 2020 a 57.753 en 2022 (aumento del 43%).")</f>
        <v>Con el objetivo de garantizar el acceso y permanencia de los estudiantes que están proyectados como beneficiarios de la modalidad de rutas escolares y que a la fecha no han podido ser transportados en los vehículos contratados por la SED, se asignó de forma provisional el subsidio de transporte escolar con un carácter temporal desde el inicio del calendario académico hasta la fecha en la que se active la ruta escolar. Es así como, se emitieron las Resoluciones 0042 del 8 de abril de 2022, 0082 y 0083 del 9 de mayo del 2022, “Por la cual se ordena el pago del subsidio de Transporte Escolar”. Mediante los nombrados actos administrativos se garantiza la entrega del beneficio a través de recargas de tarjetas inteligentes del Sistema Integrado de Transporte Público (SITP) tu llave plus o colocación electrónica de dinero a través de una APP de la entidad financiera correspondiente.
A pesar de las dificultades con algunos transportadores por la disponibilidad de los vehículos, al realizar una comparación entre las vigencias 2021 y 2022, se observa un aumento de aproximadamente un 93% de beneficiarios por las diversas estrategias de movilidad escolar casa-colegio-casa (rutas, modalidades alternativas, subsidios de movilidad) pasando de 29.949 estudiantes beneficiarios en recorridos casa-colegio-casa en 2021 a 57.753 beneficiarios en 2022. De igual forma, en comparación con el 2020, antes de la pandemia, se pasó de 40.348 beneficiarios en 2020 a 57.753 en 2022 (aumento del 43%).</v>
      </c>
      <c r="N1305" s="55">
        <f ca="1">IFERROR(__xludf.DUMMYFUNCTION("""COMPUTED_VALUE"""),44927)</f>
        <v>44927</v>
      </c>
      <c r="O1305" s="25" t="str">
        <f t="shared" ca="1" si="0"/>
        <v>Secretaría de Educación del Distrito</v>
      </c>
      <c r="P1305" s="25" t="str">
        <f t="shared" si="2"/>
        <v/>
      </c>
      <c r="Q1305" s="25" t="str">
        <f ca="1">IFERROR(__xludf.DUMMYFUNCTION("""COMPUTED_VALUE"""),"Corto plazo")</f>
        <v>Corto plazo</v>
      </c>
      <c r="R1305" s="25"/>
      <c r="S1305" s="55"/>
      <c r="T1305" s="56"/>
      <c r="U1305" s="25"/>
      <c r="V1305" s="25"/>
      <c r="W1305" s="25"/>
      <c r="X1305" s="25"/>
      <c r="Y1305" s="25"/>
      <c r="Z1305" s="25"/>
    </row>
    <row r="1306" spans="1:26" ht="52.5" customHeight="1" x14ac:dyDescent="0.25">
      <c r="A1306" s="25" t="str">
        <f ca="1">IFERROR(__xludf.DUMMYFUNCTION("""COMPUTED_VALUE"""),"Educa104")</f>
        <v>Educa104</v>
      </c>
      <c r="B1306" s="25" t="str">
        <f ca="1">IFERROR(__xludf.DUMMYFUNCTION("""COMPUTED_VALUE"""),"Consejo de gobierno -Juntos cuidados  a los niños, niñas y jóvenes. ")</f>
        <v xml:space="preserve">Consejo de gobierno -Juntos cuidados  a los niños, niñas y jóvenes. </v>
      </c>
      <c r="C1306" s="55">
        <f ca="1">IFERROR(__xludf.DUMMYFUNCTION("""COMPUTED_VALUE"""),44656)</f>
        <v>44656</v>
      </c>
      <c r="D1306" s="25" t="str">
        <f ca="1">IFERROR(__xludf.DUMMYFUNCTION("""COMPUTED_VALUE"""),"Educación")</f>
        <v>Educación</v>
      </c>
      <c r="E1306" s="25" t="str">
        <f ca="1">IFERROR(__xludf.DUMMYFUNCTION("""COMPUTED_VALUE"""),"Secretaría de Educación del Distrito")</f>
        <v>Secretaría de Educación del Distrito</v>
      </c>
      <c r="F1306" s="25" t="str">
        <f ca="1">IFERROR(__xludf.DUMMYFUNCTION("""COMPUTED_VALUE"""),"Tema rutas escolares. Considerar una flota escolar pública. ")</f>
        <v xml:space="preserve">Tema rutas escolares. Considerar una flota escolar pública. </v>
      </c>
      <c r="G1306" s="25" t="str">
        <f ca="1">IFERROR(__xludf.DUMMYFUNCTION("""COMPUTED_VALUE"""),"99. Distrito")</f>
        <v>99. Distrito</v>
      </c>
      <c r="H1306" s="55">
        <f ca="1">IFERROR(__xludf.DUMMYFUNCTION("""COMPUTED_VALUE"""),44686)</f>
        <v>44686</v>
      </c>
      <c r="I1306" s="25"/>
      <c r="J1306" s="55" t="str">
        <f ca="1">IFERROR(__xludf.DUMMYFUNCTION("""COMPUTED_VALUE"""),"Alta")</f>
        <v>Alta</v>
      </c>
      <c r="K1306" s="25">
        <f ca="1">IFERROR(__xludf.DUMMYFUNCTION("""COMPUTED_VALUE"""),30)</f>
        <v>30</v>
      </c>
      <c r="L1306" s="62">
        <f ca="1">IFERROR(__xludf.DUMMYFUNCTION("""COMPUTED_VALUE"""),44740)</f>
        <v>44740</v>
      </c>
      <c r="M1306" s="25" t="str">
        <f ca="1">IFERROR(__xludf.DUMMYFUNCTION("""COMPUTED_VALUE"""),"La SED está revisando la posibilidad de trabajar con la nueva  sociedad por acciones Operadora Distrital de Transporte, en la cual participa TransMilenio S.A., para implementar rutas escolares dando cumplimiento con las exigencias de la normatividad que r"&amp;"egula el sector del transporte escolar especial en el país, además de las adecuaciones técnico mecánicas, económicas, operativas y contractuales necesarias para adaptar el servicio público de transporte de la ciudad a las condiciones operativas, técnicas "&amp;" exigidas.")</f>
        <v>La SED está revisando la posibilidad de trabajar con la nueva  sociedad por acciones Operadora Distrital de Transporte, en la cual participa TransMilenio S.A., para implementar rutas escolares dando cumplimiento con las exigencias de la normatividad que regula el sector del transporte escolar especial en el país, además de las adecuaciones técnico mecánicas, económicas, operativas y contractuales necesarias para adaptar el servicio público de transporte de la ciudad a las condiciones operativas, técnicas  exigidas.</v>
      </c>
      <c r="N1306" s="55">
        <f ca="1">IFERROR(__xludf.DUMMYFUNCTION("""COMPUTED_VALUE"""),44927)</f>
        <v>44927</v>
      </c>
      <c r="O1306" s="25" t="str">
        <f t="shared" ca="1" si="0"/>
        <v>Secretaría de Educación del Distrito</v>
      </c>
      <c r="P1306" s="25" t="str">
        <f t="shared" si="2"/>
        <v/>
      </c>
      <c r="Q1306" s="25" t="str">
        <f ca="1">IFERROR(__xludf.DUMMYFUNCTION("""COMPUTED_VALUE"""),"Corto plazo")</f>
        <v>Corto plazo</v>
      </c>
      <c r="R1306" s="25"/>
      <c r="S1306" s="55"/>
      <c r="T1306" s="56"/>
      <c r="U1306" s="25"/>
      <c r="V1306" s="25"/>
      <c r="W1306" s="25"/>
      <c r="X1306" s="25"/>
      <c r="Y1306" s="25"/>
      <c r="Z1306" s="25"/>
    </row>
    <row r="1307" spans="1:26" ht="52.5" customHeight="1" x14ac:dyDescent="0.25">
      <c r="A1307" s="25" t="str">
        <f ca="1">IFERROR(__xludf.DUMMYFUNCTION("""COMPUTED_VALUE"""),"Educa105")</f>
        <v>Educa105</v>
      </c>
      <c r="B1307" s="25" t="str">
        <f ca="1">IFERROR(__xludf.DUMMYFUNCTION("""COMPUTED_VALUE"""),"Consejo de gobierno -Juntos cuidados  a los niños, niñas y jóvenes. ")</f>
        <v xml:space="preserve">Consejo de gobierno -Juntos cuidados  a los niños, niñas y jóvenes. </v>
      </c>
      <c r="C1307" s="55">
        <f ca="1">IFERROR(__xludf.DUMMYFUNCTION("""COMPUTED_VALUE"""),44656)</f>
        <v>44656</v>
      </c>
      <c r="D1307" s="25" t="str">
        <f ca="1">IFERROR(__xludf.DUMMYFUNCTION("""COMPUTED_VALUE"""),"Educación")</f>
        <v>Educación</v>
      </c>
      <c r="E1307" s="25" t="str">
        <f ca="1">IFERROR(__xludf.DUMMYFUNCTION("""COMPUTED_VALUE"""),"Secretaría de Educación del Distrito")</f>
        <v>Secretaría de Educación del Distrito</v>
      </c>
      <c r="F1307" s="25" t="str">
        <f ca="1">IFERROR(__xludf.DUMMYFUNCTION("""COMPUTED_VALUE"""),"Tema rutas escolares. Identificar el núcleo familiar de los niños y asegurar que los hermanos estén en el mismo colegio.")</f>
        <v>Tema rutas escolares. Identificar el núcleo familiar de los niños y asegurar que los hermanos estén en el mismo colegio.</v>
      </c>
      <c r="G1307" s="25" t="str">
        <f ca="1">IFERROR(__xludf.DUMMYFUNCTION("""COMPUTED_VALUE"""),"99. Distrito")</f>
        <v>99. Distrito</v>
      </c>
      <c r="H1307" s="55">
        <f ca="1">IFERROR(__xludf.DUMMYFUNCTION("""COMPUTED_VALUE"""),44686)</f>
        <v>44686</v>
      </c>
      <c r="I1307" s="25"/>
      <c r="J1307" s="55" t="str">
        <f ca="1">IFERROR(__xludf.DUMMYFUNCTION("""COMPUTED_VALUE"""),"Alta")</f>
        <v>Alta</v>
      </c>
      <c r="K1307" s="25">
        <f ca="1">IFERROR(__xludf.DUMMYFUNCTION("""COMPUTED_VALUE"""),30)</f>
        <v>30</v>
      </c>
      <c r="L1307" s="62">
        <f ca="1">IFERROR(__xludf.DUMMYFUNCTION("""COMPUTED_VALUE"""),44740)</f>
        <v>44740</v>
      </c>
      <c r="M1307" s="25" t="str">
        <f ca="1">IFERROR(__xludf.DUMMYFUNCTION("""COMPUTED_VALUE"""),"Actualmente, la unificación de hermanos  beneficiarios del Programa de Movilidad Escolar en la misma institución educativa distrital, cuyos estudiantes sean nuevos en el sistema educativo oficial de acuerdo con lo establecido en el artículo 24 numeral 2.6"&amp;" de la Resolución 1913 de 2021 y su modificatoria para el proceso de gestión de cobertura, cuentan como criterio de asignación directa para la priorización del beneficio.")</f>
        <v>Actualmente, la unificación de hermanos  beneficiarios del Programa de Movilidad Escolar en la misma institución educativa distrital, cuyos estudiantes sean nuevos en el sistema educativo oficial de acuerdo con lo establecido en el artículo 24 numeral 2.6 de la Resolución 1913 de 2021 y su modificatoria para el proceso de gestión de cobertura, cuentan como criterio de asignación directa para la priorización del beneficio.</v>
      </c>
      <c r="N1307" s="55">
        <f ca="1">IFERROR(__xludf.DUMMYFUNCTION("""COMPUTED_VALUE"""),44927)</f>
        <v>44927</v>
      </c>
      <c r="O1307" s="25" t="str">
        <f t="shared" ca="1" si="0"/>
        <v>Secretaría de Educación del Distrito</v>
      </c>
      <c r="P1307" s="25" t="str">
        <f t="shared" si="2"/>
        <v/>
      </c>
      <c r="Q1307" s="25" t="str">
        <f ca="1">IFERROR(__xludf.DUMMYFUNCTION("""COMPUTED_VALUE"""),"Corto plazo")</f>
        <v>Corto plazo</v>
      </c>
      <c r="R1307" s="25"/>
      <c r="S1307" s="55"/>
      <c r="T1307" s="56"/>
      <c r="U1307" s="25"/>
      <c r="V1307" s="25"/>
      <c r="W1307" s="25"/>
      <c r="X1307" s="25"/>
      <c r="Y1307" s="25"/>
      <c r="Z1307" s="25"/>
    </row>
    <row r="1308" spans="1:26" ht="52.5" customHeight="1" x14ac:dyDescent="0.25">
      <c r="A1308" s="25" t="str">
        <f ca="1">IFERROR(__xludf.DUMMYFUNCTION("""COMPUTED_VALUE"""),"Educa106")</f>
        <v>Educa106</v>
      </c>
      <c r="B1308" s="25" t="str">
        <f ca="1">IFERROR(__xludf.DUMMYFUNCTION("""COMPUTED_VALUE"""),"Consejo de gobierno -Juntos cuidados  a los niños, niñas y jóvenes. ")</f>
        <v xml:space="preserve">Consejo de gobierno -Juntos cuidados  a los niños, niñas y jóvenes. </v>
      </c>
      <c r="C1308" s="55">
        <f ca="1">IFERROR(__xludf.DUMMYFUNCTION("""COMPUTED_VALUE"""),44656)</f>
        <v>44656</v>
      </c>
      <c r="D1308" s="25" t="str">
        <f ca="1">IFERROR(__xludf.DUMMYFUNCTION("""COMPUTED_VALUE"""),"Educación")</f>
        <v>Educación</v>
      </c>
      <c r="E1308" s="25" t="str">
        <f ca="1">IFERROR(__xludf.DUMMYFUNCTION("""COMPUTED_VALUE"""),"Secretaría de Educación del Distrito")</f>
        <v>Secretaría de Educación del Distrito</v>
      </c>
      <c r="F1308" s="25" t="str">
        <f ca="1">IFERROR(__xludf.DUMMYFUNCTION("""COMPUTED_VALUE"""),"Tema rutas escolares. Revisar con la bolsa mercantil para poner el proyecto de rutas y tener más operadores que solo en Colombia Compra.")</f>
        <v>Tema rutas escolares. Revisar con la bolsa mercantil para poner el proyecto de rutas y tener más operadores que solo en Colombia Compra.</v>
      </c>
      <c r="G1308" s="25" t="str">
        <f ca="1">IFERROR(__xludf.DUMMYFUNCTION("""COMPUTED_VALUE"""),"99. Distrito")</f>
        <v>99. Distrito</v>
      </c>
      <c r="H1308" s="55">
        <f ca="1">IFERROR(__xludf.DUMMYFUNCTION("""COMPUTED_VALUE"""),44686)</f>
        <v>44686</v>
      </c>
      <c r="I1308" s="25"/>
      <c r="J1308" s="55" t="str">
        <f ca="1">IFERROR(__xludf.DUMMYFUNCTION("""COMPUTED_VALUE"""),"Alta")</f>
        <v>Alta</v>
      </c>
      <c r="K1308" s="25">
        <f ca="1">IFERROR(__xludf.DUMMYFUNCTION("""COMPUTED_VALUE"""),30)</f>
        <v>30</v>
      </c>
      <c r="L1308" s="62">
        <f ca="1">IFERROR(__xludf.DUMMYFUNCTION("""COMPUTED_VALUE"""),44740)</f>
        <v>44740</v>
      </c>
      <c r="M1308" s="25" t="str">
        <f ca="1">IFERROR(__xludf.DUMMYFUNCTION("""COMPUTED_VALUE"""),"En atención a la coyuntura presentada con la prestación del servicio de rutas escolares en el primer semestre del año,  se remitió comunicación y se sostuvieron reuniones con  Colombia Compra Eficiente (CCE), informando las Novedades presentadas en el pro"&amp;"ceso para la adquisición del servicio de transporte terrestre automotor especial de pasajeros CCE-285-AMP-2020. por lo tanto, y como la  normatividad obliga a la SED a contratar a través de este mecanismo, se adelantó contratación para el segundo semestre"&amp;" a través de este mecanismo y, al tiempo, como alternativa y contingencia, se adelanta la contratación de las rutas escolares a través de la Bolsa Mercantil de Colombia para aquellos segmentos en los que se presenten dificultades. Actualmente, se están ad"&amp;"elantando los estudios previos, el análisis del sector, el boletín técnico, la ficha técnica de producto y la carta de intención, con el fin de lograr la vinculación de nuevos operadores de rutas escolares a través de este último mecanismo.")</f>
        <v>En atención a la coyuntura presentada con la prestación del servicio de rutas escolares en el primer semestre del año,  se remitió comunicación y se sostuvieron reuniones con  Colombia Compra Eficiente (CCE), informando las Novedades presentadas en el proceso para la adquisición del servicio de transporte terrestre automotor especial de pasajeros CCE-285-AMP-2020. por lo tanto, y como la  normatividad obliga a la SED a contratar a través de este mecanismo, se adelantó contratación para el segundo semestre a través de este mecanismo y, al tiempo, como alternativa y contingencia, se adelanta la contratación de las rutas escolares a través de la Bolsa Mercantil de Colombia para aquellos segmentos en los que se presenten dificultades. Actualmente, se están adelantando los estudios previos, el análisis del sector, el boletín técnico, la ficha técnica de producto y la carta de intención, con el fin de lograr la vinculación de nuevos operadores de rutas escolares a través de este último mecanismo.</v>
      </c>
      <c r="N1308" s="55">
        <f ca="1">IFERROR(__xludf.DUMMYFUNCTION("""COMPUTED_VALUE"""),44927)</f>
        <v>44927</v>
      </c>
      <c r="O1308" s="25" t="str">
        <f t="shared" ca="1" si="0"/>
        <v>Secretaría de Educación del Distrito</v>
      </c>
      <c r="P1308" s="25" t="str">
        <f t="shared" si="2"/>
        <v/>
      </c>
      <c r="Q1308" s="25" t="str">
        <f ca="1">IFERROR(__xludf.DUMMYFUNCTION("""COMPUTED_VALUE"""),"Corto plazo")</f>
        <v>Corto plazo</v>
      </c>
      <c r="R1308" s="25"/>
      <c r="S1308" s="55"/>
      <c r="T1308" s="56"/>
      <c r="U1308" s="25"/>
      <c r="V1308" s="25"/>
      <c r="W1308" s="25"/>
      <c r="X1308" s="25"/>
      <c r="Y1308" s="25"/>
      <c r="Z1308" s="25"/>
    </row>
    <row r="1309" spans="1:26" ht="52.5" customHeight="1" x14ac:dyDescent="0.25">
      <c r="A1309" s="25" t="str">
        <f ca="1">IFERROR(__xludf.DUMMYFUNCTION("""COMPUTED_VALUE"""),"Educa107")</f>
        <v>Educa107</v>
      </c>
      <c r="B1309" s="25" t="str">
        <f ca="1">IFERROR(__xludf.DUMMYFUNCTION("""COMPUTED_VALUE"""),"Consejo de gobierno -Juntos cuidados  a los niños, niñas y jóvenes. ")</f>
        <v xml:space="preserve">Consejo de gobierno -Juntos cuidados  a los niños, niñas y jóvenes. </v>
      </c>
      <c r="C1309" s="55">
        <f ca="1">IFERROR(__xludf.DUMMYFUNCTION("""COMPUTED_VALUE"""),44656)</f>
        <v>44656</v>
      </c>
      <c r="D1309" s="25" t="str">
        <f ca="1">IFERROR(__xludf.DUMMYFUNCTION("""COMPUTED_VALUE"""),"Educación")</f>
        <v>Educación</v>
      </c>
      <c r="E1309" s="25" t="str">
        <f ca="1">IFERROR(__xludf.DUMMYFUNCTION("""COMPUTED_VALUE"""),"Secretaría de Educación del Distrito")</f>
        <v>Secretaría de Educación del Distrito</v>
      </c>
      <c r="F1309" s="25" t="str">
        <f ca="1">IFERROR(__xludf.DUMMYFUNCTION("""COMPUTED_VALUE"""),"Tener un equipo que revise la reforma del SGP, la actualización de bases y lo que esté pendiente de educación, cuando se inicie el proceso de plan de desarrollo y presupuesto nacional para incluir estos temas. Para este tema, acercarse a la misión de desc"&amp;"entralización y quien lidera en DNP, Daniel Escobar.")</f>
        <v>Tener un equipo que revise la reforma del SGP, la actualización de bases y lo que esté pendiente de educación, cuando se inicie el proceso de plan de desarrollo y presupuesto nacional para incluir estos temas. Para este tema, acercarse a la misión de descentralización y quien lidera en DNP, Daniel Escobar.</v>
      </c>
      <c r="G1309" s="25" t="str">
        <f ca="1">IFERROR(__xludf.DUMMYFUNCTION("""COMPUTED_VALUE"""),"99. Distrito")</f>
        <v>99. Distrito</v>
      </c>
      <c r="H1309" s="55">
        <f ca="1">IFERROR(__xludf.DUMMYFUNCTION("""COMPUTED_VALUE"""),44686)</f>
        <v>44686</v>
      </c>
      <c r="I1309" s="25"/>
      <c r="J1309" s="55" t="str">
        <f ca="1">IFERROR(__xludf.DUMMYFUNCTION("""COMPUTED_VALUE"""),"Alta")</f>
        <v>Alta</v>
      </c>
      <c r="K1309" s="25">
        <f ca="1">IFERROR(__xludf.DUMMYFUNCTION("""COMPUTED_VALUE"""),30)</f>
        <v>30</v>
      </c>
      <c r="L1309" s="62">
        <f ca="1">IFERROR(__xludf.DUMMYFUNCTION("""COMPUTED_VALUE"""),44735)</f>
        <v>44735</v>
      </c>
      <c r="M1309" s="25" t="str">
        <f ca="1">IFERROR(__xludf.DUMMYFUNCTION("""COMPUTED_VALUE"""),"La SED entregó la propuesta de modificación a la ley de SGP, en lo relacionado con educación.")</f>
        <v>La SED entregó la propuesta de modificación a la ley de SGP, en lo relacionado con educación.</v>
      </c>
      <c r="N1309" s="55">
        <f ca="1">IFERROR(__xludf.DUMMYFUNCTION("""COMPUTED_VALUE"""),44927)</f>
        <v>44927</v>
      </c>
      <c r="O1309" s="25" t="str">
        <f t="shared" ca="1" si="0"/>
        <v>Secretaría de Educación del Distrito</v>
      </c>
      <c r="P1309" s="25" t="str">
        <f t="shared" si="2"/>
        <v/>
      </c>
      <c r="Q1309" s="25" t="str">
        <f ca="1">IFERROR(__xludf.DUMMYFUNCTION("""COMPUTED_VALUE"""),"Corto plazo")</f>
        <v>Corto plazo</v>
      </c>
      <c r="R1309" s="25"/>
      <c r="S1309" s="55"/>
      <c r="T1309" s="56"/>
      <c r="U1309" s="25"/>
      <c r="V1309" s="25"/>
      <c r="W1309" s="25"/>
      <c r="X1309" s="25"/>
      <c r="Y1309" s="25"/>
      <c r="Z1309" s="25"/>
    </row>
    <row r="1310" spans="1:26" ht="52.5" customHeight="1" x14ac:dyDescent="0.25">
      <c r="A1310" s="25" t="str">
        <f ca="1">IFERROR(__xludf.DUMMYFUNCTION("""COMPUTED_VALUE"""),"Educa108")</f>
        <v>Educa108</v>
      </c>
      <c r="B1310" s="25" t="str">
        <f ca="1">IFERROR(__xludf.DUMMYFUNCTION("""COMPUTED_VALUE"""),"Consejo de gobierno -Juntos cuidados  a los niños, niñas y jóvenes. ")</f>
        <v xml:space="preserve">Consejo de gobierno -Juntos cuidados  a los niños, niñas y jóvenes. </v>
      </c>
      <c r="C1310" s="55">
        <f ca="1">IFERROR(__xludf.DUMMYFUNCTION("""COMPUTED_VALUE"""),44656)</f>
        <v>44656</v>
      </c>
      <c r="D1310" s="25" t="str">
        <f ca="1">IFERROR(__xludf.DUMMYFUNCTION("""COMPUTED_VALUE"""),"Educación")</f>
        <v>Educación</v>
      </c>
      <c r="E1310" s="25" t="str">
        <f ca="1">IFERROR(__xludf.DUMMYFUNCTION("""COMPUTED_VALUE"""),"Secretaría de Educación del Distrito")</f>
        <v>Secretaría de Educación del Distrito</v>
      </c>
      <c r="F1310" s="25" t="str">
        <f ca="1">IFERROR(__xludf.DUMMYFUNCTION("""COMPUTED_VALUE"""),"Involucrar a los jóvenes de los consejos de juventud en todo lo que se piensa hacer con los jóvenes.")</f>
        <v>Involucrar a los jóvenes de los consejos de juventud en todo lo que se piensa hacer con los jóvenes.</v>
      </c>
      <c r="G1310" s="25" t="str">
        <f ca="1">IFERROR(__xludf.DUMMYFUNCTION("""COMPUTED_VALUE"""),"99. Distrito")</f>
        <v>99. Distrito</v>
      </c>
      <c r="H1310" s="55">
        <f ca="1">IFERROR(__xludf.DUMMYFUNCTION("""COMPUTED_VALUE"""),44686)</f>
        <v>44686</v>
      </c>
      <c r="I1310" s="25"/>
      <c r="J1310" s="55" t="str">
        <f ca="1">IFERROR(__xludf.DUMMYFUNCTION("""COMPUTED_VALUE"""),"Alta")</f>
        <v>Alta</v>
      </c>
      <c r="K1310" s="25">
        <f ca="1">IFERROR(__xludf.DUMMYFUNCTION("""COMPUTED_VALUE"""),30)</f>
        <v>30</v>
      </c>
      <c r="L1310" s="62">
        <f ca="1">IFERROR(__xludf.DUMMYFUNCTION("""COMPUTED_VALUE"""),44741)</f>
        <v>44741</v>
      </c>
      <c r="M1310" s="25" t="str">
        <f ca="1">IFERROR(__xludf.DUMMYFUNCTION("""COMPUTED_VALUE"""),"En coordinación con la Secretaría Distrital de Gobierno, se llevó a cabo un diálogo entre la secretaria de educación y las os) consejeros(as) locales de juventud el 7 de junio en el auditorio del Planetario Distrital en donde las y los consejeros expresar"&amp;"on sus ideas, propuestas y retos en torno a tres temas:
1. Educación Superior.
2. Salud mental y educación socioemocional.
3. Articulación escuela – consejeros y consejeras locales de juventud.
A partir de los anterior, se acordó que las(os) consejeros "&amp;"tendrían planes de trabajo que se socializarían para determinar el nivel de articulación, de igual forma, se enviaría información sobre la oferta de la Secretaría de Educación con oportunidad para que pueda ser distribuida a nivel local, usando varios mec"&amp;"anismos de información y comunicación. Se realizará una reunión de seguimiento a los compromisos y plan de trabajo.
")</f>
        <v xml:space="preserve">En coordinación con la Secretaría Distrital de Gobierno, se llevó a cabo un diálogo entre la secretaria de educación y las os) consejeros(as) locales de juventud el 7 de junio en el auditorio del Planetario Distrital en donde las y los consejeros expresaron sus ideas, propuestas y retos en torno a tres temas:
1. Educación Superior.
2. Salud mental y educación socioemocional.
3. Articulación escuela – consejeros y consejeras locales de juventud.
A partir de los anterior, se acordó que las(os) consejeros tendrían planes de trabajo que se socializarían para determinar el nivel de articulación, de igual forma, se enviaría información sobre la oferta de la Secretaría de Educación con oportunidad para que pueda ser distribuida a nivel local, usando varios mecanismos de información y comunicación. Se realizará una reunión de seguimiento a los compromisos y plan de trabajo.
</v>
      </c>
      <c r="N1310" s="55">
        <f ca="1">IFERROR(__xludf.DUMMYFUNCTION("""COMPUTED_VALUE"""),44927)</f>
        <v>44927</v>
      </c>
      <c r="O1310" s="25" t="str">
        <f t="shared" ca="1" si="0"/>
        <v>Secretaría de Educación del Distrito</v>
      </c>
      <c r="P1310" s="25" t="str">
        <f t="shared" si="2"/>
        <v/>
      </c>
      <c r="Q1310" s="25" t="str">
        <f ca="1">IFERROR(__xludf.DUMMYFUNCTION("""COMPUTED_VALUE"""),"Corto plazo")</f>
        <v>Corto plazo</v>
      </c>
      <c r="R1310" s="25"/>
      <c r="S1310" s="55"/>
      <c r="T1310" s="56"/>
      <c r="U1310" s="25"/>
      <c r="V1310" s="25"/>
      <c r="W1310" s="25"/>
      <c r="X1310" s="25"/>
      <c r="Y1310" s="25"/>
      <c r="Z1310" s="25"/>
    </row>
    <row r="1311" spans="1:26" ht="52.5" customHeight="1" x14ac:dyDescent="0.25">
      <c r="A1311" s="25" t="str">
        <f ca="1">IFERROR(__xludf.DUMMYFUNCTION("""COMPUTED_VALUE"""),"Educa109")</f>
        <v>Educa109</v>
      </c>
      <c r="B1311" s="25" t="str">
        <f ca="1">IFERROR(__xludf.DUMMYFUNCTION("""COMPUTED_VALUE"""),"Consejo de gobierno -Juntos cuidados  a los niños, niñas y jóvenes. ")</f>
        <v xml:space="preserve">Consejo de gobierno -Juntos cuidados  a los niños, niñas y jóvenes. </v>
      </c>
      <c r="C1311" s="55">
        <f ca="1">IFERROR(__xludf.DUMMYFUNCTION("""COMPUTED_VALUE"""),44656)</f>
        <v>44656</v>
      </c>
      <c r="D1311" s="25" t="str">
        <f ca="1">IFERROR(__xludf.DUMMYFUNCTION("""COMPUTED_VALUE"""),"Educación")</f>
        <v>Educación</v>
      </c>
      <c r="E1311" s="25" t="str">
        <f ca="1">IFERROR(__xludf.DUMMYFUNCTION("""COMPUTED_VALUE"""),"Secretaría de Educación del Distrito")</f>
        <v>Secretaría de Educación del Distrito</v>
      </c>
      <c r="F1311" s="25" t="str">
        <f ca="1">IFERROR(__xludf.DUMMYFUNCTION("""COMPUTED_VALUE"""),"Convocatoria de Jóvenes a la U debe tener un capítulo que sea “Todos a la U” sin límite de edad.")</f>
        <v>Convocatoria de Jóvenes a la U debe tener un capítulo que sea “Todos a la U” sin límite de edad.</v>
      </c>
      <c r="G1311" s="25" t="str">
        <f ca="1">IFERROR(__xludf.DUMMYFUNCTION("""COMPUTED_VALUE"""),"99. Distrito")</f>
        <v>99. Distrito</v>
      </c>
      <c r="H1311" s="55">
        <f ca="1">IFERROR(__xludf.DUMMYFUNCTION("""COMPUTED_VALUE"""),44686)</f>
        <v>44686</v>
      </c>
      <c r="I1311" s="25"/>
      <c r="J1311" s="55" t="str">
        <f ca="1">IFERROR(__xludf.DUMMYFUNCTION("""COMPUTED_VALUE"""),"Alta")</f>
        <v>Alta</v>
      </c>
      <c r="K1311" s="25">
        <f ca="1">IFERROR(__xludf.DUMMYFUNCTION("""COMPUTED_VALUE"""),30)</f>
        <v>30</v>
      </c>
      <c r="L1311" s="62">
        <f ca="1">IFERROR(__xludf.DUMMYFUNCTION("""COMPUTED_VALUE"""),44741)</f>
        <v>44741</v>
      </c>
      <c r="M1311" s="25" t="str">
        <f ca="1">IFERROR(__xludf.DUMMYFUNCTION("""COMPUTED_VALUE"""),"Se analizará el mecanismo y las características para incorporar una línea de acceso a Educación Superior que incluya otras edades de los beneficiarios.")</f>
        <v>Se analizará el mecanismo y las características para incorporar una línea de acceso a Educación Superior que incluya otras edades de los beneficiarios.</v>
      </c>
      <c r="N1311" s="55">
        <f ca="1">IFERROR(__xludf.DUMMYFUNCTION("""COMPUTED_VALUE"""),44927)</f>
        <v>44927</v>
      </c>
      <c r="O1311" s="25" t="str">
        <f t="shared" ca="1" si="0"/>
        <v>Secretaría de Educación del Distrito</v>
      </c>
      <c r="P1311" s="25" t="str">
        <f t="shared" si="2"/>
        <v/>
      </c>
      <c r="Q1311" s="25" t="str">
        <f ca="1">IFERROR(__xludf.DUMMYFUNCTION("""COMPUTED_VALUE"""),"Corto plazo")</f>
        <v>Corto plazo</v>
      </c>
      <c r="R1311" s="25"/>
      <c r="S1311" s="55"/>
      <c r="T1311" s="56"/>
      <c r="U1311" s="25"/>
      <c r="V1311" s="25"/>
      <c r="W1311" s="25"/>
      <c r="X1311" s="25"/>
      <c r="Y1311" s="25"/>
      <c r="Z1311" s="25"/>
    </row>
    <row r="1312" spans="1:26" ht="52.5" customHeight="1" x14ac:dyDescent="0.25">
      <c r="A1312" s="25" t="str">
        <f ca="1">IFERROR(__xludf.DUMMYFUNCTION("""COMPUTED_VALUE"""),"Educa110")</f>
        <v>Educa110</v>
      </c>
      <c r="B1312" s="25" t="str">
        <f ca="1">IFERROR(__xludf.DUMMYFUNCTION("""COMPUTED_VALUE"""),"Consejo de gobierno -Juntos cuidados  a los niños, niñas y jóvenes. ")</f>
        <v xml:space="preserve">Consejo de gobierno -Juntos cuidados  a los niños, niñas y jóvenes. </v>
      </c>
      <c r="C1312" s="55">
        <f ca="1">IFERROR(__xludf.DUMMYFUNCTION("""COMPUTED_VALUE"""),44656)</f>
        <v>44656</v>
      </c>
      <c r="D1312" s="25" t="str">
        <f ca="1">IFERROR(__xludf.DUMMYFUNCTION("""COMPUTED_VALUE"""),"Educación")</f>
        <v>Educación</v>
      </c>
      <c r="E1312" s="25" t="str">
        <f ca="1">IFERROR(__xludf.DUMMYFUNCTION("""COMPUTED_VALUE"""),"Secretaría de Educación del Distrito")</f>
        <v>Secretaría de Educación del Distrito</v>
      </c>
      <c r="F1312" s="25" t="str">
        <f ca="1">IFERROR(__xludf.DUMMYFUNCTION("""COMPUTED_VALUE"""),"De los 25.000 niños y niñas que no están matriculados, buscarlos en IMG para saber si a esos hogares se les da algo y condicionarlos a que deben matricularse para recibir la ayuda.")</f>
        <v>De los 25.000 niños y niñas que no están matriculados, buscarlos en IMG para saber si a esos hogares se les da algo y condicionarlos a que deben matricularse para recibir la ayuda.</v>
      </c>
      <c r="G1312" s="25" t="str">
        <f ca="1">IFERROR(__xludf.DUMMYFUNCTION("""COMPUTED_VALUE"""),"99. Distrito")</f>
        <v>99. Distrito</v>
      </c>
      <c r="H1312" s="55">
        <f ca="1">IFERROR(__xludf.DUMMYFUNCTION("""COMPUTED_VALUE"""),44686)</f>
        <v>44686</v>
      </c>
      <c r="I1312" s="25"/>
      <c r="J1312" s="55" t="str">
        <f ca="1">IFERROR(__xludf.DUMMYFUNCTION("""COMPUTED_VALUE"""),"Alta")</f>
        <v>Alta</v>
      </c>
      <c r="K1312" s="25">
        <f ca="1">IFERROR(__xludf.DUMMYFUNCTION("""COMPUTED_VALUE"""),30)</f>
        <v>30</v>
      </c>
      <c r="L1312" s="62">
        <f ca="1">IFERROR(__xludf.DUMMYFUNCTION("""COMPUTED_VALUE"""),44740)</f>
        <v>44740</v>
      </c>
      <c r="M1312" s="25" t="str">
        <f ca="1">IFERROR(__xludf.DUMMYFUNCTION("""COMPUTED_VALUE"""),"Es preciso indicar que, la presente administración tiene como meta vincular a 13.866 personas que se encuentren por fuera del sistema educativo. Es así como a inicios del mes de marzo de 2022 se reinició la estrategia de Búsqueda Activa de población deses"&amp;"colarizada “123 de regreso al cole otra vez”, una iniciativa con la que se identifica y caracteriza a las niñas, niños, adolescentes jóvenes y personas adultas que no están estudiando actualmente o que están en riesgo de deserción. Entre 2020 y 2021 y a p"&amp;"esar de la pandemia, Bogotá logró que 4.926 niños, niñas y jóvenes que estaban desescolarizados volvieran a estudiar. Durante estos dos años, se realizaron recorridos barriales y de búsqueda “casa a casa”, al tiempo que se implementó la estrategia de cont"&amp;"acto telefónico. Para la actual vigencia, al mes de mayo de 2022 se ha logrado vincular al sistema educativo a 2.633 personas.")</f>
        <v>Es preciso indicar que, la presente administración tiene como meta vincular a 13.866 personas que se encuentren por fuera del sistema educativo. Es así como a inicios del mes de marzo de 2022 se reinició la estrategia de Búsqueda Activa de población desescolarizada “123 de regreso al cole otra vez”, una iniciativa con la que se identifica y caracteriza a las niñas, niños, adolescentes jóvenes y personas adultas que no están estudiando actualmente o que están en riesgo de deserción. Entre 2020 y 2021 y a pesar de la pandemia, Bogotá logró que 4.926 niños, niñas y jóvenes que estaban desescolarizados volvieran a estudiar. Durante estos dos años, se realizaron recorridos barriales y de búsqueda “casa a casa”, al tiempo que se implementó la estrategia de contacto telefónico. Para la actual vigencia, al mes de mayo de 2022 se ha logrado vincular al sistema educativo a 2.633 personas.</v>
      </c>
      <c r="N1312" s="55">
        <f ca="1">IFERROR(__xludf.DUMMYFUNCTION("""COMPUTED_VALUE"""),44927)</f>
        <v>44927</v>
      </c>
      <c r="O1312" s="25" t="str">
        <f t="shared" ca="1" si="0"/>
        <v>Secretaría de Educación del Distrito</v>
      </c>
      <c r="P1312" s="25" t="str">
        <f t="shared" si="2"/>
        <v/>
      </c>
      <c r="Q1312" s="25" t="str">
        <f ca="1">IFERROR(__xludf.DUMMYFUNCTION("""COMPUTED_VALUE"""),"Corto plazo")</f>
        <v>Corto plazo</v>
      </c>
      <c r="R1312" s="25"/>
      <c r="S1312" s="55"/>
      <c r="T1312" s="56"/>
      <c r="U1312" s="25"/>
      <c r="V1312" s="25"/>
      <c r="W1312" s="25"/>
      <c r="X1312" s="25"/>
      <c r="Y1312" s="25"/>
      <c r="Z1312" s="25"/>
    </row>
    <row r="1313" spans="1:26" ht="52.5" customHeight="1" x14ac:dyDescent="0.25">
      <c r="A1313" s="25" t="str">
        <f ca="1">IFERROR(__xludf.DUMMYFUNCTION("""COMPUTED_VALUE"""),"Educa111")</f>
        <v>Educa111</v>
      </c>
      <c r="B1313" s="25" t="str">
        <f ca="1">IFERROR(__xludf.DUMMYFUNCTION("""COMPUTED_VALUE"""),"Consejo de gobierno -Juntos cuidados  a los niños, niñas y jóvenes. ")</f>
        <v xml:space="preserve">Consejo de gobierno -Juntos cuidados  a los niños, niñas y jóvenes. </v>
      </c>
      <c r="C1313" s="55">
        <f ca="1">IFERROR(__xludf.DUMMYFUNCTION("""COMPUTED_VALUE"""),44656)</f>
        <v>44656</v>
      </c>
      <c r="D1313" s="25" t="str">
        <f ca="1">IFERROR(__xludf.DUMMYFUNCTION("""COMPUTED_VALUE"""),"Educación")</f>
        <v>Educación</v>
      </c>
      <c r="E1313" s="25" t="str">
        <f ca="1">IFERROR(__xludf.DUMMYFUNCTION("""COMPUTED_VALUE"""),"Secretaría de Educación del Distrito")</f>
        <v>Secretaría de Educación del Distrito</v>
      </c>
      <c r="F1313" s="25" t="str">
        <f ca="1">IFERROR(__xludf.DUMMYFUNCTION("""COMPUTED_VALUE"""),"Necesidades de cupo nuevo. Revisar cuánto se requiere de recursos y en cuántos colegios para incluir lo siguiente: 1. Reverdecimiento interno (árboles, jardines); 2. Manejo de lluvias para su reutilización; 3. Manejo de residuos; 4. Huertas; 5. Biciparque"&amp;"aderos y bicicletas.")</f>
        <v>Necesidades de cupo nuevo. Revisar cuánto se requiere de recursos y en cuántos colegios para incluir lo siguiente: 1. Reverdecimiento interno (árboles, jardines); 2. Manejo de lluvias para su reutilización; 3. Manejo de residuos; 4. Huertas; 5. Biciparqueaderos y bicicletas.</v>
      </c>
      <c r="G1313" s="25" t="str">
        <f ca="1">IFERROR(__xludf.DUMMYFUNCTION("""COMPUTED_VALUE"""),"99. Distrito")</f>
        <v>99. Distrito</v>
      </c>
      <c r="H1313" s="55">
        <f ca="1">IFERROR(__xludf.DUMMYFUNCTION("""COMPUTED_VALUE"""),44686)</f>
        <v>44686</v>
      </c>
      <c r="I1313" s="25"/>
      <c r="J1313" s="55" t="str">
        <f ca="1">IFERROR(__xludf.DUMMYFUNCTION("""COMPUTED_VALUE"""),"Alta")</f>
        <v>Alta</v>
      </c>
      <c r="K1313" s="25">
        <f ca="1">IFERROR(__xludf.DUMMYFUNCTION("""COMPUTED_VALUE"""),30)</f>
        <v>30</v>
      </c>
      <c r="L1313" s="62">
        <f ca="1">IFERROR(__xludf.DUMMYFUNCTION("""COMPUTED_VALUE"""),44727)</f>
        <v>44727</v>
      </c>
      <c r="M1313" s="25" t="str">
        <f ca="1">IFERROR(__xludf.DUMMYFUNCTION("""COMPUTED_VALUE"""),"Se solicitaron recursos para los (26) colegios nuevos y/o restituciones ubicados en los diferentes localidades de la ciudad, los cuales fueron aprobados mediante Acuerdo 840 de junio 13 de 2022. Como parte de la estrategia los diseños contemplan paisajism"&amp;"o, energías alternativas, reuso de aguas y biciparqueaderos.")</f>
        <v>Se solicitaron recursos para los (26) colegios nuevos y/o restituciones ubicados en los diferentes localidades de la ciudad, los cuales fueron aprobados mediante Acuerdo 840 de junio 13 de 2022. Como parte de la estrategia los diseños contemplan paisajismo, energías alternativas, reuso de aguas y biciparqueaderos.</v>
      </c>
      <c r="N1313" s="55">
        <f ca="1">IFERROR(__xludf.DUMMYFUNCTION("""COMPUTED_VALUE"""),44927)</f>
        <v>44927</v>
      </c>
      <c r="O1313" s="25" t="str">
        <f t="shared" ca="1" si="0"/>
        <v>Secretaría de Educación del Distrito</v>
      </c>
      <c r="P1313" s="25" t="str">
        <f t="shared" si="2"/>
        <v/>
      </c>
      <c r="Q1313" s="25" t="str">
        <f ca="1">IFERROR(__xludf.DUMMYFUNCTION("""COMPUTED_VALUE"""),"Corto plazo")</f>
        <v>Corto plazo</v>
      </c>
      <c r="R1313" s="25"/>
      <c r="S1313" s="55"/>
      <c r="T1313" s="56"/>
      <c r="U1313" s="25"/>
      <c r="V1313" s="25"/>
      <c r="W1313" s="25"/>
      <c r="X1313" s="25"/>
      <c r="Y1313" s="25"/>
      <c r="Z1313" s="25"/>
    </row>
    <row r="1314" spans="1:26" ht="52.5" customHeight="1" x14ac:dyDescent="0.25">
      <c r="A1314" s="25" t="str">
        <f ca="1">IFERROR(__xludf.DUMMYFUNCTION("""COMPUTED_VALUE"""),"Educa112")</f>
        <v>Educa112</v>
      </c>
      <c r="B1314" s="25" t="str">
        <f ca="1">IFERROR(__xludf.DUMMYFUNCTION("""COMPUTED_VALUE"""),"Consejo Distrital de Política Social")</f>
        <v>Consejo Distrital de Política Social</v>
      </c>
      <c r="C1314" s="55">
        <f ca="1">IFERROR(__xludf.DUMMYFUNCTION("""COMPUTED_VALUE"""),44685)</f>
        <v>44685</v>
      </c>
      <c r="D1314" s="25" t="str">
        <f ca="1">IFERROR(__xludf.DUMMYFUNCTION("""COMPUTED_VALUE"""),"Educación")</f>
        <v>Educación</v>
      </c>
      <c r="E1314" s="25" t="str">
        <f ca="1">IFERROR(__xludf.DUMMYFUNCTION("""COMPUTED_VALUE"""),"Secretaría de Educación del Distrito")</f>
        <v>Secretaría de Educación del Distrito</v>
      </c>
      <c r="F1314" s="25" t="str">
        <f ca="1">IFERROR(__xludf.DUMMYFUNCTION("""COMPUTED_VALUE"""),"Hacer una sesión de todos los consejeros locales de juventud, con el equipo RIO SED y con el equipo de Salud Mental de la SDS e invitar a la red de salud mental de otras instituciones.")</f>
        <v>Hacer una sesión de todos los consejeros locales de juventud, con el equipo RIO SED y con el equipo de Salud Mental de la SDS e invitar a la red de salud mental de otras instituciones.</v>
      </c>
      <c r="G1314" s="25" t="str">
        <f ca="1">IFERROR(__xludf.DUMMYFUNCTION("""COMPUTED_VALUE"""),"99. Distrito")</f>
        <v>99. Distrito</v>
      </c>
      <c r="H1314" s="55">
        <f ca="1">IFERROR(__xludf.DUMMYFUNCTION("""COMPUTED_VALUE"""),44715)</f>
        <v>44715</v>
      </c>
      <c r="I1314" s="25"/>
      <c r="J1314" s="55" t="str">
        <f ca="1">IFERROR(__xludf.DUMMYFUNCTION("""COMPUTED_VALUE"""),"Alta")</f>
        <v>Alta</v>
      </c>
      <c r="K1314" s="25">
        <f ca="1">IFERROR(__xludf.DUMMYFUNCTION("""COMPUTED_VALUE"""),30)</f>
        <v>30</v>
      </c>
      <c r="L1314" s="62">
        <f ca="1">IFERROR(__xludf.DUMMYFUNCTION("""COMPUTED_VALUE"""),44741)</f>
        <v>44741</v>
      </c>
      <c r="M1314" s="25" t="str">
        <f ca="1">IFERROR(__xludf.DUMMYFUNCTION("""COMPUTED_VALUE"""),"El 7 de junio se llevó a cabo una reunión en la que los consejeros Locales de Juventud expresaron las necesidades de los jóvenes en materia de salud mental en el sector educativo, en lo referente a:
• Priorización de acciones en salud mental para docente"&amp;"s, orientadores y jóvenes.
• Revisión de procesos que aborden cátedras de género aportando a la igualdad.
• Abordar discriminación y sexualización como temas prioritarios dentro de las instituciones educativas.
• Seguimiento a conducta suicida.
• Garantiz"&amp;"ar el desarrollo de capacidades socioemocionales en los jóvenes.
• Adaptar los procesos de educación sexual a las realidades de los jóvenes.
Se presentaron las acciones adelantadas por la Secretaría de Educación en esta materia y se acordó una reunión pa"&amp;"ra profundizar en estos temas, la cual se planea para el tercer trimestre del año en conjunto con la Secretaría de Gobierno.")</f>
        <v>El 7 de junio se llevó a cabo una reunión en la que los consejeros Locales de Juventud expresaron las necesidades de los jóvenes en materia de salud mental en el sector educativo, en lo referente a:
• Priorización de acciones en salud mental para docentes, orientadores y jóvenes.
• Revisión de procesos que aborden cátedras de género aportando a la igualdad.
• Abordar discriminación y sexualización como temas prioritarios dentro de las instituciones educativas.
• Seguimiento a conducta suicida.
• Garantizar el desarrollo de capacidades socioemocionales en los jóvenes.
• Adaptar los procesos de educación sexual a las realidades de los jóvenes.
Se presentaron las acciones adelantadas por la Secretaría de Educación en esta materia y se acordó una reunión para profundizar en estos temas, la cual se planea para el tercer trimestre del año en conjunto con la Secretaría de Gobierno.</v>
      </c>
      <c r="N1314" s="55">
        <f ca="1">IFERROR(__xludf.DUMMYFUNCTION("""COMPUTED_VALUE"""),44927)</f>
        <v>44927</v>
      </c>
      <c r="O1314" s="25" t="str">
        <f t="shared" ca="1" si="0"/>
        <v>Secretaría de Educación del Distrito</v>
      </c>
      <c r="P1314" s="25" t="str">
        <f t="shared" si="2"/>
        <v/>
      </c>
      <c r="Q1314" s="25" t="str">
        <f ca="1">IFERROR(__xludf.DUMMYFUNCTION("""COMPUTED_VALUE"""),"Corto plazo")</f>
        <v>Corto plazo</v>
      </c>
      <c r="R1314" s="25"/>
      <c r="S1314" s="55"/>
      <c r="T1314" s="56"/>
      <c r="U1314" s="25"/>
      <c r="V1314" s="25"/>
      <c r="W1314" s="25"/>
      <c r="X1314" s="25"/>
      <c r="Y1314" s="25"/>
      <c r="Z1314" s="25"/>
    </row>
    <row r="1315" spans="1:26" ht="52.5" customHeight="1" x14ac:dyDescent="0.25">
      <c r="A1315" s="25" t="str">
        <f ca="1">IFERROR(__xludf.DUMMYFUNCTION("""COMPUTED_VALUE"""),"Educa113")</f>
        <v>Educa113</v>
      </c>
      <c r="B1315" s="25" t="str">
        <f ca="1">IFERROR(__xludf.DUMMYFUNCTION("""COMPUTED_VALUE"""),"Junta de infraestructura")</f>
        <v>Junta de infraestructura</v>
      </c>
      <c r="C1315" s="55">
        <f ca="1">IFERROR(__xludf.DUMMYFUNCTION("""COMPUTED_VALUE"""),44704)</f>
        <v>44704</v>
      </c>
      <c r="D1315" s="25" t="str">
        <f ca="1">IFERROR(__xludf.DUMMYFUNCTION("""COMPUTED_VALUE"""),"Educación")</f>
        <v>Educación</v>
      </c>
      <c r="E1315" s="25" t="str">
        <f ca="1">IFERROR(__xludf.DUMMYFUNCTION("""COMPUTED_VALUE"""),"Secretaría de Educación del Distrito")</f>
        <v>Secretaría de Educación del Distrito</v>
      </c>
      <c r="F1315" s="25" t="str">
        <f ca="1">IFERROR(__xludf.DUMMYFUNCTION("""COMPUTED_VALUE"""),"Revisar con IDU y Jardín Botánico que obras de urbanismo se pueden realizar alrededor de la sede de la U Distrital en Ciudad Bolívar")</f>
        <v>Revisar con IDU y Jardín Botánico que obras de urbanismo se pueden realizar alrededor de la sede de la U Distrital en Ciudad Bolívar</v>
      </c>
      <c r="G1315" s="25" t="str">
        <f ca="1">IFERROR(__xludf.DUMMYFUNCTION("""COMPUTED_VALUE"""),"19. Ciudad Bolívar")</f>
        <v>19. Ciudad Bolívar</v>
      </c>
      <c r="H1315" s="55">
        <f ca="1">IFERROR(__xludf.DUMMYFUNCTION("""COMPUTED_VALUE"""),44734)</f>
        <v>44734</v>
      </c>
      <c r="I1315" s="25"/>
      <c r="J1315" s="55" t="str">
        <f ca="1">IFERROR(__xludf.DUMMYFUNCTION("""COMPUTED_VALUE"""),"Alta")</f>
        <v>Alta</v>
      </c>
      <c r="K1315" s="25">
        <f ca="1">IFERROR(__xludf.DUMMYFUNCTION("""COMPUTED_VALUE"""),30)</f>
        <v>30</v>
      </c>
      <c r="L1315" s="62">
        <f ca="1">IFERROR(__xludf.DUMMYFUNCTION("""COMPUTED_VALUE"""),44753)</f>
        <v>44753</v>
      </c>
      <c r="M1315" s="25" t="str">
        <f ca="1">IFERROR(__xludf.DUMMYFUNCTION("""COMPUTED_VALUE"""),"Jardín Botanico: Se reporta que la UD presentó el diseño de la franja de control ambiental, la cual, una vez esté aprobada por el Jardin Botánico, llevará a que la UD adelante la Contratación para la Intervención.
IDU: Podría intervenir los andenes existe"&amp;"ntes (por conservación) previa entrega de las zonas de espacio publico de la UD al DADEP y del DADEP al IDU. Se está a la espera de integrar al DADEP a la mesa de trabajo que se vienen desarrollando con el IDU. Desde DRESET SED, se apoyarán las gestiones "&amp;"pertinentes para propiciar dicha reunión.")</f>
        <v>Jardín Botanico: Se reporta que la UD presentó el diseño de la franja de control ambiental, la cual, una vez esté aprobada por el Jardin Botánico, llevará a que la UD adelante la Contratación para la Intervención.
IDU: Podría intervenir los andenes existentes (por conservación) previa entrega de las zonas de espacio publico de la UD al DADEP y del DADEP al IDU. Se está a la espera de integrar al DADEP a la mesa de trabajo que se vienen desarrollando con el IDU. Desde DRESET SED, se apoyarán las gestiones pertinentes para propiciar dicha reunión.</v>
      </c>
      <c r="N1315" s="55">
        <f ca="1">IFERROR(__xludf.DUMMYFUNCTION("""COMPUTED_VALUE"""),44927)</f>
        <v>44927</v>
      </c>
      <c r="O1315" s="25" t="str">
        <f t="shared" ca="1" si="0"/>
        <v>Secretaría de Educación del Distrito</v>
      </c>
      <c r="P1315" s="25" t="str">
        <f t="shared" si="2"/>
        <v/>
      </c>
      <c r="Q1315" s="25" t="str">
        <f ca="1">IFERROR(__xludf.DUMMYFUNCTION("""COMPUTED_VALUE"""),"Corto plazo")</f>
        <v>Corto plazo</v>
      </c>
      <c r="R1315" s="25"/>
      <c r="S1315" s="55"/>
      <c r="T1315" s="56"/>
      <c r="U1315" s="25"/>
      <c r="V1315" s="25"/>
      <c r="W1315" s="25"/>
      <c r="X1315" s="25"/>
      <c r="Y1315" s="25"/>
      <c r="Z1315" s="25"/>
    </row>
    <row r="1316" spans="1:26" ht="52.5" customHeight="1" x14ac:dyDescent="0.25">
      <c r="A1316" s="25" t="str">
        <f ca="1">IFERROR(__xludf.DUMMYFUNCTION("""COMPUTED_VALUE"""),"Educa114")</f>
        <v>Educa114</v>
      </c>
      <c r="B1316" s="25" t="str">
        <f ca="1">IFERROR(__xludf.DUMMYFUNCTION("""COMPUTED_VALUE"""),"Comisión Intersectorial del Cuidado")</f>
        <v>Comisión Intersectorial del Cuidado</v>
      </c>
      <c r="C1316" s="55">
        <f ca="1">IFERROR(__xludf.DUMMYFUNCTION("""COMPUTED_VALUE"""),44767)</f>
        <v>44767</v>
      </c>
      <c r="D1316" s="25" t="str">
        <f ca="1">IFERROR(__xludf.DUMMYFUNCTION("""COMPUTED_VALUE"""),"Educación")</f>
        <v>Educación</v>
      </c>
      <c r="E1316" s="25" t="str">
        <f ca="1">IFERROR(__xludf.DUMMYFUNCTION("""COMPUTED_VALUE"""),"Secretaría de Educación del Distrito")</f>
        <v>Secretaría de Educación del Distrito</v>
      </c>
      <c r="F1316" s="25" t="str">
        <f ca="1">IFERROR(__xludf.DUMMYFUNCTION("""COMPUTED_VALUE"""),"En Bosa Campoverde hacer un acuerdo con los operadores de los dos colegios (Alianza Educativa y Cafám) y buscar en el perímetro el espacio para que funcione la lavandería y la escuela del cuidado.")</f>
        <v>En Bosa Campoverde hacer un acuerdo con los operadores de los dos colegios (Alianza Educativa y Cafám) y buscar en el perímetro el espacio para que funcione la lavandería y la escuela del cuidado.</v>
      </c>
      <c r="G1316" s="25" t="str">
        <f ca="1">IFERROR(__xludf.DUMMYFUNCTION("""COMPUTED_VALUE"""),"07. Bosa")</f>
        <v>07. Bosa</v>
      </c>
      <c r="H1316" s="55">
        <f ca="1">IFERROR(__xludf.DUMMYFUNCTION("""COMPUTED_VALUE"""),44816)</f>
        <v>44816</v>
      </c>
      <c r="I1316" s="25"/>
      <c r="J1316" s="55" t="str">
        <f ca="1">IFERROR(__xludf.DUMMYFUNCTION("""COMPUTED_VALUE"""),"Alta")</f>
        <v>Alta</v>
      </c>
      <c r="K1316" s="25">
        <f ca="1">IFERROR(__xludf.DUMMYFUNCTION("""COMPUTED_VALUE"""),49)</f>
        <v>49</v>
      </c>
      <c r="L1316" s="62">
        <f ca="1">IFERROR(__xludf.DUMMYFUNCTION("""COMPUTED_VALUE"""),44888)</f>
        <v>44888</v>
      </c>
      <c r="M1316" s="25" t="str">
        <f ca="1">IFERROR(__xludf.DUMMYFUNCTION("""COMPUTED_VALUE"""),"Desde la Dirección de Cobertura se participó en una reunión convocada por el Despacho de la secretaria, en la que participo la Dirección de Inclusión e Integración de Poblaciones (DIIP). El compromiso para ese momento fue realizar un diálogo con los coleg"&amp;"ios en administración de Alianza Educativa en la localidad de Bosa (Campoverde). 
El equipo territorial de la DIIP realizó la visita al colegio el día 12 de septiembre de 2022 con el fin de socializar con la rectoría la estrategia educativa y el Sistema "&amp;"Distrital del Cuidado, en aras de considerar este colegio como un aliado estratégico para acciones posteriores; adicionalmente se acordaron acciones conjuntas para convocar a la comunidad educativa a que se beneficien de los servicios de la manzana educat"&amp;"iva.
Luego de la reunión se determinó que no se requiere el uso del espacio institucional dado que en el punto ancla de la manzana del cuidado de Bosa Campoverde, se destinaron espacios para la implementación de los procesos de formación para personas cu"&amp;"idadoras y teniendo en cuenta la demanda actual, no sería necesaria la ocupación de espacios adicionales")</f>
        <v>Desde la Dirección de Cobertura se participó en una reunión convocada por el Despacho de la secretaria, en la que participo la Dirección de Inclusión e Integración de Poblaciones (DIIP). El compromiso para ese momento fue realizar un diálogo con los colegios en administración de Alianza Educativa en la localidad de Bosa (Campoverde). 
El equipo territorial de la DIIP realizó la visita al colegio el día 12 de septiembre de 2022 con el fin de socializar con la rectoría la estrategia educativa y el Sistema Distrital del Cuidado, en aras de considerar este colegio como un aliado estratégico para acciones posteriores; adicionalmente se acordaron acciones conjuntas para convocar a la comunidad educativa a que se beneficien de los servicios de la manzana educativa.
Luego de la reunión se determinó que no se requiere el uso del espacio institucional dado que en el punto ancla de la manzana del cuidado de Bosa Campoverde, se destinaron espacios para la implementación de los procesos de formación para personas cuidadoras y teniendo en cuenta la demanda actual, no sería necesaria la ocupación de espacios adicionales</v>
      </c>
      <c r="N1316" s="55">
        <f ca="1">IFERROR(__xludf.DUMMYFUNCTION("""COMPUTED_VALUE"""),44927)</f>
        <v>44927</v>
      </c>
      <c r="O1316" s="25" t="str">
        <f t="shared" ca="1" si="0"/>
        <v>Secretaría de Educación del Distrito</v>
      </c>
      <c r="P1316" s="25" t="str">
        <f t="shared" si="2"/>
        <v/>
      </c>
      <c r="Q1316" s="25" t="str">
        <f ca="1">IFERROR(__xludf.DUMMYFUNCTION("""COMPUTED_VALUE"""),"Corto plazo")</f>
        <v>Corto plazo</v>
      </c>
      <c r="R1316" s="25"/>
      <c r="S1316" s="55"/>
      <c r="T1316" s="56"/>
      <c r="U1316" s="25"/>
      <c r="V1316" s="25"/>
      <c r="W1316" s="25"/>
      <c r="X1316" s="25"/>
      <c r="Y1316" s="25"/>
      <c r="Z1316" s="25"/>
    </row>
    <row r="1317" spans="1:26" ht="52.5" customHeight="1" x14ac:dyDescent="0.25">
      <c r="A1317" s="25" t="str">
        <f ca="1">IFERROR(__xludf.DUMMYFUNCTION("""COMPUTED_VALUE"""),"Educa115")</f>
        <v>Educa115</v>
      </c>
      <c r="B1317" s="25" t="str">
        <f ca="1">IFERROR(__xludf.DUMMYFUNCTION("""COMPUTED_VALUE"""),"Conpes")</f>
        <v>Conpes</v>
      </c>
      <c r="C1317" s="55">
        <f ca="1">IFERROR(__xludf.DUMMYFUNCTION("""COMPUTED_VALUE"""),44785)</f>
        <v>44785</v>
      </c>
      <c r="D1317" s="25" t="str">
        <f ca="1">IFERROR(__xludf.DUMMYFUNCTION("""COMPUTED_VALUE"""),"Educación")</f>
        <v>Educación</v>
      </c>
      <c r="E1317" s="25" t="str">
        <f ca="1">IFERROR(__xludf.DUMMYFUNCTION("""COMPUTED_VALUE"""),"Secretaría de Educación del Distrito")</f>
        <v>Secretaría de Educación del Distrito</v>
      </c>
      <c r="F1317" s="25" t="str">
        <f ca="1">IFERROR(__xludf.DUMMYFUNCTION("""COMPUTED_VALUE"""),"Realizar un informe de balance del convenio suscrito con el SENA en sus diferentes dimensiones tanto en los beneficiarios como resultados al interior de la administración distrital")</f>
        <v>Realizar un informe de balance del convenio suscrito con el SENA en sus diferentes dimensiones tanto en los beneficiarios como resultados al interior de la administración distrital</v>
      </c>
      <c r="G1317" s="25" t="str">
        <f ca="1">IFERROR(__xludf.DUMMYFUNCTION("""COMPUTED_VALUE"""),"99. Distrito")</f>
        <v>99. Distrito</v>
      </c>
      <c r="H1317" s="55">
        <f ca="1">IFERROR(__xludf.DUMMYFUNCTION("""COMPUTED_VALUE"""),45092)</f>
        <v>45092</v>
      </c>
      <c r="I1317" s="25" t="str">
        <f ca="1">IFERROR(__xludf.DUMMYFUNCTION("""COMPUTED_VALUE"""),"Delivery Unit")</f>
        <v>Delivery Unit</v>
      </c>
      <c r="J1317" s="55" t="str">
        <f ca="1">IFERROR(__xludf.DUMMYFUNCTION("""COMPUTED_VALUE"""),"Media")</f>
        <v>Media</v>
      </c>
      <c r="K1317" s="25">
        <f ca="1">IFERROR(__xludf.DUMMYFUNCTION("""COMPUTED_VALUE"""),307)</f>
        <v>307</v>
      </c>
      <c r="L1317" s="62">
        <f ca="1">IFERROR(__xludf.DUMMYFUNCTION("""COMPUTED_VALUE"""),45077)</f>
        <v>45077</v>
      </c>
      <c r="M1317" s="25" t="str">
        <f ca="1">IFERROR(__xludf.DUMMYFUNCTION("""COMPUTED_VALUE"""),"Se dió continuidad al seguimiento periódico a las metas con cada una de las entidades que cuentan con convenio en el marco del memorando de entendimiento con SENA, se avanza sobre el esquema en el que se presentará el informe consolidado y se realizó la c"&amp;"reación y envío de encuestas para conocer la percepción de los beneficiarios de los cursos en cada entidad para incluir dicha información en el informe de balance.
A la fecha de acuerdo con el útlimo reporte disponible se han atendido 151.108 beneficia"&amp;"rios lo cual representa un 78% de avance frente a una meta de 194.000 beneficiarios.")</f>
        <v>Se dió continuidad al seguimiento periódico a las metas con cada una de las entidades que cuentan con convenio en el marco del memorando de entendimiento con SENA, se avanza sobre el esquema en el que se presentará el informe consolidado y se realizó la creación y envío de encuestas para conocer la percepción de los beneficiarios de los cursos en cada entidad para incluir dicha información en el informe de balance.
A la fecha de acuerdo con el útlimo reporte disponible se han atendido 151.108 beneficiarios lo cual representa un 78% de avance frente a una meta de 194.000 beneficiarios.</v>
      </c>
      <c r="N1317" s="25"/>
      <c r="O1317" s="25" t="str">
        <f t="shared" ca="1" si="0"/>
        <v>Secretaría de Educación del Distrito</v>
      </c>
      <c r="P1317" s="25" t="str">
        <f t="shared" ca="1" si="2"/>
        <v/>
      </c>
      <c r="Q1317" s="25" t="str">
        <f ca="1">IFERROR(__xludf.DUMMYFUNCTION("""COMPUTED_VALUE"""),"Largo plazo")</f>
        <v>Largo plazo</v>
      </c>
      <c r="R1317" s="25"/>
      <c r="S1317" s="55"/>
      <c r="T1317" s="56"/>
      <c r="U1317" s="25"/>
      <c r="V1317" s="25"/>
      <c r="W1317" s="25"/>
      <c r="X1317" s="25"/>
      <c r="Y1317" s="25"/>
      <c r="Z1317" s="25"/>
    </row>
    <row r="1318" spans="1:26" ht="52.5" customHeight="1" x14ac:dyDescent="0.25">
      <c r="A1318" s="25" t="str">
        <f ca="1">IFERROR(__xludf.DUMMYFUNCTION("""COMPUTED_VALUE"""),"Educa116")</f>
        <v>Educa116</v>
      </c>
      <c r="B1318" s="25" t="str">
        <f ca="1">IFERROR(__xludf.DUMMYFUNCTION("""COMPUTED_VALUE"""),"Conpes")</f>
        <v>Conpes</v>
      </c>
      <c r="C1318" s="55">
        <f ca="1">IFERROR(__xludf.DUMMYFUNCTION("""COMPUTED_VALUE"""),44785)</f>
        <v>44785</v>
      </c>
      <c r="D1318" s="25" t="str">
        <f ca="1">IFERROR(__xludf.DUMMYFUNCTION("""COMPUTED_VALUE"""),"Educación")</f>
        <v>Educación</v>
      </c>
      <c r="E1318" s="25" t="str">
        <f ca="1">IFERROR(__xludf.DUMMYFUNCTION("""COMPUTED_VALUE"""),"Secretaría de Educación del Distrito")</f>
        <v>Secretaría de Educación del Distrito</v>
      </c>
      <c r="F1318" s="25" t="str">
        <f ca="1">IFERROR(__xludf.DUMMYFUNCTION("""COMPUTED_VALUE"""),"Enviar un brief a la alcaldesa y el Delivery Unit sobre el tema de reducción de embarazo adolescente")</f>
        <v>Enviar un brief a la alcaldesa y el Delivery Unit sobre el tema de reducción de embarazo adolescente</v>
      </c>
      <c r="G1318" s="25" t="str">
        <f ca="1">IFERROR(__xludf.DUMMYFUNCTION("""COMPUTED_VALUE"""),"99. Distrito")</f>
        <v>99. Distrito</v>
      </c>
      <c r="H1318" s="55">
        <f ca="1">IFERROR(__xludf.DUMMYFUNCTION("""COMPUTED_VALUE"""),44864)</f>
        <v>44864</v>
      </c>
      <c r="I1318" s="25"/>
      <c r="J1318" s="55" t="str">
        <f ca="1">IFERROR(__xludf.DUMMYFUNCTION("""COMPUTED_VALUE"""),"Media")</f>
        <v>Media</v>
      </c>
      <c r="K1318" s="25">
        <f ca="1">IFERROR(__xludf.DUMMYFUNCTION("""COMPUTED_VALUE"""),79)</f>
        <v>79</v>
      </c>
      <c r="L1318" s="62">
        <f ca="1">IFERROR(__xludf.DUMMYFUNCTION("""COMPUTED_VALUE"""),44888)</f>
        <v>44888</v>
      </c>
      <c r="M1318" s="25" t="str">
        <f ca="1">IFERROR(__xludf.DUMMYFUNCTION("""COMPUTED_VALUE"""),"1. Lanzamiento de un micrositio en el portal web de Red Académica, dedicado a la Educación Integral en Sexualidad y el Reconocimiento de los Derechos Sexuales y Reproductivos.
 2. Realización de 2 conversatorios dirigidos a las comunidades académicas so"&amp;"bre Educación Integral en Sexualidad y el Reconocimiento de los Derechos Sexuales y Reproductivos.
 3. Realización de 3 ferias en instituciones educativas sobre la promoción y prevención del embarazo temprano y el Reconocimiento de los Derechos Sexuales"&amp;" y Reproductivos")</f>
        <v>1. Lanzamiento de un micrositio en el portal web de Red Académica, dedicado a la Educación Integral en Sexualidad y el Reconocimiento de los Derechos Sexuales y Reproductivos.
 2. Realización de 2 conversatorios dirigidos a las comunidades académicas sobre Educación Integral en Sexualidad y el Reconocimiento de los Derechos Sexuales y Reproductivos.
 3. Realización de 3 ferias en instituciones educativas sobre la promoción y prevención del embarazo temprano y el Reconocimiento de los Derechos Sexuales y Reproductivos</v>
      </c>
      <c r="N1318" s="55">
        <f ca="1">IFERROR(__xludf.DUMMYFUNCTION("""COMPUTED_VALUE"""),44927)</f>
        <v>44927</v>
      </c>
      <c r="O1318" s="25" t="str">
        <f t="shared" ca="1" si="0"/>
        <v>Secretaría de Educación del Distrito</v>
      </c>
      <c r="P1318" s="25" t="str">
        <f t="shared" si="2"/>
        <v/>
      </c>
      <c r="Q1318" s="25" t="str">
        <f ca="1">IFERROR(__xludf.DUMMYFUNCTION("""COMPUTED_VALUE"""),"Mediano plazo")</f>
        <v>Mediano plazo</v>
      </c>
      <c r="R1318" s="25"/>
      <c r="S1318" s="55"/>
      <c r="T1318" s="56"/>
      <c r="U1318" s="25"/>
      <c r="V1318" s="25"/>
      <c r="W1318" s="25"/>
      <c r="X1318" s="25"/>
      <c r="Y1318" s="25"/>
      <c r="Z1318" s="25"/>
    </row>
    <row r="1319" spans="1:26" ht="52.5" customHeight="1" x14ac:dyDescent="0.25">
      <c r="A1319" s="25" t="str">
        <f ca="1">IFERROR(__xludf.DUMMYFUNCTION("""COMPUTED_VALUE"""),"Educa117")</f>
        <v>Educa117</v>
      </c>
      <c r="B1319" s="25" t="str">
        <f ca="1">IFERROR(__xludf.DUMMYFUNCTION("""COMPUTED_VALUE"""),"Junta de infraestructura")</f>
        <v>Junta de infraestructura</v>
      </c>
      <c r="C1319" s="55">
        <f ca="1">IFERROR(__xludf.DUMMYFUNCTION("""COMPUTED_VALUE"""),44704)</f>
        <v>44704</v>
      </c>
      <c r="D1319" s="25" t="str">
        <f ca="1">IFERROR(__xludf.DUMMYFUNCTION("""COMPUTED_VALUE"""),"Educación")</f>
        <v>Educación</v>
      </c>
      <c r="E1319" s="25" t="str">
        <f ca="1">IFERROR(__xludf.DUMMYFUNCTION("""COMPUTED_VALUE"""),"Secretaría de Educación del Distrito")</f>
        <v>Secretaría de Educación del Distrito</v>
      </c>
      <c r="F1319" s="25" t="str">
        <f ca="1">IFERROR(__xludf.DUMMYFUNCTION("""COMPUTED_VALUE"""),"En el colegio Palestina se requiere conexión de servicios públicos, se debe recibir las conexiones definitivas del plan parcial de la constructora Galías")</f>
        <v>En el colegio Palestina se requiere conexión de servicios públicos, se debe recibir las conexiones definitivas del plan parcial de la constructora Galías</v>
      </c>
      <c r="G1319" s="25" t="str">
        <f ca="1">IFERROR(__xludf.DUMMYFUNCTION("""COMPUTED_VALUE"""),"99. Distrito")</f>
        <v>99. Distrito</v>
      </c>
      <c r="H1319" s="55">
        <f ca="1">IFERROR(__xludf.DUMMYFUNCTION("""COMPUTED_VALUE"""),45046)</f>
        <v>45046</v>
      </c>
      <c r="I1319" s="25" t="str">
        <f ca="1">IFERROR(__xludf.DUMMYFUNCTION("""COMPUTED_VALUE"""),"Junta de Infraestructura")</f>
        <v>Junta de Infraestructura</v>
      </c>
      <c r="J1319" s="55" t="str">
        <f ca="1">IFERROR(__xludf.DUMMYFUNCTION("""COMPUTED_VALUE"""),"Baja")</f>
        <v>Baja</v>
      </c>
      <c r="K1319" s="25">
        <f ca="1">IFERROR(__xludf.DUMMYFUNCTION("""COMPUTED_VALUE"""),342)</f>
        <v>342</v>
      </c>
      <c r="L1319" s="62">
        <f ca="1">IFERROR(__xludf.DUMMYFUNCTION("""COMPUTED_VALUE"""),45046)</f>
        <v>45046</v>
      </c>
      <c r="M1319" s="25" t="str">
        <f ca="1">IFERROR(__xludf.DUMMYFUNCTION("""COMPUTED_VALUE"""),"El 11 de mayo de 2023 se adelantó la maniobra de conexión definitiva del Colegio Esmeralda Arboleda Cadavid (La Palestina).")</f>
        <v>El 11 de mayo de 2023 se adelantó la maniobra de conexión definitiva del Colegio Esmeralda Arboleda Cadavid (La Palestina).</v>
      </c>
      <c r="N1319" s="55">
        <f ca="1">IFERROR(__xludf.DUMMYFUNCTION("""COMPUTED_VALUE"""),45057)</f>
        <v>45057</v>
      </c>
      <c r="O1319" s="25" t="str">
        <f t="shared" ca="1" si="0"/>
        <v>Secretaría de Educación del Distrito</v>
      </c>
      <c r="P1319" s="25" t="str">
        <f t="shared" ca="1" si="2"/>
        <v/>
      </c>
      <c r="Q1319" s="25" t="str">
        <f ca="1">IFERROR(__xludf.DUMMYFUNCTION("""COMPUTED_VALUE"""),"Largo plazo")</f>
        <v>Largo plazo</v>
      </c>
      <c r="R1319" s="25"/>
      <c r="S1319" s="55"/>
      <c r="T1319" s="56"/>
      <c r="U1319" s="25"/>
      <c r="V1319" s="25"/>
      <c r="W1319" s="25"/>
      <c r="X1319" s="25"/>
      <c r="Y1319" s="25"/>
      <c r="Z1319" s="25"/>
    </row>
    <row r="1320" spans="1:26" ht="52.5" customHeight="1" x14ac:dyDescent="0.25">
      <c r="A1320" s="25" t="str">
        <f ca="1">IFERROR(__xludf.DUMMYFUNCTION("""COMPUTED_VALUE"""),"Educa118")</f>
        <v>Educa118</v>
      </c>
      <c r="B1320" s="25" t="str">
        <f ca="1">IFERROR(__xludf.DUMMYFUNCTION("""COMPUTED_VALUE"""),"Consejo Distrital de Juventud -sesión de articulación")</f>
        <v>Consejo Distrital de Juventud -sesión de articulación</v>
      </c>
      <c r="C1320" s="55">
        <f ca="1">IFERROR(__xludf.DUMMYFUNCTION("""COMPUTED_VALUE"""),44907)</f>
        <v>44907</v>
      </c>
      <c r="D1320" s="25" t="str">
        <f ca="1">IFERROR(__xludf.DUMMYFUNCTION("""COMPUTED_VALUE"""),"Educación")</f>
        <v>Educación</v>
      </c>
      <c r="E1320" s="25" t="str">
        <f ca="1">IFERROR(__xludf.DUMMYFUNCTION("""COMPUTED_VALUE"""),"Secretaría de Educación del Distrito")</f>
        <v>Secretaría de Educación del Distrito</v>
      </c>
      <c r="F1320" s="25" t="str">
        <f ca="1">IFERROR(__xludf.DUMMYFUNCTION("""COMPUTED_VALUE"""),"Realizar una reunión en febrero entre la Secretaría de Educación, el Consejo Distrital de Juventud y los Directores Locales de educación con la finalidad de concretar la metodología de incidencia de los consejeros en los colegios distritales. ")</f>
        <v xml:space="preserve">Realizar una reunión en febrero entre la Secretaría de Educación, el Consejo Distrital de Juventud y los Directores Locales de educación con la finalidad de concretar la metodología de incidencia de los consejeros en los colegios distritales. </v>
      </c>
      <c r="G1320" s="25" t="str">
        <f ca="1">IFERROR(__xludf.DUMMYFUNCTION("""COMPUTED_VALUE"""),"99. Distrito")</f>
        <v>99. Distrito</v>
      </c>
      <c r="H1320" s="55">
        <f ca="1">IFERROR(__xludf.DUMMYFUNCTION("""COMPUTED_VALUE"""),44986)</f>
        <v>44986</v>
      </c>
      <c r="I1320" s="25"/>
      <c r="J1320" s="55" t="str">
        <f ca="1">IFERROR(__xludf.DUMMYFUNCTION("""COMPUTED_VALUE"""),"Media")</f>
        <v>Media</v>
      </c>
      <c r="K1320" s="25">
        <f ca="1">IFERROR(__xludf.DUMMYFUNCTION("""COMPUTED_VALUE"""),79)</f>
        <v>79</v>
      </c>
      <c r="L1320" s="62">
        <f ca="1">IFERROR(__xludf.DUMMYFUNCTION("""COMPUTED_VALUE"""),45000)</f>
        <v>45000</v>
      </c>
      <c r="M1320" s="25" t="str">
        <f ca="1">IFERROR(__xludf.DUMMYFUNCTION("""COMPUTED_VALUE"""),"La Dirección Local de Educación de Rafael Uribe Uribe llevó a cabo una reunión con el Consejo de Juventud de este territorio en las que se presentaron las funciones de la DLE y de consejo. Se visualizaron acciones en las que se pueden articular tales como"&amp;" presupuestos participativos en prevención de SPA; diálogo sobre liderazgo, mesa estamental de estudiantes, el desarrollo de la estrategia YO PUEDO SER y una ruta de acción para la articulación con las mesas de participación local, en específico, el comit"&amp;"é local de juventud y el comité local de DDHH. 
La localidad de Ciudad Bolívar y Sumapaz realizaron una reunión con los referente de juventud de sus localidades y se acordó establecer la fecha de reunión con el Consejo de Juventud en cada una de ellas.  "&amp;"
En las localidades de Chapinero, Tunjuelito, Antonio Nariño y Rafael Uribe Uribe se encuentran a la espera de los planes de trabajo que se comprometieron a remitir los Consejos Locales en las reuniones realizadas y que se reportaron previamente.  
En l"&amp;"as localidades de Teusaquillo y San Cristóbal se han reunido para elaborar los planes de trabajo conjuntos para, posteriormente, acordar los momentos en los que se realizarán los ejercicios pedagógicos en los colegios. Por su parte, Teusaquillo tendrá la "&amp;"Mesa Estamental de Estudiantes el 21 de marzo, que estará acompañada en su desarrollo por el Consejo de Juventud de esta localidad para lo cual, que se hará una jornada de planeación previa a esta fecha.  
En Barrios Unidos y Usme los Consejos de Juventu"&amp;"d se reunieron con la mesa de rectores de dichas localidades con el fin de definir visitas a los colegios y determinar el trabajo con los estudiantes.   
Las localidades de Suba, Ciudad Bolívar y Sumapaz se reunieron con los referentes locales de juventu"&amp;"d para definir las fechas de reunión con los Consejos Locales de Juventud.
")</f>
        <v xml:space="preserve">La Dirección Local de Educación de Rafael Uribe Uribe llevó a cabo una reunión con el Consejo de Juventud de este territorio en las que se presentaron las funciones de la DLE y de consejo. Se visualizaron acciones en las que se pueden articular tales como presupuestos participativos en prevención de SPA; diálogo sobre liderazgo, mesa estamental de estudiantes, el desarrollo de la estrategia YO PUEDO SER y una ruta de acción para la articulación con las mesas de participación local, en específico, el comité local de juventud y el comité local de DDHH. 
La localidad de Ciudad Bolívar y Sumapaz realizaron una reunión con los referente de juventud de sus localidades y se acordó establecer la fecha de reunión con el Consejo de Juventud en cada una de ellas.  
En las localidades de Chapinero, Tunjuelito, Antonio Nariño y Rafael Uribe Uribe se encuentran a la espera de los planes de trabajo que se comprometieron a remitir los Consejos Locales en las reuniones realizadas y que se reportaron previamente.  
En las localidades de Teusaquillo y San Cristóbal se han reunido para elaborar los planes de trabajo conjuntos para, posteriormente, acordar los momentos en los que se realizarán los ejercicios pedagógicos en los colegios. Por su parte, Teusaquillo tendrá la Mesa Estamental de Estudiantes el 21 de marzo, que estará acompañada en su desarrollo por el Consejo de Juventud de esta localidad para lo cual, que se hará una jornada de planeación previa a esta fecha.  
En Barrios Unidos y Usme los Consejos de Juventud se reunieron con la mesa de rectores de dichas localidades con el fin de definir visitas a los colegios y determinar el trabajo con los estudiantes.   
Las localidades de Suba, Ciudad Bolívar y Sumapaz se reunieron con los referentes locales de juventud para definir las fechas de reunión con los Consejos Locales de Juventud.
</v>
      </c>
      <c r="N1320" s="55">
        <f ca="1">IFERROR(__xludf.DUMMYFUNCTION("""COMPUTED_VALUE"""),45000)</f>
        <v>45000</v>
      </c>
      <c r="O1320" s="25" t="str">
        <f t="shared" ca="1" si="0"/>
        <v>Secretaría de Educación del Distrito</v>
      </c>
      <c r="P1320" s="25" t="str">
        <f t="shared" si="2"/>
        <v/>
      </c>
      <c r="Q1320" s="25" t="str">
        <f ca="1">IFERROR(__xludf.DUMMYFUNCTION("""COMPUTED_VALUE"""),"Mediano plazo")</f>
        <v>Mediano plazo</v>
      </c>
      <c r="R1320" s="25"/>
      <c r="S1320" s="55"/>
      <c r="T1320" s="56"/>
      <c r="U1320" s="25"/>
      <c r="V1320" s="25"/>
      <c r="W1320" s="25"/>
      <c r="X1320" s="25"/>
      <c r="Y1320" s="25"/>
      <c r="Z1320" s="25"/>
    </row>
    <row r="1321" spans="1:26" ht="52.5" customHeight="1" x14ac:dyDescent="0.25">
      <c r="A1321" s="25" t="str">
        <f ca="1">IFERROR(__xludf.DUMMYFUNCTION("""COMPUTED_VALUE"""),"Educa119")</f>
        <v>Educa119</v>
      </c>
      <c r="B1321" s="25" t="str">
        <f ca="1">IFERROR(__xludf.DUMMYFUNCTION("""COMPUTED_VALUE"""),"CONFIS 01_2023")</f>
        <v>CONFIS 01_2023</v>
      </c>
      <c r="C1321" s="55">
        <f ca="1">IFERROR(__xludf.DUMMYFUNCTION("""COMPUTED_VALUE"""),44956)</f>
        <v>44956</v>
      </c>
      <c r="D1321" s="25" t="str">
        <f ca="1">IFERROR(__xludf.DUMMYFUNCTION("""COMPUTED_VALUE"""),"Educación")</f>
        <v>Educación</v>
      </c>
      <c r="E1321" s="25" t="str">
        <f ca="1">IFERROR(__xludf.DUMMYFUNCTION("""COMPUTED_VALUE"""),"Secretaría de Educación del Distrito")</f>
        <v>Secretaría de Educación del Distrito</v>
      </c>
      <c r="F1321" s="25" t="str">
        <f ca="1">IFERROR(__xludf.DUMMYFUNCTION("""COMPUTED_VALUE"""),"Evaluar junto con la Secretaría Distrital de Hacienda si es posible que en diciembre de 2023 se abra la última convocatoria de Jóvenes a la U.")</f>
        <v>Evaluar junto con la Secretaría Distrital de Hacienda si es posible que en diciembre de 2023 se abra la última convocatoria de Jóvenes a la U.</v>
      </c>
      <c r="G1321" s="25" t="str">
        <f ca="1">IFERROR(__xludf.DUMMYFUNCTION("""COMPUTED_VALUE"""),"99. Distrito")</f>
        <v>99. Distrito</v>
      </c>
      <c r="H1321" s="55">
        <f ca="1">IFERROR(__xludf.DUMMYFUNCTION("""COMPUTED_VALUE"""),45169)</f>
        <v>45169</v>
      </c>
      <c r="I1321" s="25" t="str">
        <f ca="1">IFERROR(__xludf.DUMMYFUNCTION("""COMPUTED_VALUE"""),"Delivery Unit")</f>
        <v>Delivery Unit</v>
      </c>
      <c r="J1321" s="55" t="str">
        <f ca="1">IFERROR(__xludf.DUMMYFUNCTION("""COMPUTED_VALUE"""),"Baja")</f>
        <v>Baja</v>
      </c>
      <c r="K1321" s="25">
        <f ca="1">IFERROR(__xludf.DUMMYFUNCTION("""COMPUTED_VALUE"""),213)</f>
        <v>213</v>
      </c>
      <c r="L1321" s="62">
        <f ca="1">IFERROR(__xludf.DUMMYFUNCTION("""COMPUTED_VALUE"""),45077)</f>
        <v>45077</v>
      </c>
      <c r="M1321" s="25" t="str">
        <f ca="1">IFERROR(__xludf.DUMMYFUNCTION("""COMPUTED_VALUE"""),"El 30 de mayo de 2023 la Subgerencia de Planeación de ATENEA remitió correo electrónico a la Secretaría Distrital de Hacienda reiterando la solicitud de asignación de recursos adicionales para adelantar una última convocatoria de Jóvenes a la U finalizand"&amp;"o la vigencia 2023, el cual se encuentra pendiente de respuesta por parte de dicha entidad. 
Al respecto es importante tener en cuenta que el 17 de marzo de 2023 se adelantó reunión entre ATENEA y la SDH en cumplimiento del compromiso de revisar la posib"&amp;"ilidad de que, una vez se cerrara el presupuesto 2022, se realizara una convocatoria de Jóvenes a la U en el segundo semestre de 2023. La SDH lindicó que no se pueden asignar recursos para dicha convocatoria. ")</f>
        <v xml:space="preserve">El 30 de mayo de 2023 la Subgerencia de Planeación de ATENEA remitió correo electrónico a la Secretaría Distrital de Hacienda reiterando la solicitud de asignación de recursos adicionales para adelantar una última convocatoria de Jóvenes a la U finalizando la vigencia 2023, el cual se encuentra pendiente de respuesta por parte de dicha entidad. 
Al respecto es importante tener en cuenta que el 17 de marzo de 2023 se adelantó reunión entre ATENEA y la SDH en cumplimiento del compromiso de revisar la posibilidad de que, una vez se cerrara el presupuesto 2022, se realizara una convocatoria de Jóvenes a la U en el segundo semestre de 2023. La SDH lindicó que no se pueden asignar recursos para dicha convocatoria. </v>
      </c>
      <c r="N1321" s="25"/>
      <c r="O1321" s="25" t="str">
        <f t="shared" ca="1" si="0"/>
        <v>Secretaría de Educación del Distrito</v>
      </c>
      <c r="P1321" s="25" t="str">
        <f t="shared" ca="1" si="2"/>
        <v/>
      </c>
      <c r="Q1321" s="25" t="str">
        <f ca="1">IFERROR(__xludf.DUMMYFUNCTION("""COMPUTED_VALUE"""),"Largo plazo")</f>
        <v>Largo plazo</v>
      </c>
      <c r="R1321" s="25"/>
      <c r="S1321" s="55"/>
      <c r="T1321" s="56"/>
      <c r="U1321" s="25"/>
      <c r="V1321" s="25"/>
      <c r="W1321" s="25"/>
      <c r="X1321" s="25"/>
      <c r="Y1321" s="25"/>
      <c r="Z1321" s="25"/>
    </row>
    <row r="1322" spans="1:26" ht="52.5" customHeight="1" x14ac:dyDescent="0.25">
      <c r="A1322" s="25" t="str">
        <f ca="1">IFERROR(__xludf.DUMMYFUNCTION("""COMPUTED_VALUE"""),"Educa120")</f>
        <v>Educa120</v>
      </c>
      <c r="B1322" s="25" t="str">
        <f ca="1">IFERROR(__xludf.DUMMYFUNCTION("""COMPUTED_VALUE"""),"Recorrido Puente Aranda")</f>
        <v>Recorrido Puente Aranda</v>
      </c>
      <c r="C1322" s="55">
        <f ca="1">IFERROR(__xludf.DUMMYFUNCTION("""COMPUTED_VALUE"""),44971)</f>
        <v>44971</v>
      </c>
      <c r="D1322" s="25" t="str">
        <f ca="1">IFERROR(__xludf.DUMMYFUNCTION("""COMPUTED_VALUE"""),"Educación")</f>
        <v>Educación</v>
      </c>
      <c r="E1322" s="25" t="str">
        <f ca="1">IFERROR(__xludf.DUMMYFUNCTION("""COMPUTED_VALUE"""),"Secretaría de Educación del Distrito")</f>
        <v>Secretaría de Educación del Distrito</v>
      </c>
      <c r="F1322" s="25" t="str">
        <f ca="1">IFERROR(__xludf.DUMMYFUNCTION("""COMPUTED_VALUE"""),"Obra Colegio La Merced IED: Priorizar el mantenimiento de toda la cubierta del edificio, es decir, incluir el cuadrado faltante que se ve en la imagen 2.")</f>
        <v>Obra Colegio La Merced IED: Priorizar el mantenimiento de toda la cubierta del edificio, es decir, incluir el cuadrado faltante que se ve en la imagen 2.</v>
      </c>
      <c r="G1322" s="25" t="str">
        <f ca="1">IFERROR(__xludf.DUMMYFUNCTION("""COMPUTED_VALUE"""),"16. Puente Aranda")</f>
        <v>16. Puente Aranda</v>
      </c>
      <c r="H1322" s="55">
        <f ca="1">IFERROR(__xludf.DUMMYFUNCTION("""COMPUTED_VALUE"""),45107)</f>
        <v>45107</v>
      </c>
      <c r="I1322" s="25" t="str">
        <f ca="1">IFERROR(__xludf.DUMMYFUNCTION("""COMPUTED_VALUE"""),"Secretaría Privada")</f>
        <v>Secretaría Privada</v>
      </c>
      <c r="J1322" s="55" t="str">
        <f ca="1">IFERROR(__xludf.DUMMYFUNCTION("""COMPUTED_VALUE"""),"Media")</f>
        <v>Media</v>
      </c>
      <c r="K1322" s="25">
        <f ca="1">IFERROR(__xludf.DUMMYFUNCTION("""COMPUTED_VALUE"""),136)</f>
        <v>136</v>
      </c>
      <c r="L1322" s="62">
        <f ca="1">IFERROR(__xludf.DUMMYFUNCTION("""COMPUTED_VALUE"""),45077)</f>
        <v>45077</v>
      </c>
      <c r="M1322" s="25" t="str">
        <f ca="1">IFERROR(__xludf.DUMMYFUNCTION("""COMPUTED_VALUE"""),"Se continúa revisando la posibilidad de asignación presupuestal por parte de la Subsecretaría de Acceso y Permanencia, teniendo en cuenta que desde la parte técnica se considera que las actividades son necesarias dada la antigüedad de la edificación.  
T"&amp;"oda vez que la SED se encuentra adelantando ajustes presupuestales, no ha sido posible definir si se cuenta o no con los recursos para adelantar la intervención correspondiente a la continuidad mejoramiento y adecuación de cubierta del bloque patrimonial,"&amp;" pintura de fachadas, restitución de redes de suministro en 4 baterías sanitarias del bloque nuevo​, impermeabilización tanque de almacenamiento​, adecuación muro de cerramiento​ y reforzamiento hall de circulación bloque patrimonial​, la cual tiene un co"&amp;"sto estimado de $2.000 millones.")</f>
        <v>Se continúa revisando la posibilidad de asignación presupuestal por parte de la Subsecretaría de Acceso y Permanencia, teniendo en cuenta que desde la parte técnica se considera que las actividades son necesarias dada la antigüedad de la edificación.  
Toda vez que la SED se encuentra adelantando ajustes presupuestales, no ha sido posible definir si se cuenta o no con los recursos para adelantar la intervención correspondiente a la continuidad mejoramiento y adecuación de cubierta del bloque patrimonial, pintura de fachadas, restitución de redes de suministro en 4 baterías sanitarias del bloque nuevo​, impermeabilización tanque de almacenamiento​, adecuación muro de cerramiento​ y reforzamiento hall de circulación bloque patrimonial​, la cual tiene un costo estimado de $2.000 millones.</v>
      </c>
      <c r="N1322" s="25"/>
      <c r="O1322" s="25" t="str">
        <f t="shared" ca="1" si="0"/>
        <v>Secretaría de Educación del Distrito</v>
      </c>
      <c r="P1322" s="25" t="str">
        <f t="shared" ca="1" si="2"/>
        <v/>
      </c>
      <c r="Q1322" s="25" t="str">
        <f ca="1">IFERROR(__xludf.DUMMYFUNCTION("""COMPUTED_VALUE"""),"Mediano plazo")</f>
        <v>Mediano plazo</v>
      </c>
      <c r="R1322" s="25"/>
      <c r="S1322" s="55"/>
      <c r="T1322" s="56"/>
      <c r="U1322" s="25"/>
      <c r="V1322" s="25"/>
      <c r="W1322" s="25"/>
      <c r="X1322" s="25"/>
      <c r="Y1322" s="25"/>
      <c r="Z1322" s="25"/>
    </row>
    <row r="1323" spans="1:26" ht="52.5" customHeight="1" x14ac:dyDescent="0.25">
      <c r="A1323" s="25" t="str">
        <f ca="1">IFERROR(__xludf.DUMMYFUNCTION("""COMPUTED_VALUE"""),"Educa121")</f>
        <v>Educa121</v>
      </c>
      <c r="B1323" s="25" t="str">
        <f ca="1">IFERROR(__xludf.DUMMYFUNCTION("""COMPUTED_VALUE"""),"Recorrido Puente Aranda")</f>
        <v>Recorrido Puente Aranda</v>
      </c>
      <c r="C1323" s="55">
        <f ca="1">IFERROR(__xludf.DUMMYFUNCTION("""COMPUTED_VALUE"""),44971)</f>
        <v>44971</v>
      </c>
      <c r="D1323" s="25" t="str">
        <f ca="1">IFERROR(__xludf.DUMMYFUNCTION("""COMPUTED_VALUE"""),"Educación")</f>
        <v>Educación</v>
      </c>
      <c r="E1323" s="25" t="str">
        <f ca="1">IFERROR(__xludf.DUMMYFUNCTION("""COMPUTED_VALUE"""),"Secretaría de Educación del Distrito")</f>
        <v>Secretaría de Educación del Distrito</v>
      </c>
      <c r="F1323" s="25" t="str">
        <f ca="1">IFERROR(__xludf.DUMMYFUNCTION("""COMPUTED_VALUE"""),"Arreglar el cerramiento externo del Colegio La Merced: subir el muro, quitar el alambre de púas y hacer muralismo.")</f>
        <v>Arreglar el cerramiento externo del Colegio La Merced: subir el muro, quitar el alambre de púas y hacer muralismo.</v>
      </c>
      <c r="G1323" s="25" t="str">
        <f ca="1">IFERROR(__xludf.DUMMYFUNCTION("""COMPUTED_VALUE"""),"16. Puente Aranda")</f>
        <v>16. Puente Aranda</v>
      </c>
      <c r="H1323" s="55">
        <f ca="1">IFERROR(__xludf.DUMMYFUNCTION("""COMPUTED_VALUE"""),45107)</f>
        <v>45107</v>
      </c>
      <c r="I1323" s="25" t="str">
        <f ca="1">IFERROR(__xludf.DUMMYFUNCTION("""COMPUTED_VALUE"""),"Secretaría Privada")</f>
        <v>Secretaría Privada</v>
      </c>
      <c r="J1323" s="55" t="str">
        <f ca="1">IFERROR(__xludf.DUMMYFUNCTION("""COMPUTED_VALUE"""),"Media")</f>
        <v>Media</v>
      </c>
      <c r="K1323" s="25">
        <f ca="1">IFERROR(__xludf.DUMMYFUNCTION("""COMPUTED_VALUE"""),136)</f>
        <v>136</v>
      </c>
      <c r="L1323" s="62">
        <f ca="1">IFERROR(__xludf.DUMMYFUNCTION("""COMPUTED_VALUE"""),45077)</f>
        <v>45077</v>
      </c>
      <c r="M1323" s="25" t="str">
        <f ca="1">IFERROR(__xludf.DUMMYFUNCTION("""COMPUTED_VALUE"""),"Se continúa revisando la posibilidad de asignación presupuestal por parte de la Subsecretaría de Acceso y Permanencia, teniendo en cuenta que desde la parte técnica se considera que las actividades son necesarias dada la antigüedad de la edificación.  
"&amp;"
Toda vez que la SED se encuentra adelantando ajustes presupuestales, no ha sido posible definir si se cuenta o no con los recursos para adelantar la intervención correspondiente a la continuidad mejoramiento y adecuación de cubierta del bloque patrimonia"&amp;"l, pintura de fachadas, restitución de redes de suministro en 4 baterías sanitarias del bloque nuevo​, impermeabilización tanque de almacenamiento​, adecuación muro de cerramiento​ y reforzamiento hall de circulación bloque patrimonial​, la cual tiene un "&amp;"costo estimado de $2.000 millones.")</f>
        <v>Se continúa revisando la posibilidad de asignación presupuestal por parte de la Subsecretaría de Acceso y Permanencia, teniendo en cuenta que desde la parte técnica se considera que las actividades son necesarias dada la antigüedad de la edificación.  
Toda vez que la SED se encuentra adelantando ajustes presupuestales, no ha sido posible definir si se cuenta o no con los recursos para adelantar la intervención correspondiente a la continuidad mejoramiento y adecuación de cubierta del bloque patrimonial, pintura de fachadas, restitución de redes de suministro en 4 baterías sanitarias del bloque nuevo​, impermeabilización tanque de almacenamiento​, adecuación muro de cerramiento​ y reforzamiento hall de circulación bloque patrimonial​, la cual tiene un costo estimado de $2.000 millones.</v>
      </c>
      <c r="N1323" s="25"/>
      <c r="O1323" s="25" t="str">
        <f t="shared" ca="1" si="0"/>
        <v>Secretaría de Educación del Distrito</v>
      </c>
      <c r="P1323" s="25" t="str">
        <f t="shared" ca="1" si="2"/>
        <v/>
      </c>
      <c r="Q1323" s="25" t="str">
        <f ca="1">IFERROR(__xludf.DUMMYFUNCTION("""COMPUTED_VALUE"""),"Mediano plazo")</f>
        <v>Mediano plazo</v>
      </c>
      <c r="R1323" s="25"/>
      <c r="S1323" s="55"/>
      <c r="T1323" s="56"/>
      <c r="U1323" s="25"/>
      <c r="V1323" s="25"/>
      <c r="W1323" s="25"/>
      <c r="X1323" s="25"/>
      <c r="Y1323" s="25"/>
      <c r="Z1323" s="25"/>
    </row>
    <row r="1324" spans="1:26" ht="52.5" customHeight="1" x14ac:dyDescent="0.25">
      <c r="A1324" s="25" t="str">
        <f ca="1">IFERROR(__xludf.DUMMYFUNCTION("""COMPUTED_VALUE"""),"Educa122")</f>
        <v>Educa122</v>
      </c>
      <c r="B1324" s="25" t="str">
        <f ca="1">IFERROR(__xludf.DUMMYFUNCTION("""COMPUTED_VALUE"""),"Recorrido Puente Aranda")</f>
        <v>Recorrido Puente Aranda</v>
      </c>
      <c r="C1324" s="55">
        <f ca="1">IFERROR(__xludf.DUMMYFUNCTION("""COMPUTED_VALUE"""),44971)</f>
        <v>44971</v>
      </c>
      <c r="D1324" s="25" t="str">
        <f ca="1">IFERROR(__xludf.DUMMYFUNCTION("""COMPUTED_VALUE"""),"Educación")</f>
        <v>Educación</v>
      </c>
      <c r="E1324" s="25" t="str">
        <f ca="1">IFERROR(__xludf.DUMMYFUNCTION("""COMPUTED_VALUE"""),"Secretaría de Educación del Distrito")</f>
        <v>Secretaría de Educación del Distrito</v>
      </c>
      <c r="F1324" s="25" t="str">
        <f ca="1">IFERROR(__xludf.DUMMYFUNCTION("""COMPUTED_VALUE"""),"Realizar programas de formación por ciclos para adultos mayores en el Barrio Jazmín.")</f>
        <v>Realizar programas de formación por ciclos para adultos mayores en el Barrio Jazmín.</v>
      </c>
      <c r="G1324" s="25" t="str">
        <f ca="1">IFERROR(__xludf.DUMMYFUNCTION("""COMPUTED_VALUE"""),"16. Puente Aranda")</f>
        <v>16. Puente Aranda</v>
      </c>
      <c r="H1324" s="55">
        <f ca="1">IFERROR(__xludf.DUMMYFUNCTION("""COMPUTED_VALUE"""),45169)</f>
        <v>45169</v>
      </c>
      <c r="I1324" s="25" t="str">
        <f ca="1">IFERROR(__xludf.DUMMYFUNCTION("""COMPUTED_VALUE"""),"Secretaría Privada")</f>
        <v>Secretaría Privada</v>
      </c>
      <c r="J1324" s="55" t="str">
        <f ca="1">IFERROR(__xludf.DUMMYFUNCTION("""COMPUTED_VALUE"""),"Alta")</f>
        <v>Alta</v>
      </c>
      <c r="K1324" s="25">
        <f ca="1">IFERROR(__xludf.DUMMYFUNCTION("""COMPUTED_VALUE"""),198)</f>
        <v>198</v>
      </c>
      <c r="L1324" s="62">
        <f ca="1">IFERROR(__xludf.DUMMYFUNCTION("""COMPUTED_VALUE"""),45077)</f>
        <v>45077</v>
      </c>
      <c r="M1324" s="25" t="str">
        <f ca="1">IFERROR(__xludf.DUMMYFUNCTION("""COMPUTED_VALUE"""),"La oferta de programas de formación por ciclos para adultos mayores (educación flexible) para población del Barrio Jazmín se dará en el segundo semestre de 2023, a través de Modelos Flexibles a cargo de la Dirección de Cobertura por intermedio de un ofere"&amp;"nte contratado, trámite que se encuentra en proceso.
De otro lado, está previsto brindar oferta educativa por ciclos para la atención educativa a personas mayores de edad cuidadoras/es, a través de la Estrategia Educativa Flexible de Manzana del Cuidado"&amp;". Esto dependerá del interés y demanda de las personas que se matriculen. Al respecto, el equipo profesional de la Dirección de Inclusión e Integración de Poblaciones asignado a la Manzana de la Localidad de Puente Aranda, viene adelantando acciones técni"&amp;"cas, pedagógicas y de focalización (matriculatón) que permita abrir esta oferta según la demanda de los ciclos educativos para  iniciar las actividades académicas durante el segundo semestre del año, en línea con el calendario de la Estrategia Educativa F"&amp;"lexible (EEF) de la SED.")</f>
        <v>La oferta de programas de formación por ciclos para adultos mayores (educación flexible) para población del Barrio Jazmín se dará en el segundo semestre de 2023, a través de Modelos Flexibles a cargo de la Dirección de Cobertura por intermedio de un oferente contratado, trámite que se encuentra en proceso.
De otro lado, está previsto brindar oferta educativa por ciclos para la atención educativa a personas mayores de edad cuidadoras/es, a través de la Estrategia Educativa Flexible de Manzana del Cuidado. Esto dependerá del interés y demanda de las personas que se matriculen. Al respecto, el equipo profesional de la Dirección de Inclusión e Integración de Poblaciones asignado a la Manzana de la Localidad de Puente Aranda, viene adelantando acciones técnicas, pedagógicas y de focalización (matriculatón) que permita abrir esta oferta según la demanda de los ciclos educativos para  iniciar las actividades académicas durante el segundo semestre del año, en línea con el calendario de la Estrategia Educativa Flexible (EEF) de la SED.</v>
      </c>
      <c r="N1324" s="25"/>
      <c r="O1324" s="25" t="str">
        <f t="shared" ca="1" si="0"/>
        <v>Secretaría de Educación del Distrito</v>
      </c>
      <c r="P1324" s="25" t="str">
        <f t="shared" ca="1" si="2"/>
        <v/>
      </c>
      <c r="Q1324" s="25" t="str">
        <f ca="1">IFERROR(__xludf.DUMMYFUNCTION("""COMPUTED_VALUE"""),"Largo plazo")</f>
        <v>Largo plazo</v>
      </c>
      <c r="R1324" s="25"/>
      <c r="S1324" s="55"/>
      <c r="T1324" s="56"/>
      <c r="U1324" s="25"/>
      <c r="V1324" s="25"/>
      <c r="W1324" s="25"/>
      <c r="X1324" s="25"/>
      <c r="Y1324" s="25"/>
      <c r="Z1324" s="25"/>
    </row>
    <row r="1325" spans="1:26" ht="52.5" customHeight="1" x14ac:dyDescent="0.25">
      <c r="A1325" s="25" t="str">
        <f ca="1">IFERROR(__xludf.DUMMYFUNCTION("""COMPUTED_VALUE"""),"Educa123")</f>
        <v>Educa123</v>
      </c>
      <c r="B1325" s="25" t="str">
        <f ca="1">IFERROR(__xludf.DUMMYFUNCTION("""COMPUTED_VALUE"""),"Seguimiento avances región metropolitana")</f>
        <v>Seguimiento avances región metropolitana</v>
      </c>
      <c r="C1325" s="55">
        <f ca="1">IFERROR(__xludf.DUMMYFUNCTION("""COMPUTED_VALUE"""),44980)</f>
        <v>44980</v>
      </c>
      <c r="D1325" s="25" t="str">
        <f ca="1">IFERROR(__xludf.DUMMYFUNCTION("""COMPUTED_VALUE"""),"Educación")</f>
        <v>Educación</v>
      </c>
      <c r="E1325" s="25" t="str">
        <f ca="1">IFERROR(__xludf.DUMMYFUNCTION("""COMPUTED_VALUE"""),"Agencia Distrital para la Educación Superior, la Ciencia y la Tecnología")</f>
        <v>Agencia Distrital para la Educación Superior, la Ciencia y la Tecnología</v>
      </c>
      <c r="F1325" s="25" t="str">
        <f ca="1">IFERROR(__xludf.DUMMYFUNCTION("""COMPUTED_VALUE"""),"Con base en el convenio, Atenea debe radicar a la gobernación de Cundinamarca una propuesta concreta donde se informe el cronograma de las nuevas convocatorias de Jóvenes a la U y Todos a la U, también el detalle de los costos de financiación de cada cupo"&amp;". Esto con el objetivo que la gobernación confirme la cantidad de cupos que están dispuestos a financiar.")</f>
        <v>Con base en el convenio, Atenea debe radicar a la gobernación de Cundinamarca una propuesta concreta donde se informe el cronograma de las nuevas convocatorias de Jóvenes a la U y Todos a la U, también el detalle de los costos de financiación de cada cupo. Esto con el objetivo que la gobernación confirme la cantidad de cupos que están dispuestos a financiar.</v>
      </c>
      <c r="G1325" s="25" t="str">
        <f ca="1">IFERROR(__xludf.DUMMYFUNCTION("""COMPUTED_VALUE"""),"99. Distrito")</f>
        <v>99. Distrito</v>
      </c>
      <c r="H1325" s="55">
        <f ca="1">IFERROR(__xludf.DUMMYFUNCTION("""COMPUTED_VALUE"""),45091)</f>
        <v>45091</v>
      </c>
      <c r="I1325" s="25"/>
      <c r="J1325" s="55" t="str">
        <f ca="1">IFERROR(__xludf.DUMMYFUNCTION("""COMPUTED_VALUE"""),"Media")</f>
        <v>Media</v>
      </c>
      <c r="K1325" s="25">
        <f ca="1">IFERROR(__xludf.DUMMYFUNCTION("""COMPUTED_VALUE"""),111)</f>
        <v>111</v>
      </c>
      <c r="L1325" s="62">
        <f ca="1">IFERROR(__xludf.DUMMYFUNCTION("""COMPUTED_VALUE"""),45000)</f>
        <v>45000</v>
      </c>
      <c r="M1325" s="25" t="str">
        <f ca="1">IFERROR(__xludf.DUMMYFUNCTION("""COMPUTED_VALUE"""),"En sesión del Comité Operativo del Convenio Marco No. 143 de 2022 suscrito entre la Agencia ATENEA y la Gobernación de Cundinamarca, llevada a cabo el 13 de marzo de 2023 se planteó, por parte de la Agencia, la opción de invertir recursos del departamento"&amp;" para confinanciar algunos cupos fuera de Bogotá D.C. en el marco de la convocatoria de ""Jóvenes a la U-5"" y, por parte de la Secretaría de Educación del Departamento, se manifestó que para este semestre no cuentan con recursos que permitan dicha financ"&amp;"iación en los tiempos de la convocatoria, tampoco para las convocatorias de ""Todos a la U"".
Se acordó que, si bien no se pueden cofinanciar las convocatorias, se trabajará en una estrategia de comunicaciones conjunta a escala de la Región Metropolita"&amp;"na en la que se socialicen las convocatorias que realiza la Gobernación a través de la Secretaría de Educación Departamental y las que desarrolla Bogotá a través de ATENEA.")</f>
        <v>En sesión del Comité Operativo del Convenio Marco No. 143 de 2022 suscrito entre la Agencia ATENEA y la Gobernación de Cundinamarca, llevada a cabo el 13 de marzo de 2023 se planteó, por parte de la Agencia, la opción de invertir recursos del departamento para confinanciar algunos cupos fuera de Bogotá D.C. en el marco de la convocatoria de "Jóvenes a la U-5" y, por parte de la Secretaría de Educación del Departamento, se manifestó que para este semestre no cuentan con recursos que permitan dicha financiación en los tiempos de la convocatoria, tampoco para las convocatorias de "Todos a la U".
Se acordó que, si bien no se pueden cofinanciar las convocatorias, se trabajará en una estrategia de comunicaciones conjunta a escala de la Región Metropolitana en la que se socialicen las convocatorias que realiza la Gobernación a través de la Secretaría de Educación Departamental y las que desarrolla Bogotá a través de ATENEA.</v>
      </c>
      <c r="N1325" s="55">
        <f ca="1">IFERROR(__xludf.DUMMYFUNCTION("""COMPUTED_VALUE"""),44998)</f>
        <v>44998</v>
      </c>
      <c r="O1325" s="25" t="str">
        <f t="shared" ca="1" si="0"/>
        <v>Agencia Distrital para la Educación Superior, la Ciencia y la Tecnología</v>
      </c>
      <c r="P1325" s="25" t="str">
        <f t="shared" si="2"/>
        <v/>
      </c>
      <c r="Q1325" s="25" t="str">
        <f ca="1">IFERROR(__xludf.DUMMYFUNCTION("""COMPUTED_VALUE"""),"Mediano plazo")</f>
        <v>Mediano plazo</v>
      </c>
      <c r="R1325" s="25"/>
      <c r="S1325" s="55"/>
      <c r="T1325" s="56"/>
      <c r="U1325" s="25"/>
      <c r="V1325" s="25"/>
      <c r="W1325" s="25"/>
      <c r="X1325" s="25"/>
      <c r="Y1325" s="25"/>
      <c r="Z1325" s="25"/>
    </row>
    <row r="1326" spans="1:26" ht="52.5" customHeight="1" x14ac:dyDescent="0.25">
      <c r="A1326" s="25" t="str">
        <f ca="1">IFERROR(__xludf.DUMMYFUNCTION("""COMPUTED_VALUE"""),"Educa124")</f>
        <v>Educa124</v>
      </c>
      <c r="B1326" s="25" t="str">
        <f ca="1">IFERROR(__xludf.DUMMYFUNCTION("""COMPUTED_VALUE"""),"Recorrido Fontibón")</f>
        <v>Recorrido Fontibón</v>
      </c>
      <c r="C1326" s="55">
        <f ca="1">IFERROR(__xludf.DUMMYFUNCTION("""COMPUTED_VALUE"""),44984)</f>
        <v>44984</v>
      </c>
      <c r="D1326" s="25" t="str">
        <f ca="1">IFERROR(__xludf.DUMMYFUNCTION("""COMPUTED_VALUE"""),"Educación")</f>
        <v>Educación</v>
      </c>
      <c r="E1326" s="25" t="str">
        <f ca="1">IFERROR(__xludf.DUMMYFUNCTION("""COMPUTED_VALUE"""),"Secretaría de Educación del Distrito")</f>
        <v>Secretaría de Educación del Distrito</v>
      </c>
      <c r="F1326" s="25" t="str">
        <f ca="1">IFERROR(__xludf.DUMMYFUNCTION("""COMPUTED_VALUE"""),"Revisar el déficit de cupos escolares en la localidad para que los niños no tengan que desplazarse distancias muy largas para llegar a sus colegios.")</f>
        <v>Revisar el déficit de cupos escolares en la localidad para que los niños no tengan que desplazarse distancias muy largas para llegar a sus colegios.</v>
      </c>
      <c r="G1326" s="25" t="str">
        <f ca="1">IFERROR(__xludf.DUMMYFUNCTION("""COMPUTED_VALUE"""),"09. Fontibón")</f>
        <v>09. Fontibón</v>
      </c>
      <c r="H1326" s="55">
        <f ca="1">IFERROR(__xludf.DUMMYFUNCTION("""COMPUTED_VALUE"""),45030)</f>
        <v>45030</v>
      </c>
      <c r="I1326" s="25"/>
      <c r="J1326" s="55" t="str">
        <f ca="1">IFERROR(__xludf.DUMMYFUNCTION("""COMPUTED_VALUE"""),"Alta")</f>
        <v>Alta</v>
      </c>
      <c r="K1326" s="25">
        <f ca="1">IFERROR(__xludf.DUMMYFUNCTION("""COMPUTED_VALUE"""),46)</f>
        <v>46</v>
      </c>
      <c r="L1326" s="62">
        <f ca="1">IFERROR(__xludf.DUMMYFUNCTION("""COMPUTED_VALUE"""),45016)</f>
        <v>45016</v>
      </c>
      <c r="M1326" s="25" t="str">
        <f ca="1">IFERROR(__xludf.DUMMYFUNCTION("""COMPUTED_VALUE"""),"Para el proceso de matrícula 2023, durante los meses de septiembre y octubre de 2022 se desarrolló la etapa del proceso de inscripciones de estudiantes nuevos a través del Portal Matrículas de la Secretaría de Educación. Para la localidad de Fontibón se r"&amp;"ecibieron un total de 3.317 solicitudes de cupo (20 aceptaron la asignación de cupo, 1.411 formalizaron el cupo en la IED asignada, 85 tuvieron inscripción anulada, 667 no aceptaron el cupo asignado y 1.134 no respondieron a la asignación).
De los estu"&amp;"diantes matriculados, 1.337 aceptaron el cupo en los colegios de la localidad de Fontibón, mientras que los 74 restantes fueron asignados en las localidades que solicitaron, diferentes a Fontibón.")</f>
        <v>Para el proceso de matrícula 2023, durante los meses de septiembre y octubre de 2022 se desarrolló la etapa del proceso de inscripciones de estudiantes nuevos a través del Portal Matrículas de la Secretaría de Educación. Para la localidad de Fontibón se recibieron un total de 3.317 solicitudes de cupo (20 aceptaron la asignación de cupo, 1.411 formalizaron el cupo en la IED asignada, 85 tuvieron inscripción anulada, 667 no aceptaron el cupo asignado y 1.134 no respondieron a la asignación).
De los estudiantes matriculados, 1.337 aceptaron el cupo en los colegios de la localidad de Fontibón, mientras que los 74 restantes fueron asignados en las localidades que solicitaron, diferentes a Fontibón.</v>
      </c>
      <c r="N1326" s="55">
        <f ca="1">IFERROR(__xludf.DUMMYFUNCTION("""COMPUTED_VALUE"""),45016)</f>
        <v>45016</v>
      </c>
      <c r="O1326" s="25" t="str">
        <f t="shared" ca="1" si="0"/>
        <v>Secretaría de Educación del Distrito</v>
      </c>
      <c r="P1326" s="25" t="str">
        <f t="shared" si="2"/>
        <v/>
      </c>
      <c r="Q1326" s="25" t="str">
        <f ca="1">IFERROR(__xludf.DUMMYFUNCTION("""COMPUTED_VALUE"""),"Corto plazo")</f>
        <v>Corto plazo</v>
      </c>
      <c r="R1326" s="25"/>
      <c r="S1326" s="55"/>
      <c r="T1326" s="56"/>
      <c r="U1326" s="25"/>
      <c r="V1326" s="25"/>
      <c r="W1326" s="25"/>
      <c r="X1326" s="25"/>
      <c r="Y1326" s="25"/>
      <c r="Z1326" s="25"/>
    </row>
    <row r="1327" spans="1:26" ht="52.5" customHeight="1" x14ac:dyDescent="0.25">
      <c r="A1327" s="25" t="str">
        <f ca="1">IFERROR(__xludf.DUMMYFUNCTION("""COMPUTED_VALUE"""),"Educa125")</f>
        <v>Educa125</v>
      </c>
      <c r="B1327" s="25" t="str">
        <f ca="1">IFERROR(__xludf.DUMMYFUNCTION("""COMPUTED_VALUE"""),"Recorrido Fontibón")</f>
        <v>Recorrido Fontibón</v>
      </c>
      <c r="C1327" s="55">
        <f ca="1">IFERROR(__xludf.DUMMYFUNCTION("""COMPUTED_VALUE"""),44984)</f>
        <v>44984</v>
      </c>
      <c r="D1327" s="25" t="str">
        <f ca="1">IFERROR(__xludf.DUMMYFUNCTION("""COMPUTED_VALUE"""),"Educación")</f>
        <v>Educación</v>
      </c>
      <c r="E1327" s="25" t="str">
        <f ca="1">IFERROR(__xludf.DUMMYFUNCTION("""COMPUTED_VALUE"""),"Secretaría de Educación del Distrito")</f>
        <v>Secretaría de Educación del Distrito</v>
      </c>
      <c r="F1327" s="25" t="str">
        <f ca="1">IFERROR(__xludf.DUMMYFUNCTION("""COMPUTED_VALUE"""),"Colegio Carlos Federecci tuvo un caso de violencia sexual y no se trató de la forma adecuada. Revisar ruta adecuada para tratamiento de abuso sexual.")</f>
        <v>Colegio Carlos Federecci tuvo un caso de violencia sexual y no se trató de la forma adecuada. Revisar ruta adecuada para tratamiento de abuso sexual.</v>
      </c>
      <c r="G1327" s="25" t="str">
        <f ca="1">IFERROR(__xludf.DUMMYFUNCTION("""COMPUTED_VALUE"""),"09. Fontibón")</f>
        <v>09. Fontibón</v>
      </c>
      <c r="H1327" s="55">
        <f ca="1">IFERROR(__xludf.DUMMYFUNCTION("""COMPUTED_VALUE"""),45043)</f>
        <v>45043</v>
      </c>
      <c r="I1327" s="25"/>
      <c r="J1327" s="55" t="str">
        <f ca="1">IFERROR(__xludf.DUMMYFUNCTION("""COMPUTED_VALUE"""),"Alta")</f>
        <v>Alta</v>
      </c>
      <c r="K1327" s="25">
        <f ca="1">IFERROR(__xludf.DUMMYFUNCTION("""COMPUTED_VALUE"""),59)</f>
        <v>59</v>
      </c>
      <c r="L1327" s="62">
        <f ca="1">IFERROR(__xludf.DUMMYFUNCTION("""COMPUTED_VALUE"""),45016)</f>
        <v>45016</v>
      </c>
      <c r="M1327" s="25" t="str">
        <f ca="1">IFERROR(__xludf.DUMMYFUNCTION("""COMPUTED_VALUE"""),"Frente a los casos por presunta violencia sexual en el Colegio Carlos Federicci, en el marco de la ruta de atención para el tratamiento de este tipo de situaciones, desde la Oficina para la Convivencia Escolar se acompañó el proceso de activación de proto"&amp;"colo de atención para las tres víctimas identificadas. La información respectiva fue remitida a las entidades compentes: Fiscalía VBG-202311001330933, ICBF 1763461185 y Oficina de Control Disciplinario de Instrucción de la Secretaría de Educación del dist"&amp;"rito, con número de rádicado I-2022-124300.
Adicionalmente, con el fin de fortalecer a la institución educativa, se  desarrollaron espacios pedagógicos en torno a la prevención de las violencias sexuales, dirigidos a estudiantes. Así mismo, se acompaña"&amp;"ron mesa de trabajo por plantón por parte de la comunidad educativa, reiterando el protocolo de atención y las acciones previamente mencionadas.
Por otra parte, en enero de 2023 la institución educativa recibió capacitación frente a los Protocolos de A"&amp;"tención y la Ley 1620 de 2013.")</f>
        <v>Frente a los casos por presunta violencia sexual en el Colegio Carlos Federicci, en el marco de la ruta de atención para el tratamiento de este tipo de situaciones, desde la Oficina para la Convivencia Escolar se acompañó el proceso de activación de protocolo de atención para las tres víctimas identificadas. La información respectiva fue remitida a las entidades compentes: Fiscalía VBG-202311001330933, ICBF 1763461185 y Oficina de Control Disciplinario de Instrucción de la Secretaría de Educación del distrito, con número de rádicado I-2022-124300.
Adicionalmente, con el fin de fortalecer a la institución educativa, se  desarrollaron espacios pedagógicos en torno a la prevención de las violencias sexuales, dirigidos a estudiantes. Así mismo, se acompañaron mesa de trabajo por plantón por parte de la comunidad educativa, reiterando el protocolo de atención y las acciones previamente mencionadas.
Por otra parte, en enero de 2023 la institución educativa recibió capacitación frente a los Protocolos de Atención y la Ley 1620 de 2013.</v>
      </c>
      <c r="N1327" s="55">
        <f ca="1">IFERROR(__xludf.DUMMYFUNCTION("""COMPUTED_VALUE"""),45016)</f>
        <v>45016</v>
      </c>
      <c r="O1327" s="25" t="str">
        <f t="shared" ca="1" si="0"/>
        <v>Secretaría de Educación del Distrito</v>
      </c>
      <c r="P1327" s="25" t="str">
        <f t="shared" si="2"/>
        <v/>
      </c>
      <c r="Q1327" s="25" t="str">
        <f ca="1">IFERROR(__xludf.DUMMYFUNCTION("""COMPUTED_VALUE"""),"Corto plazo")</f>
        <v>Corto plazo</v>
      </c>
      <c r="R1327" s="25"/>
      <c r="S1327" s="55"/>
      <c r="T1327" s="56"/>
      <c r="U1327" s="25"/>
      <c r="V1327" s="25"/>
      <c r="W1327" s="25"/>
      <c r="X1327" s="25"/>
      <c r="Y1327" s="25"/>
      <c r="Z1327" s="25"/>
    </row>
    <row r="1328" spans="1:26" ht="52.5" customHeight="1" x14ac:dyDescent="0.25">
      <c r="A1328" s="25" t="str">
        <f ca="1">IFERROR(__xludf.DUMMYFUNCTION("""COMPUTED_VALUE"""),"Educa126")</f>
        <v>Educa126</v>
      </c>
      <c r="B1328" s="25" t="str">
        <f ca="1">IFERROR(__xludf.DUMMYFUNCTION("""COMPUTED_VALUE"""),"Recorrido Tunjuelito")</f>
        <v>Recorrido Tunjuelito</v>
      </c>
      <c r="C1328" s="55">
        <f ca="1">IFERROR(__xludf.DUMMYFUNCTION("""COMPUTED_VALUE"""),44992)</f>
        <v>44992</v>
      </c>
      <c r="D1328" s="25" t="str">
        <f ca="1">IFERROR(__xludf.DUMMYFUNCTION("""COMPUTED_VALUE"""),"Educación")</f>
        <v>Educación</v>
      </c>
      <c r="E1328" s="25" t="str">
        <f ca="1">IFERROR(__xludf.DUMMYFUNCTION("""COMPUTED_VALUE"""),"Secretaría de Educación del Distrito")</f>
        <v>Secretaría de Educación del Distrito</v>
      </c>
      <c r="F1328" s="25" t="str">
        <f ca="1">IFERROR(__xludf.DUMMYFUNCTION("""COMPUTED_VALUE"""),"Potenciar el programa de la Alcaldía Local sobre preparación de jóvenes a la universidad, brindando con las Instituciones educativas distritales orientación profesional.")</f>
        <v>Potenciar el programa de la Alcaldía Local sobre preparación de jóvenes a la universidad, brindando con las Instituciones educativas distritales orientación profesional.</v>
      </c>
      <c r="G1328" s="25" t="str">
        <f ca="1">IFERROR(__xludf.DUMMYFUNCTION("""COMPUTED_VALUE"""),"99. Distrito")</f>
        <v>99. Distrito</v>
      </c>
      <c r="H1328" s="55">
        <f ca="1">IFERROR(__xludf.DUMMYFUNCTION("""COMPUTED_VALUE"""),45137)</f>
        <v>45137</v>
      </c>
      <c r="I1328" s="25" t="str">
        <f ca="1">IFERROR(__xludf.DUMMYFUNCTION("""COMPUTED_VALUE"""),"Delivery Unit")</f>
        <v>Delivery Unit</v>
      </c>
      <c r="J1328" s="55" t="str">
        <f ca="1">IFERROR(__xludf.DUMMYFUNCTION("""COMPUTED_VALUE"""),"Alta")</f>
        <v>Alta</v>
      </c>
      <c r="K1328" s="25">
        <f ca="1">IFERROR(__xludf.DUMMYFUNCTION("""COMPUTED_VALUE"""),145)</f>
        <v>145</v>
      </c>
      <c r="L1328" s="62">
        <f ca="1">IFERROR(__xludf.DUMMYFUNCTION("""COMPUTED_VALUE"""),45061)</f>
        <v>45061</v>
      </c>
      <c r="M1328" s="25" t="str">
        <f ca="1">IFERROR(__xludf.DUMMYFUNCTION("""COMPUTED_VALUE"""),"Para potenciar el programa ""Prepárate para la U"" de la Alcaldía Local de Tunjuelito es preciso contar con pasantes beneficiarios del Fondo FEST, quienes deben ser debidamente vinculados a la respectiva Administradora de Riesgos Laborales (ARL).
El 9 de"&amp;" mayo de 2023 se desarrolló reunión entre el equipo del Fondo Desarrollo Local (FDL) de Tunjuelito y la Dirección de Talento Humano (DTH) de la SED, donde se compartieron recomendaciones y líneas de acción sobre el proceso de trámite de ARL de los pasante"&amp;"s que se pretenden vincular por parte del FDL de Tunjuelito.
La DTH también asesoró al equipo del FDL de Tunjuelito y a los profesores que hacen parte del programa ""Prepápate para la U"" para realizar la vinculación a la ARL, recomendándoles consultar c"&amp;"on la entidad cabeza del sector Gobierno, la cual se encarga de afiliar a sus colaboradores a la ARL, revisar la posibilidad de vincular a jóvenes pertenecientes al Fondo FEST.
De la respuesta que sea emitida por el área de Talento Humano de la Secretarí"&amp;"a Distrital de Gobierno dependerá la posibilidad de que pasantes del Fondo FEST apoyen el programa impulsado por la Alcaldía Local de Tunjuelito.
Por otra parte, desde la estrategia de Orientación Socio Ocupacional ""Yo Puedo Ser"" que promueve la Direcc"&amp;"ión de Educación Media de la SED, se realizaron 2 talleres en la localidad de Tunjuelito a los jóvenes del programa ""Prepárate para la U"", así: 11 de abril de 2023 en jornada mañana con 116 asistentes y en jornada tarde con 53 asistentes.")</f>
        <v>Para potenciar el programa "Prepárate para la U" de la Alcaldía Local de Tunjuelito es preciso contar con pasantes beneficiarios del Fondo FEST, quienes deben ser debidamente vinculados a la respectiva Administradora de Riesgos Laborales (ARL).
El 9 de mayo de 2023 se desarrolló reunión entre el equipo del Fondo Desarrollo Local (FDL) de Tunjuelito y la Dirección de Talento Humano (DTH) de la SED, donde se compartieron recomendaciones y líneas de acción sobre el proceso de trámite de ARL de los pasantes que se pretenden vincular por parte del FDL de Tunjuelito.
La DTH también asesoró al equipo del FDL de Tunjuelito y a los profesores que hacen parte del programa "Prepápate para la U" para realizar la vinculación a la ARL, recomendándoles consultar con la entidad cabeza del sector Gobierno, la cual se encarga de afiliar a sus colaboradores a la ARL, revisar la posibilidad de vincular a jóvenes pertenecientes al Fondo FEST.
De la respuesta que sea emitida por el área de Talento Humano de la Secretaría Distrital de Gobierno dependerá la posibilidad de que pasantes del Fondo FEST apoyen el programa impulsado por la Alcaldía Local de Tunjuelito.
Por otra parte, desde la estrategia de Orientación Socio Ocupacional "Yo Puedo Ser" que promueve la Dirección de Educación Media de la SED, se realizaron 2 talleres en la localidad de Tunjuelito a los jóvenes del programa "Prepárate para la U", así: 11 de abril de 2023 en jornada mañana con 116 asistentes y en jornada tarde con 53 asistentes.</v>
      </c>
      <c r="N1328" s="55">
        <f ca="1">IFERROR(__xludf.DUMMYFUNCTION("""COMPUTED_VALUE"""),45055)</f>
        <v>45055</v>
      </c>
      <c r="O1328" s="25" t="str">
        <f t="shared" ca="1" si="0"/>
        <v>Secretaría de Educación del Distrito</v>
      </c>
      <c r="P1328" s="25" t="str">
        <f t="shared" ca="1" si="2"/>
        <v/>
      </c>
      <c r="Q1328" s="25" t="str">
        <f ca="1">IFERROR(__xludf.DUMMYFUNCTION("""COMPUTED_VALUE"""),"Mediano plazo")</f>
        <v>Mediano plazo</v>
      </c>
      <c r="R1328" s="25"/>
      <c r="S1328" s="55"/>
      <c r="T1328" s="56"/>
      <c r="U1328" s="25"/>
      <c r="V1328" s="25"/>
      <c r="W1328" s="25"/>
      <c r="X1328" s="25"/>
      <c r="Y1328" s="25"/>
      <c r="Z1328" s="25"/>
    </row>
    <row r="1329" spans="1:26" ht="52.5" customHeight="1" x14ac:dyDescent="0.25">
      <c r="A1329" s="25" t="str">
        <f ca="1">IFERROR(__xludf.DUMMYFUNCTION("""COMPUTED_VALUE"""),"Educa127")</f>
        <v>Educa127</v>
      </c>
      <c r="B1329" s="25" t="str">
        <f ca="1">IFERROR(__xludf.DUMMYFUNCTION("""COMPUTED_VALUE"""),"Recorrido Tunjuelito")</f>
        <v>Recorrido Tunjuelito</v>
      </c>
      <c r="C1329" s="55"/>
      <c r="D1329" s="25" t="str">
        <f ca="1">IFERROR(__xludf.DUMMYFUNCTION("""COMPUTED_VALUE"""),"Educación")</f>
        <v>Educación</v>
      </c>
      <c r="E1329" s="25" t="str">
        <f ca="1">IFERROR(__xludf.DUMMYFUNCTION("""COMPUTED_VALUE"""),"Secretaría de Educación del Distrito")</f>
        <v>Secretaría de Educación del Distrito</v>
      </c>
      <c r="F1329" s="25" t="str">
        <f ca="1">IFERROR(__xludf.DUMMYFUNCTION("""COMPUTED_VALUE"""),"Eliminada")</f>
        <v>Eliminada</v>
      </c>
      <c r="G1329" s="25"/>
      <c r="H1329" s="25"/>
      <c r="I1329" s="25"/>
      <c r="J1329" s="55"/>
      <c r="K1329" s="25" t="str">
        <f ca="1">IFERROR(__xludf.DUMMYFUNCTION("""COMPUTED_VALUE"""),"Definir fecha")</f>
        <v>Definir fecha</v>
      </c>
      <c r="L1329" s="62"/>
      <c r="M1329" s="25"/>
      <c r="N1329" s="25"/>
      <c r="O1329" s="25" t="str">
        <f t="shared" ca="1" si="0"/>
        <v>Secretaría de Educación del Distrito</v>
      </c>
      <c r="P1329" s="25" t="str">
        <f t="shared" si="2"/>
        <v/>
      </c>
      <c r="Q1329" s="25" t="str">
        <f ca="1">IFERROR(__xludf.DUMMYFUNCTION("""COMPUTED_VALUE"""),"Sin defenir")</f>
        <v>Sin defenir</v>
      </c>
      <c r="R1329" s="25"/>
      <c r="S1329" s="55"/>
      <c r="T1329" s="56"/>
      <c r="U1329" s="25"/>
      <c r="V1329" s="25"/>
      <c r="W1329" s="25"/>
      <c r="X1329" s="25"/>
      <c r="Y1329" s="25"/>
      <c r="Z1329" s="25"/>
    </row>
    <row r="1330" spans="1:26" ht="52.5" customHeight="1" x14ac:dyDescent="0.25">
      <c r="A1330" s="25" t="str">
        <f ca="1">IFERROR(__xludf.DUMMYFUNCTION("""COMPUTED_VALUE"""),"Educa128")</f>
        <v>Educa128</v>
      </c>
      <c r="B1330" s="25" t="str">
        <f ca="1">IFERROR(__xludf.DUMMYFUNCTION("""COMPUTED_VALUE"""),"Recorrido Antonio Nariño")</f>
        <v>Recorrido Antonio Nariño</v>
      </c>
      <c r="C1330" s="55">
        <f ca="1">IFERROR(__xludf.DUMMYFUNCTION("""COMPUTED_VALUE"""),44999)</f>
        <v>44999</v>
      </c>
      <c r="D1330" s="25" t="str">
        <f ca="1">IFERROR(__xludf.DUMMYFUNCTION("""COMPUTED_VALUE"""),"Educación")</f>
        <v>Educación</v>
      </c>
      <c r="E1330" s="25" t="str">
        <f ca="1">IFERROR(__xludf.DUMMYFUNCTION("""COMPUTED_VALUE"""),"Agencia Distrital para la Educación Superior, la Ciencia y la Tecnología")</f>
        <v>Agencia Distrital para la Educación Superior, la Ciencia y la Tecnología</v>
      </c>
      <c r="F1330" s="25" t="str">
        <f ca="1">IFERROR(__xludf.DUMMYFUNCTION("""COMPUTED_VALUE"""),"Realizar socialización de jóvenes a la U, todos a la U y bachillerato flexible en las casas de juventud del Distrito.")</f>
        <v>Realizar socialización de jóvenes a la U, todos a la U y bachillerato flexible en las casas de juventud del Distrito.</v>
      </c>
      <c r="G1330" s="25" t="str">
        <f ca="1">IFERROR(__xludf.DUMMYFUNCTION("""COMPUTED_VALUE"""),"99. Distrito")</f>
        <v>99. Distrito</v>
      </c>
      <c r="H1330" s="55">
        <f ca="1">IFERROR(__xludf.DUMMYFUNCTION("""COMPUTED_VALUE"""),45031)</f>
        <v>45031</v>
      </c>
      <c r="I1330" s="25" t="str">
        <f ca="1">IFERROR(__xludf.DUMMYFUNCTION("""COMPUTED_VALUE"""),"Secretaría Privada")</f>
        <v>Secretaría Privada</v>
      </c>
      <c r="J1330" s="55" t="str">
        <f ca="1">IFERROR(__xludf.DUMMYFUNCTION("""COMPUTED_VALUE"""),"Alta")</f>
        <v>Alta</v>
      </c>
      <c r="K1330" s="25">
        <f ca="1">IFERROR(__xludf.DUMMYFUNCTION("""COMPUTED_VALUE"""),32)</f>
        <v>32</v>
      </c>
      <c r="L1330" s="62">
        <f ca="1">IFERROR(__xludf.DUMMYFUNCTION("""COMPUTED_VALUE"""),45061)</f>
        <v>45061</v>
      </c>
      <c r="M1330" s="25" t="str">
        <f ca="1">IFERROR(__xludf.DUMMYFUNCTION("""COMPUTED_VALUE"""),"Se desarrolló el siguiente cronograma de trabajo entre ATENEA y la Subdirección de Juventud de la Secretaría Distrital de Integración Social (SDIS), en el que se realizaron festivales del Programa ""Jóvenes a la U"" y difundió información de los programas"&amp;" ""Todos a la U"" y ""Bachillerato Flexible"" en las 12 casas de Juventud del Distrito:
• 4 de mayo de 2-5 pm: Antonio Nariño, CJ Antonio Nariño, Cra 22 #19-26 sur.
• 5 de mayo de 9-12 m: Bosa, CJ José Saramago, Cra 81b #73c 22 sur.
• 6 de mayo de 9-12 m"&amp;": La Candelaria, CJ Nacho Sánchez, Cra 3 Este #9-58.
• 6 de mayo de 2-5 pm: Ciudad Bolívar, CJ Ayelén Cll 65a sur #17c-30.
• 8 de mayo de 9-12 m: San Cristóbal, CJ Damawha, Cra 1 Este #10-48 sur.
• 9 de mayo de 9-12 m: Engativá, CJ Aldea de Pensadores, Cl"&amp;"l 70 #88a-07.
• 9 de mayo de 2-5 pm: Fontibón, CJ Huitaca Cll 22j #112-36.
• 10 de mayo de 2-5 pm: Suba, CJ Diego Felipe Becerra, Cra 125 #132c-82.
• 11 de mayo de 9-12 m: Usme, CJ El Frailejón, Cll 91sur #4c-26.
• 11 de mayo de 2-5 pm: Los Mártires, CJ C"&amp;"ACMA, Cll 24 #27a-31.
• 12 de mayo de 2-5 pm, Chapinero, CJ Chapinero, Cll 65a # 1-60.
• 15 de mayo de 9-12m: Barrios Unidos, CJ Nasqua Cra 55 #70a-33.
De otro lado, el 3 de mayo se lleó a cabo ""Campus a la U"" en el Parque Metropolitano Simón Bolívar, "&amp;"en donde se difundió información del Programa ""Jóvenes a la U"" a más de 10.000 asistentes.")</f>
        <v>Se desarrolló el siguiente cronograma de trabajo entre ATENEA y la Subdirección de Juventud de la Secretaría Distrital de Integración Social (SDIS), en el que se realizaron festivales del Programa "Jóvenes a la U" y difundió información de los programas "Todos a la U" y "Bachillerato Flexible" en las 12 casas de Juventud del Distrito:
• 4 de mayo de 2-5 pm: Antonio Nariño, CJ Antonio Nariño, Cra 22 #19-26 sur.
• 5 de mayo de 9-12 m: Bosa, CJ José Saramago, Cra 81b #73c 22 sur.
• 6 de mayo de 9-12 m: La Candelaria, CJ Nacho Sánchez, Cra 3 Este #9-58.
• 6 de mayo de 2-5 pm: Ciudad Bolívar, CJ Ayelén Cll 65a sur #17c-30.
• 8 de mayo de 9-12 m: San Cristóbal, CJ Damawha, Cra 1 Este #10-48 sur.
• 9 de mayo de 9-12 m: Engativá, CJ Aldea de Pensadores, Cll 70 #88a-07.
• 9 de mayo de 2-5 pm: Fontibón, CJ Huitaca Cll 22j #112-36.
• 10 de mayo de 2-5 pm: Suba, CJ Diego Felipe Becerra, Cra 125 #132c-82.
• 11 de mayo de 9-12 m: Usme, CJ El Frailejón, Cll 91sur #4c-26.
• 11 de mayo de 2-5 pm: Los Mártires, CJ CACMA, Cll 24 #27a-31.
• 12 de mayo de 2-5 pm, Chapinero, CJ Chapinero, Cll 65a # 1-60.
• 15 de mayo de 9-12m: Barrios Unidos, CJ Nasqua Cra 55 #70a-33.
De otro lado, el 3 de mayo se lleó a cabo "Campus a la U" en el Parque Metropolitano Simón Bolívar, en donde se difundió información del Programa "Jóvenes a la U" a más de 10.000 asistentes.</v>
      </c>
      <c r="N1330" s="55">
        <f ca="1">IFERROR(__xludf.DUMMYFUNCTION("""COMPUTED_VALUE"""),45061)</f>
        <v>45061</v>
      </c>
      <c r="O1330" s="25" t="str">
        <f t="shared" ca="1" si="0"/>
        <v>Agencia Distrital para la Educación Superior, la Ciencia y la Tecnología</v>
      </c>
      <c r="P1330" s="25" t="str">
        <f t="shared" ca="1" si="2"/>
        <v/>
      </c>
      <c r="Q1330" s="25" t="str">
        <f ca="1">IFERROR(__xludf.DUMMYFUNCTION("""COMPUTED_VALUE"""),"Corto plazo")</f>
        <v>Corto plazo</v>
      </c>
      <c r="R1330" s="25"/>
      <c r="S1330" s="55"/>
      <c r="T1330" s="56"/>
      <c r="U1330" s="25"/>
      <c r="V1330" s="25"/>
      <c r="W1330" s="25"/>
      <c r="X1330" s="25"/>
      <c r="Y1330" s="25"/>
      <c r="Z1330" s="25"/>
    </row>
    <row r="1331" spans="1:26" ht="52.5" customHeight="1" x14ac:dyDescent="0.25">
      <c r="A1331" s="25" t="str">
        <f ca="1">IFERROR(__xludf.DUMMYFUNCTION("""COMPUTED_VALUE"""),"Educa129")</f>
        <v>Educa129</v>
      </c>
      <c r="B1331" s="25" t="str">
        <f ca="1">IFERROR(__xludf.DUMMYFUNCTION("""COMPUTED_VALUE"""),"Recorrido Antonio Nariño")</f>
        <v>Recorrido Antonio Nariño</v>
      </c>
      <c r="C1331" s="55">
        <f ca="1">IFERROR(__xludf.DUMMYFUNCTION("""COMPUTED_VALUE"""),44999)</f>
        <v>44999</v>
      </c>
      <c r="D1331" s="25" t="str">
        <f ca="1">IFERROR(__xludf.DUMMYFUNCTION("""COMPUTED_VALUE"""),"Educación")</f>
        <v>Educación</v>
      </c>
      <c r="E1331" s="25" t="str">
        <f ca="1">IFERROR(__xludf.DUMMYFUNCTION("""COMPUTED_VALUE"""),"Secretaría de Educación del Distrito")</f>
        <v>Secretaría de Educación del Distrito</v>
      </c>
      <c r="F1331" s="25" t="str">
        <f ca="1">IFERROR(__xludf.DUMMYFUNCTION("""COMPUTED_VALUE"""),"Revisar la viabilidad del uso de la “Escuela de la Sabiduría” del colegio Guillermo León Valencia, como sede de la manzana del cuidado en la localidad o como punto para impartir formación flexible.")</f>
        <v>Revisar la viabilidad del uso de la “Escuela de la Sabiduría” del colegio Guillermo León Valencia, como sede de la manzana del cuidado en la localidad o como punto para impartir formación flexible.</v>
      </c>
      <c r="G1331" s="25" t="str">
        <f ca="1">IFERROR(__xludf.DUMMYFUNCTION("""COMPUTED_VALUE"""),"15. Antonio Nariño")</f>
        <v>15. Antonio Nariño</v>
      </c>
      <c r="H1331" s="55">
        <f ca="1">IFERROR(__xludf.DUMMYFUNCTION("""COMPUTED_VALUE"""),45107)</f>
        <v>45107</v>
      </c>
      <c r="I1331" s="25" t="str">
        <f ca="1">IFERROR(__xludf.DUMMYFUNCTION("""COMPUTED_VALUE"""),"Secretaría Privada")</f>
        <v>Secretaría Privada</v>
      </c>
      <c r="J1331" s="55" t="str">
        <f ca="1">IFERROR(__xludf.DUMMYFUNCTION("""COMPUTED_VALUE"""),"Alta")</f>
        <v>Alta</v>
      </c>
      <c r="K1331" s="25">
        <f ca="1">IFERROR(__xludf.DUMMYFUNCTION("""COMPUTED_VALUE"""),108)</f>
        <v>108</v>
      </c>
      <c r="L1331" s="62">
        <f ca="1">IFERROR(__xludf.DUMMYFUNCTION("""COMPUTED_VALUE"""),45077)</f>
        <v>45077</v>
      </c>
      <c r="M1331" s="25" t="str">
        <f ca="1">IFERROR(__xludf.DUMMYFUNCTION("""COMPUTED_VALUE"""),"Resultado del análisis surtido, se estableció por la Dirección  Local de Educación (DILE) Antonio Nariño que el mecanismo pertinente para ofertar una Estrategia Educativa Flexible en el Colegio Guillermo León Valencia IED es a través del Sistema Distrital"&amp;" de Cuidado. También es considerada factible la posibilidad de usar la “Escuela de la Sabiduría” del Colegio como sede de la Manzana del Cuidado en la Localidad.
Teniendo en cuenta lo anterior, es necesario que la Alcaldía Mayor y la Secretaría Distrital"&amp;" de la Mujer definan si se dará o no apertura en 2023 a la Manzana del Cuidado de Antonio Nariño.
La SED estará atenta a las indicaciones que se den para generar la oferta educativa en el marco de la Manzana del Cuidado de esta localidad.")</f>
        <v>Resultado del análisis surtido, se estableció por la Dirección  Local de Educación (DILE) Antonio Nariño que el mecanismo pertinente para ofertar una Estrategia Educativa Flexible en el Colegio Guillermo León Valencia IED es a través del Sistema Distrital de Cuidado. También es considerada factible la posibilidad de usar la “Escuela de la Sabiduría” del Colegio como sede de la Manzana del Cuidado en la Localidad.
Teniendo en cuenta lo anterior, es necesario que la Alcaldía Mayor y la Secretaría Distrital de la Mujer definan si se dará o no apertura en 2023 a la Manzana del Cuidado de Antonio Nariño.
La SED estará atenta a las indicaciones que se den para generar la oferta educativa en el marco de la Manzana del Cuidado de esta localidad.</v>
      </c>
      <c r="N1331" s="55">
        <f ca="1">IFERROR(__xludf.DUMMYFUNCTION("""COMPUTED_VALUE"""),45077)</f>
        <v>45077</v>
      </c>
      <c r="O1331" s="25" t="str">
        <f t="shared" ca="1" si="0"/>
        <v>Secretaría de Educación del Distrito</v>
      </c>
      <c r="P1331" s="25" t="str">
        <f t="shared" ca="1" si="2"/>
        <v/>
      </c>
      <c r="Q1331" s="25" t="str">
        <f ca="1">IFERROR(__xludf.DUMMYFUNCTION("""COMPUTED_VALUE"""),"Mediano plazo")</f>
        <v>Mediano plazo</v>
      </c>
      <c r="R1331" s="25"/>
      <c r="S1331" s="55"/>
      <c r="T1331" s="56"/>
      <c r="U1331" s="25"/>
      <c r="V1331" s="25"/>
      <c r="W1331" s="25"/>
      <c r="X1331" s="25"/>
      <c r="Y1331" s="25"/>
      <c r="Z1331" s="25"/>
    </row>
    <row r="1332" spans="1:26" ht="52.5" customHeight="1" x14ac:dyDescent="0.25">
      <c r="A1332" s="25" t="str">
        <f ca="1">IFERROR(__xludf.DUMMYFUNCTION("""COMPUTED_VALUE"""),"Educa130")</f>
        <v>Educa130</v>
      </c>
      <c r="B1332" s="25"/>
      <c r="C1332" s="55"/>
      <c r="D1332" s="25" t="str">
        <f ca="1">IFERROR(__xludf.DUMMYFUNCTION("""COMPUTED_VALUE"""),"Educación")</f>
        <v>Educación</v>
      </c>
      <c r="E1332" s="25" t="str">
        <f ca="1">IFERROR(__xludf.DUMMYFUNCTION("""COMPUTED_VALUE"""),"Secretaría de Educación del Distrito")</f>
        <v>Secretaría de Educación del Distrito</v>
      </c>
      <c r="F1332" s="25" t="str">
        <f ca="1">IFERROR(__xludf.DUMMYFUNCTION("""COMPUTED_VALUE"""),"Eiliminada")</f>
        <v>Eiliminada</v>
      </c>
      <c r="G1332" s="25"/>
      <c r="H1332" s="25"/>
      <c r="I1332" s="25"/>
      <c r="J1332" s="55"/>
      <c r="K1332" s="25" t="str">
        <f ca="1">IFERROR(__xludf.DUMMYFUNCTION("""COMPUTED_VALUE"""),"Definir fecha")</f>
        <v>Definir fecha</v>
      </c>
      <c r="L1332" s="62"/>
      <c r="M1332" s="25"/>
      <c r="N1332" s="25"/>
      <c r="O1332" s="25" t="str">
        <f t="shared" ca="1" si="0"/>
        <v>Secretaría de Educación del Distrito</v>
      </c>
      <c r="P1332" s="25" t="str">
        <f t="shared" si="2"/>
        <v/>
      </c>
      <c r="Q1332" s="25" t="str">
        <f ca="1">IFERROR(__xludf.DUMMYFUNCTION("""COMPUTED_VALUE"""),"Sin defenir")</f>
        <v>Sin defenir</v>
      </c>
      <c r="R1332" s="25"/>
      <c r="S1332" s="55"/>
      <c r="T1332" s="56"/>
      <c r="U1332" s="25"/>
      <c r="V1332" s="25"/>
      <c r="W1332" s="25"/>
      <c r="X1332" s="25"/>
      <c r="Y1332" s="25"/>
      <c r="Z1332" s="25"/>
    </row>
    <row r="1333" spans="1:26" ht="52.5" customHeight="1" x14ac:dyDescent="0.25">
      <c r="A1333" s="25" t="str">
        <f ca="1">IFERROR(__xludf.DUMMYFUNCTION("""COMPUTED_VALUE"""),"Educa131")</f>
        <v>Educa131</v>
      </c>
      <c r="B1333" s="25" t="str">
        <f ca="1">IFERROR(__xludf.DUMMYFUNCTION("""COMPUTED_VALUE"""),"Recorrido Rafael Uribe Uribe")</f>
        <v>Recorrido Rafael Uribe Uribe</v>
      </c>
      <c r="C1333" s="55">
        <f ca="1">IFERROR(__xludf.DUMMYFUNCTION("""COMPUTED_VALUE"""),45006)</f>
        <v>45006</v>
      </c>
      <c r="D1333" s="25" t="str">
        <f ca="1">IFERROR(__xludf.DUMMYFUNCTION("""COMPUTED_VALUE"""),"Educación")</f>
        <v>Educación</v>
      </c>
      <c r="E1333" s="25" t="str">
        <f ca="1">IFERROR(__xludf.DUMMYFUNCTION("""COMPUTED_VALUE"""),"Secretaría de Educación del Distrito")</f>
        <v>Secretaría de Educación del Distrito</v>
      </c>
      <c r="F1333" s="25" t="str">
        <f ca="1">IFERROR(__xludf.DUMMYFUNCTION("""COMPUTED_VALUE"""),"Atender y brindar solución a la problemática de filtración de agua presente en el colegio Restrepo Millán sede B.")</f>
        <v>Atender y brindar solución a la problemática de filtración de agua presente en el colegio Restrepo Millán sede B.</v>
      </c>
      <c r="G1333" s="25" t="str">
        <f ca="1">IFERROR(__xludf.DUMMYFUNCTION("""COMPUTED_VALUE"""),"18. Rafael Uribe Uribe")</f>
        <v>18. Rafael Uribe Uribe</v>
      </c>
      <c r="H1333" s="55">
        <f ca="1">IFERROR(__xludf.DUMMYFUNCTION("""COMPUTED_VALUE"""),45031)</f>
        <v>45031</v>
      </c>
      <c r="I1333" s="25"/>
      <c r="J1333" s="55" t="str">
        <f ca="1">IFERROR(__xludf.DUMMYFUNCTION("""COMPUTED_VALUE"""),"Alta")</f>
        <v>Alta</v>
      </c>
      <c r="K1333" s="25">
        <f ca="1">IFERROR(__xludf.DUMMYFUNCTION("""COMPUTED_VALUE"""),25)</f>
        <v>25</v>
      </c>
      <c r="L1333" s="62">
        <f ca="1">IFERROR(__xludf.DUMMYFUNCTION("""COMPUTED_VALUE"""),45016)</f>
        <v>45016</v>
      </c>
      <c r="M1333" s="25" t="str">
        <f ca="1">IFERROR(__xludf.DUMMYFUNCTION("""COMPUTED_VALUE"""),"Se solicitó a la Empresa de Acueducto y Alcantarillado de Bogotá (EAAB) la realización del servicio de Geofonía al Colegio Restrepo Millán IED Sede C-El Pesebre, en la parte superior del talud.  
Igualmente, se convocaron reuniones con la rectora de la"&amp;" institución educativa para dialogar acerca de la recomendación de evacuación de la sede C, mientras se obtiene el reporte de Geofonía y se realizan los procedimientos a que haya lugar. 
El día 30 de marzo de 2023 la EAAB reportó, como avance de la ges"&amp;"tión realizada: “De acuerdo con lo anterior y teniendo en cuenta lo informado por la institución en el sentido que la filtración continúa, se procedió a solicitar a la División de Red Matriz Acueducto, efectuar una revisión a la red matriz para establecer"&amp;" las posibles causas de la filtración. Una vez el área mencionada efectué la revisión a la red y emita el resultado, le comunicaremos por este medio”. 
La Dirección de Construcción y Conservación de Establecimientos Educativos estará atenta a la respue"&amp;"sta de la División Red Matriz de la EAAB. ")</f>
        <v xml:space="preserve">Se solicitó a la Empresa de Acueducto y Alcantarillado de Bogotá (EAAB) la realización del servicio de Geofonía al Colegio Restrepo Millán IED Sede C-El Pesebre, en la parte superior del talud.  
Igualmente, se convocaron reuniones con la rectora de la institución educativa para dialogar acerca de la recomendación de evacuación de la sede C, mientras se obtiene el reporte de Geofonía y se realizan los procedimientos a que haya lugar. 
El día 30 de marzo de 2023 la EAAB reportó, como avance de la gestión realizada: “De acuerdo con lo anterior y teniendo en cuenta lo informado por la institución en el sentido que la filtración continúa, se procedió a solicitar a la División de Red Matriz Acueducto, efectuar una revisión a la red matriz para establecer las posibles causas de la filtración. Una vez el área mencionada efectué la revisión a la red y emita el resultado, le comunicaremos por este medio”. 
La Dirección de Construcción y Conservación de Establecimientos Educativos estará atenta a la respuesta de la División Red Matriz de la EAAB. </v>
      </c>
      <c r="N1333" s="55">
        <f ca="1">IFERROR(__xludf.DUMMYFUNCTION("""COMPUTED_VALUE"""),45016)</f>
        <v>45016</v>
      </c>
      <c r="O1333" s="25" t="str">
        <f t="shared" ca="1" si="0"/>
        <v>Secretaría de Educación del Distrito</v>
      </c>
      <c r="P1333" s="25" t="str">
        <f t="shared" si="2"/>
        <v/>
      </c>
      <c r="Q1333" s="25" t="str">
        <f ca="1">IFERROR(__xludf.DUMMYFUNCTION("""COMPUTED_VALUE"""),"Corto plazo")</f>
        <v>Corto plazo</v>
      </c>
      <c r="R1333" s="25"/>
      <c r="S1333" s="55"/>
      <c r="T1333" s="56"/>
      <c r="U1333" s="25"/>
      <c r="V1333" s="25"/>
      <c r="W1333" s="25"/>
      <c r="X1333" s="25"/>
      <c r="Y1333" s="25"/>
      <c r="Z1333" s="25"/>
    </row>
    <row r="1334" spans="1:26" ht="52.5" customHeight="1" x14ac:dyDescent="0.25">
      <c r="A1334" s="25" t="str">
        <f ca="1">IFERROR(__xludf.DUMMYFUNCTION("""COMPUTED_VALUE"""),"Educa132")</f>
        <v>Educa132</v>
      </c>
      <c r="B1334" s="25" t="str">
        <f ca="1">IFERROR(__xludf.DUMMYFUNCTION("""COMPUTED_VALUE"""),"Recorrido Puente Aranda")</f>
        <v>Recorrido Puente Aranda</v>
      </c>
      <c r="C1334" s="55">
        <f ca="1">IFERROR(__xludf.DUMMYFUNCTION("""COMPUTED_VALUE"""),44971)</f>
        <v>44971</v>
      </c>
      <c r="D1334" s="25" t="str">
        <f ca="1">IFERROR(__xludf.DUMMYFUNCTION("""COMPUTED_VALUE"""),"Educación")</f>
        <v>Educación</v>
      </c>
      <c r="E1334" s="25" t="str">
        <f ca="1">IFERROR(__xludf.DUMMYFUNCTION("""COMPUTED_VALUE"""),"Secretaría de Educación del Distrito")</f>
        <v>Secretaría de Educación del Distrito</v>
      </c>
      <c r="F1334" s="25" t="str">
        <f ca="1">IFERROR(__xludf.DUMMYFUNCTION("""COMPUTED_VALUE"""),"Colegio La Merced: Antes del viernes 17 de febrero debe quedar aprobada la solicitud de RETIE por parte de ENEL Codensa.")</f>
        <v>Colegio La Merced: Antes del viernes 17 de febrero debe quedar aprobada la solicitud de RETIE por parte de ENEL Codensa.</v>
      </c>
      <c r="G1334" s="25" t="str">
        <f ca="1">IFERROR(__xludf.DUMMYFUNCTION("""COMPUTED_VALUE"""),"16. Puente Aranda")</f>
        <v>16. Puente Aranda</v>
      </c>
      <c r="H1334" s="55">
        <f ca="1">IFERROR(__xludf.DUMMYFUNCTION("""COMPUTED_VALUE"""),45092)</f>
        <v>45092</v>
      </c>
      <c r="I1334" s="25" t="str">
        <f ca="1">IFERROR(__xludf.DUMMYFUNCTION("""COMPUTED_VALUE"""),"Jefatura de Gabinete")</f>
        <v>Jefatura de Gabinete</v>
      </c>
      <c r="J1334" s="55" t="str">
        <f ca="1">IFERROR(__xludf.DUMMYFUNCTION("""COMPUTED_VALUE"""),"Alta")</f>
        <v>Alta</v>
      </c>
      <c r="K1334" s="25">
        <f ca="1">IFERROR(__xludf.DUMMYFUNCTION("""COMPUTED_VALUE"""),121)</f>
        <v>121</v>
      </c>
      <c r="L1334" s="62">
        <f ca="1">IFERROR(__xludf.DUMMYFUNCTION("""COMPUTED_VALUE"""),45077)</f>
        <v>45077</v>
      </c>
      <c r="M1334" s="25" t="str">
        <f ca="1">IFERROR(__xludf.DUMMYFUNCTION("""COMPUTED_VALUE"""),"La oferta comercial para el RETIE tiene un valor de $612.915.271. Se adelantan gestiones para la consecución de los recursos y definición de la contratación.
Dados los ajustes presupuestales en los que se encuentra la SED, no ha sido posible definir si"&amp;" se cuenta o no con los recursos para efectuar esta inversión.")</f>
        <v>La oferta comercial para el RETIE tiene un valor de $612.915.271. Se adelantan gestiones para la consecución de los recursos y definición de la contratación.
Dados los ajustes presupuestales en los que se encuentra la SED, no ha sido posible definir si se cuenta o no con los recursos para efectuar esta inversión.</v>
      </c>
      <c r="N1334" s="25"/>
      <c r="O1334" s="25" t="str">
        <f t="shared" ca="1" si="0"/>
        <v>Secretaría de Educación del Distrito</v>
      </c>
      <c r="P1334" s="25" t="str">
        <f t="shared" ca="1" si="2"/>
        <v/>
      </c>
      <c r="Q1334" s="25" t="str">
        <f ca="1">IFERROR(__xludf.DUMMYFUNCTION("""COMPUTED_VALUE"""),"Mediano plazo")</f>
        <v>Mediano plazo</v>
      </c>
      <c r="R1334" s="25"/>
      <c r="S1334" s="55"/>
      <c r="T1334" s="56"/>
      <c r="U1334" s="25"/>
      <c r="V1334" s="25"/>
      <c r="W1334" s="25"/>
      <c r="X1334" s="25"/>
      <c r="Y1334" s="25"/>
      <c r="Z1334" s="25"/>
    </row>
    <row r="1335" spans="1:26" ht="52.5" customHeight="1" x14ac:dyDescent="0.25">
      <c r="A1335" s="25" t="str">
        <f ca="1">IFERROR(__xludf.DUMMYFUNCTION("""COMPUTED_VALUE"""),"Educa133")</f>
        <v>Educa133</v>
      </c>
      <c r="B1335" s="25" t="str">
        <f ca="1">IFERROR(__xludf.DUMMYFUNCTION("""COMPUTED_VALUE"""),"Consejo Local de Gobierno de Engativá")</f>
        <v>Consejo Local de Gobierno de Engativá</v>
      </c>
      <c r="C1335" s="55">
        <f ca="1">IFERROR(__xludf.DUMMYFUNCTION("""COMPUTED_VALUE"""),44588)</f>
        <v>44588</v>
      </c>
      <c r="D1335" s="25" t="str">
        <f ca="1">IFERROR(__xludf.DUMMYFUNCTION("""COMPUTED_VALUE"""),"Educación")</f>
        <v>Educación</v>
      </c>
      <c r="E1335" s="25" t="str">
        <f ca="1">IFERROR(__xludf.DUMMYFUNCTION("""COMPUTED_VALUE"""),"Secretaría de Educación del Distrito")</f>
        <v>Secretaría de Educación del Distrito</v>
      </c>
      <c r="F1335" s="25" t="str">
        <f ca="1">IFERROR(__xludf.DUMMYFUNCTION("""COMPUTED_VALUE"""),"Entregar los Colegios Abel Rodríguez Céspedes y Lucila Rubio de Laverde.")</f>
        <v>Entregar los Colegios Abel Rodríguez Céspedes y Lucila Rubio de Laverde.</v>
      </c>
      <c r="G1335" s="25" t="str">
        <f ca="1">IFERROR(__xludf.DUMMYFUNCTION("""COMPUTED_VALUE"""),"01. Usaquén")</f>
        <v>01. Usaquén</v>
      </c>
      <c r="H1335" s="55">
        <f ca="1">IFERROR(__xludf.DUMMYFUNCTION("""COMPUTED_VALUE"""),45230)</f>
        <v>45230</v>
      </c>
      <c r="I1335" s="25" t="str">
        <f ca="1">IFERROR(__xludf.DUMMYFUNCTION("""COMPUTED_VALUE"""),"Junta de Infraestructura")</f>
        <v>Junta de Infraestructura</v>
      </c>
      <c r="J1335" s="55" t="str">
        <f ca="1">IFERROR(__xludf.DUMMYFUNCTION("""COMPUTED_VALUE"""),"Baja")</f>
        <v>Baja</v>
      </c>
      <c r="K1335" s="25">
        <f ca="1">IFERROR(__xludf.DUMMYFUNCTION("""COMPUTED_VALUE"""),642)</f>
        <v>642</v>
      </c>
      <c r="L1335" s="62">
        <f ca="1">IFERROR(__xludf.DUMMYFUNCTION("""COMPUTED_VALUE"""),45077)</f>
        <v>45077</v>
      </c>
      <c r="M1335" s="25" t="str">
        <f ca="1">IFERROR(__xludf.DUMMYFUNCTION("""COMPUTED_VALUE"""),"1. El Colegio Abel Rodríguez Cespedes (Los Cerezos) fue entregado en el mes de diciembre de 2022.
2. El Colegio Lucila Rubio de Laverde (Porvenir) presenta un avance de ejecución de obra del 100%. Se proyecta la entrega para finales del mes de junio de 2"&amp;"023, en atención a observaciones formuladas por parte de la interventoría.")</f>
        <v>1. El Colegio Abel Rodríguez Cespedes (Los Cerezos) fue entregado en el mes de diciembre de 2022.
2. El Colegio Lucila Rubio de Laverde (Porvenir) presenta un avance de ejecución de obra del 100%. Se proyecta la entrega para finales del mes de junio de 2023, en atención a observaciones formuladas por parte de la interventoría.</v>
      </c>
      <c r="N1335" s="25"/>
      <c r="O1335" s="25" t="str">
        <f t="shared" ca="1" si="0"/>
        <v>Secretaría de Educación del Distrito</v>
      </c>
      <c r="P1335" s="25" t="str">
        <f t="shared" ca="1" si="2"/>
        <v/>
      </c>
      <c r="Q1335" s="25" t="str">
        <f ca="1">IFERROR(__xludf.DUMMYFUNCTION("""COMPUTED_VALUE"""),"Largo plazo")</f>
        <v>Largo plazo</v>
      </c>
      <c r="R1335" s="25"/>
      <c r="S1335" s="55"/>
      <c r="T1335" s="56"/>
      <c r="U1335" s="25"/>
      <c r="V1335" s="25"/>
      <c r="W1335" s="25"/>
      <c r="X1335" s="25"/>
      <c r="Y1335" s="25"/>
      <c r="Z1335" s="25"/>
    </row>
    <row r="1336" spans="1:26" ht="52.5" customHeight="1" x14ac:dyDescent="0.25">
      <c r="A1336" s="25" t="str">
        <f ca="1">IFERROR(__xludf.DUMMYFUNCTION("""COMPUTED_VALUE"""),"Educa134")</f>
        <v>Educa134</v>
      </c>
      <c r="B1336" s="25" t="str">
        <f ca="1">IFERROR(__xludf.DUMMYFUNCTION("""COMPUTED_VALUE"""),"Consejo Local de Gobierno de Ciudad Bolívar")</f>
        <v>Consejo Local de Gobierno de Ciudad Bolívar</v>
      </c>
      <c r="C1336" s="55">
        <f ca="1">IFERROR(__xludf.DUMMYFUNCTION("""COMPUTED_VALUE"""),44595)</f>
        <v>44595</v>
      </c>
      <c r="D1336" s="25" t="str">
        <f ca="1">IFERROR(__xludf.DUMMYFUNCTION("""COMPUTED_VALUE"""),"Educación")</f>
        <v>Educación</v>
      </c>
      <c r="E1336" s="25" t="str">
        <f ca="1">IFERROR(__xludf.DUMMYFUNCTION("""COMPUTED_VALUE"""),"Secretaría de Educación del Distrito")</f>
        <v>Secretaría de Educación del Distrito</v>
      </c>
      <c r="F1336" s="25" t="str">
        <f ca="1">IFERROR(__xludf.DUMMYFUNCTION("""COMPUTED_VALUE"""),"Entregar 6 colegios nuevos en la localidad:El Nogal, Sierra Morena (curva), Arborizadora Alta, San Francisco, Buenavista y Hacienda Casa Blanca.")</f>
        <v>Entregar 6 colegios nuevos en la localidad:El Nogal, Sierra Morena (curva), Arborizadora Alta, San Francisco, Buenavista y Hacienda Casa Blanca.</v>
      </c>
      <c r="G1336" s="25" t="str">
        <f ca="1">IFERROR(__xludf.DUMMYFUNCTION("""COMPUTED_VALUE"""),"19. Ciudad Bolívar")</f>
        <v>19. Ciudad Bolívar</v>
      </c>
      <c r="H1336" s="55">
        <f ca="1">IFERROR(__xludf.DUMMYFUNCTION("""COMPUTED_VALUE"""),45230)</f>
        <v>45230</v>
      </c>
      <c r="I1336" s="25" t="str">
        <f ca="1">IFERROR(__xludf.DUMMYFUNCTION("""COMPUTED_VALUE"""),"Junta de Infraestructura")</f>
        <v>Junta de Infraestructura</v>
      </c>
      <c r="J1336" s="55" t="str">
        <f ca="1">IFERROR(__xludf.DUMMYFUNCTION("""COMPUTED_VALUE"""),"Baja")</f>
        <v>Baja</v>
      </c>
      <c r="K1336" s="25">
        <f ca="1">IFERROR(__xludf.DUMMYFUNCTION("""COMPUTED_VALUE"""),635)</f>
        <v>635</v>
      </c>
      <c r="L1336" s="62">
        <f ca="1">IFERROR(__xludf.DUMMYFUNCTION("""COMPUTED_VALUE"""),45061)</f>
        <v>45061</v>
      </c>
      <c r="M1336" s="25" t="str">
        <f ca="1">IFERROR(__xludf.DUMMYFUNCTION("""COMPUTED_VALUE"""),"Entregados:
1. Colegio El Nogal (mayo de 2021).
2. Colegio Ángela Restrepo Moreno - Sierra Morena Curva (noviembre de 2022).
Obra en Ejecución:
1. Colegio Arborizadora Alta: 67,42%, entrega prevista para 2023-III.
2. Colegio San Francisco sede B: 40,9"&amp;"5%, entrega prevista para 2023-III.
3. colegio Bonavista: 29,30%, entrega prevista para 2023-IV.
4. Colegio Hacienda Casablanca (María Currea Manrique):  48,30%, entrega prevista para 2024-II.")</f>
        <v>Entregados:
1. Colegio El Nogal (mayo de 2021).
2. Colegio Ángela Restrepo Moreno - Sierra Morena Curva (noviembre de 2022).
Obra en Ejecución:
1. Colegio Arborizadora Alta: 67,42%, entrega prevista para 2023-III.
2. Colegio San Francisco sede B: 40,95%, entrega prevista para 2023-III.
3. colegio Bonavista: 29,30%, entrega prevista para 2023-IV.
4. Colegio Hacienda Casablanca (María Currea Manrique):  48,30%, entrega prevista para 2024-II.</v>
      </c>
      <c r="N1336" s="55">
        <f ca="1">IFERROR(__xludf.DUMMYFUNCTION("""COMPUTED_VALUE"""),45064)</f>
        <v>45064</v>
      </c>
      <c r="O1336" s="25" t="str">
        <f t="shared" ca="1" si="0"/>
        <v>Secretaría de Educación del Distrito</v>
      </c>
      <c r="P1336" s="25" t="str">
        <f t="shared" ca="1" si="2"/>
        <v/>
      </c>
      <c r="Q1336" s="25" t="str">
        <f ca="1">IFERROR(__xludf.DUMMYFUNCTION("""COMPUTED_VALUE"""),"Largo plazo")</f>
        <v>Largo plazo</v>
      </c>
      <c r="R1336" s="25"/>
      <c r="S1336" s="55"/>
      <c r="T1336" s="56"/>
      <c r="U1336" s="25"/>
      <c r="V1336" s="25"/>
      <c r="W1336" s="25"/>
      <c r="X1336" s="25"/>
      <c r="Y1336" s="25"/>
      <c r="Z1336" s="25"/>
    </row>
    <row r="1337" spans="1:26" ht="52.5" customHeight="1" x14ac:dyDescent="0.25">
      <c r="A1337" s="25" t="str">
        <f ca="1">IFERROR(__xludf.DUMMYFUNCTION("""COMPUTED_VALUE"""),"Educa135")</f>
        <v>Educa135</v>
      </c>
      <c r="B1337" s="25" t="str">
        <f ca="1">IFERROR(__xludf.DUMMYFUNCTION("""COMPUTED_VALUE"""),"Consejo Local de Gobierno de Ciudad Bolívar")</f>
        <v>Consejo Local de Gobierno de Ciudad Bolívar</v>
      </c>
      <c r="C1337" s="55">
        <f ca="1">IFERROR(__xludf.DUMMYFUNCTION("""COMPUTED_VALUE"""),44595)</f>
        <v>44595</v>
      </c>
      <c r="D1337" s="25" t="str">
        <f ca="1">IFERROR(__xludf.DUMMYFUNCTION("""COMPUTED_VALUE"""),"Educación")</f>
        <v>Educación</v>
      </c>
      <c r="E1337" s="25" t="str">
        <f ca="1">IFERROR(__xludf.DUMMYFUNCTION("""COMPUTED_VALUE"""),"Secretaría de Educación del Distrito")</f>
        <v>Secretaría de Educación del Distrito</v>
      </c>
      <c r="F1337" s="25" t="str">
        <f ca="1">IFERROR(__xludf.DUMMYFUNCTION("""COMPUTED_VALUE"""),"Revisar si se puede realizar inversión o adecuación de la Institución Educativa Canadá.")</f>
        <v>Revisar si se puede realizar inversión o adecuación de la Institución Educativa Canadá.</v>
      </c>
      <c r="G1337" s="25" t="str">
        <f ca="1">IFERROR(__xludf.DUMMYFUNCTION("""COMPUTED_VALUE"""),"19. Ciudad Bolívar")</f>
        <v>19. Ciudad Bolívar</v>
      </c>
      <c r="H1337" s="55">
        <f ca="1">IFERROR(__xludf.DUMMYFUNCTION("""COMPUTED_VALUE"""),45077)</f>
        <v>45077</v>
      </c>
      <c r="I1337" s="25"/>
      <c r="J1337" s="55" t="str">
        <f ca="1">IFERROR(__xludf.DUMMYFUNCTION("""COMPUTED_VALUE"""),"Baja")</f>
        <v>Baja</v>
      </c>
      <c r="K1337" s="25">
        <f ca="1">IFERROR(__xludf.DUMMYFUNCTION("""COMPUTED_VALUE"""),482)</f>
        <v>482</v>
      </c>
      <c r="L1337" s="62">
        <f ca="1">IFERROR(__xludf.DUMMYFUNCTION("""COMPUTED_VALUE"""),45046)</f>
        <v>45046</v>
      </c>
      <c r="M1337" s="25" t="str">
        <f ca="1">IFERROR(__xludf.DUMMYFUNCTION("""COMPUTED_VALUE"""),"Se consideró factible la intervención de la infraestructura física de la institución educativa Canadá.
Actualmente se encuentra en ejecución el contrato de obra No. CO1.PCCNTR.4077917-22 suscrito con el Consorcio Educación Distrital, con un alcance espec"&amp;"ífico de intervención enfocada en el cambio de ventanería y el mejoramiento de baterías sanitarias del segundo piso. El porcentaje de avance con corte al 16 de abril de 2023 corresponde al 35,51% y se prevé su terminación al 30 de junio de 2023.")</f>
        <v>Se consideró factible la intervención de la infraestructura física de la institución educativa Canadá.
Actualmente se encuentra en ejecución el contrato de obra No. CO1.PCCNTR.4077917-22 suscrito con el Consorcio Educación Distrital, con un alcance específico de intervención enfocada en el cambio de ventanería y el mejoramiento de baterías sanitarias del segundo piso. El porcentaje de avance con corte al 16 de abril de 2023 corresponde al 35,51% y se prevé su terminación al 30 de junio de 2023.</v>
      </c>
      <c r="N1337" s="55">
        <f ca="1">IFERROR(__xludf.DUMMYFUNCTION("""COMPUTED_VALUE"""),45042)</f>
        <v>45042</v>
      </c>
      <c r="O1337" s="25" t="str">
        <f t="shared" ca="1" si="0"/>
        <v>Secretaría de Educación del Distrito</v>
      </c>
      <c r="P1337" s="25" t="str">
        <f t="shared" si="2"/>
        <v/>
      </c>
      <c r="Q1337" s="25" t="str">
        <f ca="1">IFERROR(__xludf.DUMMYFUNCTION("""COMPUTED_VALUE"""),"Largo plazo")</f>
        <v>Largo plazo</v>
      </c>
      <c r="R1337" s="25"/>
      <c r="S1337" s="55"/>
      <c r="T1337" s="56"/>
      <c r="U1337" s="25"/>
      <c r="V1337" s="25"/>
      <c r="W1337" s="25"/>
      <c r="X1337" s="25"/>
      <c r="Y1337" s="25"/>
      <c r="Z1337" s="25"/>
    </row>
    <row r="1338" spans="1:26" ht="52.5" customHeight="1" x14ac:dyDescent="0.25">
      <c r="A1338" s="25" t="str">
        <f ca="1">IFERROR(__xludf.DUMMYFUNCTION("""COMPUTED_VALUE"""),"Educa136")</f>
        <v>Educa136</v>
      </c>
      <c r="B1338" s="25" t="str">
        <f ca="1">IFERROR(__xludf.DUMMYFUNCTION("""COMPUTED_VALUE"""),"Consejo Local de Gobierno de Ciudad Bolívar")</f>
        <v>Consejo Local de Gobierno de Ciudad Bolívar</v>
      </c>
      <c r="C1338" s="55">
        <f ca="1">IFERROR(__xludf.DUMMYFUNCTION("""COMPUTED_VALUE"""),44595)</f>
        <v>44595</v>
      </c>
      <c r="D1338" s="25" t="str">
        <f ca="1">IFERROR(__xludf.DUMMYFUNCTION("""COMPUTED_VALUE"""),"Educación")</f>
        <v>Educación</v>
      </c>
      <c r="E1338" s="25" t="str">
        <f ca="1">IFERROR(__xludf.DUMMYFUNCTION("""COMPUTED_VALUE"""),"Secretaría de Educación del Distrito")</f>
        <v>Secretaría de Educación del Distrito</v>
      </c>
      <c r="F1338" s="25" t="str">
        <f ca="1">IFERROR(__xludf.DUMMYFUNCTION("""COMPUTED_VALUE"""),"Poner en funcionamiento las rutas escolares en la localidad")</f>
        <v>Poner en funcionamiento las rutas escolares en la localidad</v>
      </c>
      <c r="G1338" s="25" t="str">
        <f ca="1">IFERROR(__xludf.DUMMYFUNCTION("""COMPUTED_VALUE"""),"19. Ciudad Bolívar")</f>
        <v>19. Ciudad Bolívar</v>
      </c>
      <c r="H1338" s="55">
        <f ca="1">IFERROR(__xludf.DUMMYFUNCTION("""COMPUTED_VALUE"""),44620)</f>
        <v>44620</v>
      </c>
      <c r="I1338" s="25"/>
      <c r="J1338" s="55" t="str">
        <f ca="1">IFERROR(__xludf.DUMMYFUNCTION("""COMPUTED_VALUE"""),"Alta")</f>
        <v>Alta</v>
      </c>
      <c r="K1338" s="25">
        <f ca="1">IFERROR(__xludf.DUMMYFUNCTION("""COMPUTED_VALUE"""),25)</f>
        <v>25</v>
      </c>
      <c r="L1338" s="62">
        <f ca="1">IFERROR(__xludf.DUMMYFUNCTION("""COMPUTED_VALUE"""),44620)</f>
        <v>44620</v>
      </c>
      <c r="M1338" s="55" t="str">
        <f ca="1">IFERROR(__xludf.DUMMYFUNCTION("""COMPUTED_VALUE"""),"Se puso en marcha plan de contingencia que permitió resolver y garantizar la prestación de servicio de transporte escolar para los colegios rurales de Ciudad Bolívar: Quiba, Mochuelo Alto, José Celestino Mutis y Pasquilla.")</f>
        <v>Se puso en marcha plan de contingencia que permitió resolver y garantizar la prestación de servicio de transporte escolar para los colegios rurales de Ciudad Bolívar: Quiba, Mochuelo Alto, José Celestino Mutis y Pasquilla.</v>
      </c>
      <c r="N1338" s="55">
        <f ca="1">IFERROR(__xludf.DUMMYFUNCTION("""COMPUTED_VALUE"""),44926)</f>
        <v>44926</v>
      </c>
      <c r="O1338" s="25" t="str">
        <f t="shared" ca="1" si="0"/>
        <v>Secretaría de Educación del Distrito</v>
      </c>
      <c r="P1338" s="25" t="str">
        <f t="shared" si="2"/>
        <v/>
      </c>
      <c r="Q1338" s="25" t="str">
        <f ca="1">IFERROR(__xludf.DUMMYFUNCTION("""COMPUTED_VALUE"""),"Corto plazo")</f>
        <v>Corto plazo</v>
      </c>
      <c r="R1338" s="25"/>
      <c r="S1338" s="55"/>
      <c r="T1338" s="56"/>
      <c r="U1338" s="25"/>
      <c r="V1338" s="25"/>
      <c r="W1338" s="25"/>
      <c r="X1338" s="25"/>
      <c r="Y1338" s="25"/>
      <c r="Z1338" s="25"/>
    </row>
    <row r="1339" spans="1:26" ht="52.5" customHeight="1" x14ac:dyDescent="0.25">
      <c r="A1339" s="25" t="str">
        <f ca="1">IFERROR(__xludf.DUMMYFUNCTION("""COMPUTED_VALUE"""),"Educa137")</f>
        <v>Educa137</v>
      </c>
      <c r="B1339" s="25" t="str">
        <f ca="1">IFERROR(__xludf.DUMMYFUNCTION("""COMPUTED_VALUE"""),"Consejo Local de Gobierno de Usaquén")</f>
        <v>Consejo Local de Gobierno de Usaquén</v>
      </c>
      <c r="C1339" s="55">
        <f ca="1">IFERROR(__xludf.DUMMYFUNCTION("""COMPUTED_VALUE"""),44644)</f>
        <v>44644</v>
      </c>
      <c r="D1339" s="25" t="str">
        <f ca="1">IFERROR(__xludf.DUMMYFUNCTION("""COMPUTED_VALUE"""),"Educación")</f>
        <v>Educación</v>
      </c>
      <c r="E1339" s="25" t="str">
        <f ca="1">IFERROR(__xludf.DUMMYFUNCTION("""COMPUTED_VALUE"""),"Secretaría de Educación del Distrito")</f>
        <v>Secretaría de Educación del Distrito</v>
      </c>
      <c r="F1339" s="25" t="str">
        <f ca="1">IFERROR(__xludf.DUMMYFUNCTION("""COMPUTED_VALUE"""),"Impulsar una estrategia o plan remedial acompañado de un centro de apoyo pedagógico dirigido a los alumnos que a causa de la pandemia se pueden encontrar atrasados en sus clases")</f>
        <v>Impulsar una estrategia o plan remedial acompañado de un centro de apoyo pedagógico dirigido a los alumnos que a causa de la pandemia se pueden encontrar atrasados en sus clases</v>
      </c>
      <c r="G1339" s="25" t="str">
        <f ca="1">IFERROR(__xludf.DUMMYFUNCTION("""COMPUTED_VALUE"""),"01. Usaquén")</f>
        <v>01. Usaquén</v>
      </c>
      <c r="H1339" s="55">
        <f ca="1">IFERROR(__xludf.DUMMYFUNCTION("""COMPUTED_VALUE"""),44662)</f>
        <v>44662</v>
      </c>
      <c r="I1339" s="25"/>
      <c r="J1339" s="55" t="str">
        <f ca="1">IFERROR(__xludf.DUMMYFUNCTION("""COMPUTED_VALUE"""),"Alta")</f>
        <v>Alta</v>
      </c>
      <c r="K1339" s="25">
        <f ca="1">IFERROR(__xludf.DUMMYFUNCTION("""COMPUTED_VALUE"""),18)</f>
        <v>18</v>
      </c>
      <c r="L1339" s="62">
        <f ca="1">IFERROR(__xludf.DUMMYFUNCTION("""COMPUTED_VALUE"""),44662)</f>
        <v>44662</v>
      </c>
      <c r="M1339" s="55" t="str">
        <f ca="1">IFERROR(__xludf.DUMMYFUNCTION("""COMPUTED_VALUE"""),"En 2022 se ha dado continuidad a los talleres de fortalecimiento y, con el fin de que vayan identificando aquellos aprendizajes que requieren de un trabajo escolar que les permita avanzar hacia lo esperado. Se continúa desarrollando la Estrategia de forta"&amp;"lecimiento a los aprendizajes evaluados en las áreas de Lectura crítica, Matemáticas, Sociales y ciudadanas, Ciencias naturales e Inglés, a través de talleres y tutorías virtuales.
 Así mismo, se adelanta la estrategia A-PROBAR, que busca disminuir el "&amp;"porcentaje de reprobación y deserción de los estudiantes de los colegios distritales oficiales, su objetivo es identificar e intervenir oportunamente las dificultades de aprendizaje de los estudiantes.")</f>
        <v>En 2022 se ha dado continuidad a los talleres de fortalecimiento y, con el fin de que vayan identificando aquellos aprendizajes que requieren de un trabajo escolar que les permita avanzar hacia lo esperado. Se continúa desarrollando la Estrategia de fortalecimiento a los aprendizajes evaluados en las áreas de Lectura crítica, Matemáticas, Sociales y ciudadanas, Ciencias naturales e Inglés, a través de talleres y tutorías virtuales.
 Así mismo, se adelanta la estrategia A-PROBAR, que busca disminuir el porcentaje de reprobación y deserción de los estudiantes de los colegios distritales oficiales, su objetivo es identificar e intervenir oportunamente las dificultades de aprendizaje de los estudiantes.</v>
      </c>
      <c r="N1339" s="55">
        <f ca="1">IFERROR(__xludf.DUMMYFUNCTION("""COMPUTED_VALUE"""),44926)</f>
        <v>44926</v>
      </c>
      <c r="O1339" s="25" t="str">
        <f t="shared" ca="1" si="0"/>
        <v>Secretaría de Educación del Distrito</v>
      </c>
      <c r="P1339" s="25" t="str">
        <f t="shared" si="2"/>
        <v/>
      </c>
      <c r="Q1339" s="25" t="str">
        <f ca="1">IFERROR(__xludf.DUMMYFUNCTION("""COMPUTED_VALUE"""),"Corto plazo")</f>
        <v>Corto plazo</v>
      </c>
      <c r="R1339" s="25"/>
      <c r="S1339" s="55"/>
      <c r="T1339" s="56"/>
      <c r="U1339" s="25"/>
      <c r="V1339" s="25"/>
      <c r="W1339" s="25"/>
      <c r="X1339" s="25"/>
      <c r="Y1339" s="25"/>
      <c r="Z1339" s="25"/>
    </row>
    <row r="1340" spans="1:26" ht="52.5" customHeight="1" x14ac:dyDescent="0.25">
      <c r="A1340" s="25" t="str">
        <f ca="1">IFERROR(__xludf.DUMMYFUNCTION("""COMPUTED_VALUE"""),"Educa138")</f>
        <v>Educa138</v>
      </c>
      <c r="B1340" s="25" t="str">
        <f ca="1">IFERROR(__xludf.DUMMYFUNCTION("""COMPUTED_VALUE"""),"Consejo Local de Gobierno de Usaquén")</f>
        <v>Consejo Local de Gobierno de Usaquén</v>
      </c>
      <c r="C1340" s="55">
        <f ca="1">IFERROR(__xludf.DUMMYFUNCTION("""COMPUTED_VALUE"""),44644)</f>
        <v>44644</v>
      </c>
      <c r="D1340" s="25" t="str">
        <f ca="1">IFERROR(__xludf.DUMMYFUNCTION("""COMPUTED_VALUE"""),"Educación")</f>
        <v>Educación</v>
      </c>
      <c r="E1340" s="25" t="str">
        <f ca="1">IFERROR(__xludf.DUMMYFUNCTION("""COMPUTED_VALUE"""),"Secretaría de Educación del Distrito")</f>
        <v>Secretaría de Educación del Distrito</v>
      </c>
      <c r="F1340" s="25" t="str">
        <f ca="1">IFERROR(__xludf.DUMMYFUNCTION("""COMPUTED_VALUE"""),"Identificar los estudiantes que presentan deserción escolar en toda la localidad y brindar las garantías para que puedan regresar (incluyendo vacunación)")</f>
        <v>Identificar los estudiantes que presentan deserción escolar en toda la localidad y brindar las garantías para que puedan regresar (incluyendo vacunación)</v>
      </c>
      <c r="G1340" s="25" t="str">
        <f ca="1">IFERROR(__xludf.DUMMYFUNCTION("""COMPUTED_VALUE"""),"01. Usaquén")</f>
        <v>01. Usaquén</v>
      </c>
      <c r="H1340" s="55">
        <f ca="1">IFERROR(__xludf.DUMMYFUNCTION("""COMPUTED_VALUE"""),44662)</f>
        <v>44662</v>
      </c>
      <c r="I1340" s="25"/>
      <c r="J1340" s="55" t="str">
        <f ca="1">IFERROR(__xludf.DUMMYFUNCTION("""COMPUTED_VALUE"""),"Alta")</f>
        <v>Alta</v>
      </c>
      <c r="K1340" s="25">
        <f ca="1">IFERROR(__xludf.DUMMYFUNCTION("""COMPUTED_VALUE"""),18)</f>
        <v>18</v>
      </c>
      <c r="L1340" s="62">
        <f ca="1">IFERROR(__xludf.DUMMYFUNCTION("""COMPUTED_VALUE"""),44662)</f>
        <v>44662</v>
      </c>
      <c r="M1340" s="55" t="str">
        <f ca="1">IFERROR(__xludf.DUMMYFUNCTION("""COMPUTED_VALUE"""),"El último dato del MEN, para los niveles de preescolar, básica y media, evidencia que la ciudad logró una histórica disminución del abandono escolar, pasando de 1,60% en 2019 al 1,29% en 2021, ubicando a Bogotá, 1.29 puntos porcentuales por debajo del pan"&amp;"orama nacional, que detalla para la localidad de Usaquén, una cifra de 0.52%. Adicionalmente, para la Localidad de Usaquén, con la estrategia de Búsqueda Activa para la vigencia 2022 se logró vincular al sistema educativo oficial a 177 personas, que se en"&amp;"contraban desescolarizadas.")</f>
        <v>El último dato del MEN, para los niveles de preescolar, básica y media, evidencia que la ciudad logró una histórica disminución del abandono escolar, pasando de 1,60% en 2019 al 1,29% en 2021, ubicando a Bogotá, 1.29 puntos porcentuales por debajo del panorama nacional, que detalla para la localidad de Usaquén, una cifra de 0.52%. Adicionalmente, para la Localidad de Usaquén, con la estrategia de Búsqueda Activa para la vigencia 2022 se logró vincular al sistema educativo oficial a 177 personas, que se encontraban desescolarizadas.</v>
      </c>
      <c r="N1340" s="55">
        <f ca="1">IFERROR(__xludf.DUMMYFUNCTION("""COMPUTED_VALUE"""),44926)</f>
        <v>44926</v>
      </c>
      <c r="O1340" s="25" t="str">
        <f t="shared" ca="1" si="0"/>
        <v>Secretaría de Educación del Distrito</v>
      </c>
      <c r="P1340" s="25" t="str">
        <f t="shared" si="2"/>
        <v/>
      </c>
      <c r="Q1340" s="25" t="str">
        <f ca="1">IFERROR(__xludf.DUMMYFUNCTION("""COMPUTED_VALUE"""),"Corto plazo")</f>
        <v>Corto plazo</v>
      </c>
      <c r="R1340" s="25"/>
      <c r="S1340" s="55"/>
      <c r="T1340" s="56"/>
      <c r="U1340" s="25"/>
      <c r="V1340" s="25"/>
      <c r="W1340" s="25"/>
      <c r="X1340" s="25"/>
      <c r="Y1340" s="25"/>
      <c r="Z1340" s="25"/>
    </row>
    <row r="1341" spans="1:26" ht="52.5" customHeight="1" x14ac:dyDescent="0.25">
      <c r="A1341" s="25" t="str">
        <f ca="1">IFERROR(__xludf.DUMMYFUNCTION("""COMPUTED_VALUE"""),"Educa139")</f>
        <v>Educa139</v>
      </c>
      <c r="B1341" s="25" t="str">
        <f ca="1">IFERROR(__xludf.DUMMYFUNCTION("""COMPUTED_VALUE"""),"Consejo Local de Gobierno de Usaquén")</f>
        <v>Consejo Local de Gobierno de Usaquén</v>
      </c>
      <c r="C1341" s="55">
        <f ca="1">IFERROR(__xludf.DUMMYFUNCTION("""COMPUTED_VALUE"""),44644)</f>
        <v>44644</v>
      </c>
      <c r="D1341" s="25" t="str">
        <f ca="1">IFERROR(__xludf.DUMMYFUNCTION("""COMPUTED_VALUE"""),"Educación")</f>
        <v>Educación</v>
      </c>
      <c r="E1341" s="25" t="str">
        <f ca="1">IFERROR(__xludf.DUMMYFUNCTION("""COMPUTED_VALUE"""),"Secretaría de Educación del Distrito")</f>
        <v>Secretaría de Educación del Distrito</v>
      </c>
      <c r="F1341" s="25" t="str">
        <f ca="1">IFERROR(__xludf.DUMMYFUNCTION("""COMPUTED_VALUE"""),"Lanzar el programa de Entornos Escolares Seguros en todas las localidades")</f>
        <v>Lanzar el programa de Entornos Escolares Seguros en todas las localidades</v>
      </c>
      <c r="G1341" s="25" t="str">
        <f ca="1">IFERROR(__xludf.DUMMYFUNCTION("""COMPUTED_VALUE"""),"01. Usaquén")</f>
        <v>01. Usaquén</v>
      </c>
      <c r="H1341" s="55">
        <f ca="1">IFERROR(__xludf.DUMMYFUNCTION("""COMPUTED_VALUE"""),45107)</f>
        <v>45107</v>
      </c>
      <c r="I1341" s="25"/>
      <c r="J1341" s="55" t="str">
        <f ca="1">IFERROR(__xludf.DUMMYFUNCTION("""COMPUTED_VALUE"""),"Baja")</f>
        <v>Baja</v>
      </c>
      <c r="K1341" s="25">
        <f ca="1">IFERROR(__xludf.DUMMYFUNCTION("""COMPUTED_VALUE"""),463)</f>
        <v>463</v>
      </c>
      <c r="L1341" s="62">
        <f ca="1">IFERROR(__xludf.DUMMYFUNCTION("""COMPUTED_VALUE"""),45046)</f>
        <v>45046</v>
      </c>
      <c r="M1341" s="25" t="str">
        <f ca="1">IFERROR(__xludf.DUMMYFUNCTION("""COMPUTED_VALUE"""),"Se adelantó el lanzamiento del Programa de Entornos Escolares Seguros en todas las localidades de Bogotá, mediante encuentros intra e interinstitucionales (Comité de Directores Locales, Mesas Estamentales, Mesas Locales de Entornos Educativos y Mesa Distr"&amp;"ital de Entornos Educativos) para presentar los objetivos/ componentes del Programa Entornos Educativos Protectores y Confiables (ECO), balance de los logros alcanzados en la vigencia 2021 y la proyección de metas 2022 por localidad.
Además durante el se"&amp;"gundo trimestre de 2022 se realizaron dos eventos de lanzamiento y posicionamiento del Programa ECO en articulación interinstitucional con las Secretarías de Seguridad y Gobierno y la MEBOG, con la participación de todas las localidades de la ciudad:
- E"&amp;"vento de bienvenida a las comunidades educativas vinculadas en el 2022 al Programa ECO, mediante la conformación de entornos educativos compartidos y la apertura de colegios a sus comunidades.
- Evento experiencial con el objetivo de visibilizar las expe"&amp;"riencias y lecciones aprendidas alrededor de la consolidación de redes de entornos educativos compartidos y promover el diálogo e intercambio de saberes alrededor de procesos de apertura de colegios a sus comunidades, como una oportunidad para fortalecer "&amp;"la relación escuela-territorio.")</f>
        <v>Se adelantó el lanzamiento del Programa de Entornos Escolares Seguros en todas las localidades de Bogotá, mediante encuentros intra e interinstitucionales (Comité de Directores Locales, Mesas Estamentales, Mesas Locales de Entornos Educativos y Mesa Distrital de Entornos Educativos) para presentar los objetivos/ componentes del Programa Entornos Educativos Protectores y Confiables (ECO), balance de los logros alcanzados en la vigencia 2021 y la proyección de metas 2022 por localidad.
Además durante el segundo trimestre de 2022 se realizaron dos eventos de lanzamiento y posicionamiento del Programa ECO en articulación interinstitucional con las Secretarías de Seguridad y Gobierno y la MEBOG, con la participación de todas las localidades de la ciudad:
- Evento de bienvenida a las comunidades educativas vinculadas en el 2022 al Programa ECO, mediante la conformación de entornos educativos compartidos y la apertura de colegios a sus comunidades.
- Evento experiencial con el objetivo de visibilizar las experiencias y lecciones aprendidas alrededor de la consolidación de redes de entornos educativos compartidos y promover el diálogo e intercambio de saberes alrededor de procesos de apertura de colegios a sus comunidades, como una oportunidad para fortalecer la relación escuela-territorio.</v>
      </c>
      <c r="N1341" s="55">
        <f ca="1">IFERROR(__xludf.DUMMYFUNCTION("""COMPUTED_VALUE"""),44742)</f>
        <v>44742</v>
      </c>
      <c r="O1341" s="25" t="str">
        <f t="shared" ca="1" si="0"/>
        <v>Secretaría de Educación del Distrito</v>
      </c>
      <c r="P1341" s="25" t="str">
        <f t="shared" si="2"/>
        <v/>
      </c>
      <c r="Q1341" s="25" t="str">
        <f ca="1">IFERROR(__xludf.DUMMYFUNCTION("""COMPUTED_VALUE"""),"Largo plazo")</f>
        <v>Largo plazo</v>
      </c>
      <c r="R1341" s="25"/>
      <c r="S1341" s="55"/>
      <c r="T1341" s="56"/>
      <c r="U1341" s="25"/>
      <c r="V1341" s="25"/>
      <c r="W1341" s="25"/>
      <c r="X1341" s="25"/>
      <c r="Y1341" s="25"/>
      <c r="Z1341" s="25"/>
    </row>
    <row r="1342" spans="1:26" ht="52.5" customHeight="1" x14ac:dyDescent="0.25">
      <c r="A1342" s="25" t="str">
        <f ca="1">IFERROR(__xludf.DUMMYFUNCTION("""COMPUTED_VALUE"""),"Educa140")</f>
        <v>Educa140</v>
      </c>
      <c r="B1342" s="25" t="str">
        <f ca="1">IFERROR(__xludf.DUMMYFUNCTION("""COMPUTED_VALUE"""),"Consejo Local de Gobierno de Usaquén")</f>
        <v>Consejo Local de Gobierno de Usaquén</v>
      </c>
      <c r="C1342" s="55">
        <f ca="1">IFERROR(__xludf.DUMMYFUNCTION("""COMPUTED_VALUE"""),44644)</f>
        <v>44644</v>
      </c>
      <c r="D1342" s="25" t="str">
        <f ca="1">IFERROR(__xludf.DUMMYFUNCTION("""COMPUTED_VALUE"""),"Educación")</f>
        <v>Educación</v>
      </c>
      <c r="E1342" s="25" t="str">
        <f ca="1">IFERROR(__xludf.DUMMYFUNCTION("""COMPUTED_VALUE"""),"Secretaría de Educación del Distrito")</f>
        <v>Secretaría de Educación del Distrito</v>
      </c>
      <c r="F1342" s="25" t="str">
        <f ca="1">IFERROR(__xludf.DUMMYFUNCTION("""COMPUTED_VALUE"""),"Realizar un informe de auditoría a las 12 Instituciones Educativas de la localidad, que determine las medidas que se deben adoptar para cubrir las diferentes necesidades que estas presentan (infraestructura, mobiliario y dotación de insumos escolares)")</f>
        <v>Realizar un informe de auditoría a las 12 Instituciones Educativas de la localidad, que determine las medidas que se deben adoptar para cubrir las diferentes necesidades que estas presentan (infraestructura, mobiliario y dotación de insumos escolares)</v>
      </c>
      <c r="G1342" s="25" t="str">
        <f ca="1">IFERROR(__xludf.DUMMYFUNCTION("""COMPUTED_VALUE"""),"99. Distrito")</f>
        <v>99. Distrito</v>
      </c>
      <c r="H1342" s="55">
        <f ca="1">IFERROR(__xludf.DUMMYFUNCTION("""COMPUTED_VALUE"""),44662)</f>
        <v>44662</v>
      </c>
      <c r="I1342" s="25"/>
      <c r="J1342" s="55" t="str">
        <f ca="1">IFERROR(__xludf.DUMMYFUNCTION("""COMPUTED_VALUE"""),"Alta")</f>
        <v>Alta</v>
      </c>
      <c r="K1342" s="25">
        <f ca="1">IFERROR(__xludf.DUMMYFUNCTION("""COMPUTED_VALUE"""),18)</f>
        <v>18</v>
      </c>
      <c r="L1342" s="62">
        <f ca="1">IFERROR(__xludf.DUMMYFUNCTION("""COMPUTED_VALUE"""),44662)</f>
        <v>44662</v>
      </c>
      <c r="M1342" s="55" t="str">
        <f ca="1">IFERROR(__xludf.DUMMYFUNCTION("""COMPUTED_VALUE"""),"Se realizó seguimiento a las IED en el marco de la infraestructura, mobiliario y dotación de insumos escolares así: 
 En infraestructura, los últimos seguimientos realizados a las IED se efectuaron durante los meses de marzo y abril de 2022. En mejoram"&amp;"ientos se ha realizado una inversión total de $986.986.842; y se proyecta intervenir 13 sedes de las IED de la localidad. 
 Para mobiliario y dotaciones durante los meses de febrero y marzo se visitaron las IED de la localidad para levantamiento de nec"&amp;"esidades.")</f>
        <v>Se realizó seguimiento a las IED en el marco de la infraestructura, mobiliario y dotación de insumos escolares así: 
 En infraestructura, los últimos seguimientos realizados a las IED se efectuaron durante los meses de marzo y abril de 2022. En mejoramientos se ha realizado una inversión total de $986.986.842; y se proyecta intervenir 13 sedes de las IED de la localidad. 
 Para mobiliario y dotaciones durante los meses de febrero y marzo se visitaron las IED de la localidad para levantamiento de necesidades.</v>
      </c>
      <c r="N1342" s="55">
        <f ca="1">IFERROR(__xludf.DUMMYFUNCTION("""COMPUTED_VALUE"""),44926)</f>
        <v>44926</v>
      </c>
      <c r="O1342" s="25" t="str">
        <f t="shared" ca="1" si="0"/>
        <v>Secretaría de Educación del Distrito</v>
      </c>
      <c r="P1342" s="25" t="str">
        <f t="shared" si="2"/>
        <v/>
      </c>
      <c r="Q1342" s="25" t="str">
        <f ca="1">IFERROR(__xludf.DUMMYFUNCTION("""COMPUTED_VALUE"""),"Corto plazo")</f>
        <v>Corto plazo</v>
      </c>
      <c r="R1342" s="25"/>
      <c r="S1342" s="55"/>
      <c r="T1342" s="56"/>
      <c r="U1342" s="25"/>
      <c r="V1342" s="25"/>
      <c r="W1342" s="25"/>
      <c r="X1342" s="25"/>
      <c r="Y1342" s="25"/>
      <c r="Z1342" s="25"/>
    </row>
    <row r="1343" spans="1:26" ht="52.5" customHeight="1" x14ac:dyDescent="0.25">
      <c r="A1343" s="25" t="str">
        <f ca="1">IFERROR(__xludf.DUMMYFUNCTION("""COMPUTED_VALUE"""),"Educa141")</f>
        <v>Educa141</v>
      </c>
      <c r="B1343" s="25" t="str">
        <f ca="1">IFERROR(__xludf.DUMMYFUNCTION("""COMPUTED_VALUE"""),"Consejo Local de Gobierno de Puente Aranda")</f>
        <v>Consejo Local de Gobierno de Puente Aranda</v>
      </c>
      <c r="C1343" s="55">
        <f ca="1">IFERROR(__xludf.DUMMYFUNCTION("""COMPUTED_VALUE"""),44672)</f>
        <v>44672</v>
      </c>
      <c r="D1343" s="25" t="str">
        <f ca="1">IFERROR(__xludf.DUMMYFUNCTION("""COMPUTED_VALUE"""),"Educación")</f>
        <v>Educación</v>
      </c>
      <c r="E1343" s="25" t="str">
        <f ca="1">IFERROR(__xludf.DUMMYFUNCTION("""COMPUTED_VALUE"""),"Secretaría de Educación del Distrito")</f>
        <v>Secretaría de Educación del Distrito</v>
      </c>
      <c r="F1343" s="25" t="str">
        <f ca="1">IFERROR(__xludf.DUMMYFUNCTION("""COMPUTED_VALUE"""),"Coordinar acciones para el mantenimiento del colegio Luis Carlos Galán, sede La Ponderosa que lleva 40 años sin mantenimiento a su planta física")</f>
        <v>Coordinar acciones para el mantenimiento del colegio Luis Carlos Galán, sede La Ponderosa que lleva 40 años sin mantenimiento a su planta física</v>
      </c>
      <c r="G1343" s="25" t="str">
        <f ca="1">IFERROR(__xludf.DUMMYFUNCTION("""COMPUTED_VALUE"""),"16. Puente Aranda")</f>
        <v>16. Puente Aranda</v>
      </c>
      <c r="H1343" s="55">
        <f ca="1">IFERROR(__xludf.DUMMYFUNCTION("""COMPUTED_VALUE"""),45199)</f>
        <v>45199</v>
      </c>
      <c r="I1343" s="25" t="str">
        <f ca="1">IFERROR(__xludf.DUMMYFUNCTION("""COMPUTED_VALUE"""),"Junta de Infraestructura")</f>
        <v>Junta de Infraestructura</v>
      </c>
      <c r="J1343" s="55" t="str">
        <f ca="1">IFERROR(__xludf.DUMMYFUNCTION("""COMPUTED_VALUE"""),"Baja")</f>
        <v>Baja</v>
      </c>
      <c r="K1343" s="25">
        <f ca="1">IFERROR(__xludf.DUMMYFUNCTION("""COMPUTED_VALUE"""),527)</f>
        <v>527</v>
      </c>
      <c r="L1343" s="62">
        <f ca="1">IFERROR(__xludf.DUMMYFUNCTION("""COMPUTED_VALUE"""),45077)</f>
        <v>45077</v>
      </c>
      <c r="M1343" s="25" t="str">
        <f ca="1">IFERROR(__xludf.DUMMYFUNCTION("""COMPUTED_VALUE"""),"La intervención del Colegio Luis Carlos Galán Sarmiento sede B (La Ponderosa) está incluida dentro del Proceso de Mejoramientos 2023 (Obra SED-LP-OP-DCCEE-018-2023 e Interventoría SED-CM-A-DCCEE-022-2023).
La adjudicación del proceso contractual se proye"&amp;"cta hacia el mes de julio de 2023, de tal manera que las obras inicien ejecución durante el segundo semestre. Actualmente, el proceso se encuentra en SECOP en etapa de ""Observaciones"".")</f>
        <v>La intervención del Colegio Luis Carlos Galán Sarmiento sede B (La Ponderosa) está incluida dentro del Proceso de Mejoramientos 2023 (Obra SED-LP-OP-DCCEE-018-2023 e Interventoría SED-CM-A-DCCEE-022-2023).
La adjudicación del proceso contractual se proyecta hacia el mes de julio de 2023, de tal manera que las obras inicien ejecución durante el segundo semestre. Actualmente, el proceso se encuentra en SECOP en etapa de "Observaciones".</v>
      </c>
      <c r="N1343" s="25"/>
      <c r="O1343" s="25" t="str">
        <f t="shared" ca="1" si="0"/>
        <v>Secretaría de Educación del Distrito</v>
      </c>
      <c r="P1343" s="25" t="str">
        <f t="shared" ca="1" si="2"/>
        <v/>
      </c>
      <c r="Q1343" s="25" t="str">
        <f ca="1">IFERROR(__xludf.DUMMYFUNCTION("""COMPUTED_VALUE"""),"Largo plazo")</f>
        <v>Largo plazo</v>
      </c>
      <c r="R1343" s="25"/>
      <c r="S1343" s="55"/>
      <c r="T1343" s="56"/>
      <c r="U1343" s="25"/>
      <c r="V1343" s="25"/>
      <c r="W1343" s="25"/>
      <c r="X1343" s="25"/>
      <c r="Y1343" s="25"/>
      <c r="Z1343" s="25"/>
    </row>
    <row r="1344" spans="1:26" ht="52.5" customHeight="1" x14ac:dyDescent="0.25">
      <c r="A1344" s="25" t="str">
        <f ca="1">IFERROR(__xludf.DUMMYFUNCTION("""COMPUTED_VALUE"""),"Educa142")</f>
        <v>Educa142</v>
      </c>
      <c r="B1344" s="25" t="str">
        <f ca="1">IFERROR(__xludf.DUMMYFUNCTION("""COMPUTED_VALUE"""),"Consejo Local de Gobierno de Puente Aranda")</f>
        <v>Consejo Local de Gobierno de Puente Aranda</v>
      </c>
      <c r="C1344" s="55">
        <f ca="1">IFERROR(__xludf.DUMMYFUNCTION("""COMPUTED_VALUE"""),44672)</f>
        <v>44672</v>
      </c>
      <c r="D1344" s="25" t="str">
        <f ca="1">IFERROR(__xludf.DUMMYFUNCTION("""COMPUTED_VALUE"""),"Educación")</f>
        <v>Educación</v>
      </c>
      <c r="E1344" s="25" t="str">
        <f ca="1">IFERROR(__xludf.DUMMYFUNCTION("""COMPUTED_VALUE"""),"Secretaría de Educación del Distrito")</f>
        <v>Secretaría de Educación del Distrito</v>
      </c>
      <c r="F1344" s="25" t="str">
        <f ca="1">IFERROR(__xludf.DUMMYFUNCTION("""COMPUTED_VALUE"""),"Solicitar al Concejo de Bogotá más recursos para poder entregar más becas a jóvenes que quieran estudiar")</f>
        <v>Solicitar al Concejo de Bogotá más recursos para poder entregar más becas a jóvenes que quieran estudiar</v>
      </c>
      <c r="G1344" s="25" t="str">
        <f ca="1">IFERROR(__xludf.DUMMYFUNCTION("""COMPUTED_VALUE"""),"16. Puente Aranda")</f>
        <v>16. Puente Aranda</v>
      </c>
      <c r="H1344" s="55">
        <f ca="1">IFERROR(__xludf.DUMMYFUNCTION("""COMPUTED_VALUE"""),44684)</f>
        <v>44684</v>
      </c>
      <c r="I1344" s="25"/>
      <c r="J1344" s="55" t="str">
        <f ca="1">IFERROR(__xludf.DUMMYFUNCTION("""COMPUTED_VALUE"""),"Alta")</f>
        <v>Alta</v>
      </c>
      <c r="K1344" s="25">
        <f ca="1">IFERROR(__xludf.DUMMYFUNCTION("""COMPUTED_VALUE"""),12)</f>
        <v>12</v>
      </c>
      <c r="L1344" s="62">
        <f ca="1">IFERROR(__xludf.DUMMYFUNCTION("""COMPUTED_VALUE"""),44684)</f>
        <v>44684</v>
      </c>
      <c r="M1344" s="55" t="str">
        <f ca="1">IFERROR(__xludf.DUMMYFUNCTION("""COMPUTED_VALUE"""),"La administración distrital solicitó al Concejo de Bogotá un cupo de endeudamiento por $5.8 billones para generar 60mil empleos, 23.895 cupos escolares y 56.000 becas de educación superior. 
 En este sentido, la Dirección de Relaciones con los Sectores "&amp;"de Educación Superior y Educación para el Trabajo de la SED, mediante oficio SED No- S-2022-158936 dio respuesta a la ciudadana el día 3 de mayo de 2022, en la cual se informó la situación y el acompañamiento que brinda la dependencia, en particular frent"&amp;"e a nuevas convocatorias de becas por desarrollar, y se pusieron a disposición los correos electrónicos de la entidad con el fin de aclarar nuevas inquietudes que surjan con relación a la promoción del acceso a la educación superior de la administración D"&amp;"istrital.")</f>
        <v>La administración distrital solicitó al Concejo de Bogotá un cupo de endeudamiento por $5.8 billones para generar 60mil empleos, 23.895 cupos escolares y 56.000 becas de educación superior. 
 En este sentido, la Dirección de Relaciones con los Sectores de Educación Superior y Educación para el Trabajo de la SED, mediante oficio SED No- S-2022-158936 dio respuesta a la ciudadana el día 3 de mayo de 2022, en la cual se informó la situación y el acompañamiento que brinda la dependencia, en particular frente a nuevas convocatorias de becas por desarrollar, y se pusieron a disposición los correos electrónicos de la entidad con el fin de aclarar nuevas inquietudes que surjan con relación a la promoción del acceso a la educación superior de la administración Distrital.</v>
      </c>
      <c r="N1344" s="55">
        <f ca="1">IFERROR(__xludf.DUMMYFUNCTION("""COMPUTED_VALUE"""),44926)</f>
        <v>44926</v>
      </c>
      <c r="O1344" s="25" t="str">
        <f t="shared" ca="1" si="0"/>
        <v>Secretaría de Educación del Distrito</v>
      </c>
      <c r="P1344" s="25" t="str">
        <f t="shared" si="2"/>
        <v/>
      </c>
      <c r="Q1344" s="25" t="str">
        <f ca="1">IFERROR(__xludf.DUMMYFUNCTION("""COMPUTED_VALUE"""),"Corto plazo")</f>
        <v>Corto plazo</v>
      </c>
      <c r="R1344" s="25"/>
      <c r="S1344" s="55"/>
      <c r="T1344" s="56"/>
      <c r="U1344" s="25"/>
      <c r="V1344" s="25"/>
      <c r="W1344" s="25"/>
      <c r="X1344" s="25"/>
      <c r="Y1344" s="25"/>
      <c r="Z1344" s="25"/>
    </row>
    <row r="1345" spans="1:26" ht="52.5" customHeight="1" x14ac:dyDescent="0.25">
      <c r="A1345" s="25" t="str">
        <f ca="1">IFERROR(__xludf.DUMMYFUNCTION("""COMPUTED_VALUE"""),"Educa143")</f>
        <v>Educa143</v>
      </c>
      <c r="B1345" s="25" t="str">
        <f ca="1">IFERROR(__xludf.DUMMYFUNCTION("""COMPUTED_VALUE"""),"Consejo Local de Gobienro de Teusaquillo")</f>
        <v>Consejo Local de Gobienro de Teusaquillo</v>
      </c>
      <c r="C1345" s="55">
        <f ca="1">IFERROR(__xludf.DUMMYFUNCTION("""COMPUTED_VALUE"""),44651)</f>
        <v>44651</v>
      </c>
      <c r="D1345" s="25" t="str">
        <f ca="1">IFERROR(__xludf.DUMMYFUNCTION("""COMPUTED_VALUE"""),"Educación")</f>
        <v>Educación</v>
      </c>
      <c r="E1345" s="25" t="str">
        <f ca="1">IFERROR(__xludf.DUMMYFUNCTION("""COMPUTED_VALUE"""),"Secretaría de Educación del Distrito")</f>
        <v>Secretaría de Educación del Distrito</v>
      </c>
      <c r="F1345" s="25" t="str">
        <f ca="1">IFERROR(__xludf.DUMMYFUNCTION("""COMPUTED_VALUE"""),"Organizar una sesión con los Consejos Locales de Juventud y el Distrital para que conozcan qué se está haciendo desde el Sector Educación con relación a los programas de asistencia para poner al día el sistema educativo después de la pandemia.")</f>
        <v>Organizar una sesión con los Consejos Locales de Juventud y el Distrital para que conozcan qué se está haciendo desde el Sector Educación con relación a los programas de asistencia para poner al día el sistema educativo después de la pandemia.</v>
      </c>
      <c r="G1345" s="25" t="str">
        <f ca="1">IFERROR(__xludf.DUMMYFUNCTION("""COMPUTED_VALUE"""),"13. Teusaquillo")</f>
        <v>13. Teusaquillo</v>
      </c>
      <c r="H1345" s="55">
        <f ca="1">IFERROR(__xludf.DUMMYFUNCTION("""COMPUTED_VALUE"""),45077)</f>
        <v>45077</v>
      </c>
      <c r="I1345" s="25"/>
      <c r="J1345" s="55" t="str">
        <f ca="1">IFERROR(__xludf.DUMMYFUNCTION("""COMPUTED_VALUE"""),"Baja")</f>
        <v>Baja</v>
      </c>
      <c r="K1345" s="25">
        <f ca="1">IFERROR(__xludf.DUMMYFUNCTION("""COMPUTED_VALUE"""),426)</f>
        <v>426</v>
      </c>
      <c r="L1345" s="62">
        <f ca="1">IFERROR(__xludf.DUMMYFUNCTION("""COMPUTED_VALUE"""),45046)</f>
        <v>45046</v>
      </c>
      <c r="M1345" s="25" t="str">
        <f ca="1">IFERROR(__xludf.DUMMYFUNCTION("""COMPUTED_VALUE"""),"El 7 de junio de 2022, bajo el liderazgo de la Dirección de Participación y Relaciones Interinstitucionales (DPRI), se llevó a cabo encuentro entre los/as Consejero/as Locales de Juventud (CLJ) y la Secretaría de Educación del Distrito (SED), en el marco "&amp;"de la estrategia ""Gobierno Joven"" de la Secretaría Distrital de Gobierno.
El evento se desarrolló en el Planetario Distrital, participaron sesenta personas, la Secretaria de Educación y los Subsecretarios de Despacho, sosteniendo un diálogo cercano en "&amp;"relación con los diferentes proyectos adelantados por  la SED y sus entidades adscritas. Además, fue un espacio en el que se escucharon las inquietudes de los/as Consejeros/as frente al sector educación y se entregó un balance de las acciones adelantadas "&amp;"por la entidad para definir propuestas de trabajo conjuntas en materia de educación superior, salud mental y articulación CLJ-Escuela.")</f>
        <v>El 7 de junio de 2022, bajo el liderazgo de la Dirección de Participación y Relaciones Interinstitucionales (DPRI), se llevó a cabo encuentro entre los/as Consejero/as Locales de Juventud (CLJ) y la Secretaría de Educación del Distrito (SED), en el marco de la estrategia "Gobierno Joven" de la Secretaría Distrital de Gobierno.
El evento se desarrolló en el Planetario Distrital, participaron sesenta personas, la Secretaria de Educación y los Subsecretarios de Despacho, sosteniendo un diálogo cercano en relación con los diferentes proyectos adelantados por  la SED y sus entidades adscritas. Además, fue un espacio en el que se escucharon las inquietudes de los/as Consejeros/as frente al sector educación y se entregó un balance de las acciones adelantadas por la entidad para definir propuestas de trabajo conjuntas en materia de educación superior, salud mental y articulación CLJ-Escuela.</v>
      </c>
      <c r="N1345" s="55">
        <f ca="1">IFERROR(__xludf.DUMMYFUNCTION("""COMPUTED_VALUE"""),44719)</f>
        <v>44719</v>
      </c>
      <c r="O1345" s="25" t="str">
        <f t="shared" ca="1" si="0"/>
        <v>Secretaría de Educación del Distrito</v>
      </c>
      <c r="P1345" s="25" t="str">
        <f t="shared" si="2"/>
        <v/>
      </c>
      <c r="Q1345" s="25" t="str">
        <f ca="1">IFERROR(__xludf.DUMMYFUNCTION("""COMPUTED_VALUE"""),"Largo plazo")</f>
        <v>Largo plazo</v>
      </c>
      <c r="R1345" s="25"/>
      <c r="S1345" s="55"/>
      <c r="T1345" s="56"/>
      <c r="U1345" s="25"/>
      <c r="V1345" s="25"/>
      <c r="W1345" s="25"/>
      <c r="X1345" s="25"/>
      <c r="Y1345" s="25"/>
      <c r="Z1345" s="25"/>
    </row>
    <row r="1346" spans="1:26" ht="52.5" customHeight="1" x14ac:dyDescent="0.25">
      <c r="A1346" s="25" t="str">
        <f ca="1">IFERROR(__xludf.DUMMYFUNCTION("""COMPUTED_VALUE"""),"Educa144")</f>
        <v>Educa144</v>
      </c>
      <c r="B1346" s="25" t="str">
        <f ca="1">IFERROR(__xludf.DUMMYFUNCTION("""COMPUTED_VALUE"""),"Consejo Local de Gobierno de Tunjuelito")</f>
        <v>Consejo Local de Gobierno de Tunjuelito</v>
      </c>
      <c r="C1346" s="55">
        <f ca="1">IFERROR(__xludf.DUMMYFUNCTION("""COMPUTED_VALUE"""),44686)</f>
        <v>44686</v>
      </c>
      <c r="D1346" s="25" t="str">
        <f ca="1">IFERROR(__xludf.DUMMYFUNCTION("""COMPUTED_VALUE"""),"Educación")</f>
        <v>Educación</v>
      </c>
      <c r="E1346" s="25" t="str">
        <f ca="1">IFERROR(__xludf.DUMMYFUNCTION("""COMPUTED_VALUE"""),"Secretaría de Educación del Distrito")</f>
        <v>Secretaría de Educación del Distrito</v>
      </c>
      <c r="F1346" s="25" t="str">
        <f ca="1">IFERROR(__xludf.DUMMYFUNCTION("""COMPUTED_VALUE"""),"Socializar el proyecto ""RIO"" de prevención de todo tipo de convivencias dentro y fuera de los colegios, en sesión conjunta de los Consejos Locales y el Distrital de Juventud")</f>
        <v>Socializar el proyecto "RIO" de prevención de todo tipo de convivencias dentro y fuera de los colegios, en sesión conjunta de los Consejos Locales y el Distrital de Juventud</v>
      </c>
      <c r="G1346" s="25" t="str">
        <f ca="1">IFERROR(__xludf.DUMMYFUNCTION("""COMPUTED_VALUE"""),"06. Tunjuelito")</f>
        <v>06. Tunjuelito</v>
      </c>
      <c r="H1346" s="55">
        <f ca="1">IFERROR(__xludf.DUMMYFUNCTION("""COMPUTED_VALUE"""),44793)</f>
        <v>44793</v>
      </c>
      <c r="I1346" s="25"/>
      <c r="J1346" s="55" t="str">
        <f ca="1">IFERROR(__xludf.DUMMYFUNCTION("""COMPUTED_VALUE"""),"Media")</f>
        <v>Media</v>
      </c>
      <c r="K1346" s="25">
        <f ca="1">IFERROR(__xludf.DUMMYFUNCTION("""COMPUTED_VALUE"""),107)</f>
        <v>107</v>
      </c>
      <c r="L1346" s="62">
        <f ca="1">IFERROR(__xludf.DUMMYFUNCTION("""COMPUTED_VALUE"""),44687)</f>
        <v>44687</v>
      </c>
      <c r="M1346" s="55" t="str">
        <f ca="1">IFERROR(__xludf.DUMMYFUNCTION("""COMPUTED_VALUE"""),"En atención a la solicitud originada en el marco del CLG Tunjuelito, la Dirección de Participación, a través de RIO-P, se comunicó con la peticionaria telefónicamente para definir la fecha, hora y lugar en la que se podría realizar el encuentro con los Co"&amp;"nsejo Locales y Distrital de Juventud para socializar las estrategias que está desarrollando la SED para abordar los problemas de convivencia que se presentan dentro y fuera de los colegios.
 La señora Luz Alba Galeano informa que su interés no es reali"&amp;"zar el encuentro con los consejeros, sino que se aumente la fuerza pública y se desarrollen acciones para mitigar los problemas de expendio, consumo de SPA, robos, hostigamiento en los establecimientos educativos y sus alrededores. Para aclarar la solicit"&amp;"ud, se sugirió realizar una mesa de trabajo y se remitió correo electrónico proponiendo las siguientes fechas:
 Martes 24 de mayo de 2022, 2:00 pm, Dirección Local de Educación de Tunjuelito
 Jueves 9 de junio de 2022, 10:00 am, Dirección Local de Educa"&amp;"ción de Tunjuelito
 Estamos atentos a la respuesta con la disponibilidad de tiempo de la peticionaria y convocaremos a dicha reunión a la Dirección Local de Educación y la estrategia ECO.")</f>
        <v>En atención a la solicitud originada en el marco del CLG Tunjuelito, la Dirección de Participación, a través de RIO-P, se comunicó con la peticionaria telefónicamente para definir la fecha, hora y lugar en la que se podría realizar el encuentro con los Consejo Locales y Distrital de Juventud para socializar las estrategias que está desarrollando la SED para abordar los problemas de convivencia que se presentan dentro y fuera de los colegios.
 La señora Luz Alba Galeano informa que su interés no es realizar el encuentro con los consejeros, sino que se aumente la fuerza pública y se desarrollen acciones para mitigar los problemas de expendio, consumo de SPA, robos, hostigamiento en los establecimientos educativos y sus alrededores. Para aclarar la solicitud, se sugirió realizar una mesa de trabajo y se remitió correo electrónico proponiendo las siguientes fechas:
 Martes 24 de mayo de 2022, 2:00 pm, Dirección Local de Educación de Tunjuelito
 Jueves 9 de junio de 2022, 10:00 am, Dirección Local de Educación de Tunjuelito
 Estamos atentos a la respuesta con la disponibilidad de tiempo de la peticionaria y convocaremos a dicha reunión a la Dirección Local de Educación y la estrategia ECO.</v>
      </c>
      <c r="N1346" s="55">
        <f ca="1">IFERROR(__xludf.DUMMYFUNCTION("""COMPUTED_VALUE"""),44926)</f>
        <v>44926</v>
      </c>
      <c r="O1346" s="25" t="str">
        <f t="shared" ca="1" si="0"/>
        <v>Secretaría de Educación del Distrito</v>
      </c>
      <c r="P1346" s="25" t="str">
        <f t="shared" si="2"/>
        <v/>
      </c>
      <c r="Q1346" s="25" t="str">
        <f ca="1">IFERROR(__xludf.DUMMYFUNCTION("""COMPUTED_VALUE"""),"Mediano plazo")</f>
        <v>Mediano plazo</v>
      </c>
      <c r="R1346" s="25"/>
      <c r="S1346" s="55"/>
      <c r="T1346" s="56"/>
      <c r="U1346" s="25"/>
      <c r="V1346" s="25"/>
      <c r="W1346" s="25"/>
      <c r="X1346" s="25"/>
      <c r="Y1346" s="25"/>
      <c r="Z1346" s="25"/>
    </row>
    <row r="1347" spans="1:26" ht="52.5" customHeight="1" x14ac:dyDescent="0.25">
      <c r="A1347" s="25" t="str">
        <f ca="1">IFERROR(__xludf.DUMMYFUNCTION("""COMPUTED_VALUE"""),"Educa145")</f>
        <v>Educa145</v>
      </c>
      <c r="B1347" s="25" t="str">
        <f ca="1">IFERROR(__xludf.DUMMYFUNCTION("""COMPUTED_VALUE"""),"Consejo Local de Gobierno de Tunjuelito")</f>
        <v>Consejo Local de Gobierno de Tunjuelito</v>
      </c>
      <c r="C1347" s="55">
        <f ca="1">IFERROR(__xludf.DUMMYFUNCTION("""COMPUTED_VALUE"""),44686)</f>
        <v>44686</v>
      </c>
      <c r="D1347" s="25" t="str">
        <f ca="1">IFERROR(__xludf.DUMMYFUNCTION("""COMPUTED_VALUE"""),"Educación")</f>
        <v>Educación</v>
      </c>
      <c r="E1347" s="25" t="str">
        <f ca="1">IFERROR(__xludf.DUMMYFUNCTION("""COMPUTED_VALUE"""),"Secretaría de Educación del Distrito")</f>
        <v>Secretaría de Educación del Distrito</v>
      </c>
      <c r="F1347" s="25" t="str">
        <f ca="1">IFERROR(__xludf.DUMMYFUNCTION("""COMPUTED_VALUE"""),"Revisar la posibilidad de dotar la cafetería del colegio Marco Fidel Suarez y destinar espacios donde los niños puedan calentar el almuerzo")</f>
        <v>Revisar la posibilidad de dotar la cafetería del colegio Marco Fidel Suarez y destinar espacios donde los niños puedan calentar el almuerzo</v>
      </c>
      <c r="G1347" s="25" t="str">
        <f ca="1">IFERROR(__xludf.DUMMYFUNCTION("""COMPUTED_VALUE"""),"06. Tunjuelito")</f>
        <v>06. Tunjuelito</v>
      </c>
      <c r="H1347" s="55">
        <f ca="1">IFERROR(__xludf.DUMMYFUNCTION("""COMPUTED_VALUE"""),44705)</f>
        <v>44705</v>
      </c>
      <c r="I1347" s="25"/>
      <c r="J1347" s="55" t="str">
        <f ca="1">IFERROR(__xludf.DUMMYFUNCTION("""COMPUTED_VALUE"""),"Alta")</f>
        <v>Alta</v>
      </c>
      <c r="K1347" s="25">
        <f ca="1">IFERROR(__xludf.DUMMYFUNCTION("""COMPUTED_VALUE"""),19)</f>
        <v>19</v>
      </c>
      <c r="L1347" s="62">
        <f ca="1">IFERROR(__xludf.DUMMYFUNCTION("""COMPUTED_VALUE"""),44705)</f>
        <v>44705</v>
      </c>
      <c r="M1347" s="55" t="str">
        <f ca="1">IFERROR(__xludf.DUMMYFUNCTION("""COMPUTED_VALUE"""),"Es importante indicar que los Proyectos de Inversión no contemplan estos elementos dentro de los avalados para dotar a las IED. Lo anterior, en razón a que la SED ha ido modificando los requisitos técnicos en la adquisición de elementos, con el fin de dot"&amp;"ar equipos de cocina de última tecnología. El alcance se escapa de las competencias del Programa de Alimentación Escolar, que tiene como objetivo garantizar la entrega de los complementos alimentarios, la cual para el caso puntual es refrigerio escolar y "&amp;"no a la dotación de la cafetería o destinación de espacios para calentar el almuerzo llevado por los estudiantes.")</f>
        <v>Es importante indicar que los Proyectos de Inversión no contemplan estos elementos dentro de los avalados para dotar a las IED. Lo anterior, en razón a que la SED ha ido modificando los requisitos técnicos en la adquisición de elementos, con el fin de dotar equipos de cocina de última tecnología. El alcance se escapa de las competencias del Programa de Alimentación Escolar, que tiene como objetivo garantizar la entrega de los complementos alimentarios, la cual para el caso puntual es refrigerio escolar y no a la dotación de la cafetería o destinación de espacios para calentar el almuerzo llevado por los estudiantes.</v>
      </c>
      <c r="N1347" s="55">
        <f ca="1">IFERROR(__xludf.DUMMYFUNCTION("""COMPUTED_VALUE"""),44926)</f>
        <v>44926</v>
      </c>
      <c r="O1347" s="25" t="str">
        <f t="shared" ca="1" si="0"/>
        <v>Secretaría de Educación del Distrito</v>
      </c>
      <c r="P1347" s="25" t="str">
        <f t="shared" si="2"/>
        <v/>
      </c>
      <c r="Q1347" s="25" t="str">
        <f ca="1">IFERROR(__xludf.DUMMYFUNCTION("""COMPUTED_VALUE"""),"Corto plazo")</f>
        <v>Corto plazo</v>
      </c>
      <c r="R1347" s="25"/>
      <c r="S1347" s="55"/>
      <c r="T1347" s="56"/>
      <c r="U1347" s="25"/>
      <c r="V1347" s="25"/>
      <c r="W1347" s="25"/>
      <c r="X1347" s="25"/>
      <c r="Y1347" s="25"/>
      <c r="Z1347" s="25"/>
    </row>
    <row r="1348" spans="1:26" ht="52.5" customHeight="1" x14ac:dyDescent="0.25">
      <c r="A1348" s="25" t="str">
        <f ca="1">IFERROR(__xludf.DUMMYFUNCTION("""COMPUTED_VALUE"""),"Educa146")</f>
        <v>Educa146</v>
      </c>
      <c r="B1348" s="25" t="str">
        <f ca="1">IFERROR(__xludf.DUMMYFUNCTION("""COMPUTED_VALUE"""),"Consejo Local de Gobierno de Santa Fe")</f>
        <v>Consejo Local de Gobierno de Santa Fe</v>
      </c>
      <c r="C1348" s="55">
        <f ca="1">IFERROR(__xludf.DUMMYFUNCTION("""COMPUTED_VALUE"""),44693)</f>
        <v>44693</v>
      </c>
      <c r="D1348" s="25" t="str">
        <f ca="1">IFERROR(__xludf.DUMMYFUNCTION("""COMPUTED_VALUE"""),"Educación")</f>
        <v>Educación</v>
      </c>
      <c r="E1348" s="25" t="str">
        <f ca="1">IFERROR(__xludf.DUMMYFUNCTION("""COMPUTED_VALUE"""),"Secretaría de Educación del Distrito")</f>
        <v>Secretaría de Educación del Distrito</v>
      </c>
      <c r="F1348" s="25" t="str">
        <f ca="1">IFERROR(__xludf.DUMMYFUNCTION("""COMPUTED_VALUE"""),"Revisar qué pasa con las 4 rutas escolares que se encuentran pendientes en la Vereda El Verjón")</f>
        <v>Revisar qué pasa con las 4 rutas escolares que se encuentran pendientes en la Vereda El Verjón</v>
      </c>
      <c r="G1348" s="25" t="str">
        <f ca="1">IFERROR(__xludf.DUMMYFUNCTION("""COMPUTED_VALUE"""),"03. Santa Fe")</f>
        <v>03. Santa Fe</v>
      </c>
      <c r="H1348" s="55">
        <f ca="1">IFERROR(__xludf.DUMMYFUNCTION("""COMPUTED_VALUE"""),44705)</f>
        <v>44705</v>
      </c>
      <c r="I1348" s="25"/>
      <c r="J1348" s="55" t="str">
        <f ca="1">IFERROR(__xludf.DUMMYFUNCTION("""COMPUTED_VALUE"""),"Alta")</f>
        <v>Alta</v>
      </c>
      <c r="K1348" s="25">
        <f ca="1">IFERROR(__xludf.DUMMYFUNCTION("""COMPUTED_VALUE"""),12)</f>
        <v>12</v>
      </c>
      <c r="L1348" s="62">
        <f ca="1">IFERROR(__xludf.DUMMYFUNCTION("""COMPUTED_VALUE"""),45079)</f>
        <v>45079</v>
      </c>
      <c r="M1348" s="25" t="str">
        <f ca="1">IFERROR(__xludf.DUMMYFUNCTION("""COMPUTED_VALUE"""),"1. ¿Qué significa segmento B por UT Andino 2020?
Desde el Programa de Movilidad Escolar se segmenta la ciudad por sectores para efectos de la contratación y operación de las rutas escolares. 
El segmento B, corresponde al segmento de contratación para l"&amp;"a vigencia 2022, y la UT Andino es el proveedor que operó las rutas de la IED el Verjón el año anterior.   Actualmente el colegio está ubicado en el segmento 8 de contratación y es operado por el proveedor UNION TEMPORAL ESCOLARES 2023.
2. ¿Este segmento"&amp;" se ubica en la vereda el Verjón?
El segmento es una distribución geográfica que se emplea para dividir de manera equitativa la ciudad para la contratación y operación de rutas escolares. 
La vereda el Verjón  y todas las rutas que se operan en la IED E"&amp;"l Verjón, están ubicadas dentro del segmento 8 de la operación.
3. ¿Al 31 de mayo de 2023 siguen funcionando las rutas? sino, ¿Por qué?
Actualmente están operando 8 rutas en la IED El Verjón, operadas por la Unión Temporal Escolares 2023, que atiende el"&amp;" segmento de operación 8.
De acuerdo con la solicitud de la IED, estas rutas iniciaron operación el 23 de enero de 2023.  Se ha presentado una variación en la cantidad de rutas por aumentos de tipología (Tamaño y capacidad de pasajeros de los vehículos)."&amp;" Estas 8 rutas activas han sido concertadas con la IED, responden a las necesidades propias del territorio y la optimización de los recursos.")</f>
        <v>1. ¿Qué significa segmento B por UT Andino 2020?
Desde el Programa de Movilidad Escolar se segmenta la ciudad por sectores para efectos de la contratación y operación de las rutas escolares. 
El segmento B, corresponde al segmento de contratación para la vigencia 2022, y la UT Andino es el proveedor que operó las rutas de la IED el Verjón el año anterior.   Actualmente el colegio está ubicado en el segmento 8 de contratación y es operado por el proveedor UNION TEMPORAL ESCOLARES 2023.
2. ¿Este segmento se ubica en la vereda el Verjón?
El segmento es una distribución geográfica que se emplea para dividir de manera equitativa la ciudad para la contratación y operación de rutas escolares. 
La vereda el Verjón  y todas las rutas que se operan en la IED El Verjón, están ubicadas dentro del segmento 8 de la operación.
3. ¿Al 31 de mayo de 2023 siguen funcionando las rutas? sino, ¿Por qué?
Actualmente están operando 8 rutas en la IED El Verjón, operadas por la Unión Temporal Escolares 2023, que atiende el segmento de operación 8.
De acuerdo con la solicitud de la IED, estas rutas iniciaron operación el 23 de enero de 2023.  Se ha presentado una variación en la cantidad de rutas por aumentos de tipología (Tamaño y capacidad de pasajeros de los vehículos). Estas 8 rutas activas han sido concertadas con la IED, responden a las necesidades propias del territorio y la optimización de los recursos.</v>
      </c>
      <c r="N1348" s="55">
        <f ca="1">IFERROR(__xludf.DUMMYFUNCTION("""COMPUTED_VALUE"""),44926)</f>
        <v>44926</v>
      </c>
      <c r="O1348" s="25" t="str">
        <f t="shared" ca="1" si="0"/>
        <v>Secretaría de Educación del Distrito</v>
      </c>
      <c r="P1348" s="25" t="str">
        <f t="shared" si="2"/>
        <v/>
      </c>
      <c r="Q1348" s="25" t="str">
        <f ca="1">IFERROR(__xludf.DUMMYFUNCTION("""COMPUTED_VALUE"""),"Corto plazo")</f>
        <v>Corto plazo</v>
      </c>
      <c r="R1348" s="25"/>
      <c r="S1348" s="55"/>
      <c r="T1348" s="56"/>
      <c r="U1348" s="25"/>
      <c r="V1348" s="25"/>
      <c r="W1348" s="25"/>
      <c r="X1348" s="25"/>
      <c r="Y1348" s="25"/>
      <c r="Z1348" s="25"/>
    </row>
    <row r="1349" spans="1:26" ht="52.5" customHeight="1" x14ac:dyDescent="0.25">
      <c r="A1349" s="25" t="str">
        <f ca="1">IFERROR(__xludf.DUMMYFUNCTION("""COMPUTED_VALUE"""),"Educa147")</f>
        <v>Educa147</v>
      </c>
      <c r="B1349" s="25" t="str">
        <f ca="1">IFERROR(__xludf.DUMMYFUNCTION("""COMPUTED_VALUE"""),"Consejo Local de Gobierno de Antonio Nariño")</f>
        <v>Consejo Local de Gobierno de Antonio Nariño</v>
      </c>
      <c r="C1349" s="55">
        <f ca="1">IFERROR(__xludf.DUMMYFUNCTION("""COMPUTED_VALUE"""),44770)</f>
        <v>44770</v>
      </c>
      <c r="D1349" s="25" t="str">
        <f ca="1">IFERROR(__xludf.DUMMYFUNCTION("""COMPUTED_VALUE"""),"Educación")</f>
        <v>Educación</v>
      </c>
      <c r="E1349" s="25" t="str">
        <f ca="1">IFERROR(__xludf.DUMMYFUNCTION("""COMPUTED_VALUE"""),"Secretaría de Educación del Distrito")</f>
        <v>Secretaría de Educación del Distrito</v>
      </c>
      <c r="F1349" s="25" t="str">
        <f ca="1">IFERROR(__xludf.DUMMYFUNCTION("""COMPUTED_VALUE"""),"Hacer seguimiento a las mesas de diálogo con la comunidad estudiantil y padres de familia del Colegio Técnico Jaime Pardo Leal")</f>
        <v>Hacer seguimiento a las mesas de diálogo con la comunidad estudiantil y padres de familia del Colegio Técnico Jaime Pardo Leal</v>
      </c>
      <c r="G1349" s="25" t="str">
        <f ca="1">IFERROR(__xludf.DUMMYFUNCTION("""COMPUTED_VALUE"""),"15. Antonio Nariño")</f>
        <v>15. Antonio Nariño</v>
      </c>
      <c r="H1349" s="55">
        <f ca="1">IFERROR(__xludf.DUMMYFUNCTION("""COMPUTED_VALUE"""),44902)</f>
        <v>44902</v>
      </c>
      <c r="I1349" s="25"/>
      <c r="J1349" s="55" t="str">
        <f ca="1">IFERROR(__xludf.DUMMYFUNCTION("""COMPUTED_VALUE"""),"Media")</f>
        <v>Media</v>
      </c>
      <c r="K1349" s="25">
        <f ca="1">IFERROR(__xludf.DUMMYFUNCTION("""COMPUTED_VALUE"""),132)</f>
        <v>132</v>
      </c>
      <c r="L1349" s="62">
        <f ca="1">IFERROR(__xludf.DUMMYFUNCTION("""COMPUTED_VALUE"""),44902)</f>
        <v>44902</v>
      </c>
      <c r="M1349" s="55" t="str">
        <f ca="1">IFERROR(__xludf.DUMMYFUNCTION("""COMPUTED_VALUE"""),"Se continua con el seguimiento de cumplimiento a los acuerdos establecidos en la mesas de dialogo de la IED. El 21/11/2022 se realizó la mesa de seguimiento y cierre del pliego de peticiones presentados por los estudiantes de la IED.
 Ante la toma realiza"&amp;"da el dia 25/07/2022 La Secretaria de Educación ha participado desde las diferentes direcciones solicitadas en la mesa de dialogo y negociación de la Institución, a partir de ese dia se llevaron a cabo multiples sesiones de las cuales la SED cuenta con ac"&amp;"tas y seguimiento a los acuerdos alli establecidos, a la fecha son 38 acuerdos de los cuales 21 se encuentran ya cumplidos y 17 esta en proceso de ejecución. Para el año 2022 no hay ningun acuerdo que se encuentre en estado pendiente. Dentro del seguimien"&amp;"to a la mesa de dialogo de la Institución Educativa Distrital Jaime Pardo Leal se tiene en cuenta no solo las peticiones realizadas en el pliego de peticiones despues de la toma, sino que tambien se abordan los acuerdos y compromisos generados a lo largo "&amp;"de aproximadamente 13 sesiones de la mesa de dialogos.")</f>
        <v>Se continua con el seguimiento de cumplimiento a los acuerdos establecidos en la mesas de dialogo de la IED. El 21/11/2022 se realizó la mesa de seguimiento y cierre del pliego de peticiones presentados por los estudiantes de la IED.
 Ante la toma realizada el dia 25/07/2022 La Secretaria de Educación ha participado desde las diferentes direcciones solicitadas en la mesa de dialogo y negociación de la Institución, a partir de ese dia se llevaron a cabo multiples sesiones de las cuales la SED cuenta con actas y seguimiento a los acuerdos alli establecidos, a la fecha son 38 acuerdos de los cuales 21 se encuentran ya cumplidos y 17 esta en proceso de ejecución. Para el año 2022 no hay ningun acuerdo que se encuentre en estado pendiente. Dentro del seguimiento a la mesa de dialogo de la Institución Educativa Distrital Jaime Pardo Leal se tiene en cuenta no solo las peticiones realizadas en el pliego de peticiones despues de la toma, sino que tambien se abordan los acuerdos y compromisos generados a lo largo de aproximadamente 13 sesiones de la mesa de dialogos.</v>
      </c>
      <c r="N1349" s="55">
        <f ca="1">IFERROR(__xludf.DUMMYFUNCTION("""COMPUTED_VALUE"""),44926)</f>
        <v>44926</v>
      </c>
      <c r="O1349" s="25" t="str">
        <f t="shared" ca="1" si="0"/>
        <v>Secretaría de Educación del Distrito</v>
      </c>
      <c r="P1349" s="25" t="str">
        <f t="shared" si="2"/>
        <v/>
      </c>
      <c r="Q1349" s="25" t="str">
        <f ca="1">IFERROR(__xludf.DUMMYFUNCTION("""COMPUTED_VALUE"""),"Mediano plazo")</f>
        <v>Mediano plazo</v>
      </c>
      <c r="R1349" s="25"/>
      <c r="S1349" s="55"/>
      <c r="T1349" s="56"/>
      <c r="U1349" s="25"/>
      <c r="V1349" s="25"/>
      <c r="W1349" s="25"/>
      <c r="X1349" s="25"/>
      <c r="Y1349" s="25"/>
      <c r="Z1349" s="25"/>
    </row>
    <row r="1350" spans="1:26" ht="52.5" customHeight="1" x14ac:dyDescent="0.25">
      <c r="A1350" s="25" t="str">
        <f ca="1">IFERROR(__xludf.DUMMYFUNCTION("""COMPUTED_VALUE"""),"Educa148")</f>
        <v>Educa148</v>
      </c>
      <c r="B1350" s="25" t="str">
        <f ca="1">IFERROR(__xludf.DUMMYFUNCTION("""COMPUTED_VALUE"""),"Recorrido San Cristóbal")</f>
        <v>Recorrido San Cristóbal</v>
      </c>
      <c r="C1350" s="55">
        <f ca="1">IFERROR(__xludf.DUMMYFUNCTION("""COMPUTED_VALUE"""),45026)</f>
        <v>45026</v>
      </c>
      <c r="D1350" s="25" t="str">
        <f ca="1">IFERROR(__xludf.DUMMYFUNCTION("""COMPUTED_VALUE"""),"Educación")</f>
        <v>Educación</v>
      </c>
      <c r="E1350" s="25" t="str">
        <f ca="1">IFERROR(__xludf.DUMMYFUNCTION("""COMPUTED_VALUE"""),"Secretaría de Educación del Distrito")</f>
        <v>Secretaría de Educación del Distrito</v>
      </c>
      <c r="F1350" s="25" t="str">
        <f ca="1">IFERROR(__xludf.DUMMYFUNCTION("""COMPUTED_VALUE"""),"Intervenir el entorno y uno de los muros del I.E.D Francisco Javier Matiz.")</f>
        <v>Intervenir el entorno y uno de los muros del I.E.D Francisco Javier Matiz.</v>
      </c>
      <c r="G1350" s="25" t="str">
        <f ca="1">IFERROR(__xludf.DUMMYFUNCTION("""COMPUTED_VALUE"""),"04. San Cristóbal")</f>
        <v>04. San Cristóbal</v>
      </c>
      <c r="H1350" s="55">
        <f ca="1">IFERROR(__xludf.DUMMYFUNCTION("""COMPUTED_VALUE"""),45153)</f>
        <v>45153</v>
      </c>
      <c r="I1350" s="25" t="str">
        <f ca="1">IFERROR(__xludf.DUMMYFUNCTION("""COMPUTED_VALUE"""),"Jefatura de Gabinete")</f>
        <v>Jefatura de Gabinete</v>
      </c>
      <c r="J1350" s="55" t="str">
        <f ca="1">IFERROR(__xludf.DUMMYFUNCTION("""COMPUTED_VALUE"""),"Alta")</f>
        <v>Alta</v>
      </c>
      <c r="K1350" s="25">
        <f ca="1">IFERROR(__xludf.DUMMYFUNCTION("""COMPUTED_VALUE"""),127)</f>
        <v>127</v>
      </c>
      <c r="L1350" s="62">
        <f ca="1">IFERROR(__xludf.DUMMYFUNCTION("""COMPUTED_VALUE"""),45077)</f>
        <v>45077</v>
      </c>
      <c r="M1350" s="25" t="str">
        <f ca="1">IFERROR(__xludf.DUMMYFUNCTION("""COMPUTED_VALUE"""),"La intervención de la infraestructura física del Colegio Francisco Javier Matiz IED se adelantará a través del Contrato de Obra Pública No. CO1.PCCNTR.4077644 cuyo objeto es: “Adelantar obras de adecuación, mejoramiento y mantenimiento correctivo de las p"&amp;"lantas físicas de la Secretaría de Educación del Distrito, así como la ejecución de obras menores que pemitan la atención a través de emergencias y de necesidades físicas prioritarias, para garantizar el funcionamiento y la prestación del servicio de la i"&amp;"nfraestructura física en los colegios distritales y las sedes administrativas"".
El inicio de este frente de obra está programado para la semana del 17 al 21 de julio de 2023.")</f>
        <v>La intervención de la infraestructura física del Colegio Francisco Javier Matiz IED se adelantará a través del Contrato de Obra Pública No. CO1.PCCNTR.4077644 cuyo objeto es: “Adelantar obras de adecuación, mejoramiento y mantenimiento correctivo de las plantas físicas de la Secretaría de Educación del Distrito, así como la ejecución de obras menores que pemitan la atención a través de emergencias y de necesidades físicas prioritarias, para garantizar el funcionamiento y la prestación del servicio de la infraestructura física en los colegios distritales y las sedes administrativas".
El inicio de este frente de obra está programado para la semana del 17 al 21 de julio de 2023.</v>
      </c>
      <c r="N1350" s="25"/>
      <c r="O1350" s="25" t="str">
        <f t="shared" ca="1" si="0"/>
        <v>Secretaría de Educación del Distrito</v>
      </c>
      <c r="P1350" s="25" t="str">
        <f t="shared" ca="1" si="2"/>
        <v/>
      </c>
      <c r="Q1350" s="25" t="str">
        <f ca="1">IFERROR(__xludf.DUMMYFUNCTION("""COMPUTED_VALUE"""),"Mediano plazo")</f>
        <v>Mediano plazo</v>
      </c>
      <c r="R1350" s="25"/>
      <c r="S1350" s="55"/>
      <c r="T1350" s="56"/>
      <c r="U1350" s="25"/>
      <c r="V1350" s="25"/>
      <c r="W1350" s="25"/>
      <c r="X1350" s="25"/>
      <c r="Y1350" s="25"/>
      <c r="Z1350" s="25"/>
    </row>
    <row r="1351" spans="1:26" ht="52.5" customHeight="1" x14ac:dyDescent="0.25">
      <c r="A1351" s="25" t="str">
        <f ca="1">IFERROR(__xludf.DUMMYFUNCTION("""COMPUTED_VALUE"""),"Educa149")</f>
        <v>Educa149</v>
      </c>
      <c r="B1351" s="25" t="str">
        <f ca="1">IFERROR(__xludf.DUMMYFUNCTION("""COMPUTED_VALUE"""),"Recorrido San Cristóbal")</f>
        <v>Recorrido San Cristóbal</v>
      </c>
      <c r="C1351" s="55">
        <f ca="1">IFERROR(__xludf.DUMMYFUNCTION("""COMPUTED_VALUE"""),45026)</f>
        <v>45026</v>
      </c>
      <c r="D1351" s="25" t="str">
        <f ca="1">IFERROR(__xludf.DUMMYFUNCTION("""COMPUTED_VALUE"""),"Educación")</f>
        <v>Educación</v>
      </c>
      <c r="E1351" s="25" t="str">
        <f ca="1">IFERROR(__xludf.DUMMYFUNCTION("""COMPUTED_VALUE"""),"Secretaría de Educación del Distrito")</f>
        <v>Secretaría de Educación del Distrito</v>
      </c>
      <c r="F1351" s="25" t="str">
        <f ca="1">IFERROR(__xludf.DUMMYFUNCTION("""COMPUTED_VALUE"""),"Habilitar ascensor del Colegio República de Ecuador.")</f>
        <v>Habilitar ascensor del Colegio República de Ecuador.</v>
      </c>
      <c r="G1351" s="25" t="str">
        <f ca="1">IFERROR(__xludf.DUMMYFUNCTION("""COMPUTED_VALUE"""),"04. San Cristóbal")</f>
        <v>04. San Cristóbal</v>
      </c>
      <c r="H1351" s="55">
        <f ca="1">IFERROR(__xludf.DUMMYFUNCTION("""COMPUTED_VALUE"""),45046)</f>
        <v>45046</v>
      </c>
      <c r="I1351" s="25"/>
      <c r="J1351" s="55" t="str">
        <f ca="1">IFERROR(__xludf.DUMMYFUNCTION("""COMPUTED_VALUE"""),"Alta")</f>
        <v>Alta</v>
      </c>
      <c r="K1351" s="25">
        <f ca="1">IFERROR(__xludf.DUMMYFUNCTION("""COMPUTED_VALUE"""),20)</f>
        <v>20</v>
      </c>
      <c r="L1351" s="62">
        <f ca="1">IFERROR(__xludf.DUMMYFUNCTION("""COMPUTED_VALUE"""),45046)</f>
        <v>45046</v>
      </c>
      <c r="M1351" s="25" t="str">
        <f ca="1">IFERROR(__xludf.DUMMYFUNCTION("""COMPUTED_VALUE"""),"En el marco de la terminación de obra en el Colegio República del Ecuador, el ascensor fue entregado a la institución educativa el 2 de junio de 2021, mediante acta de capacitación de manejo del equipo, el cual se encontraba debidamente certificado para f"&amp;"uncionamiento de uso final, documento expedido por el Organismo Nacional de Acreditación de Colombia “ONAC”, certificado No AS02356-15/03/2021-4129, con fecha de inspección 15/03/2021 y fecha de vencimiento 15/03/2022. Esta certificación validaba el cumpl"&amp;"imiento del equipo bajo la NTC 5926-1 “Revisión tecno-mecánica de sistema de transporte vertical y puertas eléctricas Parte 1: Ascensores Electromecánicos e hidráulicos”.
De otra parte, se celebró un contrato con la empresa proveedora del ascensor del co"&amp;"legio por un término de 3 meses para el mantenimiento preventivo de dicho equipo. El primer mantenimiento se realizó el 5 de abril de 2023, quedando el ascensor en funcionamiento. Se hizo entrega y se dieron las indicaciones al encargado en la institución"&amp;" educativa.")</f>
        <v>En el marco de la terminación de obra en el Colegio República del Ecuador, el ascensor fue entregado a la institución educativa el 2 de junio de 2021, mediante acta de capacitación de manejo del equipo, el cual se encontraba debidamente certificado para funcionamiento de uso final, documento expedido por el Organismo Nacional de Acreditación de Colombia “ONAC”, certificado No AS02356-15/03/2021-4129, con fecha de inspección 15/03/2021 y fecha de vencimiento 15/03/2022. Esta certificación validaba el cumplimiento del equipo bajo la NTC 5926-1 “Revisión tecno-mecánica de sistema de transporte vertical y puertas eléctricas Parte 1: Ascensores Electromecánicos e hidráulicos”.
De otra parte, se celebró un contrato con la empresa proveedora del ascensor del colegio por un término de 3 meses para el mantenimiento preventivo de dicho equipo. El primer mantenimiento se realizó el 5 de abril de 2023, quedando el ascensor en funcionamiento. Se hizo entrega y se dieron las indicaciones al encargado en la institución educativa.</v>
      </c>
      <c r="N1351" s="55">
        <f ca="1">IFERROR(__xludf.DUMMYFUNCTION("""COMPUTED_VALUE"""),45021)</f>
        <v>45021</v>
      </c>
      <c r="O1351" s="25" t="str">
        <f t="shared" ca="1" si="0"/>
        <v>Secretaría de Educación del Distrito</v>
      </c>
      <c r="P1351" s="25" t="str">
        <f t="shared" si="2"/>
        <v/>
      </c>
      <c r="Q1351" s="25" t="str">
        <f ca="1">IFERROR(__xludf.DUMMYFUNCTION("""COMPUTED_VALUE"""),"Corto plazo")</f>
        <v>Corto plazo</v>
      </c>
      <c r="R1351" s="25"/>
      <c r="S1351" s="55"/>
      <c r="T1351" s="56"/>
      <c r="U1351" s="25"/>
      <c r="V1351" s="25"/>
      <c r="W1351" s="25"/>
      <c r="X1351" s="25"/>
      <c r="Y1351" s="25"/>
      <c r="Z1351" s="25"/>
    </row>
    <row r="1352" spans="1:26" ht="52.5" customHeight="1" x14ac:dyDescent="0.25">
      <c r="A1352" s="25" t="str">
        <f ca="1">IFERROR(__xludf.DUMMYFUNCTION("""COMPUTED_VALUE"""),"Educa150")</f>
        <v>Educa150</v>
      </c>
      <c r="B1352" s="25" t="str">
        <f ca="1">IFERROR(__xludf.DUMMYFUNCTION("""COMPUTED_VALUE"""),"Recorrido Usaquén")</f>
        <v>Recorrido Usaquén</v>
      </c>
      <c r="C1352" s="55">
        <f ca="1">IFERROR(__xludf.DUMMYFUNCTION("""COMPUTED_VALUE"""),45034)</f>
        <v>45034</v>
      </c>
      <c r="D1352" s="25" t="str">
        <f ca="1">IFERROR(__xludf.DUMMYFUNCTION("""COMPUTED_VALUE"""),"Educación")</f>
        <v>Educación</v>
      </c>
      <c r="E1352" s="25" t="str">
        <f ca="1">IFERROR(__xludf.DUMMYFUNCTION("""COMPUTED_VALUE"""),"Secretaría de Educación del Distrito")</f>
        <v>Secretaría de Educación del Distrito</v>
      </c>
      <c r="F1352" s="25" t="str">
        <f ca="1">IFERROR(__xludf.DUMMYFUNCTION("""COMPUTED_VALUE"""),"Mejorar la accesibilidad de personas con movilidad reducida al IED Usaquén, ante las obras de remodelación que en él se adelantan.")</f>
        <v>Mejorar la accesibilidad de personas con movilidad reducida al IED Usaquén, ante las obras de remodelación que en él se adelantan.</v>
      </c>
      <c r="G1352" s="25" t="str">
        <f ca="1">IFERROR(__xludf.DUMMYFUNCTION("""COMPUTED_VALUE"""),"01. Usaquén")</f>
        <v>01. Usaquén</v>
      </c>
      <c r="H1352" s="55">
        <f ca="1">IFERROR(__xludf.DUMMYFUNCTION("""COMPUTED_VALUE"""),45169)</f>
        <v>45169</v>
      </c>
      <c r="I1352" s="25" t="str">
        <f ca="1">IFERROR(__xludf.DUMMYFUNCTION("""COMPUTED_VALUE"""),"Secretaría Privada")</f>
        <v>Secretaría Privada</v>
      </c>
      <c r="J1352" s="55" t="str">
        <f ca="1">IFERROR(__xludf.DUMMYFUNCTION("""COMPUTED_VALUE"""),"Alta")</f>
        <v>Alta</v>
      </c>
      <c r="K1352" s="25">
        <f ca="1">IFERROR(__xludf.DUMMYFUNCTION("""COMPUTED_VALUE"""),135)</f>
        <v>135</v>
      </c>
      <c r="L1352" s="62">
        <f ca="1">IFERROR(__xludf.DUMMYFUNCTION("""COMPUTED_VALUE"""),45077)</f>
        <v>45077</v>
      </c>
      <c r="M1352" s="25" t="str">
        <f ca="1">IFERROR(__xludf.DUMMYFUNCTION("""COMPUTED_VALUE"""),"La intervención en el Colegio Usaquén sede A para mejorar la accesibilidad de personas con movilidad reducida se desarrolla a través del Contrato de Obra No. 4087800 de 2022 suscrito con el Consorcio Obras MG y presenta un avance de ejecución del 4,65%. L"&amp;"a finalización y entrega está programada para el 15 de agosto de 2023.")</f>
        <v>La intervención en el Colegio Usaquén sede A para mejorar la accesibilidad de personas con movilidad reducida se desarrolla a través del Contrato de Obra No. 4087800 de 2022 suscrito con el Consorcio Obras MG y presenta un avance de ejecución del 4,65%. La finalización y entrega está programada para el 15 de agosto de 2023.</v>
      </c>
      <c r="N1352" s="25"/>
      <c r="O1352" s="25" t="str">
        <f t="shared" ca="1" si="0"/>
        <v>Secretaría de Educación del Distrito</v>
      </c>
      <c r="P1352" s="25" t="str">
        <f t="shared" ca="1" si="2"/>
        <v/>
      </c>
      <c r="Q1352" s="25" t="str">
        <f ca="1">IFERROR(__xludf.DUMMYFUNCTION("""COMPUTED_VALUE"""),"Mediano plazo")</f>
        <v>Mediano plazo</v>
      </c>
      <c r="R1352" s="25"/>
      <c r="S1352" s="55"/>
      <c r="T1352" s="56"/>
      <c r="U1352" s="25"/>
      <c r="V1352" s="25"/>
      <c r="W1352" s="25"/>
      <c r="X1352" s="25"/>
      <c r="Y1352" s="25"/>
      <c r="Z1352" s="25"/>
    </row>
    <row r="1353" spans="1:26" ht="52.5" customHeight="1" x14ac:dyDescent="0.25">
      <c r="A1353" s="25" t="str">
        <f ca="1">IFERROR(__xludf.DUMMYFUNCTION("""COMPUTED_VALUE"""),"Educa151")</f>
        <v>Educa151</v>
      </c>
      <c r="B1353" s="25" t="str">
        <f ca="1">IFERROR(__xludf.DUMMYFUNCTION("""COMPUTED_VALUE"""),"Consejo Local de Gobierno de Bosa")</f>
        <v>Consejo Local de Gobierno de Bosa</v>
      </c>
      <c r="C1353" s="55">
        <f ca="1">IFERROR(__xludf.DUMMYFUNCTION("""COMPUTED_VALUE"""),44602)</f>
        <v>44602</v>
      </c>
      <c r="D1353" s="25" t="str">
        <f ca="1">IFERROR(__xludf.DUMMYFUNCTION("""COMPUTED_VALUE"""),"Educación")</f>
        <v>Educación</v>
      </c>
      <c r="E1353" s="25" t="str">
        <f ca="1">IFERROR(__xludf.DUMMYFUNCTION("""COMPUTED_VALUE"""),"Secretaría de Educación del Distrito")</f>
        <v>Secretaría de Educación del Distrito</v>
      </c>
      <c r="F1353" s="25" t="str">
        <f ca="1">IFERROR(__xludf.DUMMYFUNCTION("""COMPUTED_VALUE"""),"Entregar tres colegios en la localidad (Plaza Logística, Palestina y Niño Jesús)")</f>
        <v>Entregar tres colegios en la localidad (Plaza Logística, Palestina y Niño Jesús)</v>
      </c>
      <c r="G1353" s="25" t="str">
        <f ca="1">IFERROR(__xludf.DUMMYFUNCTION("""COMPUTED_VALUE"""),"07. Bosa")</f>
        <v>07. Bosa</v>
      </c>
      <c r="H1353" s="55">
        <f ca="1">IFERROR(__xludf.DUMMYFUNCTION("""COMPUTED_VALUE"""),44621)</f>
        <v>44621</v>
      </c>
      <c r="I1353" s="25"/>
      <c r="J1353" s="55" t="str">
        <f ca="1">IFERROR(__xludf.DUMMYFUNCTION("""COMPUTED_VALUE"""),"Alta")</f>
        <v>Alta</v>
      </c>
      <c r="K1353" s="25">
        <f ca="1">IFERROR(__xludf.DUMMYFUNCTION("""COMPUTED_VALUE"""),19)</f>
        <v>19</v>
      </c>
      <c r="L1353" s="62">
        <f ca="1">IFERROR(__xludf.DUMMYFUNCTION("""COMPUTED_VALUE"""),45062)</f>
        <v>45062</v>
      </c>
      <c r="M1353" s="25" t="str">
        <f ca="1">IFERROR(__xludf.DUMMYFUNCTION("""COMPUTED_VALUE"""),"El 4 de octubre de 2022 fueron inaugurados los colegios Sonia Osorio de Saint Malo (Plaza Logistica), Esmeralda Arboleda Cadavid (Palestina) y Laura Herrera de Varela (Niño Jesús), en el marco de actividad denominada ""Maratón de entrega de colegios"" con"&amp;" la presencia de la Alcaldesa, el Ministro de Educación la señora Secretaria de Educación")</f>
        <v>El 4 de octubre de 2022 fueron inaugurados los colegios Sonia Osorio de Saint Malo (Plaza Logistica), Esmeralda Arboleda Cadavid (Palestina) y Laura Herrera de Varela (Niño Jesús), en el marco de actividad denominada "Maratón de entrega de colegios" con la presencia de la Alcaldesa, el Ministro de Educación la señora Secretaria de Educación</v>
      </c>
      <c r="N1353" s="55">
        <f ca="1">IFERROR(__xludf.DUMMYFUNCTION("""COMPUTED_VALUE"""),44838)</f>
        <v>44838</v>
      </c>
      <c r="O1353" s="25" t="str">
        <f t="shared" ca="1" si="0"/>
        <v>Secretaría de Educación del Distrito</v>
      </c>
      <c r="P1353" s="25" t="str">
        <f t="shared" si="2"/>
        <v/>
      </c>
      <c r="Q1353" s="25" t="str">
        <f ca="1">IFERROR(__xludf.DUMMYFUNCTION("""COMPUTED_VALUE"""),"Corto plazo")</f>
        <v>Corto plazo</v>
      </c>
      <c r="R1353" s="25"/>
      <c r="S1353" s="55"/>
      <c r="T1353" s="56"/>
      <c r="U1353" s="25"/>
      <c r="V1353" s="25"/>
      <c r="W1353" s="25"/>
      <c r="X1353" s="25"/>
      <c r="Y1353" s="25"/>
      <c r="Z1353" s="25"/>
    </row>
    <row r="1354" spans="1:26" ht="52.5" customHeight="1" x14ac:dyDescent="0.25">
      <c r="A1354" s="25" t="str">
        <f ca="1">IFERROR(__xludf.DUMMYFUNCTION("""COMPUTED_VALUE"""),"Educa152")</f>
        <v>Educa152</v>
      </c>
      <c r="B1354" s="25" t="str">
        <f ca="1">IFERROR(__xludf.DUMMYFUNCTION("""COMPUTED_VALUE"""),"Consejo Local de Gobierno de Suba")</f>
        <v>Consejo Local de Gobierno de Suba</v>
      </c>
      <c r="C1354" s="55">
        <f ca="1">IFERROR(__xludf.DUMMYFUNCTION("""COMPUTED_VALUE"""),44630)</f>
        <v>44630</v>
      </c>
      <c r="D1354" s="25" t="str">
        <f ca="1">IFERROR(__xludf.DUMMYFUNCTION("""COMPUTED_VALUE"""),"Educación")</f>
        <v>Educación</v>
      </c>
      <c r="E1354" s="25" t="str">
        <f ca="1">IFERROR(__xludf.DUMMYFUNCTION("""COMPUTED_VALUE"""),"Secretaría de Educación del Distrito")</f>
        <v>Secretaría de Educación del Distrito</v>
      </c>
      <c r="F1354" s="25" t="str">
        <f ca="1">IFERROR(__xludf.DUMMYFUNCTION("""COMPUTED_VALUE"""),"Realizar un piloto de educación ambiental con enfoque étnico y cultural en la Institución Alfonso Jaramillo que se encuentra en la Reserva Van der Hammen")</f>
        <v>Realizar un piloto de educación ambiental con enfoque étnico y cultural en la Institución Alfonso Jaramillo que se encuentra en la Reserva Van der Hammen</v>
      </c>
      <c r="G1354" s="25" t="str">
        <f ca="1">IFERROR(__xludf.DUMMYFUNCTION("""COMPUTED_VALUE"""),"11. Suba")</f>
        <v>11. Suba</v>
      </c>
      <c r="H1354" s="55">
        <f ca="1">IFERROR(__xludf.DUMMYFUNCTION("""COMPUTED_VALUE"""),45077)</f>
        <v>45077</v>
      </c>
      <c r="I1354" s="25"/>
      <c r="J1354" s="55" t="str">
        <f ca="1">IFERROR(__xludf.DUMMYFUNCTION("""COMPUTED_VALUE"""),"Baja")</f>
        <v>Baja</v>
      </c>
      <c r="K1354" s="25">
        <f ca="1">IFERROR(__xludf.DUMMYFUNCTION("""COMPUTED_VALUE"""),447)</f>
        <v>447</v>
      </c>
      <c r="L1354" s="62">
        <f ca="1">IFERROR(__xludf.DUMMYFUNCTION("""COMPUTED_VALUE"""),45061)</f>
        <v>45061</v>
      </c>
      <c r="M1354" s="25" t="str">
        <f ca="1">IFERROR(__xludf.DUMMYFUNCTION("""COMPUTED_VALUE"""),"El Colegio Alfonso Jaramillo que se encuentra en la Reserva Van der Hammen es de carácter privado, por lo que la Dirección de Educación Preescolar y Básica de la Secretaría de Educación del Distrito no surte acompañamiento en materia de educación ambienta"&amp;"l a la misma.")</f>
        <v>El Colegio Alfonso Jaramillo que se encuentra en la Reserva Van der Hammen es de carácter privado, por lo que la Dirección de Educación Preescolar y Básica de la Secretaría de Educación del Distrito no surte acompañamiento en materia de educación ambiental a la misma.</v>
      </c>
      <c r="N1354" s="55">
        <f ca="1">IFERROR(__xludf.DUMMYFUNCTION("""COMPUTED_VALUE"""),45061)</f>
        <v>45061</v>
      </c>
      <c r="O1354" s="25" t="str">
        <f t="shared" ca="1" si="0"/>
        <v>Secretaría de Educación del Distrito</v>
      </c>
      <c r="P1354" s="25" t="str">
        <f t="shared" si="2"/>
        <v/>
      </c>
      <c r="Q1354" s="25" t="str">
        <f ca="1">IFERROR(__xludf.DUMMYFUNCTION("""COMPUTED_VALUE"""),"Largo plazo")</f>
        <v>Largo plazo</v>
      </c>
      <c r="R1354" s="25"/>
      <c r="S1354" s="55"/>
      <c r="T1354" s="56"/>
      <c r="U1354" s="25"/>
      <c r="V1354" s="25"/>
      <c r="W1354" s="25"/>
      <c r="X1354" s="25"/>
      <c r="Y1354" s="25"/>
      <c r="Z1354" s="25"/>
    </row>
    <row r="1355" spans="1:26" ht="52.5" customHeight="1" x14ac:dyDescent="0.25">
      <c r="A1355" s="25" t="str">
        <f ca="1">IFERROR(__xludf.DUMMYFUNCTION("""COMPUTED_VALUE"""),"Educa153")</f>
        <v>Educa153</v>
      </c>
      <c r="B1355" s="25" t="str">
        <f ca="1">IFERROR(__xludf.DUMMYFUNCTION("""COMPUTED_VALUE"""),"Consejo Local de Gobierno de Chapinero")</f>
        <v>Consejo Local de Gobierno de Chapinero</v>
      </c>
      <c r="C1355" s="55">
        <f ca="1">IFERROR(__xludf.DUMMYFUNCTION("""COMPUTED_VALUE"""),44623)</f>
        <v>44623</v>
      </c>
      <c r="D1355" s="25" t="str">
        <f ca="1">IFERROR(__xludf.DUMMYFUNCTION("""COMPUTED_VALUE"""),"Educación")</f>
        <v>Educación</v>
      </c>
      <c r="E1355" s="25" t="str">
        <f ca="1">IFERROR(__xludf.DUMMYFUNCTION("""COMPUTED_VALUE"""),"Secretaría de Educación del Distrito")</f>
        <v>Secretaría de Educación del Distrito</v>
      </c>
      <c r="F1355" s="25" t="str">
        <f ca="1">IFERROR(__xludf.DUMMYFUNCTION("""COMPUTED_VALUE"""),"Revisar las condiciones de la Escuela en Mariscal Sucre, Sede B San Martín de Porres")</f>
        <v>Revisar las condiciones de la Escuela en Mariscal Sucre, Sede B San Martín de Porres</v>
      </c>
      <c r="G1355" s="25" t="str">
        <f ca="1">IFERROR(__xludf.DUMMYFUNCTION("""COMPUTED_VALUE"""),"02. Chapinero")</f>
        <v>02. Chapinero</v>
      </c>
      <c r="H1355" s="55">
        <f ca="1">IFERROR(__xludf.DUMMYFUNCTION("""COMPUTED_VALUE"""),45077)</f>
        <v>45077</v>
      </c>
      <c r="I1355" s="25"/>
      <c r="J1355" s="55" t="str">
        <f ca="1">IFERROR(__xludf.DUMMYFUNCTION("""COMPUTED_VALUE"""),"Media")</f>
        <v>Media</v>
      </c>
      <c r="K1355" s="25">
        <f ca="1">IFERROR(__xludf.DUMMYFUNCTION("""COMPUTED_VALUE"""),454)</f>
        <v>454</v>
      </c>
      <c r="L1355" s="62">
        <f ca="1">IFERROR(__xludf.DUMMYFUNCTION("""COMPUTED_VALUE"""),45061)</f>
        <v>45061</v>
      </c>
      <c r="M1355" s="25" t="str">
        <f ca="1">IFERROR(__xludf.DUMMYFUNCTION("""COMPUTED_VALUE"""),"Mediante el contrato No. 2645862 de 2021 se efectuaron obras en el Colegio Mariscal Sucre sede B (San Martín de Porres) consistentes en el mejoramiento de ventilación de las aulas, adecuaciones de ventanas y pintura general, las cuales fueron ejecutadas d"&amp;"urante la vigencia 2022 y entregadas el 8 de noviembre de 2022. A la fecha NO se tienen contempladas nuevas intervenciones en esta sede.")</f>
        <v>Mediante el contrato No. 2645862 de 2021 se efectuaron obras en el Colegio Mariscal Sucre sede B (San Martín de Porres) consistentes en el mejoramiento de ventilación de las aulas, adecuaciones de ventanas y pintura general, las cuales fueron ejecutadas durante la vigencia 2022 y entregadas el 8 de noviembre de 2022. A la fecha NO se tienen contempladas nuevas intervenciones en esta sede.</v>
      </c>
      <c r="N1355" s="55">
        <f ca="1">IFERROR(__xludf.DUMMYFUNCTION("""COMPUTED_VALUE"""),45061)</f>
        <v>45061</v>
      </c>
      <c r="O1355" s="25" t="str">
        <f t="shared" ca="1" si="0"/>
        <v>Secretaría de Educación del Distrito</v>
      </c>
      <c r="P1355" s="25" t="str">
        <f t="shared" si="2"/>
        <v/>
      </c>
      <c r="Q1355" s="25" t="str">
        <f ca="1">IFERROR(__xludf.DUMMYFUNCTION("""COMPUTED_VALUE"""),"Largo plazo")</f>
        <v>Largo plazo</v>
      </c>
      <c r="R1355" s="25"/>
      <c r="S1355" s="55"/>
      <c r="T1355" s="56"/>
      <c r="U1355" s="25"/>
      <c r="V1355" s="25"/>
      <c r="W1355" s="25"/>
      <c r="X1355" s="25"/>
      <c r="Y1355" s="25"/>
      <c r="Z1355" s="25"/>
    </row>
    <row r="1356" spans="1:26" ht="52.5" customHeight="1" x14ac:dyDescent="0.25">
      <c r="A1356" s="25" t="str">
        <f ca="1">IFERROR(__xludf.DUMMYFUNCTION("""COMPUTED_VALUE"""),"Educa154")</f>
        <v>Educa154</v>
      </c>
      <c r="B1356" s="25" t="str">
        <f ca="1">IFERROR(__xludf.DUMMYFUNCTION("""COMPUTED_VALUE"""),"Recorrido Engativá")</f>
        <v>Recorrido Engativá</v>
      </c>
      <c r="C1356" s="55">
        <f ca="1">IFERROR(__xludf.DUMMYFUNCTION("""COMPUTED_VALUE"""),45048)</f>
        <v>45048</v>
      </c>
      <c r="D1356" s="25" t="str">
        <f ca="1">IFERROR(__xludf.DUMMYFUNCTION("""COMPUTED_VALUE"""),"Educación")</f>
        <v>Educación</v>
      </c>
      <c r="E1356" s="25" t="str">
        <f ca="1">IFERROR(__xludf.DUMMYFUNCTION("""COMPUTED_VALUE"""),"Secretaría de Educación del Distrito")</f>
        <v>Secretaría de Educación del Distrito</v>
      </c>
      <c r="F1356" s="25" t="str">
        <f ca="1">IFERROR(__xludf.DUMMYFUNCTION("""COMPUTED_VALUE"""),"Disponer el nombre ""Lucila Rubio Laverde"" y la frase ""La educación en primer lugar"" en la fachada metálica del nuevo IED Lucila Rubio.")</f>
        <v>Disponer el nombre "Lucila Rubio Laverde" y la frase "La educación en primer lugar" en la fachada metálica del nuevo IED Lucila Rubio.</v>
      </c>
      <c r="G1356" s="25" t="str">
        <f ca="1">IFERROR(__xludf.DUMMYFUNCTION("""COMPUTED_VALUE"""),"10. Engativá")</f>
        <v>10. Engativá</v>
      </c>
      <c r="H1356" s="55">
        <f ca="1">IFERROR(__xludf.DUMMYFUNCTION("""COMPUTED_VALUE"""),45092)</f>
        <v>45092</v>
      </c>
      <c r="I1356" s="25" t="str">
        <f ca="1">IFERROR(__xludf.DUMMYFUNCTION("""COMPUTED_VALUE"""),"Delivery Unit")</f>
        <v>Delivery Unit</v>
      </c>
      <c r="J1356" s="55" t="str">
        <f ca="1">IFERROR(__xludf.DUMMYFUNCTION("""COMPUTED_VALUE"""),"Media")</f>
        <v>Media</v>
      </c>
      <c r="K1356" s="25">
        <f ca="1">IFERROR(__xludf.DUMMYFUNCTION("""COMPUTED_VALUE"""),44)</f>
        <v>44</v>
      </c>
      <c r="L1356" s="62">
        <f ca="1">IFERROR(__xludf.DUMMYFUNCTION("""COMPUTED_VALUE"""),45077)</f>
        <v>45077</v>
      </c>
      <c r="M1356" s="25" t="str">
        <f ca="1">IFERROR(__xludf.DUMMYFUNCTION("""COMPUTED_VALUE"""),"Fueron instalados los dos avisos aprobados inicialmente para el colegio: Nombre ""Colegio Lucila Rubio Laverde IED"" y Dirección ""Calle 77B No. 129-80"".
Frente a la ubicación de la frase ""La educación en primer lugar"" en el Bloque 1, está pendiente l"&amp;"a aprobación por parte del Fondo de Financiamiento de la Infraestructura Educativa (FFIE) para iniciar la ejecución de la actividad.
Adicionalmente, el contratista tiene que adelantar el ajuste correspondiente al permiso de aviso que ya se había radicado"&amp;" ante la Secretaría Distrital de Ambiente, informando la nueva ubicación y tamaño por medio de un nuevo formulario y, en consecuencia, se deben liquidar nuevamente las expensas del permiso.")</f>
        <v>Fueron instalados los dos avisos aprobados inicialmente para el colegio: Nombre "Colegio Lucila Rubio Laverde IED" y Dirección "Calle 77B No. 129-80".
Frente a la ubicación de la frase "La educación en primer lugar" en el Bloque 1, está pendiente la aprobación por parte del Fondo de Financiamiento de la Infraestructura Educativa (FFIE) para iniciar la ejecución de la actividad.
Adicionalmente, el contratista tiene que adelantar el ajuste correspondiente al permiso de aviso que ya se había radicado ante la Secretaría Distrital de Ambiente, informando la nueva ubicación y tamaño por medio de un nuevo formulario y, en consecuencia, se deben liquidar nuevamente las expensas del permiso.</v>
      </c>
      <c r="N1356" s="25"/>
      <c r="O1356" s="25" t="str">
        <f t="shared" ca="1" si="0"/>
        <v>Secretaría de Educación del Distrito</v>
      </c>
      <c r="P1356" s="25" t="str">
        <f t="shared" ca="1" si="2"/>
        <v/>
      </c>
      <c r="Q1356" s="25" t="str">
        <f ca="1">IFERROR(__xludf.DUMMYFUNCTION("""COMPUTED_VALUE"""),"Corto plazo")</f>
        <v>Corto plazo</v>
      </c>
      <c r="R1356" s="25"/>
      <c r="S1356" s="55"/>
      <c r="T1356" s="56"/>
      <c r="U1356" s="25"/>
      <c r="V1356" s="25"/>
      <c r="W1356" s="25"/>
      <c r="X1356" s="25"/>
      <c r="Y1356" s="25"/>
      <c r="Z1356" s="25"/>
    </row>
    <row r="1357" spans="1:26" ht="52.5" customHeight="1" x14ac:dyDescent="0.25">
      <c r="A1357" s="25" t="str">
        <f ca="1">IFERROR(__xludf.DUMMYFUNCTION("""COMPUTED_VALUE"""),"Educa155")</f>
        <v>Educa155</v>
      </c>
      <c r="B1357" s="25" t="str">
        <f ca="1">IFERROR(__xludf.DUMMYFUNCTION("""COMPUTED_VALUE"""),"Recorrido Engativá")</f>
        <v>Recorrido Engativá</v>
      </c>
      <c r="C1357" s="55">
        <f ca="1">IFERROR(__xludf.DUMMYFUNCTION("""COMPUTED_VALUE"""),45048)</f>
        <v>45048</v>
      </c>
      <c r="D1357" s="25" t="str">
        <f ca="1">IFERROR(__xludf.DUMMYFUNCTION("""COMPUTED_VALUE"""),"Educación")</f>
        <v>Educación</v>
      </c>
      <c r="E1357" s="25" t="str">
        <f ca="1">IFERROR(__xludf.DUMMYFUNCTION("""COMPUTED_VALUE"""),"Secretaría de Educación del Distrito")</f>
        <v>Secretaría de Educación del Distrito</v>
      </c>
      <c r="F1357" s="25" t="str">
        <f ca="1">IFERROR(__xludf.DUMMYFUNCTION("""COMPUTED_VALUE"""),"Instalar válvulas de antirretorno en el IED Lucila Rubio Laverde. Tras realizarse esta acción, proceder a radicar ante la EAAB la solicitud de entrega de acometidas.")</f>
        <v>Instalar válvulas de antirretorno en el IED Lucila Rubio Laverde. Tras realizarse esta acción, proceder a radicar ante la EAAB la solicitud de entrega de acometidas.</v>
      </c>
      <c r="G1357" s="25" t="str">
        <f ca="1">IFERROR(__xludf.DUMMYFUNCTION("""COMPUTED_VALUE"""),"10. Engativá")</f>
        <v>10. Engativá</v>
      </c>
      <c r="H1357" s="55">
        <f ca="1">IFERROR(__xludf.DUMMYFUNCTION("""COMPUTED_VALUE"""),45056)</f>
        <v>45056</v>
      </c>
      <c r="I1357" s="25" t="str">
        <f ca="1">IFERROR(__xludf.DUMMYFUNCTION("""COMPUTED_VALUE"""),"Secretaría Privada")</f>
        <v>Secretaría Privada</v>
      </c>
      <c r="J1357" s="55" t="str">
        <f ca="1">IFERROR(__xludf.DUMMYFUNCTION("""COMPUTED_VALUE"""),"Alta")</f>
        <v>Alta</v>
      </c>
      <c r="K1357" s="25">
        <f ca="1">IFERROR(__xludf.DUMMYFUNCTION("""COMPUTED_VALUE"""),8)</f>
        <v>8</v>
      </c>
      <c r="L1357" s="62">
        <f ca="1">IFERROR(__xludf.DUMMYFUNCTION("""COMPUTED_VALUE"""),45077)</f>
        <v>45077</v>
      </c>
      <c r="M1357" s="25" t="str">
        <f ca="1">IFERROR(__xludf.DUMMYFUNCTION("""COMPUTED_VALUE"""),"Las bombas antirretorno ya se encuentran instaladas, también se obtuvo concepto por parte de la EAAB con respecto a la aprobación de la caja totalizadora en muro.
El avance de esta actividad se encuentra en un 90%.")</f>
        <v>Las bombas antirretorno ya se encuentran instaladas, también se obtuvo concepto por parte de la EAAB con respecto a la aprobación de la caja totalizadora en muro.
El avance de esta actividad se encuentra en un 90%.</v>
      </c>
      <c r="N1357" s="25"/>
      <c r="O1357" s="25" t="str">
        <f t="shared" ca="1" si="0"/>
        <v>Secretaría de Educación del Distrito</v>
      </c>
      <c r="P1357" s="25" t="str">
        <f t="shared" ca="1" si="2"/>
        <v/>
      </c>
      <c r="Q1357" s="25" t="str">
        <f ca="1">IFERROR(__xludf.DUMMYFUNCTION("""COMPUTED_VALUE"""),"Corto plazo")</f>
        <v>Corto plazo</v>
      </c>
      <c r="R1357" s="25"/>
      <c r="S1357" s="55"/>
      <c r="T1357" s="56"/>
      <c r="U1357" s="25"/>
      <c r="V1357" s="25"/>
      <c r="W1357" s="25"/>
      <c r="X1357" s="25"/>
      <c r="Y1357" s="25"/>
      <c r="Z1357" s="25"/>
    </row>
    <row r="1358" spans="1:26" ht="52.5" customHeight="1" x14ac:dyDescent="0.25">
      <c r="A1358" s="25" t="str">
        <f ca="1">IFERROR(__xludf.DUMMYFUNCTION("""COMPUTED_VALUE"""),"Educa156")</f>
        <v>Educa156</v>
      </c>
      <c r="B1358" s="25" t="str">
        <f ca="1">IFERROR(__xludf.DUMMYFUNCTION("""COMPUTED_VALUE"""),"Recorrido Engativá")</f>
        <v>Recorrido Engativá</v>
      </c>
      <c r="C1358" s="55">
        <f ca="1">IFERROR(__xludf.DUMMYFUNCTION("""COMPUTED_VALUE"""),45048)</f>
        <v>45048</v>
      </c>
      <c r="D1358" s="25" t="str">
        <f ca="1">IFERROR(__xludf.DUMMYFUNCTION("""COMPUTED_VALUE"""),"Educación")</f>
        <v>Educación</v>
      </c>
      <c r="E1358" s="25" t="str">
        <f ca="1">IFERROR(__xludf.DUMMYFUNCTION("""COMPUTED_VALUE"""),"Secretaría de Educación del Distrito")</f>
        <v>Secretaría de Educación del Distrito</v>
      </c>
      <c r="F1358" s="25" t="str">
        <f ca="1">IFERROR(__xludf.DUMMYFUNCTION("""COMPUTED_VALUE"""),"Armonizar el Proyecto Educativo Institucional (PEI) del Colegio Lucila Rubio con el cuidado del Humedal Jaboque.")</f>
        <v>Armonizar el Proyecto Educativo Institucional (PEI) del Colegio Lucila Rubio con el cuidado del Humedal Jaboque.</v>
      </c>
      <c r="G1358" s="25" t="str">
        <f ca="1">IFERROR(__xludf.DUMMYFUNCTION("""COMPUTED_VALUE"""),"10. Engativá")</f>
        <v>10. Engativá</v>
      </c>
      <c r="H1358" s="55">
        <f ca="1">IFERROR(__xludf.DUMMYFUNCTION("""COMPUTED_VALUE"""),45107)</f>
        <v>45107</v>
      </c>
      <c r="I1358" s="25" t="str">
        <f ca="1">IFERROR(__xludf.DUMMYFUNCTION("""COMPUTED_VALUE"""),"Delivery Unit")</f>
        <v>Delivery Unit</v>
      </c>
      <c r="J1358" s="55" t="str">
        <f ca="1">IFERROR(__xludf.DUMMYFUNCTION("""COMPUTED_VALUE"""),"Media")</f>
        <v>Media</v>
      </c>
      <c r="K1358" s="25">
        <f ca="1">IFERROR(__xludf.DUMMYFUNCTION("""COMPUTED_VALUE"""),59)</f>
        <v>59</v>
      </c>
      <c r="L1358" s="62">
        <f ca="1">IFERROR(__xludf.DUMMYFUNCTION("""COMPUTED_VALUE"""),45077)</f>
        <v>45077</v>
      </c>
      <c r="M1358" s="25" t="str">
        <f ca="1">IFERROR(__xludf.DUMMYFUNCTION("""COMPUTED_VALUE"""),"La armonización del PEI del Colegio Lucila Rubio con el cuidado del Humedal Jaboque se enmarca en su autonomía institucional, tal como lo establece el Decreto 1743 de 1994, dado que es la institución educativa quien define si efectivamente el énfasis de s"&amp;"u PRAE es en torno al Humedal o no. El documento de PEI preparado es inicial y en su revisión al final de año, en el proceso de autoevaluación, es posible hacer ajustes que permitan establecer acentos en temáticas más particulares. No obstante, desde la D"&amp;"irección de Inclusión e Integración de Poblaciones (DEPB) se han adelantado las siguientes acciones:
- Asesoría para la elaboración del documento del PEI del Colegio. Para este se señaló desarrollar una relación con su entorno teniendo en cuenta al humed"&amp;"al Jaboque, lo cual se implementa específicamente en el marco del Proyecto Ambiental Escolar (PRAE).  
- Acompañamiento al Colegio para la construcción del documento PRAE, el cual contempla la articulación con el cuidado del Humedal Jaboque con un enfoqu"&amp;"e de trabajo que se pretende realizar inicialmente en las líneas temáticas de cambio climático, sistema hídrico y biodiversidad.")</f>
        <v>La armonización del PEI del Colegio Lucila Rubio con el cuidado del Humedal Jaboque se enmarca en su autonomía institucional, tal como lo establece el Decreto 1743 de 1994, dado que es la institución educativa quien define si efectivamente el énfasis de su PRAE es en torno al Humedal o no. El documento de PEI preparado es inicial y en su revisión al final de año, en el proceso de autoevaluación, es posible hacer ajustes que permitan establecer acentos en temáticas más particulares. No obstante, desde la Dirección de Inclusión e Integración de Poblaciones (DEPB) se han adelantado las siguientes acciones:
- Asesoría para la elaboración del documento del PEI del Colegio. Para este se señaló desarrollar una relación con su entorno teniendo en cuenta al humedal Jaboque, lo cual se implementa específicamente en el marco del Proyecto Ambiental Escolar (PRAE).  
- Acompañamiento al Colegio para la construcción del documento PRAE, el cual contempla la articulación con el cuidado del Humedal Jaboque con un enfoque de trabajo que se pretende realizar inicialmente en las líneas temáticas de cambio climático, sistema hídrico y biodiversidad.</v>
      </c>
      <c r="N1358" s="55">
        <f ca="1">IFERROR(__xludf.DUMMYFUNCTION("""COMPUTED_VALUE"""),45077)</f>
        <v>45077</v>
      </c>
      <c r="O1358" s="25" t="str">
        <f t="shared" ca="1" si="0"/>
        <v>Secretaría de Educación del Distrito</v>
      </c>
      <c r="P1358" s="25" t="str">
        <f t="shared" ca="1" si="2"/>
        <v/>
      </c>
      <c r="Q1358" s="25" t="str">
        <f ca="1">IFERROR(__xludf.DUMMYFUNCTION("""COMPUTED_VALUE"""),"Corto plazo")</f>
        <v>Corto plazo</v>
      </c>
      <c r="R1358" s="25"/>
      <c r="S1358" s="55"/>
      <c r="T1358" s="56"/>
      <c r="U1358" s="25"/>
      <c r="V1358" s="25"/>
      <c r="W1358" s="25"/>
      <c r="X1358" s="25"/>
      <c r="Y1358" s="25"/>
      <c r="Z1358" s="25"/>
    </row>
    <row r="1359" spans="1:26" ht="52.5" customHeight="1" x14ac:dyDescent="0.25">
      <c r="A1359" s="25" t="str">
        <f ca="1">IFERROR(__xludf.DUMMYFUNCTION("""COMPUTED_VALUE"""),"Educa157")</f>
        <v>Educa157</v>
      </c>
      <c r="B1359" s="25" t="str">
        <f ca="1">IFERROR(__xludf.DUMMYFUNCTION("""COMPUTED_VALUE"""),"Recorrido Kennedy")</f>
        <v>Recorrido Kennedy</v>
      </c>
      <c r="C1359" s="55">
        <f ca="1">IFERROR(__xludf.DUMMYFUNCTION("""COMPUTED_VALUE"""),45055)</f>
        <v>45055</v>
      </c>
      <c r="D1359" s="25" t="str">
        <f ca="1">IFERROR(__xludf.DUMMYFUNCTION("""COMPUTED_VALUE"""),"Educación")</f>
        <v>Educación</v>
      </c>
      <c r="E1359" s="25" t="str">
        <f ca="1">IFERROR(__xludf.DUMMYFUNCTION("""COMPUTED_VALUE"""),"Secretaría de Educación del Distrito")</f>
        <v>Secretaría de Educación del Distrito</v>
      </c>
      <c r="F1359" s="25" t="str">
        <f ca="1">IFERROR(__xludf.DUMMYFUNCTION("""COMPUTED_VALUE"""),"Finalizar las obras de construcción del colegio Boitá.")</f>
        <v>Finalizar las obras de construcción del colegio Boitá.</v>
      </c>
      <c r="G1359" s="25" t="str">
        <f ca="1">IFERROR(__xludf.DUMMYFUNCTION("""COMPUTED_VALUE"""),"08. Kennedy")</f>
        <v>08. Kennedy</v>
      </c>
      <c r="H1359" s="55">
        <f ca="1">IFERROR(__xludf.DUMMYFUNCTION("""COMPUTED_VALUE"""),45230)</f>
        <v>45230</v>
      </c>
      <c r="I1359" s="25" t="str">
        <f ca="1">IFERROR(__xludf.DUMMYFUNCTION("""COMPUTED_VALUE"""),"Delivery Unit")</f>
        <v>Delivery Unit</v>
      </c>
      <c r="J1359" s="55" t="str">
        <f ca="1">IFERROR(__xludf.DUMMYFUNCTION("""COMPUTED_VALUE"""),"Media")</f>
        <v>Media</v>
      </c>
      <c r="K1359" s="25">
        <f ca="1">IFERROR(__xludf.DUMMYFUNCTION("""COMPUTED_VALUE"""),175)</f>
        <v>175</v>
      </c>
      <c r="L1359" s="62">
        <f ca="1">IFERROR(__xludf.DUMMYFUNCTION("""COMPUTED_VALUE"""),45077)</f>
        <v>45077</v>
      </c>
      <c r="M1359" s="25" t="str">
        <f ca="1">IFERROR(__xludf.DUMMYFUNCTION("""COMPUTED_VALUE"""),"Las obras en el Colegio María Betzabé Espinal (Boitá) presentan un avance de ejecución de obra del 26,95% y su entrega está prevista para 2024-I.")</f>
        <v>Las obras en el Colegio María Betzabé Espinal (Boitá) presentan un avance de ejecución de obra del 26,95% y su entrega está prevista para 2024-I.</v>
      </c>
      <c r="N1359" s="25"/>
      <c r="O1359" s="25" t="str">
        <f t="shared" ca="1" si="0"/>
        <v>Secretaría de Educación del Distrito</v>
      </c>
      <c r="P1359" s="25" t="str">
        <f t="shared" ca="1" si="2"/>
        <v/>
      </c>
      <c r="Q1359" s="25" t="str">
        <f ca="1">IFERROR(__xludf.DUMMYFUNCTION("""COMPUTED_VALUE"""),"Mediano plazo")</f>
        <v>Mediano plazo</v>
      </c>
      <c r="R1359" s="25"/>
      <c r="S1359" s="55"/>
      <c r="T1359" s="56"/>
      <c r="U1359" s="25"/>
      <c r="V1359" s="25"/>
      <c r="W1359" s="25"/>
      <c r="X1359" s="25"/>
      <c r="Y1359" s="25"/>
      <c r="Z1359" s="25"/>
    </row>
    <row r="1360" spans="1:26" ht="52.5" customHeight="1" x14ac:dyDescent="0.25">
      <c r="A1360" s="25" t="str">
        <f ca="1">IFERROR(__xludf.DUMMYFUNCTION("""COMPUTED_VALUE"""),"Educa158")</f>
        <v>Educa158</v>
      </c>
      <c r="B1360" s="25" t="str">
        <f ca="1">IFERROR(__xludf.DUMMYFUNCTION("""COMPUTED_VALUE"""),"Recorrido Kennedy")</f>
        <v>Recorrido Kennedy</v>
      </c>
      <c r="C1360" s="55">
        <f ca="1">IFERROR(__xludf.DUMMYFUNCTION("""COMPUTED_VALUE"""),45055)</f>
        <v>45055</v>
      </c>
      <c r="D1360" s="25" t="str">
        <f ca="1">IFERROR(__xludf.DUMMYFUNCTION("""COMPUTED_VALUE"""),"Educación")</f>
        <v>Educación</v>
      </c>
      <c r="E1360" s="25" t="str">
        <f ca="1">IFERROR(__xludf.DUMMYFUNCTION("""COMPUTED_VALUE"""),"Secretaría de Educación del Distrito")</f>
        <v>Secretaría de Educación del Distrito</v>
      </c>
      <c r="F1360" s="25" t="str">
        <f ca="1">IFERROR(__xludf.DUMMYFUNCTION("""COMPUTED_VALUE"""),"Revisar la implementación de la cátedra de afrocolombianidad en los IED del Distrito.")</f>
        <v>Revisar la implementación de la cátedra de afrocolombianidad en los IED del Distrito.</v>
      </c>
      <c r="G1360" s="25" t="str">
        <f ca="1">IFERROR(__xludf.DUMMYFUNCTION("""COMPUTED_VALUE"""),"99. Distrito")</f>
        <v>99. Distrito</v>
      </c>
      <c r="H1360" s="55">
        <f ca="1">IFERROR(__xludf.DUMMYFUNCTION("""COMPUTED_VALUE"""),45107)</f>
        <v>45107</v>
      </c>
      <c r="I1360" s="25" t="str">
        <f ca="1">IFERROR(__xludf.DUMMYFUNCTION("""COMPUTED_VALUE"""),"Delivery Unit")</f>
        <v>Delivery Unit</v>
      </c>
      <c r="J1360" s="55" t="str">
        <f ca="1">IFERROR(__xludf.DUMMYFUNCTION("""COMPUTED_VALUE"""),"Alta")</f>
        <v>Alta</v>
      </c>
      <c r="K1360" s="25">
        <f ca="1">IFERROR(__xludf.DUMMYFUNCTION("""COMPUTED_VALUE"""),52)</f>
        <v>52</v>
      </c>
      <c r="L1360" s="62">
        <f ca="1">IFERROR(__xludf.DUMMYFUNCTION("""COMPUTED_VALUE"""),45077)</f>
        <v>45077</v>
      </c>
      <c r="M1360" s="25" t="str">
        <f ca="1">IFERROR(__xludf.DUMMYFUNCTION("""COMPUTED_VALUE"""),"Se dio inicio a la revisión de la Cátedra de Estudios Afrocolombianos (CEA) implementada en las instituciones educativas del distrito, arrancando con un pilotaje en 18 colegios de la Localidad de Kennedy en donde se desarrolla. En particular, se avanzó en"&amp;" las siguientes líneas:
1. Revisión de la ruta contra el racismo y la discriminación. 
2. Revisión del currículo e interculturalidad. 
3. Revisión de la forma en que se visibiliza la población étnica, la comunidad y los procesos de autorreconocimiento. "&amp;"
Una vez se finalice la etapa de análisis de estas líneas en la localidad de Kennedy, se plantearán acciones orientadas a fortalecer el sistema escolar de las acciones pedagógicas y curriculares para plantear las propuestas de ajuste frente a la impleme"&amp;"ntación de la CEA en las IED.")</f>
        <v>Se dio inicio a la revisión de la Cátedra de Estudios Afrocolombianos (CEA) implementada en las instituciones educativas del distrito, arrancando con un pilotaje en 18 colegios de la Localidad de Kennedy en donde se desarrolla. En particular, se avanzó en las siguientes líneas:
1. Revisión de la ruta contra el racismo y la discriminación. 
2. Revisión del currículo e interculturalidad. 
3. Revisión de la forma en que se visibiliza la población étnica, la comunidad y los procesos de autorreconocimiento. 
Una vez se finalice la etapa de análisis de estas líneas en la localidad de Kennedy, se plantearán acciones orientadas a fortalecer el sistema escolar de las acciones pedagógicas y curriculares para plantear las propuestas de ajuste frente a la implementación de la CEA en las IED.</v>
      </c>
      <c r="N1360" s="25"/>
      <c r="O1360" s="25" t="str">
        <f t="shared" ca="1" si="0"/>
        <v>Secretaría de Educación del Distrito</v>
      </c>
      <c r="P1360" s="25" t="str">
        <f t="shared" ca="1" si="2"/>
        <v/>
      </c>
      <c r="Q1360" s="25" t="str">
        <f ca="1">IFERROR(__xludf.DUMMYFUNCTION("""COMPUTED_VALUE"""),"Corto plazo")</f>
        <v>Corto plazo</v>
      </c>
      <c r="R1360" s="25"/>
      <c r="S1360" s="55"/>
      <c r="T1360" s="56"/>
      <c r="U1360" s="25"/>
      <c r="V1360" s="25"/>
      <c r="W1360" s="25"/>
      <c r="X1360" s="25"/>
      <c r="Y1360" s="25"/>
      <c r="Z1360" s="25"/>
    </row>
    <row r="1361" spans="1:26" ht="52.5" customHeight="1" x14ac:dyDescent="0.25">
      <c r="A1361" s="25" t="str">
        <f ca="1">IFERROR(__xludf.DUMMYFUNCTION("""COMPUTED_VALUE"""),"Educa159")</f>
        <v>Educa159</v>
      </c>
      <c r="B1361" s="25" t="str">
        <f ca="1">IFERROR(__xludf.DUMMYFUNCTION("""COMPUTED_VALUE"""),"Seguimiento avances región metropolitana")</f>
        <v>Seguimiento avances región metropolitana</v>
      </c>
      <c r="C1361" s="55">
        <f ca="1">IFERROR(__xludf.DUMMYFUNCTION("""COMPUTED_VALUE"""),44980)</f>
        <v>44980</v>
      </c>
      <c r="D1361" s="25" t="str">
        <f ca="1">IFERROR(__xludf.DUMMYFUNCTION("""COMPUTED_VALUE"""),"Educación")</f>
        <v>Educación</v>
      </c>
      <c r="E1361" s="25" t="str">
        <f ca="1">IFERROR(__xludf.DUMMYFUNCTION("""COMPUTED_VALUE"""),"Agencia Distrital para la Educación Superior, la Ciencia y la Tecnología")</f>
        <v>Agencia Distrital para la Educación Superior, la Ciencia y la Tecnología</v>
      </c>
      <c r="F1361" s="25" t="str">
        <f ca="1">IFERROR(__xludf.DUMMYFUNCTION("""COMPUTED_VALUE"""),"Plan de desarrollo de la región: Preparar todos los insumos necesarios para declarar el tercer hecho metropolitano, garantizando que quede incorporada la propuesta de educación posmedia y educación para el trabajo.")</f>
        <v>Plan de desarrollo de la región: Preparar todos los insumos necesarios para declarar el tercer hecho metropolitano, garantizando que quede incorporada la propuesta de educación posmedia y educación para el trabajo.</v>
      </c>
      <c r="G1361" s="25" t="str">
        <f ca="1">IFERROR(__xludf.DUMMYFUNCTION("""COMPUTED_VALUE"""),"99. Distrito")</f>
        <v>99. Distrito</v>
      </c>
      <c r="H1361" s="55">
        <f ca="1">IFERROR(__xludf.DUMMYFUNCTION("""COMPUTED_VALUE"""),45091)</f>
        <v>45091</v>
      </c>
      <c r="I1361" s="25" t="str">
        <f ca="1">IFERROR(__xludf.DUMMYFUNCTION("""COMPUTED_VALUE"""),"Junta de Infraestructura")</f>
        <v>Junta de Infraestructura</v>
      </c>
      <c r="J1361" s="55" t="str">
        <f ca="1">IFERROR(__xludf.DUMMYFUNCTION("""COMPUTED_VALUE"""),"Media")</f>
        <v>Media</v>
      </c>
      <c r="K1361" s="25">
        <f ca="1">IFERROR(__xludf.DUMMYFUNCTION("""COMPUTED_VALUE"""),111)</f>
        <v>111</v>
      </c>
      <c r="L1361" s="62">
        <f ca="1">IFERROR(__xludf.DUMMYFUNCTION("""COMPUTED_VALUE"""),45077)</f>
        <v>45077</v>
      </c>
      <c r="M1361" s="25" t="str">
        <f ca="1">IFERROR(__xludf.DUMMYFUNCTION("""COMPUTED_VALUE"""),"En reunión realizada el 07/03/2023 con Atenea, Directora RMBC y Secretaría de Integración Regional de Cundinamarca, se estableció que el hecho metropolitano debía enfocarse no en un nuevo hecho metropolitano, sino encuadrarlo en el de Desarrollo Económico"&amp;", haciendo su enfoque en educación o preparación para el trabajo. Se está prestando el soporte técnico a Atenea para la formulación del hecho a partir de esta premisa,a la fecha Atenea se encuentra elaborando los documentos metodológicos para este fin.")</f>
        <v>En reunión realizada el 07/03/2023 con Atenea, Directora RMBC y Secretaría de Integración Regional de Cundinamarca, se estableció que el hecho metropolitano debía enfocarse no en un nuevo hecho metropolitano, sino encuadrarlo en el de Desarrollo Económico, haciendo su enfoque en educación o preparación para el trabajo. Se está prestando el soporte técnico a Atenea para la formulación del hecho a partir de esta premisa,a la fecha Atenea se encuentra elaborando los documentos metodológicos para este fin.</v>
      </c>
      <c r="N1361" s="25"/>
      <c r="O1361" s="25" t="str">
        <f t="shared" ca="1" si="0"/>
        <v>Agencia Distrital para la Educación Superior, la Ciencia y la Tecnología</v>
      </c>
      <c r="P1361" s="25" t="str">
        <f t="shared" ca="1" si="2"/>
        <v/>
      </c>
      <c r="Q1361" s="25" t="str">
        <f ca="1">IFERROR(__xludf.DUMMYFUNCTION("""COMPUTED_VALUE"""),"Mediano plazo")</f>
        <v>Mediano plazo</v>
      </c>
      <c r="R1361" s="25"/>
      <c r="S1361" s="55"/>
      <c r="T1361" s="56"/>
      <c r="U1361" s="25"/>
      <c r="V1361" s="25"/>
      <c r="W1361" s="25"/>
      <c r="X1361" s="25"/>
      <c r="Y1361" s="25"/>
      <c r="Z1361" s="25"/>
    </row>
    <row r="1362" spans="1:26" ht="52.5" customHeight="1" x14ac:dyDescent="0.25">
      <c r="A1362" s="25" t="str">
        <f ca="1">IFERROR(__xludf.DUMMYFUNCTION("""COMPUTED_VALUE"""),"Educa160")</f>
        <v>Educa160</v>
      </c>
      <c r="B1362" s="25"/>
      <c r="C1362" s="55"/>
      <c r="D1362" s="25" t="str">
        <f ca="1">IFERROR(__xludf.DUMMYFUNCTION("""COMPUTED_VALUE"""),"Educación")</f>
        <v>Educación</v>
      </c>
      <c r="E1362" s="25"/>
      <c r="F1362" s="25"/>
      <c r="G1362" s="25"/>
      <c r="H1362" s="25"/>
      <c r="I1362" s="25"/>
      <c r="J1362" s="55"/>
      <c r="K1362" s="25" t="str">
        <f ca="1">IFERROR(__xludf.DUMMYFUNCTION("""COMPUTED_VALUE"""),"Definir fecha")</f>
        <v>Definir fecha</v>
      </c>
      <c r="L1362" s="62"/>
      <c r="M1362" s="25"/>
      <c r="N1362" s="25"/>
      <c r="O1362" s="25">
        <f t="shared" si="0"/>
        <v>0</v>
      </c>
      <c r="P1362" s="25" t="str">
        <f t="shared" si="2"/>
        <v/>
      </c>
      <c r="Q1362" s="25" t="str">
        <f ca="1">IFERROR(__xludf.DUMMYFUNCTION("""COMPUTED_VALUE"""),"Sin defenir")</f>
        <v>Sin defenir</v>
      </c>
      <c r="R1362" s="25"/>
      <c r="S1362" s="55"/>
      <c r="T1362" s="56"/>
      <c r="U1362" s="25"/>
      <c r="V1362" s="25"/>
      <c r="W1362" s="25"/>
      <c r="X1362" s="25"/>
      <c r="Y1362" s="25"/>
      <c r="Z1362" s="25"/>
    </row>
    <row r="1363" spans="1:26" ht="52.5" customHeight="1" x14ac:dyDescent="0.25">
      <c r="A1363" s="25" t="str">
        <f ca="1">IFERROR(__xludf.DUMMYFUNCTION("""COMPUTED_VALUE"""),"Educa161")</f>
        <v>Educa161</v>
      </c>
      <c r="B1363" s="25"/>
      <c r="C1363" s="55"/>
      <c r="D1363" s="25" t="str">
        <f ca="1">IFERROR(__xludf.DUMMYFUNCTION("""COMPUTED_VALUE"""),"Educación")</f>
        <v>Educación</v>
      </c>
      <c r="E1363" s="25"/>
      <c r="F1363" s="25"/>
      <c r="G1363" s="25"/>
      <c r="H1363" s="25"/>
      <c r="I1363" s="25"/>
      <c r="J1363" s="55"/>
      <c r="K1363" s="25" t="str">
        <f ca="1">IFERROR(__xludf.DUMMYFUNCTION("""COMPUTED_VALUE"""),"Definir fecha")</f>
        <v>Definir fecha</v>
      </c>
      <c r="L1363" s="62"/>
      <c r="M1363" s="25"/>
      <c r="N1363" s="25"/>
      <c r="O1363" s="25">
        <f t="shared" si="0"/>
        <v>0</v>
      </c>
      <c r="P1363" s="25" t="str">
        <f t="shared" si="2"/>
        <v/>
      </c>
      <c r="Q1363" s="25" t="str">
        <f ca="1">IFERROR(__xludf.DUMMYFUNCTION("""COMPUTED_VALUE"""),"Sin defenir")</f>
        <v>Sin defenir</v>
      </c>
      <c r="R1363" s="25"/>
      <c r="S1363" s="55"/>
      <c r="T1363" s="56"/>
      <c r="U1363" s="25"/>
      <c r="V1363" s="25"/>
      <c r="W1363" s="25"/>
      <c r="X1363" s="25"/>
      <c r="Y1363" s="25"/>
      <c r="Z1363" s="25"/>
    </row>
    <row r="1364" spans="1:26" ht="52.5" customHeight="1" x14ac:dyDescent="0.25">
      <c r="A1364" s="25" t="str">
        <f ca="1">IFERROR(__xludf.DUMMYFUNCTION("""COMPUTED_VALUE"""),"Educa162")</f>
        <v>Educa162</v>
      </c>
      <c r="B1364" s="25"/>
      <c r="C1364" s="55"/>
      <c r="D1364" s="25" t="str">
        <f ca="1">IFERROR(__xludf.DUMMYFUNCTION("""COMPUTED_VALUE"""),"Educación")</f>
        <v>Educación</v>
      </c>
      <c r="E1364" s="25"/>
      <c r="F1364" s="25"/>
      <c r="G1364" s="25"/>
      <c r="H1364" s="25"/>
      <c r="I1364" s="25"/>
      <c r="J1364" s="55"/>
      <c r="K1364" s="25" t="str">
        <f ca="1">IFERROR(__xludf.DUMMYFUNCTION("""COMPUTED_VALUE"""),"Definir fecha")</f>
        <v>Definir fecha</v>
      </c>
      <c r="L1364" s="62"/>
      <c r="M1364" s="25"/>
      <c r="N1364" s="25"/>
      <c r="O1364" s="25">
        <f t="shared" si="0"/>
        <v>0</v>
      </c>
      <c r="P1364" s="25" t="str">
        <f t="shared" si="2"/>
        <v/>
      </c>
      <c r="Q1364" s="25" t="str">
        <f ca="1">IFERROR(__xludf.DUMMYFUNCTION("""COMPUTED_VALUE"""),"Sin defenir")</f>
        <v>Sin defenir</v>
      </c>
      <c r="R1364" s="25"/>
      <c r="S1364" s="55"/>
      <c r="T1364" s="56"/>
      <c r="U1364" s="25"/>
      <c r="V1364" s="25"/>
      <c r="W1364" s="25"/>
      <c r="X1364" s="25"/>
      <c r="Y1364" s="25"/>
      <c r="Z1364" s="25"/>
    </row>
    <row r="1365" spans="1:26" ht="52.5" customHeight="1" x14ac:dyDescent="0.25">
      <c r="A1365" s="25" t="str">
        <f ca="1">IFERROR(__xludf.DUMMYFUNCTION("""COMPUTED_VALUE"""),"Educa163")</f>
        <v>Educa163</v>
      </c>
      <c r="B1365" s="25"/>
      <c r="C1365" s="55"/>
      <c r="D1365" s="25" t="str">
        <f ca="1">IFERROR(__xludf.DUMMYFUNCTION("""COMPUTED_VALUE"""),"Educación")</f>
        <v>Educación</v>
      </c>
      <c r="E1365" s="25"/>
      <c r="F1365" s="25"/>
      <c r="G1365" s="25"/>
      <c r="H1365" s="25"/>
      <c r="I1365" s="25"/>
      <c r="J1365" s="55"/>
      <c r="K1365" s="25" t="str">
        <f ca="1">IFERROR(__xludf.DUMMYFUNCTION("""COMPUTED_VALUE"""),"Definir fecha")</f>
        <v>Definir fecha</v>
      </c>
      <c r="L1365" s="62"/>
      <c r="M1365" s="25"/>
      <c r="N1365" s="25"/>
      <c r="O1365" s="25">
        <f t="shared" si="0"/>
        <v>0</v>
      </c>
      <c r="P1365" s="25" t="str">
        <f t="shared" si="2"/>
        <v/>
      </c>
      <c r="Q1365" s="25" t="str">
        <f ca="1">IFERROR(__xludf.DUMMYFUNCTION("""COMPUTED_VALUE"""),"Sin defenir")</f>
        <v>Sin defenir</v>
      </c>
      <c r="R1365" s="25"/>
      <c r="S1365" s="55"/>
      <c r="T1365" s="56"/>
      <c r="U1365" s="25"/>
      <c r="V1365" s="25"/>
      <c r="W1365" s="25"/>
      <c r="X1365" s="25"/>
      <c r="Y1365" s="25"/>
      <c r="Z1365" s="25"/>
    </row>
    <row r="1366" spans="1:26" ht="52.5" customHeight="1" x14ac:dyDescent="0.25">
      <c r="A1366" s="25" t="str">
        <f ca="1">IFERROR(__xludf.DUMMYFUNCTION("""COMPUTED_VALUE"""),"Educa164")</f>
        <v>Educa164</v>
      </c>
      <c r="B1366" s="25"/>
      <c r="C1366" s="55"/>
      <c r="D1366" s="25" t="str">
        <f ca="1">IFERROR(__xludf.DUMMYFUNCTION("""COMPUTED_VALUE"""),"Educación")</f>
        <v>Educación</v>
      </c>
      <c r="E1366" s="25"/>
      <c r="F1366" s="25"/>
      <c r="G1366" s="25"/>
      <c r="H1366" s="25"/>
      <c r="I1366" s="25"/>
      <c r="J1366" s="55"/>
      <c r="K1366" s="25" t="str">
        <f ca="1">IFERROR(__xludf.DUMMYFUNCTION("""COMPUTED_VALUE"""),"Definir fecha")</f>
        <v>Definir fecha</v>
      </c>
      <c r="L1366" s="62"/>
      <c r="M1366" s="25"/>
      <c r="N1366" s="25"/>
      <c r="O1366" s="25">
        <f t="shared" si="0"/>
        <v>0</v>
      </c>
      <c r="P1366" s="25" t="str">
        <f t="shared" si="2"/>
        <v/>
      </c>
      <c r="Q1366" s="25" t="str">
        <f ca="1">IFERROR(__xludf.DUMMYFUNCTION("""COMPUTED_VALUE"""),"Sin defenir")</f>
        <v>Sin defenir</v>
      </c>
      <c r="R1366" s="25"/>
      <c r="S1366" s="55"/>
      <c r="T1366" s="56"/>
      <c r="U1366" s="25"/>
      <c r="V1366" s="25"/>
      <c r="W1366" s="25"/>
      <c r="X1366" s="25"/>
      <c r="Y1366" s="25"/>
      <c r="Z1366" s="25"/>
    </row>
    <row r="1367" spans="1:26" ht="52.5" customHeight="1" x14ac:dyDescent="0.25">
      <c r="A1367" s="25" t="str">
        <f ca="1">IFERROR(__xludf.DUMMYFUNCTION("""COMPUTED_VALUE"""),"Educa165")</f>
        <v>Educa165</v>
      </c>
      <c r="B1367" s="25"/>
      <c r="C1367" s="55"/>
      <c r="D1367" s="25" t="str">
        <f ca="1">IFERROR(__xludf.DUMMYFUNCTION("""COMPUTED_VALUE"""),"Educación")</f>
        <v>Educación</v>
      </c>
      <c r="E1367" s="25"/>
      <c r="F1367" s="25"/>
      <c r="G1367" s="25"/>
      <c r="H1367" s="25"/>
      <c r="I1367" s="25"/>
      <c r="J1367" s="55"/>
      <c r="K1367" s="25" t="str">
        <f ca="1">IFERROR(__xludf.DUMMYFUNCTION("""COMPUTED_VALUE"""),"Definir fecha")</f>
        <v>Definir fecha</v>
      </c>
      <c r="L1367" s="62"/>
      <c r="M1367" s="25"/>
      <c r="N1367" s="25"/>
      <c r="O1367" s="25">
        <f t="shared" si="0"/>
        <v>0</v>
      </c>
      <c r="P1367" s="25" t="str">
        <f t="shared" si="2"/>
        <v/>
      </c>
      <c r="Q1367" s="25" t="str">
        <f ca="1">IFERROR(__xludf.DUMMYFUNCTION("""COMPUTED_VALUE"""),"Sin defenir")</f>
        <v>Sin defenir</v>
      </c>
      <c r="R1367" s="25"/>
      <c r="S1367" s="55"/>
      <c r="T1367" s="56"/>
      <c r="U1367" s="25"/>
      <c r="V1367" s="25"/>
      <c r="W1367" s="25"/>
      <c r="X1367" s="25"/>
      <c r="Y1367" s="25"/>
      <c r="Z1367" s="25"/>
    </row>
    <row r="1368" spans="1:26" ht="52.5" customHeight="1" x14ac:dyDescent="0.25">
      <c r="A1368" s="25" t="str">
        <f ca="1">IFERROR(__xludf.DUMMYFUNCTION("""COMPUTED_VALUE"""),"Educa166")</f>
        <v>Educa166</v>
      </c>
      <c r="B1368" s="25"/>
      <c r="C1368" s="55"/>
      <c r="D1368" s="25" t="str">
        <f ca="1">IFERROR(__xludf.DUMMYFUNCTION("""COMPUTED_VALUE"""),"Educación")</f>
        <v>Educación</v>
      </c>
      <c r="E1368" s="25"/>
      <c r="F1368" s="25"/>
      <c r="G1368" s="25"/>
      <c r="H1368" s="25"/>
      <c r="I1368" s="25"/>
      <c r="J1368" s="55"/>
      <c r="K1368" s="25" t="str">
        <f ca="1">IFERROR(__xludf.DUMMYFUNCTION("""COMPUTED_VALUE"""),"Definir fecha")</f>
        <v>Definir fecha</v>
      </c>
      <c r="L1368" s="62"/>
      <c r="M1368" s="25"/>
      <c r="N1368" s="25"/>
      <c r="O1368" s="25">
        <f t="shared" si="0"/>
        <v>0</v>
      </c>
      <c r="P1368" s="25" t="str">
        <f t="shared" si="2"/>
        <v/>
      </c>
      <c r="Q1368" s="25" t="str">
        <f ca="1">IFERROR(__xludf.DUMMYFUNCTION("""COMPUTED_VALUE"""),"Sin defenir")</f>
        <v>Sin defenir</v>
      </c>
      <c r="R1368" s="25"/>
      <c r="S1368" s="55"/>
      <c r="T1368" s="56"/>
      <c r="U1368" s="25"/>
      <c r="V1368" s="25"/>
      <c r="W1368" s="25"/>
      <c r="X1368" s="25"/>
      <c r="Y1368" s="25"/>
      <c r="Z1368" s="25"/>
    </row>
    <row r="1369" spans="1:26" ht="52.5" customHeight="1" x14ac:dyDescent="0.25">
      <c r="A1369" s="25" t="str">
        <f ca="1">IFERROR(__xludf.DUMMYFUNCTION("""COMPUTED_VALUE"""),"Educa167")</f>
        <v>Educa167</v>
      </c>
      <c r="B1369" s="25"/>
      <c r="C1369" s="55"/>
      <c r="D1369" s="25" t="str">
        <f ca="1">IFERROR(__xludf.DUMMYFUNCTION("""COMPUTED_VALUE"""),"Educación")</f>
        <v>Educación</v>
      </c>
      <c r="E1369" s="25"/>
      <c r="F1369" s="25"/>
      <c r="G1369" s="25"/>
      <c r="H1369" s="25"/>
      <c r="I1369" s="25"/>
      <c r="J1369" s="55"/>
      <c r="K1369" s="25" t="str">
        <f ca="1">IFERROR(__xludf.DUMMYFUNCTION("""COMPUTED_VALUE"""),"Definir fecha")</f>
        <v>Definir fecha</v>
      </c>
      <c r="L1369" s="62"/>
      <c r="M1369" s="25"/>
      <c r="N1369" s="25"/>
      <c r="O1369" s="25">
        <f t="shared" si="0"/>
        <v>0</v>
      </c>
      <c r="P1369" s="25" t="str">
        <f t="shared" si="2"/>
        <v/>
      </c>
      <c r="Q1369" s="25" t="str">
        <f ca="1">IFERROR(__xludf.DUMMYFUNCTION("""COMPUTED_VALUE"""),"Sin defenir")</f>
        <v>Sin defenir</v>
      </c>
      <c r="R1369" s="25"/>
      <c r="S1369" s="55"/>
      <c r="T1369" s="56"/>
      <c r="U1369" s="25"/>
      <c r="V1369" s="25"/>
      <c r="W1369" s="25"/>
      <c r="X1369" s="25"/>
      <c r="Y1369" s="25"/>
      <c r="Z1369" s="25"/>
    </row>
    <row r="1370" spans="1:26" ht="52.5" customHeight="1" x14ac:dyDescent="0.25">
      <c r="A1370" s="25" t="str">
        <f ca="1">IFERROR(__xludf.DUMMYFUNCTION("""COMPUTED_VALUE"""),"Educa168")</f>
        <v>Educa168</v>
      </c>
      <c r="B1370" s="25"/>
      <c r="C1370" s="55"/>
      <c r="D1370" s="25" t="str">
        <f ca="1">IFERROR(__xludf.DUMMYFUNCTION("""COMPUTED_VALUE"""),"Educación")</f>
        <v>Educación</v>
      </c>
      <c r="E1370" s="25"/>
      <c r="F1370" s="25"/>
      <c r="G1370" s="25"/>
      <c r="H1370" s="25"/>
      <c r="I1370" s="25"/>
      <c r="J1370" s="55"/>
      <c r="K1370" s="25" t="str">
        <f ca="1">IFERROR(__xludf.DUMMYFUNCTION("""COMPUTED_VALUE"""),"Definir fecha")</f>
        <v>Definir fecha</v>
      </c>
      <c r="L1370" s="62"/>
      <c r="M1370" s="25"/>
      <c r="N1370" s="25"/>
      <c r="O1370" s="25">
        <f t="shared" si="0"/>
        <v>0</v>
      </c>
      <c r="P1370" s="25" t="str">
        <f t="shared" si="2"/>
        <v/>
      </c>
      <c r="Q1370" s="25" t="str">
        <f ca="1">IFERROR(__xludf.DUMMYFUNCTION("""COMPUTED_VALUE"""),"Sin defenir")</f>
        <v>Sin defenir</v>
      </c>
      <c r="R1370" s="25"/>
      <c r="S1370" s="55"/>
      <c r="T1370" s="56"/>
      <c r="U1370" s="25"/>
      <c r="V1370" s="25"/>
      <c r="W1370" s="25"/>
      <c r="X1370" s="25"/>
      <c r="Y1370" s="25"/>
      <c r="Z1370" s="25"/>
    </row>
    <row r="1371" spans="1:26" ht="52.5" customHeight="1" x14ac:dyDescent="0.25">
      <c r="A1371" s="25" t="str">
        <f ca="1">IFERROR(__xludf.DUMMYFUNCTION("""COMPUTED_VALUE"""),"Educa169")</f>
        <v>Educa169</v>
      </c>
      <c r="B1371" s="25"/>
      <c r="C1371" s="55"/>
      <c r="D1371" s="25" t="str">
        <f ca="1">IFERROR(__xludf.DUMMYFUNCTION("""COMPUTED_VALUE"""),"Educación")</f>
        <v>Educación</v>
      </c>
      <c r="E1371" s="25"/>
      <c r="F1371" s="25"/>
      <c r="G1371" s="25"/>
      <c r="H1371" s="25"/>
      <c r="I1371" s="25"/>
      <c r="J1371" s="55"/>
      <c r="K1371" s="25" t="str">
        <f ca="1">IFERROR(__xludf.DUMMYFUNCTION("""COMPUTED_VALUE"""),"Definir fecha")</f>
        <v>Definir fecha</v>
      </c>
      <c r="L1371" s="62"/>
      <c r="M1371" s="25"/>
      <c r="N1371" s="25"/>
      <c r="O1371" s="25">
        <f t="shared" si="0"/>
        <v>0</v>
      </c>
      <c r="P1371" s="25" t="str">
        <f t="shared" si="2"/>
        <v/>
      </c>
      <c r="Q1371" s="25" t="str">
        <f ca="1">IFERROR(__xludf.DUMMYFUNCTION("""COMPUTED_VALUE"""),"Sin defenir")</f>
        <v>Sin defenir</v>
      </c>
      <c r="R1371" s="25"/>
      <c r="S1371" s="55"/>
      <c r="T1371" s="56"/>
      <c r="U1371" s="25"/>
      <c r="V1371" s="25"/>
      <c r="W1371" s="25"/>
      <c r="X1371" s="25"/>
      <c r="Y1371" s="25"/>
      <c r="Z1371" s="25"/>
    </row>
    <row r="1372" spans="1:26" ht="52.5" customHeight="1" x14ac:dyDescent="0.25">
      <c r="A1372" s="25" t="str">
        <f ca="1">IFERROR(__xludf.DUMMYFUNCTION("""COMPUTED_VALUE"""),"Educa170")</f>
        <v>Educa170</v>
      </c>
      <c r="B1372" s="25"/>
      <c r="C1372" s="55"/>
      <c r="D1372" s="25" t="str">
        <f ca="1">IFERROR(__xludf.DUMMYFUNCTION("""COMPUTED_VALUE"""),"Educación")</f>
        <v>Educación</v>
      </c>
      <c r="E1372" s="25"/>
      <c r="F1372" s="25"/>
      <c r="G1372" s="25"/>
      <c r="H1372" s="25"/>
      <c r="I1372" s="25"/>
      <c r="J1372" s="55"/>
      <c r="K1372" s="25" t="str">
        <f ca="1">IFERROR(__xludf.DUMMYFUNCTION("""COMPUTED_VALUE"""),"Definir fecha")</f>
        <v>Definir fecha</v>
      </c>
      <c r="L1372" s="62"/>
      <c r="M1372" s="25"/>
      <c r="N1372" s="25"/>
      <c r="O1372" s="25">
        <f t="shared" si="0"/>
        <v>0</v>
      </c>
      <c r="P1372" s="25" t="str">
        <f t="shared" si="2"/>
        <v/>
      </c>
      <c r="Q1372" s="25" t="str">
        <f ca="1">IFERROR(__xludf.DUMMYFUNCTION("""COMPUTED_VALUE"""),"Sin defenir")</f>
        <v>Sin defenir</v>
      </c>
      <c r="R1372" s="25"/>
      <c r="S1372" s="55"/>
      <c r="T1372" s="56"/>
      <c r="U1372" s="25"/>
      <c r="V1372" s="25"/>
      <c r="W1372" s="25"/>
      <c r="X1372" s="25"/>
      <c r="Y1372" s="25"/>
      <c r="Z1372" s="25"/>
    </row>
    <row r="1373" spans="1:26" ht="52.5" customHeight="1" x14ac:dyDescent="0.25">
      <c r="A1373" s="25" t="str">
        <f ca="1">IFERROR(__xludf.DUMMYFUNCTION("""COMPUTED_VALUE"""),"Educa171")</f>
        <v>Educa171</v>
      </c>
      <c r="B1373" s="25"/>
      <c r="C1373" s="55"/>
      <c r="D1373" s="25" t="str">
        <f ca="1">IFERROR(__xludf.DUMMYFUNCTION("""COMPUTED_VALUE"""),"Educación")</f>
        <v>Educación</v>
      </c>
      <c r="E1373" s="25"/>
      <c r="F1373" s="25"/>
      <c r="G1373" s="25"/>
      <c r="H1373" s="25"/>
      <c r="I1373" s="25"/>
      <c r="J1373" s="55"/>
      <c r="K1373" s="25" t="str">
        <f ca="1">IFERROR(__xludf.DUMMYFUNCTION("""COMPUTED_VALUE"""),"Definir fecha")</f>
        <v>Definir fecha</v>
      </c>
      <c r="L1373" s="62"/>
      <c r="M1373" s="25"/>
      <c r="N1373" s="25"/>
      <c r="O1373" s="25">
        <f t="shared" si="0"/>
        <v>0</v>
      </c>
      <c r="P1373" s="25" t="str">
        <f t="shared" si="2"/>
        <v/>
      </c>
      <c r="Q1373" s="25" t="str">
        <f ca="1">IFERROR(__xludf.DUMMYFUNCTION("""COMPUTED_VALUE"""),"Sin defenir")</f>
        <v>Sin defenir</v>
      </c>
      <c r="R1373" s="25"/>
      <c r="S1373" s="55"/>
      <c r="T1373" s="56"/>
      <c r="U1373" s="25"/>
      <c r="V1373" s="25"/>
      <c r="W1373" s="25"/>
      <c r="X1373" s="25"/>
      <c r="Y1373" s="25"/>
      <c r="Z1373" s="25"/>
    </row>
    <row r="1374" spans="1:26" ht="52.5" customHeight="1" x14ac:dyDescent="0.25">
      <c r="A1374" s="25" t="str">
        <f ca="1">IFERROR(__xludf.DUMMYFUNCTION("""COMPUTED_VALUE"""),"Educa172")</f>
        <v>Educa172</v>
      </c>
      <c r="B1374" s="25"/>
      <c r="C1374" s="55"/>
      <c r="D1374" s="25" t="str">
        <f ca="1">IFERROR(__xludf.DUMMYFUNCTION("""COMPUTED_VALUE"""),"Educación")</f>
        <v>Educación</v>
      </c>
      <c r="E1374" s="25"/>
      <c r="F1374" s="25"/>
      <c r="G1374" s="25"/>
      <c r="H1374" s="25"/>
      <c r="I1374" s="25"/>
      <c r="J1374" s="55"/>
      <c r="K1374" s="25" t="str">
        <f ca="1">IFERROR(__xludf.DUMMYFUNCTION("""COMPUTED_VALUE"""),"Definir fecha")</f>
        <v>Definir fecha</v>
      </c>
      <c r="L1374" s="62"/>
      <c r="M1374" s="25"/>
      <c r="N1374" s="25"/>
      <c r="O1374" s="25">
        <f t="shared" si="0"/>
        <v>0</v>
      </c>
      <c r="P1374" s="25" t="str">
        <f t="shared" si="2"/>
        <v/>
      </c>
      <c r="Q1374" s="25" t="str">
        <f ca="1">IFERROR(__xludf.DUMMYFUNCTION("""COMPUTED_VALUE"""),"Sin defenir")</f>
        <v>Sin defenir</v>
      </c>
      <c r="R1374" s="25"/>
      <c r="S1374" s="55"/>
      <c r="T1374" s="56"/>
      <c r="U1374" s="25"/>
      <c r="V1374" s="25"/>
      <c r="W1374" s="25"/>
      <c r="X1374" s="25"/>
      <c r="Y1374" s="25"/>
      <c r="Z1374" s="25"/>
    </row>
    <row r="1375" spans="1:26" ht="52.5" customHeight="1" x14ac:dyDescent="0.25">
      <c r="A1375" s="25" t="str">
        <f ca="1">IFERROR(__xludf.DUMMYFUNCTION("""COMPUTED_VALUE"""),"Educa173")</f>
        <v>Educa173</v>
      </c>
      <c r="B1375" s="25"/>
      <c r="C1375" s="55"/>
      <c r="D1375" s="25" t="str">
        <f ca="1">IFERROR(__xludf.DUMMYFUNCTION("""COMPUTED_VALUE"""),"Educación")</f>
        <v>Educación</v>
      </c>
      <c r="E1375" s="25"/>
      <c r="F1375" s="25"/>
      <c r="G1375" s="25"/>
      <c r="H1375" s="25"/>
      <c r="I1375" s="25"/>
      <c r="J1375" s="55"/>
      <c r="K1375" s="25" t="str">
        <f ca="1">IFERROR(__xludf.DUMMYFUNCTION("""COMPUTED_VALUE"""),"Definir fecha")</f>
        <v>Definir fecha</v>
      </c>
      <c r="L1375" s="62"/>
      <c r="M1375" s="25"/>
      <c r="N1375" s="25"/>
      <c r="O1375" s="25">
        <f t="shared" si="0"/>
        <v>0</v>
      </c>
      <c r="P1375" s="25" t="str">
        <f t="shared" si="2"/>
        <v/>
      </c>
      <c r="Q1375" s="25" t="str">
        <f ca="1">IFERROR(__xludf.DUMMYFUNCTION("""COMPUTED_VALUE"""),"Sin defenir")</f>
        <v>Sin defenir</v>
      </c>
      <c r="R1375" s="25"/>
      <c r="S1375" s="55"/>
      <c r="T1375" s="56"/>
      <c r="U1375" s="25"/>
      <c r="V1375" s="25"/>
      <c r="W1375" s="25"/>
      <c r="X1375" s="25"/>
      <c r="Y1375" s="25"/>
      <c r="Z1375" s="25"/>
    </row>
    <row r="1376" spans="1:26" ht="52.5" customHeight="1" x14ac:dyDescent="0.25">
      <c r="A1376" s="25" t="str">
        <f ca="1">IFERROR(__xludf.DUMMYFUNCTION("""COMPUTED_VALUE"""),"Educa174")</f>
        <v>Educa174</v>
      </c>
      <c r="B1376" s="25"/>
      <c r="C1376" s="55"/>
      <c r="D1376" s="25" t="str">
        <f ca="1">IFERROR(__xludf.DUMMYFUNCTION("""COMPUTED_VALUE"""),"Educación")</f>
        <v>Educación</v>
      </c>
      <c r="E1376" s="25"/>
      <c r="F1376" s="25"/>
      <c r="G1376" s="25"/>
      <c r="H1376" s="25"/>
      <c r="I1376" s="25"/>
      <c r="J1376" s="55"/>
      <c r="K1376" s="25" t="str">
        <f ca="1">IFERROR(__xludf.DUMMYFUNCTION("""COMPUTED_VALUE"""),"Definir fecha")</f>
        <v>Definir fecha</v>
      </c>
      <c r="L1376" s="62"/>
      <c r="M1376" s="25"/>
      <c r="N1376" s="25"/>
      <c r="O1376" s="25">
        <f t="shared" si="0"/>
        <v>0</v>
      </c>
      <c r="P1376" s="25" t="str">
        <f t="shared" si="2"/>
        <v/>
      </c>
      <c r="Q1376" s="25" t="str">
        <f ca="1">IFERROR(__xludf.DUMMYFUNCTION("""COMPUTED_VALUE"""),"Sin defenir")</f>
        <v>Sin defenir</v>
      </c>
      <c r="R1376" s="25"/>
      <c r="S1376" s="55"/>
      <c r="T1376" s="56"/>
      <c r="U1376" s="25"/>
      <c r="V1376" s="25"/>
      <c r="W1376" s="25"/>
      <c r="X1376" s="25"/>
      <c r="Y1376" s="25"/>
      <c r="Z1376" s="25"/>
    </row>
    <row r="1377" spans="1:26" ht="52.5" customHeight="1" x14ac:dyDescent="0.25">
      <c r="A1377" s="25" t="str">
        <f ca="1">IFERROR(__xludf.DUMMYFUNCTION("""COMPUTED_VALUE"""),"Educa175")</f>
        <v>Educa175</v>
      </c>
      <c r="B1377" s="25"/>
      <c r="C1377" s="55"/>
      <c r="D1377" s="25" t="str">
        <f ca="1">IFERROR(__xludf.DUMMYFUNCTION("""COMPUTED_VALUE"""),"Educación")</f>
        <v>Educación</v>
      </c>
      <c r="E1377" s="25"/>
      <c r="F1377" s="25"/>
      <c r="G1377" s="25"/>
      <c r="H1377" s="25"/>
      <c r="I1377" s="25"/>
      <c r="J1377" s="55"/>
      <c r="K1377" s="25" t="str">
        <f ca="1">IFERROR(__xludf.DUMMYFUNCTION("""COMPUTED_VALUE"""),"Definir fecha")</f>
        <v>Definir fecha</v>
      </c>
      <c r="L1377" s="62"/>
      <c r="M1377" s="25"/>
      <c r="N1377" s="25"/>
      <c r="O1377" s="25">
        <f t="shared" si="0"/>
        <v>0</v>
      </c>
      <c r="P1377" s="25" t="str">
        <f t="shared" si="2"/>
        <v/>
      </c>
      <c r="Q1377" s="25" t="str">
        <f ca="1">IFERROR(__xludf.DUMMYFUNCTION("""COMPUTED_VALUE"""),"Sin defenir")</f>
        <v>Sin defenir</v>
      </c>
      <c r="R1377" s="25"/>
      <c r="S1377" s="55"/>
      <c r="T1377" s="56"/>
      <c r="U1377" s="25"/>
      <c r="V1377" s="25"/>
      <c r="W1377" s="25"/>
      <c r="X1377" s="25"/>
      <c r="Y1377" s="25"/>
      <c r="Z1377" s="25"/>
    </row>
    <row r="1378" spans="1:26" ht="52.5" customHeight="1" x14ac:dyDescent="0.25">
      <c r="A1378" s="25" t="str">
        <f ca="1">IFERROR(__xludf.DUMMYFUNCTION("""COMPUTED_VALUE"""),"Educa176")</f>
        <v>Educa176</v>
      </c>
      <c r="B1378" s="25"/>
      <c r="C1378" s="55"/>
      <c r="D1378" s="25" t="str">
        <f ca="1">IFERROR(__xludf.DUMMYFUNCTION("""COMPUTED_VALUE"""),"Educación")</f>
        <v>Educación</v>
      </c>
      <c r="E1378" s="25"/>
      <c r="F1378" s="25"/>
      <c r="G1378" s="25"/>
      <c r="H1378" s="25"/>
      <c r="I1378" s="25"/>
      <c r="J1378" s="55"/>
      <c r="K1378" s="25" t="str">
        <f ca="1">IFERROR(__xludf.DUMMYFUNCTION("""COMPUTED_VALUE"""),"Definir fecha")</f>
        <v>Definir fecha</v>
      </c>
      <c r="L1378" s="62"/>
      <c r="M1378" s="25"/>
      <c r="N1378" s="25"/>
      <c r="O1378" s="25">
        <f t="shared" si="0"/>
        <v>0</v>
      </c>
      <c r="P1378" s="25" t="str">
        <f t="shared" si="2"/>
        <v/>
      </c>
      <c r="Q1378" s="25" t="str">
        <f ca="1">IFERROR(__xludf.DUMMYFUNCTION("""COMPUTED_VALUE"""),"Sin defenir")</f>
        <v>Sin defenir</v>
      </c>
      <c r="R1378" s="25"/>
      <c r="S1378" s="55"/>
      <c r="T1378" s="56"/>
      <c r="U1378" s="25"/>
      <c r="V1378" s="25"/>
      <c r="W1378" s="25"/>
      <c r="X1378" s="25"/>
      <c r="Y1378" s="25"/>
      <c r="Z1378" s="25"/>
    </row>
    <row r="1379" spans="1:26" ht="52.5" customHeight="1" x14ac:dyDescent="0.25">
      <c r="A1379" s="25" t="str">
        <f ca="1">IFERROR(__xludf.DUMMYFUNCTION("""COMPUTED_VALUE"""),"Educa177")</f>
        <v>Educa177</v>
      </c>
      <c r="B1379" s="25"/>
      <c r="C1379" s="55"/>
      <c r="D1379" s="25" t="str">
        <f ca="1">IFERROR(__xludf.DUMMYFUNCTION("""COMPUTED_VALUE"""),"Educación")</f>
        <v>Educación</v>
      </c>
      <c r="E1379" s="25"/>
      <c r="F1379" s="25"/>
      <c r="G1379" s="25"/>
      <c r="H1379" s="25"/>
      <c r="I1379" s="25"/>
      <c r="J1379" s="55"/>
      <c r="K1379" s="25" t="str">
        <f ca="1">IFERROR(__xludf.DUMMYFUNCTION("""COMPUTED_VALUE"""),"Definir fecha")</f>
        <v>Definir fecha</v>
      </c>
      <c r="L1379" s="62"/>
      <c r="M1379" s="25"/>
      <c r="N1379" s="25"/>
      <c r="O1379" s="25">
        <f t="shared" si="0"/>
        <v>0</v>
      </c>
      <c r="P1379" s="25" t="str">
        <f t="shared" si="2"/>
        <v/>
      </c>
      <c r="Q1379" s="25" t="str">
        <f ca="1">IFERROR(__xludf.DUMMYFUNCTION("""COMPUTED_VALUE"""),"Sin defenir")</f>
        <v>Sin defenir</v>
      </c>
      <c r="R1379" s="25"/>
      <c r="S1379" s="55"/>
      <c r="T1379" s="56"/>
      <c r="U1379" s="25"/>
      <c r="V1379" s="25"/>
      <c r="W1379" s="25"/>
      <c r="X1379" s="25"/>
      <c r="Y1379" s="25"/>
      <c r="Z1379" s="25"/>
    </row>
    <row r="1380" spans="1:26" ht="52.5" customHeight="1" x14ac:dyDescent="0.25">
      <c r="A1380" s="25" t="str">
        <f ca="1">IFERROR(__xludf.DUMMYFUNCTION("""COMPUTED_VALUE"""),"Educa178")</f>
        <v>Educa178</v>
      </c>
      <c r="B1380" s="25"/>
      <c r="C1380" s="55"/>
      <c r="D1380" s="25" t="str">
        <f ca="1">IFERROR(__xludf.DUMMYFUNCTION("""COMPUTED_VALUE"""),"Educación")</f>
        <v>Educación</v>
      </c>
      <c r="E1380" s="25"/>
      <c r="F1380" s="25"/>
      <c r="G1380" s="25"/>
      <c r="H1380" s="25"/>
      <c r="I1380" s="25"/>
      <c r="J1380" s="55"/>
      <c r="K1380" s="25" t="str">
        <f ca="1">IFERROR(__xludf.DUMMYFUNCTION("""COMPUTED_VALUE"""),"Definir fecha")</f>
        <v>Definir fecha</v>
      </c>
      <c r="L1380" s="62"/>
      <c r="M1380" s="25"/>
      <c r="N1380" s="25"/>
      <c r="O1380" s="25">
        <f t="shared" si="0"/>
        <v>0</v>
      </c>
      <c r="P1380" s="25" t="str">
        <f t="shared" si="2"/>
        <v/>
      </c>
      <c r="Q1380" s="25" t="str">
        <f ca="1">IFERROR(__xludf.DUMMYFUNCTION("""COMPUTED_VALUE"""),"Sin defenir")</f>
        <v>Sin defenir</v>
      </c>
      <c r="R1380" s="25"/>
      <c r="S1380" s="55"/>
      <c r="T1380" s="56"/>
      <c r="U1380" s="25"/>
      <c r="V1380" s="25"/>
      <c r="W1380" s="25"/>
      <c r="X1380" s="25"/>
      <c r="Y1380" s="25"/>
      <c r="Z1380" s="25"/>
    </row>
    <row r="1381" spans="1:26" ht="52.5" customHeight="1" x14ac:dyDescent="0.25">
      <c r="A1381" s="25" t="str">
        <f ca="1">IFERROR(__xludf.DUMMYFUNCTION("""COMPUTED_VALUE"""),"Educa179")</f>
        <v>Educa179</v>
      </c>
      <c r="B1381" s="25"/>
      <c r="C1381" s="55"/>
      <c r="D1381" s="25" t="str">
        <f ca="1">IFERROR(__xludf.DUMMYFUNCTION("""COMPUTED_VALUE"""),"Educación")</f>
        <v>Educación</v>
      </c>
      <c r="E1381" s="25"/>
      <c r="F1381" s="25"/>
      <c r="G1381" s="25"/>
      <c r="H1381" s="25"/>
      <c r="I1381" s="25"/>
      <c r="J1381" s="55"/>
      <c r="K1381" s="25" t="str">
        <f ca="1">IFERROR(__xludf.DUMMYFUNCTION("""COMPUTED_VALUE"""),"Definir fecha")</f>
        <v>Definir fecha</v>
      </c>
      <c r="L1381" s="62"/>
      <c r="M1381" s="25"/>
      <c r="N1381" s="25"/>
      <c r="O1381" s="25">
        <f t="shared" si="0"/>
        <v>0</v>
      </c>
      <c r="P1381" s="25" t="str">
        <f t="shared" si="2"/>
        <v/>
      </c>
      <c r="Q1381" s="25" t="str">
        <f ca="1">IFERROR(__xludf.DUMMYFUNCTION("""COMPUTED_VALUE"""),"Sin defenir")</f>
        <v>Sin defenir</v>
      </c>
      <c r="R1381" s="25"/>
      <c r="S1381" s="55"/>
      <c r="T1381" s="56"/>
      <c r="U1381" s="25"/>
      <c r="V1381" s="25"/>
      <c r="W1381" s="25"/>
      <c r="X1381" s="25"/>
      <c r="Y1381" s="25"/>
      <c r="Z1381" s="25"/>
    </row>
    <row r="1382" spans="1:26" ht="52.5" customHeight="1" x14ac:dyDescent="0.25">
      <c r="A1382" s="25" t="str">
        <f ca="1">IFERROR(__xludf.DUMMYFUNCTION("""COMPUTED_VALUE"""),"Educa180")</f>
        <v>Educa180</v>
      </c>
      <c r="B1382" s="25"/>
      <c r="C1382" s="55"/>
      <c r="D1382" s="25" t="str">
        <f ca="1">IFERROR(__xludf.DUMMYFUNCTION("""COMPUTED_VALUE"""),"Educación")</f>
        <v>Educación</v>
      </c>
      <c r="E1382" s="25"/>
      <c r="F1382" s="25"/>
      <c r="G1382" s="25"/>
      <c r="H1382" s="25"/>
      <c r="I1382" s="25"/>
      <c r="J1382" s="55"/>
      <c r="K1382" s="25" t="str">
        <f ca="1">IFERROR(__xludf.DUMMYFUNCTION("""COMPUTED_VALUE"""),"Definir fecha")</f>
        <v>Definir fecha</v>
      </c>
      <c r="L1382" s="62"/>
      <c r="M1382" s="25"/>
      <c r="N1382" s="25"/>
      <c r="O1382" s="25">
        <f t="shared" si="0"/>
        <v>0</v>
      </c>
      <c r="P1382" s="25" t="str">
        <f t="shared" si="2"/>
        <v/>
      </c>
      <c r="Q1382" s="25" t="str">
        <f ca="1">IFERROR(__xludf.DUMMYFUNCTION("""COMPUTED_VALUE"""),"Sin defenir")</f>
        <v>Sin defenir</v>
      </c>
      <c r="R1382" s="25"/>
      <c r="S1382" s="55"/>
      <c r="T1382" s="56"/>
      <c r="U1382" s="25"/>
      <c r="V1382" s="25"/>
      <c r="W1382" s="25"/>
      <c r="X1382" s="25"/>
      <c r="Y1382" s="25"/>
      <c r="Z1382" s="25"/>
    </row>
    <row r="1383" spans="1:26" ht="52.5" customHeight="1" x14ac:dyDescent="0.25">
      <c r="A1383" s="25" t="str">
        <f ca="1">IFERROR(__xludf.DUMMYFUNCTION("""COMPUTED_VALUE"""),"Educa181")</f>
        <v>Educa181</v>
      </c>
      <c r="B1383" s="25"/>
      <c r="C1383" s="55"/>
      <c r="D1383" s="25" t="str">
        <f ca="1">IFERROR(__xludf.DUMMYFUNCTION("""COMPUTED_VALUE"""),"Educación")</f>
        <v>Educación</v>
      </c>
      <c r="E1383" s="25"/>
      <c r="F1383" s="25"/>
      <c r="G1383" s="25"/>
      <c r="H1383" s="25"/>
      <c r="I1383" s="25"/>
      <c r="J1383" s="55"/>
      <c r="K1383" s="25" t="str">
        <f ca="1">IFERROR(__xludf.DUMMYFUNCTION("""COMPUTED_VALUE"""),"Definir fecha")</f>
        <v>Definir fecha</v>
      </c>
      <c r="L1383" s="62"/>
      <c r="M1383" s="25"/>
      <c r="N1383" s="25"/>
      <c r="O1383" s="25">
        <f t="shared" si="0"/>
        <v>0</v>
      </c>
      <c r="P1383" s="25" t="str">
        <f t="shared" si="2"/>
        <v/>
      </c>
      <c r="Q1383" s="25" t="str">
        <f ca="1">IFERROR(__xludf.DUMMYFUNCTION("""COMPUTED_VALUE"""),"Sin defenir")</f>
        <v>Sin defenir</v>
      </c>
      <c r="R1383" s="25"/>
      <c r="S1383" s="55"/>
      <c r="T1383" s="56"/>
      <c r="U1383" s="25"/>
      <c r="V1383" s="25"/>
      <c r="W1383" s="25"/>
      <c r="X1383" s="25"/>
      <c r="Y1383" s="25"/>
      <c r="Z1383" s="25"/>
    </row>
    <row r="1384" spans="1:26" ht="52.5" customHeight="1" x14ac:dyDescent="0.25">
      <c r="A1384" s="25" t="str">
        <f ca="1">IFERROR(__xludf.DUMMYFUNCTION("""COMPUTED_VALUE"""),"Educa182")</f>
        <v>Educa182</v>
      </c>
      <c r="B1384" s="25"/>
      <c r="C1384" s="55"/>
      <c r="D1384" s="25" t="str">
        <f ca="1">IFERROR(__xludf.DUMMYFUNCTION("""COMPUTED_VALUE"""),"Educación")</f>
        <v>Educación</v>
      </c>
      <c r="E1384" s="25"/>
      <c r="F1384" s="25"/>
      <c r="G1384" s="25"/>
      <c r="H1384" s="25"/>
      <c r="I1384" s="25"/>
      <c r="J1384" s="55"/>
      <c r="K1384" s="25" t="str">
        <f ca="1">IFERROR(__xludf.DUMMYFUNCTION("""COMPUTED_VALUE"""),"Definir fecha")</f>
        <v>Definir fecha</v>
      </c>
      <c r="L1384" s="62"/>
      <c r="M1384" s="25"/>
      <c r="N1384" s="25"/>
      <c r="O1384" s="25">
        <f t="shared" si="0"/>
        <v>0</v>
      </c>
      <c r="P1384" s="25" t="str">
        <f t="shared" si="2"/>
        <v/>
      </c>
      <c r="Q1384" s="25" t="str">
        <f ca="1">IFERROR(__xludf.DUMMYFUNCTION("""COMPUTED_VALUE"""),"Sin defenir")</f>
        <v>Sin defenir</v>
      </c>
      <c r="R1384" s="25"/>
      <c r="S1384" s="55"/>
      <c r="T1384" s="56"/>
      <c r="U1384" s="25"/>
      <c r="V1384" s="25"/>
      <c r="W1384" s="25"/>
      <c r="X1384" s="25"/>
      <c r="Y1384" s="25"/>
      <c r="Z1384" s="25"/>
    </row>
    <row r="1385" spans="1:26" ht="52.5" customHeight="1" x14ac:dyDescent="0.25">
      <c r="A1385" s="25" t="str">
        <f ca="1">IFERROR(__xludf.DUMMYFUNCTION("""COMPUTED_VALUE"""),"Educa183")</f>
        <v>Educa183</v>
      </c>
      <c r="B1385" s="25"/>
      <c r="C1385" s="55"/>
      <c r="D1385" s="25" t="str">
        <f ca="1">IFERROR(__xludf.DUMMYFUNCTION("""COMPUTED_VALUE"""),"Educación")</f>
        <v>Educación</v>
      </c>
      <c r="E1385" s="25"/>
      <c r="F1385" s="25"/>
      <c r="G1385" s="25"/>
      <c r="H1385" s="25"/>
      <c r="I1385" s="25"/>
      <c r="J1385" s="55"/>
      <c r="K1385" s="25" t="str">
        <f ca="1">IFERROR(__xludf.DUMMYFUNCTION("""COMPUTED_VALUE"""),"Definir fecha")</f>
        <v>Definir fecha</v>
      </c>
      <c r="L1385" s="62"/>
      <c r="M1385" s="25"/>
      <c r="N1385" s="25"/>
      <c r="O1385" s="25">
        <f t="shared" si="0"/>
        <v>0</v>
      </c>
      <c r="P1385" s="25" t="str">
        <f t="shared" si="2"/>
        <v/>
      </c>
      <c r="Q1385" s="25" t="str">
        <f ca="1">IFERROR(__xludf.DUMMYFUNCTION("""COMPUTED_VALUE"""),"Sin defenir")</f>
        <v>Sin defenir</v>
      </c>
      <c r="R1385" s="25"/>
      <c r="S1385" s="55"/>
      <c r="T1385" s="56"/>
      <c r="U1385" s="25"/>
      <c r="V1385" s="25"/>
      <c r="W1385" s="25"/>
      <c r="X1385" s="25"/>
      <c r="Y1385" s="25"/>
      <c r="Z1385" s="25"/>
    </row>
    <row r="1386" spans="1:26" ht="52.5" customHeight="1" x14ac:dyDescent="0.25">
      <c r="A1386" s="25" t="str">
        <f ca="1">IFERROR(__xludf.DUMMYFUNCTION("""COMPUTED_VALUE"""),"Educa184")</f>
        <v>Educa184</v>
      </c>
      <c r="B1386" s="25"/>
      <c r="C1386" s="55"/>
      <c r="D1386" s="25" t="str">
        <f ca="1">IFERROR(__xludf.DUMMYFUNCTION("""COMPUTED_VALUE"""),"Educación")</f>
        <v>Educación</v>
      </c>
      <c r="E1386" s="25"/>
      <c r="F1386" s="25"/>
      <c r="G1386" s="25"/>
      <c r="H1386" s="25"/>
      <c r="I1386" s="25"/>
      <c r="J1386" s="55"/>
      <c r="K1386" s="25" t="str">
        <f ca="1">IFERROR(__xludf.DUMMYFUNCTION("""COMPUTED_VALUE"""),"Definir fecha")</f>
        <v>Definir fecha</v>
      </c>
      <c r="L1386" s="62"/>
      <c r="M1386" s="25"/>
      <c r="N1386" s="25"/>
      <c r="O1386" s="25">
        <f t="shared" si="0"/>
        <v>0</v>
      </c>
      <c r="P1386" s="25" t="str">
        <f t="shared" si="2"/>
        <v/>
      </c>
      <c r="Q1386" s="25" t="str">
        <f ca="1">IFERROR(__xludf.DUMMYFUNCTION("""COMPUTED_VALUE"""),"Sin defenir")</f>
        <v>Sin defenir</v>
      </c>
      <c r="R1386" s="25"/>
      <c r="S1386" s="55"/>
      <c r="T1386" s="56"/>
      <c r="U1386" s="25"/>
      <c r="V1386" s="25"/>
      <c r="W1386" s="25"/>
      <c r="X1386" s="25"/>
      <c r="Y1386" s="25"/>
      <c r="Z1386" s="25"/>
    </row>
    <row r="1387" spans="1:26" ht="52.5" customHeight="1" x14ac:dyDescent="0.25">
      <c r="A1387" s="25" t="str">
        <f ca="1">IFERROR(__xludf.DUMMYFUNCTION("""COMPUTED_VALUE"""),"Educa185")</f>
        <v>Educa185</v>
      </c>
      <c r="B1387" s="25"/>
      <c r="C1387" s="55"/>
      <c r="D1387" s="25" t="str">
        <f ca="1">IFERROR(__xludf.DUMMYFUNCTION("""COMPUTED_VALUE"""),"Educación")</f>
        <v>Educación</v>
      </c>
      <c r="E1387" s="25"/>
      <c r="F1387" s="25"/>
      <c r="G1387" s="25"/>
      <c r="H1387" s="25"/>
      <c r="I1387" s="25"/>
      <c r="J1387" s="55"/>
      <c r="K1387" s="25" t="str">
        <f ca="1">IFERROR(__xludf.DUMMYFUNCTION("""COMPUTED_VALUE"""),"Definir fecha")</f>
        <v>Definir fecha</v>
      </c>
      <c r="L1387" s="62"/>
      <c r="M1387" s="25"/>
      <c r="N1387" s="25"/>
      <c r="O1387" s="25">
        <f t="shared" si="0"/>
        <v>0</v>
      </c>
      <c r="P1387" s="25" t="str">
        <f t="shared" si="2"/>
        <v/>
      </c>
      <c r="Q1387" s="25" t="str">
        <f ca="1">IFERROR(__xludf.DUMMYFUNCTION("""COMPUTED_VALUE"""),"Sin defenir")</f>
        <v>Sin defenir</v>
      </c>
      <c r="R1387" s="25"/>
      <c r="S1387" s="55"/>
      <c r="T1387" s="56"/>
      <c r="U1387" s="25"/>
      <c r="V1387" s="25"/>
      <c r="W1387" s="25"/>
      <c r="X1387" s="25"/>
      <c r="Y1387" s="25"/>
      <c r="Z1387" s="25"/>
    </row>
    <row r="1388" spans="1:26" ht="52.5" customHeight="1" x14ac:dyDescent="0.25">
      <c r="A1388" s="25" t="str">
        <f ca="1">IFERROR(__xludf.DUMMYFUNCTION("""COMPUTED_VALUE"""),"Educa186")</f>
        <v>Educa186</v>
      </c>
      <c r="B1388" s="25"/>
      <c r="C1388" s="55"/>
      <c r="D1388" s="25" t="str">
        <f ca="1">IFERROR(__xludf.DUMMYFUNCTION("""COMPUTED_VALUE"""),"Educación")</f>
        <v>Educación</v>
      </c>
      <c r="E1388" s="25"/>
      <c r="F1388" s="25"/>
      <c r="G1388" s="25"/>
      <c r="H1388" s="25"/>
      <c r="I1388" s="25"/>
      <c r="J1388" s="55"/>
      <c r="K1388" s="25" t="str">
        <f ca="1">IFERROR(__xludf.DUMMYFUNCTION("""COMPUTED_VALUE"""),"Definir fecha")</f>
        <v>Definir fecha</v>
      </c>
      <c r="L1388" s="62"/>
      <c r="M1388" s="25"/>
      <c r="N1388" s="25"/>
      <c r="O1388" s="25">
        <f t="shared" si="0"/>
        <v>0</v>
      </c>
      <c r="P1388" s="25" t="str">
        <f t="shared" si="2"/>
        <v/>
      </c>
      <c r="Q1388" s="25" t="str">
        <f ca="1">IFERROR(__xludf.DUMMYFUNCTION("""COMPUTED_VALUE"""),"Sin defenir")</f>
        <v>Sin defenir</v>
      </c>
      <c r="R1388" s="25"/>
      <c r="S1388" s="55"/>
      <c r="T1388" s="56"/>
      <c r="U1388" s="25"/>
      <c r="V1388" s="25"/>
      <c r="W1388" s="25"/>
      <c r="X1388" s="25"/>
      <c r="Y1388" s="25"/>
      <c r="Z1388" s="25"/>
    </row>
    <row r="1389" spans="1:26" ht="52.5" customHeight="1" x14ac:dyDescent="0.25">
      <c r="A1389" s="25" t="str">
        <f ca="1">IFERROR(__xludf.DUMMYFUNCTION("""COMPUTED_VALUE"""),"Educa187")</f>
        <v>Educa187</v>
      </c>
      <c r="B1389" s="25"/>
      <c r="C1389" s="55"/>
      <c r="D1389" s="25" t="str">
        <f ca="1">IFERROR(__xludf.DUMMYFUNCTION("""COMPUTED_VALUE"""),"Educación")</f>
        <v>Educación</v>
      </c>
      <c r="E1389" s="25"/>
      <c r="F1389" s="25"/>
      <c r="G1389" s="25"/>
      <c r="H1389" s="25"/>
      <c r="I1389" s="25"/>
      <c r="J1389" s="55"/>
      <c r="K1389" s="25" t="str">
        <f ca="1">IFERROR(__xludf.DUMMYFUNCTION("""COMPUTED_VALUE"""),"Definir fecha")</f>
        <v>Definir fecha</v>
      </c>
      <c r="L1389" s="62"/>
      <c r="M1389" s="25"/>
      <c r="N1389" s="25"/>
      <c r="O1389" s="25">
        <f t="shared" si="0"/>
        <v>0</v>
      </c>
      <c r="P1389" s="25" t="str">
        <f t="shared" si="2"/>
        <v/>
      </c>
      <c r="Q1389" s="25" t="str">
        <f ca="1">IFERROR(__xludf.DUMMYFUNCTION("""COMPUTED_VALUE"""),"Sin defenir")</f>
        <v>Sin defenir</v>
      </c>
      <c r="R1389" s="25"/>
      <c r="S1389" s="55"/>
      <c r="T1389" s="56"/>
      <c r="U1389" s="25"/>
      <c r="V1389" s="25"/>
      <c r="W1389" s="25"/>
      <c r="X1389" s="25"/>
      <c r="Y1389" s="25"/>
      <c r="Z1389" s="25"/>
    </row>
    <row r="1390" spans="1:26" ht="52.5" customHeight="1" x14ac:dyDescent="0.25">
      <c r="A1390" s="25" t="str">
        <f ca="1">IFERROR(__xludf.DUMMYFUNCTION("""COMPUTED_VALUE"""),"Educa188")</f>
        <v>Educa188</v>
      </c>
      <c r="B1390" s="25"/>
      <c r="C1390" s="55"/>
      <c r="D1390" s="25" t="str">
        <f ca="1">IFERROR(__xludf.DUMMYFUNCTION("""COMPUTED_VALUE"""),"Educación")</f>
        <v>Educación</v>
      </c>
      <c r="E1390" s="25"/>
      <c r="F1390" s="25"/>
      <c r="G1390" s="25"/>
      <c r="H1390" s="25"/>
      <c r="I1390" s="25"/>
      <c r="J1390" s="55"/>
      <c r="K1390" s="25" t="str">
        <f ca="1">IFERROR(__xludf.DUMMYFUNCTION("""COMPUTED_VALUE"""),"Definir fecha")</f>
        <v>Definir fecha</v>
      </c>
      <c r="L1390" s="62"/>
      <c r="M1390" s="25"/>
      <c r="N1390" s="25"/>
      <c r="O1390" s="25">
        <f t="shared" si="0"/>
        <v>0</v>
      </c>
      <c r="P1390" s="25" t="str">
        <f t="shared" si="2"/>
        <v/>
      </c>
      <c r="Q1390" s="25" t="str">
        <f ca="1">IFERROR(__xludf.DUMMYFUNCTION("""COMPUTED_VALUE"""),"Sin defenir")</f>
        <v>Sin defenir</v>
      </c>
      <c r="R1390" s="25"/>
      <c r="S1390" s="55"/>
      <c r="T1390" s="56"/>
      <c r="U1390" s="25"/>
      <c r="V1390" s="25"/>
      <c r="W1390" s="25"/>
      <c r="X1390" s="25"/>
      <c r="Y1390" s="25"/>
      <c r="Z1390" s="25"/>
    </row>
    <row r="1391" spans="1:26" ht="52.5" customHeight="1" x14ac:dyDescent="0.25">
      <c r="A1391" s="25" t="str">
        <f ca="1">IFERROR(__xludf.DUMMYFUNCTION("""COMPUTED_VALUE"""),"Educa189")</f>
        <v>Educa189</v>
      </c>
      <c r="B1391" s="25"/>
      <c r="C1391" s="55"/>
      <c r="D1391" s="25" t="str">
        <f ca="1">IFERROR(__xludf.DUMMYFUNCTION("""COMPUTED_VALUE"""),"Educación")</f>
        <v>Educación</v>
      </c>
      <c r="E1391" s="25"/>
      <c r="F1391" s="25"/>
      <c r="G1391" s="25"/>
      <c r="H1391" s="25"/>
      <c r="I1391" s="25"/>
      <c r="J1391" s="55"/>
      <c r="K1391" s="25" t="str">
        <f ca="1">IFERROR(__xludf.DUMMYFUNCTION("""COMPUTED_VALUE"""),"Definir fecha")</f>
        <v>Definir fecha</v>
      </c>
      <c r="L1391" s="62"/>
      <c r="M1391" s="25"/>
      <c r="N1391" s="25"/>
      <c r="O1391" s="25">
        <f t="shared" si="0"/>
        <v>0</v>
      </c>
      <c r="P1391" s="25" t="str">
        <f t="shared" si="2"/>
        <v/>
      </c>
      <c r="Q1391" s="25" t="str">
        <f ca="1">IFERROR(__xludf.DUMMYFUNCTION("""COMPUTED_VALUE"""),"Sin defenir")</f>
        <v>Sin defenir</v>
      </c>
      <c r="R1391" s="25"/>
      <c r="S1391" s="55"/>
      <c r="T1391" s="56"/>
      <c r="U1391" s="25"/>
      <c r="V1391" s="25"/>
      <c r="W1391" s="25"/>
      <c r="X1391" s="25"/>
      <c r="Y1391" s="25"/>
      <c r="Z1391" s="25"/>
    </row>
    <row r="1392" spans="1:26" ht="52.5" customHeight="1" x14ac:dyDescent="0.25">
      <c r="A1392" s="25" t="str">
        <f ca="1">IFERROR(__xludf.DUMMYFUNCTION("""COMPUTED_VALUE"""),"Educa190")</f>
        <v>Educa190</v>
      </c>
      <c r="B1392" s="25"/>
      <c r="C1392" s="55"/>
      <c r="D1392" s="25" t="str">
        <f ca="1">IFERROR(__xludf.DUMMYFUNCTION("""COMPUTED_VALUE"""),"Educación")</f>
        <v>Educación</v>
      </c>
      <c r="E1392" s="25"/>
      <c r="F1392" s="25"/>
      <c r="G1392" s="25"/>
      <c r="H1392" s="25"/>
      <c r="I1392" s="25"/>
      <c r="J1392" s="55"/>
      <c r="K1392" s="25" t="str">
        <f ca="1">IFERROR(__xludf.DUMMYFUNCTION("""COMPUTED_VALUE"""),"Definir fecha")</f>
        <v>Definir fecha</v>
      </c>
      <c r="L1392" s="62"/>
      <c r="M1392" s="25"/>
      <c r="N1392" s="25"/>
      <c r="O1392" s="25">
        <f t="shared" si="0"/>
        <v>0</v>
      </c>
      <c r="P1392" s="25" t="str">
        <f t="shared" si="2"/>
        <v/>
      </c>
      <c r="Q1392" s="25" t="str">
        <f ca="1">IFERROR(__xludf.DUMMYFUNCTION("""COMPUTED_VALUE"""),"Sin defenir")</f>
        <v>Sin defenir</v>
      </c>
      <c r="R1392" s="25"/>
      <c r="S1392" s="55"/>
      <c r="T1392" s="56"/>
      <c r="U1392" s="25"/>
      <c r="V1392" s="25"/>
      <c r="W1392" s="25"/>
      <c r="X1392" s="25"/>
      <c r="Y1392" s="25"/>
      <c r="Z1392" s="25"/>
    </row>
    <row r="1393" spans="1:26" ht="52.5" customHeight="1" x14ac:dyDescent="0.25">
      <c r="A1393" s="25" t="str">
        <f ca="1">IFERROR(__xludf.DUMMYFUNCTION("""COMPUTED_VALUE"""),"Educa191")</f>
        <v>Educa191</v>
      </c>
      <c r="B1393" s="25"/>
      <c r="C1393" s="55"/>
      <c r="D1393" s="25" t="str">
        <f ca="1">IFERROR(__xludf.DUMMYFUNCTION("""COMPUTED_VALUE"""),"Educación")</f>
        <v>Educación</v>
      </c>
      <c r="E1393" s="25"/>
      <c r="F1393" s="25"/>
      <c r="G1393" s="25"/>
      <c r="H1393" s="25"/>
      <c r="I1393" s="25"/>
      <c r="J1393" s="55"/>
      <c r="K1393" s="25" t="str">
        <f ca="1">IFERROR(__xludf.DUMMYFUNCTION("""COMPUTED_VALUE"""),"Definir fecha")</f>
        <v>Definir fecha</v>
      </c>
      <c r="L1393" s="62"/>
      <c r="M1393" s="25"/>
      <c r="N1393" s="25"/>
      <c r="O1393" s="25">
        <f t="shared" si="0"/>
        <v>0</v>
      </c>
      <c r="P1393" s="25" t="str">
        <f t="shared" si="2"/>
        <v/>
      </c>
      <c r="Q1393" s="25" t="str">
        <f ca="1">IFERROR(__xludf.DUMMYFUNCTION("""COMPUTED_VALUE"""),"Sin defenir")</f>
        <v>Sin defenir</v>
      </c>
      <c r="R1393" s="25"/>
      <c r="S1393" s="55"/>
      <c r="T1393" s="56"/>
      <c r="U1393" s="25"/>
      <c r="V1393" s="25"/>
      <c r="W1393" s="25"/>
      <c r="X1393" s="25"/>
      <c r="Y1393" s="25"/>
      <c r="Z1393" s="25"/>
    </row>
    <row r="1394" spans="1:26" ht="52.5" customHeight="1" x14ac:dyDescent="0.25">
      <c r="A1394" s="25" t="str">
        <f ca="1">IFERROR(__xludf.DUMMYFUNCTION("""COMPUTED_VALUE"""),"Educa192")</f>
        <v>Educa192</v>
      </c>
      <c r="B1394" s="25"/>
      <c r="C1394" s="55"/>
      <c r="D1394" s="25" t="str">
        <f ca="1">IFERROR(__xludf.DUMMYFUNCTION("""COMPUTED_VALUE"""),"Educación")</f>
        <v>Educación</v>
      </c>
      <c r="E1394" s="25"/>
      <c r="F1394" s="25"/>
      <c r="G1394" s="25"/>
      <c r="H1394" s="25"/>
      <c r="I1394" s="25"/>
      <c r="J1394" s="55"/>
      <c r="K1394" s="25" t="str">
        <f ca="1">IFERROR(__xludf.DUMMYFUNCTION("""COMPUTED_VALUE"""),"Definir fecha")</f>
        <v>Definir fecha</v>
      </c>
      <c r="L1394" s="62"/>
      <c r="M1394" s="25"/>
      <c r="N1394" s="25"/>
      <c r="O1394" s="25">
        <f t="shared" si="0"/>
        <v>0</v>
      </c>
      <c r="P1394" s="25" t="str">
        <f t="shared" si="2"/>
        <v/>
      </c>
      <c r="Q1394" s="25" t="str">
        <f ca="1">IFERROR(__xludf.DUMMYFUNCTION("""COMPUTED_VALUE"""),"Sin defenir")</f>
        <v>Sin defenir</v>
      </c>
      <c r="R1394" s="25"/>
      <c r="S1394" s="55"/>
      <c r="T1394" s="56"/>
      <c r="U1394" s="25"/>
      <c r="V1394" s="25"/>
      <c r="W1394" s="25"/>
      <c r="X1394" s="25"/>
      <c r="Y1394" s="25"/>
      <c r="Z1394" s="25"/>
    </row>
    <row r="1395" spans="1:26" ht="52.5" customHeight="1" x14ac:dyDescent="0.25">
      <c r="A1395" s="25" t="str">
        <f ca="1">IFERROR(__xludf.DUMMYFUNCTION("""COMPUTED_VALUE"""),"Educa193")</f>
        <v>Educa193</v>
      </c>
      <c r="B1395" s="25"/>
      <c r="C1395" s="55"/>
      <c r="D1395" s="25" t="str">
        <f ca="1">IFERROR(__xludf.DUMMYFUNCTION("""COMPUTED_VALUE"""),"Educación")</f>
        <v>Educación</v>
      </c>
      <c r="E1395" s="25"/>
      <c r="F1395" s="25"/>
      <c r="G1395" s="25"/>
      <c r="H1395" s="25"/>
      <c r="I1395" s="25"/>
      <c r="J1395" s="55"/>
      <c r="K1395" s="25" t="str">
        <f ca="1">IFERROR(__xludf.DUMMYFUNCTION("""COMPUTED_VALUE"""),"Definir fecha")</f>
        <v>Definir fecha</v>
      </c>
      <c r="L1395" s="62"/>
      <c r="M1395" s="25"/>
      <c r="N1395" s="25"/>
      <c r="O1395" s="25">
        <f t="shared" si="0"/>
        <v>0</v>
      </c>
      <c r="P1395" s="25" t="str">
        <f t="shared" si="2"/>
        <v/>
      </c>
      <c r="Q1395" s="25" t="str">
        <f ca="1">IFERROR(__xludf.DUMMYFUNCTION("""COMPUTED_VALUE"""),"Sin defenir")</f>
        <v>Sin defenir</v>
      </c>
      <c r="R1395" s="25"/>
      <c r="S1395" s="55"/>
      <c r="T1395" s="56"/>
      <c r="U1395" s="25"/>
      <c r="V1395" s="25"/>
      <c r="W1395" s="25"/>
      <c r="X1395" s="25"/>
      <c r="Y1395" s="25"/>
      <c r="Z1395" s="25"/>
    </row>
    <row r="1396" spans="1:26" ht="52.5" customHeight="1" x14ac:dyDescent="0.25">
      <c r="A1396" s="25" t="str">
        <f ca="1">IFERROR(__xludf.DUMMYFUNCTION("""COMPUTED_VALUE"""),"Educa194")</f>
        <v>Educa194</v>
      </c>
      <c r="B1396" s="25"/>
      <c r="C1396" s="55"/>
      <c r="D1396" s="25" t="str">
        <f ca="1">IFERROR(__xludf.DUMMYFUNCTION("""COMPUTED_VALUE"""),"Educación")</f>
        <v>Educación</v>
      </c>
      <c r="E1396" s="25"/>
      <c r="F1396" s="25"/>
      <c r="G1396" s="25"/>
      <c r="H1396" s="25"/>
      <c r="I1396" s="25"/>
      <c r="J1396" s="55"/>
      <c r="K1396" s="25" t="str">
        <f ca="1">IFERROR(__xludf.DUMMYFUNCTION("""COMPUTED_VALUE"""),"Definir fecha")</f>
        <v>Definir fecha</v>
      </c>
      <c r="L1396" s="62"/>
      <c r="M1396" s="25"/>
      <c r="N1396" s="25"/>
      <c r="O1396" s="25">
        <f t="shared" si="0"/>
        <v>0</v>
      </c>
      <c r="P1396" s="25" t="str">
        <f t="shared" si="2"/>
        <v/>
      </c>
      <c r="Q1396" s="25" t="str">
        <f ca="1">IFERROR(__xludf.DUMMYFUNCTION("""COMPUTED_VALUE"""),"Sin defenir")</f>
        <v>Sin defenir</v>
      </c>
      <c r="R1396" s="25"/>
      <c r="S1396" s="55"/>
      <c r="T1396" s="56"/>
      <c r="U1396" s="25"/>
      <c r="V1396" s="25"/>
      <c r="W1396" s="25"/>
      <c r="X1396" s="25"/>
      <c r="Y1396" s="25"/>
      <c r="Z1396" s="25"/>
    </row>
    <row r="1397" spans="1:26" ht="52.5" customHeight="1" x14ac:dyDescent="0.25">
      <c r="A1397" s="25" t="str">
        <f ca="1">IFERROR(__xludf.DUMMYFUNCTION("""COMPUTED_VALUE"""),"Educa195")</f>
        <v>Educa195</v>
      </c>
      <c r="B1397" s="25"/>
      <c r="C1397" s="55"/>
      <c r="D1397" s="25" t="str">
        <f ca="1">IFERROR(__xludf.DUMMYFUNCTION("""COMPUTED_VALUE"""),"Educación")</f>
        <v>Educación</v>
      </c>
      <c r="E1397" s="25"/>
      <c r="F1397" s="25"/>
      <c r="G1397" s="25"/>
      <c r="H1397" s="25"/>
      <c r="I1397" s="25"/>
      <c r="J1397" s="55"/>
      <c r="K1397" s="25" t="str">
        <f ca="1">IFERROR(__xludf.DUMMYFUNCTION("""COMPUTED_VALUE"""),"Definir fecha")</f>
        <v>Definir fecha</v>
      </c>
      <c r="L1397" s="62"/>
      <c r="M1397" s="25"/>
      <c r="N1397" s="25"/>
      <c r="O1397" s="25">
        <f t="shared" si="0"/>
        <v>0</v>
      </c>
      <c r="P1397" s="25" t="str">
        <f t="shared" si="2"/>
        <v/>
      </c>
      <c r="Q1397" s="25" t="str">
        <f ca="1">IFERROR(__xludf.DUMMYFUNCTION("""COMPUTED_VALUE"""),"Sin defenir")</f>
        <v>Sin defenir</v>
      </c>
      <c r="R1397" s="25"/>
      <c r="S1397" s="55"/>
      <c r="T1397" s="56"/>
      <c r="U1397" s="25"/>
      <c r="V1397" s="25"/>
      <c r="W1397" s="25"/>
      <c r="X1397" s="25"/>
      <c r="Y1397" s="25"/>
      <c r="Z1397" s="25"/>
    </row>
    <row r="1398" spans="1:26" ht="52.5" customHeight="1" x14ac:dyDescent="0.25">
      <c r="A1398" s="25" t="str">
        <f ca="1">IFERROR(__xludf.DUMMYFUNCTION("""COMPUTED_VALUE"""),"Educa196")</f>
        <v>Educa196</v>
      </c>
      <c r="B1398" s="25"/>
      <c r="C1398" s="55"/>
      <c r="D1398" s="25" t="str">
        <f ca="1">IFERROR(__xludf.DUMMYFUNCTION("""COMPUTED_VALUE"""),"Educación")</f>
        <v>Educación</v>
      </c>
      <c r="E1398" s="25"/>
      <c r="F1398" s="25"/>
      <c r="G1398" s="25"/>
      <c r="H1398" s="25"/>
      <c r="I1398" s="25"/>
      <c r="J1398" s="55"/>
      <c r="K1398" s="25" t="str">
        <f ca="1">IFERROR(__xludf.DUMMYFUNCTION("""COMPUTED_VALUE"""),"Definir fecha")</f>
        <v>Definir fecha</v>
      </c>
      <c r="L1398" s="62"/>
      <c r="M1398" s="25"/>
      <c r="N1398" s="25"/>
      <c r="O1398" s="25">
        <f t="shared" si="0"/>
        <v>0</v>
      </c>
      <c r="P1398" s="25" t="str">
        <f t="shared" si="2"/>
        <v/>
      </c>
      <c r="Q1398" s="25" t="str">
        <f ca="1">IFERROR(__xludf.DUMMYFUNCTION("""COMPUTED_VALUE"""),"Sin defenir")</f>
        <v>Sin defenir</v>
      </c>
      <c r="R1398" s="25"/>
      <c r="S1398" s="55"/>
      <c r="T1398" s="56"/>
      <c r="U1398" s="25"/>
      <c r="V1398" s="25"/>
      <c r="W1398" s="25"/>
      <c r="X1398" s="25"/>
      <c r="Y1398" s="25"/>
      <c r="Z1398" s="25"/>
    </row>
    <row r="1399" spans="1:26" ht="52.5" customHeight="1" x14ac:dyDescent="0.25">
      <c r="A1399" s="25" t="str">
        <f ca="1">IFERROR(__xludf.DUMMYFUNCTION("""COMPUTED_VALUE"""),"Educa197")</f>
        <v>Educa197</v>
      </c>
      <c r="B1399" s="25"/>
      <c r="C1399" s="55"/>
      <c r="D1399" s="25" t="str">
        <f ca="1">IFERROR(__xludf.DUMMYFUNCTION("""COMPUTED_VALUE"""),"Educación")</f>
        <v>Educación</v>
      </c>
      <c r="E1399" s="25"/>
      <c r="F1399" s="25"/>
      <c r="G1399" s="25"/>
      <c r="H1399" s="25"/>
      <c r="I1399" s="25"/>
      <c r="J1399" s="55"/>
      <c r="K1399" s="25" t="str">
        <f ca="1">IFERROR(__xludf.DUMMYFUNCTION("""COMPUTED_VALUE"""),"Definir fecha")</f>
        <v>Definir fecha</v>
      </c>
      <c r="L1399" s="62"/>
      <c r="M1399" s="25"/>
      <c r="N1399" s="25"/>
      <c r="O1399" s="25">
        <f t="shared" si="0"/>
        <v>0</v>
      </c>
      <c r="P1399" s="25" t="str">
        <f t="shared" si="2"/>
        <v/>
      </c>
      <c r="Q1399" s="25" t="str">
        <f ca="1">IFERROR(__xludf.DUMMYFUNCTION("""COMPUTED_VALUE"""),"Sin defenir")</f>
        <v>Sin defenir</v>
      </c>
      <c r="R1399" s="25"/>
      <c r="S1399" s="55"/>
      <c r="T1399" s="56"/>
      <c r="U1399" s="25"/>
      <c r="V1399" s="25"/>
      <c r="W1399" s="25"/>
      <c r="X1399" s="25"/>
      <c r="Y1399" s="25"/>
      <c r="Z1399" s="25"/>
    </row>
    <row r="1400" spans="1:26" ht="52.5" customHeight="1" x14ac:dyDescent="0.25">
      <c r="A1400" s="25" t="str">
        <f ca="1">IFERROR(__xludf.DUMMYFUNCTION("""COMPUTED_VALUE"""),"Educa198")</f>
        <v>Educa198</v>
      </c>
      <c r="B1400" s="25"/>
      <c r="C1400" s="55"/>
      <c r="D1400" s="25" t="str">
        <f ca="1">IFERROR(__xludf.DUMMYFUNCTION("""COMPUTED_VALUE"""),"Educación")</f>
        <v>Educación</v>
      </c>
      <c r="E1400" s="25"/>
      <c r="F1400" s="25"/>
      <c r="G1400" s="25"/>
      <c r="H1400" s="25"/>
      <c r="I1400" s="25"/>
      <c r="J1400" s="55"/>
      <c r="K1400" s="25" t="str">
        <f ca="1">IFERROR(__xludf.DUMMYFUNCTION("""COMPUTED_VALUE"""),"Definir fecha")</f>
        <v>Definir fecha</v>
      </c>
      <c r="L1400" s="62"/>
      <c r="M1400" s="25"/>
      <c r="N1400" s="25"/>
      <c r="O1400" s="25">
        <f t="shared" si="0"/>
        <v>0</v>
      </c>
      <c r="P1400" s="25" t="str">
        <f t="shared" si="2"/>
        <v/>
      </c>
      <c r="Q1400" s="25" t="str">
        <f ca="1">IFERROR(__xludf.DUMMYFUNCTION("""COMPUTED_VALUE"""),"Sin defenir")</f>
        <v>Sin defenir</v>
      </c>
      <c r="R1400" s="25"/>
      <c r="S1400" s="55"/>
      <c r="T1400" s="56"/>
      <c r="U1400" s="25"/>
      <c r="V1400" s="25"/>
      <c r="W1400" s="25"/>
      <c r="X1400" s="25"/>
      <c r="Y1400" s="25"/>
      <c r="Z1400" s="25"/>
    </row>
    <row r="1401" spans="1:26" ht="52.5" customHeight="1" x14ac:dyDescent="0.25">
      <c r="A1401" s="25" t="str">
        <f ca="1">IFERROR(__xludf.DUMMYFUNCTION("""COMPUTED_VALUE"""),"Educa199")</f>
        <v>Educa199</v>
      </c>
      <c r="B1401" s="25"/>
      <c r="C1401" s="55"/>
      <c r="D1401" s="25" t="str">
        <f ca="1">IFERROR(__xludf.DUMMYFUNCTION("""COMPUTED_VALUE"""),"Educación")</f>
        <v>Educación</v>
      </c>
      <c r="E1401" s="25"/>
      <c r="F1401" s="25"/>
      <c r="G1401" s="25"/>
      <c r="H1401" s="25"/>
      <c r="I1401" s="25"/>
      <c r="J1401" s="55"/>
      <c r="K1401" s="25" t="str">
        <f ca="1">IFERROR(__xludf.DUMMYFUNCTION("""COMPUTED_VALUE"""),"Definir fecha")</f>
        <v>Definir fecha</v>
      </c>
      <c r="L1401" s="62"/>
      <c r="M1401" s="25"/>
      <c r="N1401" s="25"/>
      <c r="O1401" s="25">
        <f t="shared" si="0"/>
        <v>0</v>
      </c>
      <c r="P1401" s="25" t="str">
        <f t="shared" si="2"/>
        <v/>
      </c>
      <c r="Q1401" s="25" t="str">
        <f ca="1">IFERROR(__xludf.DUMMYFUNCTION("""COMPUTED_VALUE"""),"Sin defenir")</f>
        <v>Sin defenir</v>
      </c>
      <c r="R1401" s="25"/>
      <c r="S1401" s="55"/>
      <c r="T1401" s="56"/>
      <c r="U1401" s="25"/>
      <c r="V1401" s="25"/>
      <c r="W1401" s="25"/>
      <c r="X1401" s="25"/>
      <c r="Y1401" s="25"/>
      <c r="Z1401" s="25"/>
    </row>
    <row r="1402" spans="1:26" ht="52.5" customHeight="1" x14ac:dyDescent="0.25">
      <c r="A1402" s="25" t="str">
        <f ca="1">IFERROR(__xludf.DUMMYFUNCTION("""COMPUTED_VALUE"""),"Educa200")</f>
        <v>Educa200</v>
      </c>
      <c r="B1402" s="25"/>
      <c r="C1402" s="55"/>
      <c r="D1402" s="25" t="str">
        <f ca="1">IFERROR(__xludf.DUMMYFUNCTION("""COMPUTED_VALUE"""),"Educación")</f>
        <v>Educación</v>
      </c>
      <c r="E1402" s="25"/>
      <c r="F1402" s="25"/>
      <c r="G1402" s="25"/>
      <c r="H1402" s="25"/>
      <c r="I1402" s="25"/>
      <c r="J1402" s="55"/>
      <c r="K1402" s="25" t="str">
        <f ca="1">IFERROR(__xludf.DUMMYFUNCTION("""COMPUTED_VALUE"""),"Definir fecha")</f>
        <v>Definir fecha</v>
      </c>
      <c r="L1402" s="62"/>
      <c r="M1402" s="25"/>
      <c r="N1402" s="25"/>
      <c r="O1402" s="25">
        <f t="shared" si="0"/>
        <v>0</v>
      </c>
      <c r="P1402" s="25" t="str">
        <f t="shared" si="2"/>
        <v/>
      </c>
      <c r="Q1402" s="25" t="str">
        <f ca="1">IFERROR(__xludf.DUMMYFUNCTION("""COMPUTED_VALUE"""),"Sin defenir")</f>
        <v>Sin defenir</v>
      </c>
      <c r="R1402" s="25"/>
      <c r="S1402" s="55"/>
      <c r="T1402" s="56"/>
      <c r="U1402" s="25"/>
      <c r="V1402" s="25"/>
      <c r="W1402" s="25"/>
      <c r="X1402" s="25"/>
      <c r="Y1402" s="25"/>
      <c r="Z1402" s="25"/>
    </row>
    <row r="1403" spans="1:26" ht="52.5" customHeight="1" x14ac:dyDescent="0.25">
      <c r="A1403" s="25" t="str">
        <f ca="1">IFERROR(__xludf.DUMMYFUNCTION("""COMPUTED_VALUE"""),"Educa201")</f>
        <v>Educa201</v>
      </c>
      <c r="B1403" s="25"/>
      <c r="C1403" s="55"/>
      <c r="D1403" s="25" t="str">
        <f ca="1">IFERROR(__xludf.DUMMYFUNCTION("""COMPUTED_VALUE"""),"Educación")</f>
        <v>Educación</v>
      </c>
      <c r="E1403" s="25"/>
      <c r="F1403" s="25"/>
      <c r="G1403" s="25"/>
      <c r="H1403" s="25"/>
      <c r="I1403" s="25"/>
      <c r="J1403" s="55"/>
      <c r="K1403" s="25" t="str">
        <f ca="1">IFERROR(__xludf.DUMMYFUNCTION("""COMPUTED_VALUE"""),"Definir fecha")</f>
        <v>Definir fecha</v>
      </c>
      <c r="L1403" s="62"/>
      <c r="M1403" s="25"/>
      <c r="N1403" s="25"/>
      <c r="O1403" s="25">
        <f t="shared" si="0"/>
        <v>0</v>
      </c>
      <c r="P1403" s="25" t="str">
        <f t="shared" si="2"/>
        <v/>
      </c>
      <c r="Q1403" s="25" t="str">
        <f ca="1">IFERROR(__xludf.DUMMYFUNCTION("""COMPUTED_VALUE"""),"Sin defenir")</f>
        <v>Sin defenir</v>
      </c>
      <c r="R1403" s="25"/>
      <c r="S1403" s="55"/>
      <c r="T1403" s="56"/>
      <c r="U1403" s="25"/>
      <c r="V1403" s="25"/>
      <c r="W1403" s="25"/>
      <c r="X1403" s="25"/>
      <c r="Y1403" s="25"/>
      <c r="Z1403" s="25"/>
    </row>
    <row r="1404" spans="1:26" ht="52.5" customHeight="1" x14ac:dyDescent="0.25">
      <c r="A1404" s="25" t="str">
        <f ca="1">IFERROR(__xludf.DUMMYFUNCTION("""COMPUTED_VALUE"""),"Educa202")</f>
        <v>Educa202</v>
      </c>
      <c r="B1404" s="25"/>
      <c r="C1404" s="55"/>
      <c r="D1404" s="25" t="str">
        <f ca="1">IFERROR(__xludf.DUMMYFUNCTION("""COMPUTED_VALUE"""),"Educación")</f>
        <v>Educación</v>
      </c>
      <c r="E1404" s="25"/>
      <c r="F1404" s="25"/>
      <c r="G1404" s="25"/>
      <c r="H1404" s="25"/>
      <c r="I1404" s="25"/>
      <c r="J1404" s="55"/>
      <c r="K1404" s="25" t="str">
        <f ca="1">IFERROR(__xludf.DUMMYFUNCTION("""COMPUTED_VALUE"""),"Definir fecha")</f>
        <v>Definir fecha</v>
      </c>
      <c r="L1404" s="62"/>
      <c r="M1404" s="25"/>
      <c r="N1404" s="25"/>
      <c r="O1404" s="25">
        <f t="shared" si="0"/>
        <v>0</v>
      </c>
      <c r="P1404" s="25" t="str">
        <f t="shared" si="2"/>
        <v/>
      </c>
      <c r="Q1404" s="25" t="str">
        <f ca="1">IFERROR(__xludf.DUMMYFUNCTION("""COMPUTED_VALUE"""),"Sin defenir")</f>
        <v>Sin defenir</v>
      </c>
      <c r="R1404" s="25"/>
      <c r="S1404" s="55"/>
      <c r="T1404" s="56"/>
      <c r="U1404" s="25"/>
      <c r="V1404" s="25"/>
      <c r="W1404" s="25"/>
      <c r="X1404" s="25"/>
      <c r="Y1404" s="25"/>
      <c r="Z1404" s="25"/>
    </row>
    <row r="1405" spans="1:26" ht="52.5" customHeight="1" x14ac:dyDescent="0.25">
      <c r="A1405" s="25" t="str">
        <f ca="1">IFERROR(__xludf.DUMMYFUNCTION("""COMPUTED_VALUE"""),"Educa203")</f>
        <v>Educa203</v>
      </c>
      <c r="B1405" s="25"/>
      <c r="C1405" s="55"/>
      <c r="D1405" s="25" t="str">
        <f ca="1">IFERROR(__xludf.DUMMYFUNCTION("""COMPUTED_VALUE"""),"Educación")</f>
        <v>Educación</v>
      </c>
      <c r="E1405" s="25"/>
      <c r="F1405" s="25"/>
      <c r="G1405" s="25"/>
      <c r="H1405" s="25"/>
      <c r="I1405" s="25"/>
      <c r="J1405" s="55"/>
      <c r="K1405" s="25" t="str">
        <f ca="1">IFERROR(__xludf.DUMMYFUNCTION("""COMPUTED_VALUE"""),"Definir fecha")</f>
        <v>Definir fecha</v>
      </c>
      <c r="L1405" s="62"/>
      <c r="M1405" s="25"/>
      <c r="N1405" s="25"/>
      <c r="O1405" s="25">
        <f t="shared" si="0"/>
        <v>0</v>
      </c>
      <c r="P1405" s="25" t="str">
        <f t="shared" si="2"/>
        <v/>
      </c>
      <c r="Q1405" s="25" t="str">
        <f ca="1">IFERROR(__xludf.DUMMYFUNCTION("""COMPUTED_VALUE"""),"Sin defenir")</f>
        <v>Sin defenir</v>
      </c>
      <c r="R1405" s="25"/>
      <c r="S1405" s="55"/>
      <c r="T1405" s="56"/>
      <c r="U1405" s="25"/>
      <c r="V1405" s="25"/>
      <c r="W1405" s="25"/>
      <c r="X1405" s="25"/>
      <c r="Y1405" s="25"/>
      <c r="Z1405" s="25"/>
    </row>
    <row r="1406" spans="1:26" ht="52.5" customHeight="1" x14ac:dyDescent="0.25">
      <c r="A1406" s="25" t="str">
        <f ca="1">IFERROR(__xludf.DUMMYFUNCTION("""COMPUTED_VALUE"""),"Educa204")</f>
        <v>Educa204</v>
      </c>
      <c r="B1406" s="25"/>
      <c r="C1406" s="55"/>
      <c r="D1406" s="25" t="str">
        <f ca="1">IFERROR(__xludf.DUMMYFUNCTION("""COMPUTED_VALUE"""),"Educación")</f>
        <v>Educación</v>
      </c>
      <c r="E1406" s="25"/>
      <c r="F1406" s="25"/>
      <c r="G1406" s="25"/>
      <c r="H1406" s="25"/>
      <c r="I1406" s="25"/>
      <c r="J1406" s="55"/>
      <c r="K1406" s="25" t="str">
        <f ca="1">IFERROR(__xludf.DUMMYFUNCTION("""COMPUTED_VALUE"""),"Definir fecha")</f>
        <v>Definir fecha</v>
      </c>
      <c r="L1406" s="62"/>
      <c r="M1406" s="25"/>
      <c r="N1406" s="25"/>
      <c r="O1406" s="25">
        <f t="shared" si="0"/>
        <v>0</v>
      </c>
      <c r="P1406" s="25" t="str">
        <f t="shared" si="2"/>
        <v/>
      </c>
      <c r="Q1406" s="25" t="str">
        <f ca="1">IFERROR(__xludf.DUMMYFUNCTION("""COMPUTED_VALUE"""),"Sin defenir")</f>
        <v>Sin defenir</v>
      </c>
      <c r="R1406" s="25"/>
      <c r="S1406" s="55"/>
      <c r="T1406" s="56"/>
      <c r="U1406" s="25"/>
      <c r="V1406" s="25"/>
      <c r="W1406" s="25"/>
      <c r="X1406" s="25"/>
      <c r="Y1406" s="25"/>
      <c r="Z1406" s="25"/>
    </row>
    <row r="1407" spans="1:26" ht="52.5" customHeight="1" x14ac:dyDescent="0.25">
      <c r="A1407" s="25" t="str">
        <f ca="1">IFERROR(__xludf.DUMMYFUNCTION("""COMPUTED_VALUE"""),"Educa205")</f>
        <v>Educa205</v>
      </c>
      <c r="B1407" s="25"/>
      <c r="C1407" s="55"/>
      <c r="D1407" s="25" t="str">
        <f ca="1">IFERROR(__xludf.DUMMYFUNCTION("""COMPUTED_VALUE"""),"Educación")</f>
        <v>Educación</v>
      </c>
      <c r="E1407" s="25"/>
      <c r="F1407" s="25"/>
      <c r="G1407" s="25"/>
      <c r="H1407" s="25"/>
      <c r="I1407" s="25"/>
      <c r="J1407" s="55"/>
      <c r="K1407" s="25" t="str">
        <f ca="1">IFERROR(__xludf.DUMMYFUNCTION("""COMPUTED_VALUE"""),"Definir fecha")</f>
        <v>Definir fecha</v>
      </c>
      <c r="L1407" s="62"/>
      <c r="M1407" s="25"/>
      <c r="N1407" s="25"/>
      <c r="O1407" s="25">
        <f t="shared" si="0"/>
        <v>0</v>
      </c>
      <c r="P1407" s="25" t="str">
        <f t="shared" si="2"/>
        <v/>
      </c>
      <c r="Q1407" s="25" t="str">
        <f ca="1">IFERROR(__xludf.DUMMYFUNCTION("""COMPUTED_VALUE"""),"Sin defenir")</f>
        <v>Sin defenir</v>
      </c>
      <c r="R1407" s="25"/>
      <c r="S1407" s="55"/>
      <c r="T1407" s="56"/>
      <c r="U1407" s="25"/>
      <c r="V1407" s="25"/>
      <c r="W1407" s="25"/>
      <c r="X1407" s="25"/>
      <c r="Y1407" s="25"/>
      <c r="Z1407" s="25"/>
    </row>
    <row r="1408" spans="1:26" ht="52.5" customHeight="1" x14ac:dyDescent="0.25">
      <c r="A1408" s="25" t="str">
        <f ca="1">IFERROR(__xludf.DUMMYFUNCTION("""COMPUTED_VALUE"""),"Educa206")</f>
        <v>Educa206</v>
      </c>
      <c r="B1408" s="25"/>
      <c r="C1408" s="55"/>
      <c r="D1408" s="25" t="str">
        <f ca="1">IFERROR(__xludf.DUMMYFUNCTION("""COMPUTED_VALUE"""),"Educación")</f>
        <v>Educación</v>
      </c>
      <c r="E1408" s="25"/>
      <c r="F1408" s="25"/>
      <c r="G1408" s="25"/>
      <c r="H1408" s="25"/>
      <c r="I1408" s="25"/>
      <c r="J1408" s="55"/>
      <c r="K1408" s="25" t="str">
        <f ca="1">IFERROR(__xludf.DUMMYFUNCTION("""COMPUTED_VALUE"""),"Definir fecha")</f>
        <v>Definir fecha</v>
      </c>
      <c r="L1408" s="62"/>
      <c r="M1408" s="25"/>
      <c r="N1408" s="25"/>
      <c r="O1408" s="25">
        <f t="shared" si="0"/>
        <v>0</v>
      </c>
      <c r="P1408" s="25" t="str">
        <f t="shared" si="2"/>
        <v/>
      </c>
      <c r="Q1408" s="25" t="str">
        <f ca="1">IFERROR(__xludf.DUMMYFUNCTION("""COMPUTED_VALUE"""),"Sin defenir")</f>
        <v>Sin defenir</v>
      </c>
      <c r="R1408" s="25"/>
      <c r="S1408" s="55"/>
      <c r="T1408" s="56"/>
      <c r="U1408" s="25"/>
      <c r="V1408" s="25"/>
      <c r="W1408" s="25"/>
      <c r="X1408" s="25"/>
      <c r="Y1408" s="25"/>
      <c r="Z1408" s="25"/>
    </row>
    <row r="1409" spans="1:26" ht="52.5" customHeight="1" x14ac:dyDescent="0.25">
      <c r="A1409" s="25" t="str">
        <f ca="1">IFERROR(__xludf.DUMMYFUNCTION("""COMPUTED_VALUE"""),"Educa207")</f>
        <v>Educa207</v>
      </c>
      <c r="B1409" s="25"/>
      <c r="C1409" s="55"/>
      <c r="D1409" s="25" t="str">
        <f ca="1">IFERROR(__xludf.DUMMYFUNCTION("""COMPUTED_VALUE"""),"Educación")</f>
        <v>Educación</v>
      </c>
      <c r="E1409" s="25"/>
      <c r="F1409" s="25"/>
      <c r="G1409" s="25"/>
      <c r="H1409" s="25"/>
      <c r="I1409" s="25"/>
      <c r="J1409" s="55"/>
      <c r="K1409" s="25" t="str">
        <f ca="1">IFERROR(__xludf.DUMMYFUNCTION("""COMPUTED_VALUE"""),"Definir fecha")</f>
        <v>Definir fecha</v>
      </c>
      <c r="L1409" s="62"/>
      <c r="M1409" s="25"/>
      <c r="N1409" s="25"/>
      <c r="O1409" s="25">
        <f t="shared" si="0"/>
        <v>0</v>
      </c>
      <c r="P1409" s="25" t="str">
        <f t="shared" si="2"/>
        <v/>
      </c>
      <c r="Q1409" s="25" t="str">
        <f ca="1">IFERROR(__xludf.DUMMYFUNCTION("""COMPUTED_VALUE"""),"Sin defenir")</f>
        <v>Sin defenir</v>
      </c>
      <c r="R1409" s="25"/>
      <c r="S1409" s="55"/>
      <c r="T1409" s="56"/>
      <c r="U1409" s="25"/>
      <c r="V1409" s="25"/>
      <c r="W1409" s="25"/>
      <c r="X1409" s="25"/>
      <c r="Y1409" s="25"/>
      <c r="Z1409" s="25"/>
    </row>
    <row r="1410" spans="1:26" ht="52.5" customHeight="1" x14ac:dyDescent="0.25">
      <c r="A1410" s="25" t="str">
        <f ca="1">IFERROR(__xludf.DUMMYFUNCTION("""COMPUTED_VALUE"""),"Educa208")</f>
        <v>Educa208</v>
      </c>
      <c r="B1410" s="25"/>
      <c r="C1410" s="55"/>
      <c r="D1410" s="25" t="str">
        <f ca="1">IFERROR(__xludf.DUMMYFUNCTION("""COMPUTED_VALUE"""),"Educación")</f>
        <v>Educación</v>
      </c>
      <c r="E1410" s="25"/>
      <c r="F1410" s="25"/>
      <c r="G1410" s="25"/>
      <c r="H1410" s="25"/>
      <c r="I1410" s="25"/>
      <c r="J1410" s="55"/>
      <c r="K1410" s="25" t="str">
        <f ca="1">IFERROR(__xludf.DUMMYFUNCTION("""COMPUTED_VALUE"""),"Definir fecha")</f>
        <v>Definir fecha</v>
      </c>
      <c r="L1410" s="62"/>
      <c r="M1410" s="25"/>
      <c r="N1410" s="25"/>
      <c r="O1410" s="25">
        <f t="shared" si="0"/>
        <v>0</v>
      </c>
      <c r="P1410" s="25" t="str">
        <f t="shared" si="2"/>
        <v/>
      </c>
      <c r="Q1410" s="25" t="str">
        <f ca="1">IFERROR(__xludf.DUMMYFUNCTION("""COMPUTED_VALUE"""),"Sin defenir")</f>
        <v>Sin defenir</v>
      </c>
      <c r="R1410" s="25"/>
      <c r="S1410" s="55"/>
      <c r="T1410" s="56"/>
      <c r="U1410" s="25"/>
      <c r="V1410" s="25"/>
      <c r="W1410" s="25"/>
      <c r="X1410" s="25"/>
      <c r="Y1410" s="25"/>
      <c r="Z1410" s="25"/>
    </row>
    <row r="1411" spans="1:26" ht="52.5" customHeight="1" x14ac:dyDescent="0.25">
      <c r="A1411" s="25" t="str">
        <f ca="1">IFERROR(__xludf.DUMMYFUNCTION("""COMPUTED_VALUE"""),"Educa209")</f>
        <v>Educa209</v>
      </c>
      <c r="B1411" s="25"/>
      <c r="C1411" s="55"/>
      <c r="D1411" s="25" t="str">
        <f ca="1">IFERROR(__xludf.DUMMYFUNCTION("""COMPUTED_VALUE"""),"Educación")</f>
        <v>Educación</v>
      </c>
      <c r="E1411" s="25"/>
      <c r="F1411" s="25"/>
      <c r="G1411" s="25"/>
      <c r="H1411" s="25"/>
      <c r="I1411" s="25"/>
      <c r="J1411" s="55"/>
      <c r="K1411" s="25" t="str">
        <f ca="1">IFERROR(__xludf.DUMMYFUNCTION("""COMPUTED_VALUE"""),"Definir fecha")</f>
        <v>Definir fecha</v>
      </c>
      <c r="L1411" s="62"/>
      <c r="M1411" s="25"/>
      <c r="N1411" s="25"/>
      <c r="O1411" s="25">
        <f t="shared" si="0"/>
        <v>0</v>
      </c>
      <c r="P1411" s="25" t="str">
        <f t="shared" si="2"/>
        <v/>
      </c>
      <c r="Q1411" s="25" t="str">
        <f ca="1">IFERROR(__xludf.DUMMYFUNCTION("""COMPUTED_VALUE"""),"Sin defenir")</f>
        <v>Sin defenir</v>
      </c>
      <c r="R1411" s="25"/>
      <c r="S1411" s="55"/>
      <c r="T1411" s="56"/>
      <c r="U1411" s="25"/>
      <c r="V1411" s="25"/>
      <c r="W1411" s="25"/>
      <c r="X1411" s="25"/>
      <c r="Y1411" s="25"/>
      <c r="Z1411" s="25"/>
    </row>
    <row r="1412" spans="1:26" ht="52.5" customHeight="1" x14ac:dyDescent="0.25">
      <c r="A1412" s="25" t="str">
        <f ca="1">IFERROR(__xludf.DUMMYFUNCTION("""COMPUTED_VALUE"""),"Educa210")</f>
        <v>Educa210</v>
      </c>
      <c r="B1412" s="25"/>
      <c r="C1412" s="55"/>
      <c r="D1412" s="25" t="str">
        <f ca="1">IFERROR(__xludf.DUMMYFUNCTION("""COMPUTED_VALUE"""),"Educación")</f>
        <v>Educación</v>
      </c>
      <c r="E1412" s="25"/>
      <c r="F1412" s="25"/>
      <c r="G1412" s="25"/>
      <c r="H1412" s="25"/>
      <c r="I1412" s="25"/>
      <c r="J1412" s="55"/>
      <c r="K1412" s="25" t="str">
        <f ca="1">IFERROR(__xludf.DUMMYFUNCTION("""COMPUTED_VALUE"""),"Definir fecha")</f>
        <v>Definir fecha</v>
      </c>
      <c r="L1412" s="62"/>
      <c r="M1412" s="25"/>
      <c r="N1412" s="25"/>
      <c r="O1412" s="25">
        <f t="shared" si="0"/>
        <v>0</v>
      </c>
      <c r="P1412" s="25" t="str">
        <f t="shared" si="2"/>
        <v/>
      </c>
      <c r="Q1412" s="25" t="str">
        <f ca="1">IFERROR(__xludf.DUMMYFUNCTION("""COMPUTED_VALUE"""),"Sin defenir")</f>
        <v>Sin defenir</v>
      </c>
      <c r="R1412" s="25"/>
      <c r="S1412" s="55"/>
      <c r="T1412" s="56"/>
      <c r="U1412" s="25"/>
      <c r="V1412" s="25"/>
      <c r="W1412" s="25"/>
      <c r="X1412" s="25"/>
      <c r="Y1412" s="25"/>
      <c r="Z1412" s="25"/>
    </row>
    <row r="1413" spans="1:26" ht="52.5" customHeight="1" x14ac:dyDescent="0.25">
      <c r="A1413" s="25" t="str">
        <f ca="1">IFERROR(__xludf.DUMMYFUNCTION("""COMPUTED_VALUE"""),"Educa211")</f>
        <v>Educa211</v>
      </c>
      <c r="B1413" s="25"/>
      <c r="C1413" s="55"/>
      <c r="D1413" s="25" t="str">
        <f ca="1">IFERROR(__xludf.DUMMYFUNCTION("""COMPUTED_VALUE"""),"Educación")</f>
        <v>Educación</v>
      </c>
      <c r="E1413" s="25"/>
      <c r="F1413" s="25"/>
      <c r="G1413" s="25"/>
      <c r="H1413" s="25"/>
      <c r="I1413" s="25"/>
      <c r="J1413" s="55"/>
      <c r="K1413" s="25" t="str">
        <f ca="1">IFERROR(__xludf.DUMMYFUNCTION("""COMPUTED_VALUE"""),"Definir fecha")</f>
        <v>Definir fecha</v>
      </c>
      <c r="L1413" s="62"/>
      <c r="M1413" s="25"/>
      <c r="N1413" s="25"/>
      <c r="O1413" s="25">
        <f t="shared" si="0"/>
        <v>0</v>
      </c>
      <c r="P1413" s="25" t="str">
        <f t="shared" si="2"/>
        <v/>
      </c>
      <c r="Q1413" s="25" t="str">
        <f ca="1">IFERROR(__xludf.DUMMYFUNCTION("""COMPUTED_VALUE"""),"Sin defenir")</f>
        <v>Sin defenir</v>
      </c>
      <c r="R1413" s="25"/>
      <c r="S1413" s="55"/>
      <c r="T1413" s="56"/>
      <c r="U1413" s="25"/>
      <c r="V1413" s="25"/>
      <c r="W1413" s="25"/>
      <c r="X1413" s="25"/>
      <c r="Y1413" s="25"/>
      <c r="Z1413" s="25"/>
    </row>
    <row r="1414" spans="1:26" ht="52.5" customHeight="1" x14ac:dyDescent="0.25">
      <c r="A1414" s="25" t="str">
        <f ca="1">IFERROR(__xludf.DUMMYFUNCTION("""COMPUTED_VALUE"""),"Educa212")</f>
        <v>Educa212</v>
      </c>
      <c r="B1414" s="25"/>
      <c r="C1414" s="55"/>
      <c r="D1414" s="25" t="str">
        <f ca="1">IFERROR(__xludf.DUMMYFUNCTION("""COMPUTED_VALUE"""),"Educación")</f>
        <v>Educación</v>
      </c>
      <c r="E1414" s="25"/>
      <c r="F1414" s="25"/>
      <c r="G1414" s="25"/>
      <c r="H1414" s="25"/>
      <c r="I1414" s="25"/>
      <c r="J1414" s="55"/>
      <c r="K1414" s="25" t="str">
        <f ca="1">IFERROR(__xludf.DUMMYFUNCTION("""COMPUTED_VALUE"""),"Definir fecha")</f>
        <v>Definir fecha</v>
      </c>
      <c r="L1414" s="62"/>
      <c r="M1414" s="25"/>
      <c r="N1414" s="25"/>
      <c r="O1414" s="25">
        <f t="shared" si="0"/>
        <v>0</v>
      </c>
      <c r="P1414" s="25" t="str">
        <f t="shared" si="2"/>
        <v/>
      </c>
      <c r="Q1414" s="25" t="str">
        <f ca="1">IFERROR(__xludf.DUMMYFUNCTION("""COMPUTED_VALUE"""),"Sin defenir")</f>
        <v>Sin defenir</v>
      </c>
      <c r="R1414" s="25"/>
      <c r="S1414" s="55"/>
      <c r="T1414" s="56"/>
      <c r="U1414" s="25"/>
      <c r="V1414" s="25"/>
      <c r="W1414" s="25"/>
      <c r="X1414" s="25"/>
      <c r="Y1414" s="25"/>
      <c r="Z1414" s="25"/>
    </row>
    <row r="1415" spans="1:26" ht="52.5" customHeight="1" x14ac:dyDescent="0.25">
      <c r="A1415" s="25" t="str">
        <f ca="1">IFERROR(__xludf.DUMMYFUNCTION("""COMPUTED_VALUE"""),"Educa213")</f>
        <v>Educa213</v>
      </c>
      <c r="B1415" s="25"/>
      <c r="C1415" s="55"/>
      <c r="D1415" s="25" t="str">
        <f ca="1">IFERROR(__xludf.DUMMYFUNCTION("""COMPUTED_VALUE"""),"Educación")</f>
        <v>Educación</v>
      </c>
      <c r="E1415" s="25"/>
      <c r="F1415" s="25"/>
      <c r="G1415" s="25"/>
      <c r="H1415" s="25"/>
      <c r="I1415" s="25"/>
      <c r="J1415" s="55"/>
      <c r="K1415" s="25" t="str">
        <f ca="1">IFERROR(__xludf.DUMMYFUNCTION("""COMPUTED_VALUE"""),"Definir fecha")</f>
        <v>Definir fecha</v>
      </c>
      <c r="L1415" s="62"/>
      <c r="M1415" s="25"/>
      <c r="N1415" s="25"/>
      <c r="O1415" s="25">
        <f t="shared" si="0"/>
        <v>0</v>
      </c>
      <c r="P1415" s="25" t="str">
        <f t="shared" si="2"/>
        <v/>
      </c>
      <c r="Q1415" s="25" t="str">
        <f ca="1">IFERROR(__xludf.DUMMYFUNCTION("""COMPUTED_VALUE"""),"Sin defenir")</f>
        <v>Sin defenir</v>
      </c>
      <c r="R1415" s="25"/>
      <c r="S1415" s="55"/>
      <c r="T1415" s="56"/>
      <c r="U1415" s="25"/>
      <c r="V1415" s="25"/>
      <c r="W1415" s="25"/>
      <c r="X1415" s="25"/>
      <c r="Y1415" s="25"/>
      <c r="Z1415" s="25"/>
    </row>
    <row r="1416" spans="1:26" ht="52.5" customHeight="1" x14ac:dyDescent="0.25">
      <c r="A1416" s="25" t="str">
        <f ca="1">IFERROR(__xludf.DUMMYFUNCTION("""COMPUTED_VALUE"""),"Educa214")</f>
        <v>Educa214</v>
      </c>
      <c r="B1416" s="25"/>
      <c r="C1416" s="55"/>
      <c r="D1416" s="25" t="str">
        <f ca="1">IFERROR(__xludf.DUMMYFUNCTION("""COMPUTED_VALUE"""),"Educación")</f>
        <v>Educación</v>
      </c>
      <c r="E1416" s="25"/>
      <c r="F1416" s="25"/>
      <c r="G1416" s="25"/>
      <c r="H1416" s="25"/>
      <c r="I1416" s="25"/>
      <c r="J1416" s="55"/>
      <c r="K1416" s="25" t="str">
        <f ca="1">IFERROR(__xludf.DUMMYFUNCTION("""COMPUTED_VALUE"""),"Definir fecha")</f>
        <v>Definir fecha</v>
      </c>
      <c r="L1416" s="62"/>
      <c r="M1416" s="25"/>
      <c r="N1416" s="25"/>
      <c r="O1416" s="25">
        <f t="shared" si="0"/>
        <v>0</v>
      </c>
      <c r="P1416" s="25" t="str">
        <f t="shared" si="2"/>
        <v/>
      </c>
      <c r="Q1416" s="25" t="str">
        <f ca="1">IFERROR(__xludf.DUMMYFUNCTION("""COMPUTED_VALUE"""),"Sin defenir")</f>
        <v>Sin defenir</v>
      </c>
      <c r="R1416" s="25"/>
      <c r="S1416" s="55"/>
      <c r="T1416" s="56"/>
      <c r="U1416" s="25"/>
      <c r="V1416" s="25"/>
      <c r="W1416" s="25"/>
      <c r="X1416" s="25"/>
      <c r="Y1416" s="25"/>
      <c r="Z1416" s="25"/>
    </row>
    <row r="1417" spans="1:26" ht="52.5" customHeight="1" x14ac:dyDescent="0.25">
      <c r="A1417" s="25" t="str">
        <f ca="1">IFERROR(__xludf.DUMMYFUNCTION("""COMPUTED_VALUE"""),"Educa215")</f>
        <v>Educa215</v>
      </c>
      <c r="B1417" s="25"/>
      <c r="C1417" s="55"/>
      <c r="D1417" s="25" t="str">
        <f ca="1">IFERROR(__xludf.DUMMYFUNCTION("""COMPUTED_VALUE"""),"Educación")</f>
        <v>Educación</v>
      </c>
      <c r="E1417" s="25"/>
      <c r="F1417" s="25"/>
      <c r="G1417" s="25"/>
      <c r="H1417" s="25"/>
      <c r="I1417" s="25"/>
      <c r="J1417" s="55"/>
      <c r="K1417" s="25" t="str">
        <f ca="1">IFERROR(__xludf.DUMMYFUNCTION("""COMPUTED_VALUE"""),"Definir fecha")</f>
        <v>Definir fecha</v>
      </c>
      <c r="L1417" s="62"/>
      <c r="M1417" s="25"/>
      <c r="N1417" s="25"/>
      <c r="O1417" s="25">
        <f t="shared" si="0"/>
        <v>0</v>
      </c>
      <c r="P1417" s="25" t="str">
        <f t="shared" si="2"/>
        <v/>
      </c>
      <c r="Q1417" s="25" t="str">
        <f ca="1">IFERROR(__xludf.DUMMYFUNCTION("""COMPUTED_VALUE"""),"Sin defenir")</f>
        <v>Sin defenir</v>
      </c>
      <c r="R1417" s="25"/>
      <c r="S1417" s="55"/>
      <c r="T1417" s="56"/>
      <c r="U1417" s="25"/>
      <c r="V1417" s="25"/>
      <c r="W1417" s="25"/>
      <c r="X1417" s="25"/>
      <c r="Y1417" s="25"/>
      <c r="Z1417" s="25"/>
    </row>
    <row r="1418" spans="1:26" ht="52.5" customHeight="1" x14ac:dyDescent="0.25">
      <c r="A1418" s="25" t="str">
        <f ca="1">IFERROR(__xludf.DUMMYFUNCTION("""COMPUTED_VALUE"""),"Educa216")</f>
        <v>Educa216</v>
      </c>
      <c r="B1418" s="25"/>
      <c r="C1418" s="55"/>
      <c r="D1418" s="25" t="str">
        <f ca="1">IFERROR(__xludf.DUMMYFUNCTION("""COMPUTED_VALUE"""),"Educación")</f>
        <v>Educación</v>
      </c>
      <c r="E1418" s="25"/>
      <c r="F1418" s="25"/>
      <c r="G1418" s="25"/>
      <c r="H1418" s="25"/>
      <c r="I1418" s="25"/>
      <c r="J1418" s="55"/>
      <c r="K1418" s="25" t="str">
        <f ca="1">IFERROR(__xludf.DUMMYFUNCTION("""COMPUTED_VALUE"""),"Definir fecha")</f>
        <v>Definir fecha</v>
      </c>
      <c r="L1418" s="62"/>
      <c r="M1418" s="25"/>
      <c r="N1418" s="25"/>
      <c r="O1418" s="25">
        <f t="shared" si="0"/>
        <v>0</v>
      </c>
      <c r="P1418" s="25" t="str">
        <f t="shared" si="2"/>
        <v/>
      </c>
      <c r="Q1418" s="25" t="str">
        <f ca="1">IFERROR(__xludf.DUMMYFUNCTION("""COMPUTED_VALUE"""),"Sin defenir")</f>
        <v>Sin defenir</v>
      </c>
      <c r="R1418" s="25"/>
      <c r="S1418" s="55"/>
      <c r="T1418" s="56"/>
      <c r="U1418" s="25"/>
      <c r="V1418" s="25"/>
      <c r="W1418" s="25"/>
      <c r="X1418" s="25"/>
      <c r="Y1418" s="25"/>
      <c r="Z1418" s="25"/>
    </row>
    <row r="1419" spans="1:26" ht="52.5" customHeight="1" x14ac:dyDescent="0.25">
      <c r="A1419" s="25" t="str">
        <f ca="1">IFERROR(__xludf.DUMMYFUNCTION("""COMPUTED_VALUE"""),"Educa217")</f>
        <v>Educa217</v>
      </c>
      <c r="B1419" s="25"/>
      <c r="C1419" s="55"/>
      <c r="D1419" s="25" t="str">
        <f ca="1">IFERROR(__xludf.DUMMYFUNCTION("""COMPUTED_VALUE"""),"Educación")</f>
        <v>Educación</v>
      </c>
      <c r="E1419" s="25"/>
      <c r="F1419" s="25"/>
      <c r="G1419" s="25"/>
      <c r="H1419" s="25"/>
      <c r="I1419" s="25"/>
      <c r="J1419" s="55"/>
      <c r="K1419" s="25" t="str">
        <f ca="1">IFERROR(__xludf.DUMMYFUNCTION("""COMPUTED_VALUE"""),"Definir fecha")</f>
        <v>Definir fecha</v>
      </c>
      <c r="L1419" s="62"/>
      <c r="M1419" s="25"/>
      <c r="N1419" s="25"/>
      <c r="O1419" s="25">
        <f t="shared" si="0"/>
        <v>0</v>
      </c>
      <c r="P1419" s="25" t="str">
        <f t="shared" si="2"/>
        <v/>
      </c>
      <c r="Q1419" s="25" t="str">
        <f ca="1">IFERROR(__xludf.DUMMYFUNCTION("""COMPUTED_VALUE"""),"Sin defenir")</f>
        <v>Sin defenir</v>
      </c>
      <c r="R1419" s="25"/>
      <c r="S1419" s="55"/>
      <c r="T1419" s="56"/>
      <c r="U1419" s="25"/>
      <c r="V1419" s="25"/>
      <c r="W1419" s="25"/>
      <c r="X1419" s="25"/>
      <c r="Y1419" s="25"/>
      <c r="Z1419" s="25"/>
    </row>
    <row r="1420" spans="1:26" ht="52.5" customHeight="1" x14ac:dyDescent="0.25">
      <c r="A1420" s="25" t="str">
        <f ca="1">IFERROR(__xludf.DUMMYFUNCTION("""COMPUTED_VALUE"""),"Educa218")</f>
        <v>Educa218</v>
      </c>
      <c r="B1420" s="25"/>
      <c r="C1420" s="55"/>
      <c r="D1420" s="25" t="str">
        <f ca="1">IFERROR(__xludf.DUMMYFUNCTION("""COMPUTED_VALUE"""),"Educación")</f>
        <v>Educación</v>
      </c>
      <c r="E1420" s="25"/>
      <c r="F1420" s="25"/>
      <c r="G1420" s="25"/>
      <c r="H1420" s="25"/>
      <c r="I1420" s="25"/>
      <c r="J1420" s="55"/>
      <c r="K1420" s="25" t="str">
        <f ca="1">IFERROR(__xludf.DUMMYFUNCTION("""COMPUTED_VALUE"""),"Definir fecha")</f>
        <v>Definir fecha</v>
      </c>
      <c r="L1420" s="62"/>
      <c r="M1420" s="25"/>
      <c r="N1420" s="25"/>
      <c r="O1420" s="25">
        <f t="shared" si="0"/>
        <v>0</v>
      </c>
      <c r="P1420" s="25" t="str">
        <f t="shared" si="2"/>
        <v/>
      </c>
      <c r="Q1420" s="25" t="str">
        <f ca="1">IFERROR(__xludf.DUMMYFUNCTION("""COMPUTED_VALUE"""),"Sin defenir")</f>
        <v>Sin defenir</v>
      </c>
      <c r="R1420" s="25"/>
      <c r="S1420" s="55"/>
      <c r="T1420" s="56"/>
      <c r="U1420" s="25"/>
      <c r="V1420" s="25"/>
      <c r="W1420" s="25"/>
      <c r="X1420" s="25"/>
      <c r="Y1420" s="25"/>
      <c r="Z1420" s="25"/>
    </row>
    <row r="1421" spans="1:26" ht="52.5" customHeight="1" x14ac:dyDescent="0.25">
      <c r="A1421" s="25" t="str">
        <f ca="1">IFERROR(__xludf.DUMMYFUNCTION("""COMPUTED_VALUE"""),"Educa219")</f>
        <v>Educa219</v>
      </c>
      <c r="B1421" s="25"/>
      <c r="C1421" s="55"/>
      <c r="D1421" s="25" t="str">
        <f ca="1">IFERROR(__xludf.DUMMYFUNCTION("""COMPUTED_VALUE"""),"Educación")</f>
        <v>Educación</v>
      </c>
      <c r="E1421" s="25"/>
      <c r="F1421" s="25"/>
      <c r="G1421" s="25"/>
      <c r="H1421" s="25"/>
      <c r="I1421" s="25"/>
      <c r="J1421" s="55"/>
      <c r="K1421" s="25" t="str">
        <f ca="1">IFERROR(__xludf.DUMMYFUNCTION("""COMPUTED_VALUE"""),"Definir fecha")</f>
        <v>Definir fecha</v>
      </c>
      <c r="L1421" s="62"/>
      <c r="M1421" s="25"/>
      <c r="N1421" s="25"/>
      <c r="O1421" s="25">
        <f t="shared" si="0"/>
        <v>0</v>
      </c>
      <c r="P1421" s="25" t="str">
        <f t="shared" si="2"/>
        <v/>
      </c>
      <c r="Q1421" s="25" t="str">
        <f ca="1">IFERROR(__xludf.DUMMYFUNCTION("""COMPUTED_VALUE"""),"Sin defenir")</f>
        <v>Sin defenir</v>
      </c>
      <c r="R1421" s="25"/>
      <c r="S1421" s="55"/>
      <c r="T1421" s="56"/>
      <c r="U1421" s="25"/>
      <c r="V1421" s="25"/>
      <c r="W1421" s="25"/>
      <c r="X1421" s="25"/>
      <c r="Y1421" s="25"/>
      <c r="Z1421" s="25"/>
    </row>
    <row r="1422" spans="1:26" ht="52.5" customHeight="1" x14ac:dyDescent="0.25">
      <c r="A1422" s="25" t="str">
        <f ca="1">IFERROR(__xludf.DUMMYFUNCTION("""COMPUTED_VALUE"""),"Educa220")</f>
        <v>Educa220</v>
      </c>
      <c r="B1422" s="25"/>
      <c r="C1422" s="55"/>
      <c r="D1422" s="25" t="str">
        <f ca="1">IFERROR(__xludf.DUMMYFUNCTION("""COMPUTED_VALUE"""),"Educación")</f>
        <v>Educación</v>
      </c>
      <c r="E1422" s="25"/>
      <c r="F1422" s="25"/>
      <c r="G1422" s="25"/>
      <c r="H1422" s="25"/>
      <c r="I1422" s="25"/>
      <c r="J1422" s="55"/>
      <c r="K1422" s="25" t="str">
        <f ca="1">IFERROR(__xludf.DUMMYFUNCTION("""COMPUTED_VALUE"""),"Definir fecha")</f>
        <v>Definir fecha</v>
      </c>
      <c r="L1422" s="62"/>
      <c r="M1422" s="25"/>
      <c r="N1422" s="25"/>
      <c r="O1422" s="25">
        <f t="shared" si="0"/>
        <v>0</v>
      </c>
      <c r="P1422" s="25" t="str">
        <f t="shared" si="2"/>
        <v/>
      </c>
      <c r="Q1422" s="25" t="str">
        <f ca="1">IFERROR(__xludf.DUMMYFUNCTION("""COMPUTED_VALUE"""),"Sin defenir")</f>
        <v>Sin defenir</v>
      </c>
      <c r="R1422" s="25"/>
      <c r="S1422" s="55"/>
      <c r="T1422" s="56"/>
      <c r="U1422" s="25"/>
      <c r="V1422" s="25"/>
      <c r="W1422" s="25"/>
      <c r="X1422" s="25"/>
      <c r="Y1422" s="25"/>
      <c r="Z1422" s="25"/>
    </row>
    <row r="1423" spans="1:26" ht="52.5" customHeight="1" x14ac:dyDescent="0.25">
      <c r="A1423" s="25" t="str">
        <f ca="1">IFERROR(__xludf.DUMMYFUNCTION("""COMPUTED_VALUE"""),"Educa221")</f>
        <v>Educa221</v>
      </c>
      <c r="B1423" s="25"/>
      <c r="C1423" s="55"/>
      <c r="D1423" s="25" t="str">
        <f ca="1">IFERROR(__xludf.DUMMYFUNCTION("""COMPUTED_VALUE"""),"Educación")</f>
        <v>Educación</v>
      </c>
      <c r="E1423" s="25"/>
      <c r="F1423" s="25"/>
      <c r="G1423" s="25"/>
      <c r="H1423" s="25"/>
      <c r="I1423" s="25"/>
      <c r="J1423" s="55"/>
      <c r="K1423" s="25" t="str">
        <f ca="1">IFERROR(__xludf.DUMMYFUNCTION("""COMPUTED_VALUE"""),"Definir fecha")</f>
        <v>Definir fecha</v>
      </c>
      <c r="L1423" s="62"/>
      <c r="M1423" s="25"/>
      <c r="N1423" s="25"/>
      <c r="O1423" s="25">
        <f t="shared" si="0"/>
        <v>0</v>
      </c>
      <c r="P1423" s="25" t="str">
        <f t="shared" si="2"/>
        <v/>
      </c>
      <c r="Q1423" s="25" t="str">
        <f ca="1">IFERROR(__xludf.DUMMYFUNCTION("""COMPUTED_VALUE"""),"Sin defenir")</f>
        <v>Sin defenir</v>
      </c>
      <c r="R1423" s="25"/>
      <c r="S1423" s="55"/>
      <c r="T1423" s="56"/>
      <c r="U1423" s="25"/>
      <c r="V1423" s="25"/>
      <c r="W1423" s="25"/>
      <c r="X1423" s="25"/>
      <c r="Y1423" s="25"/>
      <c r="Z1423" s="25"/>
    </row>
    <row r="1424" spans="1:26" ht="52.5" customHeight="1" x14ac:dyDescent="0.25">
      <c r="A1424" s="25" t="str">
        <f ca="1">IFERROR(__xludf.DUMMYFUNCTION("""COMPUTED_VALUE"""),"Educa222")</f>
        <v>Educa222</v>
      </c>
      <c r="B1424" s="25"/>
      <c r="C1424" s="55"/>
      <c r="D1424" s="25" t="str">
        <f ca="1">IFERROR(__xludf.DUMMYFUNCTION("""COMPUTED_VALUE"""),"Educación")</f>
        <v>Educación</v>
      </c>
      <c r="E1424" s="25"/>
      <c r="F1424" s="25"/>
      <c r="G1424" s="25"/>
      <c r="H1424" s="25"/>
      <c r="I1424" s="25"/>
      <c r="J1424" s="55"/>
      <c r="K1424" s="25" t="str">
        <f ca="1">IFERROR(__xludf.DUMMYFUNCTION("""COMPUTED_VALUE"""),"Definir fecha")</f>
        <v>Definir fecha</v>
      </c>
      <c r="L1424" s="62"/>
      <c r="M1424" s="25"/>
      <c r="N1424" s="25"/>
      <c r="O1424" s="25">
        <f t="shared" si="0"/>
        <v>0</v>
      </c>
      <c r="P1424" s="25" t="str">
        <f t="shared" si="2"/>
        <v/>
      </c>
      <c r="Q1424" s="25" t="str">
        <f ca="1">IFERROR(__xludf.DUMMYFUNCTION("""COMPUTED_VALUE"""),"Sin defenir")</f>
        <v>Sin defenir</v>
      </c>
      <c r="R1424" s="25"/>
      <c r="S1424" s="55"/>
      <c r="T1424" s="56"/>
      <c r="U1424" s="25"/>
      <c r="V1424" s="25"/>
      <c r="W1424" s="25"/>
      <c r="X1424" s="25"/>
      <c r="Y1424" s="25"/>
      <c r="Z1424" s="25"/>
    </row>
    <row r="1425" spans="1:26" ht="52.5" customHeight="1" x14ac:dyDescent="0.25">
      <c r="A1425" s="25" t="str">
        <f ca="1">IFERROR(__xludf.DUMMYFUNCTION("""COMPUTED_VALUE"""),"Educa223")</f>
        <v>Educa223</v>
      </c>
      <c r="B1425" s="25"/>
      <c r="C1425" s="55"/>
      <c r="D1425" s="25" t="str">
        <f ca="1">IFERROR(__xludf.DUMMYFUNCTION("""COMPUTED_VALUE"""),"Educación")</f>
        <v>Educación</v>
      </c>
      <c r="E1425" s="25"/>
      <c r="F1425" s="25"/>
      <c r="G1425" s="25"/>
      <c r="H1425" s="25"/>
      <c r="I1425" s="25"/>
      <c r="J1425" s="55"/>
      <c r="K1425" s="25" t="str">
        <f ca="1">IFERROR(__xludf.DUMMYFUNCTION("""COMPUTED_VALUE"""),"Definir fecha")</f>
        <v>Definir fecha</v>
      </c>
      <c r="L1425" s="62"/>
      <c r="M1425" s="25"/>
      <c r="N1425" s="25"/>
      <c r="O1425" s="25">
        <f t="shared" si="0"/>
        <v>0</v>
      </c>
      <c r="P1425" s="25" t="str">
        <f t="shared" si="2"/>
        <v/>
      </c>
      <c r="Q1425" s="25" t="str">
        <f ca="1">IFERROR(__xludf.DUMMYFUNCTION("""COMPUTED_VALUE"""),"Sin defenir")</f>
        <v>Sin defenir</v>
      </c>
      <c r="R1425" s="25"/>
      <c r="S1425" s="55"/>
      <c r="T1425" s="56"/>
      <c r="U1425" s="25"/>
      <c r="V1425" s="25"/>
      <c r="W1425" s="25"/>
      <c r="X1425" s="25"/>
      <c r="Y1425" s="25"/>
      <c r="Z1425" s="25"/>
    </row>
    <row r="1426" spans="1:26" ht="52.5" customHeight="1" x14ac:dyDescent="0.25">
      <c r="A1426" s="25" t="str">
        <f ca="1">IFERROR(__xludf.DUMMYFUNCTION("""COMPUTED_VALUE"""),"Educa224")</f>
        <v>Educa224</v>
      </c>
      <c r="B1426" s="25"/>
      <c r="C1426" s="55"/>
      <c r="D1426" s="25" t="str">
        <f ca="1">IFERROR(__xludf.DUMMYFUNCTION("""COMPUTED_VALUE"""),"Educación")</f>
        <v>Educación</v>
      </c>
      <c r="E1426" s="25"/>
      <c r="F1426" s="25"/>
      <c r="G1426" s="25"/>
      <c r="H1426" s="25"/>
      <c r="I1426" s="25"/>
      <c r="J1426" s="55"/>
      <c r="K1426" s="25" t="str">
        <f ca="1">IFERROR(__xludf.DUMMYFUNCTION("""COMPUTED_VALUE"""),"Definir fecha")</f>
        <v>Definir fecha</v>
      </c>
      <c r="L1426" s="62"/>
      <c r="M1426" s="25"/>
      <c r="N1426" s="25"/>
      <c r="O1426" s="25">
        <f t="shared" si="0"/>
        <v>0</v>
      </c>
      <c r="P1426" s="25" t="str">
        <f t="shared" si="2"/>
        <v/>
      </c>
      <c r="Q1426" s="25" t="str">
        <f ca="1">IFERROR(__xludf.DUMMYFUNCTION("""COMPUTED_VALUE"""),"Sin defenir")</f>
        <v>Sin defenir</v>
      </c>
      <c r="R1426" s="25"/>
      <c r="S1426" s="55"/>
      <c r="T1426" s="56"/>
      <c r="U1426" s="25"/>
      <c r="V1426" s="25"/>
      <c r="W1426" s="25"/>
      <c r="X1426" s="25"/>
      <c r="Y1426" s="25"/>
      <c r="Z1426" s="25"/>
    </row>
    <row r="1427" spans="1:26" ht="52.5" customHeight="1" x14ac:dyDescent="0.25">
      <c r="A1427" s="25" t="str">
        <f ca="1">IFERROR(__xludf.DUMMYFUNCTION("""COMPUTED_VALUE"""),"Educa225")</f>
        <v>Educa225</v>
      </c>
      <c r="B1427" s="25"/>
      <c r="C1427" s="55"/>
      <c r="D1427" s="25" t="str">
        <f ca="1">IFERROR(__xludf.DUMMYFUNCTION("""COMPUTED_VALUE"""),"Educación")</f>
        <v>Educación</v>
      </c>
      <c r="E1427" s="25"/>
      <c r="F1427" s="25"/>
      <c r="G1427" s="25"/>
      <c r="H1427" s="25"/>
      <c r="I1427" s="25"/>
      <c r="J1427" s="55"/>
      <c r="K1427" s="25" t="str">
        <f ca="1">IFERROR(__xludf.DUMMYFUNCTION("""COMPUTED_VALUE"""),"Definir fecha")</f>
        <v>Definir fecha</v>
      </c>
      <c r="L1427" s="62"/>
      <c r="M1427" s="25"/>
      <c r="N1427" s="25"/>
      <c r="O1427" s="25">
        <f t="shared" si="0"/>
        <v>0</v>
      </c>
      <c r="P1427" s="25" t="str">
        <f t="shared" si="2"/>
        <v/>
      </c>
      <c r="Q1427" s="25" t="str">
        <f ca="1">IFERROR(__xludf.DUMMYFUNCTION("""COMPUTED_VALUE"""),"Sin defenir")</f>
        <v>Sin defenir</v>
      </c>
      <c r="R1427" s="25"/>
      <c r="S1427" s="55"/>
      <c r="T1427" s="56"/>
      <c r="U1427" s="25"/>
      <c r="V1427" s="25"/>
      <c r="W1427" s="25"/>
      <c r="X1427" s="25"/>
      <c r="Y1427" s="25"/>
      <c r="Z1427" s="25"/>
    </row>
    <row r="1428" spans="1:26" ht="52.5" customHeight="1" x14ac:dyDescent="0.25">
      <c r="A1428" s="25" t="str">
        <f ca="1">IFERROR(__xludf.DUMMYFUNCTION("""COMPUTED_VALUE"""),"Educa226")</f>
        <v>Educa226</v>
      </c>
      <c r="B1428" s="25"/>
      <c r="C1428" s="55"/>
      <c r="D1428" s="25" t="str">
        <f ca="1">IFERROR(__xludf.DUMMYFUNCTION("""COMPUTED_VALUE"""),"Educación")</f>
        <v>Educación</v>
      </c>
      <c r="E1428" s="25"/>
      <c r="F1428" s="25"/>
      <c r="G1428" s="25"/>
      <c r="H1428" s="25"/>
      <c r="I1428" s="25"/>
      <c r="J1428" s="55"/>
      <c r="K1428" s="25" t="str">
        <f ca="1">IFERROR(__xludf.DUMMYFUNCTION("""COMPUTED_VALUE"""),"Definir fecha")</f>
        <v>Definir fecha</v>
      </c>
      <c r="L1428" s="62"/>
      <c r="M1428" s="25"/>
      <c r="N1428" s="25"/>
      <c r="O1428" s="25">
        <f t="shared" si="0"/>
        <v>0</v>
      </c>
      <c r="P1428" s="25" t="str">
        <f t="shared" si="2"/>
        <v/>
      </c>
      <c r="Q1428" s="25" t="str">
        <f ca="1">IFERROR(__xludf.DUMMYFUNCTION("""COMPUTED_VALUE"""),"Sin defenir")</f>
        <v>Sin defenir</v>
      </c>
      <c r="R1428" s="25"/>
      <c r="S1428" s="55"/>
      <c r="T1428" s="56"/>
      <c r="U1428" s="25"/>
      <c r="V1428" s="25"/>
      <c r="W1428" s="25"/>
      <c r="X1428" s="25"/>
      <c r="Y1428" s="25"/>
      <c r="Z1428" s="25"/>
    </row>
    <row r="1429" spans="1:26" ht="52.5" customHeight="1" x14ac:dyDescent="0.25">
      <c r="A1429" s="25" t="str">
        <f ca="1">IFERROR(__xludf.DUMMYFUNCTION("""COMPUTED_VALUE"""),"Educa227")</f>
        <v>Educa227</v>
      </c>
      <c r="B1429" s="25"/>
      <c r="C1429" s="55"/>
      <c r="D1429" s="25" t="str">
        <f ca="1">IFERROR(__xludf.DUMMYFUNCTION("""COMPUTED_VALUE"""),"Educación")</f>
        <v>Educación</v>
      </c>
      <c r="E1429" s="25"/>
      <c r="F1429" s="25"/>
      <c r="G1429" s="25"/>
      <c r="H1429" s="25"/>
      <c r="I1429" s="25"/>
      <c r="J1429" s="55"/>
      <c r="K1429" s="25" t="str">
        <f ca="1">IFERROR(__xludf.DUMMYFUNCTION("""COMPUTED_VALUE"""),"Definir fecha")</f>
        <v>Definir fecha</v>
      </c>
      <c r="L1429" s="62"/>
      <c r="M1429" s="25"/>
      <c r="N1429" s="25"/>
      <c r="O1429" s="25">
        <f t="shared" si="0"/>
        <v>0</v>
      </c>
      <c r="P1429" s="25" t="str">
        <f t="shared" si="2"/>
        <v/>
      </c>
      <c r="Q1429" s="25" t="str">
        <f ca="1">IFERROR(__xludf.DUMMYFUNCTION("""COMPUTED_VALUE"""),"Sin defenir")</f>
        <v>Sin defenir</v>
      </c>
      <c r="R1429" s="25"/>
      <c r="S1429" s="55"/>
      <c r="T1429" s="56"/>
      <c r="U1429" s="25"/>
      <c r="V1429" s="25"/>
      <c r="W1429" s="25"/>
      <c r="X1429" s="25"/>
      <c r="Y1429" s="25"/>
      <c r="Z1429" s="25"/>
    </row>
    <row r="1430" spans="1:26" ht="52.5" customHeight="1" x14ac:dyDescent="0.25">
      <c r="A1430" s="25" t="str">
        <f ca="1">IFERROR(__xludf.DUMMYFUNCTION("""COMPUTED_VALUE"""),"Educa228")</f>
        <v>Educa228</v>
      </c>
      <c r="B1430" s="25"/>
      <c r="C1430" s="55"/>
      <c r="D1430" s="25" t="str">
        <f ca="1">IFERROR(__xludf.DUMMYFUNCTION("""COMPUTED_VALUE"""),"Educación")</f>
        <v>Educación</v>
      </c>
      <c r="E1430" s="25"/>
      <c r="F1430" s="25"/>
      <c r="G1430" s="25"/>
      <c r="H1430" s="25"/>
      <c r="I1430" s="25"/>
      <c r="J1430" s="55"/>
      <c r="K1430" s="25" t="str">
        <f ca="1">IFERROR(__xludf.DUMMYFUNCTION("""COMPUTED_VALUE"""),"Definir fecha")</f>
        <v>Definir fecha</v>
      </c>
      <c r="L1430" s="62"/>
      <c r="M1430" s="25"/>
      <c r="N1430" s="25"/>
      <c r="O1430" s="25">
        <f t="shared" si="0"/>
        <v>0</v>
      </c>
      <c r="P1430" s="25" t="str">
        <f t="shared" si="2"/>
        <v/>
      </c>
      <c r="Q1430" s="25" t="str">
        <f ca="1">IFERROR(__xludf.DUMMYFUNCTION("""COMPUTED_VALUE"""),"Sin defenir")</f>
        <v>Sin defenir</v>
      </c>
      <c r="R1430" s="25"/>
      <c r="S1430" s="55"/>
      <c r="T1430" s="56"/>
      <c r="U1430" s="25"/>
      <c r="V1430" s="25"/>
      <c r="W1430" s="25"/>
      <c r="X1430" s="25"/>
      <c r="Y1430" s="25"/>
      <c r="Z1430" s="25"/>
    </row>
    <row r="1431" spans="1:26" ht="52.5" customHeight="1" x14ac:dyDescent="0.25">
      <c r="A1431" s="25" t="str">
        <f ca="1">IFERROR(__xludf.DUMMYFUNCTION("""COMPUTED_VALUE"""),"Educa229")</f>
        <v>Educa229</v>
      </c>
      <c r="B1431" s="25"/>
      <c r="C1431" s="55"/>
      <c r="D1431" s="25" t="str">
        <f ca="1">IFERROR(__xludf.DUMMYFUNCTION("""COMPUTED_VALUE"""),"Educación")</f>
        <v>Educación</v>
      </c>
      <c r="E1431" s="25"/>
      <c r="F1431" s="25"/>
      <c r="G1431" s="25"/>
      <c r="H1431" s="25"/>
      <c r="I1431" s="25"/>
      <c r="J1431" s="55"/>
      <c r="K1431" s="25" t="str">
        <f ca="1">IFERROR(__xludf.DUMMYFUNCTION("""COMPUTED_VALUE"""),"Definir fecha")</f>
        <v>Definir fecha</v>
      </c>
      <c r="L1431" s="62"/>
      <c r="M1431" s="25"/>
      <c r="N1431" s="25"/>
      <c r="O1431" s="25">
        <f t="shared" si="0"/>
        <v>0</v>
      </c>
      <c r="P1431" s="25" t="str">
        <f t="shared" si="2"/>
        <v/>
      </c>
      <c r="Q1431" s="25" t="str">
        <f ca="1">IFERROR(__xludf.DUMMYFUNCTION("""COMPUTED_VALUE"""),"Sin defenir")</f>
        <v>Sin defenir</v>
      </c>
      <c r="R1431" s="25"/>
      <c r="S1431" s="55"/>
      <c r="T1431" s="56"/>
      <c r="U1431" s="25"/>
      <c r="V1431" s="25"/>
      <c r="W1431" s="25"/>
      <c r="X1431" s="25"/>
      <c r="Y1431" s="25"/>
      <c r="Z1431" s="25"/>
    </row>
    <row r="1432" spans="1:26" ht="52.5" customHeight="1" x14ac:dyDescent="0.25">
      <c r="A1432" s="25" t="str">
        <f ca="1">IFERROR(__xludf.DUMMYFUNCTION("""COMPUTED_VALUE"""),"Educa230")</f>
        <v>Educa230</v>
      </c>
      <c r="B1432" s="25"/>
      <c r="C1432" s="55"/>
      <c r="D1432" s="25" t="str">
        <f ca="1">IFERROR(__xludf.DUMMYFUNCTION("""COMPUTED_VALUE"""),"Educación")</f>
        <v>Educación</v>
      </c>
      <c r="E1432" s="25"/>
      <c r="F1432" s="25"/>
      <c r="G1432" s="25"/>
      <c r="H1432" s="25"/>
      <c r="I1432" s="25"/>
      <c r="J1432" s="55"/>
      <c r="K1432" s="25" t="str">
        <f ca="1">IFERROR(__xludf.DUMMYFUNCTION("""COMPUTED_VALUE"""),"Definir fecha")</f>
        <v>Definir fecha</v>
      </c>
      <c r="L1432" s="62"/>
      <c r="M1432" s="25"/>
      <c r="N1432" s="25"/>
      <c r="O1432" s="25">
        <f t="shared" si="0"/>
        <v>0</v>
      </c>
      <c r="P1432" s="25" t="str">
        <f t="shared" si="2"/>
        <v/>
      </c>
      <c r="Q1432" s="25" t="str">
        <f ca="1">IFERROR(__xludf.DUMMYFUNCTION("""COMPUTED_VALUE"""),"Sin defenir")</f>
        <v>Sin defenir</v>
      </c>
      <c r="R1432" s="25"/>
      <c r="S1432" s="55"/>
      <c r="T1432" s="56"/>
      <c r="U1432" s="25"/>
      <c r="V1432" s="25"/>
      <c r="W1432" s="25"/>
      <c r="X1432" s="25"/>
      <c r="Y1432" s="25"/>
      <c r="Z1432" s="25"/>
    </row>
    <row r="1433" spans="1:26" ht="52.5" customHeight="1" x14ac:dyDescent="0.25">
      <c r="A1433" s="25" t="str">
        <f ca="1">IFERROR(__xludf.DUMMYFUNCTION("""COMPUTED_VALUE"""),"Educa231")</f>
        <v>Educa231</v>
      </c>
      <c r="B1433" s="25"/>
      <c r="C1433" s="55"/>
      <c r="D1433" s="25" t="str">
        <f ca="1">IFERROR(__xludf.DUMMYFUNCTION("""COMPUTED_VALUE"""),"Educación")</f>
        <v>Educación</v>
      </c>
      <c r="E1433" s="25"/>
      <c r="F1433" s="25"/>
      <c r="G1433" s="25"/>
      <c r="H1433" s="25"/>
      <c r="I1433" s="25"/>
      <c r="J1433" s="55"/>
      <c r="K1433" s="25" t="str">
        <f ca="1">IFERROR(__xludf.DUMMYFUNCTION("""COMPUTED_VALUE"""),"Definir fecha")</f>
        <v>Definir fecha</v>
      </c>
      <c r="L1433" s="62"/>
      <c r="M1433" s="25"/>
      <c r="N1433" s="25"/>
      <c r="O1433" s="25">
        <f t="shared" si="0"/>
        <v>0</v>
      </c>
      <c r="P1433" s="25" t="str">
        <f t="shared" si="2"/>
        <v/>
      </c>
      <c r="Q1433" s="25" t="str">
        <f ca="1">IFERROR(__xludf.DUMMYFUNCTION("""COMPUTED_VALUE"""),"Sin defenir")</f>
        <v>Sin defenir</v>
      </c>
      <c r="R1433" s="25"/>
      <c r="S1433" s="55"/>
      <c r="T1433" s="56"/>
      <c r="U1433" s="25"/>
      <c r="V1433" s="25"/>
      <c r="W1433" s="25"/>
      <c r="X1433" s="25"/>
      <c r="Y1433" s="25"/>
      <c r="Z1433" s="25"/>
    </row>
    <row r="1434" spans="1:26" ht="52.5" customHeight="1" x14ac:dyDescent="0.25">
      <c r="A1434" s="25" t="str">
        <f ca="1">IFERROR(__xludf.DUMMYFUNCTION("""COMPUTED_VALUE"""),"Educa232")</f>
        <v>Educa232</v>
      </c>
      <c r="B1434" s="25"/>
      <c r="C1434" s="55"/>
      <c r="D1434" s="25" t="str">
        <f ca="1">IFERROR(__xludf.DUMMYFUNCTION("""COMPUTED_VALUE"""),"Educación")</f>
        <v>Educación</v>
      </c>
      <c r="E1434" s="25"/>
      <c r="F1434" s="25"/>
      <c r="G1434" s="25"/>
      <c r="H1434" s="25"/>
      <c r="I1434" s="25"/>
      <c r="J1434" s="55"/>
      <c r="K1434" s="25" t="str">
        <f ca="1">IFERROR(__xludf.DUMMYFUNCTION("""COMPUTED_VALUE"""),"Definir fecha")</f>
        <v>Definir fecha</v>
      </c>
      <c r="L1434" s="62"/>
      <c r="M1434" s="25"/>
      <c r="N1434" s="25"/>
      <c r="O1434" s="25">
        <f t="shared" si="0"/>
        <v>0</v>
      </c>
      <c r="P1434" s="25" t="str">
        <f t="shared" si="2"/>
        <v/>
      </c>
      <c r="Q1434" s="25" t="str">
        <f ca="1">IFERROR(__xludf.DUMMYFUNCTION("""COMPUTED_VALUE"""),"Sin defenir")</f>
        <v>Sin defenir</v>
      </c>
      <c r="R1434" s="25"/>
      <c r="S1434" s="55"/>
      <c r="T1434" s="56"/>
      <c r="U1434" s="25"/>
      <c r="V1434" s="25"/>
      <c r="W1434" s="25"/>
      <c r="X1434" s="25"/>
      <c r="Y1434" s="25"/>
      <c r="Z1434" s="25"/>
    </row>
    <row r="1435" spans="1:26" ht="52.5" customHeight="1" x14ac:dyDescent="0.25">
      <c r="A1435" s="25" t="str">
        <f ca="1">IFERROR(__xludf.DUMMYFUNCTION("""COMPUTED_VALUE"""),"Educa233")</f>
        <v>Educa233</v>
      </c>
      <c r="B1435" s="25"/>
      <c r="C1435" s="55"/>
      <c r="D1435" s="25" t="str">
        <f ca="1">IFERROR(__xludf.DUMMYFUNCTION("""COMPUTED_VALUE"""),"Educación")</f>
        <v>Educación</v>
      </c>
      <c r="E1435" s="25"/>
      <c r="F1435" s="25"/>
      <c r="G1435" s="25"/>
      <c r="H1435" s="25"/>
      <c r="I1435" s="25"/>
      <c r="J1435" s="55"/>
      <c r="K1435" s="25" t="str">
        <f ca="1">IFERROR(__xludf.DUMMYFUNCTION("""COMPUTED_VALUE"""),"Definir fecha")</f>
        <v>Definir fecha</v>
      </c>
      <c r="L1435" s="62"/>
      <c r="M1435" s="25"/>
      <c r="N1435" s="25"/>
      <c r="O1435" s="25">
        <f t="shared" si="0"/>
        <v>0</v>
      </c>
      <c r="P1435" s="25" t="str">
        <f t="shared" si="2"/>
        <v/>
      </c>
      <c r="Q1435" s="25" t="str">
        <f ca="1">IFERROR(__xludf.DUMMYFUNCTION("""COMPUTED_VALUE"""),"Sin defenir")</f>
        <v>Sin defenir</v>
      </c>
      <c r="R1435" s="25"/>
      <c r="S1435" s="55"/>
      <c r="T1435" s="56"/>
      <c r="U1435" s="25"/>
      <c r="V1435" s="25"/>
      <c r="W1435" s="25"/>
      <c r="X1435" s="25"/>
      <c r="Y1435" s="25"/>
      <c r="Z1435" s="25"/>
    </row>
    <row r="1436" spans="1:26" ht="52.5" customHeight="1" x14ac:dyDescent="0.25">
      <c r="A1436" s="25" t="str">
        <f ca="1">IFERROR(__xludf.DUMMYFUNCTION("""COMPUTED_VALUE"""),"Educa234")</f>
        <v>Educa234</v>
      </c>
      <c r="B1436" s="25"/>
      <c r="C1436" s="55"/>
      <c r="D1436" s="25" t="str">
        <f ca="1">IFERROR(__xludf.DUMMYFUNCTION("""COMPUTED_VALUE"""),"Educación")</f>
        <v>Educación</v>
      </c>
      <c r="E1436" s="25"/>
      <c r="F1436" s="25"/>
      <c r="G1436" s="25"/>
      <c r="H1436" s="25"/>
      <c r="I1436" s="25"/>
      <c r="J1436" s="55"/>
      <c r="K1436" s="25" t="str">
        <f ca="1">IFERROR(__xludf.DUMMYFUNCTION("""COMPUTED_VALUE"""),"Definir fecha")</f>
        <v>Definir fecha</v>
      </c>
      <c r="L1436" s="62"/>
      <c r="M1436" s="25"/>
      <c r="N1436" s="25"/>
      <c r="O1436" s="25">
        <f t="shared" si="0"/>
        <v>0</v>
      </c>
      <c r="P1436" s="25" t="str">
        <f t="shared" si="2"/>
        <v/>
      </c>
      <c r="Q1436" s="25" t="str">
        <f ca="1">IFERROR(__xludf.DUMMYFUNCTION("""COMPUTED_VALUE"""),"Sin defenir")</f>
        <v>Sin defenir</v>
      </c>
      <c r="R1436" s="25"/>
      <c r="S1436" s="55"/>
      <c r="T1436" s="56"/>
      <c r="U1436" s="25"/>
      <c r="V1436" s="25"/>
      <c r="W1436" s="25"/>
      <c r="X1436" s="25"/>
      <c r="Y1436" s="25"/>
      <c r="Z1436" s="25"/>
    </row>
    <row r="1437" spans="1:26" ht="52.5" customHeight="1" x14ac:dyDescent="0.25">
      <c r="A1437" s="25" t="str">
        <f ca="1">IFERROR(__xludf.DUMMYFUNCTION("""COMPUTED_VALUE"""),"Educa235")</f>
        <v>Educa235</v>
      </c>
      <c r="B1437" s="25"/>
      <c r="C1437" s="55"/>
      <c r="D1437" s="25" t="str">
        <f ca="1">IFERROR(__xludf.DUMMYFUNCTION("""COMPUTED_VALUE"""),"Educación")</f>
        <v>Educación</v>
      </c>
      <c r="E1437" s="25"/>
      <c r="F1437" s="25"/>
      <c r="G1437" s="25"/>
      <c r="H1437" s="25"/>
      <c r="I1437" s="25"/>
      <c r="J1437" s="55"/>
      <c r="K1437" s="25" t="str">
        <f ca="1">IFERROR(__xludf.DUMMYFUNCTION("""COMPUTED_VALUE"""),"Definir fecha")</f>
        <v>Definir fecha</v>
      </c>
      <c r="L1437" s="62"/>
      <c r="M1437" s="25"/>
      <c r="N1437" s="25"/>
      <c r="O1437" s="25">
        <f t="shared" si="0"/>
        <v>0</v>
      </c>
      <c r="P1437" s="25" t="str">
        <f t="shared" si="2"/>
        <v/>
      </c>
      <c r="Q1437" s="25" t="str">
        <f ca="1">IFERROR(__xludf.DUMMYFUNCTION("""COMPUTED_VALUE"""),"Sin defenir")</f>
        <v>Sin defenir</v>
      </c>
      <c r="R1437" s="25"/>
      <c r="S1437" s="55"/>
      <c r="T1437" s="56"/>
      <c r="U1437" s="25"/>
      <c r="V1437" s="25"/>
      <c r="W1437" s="25"/>
      <c r="X1437" s="25"/>
      <c r="Y1437" s="25"/>
      <c r="Z1437" s="25"/>
    </row>
    <row r="1438" spans="1:26" ht="52.5" customHeight="1" x14ac:dyDescent="0.25">
      <c r="A1438" s="25" t="str">
        <f ca="1">IFERROR(__xludf.DUMMYFUNCTION("""COMPUTED_VALUE"""),"Educa236")</f>
        <v>Educa236</v>
      </c>
      <c r="B1438" s="25"/>
      <c r="C1438" s="55"/>
      <c r="D1438" s="25" t="str">
        <f ca="1">IFERROR(__xludf.DUMMYFUNCTION("""COMPUTED_VALUE"""),"Educación")</f>
        <v>Educación</v>
      </c>
      <c r="E1438" s="25"/>
      <c r="F1438" s="25"/>
      <c r="G1438" s="25"/>
      <c r="H1438" s="25"/>
      <c r="I1438" s="25"/>
      <c r="J1438" s="55"/>
      <c r="K1438" s="25" t="str">
        <f ca="1">IFERROR(__xludf.DUMMYFUNCTION("""COMPUTED_VALUE"""),"Definir fecha")</f>
        <v>Definir fecha</v>
      </c>
      <c r="L1438" s="62"/>
      <c r="M1438" s="25"/>
      <c r="N1438" s="25"/>
      <c r="O1438" s="25">
        <f t="shared" si="0"/>
        <v>0</v>
      </c>
      <c r="P1438" s="25" t="str">
        <f t="shared" si="2"/>
        <v/>
      </c>
      <c r="Q1438" s="25" t="str">
        <f ca="1">IFERROR(__xludf.DUMMYFUNCTION("""COMPUTED_VALUE"""),"Sin defenir")</f>
        <v>Sin defenir</v>
      </c>
      <c r="R1438" s="25"/>
      <c r="S1438" s="55"/>
      <c r="T1438" s="56"/>
      <c r="U1438" s="25"/>
      <c r="V1438" s="25"/>
      <c r="W1438" s="25"/>
      <c r="X1438" s="25"/>
      <c r="Y1438" s="25"/>
      <c r="Z1438" s="25"/>
    </row>
    <row r="1439" spans="1:26" ht="52.5" customHeight="1" x14ac:dyDescent="0.25">
      <c r="A1439" s="25" t="str">
        <f ca="1">IFERROR(__xludf.DUMMYFUNCTION("""COMPUTED_VALUE"""),"Educa237")</f>
        <v>Educa237</v>
      </c>
      <c r="B1439" s="25"/>
      <c r="C1439" s="55"/>
      <c r="D1439" s="25" t="str">
        <f ca="1">IFERROR(__xludf.DUMMYFUNCTION("""COMPUTED_VALUE"""),"Educación")</f>
        <v>Educación</v>
      </c>
      <c r="E1439" s="25"/>
      <c r="F1439" s="25"/>
      <c r="G1439" s="25"/>
      <c r="H1439" s="25"/>
      <c r="I1439" s="25"/>
      <c r="J1439" s="55"/>
      <c r="K1439" s="25" t="str">
        <f ca="1">IFERROR(__xludf.DUMMYFUNCTION("""COMPUTED_VALUE"""),"Definir fecha")</f>
        <v>Definir fecha</v>
      </c>
      <c r="L1439" s="62"/>
      <c r="M1439" s="25"/>
      <c r="N1439" s="25"/>
      <c r="O1439" s="25">
        <f t="shared" si="0"/>
        <v>0</v>
      </c>
      <c r="P1439" s="25" t="str">
        <f t="shared" si="2"/>
        <v/>
      </c>
      <c r="Q1439" s="25" t="str">
        <f ca="1">IFERROR(__xludf.DUMMYFUNCTION("""COMPUTED_VALUE"""),"Sin defenir")</f>
        <v>Sin defenir</v>
      </c>
      <c r="R1439" s="25"/>
      <c r="S1439" s="55"/>
      <c r="T1439" s="56"/>
      <c r="U1439" s="25"/>
      <c r="V1439" s="25"/>
      <c r="W1439" s="25"/>
      <c r="X1439" s="25"/>
      <c r="Y1439" s="25"/>
      <c r="Z1439" s="25"/>
    </row>
    <row r="1440" spans="1:26" ht="52.5" customHeight="1" x14ac:dyDescent="0.25">
      <c r="A1440" s="25" t="str">
        <f ca="1">IFERROR(__xludf.DUMMYFUNCTION("""COMPUTED_VALUE"""),"Educa238")</f>
        <v>Educa238</v>
      </c>
      <c r="B1440" s="25"/>
      <c r="C1440" s="55"/>
      <c r="D1440" s="25" t="str">
        <f ca="1">IFERROR(__xludf.DUMMYFUNCTION("""COMPUTED_VALUE"""),"Educación")</f>
        <v>Educación</v>
      </c>
      <c r="E1440" s="25"/>
      <c r="F1440" s="25"/>
      <c r="G1440" s="25"/>
      <c r="H1440" s="25"/>
      <c r="I1440" s="25"/>
      <c r="J1440" s="55"/>
      <c r="K1440" s="25" t="str">
        <f ca="1">IFERROR(__xludf.DUMMYFUNCTION("""COMPUTED_VALUE"""),"Definir fecha")</f>
        <v>Definir fecha</v>
      </c>
      <c r="L1440" s="62"/>
      <c r="M1440" s="25"/>
      <c r="N1440" s="25"/>
      <c r="O1440" s="25">
        <f t="shared" si="0"/>
        <v>0</v>
      </c>
      <c r="P1440" s="25" t="str">
        <f t="shared" si="2"/>
        <v/>
      </c>
      <c r="Q1440" s="25" t="str">
        <f ca="1">IFERROR(__xludf.DUMMYFUNCTION("""COMPUTED_VALUE"""),"Sin defenir")</f>
        <v>Sin defenir</v>
      </c>
      <c r="R1440" s="25"/>
      <c r="S1440" s="55"/>
      <c r="T1440" s="56"/>
      <c r="U1440" s="25"/>
      <c r="V1440" s="25"/>
      <c r="W1440" s="25"/>
      <c r="X1440" s="25"/>
      <c r="Y1440" s="25"/>
      <c r="Z1440" s="25"/>
    </row>
    <row r="1441" spans="1:26" ht="52.5" customHeight="1" x14ac:dyDescent="0.25">
      <c r="A1441" s="25" t="str">
        <f ca="1">IFERROR(__xludf.DUMMYFUNCTION("""COMPUTED_VALUE"""),"Educa239")</f>
        <v>Educa239</v>
      </c>
      <c r="B1441" s="25"/>
      <c r="C1441" s="55"/>
      <c r="D1441" s="25" t="str">
        <f ca="1">IFERROR(__xludf.DUMMYFUNCTION("""COMPUTED_VALUE"""),"Educación")</f>
        <v>Educación</v>
      </c>
      <c r="E1441" s="25"/>
      <c r="F1441" s="25"/>
      <c r="G1441" s="25"/>
      <c r="H1441" s="25"/>
      <c r="I1441" s="25"/>
      <c r="J1441" s="55"/>
      <c r="K1441" s="25" t="str">
        <f ca="1">IFERROR(__xludf.DUMMYFUNCTION("""COMPUTED_VALUE"""),"Definir fecha")</f>
        <v>Definir fecha</v>
      </c>
      <c r="L1441" s="62"/>
      <c r="M1441" s="25"/>
      <c r="N1441" s="25"/>
      <c r="O1441" s="25">
        <f t="shared" si="0"/>
        <v>0</v>
      </c>
      <c r="P1441" s="25" t="str">
        <f t="shared" si="2"/>
        <v/>
      </c>
      <c r="Q1441" s="25" t="str">
        <f ca="1">IFERROR(__xludf.DUMMYFUNCTION("""COMPUTED_VALUE"""),"Sin defenir")</f>
        <v>Sin defenir</v>
      </c>
      <c r="R1441" s="25"/>
      <c r="S1441" s="55"/>
      <c r="T1441" s="56"/>
      <c r="U1441" s="25"/>
      <c r="V1441" s="25"/>
      <c r="W1441" s="25"/>
      <c r="X1441" s="25"/>
      <c r="Y1441" s="25"/>
      <c r="Z1441" s="25"/>
    </row>
    <row r="1442" spans="1:26" ht="52.5" customHeight="1" x14ac:dyDescent="0.25">
      <c r="A1442" s="25" t="str">
        <f ca="1">IFERROR(__xludf.DUMMYFUNCTION("""COMPUTED_VALUE"""),"Educa240")</f>
        <v>Educa240</v>
      </c>
      <c r="B1442" s="25"/>
      <c r="C1442" s="55"/>
      <c r="D1442" s="25" t="str">
        <f ca="1">IFERROR(__xludf.DUMMYFUNCTION("""COMPUTED_VALUE"""),"Educación")</f>
        <v>Educación</v>
      </c>
      <c r="E1442" s="25"/>
      <c r="F1442" s="25"/>
      <c r="G1442" s="25"/>
      <c r="H1442" s="25"/>
      <c r="I1442" s="25"/>
      <c r="J1442" s="55"/>
      <c r="K1442" s="25" t="str">
        <f ca="1">IFERROR(__xludf.DUMMYFUNCTION("""COMPUTED_VALUE"""),"Definir fecha")</f>
        <v>Definir fecha</v>
      </c>
      <c r="L1442" s="62"/>
      <c r="M1442" s="25"/>
      <c r="N1442" s="25"/>
      <c r="O1442" s="25">
        <f t="shared" si="0"/>
        <v>0</v>
      </c>
      <c r="P1442" s="25" t="str">
        <f t="shared" si="2"/>
        <v/>
      </c>
      <c r="Q1442" s="25" t="str">
        <f ca="1">IFERROR(__xludf.DUMMYFUNCTION("""COMPUTED_VALUE"""),"Sin defenir")</f>
        <v>Sin defenir</v>
      </c>
      <c r="R1442" s="25"/>
      <c r="S1442" s="55"/>
      <c r="T1442" s="56"/>
      <c r="U1442" s="25"/>
      <c r="V1442" s="25"/>
      <c r="W1442" s="25"/>
      <c r="X1442" s="25"/>
      <c r="Y1442" s="25"/>
      <c r="Z1442" s="25"/>
    </row>
    <row r="1443" spans="1:26" ht="52.5" customHeight="1" x14ac:dyDescent="0.25">
      <c r="A1443" s="25" t="str">
        <f ca="1">IFERROR(__xludf.DUMMYFUNCTION("""COMPUTED_VALUE"""),"Educa241")</f>
        <v>Educa241</v>
      </c>
      <c r="B1443" s="25"/>
      <c r="C1443" s="55"/>
      <c r="D1443" s="25" t="str">
        <f ca="1">IFERROR(__xludf.DUMMYFUNCTION("""COMPUTED_VALUE"""),"Educación")</f>
        <v>Educación</v>
      </c>
      <c r="E1443" s="25"/>
      <c r="F1443" s="25"/>
      <c r="G1443" s="25"/>
      <c r="H1443" s="25"/>
      <c r="I1443" s="25"/>
      <c r="J1443" s="55"/>
      <c r="K1443" s="25" t="str">
        <f ca="1">IFERROR(__xludf.DUMMYFUNCTION("""COMPUTED_VALUE"""),"Definir fecha")</f>
        <v>Definir fecha</v>
      </c>
      <c r="L1443" s="62"/>
      <c r="M1443" s="25"/>
      <c r="N1443" s="25"/>
      <c r="O1443" s="25">
        <f t="shared" si="0"/>
        <v>0</v>
      </c>
      <c r="P1443" s="25" t="str">
        <f t="shared" si="2"/>
        <v/>
      </c>
      <c r="Q1443" s="25" t="str">
        <f ca="1">IFERROR(__xludf.DUMMYFUNCTION("""COMPUTED_VALUE"""),"Sin defenir")</f>
        <v>Sin defenir</v>
      </c>
      <c r="R1443" s="25"/>
      <c r="S1443" s="55"/>
      <c r="T1443" s="56"/>
      <c r="U1443" s="25"/>
      <c r="V1443" s="25"/>
      <c r="W1443" s="25"/>
      <c r="X1443" s="25"/>
      <c r="Y1443" s="25"/>
      <c r="Z1443" s="25"/>
    </row>
    <row r="1444" spans="1:26" ht="52.5" customHeight="1" x14ac:dyDescent="0.25">
      <c r="A1444" s="25" t="str">
        <f ca="1">IFERROR(__xludf.DUMMYFUNCTION("""COMPUTED_VALUE"""),"Educa242")</f>
        <v>Educa242</v>
      </c>
      <c r="B1444" s="25"/>
      <c r="C1444" s="55"/>
      <c r="D1444" s="25" t="str">
        <f ca="1">IFERROR(__xludf.DUMMYFUNCTION("""COMPUTED_VALUE"""),"Educación")</f>
        <v>Educación</v>
      </c>
      <c r="E1444" s="25"/>
      <c r="F1444" s="25"/>
      <c r="G1444" s="25"/>
      <c r="H1444" s="25"/>
      <c r="I1444" s="25"/>
      <c r="J1444" s="55"/>
      <c r="K1444" s="25" t="str">
        <f ca="1">IFERROR(__xludf.DUMMYFUNCTION("""COMPUTED_VALUE"""),"Definir fecha")</f>
        <v>Definir fecha</v>
      </c>
      <c r="L1444" s="62"/>
      <c r="M1444" s="25"/>
      <c r="N1444" s="25"/>
      <c r="O1444" s="25">
        <f t="shared" si="0"/>
        <v>0</v>
      </c>
      <c r="P1444" s="25" t="str">
        <f t="shared" si="2"/>
        <v/>
      </c>
      <c r="Q1444" s="25" t="str">
        <f ca="1">IFERROR(__xludf.DUMMYFUNCTION("""COMPUTED_VALUE"""),"Sin defenir")</f>
        <v>Sin defenir</v>
      </c>
      <c r="R1444" s="25"/>
      <c r="S1444" s="55"/>
      <c r="T1444" s="56"/>
      <c r="U1444" s="25"/>
      <c r="V1444" s="25"/>
      <c r="W1444" s="25"/>
      <c r="X1444" s="25"/>
      <c r="Y1444" s="25"/>
      <c r="Z1444" s="25"/>
    </row>
    <row r="1445" spans="1:26" ht="52.5" customHeight="1" x14ac:dyDescent="0.25">
      <c r="A1445" s="25" t="str">
        <f ca="1">IFERROR(__xludf.DUMMYFUNCTION("""COMPUTED_VALUE"""),"Educa243")</f>
        <v>Educa243</v>
      </c>
      <c r="B1445" s="25"/>
      <c r="C1445" s="55"/>
      <c r="D1445" s="25" t="str">
        <f ca="1">IFERROR(__xludf.DUMMYFUNCTION("""COMPUTED_VALUE"""),"Educación")</f>
        <v>Educación</v>
      </c>
      <c r="E1445" s="25"/>
      <c r="F1445" s="25"/>
      <c r="G1445" s="25"/>
      <c r="H1445" s="25"/>
      <c r="I1445" s="25"/>
      <c r="J1445" s="55"/>
      <c r="K1445" s="25" t="str">
        <f ca="1">IFERROR(__xludf.DUMMYFUNCTION("""COMPUTED_VALUE"""),"Definir fecha")</f>
        <v>Definir fecha</v>
      </c>
      <c r="L1445" s="62"/>
      <c r="M1445" s="25"/>
      <c r="N1445" s="25"/>
      <c r="O1445" s="25">
        <f t="shared" si="0"/>
        <v>0</v>
      </c>
      <c r="P1445" s="25" t="str">
        <f t="shared" si="2"/>
        <v/>
      </c>
      <c r="Q1445" s="25" t="str">
        <f ca="1">IFERROR(__xludf.DUMMYFUNCTION("""COMPUTED_VALUE"""),"Sin defenir")</f>
        <v>Sin defenir</v>
      </c>
      <c r="R1445" s="25"/>
      <c r="S1445" s="55"/>
      <c r="T1445" s="56"/>
      <c r="U1445" s="25"/>
      <c r="V1445" s="25"/>
      <c r="W1445" s="25"/>
      <c r="X1445" s="25"/>
      <c r="Y1445" s="25"/>
      <c r="Z1445" s="25"/>
    </row>
    <row r="1446" spans="1:26" ht="52.5" customHeight="1" x14ac:dyDescent="0.25">
      <c r="A1446" s="25" t="str">
        <f ca="1">IFERROR(__xludf.DUMMYFUNCTION("""COMPUTED_VALUE"""),"Educa244")</f>
        <v>Educa244</v>
      </c>
      <c r="B1446" s="25"/>
      <c r="C1446" s="55"/>
      <c r="D1446" s="25" t="str">
        <f ca="1">IFERROR(__xludf.DUMMYFUNCTION("""COMPUTED_VALUE"""),"Educación")</f>
        <v>Educación</v>
      </c>
      <c r="E1446" s="25"/>
      <c r="F1446" s="25"/>
      <c r="G1446" s="25"/>
      <c r="H1446" s="25"/>
      <c r="I1446" s="25"/>
      <c r="J1446" s="55"/>
      <c r="K1446" s="25" t="str">
        <f ca="1">IFERROR(__xludf.DUMMYFUNCTION("""COMPUTED_VALUE"""),"Definir fecha")</f>
        <v>Definir fecha</v>
      </c>
      <c r="L1446" s="62"/>
      <c r="M1446" s="25"/>
      <c r="N1446" s="25"/>
      <c r="O1446" s="25">
        <f t="shared" si="0"/>
        <v>0</v>
      </c>
      <c r="P1446" s="25" t="str">
        <f t="shared" si="2"/>
        <v/>
      </c>
      <c r="Q1446" s="25" t="str">
        <f ca="1">IFERROR(__xludf.DUMMYFUNCTION("""COMPUTED_VALUE"""),"Sin defenir")</f>
        <v>Sin defenir</v>
      </c>
      <c r="R1446" s="25"/>
      <c r="S1446" s="55"/>
      <c r="T1446" s="56"/>
      <c r="U1446" s="25"/>
      <c r="V1446" s="25"/>
      <c r="W1446" s="25"/>
      <c r="X1446" s="25"/>
      <c r="Y1446" s="25"/>
      <c r="Z1446" s="25"/>
    </row>
    <row r="1447" spans="1:26" ht="52.5" customHeight="1" x14ac:dyDescent="0.25">
      <c r="A1447" s="25" t="str">
        <f ca="1">IFERROR(__xludf.DUMMYFUNCTION("""COMPUTED_VALUE"""),"Educa245")</f>
        <v>Educa245</v>
      </c>
      <c r="B1447" s="25"/>
      <c r="C1447" s="55"/>
      <c r="D1447" s="25" t="str">
        <f ca="1">IFERROR(__xludf.DUMMYFUNCTION("""COMPUTED_VALUE"""),"Educación")</f>
        <v>Educación</v>
      </c>
      <c r="E1447" s="25"/>
      <c r="F1447" s="25"/>
      <c r="G1447" s="25"/>
      <c r="H1447" s="25"/>
      <c r="I1447" s="25"/>
      <c r="J1447" s="55"/>
      <c r="K1447" s="25" t="str">
        <f ca="1">IFERROR(__xludf.DUMMYFUNCTION("""COMPUTED_VALUE"""),"Definir fecha")</f>
        <v>Definir fecha</v>
      </c>
      <c r="L1447" s="62"/>
      <c r="M1447" s="25"/>
      <c r="N1447" s="25"/>
      <c r="O1447" s="25">
        <f t="shared" si="0"/>
        <v>0</v>
      </c>
      <c r="P1447" s="25" t="str">
        <f t="shared" si="2"/>
        <v/>
      </c>
      <c r="Q1447" s="25" t="str">
        <f ca="1">IFERROR(__xludf.DUMMYFUNCTION("""COMPUTED_VALUE"""),"Sin defenir")</f>
        <v>Sin defenir</v>
      </c>
      <c r="R1447" s="25"/>
      <c r="S1447" s="55"/>
      <c r="T1447" s="56"/>
      <c r="U1447" s="25"/>
      <c r="V1447" s="25"/>
      <c r="W1447" s="25"/>
      <c r="X1447" s="25"/>
      <c r="Y1447" s="25"/>
      <c r="Z1447" s="25"/>
    </row>
    <row r="1448" spans="1:26" ht="52.5" customHeight="1" x14ac:dyDescent="0.25">
      <c r="A1448" s="25" t="str">
        <f ca="1">IFERROR(__xludf.DUMMYFUNCTION("""COMPUTED_VALUE"""),"Educa246")</f>
        <v>Educa246</v>
      </c>
      <c r="B1448" s="25"/>
      <c r="C1448" s="55"/>
      <c r="D1448" s="25" t="str">
        <f ca="1">IFERROR(__xludf.DUMMYFUNCTION("""COMPUTED_VALUE"""),"Educación")</f>
        <v>Educación</v>
      </c>
      <c r="E1448" s="25"/>
      <c r="F1448" s="25"/>
      <c r="G1448" s="25"/>
      <c r="H1448" s="25"/>
      <c r="I1448" s="25"/>
      <c r="J1448" s="55"/>
      <c r="K1448" s="25" t="str">
        <f ca="1">IFERROR(__xludf.DUMMYFUNCTION("""COMPUTED_VALUE"""),"Definir fecha")</f>
        <v>Definir fecha</v>
      </c>
      <c r="L1448" s="62"/>
      <c r="M1448" s="25"/>
      <c r="N1448" s="25"/>
      <c r="O1448" s="25">
        <f t="shared" si="0"/>
        <v>0</v>
      </c>
      <c r="P1448" s="25" t="str">
        <f t="shared" si="2"/>
        <v/>
      </c>
      <c r="Q1448" s="25" t="str">
        <f ca="1">IFERROR(__xludf.DUMMYFUNCTION("""COMPUTED_VALUE"""),"Sin defenir")</f>
        <v>Sin defenir</v>
      </c>
      <c r="R1448" s="25"/>
      <c r="S1448" s="55"/>
      <c r="T1448" s="56"/>
      <c r="U1448" s="25"/>
      <c r="V1448" s="25"/>
      <c r="W1448" s="25"/>
      <c r="X1448" s="25"/>
      <c r="Y1448" s="25"/>
      <c r="Z1448" s="25"/>
    </row>
    <row r="1449" spans="1:26" ht="52.5" customHeight="1" x14ac:dyDescent="0.25">
      <c r="A1449" s="25" t="str">
        <f ca="1">IFERROR(__xludf.DUMMYFUNCTION("""COMPUTED_VALUE"""),"Educa247")</f>
        <v>Educa247</v>
      </c>
      <c r="B1449" s="25"/>
      <c r="C1449" s="55"/>
      <c r="D1449" s="25" t="str">
        <f ca="1">IFERROR(__xludf.DUMMYFUNCTION("""COMPUTED_VALUE"""),"Educación")</f>
        <v>Educación</v>
      </c>
      <c r="E1449" s="25"/>
      <c r="F1449" s="25"/>
      <c r="G1449" s="25"/>
      <c r="H1449" s="25"/>
      <c r="I1449" s="25"/>
      <c r="J1449" s="55"/>
      <c r="K1449" s="25" t="str">
        <f ca="1">IFERROR(__xludf.DUMMYFUNCTION("""COMPUTED_VALUE"""),"Definir fecha")</f>
        <v>Definir fecha</v>
      </c>
      <c r="L1449" s="62"/>
      <c r="M1449" s="25"/>
      <c r="N1449" s="25"/>
      <c r="O1449" s="25">
        <f t="shared" si="0"/>
        <v>0</v>
      </c>
      <c r="P1449" s="25" t="str">
        <f t="shared" si="2"/>
        <v/>
      </c>
      <c r="Q1449" s="25" t="str">
        <f ca="1">IFERROR(__xludf.DUMMYFUNCTION("""COMPUTED_VALUE"""),"Sin defenir")</f>
        <v>Sin defenir</v>
      </c>
      <c r="R1449" s="25"/>
      <c r="S1449" s="55"/>
      <c r="T1449" s="56"/>
      <c r="U1449" s="25"/>
      <c r="V1449" s="25"/>
      <c r="W1449" s="25"/>
      <c r="X1449" s="25"/>
      <c r="Y1449" s="25"/>
      <c r="Z1449" s="25"/>
    </row>
    <row r="1450" spans="1:26" ht="52.5" customHeight="1" x14ac:dyDescent="0.25">
      <c r="A1450" s="25" t="str">
        <f ca="1">IFERROR(__xludf.DUMMYFUNCTION("""COMPUTED_VALUE"""),"Educa248")</f>
        <v>Educa248</v>
      </c>
      <c r="B1450" s="25"/>
      <c r="C1450" s="55"/>
      <c r="D1450" s="25" t="str">
        <f ca="1">IFERROR(__xludf.DUMMYFUNCTION("""COMPUTED_VALUE"""),"Educación")</f>
        <v>Educación</v>
      </c>
      <c r="E1450" s="25"/>
      <c r="F1450" s="25"/>
      <c r="G1450" s="25"/>
      <c r="H1450" s="25"/>
      <c r="I1450" s="25"/>
      <c r="J1450" s="55"/>
      <c r="K1450" s="25" t="str">
        <f ca="1">IFERROR(__xludf.DUMMYFUNCTION("""COMPUTED_VALUE"""),"Definir fecha")</f>
        <v>Definir fecha</v>
      </c>
      <c r="L1450" s="62"/>
      <c r="M1450" s="25"/>
      <c r="N1450" s="25"/>
      <c r="O1450" s="25">
        <f t="shared" si="0"/>
        <v>0</v>
      </c>
      <c r="P1450" s="25" t="str">
        <f t="shared" si="2"/>
        <v/>
      </c>
      <c r="Q1450" s="25" t="str">
        <f ca="1">IFERROR(__xludf.DUMMYFUNCTION("""COMPUTED_VALUE"""),"Sin defenir")</f>
        <v>Sin defenir</v>
      </c>
      <c r="R1450" s="25"/>
      <c r="S1450" s="55"/>
      <c r="T1450" s="56"/>
      <c r="U1450" s="25"/>
      <c r="V1450" s="25"/>
      <c r="W1450" s="25"/>
      <c r="X1450" s="25"/>
      <c r="Y1450" s="25"/>
      <c r="Z1450" s="25"/>
    </row>
    <row r="1451" spans="1:26" ht="52.5" customHeight="1" x14ac:dyDescent="0.25">
      <c r="A1451" s="25" t="str">
        <f ca="1">IFERROR(__xludf.DUMMYFUNCTION("""COMPUTED_VALUE"""),"Educa249")</f>
        <v>Educa249</v>
      </c>
      <c r="B1451" s="25"/>
      <c r="C1451" s="55"/>
      <c r="D1451" s="25" t="str">
        <f ca="1">IFERROR(__xludf.DUMMYFUNCTION("""COMPUTED_VALUE"""),"Educación")</f>
        <v>Educación</v>
      </c>
      <c r="E1451" s="25"/>
      <c r="F1451" s="25"/>
      <c r="G1451" s="25"/>
      <c r="H1451" s="25"/>
      <c r="I1451" s="25"/>
      <c r="J1451" s="55"/>
      <c r="K1451" s="25" t="str">
        <f ca="1">IFERROR(__xludf.DUMMYFUNCTION("""COMPUTED_VALUE"""),"Definir fecha")</f>
        <v>Definir fecha</v>
      </c>
      <c r="L1451" s="62"/>
      <c r="M1451" s="25"/>
      <c r="N1451" s="25"/>
      <c r="O1451" s="25">
        <f t="shared" si="0"/>
        <v>0</v>
      </c>
      <c r="P1451" s="25" t="str">
        <f t="shared" si="2"/>
        <v/>
      </c>
      <c r="Q1451" s="25" t="str">
        <f ca="1">IFERROR(__xludf.DUMMYFUNCTION("""COMPUTED_VALUE"""),"Sin defenir")</f>
        <v>Sin defenir</v>
      </c>
      <c r="R1451" s="25"/>
      <c r="S1451" s="55"/>
      <c r="T1451" s="56"/>
      <c r="U1451" s="25"/>
      <c r="V1451" s="25"/>
      <c r="W1451" s="25"/>
      <c r="X1451" s="25"/>
      <c r="Y1451" s="25"/>
      <c r="Z1451" s="25"/>
    </row>
    <row r="1452" spans="1:26" ht="52.5" customHeight="1" x14ac:dyDescent="0.25">
      <c r="A1452" s="25" t="str">
        <f ca="1">IFERROR(__xludf.DUMMYFUNCTION("""COMPUTED_VALUE"""),"Educa250")</f>
        <v>Educa250</v>
      </c>
      <c r="B1452" s="25"/>
      <c r="C1452" s="55"/>
      <c r="D1452" s="25" t="str">
        <f ca="1">IFERROR(__xludf.DUMMYFUNCTION("""COMPUTED_VALUE"""),"Educación")</f>
        <v>Educación</v>
      </c>
      <c r="E1452" s="25"/>
      <c r="F1452" s="25"/>
      <c r="G1452" s="25"/>
      <c r="H1452" s="25"/>
      <c r="I1452" s="25"/>
      <c r="J1452" s="55"/>
      <c r="K1452" s="25" t="str">
        <f ca="1">IFERROR(__xludf.DUMMYFUNCTION("""COMPUTED_VALUE"""),"Definir fecha")</f>
        <v>Definir fecha</v>
      </c>
      <c r="L1452" s="62"/>
      <c r="M1452" s="25"/>
      <c r="N1452" s="25"/>
      <c r="O1452" s="25">
        <f t="shared" si="0"/>
        <v>0</v>
      </c>
      <c r="P1452" s="25" t="str">
        <f t="shared" si="2"/>
        <v/>
      </c>
      <c r="Q1452" s="25" t="str">
        <f ca="1">IFERROR(__xludf.DUMMYFUNCTION("""COMPUTED_VALUE"""),"Sin defenir")</f>
        <v>Sin defenir</v>
      </c>
      <c r="R1452" s="25"/>
      <c r="S1452" s="55"/>
      <c r="T1452" s="56"/>
      <c r="U1452" s="25"/>
      <c r="V1452" s="25"/>
      <c r="W1452" s="25"/>
      <c r="X1452" s="25"/>
      <c r="Y1452" s="25"/>
      <c r="Z1452" s="25"/>
    </row>
    <row r="1453" spans="1:26" ht="52.5" customHeight="1" x14ac:dyDescent="0.25">
      <c r="A1453" s="25" t="str">
        <f ca="1">IFERROR(__xludf.DUMMYFUNCTION("""COMPUTED_VALUE"""),"Educa251")</f>
        <v>Educa251</v>
      </c>
      <c r="B1453" s="25"/>
      <c r="C1453" s="55"/>
      <c r="D1453" s="25" t="str">
        <f ca="1">IFERROR(__xludf.DUMMYFUNCTION("""COMPUTED_VALUE"""),"Educación")</f>
        <v>Educación</v>
      </c>
      <c r="E1453" s="25"/>
      <c r="F1453" s="25"/>
      <c r="G1453" s="25"/>
      <c r="H1453" s="25"/>
      <c r="I1453" s="25"/>
      <c r="J1453" s="55"/>
      <c r="K1453" s="25" t="str">
        <f ca="1">IFERROR(__xludf.DUMMYFUNCTION("""COMPUTED_VALUE"""),"Definir fecha")</f>
        <v>Definir fecha</v>
      </c>
      <c r="L1453" s="62"/>
      <c r="M1453" s="25"/>
      <c r="N1453" s="25"/>
      <c r="O1453" s="25">
        <f t="shared" si="0"/>
        <v>0</v>
      </c>
      <c r="P1453" s="25" t="str">
        <f t="shared" si="2"/>
        <v/>
      </c>
      <c r="Q1453" s="25" t="str">
        <f ca="1">IFERROR(__xludf.DUMMYFUNCTION("""COMPUTED_VALUE"""),"Sin defenir")</f>
        <v>Sin defenir</v>
      </c>
      <c r="R1453" s="25"/>
      <c r="S1453" s="55"/>
      <c r="T1453" s="56"/>
      <c r="U1453" s="25"/>
      <c r="V1453" s="25"/>
      <c r="W1453" s="25"/>
      <c r="X1453" s="25"/>
      <c r="Y1453" s="25"/>
      <c r="Z1453" s="25"/>
    </row>
    <row r="1454" spans="1:26" ht="52.5" customHeight="1" x14ac:dyDescent="0.25">
      <c r="A1454" s="25" t="str">
        <f ca="1">IFERROR(__xludf.DUMMYFUNCTION("""COMPUTED_VALUE"""),"Educa252")</f>
        <v>Educa252</v>
      </c>
      <c r="B1454" s="25"/>
      <c r="C1454" s="55"/>
      <c r="D1454" s="25" t="str">
        <f ca="1">IFERROR(__xludf.DUMMYFUNCTION("""COMPUTED_VALUE"""),"Educación")</f>
        <v>Educación</v>
      </c>
      <c r="E1454" s="25"/>
      <c r="F1454" s="25"/>
      <c r="G1454" s="25"/>
      <c r="H1454" s="25"/>
      <c r="I1454" s="25"/>
      <c r="J1454" s="55"/>
      <c r="K1454" s="25" t="str">
        <f ca="1">IFERROR(__xludf.DUMMYFUNCTION("""COMPUTED_VALUE"""),"Definir fecha")</f>
        <v>Definir fecha</v>
      </c>
      <c r="L1454" s="62"/>
      <c r="M1454" s="25"/>
      <c r="N1454" s="25"/>
      <c r="O1454" s="25">
        <f t="shared" si="0"/>
        <v>0</v>
      </c>
      <c r="P1454" s="25" t="str">
        <f t="shared" si="2"/>
        <v/>
      </c>
      <c r="Q1454" s="25" t="str">
        <f ca="1">IFERROR(__xludf.DUMMYFUNCTION("""COMPUTED_VALUE"""),"Sin defenir")</f>
        <v>Sin defenir</v>
      </c>
      <c r="R1454" s="25"/>
      <c r="S1454" s="55"/>
      <c r="T1454" s="56"/>
      <c r="U1454" s="25"/>
      <c r="V1454" s="25"/>
      <c r="W1454" s="25"/>
      <c r="X1454" s="25"/>
      <c r="Y1454" s="25"/>
      <c r="Z1454" s="25"/>
    </row>
    <row r="1455" spans="1:26" ht="52.5" customHeight="1" x14ac:dyDescent="0.25">
      <c r="A1455" s="25" t="str">
        <f ca="1">IFERROR(__xludf.DUMMYFUNCTION("""COMPUTED_VALUE"""),"Educa253")</f>
        <v>Educa253</v>
      </c>
      <c r="B1455" s="25"/>
      <c r="C1455" s="55"/>
      <c r="D1455" s="25" t="str">
        <f ca="1">IFERROR(__xludf.DUMMYFUNCTION("""COMPUTED_VALUE"""),"Educación")</f>
        <v>Educación</v>
      </c>
      <c r="E1455" s="25"/>
      <c r="F1455" s="25"/>
      <c r="G1455" s="25"/>
      <c r="H1455" s="25"/>
      <c r="I1455" s="25"/>
      <c r="J1455" s="55"/>
      <c r="K1455" s="25" t="str">
        <f ca="1">IFERROR(__xludf.DUMMYFUNCTION("""COMPUTED_VALUE"""),"Definir fecha")</f>
        <v>Definir fecha</v>
      </c>
      <c r="L1455" s="62"/>
      <c r="M1455" s="25"/>
      <c r="N1455" s="25"/>
      <c r="O1455" s="25">
        <f t="shared" si="0"/>
        <v>0</v>
      </c>
      <c r="P1455" s="25" t="str">
        <f t="shared" si="2"/>
        <v/>
      </c>
      <c r="Q1455" s="25" t="str">
        <f ca="1">IFERROR(__xludf.DUMMYFUNCTION("""COMPUTED_VALUE"""),"Sin defenir")</f>
        <v>Sin defenir</v>
      </c>
      <c r="R1455" s="25"/>
      <c r="S1455" s="55"/>
      <c r="T1455" s="56"/>
      <c r="U1455" s="25"/>
      <c r="V1455" s="25"/>
      <c r="W1455" s="25"/>
      <c r="X1455" s="25"/>
      <c r="Y1455" s="25"/>
      <c r="Z1455" s="25"/>
    </row>
    <row r="1456" spans="1:26" ht="52.5" customHeight="1" x14ac:dyDescent="0.25">
      <c r="A1456" s="25" t="str">
        <f ca="1">IFERROR(__xludf.DUMMYFUNCTION("""COMPUTED_VALUE"""),"Educa254")</f>
        <v>Educa254</v>
      </c>
      <c r="B1456" s="25"/>
      <c r="C1456" s="55"/>
      <c r="D1456" s="25" t="str">
        <f ca="1">IFERROR(__xludf.DUMMYFUNCTION("""COMPUTED_VALUE"""),"Educación")</f>
        <v>Educación</v>
      </c>
      <c r="E1456" s="25"/>
      <c r="F1456" s="25"/>
      <c r="G1456" s="25"/>
      <c r="H1456" s="25"/>
      <c r="I1456" s="25"/>
      <c r="J1456" s="55"/>
      <c r="K1456" s="25" t="str">
        <f ca="1">IFERROR(__xludf.DUMMYFUNCTION("""COMPUTED_VALUE"""),"Definir fecha")</f>
        <v>Definir fecha</v>
      </c>
      <c r="L1456" s="62"/>
      <c r="M1456" s="25"/>
      <c r="N1456" s="25"/>
      <c r="O1456" s="25">
        <f t="shared" si="0"/>
        <v>0</v>
      </c>
      <c r="P1456" s="25" t="str">
        <f t="shared" si="2"/>
        <v/>
      </c>
      <c r="Q1456" s="25" t="str">
        <f ca="1">IFERROR(__xludf.DUMMYFUNCTION("""COMPUTED_VALUE"""),"Sin defenir")</f>
        <v>Sin defenir</v>
      </c>
      <c r="R1456" s="25"/>
      <c r="S1456" s="55"/>
      <c r="T1456" s="56"/>
      <c r="U1456" s="25"/>
      <c r="V1456" s="25"/>
      <c r="W1456" s="25"/>
      <c r="X1456" s="25"/>
      <c r="Y1456" s="25"/>
      <c r="Z1456" s="25"/>
    </row>
    <row r="1457" spans="1:26" ht="52.5" customHeight="1" x14ac:dyDescent="0.25">
      <c r="A1457" s="25" t="str">
        <f ca="1">IFERROR(__xludf.DUMMYFUNCTION("""COMPUTED_VALUE"""),"Educa255")</f>
        <v>Educa255</v>
      </c>
      <c r="B1457" s="25"/>
      <c r="C1457" s="55"/>
      <c r="D1457" s="25" t="str">
        <f ca="1">IFERROR(__xludf.DUMMYFUNCTION("""COMPUTED_VALUE"""),"Educación")</f>
        <v>Educación</v>
      </c>
      <c r="E1457" s="25"/>
      <c r="F1457" s="25"/>
      <c r="G1457" s="25"/>
      <c r="H1457" s="25"/>
      <c r="I1457" s="25"/>
      <c r="J1457" s="55"/>
      <c r="K1457" s="25" t="str">
        <f ca="1">IFERROR(__xludf.DUMMYFUNCTION("""COMPUTED_VALUE"""),"Definir fecha")</f>
        <v>Definir fecha</v>
      </c>
      <c r="L1457" s="62"/>
      <c r="M1457" s="25"/>
      <c r="N1457" s="25"/>
      <c r="O1457" s="25">
        <f t="shared" si="0"/>
        <v>0</v>
      </c>
      <c r="P1457" s="25" t="str">
        <f t="shared" si="2"/>
        <v/>
      </c>
      <c r="Q1457" s="25" t="str">
        <f ca="1">IFERROR(__xludf.DUMMYFUNCTION("""COMPUTED_VALUE"""),"Sin defenir")</f>
        <v>Sin defenir</v>
      </c>
      <c r="R1457" s="25"/>
      <c r="S1457" s="55"/>
      <c r="T1457" s="56"/>
      <c r="U1457" s="25"/>
      <c r="V1457" s="25"/>
      <c r="W1457" s="25"/>
      <c r="X1457" s="25"/>
      <c r="Y1457" s="25"/>
      <c r="Z1457" s="25"/>
    </row>
    <row r="1458" spans="1:26" ht="52.5" customHeight="1" x14ac:dyDescent="0.25">
      <c r="A1458" s="25" t="str">
        <f ca="1">IFERROR(__xludf.DUMMYFUNCTION("""COMPUTED_VALUE"""),"Educa256")</f>
        <v>Educa256</v>
      </c>
      <c r="B1458" s="25"/>
      <c r="C1458" s="55"/>
      <c r="D1458" s="25" t="str">
        <f ca="1">IFERROR(__xludf.DUMMYFUNCTION("""COMPUTED_VALUE"""),"Educación")</f>
        <v>Educación</v>
      </c>
      <c r="E1458" s="25"/>
      <c r="F1458" s="25"/>
      <c r="G1458" s="25"/>
      <c r="H1458" s="25"/>
      <c r="I1458" s="25"/>
      <c r="J1458" s="55"/>
      <c r="K1458" s="25" t="str">
        <f ca="1">IFERROR(__xludf.DUMMYFUNCTION("""COMPUTED_VALUE"""),"Definir fecha")</f>
        <v>Definir fecha</v>
      </c>
      <c r="L1458" s="62"/>
      <c r="M1458" s="25"/>
      <c r="N1458" s="25"/>
      <c r="O1458" s="25">
        <f t="shared" si="0"/>
        <v>0</v>
      </c>
      <c r="P1458" s="25" t="str">
        <f t="shared" si="2"/>
        <v/>
      </c>
      <c r="Q1458" s="25" t="str">
        <f ca="1">IFERROR(__xludf.DUMMYFUNCTION("""COMPUTED_VALUE"""),"Sin defenir")</f>
        <v>Sin defenir</v>
      </c>
      <c r="R1458" s="25"/>
      <c r="S1458" s="55"/>
      <c r="T1458" s="56"/>
      <c r="U1458" s="25"/>
      <c r="V1458" s="25"/>
      <c r="W1458" s="25"/>
      <c r="X1458" s="25"/>
      <c r="Y1458" s="25"/>
      <c r="Z1458" s="25"/>
    </row>
    <row r="1459" spans="1:26" ht="52.5" customHeight="1" x14ac:dyDescent="0.25">
      <c r="A1459" s="25" t="str">
        <f ca="1">IFERROR(__xludf.DUMMYFUNCTION("""COMPUTED_VALUE"""),"Educa257")</f>
        <v>Educa257</v>
      </c>
      <c r="B1459" s="25"/>
      <c r="C1459" s="55"/>
      <c r="D1459" s="25" t="str">
        <f ca="1">IFERROR(__xludf.DUMMYFUNCTION("""COMPUTED_VALUE"""),"Educación")</f>
        <v>Educación</v>
      </c>
      <c r="E1459" s="25"/>
      <c r="F1459" s="25"/>
      <c r="G1459" s="25"/>
      <c r="H1459" s="25"/>
      <c r="I1459" s="25"/>
      <c r="J1459" s="55"/>
      <c r="K1459" s="25" t="str">
        <f ca="1">IFERROR(__xludf.DUMMYFUNCTION("""COMPUTED_VALUE"""),"Definir fecha")</f>
        <v>Definir fecha</v>
      </c>
      <c r="L1459" s="62"/>
      <c r="M1459" s="25"/>
      <c r="N1459" s="25"/>
      <c r="O1459" s="25">
        <f t="shared" si="0"/>
        <v>0</v>
      </c>
      <c r="P1459" s="25" t="str">
        <f t="shared" si="2"/>
        <v/>
      </c>
      <c r="Q1459" s="25" t="str">
        <f ca="1">IFERROR(__xludf.DUMMYFUNCTION("""COMPUTED_VALUE"""),"Sin defenir")</f>
        <v>Sin defenir</v>
      </c>
      <c r="R1459" s="25"/>
      <c r="S1459" s="55"/>
      <c r="T1459" s="56"/>
      <c r="U1459" s="25"/>
      <c r="V1459" s="25"/>
      <c r="W1459" s="25"/>
      <c r="X1459" s="25"/>
      <c r="Y1459" s="25"/>
      <c r="Z1459" s="25"/>
    </row>
    <row r="1460" spans="1:26" ht="52.5" customHeight="1" x14ac:dyDescent="0.25">
      <c r="A1460" s="25" t="str">
        <f ca="1">IFERROR(__xludf.DUMMYFUNCTION("""COMPUTED_VALUE"""),"Educa258")</f>
        <v>Educa258</v>
      </c>
      <c r="B1460" s="25"/>
      <c r="C1460" s="55"/>
      <c r="D1460" s="25" t="str">
        <f ca="1">IFERROR(__xludf.DUMMYFUNCTION("""COMPUTED_VALUE"""),"Educación")</f>
        <v>Educación</v>
      </c>
      <c r="E1460" s="25"/>
      <c r="F1460" s="25"/>
      <c r="G1460" s="25"/>
      <c r="H1460" s="25"/>
      <c r="I1460" s="25"/>
      <c r="J1460" s="55"/>
      <c r="K1460" s="25" t="str">
        <f ca="1">IFERROR(__xludf.DUMMYFUNCTION("""COMPUTED_VALUE"""),"Definir fecha")</f>
        <v>Definir fecha</v>
      </c>
      <c r="L1460" s="62"/>
      <c r="M1460" s="25"/>
      <c r="N1460" s="25"/>
      <c r="O1460" s="25">
        <f t="shared" si="0"/>
        <v>0</v>
      </c>
      <c r="P1460" s="25" t="str">
        <f t="shared" si="2"/>
        <v/>
      </c>
      <c r="Q1460" s="25" t="str">
        <f ca="1">IFERROR(__xludf.DUMMYFUNCTION("""COMPUTED_VALUE"""),"Sin defenir")</f>
        <v>Sin defenir</v>
      </c>
      <c r="R1460" s="25"/>
      <c r="S1460" s="55"/>
      <c r="T1460" s="56"/>
      <c r="U1460" s="25"/>
      <c r="V1460" s="25"/>
      <c r="W1460" s="25"/>
      <c r="X1460" s="25"/>
      <c r="Y1460" s="25"/>
      <c r="Z1460" s="25"/>
    </row>
    <row r="1461" spans="1:26" ht="52.5" customHeight="1" x14ac:dyDescent="0.25">
      <c r="A1461" s="25" t="str">
        <f ca="1">IFERROR(__xludf.DUMMYFUNCTION("""COMPUTED_VALUE"""),"Educa259")</f>
        <v>Educa259</v>
      </c>
      <c r="B1461" s="25"/>
      <c r="C1461" s="55"/>
      <c r="D1461" s="25" t="str">
        <f ca="1">IFERROR(__xludf.DUMMYFUNCTION("""COMPUTED_VALUE"""),"Educación")</f>
        <v>Educación</v>
      </c>
      <c r="E1461" s="25"/>
      <c r="F1461" s="25"/>
      <c r="G1461" s="25"/>
      <c r="H1461" s="25"/>
      <c r="I1461" s="25"/>
      <c r="J1461" s="55"/>
      <c r="K1461" s="25" t="str">
        <f ca="1">IFERROR(__xludf.DUMMYFUNCTION("""COMPUTED_VALUE"""),"Definir fecha")</f>
        <v>Definir fecha</v>
      </c>
      <c r="L1461" s="62"/>
      <c r="M1461" s="25"/>
      <c r="N1461" s="25"/>
      <c r="O1461" s="25">
        <f t="shared" si="0"/>
        <v>0</v>
      </c>
      <c r="P1461" s="25" t="str">
        <f t="shared" si="2"/>
        <v/>
      </c>
      <c r="Q1461" s="25" t="str">
        <f ca="1">IFERROR(__xludf.DUMMYFUNCTION("""COMPUTED_VALUE"""),"Sin defenir")</f>
        <v>Sin defenir</v>
      </c>
      <c r="R1461" s="25"/>
      <c r="S1461" s="55"/>
      <c r="T1461" s="56"/>
      <c r="U1461" s="25"/>
      <c r="V1461" s="25"/>
      <c r="W1461" s="25"/>
      <c r="X1461" s="25"/>
      <c r="Y1461" s="25"/>
      <c r="Z1461" s="25"/>
    </row>
    <row r="1462" spans="1:26" ht="52.5" customHeight="1" x14ac:dyDescent="0.25">
      <c r="A1462" s="25" t="str">
        <f ca="1">IFERROR(__xludf.DUMMYFUNCTION("""COMPUTED_VALUE"""),"Educa260")</f>
        <v>Educa260</v>
      </c>
      <c r="B1462" s="25"/>
      <c r="C1462" s="55"/>
      <c r="D1462" s="25" t="str">
        <f ca="1">IFERROR(__xludf.DUMMYFUNCTION("""COMPUTED_VALUE"""),"Educación")</f>
        <v>Educación</v>
      </c>
      <c r="E1462" s="25"/>
      <c r="F1462" s="25"/>
      <c r="G1462" s="25"/>
      <c r="H1462" s="25"/>
      <c r="I1462" s="25"/>
      <c r="J1462" s="55"/>
      <c r="K1462" s="25" t="str">
        <f ca="1">IFERROR(__xludf.DUMMYFUNCTION("""COMPUTED_VALUE"""),"Definir fecha")</f>
        <v>Definir fecha</v>
      </c>
      <c r="L1462" s="62"/>
      <c r="M1462" s="25"/>
      <c r="N1462" s="25"/>
      <c r="O1462" s="25">
        <f t="shared" si="0"/>
        <v>0</v>
      </c>
      <c r="P1462" s="25" t="str">
        <f t="shared" si="2"/>
        <v/>
      </c>
      <c r="Q1462" s="25" t="str">
        <f ca="1">IFERROR(__xludf.DUMMYFUNCTION("""COMPUTED_VALUE"""),"Sin defenir")</f>
        <v>Sin defenir</v>
      </c>
      <c r="R1462" s="25"/>
      <c r="S1462" s="55"/>
      <c r="T1462" s="56"/>
      <c r="U1462" s="25"/>
      <c r="V1462" s="25"/>
      <c r="W1462" s="25"/>
      <c r="X1462" s="25"/>
      <c r="Y1462" s="25"/>
      <c r="Z1462" s="25"/>
    </row>
    <row r="1463" spans="1:26" ht="52.5" customHeight="1" x14ac:dyDescent="0.25">
      <c r="A1463" s="25" t="str">
        <f ca="1">IFERROR(__xludf.DUMMYFUNCTION("""COMPUTED_VALUE"""),"Educa261")</f>
        <v>Educa261</v>
      </c>
      <c r="B1463" s="25"/>
      <c r="C1463" s="55"/>
      <c r="D1463" s="25" t="str">
        <f ca="1">IFERROR(__xludf.DUMMYFUNCTION("""COMPUTED_VALUE"""),"Educación")</f>
        <v>Educación</v>
      </c>
      <c r="E1463" s="25"/>
      <c r="F1463" s="25"/>
      <c r="G1463" s="25"/>
      <c r="H1463" s="25"/>
      <c r="I1463" s="25"/>
      <c r="J1463" s="55"/>
      <c r="K1463" s="25" t="str">
        <f ca="1">IFERROR(__xludf.DUMMYFUNCTION("""COMPUTED_VALUE"""),"Definir fecha")</f>
        <v>Definir fecha</v>
      </c>
      <c r="L1463" s="62"/>
      <c r="M1463" s="25"/>
      <c r="N1463" s="25"/>
      <c r="O1463" s="25">
        <f t="shared" si="0"/>
        <v>0</v>
      </c>
      <c r="P1463" s="25" t="str">
        <f t="shared" si="2"/>
        <v/>
      </c>
      <c r="Q1463" s="25" t="str">
        <f ca="1">IFERROR(__xludf.DUMMYFUNCTION("""COMPUTED_VALUE"""),"Sin defenir")</f>
        <v>Sin defenir</v>
      </c>
      <c r="R1463" s="25"/>
      <c r="S1463" s="55"/>
      <c r="T1463" s="56"/>
      <c r="U1463" s="25"/>
      <c r="V1463" s="25"/>
      <c r="W1463" s="25"/>
      <c r="X1463" s="25"/>
      <c r="Y1463" s="25"/>
      <c r="Z1463" s="25"/>
    </row>
    <row r="1464" spans="1:26" ht="52.5" customHeight="1" x14ac:dyDescent="0.25">
      <c r="A1464" s="25" t="str">
        <f ca="1">IFERROR(__xludf.DUMMYFUNCTION("""COMPUTED_VALUE"""),"Educa262")</f>
        <v>Educa262</v>
      </c>
      <c r="B1464" s="25"/>
      <c r="C1464" s="55"/>
      <c r="D1464" s="25" t="str">
        <f ca="1">IFERROR(__xludf.DUMMYFUNCTION("""COMPUTED_VALUE"""),"Educación")</f>
        <v>Educación</v>
      </c>
      <c r="E1464" s="25"/>
      <c r="F1464" s="25"/>
      <c r="G1464" s="25"/>
      <c r="H1464" s="25"/>
      <c r="I1464" s="25"/>
      <c r="J1464" s="55"/>
      <c r="K1464" s="25" t="str">
        <f ca="1">IFERROR(__xludf.DUMMYFUNCTION("""COMPUTED_VALUE"""),"Definir fecha")</f>
        <v>Definir fecha</v>
      </c>
      <c r="L1464" s="62"/>
      <c r="M1464" s="25"/>
      <c r="N1464" s="25"/>
      <c r="O1464" s="25">
        <f t="shared" si="0"/>
        <v>0</v>
      </c>
      <c r="P1464" s="25" t="str">
        <f t="shared" si="2"/>
        <v/>
      </c>
      <c r="Q1464" s="25" t="str">
        <f ca="1">IFERROR(__xludf.DUMMYFUNCTION("""COMPUTED_VALUE"""),"Sin defenir")</f>
        <v>Sin defenir</v>
      </c>
      <c r="R1464" s="25"/>
      <c r="S1464" s="55"/>
      <c r="T1464" s="56"/>
      <c r="U1464" s="25"/>
      <c r="V1464" s="25"/>
      <c r="W1464" s="25"/>
      <c r="X1464" s="25"/>
      <c r="Y1464" s="25"/>
      <c r="Z1464" s="25"/>
    </row>
    <row r="1465" spans="1:26" ht="52.5" customHeight="1" x14ac:dyDescent="0.25">
      <c r="A1465" s="25" t="str">
        <f ca="1">IFERROR(__xludf.DUMMYFUNCTION("""COMPUTED_VALUE"""),"Educa263")</f>
        <v>Educa263</v>
      </c>
      <c r="B1465" s="25"/>
      <c r="C1465" s="55"/>
      <c r="D1465" s="25" t="str">
        <f ca="1">IFERROR(__xludf.DUMMYFUNCTION("""COMPUTED_VALUE"""),"Educación")</f>
        <v>Educación</v>
      </c>
      <c r="E1465" s="25"/>
      <c r="F1465" s="25"/>
      <c r="G1465" s="25"/>
      <c r="H1465" s="25"/>
      <c r="I1465" s="25"/>
      <c r="J1465" s="55"/>
      <c r="K1465" s="25" t="str">
        <f ca="1">IFERROR(__xludf.DUMMYFUNCTION("""COMPUTED_VALUE"""),"Definir fecha")</f>
        <v>Definir fecha</v>
      </c>
      <c r="L1465" s="62"/>
      <c r="M1465" s="25"/>
      <c r="N1465" s="25"/>
      <c r="O1465" s="25">
        <f t="shared" si="0"/>
        <v>0</v>
      </c>
      <c r="P1465" s="25" t="str">
        <f t="shared" si="2"/>
        <v/>
      </c>
      <c r="Q1465" s="25" t="str">
        <f ca="1">IFERROR(__xludf.DUMMYFUNCTION("""COMPUTED_VALUE"""),"Sin defenir")</f>
        <v>Sin defenir</v>
      </c>
      <c r="R1465" s="25"/>
      <c r="S1465" s="55"/>
      <c r="T1465" s="56"/>
      <c r="U1465" s="25"/>
      <c r="V1465" s="25"/>
      <c r="W1465" s="25"/>
      <c r="X1465" s="25"/>
      <c r="Y1465" s="25"/>
      <c r="Z1465" s="25"/>
    </row>
    <row r="1466" spans="1:26" ht="52.5" customHeight="1" x14ac:dyDescent="0.25">
      <c r="A1466" s="25" t="str">
        <f ca="1">IFERROR(__xludf.DUMMYFUNCTION("""COMPUTED_VALUE"""),"Educa264")</f>
        <v>Educa264</v>
      </c>
      <c r="B1466" s="25"/>
      <c r="C1466" s="55"/>
      <c r="D1466" s="25" t="str">
        <f ca="1">IFERROR(__xludf.DUMMYFUNCTION("""COMPUTED_VALUE"""),"Educación")</f>
        <v>Educación</v>
      </c>
      <c r="E1466" s="25"/>
      <c r="F1466" s="25"/>
      <c r="G1466" s="25"/>
      <c r="H1466" s="25"/>
      <c r="I1466" s="25"/>
      <c r="J1466" s="55"/>
      <c r="K1466" s="25" t="str">
        <f ca="1">IFERROR(__xludf.DUMMYFUNCTION("""COMPUTED_VALUE"""),"Definir fecha")</f>
        <v>Definir fecha</v>
      </c>
      <c r="L1466" s="62"/>
      <c r="M1466" s="25"/>
      <c r="N1466" s="25"/>
      <c r="O1466" s="25">
        <f t="shared" si="0"/>
        <v>0</v>
      </c>
      <c r="P1466" s="25" t="str">
        <f t="shared" si="2"/>
        <v/>
      </c>
      <c r="Q1466" s="25" t="str">
        <f ca="1">IFERROR(__xludf.DUMMYFUNCTION("""COMPUTED_VALUE"""),"Sin defenir")</f>
        <v>Sin defenir</v>
      </c>
      <c r="R1466" s="25"/>
      <c r="S1466" s="55"/>
      <c r="T1466" s="56"/>
      <c r="U1466" s="25"/>
      <c r="V1466" s="25"/>
      <c r="W1466" s="25"/>
      <c r="X1466" s="25"/>
      <c r="Y1466" s="25"/>
      <c r="Z1466" s="25"/>
    </row>
    <row r="1467" spans="1:26" ht="52.5" customHeight="1" x14ac:dyDescent="0.25">
      <c r="A1467" s="25" t="str">
        <f ca="1">IFERROR(__xludf.DUMMYFUNCTION("""COMPUTED_VALUE"""),"Educa265")</f>
        <v>Educa265</v>
      </c>
      <c r="B1467" s="25"/>
      <c r="C1467" s="55"/>
      <c r="D1467" s="25" t="str">
        <f ca="1">IFERROR(__xludf.DUMMYFUNCTION("""COMPUTED_VALUE"""),"Educación")</f>
        <v>Educación</v>
      </c>
      <c r="E1467" s="25"/>
      <c r="F1467" s="25"/>
      <c r="G1467" s="25"/>
      <c r="H1467" s="25"/>
      <c r="I1467" s="25"/>
      <c r="J1467" s="55"/>
      <c r="K1467" s="25" t="str">
        <f ca="1">IFERROR(__xludf.DUMMYFUNCTION("""COMPUTED_VALUE"""),"Definir fecha")</f>
        <v>Definir fecha</v>
      </c>
      <c r="L1467" s="62"/>
      <c r="M1467" s="25"/>
      <c r="N1467" s="25"/>
      <c r="O1467" s="25">
        <f t="shared" si="0"/>
        <v>0</v>
      </c>
      <c r="P1467" s="25" t="str">
        <f t="shared" si="2"/>
        <v/>
      </c>
      <c r="Q1467" s="25" t="str">
        <f ca="1">IFERROR(__xludf.DUMMYFUNCTION("""COMPUTED_VALUE"""),"Sin defenir")</f>
        <v>Sin defenir</v>
      </c>
      <c r="R1467" s="25"/>
      <c r="S1467" s="55"/>
      <c r="T1467" s="56"/>
      <c r="U1467" s="25"/>
      <c r="V1467" s="25"/>
      <c r="W1467" s="25"/>
      <c r="X1467" s="25"/>
      <c r="Y1467" s="25"/>
      <c r="Z1467" s="25"/>
    </row>
    <row r="1468" spans="1:26" ht="52.5" customHeight="1" x14ac:dyDescent="0.25">
      <c r="A1468" s="25" t="str">
        <f ca="1">IFERROR(__xludf.DUMMYFUNCTION("""COMPUTED_VALUE"""),"Educa266")</f>
        <v>Educa266</v>
      </c>
      <c r="B1468" s="25"/>
      <c r="C1468" s="55"/>
      <c r="D1468" s="25" t="str">
        <f ca="1">IFERROR(__xludf.DUMMYFUNCTION("""COMPUTED_VALUE"""),"Educación")</f>
        <v>Educación</v>
      </c>
      <c r="E1468" s="25"/>
      <c r="F1468" s="25"/>
      <c r="G1468" s="25"/>
      <c r="H1468" s="25"/>
      <c r="I1468" s="25"/>
      <c r="J1468" s="55"/>
      <c r="K1468" s="25" t="str">
        <f ca="1">IFERROR(__xludf.DUMMYFUNCTION("""COMPUTED_VALUE"""),"Definir fecha")</f>
        <v>Definir fecha</v>
      </c>
      <c r="L1468" s="62"/>
      <c r="M1468" s="25"/>
      <c r="N1468" s="25"/>
      <c r="O1468" s="25">
        <f t="shared" si="0"/>
        <v>0</v>
      </c>
      <c r="P1468" s="25" t="str">
        <f t="shared" si="2"/>
        <v/>
      </c>
      <c r="Q1468" s="25" t="str">
        <f ca="1">IFERROR(__xludf.DUMMYFUNCTION("""COMPUTED_VALUE"""),"Sin defenir")</f>
        <v>Sin defenir</v>
      </c>
      <c r="R1468" s="25"/>
      <c r="S1468" s="55"/>
      <c r="T1468" s="56"/>
      <c r="U1468" s="25"/>
      <c r="V1468" s="25"/>
      <c r="W1468" s="25"/>
      <c r="X1468" s="25"/>
      <c r="Y1468" s="25"/>
      <c r="Z1468" s="25"/>
    </row>
    <row r="1469" spans="1:26" ht="52.5" customHeight="1" x14ac:dyDescent="0.25">
      <c r="A1469" s="25" t="str">
        <f ca="1">IFERROR(__xludf.DUMMYFUNCTION("""COMPUTED_VALUE"""),"Educa267")</f>
        <v>Educa267</v>
      </c>
      <c r="B1469" s="25"/>
      <c r="C1469" s="55"/>
      <c r="D1469" s="25" t="str">
        <f ca="1">IFERROR(__xludf.DUMMYFUNCTION("""COMPUTED_VALUE"""),"Educación")</f>
        <v>Educación</v>
      </c>
      <c r="E1469" s="25"/>
      <c r="F1469" s="25"/>
      <c r="G1469" s="25"/>
      <c r="H1469" s="25"/>
      <c r="I1469" s="25"/>
      <c r="J1469" s="55"/>
      <c r="K1469" s="25" t="str">
        <f ca="1">IFERROR(__xludf.DUMMYFUNCTION("""COMPUTED_VALUE"""),"Definir fecha")</f>
        <v>Definir fecha</v>
      </c>
      <c r="L1469" s="62"/>
      <c r="M1469" s="25"/>
      <c r="N1469" s="25"/>
      <c r="O1469" s="25">
        <f t="shared" si="0"/>
        <v>0</v>
      </c>
      <c r="P1469" s="25" t="str">
        <f t="shared" si="2"/>
        <v/>
      </c>
      <c r="Q1469" s="25" t="str">
        <f ca="1">IFERROR(__xludf.DUMMYFUNCTION("""COMPUTED_VALUE"""),"Sin defenir")</f>
        <v>Sin defenir</v>
      </c>
      <c r="R1469" s="25"/>
      <c r="S1469" s="55"/>
      <c r="T1469" s="56"/>
      <c r="U1469" s="25"/>
      <c r="V1469" s="25"/>
      <c r="W1469" s="25"/>
      <c r="X1469" s="25"/>
      <c r="Y1469" s="25"/>
      <c r="Z1469" s="25"/>
    </row>
    <row r="1470" spans="1:26" ht="52.5" customHeight="1" x14ac:dyDescent="0.25">
      <c r="A1470" s="25" t="str">
        <f ca="1">IFERROR(__xludf.DUMMYFUNCTION("""COMPUTED_VALUE"""),"Educa268")</f>
        <v>Educa268</v>
      </c>
      <c r="B1470" s="25"/>
      <c r="C1470" s="55"/>
      <c r="D1470" s="25" t="str">
        <f ca="1">IFERROR(__xludf.DUMMYFUNCTION("""COMPUTED_VALUE"""),"Educación")</f>
        <v>Educación</v>
      </c>
      <c r="E1470" s="25"/>
      <c r="F1470" s="25"/>
      <c r="G1470" s="25"/>
      <c r="H1470" s="25"/>
      <c r="I1470" s="25"/>
      <c r="J1470" s="55"/>
      <c r="K1470" s="25" t="str">
        <f ca="1">IFERROR(__xludf.DUMMYFUNCTION("""COMPUTED_VALUE"""),"Definir fecha")</f>
        <v>Definir fecha</v>
      </c>
      <c r="L1470" s="62"/>
      <c r="M1470" s="25"/>
      <c r="N1470" s="25"/>
      <c r="O1470" s="25">
        <f t="shared" si="0"/>
        <v>0</v>
      </c>
      <c r="P1470" s="25" t="str">
        <f t="shared" si="2"/>
        <v/>
      </c>
      <c r="Q1470" s="25" t="str">
        <f ca="1">IFERROR(__xludf.DUMMYFUNCTION("""COMPUTED_VALUE"""),"Sin defenir")</f>
        <v>Sin defenir</v>
      </c>
      <c r="R1470" s="25"/>
      <c r="S1470" s="55"/>
      <c r="T1470" s="56"/>
      <c r="U1470" s="25"/>
      <c r="V1470" s="25"/>
      <c r="W1470" s="25"/>
      <c r="X1470" s="25"/>
      <c r="Y1470" s="25"/>
      <c r="Z1470" s="25"/>
    </row>
    <row r="1471" spans="1:26" ht="52.5" customHeight="1" x14ac:dyDescent="0.25">
      <c r="A1471" s="25" t="str">
        <f ca="1">IFERROR(__xludf.DUMMYFUNCTION("""COMPUTED_VALUE"""),"Educa269")</f>
        <v>Educa269</v>
      </c>
      <c r="B1471" s="25"/>
      <c r="C1471" s="55"/>
      <c r="D1471" s="25" t="str">
        <f ca="1">IFERROR(__xludf.DUMMYFUNCTION("""COMPUTED_VALUE"""),"Educación")</f>
        <v>Educación</v>
      </c>
      <c r="E1471" s="25"/>
      <c r="F1471" s="25"/>
      <c r="G1471" s="25"/>
      <c r="H1471" s="25"/>
      <c r="I1471" s="25"/>
      <c r="J1471" s="55"/>
      <c r="K1471" s="25" t="str">
        <f ca="1">IFERROR(__xludf.DUMMYFUNCTION("""COMPUTED_VALUE"""),"Definir fecha")</f>
        <v>Definir fecha</v>
      </c>
      <c r="L1471" s="62"/>
      <c r="M1471" s="25"/>
      <c r="N1471" s="25"/>
      <c r="O1471" s="25">
        <f t="shared" si="0"/>
        <v>0</v>
      </c>
      <c r="P1471" s="25" t="str">
        <f t="shared" si="2"/>
        <v/>
      </c>
      <c r="Q1471" s="25" t="str">
        <f ca="1">IFERROR(__xludf.DUMMYFUNCTION("""COMPUTED_VALUE"""),"Sin defenir")</f>
        <v>Sin defenir</v>
      </c>
      <c r="R1471" s="25"/>
      <c r="S1471" s="55"/>
      <c r="T1471" s="56"/>
      <c r="U1471" s="25"/>
      <c r="V1471" s="25"/>
      <c r="W1471" s="25"/>
      <c r="X1471" s="25"/>
      <c r="Y1471" s="25"/>
      <c r="Z1471" s="25"/>
    </row>
    <row r="1472" spans="1:26" ht="52.5" customHeight="1" x14ac:dyDescent="0.25">
      <c r="A1472" s="25" t="str">
        <f ca="1">IFERROR(__xludf.DUMMYFUNCTION("""COMPUTED_VALUE"""),"Educa270")</f>
        <v>Educa270</v>
      </c>
      <c r="B1472" s="25"/>
      <c r="C1472" s="55"/>
      <c r="D1472" s="25" t="str">
        <f ca="1">IFERROR(__xludf.DUMMYFUNCTION("""COMPUTED_VALUE"""),"Educación")</f>
        <v>Educación</v>
      </c>
      <c r="E1472" s="25"/>
      <c r="F1472" s="25"/>
      <c r="G1472" s="25"/>
      <c r="H1472" s="25"/>
      <c r="I1472" s="25"/>
      <c r="J1472" s="55"/>
      <c r="K1472" s="25" t="str">
        <f ca="1">IFERROR(__xludf.DUMMYFUNCTION("""COMPUTED_VALUE"""),"Definir fecha")</f>
        <v>Definir fecha</v>
      </c>
      <c r="L1472" s="62"/>
      <c r="M1472" s="25"/>
      <c r="N1472" s="25"/>
      <c r="O1472" s="25">
        <f t="shared" si="0"/>
        <v>0</v>
      </c>
      <c r="P1472" s="25" t="str">
        <f t="shared" si="2"/>
        <v/>
      </c>
      <c r="Q1472" s="25" t="str">
        <f ca="1">IFERROR(__xludf.DUMMYFUNCTION("""COMPUTED_VALUE"""),"Sin defenir")</f>
        <v>Sin defenir</v>
      </c>
      <c r="R1472" s="25"/>
      <c r="S1472" s="55"/>
      <c r="T1472" s="56"/>
      <c r="U1472" s="25"/>
      <c r="V1472" s="25"/>
      <c r="W1472" s="25"/>
      <c r="X1472" s="25"/>
      <c r="Y1472" s="25"/>
      <c r="Z1472" s="25"/>
    </row>
    <row r="1473" spans="1:26" ht="52.5" customHeight="1" x14ac:dyDescent="0.25">
      <c r="A1473" s="25" t="str">
        <f ca="1">IFERROR(__xludf.DUMMYFUNCTION("""COMPUTED_VALUE"""),"Educa271")</f>
        <v>Educa271</v>
      </c>
      <c r="B1473" s="25"/>
      <c r="C1473" s="55"/>
      <c r="D1473" s="25" t="str">
        <f ca="1">IFERROR(__xludf.DUMMYFUNCTION("""COMPUTED_VALUE"""),"Educación")</f>
        <v>Educación</v>
      </c>
      <c r="E1473" s="25"/>
      <c r="F1473" s="25"/>
      <c r="G1473" s="25"/>
      <c r="H1473" s="25"/>
      <c r="I1473" s="25"/>
      <c r="J1473" s="55"/>
      <c r="K1473" s="25" t="str">
        <f ca="1">IFERROR(__xludf.DUMMYFUNCTION("""COMPUTED_VALUE"""),"Definir fecha")</f>
        <v>Definir fecha</v>
      </c>
      <c r="L1473" s="62"/>
      <c r="M1473" s="25"/>
      <c r="N1473" s="25"/>
      <c r="O1473" s="25">
        <f t="shared" si="0"/>
        <v>0</v>
      </c>
      <c r="P1473" s="25" t="str">
        <f t="shared" si="2"/>
        <v/>
      </c>
      <c r="Q1473" s="25" t="str">
        <f ca="1">IFERROR(__xludf.DUMMYFUNCTION("""COMPUTED_VALUE"""),"Sin defenir")</f>
        <v>Sin defenir</v>
      </c>
      <c r="R1473" s="25"/>
      <c r="S1473" s="55"/>
      <c r="T1473" s="56"/>
      <c r="U1473" s="25"/>
      <c r="V1473" s="25"/>
      <c r="W1473" s="25"/>
      <c r="X1473" s="25"/>
      <c r="Y1473" s="25"/>
      <c r="Z1473" s="25"/>
    </row>
    <row r="1474" spans="1:26" ht="52.5" customHeight="1" x14ac:dyDescent="0.25">
      <c r="A1474" s="25" t="str">
        <f ca="1">IFERROR(__xludf.DUMMYFUNCTION("""COMPUTED_VALUE"""),"Educa272")</f>
        <v>Educa272</v>
      </c>
      <c r="B1474" s="25"/>
      <c r="C1474" s="55"/>
      <c r="D1474" s="25" t="str">
        <f ca="1">IFERROR(__xludf.DUMMYFUNCTION("""COMPUTED_VALUE"""),"Educación")</f>
        <v>Educación</v>
      </c>
      <c r="E1474" s="25"/>
      <c r="F1474" s="25"/>
      <c r="G1474" s="25"/>
      <c r="H1474" s="25"/>
      <c r="I1474" s="25"/>
      <c r="J1474" s="55"/>
      <c r="K1474" s="25" t="str">
        <f ca="1">IFERROR(__xludf.DUMMYFUNCTION("""COMPUTED_VALUE"""),"Definir fecha")</f>
        <v>Definir fecha</v>
      </c>
      <c r="L1474" s="62"/>
      <c r="M1474" s="25"/>
      <c r="N1474" s="25"/>
      <c r="O1474" s="25">
        <f t="shared" si="0"/>
        <v>0</v>
      </c>
      <c r="P1474" s="25" t="str">
        <f t="shared" si="2"/>
        <v/>
      </c>
      <c r="Q1474" s="25" t="str">
        <f ca="1">IFERROR(__xludf.DUMMYFUNCTION("""COMPUTED_VALUE"""),"Sin defenir")</f>
        <v>Sin defenir</v>
      </c>
      <c r="R1474" s="25"/>
      <c r="S1474" s="55"/>
      <c r="T1474" s="56"/>
      <c r="U1474" s="25"/>
      <c r="V1474" s="25"/>
      <c r="W1474" s="25"/>
      <c r="X1474" s="25"/>
      <c r="Y1474" s="25"/>
      <c r="Z1474" s="25"/>
    </row>
    <row r="1475" spans="1:26" ht="52.5" customHeight="1" x14ac:dyDescent="0.25">
      <c r="A1475" s="25" t="str">
        <f ca="1">IFERROR(__xludf.DUMMYFUNCTION("""COMPUTED_VALUE"""),"Educa273")</f>
        <v>Educa273</v>
      </c>
      <c r="B1475" s="25"/>
      <c r="C1475" s="55"/>
      <c r="D1475" s="25" t="str">
        <f ca="1">IFERROR(__xludf.DUMMYFUNCTION("""COMPUTED_VALUE"""),"Educación")</f>
        <v>Educación</v>
      </c>
      <c r="E1475" s="25"/>
      <c r="F1475" s="25"/>
      <c r="G1475" s="25"/>
      <c r="H1475" s="25"/>
      <c r="I1475" s="25"/>
      <c r="J1475" s="55"/>
      <c r="K1475" s="25" t="str">
        <f ca="1">IFERROR(__xludf.DUMMYFUNCTION("""COMPUTED_VALUE"""),"Definir fecha")</f>
        <v>Definir fecha</v>
      </c>
      <c r="L1475" s="62"/>
      <c r="M1475" s="25"/>
      <c r="N1475" s="25"/>
      <c r="O1475" s="25">
        <f t="shared" si="0"/>
        <v>0</v>
      </c>
      <c r="P1475" s="25" t="str">
        <f t="shared" si="2"/>
        <v/>
      </c>
      <c r="Q1475" s="25" t="str">
        <f ca="1">IFERROR(__xludf.DUMMYFUNCTION("""COMPUTED_VALUE"""),"Sin defenir")</f>
        <v>Sin defenir</v>
      </c>
      <c r="R1475" s="25"/>
      <c r="S1475" s="55"/>
      <c r="T1475" s="56"/>
      <c r="U1475" s="25"/>
      <c r="V1475" s="25"/>
      <c r="W1475" s="25"/>
      <c r="X1475" s="25"/>
      <c r="Y1475" s="25"/>
      <c r="Z1475" s="25"/>
    </row>
    <row r="1476" spans="1:26" ht="52.5" customHeight="1" x14ac:dyDescent="0.25">
      <c r="A1476" s="25" t="str">
        <f ca="1">IFERROR(__xludf.DUMMYFUNCTION("""COMPUTED_VALUE"""),"Educa274")</f>
        <v>Educa274</v>
      </c>
      <c r="B1476" s="25"/>
      <c r="C1476" s="55"/>
      <c r="D1476" s="25" t="str">
        <f ca="1">IFERROR(__xludf.DUMMYFUNCTION("""COMPUTED_VALUE"""),"Educación")</f>
        <v>Educación</v>
      </c>
      <c r="E1476" s="25"/>
      <c r="F1476" s="25"/>
      <c r="G1476" s="25"/>
      <c r="H1476" s="25"/>
      <c r="I1476" s="25"/>
      <c r="J1476" s="55"/>
      <c r="K1476" s="25" t="str">
        <f ca="1">IFERROR(__xludf.DUMMYFUNCTION("""COMPUTED_VALUE"""),"Definir fecha")</f>
        <v>Definir fecha</v>
      </c>
      <c r="L1476" s="62"/>
      <c r="M1476" s="25"/>
      <c r="N1476" s="25"/>
      <c r="O1476" s="25">
        <f t="shared" si="0"/>
        <v>0</v>
      </c>
      <c r="P1476" s="25" t="str">
        <f t="shared" si="2"/>
        <v/>
      </c>
      <c r="Q1476" s="25" t="str">
        <f ca="1">IFERROR(__xludf.DUMMYFUNCTION("""COMPUTED_VALUE"""),"Sin defenir")</f>
        <v>Sin defenir</v>
      </c>
      <c r="R1476" s="25"/>
      <c r="S1476" s="55"/>
      <c r="T1476" s="56"/>
      <c r="U1476" s="25"/>
      <c r="V1476" s="25"/>
      <c r="W1476" s="25"/>
      <c r="X1476" s="25"/>
      <c r="Y1476" s="25"/>
      <c r="Z1476" s="25"/>
    </row>
    <row r="1477" spans="1:26" ht="52.5" customHeight="1" x14ac:dyDescent="0.25">
      <c r="A1477" s="25" t="str">
        <f ca="1">IFERROR(__xludf.DUMMYFUNCTION("""COMPUTED_VALUE"""),"Educa275")</f>
        <v>Educa275</v>
      </c>
      <c r="B1477" s="25"/>
      <c r="C1477" s="55"/>
      <c r="D1477" s="25" t="str">
        <f ca="1">IFERROR(__xludf.DUMMYFUNCTION("""COMPUTED_VALUE"""),"Educación")</f>
        <v>Educación</v>
      </c>
      <c r="E1477" s="25"/>
      <c r="F1477" s="25"/>
      <c r="G1477" s="25"/>
      <c r="H1477" s="25"/>
      <c r="I1477" s="25"/>
      <c r="J1477" s="55"/>
      <c r="K1477" s="25" t="str">
        <f ca="1">IFERROR(__xludf.DUMMYFUNCTION("""COMPUTED_VALUE"""),"Definir fecha")</f>
        <v>Definir fecha</v>
      </c>
      <c r="L1477" s="62"/>
      <c r="M1477" s="25"/>
      <c r="N1477" s="25"/>
      <c r="O1477" s="25">
        <f t="shared" si="0"/>
        <v>0</v>
      </c>
      <c r="P1477" s="25" t="str">
        <f t="shared" si="2"/>
        <v/>
      </c>
      <c r="Q1477" s="25" t="str">
        <f ca="1">IFERROR(__xludf.DUMMYFUNCTION("""COMPUTED_VALUE"""),"Sin defenir")</f>
        <v>Sin defenir</v>
      </c>
      <c r="R1477" s="25"/>
      <c r="S1477" s="55"/>
      <c r="T1477" s="56"/>
      <c r="U1477" s="25"/>
      <c r="V1477" s="25"/>
      <c r="W1477" s="25"/>
      <c r="X1477" s="25"/>
      <c r="Y1477" s="25"/>
      <c r="Z1477" s="25"/>
    </row>
    <row r="1478" spans="1:26" ht="52.5" customHeight="1" x14ac:dyDescent="0.25">
      <c r="A1478" s="25" t="str">
        <f ca="1">IFERROR(__xludf.DUMMYFUNCTION("""COMPUTED_VALUE"""),"Educa276")</f>
        <v>Educa276</v>
      </c>
      <c r="B1478" s="25"/>
      <c r="C1478" s="55"/>
      <c r="D1478" s="25" t="str">
        <f ca="1">IFERROR(__xludf.DUMMYFUNCTION("""COMPUTED_VALUE"""),"Educación")</f>
        <v>Educación</v>
      </c>
      <c r="E1478" s="25"/>
      <c r="F1478" s="25"/>
      <c r="G1478" s="25"/>
      <c r="H1478" s="25"/>
      <c r="I1478" s="25"/>
      <c r="J1478" s="55"/>
      <c r="K1478" s="25" t="str">
        <f ca="1">IFERROR(__xludf.DUMMYFUNCTION("""COMPUTED_VALUE"""),"Definir fecha")</f>
        <v>Definir fecha</v>
      </c>
      <c r="L1478" s="62"/>
      <c r="M1478" s="25"/>
      <c r="N1478" s="25"/>
      <c r="O1478" s="25">
        <f t="shared" si="0"/>
        <v>0</v>
      </c>
      <c r="P1478" s="25" t="str">
        <f t="shared" si="2"/>
        <v/>
      </c>
      <c r="Q1478" s="25" t="str">
        <f ca="1">IFERROR(__xludf.DUMMYFUNCTION("""COMPUTED_VALUE"""),"Sin defenir")</f>
        <v>Sin defenir</v>
      </c>
      <c r="R1478" s="25"/>
      <c r="S1478" s="55"/>
      <c r="T1478" s="56"/>
      <c r="U1478" s="25"/>
      <c r="V1478" s="25"/>
      <c r="W1478" s="25"/>
      <c r="X1478" s="25"/>
      <c r="Y1478" s="25"/>
      <c r="Z1478" s="25"/>
    </row>
    <row r="1479" spans="1:26" ht="52.5" customHeight="1" x14ac:dyDescent="0.25">
      <c r="A1479" s="25" t="str">
        <f ca="1">IFERROR(__xludf.DUMMYFUNCTION("""COMPUTED_VALUE"""),"Educa277")</f>
        <v>Educa277</v>
      </c>
      <c r="B1479" s="25"/>
      <c r="C1479" s="55"/>
      <c r="D1479" s="25" t="str">
        <f ca="1">IFERROR(__xludf.DUMMYFUNCTION("""COMPUTED_VALUE"""),"Educación")</f>
        <v>Educación</v>
      </c>
      <c r="E1479" s="25"/>
      <c r="F1479" s="25"/>
      <c r="G1479" s="25"/>
      <c r="H1479" s="25"/>
      <c r="I1479" s="25"/>
      <c r="J1479" s="55"/>
      <c r="K1479" s="25" t="str">
        <f ca="1">IFERROR(__xludf.DUMMYFUNCTION("""COMPUTED_VALUE"""),"Definir fecha")</f>
        <v>Definir fecha</v>
      </c>
      <c r="L1479" s="62"/>
      <c r="M1479" s="25"/>
      <c r="N1479" s="25"/>
      <c r="O1479" s="25">
        <f t="shared" si="0"/>
        <v>0</v>
      </c>
      <c r="P1479" s="25" t="str">
        <f t="shared" si="2"/>
        <v/>
      </c>
      <c r="Q1479" s="25" t="str">
        <f ca="1">IFERROR(__xludf.DUMMYFUNCTION("""COMPUTED_VALUE"""),"Sin defenir")</f>
        <v>Sin defenir</v>
      </c>
      <c r="R1479" s="25"/>
      <c r="S1479" s="55"/>
      <c r="T1479" s="56"/>
      <c r="U1479" s="25"/>
      <c r="V1479" s="25"/>
      <c r="W1479" s="25"/>
      <c r="X1479" s="25"/>
      <c r="Y1479" s="25"/>
      <c r="Z1479" s="25"/>
    </row>
    <row r="1480" spans="1:26" ht="52.5" customHeight="1" x14ac:dyDescent="0.25">
      <c r="A1480" s="25" t="str">
        <f ca="1">IFERROR(__xludf.DUMMYFUNCTION("""COMPUTED_VALUE"""),"Educa278")</f>
        <v>Educa278</v>
      </c>
      <c r="B1480" s="25"/>
      <c r="C1480" s="55"/>
      <c r="D1480" s="25" t="str">
        <f ca="1">IFERROR(__xludf.DUMMYFUNCTION("""COMPUTED_VALUE"""),"Educación")</f>
        <v>Educación</v>
      </c>
      <c r="E1480" s="25"/>
      <c r="F1480" s="25"/>
      <c r="G1480" s="25"/>
      <c r="H1480" s="25"/>
      <c r="I1480" s="25"/>
      <c r="J1480" s="55"/>
      <c r="K1480" s="25" t="str">
        <f ca="1">IFERROR(__xludf.DUMMYFUNCTION("""COMPUTED_VALUE"""),"Definir fecha")</f>
        <v>Definir fecha</v>
      </c>
      <c r="L1480" s="62"/>
      <c r="M1480" s="25"/>
      <c r="N1480" s="25"/>
      <c r="O1480" s="25">
        <f t="shared" si="0"/>
        <v>0</v>
      </c>
      <c r="P1480" s="25" t="str">
        <f t="shared" si="2"/>
        <v/>
      </c>
      <c r="Q1480" s="25" t="str">
        <f ca="1">IFERROR(__xludf.DUMMYFUNCTION("""COMPUTED_VALUE"""),"Sin defenir")</f>
        <v>Sin defenir</v>
      </c>
      <c r="R1480" s="25"/>
      <c r="S1480" s="55"/>
      <c r="T1480" s="56"/>
      <c r="U1480" s="25"/>
      <c r="V1480" s="25"/>
      <c r="W1480" s="25"/>
      <c r="X1480" s="25"/>
      <c r="Y1480" s="25"/>
      <c r="Z1480" s="25"/>
    </row>
    <row r="1481" spans="1:26" ht="52.5" customHeight="1" x14ac:dyDescent="0.25">
      <c r="A1481" s="25" t="str">
        <f ca="1">IFERROR(__xludf.DUMMYFUNCTION("""COMPUTED_VALUE"""),"Educa279")</f>
        <v>Educa279</v>
      </c>
      <c r="B1481" s="25"/>
      <c r="C1481" s="55"/>
      <c r="D1481" s="25" t="str">
        <f ca="1">IFERROR(__xludf.DUMMYFUNCTION("""COMPUTED_VALUE"""),"Educación")</f>
        <v>Educación</v>
      </c>
      <c r="E1481" s="25"/>
      <c r="F1481" s="25"/>
      <c r="G1481" s="25"/>
      <c r="H1481" s="25"/>
      <c r="I1481" s="25"/>
      <c r="J1481" s="55"/>
      <c r="K1481" s="25" t="str">
        <f ca="1">IFERROR(__xludf.DUMMYFUNCTION("""COMPUTED_VALUE"""),"Definir fecha")</f>
        <v>Definir fecha</v>
      </c>
      <c r="L1481" s="62"/>
      <c r="M1481" s="25"/>
      <c r="N1481" s="25"/>
      <c r="O1481" s="25">
        <f t="shared" si="0"/>
        <v>0</v>
      </c>
      <c r="P1481" s="25" t="str">
        <f t="shared" si="2"/>
        <v/>
      </c>
      <c r="Q1481" s="25" t="str">
        <f ca="1">IFERROR(__xludf.DUMMYFUNCTION("""COMPUTED_VALUE"""),"Sin defenir")</f>
        <v>Sin defenir</v>
      </c>
      <c r="R1481" s="25"/>
      <c r="S1481" s="55"/>
      <c r="T1481" s="56"/>
      <c r="U1481" s="25"/>
      <c r="V1481" s="25"/>
      <c r="W1481" s="25"/>
      <c r="X1481" s="25"/>
      <c r="Y1481" s="25"/>
      <c r="Z1481" s="25"/>
    </row>
    <row r="1482" spans="1:26" ht="52.5" customHeight="1" x14ac:dyDescent="0.25">
      <c r="A1482" s="25" t="str">
        <f ca="1">IFERROR(__xludf.DUMMYFUNCTION("""COMPUTED_VALUE"""),"Educa280")</f>
        <v>Educa280</v>
      </c>
      <c r="B1482" s="25"/>
      <c r="C1482" s="55"/>
      <c r="D1482" s="25" t="str">
        <f ca="1">IFERROR(__xludf.DUMMYFUNCTION("""COMPUTED_VALUE"""),"Educación")</f>
        <v>Educación</v>
      </c>
      <c r="E1482" s="25"/>
      <c r="F1482" s="25"/>
      <c r="G1482" s="25"/>
      <c r="H1482" s="25"/>
      <c r="I1482" s="25"/>
      <c r="J1482" s="55"/>
      <c r="K1482" s="25" t="str">
        <f ca="1">IFERROR(__xludf.DUMMYFUNCTION("""COMPUTED_VALUE"""),"Definir fecha")</f>
        <v>Definir fecha</v>
      </c>
      <c r="L1482" s="62"/>
      <c r="M1482" s="25"/>
      <c r="N1482" s="25"/>
      <c r="O1482" s="25">
        <f t="shared" si="0"/>
        <v>0</v>
      </c>
      <c r="P1482" s="25" t="str">
        <f t="shared" si="2"/>
        <v/>
      </c>
      <c r="Q1482" s="25" t="str">
        <f ca="1">IFERROR(__xludf.DUMMYFUNCTION("""COMPUTED_VALUE"""),"Sin defenir")</f>
        <v>Sin defenir</v>
      </c>
      <c r="R1482" s="25"/>
      <c r="S1482" s="55"/>
      <c r="T1482" s="56"/>
      <c r="U1482" s="25"/>
      <c r="V1482" s="25"/>
      <c r="W1482" s="25"/>
      <c r="X1482" s="25"/>
      <c r="Y1482" s="25"/>
      <c r="Z1482" s="25"/>
    </row>
    <row r="1483" spans="1:26" ht="52.5" customHeight="1" x14ac:dyDescent="0.25">
      <c r="A1483" s="25" t="str">
        <f ca="1">IFERROR(__xludf.DUMMYFUNCTION("""COMPUTED_VALUE"""),"Educa281")</f>
        <v>Educa281</v>
      </c>
      <c r="B1483" s="25"/>
      <c r="C1483" s="55"/>
      <c r="D1483" s="25" t="str">
        <f ca="1">IFERROR(__xludf.DUMMYFUNCTION("""COMPUTED_VALUE"""),"Educación")</f>
        <v>Educación</v>
      </c>
      <c r="E1483" s="25"/>
      <c r="F1483" s="25"/>
      <c r="G1483" s="25"/>
      <c r="H1483" s="25"/>
      <c r="I1483" s="25"/>
      <c r="J1483" s="55"/>
      <c r="K1483" s="25" t="str">
        <f ca="1">IFERROR(__xludf.DUMMYFUNCTION("""COMPUTED_VALUE"""),"Definir fecha")</f>
        <v>Definir fecha</v>
      </c>
      <c r="L1483" s="62"/>
      <c r="M1483" s="25"/>
      <c r="N1483" s="25"/>
      <c r="O1483" s="25">
        <f t="shared" si="0"/>
        <v>0</v>
      </c>
      <c r="P1483" s="25" t="str">
        <f t="shared" si="2"/>
        <v/>
      </c>
      <c r="Q1483" s="25" t="str">
        <f ca="1">IFERROR(__xludf.DUMMYFUNCTION("""COMPUTED_VALUE"""),"Sin defenir")</f>
        <v>Sin defenir</v>
      </c>
      <c r="R1483" s="25"/>
      <c r="S1483" s="55"/>
      <c r="T1483" s="56"/>
      <c r="U1483" s="25"/>
      <c r="V1483" s="25"/>
      <c r="W1483" s="25"/>
      <c r="X1483" s="25"/>
      <c r="Y1483" s="25"/>
      <c r="Z1483" s="25"/>
    </row>
    <row r="1484" spans="1:26" ht="52.5" customHeight="1" x14ac:dyDescent="0.25">
      <c r="A1484" s="25" t="str">
        <f ca="1">IFERROR(__xludf.DUMMYFUNCTION("""COMPUTED_VALUE"""),"Educa282")</f>
        <v>Educa282</v>
      </c>
      <c r="B1484" s="25"/>
      <c r="C1484" s="55"/>
      <c r="D1484" s="25" t="str">
        <f ca="1">IFERROR(__xludf.DUMMYFUNCTION("""COMPUTED_VALUE"""),"Educación")</f>
        <v>Educación</v>
      </c>
      <c r="E1484" s="25"/>
      <c r="F1484" s="25"/>
      <c r="G1484" s="25"/>
      <c r="H1484" s="25"/>
      <c r="I1484" s="25"/>
      <c r="J1484" s="55"/>
      <c r="K1484" s="25" t="str">
        <f ca="1">IFERROR(__xludf.DUMMYFUNCTION("""COMPUTED_VALUE"""),"Definir fecha")</f>
        <v>Definir fecha</v>
      </c>
      <c r="L1484" s="62"/>
      <c r="M1484" s="25"/>
      <c r="N1484" s="25"/>
      <c r="O1484" s="25">
        <f t="shared" si="0"/>
        <v>0</v>
      </c>
      <c r="P1484" s="25" t="str">
        <f t="shared" si="2"/>
        <v/>
      </c>
      <c r="Q1484" s="25" t="str">
        <f ca="1">IFERROR(__xludf.DUMMYFUNCTION("""COMPUTED_VALUE"""),"Sin defenir")</f>
        <v>Sin defenir</v>
      </c>
      <c r="R1484" s="25"/>
      <c r="S1484" s="55"/>
      <c r="T1484" s="56"/>
      <c r="U1484" s="25"/>
      <c r="V1484" s="25"/>
      <c r="W1484" s="25"/>
      <c r="X1484" s="25"/>
      <c r="Y1484" s="25"/>
      <c r="Z1484" s="25"/>
    </row>
    <row r="1485" spans="1:26" ht="52.5" customHeight="1" x14ac:dyDescent="0.25">
      <c r="A1485" s="25" t="str">
        <f ca="1">IFERROR(__xludf.DUMMYFUNCTION("""COMPUTED_VALUE"""),"Educa283")</f>
        <v>Educa283</v>
      </c>
      <c r="B1485" s="25"/>
      <c r="C1485" s="55"/>
      <c r="D1485" s="25" t="str">
        <f ca="1">IFERROR(__xludf.DUMMYFUNCTION("""COMPUTED_VALUE"""),"Educación")</f>
        <v>Educación</v>
      </c>
      <c r="E1485" s="25"/>
      <c r="F1485" s="25"/>
      <c r="G1485" s="25"/>
      <c r="H1485" s="25"/>
      <c r="I1485" s="25"/>
      <c r="J1485" s="55"/>
      <c r="K1485" s="25" t="str">
        <f ca="1">IFERROR(__xludf.DUMMYFUNCTION("""COMPUTED_VALUE"""),"Definir fecha")</f>
        <v>Definir fecha</v>
      </c>
      <c r="L1485" s="62"/>
      <c r="M1485" s="25"/>
      <c r="N1485" s="25"/>
      <c r="O1485" s="25">
        <f t="shared" si="0"/>
        <v>0</v>
      </c>
      <c r="P1485" s="25" t="str">
        <f t="shared" si="2"/>
        <v/>
      </c>
      <c r="Q1485" s="25" t="str">
        <f ca="1">IFERROR(__xludf.DUMMYFUNCTION("""COMPUTED_VALUE"""),"Sin defenir")</f>
        <v>Sin defenir</v>
      </c>
      <c r="R1485" s="25"/>
      <c r="S1485" s="55"/>
      <c r="T1485" s="56"/>
      <c r="U1485" s="25"/>
      <c r="V1485" s="25"/>
      <c r="W1485" s="25"/>
      <c r="X1485" s="25"/>
      <c r="Y1485" s="25"/>
      <c r="Z1485" s="25"/>
    </row>
    <row r="1486" spans="1:26" ht="52.5" customHeight="1" x14ac:dyDescent="0.25">
      <c r="A1486" s="25" t="str">
        <f ca="1">IFERROR(__xludf.DUMMYFUNCTION("""COMPUTED_VALUE"""),"Educa284")</f>
        <v>Educa284</v>
      </c>
      <c r="B1486" s="25"/>
      <c r="C1486" s="55"/>
      <c r="D1486" s="25" t="str">
        <f ca="1">IFERROR(__xludf.DUMMYFUNCTION("""COMPUTED_VALUE"""),"Educación")</f>
        <v>Educación</v>
      </c>
      <c r="E1486" s="25"/>
      <c r="F1486" s="25"/>
      <c r="G1486" s="25"/>
      <c r="H1486" s="25"/>
      <c r="I1486" s="25"/>
      <c r="J1486" s="55"/>
      <c r="K1486" s="25" t="str">
        <f ca="1">IFERROR(__xludf.DUMMYFUNCTION("""COMPUTED_VALUE"""),"Definir fecha")</f>
        <v>Definir fecha</v>
      </c>
      <c r="L1486" s="62"/>
      <c r="M1486" s="25"/>
      <c r="N1486" s="25"/>
      <c r="O1486" s="25">
        <f t="shared" si="0"/>
        <v>0</v>
      </c>
      <c r="P1486" s="25" t="str">
        <f t="shared" si="2"/>
        <v/>
      </c>
      <c r="Q1486" s="25" t="str">
        <f ca="1">IFERROR(__xludf.DUMMYFUNCTION("""COMPUTED_VALUE"""),"Sin defenir")</f>
        <v>Sin defenir</v>
      </c>
      <c r="R1486" s="25"/>
      <c r="S1486" s="55"/>
      <c r="T1486" s="56"/>
      <c r="U1486" s="25"/>
      <c r="V1486" s="25"/>
      <c r="W1486" s="25"/>
      <c r="X1486" s="25"/>
      <c r="Y1486" s="25"/>
      <c r="Z1486" s="25"/>
    </row>
    <row r="1487" spans="1:26" ht="52.5" customHeight="1" x14ac:dyDescent="0.25">
      <c r="A1487" s="25" t="str">
        <f ca="1">IFERROR(__xludf.DUMMYFUNCTION("""COMPUTED_VALUE"""),"Educa285")</f>
        <v>Educa285</v>
      </c>
      <c r="B1487" s="25"/>
      <c r="C1487" s="55"/>
      <c r="D1487" s="25" t="str">
        <f ca="1">IFERROR(__xludf.DUMMYFUNCTION("""COMPUTED_VALUE"""),"Educación")</f>
        <v>Educación</v>
      </c>
      <c r="E1487" s="25"/>
      <c r="F1487" s="25"/>
      <c r="G1487" s="25"/>
      <c r="H1487" s="25"/>
      <c r="I1487" s="25"/>
      <c r="J1487" s="55"/>
      <c r="K1487" s="25" t="str">
        <f ca="1">IFERROR(__xludf.DUMMYFUNCTION("""COMPUTED_VALUE"""),"Definir fecha")</f>
        <v>Definir fecha</v>
      </c>
      <c r="L1487" s="62"/>
      <c r="M1487" s="25"/>
      <c r="N1487" s="25"/>
      <c r="O1487" s="25">
        <f t="shared" si="0"/>
        <v>0</v>
      </c>
      <c r="P1487" s="25" t="str">
        <f t="shared" si="2"/>
        <v/>
      </c>
      <c r="Q1487" s="25" t="str">
        <f ca="1">IFERROR(__xludf.DUMMYFUNCTION("""COMPUTED_VALUE"""),"Sin defenir")</f>
        <v>Sin defenir</v>
      </c>
      <c r="R1487" s="25"/>
      <c r="S1487" s="55"/>
      <c r="T1487" s="56"/>
      <c r="U1487" s="25"/>
      <c r="V1487" s="25"/>
      <c r="W1487" s="25"/>
      <c r="X1487" s="25"/>
      <c r="Y1487" s="25"/>
      <c r="Z1487" s="25"/>
    </row>
    <row r="1488" spans="1:26" ht="52.5" customHeight="1" x14ac:dyDescent="0.25">
      <c r="A1488" s="25" t="str">
        <f ca="1">IFERROR(__xludf.DUMMYFUNCTION("""COMPUTED_VALUE"""),"Educa286")</f>
        <v>Educa286</v>
      </c>
      <c r="B1488" s="25"/>
      <c r="C1488" s="55"/>
      <c r="D1488" s="25" t="str">
        <f ca="1">IFERROR(__xludf.DUMMYFUNCTION("""COMPUTED_VALUE"""),"Educación")</f>
        <v>Educación</v>
      </c>
      <c r="E1488" s="25"/>
      <c r="F1488" s="25"/>
      <c r="G1488" s="25"/>
      <c r="H1488" s="25"/>
      <c r="I1488" s="25"/>
      <c r="J1488" s="55"/>
      <c r="K1488" s="25" t="str">
        <f ca="1">IFERROR(__xludf.DUMMYFUNCTION("""COMPUTED_VALUE"""),"Definir fecha")</f>
        <v>Definir fecha</v>
      </c>
      <c r="L1488" s="62"/>
      <c r="M1488" s="25"/>
      <c r="N1488" s="25"/>
      <c r="O1488" s="25">
        <f t="shared" si="0"/>
        <v>0</v>
      </c>
      <c r="P1488" s="25" t="str">
        <f t="shared" si="2"/>
        <v/>
      </c>
      <c r="Q1488" s="25" t="str">
        <f ca="1">IFERROR(__xludf.DUMMYFUNCTION("""COMPUTED_VALUE"""),"Sin defenir")</f>
        <v>Sin defenir</v>
      </c>
      <c r="R1488" s="25"/>
      <c r="S1488" s="55"/>
      <c r="T1488" s="56"/>
      <c r="U1488" s="25"/>
      <c r="V1488" s="25"/>
      <c r="W1488" s="25"/>
      <c r="X1488" s="25"/>
      <c r="Y1488" s="25"/>
      <c r="Z1488" s="25"/>
    </row>
    <row r="1489" spans="1:26" ht="52.5" customHeight="1" x14ac:dyDescent="0.25">
      <c r="A1489" s="25" t="str">
        <f ca="1">IFERROR(__xludf.DUMMYFUNCTION("""COMPUTED_VALUE"""),"Educa287")</f>
        <v>Educa287</v>
      </c>
      <c r="B1489" s="25"/>
      <c r="C1489" s="55"/>
      <c r="D1489" s="25" t="str">
        <f ca="1">IFERROR(__xludf.DUMMYFUNCTION("""COMPUTED_VALUE"""),"Educación")</f>
        <v>Educación</v>
      </c>
      <c r="E1489" s="25"/>
      <c r="F1489" s="25"/>
      <c r="G1489" s="25"/>
      <c r="H1489" s="25"/>
      <c r="I1489" s="25"/>
      <c r="J1489" s="55"/>
      <c r="K1489" s="25" t="str">
        <f ca="1">IFERROR(__xludf.DUMMYFUNCTION("""COMPUTED_VALUE"""),"Definir fecha")</f>
        <v>Definir fecha</v>
      </c>
      <c r="L1489" s="62"/>
      <c r="M1489" s="25"/>
      <c r="N1489" s="25"/>
      <c r="O1489" s="25">
        <f t="shared" si="0"/>
        <v>0</v>
      </c>
      <c r="P1489" s="25" t="str">
        <f t="shared" si="2"/>
        <v/>
      </c>
      <c r="Q1489" s="25" t="str">
        <f ca="1">IFERROR(__xludf.DUMMYFUNCTION("""COMPUTED_VALUE"""),"Sin defenir")</f>
        <v>Sin defenir</v>
      </c>
      <c r="R1489" s="25"/>
      <c r="S1489" s="55"/>
      <c r="T1489" s="56"/>
      <c r="U1489" s="25"/>
      <c r="V1489" s="25"/>
      <c r="W1489" s="25"/>
      <c r="X1489" s="25"/>
      <c r="Y1489" s="25"/>
      <c r="Z1489" s="25"/>
    </row>
    <row r="1490" spans="1:26" ht="52.5" customHeight="1" x14ac:dyDescent="0.25">
      <c r="A1490" s="25" t="str">
        <f ca="1">IFERROR(__xludf.DUMMYFUNCTION("""COMPUTED_VALUE"""),"Educa288")</f>
        <v>Educa288</v>
      </c>
      <c r="B1490" s="25"/>
      <c r="C1490" s="55"/>
      <c r="D1490" s="25" t="str">
        <f ca="1">IFERROR(__xludf.DUMMYFUNCTION("""COMPUTED_VALUE"""),"Educación")</f>
        <v>Educación</v>
      </c>
      <c r="E1490" s="25"/>
      <c r="F1490" s="25"/>
      <c r="G1490" s="25"/>
      <c r="H1490" s="25"/>
      <c r="I1490" s="25"/>
      <c r="J1490" s="55"/>
      <c r="K1490" s="25" t="str">
        <f ca="1">IFERROR(__xludf.DUMMYFUNCTION("""COMPUTED_VALUE"""),"Definir fecha")</f>
        <v>Definir fecha</v>
      </c>
      <c r="L1490" s="62"/>
      <c r="M1490" s="25"/>
      <c r="N1490" s="25"/>
      <c r="O1490" s="25">
        <f t="shared" si="0"/>
        <v>0</v>
      </c>
      <c r="P1490" s="25" t="str">
        <f t="shared" si="2"/>
        <v/>
      </c>
      <c r="Q1490" s="25" t="str">
        <f ca="1">IFERROR(__xludf.DUMMYFUNCTION("""COMPUTED_VALUE"""),"Sin defenir")</f>
        <v>Sin defenir</v>
      </c>
      <c r="R1490" s="25"/>
      <c r="S1490" s="55"/>
      <c r="T1490" s="56"/>
      <c r="U1490" s="25"/>
      <c r="V1490" s="25"/>
      <c r="W1490" s="25"/>
      <c r="X1490" s="25"/>
      <c r="Y1490" s="25"/>
      <c r="Z1490" s="25"/>
    </row>
    <row r="1491" spans="1:26" ht="52.5" customHeight="1" x14ac:dyDescent="0.25">
      <c r="A1491" s="25" t="str">
        <f ca="1">IFERROR(__xludf.DUMMYFUNCTION("""COMPUTED_VALUE"""),"Educa289")</f>
        <v>Educa289</v>
      </c>
      <c r="B1491" s="25"/>
      <c r="C1491" s="55"/>
      <c r="D1491" s="25" t="str">
        <f ca="1">IFERROR(__xludf.DUMMYFUNCTION("""COMPUTED_VALUE"""),"Educación")</f>
        <v>Educación</v>
      </c>
      <c r="E1491" s="25"/>
      <c r="F1491" s="25"/>
      <c r="G1491" s="25"/>
      <c r="H1491" s="25"/>
      <c r="I1491" s="25"/>
      <c r="J1491" s="55"/>
      <c r="K1491" s="25" t="str">
        <f ca="1">IFERROR(__xludf.DUMMYFUNCTION("""COMPUTED_VALUE"""),"Definir fecha")</f>
        <v>Definir fecha</v>
      </c>
      <c r="L1491" s="62"/>
      <c r="M1491" s="25"/>
      <c r="N1491" s="25"/>
      <c r="O1491" s="25">
        <f t="shared" si="0"/>
        <v>0</v>
      </c>
      <c r="P1491" s="25" t="str">
        <f t="shared" si="2"/>
        <v/>
      </c>
      <c r="Q1491" s="25" t="str">
        <f ca="1">IFERROR(__xludf.DUMMYFUNCTION("""COMPUTED_VALUE"""),"Sin defenir")</f>
        <v>Sin defenir</v>
      </c>
      <c r="R1491" s="25"/>
      <c r="S1491" s="55"/>
      <c r="T1491" s="56"/>
      <c r="U1491" s="25"/>
      <c r="V1491" s="25"/>
      <c r="W1491" s="25"/>
      <c r="X1491" s="25"/>
      <c r="Y1491" s="25"/>
      <c r="Z1491" s="25"/>
    </row>
    <row r="1492" spans="1:26" ht="52.5" customHeight="1" x14ac:dyDescent="0.25">
      <c r="A1492" s="25" t="str">
        <f ca="1">IFERROR(__xludf.DUMMYFUNCTION("""COMPUTED_VALUE"""),"Educa290")</f>
        <v>Educa290</v>
      </c>
      <c r="B1492" s="25"/>
      <c r="C1492" s="55"/>
      <c r="D1492" s="25" t="str">
        <f ca="1">IFERROR(__xludf.DUMMYFUNCTION("""COMPUTED_VALUE"""),"Educación")</f>
        <v>Educación</v>
      </c>
      <c r="E1492" s="25"/>
      <c r="F1492" s="25"/>
      <c r="G1492" s="25"/>
      <c r="H1492" s="25"/>
      <c r="I1492" s="25"/>
      <c r="J1492" s="55"/>
      <c r="K1492" s="25" t="str">
        <f ca="1">IFERROR(__xludf.DUMMYFUNCTION("""COMPUTED_VALUE"""),"Definir fecha")</f>
        <v>Definir fecha</v>
      </c>
      <c r="L1492" s="62"/>
      <c r="M1492" s="25"/>
      <c r="N1492" s="25"/>
      <c r="O1492" s="25">
        <f t="shared" si="0"/>
        <v>0</v>
      </c>
      <c r="P1492" s="25" t="str">
        <f t="shared" si="2"/>
        <v/>
      </c>
      <c r="Q1492" s="25" t="str">
        <f ca="1">IFERROR(__xludf.DUMMYFUNCTION("""COMPUTED_VALUE"""),"Sin defenir")</f>
        <v>Sin defenir</v>
      </c>
      <c r="R1492" s="25"/>
      <c r="S1492" s="55"/>
      <c r="T1492" s="56"/>
      <c r="U1492" s="25"/>
      <c r="V1492" s="25"/>
      <c r="W1492" s="25"/>
      <c r="X1492" s="25"/>
      <c r="Y1492" s="25"/>
      <c r="Z1492" s="25"/>
    </row>
    <row r="1493" spans="1:26" ht="52.5" customHeight="1" x14ac:dyDescent="0.25">
      <c r="A1493" s="25" t="str">
        <f ca="1">IFERROR(__xludf.DUMMYFUNCTION("""COMPUTED_VALUE"""),"Educa291")</f>
        <v>Educa291</v>
      </c>
      <c r="B1493" s="25"/>
      <c r="C1493" s="55"/>
      <c r="D1493" s="25" t="str">
        <f ca="1">IFERROR(__xludf.DUMMYFUNCTION("""COMPUTED_VALUE"""),"Educación")</f>
        <v>Educación</v>
      </c>
      <c r="E1493" s="25"/>
      <c r="F1493" s="25"/>
      <c r="G1493" s="25"/>
      <c r="H1493" s="25"/>
      <c r="I1493" s="25"/>
      <c r="J1493" s="55"/>
      <c r="K1493" s="25" t="str">
        <f ca="1">IFERROR(__xludf.DUMMYFUNCTION("""COMPUTED_VALUE"""),"Definir fecha")</f>
        <v>Definir fecha</v>
      </c>
      <c r="L1493" s="62"/>
      <c r="M1493" s="25"/>
      <c r="N1493" s="25"/>
      <c r="O1493" s="25">
        <f t="shared" si="0"/>
        <v>0</v>
      </c>
      <c r="P1493" s="25" t="str">
        <f t="shared" si="2"/>
        <v/>
      </c>
      <c r="Q1493" s="25" t="str">
        <f ca="1">IFERROR(__xludf.DUMMYFUNCTION("""COMPUTED_VALUE"""),"Sin defenir")</f>
        <v>Sin defenir</v>
      </c>
      <c r="R1493" s="25"/>
      <c r="S1493" s="55"/>
      <c r="T1493" s="56"/>
      <c r="U1493" s="25"/>
      <c r="V1493" s="25"/>
      <c r="W1493" s="25"/>
      <c r="X1493" s="25"/>
      <c r="Y1493" s="25"/>
      <c r="Z1493" s="25"/>
    </row>
    <row r="1494" spans="1:26" ht="52.5" customHeight="1" x14ac:dyDescent="0.25">
      <c r="A1494" s="25" t="str">
        <f ca="1">IFERROR(__xludf.DUMMYFUNCTION("""COMPUTED_VALUE"""),"Educa292")</f>
        <v>Educa292</v>
      </c>
      <c r="B1494" s="25"/>
      <c r="C1494" s="55"/>
      <c r="D1494" s="25" t="str">
        <f ca="1">IFERROR(__xludf.DUMMYFUNCTION("""COMPUTED_VALUE"""),"Educación")</f>
        <v>Educación</v>
      </c>
      <c r="E1494" s="25"/>
      <c r="F1494" s="25"/>
      <c r="G1494" s="25"/>
      <c r="H1494" s="25"/>
      <c r="I1494" s="25"/>
      <c r="J1494" s="55"/>
      <c r="K1494" s="25" t="str">
        <f ca="1">IFERROR(__xludf.DUMMYFUNCTION("""COMPUTED_VALUE"""),"Definir fecha")</f>
        <v>Definir fecha</v>
      </c>
      <c r="L1494" s="62"/>
      <c r="M1494" s="25"/>
      <c r="N1494" s="25"/>
      <c r="O1494" s="25">
        <f t="shared" si="0"/>
        <v>0</v>
      </c>
      <c r="P1494" s="25" t="str">
        <f t="shared" si="2"/>
        <v/>
      </c>
      <c r="Q1494" s="25" t="str">
        <f ca="1">IFERROR(__xludf.DUMMYFUNCTION("""COMPUTED_VALUE"""),"Sin defenir")</f>
        <v>Sin defenir</v>
      </c>
      <c r="R1494" s="25"/>
      <c r="S1494" s="55"/>
      <c r="T1494" s="56"/>
      <c r="U1494" s="25"/>
      <c r="V1494" s="25"/>
      <c r="W1494" s="25"/>
      <c r="X1494" s="25"/>
      <c r="Y1494" s="25"/>
      <c r="Z1494" s="25"/>
    </row>
    <row r="1495" spans="1:26" ht="52.5" customHeight="1" x14ac:dyDescent="0.25">
      <c r="A1495" s="25" t="str">
        <f ca="1">IFERROR(__xludf.DUMMYFUNCTION("""COMPUTED_VALUE"""),"Educa293")</f>
        <v>Educa293</v>
      </c>
      <c r="B1495" s="25"/>
      <c r="C1495" s="55"/>
      <c r="D1495" s="25" t="str">
        <f ca="1">IFERROR(__xludf.DUMMYFUNCTION("""COMPUTED_VALUE"""),"Educación")</f>
        <v>Educación</v>
      </c>
      <c r="E1495" s="25"/>
      <c r="F1495" s="25"/>
      <c r="G1495" s="25"/>
      <c r="H1495" s="25"/>
      <c r="I1495" s="25"/>
      <c r="J1495" s="55"/>
      <c r="K1495" s="25" t="str">
        <f ca="1">IFERROR(__xludf.DUMMYFUNCTION("""COMPUTED_VALUE"""),"Definir fecha")</f>
        <v>Definir fecha</v>
      </c>
      <c r="L1495" s="62"/>
      <c r="M1495" s="25"/>
      <c r="N1495" s="25"/>
      <c r="O1495" s="25">
        <f t="shared" si="0"/>
        <v>0</v>
      </c>
      <c r="P1495" s="25" t="str">
        <f t="shared" si="2"/>
        <v/>
      </c>
      <c r="Q1495" s="25" t="str">
        <f ca="1">IFERROR(__xludf.DUMMYFUNCTION("""COMPUTED_VALUE"""),"Sin defenir")</f>
        <v>Sin defenir</v>
      </c>
      <c r="R1495" s="25"/>
      <c r="S1495" s="55"/>
      <c r="T1495" s="56"/>
      <c r="U1495" s="25"/>
      <c r="V1495" s="25"/>
      <c r="W1495" s="25"/>
      <c r="X1495" s="25"/>
      <c r="Y1495" s="25"/>
      <c r="Z1495" s="25"/>
    </row>
    <row r="1496" spans="1:26" ht="52.5" customHeight="1" x14ac:dyDescent="0.25">
      <c r="A1496" s="25" t="str">
        <f ca="1">IFERROR(__xludf.DUMMYFUNCTION("""COMPUTED_VALUE"""),"Educa294")</f>
        <v>Educa294</v>
      </c>
      <c r="B1496" s="25"/>
      <c r="C1496" s="55"/>
      <c r="D1496" s="25" t="str">
        <f ca="1">IFERROR(__xludf.DUMMYFUNCTION("""COMPUTED_VALUE"""),"Educación")</f>
        <v>Educación</v>
      </c>
      <c r="E1496" s="25"/>
      <c r="F1496" s="25"/>
      <c r="G1496" s="25"/>
      <c r="H1496" s="25"/>
      <c r="I1496" s="25"/>
      <c r="J1496" s="55"/>
      <c r="K1496" s="25" t="str">
        <f ca="1">IFERROR(__xludf.DUMMYFUNCTION("""COMPUTED_VALUE"""),"Definir fecha")</f>
        <v>Definir fecha</v>
      </c>
      <c r="L1496" s="62"/>
      <c r="M1496" s="25"/>
      <c r="N1496" s="25"/>
      <c r="O1496" s="25">
        <f t="shared" si="0"/>
        <v>0</v>
      </c>
      <c r="P1496" s="25" t="str">
        <f t="shared" si="2"/>
        <v/>
      </c>
      <c r="Q1496" s="25" t="str">
        <f ca="1">IFERROR(__xludf.DUMMYFUNCTION("""COMPUTED_VALUE"""),"Sin defenir")</f>
        <v>Sin defenir</v>
      </c>
      <c r="R1496" s="25"/>
      <c r="S1496" s="55"/>
      <c r="T1496" s="56"/>
      <c r="U1496" s="25"/>
      <c r="V1496" s="25"/>
      <c r="W1496" s="25"/>
      <c r="X1496" s="25"/>
      <c r="Y1496" s="25"/>
      <c r="Z1496" s="25"/>
    </row>
    <row r="1497" spans="1:26" ht="52.5" customHeight="1" x14ac:dyDescent="0.25">
      <c r="A1497" s="25" t="str">
        <f ca="1">IFERROR(__xludf.DUMMYFUNCTION("""COMPUTED_VALUE"""),"Educa295")</f>
        <v>Educa295</v>
      </c>
      <c r="B1497" s="25"/>
      <c r="C1497" s="55"/>
      <c r="D1497" s="25" t="str">
        <f ca="1">IFERROR(__xludf.DUMMYFUNCTION("""COMPUTED_VALUE"""),"Educación")</f>
        <v>Educación</v>
      </c>
      <c r="E1497" s="25"/>
      <c r="F1497" s="25"/>
      <c r="G1497" s="25"/>
      <c r="H1497" s="25"/>
      <c r="I1497" s="25"/>
      <c r="J1497" s="55"/>
      <c r="K1497" s="25" t="str">
        <f ca="1">IFERROR(__xludf.DUMMYFUNCTION("""COMPUTED_VALUE"""),"Definir fecha")</f>
        <v>Definir fecha</v>
      </c>
      <c r="L1497" s="62"/>
      <c r="M1497" s="25"/>
      <c r="N1497" s="25"/>
      <c r="O1497" s="25">
        <f t="shared" si="0"/>
        <v>0</v>
      </c>
      <c r="P1497" s="25" t="str">
        <f t="shared" si="2"/>
        <v/>
      </c>
      <c r="Q1497" s="25" t="str">
        <f ca="1">IFERROR(__xludf.DUMMYFUNCTION("""COMPUTED_VALUE"""),"Sin defenir")</f>
        <v>Sin defenir</v>
      </c>
      <c r="R1497" s="25"/>
      <c r="S1497" s="55"/>
      <c r="T1497" s="56"/>
      <c r="U1497" s="25"/>
      <c r="V1497" s="25"/>
      <c r="W1497" s="25"/>
      <c r="X1497" s="25"/>
      <c r="Y1497" s="25"/>
      <c r="Z1497" s="25"/>
    </row>
    <row r="1498" spans="1:26" ht="52.5" customHeight="1" x14ac:dyDescent="0.25">
      <c r="A1498" s="25" t="str">
        <f ca="1">IFERROR(__xludf.DUMMYFUNCTION("""COMPUTED_VALUE"""),"Educa296")</f>
        <v>Educa296</v>
      </c>
      <c r="B1498" s="25"/>
      <c r="C1498" s="55"/>
      <c r="D1498" s="25" t="str">
        <f ca="1">IFERROR(__xludf.DUMMYFUNCTION("""COMPUTED_VALUE"""),"Educación")</f>
        <v>Educación</v>
      </c>
      <c r="E1498" s="25"/>
      <c r="F1498" s="25"/>
      <c r="G1498" s="25"/>
      <c r="H1498" s="25"/>
      <c r="I1498" s="25"/>
      <c r="J1498" s="55"/>
      <c r="K1498" s="25" t="str">
        <f ca="1">IFERROR(__xludf.DUMMYFUNCTION("""COMPUTED_VALUE"""),"Definir fecha")</f>
        <v>Definir fecha</v>
      </c>
      <c r="L1498" s="62"/>
      <c r="M1498" s="25"/>
      <c r="N1498" s="25"/>
      <c r="O1498" s="25">
        <f t="shared" si="0"/>
        <v>0</v>
      </c>
      <c r="P1498" s="25" t="str">
        <f t="shared" si="2"/>
        <v/>
      </c>
      <c r="Q1498" s="25" t="str">
        <f ca="1">IFERROR(__xludf.DUMMYFUNCTION("""COMPUTED_VALUE"""),"Sin defenir")</f>
        <v>Sin defenir</v>
      </c>
      <c r="R1498" s="25"/>
      <c r="S1498" s="55"/>
      <c r="T1498" s="56"/>
      <c r="U1498" s="25"/>
      <c r="V1498" s="25"/>
      <c r="W1498" s="25"/>
      <c r="X1498" s="25"/>
      <c r="Y1498" s="25"/>
      <c r="Z1498" s="25"/>
    </row>
    <row r="1499" spans="1:26" ht="52.5" customHeight="1" x14ac:dyDescent="0.25">
      <c r="A1499" s="25" t="str">
        <f ca="1">IFERROR(__xludf.DUMMYFUNCTION("""COMPUTED_VALUE"""),"Educa297")</f>
        <v>Educa297</v>
      </c>
      <c r="B1499" s="25"/>
      <c r="C1499" s="55"/>
      <c r="D1499" s="25" t="str">
        <f ca="1">IFERROR(__xludf.DUMMYFUNCTION("""COMPUTED_VALUE"""),"Educación")</f>
        <v>Educación</v>
      </c>
      <c r="E1499" s="25"/>
      <c r="F1499" s="25"/>
      <c r="G1499" s="25"/>
      <c r="H1499" s="25"/>
      <c r="I1499" s="25"/>
      <c r="J1499" s="55"/>
      <c r="K1499" s="25" t="str">
        <f ca="1">IFERROR(__xludf.DUMMYFUNCTION("""COMPUTED_VALUE"""),"Definir fecha")</f>
        <v>Definir fecha</v>
      </c>
      <c r="L1499" s="62"/>
      <c r="M1499" s="25"/>
      <c r="N1499" s="25"/>
      <c r="O1499" s="25">
        <f t="shared" si="0"/>
        <v>0</v>
      </c>
      <c r="P1499" s="25" t="str">
        <f t="shared" si="2"/>
        <v/>
      </c>
      <c r="Q1499" s="25" t="str">
        <f ca="1">IFERROR(__xludf.DUMMYFUNCTION("""COMPUTED_VALUE"""),"Sin defenir")</f>
        <v>Sin defenir</v>
      </c>
      <c r="R1499" s="25"/>
      <c r="S1499" s="55"/>
      <c r="T1499" s="56"/>
      <c r="U1499" s="25"/>
      <c r="V1499" s="25"/>
      <c r="W1499" s="25"/>
      <c r="X1499" s="25"/>
      <c r="Y1499" s="25"/>
      <c r="Z1499" s="25"/>
    </row>
    <row r="1500" spans="1:26" ht="52.5" customHeight="1" x14ac:dyDescent="0.25">
      <c r="A1500" s="25" t="str">
        <f ca="1">IFERROR(__xludf.DUMMYFUNCTION("""COMPUTED_VALUE"""),"Educa298")</f>
        <v>Educa298</v>
      </c>
      <c r="B1500" s="25"/>
      <c r="C1500" s="55"/>
      <c r="D1500" s="25" t="str">
        <f ca="1">IFERROR(__xludf.DUMMYFUNCTION("""COMPUTED_VALUE"""),"Educación")</f>
        <v>Educación</v>
      </c>
      <c r="E1500" s="25"/>
      <c r="F1500" s="25"/>
      <c r="G1500" s="25"/>
      <c r="H1500" s="25"/>
      <c r="I1500" s="25"/>
      <c r="J1500" s="55"/>
      <c r="K1500" s="25" t="str">
        <f ca="1">IFERROR(__xludf.DUMMYFUNCTION("""COMPUTED_VALUE"""),"Definir fecha")</f>
        <v>Definir fecha</v>
      </c>
      <c r="L1500" s="62"/>
      <c r="M1500" s="25"/>
      <c r="N1500" s="25"/>
      <c r="O1500" s="25">
        <f t="shared" si="0"/>
        <v>0</v>
      </c>
      <c r="P1500" s="25" t="str">
        <f t="shared" si="2"/>
        <v/>
      </c>
      <c r="Q1500" s="25" t="str">
        <f ca="1">IFERROR(__xludf.DUMMYFUNCTION("""COMPUTED_VALUE"""),"Sin defenir")</f>
        <v>Sin defenir</v>
      </c>
      <c r="R1500" s="25"/>
      <c r="S1500" s="55"/>
      <c r="T1500" s="56"/>
      <c r="U1500" s="25"/>
      <c r="V1500" s="25"/>
      <c r="W1500" s="25"/>
      <c r="X1500" s="25"/>
      <c r="Y1500" s="25"/>
      <c r="Z1500" s="25"/>
    </row>
    <row r="1501" spans="1:26" ht="52.5" customHeight="1" x14ac:dyDescent="0.25">
      <c r="A1501" s="25" t="str">
        <f ca="1">IFERROR(__xludf.DUMMYFUNCTION("""COMPUTED_VALUE"""),"Educa299")</f>
        <v>Educa299</v>
      </c>
      <c r="B1501" s="25"/>
      <c r="C1501" s="55"/>
      <c r="D1501" s="25" t="str">
        <f ca="1">IFERROR(__xludf.DUMMYFUNCTION("""COMPUTED_VALUE"""),"Educación")</f>
        <v>Educación</v>
      </c>
      <c r="E1501" s="25"/>
      <c r="F1501" s="25"/>
      <c r="G1501" s="25"/>
      <c r="H1501" s="25"/>
      <c r="I1501" s="25"/>
      <c r="J1501" s="55"/>
      <c r="K1501" s="25" t="str">
        <f ca="1">IFERROR(__xludf.DUMMYFUNCTION("""COMPUTED_VALUE"""),"Definir fecha")</f>
        <v>Definir fecha</v>
      </c>
      <c r="L1501" s="62"/>
      <c r="M1501" s="25"/>
      <c r="N1501" s="25"/>
      <c r="O1501" s="25">
        <f t="shared" si="0"/>
        <v>0</v>
      </c>
      <c r="P1501" s="25" t="str">
        <f t="shared" si="2"/>
        <v/>
      </c>
      <c r="Q1501" s="25" t="str">
        <f ca="1">IFERROR(__xludf.DUMMYFUNCTION("""COMPUTED_VALUE"""),"Sin defenir")</f>
        <v>Sin defenir</v>
      </c>
      <c r="R1501" s="25"/>
      <c r="S1501" s="55"/>
      <c r="T1501" s="56"/>
      <c r="U1501" s="25"/>
      <c r="V1501" s="25"/>
      <c r="W1501" s="25"/>
      <c r="X1501" s="25"/>
      <c r="Y1501" s="25"/>
      <c r="Z1501" s="25"/>
    </row>
    <row r="1502" spans="1:26" ht="52.5" customHeight="1" x14ac:dyDescent="0.25">
      <c r="A1502" s="25" t="str">
        <f ca="1">IFERROR(__xludf.DUMMYFUNCTION("""COMPUTED_VALUE"""),"Educa300")</f>
        <v>Educa300</v>
      </c>
      <c r="B1502" s="25"/>
      <c r="C1502" s="55"/>
      <c r="D1502" s="25" t="str">
        <f ca="1">IFERROR(__xludf.DUMMYFUNCTION("""COMPUTED_VALUE"""),"Educación")</f>
        <v>Educación</v>
      </c>
      <c r="E1502" s="25"/>
      <c r="F1502" s="25"/>
      <c r="G1502" s="25"/>
      <c r="H1502" s="25"/>
      <c r="I1502" s="25"/>
      <c r="J1502" s="55"/>
      <c r="K1502" s="25" t="str">
        <f ca="1">IFERROR(__xludf.DUMMYFUNCTION("""COMPUTED_VALUE"""),"Definir fecha")</f>
        <v>Definir fecha</v>
      </c>
      <c r="L1502" s="62"/>
      <c r="M1502" s="25"/>
      <c r="N1502" s="25"/>
      <c r="O1502" s="25">
        <f t="shared" si="0"/>
        <v>0</v>
      </c>
      <c r="P1502" s="25" t="str">
        <f t="shared" si="2"/>
        <v/>
      </c>
      <c r="Q1502" s="25" t="str">
        <f ca="1">IFERROR(__xludf.DUMMYFUNCTION("""COMPUTED_VALUE"""),"Sin defenir")</f>
        <v>Sin defenir</v>
      </c>
      <c r="R1502" s="25"/>
      <c r="S1502" s="55"/>
      <c r="T1502" s="56"/>
      <c r="U1502" s="25"/>
      <c r="V1502" s="25"/>
      <c r="W1502" s="25"/>
      <c r="X1502" s="25"/>
      <c r="Y1502" s="25"/>
      <c r="Z1502" s="25"/>
    </row>
    <row r="1503" spans="1:26" ht="52.5" customHeight="1" x14ac:dyDescent="0.25">
      <c r="A1503" s="25" t="str">
        <f ca="1">IFERROR(__xludf.DUMMYFUNCTION("IMPORTRANGE(""https://docs.google.com/spreadsheets/d/1SUh42QDwFP8obN0GNIj4rWfstJx5kDi_GF8-hP5_7Ug/edit#gid=330735094"",""Gobierno!A2:K301"")"),"Gobie1")</f>
        <v>Gobie1</v>
      </c>
      <c r="B1503" s="25" t="str">
        <f ca="1">IFERROR(__xludf.DUMMYFUNCTION("""COMPUTED_VALUE"""),"Revisión prioridades sector Gobierno")</f>
        <v>Revisión prioridades sector Gobierno</v>
      </c>
      <c r="C1503" s="55">
        <f ca="1">IFERROR(__xludf.DUMMYFUNCTION("""COMPUTED_VALUE"""),44418)</f>
        <v>44418</v>
      </c>
      <c r="D1503" s="25" t="str">
        <f ca="1">IFERROR(__xludf.DUMMYFUNCTION("""COMPUTED_VALUE"""),"Gobierno")</f>
        <v>Gobierno</v>
      </c>
      <c r="E1503" s="25" t="str">
        <f ca="1">IFERROR(__xludf.DUMMYFUNCTION("""COMPUTED_VALUE"""),"Departamento Administrativo de la Defensoría del Espacio Público")</f>
        <v>Departamento Administrativo de la Defensoría del Espacio Público</v>
      </c>
      <c r="F1503" s="25" t="str">
        <f ca="1">IFERROR(__xludf.DUMMYFUNCTION("""COMPUTED_VALUE"""),"Hacer una reunión entre DADEP y Catastro para revisar el proyecto de CAN y redefinir el cronograma de entrega de espacio público del proyecto")</f>
        <v>Hacer una reunión entre DADEP y Catastro para revisar el proyecto de CAN y redefinir el cronograma de entrega de espacio público del proyecto</v>
      </c>
      <c r="G1503" s="25" t="str">
        <f ca="1">IFERROR(__xludf.DUMMYFUNCTION("""COMPUTED_VALUE"""),"99. Distrito")</f>
        <v>99. Distrito</v>
      </c>
      <c r="H1503" s="55">
        <f ca="1">IFERROR(__xludf.DUMMYFUNCTION("""COMPUTED_VALUE"""),44448)</f>
        <v>44448</v>
      </c>
      <c r="I1503" s="25"/>
      <c r="J1503" s="55" t="str">
        <f ca="1">IFERROR(__xludf.DUMMYFUNCTION("""COMPUTED_VALUE"""),"Alta")</f>
        <v>Alta</v>
      </c>
      <c r="K1503" s="25">
        <f ca="1">IFERROR(__xludf.DUMMYFUNCTION("""COMPUTED_VALUE"""),30)</f>
        <v>30</v>
      </c>
      <c r="L1503" s="62">
        <f ca="1">IFERROR(__xludf.DUMMYFUNCTION("IMPORTRANGE(""https://docs.google.com/spreadsheets/d/1SUh42QDwFP8obN0GNIj4rWfstJx5kDi_GF8-hP5_7Ug/edit#gid=330735094"",""Gobierno!M2:O301"")"),44454)</f>
        <v>44454</v>
      </c>
      <c r="M1503" s="25" t="str">
        <f ca="1">IFERROR(__xludf.DUMMYFUNCTION("""COMPUTED_VALUE"""),"Se asistió el día 13 de agosto en la sede de IDPC  donde se presentaron los avances de la tarea con relación a los predios de la UG1 - PPRU CAN con la UAECD, ANIVP SDP, DADEP y se definió mesa de trabajo para el día 18 de agosto con las mismas entidades y"&amp;" programar mesa con Superintendencia de Notariado y Registro; se realizaron mesas de trabajo con catastro, la Secretaría Distrital de Planeación donde se definieron las acciones técnicas y jurídicas a presentarle a la Superintendencia de Notariado y Regis"&amp;"tro y a la Registradora Zona Centro donde se presentaron las opciones para avanzar en los procesos de incorporación del proyecto urbanístico")</f>
        <v>Se asistió el día 13 de agosto en la sede de IDPC  donde se presentaron los avances de la tarea con relación a los predios de la UG1 - PPRU CAN con la UAECD, ANIVP SDP, DADEP y se definió mesa de trabajo para el día 18 de agosto con las mismas entidades y programar mesa con Superintendencia de Notariado y Registro; se realizaron mesas de trabajo con catastro, la Secretaría Distrital de Planeación donde se definieron las acciones técnicas y jurídicas a presentarle a la Superintendencia de Notariado y Registro y a la Registradora Zona Centro donde se presentaron las opciones para avanzar en los procesos de incorporación del proyecto urbanístico</v>
      </c>
      <c r="N1503" s="55">
        <f ca="1">IFERROR(__xludf.DUMMYFUNCTION("""COMPUTED_VALUE"""),44454)</f>
        <v>44454</v>
      </c>
      <c r="O1503" s="25" t="str">
        <f t="shared" ca="1" si="0"/>
        <v>Departamento Administrativo de la Defensoría del Espacio Público</v>
      </c>
      <c r="P1503" s="25" t="str">
        <f t="shared" si="2"/>
        <v/>
      </c>
      <c r="Q1503" s="25" t="str">
        <f ca="1">IFERROR(__xludf.DUMMYFUNCTION("IMPORTRANGE(""https://docs.google.com/spreadsheets/d/1SUh42QDwFP8obN0GNIj4rWfstJx5kDi_GF8-hP5_7Ug/edit#gid=330735094"",""Gobierno!L2:L301"")"),"Corto plazo")</f>
        <v>Corto plazo</v>
      </c>
      <c r="R1503" s="25"/>
      <c r="S1503" s="55"/>
      <c r="T1503" s="56"/>
      <c r="U1503" s="25"/>
      <c r="V1503" s="25"/>
      <c r="W1503" s="25"/>
      <c r="X1503" s="25"/>
      <c r="Y1503" s="25"/>
      <c r="Z1503" s="25"/>
    </row>
    <row r="1504" spans="1:26" ht="52.5" customHeight="1" x14ac:dyDescent="0.25">
      <c r="A1504" s="25" t="str">
        <f ca="1">IFERROR(__xludf.DUMMYFUNCTION("""COMPUTED_VALUE"""),"Gobie2")</f>
        <v>Gobie2</v>
      </c>
      <c r="B1504" s="25" t="str">
        <f ca="1">IFERROR(__xludf.DUMMYFUNCTION("""COMPUTED_VALUE"""),"Revisión prioridades sector Gobierno")</f>
        <v>Revisión prioridades sector Gobierno</v>
      </c>
      <c r="C1504" s="55">
        <f ca="1">IFERROR(__xludf.DUMMYFUNCTION("""COMPUTED_VALUE"""),44417)</f>
        <v>44417</v>
      </c>
      <c r="D1504" s="25" t="str">
        <f ca="1">IFERROR(__xludf.DUMMYFUNCTION("""COMPUTED_VALUE"""),"Gobierno")</f>
        <v>Gobierno</v>
      </c>
      <c r="E1504" s="25" t="str">
        <f ca="1">IFERROR(__xludf.DUMMYFUNCTION("""COMPUTED_VALUE"""),"Instituto Distrital de la Participación y Acción Comunal")</f>
        <v>Instituto Distrital de la Participación y Acción Comunal</v>
      </c>
      <c r="F1504" s="25" t="str">
        <f ca="1">IFERROR(__xludf.DUMMYFUNCTION("""COMPUTED_VALUE"""),"Trasladar el Simón Bolívar de los heroes al parque de la independencia")</f>
        <v>Trasladar el Simón Bolívar de los heroes al parque de la independencia</v>
      </c>
      <c r="G1504" s="25" t="str">
        <f ca="1">IFERROR(__xludf.DUMMYFUNCTION("""COMPUTED_VALUE"""),"99. Distrito")</f>
        <v>99. Distrito</v>
      </c>
      <c r="H1504" s="55">
        <f ca="1">IFERROR(__xludf.DUMMYFUNCTION("""COMPUTED_VALUE"""),44447)</f>
        <v>44447</v>
      </c>
      <c r="I1504" s="25"/>
      <c r="J1504" s="55" t="str">
        <f ca="1">IFERROR(__xludf.DUMMYFUNCTION("""COMPUTED_VALUE"""),"Alta")</f>
        <v>Alta</v>
      </c>
      <c r="K1504" s="25">
        <f ca="1">IFERROR(__xludf.DUMMYFUNCTION("""COMPUTED_VALUE"""),30)</f>
        <v>30</v>
      </c>
      <c r="L1504" s="62">
        <f ca="1">IFERROR(__xludf.DUMMYFUNCTION("""COMPUTED_VALUE"""),44454)</f>
        <v>44454</v>
      </c>
      <c r="M1504" s="25" t="str">
        <f ca="1">IFERROR(__xludf.DUMMYFUNCTION("""COMPUTED_VALUE"""),"Es preciso recordar que la entidad líder de este compromiso es el IDPC y no el IDPAC. Frente al mismo hemos hecho: 1. Se ha apoyado al IDPC en el diseño de consultas y dinámicas participativas; 2. Estar en espacios con comunidad y actores estratégicos ide"&amp;"ntificados por el IDPC para escuchar y mirar visiones de la gente frente al traslado; 3. Ayudar a diseñar una propuesta para que el traslado incluya que algunos elementos vayan al museo de Bogotá, y que haya una exposición permanente en la estación del me"&amp;"tro que habrá en este punto de la ciudad.")</f>
        <v>Es preciso recordar que la entidad líder de este compromiso es el IDPC y no el IDPAC. Frente al mismo hemos hecho: 1. Se ha apoyado al IDPC en el diseño de consultas y dinámicas participativas; 2. Estar en espacios con comunidad y actores estratégicos identificados por el IDPC para escuchar y mirar visiones de la gente frente al traslado; 3. Ayudar a diseñar una propuesta para que el traslado incluya que algunos elementos vayan al museo de Bogotá, y que haya una exposición permanente en la estación del metro que habrá en este punto de la ciudad.</v>
      </c>
      <c r="N1504" s="55">
        <f ca="1">IFERROR(__xludf.DUMMYFUNCTION("""COMPUTED_VALUE"""),44454)</f>
        <v>44454</v>
      </c>
      <c r="O1504" s="25" t="str">
        <f t="shared" ca="1" si="0"/>
        <v>Instituto Distrital de la Participación y Acción Comunal</v>
      </c>
      <c r="P1504" s="25" t="str">
        <f t="shared" si="2"/>
        <v/>
      </c>
      <c r="Q1504" s="25" t="str">
        <f ca="1">IFERROR(__xludf.DUMMYFUNCTION("""COMPUTED_VALUE"""),"Corto plazo")</f>
        <v>Corto plazo</v>
      </c>
      <c r="R1504" s="25"/>
      <c r="S1504" s="55"/>
      <c r="T1504" s="56"/>
      <c r="U1504" s="25"/>
      <c r="V1504" s="25"/>
      <c r="W1504" s="25"/>
      <c r="X1504" s="25"/>
      <c r="Y1504" s="25"/>
      <c r="Z1504" s="25"/>
    </row>
    <row r="1505" spans="1:26" ht="52.5" customHeight="1" x14ac:dyDescent="0.25">
      <c r="A1505" s="25" t="str">
        <f ca="1">IFERROR(__xludf.DUMMYFUNCTION("""COMPUTED_VALUE"""),"Gobie3")</f>
        <v>Gobie3</v>
      </c>
      <c r="B1505" s="25" t="str">
        <f ca="1">IFERROR(__xludf.DUMMYFUNCTION("""COMPUTED_VALUE"""),"Revisión prioridades sector Gobierno")</f>
        <v>Revisión prioridades sector Gobierno</v>
      </c>
      <c r="C1505" s="55">
        <f ca="1">IFERROR(__xludf.DUMMYFUNCTION("""COMPUTED_VALUE"""),44404)</f>
        <v>44404</v>
      </c>
      <c r="D1505" s="25" t="str">
        <f ca="1">IFERROR(__xludf.DUMMYFUNCTION("""COMPUTED_VALUE"""),"Gobierno")</f>
        <v>Gobierno</v>
      </c>
      <c r="E1505" s="25" t="str">
        <f ca="1">IFERROR(__xludf.DUMMYFUNCTION("""COMPUTED_VALUE"""),"Secretaría Distrital de Gobierno")</f>
        <v>Secretaría Distrital de Gobierno</v>
      </c>
      <c r="F1505" s="25" t="str">
        <f ca="1">IFERROR(__xludf.DUMMYFUNCTION("""COMPUTED_VALUE"""),"Hacer mesa de garantías en Cundinamarca con el gobernador- Secretaría de Gobierno")</f>
        <v>Hacer mesa de garantías en Cundinamarca con el gobernador- Secretaría de Gobierno</v>
      </c>
      <c r="G1505" s="25" t="str">
        <f ca="1">IFERROR(__xludf.DUMMYFUNCTION("""COMPUTED_VALUE"""),"99. Distrito")</f>
        <v>99. Distrito</v>
      </c>
      <c r="H1505" s="55">
        <f ca="1">IFERROR(__xludf.DUMMYFUNCTION("""COMPUTED_VALUE"""),44434)</f>
        <v>44434</v>
      </c>
      <c r="I1505" s="25"/>
      <c r="J1505" s="55" t="str">
        <f ca="1">IFERROR(__xludf.DUMMYFUNCTION("""COMPUTED_VALUE"""),"Alta")</f>
        <v>Alta</v>
      </c>
      <c r="K1505" s="25">
        <f ca="1">IFERROR(__xludf.DUMMYFUNCTION("""COMPUTED_VALUE"""),30)</f>
        <v>30</v>
      </c>
      <c r="L1505" s="62">
        <f ca="1">IFERROR(__xludf.DUMMYFUNCTION("""COMPUTED_VALUE"""),44454)</f>
        <v>44454</v>
      </c>
      <c r="M1505" s="25" t="str">
        <f ca="1">IFERROR(__xludf.DUMMYFUNCTION("""COMPUTED_VALUE"""),"La SDG solo tiene una mesa distrital de garantías, y a solicitud del gobierno nacional acompaña la mesa nacional. No se ve conveniente convocar mesa de garantías con la gobernación en este momento debido a que está suspendida la mesa de diálogo con la pri"&amp;"mera línea")</f>
        <v>La SDG solo tiene una mesa distrital de garantías, y a solicitud del gobierno nacional acompaña la mesa nacional. No se ve conveniente convocar mesa de garantías con la gobernación en este momento debido a que está suspendida la mesa de diálogo con la primera línea</v>
      </c>
      <c r="N1505" s="55">
        <f ca="1">IFERROR(__xludf.DUMMYFUNCTION("""COMPUTED_VALUE"""),44454)</f>
        <v>44454</v>
      </c>
      <c r="O1505" s="25" t="str">
        <f t="shared" ca="1" si="0"/>
        <v>Secretaría Distrital de Gobierno</v>
      </c>
      <c r="P1505" s="25" t="str">
        <f t="shared" si="2"/>
        <v/>
      </c>
      <c r="Q1505" s="25" t="str">
        <f ca="1">IFERROR(__xludf.DUMMYFUNCTION("""COMPUTED_VALUE"""),"Corto plazo")</f>
        <v>Corto plazo</v>
      </c>
      <c r="R1505" s="25"/>
      <c r="S1505" s="55"/>
      <c r="T1505" s="56"/>
      <c r="U1505" s="25"/>
      <c r="V1505" s="25"/>
      <c r="W1505" s="25"/>
      <c r="X1505" s="25"/>
      <c r="Y1505" s="25"/>
      <c r="Z1505" s="25"/>
    </row>
    <row r="1506" spans="1:26" ht="52.5" customHeight="1" x14ac:dyDescent="0.25">
      <c r="A1506" s="25" t="str">
        <f ca="1">IFERROR(__xludf.DUMMYFUNCTION("""COMPUTED_VALUE"""),"Gobie4")</f>
        <v>Gobie4</v>
      </c>
      <c r="B1506" s="25" t="str">
        <f ca="1">IFERROR(__xludf.DUMMYFUNCTION("""COMPUTED_VALUE"""),"Revisión prioridades sector Gobierno")</f>
        <v>Revisión prioridades sector Gobierno</v>
      </c>
      <c r="C1506" s="55">
        <f ca="1">IFERROR(__xludf.DUMMYFUNCTION("""COMPUTED_VALUE"""),44400)</f>
        <v>44400</v>
      </c>
      <c r="D1506" s="25" t="str">
        <f ca="1">IFERROR(__xludf.DUMMYFUNCTION("""COMPUTED_VALUE"""),"Gobierno")</f>
        <v>Gobierno</v>
      </c>
      <c r="E1506" s="25" t="str">
        <f ca="1">IFERROR(__xludf.DUMMYFUNCTION("""COMPUTED_VALUE"""),"Departamento Administrativo de la Defensoría del Espacio Público")</f>
        <v>Departamento Administrativo de la Defensoría del Espacio Público</v>
      </c>
      <c r="F1506" s="25" t="str">
        <f ca="1">IFERROR(__xludf.DUMMYFUNCTION("""COMPUTED_VALUE"""),"De los 412 predios del distrito con construcción es necesario ir de manera presencial a cada uno para tomarle una foto y así poder conocer el estado actual de éstos.")</f>
        <v>De los 412 predios del distrito con construcción es necesario ir de manera presencial a cada uno para tomarle una foto y así poder conocer el estado actual de éstos.</v>
      </c>
      <c r="G1506" s="25" t="str">
        <f ca="1">IFERROR(__xludf.DUMMYFUNCTION("""COMPUTED_VALUE"""),"99. Distrito")</f>
        <v>99. Distrito</v>
      </c>
      <c r="H1506" s="55">
        <f ca="1">IFERROR(__xludf.DUMMYFUNCTION("""COMPUTED_VALUE"""),44430)</f>
        <v>44430</v>
      </c>
      <c r="I1506" s="25"/>
      <c r="J1506" s="55" t="str">
        <f ca="1">IFERROR(__xludf.DUMMYFUNCTION("""COMPUTED_VALUE"""),"Alta")</f>
        <v>Alta</v>
      </c>
      <c r="K1506" s="25">
        <f ca="1">IFERROR(__xludf.DUMMYFUNCTION("""COMPUTED_VALUE"""),30)</f>
        <v>30</v>
      </c>
      <c r="L1506" s="62">
        <f ca="1">IFERROR(__xludf.DUMMYFUNCTION("""COMPUTED_VALUE"""),44425)</f>
        <v>44425</v>
      </c>
      <c r="M1506" s="25" t="str">
        <f ca="1">IFERROR(__xludf.DUMMYFUNCTION("""COMPUTED_VALUE"""),"se reportaron 402 predios con construcción de los cuales 401 no tenían contrato de administración vigente. Se realizó el ejercicio de visitar los predios y se encontró que algunos estaban ocupados por juntas de acción comunal (no disponibles). Por tal mot"&amp;"ivo los 401, fueron reemplazados por los referenciados en la resolución 162 de 2020, la cual cuenta con 25 predios (11 con construcción y el restante lotes), que están totalmente disponibles para el ejercicio de uso eficiente del espacio público , lo cual"&amp;"es cuentan con se respectiva ficha con foto , encontrándose 26 predios disponibles como lo muestra la resolución")</f>
        <v>se reportaron 402 predios con construcción de los cuales 401 no tenían contrato de administración vigente. Se realizó el ejercicio de visitar los predios y se encontró que algunos estaban ocupados por juntas de acción comunal (no disponibles). Por tal motivo los 401, fueron reemplazados por los referenciados en la resolución 162 de 2020, la cual cuenta con 25 predios (11 con construcción y el restante lotes), que están totalmente disponibles para el ejercicio de uso eficiente del espacio público , lo cuales cuentan con se respectiva ficha con foto , encontrándose 26 predios disponibles como lo muestra la resolución</v>
      </c>
      <c r="N1506" s="55">
        <f ca="1">IFERROR(__xludf.DUMMYFUNCTION("""COMPUTED_VALUE"""),44425)</f>
        <v>44425</v>
      </c>
      <c r="O1506" s="25" t="str">
        <f t="shared" ca="1" si="0"/>
        <v>Departamento Administrativo de la Defensoría del Espacio Público</v>
      </c>
      <c r="P1506" s="25" t="str">
        <f t="shared" si="2"/>
        <v/>
      </c>
      <c r="Q1506" s="25" t="str">
        <f ca="1">IFERROR(__xludf.DUMMYFUNCTION("""COMPUTED_VALUE"""),"Corto plazo")</f>
        <v>Corto plazo</v>
      </c>
      <c r="R1506" s="25"/>
      <c r="S1506" s="55"/>
      <c r="T1506" s="56"/>
      <c r="U1506" s="25"/>
      <c r="V1506" s="25"/>
      <c r="W1506" s="25"/>
      <c r="X1506" s="25"/>
      <c r="Y1506" s="25"/>
      <c r="Z1506" s="25"/>
    </row>
    <row r="1507" spans="1:26" ht="52.5" customHeight="1" x14ac:dyDescent="0.25">
      <c r="A1507" s="25" t="str">
        <f ca="1">IFERROR(__xludf.DUMMYFUNCTION("""COMPUTED_VALUE"""),"Gobie5")</f>
        <v>Gobie5</v>
      </c>
      <c r="B1507" s="25" t="str">
        <f ca="1">IFERROR(__xludf.DUMMYFUNCTION("""COMPUTED_VALUE"""),"Revisión prioridades sector Gobierno")</f>
        <v>Revisión prioridades sector Gobierno</v>
      </c>
      <c r="C1507" s="55">
        <f ca="1">IFERROR(__xludf.DUMMYFUNCTION("""COMPUTED_VALUE"""),44400)</f>
        <v>44400</v>
      </c>
      <c r="D1507" s="25" t="str">
        <f ca="1">IFERROR(__xludf.DUMMYFUNCTION("""COMPUTED_VALUE"""),"Gobierno")</f>
        <v>Gobierno</v>
      </c>
      <c r="E1507" s="25" t="str">
        <f ca="1">IFERROR(__xludf.DUMMYFUNCTION("""COMPUTED_VALUE"""),"Instituto Distrital de la Participación y Acción Comunal")</f>
        <v>Instituto Distrital de la Participación y Acción Comunal</v>
      </c>
      <c r="F1507" s="25" t="str">
        <f ca="1">IFERROR(__xludf.DUMMYFUNCTION("""COMPUTED_VALUE"""),"Realizar escuela 2.0 con formación política para las juventudes que permita formar nuevos lìderes. ")</f>
        <v xml:space="preserve">Realizar escuela 2.0 con formación política para las juventudes que permita formar nuevos lìderes. </v>
      </c>
      <c r="G1507" s="25" t="str">
        <f ca="1">IFERROR(__xludf.DUMMYFUNCTION("""COMPUTED_VALUE"""),"99. Distrito")</f>
        <v>99. Distrito</v>
      </c>
      <c r="H1507" s="55">
        <f ca="1">IFERROR(__xludf.DUMMYFUNCTION("""COMPUTED_VALUE"""),44430)</f>
        <v>44430</v>
      </c>
      <c r="I1507" s="25"/>
      <c r="J1507" s="55" t="str">
        <f ca="1">IFERROR(__xludf.DUMMYFUNCTION("""COMPUTED_VALUE"""),"Alta")</f>
        <v>Alta</v>
      </c>
      <c r="K1507" s="25">
        <f ca="1">IFERROR(__xludf.DUMMYFUNCTION("""COMPUTED_VALUE"""),30)</f>
        <v>30</v>
      </c>
      <c r="L1507" s="62">
        <f ca="1">IFERROR(__xludf.DUMMYFUNCTION("""COMPUTED_VALUE"""),44803)</f>
        <v>44803</v>
      </c>
      <c r="M1507" s="25" t="str">
        <f ca="1">IFERROR(__xludf.DUMMYFUNCTION("""COMPUTED_VALUE"""),"Se realizó la Escuela con jóvenes consejeros de juventud, a la cual se inscribieron 100 y se certificaron 64. Para un 64% de permanencia. La graduación tuvo lugar el 15 de julio de 2022 en el auditorio Virgilio Barco. En esta escuela se habló de estructur"&amp;"a orgánica de Bogotá, Sistema Distrital de Juventud, Derechos Humanos y resolución de conflictos.")</f>
        <v>Se realizó la Escuela con jóvenes consejeros de juventud, a la cual se inscribieron 100 y se certificaron 64. Para un 64% de permanencia. La graduación tuvo lugar el 15 de julio de 2022 en el auditorio Virgilio Barco. En esta escuela se habló de estructura orgánica de Bogotá, Sistema Distrital de Juventud, Derechos Humanos y resolución de conflictos.</v>
      </c>
      <c r="N1507" s="55">
        <f ca="1">IFERROR(__xludf.DUMMYFUNCTION("""COMPUTED_VALUE"""),44803)</f>
        <v>44803</v>
      </c>
      <c r="O1507" s="25" t="str">
        <f t="shared" ca="1" si="0"/>
        <v>Instituto Distrital de la Participación y Acción Comunal</v>
      </c>
      <c r="P1507" s="25" t="str">
        <f t="shared" si="2"/>
        <v/>
      </c>
      <c r="Q1507" s="25" t="str">
        <f ca="1">IFERROR(__xludf.DUMMYFUNCTION("""COMPUTED_VALUE"""),"Corto plazo")</f>
        <v>Corto plazo</v>
      </c>
      <c r="R1507" s="25"/>
      <c r="S1507" s="55"/>
      <c r="T1507" s="56"/>
      <c r="U1507" s="25"/>
      <c r="V1507" s="25"/>
      <c r="W1507" s="25"/>
      <c r="X1507" s="25"/>
      <c r="Y1507" s="25"/>
      <c r="Z1507" s="25"/>
    </row>
    <row r="1508" spans="1:26" ht="52.5" customHeight="1" x14ac:dyDescent="0.25">
      <c r="A1508" s="25" t="str">
        <f ca="1">IFERROR(__xludf.DUMMYFUNCTION("""COMPUTED_VALUE"""),"Gobie6")</f>
        <v>Gobie6</v>
      </c>
      <c r="B1508" s="25" t="str">
        <f ca="1">IFERROR(__xludf.DUMMYFUNCTION("""COMPUTED_VALUE"""),"Revisión prioridades sector Gobierno")</f>
        <v>Revisión prioridades sector Gobierno</v>
      </c>
      <c r="C1508" s="55">
        <f ca="1">IFERROR(__xludf.DUMMYFUNCTION("""COMPUTED_VALUE"""),44399)</f>
        <v>44399</v>
      </c>
      <c r="D1508" s="25" t="str">
        <f ca="1">IFERROR(__xludf.DUMMYFUNCTION("""COMPUTED_VALUE"""),"Gobierno")</f>
        <v>Gobierno</v>
      </c>
      <c r="E1508" s="25" t="str">
        <f ca="1">IFERROR(__xludf.DUMMYFUNCTION("""COMPUTED_VALUE"""),"Secretaría Distrital de Gobierno")</f>
        <v>Secretaría Distrital de Gobierno</v>
      </c>
      <c r="F1508" s="25" t="str">
        <f ca="1">IFERROR(__xludf.DUMMYFUNCTION("""COMPUTED_VALUE"""),"La alcaldía local de Kennedy debe recibir la casa de las margaritas dado que va ser cedida por el constructor")</f>
        <v>La alcaldía local de Kennedy debe recibir la casa de las margaritas dado que va ser cedida por el constructor</v>
      </c>
      <c r="G1508" s="55" t="str">
        <f ca="1">IFERROR(__xludf.DUMMYFUNCTION("""COMPUTED_VALUE"""),"08. Kennedy")</f>
        <v>08. Kennedy</v>
      </c>
      <c r="H1508" s="55">
        <f ca="1">IFERROR(__xludf.DUMMYFUNCTION("""COMPUTED_VALUE"""),44429)</f>
        <v>44429</v>
      </c>
      <c r="I1508" s="25"/>
      <c r="J1508" s="55" t="str">
        <f ca="1">IFERROR(__xludf.DUMMYFUNCTION("""COMPUTED_VALUE"""),"Alta")</f>
        <v>Alta</v>
      </c>
      <c r="K1508" s="25">
        <f ca="1">IFERROR(__xludf.DUMMYFUNCTION("""COMPUTED_VALUE"""),30)</f>
        <v>30</v>
      </c>
      <c r="L1508" s="62">
        <f ca="1">IFERROR(__xludf.DUMMYFUNCTION("""COMPUTED_VALUE"""),44454)</f>
        <v>44454</v>
      </c>
      <c r="M1508" s="25" t="str">
        <f ca="1">IFERROR(__xludf.DUMMYFUNCTION("""COMPUTED_VALUE"""),"El día 23 de octubre se va a firmar un pacto con la Secretaría de Cultura, Recreación y Deporte, Colpatria e Instituto Distrital de Patrimonio Cultural. La entrega se hace en 2 años de acuerdo al Cronograma presentado.")</f>
        <v>El día 23 de octubre se va a firmar un pacto con la Secretaría de Cultura, Recreación y Deporte, Colpatria e Instituto Distrital de Patrimonio Cultural. La entrega se hace en 2 años de acuerdo al Cronograma presentado.</v>
      </c>
      <c r="N1508" s="55">
        <f ca="1">IFERROR(__xludf.DUMMYFUNCTION("""COMPUTED_VALUE"""),44454)</f>
        <v>44454</v>
      </c>
      <c r="O1508" s="25" t="str">
        <f t="shared" ca="1" si="0"/>
        <v>Secretaría Distrital de Gobierno</v>
      </c>
      <c r="P1508" s="25" t="str">
        <f t="shared" si="2"/>
        <v/>
      </c>
      <c r="Q1508" s="25" t="str">
        <f ca="1">IFERROR(__xludf.DUMMYFUNCTION("""COMPUTED_VALUE"""),"Corto plazo")</f>
        <v>Corto plazo</v>
      </c>
      <c r="R1508" s="25"/>
      <c r="S1508" s="55"/>
      <c r="T1508" s="56"/>
      <c r="U1508" s="25"/>
      <c r="V1508" s="25"/>
      <c r="W1508" s="25"/>
      <c r="X1508" s="25"/>
      <c r="Y1508" s="25"/>
      <c r="Z1508" s="25"/>
    </row>
    <row r="1509" spans="1:26" ht="52.5" customHeight="1" x14ac:dyDescent="0.25">
      <c r="A1509" s="25" t="str">
        <f ca="1">IFERROR(__xludf.DUMMYFUNCTION("""COMPUTED_VALUE"""),"Gobie7")</f>
        <v>Gobie7</v>
      </c>
      <c r="B1509" s="25" t="str">
        <f ca="1">IFERROR(__xludf.DUMMYFUNCTION("""COMPUTED_VALUE"""),"Revisión prioridades sector Gobierno")</f>
        <v>Revisión prioridades sector Gobierno</v>
      </c>
      <c r="C1509" s="55">
        <f ca="1">IFERROR(__xludf.DUMMYFUNCTION("""COMPUTED_VALUE"""),44399)</f>
        <v>44399</v>
      </c>
      <c r="D1509" s="25" t="str">
        <f ca="1">IFERROR(__xludf.DUMMYFUNCTION("""COMPUTED_VALUE"""),"Gobierno")</f>
        <v>Gobierno</v>
      </c>
      <c r="E1509" s="25" t="str">
        <f ca="1">IFERROR(__xludf.DUMMYFUNCTION("""COMPUTED_VALUE"""),"Secretaría Distrital de Gobierno")</f>
        <v>Secretaría Distrital de Gobierno</v>
      </c>
      <c r="F1509" s="25" t="str">
        <f ca="1">IFERROR(__xludf.DUMMYFUNCTION("""COMPUTED_VALUE"""),"La Secretaría de Gobierno debe acompañar a la reunión con edilesa Luz Stella Díaz y alcaldía local para el día siguiente en evento con IDPAC")</f>
        <v>La Secretaría de Gobierno debe acompañar a la reunión con edilesa Luz Stella Díaz y alcaldía local para el día siguiente en evento con IDPAC</v>
      </c>
      <c r="G1509" s="55" t="str">
        <f ca="1">IFERROR(__xludf.DUMMYFUNCTION("""COMPUTED_VALUE"""),"08. Kennedy")</f>
        <v>08. Kennedy</v>
      </c>
      <c r="H1509" s="55">
        <f ca="1">IFERROR(__xludf.DUMMYFUNCTION("""COMPUTED_VALUE"""),44429)</f>
        <v>44429</v>
      </c>
      <c r="I1509" s="25"/>
      <c r="J1509" s="55" t="str">
        <f ca="1">IFERROR(__xludf.DUMMYFUNCTION("""COMPUTED_VALUE"""),"Alta")</f>
        <v>Alta</v>
      </c>
      <c r="K1509" s="25">
        <f ca="1">IFERROR(__xludf.DUMMYFUNCTION("""COMPUTED_VALUE"""),30)</f>
        <v>30</v>
      </c>
      <c r="L1509" s="62">
        <f ca="1">IFERROR(__xludf.DUMMYFUNCTION("""COMPUTED_VALUE"""),44540)</f>
        <v>44540</v>
      </c>
      <c r="M1509" s="25" t="str">
        <f ca="1">IFERROR(__xludf.DUMMYFUNCTION("""COMPUTED_VALUE"""),"La Alcaldía Local junto a la Sec. Gobierno acompañaron con gestores de convivencia y diálogo social a la edil Luz Stella Díaz y a la nueva administradora del conjunto Francisco José de Caldas en el evento que se realizó el viernes 23 de julio.  - 21 de en"&amp;"ero encuentro con la Mesa de Graffiti")</f>
        <v>La Alcaldía Local junto a la Sec. Gobierno acompañaron con gestores de convivencia y diálogo social a la edil Luz Stella Díaz y a la nueva administradora del conjunto Francisco José de Caldas en el evento que se realizó el viernes 23 de julio.  - 21 de enero encuentro con la Mesa de Graffiti</v>
      </c>
      <c r="N1509" s="55">
        <f ca="1">IFERROR(__xludf.DUMMYFUNCTION("""COMPUTED_VALUE"""),44540)</f>
        <v>44540</v>
      </c>
      <c r="O1509" s="25" t="str">
        <f t="shared" ca="1" si="0"/>
        <v>Secretaría Distrital de Gobierno</v>
      </c>
      <c r="P1509" s="25" t="str">
        <f t="shared" si="2"/>
        <v/>
      </c>
      <c r="Q1509" s="25" t="str">
        <f ca="1">IFERROR(__xludf.DUMMYFUNCTION("""COMPUTED_VALUE"""),"Corto plazo")</f>
        <v>Corto plazo</v>
      </c>
      <c r="R1509" s="25"/>
      <c r="S1509" s="55"/>
      <c r="T1509" s="56"/>
      <c r="U1509" s="25"/>
      <c r="V1509" s="25"/>
      <c r="W1509" s="25"/>
      <c r="X1509" s="25"/>
      <c r="Y1509" s="25"/>
      <c r="Z1509" s="25"/>
    </row>
    <row r="1510" spans="1:26" ht="52.5" customHeight="1" x14ac:dyDescent="0.25">
      <c r="A1510" s="25" t="str">
        <f ca="1">IFERROR(__xludf.DUMMYFUNCTION("""COMPUTED_VALUE"""),"Gobie8")</f>
        <v>Gobie8</v>
      </c>
      <c r="B1510" s="25" t="str">
        <f ca="1">IFERROR(__xludf.DUMMYFUNCTION("""COMPUTED_VALUE"""),"Revisión prioridades sector Gobierno")</f>
        <v>Revisión prioridades sector Gobierno</v>
      </c>
      <c r="C1510" s="55">
        <f ca="1">IFERROR(__xludf.DUMMYFUNCTION("""COMPUTED_VALUE"""),44393)</f>
        <v>44393</v>
      </c>
      <c r="D1510" s="25" t="str">
        <f ca="1">IFERROR(__xludf.DUMMYFUNCTION("""COMPUTED_VALUE"""),"Gobierno")</f>
        <v>Gobierno</v>
      </c>
      <c r="E1510" s="25" t="str">
        <f ca="1">IFERROR(__xludf.DUMMYFUNCTION("""COMPUTED_VALUE"""),"Secretaría Distrital de Gobierno")</f>
        <v>Secretaría Distrital de Gobierno</v>
      </c>
      <c r="F1510" s="25" t="str">
        <f ca="1">IFERROR(__xludf.DUMMYFUNCTION("""COMPUTED_VALUE"""),"Hacer la mesa de garantías en Cundinamarca -Hablar con el gobernador ")</f>
        <v xml:space="preserve">Hacer la mesa de garantías en Cundinamarca -Hablar con el gobernador </v>
      </c>
      <c r="G1510" s="25" t="str">
        <f ca="1">IFERROR(__xludf.DUMMYFUNCTION("""COMPUTED_VALUE"""),"99. Distrito")</f>
        <v>99. Distrito</v>
      </c>
      <c r="H1510" s="55">
        <f ca="1">IFERROR(__xludf.DUMMYFUNCTION("""COMPUTED_VALUE"""),44423)</f>
        <v>44423</v>
      </c>
      <c r="I1510" s="25"/>
      <c r="J1510" s="55" t="str">
        <f ca="1">IFERROR(__xludf.DUMMYFUNCTION("""COMPUTED_VALUE"""),"Alta")</f>
        <v>Alta</v>
      </c>
      <c r="K1510" s="25">
        <f ca="1">IFERROR(__xludf.DUMMYFUNCTION("""COMPUTED_VALUE"""),30)</f>
        <v>30</v>
      </c>
      <c r="L1510" s="62"/>
      <c r="M1510" s="25"/>
      <c r="N1510" s="55">
        <f ca="1">IFERROR(__xludf.DUMMYFUNCTION("""COMPUTED_VALUE"""),44927)</f>
        <v>44927</v>
      </c>
      <c r="O1510" s="25" t="str">
        <f t="shared" ca="1" si="0"/>
        <v>Secretaría Distrital de Gobierno</v>
      </c>
      <c r="P1510" s="25" t="str">
        <f t="shared" si="2"/>
        <v/>
      </c>
      <c r="Q1510" s="25" t="str">
        <f ca="1">IFERROR(__xludf.DUMMYFUNCTION("""COMPUTED_VALUE"""),"Corto plazo")</f>
        <v>Corto plazo</v>
      </c>
      <c r="R1510" s="25"/>
      <c r="S1510" s="55"/>
      <c r="T1510" s="56"/>
      <c r="U1510" s="25"/>
      <c r="V1510" s="25"/>
      <c r="W1510" s="25"/>
      <c r="X1510" s="25"/>
      <c r="Y1510" s="25"/>
      <c r="Z1510" s="25"/>
    </row>
    <row r="1511" spans="1:26" ht="52.5" customHeight="1" x14ac:dyDescent="0.25">
      <c r="A1511" s="25" t="str">
        <f ca="1">IFERROR(__xludf.DUMMYFUNCTION("""COMPUTED_VALUE"""),"Gobie9")</f>
        <v>Gobie9</v>
      </c>
      <c r="B1511" s="25" t="str">
        <f ca="1">IFERROR(__xludf.DUMMYFUNCTION("""COMPUTED_VALUE"""),"Revisión prioridades sector Gobierno")</f>
        <v>Revisión prioridades sector Gobierno</v>
      </c>
      <c r="C1511" s="55">
        <f ca="1">IFERROR(__xludf.DUMMYFUNCTION("""COMPUTED_VALUE"""),44393)</f>
        <v>44393</v>
      </c>
      <c r="D1511" s="25" t="str">
        <f ca="1">IFERROR(__xludf.DUMMYFUNCTION("""COMPUTED_VALUE"""),"Gobierno")</f>
        <v>Gobierno</v>
      </c>
      <c r="E1511" s="25" t="str">
        <f ca="1">IFERROR(__xludf.DUMMYFUNCTION("""COMPUTED_VALUE"""),"Secretaría Distrital de Gobierno")</f>
        <v>Secretaría Distrital de Gobierno</v>
      </c>
      <c r="F1511" s="25" t="str">
        <f ca="1">IFERROR(__xludf.DUMMYFUNCTION("""COMPUTED_VALUE"""),"Mejorar las comisiones de verificación en la movilización  ")</f>
        <v xml:space="preserve">Mejorar las comisiones de verificación en la movilización  </v>
      </c>
      <c r="G1511" s="25" t="str">
        <f ca="1">IFERROR(__xludf.DUMMYFUNCTION("""COMPUTED_VALUE"""),"99. Distrito")</f>
        <v>99. Distrito</v>
      </c>
      <c r="H1511" s="55">
        <f ca="1">IFERROR(__xludf.DUMMYFUNCTION("""COMPUTED_VALUE"""),44423)</f>
        <v>44423</v>
      </c>
      <c r="I1511" s="25"/>
      <c r="J1511" s="55" t="str">
        <f ca="1">IFERROR(__xludf.DUMMYFUNCTION("""COMPUTED_VALUE"""),"Alta")</f>
        <v>Alta</v>
      </c>
      <c r="K1511" s="25">
        <f ca="1">IFERROR(__xludf.DUMMYFUNCTION("""COMPUTED_VALUE"""),30)</f>
        <v>30</v>
      </c>
      <c r="L1511" s="62"/>
      <c r="M1511" s="25"/>
      <c r="N1511" s="55">
        <f ca="1">IFERROR(__xludf.DUMMYFUNCTION("""COMPUTED_VALUE"""),44927)</f>
        <v>44927</v>
      </c>
      <c r="O1511" s="25" t="str">
        <f t="shared" ca="1" si="0"/>
        <v>Secretaría Distrital de Gobierno</v>
      </c>
      <c r="P1511" s="25" t="str">
        <f t="shared" si="2"/>
        <v/>
      </c>
      <c r="Q1511" s="25" t="str">
        <f ca="1">IFERROR(__xludf.DUMMYFUNCTION("""COMPUTED_VALUE"""),"Corto plazo")</f>
        <v>Corto plazo</v>
      </c>
      <c r="R1511" s="25"/>
      <c r="S1511" s="55"/>
      <c r="T1511" s="56"/>
      <c r="U1511" s="25"/>
      <c r="V1511" s="25"/>
      <c r="W1511" s="25"/>
      <c r="X1511" s="25"/>
      <c r="Y1511" s="25"/>
      <c r="Z1511" s="25"/>
    </row>
    <row r="1512" spans="1:26" ht="52.5" customHeight="1" x14ac:dyDescent="0.25">
      <c r="A1512" s="25" t="str">
        <f ca="1">IFERROR(__xludf.DUMMYFUNCTION("""COMPUTED_VALUE"""),"Gobie10")</f>
        <v>Gobie10</v>
      </c>
      <c r="B1512" s="25" t="str">
        <f ca="1">IFERROR(__xludf.DUMMYFUNCTION("""COMPUTED_VALUE"""),"Revisión prioridades sector Gobierno")</f>
        <v>Revisión prioridades sector Gobierno</v>
      </c>
      <c r="C1512" s="55">
        <f ca="1">IFERROR(__xludf.DUMMYFUNCTION("""COMPUTED_VALUE"""),44377)</f>
        <v>44377</v>
      </c>
      <c r="D1512" s="25" t="str">
        <f ca="1">IFERROR(__xludf.DUMMYFUNCTION("""COMPUTED_VALUE"""),"Gobierno")</f>
        <v>Gobierno</v>
      </c>
      <c r="E1512" s="25" t="str">
        <f ca="1">IFERROR(__xludf.DUMMYFUNCTION("""COMPUTED_VALUE"""),"Secretaría Distrital de Gobierno")</f>
        <v>Secretaría Distrital de Gobierno</v>
      </c>
      <c r="F1512" s="25" t="str">
        <f ca="1">IFERROR(__xludf.DUMMYFUNCTION("""COMPUTED_VALUE"""),"Hacer una mesa técnica para revisar la distribución territorial de los puestos de votación en las elecciones de los Consejos de Juventud")</f>
        <v>Hacer una mesa técnica para revisar la distribución territorial de los puestos de votación en las elecciones de los Consejos de Juventud</v>
      </c>
      <c r="G1512" s="25" t="str">
        <f ca="1">IFERROR(__xludf.DUMMYFUNCTION("""COMPUTED_VALUE"""),"99. Distrito")</f>
        <v>99. Distrito</v>
      </c>
      <c r="H1512" s="55">
        <f ca="1">IFERROR(__xludf.DUMMYFUNCTION("""COMPUTED_VALUE"""),44407)</f>
        <v>44407</v>
      </c>
      <c r="I1512" s="25"/>
      <c r="J1512" s="55" t="str">
        <f ca="1">IFERROR(__xludf.DUMMYFUNCTION("""COMPUTED_VALUE"""),"Alta")</f>
        <v>Alta</v>
      </c>
      <c r="K1512" s="25">
        <f ca="1">IFERROR(__xludf.DUMMYFUNCTION("""COMPUTED_VALUE"""),30)</f>
        <v>30</v>
      </c>
      <c r="L1512" s="62">
        <f ca="1">IFERROR(__xludf.DUMMYFUNCTION("""COMPUTED_VALUE"""),44539)</f>
        <v>44539</v>
      </c>
      <c r="M1512" s="25" t="str">
        <f ca="1">IFERROR(__xludf.DUMMYFUNCTION("""COMPUTED_VALUE"""),"El 5 de noviembre de 2021 se reportó a las Registradurías Auxiliares de las 20 localidades de la ciudad el
consolidado final de los jóvenes electos como consejeros locales de juventud para ocupar las curules especiales
creadas por la ley 1885 de 2018 pa"&amp;"ra comunidades étnicas, organizaciones campesinas y víctimas del conflicto.
Adicionalmente, se realizó pedagogía electoral sobre los delitos electorales que se podrían cometer en el marco
de las elecciones de Consejos Locales de Juventud.
El 27 de novi"&amp;"embre de 2021 se realizó un evento de impulso a la elección de Consejos de Juventud, en donde,
además, se presentó el plan de estímulos que tendrán quienes sean elegidos consejeros locales de juventud.")</f>
        <v>El 5 de noviembre de 2021 se reportó a las Registradurías Auxiliares de las 20 localidades de la ciudad el
consolidado final de los jóvenes electos como consejeros locales de juventud para ocupar las curules especiales
creadas por la ley 1885 de 2018 para comunidades étnicas, organizaciones campesinas y víctimas del conflicto.
Adicionalmente, se realizó pedagogía electoral sobre los delitos electorales que se podrían cometer en el marco
de las elecciones de Consejos Locales de Juventud.
El 27 de noviembre de 2021 se realizó un evento de impulso a la elección de Consejos de Juventud, en donde,
además, se presentó el plan de estímulos que tendrán quienes sean elegidos consejeros locales de juventud.</v>
      </c>
      <c r="N1512" s="55">
        <f ca="1">IFERROR(__xludf.DUMMYFUNCTION("""COMPUTED_VALUE"""),44539)</f>
        <v>44539</v>
      </c>
      <c r="O1512" s="25" t="str">
        <f t="shared" ca="1" si="0"/>
        <v>Secretaría Distrital de Gobierno</v>
      </c>
      <c r="P1512" s="25" t="str">
        <f t="shared" si="2"/>
        <v/>
      </c>
      <c r="Q1512" s="25" t="str">
        <f ca="1">IFERROR(__xludf.DUMMYFUNCTION("""COMPUTED_VALUE"""),"Corto plazo")</f>
        <v>Corto plazo</v>
      </c>
      <c r="R1512" s="25"/>
      <c r="S1512" s="55"/>
      <c r="T1512" s="56"/>
      <c r="U1512" s="25"/>
      <c r="V1512" s="25"/>
      <c r="W1512" s="25"/>
      <c r="X1512" s="25"/>
      <c r="Y1512" s="25"/>
      <c r="Z1512" s="25"/>
    </row>
    <row r="1513" spans="1:26" ht="52.5" customHeight="1" x14ac:dyDescent="0.25">
      <c r="A1513" s="25" t="str">
        <f ca="1">IFERROR(__xludf.DUMMYFUNCTION("""COMPUTED_VALUE"""),"Gobie11")</f>
        <v>Gobie11</v>
      </c>
      <c r="B1513" s="25" t="str">
        <f ca="1">IFERROR(__xludf.DUMMYFUNCTION("""COMPUTED_VALUE"""),"Revisión prioridades sector Gobierno")</f>
        <v>Revisión prioridades sector Gobierno</v>
      </c>
      <c r="C1513" s="55">
        <f ca="1">IFERROR(__xludf.DUMMYFUNCTION("""COMPUTED_VALUE"""),44377)</f>
        <v>44377</v>
      </c>
      <c r="D1513" s="25" t="str">
        <f ca="1">IFERROR(__xludf.DUMMYFUNCTION("""COMPUTED_VALUE"""),"Gobierno")</f>
        <v>Gobierno</v>
      </c>
      <c r="E1513" s="25" t="str">
        <f ca="1">IFERROR(__xludf.DUMMYFUNCTION("""COMPUTED_VALUE"""),"Secretaría Distrital de Gobierno")</f>
        <v>Secretaría Distrital de Gobierno</v>
      </c>
      <c r="F1513" s="25" t="str">
        <f ca="1">IFERROR(__xludf.DUMMYFUNCTION("""COMPUTED_VALUE"""),"Revisar en mesa técnica para definir si es necesario hacer una estrategia con la Sec. de Educación para difundir las elecciones de los Consejos de Juventud.")</f>
        <v>Revisar en mesa técnica para definir si es necesario hacer una estrategia con la Sec. de Educación para difundir las elecciones de los Consejos de Juventud.</v>
      </c>
      <c r="G1513" s="25" t="str">
        <f ca="1">IFERROR(__xludf.DUMMYFUNCTION("""COMPUTED_VALUE"""),"99. Distrito")</f>
        <v>99. Distrito</v>
      </c>
      <c r="H1513" s="55">
        <f ca="1">IFERROR(__xludf.DUMMYFUNCTION("""COMPUTED_VALUE"""),44407)</f>
        <v>44407</v>
      </c>
      <c r="I1513" s="25"/>
      <c r="J1513" s="55" t="str">
        <f ca="1">IFERROR(__xludf.DUMMYFUNCTION("""COMPUTED_VALUE"""),"Alta")</f>
        <v>Alta</v>
      </c>
      <c r="K1513" s="25">
        <f ca="1">IFERROR(__xludf.DUMMYFUNCTION("""COMPUTED_VALUE"""),30)</f>
        <v>30</v>
      </c>
      <c r="L1513" s="62">
        <f ca="1">IFERROR(__xludf.DUMMYFUNCTION("""COMPUTED_VALUE"""),44539)</f>
        <v>44539</v>
      </c>
      <c r="M1513" s="25" t="str">
        <f ca="1">IFERROR(__xludf.DUMMYFUNCTION("""COMPUTED_VALUE"""),"Desde el 1 de junio, fecha en que comenzó el calendario electoral, desde la Secretaría Distrital de Gobierno se establecieron varias mesas técnicas con la Secretaría de Educación para generar espacios de socialización pedagógica del proceso electoral diri"&amp;"gido a colegios públicos y privados de Bogotá.
 - Fruto de estas mesas se logró:
 - Articulación con Programa SIMONU
 - Socialización a DILEs, Mesas de rectores, cabildantes estudiantiles, personeros, contralores y miembros del Gobierno Escolar. 
 A p"&amp;"artir del Diplomado de Nuevos Liderazgos en Cultura Democrática con Énfasis en Consejos de Juventud, realizado por la Secretaría Distrital de Gobierno en alianza con la Registraduría Nacional, la ESAP y el PNUD, se creará un semillero de formación polític"&amp;"a con los líderes estudiantiles juveniles que participaron del Diplomado; esto como un ejercicio preliminar hacia la creación de una Escuela de formación política juvenil. 
 - En conexión con lo anterior, la SDG y el IDPAC han avanzado en la revisión de"&amp;" experiencias exitosas y esquemas posibles para la creación de la Escuela de formación política juvenil. Esta iniciativa tendrá lugar a la par de un espacio de formación y acompañamiento a consejeros que sean electos en el marco de los Consejos Locales de"&amp;" Juventud. 
 Finalmente, con el liderazgo de la Alcaldía Mayor y a partir del trabajo adelantado por la Secretaría de Educación, se suscribió el Pacto por la Educación de Bogotá el pasado 12 de agosto, con la entrega de los resultados del trabajo de la "&amp;"Misión de Educadores y Sabiduría Ciudadana. En adelante se avanzará en la construcción de la ruta de socialización y realización de las conclusiones, en todos los ámbitos de trabajo y alcance de la Misión.")</f>
        <v>Desde el 1 de junio, fecha en que comenzó el calendario electoral, desde la Secretaría Distrital de Gobierno se establecieron varias mesas técnicas con la Secretaría de Educación para generar espacios de socialización pedagógica del proceso electoral dirigido a colegios públicos y privados de Bogotá.
 - Fruto de estas mesas se logró:
 - Articulación con Programa SIMONU
 - Socialización a DILEs, Mesas de rectores, cabildantes estudiantiles, personeros, contralores y miembros del Gobierno Escolar. 
 A partir del Diplomado de Nuevos Liderazgos en Cultura Democrática con Énfasis en Consejos de Juventud, realizado por la Secretaría Distrital de Gobierno en alianza con la Registraduría Nacional, la ESAP y el PNUD, se creará un semillero de formación política con los líderes estudiantiles juveniles que participaron del Diplomado; esto como un ejercicio preliminar hacia la creación de una Escuela de formación política juvenil. 
 - En conexión con lo anterior, la SDG y el IDPAC han avanzado en la revisión de experiencias exitosas y esquemas posibles para la creación de la Escuela de formación política juvenil. Esta iniciativa tendrá lugar a la par de un espacio de formación y acompañamiento a consejeros que sean electos en el marco de los Consejos Locales de Juventud. 
 Finalmente, con el liderazgo de la Alcaldía Mayor y a partir del trabajo adelantado por la Secretaría de Educación, se suscribió el Pacto por la Educación de Bogotá el pasado 12 de agosto, con la entrega de los resultados del trabajo de la Misión de Educadores y Sabiduría Ciudadana. En adelante se avanzará en la construcción de la ruta de socialización y realización de las conclusiones, en todos los ámbitos de trabajo y alcance de la Misión.</v>
      </c>
      <c r="N1513" s="55">
        <f ca="1">IFERROR(__xludf.DUMMYFUNCTION("""COMPUTED_VALUE"""),44539)</f>
        <v>44539</v>
      </c>
      <c r="O1513" s="25" t="str">
        <f t="shared" ca="1" si="0"/>
        <v>Secretaría Distrital de Gobierno</v>
      </c>
      <c r="P1513" s="25" t="str">
        <f t="shared" si="2"/>
        <v/>
      </c>
      <c r="Q1513" s="25" t="str">
        <f ca="1">IFERROR(__xludf.DUMMYFUNCTION("""COMPUTED_VALUE"""),"Corto plazo")</f>
        <v>Corto plazo</v>
      </c>
      <c r="R1513" s="25"/>
      <c r="S1513" s="55"/>
      <c r="T1513" s="56"/>
      <c r="U1513" s="25"/>
      <c r="V1513" s="25"/>
      <c r="W1513" s="25"/>
      <c r="X1513" s="25"/>
      <c r="Y1513" s="25"/>
      <c r="Z1513" s="25"/>
    </row>
    <row r="1514" spans="1:26" ht="52.5" customHeight="1" x14ac:dyDescent="0.25">
      <c r="A1514" s="25" t="str">
        <f ca="1">IFERROR(__xludf.DUMMYFUNCTION("""COMPUTED_VALUE"""),"Gobie12")</f>
        <v>Gobie12</v>
      </c>
      <c r="B1514" s="25" t="str">
        <f ca="1">IFERROR(__xludf.DUMMYFUNCTION("""COMPUTED_VALUE"""),"Revisión prioridades sector Gobierno")</f>
        <v>Revisión prioridades sector Gobierno</v>
      </c>
      <c r="C1514" s="55">
        <f ca="1">IFERROR(__xludf.DUMMYFUNCTION("""COMPUTED_VALUE"""),44370)</f>
        <v>44370</v>
      </c>
      <c r="D1514" s="25" t="str">
        <f ca="1">IFERROR(__xludf.DUMMYFUNCTION("""COMPUTED_VALUE"""),"Gobierno")</f>
        <v>Gobierno</v>
      </c>
      <c r="E1514" s="25" t="str">
        <f ca="1">IFERROR(__xludf.DUMMYFUNCTION("""COMPUTED_VALUE"""),"Secretaría Distrital de Gobierno")</f>
        <v>Secretaría Distrital de Gobierno</v>
      </c>
      <c r="F1514" s="25" t="str">
        <f ca="1">IFERROR(__xludf.DUMMYFUNCTION("""COMPUTED_VALUE"""),"Presentar un plan para hacer una consulta popular ciudadana con las elecciones de los consejos de juventud. 
 Debe ser una papeleta informal para reforma a la Policía, educación universal y demás.")</f>
        <v>Presentar un plan para hacer una consulta popular ciudadana con las elecciones de los consejos de juventud. 
 Debe ser una papeleta informal para reforma a la Policía, educación universal y demás.</v>
      </c>
      <c r="G1514" s="25" t="str">
        <f ca="1">IFERROR(__xludf.DUMMYFUNCTION("""COMPUTED_VALUE"""),"99. Distrito")</f>
        <v>99. Distrito</v>
      </c>
      <c r="H1514" s="55">
        <f ca="1">IFERROR(__xludf.DUMMYFUNCTION("""COMPUTED_VALUE"""),44400)</f>
        <v>44400</v>
      </c>
      <c r="I1514" s="25"/>
      <c r="J1514" s="55" t="str">
        <f ca="1">IFERROR(__xludf.DUMMYFUNCTION("""COMPUTED_VALUE"""),"Alta")</f>
        <v>Alta</v>
      </c>
      <c r="K1514" s="25">
        <f ca="1">IFERROR(__xludf.DUMMYFUNCTION("""COMPUTED_VALUE"""),30)</f>
        <v>30</v>
      </c>
      <c r="L1514" s="62">
        <f ca="1">IFERROR(__xludf.DUMMYFUNCTION("""COMPUTED_VALUE"""),44539)</f>
        <v>44539</v>
      </c>
      <c r="M1514" s="25" t="str">
        <f ca="1">IFERROR(__xludf.DUMMYFUNCTION("""COMPUTED_VALUE"""),"En el mes de julio se inscribieron 148 listas independientes de candidatos a consejeros locales de juventud, las cuales están en proceso de recolección de firmas hasta el próximo 28 de agosto, adicionalmente, es oportuno resaltar que, en las 20 localidade"&amp;"s de Bogotá, hay inscrita al menos una lista, siendo Kennedy la localidad con más listas inscritas (17) y Chapinero la localidad con menos, con tan solo una. 
 Sumado a esto, a partir del 28 de julio se inicia el período de Inscripción de Candidatos perte"&amp;"necientes a partidos, movimientos, procesos, prácticas organizativas de las juventudes y listas independientes que hayan recogido firmas, plazo que vence el próximo 28 de agosto de 2021. 
 Paralelo a la elección ordinaria de Consejos Locales de Juventud, "&amp;"se está adelantando en coordinación con la Subdirección de Asuntos Étnicos y la Alta Consejería de Víctimas, Paz y Reconciliación la elección de las curules especiales creadas por la Ley Estatutaria 1885 de 2018, las cuales deben elegirse a más tardar el "&amp;"28 de octubre de 2021, según lo estipulado en la Resolución No. 4369 de 2021, calendario electoral.
se resalta, la garantía del derecho a la participación de los jóvenes pertenecientes a comunidades étnicas, organizaciones campesinas y a víctimas del con"&amp;"flicto.
Adicionalmente, la presentación del plan de estímulos para consejeros de juventud como motivación para la
campaña de los candidatos a Consejos de Juventud
se realizaron dos actividades que permitieron formar a los y las candidatas a los Consejos L"&amp;"ocales de Juventud adquirir herramientas útiles para sus campañas y al mismo tiempo, recibir formación sobre el funcionamiento de estos espacios, así como de escenarios similares, tales como las Comisiones de Concertación y Decisión, los Consejos de Gobie"&amp;"rno, las discusiones de planes de desarrollo, la estructura administrativa de la ciudad y las leyes estatutarias 1622 de 2013 y 1885 de 2018.")</f>
        <v>En el mes de julio se inscribieron 148 listas independientes de candidatos a consejeros locales de juventud, las cuales están en proceso de recolección de firmas hasta el próximo 28 de agosto, adicionalmente, es oportuno resaltar que, en las 20 localidades de Bogotá, hay inscrita al menos una lista, siendo Kennedy la localidad con más listas inscritas (17) y Chapinero la localidad con menos, con tan solo una. 
 Sumado a esto, a partir del 28 de julio se inicia el período de Inscripción de Candidatos pertenecientes a partidos, movimientos, procesos, prácticas organizativas de las juventudes y listas independientes que hayan recogido firmas, plazo que vence el próximo 28 de agosto de 2021. 
 Paralelo a la elección ordinaria de Consejos Locales de Juventud, se está adelantando en coordinación con la Subdirección de Asuntos Étnicos y la Alta Consejería de Víctimas, Paz y Reconciliación la elección de las curules especiales creadas por la Ley Estatutaria 1885 de 2018, las cuales deben elegirse a más tardar el 28 de octubre de 2021, según lo estipulado en la Resolución No. 4369 de 2021, calendario electoral.
se resalta, la garantía del derecho a la participación de los jóvenes pertenecientes a comunidades étnicas, organizaciones campesinas y a víctimas del conflicto.
Adicionalmente, la presentación del plan de estímulos para consejeros de juventud como motivación para la
campaña de los candidatos a Consejos de Juventud
se realizaron dos actividades que permitieron formar a los y las candidatas a los Consejos Locales de Juventud adquirir herramientas útiles para sus campañas y al mismo tiempo, recibir formación sobre el funcionamiento de estos espacios, así como de escenarios similares, tales como las Comisiones de Concertación y Decisión, los Consejos de Gobierno, las discusiones de planes de desarrollo, la estructura administrativa de la ciudad y las leyes estatutarias 1622 de 2013 y 1885 de 2018.</v>
      </c>
      <c r="N1514" s="55">
        <f ca="1">IFERROR(__xludf.DUMMYFUNCTION("""COMPUTED_VALUE"""),44539)</f>
        <v>44539</v>
      </c>
      <c r="O1514" s="25" t="str">
        <f t="shared" ca="1" si="0"/>
        <v>Secretaría Distrital de Gobierno</v>
      </c>
      <c r="P1514" s="25" t="str">
        <f t="shared" si="2"/>
        <v/>
      </c>
      <c r="Q1514" s="25" t="str">
        <f ca="1">IFERROR(__xludf.DUMMYFUNCTION("""COMPUTED_VALUE"""),"Corto plazo")</f>
        <v>Corto plazo</v>
      </c>
      <c r="R1514" s="25"/>
      <c r="S1514" s="55"/>
      <c r="T1514" s="56"/>
      <c r="U1514" s="25"/>
      <c r="V1514" s="25"/>
      <c r="W1514" s="25"/>
      <c r="X1514" s="25"/>
      <c r="Y1514" s="25"/>
      <c r="Z1514" s="25"/>
    </row>
    <row r="1515" spans="1:26" ht="52.5" customHeight="1" x14ac:dyDescent="0.25">
      <c r="A1515" s="25" t="str">
        <f ca="1">IFERROR(__xludf.DUMMYFUNCTION("""COMPUTED_VALUE"""),"Gobie13")</f>
        <v>Gobie13</v>
      </c>
      <c r="B1515" s="25" t="str">
        <f ca="1">IFERROR(__xludf.DUMMYFUNCTION("""COMPUTED_VALUE"""),"Revisión prioridades sector Gobierno")</f>
        <v>Revisión prioridades sector Gobierno</v>
      </c>
      <c r="C1515" s="55">
        <f ca="1">IFERROR(__xludf.DUMMYFUNCTION("""COMPUTED_VALUE"""),44370)</f>
        <v>44370</v>
      </c>
      <c r="D1515" s="25" t="str">
        <f ca="1">IFERROR(__xludf.DUMMYFUNCTION("""COMPUTED_VALUE"""),"Gobierno")</f>
        <v>Gobierno</v>
      </c>
      <c r="E1515" s="25" t="str">
        <f ca="1">IFERROR(__xludf.DUMMYFUNCTION("""COMPUTED_VALUE"""),"Secretaría Distrital de Gobierno")</f>
        <v>Secretaría Distrital de Gobierno</v>
      </c>
      <c r="F1515" s="25" t="str">
        <f ca="1">IFERROR(__xludf.DUMMYFUNCTION("""COMPUTED_VALUE"""),"Hacer una reunión con IDPAC y Gobierno para hacer un mandato de los jóvenes al Estado. 
Concertar los procesos de diálogo en las mesas de negociación y en las mesas del pacto intergeneracional.
 Cuadrar los equipos territoriales para tener un plan d"&amp;"e trabajo.")</f>
        <v>Hacer una reunión con IDPAC y Gobierno para hacer un mandato de los jóvenes al Estado. 
Concertar los procesos de diálogo en las mesas de negociación y en las mesas del pacto intergeneracional.
 Cuadrar los equipos territoriales para tener un plan de trabajo.</v>
      </c>
      <c r="G1515" s="25" t="str">
        <f ca="1">IFERROR(__xludf.DUMMYFUNCTION("""COMPUTED_VALUE"""),"99. Distrito")</f>
        <v>99. Distrito</v>
      </c>
      <c r="H1515" s="55">
        <f ca="1">IFERROR(__xludf.DUMMYFUNCTION("""COMPUTED_VALUE"""),44400)</f>
        <v>44400</v>
      </c>
      <c r="I1515" s="25"/>
      <c r="J1515" s="55" t="str">
        <f ca="1">IFERROR(__xludf.DUMMYFUNCTION("""COMPUTED_VALUE"""),"Alta")</f>
        <v>Alta</v>
      </c>
      <c r="K1515" s="25">
        <f ca="1">IFERROR(__xludf.DUMMYFUNCTION("""COMPUTED_VALUE"""),30)</f>
        <v>30</v>
      </c>
      <c r="L1515" s="62">
        <f ca="1">IFERROR(__xludf.DUMMYFUNCTION("""COMPUTED_VALUE"""),44540)</f>
        <v>44540</v>
      </c>
      <c r="M1515" s="25" t="str">
        <f ca="1">IFERROR(__xludf.DUMMYFUNCTION("""COMPUTED_VALUE"""),"Se presentaron los resultados del pacto intergeneracional a la alcaldesa y quedó como compromiso, realizar una reunión con la secretaría de Gobierno, la secretaría de Educación y el IDPAC.  19 de enero encuentro con la Mesa Multipartidista
")</f>
        <v xml:space="preserve">Se presentaron los resultados del pacto intergeneracional a la alcaldesa y quedó como compromiso, realizar una reunión con la secretaría de Gobierno, la secretaría de Educación y el IDPAC.  19 de enero encuentro con la Mesa Multipartidista
</v>
      </c>
      <c r="N1515" s="55">
        <f ca="1">IFERROR(__xludf.DUMMYFUNCTION("""COMPUTED_VALUE"""),44540)</f>
        <v>44540</v>
      </c>
      <c r="O1515" s="25" t="str">
        <f t="shared" ca="1" si="0"/>
        <v>Secretaría Distrital de Gobierno</v>
      </c>
      <c r="P1515" s="25" t="str">
        <f t="shared" si="2"/>
        <v/>
      </c>
      <c r="Q1515" s="25" t="str">
        <f ca="1">IFERROR(__xludf.DUMMYFUNCTION("""COMPUTED_VALUE"""),"Corto plazo")</f>
        <v>Corto plazo</v>
      </c>
      <c r="R1515" s="25"/>
      <c r="S1515" s="55"/>
      <c r="T1515" s="56"/>
      <c r="U1515" s="25"/>
      <c r="V1515" s="25"/>
      <c r="W1515" s="25"/>
      <c r="X1515" s="25"/>
      <c r="Y1515" s="25"/>
      <c r="Z1515" s="25"/>
    </row>
    <row r="1516" spans="1:26" ht="52.5" customHeight="1" x14ac:dyDescent="0.25">
      <c r="A1516" s="25" t="str">
        <f ca="1">IFERROR(__xludf.DUMMYFUNCTION("""COMPUTED_VALUE"""),"Gobie14")</f>
        <v>Gobie14</v>
      </c>
      <c r="B1516" s="25" t="str">
        <f ca="1">IFERROR(__xludf.DUMMYFUNCTION("""COMPUTED_VALUE"""),"CONFIS")</f>
        <v>CONFIS</v>
      </c>
      <c r="C1516" s="55" t="str">
        <f ca="1">IFERROR(__xludf.DUMMYFUNCTION("""COMPUTED_VALUE"""),"31/03/2021")</f>
        <v>31/03/2021</v>
      </c>
      <c r="D1516" s="25" t="str">
        <f ca="1">IFERROR(__xludf.DUMMYFUNCTION("""COMPUTED_VALUE"""),"Gobierno")</f>
        <v>Gobierno</v>
      </c>
      <c r="E1516" s="25" t="str">
        <f ca="1">IFERROR(__xludf.DUMMYFUNCTION("""COMPUTED_VALUE"""),"Secretaría Distrital de Gobierno")</f>
        <v>Secretaría Distrital de Gobierno</v>
      </c>
      <c r="F1516" s="25" t="str">
        <f ca="1">IFERROR(__xludf.DUMMYFUNCTION("""COMPUTED_VALUE"""),"Destinar los excedentes financieros de IDPAC al proceso participativo del POT")</f>
        <v>Destinar los excedentes financieros de IDPAC al proceso participativo del POT</v>
      </c>
      <c r="G1516" s="25" t="str">
        <f ca="1">IFERROR(__xludf.DUMMYFUNCTION("""COMPUTED_VALUE"""),"99. Distrito")</f>
        <v>99. Distrito</v>
      </c>
      <c r="H1516" s="55">
        <f ca="1">IFERROR(__xludf.DUMMYFUNCTION("""COMPUTED_VALUE"""),44316)</f>
        <v>44316</v>
      </c>
      <c r="I1516" s="25"/>
      <c r="J1516" s="55" t="str">
        <f ca="1">IFERROR(__xludf.DUMMYFUNCTION("""COMPUTED_VALUE"""),"Alta")</f>
        <v>Alta</v>
      </c>
      <c r="K1516" s="25">
        <f ca="1">IFERROR(__xludf.DUMMYFUNCTION("""COMPUTED_VALUE"""),30)</f>
        <v>30</v>
      </c>
      <c r="L1516" s="62">
        <f ca="1">IFERROR(__xludf.DUMMYFUNCTION("""COMPUTED_VALUE"""),44540)</f>
        <v>44540</v>
      </c>
      <c r="M1516" s="25" t="str">
        <f ca="1">IFERROR(__xludf.DUMMYFUNCTION("""COMPUTED_VALUE"""),"Los excedentes financieros del IDPAC fueron direccionados para apoyar las iniciativas juveniles en cumplimiento de la la decisión del Consejo Distrital de Política Económica y Fiscal – CONFIS, en sesión No. 03 realizada el día 19 de marzo de 2021, de reas"&amp;"ignar los excedentes financieros a cada uno de los Establecimientos Públicos que los generó, para ser priorizados en primer término en los proyectos que propendan por la reactivación económica y para la generación de empleo, para ser utilizados en la vige"&amp;"ncia 2021.")</f>
        <v>Los excedentes financieros del IDPAC fueron direccionados para apoyar las iniciativas juveniles en cumplimiento de la la decisión del Consejo Distrital de Política Económica y Fiscal – CONFIS, en sesión No. 03 realizada el día 19 de marzo de 2021, de reasignar los excedentes financieros a cada uno de los Establecimientos Públicos que los generó, para ser priorizados en primer término en los proyectos que propendan por la reactivación económica y para la generación de empleo, para ser utilizados en la vigencia 2021.</v>
      </c>
      <c r="N1516" s="55">
        <f ca="1">IFERROR(__xludf.DUMMYFUNCTION("""COMPUTED_VALUE"""),44540)</f>
        <v>44540</v>
      </c>
      <c r="O1516" s="25" t="str">
        <f t="shared" ca="1" si="0"/>
        <v>Secretaría Distrital de Gobierno</v>
      </c>
      <c r="P1516" s="25" t="str">
        <f t="shared" si="2"/>
        <v/>
      </c>
      <c r="Q1516" s="25" t="str">
        <f ca="1">IFERROR(__xludf.DUMMYFUNCTION("""COMPUTED_VALUE"""),"Corto plazo")</f>
        <v>Corto plazo</v>
      </c>
      <c r="R1516" s="25"/>
      <c r="S1516" s="55"/>
      <c r="T1516" s="56"/>
      <c r="U1516" s="25"/>
      <c r="V1516" s="25"/>
      <c r="W1516" s="25"/>
      <c r="X1516" s="25"/>
      <c r="Y1516" s="25"/>
      <c r="Z1516" s="25"/>
    </row>
    <row r="1517" spans="1:26" ht="52.5" customHeight="1" x14ac:dyDescent="0.25">
      <c r="A1517" s="25" t="str">
        <f ca="1">IFERROR(__xludf.DUMMYFUNCTION("""COMPUTED_VALUE"""),"Gobie15")</f>
        <v>Gobie15</v>
      </c>
      <c r="B1517" s="25" t="str">
        <f ca="1">IFERROR(__xludf.DUMMYFUNCTION("""COMPUTED_VALUE"""),"Comisión SIDICU")</f>
        <v>Comisión SIDICU</v>
      </c>
      <c r="C1517" s="55">
        <f ca="1">IFERROR(__xludf.DUMMYFUNCTION("""COMPUTED_VALUE"""),44616)</f>
        <v>44616</v>
      </c>
      <c r="D1517" s="25" t="str">
        <f ca="1">IFERROR(__xludf.DUMMYFUNCTION("""COMPUTED_VALUE"""),"Gobierno")</f>
        <v>Gobierno</v>
      </c>
      <c r="E1517" s="25" t="str">
        <f ca="1">IFERROR(__xludf.DUMMYFUNCTION("""COMPUTED_VALUE"""),"Alcaldía Local")</f>
        <v>Alcaldía Local</v>
      </c>
      <c r="F1517" s="25" t="str">
        <f ca="1">IFERROR(__xludf.DUMMYFUNCTION("""COMPUTED_VALUE"""),"Buscar el sitio para la manzana del cuidado de Fontibón")</f>
        <v>Buscar el sitio para la manzana del cuidado de Fontibón</v>
      </c>
      <c r="G1517" s="55" t="str">
        <f ca="1">IFERROR(__xludf.DUMMYFUNCTION("""COMPUTED_VALUE"""),"09. Fontibón")</f>
        <v>09. Fontibón</v>
      </c>
      <c r="H1517" s="55">
        <f ca="1">IFERROR(__xludf.DUMMYFUNCTION("""COMPUTED_VALUE"""),44646)</f>
        <v>44646</v>
      </c>
      <c r="I1517" s="25"/>
      <c r="J1517" s="55" t="str">
        <f ca="1">IFERROR(__xludf.DUMMYFUNCTION("""COMPUTED_VALUE"""),"Alta")</f>
        <v>Alta</v>
      </c>
      <c r="K1517" s="25">
        <f ca="1">IFERROR(__xludf.DUMMYFUNCTION("""COMPUTED_VALUE"""),30)</f>
        <v>30</v>
      </c>
      <c r="L1517" s="62">
        <f ca="1">IFERROR(__xludf.DUMMYFUNCTION("""COMPUTED_VALUE"""),44362)</f>
        <v>44362</v>
      </c>
      <c r="M1517" s="25" t="str">
        <f ca="1">IFERROR(__xludf.DUMMYFUNCTION("""COMPUTED_VALUE"""),"Se solicita cierre: El Alcalde del FDL confirma que no se ha establecido ningún compromiso frente a la búsqueda de espacios o predios para la manzana del cuidado y según la información que se ha venido trabajando con la Secretaría de la Mujer (quien lider"&amp;"a esta búsqueda) esto se realizará en el 2023.")</f>
        <v>Se solicita cierre: El Alcalde del FDL confirma que no se ha establecido ningún compromiso frente a la búsqueda de espacios o predios para la manzana del cuidado y según la información que se ha venido trabajando con la Secretaría de la Mujer (quien lidera esta búsqueda) esto se realizará en el 2023.</v>
      </c>
      <c r="N1517" s="55">
        <f ca="1">IFERROR(__xludf.DUMMYFUNCTION("""COMPUTED_VALUE"""),44362)</f>
        <v>44362</v>
      </c>
      <c r="O1517" s="25" t="str">
        <f t="shared" ca="1" si="0"/>
        <v>Alcaldía Local</v>
      </c>
      <c r="P1517" s="25" t="str">
        <f t="shared" si="2"/>
        <v/>
      </c>
      <c r="Q1517" s="25" t="str">
        <f ca="1">IFERROR(__xludf.DUMMYFUNCTION("""COMPUTED_VALUE"""),"Corto plazo")</f>
        <v>Corto plazo</v>
      </c>
      <c r="R1517" s="25"/>
      <c r="S1517" s="55"/>
      <c r="T1517" s="56"/>
      <c r="U1517" s="25"/>
      <c r="V1517" s="25"/>
      <c r="W1517" s="25"/>
      <c r="X1517" s="25"/>
      <c r="Y1517" s="25"/>
      <c r="Z1517" s="25"/>
    </row>
    <row r="1518" spans="1:26" ht="52.5" customHeight="1" x14ac:dyDescent="0.25">
      <c r="A1518" s="25" t="str">
        <f ca="1">IFERROR(__xludf.DUMMYFUNCTION("""COMPUTED_VALUE"""),"Gobie16")</f>
        <v>Gobie16</v>
      </c>
      <c r="B1518" s="25" t="str">
        <f ca="1">IFERROR(__xludf.DUMMYFUNCTION("""COMPUTED_VALUE"""),"Recorrido de Bosa")</f>
        <v>Recorrido de Bosa</v>
      </c>
      <c r="C1518" s="55">
        <f ca="1">IFERROR(__xludf.DUMMYFUNCTION("""COMPUTED_VALUE"""),44602)</f>
        <v>44602</v>
      </c>
      <c r="D1518" s="25" t="str">
        <f ca="1">IFERROR(__xludf.DUMMYFUNCTION("""COMPUTED_VALUE"""),"Gobierno")</f>
        <v>Gobierno</v>
      </c>
      <c r="E1518" s="25" t="str">
        <f ca="1">IFERROR(__xludf.DUMMYFUNCTION("""COMPUTED_VALUE"""),"Alcaldía Local")</f>
        <v>Alcaldía Local</v>
      </c>
      <c r="F1518" s="25" t="str">
        <f ca="1">IFERROR(__xludf.DUMMYFUNCTION("""COMPUTED_VALUE"""),"La Alcaldía Local de Bosa debe hacer un plan para el arreglo de la vía de entrada al centro día Casa de la Sabiduría Rincón Intercultural de Bosa")</f>
        <v>La Alcaldía Local de Bosa debe hacer un plan para el arreglo de la vía de entrada al centro día Casa de la Sabiduría Rincón Intercultural de Bosa</v>
      </c>
      <c r="G1518" s="55" t="str">
        <f ca="1">IFERROR(__xludf.DUMMYFUNCTION("""COMPUTED_VALUE"""),"07. Bosa")</f>
        <v>07. Bosa</v>
      </c>
      <c r="H1518" s="55">
        <f ca="1">IFERROR(__xludf.DUMMYFUNCTION("""COMPUTED_VALUE"""),44632)</f>
        <v>44632</v>
      </c>
      <c r="I1518" s="25"/>
      <c r="J1518" s="55" t="str">
        <f ca="1">IFERROR(__xludf.DUMMYFUNCTION("""COMPUTED_VALUE"""),"Alta")</f>
        <v>Alta</v>
      </c>
      <c r="K1518" s="25">
        <f ca="1">IFERROR(__xludf.DUMMYFUNCTION("""COMPUTED_VALUE"""),30)</f>
        <v>30</v>
      </c>
      <c r="L1518" s="62">
        <f ca="1">IFERROR(__xludf.DUMMYFUNCTION("""COMPUTED_VALUE"""),44753)</f>
        <v>44753</v>
      </c>
      <c r="M1518" s="25" t="str">
        <f ca="1">IFERROR(__xludf.DUMMYFUNCTION("""COMPUTED_VALUE"""),"Se solicita traslado a UMV: De acuerdo con la solicitud,en la que se resalta la petición de la pavimentación y/o mantenimiento de las vías circundantes al Centro Dia se realizó la revisión de las bases de datos y se ha obtenido información suministrada po"&amp;"r la Unidad Administrativa Especial de Rehabilitación y Mantenimiento Vial (UAERMV) en su plataforma (SIGMA) y el Instituto de Desarrollo Urbano (IDU) por medio de la plataforma (SIGIDU), es así que me permito informar que la vía ha sido identificada de l"&amp;"a siguiente manera.
*Diagonal 89A Sur desde Transversal 87A hasta Transversal 80I: corresponde a tipo de elemento Calzada, ubicada en la Localidad de Bosa en la UPZ 85 Bosa Central en el sector San Diego:
CIV        CÓDIGO DE ELEMENTO        VÍA        D"&amp;"ESDE        HASTA        SECCIÓN VIAL        SUPERFICIE IDU
7008892        91033142        DG 89A S        TV 87A        TV 80I        V9        Afirmado
En lo respectivo a el elemento, se encontró en las bases de datos que el mismo se encuentra reservad"&amp;"o el 15/2/2022 por la Unidad de Mantenimiento Vial. En la cual realizarán una intervención de mejoramiento con Material Fresado.
Reporte 11 julio: ""En lo correspondiente a la Diagonal 89A Sur desde Transversal 87A hasta Transversal 80I, reservada por la"&amp;" Unidad Administrativa Especial de Rehabilitación y Mantenimiento Vial (UAERMV), se remite oficio con radicado No. 20225721160621 del 11 de julio del 2022, con el fin de indagar la fecha de inicio de actividades de intervención donde se realizará Fresado "&amp;"Estabilizado como Acción de Movilidad en el marco del programa Rescate Social  y Estrategia Infraestructura y gestión del Tránsito
De otro lado, en lo respectivo a la Transversal 87A sur con Diagonal 90 sur, se encuentra reservado por el Fondo de Desar"&amp;"rollo Local de Bosa mediante el contrato obra No. 340-2022 al contratista Serrano Gómez Construcciones S.A.S el cual tiene por objeto: “Realizar las obras para la conservación de la malla vial, espacio público asociado y puentes vehiculares y/o peatonales"&amp;" sobre cuerpos de agua de la localidad de bosa, a través del sistema de precios unitarios fijos, sin formula de reajuste y a monto agotable”. Actualmente la interventoría fue adjudicada en fecha 14 de junio de 2022 a un consorcio que en este momento se en"&amp;"cuentra adelantando los trámites para la suscripción del acta de inicio. """)</f>
        <v>Se solicita traslado a UMV: De acuerdo con la solicitud,en la que se resalta la petición de la pavimentación y/o mantenimiento de las vías circundantes al Centro Dia se realizó la revisión de las bases de datos y se ha obtenido información suministrada por la Unidad Administrativa Especial de Rehabilitación y Mantenimiento Vial (UAERMV) en su plataforma (SIGMA) y el Instituto de Desarrollo Urbano (IDU) por medio de la plataforma (SIGIDU), es así que me permito informar que la vía ha sido identificada de la siguiente manera.
*Diagonal 89A Sur desde Transversal 87A hasta Transversal 80I: corresponde a tipo de elemento Calzada, ubicada en la Localidad de Bosa en la UPZ 85 Bosa Central en el sector San Diego:
CIV        CÓDIGO DE ELEMENTO        VÍA        DESDE        HASTA        SECCIÓN VIAL        SUPERFICIE IDU
7008892        91033142        DG 89A S        TV 87A        TV 80I        V9        Afirmado
En lo respectivo a el elemento, se encontró en las bases de datos que el mismo se encuentra reservado el 15/2/2022 por la Unidad de Mantenimiento Vial. En la cual realizarán una intervención de mejoramiento con Material Fresado.
Reporte 11 julio: "En lo correspondiente a la Diagonal 89A Sur desde Transversal 87A hasta Transversal 80I, reservada por la Unidad Administrativa Especial de Rehabilitación y Mantenimiento Vial (UAERMV), se remite oficio con radicado No. 20225721160621 del 11 de julio del 2022, con el fin de indagar la fecha de inicio de actividades de intervención donde se realizará Fresado Estabilizado como Acción de Movilidad en el marco del programa Rescate Social  y Estrategia Infraestructura y gestión del Tránsito
De otro lado, en lo respectivo a la Transversal 87A sur con Diagonal 90 sur, se encuentra reservado por el Fondo de Desarrollo Local de Bosa mediante el contrato obra No. 340-2022 al contratista Serrano Gómez Construcciones S.A.S el cual tiene por objeto: “Realizar las obras para la conservación de la malla vial, espacio público asociado y puentes vehiculares y/o peatonales sobre cuerpos de agua de la localidad de bosa, a través del sistema de precios unitarios fijos, sin formula de reajuste y a monto agotable”. Actualmente la interventoría fue adjudicada en fecha 14 de junio de 2022 a un consorcio que en este momento se encuentra adelantando los trámites para la suscripción del acta de inicio. "</v>
      </c>
      <c r="N1518" s="55">
        <f ca="1">IFERROR(__xludf.DUMMYFUNCTION("""COMPUTED_VALUE"""),44753)</f>
        <v>44753</v>
      </c>
      <c r="O1518" s="25" t="str">
        <f t="shared" ca="1" si="0"/>
        <v>Alcaldía Local</v>
      </c>
      <c r="P1518" s="25" t="str">
        <f t="shared" si="2"/>
        <v/>
      </c>
      <c r="Q1518" s="25" t="str">
        <f ca="1">IFERROR(__xludf.DUMMYFUNCTION("""COMPUTED_VALUE"""),"Corto plazo")</f>
        <v>Corto plazo</v>
      </c>
      <c r="R1518" s="25"/>
      <c r="S1518" s="55"/>
      <c r="T1518" s="56"/>
      <c r="U1518" s="25"/>
      <c r="V1518" s="25"/>
      <c r="W1518" s="25"/>
      <c r="X1518" s="25"/>
      <c r="Y1518" s="25"/>
      <c r="Z1518" s="25"/>
    </row>
    <row r="1519" spans="1:26" ht="52.5" customHeight="1" x14ac:dyDescent="0.25">
      <c r="A1519" s="25" t="str">
        <f ca="1">IFERROR(__xludf.DUMMYFUNCTION("""COMPUTED_VALUE"""),"Gobie17")</f>
        <v>Gobie17</v>
      </c>
      <c r="B1519" s="25" t="str">
        <f ca="1">IFERROR(__xludf.DUMMYFUNCTION("""COMPUTED_VALUE"""),"PMU Emberas")</f>
        <v>PMU Emberas</v>
      </c>
      <c r="C1519" s="55">
        <f ca="1">IFERROR(__xludf.DUMMYFUNCTION("""COMPUTED_VALUE"""),44589)</f>
        <v>44589</v>
      </c>
      <c r="D1519" s="25" t="str">
        <f ca="1">IFERROR(__xludf.DUMMYFUNCTION("""COMPUTED_VALUE"""),"Gobierno")</f>
        <v>Gobierno</v>
      </c>
      <c r="E1519" s="25" t="str">
        <f ca="1">IFERROR(__xludf.DUMMYFUNCTION("""COMPUTED_VALUE"""),"Secretaría Distrital de Gobierno")</f>
        <v>Secretaría Distrital de Gobierno</v>
      </c>
      <c r="F1519" s="25" t="str">
        <f ca="1">IFERROR(__xludf.DUMMYFUNCTION("""COMPUTED_VALUE"""),"Hecho el retorno de la comunidad en febrero la Alcaldía Mayor hará restitución del espacio público")</f>
        <v>Hecho el retorno de la comunidad en febrero la Alcaldía Mayor hará restitución del espacio público</v>
      </c>
      <c r="G1519" s="25" t="str">
        <f ca="1">IFERROR(__xludf.DUMMYFUNCTION("""COMPUTED_VALUE"""),"99. Distrito")</f>
        <v>99. Distrito</v>
      </c>
      <c r="H1519" s="55">
        <f ca="1">IFERROR(__xludf.DUMMYFUNCTION("""COMPUTED_VALUE"""),44621)</f>
        <v>44621</v>
      </c>
      <c r="I1519" s="25"/>
      <c r="J1519" s="55" t="str">
        <f ca="1">IFERROR(__xludf.DUMMYFUNCTION("""COMPUTED_VALUE"""),"Alta")</f>
        <v>Alta</v>
      </c>
      <c r="K1519" s="25">
        <f ca="1">IFERROR(__xludf.DUMMYFUNCTION("""COMPUTED_VALUE"""),32)</f>
        <v>32</v>
      </c>
      <c r="L1519" s="62">
        <f ca="1">IFERROR(__xludf.DUMMYFUNCTION("""COMPUTED_VALUE"""),44767)</f>
        <v>44767</v>
      </c>
      <c r="M1519" s="25" t="str">
        <f ca="1">IFERROR(__xludf.DUMMYFUNCTION("""COMPUTED_VALUE"""),"El 5 y 6 de mayo se realizaron dos mesas de diálogo con los voceros del proceso ""Autoridades Indígenas en Bakatá"", en el Centro de Memoria, Paz y Reconciliación, con participación del Gobierno Nacional, como resultados de estas mesas se acordaron unos c"&amp;"ompromisos por parte del Gobierno Nacional y Distrital, acuerdo que permitió levantar la ocupación del Parque Nacional, procediendo a la restitución del espacio público. ")</f>
        <v xml:space="preserve">El 5 y 6 de mayo se realizaron dos mesas de diálogo con los voceros del proceso "Autoridades Indígenas en Bakatá", en el Centro de Memoria, Paz y Reconciliación, con participación del Gobierno Nacional, como resultados de estas mesas se acordaron unos compromisos por parte del Gobierno Nacional y Distrital, acuerdo que permitió levantar la ocupación del Parque Nacional, procediendo a la restitución del espacio público. </v>
      </c>
      <c r="N1519" s="55">
        <f ca="1">IFERROR(__xludf.DUMMYFUNCTION("""COMPUTED_VALUE"""),44767)</f>
        <v>44767</v>
      </c>
      <c r="O1519" s="25" t="str">
        <f t="shared" ca="1" si="0"/>
        <v>Secretaría Distrital de Gobierno</v>
      </c>
      <c r="P1519" s="25" t="str">
        <f t="shared" si="2"/>
        <v/>
      </c>
      <c r="Q1519" s="25" t="str">
        <f ca="1">IFERROR(__xludf.DUMMYFUNCTION("""COMPUTED_VALUE"""),"Corto plazo")</f>
        <v>Corto plazo</v>
      </c>
      <c r="R1519" s="25"/>
      <c r="S1519" s="55"/>
      <c r="T1519" s="56"/>
      <c r="U1519" s="25"/>
      <c r="V1519" s="25"/>
      <c r="W1519" s="25"/>
      <c r="X1519" s="25"/>
      <c r="Y1519" s="25"/>
      <c r="Z1519" s="25"/>
    </row>
    <row r="1520" spans="1:26" ht="52.5" customHeight="1" x14ac:dyDescent="0.25">
      <c r="A1520" s="25" t="str">
        <f ca="1">IFERROR(__xludf.DUMMYFUNCTION("""COMPUTED_VALUE"""),"Gobie18")</f>
        <v>Gobie18</v>
      </c>
      <c r="B1520" s="25" t="str">
        <f ca="1">IFERROR(__xludf.DUMMYFUNCTION("""COMPUTED_VALUE"""),"PMU Emberas")</f>
        <v>PMU Emberas</v>
      </c>
      <c r="C1520" s="55">
        <f ca="1">IFERROR(__xludf.DUMMYFUNCTION("""COMPUTED_VALUE"""),44589)</f>
        <v>44589</v>
      </c>
      <c r="D1520" s="25" t="str">
        <f ca="1">IFERROR(__xludf.DUMMYFUNCTION("""COMPUTED_VALUE"""),"Gobierno")</f>
        <v>Gobierno</v>
      </c>
      <c r="E1520" s="25" t="str">
        <f ca="1">IFERROR(__xludf.DUMMYFUNCTION("""COMPUTED_VALUE"""),"Secretaría Distrital de Gobierno")</f>
        <v>Secretaría Distrital de Gobierno</v>
      </c>
      <c r="F1520" s="25" t="str">
        <f ca="1">IFERROR(__xludf.DUMMYFUNCTION("""COMPUTED_VALUE"""),"El Ministerio del Interior debe reportar al juez y al Distrito los resguardos y autoridades registradas ante en Ministerio del Interior")</f>
        <v>El Ministerio del Interior debe reportar al juez y al Distrito los resguardos y autoridades registradas ante en Ministerio del Interior</v>
      </c>
      <c r="G1520" s="25" t="str">
        <f ca="1">IFERROR(__xludf.DUMMYFUNCTION("""COMPUTED_VALUE"""),"99. Distrito")</f>
        <v>99. Distrito</v>
      </c>
      <c r="H1520" s="55">
        <f ca="1">IFERROR(__xludf.DUMMYFUNCTION("""COMPUTED_VALUE"""),44619)</f>
        <v>44619</v>
      </c>
      <c r="I1520" s="25"/>
      <c r="J1520" s="55" t="str">
        <f ca="1">IFERROR(__xludf.DUMMYFUNCTION("""COMPUTED_VALUE"""),"Alta")</f>
        <v>Alta</v>
      </c>
      <c r="K1520" s="25">
        <f ca="1">IFERROR(__xludf.DUMMYFUNCTION("""COMPUTED_VALUE"""),30)</f>
        <v>30</v>
      </c>
      <c r="L1520" s="62">
        <f ca="1">IFERROR(__xludf.DUMMYFUNCTION("""COMPUTED_VALUE"""),44620)</f>
        <v>44620</v>
      </c>
      <c r="M1520" s="25"/>
      <c r="N1520" s="55">
        <f ca="1">IFERROR(__xludf.DUMMYFUNCTION("""COMPUTED_VALUE"""),44620)</f>
        <v>44620</v>
      </c>
      <c r="O1520" s="25" t="str">
        <f t="shared" ca="1" si="0"/>
        <v>Secretaría Distrital de Gobierno</v>
      </c>
      <c r="P1520" s="25" t="str">
        <f t="shared" si="2"/>
        <v/>
      </c>
      <c r="Q1520" s="25" t="str">
        <f ca="1">IFERROR(__xludf.DUMMYFUNCTION("""COMPUTED_VALUE"""),"Corto plazo")</f>
        <v>Corto plazo</v>
      </c>
      <c r="R1520" s="25"/>
      <c r="S1520" s="55"/>
      <c r="T1520" s="56"/>
      <c r="U1520" s="25"/>
      <c r="V1520" s="25"/>
      <c r="W1520" s="25"/>
      <c r="X1520" s="25"/>
      <c r="Y1520" s="25"/>
      <c r="Z1520" s="25"/>
    </row>
    <row r="1521" spans="1:26" ht="52.5" customHeight="1" x14ac:dyDescent="0.25">
      <c r="A1521" s="25" t="str">
        <f ca="1">IFERROR(__xludf.DUMMYFUNCTION("""COMPUTED_VALUE"""),"Gobie19")</f>
        <v>Gobie19</v>
      </c>
      <c r="B1521" s="25" t="str">
        <f ca="1">IFERROR(__xludf.DUMMYFUNCTION("""COMPUTED_VALUE"""),"Reunión Juegos parapanamericanos IDRD, MinDeporte")</f>
        <v>Reunión Juegos parapanamericanos IDRD, MinDeporte</v>
      </c>
      <c r="C1521" s="55">
        <f ca="1">IFERROR(__xludf.DUMMYFUNCTION("""COMPUTED_VALUE"""),44586)</f>
        <v>44586</v>
      </c>
      <c r="D1521" s="25" t="str">
        <f ca="1">IFERROR(__xludf.DUMMYFUNCTION("""COMPUTED_VALUE"""),"Gobierno")</f>
        <v>Gobierno</v>
      </c>
      <c r="E1521" s="25" t="str">
        <f ca="1">IFERROR(__xludf.DUMMYFUNCTION("""COMPUTED_VALUE"""),"Secretaría Distrital de Gobierno")</f>
        <v>Secretaría Distrital de Gobierno</v>
      </c>
      <c r="F1521" s="25" t="str">
        <f ca="1">IFERROR(__xludf.DUMMYFUNCTION("""COMPUTED_VALUE"""),"En personal logístico: hacer un convenio con el MinDeporte y Parceros para seleccionar y entrenar a los jóvenes. Revisar el tema con José David Riveros y Sergio Fernández")</f>
        <v>En personal logístico: hacer un convenio con el MinDeporte y Parceros para seleccionar y entrenar a los jóvenes. Revisar el tema con José David Riveros y Sergio Fernández</v>
      </c>
      <c r="G1521" s="25" t="str">
        <f ca="1">IFERROR(__xludf.DUMMYFUNCTION("""COMPUTED_VALUE"""),"99. Distrito")</f>
        <v>99. Distrito</v>
      </c>
      <c r="H1521" s="55">
        <f ca="1">IFERROR(__xludf.DUMMYFUNCTION("""COMPUTED_VALUE"""),44616)</f>
        <v>44616</v>
      </c>
      <c r="I1521" s="25"/>
      <c r="J1521" s="55" t="str">
        <f ca="1">IFERROR(__xludf.DUMMYFUNCTION("""COMPUTED_VALUE"""),"Alta")</f>
        <v>Alta</v>
      </c>
      <c r="K1521" s="25">
        <f ca="1">IFERROR(__xludf.DUMMYFUNCTION("""COMPUTED_VALUE"""),30)</f>
        <v>30</v>
      </c>
      <c r="L1521" s="62">
        <f ca="1">IFERROR(__xludf.DUMMYFUNCTION("""COMPUTED_VALUE"""),44715)</f>
        <v>44715</v>
      </c>
      <c r="M1521" s="25" t="str">
        <f ca="1">IFERROR(__xludf.DUMMYFUNCTION("""COMPUTED_VALUE"""),"El 26 de marzo se realizó reunión con IDRD y organizadores de juegos Panamericanos, se expuso estrategia Parceros, se informó que la cuarta cohorte finaliza en septiembre, dado que los juegos se desarrollarán en noviembre se identificó como viable que se "&amp;"hiciera con el Programa RETO de SDIS, se acompañó reunión con dicha entidad para iniciar la articulación, se decidió que desde SDIS se realizará el acompañamiento")</f>
        <v>El 26 de marzo se realizó reunión con IDRD y organizadores de juegos Panamericanos, se expuso estrategia Parceros, se informó que la cuarta cohorte finaliza en septiembre, dado que los juegos se desarrollarán en noviembre se identificó como viable que se hiciera con el Programa RETO de SDIS, se acompañó reunión con dicha entidad para iniciar la articulación, se decidió que desde SDIS se realizará el acompañamiento</v>
      </c>
      <c r="N1521" s="55">
        <f ca="1">IFERROR(__xludf.DUMMYFUNCTION("""COMPUTED_VALUE"""),44715)</f>
        <v>44715</v>
      </c>
      <c r="O1521" s="25" t="str">
        <f t="shared" ca="1" si="0"/>
        <v>Secretaría Distrital de Gobierno</v>
      </c>
      <c r="P1521" s="25" t="str">
        <f t="shared" si="2"/>
        <v/>
      </c>
      <c r="Q1521" s="25" t="str">
        <f ca="1">IFERROR(__xludf.DUMMYFUNCTION("""COMPUTED_VALUE"""),"Corto plazo")</f>
        <v>Corto plazo</v>
      </c>
      <c r="R1521" s="25"/>
      <c r="S1521" s="55"/>
      <c r="T1521" s="56"/>
      <c r="U1521" s="25"/>
      <c r="V1521" s="25"/>
      <c r="W1521" s="25"/>
      <c r="X1521" s="25"/>
      <c r="Y1521" s="25"/>
      <c r="Z1521" s="25"/>
    </row>
    <row r="1522" spans="1:26" ht="52.5" customHeight="1" x14ac:dyDescent="0.25">
      <c r="A1522" s="25" t="str">
        <f ca="1">IFERROR(__xludf.DUMMYFUNCTION("""COMPUTED_VALUE"""),"Gobie20")</f>
        <v>Gobie20</v>
      </c>
      <c r="B1522" s="25" t="str">
        <f ca="1">IFERROR(__xludf.DUMMYFUNCTION("""COMPUTED_VALUE"""),"Reunión Juegos parapanamericanos IDRD, MinDeporte")</f>
        <v>Reunión Juegos parapanamericanos IDRD, MinDeporte</v>
      </c>
      <c r="C1522" s="55">
        <f ca="1">IFERROR(__xludf.DUMMYFUNCTION("""COMPUTED_VALUE"""),44586)</f>
        <v>44586</v>
      </c>
      <c r="D1522" s="25" t="str">
        <f ca="1">IFERROR(__xludf.DUMMYFUNCTION("""COMPUTED_VALUE"""),"Gobierno")</f>
        <v>Gobierno</v>
      </c>
      <c r="E1522" s="25" t="str">
        <f ca="1">IFERROR(__xludf.DUMMYFUNCTION("""COMPUTED_VALUE"""),"Secretaría Distrital de Gobierno")</f>
        <v>Secretaría Distrital de Gobierno</v>
      </c>
      <c r="F1522" s="25" t="str">
        <f ca="1">IFERROR(__xludf.DUMMYFUNCTION("""COMPUTED_VALUE"""),"Para hacer el convenio con Parceros, se requiere que el MinDeporte especifique cuánta gente requiere; qué tipo de perfiles; qué responsabilidades tienen las personas; y cuántos días se requieren")</f>
        <v>Para hacer el convenio con Parceros, se requiere que el MinDeporte especifique cuánta gente requiere; qué tipo de perfiles; qué responsabilidades tienen las personas; y cuántos días se requieren</v>
      </c>
      <c r="G1522" s="25" t="str">
        <f ca="1">IFERROR(__xludf.DUMMYFUNCTION("""COMPUTED_VALUE"""),"99. Distrito")</f>
        <v>99. Distrito</v>
      </c>
      <c r="H1522" s="55">
        <f ca="1">IFERROR(__xludf.DUMMYFUNCTION("""COMPUTED_VALUE"""),44616)</f>
        <v>44616</v>
      </c>
      <c r="I1522" s="25"/>
      <c r="J1522" s="55" t="str">
        <f ca="1">IFERROR(__xludf.DUMMYFUNCTION("""COMPUTED_VALUE"""),"Alta")</f>
        <v>Alta</v>
      </c>
      <c r="K1522" s="25">
        <f ca="1">IFERROR(__xludf.DUMMYFUNCTION("""COMPUTED_VALUE"""),30)</f>
        <v>30</v>
      </c>
      <c r="L1522" s="62">
        <f ca="1">IFERROR(__xludf.DUMMYFUNCTION("""COMPUTED_VALUE"""),44699)</f>
        <v>44699</v>
      </c>
      <c r="M1522" s="25" t="str">
        <f ca="1">IFERROR(__xludf.DUMMYFUNCTION("""COMPUTED_VALUE"""),"El 26 de marzo se realizó reunión con IDRD y organizadores de juegos Panamericanos, se expuso estrategia Parceros, se informó que la cuarta cohorte finaliza en septiembre, dado que los juegos se desarrollarán en noviembre se identificó como viable que se "&amp;"hiciera con el Programa RETO de SDIS, se acompañó reunión con dicha entidad para iniciar la articulación, se decidió que desde SDIS se realizará el acompañamiento")</f>
        <v>El 26 de marzo se realizó reunión con IDRD y organizadores de juegos Panamericanos, se expuso estrategia Parceros, se informó que la cuarta cohorte finaliza en septiembre, dado que los juegos se desarrollarán en noviembre se identificó como viable que se hiciera con el Programa RETO de SDIS, se acompañó reunión con dicha entidad para iniciar la articulación, se decidió que desde SDIS se realizará el acompañamiento</v>
      </c>
      <c r="N1522" s="55">
        <f ca="1">IFERROR(__xludf.DUMMYFUNCTION("""COMPUTED_VALUE"""),44699)</f>
        <v>44699</v>
      </c>
      <c r="O1522" s="25" t="str">
        <f t="shared" ca="1" si="0"/>
        <v>Secretaría Distrital de Gobierno</v>
      </c>
      <c r="P1522" s="25" t="str">
        <f t="shared" si="2"/>
        <v/>
      </c>
      <c r="Q1522" s="25" t="str">
        <f ca="1">IFERROR(__xludf.DUMMYFUNCTION("""COMPUTED_VALUE"""),"Corto plazo")</f>
        <v>Corto plazo</v>
      </c>
      <c r="R1522" s="25"/>
      <c r="S1522" s="55"/>
      <c r="T1522" s="56"/>
      <c r="U1522" s="25"/>
      <c r="V1522" s="25"/>
      <c r="W1522" s="25"/>
      <c r="X1522" s="25"/>
      <c r="Y1522" s="25"/>
      <c r="Z1522" s="25"/>
    </row>
    <row r="1523" spans="1:26" ht="52.5" customHeight="1" x14ac:dyDescent="0.25">
      <c r="A1523" s="25" t="str">
        <f ca="1">IFERROR(__xludf.DUMMYFUNCTION("""COMPUTED_VALUE"""),"Gobie21")</f>
        <v>Gobie21</v>
      </c>
      <c r="B1523" s="25" t="str">
        <f ca="1">IFERROR(__xludf.DUMMYFUNCTION("""COMPUTED_VALUE"""),"Recorrido Kennedy")</f>
        <v>Recorrido Kennedy</v>
      </c>
      <c r="C1523" s="55">
        <f ca="1">IFERROR(__xludf.DUMMYFUNCTION("""COMPUTED_VALUE"""),44581)</f>
        <v>44581</v>
      </c>
      <c r="D1523" s="25" t="str">
        <f ca="1">IFERROR(__xludf.DUMMYFUNCTION("""COMPUTED_VALUE"""),"Gobierno")</f>
        <v>Gobierno</v>
      </c>
      <c r="E1523" s="25" t="str">
        <f ca="1">IFERROR(__xludf.DUMMYFUNCTION("""COMPUTED_VALUE"""),"Departamento Administrativo de la Defensoría del Espacio Público")</f>
        <v>Departamento Administrativo de la Defensoría del Espacio Público</v>
      </c>
      <c r="F1523" s="25" t="str">
        <f ca="1">IFERROR(__xludf.DUMMYFUNCTION("""COMPUTED_VALUE"""),"Verificar el estado de los predios que están siendo utilizados como terminales piratas en el barrio tintal y el sector de la playita")</f>
        <v>Verificar el estado de los predios que están siendo utilizados como terminales piratas en el barrio tintal y el sector de la playita</v>
      </c>
      <c r="G1523" s="55" t="str">
        <f ca="1">IFERROR(__xludf.DUMMYFUNCTION("""COMPUTED_VALUE"""),"08. Kennedy")</f>
        <v>08. Kennedy</v>
      </c>
      <c r="H1523" s="55">
        <f ca="1">IFERROR(__xludf.DUMMYFUNCTION("""COMPUTED_VALUE"""),44611)</f>
        <v>44611</v>
      </c>
      <c r="I1523" s="25"/>
      <c r="J1523" s="55" t="str">
        <f ca="1">IFERROR(__xludf.DUMMYFUNCTION("""COMPUTED_VALUE"""),"Alta")</f>
        <v>Alta</v>
      </c>
      <c r="K1523" s="25">
        <f ca="1">IFERROR(__xludf.DUMMYFUNCTION("""COMPUTED_VALUE"""),30)</f>
        <v>30</v>
      </c>
      <c r="L1523" s="62">
        <f ca="1">IFERROR(__xludf.DUMMYFUNCTION("""COMPUTED_VALUE"""),45082)</f>
        <v>45082</v>
      </c>
      <c r="M1523" s="25" t="str">
        <f ca="1">IFERROR(__xludf.DUMMYFUNCTION("""COMPUTED_VALUE"""),"Las actuaciones adelantadas en contra de la Escritura Pública 944 de 1985, por medio de la cual se transfirió la propiedad del predio correspondiente a la afectación vial del Desarrollo el Tintal, con un área de 4.868.65 Mts2, el cual se encuentra incorpo"&amp;"rado con el RUPI 734-1 y hace parte del sector denominado La Playita. 
Lo mencionado se realiza en los siguientes términos: 
1.- Mediante auto de fecha 05 de diciembre de 2022, el Juzgado 33 Civil del Circuito de Bogotá procedió a admitir la demanda ver"&amp;"bal de nulidad escritura de Mayor Cuantía, instaurada por el DISTRITO CAPITAL DEPARTAMENTO ADMINISTRATIVO DE LA DEFENSORÍA DEL ESPACIO PÚBLICO - DADEP, en contra del Señor HUGO ALBERTO VILLA INFANTE, BELARMINA TIBATÁ DÍAZ y personas que se crean con inter"&amp;"és en los bienes o activos del SINDICATO DE TRABAJADORES DEL DEPARTAMENTO ADMINISTRATIVO DE ACCIÓN COMUNAL DEL DISTRITO ESPECIAL DE BOGOTÁ – SINTRACODE. Lo anterior, bajo el radicado 2022-00357.
Adicionalmente, procedió a ordenar prestar caución por la s"&amp;"uma de CUATROCIENTOS SETENTA MILLONES NOVECIENTOS SESENTA Y DOS MIL CUATROCIENTOS PESOS M/CTE ($470.962.400.oo), siguiendo lo dispuesto en el numeral 1 literal b en concordancia con el numeral 2 del artículo 590 del C.G.P., para lo cual ordenó allegar la "&amp;"referida caución en un término de cinco (5) días hábiles.
2.- Mediante oficio con radicado 20221100197851 de fecha 14-12-2022, se solicitó al despacho judicial la disminución del monto de la caución, ello por cuanto la póliza fue cotizada en la suma de $"&amp;"16.817.522, monto que no estaba disponible para el mes de diciembre de 2022.   
3.- En fecha 13-01-2023, ingresó el proceso despacho para resolver la solicitud de disminución de la caución.   
4.- Mediante el oficio con radicado 20231100022131 de fecha "&amp;"24-02-2023, se solicitó al Juzgado impulsar el proceso en el sentido de decidir sobre la petición de disminución de la caución ordenada.  
5.- Mediante decisión de fecha 28-02-2023, el Juzgado 33 Civil del Circuito de Bogotá procedió a negar la solicitud"&amp;" de diminución de la caución, ello en vista de lo señalado en el artículo 590 numeral 2 del C.G.P., que prevé que para el decreto de medidas cautelares se deberá prestar caución del 20 % del valor de las pretensiones, lo que para el juzgado implica que si"&amp;"n dicho pago no es procedente decretar la medida.   
6.- Frente a la referida decisión, se procedió a promover recurso de reposición y adicionalmente a través del radicado 20231100031701 de fecha 15 de marzo de 2023, se elevó petición de saneamiento del "&amp;"proceso, en donde se solicitó al señor Juez que atendiendo lo señalado en el CPACA en su artículo 232, al tratarse el demandante de una entidad pública y al perseguirse la protección de un derecho colectivo, no se hace exigible la caución judicial exigida"&amp;", argumento que ha sido acogido en otros asuntos de similar connotación.   
7.- En fecha 26-04-2023, el Juzgado 33 Civil del Circuito de Bogotá D.C., decidió acoger la solicitud del DADEP y decretar medida de saneamiento en el sentido de ordenar la inscr"&amp;"ipción de la demanda en los predios identificados con los folios de matrícula 50C-176043 y 50C-1683466, los cuales corresponden a los inmuebles en donde se encuentra el predio público con RUPI 734-1, esto sin exigir póliza alguna.   
8.- En vista de lo a"&amp;"nterior, se procede a realizar la notificación de la demanda tal y como lo ordenó el Juzgado en la mencionada decisión de fecha 26-04-2023.   Por otra parte se han adelantado reuniónes con la Alcaldía Local de Kennedy con el objeto de verificar la viabili"&amp;"dad de que el DADEP le entregué la administración de los predios a esta Alcaldía y también se adelantan operativos  en el sector  los días 6 de marzo y 12 de mayo de 2023 respectivamente.  Se hizo mesa de trabajo con la alcaldesa Local  el dia  6 de marzo"&amp;"  de 2023 en la que se trató el tema del predio.                                                                                                                                                                                                               "&amp;"                                                                                                 9 - Se solicito a la Alcaldía local de Kennedy adelantar operativos de IVC y recuperación de espacio público en el predio, lo cual se programo un operativo pa"&amp;"ra el 12 de mayo, operativo que fue suspendido por parte de esta Alcaldía; el DADEP se encuentra a la espera de recibir la solicitud por parte de la Alcaldía para acompañar en los operativos que atiendan las ocupaciones en este espacio.")</f>
        <v>Las actuaciones adelantadas en contra de la Escritura Pública 944 de 1985, por medio de la cual se transfirió la propiedad del predio correspondiente a la afectación vial del Desarrollo el Tintal, con un área de 4.868.65 Mts2, el cual se encuentra incorporado con el RUPI 734-1 y hace parte del sector denominado La Playita. 
Lo mencionado se realiza en los siguientes términos: 
1.- Mediante auto de fecha 05 de diciembre de 2022, el Juzgado 33 Civil del Circuito de Bogotá procedió a admitir la demanda verbal de nulidad escritura de Mayor Cuantía, instaurada por el DISTRITO CAPITAL DEPARTAMENTO ADMINISTRATIVO DE LA DEFENSORÍA DEL ESPACIO PÚBLICO - DADEP, en contra del Señor HUGO ALBERTO VILLA INFANTE, BELARMINA TIBATÁ DÍAZ y personas que se crean con interés en los bienes o activos del SINDICATO DE TRABAJADORES DEL DEPARTAMENTO ADMINISTRATIVO DE ACCIÓN COMUNAL DEL DISTRITO ESPECIAL DE BOGOTÁ – SINTRACODE. Lo anterior, bajo el radicado 2022-00357.
Adicionalmente, procedió a ordenar prestar caución por la suma de CUATROCIENTOS SETENTA MILLONES NOVECIENTOS SESENTA Y DOS MIL CUATROCIENTOS PESOS M/CTE ($470.962.400.oo), siguiendo lo dispuesto en el numeral 1 literal b en concordancia con el numeral 2 del artículo 590 del C.G.P., para lo cual ordenó allegar la referida caución en un término de cinco (5) días hábiles.
2.- Mediante oficio con radicado 20221100197851 de fecha 14-12-2022, se solicitó al despacho judicial la disminución del monto de la caución, ello por cuanto la póliza fue cotizada en la suma de $16.817.522, monto que no estaba disponible para el mes de diciembre de 2022.   
3.- En fecha 13-01-2023, ingresó el proceso despacho para resolver la solicitud de disminución de la caución.   
4.- Mediante el oficio con radicado 20231100022131 de fecha 24-02-2023, se solicitó al Juzgado impulsar el proceso en el sentido de decidir sobre la petición de disminución de la caución ordenada.  
5.- Mediante decisión de fecha 28-02-2023, el Juzgado 33 Civil del Circuito de Bogotá procedió a negar la solicitud de diminución de la caución, ello en vista de lo señalado en el artículo 590 numeral 2 del C.G.P., que prevé que para el decreto de medidas cautelares se deberá prestar caución del 20 % del valor de las pretensiones, lo que para el juzgado implica que sin dicho pago no es procedente decretar la medida.   
6.- Frente a la referida decisión, se procedió a promover recurso de reposición y adicionalmente a través del radicado 20231100031701 de fecha 15 de marzo de 2023, se elevó petición de saneamiento del proceso, en donde se solicitó al señor Juez que atendiendo lo señalado en el CPACA en su artículo 232, al tratarse el demandante de una entidad pública y al perseguirse la protección de un derecho colectivo, no se hace exigible la caución judicial exigida, argumento que ha sido acogido en otros asuntos de similar connotación.   
7.- En fecha 26-04-2023, el Juzgado 33 Civil del Circuito de Bogotá D.C., decidió acoger la solicitud del DADEP y decretar medida de saneamiento en el sentido de ordenar la inscripción de la demanda en los predios identificados con los folios de matrícula 50C-176043 y 50C-1683466, los cuales corresponden a los inmuebles en donde se encuentra el predio público con RUPI 734-1, esto sin exigir póliza alguna.   
8.- En vista de lo anterior, se procede a realizar la notificación de la demanda tal y como lo ordenó el Juzgado en la mencionada decisión de fecha 26-04-2023.   Por otra parte se han adelantado reuniónes con la Alcaldía Local de Kennedy con el objeto de verificar la viabilidad de que el DADEP le entregué la administración de los predios a esta Alcaldía y también se adelantan operativos  en el sector  los días 6 de marzo y 12 de mayo de 2023 respectivamente.  Se hizo mesa de trabajo con la alcaldesa Local  el dia  6 de marzo  de 2023 en la que se trató el tema del predio.                                                                                                                                                                                                                                                                                                                9 - Se solicito a la Alcaldía local de Kennedy adelantar operativos de IVC y recuperación de espacio público en el predio, lo cual se programo un operativo para el 12 de mayo, operativo que fue suspendido por parte de esta Alcaldía; el DADEP se encuentra a la espera de recibir la solicitud por parte de la Alcaldía para acompañar en los operativos que atiendan las ocupaciones en este espacio.</v>
      </c>
      <c r="N1523" s="55">
        <f ca="1">IFERROR(__xludf.DUMMYFUNCTION("""COMPUTED_VALUE"""),44608)</f>
        <v>44608</v>
      </c>
      <c r="O1523" s="25" t="str">
        <f t="shared" ca="1" si="0"/>
        <v>Departamento Administrativo de la Defensoría del Espacio Público</v>
      </c>
      <c r="P1523" s="25" t="str">
        <f t="shared" si="2"/>
        <v/>
      </c>
      <c r="Q1523" s="25" t="str">
        <f ca="1">IFERROR(__xludf.DUMMYFUNCTION("""COMPUTED_VALUE"""),"Corto plazo")</f>
        <v>Corto plazo</v>
      </c>
      <c r="R1523" s="25"/>
      <c r="S1523" s="55"/>
      <c r="T1523" s="56"/>
      <c r="U1523" s="25"/>
      <c r="V1523" s="25"/>
      <c r="W1523" s="25"/>
      <c r="X1523" s="25"/>
      <c r="Y1523" s="25"/>
      <c r="Z1523" s="25"/>
    </row>
    <row r="1524" spans="1:26" ht="52.5" customHeight="1" x14ac:dyDescent="0.25">
      <c r="A1524" s="25" t="str">
        <f ca="1">IFERROR(__xludf.DUMMYFUNCTION("""COMPUTED_VALUE"""),"Gobie22")</f>
        <v>Gobie22</v>
      </c>
      <c r="B1524" s="25" t="str">
        <f ca="1">IFERROR(__xludf.DUMMYFUNCTION("""COMPUTED_VALUE"""),"Recorrido Kennedy")</f>
        <v>Recorrido Kennedy</v>
      </c>
      <c r="C1524" s="55">
        <f ca="1">IFERROR(__xludf.DUMMYFUNCTION("""COMPUTED_VALUE"""),44581)</f>
        <v>44581</v>
      </c>
      <c r="D1524" s="25" t="str">
        <f ca="1">IFERROR(__xludf.DUMMYFUNCTION("""COMPUTED_VALUE"""),"Gobierno")</f>
        <v>Gobierno</v>
      </c>
      <c r="E1524" s="25" t="str">
        <f ca="1">IFERROR(__xludf.DUMMYFUNCTION("""COMPUTED_VALUE"""),"Departamento Administrativo de la Defensoría del Espacio Público")</f>
        <v>Departamento Administrativo de la Defensoría del Espacio Público</v>
      </c>
      <c r="F1524" s="25" t="str">
        <f ca="1">IFERROR(__xludf.DUMMYFUNCTION("""COMPUTED_VALUE"""),"Revisar del estado del predio ubicado en la Cra 75 con calle 11 (Parqueadero Ilegal) Para poderlo convertir y recuperar junto a las instituciones en un parqueadero barrial")</f>
        <v>Revisar del estado del predio ubicado en la Cra 75 con calle 11 (Parqueadero Ilegal) Para poderlo convertir y recuperar junto a las instituciones en un parqueadero barrial</v>
      </c>
      <c r="G1524" s="55" t="str">
        <f ca="1">IFERROR(__xludf.DUMMYFUNCTION("""COMPUTED_VALUE"""),"08. Kennedy")</f>
        <v>08. Kennedy</v>
      </c>
      <c r="H1524" s="55">
        <f ca="1">IFERROR(__xludf.DUMMYFUNCTION("""COMPUTED_VALUE"""),44611)</f>
        <v>44611</v>
      </c>
      <c r="I1524" s="25"/>
      <c r="J1524" s="55" t="str">
        <f ca="1">IFERROR(__xludf.DUMMYFUNCTION("""COMPUTED_VALUE"""),"Alta")</f>
        <v>Alta</v>
      </c>
      <c r="K1524" s="25">
        <f ca="1">IFERROR(__xludf.DUMMYFUNCTION("""COMPUTED_VALUE"""),30)</f>
        <v>30</v>
      </c>
      <c r="L1524" s="62">
        <f ca="1">IFERROR(__xludf.DUMMYFUNCTION("""COMPUTED_VALUE"""),45078)</f>
        <v>45078</v>
      </c>
      <c r="M1524" s="25" t="str">
        <f ca="1">IFERROR(__xludf.DUMMYFUNCTION("""COMPUTED_VALUE"""),"En el predio ubicado en la Calle 11 con  Carrera 80 CHIP catastral AAA0179ZLYN  cuya área de terreno es de  9,702,13 m2 donde se realizan ""actividades de parqueadero y reparación de vehículos"". Dicho predio a la fecha no se encuentra incorporado en el i"&amp;"nventario de patrimonio inmobiliario distrital. Sin embargo, de acuerdo con la documentación aprobada por SDP cuenta con una afectación vial. Además, a la fecha el predio cuenta con titularidad de particulares los cuales son: Multibank INC, Banco Popular "&amp;"SA y Banco Agrario de Colombia.  
En relación a la ocupación del predio, al ser de tipo privado, el DADEP carece de competencias para poder intervenir en este. Por esta razón es competencia de la Alcaldía Local de Kennedy realizar las visitas de diagnost"&amp;"ico y control del predio para revisar la legalidad del mismo.
En cuanto a la posibilidad de que este predio pueda destinarse a ser usado como un parqueadero barrial es importante mencionar que  este predio esta destinado a ser una reserva vial por esta r"&amp;"azón  el IDU tiene las competencias para adelantar las acciones necesarias que este predio requiera.
Se realizó un operativo de IVC el 16/02/22: El parqueadero está cerrado y no presta servicio público. El Predio no se encuentra en inventario de Patrim"&amp;"onio inmobiliario Distrital.")</f>
        <v>En el predio ubicado en la Calle 11 con  Carrera 80 CHIP catastral AAA0179ZLYN  cuya área de terreno es de  9,702,13 m2 donde se realizan "actividades de parqueadero y reparación de vehículos". Dicho predio a la fecha no se encuentra incorporado en el inventario de patrimonio inmobiliario distrital. Sin embargo, de acuerdo con la documentación aprobada por SDP cuenta con una afectación vial. Además, a la fecha el predio cuenta con titularidad de particulares los cuales son: Multibank INC, Banco Popular SA y Banco Agrario de Colombia.  
En relación a la ocupación del predio, al ser de tipo privado, el DADEP carece de competencias para poder intervenir en este. Por esta razón es competencia de la Alcaldía Local de Kennedy realizar las visitas de diagnostico y control del predio para revisar la legalidad del mismo.
En cuanto a la posibilidad de que este predio pueda destinarse a ser usado como un parqueadero barrial es importante mencionar que  este predio esta destinado a ser una reserva vial por esta razón  el IDU tiene las competencias para adelantar las acciones necesarias que este predio requiera.
Se realizó un operativo de IVC el 16/02/22: El parqueadero está cerrado y no presta servicio público. El Predio no se encuentra en inventario de Patrimonio inmobiliario Distrital.</v>
      </c>
      <c r="N1524" s="55">
        <f ca="1">IFERROR(__xludf.DUMMYFUNCTION("""COMPUTED_VALUE"""),44608)</f>
        <v>44608</v>
      </c>
      <c r="O1524" s="25" t="str">
        <f t="shared" ca="1" si="0"/>
        <v>Departamento Administrativo de la Defensoría del Espacio Público</v>
      </c>
      <c r="P1524" s="25" t="str">
        <f t="shared" si="2"/>
        <v/>
      </c>
      <c r="Q1524" s="25" t="str">
        <f ca="1">IFERROR(__xludf.DUMMYFUNCTION("""COMPUTED_VALUE"""),"Corto plazo")</f>
        <v>Corto plazo</v>
      </c>
      <c r="R1524" s="25"/>
      <c r="S1524" s="55"/>
      <c r="T1524" s="56"/>
      <c r="U1524" s="25"/>
      <c r="V1524" s="25"/>
      <c r="W1524" s="25"/>
      <c r="X1524" s="25"/>
      <c r="Y1524" s="25"/>
      <c r="Z1524" s="25"/>
    </row>
    <row r="1525" spans="1:26" ht="52.5" customHeight="1" x14ac:dyDescent="0.25">
      <c r="A1525" s="25" t="str">
        <f ca="1">IFERROR(__xludf.DUMMYFUNCTION("""COMPUTED_VALUE"""),"Gobie23")</f>
        <v>Gobie23</v>
      </c>
      <c r="B1525" s="25" t="str">
        <f ca="1">IFERROR(__xludf.DUMMYFUNCTION("""COMPUTED_VALUE"""),"Recorrido Kennedy")</f>
        <v>Recorrido Kennedy</v>
      </c>
      <c r="C1525" s="55">
        <f ca="1">IFERROR(__xludf.DUMMYFUNCTION("""COMPUTED_VALUE"""),44581)</f>
        <v>44581</v>
      </c>
      <c r="D1525" s="25" t="str">
        <f ca="1">IFERROR(__xludf.DUMMYFUNCTION("""COMPUTED_VALUE"""),"Gobierno")</f>
        <v>Gobierno</v>
      </c>
      <c r="E1525" s="25" t="str">
        <f ca="1">IFERROR(__xludf.DUMMYFUNCTION("""COMPUTED_VALUE"""),"Alcaldía Local")</f>
        <v>Alcaldía Local</v>
      </c>
      <c r="F1525" s="25" t="str">
        <f ca="1">IFERROR(__xludf.DUMMYFUNCTION("""COMPUTED_VALUE"""),"Difundir del caso del perro perdido en las redes de protección animal de la alcaldía local, IDIBA y Secretaria Distrital de Ambiente. El perro se llama Homero y se perdió el 6 de noviembre de 2021 en la glorieta a la altura de la avenida ciudad de cali co"&amp;"n avenida de las américas, cerca de el tintal. Número de celular del propietario: 3013523952")</f>
        <v>Difundir del caso del perro perdido en las redes de protección animal de la alcaldía local, IDIBA y Secretaria Distrital de Ambiente. El perro se llama Homero y se perdió el 6 de noviembre de 2021 en la glorieta a la altura de la avenida ciudad de cali con avenida de las américas, cerca de el tintal. Número de celular del propietario: 3013523952</v>
      </c>
      <c r="G1525" s="55" t="str">
        <f ca="1">IFERROR(__xludf.DUMMYFUNCTION("""COMPUTED_VALUE"""),"08. Kennedy")</f>
        <v>08. Kennedy</v>
      </c>
      <c r="H1525" s="55">
        <f ca="1">IFERROR(__xludf.DUMMYFUNCTION("""COMPUTED_VALUE"""),44611)</f>
        <v>44611</v>
      </c>
      <c r="I1525" s="25"/>
      <c r="J1525" s="55" t="str">
        <f ca="1">IFERROR(__xludf.DUMMYFUNCTION("""COMPUTED_VALUE"""),"Alta")</f>
        <v>Alta</v>
      </c>
      <c r="K1525" s="25">
        <f ca="1">IFERROR(__xludf.DUMMYFUNCTION("""COMPUTED_VALUE"""),30)</f>
        <v>30</v>
      </c>
      <c r="L1525" s="62">
        <f ca="1">IFERROR(__xludf.DUMMYFUNCTION("""COMPUTED_VALUE"""),44582)</f>
        <v>44582</v>
      </c>
      <c r="M1525" s="25" t="str">
        <f ca="1">IFERROR(__xludf.DUMMYFUNCTION("""COMPUTED_VALUE"""),"Se solicita cierre: A través de las redes sociales de la Alcaldía Local y la Alcaldía Mayor se publicó la información sobre el perro perdido y los datos de contacto de su dueño Salet Tomás.")</f>
        <v>Se solicita cierre: A través de las redes sociales de la Alcaldía Local y la Alcaldía Mayor se publicó la información sobre el perro perdido y los datos de contacto de su dueño Salet Tomás.</v>
      </c>
      <c r="N1525" s="55">
        <f ca="1">IFERROR(__xludf.DUMMYFUNCTION("""COMPUTED_VALUE"""),44582)</f>
        <v>44582</v>
      </c>
      <c r="O1525" s="25" t="str">
        <f t="shared" ca="1" si="0"/>
        <v>Alcaldía Local</v>
      </c>
      <c r="P1525" s="25" t="str">
        <f t="shared" si="2"/>
        <v/>
      </c>
      <c r="Q1525" s="25" t="str">
        <f ca="1">IFERROR(__xludf.DUMMYFUNCTION("""COMPUTED_VALUE"""),"Corto plazo")</f>
        <v>Corto plazo</v>
      </c>
      <c r="R1525" s="25"/>
      <c r="S1525" s="55"/>
      <c r="T1525" s="56"/>
      <c r="U1525" s="25"/>
      <c r="V1525" s="25"/>
      <c r="W1525" s="25"/>
      <c r="X1525" s="25"/>
      <c r="Y1525" s="25"/>
      <c r="Z1525" s="25"/>
    </row>
    <row r="1526" spans="1:26" ht="52.5" customHeight="1" x14ac:dyDescent="0.25">
      <c r="A1526" s="25" t="str">
        <f ca="1">IFERROR(__xludf.DUMMYFUNCTION("""COMPUTED_VALUE"""),"Gobie24")</f>
        <v>Gobie24</v>
      </c>
      <c r="B1526" s="25" t="str">
        <f ca="1">IFERROR(__xludf.DUMMYFUNCTION("""COMPUTED_VALUE"""),"Recorrido Kennedy")</f>
        <v>Recorrido Kennedy</v>
      </c>
      <c r="C1526" s="55">
        <f ca="1">IFERROR(__xludf.DUMMYFUNCTION("""COMPUTED_VALUE"""),44581)</f>
        <v>44581</v>
      </c>
      <c r="D1526" s="25" t="str">
        <f ca="1">IFERROR(__xludf.DUMMYFUNCTION("""COMPUTED_VALUE"""),"Gobierno")</f>
        <v>Gobierno</v>
      </c>
      <c r="E1526" s="25" t="str">
        <f ca="1">IFERROR(__xludf.DUMMYFUNCTION("""COMPUTED_VALUE"""),"Secretaría Distrital de Gobierno")</f>
        <v>Secretaría Distrital de Gobierno</v>
      </c>
      <c r="F1526" s="25" t="str">
        <f ca="1">IFERROR(__xludf.DUMMYFUNCTION("""COMPUTED_VALUE"""),"Trámite Decreto - Consejos Locales de Juventud 
 (Entrega de la tarjeta Tu Llave. Presupuestos Participativos tendrá una categoría especial los presentados por los Jóvenes y luego de las votaciones podrán contar con un porcentaje del presupuesto de la loc"&amp;"alidad para sus iniciativas. Los proyectos que ganen en presupuestos participativos serán ejecutados por los mismos jóvenes que lo postularon )")</f>
        <v>Trámite Decreto - Consejos Locales de Juventud 
 (Entrega de la tarjeta Tu Llave. Presupuestos Participativos tendrá una categoría especial los presentados por los Jóvenes y luego de las votaciones podrán contar con un porcentaje del presupuesto de la localidad para sus iniciativas. Los proyectos que ganen en presupuestos participativos serán ejecutados por los mismos jóvenes que lo postularon )</v>
      </c>
      <c r="G1526" s="55" t="str">
        <f ca="1">IFERROR(__xludf.DUMMYFUNCTION("""COMPUTED_VALUE"""),"08. Kennedy")</f>
        <v>08. Kennedy</v>
      </c>
      <c r="H1526" s="55">
        <f ca="1">IFERROR(__xludf.DUMMYFUNCTION("""COMPUTED_VALUE"""),44611)</f>
        <v>44611</v>
      </c>
      <c r="I1526" s="25"/>
      <c r="J1526" s="55" t="str">
        <f ca="1">IFERROR(__xludf.DUMMYFUNCTION("""COMPUTED_VALUE"""),"Alta")</f>
        <v>Alta</v>
      </c>
      <c r="K1526" s="25">
        <f ca="1">IFERROR(__xludf.DUMMYFUNCTION("""COMPUTED_VALUE"""),30)</f>
        <v>30</v>
      </c>
      <c r="L1526" s="62">
        <f ca="1">IFERROR(__xludf.DUMMYFUNCTION("""COMPUTED_VALUE"""),44600)</f>
        <v>44600</v>
      </c>
      <c r="M1526" s="25" t="str">
        <f ca="1">IFERROR(__xludf.DUMMYFUNCTION("""COMPUTED_VALUE"""),"El 8 de febrero se expidió el Decreto 058 de 2022 mediante el cual se organizan y desarrollan los estímulos, incentivos y apoyos para los consejeros locales de juventud (como: pasajes gratis en Transmilenio, ofertas de acceso a educación superior, formaci"&amp;"ón para conseguir empleo o crear empresa)")</f>
        <v>El 8 de febrero se expidió el Decreto 058 de 2022 mediante el cual se organizan y desarrollan los estímulos, incentivos y apoyos para los consejeros locales de juventud (como: pasajes gratis en Transmilenio, ofertas de acceso a educación superior, formación para conseguir empleo o crear empresa)</v>
      </c>
      <c r="N1526" s="55">
        <f ca="1">IFERROR(__xludf.DUMMYFUNCTION("""COMPUTED_VALUE"""),44600)</f>
        <v>44600</v>
      </c>
      <c r="O1526" s="25" t="str">
        <f t="shared" ca="1" si="0"/>
        <v>Secretaría Distrital de Gobierno</v>
      </c>
      <c r="P1526" s="25" t="str">
        <f t="shared" si="2"/>
        <v/>
      </c>
      <c r="Q1526" s="25" t="str">
        <f ca="1">IFERROR(__xludf.DUMMYFUNCTION("""COMPUTED_VALUE"""),"Corto plazo")</f>
        <v>Corto plazo</v>
      </c>
      <c r="R1526" s="25"/>
      <c r="S1526" s="55"/>
      <c r="T1526" s="56"/>
      <c r="U1526" s="25"/>
      <c r="V1526" s="25"/>
      <c r="W1526" s="25"/>
      <c r="X1526" s="25"/>
      <c r="Y1526" s="25"/>
      <c r="Z1526" s="25"/>
    </row>
    <row r="1527" spans="1:26" ht="52.5" customHeight="1" x14ac:dyDescent="0.25">
      <c r="A1527" s="25" t="str">
        <f ca="1">IFERROR(__xludf.DUMMYFUNCTION("""COMPUTED_VALUE"""),"Gobie25")</f>
        <v>Gobie25</v>
      </c>
      <c r="B1527" s="25" t="str">
        <f ca="1">IFERROR(__xludf.DUMMYFUNCTION("""COMPUTED_VALUE"""),"Recorrido Kennedy")</f>
        <v>Recorrido Kennedy</v>
      </c>
      <c r="C1527" s="55">
        <f ca="1">IFERROR(__xludf.DUMMYFUNCTION("""COMPUTED_VALUE"""),44581)</f>
        <v>44581</v>
      </c>
      <c r="D1527" s="25" t="str">
        <f ca="1">IFERROR(__xludf.DUMMYFUNCTION("""COMPUTED_VALUE"""),"Gobierno")</f>
        <v>Gobierno</v>
      </c>
      <c r="E1527" s="25" t="str">
        <f ca="1">IFERROR(__xludf.DUMMYFUNCTION("""COMPUTED_VALUE"""),"Instituto Distrital de la Participación y Acción Comunal")</f>
        <v>Instituto Distrital de la Participación y Acción Comunal</v>
      </c>
      <c r="F1527" s="25" t="str">
        <f ca="1">IFERROR(__xludf.DUMMYFUNCTION("""COMPUTED_VALUE"""),"Concertar una mesa de diálogo entre el IDPAC, la comunidad y los líderes del sector bares a través de la metodología pactando. La problemática se da en los Bares que están situados en Castilla y Bavaria entre la boyacá y la avenida 30")</f>
        <v>Concertar una mesa de diálogo entre el IDPAC, la comunidad y los líderes del sector bares a través de la metodología pactando. La problemática se da en los Bares que están situados en Castilla y Bavaria entre la boyacá y la avenida 30</v>
      </c>
      <c r="G1527" s="55" t="str">
        <f ca="1">IFERROR(__xludf.DUMMYFUNCTION("""COMPUTED_VALUE"""),"08. Kennedy")</f>
        <v>08. Kennedy</v>
      </c>
      <c r="H1527" s="55">
        <f ca="1">IFERROR(__xludf.DUMMYFUNCTION("""COMPUTED_VALUE"""),44611)</f>
        <v>44611</v>
      </c>
      <c r="I1527" s="25"/>
      <c r="J1527" s="55" t="str">
        <f ca="1">IFERROR(__xludf.DUMMYFUNCTION("""COMPUTED_VALUE"""),"Alta")</f>
        <v>Alta</v>
      </c>
      <c r="K1527" s="25">
        <f ca="1">IFERROR(__xludf.DUMMYFUNCTION("""COMPUTED_VALUE"""),30)</f>
        <v>30</v>
      </c>
      <c r="L1527" s="62">
        <f ca="1">IFERROR(__xludf.DUMMYFUNCTION("""COMPUTED_VALUE"""),44609)</f>
        <v>44609</v>
      </c>
      <c r="M1527" s="25" t="str">
        <f ca="1">IFERROR(__xludf.DUMMYFUNCTION("""COMPUTED_VALUE"""),"Como se reportó en el informe anterior, este compromiso se dio por cerrado, ya que después de múltiples reuniones, no se encontró interés de las partes para hacer un pacto. Y se sugiere que se trate como un asunto de IVC.")</f>
        <v>Como se reportó en el informe anterior, este compromiso se dio por cerrado, ya que después de múltiples reuniones, no se encontró interés de las partes para hacer un pacto. Y se sugiere que se trate como un asunto de IVC.</v>
      </c>
      <c r="N1527" s="55">
        <f ca="1">IFERROR(__xludf.DUMMYFUNCTION("""COMPUTED_VALUE"""),44609)</f>
        <v>44609</v>
      </c>
      <c r="O1527" s="25" t="str">
        <f t="shared" ca="1" si="0"/>
        <v>Instituto Distrital de la Participación y Acción Comunal</v>
      </c>
      <c r="P1527" s="25" t="str">
        <f t="shared" si="2"/>
        <v/>
      </c>
      <c r="Q1527" s="25" t="str">
        <f ca="1">IFERROR(__xludf.DUMMYFUNCTION("""COMPUTED_VALUE"""),"Corto plazo")</f>
        <v>Corto plazo</v>
      </c>
      <c r="R1527" s="25"/>
      <c r="S1527" s="55"/>
      <c r="T1527" s="56"/>
      <c r="U1527" s="25"/>
      <c r="V1527" s="25"/>
      <c r="W1527" s="25"/>
      <c r="X1527" s="25"/>
      <c r="Y1527" s="25"/>
      <c r="Z1527" s="25"/>
    </row>
    <row r="1528" spans="1:26" ht="52.5" customHeight="1" x14ac:dyDescent="0.25">
      <c r="A1528" s="25" t="str">
        <f ca="1">IFERROR(__xludf.DUMMYFUNCTION("""COMPUTED_VALUE"""),"Gobie26")</f>
        <v>Gobie26</v>
      </c>
      <c r="B1528" s="25" t="str">
        <f ca="1">IFERROR(__xludf.DUMMYFUNCTION("""COMPUTED_VALUE"""),"Recorrido Kennedy")</f>
        <v>Recorrido Kennedy</v>
      </c>
      <c r="C1528" s="55">
        <f ca="1">IFERROR(__xludf.DUMMYFUNCTION("""COMPUTED_VALUE"""),44581)</f>
        <v>44581</v>
      </c>
      <c r="D1528" s="25" t="str">
        <f ca="1">IFERROR(__xludf.DUMMYFUNCTION("""COMPUTED_VALUE"""),"Gobierno")</f>
        <v>Gobierno</v>
      </c>
      <c r="E1528" s="25" t="str">
        <f ca="1">IFERROR(__xludf.DUMMYFUNCTION("""COMPUTED_VALUE"""),"Alcaldía Local")</f>
        <v>Alcaldía Local</v>
      </c>
      <c r="F1528" s="25" t="str">
        <f ca="1">IFERROR(__xludf.DUMMYFUNCTION("""COMPUTED_VALUE"""),"Evaluar la posibilidad de financiar la construcción de unos juegos biosaludables (a través de presupuestos participativos) en el parque del humedal la Tingua Azul")</f>
        <v>Evaluar la posibilidad de financiar la construcción de unos juegos biosaludables (a través de presupuestos participativos) en el parque del humedal la Tingua Azul</v>
      </c>
      <c r="G1528" s="55" t="str">
        <f ca="1">IFERROR(__xludf.DUMMYFUNCTION("""COMPUTED_VALUE"""),"08. Kennedy")</f>
        <v>08. Kennedy</v>
      </c>
      <c r="H1528" s="55">
        <f ca="1">IFERROR(__xludf.DUMMYFUNCTION("""COMPUTED_VALUE"""),44611)</f>
        <v>44611</v>
      </c>
      <c r="I1528" s="25"/>
      <c r="J1528" s="55" t="str">
        <f ca="1">IFERROR(__xludf.DUMMYFUNCTION("""COMPUTED_VALUE"""),"Alta")</f>
        <v>Alta</v>
      </c>
      <c r="K1528" s="25">
        <f ca="1">IFERROR(__xludf.DUMMYFUNCTION("""COMPUTED_VALUE"""),30)</f>
        <v>30</v>
      </c>
      <c r="L1528" s="62">
        <f ca="1">IFERROR(__xludf.DUMMYFUNCTION("""COMPUTED_VALUE"""),44725)</f>
        <v>44725</v>
      </c>
      <c r="M1528" s="25" t="str">
        <f ca="1">IFERROR(__xludf.DUMMYFUNCTION("""COMPUTED_VALUE"""),"Por manual del IDRD la Alcaldía Local no puede hacer este tipo de intervenciones en el parque y menos en esa zona que está dentro del humedal. Al lado de la Tingua ya hay un parque para niños.")</f>
        <v>Por manual del IDRD la Alcaldía Local no puede hacer este tipo de intervenciones en el parque y menos en esa zona que está dentro del humedal. Al lado de la Tingua ya hay un parque para niños.</v>
      </c>
      <c r="N1528" s="55">
        <f ca="1">IFERROR(__xludf.DUMMYFUNCTION("""COMPUTED_VALUE"""),44725)</f>
        <v>44725</v>
      </c>
      <c r="O1528" s="25" t="str">
        <f t="shared" ca="1" si="0"/>
        <v>Alcaldía Local</v>
      </c>
      <c r="P1528" s="25" t="str">
        <f t="shared" si="2"/>
        <v/>
      </c>
      <c r="Q1528" s="25" t="str">
        <f ca="1">IFERROR(__xludf.DUMMYFUNCTION("""COMPUTED_VALUE"""),"Corto plazo")</f>
        <v>Corto plazo</v>
      </c>
      <c r="R1528" s="25"/>
      <c r="S1528" s="55"/>
      <c r="T1528" s="56"/>
      <c r="U1528" s="25"/>
      <c r="V1528" s="25"/>
      <c r="W1528" s="25"/>
      <c r="X1528" s="25"/>
      <c r="Y1528" s="25"/>
      <c r="Z1528" s="25"/>
    </row>
    <row r="1529" spans="1:26" ht="52.5" customHeight="1" x14ac:dyDescent="0.25">
      <c r="A1529" s="25" t="str">
        <f ca="1">IFERROR(__xludf.DUMMYFUNCTION("""COMPUTED_VALUE"""),"Gobie27")</f>
        <v>Gobie27</v>
      </c>
      <c r="B1529" s="25" t="str">
        <f ca="1">IFERROR(__xludf.DUMMYFUNCTION("""COMPUTED_VALUE"""),"Consejo de Gobierno ampliado")</f>
        <v>Consejo de Gobierno ampliado</v>
      </c>
      <c r="C1529" s="55">
        <f ca="1">IFERROR(__xludf.DUMMYFUNCTION("""COMPUTED_VALUE"""),44544)</f>
        <v>44544</v>
      </c>
      <c r="D1529" s="25" t="str">
        <f ca="1">IFERROR(__xludf.DUMMYFUNCTION("""COMPUTED_VALUE"""),"Gobierno")</f>
        <v>Gobierno</v>
      </c>
      <c r="E1529" s="25" t="str">
        <f ca="1">IFERROR(__xludf.DUMMYFUNCTION("""COMPUTED_VALUE"""),"Instituto Distrital de la Participación y Acción Comunal")</f>
        <v>Instituto Distrital de la Participación y Acción Comunal</v>
      </c>
      <c r="F1529" s="25" t="str">
        <f ca="1">IFERROR(__xludf.DUMMYFUNCTION("""COMPUTED_VALUE"""),"Definir cuántas participaciones ciudadanas se han recibido en cada entidad con oportunidades de mejoras y qué cambios ha adoptado las entidades fruto del informe índice de participación ciudadana e institucional de la veeduría distrital. ")</f>
        <v xml:space="preserve">Definir cuántas participaciones ciudadanas se han recibido en cada entidad con oportunidades de mejoras y qué cambios ha adoptado las entidades fruto del informe índice de participación ciudadana e institucional de la veeduría distrital. </v>
      </c>
      <c r="G1529" s="25" t="str">
        <f ca="1">IFERROR(__xludf.DUMMYFUNCTION("""COMPUTED_VALUE"""),"99. Distrito")</f>
        <v>99. Distrito</v>
      </c>
      <c r="H1529" s="55">
        <f ca="1">IFERROR(__xludf.DUMMYFUNCTION("""COMPUTED_VALUE"""),44561)</f>
        <v>44561</v>
      </c>
      <c r="I1529" s="25"/>
      <c r="J1529" s="55" t="str">
        <f ca="1">IFERROR(__xludf.DUMMYFUNCTION("""COMPUTED_VALUE"""),"Alta")</f>
        <v>Alta</v>
      </c>
      <c r="K1529" s="25">
        <f ca="1">IFERROR(__xludf.DUMMYFUNCTION("""COMPUTED_VALUE"""),17)</f>
        <v>17</v>
      </c>
      <c r="L1529" s="62">
        <f ca="1">IFERROR(__xludf.DUMMYFUNCTION("""COMPUTED_VALUE"""),44803)</f>
        <v>44803</v>
      </c>
      <c r="M1529" s="25" t="str">
        <f ca="1">IFERROR(__xludf.DUMMYFUNCTION("""COMPUTED_VALUE"""),"Se solicita la reasignación en tanto no es competencia de la entidad, ya que el indicador y la data resultado de las mejoras hace parte del seguimiento que implementa la Veeduría Distrital")</f>
        <v>Se solicita la reasignación en tanto no es competencia de la entidad, ya que el indicador y la data resultado de las mejoras hace parte del seguimiento que implementa la Veeduría Distrital</v>
      </c>
      <c r="N1529" s="55">
        <f ca="1">IFERROR(__xludf.DUMMYFUNCTION("""COMPUTED_VALUE"""),44561)</f>
        <v>44561</v>
      </c>
      <c r="O1529" s="25" t="str">
        <f t="shared" ca="1" si="0"/>
        <v>Instituto Distrital de la Participación y Acción Comunal</v>
      </c>
      <c r="P1529" s="25" t="str">
        <f t="shared" si="2"/>
        <v/>
      </c>
      <c r="Q1529" s="25" t="str">
        <f ca="1">IFERROR(__xludf.DUMMYFUNCTION("""COMPUTED_VALUE"""),"Corto plazo")</f>
        <v>Corto plazo</v>
      </c>
      <c r="R1529" s="25"/>
      <c r="S1529" s="55"/>
      <c r="T1529" s="56"/>
      <c r="U1529" s="25"/>
      <c r="V1529" s="25"/>
      <c r="W1529" s="25"/>
      <c r="X1529" s="25"/>
      <c r="Y1529" s="25"/>
      <c r="Z1529" s="25"/>
    </row>
    <row r="1530" spans="1:26" ht="52.5" customHeight="1" x14ac:dyDescent="0.25">
      <c r="A1530" s="25" t="str">
        <f ca="1">IFERROR(__xludf.DUMMYFUNCTION("""COMPUTED_VALUE"""),"Gobie28")</f>
        <v>Gobie28</v>
      </c>
      <c r="B1530" s="25" t="str">
        <f ca="1">IFERROR(__xludf.DUMMYFUNCTION("""COMPUTED_VALUE"""),"Consejo Distrital de Seguridad")</f>
        <v>Consejo Distrital de Seguridad</v>
      </c>
      <c r="C1530" s="55">
        <f ca="1">IFERROR(__xludf.DUMMYFUNCTION("""COMPUTED_VALUE"""),44537)</f>
        <v>44537</v>
      </c>
      <c r="D1530" s="25" t="str">
        <f ca="1">IFERROR(__xludf.DUMMYFUNCTION("""COMPUTED_VALUE"""),"Gobierno")</f>
        <v>Gobierno</v>
      </c>
      <c r="E1530" s="25" t="str">
        <f ca="1">IFERROR(__xludf.DUMMYFUNCTION("""COMPUTED_VALUE"""),"Secretaría Distrital de Gobierno")</f>
        <v>Secretaría Distrital de Gobierno</v>
      </c>
      <c r="F1530" s="25" t="str">
        <f ca="1">IFERROR(__xludf.DUMMYFUNCTION("""COMPUTED_VALUE"""),"Realizar un conteo diario de los cambuches de los Embera en
el Parque Nacional")</f>
        <v>Realizar un conteo diario de los cambuches de los Embera en
el Parque Nacional</v>
      </c>
      <c r="G1530" s="55" t="str">
        <f ca="1">IFERROR(__xludf.DUMMYFUNCTION("""COMPUTED_VALUE"""),"03. Santa Fe")</f>
        <v>03. Santa Fe</v>
      </c>
      <c r="H1530" s="55">
        <f ca="1">IFERROR(__xludf.DUMMYFUNCTION("""COMPUTED_VALUE"""),44567)</f>
        <v>44567</v>
      </c>
      <c r="I1530" s="25"/>
      <c r="J1530" s="55" t="str">
        <f ca="1">IFERROR(__xludf.DUMMYFUNCTION("""COMPUTED_VALUE"""),"Alta")</f>
        <v>Alta</v>
      </c>
      <c r="K1530" s="25">
        <f ca="1">IFERROR(__xludf.DUMMYFUNCTION("""COMPUTED_VALUE"""),30)</f>
        <v>30</v>
      </c>
      <c r="L1530" s="62"/>
      <c r="M1530" s="25" t="str">
        <f ca="1">IFERROR(__xludf.DUMMYFUNCTION("""COMPUTED_VALUE"""),"En el mes de mayo se realizó el traslado de los emberas del parque Nacional. ")</f>
        <v xml:space="preserve">En el mes de mayo se realizó el traslado de los emberas del parque Nacional. </v>
      </c>
      <c r="N1530" s="55">
        <f ca="1">IFERROR(__xludf.DUMMYFUNCTION("""COMPUTED_VALUE"""),44927)</f>
        <v>44927</v>
      </c>
      <c r="O1530" s="25" t="str">
        <f t="shared" ca="1" si="0"/>
        <v>Secretaría Distrital de Gobierno</v>
      </c>
      <c r="P1530" s="25" t="str">
        <f t="shared" si="2"/>
        <v/>
      </c>
      <c r="Q1530" s="25" t="str">
        <f ca="1">IFERROR(__xludf.DUMMYFUNCTION("""COMPUTED_VALUE"""),"Corto plazo")</f>
        <v>Corto plazo</v>
      </c>
      <c r="R1530" s="25"/>
      <c r="S1530" s="55"/>
      <c r="T1530" s="56"/>
      <c r="U1530" s="25"/>
      <c r="V1530" s="25"/>
      <c r="W1530" s="25"/>
      <c r="X1530" s="25"/>
      <c r="Y1530" s="25"/>
      <c r="Z1530" s="25"/>
    </row>
    <row r="1531" spans="1:26" ht="52.5" customHeight="1" x14ac:dyDescent="0.25">
      <c r="A1531" s="25" t="str">
        <f ca="1">IFERROR(__xludf.DUMMYFUNCTION("""COMPUTED_VALUE"""),"Gobie29")</f>
        <v>Gobie29</v>
      </c>
      <c r="B1531" s="25" t="str">
        <f ca="1">IFERROR(__xludf.DUMMYFUNCTION("""COMPUTED_VALUE"""),"Recorrido Puente Aranda")</f>
        <v>Recorrido Puente Aranda</v>
      </c>
      <c r="C1531" s="55">
        <f ca="1">IFERROR(__xludf.DUMMYFUNCTION("""COMPUTED_VALUE"""),44534)</f>
        <v>44534</v>
      </c>
      <c r="D1531" s="25" t="str">
        <f ca="1">IFERROR(__xludf.DUMMYFUNCTION("""COMPUTED_VALUE"""),"Gobierno")</f>
        <v>Gobierno</v>
      </c>
      <c r="E1531" s="25" t="str">
        <f ca="1">IFERROR(__xludf.DUMMYFUNCTION("""COMPUTED_VALUE"""),"Alcaldía Local")</f>
        <v>Alcaldía Local</v>
      </c>
      <c r="F1531" s="25" t="str">
        <f ca="1">IFERROR(__xludf.DUMMYFUNCTION("""COMPUTED_VALUE"""),"Cuadrar una visita al vivero de San Cristóbal con el alcalde local de Puente Aranda")</f>
        <v>Cuadrar una visita al vivero de San Cristóbal con el alcalde local de Puente Aranda</v>
      </c>
      <c r="G1531" s="55" t="str">
        <f ca="1">IFERROR(__xludf.DUMMYFUNCTION("""COMPUTED_VALUE"""),"16. Puente Aranda")</f>
        <v>16. Puente Aranda</v>
      </c>
      <c r="H1531" s="55">
        <f ca="1">IFERROR(__xludf.DUMMYFUNCTION("""COMPUTED_VALUE"""),44564)</f>
        <v>44564</v>
      </c>
      <c r="I1531" s="25"/>
      <c r="J1531" s="55" t="str">
        <f ca="1">IFERROR(__xludf.DUMMYFUNCTION("""COMPUTED_VALUE"""),"Alta")</f>
        <v>Alta</v>
      </c>
      <c r="K1531" s="25">
        <f ca="1">IFERROR(__xludf.DUMMYFUNCTION("""COMPUTED_VALUE"""),30)</f>
        <v>30</v>
      </c>
      <c r="L1531" s="62">
        <f ca="1">IFERROR(__xludf.DUMMYFUNCTION("""COMPUTED_VALUE"""),44670)</f>
        <v>44670</v>
      </c>
      <c r="M1531" s="25" t="str">
        <f ca="1">IFERROR(__xludf.DUMMYFUNCTION("""COMPUTED_VALUE"""),"El 12/01/22 el alcalde visitó el predio conjunto al parque Ciudad Montes (dónde funcionó antiguamente el vivero del Jardín Botánico) con el objetivo de crear en ese espacio el Centro de Enseñanza de Agricultura urbana del sur de Bogotá.")</f>
        <v>El 12/01/22 el alcalde visitó el predio conjunto al parque Ciudad Montes (dónde funcionó antiguamente el vivero del Jardín Botánico) con el objetivo de crear en ese espacio el Centro de Enseñanza de Agricultura urbana del sur de Bogotá.</v>
      </c>
      <c r="N1531" s="55">
        <f ca="1">IFERROR(__xludf.DUMMYFUNCTION("""COMPUTED_VALUE"""),44670)</f>
        <v>44670</v>
      </c>
      <c r="O1531" s="25" t="str">
        <f t="shared" ca="1" si="0"/>
        <v>Alcaldía Local</v>
      </c>
      <c r="P1531" s="25" t="str">
        <f t="shared" si="2"/>
        <v/>
      </c>
      <c r="Q1531" s="25" t="str">
        <f ca="1">IFERROR(__xludf.DUMMYFUNCTION("""COMPUTED_VALUE"""),"Corto plazo")</f>
        <v>Corto plazo</v>
      </c>
      <c r="R1531" s="25"/>
      <c r="S1531" s="55"/>
      <c r="T1531" s="56"/>
      <c r="U1531" s="25"/>
      <c r="V1531" s="25"/>
      <c r="W1531" s="25"/>
      <c r="X1531" s="25"/>
      <c r="Y1531" s="25"/>
      <c r="Z1531" s="25"/>
    </row>
    <row r="1532" spans="1:26" ht="52.5" customHeight="1" x14ac:dyDescent="0.25">
      <c r="A1532" s="25" t="str">
        <f ca="1">IFERROR(__xludf.DUMMYFUNCTION("""COMPUTED_VALUE"""),"Gobie30")</f>
        <v>Gobie30</v>
      </c>
      <c r="B1532" s="25" t="str">
        <f ca="1">IFERROR(__xludf.DUMMYFUNCTION("""COMPUTED_VALUE"""),"Recorrido Chapinero - Usaquén")</f>
        <v>Recorrido Chapinero - Usaquén</v>
      </c>
      <c r="C1532" s="55">
        <f ca="1">IFERROR(__xludf.DUMMYFUNCTION("""COMPUTED_VALUE"""),44533)</f>
        <v>44533</v>
      </c>
      <c r="D1532" s="25" t="str">
        <f ca="1">IFERROR(__xludf.DUMMYFUNCTION("""COMPUTED_VALUE"""),"Gobierno")</f>
        <v>Gobierno</v>
      </c>
      <c r="E1532" s="25" t="str">
        <f ca="1">IFERROR(__xludf.DUMMYFUNCTION("""COMPUTED_VALUE"""),"Secretaría Distrital de Gobierno")</f>
        <v>Secretaría Distrital de Gobierno</v>
      </c>
      <c r="F1532" s="25" t="str">
        <f ca="1">IFERROR(__xludf.DUMMYFUNCTION("""COMPUTED_VALUE"""),"Buscar lote para realizar un evento de Sacúdete junto al Ministerio del Interior")</f>
        <v>Buscar lote para realizar un evento de Sacúdete junto al Ministerio del Interior</v>
      </c>
      <c r="G1532" s="55" t="str">
        <f ca="1">IFERROR(__xludf.DUMMYFUNCTION("""COMPUTED_VALUE"""),"02. Chapinero")</f>
        <v>02. Chapinero</v>
      </c>
      <c r="H1532" s="55">
        <f ca="1">IFERROR(__xludf.DUMMYFUNCTION("""COMPUTED_VALUE"""),44563)</f>
        <v>44563</v>
      </c>
      <c r="I1532" s="25"/>
      <c r="J1532" s="55" t="str">
        <f ca="1">IFERROR(__xludf.DUMMYFUNCTION("""COMPUTED_VALUE"""),"Alta")</f>
        <v>Alta</v>
      </c>
      <c r="K1532" s="25">
        <f ca="1">IFERROR(__xludf.DUMMYFUNCTION("""COMPUTED_VALUE"""),30)</f>
        <v>30</v>
      </c>
      <c r="L1532" s="62"/>
      <c r="M1532" s="25"/>
      <c r="N1532" s="55">
        <f ca="1">IFERROR(__xludf.DUMMYFUNCTION("""COMPUTED_VALUE"""),44927)</f>
        <v>44927</v>
      </c>
      <c r="O1532" s="25" t="str">
        <f t="shared" ca="1" si="0"/>
        <v>Secretaría Distrital de Gobierno</v>
      </c>
      <c r="P1532" s="25" t="str">
        <f t="shared" si="2"/>
        <v/>
      </c>
      <c r="Q1532" s="25" t="str">
        <f ca="1">IFERROR(__xludf.DUMMYFUNCTION("""COMPUTED_VALUE"""),"Corto plazo")</f>
        <v>Corto plazo</v>
      </c>
      <c r="R1532" s="25"/>
      <c r="S1532" s="55"/>
      <c r="T1532" s="56"/>
      <c r="U1532" s="25"/>
      <c r="V1532" s="25"/>
      <c r="W1532" s="25"/>
      <c r="X1532" s="25"/>
      <c r="Y1532" s="25"/>
      <c r="Z1532" s="25"/>
    </row>
    <row r="1533" spans="1:26" ht="52.5" customHeight="1" x14ac:dyDescent="0.25">
      <c r="A1533" s="25" t="str">
        <f ca="1">IFERROR(__xludf.DUMMYFUNCTION("""COMPUTED_VALUE"""),"Gobie31")</f>
        <v>Gobie31</v>
      </c>
      <c r="B1533" s="25" t="str">
        <f ca="1">IFERROR(__xludf.DUMMYFUNCTION("""COMPUTED_VALUE"""),"Distrito huertero")</f>
        <v>Distrito huertero</v>
      </c>
      <c r="C1533" s="55">
        <f ca="1">IFERROR(__xludf.DUMMYFUNCTION("""COMPUTED_VALUE"""),44529)</f>
        <v>44529</v>
      </c>
      <c r="D1533" s="25" t="str">
        <f ca="1">IFERROR(__xludf.DUMMYFUNCTION("""COMPUTED_VALUE"""),"Gobierno")</f>
        <v>Gobierno</v>
      </c>
      <c r="E1533" s="25" t="str">
        <f ca="1">IFERROR(__xludf.DUMMYFUNCTION("""COMPUTED_VALUE"""),"Alcaldía Local")</f>
        <v>Alcaldía Local</v>
      </c>
      <c r="F1533" s="25" t="str">
        <f ca="1">IFERROR(__xludf.DUMMYFUNCTION("""COMPUTED_VALUE"""),"Revisar las posibilidades de crear más huertas privadas con acompañamiento del Jardín Botánico ")</f>
        <v xml:space="preserve">Revisar las posibilidades de crear más huertas privadas con acompañamiento del Jardín Botánico </v>
      </c>
      <c r="G1533" s="55" t="str">
        <f ca="1">IFERROR(__xludf.DUMMYFUNCTION("""COMPUTED_VALUE"""),"14. Mártires")</f>
        <v>14. Mártires</v>
      </c>
      <c r="H1533" s="55">
        <f ca="1">IFERROR(__xludf.DUMMYFUNCTION("""COMPUTED_VALUE"""),44559)</f>
        <v>44559</v>
      </c>
      <c r="I1533" s="25"/>
      <c r="J1533" s="55" t="str">
        <f ca="1">IFERROR(__xludf.DUMMYFUNCTION("""COMPUTED_VALUE"""),"Alta")</f>
        <v>Alta</v>
      </c>
      <c r="K1533" s="25">
        <f ca="1">IFERROR(__xludf.DUMMYFUNCTION("""COMPUTED_VALUE"""),30)</f>
        <v>30</v>
      </c>
      <c r="L1533" s="62">
        <f ca="1">IFERROR(__xludf.DUMMYFUNCTION("""COMPUTED_VALUE"""),44814)</f>
        <v>44814</v>
      </c>
      <c r="M1533" s="25" t="str">
        <f ca="1">IFERROR(__xludf.DUMMYFUNCTION("""COMPUTED_VALUE"""),"El Jardín Botánico ha proyectado a 2022, un fortalecimiento de 104 huertas en las localidades para la vigencia 2022.
Hace falta la identificación final de cada una de las 104 Huertas que se encuentran en la localidad.
Pendiente por Cumplir
Reporte 07 juni"&amp;"o: Se realiza trazabilidad con el jardín botánico de Bogotá con el fin de organizar mesa de trabajo con la comunidad interesada en realizar huertas en predios privados con asesoría de la entidad 
Reporte 12 julio: Se han fortalecido las 104 huertas que se"&amp;" encuentran en la localidad sin embargo desde la concertación con jóvenes se tiene dos propuestas priorizadas referentes al tema de agricultura urbana dónde se están realizando los anexos técnicos para la creación de nuevas huertas en la localidad.
Report"&amp;"e 27 de julio: Se realiza intervención en la Huerta ECO el 27 de julio de 2022 para la extracción de compost y tierra la cual será enviada a la nueva Huerta Don Saúl en la segunda semana de agosto para fortalecerla con los nutrientes necesarios en aras de"&amp;" la germinación de plántulas. 
Reporte 08 agosto: Se realiza el enlace con el Centro Comercial Mall Plaza, donde se encuentra la Alcaldía Local, para la búsqueda de un espacio donde se realizaría una Huerta con el acompañamiento de Jardín Botánico. 
Repor"&amp;"te 30 agosto: Se realiza una reunión el día 18 de agosto de 2022 con la referente ambiental del Centro Comercial Mall Plaza en aras de visitar el espacio disponible para la creación de una Huerta dentro del Centro Comercial. Queda como compromiso el acomp"&amp;"añamiento de jardín botánico para su concepto técnico y poder formalizarla. Se realiza una reunión el día 24 de agosto con la referente del Centro Comercial Mall Plaza, el referente de Jardín Botánico y el referente de la Alcaldía Local de Los Mártires pa"&amp;"ra la formalización con documentos de J.B.B. en la creación de la Huerta con el compromiso de crear un proyecto sostenible con las tres entidades para su creación y adecuación.")</f>
        <v>El Jardín Botánico ha proyectado a 2022, un fortalecimiento de 104 huertas en las localidades para la vigencia 2022.
Hace falta la identificación final de cada una de las 104 Huertas que se encuentran en la localidad.
Pendiente por Cumplir
Reporte 07 junio: Se realiza trazabilidad con el jardín botánico de Bogotá con el fin de organizar mesa de trabajo con la comunidad interesada en realizar huertas en predios privados con asesoría de la entidad 
Reporte 12 julio: Se han fortalecido las 104 huertas que se encuentran en la localidad sin embargo desde la concertación con jóvenes se tiene dos propuestas priorizadas referentes al tema de agricultura urbana dónde se están realizando los anexos técnicos para la creación de nuevas huertas en la localidad.
Reporte 27 de julio: Se realiza intervención en la Huerta ECO el 27 de julio de 2022 para la extracción de compost y tierra la cual será enviada a la nueva Huerta Don Saúl en la segunda semana de agosto para fortalecerla con los nutrientes necesarios en aras de la germinación de plántulas. 
Reporte 08 agosto: Se realiza el enlace con el Centro Comercial Mall Plaza, donde se encuentra la Alcaldía Local, para la búsqueda de un espacio donde se realizaría una Huerta con el acompañamiento de Jardín Botánico. 
Reporte 30 agosto: Se realiza una reunión el día 18 de agosto de 2022 con la referente ambiental del Centro Comercial Mall Plaza en aras de visitar el espacio disponible para la creación de una Huerta dentro del Centro Comercial. Queda como compromiso el acompañamiento de jardín botánico para su concepto técnico y poder formalizarla. Se realiza una reunión el día 24 de agosto con la referente del Centro Comercial Mall Plaza, el referente de Jardín Botánico y el referente de la Alcaldía Local de Los Mártires para la formalización con documentos de J.B.B. en la creación de la Huerta con el compromiso de crear un proyecto sostenible con las tres entidades para su creación y adecuación.</v>
      </c>
      <c r="N1533" s="55">
        <f ca="1">IFERROR(__xludf.DUMMYFUNCTION("""COMPUTED_VALUE"""),44814)</f>
        <v>44814</v>
      </c>
      <c r="O1533" s="25" t="str">
        <f t="shared" ca="1" si="0"/>
        <v>Alcaldía Local</v>
      </c>
      <c r="P1533" s="25" t="str">
        <f t="shared" si="2"/>
        <v/>
      </c>
      <c r="Q1533" s="25" t="str">
        <f ca="1">IFERROR(__xludf.DUMMYFUNCTION("""COMPUTED_VALUE"""),"Corto plazo")</f>
        <v>Corto plazo</v>
      </c>
      <c r="R1533" s="25"/>
      <c r="S1533" s="55"/>
      <c r="T1533" s="56"/>
      <c r="U1533" s="25"/>
      <c r="V1533" s="25"/>
      <c r="W1533" s="25"/>
      <c r="X1533" s="25"/>
      <c r="Y1533" s="25"/>
      <c r="Z1533" s="25"/>
    </row>
    <row r="1534" spans="1:26" ht="52.5" customHeight="1" x14ac:dyDescent="0.25">
      <c r="A1534" s="25" t="str">
        <f ca="1">IFERROR(__xludf.DUMMYFUNCTION("""COMPUTED_VALUE"""),"Gobie32")</f>
        <v>Gobie32</v>
      </c>
      <c r="B1534" s="25" t="str">
        <f ca="1">IFERROR(__xludf.DUMMYFUNCTION("""COMPUTED_VALUE"""),"Distrito huertero")</f>
        <v>Distrito huertero</v>
      </c>
      <c r="C1534" s="55">
        <f ca="1">IFERROR(__xludf.DUMMYFUNCTION("""COMPUTED_VALUE"""),44529)</f>
        <v>44529</v>
      </c>
      <c r="D1534" s="25" t="str">
        <f ca="1">IFERROR(__xludf.DUMMYFUNCTION("""COMPUTED_VALUE"""),"Gobierno")</f>
        <v>Gobierno</v>
      </c>
      <c r="E1534" s="25" t="str">
        <f ca="1">IFERROR(__xludf.DUMMYFUNCTION("""COMPUTED_VALUE"""),"Alcaldía Local")</f>
        <v>Alcaldía Local</v>
      </c>
      <c r="F1534" s="25" t="str">
        <f ca="1">IFERROR(__xludf.DUMMYFUNCTION("""COMPUTED_VALUE"""),"Realizar entrega protocolaria  de la huerta de los mártires")</f>
        <v>Realizar entrega protocolaria  de la huerta de los mártires</v>
      </c>
      <c r="G1534" s="55" t="str">
        <f ca="1">IFERROR(__xludf.DUMMYFUNCTION("""COMPUTED_VALUE"""),"14. Mártires")</f>
        <v>14. Mártires</v>
      </c>
      <c r="H1534" s="55">
        <f ca="1">IFERROR(__xludf.DUMMYFUNCTION("""COMPUTED_VALUE"""),44559)</f>
        <v>44559</v>
      </c>
      <c r="I1534" s="25"/>
      <c r="J1534" s="55" t="str">
        <f ca="1">IFERROR(__xludf.DUMMYFUNCTION("""COMPUTED_VALUE"""),"Alta")</f>
        <v>Alta</v>
      </c>
      <c r="K1534" s="25">
        <f ca="1">IFERROR(__xludf.DUMMYFUNCTION("""COMPUTED_VALUE"""),30)</f>
        <v>30</v>
      </c>
      <c r="L1534" s="62">
        <f ca="1">IFERROR(__xludf.DUMMYFUNCTION("""COMPUTED_VALUE"""),44725)</f>
        <v>44725</v>
      </c>
      <c r="M1534" s="25" t="str">
        <f ca="1">IFERROR(__xludf.DUMMYFUNCTION("""COMPUTED_VALUE"""),"Se solicita cerrar dado que ya se cumplio Se realizó el día 05 de mayo 2022, la entrega del protocolo de Huertas por parte de la entidad jardín botánico en el recorrido de las huertas del distrito huertero
En trabajo conjunto con la Alcaldía Local, FUGA, "&amp;"UAESP, IDIPRON y JBB, se ha continuado con el mantenimiento y apropiación de las huertas Fortaleza, Centro Amar y la Favorita, ya se realizó la entrega simbólica de cada huertas con las entidades participantes.
Se ha mantenido el mantenimiento apropiado "&amp;"en las huertas mencionados.
")</f>
        <v xml:space="preserve">Se solicita cerrar dado que ya se cumplio Se realizó el día 05 de mayo 2022, la entrega del protocolo de Huertas por parte de la entidad jardín botánico en el recorrido de las huertas del distrito huertero
En trabajo conjunto con la Alcaldía Local, FUGA, UAESP, IDIPRON y JBB, se ha continuado con el mantenimiento y apropiación de las huertas Fortaleza, Centro Amar y la Favorita, ya se realizó la entrega simbólica de cada huertas con las entidades participantes.
Se ha mantenido el mantenimiento apropiado en las huertas mencionados.
</v>
      </c>
      <c r="N1534" s="55">
        <f ca="1">IFERROR(__xludf.DUMMYFUNCTION("""COMPUTED_VALUE"""),44725)</f>
        <v>44725</v>
      </c>
      <c r="O1534" s="25" t="str">
        <f t="shared" ca="1" si="0"/>
        <v>Alcaldía Local</v>
      </c>
      <c r="P1534" s="25" t="str">
        <f t="shared" si="2"/>
        <v/>
      </c>
      <c r="Q1534" s="25" t="str">
        <f ca="1">IFERROR(__xludf.DUMMYFUNCTION("""COMPUTED_VALUE"""),"Corto plazo")</f>
        <v>Corto plazo</v>
      </c>
      <c r="R1534" s="25"/>
      <c r="S1534" s="55"/>
      <c r="T1534" s="56"/>
      <c r="U1534" s="25"/>
      <c r="V1534" s="25"/>
      <c r="W1534" s="25"/>
      <c r="X1534" s="25"/>
      <c r="Y1534" s="25"/>
      <c r="Z1534" s="25"/>
    </row>
    <row r="1535" spans="1:26" ht="52.5" customHeight="1" x14ac:dyDescent="0.25">
      <c r="A1535" s="25" t="str">
        <f ca="1">IFERROR(__xludf.DUMMYFUNCTION("""COMPUTED_VALUE"""),"Gobie33")</f>
        <v>Gobie33</v>
      </c>
      <c r="B1535" s="25" t="str">
        <f ca="1">IFERROR(__xludf.DUMMYFUNCTION("""COMPUTED_VALUE"""),"Distrito huertero")</f>
        <v>Distrito huertero</v>
      </c>
      <c r="C1535" s="55">
        <f ca="1">IFERROR(__xludf.DUMMYFUNCTION("""COMPUTED_VALUE"""),44529)</f>
        <v>44529</v>
      </c>
      <c r="D1535" s="25" t="str">
        <f ca="1">IFERROR(__xludf.DUMMYFUNCTION("""COMPUTED_VALUE"""),"Gobierno")</f>
        <v>Gobierno</v>
      </c>
      <c r="E1535" s="25" t="str">
        <f ca="1">IFERROR(__xludf.DUMMYFUNCTION("""COMPUTED_VALUE"""),"Alcaldía Local")</f>
        <v>Alcaldía Local</v>
      </c>
      <c r="F1535" s="25" t="str">
        <f ca="1">IFERROR(__xludf.DUMMYFUNCTION("""COMPUTED_VALUE"""),"Revisar la posibilidad del cercamiento de las 3 huertas de mártires")</f>
        <v>Revisar la posibilidad del cercamiento de las 3 huertas de mártires</v>
      </c>
      <c r="G1535" s="55" t="str">
        <f ca="1">IFERROR(__xludf.DUMMYFUNCTION("""COMPUTED_VALUE"""),"14. Mártires")</f>
        <v>14. Mártires</v>
      </c>
      <c r="H1535" s="55">
        <f ca="1">IFERROR(__xludf.DUMMYFUNCTION("""COMPUTED_VALUE"""),44559)</f>
        <v>44559</v>
      </c>
      <c r="I1535" s="25"/>
      <c r="J1535" s="55" t="str">
        <f ca="1">IFERROR(__xludf.DUMMYFUNCTION("""COMPUTED_VALUE"""),"Alta")</f>
        <v>Alta</v>
      </c>
      <c r="K1535" s="25">
        <f ca="1">IFERROR(__xludf.DUMMYFUNCTION("""COMPUTED_VALUE"""),30)</f>
        <v>30</v>
      </c>
      <c r="L1535" s="62">
        <f ca="1">IFERROR(__xludf.DUMMYFUNCTION("""COMPUTED_VALUE"""),44812)</f>
        <v>44812</v>
      </c>
      <c r="M1535" s="25" t="str">
        <f ca="1">IFERROR(__xludf.DUMMYFUNCTION("""COMPUTED_VALUE"""),"Reporte 07 junio: La Alcaldía Local de Los Mártires inició un recorrido de caracterización donde se realizaron los primeros estudios para el encerramiento de las 2 Huertas, huerta Amar Y huerta La Fortaleza, para lo cual informa que tiene contemplado real"&amp;"izar el cerramiento para el mes de Octubre 2022.
Reporte 12 julio: Se realizó el oficio remitido a la Sociedad de Activos Especiales la cual cuenta con la figura de los predios donde se encuentran las Huertas para mirar la posibilidad de intervención en l"&amp;"as mismas.
Reporte 27 de julio: No se ha recibido respuesta por parte de la Sociedad de Activos Especiales con número de radicado 20226420458361
Reporte 09 agosto: Se realizan las cotizaciones pertinentes para el cercamiento de la Huerta la Favorita y la "&amp;"Huerta Amar siempre y cuando se realice la reunión programada con la Sociedad de Activos Especiales para el uso e intervención de las mismas.
Reporte 31 agosto: Se realizan las primeras adecuaciones el día  25 de agosto en la Huerta Amar y Huerta la Forta"&amp;"leza para el cercamiento de estas. En primera instancia se adecua el terreno con la creación de huecos en los que serán colocadas dichas estructuras.")</f>
        <v>Reporte 07 junio: La Alcaldía Local de Los Mártires inició un recorrido de caracterización donde se realizaron los primeros estudios para el encerramiento de las 2 Huertas, huerta Amar Y huerta La Fortaleza, para lo cual informa que tiene contemplado realizar el cerramiento para el mes de Octubre 2022.
Reporte 12 julio: Se realizó el oficio remitido a la Sociedad de Activos Especiales la cual cuenta con la figura de los predios donde se encuentran las Huertas para mirar la posibilidad de intervención en las mismas.
Reporte 27 de julio: No se ha recibido respuesta por parte de la Sociedad de Activos Especiales con número de radicado 20226420458361
Reporte 09 agosto: Se realizan las cotizaciones pertinentes para el cercamiento de la Huerta la Favorita y la Huerta Amar siempre y cuando se realice la reunión programada con la Sociedad de Activos Especiales para el uso e intervención de las mismas.
Reporte 31 agosto: Se realizan las primeras adecuaciones el día  25 de agosto en la Huerta Amar y Huerta la Fortaleza para el cercamiento de estas. En primera instancia se adecua el terreno con la creación de huecos en los que serán colocadas dichas estructuras.</v>
      </c>
      <c r="N1535" s="55">
        <f ca="1">IFERROR(__xludf.DUMMYFUNCTION("""COMPUTED_VALUE"""),44812)</f>
        <v>44812</v>
      </c>
      <c r="O1535" s="25" t="str">
        <f t="shared" ca="1" si="0"/>
        <v>Alcaldía Local</v>
      </c>
      <c r="P1535" s="25" t="str">
        <f t="shared" si="2"/>
        <v/>
      </c>
      <c r="Q1535" s="25" t="str">
        <f ca="1">IFERROR(__xludf.DUMMYFUNCTION("""COMPUTED_VALUE"""),"Corto plazo")</f>
        <v>Corto plazo</v>
      </c>
      <c r="R1535" s="25"/>
      <c r="S1535" s="55"/>
      <c r="T1535" s="56"/>
      <c r="U1535" s="25"/>
      <c r="V1535" s="25"/>
      <c r="W1535" s="25"/>
      <c r="X1535" s="25"/>
      <c r="Y1535" s="25"/>
      <c r="Z1535" s="25"/>
    </row>
    <row r="1536" spans="1:26" ht="52.5" customHeight="1" x14ac:dyDescent="0.25">
      <c r="A1536" s="25" t="str">
        <f ca="1">IFERROR(__xludf.DUMMYFUNCTION("""COMPUTED_VALUE"""),"Gobie34")</f>
        <v>Gobie34</v>
      </c>
      <c r="B1536" s="25" t="str">
        <f ca="1">IFERROR(__xludf.DUMMYFUNCTION("""COMPUTED_VALUE"""),"Distrito huertero")</f>
        <v>Distrito huertero</v>
      </c>
      <c r="C1536" s="55">
        <f ca="1">IFERROR(__xludf.DUMMYFUNCTION("""COMPUTED_VALUE"""),44529)</f>
        <v>44529</v>
      </c>
      <c r="D1536" s="25" t="str">
        <f ca="1">IFERROR(__xludf.DUMMYFUNCTION("""COMPUTED_VALUE"""),"Gobierno")</f>
        <v>Gobierno</v>
      </c>
      <c r="E1536" s="25" t="str">
        <f ca="1">IFERROR(__xludf.DUMMYFUNCTION("""COMPUTED_VALUE"""),"Alcaldía Local")</f>
        <v>Alcaldía Local</v>
      </c>
      <c r="F1536" s="25" t="str">
        <f ca="1">IFERROR(__xludf.DUMMYFUNCTION("""COMPUTED_VALUE"""),"Controlar la disposición de basuras y otros elementos dentro de las huertas ")</f>
        <v xml:space="preserve">Controlar la disposición de basuras y otros elementos dentro de las huertas </v>
      </c>
      <c r="G1536" s="55" t="str">
        <f ca="1">IFERROR(__xludf.DUMMYFUNCTION("""COMPUTED_VALUE"""),"14. Mártires")</f>
        <v>14. Mártires</v>
      </c>
      <c r="H1536" s="55">
        <f ca="1">IFERROR(__xludf.DUMMYFUNCTION("""COMPUTED_VALUE"""),44559)</f>
        <v>44559</v>
      </c>
      <c r="I1536" s="25"/>
      <c r="J1536" s="55" t="str">
        <f ca="1">IFERROR(__xludf.DUMMYFUNCTION("""COMPUTED_VALUE"""),"Alta")</f>
        <v>Alta</v>
      </c>
      <c r="K1536" s="25">
        <f ca="1">IFERROR(__xludf.DUMMYFUNCTION("""COMPUTED_VALUE"""),30)</f>
        <v>30</v>
      </c>
      <c r="L1536" s="62">
        <f ca="1">IFERROR(__xludf.DUMMYFUNCTION("""COMPUTED_VALUE"""),44725)</f>
        <v>44725</v>
      </c>
      <c r="M1536" s="25" t="str">
        <f ca="1">IFERROR(__xludf.DUMMYFUNCTION("""COMPUTED_VALUE"""),"
Se ha controlado el tema de basuras pero es necesario el cercamiento en las huertas.
Reporte 07 junio: Se realizó la programación para realizar intervención de embellecimiento, recolección de residuos y re siembra de plántulas una vez al mes los días 16 "&amp;"de cada mes.
")</f>
        <v xml:space="preserve">
Se ha controlado el tema de basuras pero es necesario el cercamiento en las huertas.
Reporte 07 junio: Se realizó la programación para realizar intervención de embellecimiento, recolección de residuos y re siembra de plántulas una vez al mes los días 16 de cada mes.
</v>
      </c>
      <c r="N1536" s="55">
        <f ca="1">IFERROR(__xludf.DUMMYFUNCTION("""COMPUTED_VALUE"""),44725)</f>
        <v>44725</v>
      </c>
      <c r="O1536" s="25" t="str">
        <f t="shared" ca="1" si="0"/>
        <v>Alcaldía Local</v>
      </c>
      <c r="P1536" s="25" t="str">
        <f t="shared" si="2"/>
        <v/>
      </c>
      <c r="Q1536" s="25" t="str">
        <f ca="1">IFERROR(__xludf.DUMMYFUNCTION("""COMPUTED_VALUE"""),"Corto plazo")</f>
        <v>Corto plazo</v>
      </c>
      <c r="R1536" s="25"/>
      <c r="S1536" s="55"/>
      <c r="T1536" s="56"/>
      <c r="U1536" s="25"/>
      <c r="V1536" s="25"/>
      <c r="W1536" s="25"/>
      <c r="X1536" s="25"/>
      <c r="Y1536" s="25"/>
      <c r="Z1536" s="25"/>
    </row>
    <row r="1537" spans="1:26" ht="52.5" customHeight="1" x14ac:dyDescent="0.25">
      <c r="A1537" s="25" t="str">
        <f ca="1">IFERROR(__xludf.DUMMYFUNCTION("""COMPUTED_VALUE"""),"Gobie35")</f>
        <v>Gobie35</v>
      </c>
      <c r="B1537" s="25" t="str">
        <f ca="1">IFERROR(__xludf.DUMMYFUNCTION("""COMPUTED_VALUE"""),"Distrito huertero")</f>
        <v>Distrito huertero</v>
      </c>
      <c r="C1537" s="55">
        <f ca="1">IFERROR(__xludf.DUMMYFUNCTION("""COMPUTED_VALUE"""),44529)</f>
        <v>44529</v>
      </c>
      <c r="D1537" s="25" t="str">
        <f ca="1">IFERROR(__xludf.DUMMYFUNCTION("""COMPUTED_VALUE"""),"Gobierno")</f>
        <v>Gobierno</v>
      </c>
      <c r="E1537" s="25" t="str">
        <f ca="1">IFERROR(__xludf.DUMMYFUNCTION("""COMPUTED_VALUE"""),"Alcaldía Local")</f>
        <v>Alcaldía Local</v>
      </c>
      <c r="F1537" s="25" t="str">
        <f ca="1">IFERROR(__xludf.DUMMYFUNCTION("""COMPUTED_VALUE"""),"Realizar reunión entre la SAE y la Secretaría de Hacienda para revisar la figura de uso provisional de los predios ")</f>
        <v xml:space="preserve">Realizar reunión entre la SAE y la Secretaría de Hacienda para revisar la figura de uso provisional de los predios </v>
      </c>
      <c r="G1537" s="25" t="str">
        <f ca="1">IFERROR(__xludf.DUMMYFUNCTION("""COMPUTED_VALUE"""),"14. Martires")</f>
        <v>14. Martires</v>
      </c>
      <c r="H1537" s="55">
        <f ca="1">IFERROR(__xludf.DUMMYFUNCTION("""COMPUTED_VALUE"""),44559)</f>
        <v>44559</v>
      </c>
      <c r="I1537" s="25"/>
      <c r="J1537" s="55" t="str">
        <f ca="1">IFERROR(__xludf.DUMMYFUNCTION("""COMPUTED_VALUE"""),"Alta")</f>
        <v>Alta</v>
      </c>
      <c r="K1537" s="25">
        <f ca="1">IFERROR(__xludf.DUMMYFUNCTION("""COMPUTED_VALUE"""),30)</f>
        <v>30</v>
      </c>
      <c r="L1537" s="62">
        <f ca="1">IFERROR(__xludf.DUMMYFUNCTION("""COMPUTED_VALUE"""),44804)</f>
        <v>44804</v>
      </c>
      <c r="M1537" s="25" t="str">
        <f ca="1">IFERROR(__xludf.DUMMYFUNCTION("""COMPUTED_VALUE"""),"Reporte 12 julio: La reunión  SAE-Hacienda está prevista para el martes 19 de julio de 2022.
Reporte 27 de julio: No se ha recibido respuesta por para de la Sociedad de Activos Especiales con número de radicado 20226420458361
Reporte 09 agosto: No se ha r"&amp;"ecibido respuesta por parte de la Sociedad de Activos Especiales a corte 9 de agosto de 2022.
Reporte 31 agosto:  No se ha recibido respuesta por parte de la Sociedad de Activos Especiales a corte 30 de agosto de 2022.")</f>
        <v>Reporte 12 julio: La reunión  SAE-Hacienda está prevista para el martes 19 de julio de 2022.
Reporte 27 de julio: No se ha recibido respuesta por para de la Sociedad de Activos Especiales con número de radicado 20226420458361
Reporte 09 agosto: No se ha recibido respuesta por parte de la Sociedad de Activos Especiales a corte 9 de agosto de 2022.
Reporte 31 agosto:  No se ha recibido respuesta por parte de la Sociedad de Activos Especiales a corte 30 de agosto de 2022.</v>
      </c>
      <c r="N1537" s="55">
        <f ca="1">IFERROR(__xludf.DUMMYFUNCTION("""COMPUTED_VALUE"""),44804)</f>
        <v>44804</v>
      </c>
      <c r="O1537" s="25" t="str">
        <f t="shared" ca="1" si="0"/>
        <v>Alcaldía Local</v>
      </c>
      <c r="P1537" s="25" t="str">
        <f t="shared" si="2"/>
        <v/>
      </c>
      <c r="Q1537" s="25" t="str">
        <f ca="1">IFERROR(__xludf.DUMMYFUNCTION("""COMPUTED_VALUE"""),"Corto plazo")</f>
        <v>Corto plazo</v>
      </c>
      <c r="R1537" s="25"/>
      <c r="S1537" s="55"/>
      <c r="T1537" s="56"/>
      <c r="U1537" s="25"/>
      <c r="V1537" s="25"/>
      <c r="W1537" s="25"/>
      <c r="X1537" s="25"/>
      <c r="Y1537" s="25"/>
      <c r="Z1537" s="25"/>
    </row>
    <row r="1538" spans="1:26" ht="52.5" customHeight="1" x14ac:dyDescent="0.25">
      <c r="A1538" s="25" t="str">
        <f ca="1">IFERROR(__xludf.DUMMYFUNCTION("""COMPUTED_VALUE"""),"Gobie36")</f>
        <v>Gobie36</v>
      </c>
      <c r="B1538" s="25" t="str">
        <f ca="1">IFERROR(__xludf.DUMMYFUNCTION("""COMPUTED_VALUE"""),"Distrito huertero")</f>
        <v>Distrito huertero</v>
      </c>
      <c r="C1538" s="55">
        <f ca="1">IFERROR(__xludf.DUMMYFUNCTION("""COMPUTED_VALUE"""),44529)</f>
        <v>44529</v>
      </c>
      <c r="D1538" s="25" t="str">
        <f ca="1">IFERROR(__xludf.DUMMYFUNCTION("""COMPUTED_VALUE"""),"Gobierno")</f>
        <v>Gobierno</v>
      </c>
      <c r="E1538" s="25" t="str">
        <f ca="1">IFERROR(__xludf.DUMMYFUNCTION("""COMPUTED_VALUE"""),"Alcaldía Local")</f>
        <v>Alcaldía Local</v>
      </c>
      <c r="F1538" s="25" t="str">
        <f ca="1">IFERROR(__xludf.DUMMYFUNCTION("""COMPUTED_VALUE"""),"Iluminar el sector aledaño a las tres huertas de Mártires")</f>
        <v>Iluminar el sector aledaño a las tres huertas de Mártires</v>
      </c>
      <c r="G1538" s="25" t="str">
        <f ca="1">IFERROR(__xludf.DUMMYFUNCTION("""COMPUTED_VALUE"""),"14. Martires")</f>
        <v>14. Martires</v>
      </c>
      <c r="H1538" s="55">
        <f ca="1">IFERROR(__xludf.DUMMYFUNCTION("""COMPUTED_VALUE"""),44559)</f>
        <v>44559</v>
      </c>
      <c r="I1538" s="25"/>
      <c r="J1538" s="55" t="str">
        <f ca="1">IFERROR(__xludf.DUMMYFUNCTION("""COMPUTED_VALUE"""),"Alta")</f>
        <v>Alta</v>
      </c>
      <c r="K1538" s="25">
        <f ca="1">IFERROR(__xludf.DUMMYFUNCTION("""COMPUTED_VALUE"""),30)</f>
        <v>30</v>
      </c>
      <c r="L1538" s="62">
        <f ca="1">IFERROR(__xludf.DUMMYFUNCTION("""COMPUTED_VALUE"""),44804)</f>
        <v>44804</v>
      </c>
      <c r="M1538" s="25" t="str">
        <f ca="1">IFERROR(__xludf.DUMMYFUNCTION("""COMPUTED_VALUE"""),"El FDL informa que para el mes de Diciembre 2022 se realizará iluminación de las tres huertas con tema navideño
Reporte 17 junio: Se prevé un radicado a Codensa para verificar el estado de la iluminación en cada una de las Huertas de la localidad. - se re"&amp;"mitirá comunicación el 22 de junio de 2022
Reporte 12 julio: se realizó el oficio remitido a CODENSA en aras de fortalecer la iluminación aledaña a las Huertas. Sin respuesta
Reporte 09 agosto: No se ha recibido respuesta por parte de CODENSA sobre la ilu"&amp;"minaria en los sectores aledaños a la Huertas de la localidad. Radicado 20226420458431
Reporte 30 agosto:  No se ha recibido respuesta por parte de CODENSA sobre la iluminaria en los sectores aledaños a la Huertas de la localidad a corte 30 de agosto de 2"&amp;"022.")</f>
        <v>El FDL informa que para el mes de Diciembre 2022 se realizará iluminación de las tres huertas con tema navideño
Reporte 17 junio: Se prevé un radicado a Codensa para verificar el estado de la iluminación en cada una de las Huertas de la localidad. - se remitirá comunicación el 22 de junio de 2022
Reporte 12 julio: se realizó el oficio remitido a CODENSA en aras de fortalecer la iluminación aledaña a las Huertas. Sin respuesta
Reporte 09 agosto: No se ha recibido respuesta por parte de CODENSA sobre la iluminaria en los sectores aledaños a la Huertas de la localidad. Radicado 20226420458431
Reporte 30 agosto:  No se ha recibido respuesta por parte de CODENSA sobre la iluminaria en los sectores aledaños a la Huertas de la localidad a corte 30 de agosto de 2022.</v>
      </c>
      <c r="N1538" s="55">
        <f ca="1">IFERROR(__xludf.DUMMYFUNCTION("""COMPUTED_VALUE"""),44804)</f>
        <v>44804</v>
      </c>
      <c r="O1538" s="25" t="str">
        <f t="shared" ca="1" si="0"/>
        <v>Alcaldía Local</v>
      </c>
      <c r="P1538" s="25" t="str">
        <f t="shared" si="2"/>
        <v/>
      </c>
      <c r="Q1538" s="25" t="str">
        <f ca="1">IFERROR(__xludf.DUMMYFUNCTION("""COMPUTED_VALUE"""),"Corto plazo")</f>
        <v>Corto plazo</v>
      </c>
      <c r="R1538" s="25"/>
      <c r="S1538" s="55"/>
      <c r="T1538" s="56"/>
      <c r="U1538" s="25"/>
      <c r="V1538" s="25"/>
      <c r="W1538" s="25"/>
      <c r="X1538" s="25"/>
      <c r="Y1538" s="25"/>
      <c r="Z1538" s="25"/>
    </row>
    <row r="1539" spans="1:26" ht="52.5" customHeight="1" x14ac:dyDescent="0.25">
      <c r="A1539" s="25" t="str">
        <f ca="1">IFERROR(__xludf.DUMMYFUNCTION("""COMPUTED_VALUE"""),"Gobie37")</f>
        <v>Gobie37</v>
      </c>
      <c r="B1539" s="25" t="str">
        <f ca="1">IFERROR(__xludf.DUMMYFUNCTION("""COMPUTED_VALUE"""),"Distrito huertero")</f>
        <v>Distrito huertero</v>
      </c>
      <c r="C1539" s="55">
        <f ca="1">IFERROR(__xludf.DUMMYFUNCTION("""COMPUTED_VALUE"""),44529)</f>
        <v>44529</v>
      </c>
      <c r="D1539" s="25" t="str">
        <f ca="1">IFERROR(__xludf.DUMMYFUNCTION("""COMPUTED_VALUE"""),"Gobierno")</f>
        <v>Gobierno</v>
      </c>
      <c r="E1539" s="25" t="str">
        <f ca="1">IFERROR(__xludf.DUMMYFUNCTION("""COMPUTED_VALUE"""),"Alcaldía Local")</f>
        <v>Alcaldía Local</v>
      </c>
      <c r="F1539" s="25" t="str">
        <f ca="1">IFERROR(__xludf.DUMMYFUNCTION("""COMPUTED_VALUE"""),"Solicitar realizar más rondas por parte de la policía para garantizar la seguridad en las huertas")</f>
        <v>Solicitar realizar más rondas por parte de la policía para garantizar la seguridad en las huertas</v>
      </c>
      <c r="G1539" s="25" t="str">
        <f ca="1">IFERROR(__xludf.DUMMYFUNCTION("""COMPUTED_VALUE"""),"14. Martires")</f>
        <v>14. Martires</v>
      </c>
      <c r="H1539" s="55">
        <f ca="1">IFERROR(__xludf.DUMMYFUNCTION("""COMPUTED_VALUE"""),44559)</f>
        <v>44559</v>
      </c>
      <c r="I1539" s="25"/>
      <c r="J1539" s="55" t="str">
        <f ca="1">IFERROR(__xludf.DUMMYFUNCTION("""COMPUTED_VALUE"""),"Alta")</f>
        <v>Alta</v>
      </c>
      <c r="K1539" s="25">
        <f ca="1">IFERROR(__xludf.DUMMYFUNCTION("""COMPUTED_VALUE"""),30)</f>
        <v>30</v>
      </c>
      <c r="L1539" s="62">
        <f ca="1">IFERROR(__xludf.DUMMYFUNCTION("""COMPUTED_VALUE"""),44726)</f>
        <v>44726</v>
      </c>
      <c r="M1539" s="25" t="str">
        <f ca="1">IFERROR(__xludf.DUMMYFUNCTION("""COMPUTED_VALUE"""),"El FDL informa que para el día 10 de junio 2022 se realiza y radica oficio en la MEBOG con el fin de solicitar que los cuadrantes del sector realicen recorridos diarios por el sector para garantizar la seguridad en las huertas")</f>
        <v>El FDL informa que para el día 10 de junio 2022 se realiza y radica oficio en la MEBOG con el fin de solicitar que los cuadrantes del sector realicen recorridos diarios por el sector para garantizar la seguridad en las huertas</v>
      </c>
      <c r="N1539" s="55">
        <f ca="1">IFERROR(__xludf.DUMMYFUNCTION("""COMPUTED_VALUE"""),44726)</f>
        <v>44726</v>
      </c>
      <c r="O1539" s="25" t="str">
        <f t="shared" ca="1" si="0"/>
        <v>Alcaldía Local</v>
      </c>
      <c r="P1539" s="25" t="str">
        <f t="shared" si="2"/>
        <v/>
      </c>
      <c r="Q1539" s="25" t="str">
        <f ca="1">IFERROR(__xludf.DUMMYFUNCTION("""COMPUTED_VALUE"""),"Corto plazo")</f>
        <v>Corto plazo</v>
      </c>
      <c r="R1539" s="25"/>
      <c r="S1539" s="55"/>
      <c r="T1539" s="56"/>
      <c r="U1539" s="25"/>
      <c r="V1539" s="25"/>
      <c r="W1539" s="25"/>
      <c r="X1539" s="25"/>
      <c r="Y1539" s="25"/>
      <c r="Z1539" s="25"/>
    </row>
    <row r="1540" spans="1:26" ht="52.5" customHeight="1" x14ac:dyDescent="0.25">
      <c r="A1540" s="25" t="str">
        <f ca="1">IFERROR(__xludf.DUMMYFUNCTION("""COMPUTED_VALUE"""),"Gobie38")</f>
        <v>Gobie38</v>
      </c>
      <c r="B1540" s="25" t="str">
        <f ca="1">IFERROR(__xludf.DUMMYFUNCTION("""COMPUTED_VALUE"""),"Distrito huertero")</f>
        <v>Distrito huertero</v>
      </c>
      <c r="C1540" s="55">
        <f ca="1">IFERROR(__xludf.DUMMYFUNCTION("""COMPUTED_VALUE"""),44529)</f>
        <v>44529</v>
      </c>
      <c r="D1540" s="25" t="str">
        <f ca="1">IFERROR(__xludf.DUMMYFUNCTION("""COMPUTED_VALUE"""),"Gobierno")</f>
        <v>Gobierno</v>
      </c>
      <c r="E1540" s="25" t="str">
        <f ca="1">IFERROR(__xludf.DUMMYFUNCTION("""COMPUTED_VALUE"""),"Alcaldía Local")</f>
        <v>Alcaldía Local</v>
      </c>
      <c r="F1540" s="25" t="str">
        <f ca="1">IFERROR(__xludf.DUMMYFUNCTION("""COMPUTED_VALUE"""),"Realizar el lanzamiento del distrito huertero en marzo de 2022")</f>
        <v>Realizar el lanzamiento del distrito huertero en marzo de 2022</v>
      </c>
      <c r="G1540" s="25" t="str">
        <f ca="1">IFERROR(__xludf.DUMMYFUNCTION("""COMPUTED_VALUE"""),"99. Distrito")</f>
        <v>99. Distrito</v>
      </c>
      <c r="H1540" s="55">
        <f ca="1">IFERROR(__xludf.DUMMYFUNCTION("""COMPUTED_VALUE"""),44651)</f>
        <v>44651</v>
      </c>
      <c r="I1540" s="25"/>
      <c r="J1540" s="55" t="str">
        <f ca="1">IFERROR(__xludf.DUMMYFUNCTION("""COMPUTED_VALUE"""),"Media")</f>
        <v>Media</v>
      </c>
      <c r="K1540" s="25">
        <f ca="1">IFERROR(__xludf.DUMMYFUNCTION("""COMPUTED_VALUE"""),122)</f>
        <v>122</v>
      </c>
      <c r="L1540" s="62">
        <f ca="1">IFERROR(__xludf.DUMMYFUNCTION("""COMPUTED_VALUE"""),44956)</f>
        <v>44956</v>
      </c>
      <c r="M1540" s="25" t="str">
        <f ca="1">IFERROR(__xludf.DUMMYFUNCTION("""COMPUTED_VALUE"""),"En el mes de marzo se realizaron actividades en cada una de las Huertas, donde se promovía el distrito huertero de allí salieron varias propuestas para la mejora y adecuación de los espacios.                                                                "&amp;"                                 Reporte 07 junio: Se está por definir la fecha con jardín Botánico para el lanzamiento simbólico del Distrito Huertero.
Reporte 17 junio: El 22 de junio de 2022 se tiene una reunión con Jardín Botánico para fijar cronogram"&amp;"a del lanzamiento Distrito Huertero.
Reporte 15 julio: Debido a las problemáticas que se encuentran en las diferentes Huertas de la Localidad, se acordó con jardín Botánico el acompañamiento y adecuación de las gestiones realizadas por la Alcaldía Local y"&amp;" por parte de JB la implementación de mejoras acordando así en la semana del 18 al 22 de julio la fecha del lanzamiento del Distrito Huertero. 
Reporte 27 de julio: Se realiza la consulta con Jardín Botánico y la comunidad en aras de realizar el lanzamien"&amp;"to del Distrito Huertero quedando como compromiso para el viernes 5 de Agosto un recorrido por cada una de las Huertas pertenecientes al Distrito Huertero para articular dicho lanzamiento con todas las personas vinculadas a este proceso huertero. 
Reporte"&amp;" 09 agosto: Después del recorrido realizado con la Alcaldesa Mayor realizado el 5 de agosto de 2022 quedaron como compromisos el fortalecimiento de cada una de las Huertas frente a lo que carece para después realizar el lanzamiento del Distrito Huertero")</f>
        <v>En el mes de marzo se realizaron actividades en cada una de las Huertas, donde se promovía el distrito huertero de allí salieron varias propuestas para la mejora y adecuación de los espacios.                                                                                                 Reporte 07 junio: Se está por definir la fecha con jardín Botánico para el lanzamiento simbólico del Distrito Huertero.
Reporte 17 junio: El 22 de junio de 2022 se tiene una reunión con Jardín Botánico para fijar cronograma del lanzamiento Distrito Huertero.
Reporte 15 julio: Debido a las problemáticas que se encuentran en las diferentes Huertas de la Localidad, se acordó con jardín Botánico el acompañamiento y adecuación de las gestiones realizadas por la Alcaldía Local y por parte de JB la implementación de mejoras acordando así en la semana del 18 al 22 de julio la fecha del lanzamiento del Distrito Huertero. 
Reporte 27 de julio: Se realiza la consulta con Jardín Botánico y la comunidad en aras de realizar el lanzamiento del Distrito Huertero quedando como compromiso para el viernes 5 de Agosto un recorrido por cada una de las Huertas pertenecientes al Distrito Huertero para articular dicho lanzamiento con todas las personas vinculadas a este proceso huertero. 
Reporte 09 agosto: Después del recorrido realizado con la Alcaldesa Mayor realizado el 5 de agosto de 2022 quedaron como compromisos el fortalecimiento de cada una de las Huertas frente a lo que carece para después realizar el lanzamiento del Distrito Huertero</v>
      </c>
      <c r="N1540" s="55">
        <f ca="1">IFERROR(__xludf.DUMMYFUNCTION("""COMPUTED_VALUE"""),44782)</f>
        <v>44782</v>
      </c>
      <c r="O1540" s="25" t="str">
        <f t="shared" ca="1" si="0"/>
        <v>Alcaldía Local</v>
      </c>
      <c r="P1540" s="25" t="str">
        <f t="shared" si="2"/>
        <v/>
      </c>
      <c r="Q1540" s="25" t="str">
        <f ca="1">IFERROR(__xludf.DUMMYFUNCTION("""COMPUTED_VALUE"""),"Mediano plazo")</f>
        <v>Mediano plazo</v>
      </c>
      <c r="R1540" s="25"/>
      <c r="S1540" s="55"/>
      <c r="T1540" s="56"/>
      <c r="U1540" s="25"/>
      <c r="V1540" s="25"/>
      <c r="W1540" s="25"/>
      <c r="X1540" s="25"/>
      <c r="Y1540" s="25"/>
      <c r="Z1540" s="25"/>
    </row>
    <row r="1541" spans="1:26" ht="52.5" customHeight="1" x14ac:dyDescent="0.25">
      <c r="A1541" s="25" t="str">
        <f ca="1">IFERROR(__xludf.DUMMYFUNCTION("""COMPUTED_VALUE"""),"Gobie39")</f>
        <v>Gobie39</v>
      </c>
      <c r="B1541" s="25" t="str">
        <f ca="1">IFERROR(__xludf.DUMMYFUNCTION("""COMPUTED_VALUE"""),"Distrito huertero")</f>
        <v>Distrito huertero</v>
      </c>
      <c r="C1541" s="55">
        <f ca="1">IFERROR(__xludf.DUMMYFUNCTION("""COMPUTED_VALUE"""),44529)</f>
        <v>44529</v>
      </c>
      <c r="D1541" s="25" t="str">
        <f ca="1">IFERROR(__xludf.DUMMYFUNCTION("""COMPUTED_VALUE"""),"Gobierno")</f>
        <v>Gobierno</v>
      </c>
      <c r="E1541" s="25" t="str">
        <f ca="1">IFERROR(__xludf.DUMMYFUNCTION("""COMPUTED_VALUE"""),"Alcaldía Local")</f>
        <v>Alcaldía Local</v>
      </c>
      <c r="F1541" s="25" t="str">
        <f ca="1">IFERROR(__xludf.DUMMYFUNCTION("""COMPUTED_VALUE"""),"Revisar con Juntos Cuidamos Bogotá que puntos y que actividades realizarse ")</f>
        <v xml:space="preserve">Revisar con Juntos Cuidamos Bogotá que puntos y que actividades realizarse </v>
      </c>
      <c r="G1541" s="25" t="str">
        <f ca="1">IFERROR(__xludf.DUMMYFUNCTION("""COMPUTED_VALUE"""),"14. Martires")</f>
        <v>14. Martires</v>
      </c>
      <c r="H1541" s="55">
        <f ca="1">IFERROR(__xludf.DUMMYFUNCTION("""COMPUTED_VALUE"""),44559)</f>
        <v>44559</v>
      </c>
      <c r="I1541" s="25"/>
      <c r="J1541" s="55" t="str">
        <f ca="1">IFERROR(__xludf.DUMMYFUNCTION("""COMPUTED_VALUE"""),"Alta")</f>
        <v>Alta</v>
      </c>
      <c r="K1541" s="25">
        <f ca="1">IFERROR(__xludf.DUMMYFUNCTION("""COMPUTED_VALUE"""),30)</f>
        <v>30</v>
      </c>
      <c r="L1541" s="62">
        <f ca="1">IFERROR(__xludf.DUMMYFUNCTION("""COMPUTED_VALUE"""),44536)</f>
        <v>44536</v>
      </c>
      <c r="M1541" s="25" t="str">
        <f ca="1">IFERROR(__xludf.DUMMYFUNCTION("""COMPUTED_VALUE"""),"En conversaciones con el alcalde local, se revisaron intervenciones de urbanismo táctico en la carrera 17 y mejoramiento del espacio en La Favorita, las cuales se realizarán a principios del 2022")</f>
        <v>En conversaciones con el alcalde local, se revisaron intervenciones de urbanismo táctico en la carrera 17 y mejoramiento del espacio en La Favorita, las cuales se realizarán a principios del 2022</v>
      </c>
      <c r="N1541" s="55">
        <f ca="1">IFERROR(__xludf.DUMMYFUNCTION("""COMPUTED_VALUE"""),44536)</f>
        <v>44536</v>
      </c>
      <c r="O1541" s="25" t="str">
        <f t="shared" ca="1" si="0"/>
        <v>Alcaldía Local</v>
      </c>
      <c r="P1541" s="25" t="str">
        <f t="shared" si="2"/>
        <v/>
      </c>
      <c r="Q1541" s="25" t="str">
        <f ca="1">IFERROR(__xludf.DUMMYFUNCTION("""COMPUTED_VALUE"""),"Corto plazo")</f>
        <v>Corto plazo</v>
      </c>
      <c r="R1541" s="25"/>
      <c r="S1541" s="55"/>
      <c r="T1541" s="56"/>
      <c r="U1541" s="25"/>
      <c r="V1541" s="25"/>
      <c r="W1541" s="25"/>
      <c r="X1541" s="25"/>
      <c r="Y1541" s="25"/>
      <c r="Z1541" s="25"/>
    </row>
    <row r="1542" spans="1:26" ht="52.5" customHeight="1" x14ac:dyDescent="0.25">
      <c r="A1542" s="25" t="str">
        <f ca="1">IFERROR(__xludf.DUMMYFUNCTION("""COMPUTED_VALUE"""),"Gobie40")</f>
        <v>Gobie40</v>
      </c>
      <c r="B1542" s="25" t="str">
        <f ca="1">IFERROR(__xludf.DUMMYFUNCTION("""COMPUTED_VALUE"""),"Distrito huertero")</f>
        <v>Distrito huertero</v>
      </c>
      <c r="C1542" s="55">
        <f ca="1">IFERROR(__xludf.DUMMYFUNCTION("""COMPUTED_VALUE"""),44529)</f>
        <v>44529</v>
      </c>
      <c r="D1542" s="25" t="str">
        <f ca="1">IFERROR(__xludf.DUMMYFUNCTION("""COMPUTED_VALUE"""),"Gobierno")</f>
        <v>Gobierno</v>
      </c>
      <c r="E1542" s="25" t="str">
        <f ca="1">IFERROR(__xludf.DUMMYFUNCTION("""COMPUTED_VALUE"""),"Alcaldía Local")</f>
        <v>Alcaldía Local</v>
      </c>
      <c r="F1542" s="25" t="str">
        <f ca="1">IFERROR(__xludf.DUMMYFUNCTION("""COMPUTED_VALUE"""),"Brindar apoyo desde la Unidad de Mantenimiento Vial para el tape de los huecos que interconectan las 3 huertas")</f>
        <v>Brindar apoyo desde la Unidad de Mantenimiento Vial para el tape de los huecos que interconectan las 3 huertas</v>
      </c>
      <c r="G1542" s="25" t="str">
        <f ca="1">IFERROR(__xludf.DUMMYFUNCTION("""COMPUTED_VALUE"""),"14. Martires")</f>
        <v>14. Martires</v>
      </c>
      <c r="H1542" s="55">
        <f ca="1">IFERROR(__xludf.DUMMYFUNCTION("""COMPUTED_VALUE"""),45016)</f>
        <v>45016</v>
      </c>
      <c r="I1542" s="25" t="str">
        <f ca="1">IFERROR(__xludf.DUMMYFUNCTION("""COMPUTED_VALUE"""),"Secretaría Privada")</f>
        <v>Secretaría Privada</v>
      </c>
      <c r="J1542" s="55" t="str">
        <f ca="1">IFERROR(__xludf.DUMMYFUNCTION("""COMPUTED_VALUE"""),"Baja")</f>
        <v>Baja</v>
      </c>
      <c r="K1542" s="25">
        <f ca="1">IFERROR(__xludf.DUMMYFUNCTION("""COMPUTED_VALUE"""),487)</f>
        <v>487</v>
      </c>
      <c r="L1542" s="62">
        <f ca="1">IFERROR(__xludf.DUMMYFUNCTION("""COMPUTED_VALUE"""),45042)</f>
        <v>45042</v>
      </c>
      <c r="M1542" s="25" t="str">
        <f ca="1">IFERROR(__xludf.DUMMYFUNCTION("""COMPUTED_VALUE"""),"EL FDL informa que para el día 10 de junio 2022 se realiza y radica oficio en el IDU con el fin de solicitar Mantenimiento Vial para el tape de los huecos que interconectan las 3 huertas
Reporte 12 julio: Se realizó el oficio remitido al IDU en aras de fo"&amp;"rtalecer las vías que interconectan las Huertas que se tienen en la Localidad.
Reporte 27 de julio: No se ha recibido respuesta por parte del Instituto de Desarrollo Urbana con radicado número 20226420458421
Reporte 09 agosto: Se recibe respuesta por part"&amp;"e del IDU donde dan a conocer por medio del Sistema de Información Geográfica los segmentos donde se encuentran las Huertas de la localidad, precisando que uno de ellos se encuentra reservado por la Terminal de Transporte y los otros por la Unidad de Mant"&amp;"enimiento Vial dando lugar al traslado de solicitud anteriormente solicitada.
Reporte 30 agosto: Se espera respuesta de la terminal de transportes y de la Unidad de Mantenimiento Vial para el tape de huecos que interconectan las 3 huertas.
Reporte 16 de n"&amp;"oviembre : Se reitera la solicitud a la Terminal de Transportes ya que es la encargada de los espacios que interconectan las Huertas según el oficio radicado por el IDU.
Reporte 16 de diciembre: Se continua a la espera de la Terminal de Transportes por la"&amp;" solicitud realizada para el tape de huecos ya que la Unidad de Mantenimiento Vial no tiene competencia en dichas vías.
Reporte 19 de enero: Se solicita el apoyo desde la Unidad de Mantenimiento Vial para el tape de huecos que interconectan las huertas de"&amp;" la localidad.
Reporte 26 abril: Se reitera solicitud de trasladar al IDU por competencia")</f>
        <v>EL FDL informa que para el día 10 de junio 2022 se realiza y radica oficio en el IDU con el fin de solicitar Mantenimiento Vial para el tape de los huecos que interconectan las 3 huertas
Reporte 12 julio: Se realizó el oficio remitido al IDU en aras de fortalecer las vías que interconectan las Huertas que se tienen en la Localidad.
Reporte 27 de julio: No se ha recibido respuesta por parte del Instituto de Desarrollo Urbana con radicado número 20226420458421
Reporte 09 agosto: Se recibe respuesta por parte del IDU donde dan a conocer por medio del Sistema de Información Geográfica los segmentos donde se encuentran las Huertas de la localidad, precisando que uno de ellos se encuentra reservado por la Terminal de Transporte y los otros por la Unidad de Mantenimiento Vial dando lugar al traslado de solicitud anteriormente solicitada.
Reporte 30 agosto: Se espera respuesta de la terminal de transportes y de la Unidad de Mantenimiento Vial para el tape de huecos que interconectan las 3 huertas.
Reporte 16 de noviembre : Se reitera la solicitud a la Terminal de Transportes ya que es la encargada de los espacios que interconectan las Huertas según el oficio radicado por el IDU.
Reporte 16 de diciembre: Se continua a la espera de la Terminal de Transportes por la solicitud realizada para el tape de huecos ya que la Unidad de Mantenimiento Vial no tiene competencia en dichas vías.
Reporte 19 de enero: Se solicita el apoyo desde la Unidad de Mantenimiento Vial para el tape de huecos que interconectan las huertas de la localidad.
Reporte 26 abril: Se reitera solicitud de trasladar al IDU por competencia</v>
      </c>
      <c r="N1542" s="55">
        <f ca="1">IFERROR(__xludf.DUMMYFUNCTION("""COMPUTED_VALUE"""),45044)</f>
        <v>45044</v>
      </c>
      <c r="O1542" s="25" t="str">
        <f t="shared" ca="1" si="0"/>
        <v>Alcaldía Local</v>
      </c>
      <c r="P1542" s="25" t="str">
        <f t="shared" ca="1" si="2"/>
        <v/>
      </c>
      <c r="Q1542" s="25" t="str">
        <f ca="1">IFERROR(__xludf.DUMMYFUNCTION("""COMPUTED_VALUE"""),"Largo plazo")</f>
        <v>Largo plazo</v>
      </c>
      <c r="R1542" s="25"/>
      <c r="S1542" s="55"/>
      <c r="T1542" s="56"/>
      <c r="U1542" s="25"/>
      <c r="V1542" s="25"/>
      <c r="W1542" s="25"/>
      <c r="X1542" s="25"/>
      <c r="Y1542" s="25"/>
      <c r="Z1542" s="25"/>
    </row>
    <row r="1543" spans="1:26" ht="52.5" customHeight="1" x14ac:dyDescent="0.25">
      <c r="A1543" s="25" t="str">
        <f ca="1">IFERROR(__xludf.DUMMYFUNCTION("""COMPUTED_VALUE"""),"Gobie41")</f>
        <v>Gobie41</v>
      </c>
      <c r="B1543" s="25" t="str">
        <f ca="1">IFERROR(__xludf.DUMMYFUNCTION("""COMPUTED_VALUE"""),"Despachando Mebog ")</f>
        <v xml:space="preserve">Despachando Mebog </v>
      </c>
      <c r="C1543" s="55">
        <f ca="1">IFERROR(__xludf.DUMMYFUNCTION("""COMPUTED_VALUE"""),44518)</f>
        <v>44518</v>
      </c>
      <c r="D1543" s="25" t="str">
        <f ca="1">IFERROR(__xludf.DUMMYFUNCTION("""COMPUTED_VALUE"""),"Gobierno")</f>
        <v>Gobierno</v>
      </c>
      <c r="E1543" s="25" t="str">
        <f ca="1">IFERROR(__xludf.DUMMYFUNCTION("""COMPUTED_VALUE"""),"Secretaría Distrital de Gobierno")</f>
        <v>Secretaría Distrital de Gobierno</v>
      </c>
      <c r="F1543" s="25" t="str">
        <f ca="1">IFERROR(__xludf.DUMMYFUNCTION("""COMPUTED_VALUE"""),"Entre localidades vecinas deben definir lugares, públicos o privados, para crear los centros de atención a carreteros y a habitantes de calle")</f>
        <v>Entre localidades vecinas deben definir lugares, públicos o privados, para crear los centros de atención a carreteros y a habitantes de calle</v>
      </c>
      <c r="G1543" s="25" t="str">
        <f ca="1">IFERROR(__xludf.DUMMYFUNCTION("""COMPUTED_VALUE"""),"99. Distrito")</f>
        <v>99. Distrito</v>
      </c>
      <c r="H1543" s="55">
        <f ca="1">IFERROR(__xludf.DUMMYFUNCTION("""COMPUTED_VALUE"""),44548)</f>
        <v>44548</v>
      </c>
      <c r="I1543" s="25"/>
      <c r="J1543" s="55" t="str">
        <f ca="1">IFERROR(__xludf.DUMMYFUNCTION("""COMPUTED_VALUE"""),"Alta")</f>
        <v>Alta</v>
      </c>
      <c r="K1543" s="25">
        <f ca="1">IFERROR(__xludf.DUMMYFUNCTION("""COMPUTED_VALUE"""),30)</f>
        <v>30</v>
      </c>
      <c r="L1543" s="62"/>
      <c r="M1543" s="25"/>
      <c r="N1543" s="55">
        <f ca="1">IFERROR(__xludf.DUMMYFUNCTION("""COMPUTED_VALUE"""),44927)</f>
        <v>44927</v>
      </c>
      <c r="O1543" s="25" t="str">
        <f t="shared" ca="1" si="0"/>
        <v>Secretaría Distrital de Gobierno</v>
      </c>
      <c r="P1543" s="25" t="str">
        <f t="shared" si="2"/>
        <v/>
      </c>
      <c r="Q1543" s="25" t="str">
        <f ca="1">IFERROR(__xludf.DUMMYFUNCTION("""COMPUTED_VALUE"""),"Corto plazo")</f>
        <v>Corto plazo</v>
      </c>
      <c r="R1543" s="25"/>
      <c r="S1543" s="55"/>
      <c r="T1543" s="56"/>
      <c r="U1543" s="25"/>
      <c r="V1543" s="25"/>
      <c r="W1543" s="25"/>
      <c r="X1543" s="25"/>
      <c r="Y1543" s="25"/>
      <c r="Z1543" s="25"/>
    </row>
    <row r="1544" spans="1:26" ht="52.5" customHeight="1" x14ac:dyDescent="0.25">
      <c r="A1544" s="25" t="str">
        <f ca="1">IFERROR(__xludf.DUMMYFUNCTION("""COMPUTED_VALUE"""),"Gobie42")</f>
        <v>Gobie42</v>
      </c>
      <c r="B1544" s="25" t="str">
        <f ca="1">IFERROR(__xludf.DUMMYFUNCTION("""COMPUTED_VALUE"""),"Despachando Mebog ")</f>
        <v xml:space="preserve">Despachando Mebog </v>
      </c>
      <c r="C1544" s="55">
        <f ca="1">IFERROR(__xludf.DUMMYFUNCTION("""COMPUTED_VALUE"""),44518)</f>
        <v>44518</v>
      </c>
      <c r="D1544" s="25" t="str">
        <f ca="1">IFERROR(__xludf.DUMMYFUNCTION("""COMPUTED_VALUE"""),"Gobierno")</f>
        <v>Gobierno</v>
      </c>
      <c r="E1544" s="25" t="str">
        <f ca="1">IFERROR(__xludf.DUMMYFUNCTION("""COMPUTED_VALUE"""),"Secretaría Distrital de Gobierno")</f>
        <v>Secretaría Distrital de Gobierno</v>
      </c>
      <c r="F1544" s="25" t="str">
        <f ca="1">IFERROR(__xludf.DUMMYFUNCTION("""COMPUTED_VALUE"""),"Iniciará una transición respecto al uso del espacio público a partir de enero de 2022, para aplicar una perspectiva de recuperación y no de organización")</f>
        <v>Iniciará una transición respecto al uso del espacio público a partir de enero de 2022, para aplicar una perspectiva de recuperación y no de organización</v>
      </c>
      <c r="G1544" s="25" t="str">
        <f ca="1">IFERROR(__xludf.DUMMYFUNCTION("""COMPUTED_VALUE"""),"99. Distrito")</f>
        <v>99. Distrito</v>
      </c>
      <c r="H1544" s="55">
        <f ca="1">IFERROR(__xludf.DUMMYFUNCTION("""COMPUTED_VALUE"""),44548)</f>
        <v>44548</v>
      </c>
      <c r="I1544" s="25"/>
      <c r="J1544" s="55" t="str">
        <f ca="1">IFERROR(__xludf.DUMMYFUNCTION("""COMPUTED_VALUE"""),"Alta")</f>
        <v>Alta</v>
      </c>
      <c r="K1544" s="25">
        <f ca="1">IFERROR(__xludf.DUMMYFUNCTION("""COMPUTED_VALUE"""),30)</f>
        <v>30</v>
      </c>
      <c r="L1544" s="62"/>
      <c r="M1544" s="25"/>
      <c r="N1544" s="55">
        <f ca="1">IFERROR(__xludf.DUMMYFUNCTION("""COMPUTED_VALUE"""),44927)</f>
        <v>44927</v>
      </c>
      <c r="O1544" s="25" t="str">
        <f t="shared" ca="1" si="0"/>
        <v>Secretaría Distrital de Gobierno</v>
      </c>
      <c r="P1544" s="25" t="str">
        <f t="shared" si="2"/>
        <v/>
      </c>
      <c r="Q1544" s="25" t="str">
        <f ca="1">IFERROR(__xludf.DUMMYFUNCTION("""COMPUTED_VALUE"""),"Corto plazo")</f>
        <v>Corto plazo</v>
      </c>
      <c r="R1544" s="25"/>
      <c r="S1544" s="55"/>
      <c r="T1544" s="56"/>
      <c r="U1544" s="25"/>
      <c r="V1544" s="25"/>
      <c r="W1544" s="25"/>
      <c r="X1544" s="25"/>
      <c r="Y1544" s="25"/>
      <c r="Z1544" s="25"/>
    </row>
    <row r="1545" spans="1:26" ht="52.5" customHeight="1" x14ac:dyDescent="0.25">
      <c r="A1545" s="25" t="str">
        <f ca="1">IFERROR(__xludf.DUMMYFUNCTION("""COMPUTED_VALUE"""),"Gobie43")</f>
        <v>Gobie43</v>
      </c>
      <c r="B1545" s="25" t="str">
        <f ca="1">IFERROR(__xludf.DUMMYFUNCTION("""COMPUTED_VALUE"""),"Despachando Mebog ")</f>
        <v xml:space="preserve">Despachando Mebog </v>
      </c>
      <c r="C1545" s="55">
        <f ca="1">IFERROR(__xludf.DUMMYFUNCTION("""COMPUTED_VALUE"""),44518)</f>
        <v>44518</v>
      </c>
      <c r="D1545" s="25" t="str">
        <f ca="1">IFERROR(__xludf.DUMMYFUNCTION("""COMPUTED_VALUE"""),"Gobierno")</f>
        <v>Gobierno</v>
      </c>
      <c r="E1545" s="25" t="str">
        <f ca="1">IFERROR(__xludf.DUMMYFUNCTION("""COMPUTED_VALUE"""),"Secretaría Distrital de Gobierno")</f>
        <v>Secretaría Distrital de Gobierno</v>
      </c>
      <c r="F1545" s="25" t="str">
        <f ca="1">IFERROR(__xludf.DUMMYFUNCTION("""COMPUTED_VALUE"""),"Retomar los Consejos Locales de Gobierno desde el mes de enero de 2022")</f>
        <v>Retomar los Consejos Locales de Gobierno desde el mes de enero de 2022</v>
      </c>
      <c r="G1545" s="25" t="str">
        <f ca="1">IFERROR(__xludf.DUMMYFUNCTION("""COMPUTED_VALUE"""),"99. Distrito")</f>
        <v>99. Distrito</v>
      </c>
      <c r="H1545" s="55">
        <f ca="1">IFERROR(__xludf.DUMMYFUNCTION("""COMPUTED_VALUE"""),44548)</f>
        <v>44548</v>
      </c>
      <c r="I1545" s="25"/>
      <c r="J1545" s="55" t="str">
        <f ca="1">IFERROR(__xludf.DUMMYFUNCTION("""COMPUTED_VALUE"""),"Alta")</f>
        <v>Alta</v>
      </c>
      <c r="K1545" s="25">
        <f ca="1">IFERROR(__xludf.DUMMYFUNCTION("""COMPUTED_VALUE"""),30)</f>
        <v>30</v>
      </c>
      <c r="L1545" s="62">
        <f ca="1">IFERROR(__xludf.DUMMYFUNCTION("""COMPUTED_VALUE"""),44715)</f>
        <v>44715</v>
      </c>
      <c r="M1545" s="25" t="str">
        <f ca="1">IFERROR(__xludf.DUMMYFUNCTION("""COMPUTED_VALUE"""),"Las alcaldías locales continuaron con el desarrollo de los Consejos Locales de Gobierno en sus territorios, y se encuentran atentas a que por parte de la Alcaldía Mayor se defina el cronograma para organizar las sesiones en las cuales se cuente con la par"&amp;"ticipación de la Alcaldesa Mayor. 
En 2022 se han llevado a cabo 16 consejos locales de gobierno y se cuenta con una matriz independiente para el seguimiento de dichos compromisos")</f>
        <v>Las alcaldías locales continuaron con el desarrollo de los Consejos Locales de Gobierno en sus territorios, y se encuentran atentas a que por parte de la Alcaldía Mayor se defina el cronograma para organizar las sesiones en las cuales se cuente con la participación de la Alcaldesa Mayor. 
En 2022 se han llevado a cabo 16 consejos locales de gobierno y se cuenta con una matriz independiente para el seguimiento de dichos compromisos</v>
      </c>
      <c r="N1545" s="55">
        <f ca="1">IFERROR(__xludf.DUMMYFUNCTION("""COMPUTED_VALUE"""),44715)</f>
        <v>44715</v>
      </c>
      <c r="O1545" s="25" t="str">
        <f t="shared" ca="1" si="0"/>
        <v>Secretaría Distrital de Gobierno</v>
      </c>
      <c r="P1545" s="25" t="str">
        <f t="shared" si="2"/>
        <v/>
      </c>
      <c r="Q1545" s="25" t="str">
        <f ca="1">IFERROR(__xludf.DUMMYFUNCTION("""COMPUTED_VALUE"""),"Corto plazo")</f>
        <v>Corto plazo</v>
      </c>
      <c r="R1545" s="25"/>
      <c r="S1545" s="55"/>
      <c r="T1545" s="56"/>
      <c r="U1545" s="25"/>
      <c r="V1545" s="25"/>
      <c r="W1545" s="25"/>
      <c r="X1545" s="25"/>
      <c r="Y1545" s="25"/>
      <c r="Z1545" s="25"/>
    </row>
    <row r="1546" spans="1:26" ht="52.5" customHeight="1" x14ac:dyDescent="0.25">
      <c r="A1546" s="25" t="str">
        <f ca="1">IFERROR(__xludf.DUMMYFUNCTION("""COMPUTED_VALUE"""),"Gobie44")</f>
        <v>Gobie44</v>
      </c>
      <c r="B1546" s="25" t="str">
        <f ca="1">IFERROR(__xludf.DUMMYFUNCTION("""COMPUTED_VALUE"""),"Despachando Mebog ")</f>
        <v xml:space="preserve">Despachando Mebog </v>
      </c>
      <c r="C1546" s="55">
        <f ca="1">IFERROR(__xludf.DUMMYFUNCTION("""COMPUTED_VALUE"""),44518)</f>
        <v>44518</v>
      </c>
      <c r="D1546" s="25" t="str">
        <f ca="1">IFERROR(__xludf.DUMMYFUNCTION("""COMPUTED_VALUE"""),"Gobierno")</f>
        <v>Gobierno</v>
      </c>
      <c r="E1546" s="25" t="str">
        <f ca="1">IFERROR(__xludf.DUMMYFUNCTION("""COMPUTED_VALUE"""),"Secretaría Distrital de Gobierno")</f>
        <v>Secretaría Distrital de Gobierno</v>
      </c>
      <c r="F1546" s="25" t="str">
        <f ca="1">IFERROR(__xludf.DUMMYFUNCTION("""COMPUTED_VALUE"""),"Expedir un acto administrativo, que le permita la entrada a la Alcaldía Local a establecimientos como corporaciones, asociaciones o sindicatos, que cierran la puerta a la Alcaldía Local para hacer operativos")</f>
        <v>Expedir un acto administrativo, que le permita la entrada a la Alcaldía Local a establecimientos como corporaciones, asociaciones o sindicatos, que cierran la puerta a la Alcaldía Local para hacer operativos</v>
      </c>
      <c r="G1546" s="55" t="str">
        <f ca="1">IFERROR(__xludf.DUMMYFUNCTION("""COMPUTED_VALUE"""),"09. Fontibón")</f>
        <v>09. Fontibón</v>
      </c>
      <c r="H1546" s="55">
        <f ca="1">IFERROR(__xludf.DUMMYFUNCTION("""COMPUTED_VALUE"""),44548)</f>
        <v>44548</v>
      </c>
      <c r="I1546" s="25"/>
      <c r="J1546" s="55" t="str">
        <f ca="1">IFERROR(__xludf.DUMMYFUNCTION("""COMPUTED_VALUE"""),"Alta")</f>
        <v>Alta</v>
      </c>
      <c r="K1546" s="25">
        <f ca="1">IFERROR(__xludf.DUMMYFUNCTION("""COMPUTED_VALUE"""),30)</f>
        <v>30</v>
      </c>
      <c r="L1546" s="62">
        <f ca="1">IFERROR(__xludf.DUMMYFUNCTION("""COMPUTED_VALUE"""),44956)</f>
        <v>44956</v>
      </c>
      <c r="M1546" s="25" t="str">
        <f ca="1">IFERROR(__xludf.DUMMYFUNCTION("""COMPUTED_VALUE"""),"La Dirección para la Gestión Policiva de la Secretaría de Gobierno trabajó en el proyecto de decreto en desarrollo de la Sentencia C204 que permite dar solución al compromiso, actualización: se encuentra en proceso de ajustes solicitados desde la Subsecre"&amp;"taría de Gestión Local.
Decreto 499 de 2022 del 2 de noviembre de 2022")</f>
        <v>La Dirección para la Gestión Policiva de la Secretaría de Gobierno trabajó en el proyecto de decreto en desarrollo de la Sentencia C204 que permite dar solución al compromiso, actualización: se encuentra en proceso de ajustes solicitados desde la Subsecretaría de Gestión Local.
Decreto 499 de 2022 del 2 de noviembre de 2022</v>
      </c>
      <c r="N1546" s="55">
        <f ca="1">IFERROR(__xludf.DUMMYFUNCTION("""COMPUTED_VALUE"""),44867)</f>
        <v>44867</v>
      </c>
      <c r="O1546" s="25" t="str">
        <f t="shared" ca="1" si="0"/>
        <v>Secretaría Distrital de Gobierno</v>
      </c>
      <c r="P1546" s="25" t="str">
        <f t="shared" si="2"/>
        <v/>
      </c>
      <c r="Q1546" s="25" t="str">
        <f ca="1">IFERROR(__xludf.DUMMYFUNCTION("""COMPUTED_VALUE"""),"Corto plazo")</f>
        <v>Corto plazo</v>
      </c>
      <c r="R1546" s="25"/>
      <c r="S1546" s="55"/>
      <c r="T1546" s="56"/>
      <c r="U1546" s="25"/>
      <c r="V1546" s="25"/>
      <c r="W1546" s="25"/>
      <c r="X1546" s="25"/>
      <c r="Y1546" s="25"/>
      <c r="Z1546" s="25"/>
    </row>
    <row r="1547" spans="1:26" ht="52.5" customHeight="1" x14ac:dyDescent="0.25">
      <c r="A1547" s="25" t="str">
        <f ca="1">IFERROR(__xludf.DUMMYFUNCTION("""COMPUTED_VALUE"""),"Gobie45")</f>
        <v>Gobie45</v>
      </c>
      <c r="B1547" s="25" t="str">
        <f ca="1">IFERROR(__xludf.DUMMYFUNCTION("""COMPUTED_VALUE"""),"Despachando Mebog ")</f>
        <v xml:space="preserve">Despachando Mebog </v>
      </c>
      <c r="C1547" s="55">
        <f ca="1">IFERROR(__xludf.DUMMYFUNCTION("""COMPUTED_VALUE"""),44518)</f>
        <v>44518</v>
      </c>
      <c r="D1547" s="25" t="str">
        <f ca="1">IFERROR(__xludf.DUMMYFUNCTION("""COMPUTED_VALUE"""),"Gobierno")</f>
        <v>Gobierno</v>
      </c>
      <c r="E1547" s="25" t="str">
        <f ca="1">IFERROR(__xludf.DUMMYFUNCTION("""COMPUTED_VALUE"""),"Alcaldía Local")</f>
        <v>Alcaldía Local</v>
      </c>
      <c r="F1547" s="25" t="str">
        <f ca="1">IFERROR(__xludf.DUMMYFUNCTION("""COMPUTED_VALUE"""),"La Alcaldía Local debe identificar un predio para la puesta en marcha del centro de carreteros. Cuando se tenga el predio la UAESP se encarga de la puesta en marcha del Centro.")</f>
        <v>La Alcaldía Local debe identificar un predio para la puesta en marcha del centro de carreteros. Cuando se tenga el predio la UAESP se encarga de la puesta en marcha del Centro.</v>
      </c>
      <c r="G1547" s="55" t="str">
        <f ca="1">IFERROR(__xludf.DUMMYFUNCTION("""COMPUTED_VALUE"""),"01. Usaquén")</f>
        <v>01. Usaquén</v>
      </c>
      <c r="H1547" s="55">
        <f ca="1">IFERROR(__xludf.DUMMYFUNCTION("""COMPUTED_VALUE"""),44548)</f>
        <v>44548</v>
      </c>
      <c r="I1547" s="25"/>
      <c r="J1547" s="55" t="str">
        <f ca="1">IFERROR(__xludf.DUMMYFUNCTION("""COMPUTED_VALUE"""),"Alta")</f>
        <v>Alta</v>
      </c>
      <c r="K1547" s="25">
        <f ca="1">IFERROR(__xludf.DUMMYFUNCTION("""COMPUTED_VALUE"""),30)</f>
        <v>30</v>
      </c>
      <c r="L1547" s="62">
        <f ca="1">IFERROR(__xludf.DUMMYFUNCTION("""COMPUTED_VALUE"""),44809)</f>
        <v>44809</v>
      </c>
      <c r="M1547" s="25" t="str">
        <f ca="1">IFERROR(__xludf.DUMMYFUNCTION("""COMPUTED_VALUE"""),"El 3 de noviembre del 2022 la UAESP a través del contrato UAESP-767-2022 suscrito el 1/11/2022 con fecha de terminación el 31/10/2023 tomó en arriendo un inmueble en el marco de la Directiva 004 de 2021, ubicado en la KR 21# 164-88, localidad de Usaquén, "&amp;"barrio Toberín, por un valor total de $171.028.356 millones de pesos, con canon de arrendamiento mensual de $ 14.252.363 millones de pesos.")</f>
        <v>El 3 de noviembre del 2022 la UAESP a través del contrato UAESP-767-2022 suscrito el 1/11/2022 con fecha de terminación el 31/10/2023 tomó en arriendo un inmueble en el marco de la Directiva 004 de 2021, ubicado en la KR 21# 164-88, localidad de Usaquén, barrio Toberín, por un valor total de $171.028.356 millones de pesos, con canon de arrendamiento mensual de $ 14.252.363 millones de pesos.</v>
      </c>
      <c r="N1547" s="55">
        <f ca="1">IFERROR(__xludf.DUMMYFUNCTION("""COMPUTED_VALUE"""),44809)</f>
        <v>44809</v>
      </c>
      <c r="O1547" s="25" t="str">
        <f t="shared" ca="1" si="0"/>
        <v>Alcaldía Local</v>
      </c>
      <c r="P1547" s="25" t="str">
        <f t="shared" si="2"/>
        <v/>
      </c>
      <c r="Q1547" s="25" t="str">
        <f ca="1">IFERROR(__xludf.DUMMYFUNCTION("""COMPUTED_VALUE"""),"Corto plazo")</f>
        <v>Corto plazo</v>
      </c>
      <c r="R1547" s="25"/>
      <c r="S1547" s="55"/>
      <c r="T1547" s="56"/>
      <c r="U1547" s="25"/>
      <c r="V1547" s="25"/>
      <c r="W1547" s="25"/>
      <c r="X1547" s="25"/>
      <c r="Y1547" s="25"/>
      <c r="Z1547" s="25"/>
    </row>
    <row r="1548" spans="1:26" ht="52.5" customHeight="1" x14ac:dyDescent="0.25">
      <c r="A1548" s="25" t="str">
        <f ca="1">IFERROR(__xludf.DUMMYFUNCTION("""COMPUTED_VALUE"""),"Gobie46")</f>
        <v>Gobie46</v>
      </c>
      <c r="B1548" s="25" t="str">
        <f ca="1">IFERROR(__xludf.DUMMYFUNCTION("""COMPUTED_VALUE"""),"Despachando Mebog ")</f>
        <v xml:space="preserve">Despachando Mebog </v>
      </c>
      <c r="C1548" s="55">
        <f ca="1">IFERROR(__xludf.DUMMYFUNCTION("""COMPUTED_VALUE"""),44518)</f>
        <v>44518</v>
      </c>
      <c r="D1548" s="25" t="str">
        <f ca="1">IFERROR(__xludf.DUMMYFUNCTION("""COMPUTED_VALUE"""),"Gobierno")</f>
        <v>Gobierno</v>
      </c>
      <c r="E1548" s="25" t="str">
        <f ca="1">IFERROR(__xludf.DUMMYFUNCTION("""COMPUTED_VALUE"""),"Alcaldía Local")</f>
        <v>Alcaldía Local</v>
      </c>
      <c r="F1548" s="25" t="str">
        <f ca="1">IFERROR(__xludf.DUMMYFUNCTION("""COMPUTED_VALUE"""),"Definir un predio para realizar una URI en la localidad de Usaquén")</f>
        <v>Definir un predio para realizar una URI en la localidad de Usaquén</v>
      </c>
      <c r="G1548" s="55" t="str">
        <f ca="1">IFERROR(__xludf.DUMMYFUNCTION("""COMPUTED_VALUE"""),"01. Usaquén")</f>
        <v>01. Usaquén</v>
      </c>
      <c r="H1548" s="55">
        <f ca="1">IFERROR(__xludf.DUMMYFUNCTION("""COMPUTED_VALUE"""),44548)</f>
        <v>44548</v>
      </c>
      <c r="I1548" s="25"/>
      <c r="J1548" s="55" t="str">
        <f ca="1">IFERROR(__xludf.DUMMYFUNCTION("""COMPUTED_VALUE"""),"Alta")</f>
        <v>Alta</v>
      </c>
      <c r="K1548" s="25">
        <f ca="1">IFERROR(__xludf.DUMMYFUNCTION("""COMPUTED_VALUE"""),30)</f>
        <v>30</v>
      </c>
      <c r="L1548" s="62">
        <f ca="1">IFERROR(__xludf.DUMMYFUNCTION("""COMPUTED_VALUE"""),44726)</f>
        <v>44726</v>
      </c>
      <c r="M1548" s="25" t="str">
        <f ca="1">IFERROR(__xludf.DUMMYFUNCTION("""COMPUTED_VALUE"""),"De acuerdo al radicado 20225110084502, la SDSCJ informó al Fondo de Desarrollo Local de Usaquén que el 23 de mayo del 2022 se adjudicó el Proyecto URI Zona Norte mediante la Resolución 240 del 18 de mayo del 2022. La URI estará instalada en la Localidad d"&amp;"e Suba, específicamente en la Carrera 92 # 146C - 49 - RUPI 2-116-3, de acuerdo a la Certificación Catastral.")</f>
        <v>De acuerdo al radicado 20225110084502, la SDSCJ informó al Fondo de Desarrollo Local de Usaquén que el 23 de mayo del 2022 se adjudicó el Proyecto URI Zona Norte mediante la Resolución 240 del 18 de mayo del 2022. La URI estará instalada en la Localidad de Suba, específicamente en la Carrera 92 # 146C - 49 - RUPI 2-116-3, de acuerdo a la Certificación Catastral.</v>
      </c>
      <c r="N1548" s="55">
        <f ca="1">IFERROR(__xludf.DUMMYFUNCTION("""COMPUTED_VALUE"""),44726)</f>
        <v>44726</v>
      </c>
      <c r="O1548" s="25" t="str">
        <f t="shared" ca="1" si="0"/>
        <v>Alcaldía Local</v>
      </c>
      <c r="P1548" s="25" t="str">
        <f t="shared" si="2"/>
        <v/>
      </c>
      <c r="Q1548" s="25" t="str">
        <f ca="1">IFERROR(__xludf.DUMMYFUNCTION("""COMPUTED_VALUE"""),"Corto plazo")</f>
        <v>Corto plazo</v>
      </c>
      <c r="R1548" s="25"/>
      <c r="S1548" s="55"/>
      <c r="T1548" s="56"/>
      <c r="U1548" s="25"/>
      <c r="V1548" s="25"/>
      <c r="W1548" s="25"/>
      <c r="X1548" s="25"/>
      <c r="Y1548" s="25"/>
      <c r="Z1548" s="25"/>
    </row>
    <row r="1549" spans="1:26" ht="52.5" customHeight="1" x14ac:dyDescent="0.25">
      <c r="A1549" s="25" t="str">
        <f ca="1">IFERROR(__xludf.DUMMYFUNCTION("""COMPUTED_VALUE"""),"Gobie47")</f>
        <v>Gobie47</v>
      </c>
      <c r="B1549" s="25" t="str">
        <f ca="1">IFERROR(__xludf.DUMMYFUNCTION("""COMPUTED_VALUE"""),"Despachando Mebog ")</f>
        <v xml:space="preserve">Despachando Mebog </v>
      </c>
      <c r="C1549" s="55">
        <f ca="1">IFERROR(__xludf.DUMMYFUNCTION("""COMPUTED_VALUE"""),44518)</f>
        <v>44518</v>
      </c>
      <c r="D1549" s="25" t="str">
        <f ca="1">IFERROR(__xludf.DUMMYFUNCTION("""COMPUTED_VALUE"""),"Gobierno")</f>
        <v>Gobierno</v>
      </c>
      <c r="E1549" s="25" t="str">
        <f ca="1">IFERROR(__xludf.DUMMYFUNCTION("""COMPUTED_VALUE"""),"Secretaría Distrital de Gobierno")</f>
        <v>Secretaría Distrital de Gobierno</v>
      </c>
      <c r="F1549" s="25" t="str">
        <f ca="1">IFERROR(__xludf.DUMMYFUNCTION("""COMPUTED_VALUE"""),"Entregar un mini cargador para levantar cambuches en la localidad y recuperar el espacio público")</f>
        <v>Entregar un mini cargador para levantar cambuches en la localidad y recuperar el espacio público</v>
      </c>
      <c r="G1549" s="55" t="str">
        <f ca="1">IFERROR(__xludf.DUMMYFUNCTION("""COMPUTED_VALUE"""),"09. Fontibón")</f>
        <v>09. Fontibón</v>
      </c>
      <c r="H1549" s="55">
        <f ca="1">IFERROR(__xludf.DUMMYFUNCTION("""COMPUTED_VALUE"""),44548)</f>
        <v>44548</v>
      </c>
      <c r="I1549" s="25"/>
      <c r="J1549" s="55" t="str">
        <f ca="1">IFERROR(__xludf.DUMMYFUNCTION("""COMPUTED_VALUE"""),"Alta")</f>
        <v>Alta</v>
      </c>
      <c r="K1549" s="25">
        <f ca="1">IFERROR(__xludf.DUMMYFUNCTION("""COMPUTED_VALUE"""),30)</f>
        <v>30</v>
      </c>
      <c r="L1549" s="62"/>
      <c r="M1549" s="25"/>
      <c r="N1549" s="55">
        <f ca="1">IFERROR(__xludf.DUMMYFUNCTION("""COMPUTED_VALUE"""),44927)</f>
        <v>44927</v>
      </c>
      <c r="O1549" s="25" t="str">
        <f t="shared" ca="1" si="0"/>
        <v>Secretaría Distrital de Gobierno</v>
      </c>
      <c r="P1549" s="25" t="str">
        <f t="shared" si="2"/>
        <v/>
      </c>
      <c r="Q1549" s="25" t="str">
        <f ca="1">IFERROR(__xludf.DUMMYFUNCTION("""COMPUTED_VALUE"""),"Corto plazo")</f>
        <v>Corto plazo</v>
      </c>
      <c r="R1549" s="25"/>
      <c r="S1549" s="55"/>
      <c r="T1549" s="56"/>
      <c r="U1549" s="25"/>
      <c r="V1549" s="25"/>
      <c r="W1549" s="25"/>
      <c r="X1549" s="25"/>
      <c r="Y1549" s="25"/>
      <c r="Z1549" s="25"/>
    </row>
    <row r="1550" spans="1:26" ht="52.5" customHeight="1" x14ac:dyDescent="0.25">
      <c r="A1550" s="25" t="str">
        <f ca="1">IFERROR(__xludf.DUMMYFUNCTION("""COMPUTED_VALUE"""),"Gobie48")</f>
        <v>Gobie48</v>
      </c>
      <c r="B1550" s="25" t="str">
        <f ca="1">IFERROR(__xludf.DUMMYFUNCTION("""COMPUTED_VALUE"""),"Despachando Mebog ")</f>
        <v xml:space="preserve">Despachando Mebog </v>
      </c>
      <c r="C1550" s="55">
        <f ca="1">IFERROR(__xludf.DUMMYFUNCTION("""COMPUTED_VALUE"""),44518)</f>
        <v>44518</v>
      </c>
      <c r="D1550" s="25" t="str">
        <f ca="1">IFERROR(__xludf.DUMMYFUNCTION("""COMPUTED_VALUE"""),"Gobierno")</f>
        <v>Gobierno</v>
      </c>
      <c r="E1550" s="25" t="str">
        <f ca="1">IFERROR(__xludf.DUMMYFUNCTION("""COMPUTED_VALUE"""),"Alcaldía Local")</f>
        <v>Alcaldía Local</v>
      </c>
      <c r="F1550" s="25" t="str">
        <f ca="1">IFERROR(__xludf.DUMMYFUNCTION("""COMPUTED_VALUE"""),"Coordinar la presencia de vigilancia privada en San Victorino para la época de final de año, atendiendo al aumento de la actividad comercial")</f>
        <v>Coordinar la presencia de vigilancia privada en San Victorino para la época de final de año, atendiendo al aumento de la actividad comercial</v>
      </c>
      <c r="G1550" s="55" t="str">
        <f ca="1">IFERROR(__xludf.DUMMYFUNCTION("""COMPUTED_VALUE"""),"03. Santa Fe")</f>
        <v>03. Santa Fe</v>
      </c>
      <c r="H1550" s="55">
        <f ca="1">IFERROR(__xludf.DUMMYFUNCTION("""COMPUTED_VALUE"""),44548)</f>
        <v>44548</v>
      </c>
      <c r="I1550" s="25"/>
      <c r="J1550" s="55" t="str">
        <f ca="1">IFERROR(__xludf.DUMMYFUNCTION("""COMPUTED_VALUE"""),"Alta")</f>
        <v>Alta</v>
      </c>
      <c r="K1550" s="25">
        <f ca="1">IFERROR(__xludf.DUMMYFUNCTION("""COMPUTED_VALUE"""),30)</f>
        <v>30</v>
      </c>
      <c r="L1550" s="62">
        <f ca="1">IFERROR(__xludf.DUMMYFUNCTION("""COMPUTED_VALUE"""),44726)</f>
        <v>44726</v>
      </c>
      <c r="M1550" s="25" t="str">
        <f ca="1">IFERROR(__xludf.DUMMYFUNCTION("""COMPUTED_VALUE"""),"De acuerdo con el compromiso establecido para la Alcaldía Local de Santa Fe, en cuento a ""Coordinar la presencia de vigilancia privada en San Victorino para la época de final de año, atendiendo al aumento de la actividad comercial"", cabe mencionar que a"&amp;"l no existir una caracterización de estas empresas en la zona, actualmente con apoyo del grupo de Gestores de Convivencia de la Alcaldía Local, se está realizando la identificación de todas las empresas de Vigilancia Privada que prestan servicios en el se"&amp;"ctor, con el fin de lograr realizar una reunión de articulación, junto con la Red de Apoyo de la Policía, para armonizar los planes de trabajo y las acciones encaminadas a mitigar los impactos de la inseguridad, durante la temporada de fin de año.")</f>
        <v>De acuerdo con el compromiso establecido para la Alcaldía Local de Santa Fe, en cuento a "Coordinar la presencia de vigilancia privada en San Victorino para la época de final de año, atendiendo al aumento de la actividad comercial", cabe mencionar que al no existir una caracterización de estas empresas en la zona, actualmente con apoyo del grupo de Gestores de Convivencia de la Alcaldía Local, se está realizando la identificación de todas las empresas de Vigilancia Privada que prestan servicios en el sector, con el fin de lograr realizar una reunión de articulación, junto con la Red de Apoyo de la Policía, para armonizar los planes de trabajo y las acciones encaminadas a mitigar los impactos de la inseguridad, durante la temporada de fin de año.</v>
      </c>
      <c r="N1550" s="55">
        <f ca="1">IFERROR(__xludf.DUMMYFUNCTION("""COMPUTED_VALUE"""),44726)</f>
        <v>44726</v>
      </c>
      <c r="O1550" s="25" t="str">
        <f t="shared" ca="1" si="0"/>
        <v>Alcaldía Local</v>
      </c>
      <c r="P1550" s="25" t="str">
        <f t="shared" si="2"/>
        <v/>
      </c>
      <c r="Q1550" s="25" t="str">
        <f ca="1">IFERROR(__xludf.DUMMYFUNCTION("""COMPUTED_VALUE"""),"Corto plazo")</f>
        <v>Corto plazo</v>
      </c>
      <c r="R1550" s="25"/>
      <c r="S1550" s="55"/>
      <c r="T1550" s="56"/>
      <c r="U1550" s="25"/>
      <c r="V1550" s="25"/>
      <c r="W1550" s="25"/>
      <c r="X1550" s="25"/>
      <c r="Y1550" s="25"/>
      <c r="Z1550" s="25"/>
    </row>
    <row r="1551" spans="1:26" ht="52.5" customHeight="1" x14ac:dyDescent="0.25">
      <c r="A1551" s="25" t="str">
        <f ca="1">IFERROR(__xludf.DUMMYFUNCTION("""COMPUTED_VALUE"""),"Gobie49")</f>
        <v>Gobie49</v>
      </c>
      <c r="B1551" s="25" t="str">
        <f ca="1">IFERROR(__xludf.DUMMYFUNCTION("""COMPUTED_VALUE"""),"Despachando Mebog ")</f>
        <v xml:space="preserve">Despachando Mebog </v>
      </c>
      <c r="C1551" s="55">
        <f ca="1">IFERROR(__xludf.DUMMYFUNCTION("""COMPUTED_VALUE"""),44518)</f>
        <v>44518</v>
      </c>
      <c r="D1551" s="25" t="str">
        <f ca="1">IFERROR(__xludf.DUMMYFUNCTION("""COMPUTED_VALUE"""),"Gobierno")</f>
        <v>Gobierno</v>
      </c>
      <c r="E1551" s="25" t="str">
        <f ca="1">IFERROR(__xludf.DUMMYFUNCTION("""COMPUTED_VALUE"""),"Secretaría Distrital de Gobierno")</f>
        <v>Secretaría Distrital de Gobierno</v>
      </c>
      <c r="F1551" s="25" t="str">
        <f ca="1">IFERROR(__xludf.DUMMYFUNCTION("""COMPUTED_VALUE"""),"Llevar a cabo acciones para que recuperación total del espacio público en la Séptima, y en la Jiménez, debido a la presencia de cachivacheros")</f>
        <v>Llevar a cabo acciones para que recuperación total del espacio público en la Séptima, y en la Jiménez, debido a la presencia de cachivacheros</v>
      </c>
      <c r="G1551" s="55" t="str">
        <f ca="1">IFERROR(__xludf.DUMMYFUNCTION("""COMPUTED_VALUE"""),"03. Santa Fe")</f>
        <v>03. Santa Fe</v>
      </c>
      <c r="H1551" s="55">
        <f ca="1">IFERROR(__xludf.DUMMYFUNCTION("""COMPUTED_VALUE"""),44548)</f>
        <v>44548</v>
      </c>
      <c r="I1551" s="25"/>
      <c r="J1551" s="55" t="str">
        <f ca="1">IFERROR(__xludf.DUMMYFUNCTION("""COMPUTED_VALUE"""),"Alta")</f>
        <v>Alta</v>
      </c>
      <c r="K1551" s="25">
        <f ca="1">IFERROR(__xludf.DUMMYFUNCTION("""COMPUTED_VALUE"""),30)</f>
        <v>30</v>
      </c>
      <c r="L1551" s="62">
        <f ca="1">IFERROR(__xludf.DUMMYFUNCTION("""COMPUTED_VALUE"""),44726)</f>
        <v>44726</v>
      </c>
      <c r="M1551" s="25" t="str">
        <f ca="1">IFERROR(__xludf.DUMMYFUNCTION("""COMPUTED_VALUE"""),"Durante la vigencia 2021, la carrera séptima ha sido escenario de intervenciones de sensibilización orientadas al buen uso y cuidado del espacio público, desarrollando jornadas y acciones específicas de recuperación, dada la presencia y ocupación del corr"&amp;"edor por parte de los “cachivacheros” y los sectores de impacto sobre las calles 22 y 24 entre la carrera séptima y la carrera quinta. 
Se realizaron jornadas de prevención del hurto a bicicletas, a través de puntos de control de documentación y legali"&amp;"dad de manera articulada con la PONAL. 
Así las cosas, en lo corrido del año, las acciones de desarrolladas han sido dirigidas a la sensibilización y promoción de las medidas de autocuidado y la implementación de los protocolos de bioseguridad establec"&amp;"idos por las autoridades sanitarias para la prevención del contagio de SARS COV 19, al igual que a la conformación del Frente de Seguridad del Parque Santander, en dónde se está haciendo un trabajo interinstitucional para la recuperación de este important"&amp;"e lugar de la ciudad. 
Frente al tema de los cachivacheros, las acciones se han centrado principalmente en lograr que esta población se organice y se mitigue el impacto que se genera. De igual manera, se ha buscado generar acciones que permitan que las"&amp;" mercancías no sean dispuestas en el piso, adicionalmente, se solicita de manera permanente a la Policía realizar planes de requisa y verificación de antecedentes, con el fin de identificar puntos de venta y distribución de sustancias psicoactivas.")</f>
        <v>Durante la vigencia 2021, la carrera séptima ha sido escenario de intervenciones de sensibilización orientadas al buen uso y cuidado del espacio público, desarrollando jornadas y acciones específicas de recuperación, dada la presencia y ocupación del corredor por parte de los “cachivacheros” y los sectores de impacto sobre las calles 22 y 24 entre la carrera séptima y la carrera quinta. 
Se realizaron jornadas de prevención del hurto a bicicletas, a través de puntos de control de documentación y legalidad de manera articulada con la PONAL. 
Así las cosas, en lo corrido del año, las acciones de desarrolladas han sido dirigidas a la sensibilización y promoción de las medidas de autocuidado y la implementación de los protocolos de bioseguridad establecidos por las autoridades sanitarias para la prevención del contagio de SARS COV 19, al igual que a la conformación del Frente de Seguridad del Parque Santander, en dónde se está haciendo un trabajo interinstitucional para la recuperación de este importante lugar de la ciudad. 
Frente al tema de los cachivacheros, las acciones se han centrado principalmente en lograr que esta población se organice y se mitigue el impacto que se genera. De igual manera, se ha buscado generar acciones que permitan que las mercancías no sean dispuestas en el piso, adicionalmente, se solicita de manera permanente a la Policía realizar planes de requisa y verificación de antecedentes, con el fin de identificar puntos de venta y distribución de sustancias psicoactivas.</v>
      </c>
      <c r="N1551" s="55">
        <f ca="1">IFERROR(__xludf.DUMMYFUNCTION("""COMPUTED_VALUE"""),44726)</f>
        <v>44726</v>
      </c>
      <c r="O1551" s="25" t="str">
        <f t="shared" ca="1" si="0"/>
        <v>Secretaría Distrital de Gobierno</v>
      </c>
      <c r="P1551" s="25" t="str">
        <f t="shared" si="2"/>
        <v/>
      </c>
      <c r="Q1551" s="25" t="str">
        <f ca="1">IFERROR(__xludf.DUMMYFUNCTION("""COMPUTED_VALUE"""),"Corto plazo")</f>
        <v>Corto plazo</v>
      </c>
      <c r="R1551" s="25"/>
      <c r="S1551" s="55"/>
      <c r="T1551" s="56"/>
      <c r="U1551" s="25"/>
      <c r="V1551" s="25"/>
      <c r="W1551" s="25"/>
      <c r="X1551" s="25"/>
      <c r="Y1551" s="25"/>
      <c r="Z1551" s="25"/>
    </row>
    <row r="1552" spans="1:26" ht="52.5" customHeight="1" x14ac:dyDescent="0.25">
      <c r="A1552" s="25" t="str">
        <f ca="1">IFERROR(__xludf.DUMMYFUNCTION("""COMPUTED_VALUE"""),"Gobie50")</f>
        <v>Gobie50</v>
      </c>
      <c r="B1552" s="25" t="str">
        <f ca="1">IFERROR(__xludf.DUMMYFUNCTION("""COMPUTED_VALUE"""),"Despachando Mebog ")</f>
        <v xml:space="preserve">Despachando Mebog </v>
      </c>
      <c r="C1552" s="55">
        <f ca="1">IFERROR(__xludf.DUMMYFUNCTION("""COMPUTED_VALUE"""),44518)</f>
        <v>44518</v>
      </c>
      <c r="D1552" s="25" t="str">
        <f ca="1">IFERROR(__xludf.DUMMYFUNCTION("""COMPUTED_VALUE"""),"Gobierno")</f>
        <v>Gobierno</v>
      </c>
      <c r="E1552" s="25" t="str">
        <f ca="1">IFERROR(__xludf.DUMMYFUNCTION("""COMPUTED_VALUE"""),"Alcaldía Local")</f>
        <v>Alcaldía Local</v>
      </c>
      <c r="F1552" s="25" t="str">
        <f ca="1">IFERROR(__xludf.DUMMYFUNCTION("""COMPUTED_VALUE"""),"Intervenir los pagadiarios en la localidad")</f>
        <v>Intervenir los pagadiarios en la localidad</v>
      </c>
      <c r="G1552" s="55" t="str">
        <f ca="1">IFERROR(__xludf.DUMMYFUNCTION("""COMPUTED_VALUE"""),"03. Santa Fe")</f>
        <v>03. Santa Fe</v>
      </c>
      <c r="H1552" s="55">
        <f ca="1">IFERROR(__xludf.DUMMYFUNCTION("""COMPUTED_VALUE"""),44548)</f>
        <v>44548</v>
      </c>
      <c r="I1552" s="25"/>
      <c r="J1552" s="55" t="str">
        <f ca="1">IFERROR(__xludf.DUMMYFUNCTION("""COMPUTED_VALUE"""),"Alta")</f>
        <v>Alta</v>
      </c>
      <c r="K1552" s="25">
        <f ca="1">IFERROR(__xludf.DUMMYFUNCTION("""COMPUTED_VALUE"""),30)</f>
        <v>30</v>
      </c>
      <c r="L1552" s="62">
        <f ca="1">IFERROR(__xludf.DUMMYFUNCTION("""COMPUTED_VALUE"""),44726)</f>
        <v>44726</v>
      </c>
      <c r="M1552" s="25" t="str">
        <f ca="1">IFERROR(__xludf.DUMMYFUNCTION("""COMPUTED_VALUE"""),"Desde la Alcaldía Local de Santa Fe se desarrollará un cronograma de intervención en los pagadiarios con el fin de reconocer necesidades y problemáticas entorno a los mismos, esto se realizará junto con la SDIS y Secretaría de Seguridad. Adicionalmente, s"&amp;"eguimiento de las acciones adelantadas en el momento de la caracterización adelantada en los meses de marzo y abril de 2021. Fechas propuestas para intervenir qué se acordará en reunión interinstitucional el día 10 de diciembre de 2021. 
Así mismo, es im"&amp;"portante aclarar que en los recorridos que se establecen en la mesa de habitabilidad en calle se ha venido realizando seguimiento y dando respuesta social del distrito a los ciudadanos habitantes de calle y los que se encuentra en riesgo de habitarla, así"&amp;" como desde el apoyo económico tipo c realizando seguimiento a los adultos mayores que habitan en los mismos. Se solicita cierre")</f>
        <v>Desde la Alcaldía Local de Santa Fe se desarrollará un cronograma de intervención en los pagadiarios con el fin de reconocer necesidades y problemáticas entorno a los mismos, esto se realizará junto con la SDIS y Secretaría de Seguridad. Adicionalmente, seguimiento de las acciones adelantadas en el momento de la caracterización adelantada en los meses de marzo y abril de 2021. Fechas propuestas para intervenir qué se acordará en reunión interinstitucional el día 10 de diciembre de 2021. 
Así mismo, es importante aclarar que en los recorridos que se establecen en la mesa de habitabilidad en calle se ha venido realizando seguimiento y dando respuesta social del distrito a los ciudadanos habitantes de calle y los que se encuentra en riesgo de habitarla, así como desde el apoyo económico tipo c realizando seguimiento a los adultos mayores que habitan en los mismos. Se solicita cierre</v>
      </c>
      <c r="N1552" s="55">
        <f ca="1">IFERROR(__xludf.DUMMYFUNCTION("""COMPUTED_VALUE"""),44726)</f>
        <v>44726</v>
      </c>
      <c r="O1552" s="25" t="str">
        <f t="shared" ca="1" si="0"/>
        <v>Alcaldía Local</v>
      </c>
      <c r="P1552" s="25" t="str">
        <f t="shared" si="2"/>
        <v/>
      </c>
      <c r="Q1552" s="25" t="str">
        <f ca="1">IFERROR(__xludf.DUMMYFUNCTION("""COMPUTED_VALUE"""),"Corto plazo")</f>
        <v>Corto plazo</v>
      </c>
      <c r="R1552" s="25"/>
      <c r="S1552" s="55"/>
      <c r="T1552" s="56"/>
      <c r="U1552" s="25"/>
      <c r="V1552" s="25"/>
      <c r="W1552" s="25"/>
      <c r="X1552" s="25"/>
      <c r="Y1552" s="25"/>
      <c r="Z1552" s="25"/>
    </row>
    <row r="1553" spans="1:26" ht="52.5" customHeight="1" x14ac:dyDescent="0.25">
      <c r="A1553" s="25" t="str">
        <f ca="1">IFERROR(__xludf.DUMMYFUNCTION("""COMPUTED_VALUE"""),"Gobie51")</f>
        <v>Gobie51</v>
      </c>
      <c r="B1553" s="25" t="str">
        <f ca="1">IFERROR(__xludf.DUMMYFUNCTION("""COMPUTED_VALUE"""),"Despachando Mebog ")</f>
        <v xml:space="preserve">Despachando Mebog </v>
      </c>
      <c r="C1553" s="55">
        <f ca="1">IFERROR(__xludf.DUMMYFUNCTION("""COMPUTED_VALUE"""),44518)</f>
        <v>44518</v>
      </c>
      <c r="D1553" s="25" t="str">
        <f ca="1">IFERROR(__xludf.DUMMYFUNCTION("""COMPUTED_VALUE"""),"Gobierno")</f>
        <v>Gobierno</v>
      </c>
      <c r="E1553" s="25" t="str">
        <f ca="1">IFERROR(__xludf.DUMMYFUNCTION("""COMPUTED_VALUE"""),"Secretaría Distrital de Gobierno")</f>
        <v>Secretaría Distrital de Gobierno</v>
      </c>
      <c r="F1553" s="25" t="str">
        <f ca="1">IFERROR(__xludf.DUMMYFUNCTION("""COMPUTED_VALUE"""),"Hacer actividades de recuperación de espacio público en el 20 de julio")</f>
        <v>Hacer actividades de recuperación de espacio público en el 20 de julio</v>
      </c>
      <c r="G1553" s="55" t="str">
        <f ca="1">IFERROR(__xludf.DUMMYFUNCTION("""COMPUTED_VALUE"""),"04. San Cristóbal")</f>
        <v>04. San Cristóbal</v>
      </c>
      <c r="H1553" s="55">
        <f ca="1">IFERROR(__xludf.DUMMYFUNCTION("""COMPUTED_VALUE"""),44548)</f>
        <v>44548</v>
      </c>
      <c r="I1553" s="25"/>
      <c r="J1553" s="55" t="str">
        <f ca="1">IFERROR(__xludf.DUMMYFUNCTION("""COMPUTED_VALUE"""),"Alta")</f>
        <v>Alta</v>
      </c>
      <c r="K1553" s="25">
        <f ca="1">IFERROR(__xludf.DUMMYFUNCTION("""COMPUTED_VALUE"""),30)</f>
        <v>30</v>
      </c>
      <c r="L1553" s="62">
        <f ca="1">IFERROR(__xludf.DUMMYFUNCTION("""COMPUTED_VALUE"""),44726)</f>
        <v>44726</v>
      </c>
      <c r="M1553" s="25" t="str">
        <f ca="1">IFERROR(__xludf.DUMMYFUNCTION("""COMPUTED_VALUE"""),"En lo corrido del 2021 realizaron 17 operativos de espacio público en el sector del 20 de julio. En el comercio formal se ha realizado actividades de sensibilización, cierre de establecimientos, certificación de Sello Seguro en 24 establecimientos. En el "&amp;"comercio informal, adicional a las actividades de sensibilización, se han realizado operativos de recuperación de espacio público de manera permanente, en especial en los últimos 4 meses logramos la recuperación del 100% del espacio público nocturno que v"&amp;"enía siendo invadido de manera permanente por el comercio informal. 
De igual manera se han adelantado operativos de entorno escolar en el IED Veinte de Julio como estrategia de prevención de SPA. 
Para 2022, desde el mes de diciembre de 2021 al 31 de m"&amp;"ayo de 2022 se han realizado las siguientes actividades: 
- Recorridos territoriales para identificación de problemáticas de espacio público.
- Sensibilizaciones sobre el uso adecuado del espacio público y temas de bioseguridad a vendedores informales, "&amp;"comerciantes y transeúntes.
- Operativos de inspección, vigilancia y control en el espacio público.
- Operativos de inspección, vigilancia y control en establecimientos de comercio que hacen uso indebido del espacio público.
- Acciones pedagógicas ""Es"&amp;"trategia mal parqueo"" en el sector del 20 de julio.
- Acciones nocturnas para recuperación del espacio público.
- Levantamiento de puestos de vendedores informales.
En lo corrido del 2023, se han realizado 35 operativos de recuperación del espacio púb"&amp;"lico en el sector del 20 de julio y la Victoria. Al igual que 10 operativos de regulación de atracciones mecánicas en el sector que no cuentan con autorización ni permisos de funcionamiento. 
")</f>
        <v xml:space="preserve">En lo corrido del 2021 realizaron 17 operativos de espacio público en el sector del 20 de julio. En el comercio formal se ha realizado actividades de sensibilización, cierre de establecimientos, certificación de Sello Seguro en 24 establecimientos. En el comercio informal, adicional a las actividades de sensibilización, se han realizado operativos de recuperación de espacio público de manera permanente, en especial en los últimos 4 meses logramos la recuperación del 100% del espacio público nocturno que venía siendo invadido de manera permanente por el comercio informal. 
De igual manera se han adelantado operativos de entorno escolar en el IED Veinte de Julio como estrategia de prevención de SPA. 
Para 2022, desde el mes de diciembre de 2021 al 31 de mayo de 2022 se han realizado las siguientes actividades: 
- Recorridos territoriales para identificación de problemáticas de espacio público.
- Sensibilizaciones sobre el uso adecuado del espacio público y temas de bioseguridad a vendedores informales, comerciantes y transeúntes.
- Operativos de inspección, vigilancia y control en el espacio público.
- Operativos de inspección, vigilancia y control en establecimientos de comercio que hacen uso indebido del espacio público.
- Acciones pedagógicas "Estrategia mal parqueo" en el sector del 20 de julio.
- Acciones nocturnas para recuperación del espacio público.
- Levantamiento de puestos de vendedores informales.
En lo corrido del 2023, se han realizado 35 operativos de recuperación del espacio público en el sector del 20 de julio y la Victoria. Al igual que 10 operativos de regulación de atracciones mecánicas en el sector que no cuentan con autorización ni permisos de funcionamiento. 
</v>
      </c>
      <c r="N1553" s="55">
        <f ca="1">IFERROR(__xludf.DUMMYFUNCTION("""COMPUTED_VALUE"""),44726)</f>
        <v>44726</v>
      </c>
      <c r="O1553" s="25" t="str">
        <f t="shared" ca="1" si="0"/>
        <v>Secretaría Distrital de Gobierno</v>
      </c>
      <c r="P1553" s="25" t="str">
        <f t="shared" si="2"/>
        <v/>
      </c>
      <c r="Q1553" s="25" t="str">
        <f ca="1">IFERROR(__xludf.DUMMYFUNCTION("""COMPUTED_VALUE"""),"Corto plazo")</f>
        <v>Corto plazo</v>
      </c>
      <c r="R1553" s="25"/>
      <c r="S1553" s="55"/>
      <c r="T1553" s="56"/>
      <c r="U1553" s="25"/>
      <c r="V1553" s="25"/>
      <c r="W1553" s="25"/>
      <c r="X1553" s="25"/>
      <c r="Y1553" s="25"/>
      <c r="Z1553" s="25"/>
    </row>
    <row r="1554" spans="1:26" ht="52.5" customHeight="1" x14ac:dyDescent="0.25">
      <c r="A1554" s="25" t="str">
        <f ca="1">IFERROR(__xludf.DUMMYFUNCTION("""COMPUTED_VALUE"""),"Gobie52")</f>
        <v>Gobie52</v>
      </c>
      <c r="B1554" s="25" t="str">
        <f ca="1">IFERROR(__xludf.DUMMYFUNCTION("""COMPUTED_VALUE"""),"Despachando Mebog ")</f>
        <v xml:space="preserve">Despachando Mebog </v>
      </c>
      <c r="C1554" s="55">
        <f ca="1">IFERROR(__xludf.DUMMYFUNCTION("""COMPUTED_VALUE"""),44518)</f>
        <v>44518</v>
      </c>
      <c r="D1554" s="25" t="str">
        <f ca="1">IFERROR(__xludf.DUMMYFUNCTION("""COMPUTED_VALUE"""),"Gobierno")</f>
        <v>Gobierno</v>
      </c>
      <c r="E1554" s="25" t="str">
        <f ca="1">IFERROR(__xludf.DUMMYFUNCTION("""COMPUTED_VALUE"""),"Secretaría Distrital de Gobierno")</f>
        <v>Secretaría Distrital de Gobierno</v>
      </c>
      <c r="F1554" s="25" t="str">
        <f ca="1">IFERROR(__xludf.DUMMYFUNCTION("""COMPUTED_VALUE"""),"Inspeccionar y definir la demolición de ocupaciones ilegales en los sectores de Nueva Roma, Las Malvinas, La Cecilia")</f>
        <v>Inspeccionar y definir la demolición de ocupaciones ilegales en los sectores de Nueva Roma, Las Malvinas, La Cecilia</v>
      </c>
      <c r="G1554" s="55" t="str">
        <f ca="1">IFERROR(__xludf.DUMMYFUNCTION("""COMPUTED_VALUE"""),"04. San Cristóbal")</f>
        <v>04. San Cristóbal</v>
      </c>
      <c r="H1554" s="55">
        <f ca="1">IFERROR(__xludf.DUMMYFUNCTION("""COMPUTED_VALUE"""),44548)</f>
        <v>44548</v>
      </c>
      <c r="I1554" s="25"/>
      <c r="J1554" s="55" t="str">
        <f ca="1">IFERROR(__xludf.DUMMYFUNCTION("""COMPUTED_VALUE"""),"Alta")</f>
        <v>Alta</v>
      </c>
      <c r="K1554" s="25">
        <f ca="1">IFERROR(__xludf.DUMMYFUNCTION("""COMPUTED_VALUE"""),30)</f>
        <v>30</v>
      </c>
      <c r="L1554" s="62">
        <f ca="1">IFERROR(__xludf.DUMMYFUNCTION("""COMPUTED_VALUE"""),44726)</f>
        <v>44726</v>
      </c>
      <c r="M1554" s="25" t="str">
        <f ca="1">IFERROR(__xludf.DUMMYFUNCTION("""COMPUTED_VALUE"""),"Durante lo corrido del año 2022 en el polígono de monitoreo 48, conocido como La Cecilia, se realizaron 7 actividades de IVC y 6 desmontes de ocupaciones ilegales; frente a la demolición de las ocupaciones existentes, solo se pueden realizar por orden de "&amp;"Policía a través de los fallos de los IAP. Durante los años 2020 y 2021, no se tiene conocimiento de ningún fallo expedido por estas inspecciones.
Para el 2023, en materia de avance, el 17 de marzo se realizó una reunión con el nuevo director de la caja "&amp;"de la vivienda popular y con inspección vigilancia y control de vivienda de la Secretaría Distrital del Hábitat, con el fin de adelantar las acciones para estos sectores y se llegó a la conclusión de que sobre el sector de Malvinas se requiere de actualiz"&amp;"ación cartográfica para confirmar los predios pendientes de entrega y compra a cargo de la entidad; para el sector Nueva Roma, están a la espera de la entrega de los predios pendientes por parte de la CVP la cual ha avanzado en los procesos de reasentamie"&amp;"nto pendiente y a la fecha, están pendientes por cierre 3 de 44.
Finalmente, en el marco de la calamidad pública decretada e 2022, el alcalde Local de San Cristóbal solicitó la inclusión de estos polígonos en los prioritarios para la recuperación en el m"&amp;"arco la estrategia y el plan de acción de la calamidad.
")</f>
        <v xml:space="preserve">Durante lo corrido del año 2022 en el polígono de monitoreo 48, conocido como La Cecilia, se realizaron 7 actividades de IVC y 6 desmontes de ocupaciones ilegales; frente a la demolición de las ocupaciones existentes, solo se pueden realizar por orden de Policía a través de los fallos de los IAP. Durante los años 2020 y 2021, no se tiene conocimiento de ningún fallo expedido por estas inspecciones.
Para el 2023, en materia de avance, el 17 de marzo se realizó una reunión con el nuevo director de la caja de la vivienda popular y con inspección vigilancia y control de vivienda de la Secretaría Distrital del Hábitat, con el fin de adelantar las acciones para estos sectores y se llegó a la conclusión de que sobre el sector de Malvinas se requiere de actualización cartográfica para confirmar los predios pendientes de entrega y compra a cargo de la entidad; para el sector Nueva Roma, están a la espera de la entrega de los predios pendientes por parte de la CVP la cual ha avanzado en los procesos de reasentamiento pendiente y a la fecha, están pendientes por cierre 3 de 44.
Finalmente, en el marco de la calamidad pública decretada e 2022, el alcalde Local de San Cristóbal solicitó la inclusión de estos polígonos en los prioritarios para la recuperación en el marco la estrategia y el plan de acción de la calamidad.
</v>
      </c>
      <c r="N1554" s="55">
        <f ca="1">IFERROR(__xludf.DUMMYFUNCTION("""COMPUTED_VALUE"""),44726)</f>
        <v>44726</v>
      </c>
      <c r="O1554" s="25" t="str">
        <f t="shared" ca="1" si="0"/>
        <v>Secretaría Distrital de Gobierno</v>
      </c>
      <c r="P1554" s="25" t="str">
        <f t="shared" si="2"/>
        <v/>
      </c>
      <c r="Q1554" s="25" t="str">
        <f ca="1">IFERROR(__xludf.DUMMYFUNCTION("""COMPUTED_VALUE"""),"Corto plazo")</f>
        <v>Corto plazo</v>
      </c>
      <c r="R1554" s="25"/>
      <c r="S1554" s="55"/>
      <c r="T1554" s="56"/>
      <c r="U1554" s="25"/>
      <c r="V1554" s="25"/>
      <c r="W1554" s="25"/>
      <c r="X1554" s="25"/>
      <c r="Y1554" s="25"/>
      <c r="Z1554" s="25"/>
    </row>
    <row r="1555" spans="1:26" ht="52.5" customHeight="1" x14ac:dyDescent="0.25">
      <c r="A1555" s="25" t="str">
        <f ca="1">IFERROR(__xludf.DUMMYFUNCTION("""COMPUTED_VALUE"""),"Gobie53")</f>
        <v>Gobie53</v>
      </c>
      <c r="B1555" s="25" t="str">
        <f ca="1">IFERROR(__xludf.DUMMYFUNCTION("""COMPUTED_VALUE"""),"Despachando Mebog ")</f>
        <v xml:space="preserve">Despachando Mebog </v>
      </c>
      <c r="C1555" s="55">
        <f ca="1">IFERROR(__xludf.DUMMYFUNCTION("""COMPUTED_VALUE"""),44518)</f>
        <v>44518</v>
      </c>
      <c r="D1555" s="25" t="str">
        <f ca="1">IFERROR(__xludf.DUMMYFUNCTION("""COMPUTED_VALUE"""),"Gobierno")</f>
        <v>Gobierno</v>
      </c>
      <c r="E1555" s="25" t="str">
        <f ca="1">IFERROR(__xludf.DUMMYFUNCTION("""COMPUTED_VALUE"""),"Secretaría Distrital de Gobierno")</f>
        <v>Secretaría Distrital de Gobierno</v>
      </c>
      <c r="F1555" s="25" t="str">
        <f ca="1">IFERROR(__xludf.DUMMYFUNCTION("""COMPUTED_VALUE"""),"Definir cómo abordar las fiestas clandestinas que se están realizando en casas privadas en Colmena y Bello Horizonte. Lo anterior por situaciones relacionadas con trata de personas, menores de edad en situación de prostitución, entre otras.")</f>
        <v>Definir cómo abordar las fiestas clandestinas que se están realizando en casas privadas en Colmena y Bello Horizonte. Lo anterior por situaciones relacionadas con trata de personas, menores de edad en situación de prostitución, entre otras.</v>
      </c>
      <c r="G1555" s="55" t="str">
        <f ca="1">IFERROR(__xludf.DUMMYFUNCTION("""COMPUTED_VALUE"""),"04. San Cristóbal")</f>
        <v>04. San Cristóbal</v>
      </c>
      <c r="H1555" s="55">
        <f ca="1">IFERROR(__xludf.DUMMYFUNCTION("""COMPUTED_VALUE"""),44548)</f>
        <v>44548</v>
      </c>
      <c r="I1555" s="25"/>
      <c r="J1555" s="55" t="str">
        <f ca="1">IFERROR(__xludf.DUMMYFUNCTION("""COMPUTED_VALUE"""),"Alta")</f>
        <v>Alta</v>
      </c>
      <c r="K1555" s="25">
        <f ca="1">IFERROR(__xludf.DUMMYFUNCTION("""COMPUTED_VALUE"""),30)</f>
        <v>30</v>
      </c>
      <c r="L1555" s="62">
        <f ca="1">IFERROR(__xludf.DUMMYFUNCTION("""COMPUTED_VALUE"""),44715)</f>
        <v>44715</v>
      </c>
      <c r="M1555" s="25" t="str">
        <f ca="1">IFERROR(__xludf.DUMMYFUNCTION("""COMPUTED_VALUE"""),"En el sector de La Colmena y Bello Horizonte en 2021, se realizaron 10 operativos inspección vigilancia y control en los cuales se ha evidenciado venta y consumo de bebidas embriagantes. 
De lo anterior, tanto en Bello Horizonte como en el barrio Colmena"&amp;" se procedió a realizar cierre preventivo e imposición de medida correctiva a las personas que fomentaban dichas actividades y al local donde se evidenció la problemática. Posteriormente se dio traslado a la Inspección de Policía de la localidad para dar "&amp;"inicio al proceso formal del cierre definitivo del establecimiento el cual entró en vigencia desde el 2022 año desde el cual se encuentra cerrado.
")</f>
        <v xml:space="preserve">En el sector de La Colmena y Bello Horizonte en 2021, se realizaron 10 operativos inspección vigilancia y control en los cuales se ha evidenciado venta y consumo de bebidas embriagantes. 
De lo anterior, tanto en Bello Horizonte como en el barrio Colmena se procedió a realizar cierre preventivo e imposición de medida correctiva a las personas que fomentaban dichas actividades y al local donde se evidenció la problemática. Posteriormente se dio traslado a la Inspección de Policía de la localidad para dar inicio al proceso formal del cierre definitivo del establecimiento el cual entró en vigencia desde el 2022 año desde el cual se encuentra cerrado.
</v>
      </c>
      <c r="N1555" s="55">
        <f ca="1">IFERROR(__xludf.DUMMYFUNCTION("""COMPUTED_VALUE"""),44715)</f>
        <v>44715</v>
      </c>
      <c r="O1555" s="25" t="str">
        <f t="shared" ca="1" si="0"/>
        <v>Secretaría Distrital de Gobierno</v>
      </c>
      <c r="P1555" s="25" t="str">
        <f t="shared" si="2"/>
        <v/>
      </c>
      <c r="Q1555" s="25" t="str">
        <f ca="1">IFERROR(__xludf.DUMMYFUNCTION("""COMPUTED_VALUE"""),"Corto plazo")</f>
        <v>Corto plazo</v>
      </c>
      <c r="R1555" s="25"/>
      <c r="S1555" s="55"/>
      <c r="T1555" s="56"/>
      <c r="U1555" s="25"/>
      <c r="V1555" s="25"/>
      <c r="W1555" s="25"/>
      <c r="X1555" s="25"/>
      <c r="Y1555" s="25"/>
      <c r="Z1555" s="25"/>
    </row>
    <row r="1556" spans="1:26" ht="52.5" customHeight="1" x14ac:dyDescent="0.25">
      <c r="A1556" s="25" t="str">
        <f ca="1">IFERROR(__xludf.DUMMYFUNCTION("""COMPUTED_VALUE"""),"Gobie54")</f>
        <v>Gobie54</v>
      </c>
      <c r="B1556" s="25" t="str">
        <f ca="1">IFERROR(__xludf.DUMMYFUNCTION("""COMPUTED_VALUE"""),"Despachando Mebog ")</f>
        <v xml:space="preserve">Despachando Mebog </v>
      </c>
      <c r="C1556" s="55">
        <f ca="1">IFERROR(__xludf.DUMMYFUNCTION("""COMPUTED_VALUE"""),44518)</f>
        <v>44518</v>
      </c>
      <c r="D1556" s="25" t="str">
        <f ca="1">IFERROR(__xludf.DUMMYFUNCTION("""COMPUTED_VALUE"""),"Gobierno")</f>
        <v>Gobierno</v>
      </c>
      <c r="E1556" s="25" t="str">
        <f ca="1">IFERROR(__xludf.DUMMYFUNCTION("""COMPUTED_VALUE"""),"Secretaría Distrital de Gobierno")</f>
        <v>Secretaría Distrital de Gobierno</v>
      </c>
      <c r="F1556" s="25" t="str">
        <f ca="1">IFERROR(__xludf.DUMMYFUNCTION("""COMPUTED_VALUE"""),"Fortalecer la presencia institucional para generar mayor percepción de seguridad en los alrededores del puente de Yomasa")</f>
        <v>Fortalecer la presencia institucional para generar mayor percepción de seguridad en los alrededores del puente de Yomasa</v>
      </c>
      <c r="G1556" s="55" t="str">
        <f ca="1">IFERROR(__xludf.DUMMYFUNCTION("""COMPUTED_VALUE"""),"05. Usme")</f>
        <v>05. Usme</v>
      </c>
      <c r="H1556" s="55">
        <f ca="1">IFERROR(__xludf.DUMMYFUNCTION("""COMPUTED_VALUE"""),44548)</f>
        <v>44548</v>
      </c>
      <c r="I1556" s="25"/>
      <c r="J1556" s="55" t="str">
        <f ca="1">IFERROR(__xludf.DUMMYFUNCTION("""COMPUTED_VALUE"""),"Alta")</f>
        <v>Alta</v>
      </c>
      <c r="K1556" s="25">
        <f ca="1">IFERROR(__xludf.DUMMYFUNCTION("""COMPUTED_VALUE"""),30)</f>
        <v>30</v>
      </c>
      <c r="L1556" s="62">
        <f ca="1">IFERROR(__xludf.DUMMYFUNCTION("""COMPUTED_VALUE"""),44726)</f>
        <v>44726</v>
      </c>
      <c r="M1556" s="25" t="str">
        <f ca="1">IFERROR(__xludf.DUMMYFUNCTION("""COMPUTED_VALUE"""),"Se solicita cierre ya que se trata de una actividad permanente: Se han realizado IVC en establecimientos de comercio del entorno, recuperación de espacio público, se siembran árboles y se hace embellecimiento del espacio. Se realizaron 3 jornadas de marca"&amp;"ción de bicicletas 
Durante el pico más alto de la pandemia se realizó control a viicusuarios informándoles sobre los contagios del COVID 19, dándoles a conocer las forma de denuncia y la prevención para no ser víctimas de hurto 
-Prevención a hurtos a lo"&amp;"s viajeros que se dirigen hacia Villavicencio
-Presencia de la policía en el denominado cruce de Yomasa Av Caracas con autopista al llano 
Con la estación quinta de policía y la policía de tránsito se han coordinado presencia en el cruce de Yomasa con el "&amp;"fin de prevenir la comisión de hechos delictivos.
Sobre la ronda de la quebrada Yomasa se han realizado acciones de prevención y atención a ciudadanos habitantes de calle quienes se les han dado conocer las rutas de atención y centro de atención para la h"&amp;"abitabilidad en calle y la ubicación de la subdirección de integración social para que accedan a los servicios y con el programa de habitabilidad en calle se realizaron dos caracterizaciones de los habitantes de calle en especial los de la ronda de la que"&amp;"brada")</f>
        <v>Se solicita cierre ya que se trata de una actividad permanente: Se han realizado IVC en establecimientos de comercio del entorno, recuperación de espacio público, se siembran árboles y se hace embellecimiento del espacio. Se realizaron 3 jornadas de marcación de bicicletas 
Durante el pico más alto de la pandemia se realizó control a viicusuarios informándoles sobre los contagios del COVID 19, dándoles a conocer las forma de denuncia y la prevención para no ser víctimas de hurto 
-Prevención a hurtos a los viajeros que se dirigen hacia Villavicencio
-Presencia de la policía en el denominado cruce de Yomasa Av Caracas con autopista al llano 
Con la estación quinta de policía y la policía de tránsito se han coordinado presencia en el cruce de Yomasa con el fin de prevenir la comisión de hechos delictivos.
Sobre la ronda de la quebrada Yomasa se han realizado acciones de prevención y atención a ciudadanos habitantes de calle quienes se les han dado conocer las rutas de atención y centro de atención para la habitabilidad en calle y la ubicación de la subdirección de integración social para que accedan a los servicios y con el programa de habitabilidad en calle se realizaron dos caracterizaciones de los habitantes de calle en especial los de la ronda de la quebrada</v>
      </c>
      <c r="N1556" s="55">
        <f ca="1">IFERROR(__xludf.DUMMYFUNCTION("""COMPUTED_VALUE"""),44726)</f>
        <v>44726</v>
      </c>
      <c r="O1556" s="25" t="str">
        <f t="shared" ca="1" si="0"/>
        <v>Secretaría Distrital de Gobierno</v>
      </c>
      <c r="P1556" s="25" t="str">
        <f t="shared" si="2"/>
        <v/>
      </c>
      <c r="Q1556" s="25" t="str">
        <f ca="1">IFERROR(__xludf.DUMMYFUNCTION("""COMPUTED_VALUE"""),"Corto plazo")</f>
        <v>Corto plazo</v>
      </c>
      <c r="R1556" s="25"/>
      <c r="S1556" s="55"/>
      <c r="T1556" s="56"/>
      <c r="U1556" s="25"/>
      <c r="V1556" s="25"/>
      <c r="W1556" s="25"/>
      <c r="X1556" s="25"/>
      <c r="Y1556" s="25"/>
      <c r="Z1556" s="25"/>
    </row>
    <row r="1557" spans="1:26" ht="52.5" customHeight="1" x14ac:dyDescent="0.25">
      <c r="A1557" s="25" t="str">
        <f ca="1">IFERROR(__xludf.DUMMYFUNCTION("""COMPUTED_VALUE"""),"Gobie55")</f>
        <v>Gobie55</v>
      </c>
      <c r="B1557" s="25" t="str">
        <f ca="1">IFERROR(__xludf.DUMMYFUNCTION("""COMPUTED_VALUE"""),"Despachando Mebog ")</f>
        <v xml:space="preserve">Despachando Mebog </v>
      </c>
      <c r="C1557" s="55">
        <f ca="1">IFERROR(__xludf.DUMMYFUNCTION("""COMPUTED_VALUE"""),44518)</f>
        <v>44518</v>
      </c>
      <c r="D1557" s="25" t="str">
        <f ca="1">IFERROR(__xludf.DUMMYFUNCTION("""COMPUTED_VALUE"""),"Gobierno")</f>
        <v>Gobierno</v>
      </c>
      <c r="E1557" s="25" t="str">
        <f ca="1">IFERROR(__xludf.DUMMYFUNCTION("""COMPUTED_VALUE"""),"Secretaría Distrital de Gobierno")</f>
        <v>Secretaría Distrital de Gobierno</v>
      </c>
      <c r="F1557" s="25" t="str">
        <f ca="1">IFERROR(__xludf.DUMMYFUNCTION("""COMPUTED_VALUE"""),"Revisar la posibilidad de generar un acercamiento al canal de Los Ángeles debido a la situación con los carreteros")</f>
        <v>Revisar la posibilidad de generar un acercamiento al canal de Los Ángeles debido a la situación con los carreteros</v>
      </c>
      <c r="G1557" s="55" t="str">
        <f ca="1">IFERROR(__xludf.DUMMYFUNCTION("""COMPUTED_VALUE"""),"10. Engativá")</f>
        <v>10. Engativá</v>
      </c>
      <c r="H1557" s="55">
        <f ca="1">IFERROR(__xludf.DUMMYFUNCTION("""COMPUTED_VALUE"""),44548)</f>
        <v>44548</v>
      </c>
      <c r="I1557" s="25"/>
      <c r="J1557" s="55" t="str">
        <f ca="1">IFERROR(__xludf.DUMMYFUNCTION("""COMPUTED_VALUE"""),"Alta")</f>
        <v>Alta</v>
      </c>
      <c r="K1557" s="25">
        <f ca="1">IFERROR(__xludf.DUMMYFUNCTION("""COMPUTED_VALUE"""),30)</f>
        <v>30</v>
      </c>
      <c r="L1557" s="62">
        <f ca="1">IFERROR(__xludf.DUMMYFUNCTION("""COMPUTED_VALUE"""),44726)</f>
        <v>44726</v>
      </c>
      <c r="M1557" s="25" t="str">
        <f ca="1">IFERROR(__xludf.DUMMYFUNCTION("""COMPUTED_VALUE"""),"En el año 2021 la alcaldía local de Engativá hizo las intervenciones requeridas con las demás entidades. El FDL informa que DADEP y las entidades distritales refieren que no se tienen agendadas otras intervenciones.
El DADEP oficiara a la Alcaldía Local "&amp;"de Engativá con el objeto de atender este requerimiento.")</f>
        <v>En el año 2021 la alcaldía local de Engativá hizo las intervenciones requeridas con las demás entidades. El FDL informa que DADEP y las entidades distritales refieren que no se tienen agendadas otras intervenciones.
El DADEP oficiara a la Alcaldía Local de Engativá con el objeto de atender este requerimiento.</v>
      </c>
      <c r="N1557" s="55">
        <f ca="1">IFERROR(__xludf.DUMMYFUNCTION("""COMPUTED_VALUE"""),44726)</f>
        <v>44726</v>
      </c>
      <c r="O1557" s="25" t="str">
        <f t="shared" ca="1" si="0"/>
        <v>Secretaría Distrital de Gobierno</v>
      </c>
      <c r="P1557" s="25" t="str">
        <f t="shared" si="2"/>
        <v/>
      </c>
      <c r="Q1557" s="25" t="str">
        <f ca="1">IFERROR(__xludf.DUMMYFUNCTION("""COMPUTED_VALUE"""),"Corto plazo")</f>
        <v>Corto plazo</v>
      </c>
      <c r="R1557" s="25"/>
      <c r="S1557" s="55"/>
      <c r="T1557" s="56"/>
      <c r="U1557" s="25"/>
      <c r="V1557" s="25"/>
      <c r="W1557" s="25"/>
      <c r="X1557" s="25"/>
      <c r="Y1557" s="25"/>
      <c r="Z1557" s="25"/>
    </row>
    <row r="1558" spans="1:26" ht="52.5" customHeight="1" x14ac:dyDescent="0.25">
      <c r="A1558" s="25" t="str">
        <f ca="1">IFERROR(__xludf.DUMMYFUNCTION("""COMPUTED_VALUE"""),"Gobie56")</f>
        <v>Gobie56</v>
      </c>
      <c r="B1558" s="25" t="str">
        <f ca="1">IFERROR(__xludf.DUMMYFUNCTION("""COMPUTED_VALUE"""),"Despachando Mebog ")</f>
        <v xml:space="preserve">Despachando Mebog </v>
      </c>
      <c r="C1558" s="55">
        <f ca="1">IFERROR(__xludf.DUMMYFUNCTION("""COMPUTED_VALUE"""),44518)</f>
        <v>44518</v>
      </c>
      <c r="D1558" s="25" t="str">
        <f ca="1">IFERROR(__xludf.DUMMYFUNCTION("""COMPUTED_VALUE"""),"Gobierno")</f>
        <v>Gobierno</v>
      </c>
      <c r="E1558" s="25" t="str">
        <f ca="1">IFERROR(__xludf.DUMMYFUNCTION("""COMPUTED_VALUE"""),"Secretaría Distrital de Gobierno")</f>
        <v>Secretaría Distrital de Gobierno</v>
      </c>
      <c r="F1558" s="25" t="str">
        <f ca="1">IFERROR(__xludf.DUMMYFUNCTION("""COMPUTED_VALUE"""),"Mejorar el manejo de espacio público en las zonas del Chorro de Quevedo y de la 7")</f>
        <v>Mejorar el manejo de espacio público en las zonas del Chorro de Quevedo y de la 7</v>
      </c>
      <c r="G1558" s="55" t="str">
        <f ca="1">IFERROR(__xludf.DUMMYFUNCTION("""COMPUTED_VALUE"""),"17. La Candelaria")</f>
        <v>17. La Candelaria</v>
      </c>
      <c r="H1558" s="55">
        <f ca="1">IFERROR(__xludf.DUMMYFUNCTION("""COMPUTED_VALUE"""),44548)</f>
        <v>44548</v>
      </c>
      <c r="I1558" s="25"/>
      <c r="J1558" s="55" t="str">
        <f ca="1">IFERROR(__xludf.DUMMYFUNCTION("""COMPUTED_VALUE"""),"Alta")</f>
        <v>Alta</v>
      </c>
      <c r="K1558" s="25">
        <f ca="1">IFERROR(__xludf.DUMMYFUNCTION("""COMPUTED_VALUE"""),30)</f>
        <v>30</v>
      </c>
      <c r="L1558" s="62">
        <f ca="1">IFERROR(__xludf.DUMMYFUNCTION("""COMPUTED_VALUE"""),44715)</f>
        <v>44715</v>
      </c>
      <c r="M1558" s="25" t="str">
        <f ca="1">IFERROR(__xludf.DUMMYFUNCTION("""COMPUTED_VALUE"""),"En noviembre de 2021 se presentaron ofertas institucionales a los vendedores informales, con el fin de retirar del espacio público a los vendedores de chicha. Como resultado de esta actividad se controló el expendio de esta bebida en el espacio público. A"&amp;"dicionalmente se decretó la prohibición a los establecimientos de comercio sobre el uso de jaladores y pregoneros. Frente a esta prohibición se realizó el cierre voluntario de un establecimiento en el mes de diciembre de 2021. El día 10 de diciembre de 20"&amp;"21, se adelantó operativo de organización del espacio público. Finalmente, en coordinación con el IPES se adelantó la feria navideña ""Ruta del Maíz"" mediante la cual se ha gestado una oferta institucional para diferentes actores del espacio público. La "&amp;"feria se desarrolla desde el 18 de noviembre hasta el 30 de diciembre de 2021.
La DGP se reunió con funcionarios de la Defensoría del espacio público, quienes informaron de la expedición del Decreto 070 del 2022, para esto, dicha entidad se comprometió a"&amp;" realizar una solicitud de priorización específicamente del sector del Chorro de Quevedo que va a ser el piloto de Cielo Abierto 2.0 donde deberán expedir los actos administrativos correspondientes que permitan el aprovechamiento del espacio público. Así "&amp;"las cosas, el control por parte de las inspecciones de policía podrá iniciar a partir del 02 de julio previa solicitud de la Defensoría del Espacio Público. 
")</f>
        <v xml:space="preserve">En noviembre de 2021 se presentaron ofertas institucionales a los vendedores informales, con el fin de retirar del espacio público a los vendedores de chicha. Como resultado de esta actividad se controló el expendio de esta bebida en el espacio público. Adicionalmente se decretó la prohibición a los establecimientos de comercio sobre el uso de jaladores y pregoneros. Frente a esta prohibición se realizó el cierre voluntario de un establecimiento en el mes de diciembre de 2021. El día 10 de diciembre de 2021, se adelantó operativo de organización del espacio público. Finalmente, en coordinación con el IPES se adelantó la feria navideña "Ruta del Maíz" mediante la cual se ha gestado una oferta institucional para diferentes actores del espacio público. La feria se desarrolla desde el 18 de noviembre hasta el 30 de diciembre de 2021.
La DGP se reunió con funcionarios de la Defensoría del espacio público, quienes informaron de la expedición del Decreto 070 del 2022, para esto, dicha entidad se comprometió a realizar una solicitud de priorización específicamente del sector del Chorro de Quevedo que va a ser el piloto de Cielo Abierto 2.0 donde deberán expedir los actos administrativos correspondientes que permitan el aprovechamiento del espacio público. Así las cosas, el control por parte de las inspecciones de policía podrá iniciar a partir del 02 de julio previa solicitud de la Defensoría del Espacio Público. 
</v>
      </c>
      <c r="N1558" s="55">
        <f ca="1">IFERROR(__xludf.DUMMYFUNCTION("""COMPUTED_VALUE"""),44715)</f>
        <v>44715</v>
      </c>
      <c r="O1558" s="25" t="str">
        <f t="shared" ca="1" si="0"/>
        <v>Secretaría Distrital de Gobierno</v>
      </c>
      <c r="P1558" s="25" t="str">
        <f t="shared" si="2"/>
        <v/>
      </c>
      <c r="Q1558" s="25" t="str">
        <f ca="1">IFERROR(__xludf.DUMMYFUNCTION("""COMPUTED_VALUE"""),"Corto plazo")</f>
        <v>Corto plazo</v>
      </c>
      <c r="R1558" s="25"/>
      <c r="S1558" s="55"/>
      <c r="T1558" s="56"/>
      <c r="U1558" s="25"/>
      <c r="V1558" s="25"/>
      <c r="W1558" s="25"/>
      <c r="X1558" s="25"/>
      <c r="Y1558" s="25"/>
      <c r="Z1558" s="25"/>
    </row>
    <row r="1559" spans="1:26" ht="52.5" customHeight="1" x14ac:dyDescent="0.25">
      <c r="A1559" s="25" t="str">
        <f ca="1">IFERROR(__xludf.DUMMYFUNCTION("""COMPUTED_VALUE"""),"Gobie57")</f>
        <v>Gobie57</v>
      </c>
      <c r="B1559" s="25" t="str">
        <f ca="1">IFERROR(__xludf.DUMMYFUNCTION("""COMPUTED_VALUE"""),"Despachando Mebog ")</f>
        <v xml:space="preserve">Despachando Mebog </v>
      </c>
      <c r="C1559" s="55">
        <f ca="1">IFERROR(__xludf.DUMMYFUNCTION("""COMPUTED_VALUE"""),44518)</f>
        <v>44518</v>
      </c>
      <c r="D1559" s="25" t="str">
        <f ca="1">IFERROR(__xludf.DUMMYFUNCTION("""COMPUTED_VALUE"""),"Gobierno")</f>
        <v>Gobierno</v>
      </c>
      <c r="E1559" s="25" t="str">
        <f ca="1">IFERROR(__xludf.DUMMYFUNCTION("""COMPUTED_VALUE"""),"Secretaría Distrital de Gobierno")</f>
        <v>Secretaría Distrital de Gobierno</v>
      </c>
      <c r="F1559" s="25" t="str">
        <f ca="1">IFERROR(__xludf.DUMMYFUNCTION("""COMPUTED_VALUE"""),"Mejorar lo concerniente a la recuperación del espacio público sobre la carrera 13")</f>
        <v>Mejorar lo concerniente a la recuperación del espacio público sobre la carrera 13</v>
      </c>
      <c r="G1559" s="55" t="str">
        <f ca="1">IFERROR(__xludf.DUMMYFUNCTION("""COMPUTED_VALUE"""),"02. Chapinero")</f>
        <v>02. Chapinero</v>
      </c>
      <c r="H1559" s="55">
        <f ca="1">IFERROR(__xludf.DUMMYFUNCTION("""COMPUTED_VALUE"""),44548)</f>
        <v>44548</v>
      </c>
      <c r="I1559" s="25"/>
      <c r="J1559" s="55" t="str">
        <f ca="1">IFERROR(__xludf.DUMMYFUNCTION("""COMPUTED_VALUE"""),"Alta")</f>
        <v>Alta</v>
      </c>
      <c r="K1559" s="25">
        <f ca="1">IFERROR(__xludf.DUMMYFUNCTION("""COMPUTED_VALUE"""),30)</f>
        <v>30</v>
      </c>
      <c r="L1559" s="62">
        <f ca="1">IFERROR(__xludf.DUMMYFUNCTION("""COMPUTED_VALUE"""),44726)</f>
        <v>44726</v>
      </c>
      <c r="M1559" s="25" t="str">
        <f ca="1">IFERROR(__xludf.DUMMYFUNCTION("""COMPUTED_VALUE"""),"Constantemente la Alcaldía Local de Chapinero viene adelantando operativos de IVC espacio público para el control de vendedores informales, extensión económica y domiciliarios, operativos realizados desde la Calle 40 con Carrera 13 hasta la Calle 69 con C"&amp;"arrera 13 (Plaza de las Flores).
Se han llevado a cabo aproximadamente alrededor de 50 operativos en el corredor de la carrera 13.
Es importante resaltar que conforme a las Funciones investidas en el alcalde local se realiza: Operativos de sensibilizaci"&amp;"ón sobre ocupación indebida de espacio público, por parte de domiciliarios y la aplicación del Decreto 082 del año 2021, atendiendo problemáticas reportadas por la comunidad.
94 actividades
2.300 metros recuperados en la zona
Coordinación interinstitucio"&amp;"nal de acompañamiento con el Instituto para la Economía Social “IPES” para la realización de Operativos de Inspección, Vigilancia y Control; en sectores con ocupación de ventas informales, así como la respectiva actualización de la información relacionada"&amp;" con la situación de vendedores. 
Conforme a lo anterior, la Administración se articula con IPES o DADEP dependiendo de la actividad a realizar de igual modo se ha propendido por realizar sensibilizaciones y por el Diálogo con los vendedores informales.
"&amp;"Se realizaron reuniones de concertación y autorregulación con el Consejo Local de Vendedores Informales, en búsqueda de la autorregulación y la concertación.
Así como una reunión que se sostuvo con el director del IPES, para concertar acciones relacionada"&amp;"s a la organización de los vendedores informales, en la Calle 13.")</f>
        <v>Constantemente la Alcaldía Local de Chapinero viene adelantando operativos de IVC espacio público para el control de vendedores informales, extensión económica y domiciliarios, operativos realizados desde la Calle 40 con Carrera 13 hasta la Calle 69 con Carrera 13 (Plaza de las Flores).
Se han llevado a cabo aproximadamente alrededor de 50 operativos en el corredor de la carrera 13.
Es importante resaltar que conforme a las Funciones investidas en el alcalde local se realiza: Operativos de sensibilización sobre ocupación indebida de espacio público, por parte de domiciliarios y la aplicación del Decreto 082 del año 2021, atendiendo problemáticas reportadas por la comunidad.
94 actividades
2.300 metros recuperados en la zona
Coordinación interinstitucional de acompañamiento con el Instituto para la Economía Social “IPES” para la realización de Operativos de Inspección, Vigilancia y Control; en sectores con ocupación de ventas informales, así como la respectiva actualización de la información relacionada con la situación de vendedores. 
Conforme a lo anterior, la Administración se articula con IPES o DADEP dependiendo de la actividad a realizar de igual modo se ha propendido por realizar sensibilizaciones y por el Diálogo con los vendedores informales.
Se realizaron reuniones de concertación y autorregulación con el Consejo Local de Vendedores Informales, en búsqueda de la autorregulación y la concertación.
Así como una reunión que se sostuvo con el director del IPES, para concertar acciones relacionadas a la organización de los vendedores informales, en la Calle 13.</v>
      </c>
      <c r="N1559" s="55">
        <f ca="1">IFERROR(__xludf.DUMMYFUNCTION("""COMPUTED_VALUE"""),44726)</f>
        <v>44726</v>
      </c>
      <c r="O1559" s="25" t="str">
        <f t="shared" ca="1" si="0"/>
        <v>Secretaría Distrital de Gobierno</v>
      </c>
      <c r="P1559" s="25" t="str">
        <f t="shared" si="2"/>
        <v/>
      </c>
      <c r="Q1559" s="25" t="str">
        <f ca="1">IFERROR(__xludf.DUMMYFUNCTION("""COMPUTED_VALUE"""),"Corto plazo")</f>
        <v>Corto plazo</v>
      </c>
      <c r="R1559" s="25"/>
      <c r="S1559" s="55"/>
      <c r="T1559" s="56"/>
      <c r="U1559" s="25"/>
      <c r="V1559" s="25"/>
      <c r="W1559" s="25"/>
      <c r="X1559" s="25"/>
      <c r="Y1559" s="25"/>
      <c r="Z1559" s="25"/>
    </row>
    <row r="1560" spans="1:26" ht="52.5" customHeight="1" x14ac:dyDescent="0.25">
      <c r="A1560" s="25" t="str">
        <f ca="1">IFERROR(__xludf.DUMMYFUNCTION("""COMPUTED_VALUE"""),"Gobie58")</f>
        <v>Gobie58</v>
      </c>
      <c r="B1560" s="25" t="str">
        <f ca="1">IFERROR(__xludf.DUMMYFUNCTION("""COMPUTED_VALUE"""),"Despachando Mebog ")</f>
        <v xml:space="preserve">Despachando Mebog </v>
      </c>
      <c r="C1560" s="55">
        <f ca="1">IFERROR(__xludf.DUMMYFUNCTION("""COMPUTED_VALUE"""),44518)</f>
        <v>44518</v>
      </c>
      <c r="D1560" s="25" t="str">
        <f ca="1">IFERROR(__xludf.DUMMYFUNCTION("""COMPUTED_VALUE"""),"Gobierno")</f>
        <v>Gobierno</v>
      </c>
      <c r="E1560" s="25" t="str">
        <f ca="1">IFERROR(__xludf.DUMMYFUNCTION("""COMPUTED_VALUE"""),"Secretaría Distrital de Gobierno")</f>
        <v>Secretaría Distrital de Gobierno</v>
      </c>
      <c r="F1560" s="25" t="str">
        <f ca="1">IFERROR(__xludf.DUMMYFUNCTION("""COMPUTED_VALUE"""),"Garantizar con los inspectores el cierre y el sellamiento de las ocupaciones ilegales en la localidad")</f>
        <v>Garantizar con los inspectores el cierre y el sellamiento de las ocupaciones ilegales en la localidad</v>
      </c>
      <c r="G1560" s="55" t="str">
        <f ca="1">IFERROR(__xludf.DUMMYFUNCTION("""COMPUTED_VALUE"""),"02. Chapinero")</f>
        <v>02. Chapinero</v>
      </c>
      <c r="H1560" s="55">
        <f ca="1">IFERROR(__xludf.DUMMYFUNCTION("""COMPUTED_VALUE"""),44548)</f>
        <v>44548</v>
      </c>
      <c r="I1560" s="25"/>
      <c r="J1560" s="55" t="str">
        <f ca="1">IFERROR(__xludf.DUMMYFUNCTION("""COMPUTED_VALUE"""),"Alta")</f>
        <v>Alta</v>
      </c>
      <c r="K1560" s="25">
        <f ca="1">IFERROR(__xludf.DUMMYFUNCTION("""COMPUTED_VALUE"""),30)</f>
        <v>30</v>
      </c>
      <c r="L1560" s="62">
        <f ca="1">IFERROR(__xludf.DUMMYFUNCTION("""COMPUTED_VALUE"""),44715)</f>
        <v>44715</v>
      </c>
      <c r="M1560" s="25" t="str">
        <f ca="1">IFERROR(__xludf.DUMMYFUNCTION("""COMPUTED_VALUE"""),"Se solicitará al Alcalde Local la verificación de las ocupaciones ilegales para que los inspectores de la localidad realicen los trámites pertinentes y adelante los procesos. Adicionalmente, el Alcalde de la localidad podrá solicitar la priorización al Se"&amp;"cretario de Gobierno para que los inspectores de policía de la localidad tramiten de manera prioritaria los expedientes relacionados con las ocupaciones ilegales en Chapinero.
En cuanto a las ocupaciones ilegales en los cerros orientales, estas son adela"&amp;"ntadas por las 7 inspecciones de policía de atención prioritaria (Inspecciones del nivel central). Por su parte, se realizan operativos de inspección, vigilancia y control en el marco de la Estrategia de Control a Ocupaciones Ilegales en la Franja de Adec"&amp;"uación de los Cerros Orientales y la Reserva Forestal Protectora Bosque Oriental de Bogotá la cual se ejecuta en articulación con las Alcaldías Locales.")</f>
        <v>Se solicitará al Alcalde Local la verificación de las ocupaciones ilegales para que los inspectores de la localidad realicen los trámites pertinentes y adelante los procesos. Adicionalmente, el Alcalde de la localidad podrá solicitar la priorización al Secretario de Gobierno para que los inspectores de policía de la localidad tramiten de manera prioritaria los expedientes relacionados con las ocupaciones ilegales en Chapinero.
En cuanto a las ocupaciones ilegales en los cerros orientales, estas son adelantadas por las 7 inspecciones de policía de atención prioritaria (Inspecciones del nivel central). Por su parte, se realizan operativos de inspección, vigilancia y control en el marco de la Estrategia de Control a Ocupaciones Ilegales en la Franja de Adecuación de los Cerros Orientales y la Reserva Forestal Protectora Bosque Oriental de Bogotá la cual se ejecuta en articulación con las Alcaldías Locales.</v>
      </c>
      <c r="N1560" s="55">
        <f ca="1">IFERROR(__xludf.DUMMYFUNCTION("""COMPUTED_VALUE"""),44715)</f>
        <v>44715</v>
      </c>
      <c r="O1560" s="25" t="str">
        <f t="shared" ca="1" si="0"/>
        <v>Secretaría Distrital de Gobierno</v>
      </c>
      <c r="P1560" s="25" t="str">
        <f t="shared" si="2"/>
        <v/>
      </c>
      <c r="Q1560" s="25" t="str">
        <f ca="1">IFERROR(__xludf.DUMMYFUNCTION("""COMPUTED_VALUE"""),"Corto plazo")</f>
        <v>Corto plazo</v>
      </c>
      <c r="R1560" s="25"/>
      <c r="S1560" s="55"/>
      <c r="T1560" s="56"/>
      <c r="U1560" s="25"/>
      <c r="V1560" s="25"/>
      <c r="W1560" s="25"/>
      <c r="X1560" s="25"/>
      <c r="Y1560" s="25"/>
      <c r="Z1560" s="25"/>
    </row>
    <row r="1561" spans="1:26" ht="52.5" customHeight="1" x14ac:dyDescent="0.25">
      <c r="A1561" s="25" t="str">
        <f ca="1">IFERROR(__xludf.DUMMYFUNCTION("""COMPUTED_VALUE"""),"Gobie59")</f>
        <v>Gobie59</v>
      </c>
      <c r="B1561" s="25" t="str">
        <f ca="1">IFERROR(__xludf.DUMMYFUNCTION("""COMPUTED_VALUE"""),"Despachando frentes de seguridad")</f>
        <v>Despachando frentes de seguridad</v>
      </c>
      <c r="C1561" s="55">
        <f ca="1">IFERROR(__xludf.DUMMYFUNCTION("""COMPUTED_VALUE"""),44459)</f>
        <v>44459</v>
      </c>
      <c r="D1561" s="25" t="str">
        <f ca="1">IFERROR(__xludf.DUMMYFUNCTION("""COMPUTED_VALUE"""),"Gobierno")</f>
        <v>Gobierno</v>
      </c>
      <c r="E1561" s="25" t="str">
        <f ca="1">IFERROR(__xludf.DUMMYFUNCTION("""COMPUTED_VALUE"""),"Alcaldía Local")</f>
        <v>Alcaldía Local</v>
      </c>
      <c r="F1561" s="25" t="str">
        <f ca="1">IFERROR(__xludf.DUMMYFUNCTION("""COMPUTED_VALUE"""),"La Alcaldía Local de San Cristobál debe solicitar al Idiger el concepto de ruina que permita demoler las casas de Montebello en San Cristòbal. ")</f>
        <v xml:space="preserve">La Alcaldía Local de San Cristobál debe solicitar al Idiger el concepto de ruina que permita demoler las casas de Montebello en San Cristòbal. </v>
      </c>
      <c r="G1561" s="25" t="str">
        <f ca="1">IFERROR(__xludf.DUMMYFUNCTION("""COMPUTED_VALUE"""),"04. San Cristóbal")</f>
        <v>04. San Cristóbal</v>
      </c>
      <c r="H1561" s="55">
        <f ca="1">IFERROR(__xludf.DUMMYFUNCTION("""COMPUTED_VALUE"""),44489)</f>
        <v>44489</v>
      </c>
      <c r="I1561" s="25"/>
      <c r="J1561" s="55" t="str">
        <f ca="1">IFERROR(__xludf.DUMMYFUNCTION("""COMPUTED_VALUE"""),"Alta")</f>
        <v>Alta</v>
      </c>
      <c r="K1561" s="25">
        <f ca="1">IFERROR(__xludf.DUMMYFUNCTION("""COMPUTED_VALUE"""),30)</f>
        <v>30</v>
      </c>
      <c r="L1561" s="62">
        <f ca="1">IFERROR(__xludf.DUMMYFUNCTION("""COMPUTED_VALUE"""),44499)</f>
        <v>44499</v>
      </c>
      <c r="M1561" s="25" t="str">
        <f ca="1">IFERROR(__xludf.DUMMYFUNCTION("""COMPUTED_VALUE"""),"En el transcurso del año 2021, 2022, se realizó la coordinación con el Instituto distrital de gestión de riesgos y cambio climático IDIGER para realizar la adecuación y demolición de predios sobre el sector de Montebello que habían sido objeto de reasenta"&amp;"miento. 
Para el caso del compromiso, no fue necesario el concepto de amenaza Ruina en términos de que según el concepto técnico de la zona indicaba la demolición de los mismos. 
Desde agosto de 2022 se encuentran demolidos, con acciones complementarias"&amp;" de cerramiento y jardinería y sin residuos especiales en el sector.
")</f>
        <v xml:space="preserve">En el transcurso del año 2021, 2022, se realizó la coordinación con el Instituto distrital de gestión de riesgos y cambio climático IDIGER para realizar la adecuación y demolición de predios sobre el sector de Montebello que habían sido objeto de reasentamiento. 
Para el caso del compromiso, no fue necesario el concepto de amenaza Ruina en términos de que según el concepto técnico de la zona indicaba la demolición de los mismos. 
Desde agosto de 2022 se encuentran demolidos, con acciones complementarias de cerramiento y jardinería y sin residuos especiales en el sector.
</v>
      </c>
      <c r="N1561" s="55">
        <f ca="1">IFERROR(__xludf.DUMMYFUNCTION("""COMPUTED_VALUE"""),44499)</f>
        <v>44499</v>
      </c>
      <c r="O1561" s="25" t="str">
        <f t="shared" ca="1" si="0"/>
        <v>Alcaldía Local</v>
      </c>
      <c r="P1561" s="25" t="str">
        <f t="shared" si="2"/>
        <v/>
      </c>
      <c r="Q1561" s="25" t="str">
        <f ca="1">IFERROR(__xludf.DUMMYFUNCTION("""COMPUTED_VALUE"""),"Corto plazo")</f>
        <v>Corto plazo</v>
      </c>
      <c r="R1561" s="25"/>
      <c r="S1561" s="55"/>
      <c r="T1561" s="56"/>
      <c r="U1561" s="25"/>
      <c r="V1561" s="25"/>
      <c r="W1561" s="25"/>
      <c r="X1561" s="25"/>
      <c r="Y1561" s="25"/>
      <c r="Z1561" s="25"/>
    </row>
    <row r="1562" spans="1:26" ht="52.5" customHeight="1" x14ac:dyDescent="0.25">
      <c r="A1562" s="25" t="str">
        <f ca="1">IFERROR(__xludf.DUMMYFUNCTION("""COMPUTED_VALUE"""),"Gobie60")</f>
        <v>Gobie60</v>
      </c>
      <c r="B1562" s="25" t="str">
        <f ca="1">IFERROR(__xludf.DUMMYFUNCTION("""COMPUTED_VALUE"""),"Recorrido Sumapaz")</f>
        <v>Recorrido Sumapaz</v>
      </c>
      <c r="C1562" s="55">
        <f ca="1">IFERROR(__xludf.DUMMYFUNCTION("""COMPUTED_VALUE"""),44450)</f>
        <v>44450</v>
      </c>
      <c r="D1562" s="25" t="str">
        <f ca="1">IFERROR(__xludf.DUMMYFUNCTION("""COMPUTED_VALUE"""),"Gobierno")</f>
        <v>Gobierno</v>
      </c>
      <c r="E1562" s="25" t="str">
        <f ca="1">IFERROR(__xludf.DUMMYFUNCTION("""COMPUTED_VALUE"""),"Secretaría Distrital de Gobierno")</f>
        <v>Secretaría Distrital de Gobierno</v>
      </c>
      <c r="F1562" s="25" t="str">
        <f ca="1">IFERROR(__xludf.DUMMYFUNCTION("""COMPUTED_VALUE"""),"Hacer un plan para incorporar en el presupuesto de 2022 del Fondo de Desarrollo Local, los estudios y diseños para la vía la Calera")</f>
        <v>Hacer un plan para incorporar en el presupuesto de 2022 del Fondo de Desarrollo Local, los estudios y diseños para la vía la Calera</v>
      </c>
      <c r="G1562" s="25" t="str">
        <f ca="1">IFERROR(__xludf.DUMMYFUNCTION("""COMPUTED_VALUE"""),"99. Distrito")</f>
        <v>99. Distrito</v>
      </c>
      <c r="H1562" s="55">
        <f ca="1">IFERROR(__xludf.DUMMYFUNCTION("""COMPUTED_VALUE"""),44480)</f>
        <v>44480</v>
      </c>
      <c r="I1562" s="25"/>
      <c r="J1562" s="55" t="str">
        <f ca="1">IFERROR(__xludf.DUMMYFUNCTION("""COMPUTED_VALUE"""),"Alta")</f>
        <v>Alta</v>
      </c>
      <c r="K1562" s="25">
        <f ca="1">IFERROR(__xludf.DUMMYFUNCTION("""COMPUTED_VALUE"""),30)</f>
        <v>30</v>
      </c>
      <c r="L1562" s="62">
        <f ca="1">IFERROR(__xludf.DUMMYFUNCTION("""COMPUTED_VALUE"""),44726)</f>
        <v>44726</v>
      </c>
      <c r="M1562" s="25" t="str">
        <f ca="1">IFERROR(__xludf.DUMMYFUNCTION("""COMPUTED_VALUE"""),"El tramo vial a la Calera hace parte de la malla vial arterial de la localidad de Chapinero. Por cuanto la priorización de recursos según el Acuerdo Distrital 740 de 2019 encomienda a los alcaldes locales en su artículo 5 numeral 3: ""Adelantar el diseño,"&amp;" construcción y conservación de la malla vial local e intermedia, del espacio público y peatonal local e intermedio; así como de los puentes peatonales y/o vehiculares que pertenezcan a la malla vial local e intermedia, incluyendo los ubicados sobre cuerp"&amp;"os de agua. Así mismo, podrán coordinar con las entidades del sector movilidad su participación en la conservación de la malla vial y espacio público arterial, sin transporte masivo.""(Negrilla fuera de texto). En ese orden de ideas, para adelantar la pri"&amp;"orización de estudios y diseños para la construcción de algún elemento de la malla vial de la localidad, esta debe hacer parte de la malla vial local e intermedia de la ciudad; en caso de que sea arterial, el Fondo de Desarrollo Local de Chapinero de acue"&amp;"rdo con sus competencias podrá participar en acciones de conservación únicamente previa coordinación con el sector movilidad (SDM e IDU).
Por otro lado, validada la información en el Sistema de Información Geográfica del Instituto de Desarrollo Urbano "&amp;"(SIGIDU), se puede observar que la vía a la Calera se encuentra identificada con el Código de Identificación Vial (CIV) 2003053 y se encuentra en estado de prefactibilidad para obra nueva por parte del Instituto de Desarrollo Urbano. Motivo por el cual, e"&amp;"sta entidad no podría asignar nuevos recursos para contemplar estudios y diseños sobre una vía que actualmente se encuentra ya reservada por otra entidad distrital, en aras de cuidar el erario público y que los recursos sean invertidos eficaz y eficientem"&amp;"ente.
Por último, una vez revisada la base de datos se pudo observar que dicho tramo igualmente se encuentra reservado por el Instituto de Desarrollo Urbano IDU para conservación de la malla vial vía a la Calera mediante Contrato de obra IDU 1742 de 20"&amp;"21 cuyo objeto es EJECUTAR A PRECIOS UNITARIOS LAS OBRAS Y ACTIVIDADES NECESARIAS PARA LA CONSERVACIÓN DE LA MALLA VIAL RURAL, EN LA CIUDAD DE BOGOTÁ D.C. GRUPO 3"" Dicho contrato inició actividades el 17 de mayo de 2022 y tiene un plazo de ejecución hast"&amp;"a el 16 de mayo de 2024. En ese sentido, la vía en cuestión ya se encuentra priorizada para su intervención en el corto plazo igualmente.
En ese orden de ideas, se otorga respuesta a la comunicación del asunto y se aclara que el tramo vial del compromiso"&amp;" está priorizado para conservación por parte del IDU. Así como también se encuentra priorizado para estudios y diseños por parte del IDU para la ampliación en la modalidad de obra nueva y el mismo se encuentra en etapa de prefactibilidad. ")</f>
        <v xml:space="preserve">El tramo vial a la Calera hace parte de la malla vial arterial de la localidad de Chapinero. Por cuanto la priorización de recursos según el Acuerdo Distrital 740 de 2019 encomienda a los alcaldes locales en su artículo 5 numeral 3: "Adelantar el diseño, construcción y conservación de la malla vial local e intermedia, del espacio público y peatonal local e intermedio; así como de los puentes peatonales y/o vehiculares que pertenezcan a la malla vial local e intermedia, incluyendo los ubicados sobre cuerpos de agua. Así mismo, podrán coordinar con las entidades del sector movilidad su participación en la conservación de la malla vial y espacio público arterial, sin transporte masivo."(Negrilla fuera de texto). En ese orden de ideas, para adelantar la priorización de estudios y diseños para la construcción de algún elemento de la malla vial de la localidad, esta debe hacer parte de la malla vial local e intermedia de la ciudad; en caso de que sea arterial, el Fondo de Desarrollo Local de Chapinero de acuerdo con sus competencias podrá participar en acciones de conservación únicamente previa coordinación con el sector movilidad (SDM e IDU).
Por otro lado, validada la información en el Sistema de Información Geográfica del Instituto de Desarrollo Urbano (SIGIDU), se puede observar que la vía a la Calera se encuentra identificada con el Código de Identificación Vial (CIV) 2003053 y se encuentra en estado de prefactibilidad para obra nueva por parte del Instituto de Desarrollo Urbano. Motivo por el cual, esta entidad no podría asignar nuevos recursos para contemplar estudios y diseños sobre una vía que actualmente se encuentra ya reservada por otra entidad distrital, en aras de cuidar el erario público y que los recursos sean invertidos eficaz y eficientemente.
Por último, una vez revisada la base de datos se pudo observar que dicho tramo igualmente se encuentra reservado por el Instituto de Desarrollo Urbano IDU para conservación de la malla vial vía a la Calera mediante Contrato de obra IDU 1742 de 2021 cuyo objeto es EJECUTAR A PRECIOS UNITARIOS LAS OBRAS Y ACTIVIDADES NECESARIAS PARA LA CONSERVACIÓN DE LA MALLA VIAL RURAL, EN LA CIUDAD DE BOGOTÁ D.C. GRUPO 3" Dicho contrato inició actividades el 17 de mayo de 2022 y tiene un plazo de ejecución hasta el 16 de mayo de 2024. En ese sentido, la vía en cuestión ya se encuentra priorizada para su intervención en el corto plazo igualmente.
En ese orden de ideas, se otorga respuesta a la comunicación del asunto y se aclara que el tramo vial del compromiso está priorizado para conservación por parte del IDU. Así como también se encuentra priorizado para estudios y diseños por parte del IDU para la ampliación en la modalidad de obra nueva y el mismo se encuentra en etapa de prefactibilidad. </v>
      </c>
      <c r="N1562" s="55">
        <f ca="1">IFERROR(__xludf.DUMMYFUNCTION("""COMPUTED_VALUE"""),44726)</f>
        <v>44726</v>
      </c>
      <c r="O1562" s="25" t="str">
        <f t="shared" ca="1" si="0"/>
        <v>Secretaría Distrital de Gobierno</v>
      </c>
      <c r="P1562" s="25" t="str">
        <f t="shared" si="2"/>
        <v/>
      </c>
      <c r="Q1562" s="25" t="str">
        <f ca="1">IFERROR(__xludf.DUMMYFUNCTION("""COMPUTED_VALUE"""),"Corto plazo")</f>
        <v>Corto plazo</v>
      </c>
      <c r="R1562" s="25"/>
      <c r="S1562" s="55"/>
      <c r="T1562" s="56"/>
      <c r="U1562" s="25"/>
      <c r="V1562" s="25"/>
      <c r="W1562" s="25"/>
      <c r="X1562" s="25"/>
      <c r="Y1562" s="25"/>
      <c r="Z1562" s="25"/>
    </row>
    <row r="1563" spans="1:26" ht="52.5" customHeight="1" x14ac:dyDescent="0.25">
      <c r="A1563" s="25" t="str">
        <f ca="1">IFERROR(__xludf.DUMMYFUNCTION("""COMPUTED_VALUE"""),"Gobie61")</f>
        <v>Gobie61</v>
      </c>
      <c r="B1563" s="25" t="str">
        <f ca="1">IFERROR(__xludf.DUMMYFUNCTION("""COMPUTED_VALUE"""),"Recorrido Suba ")</f>
        <v xml:space="preserve">Recorrido Suba </v>
      </c>
      <c r="C1563" s="55">
        <f ca="1">IFERROR(__xludf.DUMMYFUNCTION("""COMPUTED_VALUE"""),44435)</f>
        <v>44435</v>
      </c>
      <c r="D1563" s="25" t="str">
        <f ca="1">IFERROR(__xludf.DUMMYFUNCTION("""COMPUTED_VALUE"""),"Gobierno")</f>
        <v>Gobierno</v>
      </c>
      <c r="E1563" s="25" t="str">
        <f ca="1">IFERROR(__xludf.DUMMYFUNCTION("""COMPUTED_VALUE"""),"Departamento Administrativo de la Defensoría del Espacio Público")</f>
        <v>Departamento Administrativo de la Defensoría del Espacio Público</v>
      </c>
      <c r="F1563" s="25" t="str">
        <f ca="1">IFERROR(__xludf.DUMMYFUNCTION("""COMPUTED_VALUE"""),"Cuadrar para que las Alcaldías Locales tengan cuadrillas de cuidado de espacio público")</f>
        <v>Cuadrar para que las Alcaldías Locales tengan cuadrillas de cuidado de espacio público</v>
      </c>
      <c r="G1563" s="25" t="str">
        <f ca="1">IFERROR(__xludf.DUMMYFUNCTION("""COMPUTED_VALUE"""),"99. Distrito")</f>
        <v>99. Distrito</v>
      </c>
      <c r="H1563" s="55">
        <f ca="1">IFERROR(__xludf.DUMMYFUNCTION("""COMPUTED_VALUE"""),44465)</f>
        <v>44465</v>
      </c>
      <c r="I1563" s="25"/>
      <c r="J1563" s="55" t="str">
        <f ca="1">IFERROR(__xludf.DUMMYFUNCTION("""COMPUTED_VALUE"""),"Alta")</f>
        <v>Alta</v>
      </c>
      <c r="K1563" s="25">
        <f ca="1">IFERROR(__xludf.DUMMYFUNCTION("""COMPUTED_VALUE"""),30)</f>
        <v>30</v>
      </c>
      <c r="L1563" s="62">
        <f ca="1">IFERROR(__xludf.DUMMYFUNCTION("""COMPUTED_VALUE"""),44803)</f>
        <v>44803</v>
      </c>
      <c r="M1563" s="25" t="str">
        <f ca="1">IFERROR(__xludf.DUMMYFUNCTION("""COMPUTED_VALUE"""),"Actualmente se está compilando la información de los FDL. No todos tienen los datos actualizados y a veces se demoran un tiempo en generar y actualizar la información.                                                     
   El DADEP cuenta con la estrateg"&amp;"ia de los Defensores del Espacio Público que es un equipo logístico que apoya a las localidades de Bogotá en operativos de recuperación, sostenibilidad y embellecimiento del espacio público dependiendo la solicitud que las Alcaldías locales requieran.")</f>
        <v>Actualmente se está compilando la información de los FDL. No todos tienen los datos actualizados y a veces se demoran un tiempo en generar y actualizar la información.                                                     
   El DADEP cuenta con la estrategia de los Defensores del Espacio Público que es un equipo logístico que apoya a las localidades de Bogotá en operativos de recuperación, sostenibilidad y embellecimiento del espacio público dependiendo la solicitud que las Alcaldías locales requieran.</v>
      </c>
      <c r="N1563" s="55">
        <f ca="1">IFERROR(__xludf.DUMMYFUNCTION("""COMPUTED_VALUE"""),44803)</f>
        <v>44803</v>
      </c>
      <c r="O1563" s="25" t="str">
        <f t="shared" ca="1" si="0"/>
        <v>Departamento Administrativo de la Defensoría del Espacio Público</v>
      </c>
      <c r="P1563" s="25" t="str">
        <f t="shared" si="2"/>
        <v/>
      </c>
      <c r="Q1563" s="25" t="str">
        <f ca="1">IFERROR(__xludf.DUMMYFUNCTION("""COMPUTED_VALUE"""),"Corto plazo")</f>
        <v>Corto plazo</v>
      </c>
      <c r="R1563" s="25"/>
      <c r="S1563" s="55"/>
      <c r="T1563" s="56"/>
      <c r="U1563" s="25"/>
      <c r="V1563" s="25"/>
      <c r="W1563" s="25"/>
      <c r="X1563" s="25"/>
      <c r="Y1563" s="25"/>
      <c r="Z1563" s="25"/>
    </row>
    <row r="1564" spans="1:26" ht="52.5" customHeight="1" x14ac:dyDescent="0.25">
      <c r="A1564" s="25" t="str">
        <f ca="1">IFERROR(__xludf.DUMMYFUNCTION("""COMPUTED_VALUE"""),"Gobie62")</f>
        <v>Gobie62</v>
      </c>
      <c r="B1564" s="25" t="str">
        <f ca="1">IFERROR(__xludf.DUMMYFUNCTION("""COMPUTED_VALUE"""),"Recorrido Suba ")</f>
        <v xml:space="preserve">Recorrido Suba </v>
      </c>
      <c r="C1564" s="55">
        <f ca="1">IFERROR(__xludf.DUMMYFUNCTION("""COMPUTED_VALUE"""),44435)</f>
        <v>44435</v>
      </c>
      <c r="D1564" s="25" t="str">
        <f ca="1">IFERROR(__xludf.DUMMYFUNCTION("""COMPUTED_VALUE"""),"Gobierno")</f>
        <v>Gobierno</v>
      </c>
      <c r="E1564" s="25" t="str">
        <f ca="1">IFERROR(__xludf.DUMMYFUNCTION("""COMPUTED_VALUE"""),"Secretaría Distrital de Gobierno")</f>
        <v>Secretaría Distrital de Gobierno</v>
      </c>
      <c r="F1564" s="25" t="str">
        <f ca="1">IFERROR(__xludf.DUMMYFUNCTION("""COMPUTED_VALUE"""),"Incorporar zonas seguras en la localidad de Suba para intervención")</f>
        <v>Incorporar zonas seguras en la localidad de Suba para intervención</v>
      </c>
      <c r="G1564" s="55" t="str">
        <f ca="1">IFERROR(__xludf.DUMMYFUNCTION("""COMPUTED_VALUE"""),"11. Suba")</f>
        <v>11. Suba</v>
      </c>
      <c r="H1564" s="55">
        <f ca="1">IFERROR(__xludf.DUMMYFUNCTION("""COMPUTED_VALUE"""),44465)</f>
        <v>44465</v>
      </c>
      <c r="I1564" s="25"/>
      <c r="J1564" s="55" t="str">
        <f ca="1">IFERROR(__xludf.DUMMYFUNCTION("""COMPUTED_VALUE"""),"Alta")</f>
        <v>Alta</v>
      </c>
      <c r="K1564" s="25">
        <f ca="1">IFERROR(__xludf.DUMMYFUNCTION("""COMPUTED_VALUE"""),30)</f>
        <v>30</v>
      </c>
      <c r="L1564" s="62">
        <f ca="1">IFERROR(__xludf.DUMMYFUNCTION("""COMPUTED_VALUE"""),44454)</f>
        <v>44454</v>
      </c>
      <c r="M1564" s="25" t="str">
        <f ca="1">IFERROR(__xludf.DUMMYFUNCTION("""COMPUTED_VALUE"""),"Durante los meses de agosto y septiembre se inició la programación de Zonas Seguras en la localidad de Suba iniciando con los parques POA (27 de Julio) La Gaitana (mes de Septiembre ) y Prado Veraniego ( 24 de septiembre). Adicionalmente, junto a los Parc"&amp;"eros de Suba se intervendrán 10 entornos escolares como parte de la estrategia de Zonas seguras. El en mes de octubre se continuarán las intervenciones en parques y nos encontramos en la evaluación de espacios en conjunto con la Alcaldía Local para determ"&amp;"inar el cronograma del mes.")</f>
        <v>Durante los meses de agosto y septiembre se inició la programación de Zonas Seguras en la localidad de Suba iniciando con los parques POA (27 de Julio) La Gaitana (mes de Septiembre ) y Prado Veraniego ( 24 de septiembre). Adicionalmente, junto a los Parceros de Suba se intervendrán 10 entornos escolares como parte de la estrategia de Zonas seguras. El en mes de octubre se continuarán las intervenciones en parques y nos encontramos en la evaluación de espacios en conjunto con la Alcaldía Local para determinar el cronograma del mes.</v>
      </c>
      <c r="N1564" s="55">
        <f ca="1">IFERROR(__xludf.DUMMYFUNCTION("""COMPUTED_VALUE"""),44454)</f>
        <v>44454</v>
      </c>
      <c r="O1564" s="25" t="str">
        <f t="shared" ca="1" si="0"/>
        <v>Secretaría Distrital de Gobierno</v>
      </c>
      <c r="P1564" s="25" t="str">
        <f t="shared" si="2"/>
        <v/>
      </c>
      <c r="Q1564" s="25" t="str">
        <f ca="1">IFERROR(__xludf.DUMMYFUNCTION("""COMPUTED_VALUE"""),"Corto plazo")</f>
        <v>Corto plazo</v>
      </c>
      <c r="R1564" s="25"/>
      <c r="S1564" s="55"/>
      <c r="T1564" s="56"/>
      <c r="U1564" s="25"/>
      <c r="V1564" s="25"/>
      <c r="W1564" s="25"/>
      <c r="X1564" s="25"/>
      <c r="Y1564" s="25"/>
      <c r="Z1564" s="25"/>
    </row>
    <row r="1565" spans="1:26" ht="52.5" customHeight="1" x14ac:dyDescent="0.25">
      <c r="A1565" s="25" t="str">
        <f ca="1">IFERROR(__xludf.DUMMYFUNCTION("""COMPUTED_VALUE"""),"Gobie63")</f>
        <v>Gobie63</v>
      </c>
      <c r="B1565" s="25" t="str">
        <f ca="1">IFERROR(__xludf.DUMMYFUNCTION("""COMPUTED_VALUE"""),"Recorrido Suba ")</f>
        <v xml:space="preserve">Recorrido Suba </v>
      </c>
      <c r="C1565" s="55">
        <f ca="1">IFERROR(__xludf.DUMMYFUNCTION("""COMPUTED_VALUE"""),44435)</f>
        <v>44435</v>
      </c>
      <c r="D1565" s="25" t="str">
        <f ca="1">IFERROR(__xludf.DUMMYFUNCTION("""COMPUTED_VALUE"""),"Gobierno")</f>
        <v>Gobierno</v>
      </c>
      <c r="E1565" s="25" t="str">
        <f ca="1">IFERROR(__xludf.DUMMYFUNCTION("""COMPUTED_VALUE"""),"Secretaría Distrital de Gobierno")</f>
        <v>Secretaría Distrital de Gobierno</v>
      </c>
      <c r="F1565" s="25" t="str">
        <f ca="1">IFERROR(__xludf.DUMMYFUNCTION("""COMPUTED_VALUE"""),"Garantizar que el CAI y la intervención del espacio en La Gaitana esté impecable")</f>
        <v>Garantizar que el CAI y la intervención del espacio en La Gaitana esté impecable</v>
      </c>
      <c r="G1565" s="55" t="str">
        <f ca="1">IFERROR(__xludf.DUMMYFUNCTION("""COMPUTED_VALUE"""),"11. Suba")</f>
        <v>11. Suba</v>
      </c>
      <c r="H1565" s="55">
        <f ca="1">IFERROR(__xludf.DUMMYFUNCTION("""COMPUTED_VALUE"""),44465)</f>
        <v>44465</v>
      </c>
      <c r="I1565" s="25"/>
      <c r="J1565" s="55" t="str">
        <f ca="1">IFERROR(__xludf.DUMMYFUNCTION("""COMPUTED_VALUE"""),"Alta")</f>
        <v>Alta</v>
      </c>
      <c r="K1565" s="25">
        <f ca="1">IFERROR(__xludf.DUMMYFUNCTION("""COMPUTED_VALUE"""),30)</f>
        <v>30</v>
      </c>
      <c r="L1565" s="62">
        <f ca="1">IFERROR(__xludf.DUMMYFUNCTION("""COMPUTED_VALUE"""),44454)</f>
        <v>44454</v>
      </c>
      <c r="M1565" s="25" t="str">
        <f ca="1">IFERROR(__xludf.DUMMYFUNCTION("""COMPUTED_VALUE"""),"Durante los meses de agosto y septiembre se inició la programación de Zonas Seguras en la localidad de Suba iniciando con los parques POA (27 de Julio) La Gaitana (mes de Septiembre ) y Prado Veraniego ( 24 de septiembre). Adicionalmente, junto a los Parc"&amp;"eros de Suba se intervendrán 10 entornos escolares como parte de la estrategia de Zonas seguras. El en mes de octubre se continuarán las intervenciones en parques y nos encontramos en la evaluación de espacios en conjunto con la Alcaldía Local para determ"&amp;"inar el cronograma del mes.")</f>
        <v>Durante los meses de agosto y septiembre se inició la programación de Zonas Seguras en la localidad de Suba iniciando con los parques POA (27 de Julio) La Gaitana (mes de Septiembre ) y Prado Veraniego ( 24 de septiembre). Adicionalmente, junto a los Parceros de Suba se intervendrán 10 entornos escolares como parte de la estrategia de Zonas seguras. El en mes de octubre se continuarán las intervenciones en parques y nos encontramos en la evaluación de espacios en conjunto con la Alcaldía Local para determinar el cronograma del mes.</v>
      </c>
      <c r="N1565" s="55">
        <f ca="1">IFERROR(__xludf.DUMMYFUNCTION("""COMPUTED_VALUE"""),44454)</f>
        <v>44454</v>
      </c>
      <c r="O1565" s="25" t="str">
        <f t="shared" ca="1" si="0"/>
        <v>Secretaría Distrital de Gobierno</v>
      </c>
      <c r="P1565" s="25" t="str">
        <f t="shared" si="2"/>
        <v/>
      </c>
      <c r="Q1565" s="25" t="str">
        <f ca="1">IFERROR(__xludf.DUMMYFUNCTION("""COMPUTED_VALUE"""),"Corto plazo")</f>
        <v>Corto plazo</v>
      </c>
      <c r="R1565" s="25"/>
      <c r="S1565" s="55"/>
      <c r="T1565" s="56"/>
      <c r="U1565" s="25"/>
      <c r="V1565" s="25"/>
      <c r="W1565" s="25"/>
      <c r="X1565" s="25"/>
      <c r="Y1565" s="25"/>
      <c r="Z1565" s="25"/>
    </row>
    <row r="1566" spans="1:26" ht="52.5" customHeight="1" x14ac:dyDescent="0.25">
      <c r="A1566" s="25" t="str">
        <f ca="1">IFERROR(__xludf.DUMMYFUNCTION("""COMPUTED_VALUE"""),"Gobie64")</f>
        <v>Gobie64</v>
      </c>
      <c r="B1566" s="25" t="str">
        <f ca="1">IFERROR(__xludf.DUMMYFUNCTION("""COMPUTED_VALUE"""),"Reunión familiares")</f>
        <v>Reunión familiares</v>
      </c>
      <c r="C1566" s="55">
        <f ca="1">IFERROR(__xludf.DUMMYFUNCTION("""COMPUTED_VALUE"""),44428)</f>
        <v>44428</v>
      </c>
      <c r="D1566" s="25" t="str">
        <f ca="1">IFERROR(__xludf.DUMMYFUNCTION("""COMPUTED_VALUE"""),"Gobierno")</f>
        <v>Gobierno</v>
      </c>
      <c r="E1566" s="25" t="str">
        <f ca="1">IFERROR(__xludf.DUMMYFUNCTION("""COMPUTED_VALUE"""),"Secretaría Distrital de Gobierno")</f>
        <v>Secretaría Distrital de Gobierno</v>
      </c>
      <c r="F1566" s="25" t="str">
        <f ca="1">IFERROR(__xludf.DUMMYFUNCTION("""COMPUTED_VALUE"""),"Que cada familia se reuna con el fiscal del caso - Reunión colectiva con seccional y dirección DDHH")</f>
        <v>Que cada familia se reuna con el fiscal del caso - Reunión colectiva con seccional y dirección DDHH</v>
      </c>
      <c r="G1566" s="25" t="str">
        <f ca="1">IFERROR(__xludf.DUMMYFUNCTION("""COMPUTED_VALUE"""),"99. Distrito")</f>
        <v>99. Distrito</v>
      </c>
      <c r="H1566" s="55">
        <f ca="1">IFERROR(__xludf.DUMMYFUNCTION("""COMPUTED_VALUE"""),44458)</f>
        <v>44458</v>
      </c>
      <c r="I1566" s="25"/>
      <c r="J1566" s="55" t="str">
        <f ca="1">IFERROR(__xludf.DUMMYFUNCTION("""COMPUTED_VALUE"""),"Alta")</f>
        <v>Alta</v>
      </c>
      <c r="K1566" s="25">
        <f ca="1">IFERROR(__xludf.DUMMYFUNCTION("""COMPUTED_VALUE"""),30)</f>
        <v>30</v>
      </c>
      <c r="L1566" s="62">
        <f ca="1">IFERROR(__xludf.DUMMYFUNCTION("""COMPUTED_VALUE"""),44539)</f>
        <v>44539</v>
      </c>
      <c r="M1566" s="25"/>
      <c r="N1566" s="55">
        <f ca="1">IFERROR(__xludf.DUMMYFUNCTION("""COMPUTED_VALUE"""),44539)</f>
        <v>44539</v>
      </c>
      <c r="O1566" s="25" t="str">
        <f t="shared" ca="1" si="0"/>
        <v>Secretaría Distrital de Gobierno</v>
      </c>
      <c r="P1566" s="25" t="str">
        <f t="shared" si="2"/>
        <v/>
      </c>
      <c r="Q1566" s="25" t="str">
        <f ca="1">IFERROR(__xludf.DUMMYFUNCTION("""COMPUTED_VALUE"""),"Corto plazo")</f>
        <v>Corto plazo</v>
      </c>
      <c r="R1566" s="25"/>
      <c r="S1566" s="55"/>
      <c r="T1566" s="56"/>
      <c r="U1566" s="25"/>
      <c r="V1566" s="25"/>
      <c r="W1566" s="25"/>
      <c r="X1566" s="25"/>
      <c r="Y1566" s="25"/>
      <c r="Z1566" s="25"/>
    </row>
    <row r="1567" spans="1:26" ht="52.5" customHeight="1" x14ac:dyDescent="0.25">
      <c r="A1567" s="25" t="str">
        <f ca="1">IFERROR(__xludf.DUMMYFUNCTION("""COMPUTED_VALUE"""),"Gobie65")</f>
        <v>Gobie65</v>
      </c>
      <c r="B1567" s="25" t="str">
        <f ca="1">IFERROR(__xludf.DUMMYFUNCTION("""COMPUTED_VALUE"""),"Reunión familiares")</f>
        <v>Reunión familiares</v>
      </c>
      <c r="C1567" s="55">
        <f ca="1">IFERROR(__xludf.DUMMYFUNCTION("""COMPUTED_VALUE"""),44428)</f>
        <v>44428</v>
      </c>
      <c r="D1567" s="25" t="str">
        <f ca="1">IFERROR(__xludf.DUMMYFUNCTION("""COMPUTED_VALUE"""),"Gobierno")</f>
        <v>Gobierno</v>
      </c>
      <c r="E1567" s="25" t="str">
        <f ca="1">IFERROR(__xludf.DUMMYFUNCTION("""COMPUTED_VALUE"""),"Secretaría Distrital de Gobierno")</f>
        <v>Secretaría Distrital de Gobierno</v>
      </c>
      <c r="F1567" s="25" t="str">
        <f ca="1">IFERROR(__xludf.DUMMYFUNCTION("""COMPUTED_VALUE"""),"Hacer una reunión con Harold Ramírez con la dirección de DDHH en la Fiscalía")</f>
        <v>Hacer una reunión con Harold Ramírez con la dirección de DDHH en la Fiscalía</v>
      </c>
      <c r="G1567" s="25" t="str">
        <f ca="1">IFERROR(__xludf.DUMMYFUNCTION("""COMPUTED_VALUE"""),"99. Distrito")</f>
        <v>99. Distrito</v>
      </c>
      <c r="H1567" s="55">
        <f ca="1">IFERROR(__xludf.DUMMYFUNCTION("""COMPUTED_VALUE"""),44458)</f>
        <v>44458</v>
      </c>
      <c r="I1567" s="25"/>
      <c r="J1567" s="55" t="str">
        <f ca="1">IFERROR(__xludf.DUMMYFUNCTION("""COMPUTED_VALUE"""),"Alta")</f>
        <v>Alta</v>
      </c>
      <c r="K1567" s="25">
        <f ca="1">IFERROR(__xludf.DUMMYFUNCTION("""COMPUTED_VALUE"""),30)</f>
        <v>30</v>
      </c>
      <c r="L1567" s="62">
        <f ca="1">IFERROR(__xludf.DUMMYFUNCTION("""COMPUTED_VALUE"""),44539)</f>
        <v>44539</v>
      </c>
      <c r="M1567" s="25" t="str">
        <f ca="1">IFERROR(__xludf.DUMMYFUNCTION("""COMPUTED_VALUE"""),"En el marco general de las protestas sociales presentadas en los días 9,10 y 11 de septiembre del año 2020, la Dirección de Derechos Humanos de la Secretaría Distrital de Gobierno ha realizado las gestiones necesarias en relación con el seguimiento periód"&amp;"ico, sistemático y directo a las víctimas y familiares de víctimas de las violaciones a los derechos humanos y las presuntas situaciones de abuso de autoridad policial ocurrida en el marco de las protestas sociales. Se han reiterado diferentes solicitudes"&amp;", siendo la última aquella enviada con fecha de 19 de mayo de 2022, en donde, se le remite a la Directora Especializada contra las Violaciones a los Derechos Humanos de la Fiscalía General de la Nación la convocatoria a una mesa técnica de seguimiento a l"&amp;"os ya mencionados casos. ")</f>
        <v xml:space="preserve">En el marco general de las protestas sociales presentadas en los días 9,10 y 11 de septiembre del año 2020, la Dirección de Derechos Humanos de la Secretaría Distrital de Gobierno ha realizado las gestiones necesarias en relación con el seguimiento periódico, sistemático y directo a las víctimas y familiares de víctimas de las violaciones a los derechos humanos y las presuntas situaciones de abuso de autoridad policial ocurrida en el marco de las protestas sociales. Se han reiterado diferentes solicitudes, siendo la última aquella enviada con fecha de 19 de mayo de 2022, en donde, se le remite a la Directora Especializada contra las Violaciones a los Derechos Humanos de la Fiscalía General de la Nación la convocatoria a una mesa técnica de seguimiento a los ya mencionados casos. </v>
      </c>
      <c r="N1567" s="55">
        <f ca="1">IFERROR(__xludf.DUMMYFUNCTION("""COMPUTED_VALUE"""),44539)</f>
        <v>44539</v>
      </c>
      <c r="O1567" s="25" t="str">
        <f t="shared" ca="1" si="0"/>
        <v>Secretaría Distrital de Gobierno</v>
      </c>
      <c r="P1567" s="25" t="str">
        <f t="shared" si="2"/>
        <v/>
      </c>
      <c r="Q1567" s="25" t="str">
        <f ca="1">IFERROR(__xludf.DUMMYFUNCTION("""COMPUTED_VALUE"""),"Corto plazo")</f>
        <v>Corto plazo</v>
      </c>
      <c r="R1567" s="25"/>
      <c r="S1567" s="55"/>
      <c r="T1567" s="56"/>
      <c r="U1567" s="25"/>
      <c r="V1567" s="25"/>
      <c r="W1567" s="25"/>
      <c r="X1567" s="25"/>
      <c r="Y1567" s="25"/>
      <c r="Z1567" s="25"/>
    </row>
    <row r="1568" spans="1:26" ht="52.5" customHeight="1" x14ac:dyDescent="0.25">
      <c r="A1568" s="25" t="str">
        <f ca="1">IFERROR(__xludf.DUMMYFUNCTION("""COMPUTED_VALUE"""),"Gobie66")</f>
        <v>Gobie66</v>
      </c>
      <c r="B1568" s="25" t="str">
        <f ca="1">IFERROR(__xludf.DUMMYFUNCTION("""COMPUTED_VALUE"""),"Taller Avenida 68 ")</f>
        <v xml:space="preserve">Taller Avenida 68 </v>
      </c>
      <c r="C1568" s="55">
        <f ca="1">IFERROR(__xludf.DUMMYFUNCTION("""COMPUTED_VALUE"""),44418)</f>
        <v>44418</v>
      </c>
      <c r="D1568" s="25" t="str">
        <f ca="1">IFERROR(__xludf.DUMMYFUNCTION("""COMPUTED_VALUE"""),"Gobierno")</f>
        <v>Gobierno</v>
      </c>
      <c r="E1568" s="25" t="str">
        <f ca="1">IFERROR(__xludf.DUMMYFUNCTION("""COMPUTED_VALUE"""),"Departamento Administrativo de la Defensoría del Espacio Público")</f>
        <v>Departamento Administrativo de la Defensoría del Espacio Público</v>
      </c>
      <c r="F1568" s="25" t="str">
        <f ca="1">IFERROR(__xludf.DUMMYFUNCTION("""COMPUTED_VALUE"""),"El DADEP debe agilizar el trámite de linderos en la unidad deportiva EL SALITRE, se debe entregar información lo más pronto para el trámite de las unidades de cesión. ")</f>
        <v xml:space="preserve">El DADEP debe agilizar el trámite de linderos en la unidad deportiva EL SALITRE, se debe entregar información lo más pronto para el trámite de las unidades de cesión. </v>
      </c>
      <c r="G1568" s="25" t="str">
        <f ca="1">IFERROR(__xludf.DUMMYFUNCTION("""COMPUTED_VALUE"""),"99. Distrito")</f>
        <v>99. Distrito</v>
      </c>
      <c r="H1568" s="55">
        <f ca="1">IFERROR(__xludf.DUMMYFUNCTION("""COMPUTED_VALUE"""),44448)</f>
        <v>44448</v>
      </c>
      <c r="I1568" s="25"/>
      <c r="J1568" s="55" t="str">
        <f ca="1">IFERROR(__xludf.DUMMYFUNCTION("""COMPUTED_VALUE"""),"Alta")</f>
        <v>Alta</v>
      </c>
      <c r="K1568" s="25">
        <f ca="1">IFERROR(__xludf.DUMMYFUNCTION("""COMPUTED_VALUE"""),30)</f>
        <v>30</v>
      </c>
      <c r="L1568" s="62">
        <f ca="1">IFERROR(__xludf.DUMMYFUNCTION("""COMPUTED_VALUE"""),45050)</f>
        <v>45050</v>
      </c>
      <c r="M1568" s="25" t="str">
        <f ca="1">IFERROR(__xludf.DUMMYFUNCTION("""COMPUTED_VALUE"""),"Realizado la División material por escritura pública 2236 del 09-06-2022 otorgada en la notaria 48 de Bogotá la cual se Registro dando origen a los folios de matrícula inmobiliaria 50C-2145361  lote 1 que corresponde al área del proyecto IDU Transmilenio "&amp;"por la AK 68 y 50C-2145362 lote 2 que corresponde al resto del predio de la Unidad Deportiva el Salitre, el 01 de agosto de 2022 concluyo el trámite de incorporación en el Registro único del patrimonio inmobiliario Distrital correspondiéndoles respectivam"&amp;"ente los RUPIS 1-5107 y 1-5108. Actualmente y continuando con las acciones de Saneamiento para la Unidad Deportiva el Salitre se encuentra elaboración de plano de una parte de la pieza de Bosque Popular en la cual se encuentra la UDS, plano que se requier"&amp;"e para la incorporación en la UAECD la UDS y el lote 1, especialmente porque para el lote 2 se requiere actualizar su cabida y linderos a la realidad física. ")</f>
        <v xml:space="preserve">Realizado la División material por escritura pública 2236 del 09-06-2022 otorgada en la notaria 48 de Bogotá la cual se Registro dando origen a los folios de matrícula inmobiliaria 50C-2145361  lote 1 que corresponde al área del proyecto IDU Transmilenio por la AK 68 y 50C-2145362 lote 2 que corresponde al resto del predio de la Unidad Deportiva el Salitre, el 01 de agosto de 2022 concluyo el trámite de incorporación en el Registro único del patrimonio inmobiliario Distrital correspondiéndoles respectivamente los RUPIS 1-5107 y 1-5108. Actualmente y continuando con las acciones de Saneamiento para la Unidad Deportiva el Salitre se encuentra elaboración de plano de una parte de la pieza de Bosque Popular en la cual se encuentra la UDS, plano que se requiere para la incorporación en la UAECD la UDS y el lote 1, especialmente porque para el lote 2 se requiere actualizar su cabida y linderos a la realidad física. </v>
      </c>
      <c r="N1568" s="55">
        <f ca="1">IFERROR(__xludf.DUMMYFUNCTION("""COMPUTED_VALUE"""),44895)</f>
        <v>44895</v>
      </c>
      <c r="O1568" s="25" t="str">
        <f t="shared" ca="1" si="0"/>
        <v>Departamento Administrativo de la Defensoría del Espacio Público</v>
      </c>
      <c r="P1568" s="25" t="str">
        <f t="shared" si="2"/>
        <v/>
      </c>
      <c r="Q1568" s="25" t="str">
        <f ca="1">IFERROR(__xludf.DUMMYFUNCTION("""COMPUTED_VALUE"""),"Corto plazo")</f>
        <v>Corto plazo</v>
      </c>
      <c r="R1568" s="25"/>
      <c r="S1568" s="55"/>
      <c r="T1568" s="56"/>
      <c r="U1568" s="25"/>
      <c r="V1568" s="25"/>
      <c r="W1568" s="25"/>
      <c r="X1568" s="25"/>
      <c r="Y1568" s="25"/>
      <c r="Z1568" s="25"/>
    </row>
    <row r="1569" spans="1:26" ht="52.5" customHeight="1" x14ac:dyDescent="0.25">
      <c r="A1569" s="25" t="str">
        <f ca="1">IFERROR(__xludf.DUMMYFUNCTION("""COMPUTED_VALUE"""),"Gobie67")</f>
        <v>Gobie67</v>
      </c>
      <c r="B1569" s="25" t="str">
        <f ca="1">IFERROR(__xludf.DUMMYFUNCTION("""COMPUTED_VALUE"""),"Reunión prioridades gobierno")</f>
        <v>Reunión prioridades gobierno</v>
      </c>
      <c r="C1569" s="55">
        <f ca="1">IFERROR(__xludf.DUMMYFUNCTION("""COMPUTED_VALUE"""),44418)</f>
        <v>44418</v>
      </c>
      <c r="D1569" s="25" t="str">
        <f ca="1">IFERROR(__xludf.DUMMYFUNCTION("""COMPUTED_VALUE"""),"Gobierno")</f>
        <v>Gobierno</v>
      </c>
      <c r="E1569" s="25" t="str">
        <f ca="1">IFERROR(__xludf.DUMMYFUNCTION("""COMPUTED_VALUE"""),"Departamento Administrativo de la Defensoría del Espacio Público")</f>
        <v>Departamento Administrativo de la Defensoría del Espacio Público</v>
      </c>
      <c r="F1569" s="25" t="str">
        <f ca="1">IFERROR(__xludf.DUMMYFUNCTION("""COMPUTED_VALUE"""),"Hacer reunión entre Catastro y DADEP para que el Banco de la República, Universidad del Rosario y Avianca revisen el modelo de contrato para el demo 2.0 (cielo abierto)")</f>
        <v>Hacer reunión entre Catastro y DADEP para que el Banco de la República, Universidad del Rosario y Avianca revisen el modelo de contrato para el demo 2.0 (cielo abierto)</v>
      </c>
      <c r="G1569" s="25" t="str">
        <f ca="1">IFERROR(__xludf.DUMMYFUNCTION("""COMPUTED_VALUE"""),"99. Distrito")</f>
        <v>99. Distrito</v>
      </c>
      <c r="H1569" s="55">
        <f ca="1">IFERROR(__xludf.DUMMYFUNCTION("""COMPUTED_VALUE"""),45138)</f>
        <v>45138</v>
      </c>
      <c r="I1569" s="25" t="str">
        <f ca="1">IFERROR(__xludf.DUMMYFUNCTION("""COMPUTED_VALUE"""),"Delivery Unit")</f>
        <v>Delivery Unit</v>
      </c>
      <c r="J1569" s="55" t="str">
        <f ca="1">IFERROR(__xludf.DUMMYFUNCTION("""COMPUTED_VALUE"""),"Baja")</f>
        <v>Baja</v>
      </c>
      <c r="K1569" s="25">
        <f ca="1">IFERROR(__xludf.DUMMYFUNCTION("""COMPUTED_VALUE"""),720)</f>
        <v>720</v>
      </c>
      <c r="L1569" s="62">
        <f ca="1">IFERROR(__xludf.DUMMYFUNCTION("""COMPUTED_VALUE"""),45082)</f>
        <v>45082</v>
      </c>
      <c r="M1569" s="25" t="str">
        <f ca="1">IFERROR(__xludf.DUMMYFUNCTION("""COMPUTED_VALUE"""),"El Banco de la Republica, Universidad del Rosario y Avianca no continuaron con el proceso de DEMOS 2,0 en la Plaza Santander, mientras que el proceso si se adelanto con la Fundación Gilberto Alzate Avendaño FUGA , la cual la declaración del área ya fue pr"&amp;"esentada ante la UTA y se remitio la propuesta a las entidades administradoras del espacio público, se espera que la resolución de Distritos Especiales de Mejoramiento y Organización Sectorial DEMOS en Plaza Santander se expida a finales del primer semest"&amp;"re del 2023, a la fecha continua el proceso de expedición. El 03 de abril se recibe oficio por parte de IDPC en respuesta al radicado remitido por parte de este Departamento el 18 de Nov, en donde se definen una serie de considerandos para poder avanzar e"&amp;"n la declaratoria de BACA 2.0 en parque santander. Por tanto se agenda reunión el 11 de abril en conjunto con IDPC, FUGA y DADEP. Para determinar los parámetros a tener en cuenta al implementarse intervenciones temporales en zona PEMP. 
La implementación "&amp;"del proyecto responde a lo planteado por parte de FUGA En ese sentido los puntos especiales que solicita IDCP en el oficio del 03 de abril , deberán trabajarse en conjunto y subsanarse por parte de FUGA, debido a los parámetros que se se deberán surtir. A"&amp;" su ves por parte del equipo del DADEP se remite la proyección y/o borrador de resolución. para declarar área toda vez que se requieren que queden atendidas las zonas especiales para el cumplimiento de la resolución en caso de ubicarse food trucks, sillas"&amp;" y mesas en la Plaza.  A la fecha se han adelantado diferentes mesas de trabajo con las entidades administradoras de las cuales se han generado nuevos ajustes, los cuales el DADEP se encuentra subsanando para revisión tecnico y juridica.")</f>
        <v>El Banco de la Republica, Universidad del Rosario y Avianca no continuaron con el proceso de DEMOS 2,0 en la Plaza Santander, mientras que el proceso si se adelanto con la Fundación Gilberto Alzate Avendaño FUGA , la cual la declaración del área ya fue presentada ante la UTA y se remitio la propuesta a las entidades administradoras del espacio público, se espera que la resolución de Distritos Especiales de Mejoramiento y Organización Sectorial DEMOS en Plaza Santander se expida a finales del primer semestre del 2023, a la fecha continua el proceso de expedición. El 03 de abril se recibe oficio por parte de IDPC en respuesta al radicado remitido por parte de este Departamento el 18 de Nov, en donde se definen una serie de considerandos para poder avanzar en la declaratoria de BACA 2.0 en parque santander. Por tanto se agenda reunión el 11 de abril en conjunto con IDPC, FUGA y DADEP. Para determinar los parámetros a tener en cuenta al implementarse intervenciones temporales en zona PEMP. 
La implementación del proyecto responde a lo planteado por parte de FUGA En ese sentido los puntos especiales que solicita IDCP en el oficio del 03 de abril , deberán trabajarse en conjunto y subsanarse por parte de FUGA, debido a los parámetros que se se deberán surtir. A su ves por parte del equipo del DADEP se remite la proyección y/o borrador de resolución. para declarar área toda vez que se requieren que queden atendidas las zonas especiales para el cumplimiento de la resolución en caso de ubicarse food trucks, sillas y mesas en la Plaza.  A la fecha se han adelantado diferentes mesas de trabajo con las entidades administradoras de las cuales se han generado nuevos ajustes, los cuales el DADEP se encuentra subsanando para revisión tecnico y juridica.</v>
      </c>
      <c r="N1569" s="55">
        <f ca="1">IFERROR(__xludf.DUMMYFUNCTION("""COMPUTED_VALUE"""),45044)</f>
        <v>45044</v>
      </c>
      <c r="O1569" s="25" t="str">
        <f t="shared" ca="1" si="0"/>
        <v>Departamento Administrativo de la Defensoría del Espacio Público</v>
      </c>
      <c r="P1569" s="25" t="str">
        <f t="shared" ca="1" si="2"/>
        <v/>
      </c>
      <c r="Q1569" s="25" t="str">
        <f ca="1">IFERROR(__xludf.DUMMYFUNCTION("""COMPUTED_VALUE"""),"Largo plazo")</f>
        <v>Largo plazo</v>
      </c>
      <c r="R1569" s="25"/>
      <c r="S1569" s="55"/>
      <c r="T1569" s="56"/>
      <c r="U1569" s="25"/>
      <c r="V1569" s="25"/>
      <c r="W1569" s="25"/>
      <c r="X1569" s="25"/>
      <c r="Y1569" s="25"/>
      <c r="Z1569" s="25"/>
    </row>
    <row r="1570" spans="1:26" ht="52.5" customHeight="1" x14ac:dyDescent="0.25">
      <c r="A1570" s="25" t="str">
        <f ca="1">IFERROR(__xludf.DUMMYFUNCTION("""COMPUTED_VALUE"""),"Gobie68")</f>
        <v>Gobie68</v>
      </c>
      <c r="B1570" s="25" t="str">
        <f ca="1">IFERROR(__xludf.DUMMYFUNCTION("""COMPUTED_VALUE"""),"Reunión prioridades gobierno")</f>
        <v>Reunión prioridades gobierno</v>
      </c>
      <c r="C1570" s="55">
        <f ca="1">IFERROR(__xludf.DUMMYFUNCTION("""COMPUTED_VALUE"""),44362)</f>
        <v>44362</v>
      </c>
      <c r="D1570" s="25" t="str">
        <f ca="1">IFERROR(__xludf.DUMMYFUNCTION("""COMPUTED_VALUE"""),"Gobierno")</f>
        <v>Gobierno</v>
      </c>
      <c r="E1570" s="25" t="str">
        <f ca="1">IFERROR(__xludf.DUMMYFUNCTION("""COMPUTED_VALUE"""),"Secretaría Distrital de Gobierno")</f>
        <v>Secretaría Distrital de Gobierno</v>
      </c>
      <c r="F1570" s="25" t="str">
        <f ca="1">IFERROR(__xludf.DUMMYFUNCTION("""COMPUTED_VALUE"""),"Hacer un plan para volver a implementar una casa refugio para la comunidad LGTBI")</f>
        <v>Hacer un plan para volver a implementar una casa refugio para la comunidad LGTBI</v>
      </c>
      <c r="G1570" s="25" t="str">
        <f ca="1">IFERROR(__xludf.DUMMYFUNCTION("""COMPUTED_VALUE"""),"99. Distrito")</f>
        <v>99. Distrito</v>
      </c>
      <c r="H1570" s="55">
        <f ca="1">IFERROR(__xludf.DUMMYFUNCTION("""COMPUTED_VALUE"""),44985)</f>
        <v>44985</v>
      </c>
      <c r="I1570" s="25"/>
      <c r="J1570" s="55" t="str">
        <f ca="1">IFERROR(__xludf.DUMMYFUNCTION("""COMPUTED_VALUE"""),"Baja")</f>
        <v>Baja</v>
      </c>
      <c r="K1570" s="25">
        <f ca="1">IFERROR(__xludf.DUMMYFUNCTION("""COMPUTED_VALUE"""),623)</f>
        <v>623</v>
      </c>
      <c r="L1570" s="62">
        <f ca="1">IFERROR(__xludf.DUMMYFUNCTION("""COMPUTED_VALUE"""),44977)</f>
        <v>44977</v>
      </c>
      <c r="M1570" s="25" t="str">
        <f ca="1">IFERROR(__xludf.DUMMYFUNCTION("""COMPUTED_VALUE"""),"El 3 de septiembre de 2021 se realizó una reunión exploratoria con la Empresa Metro de Bogotá, frente a la posibilidad de consecución de un predio para la operación de la Casa Refugio LGBT; esta tuvo los siguientes resultados:
Sí es posible acceder a un "&amp;"predio temporal para la operación de la Casa Refugio LGBT entre enero de 2022 y diciembre de 2022. Sin embargo, la empresa Metro indicó que la mayoría de los predios no cuentan con servicios públicos puesto que en el momento de su adquisición la empresa s"&amp;"olicita que estos no tengan servicios públicos activos. Ahora bien, revisando la pertinencia de la solicitud, se podría buscar y acceder a algún predio que cuente con servicios y que quede cerca de las estaciones que se están proyectando.  
Teniendo en c"&amp;"uenta lo anterior, se hace necesario realizar gestiones interinstitucionales para garantizar el equipamiento y funcionamiento de la casa, ya que la Secretaría Distrital de Gobierno según sus funciones y competencias no tienen cómo justificar este gasto, e"&amp;"ntendiendo que se requiere equipamiento físico (camas y menaje) así como, el pago de servicios públicos y la contratación de las personas que garanticen el funcionamiento operativo de la Casa Refugio.
De este modo, la dirección de Derechos Humanos de la "&amp;"Secretaría Distrital de Gobierno tiene dentro de su ruta de trabajo adelantar gestiones con otras entidades, para indagar la posibilidad de adquirir los insumos suficientes para la operación de esta Casa.  Así las cosas, en el mes de octubre, se estableci"&amp;"ó comunicación con el Instituto para la Protección de la Niñez y la Juventud- IDIPRON, sin embargo, por temas de competencia y misionalidad en la atención poblacional teniendo como referencia la edad no es posible contar con su apoyo ya que esta entidad a"&amp;"tiende personas que tengan máximo 28 años.  
En este mismo sentido, le realizaremos la consulta al Departamento Administrativo de la Defensoría del Espacio Público - DADEP para que se realice una revisión en su inventario de inmuebles para analizar la po"&amp;"sibilidad de que alguno pueda cumplir con los criterios de ser nuestra Casa Refugio y así poder realizar un convenio interinstitucional. Si esto se llogra, habría que generar una partida presupuestal para dotar la casa de todo lo necesario para su operati"&amp;"vidad.
Para finalizar, es menester mencionar que, la Dirección de Derechos Humanos actualmente implementa y ejecuta atención y asistencia humanitaria a personas de los sectores LGBT a través de su ruta de atención, por medio de un operador logístico el c"&amp;"ual provee los servicios de hospedaje, alimentación y entrega de subsidios. No obstante, continuará las gestiones interinstitucionales para lograr la operatividad en un predio exclusivo para esta ruta de atención.")</f>
        <v>El 3 de septiembre de 2021 se realizó una reunión exploratoria con la Empresa Metro de Bogotá, frente a la posibilidad de consecución de un predio para la operación de la Casa Refugio LGBT; esta tuvo los siguientes resultados:
Sí es posible acceder a un predio temporal para la operación de la Casa Refugio LGBT entre enero de 2022 y diciembre de 2022. Sin embargo, la empresa Metro indicó que la mayoría de los predios no cuentan con servicios públicos puesto que en el momento de su adquisición la empresa solicita que estos no tengan servicios públicos activos. Ahora bien, revisando la pertinencia de la solicitud, se podría buscar y acceder a algún predio que cuente con servicios y que quede cerca de las estaciones que se están proyectando.  
Teniendo en cuenta lo anterior, se hace necesario realizar gestiones interinstitucionales para garantizar el equipamiento y funcionamiento de la casa, ya que la Secretaría Distrital de Gobierno según sus funciones y competencias no tienen cómo justificar este gasto, entendiendo que se requiere equipamiento físico (camas y menaje) así como, el pago de servicios públicos y la contratación de las personas que garanticen el funcionamiento operativo de la Casa Refugio.
De este modo, la dirección de Derechos Humanos de la Secretaría Distrital de Gobierno tiene dentro de su ruta de trabajo adelantar gestiones con otras entidades, para indagar la posibilidad de adquirir los insumos suficientes para la operación de esta Casa.  Así las cosas, en el mes de octubre, se estableció comunicación con el Instituto para la Protección de la Niñez y la Juventud- IDIPRON, sin embargo, por temas de competencia y misionalidad en la atención poblacional teniendo como referencia la edad no es posible contar con su apoyo ya que esta entidad atiende personas que tengan máximo 28 años.  
En este mismo sentido, le realizaremos la consulta al Departamento Administrativo de la Defensoría del Espacio Público - DADEP para que se realice una revisión en su inventario de inmuebles para analizar la posibilidad de que alguno pueda cumplir con los criterios de ser nuestra Casa Refugio y así poder realizar un convenio interinstitucional. Si esto se llogra, habría que generar una partida presupuestal para dotar la casa de todo lo necesario para su operatividad.
Para finalizar, es menester mencionar que, la Dirección de Derechos Humanos actualmente implementa y ejecuta atención y asistencia humanitaria a personas de los sectores LGBT a través de su ruta de atención, por medio de un operador logístico el cual provee los servicios de hospedaje, alimentación y entrega de subsidios. No obstante, continuará las gestiones interinstitucionales para lograr la operatividad en un predio exclusivo para esta ruta de atención.</v>
      </c>
      <c r="N1570" s="55">
        <f ca="1">IFERROR(__xludf.DUMMYFUNCTION("""COMPUTED_VALUE"""),45026)</f>
        <v>45026</v>
      </c>
      <c r="O1570" s="25" t="str">
        <f t="shared" ca="1" si="0"/>
        <v>Secretaría Distrital de Gobierno</v>
      </c>
      <c r="P1570" s="25" t="str">
        <f t="shared" si="2"/>
        <v/>
      </c>
      <c r="Q1570" s="25" t="str">
        <f ca="1">IFERROR(__xludf.DUMMYFUNCTION("""COMPUTED_VALUE"""),"Largo plazo")</f>
        <v>Largo plazo</v>
      </c>
      <c r="R1570" s="25"/>
      <c r="S1570" s="55"/>
      <c r="T1570" s="56"/>
      <c r="U1570" s="25"/>
      <c r="V1570" s="25"/>
      <c r="W1570" s="25"/>
      <c r="X1570" s="25"/>
      <c r="Y1570" s="25"/>
      <c r="Z1570" s="25"/>
    </row>
    <row r="1571" spans="1:26" ht="52.5" customHeight="1" x14ac:dyDescent="0.25">
      <c r="A1571" s="25" t="str">
        <f ca="1">IFERROR(__xludf.DUMMYFUNCTION("""COMPUTED_VALUE"""),"Gobie69")</f>
        <v>Gobie69</v>
      </c>
      <c r="B1571" s="25" t="str">
        <f ca="1">IFERROR(__xludf.DUMMYFUNCTION("""COMPUTED_VALUE"""),"Bogotá Cielo Abierto ")</f>
        <v xml:space="preserve">Bogotá Cielo Abierto </v>
      </c>
      <c r="C1571" s="55">
        <f ca="1">IFERROR(__xludf.DUMMYFUNCTION("""COMPUTED_VALUE"""),44348)</f>
        <v>44348</v>
      </c>
      <c r="D1571" s="25" t="str">
        <f ca="1">IFERROR(__xludf.DUMMYFUNCTION("""COMPUTED_VALUE"""),"Gobierno")</f>
        <v>Gobierno</v>
      </c>
      <c r="E1571" s="25" t="str">
        <f ca="1">IFERROR(__xludf.DUMMYFUNCTION("""COMPUTED_VALUE"""),"Secretaría Distrital de Gobierno")</f>
        <v>Secretaría Distrital de Gobierno</v>
      </c>
      <c r="F1571" s="25" t="str">
        <f ca="1">IFERROR(__xludf.DUMMYFUNCTION("""COMPUTED_VALUE"""),"Alcaldía Local debe intervenir cada zona de Bogotá a Cielo Abierto como una zona segura.")</f>
        <v>Alcaldía Local debe intervenir cada zona de Bogotá a Cielo Abierto como una zona segura.</v>
      </c>
      <c r="G1571" s="25" t="str">
        <f ca="1">IFERROR(__xludf.DUMMYFUNCTION("""COMPUTED_VALUE"""),"99. Distrito")</f>
        <v>99. Distrito</v>
      </c>
      <c r="H1571" s="55">
        <f ca="1">IFERROR(__xludf.DUMMYFUNCTION("""COMPUTED_VALUE"""),44378)</f>
        <v>44378</v>
      </c>
      <c r="I1571" s="25"/>
      <c r="J1571" s="55" t="str">
        <f ca="1">IFERROR(__xludf.DUMMYFUNCTION("""COMPUTED_VALUE"""),"Alta")</f>
        <v>Alta</v>
      </c>
      <c r="K1571" s="25">
        <f ca="1">IFERROR(__xludf.DUMMYFUNCTION("""COMPUTED_VALUE"""),30)</f>
        <v>30</v>
      </c>
      <c r="L1571" s="62">
        <f ca="1">IFERROR(__xludf.DUMMYFUNCTION("""COMPUTED_VALUE"""),44454)</f>
        <v>44454</v>
      </c>
      <c r="M1571" s="25" t="str">
        <f ca="1">IFERROR(__xludf.DUMMYFUNCTION("""COMPUTED_VALUE"""),"Hasta el momento la secretaría de gobierno ha realizado 50 intervenciones de Zonas Seguras en 17 localidades de la ciudad. Han participado más de 700 ciudadanos en los procesos de recuperación de parques, plazoletas y zonas verdes. En Zonas Seguras se ha "&amp;"gestionado la plantación de 157 árboles  y se han consolidado más de 40 redes ciudadanas.")</f>
        <v>Hasta el momento la secretaría de gobierno ha realizado 50 intervenciones de Zonas Seguras en 17 localidades de la ciudad. Han participado más de 700 ciudadanos en los procesos de recuperación de parques, plazoletas y zonas verdes. En Zonas Seguras se ha gestionado la plantación de 157 árboles  y se han consolidado más de 40 redes ciudadanas.</v>
      </c>
      <c r="N1571" s="55">
        <f ca="1">IFERROR(__xludf.DUMMYFUNCTION("""COMPUTED_VALUE"""),44454)</f>
        <v>44454</v>
      </c>
      <c r="O1571" s="25" t="str">
        <f t="shared" ca="1" si="0"/>
        <v>Secretaría Distrital de Gobierno</v>
      </c>
      <c r="P1571" s="25" t="str">
        <f t="shared" si="2"/>
        <v/>
      </c>
      <c r="Q1571" s="25" t="str">
        <f ca="1">IFERROR(__xludf.DUMMYFUNCTION("""COMPUTED_VALUE"""),"Corto plazo")</f>
        <v>Corto plazo</v>
      </c>
      <c r="R1571" s="25"/>
      <c r="S1571" s="55"/>
      <c r="T1571" s="56"/>
      <c r="U1571" s="25"/>
      <c r="V1571" s="25"/>
      <c r="W1571" s="25"/>
      <c r="X1571" s="25"/>
      <c r="Y1571" s="25"/>
      <c r="Z1571" s="25"/>
    </row>
    <row r="1572" spans="1:26" ht="52.5" customHeight="1" x14ac:dyDescent="0.25">
      <c r="A1572" s="25" t="str">
        <f ca="1">IFERROR(__xludf.DUMMYFUNCTION("""COMPUTED_VALUE"""),"Gobie70")</f>
        <v>Gobie70</v>
      </c>
      <c r="B1572" s="25" t="str">
        <f ca="1">IFERROR(__xludf.DUMMYFUNCTION("""COMPUTED_VALUE"""),"Infraestructura- Sesión 9 infraestructura educativa, PP campo verde y Hospitales")</f>
        <v>Infraestructura- Sesión 9 infraestructura educativa, PP campo verde y Hospitales</v>
      </c>
      <c r="C1572" s="55">
        <f ca="1">IFERROR(__xludf.DUMMYFUNCTION("""COMPUTED_VALUE"""),44322)</f>
        <v>44322</v>
      </c>
      <c r="D1572" s="25" t="str">
        <f ca="1">IFERROR(__xludf.DUMMYFUNCTION("""COMPUTED_VALUE"""),"Gobierno")</f>
        <v>Gobierno</v>
      </c>
      <c r="E1572" s="25" t="str">
        <f ca="1">IFERROR(__xludf.DUMMYFUNCTION("""COMPUTED_VALUE"""),"Departamento Administrativo de la Defensoría del Espacio Público")</f>
        <v>Departamento Administrativo de la Defensoría del Espacio Público</v>
      </c>
      <c r="F1572" s="25" t="str">
        <f ca="1">IFERROR(__xludf.DUMMYFUNCTION("""COMPUTED_VALUE"""),"PP Campo verde - Avenida Santa Fe: Realizar una reunión entre el Instituto de Desarrollo Urbano, la Secretaría Distrital de Planeación, el Departamento Administrativo de la Defensoría del Espacio Público y la Secretaría Distrital del Hábitat para revisar "&amp;"el estado de los planes parciales (La Marlene y Bosa 37) junto con las obligaciones existentes de estos planes para la construcción de la avenida.")</f>
        <v>PP Campo verde - Avenida Santa Fe: Realizar una reunión entre el Instituto de Desarrollo Urbano, la Secretaría Distrital de Planeación, el Departamento Administrativo de la Defensoría del Espacio Público y la Secretaría Distrital del Hábitat para revisar el estado de los planes parciales (La Marlene y Bosa 37) junto con las obligaciones existentes de estos planes para la construcción de la avenida.</v>
      </c>
      <c r="G1572" s="25" t="str">
        <f ca="1">IFERROR(__xludf.DUMMYFUNCTION("""COMPUTED_VALUE"""),"99. Distrito")</f>
        <v>99. Distrito</v>
      </c>
      <c r="H1572" s="55">
        <f ca="1">IFERROR(__xludf.DUMMYFUNCTION("""COMPUTED_VALUE"""),44352)</f>
        <v>44352</v>
      </c>
      <c r="I1572" s="25"/>
      <c r="J1572" s="55" t="str">
        <f ca="1">IFERROR(__xludf.DUMMYFUNCTION("""COMPUTED_VALUE"""),"Alta")</f>
        <v>Alta</v>
      </c>
      <c r="K1572" s="25">
        <f ca="1">IFERROR(__xludf.DUMMYFUNCTION("""COMPUTED_VALUE"""),30)</f>
        <v>30</v>
      </c>
      <c r="L1572" s="62">
        <f ca="1">IFERROR(__xludf.DUMMYFUNCTION("""COMPUTED_VALUE"""),44454)</f>
        <v>44454</v>
      </c>
      <c r="M1572" s="25" t="str">
        <f ca="1">IFERROR(__xludf.DUMMYFUNCTION("""COMPUTED_VALUE"""),"La Secretaría de Planeación sostuvo una reunión presencial UPL Porvenir/Campo Verde - Formulación del Plan de Ordenamiento Territorial POT de Bogotá, en la cual la comunidad manifestó su priorización en el en el POT, para que sean incluidas en el próximo "&amp;"Plan de desarrollo. Así mismo, Planeación se comprometió a revisar las propuestas de la comunidad de campo verde, para evaluar la viabilidad e incorporarlas a al proyecto de modificación del POT que se va a presentar ante el concejo")</f>
        <v>La Secretaría de Planeación sostuvo una reunión presencial UPL Porvenir/Campo Verde - Formulación del Plan de Ordenamiento Territorial POT de Bogotá, en la cual la comunidad manifestó su priorización en el en el POT, para que sean incluidas en el próximo Plan de desarrollo. Así mismo, Planeación se comprometió a revisar las propuestas de la comunidad de campo verde, para evaluar la viabilidad e incorporarlas a al proyecto de modificación del POT que se va a presentar ante el concejo</v>
      </c>
      <c r="N1572" s="55">
        <f ca="1">IFERROR(__xludf.DUMMYFUNCTION("""COMPUTED_VALUE"""),44454)</f>
        <v>44454</v>
      </c>
      <c r="O1572" s="25" t="str">
        <f t="shared" ca="1" si="0"/>
        <v>Departamento Administrativo de la Defensoría del Espacio Público</v>
      </c>
      <c r="P1572" s="25" t="str">
        <f t="shared" si="2"/>
        <v/>
      </c>
      <c r="Q1572" s="25" t="str">
        <f ca="1">IFERROR(__xludf.DUMMYFUNCTION("""COMPUTED_VALUE"""),"Corto plazo")</f>
        <v>Corto plazo</v>
      </c>
      <c r="R1572" s="25"/>
      <c r="S1572" s="55"/>
      <c r="T1572" s="56"/>
      <c r="U1572" s="25"/>
      <c r="V1572" s="25"/>
      <c r="W1572" s="25"/>
      <c r="X1572" s="25"/>
      <c r="Y1572" s="25"/>
      <c r="Z1572" s="25"/>
    </row>
    <row r="1573" spans="1:26" ht="52.5" customHeight="1" x14ac:dyDescent="0.25">
      <c r="A1573" s="25" t="str">
        <f ca="1">IFERROR(__xludf.DUMMYFUNCTION("""COMPUTED_VALUE"""),"Gobie71")</f>
        <v>Gobie71</v>
      </c>
      <c r="B1573" s="25" t="str">
        <f ca="1">IFERROR(__xludf.DUMMYFUNCTION("""COMPUTED_VALUE"""),"Infraestructura- Sesión 9 infraestructura educativa, PP campo verde y Hospitales")</f>
        <v>Infraestructura- Sesión 9 infraestructura educativa, PP campo verde y Hospitales</v>
      </c>
      <c r="C1573" s="55">
        <f ca="1">IFERROR(__xludf.DUMMYFUNCTION("""COMPUTED_VALUE"""),44322)</f>
        <v>44322</v>
      </c>
      <c r="D1573" s="25" t="str">
        <f ca="1">IFERROR(__xludf.DUMMYFUNCTION("""COMPUTED_VALUE"""),"Gobierno")</f>
        <v>Gobierno</v>
      </c>
      <c r="E1573" s="25" t="str">
        <f ca="1">IFERROR(__xludf.DUMMYFUNCTION("""COMPUTED_VALUE"""),"Departamento Administrativo de la Defensoría del Espacio Público")</f>
        <v>Departamento Administrativo de la Defensoría del Espacio Público</v>
      </c>
      <c r="F1573" s="25" t="str">
        <f ca="1">IFERROR(__xludf.DUMMYFUNCTION("""COMPUTED_VALUE"""),"PP CAmpo verde - Avenida el Tintal: Realizar una reunión para identificar, a nivel distrital, iniciativas de uso para estos predios, junto con los estudios y diseños que se han venido adelantando desde el Instituto de Desarrollo Urbano.  ")</f>
        <v xml:space="preserve">PP CAmpo verde - Avenida el Tintal: Realizar una reunión para identificar, a nivel distrital, iniciativas de uso para estos predios, junto con los estudios y diseños que se han venido adelantando desde el Instituto de Desarrollo Urbano.  </v>
      </c>
      <c r="G1573" s="25" t="str">
        <f ca="1">IFERROR(__xludf.DUMMYFUNCTION("""COMPUTED_VALUE"""),"99. Distrito")</f>
        <v>99. Distrito</v>
      </c>
      <c r="H1573" s="55">
        <f ca="1">IFERROR(__xludf.DUMMYFUNCTION("""COMPUTED_VALUE"""),44352)</f>
        <v>44352</v>
      </c>
      <c r="I1573" s="25"/>
      <c r="J1573" s="55" t="str">
        <f ca="1">IFERROR(__xludf.DUMMYFUNCTION("""COMPUTED_VALUE"""),"Alta")</f>
        <v>Alta</v>
      </c>
      <c r="K1573" s="25">
        <f ca="1">IFERROR(__xludf.DUMMYFUNCTION("""COMPUTED_VALUE"""),30)</f>
        <v>30</v>
      </c>
      <c r="L1573" s="62">
        <f ca="1">IFERROR(__xludf.DUMMYFUNCTION("""COMPUTED_VALUE"""),44362)</f>
        <v>44362</v>
      </c>
      <c r="M1573" s="25" t="str">
        <f ca="1">IFERROR(__xludf.DUMMYFUNCTION("""COMPUTED_VALUE"""),"Se participó en sesión de UTA el 15.12 y se presentó la actividad ""Alquiler de vehículos de micromovilidad"" y se solicitó una exención de pago parcial para la misma. El 21.12 se aprobaron las solicitudes de la SDM mediante resolución 030 de 2021 del DAD"&amp;"EP.")</f>
        <v>Se participó en sesión de UTA el 15.12 y se presentó la actividad "Alquiler de vehículos de micromovilidad" y se solicitó una exención de pago parcial para la misma. El 21.12 se aprobaron las solicitudes de la SDM mediante resolución 030 de 2021 del DADEP.</v>
      </c>
      <c r="N1573" s="55">
        <f ca="1">IFERROR(__xludf.DUMMYFUNCTION("""COMPUTED_VALUE"""),44362)</f>
        <v>44362</v>
      </c>
      <c r="O1573" s="25" t="str">
        <f t="shared" ca="1" si="0"/>
        <v>Departamento Administrativo de la Defensoría del Espacio Público</v>
      </c>
      <c r="P1573" s="25" t="str">
        <f t="shared" si="2"/>
        <v/>
      </c>
      <c r="Q1573" s="25" t="str">
        <f ca="1">IFERROR(__xludf.DUMMYFUNCTION("""COMPUTED_VALUE"""),"Corto plazo")</f>
        <v>Corto plazo</v>
      </c>
      <c r="R1573" s="25"/>
      <c r="S1573" s="55"/>
      <c r="T1573" s="56"/>
      <c r="U1573" s="25"/>
      <c r="V1573" s="25"/>
      <c r="W1573" s="25"/>
      <c r="X1573" s="25"/>
      <c r="Y1573" s="25"/>
      <c r="Z1573" s="25"/>
    </row>
    <row r="1574" spans="1:26" ht="52.5" customHeight="1" x14ac:dyDescent="0.25">
      <c r="A1574" s="25" t="str">
        <f ca="1">IFERROR(__xludf.DUMMYFUNCTION("""COMPUTED_VALUE"""),"Gobie72")</f>
        <v>Gobie72</v>
      </c>
      <c r="B1574" s="25" t="str">
        <f ca="1">IFERROR(__xludf.DUMMYFUNCTION("""COMPUTED_VALUE"""),"Hospital Usme: La Alcaldía Local de Usme envía a más tardar en dos semanas a la EAAB la información técnica definida sobre el perfil y ancho de la vía que se cruza con el predio, una vez se termine el estudio topográfico que realiza el contratista. Con es"&amp;"a información la EAAB revisa la solicitud y conceptúa al respecto. ")</f>
        <v xml:space="preserve">Hospital Usme: La Alcaldía Local de Usme envía a más tardar en dos semanas a la EAAB la información técnica definida sobre el perfil y ancho de la vía que se cruza con el predio, una vez se termine el estudio topográfico que realiza el contratista. Con esa información la EAAB revisa la solicitud y conceptúa al respecto. </v>
      </c>
      <c r="C1574" s="55">
        <f ca="1">IFERROR(__xludf.DUMMYFUNCTION("""COMPUTED_VALUE"""),44322)</f>
        <v>44322</v>
      </c>
      <c r="D1574" s="25" t="str">
        <f ca="1">IFERROR(__xludf.DUMMYFUNCTION("""COMPUTED_VALUE"""),"Gobierno")</f>
        <v>Gobierno</v>
      </c>
      <c r="E1574" s="25" t="str">
        <f ca="1">IFERROR(__xludf.DUMMYFUNCTION("""COMPUTED_VALUE"""),"Alcaldía Local")</f>
        <v>Alcaldía Local</v>
      </c>
      <c r="F1574" s="25" t="str">
        <f ca="1">IFERROR(__xludf.DUMMYFUNCTION("""COMPUTED_VALUE"""),"Hospital Usme: La Alcaldía Local de Usme envía a más tardar en dos semanas a la EAAB la información técnica definida sobre el perfil y ancho de la vía que se cruza con el predio, una vez se termine el estudio topográfico que realiza el contratista. Con es"&amp;"a información la EAAB revisa la solicitud y conceptúa al respecto. ")</f>
        <v xml:space="preserve">Hospital Usme: La Alcaldía Local de Usme envía a más tardar en dos semanas a la EAAB la información técnica definida sobre el perfil y ancho de la vía que se cruza con el predio, una vez se termine el estudio topográfico que realiza el contratista. Con esa información la EAAB revisa la solicitud y conceptúa al respecto. </v>
      </c>
      <c r="G1574" s="25" t="str">
        <f ca="1">IFERROR(__xludf.DUMMYFUNCTION("""COMPUTED_VALUE"""),"05. Usme")</f>
        <v>05. Usme</v>
      </c>
      <c r="H1574" s="55">
        <f ca="1">IFERROR(__xludf.DUMMYFUNCTION("""COMPUTED_VALUE"""),44352)</f>
        <v>44352</v>
      </c>
      <c r="I1574" s="25"/>
      <c r="J1574" s="55" t="str">
        <f ca="1">IFERROR(__xludf.DUMMYFUNCTION("""COMPUTED_VALUE"""),"Alta")</f>
        <v>Alta</v>
      </c>
      <c r="K1574" s="25">
        <f ca="1">IFERROR(__xludf.DUMMYFUNCTION("""COMPUTED_VALUE"""),30)</f>
        <v>30</v>
      </c>
      <c r="L1574" s="62">
        <f ca="1">IFERROR(__xludf.DUMMYFUNCTION("""COMPUTED_VALUE"""),44804)</f>
        <v>44804</v>
      </c>
      <c r="M1574" s="25" t="str">
        <f ca="1">IFERROR(__xludf.DUMMYFUNCTION("""COMPUTED_VALUE"""),"""El pasado viernes 10 de septiembre se reunieron la Secretaría Distrital de Salud con la Alcaldía local de Usme y el EAAB para pactar el paso a paso para la construcción de la vía. Sin embargo, en dicha reunión se concluyó que para continuar con el proce"&amp;"so la Alcaldía Local debe radicar la remesa de compra venta del predio para servicio público que se adquirió.  Con esto se podrá certificar al contratista para que siga con el proceso. 
Actualización 14 marzo: Se habló con Sec. Movilidad para que se pudie"&amp;"ra dar salidas al FDL para tener un concepto de gasto que le permita hacer el avalúo. La semana del 14 de marzo debe salir la respuesta por parte de Sec. Movilidad)
Avance 1 de junio 2022: El pasado 4 de mayo de 2022 el FDLU radicó ante la EAAB carta de i"&amp;"ntención de adquisición del predio Piedra Herrada, donde a la vez se solicitó apoyo para la realización del avalúo, con el cual se puede determinar el valor, para continuar con la compra venta. la EAAB respondió  dicha solicitud con oficio 2520001-S-2022-"&amp;"128092 del 12 de mayo de 2022, aceptando e informando que iniciará el ´proceso de avalúo comercial. estamos a la espera del documento.
Reporte 12 julio: La EAAB informa el 07/07/20222 que por el tema de POT se debió volver a pedir concepto de norma y  la "&amp;"elaboración, se espera tener a final del mes de julio el avalúo aprobado""                                                                                                                                                                                     "&amp;"              .                                                                                                                                                                                                                                Reporte 23 de Ag"&amp;"osto del 2022: El viernes, 19 de agosto quedó listo el avalúo del predio de la vía del hospital de Usme, la EAAB lo debe enviar al alcalde local para que hagan la oferta y puedan continuar con la adquisición del predio")</f>
        <v>"El pasado viernes 10 de septiembre se reunieron la Secretaría Distrital de Salud con la Alcaldía local de Usme y el EAAB para pactar el paso a paso para la construcción de la vía. Sin embargo, en dicha reunión se concluyó que para continuar con el proceso la Alcaldía Local debe radicar la remesa de compra venta del predio para servicio público que se adquirió.  Con esto se podrá certificar al contratista para que siga con el proceso. 
Actualización 14 marzo: Se habló con Sec. Movilidad para que se pudiera dar salidas al FDL para tener un concepto de gasto que le permita hacer el avalúo. La semana del 14 de marzo debe salir la respuesta por parte de Sec. Movilidad)
Avance 1 de junio 2022: El pasado 4 de mayo de 2022 el FDLU radicó ante la EAAB carta de intención de adquisición del predio Piedra Herrada, donde a la vez se solicitó apoyo para la realización del avalúo, con el cual se puede determinar el valor, para continuar con la compra venta. la EAAB respondió  dicha solicitud con oficio 2520001-S-2022-128092 del 12 de mayo de 2022, aceptando e informando que iniciará el ´proceso de avalúo comercial. estamos a la espera del documento.
Reporte 12 julio: La EAAB informa el 07/07/20222 que por el tema de POT se debió volver a pedir concepto de norma y  la elaboración, se espera tener a final del mes de julio el avalúo aprobado"                                                                                                                                                                                                   .                                                                                                                                                                                                                                Reporte 23 de Agosto del 2022: El viernes, 19 de agosto quedó listo el avalúo del predio de la vía del hospital de Usme, la EAAB lo debe enviar al alcalde local para que hagan la oferta y puedan continuar con la adquisición del predio</v>
      </c>
      <c r="N1574" s="55">
        <f ca="1">IFERROR(__xludf.DUMMYFUNCTION("""COMPUTED_VALUE"""),44804)</f>
        <v>44804</v>
      </c>
      <c r="O1574" s="25" t="str">
        <f t="shared" ca="1" si="0"/>
        <v>Alcaldía Local</v>
      </c>
      <c r="P1574" s="25" t="str">
        <f t="shared" si="2"/>
        <v/>
      </c>
      <c r="Q1574" s="25" t="str">
        <f ca="1">IFERROR(__xludf.DUMMYFUNCTION("""COMPUTED_VALUE"""),"Corto plazo")</f>
        <v>Corto plazo</v>
      </c>
      <c r="R1574" s="25"/>
      <c r="S1574" s="55"/>
      <c r="T1574" s="56"/>
      <c r="U1574" s="25"/>
      <c r="V1574" s="25"/>
      <c r="W1574" s="25"/>
      <c r="X1574" s="25"/>
      <c r="Y1574" s="25"/>
      <c r="Z1574" s="25"/>
    </row>
    <row r="1575" spans="1:26" ht="52.5" customHeight="1" x14ac:dyDescent="0.25">
      <c r="A1575" s="25" t="str">
        <f ca="1">IFERROR(__xludf.DUMMYFUNCTION("""COMPUTED_VALUE"""),"Gobie73")</f>
        <v>Gobie73</v>
      </c>
      <c r="B1575" s="25" t="str">
        <f ca="1">IFERROR(__xludf.DUMMYFUNCTION("""COMPUTED_VALUE"""),"Consejo de Seguridad del 13 de abril ")</f>
        <v xml:space="preserve">Consejo de Seguridad del 13 de abril </v>
      </c>
      <c r="C1575" s="55">
        <f ca="1">IFERROR(__xludf.DUMMYFUNCTION("""COMPUTED_VALUE"""),44308)</f>
        <v>44308</v>
      </c>
      <c r="D1575" s="25" t="str">
        <f ca="1">IFERROR(__xludf.DUMMYFUNCTION("""COMPUTED_VALUE"""),"Gobierno")</f>
        <v>Gobierno</v>
      </c>
      <c r="E1575" s="25" t="str">
        <f ca="1">IFERROR(__xludf.DUMMYFUNCTION("""COMPUTED_VALUE"""),"Secretaría Distrital de Gobierno")</f>
        <v>Secretaría Distrital de Gobierno</v>
      </c>
      <c r="F1575" s="25" t="str">
        <f ca="1">IFERROR(__xludf.DUMMYFUNCTION("""COMPUTED_VALUE"""),"El 30 de abril en el Consejo de Gobierno con Alcaldes Locales se  debe presentar un plan sobre los predios que no están en uso (predio por predio).")</f>
        <v>El 30 de abril en el Consejo de Gobierno con Alcaldes Locales se  debe presentar un plan sobre los predios que no están en uso (predio por predio).</v>
      </c>
      <c r="G1575" s="25" t="str">
        <f ca="1">IFERROR(__xludf.DUMMYFUNCTION("""COMPUTED_VALUE"""),"99. Distrito")</f>
        <v>99. Distrito</v>
      </c>
      <c r="H1575" s="55">
        <f ca="1">IFERROR(__xludf.DUMMYFUNCTION("""COMPUTED_VALUE"""),44338)</f>
        <v>44338</v>
      </c>
      <c r="I1575" s="25"/>
      <c r="J1575" s="55" t="str">
        <f ca="1">IFERROR(__xludf.DUMMYFUNCTION("""COMPUTED_VALUE"""),"Alta")</f>
        <v>Alta</v>
      </c>
      <c r="K1575" s="25">
        <f ca="1">IFERROR(__xludf.DUMMYFUNCTION("""COMPUTED_VALUE"""),30)</f>
        <v>30</v>
      </c>
      <c r="L1575" s="62">
        <f ca="1">IFERROR(__xludf.DUMMYFUNCTION("""COMPUTED_VALUE"""),44454)</f>
        <v>44454</v>
      </c>
      <c r="M1575" s="25" t="str">
        <f ca="1">IFERROR(__xludf.DUMMYFUNCTION("""COMPUTED_VALUE"""),"Se solicita cerrar. Por parte del dadep se entregaron los listados de los predios georeferenciados de acuerdo con la solicitud del consejo gobierno el día 5 de mayo de 2021")</f>
        <v>Se solicita cerrar. Por parte del dadep se entregaron los listados de los predios georeferenciados de acuerdo con la solicitud del consejo gobierno el día 5 de mayo de 2021</v>
      </c>
      <c r="N1575" s="55">
        <f ca="1">IFERROR(__xludf.DUMMYFUNCTION("""COMPUTED_VALUE"""),44454)</f>
        <v>44454</v>
      </c>
      <c r="O1575" s="25" t="str">
        <f t="shared" ca="1" si="0"/>
        <v>Secretaría Distrital de Gobierno</v>
      </c>
      <c r="P1575" s="25" t="str">
        <f t="shared" si="2"/>
        <v/>
      </c>
      <c r="Q1575" s="25" t="str">
        <f ca="1">IFERROR(__xludf.DUMMYFUNCTION("""COMPUTED_VALUE"""),"Corto plazo")</f>
        <v>Corto plazo</v>
      </c>
      <c r="R1575" s="25"/>
      <c r="S1575" s="55"/>
      <c r="T1575" s="56"/>
      <c r="U1575" s="25"/>
      <c r="V1575" s="25"/>
      <c r="W1575" s="25"/>
      <c r="X1575" s="25"/>
      <c r="Y1575" s="25"/>
      <c r="Z1575" s="25"/>
    </row>
    <row r="1576" spans="1:26" ht="52.5" customHeight="1" x14ac:dyDescent="0.25">
      <c r="A1576" s="25" t="str">
        <f ca="1">IFERROR(__xludf.DUMMYFUNCTION("""COMPUTED_VALUE"""),"Gobie74")</f>
        <v>Gobie74</v>
      </c>
      <c r="B1576" s="25" t="str">
        <f ca="1">IFERROR(__xludf.DUMMYFUNCTION("""COMPUTED_VALUE"""),"Recorrido Fontibón")</f>
        <v>Recorrido Fontibón</v>
      </c>
      <c r="C1576" s="55">
        <f ca="1">IFERROR(__xludf.DUMMYFUNCTION("""COMPUTED_VALUE"""),44244)</f>
        <v>44244</v>
      </c>
      <c r="D1576" s="25" t="str">
        <f ca="1">IFERROR(__xludf.DUMMYFUNCTION("""COMPUTED_VALUE"""),"Gobierno")</f>
        <v>Gobierno</v>
      </c>
      <c r="E1576" s="25" t="str">
        <f ca="1">IFERROR(__xludf.DUMMYFUNCTION("""COMPUTED_VALUE"""),"Secretaría Distrital de Gobierno")</f>
        <v>Secretaría Distrital de Gobierno</v>
      </c>
      <c r="F1576" s="25" t="str">
        <f ca="1">IFERROR(__xludf.DUMMYFUNCTION("""COMPUTED_VALUE"""),"Hacer una jornada de juntos cuidamos Bogotá en la plaza fundacional")</f>
        <v>Hacer una jornada de juntos cuidamos Bogotá en la plaza fundacional</v>
      </c>
      <c r="G1576" s="55" t="str">
        <f ca="1">IFERROR(__xludf.DUMMYFUNCTION("""COMPUTED_VALUE"""),"09. Fontibón")</f>
        <v>09. Fontibón</v>
      </c>
      <c r="H1576" s="55">
        <f ca="1">IFERROR(__xludf.DUMMYFUNCTION("""COMPUTED_VALUE"""),44274)</f>
        <v>44274</v>
      </c>
      <c r="I1576" s="25"/>
      <c r="J1576" s="55" t="str">
        <f ca="1">IFERROR(__xludf.DUMMYFUNCTION("""COMPUTED_VALUE"""),"Alta")</f>
        <v>Alta</v>
      </c>
      <c r="K1576" s="25">
        <f ca="1">IFERROR(__xludf.DUMMYFUNCTION("""COMPUTED_VALUE"""),30)</f>
        <v>30</v>
      </c>
      <c r="L1576" s="62">
        <f ca="1">IFERROR(__xludf.DUMMYFUNCTION("""COMPUTED_VALUE"""),44715)</f>
        <v>44715</v>
      </c>
      <c r="M1576" s="25" t="str">
        <f ca="1">IFERROR(__xludf.DUMMYFUNCTION("""COMPUTED_VALUE"""),"Se realizó una primera reunión preparatoria desde la estrategia Juntos Cuidamos Bogotá con alcaldía Local, Hábitat, Gobierno y ciudad limpia. 
El 22 de mayo se realizó la intervención con todas las entidades corresponsables ")</f>
        <v xml:space="preserve">Se realizó una primera reunión preparatoria desde la estrategia Juntos Cuidamos Bogotá con alcaldía Local, Hábitat, Gobierno y ciudad limpia. 
El 22 de mayo se realizó la intervención con todas las entidades corresponsables </v>
      </c>
      <c r="N1576" s="55">
        <f ca="1">IFERROR(__xludf.DUMMYFUNCTION("""COMPUTED_VALUE"""),44715)</f>
        <v>44715</v>
      </c>
      <c r="O1576" s="25" t="str">
        <f t="shared" ca="1" si="0"/>
        <v>Secretaría Distrital de Gobierno</v>
      </c>
      <c r="P1576" s="25" t="str">
        <f t="shared" si="2"/>
        <v/>
      </c>
      <c r="Q1576" s="25" t="str">
        <f ca="1">IFERROR(__xludf.DUMMYFUNCTION("""COMPUTED_VALUE"""),"Corto plazo")</f>
        <v>Corto plazo</v>
      </c>
      <c r="R1576" s="25"/>
      <c r="S1576" s="55"/>
      <c r="T1576" s="56"/>
      <c r="U1576" s="25"/>
      <c r="V1576" s="25"/>
      <c r="W1576" s="25"/>
      <c r="X1576" s="25"/>
      <c r="Y1576" s="25"/>
      <c r="Z1576" s="25"/>
    </row>
    <row r="1577" spans="1:26" ht="52.5" customHeight="1" x14ac:dyDescent="0.25">
      <c r="A1577" s="25" t="str">
        <f ca="1">IFERROR(__xludf.DUMMYFUNCTION("""COMPUTED_VALUE"""),"Gobie75")</f>
        <v>Gobie75</v>
      </c>
      <c r="B1577" s="25" t="str">
        <f ca="1">IFERROR(__xludf.DUMMYFUNCTION("""COMPUTED_VALUE"""),"Recorrido Sumapaz")</f>
        <v>Recorrido Sumapaz</v>
      </c>
      <c r="C1577" s="55">
        <f ca="1">IFERROR(__xludf.DUMMYFUNCTION("""COMPUTED_VALUE"""),44162)</f>
        <v>44162</v>
      </c>
      <c r="D1577" s="25" t="str">
        <f ca="1">IFERROR(__xludf.DUMMYFUNCTION("""COMPUTED_VALUE"""),"Gobierno")</f>
        <v>Gobierno</v>
      </c>
      <c r="E1577" s="25" t="str">
        <f ca="1">IFERROR(__xludf.DUMMYFUNCTION("""COMPUTED_VALUE"""),"Secretaría Distrital de Gobierno")</f>
        <v>Secretaría Distrital de Gobierno</v>
      </c>
      <c r="F1577" s="25" t="str">
        <f ca="1">IFERROR(__xludf.DUMMYFUNCTION("""COMPUTED_VALUE"""),"Coordinar con GEB para que apoye la implementación de energías alternativas en Sumapaz ")</f>
        <v xml:space="preserve">Coordinar con GEB para que apoye la implementación de energías alternativas en Sumapaz </v>
      </c>
      <c r="G1577" s="55" t="str">
        <f ca="1">IFERROR(__xludf.DUMMYFUNCTION("""COMPUTED_VALUE"""),"20. Sumapaz")</f>
        <v>20. Sumapaz</v>
      </c>
      <c r="H1577" s="55">
        <f ca="1">IFERROR(__xludf.DUMMYFUNCTION("""COMPUTED_VALUE"""),44192)</f>
        <v>44192</v>
      </c>
      <c r="I1577" s="25"/>
      <c r="J1577" s="55" t="str">
        <f ca="1">IFERROR(__xludf.DUMMYFUNCTION("""COMPUTED_VALUE"""),"Alta")</f>
        <v>Alta</v>
      </c>
      <c r="K1577" s="25">
        <f ca="1">IFERROR(__xludf.DUMMYFUNCTION("""COMPUTED_VALUE"""),30)</f>
        <v>30</v>
      </c>
      <c r="L1577" s="62">
        <f ca="1">IFERROR(__xludf.DUMMYFUNCTION("""COMPUTED_VALUE"""),44362)</f>
        <v>44362</v>
      </c>
      <c r="M1577" s="25" t="str">
        <f ca="1">IFERROR(__xludf.DUMMYFUNCTION("""COMPUTED_VALUE"""),"Con el GEB no se llegó a un acuerdo para la implementación de energías alternativas en la localidad, pero gracias al vínculo realizado con la CAR, se están instalando paneles solares, equipamientos para energía eólica y, por último, haciendo estudios para"&amp;" establecer turbinas en los cauces de los ríos y aprovechar la energía hidráulica")</f>
        <v>Con el GEB no se llegó a un acuerdo para la implementación de energías alternativas en la localidad, pero gracias al vínculo realizado con la CAR, se están instalando paneles solares, equipamientos para energía eólica y, por último, haciendo estudios para establecer turbinas en los cauces de los ríos y aprovechar la energía hidráulica</v>
      </c>
      <c r="N1577" s="55">
        <f ca="1">IFERROR(__xludf.DUMMYFUNCTION("""COMPUTED_VALUE"""),44362)</f>
        <v>44362</v>
      </c>
      <c r="O1577" s="25" t="str">
        <f t="shared" ca="1" si="0"/>
        <v>Secretaría Distrital de Gobierno</v>
      </c>
      <c r="P1577" s="25" t="str">
        <f t="shared" si="2"/>
        <v/>
      </c>
      <c r="Q1577" s="25" t="str">
        <f ca="1">IFERROR(__xludf.DUMMYFUNCTION("""COMPUTED_VALUE"""),"Corto plazo")</f>
        <v>Corto plazo</v>
      </c>
      <c r="R1577" s="25"/>
      <c r="S1577" s="55"/>
      <c r="T1577" s="56"/>
      <c r="U1577" s="25"/>
      <c r="V1577" s="25"/>
      <c r="W1577" s="25"/>
      <c r="X1577" s="25"/>
      <c r="Y1577" s="25"/>
      <c r="Z1577" s="25"/>
    </row>
    <row r="1578" spans="1:26" ht="52.5" customHeight="1" x14ac:dyDescent="0.25">
      <c r="A1578" s="25" t="str">
        <f ca="1">IFERROR(__xludf.DUMMYFUNCTION("""COMPUTED_VALUE"""),"Gobie76")</f>
        <v>Gobie76</v>
      </c>
      <c r="B1578" s="25" t="str">
        <f ca="1">IFERROR(__xludf.DUMMYFUNCTION("""COMPUTED_VALUE"""),"Recorrido Sumapaz")</f>
        <v>Recorrido Sumapaz</v>
      </c>
      <c r="C1578" s="55">
        <f ca="1">IFERROR(__xludf.DUMMYFUNCTION("""COMPUTED_VALUE"""),44162)</f>
        <v>44162</v>
      </c>
      <c r="D1578" s="25" t="str">
        <f ca="1">IFERROR(__xludf.DUMMYFUNCTION("""COMPUTED_VALUE"""),"Gobierno")</f>
        <v>Gobierno</v>
      </c>
      <c r="E1578" s="25" t="str">
        <f ca="1">IFERROR(__xludf.DUMMYFUNCTION("""COMPUTED_VALUE"""),"Secretaría Distrital de Gobierno")</f>
        <v>Secretaría Distrital de Gobierno</v>
      </c>
      <c r="F1578" s="25" t="str">
        <f ca="1">IFERROR(__xludf.DUMMYFUNCTION("""COMPUTED_VALUE"""),"Generar esquema rotativo con todos los equipos de todas las entidades en las veredas, para optimizar el tiempo en territorio")</f>
        <v>Generar esquema rotativo con todos los equipos de todas las entidades en las veredas, para optimizar el tiempo en territorio</v>
      </c>
      <c r="G1578" s="55" t="str">
        <f ca="1">IFERROR(__xludf.DUMMYFUNCTION("""COMPUTED_VALUE"""),"20. Sumapaz")</f>
        <v>20. Sumapaz</v>
      </c>
      <c r="H1578" s="55">
        <f ca="1">IFERROR(__xludf.DUMMYFUNCTION("""COMPUTED_VALUE"""),44192)</f>
        <v>44192</v>
      </c>
      <c r="I1578" s="25"/>
      <c r="J1578" s="55" t="str">
        <f ca="1">IFERROR(__xludf.DUMMYFUNCTION("""COMPUTED_VALUE"""),"Alta")</f>
        <v>Alta</v>
      </c>
      <c r="K1578" s="25">
        <f ca="1">IFERROR(__xludf.DUMMYFUNCTION("""COMPUTED_VALUE"""),30)</f>
        <v>30</v>
      </c>
      <c r="L1578" s="62"/>
      <c r="M1578" s="25" t="str">
        <f ca="1">IFERROR(__xludf.DUMMYFUNCTION("""COMPUTED_VALUE"""),"La alcaldía local tiene el vínculo con todas las entidades y se hace acompañamiento de manera virtual, ya no se ha logrado que haya esquemas rotativos presenciales por parte de las entidades")</f>
        <v>La alcaldía local tiene el vínculo con todas las entidades y se hace acompañamiento de manera virtual, ya no se ha logrado que haya esquemas rotativos presenciales por parte de las entidades</v>
      </c>
      <c r="N1578" s="55">
        <f ca="1">IFERROR(__xludf.DUMMYFUNCTION("""COMPUTED_VALUE"""),44927)</f>
        <v>44927</v>
      </c>
      <c r="O1578" s="25" t="str">
        <f t="shared" ca="1" si="0"/>
        <v>Secretaría Distrital de Gobierno</v>
      </c>
      <c r="P1578" s="25" t="str">
        <f t="shared" si="2"/>
        <v/>
      </c>
      <c r="Q1578" s="25" t="str">
        <f ca="1">IFERROR(__xludf.DUMMYFUNCTION("""COMPUTED_VALUE"""),"Corto plazo")</f>
        <v>Corto plazo</v>
      </c>
      <c r="R1578" s="25"/>
      <c r="S1578" s="55"/>
      <c r="T1578" s="56"/>
      <c r="U1578" s="25"/>
      <c r="V1578" s="25"/>
      <c r="W1578" s="25"/>
      <c r="X1578" s="25"/>
      <c r="Y1578" s="25"/>
      <c r="Z1578" s="25"/>
    </row>
    <row r="1579" spans="1:26" ht="52.5" customHeight="1" x14ac:dyDescent="0.25">
      <c r="A1579" s="25" t="str">
        <f ca="1">IFERROR(__xludf.DUMMYFUNCTION("""COMPUTED_VALUE"""),"Gobie77")</f>
        <v>Gobie77</v>
      </c>
      <c r="B1579" s="25" t="str">
        <f ca="1">IFERROR(__xludf.DUMMYFUNCTION("""COMPUTED_VALUE"""),"Recorrido Sumapaz")</f>
        <v>Recorrido Sumapaz</v>
      </c>
      <c r="C1579" s="55">
        <f ca="1">IFERROR(__xludf.DUMMYFUNCTION("""COMPUTED_VALUE"""),44162)</f>
        <v>44162</v>
      </c>
      <c r="D1579" s="25" t="str">
        <f ca="1">IFERROR(__xludf.DUMMYFUNCTION("""COMPUTED_VALUE"""),"Gobierno")</f>
        <v>Gobierno</v>
      </c>
      <c r="E1579" s="25" t="str">
        <f ca="1">IFERROR(__xludf.DUMMYFUNCTION("""COMPUTED_VALUE"""),"Secretaría Distrital de Gobierno")</f>
        <v>Secretaría Distrital de Gobierno</v>
      </c>
      <c r="F1579" s="25" t="str">
        <f ca="1">IFERROR(__xludf.DUMMYFUNCTION("""COMPUTED_VALUE"""),"Habilitar el componente flexible del FDL, para nueva sede de alcaldía local en San Juan")</f>
        <v>Habilitar el componente flexible del FDL, para nueva sede de alcaldía local en San Juan</v>
      </c>
      <c r="G1579" s="55" t="str">
        <f ca="1">IFERROR(__xludf.DUMMYFUNCTION("""COMPUTED_VALUE"""),"20. Sumapaz")</f>
        <v>20. Sumapaz</v>
      </c>
      <c r="H1579" s="55">
        <f ca="1">IFERROR(__xludf.DUMMYFUNCTION("""COMPUTED_VALUE"""),44192)</f>
        <v>44192</v>
      </c>
      <c r="I1579" s="25"/>
      <c r="J1579" s="55" t="str">
        <f ca="1">IFERROR(__xludf.DUMMYFUNCTION("""COMPUTED_VALUE"""),"Alta")</f>
        <v>Alta</v>
      </c>
      <c r="K1579" s="25">
        <f ca="1">IFERROR(__xludf.DUMMYFUNCTION("""COMPUTED_VALUE"""),30)</f>
        <v>30</v>
      </c>
      <c r="L1579" s="62">
        <f ca="1">IFERROR(__xludf.DUMMYFUNCTION("""COMPUTED_VALUE"""),44362)</f>
        <v>44362</v>
      </c>
      <c r="M1579" s="25" t="str">
        <f ca="1">IFERROR(__xludf.DUMMYFUNCTION("""COMPUTED_VALUE"""),"No se ha necesitado los recursos del FDL para las adecuaciones de la sede. ya que en este momento está la licitación de mano de obra, la cual cierra el 8 de septiembre, y el contrato de suministros cerró hace 20 días y ya se cuenta con los materiales para"&amp;" las adecuaciones necesarias. La sede San Juan cuenta con planos y estudios topográficos.")</f>
        <v>No se ha necesitado los recursos del FDL para las adecuaciones de la sede. ya que en este momento está la licitación de mano de obra, la cual cierra el 8 de septiembre, y el contrato de suministros cerró hace 20 días y ya se cuenta con los materiales para las adecuaciones necesarias. La sede San Juan cuenta con planos y estudios topográficos.</v>
      </c>
      <c r="N1579" s="55">
        <f ca="1">IFERROR(__xludf.DUMMYFUNCTION("""COMPUTED_VALUE"""),44362)</f>
        <v>44362</v>
      </c>
      <c r="O1579" s="25" t="str">
        <f t="shared" ca="1" si="0"/>
        <v>Secretaría Distrital de Gobierno</v>
      </c>
      <c r="P1579" s="25" t="str">
        <f t="shared" si="2"/>
        <v/>
      </c>
      <c r="Q1579" s="25" t="str">
        <f ca="1">IFERROR(__xludf.DUMMYFUNCTION("""COMPUTED_VALUE"""),"Corto plazo")</f>
        <v>Corto plazo</v>
      </c>
      <c r="R1579" s="25"/>
      <c r="S1579" s="55"/>
      <c r="T1579" s="56"/>
      <c r="U1579" s="25"/>
      <c r="V1579" s="25"/>
      <c r="W1579" s="25"/>
      <c r="X1579" s="25"/>
      <c r="Y1579" s="25"/>
      <c r="Z1579" s="25"/>
    </row>
    <row r="1580" spans="1:26" ht="52.5" customHeight="1" x14ac:dyDescent="0.25">
      <c r="A1580" s="25" t="str">
        <f ca="1">IFERROR(__xludf.DUMMYFUNCTION("""COMPUTED_VALUE"""),"Gobie78")</f>
        <v>Gobie78</v>
      </c>
      <c r="B1580" s="25" t="str">
        <f ca="1">IFERROR(__xludf.DUMMYFUNCTION("""COMPUTED_VALUE"""),"Despachando desde la Secretaría Distrital de gobierno")</f>
        <v>Despachando desde la Secretaría Distrital de gobierno</v>
      </c>
      <c r="C1580" s="55">
        <f ca="1">IFERROR(__xludf.DUMMYFUNCTION("""COMPUTED_VALUE"""),44146)</f>
        <v>44146</v>
      </c>
      <c r="D1580" s="25" t="str">
        <f ca="1">IFERROR(__xludf.DUMMYFUNCTION("""COMPUTED_VALUE"""),"Gobierno")</f>
        <v>Gobierno</v>
      </c>
      <c r="E1580" s="25" t="str">
        <f ca="1">IFERROR(__xludf.DUMMYFUNCTION("""COMPUTED_VALUE"""),"Secretaría Distrital de Gobierno")</f>
        <v>Secretaría Distrital de Gobierno</v>
      </c>
      <c r="F1580" s="25" t="str">
        <f ca="1">IFERROR(__xludf.DUMMYFUNCTION("""COMPUTED_VALUE"""),"Recopilación, recolección y análisis de las conflictividades, la movilización social y el derecho a la protesta social, en el marco de los sucesos del 9 y 10 de septiembre de 2020.")</f>
        <v>Recopilación, recolección y análisis de las conflictividades, la movilización social y el derecho a la protesta social, en el marco de los sucesos del 9 y 10 de septiembre de 2020.</v>
      </c>
      <c r="G1580" s="25" t="str">
        <f ca="1">IFERROR(__xludf.DUMMYFUNCTION("""COMPUTED_VALUE"""),"99. Distrito")</f>
        <v>99. Distrito</v>
      </c>
      <c r="H1580" s="55">
        <f ca="1">IFERROR(__xludf.DUMMYFUNCTION("""COMPUTED_VALUE"""),44176)</f>
        <v>44176</v>
      </c>
      <c r="I1580" s="25"/>
      <c r="J1580" s="55" t="str">
        <f ca="1">IFERROR(__xludf.DUMMYFUNCTION("""COMPUTED_VALUE"""),"Alta")</f>
        <v>Alta</v>
      </c>
      <c r="K1580" s="25">
        <f ca="1">IFERROR(__xludf.DUMMYFUNCTION("""COMPUTED_VALUE"""),30)</f>
        <v>30</v>
      </c>
      <c r="L1580" s="62">
        <f ca="1">IFERROR(__xludf.DUMMYFUNCTION("""COMPUTED_VALUE"""),44539)</f>
        <v>44539</v>
      </c>
      <c r="M1580" s="25" t="str">
        <f ca="1">IFERROR(__xludf.DUMMYFUNCTION("""COMPUTED_VALUE"""),"Se realizó jornada de unificación y consolidado de casos de los hechos ocurridos 9,10 y 11 de septiembre del 2020 (Reporte de 121 casos de personas Heridas en el marco de los hechos y 8 fallecimientos)
Se realizó jornada previa de acercamiento y diálogo c"&amp;"on los familiares de las víctimas de los hechos ocurridos 9,10 y 11 de Septiembre -Sesión llevada a cabo en el despacho del secretario junto con la Dirección de derechos humanos y el observatorio de conflictividad social de la dirección de convivencia y d"&amp;"iálogo social. 
Se acordó una actividad de conmemoración del primer año de los hechos ocurridos en la Catedral Primada en una ceremonia privada con la asistencia de la Alcaldesa Mayor de Bogotá, el secretario de Gobierno , la dirección de Derechos Humanos"&amp;", observatorio de conflictividad social y familiares de las víctimas. 
Se presentó un adelanto del Informe relatorías de los hechos ocurridos tras un año de compilación de cada insumo. Por parte del Ex defensor del pueblo Carlos Negret, como asignación re"&amp;"alizada por la alcaldesa Mayor de Bogotá, llevado a cabo en el centro memoria paz y reconciliación. 
Se realizó acompañamiento a la jornada de memoria y reivindicación de la misma, en homenaje y aniversario en el parque Verbenal, asistencia y acompañamien"&amp;"to desde el observatorio de conflictividad social a las familias de las víctimas. 
Se están llevando a cabo los compromisos realizados por la alcaldesa en una sesión en conjunto con los familiares e instituciones encargadas de competencia jurídica. 
Se re"&amp;"alizó una actualización del estado preliminar de los casos, en la Mesa de convivencia, policía y derechos humanos. En una sesión especial para el seguimiento de casos y reporte interinstitucional. 
Tras la presentación de un derecho de petición por parte "&amp;"de la Mesa de Víctimas de los hechos ocurridos el 9, 10 y 11 de Septiembre, se presentó propuesta de mural con cada rostro de las víctimas.")</f>
        <v>Se realizó jornada de unificación y consolidado de casos de los hechos ocurridos 9,10 y 11 de septiembre del 2020 (Reporte de 121 casos de personas Heridas en el marco de los hechos y 8 fallecimientos)
Se realizó jornada previa de acercamiento y diálogo con los familiares de las víctimas de los hechos ocurridos 9,10 y 11 de Septiembre -Sesión llevada a cabo en el despacho del secretario junto con la Dirección de derechos humanos y el observatorio de conflictividad social de la dirección de convivencia y diálogo social. 
Se acordó una actividad de conmemoración del primer año de los hechos ocurridos en la Catedral Primada en una ceremonia privada con la asistencia de la Alcaldesa Mayor de Bogotá, el secretario de Gobierno , la dirección de Derechos Humanos, observatorio de conflictividad social y familiares de las víctimas. 
Se presentó un adelanto del Informe relatorías de los hechos ocurridos tras un año de compilación de cada insumo. Por parte del Ex defensor del pueblo Carlos Negret, como asignación realizada por la alcaldesa Mayor de Bogotá, llevado a cabo en el centro memoria paz y reconciliación. 
Se realizó acompañamiento a la jornada de memoria y reivindicación de la misma, en homenaje y aniversario en el parque Verbenal, asistencia y acompañamiento desde el observatorio de conflictividad social a las familias de las víctimas. 
Se están llevando a cabo los compromisos realizados por la alcaldesa en una sesión en conjunto con los familiares e instituciones encargadas de competencia jurídica. 
Se realizó una actualización del estado preliminar de los casos, en la Mesa de convivencia, policía y derechos humanos. En una sesión especial para el seguimiento de casos y reporte interinstitucional. 
Tras la presentación de un derecho de petición por parte de la Mesa de Víctimas de los hechos ocurridos el 9, 10 y 11 de Septiembre, se presentó propuesta de mural con cada rostro de las víctimas.</v>
      </c>
      <c r="N1580" s="55">
        <f ca="1">IFERROR(__xludf.DUMMYFUNCTION("""COMPUTED_VALUE"""),44539)</f>
        <v>44539</v>
      </c>
      <c r="O1580" s="25" t="str">
        <f t="shared" ca="1" si="0"/>
        <v>Secretaría Distrital de Gobierno</v>
      </c>
      <c r="P1580" s="25" t="str">
        <f t="shared" si="2"/>
        <v/>
      </c>
      <c r="Q1580" s="25" t="str">
        <f ca="1">IFERROR(__xludf.DUMMYFUNCTION("""COMPUTED_VALUE"""),"Corto plazo")</f>
        <v>Corto plazo</v>
      </c>
      <c r="R1580" s="25"/>
      <c r="S1580" s="55"/>
      <c r="T1580" s="56"/>
      <c r="U1580" s="25"/>
      <c r="V1580" s="25"/>
      <c r="W1580" s="25"/>
      <c r="X1580" s="25"/>
      <c r="Y1580" s="25"/>
      <c r="Z1580" s="25"/>
    </row>
    <row r="1581" spans="1:26" ht="52.5" customHeight="1" x14ac:dyDescent="0.25">
      <c r="A1581" s="25" t="str">
        <f ca="1">IFERROR(__xludf.DUMMYFUNCTION("""COMPUTED_VALUE"""),"Gobie79")</f>
        <v>Gobie79</v>
      </c>
      <c r="B1581" s="25" t="str">
        <f ca="1">IFERROR(__xludf.DUMMYFUNCTION("""COMPUTED_VALUE"""),"Despachando desde la Secretaría Distrital de gobierno")</f>
        <v>Despachando desde la Secretaría Distrital de gobierno</v>
      </c>
      <c r="C1581" s="55">
        <f ca="1">IFERROR(__xludf.DUMMYFUNCTION("""COMPUTED_VALUE"""),44146)</f>
        <v>44146</v>
      </c>
      <c r="D1581" s="25" t="str">
        <f ca="1">IFERROR(__xludf.DUMMYFUNCTION("""COMPUTED_VALUE"""),"Gobierno")</f>
        <v>Gobierno</v>
      </c>
      <c r="E1581" s="25" t="str">
        <f ca="1">IFERROR(__xludf.DUMMYFUNCTION("""COMPUTED_VALUE"""),"Secretaría Distrital de Gobierno")</f>
        <v>Secretaría Distrital de Gobierno</v>
      </c>
      <c r="F1581" s="25" t="str">
        <f ca="1">IFERROR(__xludf.DUMMYFUNCTION("""COMPUTED_VALUE"""),"Incidir en el PL que modifica el decreto ley 1421 - tamaño y número de localidades, grilla de centralidades y corredores verdes, gabinetes locales")</f>
        <v>Incidir en el PL que modifica el decreto ley 1421 - tamaño y número de localidades, grilla de centralidades y corredores verdes, gabinetes locales</v>
      </c>
      <c r="G1581" s="25" t="str">
        <f ca="1">IFERROR(__xludf.DUMMYFUNCTION("""COMPUTED_VALUE"""),"99. Distrito")</f>
        <v>99. Distrito</v>
      </c>
      <c r="H1581" s="55">
        <f ca="1">IFERROR(__xludf.DUMMYFUNCTION("""COMPUTED_VALUE"""),44176)</f>
        <v>44176</v>
      </c>
      <c r="I1581" s="25"/>
      <c r="J1581" s="55" t="str">
        <f ca="1">IFERROR(__xludf.DUMMYFUNCTION("""COMPUTED_VALUE"""),"Alta")</f>
        <v>Alta</v>
      </c>
      <c r="K1581" s="25">
        <f ca="1">IFERROR(__xludf.DUMMYFUNCTION("""COMPUTED_VALUE"""),30)</f>
        <v>30</v>
      </c>
      <c r="L1581" s="62">
        <f ca="1">IFERROR(__xludf.DUMMYFUNCTION("""COMPUTED_VALUE"""),44539)</f>
        <v>44539</v>
      </c>
      <c r="M1581" s="25" t="str">
        <f ca="1">IFERROR(__xludf.DUMMYFUNCTION("""COMPUTED_VALUE"""),"-El 27 de enero se realizó reunión con el Representante José Daniel López y su equipo para definir el texto que será presentado como modificación a la ponencia radicada por el Senador Germán Varón. Se acordaron temas como la creación del Consejo Distrital"&amp;" de Gobierno para Asuntos Locales, la creación del Gabinete Local conformado por los alcaldes locales y los delegados de cada sector administrativo. Se acordó modificar la forma cómo se crean las localidades y se enfatizó en que estas dependerán de la con"&amp;"figuración del territorio que se defina en la formulación y adopción del Plan de Ordenamiento Territorial. Y se adicionaron y eliminaron funciones y competencias a las Juntas Administradoras Locales y a los Alcaldes Locales.")</f>
        <v>-El 27 de enero se realizó reunión con el Representante José Daniel López y su equipo para definir el texto que será presentado como modificación a la ponencia radicada por el Senador Germán Varón. Se acordaron temas como la creación del Consejo Distrital de Gobierno para Asuntos Locales, la creación del Gabinete Local conformado por los alcaldes locales y los delegados de cada sector administrativo. Se acordó modificar la forma cómo se crean las localidades y se enfatizó en que estas dependerán de la configuración del territorio que se defina en la formulación y adopción del Plan de Ordenamiento Territorial. Y se adicionaron y eliminaron funciones y competencias a las Juntas Administradoras Locales y a los Alcaldes Locales.</v>
      </c>
      <c r="N1581" s="55">
        <f ca="1">IFERROR(__xludf.DUMMYFUNCTION("""COMPUTED_VALUE"""),44539)</f>
        <v>44539</v>
      </c>
      <c r="O1581" s="25" t="str">
        <f t="shared" ca="1" si="0"/>
        <v>Secretaría Distrital de Gobierno</v>
      </c>
      <c r="P1581" s="25" t="str">
        <f t="shared" si="2"/>
        <v/>
      </c>
      <c r="Q1581" s="25" t="str">
        <f ca="1">IFERROR(__xludf.DUMMYFUNCTION("""COMPUTED_VALUE"""),"Corto plazo")</f>
        <v>Corto plazo</v>
      </c>
      <c r="R1581" s="25"/>
      <c r="S1581" s="55"/>
      <c r="T1581" s="56"/>
      <c r="U1581" s="25"/>
      <c r="V1581" s="25"/>
      <c r="W1581" s="25"/>
      <c r="X1581" s="25"/>
      <c r="Y1581" s="25"/>
      <c r="Z1581" s="25"/>
    </row>
    <row r="1582" spans="1:26" ht="52.5" customHeight="1" x14ac:dyDescent="0.25">
      <c r="A1582" s="25" t="str">
        <f ca="1">IFERROR(__xludf.DUMMYFUNCTION("""COMPUTED_VALUE"""),"Gobie80")</f>
        <v>Gobie80</v>
      </c>
      <c r="B1582" s="25" t="str">
        <f ca="1">IFERROR(__xludf.DUMMYFUNCTION("""COMPUTED_VALUE"""),"Despachando desde la Secretaría Distrital de gobierno")</f>
        <v>Despachando desde la Secretaría Distrital de gobierno</v>
      </c>
      <c r="C1582" s="55">
        <f ca="1">IFERROR(__xludf.DUMMYFUNCTION("""COMPUTED_VALUE"""),44146)</f>
        <v>44146</v>
      </c>
      <c r="D1582" s="25" t="str">
        <f ca="1">IFERROR(__xludf.DUMMYFUNCTION("""COMPUTED_VALUE"""),"Gobierno")</f>
        <v>Gobierno</v>
      </c>
      <c r="E1582" s="25" t="str">
        <f ca="1">IFERROR(__xludf.DUMMYFUNCTION("""COMPUTED_VALUE"""),"Secretaría Distrital de Gobierno")</f>
        <v>Secretaría Distrital de Gobierno</v>
      </c>
      <c r="F1582" s="25" t="str">
        <f ca="1">IFERROR(__xludf.DUMMYFUNCTION("""COMPUTED_VALUE"""),"Involucrar al equipo de diálogo social en los puntos críticos identificados en los consejos de seguridad")</f>
        <v>Involucrar al equipo de diálogo social en los puntos críticos identificados en los consejos de seguridad</v>
      </c>
      <c r="G1582" s="25" t="str">
        <f ca="1">IFERROR(__xludf.DUMMYFUNCTION("""COMPUTED_VALUE"""),"99. Distrito")</f>
        <v>99. Distrito</v>
      </c>
      <c r="H1582" s="55">
        <f ca="1">IFERROR(__xludf.DUMMYFUNCTION("""COMPUTED_VALUE"""),44176)</f>
        <v>44176</v>
      </c>
      <c r="I1582" s="25"/>
      <c r="J1582" s="55" t="str">
        <f ca="1">IFERROR(__xludf.DUMMYFUNCTION("""COMPUTED_VALUE"""),"Alta")</f>
        <v>Alta</v>
      </c>
      <c r="K1582" s="25">
        <f ca="1">IFERROR(__xludf.DUMMYFUNCTION("""COMPUTED_VALUE"""),30)</f>
        <v>30</v>
      </c>
      <c r="L1582" s="62">
        <f ca="1">IFERROR(__xludf.DUMMYFUNCTION("""COMPUTED_VALUE"""),44426)</f>
        <v>44426</v>
      </c>
      <c r="M1582" s="25" t="str">
        <f ca="1">IFERROR(__xludf.DUMMYFUNCTION("""COMPUTED_VALUE"""),"Se hicieron las reuniones con las entidades pertinentes para la intervención de acuerdo a sus roles específicos.
 El día 13 de marzo se intervinieron estos dos espacios, en el parque Alfonso Araujo se realizó limpieza de basuras, pintura de las bancas,"&amp;" se pintó el muro perimetral por parte de la barra, ciudadanía y funcionarios, se realizó la siembra de 10 árboles por parte del jardín botánico y la comunidad, hubo presencia del IDPYBA para sensibilizar a los vecinos con el tema del trato y responsabili"&amp;"dad con las mascotas y la recogida de las heces de los caninos (esto genera conflictividades). Se adecuo un espacio atendido por la policía nacional de la estación de Usaquén ""Comando de puertas abiertas"" con el objeto de recibir denuncias durante la jo"&amp;"rnada.")</f>
        <v>Se hicieron las reuniones con las entidades pertinentes para la intervención de acuerdo a sus roles específicos.
 El día 13 de marzo se intervinieron estos dos espacios, en el parque Alfonso Araujo se realizó limpieza de basuras, pintura de las bancas, se pintó el muro perimetral por parte de la barra, ciudadanía y funcionarios, se realizó la siembra de 10 árboles por parte del jardín botánico y la comunidad, hubo presencia del IDPYBA para sensibilizar a los vecinos con el tema del trato y responsabilidad con las mascotas y la recogida de las heces de los caninos (esto genera conflictividades). Se adecuo un espacio atendido por la policía nacional de la estación de Usaquén "Comando de puertas abiertas" con el objeto de recibir denuncias durante la jornada.</v>
      </c>
      <c r="N1582" s="55">
        <f ca="1">IFERROR(__xludf.DUMMYFUNCTION("""COMPUTED_VALUE"""),44426)</f>
        <v>44426</v>
      </c>
      <c r="O1582" s="25" t="str">
        <f t="shared" ca="1" si="0"/>
        <v>Secretaría Distrital de Gobierno</v>
      </c>
      <c r="P1582" s="25" t="str">
        <f t="shared" si="2"/>
        <v/>
      </c>
      <c r="Q1582" s="25" t="str">
        <f ca="1">IFERROR(__xludf.DUMMYFUNCTION("""COMPUTED_VALUE"""),"Corto plazo")</f>
        <v>Corto plazo</v>
      </c>
      <c r="R1582" s="25"/>
      <c r="S1582" s="55"/>
      <c r="T1582" s="56"/>
      <c r="U1582" s="25"/>
      <c r="V1582" s="25"/>
      <c r="W1582" s="25"/>
      <c r="X1582" s="25"/>
      <c r="Y1582" s="25"/>
      <c r="Z1582" s="25"/>
    </row>
    <row r="1583" spans="1:26" ht="52.5" customHeight="1" x14ac:dyDescent="0.25">
      <c r="A1583" s="25" t="str">
        <f ca="1">IFERROR(__xludf.DUMMYFUNCTION("""COMPUTED_VALUE"""),"Gobie81")</f>
        <v>Gobie81</v>
      </c>
      <c r="B1583" s="25" t="str">
        <f ca="1">IFERROR(__xludf.DUMMYFUNCTION("""COMPUTED_VALUE"""),"Despachando desde la Secretaría Distrital de gobierno")</f>
        <v>Despachando desde la Secretaría Distrital de gobierno</v>
      </c>
      <c r="C1583" s="55">
        <f ca="1">IFERROR(__xludf.DUMMYFUNCTION("""COMPUTED_VALUE"""),44146)</f>
        <v>44146</v>
      </c>
      <c r="D1583" s="25" t="str">
        <f ca="1">IFERROR(__xludf.DUMMYFUNCTION("""COMPUTED_VALUE"""),"Gobierno")</f>
        <v>Gobierno</v>
      </c>
      <c r="E1583" s="25" t="str">
        <f ca="1">IFERROR(__xludf.DUMMYFUNCTION("""COMPUTED_VALUE"""),"Secretaría Distrital de Gobierno")</f>
        <v>Secretaría Distrital de Gobierno</v>
      </c>
      <c r="F1583" s="25" t="str">
        <f ca="1">IFERROR(__xludf.DUMMYFUNCTION("""COMPUTED_VALUE"""),"Coordinar con el IDRD los campeonatos locales e interbarriales (con el programa goles en paz), e identificar jóvenes con posibles conflictos")</f>
        <v>Coordinar con el IDRD los campeonatos locales e interbarriales (con el programa goles en paz), e identificar jóvenes con posibles conflictos</v>
      </c>
      <c r="G1583" s="25" t="str">
        <f ca="1">IFERROR(__xludf.DUMMYFUNCTION("""COMPUTED_VALUE"""),"99. Distrito")</f>
        <v>99. Distrito</v>
      </c>
      <c r="H1583" s="55">
        <f ca="1">IFERROR(__xludf.DUMMYFUNCTION("""COMPUTED_VALUE"""),44176)</f>
        <v>44176</v>
      </c>
      <c r="I1583" s="25"/>
      <c r="J1583" s="55" t="str">
        <f ca="1">IFERROR(__xludf.DUMMYFUNCTION("""COMPUTED_VALUE"""),"Alta")</f>
        <v>Alta</v>
      </c>
      <c r="K1583" s="25">
        <f ca="1">IFERROR(__xludf.DUMMYFUNCTION("""COMPUTED_VALUE"""),30)</f>
        <v>30</v>
      </c>
      <c r="L1583" s="62">
        <f ca="1">IFERROR(__xludf.DUMMYFUNCTION("""COMPUTED_VALUE"""),44539)</f>
        <v>44539</v>
      </c>
      <c r="M1583" s="25" t="str">
        <f ca="1">IFERROR(__xludf.DUMMYFUNCTION("""COMPUTED_VALUE"""),"Las barras están organizando actividades deportivas que están coordinando directamente con el IDRD: por otra parte el programa Goles en Paz 2,0, está apoyando la iniciativa ""partido cachaco"" con las barras tradicionales de Santa Fe y Millonarios coordin"&amp;"ado con el IDRD, actividad que se realizará en enero del próximo año")</f>
        <v>Las barras están organizando actividades deportivas que están coordinando directamente con el IDRD: por otra parte el programa Goles en Paz 2,0, está apoyando la iniciativa "partido cachaco" con las barras tradicionales de Santa Fe y Millonarios coordinado con el IDRD, actividad que se realizará en enero del próximo año</v>
      </c>
      <c r="N1583" s="55">
        <f ca="1">IFERROR(__xludf.DUMMYFUNCTION("""COMPUTED_VALUE"""),44539)</f>
        <v>44539</v>
      </c>
      <c r="O1583" s="25" t="str">
        <f t="shared" ca="1" si="0"/>
        <v>Secretaría Distrital de Gobierno</v>
      </c>
      <c r="P1583" s="25" t="str">
        <f t="shared" si="2"/>
        <v/>
      </c>
      <c r="Q1583" s="25" t="str">
        <f ca="1">IFERROR(__xludf.DUMMYFUNCTION("""COMPUTED_VALUE"""),"Corto plazo")</f>
        <v>Corto plazo</v>
      </c>
      <c r="R1583" s="25"/>
      <c r="S1583" s="55"/>
      <c r="T1583" s="56"/>
      <c r="U1583" s="25"/>
      <c r="V1583" s="25"/>
      <c r="W1583" s="25"/>
      <c r="X1583" s="25"/>
      <c r="Y1583" s="25"/>
      <c r="Z1583" s="25"/>
    </row>
    <row r="1584" spans="1:26" ht="52.5" customHeight="1" x14ac:dyDescent="0.25">
      <c r="A1584" s="25" t="str">
        <f ca="1">IFERROR(__xludf.DUMMYFUNCTION("""COMPUTED_VALUE"""),"Gobie82")</f>
        <v>Gobie82</v>
      </c>
      <c r="B1584" s="25" t="str">
        <f ca="1">IFERROR(__xludf.DUMMYFUNCTION("""COMPUTED_VALUE"""),"Sistema de bicis compartidas")</f>
        <v>Sistema de bicis compartidas</v>
      </c>
      <c r="C1584" s="55">
        <f ca="1">IFERROR(__xludf.DUMMYFUNCTION("""COMPUTED_VALUE"""),44145)</f>
        <v>44145</v>
      </c>
      <c r="D1584" s="25" t="str">
        <f ca="1">IFERROR(__xludf.DUMMYFUNCTION("""COMPUTED_VALUE"""),"Gobierno")</f>
        <v>Gobierno</v>
      </c>
      <c r="E1584" s="25" t="str">
        <f ca="1">IFERROR(__xludf.DUMMYFUNCTION("""COMPUTED_VALUE"""),"Departamento Administrativo de la Defensoría del Espacio Público")</f>
        <v>Departamento Administrativo de la Defensoría del Espacio Público</v>
      </c>
      <c r="F1584" s="25" t="str">
        <f ca="1">IFERROR(__xludf.DUMMYFUNCTION("""COMPUTED_VALUE"""),"Modificar la comisión intersectorial de aprovechamiento de espacio público, para obtener más beneficios para la ciudad")</f>
        <v>Modificar la comisión intersectorial de aprovechamiento de espacio público, para obtener más beneficios para la ciudad</v>
      </c>
      <c r="G1584" s="25" t="str">
        <f ca="1">IFERROR(__xludf.DUMMYFUNCTION("""COMPUTED_VALUE"""),"99. Distrito")</f>
        <v>99. Distrito</v>
      </c>
      <c r="H1584" s="55">
        <f ca="1">IFERROR(__xludf.DUMMYFUNCTION("""COMPUTED_VALUE"""),44175)</f>
        <v>44175</v>
      </c>
      <c r="I1584" s="25"/>
      <c r="J1584" s="55" t="str">
        <f ca="1">IFERROR(__xludf.DUMMYFUNCTION("""COMPUTED_VALUE"""),"Alta")</f>
        <v>Alta</v>
      </c>
      <c r="K1584" s="25">
        <f ca="1">IFERROR(__xludf.DUMMYFUNCTION("""COMPUTED_VALUE"""),30)</f>
        <v>30</v>
      </c>
      <c r="L1584" s="62">
        <f ca="1">IFERROR(__xludf.DUMMYFUNCTION("""COMPUTED_VALUE"""),44362)</f>
        <v>44362</v>
      </c>
      <c r="M1584" s="25" t="str">
        <f ca="1">IFERROR(__xludf.DUMMYFUNCTION("""COMPUTED_VALUE"""),"La alcaldía local en coordinación con Sec Gobierno adelantó reuniones para la flexibilización del FDL")</f>
        <v>La alcaldía local en coordinación con Sec Gobierno adelantó reuniones para la flexibilización del FDL</v>
      </c>
      <c r="N1584" s="55">
        <f ca="1">IFERROR(__xludf.DUMMYFUNCTION("""COMPUTED_VALUE"""),44362)</f>
        <v>44362</v>
      </c>
      <c r="O1584" s="25" t="str">
        <f t="shared" ca="1" si="0"/>
        <v>Departamento Administrativo de la Defensoría del Espacio Público</v>
      </c>
      <c r="P1584" s="25" t="str">
        <f t="shared" si="2"/>
        <v/>
      </c>
      <c r="Q1584" s="25" t="str">
        <f ca="1">IFERROR(__xludf.DUMMYFUNCTION("""COMPUTED_VALUE"""),"Corto plazo")</f>
        <v>Corto plazo</v>
      </c>
      <c r="R1584" s="25"/>
      <c r="S1584" s="55"/>
      <c r="T1584" s="56"/>
      <c r="U1584" s="25"/>
      <c r="V1584" s="25"/>
      <c r="W1584" s="25"/>
      <c r="X1584" s="25"/>
      <c r="Y1584" s="25"/>
      <c r="Z1584" s="25"/>
    </row>
    <row r="1585" spans="1:26" ht="52.5" customHeight="1" x14ac:dyDescent="0.25">
      <c r="A1585" s="25" t="str">
        <f ca="1">IFERROR(__xludf.DUMMYFUNCTION("""COMPUTED_VALUE"""),"Gobie83")</f>
        <v>Gobie83</v>
      </c>
      <c r="B1585" s="25" t="str">
        <f ca="1">IFERROR(__xludf.DUMMYFUNCTION("""COMPUTED_VALUE"""),"Despachando desde el Instituto Distrital de participación y acción comunal - IDPAC")</f>
        <v>Despachando desde el Instituto Distrital de participación y acción comunal - IDPAC</v>
      </c>
      <c r="C1585" s="55">
        <f ca="1">IFERROR(__xludf.DUMMYFUNCTION("""COMPUTED_VALUE"""),44127)</f>
        <v>44127</v>
      </c>
      <c r="D1585" s="25" t="str">
        <f ca="1">IFERROR(__xludf.DUMMYFUNCTION("""COMPUTED_VALUE"""),"Gobierno")</f>
        <v>Gobierno</v>
      </c>
      <c r="E1585" s="25" t="str">
        <f ca="1">IFERROR(__xludf.DUMMYFUNCTION("""COMPUTED_VALUE"""),"Secretaría Distrital de Gobierno")</f>
        <v>Secretaría Distrital de Gobierno</v>
      </c>
      <c r="F1585" s="25" t="str">
        <f ca="1">IFERROR(__xludf.DUMMYFUNCTION("""COMPUTED_VALUE"""),"Avanzar en la digitalización de los libros de las JAC, para tener el censo habilitado para la elección de las JAC en 2021")</f>
        <v>Avanzar en la digitalización de los libros de las JAC, para tener el censo habilitado para la elección de las JAC en 2021</v>
      </c>
      <c r="G1585" s="25" t="str">
        <f ca="1">IFERROR(__xludf.DUMMYFUNCTION("""COMPUTED_VALUE"""),"99. Distrito")</f>
        <v>99. Distrito</v>
      </c>
      <c r="H1585" s="55">
        <f ca="1">IFERROR(__xludf.DUMMYFUNCTION("""COMPUTED_VALUE"""),44157)</f>
        <v>44157</v>
      </c>
      <c r="I1585" s="25"/>
      <c r="J1585" s="55" t="str">
        <f ca="1">IFERROR(__xludf.DUMMYFUNCTION("""COMPUTED_VALUE"""),"Alta")</f>
        <v>Alta</v>
      </c>
      <c r="K1585" s="25">
        <f ca="1">IFERROR(__xludf.DUMMYFUNCTION("""COMPUTED_VALUE"""),30)</f>
        <v>30</v>
      </c>
      <c r="L1585" s="62">
        <f ca="1">IFERROR(__xludf.DUMMYFUNCTION("""COMPUTED_VALUE"""),44540)</f>
        <v>44540</v>
      </c>
      <c r="M1585" s="25" t="str">
        <f ca="1">IFERROR(__xludf.DUMMYFUNCTION("""COMPUTED_VALUE"""),"A la fecha se cuentan con 1681 juntas activas en la ciudad de las cuales ya se tienen 1369 con digitalización de libros, y las restante están en proceso
No hay fecha de cumplimiento ya que esta actividad depende la la entrega de libros por parte de las or"&amp;"ganizaciones comunales, en el Distrito Capital existen a la fecha un total de 1.703 organizaciones comunales de primer grado Jac y JVC son 1.683 y segundo grado  Asojuntas que corresponde a 20.")</f>
        <v>A la fecha se cuentan con 1681 juntas activas en la ciudad de las cuales ya se tienen 1369 con digitalización de libros, y las restante están en proceso
No hay fecha de cumplimiento ya que esta actividad depende la la entrega de libros por parte de las organizaciones comunales, en el Distrito Capital existen a la fecha un total de 1.703 organizaciones comunales de primer grado Jac y JVC son 1.683 y segundo grado  Asojuntas que corresponde a 20.</v>
      </c>
      <c r="N1585" s="55">
        <f ca="1">IFERROR(__xludf.DUMMYFUNCTION("""COMPUTED_VALUE"""),44540)</f>
        <v>44540</v>
      </c>
      <c r="O1585" s="25" t="str">
        <f t="shared" ca="1" si="0"/>
        <v>Secretaría Distrital de Gobierno</v>
      </c>
      <c r="P1585" s="25" t="str">
        <f t="shared" si="2"/>
        <v/>
      </c>
      <c r="Q1585" s="25" t="str">
        <f ca="1">IFERROR(__xludf.DUMMYFUNCTION("""COMPUTED_VALUE"""),"Corto plazo")</f>
        <v>Corto plazo</v>
      </c>
      <c r="R1585" s="25"/>
      <c r="S1585" s="55"/>
      <c r="T1585" s="56"/>
      <c r="U1585" s="25"/>
      <c r="V1585" s="25"/>
      <c r="W1585" s="25"/>
      <c r="X1585" s="25"/>
      <c r="Y1585" s="25"/>
      <c r="Z1585" s="25"/>
    </row>
    <row r="1586" spans="1:26" ht="52.5" customHeight="1" x14ac:dyDescent="0.25">
      <c r="A1586" s="25" t="str">
        <f ca="1">IFERROR(__xludf.DUMMYFUNCTION("""COMPUTED_VALUE"""),"Gobie84")</f>
        <v>Gobie84</v>
      </c>
      <c r="B1586" s="25" t="str">
        <f ca="1">IFERROR(__xludf.DUMMYFUNCTION("""COMPUTED_VALUE"""),"Despachando desde el Instituto Distrital de participación y acción comunal - IDPAC")</f>
        <v>Despachando desde el Instituto Distrital de participación y acción comunal - IDPAC</v>
      </c>
      <c r="C1586" s="55">
        <f ca="1">IFERROR(__xludf.DUMMYFUNCTION("""COMPUTED_VALUE"""),44127)</f>
        <v>44127</v>
      </c>
      <c r="D1586" s="25" t="str">
        <f ca="1">IFERROR(__xludf.DUMMYFUNCTION("""COMPUTED_VALUE"""),"Gobierno")</f>
        <v>Gobierno</v>
      </c>
      <c r="E1586" s="25" t="str">
        <f ca="1">IFERROR(__xludf.DUMMYFUNCTION("""COMPUTED_VALUE"""),"Secretaría Distrital de Gobierno")</f>
        <v>Secretaría Distrital de Gobierno</v>
      </c>
      <c r="F1586" s="25" t="str">
        <f ca="1">IFERROR(__xludf.DUMMYFUNCTION("""COMPUTED_VALUE"""),"Organizar evento con Mujer para la firma del pacto del gabinete, en el día de la no violencia contra la mujer – volverlo plataforma virtual para que sea masivo")</f>
        <v>Organizar evento con Mujer para la firma del pacto del gabinete, en el día de la no violencia contra la mujer – volverlo plataforma virtual para que sea masivo</v>
      </c>
      <c r="G1586" s="25" t="str">
        <f ca="1">IFERROR(__xludf.DUMMYFUNCTION("""COMPUTED_VALUE"""),"99. Distrito")</f>
        <v>99. Distrito</v>
      </c>
      <c r="H1586" s="55">
        <f ca="1">IFERROR(__xludf.DUMMYFUNCTION("""COMPUTED_VALUE"""),44157)</f>
        <v>44157</v>
      </c>
      <c r="I1586" s="25"/>
      <c r="J1586" s="55" t="str">
        <f ca="1">IFERROR(__xludf.DUMMYFUNCTION("""COMPUTED_VALUE"""),"Alta")</f>
        <v>Alta</v>
      </c>
      <c r="K1586" s="25">
        <f ca="1">IFERROR(__xludf.DUMMYFUNCTION("""COMPUTED_VALUE"""),30)</f>
        <v>30</v>
      </c>
      <c r="L1586" s="62">
        <f ca="1">IFERROR(__xludf.DUMMYFUNCTION("""COMPUTED_VALUE"""),44540)</f>
        <v>44540</v>
      </c>
      <c r="M1586" s="25" t="str">
        <f ca="1">IFERROR(__xludf.DUMMYFUNCTION("""COMPUTED_VALUE"""),"Se realizó en alianza con la Dirección de Cultura Ciudadana de la Secretaría Distrital de Cultura, Recreación y Deporte, un ejercicio de priorización en calle, donde participaron 336 hombres que eligieron entre 5 compromisos de cambio de comportamiento el"&amp;" que consideraban más importante de trabajar para eliminar la violencia contra las mujeres. Posteriormente a este ejercicio, el 11 de diciembre se realizó un evento de firma del pacto para la eliminación de todas las formas de violencia contra las mujeres"&amp;", con la participación de la Secretaría de la Mujer donde secretarios, directores de institutos, alcaldes locales, Concejales y ediles de la ciudad se comprometieron a eliminar todas las formas de violencia contra las mujeres. Desde el IDIPRON manifestaro"&amp;"n interés de hacer una alianza con IDPAC para promover charlas y procesos de sensibilización sobre la Política Pública de Mujer y Equidad de Género.")</f>
        <v>Se realizó en alianza con la Dirección de Cultura Ciudadana de la Secretaría Distrital de Cultura, Recreación y Deporte, un ejercicio de priorización en calle, donde participaron 336 hombres que eligieron entre 5 compromisos de cambio de comportamiento el que consideraban más importante de trabajar para eliminar la violencia contra las mujeres. Posteriormente a este ejercicio, el 11 de diciembre se realizó un evento de firma del pacto para la eliminación de todas las formas de violencia contra las mujeres, con la participación de la Secretaría de la Mujer donde secretarios, directores de institutos, alcaldes locales, Concejales y ediles de la ciudad se comprometieron a eliminar todas las formas de violencia contra las mujeres. Desde el IDIPRON manifestaron interés de hacer una alianza con IDPAC para promover charlas y procesos de sensibilización sobre la Política Pública de Mujer y Equidad de Género.</v>
      </c>
      <c r="N1586" s="55">
        <f ca="1">IFERROR(__xludf.DUMMYFUNCTION("""COMPUTED_VALUE"""),44540)</f>
        <v>44540</v>
      </c>
      <c r="O1586" s="25" t="str">
        <f t="shared" ca="1" si="0"/>
        <v>Secretaría Distrital de Gobierno</v>
      </c>
      <c r="P1586" s="25" t="str">
        <f t="shared" si="2"/>
        <v/>
      </c>
      <c r="Q1586" s="25" t="str">
        <f ca="1">IFERROR(__xludf.DUMMYFUNCTION("""COMPUTED_VALUE"""),"Corto plazo")</f>
        <v>Corto plazo</v>
      </c>
      <c r="R1586" s="25"/>
      <c r="S1586" s="55"/>
      <c r="T1586" s="56"/>
      <c r="U1586" s="25"/>
      <c r="V1586" s="25"/>
      <c r="W1586" s="25"/>
      <c r="X1586" s="25"/>
      <c r="Y1586" s="25"/>
      <c r="Z1586" s="25"/>
    </row>
    <row r="1587" spans="1:26" ht="52.5" customHeight="1" x14ac:dyDescent="0.25">
      <c r="A1587" s="25" t="str">
        <f ca="1">IFERROR(__xludf.DUMMYFUNCTION("""COMPUTED_VALUE"""),"Gobie85")</f>
        <v>Gobie85</v>
      </c>
      <c r="B1587" s="25" t="str">
        <f ca="1">IFERROR(__xludf.DUMMYFUNCTION("""COMPUTED_VALUE"""),"Despachando desde el Instituto Distrital de participación y acción comunal - IDPAC")</f>
        <v>Despachando desde el Instituto Distrital de participación y acción comunal - IDPAC</v>
      </c>
      <c r="C1587" s="55">
        <f ca="1">IFERROR(__xludf.DUMMYFUNCTION("""COMPUTED_VALUE"""),44127)</f>
        <v>44127</v>
      </c>
      <c r="D1587" s="25" t="str">
        <f ca="1">IFERROR(__xludf.DUMMYFUNCTION("""COMPUTED_VALUE"""),"Gobierno")</f>
        <v>Gobierno</v>
      </c>
      <c r="E1587" s="25" t="str">
        <f ca="1">IFERROR(__xludf.DUMMYFUNCTION("""COMPUTED_VALUE"""),"Secretaría Distrital de Gobierno")</f>
        <v>Secretaría Distrital de Gobierno</v>
      </c>
      <c r="F1587" s="25" t="str">
        <f ca="1">IFERROR(__xludf.DUMMYFUNCTION("""COMPUTED_VALUE"""),"Coordinar con la SED, la estrategia pactando, desarrollada por el grupo del pacto intergeneracional, para zonas con tensiones")</f>
        <v>Coordinar con la SED, la estrategia pactando, desarrollada por el grupo del pacto intergeneracional, para zonas con tensiones</v>
      </c>
      <c r="G1587" s="25" t="str">
        <f ca="1">IFERROR(__xludf.DUMMYFUNCTION("""COMPUTED_VALUE"""),"99. Distrito")</f>
        <v>99. Distrito</v>
      </c>
      <c r="H1587" s="55">
        <f ca="1">IFERROR(__xludf.DUMMYFUNCTION("""COMPUTED_VALUE"""),44157)</f>
        <v>44157</v>
      </c>
      <c r="I1587" s="25"/>
      <c r="J1587" s="55" t="str">
        <f ca="1">IFERROR(__xludf.DUMMYFUNCTION("""COMPUTED_VALUE"""),"Alta")</f>
        <v>Alta</v>
      </c>
      <c r="K1587" s="25">
        <f ca="1">IFERROR(__xludf.DUMMYFUNCTION("""COMPUTED_VALUE"""),30)</f>
        <v>30</v>
      </c>
      <c r="L1587" s="62">
        <f ca="1">IFERROR(__xludf.DUMMYFUNCTION("""COMPUTED_VALUE"""),44540)</f>
        <v>44540</v>
      </c>
      <c r="M1587" s="25" t="str">
        <f ca="1">IFERROR(__xludf.DUMMYFUNCTION("""COMPUTED_VALUE"""),"Con la Secretaría de Educación del Distrito. El IDPAC a través de la Subdirección de Promoción de la Participación y la Secretaría de Integración Social participan como aliados estratégicos en las fases de convocatoria, participación de actores organizado"&amp;"s y no organizados y asesorías metodológicas.   
Con dichas entidades se realizaron 10 conversatorios y eventos de diálogo con diferentes actores en el mes de enero  y febrero. 
 El Pacto cuenta con el documento general de sistematización del proceso, en"&amp;"tregado por el PNUD a la Secretaría de Educación del Distrito. No se informa aún fecha de firma del pacto de parte de la SED.
Persiste el cuello de botella y no se ha informado formalmente de la continuidad del proceso por parte de la SED.")</f>
        <v>Con la Secretaría de Educación del Distrito. El IDPAC a través de la Subdirección de Promoción de la Participación y la Secretaría de Integración Social participan como aliados estratégicos en las fases de convocatoria, participación de actores organizados y no organizados y asesorías metodológicas.   
Con dichas entidades se realizaron 10 conversatorios y eventos de diálogo con diferentes actores en el mes de enero  y febrero. 
 El Pacto cuenta con el documento general de sistematización del proceso, entregado por el PNUD a la Secretaría de Educación del Distrito. No se informa aún fecha de firma del pacto de parte de la SED.
Persiste el cuello de botella y no se ha informado formalmente de la continuidad del proceso por parte de la SED.</v>
      </c>
      <c r="N1587" s="55">
        <f ca="1">IFERROR(__xludf.DUMMYFUNCTION("""COMPUTED_VALUE"""),44540)</f>
        <v>44540</v>
      </c>
      <c r="O1587" s="25" t="str">
        <f t="shared" ca="1" si="0"/>
        <v>Secretaría Distrital de Gobierno</v>
      </c>
      <c r="P1587" s="25" t="str">
        <f t="shared" si="2"/>
        <v/>
      </c>
      <c r="Q1587" s="25" t="str">
        <f ca="1">IFERROR(__xludf.DUMMYFUNCTION("""COMPUTED_VALUE"""),"Corto plazo")</f>
        <v>Corto plazo</v>
      </c>
      <c r="R1587" s="25"/>
      <c r="S1587" s="55"/>
      <c r="T1587" s="56"/>
      <c r="U1587" s="25"/>
      <c r="V1587" s="25"/>
      <c r="W1587" s="25"/>
      <c r="X1587" s="25"/>
      <c r="Y1587" s="25"/>
      <c r="Z1587" s="25"/>
    </row>
    <row r="1588" spans="1:26" ht="52.5" customHeight="1" x14ac:dyDescent="0.25">
      <c r="A1588" s="25" t="str">
        <f ca="1">IFERROR(__xludf.DUMMYFUNCTION("""COMPUTED_VALUE"""),"Gobie86")</f>
        <v>Gobie86</v>
      </c>
      <c r="B1588" s="25" t="str">
        <f ca="1">IFERROR(__xludf.DUMMYFUNCTION("""COMPUTED_VALUE"""),"Despachando desde el Instituto Distrital de participación y acción comunal - IDPAC")</f>
        <v>Despachando desde el Instituto Distrital de participación y acción comunal - IDPAC</v>
      </c>
      <c r="C1588" s="55">
        <f ca="1">IFERROR(__xludf.DUMMYFUNCTION("""COMPUTED_VALUE"""),44127)</f>
        <v>44127</v>
      </c>
      <c r="D1588" s="25" t="str">
        <f ca="1">IFERROR(__xludf.DUMMYFUNCTION("""COMPUTED_VALUE"""),"Gobierno")</f>
        <v>Gobierno</v>
      </c>
      <c r="E1588" s="25" t="str">
        <f ca="1">IFERROR(__xludf.DUMMYFUNCTION("""COMPUTED_VALUE"""),"Secretaría Distrital de Gobierno")</f>
        <v>Secretaría Distrital de Gobierno</v>
      </c>
      <c r="F1588" s="25" t="str">
        <f ca="1">IFERROR(__xludf.DUMMYFUNCTION("""COMPUTED_VALUE"""),"Vincular la escuela de formación del IDPAC con Reto a la U, para el 2021")</f>
        <v>Vincular la escuela de formación del IDPAC con Reto a la U, para el 2021</v>
      </c>
      <c r="G1588" s="25" t="str">
        <f ca="1">IFERROR(__xludf.DUMMYFUNCTION("""COMPUTED_VALUE"""),"99. Distrito")</f>
        <v>99. Distrito</v>
      </c>
      <c r="H1588" s="55">
        <f ca="1">IFERROR(__xludf.DUMMYFUNCTION("""COMPUTED_VALUE"""),44157)</f>
        <v>44157</v>
      </c>
      <c r="I1588" s="25"/>
      <c r="J1588" s="55" t="str">
        <f ca="1">IFERROR(__xludf.DUMMYFUNCTION("""COMPUTED_VALUE"""),"Alta")</f>
        <v>Alta</v>
      </c>
      <c r="K1588" s="25">
        <f ca="1">IFERROR(__xludf.DUMMYFUNCTION("""COMPUTED_VALUE"""),30)</f>
        <v>30</v>
      </c>
      <c r="L1588" s="62">
        <f ca="1">IFERROR(__xludf.DUMMYFUNCTION("""COMPUTED_VALUE"""),44540)</f>
        <v>44540</v>
      </c>
      <c r="M1588" s="25" t="str">
        <f ca="1">IFERROR(__xludf.DUMMYFUNCTION("""COMPUTED_VALUE"""),"Por otro lado, el IDPAC presentó la oferta formativa con 13 universidades que manifestaron interés en incorporar nuestra oferta. Además, se avanza en el documento de homologación de la oferta, la cual se irá precisando en cada reunión con las entidades ed"&amp;"ucativas. Se elaboró un plan de trabajo con la Secretaría de Educación para avanzar en tres ámbitos: Socialización de la oferta con los jóvenes financiados por el distrito; elaboración del marco de evaluación de capacidades/competencias para realizar con "&amp;"la SED; el desarrollo de la homologación de nuestra oferta.
La definición de los contenidos que se podrán homologar en el SENA o en las universidades inicia en Diciembre, y debe terminar en enero. ")</f>
        <v xml:space="preserve">Por otro lado, el IDPAC presentó la oferta formativa con 13 universidades que manifestaron interés en incorporar nuestra oferta. Además, se avanza en el documento de homologación de la oferta, la cual se irá precisando en cada reunión con las entidades educativas. Se elaboró un plan de trabajo con la Secretaría de Educación para avanzar en tres ámbitos: Socialización de la oferta con los jóvenes financiados por el distrito; elaboración del marco de evaluación de capacidades/competencias para realizar con la SED; el desarrollo de la homologación de nuestra oferta.
La definición de los contenidos que se podrán homologar en el SENA o en las universidades inicia en Diciembre, y debe terminar en enero. </v>
      </c>
      <c r="N1588" s="55">
        <f ca="1">IFERROR(__xludf.DUMMYFUNCTION("""COMPUTED_VALUE"""),44540)</f>
        <v>44540</v>
      </c>
      <c r="O1588" s="25" t="str">
        <f t="shared" ca="1" si="0"/>
        <v>Secretaría Distrital de Gobierno</v>
      </c>
      <c r="P1588" s="25" t="str">
        <f t="shared" si="2"/>
        <v/>
      </c>
      <c r="Q1588" s="25" t="str">
        <f ca="1">IFERROR(__xludf.DUMMYFUNCTION("""COMPUTED_VALUE"""),"Corto plazo")</f>
        <v>Corto plazo</v>
      </c>
      <c r="R1588" s="25"/>
      <c r="S1588" s="55"/>
      <c r="T1588" s="56"/>
      <c r="U1588" s="25"/>
      <c r="V1588" s="25"/>
      <c r="W1588" s="25"/>
      <c r="X1588" s="25"/>
      <c r="Y1588" s="25"/>
      <c r="Z1588" s="25"/>
    </row>
    <row r="1589" spans="1:26" ht="52.5" customHeight="1" x14ac:dyDescent="0.25">
      <c r="A1589" s="25" t="str">
        <f ca="1">IFERROR(__xludf.DUMMYFUNCTION("""COMPUTED_VALUE"""),"Gobie87")</f>
        <v>Gobie87</v>
      </c>
      <c r="B1589" s="25" t="str">
        <f ca="1">IFERROR(__xludf.DUMMYFUNCTION("""COMPUTED_VALUE"""),"Recorrido Suba ")</f>
        <v xml:space="preserve">Recorrido Suba </v>
      </c>
      <c r="C1589" s="55">
        <f ca="1">IFERROR(__xludf.DUMMYFUNCTION("""COMPUTED_VALUE"""),44686)</f>
        <v>44686</v>
      </c>
      <c r="D1589" s="25" t="str">
        <f ca="1">IFERROR(__xludf.DUMMYFUNCTION("""COMPUTED_VALUE"""),"Gobierno")</f>
        <v>Gobierno</v>
      </c>
      <c r="E1589" s="25" t="str">
        <f ca="1">IFERROR(__xludf.DUMMYFUNCTION("""COMPUTED_VALUE"""),"Alcaldía Local")</f>
        <v>Alcaldía Local</v>
      </c>
      <c r="F1589" s="25" t="str">
        <f ca="1">IFERROR(__xludf.DUMMYFUNCTION("""COMPUTED_VALUE"""),"Recuperar el parque ubicado en la Av Suba con Cali (Normandía II), solicitud de juegos infantiles y bio-saludables")</f>
        <v>Recuperar el parque ubicado en la Av Suba con Cali (Normandía II), solicitud de juegos infantiles y bio-saludables</v>
      </c>
      <c r="G1589" s="55" t="str">
        <f ca="1">IFERROR(__xludf.DUMMYFUNCTION("""COMPUTED_VALUE"""),"11. Suba")</f>
        <v>11. Suba</v>
      </c>
      <c r="H1589" s="55">
        <f ca="1">IFERROR(__xludf.DUMMYFUNCTION("""COMPUTED_VALUE"""),44810)</f>
        <v>44810</v>
      </c>
      <c r="I1589" s="25"/>
      <c r="J1589" s="55" t="str">
        <f ca="1">IFERROR(__xludf.DUMMYFUNCTION("""COMPUTED_VALUE"""),"Media")</f>
        <v>Media</v>
      </c>
      <c r="K1589" s="25">
        <f ca="1">IFERROR(__xludf.DUMMYFUNCTION("""COMPUTED_VALUE"""),124)</f>
        <v>124</v>
      </c>
      <c r="L1589" s="62">
        <f ca="1">IFERROR(__xludf.DUMMYFUNCTION("""COMPUTED_VALUE"""),44895)</f>
        <v>44895</v>
      </c>
      <c r="M1589" s="25" t="str">
        <f ca="1">IFERROR(__xludf.DUMMYFUNCTION("""COMPUTED_VALUE"""),"Reporte 06 de septiembre: Se realizó la investigación del parque encontrando que el parque 11-018 Urbanizacion Lombardia I Etapa, ha sido intervenido recientemente por los contratos 303 de 2018 y 484 de 2020, con acciones de mantenimiento y dotación de mo"&amp;"biliario. El parque no fue propuesto en presupuestos participativos para la actual vigencia, pues cuenta con pólizas activas.")</f>
        <v>Reporte 06 de septiembre: Se realizó la investigación del parque encontrando que el parque 11-018 Urbanizacion Lombardia I Etapa, ha sido intervenido recientemente por los contratos 303 de 2018 y 484 de 2020, con acciones de mantenimiento y dotación de mobiliario. El parque no fue propuesto en presupuestos participativos para la actual vigencia, pues cuenta con pólizas activas.</v>
      </c>
      <c r="N1589" s="55">
        <f ca="1">IFERROR(__xludf.DUMMYFUNCTION("""COMPUTED_VALUE"""),44810)</f>
        <v>44810</v>
      </c>
      <c r="O1589" s="25" t="str">
        <f t="shared" ca="1" si="0"/>
        <v>Alcaldía Local</v>
      </c>
      <c r="P1589" s="25" t="str">
        <f t="shared" si="2"/>
        <v/>
      </c>
      <c r="Q1589" s="25" t="str">
        <f ca="1">IFERROR(__xludf.DUMMYFUNCTION("""COMPUTED_VALUE"""),"Mediano plazo")</f>
        <v>Mediano plazo</v>
      </c>
      <c r="R1589" s="25"/>
      <c r="S1589" s="55"/>
      <c r="T1589" s="56"/>
      <c r="U1589" s="25"/>
      <c r="V1589" s="25"/>
      <c r="W1589" s="25"/>
      <c r="X1589" s="25"/>
      <c r="Y1589" s="25"/>
      <c r="Z1589" s="25"/>
    </row>
    <row r="1590" spans="1:26" ht="52.5" customHeight="1" x14ac:dyDescent="0.25">
      <c r="A1590" s="25" t="str">
        <f ca="1">IFERROR(__xludf.DUMMYFUNCTION("""COMPUTED_VALUE"""),"Gobie88")</f>
        <v>Gobie88</v>
      </c>
      <c r="B1590" s="25" t="str">
        <f ca="1">IFERROR(__xludf.DUMMYFUNCTION("""COMPUTED_VALUE"""),"Recorrido Suba ")</f>
        <v xml:space="preserve">Recorrido Suba </v>
      </c>
      <c r="C1590" s="55">
        <f ca="1">IFERROR(__xludf.DUMMYFUNCTION("""COMPUTED_VALUE"""),44686)</f>
        <v>44686</v>
      </c>
      <c r="D1590" s="25" t="str">
        <f ca="1">IFERROR(__xludf.DUMMYFUNCTION("""COMPUTED_VALUE"""),"Gobierno")</f>
        <v>Gobierno</v>
      </c>
      <c r="E1590" s="25" t="str">
        <f ca="1">IFERROR(__xludf.DUMMYFUNCTION("""COMPUTED_VALUE"""),"Alcaldía Local")</f>
        <v>Alcaldía Local</v>
      </c>
      <c r="F1590" s="25" t="str">
        <f ca="1">IFERROR(__xludf.DUMMYFUNCTION("""COMPUTED_VALUE"""),"Controlar el consumo de estupefacientes al rededor del Colegio Lombardía (sin inaugurar)")</f>
        <v>Controlar el consumo de estupefacientes al rededor del Colegio Lombardía (sin inaugurar)</v>
      </c>
      <c r="G1590" s="55" t="str">
        <f ca="1">IFERROR(__xludf.DUMMYFUNCTION("""COMPUTED_VALUE"""),"11. Suba")</f>
        <v>11. Suba</v>
      </c>
      <c r="H1590" s="55">
        <f ca="1">IFERROR(__xludf.DUMMYFUNCTION("""COMPUTED_VALUE"""),44716)</f>
        <v>44716</v>
      </c>
      <c r="I1590" s="25"/>
      <c r="J1590" s="55" t="str">
        <f ca="1">IFERROR(__xludf.DUMMYFUNCTION("""COMPUTED_VALUE"""),"Alta")</f>
        <v>Alta</v>
      </c>
      <c r="K1590" s="25">
        <f ca="1">IFERROR(__xludf.DUMMYFUNCTION("""COMPUTED_VALUE"""),30)</f>
        <v>30</v>
      </c>
      <c r="L1590" s="62">
        <f ca="1">IFERROR(__xludf.DUMMYFUNCTION("""COMPUTED_VALUE"""),44895)</f>
        <v>44895</v>
      </c>
      <c r="M1590" s="25" t="str">
        <f ca="1">IFERROR(__xludf.DUMMYFUNCTION("""COMPUTED_VALUE"""),"Por parte de la administración local de Suba se realizó acompañamiento a Integración Social en el proyecto de habitabilidad en Calle específicamente en el canal donde se encontraban las estructuras de los cambuches. Se les brindó la oferta institucional p"&amp;"or parte de Integración Social a las personas que se encuentran en situación de habitabilidad en calle ubicados en el sector y así mismo se procedió a hacer el desmonte de los cambuches y la limpieza del área donde estaban ubicados.")</f>
        <v>Por parte de la administración local de Suba se realizó acompañamiento a Integración Social en el proyecto de habitabilidad en Calle específicamente en el canal donde se encontraban las estructuras de los cambuches. Se les brindó la oferta institucional por parte de Integración Social a las personas que se encuentran en situación de habitabilidad en calle ubicados en el sector y así mismo se procedió a hacer el desmonte de los cambuches y la limpieza del área donde estaban ubicados.</v>
      </c>
      <c r="N1590" s="55">
        <f ca="1">IFERROR(__xludf.DUMMYFUNCTION("""COMPUTED_VALUE"""),44895)</f>
        <v>44895</v>
      </c>
      <c r="O1590" s="25" t="str">
        <f t="shared" ca="1" si="0"/>
        <v>Alcaldía Local</v>
      </c>
      <c r="P1590" s="25" t="str">
        <f t="shared" si="2"/>
        <v/>
      </c>
      <c r="Q1590" s="25" t="str">
        <f ca="1">IFERROR(__xludf.DUMMYFUNCTION("""COMPUTED_VALUE"""),"Corto plazo")</f>
        <v>Corto plazo</v>
      </c>
      <c r="R1590" s="25"/>
      <c r="S1590" s="55"/>
      <c r="T1590" s="56"/>
      <c r="U1590" s="25"/>
      <c r="V1590" s="25"/>
      <c r="W1590" s="25"/>
      <c r="X1590" s="25"/>
      <c r="Y1590" s="25"/>
      <c r="Z1590" s="25"/>
    </row>
    <row r="1591" spans="1:26" ht="52.5" customHeight="1" x14ac:dyDescent="0.25">
      <c r="A1591" s="25" t="str">
        <f ca="1">IFERROR(__xludf.DUMMYFUNCTION("""COMPUTED_VALUE"""),"Gobie89")</f>
        <v>Gobie89</v>
      </c>
      <c r="B1591" s="25" t="str">
        <f ca="1">IFERROR(__xludf.DUMMYFUNCTION("""COMPUTED_VALUE"""),"Recorrido Suba ")</f>
        <v xml:space="preserve">Recorrido Suba </v>
      </c>
      <c r="C1591" s="55">
        <f ca="1">IFERROR(__xludf.DUMMYFUNCTION("""COMPUTED_VALUE"""),44686)</f>
        <v>44686</v>
      </c>
      <c r="D1591" s="25" t="str">
        <f ca="1">IFERROR(__xludf.DUMMYFUNCTION("""COMPUTED_VALUE"""),"Gobierno")</f>
        <v>Gobierno</v>
      </c>
      <c r="E1591" s="25" t="str">
        <f ca="1">IFERROR(__xludf.DUMMYFUNCTION("""COMPUTED_VALUE"""),"Alcaldía Local")</f>
        <v>Alcaldía Local</v>
      </c>
      <c r="F1591" s="25" t="str">
        <f ca="1">IFERROR(__xludf.DUMMYFUNCTION("""COMPUTED_VALUE"""),"Aumentar seguridad en el sector de Lagos de Suba. recicladores extranjeros intimidan a los habitantes del sector")</f>
        <v>Aumentar seguridad en el sector de Lagos de Suba. recicladores extranjeros intimidan a los habitantes del sector</v>
      </c>
      <c r="G1591" s="55" t="str">
        <f ca="1">IFERROR(__xludf.DUMMYFUNCTION("""COMPUTED_VALUE"""),"11. Suba")</f>
        <v>11. Suba</v>
      </c>
      <c r="H1591" s="55">
        <f ca="1">IFERROR(__xludf.DUMMYFUNCTION("""COMPUTED_VALUE"""),44716)</f>
        <v>44716</v>
      </c>
      <c r="I1591" s="25"/>
      <c r="J1591" s="55" t="str">
        <f ca="1">IFERROR(__xludf.DUMMYFUNCTION("""COMPUTED_VALUE"""),"Alta")</f>
        <v>Alta</v>
      </c>
      <c r="K1591" s="25">
        <f ca="1">IFERROR(__xludf.DUMMYFUNCTION("""COMPUTED_VALUE"""),30)</f>
        <v>30</v>
      </c>
      <c r="L1591" s="62">
        <f ca="1">IFERROR(__xludf.DUMMYFUNCTION("""COMPUTED_VALUE"""),44895)</f>
        <v>44895</v>
      </c>
      <c r="M1591" s="25" t="str">
        <f ca="1">IFERROR(__xludf.DUMMYFUNCTION("""COMPUTED_VALUE"""),"Junto con Policía Nacional y Ejército Nacional se vienen priorizando las UPZ 28 y 71 en los patrullajes mixtos semanales con el fin de apoyar la tarea de la Policía de vigilancia.")</f>
        <v>Junto con Policía Nacional y Ejército Nacional se vienen priorizando las UPZ 28 y 71 en los patrullajes mixtos semanales con el fin de apoyar la tarea de la Policía de vigilancia.</v>
      </c>
      <c r="N1591" s="55">
        <f ca="1">IFERROR(__xludf.DUMMYFUNCTION("""COMPUTED_VALUE"""),44895)</f>
        <v>44895</v>
      </c>
      <c r="O1591" s="25" t="str">
        <f t="shared" ca="1" si="0"/>
        <v>Alcaldía Local</v>
      </c>
      <c r="P1591" s="25" t="str">
        <f t="shared" si="2"/>
        <v/>
      </c>
      <c r="Q1591" s="25" t="str">
        <f ca="1">IFERROR(__xludf.DUMMYFUNCTION("""COMPUTED_VALUE"""),"Corto plazo")</f>
        <v>Corto plazo</v>
      </c>
      <c r="R1591" s="25"/>
      <c r="S1591" s="55"/>
      <c r="T1591" s="56"/>
      <c r="U1591" s="25"/>
      <c r="V1591" s="25"/>
      <c r="W1591" s="25"/>
      <c r="X1591" s="25"/>
      <c r="Y1591" s="25"/>
      <c r="Z1591" s="25"/>
    </row>
    <row r="1592" spans="1:26" ht="52.5" customHeight="1" x14ac:dyDescent="0.25">
      <c r="A1592" s="25" t="str">
        <f ca="1">IFERROR(__xludf.DUMMYFUNCTION("""COMPUTED_VALUE"""),"Gobie90")</f>
        <v>Gobie90</v>
      </c>
      <c r="B1592" s="25" t="str">
        <f ca="1">IFERROR(__xludf.DUMMYFUNCTION("""COMPUTED_VALUE"""),"Recorrido Suba ")</f>
        <v xml:space="preserve">Recorrido Suba </v>
      </c>
      <c r="C1592" s="55">
        <f ca="1">IFERROR(__xludf.DUMMYFUNCTION("""COMPUTED_VALUE"""),44686)</f>
        <v>44686</v>
      </c>
      <c r="D1592" s="25" t="str">
        <f ca="1">IFERROR(__xludf.DUMMYFUNCTION("""COMPUTED_VALUE"""),"Gobierno")</f>
        <v>Gobierno</v>
      </c>
      <c r="E1592" s="25" t="str">
        <f ca="1">IFERROR(__xludf.DUMMYFUNCTION("""COMPUTED_VALUE"""),"Alcaldía Local")</f>
        <v>Alcaldía Local</v>
      </c>
      <c r="F1592" s="25" t="str">
        <f ca="1">IFERROR(__xludf.DUMMYFUNCTION("""COMPUTED_VALUE"""),"Intervenir la vía CL 134 con 93 C Villa Elisa por hundimiento de la calle (se han tramitado varios derechos de petición)")</f>
        <v>Intervenir la vía CL 134 con 93 C Villa Elisa por hundimiento de la calle (se han tramitado varios derechos de petición)</v>
      </c>
      <c r="G1592" s="55" t="str">
        <f ca="1">IFERROR(__xludf.DUMMYFUNCTION("""COMPUTED_VALUE"""),"11. Suba")</f>
        <v>11. Suba</v>
      </c>
      <c r="H1592" s="55">
        <f ca="1">IFERROR(__xludf.DUMMYFUNCTION("""COMPUTED_VALUE"""),44716)</f>
        <v>44716</v>
      </c>
      <c r="I1592" s="25"/>
      <c r="J1592" s="55" t="str">
        <f ca="1">IFERROR(__xludf.DUMMYFUNCTION("""COMPUTED_VALUE"""),"Alta")</f>
        <v>Alta</v>
      </c>
      <c r="K1592" s="25">
        <f ca="1">IFERROR(__xludf.DUMMYFUNCTION("""COMPUTED_VALUE"""),30)</f>
        <v>30</v>
      </c>
      <c r="L1592" s="62">
        <f ca="1">IFERROR(__xludf.DUMMYFUNCTION("""COMPUTED_VALUE"""),44726)</f>
        <v>44726</v>
      </c>
      <c r="M1592" s="25" t="str">
        <f ca="1">IFERROR(__xludf.DUMMYFUNCTION("""COMPUTED_VALUE"""),"La solicitud hace referencia a los segmentos: CIV 11006200(Parcheo) 11006212 - 11006165 - 11013430 (cambios de carpeta) y 11014538 (rehabilitación en flexible), los cuales se encuentran reservados por parte de la UAERMV, se iniciará intervenciones en el m"&amp;"es de junio.
El FDL indica que este compromiso es competencia por parte de la entidad UMV por lo cual se solicita el cierre del compromiso por parte del FDL")</f>
        <v>La solicitud hace referencia a los segmentos: CIV 11006200(Parcheo) 11006212 - 11006165 - 11013430 (cambios de carpeta) y 11014538 (rehabilitación en flexible), los cuales se encuentran reservados por parte de la UAERMV, se iniciará intervenciones en el mes de junio.
El FDL indica que este compromiso es competencia por parte de la entidad UMV por lo cual se solicita el cierre del compromiso por parte del FDL</v>
      </c>
      <c r="N1592" s="55">
        <f ca="1">IFERROR(__xludf.DUMMYFUNCTION("""COMPUTED_VALUE"""),44726)</f>
        <v>44726</v>
      </c>
      <c r="O1592" s="25" t="str">
        <f t="shared" ca="1" si="0"/>
        <v>Alcaldía Local</v>
      </c>
      <c r="P1592" s="25" t="str">
        <f t="shared" si="2"/>
        <v/>
      </c>
      <c r="Q1592" s="25" t="str">
        <f ca="1">IFERROR(__xludf.DUMMYFUNCTION("""COMPUTED_VALUE"""),"Corto plazo")</f>
        <v>Corto plazo</v>
      </c>
      <c r="R1592" s="25"/>
      <c r="S1592" s="55"/>
      <c r="T1592" s="56"/>
      <c r="U1592" s="25"/>
      <c r="V1592" s="25"/>
      <c r="W1592" s="25"/>
      <c r="X1592" s="25"/>
      <c r="Y1592" s="25"/>
      <c r="Z1592" s="25"/>
    </row>
    <row r="1593" spans="1:26" ht="52.5" customHeight="1" x14ac:dyDescent="0.25">
      <c r="A1593" s="25" t="str">
        <f ca="1">IFERROR(__xludf.DUMMYFUNCTION("""COMPUTED_VALUE"""),"Gobie91")</f>
        <v>Gobie91</v>
      </c>
      <c r="B1593" s="25" t="str">
        <f ca="1">IFERROR(__xludf.DUMMYFUNCTION("""COMPUTED_VALUE"""),"Consejo Consultivo LGBTI")</f>
        <v>Consejo Consultivo LGBTI</v>
      </c>
      <c r="C1593" s="55">
        <f ca="1">IFERROR(__xludf.DUMMYFUNCTION("""COMPUTED_VALUE"""),44698)</f>
        <v>44698</v>
      </c>
      <c r="D1593" s="25" t="str">
        <f ca="1">IFERROR(__xludf.DUMMYFUNCTION("""COMPUTED_VALUE"""),"Gobierno")</f>
        <v>Gobierno</v>
      </c>
      <c r="E1593" s="25" t="str">
        <f ca="1">IFERROR(__xludf.DUMMYFUNCTION("""COMPUTED_VALUE"""),"Secretaría Distrital de Gobierno")</f>
        <v>Secretaría Distrital de Gobierno</v>
      </c>
      <c r="F1593" s="25" t="str">
        <f ca="1">IFERROR(__xludf.DUMMYFUNCTION("""COMPUTED_VALUE"""),"Coordinar los requerimientos necesarios y los aportes de todas las entidades para la marcha Distrital LGBTI")</f>
        <v>Coordinar los requerimientos necesarios y los aportes de todas las entidades para la marcha Distrital LGBTI</v>
      </c>
      <c r="G1593" s="25" t="str">
        <f ca="1">IFERROR(__xludf.DUMMYFUNCTION("""COMPUTED_VALUE"""),"99. Distrito")</f>
        <v>99. Distrito</v>
      </c>
      <c r="H1593" s="55">
        <f ca="1">IFERROR(__xludf.DUMMYFUNCTION("""COMPUTED_VALUE"""),44728)</f>
        <v>44728</v>
      </c>
      <c r="I1593" s="25"/>
      <c r="J1593" s="55" t="str">
        <f ca="1">IFERROR(__xludf.DUMMYFUNCTION("""COMPUTED_VALUE"""),"Alta")</f>
        <v>Alta</v>
      </c>
      <c r="K1593" s="25">
        <f ca="1">IFERROR(__xludf.DUMMYFUNCTION("""COMPUTED_VALUE"""),30)</f>
        <v>30</v>
      </c>
      <c r="L1593" s="62">
        <f ca="1">IFERROR(__xludf.DUMMYFUNCTION("""COMPUTED_VALUE"""),44895)</f>
        <v>44895</v>
      </c>
      <c r="M1593" s="25" t="str">
        <f ca="1">IFERROR(__xludf.DUMMYFUNCTION("""COMPUTED_VALUE"""),"Desde la Secretaría Distrital de Gobierno se realizó la respectiva articulación para las movilizaciones LGBTI del 26 de junio, 3 de julio y 15 de julio respectivamente, al respecto desde el Sector se hizo seguimiento de las siguientes actividades, las cua"&amp;"les se cumplieron completamente.
IDRD: Gestión permisos parques Tunal y Olaya e instalación baterías sanitarias.
IDPAC. Instalación carpas para feria de servicios
IDARTES: Instalación escenario móvil
IPES: Intérprete de señas
SECRETARÍA DE MOVILIDAD: Ges"&amp;"tión PMT y cerramiento de vías
SDG-Diálogo social: Acompañamiento 15 gestores
SDG-DDHH: Acompañamiento institucional Enfoque LGBT diferencia y equipo 10 personas
IDPAC: Video Promocional Marchas y entrega de refrigerios.
SDSCJ: Acompañamiento de 20 gestor"&amp;"es y convocatoria PMU
")</f>
        <v xml:space="preserve">Desde la Secretaría Distrital de Gobierno se realizó la respectiva articulación para las movilizaciones LGBTI del 26 de junio, 3 de julio y 15 de julio respectivamente, al respecto desde el Sector se hizo seguimiento de las siguientes actividades, las cuales se cumplieron completamente.
IDRD: Gestión permisos parques Tunal y Olaya e instalación baterías sanitarias.
IDPAC. Instalación carpas para feria de servicios
IDARTES: Instalación escenario móvil
IPES: Intérprete de señas
SECRETARÍA DE MOVILIDAD: Gestión PMT y cerramiento de vías
SDG-Diálogo social: Acompañamiento 15 gestores
SDG-DDHH: Acompañamiento institucional Enfoque LGBT diferencia y equipo 10 personas
IDPAC: Video Promocional Marchas y entrega de refrigerios.
SDSCJ: Acompañamiento de 20 gestores y convocatoria PMU
</v>
      </c>
      <c r="N1593" s="55">
        <f ca="1">IFERROR(__xludf.DUMMYFUNCTION("""COMPUTED_VALUE"""),44895)</f>
        <v>44895</v>
      </c>
      <c r="O1593" s="25" t="str">
        <f t="shared" ca="1" si="0"/>
        <v>Secretaría Distrital de Gobierno</v>
      </c>
      <c r="P1593" s="25" t="str">
        <f t="shared" si="2"/>
        <v/>
      </c>
      <c r="Q1593" s="25" t="str">
        <f ca="1">IFERROR(__xludf.DUMMYFUNCTION("""COMPUTED_VALUE"""),"Corto plazo")</f>
        <v>Corto plazo</v>
      </c>
      <c r="R1593" s="25"/>
      <c r="S1593" s="55"/>
      <c r="T1593" s="56"/>
      <c r="U1593" s="25"/>
      <c r="V1593" s="25"/>
      <c r="W1593" s="25"/>
      <c r="X1593" s="25"/>
      <c r="Y1593" s="25"/>
      <c r="Z1593" s="25"/>
    </row>
    <row r="1594" spans="1:26" ht="52.5" customHeight="1" x14ac:dyDescent="0.25">
      <c r="A1594" s="25" t="str">
        <f ca="1">IFERROR(__xludf.DUMMYFUNCTION("""COMPUTED_VALUE"""),"Gobie92")</f>
        <v>Gobie92</v>
      </c>
      <c r="B1594" s="25" t="str">
        <f ca="1">IFERROR(__xludf.DUMMYFUNCTION("""COMPUTED_VALUE"""),"Consejo Consultivo LGBTI")</f>
        <v>Consejo Consultivo LGBTI</v>
      </c>
      <c r="C1594" s="55">
        <f ca="1">IFERROR(__xludf.DUMMYFUNCTION("""COMPUTED_VALUE"""),44698)</f>
        <v>44698</v>
      </c>
      <c r="D1594" s="25" t="str">
        <f ca="1">IFERROR(__xludf.DUMMYFUNCTION("""COMPUTED_VALUE"""),"Gobierno")</f>
        <v>Gobierno</v>
      </c>
      <c r="E1594" s="25" t="str">
        <f ca="1">IFERROR(__xludf.DUMMYFUNCTION("""COMPUTED_VALUE"""),"Instituto Distrital de la Participación y Acción Comunal")</f>
        <v>Instituto Distrital de la Participación y Acción Comunal</v>
      </c>
      <c r="F1594" s="25" t="str">
        <f ca="1">IFERROR(__xludf.DUMMYFUNCTION("""COMPUTED_VALUE"""),"Coordinar los requerimientos necesarios y los aportes de todas las entidades para la marcha Distrital Trans")</f>
        <v>Coordinar los requerimientos necesarios y los aportes de todas las entidades para la marcha Distrital Trans</v>
      </c>
      <c r="G1594" s="25" t="str">
        <f ca="1">IFERROR(__xludf.DUMMYFUNCTION("""COMPUTED_VALUE"""),"99. Distrito")</f>
        <v>99. Distrito</v>
      </c>
      <c r="H1594" s="55">
        <f ca="1">IFERROR(__xludf.DUMMYFUNCTION("""COMPUTED_VALUE"""),44728)</f>
        <v>44728</v>
      </c>
      <c r="I1594" s="25"/>
      <c r="J1594" s="55" t="str">
        <f ca="1">IFERROR(__xludf.DUMMYFUNCTION("""COMPUTED_VALUE"""),"Alta")</f>
        <v>Alta</v>
      </c>
      <c r="K1594" s="25">
        <f ca="1">IFERROR(__xludf.DUMMYFUNCTION("""COMPUTED_VALUE"""),30)</f>
        <v>30</v>
      </c>
      <c r="L1594" s="62">
        <f ca="1">IFERROR(__xludf.DUMMYFUNCTION("""COMPUTED_VALUE"""),44803)</f>
        <v>44803</v>
      </c>
      <c r="M1594" s="25" t="str">
        <f ca="1">IFERROR(__xludf.DUMMYFUNCTION("""COMPUTED_VALUE"""),"Reiteramos el reporte realizado anteriormente. La marcha se realizó exitosamente el 15 de julio. Contó con la participación de 3.500 personas aproximadamente, siendo una de las más concurridas en la historia reciente. Hicimos parte del PMU y facilitamos l"&amp;"a marcha con: Apoyo logístico, tarima en CAIDSG, difusión en redes sociales, apoyo logístico en la feria de emprendimientos. Apoyo con intérprete de señas, refrigerios y coordinación con la Red Comunitaria Trans y las demás entidades del Distrito.")</f>
        <v>Reiteramos el reporte realizado anteriormente. La marcha se realizó exitosamente el 15 de julio. Contó con la participación de 3.500 personas aproximadamente, siendo una de las más concurridas en la historia reciente. Hicimos parte del PMU y facilitamos la marcha con: Apoyo logístico, tarima en CAIDSG, difusión en redes sociales, apoyo logístico en la feria de emprendimientos. Apoyo con intérprete de señas, refrigerios y coordinación con la Red Comunitaria Trans y las demás entidades del Distrito.</v>
      </c>
      <c r="N1594" s="55">
        <f ca="1">IFERROR(__xludf.DUMMYFUNCTION("""COMPUTED_VALUE"""),44803)</f>
        <v>44803</v>
      </c>
      <c r="O1594" s="25" t="str">
        <f t="shared" ca="1" si="0"/>
        <v>Instituto Distrital de la Participación y Acción Comunal</v>
      </c>
      <c r="P1594" s="25" t="str">
        <f t="shared" si="2"/>
        <v/>
      </c>
      <c r="Q1594" s="25" t="str">
        <f ca="1">IFERROR(__xludf.DUMMYFUNCTION("""COMPUTED_VALUE"""),"Corto plazo")</f>
        <v>Corto plazo</v>
      </c>
      <c r="R1594" s="25"/>
      <c r="S1594" s="55"/>
      <c r="T1594" s="56"/>
      <c r="U1594" s="25"/>
      <c r="V1594" s="25"/>
      <c r="W1594" s="25"/>
      <c r="X1594" s="25"/>
      <c r="Y1594" s="25"/>
      <c r="Z1594" s="25"/>
    </row>
    <row r="1595" spans="1:26" ht="52.5" customHeight="1" x14ac:dyDescent="0.25">
      <c r="A1595" s="25" t="str">
        <f ca="1">IFERROR(__xludf.DUMMYFUNCTION("""COMPUTED_VALUE"""),"Gobie93")</f>
        <v>Gobie93</v>
      </c>
      <c r="B1595" s="25" t="str">
        <f ca="1">IFERROR(__xludf.DUMMYFUNCTION("""COMPUTED_VALUE"""),"Revisión cesiones y legalizaciones barrios")</f>
        <v>Revisión cesiones y legalizaciones barrios</v>
      </c>
      <c r="C1595" s="55">
        <f ca="1">IFERROR(__xludf.DUMMYFUNCTION("""COMPUTED_VALUE"""),44697)</f>
        <v>44697</v>
      </c>
      <c r="D1595" s="25" t="str">
        <f ca="1">IFERROR(__xludf.DUMMYFUNCTION("""COMPUTED_VALUE"""),"Gobierno")</f>
        <v>Gobierno</v>
      </c>
      <c r="E1595" s="25" t="str">
        <f ca="1">IFERROR(__xludf.DUMMYFUNCTION("""COMPUTED_VALUE"""),"Departamento Administrativo de la Defensoría del Espacio Público")</f>
        <v>Departamento Administrativo de la Defensoría del Espacio Público</v>
      </c>
      <c r="F1595" s="25" t="str">
        <f ca="1">IFERROR(__xludf.DUMMYFUNCTION("""COMPUTED_VALUE"""),"Recodo Fontibón - Tomar posesión DADEP y la administración por parte del IDRD. Estas dos actividades deben de quedar en el mismo acto administrativo.  ")</f>
        <v xml:space="preserve">Recodo Fontibón - Tomar posesión DADEP y la administración por parte del IDRD. Estas dos actividades deben de quedar en el mismo acto administrativo.  </v>
      </c>
      <c r="G1595" s="55" t="str">
        <f ca="1">IFERROR(__xludf.DUMMYFUNCTION("""COMPUTED_VALUE"""),"09. Fontibón")</f>
        <v>09. Fontibón</v>
      </c>
      <c r="H1595" s="55">
        <f ca="1">IFERROR(__xludf.DUMMYFUNCTION("""COMPUTED_VALUE"""),44896)</f>
        <v>44896</v>
      </c>
      <c r="I1595" s="25"/>
      <c r="J1595" s="55" t="str">
        <f ca="1">IFERROR(__xludf.DUMMYFUNCTION("""COMPUTED_VALUE"""),"Baja")</f>
        <v>Baja</v>
      </c>
      <c r="K1595" s="25">
        <f ca="1">IFERROR(__xludf.DUMMYFUNCTION("""COMPUTED_VALUE"""),199)</f>
        <v>199</v>
      </c>
      <c r="L1595" s="62">
        <f ca="1">IFERROR(__xludf.DUMMYFUNCTION("""COMPUTED_VALUE"""),44895)</f>
        <v>44895</v>
      </c>
      <c r="M1595" s="25" t="str">
        <f ca="1">IFERROR(__xludf.DUMMYFUNCTION("""COMPUTED_VALUE"""),"Las tomas de posesión de la Estancia ya se hicieron y el DADEP se encuentra en proceso de incorporación en el sistema. Una vez estas ya sean incorporadas el IDRD podrá administrar dichos parques. ahora bien, su incorporación en el SIDEP 2.0 también ya fue"&amp;" realizada.")</f>
        <v>Las tomas de posesión de la Estancia ya se hicieron y el DADEP se encuentra en proceso de incorporación en el sistema. Una vez estas ya sean incorporadas el IDRD podrá administrar dichos parques. ahora bien, su incorporación en el SIDEP 2.0 también ya fue realizada.</v>
      </c>
      <c r="N1595" s="55">
        <f ca="1">IFERROR(__xludf.DUMMYFUNCTION("""COMPUTED_VALUE"""),44895)</f>
        <v>44895</v>
      </c>
      <c r="O1595" s="25" t="str">
        <f t="shared" ca="1" si="0"/>
        <v>Departamento Administrativo de la Defensoría del Espacio Público</v>
      </c>
      <c r="P1595" s="25" t="str">
        <f t="shared" si="2"/>
        <v/>
      </c>
      <c r="Q1595" s="25" t="str">
        <f ca="1">IFERROR(__xludf.DUMMYFUNCTION("""COMPUTED_VALUE"""),"Largo plazo")</f>
        <v>Largo plazo</v>
      </c>
      <c r="R1595" s="25"/>
      <c r="S1595" s="55"/>
      <c r="T1595" s="56"/>
      <c r="U1595" s="25"/>
      <c r="V1595" s="25"/>
      <c r="W1595" s="25"/>
      <c r="X1595" s="25"/>
      <c r="Y1595" s="25"/>
      <c r="Z1595" s="25"/>
    </row>
    <row r="1596" spans="1:26" ht="52.5" customHeight="1" x14ac:dyDescent="0.25">
      <c r="A1596" s="25" t="str">
        <f ca="1">IFERROR(__xludf.DUMMYFUNCTION("""COMPUTED_VALUE"""),"Gobie94")</f>
        <v>Gobie94</v>
      </c>
      <c r="B1596" s="25" t="str">
        <f ca="1">IFERROR(__xludf.DUMMYFUNCTION("""COMPUTED_VALUE"""),"Revisión cesiones y legalizaciones barrios")</f>
        <v>Revisión cesiones y legalizaciones barrios</v>
      </c>
      <c r="C1596" s="55">
        <f ca="1">IFERROR(__xludf.DUMMYFUNCTION("""COMPUTED_VALUE"""),44697)</f>
        <v>44697</v>
      </c>
      <c r="D1596" s="25" t="str">
        <f ca="1">IFERROR(__xludf.DUMMYFUNCTION("""COMPUTED_VALUE"""),"Gobierno")</f>
        <v>Gobierno</v>
      </c>
      <c r="E1596" s="25" t="str">
        <f ca="1">IFERROR(__xludf.DUMMYFUNCTION("""COMPUTED_VALUE"""),"Alcaldía Local")</f>
        <v>Alcaldía Local</v>
      </c>
      <c r="F1596" s="25" t="str">
        <f ca="1">IFERROR(__xludf.DUMMYFUNCTION("""COMPUTED_VALUE"""),"Recibir la administración y realizar la dotación de la biblioteca plaza Fontibón (la sede antigua de la Estación de Bomberos de Fontibón)")</f>
        <v>Recibir la administración y realizar la dotación de la biblioteca plaza Fontibón (la sede antigua de la Estación de Bomberos de Fontibón)</v>
      </c>
      <c r="G1596" s="55" t="str">
        <f ca="1">IFERROR(__xludf.DUMMYFUNCTION("""COMPUTED_VALUE"""),"09. Fontibón")</f>
        <v>09. Fontibón</v>
      </c>
      <c r="H1596" s="55">
        <f ca="1">IFERROR(__xludf.DUMMYFUNCTION("""COMPUTED_VALUE"""),44727)</f>
        <v>44727</v>
      </c>
      <c r="I1596" s="25"/>
      <c r="J1596" s="55" t="str">
        <f ca="1">IFERROR(__xludf.DUMMYFUNCTION("""COMPUTED_VALUE"""),"Alta")</f>
        <v>Alta</v>
      </c>
      <c r="K1596" s="25">
        <f ca="1">IFERROR(__xludf.DUMMYFUNCTION("""COMPUTED_VALUE"""),30)</f>
        <v>30</v>
      </c>
      <c r="L1596" s="62">
        <f ca="1">IFERROR(__xludf.DUMMYFUNCTION("""COMPUTED_VALUE"""),44901)</f>
        <v>44901</v>
      </c>
      <c r="M1596" s="25" t="str">
        <f ca="1">IFERROR(__xludf.DUMMYFUNCTION("""COMPUTED_VALUE"""),"Reporte 11 noviembre: El proceso de adecuación de la nueva Biblioteca Pública está colgado en Secop y se adjudicará al finalizar el mes de noviembre.
El proceso de dotación de mobiliario se va a adelantar por Colombia Compra Eficiente y tan pronto se adju"&amp;"dique el de adecuación se pasará a Comité de Contratación.
Proceso: FDLF SA MC 006 2022
Modalidad: Selección Abreviada de Menor Cuantía.
Valor: $170.000.000
Empresas que se presentaron al proceso de adecuación de la nueva Biblioteca: 1. SIINCO S.A.S; 2. "&amp;"ECOCIVIL SAS; y INGCAP.
Al día de hoy el FDLF presentó la evaluación técnica y jurídica definitiva y la respuesta a las observaciones del informe de evaluación.")</f>
        <v>Reporte 11 noviembre: El proceso de adecuación de la nueva Biblioteca Pública está colgado en Secop y se adjudicará al finalizar el mes de noviembre.
El proceso de dotación de mobiliario se va a adelantar por Colombia Compra Eficiente y tan pronto se adjudique el de adecuación se pasará a Comité de Contratación.
Proceso: FDLF SA MC 006 2022
Modalidad: Selección Abreviada de Menor Cuantía.
Valor: $170.000.000
Empresas que se presentaron al proceso de adecuación de la nueva Biblioteca: 1. SIINCO S.A.S; 2. ECOCIVIL SAS; y INGCAP.
Al día de hoy el FDLF presentó la evaluación técnica y jurídica definitiva y la respuesta a las observaciones del informe de evaluación.</v>
      </c>
      <c r="N1596" s="55">
        <f ca="1">IFERROR(__xludf.DUMMYFUNCTION("""COMPUTED_VALUE"""),44901)</f>
        <v>44901</v>
      </c>
      <c r="O1596" s="25" t="str">
        <f t="shared" ca="1" si="0"/>
        <v>Alcaldía Local</v>
      </c>
      <c r="P1596" s="25" t="str">
        <f t="shared" si="2"/>
        <v/>
      </c>
      <c r="Q1596" s="25" t="str">
        <f ca="1">IFERROR(__xludf.DUMMYFUNCTION("""COMPUTED_VALUE"""),"Corto plazo")</f>
        <v>Corto plazo</v>
      </c>
      <c r="R1596" s="25"/>
      <c r="S1596" s="55"/>
      <c r="T1596" s="56"/>
      <c r="U1596" s="25"/>
      <c r="V1596" s="25"/>
      <c r="W1596" s="25"/>
      <c r="X1596" s="25"/>
      <c r="Y1596" s="25"/>
      <c r="Z1596" s="25"/>
    </row>
    <row r="1597" spans="1:26" ht="52.5" customHeight="1" x14ac:dyDescent="0.25">
      <c r="A1597" s="25" t="str">
        <f ca="1">IFERROR(__xludf.DUMMYFUNCTION("""COMPUTED_VALUE"""),"Gobie95")</f>
        <v>Gobie95</v>
      </c>
      <c r="B1597" s="25" t="str">
        <f ca="1">IFERROR(__xludf.DUMMYFUNCTION("""COMPUTED_VALUE"""),"Revisión cesiones y legalizaciones barrios")</f>
        <v>Revisión cesiones y legalizaciones barrios</v>
      </c>
      <c r="C1597" s="55">
        <f ca="1">IFERROR(__xludf.DUMMYFUNCTION("""COMPUTED_VALUE"""),44697)</f>
        <v>44697</v>
      </c>
      <c r="D1597" s="25" t="str">
        <f ca="1">IFERROR(__xludf.DUMMYFUNCTION("""COMPUTED_VALUE"""),"Gobierno")</f>
        <v>Gobierno</v>
      </c>
      <c r="E1597" s="25" t="str">
        <f ca="1">IFERROR(__xludf.DUMMYFUNCTION("""COMPUTED_VALUE"""),"Departamento Administrativo de la Defensoría del Espacio Público")</f>
        <v>Departamento Administrativo de la Defensoría del Espacio Público</v>
      </c>
      <c r="F1597" s="25" t="str">
        <f ca="1">IFERROR(__xludf.DUMMYFUNCTION("""COMPUTED_VALUE"""),"Levantar la medida de Cielo Abierto en la Zona G y abrir la vía")</f>
        <v>Levantar la medida de Cielo Abierto en la Zona G y abrir la vía</v>
      </c>
      <c r="G1597" s="25" t="str">
        <f ca="1">IFERROR(__xludf.DUMMYFUNCTION("""COMPUTED_VALUE"""),"99. Distrito")</f>
        <v>99. Distrito</v>
      </c>
      <c r="H1597" s="55">
        <f ca="1">IFERROR(__xludf.DUMMYFUNCTION("""COMPUTED_VALUE"""),44727)</f>
        <v>44727</v>
      </c>
      <c r="I1597" s="25"/>
      <c r="J1597" s="55" t="str">
        <f ca="1">IFERROR(__xludf.DUMMYFUNCTION("""COMPUTED_VALUE"""),"Alta")</f>
        <v>Alta</v>
      </c>
      <c r="K1597" s="25">
        <f ca="1">IFERROR(__xludf.DUMMYFUNCTION("""COMPUTED_VALUE"""),30)</f>
        <v>30</v>
      </c>
      <c r="L1597" s="62">
        <f ca="1">IFERROR(__xludf.DUMMYFUNCTION("""COMPUTED_VALUE"""),44803)</f>
        <v>44803</v>
      </c>
      <c r="M1597" s="25" t="str">
        <f ca="1">IFERROR(__xludf.DUMMYFUNCTION("""COMPUTED_VALUE"""),"El DADEP  solicitó a la alcaldía local de Chapinero el levantamiento de la medida de Bogotá a Cielo Abierto en Zona G y a inicios del mes de agosto quedó toda la zona despejada y habilitada para el tránsito de vehículos.")</f>
        <v>El DADEP  solicitó a la alcaldía local de Chapinero el levantamiento de la medida de Bogotá a Cielo Abierto en Zona G y a inicios del mes de agosto quedó toda la zona despejada y habilitada para el tránsito de vehículos.</v>
      </c>
      <c r="N1597" s="55">
        <f ca="1">IFERROR(__xludf.DUMMYFUNCTION("""COMPUTED_VALUE"""),44803)</f>
        <v>44803</v>
      </c>
      <c r="O1597" s="25" t="str">
        <f t="shared" ca="1" si="0"/>
        <v>Departamento Administrativo de la Defensoría del Espacio Público</v>
      </c>
      <c r="P1597" s="25" t="str">
        <f t="shared" si="2"/>
        <v/>
      </c>
      <c r="Q1597" s="25" t="str">
        <f ca="1">IFERROR(__xludf.DUMMYFUNCTION("""COMPUTED_VALUE"""),"Corto plazo")</f>
        <v>Corto plazo</v>
      </c>
      <c r="R1597" s="25"/>
      <c r="S1597" s="55"/>
      <c r="T1597" s="56"/>
      <c r="U1597" s="25"/>
      <c r="V1597" s="25"/>
      <c r="W1597" s="25"/>
      <c r="X1597" s="25"/>
      <c r="Y1597" s="25"/>
      <c r="Z1597" s="25"/>
    </row>
    <row r="1598" spans="1:26" ht="52.5" customHeight="1" x14ac:dyDescent="0.25">
      <c r="A1598" s="25" t="str">
        <f ca="1">IFERROR(__xludf.DUMMYFUNCTION("""COMPUTED_VALUE"""),"Gobie96")</f>
        <v>Gobie96</v>
      </c>
      <c r="B1598" s="25" t="str">
        <f ca="1">IFERROR(__xludf.DUMMYFUNCTION("""COMPUTED_VALUE"""),"Revisión cesiones y legalizaciones barrios")</f>
        <v>Revisión cesiones y legalizaciones barrios</v>
      </c>
      <c r="C1598" s="55">
        <f ca="1">IFERROR(__xludf.DUMMYFUNCTION("""COMPUTED_VALUE"""),44697)</f>
        <v>44697</v>
      </c>
      <c r="D1598" s="25" t="str">
        <f ca="1">IFERROR(__xludf.DUMMYFUNCTION("""COMPUTED_VALUE"""),"Gobierno")</f>
        <v>Gobierno</v>
      </c>
      <c r="E1598" s="25" t="str">
        <f ca="1">IFERROR(__xludf.DUMMYFUNCTION("""COMPUTED_VALUE"""),"Departamento Administrativo de la Defensoría del Espacio Público")</f>
        <v>Departamento Administrativo de la Defensoría del Espacio Público</v>
      </c>
      <c r="F1598" s="25" t="str">
        <f ca="1">IFERROR(__xludf.DUMMYFUNCTION("""COMPUTED_VALUE"""),"Articularse la Secretaria de Seguridad y DADEP  para el aprovechamiento económico y frentes de seguridad DEMUS en Lourdes y en Hippies ")</f>
        <v xml:space="preserve">Articularse la Secretaria de Seguridad y DADEP  para el aprovechamiento económico y frentes de seguridad DEMUS en Lourdes y en Hippies </v>
      </c>
      <c r="G1598" s="25" t="str">
        <f ca="1">IFERROR(__xludf.DUMMYFUNCTION("""COMPUTED_VALUE"""),"99. Distrito")</f>
        <v>99. Distrito</v>
      </c>
      <c r="H1598" s="55">
        <f ca="1">IFERROR(__xludf.DUMMYFUNCTION("""COMPUTED_VALUE"""),44986)</f>
        <v>44986</v>
      </c>
      <c r="I1598" s="25" t="str">
        <f ca="1">IFERROR(__xludf.DUMMYFUNCTION("""COMPUTED_VALUE"""),"Delivery Unit")</f>
        <v>Delivery Unit</v>
      </c>
      <c r="J1598" s="55" t="str">
        <f ca="1">IFERROR(__xludf.DUMMYFUNCTION("""COMPUTED_VALUE"""),"Media")</f>
        <v>Media</v>
      </c>
      <c r="K1598" s="25">
        <f ca="1">IFERROR(__xludf.DUMMYFUNCTION("""COMPUTED_VALUE"""),289)</f>
        <v>289</v>
      </c>
      <c r="L1598" s="62">
        <f ca="1">IFERROR(__xludf.DUMMYFUNCTION("""COMPUTED_VALUE"""),45082)</f>
        <v>45082</v>
      </c>
      <c r="M1598" s="25" t="str">
        <f ca="1">IFERROR(__xludf.DUMMYFUNCTION("""COMPUTED_VALUE"""),"El DADEP ha hecho 5 mesas de trabajo con ASOLOURDES y ha acompañado constantemente a esta asociación en todos los avances de este proceso, el 27 de febrero se realiza una reunión con esta asociación y manifiestan el interés de seguir con el proceso en cua"&amp;"nto se solucione la problemática de la permanencia de la feria artesanal en esta plaza. Con lo anterior el DADEP se encuentra a la espera de que la asociación remita el primer  documento tecnico de soporte para revisar las actividades que desean aplicar y"&amp;" asi el DADEP pueda remitir un concepto tecnico de viabilidad o no viabilidad. A la fecha no se ha recibido ningun documento por parte de la asociación. Asolourdes manifesta que para continuar con el proceso del DEMOS no debe haber presencia de la feria d"&amp;"e vendedores informales que actualmente hay en esta plaza, el DADEP les aclara que no es competencia de la entidad interferir con los procesos  que el IPES esta majeando. Por esta razón el DADEP oficiara a la asociación con el objeto de verificar el inter"&amp;"es de continuar o archivar este proceso.")</f>
        <v>El DADEP ha hecho 5 mesas de trabajo con ASOLOURDES y ha acompañado constantemente a esta asociación en todos los avances de este proceso, el 27 de febrero se realiza una reunión con esta asociación y manifiestan el interés de seguir con el proceso en cuanto se solucione la problemática de la permanencia de la feria artesanal en esta plaza. Con lo anterior el DADEP se encuentra a la espera de que la asociación remita el primer  documento tecnico de soporte para revisar las actividades que desean aplicar y asi el DADEP pueda remitir un concepto tecnico de viabilidad o no viabilidad. A la fecha no se ha recibido ningun documento por parte de la asociación. Asolourdes manifesta que para continuar con el proceso del DEMOS no debe haber presencia de la feria de vendedores informales que actualmente hay en esta plaza, el DADEP les aclara que no es competencia de la entidad interferir con los procesos  que el IPES esta majeando. Por esta razón el DADEP oficiara a la asociación con el objeto de verificar el interes de continuar o archivar este proceso.</v>
      </c>
      <c r="N1598" s="25"/>
      <c r="O1598" s="25" t="str">
        <f t="shared" ca="1" si="0"/>
        <v>Departamento Administrativo de la Defensoría del Espacio Público</v>
      </c>
      <c r="P1598" s="25" t="str">
        <f t="shared" ca="1" si="2"/>
        <v/>
      </c>
      <c r="Q1598" s="25" t="str">
        <f ca="1">IFERROR(__xludf.DUMMYFUNCTION("""COMPUTED_VALUE"""),"Largo plazo")</f>
        <v>Largo plazo</v>
      </c>
      <c r="R1598" s="25"/>
      <c r="S1598" s="55"/>
      <c r="T1598" s="56"/>
      <c r="U1598" s="25"/>
      <c r="V1598" s="25"/>
      <c r="W1598" s="25"/>
      <c r="X1598" s="25"/>
      <c r="Y1598" s="25"/>
      <c r="Z1598" s="25"/>
    </row>
    <row r="1599" spans="1:26" ht="52.5" customHeight="1" x14ac:dyDescent="0.25">
      <c r="A1599" s="25" t="str">
        <f ca="1">IFERROR(__xludf.DUMMYFUNCTION("""COMPUTED_VALUE"""),"Gobie97")</f>
        <v>Gobie97</v>
      </c>
      <c r="B1599" s="25" t="str">
        <f ca="1">IFERROR(__xludf.DUMMYFUNCTION("""COMPUTED_VALUE"""),"Revisión cesiones y legalizaciones barrios")</f>
        <v>Revisión cesiones y legalizaciones barrios</v>
      </c>
      <c r="C1599" s="55">
        <f ca="1">IFERROR(__xludf.DUMMYFUNCTION("""COMPUTED_VALUE"""),44697)</f>
        <v>44697</v>
      </c>
      <c r="D1599" s="25" t="str">
        <f ca="1">IFERROR(__xludf.DUMMYFUNCTION("""COMPUTED_VALUE"""),"Gobierno")</f>
        <v>Gobierno</v>
      </c>
      <c r="E1599" s="25" t="str">
        <f ca="1">IFERROR(__xludf.DUMMYFUNCTION("""COMPUTED_VALUE"""),"Departamento Administrativo de la Defensoría del Espacio Público")</f>
        <v>Departamento Administrativo de la Defensoría del Espacio Público</v>
      </c>
      <c r="F1599" s="25" t="str">
        <f ca="1">IFERROR(__xludf.DUMMYFUNCTION("""COMPUTED_VALUE"""),"Estacionamientos de Compartir y Lombardía. Entregar la Administración al Terminal")</f>
        <v>Estacionamientos de Compartir y Lombardía. Entregar la Administración al Terminal</v>
      </c>
      <c r="G1599" s="25" t="str">
        <f ca="1">IFERROR(__xludf.DUMMYFUNCTION("""COMPUTED_VALUE"""),"99. Distrito")</f>
        <v>99. Distrito</v>
      </c>
      <c r="H1599" s="55">
        <f ca="1">IFERROR(__xludf.DUMMYFUNCTION("""COMPUTED_VALUE"""),44727)</f>
        <v>44727</v>
      </c>
      <c r="I1599" s="25"/>
      <c r="J1599" s="55" t="str">
        <f ca="1">IFERROR(__xludf.DUMMYFUNCTION("""COMPUTED_VALUE"""),"Alta")</f>
        <v>Alta</v>
      </c>
      <c r="K1599" s="25">
        <f ca="1">IFERROR(__xludf.DUMMYFUNCTION("""COMPUTED_VALUE"""),30)</f>
        <v>30</v>
      </c>
      <c r="L1599" s="62">
        <f ca="1">IFERROR(__xludf.DUMMYFUNCTION("""COMPUTED_VALUE"""),45051)</f>
        <v>45051</v>
      </c>
      <c r="M1599" s="25" t="str">
        <f ca="1">IFERROR(__xludf.DUMMYFUNCTION("""COMPUTED_VALUE"""),"
1.        Lombardía
1.1.        Predio identificado con RUPI 3076-12 con uso de Estacionamiento, Bahía y/o Parqueadero y ubicado en la Urbanización Lombardía III Etapa – Sector A en la Localidad de Suba:
•        Predio entregado en administración a l"&amp;"a FUNDACION SIN ANIMO DE LUCRO PRODEFENSA LOMBARDIA, mediante la suscripción de Convenio solidario No. 110-00129-481-0-2022, en virtud del proceso de selección de mínima cuantía No. DADEP-SMINC-435-2022.
1.2.        Frente a los predios objeto de solicit"&amp;"ud de la Junta de Acción comunal, identificados con RUPI: 991-12,991-13,991- 39, 991-40, 991-41,991-43,991- 44 Y 991-45 con uso de Estacionamiento, Bahía y/o Parqueadero, todos ubicados en la Urbanización Lombardía Etapas I, II y III, tenemos:
•        D"&amp;"el Diagnostico Social de fecha 18 de agosto de 2022, se determinó no viable socialmente para entrega en administración las siguientes zonas:  
LOMBARDIA        991-39        NO VIABLE
        991-41        NO VIABLE
        991-45        NO VIABLE
      "&amp;"  991-44        NO VIABLE
        991-43        NO VIABLE
•        Socialmente viable la entrega en administración de las siguientes zonas barriales, mediante proceso de convocatoria a organización comunitaria que cumpla con los requisitos exigidos por e"&amp;"l Dadep. Identificando dos (2) organizaciones comunitarias interesadas en administrar y una persona natural): 
LOMBARDIA        991-40        VIABLE
        991-13        VIABLE
        991-12        VIABLE
•        No obstante, desde esta Defensoría s"&amp;"e tuvo conocimiento que la situación con las comunidades en terreno había cambiado, razón por la cual, se hizo necesario llevar a cabo una nueva visita desde el equipo social, en el mes de febrero del año 2023. Diagnóstico en el que en efecto se evidenció"&amp;", que el comité Cívico Procolombia desistió de su interés en administrar las zonas de parqueadero ubicadas en la Urbanización. Por tanto, los predios identificados con RUPI 991-12, 991-13 y 991-40 resultaron viables para entrega en administración directam"&amp;"ente a la Junta de Acción comunal Lombardía. 
Conforme lo anterior, nos encontramos actualmente en la consecución requisitos por parte de la Junta de Acción Comunal con el nuevo Representante Legal, pendiente de realización de asamblea con comunidad para"&amp;" la primera semana de junio de 2023 (según información de la JAC). Desde este Departamento Administrativo en la actualización de estudios técnicos y financieros con vigencia del año 2023 para proyección de Minuta del Convenio solidario. 
                 "&amp;"                                                                                                                                                                                                        * Compartir: La Alcaldía local de Suba entregó el 1 de "&amp;"julio de 2022 y el 30 de septiembre al DADEP los parqueaderos de las etapas 1, 4 y 5 de Compartir así mismo el DADEP entregó a la terminal de transportes estos parqueaderos para su respectiva administración.
")</f>
        <v xml:space="preserve">
1.        Lombardía
1.1.        Predio identificado con RUPI 3076-12 con uso de Estacionamiento, Bahía y/o Parqueadero y ubicado en la Urbanización Lombardía III Etapa – Sector A en la Localidad de Suba:
•        Predio entregado en administración a la FUNDACION SIN ANIMO DE LUCRO PRODEFENSA LOMBARDIA, mediante la suscripción de Convenio solidario No. 110-00129-481-0-2022, en virtud del proceso de selección de mínima cuantía No. DADEP-SMINC-435-2022.
1.2.        Frente a los predios objeto de solicitud de la Junta de Acción comunal, identificados con RUPI: 991-12,991-13,991- 39, 991-40, 991-41,991-43,991- 44 Y 991-45 con uso de Estacionamiento, Bahía y/o Parqueadero, todos ubicados en la Urbanización Lombardía Etapas I, II y III, tenemos:
•        Del Diagnostico Social de fecha 18 de agosto de 2022, se determinó no viable socialmente para entrega en administración las siguientes zonas:  
LOMBARDIA        991-39        NO VIABLE
        991-41        NO VIABLE
        991-45        NO VIABLE
        991-44        NO VIABLE
        991-43        NO VIABLE
•        Socialmente viable la entrega en administración de las siguientes zonas barriales, mediante proceso de convocatoria a organización comunitaria que cumpla con los requisitos exigidos por el Dadep. Identificando dos (2) organizaciones comunitarias interesadas en administrar y una persona natural): 
LOMBARDIA        991-40        VIABLE
        991-13        VIABLE
        991-12        VIABLE
•        No obstante, desde esta Defensoría se tuvo conocimiento que la situación con las comunidades en terreno había cambiado, razón por la cual, se hizo necesario llevar a cabo una nueva visita desde el equipo social, en el mes de febrero del año 2023. Diagnóstico en el que en efecto se evidenció, que el comité Cívico Procolombia desistió de su interés en administrar las zonas de parqueadero ubicadas en la Urbanización. Por tanto, los predios identificados con RUPI 991-12, 991-13 y 991-40 resultaron viables para entrega en administración directamente a la Junta de Acción comunal Lombardía. 
Conforme lo anterior, nos encontramos actualmente en la consecución requisitos por parte de la Junta de Acción Comunal con el nuevo Representante Legal, pendiente de realización de asamblea con comunidad para la primera semana de junio de 2023 (según información de la JAC). Desde este Departamento Administrativo en la actualización de estudios técnicos y financieros con vigencia del año 2023 para proyección de Minuta del Convenio solidario. 
                                                                                                                                                                                                                         * Compartir: La Alcaldía local de Suba entregó el 1 de julio de 2022 y el 30 de septiembre al DADEP los parqueaderos de las etapas 1, 4 y 5 de Compartir así mismo el DADEP entregó a la terminal de transportes estos parqueaderos para su respectiva administración.
</v>
      </c>
      <c r="N1599" s="55">
        <f ca="1">IFERROR(__xludf.DUMMYFUNCTION("""COMPUTED_VALUE"""),44803)</f>
        <v>44803</v>
      </c>
      <c r="O1599" s="25" t="str">
        <f t="shared" ca="1" si="0"/>
        <v>Departamento Administrativo de la Defensoría del Espacio Público</v>
      </c>
      <c r="P1599" s="25" t="str">
        <f t="shared" si="2"/>
        <v/>
      </c>
      <c r="Q1599" s="25" t="str">
        <f ca="1">IFERROR(__xludf.DUMMYFUNCTION("""COMPUTED_VALUE"""),"Corto plazo")</f>
        <v>Corto plazo</v>
      </c>
      <c r="R1599" s="25"/>
      <c r="S1599" s="55"/>
      <c r="T1599" s="56"/>
      <c r="U1599" s="25"/>
      <c r="V1599" s="25"/>
      <c r="W1599" s="25"/>
      <c r="X1599" s="25"/>
      <c r="Y1599" s="25"/>
      <c r="Z1599" s="25"/>
    </row>
    <row r="1600" spans="1:26" ht="52.5" customHeight="1" x14ac:dyDescent="0.25">
      <c r="A1600" s="25" t="str">
        <f ca="1">IFERROR(__xludf.DUMMYFUNCTION("""COMPUTED_VALUE"""),"Gobie98")</f>
        <v>Gobie98</v>
      </c>
      <c r="B1600" s="25" t="str">
        <f ca="1">IFERROR(__xludf.DUMMYFUNCTION("""COMPUTED_VALUE"""),"SEGUIMIENTO POT")</f>
        <v>SEGUIMIENTO POT</v>
      </c>
      <c r="C1600" s="55">
        <f ca="1">IFERROR(__xludf.DUMMYFUNCTION("""COMPUTED_VALUE"""),44699)</f>
        <v>44699</v>
      </c>
      <c r="D1600" s="25" t="str">
        <f ca="1">IFERROR(__xludf.DUMMYFUNCTION("""COMPUTED_VALUE"""),"Gobierno")</f>
        <v>Gobierno</v>
      </c>
      <c r="E1600" s="25" t="str">
        <f ca="1">IFERROR(__xludf.DUMMYFUNCTION("""COMPUTED_VALUE"""),"Departamento Administrativo de la Defensoría del Espacio Público")</f>
        <v>Departamento Administrativo de la Defensoría del Espacio Público</v>
      </c>
      <c r="F1600" s="25" t="str">
        <f ca="1">IFERROR(__xludf.DUMMYFUNCTION("""COMPUTED_VALUE"""),"Decreto de procedimientos de espacio público para declaratoria de propiedad y poder asignarlo al IDRD o al IDU")</f>
        <v>Decreto de procedimientos de espacio público para declaratoria de propiedad y poder asignarlo al IDRD o al IDU</v>
      </c>
      <c r="G1600" s="25" t="str">
        <f ca="1">IFERROR(__xludf.DUMMYFUNCTION("""COMPUTED_VALUE"""),"99. Distrito")</f>
        <v>99. Distrito</v>
      </c>
      <c r="H1600" s="55">
        <f ca="1">IFERROR(__xludf.DUMMYFUNCTION("""COMPUTED_VALUE"""),44985)</f>
        <v>44985</v>
      </c>
      <c r="I1600" s="25"/>
      <c r="J1600" s="55" t="str">
        <f ca="1">IFERROR(__xludf.DUMMYFUNCTION("""COMPUTED_VALUE"""),"Baja")</f>
        <v>Baja</v>
      </c>
      <c r="K1600" s="25">
        <f ca="1">IFERROR(__xludf.DUMMYFUNCTION("""COMPUTED_VALUE"""),286)</f>
        <v>286</v>
      </c>
      <c r="L1600" s="62">
        <f ca="1">IFERROR(__xludf.DUMMYFUNCTION("""COMPUTED_VALUE"""),45062)</f>
        <v>45062</v>
      </c>
      <c r="M1600" s="25" t="str">
        <f ca="1">IFERROR(__xludf.DUMMYFUNCTION("""COMPUTED_VALUE"""),"De conformidad con lo previsto del el Decreto 555 de 2021 por medio del cual se reglamenta el POT se decretó la obligatoriedad de expedir un solo decreto que recoja todos los temas de Espacio Público, Decreto  que fue adoptado el pasado 15 de febrero de 2"&amp;"023 con el  Nº 072.  Este acto administrativo concreta procedimientos para la declaración de propiedad de los predios del Distrito y define los instrumentos y/o acciones tendientes entre otros a incorporar al inventario del espacio publico.")</f>
        <v>De conformidad con lo previsto del el Decreto 555 de 2021 por medio del cual se reglamenta el POT se decretó la obligatoriedad de expedir un solo decreto que recoja todos los temas de Espacio Público, Decreto  que fue adoptado el pasado 15 de febrero de 2023 con el  Nº 072.  Este acto administrativo concreta procedimientos para la declaración de propiedad de los predios del Distrito y define los instrumentos y/o acciones tendientes entre otros a incorporar al inventario del espacio publico.</v>
      </c>
      <c r="N1600" s="55">
        <f ca="1">IFERROR(__xludf.DUMMYFUNCTION("""COMPUTED_VALUE"""),44972)</f>
        <v>44972</v>
      </c>
      <c r="O1600" s="25" t="str">
        <f t="shared" ca="1" si="0"/>
        <v>Departamento Administrativo de la Defensoría del Espacio Público</v>
      </c>
      <c r="P1600" s="25" t="str">
        <f t="shared" si="2"/>
        <v/>
      </c>
      <c r="Q1600" s="25" t="str">
        <f ca="1">IFERROR(__xludf.DUMMYFUNCTION("""COMPUTED_VALUE"""),"Largo plazo")</f>
        <v>Largo plazo</v>
      </c>
      <c r="R1600" s="25"/>
      <c r="S1600" s="55"/>
      <c r="T1600" s="56"/>
      <c r="U1600" s="25"/>
      <c r="V1600" s="25"/>
      <c r="W1600" s="25"/>
      <c r="X1600" s="25"/>
      <c r="Y1600" s="25"/>
      <c r="Z1600" s="25"/>
    </row>
    <row r="1601" spans="1:26" ht="52.5" customHeight="1" x14ac:dyDescent="0.25">
      <c r="A1601" s="25" t="str">
        <f ca="1">IFERROR(__xludf.DUMMYFUNCTION("""COMPUTED_VALUE"""),"Gobie99")</f>
        <v>Gobie99</v>
      </c>
      <c r="B1601" s="25" t="str">
        <f ca="1">IFERROR(__xludf.DUMMYFUNCTION("""COMPUTED_VALUE"""),"Comisión consultiva de afros, negritudes y palenqueras")</f>
        <v>Comisión consultiva de afros, negritudes y palenqueras</v>
      </c>
      <c r="C1601" s="55">
        <f ca="1">IFERROR(__xludf.DUMMYFUNCTION("""COMPUTED_VALUE"""),44712)</f>
        <v>44712</v>
      </c>
      <c r="D1601" s="25" t="str">
        <f ca="1">IFERROR(__xludf.DUMMYFUNCTION("""COMPUTED_VALUE"""),"Gobierno")</f>
        <v>Gobierno</v>
      </c>
      <c r="E1601" s="25" t="str">
        <f ca="1">IFERROR(__xludf.DUMMYFUNCTION("""COMPUTED_VALUE"""),"Secretaría Distrital de Gobierno")</f>
        <v>Secretaría Distrital de Gobierno</v>
      </c>
      <c r="F1601" s="25" t="str">
        <f ca="1">IFERROR(__xludf.DUMMYFUNCTION("""COMPUTED_VALUE"""),"Elaborar un plan de choque para el cumplimiento de las 191 metas de acciones afirmativas para las comunidades afro, negras y palenqueras. para el cumplimiento de las 191 acciones afirmtivas, se adelantaron reunones de seguimiento con cada uno de los secto"&amp;"res , con el objetivo de revisar los cuellos de botellas que se estan presentando y que no permiten la implementación efectiva y real de las accioens afirmativas, finalizando el mes de agosto se tendrá un compliado de reuniones relaizadas, que garanticen "&amp;"el debido cumplimieno de las 191 acciones afirmativas concertadas.
")</f>
        <v xml:space="preserve">Elaborar un plan de choque para el cumplimiento de las 191 metas de acciones afirmativas para las comunidades afro, negras y palenqueras. para el cumplimiento de las 191 acciones afirmtivas, se adelantaron reunones de seguimiento con cada uno de los sectores , con el objetivo de revisar los cuellos de botellas que se estan presentando y que no permiten la implementación efectiva y real de las accioens afirmativas, finalizando el mes de agosto se tendrá un compliado de reuniones relaizadas, que garanticen el debido cumplimieno de las 191 acciones afirmativas concertadas.
</v>
      </c>
      <c r="G1601" s="25" t="str">
        <f ca="1">IFERROR(__xludf.DUMMYFUNCTION("""COMPUTED_VALUE"""),"99. Distrito")</f>
        <v>99. Distrito</v>
      </c>
      <c r="H1601" s="55">
        <f ca="1">IFERROR(__xludf.DUMMYFUNCTION("""COMPUTED_VALUE"""),44742)</f>
        <v>44742</v>
      </c>
      <c r="I1601" s="25"/>
      <c r="J1601" s="55" t="str">
        <f ca="1">IFERROR(__xludf.DUMMYFUNCTION("""COMPUTED_VALUE"""),"Alta")</f>
        <v>Alta</v>
      </c>
      <c r="K1601" s="25">
        <f ca="1">IFERROR(__xludf.DUMMYFUNCTION("""COMPUTED_VALUE"""),30)</f>
        <v>30</v>
      </c>
      <c r="L1601" s="62">
        <f ca="1">IFERROR(__xludf.DUMMYFUNCTION("""COMPUTED_VALUE"""),44895)</f>
        <v>44895</v>
      </c>
      <c r="M1601" s="25" t="str">
        <f ca="1">IFERROR(__xludf.DUMMYFUNCTION("""COMPUTED_VALUE"""),"Como resultado del plan de choque ejecutado por el equipo de la SAE,  se implementaron parcialmente 163 acciones afirmativas  y 14  fueron implementadas totalmente.  Adicionalmente, también se adelantaron reuniones con los secretarios de despacho de Salud"&amp;" e Integración Social y la Consultiva Afro, como fue acordado en el plan de choque.  
Desde la Secretaría Distrital de Integración Social, durante los meses de julio y agosto Se realizaron dos (2)  reuniones, el 19 de julio y el 10 de agosto respectivame"&amp;"nte. En las cuales participó la Secretaria Margarita Barraquer, en esta oportunidad se revisaron las acciones afirmativas que presentaban cuellos de botellas, específicamente la acción afirmativa enfocada en canastas alimentarias, como resultado de este e"&amp;"jercicio , se logró definir que para el año 2023 las organizaciones de comunidades negras, afrocolombianas, serán los operadores de las canastas que se entreguen en Bogotá a estos grupos étnicos, este sería unos de los logros más importantes para las comu"&amp;"nidades negras y para la administración distrital. por último con relación a la secretaria distrital de desarrollo económico 
")</f>
        <v xml:space="preserve">Como resultado del plan de choque ejecutado por el equipo de la SAE,  se implementaron parcialmente 163 acciones afirmativas  y 14  fueron implementadas totalmente.  Adicionalmente, también se adelantaron reuniones con los secretarios de despacho de Salud e Integración Social y la Consultiva Afro, como fue acordado en el plan de choque.  
Desde la Secretaría Distrital de Integración Social, durante los meses de julio y agosto Se realizaron dos (2)  reuniones, el 19 de julio y el 10 de agosto respectivamente. En las cuales participó la Secretaria Margarita Barraquer, en esta oportunidad se revisaron las acciones afirmativas que presentaban cuellos de botellas, específicamente la acción afirmativa enfocada en canastas alimentarias, como resultado de este ejercicio , se logró definir que para el año 2023 las organizaciones de comunidades negras, afrocolombianas, serán los operadores de las canastas que se entreguen en Bogotá a estos grupos étnicos, este sería unos de los logros más importantes para las comunidades negras y para la administración distrital. por último con relación a la secretaria distrital de desarrollo económico 
</v>
      </c>
      <c r="N1601" s="55">
        <f ca="1">IFERROR(__xludf.DUMMYFUNCTION("""COMPUTED_VALUE"""),44895)</f>
        <v>44895</v>
      </c>
      <c r="O1601" s="25" t="str">
        <f t="shared" ca="1" si="0"/>
        <v>Secretaría Distrital de Gobierno</v>
      </c>
      <c r="P1601" s="25" t="str">
        <f t="shared" si="2"/>
        <v/>
      </c>
      <c r="Q1601" s="25" t="str">
        <f ca="1">IFERROR(__xludf.DUMMYFUNCTION("""COMPUTED_VALUE"""),"Corto plazo")</f>
        <v>Corto plazo</v>
      </c>
      <c r="R1601" s="25"/>
      <c r="S1601" s="55"/>
      <c r="T1601" s="56"/>
      <c r="U1601" s="25"/>
      <c r="V1601" s="25"/>
      <c r="W1601" s="25"/>
      <c r="X1601" s="25"/>
      <c r="Y1601" s="25"/>
      <c r="Z1601" s="25"/>
    </row>
    <row r="1602" spans="1:26" ht="52.5" customHeight="1" x14ac:dyDescent="0.25">
      <c r="A1602" s="25" t="str">
        <f ca="1">IFERROR(__xludf.DUMMYFUNCTION("""COMPUTED_VALUE"""),"Gobie100")</f>
        <v>Gobie100</v>
      </c>
      <c r="B1602" s="25" t="str">
        <f ca="1">IFERROR(__xludf.DUMMYFUNCTION("""COMPUTED_VALUE"""),"Comisión consultiva de afros, negritudes y palenqueras")</f>
        <v>Comisión consultiva de afros, negritudes y palenqueras</v>
      </c>
      <c r="C1602" s="55">
        <f ca="1">IFERROR(__xludf.DUMMYFUNCTION("""COMPUTED_VALUE"""),44712)</f>
        <v>44712</v>
      </c>
      <c r="D1602" s="25" t="str">
        <f ca="1">IFERROR(__xludf.DUMMYFUNCTION("""COMPUTED_VALUE"""),"Gobierno")</f>
        <v>Gobierno</v>
      </c>
      <c r="E1602" s="25" t="str">
        <f ca="1">IFERROR(__xludf.DUMMYFUNCTION("""COMPUTED_VALUE"""),"Secretaría Distrital de Gobierno")</f>
        <v>Secretaría Distrital de Gobierno</v>
      </c>
      <c r="F1602" s="25" t="str">
        <f ca="1">IFERROR(__xludf.DUMMYFUNCTION("""COMPUTED_VALUE"""),"Dar respuesta escrita sobre cómo se va a ejecutar este plan de choque y cronograma de cumplimiento a Consultivo de afros, negros y palenqueras firmada por la alcaldesa.  con relación a este punto se le envío al consultivo distrital de comunidades negras, "&amp;"afrocolombianas  un informe de avance de los compromisos que se establecieron con la señora alcaldesa, y el plan choque que se adelantó incluyendo cronograma. el informe fue enviado el 02 de agosto de 2022 desde el correo del señor Subdiretor de Asuntos É"&amp;"tnicos.
")</f>
        <v xml:space="preserve">Dar respuesta escrita sobre cómo se va a ejecutar este plan de choque y cronograma de cumplimiento a Consultivo de afros, negros y palenqueras firmada por la alcaldesa.  con relación a este punto se le envío al consultivo distrital de comunidades negras, afrocolombianas  un informe de avance de los compromisos que se establecieron con la señora alcaldesa, y el plan choque que se adelantó incluyendo cronograma. el informe fue enviado el 02 de agosto de 2022 desde el correo del señor Subdiretor de Asuntos Étnicos.
</v>
      </c>
      <c r="G1602" s="25" t="str">
        <f ca="1">IFERROR(__xludf.DUMMYFUNCTION("""COMPUTED_VALUE"""),"99. Distrito")</f>
        <v>99. Distrito</v>
      </c>
      <c r="H1602" s="55">
        <f ca="1">IFERROR(__xludf.DUMMYFUNCTION("""COMPUTED_VALUE"""),44792)</f>
        <v>44792</v>
      </c>
      <c r="I1602" s="25"/>
      <c r="J1602" s="55" t="str">
        <f ca="1">IFERROR(__xludf.DUMMYFUNCTION("""COMPUTED_VALUE"""),"Media")</f>
        <v>Media</v>
      </c>
      <c r="K1602" s="25">
        <f ca="1">IFERROR(__xludf.DUMMYFUNCTION("""COMPUTED_VALUE"""),80)</f>
        <v>80</v>
      </c>
      <c r="L1602" s="62">
        <f ca="1">IFERROR(__xludf.DUMMYFUNCTION("""COMPUTED_VALUE"""),44895)</f>
        <v>44895</v>
      </c>
      <c r="M1602" s="25" t="str">
        <f ca="1">IFERROR(__xludf.DUMMYFUNCTION("""COMPUTED_VALUE"""),"El día 19 de agosto se remitió por medio de correo electrónico documento de respuesta en marco de los compromisos con la comunidad Negra Afrocolombiana.")</f>
        <v>El día 19 de agosto se remitió por medio de correo electrónico documento de respuesta en marco de los compromisos con la comunidad Negra Afrocolombiana.</v>
      </c>
      <c r="N1602" s="55">
        <f ca="1">IFERROR(__xludf.DUMMYFUNCTION("""COMPUTED_VALUE"""),44792)</f>
        <v>44792</v>
      </c>
      <c r="O1602" s="25" t="str">
        <f t="shared" ca="1" si="0"/>
        <v>Secretaría Distrital de Gobierno</v>
      </c>
      <c r="P1602" s="25" t="str">
        <f t="shared" si="2"/>
        <v/>
      </c>
      <c r="Q1602" s="25" t="str">
        <f ca="1">IFERROR(__xludf.DUMMYFUNCTION("""COMPUTED_VALUE"""),"Mediano plazo")</f>
        <v>Mediano plazo</v>
      </c>
      <c r="R1602" s="25"/>
      <c r="S1602" s="55"/>
      <c r="T1602" s="56"/>
      <c r="U1602" s="25"/>
      <c r="V1602" s="25"/>
      <c r="W1602" s="25"/>
      <c r="X1602" s="25"/>
      <c r="Y1602" s="25"/>
      <c r="Z1602" s="25"/>
    </row>
    <row r="1603" spans="1:26" ht="52.5" customHeight="1" x14ac:dyDescent="0.25">
      <c r="A1603" s="25" t="str">
        <f ca="1">IFERROR(__xludf.DUMMYFUNCTION("""COMPUTED_VALUE"""),"Gobie101")</f>
        <v>Gobie101</v>
      </c>
      <c r="B1603" s="25" t="str">
        <f ca="1">IFERROR(__xludf.DUMMYFUNCTION("""COMPUTED_VALUE"""),"Comisión consultiva de afros, negritudes y palenqueras")</f>
        <v>Comisión consultiva de afros, negritudes y palenqueras</v>
      </c>
      <c r="C1603" s="55">
        <f ca="1">IFERROR(__xludf.DUMMYFUNCTION("""COMPUTED_VALUE"""),44712)</f>
        <v>44712</v>
      </c>
      <c r="D1603" s="25" t="str">
        <f ca="1">IFERROR(__xludf.DUMMYFUNCTION("""COMPUTED_VALUE"""),"Gobierno")</f>
        <v>Gobierno</v>
      </c>
      <c r="E1603" s="25" t="str">
        <f ca="1">IFERROR(__xludf.DUMMYFUNCTION("""COMPUTED_VALUE"""),"Secretaría Distrital de Gobierno")</f>
        <v>Secretaría Distrital de Gobierno</v>
      </c>
      <c r="F1603" s="25" t="str">
        <f ca="1">IFERROR(__xludf.DUMMYFUNCTION("""COMPUTED_VALUE"""),"Programar nueva sesión de consultivo de afros, negros y palenqueras en el mes de septiembre para presentar balance de plan de choque y ejercicio de transversalización.  la seseión consultiva se realizará para la primera semana del mes de octubre teniendo "&amp;"en cuenta que el 23 de agosto de 2022,  tendremos una sesión consultiva extraordinaria con todos los alcaldes locales ")</f>
        <v xml:space="preserve">Programar nueva sesión de consultivo de afros, negros y palenqueras en el mes de septiembre para presentar balance de plan de choque y ejercicio de transversalización.  la seseión consultiva se realizará para la primera semana del mes de octubre teniendo en cuenta que el 23 de agosto de 2022,  tendremos una sesión consultiva extraordinaria con todos los alcaldes locales </v>
      </c>
      <c r="G1603" s="25" t="str">
        <f ca="1">IFERROR(__xludf.DUMMYFUNCTION("""COMPUTED_VALUE"""),"99. Distrito")</f>
        <v>99. Distrito</v>
      </c>
      <c r="H1603" s="55">
        <f ca="1">IFERROR(__xludf.DUMMYFUNCTION("""COMPUTED_VALUE"""),44742)</f>
        <v>44742</v>
      </c>
      <c r="I1603" s="25"/>
      <c r="J1603" s="55" t="str">
        <f ca="1">IFERROR(__xludf.DUMMYFUNCTION("""COMPUTED_VALUE"""),"Alta")</f>
        <v>Alta</v>
      </c>
      <c r="K1603" s="25">
        <f ca="1">IFERROR(__xludf.DUMMYFUNCTION("""COMPUTED_VALUE"""),30)</f>
        <v>30</v>
      </c>
      <c r="L1603" s="62">
        <f ca="1">IFERROR(__xludf.DUMMYFUNCTION("""COMPUTED_VALUE"""),44895)</f>
        <v>44895</v>
      </c>
      <c r="M1603" s="25" t="str">
        <f ca="1">IFERROR(__xludf.DUMMYFUNCTION("""COMPUTED_VALUE"""),"Se convocará para la segunda semana de octubre la nueva sesión del Consultivo de Comunidades Negras, Afrocolombianos Raizales y Palenqueros con los resultados del plan de choque de la implementación del art 66. ")</f>
        <v xml:space="preserve">Se convocará para la segunda semana de octubre la nueva sesión del Consultivo de Comunidades Negras, Afrocolombianos Raizales y Palenqueros con los resultados del plan de choque de la implementación del art 66. </v>
      </c>
      <c r="N1603" s="55">
        <f ca="1">IFERROR(__xludf.DUMMYFUNCTION("""COMPUTED_VALUE"""),44895)</f>
        <v>44895</v>
      </c>
      <c r="O1603" s="25" t="str">
        <f t="shared" ca="1" si="0"/>
        <v>Secretaría Distrital de Gobierno</v>
      </c>
      <c r="P1603" s="25" t="str">
        <f t="shared" si="2"/>
        <v/>
      </c>
      <c r="Q1603" s="25" t="str">
        <f ca="1">IFERROR(__xludf.DUMMYFUNCTION("""COMPUTED_VALUE"""),"Corto plazo")</f>
        <v>Corto plazo</v>
      </c>
      <c r="R1603" s="25"/>
      <c r="S1603" s="55"/>
      <c r="T1603" s="56"/>
      <c r="U1603" s="25"/>
      <c r="V1603" s="25"/>
      <c r="W1603" s="25"/>
      <c r="X1603" s="25"/>
      <c r="Y1603" s="25"/>
      <c r="Z1603" s="25"/>
    </row>
    <row r="1604" spans="1:26" ht="52.5" customHeight="1" x14ac:dyDescent="0.25">
      <c r="A1604" s="25" t="str">
        <f ca="1">IFERROR(__xludf.DUMMYFUNCTION("""COMPUTED_VALUE"""),"Gobie102")</f>
        <v>Gobie102</v>
      </c>
      <c r="B1604" s="25" t="str">
        <f ca="1">IFERROR(__xludf.DUMMYFUNCTION("""COMPUTED_VALUE"""),"Junta de infraestructura")</f>
        <v>Junta de infraestructura</v>
      </c>
      <c r="C1604" s="55">
        <f ca="1">IFERROR(__xludf.DUMMYFUNCTION("""COMPUTED_VALUE"""),44727)</f>
        <v>44727</v>
      </c>
      <c r="D1604" s="25" t="str">
        <f ca="1">IFERROR(__xludf.DUMMYFUNCTION("""COMPUTED_VALUE"""),"Gobierno")</f>
        <v>Gobierno</v>
      </c>
      <c r="E1604" s="25" t="str">
        <f ca="1">IFERROR(__xludf.DUMMYFUNCTION("""COMPUTED_VALUE"""),"Secretaría Distrital de Gobierno")</f>
        <v>Secretaría Distrital de Gobierno</v>
      </c>
      <c r="F1604" s="25" t="str">
        <f ca="1">IFERROR(__xludf.DUMMYFUNCTION("""COMPUTED_VALUE"""),"Av. Ciudad de Cali:
En 2 meses máximo sacar el fallo referente al predio la primavera, contados a partir de la radicación.
")</f>
        <v xml:space="preserve">Av. Ciudad de Cali:
En 2 meses máximo sacar el fallo referente al predio la primavera, contados a partir de la radicación.
</v>
      </c>
      <c r="G1604" s="25" t="str">
        <f ca="1">IFERROR(__xludf.DUMMYFUNCTION("""COMPUTED_VALUE"""),"99. Distrito")</f>
        <v>99. Distrito</v>
      </c>
      <c r="H1604" s="55">
        <f ca="1">IFERROR(__xludf.DUMMYFUNCTION("""COMPUTED_VALUE"""),44757)</f>
        <v>44757</v>
      </c>
      <c r="I1604" s="25"/>
      <c r="J1604" s="55" t="str">
        <f ca="1">IFERROR(__xludf.DUMMYFUNCTION("""COMPUTED_VALUE"""),"Alta")</f>
        <v>Alta</v>
      </c>
      <c r="K1604" s="25">
        <f ca="1">IFERROR(__xludf.DUMMYFUNCTION("""COMPUTED_VALUE"""),30)</f>
        <v>30</v>
      </c>
      <c r="L1604" s="62">
        <f ca="1">IFERROR(__xludf.DUMMYFUNCTION("""COMPUTED_VALUE"""),44895)</f>
        <v>44895</v>
      </c>
      <c r="M1604" s="25" t="str">
        <f ca="1">IFERROR(__xludf.DUMMYFUNCTION("""COMPUTED_VALUE"""),"El fallo se encuentra en la inspección 20 AP Solicitud 20224212435532 Expediente 2022533490101686E . se comparte la notificación por aviso: https://gobiernobogota-my.sharepoint.com/:b:/g/personal/yennifer_matta_gobiernobogota_gov_co/EVgkLAtV-P9DlBMqXf232J"&amp;"IB65RKoz_oPUAMNRQlOSjftQ?e=WPRXda")</f>
        <v>El fallo se encuentra en la inspección 20 AP Solicitud 20224212435532 Expediente 2022533490101686E . se comparte la notificación por aviso: https://gobiernobogota-my.sharepoint.com/:b:/g/personal/yennifer_matta_gobiernobogota_gov_co/EVgkLAtV-P9DlBMqXf232JIB65RKoz_oPUAMNRQlOSjftQ?e=WPRXda</v>
      </c>
      <c r="N1604" s="55">
        <f ca="1">IFERROR(__xludf.DUMMYFUNCTION("""COMPUTED_VALUE"""),44895)</f>
        <v>44895</v>
      </c>
      <c r="O1604" s="25" t="str">
        <f t="shared" ca="1" si="0"/>
        <v>Secretaría Distrital de Gobierno</v>
      </c>
      <c r="P1604" s="25" t="str">
        <f t="shared" si="2"/>
        <v/>
      </c>
      <c r="Q1604" s="25" t="str">
        <f ca="1">IFERROR(__xludf.DUMMYFUNCTION("""COMPUTED_VALUE"""),"Corto plazo")</f>
        <v>Corto plazo</v>
      </c>
      <c r="R1604" s="25"/>
      <c r="S1604" s="55"/>
      <c r="T1604" s="56"/>
      <c r="U1604" s="25"/>
      <c r="V1604" s="25"/>
      <c r="W1604" s="25"/>
      <c r="X1604" s="25"/>
      <c r="Y1604" s="25"/>
      <c r="Z1604" s="25"/>
    </row>
    <row r="1605" spans="1:26" ht="52.5" customHeight="1" x14ac:dyDescent="0.25">
      <c r="A1605" s="25" t="str">
        <f ca="1">IFERROR(__xludf.DUMMYFUNCTION("""COMPUTED_VALUE"""),"Gobie103")</f>
        <v>Gobie103</v>
      </c>
      <c r="B1605" s="25" t="str">
        <f ca="1">IFERROR(__xludf.DUMMYFUNCTION("""COMPUTED_VALUE"""),"Despachando Fenalco")</f>
        <v>Despachando Fenalco</v>
      </c>
      <c r="C1605" s="55">
        <f ca="1">IFERROR(__xludf.DUMMYFUNCTION("""COMPUTED_VALUE"""),44452)</f>
        <v>44452</v>
      </c>
      <c r="D1605" s="25" t="str">
        <f ca="1">IFERROR(__xludf.DUMMYFUNCTION("""COMPUTED_VALUE"""),"Gobierno")</f>
        <v>Gobierno</v>
      </c>
      <c r="E1605" s="25" t="str">
        <f ca="1">IFERROR(__xludf.DUMMYFUNCTION("""COMPUTED_VALUE"""),"Secretaría Distrital de Gobierno")</f>
        <v>Secretaría Distrital de Gobierno</v>
      </c>
      <c r="F1605" s="25" t="str">
        <f ca="1">IFERROR(__xludf.DUMMYFUNCTION("""COMPUTED_VALUE"""),"Definir y dar inicio a un plan de organización en espacio público con domiciliarios por APP.")</f>
        <v>Definir y dar inicio a un plan de organización en espacio público con domiciliarios por APP.</v>
      </c>
      <c r="G1605" s="25" t="str">
        <f ca="1">IFERROR(__xludf.DUMMYFUNCTION("""COMPUTED_VALUE"""),"99. Distrito")</f>
        <v>99. Distrito</v>
      </c>
      <c r="H1605" s="55">
        <f ca="1">IFERROR(__xludf.DUMMYFUNCTION("""COMPUTED_VALUE"""),44482)</f>
        <v>44482</v>
      </c>
      <c r="I1605" s="25"/>
      <c r="J1605" s="55" t="str">
        <f ca="1">IFERROR(__xludf.DUMMYFUNCTION("""COMPUTED_VALUE"""),"Alta")</f>
        <v>Alta</v>
      </c>
      <c r="K1605" s="25">
        <f ca="1">IFERROR(__xludf.DUMMYFUNCTION("""COMPUTED_VALUE"""),30)</f>
        <v>30</v>
      </c>
      <c r="L1605" s="62">
        <f ca="1">IFERROR(__xludf.DUMMYFUNCTION("""COMPUTED_VALUE"""),44895)</f>
        <v>44895</v>
      </c>
      <c r="M1605" s="25" t="str">
        <f ca="1">IFERROR(__xludf.DUMMYFUNCTION("""COMPUTED_VALUE"""),"Se han realizado reuniones con Movilidad, DADEP y SDG para incluir la actividad económica de domiciliarios ya que no estaba dentro del decreto. Para que las app puedan disponer de zonas de EP.
A la fecha se ha realizado la tercera sesión interinstituciona"&amp;"l, con aliados y aplicaciones para el seguimiento a los compromisos adquiridos por las partes en relación con las zonas priorizadas en la ejecución del decreto distrital 082")</f>
        <v>Se han realizado reuniones con Movilidad, DADEP y SDG para incluir la actividad económica de domiciliarios ya que no estaba dentro del decreto. Para que las app puedan disponer de zonas de EP.
A la fecha se ha realizado la tercera sesión interinstitucional, con aliados y aplicaciones para el seguimiento a los compromisos adquiridos por las partes en relación con las zonas priorizadas en la ejecución del decreto distrital 082</v>
      </c>
      <c r="N1605" s="55">
        <f ca="1">IFERROR(__xludf.DUMMYFUNCTION("""COMPUTED_VALUE"""),44895)</f>
        <v>44895</v>
      </c>
      <c r="O1605" s="25" t="str">
        <f t="shared" ca="1" si="0"/>
        <v>Secretaría Distrital de Gobierno</v>
      </c>
      <c r="P1605" s="25" t="str">
        <f t="shared" si="2"/>
        <v/>
      </c>
      <c r="Q1605" s="25" t="str">
        <f ca="1">IFERROR(__xludf.DUMMYFUNCTION("""COMPUTED_VALUE"""),"Corto plazo")</f>
        <v>Corto plazo</v>
      </c>
      <c r="R1605" s="25"/>
      <c r="S1605" s="55"/>
      <c r="T1605" s="56"/>
      <c r="U1605" s="25"/>
      <c r="V1605" s="25"/>
      <c r="W1605" s="25"/>
      <c r="X1605" s="25"/>
      <c r="Y1605" s="25"/>
      <c r="Z1605" s="25"/>
    </row>
    <row r="1606" spans="1:26" ht="52.5" customHeight="1" x14ac:dyDescent="0.25">
      <c r="A1606" s="25" t="str">
        <f ca="1">IFERROR(__xludf.DUMMYFUNCTION("""COMPUTED_VALUE"""),"Gobie104")</f>
        <v>Gobie104</v>
      </c>
      <c r="B1606" s="25" t="str">
        <f ca="1">IFERROR(__xludf.DUMMYFUNCTION("""COMPUTED_VALUE"""),"Campañas Cultura Ciudadana")</f>
        <v>Campañas Cultura Ciudadana</v>
      </c>
      <c r="C1606" s="55">
        <f ca="1">IFERROR(__xludf.DUMMYFUNCTION("""COMPUTED_VALUE"""),44627)</f>
        <v>44627</v>
      </c>
      <c r="D1606" s="25" t="str">
        <f ca="1">IFERROR(__xludf.DUMMYFUNCTION("""COMPUTED_VALUE"""),"Gobierno")</f>
        <v>Gobierno</v>
      </c>
      <c r="E1606" s="25" t="str">
        <f ca="1">IFERROR(__xludf.DUMMYFUNCTION("""COMPUTED_VALUE"""),"Secretaría Distrital de Gobierno")</f>
        <v>Secretaría Distrital de Gobierno</v>
      </c>
      <c r="F1606" s="25" t="str">
        <f ca="1">IFERROR(__xludf.DUMMYFUNCTION("""COMPUTED_VALUE"""),"Escoger un corredor de Transmilenio para mejorarlo (iluminación, basura, pintura). La alcaldía local  hace su parte, los ciudadanos y la alcaldia Mayor (empezar por la 80, seguir por las Américas y luego NQS)")</f>
        <v>Escoger un corredor de Transmilenio para mejorarlo (iluminación, basura, pintura). La alcaldía local  hace su parte, los ciudadanos y la alcaldia Mayor (empezar por la 80, seguir por las Américas y luego NQS)</v>
      </c>
      <c r="G1606" s="25" t="str">
        <f ca="1">IFERROR(__xludf.DUMMYFUNCTION("""COMPUTED_VALUE"""),"99. Distrito")</f>
        <v>99. Distrito</v>
      </c>
      <c r="H1606" s="55">
        <f ca="1">IFERROR(__xludf.DUMMYFUNCTION("""COMPUTED_VALUE"""),44657)</f>
        <v>44657</v>
      </c>
      <c r="I1606" s="25"/>
      <c r="J1606" s="55" t="str">
        <f ca="1">IFERROR(__xludf.DUMMYFUNCTION("""COMPUTED_VALUE"""),"Alta")</f>
        <v>Alta</v>
      </c>
      <c r="K1606" s="25">
        <f ca="1">IFERROR(__xludf.DUMMYFUNCTION("""COMPUTED_VALUE"""),30)</f>
        <v>30</v>
      </c>
      <c r="L1606" s="62">
        <f ca="1">IFERROR(__xludf.DUMMYFUNCTION("""COMPUTED_VALUE"""),44790)</f>
        <v>44790</v>
      </c>
      <c r="M1606" s="25" t="str">
        <f ca="1">IFERROR(__xludf.DUMMYFUNCTION("""COMPUTED_VALUE"""),"Se tiene programada una jornada de intervención en el marco de la estrategia ""Juntos nos reconciliamos"" en la que ciudadanos evasores del pasaje de Transmilenio, a través de programa comunitario realizarán acciones de embellecimiento de un corredor. Est"&amp;"á programado para el 31 de agosto.")</f>
        <v>Se tiene programada una jornada de intervención en el marco de la estrategia "Juntos nos reconciliamos" en la que ciudadanos evasores del pasaje de Transmilenio, a través de programa comunitario realizarán acciones de embellecimiento de un corredor. Está programado para el 31 de agosto.</v>
      </c>
      <c r="N1606" s="55">
        <f ca="1">IFERROR(__xludf.DUMMYFUNCTION("""COMPUTED_VALUE"""),44790)</f>
        <v>44790</v>
      </c>
      <c r="O1606" s="25" t="str">
        <f t="shared" ca="1" si="0"/>
        <v>Secretaría Distrital de Gobierno</v>
      </c>
      <c r="P1606" s="25" t="str">
        <f t="shared" si="2"/>
        <v/>
      </c>
      <c r="Q1606" s="25" t="str">
        <f ca="1">IFERROR(__xludf.DUMMYFUNCTION("""COMPUTED_VALUE"""),"Corto plazo")</f>
        <v>Corto plazo</v>
      </c>
      <c r="R1606" s="25"/>
      <c r="S1606" s="55"/>
      <c r="T1606" s="56"/>
      <c r="U1606" s="25"/>
      <c r="V1606" s="25"/>
      <c r="W1606" s="25"/>
      <c r="X1606" s="25"/>
      <c r="Y1606" s="25"/>
      <c r="Z1606" s="25"/>
    </row>
    <row r="1607" spans="1:26" ht="52.5" customHeight="1" x14ac:dyDescent="0.25">
      <c r="A1607" s="25" t="str">
        <f ca="1">IFERROR(__xludf.DUMMYFUNCTION("""COMPUTED_VALUE"""),"Gobie105")</f>
        <v>Gobie105</v>
      </c>
      <c r="B1607" s="25" t="str">
        <f ca="1">IFERROR(__xludf.DUMMYFUNCTION("""COMPUTED_VALUE"""),"Plan de carreteros, habitantes de calle y basuras")</f>
        <v>Plan de carreteros, habitantes de calle y basuras</v>
      </c>
      <c r="C1607" s="55">
        <f ca="1">IFERROR(__xludf.DUMMYFUNCTION("""COMPUTED_VALUE"""),44620)</f>
        <v>44620</v>
      </c>
      <c r="D1607" s="25" t="str">
        <f ca="1">IFERROR(__xludf.DUMMYFUNCTION("""COMPUTED_VALUE"""),"Gobierno")</f>
        <v>Gobierno</v>
      </c>
      <c r="E1607" s="25" t="str">
        <f ca="1">IFERROR(__xludf.DUMMYFUNCTION("""COMPUTED_VALUE"""),"Secretaría Distrital de Gobierno")</f>
        <v>Secretaría Distrital de Gobierno</v>
      </c>
      <c r="F1607" s="25" t="str">
        <f ca="1">IFERROR(__xludf.DUMMYFUNCTION("""COMPUTED_VALUE"""),"Resolver cómo poner comparendos por botar basuras en la ciudad. Lo anterior, para hacer más policiva la medida y la estrategia de limpieza. ")</f>
        <v xml:space="preserve">Resolver cómo poner comparendos por botar basuras en la ciudad. Lo anterior, para hacer más policiva la medida y la estrategia de limpieza. </v>
      </c>
      <c r="G1607" s="25" t="str">
        <f ca="1">IFERROR(__xludf.DUMMYFUNCTION("""COMPUTED_VALUE"""),"99. Distrito")</f>
        <v>99. Distrito</v>
      </c>
      <c r="H1607" s="55">
        <f ca="1">IFERROR(__xludf.DUMMYFUNCTION("""COMPUTED_VALUE"""),44650)</f>
        <v>44650</v>
      </c>
      <c r="I1607" s="25"/>
      <c r="J1607" s="55" t="str">
        <f ca="1">IFERROR(__xludf.DUMMYFUNCTION("""COMPUTED_VALUE"""),"Alta")</f>
        <v>Alta</v>
      </c>
      <c r="K1607" s="25">
        <f ca="1">IFERROR(__xludf.DUMMYFUNCTION("""COMPUTED_VALUE"""),30)</f>
        <v>30</v>
      </c>
      <c r="L1607" s="62">
        <f ca="1">IFERROR(__xludf.DUMMYFUNCTION("""COMPUTED_VALUE"""),44895)</f>
        <v>44895</v>
      </c>
      <c r="M1607" s="25" t="str">
        <f ca="1">IFERROR(__xludf.DUMMYFUNCTION("""COMPUTED_VALUE"""),"JORNADAS DE INSPECCIÓN, VIGILANCIA Y CONTROL FRENTE AL MANEJO INADECUADO DE RESIDUOS 
En el marco de los comportamientos contrarios a la convivencia señalados en el artículo 111 “Comportamientos contrarios a la limpieza y recolección de residuos y escom"&amp;"bros y malas prácticas habitacionales” de la Ley 1801 de 2016, durante el año 2022 en articulación con las Alcaldías Locales y diferentes entidades según sus competencias (Policía MEBOG, operadores de aseo, UAESP, entre otras), se han adelantado ciento oc"&amp;"henta y seis (186) acciones de Inspección, Vigilancia y Control en las diferentes localidades del distrito capital, en las cuales se han sensibilizado a seiscientos noventa (690) ciudadanos en manejo adecuado de residuos, y se ha generado la imposición de"&amp;" treinta (30) órdenes de comparendo a ciudadanos que se han evidenciado incurriendo en alguno de dichos comportamientos, a saber: 
“1. Sacar la basura en horarios no autorizados por la empresa prestadora del servicio o en sitio diferente al lugar de resi"&amp;"dencia o domicilio. 
2. No usar los recipientes o demás elementos dispuestos para depositar la basura. 
3. Arrojar residuos sólidos y escombros en sitios de uso público, no acordados ni autorizados por autoridad competente. 
4. Esparcir, parcial o totalme"&amp;"nte, en el espacio público o zonas comunes el contenido de las bolsas y recipientes para la basura, una vez colocados para su recolección. 
5. Dejar las basuras esparcidas fuera de sus bolsas o contenedores una vez efectuado el reciclaje. 
6. Disponer ade"&amp;"cuadamente de animales muertos no comestibles o partes de estos dentro de los residuos domésticos. 
7. Dificultar de alguna manera, la actividad de barrido y recolección de la basura y escombros, sin perjuicio de la actividad que desarrollan las personas "&amp;"que se dedican al reciclaje. 
8. Arrojar basura, llantas, residuos o escombros en el espacio público o en bienes de carácter público o privado. 
9. Propiciar o contratar el transporte de escombros en medios no aptos ni adecuados. 
10. Improvisar e instala"&amp;"r, sin autorización legal, contenedores u otro tipo de recipientes, con destino a la disposición de basuras. 
11. Transportar escombros en medios no aptos ni adecuados. 
12. No recoger los residuos sólidos en los horarios establecidos por la misma empresa"&amp;" recolectora, salvo información previa debidamente publicitada, informada y justificada. 
13. Arrojar en las redes de alcantarillado, acueducto y de aguas lluvias, cualquier objeto, sustancia, residuo, escombros, lodos, combustibles y lubricantes, que alt"&amp;"eren u obstruyan el normal funcionamiento. 
14. Permitir la presencia de vectores y/o no realizar las prácticas adecuadas para evitar la proliferación de los mismos en predios urbanos. 
15. No permitir realizar campañas de salud pública para enfermedades "&amp;"transmitidas por vectores dentro de los predios mencionados en el anterior inciso.” 
Es importante mencionar que en las referidas actividades, desde la Dirección para la Gestión Policiva se designa el acompañamiento de Inspectores de Policía, con la fin"&amp;"alidad que acompañen y den claridad al personal uniformado de la policía, en los casos en los que se puedan presentar inquietudes sobre la aplicación de la norma; de igual manera para que en los casos en que no se cuente con el acompañamiento de los unifo"&amp;"rmados quienes cuentan con la facultad de imponer la respectiva orden de comparendo, puedan citar a audiencia a aquellos ciudadanos que sean encontrados en flagrancia incurriendo en alguno de los comportamientos contrarios a la convivencia señalados en la"&amp;" norma. 
Ahora bien, en el marco de las acciones tendientes a la recuperación de espacio público por disposición inadecuada de residuos (puntos críticos), según lo establecido en el artículo 86 de la Ley 1421 de 1993; durante el periodo comprendido entre"&amp;" enero y noviembre de 2022 se articularon con diferentes entidades según sus competencias, jornadas en las que se propende recuperar y conservar el espacio público, incluyendo la estructura ecológica principal de la ciudad (Zonas de ronda de canales, queb"&amp;"radas, reservas distritales de humedal, entre otros), por medio de la atención a zonas afectadas tanto por disposición inadecuada de residuos mixtos, así como por la presencia de estructuras temporales de habitabilidad en calle (Cambuches); en este sentid"&amp;"o, se han desarrollado ciento sesenta y dos (162) actividades, obteniendo como resultado: 
Ocupaciones temporales de habitabilidad en calle retiradas: Trescientas veintinueve (329).  
Residuos retirados de espacio público: Mil cuatrocientos setenta metro"&amp;"s cúbicos (1470 m3).   
Espacio recuperado: Ciento veintiocho mil ciento once metros cuadrados (128.111 m2).")</f>
        <v>JORNADAS DE INSPECCIÓN, VIGILANCIA Y CONTROL FRENTE AL MANEJO INADECUADO DE RESIDUOS 
En el marco de los comportamientos contrarios a la convivencia señalados en el artículo 111 “Comportamientos contrarios a la limpieza y recolección de residuos y escombros y malas prácticas habitacionales” de la Ley 1801 de 2016, durante el año 2022 en articulación con las Alcaldías Locales y diferentes entidades según sus competencias (Policía MEBOG, operadores de aseo, UAESP, entre otras), se han adelantado ciento ochenta y seis (186) acciones de Inspección, Vigilancia y Control en las diferentes localidades del distrito capital, en las cuales se han sensibilizado a seiscientos noventa (690) ciudadanos en manejo adecuado de residuos, y se ha generado la imposición de treinta (30) órdenes de comparendo a ciudadanos que se han evidenciado incurriendo en alguno de dichos comportamientos, a saber: 
“1. Sacar la basura en horarios no autorizados por la empresa prestadora del servicio o en sitio diferente al lugar de residencia o domicilio. 
2. No usar los recipientes o demás elementos dispuestos para depositar la basura. 
3. Arrojar residuos sólidos y escombros en sitios de uso público, no acordados ni autorizados por autoridad competente. 
4. Esparcir, parcial o totalmente, en el espacio público o zonas comunes el contenido de las bolsas y recipientes para la basura, una vez colocados para su recolección. 
5. Dejar las basuras esparcidas fuera de sus bolsas o contenedores una vez efectuado el reciclaje. 
6. Disponer adecuadamente de animales muertos no comestibles o partes de estos dentro de los residuos domésticos. 
7. Dificultar de alguna manera, la actividad de barrido y recolección de la basura y escombros, sin perjuicio de la actividad que desarrollan las personas que se dedican al reciclaje. 
8. Arrojar basura, llantas, residuos o escombros en el espacio público o en bienes de carácter público o privado. 
9. Propiciar o contratar el transporte de escombros en medios no aptos ni adecuados. 
10. Improvisar e instalar, sin autorización legal, contenedores u otro tipo de recipientes, con destino a la disposición de basuras. 
11. Transportar escombros en medios no aptos ni adecuados. 
12. No recoger los residuos sólidos en los horarios establecidos por la misma empresa recolectora, salvo información previa debidamente publicitada, informada y justificada. 
13. Arrojar en las redes de alcantarillado, acueducto y de aguas lluvias, cualquier objeto, sustancia, residuo, escombros, lodos, combustibles y lubricantes, que alteren u obstruyan el normal funcionamiento. 
14. Permitir la presencia de vectores y/o no realizar las prácticas adecuadas para evitar la proliferación de los mismos en predios urbanos. 
15. No permitir realizar campañas de salud pública para enfermedades transmitidas por vectores dentro de los predios mencionados en el anterior inciso.” 
Es importante mencionar que en las referidas actividades, desde la Dirección para la Gestión Policiva se designa el acompañamiento de Inspectores de Policía, con la finalidad que acompañen y den claridad al personal uniformado de la policía, en los casos en los que se puedan presentar inquietudes sobre la aplicación de la norma; de igual manera para que en los casos en que no se cuente con el acompañamiento de los uniformados quienes cuentan con la facultad de imponer la respectiva orden de comparendo, puedan citar a audiencia a aquellos ciudadanos que sean encontrados en flagrancia incurriendo en alguno de los comportamientos contrarios a la convivencia señalados en la norma. 
Ahora bien, en el marco de las acciones tendientes a la recuperación de espacio público por disposición inadecuada de residuos (puntos críticos), según lo establecido en el artículo 86 de la Ley 1421 de 1993; durante el periodo comprendido entre enero y noviembre de 2022 se articularon con diferentes entidades según sus competencias, jornadas en las que se propende recuperar y conservar el espacio público, incluyendo la estructura ecológica principal de la ciudad (Zonas de ronda de canales, quebradas, reservas distritales de humedal, entre otros), por medio de la atención a zonas afectadas tanto por disposición inadecuada de residuos mixtos, así como por la presencia de estructuras temporales de habitabilidad en calle (Cambuches); en este sentido, se han desarrollado ciento sesenta y dos (162) actividades, obteniendo como resultado: 
Ocupaciones temporales de habitabilidad en calle retiradas: Trescientas veintinueve (329).  
Residuos retirados de espacio público: Mil cuatrocientos setenta metros cúbicos (1470 m3).   
Espacio recuperado: Ciento veintiocho mil ciento once metros cuadrados (128.111 m2).</v>
      </c>
      <c r="N1607" s="55">
        <f ca="1">IFERROR(__xludf.DUMMYFUNCTION("""COMPUTED_VALUE"""),44895)</f>
        <v>44895</v>
      </c>
      <c r="O1607" s="25" t="str">
        <f t="shared" ca="1" si="0"/>
        <v>Secretaría Distrital de Gobierno</v>
      </c>
      <c r="P1607" s="25" t="str">
        <f t="shared" si="2"/>
        <v/>
      </c>
      <c r="Q1607" s="25" t="str">
        <f ca="1">IFERROR(__xludf.DUMMYFUNCTION("""COMPUTED_VALUE"""),"Corto plazo")</f>
        <v>Corto plazo</v>
      </c>
      <c r="R1607" s="25"/>
      <c r="S1607" s="55"/>
      <c r="T1607" s="56"/>
      <c r="U1607" s="25"/>
      <c r="V1607" s="25"/>
      <c r="W1607" s="25"/>
      <c r="X1607" s="25"/>
      <c r="Y1607" s="25"/>
      <c r="Z1607" s="25"/>
    </row>
    <row r="1608" spans="1:26" ht="52.5" customHeight="1" x14ac:dyDescent="0.25">
      <c r="A1608" s="25" t="str">
        <f ca="1">IFERROR(__xludf.DUMMYFUNCTION("""COMPUTED_VALUE"""),"Gobie106")</f>
        <v>Gobie106</v>
      </c>
      <c r="B1608" s="25" t="str">
        <f ca="1">IFERROR(__xludf.DUMMYFUNCTION("""COMPUTED_VALUE"""),"Mantenimiento vial")</f>
        <v>Mantenimiento vial</v>
      </c>
      <c r="C1608" s="55">
        <f ca="1">IFERROR(__xludf.DUMMYFUNCTION("""COMPUTED_VALUE"""),44796)</f>
        <v>44796</v>
      </c>
      <c r="D1608" s="25" t="str">
        <f ca="1">IFERROR(__xludf.DUMMYFUNCTION("""COMPUTED_VALUE"""),"Gobierno")</f>
        <v>Gobierno</v>
      </c>
      <c r="E1608" s="25" t="str">
        <f ca="1">IFERROR(__xludf.DUMMYFUNCTION("""COMPUTED_VALUE"""),"Secretaría Distrital de Gobierno")</f>
        <v>Secretaría Distrital de Gobierno</v>
      </c>
      <c r="F1608" s="25" t="str">
        <f ca="1">IFERROR(__xludf.DUMMYFUNCTION("""COMPUTED_VALUE"""),"Determinar qué contratos actuales tienen buena ejecución en las alcaldías locales y que se puedan hacer adiciones en 2023.")</f>
        <v>Determinar qué contratos actuales tienen buena ejecución en las alcaldías locales y que se puedan hacer adiciones en 2023.</v>
      </c>
      <c r="G1608" s="25" t="str">
        <f ca="1">IFERROR(__xludf.DUMMYFUNCTION("""COMPUTED_VALUE"""),"99. Distrito")</f>
        <v>99. Distrito</v>
      </c>
      <c r="H1608" s="55">
        <f ca="1">IFERROR(__xludf.DUMMYFUNCTION("""COMPUTED_VALUE"""),44826)</f>
        <v>44826</v>
      </c>
      <c r="I1608" s="25"/>
      <c r="J1608" s="55" t="str">
        <f ca="1">IFERROR(__xludf.DUMMYFUNCTION("""COMPUTED_VALUE"""),"Alta")</f>
        <v>Alta</v>
      </c>
      <c r="K1608" s="25">
        <f ca="1">IFERROR(__xludf.DUMMYFUNCTION("""COMPUTED_VALUE"""),30)</f>
        <v>30</v>
      </c>
      <c r="L1608" s="62">
        <f ca="1">IFERROR(__xludf.DUMMYFUNCTION("""COMPUTED_VALUE"""),44895)</f>
        <v>44895</v>
      </c>
      <c r="M1608" s="25" t="str">
        <f ca="1">IFERROR(__xludf.DUMMYFUNCTION("""COMPUTED_VALUE"""),"Se identifican 34 contratos con buena ejecución para posible adición, se remite documento excel: https://gobiernobogota-my.sharepoint.com/:x:/g/personal/yennifer_matta_gobiernobogota_gov_co/EbdKUz4jPRJIuU0feA_5KdYBRjo5m48uH2_CDH14kGEG6w?e=grnSoS")</f>
        <v>Se identifican 34 contratos con buena ejecución para posible adición, se remite documento excel: https://gobiernobogota-my.sharepoint.com/:x:/g/personal/yennifer_matta_gobiernobogota_gov_co/EbdKUz4jPRJIuU0feA_5KdYBRjo5m48uH2_CDH14kGEG6w?e=grnSoS</v>
      </c>
      <c r="N1608" s="55">
        <f ca="1">IFERROR(__xludf.DUMMYFUNCTION("""COMPUTED_VALUE"""),44895)</f>
        <v>44895</v>
      </c>
      <c r="O1608" s="25" t="str">
        <f t="shared" ca="1" si="0"/>
        <v>Secretaría Distrital de Gobierno</v>
      </c>
      <c r="P1608" s="25" t="str">
        <f t="shared" si="2"/>
        <v/>
      </c>
      <c r="Q1608" s="25" t="str">
        <f ca="1">IFERROR(__xludf.DUMMYFUNCTION("""COMPUTED_VALUE"""),"Corto plazo")</f>
        <v>Corto plazo</v>
      </c>
      <c r="R1608" s="25"/>
      <c r="S1608" s="55"/>
      <c r="T1608" s="56"/>
      <c r="U1608" s="25"/>
      <c r="V1608" s="25"/>
      <c r="W1608" s="25"/>
      <c r="X1608" s="25"/>
      <c r="Y1608" s="25"/>
      <c r="Z1608" s="25"/>
    </row>
    <row r="1609" spans="1:26" ht="52.5" customHeight="1" x14ac:dyDescent="0.25">
      <c r="A1609" s="25" t="str">
        <f ca="1">IFERROR(__xludf.DUMMYFUNCTION("""COMPUTED_VALUE"""),"Gobie107")</f>
        <v>Gobie107</v>
      </c>
      <c r="B1609" s="25" t="str">
        <f ca="1">IFERROR(__xludf.DUMMYFUNCTION("""COMPUTED_VALUE"""),"Consejo Distrital de Política Social y Consejo de Sabios y Sabias        ")</f>
        <v xml:space="preserve">Consejo Distrital de Política Social y Consejo de Sabios y Sabias        </v>
      </c>
      <c r="C1609" s="55">
        <f ca="1">IFERROR(__xludf.DUMMYFUNCTION("""COMPUTED_VALUE"""),44790)</f>
        <v>44790</v>
      </c>
      <c r="D1609" s="25" t="str">
        <f ca="1">IFERROR(__xludf.DUMMYFUNCTION("""COMPUTED_VALUE"""),"Gobierno")</f>
        <v>Gobierno</v>
      </c>
      <c r="E1609" s="25" t="str">
        <f ca="1">IFERROR(__xludf.DUMMYFUNCTION("""COMPUTED_VALUE"""),"Secretaría Distrital de Gobierno")</f>
        <v>Secretaría Distrital de Gobierno</v>
      </c>
      <c r="F1609" s="25" t="str">
        <f ca="1">IFERROR(__xludf.DUMMYFUNCTION("""COMPUTED_VALUE"""),"Vincular a TIC Mayor y las 14 alcaldías locales, en las capacitaciones que tiene el IDPAC en los salones comunales")</f>
        <v>Vincular a TIC Mayor y las 14 alcaldías locales, en las capacitaciones que tiene el IDPAC en los salones comunales</v>
      </c>
      <c r="G1609" s="25" t="str">
        <f ca="1">IFERROR(__xludf.DUMMYFUNCTION("""COMPUTED_VALUE"""),"99. Distrito")</f>
        <v>99. Distrito</v>
      </c>
      <c r="H1609" s="55">
        <f ca="1">IFERROR(__xludf.DUMMYFUNCTION("""COMPUTED_VALUE"""),44820)</f>
        <v>44820</v>
      </c>
      <c r="I1609" s="25"/>
      <c r="J1609" s="55" t="str">
        <f ca="1">IFERROR(__xludf.DUMMYFUNCTION("""COMPUTED_VALUE"""),"Alta")</f>
        <v>Alta</v>
      </c>
      <c r="K1609" s="25">
        <f ca="1">IFERROR(__xludf.DUMMYFUNCTION("""COMPUTED_VALUE"""),30)</f>
        <v>30</v>
      </c>
      <c r="L1609" s="62">
        <f ca="1">IFERROR(__xludf.DUMMYFUNCTION("""COMPUTED_VALUE"""),44895)</f>
        <v>44895</v>
      </c>
      <c r="M1609" s="25" t="str">
        <f ca="1">IFERROR(__xludf.DUMMYFUNCTION("""COMPUTED_VALUE"""),"Por parte de Idpac se iniciaron capacitaciones en el punto vive digital del barrio inglés en la localidad de Rafael Uribe Uribe. Sin embargo, se resalta que la Entidad no cuenta con los recursos para dotar de elementos tecnológicos solo el apoyo de présta"&amp;"mo de los salones comunales que tienen conexión a internet. Igualmente se solicitó a Secretaría de Gobierno consolidar los contratos con algunas alcaldías locales para iniciar los correspondientes procesos de formación.")</f>
        <v>Por parte de Idpac se iniciaron capacitaciones en el punto vive digital del barrio inglés en la localidad de Rafael Uribe Uribe. Sin embargo, se resalta que la Entidad no cuenta con los recursos para dotar de elementos tecnológicos solo el apoyo de préstamo de los salones comunales que tienen conexión a internet. Igualmente se solicitó a Secretaría de Gobierno consolidar los contratos con algunas alcaldías locales para iniciar los correspondientes procesos de formación.</v>
      </c>
      <c r="N1609" s="55">
        <f ca="1">IFERROR(__xludf.DUMMYFUNCTION("""COMPUTED_VALUE"""),44820)</f>
        <v>44820</v>
      </c>
      <c r="O1609" s="25" t="str">
        <f t="shared" ca="1" si="0"/>
        <v>Secretaría Distrital de Gobierno</v>
      </c>
      <c r="P1609" s="25" t="str">
        <f t="shared" si="2"/>
        <v/>
      </c>
      <c r="Q1609" s="25" t="str">
        <f ca="1">IFERROR(__xludf.DUMMYFUNCTION("""COMPUTED_VALUE"""),"Corto plazo")</f>
        <v>Corto plazo</v>
      </c>
      <c r="R1609" s="25"/>
      <c r="S1609" s="55"/>
      <c r="T1609" s="56"/>
      <c r="U1609" s="25"/>
      <c r="V1609" s="25"/>
      <c r="W1609" s="25"/>
      <c r="X1609" s="25"/>
      <c r="Y1609" s="25"/>
      <c r="Z1609" s="25"/>
    </row>
    <row r="1610" spans="1:26" ht="52.5" customHeight="1" x14ac:dyDescent="0.25">
      <c r="A1610" s="25" t="str">
        <f ca="1">IFERROR(__xludf.DUMMYFUNCTION("""COMPUTED_VALUE"""),"Gobie108")</f>
        <v>Gobie108</v>
      </c>
      <c r="B1610" s="25" t="str">
        <f ca="1">IFERROR(__xludf.DUMMYFUNCTION("""COMPUTED_VALUE"""),"Recorrido Usme ")</f>
        <v xml:space="preserve">Recorrido Usme </v>
      </c>
      <c r="C1610" s="55">
        <f ca="1">IFERROR(__xludf.DUMMYFUNCTION("""COMPUTED_VALUE"""),44798)</f>
        <v>44798</v>
      </c>
      <c r="D1610" s="25" t="str">
        <f ca="1">IFERROR(__xludf.DUMMYFUNCTION("""COMPUTED_VALUE"""),"Gobierno")</f>
        <v>Gobierno</v>
      </c>
      <c r="E1610" s="25" t="str">
        <f ca="1">IFERROR(__xludf.DUMMYFUNCTION("""COMPUTED_VALUE"""),"Secretaría Distrital de Gobierno")</f>
        <v>Secretaría Distrital de Gobierno</v>
      </c>
      <c r="F1610" s="25" t="str">
        <f ca="1">IFERROR(__xludf.DUMMYFUNCTION("""COMPUTED_VALUE"""),"Realizar consejo de ruralidad Interlocal entre Usme, Ciudad Bolívar y Sumapaz. 
(Para esto es necesario que se cite a Carabineros.)
")</f>
        <v xml:space="preserve">Realizar consejo de ruralidad Interlocal entre Usme, Ciudad Bolívar y Sumapaz. 
(Para esto es necesario que se cite a Carabineros.)
</v>
      </c>
      <c r="G1610" s="55" t="str">
        <f ca="1">IFERROR(__xludf.DUMMYFUNCTION("""COMPUTED_VALUE"""),"05. Usme")</f>
        <v>05. Usme</v>
      </c>
      <c r="H1610" s="55">
        <f ca="1">IFERROR(__xludf.DUMMYFUNCTION("""COMPUTED_VALUE"""),44828)</f>
        <v>44828</v>
      </c>
      <c r="I1610" s="25"/>
      <c r="J1610" s="55" t="str">
        <f ca="1">IFERROR(__xludf.DUMMYFUNCTION("""COMPUTED_VALUE"""),"Alta")</f>
        <v>Alta</v>
      </c>
      <c r="K1610" s="25">
        <f ca="1">IFERROR(__xludf.DUMMYFUNCTION("""COMPUTED_VALUE"""),30)</f>
        <v>30</v>
      </c>
      <c r="L1610" s="62">
        <f ca="1">IFERROR(__xludf.DUMMYFUNCTION("""COMPUTED_VALUE"""),44823)</f>
        <v>44823</v>
      </c>
      <c r="M1610" s="25" t="str">
        <f ca="1">IFERROR(__xludf.DUMMYFUNCTION("""COMPUTED_VALUE"""),"Para el 16 de septiembre se realizará un Consejo Distrital con la Alcaldesa Mayor y los 6 Alcaldes Locales que cuentan con población Rural en su localidad, para tratar cada uno de los temas frente a la ruralidad.                                           "&amp;"                                                                                 El viernes, 16 de septiembre se realizó el Consejo de Gobierno - Bogotá Rural en la Vereda El Destino - Usme con el acompañamiento del Gabinete Distrital y de los Alcaldes qu"&amp;"e tienen ruralidad en el Distrito, de igual forma participaron comunidades de las localidades. ")</f>
        <v xml:space="preserve">Para el 16 de septiembre se realizará un Consejo Distrital con la Alcaldesa Mayor y los 6 Alcaldes Locales que cuentan con población Rural en su localidad, para tratar cada uno de los temas frente a la ruralidad.                                                                                                                            El viernes, 16 de septiembre se realizó el Consejo de Gobierno - Bogotá Rural en la Vereda El Destino - Usme con el acompañamiento del Gabinete Distrital y de los Alcaldes que tienen ruralidad en el Distrito, de igual forma participaron comunidades de las localidades. </v>
      </c>
      <c r="N1610" s="55">
        <f ca="1">IFERROR(__xludf.DUMMYFUNCTION("""COMPUTED_VALUE"""),44823)</f>
        <v>44823</v>
      </c>
      <c r="O1610" s="25" t="str">
        <f t="shared" ca="1" si="0"/>
        <v>Secretaría Distrital de Gobierno</v>
      </c>
      <c r="P1610" s="25" t="str">
        <f t="shared" si="2"/>
        <v/>
      </c>
      <c r="Q1610" s="25" t="str">
        <f ca="1">IFERROR(__xludf.DUMMYFUNCTION("""COMPUTED_VALUE"""),"Corto plazo")</f>
        <v>Corto plazo</v>
      </c>
      <c r="R1610" s="25"/>
      <c r="S1610" s="55"/>
      <c r="T1610" s="56"/>
      <c r="U1610" s="25"/>
      <c r="V1610" s="25"/>
      <c r="W1610" s="25"/>
      <c r="X1610" s="25"/>
      <c r="Y1610" s="25"/>
      <c r="Z1610" s="25"/>
    </row>
    <row r="1611" spans="1:26" ht="52.5" customHeight="1" x14ac:dyDescent="0.25">
      <c r="A1611" s="25" t="str">
        <f ca="1">IFERROR(__xludf.DUMMYFUNCTION("""COMPUTED_VALUE"""),"Gobie109")</f>
        <v>Gobie109</v>
      </c>
      <c r="B1611" s="25" t="str">
        <f ca="1">IFERROR(__xludf.DUMMYFUNCTION("""COMPUTED_VALUE"""),"Recorrido Usme ")</f>
        <v xml:space="preserve">Recorrido Usme </v>
      </c>
      <c r="C1611" s="55">
        <f ca="1">IFERROR(__xludf.DUMMYFUNCTION("""COMPUTED_VALUE"""),44798)</f>
        <v>44798</v>
      </c>
      <c r="D1611" s="25" t="str">
        <f ca="1">IFERROR(__xludf.DUMMYFUNCTION("""COMPUTED_VALUE"""),"Gobierno")</f>
        <v>Gobierno</v>
      </c>
      <c r="E1611" s="25" t="str">
        <f ca="1">IFERROR(__xludf.DUMMYFUNCTION("""COMPUTED_VALUE"""),"Secretaría Distrital de Gobierno")</f>
        <v>Secretaría Distrital de Gobierno</v>
      </c>
      <c r="F1611" s="25" t="str">
        <f ca="1">IFERROR(__xludf.DUMMYFUNCTION("""COMPUTED_VALUE"""),"Consultar con la SAE sobre un predio grande para que puedan ser utilizados por el Circo Local ")</f>
        <v xml:space="preserve">Consultar con la SAE sobre un predio grande para que puedan ser utilizados por el Circo Local </v>
      </c>
      <c r="G1611" s="55" t="str">
        <f ca="1">IFERROR(__xludf.DUMMYFUNCTION("""COMPUTED_VALUE"""),"05. Usme")</f>
        <v>05. Usme</v>
      </c>
      <c r="H1611" s="55">
        <f ca="1">IFERROR(__xludf.DUMMYFUNCTION("""COMPUTED_VALUE"""),44910)</f>
        <v>44910</v>
      </c>
      <c r="I1611" s="25" t="str">
        <f ca="1">IFERROR(__xludf.DUMMYFUNCTION("""COMPUTED_VALUE"""),"Secretaría Privada")</f>
        <v>Secretaría Privada</v>
      </c>
      <c r="J1611" s="55" t="str">
        <f ca="1">IFERROR(__xludf.DUMMYFUNCTION("""COMPUTED_VALUE"""),"Media")</f>
        <v>Media</v>
      </c>
      <c r="K1611" s="25">
        <f ca="1">IFERROR(__xludf.DUMMYFUNCTION("""COMPUTED_VALUE"""),112)</f>
        <v>112</v>
      </c>
      <c r="L1611" s="62">
        <f ca="1">IFERROR(__xludf.DUMMYFUNCTION("""COMPUTED_VALUE"""),45070)</f>
        <v>45070</v>
      </c>
      <c r="M1611" s="25" t="str">
        <f ca="1">IFERROR(__xludf.DUMMYFUNCTION("""COMPUTED_VALUE"""),"Se remitió solicitud formal a la Sociedad de Activos Especiales  sin que a la fecha se reciba respuesta: 20225520732611
Reporte 24 Marzo 2023: Mediante radicado 20235520196741 se da respuesta al peticionario el señor Henry Nieto Torres indicandole que  l"&amp;"a SAE se pronuncia mediante radicado 2022510155632 donde informe que las personas jurídicas interesadas en recibir un bien en destinación provisional deberán presentar una solicitud con varios aspectos a cumplir y adicionalmente presentar la identificació"&amp;"n del personal del solicitante, con sus debidos antecedentes y un formato de solicitud adjunto, para que asi haga el respectivo proceso. 
10/05/2023: Se solicita cierre")</f>
        <v>Se remitió solicitud formal a la Sociedad de Activos Especiales  sin que a la fecha se reciba respuesta: 20225520732611
Reporte 24 Marzo 2023: Mediante radicado 20235520196741 se da respuesta al peticionario el señor Henry Nieto Torres indicandole que  la SAE se pronuncia mediante radicado 2022510155632 donde informe que las personas jurídicas interesadas en recibir un bien en destinación provisional deberán presentar una solicitud con varios aspectos a cumplir y adicionalmente presentar la identificación del personal del solicitante, con sus debidos antecedentes y un formato de solicitud adjunto, para que asi haga el respectivo proceso. 
10/05/2023: Se solicita cierre</v>
      </c>
      <c r="N1611" s="25"/>
      <c r="O1611" s="25" t="str">
        <f t="shared" ca="1" si="0"/>
        <v>Secretaría Distrital de Gobierno</v>
      </c>
      <c r="P1611" s="25" t="str">
        <f t="shared" ca="1" si="2"/>
        <v/>
      </c>
      <c r="Q1611" s="25" t="str">
        <f ca="1">IFERROR(__xludf.DUMMYFUNCTION("""COMPUTED_VALUE"""),"Mediano plazo")</f>
        <v>Mediano plazo</v>
      </c>
      <c r="R1611" s="25"/>
      <c r="S1611" s="55"/>
      <c r="T1611" s="56"/>
      <c r="U1611" s="25"/>
      <c r="V1611" s="25"/>
      <c r="W1611" s="25"/>
      <c r="X1611" s="25"/>
      <c r="Y1611" s="25"/>
      <c r="Z1611" s="25"/>
    </row>
    <row r="1612" spans="1:26" ht="52.5" customHeight="1" x14ac:dyDescent="0.25">
      <c r="A1612" s="25" t="str">
        <f ca="1">IFERROR(__xludf.DUMMYFUNCTION("""COMPUTED_VALUE"""),"Gobie110")</f>
        <v>Gobie110</v>
      </c>
      <c r="B1612" s="25" t="str">
        <f ca="1">IFERROR(__xludf.DUMMYFUNCTION("""COMPUTED_VALUE"""),"Recorrido Usme ")</f>
        <v xml:space="preserve">Recorrido Usme </v>
      </c>
      <c r="C1612" s="55">
        <f ca="1">IFERROR(__xludf.DUMMYFUNCTION("""COMPUTED_VALUE"""),44798)</f>
        <v>44798</v>
      </c>
      <c r="D1612" s="25" t="str">
        <f ca="1">IFERROR(__xludf.DUMMYFUNCTION("""COMPUTED_VALUE"""),"Gobierno")</f>
        <v>Gobierno</v>
      </c>
      <c r="E1612" s="25" t="str">
        <f ca="1">IFERROR(__xludf.DUMMYFUNCTION("""COMPUTED_VALUE"""),"Secretaría Distrital de Gobierno")</f>
        <v>Secretaría Distrital de Gobierno</v>
      </c>
      <c r="F1612" s="25" t="str">
        <f ca="1">IFERROR(__xludf.DUMMYFUNCTION("""COMPUTED_VALUE"""),"Realizar una Feria de Servicios para promover el Programa Hecho en Bogotá")</f>
        <v>Realizar una Feria de Servicios para promover el Programa Hecho en Bogotá</v>
      </c>
      <c r="G1612" s="55" t="str">
        <f ca="1">IFERROR(__xludf.DUMMYFUNCTION("""COMPUTED_VALUE"""),"05. Usme")</f>
        <v>05. Usme</v>
      </c>
      <c r="H1612" s="55">
        <f ca="1">IFERROR(__xludf.DUMMYFUNCTION("""COMPUTED_VALUE"""),44828)</f>
        <v>44828</v>
      </c>
      <c r="I1612" s="25"/>
      <c r="J1612" s="55" t="str">
        <f ca="1">IFERROR(__xludf.DUMMYFUNCTION("""COMPUTED_VALUE"""),"Alta")</f>
        <v>Alta</v>
      </c>
      <c r="K1612" s="25">
        <f ca="1">IFERROR(__xludf.DUMMYFUNCTION("""COMPUTED_VALUE"""),30)</f>
        <v>30</v>
      </c>
      <c r="L1612" s="62">
        <f ca="1">IFERROR(__xludf.DUMMYFUNCTION("""COMPUTED_VALUE"""),44895)</f>
        <v>44895</v>
      </c>
      <c r="M1612" s="25" t="str">
        <f ca="1">IFERROR(__xludf.DUMMYFUNCTION("""COMPUTED_VALUE""")," El dia 10 de septiembre de 2022, se realiza Feria de reactivación economica "" hecho en Bogotá"" ""Usme emprende por la paz"" en articulación con la Secretaría de Desarrolo económico en la que se inscribieron 43 emprendimientos y participaron 26 por la l"&amp;"ocalidad. Permitiendo reactivar la economia local y apoyando a los productores locales. Esta actividad tuvo lugar en el parque Miravalle")</f>
        <v xml:space="preserve"> El dia 10 de septiembre de 2022, se realiza Feria de reactivación economica " hecho en Bogotá" "Usme emprende por la paz" en articulación con la Secretaría de Desarrolo económico en la que se inscribieron 43 emprendimientos y participaron 26 por la localidad. Permitiendo reactivar la economia local y apoyando a los productores locales. Esta actividad tuvo lugar en el parque Miravalle</v>
      </c>
      <c r="N1612" s="55">
        <f ca="1">IFERROR(__xludf.DUMMYFUNCTION("""COMPUTED_VALUE"""),44895)</f>
        <v>44895</v>
      </c>
      <c r="O1612" s="25" t="str">
        <f t="shared" ca="1" si="0"/>
        <v>Secretaría Distrital de Gobierno</v>
      </c>
      <c r="P1612" s="25" t="str">
        <f t="shared" si="2"/>
        <v/>
      </c>
      <c r="Q1612" s="25" t="str">
        <f ca="1">IFERROR(__xludf.DUMMYFUNCTION("""COMPUTED_VALUE"""),"Corto plazo")</f>
        <v>Corto plazo</v>
      </c>
      <c r="R1612" s="25"/>
      <c r="S1612" s="55"/>
      <c r="T1612" s="56"/>
      <c r="U1612" s="25"/>
      <c r="V1612" s="25"/>
      <c r="W1612" s="25"/>
      <c r="X1612" s="25"/>
      <c r="Y1612" s="25"/>
      <c r="Z1612" s="25"/>
    </row>
    <row r="1613" spans="1:26" ht="52.5" customHeight="1" x14ac:dyDescent="0.25">
      <c r="A1613" s="25" t="str">
        <f ca="1">IFERROR(__xludf.DUMMYFUNCTION("""COMPUTED_VALUE"""),"Gobie111")</f>
        <v>Gobie111</v>
      </c>
      <c r="B1613" s="25" t="str">
        <f ca="1">IFERROR(__xludf.DUMMYFUNCTION("""COMPUTED_VALUE"""),"Recorrido Usme ")</f>
        <v xml:space="preserve">Recorrido Usme </v>
      </c>
      <c r="C1613" s="55">
        <f ca="1">IFERROR(__xludf.DUMMYFUNCTION("""COMPUTED_VALUE"""),44798)</f>
        <v>44798</v>
      </c>
      <c r="D1613" s="25" t="str">
        <f ca="1">IFERROR(__xludf.DUMMYFUNCTION("""COMPUTED_VALUE"""),"Gobierno")</f>
        <v>Gobierno</v>
      </c>
      <c r="E1613" s="25" t="str">
        <f ca="1">IFERROR(__xludf.DUMMYFUNCTION("""COMPUTED_VALUE"""),"Secretaría Distrital de Gobierno")</f>
        <v>Secretaría Distrital de Gobierno</v>
      </c>
      <c r="F1613" s="25" t="str">
        <f ca="1">IFERROR(__xludf.DUMMYFUNCTION("""COMPUTED_VALUE"""),"Dar cumplimiento a los compromisos adquiridos con las mujeres de Usme.")</f>
        <v>Dar cumplimiento a los compromisos adquiridos con las mujeres de Usme.</v>
      </c>
      <c r="G1613" s="55" t="str">
        <f ca="1">IFERROR(__xludf.DUMMYFUNCTION("""COMPUTED_VALUE"""),"05. Usme")</f>
        <v>05. Usme</v>
      </c>
      <c r="H1613" s="55">
        <f ca="1">IFERROR(__xludf.DUMMYFUNCTION("""COMPUTED_VALUE"""),44828)</f>
        <v>44828</v>
      </c>
      <c r="I1613" s="25"/>
      <c r="J1613" s="55" t="str">
        <f ca="1">IFERROR(__xludf.DUMMYFUNCTION("""COMPUTED_VALUE"""),"Alta")</f>
        <v>Alta</v>
      </c>
      <c r="K1613" s="25">
        <f ca="1">IFERROR(__xludf.DUMMYFUNCTION("""COMPUTED_VALUE"""),30)</f>
        <v>30</v>
      </c>
      <c r="L1613" s="62"/>
      <c r="M1613" s="25" t="str">
        <f ca="1">IFERROR(__xludf.DUMMYFUNCTION("""COMPUTED_VALUE""")," inauguraron la casa de la igualdad con el alcalde y la secretaria de la mujer.")</f>
        <v xml:space="preserve"> inauguraron la casa de la igualdad con el alcalde y la secretaria de la mujer.</v>
      </c>
      <c r="N1613" s="55">
        <f ca="1">IFERROR(__xludf.DUMMYFUNCTION("""COMPUTED_VALUE"""),44927)</f>
        <v>44927</v>
      </c>
      <c r="O1613" s="25" t="str">
        <f t="shared" ca="1" si="0"/>
        <v>Secretaría Distrital de Gobierno</v>
      </c>
      <c r="P1613" s="25" t="str">
        <f t="shared" si="2"/>
        <v/>
      </c>
      <c r="Q1613" s="25" t="str">
        <f ca="1">IFERROR(__xludf.DUMMYFUNCTION("""COMPUTED_VALUE"""),"Corto plazo")</f>
        <v>Corto plazo</v>
      </c>
      <c r="R1613" s="25"/>
      <c r="S1613" s="55"/>
      <c r="T1613" s="56"/>
      <c r="U1613" s="25"/>
      <c r="V1613" s="25"/>
      <c r="W1613" s="25"/>
      <c r="X1613" s="25"/>
      <c r="Y1613" s="25"/>
      <c r="Z1613" s="25"/>
    </row>
    <row r="1614" spans="1:26" ht="52.5" customHeight="1" x14ac:dyDescent="0.25">
      <c r="A1614" s="25" t="str">
        <f ca="1">IFERROR(__xludf.DUMMYFUNCTION("""COMPUTED_VALUE"""),"Gobie112")</f>
        <v>Gobie112</v>
      </c>
      <c r="B1614" s="25" t="str">
        <f ca="1">IFERROR(__xludf.DUMMYFUNCTION("""COMPUTED_VALUE"""),"Reunión CAIDS-G")</f>
        <v>Reunión CAIDS-G</v>
      </c>
      <c r="C1614" s="55">
        <f ca="1">IFERROR(__xludf.DUMMYFUNCTION("""COMPUTED_VALUE"""),44826)</f>
        <v>44826</v>
      </c>
      <c r="D1614" s="25" t="str">
        <f ca="1">IFERROR(__xludf.DUMMYFUNCTION("""COMPUTED_VALUE"""),"Gobierno")</f>
        <v>Gobierno</v>
      </c>
      <c r="E1614" s="25" t="str">
        <f ca="1">IFERROR(__xludf.DUMMYFUNCTION("""COMPUTED_VALUE"""),"Secretaría Distrital de Gobierno")</f>
        <v>Secretaría Distrital de Gobierno</v>
      </c>
      <c r="F1614" s="25" t="str">
        <f ca="1">IFERROR(__xludf.DUMMYFUNCTION("""COMPUTED_VALUE"""),"Feria de servicios y de emprendimiento con jornadas de afiliación a la población trans a los programas de SDE y SDDE.")</f>
        <v>Feria de servicios y de emprendimiento con jornadas de afiliación a la población trans a los programas de SDE y SDDE.</v>
      </c>
      <c r="G1614" s="25" t="str">
        <f ca="1">IFERROR(__xludf.DUMMYFUNCTION("""COMPUTED_VALUE"""),"14. Martires")</f>
        <v>14. Martires</v>
      </c>
      <c r="H1614" s="55">
        <f ca="1">IFERROR(__xludf.DUMMYFUNCTION("""COMPUTED_VALUE"""),44866)</f>
        <v>44866</v>
      </c>
      <c r="I1614" s="25"/>
      <c r="J1614" s="55" t="str">
        <f ca="1">IFERROR(__xludf.DUMMYFUNCTION("""COMPUTED_VALUE"""),"Alta")</f>
        <v>Alta</v>
      </c>
      <c r="K1614" s="25">
        <f ca="1">IFERROR(__xludf.DUMMYFUNCTION("""COMPUTED_VALUE"""),40)</f>
        <v>40</v>
      </c>
      <c r="L1614" s="62">
        <f ca="1">IFERROR(__xludf.DUMMYFUNCTION("""COMPUTED_VALUE"""),44895)</f>
        <v>44895</v>
      </c>
      <c r="M1614" s="25" t="str">
        <f ca="1">IFERROR(__xludf.DUMMYFUNCTION("""COMPUTED_VALUE"""),"Se realizaron 2 ferias de emprendimiento dirigidas a personas y proyectos productivos LGBTI, la primera en el marco de Orgullo LGBTI  realizada en el centro Comercial Mall Plaza del 7 al 10 de julio y la otra el día 31 de octubre en el marco de ""Hecho en"&amp;" Bogotá, ambas actividades se realizaron con el apoyo de la DIrección de Diversidad Sexual.")</f>
        <v>Se realizaron 2 ferias de emprendimiento dirigidas a personas y proyectos productivos LGBTI, la primera en el marco de Orgullo LGBTI  realizada en el centro Comercial Mall Plaza del 7 al 10 de julio y la otra el día 31 de octubre en el marco de "Hecho en Bogotá, ambas actividades se realizaron con el apoyo de la DIrección de Diversidad Sexual.</v>
      </c>
      <c r="N1614" s="55">
        <f ca="1">IFERROR(__xludf.DUMMYFUNCTION("""COMPUTED_VALUE"""),44895)</f>
        <v>44895</v>
      </c>
      <c r="O1614" s="25" t="str">
        <f t="shared" ca="1" si="0"/>
        <v>Secretaría Distrital de Gobierno</v>
      </c>
      <c r="P1614" s="25" t="str">
        <f t="shared" si="2"/>
        <v/>
      </c>
      <c r="Q1614" s="25" t="str">
        <f ca="1">IFERROR(__xludf.DUMMYFUNCTION("""COMPUTED_VALUE"""),"Corto plazo")</f>
        <v>Corto plazo</v>
      </c>
      <c r="R1614" s="25"/>
      <c r="S1614" s="55"/>
      <c r="T1614" s="56"/>
      <c r="U1614" s="25"/>
      <c r="V1614" s="25"/>
      <c r="W1614" s="25"/>
      <c r="X1614" s="25"/>
      <c r="Y1614" s="25"/>
      <c r="Z1614" s="25"/>
    </row>
    <row r="1615" spans="1:26" ht="52.5" customHeight="1" x14ac:dyDescent="0.25">
      <c r="A1615" s="25" t="str">
        <f ca="1">IFERROR(__xludf.DUMMYFUNCTION("""COMPUTED_VALUE"""),"Gobie113")</f>
        <v>Gobie113</v>
      </c>
      <c r="B1615" s="25" t="str">
        <f ca="1">IFERROR(__xludf.DUMMYFUNCTION("""COMPUTED_VALUE"""),"Pobreza y reactivación económica presupuesto 2023 ")</f>
        <v xml:space="preserve">Pobreza y reactivación económica presupuesto 2023 </v>
      </c>
      <c r="C1615" s="55">
        <f ca="1">IFERROR(__xludf.DUMMYFUNCTION("""COMPUTED_VALUE"""),44827)</f>
        <v>44827</v>
      </c>
      <c r="D1615" s="25" t="str">
        <f ca="1">IFERROR(__xludf.DUMMYFUNCTION("""COMPUTED_VALUE"""),"Gobierno")</f>
        <v>Gobierno</v>
      </c>
      <c r="E1615" s="25" t="str">
        <f ca="1">IFERROR(__xludf.DUMMYFUNCTION("""COMPUTED_VALUE"""),"Secretaría Distrital de Gobierno")</f>
        <v>Secretaría Distrital de Gobierno</v>
      </c>
      <c r="F1615" s="25" t="str">
        <f ca="1">IFERROR(__xludf.DUMMYFUNCTION("""COMPUTED_VALUE"""),"Financiar parceros con los recursos de FDL. Revisar con SDG y SDIS para dejar parceros solo por Gobierno.")</f>
        <v>Financiar parceros con los recursos de FDL. Revisar con SDG y SDIS para dejar parceros solo por Gobierno.</v>
      </c>
      <c r="G1615" s="25" t="str">
        <f ca="1">IFERROR(__xludf.DUMMYFUNCTION("""COMPUTED_VALUE"""),"99. Distrito")</f>
        <v>99. Distrito</v>
      </c>
      <c r="H1615" s="55">
        <f ca="1">IFERROR(__xludf.DUMMYFUNCTION("""COMPUTED_VALUE"""),44857)</f>
        <v>44857</v>
      </c>
      <c r="I1615" s="25"/>
      <c r="J1615" s="55" t="str">
        <f ca="1">IFERROR(__xludf.DUMMYFUNCTION("""COMPUTED_VALUE"""),"Alta")</f>
        <v>Alta</v>
      </c>
      <c r="K1615" s="25">
        <f ca="1">IFERROR(__xludf.DUMMYFUNCTION("""COMPUTED_VALUE"""),30)</f>
        <v>30</v>
      </c>
      <c r="L1615" s="62">
        <f ca="1">IFERROR(__xludf.DUMMYFUNCTION("""COMPUTED_VALUE"""),44895)</f>
        <v>44895</v>
      </c>
      <c r="M1615" s="25" t="str">
        <f ca="1">IFERROR(__xludf.DUMMYFUNCTION("""COMPUTED_VALUE"""),"Ya se garantizaron los recursos para el Programa Parceros por parte de 13 FDL en 2023, según el CONFIS 04 de 2022")</f>
        <v>Ya se garantizaron los recursos para el Programa Parceros por parte de 13 FDL en 2023, según el CONFIS 04 de 2022</v>
      </c>
      <c r="N1615" s="55">
        <f ca="1">IFERROR(__xludf.DUMMYFUNCTION("""COMPUTED_VALUE"""),44895)</f>
        <v>44895</v>
      </c>
      <c r="O1615" s="25" t="str">
        <f t="shared" ca="1" si="0"/>
        <v>Secretaría Distrital de Gobierno</v>
      </c>
      <c r="P1615" s="25" t="str">
        <f t="shared" si="2"/>
        <v/>
      </c>
      <c r="Q1615" s="25" t="str">
        <f ca="1">IFERROR(__xludf.DUMMYFUNCTION("""COMPUTED_VALUE"""),"Corto plazo")</f>
        <v>Corto plazo</v>
      </c>
      <c r="R1615" s="25"/>
      <c r="S1615" s="55"/>
      <c r="T1615" s="56"/>
      <c r="U1615" s="25"/>
      <c r="V1615" s="25"/>
      <c r="W1615" s="25"/>
      <c r="X1615" s="25"/>
      <c r="Y1615" s="25"/>
      <c r="Z1615" s="25"/>
    </row>
    <row r="1616" spans="1:26" ht="52.5" customHeight="1" x14ac:dyDescent="0.25">
      <c r="A1616" s="25" t="str">
        <f ca="1">IFERROR(__xludf.DUMMYFUNCTION("""COMPUTED_VALUE"""),"Gobie114")</f>
        <v>Gobie114</v>
      </c>
      <c r="B1616" s="25" t="str">
        <f ca="1">IFERROR(__xludf.DUMMYFUNCTION("""COMPUTED_VALUE"""),"Recorrido Sumapaz")</f>
        <v>Recorrido Sumapaz</v>
      </c>
      <c r="C1616" s="55" t="str">
        <f ca="1">IFERROR(__xludf.DUMMYFUNCTION("""COMPUTED_VALUE"""),"04/12/2020")</f>
        <v>04/12/2020</v>
      </c>
      <c r="D1616" s="25" t="str">
        <f ca="1">IFERROR(__xludf.DUMMYFUNCTION("""COMPUTED_VALUE"""),"Gobierno")</f>
        <v>Gobierno</v>
      </c>
      <c r="E1616" s="25" t="str">
        <f ca="1">IFERROR(__xludf.DUMMYFUNCTION("""COMPUTED_VALUE"""),"Secretaría Distrital de Gobierno")</f>
        <v>Secretaría Distrital de Gobierno</v>
      </c>
      <c r="F1616" s="25" t="str">
        <f ca="1">IFERROR(__xludf.DUMMYFUNCTION("""COMPUTED_VALUE"""),"Adelantar audiencia pública presupuestos participativos")</f>
        <v>Adelantar audiencia pública presupuestos participativos</v>
      </c>
      <c r="G1616" s="55" t="str">
        <f ca="1">IFERROR(__xludf.DUMMYFUNCTION("""COMPUTED_VALUE"""),"20. Sumapaz")</f>
        <v>20. Sumapaz</v>
      </c>
      <c r="H1616" s="55">
        <f ca="1">IFERROR(__xludf.DUMMYFUNCTION("""COMPUTED_VALUE"""),44199)</f>
        <v>44199</v>
      </c>
      <c r="I1616" s="25"/>
      <c r="J1616" s="55" t="str">
        <f ca="1">IFERROR(__xludf.DUMMYFUNCTION("""COMPUTED_VALUE"""),"Alta")</f>
        <v>Alta</v>
      </c>
      <c r="K1616" s="25">
        <f ca="1">IFERROR(__xludf.DUMMYFUNCTION("""COMPUTED_VALUE"""),30)</f>
        <v>30</v>
      </c>
      <c r="L1616" s="62">
        <f ca="1">IFERROR(__xludf.DUMMYFUNCTION("""COMPUTED_VALUE"""),44385)</f>
        <v>44385</v>
      </c>
      <c r="M1616" s="25"/>
      <c r="N1616" s="55">
        <f ca="1">IFERROR(__xludf.DUMMYFUNCTION("""COMPUTED_VALUE"""),44385)</f>
        <v>44385</v>
      </c>
      <c r="O1616" s="25" t="str">
        <f t="shared" ca="1" si="0"/>
        <v>Secretaría Distrital de Gobierno</v>
      </c>
      <c r="P1616" s="25" t="str">
        <f t="shared" si="2"/>
        <v/>
      </c>
      <c r="Q1616" s="25" t="str">
        <f ca="1">IFERROR(__xludf.DUMMYFUNCTION("""COMPUTED_VALUE"""),"Corto plazo")</f>
        <v>Corto plazo</v>
      </c>
      <c r="R1616" s="25"/>
      <c r="S1616" s="55"/>
      <c r="T1616" s="56"/>
      <c r="U1616" s="25"/>
      <c r="V1616" s="25"/>
      <c r="W1616" s="25"/>
      <c r="X1616" s="25"/>
      <c r="Y1616" s="25"/>
      <c r="Z1616" s="25"/>
    </row>
    <row r="1617" spans="1:26" ht="52.5" customHeight="1" x14ac:dyDescent="0.25">
      <c r="A1617" s="25" t="str">
        <f ca="1">IFERROR(__xludf.DUMMYFUNCTION("""COMPUTED_VALUE"""),"Gobie115")</f>
        <v>Gobie115</v>
      </c>
      <c r="B1617" s="25" t="str">
        <f ca="1">IFERROR(__xludf.DUMMYFUNCTION("""COMPUTED_VALUE"""),"Revisión cesiones y legalizaciones barrios")</f>
        <v>Revisión cesiones y legalizaciones barrios</v>
      </c>
      <c r="C1617" s="55">
        <f ca="1">IFERROR(__xludf.DUMMYFUNCTION("""COMPUTED_VALUE"""),44697)</f>
        <v>44697</v>
      </c>
      <c r="D1617" s="25" t="str">
        <f ca="1">IFERROR(__xludf.DUMMYFUNCTION("""COMPUTED_VALUE"""),"Gobierno")</f>
        <v>Gobierno</v>
      </c>
      <c r="E1617" s="25" t="str">
        <f ca="1">IFERROR(__xludf.DUMMYFUNCTION("""COMPUTED_VALUE"""),"Departamento Administrativo de la Defensoría del Espacio Público")</f>
        <v>Departamento Administrativo de la Defensoría del Espacio Público</v>
      </c>
      <c r="F1617" s="25" t="str">
        <f ca="1">IFERROR(__xludf.DUMMYFUNCTION("""COMPUTED_VALUE"""),"Revisar la auto titulación de predios de los predios que son del Distrito pero que no se han entregado (Ej: plaza de Bolívar no se puede poner luz porque no es del Distrito)")</f>
        <v>Revisar la auto titulación de predios de los predios que son del Distrito pero que no se han entregado (Ej: plaza de Bolívar no se puede poner luz porque no es del Distrito)</v>
      </c>
      <c r="G1617" s="25" t="str">
        <f ca="1">IFERROR(__xludf.DUMMYFUNCTION("""COMPUTED_VALUE"""),"99. Distrito")</f>
        <v>99. Distrito</v>
      </c>
      <c r="H1617" s="55">
        <f ca="1">IFERROR(__xludf.DUMMYFUNCTION("""COMPUTED_VALUE"""),44985)</f>
        <v>44985</v>
      </c>
      <c r="I1617" s="25"/>
      <c r="J1617" s="55" t="str">
        <f ca="1">IFERROR(__xludf.DUMMYFUNCTION("""COMPUTED_VALUE"""),"Baja")</f>
        <v>Baja</v>
      </c>
      <c r="K1617" s="25">
        <f ca="1">IFERROR(__xludf.DUMMYFUNCTION("""COMPUTED_VALUE"""),288)</f>
        <v>288</v>
      </c>
      <c r="L1617" s="62">
        <f ca="1">IFERROR(__xludf.DUMMYFUNCTION("""COMPUTED_VALUE"""),44977)</f>
        <v>44977</v>
      </c>
      <c r="M1617" s="25" t="str">
        <f ca="1">IFERROR(__xludf.DUMMYFUNCTION("""COMPUTED_VALUE"""),"Respecto a la titulación de predios del distrito es importante mencionar que las rutas para obtener la trasferencia se encuentran  normados en regulación nacional. 
No obstante en complementao a dichas acciones, el  15 de febrero de 2023 se expide el Decr"&amp;"eto 072 por el cual se reglamentan las disposiciones de espacio público del Plan de Ordenamiento Territorial y se dictan otras disposiciones. Este nuevo decreto pretende incorporar figuras que permiten la incorporación de esos bienes como espacio público "&amp;"en el inventario de bienes del distrito. permitiendo ejecutar y  visibilizar la inversión de las diferentes entidades públicas. ")</f>
        <v xml:space="preserve">Respecto a la titulación de predios del distrito es importante mencionar que las rutas para obtener la trasferencia se encuentran  normados en regulación nacional. 
No obstante en complementao a dichas acciones, el  15 de febrero de 2023 se expide el Decreto 072 por el cual se reglamentan las disposiciones de espacio público del Plan de Ordenamiento Territorial y se dictan otras disposiciones. Este nuevo decreto pretende incorporar figuras que permiten la incorporación de esos bienes como espacio público en el inventario de bienes del distrito. permitiendo ejecutar y  visibilizar la inversión de las diferentes entidades públicas. </v>
      </c>
      <c r="N1617" s="55">
        <f ca="1">IFERROR(__xludf.DUMMYFUNCTION("""COMPUTED_VALUE"""),44972)</f>
        <v>44972</v>
      </c>
      <c r="O1617" s="25" t="str">
        <f t="shared" ca="1" si="0"/>
        <v>Departamento Administrativo de la Defensoría del Espacio Público</v>
      </c>
      <c r="P1617" s="25" t="str">
        <f t="shared" si="2"/>
        <v/>
      </c>
      <c r="Q1617" s="25" t="str">
        <f ca="1">IFERROR(__xludf.DUMMYFUNCTION("""COMPUTED_VALUE"""),"Largo plazo")</f>
        <v>Largo plazo</v>
      </c>
      <c r="R1617" s="25"/>
      <c r="S1617" s="55"/>
      <c r="T1617" s="56"/>
      <c r="U1617" s="25"/>
      <c r="V1617" s="25"/>
      <c r="W1617" s="25"/>
      <c r="X1617" s="25"/>
      <c r="Y1617" s="25"/>
      <c r="Z1617" s="25"/>
    </row>
    <row r="1618" spans="1:26" ht="52.5" customHeight="1" x14ac:dyDescent="0.25">
      <c r="A1618" s="25" t="str">
        <f ca="1">IFERROR(__xludf.DUMMYFUNCTION("""COMPUTED_VALUE"""),"Gobie116")</f>
        <v>Gobie116</v>
      </c>
      <c r="B1618" s="25"/>
      <c r="C1618" s="55"/>
      <c r="D1618" s="25" t="str">
        <f ca="1">IFERROR(__xludf.DUMMYFUNCTION("""COMPUTED_VALUE"""),"Gobierno")</f>
        <v>Gobierno</v>
      </c>
      <c r="E1618" s="25" t="str">
        <f ca="1">IFERROR(__xludf.DUMMYFUNCTION("""COMPUTED_VALUE"""),"Departamento Administrativo de la Defensoría del Espacio Público")</f>
        <v>Departamento Administrativo de la Defensoría del Espacio Público</v>
      </c>
      <c r="F1618" s="25" t="str">
        <f ca="1">IFERROR(__xludf.DUMMYFUNCTION("""COMPUTED_VALUE"""),"Eliminada")</f>
        <v>Eliminada</v>
      </c>
      <c r="G1618" s="25"/>
      <c r="H1618" s="25"/>
      <c r="I1618" s="25"/>
      <c r="J1618" s="55"/>
      <c r="K1618" s="25" t="str">
        <f ca="1">IFERROR(__xludf.DUMMYFUNCTION("""COMPUTED_VALUE"""),"Definir fecha")</f>
        <v>Definir fecha</v>
      </c>
      <c r="L1618" s="62"/>
      <c r="M1618" s="25"/>
      <c r="N1618" s="25"/>
      <c r="O1618" s="25" t="str">
        <f t="shared" ca="1" si="0"/>
        <v>Departamento Administrativo de la Defensoría del Espacio Público</v>
      </c>
      <c r="P1618" s="25" t="str">
        <f t="shared" si="2"/>
        <v/>
      </c>
      <c r="Q1618" s="25" t="str">
        <f ca="1">IFERROR(__xludf.DUMMYFUNCTION("""COMPUTED_VALUE"""),"Sin defenir")</f>
        <v>Sin defenir</v>
      </c>
      <c r="R1618" s="25"/>
      <c r="S1618" s="55"/>
      <c r="T1618" s="56"/>
      <c r="U1618" s="25"/>
      <c r="V1618" s="25"/>
      <c r="W1618" s="25"/>
      <c r="X1618" s="25"/>
      <c r="Y1618" s="25"/>
      <c r="Z1618" s="25"/>
    </row>
    <row r="1619" spans="1:26" ht="52.5" customHeight="1" x14ac:dyDescent="0.25">
      <c r="A1619" s="25" t="str">
        <f ca="1">IFERROR(__xludf.DUMMYFUNCTION("""COMPUTED_VALUE"""),"Gobie117")</f>
        <v>Gobie117</v>
      </c>
      <c r="B1619" s="25" t="str">
        <f ca="1">IFERROR(__xludf.DUMMYFUNCTION("""COMPUTED_VALUE"""),"Conpes")</f>
        <v>Conpes</v>
      </c>
      <c r="C1619" s="55">
        <f ca="1">IFERROR(__xludf.DUMMYFUNCTION("""COMPUTED_VALUE"""),44867)</f>
        <v>44867</v>
      </c>
      <c r="D1619" s="25" t="str">
        <f ca="1">IFERROR(__xludf.DUMMYFUNCTION("""COMPUTED_VALUE"""),"Gobierno")</f>
        <v>Gobierno</v>
      </c>
      <c r="E1619" s="25" t="str">
        <f ca="1">IFERROR(__xludf.DUMMYFUNCTION("""COMPUTED_VALUE"""),"Secretaría Distrital de Gobierno")</f>
        <v>Secretaría Distrital de Gobierno</v>
      </c>
      <c r="F1619" s="25" t="str">
        <f ca="1">IFERROR(__xludf.DUMMYFUNCTION("""COMPUTED_VALUE"""),"Incorporar en la Política Pública para los nuevos Bogotanos y Bogotanas un factor que permita la apropiación de la ciudadanía que les otorga Bogotá.")</f>
        <v>Incorporar en la Política Pública para los nuevos Bogotanos y Bogotanas un factor que permita la apropiación de la ciudadanía que les otorga Bogotá.</v>
      </c>
      <c r="G1619" s="25" t="str">
        <f ca="1">IFERROR(__xludf.DUMMYFUNCTION("""COMPUTED_VALUE"""),"99. Distrito")</f>
        <v>99. Distrito</v>
      </c>
      <c r="H1619" s="55">
        <f ca="1">IFERROR(__xludf.DUMMYFUNCTION("""COMPUTED_VALUE"""),45138)</f>
        <v>45138</v>
      </c>
      <c r="I1619" s="25" t="str">
        <f ca="1">IFERROR(__xludf.DUMMYFUNCTION("""COMPUTED_VALUE"""),"Delivery Unit")</f>
        <v>Delivery Unit</v>
      </c>
      <c r="J1619" s="55" t="str">
        <f ca="1">IFERROR(__xludf.DUMMYFUNCTION("""COMPUTED_VALUE"""),"Media")</f>
        <v>Media</v>
      </c>
      <c r="K1619" s="25">
        <f ca="1">IFERROR(__xludf.DUMMYFUNCTION("""COMPUTED_VALUE"""),271)</f>
        <v>271</v>
      </c>
      <c r="L1619" s="62">
        <f ca="1">IFERROR(__xludf.DUMMYFUNCTION("""COMPUTED_VALUE"""),45070)</f>
        <v>45070</v>
      </c>
      <c r="M1619" s="25" t="str">
        <f ca="1">IFERROR(__xludf.DUMMYFUNCTION("""COMPUTED_VALUE"""),"La política pública de nuevos y nuevas bogotanas se encuentra en la etapa de estructuración de la política. El factor de apropiación ciudadana se tiene presente para la etapa de formulación de la política, la cual debe llevarse a cabo en el primer trimest"&amp;"re de 2023.
14 de marzo: la política entró en fase de diagnostico.
10 de mayo: este mes se radica la formulación de la política pública.")</f>
        <v>La política pública de nuevos y nuevas bogotanas se encuentra en la etapa de estructuración de la política. El factor de apropiación ciudadana se tiene presente para la etapa de formulación de la política, la cual debe llevarse a cabo en el primer trimestre de 2023.
14 de marzo: la política entró en fase de diagnostico.
10 de mayo: este mes se radica la formulación de la política pública.</v>
      </c>
      <c r="N1619" s="25"/>
      <c r="O1619" s="25" t="str">
        <f t="shared" ca="1" si="0"/>
        <v>Secretaría Distrital de Gobierno</v>
      </c>
      <c r="P1619" s="25" t="str">
        <f t="shared" ca="1" si="2"/>
        <v/>
      </c>
      <c r="Q1619" s="25" t="str">
        <f ca="1">IFERROR(__xludf.DUMMYFUNCTION("""COMPUTED_VALUE"""),"Largo plazo")</f>
        <v>Largo plazo</v>
      </c>
      <c r="R1619" s="25"/>
      <c r="S1619" s="55"/>
      <c r="T1619" s="56"/>
      <c r="U1619" s="25"/>
      <c r="V1619" s="25"/>
      <c r="W1619" s="25"/>
      <c r="X1619" s="25"/>
      <c r="Y1619" s="25"/>
      <c r="Z1619" s="25"/>
    </row>
    <row r="1620" spans="1:26" ht="52.5" customHeight="1" x14ac:dyDescent="0.25">
      <c r="A1620" s="25" t="str">
        <f ca="1">IFERROR(__xludf.DUMMYFUNCTION("""COMPUTED_VALUE"""),"Gobie118")</f>
        <v>Gobie118</v>
      </c>
      <c r="B1620" s="25" t="str">
        <f ca="1">IFERROR(__xludf.DUMMYFUNCTION("""COMPUTED_VALUE"""),"Reunión Región Metropolitana")</f>
        <v>Reunión Región Metropolitana</v>
      </c>
      <c r="C1620" s="55">
        <f ca="1">IFERROR(__xludf.DUMMYFUNCTION("""COMPUTED_VALUE"""),44866)</f>
        <v>44866</v>
      </c>
      <c r="D1620" s="25" t="str">
        <f ca="1">IFERROR(__xludf.DUMMYFUNCTION("""COMPUTED_VALUE"""),"Gobierno")</f>
        <v>Gobierno</v>
      </c>
      <c r="E1620" s="25" t="str">
        <f ca="1">IFERROR(__xludf.DUMMYFUNCTION("""COMPUTED_VALUE"""),"Secretaría Distrital de Gobierno")</f>
        <v>Secretaría Distrital de Gobierno</v>
      </c>
      <c r="F1620" s="25" t="str">
        <f ca="1">IFERROR(__xludf.DUMMYFUNCTION("""COMPUTED_VALUE"""),"Redactar la carta para solicitarle al Presidente de la República su delegado para el Consejo Regional, incluyendo como anexo el borrador de los estatutos")</f>
        <v>Redactar la carta para solicitarle al Presidente de la República su delegado para el Consejo Regional, incluyendo como anexo el borrador de los estatutos</v>
      </c>
      <c r="G1620" s="25" t="str">
        <f ca="1">IFERROR(__xludf.DUMMYFUNCTION("""COMPUTED_VALUE"""),"99. Distrito")</f>
        <v>99. Distrito</v>
      </c>
      <c r="H1620" s="55">
        <f ca="1">IFERROR(__xludf.DUMMYFUNCTION("""COMPUTED_VALUE"""),44910)</f>
        <v>44910</v>
      </c>
      <c r="I1620" s="25"/>
      <c r="J1620" s="55" t="str">
        <f ca="1">IFERROR(__xludf.DUMMYFUNCTION("""COMPUTED_VALUE"""),"Alta")</f>
        <v>Alta</v>
      </c>
      <c r="K1620" s="25">
        <f ca="1">IFERROR(__xludf.DUMMYFUNCTION("""COMPUTED_VALUE"""),44)</f>
        <v>44</v>
      </c>
      <c r="L1620" s="62">
        <f ca="1">IFERROR(__xludf.DUMMYFUNCTION("""COMPUTED_VALUE"""),44895)</f>
        <v>44895</v>
      </c>
      <c r="M1620" s="25" t="str">
        <f ca="1">IFERROR(__xludf.DUMMYFUNCTION("""COMPUTED_VALUE"""),"El gobierno nacional informó que el delagado para la Región Metropolitana es la Ministra de Vivienda.")</f>
        <v>El gobierno nacional informó que el delagado para la Región Metropolitana es la Ministra de Vivienda.</v>
      </c>
      <c r="N1620" s="55">
        <f ca="1">IFERROR(__xludf.DUMMYFUNCTION("""COMPUTED_VALUE"""),44910)</f>
        <v>44910</v>
      </c>
      <c r="O1620" s="25" t="str">
        <f t="shared" ca="1" si="0"/>
        <v>Secretaría Distrital de Gobierno</v>
      </c>
      <c r="P1620" s="25" t="str">
        <f t="shared" si="2"/>
        <v/>
      </c>
      <c r="Q1620" s="25" t="str">
        <f ca="1">IFERROR(__xludf.DUMMYFUNCTION("""COMPUTED_VALUE"""),"Corto plazo")</f>
        <v>Corto plazo</v>
      </c>
      <c r="R1620" s="25"/>
      <c r="S1620" s="55"/>
      <c r="T1620" s="56"/>
      <c r="U1620" s="25"/>
      <c r="V1620" s="25"/>
      <c r="W1620" s="25"/>
      <c r="X1620" s="25"/>
      <c r="Y1620" s="25"/>
      <c r="Z1620" s="25"/>
    </row>
    <row r="1621" spans="1:26" ht="52.5" customHeight="1" x14ac:dyDescent="0.25">
      <c r="A1621" s="25" t="str">
        <f ca="1">IFERROR(__xludf.DUMMYFUNCTION("""COMPUTED_VALUE"""),"Gobie119")</f>
        <v>Gobie119</v>
      </c>
      <c r="B1621" s="25" t="str">
        <f ca="1">IFERROR(__xludf.DUMMYFUNCTION("""COMPUTED_VALUE"""),"Reunión Región Metropolitana")</f>
        <v>Reunión Región Metropolitana</v>
      </c>
      <c r="C1621" s="55">
        <f ca="1">IFERROR(__xludf.DUMMYFUNCTION("""COMPUTED_VALUE"""),44866)</f>
        <v>44866</v>
      </c>
      <c r="D1621" s="25" t="str">
        <f ca="1">IFERROR(__xludf.DUMMYFUNCTION("""COMPUTED_VALUE"""),"Gobierno")</f>
        <v>Gobierno</v>
      </c>
      <c r="E1621" s="25" t="str">
        <f ca="1">IFERROR(__xludf.DUMMYFUNCTION("""COMPUTED_VALUE"""),"Secretaría Distrital de Gobierno")</f>
        <v>Secretaría Distrital de Gobierno</v>
      </c>
      <c r="F1621" s="25" t="str">
        <f ca="1">IFERROR(__xludf.DUMMYFUNCTION("""COMPUTED_VALUE"""),"Enviar a Alcaldía el cronograma para iniciar el proceso de vinculación de los municipios, iniciando con las áreas temáticas de Movilidad y Abastecimiento")</f>
        <v>Enviar a Alcaldía el cronograma para iniciar el proceso de vinculación de los municipios, iniciando con las áreas temáticas de Movilidad y Abastecimiento</v>
      </c>
      <c r="G1621" s="25" t="str">
        <f ca="1">IFERROR(__xludf.DUMMYFUNCTION("""COMPUTED_VALUE"""),"99. Distrito")</f>
        <v>99. Distrito</v>
      </c>
      <c r="H1621" s="55">
        <f ca="1">IFERROR(__xludf.DUMMYFUNCTION("""COMPUTED_VALUE"""),44910)</f>
        <v>44910</v>
      </c>
      <c r="I1621" s="25"/>
      <c r="J1621" s="55" t="str">
        <f ca="1">IFERROR(__xludf.DUMMYFUNCTION("""COMPUTED_VALUE"""),"Alta")</f>
        <v>Alta</v>
      </c>
      <c r="K1621" s="25">
        <f ca="1">IFERROR(__xludf.DUMMYFUNCTION("""COMPUTED_VALUE"""),44)</f>
        <v>44</v>
      </c>
      <c r="L1621" s="62">
        <f ca="1">IFERROR(__xludf.DUMMYFUNCTION("""COMPUTED_VALUE"""),44950)</f>
        <v>44950</v>
      </c>
      <c r="M1621" s="25" t="str">
        <f ca="1">IFERROR(__xludf.DUMMYFUNCTION("""COMPUTED_VALUE"""),"Se realizó en la primera sesión, el pasado 20 de diciembre de 2022")</f>
        <v>Se realizó en la primera sesión, el pasado 20 de diciembre de 2022</v>
      </c>
      <c r="N1621" s="55">
        <f ca="1">IFERROR(__xludf.DUMMYFUNCTION("""COMPUTED_VALUE"""),44915)</f>
        <v>44915</v>
      </c>
      <c r="O1621" s="25" t="str">
        <f t="shared" ca="1" si="0"/>
        <v>Secretaría Distrital de Gobierno</v>
      </c>
      <c r="P1621" s="25" t="str">
        <f t="shared" si="2"/>
        <v/>
      </c>
      <c r="Q1621" s="25" t="str">
        <f ca="1">IFERROR(__xludf.DUMMYFUNCTION("""COMPUTED_VALUE"""),"Corto plazo")</f>
        <v>Corto plazo</v>
      </c>
      <c r="R1621" s="25"/>
      <c r="S1621" s="55"/>
      <c r="T1621" s="56"/>
      <c r="U1621" s="25"/>
      <c r="V1621" s="25"/>
      <c r="W1621" s="25"/>
      <c r="X1621" s="25"/>
      <c r="Y1621" s="25"/>
      <c r="Z1621" s="25"/>
    </row>
    <row r="1622" spans="1:26" ht="52.5" customHeight="1" x14ac:dyDescent="0.25">
      <c r="A1622" s="25" t="str">
        <f ca="1">IFERROR(__xludf.DUMMYFUNCTION("""COMPUTED_VALUE"""),"Gobie120")</f>
        <v>Gobie120</v>
      </c>
      <c r="B1622" s="25" t="str">
        <f ca="1">IFERROR(__xludf.DUMMYFUNCTION("""COMPUTED_VALUE"""),"Reunión Región Metropolitana")</f>
        <v>Reunión Región Metropolitana</v>
      </c>
      <c r="C1622" s="55">
        <f ca="1">IFERROR(__xludf.DUMMYFUNCTION("""COMPUTED_VALUE"""),44866)</f>
        <v>44866</v>
      </c>
      <c r="D1622" s="25" t="str">
        <f ca="1">IFERROR(__xludf.DUMMYFUNCTION("""COMPUTED_VALUE"""),"Gobierno")</f>
        <v>Gobierno</v>
      </c>
      <c r="E1622" s="25" t="str">
        <f ca="1">IFERROR(__xludf.DUMMYFUNCTION("""COMPUTED_VALUE"""),"Secretaría Distrital de Gobierno")</f>
        <v>Secretaría Distrital de Gobierno</v>
      </c>
      <c r="F1622" s="25" t="str">
        <f ca="1">IFERROR(__xludf.DUMMYFUNCTION("""COMPUTED_VALUE"""),"Finalizar la elaboración de los Estatutos de la Región Metropolitana y concertar con la Gobernación de Cundinamarca su estructura y contenido")</f>
        <v>Finalizar la elaboración de los Estatutos de la Región Metropolitana y concertar con la Gobernación de Cundinamarca su estructura y contenido</v>
      </c>
      <c r="G1622" s="25" t="str">
        <f ca="1">IFERROR(__xludf.DUMMYFUNCTION("""COMPUTED_VALUE"""),"99. Distrito")</f>
        <v>99. Distrito</v>
      </c>
      <c r="H1622" s="55">
        <f ca="1">IFERROR(__xludf.DUMMYFUNCTION("""COMPUTED_VALUE"""),44910)</f>
        <v>44910</v>
      </c>
      <c r="I1622" s="25"/>
      <c r="J1622" s="55" t="str">
        <f ca="1">IFERROR(__xludf.DUMMYFUNCTION("""COMPUTED_VALUE"""),"Alta")</f>
        <v>Alta</v>
      </c>
      <c r="K1622" s="25">
        <f ca="1">IFERROR(__xludf.DUMMYFUNCTION("""COMPUTED_VALUE"""),44)</f>
        <v>44</v>
      </c>
      <c r="L1622" s="62">
        <f ca="1">IFERROR(__xludf.DUMMYFUNCTION("""COMPUTED_VALUE"""),44950)</f>
        <v>44950</v>
      </c>
      <c r="M1622" s="25" t="str">
        <f ca="1">IFERROR(__xludf.DUMMYFUNCTION("""COMPUTED_VALUE"""),"Se finalizaron y adoptaron los Estatutos de la Región Metropolitana el 20 de diciembre")</f>
        <v>Se finalizaron y adoptaron los Estatutos de la Región Metropolitana el 20 de diciembre</v>
      </c>
      <c r="N1622" s="55">
        <f ca="1">IFERROR(__xludf.DUMMYFUNCTION("""COMPUTED_VALUE"""),44915)</f>
        <v>44915</v>
      </c>
      <c r="O1622" s="25" t="str">
        <f t="shared" ca="1" si="0"/>
        <v>Secretaría Distrital de Gobierno</v>
      </c>
      <c r="P1622" s="25" t="str">
        <f t="shared" si="2"/>
        <v/>
      </c>
      <c r="Q1622" s="25" t="str">
        <f ca="1">IFERROR(__xludf.DUMMYFUNCTION("""COMPUTED_VALUE"""),"Corto plazo")</f>
        <v>Corto plazo</v>
      </c>
      <c r="R1622" s="25"/>
      <c r="S1622" s="55"/>
      <c r="T1622" s="56"/>
      <c r="U1622" s="25"/>
      <c r="V1622" s="25"/>
      <c r="W1622" s="25"/>
      <c r="X1622" s="25"/>
      <c r="Y1622" s="25"/>
      <c r="Z1622" s="25"/>
    </row>
    <row r="1623" spans="1:26" ht="52.5" customHeight="1" x14ac:dyDescent="0.25">
      <c r="A1623" s="25" t="str">
        <f ca="1">IFERROR(__xludf.DUMMYFUNCTION("""COMPUTED_VALUE"""),"Gobie121")</f>
        <v>Gobie121</v>
      </c>
      <c r="B1623" s="25" t="str">
        <f ca="1">IFERROR(__xludf.DUMMYFUNCTION("""COMPUTED_VALUE"""),"Prendida de velas")</f>
        <v>Prendida de velas</v>
      </c>
      <c r="C1623" s="55">
        <f ca="1">IFERROR(__xludf.DUMMYFUNCTION("""COMPUTED_VALUE"""),44902)</f>
        <v>44902</v>
      </c>
      <c r="D1623" s="25" t="str">
        <f ca="1">IFERROR(__xludf.DUMMYFUNCTION("""COMPUTED_VALUE"""),"Gobierno")</f>
        <v>Gobierno</v>
      </c>
      <c r="E1623" s="25" t="str">
        <f ca="1">IFERROR(__xludf.DUMMYFUNCTION("""COMPUTED_VALUE"""),"Alcaldía Local")</f>
        <v>Alcaldía Local</v>
      </c>
      <c r="F1623" s="25" t="str">
        <f ca="1">IFERROR(__xludf.DUMMYFUNCTION("""COMPUTED_VALUE"""),"A la biblioteca del Castillo de las Artes aumentar el número de libros")</f>
        <v>A la biblioteca del Castillo de las Artes aumentar el número de libros</v>
      </c>
      <c r="G1623" s="55" t="str">
        <f ca="1">IFERROR(__xludf.DUMMYFUNCTION("""COMPUTED_VALUE"""),"14. Martires")</f>
        <v>14. Martires</v>
      </c>
      <c r="H1623" s="55">
        <f ca="1">IFERROR(__xludf.DUMMYFUNCTION("""COMPUTED_VALUE"""),45080)</f>
        <v>45080</v>
      </c>
      <c r="I1623" s="25" t="str">
        <f ca="1">IFERROR(__xludf.DUMMYFUNCTION("""COMPUTED_VALUE"""),"Secretaría Privada")</f>
        <v>Secretaría Privada</v>
      </c>
      <c r="J1623" s="55" t="str">
        <f ca="1">IFERROR(__xludf.DUMMYFUNCTION("""COMPUTED_VALUE"""),"Media")</f>
        <v>Media</v>
      </c>
      <c r="K1623" s="25">
        <f ca="1">IFERROR(__xludf.DUMMYFUNCTION("""COMPUTED_VALUE"""),178)</f>
        <v>178</v>
      </c>
      <c r="L1623" s="62">
        <f ca="1">IFERROR(__xludf.DUMMYFUNCTION("""COMPUTED_VALUE"""),45052)</f>
        <v>45052</v>
      </c>
      <c r="M1623" s="66" t="str">
        <f ca="1">IFERROR(__xludf.DUMMYFUNCTION("""COMPUTED_VALUE"""),"09 DE MARZO DE 2023 - Se realizó pieza publicitaria para convocar a los colaboradores y toda la comunidad martirense para realizar entrega de elementos/libros en la Alcaldia Local el proximo 16 de Marzo de 2023.
29/03/2023: Se está en el proceso de recep"&amp;"ción de donaciones
REPORTE 18 DE ABRIL DE 2023: Se tiene punto habilitado en la Alcaldía para que la comunidad, servidores y contratistas entreguen los insumos solicitados / Estamos en la recolección de materiales para poder entregar satisfactoriamente.
"&amp;"Se adjunta evidencia: https://gobiernobogota.sharepoint.com/:b:/s/DGDL/Ec_uk1A9Or1Ev7nu28vAETMBQ_aRj1bvSi-m_QgwCVLMSg?e=Xdqg4j
10 de mayo: El proceso de donaciones inició el 14 de abril está abierto por dos meses, por lo que se tiene programado para la e"&amp;"ntrega en el segundo semestre
REPORTE 05 DE JUNIO DE 2023: Se realizó entrega satisfactoria el dia viernes 02 de Junio en las horas de la tarde, se entregaron 3 cajas de libros. 
Se anexa foto de entrega por parte del Alcalde Local: https://gobiernobogot"&amp;"a.sharepoint.com/:b:/s/DGDL/Eat7cP_VzGlDhmtA81doIQEBtfV78i7FnzgiPb5Eovay9Q?e=Zo5uKW")</f>
        <v>09 DE MARZO DE 2023 - Se realizó pieza publicitaria para convocar a los colaboradores y toda la comunidad martirense para realizar entrega de elementos/libros en la Alcaldia Local el proximo 16 de Marzo de 2023.
29/03/2023: Se está en el proceso de recepción de donaciones
REPORTE 18 DE ABRIL DE 2023: Se tiene punto habilitado en la Alcaldía para que la comunidad, servidores y contratistas entreguen los insumos solicitados / Estamos en la recolección de materiales para poder entregar satisfactoriamente.
Se adjunta evidencia: https://gobiernobogota.sharepoint.com/:b:/s/DGDL/Ec_uk1A9Or1Ev7nu28vAETMBQ_aRj1bvSi-m_QgwCVLMSg?e=Xdqg4j
10 de mayo: El proceso de donaciones inició el 14 de abril está abierto por dos meses, por lo que se tiene programado para la entrega en el segundo semestre
REPORTE 05 DE JUNIO DE 2023: Se realizó entrega satisfactoria el dia viernes 02 de Junio en las horas de la tarde, se entregaron 3 cajas de libros. 
Se anexa foto de entrega por parte del Alcalde Local: https://gobiernobogota.sharepoint.com/:b:/s/DGDL/Eat7cP_VzGlDhmtA81doIQEBtfV78i7FnzgiPb5Eovay9Q?e=Zo5uKW</v>
      </c>
      <c r="N1623" s="25"/>
      <c r="O1623" s="25" t="str">
        <f t="shared" ca="1" si="0"/>
        <v>Alcaldía Local</v>
      </c>
      <c r="P1623" s="25" t="str">
        <f t="shared" ca="1" si="2"/>
        <v/>
      </c>
      <c r="Q1623" s="25" t="str">
        <f ca="1">IFERROR(__xludf.DUMMYFUNCTION("""COMPUTED_VALUE"""),"Mediano plazo")</f>
        <v>Mediano plazo</v>
      </c>
      <c r="R1623" s="25"/>
      <c r="S1623" s="55"/>
      <c r="T1623" s="56"/>
      <c r="U1623" s="25"/>
      <c r="V1623" s="25"/>
      <c r="W1623" s="25"/>
      <c r="X1623" s="25"/>
      <c r="Y1623" s="25"/>
      <c r="Z1623" s="25"/>
    </row>
    <row r="1624" spans="1:26" ht="52.5" customHeight="1" x14ac:dyDescent="0.25">
      <c r="A1624" s="25" t="str">
        <f ca="1">IFERROR(__xludf.DUMMYFUNCTION("""COMPUTED_VALUE"""),"Gobie122")</f>
        <v>Gobie122</v>
      </c>
      <c r="B1624" s="25"/>
      <c r="C1624" s="55"/>
      <c r="D1624" s="25" t="str">
        <f ca="1">IFERROR(__xludf.DUMMYFUNCTION("""COMPUTED_VALUE"""),"Gobierno")</f>
        <v>Gobierno</v>
      </c>
      <c r="E1624" s="25" t="str">
        <f ca="1">IFERROR(__xludf.DUMMYFUNCTION("""COMPUTED_VALUE"""),"Departamento Administrativo de la Defensoría del Espacio Público")</f>
        <v>Departamento Administrativo de la Defensoría del Espacio Público</v>
      </c>
      <c r="F1624" s="25" t="str">
        <f ca="1">IFERROR(__xludf.DUMMYFUNCTION("""COMPUTED_VALUE"""),"Eliminada")</f>
        <v>Eliminada</v>
      </c>
      <c r="G1624" s="25"/>
      <c r="H1624" s="25"/>
      <c r="I1624" s="25"/>
      <c r="J1624" s="55"/>
      <c r="K1624" s="25" t="str">
        <f ca="1">IFERROR(__xludf.DUMMYFUNCTION("""COMPUTED_VALUE"""),"Definir fecha")</f>
        <v>Definir fecha</v>
      </c>
      <c r="L1624" s="62"/>
      <c r="M1624" s="25"/>
      <c r="N1624" s="25"/>
      <c r="O1624" s="25" t="str">
        <f t="shared" ca="1" si="0"/>
        <v>Departamento Administrativo de la Defensoría del Espacio Público</v>
      </c>
      <c r="P1624" s="25" t="str">
        <f t="shared" si="2"/>
        <v/>
      </c>
      <c r="Q1624" s="25" t="str">
        <f ca="1">IFERROR(__xludf.DUMMYFUNCTION("""COMPUTED_VALUE"""),"Sin defenir")</f>
        <v>Sin defenir</v>
      </c>
      <c r="R1624" s="25"/>
      <c r="S1624" s="55"/>
      <c r="T1624" s="56"/>
      <c r="U1624" s="25"/>
      <c r="V1624" s="25"/>
      <c r="W1624" s="25"/>
      <c r="X1624" s="25"/>
      <c r="Y1624" s="25"/>
      <c r="Z1624" s="25"/>
    </row>
    <row r="1625" spans="1:26" ht="52.5" customHeight="1" x14ac:dyDescent="0.25">
      <c r="A1625" s="25" t="str">
        <f ca="1">IFERROR(__xludf.DUMMYFUNCTION("""COMPUTED_VALUE"""),"Gobie123")</f>
        <v>Gobie123</v>
      </c>
      <c r="B1625" s="25" t="str">
        <f ca="1">IFERROR(__xludf.DUMMYFUNCTION("""COMPUTED_VALUE"""),"Comisión consultiva de afros, negritudes y palenqueras")</f>
        <v>Comisión consultiva de afros, negritudes y palenqueras</v>
      </c>
      <c r="C1625" s="55">
        <f ca="1">IFERROR(__xludf.DUMMYFUNCTION("""COMPUTED_VALUE"""),44712)</f>
        <v>44712</v>
      </c>
      <c r="D1625" s="25" t="str">
        <f ca="1">IFERROR(__xludf.DUMMYFUNCTION("""COMPUTED_VALUE"""),"Gobierno")</f>
        <v>Gobierno</v>
      </c>
      <c r="E1625" s="25" t="str">
        <f ca="1">IFERROR(__xludf.DUMMYFUNCTION("""COMPUTED_VALUE"""),"Secretaría Distrital de Gobierno")</f>
        <v>Secretaría Distrital de Gobierno</v>
      </c>
      <c r="F1625" s="25" t="str">
        <f ca="1">IFERROR(__xludf.DUMMYFUNCTION("""COMPUTED_VALUE"""),"Ejercicio de transversalización (en octubre va a estar creada la dirección): nombrar desde julio quien va a ser el director y que vaya al consejo de gobierno de julio")</f>
        <v>Ejercicio de transversalización (en octubre va a estar creada la dirección): nombrar desde julio quien va a ser el director y que vaya al consejo de gobierno de julio</v>
      </c>
      <c r="G1625" s="25" t="str">
        <f ca="1">IFERROR(__xludf.DUMMYFUNCTION("""COMPUTED_VALUE"""),"99. Distrito")</f>
        <v>99. Distrito</v>
      </c>
      <c r="H1625" s="55">
        <f ca="1">IFERROR(__xludf.DUMMYFUNCTION("""COMPUTED_VALUE"""),44866)</f>
        <v>44866</v>
      </c>
      <c r="I1625" s="25"/>
      <c r="J1625" s="55" t="str">
        <f ca="1">IFERROR(__xludf.DUMMYFUNCTION("""COMPUTED_VALUE"""),"Media")</f>
        <v>Media</v>
      </c>
      <c r="K1625" s="25">
        <f ca="1">IFERROR(__xludf.DUMMYFUNCTION("""COMPUTED_VALUE"""),154)</f>
        <v>154</v>
      </c>
      <c r="L1625" s="62">
        <f ca="1">IFERROR(__xludf.DUMMYFUNCTION("""COMPUTED_VALUE"""),44946)</f>
        <v>44946</v>
      </c>
      <c r="M1625" s="25" t="str">
        <f ca="1">IFERROR(__xludf.DUMMYFUNCTION("""COMPUTED_VALUE"""),"Proceso creación de la DAE:
1. Se radicó paquete de de documentos ante la Secretaría Distrital de Hacienda, desde la Dirección de Gestión de Talento Humano, la caul emitió concepto favorable.
2. Radicación ante al Secretaría Jurídica Distrital referente a"&amp;"l Decreto de modificación de la estructura organica y la consecuente creación de la Dirección de Asuntos Étnicos. 
3. Se encuentre pendiente revisión de los actos administrativos por parte de la Secretaría Jurídica Distrital, lo anterior, para la posterio"&amp;"r firmar de la Alcaldesa.")</f>
        <v>Proceso creación de la DAE:
1. Se radicó paquete de de documentos ante la Secretaría Distrital de Hacienda, desde la Dirección de Gestión de Talento Humano, la caul emitió concepto favorable.
2. Radicación ante al Secretaría Jurídica Distrital referente al Decreto de modificación de la estructura organica y la consecuente creación de la Dirección de Asuntos Étnicos. 
3. Se encuentre pendiente revisión de los actos administrativos por parte de la Secretaría Jurídica Distrital, lo anterior, para la posterior firmar de la Alcaldesa.</v>
      </c>
      <c r="N1625" s="55">
        <f ca="1">IFERROR(__xludf.DUMMYFUNCTION("""COMPUTED_VALUE"""),44967)</f>
        <v>44967</v>
      </c>
      <c r="O1625" s="25" t="str">
        <f t="shared" ca="1" si="0"/>
        <v>Secretaría Distrital de Gobierno</v>
      </c>
      <c r="P1625" s="25" t="str">
        <f t="shared" si="2"/>
        <v/>
      </c>
      <c r="Q1625" s="25" t="str">
        <f ca="1">IFERROR(__xludf.DUMMYFUNCTION("""COMPUTED_VALUE"""),"Mediano plazo")</f>
        <v>Mediano plazo</v>
      </c>
      <c r="R1625" s="25"/>
      <c r="S1625" s="55"/>
      <c r="T1625" s="56"/>
      <c r="U1625" s="25"/>
      <c r="V1625" s="25"/>
      <c r="W1625" s="25"/>
      <c r="X1625" s="25"/>
      <c r="Y1625" s="25"/>
      <c r="Z1625" s="25"/>
    </row>
    <row r="1626" spans="1:26" ht="52.5" customHeight="1" x14ac:dyDescent="0.25">
      <c r="A1626" s="25" t="str">
        <f ca="1">IFERROR(__xludf.DUMMYFUNCTION("""COMPUTED_VALUE"""),"Gobie124")</f>
        <v>Gobie124</v>
      </c>
      <c r="B1626" s="25" t="str">
        <f ca="1">IFERROR(__xludf.DUMMYFUNCTION("""COMPUTED_VALUE"""),"Comisión consultiva de afros, negritudes y palenqueras")</f>
        <v>Comisión consultiva de afros, negritudes y palenqueras</v>
      </c>
      <c r="C1626" s="55">
        <f ca="1">IFERROR(__xludf.DUMMYFUNCTION("""COMPUTED_VALUE"""),44712)</f>
        <v>44712</v>
      </c>
      <c r="D1626" s="25" t="str">
        <f ca="1">IFERROR(__xludf.DUMMYFUNCTION("""COMPUTED_VALUE"""),"Gobierno")</f>
        <v>Gobierno</v>
      </c>
      <c r="E1626" s="25" t="str">
        <f ca="1">IFERROR(__xludf.DUMMYFUNCTION("""COMPUTED_VALUE"""),"Secretaría Distrital de Gobierno")</f>
        <v>Secretaría Distrital de Gobierno</v>
      </c>
      <c r="F1626" s="25" t="str">
        <f ca="1">IFERROR(__xludf.DUMMYFUNCTION("""COMPUTED_VALUE"""),"Tener un trazador presupuestal de grupos étnicos")</f>
        <v>Tener un trazador presupuestal de grupos étnicos</v>
      </c>
      <c r="G1626" s="25" t="str">
        <f ca="1">IFERROR(__xludf.DUMMYFUNCTION("""COMPUTED_VALUE"""),"99. Distrito")</f>
        <v>99. Distrito</v>
      </c>
      <c r="H1626" s="55">
        <f ca="1">IFERROR(__xludf.DUMMYFUNCTION("""COMPUTED_VALUE"""),44910)</f>
        <v>44910</v>
      </c>
      <c r="I1626" s="25"/>
      <c r="J1626" s="55" t="str">
        <f ca="1">IFERROR(__xludf.DUMMYFUNCTION("""COMPUTED_VALUE"""),"Baja")</f>
        <v>Baja</v>
      </c>
      <c r="K1626" s="25">
        <f ca="1">IFERROR(__xludf.DUMMYFUNCTION("""COMPUTED_VALUE"""),198)</f>
        <v>198</v>
      </c>
      <c r="L1626" s="62">
        <f ca="1">IFERROR(__xludf.DUMMYFUNCTION("""COMPUTED_VALUE"""),44895)</f>
        <v>44895</v>
      </c>
      <c r="M1626" s="25" t="str">
        <f ca="1">IFERROR(__xludf.DUMMYFUNCTION("""COMPUTED_VALUE"""),"La guía metodológica del Trazador Presupuestal de Grupos Étnicos fue diseñada y socializada en diciembre de 2021, y se encuentra publicada en la página de la Secretaría Distrital de Planeación. Actualmente, las Secretarías de Gobierno, Planeación y Hacien"&amp;"da se encuentran diseñando un isntrumento que permita la marcación presupuestal específica para cada grupo étnico, ya que con las herramientas de seguimiento presupuestales no se puede obtener esta especificidad.  
Para la creación de la Dae, se firmó con"&amp;"trato de consultoría, a través de la modalidad de concurso de méritos, luego de  la evaluación técnica y financiera, el ganador del proceso fue la firma consultora Epyca Consultores S.A.S. Para este proceso el plazo de ejecución  del estudio de cargas, se"&amp;" estipuló de 3 meses contados a partir del acta de inicio. Se firmó contrato el 21 de julio . Igualmente,  se realizó un ejercicio propio por parte de la consultiva en donde desde su autonomía se radicó la hoja de vida seleccionada para el ejercicio de la"&amp;" DAE.
El 24 de agosto, se realizó reunión presencial en el DASCD con el contratista Epyca Consultores S.A.S., la Directora de Gestión de Talento Humano, el Subsecretario para la Gobernabilidad y Garantía de los Derechos y el Subdirector de Asuntos Étnicos"&amp;"; lo anterior,  en el marco de la ejecución del contrato 1075 de 2022, para el estudio de cargas laborales que rediseñe la Subdirección a  Dirección de Asuntos Étnicos. Se realizó presentación ante DASCD de los avances y propuestas por parte de la consult"&amp;"oría, con el compromiso de la consultoría, de radicar documento técnico de justificación, el 30 de septiembre.")</f>
        <v>La guía metodológica del Trazador Presupuestal de Grupos Étnicos fue diseñada y socializada en diciembre de 2021, y se encuentra publicada en la página de la Secretaría Distrital de Planeación. Actualmente, las Secretarías de Gobierno, Planeación y Hacienda se encuentran diseñando un isntrumento que permita la marcación presupuestal específica para cada grupo étnico, ya que con las herramientas de seguimiento presupuestales no se puede obtener esta especificidad.  
Para la creación de la Dae, se firmó contrato de consultoría, a través de la modalidad de concurso de méritos, luego de  la evaluación técnica y financiera, el ganador del proceso fue la firma consultora Epyca Consultores S.A.S. Para este proceso el plazo de ejecución  del estudio de cargas, se estipuló de 3 meses contados a partir del acta de inicio. Se firmó contrato el 21 de julio . Igualmente,  se realizó un ejercicio propio por parte de la consultiva en donde desde su autonomía se radicó la hoja de vida seleccionada para el ejercicio de la DAE.
El 24 de agosto, se realizó reunión presencial en el DASCD con el contratista Epyca Consultores S.A.S., la Directora de Gestión de Talento Humano, el Subsecretario para la Gobernabilidad y Garantía de los Derechos y el Subdirector de Asuntos Étnicos; lo anterior,  en el marco de la ejecución del contrato 1075 de 2022, para el estudio de cargas laborales que rediseñe la Subdirección a  Dirección de Asuntos Étnicos. Se realizó presentación ante DASCD de los avances y propuestas por parte de la consultoría, con el compromiso de la consultoría, de radicar documento técnico de justificación, el 30 de septiembre.</v>
      </c>
      <c r="N1626" s="55">
        <f ca="1">IFERROR(__xludf.DUMMYFUNCTION("""COMPUTED_VALUE"""),44526)</f>
        <v>44526</v>
      </c>
      <c r="O1626" s="25" t="str">
        <f t="shared" ca="1" si="0"/>
        <v>Secretaría Distrital de Gobierno</v>
      </c>
      <c r="P1626" s="25" t="str">
        <f t="shared" si="2"/>
        <v/>
      </c>
      <c r="Q1626" s="25" t="str">
        <f ca="1">IFERROR(__xludf.DUMMYFUNCTION("""COMPUTED_VALUE"""),"Largo plazo")</f>
        <v>Largo plazo</v>
      </c>
      <c r="R1626" s="25"/>
      <c r="S1626" s="55"/>
      <c r="T1626" s="56"/>
      <c r="U1626" s="25"/>
      <c r="V1626" s="25"/>
      <c r="W1626" s="25"/>
      <c r="X1626" s="25"/>
      <c r="Y1626" s="25"/>
      <c r="Z1626" s="25"/>
    </row>
    <row r="1627" spans="1:26" ht="52.5" customHeight="1" x14ac:dyDescent="0.25">
      <c r="A1627" s="25" t="str">
        <f ca="1">IFERROR(__xludf.DUMMYFUNCTION("""COMPUTED_VALUE"""),"Gobie125")</f>
        <v>Gobie125</v>
      </c>
      <c r="B1627" s="25"/>
      <c r="C1627" s="55"/>
      <c r="D1627" s="25" t="str">
        <f ca="1">IFERROR(__xludf.DUMMYFUNCTION("""COMPUTED_VALUE"""),"Gobierno")</f>
        <v>Gobierno</v>
      </c>
      <c r="E1627" s="25" t="str">
        <f ca="1">IFERROR(__xludf.DUMMYFUNCTION("""COMPUTED_VALUE"""),"Instituto Distrital de la Participación y Acción Comunal")</f>
        <v>Instituto Distrital de la Participación y Acción Comunal</v>
      </c>
      <c r="F1627" s="25" t="str">
        <f ca="1">IFERROR(__xludf.DUMMYFUNCTION("""COMPUTED_VALUE"""),"Eliminada")</f>
        <v>Eliminada</v>
      </c>
      <c r="G1627" s="25"/>
      <c r="H1627" s="25"/>
      <c r="I1627" s="25"/>
      <c r="J1627" s="55"/>
      <c r="K1627" s="25" t="str">
        <f ca="1">IFERROR(__xludf.DUMMYFUNCTION("""COMPUTED_VALUE"""),"Definir fecha")</f>
        <v>Definir fecha</v>
      </c>
      <c r="L1627" s="62"/>
      <c r="M1627" s="25"/>
      <c r="N1627" s="25"/>
      <c r="O1627" s="25" t="str">
        <f t="shared" ca="1" si="0"/>
        <v>Instituto Distrital de la Participación y Acción Comunal</v>
      </c>
      <c r="P1627" s="25" t="str">
        <f t="shared" si="2"/>
        <v/>
      </c>
      <c r="Q1627" s="25" t="str">
        <f ca="1">IFERROR(__xludf.DUMMYFUNCTION("""COMPUTED_VALUE"""),"Sin defenir")</f>
        <v>Sin defenir</v>
      </c>
      <c r="R1627" s="25"/>
      <c r="S1627" s="55"/>
      <c r="T1627" s="56"/>
      <c r="U1627" s="25"/>
      <c r="V1627" s="25"/>
      <c r="W1627" s="25"/>
      <c r="X1627" s="25"/>
      <c r="Y1627" s="25"/>
      <c r="Z1627" s="25"/>
    </row>
    <row r="1628" spans="1:26" ht="52.5" customHeight="1" x14ac:dyDescent="0.25">
      <c r="A1628" s="25" t="str">
        <f ca="1">IFERROR(__xludf.DUMMYFUNCTION("""COMPUTED_VALUE"""),"Gobie126")</f>
        <v>Gobie126</v>
      </c>
      <c r="B1628" s="25" t="str">
        <f ca="1">IFERROR(__xludf.DUMMYFUNCTION("""COMPUTED_VALUE"""),"Revisión Ola Invernal")</f>
        <v>Revisión Ola Invernal</v>
      </c>
      <c r="C1628" s="55">
        <f ca="1">IFERROR(__xludf.DUMMYFUNCTION("""COMPUTED_VALUE"""),44945)</f>
        <v>44945</v>
      </c>
      <c r="D1628" s="25" t="str">
        <f ca="1">IFERROR(__xludf.DUMMYFUNCTION("""COMPUTED_VALUE"""),"Gobierno")</f>
        <v>Gobierno</v>
      </c>
      <c r="E1628" s="25" t="str">
        <f ca="1">IFERROR(__xludf.DUMMYFUNCTION("""COMPUTED_VALUE"""),"Alcaldía Local")</f>
        <v>Alcaldía Local</v>
      </c>
      <c r="F1628" s="25" t="str">
        <f ca="1">IFERROR(__xludf.DUMMYFUNCTION("""COMPUTED_VALUE"""),"No hacer reforestación en el talud de la vía arboreto (Camino al Meta), sólo mantenimiento a la vía (reparcheo, barrera de protección, señalización, iluminación) hasta que se tenga una evaluación de riesgo. Garantizar que todas las señales queden bien pue"&amp;"stas.")</f>
        <v>No hacer reforestación en el talud de la vía arboreto (Camino al Meta), sólo mantenimiento a la vía (reparcheo, barrera de protección, señalización, iluminación) hasta que se tenga una evaluación de riesgo. Garantizar que todas las señales queden bien puestas.</v>
      </c>
      <c r="G1628" s="25" t="str">
        <f ca="1">IFERROR(__xludf.DUMMYFUNCTION("""COMPUTED_VALUE"""),"99. Distrito")</f>
        <v>99. Distrito</v>
      </c>
      <c r="H1628" s="55">
        <f ca="1">IFERROR(__xludf.DUMMYFUNCTION("""COMPUTED_VALUE"""),45049)</f>
        <v>45049</v>
      </c>
      <c r="I1628" s="25" t="str">
        <f ca="1">IFERROR(__xludf.DUMMYFUNCTION("""COMPUTED_VALUE"""),"Delivery Unit")</f>
        <v>Delivery Unit</v>
      </c>
      <c r="J1628" s="55" t="str">
        <f ca="1">IFERROR(__xludf.DUMMYFUNCTION("""COMPUTED_VALUE"""),"Alta")</f>
        <v>Alta</v>
      </c>
      <c r="K1628" s="25">
        <f ca="1">IFERROR(__xludf.DUMMYFUNCTION("""COMPUTED_VALUE"""),104)</f>
        <v>104</v>
      </c>
      <c r="L1628" s="62">
        <f ca="1">IFERROR(__xludf.DUMMYFUNCTION("""COMPUTED_VALUE"""),45082)</f>
        <v>45082</v>
      </c>
      <c r="M1628" s="25" t="str">
        <f ca="1">IFERROR(__xludf.DUMMYFUNCTION("""COMPUTED_VALUE""")," Reporte 21 febrero 2023: se contempla una mesa de trabajo con el IDU para coordinar el mantenimiento de la vía dado que una parte de ella pertenece a ellos. 
Reporte 24 Marzo 2023  Haciendo las respectiva revision sobre la Via arboreto, se evidencia que"&amp;" la misma está ubicada en el km 6 via la Calera, por ende se esta tratando de localizar al peticionario para que especifique y brinde las coordenadas especificas y así poder dar tramite al compromiso.
10/05/2023: Se ha realizado mantenimiento a la vía, a"&amp;" la espera de confirmación de la alcaldía local sobre la señalización
Reporte 29 mayo 2023 Chapinero: La vía Arboreto, identificada con el Código de Identificación Vial (CIV) 2003053 es una vía rural de escala arterial que comunica el Distrito de Bogotá "&amp;"D.C con el municipio de la Calera. En ese sentido, las actividades de reparcheo, mantenimiento e intervención en el talud en cuestión se encuentra a cargo del Instituto de Desarrollo Urbano  - IDU. Así las cosas, la Alcaldía Local de Chapinero, solicitó a"&amp;" dicha entidad mediante radicado FDLCH 20225220797751 visita de inspección visual a el IDU sobre el segmento en cuestión para que se realizara el diagnóstico y se tomaran las acciones correspondientes. Adicionalmente, revisado el sistema de información ge"&amp;"ográfica SIGIDU se pudo apreciar que dicha entidad tiene reservada la vía bajo el contrato IDU 1742 de 2021, así como los taludes en cuestión están reservados para proceso de licitación por puntos inestables comunicado mediante radicado IDU 20232260159383"&amp;". Razon por la cual, se solicita el cierre de este compromiso. ")</f>
        <v xml:space="preserve"> Reporte 21 febrero 2023: se contempla una mesa de trabajo con el IDU para coordinar el mantenimiento de la vía dado que una parte de ella pertenece a ellos. 
Reporte 24 Marzo 2023  Haciendo las respectiva revision sobre la Via arboreto, se evidencia que la misma está ubicada en el km 6 via la Calera, por ende se esta tratando de localizar al peticionario para que especifique y brinde las coordenadas especificas y así poder dar tramite al compromiso.
10/05/2023: Se ha realizado mantenimiento a la vía, a la espera de confirmación de la alcaldía local sobre la señalización
Reporte 29 mayo 2023 Chapinero: La vía Arboreto, identificada con el Código de Identificación Vial (CIV) 2003053 es una vía rural de escala arterial que comunica el Distrito de Bogotá D.C con el municipio de la Calera. En ese sentido, las actividades de reparcheo, mantenimiento e intervención en el talud en cuestión se encuentra a cargo del Instituto de Desarrollo Urbano  - IDU. Así las cosas, la Alcaldía Local de Chapinero, solicitó a dicha entidad mediante radicado FDLCH 20225220797751 visita de inspección visual a el IDU sobre el segmento en cuestión para que se realizara el diagnóstico y se tomaran las acciones correspondientes. Adicionalmente, revisado el sistema de información geográfica SIGIDU se pudo apreciar que dicha entidad tiene reservada la vía bajo el contrato IDU 1742 de 2021, así como los taludes en cuestión están reservados para proceso de licitación por puntos inestables comunicado mediante radicado IDU 20232260159383. Razon por la cual, se solicita el cierre de este compromiso. </v>
      </c>
      <c r="N1628" s="25"/>
      <c r="O1628" s="25" t="str">
        <f t="shared" ca="1" si="0"/>
        <v>Alcaldía Local</v>
      </c>
      <c r="P1628" s="25" t="str">
        <f t="shared" ca="1" si="2"/>
        <v/>
      </c>
      <c r="Q1628" s="25" t="str">
        <f ca="1">IFERROR(__xludf.DUMMYFUNCTION("""COMPUTED_VALUE"""),"Mediano plazo")</f>
        <v>Mediano plazo</v>
      </c>
      <c r="R1628" s="25"/>
      <c r="S1628" s="55"/>
      <c r="T1628" s="56"/>
      <c r="U1628" s="25"/>
      <c r="V1628" s="25"/>
      <c r="W1628" s="25"/>
      <c r="X1628" s="25"/>
      <c r="Y1628" s="25"/>
      <c r="Z1628" s="25"/>
    </row>
    <row r="1629" spans="1:26" ht="52.5" customHeight="1" x14ac:dyDescent="0.25">
      <c r="A1629" s="25" t="str">
        <f ca="1">IFERROR(__xludf.DUMMYFUNCTION("""COMPUTED_VALUE"""),"Gobie127")</f>
        <v>Gobie127</v>
      </c>
      <c r="B1629" s="25"/>
      <c r="C1629" s="55"/>
      <c r="D1629" s="25" t="str">
        <f ca="1">IFERROR(__xludf.DUMMYFUNCTION("""COMPUTED_VALUE"""),"Gobierno")</f>
        <v>Gobierno</v>
      </c>
      <c r="E1629" s="25" t="str">
        <f ca="1">IFERROR(__xludf.DUMMYFUNCTION("""COMPUTED_VALUE"""),"Alcaldía Local")</f>
        <v>Alcaldía Local</v>
      </c>
      <c r="F1629" s="25" t="str">
        <f ca="1">IFERROR(__xludf.DUMMYFUNCTION("""COMPUTED_VALUE"""),"Eliminada")</f>
        <v>Eliminada</v>
      </c>
      <c r="G1629" s="25"/>
      <c r="H1629" s="25"/>
      <c r="I1629" s="25"/>
      <c r="J1629" s="55"/>
      <c r="K1629" s="25" t="str">
        <f ca="1">IFERROR(__xludf.DUMMYFUNCTION("""COMPUTED_VALUE"""),"Definir fecha")</f>
        <v>Definir fecha</v>
      </c>
      <c r="L1629" s="62"/>
      <c r="M1629" s="25"/>
      <c r="N1629" s="25"/>
      <c r="O1629" s="25" t="str">
        <f t="shared" ca="1" si="0"/>
        <v>Alcaldía Local</v>
      </c>
      <c r="P1629" s="25" t="str">
        <f t="shared" si="2"/>
        <v/>
      </c>
      <c r="Q1629" s="25" t="str">
        <f ca="1">IFERROR(__xludf.DUMMYFUNCTION("""COMPUTED_VALUE"""),"Sin defenir")</f>
        <v>Sin defenir</v>
      </c>
      <c r="R1629" s="25"/>
      <c r="S1629" s="55"/>
      <c r="T1629" s="56"/>
      <c r="U1629" s="25"/>
      <c r="V1629" s="25"/>
      <c r="W1629" s="25"/>
      <c r="X1629" s="25"/>
      <c r="Y1629" s="25"/>
      <c r="Z1629" s="25"/>
    </row>
    <row r="1630" spans="1:26" ht="52.5" customHeight="1" x14ac:dyDescent="0.25">
      <c r="A1630" s="25" t="str">
        <f ca="1">IFERROR(__xludf.DUMMYFUNCTION("""COMPUTED_VALUE"""),"Gobie128")</f>
        <v>Gobie128</v>
      </c>
      <c r="B1630" s="25" t="str">
        <f ca="1">IFERROR(__xludf.DUMMYFUNCTION("""COMPUTED_VALUE"""),"Taller Av. 68")</f>
        <v>Taller Av. 68</v>
      </c>
      <c r="C1630" s="55">
        <f ca="1">IFERROR(__xludf.DUMMYFUNCTION("""COMPUTED_VALUE"""),44427)</f>
        <v>44427</v>
      </c>
      <c r="D1630" s="25" t="str">
        <f ca="1">IFERROR(__xludf.DUMMYFUNCTION("""COMPUTED_VALUE"""),"Gobierno")</f>
        <v>Gobierno</v>
      </c>
      <c r="E1630" s="25" t="str">
        <f ca="1">IFERROR(__xludf.DUMMYFUNCTION("""COMPUTED_VALUE"""),"Departamento Administrativo de la Defensoría del Espacio Público")</f>
        <v>Departamento Administrativo de la Defensoría del Espacio Público</v>
      </c>
      <c r="F1630" s="25" t="str">
        <f ca="1">IFERROR(__xludf.DUMMYFUNCTION("""COMPUTED_VALUE"""),"Hacer un plan de la verificación de cabida y linderos en la unidad deportiva El Salitre")</f>
        <v>Hacer un plan de la verificación de cabida y linderos en la unidad deportiva El Salitre</v>
      </c>
      <c r="G1630" s="25" t="str">
        <f ca="1">IFERROR(__xludf.DUMMYFUNCTION("""COMPUTED_VALUE"""),"99. Distrito")</f>
        <v>99. Distrito</v>
      </c>
      <c r="H1630" s="55">
        <f ca="1">IFERROR(__xludf.DUMMYFUNCTION("""COMPUTED_VALUE"""),44910)</f>
        <v>44910</v>
      </c>
      <c r="I1630" s="25" t="str">
        <f ca="1">IFERROR(__xludf.DUMMYFUNCTION("""COMPUTED_VALUE"""),"Secretaría Privada")</f>
        <v>Secretaría Privada</v>
      </c>
      <c r="J1630" s="55" t="str">
        <f ca="1">IFERROR(__xludf.DUMMYFUNCTION("""COMPUTED_VALUE"""),"Baja")</f>
        <v>Baja</v>
      </c>
      <c r="K1630" s="25">
        <f ca="1">IFERROR(__xludf.DUMMYFUNCTION("""COMPUTED_VALUE"""),483)</f>
        <v>483</v>
      </c>
      <c r="L1630" s="62">
        <f ca="1">IFERROR(__xludf.DUMMYFUNCTION("""COMPUTED_VALUE"""),45082)</f>
        <v>45082</v>
      </c>
      <c r="M1630" s="25" t="str">
        <f ca="1">IFERROR(__xludf.DUMMYFUNCTION("""COMPUTED_VALUE"""),"Realizado la División material por escritura pública 2236 del 09-06-2022 otorgada en la notaria 48 de Bogotá la cual se Registro dando origen a los folios de matrícula inmobiliaria 50C-2145361  lote 1 que corresponde al área del proyecto IDU Transmilenio "&amp;"por la AK 68 y 50C-2145362 lote 2 que corresponde al resto del predio de la Unidad Deportiva el Salitre, el 01 de agosto de 2022 concluyo el trámite de incorporación en el Registro único del patrimonio inmobiliario Distrital correspondiéndoles respectivam"&amp;"ente los RUPIS 1-5107 y 1-5108. Actualmente y continuando con las acciones de Saneamiento para la Unidad Deportiva el Salitre se encuentra elaboración de plano de una parte de la pieza de Bosque Popular en la cual se encuentra la UDS, plano que se requier"&amp;"e para la incorporación en la UAECD la UDS y el lote 1, especialmente porque para el lote 2 se requiere actualizar su cabida y linderos a la realidad física. ")</f>
        <v xml:space="preserve">Realizado la División material por escritura pública 2236 del 09-06-2022 otorgada en la notaria 48 de Bogotá la cual se Registro dando origen a los folios de matrícula inmobiliaria 50C-2145361  lote 1 que corresponde al área del proyecto IDU Transmilenio por la AK 68 y 50C-2145362 lote 2 que corresponde al resto del predio de la Unidad Deportiva el Salitre, el 01 de agosto de 2022 concluyo el trámite de incorporación en el Registro único del patrimonio inmobiliario Distrital correspondiéndoles respectivamente los RUPIS 1-5107 y 1-5108. Actualmente y continuando con las acciones de Saneamiento para la Unidad Deportiva el Salitre se encuentra elaboración de plano de una parte de la pieza de Bosque Popular en la cual se encuentra la UDS, plano que se requiere para la incorporación en la UAECD la UDS y el lote 1, especialmente porque para el lote 2 se requiere actualizar su cabida y linderos a la realidad física. </v>
      </c>
      <c r="N1630" s="25"/>
      <c r="O1630" s="25" t="str">
        <f t="shared" ca="1" si="0"/>
        <v>Departamento Administrativo de la Defensoría del Espacio Público</v>
      </c>
      <c r="P1630" s="25" t="str">
        <f t="shared" ca="1" si="2"/>
        <v/>
      </c>
      <c r="Q1630" s="25" t="str">
        <f ca="1">IFERROR(__xludf.DUMMYFUNCTION("""COMPUTED_VALUE"""),"Largo plazo")</f>
        <v>Largo plazo</v>
      </c>
      <c r="R1630" s="25"/>
      <c r="S1630" s="55"/>
      <c r="T1630" s="56"/>
      <c r="U1630" s="25"/>
      <c r="V1630" s="25"/>
      <c r="W1630" s="25"/>
      <c r="X1630" s="25"/>
      <c r="Y1630" s="25"/>
      <c r="Z1630" s="25"/>
    </row>
    <row r="1631" spans="1:26" ht="52.5" customHeight="1" x14ac:dyDescent="0.25">
      <c r="A1631" s="25" t="str">
        <f ca="1">IFERROR(__xludf.DUMMYFUNCTION("""COMPUTED_VALUE"""),"Gobie129")</f>
        <v>Gobie129</v>
      </c>
      <c r="B1631" s="25" t="str">
        <f ca="1">IFERROR(__xludf.DUMMYFUNCTION("""COMPUTED_VALUE"""),"Recorrido Puente Aranda")</f>
        <v>Recorrido Puente Aranda</v>
      </c>
      <c r="C1631" s="55">
        <f ca="1">IFERROR(__xludf.DUMMYFUNCTION("""COMPUTED_VALUE"""),44971)</f>
        <v>44971</v>
      </c>
      <c r="D1631" s="25" t="str">
        <f ca="1">IFERROR(__xludf.DUMMYFUNCTION("""COMPUTED_VALUE"""),"Gobierno")</f>
        <v>Gobierno</v>
      </c>
      <c r="E1631" s="25" t="str">
        <f ca="1">IFERROR(__xludf.DUMMYFUNCTION("""COMPUTED_VALUE"""),"Secretaría Distrital de Gobierno")</f>
        <v>Secretaría Distrital de Gobierno</v>
      </c>
      <c r="F1631" s="25" t="str">
        <f ca="1">IFERROR(__xludf.DUMMYFUNCTION("""COMPUTED_VALUE"""),"Definir la priorización de intervenciones viales barriales por parte de IDU, UMV y las Alcaldías Locales junto con ediles y concejales.")</f>
        <v>Definir la priorización de intervenciones viales barriales por parte de IDU, UMV y las Alcaldías Locales junto con ediles y concejales.</v>
      </c>
      <c r="G1631" s="25" t="str">
        <f ca="1">IFERROR(__xludf.DUMMYFUNCTION("""COMPUTED_VALUE"""),"16. Puente Aranda")</f>
        <v>16. Puente Aranda</v>
      </c>
      <c r="H1631" s="55">
        <f ca="1">IFERROR(__xludf.DUMMYFUNCTION("""COMPUTED_VALUE"""),45015)</f>
        <v>45015</v>
      </c>
      <c r="I1631" s="25" t="str">
        <f ca="1">IFERROR(__xludf.DUMMYFUNCTION("""COMPUTED_VALUE"""),"Secretaría Privada")</f>
        <v>Secretaría Privada</v>
      </c>
      <c r="J1631" s="55" t="str">
        <f ca="1">IFERROR(__xludf.DUMMYFUNCTION("""COMPUTED_VALUE"""),"Alta")</f>
        <v>Alta</v>
      </c>
      <c r="K1631" s="25">
        <f ca="1">IFERROR(__xludf.DUMMYFUNCTION("""COMPUTED_VALUE"""),44)</f>
        <v>44</v>
      </c>
      <c r="L1631" s="62">
        <f ca="1">IFERROR(__xludf.DUMMYFUNCTION("""COMPUTED_VALUE"""),45070)</f>
        <v>45070</v>
      </c>
      <c r="M1631" s="25" t="str">
        <f ca="1">IFERROR(__xludf.DUMMYFUNCTION("""COMPUTED_VALUE"""),"Se remitió al IDU con fecha 3 de marzo 2023 el listado de los segmentos viales a intervenir, para obtener la reserva vial, a la fecha no se ha recibido respuesta.
Reporte 17 abril 2023: Se realiza priorización de los segmentos viales; ya se cuenta con res"&amp;"puesta de reservas viales
10 de mayo de 2023: En proceso de estructuración y contratación de intervención de los procesos viales")</f>
        <v>Se remitió al IDU con fecha 3 de marzo 2023 el listado de los segmentos viales a intervenir, para obtener la reserva vial, a la fecha no se ha recibido respuesta.
Reporte 17 abril 2023: Se realiza priorización de los segmentos viales; ya se cuenta con respuesta de reservas viales
10 de mayo de 2023: En proceso de estructuración y contratación de intervención de los procesos viales</v>
      </c>
      <c r="N1631" s="25"/>
      <c r="O1631" s="25" t="str">
        <f t="shared" ca="1" si="0"/>
        <v>Secretaría Distrital de Gobierno</v>
      </c>
      <c r="P1631" s="25" t="str">
        <f t="shared" ca="1" si="2"/>
        <v/>
      </c>
      <c r="Q1631" s="25" t="str">
        <f ca="1">IFERROR(__xludf.DUMMYFUNCTION("""COMPUTED_VALUE"""),"Corto plazo")</f>
        <v>Corto plazo</v>
      </c>
      <c r="R1631" s="25"/>
      <c r="S1631" s="55"/>
      <c r="T1631" s="56"/>
      <c r="U1631" s="25"/>
      <c r="V1631" s="25"/>
      <c r="W1631" s="25"/>
      <c r="X1631" s="25"/>
      <c r="Y1631" s="25"/>
      <c r="Z1631" s="25"/>
    </row>
    <row r="1632" spans="1:26" ht="52.5" customHeight="1" x14ac:dyDescent="0.25">
      <c r="A1632" s="25" t="str">
        <f ca="1">IFERROR(__xludf.DUMMYFUNCTION("""COMPUTED_VALUE"""),"Gobie130")</f>
        <v>Gobie130</v>
      </c>
      <c r="B1632" s="25" t="str">
        <f ca="1">IFERROR(__xludf.DUMMYFUNCTION("""COMPUTED_VALUE"""),"Recorrido Puente Aranda")</f>
        <v>Recorrido Puente Aranda</v>
      </c>
      <c r="C1632" s="55">
        <f ca="1">IFERROR(__xludf.DUMMYFUNCTION("""COMPUTED_VALUE"""),44971)</f>
        <v>44971</v>
      </c>
      <c r="D1632" s="25" t="str">
        <f ca="1">IFERROR(__xludf.DUMMYFUNCTION("""COMPUTED_VALUE"""),"Gobierno")</f>
        <v>Gobierno</v>
      </c>
      <c r="E1632" s="25" t="str">
        <f ca="1">IFERROR(__xludf.DUMMYFUNCTION("""COMPUTED_VALUE"""),"Secretaría Distrital de Gobierno")</f>
        <v>Secretaría Distrital de Gobierno</v>
      </c>
      <c r="F1632" s="25" t="str">
        <f ca="1">IFERROR(__xludf.DUMMYFUNCTION("""COMPUTED_VALUE"""),"Los concejales presentes, bajo el liderazgo de Germán García, crearán una comisión accidental de infraestructura carcelaria, así como las inversiones en infraestructura de seguridad y justicia; también deben evaluar la posibilidad de la creación de un dis"&amp;"trito carcelario en la zona de La Picota.")</f>
        <v>Los concejales presentes, bajo el liderazgo de Germán García, crearán una comisión accidental de infraestructura carcelaria, así como las inversiones en infraestructura de seguridad y justicia; también deben evaluar la posibilidad de la creación de un distrito carcelario en la zona de La Picota.</v>
      </c>
      <c r="G1632" s="25" t="str">
        <f ca="1">IFERROR(__xludf.DUMMYFUNCTION("""COMPUTED_VALUE"""),"16. Puente Aranda")</f>
        <v>16. Puente Aranda</v>
      </c>
      <c r="H1632" s="55">
        <f ca="1">IFERROR(__xludf.DUMMYFUNCTION("""COMPUTED_VALUE"""),45049)</f>
        <v>45049</v>
      </c>
      <c r="I1632" s="25" t="str">
        <f ca="1">IFERROR(__xludf.DUMMYFUNCTION("""COMPUTED_VALUE"""),"Secretaría Privada")</f>
        <v>Secretaría Privada</v>
      </c>
      <c r="J1632" s="55" t="str">
        <f ca="1">IFERROR(__xludf.DUMMYFUNCTION("""COMPUTED_VALUE"""),"Media")</f>
        <v>Media</v>
      </c>
      <c r="K1632" s="25">
        <f ca="1">IFERROR(__xludf.DUMMYFUNCTION("""COMPUTED_VALUE"""),78)</f>
        <v>78</v>
      </c>
      <c r="L1632" s="62">
        <f ca="1">IFERROR(__xludf.DUMMYFUNCTION("""COMPUTED_VALUE"""),45016)</f>
        <v>45016</v>
      </c>
      <c r="M1632" s="25" t="str">
        <f ca="1">IFERROR(__xludf.DUMMYFUNCTION("""COMPUTED_VALUE"""),"La Comisión Accidental será conformada para el mes de abril.")</f>
        <v>La Comisión Accidental será conformada para el mes de abril.</v>
      </c>
      <c r="N1632" s="25"/>
      <c r="O1632" s="25" t="str">
        <f t="shared" ca="1" si="0"/>
        <v>Secretaría Distrital de Gobierno</v>
      </c>
      <c r="P1632" s="25" t="str">
        <f t="shared" ca="1" si="2"/>
        <v/>
      </c>
      <c r="Q1632" s="25" t="str">
        <f ca="1">IFERROR(__xludf.DUMMYFUNCTION("""COMPUTED_VALUE"""),"Mediano plazo")</f>
        <v>Mediano plazo</v>
      </c>
      <c r="R1632" s="25"/>
      <c r="S1632" s="55"/>
      <c r="T1632" s="56"/>
      <c r="U1632" s="25"/>
      <c r="V1632" s="25"/>
      <c r="W1632" s="25"/>
      <c r="X1632" s="25"/>
      <c r="Y1632" s="25"/>
      <c r="Z1632" s="25"/>
    </row>
    <row r="1633" spans="1:26" ht="52.5" customHeight="1" x14ac:dyDescent="0.25">
      <c r="A1633" s="25" t="str">
        <f ca="1">IFERROR(__xludf.DUMMYFUNCTION("""COMPUTED_VALUE"""),"Gobie131")</f>
        <v>Gobie131</v>
      </c>
      <c r="B1633" s="25" t="str">
        <f ca="1">IFERROR(__xludf.DUMMYFUNCTION("""COMPUTED_VALUE"""),"Recorrido Puente Aranda")</f>
        <v>Recorrido Puente Aranda</v>
      </c>
      <c r="C1633" s="55">
        <f ca="1">IFERROR(__xludf.DUMMYFUNCTION("""COMPUTED_VALUE"""),44971)</f>
        <v>44971</v>
      </c>
      <c r="D1633" s="25" t="str">
        <f ca="1">IFERROR(__xludf.DUMMYFUNCTION("""COMPUTED_VALUE"""),"Gobierno")</f>
        <v>Gobierno</v>
      </c>
      <c r="E1633" s="25" t="str">
        <f ca="1">IFERROR(__xludf.DUMMYFUNCTION("""COMPUTED_VALUE"""),"Secretaría Distrital de Gobierno")</f>
        <v>Secretaría Distrital de Gobierno</v>
      </c>
      <c r="F1633" s="25" t="str">
        <f ca="1">IFERROR(__xludf.DUMMYFUNCTION("""COMPUTED_VALUE"""),"Revisar por parte de la alcaldía local si con los FDL se pueden conseguir recursos para entregar más kits de “redes cuidadanas”.")</f>
        <v>Revisar por parte de la alcaldía local si con los FDL se pueden conseguir recursos para entregar más kits de “redes cuidadanas”.</v>
      </c>
      <c r="G1633" s="25" t="str">
        <f ca="1">IFERROR(__xludf.DUMMYFUNCTION("""COMPUTED_VALUE"""),"16. Puente Aranda")</f>
        <v>16. Puente Aranda</v>
      </c>
      <c r="H1633" s="55">
        <f ca="1">IFERROR(__xludf.DUMMYFUNCTION("""COMPUTED_VALUE"""),45049)</f>
        <v>45049</v>
      </c>
      <c r="I1633" s="25" t="str">
        <f ca="1">IFERROR(__xludf.DUMMYFUNCTION("""COMPUTED_VALUE"""),"Secretaría Privada")</f>
        <v>Secretaría Privada</v>
      </c>
      <c r="J1633" s="55" t="str">
        <f ca="1">IFERROR(__xludf.DUMMYFUNCTION("""COMPUTED_VALUE"""),"Media")</f>
        <v>Media</v>
      </c>
      <c r="K1633" s="25">
        <f ca="1">IFERROR(__xludf.DUMMYFUNCTION("""COMPUTED_VALUE"""),78)</f>
        <v>78</v>
      </c>
      <c r="L1633" s="62">
        <f ca="1">IFERROR(__xludf.DUMMYFUNCTION("""COMPUTED_VALUE"""),45070)</f>
        <v>45070</v>
      </c>
      <c r="M1633" s="25" t="str">
        <f ca="1">IFERROR(__xludf.DUMMYFUNCTION("""COMPUTED_VALUE"""),"Se asignarán recursos vía excedentes financieros para que los FDL puedan adquirir los kits en el segundo semestre de 2023
FDL: Bajo el marco del contrato 362-2022 el FDLF realizará dotación a 72 grupos establecidos por frentes de seguridad áctivos y ento"&amp;"rnos escolares para las instituciones públicas de la localidad, el proyecto se encuentra actualmente en fase de formulación. Además se busca el fortalecimiento de las UPZ Zona Franca y Granjas de Techo para la adquisición de cámaras de seguridad y botones"&amp;" de pánico.
Reporte 18 abril 2023: Se encuentra en la etapa de elaboración de los documentos precontractuales, sobre los mismos ya se tiene definido el estudio de mercado y anexo técnico y la totalidad de los documentos será entregado para revisión por pa"&amp;"rte del coordinador de oficina el día 27 de Abril de 2023.
Reporte 10 de mayo: En proceso de contratación, en etapa precontractual, programado para el segundo semestre 2023")</f>
        <v>Se asignarán recursos vía excedentes financieros para que los FDL puedan adquirir los kits en el segundo semestre de 2023
FDL: Bajo el marco del contrato 362-2022 el FDLF realizará dotación a 72 grupos establecidos por frentes de seguridad áctivos y entornos escolares para las instituciones públicas de la localidad, el proyecto se encuentra actualmente en fase de formulación. Además se busca el fortalecimiento de las UPZ Zona Franca y Granjas de Techo para la adquisición de cámaras de seguridad y botones de pánico.
Reporte 18 abril 2023: Se encuentra en la etapa de elaboración de los documentos precontractuales, sobre los mismos ya se tiene definido el estudio de mercado y anexo técnico y la totalidad de los documentos será entregado para revisión por parte del coordinador de oficina el día 27 de Abril de 2023.
Reporte 10 de mayo: En proceso de contratación, en etapa precontractual, programado para el segundo semestre 2023</v>
      </c>
      <c r="N1633" s="25"/>
      <c r="O1633" s="25" t="str">
        <f t="shared" ca="1" si="0"/>
        <v>Secretaría Distrital de Gobierno</v>
      </c>
      <c r="P1633" s="25" t="str">
        <f t="shared" ca="1" si="2"/>
        <v/>
      </c>
      <c r="Q1633" s="25" t="str">
        <f ca="1">IFERROR(__xludf.DUMMYFUNCTION("""COMPUTED_VALUE"""),"Mediano plazo")</f>
        <v>Mediano plazo</v>
      </c>
      <c r="R1633" s="25"/>
      <c r="S1633" s="55"/>
      <c r="T1633" s="56"/>
      <c r="U1633" s="25"/>
      <c r="V1633" s="25"/>
      <c r="W1633" s="25"/>
      <c r="X1633" s="25"/>
      <c r="Y1633" s="25"/>
      <c r="Z1633" s="25"/>
    </row>
    <row r="1634" spans="1:26" ht="52.5" customHeight="1" x14ac:dyDescent="0.25">
      <c r="A1634" s="25" t="str">
        <f ca="1">IFERROR(__xludf.DUMMYFUNCTION("""COMPUTED_VALUE"""),"Gobie132")</f>
        <v>Gobie132</v>
      </c>
      <c r="B1634" s="25" t="str">
        <f ca="1">IFERROR(__xludf.DUMMYFUNCTION("""COMPUTED_VALUE"""),"Recorrido Puente Aranda")</f>
        <v>Recorrido Puente Aranda</v>
      </c>
      <c r="C1634" s="55">
        <f ca="1">IFERROR(__xludf.DUMMYFUNCTION("""COMPUTED_VALUE"""),44971)</f>
        <v>44971</v>
      </c>
      <c r="D1634" s="25" t="str">
        <f ca="1">IFERROR(__xludf.DUMMYFUNCTION("""COMPUTED_VALUE"""),"Gobierno")</f>
        <v>Gobierno</v>
      </c>
      <c r="E1634" s="25" t="str">
        <f ca="1">IFERROR(__xludf.DUMMYFUNCTION("""COMPUTED_VALUE"""),"Secretaría Distrital de Gobierno")</f>
        <v>Secretaría Distrital de Gobierno</v>
      </c>
      <c r="F1634" s="25" t="str">
        <f ca="1">IFERROR(__xludf.DUMMYFUNCTION("""COMPUTED_VALUE"""),"Realizar la liquidación del convenio entre las Alcaldías Locales y la UMV donde ya se falló a favor de las Alcaldías Locales (Se puede recuperar una suma importante de recursos).")</f>
        <v>Realizar la liquidación del convenio entre las Alcaldías Locales y la UMV donde ya se falló a favor de las Alcaldías Locales (Se puede recuperar una suma importante de recursos).</v>
      </c>
      <c r="G1634" s="25" t="str">
        <f ca="1">IFERROR(__xludf.DUMMYFUNCTION("""COMPUTED_VALUE"""),"16. Puente Aranda")</f>
        <v>16. Puente Aranda</v>
      </c>
      <c r="H1634" s="55">
        <f ca="1">IFERROR(__xludf.DUMMYFUNCTION("""COMPUTED_VALUE"""),45049)</f>
        <v>45049</v>
      </c>
      <c r="I1634" s="25" t="str">
        <f ca="1">IFERROR(__xludf.DUMMYFUNCTION("""COMPUTED_VALUE"""),"Secretaría Privada")</f>
        <v>Secretaría Privada</v>
      </c>
      <c r="J1634" s="55" t="str">
        <f ca="1">IFERROR(__xludf.DUMMYFUNCTION("""COMPUTED_VALUE"""),"Media")</f>
        <v>Media</v>
      </c>
      <c r="K1634" s="25">
        <f ca="1">IFERROR(__xludf.DUMMYFUNCTION("""COMPUTED_VALUE"""),78)</f>
        <v>78</v>
      </c>
      <c r="L1634" s="62">
        <f ca="1">IFERROR(__xludf.DUMMYFUNCTION("""COMPUTED_VALUE"""),45070)</f>
        <v>45070</v>
      </c>
      <c r="M1634" s="25" t="str">
        <f ca="1">IFERROR(__xludf.DUMMYFUNCTION("""COMPUTED_VALUE"""),"La Junta de Infraetsructura Local se encuentra revisando técnica y jurídicamente la liquidación del convenio
Reporte 10 de mayo: Se solicitó informe de accione adelantadas a la Junta de Infraestructura Local")</f>
        <v>La Junta de Infraetsructura Local se encuentra revisando técnica y jurídicamente la liquidación del convenio
Reporte 10 de mayo: Se solicitó informe de accione adelantadas a la Junta de Infraestructura Local</v>
      </c>
      <c r="N1634" s="25"/>
      <c r="O1634" s="25" t="str">
        <f t="shared" ca="1" si="0"/>
        <v>Secretaría Distrital de Gobierno</v>
      </c>
      <c r="P1634" s="25" t="str">
        <f t="shared" ca="1" si="2"/>
        <v/>
      </c>
      <c r="Q1634" s="25" t="str">
        <f ca="1">IFERROR(__xludf.DUMMYFUNCTION("""COMPUTED_VALUE"""),"Mediano plazo")</f>
        <v>Mediano plazo</v>
      </c>
      <c r="R1634" s="25"/>
      <c r="S1634" s="55"/>
      <c r="T1634" s="56"/>
      <c r="U1634" s="25"/>
      <c r="V1634" s="25"/>
      <c r="W1634" s="25"/>
      <c r="X1634" s="25"/>
      <c r="Y1634" s="25"/>
      <c r="Z1634" s="25"/>
    </row>
    <row r="1635" spans="1:26" ht="52.5" customHeight="1" x14ac:dyDescent="0.25">
      <c r="A1635" s="25" t="str">
        <f ca="1">IFERROR(__xludf.DUMMYFUNCTION("""COMPUTED_VALUE"""),"Gobie133")</f>
        <v>Gobie133</v>
      </c>
      <c r="B1635" s="25" t="str">
        <f ca="1">IFERROR(__xludf.DUMMYFUNCTION("""COMPUTED_VALUE"""),"Recorrido Puente Aranda")</f>
        <v>Recorrido Puente Aranda</v>
      </c>
      <c r="C1635" s="55">
        <f ca="1">IFERROR(__xludf.DUMMYFUNCTION("""COMPUTED_VALUE"""),44971)</f>
        <v>44971</v>
      </c>
      <c r="D1635" s="25" t="str">
        <f ca="1">IFERROR(__xludf.DUMMYFUNCTION("""COMPUTED_VALUE"""),"Gobierno")</f>
        <v>Gobierno</v>
      </c>
      <c r="E1635" s="25" t="str">
        <f ca="1">IFERROR(__xludf.DUMMYFUNCTION("""COMPUTED_VALUE"""),"Departamento Administrativo de la Defensoría del Espacio Público")</f>
        <v>Departamento Administrativo de la Defensoría del Espacio Público</v>
      </c>
      <c r="F1635" s="25" t="str">
        <f ca="1">IFERROR(__xludf.DUMMYFUNCTION("""COMPUTED_VALUE"""),"Revisar con catastro, la situación del predio (parqueadero en la Transversal 51 con calle 1 Sur) y determinar si es invasión o no y si hay algún fallo de un tribunal que permita retribuirles los predios a sus dueños originales.")</f>
        <v>Revisar con catastro, la situación del predio (parqueadero en la Transversal 51 con calle 1 Sur) y determinar si es invasión o no y si hay algún fallo de un tribunal que permita retribuirles los predios a sus dueños originales.</v>
      </c>
      <c r="G1635" s="25" t="str">
        <f ca="1">IFERROR(__xludf.DUMMYFUNCTION("""COMPUTED_VALUE"""),"16. Puente Aranda")</f>
        <v>16. Puente Aranda</v>
      </c>
      <c r="H1635" s="55">
        <f ca="1">IFERROR(__xludf.DUMMYFUNCTION("""COMPUTED_VALUE"""),44978)</f>
        <v>44978</v>
      </c>
      <c r="I1635" s="25" t="str">
        <f ca="1">IFERROR(__xludf.DUMMYFUNCTION("""COMPUTED_VALUE"""),"Secretaría Privada")</f>
        <v>Secretaría Privada</v>
      </c>
      <c r="J1635" s="55" t="str">
        <f ca="1">IFERROR(__xludf.DUMMYFUNCTION("""COMPUTED_VALUE"""),"Alta")</f>
        <v>Alta</v>
      </c>
      <c r="K1635" s="25">
        <f ca="1">IFERROR(__xludf.DUMMYFUNCTION("""COMPUTED_VALUE"""),7)</f>
        <v>7</v>
      </c>
      <c r="L1635" s="62">
        <f ca="1">IFERROR(__xludf.DUMMYFUNCTION("""COMPUTED_VALUE"""),45082)</f>
        <v>45082</v>
      </c>
      <c r="M1635" s="25" t="str">
        <f ca="1">IFERROR(__xludf.DUMMYFUNCTION("""COMPUTED_VALUE"""),"EL DADEP  sigue en la espera de que se suministre la información adecuada del predio en cuestión para realizar la verificación del mismo.")</f>
        <v>EL DADEP  sigue en la espera de que se suministre la información adecuada del predio en cuestión para realizar la verificación del mismo.</v>
      </c>
      <c r="N1635" s="25"/>
      <c r="O1635" s="25" t="str">
        <f t="shared" ca="1" si="0"/>
        <v>Departamento Administrativo de la Defensoría del Espacio Público</v>
      </c>
      <c r="P1635" s="25" t="str">
        <f t="shared" ca="1" si="2"/>
        <v/>
      </c>
      <c r="Q1635" s="25" t="str">
        <f ca="1">IFERROR(__xludf.DUMMYFUNCTION("""COMPUTED_VALUE"""),"Corto plazo")</f>
        <v>Corto plazo</v>
      </c>
      <c r="R1635" s="25"/>
      <c r="S1635" s="55"/>
      <c r="T1635" s="56"/>
      <c r="U1635" s="25"/>
      <c r="V1635" s="25"/>
      <c r="W1635" s="25"/>
      <c r="X1635" s="25"/>
      <c r="Y1635" s="25"/>
      <c r="Z1635" s="25"/>
    </row>
    <row r="1636" spans="1:26" ht="52.5" customHeight="1" x14ac:dyDescent="0.25">
      <c r="A1636" s="25" t="str">
        <f ca="1">IFERROR(__xludf.DUMMYFUNCTION("""COMPUTED_VALUE"""),"Gobie134")</f>
        <v>Gobie134</v>
      </c>
      <c r="B1636" s="25" t="str">
        <f ca="1">IFERROR(__xludf.DUMMYFUNCTION("""COMPUTED_VALUE"""),"Entrega kits escolares IED José Celestino Mutis")</f>
        <v>Entrega kits escolares IED José Celestino Mutis</v>
      </c>
      <c r="C1636" s="55">
        <f ca="1">IFERROR(__xludf.DUMMYFUNCTION("""COMPUTED_VALUE"""),44972)</f>
        <v>44972</v>
      </c>
      <c r="D1636" s="25" t="str">
        <f ca="1">IFERROR(__xludf.DUMMYFUNCTION("""COMPUTED_VALUE"""),"Gobierno")</f>
        <v>Gobierno</v>
      </c>
      <c r="E1636" s="25" t="str">
        <f ca="1">IFERROR(__xludf.DUMMYFUNCTION("""COMPUTED_VALUE"""),"Instituto Distrital de la Participación y Acción Comunal")</f>
        <v>Instituto Distrital de la Participación y Acción Comunal</v>
      </c>
      <c r="F1636" s="25" t="str">
        <f ca="1">IFERROR(__xludf.DUMMYFUNCTION("""COMPUTED_VALUE"""),"El IDPAC debe acompañar con su emisora el proceso de emisora estudiantil en el IED Rural Mochuelo Alto.")</f>
        <v>El IDPAC debe acompañar con su emisora el proceso de emisora estudiantil en el IED Rural Mochuelo Alto.</v>
      </c>
      <c r="G1636" s="25" t="str">
        <f ca="1">IFERROR(__xludf.DUMMYFUNCTION("""COMPUTED_VALUE"""),"19. Ciudad Bolívar")</f>
        <v>19. Ciudad Bolívar</v>
      </c>
      <c r="H1636" s="55">
        <f ca="1">IFERROR(__xludf.DUMMYFUNCTION("""COMPUTED_VALUE"""),45015)</f>
        <v>45015</v>
      </c>
      <c r="I1636" s="25" t="str">
        <f ca="1">IFERROR(__xludf.DUMMYFUNCTION("""COMPUTED_VALUE"""),"Secretaría Privada")</f>
        <v>Secretaría Privada</v>
      </c>
      <c r="J1636" s="55" t="str">
        <f ca="1">IFERROR(__xludf.DUMMYFUNCTION("""COMPUTED_VALUE"""),"Alta")</f>
        <v>Alta</v>
      </c>
      <c r="K1636" s="25">
        <f ca="1">IFERROR(__xludf.DUMMYFUNCTION("""COMPUTED_VALUE"""),43)</f>
        <v>43</v>
      </c>
      <c r="L1636" s="62">
        <f ca="1">IFERROR(__xludf.DUMMYFUNCTION("""COMPUTED_VALUE"""),45070)</f>
        <v>45070</v>
      </c>
      <c r="M1636" s="25"/>
      <c r="N1636" s="25"/>
      <c r="O1636" s="25" t="str">
        <f t="shared" ca="1" si="0"/>
        <v>Instituto Distrital de la Participación y Acción Comunal</v>
      </c>
      <c r="P1636" s="25" t="str">
        <f t="shared" ca="1" si="2"/>
        <v/>
      </c>
      <c r="Q1636" s="25" t="str">
        <f ca="1">IFERROR(__xludf.DUMMYFUNCTION("""COMPUTED_VALUE"""),"Corto plazo")</f>
        <v>Corto plazo</v>
      </c>
      <c r="R1636" s="25"/>
      <c r="S1636" s="55"/>
      <c r="T1636" s="56"/>
      <c r="U1636" s="25"/>
      <c r="V1636" s="25"/>
      <c r="W1636" s="25"/>
      <c r="X1636" s="25"/>
      <c r="Y1636" s="25"/>
      <c r="Z1636" s="25"/>
    </row>
    <row r="1637" spans="1:26" ht="52.5" customHeight="1" x14ac:dyDescent="0.25">
      <c r="A1637" s="25" t="str">
        <f ca="1">IFERROR(__xludf.DUMMYFUNCTION("""COMPUTED_VALUE"""),"Gobie135")</f>
        <v>Gobie135</v>
      </c>
      <c r="B1637" s="25" t="str">
        <f ca="1">IFERROR(__xludf.DUMMYFUNCTION("""COMPUTED_VALUE"""),"Junta infraestructura")</f>
        <v>Junta infraestructura</v>
      </c>
      <c r="C1637" s="55">
        <f ca="1">IFERROR(__xludf.DUMMYFUNCTION("""COMPUTED_VALUE"""),44970)</f>
        <v>44970</v>
      </c>
      <c r="D1637" s="25" t="str">
        <f ca="1">IFERROR(__xludf.DUMMYFUNCTION("""COMPUTED_VALUE"""),"Gobierno")</f>
        <v>Gobierno</v>
      </c>
      <c r="E1637" s="25" t="str">
        <f ca="1">IFERROR(__xludf.DUMMYFUNCTION("""COMPUTED_VALUE"""),"Alcaldía Local")</f>
        <v>Alcaldía Local</v>
      </c>
      <c r="F1637" s="25" t="str">
        <f ca="1">IFERROR(__xludf.DUMMYFUNCTION("""COMPUTED_VALUE"""),"Radicar los diseños definitivos del FDL de Usme al acueducto, para la conexión del colector de aguas lluvias en la vía de acceso al hospital.")</f>
        <v>Radicar los diseños definitivos del FDL de Usme al acueducto, para la conexión del colector de aguas lluvias en la vía de acceso al hospital.</v>
      </c>
      <c r="G1637" s="25" t="str">
        <f ca="1">IFERROR(__xludf.DUMMYFUNCTION("""COMPUTED_VALUE"""),"05. Usme")</f>
        <v>05. Usme</v>
      </c>
      <c r="H1637" s="55">
        <f ca="1">IFERROR(__xludf.DUMMYFUNCTION("""COMPUTED_VALUE"""),44974)</f>
        <v>44974</v>
      </c>
      <c r="I1637" s="25"/>
      <c r="J1637" s="55" t="str">
        <f ca="1">IFERROR(__xludf.DUMMYFUNCTION("""COMPUTED_VALUE"""),"Alta")</f>
        <v>Alta</v>
      </c>
      <c r="K1637" s="25">
        <f ca="1">IFERROR(__xludf.DUMMYFUNCTION("""COMPUTED_VALUE"""),4)</f>
        <v>4</v>
      </c>
      <c r="L1637" s="62">
        <f ca="1">IFERROR(__xludf.DUMMYFUNCTION("""COMPUTED_VALUE"""),45056)</f>
        <v>45056</v>
      </c>
      <c r="M1637" s="25" t="str">
        <f ca="1">IFERROR(__xludf.DUMMYFUNCTION("""COMPUTED_VALUE"""),"Reporte 08 marzo 2023: se radicaron los diseños definitivos el 20 de febrero de 2023. El día 07 de marzo se tuvo reunión con Acueducto donde se pactaron nuevos compromisos para el seguimiento. Pendiente respuesta acueducto
Reporte 17 abril 2023: Ya se de"&amp;"terminó cual será la desembocadura para el alcantarillado pluvial el día 19 de abril se tendrá reunión en las vías contiguas al hospital con el especialista hidráulico ")</f>
        <v xml:space="preserve">Reporte 08 marzo 2023: se radicaron los diseños definitivos el 20 de febrero de 2023. El día 07 de marzo se tuvo reunión con Acueducto donde se pactaron nuevos compromisos para el seguimiento. Pendiente respuesta acueducto
Reporte 17 abril 2023: Ya se determinó cual será la desembocadura para el alcantarillado pluvial el día 19 de abril se tendrá reunión en las vías contiguas al hospital con el especialista hidráulico </v>
      </c>
      <c r="N1637" s="55">
        <f ca="1">IFERROR(__xludf.DUMMYFUNCTION("""COMPUTED_VALUE"""),45030)</f>
        <v>45030</v>
      </c>
      <c r="O1637" s="25" t="str">
        <f t="shared" ca="1" si="0"/>
        <v>Alcaldía Local</v>
      </c>
      <c r="P1637" s="25" t="str">
        <f t="shared" si="2"/>
        <v/>
      </c>
      <c r="Q1637" s="25" t="str">
        <f ca="1">IFERROR(__xludf.DUMMYFUNCTION("""COMPUTED_VALUE"""),"Corto plazo")</f>
        <v>Corto plazo</v>
      </c>
      <c r="R1637" s="25"/>
      <c r="S1637" s="55"/>
      <c r="T1637" s="56"/>
      <c r="U1637" s="25"/>
      <c r="V1637" s="25"/>
      <c r="W1637" s="25"/>
      <c r="X1637" s="25"/>
      <c r="Y1637" s="25"/>
      <c r="Z1637" s="25"/>
    </row>
    <row r="1638" spans="1:26" ht="52.5" customHeight="1" x14ac:dyDescent="0.25">
      <c r="A1638" s="25" t="str">
        <f ca="1">IFERROR(__xludf.DUMMYFUNCTION("""COMPUTED_VALUE"""),"Gobie136")</f>
        <v>Gobie136</v>
      </c>
      <c r="B1638" s="25" t="str">
        <f ca="1">IFERROR(__xludf.DUMMYFUNCTION("""COMPUTED_VALUE"""),"Recorrido Barrios Unidos")</f>
        <v>Recorrido Barrios Unidos</v>
      </c>
      <c r="C1638" s="55">
        <f ca="1">IFERROR(__xludf.DUMMYFUNCTION("""COMPUTED_VALUE"""),44978)</f>
        <v>44978</v>
      </c>
      <c r="D1638" s="25" t="str">
        <f ca="1">IFERROR(__xludf.DUMMYFUNCTION("""COMPUTED_VALUE"""),"Gobierno")</f>
        <v>Gobierno</v>
      </c>
      <c r="E1638" s="25" t="str">
        <f ca="1">IFERROR(__xludf.DUMMYFUNCTION("""COMPUTED_VALUE"""),"Alcaldía Local")</f>
        <v>Alcaldía Local</v>
      </c>
      <c r="F1638" s="25" t="str">
        <f ca="1">IFERROR(__xludf.DUMMYFUNCTION("""COMPUTED_VALUE"""),"La Alcaldía Local brindará apoyo a la comunidad del sector para que pueda definir si se debe realizar 2 o 3 turnos para la continuación de las obras a cargo del IDU sobre calles comerciales.")</f>
        <v>La Alcaldía Local brindará apoyo a la comunidad del sector para que pueda definir si se debe realizar 2 o 3 turnos para la continuación de las obras a cargo del IDU sobre calles comerciales.</v>
      </c>
      <c r="G1638" s="25" t="str">
        <f ca="1">IFERROR(__xludf.DUMMYFUNCTION("""COMPUTED_VALUE"""),"12. Barrios Unidos")</f>
        <v>12. Barrios Unidos</v>
      </c>
      <c r="H1638" s="55">
        <f ca="1">IFERROR(__xludf.DUMMYFUNCTION("""COMPUTED_VALUE"""),45036)</f>
        <v>45036</v>
      </c>
      <c r="I1638" s="25" t="str">
        <f ca="1">IFERROR(__xludf.DUMMYFUNCTION("""COMPUTED_VALUE"""),"Secretaría Privada")</f>
        <v>Secretaría Privada</v>
      </c>
      <c r="J1638" s="55" t="str">
        <f ca="1">IFERROR(__xludf.DUMMYFUNCTION("""COMPUTED_VALUE"""),"Alta")</f>
        <v>Alta</v>
      </c>
      <c r="K1638" s="25">
        <f ca="1">IFERROR(__xludf.DUMMYFUNCTION("""COMPUTED_VALUE"""),58)</f>
        <v>58</v>
      </c>
      <c r="L1638" s="62">
        <f ca="1">IFERROR(__xludf.DUMMYFUNCTION("""COMPUTED_VALUE"""),45082)</f>
        <v>45082</v>
      </c>
      <c r="M1638" s="25" t="str">
        <f ca="1">IFERROR(__xludf.DUMMYFUNCTION("""COMPUTED_VALUE"""),"Se ha bridado apoyo y acompañamiento a la comunidad. A la espera de nuevas directricez por parte del IDU y la UMV para la definición de los turnos
Reporte 17 abril 2023: En espera deL cronograma del IDU
Reporte 10 de mayo: Se requiere cronograma del IDU "&amp;"(a la espera)
Reporte 30  mayo 2023:  Etapa contractual del IDU, se solicita el cierre por parte de la Alcaldía Local.
Los turnos de trabajo fueron temporales y concertados. Trabajos concluidos por tal motivo se solicita cierre de parte de la Alcaldía Lo"&amp;"cal.
Evidencia: https://www.idu.gov.co/blog/boletin-de-prensa-idu-1/post/con-intervenciones-transitorias-se-recupero-la-movilidad-en-la-carrera-50-del-barrio-12-de-octubre-1656")</f>
        <v>Se ha bridado apoyo y acompañamiento a la comunidad. A la espera de nuevas directricez por parte del IDU y la UMV para la definición de los turnos
Reporte 17 abril 2023: En espera deL cronograma del IDU
Reporte 10 de mayo: Se requiere cronograma del IDU (a la espera)
Reporte 30  mayo 2023:  Etapa contractual del IDU, se solicita el cierre por parte de la Alcaldía Local.
Los turnos de trabajo fueron temporales y concertados. Trabajos concluidos por tal motivo se solicita cierre de parte de la Alcaldía Local.
Evidencia: https://www.idu.gov.co/blog/boletin-de-prensa-idu-1/post/con-intervenciones-transitorias-se-recupero-la-movilidad-en-la-carrera-50-del-barrio-12-de-octubre-1656</v>
      </c>
      <c r="N1638" s="25"/>
      <c r="O1638" s="25" t="str">
        <f t="shared" ca="1" si="0"/>
        <v>Alcaldía Local</v>
      </c>
      <c r="P1638" s="25" t="str">
        <f t="shared" ca="1" si="2"/>
        <v/>
      </c>
      <c r="Q1638" s="25" t="str">
        <f ca="1">IFERROR(__xludf.DUMMYFUNCTION("""COMPUTED_VALUE"""),"Corto plazo")</f>
        <v>Corto plazo</v>
      </c>
      <c r="R1638" s="25"/>
      <c r="S1638" s="55"/>
      <c r="T1638" s="56"/>
      <c r="U1638" s="25"/>
      <c r="V1638" s="25"/>
      <c r="W1638" s="25"/>
      <c r="X1638" s="25"/>
      <c r="Y1638" s="25"/>
      <c r="Z1638" s="25"/>
    </row>
    <row r="1639" spans="1:26" ht="52.5" customHeight="1" x14ac:dyDescent="0.25">
      <c r="A1639" s="25" t="str">
        <f ca="1">IFERROR(__xludf.DUMMYFUNCTION("""COMPUTED_VALUE"""),"Gobie137")</f>
        <v>Gobie137</v>
      </c>
      <c r="B1639" s="25" t="str">
        <f ca="1">IFERROR(__xludf.DUMMYFUNCTION("""COMPUTED_VALUE"""),"Recorrido Barrios Unidos")</f>
        <v>Recorrido Barrios Unidos</v>
      </c>
      <c r="C1639" s="55">
        <f ca="1">IFERROR(__xludf.DUMMYFUNCTION("""COMPUTED_VALUE"""),44978)</f>
        <v>44978</v>
      </c>
      <c r="D1639" s="25" t="str">
        <f ca="1">IFERROR(__xludf.DUMMYFUNCTION("""COMPUTED_VALUE"""),"Gobierno")</f>
        <v>Gobierno</v>
      </c>
      <c r="E1639" s="25" t="str">
        <f ca="1">IFERROR(__xludf.DUMMYFUNCTION("""COMPUTED_VALUE"""),"Alcaldía Local")</f>
        <v>Alcaldía Local</v>
      </c>
      <c r="F1639" s="25" t="str">
        <f ca="1">IFERROR(__xludf.DUMMYFUNCTION("""COMPUTED_VALUE"""),"Vincular a la comunidad del barrio Colonia al programa Bogotá local")</f>
        <v>Vincular a la comunidad del barrio Colonia al programa Bogotá local</v>
      </c>
      <c r="G1639" s="25" t="str">
        <f ca="1">IFERROR(__xludf.DUMMYFUNCTION("""COMPUTED_VALUE"""),"12. Barrios Unidos")</f>
        <v>12. Barrios Unidos</v>
      </c>
      <c r="H1639" s="55">
        <f ca="1">IFERROR(__xludf.DUMMYFUNCTION("""COMPUTED_VALUE"""),45015)</f>
        <v>45015</v>
      </c>
      <c r="I1639" s="25" t="str">
        <f ca="1">IFERROR(__xludf.DUMMYFUNCTION("""COMPUTED_VALUE"""),"Secretaría Privada")</f>
        <v>Secretaría Privada</v>
      </c>
      <c r="J1639" s="55" t="str">
        <f ca="1">IFERROR(__xludf.DUMMYFUNCTION("""COMPUTED_VALUE"""),"Alta")</f>
        <v>Alta</v>
      </c>
      <c r="K1639" s="25">
        <f ca="1">IFERROR(__xludf.DUMMYFUNCTION("""COMPUTED_VALUE"""),37)</f>
        <v>37</v>
      </c>
      <c r="L1639" s="62">
        <f ca="1">IFERROR(__xludf.DUMMYFUNCTION("""COMPUTED_VALUE"""),45070)</f>
        <v>45070</v>
      </c>
      <c r="M1639" s="25" t="str">
        <f ca="1">IFERROR(__xludf.DUMMYFUNCTION("""COMPUTED_VALUE"""),"El equipo se encuentra en la programación de una jornada de socialización del programa
26 abril: Al programar la socialización se identifica que el Barrio Colonia no existe en la localidad de Barrios Unidos
10 mayo: Se reitera aclarar nombre del barrio")</f>
        <v>El equipo se encuentra en la programación de una jornada de socialización del programa
26 abril: Al programar la socialización se identifica que el Barrio Colonia no existe en la localidad de Barrios Unidos
10 mayo: Se reitera aclarar nombre del barrio</v>
      </c>
      <c r="N1639" s="25"/>
      <c r="O1639" s="25" t="str">
        <f t="shared" ca="1" si="0"/>
        <v>Alcaldía Local</v>
      </c>
      <c r="P1639" s="25" t="str">
        <f t="shared" ca="1" si="2"/>
        <v/>
      </c>
      <c r="Q1639" s="25" t="str">
        <f ca="1">IFERROR(__xludf.DUMMYFUNCTION("""COMPUTED_VALUE"""),"Corto plazo")</f>
        <v>Corto plazo</v>
      </c>
      <c r="R1639" s="25"/>
      <c r="S1639" s="55"/>
      <c r="T1639" s="56"/>
      <c r="U1639" s="25"/>
      <c r="V1639" s="25"/>
      <c r="W1639" s="25"/>
      <c r="X1639" s="25"/>
      <c r="Y1639" s="25"/>
      <c r="Z1639" s="25"/>
    </row>
    <row r="1640" spans="1:26" ht="52.5" customHeight="1" x14ac:dyDescent="0.25">
      <c r="A1640" s="25" t="str">
        <f ca="1">IFERROR(__xludf.DUMMYFUNCTION("""COMPUTED_VALUE"""),"Gobie138")</f>
        <v>Gobie138</v>
      </c>
      <c r="B1640" s="25" t="str">
        <f ca="1">IFERROR(__xludf.DUMMYFUNCTION("""COMPUTED_VALUE"""),"Recorrido Fontibón")</f>
        <v>Recorrido Fontibón</v>
      </c>
      <c r="C1640" s="55">
        <f ca="1">IFERROR(__xludf.DUMMYFUNCTION("""COMPUTED_VALUE"""),44984)</f>
        <v>44984</v>
      </c>
      <c r="D1640" s="25" t="str">
        <f ca="1">IFERROR(__xludf.DUMMYFUNCTION("""COMPUTED_VALUE"""),"Gobierno")</f>
        <v>Gobierno</v>
      </c>
      <c r="E1640" s="25" t="str">
        <f ca="1">IFERROR(__xludf.DUMMYFUNCTION("""COMPUTED_VALUE"""),"Alcaldía Local")</f>
        <v>Alcaldía Local</v>
      </c>
      <c r="F1640" s="25" t="str">
        <f ca="1">IFERROR(__xludf.DUMMYFUNCTION("""COMPUTED_VALUE"""),"Alcaldía local verificará la posibilidad de brindar más kits de seguridad solicitados por la comunidad.")</f>
        <v>Alcaldía local verificará la posibilidad de brindar más kits de seguridad solicitados por la comunidad.</v>
      </c>
      <c r="G1640" s="25" t="str">
        <f ca="1">IFERROR(__xludf.DUMMYFUNCTION("""COMPUTED_VALUE"""),"09. Fontibón")</f>
        <v>09. Fontibón</v>
      </c>
      <c r="H1640" s="55">
        <f ca="1">IFERROR(__xludf.DUMMYFUNCTION("""COMPUTED_VALUE"""),45049)</f>
        <v>45049</v>
      </c>
      <c r="I1640" s="25" t="str">
        <f ca="1">IFERROR(__xludf.DUMMYFUNCTION("""COMPUTED_VALUE"""),"Secretaría Privada")</f>
        <v>Secretaría Privada</v>
      </c>
      <c r="J1640" s="55" t="str">
        <f ca="1">IFERROR(__xludf.DUMMYFUNCTION("""COMPUTED_VALUE"""),"Media")</f>
        <v>Media</v>
      </c>
      <c r="K1640" s="25">
        <f ca="1">IFERROR(__xludf.DUMMYFUNCTION("""COMPUTED_VALUE"""),65)</f>
        <v>65</v>
      </c>
      <c r="L1640" s="62">
        <f ca="1">IFERROR(__xludf.DUMMYFUNCTION("""COMPUTED_VALUE"""),45082)</f>
        <v>45082</v>
      </c>
      <c r="M1640" s="25" t="str">
        <f ca="1">IFERROR(__xludf.DUMMYFUNCTION("""COMPUTED_VALUE"""),"Se materializa a través de excedentes financieros, se otorgarán 3 mil millones de pesos a las alcaldías locales para que cumplan con esta tarea
Reporte 18 abril 2023: Se encuentra en la etapa de elaboración de los documentos precontractuales, sobre los m"&amp;"ismos ya se tiene definido el estudio de mercado y anexo técnico y la totalidad de los documentos será entregado para revisión por parte del coordinador de oficina el día 27 de Abril de 2023.
Reporte 10 de mayo de 2023: Se encuentra en trámite precontrac"&amp;"tual programado para entregar en el segundo semestre
Reporte 30 de mayo 2023: En ejecución del contrato 362-2022 actualmente se han realizado 28 entregas. En el ejercicio de diagnóstico y verificación de puntos así como la magnitud determinando su impact"&amp;"o para la seguridad de los mismos se establece la posibilidad de la priorización de otros puntos más. ")</f>
        <v xml:space="preserve">Se materializa a través de excedentes financieros, se otorgarán 3 mil millones de pesos a las alcaldías locales para que cumplan con esta tarea
Reporte 18 abril 2023: Se encuentra en la etapa de elaboración de los documentos precontractuales, sobre los mismos ya se tiene definido el estudio de mercado y anexo técnico y la totalidad de los documentos será entregado para revisión por parte del coordinador de oficina el día 27 de Abril de 2023.
Reporte 10 de mayo de 2023: Se encuentra en trámite precontractual programado para entregar en el segundo semestre
Reporte 30 de mayo 2023: En ejecución del contrato 362-2022 actualmente se han realizado 28 entregas. En el ejercicio de diagnóstico y verificación de puntos así como la magnitud determinando su impacto para la seguridad de los mismos se establece la posibilidad de la priorización de otros puntos más. </v>
      </c>
      <c r="N1640" s="25"/>
      <c r="O1640" s="25" t="str">
        <f t="shared" ca="1" si="0"/>
        <v>Alcaldía Local</v>
      </c>
      <c r="P1640" s="25" t="str">
        <f t="shared" ca="1" si="2"/>
        <v/>
      </c>
      <c r="Q1640" s="25" t="str">
        <f ca="1">IFERROR(__xludf.DUMMYFUNCTION("""COMPUTED_VALUE"""),"Mediano plazo")</f>
        <v>Mediano plazo</v>
      </c>
      <c r="R1640" s="25"/>
      <c r="S1640" s="55"/>
      <c r="T1640" s="56"/>
      <c r="U1640" s="25"/>
      <c r="V1640" s="25"/>
      <c r="W1640" s="25"/>
      <c r="X1640" s="25"/>
      <c r="Y1640" s="25"/>
      <c r="Z1640" s="25"/>
    </row>
    <row r="1641" spans="1:26" ht="52.5" customHeight="1" x14ac:dyDescent="0.25">
      <c r="A1641" s="25" t="str">
        <f ca="1">IFERROR(__xludf.DUMMYFUNCTION("""COMPUTED_VALUE"""),"Gobie139")</f>
        <v>Gobie139</v>
      </c>
      <c r="B1641" s="25" t="str">
        <f ca="1">IFERROR(__xludf.DUMMYFUNCTION("""COMPUTED_VALUE"""),"Recorrido Fontibón")</f>
        <v>Recorrido Fontibón</v>
      </c>
      <c r="C1641" s="55">
        <f ca="1">IFERROR(__xludf.DUMMYFUNCTION("""COMPUTED_VALUE"""),44984)</f>
        <v>44984</v>
      </c>
      <c r="D1641" s="25" t="str">
        <f ca="1">IFERROR(__xludf.DUMMYFUNCTION("""COMPUTED_VALUE"""),"Gobierno")</f>
        <v>Gobierno</v>
      </c>
      <c r="E1641" s="25" t="str">
        <f ca="1">IFERROR(__xludf.DUMMYFUNCTION("""COMPUTED_VALUE"""),"Alcaldía Local")</f>
        <v>Alcaldía Local</v>
      </c>
      <c r="F1641" s="25" t="str">
        <f ca="1">IFERROR(__xludf.DUMMYFUNCTION("""COMPUTED_VALUE"""),"Realizar mesa de trabajo para la próxima semana con ediles, concejales, alcaldía local, UMV e IDU para priorizar en conjunto las intervenciones de malla vial.")</f>
        <v>Realizar mesa de trabajo para la próxima semana con ediles, concejales, alcaldía local, UMV e IDU para priorizar en conjunto las intervenciones de malla vial.</v>
      </c>
      <c r="G1641" s="25" t="str">
        <f ca="1">IFERROR(__xludf.DUMMYFUNCTION("""COMPUTED_VALUE"""),"09. Fontibón")</f>
        <v>09. Fontibón</v>
      </c>
      <c r="H1641" s="55">
        <f ca="1">IFERROR(__xludf.DUMMYFUNCTION("""COMPUTED_VALUE"""),45029)</f>
        <v>45029</v>
      </c>
      <c r="I1641" s="25" t="str">
        <f ca="1">IFERROR(__xludf.DUMMYFUNCTION("""COMPUTED_VALUE"""),"Secretaría Privada")</f>
        <v>Secretaría Privada</v>
      </c>
      <c r="J1641" s="55" t="str">
        <f ca="1">IFERROR(__xludf.DUMMYFUNCTION("""COMPUTED_VALUE"""),"Alta")</f>
        <v>Alta</v>
      </c>
      <c r="K1641" s="25">
        <f ca="1">IFERROR(__xludf.DUMMYFUNCTION("""COMPUTED_VALUE"""),45)</f>
        <v>45</v>
      </c>
      <c r="L1641" s="62">
        <f ca="1">IFERROR(__xludf.DUMMYFUNCTION("""COMPUTED_VALUE"""),45082)</f>
        <v>45082</v>
      </c>
      <c r="M1641" s="66" t="str">
        <f ca="1">IFERROR(__xludf.DUMMYFUNCTION("""COMPUTED_VALUE"""),"Se programa recorrido - mesa de trabajo  interinstitucional, JAL los días 13/04/2023 y 14/04/2023 para verificación de las intervenciones de malla víal
14/04/2023 para verificación de las intervenciones de malla víal
Reporte final: En esta mesa de trabaj"&amp;"o se incluyó un recorrido por toda la localidad que permitió visualizar la problemática en materia de malla vial.
Se adjunta evidencia: https://gobiernobogota.sharepoint.com/:f:/s/DGDL/Etowi9GPNGRPodjLK7-qOaoBE-3X5Gm5WuRd-wc_9i5lTg?e=IvFKJU
10 de mayo: S"&amp;"e reitera solicitud de cierre ")</f>
        <v xml:space="preserve">Se programa recorrido - mesa de trabajo  interinstitucional, JAL los días 13/04/2023 y 14/04/2023 para verificación de las intervenciones de malla víal
14/04/2023 para verificación de las intervenciones de malla víal
Reporte final: En esta mesa de trabajo se incluyó un recorrido por toda la localidad que permitió visualizar la problemática en materia de malla vial.
Se adjunta evidencia: https://gobiernobogota.sharepoint.com/:f:/s/DGDL/Etowi9GPNGRPodjLK7-qOaoBE-3X5Gm5WuRd-wc_9i5lTg?e=IvFKJU
10 de mayo: Se reitera solicitud de cierre </v>
      </c>
      <c r="N1641" s="25"/>
      <c r="O1641" s="25" t="str">
        <f t="shared" ca="1" si="0"/>
        <v>Alcaldía Local</v>
      </c>
      <c r="P1641" s="25" t="str">
        <f t="shared" ca="1" si="2"/>
        <v/>
      </c>
      <c r="Q1641" s="25" t="str">
        <f ca="1">IFERROR(__xludf.DUMMYFUNCTION("""COMPUTED_VALUE"""),"Corto plazo")</f>
        <v>Corto plazo</v>
      </c>
      <c r="R1641" s="25"/>
      <c r="S1641" s="55"/>
      <c r="T1641" s="56"/>
      <c r="U1641" s="25"/>
      <c r="V1641" s="25"/>
      <c r="W1641" s="25"/>
      <c r="X1641" s="25"/>
      <c r="Y1641" s="25"/>
      <c r="Z1641" s="25"/>
    </row>
    <row r="1642" spans="1:26" ht="52.5" customHeight="1" x14ac:dyDescent="0.25">
      <c r="A1642" s="25" t="str">
        <f ca="1">IFERROR(__xludf.DUMMYFUNCTION("""COMPUTED_VALUE"""),"Gobie140")</f>
        <v>Gobie140</v>
      </c>
      <c r="B1642" s="25" t="str">
        <f ca="1">IFERROR(__xludf.DUMMYFUNCTION("""COMPUTED_VALUE"""),"Recorrido Fontibón")</f>
        <v>Recorrido Fontibón</v>
      </c>
      <c r="C1642" s="55">
        <f ca="1">IFERROR(__xludf.DUMMYFUNCTION("""COMPUTED_VALUE"""),44984)</f>
        <v>44984</v>
      </c>
      <c r="D1642" s="25" t="str">
        <f ca="1">IFERROR(__xludf.DUMMYFUNCTION("""COMPUTED_VALUE"""),"Gobierno")</f>
        <v>Gobierno</v>
      </c>
      <c r="E1642" s="25" t="str">
        <f ca="1">IFERROR(__xludf.DUMMYFUNCTION("""COMPUTED_VALUE"""),"Secretaría Distrital de Gobierno")</f>
        <v>Secretaría Distrital de Gobierno</v>
      </c>
      <c r="F1642" s="25" t="str">
        <f ca="1">IFERROR(__xludf.DUMMYFUNCTION("""COMPUTED_VALUE"""),"Recuperación de la casa de la cultura ubicada en barrio Recodo.")</f>
        <v>Recuperación de la casa de la cultura ubicada en barrio Recodo.</v>
      </c>
      <c r="G1642" s="25" t="str">
        <f ca="1">IFERROR(__xludf.DUMMYFUNCTION("""COMPUTED_VALUE"""),"09. Fontibón")</f>
        <v>09. Fontibón</v>
      </c>
      <c r="H1642" s="55">
        <f ca="1">IFERROR(__xludf.DUMMYFUNCTION("""COMPUTED_VALUE"""),45032)</f>
        <v>45032</v>
      </c>
      <c r="I1642" s="25" t="str">
        <f ca="1">IFERROR(__xludf.DUMMYFUNCTION("""COMPUTED_VALUE"""),"Secretaría Privada")</f>
        <v>Secretaría Privada</v>
      </c>
      <c r="J1642" s="55" t="str">
        <f ca="1">IFERROR(__xludf.DUMMYFUNCTION("""COMPUTED_VALUE"""),"Alta")</f>
        <v>Alta</v>
      </c>
      <c r="K1642" s="25">
        <f ca="1">IFERROR(__xludf.DUMMYFUNCTION("""COMPUTED_VALUE"""),48)</f>
        <v>48</v>
      </c>
      <c r="L1642" s="62">
        <f ca="1">IFERROR(__xludf.DUMMYFUNCTION("""COMPUTED_VALUE"""),45070)</f>
        <v>45070</v>
      </c>
      <c r="M1642" s="25" t="str">
        <f ca="1">IFERROR(__xludf.DUMMYFUNCTION("""COMPUTED_VALUE"""),"Actualmente se presenta fase de recuperación y analisis de datos desde 3 fuentes de trabajo, el viernes 31 de marzo de 2023 se programa una mesa de trabajo con las entidades del sector involucradas con el fin de revisión del estado y determinación del pla"&amp;"n de acción.
Reporte 18 abril: El 3 de abril se realizó visita diagnóstico y coordinación con el área de infraestructura y funcionarios de secretaría de cultura para verificar condiciones del lugar y posibilidades de adecuación, mantenimiento y dotación."&amp;" 
Reporte 04 mayo: Apartir del informe de las visitas diagnóstico, se encuentra en fase de análisis técnica para toma de decisiones sobre el proceso de restauración y adecuación.")</f>
        <v>Actualmente se presenta fase de recuperación y analisis de datos desde 3 fuentes de trabajo, el viernes 31 de marzo de 2023 se programa una mesa de trabajo con las entidades del sector involucradas con el fin de revisión del estado y determinación del plan de acción.
Reporte 18 abril: El 3 de abril se realizó visita diagnóstico y coordinación con el área de infraestructura y funcionarios de secretaría de cultura para verificar condiciones del lugar y posibilidades de adecuación, mantenimiento y dotación. 
Reporte 04 mayo: Apartir del informe de las visitas diagnóstico, se encuentra en fase de análisis técnica para toma de decisiones sobre el proceso de restauración y adecuación.</v>
      </c>
      <c r="N1642" s="25"/>
      <c r="O1642" s="25" t="str">
        <f t="shared" ca="1" si="0"/>
        <v>Secretaría Distrital de Gobierno</v>
      </c>
      <c r="P1642" s="25" t="str">
        <f t="shared" ca="1" si="2"/>
        <v/>
      </c>
      <c r="Q1642" s="25" t="str">
        <f ca="1">IFERROR(__xludf.DUMMYFUNCTION("""COMPUTED_VALUE"""),"Corto plazo")</f>
        <v>Corto plazo</v>
      </c>
      <c r="R1642" s="25"/>
      <c r="S1642" s="55"/>
      <c r="T1642" s="56"/>
      <c r="U1642" s="25"/>
      <c r="V1642" s="25"/>
      <c r="W1642" s="25"/>
      <c r="X1642" s="25"/>
      <c r="Y1642" s="25"/>
      <c r="Z1642" s="25"/>
    </row>
    <row r="1643" spans="1:26" ht="52.5" customHeight="1" x14ac:dyDescent="0.25">
      <c r="A1643" s="25" t="str">
        <f ca="1">IFERROR(__xludf.DUMMYFUNCTION("""COMPUTED_VALUE"""),"Gobie141")</f>
        <v>Gobie141</v>
      </c>
      <c r="B1643" s="25" t="str">
        <f ca="1">IFERROR(__xludf.DUMMYFUNCTION("""COMPUTED_VALUE"""),"Recorrido Tunjuelito")</f>
        <v>Recorrido Tunjuelito</v>
      </c>
      <c r="C1643" s="55">
        <f ca="1">IFERROR(__xludf.DUMMYFUNCTION("""COMPUTED_VALUE"""),44992)</f>
        <v>44992</v>
      </c>
      <c r="D1643" s="25" t="str">
        <f ca="1">IFERROR(__xludf.DUMMYFUNCTION("""COMPUTED_VALUE"""),"Gobierno")</f>
        <v>Gobierno</v>
      </c>
      <c r="E1643" s="25" t="str">
        <f ca="1">IFERROR(__xludf.DUMMYFUNCTION("""COMPUTED_VALUE"""),"Alcaldía Local")</f>
        <v>Alcaldía Local</v>
      </c>
      <c r="F1643" s="25" t="str">
        <f ca="1">IFERROR(__xludf.DUMMYFUNCTION("""COMPUTED_VALUE"""),"Finalización de obras de construcción del parque urbanización el tunal II para mediados de agosto. Invitar a la Alcaldesa Mayor para la entrega del parque a la comunidad.")</f>
        <v>Finalización de obras de construcción del parque urbanización el tunal II para mediados de agosto. Invitar a la Alcaldesa Mayor para la entrega del parque a la comunidad.</v>
      </c>
      <c r="G1643" s="25" t="str">
        <f ca="1">IFERROR(__xludf.DUMMYFUNCTION("""COMPUTED_VALUE"""),"06. Tunjuelito")</f>
        <v>06. Tunjuelito</v>
      </c>
      <c r="H1643" s="55">
        <f ca="1">IFERROR(__xludf.DUMMYFUNCTION("""COMPUTED_VALUE"""),45137)</f>
        <v>45137</v>
      </c>
      <c r="I1643" s="25" t="str">
        <f ca="1">IFERROR(__xludf.DUMMYFUNCTION("""COMPUTED_VALUE"""),"Secretaría Privada")</f>
        <v>Secretaría Privada</v>
      </c>
      <c r="J1643" s="55" t="str">
        <f ca="1">IFERROR(__xludf.DUMMYFUNCTION("""COMPUTED_VALUE"""),"Media")</f>
        <v>Media</v>
      </c>
      <c r="K1643" s="25">
        <f ca="1">IFERROR(__xludf.DUMMYFUNCTION("""COMPUTED_VALUE"""),145)</f>
        <v>145</v>
      </c>
      <c r="L1643" s="62">
        <f ca="1">IFERROR(__xludf.DUMMYFUNCTION("""COMPUTED_VALUE"""),45070)</f>
        <v>45070</v>
      </c>
      <c r="M1643" s="25" t="str">
        <f ca="1">IFERROR(__xludf.DUMMYFUNCTION("""COMPUTED_VALUE"""),"En contrato de obra 277 del 2022 se encuentra en ejecución con un avance del 25%, se encuentra en etapa de rellenos y escavaciones, con la elaboracion de filtros para el manejo de aguas. Ya se obtuvieron los permiso de las entidades de servicios públicos."&amp;"
Reporte 17 abril 2023: Se avanza conforme cronograma de obra.
Reporte 8 mayo 2023: A corte de hoy el contratista lleva una avance del 28% de la obra como son las actividades: 
- Descapote van en un 90% 
- Excavaciones van con un avance del 80%
- Confor"&amp;"macion de Talud en un avance del 60%
- Instalacion de geotextil en un 70%
- Instalacion de materia Granular (Recebo y Base Granular aun 60%)
- Instalacion de Sarnidel en los 5 Poligonos y en Modulo C con un avance del 55%
- Instalacion de filtro (frances)"&amp;" en los poligonos 14, 15 y parte del modulo C con un avance del 40%
- Se tiene conformados con material Granular los sendero entre el  Modulos A y B, sendero entre el Modulo B y C aun 90% de avance.")</f>
        <v>En contrato de obra 277 del 2022 se encuentra en ejecución con un avance del 25%, se encuentra en etapa de rellenos y escavaciones, con la elaboracion de filtros para el manejo de aguas. Ya se obtuvieron los permiso de las entidades de servicios públicos.
Reporte 17 abril 2023: Se avanza conforme cronograma de obra.
Reporte 8 mayo 2023: A corte de hoy el contratista lleva una avance del 28% de la obra como son las actividades: 
- Descapote van en un 90% 
- Excavaciones van con un avance del 80%
- Conformacion de Talud en un avance del 60%
- Instalacion de geotextil en un 70%
- Instalacion de materia Granular (Recebo y Base Granular aun 60%)
- Instalacion de Sarnidel en los 5 Poligonos y en Modulo C con un avance del 55%
- Instalacion de filtro (frances) en los poligonos 14, 15 y parte del modulo C con un avance del 40%
- Se tiene conformados con material Granular los sendero entre el  Modulos A y B, sendero entre el Modulo B y C aun 90% de avance.</v>
      </c>
      <c r="N1643" s="25"/>
      <c r="O1643" s="25" t="str">
        <f t="shared" ca="1" si="0"/>
        <v>Alcaldía Local</v>
      </c>
      <c r="P1643" s="25" t="str">
        <f t="shared" ca="1" si="2"/>
        <v/>
      </c>
      <c r="Q1643" s="25" t="str">
        <f ca="1">IFERROR(__xludf.DUMMYFUNCTION("""COMPUTED_VALUE"""),"Mediano plazo")</f>
        <v>Mediano plazo</v>
      </c>
      <c r="R1643" s="25"/>
      <c r="S1643" s="55"/>
      <c r="T1643" s="56"/>
      <c r="U1643" s="25"/>
      <c r="V1643" s="25"/>
      <c r="W1643" s="25"/>
      <c r="X1643" s="25"/>
      <c r="Y1643" s="25"/>
      <c r="Z1643" s="25"/>
    </row>
    <row r="1644" spans="1:26" ht="52.5" customHeight="1" x14ac:dyDescent="0.25">
      <c r="A1644" s="25" t="str">
        <f ca="1">IFERROR(__xludf.DUMMYFUNCTION("""COMPUTED_VALUE"""),"Gobie142")</f>
        <v>Gobie142</v>
      </c>
      <c r="B1644" s="25"/>
      <c r="C1644" s="55"/>
      <c r="D1644" s="25" t="str">
        <f ca="1">IFERROR(__xludf.DUMMYFUNCTION("""COMPUTED_VALUE"""),"Gobierno")</f>
        <v>Gobierno</v>
      </c>
      <c r="E1644" s="25" t="str">
        <f ca="1">IFERROR(__xludf.DUMMYFUNCTION("""COMPUTED_VALUE"""),"Secretaría Distrital de Gobierno")</f>
        <v>Secretaría Distrital de Gobierno</v>
      </c>
      <c r="F1644" s="25" t="str">
        <f ca="1">IFERROR(__xludf.DUMMYFUNCTION("""COMPUTED_VALUE"""),"Eliminada")</f>
        <v>Eliminada</v>
      </c>
      <c r="G1644" s="25"/>
      <c r="H1644" s="25"/>
      <c r="I1644" s="25"/>
      <c r="J1644" s="55"/>
      <c r="K1644" s="25" t="str">
        <f ca="1">IFERROR(__xludf.DUMMYFUNCTION("""COMPUTED_VALUE"""),"Definir fecha")</f>
        <v>Definir fecha</v>
      </c>
      <c r="L1644" s="62"/>
      <c r="M1644" s="25"/>
      <c r="N1644" s="25"/>
      <c r="O1644" s="25" t="str">
        <f t="shared" ca="1" si="0"/>
        <v>Secretaría Distrital de Gobierno</v>
      </c>
      <c r="P1644" s="25" t="str">
        <f t="shared" si="2"/>
        <v/>
      </c>
      <c r="Q1644" s="25" t="str">
        <f ca="1">IFERROR(__xludf.DUMMYFUNCTION("""COMPUTED_VALUE"""),"Sin defenir")</f>
        <v>Sin defenir</v>
      </c>
      <c r="R1644" s="25"/>
      <c r="S1644" s="55"/>
      <c r="T1644" s="56"/>
      <c r="U1644" s="25"/>
      <c r="V1644" s="25"/>
      <c r="W1644" s="25"/>
      <c r="X1644" s="25"/>
      <c r="Y1644" s="25"/>
      <c r="Z1644" s="25"/>
    </row>
    <row r="1645" spans="1:26" ht="52.5" customHeight="1" x14ac:dyDescent="0.25">
      <c r="A1645" s="25" t="str">
        <f ca="1">IFERROR(__xludf.DUMMYFUNCTION("""COMPUTED_VALUE"""),"Gobie143")</f>
        <v>Gobie143</v>
      </c>
      <c r="B1645" s="25" t="str">
        <f ca="1">IFERROR(__xludf.DUMMYFUNCTION("""COMPUTED_VALUE"""),"Recorrido Tunjuelito")</f>
        <v>Recorrido Tunjuelito</v>
      </c>
      <c r="C1645" s="55">
        <f ca="1">IFERROR(__xludf.DUMMYFUNCTION("""COMPUTED_VALUE"""),44992)</f>
        <v>44992</v>
      </c>
      <c r="D1645" s="25" t="str">
        <f ca="1">IFERROR(__xludf.DUMMYFUNCTION("""COMPUTED_VALUE"""),"Gobierno")</f>
        <v>Gobierno</v>
      </c>
      <c r="E1645" s="25" t="str">
        <f ca="1">IFERROR(__xludf.DUMMYFUNCTION("""COMPUTED_VALUE"""),"Alcaldía Local")</f>
        <v>Alcaldía Local</v>
      </c>
      <c r="F1645" s="25" t="str">
        <f ca="1">IFERROR(__xludf.DUMMYFUNCTION("""COMPUTED_VALUE"""),"Durante abril y mayo se realizará plantación de individuos arbóreos en el polígono 251(Meissen). Actividad en articulación con JBB y acueducto")</f>
        <v>Durante abril y mayo se realizará plantación de individuos arbóreos en el polígono 251(Meissen). Actividad en articulación con JBB y acueducto</v>
      </c>
      <c r="G1645" s="25" t="str">
        <f ca="1">IFERROR(__xludf.DUMMYFUNCTION("""COMPUTED_VALUE"""),"06. Tunjuelito")</f>
        <v>06. Tunjuelito</v>
      </c>
      <c r="H1645" s="55">
        <f ca="1">IFERROR(__xludf.DUMMYFUNCTION("""COMPUTED_VALUE"""),45076)</f>
        <v>45076</v>
      </c>
      <c r="I1645" s="25" t="str">
        <f ca="1">IFERROR(__xludf.DUMMYFUNCTION("""COMPUTED_VALUE"""),"Secretaría Privada")</f>
        <v>Secretaría Privada</v>
      </c>
      <c r="J1645" s="55" t="str">
        <f ca="1">IFERROR(__xludf.DUMMYFUNCTION("""COMPUTED_VALUE"""),"Media")</f>
        <v>Media</v>
      </c>
      <c r="K1645" s="25">
        <f ca="1">IFERROR(__xludf.DUMMYFUNCTION("""COMPUTED_VALUE"""),84)</f>
        <v>84</v>
      </c>
      <c r="L1645" s="62">
        <f ca="1">IFERROR(__xludf.DUMMYFUNCTION("""COMPUTED_VALUE"""),45082)</f>
        <v>45082</v>
      </c>
      <c r="M1645" s="25" t="str">
        <f ca="1">IFERROR(__xludf.DUMMYFUNCTION("""COMPUTED_VALUE"""),"Se adelantan mesas de trabajo con entidades, se realizó un recorrido para identificación de las condiciones edáficas del terreno por medio de calicatas, para establecer diseños de restauración ecológica. 
Reporte 17 abril 2023: En mesa de seguimiento del"&amp;"  polígono de meissen del 27 de marzo del 2023, se informa que la ALT intervendrá el polígono mediante acciones de restauración, plantación, jardines polinizadores y mantenimiento para lo cual se encuentra en proceso de formulación la licitación del proye"&amp;"cto 1919 y 1920.
Reporte 8 abril 2023: En la primera semana de mayo se entregó documento de licitación  (Proyecto 1919 y proyecto 1920) al area de planeación, para avence de estudio de mercado, se encuentra en proceso de estudio de mercado y estudio de "&amp;"sector. 
Una vez finalizado, se presentara a comité de contratación para continuar el proceso.
Reporte a 30 de mayo: el 26 de mayo, se desarrolló mesa de trabajo con el Alcalde Local y equipo de planeación para revisión y ajuste del documento del la lic"&amp;"itación, adicionalmente se encuentra el personal de planeación avanzando el estudio de sector,.  Una vez finalizado, se presentara a comité de contratación para continuar el proceso. ")</f>
        <v xml:space="preserve">Se adelantan mesas de trabajo con entidades, se realizó un recorrido para identificación de las condiciones edáficas del terreno por medio de calicatas, para establecer diseños de restauración ecológica. 
Reporte 17 abril 2023: En mesa de seguimiento del  polígono de meissen del 27 de marzo del 2023, se informa que la ALT intervendrá el polígono mediante acciones de restauración, plantación, jardines polinizadores y mantenimiento para lo cual se encuentra en proceso de formulación la licitación del proyecto 1919 y 1920.
Reporte 8 abril 2023: En la primera semana de mayo se entregó documento de licitación  (Proyecto 1919 y proyecto 1920) al area de planeación, para avence de estudio de mercado, se encuentra en proceso de estudio de mercado y estudio de sector. 
Una vez finalizado, se presentara a comité de contratación para continuar el proceso.
Reporte a 30 de mayo: el 26 de mayo, se desarrolló mesa de trabajo con el Alcalde Local y equipo de planeación para revisión y ajuste del documento del la licitación, adicionalmente se encuentra el personal de planeación avanzando el estudio de sector,.  Una vez finalizado, se presentara a comité de contratación para continuar el proceso. </v>
      </c>
      <c r="N1645" s="25"/>
      <c r="O1645" s="25" t="str">
        <f t="shared" ca="1" si="0"/>
        <v>Alcaldía Local</v>
      </c>
      <c r="P1645" s="25" t="str">
        <f t="shared" ca="1" si="2"/>
        <v/>
      </c>
      <c r="Q1645" s="25" t="str">
        <f ca="1">IFERROR(__xludf.DUMMYFUNCTION("""COMPUTED_VALUE"""),"Mediano plazo")</f>
        <v>Mediano plazo</v>
      </c>
      <c r="R1645" s="25"/>
      <c r="S1645" s="55"/>
      <c r="T1645" s="56"/>
      <c r="U1645" s="25"/>
      <c r="V1645" s="25"/>
      <c r="W1645" s="25"/>
      <c r="X1645" s="25"/>
      <c r="Y1645" s="25"/>
      <c r="Z1645" s="25"/>
    </row>
    <row r="1646" spans="1:26" ht="52.5" customHeight="1" x14ac:dyDescent="0.25">
      <c r="A1646" s="25" t="str">
        <f ca="1">IFERROR(__xludf.DUMMYFUNCTION("""COMPUTED_VALUE"""),"Gobie144")</f>
        <v>Gobie144</v>
      </c>
      <c r="B1646" s="25" t="str">
        <f ca="1">IFERROR(__xludf.DUMMYFUNCTION("""COMPUTED_VALUE"""),"Recorrido Tunjuelito")</f>
        <v>Recorrido Tunjuelito</v>
      </c>
      <c r="C1646" s="55">
        <f ca="1">IFERROR(__xludf.DUMMYFUNCTION("""COMPUTED_VALUE"""),44992)</f>
        <v>44992</v>
      </c>
      <c r="D1646" s="25" t="str">
        <f ca="1">IFERROR(__xludf.DUMMYFUNCTION("""COMPUTED_VALUE"""),"Gobierno")</f>
        <v>Gobierno</v>
      </c>
      <c r="E1646" s="25" t="str">
        <f ca="1">IFERROR(__xludf.DUMMYFUNCTION("""COMPUTED_VALUE"""),"Alcaldía Local")</f>
        <v>Alcaldía Local</v>
      </c>
      <c r="F1646" s="25" t="str">
        <f ca="1">IFERROR(__xludf.DUMMYFUNCTION("""COMPUTED_VALUE"""),"Siembra de 450 individuos arbóreos polinizadores en el marco de este ejercicio en el corredor de frigorifico Guadalupe")</f>
        <v>Siembra de 450 individuos arbóreos polinizadores en el marco de este ejercicio en el corredor de frigorifico Guadalupe</v>
      </c>
      <c r="G1646" s="25" t="str">
        <f ca="1">IFERROR(__xludf.DUMMYFUNCTION("""COMPUTED_VALUE"""),"06. Tunjuelito")</f>
        <v>06. Tunjuelito</v>
      </c>
      <c r="H1646" s="55">
        <f ca="1">IFERROR(__xludf.DUMMYFUNCTION("""COMPUTED_VALUE"""),45076)</f>
        <v>45076</v>
      </c>
      <c r="I1646" s="25"/>
      <c r="J1646" s="55" t="str">
        <f ca="1">IFERROR(__xludf.DUMMYFUNCTION("""COMPUTED_VALUE"""),"Media")</f>
        <v>Media</v>
      </c>
      <c r="K1646" s="25">
        <f ca="1">IFERROR(__xludf.DUMMYFUNCTION("""COMPUTED_VALUE"""),84)</f>
        <v>84</v>
      </c>
      <c r="L1646" s="62">
        <f ca="1">IFERROR(__xludf.DUMMYFUNCTION("""COMPUTED_VALUE"""),45016)</f>
        <v>45016</v>
      </c>
      <c r="M1646" s="25" t="str">
        <f ca="1">IFERROR(__xludf.DUMMYFUNCTION("""COMPUTED_VALUE"""),"Mediante el contrato del consorcio del río Bogotá se realizó la siembra de 450 individuos arbóreos en el perímetro del Frigorífico Guadalupe, mitigando la afectación de olores ofensivos.")</f>
        <v>Mediante el contrato del consorcio del río Bogotá se realizó la siembra de 450 individuos arbóreos en el perímetro del Frigorífico Guadalupe, mitigando la afectación de olores ofensivos.</v>
      </c>
      <c r="N1646" s="55">
        <f ca="1">IFERROR(__xludf.DUMMYFUNCTION("""COMPUTED_VALUE"""),45030)</f>
        <v>45030</v>
      </c>
      <c r="O1646" s="25" t="str">
        <f t="shared" ca="1" si="0"/>
        <v>Alcaldía Local</v>
      </c>
      <c r="P1646" s="25" t="str">
        <f t="shared" si="2"/>
        <v/>
      </c>
      <c r="Q1646" s="25" t="str">
        <f ca="1">IFERROR(__xludf.DUMMYFUNCTION("""COMPUTED_VALUE"""),"Mediano plazo")</f>
        <v>Mediano plazo</v>
      </c>
      <c r="R1646" s="25"/>
      <c r="S1646" s="55"/>
      <c r="T1646" s="56"/>
      <c r="U1646" s="25"/>
      <c r="V1646" s="25"/>
      <c r="W1646" s="25"/>
      <c r="X1646" s="25"/>
      <c r="Y1646" s="25"/>
      <c r="Z1646" s="25"/>
    </row>
    <row r="1647" spans="1:26" ht="52.5" customHeight="1" x14ac:dyDescent="0.25">
      <c r="A1647" s="25" t="str">
        <f ca="1">IFERROR(__xludf.DUMMYFUNCTION("""COMPUTED_VALUE"""),"Gobie145")</f>
        <v>Gobie145</v>
      </c>
      <c r="B1647" s="25" t="str">
        <f ca="1">IFERROR(__xludf.DUMMYFUNCTION("""COMPUTED_VALUE"""),"Recorrido Tunjuelito")</f>
        <v>Recorrido Tunjuelito</v>
      </c>
      <c r="C1647" s="55">
        <f ca="1">IFERROR(__xludf.DUMMYFUNCTION("""COMPUTED_VALUE"""),44992)</f>
        <v>44992</v>
      </c>
      <c r="D1647" s="25" t="str">
        <f ca="1">IFERROR(__xludf.DUMMYFUNCTION("""COMPUTED_VALUE"""),"Gobierno")</f>
        <v>Gobierno</v>
      </c>
      <c r="E1647" s="25" t="str">
        <f ca="1">IFERROR(__xludf.DUMMYFUNCTION("""COMPUTED_VALUE"""),"Secretaría Distrital de Gobierno")</f>
        <v>Secretaría Distrital de Gobierno</v>
      </c>
      <c r="F1647" s="25" t="str">
        <f ca="1">IFERROR(__xludf.DUMMYFUNCTION("""COMPUTED_VALUE"""),"Presentar al Concejo de Bogotá 2 proyectos de acuerdo: uno sobre institucionalización de Bogotá Local y otro sobre presupuestos participativos.")</f>
        <v>Presentar al Concejo de Bogotá 2 proyectos de acuerdo: uno sobre institucionalización de Bogotá Local y otro sobre presupuestos participativos.</v>
      </c>
      <c r="G1647" s="25" t="str">
        <f ca="1">IFERROR(__xludf.DUMMYFUNCTION("""COMPUTED_VALUE"""),"99. Distrito")</f>
        <v>99. Distrito</v>
      </c>
      <c r="H1647" s="55">
        <f ca="1">IFERROR(__xludf.DUMMYFUNCTION("""COMPUTED_VALUE"""),45061)</f>
        <v>45061</v>
      </c>
      <c r="I1647" s="25" t="str">
        <f ca="1">IFERROR(__xludf.DUMMYFUNCTION("""COMPUTED_VALUE"""),"Secretaría Privada")</f>
        <v>Secretaría Privada</v>
      </c>
      <c r="J1647" s="55" t="str">
        <f ca="1">IFERROR(__xludf.DUMMYFUNCTION("""COMPUTED_VALUE"""),"Media")</f>
        <v>Media</v>
      </c>
      <c r="K1647" s="25">
        <f ca="1">IFERROR(__xludf.DUMMYFUNCTION("""COMPUTED_VALUE"""),69)</f>
        <v>69</v>
      </c>
      <c r="L1647" s="62">
        <f ca="1">IFERROR(__xludf.DUMMYFUNCTION("""COMPUTED_VALUE"""),45070)</f>
        <v>45070</v>
      </c>
      <c r="M1647" s="25" t="str">
        <f ca="1">IFERROR(__xludf.DUMMYFUNCTION("""COMPUTED_VALUE"""),"Se están adelantando las acciones de construcción de los proyectos de acuerdo para presentar en el mes de mayo ante el Concejo de Bogotá
Reporte 10 de mayo: Los documentos se encuentran en revisiones finales para presentar")</f>
        <v>Se están adelantando las acciones de construcción de los proyectos de acuerdo para presentar en el mes de mayo ante el Concejo de Bogotá
Reporte 10 de mayo: Los documentos se encuentran en revisiones finales para presentar</v>
      </c>
      <c r="N1647" s="25"/>
      <c r="O1647" s="25" t="str">
        <f t="shared" ca="1" si="0"/>
        <v>Secretaría Distrital de Gobierno</v>
      </c>
      <c r="P1647" s="25" t="str">
        <f t="shared" ca="1" si="2"/>
        <v/>
      </c>
      <c r="Q1647" s="25" t="str">
        <f ca="1">IFERROR(__xludf.DUMMYFUNCTION("""COMPUTED_VALUE"""),"Mediano plazo")</f>
        <v>Mediano plazo</v>
      </c>
      <c r="R1647" s="25"/>
      <c r="S1647" s="55"/>
      <c r="T1647" s="56"/>
      <c r="U1647" s="25"/>
      <c r="V1647" s="25"/>
      <c r="W1647" s="25"/>
      <c r="X1647" s="25"/>
      <c r="Y1647" s="25"/>
      <c r="Z1647" s="25"/>
    </row>
    <row r="1648" spans="1:26" ht="52.5" customHeight="1" x14ac:dyDescent="0.25">
      <c r="A1648" s="25" t="str">
        <f ca="1">IFERROR(__xludf.DUMMYFUNCTION("""COMPUTED_VALUE"""),"Gobie146")</f>
        <v>Gobie146</v>
      </c>
      <c r="B1648" s="25" t="str">
        <f ca="1">IFERROR(__xludf.DUMMYFUNCTION("""COMPUTED_VALUE"""),"Recorrido Antonio Nariño")</f>
        <v>Recorrido Antonio Nariño</v>
      </c>
      <c r="C1648" s="55">
        <f ca="1">IFERROR(__xludf.DUMMYFUNCTION("""COMPUTED_VALUE"""),44999)</f>
        <v>44999</v>
      </c>
      <c r="D1648" s="25" t="str">
        <f ca="1">IFERROR(__xludf.DUMMYFUNCTION("""COMPUTED_VALUE"""),"Gobierno")</f>
        <v>Gobierno</v>
      </c>
      <c r="E1648" s="25" t="str">
        <f ca="1">IFERROR(__xludf.DUMMYFUNCTION("""COMPUTED_VALUE"""),"Alcaldía Local")</f>
        <v>Alcaldía Local</v>
      </c>
      <c r="F1648" s="25" t="str">
        <f ca="1">IFERROR(__xludf.DUMMYFUNCTION("""COMPUTED_VALUE"""),"Realización de jornadas de IVC en la zona rosa cerca al Restrepo.")</f>
        <v>Realización de jornadas de IVC en la zona rosa cerca al Restrepo.</v>
      </c>
      <c r="G1648" s="25" t="str">
        <f ca="1">IFERROR(__xludf.DUMMYFUNCTION("""COMPUTED_VALUE"""),"15. Antonio Nariño")</f>
        <v>15. Antonio Nariño</v>
      </c>
      <c r="H1648" s="55">
        <f ca="1">IFERROR(__xludf.DUMMYFUNCTION("""COMPUTED_VALUE"""),45015)</f>
        <v>45015</v>
      </c>
      <c r="I1648" s="25"/>
      <c r="J1648" s="55" t="str">
        <f ca="1">IFERROR(__xludf.DUMMYFUNCTION("""COMPUTED_VALUE"""),"Alta")</f>
        <v>Alta</v>
      </c>
      <c r="K1648" s="25">
        <f ca="1">IFERROR(__xludf.DUMMYFUNCTION("""COMPUTED_VALUE"""),16)</f>
        <v>16</v>
      </c>
      <c r="L1648" s="62">
        <f ca="1">IFERROR(__xludf.DUMMYFUNCTION("""COMPUTED_VALUE"""),45016)</f>
        <v>45016</v>
      </c>
      <c r="M1648" s="25" t="str">
        <f ca="1">IFERROR(__xludf.DUMMYFUNCTION("""COMPUTED_VALUE"""),"Se realizó operativo de inspección, vigilancia y control el día 24 de marzo de 2023, COn el objetivo de IVC en Bares de Alto Impacto
en la Localidad de Antonio Nariño. Se visitaron 5 establecimientos, se obtuvo Cierres voluntarios: 1; Suspensión de la Act"&amp;"ividad Económica: 1.
Entidades que acompañaron: Alcaldía Local , Policía Nacional, SSCJ, SDG-DGP, prensa, ejercito
Sector Priorizado: Restrepo")</f>
        <v>Se realizó operativo de inspección, vigilancia y control el día 24 de marzo de 2023, COn el objetivo de IVC en Bares de Alto Impacto
en la Localidad de Antonio Nariño. Se visitaron 5 establecimientos, se obtuvo Cierres voluntarios: 1; Suspensión de la Actividad Económica: 1.
Entidades que acompañaron: Alcaldía Local , Policía Nacional, SSCJ, SDG-DGP, prensa, ejercito
Sector Priorizado: Restrepo</v>
      </c>
      <c r="N1648" s="55">
        <f ca="1">IFERROR(__xludf.DUMMYFUNCTION("""COMPUTED_VALUE"""),45030)</f>
        <v>45030</v>
      </c>
      <c r="O1648" s="25" t="str">
        <f t="shared" ca="1" si="0"/>
        <v>Alcaldía Local</v>
      </c>
      <c r="P1648" s="25" t="str">
        <f t="shared" si="2"/>
        <v/>
      </c>
      <c r="Q1648" s="25" t="str">
        <f ca="1">IFERROR(__xludf.DUMMYFUNCTION("""COMPUTED_VALUE"""),"Corto plazo")</f>
        <v>Corto plazo</v>
      </c>
      <c r="R1648" s="25"/>
      <c r="S1648" s="55"/>
      <c r="T1648" s="56"/>
      <c r="U1648" s="25"/>
      <c r="V1648" s="25"/>
      <c r="W1648" s="25"/>
      <c r="X1648" s="25"/>
      <c r="Y1648" s="25"/>
      <c r="Z1648" s="25"/>
    </row>
    <row r="1649" spans="1:26" ht="52.5" customHeight="1" x14ac:dyDescent="0.25">
      <c r="A1649" s="25" t="str">
        <f ca="1">IFERROR(__xludf.DUMMYFUNCTION("""COMPUTED_VALUE"""),"Gobie147")</f>
        <v>Gobie147</v>
      </c>
      <c r="B1649" s="25" t="str">
        <f ca="1">IFERROR(__xludf.DUMMYFUNCTION("""COMPUTED_VALUE"""),"Recorrido Antonio Nariño")</f>
        <v>Recorrido Antonio Nariño</v>
      </c>
      <c r="C1649" s="55">
        <f ca="1">IFERROR(__xludf.DUMMYFUNCTION("""COMPUTED_VALUE"""),44999)</f>
        <v>44999</v>
      </c>
      <c r="D1649" s="25" t="str">
        <f ca="1">IFERROR(__xludf.DUMMYFUNCTION("""COMPUTED_VALUE"""),"Gobierno")</f>
        <v>Gobierno</v>
      </c>
      <c r="E1649" s="25" t="str">
        <f ca="1">IFERROR(__xludf.DUMMYFUNCTION("""COMPUTED_VALUE"""),"Alcaldía Local")</f>
        <v>Alcaldía Local</v>
      </c>
      <c r="F1649" s="25" t="str">
        <f ca="1">IFERROR(__xludf.DUMMYFUNCTION("""COMPUTED_VALUE"""),"Finalizar los 13 frentes de obra del Restrepo en mayo 2023.")</f>
        <v>Finalizar los 13 frentes de obra del Restrepo en mayo 2023.</v>
      </c>
      <c r="G1649" s="25" t="str">
        <f ca="1">IFERROR(__xludf.DUMMYFUNCTION("""COMPUTED_VALUE"""),"15. Antonio Nariño")</f>
        <v>15. Antonio Nariño</v>
      </c>
      <c r="H1649" s="55">
        <f ca="1">IFERROR(__xludf.DUMMYFUNCTION("""COMPUTED_VALUE"""),45076)</f>
        <v>45076</v>
      </c>
      <c r="I1649" s="25" t="str">
        <f ca="1">IFERROR(__xludf.DUMMYFUNCTION("""COMPUTED_VALUE"""),"Secretaría Privada")</f>
        <v>Secretaría Privada</v>
      </c>
      <c r="J1649" s="55" t="str">
        <f ca="1">IFERROR(__xludf.DUMMYFUNCTION("""COMPUTED_VALUE"""),"Media")</f>
        <v>Media</v>
      </c>
      <c r="K1649" s="25">
        <f ca="1">IFERROR(__xludf.DUMMYFUNCTION("""COMPUTED_VALUE"""),77)</f>
        <v>77</v>
      </c>
      <c r="L1649" s="62">
        <f ca="1">IFERROR(__xludf.DUMMYFUNCTION("""COMPUTED_VALUE"""),45058)</f>
        <v>45058</v>
      </c>
      <c r="M1649" s="25" t="str">
        <f ca="1">IFERROR(__xludf.DUMMYFUNCTION("""COMPUTED_VALUE"""),"Se encuentran en ejecución 2 frentes  con un avance del 10%  
Reporte 20 abril 2023: se encuentran en ejecucion 2 frentes  con un avance del 12%  
Reporte 15 de mayo de 2023: Debido al incumplimiento del contratista solo se ha avanzado en los frentes de"&amp;" obras mencionados en un 6.79% según informe de la interventoria realizado del martes 9 de mayo de 2023, por lo que no estaran listos en mayo que fue la fecha propuesta.  En este momento el contratista se encuentra incurso en un incumplimiento, por lo que"&amp;" aún no se tiene una fecha estimada de finalización.")</f>
        <v>Se encuentran en ejecución 2 frentes  con un avance del 10%  
Reporte 20 abril 2023: se encuentran en ejecucion 2 frentes  con un avance del 12%  
Reporte 15 de mayo de 2023: Debido al incumplimiento del contratista solo se ha avanzado en los frentes de obras mencionados en un 6.79% según informe de la interventoria realizado del martes 9 de mayo de 2023, por lo que no estaran listos en mayo que fue la fecha propuesta.  En este momento el contratista se encuentra incurso en un incumplimiento, por lo que aún no se tiene una fecha estimada de finalización.</v>
      </c>
      <c r="N1649" s="25"/>
      <c r="O1649" s="25" t="str">
        <f t="shared" ca="1" si="0"/>
        <v>Alcaldía Local</v>
      </c>
      <c r="P1649" s="25" t="str">
        <f t="shared" ca="1" si="2"/>
        <v/>
      </c>
      <c r="Q1649" s="25" t="str">
        <f ca="1">IFERROR(__xludf.DUMMYFUNCTION("""COMPUTED_VALUE"""),"Mediano plazo")</f>
        <v>Mediano plazo</v>
      </c>
      <c r="R1649" s="25"/>
      <c r="S1649" s="55"/>
      <c r="T1649" s="56"/>
      <c r="U1649" s="25"/>
      <c r="V1649" s="25"/>
      <c r="W1649" s="25"/>
      <c r="X1649" s="25"/>
      <c r="Y1649" s="25"/>
      <c r="Z1649" s="25"/>
    </row>
    <row r="1650" spans="1:26" ht="52.5" customHeight="1" x14ac:dyDescent="0.25">
      <c r="A1650" s="25" t="str">
        <f ca="1">IFERROR(__xludf.DUMMYFUNCTION("""COMPUTED_VALUE"""),"Gobie148")</f>
        <v>Gobie148</v>
      </c>
      <c r="B1650" s="25" t="str">
        <f ca="1">IFERROR(__xludf.DUMMYFUNCTION("""COMPUTED_VALUE"""),"Recorrido Antonio Nariño")</f>
        <v>Recorrido Antonio Nariño</v>
      </c>
      <c r="C1650" s="55">
        <f ca="1">IFERROR(__xludf.DUMMYFUNCTION("""COMPUTED_VALUE"""),44999)</f>
        <v>44999</v>
      </c>
      <c r="D1650" s="25" t="str">
        <f ca="1">IFERROR(__xludf.DUMMYFUNCTION("""COMPUTED_VALUE"""),"Gobierno")</f>
        <v>Gobierno</v>
      </c>
      <c r="E1650" s="25" t="str">
        <f ca="1">IFERROR(__xludf.DUMMYFUNCTION("""COMPUTED_VALUE"""),"Secretaría Distrital de Gobierno")</f>
        <v>Secretaría Distrital de Gobierno</v>
      </c>
      <c r="F1650" s="25" t="str">
        <f ca="1">IFERROR(__xludf.DUMMYFUNCTION("""COMPUTED_VALUE"""),"Realizar un gran encuentro de consejeros de juventud en el segundo semestre de la vigencia 2023.")</f>
        <v>Realizar un gran encuentro de consejeros de juventud en el segundo semestre de la vigencia 2023.</v>
      </c>
      <c r="G1650" s="25" t="str">
        <f ca="1">IFERROR(__xludf.DUMMYFUNCTION("""COMPUTED_VALUE"""),"99. Distrito")</f>
        <v>99. Distrito</v>
      </c>
      <c r="H1650" s="55">
        <f ca="1">IFERROR(__xludf.DUMMYFUNCTION("""COMPUTED_VALUE"""),45107)</f>
        <v>45107</v>
      </c>
      <c r="I1650" s="25" t="str">
        <f ca="1">IFERROR(__xludf.DUMMYFUNCTION("""COMPUTED_VALUE"""),"Secretaría Privada")</f>
        <v>Secretaría Privada</v>
      </c>
      <c r="J1650" s="55" t="str">
        <f ca="1">IFERROR(__xludf.DUMMYFUNCTION("""COMPUTED_VALUE"""),"Media")</f>
        <v>Media</v>
      </c>
      <c r="K1650" s="25">
        <f ca="1">IFERROR(__xludf.DUMMYFUNCTION("""COMPUTED_VALUE"""),108)</f>
        <v>108</v>
      </c>
      <c r="L1650" s="62">
        <f ca="1">IFERROR(__xludf.DUMMYFUNCTION("""COMPUTED_VALUE"""),45077)</f>
        <v>45077</v>
      </c>
      <c r="M1650" s="25" t="str">
        <f ca="1">IFERROR(__xludf.DUMMYFUNCTION("""COMPUTED_VALUE"""),"A nivel distrital y nacional se tienen planeados dos eventos, según lineamiento de la Ley 1622 de 2013 (Art. 63). La Asamblea Distrital y Nacional de Juventud, buscando construir las agendas juveniles, respectivamente. Se esperan recolectar insumos, así c"&amp;"omo servir de espacio de rendición de cuentas en materia de juventud.
Adicionalmente, el Consejo Nacional de Juventud el 30 de mayo de 2023, con carta dirigida a la alcaldesa Mayor, proponen a Bogotá y Cundinamarca como sede de la Asamblea Nacional de Juv"&amp;"entud, según lo dispuesto en la Art. 65 de la ley 1622 de 2013. Para tal fin se requiere definir compromisos financieros de las diferentes entidades que intervienen en la realización de los eventos y que tienen que ver con los temas de juventud.  
Fecha "&amp;"estimada: 
Mes de agosto (Mes de la juventud). 
")</f>
        <v xml:space="preserve">A nivel distrital y nacional se tienen planeados dos eventos, según lineamiento de la Ley 1622 de 2013 (Art. 63). La Asamblea Distrital y Nacional de Juventud, buscando construir las agendas juveniles, respectivamente. Se esperan recolectar insumos, así como servir de espacio de rendición de cuentas en materia de juventud.
Adicionalmente, el Consejo Nacional de Juventud el 30 de mayo de 2023, con carta dirigida a la alcaldesa Mayor, proponen a Bogotá y Cundinamarca como sede de la Asamblea Nacional de Juventud, según lo dispuesto en la Art. 65 de la ley 1622 de 2013. Para tal fin se requiere definir compromisos financieros de las diferentes entidades que intervienen en la realización de los eventos y que tienen que ver con los temas de juventud.  
Fecha estimada: 
Mes de agosto (Mes de la juventud). 
</v>
      </c>
      <c r="N1650" s="25"/>
      <c r="O1650" s="25" t="str">
        <f t="shared" ca="1" si="0"/>
        <v>Secretaría Distrital de Gobierno</v>
      </c>
      <c r="P1650" s="25" t="str">
        <f t="shared" ca="1" si="2"/>
        <v/>
      </c>
      <c r="Q1650" s="25" t="str">
        <f ca="1">IFERROR(__xludf.DUMMYFUNCTION("""COMPUTED_VALUE"""),"Mediano plazo")</f>
        <v>Mediano plazo</v>
      </c>
      <c r="R1650" s="25"/>
      <c r="S1650" s="55"/>
      <c r="T1650" s="56"/>
      <c r="U1650" s="25"/>
      <c r="V1650" s="25"/>
      <c r="W1650" s="25"/>
      <c r="X1650" s="25"/>
      <c r="Y1650" s="25"/>
      <c r="Z1650" s="25"/>
    </row>
    <row r="1651" spans="1:26" ht="52.5" customHeight="1" x14ac:dyDescent="0.25">
      <c r="A1651" s="25" t="str">
        <f ca="1">IFERROR(__xludf.DUMMYFUNCTION("""COMPUTED_VALUE"""),"Gobie149")</f>
        <v>Gobie149</v>
      </c>
      <c r="B1651" s="25" t="str">
        <f ca="1">IFERROR(__xludf.DUMMYFUNCTION("""COMPUTED_VALUE"""),"Recorrido Antonio Nariño")</f>
        <v>Recorrido Antonio Nariño</v>
      </c>
      <c r="C1651" s="55">
        <f ca="1">IFERROR(__xludf.DUMMYFUNCTION("""COMPUTED_VALUE"""),44999)</f>
        <v>44999</v>
      </c>
      <c r="D1651" s="25" t="str">
        <f ca="1">IFERROR(__xludf.DUMMYFUNCTION("""COMPUTED_VALUE"""),"Gobierno")</f>
        <v>Gobierno</v>
      </c>
      <c r="E1651" s="25" t="str">
        <f ca="1">IFERROR(__xludf.DUMMYFUNCTION("""COMPUTED_VALUE"""),"Alcaldía Local")</f>
        <v>Alcaldía Local</v>
      </c>
      <c r="F1651" s="25" t="str">
        <f ca="1">IFERROR(__xludf.DUMMYFUNCTION("""COMPUTED_VALUE"""),"Ajustar destinación de recurso presupuestal de la Alcaldía Local, orientado inicialmente a brindar segunda dotación a la casa de juventud en el 2023 y a la posible dotación de la nueva manzana del cuidado de la localidad.")</f>
        <v>Ajustar destinación de recurso presupuestal de la Alcaldía Local, orientado inicialmente a brindar segunda dotación a la casa de juventud en el 2023 y a la posible dotación de la nueva manzana del cuidado de la localidad.</v>
      </c>
      <c r="G1651" s="25" t="str">
        <f ca="1">IFERROR(__xludf.DUMMYFUNCTION("""COMPUTED_VALUE"""),"15. Antonio Nariño")</f>
        <v>15. Antonio Nariño</v>
      </c>
      <c r="H1651" s="55">
        <f ca="1">IFERROR(__xludf.DUMMYFUNCTION("""COMPUTED_VALUE"""),45107)</f>
        <v>45107</v>
      </c>
      <c r="I1651" s="25" t="str">
        <f ca="1">IFERROR(__xludf.DUMMYFUNCTION("""COMPUTED_VALUE"""),"Secretaría Privada")</f>
        <v>Secretaría Privada</v>
      </c>
      <c r="J1651" s="55" t="str">
        <f ca="1">IFERROR(__xludf.DUMMYFUNCTION("""COMPUTED_VALUE"""),"Media")</f>
        <v>Media</v>
      </c>
      <c r="K1651" s="25">
        <f ca="1">IFERROR(__xludf.DUMMYFUNCTION("""COMPUTED_VALUE"""),108)</f>
        <v>108</v>
      </c>
      <c r="L1651" s="62">
        <f ca="1">IFERROR(__xludf.DUMMYFUNCTION("""COMPUTED_VALUE"""),45070)</f>
        <v>45070</v>
      </c>
      <c r="M1651" s="25" t="str">
        <f ca="1">IFERROR(__xludf.DUMMYFUNCTION("""COMPUTED_VALUE"""),"Reporte 15 mayo 2023: el proceso cuenta con estudio previo y se encuentra en evento de cotización desde el 12 de mayo, paralelamente se han solicitado cotizaciones.")</f>
        <v>Reporte 15 mayo 2023: el proceso cuenta con estudio previo y se encuentra en evento de cotización desde el 12 de mayo, paralelamente se han solicitado cotizaciones.</v>
      </c>
      <c r="N1651" s="25"/>
      <c r="O1651" s="25" t="str">
        <f t="shared" ca="1" si="0"/>
        <v>Alcaldía Local</v>
      </c>
      <c r="P1651" s="25" t="str">
        <f t="shared" ca="1" si="2"/>
        <v/>
      </c>
      <c r="Q1651" s="25" t="str">
        <f ca="1">IFERROR(__xludf.DUMMYFUNCTION("""COMPUTED_VALUE"""),"Mediano plazo")</f>
        <v>Mediano plazo</v>
      </c>
      <c r="R1651" s="25"/>
      <c r="S1651" s="55"/>
      <c r="T1651" s="56"/>
      <c r="U1651" s="25"/>
      <c r="V1651" s="25"/>
      <c r="W1651" s="25"/>
      <c r="X1651" s="25"/>
      <c r="Y1651" s="25"/>
      <c r="Z1651" s="25"/>
    </row>
    <row r="1652" spans="1:26" ht="52.5" customHeight="1" x14ac:dyDescent="0.25">
      <c r="A1652" s="25" t="str">
        <f ca="1">IFERROR(__xludf.DUMMYFUNCTION("""COMPUTED_VALUE"""),"Gobie150")</f>
        <v>Gobie150</v>
      </c>
      <c r="B1652" s="25" t="str">
        <f ca="1">IFERROR(__xludf.DUMMYFUNCTION("""COMPUTED_VALUE"""),"Recorrido Antonio Nariño")</f>
        <v>Recorrido Antonio Nariño</v>
      </c>
      <c r="C1652" s="55">
        <f ca="1">IFERROR(__xludf.DUMMYFUNCTION("""COMPUTED_VALUE"""),44999)</f>
        <v>44999</v>
      </c>
      <c r="D1652" s="25" t="str">
        <f ca="1">IFERROR(__xludf.DUMMYFUNCTION("""COMPUTED_VALUE"""),"Gobierno")</f>
        <v>Gobierno</v>
      </c>
      <c r="E1652" s="25" t="str">
        <f ca="1">IFERROR(__xludf.DUMMYFUNCTION("""COMPUTED_VALUE"""),"Secretaría Distrital de Gobierno")</f>
        <v>Secretaría Distrital de Gobierno</v>
      </c>
      <c r="F1652" s="25" t="str">
        <f ca="1">IFERROR(__xludf.DUMMYFUNCTION("""COMPUTED_VALUE"""),"Presentar el programa ""impulso local"" a los jóvenes vinculados a las casas de juventud del Distrito.")</f>
        <v>Presentar el programa "impulso local" a los jóvenes vinculados a las casas de juventud del Distrito.</v>
      </c>
      <c r="G1652" s="25" t="str">
        <f ca="1">IFERROR(__xludf.DUMMYFUNCTION("""COMPUTED_VALUE"""),"99. Distrito")</f>
        <v>99. Distrito</v>
      </c>
      <c r="H1652" s="55">
        <f ca="1">IFERROR(__xludf.DUMMYFUNCTION("""COMPUTED_VALUE"""),45031)</f>
        <v>45031</v>
      </c>
      <c r="I1652" s="25" t="str">
        <f ca="1">IFERROR(__xludf.DUMMYFUNCTION("""COMPUTED_VALUE"""),"Secretaría Privada")</f>
        <v>Secretaría Privada</v>
      </c>
      <c r="J1652" s="55" t="str">
        <f ca="1">IFERROR(__xludf.DUMMYFUNCTION("""COMPUTED_VALUE"""),"Alta")</f>
        <v>Alta</v>
      </c>
      <c r="K1652" s="25">
        <f ca="1">IFERROR(__xludf.DUMMYFUNCTION("""COMPUTED_VALUE"""),32)</f>
        <v>32</v>
      </c>
      <c r="L1652" s="62">
        <f ca="1">IFERROR(__xludf.DUMMYFUNCTION("""COMPUTED_VALUE"""),45058)</f>
        <v>45058</v>
      </c>
      <c r="M1652" s="25" t="str">
        <f ca="1">IFERROR(__xludf.DUMMYFUNCTION("""COMPUTED_VALUE"""),"Adicionalmente, el Consejo Nacional de Juventud el 30 de mayo de 2023, con carta dirigida a la alcaldesa Mayor, proponen a Bogotá y Cundinamarca como sede de la Asamblea Nacional de Juventud, según lo dispuesto en la Art. 65 de la ley 1622 de 2013. Para t"&amp;"al fin se requiere definir compromisos financieros de las diferentes entidades que intervienen en la realización de los eventos y que tienen que ver con los temas de juventud.")</f>
        <v>Adicionalmente, el Consejo Nacional de Juventud el 30 de mayo de 2023, con carta dirigida a la alcaldesa Mayor, proponen a Bogotá y Cundinamarca como sede de la Asamblea Nacional de Juventud, según lo dispuesto en la Art. 65 de la ley 1622 de 2013. Para tal fin se requiere definir compromisos financieros de las diferentes entidades que intervienen en la realización de los eventos y que tienen que ver con los temas de juventud.</v>
      </c>
      <c r="N1652" s="25"/>
      <c r="O1652" s="25" t="str">
        <f t="shared" ca="1" si="0"/>
        <v>Secretaría Distrital de Gobierno</v>
      </c>
      <c r="P1652" s="25" t="str">
        <f t="shared" ca="1" si="2"/>
        <v/>
      </c>
      <c r="Q1652" s="25" t="str">
        <f ca="1">IFERROR(__xludf.DUMMYFUNCTION("""COMPUTED_VALUE"""),"Corto plazo")</f>
        <v>Corto plazo</v>
      </c>
      <c r="R1652" s="25"/>
      <c r="S1652" s="55"/>
      <c r="T1652" s="56"/>
      <c r="U1652" s="25"/>
      <c r="V1652" s="25"/>
      <c r="W1652" s="25"/>
      <c r="X1652" s="25"/>
      <c r="Y1652" s="25"/>
      <c r="Z1652" s="25"/>
    </row>
    <row r="1653" spans="1:26" ht="52.5" customHeight="1" x14ac:dyDescent="0.25">
      <c r="A1653" s="25" t="str">
        <f ca="1">IFERROR(__xludf.DUMMYFUNCTION("""COMPUTED_VALUE"""),"Gobie151")</f>
        <v>Gobie151</v>
      </c>
      <c r="B1653" s="25" t="str">
        <f ca="1">IFERROR(__xludf.DUMMYFUNCTION("""COMPUTED_VALUE"""),"Recorrido Antonio Nariño")</f>
        <v>Recorrido Antonio Nariño</v>
      </c>
      <c r="C1653" s="55">
        <f ca="1">IFERROR(__xludf.DUMMYFUNCTION("""COMPUTED_VALUE"""),44999)</f>
        <v>44999</v>
      </c>
      <c r="D1653" s="25" t="str">
        <f ca="1">IFERROR(__xludf.DUMMYFUNCTION("""COMPUTED_VALUE"""),"Gobierno")</f>
        <v>Gobierno</v>
      </c>
      <c r="E1653" s="25" t="str">
        <f ca="1">IFERROR(__xludf.DUMMYFUNCTION("""COMPUTED_VALUE"""),"Alcaldía Local")</f>
        <v>Alcaldía Local</v>
      </c>
      <c r="F1653" s="25" t="str">
        <f ca="1">IFERROR(__xludf.DUMMYFUNCTION("""COMPUTED_VALUE"""),"Organizar operativos de recuperación del espacio público con el apoyo de la Policía para dar cumplimiento a los acuerdos (pactos) liderados por el IPES y suscritos con vendedores informales en la localidad.")</f>
        <v>Organizar operativos de recuperación del espacio público con el apoyo de la Policía para dar cumplimiento a los acuerdos (pactos) liderados por el IPES y suscritos con vendedores informales en la localidad.</v>
      </c>
      <c r="G1653" s="25" t="str">
        <f ca="1">IFERROR(__xludf.DUMMYFUNCTION("""COMPUTED_VALUE"""),"15. Antonio Nariño")</f>
        <v>15. Antonio Nariño</v>
      </c>
      <c r="H1653" s="55">
        <f ca="1">IFERROR(__xludf.DUMMYFUNCTION("""COMPUTED_VALUE"""),45015)</f>
        <v>45015</v>
      </c>
      <c r="I1653" s="25" t="str">
        <f ca="1">IFERROR(__xludf.DUMMYFUNCTION("""COMPUTED_VALUE"""),"Secretaría Privada")</f>
        <v>Secretaría Privada</v>
      </c>
      <c r="J1653" s="55" t="str">
        <f ca="1">IFERROR(__xludf.DUMMYFUNCTION("""COMPUTED_VALUE"""),"Alta")</f>
        <v>Alta</v>
      </c>
      <c r="K1653" s="25">
        <f ca="1">IFERROR(__xludf.DUMMYFUNCTION("""COMPUTED_VALUE"""),16)</f>
        <v>16</v>
      </c>
      <c r="L1653" s="62">
        <f ca="1">IFERROR(__xludf.DUMMYFUNCTION("""COMPUTED_VALUE"""),45082)</f>
        <v>45082</v>
      </c>
      <c r="M1653" s="25" t="str">
        <f ca="1">IFERROR(__xludf.DUMMYFUNCTION("""COMPUTED_VALUE"""),"Se fijó como fecha para el operativo el día 14 de abril de 2023 a partir de las 9 de las mañana
10 de mayo: Se realiza operativo y se solicitan resultados
05/06/2023:El día viernes 14 de abril de 2023 a partir de las 10:00 a.m, se llevó a cabo la activi"&amp;"dad de I.V.C. Espacio Público en la localidad de Antonio Nariño sector de  la Plaza de Mercado del Restrepo, sensibilizándose 100 vendedores informales en el uso adecuado del espacio público y en los puntos del pacto celebrado con los informales.
Particip"&amp;"aron Alcaldía Local de Antonio Nariño, Policía Nacional, Secretaría Distrital de Seguridad y D.G.P. I.V.C Espacio Público")</f>
        <v>Se fijó como fecha para el operativo el día 14 de abril de 2023 a partir de las 9 de las mañana
10 de mayo: Se realiza operativo y se solicitan resultados
05/06/2023:El día viernes 14 de abril de 2023 a partir de las 10:00 a.m, se llevó a cabo la actividad de I.V.C. Espacio Público en la localidad de Antonio Nariño sector de  la Plaza de Mercado del Restrepo, sensibilizándose 100 vendedores informales en el uso adecuado del espacio público y en los puntos del pacto celebrado con los informales.
Participaron Alcaldía Local de Antonio Nariño, Policía Nacional, Secretaría Distrital de Seguridad y D.G.P. I.V.C Espacio Público</v>
      </c>
      <c r="N1653" s="25"/>
      <c r="O1653" s="25" t="str">
        <f t="shared" ca="1" si="0"/>
        <v>Alcaldía Local</v>
      </c>
      <c r="P1653" s="25" t="str">
        <f t="shared" ca="1" si="2"/>
        <v/>
      </c>
      <c r="Q1653" s="25" t="str">
        <f ca="1">IFERROR(__xludf.DUMMYFUNCTION("""COMPUTED_VALUE"""),"Corto plazo")</f>
        <v>Corto plazo</v>
      </c>
      <c r="R1653" s="25"/>
      <c r="S1653" s="55"/>
      <c r="T1653" s="56"/>
      <c r="U1653" s="25"/>
      <c r="V1653" s="25"/>
      <c r="W1653" s="25"/>
      <c r="X1653" s="25"/>
      <c r="Y1653" s="25"/>
      <c r="Z1653" s="25"/>
    </row>
    <row r="1654" spans="1:26" ht="52.5" customHeight="1" x14ac:dyDescent="0.25">
      <c r="A1654" s="25" t="str">
        <f ca="1">IFERROR(__xludf.DUMMYFUNCTION("""COMPUTED_VALUE"""),"Gobie152")</f>
        <v>Gobie152</v>
      </c>
      <c r="B1654" s="25" t="str">
        <f ca="1">IFERROR(__xludf.DUMMYFUNCTION("""COMPUTED_VALUE"""),"Recorrido Antonio Nariño")</f>
        <v>Recorrido Antonio Nariño</v>
      </c>
      <c r="C1654" s="55">
        <f ca="1">IFERROR(__xludf.DUMMYFUNCTION("""COMPUTED_VALUE"""),44999)</f>
        <v>44999</v>
      </c>
      <c r="D1654" s="25" t="str">
        <f ca="1">IFERROR(__xludf.DUMMYFUNCTION("""COMPUTED_VALUE"""),"Gobierno")</f>
        <v>Gobierno</v>
      </c>
      <c r="E1654" s="25" t="str">
        <f ca="1">IFERROR(__xludf.DUMMYFUNCTION("""COMPUTED_VALUE"""),"Alcaldía Local")</f>
        <v>Alcaldía Local</v>
      </c>
      <c r="F1654" s="25" t="str">
        <f ca="1">IFERROR(__xludf.DUMMYFUNCTION("""COMPUTED_VALUE"""),"Trasladar la administración del teatro Villa Mayor a IDARTES para que brinde mantenimiento y administración de este espacio.")</f>
        <v>Trasladar la administración del teatro Villa Mayor a IDARTES para que brinde mantenimiento y administración de este espacio.</v>
      </c>
      <c r="G1654" s="25" t="str">
        <f ca="1">IFERROR(__xludf.DUMMYFUNCTION("""COMPUTED_VALUE"""),"15. Antonio Nariño")</f>
        <v>15. Antonio Nariño</v>
      </c>
      <c r="H1654" s="55">
        <f ca="1">IFERROR(__xludf.DUMMYFUNCTION("""COMPUTED_VALUE"""),45031)</f>
        <v>45031</v>
      </c>
      <c r="I1654" s="25" t="str">
        <f ca="1">IFERROR(__xludf.DUMMYFUNCTION("""COMPUTED_VALUE"""),"Secretaría Privada")</f>
        <v>Secretaría Privada</v>
      </c>
      <c r="J1654" s="55" t="str">
        <f ca="1">IFERROR(__xludf.DUMMYFUNCTION("""COMPUTED_VALUE"""),"Alta")</f>
        <v>Alta</v>
      </c>
      <c r="K1654" s="25">
        <f ca="1">IFERROR(__xludf.DUMMYFUNCTION("""COMPUTED_VALUE"""),32)</f>
        <v>32</v>
      </c>
      <c r="L1654" s="62">
        <f ca="1">IFERROR(__xludf.DUMMYFUNCTION("""COMPUTED_VALUE"""),45070)</f>
        <v>45070</v>
      </c>
      <c r="M1654" s="25" t="str">
        <f ca="1">IFERROR(__xludf.DUMMYFUNCTION("""COMPUTED_VALUE"""),"EL FDL se encuentra en mesas de trabajo con IDARTES para el trámite correspondiente
Reporte 20 abril 2023: se realizó mesa de trabajo el dia 14 de abril con idartes identificando los puntos a trabajar, se progama nueva mesa con Hanna Cuenca 
10 de mayo:"&amp;" Pendiente llevar a cabo mesa para realizar el trámite correspondiente")</f>
        <v>EL FDL se encuentra en mesas de trabajo con IDARTES para el trámite correspondiente
Reporte 20 abril 2023: se realizó mesa de trabajo el dia 14 de abril con idartes identificando los puntos a trabajar, se progama nueva mesa con Hanna Cuenca 
10 de mayo: Pendiente llevar a cabo mesa para realizar el trámite correspondiente</v>
      </c>
      <c r="N1654" s="25"/>
      <c r="O1654" s="25" t="str">
        <f t="shared" ca="1" si="0"/>
        <v>Alcaldía Local</v>
      </c>
      <c r="P1654" s="25" t="str">
        <f t="shared" ca="1" si="2"/>
        <v/>
      </c>
      <c r="Q1654" s="25" t="str">
        <f ca="1">IFERROR(__xludf.DUMMYFUNCTION("""COMPUTED_VALUE"""),"Corto plazo")</f>
        <v>Corto plazo</v>
      </c>
      <c r="R1654" s="25"/>
      <c r="S1654" s="55"/>
      <c r="T1654" s="56"/>
      <c r="U1654" s="25"/>
      <c r="V1654" s="25"/>
      <c r="W1654" s="25"/>
      <c r="X1654" s="25"/>
      <c r="Y1654" s="25"/>
      <c r="Z1654" s="25"/>
    </row>
    <row r="1655" spans="1:26" ht="52.5" customHeight="1" x14ac:dyDescent="0.25">
      <c r="A1655" s="25" t="str">
        <f ca="1">IFERROR(__xludf.DUMMYFUNCTION("""COMPUTED_VALUE"""),"Gobie153")</f>
        <v>Gobie153</v>
      </c>
      <c r="B1655" s="25" t="str">
        <f ca="1">IFERROR(__xludf.DUMMYFUNCTION("""COMPUTED_VALUE"""),"Recorrido Antonio Nariño")</f>
        <v>Recorrido Antonio Nariño</v>
      </c>
      <c r="C1655" s="55">
        <f ca="1">IFERROR(__xludf.DUMMYFUNCTION("""COMPUTED_VALUE"""),44999)</f>
        <v>44999</v>
      </c>
      <c r="D1655" s="25" t="str">
        <f ca="1">IFERROR(__xludf.DUMMYFUNCTION("""COMPUTED_VALUE"""),"Gobierno")</f>
        <v>Gobierno</v>
      </c>
      <c r="E1655" s="25" t="str">
        <f ca="1">IFERROR(__xludf.DUMMYFUNCTION("""COMPUTED_VALUE"""),"Alcaldía Local")</f>
        <v>Alcaldía Local</v>
      </c>
      <c r="F1655" s="25" t="str">
        <f ca="1">IFERROR(__xludf.DUMMYFUNCTION("""COMPUTED_VALUE"""),"Revisar la posibilidad de financiar a partir de los fondos de desarrollo local , la dotación de Kits de Seguridad para la localidad.")</f>
        <v>Revisar la posibilidad de financiar a partir de los fondos de desarrollo local , la dotación de Kits de Seguridad para la localidad.</v>
      </c>
      <c r="G1655" s="25" t="str">
        <f ca="1">IFERROR(__xludf.DUMMYFUNCTION("""COMPUTED_VALUE"""),"15. Antonio Nariño")</f>
        <v>15. Antonio Nariño</v>
      </c>
      <c r="H1655" s="55">
        <f ca="1">IFERROR(__xludf.DUMMYFUNCTION("""COMPUTED_VALUE"""),45049)</f>
        <v>45049</v>
      </c>
      <c r="I1655" s="25" t="str">
        <f ca="1">IFERROR(__xludf.DUMMYFUNCTION("""COMPUTED_VALUE"""),"Secretaría Privada")</f>
        <v>Secretaría Privada</v>
      </c>
      <c r="J1655" s="55" t="str">
        <f ca="1">IFERROR(__xludf.DUMMYFUNCTION("""COMPUTED_VALUE"""),"Alta")</f>
        <v>Alta</v>
      </c>
      <c r="K1655" s="25">
        <f ca="1">IFERROR(__xludf.DUMMYFUNCTION("""COMPUTED_VALUE"""),50)</f>
        <v>50</v>
      </c>
      <c r="L1655" s="62">
        <f ca="1">IFERROR(__xludf.DUMMYFUNCTION("""COMPUTED_VALUE"""),45082)</f>
        <v>45082</v>
      </c>
      <c r="M1655" s="25" t="str">
        <f ca="1">IFERROR(__xludf.DUMMYFUNCTION("""COMPUTED_VALUE"""),"Se asignarán recursos vía excedentes financieros para que los FDL puedan adquirir los kits en el segundo semestre de 2023
Reporte 20 abril 2023: Se encuentra en formulacion los documentos debido a que hay una propuesta presupuestos participativos ganador"&amp;", se radican documentos para la incorporacion de los excedentes ante la JAL
Reporte 10 de mayo: Proceso contractual, para entrega en el segundo semestre
Reporte 05 junio 2023: Se encuentra en proceso de formulación y revisión con la Secretaría de Seguri"&amp;"dad la actualización de necesidades de dotación de seguridad, adicionalmente, debe tenerse en cuenta la incorporación de los excedentes financieros que fueron orientados por el CONFIS.")</f>
        <v>Se asignarán recursos vía excedentes financieros para que los FDL puedan adquirir los kits en el segundo semestre de 2023
Reporte 20 abril 2023: Se encuentra en formulacion los documentos debido a que hay una propuesta presupuestos participativos ganador, se radican documentos para la incorporacion de los excedentes ante la JAL
Reporte 10 de mayo: Proceso contractual, para entrega en el segundo semestre
Reporte 05 junio 2023: Se encuentra en proceso de formulación y revisión con la Secretaría de Seguridad la actualización de necesidades de dotación de seguridad, adicionalmente, debe tenerse en cuenta la incorporación de los excedentes financieros que fueron orientados por el CONFIS.</v>
      </c>
      <c r="N1655" s="25"/>
      <c r="O1655" s="25" t="str">
        <f t="shared" ca="1" si="0"/>
        <v>Alcaldía Local</v>
      </c>
      <c r="P1655" s="25" t="str">
        <f t="shared" ca="1" si="2"/>
        <v/>
      </c>
      <c r="Q1655" s="25" t="str">
        <f ca="1">IFERROR(__xludf.DUMMYFUNCTION("""COMPUTED_VALUE"""),"Corto plazo")</f>
        <v>Corto plazo</v>
      </c>
      <c r="R1655" s="25"/>
      <c r="S1655" s="55"/>
      <c r="T1655" s="56"/>
      <c r="U1655" s="25"/>
      <c r="V1655" s="25"/>
      <c r="W1655" s="25"/>
      <c r="X1655" s="25"/>
      <c r="Y1655" s="25"/>
      <c r="Z1655" s="25"/>
    </row>
    <row r="1656" spans="1:26" ht="52.5" customHeight="1" x14ac:dyDescent="0.25">
      <c r="A1656" s="25" t="str">
        <f ca="1">IFERROR(__xludf.DUMMYFUNCTION("""COMPUTED_VALUE"""),"Gobie154")</f>
        <v>Gobie154</v>
      </c>
      <c r="B1656" s="25" t="str">
        <f ca="1">IFERROR(__xludf.DUMMYFUNCTION("""COMPUTED_VALUE"""),"Recorrido Rafael Uribe Uribe")</f>
        <v>Recorrido Rafael Uribe Uribe</v>
      </c>
      <c r="C1656" s="55">
        <f ca="1">IFERROR(__xludf.DUMMYFUNCTION("""COMPUTED_VALUE"""),45006)</f>
        <v>45006</v>
      </c>
      <c r="D1656" s="25" t="str">
        <f ca="1">IFERROR(__xludf.DUMMYFUNCTION("""COMPUTED_VALUE"""),"Gobierno")</f>
        <v>Gobierno</v>
      </c>
      <c r="E1656" s="25" t="str">
        <f ca="1">IFERROR(__xludf.DUMMYFUNCTION("""COMPUTED_VALUE"""),"Alcaldía Local")</f>
        <v>Alcaldía Local</v>
      </c>
      <c r="F1656" s="25" t="str">
        <f ca="1">IFERROR(__xludf.DUMMYFUNCTION("""COMPUTED_VALUE"""),"Finalizar la obra de mejoramiento vial en el barrio Rincón del Valle y el Valle para el mes de junio del 2023. Invitar a la alcaldesa mayor para la entrega de este tramo vial ante la comunidad.")</f>
        <v>Finalizar la obra de mejoramiento vial en el barrio Rincón del Valle y el Valle para el mes de junio del 2023. Invitar a la alcaldesa mayor para la entrega de este tramo vial ante la comunidad.</v>
      </c>
      <c r="G1656" s="25" t="str">
        <f ca="1">IFERROR(__xludf.DUMMYFUNCTION("""COMPUTED_VALUE"""),"18. Rafael Uribe Uribe")</f>
        <v>18. Rafael Uribe Uribe</v>
      </c>
      <c r="H1656" s="55">
        <f ca="1">IFERROR(__xludf.DUMMYFUNCTION("""COMPUTED_VALUE"""),45078)</f>
        <v>45078</v>
      </c>
      <c r="I1656" s="25" t="str">
        <f ca="1">IFERROR(__xludf.DUMMYFUNCTION("""COMPUTED_VALUE"""),"Secretaría Privada")</f>
        <v>Secretaría Privada</v>
      </c>
      <c r="J1656" s="55" t="str">
        <f ca="1">IFERROR(__xludf.DUMMYFUNCTION("""COMPUTED_VALUE"""),"Media")</f>
        <v>Media</v>
      </c>
      <c r="K1656" s="25">
        <f ca="1">IFERROR(__xludf.DUMMYFUNCTION("""COMPUTED_VALUE"""),72)</f>
        <v>72</v>
      </c>
      <c r="L1656" s="62">
        <f ca="1">IFERROR(__xludf.DUMMYFUNCTION("""COMPUTED_VALUE"""),45082)</f>
        <v>45082</v>
      </c>
      <c r="M1656" s="25" t="str">
        <f ca="1">IFERROR(__xludf.DUMMYFUNCTION("""COMPUTED_VALUE"""),"El avance de la ejecución de la obra se encuentra al 60%, sin embargo, por factores climáticos que han retrasado la obra, se reprogramará la entrega para el mes de julio.")</f>
        <v>El avance de la ejecución de la obra se encuentra al 60%, sin embargo, por factores climáticos que han retrasado la obra, se reprogramará la entrega para el mes de julio.</v>
      </c>
      <c r="N1656" s="25"/>
      <c r="O1656" s="25" t="str">
        <f t="shared" ca="1" si="0"/>
        <v>Alcaldía Local</v>
      </c>
      <c r="P1656" s="25" t="str">
        <f t="shared" ca="1" si="2"/>
        <v/>
      </c>
      <c r="Q1656" s="25" t="str">
        <f ca="1">IFERROR(__xludf.DUMMYFUNCTION("""COMPUTED_VALUE"""),"Mediano plazo")</f>
        <v>Mediano plazo</v>
      </c>
      <c r="R1656" s="25"/>
      <c r="S1656" s="55"/>
      <c r="T1656" s="56"/>
      <c r="U1656" s="25"/>
      <c r="V1656" s="25"/>
      <c r="W1656" s="25"/>
      <c r="X1656" s="25"/>
      <c r="Y1656" s="25"/>
      <c r="Z1656" s="25"/>
    </row>
    <row r="1657" spans="1:26" ht="52.5" customHeight="1" x14ac:dyDescent="0.25">
      <c r="A1657" s="25" t="str">
        <f ca="1">IFERROR(__xludf.DUMMYFUNCTION("""COMPUTED_VALUE"""),"Gobie155")</f>
        <v>Gobie155</v>
      </c>
      <c r="B1657" s="25" t="str">
        <f ca="1">IFERROR(__xludf.DUMMYFUNCTION("""COMPUTED_VALUE"""),"Recorrido Rafael Uribe Uribe")</f>
        <v>Recorrido Rafael Uribe Uribe</v>
      </c>
      <c r="C1657" s="55">
        <f ca="1">IFERROR(__xludf.DUMMYFUNCTION("""COMPUTED_VALUE"""),45006)</f>
        <v>45006</v>
      </c>
      <c r="D1657" s="25" t="str">
        <f ca="1">IFERROR(__xludf.DUMMYFUNCTION("""COMPUTED_VALUE"""),"Gobierno")</f>
        <v>Gobierno</v>
      </c>
      <c r="E1657" s="25" t="str">
        <f ca="1">IFERROR(__xludf.DUMMYFUNCTION("""COMPUTED_VALUE"""),"Secretaría Distrital de Gobierno")</f>
        <v>Secretaría Distrital de Gobierno</v>
      </c>
      <c r="F1657" s="25" t="str">
        <f ca="1">IFERROR(__xludf.DUMMYFUNCTION("""COMPUTED_VALUE"""),"Brindar atención prioritaria institucional a líderes y lideresas amenazadas en la localidad.")</f>
        <v>Brindar atención prioritaria institucional a líderes y lideresas amenazadas en la localidad.</v>
      </c>
      <c r="G1657" s="25" t="str">
        <f ca="1">IFERROR(__xludf.DUMMYFUNCTION("""COMPUTED_VALUE"""),"18. Rafael Uribe Uribe")</f>
        <v>18. Rafael Uribe Uribe</v>
      </c>
      <c r="H1657" s="55">
        <f ca="1">IFERROR(__xludf.DUMMYFUNCTION("""COMPUTED_VALUE"""),45031)</f>
        <v>45031</v>
      </c>
      <c r="I1657" s="25" t="str">
        <f ca="1">IFERROR(__xludf.DUMMYFUNCTION("""COMPUTED_VALUE"""),"Secretaría Privada")</f>
        <v>Secretaría Privada</v>
      </c>
      <c r="J1657" s="55" t="str">
        <f ca="1">IFERROR(__xludf.DUMMYFUNCTION("""COMPUTED_VALUE"""),"Alta")</f>
        <v>Alta</v>
      </c>
      <c r="K1657" s="25">
        <f ca="1">IFERROR(__xludf.DUMMYFUNCTION("""COMPUTED_VALUE"""),25)</f>
        <v>25</v>
      </c>
      <c r="L1657" s="62">
        <f ca="1">IFERROR(__xludf.DUMMYFUNCTION("""COMPUTED_VALUE"""),45070)</f>
        <v>45070</v>
      </c>
      <c r="M1657" s="25" t="str">
        <f ca="1">IFERROR(__xludf.DUMMYFUNCTION("""COMPUTED_VALUE"""),"Se llevó a cabo reunion por parte de profesionales de la Direccion de Derechos Humanos de la Secretaria Distrital de Gobierno con las lideresas de la Localidad de Rafael Uribe Uribe en el salon de la Junta de Accion Comunal Barrio Bravo Paez dirección Cal"&amp;"le 35B Sur # 25 A - 37. En el espacio las lideresas expusieron la situacion de seguridad que viven en el territorio por el ejercicio de su labor como defensoras de derechos humanos en la localidad. Tres de las lideresas que asistieron al espacio en el mom"&amp;"ento ya estaban siendo atendidas por la ruta de Defensores y Defensoras de Derechos Humanos y se procede a ingresar a la ruta a otras cuatro lideresas para realizar las gestiones correspondientes segun la atencion.")</f>
        <v>Se llevó a cabo reunion por parte de profesionales de la Direccion de Derechos Humanos de la Secretaria Distrital de Gobierno con las lideresas de la Localidad de Rafael Uribe Uribe en el salon de la Junta de Accion Comunal Barrio Bravo Paez dirección Calle 35B Sur # 25 A - 37. En el espacio las lideresas expusieron la situacion de seguridad que viven en el territorio por el ejercicio de su labor como defensoras de derechos humanos en la localidad. Tres de las lideresas que asistieron al espacio en el momento ya estaban siendo atendidas por la ruta de Defensores y Defensoras de Derechos Humanos y se procede a ingresar a la ruta a otras cuatro lideresas para realizar las gestiones correspondientes segun la atencion.</v>
      </c>
      <c r="N1657" s="25"/>
      <c r="O1657" s="25" t="str">
        <f t="shared" ca="1" si="0"/>
        <v>Secretaría Distrital de Gobierno</v>
      </c>
      <c r="P1657" s="25" t="str">
        <f t="shared" ca="1" si="2"/>
        <v/>
      </c>
      <c r="Q1657" s="25" t="str">
        <f ca="1">IFERROR(__xludf.DUMMYFUNCTION("""COMPUTED_VALUE"""),"Corto plazo")</f>
        <v>Corto plazo</v>
      </c>
      <c r="R1657" s="25"/>
      <c r="S1657" s="55"/>
      <c r="T1657" s="56"/>
      <c r="U1657" s="25"/>
      <c r="V1657" s="25"/>
      <c r="W1657" s="25"/>
      <c r="X1657" s="25"/>
      <c r="Y1657" s="25"/>
      <c r="Z1657" s="25"/>
    </row>
    <row r="1658" spans="1:26" ht="52.5" customHeight="1" x14ac:dyDescent="0.25">
      <c r="A1658" s="25" t="str">
        <f ca="1">IFERROR(__xludf.DUMMYFUNCTION("""COMPUTED_VALUE"""),"Gobie156")</f>
        <v>Gobie156</v>
      </c>
      <c r="B1658" s="25" t="str">
        <f ca="1">IFERROR(__xludf.DUMMYFUNCTION("""COMPUTED_VALUE"""),"Recorrido Rafael Uribe Uribe")</f>
        <v>Recorrido Rafael Uribe Uribe</v>
      </c>
      <c r="C1658" s="55">
        <f ca="1">IFERROR(__xludf.DUMMYFUNCTION("""COMPUTED_VALUE"""),45006)</f>
        <v>45006</v>
      </c>
      <c r="D1658" s="25" t="str">
        <f ca="1">IFERROR(__xludf.DUMMYFUNCTION("""COMPUTED_VALUE"""),"Gobierno")</f>
        <v>Gobierno</v>
      </c>
      <c r="E1658" s="25" t="str">
        <f ca="1">IFERROR(__xludf.DUMMYFUNCTION("""COMPUTED_VALUE"""),"Alcaldía Local")</f>
        <v>Alcaldía Local</v>
      </c>
      <c r="F1658" s="25" t="str">
        <f ca="1">IFERROR(__xludf.DUMMYFUNCTION("""COMPUTED_VALUE"""),"Realizar mesa de trabajo con la comunidad del barrio el Quiroga , la SDIS, UAESP, SDSCJ, EAAB y la Alcaldía Local, para abordar problemática de habitabilidad en calle y posibles soluciones de atención al canal Albina.")</f>
        <v>Realizar mesa de trabajo con la comunidad del barrio el Quiroga , la SDIS, UAESP, SDSCJ, EAAB y la Alcaldía Local, para abordar problemática de habitabilidad en calle y posibles soluciones de atención al canal Albina.</v>
      </c>
      <c r="G1658" s="25" t="str">
        <f ca="1">IFERROR(__xludf.DUMMYFUNCTION("""COMPUTED_VALUE"""),"18. Rafael Uribe Uribe")</f>
        <v>18. Rafael Uribe Uribe</v>
      </c>
      <c r="H1658" s="55">
        <f ca="1">IFERROR(__xludf.DUMMYFUNCTION("""COMPUTED_VALUE"""),45026)</f>
        <v>45026</v>
      </c>
      <c r="I1658" s="25" t="str">
        <f ca="1">IFERROR(__xludf.DUMMYFUNCTION("""COMPUTED_VALUE"""),"Secretaría Privada")</f>
        <v>Secretaría Privada</v>
      </c>
      <c r="J1658" s="55" t="str">
        <f ca="1">IFERROR(__xludf.DUMMYFUNCTION("""COMPUTED_VALUE"""),"Alta")</f>
        <v>Alta</v>
      </c>
      <c r="K1658" s="25">
        <f ca="1">IFERROR(__xludf.DUMMYFUNCTION("""COMPUTED_VALUE"""),20)</f>
        <v>20</v>
      </c>
      <c r="L1658" s="62">
        <f ca="1">IFERROR(__xludf.DUMMYFUNCTION("""COMPUTED_VALUE"""),45082)</f>
        <v>45082</v>
      </c>
      <c r="M1658" s="25" t="str">
        <f ca="1">IFERROR(__xludf.DUMMYFUNCTION("""COMPUTED_VALUE"""),"Teniendo en cuenta que se había realizado una mesa previa el día 17 de marzo de 2023 se realizó una reunión con la comunidad, donde manifestaron sus necesidades, el 15 de abril se realizó una invitación a la comunidad para conformar un frente de seguridad"&amp;", sin embargo, no fue posible realizar la consolidación del mismo por la baja participación de la comunidad. Por otro lado, el 21 y 22 de marzo y el 5 de abril se realizaron operativos en el sector para controlar los temas de cambuches, carreteros y punto"&amp;"s críticos.
Se anexa acta: https://gobiernobogota.sharepoint.com/:b:/s/DGDL/EVi5LRuaDpdCtSCuS1k9WmgBg8eOveILXFRyUYzhSff9mg?e=wsJmFn""")</f>
        <v>Teniendo en cuenta que se había realizado una mesa previa el día 17 de marzo de 2023 se realizó una reunión con la comunidad, donde manifestaron sus necesidades, el 15 de abril se realizó una invitación a la comunidad para conformar un frente de seguridad, sin embargo, no fue posible realizar la consolidación del mismo por la baja participación de la comunidad. Por otro lado, el 21 y 22 de marzo y el 5 de abril se realizaron operativos en el sector para controlar los temas de cambuches, carreteros y puntos críticos.
Se anexa acta: https://gobiernobogota.sharepoint.com/:b:/s/DGDL/EVi5LRuaDpdCtSCuS1k9WmgBg8eOveILXFRyUYzhSff9mg?e=wsJmFn"</v>
      </c>
      <c r="N1658" s="25"/>
      <c r="O1658" s="25" t="str">
        <f t="shared" ca="1" si="0"/>
        <v>Alcaldía Local</v>
      </c>
      <c r="P1658" s="25" t="str">
        <f t="shared" ca="1" si="2"/>
        <v/>
      </c>
      <c r="Q1658" s="25" t="str">
        <f ca="1">IFERROR(__xludf.DUMMYFUNCTION("""COMPUTED_VALUE"""),"Corto plazo")</f>
        <v>Corto plazo</v>
      </c>
      <c r="R1658" s="25"/>
      <c r="S1658" s="55"/>
      <c r="T1658" s="56"/>
      <c r="U1658" s="25"/>
      <c r="V1658" s="25"/>
      <c r="W1658" s="25"/>
      <c r="X1658" s="25"/>
      <c r="Y1658" s="25"/>
      <c r="Z1658" s="25"/>
    </row>
    <row r="1659" spans="1:26" ht="52.5" customHeight="1" x14ac:dyDescent="0.25">
      <c r="A1659" s="25" t="str">
        <f ca="1">IFERROR(__xludf.DUMMYFUNCTION("""COMPUTED_VALUE"""),"Gobie157")</f>
        <v>Gobie157</v>
      </c>
      <c r="B1659" s="25" t="str">
        <f ca="1">IFERROR(__xludf.DUMMYFUNCTION("""COMPUTED_VALUE"""),"Recorrido Rafael Uribe Uribe")</f>
        <v>Recorrido Rafael Uribe Uribe</v>
      </c>
      <c r="C1659" s="55">
        <f ca="1">IFERROR(__xludf.DUMMYFUNCTION("""COMPUTED_VALUE"""),45006)</f>
        <v>45006</v>
      </c>
      <c r="D1659" s="25" t="str">
        <f ca="1">IFERROR(__xludf.DUMMYFUNCTION("""COMPUTED_VALUE"""),"Gobierno")</f>
        <v>Gobierno</v>
      </c>
      <c r="E1659" s="25" t="str">
        <f ca="1">IFERROR(__xludf.DUMMYFUNCTION("""COMPUTED_VALUE"""),"Alcaldía Local")</f>
        <v>Alcaldía Local</v>
      </c>
      <c r="F1659" s="25" t="str">
        <f ca="1">IFERROR(__xludf.DUMMYFUNCTION("""COMPUTED_VALUE"""),"Intervenir con acciones de aseo, control y limpieza la ciclovía de la carrera 24 y 27.")</f>
        <v>Intervenir con acciones de aseo, control y limpieza la ciclovía de la carrera 24 y 27.</v>
      </c>
      <c r="G1659" s="25" t="str">
        <f ca="1">IFERROR(__xludf.DUMMYFUNCTION("""COMPUTED_VALUE"""),"18. Rafael Uribe Uribe")</f>
        <v>18. Rafael Uribe Uribe</v>
      </c>
      <c r="H1659" s="55">
        <f ca="1">IFERROR(__xludf.DUMMYFUNCTION("""COMPUTED_VALUE"""),45015)</f>
        <v>45015</v>
      </c>
      <c r="I1659" s="25" t="str">
        <f ca="1">IFERROR(__xludf.DUMMYFUNCTION("""COMPUTED_VALUE"""),"Secretaría Privada")</f>
        <v>Secretaría Privada</v>
      </c>
      <c r="J1659" s="55" t="str">
        <f ca="1">IFERROR(__xludf.DUMMYFUNCTION("""COMPUTED_VALUE"""),"Alta")</f>
        <v>Alta</v>
      </c>
      <c r="K1659" s="25">
        <f ca="1">IFERROR(__xludf.DUMMYFUNCTION("""COMPUTED_VALUE"""),9)</f>
        <v>9</v>
      </c>
      <c r="L1659" s="62">
        <f ca="1">IFERROR(__xludf.DUMMYFUNCTION("""COMPUTED_VALUE"""),45082)</f>
        <v>45082</v>
      </c>
      <c r="M1659" s="25" t="str">
        <f ca="1">IFERROR(__xludf.DUMMYFUNCTION("""COMPUTED_VALUE"""),"Es de aclarar que en el punto mencionado no está ubicada una ciclovía, sin embargo, en la visita de la alcaldesa se observó un punto crítico en la carrera 24 con 42sur. En ese orden de ideas, el 23 de marzo de 2023, en articulación con el programa JCB se "&amp;"realizó una intervención en ese punto, donde se logró la recuperación del espacio público que presentaba acopio de basuras y escombros. El FDL gestionó 5 materas de 1 metro x 60 x 30 que se dejaron en el punto. Se logró una rehabilitación de un 90%. Adici"&amp;"onalmente, con la información suministrada por la comunidad, de los establecimientos de comercio que usualmente hacen una mala disposición de residuos en el punto, se llevó a cabo un operativo para verificar que estos cumplieran con la normatividad para s"&amp;"u funcionamiento.
Se anexa registro fotográfico y actas de los operativos: https://gobiernobogota.sharepoint.com/:f:/s/DGDL/EsAWxBr6JAdLmB7MXMueX84B3S4bgsBuD4TJ8ICDu2zrPA?e=ghl676""")</f>
        <v>Es de aclarar que en el punto mencionado no está ubicada una ciclovía, sin embargo, en la visita de la alcaldesa se observó un punto crítico en la carrera 24 con 42sur. En ese orden de ideas, el 23 de marzo de 2023, en articulación con el programa JCB se realizó una intervención en ese punto, donde se logró la recuperación del espacio público que presentaba acopio de basuras y escombros. El FDL gestionó 5 materas de 1 metro x 60 x 30 que se dejaron en el punto. Se logró una rehabilitación de un 90%. Adicionalmente, con la información suministrada por la comunidad, de los establecimientos de comercio que usualmente hacen una mala disposición de residuos en el punto, se llevó a cabo un operativo para verificar que estos cumplieran con la normatividad para su funcionamiento.
Se anexa registro fotográfico y actas de los operativos: https://gobiernobogota.sharepoint.com/:f:/s/DGDL/EsAWxBr6JAdLmB7MXMueX84B3S4bgsBuD4TJ8ICDu2zrPA?e=ghl676"</v>
      </c>
      <c r="N1659" s="25"/>
      <c r="O1659" s="25" t="str">
        <f t="shared" ca="1" si="0"/>
        <v>Alcaldía Local</v>
      </c>
      <c r="P1659" s="25" t="str">
        <f t="shared" ca="1" si="2"/>
        <v/>
      </c>
      <c r="Q1659" s="25" t="str">
        <f ca="1">IFERROR(__xludf.DUMMYFUNCTION("""COMPUTED_VALUE"""),"Corto plazo")</f>
        <v>Corto plazo</v>
      </c>
      <c r="R1659" s="25"/>
      <c r="S1659" s="55"/>
      <c r="T1659" s="56"/>
      <c r="U1659" s="25"/>
      <c r="V1659" s="25"/>
      <c r="W1659" s="25"/>
      <c r="X1659" s="25"/>
      <c r="Y1659" s="25"/>
      <c r="Z1659" s="25"/>
    </row>
    <row r="1660" spans="1:26" ht="52.5" customHeight="1" x14ac:dyDescent="0.25">
      <c r="A1660" s="25" t="str">
        <f ca="1">IFERROR(__xludf.DUMMYFUNCTION("""COMPUTED_VALUE"""),"Gobie158")</f>
        <v>Gobie158</v>
      </c>
      <c r="B1660" s="25" t="str">
        <f ca="1">IFERROR(__xludf.DUMMYFUNCTION("""COMPUTED_VALUE"""),"Recorrido Rafael Uribe Uribe")</f>
        <v>Recorrido Rafael Uribe Uribe</v>
      </c>
      <c r="C1660" s="55">
        <f ca="1">IFERROR(__xludf.DUMMYFUNCTION("""COMPUTED_VALUE"""),45006)</f>
        <v>45006</v>
      </c>
      <c r="D1660" s="25" t="str">
        <f ca="1">IFERROR(__xludf.DUMMYFUNCTION("""COMPUTED_VALUE"""),"Gobierno")</f>
        <v>Gobierno</v>
      </c>
      <c r="E1660" s="25" t="str">
        <f ca="1">IFERROR(__xludf.DUMMYFUNCTION("""COMPUTED_VALUE"""),"Departamento Administrativo de la Defensoría del Espacio Público")</f>
        <v>Departamento Administrativo de la Defensoría del Espacio Público</v>
      </c>
      <c r="F1660" s="25" t="str">
        <f ca="1">IFERROR(__xludf.DUMMYFUNCTION("""COMPUTED_VALUE"""),"Revisar área de cesión de algunos conjuntos residenciales de la localidad.")</f>
        <v>Revisar área de cesión de algunos conjuntos residenciales de la localidad.</v>
      </c>
      <c r="G1660" s="25" t="str">
        <f ca="1">IFERROR(__xludf.DUMMYFUNCTION("""COMPUTED_VALUE"""),"18. Rafael Uribe Uribe")</f>
        <v>18. Rafael Uribe Uribe</v>
      </c>
      <c r="H1660" s="55">
        <f ca="1">IFERROR(__xludf.DUMMYFUNCTION("""COMPUTED_VALUE"""),45076)</f>
        <v>45076</v>
      </c>
      <c r="I1660" s="25" t="str">
        <f ca="1">IFERROR(__xludf.DUMMYFUNCTION("""COMPUTED_VALUE"""),"Jefatura de Gabinete")</f>
        <v>Jefatura de Gabinete</v>
      </c>
      <c r="J1660" s="55" t="str">
        <f ca="1">IFERROR(__xludf.DUMMYFUNCTION("""COMPUTED_VALUE"""),"Media")</f>
        <v>Media</v>
      </c>
      <c r="K1660" s="25">
        <f ca="1">IFERROR(__xludf.DUMMYFUNCTION("""COMPUTED_VALUE"""),70)</f>
        <v>70</v>
      </c>
      <c r="L1660" s="62">
        <f ca="1">IFERROR(__xludf.DUMMYFUNCTION("""COMPUTED_VALUE"""),45082)</f>
        <v>45082</v>
      </c>
      <c r="M1660" s="25" t="str">
        <f ca="1">IFERROR(__xludf.DUMMYFUNCTION("""COMPUTED_VALUE"""),"Solicitamos amablemente información mas precisa(direcciones) de los predios para poder proceder con la investigación del estado urbanistico de las áreas de cesión solicitadas.")</f>
        <v>Solicitamos amablemente información mas precisa(direcciones) de los predios para poder proceder con la investigación del estado urbanistico de las áreas de cesión solicitadas.</v>
      </c>
      <c r="N1660" s="25"/>
      <c r="O1660" s="25" t="str">
        <f t="shared" ca="1" si="0"/>
        <v>Departamento Administrativo de la Defensoría del Espacio Público</v>
      </c>
      <c r="P1660" s="25" t="str">
        <f t="shared" ca="1" si="2"/>
        <v/>
      </c>
      <c r="Q1660" s="25" t="str">
        <f ca="1">IFERROR(__xludf.DUMMYFUNCTION("""COMPUTED_VALUE"""),"Mediano plazo")</f>
        <v>Mediano plazo</v>
      </c>
      <c r="R1660" s="25"/>
      <c r="S1660" s="55"/>
      <c r="T1660" s="56"/>
      <c r="U1660" s="25"/>
      <c r="V1660" s="25"/>
      <c r="W1660" s="25"/>
      <c r="X1660" s="25"/>
      <c r="Y1660" s="25"/>
      <c r="Z1660" s="25"/>
    </row>
    <row r="1661" spans="1:26" ht="52.5" customHeight="1" x14ac:dyDescent="0.25">
      <c r="A1661" s="25" t="str">
        <f ca="1">IFERROR(__xludf.DUMMYFUNCTION("""COMPUTED_VALUE"""),"Gobie159")</f>
        <v>Gobie159</v>
      </c>
      <c r="B1661" s="25" t="str">
        <f ca="1">IFERROR(__xludf.DUMMYFUNCTION("""COMPUTED_VALUE"""),"Junta de Infraestructura")</f>
        <v>Junta de Infraestructura</v>
      </c>
      <c r="C1661" s="55">
        <f ca="1">IFERROR(__xludf.DUMMYFUNCTION("""COMPUTED_VALUE"""),45009)</f>
        <v>45009</v>
      </c>
      <c r="D1661" s="25" t="str">
        <f ca="1">IFERROR(__xludf.DUMMYFUNCTION("""COMPUTED_VALUE"""),"Gobierno")</f>
        <v>Gobierno</v>
      </c>
      <c r="E1661" s="25" t="str">
        <f ca="1">IFERROR(__xludf.DUMMYFUNCTION("""COMPUTED_VALUE"""),"Alcaldía Local")</f>
        <v>Alcaldía Local</v>
      </c>
      <c r="F1661" s="25" t="str">
        <f ca="1">IFERROR(__xludf.DUMMYFUNCTION("""COMPUTED_VALUE"""),"Se debe tener una ruta critica y un acuerdo entre FDL Usme, ERU, SDA, EAAB, FFDS y Subred Sur sobre el proceso para la autorización de ocupación de cause tanto para el hospital de Usme como para la via de acceso")</f>
        <v>Se debe tener una ruta critica y un acuerdo entre FDL Usme, ERU, SDA, EAAB, FFDS y Subred Sur sobre el proceso para la autorización de ocupación de cause tanto para el hospital de Usme como para la via de acceso</v>
      </c>
      <c r="G1661" s="25" t="str">
        <f ca="1">IFERROR(__xludf.DUMMYFUNCTION("""COMPUTED_VALUE"""),"05. Usme")</f>
        <v>05. Usme</v>
      </c>
      <c r="H1661" s="55">
        <f ca="1">IFERROR(__xludf.DUMMYFUNCTION("""COMPUTED_VALUE"""),45036)</f>
        <v>45036</v>
      </c>
      <c r="I1661" s="25" t="str">
        <f ca="1">IFERROR(__xludf.DUMMYFUNCTION("""COMPUTED_VALUE"""),"Junta de Infraestructura")</f>
        <v>Junta de Infraestructura</v>
      </c>
      <c r="J1661" s="55" t="str">
        <f ca="1">IFERROR(__xludf.DUMMYFUNCTION("""COMPUTED_VALUE"""),"Alta")</f>
        <v>Alta</v>
      </c>
      <c r="K1661" s="25">
        <f ca="1">IFERROR(__xludf.DUMMYFUNCTION("""COMPUTED_VALUE"""),27)</f>
        <v>27</v>
      </c>
      <c r="L1661" s="62">
        <f ca="1">IFERROR(__xludf.DUMMYFUNCTION("""COMPUTED_VALUE"""),44767)</f>
        <v>44767</v>
      </c>
      <c r="M1661" s="25" t="str">
        <f ca="1">IFERROR(__xludf.DUMMYFUNCTION("""COMPUTED_VALUE"""),"En el predio ubicado en la Calle 11 con Av. Carrera 80 (Av. Agoberto Mejía) se realizan actividades de parqueadero y reparación de vehículos. Dicho predio a la fecha no se encuentra incorporado en el inventario de patrimonio inmobiliario distrital. Sin em"&amp;"bargo, de acuerdo con la documentación aprobada por SDP cuenta con una afectación vial. Además, a la fecha el predio cuenta con titularidad de un particular. No obstante, se adelantan acciones jurídicas para el saneamiento del predio. 
 A la fecha el DA"&amp;"DEP se encuentra haciendo la gestión para obtener la información de los propietarios actuales del predio y asi iniciar con la declaratoria de propiedad pública, pero se ha presentado la dificultad de encontrar esta información debido a la ausencia de inte"&amp;"res para la solución de la controversia , tambien se esta coordinando con el IDU la intervención de este predio en lo que respecta al cronograma de diseño y al programa de ejecución de la obra dentro del corto plazo, teniendo en cuenta los terminos aludid"&amp;"os por parte de la SDP. Por otra parte se inicia con el proceso de adelantar el cambio de uso del predio para viabilizar el convenio con la Terminal de Transportes de Bogotá.
 Se realizó un operativo de IVC el 16/02/22: El parqueadero está cerrado y no"&amp;" presta servicio público. El Predio no se encuentra en inventario de Patrimonio inmobiliario Distrital.
Reporte 31 mayo 2023:  El pasado 12 de abril de 2023 se realizó comité con el fin de definir la conexion de aguas lluvias de las vías contiguas al nue"&amp;"vo hopsital de Usme, la cual tuvo como resultado realizar la conexión de los pozos ubicados en los civ 5006719 y 5006704 con un pozo nuevo ubicado en la interseccion de la calle 111 sur. 
YA SE CUENTA CON ACTA DE REUNIÓN, EN LA CUAL SE DEFINIÓ EN DONDE VA"&amp;" A DESEMBCAR EL AGUA LLUVIA DE LAS VÍAS CONTIGUAS AL NUEVO HOSPITAL DE USME 
SE ADJUNTA ACTA DE REUNION DEL 12 DE ABRIL DE 2023: https://gobiernobogota.sharepoint.com/:b:/s/DGDL/EXzWCpK9GBdBswqKYnnLKPsBG_67qWiN5hbyelAZ2-0I0A?e=QF0Fsb """)</f>
        <v>En el predio ubicado en la Calle 11 con Av. Carrera 80 (Av. Agoberto Mejía) se realizan actividades de parqueadero y reparación de vehículos. Dicho predio a la fecha no se encuentra incorporado en el inventario de patrimonio inmobiliario distrital. Sin embargo, de acuerdo con la documentación aprobada por SDP cuenta con una afectación vial. Además, a la fecha el predio cuenta con titularidad de un particular. No obstante, se adelantan acciones jurídicas para el saneamiento del predio. 
 A la fecha el DADEP se encuentra haciendo la gestión para obtener la información de los propietarios actuales del predio y asi iniciar con la declaratoria de propiedad pública, pero se ha presentado la dificultad de encontrar esta información debido a la ausencia de interes para la solución de la controversia , tambien se esta coordinando con el IDU la intervención de este predio en lo que respecta al cronograma de diseño y al programa de ejecución de la obra dentro del corto plazo, teniendo en cuenta los terminos aludidos por parte de la SDP. Por otra parte se inicia con el proceso de adelantar el cambio de uso del predio para viabilizar el convenio con la Terminal de Transportes de Bogotá.
 Se realizó un operativo de IVC el 16/02/22: El parqueadero está cerrado y no presta servicio público. El Predio no se encuentra en inventario de Patrimonio inmobiliario Distrital.
Reporte 31 mayo 2023:  El pasado 12 de abril de 2023 se realizó comité con el fin de definir la conexion de aguas lluvias de las vías contiguas al nuevo hopsital de Usme, la cual tuvo como resultado realizar la conexión de los pozos ubicados en los civ 5006719 y 5006704 con un pozo nuevo ubicado en la interseccion de la calle 111 sur. 
YA SE CUENTA CON ACTA DE REUNIÓN, EN LA CUAL SE DEFINIÓ EN DONDE VA A DESEMBCAR EL AGUA LLUVIA DE LAS VÍAS CONTIGUAS AL NUEVO HOSPITAL DE USME 
SE ADJUNTA ACTA DE REUNION DEL 12 DE ABRIL DE 2023: https://gobiernobogota.sharepoint.com/:b:/s/DGDL/EXzWCpK9GBdBswqKYnnLKPsBG_67qWiN5hbyelAZ2-0I0A?e=QF0Fsb "</v>
      </c>
      <c r="N1661" s="25"/>
      <c r="O1661" s="25" t="str">
        <f t="shared" ca="1" si="0"/>
        <v>Alcaldía Local</v>
      </c>
      <c r="P1661" s="25" t="str">
        <f t="shared" ca="1" si="2"/>
        <v/>
      </c>
      <c r="Q1661" s="25" t="str">
        <f ca="1">IFERROR(__xludf.DUMMYFUNCTION("""COMPUTED_VALUE"""),"Corto plazo")</f>
        <v>Corto plazo</v>
      </c>
      <c r="R1661" s="25"/>
      <c r="S1661" s="55"/>
      <c r="T1661" s="56"/>
      <c r="U1661" s="25"/>
      <c r="V1661" s="25"/>
      <c r="W1661" s="25"/>
      <c r="X1661" s="25"/>
      <c r="Y1661" s="25"/>
      <c r="Z1661" s="25"/>
    </row>
    <row r="1662" spans="1:26" ht="52.5" customHeight="1" x14ac:dyDescent="0.25">
      <c r="A1662" s="25" t="str">
        <f ca="1">IFERROR(__xludf.DUMMYFUNCTION("""COMPUTED_VALUE"""),"Gobie160")</f>
        <v>Gobie160</v>
      </c>
      <c r="B1662" s="25" t="str">
        <f ca="1">IFERROR(__xludf.DUMMYFUNCTION("""COMPUTED_VALUE"""),"Consejo Local de Gobierno de Kennedy")</f>
        <v>Consejo Local de Gobierno de Kennedy</v>
      </c>
      <c r="C1662" s="55">
        <f ca="1">IFERROR(__xludf.DUMMYFUNCTION("""COMPUTED_VALUE"""),44581)</f>
        <v>44581</v>
      </c>
      <c r="D1662" s="25" t="str">
        <f ca="1">IFERROR(__xludf.DUMMYFUNCTION("""COMPUTED_VALUE"""),"Gobierno")</f>
        <v>Gobierno</v>
      </c>
      <c r="E1662" s="25" t="str">
        <f ca="1">IFERROR(__xludf.DUMMYFUNCTION("""COMPUTED_VALUE"""),"Departamento Administrativo de la Defensoría del Espacio Público")</f>
        <v>Departamento Administrativo de la Defensoría del Espacio Público</v>
      </c>
      <c r="F1662" s="25" t="str">
        <f ca="1">IFERROR(__xludf.DUMMYFUNCTION("""COMPUTED_VALUE"""),"Revisar el estado del predio ubicado en la Cra 75 con calle 11 (Parqueadero Ilegal) Para poderlo convertir y recuperar junto a las instituciones en un parqueadero barrial")</f>
        <v>Revisar el estado del predio ubicado en la Cra 75 con calle 11 (Parqueadero Ilegal) Para poderlo convertir y recuperar junto a las instituciones en un parqueadero barrial</v>
      </c>
      <c r="G1662" s="25" t="str">
        <f ca="1">IFERROR(__xludf.DUMMYFUNCTION("""COMPUTED_VALUE"""),"08. Kennedy")</f>
        <v>08. Kennedy</v>
      </c>
      <c r="H1662" s="55">
        <f ca="1">IFERROR(__xludf.DUMMYFUNCTION("""COMPUTED_VALUE"""),44767)</f>
        <v>44767</v>
      </c>
      <c r="I1662" s="25"/>
      <c r="J1662" s="55" t="str">
        <f ca="1">IFERROR(__xludf.DUMMYFUNCTION("""COMPUTED_VALUE"""),"Baja")</f>
        <v>Baja</v>
      </c>
      <c r="K1662" s="25">
        <f ca="1">IFERROR(__xludf.DUMMYFUNCTION("""COMPUTED_VALUE"""),186)</f>
        <v>186</v>
      </c>
      <c r="L1662" s="62">
        <f ca="1">IFERROR(__xludf.DUMMYFUNCTION("""COMPUTED_VALUE"""),45051)</f>
        <v>45051</v>
      </c>
      <c r="M1662" s="25" t="str">
        <f ca="1">IFERROR(__xludf.DUMMYFUNCTION("""COMPUTED_VALUE"""),"En el predio ubicado en la Calle 11 con  Carrera 80 CHIP catastral AAA0179ZLYN  cuya área de terreno es de  9,702,13 m2 donde se realizan ""actividades de parqueadero y reparación de vehículos"". Dicho predio a la fecha no se encuentra incorporado en el i"&amp;"nventario de patrimonio inmobiliario distrital. Sin embargo, de acuerdo con la documentación aprobada por SDP cuenta con una afectación vial. Además, a la fecha el predio cuenta con titularidad de particulares los cuales son: Multibank INC, Banco Popular "&amp;"SA y Banco Agrario de Colombia.  
En relación a la ocupación del predio, al ser de tipo privado, el DADEP carece de competencias para poder intervenir en este. Por esta razón es competencia de la Alcaldía Local de Kennedy realizar las visitas de diagnost"&amp;"ico y control del predio para revisar la legalidad del mismo.
En cuanto a la posibilidad de que este predio pueda destinarse a ser usado como un parqueadero barrial es importante mencionar que  este predio esta destinado a ser una reserva vial por esta r"&amp;"azón  el IDU tiene las competencias para adelantar las acciones necesarias que este predio requiera.
Se realizó un operativo de IVC el 16/02/22: El parqueadero está cerrado y no presta servicio público. El Predio no se encuentra en inventario de Patrim"&amp;"onio inmobiliario Distrital.")</f>
        <v>En el predio ubicado en la Calle 11 con  Carrera 80 CHIP catastral AAA0179ZLYN  cuya área de terreno es de  9,702,13 m2 donde se realizan "actividades de parqueadero y reparación de vehículos". Dicho predio a la fecha no se encuentra incorporado en el inventario de patrimonio inmobiliario distrital. Sin embargo, de acuerdo con la documentación aprobada por SDP cuenta con una afectación vial. Además, a la fecha el predio cuenta con titularidad de particulares los cuales son: Multibank INC, Banco Popular SA y Banco Agrario de Colombia.  
En relación a la ocupación del predio, al ser de tipo privado, el DADEP carece de competencias para poder intervenir en este. Por esta razón es competencia de la Alcaldía Local de Kennedy realizar las visitas de diagnostico y control del predio para revisar la legalidad del mismo.
En cuanto a la posibilidad de que este predio pueda destinarse a ser usado como un parqueadero barrial es importante mencionar que  este predio esta destinado a ser una reserva vial por esta razón  el IDU tiene las competencias para adelantar las acciones necesarias que este predio requiera.
Se realizó un operativo de IVC el 16/02/22: El parqueadero está cerrado y no presta servicio público. El Predio no se encuentra en inventario de Patrimonio inmobiliario Distrital.</v>
      </c>
      <c r="N1662" s="65">
        <f ca="1">IFERROR(__xludf.DUMMYFUNCTION("""COMPUTED_VALUE"""),44926)</f>
        <v>44926</v>
      </c>
      <c r="O1662" s="25" t="str">
        <f t="shared" ca="1" si="0"/>
        <v>Departamento Administrativo de la Defensoría del Espacio Público</v>
      </c>
      <c r="P1662" s="25" t="str">
        <f t="shared" si="2"/>
        <v/>
      </c>
      <c r="Q1662" s="25" t="str">
        <f ca="1">IFERROR(__xludf.DUMMYFUNCTION("""COMPUTED_VALUE"""),"Largo plazo")</f>
        <v>Largo plazo</v>
      </c>
      <c r="R1662" s="25"/>
      <c r="S1662" s="55"/>
      <c r="T1662" s="56"/>
      <c r="U1662" s="25"/>
      <c r="V1662" s="25"/>
      <c r="W1662" s="25"/>
      <c r="X1662" s="25"/>
      <c r="Y1662" s="25"/>
      <c r="Z1662" s="25"/>
    </row>
    <row r="1663" spans="1:26" ht="52.5" customHeight="1" x14ac:dyDescent="0.25">
      <c r="A1663" s="25" t="str">
        <f ca="1">IFERROR(__xludf.DUMMYFUNCTION("""COMPUTED_VALUE"""),"Gobie161")</f>
        <v>Gobie161</v>
      </c>
      <c r="B1663" s="25" t="str">
        <f ca="1">IFERROR(__xludf.DUMMYFUNCTION("""COMPUTED_VALUE"""),"Consejo Local de Gobierno de Kennedy")</f>
        <v>Consejo Local de Gobierno de Kennedy</v>
      </c>
      <c r="C1663" s="55">
        <f ca="1">IFERROR(__xludf.DUMMYFUNCTION("""COMPUTED_VALUE"""),44581)</f>
        <v>44581</v>
      </c>
      <c r="D1663" s="25" t="str">
        <f ca="1">IFERROR(__xludf.DUMMYFUNCTION("""COMPUTED_VALUE"""),"Gobierno")</f>
        <v>Gobierno</v>
      </c>
      <c r="E1663" s="25" t="str">
        <f ca="1">IFERROR(__xludf.DUMMYFUNCTION("""COMPUTED_VALUE"""),"Instituto Distrital de la Participación y Acción Comunal")</f>
        <v>Instituto Distrital de la Participación y Acción Comunal</v>
      </c>
      <c r="F1663" s="25" t="str">
        <f ca="1">IFERROR(__xludf.DUMMYFUNCTION("""COMPUTED_VALUE"""),"Concertar una mesa de diálogo entre el IDPAC, la comunidad y los lideres del sector bares a través de la metodología pactando. La problemática se da en los Bares que están situados en Castilla y Bavaria entra la boyacá y la avenida 30")</f>
        <v>Concertar una mesa de diálogo entre el IDPAC, la comunidad y los lideres del sector bares a través de la metodología pactando. La problemática se da en los Bares que están situados en Castilla y Bavaria entra la boyacá y la avenida 30</v>
      </c>
      <c r="G1663" s="25" t="str">
        <f ca="1">IFERROR(__xludf.DUMMYFUNCTION("""COMPUTED_VALUE"""),"08. Kennedy")</f>
        <v>08. Kennedy</v>
      </c>
      <c r="H1663" s="55">
        <f ca="1">IFERROR(__xludf.DUMMYFUNCTION("""COMPUTED_VALUE"""),44789)</f>
        <v>44789</v>
      </c>
      <c r="I1663" s="25"/>
      <c r="J1663" s="55" t="str">
        <f ca="1">IFERROR(__xludf.DUMMYFUNCTION("""COMPUTED_VALUE"""),"Baja")</f>
        <v>Baja</v>
      </c>
      <c r="K1663" s="25">
        <f ca="1">IFERROR(__xludf.DUMMYFUNCTION("""COMPUTED_VALUE"""),208)</f>
        <v>208</v>
      </c>
      <c r="L1663" s="62">
        <f ca="1">IFERROR(__xludf.DUMMYFUNCTION("""COMPUTED_VALUE"""),44789)</f>
        <v>44789</v>
      </c>
      <c r="M1663" s="25" t="str">
        <f ca="1">IFERROR(__xludf.DUMMYFUNCTION("""COMPUTED_VALUE"""),"El 30/03/22 se desarrolló Consejo Local de Seguridad en la JAC del barrio Villa Alsacia, en el cual se socializó a la comunidad presente los avances del proyecto estratégico pactando, y proyectar tareas relacionadas con la fase diagnóstica del proceso dur"&amp;"ante el mes de abril.
 Las próximas reuniones son para la fase de co creación con la comunidad el martes 12 de Abril, y con los comerciantes el 11 de Abril. El carácter de estas es para ir definiendo con base en los diagnósticos posibilidades de acorda"&amp;"r y proyectar la firma del pacto.
 Con la información recolectada en reuniones de febrero, marzo y abril se logró levantar un primer esbozo de diagnóstico a partir de formato parametrizado de la entidad, sin embargo la lectura se queda corta en el enten"&amp;"dido de que no ha existido la suficiente participación por parte de residentes y comerciantes.
 Con la intención de continuar con ejercicios relacionados con la fase diagnostica, entre los meses de Abril y Mayo del 2022, se han realizado 5 convocatoria"&amp;"s de reuniones con comunidad, de las cuales se han concretado 3 y de las cuales, solamente a 1 han asistido residentes distintos al ciudadano inicial; 1 reunión con comerciantes y 1 recorrido. Estas actividades han sido impulsadas por el equipo Pactando d"&amp;"e Idpac y acompañadas por Alcaldía Local de Kennedy. Se planteó un nuevo posible espacio con la ciudadanía, sin embargo, fue cancelado por el ciudadano y aplazado para después de las elecciones del 29 de Mayo porque el ciudadano considera que no es conven"&amp;"iente realizarlo en las semanas previas a las elecciones.
 También se adelantaron gestiones con la Secretaría Distrital de Planeación para revisar los cambios en los usos del suelo, con base en el nuevo POT de Bogotá y se confirma el uso del suelo para "&amp;"los establecimientos comerciales según mapa; se queda el compromiso de realizar una visita presencial en la primera semana de Junio de 2022. 
 En ese sentido, no se logró concertar un encuentro con el sector de comerciantes. Se diseñó y ejecutó un recor"&amp;"rido para efectos de identificar la lectura del sector frente a la problemática; dicho encuentro no formal, permite identificar una tendencia relacionada con el buen relacionamiento de los/las comerciantes con la comunidad, a excepción del líder de los re"&amp;"sidentes Mauricio Morales.
 El análisis sobre los conflictos del sector, permitió la identificación de las distintas posiciones, intereses y necesidades de cada una las partes. Si bien se surtieron los procesos exploratorios y se identificó la permanenc"&amp;"ia de una tensión entre residentes y comerciantes, el proceso desarrollado con respecto a la focalización de la población no ha contado con la voluntad de las partes para construir alternativas que permitan la transformación de problemáticas asociadas a l"&amp;"a convivencia. Al realizar el análisis sobre los impactos a futuro, el equipo del Proyecto Estratégico Pactando que lidera el respectivo proceso considera que, existen aspectos sobre los usos del suelo que no se lograrán resolver con oferta institucional,"&amp;" sino mediante estrategias de convivencia entre las partes afectadas.
 Teniendo en cuenta lo anterior y de acuerdo a las disposiciones emanadas de la metodología del Proyecto Estratégico Pactando se sugiere el traslado del proceso desarrollado en el sec"&amp;"tor de Castilla a la Secretaría Distrital de Gobierno - Dirección de Convivencia y Diálogo Social, dicha recomendación en virtud de su misionalidad relacionada con la generación de “procesos y dinámicas de mediación para la atención de los conflictos soci"&amp;"ales que se debatan en el marco del ejercicio de derechos”.")</f>
        <v>El 30/03/22 se desarrolló Consejo Local de Seguridad en la JAC del barrio Villa Alsacia, en el cual se socializó a la comunidad presente los avances del proyecto estratégico pactando, y proyectar tareas relacionadas con la fase diagnóstica del proceso durante el mes de abril.
 Las próximas reuniones son para la fase de co creación con la comunidad el martes 12 de Abril, y con los comerciantes el 11 de Abril. El carácter de estas es para ir definiendo con base en los diagnósticos posibilidades de acordar y proyectar la firma del pacto.
 Con la información recolectada en reuniones de febrero, marzo y abril se logró levantar un primer esbozo de diagnóstico a partir de formato parametrizado de la entidad, sin embargo la lectura se queda corta en el entendido de que no ha existido la suficiente participación por parte de residentes y comerciantes.
 Con la intención de continuar con ejercicios relacionados con la fase diagnostica, entre los meses de Abril y Mayo del 2022, se han realizado 5 convocatorias de reuniones con comunidad, de las cuales se han concretado 3 y de las cuales, solamente a 1 han asistido residentes distintos al ciudadano inicial; 1 reunión con comerciantes y 1 recorrido. Estas actividades han sido impulsadas por el equipo Pactando de Idpac y acompañadas por Alcaldía Local de Kennedy. Se planteó un nuevo posible espacio con la ciudadanía, sin embargo, fue cancelado por el ciudadano y aplazado para después de las elecciones del 29 de Mayo porque el ciudadano considera que no es conveniente realizarlo en las semanas previas a las elecciones.
 También se adelantaron gestiones con la Secretaría Distrital de Planeación para revisar los cambios en los usos del suelo, con base en el nuevo POT de Bogotá y se confirma el uso del suelo para los establecimientos comerciales según mapa; se queda el compromiso de realizar una visita presencial en la primera semana de Junio de 2022. 
 En ese sentido, no se logró concertar un encuentro con el sector de comerciantes. Se diseñó y ejecutó un recorrido para efectos de identificar la lectura del sector frente a la problemática; dicho encuentro no formal, permite identificar una tendencia relacionada con el buen relacionamiento de los/las comerciantes con la comunidad, a excepción del líder de los residentes Mauricio Morales.
 El análisis sobre los conflictos del sector, permitió la identificación de las distintas posiciones, intereses y necesidades de cada una las partes. Si bien se surtieron los procesos exploratorios y se identificó la permanencia de una tensión entre residentes y comerciantes, el proceso desarrollado con respecto a la focalización de la población no ha contado con la voluntad de las partes para construir alternativas que permitan la transformación de problemáticas asociadas a la convivencia. Al realizar el análisis sobre los impactos a futuro, el equipo del Proyecto Estratégico Pactando que lidera el respectivo proceso considera que, existen aspectos sobre los usos del suelo que no se lograrán resolver con oferta institucional, sino mediante estrategias de convivencia entre las partes afectadas.
 Teniendo en cuenta lo anterior y de acuerdo a las disposiciones emanadas de la metodología del Proyecto Estratégico Pactando se sugiere el traslado del proceso desarrollado en el sector de Castilla a la Secretaría Distrital de Gobierno - Dirección de Convivencia y Diálogo Social, dicha recomendación en virtud de su misionalidad relacionada con la generación de “procesos y dinámicas de mediación para la atención de los conflictos sociales que se debatan en el marco del ejercicio de derechos”.</v>
      </c>
      <c r="N1663" s="65">
        <f ca="1">IFERROR(__xludf.DUMMYFUNCTION("""COMPUTED_VALUE"""),44926)</f>
        <v>44926</v>
      </c>
      <c r="O1663" s="25" t="str">
        <f t="shared" ca="1" si="0"/>
        <v>Instituto Distrital de la Participación y Acción Comunal</v>
      </c>
      <c r="P1663" s="25" t="str">
        <f t="shared" si="2"/>
        <v/>
      </c>
      <c r="Q1663" s="25" t="str">
        <f ca="1">IFERROR(__xludf.DUMMYFUNCTION("""COMPUTED_VALUE"""),"Largo plazo")</f>
        <v>Largo plazo</v>
      </c>
      <c r="R1663" s="25"/>
      <c r="S1663" s="55"/>
      <c r="T1663" s="56"/>
      <c r="U1663" s="25"/>
      <c r="V1663" s="25"/>
      <c r="W1663" s="25"/>
      <c r="X1663" s="25"/>
      <c r="Y1663" s="25"/>
      <c r="Z1663" s="25"/>
    </row>
    <row r="1664" spans="1:26" ht="52.5" customHeight="1" x14ac:dyDescent="0.25">
      <c r="A1664" s="25" t="str">
        <f ca="1">IFERROR(__xludf.DUMMYFUNCTION("""COMPUTED_VALUE"""),"Gobie162")</f>
        <v>Gobie162</v>
      </c>
      <c r="B1664" s="25" t="str">
        <f ca="1">IFERROR(__xludf.DUMMYFUNCTION("""COMPUTED_VALUE"""),"Consejo Local de Gobierno de Kennedy")</f>
        <v>Consejo Local de Gobierno de Kennedy</v>
      </c>
      <c r="C1664" s="55">
        <f ca="1">IFERROR(__xludf.DUMMYFUNCTION("""COMPUTED_VALUE"""),44581)</f>
        <v>44581</v>
      </c>
      <c r="D1664" s="25" t="str">
        <f ca="1">IFERROR(__xludf.DUMMYFUNCTION("""COMPUTED_VALUE"""),"Gobierno")</f>
        <v>Gobierno</v>
      </c>
      <c r="E1664" s="25" t="str">
        <f ca="1">IFERROR(__xludf.DUMMYFUNCTION("""COMPUTED_VALUE"""),"Alcaldía Local")</f>
        <v>Alcaldía Local</v>
      </c>
      <c r="F1664" s="25" t="str">
        <f ca="1">IFERROR(__xludf.DUMMYFUNCTION("""COMPUTED_VALUE"""),"Contratar los estudios y diseños para permitir otras salidas diferentes a la calle 6 entre carreras 87A y carrera 88G y entre carreras 88G y carrera 89")</f>
        <v>Contratar los estudios y diseños para permitir otras salidas diferentes a la calle 6 entre carreras 87A y carrera 88G y entre carreras 88G y carrera 89</v>
      </c>
      <c r="G1664" s="25" t="str">
        <f ca="1">IFERROR(__xludf.DUMMYFUNCTION("""COMPUTED_VALUE"""),"08. Kennedy")</f>
        <v>08. Kennedy</v>
      </c>
      <c r="H1664" s="55">
        <f ca="1">IFERROR(__xludf.DUMMYFUNCTION("""COMPUTED_VALUE"""),45107)</f>
        <v>45107</v>
      </c>
      <c r="I1664" s="25" t="str">
        <f ca="1">IFERROR(__xludf.DUMMYFUNCTION("""COMPUTED_VALUE"""),"Delivery Unit")</f>
        <v>Delivery Unit</v>
      </c>
      <c r="J1664" s="55" t="str">
        <f ca="1">IFERROR(__xludf.DUMMYFUNCTION("""COMPUTED_VALUE"""),"Media")</f>
        <v>Media</v>
      </c>
      <c r="K1664" s="25">
        <f ca="1">IFERROR(__xludf.DUMMYFUNCTION("""COMPUTED_VALUE"""),526)</f>
        <v>526</v>
      </c>
      <c r="L1664" s="62">
        <f ca="1">IFERROR(__xludf.DUMMYFUNCTION("""COMPUTED_VALUE"""),45070)</f>
        <v>45070</v>
      </c>
      <c r="M1664" s="25" t="str">
        <f ca="1">IFERROR(__xludf.DUMMYFUNCTION("""COMPUTED_VALUE"""),"El 10/03 se realizó recorrido con el Edil aclarando la solicitud de verificar la posibilidad de construir un puente sobre el Canal Américas para desembotellar el sector. 
 Desde el área de infraestructura de la Alcaldía Local se solicitó al IDU mediante"&amp;" oficio rad. 20225821094541 de 10/03/2022 la posibilidad de habilitar otras salidas, teniendo en cuenta que estos tramos viales se encuentran reservados en el contrato de estudios y diseños 1475-2017.")</f>
        <v>El 10/03 se realizó recorrido con el Edil aclarando la solicitud de verificar la posibilidad de construir un puente sobre el Canal Américas para desembotellar el sector. 
 Desde el área de infraestructura de la Alcaldía Local se solicitó al IDU mediante oficio rad. 20225821094541 de 10/03/2022 la posibilidad de habilitar otras salidas, teniendo en cuenta que estos tramos viales se encuentran reservados en el contrato de estudios y diseños 1475-2017.</v>
      </c>
      <c r="N1664" s="55">
        <f ca="1">IFERROR(__xludf.DUMMYFUNCTION("""COMPUTED_VALUE"""),45077)</f>
        <v>45077</v>
      </c>
      <c r="O1664" s="25" t="str">
        <f t="shared" ca="1" si="0"/>
        <v>Alcaldía Local</v>
      </c>
      <c r="P1664" s="25" t="str">
        <f t="shared" ca="1" si="2"/>
        <v/>
      </c>
      <c r="Q1664" s="25" t="str">
        <f ca="1">IFERROR(__xludf.DUMMYFUNCTION("""COMPUTED_VALUE"""),"Largo plazo")</f>
        <v>Largo plazo</v>
      </c>
      <c r="R1664" s="25"/>
      <c r="S1664" s="55"/>
      <c r="T1664" s="56"/>
      <c r="U1664" s="25"/>
      <c r="V1664" s="25"/>
      <c r="W1664" s="25"/>
      <c r="X1664" s="25"/>
      <c r="Y1664" s="25"/>
      <c r="Z1664" s="25"/>
    </row>
    <row r="1665" spans="1:26" ht="52.5" customHeight="1" x14ac:dyDescent="0.25">
      <c r="A1665" s="25" t="str">
        <f ca="1">IFERROR(__xludf.DUMMYFUNCTION("""COMPUTED_VALUE"""),"Gobie163")</f>
        <v>Gobie163</v>
      </c>
      <c r="B1665" s="25" t="str">
        <f ca="1">IFERROR(__xludf.DUMMYFUNCTION("""COMPUTED_VALUE"""),"Consejo Local de Gobierno de Kennedy")</f>
        <v>Consejo Local de Gobierno de Kennedy</v>
      </c>
      <c r="C1665" s="55">
        <f ca="1">IFERROR(__xludf.DUMMYFUNCTION("""COMPUTED_VALUE"""),44581)</f>
        <v>44581</v>
      </c>
      <c r="D1665" s="25" t="str">
        <f ca="1">IFERROR(__xludf.DUMMYFUNCTION("""COMPUTED_VALUE"""),"Gobierno")</f>
        <v>Gobierno</v>
      </c>
      <c r="E1665" s="25" t="str">
        <f ca="1">IFERROR(__xludf.DUMMYFUNCTION("""COMPUTED_VALUE"""),"Alcaldía Local")</f>
        <v>Alcaldía Local</v>
      </c>
      <c r="F1665" s="25" t="str">
        <f ca="1">IFERROR(__xludf.DUMMYFUNCTION("""COMPUTED_VALUE"""),"Retirar del parque Marsella a una ciudadana que se instaló en una caseta al interior del predio")</f>
        <v>Retirar del parque Marsella a una ciudadana que se instaló en una caseta al interior del predio</v>
      </c>
      <c r="G1665" s="25" t="str">
        <f ca="1">IFERROR(__xludf.DUMMYFUNCTION("""COMPUTED_VALUE"""),"08. Kennedy")</f>
        <v>08. Kennedy</v>
      </c>
      <c r="H1665" s="55">
        <f ca="1">IFERROR(__xludf.DUMMYFUNCTION("""COMPUTED_VALUE"""),45138)</f>
        <v>45138</v>
      </c>
      <c r="I1665" s="25" t="str">
        <f ca="1">IFERROR(__xludf.DUMMYFUNCTION("""COMPUTED_VALUE"""),"Delivery Unit")</f>
        <v>Delivery Unit</v>
      </c>
      <c r="J1665" s="55" t="str">
        <f ca="1">IFERROR(__xludf.DUMMYFUNCTION("""COMPUTED_VALUE"""),"Baja")</f>
        <v>Baja</v>
      </c>
      <c r="K1665" s="25">
        <f ca="1">IFERROR(__xludf.DUMMYFUNCTION("""COMPUTED_VALUE"""),557)</f>
        <v>557</v>
      </c>
      <c r="L1665" s="62">
        <f ca="1">IFERROR(__xludf.DUMMYFUNCTION("""COMPUTED_VALUE"""),45070)</f>
        <v>45070</v>
      </c>
      <c r="M1665" s="25" t="str">
        <f ca="1">IFERROR(__xludf.DUMMYFUNCTION("""COMPUTED_VALUE"""),"En sesión de la JAL con presencia de Alcaldía Local, Hábitat e Integración Social se empezó a revisar cómo sería el trámite toda vez que la señora lleva más de 10 años allí.")</f>
        <v>En sesión de la JAL con presencia de Alcaldía Local, Hábitat e Integración Social se empezó a revisar cómo sería el trámite toda vez que la señora lleva más de 10 años allí.</v>
      </c>
      <c r="N1665" s="25"/>
      <c r="O1665" s="25" t="str">
        <f t="shared" ca="1" si="0"/>
        <v>Alcaldía Local</v>
      </c>
      <c r="P1665" s="25" t="str">
        <f t="shared" ca="1" si="2"/>
        <v/>
      </c>
      <c r="Q1665" s="25" t="str">
        <f ca="1">IFERROR(__xludf.DUMMYFUNCTION("""COMPUTED_VALUE"""),"Largo plazo")</f>
        <v>Largo plazo</v>
      </c>
      <c r="R1665" s="25"/>
      <c r="S1665" s="55"/>
      <c r="T1665" s="56"/>
      <c r="U1665" s="25"/>
      <c r="V1665" s="25"/>
      <c r="W1665" s="25"/>
      <c r="X1665" s="25"/>
      <c r="Y1665" s="25"/>
      <c r="Z1665" s="25"/>
    </row>
    <row r="1666" spans="1:26" ht="52.5" customHeight="1" x14ac:dyDescent="0.25">
      <c r="A1666" s="25" t="str">
        <f ca="1">IFERROR(__xludf.DUMMYFUNCTION("""COMPUTED_VALUE"""),"Gobie164")</f>
        <v>Gobie164</v>
      </c>
      <c r="B1666" s="25" t="str">
        <f ca="1">IFERROR(__xludf.DUMMYFUNCTION("""COMPUTED_VALUE"""),"Consejo Local de Gobierno de Kennedy")</f>
        <v>Consejo Local de Gobierno de Kennedy</v>
      </c>
      <c r="C1666" s="55">
        <f ca="1">IFERROR(__xludf.DUMMYFUNCTION("""COMPUTED_VALUE"""),44581)</f>
        <v>44581</v>
      </c>
      <c r="D1666" s="25" t="str">
        <f ca="1">IFERROR(__xludf.DUMMYFUNCTION("""COMPUTED_VALUE"""),"Gobierno")</f>
        <v>Gobierno</v>
      </c>
      <c r="E1666" s="25" t="str">
        <f ca="1">IFERROR(__xludf.DUMMYFUNCTION("""COMPUTED_VALUE"""),"Departamento Administrativo de la Defensoría del Espacio Público")</f>
        <v>Departamento Administrativo de la Defensoría del Espacio Público</v>
      </c>
      <c r="F1666" s="25" t="str">
        <f ca="1">IFERROR(__xludf.DUMMYFUNCTION("""COMPUTED_VALUE"""),"Verificar el estado del predio ubicado entre las calles 7C y 10 entre carreras 73 y 73B, era un parque público y actualmente se usa como parqueadero")</f>
        <v>Verificar el estado del predio ubicado entre las calles 7C y 10 entre carreras 73 y 73B, era un parque público y actualmente se usa como parqueadero</v>
      </c>
      <c r="G1666" s="25" t="str">
        <f ca="1">IFERROR(__xludf.DUMMYFUNCTION("""COMPUTED_VALUE"""),"08. Kennedy")</f>
        <v>08. Kennedy</v>
      </c>
      <c r="H1666" s="55">
        <f ca="1">IFERROR(__xludf.DUMMYFUNCTION("""COMPUTED_VALUE"""),45107)</f>
        <v>45107</v>
      </c>
      <c r="I1666" s="25" t="str">
        <f ca="1">IFERROR(__xludf.DUMMYFUNCTION("""COMPUTED_VALUE"""),"Delivery Unit")</f>
        <v>Delivery Unit</v>
      </c>
      <c r="J1666" s="55" t="str">
        <f ca="1">IFERROR(__xludf.DUMMYFUNCTION("""COMPUTED_VALUE"""),"Baja")</f>
        <v>Baja</v>
      </c>
      <c r="K1666" s="25">
        <f ca="1">IFERROR(__xludf.DUMMYFUNCTION("""COMPUTED_VALUE"""),526)</f>
        <v>526</v>
      </c>
      <c r="L1666" s="62">
        <f ca="1">IFERROR(__xludf.DUMMYFUNCTION("""COMPUTED_VALUE"""),45082)</f>
        <v>45082</v>
      </c>
      <c r="M1666" s="25" t="str">
        <f ca="1">IFERROR(__xludf.DUMMYFUNCTION("""COMPUTED_VALUE"""),"Se realizó la verificación del estado de los predios ubicados en las calles 7C a 10 entre Kr 73 y 73B de la localidad de Kennedy, y se evidencia que las zonas identificadas tienen los siguientes RUPIS: 1628-49, 1628-50, 1628-48, 1628-51 y 1628-52 cuyos us"&amp;"os son zonas recreativas, zonas verdes y zona de equipamiento comunal.                                                                                                                             La Alcaldía local de Kennedy le informa al DADEP que prioriz"&amp;"aran para el mes de junio de 2023 estos predios para realizar un operativo de recuperación de estos, el cual convocaran al DADEP para la asistencia tecnica y logistica en la restitución de estos predios.
 Se evidencia que la Alcaldía local ha iniciado l"&amp;"as querellas correspondientes y la entidad se articulara con esta alcaldía para apoyar en la recuperación de estos espacios. Con lo anterior se escalo a la Alcaldía Local el caso y este Departamento estara presto para el apoyo a la Alcaldía Local de Kenne"&amp;"dy en la restitución de estos predios.")</f>
        <v>Se realizó la verificación del estado de los predios ubicados en las calles 7C a 10 entre Kr 73 y 73B de la localidad de Kennedy, y se evidencia que las zonas identificadas tienen los siguientes RUPIS: 1628-49, 1628-50, 1628-48, 1628-51 y 1628-52 cuyos usos son zonas recreativas, zonas verdes y zona de equipamiento comunal.                                                                                                                             La Alcaldía local de Kennedy le informa al DADEP que priorizaran para el mes de junio de 2023 estos predios para realizar un operativo de recuperación de estos, el cual convocaran al DADEP para la asistencia tecnica y logistica en la restitución de estos predios.
 Se evidencia que la Alcaldía local ha iniciado las querellas correspondientes y la entidad se articulara con esta alcaldía para apoyar en la recuperación de estos espacios. Con lo anterior se escalo a la Alcaldía Local el caso y este Departamento estara presto para el apoyo a la Alcaldía Local de Kennedy en la restitución de estos predios.</v>
      </c>
      <c r="N1666" s="25"/>
      <c r="O1666" s="25" t="str">
        <f t="shared" ca="1" si="0"/>
        <v>Departamento Administrativo de la Defensoría del Espacio Público</v>
      </c>
      <c r="P1666" s="25" t="str">
        <f t="shared" ca="1" si="2"/>
        <v/>
      </c>
      <c r="Q1666" s="25" t="str">
        <f ca="1">IFERROR(__xludf.DUMMYFUNCTION("""COMPUTED_VALUE"""),"Largo plazo")</f>
        <v>Largo plazo</v>
      </c>
      <c r="R1666" s="25"/>
      <c r="S1666" s="55"/>
      <c r="T1666" s="56"/>
      <c r="U1666" s="25"/>
      <c r="V1666" s="25"/>
      <c r="W1666" s="25"/>
      <c r="X1666" s="25"/>
      <c r="Y1666" s="25"/>
      <c r="Z1666" s="25"/>
    </row>
    <row r="1667" spans="1:26" ht="52.5" customHeight="1" x14ac:dyDescent="0.25">
      <c r="A1667" s="25" t="str">
        <f ca="1">IFERROR(__xludf.DUMMYFUNCTION("""COMPUTED_VALUE"""),"Gobie165")</f>
        <v>Gobie165</v>
      </c>
      <c r="B1667" s="25" t="str">
        <f ca="1">IFERROR(__xludf.DUMMYFUNCTION("""COMPUTED_VALUE"""),"Consejo Local de Gobierno de Usme")</f>
        <v>Consejo Local de Gobierno de Usme</v>
      </c>
      <c r="C1667" s="55">
        <f ca="1">IFERROR(__xludf.DUMMYFUNCTION("""COMPUTED_VALUE"""),44783)</f>
        <v>44783</v>
      </c>
      <c r="D1667" s="25" t="str">
        <f ca="1">IFERROR(__xludf.DUMMYFUNCTION("""COMPUTED_VALUE"""),"Gobierno")</f>
        <v>Gobierno</v>
      </c>
      <c r="E1667" s="25" t="str">
        <f ca="1">IFERROR(__xludf.DUMMYFUNCTION("""COMPUTED_VALUE"""),"Alcaldía Local")</f>
        <v>Alcaldía Local</v>
      </c>
      <c r="F1667" s="25" t="str">
        <f ca="1">IFERROR(__xludf.DUMMYFUNCTION("""COMPUTED_VALUE"""),"Rotación de las presentaciones a cada una de las entidades en el presente Consejo")</f>
        <v>Rotación de las presentaciones a cada una de las entidades en el presente Consejo</v>
      </c>
      <c r="G1667" s="25" t="str">
        <f ca="1">IFERROR(__xludf.DUMMYFUNCTION("""COMPUTED_VALUE"""),"99. Distrito")</f>
        <v>99. Distrito</v>
      </c>
      <c r="H1667" s="55">
        <f ca="1">IFERROR(__xludf.DUMMYFUNCTION("""COMPUTED_VALUE"""),44926)</f>
        <v>44926</v>
      </c>
      <c r="I1667" s="25"/>
      <c r="J1667" s="55" t="str">
        <f ca="1">IFERROR(__xludf.DUMMYFUNCTION("""COMPUTED_VALUE"""),"Media")</f>
        <v>Media</v>
      </c>
      <c r="K1667" s="25">
        <f ca="1">IFERROR(__xludf.DUMMYFUNCTION("""COMPUTED_VALUE"""),143)</f>
        <v>143</v>
      </c>
      <c r="L1667" s="62">
        <f ca="1">IFERROR(__xludf.DUMMYFUNCTION("""COMPUTED_VALUE"""),44896)</f>
        <v>44896</v>
      </c>
      <c r="M1667" s="25"/>
      <c r="N1667" s="55">
        <f ca="1">IFERROR(__xludf.DUMMYFUNCTION("""COMPUTED_VALUE"""),44926)</f>
        <v>44926</v>
      </c>
      <c r="O1667" s="25" t="str">
        <f t="shared" ca="1" si="0"/>
        <v>Alcaldía Local</v>
      </c>
      <c r="P1667" s="25" t="str">
        <f t="shared" si="2"/>
        <v/>
      </c>
      <c r="Q1667" s="25" t="str">
        <f ca="1">IFERROR(__xludf.DUMMYFUNCTION("""COMPUTED_VALUE"""),"Mediano plazo")</f>
        <v>Mediano plazo</v>
      </c>
      <c r="R1667" s="25"/>
      <c r="S1667" s="55"/>
      <c r="T1667" s="56"/>
      <c r="U1667" s="25"/>
      <c r="V1667" s="25"/>
      <c r="W1667" s="25"/>
      <c r="X1667" s="25"/>
      <c r="Y1667" s="25"/>
      <c r="Z1667" s="25"/>
    </row>
    <row r="1668" spans="1:26" ht="52.5" customHeight="1" x14ac:dyDescent="0.25">
      <c r="A1668" s="25" t="str">
        <f ca="1">IFERROR(__xludf.DUMMYFUNCTION("""COMPUTED_VALUE"""),"Gobie166")</f>
        <v>Gobie166</v>
      </c>
      <c r="B1668" s="25" t="str">
        <f ca="1">IFERROR(__xludf.DUMMYFUNCTION("""COMPUTED_VALUE"""),"Consejo Local de Gobierno de Usme")</f>
        <v>Consejo Local de Gobierno de Usme</v>
      </c>
      <c r="C1668" s="55">
        <f ca="1">IFERROR(__xludf.DUMMYFUNCTION("""COMPUTED_VALUE"""),44783)</f>
        <v>44783</v>
      </c>
      <c r="D1668" s="25" t="str">
        <f ca="1">IFERROR(__xludf.DUMMYFUNCTION("""COMPUTED_VALUE"""),"Gobierno")</f>
        <v>Gobierno</v>
      </c>
      <c r="E1668" s="25" t="str">
        <f ca="1">IFERROR(__xludf.DUMMYFUNCTION("""COMPUTED_VALUE"""),"Alcaldía Local")</f>
        <v>Alcaldía Local</v>
      </c>
      <c r="F1668" s="25" t="str">
        <f ca="1">IFERROR(__xludf.DUMMYFUNCTION("""COMPUTED_VALUE"""),"Dar espacio de participación a IDARTES e incluirlos dentro de la programación.")</f>
        <v>Dar espacio de participación a IDARTES e incluirlos dentro de la programación.</v>
      </c>
      <c r="G1668" s="25" t="str">
        <f ca="1">IFERROR(__xludf.DUMMYFUNCTION("""COMPUTED_VALUE"""),"05. Usme")</f>
        <v>05. Usme</v>
      </c>
      <c r="H1668" s="55">
        <f ca="1">IFERROR(__xludf.DUMMYFUNCTION("""COMPUTED_VALUE"""),45077)</f>
        <v>45077</v>
      </c>
      <c r="I1668" s="25" t="str">
        <f ca="1">IFERROR(__xludf.DUMMYFUNCTION("""COMPUTED_VALUE"""),"Delivery Unit")</f>
        <v>Delivery Unit</v>
      </c>
      <c r="J1668" s="55" t="str">
        <f ca="1">IFERROR(__xludf.DUMMYFUNCTION("""COMPUTED_VALUE"""),"Media")</f>
        <v>Media</v>
      </c>
      <c r="K1668" s="25">
        <f ca="1">IFERROR(__xludf.DUMMYFUNCTION("""COMPUTED_VALUE"""),294)</f>
        <v>294</v>
      </c>
      <c r="L1668" s="62">
        <f ca="1">IFERROR(__xludf.DUMMYFUNCTION("""COMPUTED_VALUE"""),45070)</f>
        <v>45070</v>
      </c>
      <c r="M1668" s="25" t="str">
        <f ca="1">IFERROR(__xludf.DUMMYFUNCTION("""COMPUTED_VALUE"""),"Mediante radicado No. 20235520217811 del 06 de abril de 2023, la alcaldía local envío Plan de Trabajo al INSTITUTO DISTRITAL DE LAS ARTES - IDARTES para su participación en los Consejos Locales de Gobierno del año 2023, solicitando nformar que actividades"&amp;" realizaran las entidades respecto a la temática que les corresponde. A la fecha, la alcaldía no ha obtenido respuesta. ")</f>
        <v xml:space="preserve">Mediante radicado No. 20235520217811 del 06 de abril de 2023, la alcaldía local envío Plan de Trabajo al INSTITUTO DISTRITAL DE LAS ARTES - IDARTES para su participación en los Consejos Locales de Gobierno del año 2023, solicitando nformar que actividades realizaran las entidades respecto a la temática que les corresponde. A la fecha, la alcaldía no ha obtenido respuesta. </v>
      </c>
      <c r="N1668" s="25"/>
      <c r="O1668" s="25" t="str">
        <f t="shared" ca="1" si="0"/>
        <v>Alcaldía Local</v>
      </c>
      <c r="P1668" s="25" t="str">
        <f t="shared" ca="1" si="2"/>
        <v/>
      </c>
      <c r="Q1668" s="25" t="str">
        <f ca="1">IFERROR(__xludf.DUMMYFUNCTION("""COMPUTED_VALUE"""),"Largo plazo")</f>
        <v>Largo plazo</v>
      </c>
      <c r="R1668" s="25"/>
      <c r="S1668" s="55"/>
      <c r="T1668" s="56"/>
      <c r="U1668" s="25"/>
      <c r="V1668" s="25"/>
      <c r="W1668" s="25"/>
      <c r="X1668" s="25"/>
      <c r="Y1668" s="25"/>
      <c r="Z1668" s="25"/>
    </row>
    <row r="1669" spans="1:26" ht="52.5" customHeight="1" x14ac:dyDescent="0.25">
      <c r="A1669" s="25" t="str">
        <f ca="1">IFERROR(__xludf.DUMMYFUNCTION("""COMPUTED_VALUE"""),"Gobie167")</f>
        <v>Gobie167</v>
      </c>
      <c r="B1669" s="25" t="str">
        <f ca="1">IFERROR(__xludf.DUMMYFUNCTION("""COMPUTED_VALUE"""),"Consejo Local de Gobierno de Engativá")</f>
        <v>Consejo Local de Gobierno de Engativá</v>
      </c>
      <c r="C1669" s="55">
        <f ca="1">IFERROR(__xludf.DUMMYFUNCTION("""COMPUTED_VALUE"""),44588)</f>
        <v>44588</v>
      </c>
      <c r="D1669" s="25" t="str">
        <f ca="1">IFERROR(__xludf.DUMMYFUNCTION("""COMPUTED_VALUE"""),"Gobierno")</f>
        <v>Gobierno</v>
      </c>
      <c r="E1669" s="25" t="str">
        <f ca="1">IFERROR(__xludf.DUMMYFUNCTION("""COMPUTED_VALUE"""),"Secretaría Distrital de Gobierno")</f>
        <v>Secretaría Distrital de Gobierno</v>
      </c>
      <c r="F1669" s="25" t="str">
        <f ca="1">IFERROR(__xludf.DUMMYFUNCTION("""COMPUTED_VALUE"""),"Revisar la posibilidad de impulsar un proyecto de ley que llene el vacío legal de la falta de inspección, vigilancia y control de los Consejos de Propiedad Horizontal")</f>
        <v>Revisar la posibilidad de impulsar un proyecto de ley que llene el vacío legal de la falta de inspección, vigilancia y control de los Consejos de Propiedad Horizontal</v>
      </c>
      <c r="G1669" s="25" t="str">
        <f ca="1">IFERROR(__xludf.DUMMYFUNCTION("""COMPUTED_VALUE"""),"10. Engativá")</f>
        <v>10. Engativá</v>
      </c>
      <c r="H1669" s="55">
        <f ca="1">IFERROR(__xludf.DUMMYFUNCTION("""COMPUTED_VALUE"""),45077)</f>
        <v>45077</v>
      </c>
      <c r="I1669" s="25" t="str">
        <f ca="1">IFERROR(__xludf.DUMMYFUNCTION("""COMPUTED_VALUE"""),"Delivery Unit")</f>
        <v>Delivery Unit</v>
      </c>
      <c r="J1669" s="55" t="str">
        <f ca="1">IFERROR(__xludf.DUMMYFUNCTION("""COMPUTED_VALUE"""),"Media")</f>
        <v>Media</v>
      </c>
      <c r="K1669" s="25">
        <f ca="1">IFERROR(__xludf.DUMMYFUNCTION("""COMPUTED_VALUE"""),489)</f>
        <v>489</v>
      </c>
      <c r="L1669" s="62">
        <f ca="1">IFERROR(__xludf.DUMMYFUNCTION("""COMPUTED_VALUE"""),45070)</f>
        <v>45070</v>
      </c>
      <c r="M1669" s="25" t="str">
        <f ca="1">IFERROR(__xludf.DUMMYFUNCTION("""COMPUTED_VALUE"""),"La Secretaría de Gobierno está haciendo seguimiento al proyecto de ley 282 y 205 de 2022, que reformaría la Ley 675 de 2001 que regula el régimen de propiedad horizontal y el cual se encuentra en primer debate.")</f>
        <v>La Secretaría de Gobierno está haciendo seguimiento al proyecto de ley 282 y 205 de 2022, que reformaría la Ley 675 de 2001 que regula el régimen de propiedad horizontal y el cual se encuentra en primer debate.</v>
      </c>
      <c r="N1669" s="25"/>
      <c r="O1669" s="25" t="str">
        <f t="shared" ca="1" si="0"/>
        <v>Secretaría Distrital de Gobierno</v>
      </c>
      <c r="P1669" s="25" t="str">
        <f t="shared" ca="1" si="2"/>
        <v/>
      </c>
      <c r="Q1669" s="25" t="str">
        <f ca="1">IFERROR(__xludf.DUMMYFUNCTION("""COMPUTED_VALUE"""),"Largo plazo")</f>
        <v>Largo plazo</v>
      </c>
      <c r="R1669" s="25"/>
      <c r="S1669" s="55"/>
      <c r="T1669" s="56"/>
      <c r="U1669" s="25"/>
      <c r="V1669" s="25"/>
      <c r="W1669" s="25"/>
      <c r="X1669" s="25"/>
      <c r="Y1669" s="25"/>
      <c r="Z1669" s="25"/>
    </row>
    <row r="1670" spans="1:26" ht="52.5" customHeight="1" x14ac:dyDescent="0.25">
      <c r="A1670" s="25" t="str">
        <f ca="1">IFERROR(__xludf.DUMMYFUNCTION("""COMPUTED_VALUE"""),"Gobie168")</f>
        <v>Gobie168</v>
      </c>
      <c r="B1670" s="25" t="str">
        <f ca="1">IFERROR(__xludf.DUMMYFUNCTION("""COMPUTED_VALUE"""),"Consejo Local de Gobierno de Engativá")</f>
        <v>Consejo Local de Gobierno de Engativá</v>
      </c>
      <c r="C1670" s="55">
        <f ca="1">IFERROR(__xludf.DUMMYFUNCTION("""COMPUTED_VALUE"""),44588)</f>
        <v>44588</v>
      </c>
      <c r="D1670" s="25" t="str">
        <f ca="1">IFERROR(__xludf.DUMMYFUNCTION("""COMPUTED_VALUE"""),"Gobierno")</f>
        <v>Gobierno</v>
      </c>
      <c r="E1670" s="25" t="str">
        <f ca="1">IFERROR(__xludf.DUMMYFUNCTION("""COMPUTED_VALUE"""),"Alcaldía Local")</f>
        <v>Alcaldía Local</v>
      </c>
      <c r="F1670" s="25" t="str">
        <f ca="1">IFERROR(__xludf.DUMMYFUNCTION("""COMPUTED_VALUE"""),"Rehabilitar los senderos peatonales, y solucionar los problemas con sumideros y el sistema de drenaje para aguas lluvias, que afectan a 36 casas ubicadas en la calle 77A con carrera 72.")</f>
        <v>Rehabilitar los senderos peatonales, y solucionar los problemas con sumideros y el sistema de drenaje para aguas lluvias, que afectan a 36 casas ubicadas en la calle 77A con carrera 72.</v>
      </c>
      <c r="G1670" s="25" t="str">
        <f ca="1">IFERROR(__xludf.DUMMYFUNCTION("""COMPUTED_VALUE"""),"10. Engativá")</f>
        <v>10. Engativá</v>
      </c>
      <c r="H1670" s="55">
        <f ca="1">IFERROR(__xludf.DUMMYFUNCTION("""COMPUTED_VALUE"""),45191)</f>
        <v>45191</v>
      </c>
      <c r="I1670" s="25" t="str">
        <f ca="1">IFERROR(__xludf.DUMMYFUNCTION("""COMPUTED_VALUE"""),"Delivery Unit")</f>
        <v>Delivery Unit</v>
      </c>
      <c r="J1670" s="55" t="str">
        <f ca="1">IFERROR(__xludf.DUMMYFUNCTION("""COMPUTED_VALUE"""),"Media")</f>
        <v>Media</v>
      </c>
      <c r="K1670" s="25">
        <f ca="1">IFERROR(__xludf.DUMMYFUNCTION("""COMPUTED_VALUE"""),603)</f>
        <v>603</v>
      </c>
      <c r="L1670" s="62">
        <f ca="1">IFERROR(__xludf.DUMMYFUNCTION("""COMPUTED_VALUE"""),45070)</f>
        <v>45070</v>
      </c>
      <c r="M1670" s="25" t="str">
        <f ca="1">IFERROR(__xludf.DUMMYFUNCTION("""COMPUTED_VALUE"""),"""En cuanto a la rehabilitación de los senderos peatonales, se realizaron 12 visitas y fichas de diagnósticos, en los cuales se evidenció que estos requieren una intervención completa ya que existe gran deterioro. 
 Respecto al sumidero ubicado en la Ca"&amp;"lle 77A con Carrera 72, se requirió a la Empresa de Acueducto y Alcantarillado, por medio de radicado 20226020136631 para que se realice el requerimiento presentado.
  el dia 23 de mayo de 2022 se recibe comunicacion del acueducto con asunto inicio de act"&amp;"vidades tecnicas contrato de obra 1-01-32300-1501-2021 en la cual manifiestan que realizaran las intervenciones con el consorcio Union temporal Redes 1329 en la zona de Molinos de Viento.
 Teniendo en cuenta lo anterior, se remite radicado 2022601002972"&amp;"2 al acueducto para verificar la intervenció de lo mencionado por la ciudadana y se priorizará de acuerdo al cronograma de la ALE.
El 23 de enero de 2023, mediante radicado No. 20236010014672 el EEAB informa que se encuentra programado realizar la constr"&amp;"ucción de un sumidero y un tramo de red pluvial mediante el contrato 1-01-32300-1559-2022 cuyo objeto es el “MANTENIMIENTO CORRECTIVO DE REDES
LOCALES DE ACUEDUCTO Y ALCANTARILLADO EN LA COBERTURA DE LA ZONA 2 DE LA EAAB-ESP” en el sector de la calle 77A "&amp;"con Carrera 102, así evitando inundaciones en los predios del sector.""")</f>
        <v>"En cuanto a la rehabilitación de los senderos peatonales, se realizaron 12 visitas y fichas de diagnósticos, en los cuales se evidenció que estos requieren una intervención completa ya que existe gran deterioro. 
 Respecto al sumidero ubicado en la Calle 77A con Carrera 72, se requirió a la Empresa de Acueducto y Alcantarillado, por medio de radicado 20226020136631 para que se realice el requerimiento presentado.
  el dia 23 de mayo de 2022 se recibe comunicacion del acueducto con asunto inicio de actvidades tecnicas contrato de obra 1-01-32300-1501-2021 en la cual manifiestan que realizaran las intervenciones con el consorcio Union temporal Redes 1329 en la zona de Molinos de Viento.
 Teniendo en cuenta lo anterior, se remite radicado 20226010029722 al acueducto para verificar la intervenció de lo mencionado por la ciudadana y se priorizará de acuerdo al cronograma de la ALE.
El 23 de enero de 2023, mediante radicado No. 20236010014672 el EEAB informa que se encuentra programado realizar la construcción de un sumidero y un tramo de red pluvial mediante el contrato 1-01-32300-1559-2022 cuyo objeto es el “MANTENIMIENTO CORRECTIVO DE REDES
LOCALES DE ACUEDUCTO Y ALCANTARILLADO EN LA COBERTURA DE LA ZONA 2 DE LA EAAB-ESP” en el sector de la calle 77A con Carrera 102, así evitando inundaciones en los predios del sector."</v>
      </c>
      <c r="N1670" s="25"/>
      <c r="O1670" s="25" t="str">
        <f t="shared" ca="1" si="0"/>
        <v>Alcaldía Local</v>
      </c>
      <c r="P1670" s="25" t="str">
        <f t="shared" ca="1" si="2"/>
        <v/>
      </c>
      <c r="Q1670" s="25" t="str">
        <f ca="1">IFERROR(__xludf.DUMMYFUNCTION("""COMPUTED_VALUE"""),"Largo plazo")</f>
        <v>Largo plazo</v>
      </c>
      <c r="R1670" s="25"/>
      <c r="S1670" s="55"/>
      <c r="T1670" s="56"/>
      <c r="U1670" s="25"/>
      <c r="V1670" s="25"/>
      <c r="W1670" s="25"/>
      <c r="X1670" s="25"/>
      <c r="Y1670" s="25"/>
      <c r="Z1670" s="25"/>
    </row>
    <row r="1671" spans="1:26" ht="52.5" customHeight="1" x14ac:dyDescent="0.25">
      <c r="A1671" s="25" t="str">
        <f ca="1">IFERROR(__xludf.DUMMYFUNCTION("""COMPUTED_VALUE"""),"Gobie169")</f>
        <v>Gobie169</v>
      </c>
      <c r="B1671" s="25" t="str">
        <f ca="1">IFERROR(__xludf.DUMMYFUNCTION("""COMPUTED_VALUE"""),"Consejo Local de Gobierno de Engativá")</f>
        <v>Consejo Local de Gobierno de Engativá</v>
      </c>
      <c r="C1671" s="55">
        <f ca="1">IFERROR(__xludf.DUMMYFUNCTION("""COMPUTED_VALUE"""),44588)</f>
        <v>44588</v>
      </c>
      <c r="D1671" s="25" t="str">
        <f ca="1">IFERROR(__xludf.DUMMYFUNCTION("""COMPUTED_VALUE"""),"Gobierno")</f>
        <v>Gobierno</v>
      </c>
      <c r="E1671" s="25" t="str">
        <f ca="1">IFERROR(__xludf.DUMMYFUNCTION("""COMPUTED_VALUE"""),"Departamento Administrativo de la Defensoría del Espacio Público")</f>
        <v>Departamento Administrativo de la Defensoría del Espacio Público</v>
      </c>
      <c r="F1671" s="25" t="str">
        <f ca="1">IFERROR(__xludf.DUMMYFUNCTION("""COMPUTED_VALUE"""),"Solucionar la problemática de parqueo en vía sobre la bahía ubicada en la calle 73 con 106 – 17 UPZ 72")</f>
        <v>Solucionar la problemática de parqueo en vía sobre la bahía ubicada en la calle 73 con 106 – 17 UPZ 72</v>
      </c>
      <c r="G1671" s="25" t="str">
        <f ca="1">IFERROR(__xludf.DUMMYFUNCTION("""COMPUTED_VALUE"""),"10. Engativá")</f>
        <v>10. Engativá</v>
      </c>
      <c r="H1671" s="55">
        <f ca="1">IFERROR(__xludf.DUMMYFUNCTION("""COMPUTED_VALUE"""),45107)</f>
        <v>45107</v>
      </c>
      <c r="I1671" s="25"/>
      <c r="J1671" s="55" t="str">
        <f ca="1">IFERROR(__xludf.DUMMYFUNCTION("""COMPUTED_VALUE"""),"Baja")</f>
        <v>Baja</v>
      </c>
      <c r="K1671" s="25">
        <f ca="1">IFERROR(__xludf.DUMMYFUNCTION("""COMPUTED_VALUE"""),519)</f>
        <v>519</v>
      </c>
      <c r="L1671" s="62">
        <f ca="1">IFERROR(__xludf.DUMMYFUNCTION("""COMPUTED_VALUE"""),44668)</f>
        <v>44668</v>
      </c>
      <c r="M1671" s="25" t="str">
        <f ca="1">IFERROR(__xludf.DUMMYFUNCTION("""COMPUTED_VALUE"""),"Frente a los predios identificados con RUPI: 1257-15 y 1257-16 con uso de Estacionamiento, Bahía y/o Parqueadero, ubicados en la Urbanización Plazuelas del Virrey I Etapa: 
 El DADEP realizó la restitución voluntaria de estos predios  el 12/12/2022, recup"&amp;"erando un área total de 1,408 m2 de espacio público. Posteriormente inicio el acompañamiento para el proceso de entrega en administración de estas bahias. ")</f>
        <v xml:space="preserve">Frente a los predios identificados con RUPI: 1257-15 y 1257-16 con uso de Estacionamiento, Bahía y/o Parqueadero, ubicados en la Urbanización Plazuelas del Virrey I Etapa: 
 El DADEP realizó la restitución voluntaria de estos predios  el 12/12/2022, recuperando un área total de 1,408 m2 de espacio público. Posteriormente inicio el acompañamiento para el proceso de entrega en administración de estas bahias. </v>
      </c>
      <c r="N1671" s="55">
        <f ca="1">IFERROR(__xludf.DUMMYFUNCTION("""COMPUTED_VALUE"""),45033)</f>
        <v>45033</v>
      </c>
      <c r="O1671" s="25" t="str">
        <f t="shared" ca="1" si="0"/>
        <v>Departamento Administrativo de la Defensoría del Espacio Público</v>
      </c>
      <c r="P1671" s="25" t="str">
        <f t="shared" si="2"/>
        <v/>
      </c>
      <c r="Q1671" s="25" t="str">
        <f ca="1">IFERROR(__xludf.DUMMYFUNCTION("""COMPUTED_VALUE"""),"Largo plazo")</f>
        <v>Largo plazo</v>
      </c>
      <c r="R1671" s="25"/>
      <c r="S1671" s="55"/>
      <c r="T1671" s="56"/>
      <c r="U1671" s="25"/>
      <c r="V1671" s="25"/>
      <c r="W1671" s="25"/>
      <c r="X1671" s="25"/>
      <c r="Y1671" s="25"/>
      <c r="Z1671" s="25"/>
    </row>
    <row r="1672" spans="1:26" ht="52.5" customHeight="1" x14ac:dyDescent="0.25">
      <c r="A1672" s="25" t="str">
        <f ca="1">IFERROR(__xludf.DUMMYFUNCTION("""COMPUTED_VALUE"""),"Gobie170")</f>
        <v>Gobie170</v>
      </c>
      <c r="B1672" s="25" t="str">
        <f ca="1">IFERROR(__xludf.DUMMYFUNCTION("""COMPUTED_VALUE"""),"Consejo Local de Gobierno de Engativá")</f>
        <v>Consejo Local de Gobierno de Engativá</v>
      </c>
      <c r="C1672" s="55">
        <f ca="1">IFERROR(__xludf.DUMMYFUNCTION("""COMPUTED_VALUE"""),44588)</f>
        <v>44588</v>
      </c>
      <c r="D1672" s="25" t="str">
        <f ca="1">IFERROR(__xludf.DUMMYFUNCTION("""COMPUTED_VALUE"""),"Gobierno")</f>
        <v>Gobierno</v>
      </c>
      <c r="E1672" s="25" t="str">
        <f ca="1">IFERROR(__xludf.DUMMYFUNCTION("""COMPUTED_VALUE"""),"Alcaldía Local")</f>
        <v>Alcaldía Local</v>
      </c>
      <c r="F1672" s="25" t="str">
        <f ca="1">IFERROR(__xludf.DUMMYFUNCTION("""COMPUTED_VALUE"""),"Revisar cerramiento en la Calle 69 entre carreras 123 y 123B, se está utilizando para un parqueadero ilegal")</f>
        <v>Revisar cerramiento en la Calle 69 entre carreras 123 y 123B, se está utilizando para un parqueadero ilegal</v>
      </c>
      <c r="G1672" s="25" t="str">
        <f ca="1">IFERROR(__xludf.DUMMYFUNCTION("""COMPUTED_VALUE"""),"10. Engativá")</f>
        <v>10. Engativá</v>
      </c>
      <c r="H1672" s="55">
        <f ca="1">IFERROR(__xludf.DUMMYFUNCTION("""COMPUTED_VALUE"""),45077)</f>
        <v>45077</v>
      </c>
      <c r="I1672" s="25" t="str">
        <f ca="1">IFERROR(__xludf.DUMMYFUNCTION("""COMPUTED_VALUE"""),"Delivery Unit")</f>
        <v>Delivery Unit</v>
      </c>
      <c r="J1672" s="55" t="str">
        <f ca="1">IFERROR(__xludf.DUMMYFUNCTION("""COMPUTED_VALUE"""),"Baja")</f>
        <v>Baja</v>
      </c>
      <c r="K1672" s="25">
        <f ca="1">IFERROR(__xludf.DUMMYFUNCTION("""COMPUTED_VALUE"""),489)</f>
        <v>489</v>
      </c>
      <c r="L1672" s="62">
        <f ca="1">IFERROR(__xludf.DUMMYFUNCTION("""COMPUTED_VALUE"""),45077)</f>
        <v>45077</v>
      </c>
      <c r="M1672" s="25" t="str">
        <f ca="1">IFERROR(__xludf.DUMMYFUNCTION("""COMPUTED_VALUE"""),"Con el ánimo de verificar el cumplimiento de los requisitos de uso de suelo, se levantó el informe técnico número JMPH-229-21, en el cual se menciona la prohibición del funcionamiento del parqueadero en el sector, en la actualidad cursan en las inspeccion"&amp;"es de policía 2 expedientes, identificados con los números 2017223490100828E Inspección 10D, y 20176044900100744E Inspección 10B. 
 El día 9 de mayo de 2022, se realizó el respectivo control al parqueadero como actividad económica, verificando los requi"&amp;"sitos previstos en el artículo 87 de la Ley 1801 de 2016, así como el cumplimiento del Decreto Distrital 769 de 2019. Del resultado de la intervención se rendirá el respectivo informe, el cual compartiremos.
  El DADEP efectuó la revisión del expediente"&amp;" que llegó a segunda instancia y se pudo determinar que el predio con dirección K 122 A Bis 69-21 es de un particular y no tiene zonas de espacio público en su interior. Por esta razón se tendría que pedir una licencia de urbanismo para generar las zonas "&amp;"de cesión.                                                                                                               ")</f>
        <v xml:space="preserve">Con el ánimo de verificar el cumplimiento de los requisitos de uso de suelo, se levantó el informe técnico número JMPH-229-21, en el cual se menciona la prohibición del funcionamiento del parqueadero en el sector, en la actualidad cursan en las inspecciones de policía 2 expedientes, identificados con los números 2017223490100828E Inspección 10D, y 20176044900100744E Inspección 10B. 
 El día 9 de mayo de 2022, se realizó el respectivo control al parqueadero como actividad económica, verificando los requisitos previstos en el artículo 87 de la Ley 1801 de 2016, así como el cumplimiento del Decreto Distrital 769 de 2019. Del resultado de la intervención se rendirá el respectivo informe, el cual compartiremos.
  El DADEP efectuó la revisión del expediente que llegó a segunda instancia y se pudo determinar que el predio con dirección K 122 A Bis 69-21 es de un particular y no tiene zonas de espacio público en su interior. Por esta razón se tendría que pedir una licencia de urbanismo para generar las zonas de cesión.                                                                                                               </v>
      </c>
      <c r="N1672" s="25"/>
      <c r="O1672" s="25" t="str">
        <f t="shared" ca="1" si="0"/>
        <v>Alcaldía Local</v>
      </c>
      <c r="P1672" s="25" t="str">
        <f t="shared" ca="1" si="2"/>
        <v/>
      </c>
      <c r="Q1672" s="25" t="str">
        <f ca="1">IFERROR(__xludf.DUMMYFUNCTION("""COMPUTED_VALUE"""),"Largo plazo")</f>
        <v>Largo plazo</v>
      </c>
      <c r="R1672" s="25"/>
      <c r="S1672" s="55"/>
      <c r="T1672" s="56"/>
      <c r="U1672" s="25"/>
      <c r="V1672" s="25"/>
      <c r="W1672" s="25"/>
      <c r="X1672" s="25"/>
      <c r="Y1672" s="25"/>
      <c r="Z1672" s="25"/>
    </row>
    <row r="1673" spans="1:26" ht="52.5" customHeight="1" x14ac:dyDescent="0.25">
      <c r="A1673" s="25" t="str">
        <f ca="1">IFERROR(__xludf.DUMMYFUNCTION("""COMPUTED_VALUE"""),"Gobie171")</f>
        <v>Gobie171</v>
      </c>
      <c r="B1673" s="25"/>
      <c r="C1673" s="55"/>
      <c r="D1673" s="25" t="str">
        <f ca="1">IFERROR(__xludf.DUMMYFUNCTION("""COMPUTED_VALUE"""),"Gobierno")</f>
        <v>Gobierno</v>
      </c>
      <c r="E1673" s="25" t="str">
        <f ca="1">IFERROR(__xludf.DUMMYFUNCTION("""COMPUTED_VALUE"""),"Secretaría Distrital de Gobierno")</f>
        <v>Secretaría Distrital de Gobierno</v>
      </c>
      <c r="F1673" s="25" t="str">
        <f ca="1">IFERROR(__xludf.DUMMYFUNCTION("""COMPUTED_VALUE"""),"Eliminada")</f>
        <v>Eliminada</v>
      </c>
      <c r="G1673" s="25"/>
      <c r="H1673" s="25"/>
      <c r="I1673" s="25"/>
      <c r="J1673" s="55"/>
      <c r="K1673" s="25" t="str">
        <f ca="1">IFERROR(__xludf.DUMMYFUNCTION("""COMPUTED_VALUE"""),"Definir fecha")</f>
        <v>Definir fecha</v>
      </c>
      <c r="L1673" s="62"/>
      <c r="M1673" s="25"/>
      <c r="N1673" s="25"/>
      <c r="O1673" s="25" t="str">
        <f t="shared" ca="1" si="0"/>
        <v>Secretaría Distrital de Gobierno</v>
      </c>
      <c r="P1673" s="25" t="str">
        <f t="shared" si="2"/>
        <v/>
      </c>
      <c r="Q1673" s="25" t="str">
        <f ca="1">IFERROR(__xludf.DUMMYFUNCTION("""COMPUTED_VALUE"""),"Sin defenir")</f>
        <v>Sin defenir</v>
      </c>
      <c r="R1673" s="25"/>
      <c r="S1673" s="55"/>
      <c r="T1673" s="56"/>
      <c r="U1673" s="25"/>
      <c r="V1673" s="25"/>
      <c r="W1673" s="25"/>
      <c r="X1673" s="25"/>
      <c r="Y1673" s="25"/>
      <c r="Z1673" s="25"/>
    </row>
    <row r="1674" spans="1:26" ht="52.5" customHeight="1" x14ac:dyDescent="0.25">
      <c r="A1674" s="25" t="str">
        <f ca="1">IFERROR(__xludf.DUMMYFUNCTION("""COMPUTED_VALUE"""),"Gobie172")</f>
        <v>Gobie172</v>
      </c>
      <c r="B1674" s="25" t="str">
        <f ca="1">IFERROR(__xludf.DUMMYFUNCTION("""COMPUTED_VALUE"""),"Consejo Local de Gobierno de Ciudad Bolívar")</f>
        <v>Consejo Local de Gobierno de Ciudad Bolívar</v>
      </c>
      <c r="C1674" s="55">
        <f ca="1">IFERROR(__xludf.DUMMYFUNCTION("""COMPUTED_VALUE"""),44595)</f>
        <v>44595</v>
      </c>
      <c r="D1674" s="25" t="str">
        <f ca="1">IFERROR(__xludf.DUMMYFUNCTION("""COMPUTED_VALUE"""),"Gobierno")</f>
        <v>Gobierno</v>
      </c>
      <c r="E1674" s="25" t="str">
        <f ca="1">IFERROR(__xludf.DUMMYFUNCTION("""COMPUTED_VALUE"""),"Secretaría Distrital de Gobierno")</f>
        <v>Secretaría Distrital de Gobierno</v>
      </c>
      <c r="F1674" s="25" t="str">
        <f ca="1">IFERROR(__xludf.DUMMYFUNCTION("""COMPUTED_VALUE"""),"Lograr que el programa parceros llegue a 15.000 beneficiarios en toda Bogotá")</f>
        <v>Lograr que el programa parceros llegue a 15.000 beneficiarios en toda Bogotá</v>
      </c>
      <c r="G1674" s="25" t="str">
        <f ca="1">IFERROR(__xludf.DUMMYFUNCTION("""COMPUTED_VALUE"""),"19. Ciudad Bolívar")</f>
        <v>19. Ciudad Bolívar</v>
      </c>
      <c r="H1674" s="55">
        <f ca="1">IFERROR(__xludf.DUMMYFUNCTION("""COMPUTED_VALUE"""),45230)</f>
        <v>45230</v>
      </c>
      <c r="I1674" s="25" t="str">
        <f ca="1">IFERROR(__xludf.DUMMYFUNCTION("""COMPUTED_VALUE"""),"Delivery Unit")</f>
        <v>Delivery Unit</v>
      </c>
      <c r="J1674" s="55" t="str">
        <f ca="1">IFERROR(__xludf.DUMMYFUNCTION("""COMPUTED_VALUE"""),"Alta")</f>
        <v>Alta</v>
      </c>
      <c r="K1674" s="25">
        <f ca="1">IFERROR(__xludf.DUMMYFUNCTION("""COMPUTED_VALUE"""),635)</f>
        <v>635</v>
      </c>
      <c r="L1674" s="62">
        <f ca="1">IFERROR(__xludf.DUMMYFUNCTION("""COMPUTED_VALUE"""),45070)</f>
        <v>45070</v>
      </c>
      <c r="M1674" s="25" t="str">
        <f ca="1">IFERROR(__xludf.DUMMYFUNCTION("""COMPUTED_VALUE"""),"A septiembre de 2022, se llegó a 16.005 jóvenes en el modelo de transferencias monetarias que entrega $500.000 mensuales durante 6 meses.
 4.119 Jóvenes vinculados a ofertas educativas
 2.214 Lograron un empleo
 525 Están inculados a ofertas de emprendi"&amp;"miento
 902 Accedieron a actividades de aprovechamiento del tiempo libre
 4.375 son hombres y 11.630 son mujeres.
Para el año 2023, en el primer corte se tienen formalizados 2697 jóvenes parceros")</f>
        <v>A septiembre de 2022, se llegó a 16.005 jóvenes en el modelo de transferencias monetarias que entrega $500.000 mensuales durante 6 meses.
 4.119 Jóvenes vinculados a ofertas educativas
 2.214 Lograron un empleo
 525 Están inculados a ofertas de emprendimiento
 902 Accedieron a actividades de aprovechamiento del tiempo libre
 4.375 son hombres y 11.630 son mujeres.
Para el año 2023, en el primer corte se tienen formalizados 2697 jóvenes parceros</v>
      </c>
      <c r="N1674" s="25"/>
      <c r="O1674" s="25" t="str">
        <f t="shared" ca="1" si="0"/>
        <v>Secretaría Distrital de Gobierno</v>
      </c>
      <c r="P1674" s="25" t="str">
        <f t="shared" ca="1" si="2"/>
        <v/>
      </c>
      <c r="Q1674" s="25" t="str">
        <f ca="1">IFERROR(__xludf.DUMMYFUNCTION("""COMPUTED_VALUE"""),"Largo plazo")</f>
        <v>Largo plazo</v>
      </c>
      <c r="R1674" s="25"/>
      <c r="S1674" s="55"/>
      <c r="T1674" s="56"/>
      <c r="U1674" s="25"/>
      <c r="V1674" s="25"/>
      <c r="W1674" s="25"/>
      <c r="X1674" s="25"/>
      <c r="Y1674" s="25"/>
      <c r="Z1674" s="25"/>
    </row>
    <row r="1675" spans="1:26" ht="52.5" customHeight="1" x14ac:dyDescent="0.25">
      <c r="A1675" s="25" t="str">
        <f ca="1">IFERROR(__xludf.DUMMYFUNCTION("""COMPUTED_VALUE"""),"Gobie173")</f>
        <v>Gobie173</v>
      </c>
      <c r="B1675" s="25" t="str">
        <f ca="1">IFERROR(__xludf.DUMMYFUNCTION("""COMPUTED_VALUE"""),"Consejo Local de Gobierno de Ciudad Bolívar")</f>
        <v>Consejo Local de Gobierno de Ciudad Bolívar</v>
      </c>
      <c r="C1675" s="55">
        <f ca="1">IFERROR(__xludf.DUMMYFUNCTION("""COMPUTED_VALUE"""),44595)</f>
        <v>44595</v>
      </c>
      <c r="D1675" s="25" t="str">
        <f ca="1">IFERROR(__xludf.DUMMYFUNCTION("""COMPUTED_VALUE"""),"Gobierno")</f>
        <v>Gobierno</v>
      </c>
      <c r="E1675" s="25" t="str">
        <f ca="1">IFERROR(__xludf.DUMMYFUNCTION("""COMPUTED_VALUE"""),"Secretaría Distrital de Gobierno")</f>
        <v>Secretaría Distrital de Gobierno</v>
      </c>
      <c r="F1675" s="25" t="str">
        <f ca="1">IFERROR(__xludf.DUMMYFUNCTION("""COMPUTED_VALUE"""),"Revisar el proceso de reconocimiento como pueblo indígena de la Comunidad Wuonan. Solicitud del señor Reinaldo Cabezón para el proceso de su reubicación, ya que llevan doce años en la localidad.")</f>
        <v>Revisar el proceso de reconocimiento como pueblo indígena de la Comunidad Wuonan. Solicitud del señor Reinaldo Cabezón para el proceso de su reubicación, ya que llevan doce años en la localidad.</v>
      </c>
      <c r="G1675" s="25" t="str">
        <f ca="1">IFERROR(__xludf.DUMMYFUNCTION("""COMPUTED_VALUE"""),"19. Ciudad Bolívar")</f>
        <v>19. Ciudad Bolívar</v>
      </c>
      <c r="H1675" s="55">
        <f ca="1">IFERROR(__xludf.DUMMYFUNCTION("""COMPUTED_VALUE"""),44613)</f>
        <v>44613</v>
      </c>
      <c r="I1675" s="25"/>
      <c r="J1675" s="55" t="str">
        <f ca="1">IFERROR(__xludf.DUMMYFUNCTION("""COMPUTED_VALUE"""),"Alta")</f>
        <v>Alta</v>
      </c>
      <c r="K1675" s="25">
        <f ca="1">IFERROR(__xludf.DUMMYFUNCTION("""COMPUTED_VALUE"""),18)</f>
        <v>18</v>
      </c>
      <c r="L1675" s="62">
        <f ca="1">IFERROR(__xludf.DUMMYFUNCTION("""COMPUTED_VALUE"""),44613)</f>
        <v>44613</v>
      </c>
      <c r="M1675" s="25" t="str">
        <f ca="1">IFERROR(__xludf.DUMMYFUNCTION("""COMPUTED_VALUE"""),"Desde la Subdirección de Asuntos Étnicos de la Secretaría de Gobierno se garantiza la participación de todos los grupos étnicos que habitan en Bogotá, sin realizar exclusión alguna, sin que esto implique un reconocimiento a Cabildos, Comunidades y/o Autor"&amp;"idades Indígenas, teniendo en cuenta que no es competencia del Distrito realizar dicho reconocimiento, el cual se circunscribe a la esfera de la autonomía de los pueblos y comunidades.")</f>
        <v>Desde la Subdirección de Asuntos Étnicos de la Secretaría de Gobierno se garantiza la participación de todos los grupos étnicos que habitan en Bogotá, sin realizar exclusión alguna, sin que esto implique un reconocimiento a Cabildos, Comunidades y/o Autoridades Indígenas, teniendo en cuenta que no es competencia del Distrito realizar dicho reconocimiento, el cual se circunscribe a la esfera de la autonomía de los pueblos y comunidades.</v>
      </c>
      <c r="N1675" s="55">
        <f ca="1">IFERROR(__xludf.DUMMYFUNCTION("""COMPUTED_VALUE"""),44926)</f>
        <v>44926</v>
      </c>
      <c r="O1675" s="25" t="str">
        <f t="shared" ca="1" si="0"/>
        <v>Secretaría Distrital de Gobierno</v>
      </c>
      <c r="P1675" s="25" t="str">
        <f t="shared" si="2"/>
        <v/>
      </c>
      <c r="Q1675" s="25" t="str">
        <f ca="1">IFERROR(__xludf.DUMMYFUNCTION("""COMPUTED_VALUE"""),"Corto plazo")</f>
        <v>Corto plazo</v>
      </c>
      <c r="R1675" s="25"/>
      <c r="S1675" s="55"/>
      <c r="T1675" s="56"/>
      <c r="U1675" s="25"/>
      <c r="V1675" s="25"/>
      <c r="W1675" s="25"/>
      <c r="X1675" s="25"/>
      <c r="Y1675" s="25"/>
      <c r="Z1675" s="25"/>
    </row>
    <row r="1676" spans="1:26" ht="52.5" customHeight="1" x14ac:dyDescent="0.25">
      <c r="A1676" s="25" t="str">
        <f ca="1">IFERROR(__xludf.DUMMYFUNCTION("""COMPUTED_VALUE"""),"Gobie174")</f>
        <v>Gobie174</v>
      </c>
      <c r="B1676" s="25" t="str">
        <f ca="1">IFERROR(__xludf.DUMMYFUNCTION("""COMPUTED_VALUE"""),"Consejo Local de Gobierno de Ciudad Bolívar")</f>
        <v>Consejo Local de Gobierno de Ciudad Bolívar</v>
      </c>
      <c r="C1676" s="55">
        <f ca="1">IFERROR(__xludf.DUMMYFUNCTION("""COMPUTED_VALUE"""),44595)</f>
        <v>44595</v>
      </c>
      <c r="D1676" s="25" t="str">
        <f ca="1">IFERROR(__xludf.DUMMYFUNCTION("""COMPUTED_VALUE"""),"Gobierno")</f>
        <v>Gobierno</v>
      </c>
      <c r="E1676" s="25" t="str">
        <f ca="1">IFERROR(__xludf.DUMMYFUNCTION("""COMPUTED_VALUE"""),"Alcaldía Local")</f>
        <v>Alcaldía Local</v>
      </c>
      <c r="F1676" s="25" t="str">
        <f ca="1">IFERROR(__xludf.DUMMYFUNCTION("""COMPUTED_VALUE"""),"Revisar el tema de invasiones en las quebradas: zanjón de la estrella y Caño galindo (la invasión se encuentra desde la república de Venezuela y las torres).")</f>
        <v>Revisar el tema de invasiones en las quebradas: zanjón de la estrella y Caño galindo (la invasión se encuentra desde la república de Venezuela y las torres).</v>
      </c>
      <c r="G1676" s="25" t="str">
        <f ca="1">IFERROR(__xludf.DUMMYFUNCTION("""COMPUTED_VALUE"""),"19. Ciudad Bolívar")</f>
        <v>19. Ciudad Bolívar</v>
      </c>
      <c r="H1676" s="55">
        <f ca="1">IFERROR(__xludf.DUMMYFUNCTION("""COMPUTED_VALUE"""),44628)</f>
        <v>44628</v>
      </c>
      <c r="I1676" s="25"/>
      <c r="J1676" s="55" t="str">
        <f ca="1">IFERROR(__xludf.DUMMYFUNCTION("""COMPUTED_VALUE"""),"Alta")</f>
        <v>Alta</v>
      </c>
      <c r="K1676" s="25">
        <f ca="1">IFERROR(__xludf.DUMMYFUNCTION("""COMPUTED_VALUE"""),33)</f>
        <v>33</v>
      </c>
      <c r="L1676" s="62">
        <f ca="1">IFERROR(__xludf.DUMMYFUNCTION("""COMPUTED_VALUE"""),44628)</f>
        <v>44628</v>
      </c>
      <c r="M1676" s="25" t="str">
        <f ca="1">IFERROR(__xludf.DUMMYFUNCTION("""COMPUTED_VALUE"""),"Se han venido realizando operativos contantes y se continuarán programando para los meses de marzo y abril. Adicionalmente en el zanjón de la República de Venezuela de han realizado intervenciones en las cuales se desmontaron estructuras en aplicación del"&amp;" art 81.")</f>
        <v>Se han venido realizando operativos contantes y se continuarán programando para los meses de marzo y abril. Adicionalmente en el zanjón de la República de Venezuela de han realizado intervenciones en las cuales se desmontaron estructuras en aplicación del art 81.</v>
      </c>
      <c r="N1676" s="55">
        <f ca="1">IFERROR(__xludf.DUMMYFUNCTION("""COMPUTED_VALUE"""),44926)</f>
        <v>44926</v>
      </c>
      <c r="O1676" s="25" t="str">
        <f t="shared" ca="1" si="0"/>
        <v>Alcaldía Local</v>
      </c>
      <c r="P1676" s="25" t="str">
        <f t="shared" si="2"/>
        <v/>
      </c>
      <c r="Q1676" s="25" t="str">
        <f ca="1">IFERROR(__xludf.DUMMYFUNCTION("""COMPUTED_VALUE"""),"Corto plazo")</f>
        <v>Corto plazo</v>
      </c>
      <c r="R1676" s="25"/>
      <c r="S1676" s="55"/>
      <c r="T1676" s="56"/>
      <c r="U1676" s="25"/>
      <c r="V1676" s="25"/>
      <c r="W1676" s="25"/>
      <c r="X1676" s="25"/>
      <c r="Y1676" s="25"/>
      <c r="Z1676" s="25"/>
    </row>
    <row r="1677" spans="1:26" ht="52.5" customHeight="1" x14ac:dyDescent="0.25">
      <c r="A1677" s="25" t="str">
        <f ca="1">IFERROR(__xludf.DUMMYFUNCTION("""COMPUTED_VALUE"""),"Gobie175")</f>
        <v>Gobie175</v>
      </c>
      <c r="B1677" s="25" t="str">
        <f ca="1">IFERROR(__xludf.DUMMYFUNCTION("""COMPUTED_VALUE"""),"Consejo Local de Gobierno de Ciudad Bolívar")</f>
        <v>Consejo Local de Gobierno de Ciudad Bolívar</v>
      </c>
      <c r="C1677" s="55">
        <f ca="1">IFERROR(__xludf.DUMMYFUNCTION("""COMPUTED_VALUE"""),44595)</f>
        <v>44595</v>
      </c>
      <c r="D1677" s="25" t="str">
        <f ca="1">IFERROR(__xludf.DUMMYFUNCTION("""COMPUTED_VALUE"""),"Gobierno")</f>
        <v>Gobierno</v>
      </c>
      <c r="E1677" s="25" t="str">
        <f ca="1">IFERROR(__xludf.DUMMYFUNCTION("""COMPUTED_VALUE"""),"Secretaría Distrital de Gobierno")</f>
        <v>Secretaría Distrital de Gobierno</v>
      </c>
      <c r="F1677" s="25" t="str">
        <f ca="1">IFERROR(__xludf.DUMMYFUNCTION("""COMPUTED_VALUE"""),"Revisar el caso de los policías implicados en la muerte del tío de la señora Laura Natali González. Los policías pertenecían al CAI paraíso y los pasaron al CAI vista hermosa.")</f>
        <v>Revisar el caso de los policías implicados en la muerte del tío de la señora Laura Natali González. Los policías pertenecían al CAI paraíso y los pasaron al CAI vista hermosa.</v>
      </c>
      <c r="G1677" s="25" t="str">
        <f ca="1">IFERROR(__xludf.DUMMYFUNCTION("""COMPUTED_VALUE"""),"19. Ciudad Bolívar")</f>
        <v>19. Ciudad Bolívar</v>
      </c>
      <c r="H1677" s="55">
        <f ca="1">IFERROR(__xludf.DUMMYFUNCTION("""COMPUTED_VALUE"""),44613)</f>
        <v>44613</v>
      </c>
      <c r="I1677" s="25"/>
      <c r="J1677" s="55" t="str">
        <f ca="1">IFERROR(__xludf.DUMMYFUNCTION("""COMPUTED_VALUE"""),"Alta")</f>
        <v>Alta</v>
      </c>
      <c r="K1677" s="25">
        <f ca="1">IFERROR(__xludf.DUMMYFUNCTION("""COMPUTED_VALUE"""),18)</f>
        <v>18</v>
      </c>
      <c r="L1677" s="62">
        <f ca="1">IFERROR(__xludf.DUMMYFUNCTION("""COMPUTED_VALUE"""),44613)</f>
        <v>44613</v>
      </c>
      <c r="M1677" s="25" t="str">
        <f ca="1">IFERROR(__xludf.DUMMYFUNCTION("""COMPUTED_VALUE"""),"El caso se atendió el 17 de febrero de 2022 de manera telefónica con la señora Paula Isabel González (sobrina del fallecido Pedro Pablo González), se recaudaron elementos probatorios de manera digital y se realizaron 7 oficios a las autoridades competente"&amp;"s haciendo alusión al posible abuso de autoridad. 
  Actualmente existe una denucia interpuesta por uno de los hijos ante la Fiscalía de la cual la Dirección de Derechos Humanos está haciendo seguimiento.")</f>
        <v>El caso se atendió el 17 de febrero de 2022 de manera telefónica con la señora Paula Isabel González (sobrina del fallecido Pedro Pablo González), se recaudaron elementos probatorios de manera digital y se realizaron 7 oficios a las autoridades competentes haciendo alusión al posible abuso de autoridad. 
  Actualmente existe una denucia interpuesta por uno de los hijos ante la Fiscalía de la cual la Dirección de Derechos Humanos está haciendo seguimiento.</v>
      </c>
      <c r="N1677" s="55">
        <f ca="1">IFERROR(__xludf.DUMMYFUNCTION("""COMPUTED_VALUE"""),44926)</f>
        <v>44926</v>
      </c>
      <c r="O1677" s="25" t="str">
        <f t="shared" ca="1" si="0"/>
        <v>Secretaría Distrital de Gobierno</v>
      </c>
      <c r="P1677" s="25" t="str">
        <f t="shared" si="2"/>
        <v/>
      </c>
      <c r="Q1677" s="25" t="str">
        <f ca="1">IFERROR(__xludf.DUMMYFUNCTION("""COMPUTED_VALUE"""),"Corto plazo")</f>
        <v>Corto plazo</v>
      </c>
      <c r="R1677" s="25"/>
      <c r="S1677" s="55"/>
      <c r="T1677" s="56"/>
      <c r="U1677" s="25"/>
      <c r="V1677" s="25"/>
      <c r="W1677" s="25"/>
      <c r="X1677" s="25"/>
      <c r="Y1677" s="25"/>
      <c r="Z1677" s="25"/>
    </row>
    <row r="1678" spans="1:26" ht="52.5" customHeight="1" x14ac:dyDescent="0.25">
      <c r="A1678" s="25" t="str">
        <f ca="1">IFERROR(__xludf.DUMMYFUNCTION("""COMPUTED_VALUE"""),"Gobie176")</f>
        <v>Gobie176</v>
      </c>
      <c r="B1678" s="25" t="str">
        <f ca="1">IFERROR(__xludf.DUMMYFUNCTION("""COMPUTED_VALUE"""),"Consejo Local de Gobierno de Ciudad Bolívar")</f>
        <v>Consejo Local de Gobierno de Ciudad Bolívar</v>
      </c>
      <c r="C1678" s="55">
        <f ca="1">IFERROR(__xludf.DUMMYFUNCTION("""COMPUTED_VALUE"""),44595)</f>
        <v>44595</v>
      </c>
      <c r="D1678" s="25" t="str">
        <f ca="1">IFERROR(__xludf.DUMMYFUNCTION("""COMPUTED_VALUE"""),"Gobierno")</f>
        <v>Gobierno</v>
      </c>
      <c r="E1678" s="25" t="str">
        <f ca="1">IFERROR(__xludf.DUMMYFUNCTION("""COMPUTED_VALUE"""),"Secretaría Distrital de Gobierno")</f>
        <v>Secretaría Distrital de Gobierno</v>
      </c>
      <c r="F1678" s="25" t="str">
        <f ca="1">IFERROR(__xludf.DUMMYFUNCTION("""COMPUTED_VALUE"""),"Revisar el caso del señor Jhony Ariza víctima de agresión y amenazas quien ha trabajado delatando a grupos organizados de microtrafico.")</f>
        <v>Revisar el caso del señor Jhony Ariza víctima de agresión y amenazas quien ha trabajado delatando a grupos organizados de microtrafico.</v>
      </c>
      <c r="G1678" s="25" t="str">
        <f ca="1">IFERROR(__xludf.DUMMYFUNCTION("""COMPUTED_VALUE"""),"19. Ciudad Bolívar")</f>
        <v>19. Ciudad Bolívar</v>
      </c>
      <c r="H1678" s="55">
        <f ca="1">IFERROR(__xludf.DUMMYFUNCTION("""COMPUTED_VALUE"""),44669)</f>
        <v>44669</v>
      </c>
      <c r="I1678" s="25"/>
      <c r="J1678" s="55" t="str">
        <f ca="1">IFERROR(__xludf.DUMMYFUNCTION("""COMPUTED_VALUE"""),"Media")</f>
        <v>Media</v>
      </c>
      <c r="K1678" s="25">
        <f ca="1">IFERROR(__xludf.DUMMYFUNCTION("""COMPUTED_VALUE"""),74)</f>
        <v>74</v>
      </c>
      <c r="L1678" s="62">
        <f ca="1">IFERROR(__xludf.DUMMYFUNCTION("""COMPUTED_VALUE"""),44669)</f>
        <v>44669</v>
      </c>
      <c r="M1678" s="25" t="str">
        <f ca="1">IFERROR(__xludf.DUMMYFUNCTION("""COMPUTED_VALUE"""),"El 9 de febrero de 2022 la dupla de profesionales psicosociales y jurídico de la Dirección de Derechos Humanos brindó atención inicial de forma presencial al líder ante el reporte de amenazas directas y sistemáticas contra su vida e integridad personal y "&amp;"la de su familia, que también se encuentra vinculada a procesos de liderazgo comunitario por denuncia de irregularidades administrativas de la Junta de Acción Comunal.
  (Se encuentra en seguimiento por la Dirección, porque presenta agresiones constant"&amp;"es con el expresidente de la junta)")</f>
        <v>El 9 de febrero de 2022 la dupla de profesionales psicosociales y jurídico de la Dirección de Derechos Humanos brindó atención inicial de forma presencial al líder ante el reporte de amenazas directas y sistemáticas contra su vida e integridad personal y la de su familia, que también se encuentra vinculada a procesos de liderazgo comunitario por denuncia de irregularidades administrativas de la Junta de Acción Comunal.
  (Se encuentra en seguimiento por la Dirección, porque presenta agresiones constantes con el expresidente de la junta)</v>
      </c>
      <c r="N1678" s="55">
        <f ca="1">IFERROR(__xludf.DUMMYFUNCTION("""COMPUTED_VALUE"""),44926)</f>
        <v>44926</v>
      </c>
      <c r="O1678" s="25" t="str">
        <f t="shared" ca="1" si="0"/>
        <v>Secretaría Distrital de Gobierno</v>
      </c>
      <c r="P1678" s="25" t="str">
        <f t="shared" si="2"/>
        <v/>
      </c>
      <c r="Q1678" s="25" t="str">
        <f ca="1">IFERROR(__xludf.DUMMYFUNCTION("""COMPUTED_VALUE"""),"Mediano plazo")</f>
        <v>Mediano plazo</v>
      </c>
      <c r="R1678" s="25"/>
      <c r="S1678" s="55"/>
      <c r="T1678" s="56"/>
      <c r="U1678" s="25"/>
      <c r="V1678" s="25"/>
      <c r="W1678" s="25"/>
      <c r="X1678" s="25"/>
      <c r="Y1678" s="25"/>
      <c r="Z1678" s="25"/>
    </row>
    <row r="1679" spans="1:26" ht="52.5" customHeight="1" x14ac:dyDescent="0.25">
      <c r="A1679" s="25" t="str">
        <f ca="1">IFERROR(__xludf.DUMMYFUNCTION("""COMPUTED_VALUE"""),"Gobie177")</f>
        <v>Gobie177</v>
      </c>
      <c r="B1679" s="25" t="str">
        <f ca="1">IFERROR(__xludf.DUMMYFUNCTION("""COMPUTED_VALUE"""),"Consejo Local de Gobierno de Fontibón")</f>
        <v>Consejo Local de Gobierno de Fontibón</v>
      </c>
      <c r="C1679" s="55">
        <f ca="1">IFERROR(__xludf.DUMMYFUNCTION("""COMPUTED_VALUE"""),44609)</f>
        <v>44609</v>
      </c>
      <c r="D1679" s="25" t="str">
        <f ca="1">IFERROR(__xludf.DUMMYFUNCTION("""COMPUTED_VALUE"""),"Gobierno")</f>
        <v>Gobierno</v>
      </c>
      <c r="E1679" s="25" t="str">
        <f ca="1">IFERROR(__xludf.DUMMYFUNCTION("""COMPUTED_VALUE"""),"Alcaldía Local")</f>
        <v>Alcaldía Local</v>
      </c>
      <c r="F1679" s="25" t="str">
        <f ca="1">IFERROR(__xludf.DUMMYFUNCTION("""COMPUTED_VALUE"""),"Revisar la posibilidad de instalar biosaludables en la zona verde ubicada en la Carrera 104 # 15 A, Urbanización quintas de la pradera, o caulquier acción de apropiación debido a problemas de inseguridad.")</f>
        <v>Revisar la posibilidad de instalar biosaludables en la zona verde ubicada en la Carrera 104 # 15 A, Urbanización quintas de la pradera, o caulquier acción de apropiación debido a problemas de inseguridad.</v>
      </c>
      <c r="G1679" s="25" t="str">
        <f ca="1">IFERROR(__xludf.DUMMYFUNCTION("""COMPUTED_VALUE"""),"09. Fontibón")</f>
        <v>09. Fontibón</v>
      </c>
      <c r="H1679" s="55">
        <f ca="1">IFERROR(__xludf.DUMMYFUNCTION("""COMPUTED_VALUE"""),44650)</f>
        <v>44650</v>
      </c>
      <c r="I1679" s="25"/>
      <c r="J1679" s="55" t="str">
        <f ca="1">IFERROR(__xludf.DUMMYFUNCTION("""COMPUTED_VALUE"""),"Alta")</f>
        <v>Alta</v>
      </c>
      <c r="K1679" s="25">
        <f ca="1">IFERROR(__xludf.DUMMYFUNCTION("""COMPUTED_VALUE"""),41)</f>
        <v>41</v>
      </c>
      <c r="L1679" s="62">
        <f ca="1">IFERROR(__xludf.DUMMYFUNCTION("""COMPUTED_VALUE"""),44650)</f>
        <v>44650</v>
      </c>
      <c r="M1679" s="25" t="str">
        <f ca="1">IFERROR(__xludf.DUMMYFUNCTION("""COMPUTED_VALUE"""),"Técnicamente, no es posible hacer instalación de biosaludables en zona verde, va en contra de los lineamientos técnicos del IDRD. Para hacer este tipo de intervenciones, se requiere un contrato de obra, el cual desde el FLD no es posible desarrollarlo por"&amp;" la falta de recursos, adicionalmente el parque no fue pririzado en recursos participativos")</f>
        <v>Técnicamente, no es posible hacer instalación de biosaludables en zona verde, va en contra de los lineamientos técnicos del IDRD. Para hacer este tipo de intervenciones, se requiere un contrato de obra, el cual desde el FLD no es posible desarrollarlo por la falta de recursos, adicionalmente el parque no fue pririzado en recursos participativos</v>
      </c>
      <c r="N1679" s="55">
        <f ca="1">IFERROR(__xludf.DUMMYFUNCTION("""COMPUTED_VALUE"""),44926)</f>
        <v>44926</v>
      </c>
      <c r="O1679" s="25" t="str">
        <f t="shared" ca="1" si="0"/>
        <v>Alcaldía Local</v>
      </c>
      <c r="P1679" s="25" t="str">
        <f t="shared" si="2"/>
        <v/>
      </c>
      <c r="Q1679" s="25" t="str">
        <f ca="1">IFERROR(__xludf.DUMMYFUNCTION("""COMPUTED_VALUE"""),"Corto plazo")</f>
        <v>Corto plazo</v>
      </c>
      <c r="R1679" s="25"/>
      <c r="S1679" s="55"/>
      <c r="T1679" s="56"/>
      <c r="U1679" s="25"/>
      <c r="V1679" s="25"/>
      <c r="W1679" s="25"/>
      <c r="X1679" s="25"/>
      <c r="Y1679" s="25"/>
      <c r="Z1679" s="25"/>
    </row>
    <row r="1680" spans="1:26" ht="52.5" customHeight="1" x14ac:dyDescent="0.25">
      <c r="A1680" s="25" t="str">
        <f ca="1">IFERROR(__xludf.DUMMYFUNCTION("""COMPUTED_VALUE"""),"Gobie178")</f>
        <v>Gobie178</v>
      </c>
      <c r="B1680" s="25" t="str">
        <f ca="1">IFERROR(__xludf.DUMMYFUNCTION("""COMPUTED_VALUE"""),"Consejo Local de Gobierno de Fontibón")</f>
        <v>Consejo Local de Gobierno de Fontibón</v>
      </c>
      <c r="C1680" s="55">
        <f ca="1">IFERROR(__xludf.DUMMYFUNCTION("""COMPUTED_VALUE"""),44609)</f>
        <v>44609</v>
      </c>
      <c r="D1680" s="25" t="str">
        <f ca="1">IFERROR(__xludf.DUMMYFUNCTION("""COMPUTED_VALUE"""),"Gobierno")</f>
        <v>Gobierno</v>
      </c>
      <c r="E1680" s="25" t="str">
        <f ca="1">IFERROR(__xludf.DUMMYFUNCTION("""COMPUTED_VALUE"""),"Alcaldía Local")</f>
        <v>Alcaldía Local</v>
      </c>
      <c r="F1680" s="25" t="str">
        <f ca="1">IFERROR(__xludf.DUMMYFUNCTION("""COMPUTED_VALUE"""),"Revisar la posibilidad de hacer una dotación a la escuela deportiva")</f>
        <v>Revisar la posibilidad de hacer una dotación a la escuela deportiva</v>
      </c>
      <c r="G1680" s="25" t="str">
        <f ca="1">IFERROR(__xludf.DUMMYFUNCTION("""COMPUTED_VALUE"""),"09. Fontibón")</f>
        <v>09. Fontibón</v>
      </c>
      <c r="H1680" s="55">
        <f ca="1">IFERROR(__xludf.DUMMYFUNCTION("""COMPUTED_VALUE"""),44623)</f>
        <v>44623</v>
      </c>
      <c r="I1680" s="25"/>
      <c r="J1680" s="55" t="str">
        <f ca="1">IFERROR(__xludf.DUMMYFUNCTION("""COMPUTED_VALUE"""),"Alta")</f>
        <v>Alta</v>
      </c>
      <c r="K1680" s="25">
        <f ca="1">IFERROR(__xludf.DUMMYFUNCTION("""COMPUTED_VALUE"""),14)</f>
        <v>14</v>
      </c>
      <c r="L1680" s="62">
        <f ca="1">IFERROR(__xludf.DUMMYFUNCTION("""COMPUTED_VALUE"""),44623)</f>
        <v>44623</v>
      </c>
      <c r="M1680" s="25" t="str">
        <f ca="1">IFERROR(__xludf.DUMMYFUNCTION("""COMPUTED_VALUE"""),"Se realizó contacto con el director de la escuela quien reportó que es un programa informal para 80 niñas, niños y adolescentes del recodo y barrios aledaños, pero no tiene reconocimiento del IDRD, el cual es requisito para poder entregarle algún tipo de "&amp;"dotación. Con el equio de deportes de la alcaldía local se inició el proceso de asesoría para la formalización de la escuela para poder brindar el apoyo.")</f>
        <v>Se realizó contacto con el director de la escuela quien reportó que es un programa informal para 80 niñas, niños y adolescentes del recodo y barrios aledaños, pero no tiene reconocimiento del IDRD, el cual es requisito para poder entregarle algún tipo de dotación. Con el equio de deportes de la alcaldía local se inició el proceso de asesoría para la formalización de la escuela para poder brindar el apoyo.</v>
      </c>
      <c r="N1680" s="55">
        <f ca="1">IFERROR(__xludf.DUMMYFUNCTION("""COMPUTED_VALUE"""),44926)</f>
        <v>44926</v>
      </c>
      <c r="O1680" s="25" t="str">
        <f t="shared" ca="1" si="0"/>
        <v>Alcaldía Local</v>
      </c>
      <c r="P1680" s="25" t="str">
        <f t="shared" si="2"/>
        <v/>
      </c>
      <c r="Q1680" s="25" t="str">
        <f ca="1">IFERROR(__xludf.DUMMYFUNCTION("""COMPUTED_VALUE"""),"Corto plazo")</f>
        <v>Corto plazo</v>
      </c>
      <c r="R1680" s="25"/>
      <c r="S1680" s="55"/>
      <c r="T1680" s="56"/>
      <c r="U1680" s="25"/>
      <c r="V1680" s="25"/>
      <c r="W1680" s="25"/>
      <c r="X1680" s="25"/>
      <c r="Y1680" s="25"/>
      <c r="Z1680" s="25"/>
    </row>
    <row r="1681" spans="1:26" ht="52.5" customHeight="1" x14ac:dyDescent="0.25">
      <c r="A1681" s="25" t="str">
        <f ca="1">IFERROR(__xludf.DUMMYFUNCTION("""COMPUTED_VALUE"""),"Gobie179")</f>
        <v>Gobie179</v>
      </c>
      <c r="B1681" s="25" t="str">
        <f ca="1">IFERROR(__xludf.DUMMYFUNCTION("""COMPUTED_VALUE"""),"Consejo Local de Gobierno de Fontibón")</f>
        <v>Consejo Local de Gobierno de Fontibón</v>
      </c>
      <c r="C1681" s="55">
        <f ca="1">IFERROR(__xludf.DUMMYFUNCTION("""COMPUTED_VALUE"""),44609)</f>
        <v>44609</v>
      </c>
      <c r="D1681" s="25" t="str">
        <f ca="1">IFERROR(__xludf.DUMMYFUNCTION("""COMPUTED_VALUE"""),"Gobierno")</f>
        <v>Gobierno</v>
      </c>
      <c r="E1681" s="25" t="str">
        <f ca="1">IFERROR(__xludf.DUMMYFUNCTION("""COMPUTED_VALUE"""),"Alcaldía Local")</f>
        <v>Alcaldía Local</v>
      </c>
      <c r="F1681" s="25" t="str">
        <f ca="1">IFERROR(__xludf.DUMMYFUNCTION("""COMPUTED_VALUE"""),"Organizar una reunión con las Secretarías de Seguridad y Ambiente para dar tramite a las problematicas planteadas por la señora Elvira de Maldonado")</f>
        <v>Organizar una reunión con las Secretarías de Seguridad y Ambiente para dar tramite a las problematicas planteadas por la señora Elvira de Maldonado</v>
      </c>
      <c r="G1681" s="25" t="str">
        <f ca="1">IFERROR(__xludf.DUMMYFUNCTION("""COMPUTED_VALUE"""),"09. Fontibón")</f>
        <v>09. Fontibón</v>
      </c>
      <c r="H1681" s="55">
        <f ca="1">IFERROR(__xludf.DUMMYFUNCTION("""COMPUTED_VALUE"""),44623)</f>
        <v>44623</v>
      </c>
      <c r="I1681" s="25"/>
      <c r="J1681" s="55" t="str">
        <f ca="1">IFERROR(__xludf.DUMMYFUNCTION("""COMPUTED_VALUE"""),"Alta")</f>
        <v>Alta</v>
      </c>
      <c r="K1681" s="25">
        <f ca="1">IFERROR(__xludf.DUMMYFUNCTION("""COMPUTED_VALUE"""),14)</f>
        <v>14</v>
      </c>
      <c r="L1681" s="62">
        <f ca="1">IFERROR(__xludf.DUMMYFUNCTION("""COMPUTED_VALUE"""),44623)</f>
        <v>44623</v>
      </c>
      <c r="M1681" s="25" t="str">
        <f ca="1">IFERROR(__xludf.DUMMYFUNCTION("""COMPUTED_VALUE"""),"Se realizó un recorrido por la zona de sector Salitre donde se identificaron algunas problemáticas de seguridad y venta ambulante. Como actividad de mitigación se incluyó al sector Salitre dentro de los recorridos con Policía Metropolitana y Policía Milit"&amp;"ar, adicionalmente se elevó reporte a la UAESP especificando algunos puntos con problemas de iluminación")</f>
        <v>Se realizó un recorrido por la zona de sector Salitre donde se identificaron algunas problemáticas de seguridad y venta ambulante. Como actividad de mitigación se incluyó al sector Salitre dentro de los recorridos con Policía Metropolitana y Policía Militar, adicionalmente se elevó reporte a la UAESP especificando algunos puntos con problemas de iluminación</v>
      </c>
      <c r="N1681" s="55">
        <f ca="1">IFERROR(__xludf.DUMMYFUNCTION("""COMPUTED_VALUE"""),44926)</f>
        <v>44926</v>
      </c>
      <c r="O1681" s="25" t="str">
        <f t="shared" ca="1" si="0"/>
        <v>Alcaldía Local</v>
      </c>
      <c r="P1681" s="25" t="str">
        <f t="shared" si="2"/>
        <v/>
      </c>
      <c r="Q1681" s="25" t="str">
        <f ca="1">IFERROR(__xludf.DUMMYFUNCTION("""COMPUTED_VALUE"""),"Corto plazo")</f>
        <v>Corto plazo</v>
      </c>
      <c r="R1681" s="25"/>
      <c r="S1681" s="55"/>
      <c r="T1681" s="56"/>
      <c r="U1681" s="25"/>
      <c r="V1681" s="25"/>
      <c r="W1681" s="25"/>
      <c r="X1681" s="25"/>
      <c r="Y1681" s="25"/>
      <c r="Z1681" s="25"/>
    </row>
    <row r="1682" spans="1:26" ht="52.5" customHeight="1" x14ac:dyDescent="0.25">
      <c r="A1682" s="25" t="str">
        <f ca="1">IFERROR(__xludf.DUMMYFUNCTION("""COMPUTED_VALUE"""),"Gobie180")</f>
        <v>Gobie180</v>
      </c>
      <c r="B1682" s="25" t="str">
        <f ca="1">IFERROR(__xludf.DUMMYFUNCTION("""COMPUTED_VALUE"""),"Consejo Local de Gobierno de Fontibón")</f>
        <v>Consejo Local de Gobierno de Fontibón</v>
      </c>
      <c r="C1682" s="55">
        <f ca="1">IFERROR(__xludf.DUMMYFUNCTION("""COMPUTED_VALUE"""),44609)</f>
        <v>44609</v>
      </c>
      <c r="D1682" s="25" t="str">
        <f ca="1">IFERROR(__xludf.DUMMYFUNCTION("""COMPUTED_VALUE"""),"Gobierno")</f>
        <v>Gobierno</v>
      </c>
      <c r="E1682" s="25" t="str">
        <f ca="1">IFERROR(__xludf.DUMMYFUNCTION("""COMPUTED_VALUE"""),"Departamento Administrativo de la Defensoría del Espacio Público")</f>
        <v>Departamento Administrativo de la Defensoría del Espacio Público</v>
      </c>
      <c r="F1682" s="25" t="str">
        <f ca="1">IFERROR(__xludf.DUMMYFUNCTION("""COMPUTED_VALUE"""),"Revisar uno a uno el estado de los predios correspondientes a zonas de cesión en el Barrio El Recodo")</f>
        <v>Revisar uno a uno el estado de los predios correspondientes a zonas de cesión en el Barrio El Recodo</v>
      </c>
      <c r="G1682" s="25" t="str">
        <f ca="1">IFERROR(__xludf.DUMMYFUNCTION("""COMPUTED_VALUE"""),"09. Fontibón")</f>
        <v>09. Fontibón</v>
      </c>
      <c r="H1682" s="55">
        <f ca="1">IFERROR(__xludf.DUMMYFUNCTION("""COMPUTED_VALUE"""),45077)</f>
        <v>45077</v>
      </c>
      <c r="I1682" s="25" t="str">
        <f ca="1">IFERROR(__xludf.DUMMYFUNCTION("""COMPUTED_VALUE"""),"Delivery Unit")</f>
        <v>Delivery Unit</v>
      </c>
      <c r="J1682" s="55" t="str">
        <f ca="1">IFERROR(__xludf.DUMMYFUNCTION("""COMPUTED_VALUE"""),"Media")</f>
        <v>Media</v>
      </c>
      <c r="K1682" s="25">
        <f ca="1">IFERROR(__xludf.DUMMYFUNCTION("""COMPUTED_VALUE"""),468)</f>
        <v>468</v>
      </c>
      <c r="L1682" s="62">
        <f ca="1">IFERROR(__xludf.DUMMYFUNCTION("""COMPUTED_VALUE"""),45082)</f>
        <v>45082</v>
      </c>
      <c r="M1682" s="25" t="str">
        <f ca="1">IFERROR(__xludf.DUMMYFUNCTION("""COMPUTED_VALUE"""),"A la fecha persiste el incumplimiento del fallo judicial manteniéndose la vulneración de los derechos e intereses de la comunidad reconocidos en sentencia judicial. El 16 de diciembre de 2021, se solicitó al juez de conocimiento dar apertura al incidente "&amp;"de desacato por el incumplimiento de los accionados en las zonas de cesión de la etapa 1, reiterándose la solicitud el 20 de septiembre de 2022, encontrándose al despacho para decidir, se reitera mediante radicado 20231100049721 del 18 de abril de 2023.  "&amp;"Respecto de la etapa 3 A y 3B el despacho fijo audiencia de verificación de fallo para el próximo 26 de enero de 2023, en la cual se presento el informe técnico emitido por la Subdirecciòn de Registro Inmobiliario, teniendo en cuenta el cierre del folio d"&amp;"e matricula 50C-1440631, para presentar avance del cumplimiento del fallo programando nueva fecha el 3 de marzo de 2023, donde concedió un término de seis meses para el saneamiento del folio de matricula inmobiliaria, se deben presentar  informes mensuale"&amp;"s de avance frente a la apertura del folio y el saneamiento para la transferencia de las zonas de cesión que se encuentran a nombre de Fiduciaria del Comercio S.A. El 10 de abril de 2023, se presento informe al despacho judicial mediante el radicado orfeo"&amp;" 20231100046071, con anexos de comunicación dirigida a Fiduciaria del Comercio y el informe de la Subdirección de Registro Inmobiliario.   
Evidenciando que los señores Javier Baquero Torres y Omar Germán Leguizamón Jiménez, promovieron proceso de perten"&amp;"encia se presenta denuncia penal en contra de estos por los delitos de Falsedad en Documento Público y Fraude Procesal, se encuentra en etapa probatoria.  
El proceso actualmente lo conoce la Fiscalía 238 Seccional de la Unidad de Fe Publica y se encuent"&amp;"ra en etapa de indagación, con órdenes a Policía Judicial ")</f>
        <v xml:space="preserve">A la fecha persiste el incumplimiento del fallo judicial manteniéndose la vulneración de los derechos e intereses de la comunidad reconocidos en sentencia judicial. El 16 de diciembre de 2021, se solicitó al juez de conocimiento dar apertura al incidente de desacato por el incumplimiento de los accionados en las zonas de cesión de la etapa 1, reiterándose la solicitud el 20 de septiembre de 2022, encontrándose al despacho para decidir, se reitera mediante radicado 20231100049721 del 18 de abril de 2023.  Respecto de la etapa 3 A y 3B el despacho fijo audiencia de verificación de fallo para el próximo 26 de enero de 2023, en la cual se presento el informe técnico emitido por la Subdirecciòn de Registro Inmobiliario, teniendo en cuenta el cierre del folio de matricula 50C-1440631, para presentar avance del cumplimiento del fallo programando nueva fecha el 3 de marzo de 2023, donde concedió un término de seis meses para el saneamiento del folio de matricula inmobiliaria, se deben presentar  informes mensuales de avance frente a la apertura del folio y el saneamiento para la transferencia de las zonas de cesión que se encuentran a nombre de Fiduciaria del Comercio S.A. El 10 de abril de 2023, se presento informe al despacho judicial mediante el radicado orfeo 20231100046071, con anexos de comunicación dirigida a Fiduciaria del Comercio y el informe de la Subdirección de Registro Inmobiliario.   
Evidenciando que los señores Javier Baquero Torres y Omar Germán Leguizamón Jiménez, promovieron proceso de pertenencia se presenta denuncia penal en contra de estos por los delitos de Falsedad en Documento Público y Fraude Procesal, se encuentra en etapa probatoria.  
El proceso actualmente lo conoce la Fiscalía 238 Seccional de la Unidad de Fe Publica y se encuentra en etapa de indagación, con órdenes a Policía Judicial </v>
      </c>
      <c r="N1682" s="25"/>
      <c r="O1682" s="25" t="str">
        <f t="shared" ca="1" si="0"/>
        <v>Departamento Administrativo de la Defensoría del Espacio Público</v>
      </c>
      <c r="P1682" s="25" t="str">
        <f t="shared" ca="1" si="2"/>
        <v/>
      </c>
      <c r="Q1682" s="25" t="str">
        <f ca="1">IFERROR(__xludf.DUMMYFUNCTION("""COMPUTED_VALUE"""),"Largo plazo")</f>
        <v>Largo plazo</v>
      </c>
      <c r="R1682" s="25"/>
      <c r="S1682" s="55"/>
      <c r="T1682" s="56"/>
      <c r="U1682" s="25"/>
      <c r="V1682" s="25"/>
      <c r="W1682" s="25"/>
      <c r="X1682" s="25"/>
      <c r="Y1682" s="25"/>
      <c r="Z1682" s="25"/>
    </row>
    <row r="1683" spans="1:26" ht="52.5" customHeight="1" x14ac:dyDescent="0.25">
      <c r="A1683" s="25" t="str">
        <f ca="1">IFERROR(__xludf.DUMMYFUNCTION("""COMPUTED_VALUE"""),"Gobie181")</f>
        <v>Gobie181</v>
      </c>
      <c r="B1683" s="25" t="str">
        <f ca="1">IFERROR(__xludf.DUMMYFUNCTION("""COMPUTED_VALUE"""),"Consejo Local de Gobierno de Fontibón")</f>
        <v>Consejo Local de Gobierno de Fontibón</v>
      </c>
      <c r="C1683" s="55">
        <f ca="1">IFERROR(__xludf.DUMMYFUNCTION("""COMPUTED_VALUE"""),44609)</f>
        <v>44609</v>
      </c>
      <c r="D1683" s="25" t="str">
        <f ca="1">IFERROR(__xludf.DUMMYFUNCTION("""COMPUTED_VALUE"""),"Gobierno")</f>
        <v>Gobierno</v>
      </c>
      <c r="E1683" s="25" t="str">
        <f ca="1">IFERROR(__xludf.DUMMYFUNCTION("""COMPUTED_VALUE"""),"Alcaldía Local")</f>
        <v>Alcaldía Local</v>
      </c>
      <c r="F1683" s="25" t="str">
        <f ca="1">IFERROR(__xludf.DUMMYFUNCTION("""COMPUTED_VALUE"""),"Realizar un Juntos Cuidamos Bogotá en el Parque La Aldea sobre la 116 con 22 G")</f>
        <v>Realizar un Juntos Cuidamos Bogotá en el Parque La Aldea sobre la 116 con 22 G</v>
      </c>
      <c r="G1683" s="25" t="str">
        <f ca="1">IFERROR(__xludf.DUMMYFUNCTION("""COMPUTED_VALUE"""),"09. Fontibón")</f>
        <v>09. Fontibón</v>
      </c>
      <c r="H1683" s="55">
        <f ca="1">IFERROR(__xludf.DUMMYFUNCTION("""COMPUTED_VALUE"""),44686)</f>
        <v>44686</v>
      </c>
      <c r="I1683" s="25"/>
      <c r="J1683" s="55" t="str">
        <f ca="1">IFERROR(__xludf.DUMMYFUNCTION("""COMPUTED_VALUE"""),"Media")</f>
        <v>Media</v>
      </c>
      <c r="K1683" s="25">
        <f ca="1">IFERROR(__xludf.DUMMYFUNCTION("""COMPUTED_VALUE"""),77)</f>
        <v>77</v>
      </c>
      <c r="L1683" s="62">
        <f ca="1">IFERROR(__xludf.DUMMYFUNCTION("""COMPUTED_VALUE"""),44686)</f>
        <v>44686</v>
      </c>
      <c r="M1683" s="25" t="str">
        <f ca="1">IFERROR(__xludf.DUMMYFUNCTION("""COMPUTED_VALUE"""),"A través del Contrato 314 de Alcaldía Local se hizo adecuación del parque La Aldea (Calle 22G entre calles 118 y 117A) consistente en una intervención al módulo infantil de madera en donde se hizo el cambio de 8 alfardas de madera, instalación de tunel en"&amp;" fibra de vidrio, deslizadero en fibra de vidrio, cambio de guayas en relación al puente de madera. Desmonte e instalación de columpios, instalación de barra lateral pará ejercicio y se pintó todo el módulo.
 En el otro costado, se interviene el módulo "&amp;"de balancín o “sube y baja"", limpieza y liando a todo el módulo, aplicación de anticorrosivo, y por último pintura de colores.")</f>
        <v>A través del Contrato 314 de Alcaldía Local se hizo adecuación del parque La Aldea (Calle 22G entre calles 118 y 117A) consistente en una intervención al módulo infantil de madera en donde se hizo el cambio de 8 alfardas de madera, instalación de tunel en fibra de vidrio, deslizadero en fibra de vidrio, cambio de guayas en relación al puente de madera. Desmonte e instalación de columpios, instalación de barra lateral pará ejercicio y se pintó todo el módulo.
 En el otro costado, se interviene el módulo de balancín o “sube y baja", limpieza y liando a todo el módulo, aplicación de anticorrosivo, y por último pintura de colores.</v>
      </c>
      <c r="N1683" s="55">
        <f ca="1">IFERROR(__xludf.DUMMYFUNCTION("""COMPUTED_VALUE"""),44926)</f>
        <v>44926</v>
      </c>
      <c r="O1683" s="25" t="str">
        <f t="shared" ca="1" si="0"/>
        <v>Alcaldía Local</v>
      </c>
      <c r="P1683" s="25" t="str">
        <f t="shared" si="2"/>
        <v/>
      </c>
      <c r="Q1683" s="25" t="str">
        <f ca="1">IFERROR(__xludf.DUMMYFUNCTION("""COMPUTED_VALUE"""),"Mediano plazo")</f>
        <v>Mediano plazo</v>
      </c>
      <c r="R1683" s="25"/>
      <c r="S1683" s="55"/>
      <c r="T1683" s="56"/>
      <c r="U1683" s="25"/>
      <c r="V1683" s="25"/>
      <c r="W1683" s="25"/>
      <c r="X1683" s="25"/>
      <c r="Y1683" s="25"/>
      <c r="Z1683" s="25"/>
    </row>
    <row r="1684" spans="1:26" ht="52.5" customHeight="1" x14ac:dyDescent="0.25">
      <c r="A1684" s="25" t="str">
        <f ca="1">IFERROR(__xludf.DUMMYFUNCTION("""COMPUTED_VALUE"""),"Gobie182")</f>
        <v>Gobie182</v>
      </c>
      <c r="B1684" s="25" t="str">
        <f ca="1">IFERROR(__xludf.DUMMYFUNCTION("""COMPUTED_VALUE"""),"Consejo Local de Gobierno de Fontibón")</f>
        <v>Consejo Local de Gobierno de Fontibón</v>
      </c>
      <c r="C1684" s="55">
        <f ca="1">IFERROR(__xludf.DUMMYFUNCTION("""COMPUTED_VALUE"""),44609)</f>
        <v>44609</v>
      </c>
      <c r="D1684" s="25" t="str">
        <f ca="1">IFERROR(__xludf.DUMMYFUNCTION("""COMPUTED_VALUE"""),"Gobierno")</f>
        <v>Gobierno</v>
      </c>
      <c r="E1684" s="25" t="str">
        <f ca="1">IFERROR(__xludf.DUMMYFUNCTION("""COMPUTED_VALUE"""),"Instituto Distrital de la Participación y Acción Comunal")</f>
        <v>Instituto Distrital de la Participación y Acción Comunal</v>
      </c>
      <c r="F1684" s="25" t="str">
        <f ca="1">IFERROR(__xludf.DUMMYFUNCTION("""COMPUTED_VALUE"""),"Programar capacitaciones para los Consejos Locales de Propiedad Horizontal")</f>
        <v>Programar capacitaciones para los Consejos Locales de Propiedad Horizontal</v>
      </c>
      <c r="G1684" s="25" t="str">
        <f ca="1">IFERROR(__xludf.DUMMYFUNCTION("""COMPUTED_VALUE"""),"09. Fontibón")</f>
        <v>09. Fontibón</v>
      </c>
      <c r="H1684" s="55">
        <f ca="1">IFERROR(__xludf.DUMMYFUNCTION("""COMPUTED_VALUE"""),44615)</f>
        <v>44615</v>
      </c>
      <c r="I1684" s="25"/>
      <c r="J1684" s="55" t="str">
        <f ca="1">IFERROR(__xludf.DUMMYFUNCTION("""COMPUTED_VALUE"""),"Alta")</f>
        <v>Alta</v>
      </c>
      <c r="K1684" s="25">
        <f ca="1">IFERROR(__xludf.DUMMYFUNCTION("""COMPUTED_VALUE"""),6)</f>
        <v>6</v>
      </c>
      <c r="L1684" s="62">
        <f ca="1">IFERROR(__xludf.DUMMYFUNCTION("""COMPUTED_VALUE"""),44615)</f>
        <v>44615</v>
      </c>
      <c r="M1684" s="25" t="str">
        <f ca="1">IFERROR(__xludf.DUMMYFUNCTION("""COMPUTED_VALUE"""),"Consejo de propiedad horizontal desarrollado el día 23-02-2022 en las instalaciones de la JAL")</f>
        <v>Consejo de propiedad horizontal desarrollado el día 23-02-2022 en las instalaciones de la JAL</v>
      </c>
      <c r="N1684" s="55">
        <f ca="1">IFERROR(__xludf.DUMMYFUNCTION("""COMPUTED_VALUE"""),44926)</f>
        <v>44926</v>
      </c>
      <c r="O1684" s="25" t="str">
        <f t="shared" ca="1" si="0"/>
        <v>Instituto Distrital de la Participación y Acción Comunal</v>
      </c>
      <c r="P1684" s="25" t="str">
        <f t="shared" si="2"/>
        <v/>
      </c>
      <c r="Q1684" s="25" t="str">
        <f ca="1">IFERROR(__xludf.DUMMYFUNCTION("""COMPUTED_VALUE"""),"Corto plazo")</f>
        <v>Corto plazo</v>
      </c>
      <c r="R1684" s="25"/>
      <c r="S1684" s="55"/>
      <c r="T1684" s="56"/>
      <c r="U1684" s="25"/>
      <c r="V1684" s="25"/>
      <c r="W1684" s="25"/>
      <c r="X1684" s="25"/>
      <c r="Y1684" s="25"/>
      <c r="Z1684" s="25"/>
    </row>
    <row r="1685" spans="1:26" ht="52.5" customHeight="1" x14ac:dyDescent="0.25">
      <c r="A1685" s="25" t="str">
        <f ca="1">IFERROR(__xludf.DUMMYFUNCTION("""COMPUTED_VALUE"""),"Gobie183")</f>
        <v>Gobie183</v>
      </c>
      <c r="B1685" s="25" t="str">
        <f ca="1">IFERROR(__xludf.DUMMYFUNCTION("""COMPUTED_VALUE"""),"Consejo Local de Gobierno de Barrios Unidos")</f>
        <v>Consejo Local de Gobierno de Barrios Unidos</v>
      </c>
      <c r="C1685" s="55">
        <f ca="1">IFERROR(__xludf.DUMMYFUNCTION("""COMPUTED_VALUE"""),44637)</f>
        <v>44637</v>
      </c>
      <c r="D1685" s="25" t="str">
        <f ca="1">IFERROR(__xludf.DUMMYFUNCTION("""COMPUTED_VALUE"""),"Gobierno")</f>
        <v>Gobierno</v>
      </c>
      <c r="E1685" s="25" t="str">
        <f ca="1">IFERROR(__xludf.DUMMYFUNCTION("""COMPUTED_VALUE"""),"Alcaldía Local")</f>
        <v>Alcaldía Local</v>
      </c>
      <c r="F1685" s="25" t="str">
        <f ca="1">IFERROR(__xludf.DUMMYFUNCTION("""COMPUTED_VALUE"""),"Realizar operativo de inspección y control al incumplimiento en los decibeles de ruido por parte de las casas de banquetes ubicadas en el barrio la Esperanza, en la calle 66 entre cra 17 y 18.")</f>
        <v>Realizar operativo de inspección y control al incumplimiento en los decibeles de ruido por parte de las casas de banquetes ubicadas en el barrio la Esperanza, en la calle 66 entre cra 17 y 18.</v>
      </c>
      <c r="G1685" s="25" t="str">
        <f ca="1">IFERROR(__xludf.DUMMYFUNCTION("""COMPUTED_VALUE"""),"12. Barrios Unidos")</f>
        <v>12. Barrios Unidos</v>
      </c>
      <c r="H1685" s="55">
        <f ca="1">IFERROR(__xludf.DUMMYFUNCTION("""COMPUTED_VALUE"""),45077)</f>
        <v>45077</v>
      </c>
      <c r="I1685" s="25" t="str">
        <f ca="1">IFERROR(__xludf.DUMMYFUNCTION("""COMPUTED_VALUE"""),"Delivery Unit")</f>
        <v>Delivery Unit</v>
      </c>
      <c r="J1685" s="55" t="str">
        <f ca="1">IFERROR(__xludf.DUMMYFUNCTION("""COMPUTED_VALUE"""),"Baja")</f>
        <v>Baja</v>
      </c>
      <c r="K1685" s="25">
        <f ca="1">IFERROR(__xludf.DUMMYFUNCTION("""COMPUTED_VALUE"""),440)</f>
        <v>440</v>
      </c>
      <c r="L1685" s="62">
        <f ca="1">IFERROR(__xludf.DUMMYFUNCTION("""COMPUTED_VALUE"""),45077)</f>
        <v>45077</v>
      </c>
      <c r="M1685" s="25" t="str">
        <f ca="1">IFERROR(__xludf.DUMMYFUNCTION("""COMPUTED_VALUE"""),"El equipo de IVC -Inspección Vigilancia y Control, ha realizado 4 operativos desde 2019, dos (2) de ellos liderados por el equipo técnico del área de contaminación auditiva de la Secretaría Disrital de Ambiente -SDA. 
En los operativos se intentó reali"&amp;"zar la medición pero no arrojó resultado alguno debido al mal estado del clima, es así que la SDA, en diferentes mesas de trabajo con la Secretraría Distriral de Gobierno y la Policía Nacional se acordó que la Policía realizaría acompañamiento y el contro"&amp;"l correspondiente dada la continuidad de la queja, no obstante se han realizado dos operativos más sin encontrar eventos en contrario de ley.
En la actualidad se encuentra en curso un expediente (2020623490102881E) bajo la discrecionalidad de la Inspec"&amp;"ción de Policía 12D
")</f>
        <v xml:space="preserve">El equipo de IVC -Inspección Vigilancia y Control, ha realizado 4 operativos desde 2019, dos (2) de ellos liderados por el equipo técnico del área de contaminación auditiva de la Secretaría Disrital de Ambiente -SDA. 
En los operativos se intentó realizar la medición pero no arrojó resultado alguno debido al mal estado del clima, es así que la SDA, en diferentes mesas de trabajo con la Secretraría Distriral de Gobierno y la Policía Nacional se acordó que la Policía realizaría acompañamiento y el control correspondiente dada la continuidad de la queja, no obstante se han realizado dos operativos más sin encontrar eventos en contrario de ley.
En la actualidad se encuentra en curso un expediente (2020623490102881E) bajo la discrecionalidad de la Inspección de Policía 12D
</v>
      </c>
      <c r="N1685" s="25"/>
      <c r="O1685" s="25" t="str">
        <f t="shared" ca="1" si="0"/>
        <v>Alcaldía Local</v>
      </c>
      <c r="P1685" s="25" t="str">
        <f t="shared" ca="1" si="2"/>
        <v/>
      </c>
      <c r="Q1685" s="25" t="str">
        <f ca="1">IFERROR(__xludf.DUMMYFUNCTION("""COMPUTED_VALUE"""),"Largo plazo")</f>
        <v>Largo plazo</v>
      </c>
      <c r="R1685" s="25"/>
      <c r="S1685" s="55"/>
      <c r="T1685" s="56"/>
      <c r="U1685" s="25"/>
      <c r="V1685" s="25"/>
      <c r="W1685" s="25"/>
      <c r="X1685" s="25"/>
      <c r="Y1685" s="25"/>
      <c r="Z1685" s="25"/>
    </row>
    <row r="1686" spans="1:26" ht="52.5" customHeight="1" x14ac:dyDescent="0.25">
      <c r="A1686" s="25" t="str">
        <f ca="1">IFERROR(__xludf.DUMMYFUNCTION("""COMPUTED_VALUE"""),"Gobie184")</f>
        <v>Gobie184</v>
      </c>
      <c r="B1686" s="25" t="str">
        <f ca="1">IFERROR(__xludf.DUMMYFUNCTION("""COMPUTED_VALUE"""),"Consejo Local de Gobierno de Barrios Unidos")</f>
        <v>Consejo Local de Gobierno de Barrios Unidos</v>
      </c>
      <c r="C1686" s="55">
        <f ca="1">IFERROR(__xludf.DUMMYFUNCTION("""COMPUTED_VALUE"""),44637)</f>
        <v>44637</v>
      </c>
      <c r="D1686" s="25" t="str">
        <f ca="1">IFERROR(__xludf.DUMMYFUNCTION("""COMPUTED_VALUE"""),"Gobierno")</f>
        <v>Gobierno</v>
      </c>
      <c r="E1686" s="25" t="str">
        <f ca="1">IFERROR(__xludf.DUMMYFUNCTION("""COMPUTED_VALUE"""),"Alcaldía Local")</f>
        <v>Alcaldía Local</v>
      </c>
      <c r="F1686" s="25" t="str">
        <f ca="1">IFERROR(__xludf.DUMMYFUNCTION("""COMPUTED_VALUE"""),"Arreglar cancha de tenis del parque J Vargas, presenta deterioro en el piso")</f>
        <v>Arreglar cancha de tenis del parque J Vargas, presenta deterioro en el piso</v>
      </c>
      <c r="G1686" s="25" t="str">
        <f ca="1">IFERROR(__xludf.DUMMYFUNCTION("""COMPUTED_VALUE"""),"12. Barrios Unidos")</f>
        <v>12. Barrios Unidos</v>
      </c>
      <c r="H1686" s="55">
        <f ca="1">IFERROR(__xludf.DUMMYFUNCTION("""COMPUTED_VALUE"""),45107)</f>
        <v>45107</v>
      </c>
      <c r="I1686" s="25" t="str">
        <f ca="1">IFERROR(__xludf.DUMMYFUNCTION("""COMPUTED_VALUE"""),"Delivery Unit")</f>
        <v>Delivery Unit</v>
      </c>
      <c r="J1686" s="55" t="str">
        <f ca="1">IFERROR(__xludf.DUMMYFUNCTION("""COMPUTED_VALUE"""),"Baja")</f>
        <v>Baja</v>
      </c>
      <c r="K1686" s="25">
        <f ca="1">IFERROR(__xludf.DUMMYFUNCTION("""COMPUTED_VALUE"""),470)</f>
        <v>470</v>
      </c>
      <c r="L1686" s="62">
        <f ca="1">IFERROR(__xludf.DUMMYFUNCTION("""COMPUTED_VALUE"""),45077)</f>
        <v>45077</v>
      </c>
      <c r="M1686" s="25" t="str">
        <f ca="1">IFERROR(__xludf.DUMMYFUNCTION("""COMPUTED_VALUE"""),"Se hizo la investigación del parque sobre quien tiene recursos, IDRD dijo que no y la Alcaldía Local ya hizo intervención bajo el proyecto local 264 con recursos 2020, motivo por el cual no se contempló intervenciones en el mismo parque para la vigencia 2"&amp;"023. ")</f>
        <v xml:space="preserve">Se hizo la investigación del parque sobre quien tiene recursos, IDRD dijo que no y la Alcaldía Local ya hizo intervención bajo el proyecto local 264 con recursos 2020, motivo por el cual no se contempló intervenciones en el mismo parque para la vigencia 2023. </v>
      </c>
      <c r="N1686" s="25"/>
      <c r="O1686" s="25" t="str">
        <f t="shared" ca="1" si="0"/>
        <v>Alcaldía Local</v>
      </c>
      <c r="P1686" s="25" t="str">
        <f t="shared" ca="1" si="2"/>
        <v/>
      </c>
      <c r="Q1686" s="25" t="str">
        <f ca="1">IFERROR(__xludf.DUMMYFUNCTION("""COMPUTED_VALUE"""),"Largo plazo")</f>
        <v>Largo plazo</v>
      </c>
      <c r="R1686" s="25"/>
      <c r="S1686" s="55"/>
      <c r="T1686" s="56"/>
      <c r="U1686" s="25"/>
      <c r="V1686" s="25"/>
      <c r="W1686" s="25"/>
      <c r="X1686" s="25"/>
      <c r="Y1686" s="25"/>
      <c r="Z1686" s="25"/>
    </row>
    <row r="1687" spans="1:26" ht="52.5" customHeight="1" x14ac:dyDescent="0.25">
      <c r="A1687" s="25" t="str">
        <f ca="1">IFERROR(__xludf.DUMMYFUNCTION("""COMPUTED_VALUE"""),"Gobie185")</f>
        <v>Gobie185</v>
      </c>
      <c r="B1687" s="25" t="str">
        <f ca="1">IFERROR(__xludf.DUMMYFUNCTION("""COMPUTED_VALUE"""),"Consejo Local de Gobierno de Barrios Unidos")</f>
        <v>Consejo Local de Gobierno de Barrios Unidos</v>
      </c>
      <c r="C1687" s="55">
        <f ca="1">IFERROR(__xludf.DUMMYFUNCTION("""COMPUTED_VALUE"""),44637)</f>
        <v>44637</v>
      </c>
      <c r="D1687" s="25" t="str">
        <f ca="1">IFERROR(__xludf.DUMMYFUNCTION("""COMPUTED_VALUE"""),"Gobierno")</f>
        <v>Gobierno</v>
      </c>
      <c r="E1687" s="25" t="str">
        <f ca="1">IFERROR(__xludf.DUMMYFUNCTION("""COMPUTED_VALUE"""),"Secretaría Distrital de Gobierno")</f>
        <v>Secretaría Distrital de Gobierno</v>
      </c>
      <c r="F1687" s="25" t="str">
        <f ca="1">IFERROR(__xludf.DUMMYFUNCTION("""COMPUTED_VALUE"""),"Revisar el tema de las amenazas recibidas por el ciudadano Luis Clemente por la defensa del uso del suelo terrenos de José Joaquín Vargas")</f>
        <v>Revisar el tema de las amenazas recibidas por el ciudadano Luis Clemente por la defensa del uso del suelo terrenos de José Joaquín Vargas</v>
      </c>
      <c r="G1687" s="25" t="str">
        <f ca="1">IFERROR(__xludf.DUMMYFUNCTION("""COMPUTED_VALUE"""),"12. Barrios Unidos")</f>
        <v>12. Barrios Unidos</v>
      </c>
      <c r="H1687" s="55">
        <f ca="1">IFERROR(__xludf.DUMMYFUNCTION("""COMPUTED_VALUE"""),44669)</f>
        <v>44669</v>
      </c>
      <c r="I1687" s="25"/>
      <c r="J1687" s="55" t="str">
        <f ca="1">IFERROR(__xludf.DUMMYFUNCTION("""COMPUTED_VALUE"""),"Alta")</f>
        <v>Alta</v>
      </c>
      <c r="K1687" s="25">
        <f ca="1">IFERROR(__xludf.DUMMYFUNCTION("""COMPUTED_VALUE"""),32)</f>
        <v>32</v>
      </c>
      <c r="L1687" s="62">
        <f ca="1">IFERROR(__xludf.DUMMYFUNCTION("""COMPUTED_VALUE"""),44669)</f>
        <v>44669</v>
      </c>
      <c r="M1687" s="25" t="str">
        <f ca="1">IFERROR(__xludf.DUMMYFUNCTION("""COMPUTED_VALUE"""),"Se dio ingreso a ruta, se articuló con Fiscalía, Policía y UNP, se enviaron respectivos oficios el día 1 de abril (radicados 20223103119771, 20223103119781, 20223103119751)")</f>
        <v>Se dio ingreso a ruta, se articuló con Fiscalía, Policía y UNP, se enviaron respectivos oficios el día 1 de abril (radicados 20223103119771, 20223103119781, 20223103119751)</v>
      </c>
      <c r="N1687" s="55">
        <f ca="1">IFERROR(__xludf.DUMMYFUNCTION("""COMPUTED_VALUE"""),44926)</f>
        <v>44926</v>
      </c>
      <c r="O1687" s="25" t="str">
        <f t="shared" ca="1" si="0"/>
        <v>Secretaría Distrital de Gobierno</v>
      </c>
      <c r="P1687" s="25" t="str">
        <f t="shared" si="2"/>
        <v/>
      </c>
      <c r="Q1687" s="25" t="str">
        <f ca="1">IFERROR(__xludf.DUMMYFUNCTION("""COMPUTED_VALUE"""),"Corto plazo")</f>
        <v>Corto plazo</v>
      </c>
      <c r="R1687" s="25"/>
      <c r="S1687" s="55"/>
      <c r="T1687" s="56"/>
      <c r="U1687" s="25"/>
      <c r="V1687" s="25"/>
      <c r="W1687" s="25"/>
      <c r="X1687" s="25"/>
      <c r="Y1687" s="25"/>
      <c r="Z1687" s="25"/>
    </row>
    <row r="1688" spans="1:26" ht="52.5" customHeight="1" x14ac:dyDescent="0.25">
      <c r="A1688" s="25" t="str">
        <f ca="1">IFERROR(__xludf.DUMMYFUNCTION("""COMPUTED_VALUE"""),"Gobie186")</f>
        <v>Gobie186</v>
      </c>
      <c r="B1688" s="25" t="str">
        <f ca="1">IFERROR(__xludf.DUMMYFUNCTION("""COMPUTED_VALUE"""),"Consejo Local de Gobierno de Barrios Unidos")</f>
        <v>Consejo Local de Gobierno de Barrios Unidos</v>
      </c>
      <c r="C1688" s="55">
        <f ca="1">IFERROR(__xludf.DUMMYFUNCTION("""COMPUTED_VALUE"""),44637)</f>
        <v>44637</v>
      </c>
      <c r="D1688" s="25" t="str">
        <f ca="1">IFERROR(__xludf.DUMMYFUNCTION("""COMPUTED_VALUE"""),"Gobierno")</f>
        <v>Gobierno</v>
      </c>
      <c r="E1688" s="25" t="str">
        <f ca="1">IFERROR(__xludf.DUMMYFUNCTION("""COMPUTED_VALUE"""),"Departamento Administrativo de la Defensoría del Espacio Público")</f>
        <v>Departamento Administrativo de la Defensoría del Espacio Público</v>
      </c>
      <c r="F1688" s="25" t="str">
        <f ca="1">IFERROR(__xludf.DUMMYFUNCTION("""COMPUTED_VALUE"""),"Revisar que se haga un pronunciamiento frente al uso del suelo de los terrenos de José Joaquín Vargas que pasaron de ser de uso dotacional a renovación urbana")</f>
        <v>Revisar que se haga un pronunciamiento frente al uso del suelo de los terrenos de José Joaquín Vargas que pasaron de ser de uso dotacional a renovación urbana</v>
      </c>
      <c r="G1688" s="25" t="str">
        <f ca="1">IFERROR(__xludf.DUMMYFUNCTION("""COMPUTED_VALUE"""),"12. Barrios Unidos")</f>
        <v>12. Barrios Unidos</v>
      </c>
      <c r="H1688" s="55">
        <f ca="1">IFERROR(__xludf.DUMMYFUNCTION("""COMPUTED_VALUE"""),44705)</f>
        <v>44705</v>
      </c>
      <c r="I1688" s="25"/>
      <c r="J1688" s="55" t="str">
        <f ca="1">IFERROR(__xludf.DUMMYFUNCTION("""COMPUTED_VALUE"""),"Media")</f>
        <v>Media</v>
      </c>
      <c r="K1688" s="25">
        <f ca="1">IFERROR(__xludf.DUMMYFUNCTION("""COMPUTED_VALUE"""),68)</f>
        <v>68</v>
      </c>
      <c r="L1688" s="62">
        <f ca="1">IFERROR(__xludf.DUMMYFUNCTION("""COMPUTED_VALUE"""),44705)</f>
        <v>44705</v>
      </c>
      <c r="M1688" s="25" t="str">
        <f ca="1">IFERROR(__xludf.DUMMYFUNCTION("""COMPUTED_VALUE"""),"(El DADEP) efectuó la verificación del estado de este predio junto con sus antecedentes y concluyo que este predio registrado con folio de Matricula Inmobiliaria 50C-6264 en el sistema de información VUR2 de la Superintendencia de Notariado y Registro es "&amp;"propiedad de la Beneficiencia de Cundinamarca; De otro lado, se consultó el Folio de Matricula Inmobiliaria 50C-1938612, determinando como propietario del predio la Promotora Equilátero SAS. Ahora bien, del Folio de matrícula inmobiliaria 50C-1938612, se "&amp;"derivan las matrículas inmobiliarias 50C-2048920 y 50C-2048921, las cuales corresponden a dos lotes que componen la Urbanización Aldea - Salitre Living los cuales estan siendo desarrollados por constructora Bolivar ; no obstante, a la fecha no ha realizad"&amp;"o la entrega material, ni la escrituración de las zonas de cesión de uso público generadas al interior del mencionado urbanismo ante el DADEP. Por esta razón el este Departamento se envió solicitud a Contructora Bolivar para que efectue el respectivo sane"&amp;"amiento de estos requerimientos.
 SDP: Se le informó a la persona que este predio mediante un PRM tuvo una desagregación del dotacional dejando el área restante en tratamiento de desarrollo y obtuvo una licencia (para otros usos), la cual está vigente. En"&amp;" el Decreto 555 / 2022 el tratamiento quedó como consolidación, con la posibilidad de mezcla de usos (Renovación Urbana) siempre y cuando se renuncie a la licencia vigente.")</f>
        <v>(El DADEP) efectuó la verificación del estado de este predio junto con sus antecedentes y concluyo que este predio registrado con folio de Matricula Inmobiliaria 50C-6264 en el sistema de información VUR2 de la Superintendencia de Notariado y Registro es propiedad de la Beneficiencia de Cundinamarca; De otro lado, se consultó el Folio de Matricula Inmobiliaria 50C-1938612, determinando como propietario del predio la Promotora Equilátero SAS. Ahora bien, del Folio de matrícula inmobiliaria 50C-1938612, se derivan las matrículas inmobiliarias 50C-2048920 y 50C-2048921, las cuales corresponden a dos lotes que componen la Urbanización Aldea - Salitre Living los cuales estan siendo desarrollados por constructora Bolivar ; no obstante, a la fecha no ha realizado la entrega material, ni la escrituración de las zonas de cesión de uso público generadas al interior del mencionado urbanismo ante el DADEP. Por esta razón el este Departamento se envió solicitud a Contructora Bolivar para que efectue el respectivo saneamiento de estos requerimientos.
 SDP: Se le informó a la persona que este predio mediante un PRM tuvo una desagregación del dotacional dejando el área restante en tratamiento de desarrollo y obtuvo una licencia (para otros usos), la cual está vigente. En el Decreto 555 / 2022 el tratamiento quedó como consolidación, con la posibilidad de mezcla de usos (Renovación Urbana) siempre y cuando se renuncie a la licencia vigente.</v>
      </c>
      <c r="N1688" s="55">
        <f ca="1">IFERROR(__xludf.DUMMYFUNCTION("""COMPUTED_VALUE"""),44926)</f>
        <v>44926</v>
      </c>
      <c r="O1688" s="25" t="str">
        <f t="shared" ca="1" si="0"/>
        <v>Departamento Administrativo de la Defensoría del Espacio Público</v>
      </c>
      <c r="P1688" s="25" t="str">
        <f t="shared" si="2"/>
        <v/>
      </c>
      <c r="Q1688" s="25" t="str">
        <f ca="1">IFERROR(__xludf.DUMMYFUNCTION("""COMPUTED_VALUE"""),"Mediano plazo")</f>
        <v>Mediano plazo</v>
      </c>
      <c r="R1688" s="25"/>
      <c r="S1688" s="55"/>
      <c r="T1688" s="56"/>
      <c r="U1688" s="25"/>
      <c r="V1688" s="25"/>
      <c r="W1688" s="25"/>
      <c r="X1688" s="25"/>
      <c r="Y1688" s="25"/>
      <c r="Z1688" s="25"/>
    </row>
    <row r="1689" spans="1:26" ht="52.5" customHeight="1" x14ac:dyDescent="0.25">
      <c r="A1689" s="25" t="str">
        <f ca="1">IFERROR(__xludf.DUMMYFUNCTION("""COMPUTED_VALUE"""),"Gobie187")</f>
        <v>Gobie187</v>
      </c>
      <c r="B1689" s="25" t="str">
        <f ca="1">IFERROR(__xludf.DUMMYFUNCTION("""COMPUTED_VALUE"""),"Consejo Local de Gobierno de Barrios Unidos")</f>
        <v>Consejo Local de Gobierno de Barrios Unidos</v>
      </c>
      <c r="C1689" s="55">
        <f ca="1">IFERROR(__xludf.DUMMYFUNCTION("""COMPUTED_VALUE"""),44637)</f>
        <v>44637</v>
      </c>
      <c r="D1689" s="25" t="str">
        <f ca="1">IFERROR(__xludf.DUMMYFUNCTION("""COMPUTED_VALUE"""),"Gobierno")</f>
        <v>Gobierno</v>
      </c>
      <c r="E1689" s="25" t="str">
        <f ca="1">IFERROR(__xludf.DUMMYFUNCTION("""COMPUTED_VALUE"""),"Departamento Administrativo de la Defensoría del Espacio Público")</f>
        <v>Departamento Administrativo de la Defensoría del Espacio Público</v>
      </c>
      <c r="F1689" s="25" t="str">
        <f ca="1">IFERROR(__xludf.DUMMYFUNCTION("""COMPUTED_VALUE"""),"Revisar si el Distrito puede comprar el predio ubicado en el Barrio Jose Joaquín Vargas denominado La Placita, propiedad de la Gobernación de Cundinamarca")</f>
        <v>Revisar si el Distrito puede comprar el predio ubicado en el Barrio Jose Joaquín Vargas denominado La Placita, propiedad de la Gobernación de Cundinamarca</v>
      </c>
      <c r="G1689" s="25" t="str">
        <f ca="1">IFERROR(__xludf.DUMMYFUNCTION("""COMPUTED_VALUE"""),"12. Barrios Unidos")</f>
        <v>12. Barrios Unidos</v>
      </c>
      <c r="H1689" s="55">
        <f ca="1">IFERROR(__xludf.DUMMYFUNCTION("""COMPUTED_VALUE"""),45077)</f>
        <v>45077</v>
      </c>
      <c r="I1689" s="25" t="str">
        <f ca="1">IFERROR(__xludf.DUMMYFUNCTION("""COMPUTED_VALUE"""),"Delivery Unit")</f>
        <v>Delivery Unit</v>
      </c>
      <c r="J1689" s="55" t="str">
        <f ca="1">IFERROR(__xludf.DUMMYFUNCTION("""COMPUTED_VALUE"""),"Baja")</f>
        <v>Baja</v>
      </c>
      <c r="K1689" s="25">
        <f ca="1">IFERROR(__xludf.DUMMYFUNCTION("""COMPUTED_VALUE"""),440)</f>
        <v>440</v>
      </c>
      <c r="L1689" s="62">
        <f ca="1">IFERROR(__xludf.DUMMYFUNCTION("""COMPUTED_VALUE"""),45082)</f>
        <v>45082</v>
      </c>
      <c r="M1689" s="25" t="str">
        <f ca="1">IFERROR(__xludf.DUMMYFUNCTION("""COMPUTED_VALUE"""),"El  5 de Julio de 2022 se acordo entre la dirección del DADEP y la jefatura de Gabinete, que serian ellos quienes realizaran el acercamiento con la  Beneficiencia de Cundinamarca y liderarian este proceso. El DADEP esta en total dispocisión de brindar el "&amp;"acompañamiento en todo lo que se requiera.")</f>
        <v>El  5 de Julio de 2022 se acordo entre la dirección del DADEP y la jefatura de Gabinete, que serian ellos quienes realizaran el acercamiento con la  Beneficiencia de Cundinamarca y liderarian este proceso. El DADEP esta en total dispocisión de brindar el acompañamiento en todo lo que se requiera.</v>
      </c>
      <c r="N1689" s="25"/>
      <c r="O1689" s="25" t="str">
        <f t="shared" ca="1" si="0"/>
        <v>Departamento Administrativo de la Defensoría del Espacio Público</v>
      </c>
      <c r="P1689" s="25" t="str">
        <f t="shared" ca="1" si="2"/>
        <v/>
      </c>
      <c r="Q1689" s="25" t="str">
        <f ca="1">IFERROR(__xludf.DUMMYFUNCTION("""COMPUTED_VALUE"""),"Largo plazo")</f>
        <v>Largo plazo</v>
      </c>
      <c r="R1689" s="25"/>
      <c r="S1689" s="55"/>
      <c r="T1689" s="56"/>
      <c r="U1689" s="25"/>
      <c r="V1689" s="25"/>
      <c r="W1689" s="25"/>
      <c r="X1689" s="25"/>
      <c r="Y1689" s="25"/>
      <c r="Z1689" s="25"/>
    </row>
    <row r="1690" spans="1:26" ht="52.5" customHeight="1" x14ac:dyDescent="0.25">
      <c r="A1690" s="25" t="str">
        <f ca="1">IFERROR(__xludf.DUMMYFUNCTION("""COMPUTED_VALUE"""),"Gobie188")</f>
        <v>Gobie188</v>
      </c>
      <c r="B1690" s="25" t="str">
        <f ca="1">IFERROR(__xludf.DUMMYFUNCTION("""COMPUTED_VALUE"""),"Consejo Local de Gobierno de Usaquén")</f>
        <v>Consejo Local de Gobierno de Usaquén</v>
      </c>
      <c r="C1690" s="55">
        <f ca="1">IFERROR(__xludf.DUMMYFUNCTION("""COMPUTED_VALUE"""),44644)</f>
        <v>44644</v>
      </c>
      <c r="D1690" s="25" t="str">
        <f ca="1">IFERROR(__xludf.DUMMYFUNCTION("""COMPUTED_VALUE"""),"Gobierno")</f>
        <v>Gobierno</v>
      </c>
      <c r="E1690" s="25" t="str">
        <f ca="1">IFERROR(__xludf.DUMMYFUNCTION("""COMPUTED_VALUE"""),"Alcaldía Local")</f>
        <v>Alcaldía Local</v>
      </c>
      <c r="F1690" s="25" t="str">
        <f ca="1">IFERROR(__xludf.DUMMYFUNCTION("""COMPUTED_VALUE"""),"Lograr un espacio para el funcionamiento de la Casa de la Juventud, utilizar un espacio en la Casa de la Cultura o en la Casa de la Igualdad")</f>
        <v>Lograr un espacio para el funcionamiento de la Casa de la Juventud, utilizar un espacio en la Casa de la Cultura o en la Casa de la Igualdad</v>
      </c>
      <c r="G1690" s="25" t="str">
        <f ca="1">IFERROR(__xludf.DUMMYFUNCTION("""COMPUTED_VALUE"""),"01. Usaquén")</f>
        <v>01. Usaquén</v>
      </c>
      <c r="H1690" s="55">
        <f ca="1">IFERROR(__xludf.DUMMYFUNCTION("""COMPUTED_VALUE"""),45107)</f>
        <v>45107</v>
      </c>
      <c r="I1690" s="25" t="str">
        <f ca="1">IFERROR(__xludf.DUMMYFUNCTION("""COMPUTED_VALUE"""),"Delivery Unit")</f>
        <v>Delivery Unit</v>
      </c>
      <c r="J1690" s="55" t="str">
        <f ca="1">IFERROR(__xludf.DUMMYFUNCTION("""COMPUTED_VALUE"""),"Media")</f>
        <v>Media</v>
      </c>
      <c r="K1690" s="25">
        <f ca="1">IFERROR(__xludf.DUMMYFUNCTION("""COMPUTED_VALUE"""),463)</f>
        <v>463</v>
      </c>
      <c r="L1690" s="62">
        <f ca="1">IFERROR(__xludf.DUMMYFUNCTION("""COMPUTED_VALUE"""),45070)</f>
        <v>45070</v>
      </c>
      <c r="M1690" s="25" t="str">
        <f ca="1">IFERROR(__xludf.DUMMYFUNCTION("""COMPUTED_VALUE"""),"Desde el 6 de septiembre de 2022, se habilitó la nueva Casa de la Memoria como espacio temporal para el funcionamiento compartido de la Casa de la Juventud. La autorización de uso de los espacios se tramita diligenciando un formulario días previos a la fe"&amp;"cha de la actividad, de esta forma se asegura la organización de la agenda programada. Se solicita su cierre.")</f>
        <v>Desde el 6 de septiembre de 2022, se habilitó la nueva Casa de la Memoria como espacio temporal para el funcionamiento compartido de la Casa de la Juventud. La autorización de uso de los espacios se tramita diligenciando un formulario días previos a la fecha de la actividad, de esta forma se asegura la organización de la agenda programada. Se solicita su cierre.</v>
      </c>
      <c r="N1690" s="55">
        <f ca="1">IFERROR(__xludf.DUMMYFUNCTION("""COMPUTED_VALUE"""),45077)</f>
        <v>45077</v>
      </c>
      <c r="O1690" s="25" t="str">
        <f t="shared" ca="1" si="0"/>
        <v>Alcaldía Local</v>
      </c>
      <c r="P1690" s="25" t="str">
        <f t="shared" ca="1" si="2"/>
        <v/>
      </c>
      <c r="Q1690" s="25" t="str">
        <f ca="1">IFERROR(__xludf.DUMMYFUNCTION("""COMPUTED_VALUE"""),"Largo plazo")</f>
        <v>Largo plazo</v>
      </c>
      <c r="R1690" s="25"/>
      <c r="S1690" s="55"/>
      <c r="T1690" s="56"/>
      <c r="U1690" s="25"/>
      <c r="V1690" s="25"/>
      <c r="W1690" s="25"/>
      <c r="X1690" s="25"/>
      <c r="Y1690" s="25"/>
      <c r="Z1690" s="25"/>
    </row>
    <row r="1691" spans="1:26" ht="52.5" customHeight="1" x14ac:dyDescent="0.25">
      <c r="A1691" s="25" t="str">
        <f ca="1">IFERROR(__xludf.DUMMYFUNCTION("""COMPUTED_VALUE"""),"Gobie189")</f>
        <v>Gobie189</v>
      </c>
      <c r="B1691" s="25" t="str">
        <f ca="1">IFERROR(__xludf.DUMMYFUNCTION("""COMPUTED_VALUE"""),"Consejo Local de Gobierno de Usaquén")</f>
        <v>Consejo Local de Gobierno de Usaquén</v>
      </c>
      <c r="C1691" s="55">
        <f ca="1">IFERROR(__xludf.DUMMYFUNCTION("""COMPUTED_VALUE"""),44644)</f>
        <v>44644</v>
      </c>
      <c r="D1691" s="25" t="str">
        <f ca="1">IFERROR(__xludf.DUMMYFUNCTION("""COMPUTED_VALUE"""),"Gobierno")</f>
        <v>Gobierno</v>
      </c>
      <c r="E1691" s="25" t="str">
        <f ca="1">IFERROR(__xludf.DUMMYFUNCTION("""COMPUTED_VALUE"""),"Instituto Distrital de la Participación y Acción Comunal")</f>
        <v>Instituto Distrital de la Participación y Acción Comunal</v>
      </c>
      <c r="F1691" s="25" t="str">
        <f ca="1">IFERROR(__xludf.DUMMYFUNCTION("""COMPUTED_VALUE"""),"Dar mayor visibilidad y participación a los medios de comunicación locales y hacer un showroom con los ordenadores del gasto de cada entidad")</f>
        <v>Dar mayor visibilidad y participación a los medios de comunicación locales y hacer un showroom con los ordenadores del gasto de cada entidad</v>
      </c>
      <c r="G1691" s="25" t="str">
        <f ca="1">IFERROR(__xludf.DUMMYFUNCTION("""COMPUTED_VALUE"""),"01. Usaquén")</f>
        <v>01. Usaquén</v>
      </c>
      <c r="H1691" s="55">
        <f ca="1">IFERROR(__xludf.DUMMYFUNCTION("""COMPUTED_VALUE"""),44774)</f>
        <v>44774</v>
      </c>
      <c r="I1691" s="25"/>
      <c r="J1691" s="55" t="str">
        <f ca="1">IFERROR(__xludf.DUMMYFUNCTION("""COMPUTED_VALUE"""),"Media")</f>
        <v>Media</v>
      </c>
      <c r="K1691" s="25">
        <f ca="1">IFERROR(__xludf.DUMMYFUNCTION("""COMPUTED_VALUE"""),130)</f>
        <v>130</v>
      </c>
      <c r="L1691" s="62">
        <f ca="1">IFERROR(__xludf.DUMMYFUNCTION("""COMPUTED_VALUE"""),44774)</f>
        <v>44774</v>
      </c>
      <c r="M1691" s="25" t="str">
        <f ca="1">IFERROR(__xludf.DUMMYFUNCTION("""COMPUTED_VALUE"""),"El 1 de agosto de 2022 el IDPAC realizó el encuentro y rueda de negocios EXPO MEDIA COMUNITARIO 2022 con el propósito de fortalecer la participación de la comunicación comunitaria en Bogotá a través de la presentación de medios alternativos y comunitarios"&amp;", y sus ofertas de servicios a la comunidad y al sector empresarial.")</f>
        <v>El 1 de agosto de 2022 el IDPAC realizó el encuentro y rueda de negocios EXPO MEDIA COMUNITARIO 2022 con el propósito de fortalecer la participación de la comunicación comunitaria en Bogotá a través de la presentación de medios alternativos y comunitarios, y sus ofertas de servicios a la comunidad y al sector empresarial.</v>
      </c>
      <c r="N1691" s="55">
        <f ca="1">IFERROR(__xludf.DUMMYFUNCTION("""COMPUTED_VALUE"""),44926)</f>
        <v>44926</v>
      </c>
      <c r="O1691" s="25" t="str">
        <f t="shared" ca="1" si="0"/>
        <v>Instituto Distrital de la Participación y Acción Comunal</v>
      </c>
      <c r="P1691" s="25" t="str">
        <f t="shared" si="2"/>
        <v/>
      </c>
      <c r="Q1691" s="25" t="str">
        <f ca="1">IFERROR(__xludf.DUMMYFUNCTION("""COMPUTED_VALUE"""),"Mediano plazo")</f>
        <v>Mediano plazo</v>
      </c>
      <c r="R1691" s="25"/>
      <c r="S1691" s="55"/>
      <c r="T1691" s="56"/>
      <c r="U1691" s="25"/>
      <c r="V1691" s="25"/>
      <c r="W1691" s="25"/>
      <c r="X1691" s="25"/>
      <c r="Y1691" s="25"/>
      <c r="Z1691" s="25"/>
    </row>
    <row r="1692" spans="1:26" ht="52.5" customHeight="1" x14ac:dyDescent="0.25">
      <c r="A1692" s="25" t="str">
        <f ca="1">IFERROR(__xludf.DUMMYFUNCTION("""COMPUTED_VALUE"""),"Gobie190")</f>
        <v>Gobie190</v>
      </c>
      <c r="B1692" s="25" t="str">
        <f ca="1">IFERROR(__xludf.DUMMYFUNCTION("""COMPUTED_VALUE"""),"Consejo Local de Gobierno de Usaquén")</f>
        <v>Consejo Local de Gobierno de Usaquén</v>
      </c>
      <c r="C1692" s="55">
        <f ca="1">IFERROR(__xludf.DUMMYFUNCTION("""COMPUTED_VALUE"""),44644)</f>
        <v>44644</v>
      </c>
      <c r="D1692" s="25" t="str">
        <f ca="1">IFERROR(__xludf.DUMMYFUNCTION("""COMPUTED_VALUE"""),"Gobierno")</f>
        <v>Gobierno</v>
      </c>
      <c r="E1692" s="25" t="str">
        <f ca="1">IFERROR(__xludf.DUMMYFUNCTION("""COMPUTED_VALUE"""),"Alcaldía Local")</f>
        <v>Alcaldía Local</v>
      </c>
      <c r="F1692" s="25" t="str">
        <f ca="1">IFERROR(__xludf.DUMMYFUNCTION("""COMPUTED_VALUE"""),"Desde la Alcaldía Local atender a los vendedores informales y llevar a cabo los pactos de reubicación")</f>
        <v>Desde la Alcaldía Local atender a los vendedores informales y llevar a cabo los pactos de reubicación</v>
      </c>
      <c r="G1692" s="25" t="str">
        <f ca="1">IFERROR(__xludf.DUMMYFUNCTION("""COMPUTED_VALUE"""),"01. Usaquén")</f>
        <v>01. Usaquén</v>
      </c>
      <c r="H1692" s="55">
        <f ca="1">IFERROR(__xludf.DUMMYFUNCTION("""COMPUTED_VALUE"""),44683)</f>
        <v>44683</v>
      </c>
      <c r="I1692" s="25"/>
      <c r="J1692" s="55" t="str">
        <f ca="1">IFERROR(__xludf.DUMMYFUNCTION("""COMPUTED_VALUE"""),"Alta")</f>
        <v>Alta</v>
      </c>
      <c r="K1692" s="25">
        <f ca="1">IFERROR(__xludf.DUMMYFUNCTION("""COMPUTED_VALUE"""),39)</f>
        <v>39</v>
      </c>
      <c r="L1692" s="62">
        <f ca="1">IFERROR(__xludf.DUMMYFUNCTION("""COMPUTED_VALUE"""),44683)</f>
        <v>44683</v>
      </c>
      <c r="M1692" s="25" t="str">
        <f ca="1">IFERROR(__xludf.DUMMYFUNCTION("""COMPUTED_VALUE"""),"A la fecha, se encuentran en proceso de suscripción dos acuerdos de reubicación de vendedores informales: el acuerdo de la Calle 116b entre carreras sexta y séptima. Proyectado para firma el 20 de abril con 104 beneficiarios y el acuerdo de Unicentro Comp"&amp;"rendido entre las calles 122 a la 127 entre carreras 15 hasta la 19 proyectado para suscripción en el mes de mayo, el cual cuenta con 98 beneficiarios.")</f>
        <v>A la fecha, se encuentran en proceso de suscripción dos acuerdos de reubicación de vendedores informales: el acuerdo de la Calle 116b entre carreras sexta y séptima. Proyectado para firma el 20 de abril con 104 beneficiarios y el acuerdo de Unicentro Comprendido entre las calles 122 a la 127 entre carreras 15 hasta la 19 proyectado para suscripción en el mes de mayo, el cual cuenta con 98 beneficiarios.</v>
      </c>
      <c r="N1692" s="55">
        <f ca="1">IFERROR(__xludf.DUMMYFUNCTION("""COMPUTED_VALUE"""),44926)</f>
        <v>44926</v>
      </c>
      <c r="O1692" s="25" t="str">
        <f t="shared" ca="1" si="0"/>
        <v>Alcaldía Local</v>
      </c>
      <c r="P1692" s="25" t="str">
        <f t="shared" si="2"/>
        <v/>
      </c>
      <c r="Q1692" s="25" t="str">
        <f ca="1">IFERROR(__xludf.DUMMYFUNCTION("""COMPUTED_VALUE"""),"Corto plazo")</f>
        <v>Corto plazo</v>
      </c>
      <c r="R1692" s="25"/>
      <c r="S1692" s="55"/>
      <c r="T1692" s="56"/>
      <c r="U1692" s="25"/>
      <c r="V1692" s="25"/>
      <c r="W1692" s="25"/>
      <c r="X1692" s="25"/>
      <c r="Y1692" s="25"/>
      <c r="Z1692" s="25"/>
    </row>
    <row r="1693" spans="1:26" ht="52.5" customHeight="1" x14ac:dyDescent="0.25">
      <c r="A1693" s="25" t="str">
        <f ca="1">IFERROR(__xludf.DUMMYFUNCTION("""COMPUTED_VALUE"""),"Gobie191")</f>
        <v>Gobie191</v>
      </c>
      <c r="B1693" s="25" t="str">
        <f ca="1">IFERROR(__xludf.DUMMYFUNCTION("""COMPUTED_VALUE"""),"Consejo Local de Gobierno de Usaquén")</f>
        <v>Consejo Local de Gobierno de Usaquén</v>
      </c>
      <c r="C1693" s="55">
        <f ca="1">IFERROR(__xludf.DUMMYFUNCTION("""COMPUTED_VALUE"""),44644)</f>
        <v>44644</v>
      </c>
      <c r="D1693" s="25" t="str">
        <f ca="1">IFERROR(__xludf.DUMMYFUNCTION("""COMPUTED_VALUE"""),"Gobierno")</f>
        <v>Gobierno</v>
      </c>
      <c r="E1693" s="25" t="str">
        <f ca="1">IFERROR(__xludf.DUMMYFUNCTION("""COMPUTED_VALUE"""),"Alcaldía Local")</f>
        <v>Alcaldía Local</v>
      </c>
      <c r="F1693" s="25" t="str">
        <f ca="1">IFERROR(__xludf.DUMMYFUNCTION("""COMPUTED_VALUE"""),"Revisar la posibilidad de incluir en el presupuesto del año 2023 la intervención de los ejes de las calles 164 y 166 (instalación de andenes y arborización en el espacio) y organizar el espacio público de la zona de Toberín, debido a invación de vendedore"&amp;"s ambulantes")</f>
        <v>Revisar la posibilidad de incluir en el presupuesto del año 2023 la intervención de los ejes de las calles 164 y 166 (instalación de andenes y arborización en el espacio) y organizar el espacio público de la zona de Toberín, debido a invación de vendedores ambulantes</v>
      </c>
      <c r="G1693" s="25" t="str">
        <f ca="1">IFERROR(__xludf.DUMMYFUNCTION("""COMPUTED_VALUE"""),"01. Usaquén")</f>
        <v>01. Usaquén</v>
      </c>
      <c r="H1693" s="55">
        <f ca="1">IFERROR(__xludf.DUMMYFUNCTION("""COMPUTED_VALUE"""),44658)</f>
        <v>44658</v>
      </c>
      <c r="I1693" s="25"/>
      <c r="J1693" s="55" t="str">
        <f ca="1">IFERROR(__xludf.DUMMYFUNCTION("""COMPUTED_VALUE"""),"Alta")</f>
        <v>Alta</v>
      </c>
      <c r="K1693" s="25">
        <f ca="1">IFERROR(__xludf.DUMMYFUNCTION("""COMPUTED_VALUE"""),14)</f>
        <v>14</v>
      </c>
      <c r="L1693" s="62">
        <f ca="1">IFERROR(__xludf.DUMMYFUNCTION("""COMPUTED_VALUE"""),44658)</f>
        <v>44658</v>
      </c>
      <c r="M1693" s="25" t="str">
        <f ca="1">IFERROR(__xludf.DUMMYFUNCTION("""COMPUTED_VALUE"""),"Se agregaron los ejes solicitados a los puntos priorizados para intervención, la cual quedó programada para mayo del 2023.")</f>
        <v>Se agregaron los ejes solicitados a los puntos priorizados para intervención, la cual quedó programada para mayo del 2023.</v>
      </c>
      <c r="N1693" s="55">
        <f ca="1">IFERROR(__xludf.DUMMYFUNCTION("""COMPUTED_VALUE"""),44926)</f>
        <v>44926</v>
      </c>
      <c r="O1693" s="25" t="str">
        <f t="shared" ca="1" si="0"/>
        <v>Alcaldía Local</v>
      </c>
      <c r="P1693" s="25" t="str">
        <f t="shared" si="2"/>
        <v/>
      </c>
      <c r="Q1693" s="25" t="str">
        <f ca="1">IFERROR(__xludf.DUMMYFUNCTION("""COMPUTED_VALUE"""),"Corto plazo")</f>
        <v>Corto plazo</v>
      </c>
      <c r="R1693" s="25"/>
      <c r="S1693" s="55"/>
      <c r="T1693" s="56"/>
      <c r="U1693" s="25"/>
      <c r="V1693" s="25"/>
      <c r="W1693" s="25"/>
      <c r="X1693" s="25"/>
      <c r="Y1693" s="25"/>
      <c r="Z1693" s="25"/>
    </row>
    <row r="1694" spans="1:26" ht="52.5" customHeight="1" x14ac:dyDescent="0.25">
      <c r="A1694" s="25" t="str">
        <f ca="1">IFERROR(__xludf.DUMMYFUNCTION("""COMPUTED_VALUE"""),"Gobie192")</f>
        <v>Gobie192</v>
      </c>
      <c r="B1694" s="25" t="str">
        <f ca="1">IFERROR(__xludf.DUMMYFUNCTION("""COMPUTED_VALUE"""),"Consejo Local de Gobierno de Usaquén")</f>
        <v>Consejo Local de Gobierno de Usaquén</v>
      </c>
      <c r="C1694" s="55">
        <f ca="1">IFERROR(__xludf.DUMMYFUNCTION("""COMPUTED_VALUE"""),44644)</f>
        <v>44644</v>
      </c>
      <c r="D1694" s="25" t="str">
        <f ca="1">IFERROR(__xludf.DUMMYFUNCTION("""COMPUTED_VALUE"""),"Gobierno")</f>
        <v>Gobierno</v>
      </c>
      <c r="E1694" s="25" t="str">
        <f ca="1">IFERROR(__xludf.DUMMYFUNCTION("""COMPUTED_VALUE"""),"Alcaldía Local")</f>
        <v>Alcaldía Local</v>
      </c>
      <c r="F1694" s="25" t="str">
        <f ca="1">IFERROR(__xludf.DUMMYFUNCTION("""COMPUTED_VALUE"""),"Encontrar el espacio y dotarlo para la adecuación del Centro Memoria")</f>
        <v>Encontrar el espacio y dotarlo para la adecuación del Centro Memoria</v>
      </c>
      <c r="G1694" s="25" t="str">
        <f ca="1">IFERROR(__xludf.DUMMYFUNCTION("""COMPUTED_VALUE"""),"01. Usaquén")</f>
        <v>01. Usaquén</v>
      </c>
      <c r="H1694" s="55">
        <f ca="1">IFERROR(__xludf.DUMMYFUNCTION("""COMPUTED_VALUE"""),45199)</f>
        <v>45199</v>
      </c>
      <c r="I1694" s="25" t="str">
        <f ca="1">IFERROR(__xludf.DUMMYFUNCTION("""COMPUTED_VALUE"""),"Delivery Unit")</f>
        <v>Delivery Unit</v>
      </c>
      <c r="J1694" s="55" t="str">
        <f ca="1">IFERROR(__xludf.DUMMYFUNCTION("""COMPUTED_VALUE"""),"Media")</f>
        <v>Media</v>
      </c>
      <c r="K1694" s="25">
        <f ca="1">IFERROR(__xludf.DUMMYFUNCTION("""COMPUTED_VALUE"""),555)</f>
        <v>555</v>
      </c>
      <c r="L1694" s="62">
        <f ca="1">IFERROR(__xludf.DUMMYFUNCTION("""COMPUTED_VALUE"""),45070)</f>
        <v>45070</v>
      </c>
      <c r="M1694" s="25" t="str">
        <f ca="1">IFERROR(__xludf.DUMMYFUNCTION("""COMPUTED_VALUE"""),"Alcaldía Local tomó en arriendo un predio ubicado en la calle 161ª# 7f-69, para la puesta en funcionamiento de la Casa de la Memoria. Esta fue inaugurada formalmente el 7 de septiembre de 2022. La casa se encuentra en administración de la Mesa de Víctimas"&amp;" del 9-11 y la Alcaldía Local. Se solicita el cierre del compromiso")</f>
        <v>Alcaldía Local tomó en arriendo un predio ubicado en la calle 161ª# 7f-69, para la puesta en funcionamiento de la Casa de la Memoria. Esta fue inaugurada formalmente el 7 de septiembre de 2022. La casa se encuentra en administración de la Mesa de Víctimas del 9-11 y la Alcaldía Local. Se solicita el cierre del compromiso</v>
      </c>
      <c r="N1694" s="55">
        <f ca="1">IFERROR(__xludf.DUMMYFUNCTION("""COMPUTED_VALUE"""),45077)</f>
        <v>45077</v>
      </c>
      <c r="O1694" s="25" t="str">
        <f t="shared" ca="1" si="0"/>
        <v>Alcaldía Local</v>
      </c>
      <c r="P1694" s="25" t="str">
        <f t="shared" ca="1" si="2"/>
        <v/>
      </c>
      <c r="Q1694" s="25" t="str">
        <f ca="1">IFERROR(__xludf.DUMMYFUNCTION("""COMPUTED_VALUE"""),"Largo plazo")</f>
        <v>Largo plazo</v>
      </c>
      <c r="R1694" s="25"/>
      <c r="S1694" s="55"/>
      <c r="T1694" s="56"/>
      <c r="U1694" s="25"/>
      <c r="V1694" s="25"/>
      <c r="W1694" s="25"/>
      <c r="X1694" s="25"/>
      <c r="Y1694" s="25"/>
      <c r="Z1694" s="25"/>
    </row>
    <row r="1695" spans="1:26" ht="52.5" customHeight="1" x14ac:dyDescent="0.25">
      <c r="A1695" s="25" t="str">
        <f ca="1">IFERROR(__xludf.DUMMYFUNCTION("""COMPUTED_VALUE"""),"Gobie193")</f>
        <v>Gobie193</v>
      </c>
      <c r="B1695" s="25" t="str">
        <f ca="1">IFERROR(__xludf.DUMMYFUNCTION("""COMPUTED_VALUE"""),"Consejo Local de Gobierno de Puente Aranda")</f>
        <v>Consejo Local de Gobierno de Puente Aranda</v>
      </c>
      <c r="C1695" s="55">
        <f ca="1">IFERROR(__xludf.DUMMYFUNCTION("""COMPUTED_VALUE"""),44672)</f>
        <v>44672</v>
      </c>
      <c r="D1695" s="25" t="str">
        <f ca="1">IFERROR(__xludf.DUMMYFUNCTION("""COMPUTED_VALUE"""),"Gobierno")</f>
        <v>Gobierno</v>
      </c>
      <c r="E1695" s="25" t="str">
        <f ca="1">IFERROR(__xludf.DUMMYFUNCTION("""COMPUTED_VALUE"""),"Alcaldía Local")</f>
        <v>Alcaldía Local</v>
      </c>
      <c r="F1695" s="25" t="str">
        <f ca="1">IFERROR(__xludf.DUMMYFUNCTION("""COMPUTED_VALUE"""),"Revisar la posibilidad de destinar más recursos para el mantenimiento de los parques de la localidad")</f>
        <v>Revisar la posibilidad de destinar más recursos para el mantenimiento de los parques de la localidad</v>
      </c>
      <c r="G1695" s="25" t="str">
        <f ca="1">IFERROR(__xludf.DUMMYFUNCTION("""COMPUTED_VALUE"""),"16. Puente Aranda")</f>
        <v>16. Puente Aranda</v>
      </c>
      <c r="H1695" s="25"/>
      <c r="I1695" s="25"/>
      <c r="J1695" s="55"/>
      <c r="K1695" s="25" t="str">
        <f ca="1">IFERROR(__xludf.DUMMYFUNCTION("""COMPUTED_VALUE"""),"Definir fecha")</f>
        <v>Definir fecha</v>
      </c>
      <c r="L1695" s="62">
        <f ca="1">IFERROR(__xludf.DUMMYFUNCTION("""COMPUTED_VALUE"""),44685)</f>
        <v>44685</v>
      </c>
      <c r="M1695" s="25" t="str">
        <f ca="1">IFERROR(__xludf.DUMMYFUNCTION("""COMPUTED_VALUE"""),"Teniendo claridad de las necesidades de intervenciones de construcción, mejoramiento y dotación de parques vecinales y de bolsillo de la Alcaldía Local de Puente Aranda, y que conforme a la proyección de los recursos asignados dentro del Plan de Desarroll"&amp;"o Local, se identifica que se tiene previsto la asignación de los recursos para tal fin en la vigencia 2024, por valor de 1.798 millones de pesos proyectados para 8 parques. 
 Sin embargo, solicitó ante la Dirección de Presupuesto Distrital de la Secret"&amp;"aria Distrital de Hacienda, tener en cuenta dentro de la distribución de los Excedentes Financieros, recursos para mantenimiento Parques vecinales y de bolsillo. No obstante, de la solicitud realizada incluyendo otros temas, por valor de 20.643.698.639, s"&amp;"olamente fueron asignados solamente 1.806.662.253 con destinación especifica para temas diferentes a la presente solicitud.")</f>
        <v>Teniendo claridad de las necesidades de intervenciones de construcción, mejoramiento y dotación de parques vecinales y de bolsillo de la Alcaldía Local de Puente Aranda, y que conforme a la proyección de los recursos asignados dentro del Plan de Desarrollo Local, se identifica que se tiene previsto la asignación de los recursos para tal fin en la vigencia 2024, por valor de 1.798 millones de pesos proyectados para 8 parques. 
 Sin embargo, solicitó ante la Dirección de Presupuesto Distrital de la Secretaria Distrital de Hacienda, tener en cuenta dentro de la distribución de los Excedentes Financieros, recursos para mantenimiento Parques vecinales y de bolsillo. No obstante, de la solicitud realizada incluyendo otros temas, por valor de 20.643.698.639, solamente fueron asignados solamente 1.806.662.253 con destinación especifica para temas diferentes a la presente solicitud.</v>
      </c>
      <c r="N1695" s="55">
        <f ca="1">IFERROR(__xludf.DUMMYFUNCTION("""COMPUTED_VALUE"""),44926)</f>
        <v>44926</v>
      </c>
      <c r="O1695" s="25" t="str">
        <f t="shared" ca="1" si="0"/>
        <v>Alcaldía Local</v>
      </c>
      <c r="P1695" s="25" t="str">
        <f t="shared" si="2"/>
        <v/>
      </c>
      <c r="Q1695" s="25" t="str">
        <f ca="1">IFERROR(__xludf.DUMMYFUNCTION("""COMPUTED_VALUE"""),"Sin defenir")</f>
        <v>Sin defenir</v>
      </c>
      <c r="R1695" s="25"/>
      <c r="S1695" s="55"/>
      <c r="T1695" s="56"/>
      <c r="U1695" s="25"/>
      <c r="V1695" s="25"/>
      <c r="W1695" s="25"/>
      <c r="X1695" s="25"/>
      <c r="Y1695" s="25"/>
      <c r="Z1695" s="25"/>
    </row>
    <row r="1696" spans="1:26" ht="52.5" customHeight="1" x14ac:dyDescent="0.25">
      <c r="A1696" s="25" t="str">
        <f ca="1">IFERROR(__xludf.DUMMYFUNCTION("""COMPUTED_VALUE"""),"Gobie194")</f>
        <v>Gobie194</v>
      </c>
      <c r="B1696" s="25" t="str">
        <f ca="1">IFERROR(__xludf.DUMMYFUNCTION("""COMPUTED_VALUE"""),"Consejo Local de Gobierno de Puente Aranda")</f>
        <v>Consejo Local de Gobierno de Puente Aranda</v>
      </c>
      <c r="C1696" s="55">
        <f ca="1">IFERROR(__xludf.DUMMYFUNCTION("""COMPUTED_VALUE"""),44672)</f>
        <v>44672</v>
      </c>
      <c r="D1696" s="25" t="str">
        <f ca="1">IFERROR(__xludf.DUMMYFUNCTION("""COMPUTED_VALUE"""),"Gobierno")</f>
        <v>Gobierno</v>
      </c>
      <c r="E1696" s="25" t="str">
        <f ca="1">IFERROR(__xludf.DUMMYFUNCTION("""COMPUTED_VALUE"""),"Alcaldía Local")</f>
        <v>Alcaldía Local</v>
      </c>
      <c r="F1696" s="25" t="str">
        <f ca="1">IFERROR(__xludf.DUMMYFUNCTION("""COMPUTED_VALUE"""),"Revisar la posibilidad de destinar recursos para la construcción de salones comunales de Santa Matilde y Corkidi, que ya cuentan con licencias de construcción")</f>
        <v>Revisar la posibilidad de destinar recursos para la construcción de salones comunales de Santa Matilde y Corkidi, que ya cuentan con licencias de construcción</v>
      </c>
      <c r="G1696" s="25" t="str">
        <f ca="1">IFERROR(__xludf.DUMMYFUNCTION("""COMPUTED_VALUE"""),"16. Puente Aranda")</f>
        <v>16. Puente Aranda</v>
      </c>
      <c r="H1696" s="25"/>
      <c r="I1696" s="25"/>
      <c r="J1696" s="55"/>
      <c r="K1696" s="25" t="str">
        <f ca="1">IFERROR(__xludf.DUMMYFUNCTION("""COMPUTED_VALUE"""),"Definir fecha")</f>
        <v>Definir fecha</v>
      </c>
      <c r="L1696" s="62">
        <f ca="1">IFERROR(__xludf.DUMMYFUNCTION("""COMPUTED_VALUE"""),44685)</f>
        <v>44685</v>
      </c>
      <c r="M1696" s="25" t="str">
        <f ca="1">IFERROR(__xludf.DUMMYFUNCTION("""COMPUTED_VALUE"""),"El Fondo de Desarrollo Local de Puente Aranda, teniendo conocimiento de las necesidades y los procesos que se desarrollan referente a los salones comunales de Santa Matilde y Corkidi, y que conforme a la proyección de los recursos asignados dentro del Pla"&amp;"n de Desarrollo Local, la asignación de los recursos para tal fin se tenía prevista en monto de 765 millones, para la vigencia 2021, proyectados para construir 2 salones comunales. 
 Sin embargo, la Alcaldía Local de Puente Aranda, mediante radicado 202"&amp;"26620126831 de fecha 22 de febrero de 2022, solicitó ante la Dirección de Presupuesto Distrital de la Secretaria Distrital de Hacienda, tener en cuenta dentro de la distribución de los Excedentes Financieros. No obstante, de la solicitud realizada incluye"&amp;"ndo otros temas, por valor de 20.643.698.639, solamente fueron asignados solamente 1.806.662.253 con destinación especifica para temas diferentes a la presente solicitud.")</f>
        <v>El Fondo de Desarrollo Local de Puente Aranda, teniendo conocimiento de las necesidades y los procesos que se desarrollan referente a los salones comunales de Santa Matilde y Corkidi, y que conforme a la proyección de los recursos asignados dentro del Plan de Desarrollo Local, la asignación de los recursos para tal fin se tenía prevista en monto de 765 millones, para la vigencia 2021, proyectados para construir 2 salones comunales. 
 Sin embargo, la Alcaldía Local de Puente Aranda, mediante radicado 20226620126831 de fecha 22 de febrero de 2022, solicitó ante la Dirección de Presupuesto Distrital de la Secretaria Distrital de Hacienda, tener en cuenta dentro de la distribución de los Excedentes Financieros. No obstante, de la solicitud realizada incluyendo otros temas, por valor de 20.643.698.639, solamente fueron asignados solamente 1.806.662.253 con destinación especifica para temas diferentes a la presente solicitud.</v>
      </c>
      <c r="N1696" s="55">
        <f ca="1">IFERROR(__xludf.DUMMYFUNCTION("""COMPUTED_VALUE"""),44926)</f>
        <v>44926</v>
      </c>
      <c r="O1696" s="25" t="str">
        <f t="shared" ca="1" si="0"/>
        <v>Alcaldía Local</v>
      </c>
      <c r="P1696" s="25" t="str">
        <f t="shared" si="2"/>
        <v/>
      </c>
      <c r="Q1696" s="25" t="str">
        <f ca="1">IFERROR(__xludf.DUMMYFUNCTION("""COMPUTED_VALUE"""),"Sin defenir")</f>
        <v>Sin defenir</v>
      </c>
      <c r="R1696" s="25"/>
      <c r="S1696" s="55"/>
      <c r="T1696" s="56"/>
      <c r="U1696" s="25"/>
      <c r="V1696" s="25"/>
      <c r="W1696" s="25"/>
      <c r="X1696" s="25"/>
      <c r="Y1696" s="25"/>
      <c r="Z1696" s="25"/>
    </row>
    <row r="1697" spans="1:26" ht="52.5" customHeight="1" x14ac:dyDescent="0.25">
      <c r="A1697" s="25" t="str">
        <f ca="1">IFERROR(__xludf.DUMMYFUNCTION("""COMPUTED_VALUE"""),"Gobie195")</f>
        <v>Gobie195</v>
      </c>
      <c r="B1697" s="25" t="str">
        <f ca="1">IFERROR(__xludf.DUMMYFUNCTION("""COMPUTED_VALUE"""),"Consejo Local de Gobierno de Puente Aranda")</f>
        <v>Consejo Local de Gobierno de Puente Aranda</v>
      </c>
      <c r="C1697" s="55">
        <f ca="1">IFERROR(__xludf.DUMMYFUNCTION("""COMPUTED_VALUE"""),44672)</f>
        <v>44672</v>
      </c>
      <c r="D1697" s="25" t="str">
        <f ca="1">IFERROR(__xludf.DUMMYFUNCTION("""COMPUTED_VALUE"""),"Gobierno")</f>
        <v>Gobierno</v>
      </c>
      <c r="E1697" s="25" t="str">
        <f ca="1">IFERROR(__xludf.DUMMYFUNCTION("""COMPUTED_VALUE"""),"Alcaldía Local")</f>
        <v>Alcaldía Local</v>
      </c>
      <c r="F1697" s="25" t="str">
        <f ca="1">IFERROR(__xludf.DUMMYFUNCTION("""COMPUTED_VALUE"""),"Presentar al comandante del CAI Luis Carlos Galán")</f>
        <v>Presentar al comandante del CAI Luis Carlos Galán</v>
      </c>
      <c r="G1697" s="25" t="str">
        <f ca="1">IFERROR(__xludf.DUMMYFUNCTION("""COMPUTED_VALUE"""),"16. Puente Aranda")</f>
        <v>16. Puente Aranda</v>
      </c>
      <c r="H1697" s="25"/>
      <c r="I1697" s="25"/>
      <c r="J1697" s="55"/>
      <c r="K1697" s="25" t="str">
        <f ca="1">IFERROR(__xludf.DUMMYFUNCTION("""COMPUTED_VALUE"""),"Definir fecha")</f>
        <v>Definir fecha</v>
      </c>
      <c r="L1697" s="62">
        <f ca="1">IFERROR(__xludf.DUMMYFUNCTION("""COMPUTED_VALUE"""),44685)</f>
        <v>44685</v>
      </c>
      <c r="M1697" s="25" t="str">
        <f ca="1">IFERROR(__xludf.DUMMYFUNCTION("""COMPUTED_VALUE"""),"Desde la alcaldía local se realizan reuniones de seguridad en los barrios solicitados por la comunidad, los ediles y la propia alcaldía, por lo general se realizan 4 reuniones por mes, en esta reunión se solicita a la estación de policía que esté presente"&amp;" el comandante de CAI que hace parte de la jurisdicción de la UPZ, adicional, se realiza los procesos de creación de frentes de seguridad organizados por la Secretaría de Seguridad y la Policía Nacional en cada una de las cuadras y barrios. En el mes de a"&amp;"bril del presente año, según estadísticas del área de seguridad y convivencia de la alcaldía local se han realizado 23 actividades entre reuniones y inauguración de frentes de seguridad.")</f>
        <v>Desde la alcaldía local se realizan reuniones de seguridad en los barrios solicitados por la comunidad, los ediles y la propia alcaldía, por lo general se realizan 4 reuniones por mes, en esta reunión se solicita a la estación de policía que esté presente el comandante de CAI que hace parte de la jurisdicción de la UPZ, adicional, se realiza los procesos de creación de frentes de seguridad organizados por la Secretaría de Seguridad y la Policía Nacional en cada una de las cuadras y barrios. En el mes de abril del presente año, según estadísticas del área de seguridad y convivencia de la alcaldía local se han realizado 23 actividades entre reuniones y inauguración de frentes de seguridad.</v>
      </c>
      <c r="N1697" s="55">
        <f ca="1">IFERROR(__xludf.DUMMYFUNCTION("""COMPUTED_VALUE"""),44926)</f>
        <v>44926</v>
      </c>
      <c r="O1697" s="25" t="str">
        <f t="shared" ca="1" si="0"/>
        <v>Alcaldía Local</v>
      </c>
      <c r="P1697" s="25" t="str">
        <f t="shared" si="2"/>
        <v/>
      </c>
      <c r="Q1697" s="25" t="str">
        <f ca="1">IFERROR(__xludf.DUMMYFUNCTION("""COMPUTED_VALUE"""),"Sin defenir")</f>
        <v>Sin defenir</v>
      </c>
      <c r="R1697" s="25"/>
      <c r="S1697" s="55"/>
      <c r="T1697" s="56"/>
      <c r="U1697" s="25"/>
      <c r="V1697" s="25"/>
      <c r="W1697" s="25"/>
      <c r="X1697" s="25"/>
      <c r="Y1697" s="25"/>
      <c r="Z1697" s="25"/>
    </row>
    <row r="1698" spans="1:26" ht="52.5" customHeight="1" x14ac:dyDescent="0.25">
      <c r="A1698" s="25" t="str">
        <f ca="1">IFERROR(__xludf.DUMMYFUNCTION("""COMPUTED_VALUE"""),"Gobie196")</f>
        <v>Gobie196</v>
      </c>
      <c r="B1698" s="25" t="str">
        <f ca="1">IFERROR(__xludf.DUMMYFUNCTION("""COMPUTED_VALUE"""),"Consejo Local de Gobierno de Puente Aranda")</f>
        <v>Consejo Local de Gobierno de Puente Aranda</v>
      </c>
      <c r="C1698" s="55">
        <f ca="1">IFERROR(__xludf.DUMMYFUNCTION("""COMPUTED_VALUE"""),44672)</f>
        <v>44672</v>
      </c>
      <c r="D1698" s="25" t="str">
        <f ca="1">IFERROR(__xludf.DUMMYFUNCTION("""COMPUTED_VALUE"""),"Gobierno")</f>
        <v>Gobierno</v>
      </c>
      <c r="E1698" s="25" t="str">
        <f ca="1">IFERROR(__xludf.DUMMYFUNCTION("""COMPUTED_VALUE"""),"Departamento Administrativo de la Defensoría del Espacio Público")</f>
        <v>Departamento Administrativo de la Defensoría del Espacio Público</v>
      </c>
      <c r="F1698" s="25" t="str">
        <f ca="1">IFERROR(__xludf.DUMMYFUNCTION("""COMPUTED_VALUE"""),"Atender la solicitud radicada en la Alcaldía Local sobre la situación que se está presentado en el Parque de bolsillo Camelia Sur ya que un privado está construyendo en él. La Inspección 16A y B le dio la posesión a la junta de acción comunal, sin embargo"&amp;", el acueducto está construyendo redes de acueducto y alcantarillado.")</f>
        <v>Atender la solicitud radicada en la Alcaldía Local sobre la situación que se está presentado en el Parque de bolsillo Camelia Sur ya que un privado está construyendo en él. La Inspección 16A y B le dio la posesión a la junta de acción comunal, sin embargo, el acueducto está construyendo redes de acueducto y alcantarillado.</v>
      </c>
      <c r="G1698" s="25" t="str">
        <f ca="1">IFERROR(__xludf.DUMMYFUNCTION("""COMPUTED_VALUE"""),"16. Puente Aranda")</f>
        <v>16. Puente Aranda</v>
      </c>
      <c r="H1698" s="25"/>
      <c r="I1698" s="25"/>
      <c r="J1698" s="55"/>
      <c r="K1698" s="25" t="str">
        <f ca="1">IFERROR(__xludf.DUMMYFUNCTION("""COMPUTED_VALUE"""),"Definir fecha")</f>
        <v>Definir fecha</v>
      </c>
      <c r="L1698" s="62">
        <f ca="1">IFERROR(__xludf.DUMMYFUNCTION("""COMPUTED_VALUE"""),44908)</f>
        <v>44908</v>
      </c>
      <c r="M1698" s="25" t="str">
        <f ca="1">IFERROR(__xludf.DUMMYFUNCTION("""COMPUTED_VALUE"""),"El 25 de julio del año en curso, se emitió concepto sobre el predio Parque camelia IV sector a un ciudadano del sector, en el cual informamos que ""De las consideraciones expuestas se determina que el área objeto de consulta no corresponde a un bien de us"&amp;"o público y no ha sido modificada la naturaleza jurídica del inmueble"". 
 Posteriormente llego otro radicado 20224000192182 del 18 de agosto de 2022, por parte de la SDP como copia a este departamento, en el cual emiten concepto de las zonas al mismo p"&amp;"eticionario ratificando las zonas aprobadas y consideradas zonas de cesión, incorporadas a hoy en nuestro sistema de informacion. 
 El 15 de septiembre de 2022 la dirección del DADEP se reunió con el señor Alirio donde se revisaron los antecedentes de la "&amp;"problemática, en el alcance de las competencias de la entidad se dio a conocer el estado urbanistico del predio y se oriento para que Secretaría Distrital de Planeación conceptuara frente a este caso. 
 Se reitera que esta tarea ya fue atendida y el estad"&amp;"o de la misma ya pasa a ser competencia de la Secretaria Distrital de Planeación.")</f>
        <v>El 25 de julio del año en curso, se emitió concepto sobre el predio Parque camelia IV sector a un ciudadano del sector, en el cual informamos que "De las consideraciones expuestas se determina que el área objeto de consulta no corresponde a un bien de uso público y no ha sido modificada la naturaleza jurídica del inmueble". 
 Posteriormente llego otro radicado 20224000192182 del 18 de agosto de 2022, por parte de la SDP como copia a este departamento, en el cual emiten concepto de las zonas al mismo peticionario ratificando las zonas aprobadas y consideradas zonas de cesión, incorporadas a hoy en nuestro sistema de informacion. 
 El 15 de septiembre de 2022 la dirección del DADEP se reunió con el señor Alirio donde se revisaron los antecedentes de la problemática, en el alcance de las competencias de la entidad se dio a conocer el estado urbanistico del predio y se oriento para que Secretaría Distrital de Planeación conceptuara frente a este caso. 
 Se reitera que esta tarea ya fue atendida y el estado de la misma ya pasa a ser competencia de la Secretaria Distrital de Planeación.</v>
      </c>
      <c r="N1698" s="55">
        <f ca="1">IFERROR(__xludf.DUMMYFUNCTION("""COMPUTED_VALUE"""),44926)</f>
        <v>44926</v>
      </c>
      <c r="O1698" s="25" t="str">
        <f t="shared" ca="1" si="0"/>
        <v>Departamento Administrativo de la Defensoría del Espacio Público</v>
      </c>
      <c r="P1698" s="25" t="str">
        <f t="shared" si="2"/>
        <v/>
      </c>
      <c r="Q1698" s="25" t="str">
        <f ca="1">IFERROR(__xludf.DUMMYFUNCTION("""COMPUTED_VALUE"""),"Sin defenir")</f>
        <v>Sin defenir</v>
      </c>
      <c r="R1698" s="25"/>
      <c r="S1698" s="55"/>
      <c r="T1698" s="56"/>
      <c r="U1698" s="25"/>
      <c r="V1698" s="25"/>
      <c r="W1698" s="25"/>
      <c r="X1698" s="25"/>
      <c r="Y1698" s="25"/>
      <c r="Z1698" s="25"/>
    </row>
    <row r="1699" spans="1:26" ht="52.5" customHeight="1" x14ac:dyDescent="0.25">
      <c r="A1699" s="25" t="str">
        <f ca="1">IFERROR(__xludf.DUMMYFUNCTION("""COMPUTED_VALUE"""),"Gobie197")</f>
        <v>Gobie197</v>
      </c>
      <c r="B1699" s="25" t="str">
        <f ca="1">IFERROR(__xludf.DUMMYFUNCTION("""COMPUTED_VALUE"""),"Consejo Local de Gobierno de Puente Aranda")</f>
        <v>Consejo Local de Gobierno de Puente Aranda</v>
      </c>
      <c r="C1699" s="55">
        <f ca="1">IFERROR(__xludf.DUMMYFUNCTION("""COMPUTED_VALUE"""),44672)</f>
        <v>44672</v>
      </c>
      <c r="D1699" s="25" t="str">
        <f ca="1">IFERROR(__xludf.DUMMYFUNCTION("""COMPUTED_VALUE"""),"Gobierno")</f>
        <v>Gobierno</v>
      </c>
      <c r="E1699" s="25" t="str">
        <f ca="1">IFERROR(__xludf.DUMMYFUNCTION("""COMPUTED_VALUE"""),"Secretaría Distrital de Gobierno")</f>
        <v>Secretaría Distrital de Gobierno</v>
      </c>
      <c r="F1699" s="25" t="str">
        <f ca="1">IFERROR(__xludf.DUMMYFUNCTION("""COMPUTED_VALUE"""),"Solucionar los problemas planteados por la señora Helena Ovando que se están presentando con el Comité Distrital de Derechos Humanos por la reforma a través del Decreto 455 de 2018")</f>
        <v>Solucionar los problemas planteados por la señora Helena Ovando que se están presentando con el Comité Distrital de Derechos Humanos por la reforma a través del Decreto 455 de 2018</v>
      </c>
      <c r="G1699" s="25" t="str">
        <f ca="1">IFERROR(__xludf.DUMMYFUNCTION("""COMPUTED_VALUE"""),"16. Puente Aranda")</f>
        <v>16. Puente Aranda</v>
      </c>
      <c r="H1699" s="25"/>
      <c r="I1699" s="25"/>
      <c r="J1699" s="55"/>
      <c r="K1699" s="25" t="str">
        <f ca="1">IFERROR(__xludf.DUMMYFUNCTION("""COMPUTED_VALUE"""),"Definir fecha")</f>
        <v>Definir fecha</v>
      </c>
      <c r="L1699" s="62">
        <f ca="1">IFERROR(__xludf.DUMMYFUNCTION("""COMPUTED_VALUE"""),44707)</f>
        <v>44707</v>
      </c>
      <c r="M1699" s="25" t="str">
        <f ca="1">IFERROR(__xludf.DUMMYFUNCTION("""COMPUTED_VALUE"""),"La Dirección de Derechos Humanos de la SDG como secretaria técnica del Comité Distrital de Derechos Humanos, envío al correo electrónico de la señora Elena Ovando Huertas la respuesta a la solicitud de información sobre el proceso de modificación del decr"&amp;"eto 455 de 2018, en la que se indicó que: entre los cambios al decreto se incluye la participación con voz y voto de: Un representante de las organizaciones de acción comunal, Un representante de la Federación Comunal de Bogotá, Un (a) delegado (a) de la "&amp;"Comisión Ambiental Local (Decreto 575 de 2011) , Tres delegados (as) de organizaciones sociales de derechos humanos del distrito elegidos a través del Sistema de votación electrónica ciudadana VOTEC. Finalmente, se convocará una reunión presencial con el "&amp;"fin de explicar los detalles de los cambios al decreto 455 de 2018 y su alcance, en el marco del próximo Comité Local de Puente Aranda que se llevará a cabo el jueves 19 de mayo de 2022 en la calle 4 #31D-30 (Alcaldía Local de Puente Aranda) hora 9:00 am "&amp;"a 12:00m. 
 El día jueves 19 de mayo se realizó el comité local de DDHH de puente Aranda dónde la señora Helena no pudo asistir por cita médica conforme a lo informado por el señor Mario Vaquero y la señora Ana Clovis quienes asistieron al mismo y fuero"&amp;"n parte de las personas a las cuales la señora Helena solicitó invitar a dicha socialización. En el desarrollo de la sesión el profesional asignado para la presentación de los avances en la modificación del Decreto 455 expuso el proceso que se está adelan"&amp;"tando para la actualización del decreto y se preguntó a los asistentes si tenían alguna duda o aporte adicional; en este punto, una persona de la ciudadanía solicitó que se revisará la posible inclusión de un representante de los vendedores informales com"&amp;"o miembros de los comistes locales de DDHH y un representante para el comité Distrital, ante dicha petición se quedó de revisar la víabilidad jurídica y técnica de la misma.")</f>
        <v>La Dirección de Derechos Humanos de la SDG como secretaria técnica del Comité Distrital de Derechos Humanos, envío al correo electrónico de la señora Elena Ovando Huertas la respuesta a la solicitud de información sobre el proceso de modificación del decreto 455 de 2018, en la que se indicó que: entre los cambios al decreto se incluye la participación con voz y voto de: Un representante de las organizaciones de acción comunal, Un representante de la Federación Comunal de Bogotá, Un (a) delegado (a) de la Comisión Ambiental Local (Decreto 575 de 2011) , Tres delegados (as) de organizaciones sociales de derechos humanos del distrito elegidos a través del Sistema de votación electrónica ciudadana VOTEC. Finalmente, se convocará una reunión presencial con el fin de explicar los detalles de los cambios al decreto 455 de 2018 y su alcance, en el marco del próximo Comité Local de Puente Aranda que se llevará a cabo el jueves 19 de mayo de 2022 en la calle 4 #31D-30 (Alcaldía Local de Puente Aranda) hora 9:00 am a 12:00m. 
 El día jueves 19 de mayo se realizó el comité local de DDHH de puente Aranda dónde la señora Helena no pudo asistir por cita médica conforme a lo informado por el señor Mario Vaquero y la señora Ana Clovis quienes asistieron al mismo y fueron parte de las personas a las cuales la señora Helena solicitó invitar a dicha socialización. En el desarrollo de la sesión el profesional asignado para la presentación de los avances en la modificación del Decreto 455 expuso el proceso que se está adelantando para la actualización del decreto y se preguntó a los asistentes si tenían alguna duda o aporte adicional; en este punto, una persona de la ciudadanía solicitó que se revisará la posible inclusión de un representante de los vendedores informales como miembros de los comistes locales de DDHH y un representante para el comité Distrital, ante dicha petición se quedó de revisar la víabilidad jurídica y técnica de la misma.</v>
      </c>
      <c r="N1699" s="55">
        <f ca="1">IFERROR(__xludf.DUMMYFUNCTION("""COMPUTED_VALUE"""),44926)</f>
        <v>44926</v>
      </c>
      <c r="O1699" s="25" t="str">
        <f t="shared" ca="1" si="0"/>
        <v>Secretaría Distrital de Gobierno</v>
      </c>
      <c r="P1699" s="25" t="str">
        <f t="shared" si="2"/>
        <v/>
      </c>
      <c r="Q1699" s="25" t="str">
        <f ca="1">IFERROR(__xludf.DUMMYFUNCTION("""COMPUTED_VALUE"""),"Sin defenir")</f>
        <v>Sin defenir</v>
      </c>
      <c r="R1699" s="25"/>
      <c r="S1699" s="55"/>
      <c r="T1699" s="56"/>
      <c r="U1699" s="25"/>
      <c r="V1699" s="25"/>
      <c r="W1699" s="25"/>
      <c r="X1699" s="25"/>
      <c r="Y1699" s="25"/>
      <c r="Z1699" s="25"/>
    </row>
    <row r="1700" spans="1:26" ht="52.5" customHeight="1" x14ac:dyDescent="0.25">
      <c r="A1700" s="25" t="str">
        <f ca="1">IFERROR(__xludf.DUMMYFUNCTION("""COMPUTED_VALUE"""),"Gobie198")</f>
        <v>Gobie198</v>
      </c>
      <c r="B1700" s="25" t="str">
        <f ca="1">IFERROR(__xludf.DUMMYFUNCTION("""COMPUTED_VALUE"""),"Consejo Local de Gobierno de Puente Aranda")</f>
        <v>Consejo Local de Gobierno de Puente Aranda</v>
      </c>
      <c r="C1700" s="55">
        <f ca="1">IFERROR(__xludf.DUMMYFUNCTION("""COMPUTED_VALUE"""),44672)</f>
        <v>44672</v>
      </c>
      <c r="D1700" s="25" t="str">
        <f ca="1">IFERROR(__xludf.DUMMYFUNCTION("""COMPUTED_VALUE"""),"Gobierno")</f>
        <v>Gobierno</v>
      </c>
      <c r="E1700" s="25" t="str">
        <f ca="1">IFERROR(__xludf.DUMMYFUNCTION("""COMPUTED_VALUE"""),"Alcaldía Local")</f>
        <v>Alcaldía Local</v>
      </c>
      <c r="F1700" s="25" t="str">
        <f ca="1">IFERROR(__xludf.DUMMYFUNCTION("""COMPUTED_VALUE"""),"Crear el Centro de Enseñanza de Agricultura urbana del sur de Bogotá en el predio conjunto al parque Ciudad Montes")</f>
        <v>Crear el Centro de Enseñanza de Agricultura urbana del sur de Bogotá en el predio conjunto al parque Ciudad Montes</v>
      </c>
      <c r="G1700" s="25" t="str">
        <f ca="1">IFERROR(__xludf.DUMMYFUNCTION("""COMPUTED_VALUE"""),"16. Puente Aranda")</f>
        <v>16. Puente Aranda</v>
      </c>
      <c r="H1700" s="55">
        <f ca="1">IFERROR(__xludf.DUMMYFUNCTION("""COMPUTED_VALUE"""),45107)</f>
        <v>45107</v>
      </c>
      <c r="I1700" s="25" t="str">
        <f ca="1">IFERROR(__xludf.DUMMYFUNCTION("""COMPUTED_VALUE"""),"Delivery Unit")</f>
        <v>Delivery Unit</v>
      </c>
      <c r="J1700" s="55" t="str">
        <f ca="1">IFERROR(__xludf.DUMMYFUNCTION("""COMPUTED_VALUE"""),"Media")</f>
        <v>Media</v>
      </c>
      <c r="K1700" s="25">
        <f ca="1">IFERROR(__xludf.DUMMYFUNCTION("""COMPUTED_VALUE"""),435)</f>
        <v>435</v>
      </c>
      <c r="L1700" s="62">
        <f ca="1">IFERROR(__xludf.DUMMYFUNCTION("""COMPUTED_VALUE"""),45070)</f>
        <v>45070</v>
      </c>
      <c r="M1700" s="25" t="str">
        <f ca="1">IFERROR(__xludf.DUMMYFUNCTION("""COMPUTED_VALUE"""),"CPS 386 de 2022 - Jose Nicanor Numpaque Ballesteros 
plazo de 6 meses (inicio: 8 de febrero de 2023 al 6 de agosto de 2023 
Valor: $170.438.397 
Incluye: (1) eco aula, (1) invernadero, camas de cultivo en zona dura y zona blanda, educación básica y ava"&amp;"nzada de agricultura urbana, banco de herramientas, senderos ecológicos. 
Se sigue trabajando de la mano de la comunidad con el fin de hacer este un eje de agricultura urbana e intercambio de saberes de la localidad de Puente Aranda y adicionalmente siem"&amp;"pre de la mano con el JBB para incluir jardines polinizadores. ")</f>
        <v xml:space="preserve">CPS 386 de 2022 - Jose Nicanor Numpaque Ballesteros 
plazo de 6 meses (inicio: 8 de febrero de 2023 al 6 de agosto de 2023 
Valor: $170.438.397 
Incluye: (1) eco aula, (1) invernadero, camas de cultivo en zona dura y zona blanda, educación básica y avanzada de agricultura urbana, banco de herramientas, senderos ecológicos. 
Se sigue trabajando de la mano de la comunidad con el fin de hacer este un eje de agricultura urbana e intercambio de saberes de la localidad de Puente Aranda y adicionalmente siempre de la mano con el JBB para incluir jardines polinizadores. </v>
      </c>
      <c r="N1700" s="25"/>
      <c r="O1700" s="25" t="str">
        <f t="shared" ca="1" si="0"/>
        <v>Alcaldía Local</v>
      </c>
      <c r="P1700" s="25" t="str">
        <f t="shared" ca="1" si="2"/>
        <v/>
      </c>
      <c r="Q1700" s="25" t="str">
        <f ca="1">IFERROR(__xludf.DUMMYFUNCTION("""COMPUTED_VALUE"""),"Largo plazo")</f>
        <v>Largo plazo</v>
      </c>
      <c r="R1700" s="25"/>
      <c r="S1700" s="55"/>
      <c r="T1700" s="56"/>
      <c r="U1700" s="25"/>
      <c r="V1700" s="25"/>
      <c r="W1700" s="25"/>
      <c r="X1700" s="25"/>
      <c r="Y1700" s="25"/>
      <c r="Z1700" s="25"/>
    </row>
    <row r="1701" spans="1:26" ht="52.5" customHeight="1" x14ac:dyDescent="0.25">
      <c r="A1701" s="25" t="str">
        <f ca="1">IFERROR(__xludf.DUMMYFUNCTION("""COMPUTED_VALUE"""),"Gobie199")</f>
        <v>Gobie199</v>
      </c>
      <c r="B1701" s="25" t="str">
        <f ca="1">IFERROR(__xludf.DUMMYFUNCTION("""COMPUTED_VALUE"""),"Consejo Local de Gobierno de Puente Aranda")</f>
        <v>Consejo Local de Gobierno de Puente Aranda</v>
      </c>
      <c r="C1701" s="55">
        <f ca="1">IFERROR(__xludf.DUMMYFUNCTION("""COMPUTED_VALUE"""),44672)</f>
        <v>44672</v>
      </c>
      <c r="D1701" s="25" t="str">
        <f ca="1">IFERROR(__xludf.DUMMYFUNCTION("""COMPUTED_VALUE"""),"Gobierno")</f>
        <v>Gobierno</v>
      </c>
      <c r="E1701" s="25" t="str">
        <f ca="1">IFERROR(__xludf.DUMMYFUNCTION("""COMPUTED_VALUE"""),"Alcaldía Local")</f>
        <v>Alcaldía Local</v>
      </c>
      <c r="F1701" s="25" t="str">
        <f ca="1">IFERROR(__xludf.DUMMYFUNCTION("""COMPUTED_VALUE"""),"Realizar control a los asaderos del Barrio Camelia Norte que han endurecido las zonas verdes de la alameda de la calle tercera con Av del Ferrocarril")</f>
        <v>Realizar control a los asaderos del Barrio Camelia Norte que han endurecido las zonas verdes de la alameda de la calle tercera con Av del Ferrocarril</v>
      </c>
      <c r="G1701" s="25" t="str">
        <f ca="1">IFERROR(__xludf.DUMMYFUNCTION("""COMPUTED_VALUE"""),"16. Puente Aranda")</f>
        <v>16. Puente Aranda</v>
      </c>
      <c r="H1701" s="55">
        <f ca="1">IFERROR(__xludf.DUMMYFUNCTION("""COMPUTED_VALUE"""),45107)</f>
        <v>45107</v>
      </c>
      <c r="I1701" s="25" t="str">
        <f ca="1">IFERROR(__xludf.DUMMYFUNCTION("""COMPUTED_VALUE"""),"Delivery Unit")</f>
        <v>Delivery Unit</v>
      </c>
      <c r="J1701" s="55" t="str">
        <f ca="1">IFERROR(__xludf.DUMMYFUNCTION("""COMPUTED_VALUE"""),"Baja")</f>
        <v>Baja</v>
      </c>
      <c r="K1701" s="25">
        <f ca="1">IFERROR(__xludf.DUMMYFUNCTION("""COMPUTED_VALUE"""),435)</f>
        <v>435</v>
      </c>
      <c r="L1701" s="62">
        <f ca="1">IFERROR(__xludf.DUMMYFUNCTION("""COMPUTED_VALUE"""),45070)</f>
        <v>45070</v>
      </c>
      <c r="M1701" s="25" t="str">
        <f ca="1">IFERROR(__xludf.DUMMYFUNCTION("""COMPUTED_VALUE"""),"Se realizaron 4 reuniones con los comerciantes del sector de restaurantes que se encuentran cerca de la rotonda de la Cr 50 con Cl 3, en acompañamiento con el DADEP Y LA SDDE los días 5 de junio del 2022, 23 de agosto del 2022, 7 de septiembre 2022, 5 de "&amp;"noviembre del 2022 y con respecto a las intervenciones este año se han realizado 5 Intervenciones por ley 1801 del 2016, los establecimientos cuentan con la mayoría de documentación.
")</f>
        <v xml:space="preserve">Se realizaron 4 reuniones con los comerciantes del sector de restaurantes que se encuentran cerca de la rotonda de la Cr 50 con Cl 3, en acompañamiento con el DADEP Y LA SDDE los días 5 de junio del 2022, 23 de agosto del 2022, 7 de septiembre 2022, 5 de noviembre del 2022 y con respecto a las intervenciones este año se han realizado 5 Intervenciones por ley 1801 del 2016, los establecimientos cuentan con la mayoría de documentación.
</v>
      </c>
      <c r="N1701" s="25"/>
      <c r="O1701" s="25" t="str">
        <f t="shared" ca="1" si="0"/>
        <v>Alcaldía Local</v>
      </c>
      <c r="P1701" s="25" t="str">
        <f t="shared" ca="1" si="2"/>
        <v/>
      </c>
      <c r="Q1701" s="25" t="str">
        <f ca="1">IFERROR(__xludf.DUMMYFUNCTION("""COMPUTED_VALUE"""),"Largo plazo")</f>
        <v>Largo plazo</v>
      </c>
      <c r="R1701" s="25"/>
      <c r="S1701" s="55"/>
      <c r="T1701" s="56"/>
      <c r="U1701" s="25"/>
      <c r="V1701" s="25"/>
      <c r="W1701" s="25"/>
      <c r="X1701" s="25"/>
      <c r="Y1701" s="25"/>
      <c r="Z1701" s="25"/>
    </row>
    <row r="1702" spans="1:26" ht="52.5" customHeight="1" x14ac:dyDescent="0.25">
      <c r="A1702" s="25" t="str">
        <f ca="1">IFERROR(__xludf.DUMMYFUNCTION("""COMPUTED_VALUE"""),"Gobie200")</f>
        <v>Gobie200</v>
      </c>
      <c r="B1702" s="25" t="str">
        <f ca="1">IFERROR(__xludf.DUMMYFUNCTION("""COMPUTED_VALUE"""),"Consejo Local de Gobierno de Puente Aranda")</f>
        <v>Consejo Local de Gobierno de Puente Aranda</v>
      </c>
      <c r="C1702" s="55">
        <f ca="1">IFERROR(__xludf.DUMMYFUNCTION("""COMPUTED_VALUE"""),44672)</f>
        <v>44672</v>
      </c>
      <c r="D1702" s="25" t="str">
        <f ca="1">IFERROR(__xludf.DUMMYFUNCTION("""COMPUTED_VALUE"""),"Gobierno")</f>
        <v>Gobierno</v>
      </c>
      <c r="E1702" s="25" t="str">
        <f ca="1">IFERROR(__xludf.DUMMYFUNCTION("""COMPUTED_VALUE"""),"Secretaría Distrital de Gobierno")</f>
        <v>Secretaría Distrital de Gobierno</v>
      </c>
      <c r="F1702" s="25" t="str">
        <f ca="1">IFERROR(__xludf.DUMMYFUNCTION("""COMPUTED_VALUE"""),"Programar una sesión del Consejo Distrital Afros, presidida por la Alcaldesa Mayor y socializar la política pública Afro a la comunidad")</f>
        <v>Programar una sesión del Consejo Distrital Afros, presidida por la Alcaldesa Mayor y socializar la política pública Afro a la comunidad</v>
      </c>
      <c r="G1702" s="25" t="str">
        <f ca="1">IFERROR(__xludf.DUMMYFUNCTION("""COMPUTED_VALUE"""),"16. Puente Aranda")</f>
        <v>16. Puente Aranda</v>
      </c>
      <c r="H1702" s="55">
        <f ca="1">IFERROR(__xludf.DUMMYFUNCTION("""COMPUTED_VALUE"""),44686)</f>
        <v>44686</v>
      </c>
      <c r="I1702" s="25"/>
      <c r="J1702" s="55" t="str">
        <f ca="1">IFERROR(__xludf.DUMMYFUNCTION("""COMPUTED_VALUE"""),"Alta")</f>
        <v>Alta</v>
      </c>
      <c r="K1702" s="25">
        <f ca="1">IFERROR(__xludf.DUMMYFUNCTION("""COMPUTED_VALUE"""),14)</f>
        <v>14</v>
      </c>
      <c r="L1702" s="62">
        <f ca="1">IFERROR(__xludf.DUMMYFUNCTION("""COMPUTED_VALUE"""),44686)</f>
        <v>44686</v>
      </c>
      <c r="M1702" s="25" t="str">
        <f ca="1">IFERROR(__xludf.DUMMYFUNCTION("""COMPUTED_VALUE"""),"Se programará sesión del Consejo Distrital Afro presidida por la Alcaldesa Mayor en el mes de mayo")</f>
        <v>Se programará sesión del Consejo Distrital Afro presidida por la Alcaldesa Mayor en el mes de mayo</v>
      </c>
      <c r="N1702" s="55">
        <f ca="1">IFERROR(__xludf.DUMMYFUNCTION("""COMPUTED_VALUE"""),44926)</f>
        <v>44926</v>
      </c>
      <c r="O1702" s="25" t="str">
        <f t="shared" ca="1" si="0"/>
        <v>Secretaría Distrital de Gobierno</v>
      </c>
      <c r="P1702" s="25" t="str">
        <f t="shared" si="2"/>
        <v/>
      </c>
      <c r="Q1702" s="25" t="str">
        <f ca="1">IFERROR(__xludf.DUMMYFUNCTION("""COMPUTED_VALUE"""),"Corto plazo")</f>
        <v>Corto plazo</v>
      </c>
      <c r="R1702" s="25"/>
      <c r="S1702" s="55"/>
      <c r="T1702" s="56"/>
      <c r="U1702" s="25"/>
      <c r="V1702" s="25"/>
      <c r="W1702" s="25"/>
      <c r="X1702" s="25"/>
      <c r="Y1702" s="25"/>
      <c r="Z1702" s="25"/>
    </row>
    <row r="1703" spans="1:26" ht="52.5" customHeight="1" x14ac:dyDescent="0.25">
      <c r="A1703" s="25" t="str">
        <f ca="1">IFERROR(__xludf.DUMMYFUNCTION("""COMPUTED_VALUE"""),"Gobie201")</f>
        <v>Gobie201</v>
      </c>
      <c r="B1703" s="25" t="str">
        <f ca="1">IFERROR(__xludf.DUMMYFUNCTION("""COMPUTED_VALUE"""),"Consejo Local de Gobierno de Puente Aranda")</f>
        <v>Consejo Local de Gobierno de Puente Aranda</v>
      </c>
      <c r="C1703" s="55">
        <f ca="1">IFERROR(__xludf.DUMMYFUNCTION("""COMPUTED_VALUE"""),44672)</f>
        <v>44672</v>
      </c>
      <c r="D1703" s="25" t="str">
        <f ca="1">IFERROR(__xludf.DUMMYFUNCTION("""COMPUTED_VALUE"""),"Gobierno")</f>
        <v>Gobierno</v>
      </c>
      <c r="E1703" s="25" t="str">
        <f ca="1">IFERROR(__xludf.DUMMYFUNCTION("""COMPUTED_VALUE"""),"Instituto Distrital de la Participación y Acción Comunal")</f>
        <v>Instituto Distrital de la Participación y Acción Comunal</v>
      </c>
      <c r="F1703" s="25" t="str">
        <f ca="1">IFERROR(__xludf.DUMMYFUNCTION("""COMPUTED_VALUE"""),"Apoyar a los medios alternativos como "" V noticias"" con el Fondo Chicaná")</f>
        <v>Apoyar a los medios alternativos como " V noticias" con el Fondo Chicaná</v>
      </c>
      <c r="G1703" s="25" t="str">
        <f ca="1">IFERROR(__xludf.DUMMYFUNCTION("""COMPUTED_VALUE"""),"16. Puente Aranda")</f>
        <v>16. Puente Aranda</v>
      </c>
      <c r="H1703" s="55">
        <f ca="1">IFERROR(__xludf.DUMMYFUNCTION("""COMPUTED_VALUE"""),44686)</f>
        <v>44686</v>
      </c>
      <c r="I1703" s="25"/>
      <c r="J1703" s="55" t="str">
        <f ca="1">IFERROR(__xludf.DUMMYFUNCTION("""COMPUTED_VALUE"""),"Alta")</f>
        <v>Alta</v>
      </c>
      <c r="K1703" s="25">
        <f ca="1">IFERROR(__xludf.DUMMYFUNCTION("""COMPUTED_VALUE"""),14)</f>
        <v>14</v>
      </c>
      <c r="L1703" s="62">
        <f ca="1">IFERROR(__xludf.DUMMYFUNCTION("""COMPUTED_VALUE"""),44686)</f>
        <v>44686</v>
      </c>
      <c r="M1703" s="25" t="str">
        <f ca="1">IFERROR(__xludf.DUMMYFUNCTION("""COMPUTED_VALUE"""),"Desde la Subdirección de Fortalecimiento a la Organziación Social, se realizó llamada telefónica al señor Ivan Durán y se identifica que ""V noticias"" no está conformado como un medio comunitario, por lo tanto, desde el IDPAC se le ayudará y orientará a "&amp;"crear una página web y así, ser beneficiario de la ruta de fortalecimiento de la Entidad. Desde el lunes 09 de mayo de 2022 comenzarán las asesorías al respecto.")</f>
        <v>Desde la Subdirección de Fortalecimiento a la Organziación Social, se realizó llamada telefónica al señor Ivan Durán y se identifica que "V noticias" no está conformado como un medio comunitario, por lo tanto, desde el IDPAC se le ayudará y orientará a crear una página web y así, ser beneficiario de la ruta de fortalecimiento de la Entidad. Desde el lunes 09 de mayo de 2022 comenzarán las asesorías al respecto.</v>
      </c>
      <c r="N1703" s="55">
        <f ca="1">IFERROR(__xludf.DUMMYFUNCTION("""COMPUTED_VALUE"""),44926)</f>
        <v>44926</v>
      </c>
      <c r="O1703" s="25" t="str">
        <f t="shared" ca="1" si="0"/>
        <v>Instituto Distrital de la Participación y Acción Comunal</v>
      </c>
      <c r="P1703" s="25" t="str">
        <f t="shared" si="2"/>
        <v/>
      </c>
      <c r="Q1703" s="25" t="str">
        <f ca="1">IFERROR(__xludf.DUMMYFUNCTION("""COMPUTED_VALUE"""),"Corto plazo")</f>
        <v>Corto plazo</v>
      </c>
      <c r="R1703" s="25"/>
      <c r="S1703" s="55"/>
      <c r="T1703" s="56"/>
      <c r="U1703" s="25"/>
      <c r="V1703" s="25"/>
      <c r="W1703" s="25"/>
      <c r="X1703" s="25"/>
      <c r="Y1703" s="25"/>
      <c r="Z1703" s="25"/>
    </row>
    <row r="1704" spans="1:26" ht="52.5" customHeight="1" x14ac:dyDescent="0.25">
      <c r="A1704" s="25" t="str">
        <f ca="1">IFERROR(__xludf.DUMMYFUNCTION("""COMPUTED_VALUE"""),"Gobie202")</f>
        <v>Gobie202</v>
      </c>
      <c r="B1704" s="25" t="str">
        <f ca="1">IFERROR(__xludf.DUMMYFUNCTION("""COMPUTED_VALUE"""),"Consejo Local de Gobienro de Teusaquillo")</f>
        <v>Consejo Local de Gobienro de Teusaquillo</v>
      </c>
      <c r="C1704" s="55">
        <f ca="1">IFERROR(__xludf.DUMMYFUNCTION("""COMPUTED_VALUE"""),44651)</f>
        <v>44651</v>
      </c>
      <c r="D1704" s="25" t="str">
        <f ca="1">IFERROR(__xludf.DUMMYFUNCTION("""COMPUTED_VALUE"""),"Gobierno")</f>
        <v>Gobierno</v>
      </c>
      <c r="E1704" s="25" t="str">
        <f ca="1">IFERROR(__xludf.DUMMYFUNCTION("""COMPUTED_VALUE"""),"Instituto Distrital de la Participación y Acción Comunal")</f>
        <v>Instituto Distrital de la Participación y Acción Comunal</v>
      </c>
      <c r="F1704" s="25" t="str">
        <f ca="1">IFERROR(__xludf.DUMMYFUNCTION("""COMPUTED_VALUE"""),"Realizar un Pactando con la Iglesia Santa Martha para tratar los temas de invasión de espacio público por vehículos y venta informal")</f>
        <v>Realizar un Pactando con la Iglesia Santa Martha para tratar los temas de invasión de espacio público por vehículos y venta informal</v>
      </c>
      <c r="G1704" s="25" t="str">
        <f ca="1">IFERROR(__xludf.DUMMYFUNCTION("""COMPUTED_VALUE"""),"13. Teusaquillo")</f>
        <v>13. Teusaquillo</v>
      </c>
      <c r="H1704" s="55">
        <f ca="1">IFERROR(__xludf.DUMMYFUNCTION("""COMPUTED_VALUE"""),44789)</f>
        <v>44789</v>
      </c>
      <c r="I1704" s="25"/>
      <c r="J1704" s="55" t="str">
        <f ca="1">IFERROR(__xludf.DUMMYFUNCTION("""COMPUTED_VALUE"""),"Media")</f>
        <v>Media</v>
      </c>
      <c r="K1704" s="25">
        <f ca="1">IFERROR(__xludf.DUMMYFUNCTION("""COMPUTED_VALUE"""),138)</f>
        <v>138</v>
      </c>
      <c r="L1704" s="62">
        <f ca="1">IFERROR(__xludf.DUMMYFUNCTION("""COMPUTED_VALUE"""),44789)</f>
        <v>44789</v>
      </c>
      <c r="M1704" s="25" t="str">
        <f ca="1">IFERROR(__xludf.DUMMYFUNCTION("""COMPUTED_VALUE"""),"En el marco del Consejo Local de Gobierno en la localidad de Teusaquillo, desarrollado por la Alcaldesa Mayor Claudia Nayibe López, una de las intervenciones por parte de la comunidad se centró en la urgencia de la transformación de las dinámicas barriale"&amp;"s que se dan en el Barrio Alfonso López, las cuales han afectado e impactado de manera negativa el bienestar barrial. En ese sentido, el presidente de la Junta de Acción Comunal en su condición como dignatario sugiere que se haga una intervención instituc"&amp;"ional en este sector de la localidad de Teusaquillo. Como respuesta de la Alcaldesa Mayor, delega al IDPAC para desplegar la estrategia pactando en este territorio para la transformación de las distintas conflictividades de este. 
 Por tal motivo, desd"&amp;"e la estrategia pactando se realizó una llamada con el fin de articular con el presidente de la JAC un recorrido para reconocer las dinámicas que afectan el entorno barrial del parque Alfonso López y la parroquia Santa Marta. En ese contexto, el president"&amp;"e de la JAC el señor Lisandro Ruíz manifiesta que los problemas que se dan en este espacio territorial son los siguientes: 
 • Habitabilidad de Calle 
 • Carreteros y recicladores 
 • Vendedores informales los días martes que se desarrolla la misa de S"&amp;"anta Marta 
 • El parqueo en vía pública por parte de camiones de acarreos 
 • Los conductores de estos camiones disponen sus necesidades corporales en el espacio público 
 • Consumo de SPA 
 Con las problemáticas anteriormente expuestas, se generó un "&amp;"compromiso que el día jueves 05 de mayo a las 10:00 am, hacer un recorrido territorial para identificar territorialmente estas problemáticas. 
  El día 07 de mayo, conforme a los acuerdos establecidos con el presidente la Junta de Acción Comunal del ba"&amp;"rrio Alfonso López, se realizó una reunión presencial junto al articulador territorial del IDPAC José Humberto Pedraza, Julián Alfredo Martínez y Andrés Felipe Gómez del equipo estratégico pactando y el señor Lisandro Ruíz, en las inmediaciones del parque"&amp;" Alfonso López y la parroquia Santa Marta. Allí se reconocieron los problemas que previamente se mencionaron y se adicionaron otros como:
 • La migración de extranjeros (según la comunidad estos han sido identificados como personas que cometen delitos c"&amp;"omo el hurto).
 • Disposición inadecuada de recursos sólidos en los siguientes puntos: Parque Alfonso López, Colegio Palermo, Carrera 21#49-48, Calle 41b#26 y Calle 50 #70.
 • Botadero de Basura por parte de los distintos actores, comerciantes, residentes"&amp;", camioneros y recicladores. 
 Otro de los puntos que se trataron en la reunión fue, la posibilidad de desarrollar la estrategia pactando en el territorio. Sin embargo, el presidente de la JAC solicita una reunión previa con la alcaldesa local, con el f"&amp;"in de analizar si hay viabilidad para construir un pacto o solo se trata de intervenciones institucionales de control y vigilancia. 
 Pese al acercamiento por parte de la estrategia pactando del IDPAC y sus enlaces territoriales para la localidad de Teu"&amp;"saquillo. La estrategia pactando en aras de su procedimiento metodológico y las voluntades entre las partes no ve posible la construcción y desarrollo de un pacto en el Parque barrial Alfonso López y las inmediaciones de la Parroquia Santa Marta por las s"&amp;"iguientes razones:
 1. En el diagnóstico y la exploración realizado por el equipo de la estrategia pactando, se pudo evidenciar que los actores buscan más que acordar, que haya un proceso de inspección, vigilancia y control por parte de las institucione"&amp;"s distritales cuya misionalidad abordan los siguientes temas: habitabilidad de calle, parqueo en vía pública, reasignación de espacios a los vendedores informales y la inspección constante por parte de autoridades como la Policía Nacional.
 2. Existe una "&amp;"barrera por parte de los residentes del sector a construir una serie de acuerdos sobre el uso del espacio público, los martes que se lleva a cabo la misa a Santa Marta. Ellos proponen que se hagan jornadas de intervención policial para evitar el tema del "&amp;"parqueo en vía pública. Del mismo modo, aseguran que estos días la movilidad e ingreso a sus residencias se ven ampliamente afectados por los feligreses que se congregan en este templo religioso.
 3. De acuerdo con la metodología pactando, en temas relaci"&amp;"onados con la creación de acuerdos institucionales y comunitarios, no hay elementos que constituyan una articulación entre los dos actores. Lo que sugiere la comunidad es encontrar las formas de controlar y regular el uso del espacio público con el tema d"&amp;"e los vendedores informales, los camioneros y los visitantes a la parroquia Santa Marta que transitan y estacionan los vehículos en frente de las residencias.
 4. No están dadas las condiciones y las dinámicas para generar un proceso de dialogo interinsti"&amp;"tucional y comunitaria en este espacio, existen visiones del territorio radicales, las cuales imposibilitan el dialogo y la creación de corresponsabilidades.
 Recomendaciones:
 Desde el Instituto Distrital de Participación y Acción Comunal IDPAC- en s"&amp;"u estrategia pactando, se recomienda que tome la vocería del proceso sea la estrategia Dialogo Social de la Secretaría Distrital de Gobierno en la medida que puede generar una mesa de concertación entre los actores involucrados en el sector del parque Alf"&amp;"onso López y la parroquia Santa Marta teniendo en cuenta, que esta estrategia tiene unos dispositivos de mediación y resolución de conflictos que pueden generar soluciones más rápidas de las tensiones que persisten en dicho espacio territorial. 
 Por lo"&amp;" anterior, se solicita dar por terminada la gestión del IDPAC frente al compromiso adquirido.")</f>
        <v>En el marco del Consejo Local de Gobierno en la localidad de Teusaquillo, desarrollado por la Alcaldesa Mayor Claudia Nayibe López, una de las intervenciones por parte de la comunidad se centró en la urgencia de la transformación de las dinámicas barriales que se dan en el Barrio Alfonso López, las cuales han afectado e impactado de manera negativa el bienestar barrial. En ese sentido, el presidente de la Junta de Acción Comunal en su condición como dignatario sugiere que se haga una intervención institucional en este sector de la localidad de Teusaquillo. Como respuesta de la Alcaldesa Mayor, delega al IDPAC para desplegar la estrategia pactando en este territorio para la transformación de las distintas conflictividades de este. 
 Por tal motivo, desde la estrategia pactando se realizó una llamada con el fin de articular con el presidente de la JAC un recorrido para reconocer las dinámicas que afectan el entorno barrial del parque Alfonso López y la parroquia Santa Marta. En ese contexto, el presidente de la JAC el señor Lisandro Ruíz manifiesta que los problemas que se dan en este espacio territorial son los siguientes: 
 • Habitabilidad de Calle 
 • Carreteros y recicladores 
 • Vendedores informales los días martes que se desarrolla la misa de Santa Marta 
 • El parqueo en vía pública por parte de camiones de acarreos 
 • Los conductores de estos camiones disponen sus necesidades corporales en el espacio público 
 • Consumo de SPA 
 Con las problemáticas anteriormente expuestas, se generó un compromiso que el día jueves 05 de mayo a las 10:00 am, hacer un recorrido territorial para identificar territorialmente estas problemáticas. 
  El día 07 de mayo, conforme a los acuerdos establecidos con el presidente la Junta de Acción Comunal del barrio Alfonso López, se realizó una reunión presencial junto al articulador territorial del IDPAC José Humberto Pedraza, Julián Alfredo Martínez y Andrés Felipe Gómez del equipo estratégico pactando y el señor Lisandro Ruíz, en las inmediaciones del parque Alfonso López y la parroquia Santa Marta. Allí se reconocieron los problemas que previamente se mencionaron y se adicionaron otros como:
 • La migración de extranjeros (según la comunidad estos han sido identificados como personas que cometen delitos como el hurto).
 • Disposición inadecuada de recursos sólidos en los siguientes puntos: Parque Alfonso López, Colegio Palermo, Carrera 21#49-48, Calle 41b#26 y Calle 50 #70.
 • Botadero de Basura por parte de los distintos actores, comerciantes, residentes, camioneros y recicladores. 
 Otro de los puntos que se trataron en la reunión fue, la posibilidad de desarrollar la estrategia pactando en el territorio. Sin embargo, el presidente de la JAC solicita una reunión previa con la alcaldesa local, con el fin de analizar si hay viabilidad para construir un pacto o solo se trata de intervenciones institucionales de control y vigilancia. 
 Pese al acercamiento por parte de la estrategia pactando del IDPAC y sus enlaces territoriales para la localidad de Teusaquillo. La estrategia pactando en aras de su procedimiento metodológico y las voluntades entre las partes no ve posible la construcción y desarrollo de un pacto en el Parque barrial Alfonso López y las inmediaciones de la Parroquia Santa Marta por las siguientes razones:
 1. En el diagnóstico y la exploración realizado por el equipo de la estrategia pactando, se pudo evidenciar que los actores buscan más que acordar, que haya un proceso de inspección, vigilancia y control por parte de las instituciones distritales cuya misionalidad abordan los siguientes temas: habitabilidad de calle, parqueo en vía pública, reasignación de espacios a los vendedores informales y la inspección constante por parte de autoridades como la Policía Nacional.
 2. Existe una barrera por parte de los residentes del sector a construir una serie de acuerdos sobre el uso del espacio público, los martes que se lleva a cabo la misa a Santa Marta. Ellos proponen que se hagan jornadas de intervención policial para evitar el tema del parqueo en vía pública. Del mismo modo, aseguran que estos días la movilidad e ingreso a sus residencias se ven ampliamente afectados por los feligreses que se congregan en este templo religioso.
 3. De acuerdo con la metodología pactando, en temas relacionados con la creación de acuerdos institucionales y comunitarios, no hay elementos que constituyan una articulación entre los dos actores. Lo que sugiere la comunidad es encontrar las formas de controlar y regular el uso del espacio público con el tema de los vendedores informales, los camioneros y los visitantes a la parroquia Santa Marta que transitan y estacionan los vehículos en frente de las residencias.
 4. No están dadas las condiciones y las dinámicas para generar un proceso de dialogo interinstitucional y comunitaria en este espacio, existen visiones del territorio radicales, las cuales imposibilitan el dialogo y la creación de corresponsabilidades.
 Recomendaciones:
 Desde el Instituto Distrital de Participación y Acción Comunal IDPAC- en su estrategia pactando, se recomienda que tome la vocería del proceso sea la estrategia Dialogo Social de la Secretaría Distrital de Gobierno en la medida que puede generar una mesa de concertación entre los actores involucrados en el sector del parque Alfonso López y la parroquia Santa Marta teniendo en cuenta, que esta estrategia tiene unos dispositivos de mediación y resolución de conflictos que pueden generar soluciones más rápidas de las tensiones que persisten en dicho espacio territorial. 
 Por lo anterior, se solicita dar por terminada la gestión del IDPAC frente al compromiso adquirido.</v>
      </c>
      <c r="N1704" s="55">
        <f ca="1">IFERROR(__xludf.DUMMYFUNCTION("""COMPUTED_VALUE"""),44926)</f>
        <v>44926</v>
      </c>
      <c r="O1704" s="25" t="str">
        <f t="shared" ca="1" si="0"/>
        <v>Instituto Distrital de la Participación y Acción Comunal</v>
      </c>
      <c r="P1704" s="25" t="str">
        <f t="shared" si="2"/>
        <v/>
      </c>
      <c r="Q1704" s="25" t="str">
        <f ca="1">IFERROR(__xludf.DUMMYFUNCTION("""COMPUTED_VALUE"""),"Mediano plazo")</f>
        <v>Mediano plazo</v>
      </c>
      <c r="R1704" s="25"/>
      <c r="S1704" s="55"/>
      <c r="T1704" s="56"/>
      <c r="U1704" s="25"/>
      <c r="V1704" s="25"/>
      <c r="W1704" s="25"/>
      <c r="X1704" s="25"/>
      <c r="Y1704" s="25"/>
      <c r="Z1704" s="25"/>
    </row>
    <row r="1705" spans="1:26" ht="52.5" customHeight="1" x14ac:dyDescent="0.25">
      <c r="A1705" s="25" t="str">
        <f ca="1">IFERROR(__xludf.DUMMYFUNCTION("""COMPUTED_VALUE"""),"Gobie203")</f>
        <v>Gobie203</v>
      </c>
      <c r="B1705" s="25" t="str">
        <f ca="1">IFERROR(__xludf.DUMMYFUNCTION("""COMPUTED_VALUE"""),"Consejo Local de Gobienro de Teusaquillo")</f>
        <v>Consejo Local de Gobienro de Teusaquillo</v>
      </c>
      <c r="C1705" s="55">
        <f ca="1">IFERROR(__xludf.DUMMYFUNCTION("""COMPUTED_VALUE"""),44651)</f>
        <v>44651</v>
      </c>
      <c r="D1705" s="25" t="str">
        <f ca="1">IFERROR(__xludf.DUMMYFUNCTION("""COMPUTED_VALUE"""),"Gobierno")</f>
        <v>Gobierno</v>
      </c>
      <c r="E1705" s="25" t="str">
        <f ca="1">IFERROR(__xludf.DUMMYFUNCTION("""COMPUTED_VALUE"""),"Instituto Distrital de la Participación y Acción Comunal")</f>
        <v>Instituto Distrital de la Participación y Acción Comunal</v>
      </c>
      <c r="F1705" s="25" t="str">
        <f ca="1">IFERROR(__xludf.DUMMYFUNCTION("""COMPUTED_VALUE"""),"Organizar una capacitación de convivencia en propiedad horizontal a través de ASOJUNTAS para las Juntas de Acción Comunal de la localidad")</f>
        <v>Organizar una capacitación de convivencia en propiedad horizontal a través de ASOJUNTAS para las Juntas de Acción Comunal de la localidad</v>
      </c>
      <c r="G1705" s="25" t="str">
        <f ca="1">IFERROR(__xludf.DUMMYFUNCTION("""COMPUTED_VALUE"""),"13. Teusaquillo")</f>
        <v>13. Teusaquillo</v>
      </c>
      <c r="H1705" s="55">
        <f ca="1">IFERROR(__xludf.DUMMYFUNCTION("""COMPUTED_VALUE"""),44686)</f>
        <v>44686</v>
      </c>
      <c r="I1705" s="25"/>
      <c r="J1705" s="55" t="str">
        <f ca="1">IFERROR(__xludf.DUMMYFUNCTION("""COMPUTED_VALUE"""),"Alta")</f>
        <v>Alta</v>
      </c>
      <c r="K1705" s="25">
        <f ca="1">IFERROR(__xludf.DUMMYFUNCTION("""COMPUTED_VALUE"""),35)</f>
        <v>35</v>
      </c>
      <c r="L1705" s="62">
        <f ca="1">IFERROR(__xludf.DUMMYFUNCTION("""COMPUTED_VALUE"""),44686)</f>
        <v>44686</v>
      </c>
      <c r="M1705" s="25" t="str">
        <f ca="1">IFERROR(__xludf.DUMMYFUNCTION("""COMPUTED_VALUE"""),"El 02 de abril de 2022, el equipo de Propiedad Horizontal de la Subdirección de Asuntos Comunales del IDPAC realizó capacitación sobre temas de convivencia en la Alcaldía Local de Teusaquillo, a la misma asistió la señora Carmen Fabiola Cepeda, solicitant"&amp;"e de la actividad.")</f>
        <v>El 02 de abril de 2022, el equipo de Propiedad Horizontal de la Subdirección de Asuntos Comunales del IDPAC realizó capacitación sobre temas de convivencia en la Alcaldía Local de Teusaquillo, a la misma asistió la señora Carmen Fabiola Cepeda, solicitante de la actividad.</v>
      </c>
      <c r="N1705" s="55">
        <f ca="1">IFERROR(__xludf.DUMMYFUNCTION("""COMPUTED_VALUE"""),44926)</f>
        <v>44926</v>
      </c>
      <c r="O1705" s="25" t="str">
        <f t="shared" ca="1" si="0"/>
        <v>Instituto Distrital de la Participación y Acción Comunal</v>
      </c>
      <c r="P1705" s="25" t="str">
        <f t="shared" si="2"/>
        <v/>
      </c>
      <c r="Q1705" s="25" t="str">
        <f ca="1">IFERROR(__xludf.DUMMYFUNCTION("""COMPUTED_VALUE"""),"Corto plazo")</f>
        <v>Corto plazo</v>
      </c>
      <c r="R1705" s="25"/>
      <c r="S1705" s="55"/>
      <c r="T1705" s="56"/>
      <c r="U1705" s="25"/>
      <c r="V1705" s="25"/>
      <c r="W1705" s="25"/>
      <c r="X1705" s="25"/>
      <c r="Y1705" s="25"/>
      <c r="Z1705" s="25"/>
    </row>
    <row r="1706" spans="1:26" ht="52.5" customHeight="1" x14ac:dyDescent="0.25">
      <c r="A1706" s="25" t="str">
        <f ca="1">IFERROR(__xludf.DUMMYFUNCTION("""COMPUTED_VALUE"""),"Gobie204")</f>
        <v>Gobie204</v>
      </c>
      <c r="B1706" s="25" t="str">
        <f ca="1">IFERROR(__xludf.DUMMYFUNCTION("""COMPUTED_VALUE"""),"Consejo Local de Gobienro de Teusaquillo")</f>
        <v>Consejo Local de Gobienro de Teusaquillo</v>
      </c>
      <c r="C1706" s="55">
        <f ca="1">IFERROR(__xludf.DUMMYFUNCTION("""COMPUTED_VALUE"""),44651)</f>
        <v>44651</v>
      </c>
      <c r="D1706" s="25" t="str">
        <f ca="1">IFERROR(__xludf.DUMMYFUNCTION("""COMPUTED_VALUE"""),"Gobierno")</f>
        <v>Gobierno</v>
      </c>
      <c r="E1706" s="25" t="str">
        <f ca="1">IFERROR(__xludf.DUMMYFUNCTION("""COMPUTED_VALUE"""),"Alcaldía Local")</f>
        <v>Alcaldía Local</v>
      </c>
      <c r="F1706" s="25" t="str">
        <f ca="1">IFERROR(__xludf.DUMMYFUNCTION("""COMPUTED_VALUE"""),"Revisar los procesos policivos relacionados con la invasión de espacio público de la calle 49 con cra 20 por parte de la Universidad Ecci, y la orden de demolición de un edificio incumpliendo el POT")</f>
        <v>Revisar los procesos policivos relacionados con la invasión de espacio público de la calle 49 con cra 20 por parte de la Universidad Ecci, y la orden de demolición de un edificio incumpliendo el POT</v>
      </c>
      <c r="G1706" s="25" t="str">
        <f ca="1">IFERROR(__xludf.DUMMYFUNCTION("""COMPUTED_VALUE"""),"13. Teusaquillo")</f>
        <v>13. Teusaquillo</v>
      </c>
      <c r="H1706" s="55">
        <f ca="1">IFERROR(__xludf.DUMMYFUNCTION("""COMPUTED_VALUE"""),45077)</f>
        <v>45077</v>
      </c>
      <c r="I1706" s="25" t="str">
        <f ca="1">IFERROR(__xludf.DUMMYFUNCTION("""COMPUTED_VALUE"""),"Delivery Unit")</f>
        <v>Delivery Unit</v>
      </c>
      <c r="J1706" s="55" t="str">
        <f ca="1">IFERROR(__xludf.DUMMYFUNCTION("""COMPUTED_VALUE"""),"Media")</f>
        <v>Media</v>
      </c>
      <c r="K1706" s="25">
        <f ca="1">IFERROR(__xludf.DUMMYFUNCTION("""COMPUTED_VALUE"""),426)</f>
        <v>426</v>
      </c>
      <c r="L1706" s="62">
        <f ca="1">IFERROR(__xludf.DUMMYFUNCTION("""COMPUTED_VALUE"""),45065)</f>
        <v>45065</v>
      </c>
      <c r="M1706" s="25" t="str">
        <f ca="1">IFERROR(__xludf.DUMMYFUNCTION("""COMPUTED_VALUE""")," La Actuación Administrativa es la 119 de 2015 del Régimen de Obras sobre inmueble ubicado en la Carrera 20 No. 49 - 24.  El día 7 de abril del año 2022 se notificó al Ministerio Público de la Resolución 203 del 2 de agosto de 2019, Por medio de la cual s"&amp;"e resolvió el recurso de Reposición. No obstante, al revisar el expediente nuevamente se evidencia que la resolución 201 del 31 de julio de 2018 no se encuentra notificada al ministerio público y no puede entenderse notificada por conducta concluyente, to"&amp;"da vez que debe hacerse por Acto Administrativo. Ahora bien, se enviará la Actuación Administrativa a la Personería Local de Teusaquillo, la cual será recibida el 23 de mayo  de 2023 cuando el agente del ministerio público designado para los expedientes d"&amp;"e obras regrese de vacaciones y pueda conocer del Acto Administrativo.
​Posteriormente se le dará traslado a la instancia de Cobro Persuasivo y posterior Coactivo.")</f>
        <v xml:space="preserve"> La Actuación Administrativa es la 119 de 2015 del Régimen de Obras sobre inmueble ubicado en la Carrera 20 No. 49 - 24.  El día 7 de abril del año 2022 se notificó al Ministerio Público de la Resolución 203 del 2 de agosto de 2019, Por medio de la cual se resolvió el recurso de Reposición. No obstante, al revisar el expediente nuevamente se evidencia que la resolución 201 del 31 de julio de 2018 no se encuentra notificada al ministerio público y no puede entenderse notificada por conducta concluyente, toda vez que debe hacerse por Acto Administrativo. Ahora bien, se enviará la Actuación Administrativa a la Personería Local de Teusaquillo, la cual será recibida el 23 de mayo  de 2023 cuando el agente del ministerio público designado para los expedientes de obras regrese de vacaciones y pueda conocer del Acto Administrativo.
​Posteriormente se le dará traslado a la instancia de Cobro Persuasivo y posterior Coactivo.</v>
      </c>
      <c r="N1706" s="25"/>
      <c r="O1706" s="25" t="str">
        <f t="shared" ca="1" si="0"/>
        <v>Alcaldía Local</v>
      </c>
      <c r="P1706" s="25" t="str">
        <f t="shared" ca="1" si="2"/>
        <v/>
      </c>
      <c r="Q1706" s="25" t="str">
        <f ca="1">IFERROR(__xludf.DUMMYFUNCTION("""COMPUTED_VALUE"""),"Largo plazo")</f>
        <v>Largo plazo</v>
      </c>
      <c r="R1706" s="25"/>
      <c r="S1706" s="55"/>
      <c r="T1706" s="56"/>
      <c r="U1706" s="25"/>
      <c r="V1706" s="25"/>
      <c r="W1706" s="25"/>
      <c r="X1706" s="25"/>
      <c r="Y1706" s="25"/>
      <c r="Z1706" s="25"/>
    </row>
    <row r="1707" spans="1:26" ht="52.5" customHeight="1" x14ac:dyDescent="0.25">
      <c r="A1707" s="25" t="str">
        <f ca="1">IFERROR(__xludf.DUMMYFUNCTION("""COMPUTED_VALUE"""),"Gobie205")</f>
        <v>Gobie205</v>
      </c>
      <c r="B1707" s="25" t="str">
        <f ca="1">IFERROR(__xludf.DUMMYFUNCTION("""COMPUTED_VALUE"""),"Consejo Local de Gobienro de Teusaquillo")</f>
        <v>Consejo Local de Gobienro de Teusaquillo</v>
      </c>
      <c r="C1707" s="55">
        <f ca="1">IFERROR(__xludf.DUMMYFUNCTION("""COMPUTED_VALUE"""),44651)</f>
        <v>44651</v>
      </c>
      <c r="D1707" s="25" t="str">
        <f ca="1">IFERROR(__xludf.DUMMYFUNCTION("""COMPUTED_VALUE"""),"Gobierno")</f>
        <v>Gobierno</v>
      </c>
      <c r="E1707" s="25" t="str">
        <f ca="1">IFERROR(__xludf.DUMMYFUNCTION("""COMPUTED_VALUE"""),"Alcaldía Local")</f>
        <v>Alcaldía Local</v>
      </c>
      <c r="F1707" s="25" t="str">
        <f ca="1">IFERROR(__xludf.DUMMYFUNCTION("""COMPUTED_VALUE"""),"Tomar una decisión definitiva frente a la afectación de la obra de la Alcaldía Local en el mes de julio, una vez terminen los estudis técnicos")</f>
        <v>Tomar una decisión definitiva frente a la afectación de la obra de la Alcaldía Local en el mes de julio, una vez terminen los estudis técnicos</v>
      </c>
      <c r="G1707" s="25" t="str">
        <f ca="1">IFERROR(__xludf.DUMMYFUNCTION("""COMPUTED_VALUE"""),"13. Teusaquillo")</f>
        <v>13. Teusaquillo</v>
      </c>
      <c r="H1707" s="55">
        <f ca="1">IFERROR(__xludf.DUMMYFUNCTION("""COMPUTED_VALUE"""),45077)</f>
        <v>45077</v>
      </c>
      <c r="I1707" s="25" t="str">
        <f ca="1">IFERROR(__xludf.DUMMYFUNCTION("""COMPUTED_VALUE"""),"Delivery Unit")</f>
        <v>Delivery Unit</v>
      </c>
      <c r="J1707" s="55" t="str">
        <f ca="1">IFERROR(__xludf.DUMMYFUNCTION("""COMPUTED_VALUE"""),"Alta")</f>
        <v>Alta</v>
      </c>
      <c r="K1707" s="25">
        <f ca="1">IFERROR(__xludf.DUMMYFUNCTION("""COMPUTED_VALUE"""),426)</f>
        <v>426</v>
      </c>
      <c r="L1707" s="62">
        <f ca="1">IFERROR(__xludf.DUMMYFUNCTION("""COMPUTED_VALUE"""),45065)</f>
        <v>45065</v>
      </c>
      <c r="M1707" s="25" t="str">
        <f ca="1">IFERROR(__xludf.DUMMYFUNCTION("""COMPUTED_VALUE"""),"Una vez se presento acuerdo conciliario entre las partes en sede administrativa en la Procuraduria General de la Nación, este fue enviado al juez competente, es decir el Tribunal Administrativo de Cundinamarca para aprobar o Inaprobar el acuerdo conciliat"&amp;"orio, el reparto le correspondio a la sección primera del Tribunal Administrativo de Cundinamarca bajo el radicado 25000234100020230001400, este se encuentra al despacho desde el 11 de enero de 2023 para estudiar y/o en su defecto aprobar o inaprobar el a"&amp;"cuerdo enviado desde la Procuraduria General.")</f>
        <v>Una vez se presento acuerdo conciliario entre las partes en sede administrativa en la Procuraduria General de la Nación, este fue enviado al juez competente, es decir el Tribunal Administrativo de Cundinamarca para aprobar o Inaprobar el acuerdo conciliatorio, el reparto le correspondio a la sección primera del Tribunal Administrativo de Cundinamarca bajo el radicado 25000234100020230001400, este se encuentra al despacho desde el 11 de enero de 2023 para estudiar y/o en su defecto aprobar o inaprobar el acuerdo enviado desde la Procuraduria General.</v>
      </c>
      <c r="N1707" s="25"/>
      <c r="O1707" s="25" t="str">
        <f t="shared" ca="1" si="0"/>
        <v>Alcaldía Local</v>
      </c>
      <c r="P1707" s="25" t="str">
        <f t="shared" ca="1" si="2"/>
        <v/>
      </c>
      <c r="Q1707" s="25" t="str">
        <f ca="1">IFERROR(__xludf.DUMMYFUNCTION("""COMPUTED_VALUE"""),"Largo plazo")</f>
        <v>Largo plazo</v>
      </c>
      <c r="R1707" s="25"/>
      <c r="S1707" s="55"/>
      <c r="T1707" s="56"/>
      <c r="U1707" s="25"/>
      <c r="V1707" s="25"/>
      <c r="W1707" s="25"/>
      <c r="X1707" s="25"/>
      <c r="Y1707" s="25"/>
      <c r="Z1707" s="25"/>
    </row>
    <row r="1708" spans="1:26" ht="52.5" customHeight="1" x14ac:dyDescent="0.25">
      <c r="A1708" s="25" t="str">
        <f ca="1">IFERROR(__xludf.DUMMYFUNCTION("""COMPUTED_VALUE"""),"Gobie206")</f>
        <v>Gobie206</v>
      </c>
      <c r="B1708" s="25" t="str">
        <f ca="1">IFERROR(__xludf.DUMMYFUNCTION("""COMPUTED_VALUE"""),"Consejo Local de Gobienro de Teusaquillo")</f>
        <v>Consejo Local de Gobienro de Teusaquillo</v>
      </c>
      <c r="C1708" s="55">
        <f ca="1">IFERROR(__xludf.DUMMYFUNCTION("""COMPUTED_VALUE"""),44651)</f>
        <v>44651</v>
      </c>
      <c r="D1708" s="25" t="str">
        <f ca="1">IFERROR(__xludf.DUMMYFUNCTION("""COMPUTED_VALUE"""),"Gobierno")</f>
        <v>Gobierno</v>
      </c>
      <c r="E1708" s="25" t="str">
        <f ca="1">IFERROR(__xludf.DUMMYFUNCTION("""COMPUTED_VALUE"""),"Secretaría Distrital de Gobierno")</f>
        <v>Secretaría Distrital de Gobierno</v>
      </c>
      <c r="F1708" s="25" t="str">
        <f ca="1">IFERROR(__xludf.DUMMYFUNCTION("""COMPUTED_VALUE"""),"Arreglar y adecuar la estructura de las materas del separador de la calle 57")</f>
        <v>Arreglar y adecuar la estructura de las materas del separador de la calle 57</v>
      </c>
      <c r="G1708" s="25" t="str">
        <f ca="1">IFERROR(__xludf.DUMMYFUNCTION("""COMPUTED_VALUE"""),"13. Teusaquillo")</f>
        <v>13. Teusaquillo</v>
      </c>
      <c r="H1708" s="55">
        <f ca="1">IFERROR(__xludf.DUMMYFUNCTION("""COMPUTED_VALUE"""),44754)</f>
        <v>44754</v>
      </c>
      <c r="I1708" s="25"/>
      <c r="J1708" s="55" t="str">
        <f ca="1">IFERROR(__xludf.DUMMYFUNCTION("""COMPUTED_VALUE"""),"Media")</f>
        <v>Media</v>
      </c>
      <c r="K1708" s="25">
        <f ca="1">IFERROR(__xludf.DUMMYFUNCTION("""COMPUTED_VALUE"""),103)</f>
        <v>103</v>
      </c>
      <c r="L1708" s="62">
        <f ca="1">IFERROR(__xludf.DUMMYFUNCTION("""COMPUTED_VALUE"""),44754)</f>
        <v>44754</v>
      </c>
      <c r="M1708" s="25" t="str">
        <f ca="1">IFERROR(__xludf.DUMMYFUNCTION("""COMPUTED_VALUE"""),"El 12 de julio de 2022 con la participación de la Mesa Local de Barras de Teusaquillo y vecinos del sector, finalizó la jornada de embellecimiento de la calle 57 y el entorno del estadio El Campín. El corredor de Las Palmeras se convirtió en un espacio cu"&amp;"ltural y turístico desde el cual se pueda promover la convivencia.")</f>
        <v>El 12 de julio de 2022 con la participación de la Mesa Local de Barras de Teusaquillo y vecinos del sector, finalizó la jornada de embellecimiento de la calle 57 y el entorno del estadio El Campín. El corredor de Las Palmeras se convirtió en un espacio cultural y turístico desde el cual se pueda promover la convivencia.</v>
      </c>
      <c r="N1708" s="55">
        <f ca="1">IFERROR(__xludf.DUMMYFUNCTION("""COMPUTED_VALUE"""),44926)</f>
        <v>44926</v>
      </c>
      <c r="O1708" s="25" t="str">
        <f t="shared" ca="1" si="0"/>
        <v>Secretaría Distrital de Gobierno</v>
      </c>
      <c r="P1708" s="25" t="str">
        <f t="shared" si="2"/>
        <v/>
      </c>
      <c r="Q1708" s="25" t="str">
        <f ca="1">IFERROR(__xludf.DUMMYFUNCTION("""COMPUTED_VALUE"""),"Mediano plazo")</f>
        <v>Mediano plazo</v>
      </c>
      <c r="R1708" s="25"/>
      <c r="S1708" s="55"/>
      <c r="T1708" s="56"/>
      <c r="U1708" s="25"/>
      <c r="V1708" s="25"/>
      <c r="W1708" s="25"/>
      <c r="X1708" s="25"/>
      <c r="Y1708" s="25"/>
      <c r="Z1708" s="25"/>
    </row>
    <row r="1709" spans="1:26" ht="52.5" customHeight="1" x14ac:dyDescent="0.25">
      <c r="A1709" s="25" t="str">
        <f ca="1">IFERROR(__xludf.DUMMYFUNCTION("""COMPUTED_VALUE"""),"Gobie207")</f>
        <v>Gobie207</v>
      </c>
      <c r="B1709" s="25" t="str">
        <f ca="1">IFERROR(__xludf.DUMMYFUNCTION("""COMPUTED_VALUE"""),"Consejo Local de Gobienro de Teusaquillo")</f>
        <v>Consejo Local de Gobienro de Teusaquillo</v>
      </c>
      <c r="C1709" s="55">
        <f ca="1">IFERROR(__xludf.DUMMYFUNCTION("""COMPUTED_VALUE"""),44651)</f>
        <v>44651</v>
      </c>
      <c r="D1709" s="25" t="str">
        <f ca="1">IFERROR(__xludf.DUMMYFUNCTION("""COMPUTED_VALUE"""),"Gobierno")</f>
        <v>Gobierno</v>
      </c>
      <c r="E1709" s="25" t="str">
        <f ca="1">IFERROR(__xludf.DUMMYFUNCTION("""COMPUTED_VALUE"""),"Alcaldía Local")</f>
        <v>Alcaldía Local</v>
      </c>
      <c r="F1709" s="25" t="str">
        <f ca="1">IFERROR(__xludf.DUMMYFUNCTION("""COMPUTED_VALUE"""),"Verificar la situación de inseguridad que se está presentando en la carrera 30 con calle 40 (Esquina del Edificio Hernández)")</f>
        <v>Verificar la situación de inseguridad que se está presentando en la carrera 30 con calle 40 (Esquina del Edificio Hernández)</v>
      </c>
      <c r="G1709" s="25" t="str">
        <f ca="1">IFERROR(__xludf.DUMMYFUNCTION("""COMPUTED_VALUE"""),"13. Teusaquillo")</f>
        <v>13. Teusaquillo</v>
      </c>
      <c r="H1709" s="55">
        <f ca="1">IFERROR(__xludf.DUMMYFUNCTION("""COMPUTED_VALUE"""),44686)</f>
        <v>44686</v>
      </c>
      <c r="I1709" s="25"/>
      <c r="J1709" s="55" t="str">
        <f ca="1">IFERROR(__xludf.DUMMYFUNCTION("""COMPUTED_VALUE"""),"Alta")</f>
        <v>Alta</v>
      </c>
      <c r="K1709" s="25">
        <f ca="1">IFERROR(__xludf.DUMMYFUNCTION("""COMPUTED_VALUE"""),35)</f>
        <v>35</v>
      </c>
      <c r="L1709" s="62">
        <f ca="1">IFERROR(__xludf.DUMMYFUNCTION("""COMPUTED_VALUE"""),45066)</f>
        <v>45066</v>
      </c>
      <c r="M1709" s="25" t="str">
        <f ca="1">IFERROR(__xludf.DUMMYFUNCTION("""COMPUTED_VALUE"""),"Por parte de la Alcaldía Local se realizaron las siguientes acciones:
 - Solicitó a la Secretaría de Seguridad la conformación de una red Ciudadana con los habitantes del Edificio Hernández
 - En coordinación con Integración Social, se han realizado recor"&amp;"ridos con el fin de identificar habitantes de calle en el sector
 - Se realizaron actividades de prevención diurnas con Gestores de Convivencia en el sector, así como operativos de IVC en establecimientos alrededor del sector.
 - Se dió instrucción al per"&amp;"sonal de seguridad de la sede de la Alcaldía, ubicada junto al Edificio Hernández, para que informen de manera inmediata cualquier situación de riesgo que observen")</f>
        <v>Por parte de la Alcaldía Local se realizaron las siguientes acciones:
 - Solicitó a la Secretaría de Seguridad la conformación de una red Ciudadana con los habitantes del Edificio Hernández
 - En coordinación con Integración Social, se han realizado recorridos con el fin de identificar habitantes de calle en el sector
 - Se realizaron actividades de prevención diurnas con Gestores de Convivencia en el sector, así como operativos de IVC en establecimientos alrededor del sector.
 - Se dió instrucción al personal de seguridad de la sede de la Alcaldía, ubicada junto al Edificio Hernández, para que informen de manera inmediata cualquier situación de riesgo que observen</v>
      </c>
      <c r="N1709" s="55">
        <f ca="1">IFERROR(__xludf.DUMMYFUNCTION("""COMPUTED_VALUE"""),44926)</f>
        <v>44926</v>
      </c>
      <c r="O1709" s="25" t="str">
        <f t="shared" ca="1" si="0"/>
        <v>Alcaldía Local</v>
      </c>
      <c r="P1709" s="25" t="str">
        <f t="shared" si="2"/>
        <v/>
      </c>
      <c r="Q1709" s="25" t="str">
        <f ca="1">IFERROR(__xludf.DUMMYFUNCTION("""COMPUTED_VALUE"""),"Corto plazo")</f>
        <v>Corto plazo</v>
      </c>
      <c r="R1709" s="25"/>
      <c r="S1709" s="55"/>
      <c r="T1709" s="56"/>
      <c r="U1709" s="25"/>
      <c r="V1709" s="25"/>
      <c r="W1709" s="25"/>
      <c r="X1709" s="25"/>
      <c r="Y1709" s="25"/>
      <c r="Z1709" s="25"/>
    </row>
    <row r="1710" spans="1:26" ht="52.5" customHeight="1" x14ac:dyDescent="0.25">
      <c r="A1710" s="25" t="str">
        <f ca="1">IFERROR(__xludf.DUMMYFUNCTION("""COMPUTED_VALUE"""),"Gobie208")</f>
        <v>Gobie208</v>
      </c>
      <c r="B1710" s="25" t="str">
        <f ca="1">IFERROR(__xludf.DUMMYFUNCTION("""COMPUTED_VALUE"""),"Consejo Local de Gobierno de Tunjuelito")</f>
        <v>Consejo Local de Gobierno de Tunjuelito</v>
      </c>
      <c r="C1710" s="55">
        <f ca="1">IFERROR(__xludf.DUMMYFUNCTION("""COMPUTED_VALUE"""),44686)</f>
        <v>44686</v>
      </c>
      <c r="D1710" s="25" t="str">
        <f ca="1">IFERROR(__xludf.DUMMYFUNCTION("""COMPUTED_VALUE"""),"Gobierno")</f>
        <v>Gobierno</v>
      </c>
      <c r="E1710" s="25" t="str">
        <f ca="1">IFERROR(__xludf.DUMMYFUNCTION("""COMPUTED_VALUE"""),"Alcaldía Local")</f>
        <v>Alcaldía Local</v>
      </c>
      <c r="F1710" s="25" t="str">
        <f ca="1">IFERROR(__xludf.DUMMYFUNCTION("""COMPUTED_VALUE"""),"Organizar una mesa de trabajo entre Seguridad, Movilidad y Educación para crear una red de cuidado entre los comerciantes y las directivas del Colegio Liceo Campo David (Calle 46 sur con Carrera 21) y solucionar los problemas de inseguridad y movilidad qu"&amp;"e se presentan.")</f>
        <v>Organizar una mesa de trabajo entre Seguridad, Movilidad y Educación para crear una red de cuidado entre los comerciantes y las directivas del Colegio Liceo Campo David (Calle 46 sur con Carrera 21) y solucionar los problemas de inseguridad y movilidad que se presentan.</v>
      </c>
      <c r="G1710" s="25" t="str">
        <f ca="1">IFERROR(__xludf.DUMMYFUNCTION("""COMPUTED_VALUE"""),"06. Tunjuelito")</f>
        <v>06. Tunjuelito</v>
      </c>
      <c r="H1710" s="55">
        <f ca="1">IFERROR(__xludf.DUMMYFUNCTION("""COMPUTED_VALUE"""),44854)</f>
        <v>44854</v>
      </c>
      <c r="I1710" s="25"/>
      <c r="J1710" s="55" t="str">
        <f ca="1">IFERROR(__xludf.DUMMYFUNCTION("""COMPUTED_VALUE"""),"Media")</f>
        <v>Media</v>
      </c>
      <c r="K1710" s="25">
        <f ca="1">IFERROR(__xludf.DUMMYFUNCTION("""COMPUTED_VALUE"""),168)</f>
        <v>168</v>
      </c>
      <c r="L1710" s="62">
        <f ca="1">IFERROR(__xludf.DUMMYFUNCTION("""COMPUTED_VALUE"""),44699)</f>
        <v>44699</v>
      </c>
      <c r="M1710" s="25" t="str">
        <f ca="1">IFERROR(__xludf.DUMMYFUNCTION("""COMPUTED_VALUE"""),"Resultado de la reunión se programaron operativos conjuntos desde la Alcaldía local de Tunjuelito y la Alcaldía local de Rafael Uribe Uribe para recuperacion del espacio público en andenes, por extensión de la actividad económica. Pendiente operativos con"&amp;" SDM y MEBOG Sección de Tránsito y Transporte. Sin cronograma.")</f>
        <v>Resultado de la reunión se programaron operativos conjuntos desde la Alcaldía local de Tunjuelito y la Alcaldía local de Rafael Uribe Uribe para recuperacion del espacio público en andenes, por extensión de la actividad económica. Pendiente operativos con SDM y MEBOG Sección de Tránsito y Transporte. Sin cronograma.</v>
      </c>
      <c r="N1710" s="55">
        <f ca="1">IFERROR(__xludf.DUMMYFUNCTION("""COMPUTED_VALUE"""),44926)</f>
        <v>44926</v>
      </c>
      <c r="O1710" s="25" t="str">
        <f t="shared" ca="1" si="0"/>
        <v>Alcaldía Local</v>
      </c>
      <c r="P1710" s="25" t="str">
        <f t="shared" si="2"/>
        <v/>
      </c>
      <c r="Q1710" s="25" t="str">
        <f ca="1">IFERROR(__xludf.DUMMYFUNCTION("""COMPUTED_VALUE"""),"Mediano plazo")</f>
        <v>Mediano plazo</v>
      </c>
      <c r="R1710" s="25"/>
      <c r="S1710" s="55"/>
      <c r="T1710" s="56"/>
      <c r="U1710" s="25"/>
      <c r="V1710" s="25"/>
      <c r="W1710" s="25"/>
      <c r="X1710" s="25"/>
      <c r="Y1710" s="25"/>
      <c r="Z1710" s="25"/>
    </row>
    <row r="1711" spans="1:26" ht="52.5" customHeight="1" x14ac:dyDescent="0.25">
      <c r="A1711" s="25" t="str">
        <f ca="1">IFERROR(__xludf.DUMMYFUNCTION("""COMPUTED_VALUE"""),"Gobie209")</f>
        <v>Gobie209</v>
      </c>
      <c r="B1711" s="25" t="str">
        <f ca="1">IFERROR(__xludf.DUMMYFUNCTION("""COMPUTED_VALUE"""),"Consejo Local de Gobierno de Tunjuelito")</f>
        <v>Consejo Local de Gobierno de Tunjuelito</v>
      </c>
      <c r="C1711" s="55">
        <f ca="1">IFERROR(__xludf.DUMMYFUNCTION("""COMPUTED_VALUE"""),44686)</f>
        <v>44686</v>
      </c>
      <c r="D1711" s="25" t="str">
        <f ca="1">IFERROR(__xludf.DUMMYFUNCTION("""COMPUTED_VALUE"""),"Gobierno")</f>
        <v>Gobierno</v>
      </c>
      <c r="E1711" s="25" t="str">
        <f ca="1">IFERROR(__xludf.DUMMYFUNCTION("""COMPUTED_VALUE"""),"Secretaría Distrital de Gobierno")</f>
        <v>Secretaría Distrital de Gobierno</v>
      </c>
      <c r="F1711" s="25" t="str">
        <f ca="1">IFERROR(__xludf.DUMMYFUNCTION("""COMPUTED_VALUE"""),"Contactar a la Directora del ICBF para solicitar respuesta sobre el mantenimiento del parque del barrio Villa Ximena y la entrega de la póliza que se necesita para que IDRD y DAPED puedan recibirlo")</f>
        <v>Contactar a la Directora del ICBF para solicitar respuesta sobre el mantenimiento del parque del barrio Villa Ximena y la entrega de la póliza que se necesita para que IDRD y DAPED puedan recibirlo</v>
      </c>
      <c r="G1711" s="25" t="str">
        <f ca="1">IFERROR(__xludf.DUMMYFUNCTION("""COMPUTED_VALUE"""),"06. Tunjuelito")</f>
        <v>06. Tunjuelito</v>
      </c>
      <c r="H1711" s="55">
        <f ca="1">IFERROR(__xludf.DUMMYFUNCTION("""COMPUTED_VALUE"""),44894)</f>
        <v>44894</v>
      </c>
      <c r="I1711" s="25"/>
      <c r="J1711" s="55" t="str">
        <f ca="1">IFERROR(__xludf.DUMMYFUNCTION("""COMPUTED_VALUE"""),"Baja")</f>
        <v>Baja</v>
      </c>
      <c r="K1711" s="25">
        <f ca="1">IFERROR(__xludf.DUMMYFUNCTION("""COMPUTED_VALUE"""),208)</f>
        <v>208</v>
      </c>
      <c r="L1711" s="62">
        <f ca="1">IFERROR(__xludf.DUMMYFUNCTION("""COMPUTED_VALUE"""),44691)</f>
        <v>44691</v>
      </c>
      <c r="M1711" s="25" t="str">
        <f ca="1">IFERROR(__xludf.DUMMYFUNCTION("""COMPUTED_VALUE"""),"El ICBF entregó a la Financiera de Desarrollo Territorial FINDETER la labor de construir el parque El Redentor en un predio situado al lado del centro de reclusión de menores, el cual, una vez terminado será entregado al IDRD, sin embargo, este sigue apar"&amp;"eciendo como parte de la correccional. Es decir, no se hizo el desenglobe del predio. 
 La alcaldía de Tunjuelito indicó que debe haber una licencia para el desenglobe, luego hacer entregar al DADEP y, posteriormente, pasar a manos del IDRD. Desde la Su"&amp;"bsecretaría de Gestión Local se gestionó ante la Secretaría de Planeación un certificado de licencia que hacía falta para el trámite notarial que ya se obtuvo. 
 Respecto a la póliza se está evaluando la posibilidad de recibir de manera temporal la gara"&amp;"ntía de obra, mientras el ICBF entrega la garantía final. El ICBF se encuentra realizando mantenimiento al parque, una vez finalicen estas actividades se procederá a la entregará al Dadep e IDRD.")</f>
        <v>El ICBF entregó a la Financiera de Desarrollo Territorial FINDETER la labor de construir el parque El Redentor en un predio situado al lado del centro de reclusión de menores, el cual, una vez terminado será entregado al IDRD, sin embargo, este sigue apareciendo como parte de la correccional. Es decir, no se hizo el desenglobe del predio. 
 La alcaldía de Tunjuelito indicó que debe haber una licencia para el desenglobe, luego hacer entregar al DADEP y, posteriormente, pasar a manos del IDRD. Desde la Subsecretaría de Gestión Local se gestionó ante la Secretaría de Planeación un certificado de licencia que hacía falta para el trámite notarial que ya se obtuvo. 
 Respecto a la póliza se está evaluando la posibilidad de recibir de manera temporal la garantía de obra, mientras el ICBF entrega la garantía final. El ICBF se encuentra realizando mantenimiento al parque, una vez finalicen estas actividades se procederá a la entregará al Dadep e IDRD.</v>
      </c>
      <c r="N1711" s="55">
        <f ca="1">IFERROR(__xludf.DUMMYFUNCTION("""COMPUTED_VALUE"""),44926)</f>
        <v>44926</v>
      </c>
      <c r="O1711" s="25" t="str">
        <f t="shared" ca="1" si="0"/>
        <v>Secretaría Distrital de Gobierno</v>
      </c>
      <c r="P1711" s="25" t="str">
        <f t="shared" si="2"/>
        <v/>
      </c>
      <c r="Q1711" s="25" t="str">
        <f ca="1">IFERROR(__xludf.DUMMYFUNCTION("""COMPUTED_VALUE"""),"Largo plazo")</f>
        <v>Largo plazo</v>
      </c>
      <c r="R1711" s="25"/>
      <c r="S1711" s="55"/>
      <c r="T1711" s="56"/>
      <c r="U1711" s="25"/>
      <c r="V1711" s="25"/>
      <c r="W1711" s="25"/>
      <c r="X1711" s="25"/>
      <c r="Y1711" s="25"/>
      <c r="Z1711" s="25"/>
    </row>
    <row r="1712" spans="1:26" ht="52.5" customHeight="1" x14ac:dyDescent="0.25">
      <c r="A1712" s="25" t="str">
        <f ca="1">IFERROR(__xludf.DUMMYFUNCTION("""COMPUTED_VALUE"""),"Gobie210")</f>
        <v>Gobie210</v>
      </c>
      <c r="B1712" s="25" t="str">
        <f ca="1">IFERROR(__xludf.DUMMYFUNCTION("""COMPUTED_VALUE"""),"Consejo Local de Gobierno de Tunjuelito")</f>
        <v>Consejo Local de Gobierno de Tunjuelito</v>
      </c>
      <c r="C1712" s="55">
        <f ca="1">IFERROR(__xludf.DUMMYFUNCTION("""COMPUTED_VALUE"""),44686)</f>
        <v>44686</v>
      </c>
      <c r="D1712" s="25" t="str">
        <f ca="1">IFERROR(__xludf.DUMMYFUNCTION("""COMPUTED_VALUE"""),"Gobierno")</f>
        <v>Gobierno</v>
      </c>
      <c r="E1712" s="25" t="str">
        <f ca="1">IFERROR(__xludf.DUMMYFUNCTION("""COMPUTED_VALUE"""),"Instituto Distrital de la Participación y Acción Comunal")</f>
        <v>Instituto Distrital de la Participación y Acción Comunal</v>
      </c>
      <c r="F1712" s="25" t="str">
        <f ca="1">IFERROR(__xludf.DUMMYFUNCTION("""COMPUTED_VALUE"""),"Brindar soluciones para la problemática que se está presentando en ""Huerta de la abundancia"" (barrio El Carmen) del proyecto Obras con Saldo Pedagógico")</f>
        <v>Brindar soluciones para la problemática que se está presentando en "Huerta de la abundancia" (barrio El Carmen) del proyecto Obras con Saldo Pedagógico</v>
      </c>
      <c r="G1712" s="25" t="str">
        <f ca="1">IFERROR(__xludf.DUMMYFUNCTION("""COMPUTED_VALUE"""),"06. Tunjuelito")</f>
        <v>06. Tunjuelito</v>
      </c>
      <c r="H1712" s="55">
        <f ca="1">IFERROR(__xludf.DUMMYFUNCTION("""COMPUTED_VALUE"""),44789)</f>
        <v>44789</v>
      </c>
      <c r="I1712" s="25"/>
      <c r="J1712" s="55" t="str">
        <f ca="1">IFERROR(__xludf.DUMMYFUNCTION("""COMPUTED_VALUE"""),"Media")</f>
        <v>Media</v>
      </c>
      <c r="K1712" s="25">
        <f ca="1">IFERROR(__xludf.DUMMYFUNCTION("""COMPUTED_VALUE"""),103)</f>
        <v>103</v>
      </c>
      <c r="L1712" s="62">
        <f ca="1">IFERROR(__xludf.DUMMYFUNCTION("""COMPUTED_VALUE"""),44687)</f>
        <v>44687</v>
      </c>
      <c r="M1712" s="25" t="str">
        <f ca="1">IFERROR(__xludf.DUMMYFUNCTION("""COMPUTED_VALUE"""),"El viernes 6 de mayo de 2022, el director general asistió a la obra de embellecimiento adyacente a la huerta para conversar con las partes y buscar así una salida. Sin embargo, no se evidenció participación de algún representante del colectivo Huerta La A"&amp;"bundancia (solicitante). Razón por la cual, no se pudo dar inicio al proceso de diálogo.
 Se remite el 10 de mayo de 2022, correo electrónico por parte del director general para que se lleve a cabo reunión la próxima semana, en la sede del salón comunal"&amp;" JAC El Carmen Sur, en presencia de la Alcaldía Local, el IDPAC, Jardín Botánico, las partes de la comunidad y la Personería Local.
 En aras de garantizar la apropiación del espacio público donde se ejecutó la Obra con Saldo Pedagógico y el cuidado del "&amp;"mismo por parte de la comunidad y organizaciones sociales, el día 20 de mayo de 2022 se realizó una mesa de diálogo y concertación en las instalaciones de la Casa de la Cultura de Tunjuelito a la que asistieron los siguientes actores presentes en el terri"&amp;"torio: Corporación Mujeres Sembrando Cultura, JAC el Carmen Sur, Colectivo Huerta la Abundancia, Personería local, Jardín Botánico, Gestores ambientales, Alcalde local. El espacio fue acompañado por el IDPAC (Estrategia Pactando, Gerencia de Proyectos y S"&amp;"ubdirección de Asuntos Comunales). El acuerdo generado a partir del dialogo fue el siguiente:
 - Instalación por parte de la Alcaldía Local de Tunjuelito de otra puerta en el espacio donde se encuentra la huerta (parque el Carmen sur) para que cada orga"&amp;"nización (Colectivo Huerta la Abundancia y Corporación Mujeres Sembrando Cultura), tengan el acceso de manera independiente y se haga una división con sembrado de plantas; esta división dependerá de los metros del espacio y la ubicación de las camas de si"&amp;"embra. Este trabajo se realizó el 20 de mayo de 2022.
 - Realizar una reunión para dar inicio al proceso de Pacto (con la metodología de la Estrategia Pactando del IDPAC), el día 10 de junio de 2022 a las 2 pm, en el parque el Carmen.
 Posterior a las"&amp;" reuniones realizadas bajo la metodología de la Estrategia Pactando del Idpac, el 30 de junio de 2022 se firmó el Pacto Huertas el Carmen cuyo objetivo es realizar la división del espacio utilizado por la Junta de Acción Comunal, la Fundación Mujeres Semb"&amp;"rado Futuro y la Huerta la Abundancia, con el fin de dar por terminado los conflictos que se han venido presentando. Es de resaltar que las entidades involucradas son: Alcaldía Local de Tunjuelito, Personería Local, Jardín Botánico de Bogotá y el Institut"&amp;"o Distrital de la Participación y Acción Comunal, asimismo la comunidad involucrada es: Junta de Acción Comunal del barrio el Carmen Sur, Corporación Mujeres Sembrando Cultura Y colectivo Huerta la Abundancia.")</f>
        <v>El viernes 6 de mayo de 2022, el director general asistió a la obra de embellecimiento adyacente a la huerta para conversar con las partes y buscar así una salida. Sin embargo, no se evidenció participación de algún representante del colectivo Huerta La Abundancia (solicitante). Razón por la cual, no se pudo dar inicio al proceso de diálogo.
 Se remite el 10 de mayo de 2022, correo electrónico por parte del director general para que se lleve a cabo reunión la próxima semana, en la sede del salón comunal JAC El Carmen Sur, en presencia de la Alcaldía Local, el IDPAC, Jardín Botánico, las partes de la comunidad y la Personería Local.
 En aras de garantizar la apropiación del espacio público donde se ejecutó la Obra con Saldo Pedagógico y el cuidado del mismo por parte de la comunidad y organizaciones sociales, el día 20 de mayo de 2022 se realizó una mesa de diálogo y concertación en las instalaciones de la Casa de la Cultura de Tunjuelito a la que asistieron los siguientes actores presentes en el territorio: Corporación Mujeres Sembrando Cultura, JAC el Carmen Sur, Colectivo Huerta la Abundancia, Personería local, Jardín Botánico, Gestores ambientales, Alcalde local. El espacio fue acompañado por el IDPAC (Estrategia Pactando, Gerencia de Proyectos y Subdirección de Asuntos Comunales). El acuerdo generado a partir del dialogo fue el siguiente:
 - Instalación por parte de la Alcaldía Local de Tunjuelito de otra puerta en el espacio donde se encuentra la huerta (parque el Carmen sur) para que cada organización (Colectivo Huerta la Abundancia y Corporación Mujeres Sembrando Cultura), tengan el acceso de manera independiente y se haga una división con sembrado de plantas; esta división dependerá de los metros del espacio y la ubicación de las camas de siembra. Este trabajo se realizó el 20 de mayo de 2022.
 - Realizar una reunión para dar inicio al proceso de Pacto (con la metodología de la Estrategia Pactando del IDPAC), el día 10 de junio de 2022 a las 2 pm, en el parque el Carmen.
 Posterior a las reuniones realizadas bajo la metodología de la Estrategia Pactando del Idpac, el 30 de junio de 2022 se firmó el Pacto Huertas el Carmen cuyo objetivo es realizar la división del espacio utilizado por la Junta de Acción Comunal, la Fundación Mujeres Sembrado Futuro y la Huerta la Abundancia, con el fin de dar por terminado los conflictos que se han venido presentando. Es de resaltar que las entidades involucradas son: Alcaldía Local de Tunjuelito, Personería Local, Jardín Botánico de Bogotá y el Instituto Distrital de la Participación y Acción Comunal, asimismo la comunidad involucrada es: Junta de Acción Comunal del barrio el Carmen Sur, Corporación Mujeres Sembrando Cultura Y colectivo Huerta la Abundancia.</v>
      </c>
      <c r="N1712" s="55">
        <f ca="1">IFERROR(__xludf.DUMMYFUNCTION("""COMPUTED_VALUE"""),44926)</f>
        <v>44926</v>
      </c>
      <c r="O1712" s="25" t="str">
        <f t="shared" ca="1" si="0"/>
        <v>Instituto Distrital de la Participación y Acción Comunal</v>
      </c>
      <c r="P1712" s="25" t="str">
        <f t="shared" si="2"/>
        <v/>
      </c>
      <c r="Q1712" s="25" t="str">
        <f ca="1">IFERROR(__xludf.DUMMYFUNCTION("""COMPUTED_VALUE"""),"Mediano plazo")</f>
        <v>Mediano plazo</v>
      </c>
      <c r="R1712" s="25"/>
      <c r="S1712" s="55"/>
      <c r="T1712" s="56"/>
      <c r="U1712" s="25"/>
      <c r="V1712" s="25"/>
      <c r="W1712" s="25"/>
      <c r="X1712" s="25"/>
      <c r="Y1712" s="25"/>
      <c r="Z1712" s="25"/>
    </row>
    <row r="1713" spans="1:26" ht="52.5" customHeight="1" x14ac:dyDescent="0.25">
      <c r="A1713" s="25" t="str">
        <f ca="1">IFERROR(__xludf.DUMMYFUNCTION("""COMPUTED_VALUE"""),"Gobie211")</f>
        <v>Gobie211</v>
      </c>
      <c r="B1713" s="25" t="str">
        <f ca="1">IFERROR(__xludf.DUMMYFUNCTION("""COMPUTED_VALUE"""),"Consejo Local de Gobierno de Tunjuelito")</f>
        <v>Consejo Local de Gobierno de Tunjuelito</v>
      </c>
      <c r="C1713" s="55">
        <f ca="1">IFERROR(__xludf.DUMMYFUNCTION("""COMPUTED_VALUE"""),44686)</f>
        <v>44686</v>
      </c>
      <c r="D1713" s="25" t="str">
        <f ca="1">IFERROR(__xludf.DUMMYFUNCTION("""COMPUTED_VALUE"""),"Gobierno")</f>
        <v>Gobierno</v>
      </c>
      <c r="E1713" s="25" t="str">
        <f ca="1">IFERROR(__xludf.DUMMYFUNCTION("""COMPUTED_VALUE"""),"Alcaldía Local")</f>
        <v>Alcaldía Local</v>
      </c>
      <c r="F1713" s="25" t="str">
        <f ca="1">IFERROR(__xludf.DUMMYFUNCTION("""COMPUTED_VALUE"""),"Revisar el diseño del parque Laguneta para que se incluyan espacios para que los jovenes skaters puedan hacer sus actividades")</f>
        <v>Revisar el diseño del parque Laguneta para que se incluyan espacios para que los jovenes skaters puedan hacer sus actividades</v>
      </c>
      <c r="G1713" s="25" t="str">
        <f ca="1">IFERROR(__xludf.DUMMYFUNCTION("""COMPUTED_VALUE"""),"06. Tunjuelito")</f>
        <v>06. Tunjuelito</v>
      </c>
      <c r="H1713" s="25"/>
      <c r="I1713" s="25"/>
      <c r="J1713" s="55"/>
      <c r="K1713" s="25" t="str">
        <f ca="1">IFERROR(__xludf.DUMMYFUNCTION("""COMPUTED_VALUE"""),"Definir fecha")</f>
        <v>Definir fecha</v>
      </c>
      <c r="L1713" s="62">
        <f ca="1">IFERROR(__xludf.DUMMYFUNCTION("""COMPUTED_VALUE"""),44691)</f>
        <v>44691</v>
      </c>
      <c r="M1713" s="25" t="str">
        <f ca="1">IFERROR(__xludf.DUMMYFUNCTION("""COMPUTED_VALUE"""),"En este sentido revisando la informacion de los diseños aprobados por el IDRD en la urbanizacion Laguneta para el parque con Cod 06-054 con numero de radiacado 20195910088052 por el cual dan viabilidad tecnica a los diseños arquitectonica no se incluye es"&amp;"pacios par skaters. Es importante señalar que se ha mantenido comunicación con los jóvenes informándoles la situación.")</f>
        <v>En este sentido revisando la informacion de los diseños aprobados por el IDRD en la urbanizacion Laguneta para el parque con Cod 06-054 con numero de radiacado 20195910088052 por el cual dan viabilidad tecnica a los diseños arquitectonica no se incluye espacios par skaters. Es importante señalar que se ha mantenido comunicación con los jóvenes informándoles la situación.</v>
      </c>
      <c r="N1713" s="55">
        <f ca="1">IFERROR(__xludf.DUMMYFUNCTION("""COMPUTED_VALUE"""),44926)</f>
        <v>44926</v>
      </c>
      <c r="O1713" s="25" t="str">
        <f t="shared" ca="1" si="0"/>
        <v>Alcaldía Local</v>
      </c>
      <c r="P1713" s="25" t="str">
        <f t="shared" si="2"/>
        <v/>
      </c>
      <c r="Q1713" s="25" t="str">
        <f ca="1">IFERROR(__xludf.DUMMYFUNCTION("""COMPUTED_VALUE"""),"Sin defenir")</f>
        <v>Sin defenir</v>
      </c>
      <c r="R1713" s="25"/>
      <c r="S1713" s="55"/>
      <c r="T1713" s="56"/>
      <c r="U1713" s="25"/>
      <c r="V1713" s="25"/>
      <c r="W1713" s="25"/>
      <c r="X1713" s="25"/>
      <c r="Y1713" s="25"/>
      <c r="Z1713" s="25"/>
    </row>
    <row r="1714" spans="1:26" ht="52.5" customHeight="1" x14ac:dyDescent="0.25">
      <c r="A1714" s="25" t="str">
        <f ca="1">IFERROR(__xludf.DUMMYFUNCTION("""COMPUTED_VALUE"""),"Gobie212")</f>
        <v>Gobie212</v>
      </c>
      <c r="B1714" s="25" t="str">
        <f ca="1">IFERROR(__xludf.DUMMYFUNCTION("""COMPUTED_VALUE"""),"Consejo Local de Gobierno de Tunjuelito")</f>
        <v>Consejo Local de Gobierno de Tunjuelito</v>
      </c>
      <c r="C1714" s="55">
        <f ca="1">IFERROR(__xludf.DUMMYFUNCTION("""COMPUTED_VALUE"""),44686)</f>
        <v>44686</v>
      </c>
      <c r="D1714" s="25" t="str">
        <f ca="1">IFERROR(__xludf.DUMMYFUNCTION("""COMPUTED_VALUE"""),"Gobierno")</f>
        <v>Gobierno</v>
      </c>
      <c r="E1714" s="25" t="str">
        <f ca="1">IFERROR(__xludf.DUMMYFUNCTION("""COMPUTED_VALUE"""),"Alcaldía Local")</f>
        <v>Alcaldía Local</v>
      </c>
      <c r="F1714" s="25" t="str">
        <f ca="1">IFERROR(__xludf.DUMMYFUNCTION("""COMPUTED_VALUE"""),"Estudiar la propuesta de las Mujeres que Reverdecen sobre la formulación del plan de manejo de las zonas en las que se amplió el humedal y herramientas de seguridad dentro del humedal del Tunjo")</f>
        <v>Estudiar la propuesta de las Mujeres que Reverdecen sobre la formulación del plan de manejo de las zonas en las que se amplió el humedal y herramientas de seguridad dentro del humedal del Tunjo</v>
      </c>
      <c r="G1714" s="25" t="str">
        <f ca="1">IFERROR(__xludf.DUMMYFUNCTION("""COMPUTED_VALUE"""),"06. Tunjuelito")</f>
        <v>06. Tunjuelito</v>
      </c>
      <c r="H1714" s="55">
        <f ca="1">IFERROR(__xludf.DUMMYFUNCTION("""COMPUTED_VALUE"""),45077)</f>
        <v>45077</v>
      </c>
      <c r="I1714" s="25" t="str">
        <f ca="1">IFERROR(__xludf.DUMMYFUNCTION("""COMPUTED_VALUE"""),"Delivery Unit")</f>
        <v>Delivery Unit</v>
      </c>
      <c r="J1714" s="55" t="str">
        <f ca="1">IFERROR(__xludf.DUMMYFUNCTION("""COMPUTED_VALUE"""),"Media")</f>
        <v>Media</v>
      </c>
      <c r="K1714" s="25">
        <f ca="1">IFERROR(__xludf.DUMMYFUNCTION("""COMPUTED_VALUE"""),391)</f>
        <v>391</v>
      </c>
      <c r="L1714" s="62">
        <f ca="1">IFERROR(__xludf.DUMMYFUNCTION("""COMPUTED_VALUE"""),45062)</f>
        <v>45062</v>
      </c>
      <c r="M1714" s="25" t="str">
        <f ca="1">IFERROR(__xludf.DUMMYFUNCTION("""COMPUTED_VALUE"""),"la Secretaria Distrital de Ambiente adelanto para el presente año el proceso de inscripción del programa de mujeres que reverdecen en el que desarrollaran acciones de mantenimiento del complejo de humedales el tunjo y demás espacios que comprenden la estr"&amp;"uctura ecológica principal, para lo cual se articularan acciones conjuntas con la Alcaldía Local de Tunjuelito mediante la oficina ambiental y equipo de gestores ambientales. 
En cuanto a las herramientas y elementos de protección personal, la secretar"&amp;"ia Distrital de Ambiente deberá garantizar dichos elementos para el desarrollo de las actividades en la localidad de Tunjuelito.
Link: https://bogota.gov.co/mi-ciudad/ambiente/abiertas-inscripciones-para-3ra-fase-de-mujeres-que-reverdecen-2023
")</f>
        <v xml:space="preserve">la Secretaria Distrital de Ambiente adelanto para el presente año el proceso de inscripción del programa de mujeres que reverdecen en el que desarrollaran acciones de mantenimiento del complejo de humedales el tunjo y demás espacios que comprenden la estructura ecológica principal, para lo cual se articularan acciones conjuntas con la Alcaldía Local de Tunjuelito mediante la oficina ambiental y equipo de gestores ambientales. 
En cuanto a las herramientas y elementos de protección personal, la secretaria Distrital de Ambiente deberá garantizar dichos elementos para el desarrollo de las actividades en la localidad de Tunjuelito.
Link: https://bogota.gov.co/mi-ciudad/ambiente/abiertas-inscripciones-para-3ra-fase-de-mujeres-que-reverdecen-2023
</v>
      </c>
      <c r="N1714" s="25"/>
      <c r="O1714" s="25" t="str">
        <f t="shared" ca="1" si="0"/>
        <v>Alcaldía Local</v>
      </c>
      <c r="P1714" s="25" t="str">
        <f t="shared" ca="1" si="2"/>
        <v/>
      </c>
      <c r="Q1714" s="25" t="str">
        <f ca="1">IFERROR(__xludf.DUMMYFUNCTION("""COMPUTED_VALUE"""),"Largo plazo")</f>
        <v>Largo plazo</v>
      </c>
      <c r="R1714" s="25"/>
      <c r="S1714" s="55"/>
      <c r="T1714" s="56"/>
      <c r="U1714" s="25"/>
      <c r="V1714" s="25"/>
      <c r="W1714" s="25"/>
      <c r="X1714" s="25"/>
      <c r="Y1714" s="25"/>
      <c r="Z1714" s="25"/>
    </row>
    <row r="1715" spans="1:26" ht="52.5" customHeight="1" x14ac:dyDescent="0.25">
      <c r="A1715" s="25" t="str">
        <f ca="1">IFERROR(__xludf.DUMMYFUNCTION("""COMPUTED_VALUE"""),"Gobie213")</f>
        <v>Gobie213</v>
      </c>
      <c r="B1715" s="25" t="str">
        <f ca="1">IFERROR(__xludf.DUMMYFUNCTION("""COMPUTED_VALUE"""),"Consejo Local de Gobierno de Tunjuelito")</f>
        <v>Consejo Local de Gobierno de Tunjuelito</v>
      </c>
      <c r="C1715" s="55">
        <f ca="1">IFERROR(__xludf.DUMMYFUNCTION("""COMPUTED_VALUE"""),44686)</f>
        <v>44686</v>
      </c>
      <c r="D1715" s="25" t="str">
        <f ca="1">IFERROR(__xludf.DUMMYFUNCTION("""COMPUTED_VALUE"""),"Gobierno")</f>
        <v>Gobierno</v>
      </c>
      <c r="E1715" s="25" t="str">
        <f ca="1">IFERROR(__xludf.DUMMYFUNCTION("""COMPUTED_VALUE"""),"Instituto Distrital de la Participación y Acción Comunal")</f>
        <v>Instituto Distrital de la Participación y Acción Comunal</v>
      </c>
      <c r="F1715" s="25" t="str">
        <f ca="1">IFERROR(__xludf.DUMMYFUNCTION("""COMPUTED_VALUE"""),"Informar sobre las iniciativas para apoyar fundaciones como la ""Casa de Restauración Familiar"" y desde la UAESP revisar si se pueden entregar al centro de rehabilitación materiales recicables de la demolición que se está haciendo por las obras del metro")</f>
        <v>Informar sobre las iniciativas para apoyar fundaciones como la "Casa de Restauración Familiar" y desde la UAESP revisar si se pueden entregar al centro de rehabilitación materiales recicables de la demolición que se está haciendo por las obras del metro</v>
      </c>
      <c r="G1715" s="25" t="str">
        <f ca="1">IFERROR(__xludf.DUMMYFUNCTION("""COMPUTED_VALUE"""),"06. Tunjuelito")</f>
        <v>06. Tunjuelito</v>
      </c>
      <c r="H1715" s="55">
        <f ca="1">IFERROR(__xludf.DUMMYFUNCTION("""COMPUTED_VALUE"""),44840)</f>
        <v>44840</v>
      </c>
      <c r="I1715" s="25"/>
      <c r="J1715" s="55" t="str">
        <f ca="1">IFERROR(__xludf.DUMMYFUNCTION("""COMPUTED_VALUE"""),"Media")</f>
        <v>Media</v>
      </c>
      <c r="K1715" s="25">
        <f ca="1">IFERROR(__xludf.DUMMYFUNCTION("""COMPUTED_VALUE"""),154)</f>
        <v>154</v>
      </c>
      <c r="L1715" s="62">
        <f ca="1">IFERROR(__xludf.DUMMYFUNCTION("""COMPUTED_VALUE"""),44789)</f>
        <v>44789</v>
      </c>
      <c r="M1715" s="25" t="str">
        <f ca="1">IFERROR(__xludf.DUMMYFUNCTION("""COMPUTED_VALUE"""),"IDPAC: El 16, 17 y 18 de mayo se intentó comunicación telefónica con el ciudadano Andrés Rojas, sin embargo, no ha sido posible por cuanto no atiende las llamadas realizadas desde la Subdirección de Fortalecimiento a la Organización Social del IDPAC. El 2"&amp;"4 de mayo nuevamente se intenta comunicación telefónica con el señor Andrés Rojas sin embargo, no ha sido posible tener contacto con el ciudadano, razón por la cual, se remite mensaje vía Whatsapp link para que se envié la información de la organización s"&amp;"ocial con el objetivo de poder atender al compromiso adquirido. 
 Las acciones realizadas en esta tarea son llevadas a cabo por el IDPAC,ya que son ellos aquien les correponde por competencia el cumplimineto de esta actividad por lo que solicitamos el a"&amp;"juste del responsable dejando solo al IDPAC.
 El IDPAC no cuenta con la competencia para revisar si se pueden entregar al centro de rehabilitación materiales recicables de la demolición que se está haciendo por las obras del metro, motivo por el cual, s"&amp;"e sugiere asignar a la Entidad competente el cumplimiento de dicho compromiso. Asimismo, el contacto con el peticionario ha sido nulo a pesar de los distintos intentos.")</f>
        <v>IDPAC: El 16, 17 y 18 de mayo se intentó comunicación telefónica con el ciudadano Andrés Rojas, sin embargo, no ha sido posible por cuanto no atiende las llamadas realizadas desde la Subdirección de Fortalecimiento a la Organización Social del IDPAC. El 24 de mayo nuevamente se intenta comunicación telefónica con el señor Andrés Rojas sin embargo, no ha sido posible tener contacto con el ciudadano, razón por la cual, se remite mensaje vía Whatsapp link para que se envié la información de la organización social con el objetivo de poder atender al compromiso adquirido. 
 Las acciones realizadas en esta tarea son llevadas a cabo por el IDPAC,ya que son ellos aquien les correponde por competencia el cumplimineto de esta actividad por lo que solicitamos el ajuste del responsable dejando solo al IDPAC.
 El IDPAC no cuenta con la competencia para revisar si se pueden entregar al centro de rehabilitación materiales recicables de la demolición que se está haciendo por las obras del metro, motivo por el cual, se sugiere asignar a la Entidad competente el cumplimiento de dicho compromiso. Asimismo, el contacto con el peticionario ha sido nulo a pesar de los distintos intentos.</v>
      </c>
      <c r="N1715" s="55">
        <f ca="1">IFERROR(__xludf.DUMMYFUNCTION("""COMPUTED_VALUE"""),44926)</f>
        <v>44926</v>
      </c>
      <c r="O1715" s="25" t="str">
        <f t="shared" ca="1" si="0"/>
        <v>Instituto Distrital de la Participación y Acción Comunal</v>
      </c>
      <c r="P1715" s="25" t="str">
        <f t="shared" si="2"/>
        <v/>
      </c>
      <c r="Q1715" s="25" t="str">
        <f ca="1">IFERROR(__xludf.DUMMYFUNCTION("""COMPUTED_VALUE"""),"Mediano plazo")</f>
        <v>Mediano plazo</v>
      </c>
      <c r="R1715" s="25"/>
      <c r="S1715" s="55"/>
      <c r="T1715" s="56"/>
      <c r="U1715" s="25"/>
      <c r="V1715" s="25"/>
      <c r="W1715" s="25"/>
      <c r="X1715" s="25"/>
      <c r="Y1715" s="25"/>
      <c r="Z1715" s="25"/>
    </row>
    <row r="1716" spans="1:26" ht="52.5" customHeight="1" x14ac:dyDescent="0.25">
      <c r="A1716" s="25" t="str">
        <f ca="1">IFERROR(__xludf.DUMMYFUNCTION("""COMPUTED_VALUE"""),"Gobie214")</f>
        <v>Gobie214</v>
      </c>
      <c r="B1716" s="25" t="str">
        <f ca="1">IFERROR(__xludf.DUMMYFUNCTION("""COMPUTED_VALUE"""),"Consejo Local de Gobierno de Tunjuelito")</f>
        <v>Consejo Local de Gobierno de Tunjuelito</v>
      </c>
      <c r="C1716" s="55">
        <f ca="1">IFERROR(__xludf.DUMMYFUNCTION("""COMPUTED_VALUE"""),44686)</f>
        <v>44686</v>
      </c>
      <c r="D1716" s="25" t="str">
        <f ca="1">IFERROR(__xludf.DUMMYFUNCTION("""COMPUTED_VALUE"""),"Gobierno")</f>
        <v>Gobierno</v>
      </c>
      <c r="E1716" s="25" t="str">
        <f ca="1">IFERROR(__xludf.DUMMYFUNCTION("""COMPUTED_VALUE"""),"Alcaldía Local")</f>
        <v>Alcaldía Local</v>
      </c>
      <c r="F1716" s="25" t="str">
        <f ca="1">IFERROR(__xludf.DUMMYFUNCTION("""COMPUTED_VALUE"""),"Revisar si se puede priorizar el arreglo del tramo ubicado al lado de la Iglesia del Barrio venecia carrera 53b entre 47 Ay 48")</f>
        <v>Revisar si se puede priorizar el arreglo del tramo ubicado al lado de la Iglesia del Barrio venecia carrera 53b entre 47 Ay 48</v>
      </c>
      <c r="G1716" s="25" t="str">
        <f ca="1">IFERROR(__xludf.DUMMYFUNCTION("""COMPUTED_VALUE"""),"06. Tunjuelito")</f>
        <v>06. Tunjuelito</v>
      </c>
      <c r="H1716" s="55">
        <f ca="1">IFERROR(__xludf.DUMMYFUNCTION("""COMPUTED_VALUE"""),45077)</f>
        <v>45077</v>
      </c>
      <c r="I1716" s="25" t="str">
        <f ca="1">IFERROR(__xludf.DUMMYFUNCTION("""COMPUTED_VALUE"""),"Delivery Unit")</f>
        <v>Delivery Unit</v>
      </c>
      <c r="J1716" s="55" t="str">
        <f ca="1">IFERROR(__xludf.DUMMYFUNCTION("""COMPUTED_VALUE"""),"Baja")</f>
        <v>Baja</v>
      </c>
      <c r="K1716" s="25">
        <f ca="1">IFERROR(__xludf.DUMMYFUNCTION("""COMPUTED_VALUE"""),391)</f>
        <v>391</v>
      </c>
      <c r="L1716" s="62">
        <f ca="1">IFERROR(__xludf.DUMMYFUNCTION("""COMPUTED_VALUE"""),45062)</f>
        <v>45062</v>
      </c>
      <c r="M1716" s="25" t="str">
        <f ca="1">IFERROR(__xludf.DUMMYFUNCTION("""COMPUTED_VALUE"""),"El Fondo de Desarrollo Local de Tunjuelito se encuentra realizando las visitas técnicas correspondientes a la formulación de la vigencia 2023 para el mantenimiento de la malla vial, local e intermedia con el apoyo del equipo del área de Infraestructura. 
"&amp;"
")</f>
        <v xml:space="preserve">El Fondo de Desarrollo Local de Tunjuelito se encuentra realizando las visitas técnicas correspondientes a la formulación de la vigencia 2023 para el mantenimiento de la malla vial, local e intermedia con el apoyo del equipo del área de Infraestructura. 
</v>
      </c>
      <c r="N1716" s="25"/>
      <c r="O1716" s="25" t="str">
        <f t="shared" ca="1" si="0"/>
        <v>Alcaldía Local</v>
      </c>
      <c r="P1716" s="25" t="str">
        <f t="shared" ca="1" si="2"/>
        <v/>
      </c>
      <c r="Q1716" s="25" t="str">
        <f ca="1">IFERROR(__xludf.DUMMYFUNCTION("""COMPUTED_VALUE"""),"Largo plazo")</f>
        <v>Largo plazo</v>
      </c>
      <c r="R1716" s="25"/>
      <c r="S1716" s="55"/>
      <c r="T1716" s="56"/>
      <c r="U1716" s="25"/>
      <c r="V1716" s="25"/>
      <c r="W1716" s="25"/>
      <c r="X1716" s="25"/>
      <c r="Y1716" s="25"/>
      <c r="Z1716" s="25"/>
    </row>
    <row r="1717" spans="1:26" ht="52.5" customHeight="1" x14ac:dyDescent="0.25">
      <c r="A1717" s="25" t="str">
        <f ca="1">IFERROR(__xludf.DUMMYFUNCTION("""COMPUTED_VALUE"""),"Gobie215")</f>
        <v>Gobie215</v>
      </c>
      <c r="B1717" s="25" t="str">
        <f ca="1">IFERROR(__xludf.DUMMYFUNCTION("""COMPUTED_VALUE"""),"Consejo Local de Gobierno de Tunjuelito")</f>
        <v>Consejo Local de Gobierno de Tunjuelito</v>
      </c>
      <c r="C1717" s="55">
        <f ca="1">IFERROR(__xludf.DUMMYFUNCTION("""COMPUTED_VALUE"""),44686)</f>
        <v>44686</v>
      </c>
      <c r="D1717" s="25" t="str">
        <f ca="1">IFERROR(__xludf.DUMMYFUNCTION("""COMPUTED_VALUE"""),"Gobierno")</f>
        <v>Gobierno</v>
      </c>
      <c r="E1717" s="25" t="str">
        <f ca="1">IFERROR(__xludf.DUMMYFUNCTION("""COMPUTED_VALUE"""),"Alcaldía Local")</f>
        <v>Alcaldía Local</v>
      </c>
      <c r="F1717" s="25" t="str">
        <f ca="1">IFERROR(__xludf.DUMMYFUNCTION("""COMPUTED_VALUE"""),"Informar sobre las becas y programas que también benefician la población LGBTI")</f>
        <v>Informar sobre las becas y programas que también benefician la población LGBTI</v>
      </c>
      <c r="G1717" s="25" t="str">
        <f ca="1">IFERROR(__xludf.DUMMYFUNCTION("""COMPUTED_VALUE"""),"06. Tunjuelito")</f>
        <v>06. Tunjuelito</v>
      </c>
      <c r="H1717" s="55">
        <f ca="1">IFERROR(__xludf.DUMMYFUNCTION("""COMPUTED_VALUE"""),44726)</f>
        <v>44726</v>
      </c>
      <c r="I1717" s="25"/>
      <c r="J1717" s="55" t="str">
        <f ca="1">IFERROR(__xludf.DUMMYFUNCTION("""COMPUTED_VALUE"""),"Alta")</f>
        <v>Alta</v>
      </c>
      <c r="K1717" s="25">
        <f ca="1">IFERROR(__xludf.DUMMYFUNCTION("""COMPUTED_VALUE"""),40)</f>
        <v>40</v>
      </c>
      <c r="L1717" s="62">
        <f ca="1">IFERROR(__xludf.DUMMYFUNCTION("""COMPUTED_VALUE"""),44699)</f>
        <v>44699</v>
      </c>
      <c r="M1717" s="25" t="str">
        <f ca="1">IFERROR(__xludf.DUMMYFUNCTION("""COMPUTED_VALUE"""),"Se realizó comunicación formal con la ciudadana, quien aclaró que su solicitud va encaminada al convenio suscrito con la Secretaría de Educación 2267 de 2021, debido a que este solo contempla como población objeto a los jóvenes, se brindó información sobr"&amp;"e el lineamiento de la población beneficiaria.")</f>
        <v>Se realizó comunicación formal con la ciudadana, quien aclaró que su solicitud va encaminada al convenio suscrito con la Secretaría de Educación 2267 de 2021, debido a que este solo contempla como población objeto a los jóvenes, se brindó información sobre el lineamiento de la población beneficiaria.</v>
      </c>
      <c r="N1717" s="55">
        <f ca="1">IFERROR(__xludf.DUMMYFUNCTION("""COMPUTED_VALUE"""),44926)</f>
        <v>44926</v>
      </c>
      <c r="O1717" s="25" t="str">
        <f t="shared" ca="1" si="0"/>
        <v>Alcaldía Local</v>
      </c>
      <c r="P1717" s="25" t="str">
        <f t="shared" si="2"/>
        <v/>
      </c>
      <c r="Q1717" s="25" t="str">
        <f ca="1">IFERROR(__xludf.DUMMYFUNCTION("""COMPUTED_VALUE"""),"Corto plazo")</f>
        <v>Corto plazo</v>
      </c>
      <c r="R1717" s="25"/>
      <c r="S1717" s="55"/>
      <c r="T1717" s="56"/>
      <c r="U1717" s="25"/>
      <c r="V1717" s="25"/>
      <c r="W1717" s="25"/>
      <c r="X1717" s="25"/>
      <c r="Y1717" s="25"/>
      <c r="Z1717" s="25"/>
    </row>
    <row r="1718" spans="1:26" ht="52.5" customHeight="1" x14ac:dyDescent="0.25">
      <c r="A1718" s="25" t="str">
        <f ca="1">IFERROR(__xludf.DUMMYFUNCTION("""COMPUTED_VALUE"""),"Gobie216")</f>
        <v>Gobie216</v>
      </c>
      <c r="B1718" s="25" t="str">
        <f ca="1">IFERROR(__xludf.DUMMYFUNCTION("""COMPUTED_VALUE"""),"Consejo Local de Gobierno de Tunjuelito")</f>
        <v>Consejo Local de Gobierno de Tunjuelito</v>
      </c>
      <c r="C1718" s="55">
        <f ca="1">IFERROR(__xludf.DUMMYFUNCTION("""COMPUTED_VALUE"""),44686)</f>
        <v>44686</v>
      </c>
      <c r="D1718" s="25" t="str">
        <f ca="1">IFERROR(__xludf.DUMMYFUNCTION("""COMPUTED_VALUE"""),"Gobierno")</f>
        <v>Gobierno</v>
      </c>
      <c r="E1718" s="25" t="str">
        <f ca="1">IFERROR(__xludf.DUMMYFUNCTION("""COMPUTED_VALUE"""),"Alcaldía Local")</f>
        <v>Alcaldía Local</v>
      </c>
      <c r="F1718" s="25" t="str">
        <f ca="1">IFERROR(__xludf.DUMMYFUNCTION("""COMPUTED_VALUE"""),"Revisar la posibilidad de ampliar y mejorar el espacio peatonal del puente EL Pontón de la isla del sol")</f>
        <v>Revisar la posibilidad de ampliar y mejorar el espacio peatonal del puente EL Pontón de la isla del sol</v>
      </c>
      <c r="G1718" s="25" t="str">
        <f ca="1">IFERROR(__xludf.DUMMYFUNCTION("""COMPUTED_VALUE"""),"06. Tunjuelito")</f>
        <v>06. Tunjuelito</v>
      </c>
      <c r="H1718" s="55">
        <f ca="1">IFERROR(__xludf.DUMMYFUNCTION("""COMPUTED_VALUE"""),44691)</f>
        <v>44691</v>
      </c>
      <c r="I1718" s="25"/>
      <c r="J1718" s="55" t="str">
        <f ca="1">IFERROR(__xludf.DUMMYFUNCTION("""COMPUTED_VALUE"""),"Alta")</f>
        <v>Alta</v>
      </c>
      <c r="K1718" s="25">
        <f ca="1">IFERROR(__xludf.DUMMYFUNCTION("""COMPUTED_VALUE"""),5)</f>
        <v>5</v>
      </c>
      <c r="L1718" s="62">
        <f ca="1">IFERROR(__xludf.DUMMYFUNCTION("""COMPUTED_VALUE"""),44697)</f>
        <v>44697</v>
      </c>
      <c r="M1718" s="25" t="str">
        <f ca="1">IFERROR(__xludf.DUMMYFUNCTION("""COMPUTED_VALUE"""),"Una vez revisadas las especificaciones técnicas del puente de La Isla del Sol, las condiciones técnicas no permiten realizar modificaciones para ampliar el espacio peatonal debido a que se reduciría el ancho del carril vehícular. En reuniones con la comun"&amp;"idad se les mencionó este tema, y durante la ejecución del contrato se realizó la construcción y rehabilitación del anden.")</f>
        <v>Una vez revisadas las especificaciones técnicas del puente de La Isla del Sol, las condiciones técnicas no permiten realizar modificaciones para ampliar el espacio peatonal debido a que se reduciría el ancho del carril vehícular. En reuniones con la comunidad se les mencionó este tema, y durante la ejecución del contrato se realizó la construcción y rehabilitación del anden.</v>
      </c>
      <c r="N1718" s="55">
        <f ca="1">IFERROR(__xludf.DUMMYFUNCTION("""COMPUTED_VALUE"""),44926)</f>
        <v>44926</v>
      </c>
      <c r="O1718" s="25" t="str">
        <f t="shared" ca="1" si="0"/>
        <v>Alcaldía Local</v>
      </c>
      <c r="P1718" s="25" t="str">
        <f t="shared" si="2"/>
        <v/>
      </c>
      <c r="Q1718" s="25" t="str">
        <f ca="1">IFERROR(__xludf.DUMMYFUNCTION("""COMPUTED_VALUE"""),"Corto plazo")</f>
        <v>Corto plazo</v>
      </c>
      <c r="R1718" s="25"/>
      <c r="S1718" s="55"/>
      <c r="T1718" s="56"/>
      <c r="U1718" s="25"/>
      <c r="V1718" s="25"/>
      <c r="W1718" s="25"/>
      <c r="X1718" s="25"/>
      <c r="Y1718" s="25"/>
      <c r="Z1718" s="25"/>
    </row>
    <row r="1719" spans="1:26" ht="52.5" customHeight="1" x14ac:dyDescent="0.25">
      <c r="A1719" s="25" t="str">
        <f ca="1">IFERROR(__xludf.DUMMYFUNCTION("""COMPUTED_VALUE"""),"Gobie217")</f>
        <v>Gobie217</v>
      </c>
      <c r="B1719" s="25" t="str">
        <f ca="1">IFERROR(__xludf.DUMMYFUNCTION("""COMPUTED_VALUE"""),"Consejo Local de Gobierno de Santa Fe")</f>
        <v>Consejo Local de Gobierno de Santa Fe</v>
      </c>
      <c r="C1719" s="55">
        <f ca="1">IFERROR(__xludf.DUMMYFUNCTION("""COMPUTED_VALUE"""),44693)</f>
        <v>44693</v>
      </c>
      <c r="D1719" s="25" t="str">
        <f ca="1">IFERROR(__xludf.DUMMYFUNCTION("""COMPUTED_VALUE"""),"Gobierno")</f>
        <v>Gobierno</v>
      </c>
      <c r="E1719" s="25" t="str">
        <f ca="1">IFERROR(__xludf.DUMMYFUNCTION("""COMPUTED_VALUE"""),"Alcaldía Local")</f>
        <v>Alcaldía Local</v>
      </c>
      <c r="F1719" s="25" t="str">
        <f ca="1">IFERROR(__xludf.DUMMYFUNCTION("""COMPUTED_VALUE"""),"Averiguar el estado del lote de la Antigua Subestación del Guavio y lograr que sea aprovechado para la ejecución de algún proyecto para la localidad")</f>
        <v>Averiguar el estado del lote de la Antigua Subestación del Guavio y lograr que sea aprovechado para la ejecución de algún proyecto para la localidad</v>
      </c>
      <c r="G1719" s="25" t="str">
        <f ca="1">IFERROR(__xludf.DUMMYFUNCTION("""COMPUTED_VALUE"""),"03. Santa Fe")</f>
        <v>03. Santa Fe</v>
      </c>
      <c r="H1719" s="55">
        <f ca="1">IFERROR(__xludf.DUMMYFUNCTION("""COMPUTED_VALUE"""),45107)</f>
        <v>45107</v>
      </c>
      <c r="I1719" s="25" t="str">
        <f ca="1">IFERROR(__xludf.DUMMYFUNCTION("""COMPUTED_VALUE"""),"Delivery Unit")</f>
        <v>Delivery Unit</v>
      </c>
      <c r="J1719" s="55" t="str">
        <f ca="1">IFERROR(__xludf.DUMMYFUNCTION("""COMPUTED_VALUE"""),"Media")</f>
        <v>Media</v>
      </c>
      <c r="K1719" s="25">
        <f ca="1">IFERROR(__xludf.DUMMYFUNCTION("""COMPUTED_VALUE"""),414)</f>
        <v>414</v>
      </c>
      <c r="L1719" s="62">
        <f ca="1">IFERROR(__xludf.DUMMYFUNCTION("""COMPUTED_VALUE"""),45062)</f>
        <v>45062</v>
      </c>
      <c r="M1719" s="25" t="str">
        <f ca="1">IFERROR(__xludf.DUMMYFUNCTION("""COMPUTED_VALUE"""),"1-El inmueble ubicado en la calle 6 D No. 3-67 Este, donde funcionó la Estación de Policía del barrio El Guavio, a la fecha NO está apto para el uso institucional, porque previamente se requiere una inversión para efectuar el reforzamiento estructural.
"&amp;" 2-A la fecha figura como propietario del inmueble, la Secretaría Distrital de Gobierno, de acuerdo con lo señalado en la matricula 50C-111861.
 3-La Secretaría Distrital de Gobierno, NO ha recibido oficialmente el inmueble de acuerdo con los soportes m"&amp;"encionados en el presente escrito.
En el segundo  semestre del  año 2022, se dearrollaron mesas de trabajo, lideradas por la secretaria distrital de gobierno  y  que contaron con la participación de entidades como la policía metropolitana, secretaria de "&amp;"seguridad, secretaria de integración social y la alcaldía local de Santa Fe. Para la vigencia 2023,  no se han realizado nuevas mesas para socialización del tema CAI EL GUAVIO . ")</f>
        <v xml:space="preserve">1-El inmueble ubicado en la calle 6 D No. 3-67 Este, donde funcionó la Estación de Policía del barrio El Guavio, a la fecha NO está apto para el uso institucional, porque previamente se requiere una inversión para efectuar el reforzamiento estructural.
 2-A la fecha figura como propietario del inmueble, la Secretaría Distrital de Gobierno, de acuerdo con lo señalado en la matricula 50C-111861.
 3-La Secretaría Distrital de Gobierno, NO ha recibido oficialmente el inmueble de acuerdo con los soportes mencionados en el presente escrito.
En el segundo  semestre del  año 2022, se dearrollaron mesas de trabajo, lideradas por la secretaria distrital de gobierno  y  que contaron con la participación de entidades como la policía metropolitana, secretaria de seguridad, secretaria de integración social y la alcaldía local de Santa Fe. Para la vigencia 2023,  no se han realizado nuevas mesas para socialización del tema CAI EL GUAVIO . </v>
      </c>
      <c r="N1719" s="25"/>
      <c r="O1719" s="25" t="str">
        <f t="shared" ca="1" si="0"/>
        <v>Alcaldía Local</v>
      </c>
      <c r="P1719" s="25" t="str">
        <f t="shared" ca="1" si="2"/>
        <v/>
      </c>
      <c r="Q1719" s="25" t="str">
        <f ca="1">IFERROR(__xludf.DUMMYFUNCTION("""COMPUTED_VALUE"""),"Largo plazo")</f>
        <v>Largo plazo</v>
      </c>
      <c r="R1719" s="25"/>
      <c r="S1719" s="55"/>
      <c r="T1719" s="56"/>
      <c r="U1719" s="25"/>
      <c r="V1719" s="25"/>
      <c r="W1719" s="25"/>
      <c r="X1719" s="25"/>
      <c r="Y1719" s="25"/>
      <c r="Z1719" s="25"/>
    </row>
    <row r="1720" spans="1:26" ht="52.5" customHeight="1" x14ac:dyDescent="0.25">
      <c r="A1720" s="25" t="str">
        <f ca="1">IFERROR(__xludf.DUMMYFUNCTION("""COMPUTED_VALUE"""),"Gobie218")</f>
        <v>Gobie218</v>
      </c>
      <c r="B1720" s="25" t="str">
        <f ca="1">IFERROR(__xludf.DUMMYFUNCTION("""COMPUTED_VALUE"""),"Consejo Local de Gobierno de Santa Fe")</f>
        <v>Consejo Local de Gobierno de Santa Fe</v>
      </c>
      <c r="C1720" s="55">
        <f ca="1">IFERROR(__xludf.DUMMYFUNCTION("""COMPUTED_VALUE"""),44693)</f>
        <v>44693</v>
      </c>
      <c r="D1720" s="25" t="str">
        <f ca="1">IFERROR(__xludf.DUMMYFUNCTION("""COMPUTED_VALUE"""),"Gobierno")</f>
        <v>Gobierno</v>
      </c>
      <c r="E1720" s="25" t="str">
        <f ca="1">IFERROR(__xludf.DUMMYFUNCTION("""COMPUTED_VALUE"""),"Alcaldía Local")</f>
        <v>Alcaldía Local</v>
      </c>
      <c r="F1720" s="25" t="str">
        <f ca="1">IFERROR(__xludf.DUMMYFUNCTION("""COMPUTED_VALUE"""),"Realizar un Juntos Cuidamos Bogotá sobre la carrera décima (de la calle 26 a la 1), organizar el frente de seguridad, un escuadrón de limpieza. Repetir el esquema de la carrera séptima repetirlo.")</f>
        <v>Realizar un Juntos Cuidamos Bogotá sobre la carrera décima (de la calle 26 a la 1), organizar el frente de seguridad, un escuadrón de limpieza. Repetir el esquema de la carrera séptima repetirlo.</v>
      </c>
      <c r="G1720" s="25" t="str">
        <f ca="1">IFERROR(__xludf.DUMMYFUNCTION("""COMPUTED_VALUE"""),"03. Santa Fe")</f>
        <v>03. Santa Fe</v>
      </c>
      <c r="H1720" s="55">
        <f ca="1">IFERROR(__xludf.DUMMYFUNCTION("""COMPUTED_VALUE"""),44742)</f>
        <v>44742</v>
      </c>
      <c r="I1720" s="25"/>
      <c r="J1720" s="55" t="str">
        <f ca="1">IFERROR(__xludf.DUMMYFUNCTION("""COMPUTED_VALUE"""),"Alta")</f>
        <v>Alta</v>
      </c>
      <c r="K1720" s="25">
        <f ca="1">IFERROR(__xludf.DUMMYFUNCTION("""COMPUTED_VALUE"""),49)</f>
        <v>49</v>
      </c>
      <c r="L1720" s="62">
        <f ca="1">IFERROR(__xludf.DUMMYFUNCTION("""COMPUTED_VALUE"""),44742)</f>
        <v>44742</v>
      </c>
      <c r="M1720" s="25" t="str">
        <f ca="1">IFERROR(__xludf.DUMMYFUNCTION("""COMPUTED_VALUE"""),"Se tiene programada reunión en la segunda semana de junio y a partir de allí definir el plan de trabajo. 
 Para el día 19 /05/ 2022 se realizó intervención interinstitucional de limpieza, sensibilización, y embellecimiento en la caraca desde la 15 hasta l"&amp;"a 19. Así mismo se realizó intervención interinstitucional el día 25/05/2022 de la calle 26 desde la caracas hasta la 4 de sensibilización y oferta social del distrito a carreteros, ciudadanos habitantes de calle, levantamiento de 18 cambuches estructurad"&amp;"os y limpieza.
 El pasado 10 de junio se llevó a cabo mesa en la Casa Zipa con la participación de los líderes educativos de las localidades de Candelaria y Santa Fé y los compañeros de la Agencia Atenea, para socializar las estrategias de acceso a educ"&amp;"ación superior.
 Los líderes de las localidades hicieron énfasis principalmente en el Fondo de Víctimas del Conflicto Armado en Colombia, indicando que existían requisitos que no les permitían postularse, como el ser egresados de colegios distrital, ten"&amp;"er Sisbén y el límite de edad. Se les aclararon cada uno de los requisitos, se les explicó al detalle cómo opera el fondo y el posible calendario que se tendrá para la convocatoria 2022-2, haciendo énfasis principalmente en que se eliminó el parámetro que"&amp;" exigía que los aspirantes fueran egresados de Colegios del Distrito, quedando abierto para los bachilleres egresados de colegios a nivel Nacional.
 Se les contó sobre la tercera convocatoria del programa Jóvenes a la U, los requisitos, calendario, proc"&amp;"eso de inscripción y se les invitó a participar y divulgar con todos los chicos de la localidades el evento del 11 de junio en la plaza de Artesanos.
 Finalmente, se les explicó el Fondo Educación Superior para Todos - FEST con sus términos y condicione"&amp;"s y el acceso a través de las plataformas de ICETEX y la SED.
 A manera de compromiso se sugirió: 1. Compartir con los líderes los términos y condiciones de las convocatorias que se vayan aperturando para que estos las socialicen con la comunidad. 2. Co"&amp;"nsultar con la Junta Administradora del Fondo de Víctimas, si es posible otorgar para futuras convocatorias puntajes diferenciales a la población considera ""Adulto mayor."" (Manifestaron que hay barreras con las edades, por ejemplo, en Jóvenes a la U los"&amp;" restringe el límite de edad). 3. Consultar con la Junta Administradora del Fondo de Víctimas si es viabilidad eliminar para la población víctima del conflicto armado en colombia, el requisito del sisbén el cual no es excluyente pero otorga puntaje al mom"&amp;"ento de la adjudicación.")</f>
        <v>Se tiene programada reunión en la segunda semana de junio y a partir de allí definir el plan de trabajo. 
 Para el día 19 /05/ 2022 se realizó intervención interinstitucional de limpieza, sensibilización, y embellecimiento en la caraca desde la 15 hasta la 19. Así mismo se realizó intervención interinstitucional el día 25/05/2022 de la calle 26 desde la caracas hasta la 4 de sensibilización y oferta social del distrito a carreteros, ciudadanos habitantes de calle, levantamiento de 18 cambuches estructurados y limpieza.
 El pasado 10 de junio se llevó a cabo mesa en la Casa Zipa con la participación de los líderes educativos de las localidades de Candelaria y Santa Fé y los compañeros de la Agencia Atenea, para socializar las estrategias de acceso a educación superior.
 Los líderes de las localidades hicieron énfasis principalmente en el Fondo de Víctimas del Conflicto Armado en Colombia, indicando que existían requisitos que no les permitían postularse, como el ser egresados de colegios distrital, tener Sisbén y el límite de edad. Se les aclararon cada uno de los requisitos, se les explicó al detalle cómo opera el fondo y el posible calendario que se tendrá para la convocatoria 2022-2, haciendo énfasis principalmente en que se eliminó el parámetro que exigía que los aspirantes fueran egresados de Colegios del Distrito, quedando abierto para los bachilleres egresados de colegios a nivel Nacional.
 Se les contó sobre la tercera convocatoria del programa Jóvenes a la U, los requisitos, calendario, proceso de inscripción y se les invitó a participar y divulgar con todos los chicos de la localidades el evento del 11 de junio en la plaza de Artesanos.
 Finalmente, se les explicó el Fondo Educación Superior para Todos - FEST con sus términos y condiciones y el acceso a través de las plataformas de ICETEX y la SED.
 A manera de compromiso se sugirió: 1. Compartir con los líderes los términos y condiciones de las convocatorias que se vayan aperturando para que estos las socialicen con la comunidad. 2. Consultar con la Junta Administradora del Fondo de Víctimas, si es posible otorgar para futuras convocatorias puntajes diferenciales a la población considera "Adulto mayor." (Manifestaron que hay barreras con las edades, por ejemplo, en Jóvenes a la U los restringe el límite de edad). 3. Consultar con la Junta Administradora del Fondo de Víctimas si es viabilidad eliminar para la población víctima del conflicto armado en colombia, el requisito del sisbén el cual no es excluyente pero otorga puntaje al momento de la adjudicación.</v>
      </c>
      <c r="N1720" s="55">
        <f ca="1">IFERROR(__xludf.DUMMYFUNCTION("""COMPUTED_VALUE"""),44926)</f>
        <v>44926</v>
      </c>
      <c r="O1720" s="25" t="str">
        <f t="shared" ca="1" si="0"/>
        <v>Alcaldía Local</v>
      </c>
      <c r="P1720" s="25" t="str">
        <f t="shared" si="2"/>
        <v/>
      </c>
      <c r="Q1720" s="25" t="str">
        <f ca="1">IFERROR(__xludf.DUMMYFUNCTION("""COMPUTED_VALUE"""),"Corto plazo")</f>
        <v>Corto plazo</v>
      </c>
      <c r="R1720" s="25"/>
      <c r="S1720" s="55"/>
      <c r="T1720" s="56"/>
      <c r="U1720" s="25"/>
      <c r="V1720" s="25"/>
      <c r="W1720" s="25"/>
      <c r="X1720" s="25"/>
      <c r="Y1720" s="25"/>
      <c r="Z1720" s="25"/>
    </row>
    <row r="1721" spans="1:26" ht="52.5" customHeight="1" x14ac:dyDescent="0.25">
      <c r="A1721" s="25" t="str">
        <f ca="1">IFERROR(__xludf.DUMMYFUNCTION("""COMPUTED_VALUE"""),"Gobie219")</f>
        <v>Gobie219</v>
      </c>
      <c r="B1721" s="25" t="str">
        <f ca="1">IFERROR(__xludf.DUMMYFUNCTION("""COMPUTED_VALUE"""),"Consejo Local de Gobierno de Santa Fe")</f>
        <v>Consejo Local de Gobierno de Santa Fe</v>
      </c>
      <c r="C1721" s="55">
        <f ca="1">IFERROR(__xludf.DUMMYFUNCTION("""COMPUTED_VALUE"""),44693)</f>
        <v>44693</v>
      </c>
      <c r="D1721" s="25" t="str">
        <f ca="1">IFERROR(__xludf.DUMMYFUNCTION("""COMPUTED_VALUE"""),"Gobierno")</f>
        <v>Gobierno</v>
      </c>
      <c r="E1721" s="25" t="str">
        <f ca="1">IFERROR(__xludf.DUMMYFUNCTION("""COMPUTED_VALUE"""),"Instituto Distrital de la Participación y Acción Comunal")</f>
        <v>Instituto Distrital de la Participación y Acción Comunal</v>
      </c>
      <c r="F1721" s="25" t="str">
        <f ca="1">IFERROR(__xludf.DUMMYFUNCTION("""COMPUTED_VALUE"""),"Priorizar la implementación y dar visibilidad a la calle del ajedrez. Causas Ciudadanas")</f>
        <v>Priorizar la implementación y dar visibilidad a la calle del ajedrez. Causas Ciudadanas</v>
      </c>
      <c r="G1721" s="25" t="str">
        <f ca="1">IFERROR(__xludf.DUMMYFUNCTION("""COMPUTED_VALUE"""),"03. Santa Fe")</f>
        <v>03. Santa Fe</v>
      </c>
      <c r="H1721" s="55">
        <f ca="1">IFERROR(__xludf.DUMMYFUNCTION("""COMPUTED_VALUE"""),44902)</f>
        <v>44902</v>
      </c>
      <c r="I1721" s="25"/>
      <c r="J1721" s="55" t="str">
        <f ca="1">IFERROR(__xludf.DUMMYFUNCTION("""COMPUTED_VALUE"""),"Baja")</f>
        <v>Baja</v>
      </c>
      <c r="K1721" s="25">
        <f ca="1">IFERROR(__xludf.DUMMYFUNCTION("""COMPUTED_VALUE"""),209)</f>
        <v>209</v>
      </c>
      <c r="L1721" s="62">
        <f ca="1">IFERROR(__xludf.DUMMYFUNCTION("""COMPUTED_VALUE"""),44902)</f>
        <v>44902</v>
      </c>
      <c r="M1721" s="25" t="str">
        <f ca="1">IFERROR(__xludf.DUMMYFUNCTION("""COMPUTED_VALUE"""),"IDPAC: La Subdirectora de Fortalecimiento a la Organización Social atendió el 12 de mayo en el marco de la feria de servicios al ciudadano Juan Pablo Suárez quien es Consejero Local de Juventud y, le brindó información de cómo presentarse al fondo Chikana"&amp;" en el marco de Obras con Saldo Pedagógico que dispone la Entidad. En ese sentido, la petición desde la competencia del IDPAC fue atendida.")</f>
        <v>IDPAC: La Subdirectora de Fortalecimiento a la Organización Social atendió el 12 de mayo en el marco de la feria de servicios al ciudadano Juan Pablo Suárez quien es Consejero Local de Juventud y, le brindó información de cómo presentarse al fondo Chikana en el marco de Obras con Saldo Pedagógico que dispone la Entidad. En ese sentido, la petición desde la competencia del IDPAC fue atendida.</v>
      </c>
      <c r="N1721" s="55">
        <f ca="1">IFERROR(__xludf.DUMMYFUNCTION("""COMPUTED_VALUE"""),44926)</f>
        <v>44926</v>
      </c>
      <c r="O1721" s="25" t="str">
        <f t="shared" ca="1" si="0"/>
        <v>Instituto Distrital de la Participación y Acción Comunal</v>
      </c>
      <c r="P1721" s="25" t="str">
        <f t="shared" si="2"/>
        <v/>
      </c>
      <c r="Q1721" s="25" t="str">
        <f ca="1">IFERROR(__xludf.DUMMYFUNCTION("""COMPUTED_VALUE"""),"Largo plazo")</f>
        <v>Largo plazo</v>
      </c>
      <c r="R1721" s="25"/>
      <c r="S1721" s="55"/>
      <c r="T1721" s="56"/>
      <c r="U1721" s="25"/>
      <c r="V1721" s="25"/>
      <c r="W1721" s="25"/>
      <c r="X1721" s="25"/>
      <c r="Y1721" s="25"/>
      <c r="Z1721" s="25"/>
    </row>
    <row r="1722" spans="1:26" ht="52.5" customHeight="1" x14ac:dyDescent="0.25">
      <c r="A1722" s="25" t="str">
        <f ca="1">IFERROR(__xludf.DUMMYFUNCTION("""COMPUTED_VALUE"""),"Gobie220")</f>
        <v>Gobie220</v>
      </c>
      <c r="B1722" s="25" t="str">
        <f ca="1">IFERROR(__xludf.DUMMYFUNCTION("""COMPUTED_VALUE"""),"Consejo Local de Gobierno de San Crisóbal")</f>
        <v>Consejo Local de Gobierno de San Crisóbal</v>
      </c>
      <c r="C1722" s="55">
        <f ca="1">IFERROR(__xludf.DUMMYFUNCTION("""COMPUTED_VALUE"""),44700)</f>
        <v>44700</v>
      </c>
      <c r="D1722" s="25" t="str">
        <f ca="1">IFERROR(__xludf.DUMMYFUNCTION("""COMPUTED_VALUE"""),"Gobierno")</f>
        <v>Gobierno</v>
      </c>
      <c r="E1722" s="25" t="str">
        <f ca="1">IFERROR(__xludf.DUMMYFUNCTION("""COMPUTED_VALUE"""),"Alcaldía Local")</f>
        <v>Alcaldía Local</v>
      </c>
      <c r="F1722" s="25" t="str">
        <f ca="1">IFERROR(__xludf.DUMMYFUNCTION("""COMPUTED_VALUE"""),"Establecer un espacio dentro de la Alcaldía Local para que los Consejeros Locales de Propiedad Horizontal puedan atender y asesoren a la comunidad")</f>
        <v>Establecer un espacio dentro de la Alcaldía Local para que los Consejeros Locales de Propiedad Horizontal puedan atender y asesoren a la comunidad</v>
      </c>
      <c r="G1722" s="25" t="str">
        <f ca="1">IFERROR(__xludf.DUMMYFUNCTION("""COMPUTED_VALUE"""),"04. San Cristóbal")</f>
        <v>04. San Cristóbal</v>
      </c>
      <c r="H1722" s="55">
        <f ca="1">IFERROR(__xludf.DUMMYFUNCTION("""COMPUTED_VALUE"""),44706)</f>
        <v>44706</v>
      </c>
      <c r="I1722" s="25"/>
      <c r="J1722" s="55" t="str">
        <f ca="1">IFERROR(__xludf.DUMMYFUNCTION("""COMPUTED_VALUE"""),"Alta")</f>
        <v>Alta</v>
      </c>
      <c r="K1722" s="25">
        <f ca="1">IFERROR(__xludf.DUMMYFUNCTION("""COMPUTED_VALUE"""),6)</f>
        <v>6</v>
      </c>
      <c r="L1722" s="62">
        <f ca="1">IFERROR(__xludf.DUMMYFUNCTION("""COMPUTED_VALUE"""),44706)</f>
        <v>44706</v>
      </c>
      <c r="M1722" s="25" t="str">
        <f ca="1">IFERROR(__xludf.DUMMYFUNCTION("""COMPUTED_VALUE"""),"En este 2023, se mantiene la atención a los ciudadanos en materia de propiedad horizontal los jueves de 9:00 am a 12:00 m. en la oficina de Garantía de Derechos- Participación en la Alcaldía Local de San Cristóbal.")</f>
        <v>En este 2023, se mantiene la atención a los ciudadanos en materia de propiedad horizontal los jueves de 9:00 am a 12:00 m. en la oficina de Garantía de Derechos- Participación en la Alcaldía Local de San Cristóbal.</v>
      </c>
      <c r="N1722" s="55">
        <f ca="1">IFERROR(__xludf.DUMMYFUNCTION("""COMPUTED_VALUE"""),44926)</f>
        <v>44926</v>
      </c>
      <c r="O1722" s="25" t="str">
        <f t="shared" ca="1" si="0"/>
        <v>Alcaldía Local</v>
      </c>
      <c r="P1722" s="25" t="str">
        <f t="shared" si="2"/>
        <v/>
      </c>
      <c r="Q1722" s="25" t="str">
        <f ca="1">IFERROR(__xludf.DUMMYFUNCTION("""COMPUTED_VALUE"""),"Corto plazo")</f>
        <v>Corto plazo</v>
      </c>
      <c r="R1722" s="25"/>
      <c r="S1722" s="55"/>
      <c r="T1722" s="56"/>
      <c r="U1722" s="25"/>
      <c r="V1722" s="25"/>
      <c r="W1722" s="25"/>
      <c r="X1722" s="25"/>
      <c r="Y1722" s="25"/>
      <c r="Z1722" s="25"/>
    </row>
    <row r="1723" spans="1:26" ht="52.5" customHeight="1" x14ac:dyDescent="0.25">
      <c r="A1723" s="25" t="str">
        <f ca="1">IFERROR(__xludf.DUMMYFUNCTION("""COMPUTED_VALUE"""),"Gobie221")</f>
        <v>Gobie221</v>
      </c>
      <c r="B1723" s="25" t="str">
        <f ca="1">IFERROR(__xludf.DUMMYFUNCTION("""COMPUTED_VALUE"""),"Consejo Local de Gobierno de San Crisóbal")</f>
        <v>Consejo Local de Gobierno de San Crisóbal</v>
      </c>
      <c r="C1723" s="55">
        <f ca="1">IFERROR(__xludf.DUMMYFUNCTION("""COMPUTED_VALUE"""),44700)</f>
        <v>44700</v>
      </c>
      <c r="D1723" s="25" t="str">
        <f ca="1">IFERROR(__xludf.DUMMYFUNCTION("""COMPUTED_VALUE"""),"Gobierno")</f>
        <v>Gobierno</v>
      </c>
      <c r="E1723" s="25" t="str">
        <f ca="1">IFERROR(__xludf.DUMMYFUNCTION("""COMPUTED_VALUE"""),"Alcaldía Local")</f>
        <v>Alcaldía Local</v>
      </c>
      <c r="F1723" s="25" t="str">
        <f ca="1">IFERROR(__xludf.DUMMYFUNCTION("""COMPUTED_VALUE"""),"Intervenir los problemas de seguridad y convivencia en el Colegio Los Alpes, intervenir la vía de entrada e informar a la señora María Rodríguez sobre las acciones en temas de conflictividad, puntos de basura y seguridad en el callejón")</f>
        <v>Intervenir los problemas de seguridad y convivencia en el Colegio Los Alpes, intervenir la vía de entrada e informar a la señora María Rodríguez sobre las acciones en temas de conflictividad, puntos de basura y seguridad en el callejón</v>
      </c>
      <c r="G1723" s="25" t="str">
        <f ca="1">IFERROR(__xludf.DUMMYFUNCTION("""COMPUTED_VALUE"""),"04. San Cristóbal")</f>
        <v>04. San Cristóbal</v>
      </c>
      <c r="H1723" s="55">
        <f ca="1">IFERROR(__xludf.DUMMYFUNCTION("""COMPUTED_VALUE"""),44706)</f>
        <v>44706</v>
      </c>
      <c r="I1723" s="25"/>
      <c r="J1723" s="55" t="str">
        <f ca="1">IFERROR(__xludf.DUMMYFUNCTION("""COMPUTED_VALUE"""),"Alta")</f>
        <v>Alta</v>
      </c>
      <c r="K1723" s="25">
        <f ca="1">IFERROR(__xludf.DUMMYFUNCTION("""COMPUTED_VALUE"""),6)</f>
        <v>6</v>
      </c>
      <c r="L1723" s="62">
        <f ca="1">IFERROR(__xludf.DUMMYFUNCTION("""COMPUTED_VALUE"""),44706)</f>
        <v>44706</v>
      </c>
      <c r="M1723" s="25" t="str">
        <f ca="1">IFERROR(__xludf.DUMMYFUNCTION("""COMPUTED_VALUE"""),"En el marco del programa Juntos Cuidadamos Bogotá se realizo la revitalización del entorno escolar del colegio Los Alpes, a través de una jornada de limpieza y pintura en la fachada. En las actividades de entornos escolares se priorizó la zona del colegio"&amp;" Alpes Futuro, llevando a cabo sensibilizaciones en separación y manejo adecuado de residuos enfocado a toda la comunidad aledaña al colegio. por parte de IVC se realizara entornos escolares en el colegio los alpes a las 9:00am . 
 Se continuaràn realizan"&amp;"do planes mochila y el acompañamiento a la salida y entrada del colegio. 
 Se Apoyó los días 4,5,13 y 16 de mayo jornada de entornos escolares verificando puntos acumulación y puntos críticos de residuos, y ejecutando sensibilizaciones en el adecuado ma"&amp;"nejo y disposición de residuos de residuos, por parte del equipo de separación en la fuente.")</f>
        <v>En el marco del programa Juntos Cuidadamos Bogotá se realizo la revitalización del entorno escolar del colegio Los Alpes, a través de una jornada de limpieza y pintura en la fachada. En las actividades de entornos escolares se priorizó la zona del colegio Alpes Futuro, llevando a cabo sensibilizaciones en separación y manejo adecuado de residuos enfocado a toda la comunidad aledaña al colegio. por parte de IVC se realizara entornos escolares en el colegio los alpes a las 9:00am . 
 Se continuaràn realizando planes mochila y el acompañamiento a la salida y entrada del colegio. 
 Se Apoyó los días 4,5,13 y 16 de mayo jornada de entornos escolares verificando puntos acumulación y puntos críticos de residuos, y ejecutando sensibilizaciones en el adecuado manejo y disposición de residuos de residuos, por parte del equipo de separación en la fuente.</v>
      </c>
      <c r="N1723" s="55">
        <f ca="1">IFERROR(__xludf.DUMMYFUNCTION("""COMPUTED_VALUE"""),44926)</f>
        <v>44926</v>
      </c>
      <c r="O1723" s="25" t="str">
        <f t="shared" ca="1" si="0"/>
        <v>Alcaldía Local</v>
      </c>
      <c r="P1723" s="25" t="str">
        <f t="shared" si="2"/>
        <v/>
      </c>
      <c r="Q1723" s="25" t="str">
        <f ca="1">IFERROR(__xludf.DUMMYFUNCTION("""COMPUTED_VALUE"""),"Corto plazo")</f>
        <v>Corto plazo</v>
      </c>
      <c r="R1723" s="25"/>
      <c r="S1723" s="55"/>
      <c r="T1723" s="56"/>
      <c r="U1723" s="25"/>
      <c r="V1723" s="25"/>
      <c r="W1723" s="25"/>
      <c r="X1723" s="25"/>
      <c r="Y1723" s="25"/>
      <c r="Z1723" s="25"/>
    </row>
    <row r="1724" spans="1:26" ht="52.5" customHeight="1" x14ac:dyDescent="0.25">
      <c r="A1724" s="25" t="str">
        <f ca="1">IFERROR(__xludf.DUMMYFUNCTION("""COMPUTED_VALUE"""),"Gobie222")</f>
        <v>Gobie222</v>
      </c>
      <c r="B1724" s="25" t="str">
        <f ca="1">IFERROR(__xludf.DUMMYFUNCTION("""COMPUTED_VALUE"""),"Consejo Local de Gobierno de San Crisóbal")</f>
        <v>Consejo Local de Gobierno de San Crisóbal</v>
      </c>
      <c r="C1724" s="55">
        <f ca="1">IFERROR(__xludf.DUMMYFUNCTION("""COMPUTED_VALUE"""),44700)</f>
        <v>44700</v>
      </c>
      <c r="D1724" s="25" t="str">
        <f ca="1">IFERROR(__xludf.DUMMYFUNCTION("""COMPUTED_VALUE"""),"Gobierno")</f>
        <v>Gobierno</v>
      </c>
      <c r="E1724" s="25" t="str">
        <f ca="1">IFERROR(__xludf.DUMMYFUNCTION("""COMPUTED_VALUE"""),"Alcaldía Local")</f>
        <v>Alcaldía Local</v>
      </c>
      <c r="F1724" s="25" t="str">
        <f ca="1">IFERROR(__xludf.DUMMYFUNCTION("""COMPUTED_VALUE"""),"Llegar a un acuerdo con la Junta Administradora Local para brindar un espacio físico para realizar las sesiones del Consejo Local de Juventud")</f>
        <v>Llegar a un acuerdo con la Junta Administradora Local para brindar un espacio físico para realizar las sesiones del Consejo Local de Juventud</v>
      </c>
      <c r="G1724" s="25" t="str">
        <f ca="1">IFERROR(__xludf.DUMMYFUNCTION("""COMPUTED_VALUE"""),"04. San Cristóbal")</f>
        <v>04. San Cristóbal</v>
      </c>
      <c r="H1724" s="55">
        <f ca="1">IFERROR(__xludf.DUMMYFUNCTION("""COMPUTED_VALUE"""),44706)</f>
        <v>44706</v>
      </c>
      <c r="I1724" s="25"/>
      <c r="J1724" s="55" t="str">
        <f ca="1">IFERROR(__xludf.DUMMYFUNCTION("""COMPUTED_VALUE"""),"Alta")</f>
        <v>Alta</v>
      </c>
      <c r="K1724" s="25">
        <f ca="1">IFERROR(__xludf.DUMMYFUNCTION("""COMPUTED_VALUE"""),6)</f>
        <v>6</v>
      </c>
      <c r="L1724" s="62">
        <f ca="1">IFERROR(__xludf.DUMMYFUNCTION("""COMPUTED_VALUE"""),44706)</f>
        <v>44706</v>
      </c>
      <c r="M1724" s="25" t="str">
        <f ca="1">IFERROR(__xludf.DUMMYFUNCTION("""COMPUTED_VALUE"""),"Desde el área de participación se le informó al Consejo Local de Juventud que el Alcaldía Local cuenta con un espacio para que realicen las sesiones, una vez envíen la programación con anterioridad, así mismo se solicitó a la junta administradora local el"&amp;" uso del recinto para las sesiones del CLJ. El mismo consejo por decisión propia, ha optado por utilizar otros espacios diferentes al de la JAL. 
Adicional a esto, el día 15 de abril de 2023 se desarrollará una reunión de articulación con la administraci"&amp;"ón local con el objetivo de fortalecer el trabajo de dicha instancia de participación.
")</f>
        <v xml:space="preserve">Desde el área de participación se le informó al Consejo Local de Juventud que el Alcaldía Local cuenta con un espacio para que realicen las sesiones, una vez envíen la programación con anterioridad, así mismo se solicitó a la junta administradora local el uso del recinto para las sesiones del CLJ. El mismo consejo por decisión propia, ha optado por utilizar otros espacios diferentes al de la JAL. 
Adicional a esto, el día 15 de abril de 2023 se desarrollará una reunión de articulación con la administración local con el objetivo de fortalecer el trabajo de dicha instancia de participación.
</v>
      </c>
      <c r="N1724" s="55">
        <f ca="1">IFERROR(__xludf.DUMMYFUNCTION("""COMPUTED_VALUE"""),44926)</f>
        <v>44926</v>
      </c>
      <c r="O1724" s="25" t="str">
        <f t="shared" ca="1" si="0"/>
        <v>Alcaldía Local</v>
      </c>
      <c r="P1724" s="25" t="str">
        <f t="shared" si="2"/>
        <v/>
      </c>
      <c r="Q1724" s="25" t="str">
        <f ca="1">IFERROR(__xludf.DUMMYFUNCTION("""COMPUTED_VALUE"""),"Corto plazo")</f>
        <v>Corto plazo</v>
      </c>
      <c r="R1724" s="25"/>
      <c r="S1724" s="55"/>
      <c r="T1724" s="56"/>
      <c r="U1724" s="25"/>
      <c r="V1724" s="25"/>
      <c r="W1724" s="25"/>
      <c r="X1724" s="25"/>
      <c r="Y1724" s="25"/>
      <c r="Z1724" s="25"/>
    </row>
    <row r="1725" spans="1:26" ht="52.5" customHeight="1" x14ac:dyDescent="0.25">
      <c r="A1725" s="25" t="str">
        <f ca="1">IFERROR(__xludf.DUMMYFUNCTION("""COMPUTED_VALUE"""),"Gobie223")</f>
        <v>Gobie223</v>
      </c>
      <c r="B1725" s="25" t="str">
        <f ca="1">IFERROR(__xludf.DUMMYFUNCTION("""COMPUTED_VALUE"""),"Consejo Local de Gobierno de San Crisóbal")</f>
        <v>Consejo Local de Gobierno de San Crisóbal</v>
      </c>
      <c r="C1725" s="55">
        <f ca="1">IFERROR(__xludf.DUMMYFUNCTION("""COMPUTED_VALUE"""),44700)</f>
        <v>44700</v>
      </c>
      <c r="D1725" s="25" t="str">
        <f ca="1">IFERROR(__xludf.DUMMYFUNCTION("""COMPUTED_VALUE"""),"Gobierno")</f>
        <v>Gobierno</v>
      </c>
      <c r="E1725" s="25" t="str">
        <f ca="1">IFERROR(__xludf.DUMMYFUNCTION("""COMPUTED_VALUE"""),"Departamento Administrativo de la Defensoría del Espacio Público")</f>
        <v>Departamento Administrativo de la Defensoría del Espacio Público</v>
      </c>
      <c r="F1725" s="25" t="str">
        <f ca="1">IFERROR(__xludf.DUMMYFUNCTION("""COMPUTED_VALUE"""),"Revisar la legalización de los parqueaderos en espacio público en el barrio Villas Los Alpes")</f>
        <v>Revisar la legalización de los parqueaderos en espacio público en el barrio Villas Los Alpes</v>
      </c>
      <c r="G1725" s="25" t="str">
        <f ca="1">IFERROR(__xludf.DUMMYFUNCTION("""COMPUTED_VALUE"""),"04. San Cristóbal")</f>
        <v>04. San Cristóbal</v>
      </c>
      <c r="H1725" s="55">
        <f ca="1">IFERROR(__xludf.DUMMYFUNCTION("""COMPUTED_VALUE"""),44892)</f>
        <v>44892</v>
      </c>
      <c r="I1725" s="25" t="str">
        <f ca="1">IFERROR(__xludf.DUMMYFUNCTION("""COMPUTED_VALUE"""),"Delivery Unit")</f>
        <v>Delivery Unit</v>
      </c>
      <c r="J1725" s="55" t="str">
        <f ca="1">IFERROR(__xludf.DUMMYFUNCTION("""COMPUTED_VALUE"""),"Media")</f>
        <v>Media</v>
      </c>
      <c r="K1725" s="25">
        <f ca="1">IFERROR(__xludf.DUMMYFUNCTION("""COMPUTED_VALUE"""),192)</f>
        <v>192</v>
      </c>
      <c r="L1725" s="62">
        <f ca="1">IFERROR(__xludf.DUMMYFUNCTION("""COMPUTED_VALUE"""),45082)</f>
        <v>45082</v>
      </c>
      <c r="M1725" s="25" t="str">
        <f ca="1">IFERROR(__xludf.DUMMYFUNCTION("""COMPUTED_VALUE"""),"El día 23 de junio de 2022, en visitas efectuadas a cada una de las zonas de Estacionamiento, Bahía y/o parqueadero, se llevó a cabo trabajo de socialización con la comunidad y personas encargadas en su momento del cuidado, de lo que sería un posible proc"&amp;"eso de restitución voluntaria y su posterior entrega en administración a través de la suscripción de un Convenio solidario. 
 Mediante radicado DADEP No. 20223060103741 del 18 de julio de 2022 y conforme compromisos en reunión previa con el Despacho de "&amp;"la Entidad y la JAC del Barrio, se informó el resultado de las visitas en terreno al presidente de la Junta de Acción Comunal de Villa de los Alpes. 
  El 14 de septiembre de 2022 se realizó una mesa de trabajo con la comunidad y el DADEP para hacer seg"&amp;"uimiento en la entrega voluntaria de estos predios, sin embargo a la fecha no ha sido posible concretar una restitución voluntaria de estos parqueaderos.                                                                                                      "&amp;"                                                                                                                     Posterior a esta reunión, el Dadep mediante comunicaciones  20223060172661 y 20223060202991, invitó nuevamente a la Junta de Acción Comuna"&amp;"l de Villa de los Alpes, a retomar el proceso de restitución voluntaria de los estacionamientos, para llegar a un proceso de entrega en administración de dichos espacios, bajo la suscripción de un convenio solidario con la Entidad. Comunicaciones de las c"&amp;"uales no se obtuvo respuesta por parte de la comunidad. Con lo anterior el proceso de restitución voluntaria de estos predios queda suspendido, por esta razón el DADEP oficia a la Alcaldía de San Cristóbal con el objetivo de revisar el estado del proceso "&amp;"de los parqueaderos de Villa de los Alpes  No radicado. 20233010052081 y 20233010052221 los cuales a la fecha el DADEP no ha tenido respuesta.
")</f>
        <v xml:space="preserve">El día 23 de junio de 2022, en visitas efectuadas a cada una de las zonas de Estacionamiento, Bahía y/o parqueadero, se llevó a cabo trabajo de socialización con la comunidad y personas encargadas en su momento del cuidado, de lo que sería un posible proceso de restitución voluntaria y su posterior entrega en administración a través de la suscripción de un Convenio solidario. 
 Mediante radicado DADEP No. 20223060103741 del 18 de julio de 2022 y conforme compromisos en reunión previa con el Despacho de la Entidad y la JAC del Barrio, se informó el resultado de las visitas en terreno al presidente de la Junta de Acción Comunal de Villa de los Alpes. 
  El 14 de septiembre de 2022 se realizó una mesa de trabajo con la comunidad y el DADEP para hacer seguimiento en la entrega voluntaria de estos predios, sin embargo a la fecha no ha sido posible concretar una restitución voluntaria de estos parqueaderos.                                                                                                                                                                                                                           Posterior a esta reunión, el Dadep mediante comunicaciones  20223060172661 y 20223060202991, invitó nuevamente a la Junta de Acción Comunal de Villa de los Alpes, a retomar el proceso de restitución voluntaria de los estacionamientos, para llegar a un proceso de entrega en administración de dichos espacios, bajo la suscripción de un convenio solidario con la Entidad. Comunicaciones de las cuales no se obtuvo respuesta por parte de la comunidad. Con lo anterior el proceso de restitución voluntaria de estos predios queda suspendido, por esta razón el DADEP oficia a la Alcaldía de San Cristóbal con el objetivo de revisar el estado del proceso de los parqueaderos de Villa de los Alpes  No radicado. 20233010052081 y 20233010052221 los cuales a la fecha el DADEP no ha tenido respuesta.
</v>
      </c>
      <c r="N1725" s="25"/>
      <c r="O1725" s="25" t="str">
        <f t="shared" ca="1" si="0"/>
        <v>Departamento Administrativo de la Defensoría del Espacio Público</v>
      </c>
      <c r="P1725" s="25" t="str">
        <f t="shared" ca="1" si="2"/>
        <v/>
      </c>
      <c r="Q1725" s="25" t="str">
        <f ca="1">IFERROR(__xludf.DUMMYFUNCTION("""COMPUTED_VALUE"""),"Largo plazo")</f>
        <v>Largo plazo</v>
      </c>
      <c r="R1725" s="25"/>
      <c r="S1725" s="55"/>
      <c r="T1725" s="56"/>
      <c r="U1725" s="25"/>
      <c r="V1725" s="25"/>
      <c r="W1725" s="25"/>
      <c r="X1725" s="25"/>
      <c r="Y1725" s="25"/>
      <c r="Z1725" s="25"/>
    </row>
    <row r="1726" spans="1:26" ht="52.5" customHeight="1" x14ac:dyDescent="0.25">
      <c r="A1726" s="25" t="str">
        <f ca="1">IFERROR(__xludf.DUMMYFUNCTION("""COMPUTED_VALUE"""),"Gobie224")</f>
        <v>Gobie224</v>
      </c>
      <c r="B1726" s="25" t="str">
        <f ca="1">IFERROR(__xludf.DUMMYFUNCTION("""COMPUTED_VALUE"""),"Consejo Local de Giobierno de Rafael uribe Uribe")</f>
        <v>Consejo Local de Giobierno de Rafael uribe Uribe</v>
      </c>
      <c r="C1726" s="55">
        <f ca="1">IFERROR(__xludf.DUMMYFUNCTION("""COMPUTED_VALUE"""),44714)</f>
        <v>44714</v>
      </c>
      <c r="D1726" s="25" t="str">
        <f ca="1">IFERROR(__xludf.DUMMYFUNCTION("""COMPUTED_VALUE"""),"Gobierno")</f>
        <v>Gobierno</v>
      </c>
      <c r="E1726" s="25" t="str">
        <f ca="1">IFERROR(__xludf.DUMMYFUNCTION("""COMPUTED_VALUE"""),"Instituto Distrital de la Participación y Acción Comunal")</f>
        <v>Instituto Distrital de la Participación y Acción Comunal</v>
      </c>
      <c r="F1726" s="25" t="str">
        <f ca="1">IFERROR(__xludf.DUMMYFUNCTION("""COMPUTED_VALUE"""),"Revisar por qué no se han expedido los autos de reconocimiento a los dignatarios, dignatarias y directivos producto de las elecciones de las Juntas de Acción Comunal")</f>
        <v>Revisar por qué no se han expedido los autos de reconocimiento a los dignatarios, dignatarias y directivos producto de las elecciones de las Juntas de Acción Comunal</v>
      </c>
      <c r="G1726" s="25" t="str">
        <f ca="1">IFERROR(__xludf.DUMMYFUNCTION("""COMPUTED_VALUE"""),"18. Rafael Uribe Uribe")</f>
        <v>18. Rafael Uribe Uribe</v>
      </c>
      <c r="H1726" s="55">
        <f ca="1">IFERROR(__xludf.DUMMYFUNCTION("""COMPUTED_VALUE"""),44789)</f>
        <v>44789</v>
      </c>
      <c r="I1726" s="25"/>
      <c r="J1726" s="55" t="str">
        <f ca="1">IFERROR(__xludf.DUMMYFUNCTION("""COMPUTED_VALUE"""),"Media")</f>
        <v>Media</v>
      </c>
      <c r="K1726" s="25">
        <f ca="1">IFERROR(__xludf.DUMMYFUNCTION("""COMPUTED_VALUE"""),75)</f>
        <v>75</v>
      </c>
      <c r="L1726" s="62">
        <f ca="1">IFERROR(__xludf.DUMMYFUNCTION("""COMPUTED_VALUE"""),44789)</f>
        <v>44789</v>
      </c>
      <c r="M1726" s="25" t="str">
        <f ca="1">IFERROR(__xludf.DUMMYFUNCTION("""COMPUTED_VALUE"""),"El IDPAC a la fecha ha expedido 65 autos de reconocimiento a las organizaciones comunales que realizaron elecciones para el nuevo período y fueron válidas en la localidad de Rafael Uribe Uribe, igualmente, se han expedido 15 autos de reconocimiento tempor"&amp;"ales a aquellas juntas de acción comunal que presentaron la respectiva solicitud que ordena la ley comunal. Puntualmente, la JAC del barrio PIJAOS JORGE E. CAVALIER al cual se encuentra afiliado el peticionario Helbert Guerrero actualmente cuenta con auto"&amp;" de reconocimiento temporal ejerciendo la representación legal la señora JENNY ALEXANDRA RIOS BELTRAN. Por lo anterior, se considera atendido el compromiso adquirido.")</f>
        <v>El IDPAC a la fecha ha expedido 65 autos de reconocimiento a las organizaciones comunales que realizaron elecciones para el nuevo período y fueron válidas en la localidad de Rafael Uribe Uribe, igualmente, se han expedido 15 autos de reconocimiento temporales a aquellas juntas de acción comunal que presentaron la respectiva solicitud que ordena la ley comunal. Puntualmente, la JAC del barrio PIJAOS JORGE E. CAVALIER al cual se encuentra afiliado el peticionario Helbert Guerrero actualmente cuenta con auto de reconocimiento temporal ejerciendo la representación legal la señora JENNY ALEXANDRA RIOS BELTRAN. Por lo anterior, se considera atendido el compromiso adquirido.</v>
      </c>
      <c r="N1726" s="55">
        <f ca="1">IFERROR(__xludf.DUMMYFUNCTION("""COMPUTED_VALUE"""),44926)</f>
        <v>44926</v>
      </c>
      <c r="O1726" s="25" t="str">
        <f t="shared" ca="1" si="0"/>
        <v>Instituto Distrital de la Participación y Acción Comunal</v>
      </c>
      <c r="P1726" s="25" t="str">
        <f t="shared" si="2"/>
        <v/>
      </c>
      <c r="Q1726" s="25" t="str">
        <f ca="1">IFERROR(__xludf.DUMMYFUNCTION("""COMPUTED_VALUE"""),"Mediano plazo")</f>
        <v>Mediano plazo</v>
      </c>
      <c r="R1726" s="25"/>
      <c r="S1726" s="55"/>
      <c r="T1726" s="56"/>
      <c r="U1726" s="25"/>
      <c r="V1726" s="25"/>
      <c r="W1726" s="25"/>
      <c r="X1726" s="25"/>
      <c r="Y1726" s="25"/>
      <c r="Z1726" s="25"/>
    </row>
    <row r="1727" spans="1:26" ht="52.5" customHeight="1" x14ac:dyDescent="0.25">
      <c r="A1727" s="25" t="str">
        <f ca="1">IFERROR(__xludf.DUMMYFUNCTION("""COMPUTED_VALUE"""),"Gobie225")</f>
        <v>Gobie225</v>
      </c>
      <c r="B1727" s="25" t="str">
        <f ca="1">IFERROR(__xludf.DUMMYFUNCTION("""COMPUTED_VALUE"""),"Consejo Local de Giobierno de Rafael uribe Uribe")</f>
        <v>Consejo Local de Giobierno de Rafael uribe Uribe</v>
      </c>
      <c r="C1727" s="55">
        <f ca="1">IFERROR(__xludf.DUMMYFUNCTION("""COMPUTED_VALUE"""),44714)</f>
        <v>44714</v>
      </c>
      <c r="D1727" s="25" t="str">
        <f ca="1">IFERROR(__xludf.DUMMYFUNCTION("""COMPUTED_VALUE"""),"Gobierno")</f>
        <v>Gobierno</v>
      </c>
      <c r="E1727" s="25" t="str">
        <f ca="1">IFERROR(__xludf.DUMMYFUNCTION("""COMPUTED_VALUE"""),"Secretaría Distrital de Gobierno")</f>
        <v>Secretaría Distrital de Gobierno</v>
      </c>
      <c r="F1727" s="25" t="str">
        <f ca="1">IFERROR(__xludf.DUMMYFUNCTION("""COMPUTED_VALUE"""),"Revisar las denuncias sobre amenazas a líderes sociales de la localidad y las solicitudes sobre el plan se tiene previsto para afrontar estas las situaciones")</f>
        <v>Revisar las denuncias sobre amenazas a líderes sociales de la localidad y las solicitudes sobre el plan se tiene previsto para afrontar estas las situaciones</v>
      </c>
      <c r="G1727" s="25" t="str">
        <f ca="1">IFERROR(__xludf.DUMMYFUNCTION("""COMPUTED_VALUE"""),"18. Rafael Uribe Uribe")</f>
        <v>18. Rafael Uribe Uribe</v>
      </c>
      <c r="H1727" s="55">
        <f ca="1">IFERROR(__xludf.DUMMYFUNCTION("""COMPUTED_VALUE"""),44742)</f>
        <v>44742</v>
      </c>
      <c r="I1727" s="25"/>
      <c r="J1727" s="55" t="str">
        <f ca="1">IFERROR(__xludf.DUMMYFUNCTION("""COMPUTED_VALUE"""),"Alta")</f>
        <v>Alta</v>
      </c>
      <c r="K1727" s="25">
        <f ca="1">IFERROR(__xludf.DUMMYFUNCTION("""COMPUTED_VALUE"""),28)</f>
        <v>28</v>
      </c>
      <c r="L1727" s="62">
        <f ca="1">IFERROR(__xludf.DUMMYFUNCTION("""COMPUTED_VALUE"""),44742)</f>
        <v>44742</v>
      </c>
      <c r="M1727" s="25" t="str">
        <f ca="1">IFERROR(__xludf.DUMMYFUNCTION("""COMPUTED_VALUE"""),"FRANK QUINTERO 
 Se atendió desde la ruta de defensores y defensoras de DDHH de la DDHH SDG el 25/05/2022. Ingresó a ruta.
 Articulación con UNP (radicado No. 20223107457381 y Fiscalía (radicado No. 20223107457341) No quiso acompañamiento policial de la M"&amp;"ebog.
 CRISTIAN REDONDO 
 Atendido por las rutas de presunto abuso de autoridad y defensores de derechos humanos. 
 A la ruta de defensores ingresó el 10/05/2022 y se realizó seguimiento el 06/07/2022. 
 Se remitió solicitud de estudio de nivel de riesg"&amp;"o ante UNP (radicado No. 20223106357941) y Fiscalía General de la Nación (radicado No. 20223106357961), no desea medidas de acompañamiento policial de la Mebog.
 En la ruta de abuso: atención presencial el 07/06/2022, actualizó datos de contacto e infor"&amp;"ma nuevos Cerradas contra él y otros compañeros, no recuerda fechas y horas exactas, quedó de enviar información a la ruta junto con los anexos, lo cual no fue allegada de acuerdo al compromiso por él adquirido. No obstante, se remitió a Procuraduría (rad"&amp;"icado No. 20223106319951) y Fiscalía (radicado No. 20223106320091) la información que se tenía inicialmente. 
 Fiscalía dio respuesta con radicado No. 20224212010092 en donde informa el NUC 110016000050202212365, lo cual se puso en conocimiento del ciudad"&amp;"ano a su correo con radicado No. 20223107313371.")</f>
        <v>FRANK QUINTERO 
 Se atendió desde la ruta de defensores y defensoras de DDHH de la DDHH SDG el 25/05/2022. Ingresó a ruta.
 Articulación con UNP (radicado No. 20223107457381 y Fiscalía (radicado No. 20223107457341) No quiso acompañamiento policial de la Mebog.
 CRISTIAN REDONDO 
 Atendido por las rutas de presunto abuso de autoridad y defensores de derechos humanos. 
 A la ruta de defensores ingresó el 10/05/2022 y se realizó seguimiento el 06/07/2022. 
 Se remitió solicitud de estudio de nivel de riesgo ante UNP (radicado No. 20223106357941) y Fiscalía General de la Nación (radicado No. 20223106357961), no desea medidas de acompañamiento policial de la Mebog.
 En la ruta de abuso: atención presencial el 07/06/2022, actualizó datos de contacto e informa nuevos Cerradas contra él y otros compañeros, no recuerda fechas y horas exactas, quedó de enviar información a la ruta junto con los anexos, lo cual no fue allegada de acuerdo al compromiso por él adquirido. No obstante, se remitió a Procuraduría (radicado No. 20223106319951) y Fiscalía (radicado No. 20223106320091) la información que se tenía inicialmente. 
 Fiscalía dio respuesta con radicado No. 20224212010092 en donde informa el NUC 110016000050202212365, lo cual se puso en conocimiento del ciudadano a su correo con radicado No. 20223107313371.</v>
      </c>
      <c r="N1727" s="55">
        <f ca="1">IFERROR(__xludf.DUMMYFUNCTION("""COMPUTED_VALUE"""),44926)</f>
        <v>44926</v>
      </c>
      <c r="O1727" s="25" t="str">
        <f t="shared" ca="1" si="0"/>
        <v>Secretaría Distrital de Gobierno</v>
      </c>
      <c r="P1727" s="25" t="str">
        <f t="shared" si="2"/>
        <v/>
      </c>
      <c r="Q1727" s="25" t="str">
        <f ca="1">IFERROR(__xludf.DUMMYFUNCTION("""COMPUTED_VALUE"""),"Corto plazo")</f>
        <v>Corto plazo</v>
      </c>
      <c r="R1727" s="25"/>
      <c r="S1727" s="55"/>
      <c r="T1727" s="56"/>
      <c r="U1727" s="25"/>
      <c r="V1727" s="25"/>
      <c r="W1727" s="25"/>
      <c r="X1727" s="25"/>
      <c r="Y1727" s="25"/>
      <c r="Z1727" s="25"/>
    </row>
    <row r="1728" spans="1:26" ht="52.5" customHeight="1" x14ac:dyDescent="0.25">
      <c r="A1728" s="25" t="str">
        <f ca="1">IFERROR(__xludf.DUMMYFUNCTION("""COMPUTED_VALUE"""),"Gobie226")</f>
        <v>Gobie226</v>
      </c>
      <c r="B1728" s="25" t="str">
        <f ca="1">IFERROR(__xludf.DUMMYFUNCTION("""COMPUTED_VALUE"""),"Consejo Local de Giobierno de Rafael uribe Uribe")</f>
        <v>Consejo Local de Giobierno de Rafael uribe Uribe</v>
      </c>
      <c r="C1728" s="55">
        <f ca="1">IFERROR(__xludf.DUMMYFUNCTION("""COMPUTED_VALUE"""),44714)</f>
        <v>44714</v>
      </c>
      <c r="D1728" s="25" t="str">
        <f ca="1">IFERROR(__xludf.DUMMYFUNCTION("""COMPUTED_VALUE"""),"Gobierno")</f>
        <v>Gobierno</v>
      </c>
      <c r="E1728" s="25" t="str">
        <f ca="1">IFERROR(__xludf.DUMMYFUNCTION("""COMPUTED_VALUE"""),"Alcaldía Local")</f>
        <v>Alcaldía Local</v>
      </c>
      <c r="F1728" s="25" t="str">
        <f ca="1">IFERROR(__xludf.DUMMYFUNCTION("""COMPUTED_VALUE"""),"Organizar una mesa de trabajo para definir el funcionamiento de la Casa de la Juventud en el predio que queda al lado del Parque Palermo y por parte del DADEP definir a quién pertenece el predio")</f>
        <v>Organizar una mesa de trabajo para definir el funcionamiento de la Casa de la Juventud en el predio que queda al lado del Parque Palermo y por parte del DADEP definir a quién pertenece el predio</v>
      </c>
      <c r="G1728" s="25" t="str">
        <f ca="1">IFERROR(__xludf.DUMMYFUNCTION("""COMPUTED_VALUE"""),"18. Rafael Uribe Uribe")</f>
        <v>18. Rafael Uribe Uribe</v>
      </c>
      <c r="H1728" s="55">
        <f ca="1">IFERROR(__xludf.DUMMYFUNCTION("""COMPUTED_VALUE"""),45005)</f>
        <v>45005</v>
      </c>
      <c r="I1728" s="25"/>
      <c r="J1728" s="55" t="str">
        <f ca="1">IFERROR(__xludf.DUMMYFUNCTION("""COMPUTED_VALUE"""),"Baja")</f>
        <v>Baja</v>
      </c>
      <c r="K1728" s="25">
        <f ca="1">IFERROR(__xludf.DUMMYFUNCTION("""COMPUTED_VALUE"""),291)</f>
        <v>291</v>
      </c>
      <c r="L1728" s="62">
        <f ca="1">IFERROR(__xludf.DUMMYFUNCTION("""COMPUTED_VALUE"""),44902)</f>
        <v>44902</v>
      </c>
      <c r="M1728" s="25" t="str">
        <f ca="1">IFERROR(__xludf.DUMMYFUNCTION("""COMPUTED_VALUE"""),"En este momento la casa de la juventud se encuentra funcionando en el CDC Molinos y está pendiente la confirmación de la fecha de reapertura.")</f>
        <v>En este momento la casa de la juventud se encuentra funcionando en el CDC Molinos y está pendiente la confirmación de la fecha de reapertura.</v>
      </c>
      <c r="N1728" s="55">
        <f ca="1">IFERROR(__xludf.DUMMYFUNCTION("""COMPUTED_VALUE"""),44926)</f>
        <v>44926</v>
      </c>
      <c r="O1728" s="25" t="str">
        <f t="shared" ca="1" si="0"/>
        <v>Alcaldía Local</v>
      </c>
      <c r="P1728" s="25" t="str">
        <f t="shared" si="2"/>
        <v/>
      </c>
      <c r="Q1728" s="25" t="str">
        <f ca="1">IFERROR(__xludf.DUMMYFUNCTION("""COMPUTED_VALUE"""),"Largo plazo")</f>
        <v>Largo plazo</v>
      </c>
      <c r="R1728" s="25"/>
      <c r="S1728" s="55"/>
      <c r="T1728" s="56"/>
      <c r="U1728" s="25"/>
      <c r="V1728" s="25"/>
      <c r="W1728" s="25"/>
      <c r="X1728" s="25"/>
      <c r="Y1728" s="25"/>
      <c r="Z1728" s="25"/>
    </row>
    <row r="1729" spans="1:26" ht="52.5" customHeight="1" x14ac:dyDescent="0.25">
      <c r="A1729" s="25" t="str">
        <f ca="1">IFERROR(__xludf.DUMMYFUNCTION("""COMPUTED_VALUE"""),"Gobie227")</f>
        <v>Gobie227</v>
      </c>
      <c r="B1729" s="25" t="str">
        <f ca="1">IFERROR(__xludf.DUMMYFUNCTION("""COMPUTED_VALUE"""),"Consejo Local de Giobierno de Rafael uribe Uribe")</f>
        <v>Consejo Local de Giobierno de Rafael uribe Uribe</v>
      </c>
      <c r="C1729" s="55">
        <f ca="1">IFERROR(__xludf.DUMMYFUNCTION("""COMPUTED_VALUE"""),44714)</f>
        <v>44714</v>
      </c>
      <c r="D1729" s="25" t="str">
        <f ca="1">IFERROR(__xludf.DUMMYFUNCTION("""COMPUTED_VALUE"""),"Gobierno")</f>
        <v>Gobierno</v>
      </c>
      <c r="E1729" s="25" t="str">
        <f ca="1">IFERROR(__xludf.DUMMYFUNCTION("""COMPUTED_VALUE"""),"Alcaldía Local")</f>
        <v>Alcaldía Local</v>
      </c>
      <c r="F1729" s="25" t="str">
        <f ca="1">IFERROR(__xludf.DUMMYFUNCTION("""COMPUTED_VALUE"""),"Realizar operativo de IVC a los establecimientos de venta de licor que quedan cerca a los colegios Liceo Superior de Bogotá - Liceo Femenino Merced Nariño")</f>
        <v>Realizar operativo de IVC a los establecimientos de venta de licor que quedan cerca a los colegios Liceo Superior de Bogotá - Liceo Femenino Merced Nariño</v>
      </c>
      <c r="G1729" s="25" t="str">
        <f ca="1">IFERROR(__xludf.DUMMYFUNCTION("""COMPUTED_VALUE"""),"18. Rafael Uribe Uribe")</f>
        <v>18. Rafael Uribe Uribe</v>
      </c>
      <c r="H1729" s="55">
        <f ca="1">IFERROR(__xludf.DUMMYFUNCTION("""COMPUTED_VALUE"""),44720)</f>
        <v>44720</v>
      </c>
      <c r="I1729" s="25"/>
      <c r="J1729" s="55" t="str">
        <f ca="1">IFERROR(__xludf.DUMMYFUNCTION("""COMPUTED_VALUE"""),"Alta")</f>
        <v>Alta</v>
      </c>
      <c r="K1729" s="25">
        <f ca="1">IFERROR(__xludf.DUMMYFUNCTION("""COMPUTED_VALUE"""),6)</f>
        <v>6</v>
      </c>
      <c r="L1729" s="62">
        <f ca="1">IFERROR(__xludf.DUMMYFUNCTION("""COMPUTED_VALUE"""),44720)</f>
        <v>44720</v>
      </c>
      <c r="M1729" s="25" t="str">
        <f ca="1">IFERROR(__xludf.DUMMYFUNCTION("""COMPUTED_VALUE"""),"Se realizó operativo de IVC en el entorno escolar del Liceo Femenino Mercedes Nariño el dia 03 de Junio de 2022 a las 3 pm en donde se procedió a la suspension inmedianta de la actividad económica de dos establecimientos de comercio, denominados Avila's G"&amp;"roup S.A.S y la Esquina donde Santy con las respectivas medidas correctivas.")</f>
        <v>Se realizó operativo de IVC en el entorno escolar del Liceo Femenino Mercedes Nariño el dia 03 de Junio de 2022 a las 3 pm en donde se procedió a la suspension inmedianta de la actividad económica de dos establecimientos de comercio, denominados Avila's Group S.A.S y la Esquina donde Santy con las respectivas medidas correctivas.</v>
      </c>
      <c r="N1729" s="55">
        <f ca="1">IFERROR(__xludf.DUMMYFUNCTION("""COMPUTED_VALUE"""),44926)</f>
        <v>44926</v>
      </c>
      <c r="O1729" s="25" t="str">
        <f t="shared" ca="1" si="0"/>
        <v>Alcaldía Local</v>
      </c>
      <c r="P1729" s="25" t="str">
        <f t="shared" si="2"/>
        <v/>
      </c>
      <c r="Q1729" s="25" t="str">
        <f ca="1">IFERROR(__xludf.DUMMYFUNCTION("""COMPUTED_VALUE"""),"Corto plazo")</f>
        <v>Corto plazo</v>
      </c>
      <c r="R1729" s="25"/>
      <c r="S1729" s="55"/>
      <c r="T1729" s="56"/>
      <c r="U1729" s="25"/>
      <c r="V1729" s="25"/>
      <c r="W1729" s="25"/>
      <c r="X1729" s="25"/>
      <c r="Y1729" s="25"/>
      <c r="Z1729" s="25"/>
    </row>
    <row r="1730" spans="1:26" ht="52.5" customHeight="1" x14ac:dyDescent="0.25">
      <c r="A1730" s="25" t="str">
        <f ca="1">IFERROR(__xludf.DUMMYFUNCTION("""COMPUTED_VALUE"""),"Gobie228")</f>
        <v>Gobie228</v>
      </c>
      <c r="B1730" s="25" t="str">
        <f ca="1">IFERROR(__xludf.DUMMYFUNCTION("""COMPUTED_VALUE"""),"Consejo Local de Giobierno de Rafael uribe Uribe")</f>
        <v>Consejo Local de Giobierno de Rafael uribe Uribe</v>
      </c>
      <c r="C1730" s="55">
        <f ca="1">IFERROR(__xludf.DUMMYFUNCTION("""COMPUTED_VALUE"""),44714)</f>
        <v>44714</v>
      </c>
      <c r="D1730" s="25" t="str">
        <f ca="1">IFERROR(__xludf.DUMMYFUNCTION("""COMPUTED_VALUE"""),"Gobierno")</f>
        <v>Gobierno</v>
      </c>
      <c r="E1730" s="25" t="str">
        <f ca="1">IFERROR(__xludf.DUMMYFUNCTION("""COMPUTED_VALUE"""),"Departamento Administrativo de la Defensoría del Espacio Público")</f>
        <v>Departamento Administrativo de la Defensoría del Espacio Público</v>
      </c>
      <c r="F1730" s="25" t="str">
        <f ca="1">IFERROR(__xludf.DUMMYFUNCTION("""COMPUTED_VALUE"""),"Revisar por qué la Plaza de Mercado Barrio Inglés (al lado de la glorieta) está funcionando como un parqueadero ilegal")</f>
        <v>Revisar por qué la Plaza de Mercado Barrio Inglés (al lado de la glorieta) está funcionando como un parqueadero ilegal</v>
      </c>
      <c r="G1730" s="25" t="str">
        <f ca="1">IFERROR(__xludf.DUMMYFUNCTION("""COMPUTED_VALUE"""),"18. Rafael Uribe Uribe")</f>
        <v>18. Rafael Uribe Uribe</v>
      </c>
      <c r="H1730" s="55">
        <f ca="1">IFERROR(__xludf.DUMMYFUNCTION("""COMPUTED_VALUE"""),45107)</f>
        <v>45107</v>
      </c>
      <c r="I1730" s="25" t="str">
        <f ca="1">IFERROR(__xludf.DUMMYFUNCTION("""COMPUTED_VALUE"""),"Delivery Unit")</f>
        <v>Delivery Unit</v>
      </c>
      <c r="J1730" s="55" t="str">
        <f ca="1">IFERROR(__xludf.DUMMYFUNCTION("""COMPUTED_VALUE"""),"Baja")</f>
        <v>Baja</v>
      </c>
      <c r="K1730" s="25">
        <f ca="1">IFERROR(__xludf.DUMMYFUNCTION("""COMPUTED_VALUE"""),393)</f>
        <v>393</v>
      </c>
      <c r="L1730" s="62">
        <f ca="1">IFERROR(__xludf.DUMMYFUNCTION("""COMPUTED_VALUE"""),45082)</f>
        <v>45082</v>
      </c>
      <c r="M1730" s="25" t="str">
        <f ca="1">IFERROR(__xludf.DUMMYFUNCTION("""COMPUTED_VALUE"""),"Se verificó en los sistemas de información geografica del DADEP el estado de la rotonda con el RUPI:3434-37 junto con sus vias adyacentes ( RUPI: 3434-32, 3434-41, 3434-13, 3434-35, 3434-33, 3434-42). Identificando que los usos de estos espacios son de ti"&amp;"pó vial y vehicular. Por esta razón no está permitida ninguna actividad de estacionamiento en la rotonda ni en sus vías adyacentes. Se escalo con la Alcaldía Local de Rafael Uribe Uribe y a Secretaría de Movilidad las acciones policivas pertinentes para a"&amp;"tender el caso, este Departamento esta en la dispocision de apoyar los operativos de restitución en articulación de la Alcaldía local de Rafael Uribe Uribe quien es la autoridad con competencias policivas en espacio público de este sector.")</f>
        <v>Se verificó en los sistemas de información geografica del DADEP el estado de la rotonda con el RUPI:3434-37 junto con sus vias adyacentes ( RUPI: 3434-32, 3434-41, 3434-13, 3434-35, 3434-33, 3434-42). Identificando que los usos de estos espacios son de tipó vial y vehicular. Por esta razón no está permitida ninguna actividad de estacionamiento en la rotonda ni en sus vías adyacentes. Se escalo con la Alcaldía Local de Rafael Uribe Uribe y a Secretaría de Movilidad las acciones policivas pertinentes para atender el caso, este Departamento esta en la dispocision de apoyar los operativos de restitución en articulación de la Alcaldía local de Rafael Uribe Uribe quien es la autoridad con competencias policivas en espacio público de este sector.</v>
      </c>
      <c r="N1730" s="25"/>
      <c r="O1730" s="25" t="str">
        <f t="shared" ca="1" si="0"/>
        <v>Departamento Administrativo de la Defensoría del Espacio Público</v>
      </c>
      <c r="P1730" s="25" t="str">
        <f t="shared" ca="1" si="2"/>
        <v/>
      </c>
      <c r="Q1730" s="25" t="str">
        <f ca="1">IFERROR(__xludf.DUMMYFUNCTION("""COMPUTED_VALUE"""),"Largo plazo")</f>
        <v>Largo plazo</v>
      </c>
      <c r="R1730" s="25"/>
      <c r="S1730" s="55"/>
      <c r="T1730" s="56"/>
      <c r="U1730" s="25"/>
      <c r="V1730" s="25"/>
      <c r="W1730" s="25"/>
      <c r="X1730" s="25"/>
      <c r="Y1730" s="25"/>
      <c r="Z1730" s="25"/>
    </row>
    <row r="1731" spans="1:26" ht="52.5" customHeight="1" x14ac:dyDescent="0.25">
      <c r="A1731" s="25" t="str">
        <f ca="1">IFERROR(__xludf.DUMMYFUNCTION("""COMPUTED_VALUE"""),"Gobie229")</f>
        <v>Gobie229</v>
      </c>
      <c r="B1731" s="25" t="str">
        <f ca="1">IFERROR(__xludf.DUMMYFUNCTION("""COMPUTED_VALUE"""),"Consejo Local de Gobierno de Antonio Nariño")</f>
        <v>Consejo Local de Gobierno de Antonio Nariño</v>
      </c>
      <c r="C1731" s="55">
        <f ca="1">IFERROR(__xludf.DUMMYFUNCTION("""COMPUTED_VALUE"""),44770)</f>
        <v>44770</v>
      </c>
      <c r="D1731" s="25" t="str">
        <f ca="1">IFERROR(__xludf.DUMMYFUNCTION("""COMPUTED_VALUE"""),"Gobierno")</f>
        <v>Gobierno</v>
      </c>
      <c r="E1731" s="25" t="str">
        <f ca="1">IFERROR(__xludf.DUMMYFUNCTION("""COMPUTED_VALUE"""),"Alcaldía Local")</f>
        <v>Alcaldía Local</v>
      </c>
      <c r="F1731" s="25" t="str">
        <f ca="1">IFERROR(__xludf.DUMMYFUNCTION("""COMPUTED_VALUE"""),"Hacer seguimiento al cumplimiento de los acuerdos existentes con los vendedores informales que ocupan el espacio público en el Barrio Restrepo")</f>
        <v>Hacer seguimiento al cumplimiento de los acuerdos existentes con los vendedores informales que ocupan el espacio público en el Barrio Restrepo</v>
      </c>
      <c r="G1731" s="25" t="str">
        <f ca="1">IFERROR(__xludf.DUMMYFUNCTION("""COMPUTED_VALUE"""),"15. Antonio Nariño")</f>
        <v>15. Antonio Nariño</v>
      </c>
      <c r="H1731" s="55">
        <f ca="1">IFERROR(__xludf.DUMMYFUNCTION("""COMPUTED_VALUE"""),44893)</f>
        <v>44893</v>
      </c>
      <c r="I1731" s="25"/>
      <c r="J1731" s="55" t="str">
        <f ca="1">IFERROR(__xludf.DUMMYFUNCTION("""COMPUTED_VALUE"""),"Media")</f>
        <v>Media</v>
      </c>
      <c r="K1731" s="25">
        <f ca="1">IFERROR(__xludf.DUMMYFUNCTION("""COMPUTED_VALUE"""),123)</f>
        <v>123</v>
      </c>
      <c r="L1731" s="62">
        <f ca="1">IFERROR(__xludf.DUMMYFUNCTION("""COMPUTED_VALUE"""),44893)</f>
        <v>44893</v>
      </c>
      <c r="M1731" s="25" t="str">
        <f ca="1">IFERROR(__xludf.DUMMYFUNCTION("""COMPUTED_VALUE"""),"La Alcaldia Local de Antonio Nariño, el Consejo Local de Vendedores informales y el Instituto para la Economia Social, suscribieron el pasado 8 de novimebre del presente año el acuerdo de Acción Colectiva para la organización de las ventas informales en e"&amp;"l barrio Restrepo. Actualmente se encuentra en estado de implementación de lo acordado.")</f>
        <v>La Alcaldia Local de Antonio Nariño, el Consejo Local de Vendedores informales y el Instituto para la Economia Social, suscribieron el pasado 8 de novimebre del presente año el acuerdo de Acción Colectiva para la organización de las ventas informales en el barrio Restrepo. Actualmente se encuentra en estado de implementación de lo acordado.</v>
      </c>
      <c r="N1731" s="55">
        <f ca="1">IFERROR(__xludf.DUMMYFUNCTION("""COMPUTED_VALUE"""),44926)</f>
        <v>44926</v>
      </c>
      <c r="O1731" s="25" t="str">
        <f t="shared" ca="1" si="0"/>
        <v>Alcaldía Local</v>
      </c>
      <c r="P1731" s="25" t="str">
        <f t="shared" si="2"/>
        <v/>
      </c>
      <c r="Q1731" s="25" t="str">
        <f ca="1">IFERROR(__xludf.DUMMYFUNCTION("""COMPUTED_VALUE"""),"Mediano plazo")</f>
        <v>Mediano plazo</v>
      </c>
      <c r="R1731" s="25"/>
      <c r="S1731" s="55"/>
      <c r="T1731" s="56"/>
      <c r="U1731" s="25"/>
      <c r="V1731" s="25"/>
      <c r="W1731" s="25"/>
      <c r="X1731" s="25"/>
      <c r="Y1731" s="25"/>
      <c r="Z1731" s="25"/>
    </row>
    <row r="1732" spans="1:26" ht="52.5" customHeight="1" x14ac:dyDescent="0.25">
      <c r="A1732" s="25" t="str">
        <f ca="1">IFERROR(__xludf.DUMMYFUNCTION("""COMPUTED_VALUE"""),"Gobie230")</f>
        <v>Gobie230</v>
      </c>
      <c r="B1732" s="25" t="str">
        <f ca="1">IFERROR(__xludf.DUMMYFUNCTION("""COMPUTED_VALUE"""),"Consejo Local de Gobierno de Antonio Nariño")</f>
        <v>Consejo Local de Gobierno de Antonio Nariño</v>
      </c>
      <c r="C1732" s="55">
        <f ca="1">IFERROR(__xludf.DUMMYFUNCTION("""COMPUTED_VALUE"""),44770)</f>
        <v>44770</v>
      </c>
      <c r="D1732" s="25" t="str">
        <f ca="1">IFERROR(__xludf.DUMMYFUNCTION("""COMPUTED_VALUE"""),"Gobierno")</f>
        <v>Gobierno</v>
      </c>
      <c r="E1732" s="25" t="str">
        <f ca="1">IFERROR(__xludf.DUMMYFUNCTION("""COMPUTED_VALUE"""),"Alcaldía Local")</f>
        <v>Alcaldía Local</v>
      </c>
      <c r="F1732" s="25" t="str">
        <f ca="1">IFERROR(__xludf.DUMMYFUNCTION("""COMPUTED_VALUE"""),"Llegar a un acuerdo sobre cómo se ejecutan los recursos del programa saberes ancestrales que incluye a todas las organizaciones étnicas")</f>
        <v>Llegar a un acuerdo sobre cómo se ejecutan los recursos del programa saberes ancestrales que incluye a todas las organizaciones étnicas</v>
      </c>
      <c r="G1732" s="25" t="str">
        <f ca="1">IFERROR(__xludf.DUMMYFUNCTION("""COMPUTED_VALUE"""),"15. Antonio Nariño")</f>
        <v>15. Antonio Nariño</v>
      </c>
      <c r="H1732" s="55">
        <f ca="1">IFERROR(__xludf.DUMMYFUNCTION("""COMPUTED_VALUE"""),44926)</f>
        <v>44926</v>
      </c>
      <c r="I1732" s="25"/>
      <c r="J1732" s="55" t="str">
        <f ca="1">IFERROR(__xludf.DUMMYFUNCTION("""COMPUTED_VALUE"""),"Media")</f>
        <v>Media</v>
      </c>
      <c r="K1732" s="25">
        <f ca="1">IFERROR(__xludf.DUMMYFUNCTION("""COMPUTED_VALUE"""),156)</f>
        <v>156</v>
      </c>
      <c r="L1732" s="62">
        <f ca="1">IFERROR(__xludf.DUMMYFUNCTION("""COMPUTED_VALUE"""),44926)</f>
        <v>44926</v>
      </c>
      <c r="M1732" s="25" t="str">
        <f ca="1">IFERROR(__xludf.DUMMYFUNCTION("""COMPUTED_VALUE"""),"Para la ejecución de los recursos correspondientes a saberes ancestrales se organizó con las dos instancias etnicas, se dividió el proceso en dos selecciones abreviadas de menor cuantía que materializan la propuesta de ejecución presentada por las instanc"&amp;"ias. Por recomendación de las mismas, se estableció la necesidad de ejecutar dos procesos diferentes para no mezclar las cosmovisiones de cada etnia.")</f>
        <v>Para la ejecución de los recursos correspondientes a saberes ancestrales se organizó con las dos instancias etnicas, se dividió el proceso en dos selecciones abreviadas de menor cuantía que materializan la propuesta de ejecución presentada por las instancias. Por recomendación de las mismas, se estableció la necesidad de ejecutar dos procesos diferentes para no mezclar las cosmovisiones de cada etnia.</v>
      </c>
      <c r="N1732" s="55">
        <f ca="1">IFERROR(__xludf.DUMMYFUNCTION("""COMPUTED_VALUE"""),44926)</f>
        <v>44926</v>
      </c>
      <c r="O1732" s="25" t="str">
        <f t="shared" ca="1" si="0"/>
        <v>Alcaldía Local</v>
      </c>
      <c r="P1732" s="25" t="str">
        <f t="shared" si="2"/>
        <v/>
      </c>
      <c r="Q1732" s="25" t="str">
        <f ca="1">IFERROR(__xludf.DUMMYFUNCTION("""COMPUTED_VALUE"""),"Mediano plazo")</f>
        <v>Mediano plazo</v>
      </c>
      <c r="R1732" s="25"/>
      <c r="S1732" s="55"/>
      <c r="T1732" s="56"/>
      <c r="U1732" s="25"/>
      <c r="V1732" s="25"/>
      <c r="W1732" s="25"/>
      <c r="X1732" s="25"/>
      <c r="Y1732" s="25"/>
      <c r="Z1732" s="25"/>
    </row>
    <row r="1733" spans="1:26" ht="52.5" customHeight="1" x14ac:dyDescent="0.25">
      <c r="A1733" s="25" t="str">
        <f ca="1">IFERROR(__xludf.DUMMYFUNCTION("""COMPUTED_VALUE"""),"Gobie231")</f>
        <v>Gobie231</v>
      </c>
      <c r="B1733" s="25" t="str">
        <f ca="1">IFERROR(__xludf.DUMMYFUNCTION("""COMPUTED_VALUE"""),"Consejo Local de Gobierno de Antonio Nariño")</f>
        <v>Consejo Local de Gobierno de Antonio Nariño</v>
      </c>
      <c r="C1733" s="55">
        <f ca="1">IFERROR(__xludf.DUMMYFUNCTION("""COMPUTED_VALUE"""),44770)</f>
        <v>44770</v>
      </c>
      <c r="D1733" s="25" t="str">
        <f ca="1">IFERROR(__xludf.DUMMYFUNCTION("""COMPUTED_VALUE"""),"Gobierno")</f>
        <v>Gobierno</v>
      </c>
      <c r="E1733" s="25" t="str">
        <f ca="1">IFERROR(__xludf.DUMMYFUNCTION("""COMPUTED_VALUE"""),"Alcaldía Local")</f>
        <v>Alcaldía Local</v>
      </c>
      <c r="F1733" s="25" t="str">
        <f ca="1">IFERROR(__xludf.DUMMYFUNCTION("""COMPUTED_VALUE"""),"Concretar reunión con las instancias de participación de jovenes y población Afro")</f>
        <v>Concretar reunión con las instancias de participación de jovenes y población Afro</v>
      </c>
      <c r="G1733" s="25" t="str">
        <f ca="1">IFERROR(__xludf.DUMMYFUNCTION("""COMPUTED_VALUE"""),"15. Antonio Nariño")</f>
        <v>15. Antonio Nariño</v>
      </c>
      <c r="H1733" s="55">
        <f ca="1">IFERROR(__xludf.DUMMYFUNCTION("""COMPUTED_VALUE"""),44926)</f>
        <v>44926</v>
      </c>
      <c r="I1733" s="25"/>
      <c r="J1733" s="55" t="str">
        <f ca="1">IFERROR(__xludf.DUMMYFUNCTION("""COMPUTED_VALUE"""),"Media")</f>
        <v>Media</v>
      </c>
      <c r="K1733" s="25">
        <f ca="1">IFERROR(__xludf.DUMMYFUNCTION("""COMPUTED_VALUE"""),156)</f>
        <v>156</v>
      </c>
      <c r="L1733" s="62">
        <f ca="1">IFERROR(__xludf.DUMMYFUNCTION("""COMPUTED_VALUE"""),44926)</f>
        <v>44926</v>
      </c>
      <c r="M1733" s="25" t="str">
        <f ca="1">IFERROR(__xludf.DUMMYFUNCTION("""COMPUTED_VALUE"""),"Se entregó dotación a casa de la juventud, se gestiono semana de la juventud, y se encuentra en proceso de contratación la semana del palenque de comunidades afros. Igualmente, se contrató a un referente de las comunidades negras, que gestiona los proceso"&amp;"s concernientes a su comunidad.
 Se realizaron mesas de trabajo acompañadas por Secretaría de Gobierno, y se llegaron a acuerdos con el Consejo de Juventud, tendientes a la organización de la semana de la juventud y con la poblacion Afro, para la formulac"&amp;"ión de los proyectos que beneficien a la comunidad")</f>
        <v>Se entregó dotación a casa de la juventud, se gestiono semana de la juventud, y se encuentra en proceso de contratación la semana del palenque de comunidades afros. Igualmente, se contrató a un referente de las comunidades negras, que gestiona los procesos concernientes a su comunidad.
 Se realizaron mesas de trabajo acompañadas por Secretaría de Gobierno, y se llegaron a acuerdos con el Consejo de Juventud, tendientes a la organización de la semana de la juventud y con la poblacion Afro, para la formulación de los proyectos que beneficien a la comunidad</v>
      </c>
      <c r="N1733" s="55">
        <f ca="1">IFERROR(__xludf.DUMMYFUNCTION("""COMPUTED_VALUE"""),44926)</f>
        <v>44926</v>
      </c>
      <c r="O1733" s="25" t="str">
        <f t="shared" ca="1" si="0"/>
        <v>Alcaldía Local</v>
      </c>
      <c r="P1733" s="25" t="str">
        <f t="shared" si="2"/>
        <v/>
      </c>
      <c r="Q1733" s="25" t="str">
        <f ca="1">IFERROR(__xludf.DUMMYFUNCTION("""COMPUTED_VALUE"""),"Mediano plazo")</f>
        <v>Mediano plazo</v>
      </c>
      <c r="R1733" s="25"/>
      <c r="S1733" s="55"/>
      <c r="T1733" s="56"/>
      <c r="U1733" s="25"/>
      <c r="V1733" s="25"/>
      <c r="W1733" s="25"/>
      <c r="X1733" s="25"/>
      <c r="Y1733" s="25"/>
      <c r="Z1733" s="25"/>
    </row>
    <row r="1734" spans="1:26" ht="52.5" customHeight="1" x14ac:dyDescent="0.25">
      <c r="A1734" s="25" t="str">
        <f ca="1">IFERROR(__xludf.DUMMYFUNCTION("""COMPUTED_VALUE"""),"Gobie232")</f>
        <v>Gobie232</v>
      </c>
      <c r="B1734" s="25" t="str">
        <f ca="1">IFERROR(__xludf.DUMMYFUNCTION("""COMPUTED_VALUE"""),"Consejo Local de Gobierno de Antonio Nariño")</f>
        <v>Consejo Local de Gobierno de Antonio Nariño</v>
      </c>
      <c r="C1734" s="55">
        <f ca="1">IFERROR(__xludf.DUMMYFUNCTION("""COMPUTED_VALUE"""),44770)</f>
        <v>44770</v>
      </c>
      <c r="D1734" s="25" t="str">
        <f ca="1">IFERROR(__xludf.DUMMYFUNCTION("""COMPUTED_VALUE"""),"Gobierno")</f>
        <v>Gobierno</v>
      </c>
      <c r="E1734" s="25" t="str">
        <f ca="1">IFERROR(__xludf.DUMMYFUNCTION("""COMPUTED_VALUE"""),"Alcaldía Local")</f>
        <v>Alcaldía Local</v>
      </c>
      <c r="F1734" s="25" t="str">
        <f ca="1">IFERROR(__xludf.DUMMYFUNCTION("""COMPUTED_VALUE"""),"Realizar operativos de IVC al comercio de autopartes y de recuperación del espacio público en la Av Caracas y en la carrera 19 calle 4 con diagonal 2da, Barrio San Antonio")</f>
        <v>Realizar operativos de IVC al comercio de autopartes y de recuperación del espacio público en la Av Caracas y en la carrera 19 calle 4 con diagonal 2da, Barrio San Antonio</v>
      </c>
      <c r="G1734" s="25" t="str">
        <f ca="1">IFERROR(__xludf.DUMMYFUNCTION("""COMPUTED_VALUE"""),"15. Antonio Nariño")</f>
        <v>15. Antonio Nariño</v>
      </c>
      <c r="H1734" s="55">
        <f ca="1">IFERROR(__xludf.DUMMYFUNCTION("""COMPUTED_VALUE"""),29)</f>
        <v>29</v>
      </c>
      <c r="I1734" s="25"/>
      <c r="J1734" s="55" t="str">
        <f ca="1">IFERROR(__xludf.DUMMYFUNCTION("""COMPUTED_VALUE"""),"Alta")</f>
        <v>Alta</v>
      </c>
      <c r="K1734" s="25">
        <f ca="1">IFERROR(__xludf.DUMMYFUNCTION("""COMPUTED_VALUE"""),-44741)</f>
        <v>-44741</v>
      </c>
      <c r="L1734" s="62">
        <f ca="1">IFERROR(__xludf.DUMMYFUNCTION("""COMPUTED_VALUE"""),29)</f>
        <v>29</v>
      </c>
      <c r="M1734" s="25" t="str">
        <f ca="1">IFERROR(__xludf.DUMMYFUNCTION("""COMPUTED_VALUE"""),"Desde la fecha del CLG, se activaron 2 estrategias en la zona, inicialmente en coordinacion con Secretaría de Movilidad se realizó la estrategia preventiva de mal parqueo, en la cual se amonesta de manera verbal a las personas que ocupan de manera indebid"&amp;"a el espacio público en los sectores, posteriormente se activaron operativos de control, con frecuencia quincenal, en donde varias especialidades de policía, en especial trásito, realizan comparendos e inmovilizacion de vehículos, y Alcaldía Local y MEBOG"&amp;" realizaron suspensiones de actividad económica de establecimientos de comercio (talleres y compraventas de vehículos automotores) que promueven la ocupacion indebida de vias y andenes con vehículos.")</f>
        <v>Desde la fecha del CLG, se activaron 2 estrategias en la zona, inicialmente en coordinacion con Secretaría de Movilidad se realizó la estrategia preventiva de mal parqueo, en la cual se amonesta de manera verbal a las personas que ocupan de manera indebida el espacio público en los sectores, posteriormente se activaron operativos de control, con frecuencia quincenal, en donde varias especialidades de policía, en especial trásito, realizan comparendos e inmovilizacion de vehículos, y Alcaldía Local y MEBOG realizaron suspensiones de actividad económica de establecimientos de comercio (talleres y compraventas de vehículos automotores) que promueven la ocupacion indebida de vias y andenes con vehículos.</v>
      </c>
      <c r="N1734" s="55">
        <f ca="1">IFERROR(__xludf.DUMMYFUNCTION("""COMPUTED_VALUE"""),44926)</f>
        <v>44926</v>
      </c>
      <c r="O1734" s="25" t="str">
        <f t="shared" ca="1" si="0"/>
        <v>Alcaldía Local</v>
      </c>
      <c r="P1734" s="25" t="str">
        <f t="shared" si="2"/>
        <v/>
      </c>
      <c r="Q1734" s="25" t="str">
        <f ca="1">IFERROR(__xludf.DUMMYFUNCTION("""COMPUTED_VALUE"""),"Corto plazo")</f>
        <v>Corto plazo</v>
      </c>
      <c r="R1734" s="25"/>
      <c r="S1734" s="55"/>
      <c r="T1734" s="56"/>
      <c r="U1734" s="25"/>
      <c r="V1734" s="25"/>
      <c r="W1734" s="25"/>
      <c r="X1734" s="25"/>
      <c r="Y1734" s="25"/>
      <c r="Z1734" s="25"/>
    </row>
    <row r="1735" spans="1:26" ht="52.5" customHeight="1" x14ac:dyDescent="0.25">
      <c r="A1735" s="25" t="str">
        <f ca="1">IFERROR(__xludf.DUMMYFUNCTION("""COMPUTED_VALUE"""),"Gobie233")</f>
        <v>Gobie233</v>
      </c>
      <c r="B1735" s="25" t="str">
        <f ca="1">IFERROR(__xludf.DUMMYFUNCTION("""COMPUTED_VALUE"""),"Consejo Local de Gobierno de Antonio Nariño")</f>
        <v>Consejo Local de Gobierno de Antonio Nariño</v>
      </c>
      <c r="C1735" s="55">
        <f ca="1">IFERROR(__xludf.DUMMYFUNCTION("""COMPUTED_VALUE"""),44770)</f>
        <v>44770</v>
      </c>
      <c r="D1735" s="25" t="str">
        <f ca="1">IFERROR(__xludf.DUMMYFUNCTION("""COMPUTED_VALUE"""),"Gobierno")</f>
        <v>Gobierno</v>
      </c>
      <c r="E1735" s="25" t="str">
        <f ca="1">IFERROR(__xludf.DUMMYFUNCTION("""COMPUTED_VALUE"""),"Alcaldía Local")</f>
        <v>Alcaldía Local</v>
      </c>
      <c r="F1735" s="25" t="str">
        <f ca="1">IFERROR(__xludf.DUMMYFUNCTION("""COMPUTED_VALUE"""),"Realizar operativo de restitución de espacio público y problemática relacionada con los vendedores informales en la zona del Hospital Santa Clara")</f>
        <v>Realizar operativo de restitución de espacio público y problemática relacionada con los vendedores informales en la zona del Hospital Santa Clara</v>
      </c>
      <c r="G1735" s="25" t="str">
        <f ca="1">IFERROR(__xludf.DUMMYFUNCTION("""COMPUTED_VALUE"""),"15. Antonio Nariño")</f>
        <v>15. Antonio Nariño</v>
      </c>
      <c r="H1735" s="55">
        <f ca="1">IFERROR(__xludf.DUMMYFUNCTION("""COMPUTED_VALUE"""),44902)</f>
        <v>44902</v>
      </c>
      <c r="I1735" s="25"/>
      <c r="J1735" s="55" t="str">
        <f ca="1">IFERROR(__xludf.DUMMYFUNCTION("""COMPUTED_VALUE"""),"Media")</f>
        <v>Media</v>
      </c>
      <c r="K1735" s="25">
        <f ca="1">IFERROR(__xludf.DUMMYFUNCTION("""COMPUTED_VALUE"""),132)</f>
        <v>132</v>
      </c>
      <c r="L1735" s="62">
        <f ca="1">IFERROR(__xludf.DUMMYFUNCTION("""COMPUTED_VALUE"""),44902)</f>
        <v>44902</v>
      </c>
      <c r="M1735" s="25" t="str">
        <f ca="1">IFERROR(__xludf.DUMMYFUNCTION("""COMPUTED_VALUE"""),"Se realiza visita en compañía de IPES y MEBOG, se verifica la existencia de 2 casetas de dulces y cigarrillos de tamaño pequeño en donde, principalmente, el personal médico y los familiares de personas internadas en el Hospital, adquieren productos; las 2"&amp;" personas se encuentran registradas en la Base de datos RIVI y no se observa sobreocupación, o alguna situacion que pueda afectar derechos de terceros, no hay abuso del derecho al espacio público y del registro personal que realiza mebog, no se encuentran"&amp;" SPA o algún tipo de arma, en todo caso IPES realiza oferta de reconversion económica.")</f>
        <v>Se realiza visita en compañía de IPES y MEBOG, se verifica la existencia de 2 casetas de dulces y cigarrillos de tamaño pequeño en donde, principalmente, el personal médico y los familiares de personas internadas en el Hospital, adquieren productos; las 2 personas se encuentran registradas en la Base de datos RIVI y no se observa sobreocupación, o alguna situacion que pueda afectar derechos de terceros, no hay abuso del derecho al espacio público y del registro personal que realiza mebog, no se encuentran SPA o algún tipo de arma, en todo caso IPES realiza oferta de reconversion económica.</v>
      </c>
      <c r="N1735" s="55">
        <f ca="1">IFERROR(__xludf.DUMMYFUNCTION("""COMPUTED_VALUE"""),44926)</f>
        <v>44926</v>
      </c>
      <c r="O1735" s="25" t="str">
        <f t="shared" ca="1" si="0"/>
        <v>Alcaldía Local</v>
      </c>
      <c r="P1735" s="25" t="str">
        <f t="shared" si="2"/>
        <v/>
      </c>
      <c r="Q1735" s="25" t="str">
        <f ca="1">IFERROR(__xludf.DUMMYFUNCTION("""COMPUTED_VALUE"""),"Mediano plazo")</f>
        <v>Mediano plazo</v>
      </c>
      <c r="R1735" s="25"/>
      <c r="S1735" s="55"/>
      <c r="T1735" s="56"/>
      <c r="U1735" s="25"/>
      <c r="V1735" s="25"/>
      <c r="W1735" s="25"/>
      <c r="X1735" s="25"/>
      <c r="Y1735" s="25"/>
      <c r="Z1735" s="25"/>
    </row>
    <row r="1736" spans="1:26" ht="52.5" customHeight="1" x14ac:dyDescent="0.25">
      <c r="A1736" s="25" t="str">
        <f ca="1">IFERROR(__xludf.DUMMYFUNCTION("""COMPUTED_VALUE"""),"Gobie234")</f>
        <v>Gobie234</v>
      </c>
      <c r="B1736" s="25" t="str">
        <f ca="1">IFERROR(__xludf.DUMMYFUNCTION("""COMPUTED_VALUE"""),"Consejo Local de Gobierno de Antonio Nariño")</f>
        <v>Consejo Local de Gobierno de Antonio Nariño</v>
      </c>
      <c r="C1736" s="55">
        <f ca="1">IFERROR(__xludf.DUMMYFUNCTION("""COMPUTED_VALUE"""),44770)</f>
        <v>44770</v>
      </c>
      <c r="D1736" s="25" t="str">
        <f ca="1">IFERROR(__xludf.DUMMYFUNCTION("""COMPUTED_VALUE"""),"Gobierno")</f>
        <v>Gobierno</v>
      </c>
      <c r="E1736" s="25" t="str">
        <f ca="1">IFERROR(__xludf.DUMMYFUNCTION("""COMPUTED_VALUE"""),"Alcaldía Local")</f>
        <v>Alcaldía Local</v>
      </c>
      <c r="F1736" s="25" t="str">
        <f ca="1">IFERROR(__xludf.DUMMYFUNCTION("""COMPUTED_VALUE"""),"Realizar operativo en la bodega que queda en el barrio San Antonio. El dueño del lote arrienda la bodega y se están generando problemáticas de inseguridad en ella, afectando a la comunidad aledaña al predio")</f>
        <v>Realizar operativo en la bodega que queda en el barrio San Antonio. El dueño del lote arrienda la bodega y se están generando problemáticas de inseguridad en ella, afectando a la comunidad aledaña al predio</v>
      </c>
      <c r="G1736" s="25" t="str">
        <f ca="1">IFERROR(__xludf.DUMMYFUNCTION("""COMPUTED_VALUE"""),"15. Antonio Nariño")</f>
        <v>15. Antonio Nariño</v>
      </c>
      <c r="H1736" s="55">
        <f ca="1">IFERROR(__xludf.DUMMYFUNCTION("""COMPUTED_VALUE"""),44893)</f>
        <v>44893</v>
      </c>
      <c r="I1736" s="25"/>
      <c r="J1736" s="55" t="str">
        <f ca="1">IFERROR(__xludf.DUMMYFUNCTION("""COMPUTED_VALUE"""),"Media")</f>
        <v>Media</v>
      </c>
      <c r="K1736" s="25">
        <f ca="1">IFERROR(__xludf.DUMMYFUNCTION("""COMPUTED_VALUE"""),123)</f>
        <v>123</v>
      </c>
      <c r="L1736" s="62">
        <f ca="1">IFERROR(__xludf.DUMMYFUNCTION("""COMPUTED_VALUE"""),44893)</f>
        <v>44893</v>
      </c>
      <c r="M1736" s="25" t="str">
        <f ca="1">IFERROR(__xludf.DUMMYFUNCTION("""COMPUTED_VALUE"""),"Ante la gran cantididad d eoperativos realizados a la Bodega, en los cuales se realizó suspension por 10 dias inicialmente, y a la presion de los vecinos inconformes por la gran cantidad de carreteros que llegaban al sector, el dueño de la bodega decidió "&amp;"cerrarla definitivamente, actualmente el inmueble donde se presentaba la problemática se encuentra vacio.")</f>
        <v>Ante la gran cantididad d eoperativos realizados a la Bodega, en los cuales se realizó suspension por 10 dias inicialmente, y a la presion de los vecinos inconformes por la gran cantidad de carreteros que llegaban al sector, el dueño de la bodega decidió cerrarla definitivamente, actualmente el inmueble donde se presentaba la problemática se encuentra vacio.</v>
      </c>
      <c r="N1736" s="65">
        <f ca="1">IFERROR(__xludf.DUMMYFUNCTION("""COMPUTED_VALUE"""),44926)</f>
        <v>44926</v>
      </c>
      <c r="O1736" s="25" t="str">
        <f t="shared" ca="1" si="0"/>
        <v>Alcaldía Local</v>
      </c>
      <c r="P1736" s="25" t="str">
        <f t="shared" si="2"/>
        <v/>
      </c>
      <c r="Q1736" s="25" t="str">
        <f ca="1">IFERROR(__xludf.DUMMYFUNCTION("""COMPUTED_VALUE"""),"Mediano plazo")</f>
        <v>Mediano plazo</v>
      </c>
      <c r="R1736" s="25"/>
      <c r="S1736" s="55"/>
      <c r="T1736" s="56"/>
      <c r="U1736" s="25"/>
      <c r="V1736" s="25"/>
      <c r="W1736" s="25"/>
      <c r="X1736" s="25"/>
      <c r="Y1736" s="25"/>
      <c r="Z1736" s="25"/>
    </row>
    <row r="1737" spans="1:26" ht="52.5" customHeight="1" x14ac:dyDescent="0.25">
      <c r="A1737" s="25" t="str">
        <f ca="1">IFERROR(__xludf.DUMMYFUNCTION("""COMPUTED_VALUE"""),"Gobie235")</f>
        <v>Gobie235</v>
      </c>
      <c r="B1737" s="25" t="str">
        <f ca="1">IFERROR(__xludf.DUMMYFUNCTION("""COMPUTED_VALUE"""),"Consejo Local de Gobierno de Antonio Nariño")</f>
        <v>Consejo Local de Gobierno de Antonio Nariño</v>
      </c>
      <c r="C1737" s="55">
        <f ca="1">IFERROR(__xludf.DUMMYFUNCTION("""COMPUTED_VALUE"""),44770)</f>
        <v>44770</v>
      </c>
      <c r="D1737" s="25" t="str">
        <f ca="1">IFERROR(__xludf.DUMMYFUNCTION("""COMPUTED_VALUE"""),"Gobierno")</f>
        <v>Gobierno</v>
      </c>
      <c r="E1737" s="25" t="str">
        <f ca="1">IFERROR(__xludf.DUMMYFUNCTION("""COMPUTED_VALUE"""),"Secretaría Distrital de Gobierno")</f>
        <v>Secretaría Distrital de Gobierno</v>
      </c>
      <c r="F1737" s="25" t="str">
        <f ca="1">IFERROR(__xludf.DUMMYFUNCTION("""COMPUTED_VALUE"""),"Atender la situación de violencia que sufrió el ciudadano por parte de la policía el 1 de abril de 2020")</f>
        <v>Atender la situación de violencia que sufrió el ciudadano por parte de la policía el 1 de abril de 2020</v>
      </c>
      <c r="G1737" s="25" t="str">
        <f ca="1">IFERROR(__xludf.DUMMYFUNCTION("""COMPUTED_VALUE"""),"15. Antonio Nariño")</f>
        <v>15. Antonio Nariño</v>
      </c>
      <c r="H1737" s="55">
        <f ca="1">IFERROR(__xludf.DUMMYFUNCTION("""COMPUTED_VALUE"""),45077)</f>
        <v>45077</v>
      </c>
      <c r="I1737" s="25" t="str">
        <f ca="1">IFERROR(__xludf.DUMMYFUNCTION("""COMPUTED_VALUE"""),"Delivery Unit")</f>
        <v>Delivery Unit</v>
      </c>
      <c r="J1737" s="55" t="str">
        <f ca="1">IFERROR(__xludf.DUMMYFUNCTION("""COMPUTED_VALUE"""),"Baja")</f>
        <v>Baja</v>
      </c>
      <c r="K1737" s="25">
        <f ca="1">IFERROR(__xludf.DUMMYFUNCTION("""COMPUTED_VALUE"""),307)</f>
        <v>307</v>
      </c>
      <c r="L1737" s="62">
        <f ca="1">IFERROR(__xludf.DUMMYFUNCTION("""COMPUTED_VALUE"""),45062)</f>
        <v>45062</v>
      </c>
      <c r="M1737" s="25" t="str">
        <f ca="1">IFERROR(__xludf.DUMMYFUNCTION("""COMPUTED_VALUE"""),"Se le brindó asistitencia jurídica al señor Helver Estupiñan, quien contó con apoyo por parte de la asesora jurídica redactando el recurso de quja en contra del auto que negó la apelación de la decisión de archivo de la investigación disciplinaria. ")</f>
        <v xml:space="preserve">Se le brindó asistitencia jurídica al señor Helver Estupiñan, quien contó con apoyo por parte de la asesora jurídica redactando el recurso de quja en contra del auto que negó la apelación de la decisión de archivo de la investigación disciplinaria. </v>
      </c>
      <c r="N1737" s="25"/>
      <c r="O1737" s="25" t="str">
        <f t="shared" ca="1" si="0"/>
        <v>Secretaría Distrital de Gobierno</v>
      </c>
      <c r="P1737" s="25" t="str">
        <f t="shared" ca="1" si="2"/>
        <v/>
      </c>
      <c r="Q1737" s="25" t="str">
        <f ca="1">IFERROR(__xludf.DUMMYFUNCTION("""COMPUTED_VALUE"""),"Largo plazo")</f>
        <v>Largo plazo</v>
      </c>
      <c r="R1737" s="25"/>
      <c r="S1737" s="55"/>
      <c r="T1737" s="56"/>
      <c r="U1737" s="25"/>
      <c r="V1737" s="25"/>
      <c r="W1737" s="25"/>
      <c r="X1737" s="25"/>
      <c r="Y1737" s="25"/>
      <c r="Z1737" s="25"/>
    </row>
    <row r="1738" spans="1:26" ht="52.5" customHeight="1" x14ac:dyDescent="0.25">
      <c r="A1738" s="25" t="str">
        <f ca="1">IFERROR(__xludf.DUMMYFUNCTION("""COMPUTED_VALUE"""),"Gobie236")</f>
        <v>Gobie236</v>
      </c>
      <c r="B1738" s="25" t="str">
        <f ca="1">IFERROR(__xludf.DUMMYFUNCTION("""COMPUTED_VALUE"""),"Revisión cesiones y legalizaciones barrios")</f>
        <v>Revisión cesiones y legalizaciones barrios</v>
      </c>
      <c r="C1738" s="55">
        <f ca="1">IFERROR(__xludf.DUMMYFUNCTION("""COMPUTED_VALUE"""),44697)</f>
        <v>44697</v>
      </c>
      <c r="D1738" s="25" t="str">
        <f ca="1">IFERROR(__xludf.DUMMYFUNCTION("""COMPUTED_VALUE"""),"Gobierno")</f>
        <v>Gobierno</v>
      </c>
      <c r="E1738" s="25" t="str">
        <f ca="1">IFERROR(__xludf.DUMMYFUNCTION("""COMPUTED_VALUE"""),"Alcaldía Local")</f>
        <v>Alcaldía Local</v>
      </c>
      <c r="F1738" s="25" t="str">
        <f ca="1">IFERROR(__xludf.DUMMYFUNCTION("""COMPUTED_VALUE"""),"Las Margaritas: 
6.        En el conjunto no puede existir predios con cartón ni con vidrios rotos")</f>
        <v>Las Margaritas: 
6.        En el conjunto no puede existir predios con cartón ni con vidrios rotos</v>
      </c>
      <c r="G1738" s="25" t="str">
        <f ca="1">IFERROR(__xludf.DUMMYFUNCTION("""COMPUTED_VALUE"""),"07. Bosa")</f>
        <v>07. Bosa</v>
      </c>
      <c r="H1738" s="55">
        <f ca="1">IFERROR(__xludf.DUMMYFUNCTION("""COMPUTED_VALUE"""),44910)</f>
        <v>44910</v>
      </c>
      <c r="I1738" s="25" t="str">
        <f ca="1">IFERROR(__xludf.DUMMYFUNCTION("""COMPUTED_VALUE"""),"Secretaría Privada")</f>
        <v>Secretaría Privada</v>
      </c>
      <c r="J1738" s="55" t="str">
        <f ca="1">IFERROR(__xludf.DUMMYFUNCTION("""COMPUTED_VALUE"""),"Baja")</f>
        <v>Baja</v>
      </c>
      <c r="K1738" s="25">
        <f ca="1">IFERROR(__xludf.DUMMYFUNCTION("""COMPUTED_VALUE"""),213)</f>
        <v>213</v>
      </c>
      <c r="L1738" s="62">
        <f ca="1">IFERROR(__xludf.DUMMYFUNCTION("""COMPUTED_VALUE"""),45077)</f>
        <v>45077</v>
      </c>
      <c r="M1738" s="25" t="str">
        <f ca="1">IFERROR(__xludf.DUMMYFUNCTION("""COMPUTED_VALUE"""),"1. El parque mundo fue entregado por la constructora al DADEP y abierto a la comunidad desde el 8 de diciembre de 2022.  
2 y 3. Frente a la Casona,el Conceso distrital de cultura y patrimonio de la Secretaria de Cultura, dió respuesta a la constructora c"&amp;"olpatria respecto a la categorización de los inmuebles sujetos a intervención a través del Rad. 20233300041291 del 13 de marzo. De otro lado, la radicación del anteproyecto para intervención está en debida forma para su revisión técnica. para este proceso"&amp;", el IDPC asignó a la arquitecta Yiira Navarro quien está a cargo de la revisión. El IDPC infoma que una vez estén consolidadas las observaciones arquitectónicas, estructurales y juridicas (si las hay), contactará a la constructora. De otro lado, Colpatri"&amp;"a informa que a partir de la respuesta del IDPC puede tardar poco más de un mes en el proceso de revisión teniendo en cuenta el grado de complejidad. 
4, 5 y 6. Corresponden al plan de intervención de las vias y andenes colindantes a La Margarita, la Caso"&amp;"na y el Parque Gilma Jimenez, el cual se encuentra a cargo del Unidad de Mantenimiento Vial -UMV-, el IDU y la Alcaldia Local de Bosa. Por esta razón no hace parte de la gestión que se realiza desde la SDHT y no se cuenta con información al respecto.
7. D"&amp;"e otro lado, frente a los urbanismo pendientes por entregar en la Margarita, la constructora colpatria se encuentra en proceso de concertación con las urbanizaciones vecinas para recuprar zonas verdes remanente que han sido cerradas de forma permanente y "&amp;"donde instalaron parques infantiles y zonas de BBQ. la constructora enviará reporte la semana del 10 al 14 de abril.")</f>
        <v>1. El parque mundo fue entregado por la constructora al DADEP y abierto a la comunidad desde el 8 de diciembre de 2022.  
2 y 3. Frente a la Casona,el Conceso distrital de cultura y patrimonio de la Secretaria de Cultura, dió respuesta a la constructora colpatria respecto a la categorización de los inmuebles sujetos a intervención a través del Rad. 20233300041291 del 13 de marzo. De otro lado, la radicación del anteproyecto para intervención está en debida forma para su revisión técnica. para este proceso, el IDPC asignó a la arquitecta Yiira Navarro quien está a cargo de la revisión. El IDPC infoma que una vez estén consolidadas las observaciones arquitectónicas, estructurales y juridicas (si las hay), contactará a la constructora. De otro lado, Colpatria informa que a partir de la respuesta del IDPC puede tardar poco más de un mes en el proceso de revisión teniendo en cuenta el grado de complejidad. 
4, 5 y 6. Corresponden al plan de intervención de las vias y andenes colindantes a La Margarita, la Casona y el Parque Gilma Jimenez, el cual se encuentra a cargo del Unidad de Mantenimiento Vial -UMV-, el IDU y la Alcaldia Local de Bosa. Por esta razón no hace parte de la gestión que se realiza desde la SDHT y no se cuenta con información al respecto.
7. De otro lado, frente a los urbanismo pendientes por entregar en la Margarita, la constructora colpatria se encuentra en proceso de concertación con las urbanizaciones vecinas para recuprar zonas verdes remanente que han sido cerradas de forma permanente y donde instalaron parques infantiles y zonas de BBQ. la constructora enviará reporte la semana del 10 al 14 de abril.</v>
      </c>
      <c r="N1738" s="25"/>
      <c r="O1738" s="25" t="str">
        <f t="shared" ca="1" si="0"/>
        <v>Alcaldía Local</v>
      </c>
      <c r="P1738" s="25" t="str">
        <f t="shared" ca="1" si="2"/>
        <v/>
      </c>
      <c r="Q1738" s="25" t="str">
        <f ca="1">IFERROR(__xludf.DUMMYFUNCTION("""COMPUTED_VALUE"""),"Largo plazo")</f>
        <v>Largo plazo</v>
      </c>
      <c r="R1738" s="25"/>
      <c r="S1738" s="55"/>
      <c r="T1738" s="56"/>
      <c r="U1738" s="25"/>
      <c r="V1738" s="25"/>
      <c r="W1738" s="25"/>
      <c r="X1738" s="25"/>
      <c r="Y1738" s="25"/>
      <c r="Z1738" s="25"/>
    </row>
    <row r="1739" spans="1:26" ht="52.5" customHeight="1" x14ac:dyDescent="0.25">
      <c r="A1739" s="25" t="str">
        <f ca="1">IFERROR(__xludf.DUMMYFUNCTION("""COMPUTED_VALUE"""),"Gobie237")</f>
        <v>Gobie237</v>
      </c>
      <c r="B1739" s="25" t="str">
        <f ca="1">IFERROR(__xludf.DUMMYFUNCTION("""COMPUTED_VALUE"""),"Entrega parque Bilbao")</f>
        <v>Entrega parque Bilbao</v>
      </c>
      <c r="C1739" s="55">
        <f ca="1">IFERROR(__xludf.DUMMYFUNCTION("""COMPUTED_VALUE"""),44908)</f>
        <v>44908</v>
      </c>
      <c r="D1739" s="25" t="str">
        <f ca="1">IFERROR(__xludf.DUMMYFUNCTION("""COMPUTED_VALUE"""),"Gobierno")</f>
        <v>Gobierno</v>
      </c>
      <c r="E1739" s="25" t="str">
        <f ca="1">IFERROR(__xludf.DUMMYFUNCTION("""COMPUTED_VALUE"""),"Departamento Administrativo de la Defensoría del Espacio Público")</f>
        <v>Departamento Administrativo de la Defensoría del Espacio Público</v>
      </c>
      <c r="F1739" s="25" t="str">
        <f ca="1">IFERROR(__xludf.DUMMYFUNCTION("""COMPUTED_VALUE"""),"El DADEP debe revisar el estado del predio anexo al parque Bilbao y proceder a cederlo al IDRD para que sea empleado en la continuación del parque lineal hasta el CEFE Fontanar del Río.")</f>
        <v>El DADEP debe revisar el estado del predio anexo al parque Bilbao y proceder a cederlo al IDRD para que sea empleado en la continuación del parque lineal hasta el CEFE Fontanar del Río.</v>
      </c>
      <c r="G1739" s="25" t="str">
        <f ca="1">IFERROR(__xludf.DUMMYFUNCTION("""COMPUTED_VALUE"""),"11. Suba")</f>
        <v>11. Suba</v>
      </c>
      <c r="H1739" s="61">
        <f ca="1">IFERROR(__xludf.DUMMYFUNCTION("""COMPUTED_VALUE"""),45107)</f>
        <v>45107</v>
      </c>
      <c r="I1739" s="25" t="str">
        <f ca="1">IFERROR(__xludf.DUMMYFUNCTION("""COMPUTED_VALUE"""),"Secretaría Privada")</f>
        <v>Secretaría Privada</v>
      </c>
      <c r="J1739" s="55" t="str">
        <f ca="1">IFERROR(__xludf.DUMMYFUNCTION("""COMPUTED_VALUE"""),"Baja")</f>
        <v>Baja</v>
      </c>
      <c r="K1739" s="25">
        <f ca="1">IFERROR(__xludf.DUMMYFUNCTION("""COMPUTED_VALUE"""),199)</f>
        <v>199</v>
      </c>
      <c r="L1739" s="62">
        <f ca="1">IFERROR(__xludf.DUMMYFUNCTION("""COMPUTED_VALUE"""),45082)</f>
        <v>45082</v>
      </c>
      <c r="M1739" s="25" t="str">
        <f ca="1">IFERROR(__xludf.DUMMYFUNCTION("""COMPUTED_VALUE"""),"Teniendo en cuenta que la información suministrada solo refiere el ""predio anexo al parque Bilbao para comunicar los parques lineales del río y Bilbao""; procedimos a efectuar una localización aproximada con dichos datos,.  De lo anterior se estableció q"&amp;"ue el tramo señalado, correponde al área denominada ""pondaje cafam"", la cual no figura dentro del cuadro de áreas de zonas de cesión de uso público de la Urbanización CIUDADELA CAFAM II.  En su lugar se encontró una nota que refiere que dicho predio fue"&amp;" objeto de venta a la EAAB según E. P. No. 861 del 17/04/2002 de la Notaría 45 de Bogotá.  Por lo anterior, si su consulta se refiere al predio señalado, es preciso adelantar las gestiones que se consideren pertinentes, de manera directa ante la EAAB que "&amp;"sería el presunto propietario del predio.
Por otra parte se encuentra el predio identificado con el RUPI 27-14 que hace parte de la Urbanización FONTANAR DEL RIO B - I Y II ETAPA,  donde el 26 de abril de 2023 el DADEP procede a presentar  demanda ante l"&amp;"os jueces civiles del circuito de Bogotá, con el objeto de obtener la nulidad de las escrituras públicas No. 95 del 4 de febrero de 2021, 539 del 7 de abril de 2020 y 108 del 6 de febrero de 2023.
Por en contrario, si la información suministrada por este "&amp;"Departamento no corresponde al predio de interés, le agradecemos precisar con mayor exactitud el lugar específico, con el fin de analizar de nuevo el caso y pronunciarnos al respecto.")</f>
        <v>Teniendo en cuenta que la información suministrada solo refiere el "predio anexo al parque Bilbao para comunicar los parques lineales del río y Bilbao"; procedimos a efectuar una localización aproximada con dichos datos,.  De lo anterior se estableció que el tramo señalado, correponde al área denominada "pondaje cafam", la cual no figura dentro del cuadro de áreas de zonas de cesión de uso público de la Urbanización CIUDADELA CAFAM II.  En su lugar se encontró una nota que refiere que dicho predio fue objeto de venta a la EAAB según E. P. No. 861 del 17/04/2002 de la Notaría 45 de Bogotá.  Por lo anterior, si su consulta se refiere al predio señalado, es preciso adelantar las gestiones que se consideren pertinentes, de manera directa ante la EAAB que sería el presunto propietario del predio.
Por otra parte se encuentra el predio identificado con el RUPI 27-14 que hace parte de la Urbanización FONTANAR DEL RIO B - I Y II ETAPA,  donde el 26 de abril de 2023 el DADEP procede a presentar  demanda ante los jueces civiles del circuito de Bogotá, con el objeto de obtener la nulidad de las escrituras públicas No. 95 del 4 de febrero de 2021, 539 del 7 de abril de 2020 y 108 del 6 de febrero de 2023.
Por en contrario, si la información suministrada por este Departamento no corresponde al predio de interés, le agradecemos precisar con mayor exactitud el lugar específico, con el fin de analizar de nuevo el caso y pronunciarnos al respecto.</v>
      </c>
      <c r="N1739" s="25"/>
      <c r="O1739" s="25" t="str">
        <f t="shared" ca="1" si="0"/>
        <v>Departamento Administrativo de la Defensoría del Espacio Público</v>
      </c>
      <c r="P1739" s="25" t="str">
        <f t="shared" ca="1" si="2"/>
        <v/>
      </c>
      <c r="Q1739" s="25" t="str">
        <f ca="1">IFERROR(__xludf.DUMMYFUNCTION("""COMPUTED_VALUE"""),"Largo plazo")</f>
        <v>Largo plazo</v>
      </c>
      <c r="R1739" s="25"/>
      <c r="S1739" s="55"/>
      <c r="T1739" s="56"/>
      <c r="U1739" s="25"/>
      <c r="V1739" s="25"/>
      <c r="W1739" s="25"/>
      <c r="X1739" s="25"/>
      <c r="Y1739" s="25"/>
      <c r="Z1739" s="25"/>
    </row>
    <row r="1740" spans="1:26" ht="52.5" customHeight="1" x14ac:dyDescent="0.25">
      <c r="A1740" s="25" t="str">
        <f ca="1">IFERROR(__xludf.DUMMYFUNCTION("""COMPUTED_VALUE"""),"Gobie238")</f>
        <v>Gobie238</v>
      </c>
      <c r="B1740" s="25" t="str">
        <f ca="1">IFERROR(__xludf.DUMMYFUNCTION("""COMPUTED_VALUE"""),"Entrega de computaodres y Kits escolares")</f>
        <v>Entrega de computaodres y Kits escolares</v>
      </c>
      <c r="C1740" s="55">
        <f ca="1">IFERROR(__xludf.DUMMYFUNCTION("""COMPUTED_VALUE"""),44972)</f>
        <v>44972</v>
      </c>
      <c r="D1740" s="25" t="str">
        <f ca="1">IFERROR(__xludf.DUMMYFUNCTION("""COMPUTED_VALUE"""),"Gobierno")</f>
        <v>Gobierno</v>
      </c>
      <c r="E1740" s="25" t="str">
        <f ca="1">IFERROR(__xludf.DUMMYFUNCTION("""COMPUTED_VALUE"""),"Instituto Distrital de la Participación y Acción Comunal")</f>
        <v>Instituto Distrital de la Participación y Acción Comunal</v>
      </c>
      <c r="F1740" s="25" t="str">
        <f ca="1">IFERROR(__xludf.DUMMYFUNCTION("""COMPUTED_VALUE"""),"El IDPAC debe brindar acompañamiento y apoyo al proceso de fortalecimiento de la emisora estudiantil I.E.D José Celestino Mutis (C.B)")</f>
        <v>El IDPAC debe brindar acompañamiento y apoyo al proceso de fortalecimiento de la emisora estudiantil I.E.D José Celestino Mutis (C.B)</v>
      </c>
      <c r="G1740" s="25" t="str">
        <f ca="1">IFERROR(__xludf.DUMMYFUNCTION("""COMPUTED_VALUE"""),"19. Ciudad Bolívar")</f>
        <v>19. Ciudad Bolívar</v>
      </c>
      <c r="H1740" s="61">
        <f ca="1">IFERROR(__xludf.DUMMYFUNCTION("""COMPUTED_VALUE"""),45031)</f>
        <v>45031</v>
      </c>
      <c r="I1740" s="25" t="str">
        <f ca="1">IFERROR(__xludf.DUMMYFUNCTION("""COMPUTED_VALUE"""),"Secretaría Privada")</f>
        <v>Secretaría Privada</v>
      </c>
      <c r="J1740" s="55" t="str">
        <f ca="1">IFERROR(__xludf.DUMMYFUNCTION("""COMPUTED_VALUE"""),"Alta")</f>
        <v>Alta</v>
      </c>
      <c r="K1740" s="25">
        <f ca="1">IFERROR(__xludf.DUMMYFUNCTION("""COMPUTED_VALUE"""),59)</f>
        <v>59</v>
      </c>
      <c r="L1740" s="62">
        <f ca="1">IFERROR(__xludf.DUMMYFUNCTION("""COMPUTED_VALUE"""),45070)</f>
        <v>45070</v>
      </c>
      <c r="M1740" s="25" t="str">
        <f ca="1">IFERROR(__xludf.DUMMYFUNCTION("""COMPUTED_VALUE"""),"Ya se contactaron con el señor rector y con el profesor que tiene el proceso de radio escolar. Acordaron realizar una visita la próxima semana para conocer el proceso y mirar la posibilidad de vincularlos al directorio de comunicación comunitaria y tambié"&amp;"n al proceso de fortalecimiento del IDPAC. el miércoles 31 de mayo a las 12 pm se hará la visita por parte del Idpac al colegio para conocer el proceso y los chicos del proyecto escolar")</f>
        <v>Ya se contactaron con el señor rector y con el profesor que tiene el proceso de radio escolar. Acordaron realizar una visita la próxima semana para conocer el proceso y mirar la posibilidad de vincularlos al directorio de comunicación comunitaria y también al proceso de fortalecimiento del IDPAC. el miércoles 31 de mayo a las 12 pm se hará la visita por parte del Idpac al colegio para conocer el proceso y los chicos del proyecto escolar</v>
      </c>
      <c r="N1740" s="25"/>
      <c r="O1740" s="25" t="str">
        <f t="shared" ca="1" si="0"/>
        <v>Instituto Distrital de la Participación y Acción Comunal</v>
      </c>
      <c r="P1740" s="25" t="str">
        <f t="shared" ca="1" si="2"/>
        <v/>
      </c>
      <c r="Q1740" s="25" t="str">
        <f ca="1">IFERROR(__xludf.DUMMYFUNCTION("""COMPUTED_VALUE"""),"Corto plazo")</f>
        <v>Corto plazo</v>
      </c>
      <c r="R1740" s="25"/>
      <c r="S1740" s="55"/>
      <c r="T1740" s="56"/>
      <c r="U1740" s="25"/>
      <c r="V1740" s="25"/>
      <c r="W1740" s="25"/>
      <c r="X1740" s="25"/>
      <c r="Y1740" s="25"/>
      <c r="Z1740" s="25"/>
    </row>
    <row r="1741" spans="1:26" ht="52.5" customHeight="1" x14ac:dyDescent="0.25">
      <c r="A1741" s="25" t="str">
        <f ca="1">IFERROR(__xludf.DUMMYFUNCTION("""COMPUTED_VALUE"""),"Gobie239")</f>
        <v>Gobie239</v>
      </c>
      <c r="B1741" s="25"/>
      <c r="C1741" s="55"/>
      <c r="D1741" s="25" t="str">
        <f ca="1">IFERROR(__xludf.DUMMYFUNCTION("""COMPUTED_VALUE"""),"Gobierno")</f>
        <v>Gobierno</v>
      </c>
      <c r="E1741" s="25" t="str">
        <f ca="1">IFERROR(__xludf.DUMMYFUNCTION("""COMPUTED_VALUE"""),"Departamento Administrativo de la Defensoría del Espacio Público")</f>
        <v>Departamento Administrativo de la Defensoría del Espacio Público</v>
      </c>
      <c r="F1741" s="25" t="str">
        <f ca="1">IFERROR(__xludf.DUMMYFUNCTION("""COMPUTED_VALUE"""),"Eliminada")</f>
        <v>Eliminada</v>
      </c>
      <c r="G1741" s="25"/>
      <c r="H1741" s="25"/>
      <c r="I1741" s="25"/>
      <c r="J1741" s="55"/>
      <c r="K1741" s="25" t="str">
        <f ca="1">IFERROR(__xludf.DUMMYFUNCTION("""COMPUTED_VALUE"""),"Definir fecha")</f>
        <v>Definir fecha</v>
      </c>
      <c r="L1741" s="62"/>
      <c r="M1741" s="25"/>
      <c r="N1741" s="25"/>
      <c r="O1741" s="25" t="str">
        <f t="shared" ca="1" si="0"/>
        <v>Departamento Administrativo de la Defensoría del Espacio Público</v>
      </c>
      <c r="P1741" s="25" t="str">
        <f t="shared" si="2"/>
        <v/>
      </c>
      <c r="Q1741" s="25" t="str">
        <f ca="1">IFERROR(__xludf.DUMMYFUNCTION("""COMPUTED_VALUE"""),"Sin defenir")</f>
        <v>Sin defenir</v>
      </c>
      <c r="R1741" s="25"/>
      <c r="S1741" s="55"/>
      <c r="T1741" s="56"/>
      <c r="U1741" s="25"/>
      <c r="V1741" s="25"/>
      <c r="W1741" s="25"/>
      <c r="X1741" s="25"/>
      <c r="Y1741" s="25"/>
      <c r="Z1741" s="25"/>
    </row>
    <row r="1742" spans="1:26" ht="52.5" customHeight="1" x14ac:dyDescent="0.25">
      <c r="A1742" s="25" t="str">
        <f ca="1">IFERROR(__xludf.DUMMYFUNCTION("""COMPUTED_VALUE"""),"Gobie240")</f>
        <v>Gobie240</v>
      </c>
      <c r="B1742" s="25" t="str">
        <f ca="1">IFERROR(__xludf.DUMMYFUNCTION("""COMPUTED_VALUE"""),"bici recorrido ciudadela educativa y del cuidado")</f>
        <v>bici recorrido ciudadela educativa y del cuidado</v>
      </c>
      <c r="C1742" s="55">
        <f ca="1">IFERROR(__xludf.DUMMYFUNCTION("""COMPUTED_VALUE"""),45012)</f>
        <v>45012</v>
      </c>
      <c r="D1742" s="25" t="str">
        <f ca="1">IFERROR(__xludf.DUMMYFUNCTION("""COMPUTED_VALUE"""),"Gobierno")</f>
        <v>Gobierno</v>
      </c>
      <c r="E1742" s="25" t="str">
        <f ca="1">IFERROR(__xludf.DUMMYFUNCTION("""COMPUTED_VALUE"""),"Alcaldía Local")</f>
        <v>Alcaldía Local</v>
      </c>
      <c r="F1742" s="25" t="str">
        <f ca="1">IFERROR(__xludf.DUMMYFUNCTION("""COMPUTED_VALUE"""),"Realizar visita de inspección con la Alcaldía Local de Suba, la SDA y el lider local Hugo Lozada (tel: 3112798810) a los predios de la Fundación para la vivienda comunitaria en el barrio Corinto, los cuales se emplean como parqueaderos públicos y podrían "&amp;"estar generando afectaciones al humedal Tibabuyes.")</f>
        <v>Realizar visita de inspección con la Alcaldía Local de Suba, la SDA y el lider local Hugo Lozada (tel: 3112798810) a los predios de la Fundación para la vivienda comunitaria en el barrio Corinto, los cuales se emplean como parqueaderos públicos y podrían estar generando afectaciones al humedal Tibabuyes.</v>
      </c>
      <c r="G1742" s="25" t="str">
        <f ca="1">IFERROR(__xludf.DUMMYFUNCTION("""COMPUTED_VALUE"""),"11. Suba")</f>
        <v>11. Suba</v>
      </c>
      <c r="H1742" s="61">
        <f ca="1">IFERROR(__xludf.DUMMYFUNCTION("""COMPUTED_VALUE"""),45036)</f>
        <v>45036</v>
      </c>
      <c r="I1742" s="25" t="str">
        <f ca="1">IFERROR(__xludf.DUMMYFUNCTION("""COMPUTED_VALUE"""),"Secretaría Privada")</f>
        <v>Secretaría Privada</v>
      </c>
      <c r="J1742" s="55" t="str">
        <f ca="1">IFERROR(__xludf.DUMMYFUNCTION("""COMPUTED_VALUE"""),"Alta")</f>
        <v>Alta</v>
      </c>
      <c r="K1742" s="25">
        <f ca="1">IFERROR(__xludf.DUMMYFUNCTION("""COMPUTED_VALUE"""),24)</f>
        <v>24</v>
      </c>
      <c r="L1742" s="62">
        <f ca="1">IFERROR(__xludf.DUMMYFUNCTION("""COMPUTED_VALUE"""),45070)</f>
        <v>45070</v>
      </c>
      <c r="M1742" s="25" t="str">
        <f ca="1">IFERROR(__xludf.DUMMYFUNCTION("""COMPUTED_VALUE"""),"Se sostiene llamada telefonica con el señor Hugo Lozada, quien manifiesta que la intervencion que esta solicitando es especificamente en la via pendiente por intervenir en la comunidad las Carolinas, rincon de Boyaca y Corinto Sector E, a esta solicitud s"&amp;"e requiere la informacion pertinente al area de Infraestructura, quienes manifiestan que el fresado estabilizador lo realizará la Unidad de Mantenimiento Vial. Adicional a ello, solicitó se intervenga el alumbrado público de la misma zona, se corre trasla"&amp;"do a la entidad encargada UAESP. ")</f>
        <v xml:space="preserve">Se sostiene llamada telefonica con el señor Hugo Lozada, quien manifiesta que la intervencion que esta solicitando es especificamente en la via pendiente por intervenir en la comunidad las Carolinas, rincon de Boyaca y Corinto Sector E, a esta solicitud se requiere la informacion pertinente al area de Infraestructura, quienes manifiestan que el fresado estabilizador lo realizará la Unidad de Mantenimiento Vial. Adicional a ello, solicitó se intervenga el alumbrado público de la misma zona, se corre traslado a la entidad encargada UAESP. </v>
      </c>
      <c r="N1742" s="25"/>
      <c r="O1742" s="25" t="str">
        <f t="shared" ca="1" si="0"/>
        <v>Alcaldía Local</v>
      </c>
      <c r="P1742" s="25" t="str">
        <f t="shared" ca="1" si="2"/>
        <v/>
      </c>
      <c r="Q1742" s="25" t="str">
        <f ca="1">IFERROR(__xludf.DUMMYFUNCTION("""COMPUTED_VALUE"""),"Corto plazo")</f>
        <v>Corto plazo</v>
      </c>
      <c r="R1742" s="25"/>
      <c r="S1742" s="55"/>
      <c r="T1742" s="56"/>
      <c r="U1742" s="25"/>
      <c r="V1742" s="25"/>
      <c r="W1742" s="25"/>
      <c r="X1742" s="25"/>
      <c r="Y1742" s="25"/>
      <c r="Z1742" s="25"/>
    </row>
    <row r="1743" spans="1:26" ht="52.5" customHeight="1" x14ac:dyDescent="0.25">
      <c r="A1743" s="25" t="str">
        <f ca="1">IFERROR(__xludf.DUMMYFUNCTION("""COMPUTED_VALUE"""),"Gobie241")</f>
        <v>Gobie241</v>
      </c>
      <c r="B1743" s="25" t="str">
        <f ca="1">IFERROR(__xludf.DUMMYFUNCTION("""COMPUTED_VALUE"""),"Revisión Ola Invernal")</f>
        <v>Revisión Ola Invernal</v>
      </c>
      <c r="C1743" s="55">
        <f ca="1">IFERROR(__xludf.DUMMYFUNCTION("""COMPUTED_VALUE"""),44945)</f>
        <v>44945</v>
      </c>
      <c r="D1743" s="25" t="str">
        <f ca="1">IFERROR(__xludf.DUMMYFUNCTION("""COMPUTED_VALUE"""),"Gobierno")</f>
        <v>Gobierno</v>
      </c>
      <c r="E1743" s="25" t="str">
        <f ca="1">IFERROR(__xludf.DUMMYFUNCTION("""COMPUTED_VALUE"""),"Secretaría Distrital de Gobierno")</f>
        <v>Secretaría Distrital de Gobierno</v>
      </c>
      <c r="F1743" s="25" t="str">
        <f ca="1">IFERROR(__xludf.DUMMYFUNCTION("""COMPUTED_VALUE"""),"El Mirador del parque Entrenubes. Se sigue consolidando la invasión, es necesario retirar a las personas, no debe haber casas antes de que se acabe el año")</f>
        <v>El Mirador del parque Entrenubes. Se sigue consolidando la invasión, es necesario retirar a las personas, no debe haber casas antes de que se acabe el año</v>
      </c>
      <c r="G1743" s="25" t="str">
        <f ca="1">IFERROR(__xludf.DUMMYFUNCTION("""COMPUTED_VALUE"""),"99. Distrito")</f>
        <v>99. Distrito</v>
      </c>
      <c r="H1743" s="55">
        <f ca="1">IFERROR(__xludf.DUMMYFUNCTION("""COMPUTED_VALUE"""),45031)</f>
        <v>45031</v>
      </c>
      <c r="I1743" s="25" t="str">
        <f ca="1">IFERROR(__xludf.DUMMYFUNCTION("""COMPUTED_VALUE"""),"Delivery Unit")</f>
        <v>Delivery Unit</v>
      </c>
      <c r="J1743" s="55" t="str">
        <f ca="1">IFERROR(__xludf.DUMMYFUNCTION("""COMPUTED_VALUE"""),"Alta")</f>
        <v>Alta</v>
      </c>
      <c r="K1743" s="25">
        <f ca="1">IFERROR(__xludf.DUMMYFUNCTION("""COMPUTED_VALUE"""),86)</f>
        <v>86</v>
      </c>
      <c r="L1743" s="62">
        <f ca="1">IFERROR(__xludf.DUMMYFUNCTION("""COMPUTED_VALUE"""),45070)</f>
        <v>45070</v>
      </c>
      <c r="M1743" s="25" t="str">
        <f ca="1">IFERROR(__xludf.DUMMYFUNCTION("""COMPUTED_VALUE"""),"Desde la SDHT se adelantó la verificación, actualización y cruce de información referente a las ocupaciones existentes, para poder determinar las posibles rutas de intervención de los territorios indicados. 
Esta información fue socializada con las difer"&amp;"entes entidades distritales vinculadas con el proceso, de tal forma que desde cada entidad se adelanten las acciones pertinentes que garanticen el cumpliimento de la tarea. 
Se está a la espera de la formulación y socialización del plan de acción por par"&amp;"te de la Alcaldía Local de Usme, como responsable de la actividad para poder ejecutar la tarea.
Resultado de las mesas de trabajo y la articulación lideradas por las Secretarias de Hábitat, Gobierno, Seguridad y Ambiente, se definieron las rutas para la "&amp;"intervención del territorio. Actualmente la alcaldía local está definiendo las alternativas juridicas y policivas para adelantar las intervenciones, a partir del apoyo interinsticucional. 
Por parte de la alcaldía local, se tiene previsto una actividad d"&amp;"e demonte de ocupaciones deshabitadas del sector de Tocaimita para el 31 de marzo.
""El 24 de marzo de 2023 se ejecutó un operativo interinstitucional para la notificación de 55 procesos policivos que actualmente adelantan los inspectores de atención pri"&amp;"oritaria AP 18, AP, 19 y AP 20 por comportamientos contrarios al régimen urbanístico en el sector de Compostela de la Localidad de Usme. En estas comunicaciones se les informó a los presuntos infractores del día y la hora para celebrar audiencia pública. "&amp;"Esta actividad se desarrolló en atención a que la empresa de mensajería con la que cuenta la SDG, no entrega las comunicaciones en ese sector, debido a la falta de nomenclatura y por cuestiones de seguridad, en atención a que la comunidad allí asentada ag"&amp;"rede o amenaza al personal del Distrito.
El 31 de marzo de 2023 en el marco del comando especializado ambiental, se realizó la intervención  interinstitucional en la localidad de Usme, barrio Tocaimita, acompañado  de las siguientes entidades: Policía Na"&amp;"cional, Carabineros, Esmad, Fudis,  Sijin, Gobierno, Hábitat, Ambiente, Idiger, Idipiba, Alcaldía Local, Secretaria de Seguridad.
Se lograron los siguientes resultados:
-	25 reiteraciones de órdenes de evacuación.
-	13 ofertas institucionales de la secr"&amp;"etaria de Hábitat
-	2 desmontes de ocupaciones informales completas
-	2 animales atendidos.
-	Se recolectó información con Sijin para entrevistas
-	Identificación de inmuebles destinados a la comercialización de estupefacientes
El 25 de abril de 2023 se "&amp;"ejecutó un operativo interinstitucional para la notificación de 55 procesos policivos que actualmente adelantan los inspectores de atención prioritaria AP 18, AP, 19 y AP 20 por comportamientos contrarios al régimen urbanístico en el sector de San Germán "&amp;"de la Localidad de Usme. En estas comunicaciones se les informó a los presuntos infractores del día y la hora para celebrar audiencia pública. Esta actividad se desarrolló en atención a que la empresa de mensajería con la que cuenta la SDG, no entrega las"&amp;" comunicaciones en ese sector, debido a la falta de nomenclatura y especialmente por cuestiones de seguridad, en atención a que la comunidad allí asentada agrede o amenaza al personal del Distrito. Pendiente que la Alcadlía Local profiera el acto administ"&amp;"rativo en el marco del Decreto Distrital 038 de 2007, para ordenar la desocupación y demolición de las edificaciones ubicadas en sitios declarados de alto riesgo no mitiga de los dos sectores priorizados por la alcaldesa mayor.""")</f>
        <v>Desde la SDHT se adelantó la verificación, actualización y cruce de información referente a las ocupaciones existentes, para poder determinar las posibles rutas de intervención de los territorios indicados. 
Esta información fue socializada con las diferentes entidades distritales vinculadas con el proceso, de tal forma que desde cada entidad se adelanten las acciones pertinentes que garanticen el cumpliimento de la tarea. 
Se está a la espera de la formulación y socialización del plan de acción por parte de la Alcaldía Local de Usme, como responsable de la actividad para poder ejecutar la tarea.
Resultado de las mesas de trabajo y la articulación lideradas por las Secretarias de Hábitat, Gobierno, Seguridad y Ambiente, se definieron las rutas para la intervención del territorio. Actualmente la alcaldía local está definiendo las alternativas juridicas y policivas para adelantar las intervenciones, a partir del apoyo interinsticucional. 
Por parte de la alcaldía local, se tiene previsto una actividad de demonte de ocupaciones deshabitadas del sector de Tocaimita para el 31 de marzo.
"El 24 de marzo de 2023 se ejecutó un operativo interinstitucional para la notificación de 55 procesos policivos que actualmente adelantan los inspectores de atención prioritaria AP 18, AP, 19 y AP 20 por comportamientos contrarios al régimen urbanístico en el sector de Compostela de la Localidad de Usme. En estas comunicaciones se les informó a los presuntos infractores del día y la hora para celebrar audiencia pública. Esta actividad se desarrolló en atención a que la empresa de mensajería con la que cuenta la SDG, no entrega las comunicaciones en ese sector, debido a la falta de nomenclatura y por cuestiones de seguridad, en atención a que la comunidad allí asentada agrede o amenaza al personal del Distrito.
El 31 de marzo de 2023 en el marco del comando especializado ambiental, se realizó la intervención  interinstitucional en la localidad de Usme, barrio Tocaimita, acompañado  de las siguientes entidades: Policía Nacional, Carabineros, Esmad, Fudis,  Sijin, Gobierno, Hábitat, Ambiente, Idiger, Idipiba, Alcaldía Local, Secretaria de Seguridad.
Se lograron los siguientes resultados:
-	25 reiteraciones de órdenes de evacuación.
-	13 ofertas institucionales de la secretaria de Hábitat
-	2 desmontes de ocupaciones informales completas
-	2 animales atendidos.
-	Se recolectó información con Sijin para entrevistas
-	Identificación de inmuebles destinados a la comercialización de estupefacientes
El 25 de abril de 2023 se ejecutó un operativo interinstitucional para la notificación de 55 procesos policivos que actualmente adelantan los inspectores de atención prioritaria AP 18, AP, 19 y AP 20 por comportamientos contrarios al régimen urbanístico en el sector de San Germán de la Localidad de Usme. En estas comunicaciones se les informó a los presuntos infractores del día y la hora para celebrar audiencia pública. Esta actividad se desarrolló en atención a que la empresa de mensajería con la que cuenta la SDG, no entrega las comunicaciones en ese sector, debido a la falta de nomenclatura y especialmente por cuestiones de seguridad, en atención a que la comunidad allí asentada agrede o amenaza al personal del Distrito. Pendiente que la Alcadlía Local profiera el acto administrativo en el marco del Decreto Distrital 038 de 2007, para ordenar la desocupación y demolición de las edificaciones ubicadas en sitios declarados de alto riesgo no mitiga de los dos sectores priorizados por la alcaldesa mayor."</v>
      </c>
      <c r="N1743" s="25"/>
      <c r="O1743" s="25" t="str">
        <f t="shared" ca="1" si="0"/>
        <v>Secretaría Distrital de Gobierno</v>
      </c>
      <c r="P1743" s="25" t="str">
        <f t="shared" ca="1" si="2"/>
        <v/>
      </c>
      <c r="Q1743" s="25" t="str">
        <f ca="1">IFERROR(__xludf.DUMMYFUNCTION("""COMPUTED_VALUE"""),"Mediano plazo")</f>
        <v>Mediano plazo</v>
      </c>
      <c r="R1743" s="25"/>
      <c r="S1743" s="55"/>
      <c r="T1743" s="56"/>
      <c r="U1743" s="25"/>
      <c r="V1743" s="25"/>
      <c r="W1743" s="25"/>
      <c r="X1743" s="25"/>
      <c r="Y1743" s="25"/>
      <c r="Z1743" s="25"/>
    </row>
    <row r="1744" spans="1:26" ht="52.5" customHeight="1" x14ac:dyDescent="0.25">
      <c r="A1744" s="25" t="str">
        <f ca="1">IFERROR(__xludf.DUMMYFUNCTION("""COMPUTED_VALUE"""),"Gobie242")</f>
        <v>Gobie242</v>
      </c>
      <c r="B1744" s="25" t="str">
        <f ca="1">IFERROR(__xludf.DUMMYFUNCTION("""COMPUTED_VALUE"""),"Revisión Ola Invernal")</f>
        <v>Revisión Ola Invernal</v>
      </c>
      <c r="C1744" s="55">
        <f ca="1">IFERROR(__xludf.DUMMYFUNCTION("""COMPUTED_VALUE"""),44945)</f>
        <v>44945</v>
      </c>
      <c r="D1744" s="25" t="str">
        <f ca="1">IFERROR(__xludf.DUMMYFUNCTION("""COMPUTED_VALUE"""),"Gobierno")</f>
        <v>Gobierno</v>
      </c>
      <c r="E1744" s="25" t="str">
        <f ca="1">IFERROR(__xludf.DUMMYFUNCTION("""COMPUTED_VALUE"""),"Secretaría Distrital de Gobierno")</f>
        <v>Secretaría Distrital de Gobierno</v>
      </c>
      <c r="F1744" s="25" t="str">
        <f ca="1">IFERROR(__xludf.DUMMYFUNCTION("""COMPUTED_VALUE"""),"Bella Flor y Brisas del Volador. Hacer lo mismo que en parque Entrenubes, es necesario retirar a las personas.")</f>
        <v>Bella Flor y Brisas del Volador. Hacer lo mismo que en parque Entrenubes, es necesario retirar a las personas.</v>
      </c>
      <c r="G1744" s="25" t="str">
        <f ca="1">IFERROR(__xludf.DUMMYFUNCTION("""COMPUTED_VALUE"""),"19. Ciudad Bolívar")</f>
        <v>19. Ciudad Bolívar</v>
      </c>
      <c r="H1744" s="55">
        <f ca="1">IFERROR(__xludf.DUMMYFUNCTION("""COMPUTED_VALUE"""),45015)</f>
        <v>45015</v>
      </c>
      <c r="I1744" s="25" t="str">
        <f ca="1">IFERROR(__xludf.DUMMYFUNCTION("""COMPUTED_VALUE"""),"Delivery Unit")</f>
        <v>Delivery Unit</v>
      </c>
      <c r="J1744" s="55" t="str">
        <f ca="1">IFERROR(__xludf.DUMMYFUNCTION("""COMPUTED_VALUE"""),"Alta")</f>
        <v>Alta</v>
      </c>
      <c r="K1744" s="25">
        <f ca="1">IFERROR(__xludf.DUMMYFUNCTION("""COMPUTED_VALUE"""),70)</f>
        <v>70</v>
      </c>
      <c r="L1744" s="62">
        <f ca="1">IFERROR(__xludf.DUMMYFUNCTION("""COMPUTED_VALUE"""),45071)</f>
        <v>45071</v>
      </c>
      <c r="M1744" s="25" t="str">
        <f ca="1">IFERROR(__xludf.DUMMYFUNCTION("""COMPUTED_VALUE"""),"Desde la SDHT se adelantó la verificación, actualización y cruce de información referente a las ocupaciones existentes, para poder determinar las posibles rutas de intervención de los territorios indicados. 
Esta información fue socializada con las difer"&amp;"entes entidades distritales vinculadas con el proceso, de tal forma que desde cada entidad se adelanten las acciones pertinentes que garanticen el cumpliimento de la tarea. 
Resultado de las mesas de trabajo y la articulación lideradas por las Secretaria"&amp;"s de Hábitat, Gobierno, Seguridad y Ambiente e IDIGER, se definieron las rutas para la intervención del territorio. 
El 22 de marzo se adelantó el desmonte de 24 estructuras deshabitadas en el territorio. Se está a la espera de la Resolución por Riesgo p"&amp;"or parte de la Alcaldía Local, para la intervención del resto de las ocupaciones que hay en el polígono.
""En el marco del comando especializado ambiental,  el 22 de marzo de 2023se adelantó un operativo interinstitucional  en el polígono Brisas del vola"&amp;"dor en la localidad Ciudad Bolívar con el fin de contener el delito de urbanización/ ocupación ilegal.
Tipo de intervención: desmonte
Autoridades Participantes:   Policía Nacional con sus diferentes especialidades, EJERCOL, Secretaría de Hábitat, Alcaldí"&amp;"a Local, SDGy SDSCJ, Bomberos, DADEP, IDIPRON. 
Viviendas desmontadas: 24
Ofertas de servicios: 31 familias 
Escombros: 22.5m3
Área recuperada: 400M2
Ruta de escolarización: 7 Niños
Asistencia de  veterinaria:  7 animales.
Resultados de policía
Persona c"&amp;"onducida a la estación 19 por ley 1801-2016:1 persona 
Establecimiento cerrados: 1 Parqueadero por 10 Días. 
Una motocicleta identificada en el sistemas como adulterada con piezas objeto de hurto.                                                           "&amp;"                 Pendiente que la Alcadlía Local profiera el acto administrativo en el marco del Decreto Distrital 038 de 2007, para ordenar la desocupación y demolición de las edificaciones ubicadas en sitios declarados de alto riesgo no mitiga de los do"&amp;"s sectores priorizados por la alcaldesa mayor.""")</f>
        <v>Desde la SDHT se adelantó la verificación, actualización y cruce de información referente a las ocupaciones existentes, para poder determinar las posibles rutas de intervención de los territorios indicados. 
Esta información fue socializada con las diferentes entidades distritales vinculadas con el proceso, de tal forma que desde cada entidad se adelanten las acciones pertinentes que garanticen el cumpliimento de la tarea. 
Resultado de las mesas de trabajo y la articulación lideradas por las Secretarias de Hábitat, Gobierno, Seguridad y Ambiente e IDIGER, se definieron las rutas para la intervención del territorio. 
El 22 de marzo se adelantó el desmonte de 24 estructuras deshabitadas en el territorio. Se está a la espera de la Resolución por Riesgo por parte de la Alcaldía Local, para la intervención del resto de las ocupaciones que hay en el polígono.
"En el marco del comando especializado ambiental,  el 22 de marzo de 2023se adelantó un operativo interinstitucional  en el polígono Brisas del volador en la localidad Ciudad Bolívar con el fin de contener el delito de urbanización/ ocupación ilegal.
Tipo de intervención: desmonte
Autoridades Participantes:   Policía Nacional con sus diferentes especialidades, EJERCOL, Secretaría de Hábitat, Alcaldía Local, SDGy SDSCJ, Bomberos, DADEP, IDIPRON. 
Viviendas desmontadas: 24
Ofertas de servicios: 31 familias 
Escombros: 22.5m3
Área recuperada: 400M2
Ruta de escolarización: 7 Niños
Asistencia de  veterinaria:  7 animales.
Resultados de policía
Persona conducida a la estación 19 por ley 1801-2016:1 persona 
Establecimiento cerrados: 1 Parqueadero por 10 Días. 
Una motocicleta identificada en el sistemas como adulterada con piezas objeto de hurto.                                                                            Pendiente que la Alcadlía Local profiera el acto administrativo en el marco del Decreto Distrital 038 de 2007, para ordenar la desocupación y demolición de las edificaciones ubicadas en sitios declarados de alto riesgo no mitiga de los dos sectores priorizados por la alcaldesa mayor."</v>
      </c>
      <c r="N1744" s="25"/>
      <c r="O1744" s="25" t="str">
        <f t="shared" ca="1" si="0"/>
        <v>Secretaría Distrital de Gobierno</v>
      </c>
      <c r="P1744" s="25" t="str">
        <f t="shared" ca="1" si="2"/>
        <v/>
      </c>
      <c r="Q1744" s="25" t="str">
        <f ca="1">IFERROR(__xludf.DUMMYFUNCTION("""COMPUTED_VALUE"""),"Mediano plazo")</f>
        <v>Mediano plazo</v>
      </c>
      <c r="R1744" s="25"/>
      <c r="S1744" s="55"/>
      <c r="T1744" s="56"/>
      <c r="U1744" s="25"/>
      <c r="V1744" s="25"/>
      <c r="W1744" s="25"/>
      <c r="X1744" s="25"/>
      <c r="Y1744" s="25"/>
      <c r="Z1744" s="25"/>
    </row>
    <row r="1745" spans="1:26" ht="52.5" customHeight="1" x14ac:dyDescent="0.25">
      <c r="A1745" s="25" t="str">
        <f ca="1">IFERROR(__xludf.DUMMYFUNCTION("""COMPUTED_VALUE"""),"Gobie243")</f>
        <v>Gobie243</v>
      </c>
      <c r="B1745" s="25" t="str">
        <f ca="1">IFERROR(__xludf.DUMMYFUNCTION("""COMPUTED_VALUE"""),"Recorrido San Cristóbal")</f>
        <v>Recorrido San Cristóbal</v>
      </c>
      <c r="C1745" s="55">
        <f ca="1">IFERROR(__xludf.DUMMYFUNCTION("""COMPUTED_VALUE"""),45026)</f>
        <v>45026</v>
      </c>
      <c r="D1745" s="25" t="str">
        <f ca="1">IFERROR(__xludf.DUMMYFUNCTION("""COMPUTED_VALUE"""),"Gobierno")</f>
        <v>Gobierno</v>
      </c>
      <c r="E1745" s="25" t="str">
        <f ca="1">IFERROR(__xludf.DUMMYFUNCTION("""COMPUTED_VALUE"""),"Alcaldía Local")</f>
        <v>Alcaldía Local</v>
      </c>
      <c r="F1745" s="25" t="str">
        <f ca="1">IFERROR(__xludf.DUMMYFUNCTION("""COMPUTED_VALUE"""),"Alcaldía Local debe organizar una visita de los integrantes de la huerta Centro Día La Montaña del Saber al Centro de Restauración Ambiental Cereza.")</f>
        <v>Alcaldía Local debe organizar una visita de los integrantes de la huerta Centro Día La Montaña del Saber al Centro de Restauración Ambiental Cereza.</v>
      </c>
      <c r="G1745" s="25" t="str">
        <f ca="1">IFERROR(__xludf.DUMMYFUNCTION("""COMPUTED_VALUE"""),"04. San Cristóbal")</f>
        <v>04. San Cristóbal</v>
      </c>
      <c r="H1745" s="55">
        <f ca="1">IFERROR(__xludf.DUMMYFUNCTION("""COMPUTED_VALUE"""),45061)</f>
        <v>45061</v>
      </c>
      <c r="I1745" s="25" t="str">
        <f ca="1">IFERROR(__xludf.DUMMYFUNCTION("""COMPUTED_VALUE"""),"Secretaría Privada")</f>
        <v>Secretaría Privada</v>
      </c>
      <c r="J1745" s="55" t="str">
        <f ca="1">IFERROR(__xludf.DUMMYFUNCTION("""COMPUTED_VALUE"""),"Alta")</f>
        <v>Alta</v>
      </c>
      <c r="K1745" s="25">
        <f ca="1">IFERROR(__xludf.DUMMYFUNCTION("""COMPUTED_VALUE"""),35)</f>
        <v>35</v>
      </c>
      <c r="L1745" s="62">
        <f ca="1">IFERROR(__xludf.DUMMYFUNCTION("""COMPUTED_VALUE"""),45082)</f>
        <v>45082</v>
      </c>
      <c r="M1745" s="25" t="str">
        <f ca="1">IFERROR(__xludf.DUMMYFUNCTION("""COMPUTED_VALUE"""),"Se coordina para el mes de julio un recorrido de acuerdo con las actividades del centro CERESA de la localidad.")</f>
        <v>Se coordina para el mes de julio un recorrido de acuerdo con las actividades del centro CERESA de la localidad.</v>
      </c>
      <c r="N1745" s="25"/>
      <c r="O1745" s="25" t="str">
        <f t="shared" ca="1" si="0"/>
        <v>Alcaldía Local</v>
      </c>
      <c r="P1745" s="25" t="str">
        <f t="shared" ca="1" si="2"/>
        <v/>
      </c>
      <c r="Q1745" s="25" t="str">
        <f ca="1">IFERROR(__xludf.DUMMYFUNCTION("""COMPUTED_VALUE"""),"Corto plazo")</f>
        <v>Corto plazo</v>
      </c>
      <c r="R1745" s="25"/>
      <c r="S1745" s="55"/>
      <c r="T1745" s="56"/>
      <c r="U1745" s="25"/>
      <c r="V1745" s="25"/>
      <c r="W1745" s="25"/>
      <c r="X1745" s="25"/>
      <c r="Y1745" s="25"/>
      <c r="Z1745" s="25"/>
    </row>
    <row r="1746" spans="1:26" ht="52.5" customHeight="1" x14ac:dyDescent="0.25">
      <c r="A1746" s="25" t="str">
        <f ca="1">IFERROR(__xludf.DUMMYFUNCTION("""COMPUTED_VALUE"""),"Gobie244")</f>
        <v>Gobie244</v>
      </c>
      <c r="B1746" s="25" t="str">
        <f ca="1">IFERROR(__xludf.DUMMYFUNCTION("""COMPUTED_VALUE"""),"Recorrido San Cristóbal")</f>
        <v>Recorrido San Cristóbal</v>
      </c>
      <c r="C1746" s="55">
        <f ca="1">IFERROR(__xludf.DUMMYFUNCTION("""COMPUTED_VALUE"""),45026)</f>
        <v>45026</v>
      </c>
      <c r="D1746" s="25" t="str">
        <f ca="1">IFERROR(__xludf.DUMMYFUNCTION("""COMPUTED_VALUE"""),"Gobierno")</f>
        <v>Gobierno</v>
      </c>
      <c r="E1746" s="25" t="str">
        <f ca="1">IFERROR(__xludf.DUMMYFUNCTION("""COMPUTED_VALUE"""),"Alcaldía Local")</f>
        <v>Alcaldía Local</v>
      </c>
      <c r="F1746" s="25" t="str">
        <f ca="1">IFERROR(__xludf.DUMMYFUNCTION("""COMPUTED_VALUE"""),"Tapar hueco ubicado en la calle 39a sur # 2n-22, sector Guacamayas.")</f>
        <v>Tapar hueco ubicado en la calle 39a sur # 2n-22, sector Guacamayas.</v>
      </c>
      <c r="G1746" s="25" t="str">
        <f ca="1">IFERROR(__xludf.DUMMYFUNCTION("""COMPUTED_VALUE"""),"04. San Cristóbal")</f>
        <v>04. San Cristóbal</v>
      </c>
      <c r="H1746" s="55">
        <f ca="1">IFERROR(__xludf.DUMMYFUNCTION("""COMPUTED_VALUE"""),45061)</f>
        <v>45061</v>
      </c>
      <c r="I1746" s="25" t="str">
        <f ca="1">IFERROR(__xludf.DUMMYFUNCTION("""COMPUTED_VALUE"""),"Secretaría Privada")</f>
        <v>Secretaría Privada</v>
      </c>
      <c r="J1746" s="55" t="str">
        <f ca="1">IFERROR(__xludf.DUMMYFUNCTION("""COMPUTED_VALUE"""),"Alta")</f>
        <v>Alta</v>
      </c>
      <c r="K1746" s="25">
        <f ca="1">IFERROR(__xludf.DUMMYFUNCTION("""COMPUTED_VALUE"""),35)</f>
        <v>35</v>
      </c>
      <c r="L1746" s="62">
        <f ca="1">IFERROR(__xludf.DUMMYFUNCTION("""COMPUTED_VALUE"""),45082)</f>
        <v>45082</v>
      </c>
      <c r="M1746" s="25" t="str">
        <f ca="1">IFERROR(__xludf.DUMMYFUNCTION("""COMPUTED_VALUE"""),"Se programa para finales de junio el proceso de mantenimiento y de acciones de movilidad complementarias con la cuadrilla de la Alcaldía Local
")</f>
        <v xml:space="preserve">Se programa para finales de junio el proceso de mantenimiento y de acciones de movilidad complementarias con la cuadrilla de la Alcaldía Local
</v>
      </c>
      <c r="N1746" s="25"/>
      <c r="O1746" s="25" t="str">
        <f t="shared" ca="1" si="0"/>
        <v>Alcaldía Local</v>
      </c>
      <c r="P1746" s="25" t="str">
        <f t="shared" ca="1" si="2"/>
        <v/>
      </c>
      <c r="Q1746" s="25" t="str">
        <f ca="1">IFERROR(__xludf.DUMMYFUNCTION("""COMPUTED_VALUE"""),"Corto plazo")</f>
        <v>Corto plazo</v>
      </c>
      <c r="R1746" s="25"/>
      <c r="S1746" s="55"/>
      <c r="T1746" s="56"/>
      <c r="U1746" s="25"/>
      <c r="V1746" s="25"/>
      <c r="W1746" s="25"/>
      <c r="X1746" s="25"/>
      <c r="Y1746" s="25"/>
      <c r="Z1746" s="25"/>
    </row>
    <row r="1747" spans="1:26" ht="52.5" customHeight="1" x14ac:dyDescent="0.25">
      <c r="A1747" s="25" t="str">
        <f ca="1">IFERROR(__xludf.DUMMYFUNCTION("""COMPUTED_VALUE"""),"Gobie245")</f>
        <v>Gobie245</v>
      </c>
      <c r="B1747" s="25" t="str">
        <f ca="1">IFERROR(__xludf.DUMMYFUNCTION("""COMPUTED_VALUE"""),"Recorrido San Cristóbal")</f>
        <v>Recorrido San Cristóbal</v>
      </c>
      <c r="C1747" s="55">
        <f ca="1">IFERROR(__xludf.DUMMYFUNCTION("""COMPUTED_VALUE"""),45026)</f>
        <v>45026</v>
      </c>
      <c r="D1747" s="25" t="str">
        <f ca="1">IFERROR(__xludf.DUMMYFUNCTION("""COMPUTED_VALUE"""),"Gobierno")</f>
        <v>Gobierno</v>
      </c>
      <c r="E1747" s="25" t="str">
        <f ca="1">IFERROR(__xludf.DUMMYFUNCTION("""COMPUTED_VALUE"""),"Alcaldía Local")</f>
        <v>Alcaldía Local</v>
      </c>
      <c r="F1747" s="25" t="str">
        <f ca="1">IFERROR(__xludf.DUMMYFUNCTION("""COMPUTED_VALUE"""),"Con excedentes financieros de junio, disponer cámaras de seguridad en la carrera 2n entre las calles 39a sur y 38 sur, aledañas al IED Alemania Unificada - sede B, primaria. Así mismo, brindar kits tecnológicos a frentes de seguridad del sector Guacamayas"&amp;".")</f>
        <v>Con excedentes financieros de junio, disponer cámaras de seguridad en la carrera 2n entre las calles 39a sur y 38 sur, aledañas al IED Alemania Unificada - sede B, primaria. Así mismo, brindar kits tecnológicos a frentes de seguridad del sector Guacamayas.</v>
      </c>
      <c r="G1747" s="25" t="str">
        <f ca="1">IFERROR(__xludf.DUMMYFUNCTION("""COMPUTED_VALUE"""),"04. San Cristóbal")</f>
        <v>04. San Cristóbal</v>
      </c>
      <c r="H1747" s="55">
        <f ca="1">IFERROR(__xludf.DUMMYFUNCTION("""COMPUTED_VALUE"""),45122)</f>
        <v>45122</v>
      </c>
      <c r="I1747" s="25" t="str">
        <f ca="1">IFERROR(__xludf.DUMMYFUNCTION("""COMPUTED_VALUE"""),"Secretaría Privada")</f>
        <v>Secretaría Privada</v>
      </c>
      <c r="J1747" s="55" t="str">
        <f ca="1">IFERROR(__xludf.DUMMYFUNCTION("""COMPUTED_VALUE"""),"Media")</f>
        <v>Media</v>
      </c>
      <c r="K1747" s="25">
        <f ca="1">IFERROR(__xludf.DUMMYFUNCTION("""COMPUTED_VALUE"""),96)</f>
        <v>96</v>
      </c>
      <c r="L1747" s="62">
        <f ca="1">IFERROR(__xludf.DUMMYFUNCTION("""COMPUTED_VALUE"""),45082)</f>
        <v>45082</v>
      </c>
      <c r="M1747" s="25" t="str">
        <f ca="1">IFERROR(__xludf.DUMMYFUNCTION("""COMPUTED_VALUE"""),"Ya se asignaron recursos al FDL por excedentes financieros, para la instalación de cámaras (priorizadas por SSCJ) y la entrega de kits de seguridad para el sector de Guacamayas, la entrega se encuentra planeada para el segundo semestre del 2023")</f>
        <v>Ya se asignaron recursos al FDL por excedentes financieros, para la instalación de cámaras (priorizadas por SSCJ) y la entrega de kits de seguridad para el sector de Guacamayas, la entrega se encuentra planeada para el segundo semestre del 2023</v>
      </c>
      <c r="N1747" s="25"/>
      <c r="O1747" s="25" t="str">
        <f t="shared" ca="1" si="0"/>
        <v>Alcaldía Local</v>
      </c>
      <c r="P1747" s="25" t="str">
        <f t="shared" ca="1" si="2"/>
        <v/>
      </c>
      <c r="Q1747" s="25" t="str">
        <f ca="1">IFERROR(__xludf.DUMMYFUNCTION("""COMPUTED_VALUE"""),"Mediano plazo")</f>
        <v>Mediano plazo</v>
      </c>
      <c r="R1747" s="25"/>
      <c r="S1747" s="55"/>
      <c r="T1747" s="56"/>
      <c r="U1747" s="25"/>
      <c r="V1747" s="25"/>
      <c r="W1747" s="25"/>
      <c r="X1747" s="25"/>
      <c r="Y1747" s="25"/>
      <c r="Z1747" s="25"/>
    </row>
    <row r="1748" spans="1:26" ht="52.5" customHeight="1" x14ac:dyDescent="0.25">
      <c r="A1748" s="25" t="str">
        <f ca="1">IFERROR(__xludf.DUMMYFUNCTION("""COMPUTED_VALUE"""),"Gobie246")</f>
        <v>Gobie246</v>
      </c>
      <c r="B1748" s="25" t="str">
        <f ca="1">IFERROR(__xludf.DUMMYFUNCTION("""COMPUTED_VALUE"""),"Recorrido Fontibón")</f>
        <v>Recorrido Fontibón</v>
      </c>
      <c r="C1748" s="55">
        <f ca="1">IFERROR(__xludf.DUMMYFUNCTION("""COMPUTED_VALUE"""),44984)</f>
        <v>44984</v>
      </c>
      <c r="D1748" s="25" t="str">
        <f ca="1">IFERROR(__xludf.DUMMYFUNCTION("""COMPUTED_VALUE"""),"Gobierno")</f>
        <v>Gobierno</v>
      </c>
      <c r="E1748" s="25" t="str">
        <f ca="1">IFERROR(__xludf.DUMMYFUNCTION("""COMPUTED_VALUE"""),"Secretaría Distrital de Gobierno")</f>
        <v>Secretaría Distrital de Gobierno</v>
      </c>
      <c r="F1748" s="25" t="str">
        <f ca="1">IFERROR(__xludf.DUMMYFUNCTION("""COMPUTED_VALUE"""),"Revisar e intervenir pagadiarios en el sector de Atahualpa y refugio Versalles, ya que son focos de riñas y microtráfico.")</f>
        <v>Revisar e intervenir pagadiarios en el sector de Atahualpa y refugio Versalles, ya que son focos de riñas y microtráfico.</v>
      </c>
      <c r="G1748" s="25" t="str">
        <f ca="1">IFERROR(__xludf.DUMMYFUNCTION("""COMPUTED_VALUE"""),"09. Fontibón")</f>
        <v>09. Fontibón</v>
      </c>
      <c r="H1748" s="55">
        <f ca="1">IFERROR(__xludf.DUMMYFUNCTION("""COMPUTED_VALUE"""),45037)</f>
        <v>45037</v>
      </c>
      <c r="I1748" s="25" t="str">
        <f ca="1">IFERROR(__xludf.DUMMYFUNCTION("""COMPUTED_VALUE"""),"Secretaría Privada")</f>
        <v>Secretaría Privada</v>
      </c>
      <c r="J1748" s="55" t="str">
        <f ca="1">IFERROR(__xludf.DUMMYFUNCTION("""COMPUTED_VALUE"""),"Alta")</f>
        <v>Alta</v>
      </c>
      <c r="K1748" s="25">
        <f ca="1">IFERROR(__xludf.DUMMYFUNCTION("""COMPUTED_VALUE"""),53)</f>
        <v>53</v>
      </c>
      <c r="L1748" s="62">
        <f ca="1">IFERROR(__xludf.DUMMYFUNCTION("""COMPUTED_VALUE"""),45082)</f>
        <v>45082</v>
      </c>
      <c r="M1748" s="66" t="str">
        <f ca="1">IFERROR(__xludf.DUMMYFUNCTION("""COMPUTED_VALUE"""),"no es competencia de la SDHT adelantar denuncias frente a las conductas de los pagadiarios. las personas que sean victimas deben adelnatr las respectivas denuncias ante la Fiscalia General de la Nacion.
Reporte 4 mayo 2023: Se han realizado operativos de"&amp;" seguridad en los sectores mencionados, se comparte el registro de lo realizado: https://gobiernobogota.sharepoint.com/:b:/s/DGDL/EVL87oJZpUVEtuYnh-QbLvABkB6w0bp9CwLAqhArn3p4oA?e=GF5QBT")</f>
        <v>no es competencia de la SDHT adelantar denuncias frente a las conductas de los pagadiarios. las personas que sean victimas deben adelnatr las respectivas denuncias ante la Fiscalia General de la Nacion.
Reporte 4 mayo 2023: Se han realizado operativos de seguridad en los sectores mencionados, se comparte el registro de lo realizado: https://gobiernobogota.sharepoint.com/:b:/s/DGDL/EVL87oJZpUVEtuYnh-QbLvABkB6w0bp9CwLAqhArn3p4oA?e=GF5QBT</v>
      </c>
      <c r="N1748" s="25"/>
      <c r="O1748" s="25" t="str">
        <f t="shared" ca="1" si="0"/>
        <v>Secretaría Distrital de Gobierno</v>
      </c>
      <c r="P1748" s="25" t="str">
        <f t="shared" ca="1" si="2"/>
        <v/>
      </c>
      <c r="Q1748" s="25" t="str">
        <f ca="1">IFERROR(__xludf.DUMMYFUNCTION("""COMPUTED_VALUE"""),"Corto plazo")</f>
        <v>Corto plazo</v>
      </c>
      <c r="R1748" s="25"/>
      <c r="S1748" s="55"/>
      <c r="T1748" s="56"/>
      <c r="U1748" s="25"/>
      <c r="V1748" s="25"/>
      <c r="W1748" s="25"/>
      <c r="X1748" s="25"/>
      <c r="Y1748" s="25"/>
      <c r="Z1748" s="25"/>
    </row>
    <row r="1749" spans="1:26" ht="52.5" customHeight="1" x14ac:dyDescent="0.25">
      <c r="A1749" s="25" t="str">
        <f ca="1">IFERROR(__xludf.DUMMYFUNCTION("""COMPUTED_VALUE"""),"Gobie247")</f>
        <v>Gobie247</v>
      </c>
      <c r="B1749" s="25" t="str">
        <f ca="1">IFERROR(__xludf.DUMMYFUNCTION("""COMPUTED_VALUE"""),"Recorrido Usaquén")</f>
        <v>Recorrido Usaquén</v>
      </c>
      <c r="C1749" s="55">
        <f ca="1">IFERROR(__xludf.DUMMYFUNCTION("""COMPUTED_VALUE"""),45034)</f>
        <v>45034</v>
      </c>
      <c r="D1749" s="25" t="str">
        <f ca="1">IFERROR(__xludf.DUMMYFUNCTION("""COMPUTED_VALUE"""),"Gobierno")</f>
        <v>Gobierno</v>
      </c>
      <c r="E1749" s="25" t="str">
        <f ca="1">IFERROR(__xludf.DUMMYFUNCTION("""COMPUTED_VALUE"""),"Departamento Administrativo de la Defensoría del Espacio Público")</f>
        <v>Departamento Administrativo de la Defensoría del Espacio Público</v>
      </c>
      <c r="F1749" s="25" t="str">
        <f ca="1">IFERROR(__xludf.DUMMYFUNCTION("""COMPUTED_VALUE"""),"Realizar la recuperación del predio ubicado en el tramo vial de la Av. Laureano Gómez entre la calle 183 y la 193, y entregarlo al IDU para la continuación de la obra vial.")</f>
        <v>Realizar la recuperación del predio ubicado en el tramo vial de la Av. Laureano Gómez entre la calle 183 y la 193, y entregarlo al IDU para la continuación de la obra vial.</v>
      </c>
      <c r="G1749" s="25" t="str">
        <f ca="1">IFERROR(__xludf.DUMMYFUNCTION("""COMPUTED_VALUE"""),"01. Usaquén")</f>
        <v>01. Usaquén</v>
      </c>
      <c r="H1749" s="55">
        <f ca="1">IFERROR(__xludf.DUMMYFUNCTION("""COMPUTED_VALUE"""),45061)</f>
        <v>45061</v>
      </c>
      <c r="I1749" s="25" t="str">
        <f ca="1">IFERROR(__xludf.DUMMYFUNCTION("""COMPUTED_VALUE"""),"Secretaría Privada")</f>
        <v>Secretaría Privada</v>
      </c>
      <c r="J1749" s="55" t="str">
        <f ca="1">IFERROR(__xludf.DUMMYFUNCTION("""COMPUTED_VALUE"""),"Alta")</f>
        <v>Alta</v>
      </c>
      <c r="K1749" s="25">
        <f ca="1">IFERROR(__xludf.DUMMYFUNCTION("""COMPUTED_VALUE"""),27)</f>
        <v>27</v>
      </c>
      <c r="L1749" s="62">
        <f ca="1">IFERROR(__xludf.DUMMYFUNCTION("""COMPUTED_VALUE"""),45078)</f>
        <v>45078</v>
      </c>
      <c r="M1749" s="25" t="str">
        <f ca="1">IFERROR(__xludf.DUMMYFUNCTION("""COMPUTED_VALUE"""),"
El tramo vial que va desde la Av Laureano Gomez con Cl 183 a Cl 193 ha estado en proceso de saneamiento e incorporación en los tramos que poseen señalamiento urbanístico como lo es el desarrollo Tibabita Lote 19  que esta ubicado en la AK 9 con CL 188 BI"&amp;"S, una vez ejecutoriada la resolución que resolvió el recurso de apelación, se procedió a la incorporación del acta de toma de posesión, se georreferenció el plano y se asignaron los RUPI´s a las zonas de cesión. 4519-1 afectación a plan vial y 4519-2 vía"&amp;" vehicular.                                                                     Por otra parte es importante mencionar que este Departamento Administrativo es una entidad de carácter técnico que carece de funciones policivas adicionales a las establecidas"&amp;" en los artículos 10 y 17 del Acuerdo 735 de 2019, y que por tal motivo,  presta asesoría jurídica y técnica (certifica la calidad de los predios incorporados en el inventario de la propiedad inmobiliaria distrital) a las demás entidades  y autoridades de"&amp;"l orden local, distrital, nacional, y judicial para el ejercicio de la recuperación del espacio público, como es el caso de las funciones policivas en cabeza de las Alcaldías Locales, en virtud de lo establecido en el artículo 86 del Decreto 1421 de 1993 "&amp;"modificado por la Ley 2116 de 2021, cuyo numeral 9 dispone: “(…) Corresponde a los alcaldes locales (…) 9. Dictar los actos y ejecutar las operaciones necesarias para la protección, recuperación y conservación del espacio público, el patrimonio cultural, "&amp;"arquitectónico e histórico, los monumentos de la localidad, los recursos naturales y el ambiente, con sujeción a la ley, a las normas nacionales aplicables, y a los acuerdos distritales y locales (…)”. 
De igual manera, el artículo 6 del Acuerdo 735 de 20"&amp;"19 establece que corresponde a los alcaldes locales: “(…) 1. Realizar los operativos de inspección y vigilancia que buscan garantizar la seguridad y convivencia en el territorio de su localidad, con la coordinación de la Subsecretaría de Gestión Local, o "&amp;"la dependencia que haga sus veces en la Secretaría Distrital de Gobierno. 2. Articular con las demás autoridades de Policía, las acciones tendientes a prevenir y eliminar los hechos que perturben la convivencia en el territorio de su localidad. 3. Articul"&amp;"ar con las demás Autoridades de Policía para que se adopten las medidas administrativas y de Policía que correspondan para garantizar la protección, recuperación y conservación del espacio público y del ambiente (…)” 
En ese orden de ideas el DADEP escal"&amp;"ara a la Alcaldía Local de Usaquén el caso, con el objeto de que se realicen acciones que contribuyan a la recuperación de estros predios.")</f>
        <v xml:space="preserve">
El tramo vial que va desde la Av Laureano Gomez con Cl 183 a Cl 193 ha estado en proceso de saneamiento e incorporación en los tramos que poseen señalamiento urbanístico como lo es el desarrollo Tibabita Lote 19  que esta ubicado en la AK 9 con CL 188 BIS, una vez ejecutoriada la resolución que resolvió el recurso de apelación, se procedió a la incorporación del acta de toma de posesión, se georreferenció el plano y se asignaron los RUPI´s a las zonas de cesión. 4519-1 afectación a plan vial y 4519-2 vía vehicular.                                                                     Por otra parte es importante mencionar que este Departamento Administrativo es una entidad de carácter técnico que carece de funciones policivas adicionales a las establecidas en los artículos 10 y 17 del Acuerdo 735 de 2019, y que por tal motivo,  presta asesoría jurídica y técnica (certifica la calidad de los predios incorporados en el inventario de la propiedad inmobiliaria distrital) a las demás entidades  y autoridades del orden local, distrital, nacional, y judicial para el ejercicio de la recuperación del espacio público, como es el caso de las funciones policivas en cabeza de las Alcaldías Locales, en virtud de lo establecido en el artículo 86 del Decreto 1421 de 1993 modificado por la Ley 2116 de 2021, cuyo numeral 9 dispone: “(…) Corresponde a los alcaldes locales (…) 9. Dictar los actos y ejecutar las operaciones necesarias para la protección, recuperación y conservación del espacio público, el patrimonio cultural, arquitectónico e histórico, los monumentos de la localidad, los recursos naturales y el ambiente, con sujeción a la ley, a las normas nacionales aplicables, y a los acuerdos distritales y locales (…)”. 
De igual manera, el artículo 6 del Acuerdo 735 de 2019 establece que corresponde a los alcaldes locales: “(…) 1. Realizar los operativos de inspección y vigilancia que buscan garantizar la seguridad y convivencia en el territorio de su localidad, con la coordinación de la Subsecretaría de Gestión Local, o la dependencia que haga sus veces en la Secretaría Distrital de Gobierno. 2. Articular con las demás autoridades de Policía, las acciones tendientes a prevenir y eliminar los hechos que perturben la convivencia en el territorio de su localidad. 3. Articular con las demás Autoridades de Policía para que se adopten las medidas administrativas y de Policía que correspondan para garantizar la protección, recuperación y conservación del espacio público y del ambiente (…)” 
En ese orden de ideas el DADEP escalara a la Alcaldía Local de Usaquén el caso, con el objeto de que se realicen acciones que contribuyan a la recuperación de estros predios.</v>
      </c>
      <c r="N1749" s="25"/>
      <c r="O1749" s="25" t="str">
        <f t="shared" ca="1" si="0"/>
        <v>Departamento Administrativo de la Defensoría del Espacio Público</v>
      </c>
      <c r="P1749" s="25" t="str">
        <f t="shared" ca="1" si="2"/>
        <v/>
      </c>
      <c r="Q1749" s="25" t="str">
        <f ca="1">IFERROR(__xludf.DUMMYFUNCTION("""COMPUTED_VALUE"""),"Corto plazo")</f>
        <v>Corto plazo</v>
      </c>
      <c r="R1749" s="25"/>
      <c r="S1749" s="55"/>
      <c r="T1749" s="56"/>
      <c r="U1749" s="25"/>
      <c r="V1749" s="25"/>
      <c r="W1749" s="25"/>
      <c r="X1749" s="25"/>
      <c r="Y1749" s="25"/>
      <c r="Z1749" s="25"/>
    </row>
    <row r="1750" spans="1:26" ht="52.5" customHeight="1" x14ac:dyDescent="0.25">
      <c r="A1750" s="25" t="str">
        <f ca="1">IFERROR(__xludf.DUMMYFUNCTION("""COMPUTED_VALUE"""),"Gobie248")</f>
        <v>Gobie248</v>
      </c>
      <c r="B1750" s="25" t="str">
        <f ca="1">IFERROR(__xludf.DUMMYFUNCTION("""COMPUTED_VALUE"""),"Recorrido Usaquén")</f>
        <v>Recorrido Usaquén</v>
      </c>
      <c r="C1750" s="55">
        <f ca="1">IFERROR(__xludf.DUMMYFUNCTION("""COMPUTED_VALUE"""),45034)</f>
        <v>45034</v>
      </c>
      <c r="D1750" s="25" t="str">
        <f ca="1">IFERROR(__xludf.DUMMYFUNCTION("""COMPUTED_VALUE"""),"Gobierno")</f>
        <v>Gobierno</v>
      </c>
      <c r="E1750" s="25" t="str">
        <f ca="1">IFERROR(__xludf.DUMMYFUNCTION("""COMPUTED_VALUE"""),"Alcaldía Local")</f>
        <v>Alcaldía Local</v>
      </c>
      <c r="F1750" s="25" t="str">
        <f ca="1">IFERROR(__xludf.DUMMYFUNCTION("""COMPUTED_VALUE"""),"Suministrar a la JAL un listado de datos de contacto de los enlaces locales de las entidades del Distrito.")</f>
        <v>Suministrar a la JAL un listado de datos de contacto de los enlaces locales de las entidades del Distrito.</v>
      </c>
      <c r="G1750" s="25" t="str">
        <f ca="1">IFERROR(__xludf.DUMMYFUNCTION("""COMPUTED_VALUE"""),"01. Usaquén")</f>
        <v>01. Usaquén</v>
      </c>
      <c r="H1750" s="55">
        <f ca="1">IFERROR(__xludf.DUMMYFUNCTION("""COMPUTED_VALUE"""),45046)</f>
        <v>45046</v>
      </c>
      <c r="I1750" s="25" t="str">
        <f ca="1">IFERROR(__xludf.DUMMYFUNCTION("""COMPUTED_VALUE"""),"Secretaría Privada")</f>
        <v>Secretaría Privada</v>
      </c>
      <c r="J1750" s="55" t="str">
        <f ca="1">IFERROR(__xludf.DUMMYFUNCTION("""COMPUTED_VALUE"""),"Alta")</f>
        <v>Alta</v>
      </c>
      <c r="K1750" s="25">
        <f ca="1">IFERROR(__xludf.DUMMYFUNCTION("""COMPUTED_VALUE"""),12)</f>
        <v>12</v>
      </c>
      <c r="L1750" s="62">
        <f ca="1">IFERROR(__xludf.DUMMYFUNCTION("""COMPUTED_VALUE"""),45077)</f>
        <v>45077</v>
      </c>
      <c r="M1750" s="25" t="str">
        <f ca="1">IFERROR(__xludf.DUMMYFUNCTION("""COMPUTED_VALUE"""),"Se están elaborando los listados solicitados, se realizará la entrega de la información a la JAL en el mes de Junio")</f>
        <v>Se están elaborando los listados solicitados, se realizará la entrega de la información a la JAL en el mes de Junio</v>
      </c>
      <c r="N1750" s="25"/>
      <c r="O1750" s="25" t="str">
        <f t="shared" ca="1" si="0"/>
        <v>Alcaldía Local</v>
      </c>
      <c r="P1750" s="25" t="str">
        <f t="shared" ca="1" si="2"/>
        <v/>
      </c>
      <c r="Q1750" s="25" t="str">
        <f ca="1">IFERROR(__xludf.DUMMYFUNCTION("""COMPUTED_VALUE"""),"Corto plazo")</f>
        <v>Corto plazo</v>
      </c>
      <c r="R1750" s="25"/>
      <c r="S1750" s="55"/>
      <c r="T1750" s="56"/>
      <c r="U1750" s="25"/>
      <c r="V1750" s="25"/>
      <c r="W1750" s="25"/>
      <c r="X1750" s="25"/>
      <c r="Y1750" s="25"/>
      <c r="Z1750" s="25"/>
    </row>
    <row r="1751" spans="1:26" ht="52.5" customHeight="1" x14ac:dyDescent="0.25">
      <c r="A1751" s="25" t="str">
        <f ca="1">IFERROR(__xludf.DUMMYFUNCTION("""COMPUTED_VALUE"""),"Gobie249")</f>
        <v>Gobie249</v>
      </c>
      <c r="B1751" s="25" t="str">
        <f ca="1">IFERROR(__xludf.DUMMYFUNCTION("""COMPUTED_VALUE"""),"Recorrido Usaquén")</f>
        <v>Recorrido Usaquén</v>
      </c>
      <c r="C1751" s="55">
        <f ca="1">IFERROR(__xludf.DUMMYFUNCTION("""COMPUTED_VALUE"""),45034)</f>
        <v>45034</v>
      </c>
      <c r="D1751" s="25" t="str">
        <f ca="1">IFERROR(__xludf.DUMMYFUNCTION("""COMPUTED_VALUE"""),"Gobierno")</f>
        <v>Gobierno</v>
      </c>
      <c r="E1751" s="25" t="str">
        <f ca="1">IFERROR(__xludf.DUMMYFUNCTION("""COMPUTED_VALUE"""),"Secretaría Distrital de Gobierno")</f>
        <v>Secretaría Distrital de Gobierno</v>
      </c>
      <c r="F1751" s="25" t="str">
        <f ca="1">IFERROR(__xludf.DUMMYFUNCTION("""COMPUTED_VALUE"""),"Brindar acompañamiento con unidad de diálogo social a los procesos organizativos juveniles presentes en la zona oriental de la localidad, para que puedan tener un mejor relacionamiento con la comunidad residente en estos sectores.")</f>
        <v>Brindar acompañamiento con unidad de diálogo social a los procesos organizativos juveniles presentes en la zona oriental de la localidad, para que puedan tener un mejor relacionamiento con la comunidad residente en estos sectores.</v>
      </c>
      <c r="G1751" s="25" t="str">
        <f ca="1">IFERROR(__xludf.DUMMYFUNCTION("""COMPUTED_VALUE"""),"01. Usaquén")</f>
        <v>01. Usaquén</v>
      </c>
      <c r="H1751" s="55">
        <f ca="1">IFERROR(__xludf.DUMMYFUNCTION("""COMPUTED_VALUE"""),45076)</f>
        <v>45076</v>
      </c>
      <c r="I1751" s="25" t="str">
        <f ca="1">IFERROR(__xludf.DUMMYFUNCTION("""COMPUTED_VALUE"""),"Secretaría Privada")</f>
        <v>Secretaría Privada</v>
      </c>
      <c r="J1751" s="55" t="str">
        <f ca="1">IFERROR(__xludf.DUMMYFUNCTION("""COMPUTED_VALUE"""),"Alta")</f>
        <v>Alta</v>
      </c>
      <c r="K1751" s="25">
        <f ca="1">IFERROR(__xludf.DUMMYFUNCTION("""COMPUTED_VALUE"""),42)</f>
        <v>42</v>
      </c>
      <c r="L1751" s="62">
        <f ca="1">IFERROR(__xludf.DUMMYFUNCTION("""COMPUTED_VALUE"""),45077)</f>
        <v>45077</v>
      </c>
      <c r="M1751" s="25"/>
      <c r="N1751" s="25"/>
      <c r="O1751" s="25" t="str">
        <f t="shared" ca="1" si="0"/>
        <v>Secretaría Distrital de Gobierno</v>
      </c>
      <c r="P1751" s="25" t="str">
        <f t="shared" ca="1" si="2"/>
        <v/>
      </c>
      <c r="Q1751" s="25" t="str">
        <f ca="1">IFERROR(__xludf.DUMMYFUNCTION("""COMPUTED_VALUE"""),"Corto plazo")</f>
        <v>Corto plazo</v>
      </c>
      <c r="R1751" s="25"/>
      <c r="S1751" s="55"/>
      <c r="T1751" s="56"/>
      <c r="U1751" s="25"/>
      <c r="V1751" s="25"/>
      <c r="W1751" s="25"/>
      <c r="X1751" s="25"/>
      <c r="Y1751" s="25"/>
      <c r="Z1751" s="25"/>
    </row>
    <row r="1752" spans="1:26" ht="52.5" customHeight="1" x14ac:dyDescent="0.25">
      <c r="A1752" s="25" t="str">
        <f ca="1">IFERROR(__xludf.DUMMYFUNCTION("""COMPUTED_VALUE"""),"Gobie250")</f>
        <v>Gobie250</v>
      </c>
      <c r="B1752" s="25" t="str">
        <f ca="1">IFERROR(__xludf.DUMMYFUNCTION("""COMPUTED_VALUE"""),"Recorrido Engativá")</f>
        <v>Recorrido Engativá</v>
      </c>
      <c r="C1752" s="55">
        <f ca="1">IFERROR(__xludf.DUMMYFUNCTION("""COMPUTED_VALUE"""),45048)</f>
        <v>45048</v>
      </c>
      <c r="D1752" s="25" t="str">
        <f ca="1">IFERROR(__xludf.DUMMYFUNCTION("""COMPUTED_VALUE"""),"Gobierno")</f>
        <v>Gobierno</v>
      </c>
      <c r="E1752" s="25" t="str">
        <f ca="1">IFERROR(__xludf.DUMMYFUNCTION("""COMPUTED_VALUE"""),"Alcaldía Local")</f>
        <v>Alcaldía Local</v>
      </c>
      <c r="F1752" s="25" t="str">
        <f ca="1">IFERROR(__xludf.DUMMYFUNCTION("""COMPUTED_VALUE"""),"Realizar operativo de IVC con el acompañamiento de la MEBOG, EAAB y SDA a predio (La Providencia) ubicado en la zona más occidental de la Av. Mutis que limita con el Humedal Jaboque.")</f>
        <v>Realizar operativo de IVC con el acompañamiento de la MEBOG, EAAB y SDA a predio (La Providencia) ubicado en la zona más occidental de la Av. Mutis que limita con el Humedal Jaboque.</v>
      </c>
      <c r="G1752" s="25" t="str">
        <f ca="1">IFERROR(__xludf.DUMMYFUNCTION("""COMPUTED_VALUE"""),"10. Engativá")</f>
        <v>10. Engativá</v>
      </c>
      <c r="H1752" s="55">
        <f ca="1">IFERROR(__xludf.DUMMYFUNCTION("""COMPUTED_VALUE"""),45076)</f>
        <v>45076</v>
      </c>
      <c r="I1752" s="25" t="str">
        <f ca="1">IFERROR(__xludf.DUMMYFUNCTION("""COMPUTED_VALUE"""),"Jefatura de Gabinete")</f>
        <v>Jefatura de Gabinete</v>
      </c>
      <c r="J1752" s="55" t="str">
        <f ca="1">IFERROR(__xludf.DUMMYFUNCTION("""COMPUTED_VALUE"""),"Alta")</f>
        <v>Alta</v>
      </c>
      <c r="K1752" s="25">
        <f ca="1">IFERROR(__xludf.DUMMYFUNCTION("""COMPUTED_VALUE"""),28)</f>
        <v>28</v>
      </c>
      <c r="L1752" s="62">
        <f ca="1">IFERROR(__xludf.DUMMYFUNCTION("""COMPUTED_VALUE"""),45077)</f>
        <v>45077</v>
      </c>
      <c r="M1752" s="25" t="str">
        <f ca="1">IFERROR(__xludf.DUMMYFUNCTION("""COMPUTED_VALUE"""),"De conformidad con lo solicitado referente al recorrido realizado el pasado 2 de mayo de 2023, con el acompañamiento de la empresa de acueducto y alcantarillado de Bogotá, y la Secretaría Distrital de Ambiente, con la asistencia de la Policía Nacional, ar"&amp;"rojó como resultado, que por parte de la EAAB, se hará un cierre provisional con alambre en la parte baja del puente peatonal que conduce al parque la Florida, lo anterior, con el fin de evitar que se continue con el arrojo de escombros en el jarillon del"&amp;" río Bogotá y continue con la afectación, esto se realizará una vez se recupere el Humedal en el predio denominado """"La Providencia"""", la actividad se desarrollará a partir del día 13 de junio de los corrientes, así las cosas, se espera que el cerrami"&amp;"ento provisional se lleve a cabo entre el 14 y 15 del mismo mes.
En cuanto a la participación de la Secretaría Distrital de Ambiente, esta, se comprometió a apoyar con ejercito para realizar limpieza del Humedal una vez se realice la demolición de la est"&amp;"ructura artesanal que se encuentra construida allí, lo que se llevaría, este apoyo o compromiso, será para el día 14 de junio.
Finalmente, el acompañamiento de la Policía Nacional el día 2 de mayo impuso medida correctiva por ocupación indebida del espac"&amp;"io público, artículo 140 numeral 4 de la ley 1801 de 2016. de otro lado, fue citada la FUIS para el acompañamiento y apoyo para llevar a cabo la recuperación el Humedal el a partir de día 13 de junio de la presente anualidad. 
De otro lado, es importante"&amp;" indicar que el Humedal Jaboque no se encuentra al Occidente de la AV. Mutis, y la ocupación que se denomina """"La Providencia"""" esta ubicada en la zona de protección y manejo ambiental del Río Bogotá, al sur de la Calle 80, en las siguientes coordenad"&amp;"as (4°43’43,48”N - 74°8’33,74”O) hasta predio conocido como la providencia (4°43'47.78""""N - 74°8'17.81""""O.
")</f>
        <v xml:space="preserve">De conformidad con lo solicitado referente al recorrido realizado el pasado 2 de mayo de 2023, con el acompañamiento de la empresa de acueducto y alcantarillado de Bogotá, y la Secretaría Distrital de Ambiente, con la asistencia de la Policía Nacional, arrojó como resultado, que por parte de la EAAB, se hará un cierre provisional con alambre en la parte baja del puente peatonal que conduce al parque la Florida, lo anterior, con el fin de evitar que se continue con el arrojo de escombros en el jarillon del río Bogotá y continue con la afectación, esto se realizará una vez se recupere el Humedal en el predio denominado ""La Providencia"", la actividad se desarrollará a partir del día 13 de junio de los corrientes, así las cosas, se espera que el cerramiento provisional se lleve a cabo entre el 14 y 15 del mismo mes.
En cuanto a la participación de la Secretaría Distrital de Ambiente, esta, se comprometió a apoyar con ejercito para realizar limpieza del Humedal una vez se realice la demolición de la estructura artesanal que se encuentra construida allí, lo que se llevaría, este apoyo o compromiso, será para el día 14 de junio.
Finalmente, el acompañamiento de la Policía Nacional el día 2 de mayo impuso medida correctiva por ocupación indebida del espacio público, artículo 140 numeral 4 de la ley 1801 de 2016. de otro lado, fue citada la FUIS para el acompañamiento y apoyo para llevar a cabo la recuperación el Humedal el a partir de día 13 de junio de la presente anualidad. 
De otro lado, es importante indicar que el Humedal Jaboque no se encuentra al Occidente de la AV. Mutis, y la ocupación que se denomina ""La Providencia"" esta ubicada en la zona de protección y manejo ambiental del Río Bogotá, al sur de la Calle 80, en las siguientes coordenadas (4°43’43,48”N - 74°8’33,74”O) hasta predio conocido como la providencia (4°43'47.78""N - 74°8'17.81""O.
</v>
      </c>
      <c r="N1752" s="25"/>
      <c r="O1752" s="25" t="str">
        <f t="shared" ca="1" si="0"/>
        <v>Alcaldía Local</v>
      </c>
      <c r="P1752" s="25" t="str">
        <f t="shared" ca="1" si="2"/>
        <v/>
      </c>
      <c r="Q1752" s="25" t="str">
        <f ca="1">IFERROR(__xludf.DUMMYFUNCTION("""COMPUTED_VALUE"""),"Corto plazo")</f>
        <v>Corto plazo</v>
      </c>
      <c r="R1752" s="25"/>
      <c r="S1752" s="55"/>
      <c r="T1752" s="56"/>
      <c r="U1752" s="25"/>
      <c r="V1752" s="25"/>
      <c r="W1752" s="25"/>
      <c r="X1752" s="25"/>
      <c r="Y1752" s="25"/>
      <c r="Z1752" s="25"/>
    </row>
    <row r="1753" spans="1:26" ht="52.5" customHeight="1" x14ac:dyDescent="0.25">
      <c r="A1753" s="25" t="str">
        <f ca="1">IFERROR(__xludf.DUMMYFUNCTION("""COMPUTED_VALUE"""),"Gobie251")</f>
        <v>Gobie251</v>
      </c>
      <c r="B1753" s="25" t="str">
        <f ca="1">IFERROR(__xludf.DUMMYFUNCTION("""COMPUTED_VALUE"""),"Recorrido Engativá")</f>
        <v>Recorrido Engativá</v>
      </c>
      <c r="C1753" s="55">
        <f ca="1">IFERROR(__xludf.DUMMYFUNCTION("""COMPUTED_VALUE"""),45048)</f>
        <v>45048</v>
      </c>
      <c r="D1753" s="25" t="str">
        <f ca="1">IFERROR(__xludf.DUMMYFUNCTION("""COMPUTED_VALUE"""),"Gobierno")</f>
        <v>Gobierno</v>
      </c>
      <c r="E1753" s="25" t="str">
        <f ca="1">IFERROR(__xludf.DUMMYFUNCTION("""COMPUTED_VALUE"""),"Alcaldía Local")</f>
        <v>Alcaldía Local</v>
      </c>
      <c r="F1753" s="25" t="str">
        <f ca="1">IFERROR(__xludf.DUMMYFUNCTION("""COMPUTED_VALUE"""),"Poner al servicio de las mujeres emprendedoras de la localidad, 6 remolques multifuncionales.")</f>
        <v>Poner al servicio de las mujeres emprendedoras de la localidad, 6 remolques multifuncionales.</v>
      </c>
      <c r="G1753" s="25" t="str">
        <f ca="1">IFERROR(__xludf.DUMMYFUNCTION("""COMPUTED_VALUE"""),"10. Engativá")</f>
        <v>10. Engativá</v>
      </c>
      <c r="H1753" s="55">
        <f ca="1">IFERROR(__xludf.DUMMYFUNCTION("""COMPUTED_VALUE"""),45061)</f>
        <v>45061</v>
      </c>
      <c r="I1753" s="25" t="str">
        <f ca="1">IFERROR(__xludf.DUMMYFUNCTION("""COMPUTED_VALUE"""),"Delivery Unit")</f>
        <v>Delivery Unit</v>
      </c>
      <c r="J1753" s="55" t="str">
        <f ca="1">IFERROR(__xludf.DUMMYFUNCTION("""COMPUTED_VALUE"""),"Alta")</f>
        <v>Alta</v>
      </c>
      <c r="K1753" s="25">
        <f ca="1">IFERROR(__xludf.DUMMYFUNCTION("""COMPUTED_VALUE"""),13)</f>
        <v>13</v>
      </c>
      <c r="L1753" s="62">
        <f ca="1">IFERROR(__xludf.DUMMYFUNCTION("""COMPUTED_VALUE"""),45077)</f>
        <v>45077</v>
      </c>
      <c r="M1753" s="25" t="str">
        <f ca="1">IFERROR(__xludf.DUMMYFUNCTION("""COMPUTED_VALUE"""),"AL ya cuenta con remolques, se encuentra en concertación de la fecha de la Feria")</f>
        <v>AL ya cuenta con remolques, se encuentra en concertación de la fecha de la Feria</v>
      </c>
      <c r="N1753" s="25"/>
      <c r="O1753" s="25" t="str">
        <f t="shared" ca="1" si="0"/>
        <v>Alcaldía Local</v>
      </c>
      <c r="P1753" s="25" t="str">
        <f t="shared" ca="1" si="2"/>
        <v/>
      </c>
      <c r="Q1753" s="25" t="str">
        <f ca="1">IFERROR(__xludf.DUMMYFUNCTION("""COMPUTED_VALUE"""),"Corto plazo")</f>
        <v>Corto plazo</v>
      </c>
      <c r="R1753" s="25"/>
      <c r="S1753" s="55"/>
      <c r="T1753" s="56"/>
      <c r="U1753" s="25"/>
      <c r="V1753" s="25"/>
      <c r="W1753" s="25"/>
      <c r="X1753" s="25"/>
      <c r="Y1753" s="25"/>
      <c r="Z1753" s="25"/>
    </row>
    <row r="1754" spans="1:26" ht="52.5" customHeight="1" x14ac:dyDescent="0.25">
      <c r="A1754" s="25" t="str">
        <f ca="1">IFERROR(__xludf.DUMMYFUNCTION("""COMPUTED_VALUE"""),"Gobie252")</f>
        <v>Gobie252</v>
      </c>
      <c r="B1754" s="25" t="str">
        <f ca="1">IFERROR(__xludf.DUMMYFUNCTION("""COMPUTED_VALUE"""),"Recorrido Engativá")</f>
        <v>Recorrido Engativá</v>
      </c>
      <c r="C1754" s="55">
        <f ca="1">IFERROR(__xludf.DUMMYFUNCTION("""COMPUTED_VALUE"""),45048)</f>
        <v>45048</v>
      </c>
      <c r="D1754" s="25" t="str">
        <f ca="1">IFERROR(__xludf.DUMMYFUNCTION("""COMPUTED_VALUE"""),"Gobierno")</f>
        <v>Gobierno</v>
      </c>
      <c r="E1754" s="25" t="str">
        <f ca="1">IFERROR(__xludf.DUMMYFUNCTION("""COMPUTED_VALUE"""),"Secretaría Distrital de Gobierno")</f>
        <v>Secretaría Distrital de Gobierno</v>
      </c>
      <c r="F1754" s="25" t="str">
        <f ca="1">IFERROR(__xludf.DUMMYFUNCTION("""COMPUTED_VALUE"""),"Habilitar una nueva casa en la localidad para el uso de diversos sectores sociales: comunidad afro, jóvenes, mujeres, entre otros actores comunitarios.")</f>
        <v>Habilitar una nueva casa en la localidad para el uso de diversos sectores sociales: comunidad afro, jóvenes, mujeres, entre otros actores comunitarios.</v>
      </c>
      <c r="G1754" s="25" t="str">
        <f ca="1">IFERROR(__xludf.DUMMYFUNCTION("""COMPUTED_VALUE"""),"10. Engativá")</f>
        <v>10. Engativá</v>
      </c>
      <c r="H1754" s="55">
        <f ca="1">IFERROR(__xludf.DUMMYFUNCTION("""COMPUTED_VALUE"""),45229)</f>
        <v>45229</v>
      </c>
      <c r="I1754" s="25" t="str">
        <f ca="1">IFERROR(__xludf.DUMMYFUNCTION("""COMPUTED_VALUE"""),"Delivery Unit")</f>
        <v>Delivery Unit</v>
      </c>
      <c r="J1754" s="55" t="str">
        <f ca="1">IFERROR(__xludf.DUMMYFUNCTION("""COMPUTED_VALUE"""),"Baja")</f>
        <v>Baja</v>
      </c>
      <c r="K1754" s="25">
        <f ca="1">IFERROR(__xludf.DUMMYFUNCTION("""COMPUTED_VALUE"""),181)</f>
        <v>181</v>
      </c>
      <c r="L1754" s="62">
        <f ca="1">IFERROR(__xludf.DUMMYFUNCTION("""COMPUTED_VALUE"""),45077)</f>
        <v>45077</v>
      </c>
      <c r="M1754" s="25"/>
      <c r="N1754" s="25"/>
      <c r="O1754" s="25" t="str">
        <f t="shared" ca="1" si="0"/>
        <v>Secretaría Distrital de Gobierno</v>
      </c>
      <c r="P1754" s="25" t="str">
        <f t="shared" ca="1" si="2"/>
        <v/>
      </c>
      <c r="Q1754" s="25" t="str">
        <f ca="1">IFERROR(__xludf.DUMMYFUNCTION("""COMPUTED_VALUE"""),"Largo plazo")</f>
        <v>Largo plazo</v>
      </c>
      <c r="R1754" s="25"/>
      <c r="S1754" s="55"/>
      <c r="T1754" s="56"/>
      <c r="U1754" s="25"/>
      <c r="V1754" s="25"/>
      <c r="W1754" s="25"/>
      <c r="X1754" s="25"/>
      <c r="Y1754" s="25"/>
      <c r="Z1754" s="25"/>
    </row>
    <row r="1755" spans="1:26" ht="52.5" customHeight="1" x14ac:dyDescent="0.25">
      <c r="A1755" s="25" t="str">
        <f ca="1">IFERROR(__xludf.DUMMYFUNCTION("""COMPUTED_VALUE"""),"Gobie253")</f>
        <v>Gobie253</v>
      </c>
      <c r="B1755" s="25" t="str">
        <f ca="1">IFERROR(__xludf.DUMMYFUNCTION("""COMPUTED_VALUE"""),"Recorrido Engativá")</f>
        <v>Recorrido Engativá</v>
      </c>
      <c r="C1755" s="55">
        <f ca="1">IFERROR(__xludf.DUMMYFUNCTION("""COMPUTED_VALUE"""),45048)</f>
        <v>45048</v>
      </c>
      <c r="D1755" s="25" t="str">
        <f ca="1">IFERROR(__xludf.DUMMYFUNCTION("""COMPUTED_VALUE"""),"Gobierno")</f>
        <v>Gobierno</v>
      </c>
      <c r="E1755" s="25" t="str">
        <f ca="1">IFERROR(__xludf.DUMMYFUNCTION("""COMPUTED_VALUE"""),"Alcaldía Local")</f>
        <v>Alcaldía Local</v>
      </c>
      <c r="F1755" s="25" t="str">
        <f ca="1">IFERROR(__xludf.DUMMYFUNCTION("""COMPUTED_VALUE"""),"Autorizar al IDRD para realizar la instalación de cerramiento en el parque la Estrada.")</f>
        <v>Autorizar al IDRD para realizar la instalación de cerramiento en el parque la Estrada.</v>
      </c>
      <c r="G1755" s="25" t="str">
        <f ca="1">IFERROR(__xludf.DUMMYFUNCTION("""COMPUTED_VALUE"""),"10. Engativá")</f>
        <v>10. Engativá</v>
      </c>
      <c r="H1755" s="55">
        <f ca="1">IFERROR(__xludf.DUMMYFUNCTION("""COMPUTED_VALUE"""),45066)</f>
        <v>45066</v>
      </c>
      <c r="I1755" s="25" t="str">
        <f ca="1">IFERROR(__xludf.DUMMYFUNCTION("""COMPUTED_VALUE"""),"Delivery Unit")</f>
        <v>Delivery Unit</v>
      </c>
      <c r="J1755" s="55" t="str">
        <f ca="1">IFERROR(__xludf.DUMMYFUNCTION("""COMPUTED_VALUE"""),"Alta")</f>
        <v>Alta</v>
      </c>
      <c r="K1755" s="25">
        <f ca="1">IFERROR(__xludf.DUMMYFUNCTION("""COMPUTED_VALUE"""),18)</f>
        <v>18</v>
      </c>
      <c r="L1755" s="62">
        <f ca="1">IFERROR(__xludf.DUMMYFUNCTION("""COMPUTED_VALUE"""),45077)</f>
        <v>45077</v>
      </c>
      <c r="M1755" s="25" t="str">
        <f ca="1">IFERROR(__xludf.DUMMYFUNCTION("""COMPUTED_VALUE"""),"Se programó reunión el proximo 9 de junio para revisar el avance, ya se está trabajando el cerramiento en el taller")</f>
        <v>Se programó reunión el proximo 9 de junio para revisar el avance, ya se está trabajando el cerramiento en el taller</v>
      </c>
      <c r="N1755" s="25"/>
      <c r="O1755" s="25" t="str">
        <f t="shared" ca="1" si="0"/>
        <v>Alcaldía Local</v>
      </c>
      <c r="P1755" s="25" t="str">
        <f t="shared" ca="1" si="2"/>
        <v/>
      </c>
      <c r="Q1755" s="25" t="str">
        <f ca="1">IFERROR(__xludf.DUMMYFUNCTION("""COMPUTED_VALUE"""),"Corto plazo")</f>
        <v>Corto plazo</v>
      </c>
      <c r="R1755" s="25"/>
      <c r="S1755" s="55"/>
      <c r="T1755" s="56"/>
      <c r="U1755" s="25"/>
      <c r="V1755" s="25"/>
      <c r="W1755" s="25"/>
      <c r="X1755" s="25"/>
      <c r="Y1755" s="25"/>
      <c r="Z1755" s="25"/>
    </row>
    <row r="1756" spans="1:26" ht="52.5" customHeight="1" x14ac:dyDescent="0.25">
      <c r="A1756" s="25" t="str">
        <f ca="1">IFERROR(__xludf.DUMMYFUNCTION("""COMPUTED_VALUE"""),"Gobie254")</f>
        <v>Gobie254</v>
      </c>
      <c r="B1756" s="25" t="str">
        <f ca="1">IFERROR(__xludf.DUMMYFUNCTION("""COMPUTED_VALUE"""),"Recorrido Engativá")</f>
        <v>Recorrido Engativá</v>
      </c>
      <c r="C1756" s="55">
        <f ca="1">IFERROR(__xludf.DUMMYFUNCTION("""COMPUTED_VALUE"""),45048)</f>
        <v>45048</v>
      </c>
      <c r="D1756" s="25" t="str">
        <f ca="1">IFERROR(__xludf.DUMMYFUNCTION("""COMPUTED_VALUE"""),"Gobierno")</f>
        <v>Gobierno</v>
      </c>
      <c r="E1756" s="25" t="str">
        <f ca="1">IFERROR(__xludf.DUMMYFUNCTION("""COMPUTED_VALUE"""),"Alcaldía Local")</f>
        <v>Alcaldía Local</v>
      </c>
      <c r="F1756" s="25" t="str">
        <f ca="1">IFERROR(__xludf.DUMMYFUNCTION("""COMPUTED_VALUE"""),"Culminar las obras de mejoramiento al salón comunal frente al parque la Estrada y entregarlo a la comunidad.")</f>
        <v>Culminar las obras de mejoramiento al salón comunal frente al parque la Estrada y entregarlo a la comunidad.</v>
      </c>
      <c r="G1756" s="25" t="str">
        <f ca="1">IFERROR(__xludf.DUMMYFUNCTION("""COMPUTED_VALUE"""),"10. Engativá")</f>
        <v>10. Engativá</v>
      </c>
      <c r="H1756" s="55">
        <f ca="1">IFERROR(__xludf.DUMMYFUNCTION("""COMPUTED_VALUE"""),45107)</f>
        <v>45107</v>
      </c>
      <c r="I1756" s="25" t="str">
        <f ca="1">IFERROR(__xludf.DUMMYFUNCTION("""COMPUTED_VALUE"""),"Delivery Unit")</f>
        <v>Delivery Unit</v>
      </c>
      <c r="J1756" s="55" t="str">
        <f ca="1">IFERROR(__xludf.DUMMYFUNCTION("""COMPUTED_VALUE"""),"Alta")</f>
        <v>Alta</v>
      </c>
      <c r="K1756" s="25">
        <f ca="1">IFERROR(__xludf.DUMMYFUNCTION("""COMPUTED_VALUE"""),59)</f>
        <v>59</v>
      </c>
      <c r="L1756" s="62">
        <f ca="1">IFERROR(__xludf.DUMMYFUNCTION("""COMPUTED_VALUE"""),45077)</f>
        <v>45077</v>
      </c>
      <c r="M1756" s="25" t="str">
        <f ca="1">IFERROR(__xludf.DUMMYFUNCTION("""COMPUTED_VALUE"""),"El salon comunal lleva un avance del 32%, se presupuesta que la obra este terminada en un mes ")</f>
        <v xml:space="preserve">El salon comunal lleva un avance del 32%, se presupuesta que la obra este terminada en un mes </v>
      </c>
      <c r="N1756" s="25"/>
      <c r="O1756" s="25" t="str">
        <f t="shared" ca="1" si="0"/>
        <v>Alcaldía Local</v>
      </c>
      <c r="P1756" s="25" t="str">
        <f t="shared" ca="1" si="2"/>
        <v/>
      </c>
      <c r="Q1756" s="25" t="str">
        <f ca="1">IFERROR(__xludf.DUMMYFUNCTION("""COMPUTED_VALUE"""),"Corto plazo")</f>
        <v>Corto plazo</v>
      </c>
      <c r="R1756" s="25"/>
      <c r="S1756" s="55"/>
      <c r="T1756" s="56"/>
      <c r="U1756" s="25"/>
      <c r="V1756" s="25"/>
      <c r="W1756" s="25"/>
      <c r="X1756" s="25"/>
      <c r="Y1756" s="25"/>
      <c r="Z1756" s="25"/>
    </row>
    <row r="1757" spans="1:26" ht="52.5" customHeight="1" x14ac:dyDescent="0.25">
      <c r="A1757" s="25" t="str">
        <f ca="1">IFERROR(__xludf.DUMMYFUNCTION("""COMPUTED_VALUE"""),"Gobie255")</f>
        <v>Gobie255</v>
      </c>
      <c r="B1757" s="25" t="str">
        <f ca="1">IFERROR(__xludf.DUMMYFUNCTION("""COMPUTED_VALUE"""),"Recorrido Kennedy")</f>
        <v>Recorrido Kennedy</v>
      </c>
      <c r="C1757" s="55">
        <f ca="1">IFERROR(__xludf.DUMMYFUNCTION("""COMPUTED_VALUE"""),45055)</f>
        <v>45055</v>
      </c>
      <c r="D1757" s="25" t="str">
        <f ca="1">IFERROR(__xludf.DUMMYFUNCTION("""COMPUTED_VALUE"""),"Gobierno")</f>
        <v>Gobierno</v>
      </c>
      <c r="E1757" s="25" t="str">
        <f ca="1">IFERROR(__xludf.DUMMYFUNCTION("""COMPUTED_VALUE"""),"Secretaría Distrital de Gobierno")</f>
        <v>Secretaría Distrital de Gobierno</v>
      </c>
      <c r="F1757" s="25" t="str">
        <f ca="1">IFERROR(__xludf.DUMMYFUNCTION("""COMPUTED_VALUE"""),"La SDG en articulación la SDSCJ deberá convocar a los Consejos Locales de Juventud a sostener mesas de trabajo a partir de las cuales se construyan estrategias para la aplicación de la sentencia de consumo en el espacio público.")</f>
        <v>La SDG en articulación la SDSCJ deberá convocar a los Consejos Locales de Juventud a sostener mesas de trabajo a partir de las cuales se construyan estrategias para la aplicación de la sentencia de consumo en el espacio público.</v>
      </c>
      <c r="G1757" s="25" t="str">
        <f ca="1">IFERROR(__xludf.DUMMYFUNCTION("""COMPUTED_VALUE"""),"99. Distrito")</f>
        <v>99. Distrito</v>
      </c>
      <c r="H1757" s="55">
        <f ca="1">IFERROR(__xludf.DUMMYFUNCTION("""COMPUTED_VALUE"""),45107)</f>
        <v>45107</v>
      </c>
      <c r="I1757" s="25" t="str">
        <f ca="1">IFERROR(__xludf.DUMMYFUNCTION("""COMPUTED_VALUE"""),"Delivery Unit")</f>
        <v>Delivery Unit</v>
      </c>
      <c r="J1757" s="55" t="str">
        <f ca="1">IFERROR(__xludf.DUMMYFUNCTION("""COMPUTED_VALUE"""),"Alta")</f>
        <v>Alta</v>
      </c>
      <c r="K1757" s="25">
        <f ca="1">IFERROR(__xludf.DUMMYFUNCTION("""COMPUTED_VALUE"""),52)</f>
        <v>52</v>
      </c>
      <c r="L1757" s="62">
        <f ca="1">IFERROR(__xludf.DUMMYFUNCTION("""COMPUTED_VALUE"""),45077)</f>
        <v>45077</v>
      </c>
      <c r="M1757" s="25" t="str">
        <f ca="1">IFERROR(__xludf.DUMMYFUNCTION("""COMPUTED_VALUE"""),"Desde la Secretaría Distrital de Gobierno se han realizado acercamientos con la organización “Échele cabeza”, y con el Representante a la Cámara, Daniel Carvalho, activista en torno al consumo y con quien se retroalimenta el contenido de la Sentencia de c"&amp;"onsumo en espacio público. 
Asimismo, durante la primera semana de junio de 2023, se realizará mesa de trabajo con la Secretaría Distrital de Seguridad, Convivencia y Justicia (SDSCJ), además de los Consejos Locales y Plataformas de Juventud, con el fin d"&amp;"e construir de manera conjunta la estrategia para la aplicación de la Sentencia de consumo en espacio público. 
Fecha estimada: 
Meses de julio y agosto.
")</f>
        <v xml:space="preserve">Desde la Secretaría Distrital de Gobierno se han realizado acercamientos con la organización “Échele cabeza”, y con el Representante a la Cámara, Daniel Carvalho, activista en torno al consumo y con quien se retroalimenta el contenido de la Sentencia de consumo en espacio público. 
Asimismo, durante la primera semana de junio de 2023, se realizará mesa de trabajo con la Secretaría Distrital de Seguridad, Convivencia y Justicia (SDSCJ), además de los Consejos Locales y Plataformas de Juventud, con el fin de construir de manera conjunta la estrategia para la aplicación de la Sentencia de consumo en espacio público. 
Fecha estimada: 
Meses de julio y agosto.
</v>
      </c>
      <c r="N1757" s="25"/>
      <c r="O1757" s="25" t="str">
        <f t="shared" ca="1" si="0"/>
        <v>Secretaría Distrital de Gobierno</v>
      </c>
      <c r="P1757" s="25" t="str">
        <f t="shared" ca="1" si="2"/>
        <v/>
      </c>
      <c r="Q1757" s="25" t="str">
        <f ca="1">IFERROR(__xludf.DUMMYFUNCTION("""COMPUTED_VALUE"""),"Corto plazo")</f>
        <v>Corto plazo</v>
      </c>
      <c r="R1757" s="25"/>
      <c r="S1757" s="55"/>
      <c r="T1757" s="56"/>
      <c r="U1757" s="25"/>
      <c r="V1757" s="25"/>
      <c r="W1757" s="25"/>
      <c r="X1757" s="25"/>
      <c r="Y1757" s="25"/>
      <c r="Z1757" s="25"/>
    </row>
    <row r="1758" spans="1:26" ht="52.5" customHeight="1" x14ac:dyDescent="0.25">
      <c r="A1758" s="25" t="str">
        <f ca="1">IFERROR(__xludf.DUMMYFUNCTION("""COMPUTED_VALUE"""),"Gobie256")</f>
        <v>Gobie256</v>
      </c>
      <c r="B1758" s="25" t="str">
        <f ca="1">IFERROR(__xludf.DUMMYFUNCTION("""COMPUTED_VALUE"""),"Recorrido Kennedy")</f>
        <v>Recorrido Kennedy</v>
      </c>
      <c r="C1758" s="55">
        <f ca="1">IFERROR(__xludf.DUMMYFUNCTION("""COMPUTED_VALUE"""),45055)</f>
        <v>45055</v>
      </c>
      <c r="D1758" s="25" t="str">
        <f ca="1">IFERROR(__xludf.DUMMYFUNCTION("""COMPUTED_VALUE"""),"Gobierno")</f>
        <v>Gobierno</v>
      </c>
      <c r="E1758" s="25" t="str">
        <f ca="1">IFERROR(__xludf.DUMMYFUNCTION("""COMPUTED_VALUE"""),"Secretaría Distrital de Gobierno")</f>
        <v>Secretaría Distrital de Gobierno</v>
      </c>
      <c r="F1758" s="25" t="str">
        <f ca="1">IFERROR(__xludf.DUMMYFUNCTION("""COMPUTED_VALUE"""),"Brindar a las personas que realizan labores sexuales pagas en la localidad, orientación pedagógica sobre los canales de atención y denuncia ante posibles hechos de abuso policial. Así mismo, otorgar atención a los casos que se denuncien al respecto.")</f>
        <v>Brindar a las personas que realizan labores sexuales pagas en la localidad, orientación pedagógica sobre los canales de atención y denuncia ante posibles hechos de abuso policial. Así mismo, otorgar atención a los casos que se denuncien al respecto.</v>
      </c>
      <c r="G1758" s="25" t="str">
        <f ca="1">IFERROR(__xludf.DUMMYFUNCTION("""COMPUTED_VALUE"""),"08. Kennedy")</f>
        <v>08. Kennedy</v>
      </c>
      <c r="H1758" s="55">
        <f ca="1">IFERROR(__xludf.DUMMYFUNCTION("""COMPUTED_VALUE"""),45107)</f>
        <v>45107</v>
      </c>
      <c r="I1758" s="25" t="str">
        <f ca="1">IFERROR(__xludf.DUMMYFUNCTION("""COMPUTED_VALUE"""),"Delivery Unit")</f>
        <v>Delivery Unit</v>
      </c>
      <c r="J1758" s="55" t="str">
        <f ca="1">IFERROR(__xludf.DUMMYFUNCTION("""COMPUTED_VALUE"""),"Alta")</f>
        <v>Alta</v>
      </c>
      <c r="K1758" s="25">
        <f ca="1">IFERROR(__xludf.DUMMYFUNCTION("""COMPUTED_VALUE"""),52)</f>
        <v>52</v>
      </c>
      <c r="L1758" s="62">
        <f ca="1">IFERROR(__xludf.DUMMYFUNCTION("""COMPUTED_VALUE"""),45077)</f>
        <v>45077</v>
      </c>
      <c r="M1758" s="25" t="str">
        <f ca="1">IFERROR(__xludf.DUMMYFUNCTION("""COMPUTED_VALUE"""),"Desde la dirección de derechos humanos por medio de la Ruta de atención a víctimas de presunto abuso de autoridad por parte de la Fuerza Pública y el equipo territorial, se gestionó que en el comité local de derechos humanos que se desarollaría el 30 de m"&amp;"ayo de 2023 a las 14:00, se incluyera dentro del orden del día la planeación y proyección de una jornada de sensibilización de las rutas de atención para las personas que ejercen actividades sexuales pagadas en Kennedy; esto con el fin de brindar una orie"&amp;"ntación pedagógica integral que permita que la población reconozca la variedad de ofertas de atención con la que cuenta el distrito. Por lo anterior, será en el comité local que se defina el día de la socialización que se espera sea en junio.")</f>
        <v>Desde la dirección de derechos humanos por medio de la Ruta de atención a víctimas de presunto abuso de autoridad por parte de la Fuerza Pública y el equipo territorial, se gestionó que en el comité local de derechos humanos que se desarollaría el 30 de mayo de 2023 a las 14:00, se incluyera dentro del orden del día la planeación y proyección de una jornada de sensibilización de las rutas de atención para las personas que ejercen actividades sexuales pagadas en Kennedy; esto con el fin de brindar una orientación pedagógica integral que permita que la población reconozca la variedad de ofertas de atención con la que cuenta el distrito. Por lo anterior, será en el comité local que se defina el día de la socialización que se espera sea en junio.</v>
      </c>
      <c r="N1758" s="25"/>
      <c r="O1758" s="25" t="str">
        <f t="shared" ca="1" si="0"/>
        <v>Secretaría Distrital de Gobierno</v>
      </c>
      <c r="P1758" s="25" t="str">
        <f t="shared" ca="1" si="2"/>
        <v/>
      </c>
      <c r="Q1758" s="25" t="str">
        <f ca="1">IFERROR(__xludf.DUMMYFUNCTION("""COMPUTED_VALUE"""),"Corto plazo")</f>
        <v>Corto plazo</v>
      </c>
      <c r="R1758" s="25"/>
      <c r="S1758" s="55"/>
      <c r="T1758" s="56"/>
      <c r="U1758" s="25"/>
      <c r="V1758" s="25"/>
      <c r="W1758" s="25"/>
      <c r="X1758" s="25"/>
      <c r="Y1758" s="25"/>
      <c r="Z1758" s="25"/>
    </row>
    <row r="1759" spans="1:26" ht="52.5" customHeight="1" x14ac:dyDescent="0.25">
      <c r="A1759" s="25" t="str">
        <f ca="1">IFERROR(__xludf.DUMMYFUNCTION("""COMPUTED_VALUE"""),"Gobie257")</f>
        <v>Gobie257</v>
      </c>
      <c r="B1759" s="25" t="str">
        <f ca="1">IFERROR(__xludf.DUMMYFUNCTION("""COMPUTED_VALUE"""),"bici recorrido ciudadela educativa y del cuidado")</f>
        <v>bici recorrido ciudadela educativa y del cuidado</v>
      </c>
      <c r="C1759" s="55">
        <f ca="1">IFERROR(__xludf.DUMMYFUNCTION("""COMPUTED_VALUE"""),45010)</f>
        <v>45010</v>
      </c>
      <c r="D1759" s="25" t="str">
        <f ca="1">IFERROR(__xludf.DUMMYFUNCTION("""COMPUTED_VALUE"""),"Gobierno")</f>
        <v>Gobierno</v>
      </c>
      <c r="E1759" s="25" t="str">
        <f ca="1">IFERROR(__xludf.DUMMYFUNCTION("""COMPUTED_VALUE"""),"Alcaldía Local")</f>
        <v>Alcaldía Local</v>
      </c>
      <c r="F1759" s="25" t="str">
        <f ca="1">IFERROR(__xludf.DUMMYFUNCTION("""COMPUTED_VALUE"""),"Realizar ejercicio de control y recuperación de predio ubicado en las coordenadas de maps: 4.7201100,-74.1032160 entre el DADEP, SDM, Alcaldía local de Engativá e inspección de policía")</f>
        <v>Realizar ejercicio de control y recuperación de predio ubicado en las coordenadas de maps: 4.7201100,-74.1032160 entre el DADEP, SDM, Alcaldía local de Engativá e inspección de policía</v>
      </c>
      <c r="G1759" s="25" t="str">
        <f ca="1">IFERROR(__xludf.DUMMYFUNCTION("""COMPUTED_VALUE"""),"10. Engativá")</f>
        <v>10. Engativá</v>
      </c>
      <c r="H1759" s="61">
        <f ca="1">IFERROR(__xludf.DUMMYFUNCTION("""COMPUTED_VALUE"""),45036)</f>
        <v>45036</v>
      </c>
      <c r="I1759" s="25" t="str">
        <f ca="1">IFERROR(__xludf.DUMMYFUNCTION("""COMPUTED_VALUE"""),"Secretaría Privada")</f>
        <v>Secretaría Privada</v>
      </c>
      <c r="J1759" s="55" t="str">
        <f ca="1">IFERROR(__xludf.DUMMYFUNCTION("""COMPUTED_VALUE"""),"Alta")</f>
        <v>Alta</v>
      </c>
      <c r="K1759" s="25">
        <f ca="1">IFERROR(__xludf.DUMMYFUNCTION("""COMPUTED_VALUE"""),26)</f>
        <v>26</v>
      </c>
      <c r="L1759" s="62"/>
      <c r="M1759" s="25" t="str">
        <f ca="1">IFERROR(__xludf.DUMMYFUNCTION("""COMPUTED_VALUE"""),"La ocupación de espacio público ubicada en el RUPI: 1583-3- Barrio Villa Cristina, esta dada por el parqueo de vehiculos en este predio con señalamiento urbanístico de zonas viales y vehiculares, en ese orden de ideas segun el decreto 552 de 2018 el admin"&amp;"istrador de este espacio público es la Secretaría Distrital de Movilidad, en ese orden de ideas es esta entidad la encargada de liderar los operativos de recuperación de espacio público junto con la Alcaldía Local de Engativá en este sector, por esta razó"&amp;"n el DADEP escalo con la Alcaldía Local de Engativá para poder acompañar estos operativos. La Alcaldía manifiesta que estan atentos a la programación que envien desde la Secretaría de Movilidad para atender estas ocupaciónes.
SDM- Desde la secretaría de "&amp;"movilidad se articularán a las entidades pertinentes para realizar el operativo la segunda semana de mayo.")</f>
        <v>La ocupación de espacio público ubicada en el RUPI: 1583-3- Barrio Villa Cristina, esta dada por el parqueo de vehiculos en este predio con señalamiento urbanístico de zonas viales y vehiculares, en ese orden de ideas segun el decreto 552 de 2018 el administrador de este espacio público es la Secretaría Distrital de Movilidad, en ese orden de ideas es esta entidad la encargada de liderar los operativos de recuperación de espacio público junto con la Alcaldía Local de Engativá en este sector, por esta razón el DADEP escalo con la Alcaldía Local de Engativá para poder acompañar estos operativos. La Alcaldía manifiesta que estan atentos a la programación que envien desde la Secretaría de Movilidad para atender estas ocupaciónes.
SDM- Desde la secretaría de movilidad se articularán a las entidades pertinentes para realizar el operativo la segunda semana de mayo.</v>
      </c>
      <c r="N1759" s="25"/>
      <c r="O1759" s="25" t="str">
        <f t="shared" ca="1" si="0"/>
        <v>Alcaldía Local</v>
      </c>
      <c r="P1759" s="25" t="str">
        <f t="shared" ca="1" si="2"/>
        <v/>
      </c>
      <c r="Q1759" s="25" t="str">
        <f ca="1">IFERROR(__xludf.DUMMYFUNCTION("""COMPUTED_VALUE"""),"Corto plazo")</f>
        <v>Corto plazo</v>
      </c>
      <c r="R1759" s="25"/>
      <c r="S1759" s="55"/>
      <c r="T1759" s="56"/>
      <c r="U1759" s="25"/>
      <c r="V1759" s="25"/>
      <c r="W1759" s="25"/>
      <c r="X1759" s="25"/>
      <c r="Y1759" s="25"/>
      <c r="Z1759" s="25"/>
    </row>
    <row r="1760" spans="1:26" ht="52.5" customHeight="1" x14ac:dyDescent="0.25">
      <c r="A1760" s="25" t="str">
        <f ca="1">IFERROR(__xludf.DUMMYFUNCTION("""COMPUTED_VALUE"""),"Gobie258")</f>
        <v>Gobie258</v>
      </c>
      <c r="B1760" s="25" t="str">
        <f ca="1">IFERROR(__xludf.DUMMYFUNCTION("""COMPUTED_VALUE"""),"Recorrido Puente Aranda")</f>
        <v>Recorrido Puente Aranda</v>
      </c>
      <c r="C1760" s="55">
        <f ca="1">IFERROR(__xludf.DUMMYFUNCTION("""COMPUTED_VALUE"""),44971)</f>
        <v>44971</v>
      </c>
      <c r="D1760" s="25" t="str">
        <f ca="1">IFERROR(__xludf.DUMMYFUNCTION("""COMPUTED_VALUE"""),"Gobierno")</f>
        <v>Gobierno</v>
      </c>
      <c r="E1760" s="25" t="str">
        <f ca="1">IFERROR(__xludf.DUMMYFUNCTION("""COMPUTED_VALUE"""),"Alcaldía Local")</f>
        <v>Alcaldía Local</v>
      </c>
      <c r="F1760" s="25" t="str">
        <f ca="1">IFERROR(__xludf.DUMMYFUNCTION("""COMPUTED_VALUE"""),"Obra parque ecológico aguaviva: Instalar cámaras de seguridad con los recursos de los FDL.")</f>
        <v>Obra parque ecológico aguaviva: Instalar cámaras de seguridad con los recursos de los FDL.</v>
      </c>
      <c r="G1760" s="25" t="str">
        <f ca="1">IFERROR(__xludf.DUMMYFUNCTION("""COMPUTED_VALUE"""),"16. Puente Aranda")</f>
        <v>16. Puente Aranda</v>
      </c>
      <c r="H1760" s="55">
        <f ca="1">IFERROR(__xludf.DUMMYFUNCTION("""COMPUTED_VALUE"""),44985)</f>
        <v>44985</v>
      </c>
      <c r="I1760" s="25" t="str">
        <f ca="1">IFERROR(__xludf.DUMMYFUNCTION("""COMPUTED_VALUE"""),"Secretaría Privada")</f>
        <v>Secretaría Privada</v>
      </c>
      <c r="J1760" s="55" t="str">
        <f ca="1">IFERROR(__xludf.DUMMYFUNCTION("""COMPUTED_VALUE"""),"Alta")</f>
        <v>Alta</v>
      </c>
      <c r="K1760" s="25">
        <f ca="1">IFERROR(__xludf.DUMMYFUNCTION("""COMPUTED_VALUE"""),14)</f>
        <v>14</v>
      </c>
      <c r="L1760" s="62">
        <f ca="1">IFERROR(__xludf.DUMMYFUNCTION("""COMPUTED_VALUE"""),45082)</f>
        <v>45082</v>
      </c>
      <c r="M1760" s="25" t="str">
        <f ca="1">IFERROR(__xludf.DUMMYFUNCTION("""COMPUTED_VALUE"""),"Reporte 1 junio 2023:Se suscribió el convenio interadministrativo 299 de 2022 entre el IDRD y el FDLPA por $14 mil millones de pesos para realizar los procesos de contratación de la obra e interventoría. El IDRD se encargo del proceso precontractual en el"&amp;" mes de diciembre del año pasado celebrandose al final el contrato de obra 3408 de 2022 con el Consorcio CCA Zonas Libres y la interventoría mediante el contrato 3443 de 2022 con el Consorcio Santa Elisa 090, con fecha de inicio del 17 de enero de 2023 co"&amp;"n un plazo de ejecución de seis (6) meses.  
A la fecha lleva un porcentaje de avance físico del 35%.
")</f>
        <v xml:space="preserve">Reporte 1 junio 2023:Se suscribió el convenio interadministrativo 299 de 2022 entre el IDRD y el FDLPA por $14 mil millones de pesos para realizar los procesos de contratación de la obra e interventoría. El IDRD se encargo del proceso precontractual en el mes de diciembre del año pasado celebrandose al final el contrato de obra 3408 de 2022 con el Consorcio CCA Zonas Libres y la interventoría mediante el contrato 3443 de 2022 con el Consorcio Santa Elisa 090, con fecha de inicio del 17 de enero de 2023 con un plazo de ejecución de seis (6) meses.  
A la fecha lleva un porcentaje de avance físico del 35%.
</v>
      </c>
      <c r="N1760" s="25"/>
      <c r="O1760" s="25" t="str">
        <f t="shared" ca="1" si="0"/>
        <v>Alcaldía Local</v>
      </c>
      <c r="P1760" s="25" t="str">
        <f t="shared" ca="1" si="2"/>
        <v/>
      </c>
      <c r="Q1760" s="25" t="str">
        <f ca="1">IFERROR(__xludf.DUMMYFUNCTION("""COMPUTED_VALUE"""),"Corto plazo")</f>
        <v>Corto plazo</v>
      </c>
      <c r="R1760" s="25"/>
      <c r="S1760" s="55"/>
      <c r="T1760" s="56"/>
      <c r="U1760" s="25"/>
      <c r="V1760" s="25"/>
      <c r="W1760" s="25"/>
      <c r="X1760" s="25"/>
      <c r="Y1760" s="25"/>
      <c r="Z1760" s="25"/>
    </row>
    <row r="1761" spans="1:26" ht="52.5" customHeight="1" x14ac:dyDescent="0.25">
      <c r="A1761" s="25" t="str">
        <f ca="1">IFERROR(__xludf.DUMMYFUNCTION("""COMPUTED_VALUE"""),"Gobie259")</f>
        <v>Gobie259</v>
      </c>
      <c r="B1761" s="25" t="str">
        <f ca="1">IFERROR(__xludf.DUMMYFUNCTION("""COMPUTED_VALUE"""),"Consejo Local de Gobierno de Ciudad Bolívar")</f>
        <v>Consejo Local de Gobierno de Ciudad Bolívar</v>
      </c>
      <c r="C1761" s="55">
        <f ca="1">IFERROR(__xludf.DUMMYFUNCTION("""COMPUTED_VALUE"""),44595)</f>
        <v>44595</v>
      </c>
      <c r="D1761" s="25" t="str">
        <f ca="1">IFERROR(__xludf.DUMMYFUNCTION("""COMPUTED_VALUE"""),"Gobierno")</f>
        <v>Gobierno</v>
      </c>
      <c r="E1761" s="25" t="str">
        <f ca="1">IFERROR(__xludf.DUMMYFUNCTION("""COMPUTED_VALUE"""),"Alcaldía Local")</f>
        <v>Alcaldía Local</v>
      </c>
      <c r="F1761" s="25" t="str">
        <f ca="1">IFERROR(__xludf.DUMMYFUNCTION("""COMPUTED_VALUE"""),"Revisar la invasión de espacio público en el llamado pulguero, control de venta SPA, basuras, se ha vuelto inseguro")</f>
        <v>Revisar la invasión de espacio público en el llamado pulguero, control de venta SPA, basuras, se ha vuelto inseguro</v>
      </c>
      <c r="G1761" s="25" t="str">
        <f ca="1">IFERROR(__xludf.DUMMYFUNCTION("""COMPUTED_VALUE"""),"19. Ciudad Bolívar")</f>
        <v>19. Ciudad Bolívar</v>
      </c>
      <c r="H1761" s="55">
        <f ca="1">IFERROR(__xludf.DUMMYFUNCTION("""COMPUTED_VALUE"""),44657)</f>
        <v>44657</v>
      </c>
      <c r="I1761" s="25"/>
      <c r="J1761" s="55"/>
      <c r="K1761" s="25">
        <f ca="1">IFERROR(__xludf.DUMMYFUNCTION("""COMPUTED_VALUE"""),62)</f>
        <v>62</v>
      </c>
      <c r="L1761" s="62">
        <f ca="1">IFERROR(__xludf.DUMMYFUNCTION("""COMPUTED_VALUE"""),45077)</f>
        <v>45077</v>
      </c>
      <c r="M1761" s="25" t="str">
        <f ca="1">IFERROR(__xludf.DUMMYFUNCTION("""COMPUTED_VALUE"""),"En la vigencia 2023, el Área de Gestión Policiva Jurídica no se ha realizado operativo de Inspección Vigilancia y Control al sector llamado el Pulguero, sin embargo, el Sector se priorizó en el cronograma de operativo de IVC que adelantará esta Alcaldía L"&amp;"ocal, en el mes de junio del año en curso.")</f>
        <v>En la vigencia 2023, el Área de Gestión Policiva Jurídica no se ha realizado operativo de Inspección Vigilancia y Control al sector llamado el Pulguero, sin embargo, el Sector se priorizó en el cronograma de operativo de IVC que adelantará esta Alcaldía Local, en el mes de junio del año en curso.</v>
      </c>
      <c r="N1761" s="55">
        <f ca="1">IFERROR(__xludf.DUMMYFUNCTION("""COMPUTED_VALUE"""),44926)</f>
        <v>44926</v>
      </c>
      <c r="O1761" s="25" t="str">
        <f t="shared" ca="1" si="0"/>
        <v>Alcaldía Local</v>
      </c>
      <c r="P1761" s="25" t="str">
        <f t="shared" si="2"/>
        <v/>
      </c>
      <c r="Q1761" s="25" t="str">
        <f ca="1">IFERROR(__xludf.DUMMYFUNCTION("""COMPUTED_VALUE"""),"Mediano plazo")</f>
        <v>Mediano plazo</v>
      </c>
      <c r="R1761" s="25"/>
      <c r="S1761" s="55"/>
      <c r="T1761" s="56"/>
      <c r="U1761" s="25"/>
      <c r="V1761" s="25"/>
      <c r="W1761" s="25"/>
      <c r="X1761" s="25"/>
      <c r="Y1761" s="25"/>
      <c r="Z1761" s="25"/>
    </row>
    <row r="1762" spans="1:26" ht="52.5" customHeight="1" x14ac:dyDescent="0.25">
      <c r="A1762" s="25" t="str">
        <f ca="1">IFERROR(__xludf.DUMMYFUNCTION("""COMPUTED_VALUE"""),"Gobie260")</f>
        <v>Gobie260</v>
      </c>
      <c r="B1762" s="25" t="str">
        <f ca="1">IFERROR(__xludf.DUMMYFUNCTION("""COMPUTED_VALUE"""),"Consejo Local de Gobierno de Ciudad Bolívar")</f>
        <v>Consejo Local de Gobierno de Ciudad Bolívar</v>
      </c>
      <c r="C1762" s="55">
        <f ca="1">IFERROR(__xludf.DUMMYFUNCTION("""COMPUTED_VALUE"""),44595)</f>
        <v>44595</v>
      </c>
      <c r="D1762" s="25" t="str">
        <f ca="1">IFERROR(__xludf.DUMMYFUNCTION("""COMPUTED_VALUE"""),"Gobierno")</f>
        <v>Gobierno</v>
      </c>
      <c r="E1762" s="25" t="str">
        <f ca="1">IFERROR(__xludf.DUMMYFUNCTION("""COMPUTED_VALUE"""),"Secretaría Distrital de Gobierno")</f>
        <v>Secretaría Distrital de Gobierno</v>
      </c>
      <c r="F1762" s="25" t="str">
        <f ca="1">IFERROR(__xludf.DUMMYFUNCTION("""COMPUTED_VALUE"""),"Verificar el Plan de Acciones afirmativas de la política Afro de Bogotá porque no conocen las inversiones específicas.")</f>
        <v>Verificar el Plan de Acciones afirmativas de la política Afro de Bogotá porque no conocen las inversiones específicas.</v>
      </c>
      <c r="G1762" s="25" t="str">
        <f ca="1">IFERROR(__xludf.DUMMYFUNCTION("""COMPUTED_VALUE"""),"19. Ciudad Bolívar")</f>
        <v>19. Ciudad Bolívar</v>
      </c>
      <c r="H1762" s="55">
        <f ca="1">IFERROR(__xludf.DUMMYFUNCTION("""COMPUTED_VALUE"""),44712)</f>
        <v>44712</v>
      </c>
      <c r="I1762" s="25"/>
      <c r="J1762" s="55"/>
      <c r="K1762" s="25">
        <f ca="1">IFERROR(__xludf.DUMMYFUNCTION("""COMPUTED_VALUE"""),117)</f>
        <v>117</v>
      </c>
      <c r="L1762" s="62">
        <f ca="1">IFERROR(__xludf.DUMMYFUNCTION("""COMPUTED_VALUE"""),44712)</f>
        <v>44712</v>
      </c>
      <c r="M1762" s="25" t="str">
        <f ca="1">IFERROR(__xludf.DUMMYFUNCTION("""COMPUTED_VALUE"""),"El 31 de mayo se llevó a cabo sesión de seguimiento de los PIAA del Consejo Consultivo de Comunidades Negras, Afrocolombianas, Raizales y Palenqueras, con participación también de todos los sectores en donde se abordará la solicitud que están realizando d"&amp;"esde Ciudad Bolívar.")</f>
        <v>El 31 de mayo se llevó a cabo sesión de seguimiento de los PIAA del Consejo Consultivo de Comunidades Negras, Afrocolombianas, Raizales y Palenqueras, con participación también de todos los sectores en donde se abordará la solicitud que están realizando desde Ciudad Bolívar.</v>
      </c>
      <c r="N1762" s="55">
        <f ca="1">IFERROR(__xludf.DUMMYFUNCTION("""COMPUTED_VALUE"""),44926)</f>
        <v>44926</v>
      </c>
      <c r="O1762" s="25" t="str">
        <f t="shared" ca="1" si="0"/>
        <v>Secretaría Distrital de Gobierno</v>
      </c>
      <c r="P1762" s="25" t="str">
        <f t="shared" si="2"/>
        <v/>
      </c>
      <c r="Q1762" s="25" t="str">
        <f ca="1">IFERROR(__xludf.DUMMYFUNCTION("""COMPUTED_VALUE"""),"Mediano plazo")</f>
        <v>Mediano plazo</v>
      </c>
      <c r="R1762" s="25"/>
      <c r="S1762" s="55"/>
      <c r="T1762" s="56"/>
      <c r="U1762" s="25"/>
      <c r="V1762" s="25"/>
      <c r="W1762" s="25"/>
      <c r="X1762" s="25"/>
      <c r="Y1762" s="25"/>
      <c r="Z1762" s="25"/>
    </row>
    <row r="1763" spans="1:26" ht="52.5" customHeight="1" x14ac:dyDescent="0.25">
      <c r="A1763" s="25" t="str">
        <f ca="1">IFERROR(__xludf.DUMMYFUNCTION("""COMPUTED_VALUE"""),"Gobie261")</f>
        <v>Gobie261</v>
      </c>
      <c r="B1763" s="25" t="str">
        <f ca="1">IFERROR(__xludf.DUMMYFUNCTION("""COMPUTED_VALUE"""),"Recorrido Puente Aranda")</f>
        <v>Recorrido Puente Aranda</v>
      </c>
      <c r="C1763" s="55">
        <f ca="1">IFERROR(__xludf.DUMMYFUNCTION("""COMPUTED_VALUE"""),44971)</f>
        <v>44971</v>
      </c>
      <c r="D1763" s="25" t="str">
        <f ca="1">IFERROR(__xludf.DUMMYFUNCTION("""COMPUTED_VALUE"""),"Gobierno")</f>
        <v>Gobierno</v>
      </c>
      <c r="E1763" s="25" t="str">
        <f ca="1">IFERROR(__xludf.DUMMYFUNCTION("""COMPUTED_VALUE"""),"Secretaría Distrital de Gobierno")</f>
        <v>Secretaría Distrital de Gobierno</v>
      </c>
      <c r="F1763" s="25" t="str">
        <f ca="1">IFERROR(__xludf.DUMMYFUNCTION("""COMPUTED_VALUE"""),"Diseñar con IDU, UMV y Alcaldía Local, un mapa por localidad donde se establezcan las obras de nuevas vías o mantenimiento vial.")</f>
        <v>Diseñar con IDU, UMV y Alcaldía Local, un mapa por localidad donde se establezcan las obras de nuevas vías o mantenimiento vial.</v>
      </c>
      <c r="G1763" s="25" t="str">
        <f ca="1">IFERROR(__xludf.DUMMYFUNCTION("""COMPUTED_VALUE"""),"16. Puente Aranda")</f>
        <v>16. Puente Aranda</v>
      </c>
      <c r="H1763" s="55">
        <f ca="1">IFERROR(__xludf.DUMMYFUNCTION("""COMPUTED_VALUE"""),45000)</f>
        <v>45000</v>
      </c>
      <c r="I1763" s="25" t="str">
        <f ca="1">IFERROR(__xludf.DUMMYFUNCTION("""COMPUTED_VALUE"""),"Jefatura de Gabinete")</f>
        <v>Jefatura de Gabinete</v>
      </c>
      <c r="J1763" s="55" t="str">
        <f ca="1">IFERROR(__xludf.DUMMYFUNCTION("""COMPUTED_VALUE"""),"Alta")</f>
        <v>Alta</v>
      </c>
      <c r="K1763" s="25">
        <f ca="1">IFERROR(__xludf.DUMMYFUNCTION("""COMPUTED_VALUE"""),29)</f>
        <v>29</v>
      </c>
      <c r="L1763" s="62">
        <f ca="1">IFERROR(__xludf.DUMMYFUNCTION("""COMPUTED_VALUE"""),45061)</f>
        <v>45061</v>
      </c>
      <c r="M1763" s="25" t="str">
        <f ca="1">IFERROR(__xludf.DUMMYFUNCTION("""COMPUTED_VALUE"""),"La tarea le quedó a la secretaría de Gobierno. Ya se hizo. ")</f>
        <v xml:space="preserve">La tarea le quedó a la secretaría de Gobierno. Ya se hizo. </v>
      </c>
      <c r="N1763" s="25"/>
      <c r="O1763" s="25" t="str">
        <f t="shared" ca="1" si="0"/>
        <v>Secretaría Distrital de Gobierno</v>
      </c>
      <c r="P1763" s="25" t="str">
        <f t="shared" ca="1" si="2"/>
        <v/>
      </c>
      <c r="Q1763" s="25" t="str">
        <f ca="1">IFERROR(__xludf.DUMMYFUNCTION("""COMPUTED_VALUE"""),"Corto plazo")</f>
        <v>Corto plazo</v>
      </c>
      <c r="R1763" s="25"/>
      <c r="S1763" s="55"/>
      <c r="T1763" s="56"/>
      <c r="U1763" s="25"/>
      <c r="V1763" s="25"/>
      <c r="W1763" s="25"/>
      <c r="X1763" s="25"/>
      <c r="Y1763" s="25"/>
      <c r="Z1763" s="25"/>
    </row>
    <row r="1764" spans="1:26" ht="52.5" customHeight="1" x14ac:dyDescent="0.25">
      <c r="A1764" s="25" t="str">
        <f ca="1">IFERROR(__xludf.DUMMYFUNCTION("""COMPUTED_VALUE"""),"Gobie262")</f>
        <v>Gobie262</v>
      </c>
      <c r="B1764" s="25" t="str">
        <f ca="1">IFERROR(__xludf.DUMMYFUNCTION("""COMPUTED_VALUE"""),"Recorrido Antonio Nariño")</f>
        <v>Recorrido Antonio Nariño</v>
      </c>
      <c r="C1764" s="55">
        <f ca="1">IFERROR(__xludf.DUMMYFUNCTION("""COMPUTED_VALUE"""),44999)</f>
        <v>44999</v>
      </c>
      <c r="D1764" s="25" t="str">
        <f ca="1">IFERROR(__xludf.DUMMYFUNCTION("""COMPUTED_VALUE"""),"Gobierno")</f>
        <v>Gobierno</v>
      </c>
      <c r="E1764" s="25" t="str">
        <f ca="1">IFERROR(__xludf.DUMMYFUNCTION("""COMPUTED_VALUE"""),"Secretaría Distrital de Gobierno")</f>
        <v>Secretaría Distrital de Gobierno</v>
      </c>
      <c r="F1764" s="25" t="str">
        <f ca="1">IFERROR(__xludf.DUMMYFUNCTION("""COMPUTED_VALUE"""),"Disponer materas al ingreso peatonal del canal Fucha para evitar el ingreso de carretas.")</f>
        <v>Disponer materas al ingreso peatonal del canal Fucha para evitar el ingreso de carretas.</v>
      </c>
      <c r="G1764" s="25" t="str">
        <f ca="1">IFERROR(__xludf.DUMMYFUNCTION("""COMPUTED_VALUE"""),"15. Antonio Nariño")</f>
        <v>15. Antonio Nariño</v>
      </c>
      <c r="H1764" s="55">
        <f ca="1">IFERROR(__xludf.DUMMYFUNCTION("""COMPUTED_VALUE"""),45015)</f>
        <v>45015</v>
      </c>
      <c r="I1764" s="25" t="str">
        <f ca="1">IFERROR(__xludf.DUMMYFUNCTION("""COMPUTED_VALUE"""),"Jefatura de Gabinete")</f>
        <v>Jefatura de Gabinete</v>
      </c>
      <c r="J1764" s="55" t="str">
        <f ca="1">IFERROR(__xludf.DUMMYFUNCTION("""COMPUTED_VALUE"""),"Alta")</f>
        <v>Alta</v>
      </c>
      <c r="K1764" s="25">
        <f ca="1">IFERROR(__xludf.DUMMYFUNCTION("""COMPUTED_VALUE"""),16)</f>
        <v>16</v>
      </c>
      <c r="L1764" s="62">
        <f ca="1">IFERROR(__xludf.DUMMYFUNCTION("""COMPUTED_VALUE"""),45061)</f>
        <v>45061</v>
      </c>
      <c r="M1764" s="25" t="str">
        <f ca="1">IFERROR(__xludf.DUMMYFUNCTION("""COMPUTED_VALUE"""),"Juntos Cuidamos Bogotá realizó la jornada de embellecimiento y recuperación del espacio público el 14 de marzo de 2023. La gestión y ubicación de las materas la hizo la Alcaldía Local el día 3 de mayo de 2023. Adicional a la tarea se mejoró el entorno el "&amp;"día 4 de mayo con colocación de césped y lavado con hidrolavadora. ")</f>
        <v xml:space="preserve">Juntos Cuidamos Bogotá realizó la jornada de embellecimiento y recuperación del espacio público el 14 de marzo de 2023. La gestión y ubicación de las materas la hizo la Alcaldía Local el día 3 de mayo de 2023. Adicional a la tarea se mejoró el entorno el día 4 de mayo con colocación de césped y lavado con hidrolavadora. </v>
      </c>
      <c r="N1764" s="25"/>
      <c r="O1764" s="25" t="str">
        <f t="shared" ca="1" si="0"/>
        <v>Secretaría Distrital de Gobierno</v>
      </c>
      <c r="P1764" s="25" t="str">
        <f t="shared" ca="1" si="2"/>
        <v/>
      </c>
      <c r="Q1764" s="25" t="str">
        <f ca="1">IFERROR(__xludf.DUMMYFUNCTION("""COMPUTED_VALUE"""),"Corto plazo")</f>
        <v>Corto plazo</v>
      </c>
      <c r="R1764" s="25"/>
      <c r="S1764" s="55"/>
      <c r="T1764" s="56"/>
      <c r="U1764" s="25"/>
      <c r="V1764" s="25"/>
      <c r="W1764" s="25"/>
      <c r="X1764" s="25"/>
      <c r="Y1764" s="25"/>
      <c r="Z1764" s="25"/>
    </row>
    <row r="1765" spans="1:26" ht="52.5" customHeight="1" x14ac:dyDescent="0.25">
      <c r="A1765" s="25" t="str">
        <f ca="1">IFERROR(__xludf.DUMMYFUNCTION("""COMPUTED_VALUE"""),"Gobie262")</f>
        <v>Gobie262</v>
      </c>
      <c r="B1765" s="25"/>
      <c r="C1765" s="55"/>
      <c r="D1765" s="25" t="str">
        <f ca="1">IFERROR(__xludf.DUMMYFUNCTION("""COMPUTED_VALUE"""),"Gobierno")</f>
        <v>Gobierno</v>
      </c>
      <c r="E1765" s="25"/>
      <c r="F1765" s="25"/>
      <c r="G1765" s="25"/>
      <c r="H1765" s="25"/>
      <c r="I1765" s="25"/>
      <c r="J1765" s="55"/>
      <c r="K1765" s="25" t="str">
        <f ca="1">IFERROR(__xludf.DUMMYFUNCTION("""COMPUTED_VALUE"""),"Definir fecha")</f>
        <v>Definir fecha</v>
      </c>
      <c r="L1765" s="62"/>
      <c r="M1765" s="25"/>
      <c r="N1765" s="25"/>
      <c r="O1765" s="25">
        <f t="shared" si="0"/>
        <v>0</v>
      </c>
      <c r="P1765" s="25" t="str">
        <f t="shared" si="2"/>
        <v/>
      </c>
      <c r="Q1765" s="25" t="str">
        <f ca="1">IFERROR(__xludf.DUMMYFUNCTION("""COMPUTED_VALUE"""),"Sin defenir")</f>
        <v>Sin defenir</v>
      </c>
      <c r="R1765" s="25"/>
      <c r="S1765" s="55"/>
      <c r="T1765" s="56"/>
      <c r="U1765" s="25"/>
      <c r="V1765" s="25"/>
      <c r="W1765" s="25"/>
      <c r="X1765" s="25"/>
      <c r="Y1765" s="25"/>
      <c r="Z1765" s="25"/>
    </row>
    <row r="1766" spans="1:26" ht="52.5" customHeight="1" x14ac:dyDescent="0.25">
      <c r="A1766" s="25" t="str">
        <f ca="1">IFERROR(__xludf.DUMMYFUNCTION("""COMPUTED_VALUE"""),"Gobie263")</f>
        <v>Gobie263</v>
      </c>
      <c r="B1766" s="25"/>
      <c r="C1766" s="55"/>
      <c r="D1766" s="25" t="str">
        <f ca="1">IFERROR(__xludf.DUMMYFUNCTION("""COMPUTED_VALUE"""),"Gobierno")</f>
        <v>Gobierno</v>
      </c>
      <c r="E1766" s="25"/>
      <c r="F1766" s="25"/>
      <c r="G1766" s="25"/>
      <c r="H1766" s="25"/>
      <c r="I1766" s="25"/>
      <c r="J1766" s="55"/>
      <c r="K1766" s="25" t="str">
        <f ca="1">IFERROR(__xludf.DUMMYFUNCTION("""COMPUTED_VALUE"""),"Definir fecha")</f>
        <v>Definir fecha</v>
      </c>
      <c r="L1766" s="62"/>
      <c r="M1766" s="25"/>
      <c r="N1766" s="25"/>
      <c r="O1766" s="25">
        <f t="shared" si="0"/>
        <v>0</v>
      </c>
      <c r="P1766" s="25" t="str">
        <f t="shared" si="2"/>
        <v/>
      </c>
      <c r="Q1766" s="25" t="str">
        <f ca="1">IFERROR(__xludf.DUMMYFUNCTION("""COMPUTED_VALUE"""),"Sin defenir")</f>
        <v>Sin defenir</v>
      </c>
      <c r="R1766" s="25"/>
      <c r="S1766" s="55"/>
      <c r="T1766" s="56"/>
      <c r="U1766" s="25"/>
      <c r="V1766" s="25"/>
      <c r="W1766" s="25"/>
      <c r="X1766" s="25"/>
      <c r="Y1766" s="25"/>
      <c r="Z1766" s="25"/>
    </row>
    <row r="1767" spans="1:26" ht="52.5" customHeight="1" x14ac:dyDescent="0.25">
      <c r="A1767" s="25" t="str">
        <f ca="1">IFERROR(__xludf.DUMMYFUNCTION("""COMPUTED_VALUE"""),"Gobie264")</f>
        <v>Gobie264</v>
      </c>
      <c r="B1767" s="25"/>
      <c r="C1767" s="55"/>
      <c r="D1767" s="25" t="str">
        <f ca="1">IFERROR(__xludf.DUMMYFUNCTION("""COMPUTED_VALUE"""),"Gobierno")</f>
        <v>Gobierno</v>
      </c>
      <c r="E1767" s="25"/>
      <c r="F1767" s="25"/>
      <c r="G1767" s="25"/>
      <c r="H1767" s="25"/>
      <c r="I1767" s="25"/>
      <c r="J1767" s="55"/>
      <c r="K1767" s="25" t="str">
        <f ca="1">IFERROR(__xludf.DUMMYFUNCTION("""COMPUTED_VALUE"""),"Definir fecha")</f>
        <v>Definir fecha</v>
      </c>
      <c r="L1767" s="62"/>
      <c r="M1767" s="25"/>
      <c r="N1767" s="25"/>
      <c r="O1767" s="25">
        <f t="shared" si="0"/>
        <v>0</v>
      </c>
      <c r="P1767" s="25" t="str">
        <f t="shared" si="2"/>
        <v/>
      </c>
      <c r="Q1767" s="25" t="str">
        <f ca="1">IFERROR(__xludf.DUMMYFUNCTION("""COMPUTED_VALUE"""),"Sin defenir")</f>
        <v>Sin defenir</v>
      </c>
      <c r="R1767" s="25"/>
      <c r="S1767" s="55"/>
      <c r="T1767" s="56"/>
      <c r="U1767" s="25"/>
      <c r="V1767" s="25"/>
      <c r="W1767" s="25"/>
      <c r="X1767" s="25"/>
      <c r="Y1767" s="25"/>
      <c r="Z1767" s="25"/>
    </row>
    <row r="1768" spans="1:26" ht="52.5" customHeight="1" x14ac:dyDescent="0.25">
      <c r="A1768" s="25" t="str">
        <f ca="1">IFERROR(__xludf.DUMMYFUNCTION("""COMPUTED_VALUE"""),"Gobie265")</f>
        <v>Gobie265</v>
      </c>
      <c r="B1768" s="25"/>
      <c r="C1768" s="55"/>
      <c r="D1768" s="25" t="str">
        <f ca="1">IFERROR(__xludf.DUMMYFUNCTION("""COMPUTED_VALUE"""),"Gobierno")</f>
        <v>Gobierno</v>
      </c>
      <c r="E1768" s="25"/>
      <c r="F1768" s="25"/>
      <c r="G1768" s="25"/>
      <c r="H1768" s="25"/>
      <c r="I1768" s="25"/>
      <c r="J1768" s="55"/>
      <c r="K1768" s="25" t="str">
        <f ca="1">IFERROR(__xludf.DUMMYFUNCTION("""COMPUTED_VALUE"""),"Definir fecha")</f>
        <v>Definir fecha</v>
      </c>
      <c r="L1768" s="62"/>
      <c r="M1768" s="25"/>
      <c r="N1768" s="25"/>
      <c r="O1768" s="25">
        <f t="shared" si="0"/>
        <v>0</v>
      </c>
      <c r="P1768" s="25" t="str">
        <f t="shared" si="2"/>
        <v/>
      </c>
      <c r="Q1768" s="25" t="str">
        <f ca="1">IFERROR(__xludf.DUMMYFUNCTION("""COMPUTED_VALUE"""),"Sin defenir")</f>
        <v>Sin defenir</v>
      </c>
      <c r="R1768" s="25"/>
      <c r="S1768" s="55"/>
      <c r="T1768" s="56"/>
      <c r="U1768" s="25"/>
      <c r="V1768" s="25"/>
      <c r="W1768" s="25"/>
      <c r="X1768" s="25"/>
      <c r="Y1768" s="25"/>
      <c r="Z1768" s="25"/>
    </row>
    <row r="1769" spans="1:26" ht="52.5" customHeight="1" x14ac:dyDescent="0.25">
      <c r="A1769" s="25" t="str">
        <f ca="1">IFERROR(__xludf.DUMMYFUNCTION("""COMPUTED_VALUE"""),"Gobie266")</f>
        <v>Gobie266</v>
      </c>
      <c r="B1769" s="25"/>
      <c r="C1769" s="55"/>
      <c r="D1769" s="25" t="str">
        <f ca="1">IFERROR(__xludf.DUMMYFUNCTION("""COMPUTED_VALUE"""),"Gobierno")</f>
        <v>Gobierno</v>
      </c>
      <c r="E1769" s="25"/>
      <c r="F1769" s="25"/>
      <c r="G1769" s="25"/>
      <c r="H1769" s="25"/>
      <c r="I1769" s="25"/>
      <c r="J1769" s="55"/>
      <c r="K1769" s="25" t="str">
        <f ca="1">IFERROR(__xludf.DUMMYFUNCTION("""COMPUTED_VALUE"""),"Definir fecha")</f>
        <v>Definir fecha</v>
      </c>
      <c r="L1769" s="62"/>
      <c r="M1769" s="25"/>
      <c r="N1769" s="25"/>
      <c r="O1769" s="25">
        <f t="shared" si="0"/>
        <v>0</v>
      </c>
      <c r="P1769" s="25" t="str">
        <f t="shared" si="2"/>
        <v/>
      </c>
      <c r="Q1769" s="25" t="str">
        <f ca="1">IFERROR(__xludf.DUMMYFUNCTION("""COMPUTED_VALUE"""),"Sin defenir")</f>
        <v>Sin defenir</v>
      </c>
      <c r="R1769" s="25"/>
      <c r="S1769" s="55"/>
      <c r="T1769" s="56"/>
      <c r="U1769" s="25"/>
      <c r="V1769" s="25"/>
      <c r="W1769" s="25"/>
      <c r="X1769" s="25"/>
      <c r="Y1769" s="25"/>
      <c r="Z1769" s="25"/>
    </row>
    <row r="1770" spans="1:26" ht="52.5" customHeight="1" x14ac:dyDescent="0.25">
      <c r="A1770" s="25" t="str">
        <f ca="1">IFERROR(__xludf.DUMMYFUNCTION("""COMPUTED_VALUE"""),"Gobie267")</f>
        <v>Gobie267</v>
      </c>
      <c r="B1770" s="25"/>
      <c r="C1770" s="55"/>
      <c r="D1770" s="25" t="str">
        <f ca="1">IFERROR(__xludf.DUMMYFUNCTION("""COMPUTED_VALUE"""),"Gobierno")</f>
        <v>Gobierno</v>
      </c>
      <c r="E1770" s="25"/>
      <c r="F1770" s="25"/>
      <c r="G1770" s="25"/>
      <c r="H1770" s="25"/>
      <c r="I1770" s="25"/>
      <c r="J1770" s="55"/>
      <c r="K1770" s="25" t="str">
        <f ca="1">IFERROR(__xludf.DUMMYFUNCTION("""COMPUTED_VALUE"""),"Definir fecha")</f>
        <v>Definir fecha</v>
      </c>
      <c r="L1770" s="62"/>
      <c r="M1770" s="25"/>
      <c r="N1770" s="25"/>
      <c r="O1770" s="25">
        <f t="shared" si="0"/>
        <v>0</v>
      </c>
      <c r="P1770" s="25" t="str">
        <f t="shared" si="2"/>
        <v/>
      </c>
      <c r="Q1770" s="25" t="str">
        <f ca="1">IFERROR(__xludf.DUMMYFUNCTION("""COMPUTED_VALUE"""),"Sin defenir")</f>
        <v>Sin defenir</v>
      </c>
      <c r="R1770" s="25"/>
      <c r="S1770" s="55"/>
      <c r="T1770" s="56"/>
      <c r="U1770" s="25"/>
      <c r="V1770" s="25"/>
      <c r="W1770" s="25"/>
      <c r="X1770" s="25"/>
      <c r="Y1770" s="25"/>
      <c r="Z1770" s="25"/>
    </row>
    <row r="1771" spans="1:26" ht="52.5" customHeight="1" x14ac:dyDescent="0.25">
      <c r="A1771" s="25" t="str">
        <f ca="1">IFERROR(__xludf.DUMMYFUNCTION("""COMPUTED_VALUE"""),"Gobie268")</f>
        <v>Gobie268</v>
      </c>
      <c r="B1771" s="25"/>
      <c r="C1771" s="55"/>
      <c r="D1771" s="25" t="str">
        <f ca="1">IFERROR(__xludf.DUMMYFUNCTION("""COMPUTED_VALUE"""),"Gobierno")</f>
        <v>Gobierno</v>
      </c>
      <c r="E1771" s="25"/>
      <c r="F1771" s="25"/>
      <c r="G1771" s="25"/>
      <c r="H1771" s="25"/>
      <c r="I1771" s="25"/>
      <c r="J1771" s="55"/>
      <c r="K1771" s="25" t="str">
        <f ca="1">IFERROR(__xludf.DUMMYFUNCTION("""COMPUTED_VALUE"""),"Definir fecha")</f>
        <v>Definir fecha</v>
      </c>
      <c r="L1771" s="62"/>
      <c r="M1771" s="25"/>
      <c r="N1771" s="25"/>
      <c r="O1771" s="25">
        <f t="shared" si="0"/>
        <v>0</v>
      </c>
      <c r="P1771" s="25" t="str">
        <f t="shared" si="2"/>
        <v/>
      </c>
      <c r="Q1771" s="25" t="str">
        <f ca="1">IFERROR(__xludf.DUMMYFUNCTION("""COMPUTED_VALUE"""),"Sin defenir")</f>
        <v>Sin defenir</v>
      </c>
      <c r="R1771" s="25"/>
      <c r="S1771" s="55"/>
      <c r="T1771" s="56"/>
      <c r="U1771" s="25"/>
      <c r="V1771" s="25"/>
      <c r="W1771" s="25"/>
      <c r="X1771" s="25"/>
      <c r="Y1771" s="25"/>
      <c r="Z1771" s="25"/>
    </row>
    <row r="1772" spans="1:26" ht="52.5" customHeight="1" x14ac:dyDescent="0.25">
      <c r="A1772" s="25" t="str">
        <f ca="1">IFERROR(__xludf.DUMMYFUNCTION("""COMPUTED_VALUE"""),"Gobie269")</f>
        <v>Gobie269</v>
      </c>
      <c r="B1772" s="25"/>
      <c r="C1772" s="55"/>
      <c r="D1772" s="25" t="str">
        <f ca="1">IFERROR(__xludf.DUMMYFUNCTION("""COMPUTED_VALUE"""),"Gobierno")</f>
        <v>Gobierno</v>
      </c>
      <c r="E1772" s="25"/>
      <c r="F1772" s="25"/>
      <c r="G1772" s="25"/>
      <c r="H1772" s="25"/>
      <c r="I1772" s="25"/>
      <c r="J1772" s="55"/>
      <c r="K1772" s="25" t="str">
        <f ca="1">IFERROR(__xludf.DUMMYFUNCTION("""COMPUTED_VALUE"""),"Definir fecha")</f>
        <v>Definir fecha</v>
      </c>
      <c r="L1772" s="62"/>
      <c r="M1772" s="25"/>
      <c r="N1772" s="25"/>
      <c r="O1772" s="25">
        <f t="shared" si="0"/>
        <v>0</v>
      </c>
      <c r="P1772" s="25" t="str">
        <f t="shared" si="2"/>
        <v/>
      </c>
      <c r="Q1772" s="25" t="str">
        <f ca="1">IFERROR(__xludf.DUMMYFUNCTION("""COMPUTED_VALUE"""),"Sin defenir")</f>
        <v>Sin defenir</v>
      </c>
      <c r="R1772" s="25"/>
      <c r="S1772" s="55"/>
      <c r="T1772" s="56"/>
      <c r="U1772" s="25"/>
      <c r="V1772" s="25"/>
      <c r="W1772" s="25"/>
      <c r="X1772" s="25"/>
      <c r="Y1772" s="25"/>
      <c r="Z1772" s="25"/>
    </row>
    <row r="1773" spans="1:26" ht="52.5" customHeight="1" x14ac:dyDescent="0.25">
      <c r="A1773" s="25" t="str">
        <f ca="1">IFERROR(__xludf.DUMMYFUNCTION("""COMPUTED_VALUE"""),"Gobie270")</f>
        <v>Gobie270</v>
      </c>
      <c r="B1773" s="25"/>
      <c r="C1773" s="55"/>
      <c r="D1773" s="25" t="str">
        <f ca="1">IFERROR(__xludf.DUMMYFUNCTION("""COMPUTED_VALUE"""),"Gobierno")</f>
        <v>Gobierno</v>
      </c>
      <c r="E1773" s="25"/>
      <c r="F1773" s="25"/>
      <c r="G1773" s="25"/>
      <c r="H1773" s="25"/>
      <c r="I1773" s="25"/>
      <c r="J1773" s="55"/>
      <c r="K1773" s="25" t="str">
        <f ca="1">IFERROR(__xludf.DUMMYFUNCTION("""COMPUTED_VALUE"""),"Definir fecha")</f>
        <v>Definir fecha</v>
      </c>
      <c r="L1773" s="62"/>
      <c r="M1773" s="25"/>
      <c r="N1773" s="25"/>
      <c r="O1773" s="25">
        <f t="shared" si="0"/>
        <v>0</v>
      </c>
      <c r="P1773" s="25" t="str">
        <f t="shared" si="2"/>
        <v/>
      </c>
      <c r="Q1773" s="25" t="str">
        <f ca="1">IFERROR(__xludf.DUMMYFUNCTION("""COMPUTED_VALUE"""),"Sin defenir")</f>
        <v>Sin defenir</v>
      </c>
      <c r="R1773" s="25"/>
      <c r="S1773" s="55"/>
      <c r="T1773" s="56"/>
      <c r="U1773" s="25"/>
      <c r="V1773" s="25"/>
      <c r="W1773" s="25"/>
      <c r="X1773" s="25"/>
      <c r="Y1773" s="25"/>
      <c r="Z1773" s="25"/>
    </row>
    <row r="1774" spans="1:26" ht="52.5" customHeight="1" x14ac:dyDescent="0.25">
      <c r="A1774" s="25" t="str">
        <f ca="1">IFERROR(__xludf.DUMMYFUNCTION("""COMPUTED_VALUE"""),"Gobie271")</f>
        <v>Gobie271</v>
      </c>
      <c r="B1774" s="25"/>
      <c r="C1774" s="55"/>
      <c r="D1774" s="25" t="str">
        <f ca="1">IFERROR(__xludf.DUMMYFUNCTION("""COMPUTED_VALUE"""),"Gobierno")</f>
        <v>Gobierno</v>
      </c>
      <c r="E1774" s="25"/>
      <c r="F1774" s="25"/>
      <c r="G1774" s="25"/>
      <c r="H1774" s="25"/>
      <c r="I1774" s="25"/>
      <c r="J1774" s="55"/>
      <c r="K1774" s="25" t="str">
        <f ca="1">IFERROR(__xludf.DUMMYFUNCTION("""COMPUTED_VALUE"""),"Definir fecha")</f>
        <v>Definir fecha</v>
      </c>
      <c r="L1774" s="62"/>
      <c r="M1774" s="25"/>
      <c r="N1774" s="25"/>
      <c r="O1774" s="25">
        <f t="shared" si="0"/>
        <v>0</v>
      </c>
      <c r="P1774" s="25" t="str">
        <f t="shared" si="2"/>
        <v/>
      </c>
      <c r="Q1774" s="25" t="str">
        <f ca="1">IFERROR(__xludf.DUMMYFUNCTION("""COMPUTED_VALUE"""),"Sin defenir")</f>
        <v>Sin defenir</v>
      </c>
      <c r="R1774" s="25"/>
      <c r="S1774" s="55"/>
      <c r="T1774" s="56"/>
      <c r="U1774" s="25"/>
      <c r="V1774" s="25"/>
      <c r="W1774" s="25"/>
      <c r="X1774" s="25"/>
      <c r="Y1774" s="25"/>
      <c r="Z1774" s="25"/>
    </row>
    <row r="1775" spans="1:26" ht="52.5" customHeight="1" x14ac:dyDescent="0.25">
      <c r="A1775" s="25" t="str">
        <f ca="1">IFERROR(__xludf.DUMMYFUNCTION("""COMPUTED_VALUE"""),"Gobie272")</f>
        <v>Gobie272</v>
      </c>
      <c r="B1775" s="25"/>
      <c r="C1775" s="55"/>
      <c r="D1775" s="25" t="str">
        <f ca="1">IFERROR(__xludf.DUMMYFUNCTION("""COMPUTED_VALUE"""),"Gobierno")</f>
        <v>Gobierno</v>
      </c>
      <c r="E1775" s="25"/>
      <c r="F1775" s="25"/>
      <c r="G1775" s="25"/>
      <c r="H1775" s="25"/>
      <c r="I1775" s="25"/>
      <c r="J1775" s="55"/>
      <c r="K1775" s="25" t="str">
        <f ca="1">IFERROR(__xludf.DUMMYFUNCTION("""COMPUTED_VALUE"""),"Definir fecha")</f>
        <v>Definir fecha</v>
      </c>
      <c r="L1775" s="62"/>
      <c r="M1775" s="25"/>
      <c r="N1775" s="25"/>
      <c r="O1775" s="25">
        <f t="shared" si="0"/>
        <v>0</v>
      </c>
      <c r="P1775" s="25" t="str">
        <f t="shared" si="2"/>
        <v/>
      </c>
      <c r="Q1775" s="25" t="str">
        <f ca="1">IFERROR(__xludf.DUMMYFUNCTION("""COMPUTED_VALUE"""),"Sin defenir")</f>
        <v>Sin defenir</v>
      </c>
      <c r="R1775" s="25"/>
      <c r="S1775" s="55"/>
      <c r="T1775" s="56"/>
      <c r="U1775" s="25"/>
      <c r="V1775" s="25"/>
      <c r="W1775" s="25"/>
      <c r="X1775" s="25"/>
      <c r="Y1775" s="25"/>
      <c r="Z1775" s="25"/>
    </row>
    <row r="1776" spans="1:26" ht="52.5" customHeight="1" x14ac:dyDescent="0.25">
      <c r="A1776" s="25" t="str">
        <f ca="1">IFERROR(__xludf.DUMMYFUNCTION("""COMPUTED_VALUE"""),"Gobie273")</f>
        <v>Gobie273</v>
      </c>
      <c r="B1776" s="25"/>
      <c r="C1776" s="55"/>
      <c r="D1776" s="25" t="str">
        <f ca="1">IFERROR(__xludf.DUMMYFUNCTION("""COMPUTED_VALUE"""),"Gobierno")</f>
        <v>Gobierno</v>
      </c>
      <c r="E1776" s="25"/>
      <c r="F1776" s="25"/>
      <c r="G1776" s="25"/>
      <c r="H1776" s="25"/>
      <c r="I1776" s="25"/>
      <c r="J1776" s="55"/>
      <c r="K1776" s="25" t="str">
        <f ca="1">IFERROR(__xludf.DUMMYFUNCTION("""COMPUTED_VALUE"""),"Definir fecha")</f>
        <v>Definir fecha</v>
      </c>
      <c r="L1776" s="62"/>
      <c r="M1776" s="25"/>
      <c r="N1776" s="25"/>
      <c r="O1776" s="25">
        <f t="shared" si="0"/>
        <v>0</v>
      </c>
      <c r="P1776" s="25" t="str">
        <f t="shared" si="2"/>
        <v/>
      </c>
      <c r="Q1776" s="25" t="str">
        <f ca="1">IFERROR(__xludf.DUMMYFUNCTION("""COMPUTED_VALUE"""),"Sin defenir")</f>
        <v>Sin defenir</v>
      </c>
      <c r="R1776" s="25"/>
      <c r="S1776" s="55"/>
      <c r="T1776" s="56"/>
      <c r="U1776" s="25"/>
      <c r="V1776" s="25"/>
      <c r="W1776" s="25"/>
      <c r="X1776" s="25"/>
      <c r="Y1776" s="25"/>
      <c r="Z1776" s="25"/>
    </row>
    <row r="1777" spans="1:26" ht="52.5" customHeight="1" x14ac:dyDescent="0.25">
      <c r="A1777" s="25" t="str">
        <f ca="1">IFERROR(__xludf.DUMMYFUNCTION("""COMPUTED_VALUE"""),"Gobie274")</f>
        <v>Gobie274</v>
      </c>
      <c r="B1777" s="25"/>
      <c r="C1777" s="55"/>
      <c r="D1777" s="25" t="str">
        <f ca="1">IFERROR(__xludf.DUMMYFUNCTION("""COMPUTED_VALUE"""),"Gobierno")</f>
        <v>Gobierno</v>
      </c>
      <c r="E1777" s="25"/>
      <c r="F1777" s="25"/>
      <c r="G1777" s="25"/>
      <c r="H1777" s="25"/>
      <c r="I1777" s="25"/>
      <c r="J1777" s="55"/>
      <c r="K1777" s="25" t="str">
        <f ca="1">IFERROR(__xludf.DUMMYFUNCTION("""COMPUTED_VALUE"""),"Definir fecha")</f>
        <v>Definir fecha</v>
      </c>
      <c r="L1777" s="62"/>
      <c r="M1777" s="25"/>
      <c r="N1777" s="25"/>
      <c r="O1777" s="25">
        <f t="shared" si="0"/>
        <v>0</v>
      </c>
      <c r="P1777" s="25" t="str">
        <f t="shared" si="2"/>
        <v/>
      </c>
      <c r="Q1777" s="25" t="str">
        <f ca="1">IFERROR(__xludf.DUMMYFUNCTION("""COMPUTED_VALUE"""),"Sin defenir")</f>
        <v>Sin defenir</v>
      </c>
      <c r="R1777" s="25"/>
      <c r="S1777" s="55"/>
      <c r="T1777" s="56"/>
      <c r="U1777" s="25"/>
      <c r="V1777" s="25"/>
      <c r="W1777" s="25"/>
      <c r="X1777" s="25"/>
      <c r="Y1777" s="25"/>
      <c r="Z1777" s="25"/>
    </row>
    <row r="1778" spans="1:26" ht="52.5" customHeight="1" x14ac:dyDescent="0.25">
      <c r="A1778" s="25" t="str">
        <f ca="1">IFERROR(__xludf.DUMMYFUNCTION("""COMPUTED_VALUE"""),"Gobie275")</f>
        <v>Gobie275</v>
      </c>
      <c r="B1778" s="25"/>
      <c r="C1778" s="55"/>
      <c r="D1778" s="25" t="str">
        <f ca="1">IFERROR(__xludf.DUMMYFUNCTION("""COMPUTED_VALUE"""),"Gobierno")</f>
        <v>Gobierno</v>
      </c>
      <c r="E1778" s="25"/>
      <c r="F1778" s="25"/>
      <c r="G1778" s="25"/>
      <c r="H1778" s="25"/>
      <c r="I1778" s="25"/>
      <c r="J1778" s="55"/>
      <c r="K1778" s="25" t="str">
        <f ca="1">IFERROR(__xludf.DUMMYFUNCTION("""COMPUTED_VALUE"""),"Definir fecha")</f>
        <v>Definir fecha</v>
      </c>
      <c r="L1778" s="62"/>
      <c r="M1778" s="25"/>
      <c r="N1778" s="25"/>
      <c r="O1778" s="25">
        <f t="shared" si="0"/>
        <v>0</v>
      </c>
      <c r="P1778" s="25" t="str">
        <f t="shared" si="2"/>
        <v/>
      </c>
      <c r="Q1778" s="25" t="str">
        <f ca="1">IFERROR(__xludf.DUMMYFUNCTION("""COMPUTED_VALUE"""),"Sin defenir")</f>
        <v>Sin defenir</v>
      </c>
      <c r="R1778" s="25"/>
      <c r="S1778" s="55"/>
      <c r="T1778" s="56"/>
      <c r="U1778" s="25"/>
      <c r="V1778" s="25"/>
      <c r="W1778" s="25"/>
      <c r="X1778" s="25"/>
      <c r="Y1778" s="25"/>
      <c r="Z1778" s="25"/>
    </row>
    <row r="1779" spans="1:26" ht="52.5" customHeight="1" x14ac:dyDescent="0.25">
      <c r="A1779" s="25" t="str">
        <f ca="1">IFERROR(__xludf.DUMMYFUNCTION("""COMPUTED_VALUE"""),"Gobie276")</f>
        <v>Gobie276</v>
      </c>
      <c r="B1779" s="25"/>
      <c r="C1779" s="55"/>
      <c r="D1779" s="25" t="str">
        <f ca="1">IFERROR(__xludf.DUMMYFUNCTION("""COMPUTED_VALUE"""),"Gobierno")</f>
        <v>Gobierno</v>
      </c>
      <c r="E1779" s="25"/>
      <c r="F1779" s="25"/>
      <c r="G1779" s="25"/>
      <c r="H1779" s="25"/>
      <c r="I1779" s="25"/>
      <c r="J1779" s="55"/>
      <c r="K1779" s="25" t="str">
        <f ca="1">IFERROR(__xludf.DUMMYFUNCTION("""COMPUTED_VALUE"""),"Definir fecha")</f>
        <v>Definir fecha</v>
      </c>
      <c r="L1779" s="62"/>
      <c r="M1779" s="25"/>
      <c r="N1779" s="25"/>
      <c r="O1779" s="25">
        <f t="shared" si="0"/>
        <v>0</v>
      </c>
      <c r="P1779" s="25" t="str">
        <f t="shared" si="2"/>
        <v/>
      </c>
      <c r="Q1779" s="25" t="str">
        <f ca="1">IFERROR(__xludf.DUMMYFUNCTION("""COMPUTED_VALUE"""),"Sin defenir")</f>
        <v>Sin defenir</v>
      </c>
      <c r="R1779" s="25"/>
      <c r="S1779" s="55"/>
      <c r="T1779" s="56"/>
      <c r="U1779" s="25"/>
      <c r="V1779" s="25"/>
      <c r="W1779" s="25"/>
      <c r="X1779" s="25"/>
      <c r="Y1779" s="25"/>
      <c r="Z1779" s="25"/>
    </row>
    <row r="1780" spans="1:26" ht="52.5" customHeight="1" x14ac:dyDescent="0.25">
      <c r="A1780" s="25" t="str">
        <f ca="1">IFERROR(__xludf.DUMMYFUNCTION("""COMPUTED_VALUE"""),"Gobie277")</f>
        <v>Gobie277</v>
      </c>
      <c r="B1780" s="25"/>
      <c r="C1780" s="55"/>
      <c r="D1780" s="25" t="str">
        <f ca="1">IFERROR(__xludf.DUMMYFUNCTION("""COMPUTED_VALUE"""),"Gobierno")</f>
        <v>Gobierno</v>
      </c>
      <c r="E1780" s="25"/>
      <c r="F1780" s="25"/>
      <c r="G1780" s="25"/>
      <c r="H1780" s="25"/>
      <c r="I1780" s="25"/>
      <c r="J1780" s="55"/>
      <c r="K1780" s="25" t="str">
        <f ca="1">IFERROR(__xludf.DUMMYFUNCTION("""COMPUTED_VALUE"""),"Definir fecha")</f>
        <v>Definir fecha</v>
      </c>
      <c r="L1780" s="62"/>
      <c r="M1780" s="25"/>
      <c r="N1780" s="25"/>
      <c r="O1780" s="25">
        <f t="shared" si="0"/>
        <v>0</v>
      </c>
      <c r="P1780" s="25" t="str">
        <f t="shared" si="2"/>
        <v/>
      </c>
      <c r="Q1780" s="25" t="str">
        <f ca="1">IFERROR(__xludf.DUMMYFUNCTION("""COMPUTED_VALUE"""),"Sin defenir")</f>
        <v>Sin defenir</v>
      </c>
      <c r="R1780" s="25"/>
      <c r="S1780" s="55"/>
      <c r="T1780" s="56"/>
      <c r="U1780" s="25"/>
      <c r="V1780" s="25"/>
      <c r="W1780" s="25"/>
      <c r="X1780" s="25"/>
      <c r="Y1780" s="25"/>
      <c r="Z1780" s="25"/>
    </row>
    <row r="1781" spans="1:26" ht="52.5" customHeight="1" x14ac:dyDescent="0.25">
      <c r="A1781" s="25" t="str">
        <f ca="1">IFERROR(__xludf.DUMMYFUNCTION("""COMPUTED_VALUE"""),"Gobie278")</f>
        <v>Gobie278</v>
      </c>
      <c r="B1781" s="25"/>
      <c r="C1781" s="55"/>
      <c r="D1781" s="25" t="str">
        <f ca="1">IFERROR(__xludf.DUMMYFUNCTION("""COMPUTED_VALUE"""),"Gobierno")</f>
        <v>Gobierno</v>
      </c>
      <c r="E1781" s="25"/>
      <c r="F1781" s="25"/>
      <c r="G1781" s="25"/>
      <c r="H1781" s="25"/>
      <c r="I1781" s="25"/>
      <c r="J1781" s="55"/>
      <c r="K1781" s="25" t="str">
        <f ca="1">IFERROR(__xludf.DUMMYFUNCTION("""COMPUTED_VALUE"""),"Definir fecha")</f>
        <v>Definir fecha</v>
      </c>
      <c r="L1781" s="62"/>
      <c r="M1781" s="25"/>
      <c r="N1781" s="25"/>
      <c r="O1781" s="25">
        <f t="shared" si="0"/>
        <v>0</v>
      </c>
      <c r="P1781" s="25" t="str">
        <f t="shared" si="2"/>
        <v/>
      </c>
      <c r="Q1781" s="25" t="str">
        <f ca="1">IFERROR(__xludf.DUMMYFUNCTION("""COMPUTED_VALUE"""),"Sin defenir")</f>
        <v>Sin defenir</v>
      </c>
      <c r="R1781" s="25"/>
      <c r="S1781" s="55"/>
      <c r="T1781" s="56"/>
      <c r="U1781" s="25"/>
      <c r="V1781" s="25"/>
      <c r="W1781" s="25"/>
      <c r="X1781" s="25"/>
      <c r="Y1781" s="25"/>
      <c r="Z1781" s="25"/>
    </row>
    <row r="1782" spans="1:26" ht="52.5" customHeight="1" x14ac:dyDescent="0.25">
      <c r="A1782" s="25" t="str">
        <f ca="1">IFERROR(__xludf.DUMMYFUNCTION("""COMPUTED_VALUE"""),"Gobie279")</f>
        <v>Gobie279</v>
      </c>
      <c r="B1782" s="25"/>
      <c r="C1782" s="55"/>
      <c r="D1782" s="25" t="str">
        <f ca="1">IFERROR(__xludf.DUMMYFUNCTION("""COMPUTED_VALUE"""),"Gobierno")</f>
        <v>Gobierno</v>
      </c>
      <c r="E1782" s="25"/>
      <c r="F1782" s="25"/>
      <c r="G1782" s="25"/>
      <c r="H1782" s="25"/>
      <c r="I1782" s="25"/>
      <c r="J1782" s="55"/>
      <c r="K1782" s="25" t="str">
        <f ca="1">IFERROR(__xludf.DUMMYFUNCTION("""COMPUTED_VALUE"""),"Definir fecha")</f>
        <v>Definir fecha</v>
      </c>
      <c r="L1782" s="62"/>
      <c r="M1782" s="25"/>
      <c r="N1782" s="25"/>
      <c r="O1782" s="25">
        <f t="shared" si="0"/>
        <v>0</v>
      </c>
      <c r="P1782" s="25" t="str">
        <f t="shared" si="2"/>
        <v/>
      </c>
      <c r="Q1782" s="25" t="str">
        <f ca="1">IFERROR(__xludf.DUMMYFUNCTION("""COMPUTED_VALUE"""),"Sin defenir")</f>
        <v>Sin defenir</v>
      </c>
      <c r="R1782" s="25"/>
      <c r="S1782" s="55"/>
      <c r="T1782" s="56"/>
      <c r="U1782" s="25"/>
      <c r="V1782" s="25"/>
      <c r="W1782" s="25"/>
      <c r="X1782" s="25"/>
      <c r="Y1782" s="25"/>
      <c r="Z1782" s="25"/>
    </row>
    <row r="1783" spans="1:26" ht="52.5" customHeight="1" x14ac:dyDescent="0.25">
      <c r="A1783" s="25" t="str">
        <f ca="1">IFERROR(__xludf.DUMMYFUNCTION("""COMPUTED_VALUE"""),"Gobie280")</f>
        <v>Gobie280</v>
      </c>
      <c r="B1783" s="25"/>
      <c r="C1783" s="55"/>
      <c r="D1783" s="25" t="str">
        <f ca="1">IFERROR(__xludf.DUMMYFUNCTION("""COMPUTED_VALUE"""),"Gobierno")</f>
        <v>Gobierno</v>
      </c>
      <c r="E1783" s="25"/>
      <c r="F1783" s="25"/>
      <c r="G1783" s="25"/>
      <c r="H1783" s="25"/>
      <c r="I1783" s="25"/>
      <c r="J1783" s="55"/>
      <c r="K1783" s="25" t="str">
        <f ca="1">IFERROR(__xludf.DUMMYFUNCTION("""COMPUTED_VALUE"""),"Definir fecha")</f>
        <v>Definir fecha</v>
      </c>
      <c r="L1783" s="62"/>
      <c r="M1783" s="25"/>
      <c r="N1783" s="25"/>
      <c r="O1783" s="25">
        <f t="shared" si="0"/>
        <v>0</v>
      </c>
      <c r="P1783" s="25" t="str">
        <f t="shared" si="2"/>
        <v/>
      </c>
      <c r="Q1783" s="25" t="str">
        <f ca="1">IFERROR(__xludf.DUMMYFUNCTION("""COMPUTED_VALUE"""),"Sin defenir")</f>
        <v>Sin defenir</v>
      </c>
      <c r="R1783" s="25"/>
      <c r="S1783" s="55"/>
      <c r="T1783" s="56"/>
      <c r="U1783" s="25"/>
      <c r="V1783" s="25"/>
      <c r="W1783" s="25"/>
      <c r="X1783" s="25"/>
      <c r="Y1783" s="25"/>
      <c r="Z1783" s="25"/>
    </row>
    <row r="1784" spans="1:26" ht="52.5" customHeight="1" x14ac:dyDescent="0.25">
      <c r="A1784" s="25" t="str">
        <f ca="1">IFERROR(__xludf.DUMMYFUNCTION("""COMPUTED_VALUE"""),"Gobie281")</f>
        <v>Gobie281</v>
      </c>
      <c r="B1784" s="25"/>
      <c r="C1784" s="55"/>
      <c r="D1784" s="25" t="str">
        <f ca="1">IFERROR(__xludf.DUMMYFUNCTION("""COMPUTED_VALUE"""),"Gobierno")</f>
        <v>Gobierno</v>
      </c>
      <c r="E1784" s="25"/>
      <c r="F1784" s="25"/>
      <c r="G1784" s="25"/>
      <c r="H1784" s="25"/>
      <c r="I1784" s="25"/>
      <c r="J1784" s="55"/>
      <c r="K1784" s="25" t="str">
        <f ca="1">IFERROR(__xludf.DUMMYFUNCTION("""COMPUTED_VALUE"""),"Definir fecha")</f>
        <v>Definir fecha</v>
      </c>
      <c r="L1784" s="62"/>
      <c r="M1784" s="25"/>
      <c r="N1784" s="25"/>
      <c r="O1784" s="25">
        <f t="shared" si="0"/>
        <v>0</v>
      </c>
      <c r="P1784" s="25" t="str">
        <f t="shared" si="2"/>
        <v/>
      </c>
      <c r="Q1784" s="25" t="str">
        <f ca="1">IFERROR(__xludf.DUMMYFUNCTION("""COMPUTED_VALUE"""),"Sin defenir")</f>
        <v>Sin defenir</v>
      </c>
      <c r="R1784" s="25"/>
      <c r="S1784" s="55"/>
      <c r="T1784" s="56"/>
      <c r="U1784" s="25"/>
      <c r="V1784" s="25"/>
      <c r="W1784" s="25"/>
      <c r="X1784" s="25"/>
      <c r="Y1784" s="25"/>
      <c r="Z1784" s="25"/>
    </row>
    <row r="1785" spans="1:26" ht="52.5" customHeight="1" x14ac:dyDescent="0.25">
      <c r="A1785" s="25" t="str">
        <f ca="1">IFERROR(__xludf.DUMMYFUNCTION("""COMPUTED_VALUE"""),"Gobie282")</f>
        <v>Gobie282</v>
      </c>
      <c r="B1785" s="25"/>
      <c r="C1785" s="55"/>
      <c r="D1785" s="25" t="str">
        <f ca="1">IFERROR(__xludf.DUMMYFUNCTION("""COMPUTED_VALUE"""),"Gobierno")</f>
        <v>Gobierno</v>
      </c>
      <c r="E1785" s="25"/>
      <c r="F1785" s="25"/>
      <c r="G1785" s="25"/>
      <c r="H1785" s="25"/>
      <c r="I1785" s="25"/>
      <c r="J1785" s="55"/>
      <c r="K1785" s="25" t="str">
        <f ca="1">IFERROR(__xludf.DUMMYFUNCTION("""COMPUTED_VALUE"""),"Definir fecha")</f>
        <v>Definir fecha</v>
      </c>
      <c r="L1785" s="62"/>
      <c r="M1785" s="25"/>
      <c r="N1785" s="25"/>
      <c r="O1785" s="25">
        <f t="shared" si="0"/>
        <v>0</v>
      </c>
      <c r="P1785" s="25" t="str">
        <f t="shared" si="2"/>
        <v/>
      </c>
      <c r="Q1785" s="25" t="str">
        <f ca="1">IFERROR(__xludf.DUMMYFUNCTION("""COMPUTED_VALUE"""),"Sin defenir")</f>
        <v>Sin defenir</v>
      </c>
      <c r="R1785" s="25"/>
      <c r="S1785" s="55"/>
      <c r="T1785" s="56"/>
      <c r="U1785" s="25"/>
      <c r="V1785" s="25"/>
      <c r="W1785" s="25"/>
      <c r="X1785" s="25"/>
      <c r="Y1785" s="25"/>
      <c r="Z1785" s="25"/>
    </row>
    <row r="1786" spans="1:26" ht="52.5" customHeight="1" x14ac:dyDescent="0.25">
      <c r="A1786" s="25" t="str">
        <f ca="1">IFERROR(__xludf.DUMMYFUNCTION("""COMPUTED_VALUE"""),"Gobie283")</f>
        <v>Gobie283</v>
      </c>
      <c r="B1786" s="25"/>
      <c r="C1786" s="55"/>
      <c r="D1786" s="25" t="str">
        <f ca="1">IFERROR(__xludf.DUMMYFUNCTION("""COMPUTED_VALUE"""),"Gobierno")</f>
        <v>Gobierno</v>
      </c>
      <c r="E1786" s="25"/>
      <c r="F1786" s="25"/>
      <c r="G1786" s="25"/>
      <c r="H1786" s="25"/>
      <c r="I1786" s="25"/>
      <c r="J1786" s="55"/>
      <c r="K1786" s="25" t="str">
        <f ca="1">IFERROR(__xludf.DUMMYFUNCTION("""COMPUTED_VALUE"""),"Definir fecha")</f>
        <v>Definir fecha</v>
      </c>
      <c r="L1786" s="62"/>
      <c r="M1786" s="25"/>
      <c r="N1786" s="25"/>
      <c r="O1786" s="25">
        <f t="shared" si="0"/>
        <v>0</v>
      </c>
      <c r="P1786" s="25" t="str">
        <f t="shared" si="2"/>
        <v/>
      </c>
      <c r="Q1786" s="25" t="str">
        <f ca="1">IFERROR(__xludf.DUMMYFUNCTION("""COMPUTED_VALUE"""),"Sin defenir")</f>
        <v>Sin defenir</v>
      </c>
      <c r="R1786" s="25"/>
      <c r="S1786" s="55"/>
      <c r="T1786" s="56"/>
      <c r="U1786" s="25"/>
      <c r="V1786" s="25"/>
      <c r="W1786" s="25"/>
      <c r="X1786" s="25"/>
      <c r="Y1786" s="25"/>
      <c r="Z1786" s="25"/>
    </row>
    <row r="1787" spans="1:26" ht="52.5" customHeight="1" x14ac:dyDescent="0.25">
      <c r="A1787" s="25" t="str">
        <f ca="1">IFERROR(__xludf.DUMMYFUNCTION("""COMPUTED_VALUE"""),"Gobie284")</f>
        <v>Gobie284</v>
      </c>
      <c r="B1787" s="25"/>
      <c r="C1787" s="55"/>
      <c r="D1787" s="25" t="str">
        <f ca="1">IFERROR(__xludf.DUMMYFUNCTION("""COMPUTED_VALUE"""),"Gobierno")</f>
        <v>Gobierno</v>
      </c>
      <c r="E1787" s="25"/>
      <c r="F1787" s="25"/>
      <c r="G1787" s="25"/>
      <c r="H1787" s="25"/>
      <c r="I1787" s="25"/>
      <c r="J1787" s="55"/>
      <c r="K1787" s="25" t="str">
        <f ca="1">IFERROR(__xludf.DUMMYFUNCTION("""COMPUTED_VALUE"""),"Definir fecha")</f>
        <v>Definir fecha</v>
      </c>
      <c r="L1787" s="62"/>
      <c r="M1787" s="25"/>
      <c r="N1787" s="25"/>
      <c r="O1787" s="25">
        <f t="shared" si="0"/>
        <v>0</v>
      </c>
      <c r="P1787" s="25" t="str">
        <f t="shared" si="2"/>
        <v/>
      </c>
      <c r="Q1787" s="25" t="str">
        <f ca="1">IFERROR(__xludf.DUMMYFUNCTION("""COMPUTED_VALUE"""),"Sin defenir")</f>
        <v>Sin defenir</v>
      </c>
      <c r="R1787" s="25"/>
      <c r="S1787" s="55"/>
      <c r="T1787" s="56"/>
      <c r="U1787" s="25"/>
      <c r="V1787" s="25"/>
      <c r="W1787" s="25"/>
      <c r="X1787" s="25"/>
      <c r="Y1787" s="25"/>
      <c r="Z1787" s="25"/>
    </row>
    <row r="1788" spans="1:26" ht="52.5" customHeight="1" x14ac:dyDescent="0.25">
      <c r="A1788" s="25" t="str">
        <f ca="1">IFERROR(__xludf.DUMMYFUNCTION("""COMPUTED_VALUE"""),"Gobie285")</f>
        <v>Gobie285</v>
      </c>
      <c r="B1788" s="25"/>
      <c r="C1788" s="55"/>
      <c r="D1788" s="25" t="str">
        <f ca="1">IFERROR(__xludf.DUMMYFUNCTION("""COMPUTED_VALUE"""),"Gobierno")</f>
        <v>Gobierno</v>
      </c>
      <c r="E1788" s="25"/>
      <c r="F1788" s="25"/>
      <c r="G1788" s="25"/>
      <c r="H1788" s="25"/>
      <c r="I1788" s="25"/>
      <c r="J1788" s="55"/>
      <c r="K1788" s="25" t="str">
        <f ca="1">IFERROR(__xludf.DUMMYFUNCTION("""COMPUTED_VALUE"""),"Definir fecha")</f>
        <v>Definir fecha</v>
      </c>
      <c r="L1788" s="62"/>
      <c r="M1788" s="25"/>
      <c r="N1788" s="25"/>
      <c r="O1788" s="25">
        <f t="shared" si="0"/>
        <v>0</v>
      </c>
      <c r="P1788" s="25" t="str">
        <f t="shared" si="2"/>
        <v/>
      </c>
      <c r="Q1788" s="25" t="str">
        <f ca="1">IFERROR(__xludf.DUMMYFUNCTION("""COMPUTED_VALUE"""),"Sin defenir")</f>
        <v>Sin defenir</v>
      </c>
      <c r="R1788" s="25"/>
      <c r="S1788" s="55"/>
      <c r="T1788" s="56"/>
      <c r="U1788" s="25"/>
      <c r="V1788" s="25"/>
      <c r="W1788" s="25"/>
      <c r="X1788" s="25"/>
      <c r="Y1788" s="25"/>
      <c r="Z1788" s="25"/>
    </row>
    <row r="1789" spans="1:26" ht="52.5" customHeight="1" x14ac:dyDescent="0.25">
      <c r="A1789" s="25" t="str">
        <f ca="1">IFERROR(__xludf.DUMMYFUNCTION("""COMPUTED_VALUE"""),"Gobie286")</f>
        <v>Gobie286</v>
      </c>
      <c r="B1789" s="25"/>
      <c r="C1789" s="55"/>
      <c r="D1789" s="25" t="str">
        <f ca="1">IFERROR(__xludf.DUMMYFUNCTION("""COMPUTED_VALUE"""),"Gobierno")</f>
        <v>Gobierno</v>
      </c>
      <c r="E1789" s="25"/>
      <c r="F1789" s="25"/>
      <c r="G1789" s="25"/>
      <c r="H1789" s="25"/>
      <c r="I1789" s="25"/>
      <c r="J1789" s="55"/>
      <c r="K1789" s="25" t="str">
        <f ca="1">IFERROR(__xludf.DUMMYFUNCTION("""COMPUTED_VALUE"""),"Definir fecha")</f>
        <v>Definir fecha</v>
      </c>
      <c r="L1789" s="62"/>
      <c r="M1789" s="25"/>
      <c r="N1789" s="25"/>
      <c r="O1789" s="25">
        <f t="shared" si="0"/>
        <v>0</v>
      </c>
      <c r="P1789" s="25" t="str">
        <f t="shared" si="2"/>
        <v/>
      </c>
      <c r="Q1789" s="25" t="str">
        <f ca="1">IFERROR(__xludf.DUMMYFUNCTION("""COMPUTED_VALUE"""),"Sin defenir")</f>
        <v>Sin defenir</v>
      </c>
      <c r="R1789" s="25"/>
      <c r="S1789" s="55"/>
      <c r="T1789" s="56"/>
      <c r="U1789" s="25"/>
      <c r="V1789" s="25"/>
      <c r="W1789" s="25"/>
      <c r="X1789" s="25"/>
      <c r="Y1789" s="25"/>
      <c r="Z1789" s="25"/>
    </row>
    <row r="1790" spans="1:26" ht="52.5" customHeight="1" x14ac:dyDescent="0.25">
      <c r="A1790" s="25" t="str">
        <f ca="1">IFERROR(__xludf.DUMMYFUNCTION("""COMPUTED_VALUE"""),"Gobie287")</f>
        <v>Gobie287</v>
      </c>
      <c r="B1790" s="25"/>
      <c r="C1790" s="55"/>
      <c r="D1790" s="25" t="str">
        <f ca="1">IFERROR(__xludf.DUMMYFUNCTION("""COMPUTED_VALUE"""),"Gobierno")</f>
        <v>Gobierno</v>
      </c>
      <c r="E1790" s="25"/>
      <c r="F1790" s="25"/>
      <c r="G1790" s="25"/>
      <c r="H1790" s="25"/>
      <c r="I1790" s="25"/>
      <c r="J1790" s="55"/>
      <c r="K1790" s="25" t="str">
        <f ca="1">IFERROR(__xludf.DUMMYFUNCTION("""COMPUTED_VALUE"""),"Definir fecha")</f>
        <v>Definir fecha</v>
      </c>
      <c r="L1790" s="62"/>
      <c r="M1790" s="25"/>
      <c r="N1790" s="25"/>
      <c r="O1790" s="25">
        <f t="shared" si="0"/>
        <v>0</v>
      </c>
      <c r="P1790" s="25" t="str">
        <f t="shared" si="2"/>
        <v/>
      </c>
      <c r="Q1790" s="25" t="str">
        <f ca="1">IFERROR(__xludf.DUMMYFUNCTION("""COMPUTED_VALUE"""),"Sin defenir")</f>
        <v>Sin defenir</v>
      </c>
      <c r="R1790" s="25"/>
      <c r="S1790" s="55"/>
      <c r="T1790" s="56"/>
      <c r="U1790" s="25"/>
      <c r="V1790" s="25"/>
      <c r="W1790" s="25"/>
      <c r="X1790" s="25"/>
      <c r="Y1790" s="25"/>
      <c r="Z1790" s="25"/>
    </row>
    <row r="1791" spans="1:26" ht="52.5" customHeight="1" x14ac:dyDescent="0.25">
      <c r="A1791" s="25" t="str">
        <f ca="1">IFERROR(__xludf.DUMMYFUNCTION("""COMPUTED_VALUE"""),"Gobie288")</f>
        <v>Gobie288</v>
      </c>
      <c r="B1791" s="25"/>
      <c r="C1791" s="55"/>
      <c r="D1791" s="25" t="str">
        <f ca="1">IFERROR(__xludf.DUMMYFUNCTION("""COMPUTED_VALUE"""),"Gobierno")</f>
        <v>Gobierno</v>
      </c>
      <c r="E1791" s="25"/>
      <c r="F1791" s="25"/>
      <c r="G1791" s="25"/>
      <c r="H1791" s="25"/>
      <c r="I1791" s="25"/>
      <c r="J1791" s="55"/>
      <c r="K1791" s="25" t="str">
        <f ca="1">IFERROR(__xludf.DUMMYFUNCTION("""COMPUTED_VALUE"""),"Definir fecha")</f>
        <v>Definir fecha</v>
      </c>
      <c r="L1791" s="62"/>
      <c r="M1791" s="25"/>
      <c r="N1791" s="25"/>
      <c r="O1791" s="25">
        <f t="shared" si="0"/>
        <v>0</v>
      </c>
      <c r="P1791" s="25" t="str">
        <f t="shared" si="2"/>
        <v/>
      </c>
      <c r="Q1791" s="25" t="str">
        <f ca="1">IFERROR(__xludf.DUMMYFUNCTION("""COMPUTED_VALUE"""),"Sin defenir")</f>
        <v>Sin defenir</v>
      </c>
      <c r="R1791" s="25"/>
      <c r="S1791" s="55"/>
      <c r="T1791" s="56"/>
      <c r="U1791" s="25"/>
      <c r="V1791" s="25"/>
      <c r="W1791" s="25"/>
      <c r="X1791" s="25"/>
      <c r="Y1791" s="25"/>
      <c r="Z1791" s="25"/>
    </row>
    <row r="1792" spans="1:26" ht="52.5" customHeight="1" x14ac:dyDescent="0.25">
      <c r="A1792" s="25" t="str">
        <f ca="1">IFERROR(__xludf.DUMMYFUNCTION("""COMPUTED_VALUE"""),"Gobie289")</f>
        <v>Gobie289</v>
      </c>
      <c r="B1792" s="25"/>
      <c r="C1792" s="55"/>
      <c r="D1792" s="25" t="str">
        <f ca="1">IFERROR(__xludf.DUMMYFUNCTION("""COMPUTED_VALUE"""),"Gobierno")</f>
        <v>Gobierno</v>
      </c>
      <c r="E1792" s="25"/>
      <c r="F1792" s="25"/>
      <c r="G1792" s="25"/>
      <c r="H1792" s="25"/>
      <c r="I1792" s="25"/>
      <c r="J1792" s="55"/>
      <c r="K1792" s="25" t="str">
        <f ca="1">IFERROR(__xludf.DUMMYFUNCTION("""COMPUTED_VALUE"""),"Definir fecha")</f>
        <v>Definir fecha</v>
      </c>
      <c r="L1792" s="62"/>
      <c r="M1792" s="25"/>
      <c r="N1792" s="25"/>
      <c r="O1792" s="25">
        <f t="shared" si="0"/>
        <v>0</v>
      </c>
      <c r="P1792" s="25" t="str">
        <f t="shared" si="2"/>
        <v/>
      </c>
      <c r="Q1792" s="25" t="str">
        <f ca="1">IFERROR(__xludf.DUMMYFUNCTION("""COMPUTED_VALUE"""),"Sin defenir")</f>
        <v>Sin defenir</v>
      </c>
      <c r="R1792" s="25"/>
      <c r="S1792" s="55"/>
      <c r="T1792" s="56"/>
      <c r="U1792" s="25"/>
      <c r="V1792" s="25"/>
      <c r="W1792" s="25"/>
      <c r="X1792" s="25"/>
      <c r="Y1792" s="25"/>
      <c r="Z1792" s="25"/>
    </row>
    <row r="1793" spans="1:26" ht="52.5" customHeight="1" x14ac:dyDescent="0.25">
      <c r="A1793" s="25" t="str">
        <f ca="1">IFERROR(__xludf.DUMMYFUNCTION("""COMPUTED_VALUE"""),"Gobie290")</f>
        <v>Gobie290</v>
      </c>
      <c r="B1793" s="25"/>
      <c r="C1793" s="55"/>
      <c r="D1793" s="25" t="str">
        <f ca="1">IFERROR(__xludf.DUMMYFUNCTION("""COMPUTED_VALUE"""),"Gobierno")</f>
        <v>Gobierno</v>
      </c>
      <c r="E1793" s="25"/>
      <c r="F1793" s="25"/>
      <c r="G1793" s="25"/>
      <c r="H1793" s="25"/>
      <c r="I1793" s="25"/>
      <c r="J1793" s="55"/>
      <c r="K1793" s="25" t="str">
        <f ca="1">IFERROR(__xludf.DUMMYFUNCTION("""COMPUTED_VALUE"""),"Definir fecha")</f>
        <v>Definir fecha</v>
      </c>
      <c r="L1793" s="62"/>
      <c r="M1793" s="25"/>
      <c r="N1793" s="25"/>
      <c r="O1793" s="25">
        <f t="shared" si="0"/>
        <v>0</v>
      </c>
      <c r="P1793" s="25" t="str">
        <f t="shared" si="2"/>
        <v/>
      </c>
      <c r="Q1793" s="25" t="str">
        <f ca="1">IFERROR(__xludf.DUMMYFUNCTION("""COMPUTED_VALUE"""),"Sin defenir")</f>
        <v>Sin defenir</v>
      </c>
      <c r="R1793" s="25"/>
      <c r="S1793" s="55"/>
      <c r="T1793" s="56"/>
      <c r="U1793" s="25"/>
      <c r="V1793" s="25"/>
      <c r="W1793" s="25"/>
      <c r="X1793" s="25"/>
      <c r="Y1793" s="25"/>
      <c r="Z1793" s="25"/>
    </row>
    <row r="1794" spans="1:26" ht="52.5" customHeight="1" x14ac:dyDescent="0.25">
      <c r="A1794" s="25" t="str">
        <f ca="1">IFERROR(__xludf.DUMMYFUNCTION("""COMPUTED_VALUE"""),"Gobie291")</f>
        <v>Gobie291</v>
      </c>
      <c r="B1794" s="25"/>
      <c r="C1794" s="55"/>
      <c r="D1794" s="25" t="str">
        <f ca="1">IFERROR(__xludf.DUMMYFUNCTION("""COMPUTED_VALUE"""),"Gobierno")</f>
        <v>Gobierno</v>
      </c>
      <c r="E1794" s="25"/>
      <c r="F1794" s="25"/>
      <c r="G1794" s="25"/>
      <c r="H1794" s="25"/>
      <c r="I1794" s="25"/>
      <c r="J1794" s="55"/>
      <c r="K1794" s="25" t="str">
        <f ca="1">IFERROR(__xludf.DUMMYFUNCTION("""COMPUTED_VALUE"""),"Definir fecha")</f>
        <v>Definir fecha</v>
      </c>
      <c r="L1794" s="62"/>
      <c r="M1794" s="25"/>
      <c r="N1794" s="25"/>
      <c r="O1794" s="25">
        <f t="shared" si="0"/>
        <v>0</v>
      </c>
      <c r="P1794" s="25" t="str">
        <f t="shared" si="2"/>
        <v/>
      </c>
      <c r="Q1794" s="25" t="str">
        <f ca="1">IFERROR(__xludf.DUMMYFUNCTION("""COMPUTED_VALUE"""),"Sin defenir")</f>
        <v>Sin defenir</v>
      </c>
      <c r="R1794" s="25"/>
      <c r="S1794" s="55"/>
      <c r="T1794" s="56"/>
      <c r="U1794" s="25"/>
      <c r="V1794" s="25"/>
      <c r="W1794" s="25"/>
      <c r="X1794" s="25"/>
      <c r="Y1794" s="25"/>
      <c r="Z1794" s="25"/>
    </row>
    <row r="1795" spans="1:26" ht="52.5" customHeight="1" x14ac:dyDescent="0.25">
      <c r="A1795" s="25" t="str">
        <f ca="1">IFERROR(__xludf.DUMMYFUNCTION("""COMPUTED_VALUE"""),"Gobie292")</f>
        <v>Gobie292</v>
      </c>
      <c r="B1795" s="25"/>
      <c r="C1795" s="55"/>
      <c r="D1795" s="25" t="str">
        <f ca="1">IFERROR(__xludf.DUMMYFUNCTION("""COMPUTED_VALUE"""),"Gobierno")</f>
        <v>Gobierno</v>
      </c>
      <c r="E1795" s="25"/>
      <c r="F1795" s="25"/>
      <c r="G1795" s="25"/>
      <c r="H1795" s="25"/>
      <c r="I1795" s="25"/>
      <c r="J1795" s="55"/>
      <c r="K1795" s="25" t="str">
        <f ca="1">IFERROR(__xludf.DUMMYFUNCTION("""COMPUTED_VALUE"""),"Definir fecha")</f>
        <v>Definir fecha</v>
      </c>
      <c r="L1795" s="62"/>
      <c r="M1795" s="25"/>
      <c r="N1795" s="25"/>
      <c r="O1795" s="25">
        <f t="shared" si="0"/>
        <v>0</v>
      </c>
      <c r="P1795" s="25" t="str">
        <f t="shared" si="2"/>
        <v/>
      </c>
      <c r="Q1795" s="25" t="str">
        <f ca="1">IFERROR(__xludf.DUMMYFUNCTION("""COMPUTED_VALUE"""),"Sin defenir")</f>
        <v>Sin defenir</v>
      </c>
      <c r="R1795" s="25"/>
      <c r="S1795" s="55"/>
      <c r="T1795" s="56"/>
      <c r="U1795" s="25"/>
      <c r="V1795" s="25"/>
      <c r="W1795" s="25"/>
      <c r="X1795" s="25"/>
      <c r="Y1795" s="25"/>
      <c r="Z1795" s="25"/>
    </row>
    <row r="1796" spans="1:26" ht="52.5" customHeight="1" x14ac:dyDescent="0.25">
      <c r="A1796" s="25" t="str">
        <f ca="1">IFERROR(__xludf.DUMMYFUNCTION("""COMPUTED_VALUE"""),"Gobie293")</f>
        <v>Gobie293</v>
      </c>
      <c r="B1796" s="25"/>
      <c r="C1796" s="55"/>
      <c r="D1796" s="25" t="str">
        <f ca="1">IFERROR(__xludf.DUMMYFUNCTION("""COMPUTED_VALUE"""),"Gobierno")</f>
        <v>Gobierno</v>
      </c>
      <c r="E1796" s="25"/>
      <c r="F1796" s="25"/>
      <c r="G1796" s="25"/>
      <c r="H1796" s="25"/>
      <c r="I1796" s="25"/>
      <c r="J1796" s="55"/>
      <c r="K1796" s="25" t="str">
        <f ca="1">IFERROR(__xludf.DUMMYFUNCTION("""COMPUTED_VALUE"""),"Definir fecha")</f>
        <v>Definir fecha</v>
      </c>
      <c r="L1796" s="62"/>
      <c r="M1796" s="25"/>
      <c r="N1796" s="25"/>
      <c r="O1796" s="25">
        <f t="shared" si="0"/>
        <v>0</v>
      </c>
      <c r="P1796" s="25" t="str">
        <f t="shared" si="2"/>
        <v/>
      </c>
      <c r="Q1796" s="25" t="str">
        <f ca="1">IFERROR(__xludf.DUMMYFUNCTION("""COMPUTED_VALUE"""),"Sin defenir")</f>
        <v>Sin defenir</v>
      </c>
      <c r="R1796" s="25"/>
      <c r="S1796" s="55"/>
      <c r="T1796" s="56"/>
      <c r="U1796" s="25"/>
      <c r="V1796" s="25"/>
      <c r="W1796" s="25"/>
      <c r="X1796" s="25"/>
      <c r="Y1796" s="25"/>
      <c r="Z1796" s="25"/>
    </row>
    <row r="1797" spans="1:26" ht="52.5" customHeight="1" x14ac:dyDescent="0.25">
      <c r="A1797" s="25" t="str">
        <f ca="1">IFERROR(__xludf.DUMMYFUNCTION("""COMPUTED_VALUE"""),"Gobie294")</f>
        <v>Gobie294</v>
      </c>
      <c r="B1797" s="25"/>
      <c r="C1797" s="55"/>
      <c r="D1797" s="25" t="str">
        <f ca="1">IFERROR(__xludf.DUMMYFUNCTION("""COMPUTED_VALUE"""),"Gobierno")</f>
        <v>Gobierno</v>
      </c>
      <c r="E1797" s="25"/>
      <c r="F1797" s="25"/>
      <c r="G1797" s="25"/>
      <c r="H1797" s="25"/>
      <c r="I1797" s="25"/>
      <c r="J1797" s="55"/>
      <c r="K1797" s="25" t="str">
        <f ca="1">IFERROR(__xludf.DUMMYFUNCTION("""COMPUTED_VALUE"""),"Definir fecha")</f>
        <v>Definir fecha</v>
      </c>
      <c r="L1797" s="62"/>
      <c r="M1797" s="25"/>
      <c r="N1797" s="25"/>
      <c r="O1797" s="25">
        <f t="shared" si="0"/>
        <v>0</v>
      </c>
      <c r="P1797" s="25" t="str">
        <f t="shared" si="2"/>
        <v/>
      </c>
      <c r="Q1797" s="25" t="str">
        <f ca="1">IFERROR(__xludf.DUMMYFUNCTION("""COMPUTED_VALUE"""),"Sin defenir")</f>
        <v>Sin defenir</v>
      </c>
      <c r="R1797" s="25"/>
      <c r="S1797" s="55"/>
      <c r="T1797" s="56"/>
      <c r="U1797" s="25"/>
      <c r="V1797" s="25"/>
      <c r="W1797" s="25"/>
      <c r="X1797" s="25"/>
      <c r="Y1797" s="25"/>
      <c r="Z1797" s="25"/>
    </row>
    <row r="1798" spans="1:26" ht="52.5" customHeight="1" x14ac:dyDescent="0.25">
      <c r="A1798" s="25" t="str">
        <f ca="1">IFERROR(__xludf.DUMMYFUNCTION("""COMPUTED_VALUE"""),"Gobie295")</f>
        <v>Gobie295</v>
      </c>
      <c r="B1798" s="25"/>
      <c r="C1798" s="55"/>
      <c r="D1798" s="25" t="str">
        <f ca="1">IFERROR(__xludf.DUMMYFUNCTION("""COMPUTED_VALUE"""),"Gobierno")</f>
        <v>Gobierno</v>
      </c>
      <c r="E1798" s="25"/>
      <c r="F1798" s="25"/>
      <c r="G1798" s="25"/>
      <c r="H1798" s="25"/>
      <c r="I1798" s="25"/>
      <c r="J1798" s="55"/>
      <c r="K1798" s="25" t="str">
        <f ca="1">IFERROR(__xludf.DUMMYFUNCTION("""COMPUTED_VALUE"""),"Definir fecha")</f>
        <v>Definir fecha</v>
      </c>
      <c r="L1798" s="62"/>
      <c r="M1798" s="25"/>
      <c r="N1798" s="25"/>
      <c r="O1798" s="25">
        <f t="shared" si="0"/>
        <v>0</v>
      </c>
      <c r="P1798" s="25" t="str">
        <f t="shared" si="2"/>
        <v/>
      </c>
      <c r="Q1798" s="25" t="str">
        <f ca="1">IFERROR(__xludf.DUMMYFUNCTION("""COMPUTED_VALUE"""),"Sin defenir")</f>
        <v>Sin defenir</v>
      </c>
      <c r="R1798" s="25"/>
      <c r="S1798" s="55"/>
      <c r="T1798" s="56"/>
      <c r="U1798" s="25"/>
      <c r="V1798" s="25"/>
      <c r="W1798" s="25"/>
      <c r="X1798" s="25"/>
      <c r="Y1798" s="25"/>
      <c r="Z1798" s="25"/>
    </row>
    <row r="1799" spans="1:26" ht="52.5" customHeight="1" x14ac:dyDescent="0.25">
      <c r="A1799" s="25" t="str">
        <f ca="1">IFERROR(__xludf.DUMMYFUNCTION("""COMPUTED_VALUE"""),"Gobie296")</f>
        <v>Gobie296</v>
      </c>
      <c r="B1799" s="25"/>
      <c r="C1799" s="55"/>
      <c r="D1799" s="25" t="str">
        <f ca="1">IFERROR(__xludf.DUMMYFUNCTION("""COMPUTED_VALUE"""),"Gobierno")</f>
        <v>Gobierno</v>
      </c>
      <c r="E1799" s="25"/>
      <c r="F1799" s="25"/>
      <c r="G1799" s="25"/>
      <c r="H1799" s="25"/>
      <c r="I1799" s="25"/>
      <c r="J1799" s="55"/>
      <c r="K1799" s="25" t="str">
        <f ca="1">IFERROR(__xludf.DUMMYFUNCTION("""COMPUTED_VALUE"""),"Definir fecha")</f>
        <v>Definir fecha</v>
      </c>
      <c r="L1799" s="62"/>
      <c r="M1799" s="25"/>
      <c r="N1799" s="25"/>
      <c r="O1799" s="25">
        <f t="shared" si="0"/>
        <v>0</v>
      </c>
      <c r="P1799" s="25" t="str">
        <f t="shared" si="2"/>
        <v/>
      </c>
      <c r="Q1799" s="25" t="str">
        <f ca="1">IFERROR(__xludf.DUMMYFUNCTION("""COMPUTED_VALUE"""),"Sin defenir")</f>
        <v>Sin defenir</v>
      </c>
      <c r="R1799" s="25"/>
      <c r="S1799" s="55"/>
      <c r="T1799" s="56"/>
      <c r="U1799" s="25"/>
      <c r="V1799" s="25"/>
      <c r="W1799" s="25"/>
      <c r="X1799" s="25"/>
      <c r="Y1799" s="25"/>
      <c r="Z1799" s="25"/>
    </row>
    <row r="1800" spans="1:26" ht="52.5" customHeight="1" x14ac:dyDescent="0.25">
      <c r="A1800" s="25" t="str">
        <f ca="1">IFERROR(__xludf.DUMMYFUNCTION("""COMPUTED_VALUE"""),"Gobie297")</f>
        <v>Gobie297</v>
      </c>
      <c r="B1800" s="25"/>
      <c r="C1800" s="55"/>
      <c r="D1800" s="25" t="str">
        <f ca="1">IFERROR(__xludf.DUMMYFUNCTION("""COMPUTED_VALUE"""),"Gobierno")</f>
        <v>Gobierno</v>
      </c>
      <c r="E1800" s="25"/>
      <c r="F1800" s="25"/>
      <c r="G1800" s="25"/>
      <c r="H1800" s="25"/>
      <c r="I1800" s="25"/>
      <c r="J1800" s="55"/>
      <c r="K1800" s="25" t="str">
        <f ca="1">IFERROR(__xludf.DUMMYFUNCTION("""COMPUTED_VALUE"""),"Definir fecha")</f>
        <v>Definir fecha</v>
      </c>
      <c r="L1800" s="62"/>
      <c r="M1800" s="25"/>
      <c r="N1800" s="25"/>
      <c r="O1800" s="25">
        <f t="shared" si="0"/>
        <v>0</v>
      </c>
      <c r="P1800" s="25" t="str">
        <f t="shared" si="2"/>
        <v/>
      </c>
      <c r="Q1800" s="25" t="str">
        <f ca="1">IFERROR(__xludf.DUMMYFUNCTION("""COMPUTED_VALUE"""),"Sin defenir")</f>
        <v>Sin defenir</v>
      </c>
      <c r="R1800" s="25"/>
      <c r="S1800" s="55"/>
      <c r="T1800" s="56"/>
      <c r="U1800" s="25"/>
      <c r="V1800" s="25"/>
      <c r="W1800" s="25"/>
      <c r="X1800" s="25"/>
      <c r="Y1800" s="25"/>
      <c r="Z1800" s="25"/>
    </row>
    <row r="1801" spans="1:26" ht="52.5" customHeight="1" x14ac:dyDescent="0.25">
      <c r="A1801" s="25" t="str">
        <f ca="1">IFERROR(__xludf.DUMMYFUNCTION("""COMPUTED_VALUE"""),"Gobie298")</f>
        <v>Gobie298</v>
      </c>
      <c r="B1801" s="25"/>
      <c r="C1801" s="55"/>
      <c r="D1801" s="25" t="str">
        <f ca="1">IFERROR(__xludf.DUMMYFUNCTION("""COMPUTED_VALUE"""),"Gobierno")</f>
        <v>Gobierno</v>
      </c>
      <c r="E1801" s="25"/>
      <c r="F1801" s="25"/>
      <c r="G1801" s="25"/>
      <c r="H1801" s="25"/>
      <c r="I1801" s="25"/>
      <c r="J1801" s="55"/>
      <c r="K1801" s="25" t="str">
        <f ca="1">IFERROR(__xludf.DUMMYFUNCTION("""COMPUTED_VALUE"""),"Definir fecha")</f>
        <v>Definir fecha</v>
      </c>
      <c r="L1801" s="62"/>
      <c r="M1801" s="25"/>
      <c r="N1801" s="25"/>
      <c r="O1801" s="25">
        <f t="shared" si="0"/>
        <v>0</v>
      </c>
      <c r="P1801" s="25" t="str">
        <f t="shared" si="2"/>
        <v/>
      </c>
      <c r="Q1801" s="25" t="str">
        <f ca="1">IFERROR(__xludf.DUMMYFUNCTION("""COMPUTED_VALUE"""),"Sin defenir")</f>
        <v>Sin defenir</v>
      </c>
      <c r="R1801" s="25"/>
      <c r="S1801" s="55"/>
      <c r="T1801" s="56"/>
      <c r="U1801" s="25"/>
      <c r="V1801" s="25"/>
      <c r="W1801" s="25"/>
      <c r="X1801" s="25"/>
      <c r="Y1801" s="25"/>
      <c r="Z1801" s="25"/>
    </row>
    <row r="1802" spans="1:26" ht="52.5" customHeight="1" x14ac:dyDescent="0.25">
      <c r="A1802" s="25" t="str">
        <f ca="1">IFERROR(__xludf.DUMMYFUNCTION("""COMPUTED_VALUE"""),"Gobie299")</f>
        <v>Gobie299</v>
      </c>
      <c r="B1802" s="25"/>
      <c r="C1802" s="55"/>
      <c r="D1802" s="25" t="str">
        <f ca="1">IFERROR(__xludf.DUMMYFUNCTION("""COMPUTED_VALUE"""),"Gobierno")</f>
        <v>Gobierno</v>
      </c>
      <c r="E1802" s="25"/>
      <c r="F1802" s="25"/>
      <c r="G1802" s="25"/>
      <c r="H1802" s="25"/>
      <c r="I1802" s="25"/>
      <c r="J1802" s="55"/>
      <c r="K1802" s="25" t="str">
        <f ca="1">IFERROR(__xludf.DUMMYFUNCTION("""COMPUTED_VALUE"""),"Definir fecha")</f>
        <v>Definir fecha</v>
      </c>
      <c r="L1802" s="62"/>
      <c r="M1802" s="25"/>
      <c r="N1802" s="25"/>
      <c r="O1802" s="25">
        <f t="shared" si="0"/>
        <v>0</v>
      </c>
      <c r="P1802" s="25" t="str">
        <f t="shared" si="2"/>
        <v/>
      </c>
      <c r="Q1802" s="25" t="str">
        <f ca="1">IFERROR(__xludf.DUMMYFUNCTION("""COMPUTED_VALUE"""),"Sin defenir")</f>
        <v>Sin defenir</v>
      </c>
      <c r="R1802" s="25"/>
      <c r="S1802" s="55"/>
      <c r="T1802" s="56"/>
      <c r="U1802" s="25"/>
      <c r="V1802" s="25"/>
      <c r="W1802" s="25"/>
      <c r="X1802" s="25"/>
      <c r="Y1802" s="25"/>
      <c r="Z1802" s="25"/>
    </row>
    <row r="1803" spans="1:26" ht="52.5" customHeight="1" x14ac:dyDescent="0.25">
      <c r="A1803" s="25" t="str">
        <f ca="1">IFERROR(__xludf.DUMMYFUNCTION("IMPORTRANGE(""https://docs.google.com/spreadsheets/d/1SUh42QDwFP8obN0GNIj4rWfstJx5kDi_GF8-hP5_7Ug/edit#gid=330735094"",""'Desarrollo Económico'!A2:K301"")"),"Desar1")</f>
        <v>Desar1</v>
      </c>
      <c r="B1803" s="25" t="str">
        <f ca="1">IFERROR(__xludf.DUMMYFUNCTION("""COMPUTED_VALUE"""),"Consejo Local de Gobierno de Suba")</f>
        <v>Consejo Local de Gobierno de Suba</v>
      </c>
      <c r="C1803" s="55">
        <f ca="1">IFERROR(__xludf.DUMMYFUNCTION("""COMPUTED_VALUE"""),44630)</f>
        <v>44630</v>
      </c>
      <c r="D1803" s="25" t="str">
        <f ca="1">IFERROR(__xludf.DUMMYFUNCTION("""COMPUTED_VALUE"""),"Desarrollo_Económico")</f>
        <v>Desarrollo_Económico</v>
      </c>
      <c r="E1803" s="25" t="str">
        <f ca="1">IFERROR(__xludf.DUMMYFUNCTION("""COMPUTED_VALUE"""),"Instituto para la Economía Social")</f>
        <v>Instituto para la Economía Social</v>
      </c>
      <c r="F1803" s="25" t="str">
        <f ca="1">IFERROR(__xludf.DUMMYFUNCTION("""COMPUTED_VALUE"""),"Organizar con el consejo distrital de vendedores informales y con todos los consejeros locales un foro y explicarles en detalle el decreto de regulación de cielos abiertos")</f>
        <v>Organizar con el consejo distrital de vendedores informales y con todos los consejeros locales un foro y explicarles en detalle el decreto de regulación de cielos abiertos</v>
      </c>
      <c r="G1803" s="25" t="str">
        <f ca="1">IFERROR(__xludf.DUMMYFUNCTION("""COMPUTED_VALUE"""),"99. Distrito")</f>
        <v>99. Distrito</v>
      </c>
      <c r="H1803" s="55">
        <f ca="1">IFERROR(__xludf.DUMMYFUNCTION("""COMPUTED_VALUE"""),44660)</f>
        <v>44660</v>
      </c>
      <c r="I1803" s="25"/>
      <c r="J1803" s="55" t="str">
        <f ca="1">IFERROR(__xludf.DUMMYFUNCTION("""COMPUTED_VALUE"""),"Alta")</f>
        <v>Alta</v>
      </c>
      <c r="K1803" s="25">
        <f ca="1">IFERROR(__xludf.DUMMYFUNCTION("""COMPUTED_VALUE"""),30)</f>
        <v>30</v>
      </c>
      <c r="L1803" s="62">
        <f ca="1">IFERROR(__xludf.DUMMYFUNCTION("IMPORTRANGE(""https://docs.google.com/spreadsheets/d/1SUh42QDwFP8obN0GNIj4rWfstJx5kDi_GF8-hP5_7Ug/edit#gid=330735094"",""'Desarrollo Económico'!M2:O301"")"),44655)</f>
        <v>44655</v>
      </c>
      <c r="M1803" s="25" t="str">
        <f ca="1">IFERROR(__xludf.DUMMYFUNCTION("""COMPUTED_VALUE"""),"El día 30 de marzo de 2022 a las 2:00pm se realizó foro con los 133 consejeros locales, que incluyen los 19 consejeros distritales de vendedores informales, con la siguiente agenda:
- Socialización Resolución 0245 de 2022 por la cual se establece el proce"&amp;"dimiento de registro Individual de Vendedores informales HEMI-RIVI y proceso de carnetización
- Socialización de la metodología y agenda para la construcción de la Política Pública de Vendedortes Informales 
- Socialización del Decreto 070 por el cual se "&amp;"adopta la estrategia de revitalización del espacio público ""Bogotá a Cielo Abiertto"" y se reglamenta las actividades de aprovechamiento económico del espacio publico del distrito, este punto fue dirigido por la Dirección del DADEP")</f>
        <v>El día 30 de marzo de 2022 a las 2:00pm se realizó foro con los 133 consejeros locales, que incluyen los 19 consejeros distritales de vendedores informales, con la siguiente agenda:
- Socialización Resolución 0245 de 2022 por la cual se establece el procedimiento de registro Individual de Vendedores informales HEMI-RIVI y proceso de carnetización
- Socialización de la metodología y agenda para la construcción de la Política Pública de Vendedortes Informales 
- Socialización del Decreto 070 por el cual se adopta la estrategia de revitalización del espacio público "Bogotá a Cielo Abiertto" y se reglamenta las actividades de aprovechamiento económico del espacio publico del distrito, este punto fue dirigido por la Dirección del DADEP</v>
      </c>
      <c r="N1803" s="55">
        <f ca="1">IFERROR(__xludf.DUMMYFUNCTION("""COMPUTED_VALUE"""),44655)</f>
        <v>44655</v>
      </c>
      <c r="O1803" s="25" t="str">
        <f t="shared" ca="1" si="0"/>
        <v>Instituto para la Economía Social</v>
      </c>
      <c r="P1803" s="25" t="str">
        <f t="shared" si="2"/>
        <v/>
      </c>
      <c r="Q1803" s="25" t="str">
        <f ca="1">IFERROR(__xludf.DUMMYFUNCTION("IMPORTRANGE(""https://docs.google.com/spreadsheets/d/1SUh42QDwFP8obN0GNIj4rWfstJx5kDi_GF8-hP5_7Ug/edit#gid=330735094"",""'Desarrollo Económico'!L2:L301"")"),"Corto plazo")</f>
        <v>Corto plazo</v>
      </c>
      <c r="R1803" s="25"/>
      <c r="S1803" s="55"/>
      <c r="T1803" s="56"/>
      <c r="U1803" s="25"/>
      <c r="V1803" s="25"/>
      <c r="W1803" s="25"/>
      <c r="X1803" s="25"/>
      <c r="Y1803" s="25"/>
      <c r="Z1803" s="25"/>
    </row>
    <row r="1804" spans="1:26" ht="52.5" customHeight="1" x14ac:dyDescent="0.25">
      <c r="A1804" s="25" t="str">
        <f ca="1">IFERROR(__xludf.DUMMYFUNCTION("""COMPUTED_VALUE"""),"Desar2")</f>
        <v>Desar2</v>
      </c>
      <c r="B1804" s="25" t="str">
        <f ca="1">IFERROR(__xludf.DUMMYFUNCTION("""COMPUTED_VALUE"""),"Comisión SIDICU")</f>
        <v>Comisión SIDICU</v>
      </c>
      <c r="C1804" s="55">
        <f ca="1">IFERROR(__xludf.DUMMYFUNCTION("""COMPUTED_VALUE"""),44620)</f>
        <v>44620</v>
      </c>
      <c r="D1804" s="25" t="str">
        <f ca="1">IFERROR(__xludf.DUMMYFUNCTION("""COMPUTED_VALUE"""),"Desarrollo_Económico")</f>
        <v>Desarrollo_Económico</v>
      </c>
      <c r="E1804" s="25" t="str">
        <f ca="1">IFERROR(__xludf.DUMMYFUNCTION("""COMPUTED_VALUE"""),"Secretaría Distrital de Desarrollo Económico")</f>
        <v>Secretaría Distrital de Desarrollo Económico</v>
      </c>
      <c r="F1804" s="25" t="str">
        <f ca="1">IFERROR(__xludf.DUMMYFUNCTION("""COMPUTED_VALUE"""),"Incluir en la señalización de turismo de las manzanas del cuidado y los corredores ecosistémicos (manzanas, patrimonio y corredores ecosistémicos)")</f>
        <v>Incluir en la señalización de turismo de las manzanas del cuidado y los corredores ecosistémicos (manzanas, patrimonio y corredores ecosistémicos)</v>
      </c>
      <c r="G1804" s="25" t="str">
        <f ca="1">IFERROR(__xludf.DUMMYFUNCTION("""COMPUTED_VALUE"""),"99. Distrito")</f>
        <v>99. Distrito</v>
      </c>
      <c r="H1804" s="55">
        <f ca="1">IFERROR(__xludf.DUMMYFUNCTION("""COMPUTED_VALUE"""),44650)</f>
        <v>44650</v>
      </c>
      <c r="I1804" s="25"/>
      <c r="J1804" s="55" t="str">
        <f ca="1">IFERROR(__xludf.DUMMYFUNCTION("""COMPUTED_VALUE"""),"Alta")</f>
        <v>Alta</v>
      </c>
      <c r="K1804" s="25">
        <f ca="1">IFERROR(__xludf.DUMMYFUNCTION("""COMPUTED_VALUE"""),30)</f>
        <v>30</v>
      </c>
      <c r="L1804" s="62">
        <f ca="1">IFERROR(__xludf.DUMMYFUNCTION("""COMPUTED_VALUE"""),44718)</f>
        <v>44718</v>
      </c>
      <c r="M1804" s="25" t="str">
        <f ca="1">IFERROR(__xludf.DUMMYFUNCTION("""COMPUTED_VALUE"""),"Se presentó ante la junta directiva del IDT la señalización Turística en las manzanas del ciudado:
-Centro histórico la Candelaría: 6 señales totém
- Plazas de mercado: 1 señal totém Bosa
-Plazas fundacionales: 2 señales totém (Usme y Bosa)")</f>
        <v>Se presentó ante la junta directiva del IDT la señalización Turística en las manzanas del ciudado:
-Centro histórico la Candelaría: 6 señales totém
- Plazas de mercado: 1 señal totém Bosa
-Plazas fundacionales: 2 señales totém (Usme y Bosa)</v>
      </c>
      <c r="N1804" s="55">
        <f ca="1">IFERROR(__xludf.DUMMYFUNCTION("""COMPUTED_VALUE"""),44718)</f>
        <v>44718</v>
      </c>
      <c r="O1804" s="25" t="str">
        <f t="shared" ca="1" si="0"/>
        <v>Secretaría Distrital de Desarrollo Económico</v>
      </c>
      <c r="P1804" s="25" t="str">
        <f t="shared" si="2"/>
        <v/>
      </c>
      <c r="Q1804" s="25" t="str">
        <f ca="1">IFERROR(__xludf.DUMMYFUNCTION("""COMPUTED_VALUE"""),"Corto plazo")</f>
        <v>Corto plazo</v>
      </c>
      <c r="R1804" s="25"/>
      <c r="S1804" s="55"/>
      <c r="T1804" s="56"/>
      <c r="U1804" s="25"/>
      <c r="V1804" s="25"/>
      <c r="W1804" s="25"/>
      <c r="X1804" s="25"/>
      <c r="Y1804" s="25"/>
      <c r="Z1804" s="25"/>
    </row>
    <row r="1805" spans="1:26" ht="52.5" customHeight="1" x14ac:dyDescent="0.25">
      <c r="A1805" s="25" t="str">
        <f ca="1">IFERROR(__xludf.DUMMYFUNCTION("""COMPUTED_VALUE"""),"Desar3")</f>
        <v>Desar3</v>
      </c>
      <c r="B1805" s="25" t="str">
        <f ca="1">IFERROR(__xludf.DUMMYFUNCTION("""COMPUTED_VALUE"""),"Junta de infraestructura")</f>
        <v>Junta de infraestructura</v>
      </c>
      <c r="C1805" s="55">
        <f ca="1">IFERROR(__xludf.DUMMYFUNCTION("""COMPUTED_VALUE"""),44608)</f>
        <v>44608</v>
      </c>
      <c r="D1805" s="25" t="str">
        <f ca="1">IFERROR(__xludf.DUMMYFUNCTION("""COMPUTED_VALUE"""),"Desarrollo_Económico")</f>
        <v>Desarrollo_Económico</v>
      </c>
      <c r="E1805" s="25" t="str">
        <f ca="1">IFERROR(__xludf.DUMMYFUNCTION("""COMPUTED_VALUE"""),"Secretaría Distrital de Desarrollo Económico")</f>
        <v>Secretaría Distrital de Desarrollo Económico</v>
      </c>
      <c r="F1805" s="25" t="str">
        <f ca="1">IFERROR(__xludf.DUMMYFUNCTION("""COMPUTED_VALUE"""),"Av. 68:
Comité permanente con Secretaría de Desarrollo Económico para poder gestionar sistemáticamente la atención a unidades comerciales.
")</f>
        <v xml:space="preserve">Av. 68:
Comité permanente con Secretaría de Desarrollo Económico para poder gestionar sistemáticamente la atención a unidades comerciales.
</v>
      </c>
      <c r="G1805" s="25" t="str">
        <f ca="1">IFERROR(__xludf.DUMMYFUNCTION("""COMPUTED_VALUE"""),"99. Distrito")</f>
        <v>99. Distrito</v>
      </c>
      <c r="H1805" s="55">
        <f ca="1">IFERROR(__xludf.DUMMYFUNCTION("""COMPUTED_VALUE"""),44638)</f>
        <v>44638</v>
      </c>
      <c r="I1805" s="25"/>
      <c r="J1805" s="55" t="str">
        <f ca="1">IFERROR(__xludf.DUMMYFUNCTION("""COMPUTED_VALUE"""),"Alta")</f>
        <v>Alta</v>
      </c>
      <c r="K1805" s="25">
        <f ca="1">IFERROR(__xludf.DUMMYFUNCTION("""COMPUTED_VALUE"""),30)</f>
        <v>30</v>
      </c>
      <c r="L1805" s="62">
        <f ca="1">IFERROR(__xludf.DUMMYFUNCTION("""COMPUTED_VALUE"""),44718)</f>
        <v>44718</v>
      </c>
      <c r="M1805" s="25" t="str">
        <f ca="1">IFERROR(__xludf.DUMMYFUNCTION("""COMPUTED_VALUE"""),"Proponemos revisión desde la SDDE para que además este compromiso sea atendido por áreas transversales. Adicicionalmente, le pedimos al Delivery que nos proporcione los datos de contacto de la persona del IDU Av. 68 para coordinar una estrategia de trabaj"&amp;"o conjunto. 
Actualización a mayo 25: En aras de cumplir con el compromiso  aquí presente, reiteramos la solicitud de contacto con el ciudadano para avanzar en la propuesta hecha. La Dirección de Desarrollo Empresarial pone a dispocisión su oferta de pro"&amp;"gramas en aras de fortalecer el crecimiento de los emprendimeintos a lredecor de la zona de la Av. 68. ")</f>
        <v xml:space="preserve">Proponemos revisión desde la SDDE para que además este compromiso sea atendido por áreas transversales. Adicicionalmente, le pedimos al Delivery que nos proporcione los datos de contacto de la persona del IDU Av. 68 para coordinar una estrategia de trabajo conjunto. 
Actualización a mayo 25: En aras de cumplir con el compromiso  aquí presente, reiteramos la solicitud de contacto con el ciudadano para avanzar en la propuesta hecha. La Dirección de Desarrollo Empresarial pone a dispocisión su oferta de programas en aras de fortalecer el crecimiento de los emprendimeintos a lredecor de la zona de la Av. 68. </v>
      </c>
      <c r="N1805" s="55">
        <f ca="1">IFERROR(__xludf.DUMMYFUNCTION("""COMPUTED_VALUE"""),44718)</f>
        <v>44718</v>
      </c>
      <c r="O1805" s="25" t="str">
        <f t="shared" ca="1" si="0"/>
        <v>Secretaría Distrital de Desarrollo Económico</v>
      </c>
      <c r="P1805" s="25" t="str">
        <f t="shared" si="2"/>
        <v/>
      </c>
      <c r="Q1805" s="25" t="str">
        <f ca="1">IFERROR(__xludf.DUMMYFUNCTION("""COMPUTED_VALUE"""),"Corto plazo")</f>
        <v>Corto plazo</v>
      </c>
      <c r="R1805" s="25"/>
      <c r="S1805" s="55"/>
      <c r="T1805" s="56"/>
      <c r="U1805" s="25"/>
      <c r="V1805" s="25"/>
      <c r="W1805" s="25"/>
      <c r="X1805" s="25"/>
      <c r="Y1805" s="25"/>
      <c r="Z1805" s="25"/>
    </row>
    <row r="1806" spans="1:26" ht="52.5" customHeight="1" x14ac:dyDescent="0.25">
      <c r="A1806" s="25" t="str">
        <f ca="1">IFERROR(__xludf.DUMMYFUNCTION("""COMPUTED_VALUE"""),"Desar4")</f>
        <v>Desar4</v>
      </c>
      <c r="B1806" s="25" t="str">
        <f ca="1">IFERROR(__xludf.DUMMYFUNCTION("""COMPUTED_VALUE"""),"Consejo Local de Gobierno de Fontibón")</f>
        <v>Consejo Local de Gobierno de Fontibón</v>
      </c>
      <c r="C1806" s="55">
        <f ca="1">IFERROR(__xludf.DUMMYFUNCTION("""COMPUTED_VALUE"""),44602)</f>
        <v>44602</v>
      </c>
      <c r="D1806" s="25" t="str">
        <f ca="1">IFERROR(__xludf.DUMMYFUNCTION("""COMPUTED_VALUE"""),"Desarrollo_Económico")</f>
        <v>Desarrollo_Económico</v>
      </c>
      <c r="E1806" s="25" t="str">
        <f ca="1">IFERROR(__xludf.DUMMYFUNCTION("""COMPUTED_VALUE"""),"Secretaría Distrital de Desarrollo Económico")</f>
        <v>Secretaría Distrital de Desarrollo Económico</v>
      </c>
      <c r="F1806" s="25" t="str">
        <f ca="1">IFERROR(__xludf.DUMMYFUNCTION("""COMPUTED_VALUE"""),"Revisar la posibilidad de implementar líneas de apoyo para la recepción de hojas de vida en la localidad. También establecer posibles estrategias que permitan conectar a la comunidad con las ofertas laborales que presentan algunas empresas privadas. Conta"&amp;"cto: Señora Marieni Daza")</f>
        <v>Revisar la posibilidad de implementar líneas de apoyo para la recepción de hojas de vida en la localidad. También establecer posibles estrategias que permitan conectar a la comunidad con las ofertas laborales que presentan algunas empresas privadas. Contacto: Señora Marieni Daza</v>
      </c>
      <c r="G1806" s="55" t="str">
        <f ca="1">IFERROR(__xludf.DUMMYFUNCTION("""COMPUTED_VALUE"""),"09. Fontibón")</f>
        <v>09. Fontibón</v>
      </c>
      <c r="H1806" s="55">
        <f ca="1">IFERROR(__xludf.DUMMYFUNCTION("""COMPUTED_VALUE"""),44632)</f>
        <v>44632</v>
      </c>
      <c r="I1806" s="25"/>
      <c r="J1806" s="55" t="str">
        <f ca="1">IFERROR(__xludf.DUMMYFUNCTION("""COMPUTED_VALUE"""),"Alta")</f>
        <v>Alta</v>
      </c>
      <c r="K1806" s="25">
        <f ca="1">IFERROR(__xludf.DUMMYFUNCTION("""COMPUTED_VALUE"""),30)</f>
        <v>30</v>
      </c>
      <c r="L1806" s="62">
        <f ca="1">IFERROR(__xludf.DUMMYFUNCTION("""COMPUTED_VALUE"""),44686)</f>
        <v>44686</v>
      </c>
      <c r="M1806" s="25" t="str">
        <f ca="1">IFERROR(__xludf.DUMMYFUNCTION("""COMPUTED_VALUE"""),"Desde el área de Gestión Empresarial se realizó contacto la señora Marieni Daza, se contextualizó sobre la gestión y los servicios que ofrece la Agencia Pública de Empleo a las Organizaciones, ella comenta que es la encargada de ayudar al sector empresari"&amp;"al de la localidad en la búsqueda de personas que estén interesados en las diferentes vacantes.
 A la espera de respuesta sobre si ella ""encabeza"" la gestión de vinculación laboral para el sector, o en su defecto, si se realiza con cada Organización "&amp;"por aparte. A lo cual, estamos atentos y disponibles a continuar con el proceso que mejor crean conveniente o al cual deseen acogerse. En cuanto se tenga la información correspondiente para el paso a seguir, estaremos informando los avances.
Abril 30: Co"&amp;"mo parte de las herramientas que utiliza la APED a modo de facilitar el registro de las personas y la recepción de sus hojas de vida, se habilitó el correo de la agencia para recepcionar las hojas de vida de los ciudadanos. Para esto se ha solicitado que "&amp;"en el asunto se identifique tambien la localidad, de esta forma podemos contar con un mayor control de los usuarios atendidos.
Por otro lado se estan programando jornadas de atención en la localidad, en las que además se tiene pensado socializar esta inf"&amp;"ormación con los asistentes, referentes y la Alcaldía Local para que la información pueda ser transmitida a modo de voz a voz a los demás residentes, e incrementar la articulación de esta población con la APED. ")</f>
        <v xml:space="preserve">Desde el área de Gestión Empresarial se realizó contacto la señora Marieni Daza, se contextualizó sobre la gestión y los servicios que ofrece la Agencia Pública de Empleo a las Organizaciones, ella comenta que es la encargada de ayudar al sector empresarial de la localidad en la búsqueda de personas que estén interesados en las diferentes vacantes.
 A la espera de respuesta sobre si ella "encabeza" la gestión de vinculación laboral para el sector, o en su defecto, si se realiza con cada Organización por aparte. A lo cual, estamos atentos y disponibles a continuar con el proceso que mejor crean conveniente o al cual deseen acogerse. En cuanto se tenga la información correspondiente para el paso a seguir, estaremos informando los avances.
Abril 30: Como parte de las herramientas que utiliza la APED a modo de facilitar el registro de las personas y la recepción de sus hojas de vida, se habilitó el correo de la agencia para recepcionar las hojas de vida de los ciudadanos. Para esto se ha solicitado que en el asunto se identifique tambien la localidad, de esta forma podemos contar con un mayor control de los usuarios atendidos.
Por otro lado se estan programando jornadas de atención en la localidad, en las que además se tiene pensado socializar esta información con los asistentes, referentes y la Alcaldía Local para que la información pueda ser transmitida a modo de voz a voz a los demás residentes, e incrementar la articulación de esta población con la APED. </v>
      </c>
      <c r="N1806" s="55">
        <f ca="1">IFERROR(__xludf.DUMMYFUNCTION("""COMPUTED_VALUE"""),44686)</f>
        <v>44686</v>
      </c>
      <c r="O1806" s="25" t="str">
        <f t="shared" ca="1" si="0"/>
        <v>Secretaría Distrital de Desarrollo Económico</v>
      </c>
      <c r="P1806" s="25" t="str">
        <f t="shared" si="2"/>
        <v/>
      </c>
      <c r="Q1806" s="25" t="str">
        <f ca="1">IFERROR(__xludf.DUMMYFUNCTION("""COMPUTED_VALUE"""),"Corto plazo")</f>
        <v>Corto plazo</v>
      </c>
      <c r="R1806" s="25"/>
      <c r="S1806" s="55"/>
      <c r="T1806" s="56"/>
      <c r="U1806" s="25"/>
      <c r="V1806" s="25"/>
      <c r="W1806" s="25"/>
      <c r="X1806" s="25"/>
      <c r="Y1806" s="25"/>
      <c r="Z1806" s="25"/>
    </row>
    <row r="1807" spans="1:26" ht="52.5" customHeight="1" x14ac:dyDescent="0.25">
      <c r="A1807" s="25" t="str">
        <f ca="1">IFERROR(__xludf.DUMMYFUNCTION("""COMPUTED_VALUE"""),"Desar5")</f>
        <v>Desar5</v>
      </c>
      <c r="B1807" s="25"/>
      <c r="C1807" s="55"/>
      <c r="D1807" s="25" t="str">
        <f ca="1">IFERROR(__xludf.DUMMYFUNCTION("""COMPUTED_VALUE"""),"Desarrollo_Económico")</f>
        <v>Desarrollo_Económico</v>
      </c>
      <c r="E1807" s="25"/>
      <c r="F1807" s="25" t="str">
        <f ca="1">IFERROR(__xludf.DUMMYFUNCTION("""COMPUTED_VALUE"""),"Eliminada")</f>
        <v>Eliminada</v>
      </c>
      <c r="G1807" s="25"/>
      <c r="H1807" s="25"/>
      <c r="I1807" s="25"/>
      <c r="J1807" s="55"/>
      <c r="K1807" s="25" t="str">
        <f ca="1">IFERROR(__xludf.DUMMYFUNCTION("""COMPUTED_VALUE"""),"Definir fecha")</f>
        <v>Definir fecha</v>
      </c>
      <c r="L1807" s="62"/>
      <c r="M1807" s="25"/>
      <c r="N1807" s="25"/>
      <c r="O1807" s="25">
        <f t="shared" si="0"/>
        <v>0</v>
      </c>
      <c r="P1807" s="25" t="str">
        <f t="shared" si="2"/>
        <v/>
      </c>
      <c r="Q1807" s="25" t="str">
        <f ca="1">IFERROR(__xludf.DUMMYFUNCTION("""COMPUTED_VALUE"""),"Sin defenir")</f>
        <v>Sin defenir</v>
      </c>
      <c r="R1807" s="25"/>
      <c r="S1807" s="55"/>
      <c r="T1807" s="56"/>
      <c r="U1807" s="25"/>
      <c r="V1807" s="25"/>
      <c r="W1807" s="25"/>
      <c r="X1807" s="25"/>
      <c r="Y1807" s="25"/>
      <c r="Z1807" s="25"/>
    </row>
    <row r="1808" spans="1:26" ht="52.5" customHeight="1" x14ac:dyDescent="0.25">
      <c r="A1808" s="25" t="str">
        <f ca="1">IFERROR(__xludf.DUMMYFUNCTION("""COMPUTED_VALUE"""),"Desar6")</f>
        <v>Desar6</v>
      </c>
      <c r="B1808" s="25" t="str">
        <f ca="1">IFERROR(__xludf.DUMMYFUNCTION("""COMPUTED_VALUE"""),"Consejo de Gobierno ampliado")</f>
        <v>Consejo de Gobierno ampliado</v>
      </c>
      <c r="C1808" s="55">
        <f ca="1">IFERROR(__xludf.DUMMYFUNCTION("""COMPUTED_VALUE"""),44544)</f>
        <v>44544</v>
      </c>
      <c r="D1808" s="25" t="str">
        <f ca="1">IFERROR(__xludf.DUMMYFUNCTION("""COMPUTED_VALUE"""),"Desarrollo_Económico")</f>
        <v>Desarrollo_Económico</v>
      </c>
      <c r="E1808" s="25" t="str">
        <f ca="1">IFERROR(__xludf.DUMMYFUNCTION("""COMPUTED_VALUE"""),"Instituto Distrital de Turismo")</f>
        <v>Instituto Distrital de Turismo</v>
      </c>
      <c r="F1808" s="25" t="str">
        <f ca="1">IFERROR(__xludf.DUMMYFUNCTION("""COMPUTED_VALUE"""),"Contactar microempresa local para crear una alianza en montaje y diseño de la empresa de confección con la población seleccionada por el IDIPRON. ")</f>
        <v xml:space="preserve">Contactar microempresa local para crear una alianza en montaje y diseño de la empresa de confección con la población seleccionada por el IDIPRON. </v>
      </c>
      <c r="G1808" s="25" t="str">
        <f ca="1">IFERROR(__xludf.DUMMYFUNCTION("""COMPUTED_VALUE"""),"99. Distrito")</f>
        <v>99. Distrito</v>
      </c>
      <c r="H1808" s="55">
        <f ca="1">IFERROR(__xludf.DUMMYFUNCTION("""COMPUTED_VALUE"""),44574)</f>
        <v>44574</v>
      </c>
      <c r="I1808" s="25"/>
      <c r="J1808" s="55" t="str">
        <f ca="1">IFERROR(__xludf.DUMMYFUNCTION("""COMPUTED_VALUE"""),"Alta")</f>
        <v>Alta</v>
      </c>
      <c r="K1808" s="25">
        <f ca="1">IFERROR(__xludf.DUMMYFUNCTION("""COMPUTED_VALUE"""),30)</f>
        <v>30</v>
      </c>
      <c r="L1808" s="62">
        <f ca="1">IFERROR(__xludf.DUMMYFUNCTION("""COMPUTED_VALUE"""),44624)</f>
        <v>44624</v>
      </c>
      <c r="M1808" s="25"/>
      <c r="N1808" s="55">
        <f ca="1">IFERROR(__xludf.DUMMYFUNCTION("""COMPUTED_VALUE"""),44624)</f>
        <v>44624</v>
      </c>
      <c r="O1808" s="25" t="str">
        <f t="shared" ca="1" si="0"/>
        <v>Instituto Distrital de Turismo</v>
      </c>
      <c r="P1808" s="25" t="str">
        <f t="shared" si="2"/>
        <v/>
      </c>
      <c r="Q1808" s="25" t="str">
        <f ca="1">IFERROR(__xludf.DUMMYFUNCTION("""COMPUTED_VALUE"""),"Corto plazo")</f>
        <v>Corto plazo</v>
      </c>
      <c r="R1808" s="25"/>
      <c r="S1808" s="55"/>
      <c r="T1808" s="56"/>
      <c r="U1808" s="25"/>
      <c r="V1808" s="25"/>
      <c r="W1808" s="25"/>
      <c r="X1808" s="25"/>
      <c r="Y1808" s="25"/>
      <c r="Z1808" s="25"/>
    </row>
    <row r="1809" spans="1:26" ht="52.5" customHeight="1" x14ac:dyDescent="0.25">
      <c r="A1809" s="25" t="str">
        <f ca="1">IFERROR(__xludf.DUMMYFUNCTION("""COMPUTED_VALUE"""),"Desar7")</f>
        <v>Desar7</v>
      </c>
      <c r="B1809" s="25" t="str">
        <f ca="1">IFERROR(__xludf.DUMMYFUNCTION("""COMPUTED_VALUE"""),"Revisión cumplimiento de metas Desarrollo Económico ")</f>
        <v xml:space="preserve">Revisión cumplimiento de metas Desarrollo Económico </v>
      </c>
      <c r="C1809" s="55">
        <f ca="1">IFERROR(__xludf.DUMMYFUNCTION("""COMPUTED_VALUE"""),44524)</f>
        <v>44524</v>
      </c>
      <c r="D1809" s="25" t="str">
        <f ca="1">IFERROR(__xludf.DUMMYFUNCTION("""COMPUTED_VALUE"""),"Desarrollo_Económico")</f>
        <v>Desarrollo_Económico</v>
      </c>
      <c r="E1809" s="25" t="str">
        <f ca="1">IFERROR(__xludf.DUMMYFUNCTION("""COMPUTED_VALUE"""),"Secretaría Distrital de Desarrollo Económico")</f>
        <v>Secretaría Distrital de Desarrollo Económico</v>
      </c>
      <c r="F1809" s="25" t="str">
        <f ca="1">IFERROR(__xludf.DUMMYFUNCTION("""COMPUTED_VALUE"""),"Tener otro sí con bancóldex de Bogotá Adelante ")</f>
        <v xml:space="preserve">Tener otro sí con bancóldex de Bogotá Adelante </v>
      </c>
      <c r="G1809" s="25" t="str">
        <f ca="1">IFERROR(__xludf.DUMMYFUNCTION("""COMPUTED_VALUE"""),"99. Distrito")</f>
        <v>99. Distrito</v>
      </c>
      <c r="H1809" s="55">
        <f ca="1">IFERROR(__xludf.DUMMYFUNCTION("""COMPUTED_VALUE"""),44531)</f>
        <v>44531</v>
      </c>
      <c r="I1809" s="25"/>
      <c r="J1809" s="55" t="str">
        <f ca="1">IFERROR(__xludf.DUMMYFUNCTION("""COMPUTED_VALUE"""),"Alta")</f>
        <v>Alta</v>
      </c>
      <c r="K1809" s="25">
        <f ca="1">IFERROR(__xludf.DUMMYFUNCTION("""COMPUTED_VALUE"""),7)</f>
        <v>7</v>
      </c>
      <c r="L1809" s="62">
        <f ca="1">IFERROR(__xludf.DUMMYFUNCTION("""COMPUTED_VALUE"""),44655)</f>
        <v>44655</v>
      </c>
      <c r="M1809" s="25" t="str">
        <f ca="1">IFERROR(__xludf.DUMMYFUNCTION("""COMPUTED_VALUE"""),"El 12 de diciembre de 2021 se firmó un primer otrosi al convenio 437 de 2021 que creó la línea Bancoldex Bogotá Adelante, adicionando recursos por $5.140.817.944 para un total de aportes por parte de la Secretaría Distrital de Desarrollo Económico por $16"&amp;".140.817.944 y una reporgramación del total de beneficiarios planeados de 11.600. La línea de crédito que en un principio tenía un valor aproximado de 171.000 millones de pesos, pasó con la adición a tener un monto aproximado a colocar por $237 mil millon"&amp;"es de pesos para beneficiar a 11.600 unidades productivas planeadas.  Un segundo otrosi se suscribió el 4 de marzo de 2022 entre Bancóldex y la Secretaría, modificando el plazo inicial que era hasta el 31 de diciembre de 2021, ampliándolo  hasta el 30 de "&amp;"abril de 2022. Al 29 de marzo de 2022 ya se ha comprometido más del 99% del aporte recibido tanto en operaciones desembolsadas como en créditos en trámite de desembolso.  En ese sentido para evitar recibir demanda de recursos que superen el aporte de la S"&amp;"ecretaría, Bancóldex suspendió el recibo de nuevas solicitudes hasta que se liberen recursos en caso de que los empresarios no tomen los créditos en trámite. En ese sentido, dado que nos encontramos al final de la ejecución de la línea, Bancóldex recomend"&amp;"ó a la Secretaría no realizar más actividades de divulgación de la línea con el sector empresarial. En términos de operaciones, al 25 de marzo de 2022, la línea Bogotá Adelante ha colocado 8.889 créditos por $363.530.685.883, distribuidos en 903 operacion"&amp;"es por $148 mil millones de pesos en el subcupo de mipes redescuento, 7.615 operaciones por $ 61.620 millones en el subcupo mipes microfinanzas y 371 operaciones por $153.6 miles de millones de pesos en el subcupo de redescuento para medianas empresas.")</f>
        <v>El 12 de diciembre de 2021 se firmó un primer otrosi al convenio 437 de 2021 que creó la línea Bancoldex Bogotá Adelante, adicionando recursos por $5.140.817.944 para un total de aportes por parte de la Secretaría Distrital de Desarrollo Económico por $16.140.817.944 y una reporgramación del total de beneficiarios planeados de 11.600. La línea de crédito que en un principio tenía un valor aproximado de 171.000 millones de pesos, pasó con la adición a tener un monto aproximado a colocar por $237 mil millones de pesos para beneficiar a 11.600 unidades productivas planeadas.  Un segundo otrosi se suscribió el 4 de marzo de 2022 entre Bancóldex y la Secretaría, modificando el plazo inicial que era hasta el 31 de diciembre de 2021, ampliándolo  hasta el 30 de abril de 2022. Al 29 de marzo de 2022 ya se ha comprometido más del 99% del aporte recibido tanto en operaciones desembolsadas como en créditos en trámite de desembolso.  En ese sentido para evitar recibir demanda de recursos que superen el aporte de la Secretaría, Bancóldex suspendió el recibo de nuevas solicitudes hasta que se liberen recursos en caso de que los empresarios no tomen los créditos en trámite. En ese sentido, dado que nos encontramos al final de la ejecución de la línea, Bancóldex recomendó a la Secretaría no realizar más actividades de divulgación de la línea con el sector empresarial. En términos de operaciones, al 25 de marzo de 2022, la línea Bogotá Adelante ha colocado 8.889 créditos por $363.530.685.883, distribuidos en 903 operaciones por $148 mil millones de pesos en el subcupo de mipes redescuento, 7.615 operaciones por $ 61.620 millones en el subcupo mipes microfinanzas y 371 operaciones por $153.6 miles de millones de pesos en el subcupo de redescuento para medianas empresas.</v>
      </c>
      <c r="N1809" s="55">
        <f ca="1">IFERROR(__xludf.DUMMYFUNCTION("""COMPUTED_VALUE"""),44655)</f>
        <v>44655</v>
      </c>
      <c r="O1809" s="25" t="str">
        <f t="shared" ca="1" si="0"/>
        <v>Secretaría Distrital de Desarrollo Económico</v>
      </c>
      <c r="P1809" s="25" t="str">
        <f t="shared" si="2"/>
        <v/>
      </c>
      <c r="Q1809" s="25" t="str">
        <f ca="1">IFERROR(__xludf.DUMMYFUNCTION("""COMPUTED_VALUE"""),"Corto plazo")</f>
        <v>Corto plazo</v>
      </c>
      <c r="R1809" s="25"/>
      <c r="S1809" s="55"/>
      <c r="T1809" s="56"/>
      <c r="U1809" s="25"/>
      <c r="V1809" s="25"/>
      <c r="W1809" s="25"/>
      <c r="X1809" s="25"/>
      <c r="Y1809" s="25"/>
      <c r="Z1809" s="25"/>
    </row>
    <row r="1810" spans="1:26" ht="52.5" customHeight="1" x14ac:dyDescent="0.25">
      <c r="A1810" s="25" t="str">
        <f ca="1">IFERROR(__xludf.DUMMYFUNCTION("""COMPUTED_VALUE"""),"Desar8")</f>
        <v>Desar8</v>
      </c>
      <c r="B1810" s="25" t="str">
        <f ca="1">IFERROR(__xludf.DUMMYFUNCTION("""COMPUTED_VALUE"""),"Consejo Distrital de Política Social")</f>
        <v>Consejo Distrital de Política Social</v>
      </c>
      <c r="C1810" s="55">
        <f ca="1">IFERROR(__xludf.DUMMYFUNCTION("""COMPUTED_VALUE"""),44523)</f>
        <v>44523</v>
      </c>
      <c r="D1810" s="25" t="str">
        <f ca="1">IFERROR(__xludf.DUMMYFUNCTION("""COMPUTED_VALUE"""),"Desarrollo_Económico")</f>
        <v>Desarrollo_Económico</v>
      </c>
      <c r="E1810" s="25" t="str">
        <f ca="1">IFERROR(__xludf.DUMMYFUNCTION("""COMPUTED_VALUE"""),"Secretaría Distrital de Desarrollo Económico")</f>
        <v>Secretaría Distrital de Desarrollo Económico</v>
      </c>
      <c r="F1810" s="25" t="str">
        <f ca="1">IFERROR(__xludf.DUMMYFUNCTION("""COMPUTED_VALUE"""),"Acordar qué programas se van a ejecutar en materia de empleabilidad para las personas mayores de 50 años")</f>
        <v>Acordar qué programas se van a ejecutar en materia de empleabilidad para las personas mayores de 50 años</v>
      </c>
      <c r="G1810" s="25" t="str">
        <f ca="1">IFERROR(__xludf.DUMMYFUNCTION("""COMPUTED_VALUE"""),"99. Distrito")</f>
        <v>99. Distrito</v>
      </c>
      <c r="H1810" s="55">
        <f ca="1">IFERROR(__xludf.DUMMYFUNCTION("""COMPUTED_VALUE"""),44553)</f>
        <v>44553</v>
      </c>
      <c r="I1810" s="25"/>
      <c r="J1810" s="55" t="str">
        <f ca="1">IFERROR(__xludf.DUMMYFUNCTION("""COMPUTED_VALUE"""),"Alta")</f>
        <v>Alta</v>
      </c>
      <c r="K1810" s="25">
        <f ca="1">IFERROR(__xludf.DUMMYFUNCTION("""COMPUTED_VALUE"""),30)</f>
        <v>30</v>
      </c>
      <c r="L1810" s="62">
        <f ca="1">IFERROR(__xludf.DUMMYFUNCTION("""COMPUTED_VALUE"""),44655)</f>
        <v>44655</v>
      </c>
      <c r="M1810" s="25" t="str">
        <f ca="1">IFERROR(__xludf.DUMMYFUNCTION("""COMPUTED_VALUE"""),"Se está implementando una estrategia/programa para la atención de población mayor de 50 años, la que busca ser  una Ruta transversal dentro de los servicios de la SDDE, a través de la Agencia de Empleo del distrito, en donde las personas encontrarán forma"&amp;"ción pertinente con relación a las habilidades del siglo XXI y la demanda laboral actual.
Esta formación tendrá contenidos como:
-Habilidades blandas
-Uso de TIC
-Certificación por competencias
-Servicio al cliente
El 25 de marzo de 2022 se presentó ante "&amp;"la alcaldesa la ruta para mayores de 50 años. La meta de la ruta son 6.5000 = 4.000 por la ruta de emprendimiento y 2.500 por la ruta de empleabilidad de acuerdo al perfilamiento que se le haga en la ruta de atención. ")</f>
        <v xml:space="preserve">Se está implementando una estrategia/programa para la atención de población mayor de 50 años, la que busca ser  una Ruta transversal dentro de los servicios de la SDDE, a través de la Agencia de Empleo del distrito, en donde las personas encontrarán formación pertinente con relación a las habilidades del siglo XXI y la demanda laboral actual.
Esta formación tendrá contenidos como:
-Habilidades blandas
-Uso de TIC
-Certificación por competencias
-Servicio al cliente
El 25 de marzo de 2022 se presentó ante la alcaldesa la ruta para mayores de 50 años. La meta de la ruta son 6.5000 = 4.000 por la ruta de emprendimiento y 2.500 por la ruta de empleabilidad de acuerdo al perfilamiento que se le haga en la ruta de atención. </v>
      </c>
      <c r="N1810" s="55">
        <f ca="1">IFERROR(__xludf.DUMMYFUNCTION("""COMPUTED_VALUE"""),44655)</f>
        <v>44655</v>
      </c>
      <c r="O1810" s="25" t="str">
        <f t="shared" ca="1" si="0"/>
        <v>Secretaría Distrital de Desarrollo Económico</v>
      </c>
      <c r="P1810" s="25" t="str">
        <f t="shared" si="2"/>
        <v/>
      </c>
      <c r="Q1810" s="25" t="str">
        <f ca="1">IFERROR(__xludf.DUMMYFUNCTION("""COMPUTED_VALUE"""),"Corto plazo")</f>
        <v>Corto plazo</v>
      </c>
      <c r="R1810" s="25"/>
      <c r="S1810" s="55"/>
      <c r="T1810" s="56"/>
      <c r="U1810" s="25"/>
      <c r="V1810" s="25"/>
      <c r="W1810" s="25"/>
      <c r="X1810" s="25"/>
      <c r="Y1810" s="25"/>
      <c r="Z1810" s="25"/>
    </row>
    <row r="1811" spans="1:26" ht="52.5" customHeight="1" x14ac:dyDescent="0.25">
      <c r="A1811" s="25" t="str">
        <f ca="1">IFERROR(__xludf.DUMMYFUNCTION("""COMPUTED_VALUE"""),"Desar9")</f>
        <v>Desar9</v>
      </c>
      <c r="B1811" s="25" t="str">
        <f ca="1">IFERROR(__xludf.DUMMYFUNCTION("""COMPUTED_VALUE"""),"Consejo Distrital de Política Social")</f>
        <v>Consejo Distrital de Política Social</v>
      </c>
      <c r="C1811" s="55">
        <f ca="1">IFERROR(__xludf.DUMMYFUNCTION("""COMPUTED_VALUE"""),44523)</f>
        <v>44523</v>
      </c>
      <c r="D1811" s="25" t="str">
        <f ca="1">IFERROR(__xludf.DUMMYFUNCTION("""COMPUTED_VALUE"""),"Desarrollo_Económico")</f>
        <v>Desarrollo_Económico</v>
      </c>
      <c r="E1811" s="25" t="str">
        <f ca="1">IFERROR(__xludf.DUMMYFUNCTION("""COMPUTED_VALUE"""),"Secretaría Distrital de Desarrollo Económico")</f>
        <v>Secretaría Distrital de Desarrollo Económico</v>
      </c>
      <c r="F1811" s="25" t="str">
        <f ca="1">IFERROR(__xludf.DUMMYFUNCTION("""COMPUTED_VALUE"""),"Concretar la oferta y demanda de los programas sociales y económicos que existen en toda la ciudad")</f>
        <v>Concretar la oferta y demanda de los programas sociales y económicos que existen en toda la ciudad</v>
      </c>
      <c r="G1811" s="25" t="str">
        <f ca="1">IFERROR(__xludf.DUMMYFUNCTION("""COMPUTED_VALUE"""),"99. Distrito")</f>
        <v>99. Distrito</v>
      </c>
      <c r="H1811" s="55">
        <f ca="1">IFERROR(__xludf.DUMMYFUNCTION("""COMPUTED_VALUE"""),44553)</f>
        <v>44553</v>
      </c>
      <c r="I1811" s="25"/>
      <c r="J1811" s="55" t="str">
        <f ca="1">IFERROR(__xludf.DUMMYFUNCTION("""COMPUTED_VALUE"""),"Alta")</f>
        <v>Alta</v>
      </c>
      <c r="K1811" s="25">
        <f ca="1">IFERROR(__xludf.DUMMYFUNCTION("""COMPUTED_VALUE"""),30)</f>
        <v>30</v>
      </c>
      <c r="L1811" s="62">
        <f ca="1">IFERROR(__xludf.DUMMYFUNCTION("""COMPUTED_VALUE"""),44655)</f>
        <v>44655</v>
      </c>
      <c r="M1811" s="64" t="str">
        <f ca="1">IFERROR(__xludf.DUMMYFUNCTION("""COMPUTED_VALUE"""),"Actualmente existe una matriz interna con el consolidado de toda la oferta institucional de la SDDE en la ciudad. Link:
https://docs.google.com/spreadsheets/d/1fCAUBmLSz9x40pqqE1sitwSEntFXtjAISPJ3pJ1mCtE/edit?usp=sharing")</f>
        <v>Actualmente existe una matriz interna con el consolidado de toda la oferta institucional de la SDDE en la ciudad. Link:
https://docs.google.com/spreadsheets/d/1fCAUBmLSz9x40pqqE1sitwSEntFXtjAISPJ3pJ1mCtE/edit?usp=sharing</v>
      </c>
      <c r="N1811" s="55">
        <f ca="1">IFERROR(__xludf.DUMMYFUNCTION("""COMPUTED_VALUE"""),44655)</f>
        <v>44655</v>
      </c>
      <c r="O1811" s="25" t="str">
        <f t="shared" ca="1" si="0"/>
        <v>Secretaría Distrital de Desarrollo Económico</v>
      </c>
      <c r="P1811" s="25" t="str">
        <f t="shared" si="2"/>
        <v/>
      </c>
      <c r="Q1811" s="25" t="str">
        <f ca="1">IFERROR(__xludf.DUMMYFUNCTION("""COMPUTED_VALUE"""),"Corto plazo")</f>
        <v>Corto plazo</v>
      </c>
      <c r="R1811" s="25"/>
      <c r="S1811" s="55"/>
      <c r="T1811" s="56"/>
      <c r="U1811" s="25"/>
      <c r="V1811" s="25"/>
      <c r="W1811" s="25"/>
      <c r="X1811" s="25"/>
      <c r="Y1811" s="25"/>
      <c r="Z1811" s="25"/>
    </row>
    <row r="1812" spans="1:26" ht="52.5" customHeight="1" x14ac:dyDescent="0.25">
      <c r="A1812" s="25" t="str">
        <f ca="1">IFERROR(__xludf.DUMMYFUNCTION("""COMPUTED_VALUE"""),"Desar10")</f>
        <v>Desar10</v>
      </c>
      <c r="B1812" s="25" t="str">
        <f ca="1">IFERROR(__xludf.DUMMYFUNCTION("""COMPUTED_VALUE"""),"Seguimiento IPES")</f>
        <v>Seguimiento IPES</v>
      </c>
      <c r="C1812" s="55">
        <f ca="1">IFERROR(__xludf.DUMMYFUNCTION("""COMPUTED_VALUE"""),44508)</f>
        <v>44508</v>
      </c>
      <c r="D1812" s="25" t="str">
        <f ca="1">IFERROR(__xludf.DUMMYFUNCTION("""COMPUTED_VALUE"""),"Desarrollo_Económico")</f>
        <v>Desarrollo_Económico</v>
      </c>
      <c r="E1812" s="25" t="str">
        <f ca="1">IFERROR(__xludf.DUMMYFUNCTION("""COMPUTED_VALUE"""),"Instituto para la Economía Social")</f>
        <v>Instituto para la Economía Social</v>
      </c>
      <c r="F1812" s="25" t="str">
        <f ca="1">IFERROR(__xludf.DUMMYFUNCTION("""COMPUTED_VALUE"""),"Acompañar desde la Personería y Curaduría Urbana al Sistema Distrital de Plazas de mercados")</f>
        <v>Acompañar desde la Personería y Curaduría Urbana al Sistema Distrital de Plazas de mercados</v>
      </c>
      <c r="G1812" s="25" t="str">
        <f ca="1">IFERROR(__xludf.DUMMYFUNCTION("""COMPUTED_VALUE"""),"99. Distrito")</f>
        <v>99. Distrito</v>
      </c>
      <c r="H1812" s="55">
        <f ca="1">IFERROR(__xludf.DUMMYFUNCTION("""COMPUTED_VALUE"""),44538)</f>
        <v>44538</v>
      </c>
      <c r="I1812" s="25"/>
      <c r="J1812" s="55" t="str">
        <f ca="1">IFERROR(__xludf.DUMMYFUNCTION("""COMPUTED_VALUE"""),"Alta")</f>
        <v>Alta</v>
      </c>
      <c r="K1812" s="25">
        <f ca="1">IFERROR(__xludf.DUMMYFUNCTION("""COMPUTED_VALUE"""),30)</f>
        <v>30</v>
      </c>
      <c r="L1812" s="62">
        <f ca="1">IFERROR(__xludf.DUMMYFUNCTION("""COMPUTED_VALUE"""),44624)</f>
        <v>44624</v>
      </c>
      <c r="M1812" s="25" t="str">
        <f ca="1">IFERROR(__xludf.DUMMYFUNCTION("""COMPUTED_VALUE"""),"Durante el primer bimestre del año 2022, el Instituto para la Economía Social IPES ha gestionado la aprobación de las licencias de construcción en la modalidad de reforzamiento de estructuras en las curadurías urbanas No. 02 y No. 03 a través de las sigui"&amp;"entes acciones:
1.        Expedición de la resolución de licencia de construcción en la modalidad de reforzamiento de estructuras, de fecha 31 de enero de 2022 en la Curaduría Urbana No. 3, para la Plaza de Mercado Restrepo. Lo anterior mediante acto adm"&amp;"inistrativo 11001-2-22-0158.
2.        Por parte de la Curaduría Urbana No. 3, se emitió la resolución para pago de expensas (derechos para expedición de licencias)
de fecha 10 de febrero de 2022 para la Plaza de Mercado Santander. Mediante radicado 1100"&amp;"1-3-21-1464
")</f>
        <v xml:space="preserve">Durante el primer bimestre del año 2022, el Instituto para la Economía Social IPES ha gestionado la aprobación de las licencias de construcción en la modalidad de reforzamiento de estructuras en las curadurías urbanas No. 02 y No. 03 a través de las siguientes acciones:
1.        Expedición de la resolución de licencia de construcción en la modalidad de reforzamiento de estructuras, de fecha 31 de enero de 2022 en la Curaduría Urbana No. 3, para la Plaza de Mercado Restrepo. Lo anterior mediante acto administrativo 11001-2-22-0158.
2.        Por parte de la Curaduría Urbana No. 3, se emitió la resolución para pago de expensas (derechos para expedición de licencias)
de fecha 10 de febrero de 2022 para la Plaza de Mercado Santander. Mediante radicado 11001-3-21-1464
</v>
      </c>
      <c r="N1812" s="55">
        <f ca="1">IFERROR(__xludf.DUMMYFUNCTION("""COMPUTED_VALUE"""),44624)</f>
        <v>44624</v>
      </c>
      <c r="O1812" s="25" t="str">
        <f t="shared" ca="1" si="0"/>
        <v>Instituto para la Economía Social</v>
      </c>
      <c r="P1812" s="25" t="str">
        <f t="shared" si="2"/>
        <v/>
      </c>
      <c r="Q1812" s="25" t="str">
        <f ca="1">IFERROR(__xludf.DUMMYFUNCTION("""COMPUTED_VALUE"""),"Corto plazo")</f>
        <v>Corto plazo</v>
      </c>
      <c r="R1812" s="25"/>
      <c r="S1812" s="55"/>
      <c r="T1812" s="56"/>
      <c r="U1812" s="25"/>
      <c r="V1812" s="25"/>
      <c r="W1812" s="25"/>
      <c r="X1812" s="25"/>
      <c r="Y1812" s="25"/>
      <c r="Z1812" s="25"/>
    </row>
    <row r="1813" spans="1:26" ht="52.5" customHeight="1" x14ac:dyDescent="0.25">
      <c r="A1813" s="25" t="str">
        <f ca="1">IFERROR(__xludf.DUMMYFUNCTION("""COMPUTED_VALUE"""),"Desar11")</f>
        <v>Desar11</v>
      </c>
      <c r="B1813" s="25" t="str">
        <f ca="1">IFERROR(__xludf.DUMMYFUNCTION("""COMPUTED_VALUE"""),"Reunión grandes superficies")</f>
        <v>Reunión grandes superficies</v>
      </c>
      <c r="C1813" s="55">
        <f ca="1">IFERROR(__xludf.DUMMYFUNCTION("""COMPUTED_VALUE"""),44490)</f>
        <v>44490</v>
      </c>
      <c r="D1813" s="25" t="str">
        <f ca="1">IFERROR(__xludf.DUMMYFUNCTION("""COMPUTED_VALUE"""),"Desarrollo_Económico")</f>
        <v>Desarrollo_Económico</v>
      </c>
      <c r="E1813" s="25" t="str">
        <f ca="1">IFERROR(__xludf.DUMMYFUNCTION("""COMPUTED_VALUE"""),"Secretaría Distrital de Desarrollo Económico")</f>
        <v>Secretaría Distrital de Desarrollo Económico</v>
      </c>
      <c r="F1813" s="25" t="str">
        <f ca="1">IFERROR(__xludf.DUMMYFUNCTION("""COMPUTED_VALUE"""),"Hacer una rueda de prensa con comerciantes de grandes superficies el día antes del día sin iva")</f>
        <v>Hacer una rueda de prensa con comerciantes de grandes superficies el día antes del día sin iva</v>
      </c>
      <c r="G1813" s="25" t="str">
        <f ca="1">IFERROR(__xludf.DUMMYFUNCTION("""COMPUTED_VALUE"""),"99. Distrito")</f>
        <v>99. Distrito</v>
      </c>
      <c r="H1813" s="55">
        <f ca="1">IFERROR(__xludf.DUMMYFUNCTION("""COMPUTED_VALUE"""),44593)</f>
        <v>44593</v>
      </c>
      <c r="I1813" s="25"/>
      <c r="J1813" s="55" t="str">
        <f ca="1">IFERROR(__xludf.DUMMYFUNCTION("""COMPUTED_VALUE"""),"Media")</f>
        <v>Media</v>
      </c>
      <c r="K1813" s="25">
        <f ca="1">IFERROR(__xludf.DUMMYFUNCTION("""COMPUTED_VALUE"""),103)</f>
        <v>103</v>
      </c>
      <c r="L1813" s="62">
        <f ca="1">IFERROR(__xludf.DUMMYFUNCTION("""COMPUTED_VALUE"""),44530)</f>
        <v>44530</v>
      </c>
      <c r="M1813" s="25" t="str">
        <f ca="1">IFERROR(__xludf.DUMMYFUNCTION("""COMPUTED_VALUE"""),"No se realizó la rueda de prensa con los comerciantes, sin embargo se hizo un comunicado de prensa con FENALCO estableciendo la articulación con el mismo fin el 26 de Octubre. En los días sin IVA posteriores se ha realizado articulación con las oficinas d"&amp;"e comunicaciones. ")</f>
        <v xml:space="preserve">No se realizó la rueda de prensa con los comerciantes, sin embargo se hizo un comunicado de prensa con FENALCO estableciendo la articulación con el mismo fin el 26 de Octubre. En los días sin IVA posteriores se ha realizado articulación con las oficinas de comunicaciones. </v>
      </c>
      <c r="N1813" s="55">
        <f ca="1">IFERROR(__xludf.DUMMYFUNCTION("""COMPUTED_VALUE"""),44530)</f>
        <v>44530</v>
      </c>
      <c r="O1813" s="25" t="str">
        <f t="shared" ca="1" si="0"/>
        <v>Secretaría Distrital de Desarrollo Económico</v>
      </c>
      <c r="P1813" s="25" t="str">
        <f t="shared" si="2"/>
        <v/>
      </c>
      <c r="Q1813" s="25" t="str">
        <f ca="1">IFERROR(__xludf.DUMMYFUNCTION("""COMPUTED_VALUE"""),"Mediano plazo")</f>
        <v>Mediano plazo</v>
      </c>
      <c r="R1813" s="25"/>
      <c r="S1813" s="55"/>
      <c r="T1813" s="56"/>
      <c r="U1813" s="25"/>
      <c r="V1813" s="25"/>
      <c r="W1813" s="25"/>
      <c r="X1813" s="25"/>
      <c r="Y1813" s="25"/>
      <c r="Z1813" s="25"/>
    </row>
    <row r="1814" spans="1:26" ht="52.5" customHeight="1" x14ac:dyDescent="0.25">
      <c r="A1814" s="25" t="str">
        <f ca="1">IFERROR(__xludf.DUMMYFUNCTION("""COMPUTED_VALUE"""),"Desar12")</f>
        <v>Desar12</v>
      </c>
      <c r="B1814" s="25" t="str">
        <f ca="1">IFERROR(__xludf.DUMMYFUNCTION("""COMPUTED_VALUE"""),"Seguimiento borrador convenio iluminación navideña SDDE")</f>
        <v>Seguimiento borrador convenio iluminación navideña SDDE</v>
      </c>
      <c r="C1814" s="55">
        <f ca="1">IFERROR(__xludf.DUMMYFUNCTION("""COMPUTED_VALUE"""),44477)</f>
        <v>44477</v>
      </c>
      <c r="D1814" s="25" t="str">
        <f ca="1">IFERROR(__xludf.DUMMYFUNCTION("""COMPUTED_VALUE"""),"Desarrollo_Económico")</f>
        <v>Desarrollo_Económico</v>
      </c>
      <c r="E1814" s="25" t="str">
        <f ca="1">IFERROR(__xludf.DUMMYFUNCTION("""COMPUTED_VALUE"""),"Secretaría Distrital de Desarrollo Económico")</f>
        <v>Secretaría Distrital de Desarrollo Económico</v>
      </c>
      <c r="F1814" s="25" t="str">
        <f ca="1">IFERROR(__xludf.DUMMYFUNCTION("""COMPUTED_VALUE"""),"Para el martes 12 de octubre debe estar radicado en planeación el traslado de recursos de las metas para el desarrollo a tiempo de los convenios en el marco de la navidad. ")</f>
        <v xml:space="preserve">Para el martes 12 de octubre debe estar radicado en planeación el traslado de recursos de las metas para el desarrollo a tiempo de los convenios en el marco de la navidad. </v>
      </c>
      <c r="G1814" s="25" t="str">
        <f ca="1">IFERROR(__xludf.DUMMYFUNCTION("""COMPUTED_VALUE"""),"99. Distrito")</f>
        <v>99. Distrito</v>
      </c>
      <c r="H1814" s="55">
        <f ca="1">IFERROR(__xludf.DUMMYFUNCTION("""COMPUTED_VALUE"""),44593)</f>
        <v>44593</v>
      </c>
      <c r="I1814" s="25"/>
      <c r="J1814" s="55" t="str">
        <f ca="1">IFERROR(__xludf.DUMMYFUNCTION("""COMPUTED_VALUE"""),"Media")</f>
        <v>Media</v>
      </c>
      <c r="K1814" s="25">
        <f ca="1">IFERROR(__xludf.DUMMYFUNCTION("""COMPUTED_VALUE"""),116)</f>
        <v>116</v>
      </c>
      <c r="L1814" s="62">
        <f ca="1">IFERROR(__xludf.DUMMYFUNCTION("""COMPUTED_VALUE"""),44530)</f>
        <v>44530</v>
      </c>
      <c r="M1814" s="25" t="str">
        <f ca="1">IFERROR(__xludf.DUMMYFUNCTION("""COMPUTED_VALUE"""),"Ya se radicó en planeación el traslado presupuestal de cada una de las direcciones y el convenio ya se encuentra en ejecución. ")</f>
        <v xml:space="preserve">Ya se radicó en planeación el traslado presupuestal de cada una de las direcciones y el convenio ya se encuentra en ejecución. </v>
      </c>
      <c r="N1814" s="55">
        <f ca="1">IFERROR(__xludf.DUMMYFUNCTION("""COMPUTED_VALUE"""),44530)</f>
        <v>44530</v>
      </c>
      <c r="O1814" s="25" t="str">
        <f t="shared" ca="1" si="0"/>
        <v>Secretaría Distrital de Desarrollo Económico</v>
      </c>
      <c r="P1814" s="25" t="str">
        <f t="shared" si="2"/>
        <v/>
      </c>
      <c r="Q1814" s="25" t="str">
        <f ca="1">IFERROR(__xludf.DUMMYFUNCTION("""COMPUTED_VALUE"""),"Mediano plazo")</f>
        <v>Mediano plazo</v>
      </c>
      <c r="R1814" s="25"/>
      <c r="S1814" s="55"/>
      <c r="T1814" s="56"/>
      <c r="U1814" s="25"/>
      <c r="V1814" s="25"/>
      <c r="W1814" s="25"/>
      <c r="X1814" s="25"/>
      <c r="Y1814" s="25"/>
      <c r="Z1814" s="25"/>
    </row>
    <row r="1815" spans="1:26" ht="52.5" customHeight="1" x14ac:dyDescent="0.25">
      <c r="A1815" s="25" t="str">
        <f ca="1">IFERROR(__xludf.DUMMYFUNCTION("""COMPUTED_VALUE"""),"Desar13")</f>
        <v>Desar13</v>
      </c>
      <c r="B1815" s="25" t="str">
        <f ca="1">IFERROR(__xludf.DUMMYFUNCTION("""COMPUTED_VALUE"""),"Comité Directivo Desarrollo Económico")</f>
        <v>Comité Directivo Desarrollo Económico</v>
      </c>
      <c r="C1815" s="55">
        <f ca="1">IFERROR(__xludf.DUMMYFUNCTION("""COMPUTED_VALUE"""),44466)</f>
        <v>44466</v>
      </c>
      <c r="D1815" s="25" t="str">
        <f ca="1">IFERROR(__xludf.DUMMYFUNCTION("""COMPUTED_VALUE"""),"Desarrollo_Económico")</f>
        <v>Desarrollo_Económico</v>
      </c>
      <c r="E1815" s="25" t="str">
        <f ca="1">IFERROR(__xludf.DUMMYFUNCTION("""COMPUTED_VALUE"""),"Secretaría Distrital de Desarrollo Económico")</f>
        <v>Secretaría Distrital de Desarrollo Económico</v>
      </c>
      <c r="F1815" s="25" t="str">
        <f ca="1">IFERROR(__xludf.DUMMYFUNCTION("""COMPUTED_VALUE"""),"Asegurar que el Convenio entre Agata y la Secretaría de Desarrollo económico quede firmado para el 1 de octubre")</f>
        <v>Asegurar que el Convenio entre Agata y la Secretaría de Desarrollo económico quede firmado para el 1 de octubre</v>
      </c>
      <c r="G1815" s="25" t="str">
        <f ca="1">IFERROR(__xludf.DUMMYFUNCTION("""COMPUTED_VALUE"""),"99. Distrito")</f>
        <v>99. Distrito</v>
      </c>
      <c r="H1815" s="55">
        <f ca="1">IFERROR(__xludf.DUMMYFUNCTION("""COMPUTED_VALUE"""),44470)</f>
        <v>44470</v>
      </c>
      <c r="I1815" s="25"/>
      <c r="J1815" s="55" t="str">
        <f ca="1">IFERROR(__xludf.DUMMYFUNCTION("""COMPUTED_VALUE"""),"Alta")</f>
        <v>Alta</v>
      </c>
      <c r="K1815" s="25">
        <f ca="1">IFERROR(__xludf.DUMMYFUNCTION("""COMPUTED_VALUE"""),4)</f>
        <v>4</v>
      </c>
      <c r="L1815" s="62">
        <f ca="1">IFERROR(__xludf.DUMMYFUNCTION("""COMPUTED_VALUE"""),44530)</f>
        <v>44530</v>
      </c>
      <c r="M1815" s="25" t="str">
        <f ca="1">IFERROR(__xludf.DUMMYFUNCTION("""COMPUTED_VALUE"""),"La DDEE de la SDDE estructuró el proyecto que realizará en conjunto con AGATA (la agencia de analitica distrital), el cual consiste en crear un sistema de scoring que permita que los créditos del sector financiero, a través de aliados, puedan llegar a per"&amp;"sonas informales-microempresas. El proyecto ya fue aprobado, surtiendo el proceso interno de la entidad (SDDE). A la fecha se encuentra en inicios de implementación (esta semana se definirá la fecha del evento kick off para el programa). El programa proye"&amp;"cta que su apertura al público y dispersión de microcréditos sea desde Marzo 2022.  
(Ver tarea 316 que es similar a esta. Se solicita el cierre de esta tarea). ")</f>
        <v xml:space="preserve">La DDEE de la SDDE estructuró el proyecto que realizará en conjunto con AGATA (la agencia de analitica distrital), el cual consiste en crear un sistema de scoring que permita que los créditos del sector financiero, a través de aliados, puedan llegar a personas informales-microempresas. El proyecto ya fue aprobado, surtiendo el proceso interno de la entidad (SDDE). A la fecha se encuentra en inicios de implementación (esta semana se definirá la fecha del evento kick off para el programa). El programa proyecta que su apertura al público y dispersión de microcréditos sea desde Marzo 2022.  
(Ver tarea 316 que es similar a esta. Se solicita el cierre de esta tarea). </v>
      </c>
      <c r="N1815" s="55">
        <f ca="1">IFERROR(__xludf.DUMMYFUNCTION("""COMPUTED_VALUE"""),44530)</f>
        <v>44530</v>
      </c>
      <c r="O1815" s="25" t="str">
        <f t="shared" ca="1" si="0"/>
        <v>Secretaría Distrital de Desarrollo Económico</v>
      </c>
      <c r="P1815" s="25" t="str">
        <f t="shared" si="2"/>
        <v/>
      </c>
      <c r="Q1815" s="25" t="str">
        <f ca="1">IFERROR(__xludf.DUMMYFUNCTION("""COMPUTED_VALUE"""),"Corto plazo")</f>
        <v>Corto plazo</v>
      </c>
      <c r="R1815" s="25"/>
      <c r="S1815" s="55"/>
      <c r="T1815" s="56"/>
      <c r="U1815" s="25"/>
      <c r="V1815" s="25"/>
      <c r="W1815" s="25"/>
      <c r="X1815" s="25"/>
      <c r="Y1815" s="25"/>
      <c r="Z1815" s="25"/>
    </row>
    <row r="1816" spans="1:26" ht="52.5" customHeight="1" x14ac:dyDescent="0.25">
      <c r="A1816" s="25" t="str">
        <f ca="1">IFERROR(__xludf.DUMMYFUNCTION("""COMPUTED_VALUE"""),"Desar14")</f>
        <v>Desar14</v>
      </c>
      <c r="B1816" s="25" t="str">
        <f ca="1">IFERROR(__xludf.DUMMYFUNCTION("""COMPUTED_VALUE"""),"Comité Directivo Desarrollo Económico")</f>
        <v>Comité Directivo Desarrollo Económico</v>
      </c>
      <c r="C1816" s="55">
        <f ca="1">IFERROR(__xludf.DUMMYFUNCTION("""COMPUTED_VALUE"""),44466)</f>
        <v>44466</v>
      </c>
      <c r="D1816" s="25" t="str">
        <f ca="1">IFERROR(__xludf.DUMMYFUNCTION("""COMPUTED_VALUE"""),"Desarrollo_Económico")</f>
        <v>Desarrollo_Económico</v>
      </c>
      <c r="E1816" s="25" t="str">
        <f ca="1">IFERROR(__xludf.DUMMYFUNCTION("""COMPUTED_VALUE"""),"Secretaría Distrital de Desarrollo Económico")</f>
        <v>Secretaría Distrital de Desarrollo Económico</v>
      </c>
      <c r="F1816" s="25" t="str">
        <f ca="1">IFERROR(__xludf.DUMMYFUNCTION("""COMPUTED_VALUE"""),"Revisar presupuesto del proyecto ""Distrito Innovación"" y que no se vea afectado con la Ley de Garantías. El 13 de octubre deben estar asegurados los recursos. ")</f>
        <v xml:space="preserve">Revisar presupuesto del proyecto "Distrito Innovación" y que no se vea afectado con la Ley de Garantías. El 13 de octubre deben estar asegurados los recursos. </v>
      </c>
      <c r="G1816" s="25" t="str">
        <f ca="1">IFERROR(__xludf.DUMMYFUNCTION("""COMPUTED_VALUE"""),"99. Distrito")</f>
        <v>99. Distrito</v>
      </c>
      <c r="H1816" s="55">
        <f ca="1">IFERROR(__xludf.DUMMYFUNCTION("""COMPUTED_VALUE"""),44482)</f>
        <v>44482</v>
      </c>
      <c r="I1816" s="25"/>
      <c r="J1816" s="55" t="str">
        <f ca="1">IFERROR(__xludf.DUMMYFUNCTION("""COMPUTED_VALUE"""),"Alta")</f>
        <v>Alta</v>
      </c>
      <c r="K1816" s="25">
        <f ca="1">IFERROR(__xludf.DUMMYFUNCTION("""COMPUTED_VALUE"""),16)</f>
        <v>16</v>
      </c>
      <c r="L1816" s="62">
        <f ca="1">IFERROR(__xludf.DUMMYFUNCTION("""COMPUTED_VALUE"""),44530)</f>
        <v>44530</v>
      </c>
      <c r="M1816" s="25" t="str">
        <f ca="1">IFERROR(__xludf.DUMMYFUNCTION("""COMPUTED_VALUE"""),"El presupuesto 2021 no se verá afectado por la ley de garantías dado que se piensa avanzar con las actividades de estructuración (factibilidad y diseños) a través de un convenio de (asociación o de CTeI) con la CCB, con firma estimada para noviembre. Esto"&amp;" se hará mucho antes del tiempo máximo para la firma de convenios que es 29 de enero 2022. 
Fechas claves:
13 de noviembre 2021: inicio de restricciones por elecciones al Congreso, que se llevarán a cabo el 13 de marzo de 2022. Queda prohibido realiza"&amp;"r contratos o convenios interadministrativos para la ejecución de recursos públicos. Se permite celebrar otro tipo de contratos mediante contratación directa.
29 de enero 2022: inicio de restricciones por elecciones presidenciales. Queda prohibido celebr"&amp;"ar contratos mediante contratación directa, salvo las excepciones de ley. Dentro de estas excepciones se encuentran las contrataciones directas para defensa y seguridad del Estado, crédito público, emergencias educativas, sanitarias o desastres, reconstru"&amp;"cción de vías e infraestructura y los que deban realizar las entidades sanitarias y hospitalarias.
Lo anterior significa que durante este lapso no se pueden hacer contrataciones directas, por ejemplo para la prestación de servicios profesionales o de a"&amp;"poyo a la gestión, como tampoco la celebración de contratos o convenios interadministrativos, entre otros.
fuente:https://www.cali.gov.co/contratacion/publicaciones/162677/estas-son-las-fechas-clave-de-la-próxima-ley-de-garantias/")</f>
        <v>El presupuesto 2021 no se verá afectado por la ley de garantías dado que se piensa avanzar con las actividades de estructuración (factibilidad y diseños) a través de un convenio de (asociación o de CTeI) con la CCB, con firma estimada para noviembre. Esto se hará mucho antes del tiempo máximo para la firma de convenios que es 29 de enero 2022. 
Fechas claves:
13 de noviembre 2021: inicio de restricciones por elecciones al Congreso, que se llevarán a cabo el 13 de marzo de 2022. Queda prohibido realizar contratos o convenios interadministrativos para la ejecución de recursos públicos. Se permite celebrar otro tipo de contratos mediante contratación directa.
29 de enero 2022: inicio de restricciones por elecciones presidenciales. Queda prohibido celebrar contratos mediante contratación directa, salvo las excepciones de ley. Dentro de estas excepciones se encuentran las contrataciones directas para defensa y seguridad del Estado, crédito público, emergencias educativas, sanitarias o desastres, reconstrucción de vías e infraestructura y los que deban realizar las entidades sanitarias y hospitalarias.
Lo anterior significa que durante este lapso no se pueden hacer contrataciones directas, por ejemplo para la prestación de servicios profesionales o de apoyo a la gestión, como tampoco la celebración de contratos o convenios interadministrativos, entre otros.
fuente:https://www.cali.gov.co/contratacion/publicaciones/162677/estas-son-las-fechas-clave-de-la-próxima-ley-de-garantias/</v>
      </c>
      <c r="N1816" s="55">
        <f ca="1">IFERROR(__xludf.DUMMYFUNCTION("""COMPUTED_VALUE"""),44530)</f>
        <v>44530</v>
      </c>
      <c r="O1816" s="25" t="str">
        <f t="shared" ca="1" si="0"/>
        <v>Secretaría Distrital de Desarrollo Económico</v>
      </c>
      <c r="P1816" s="25" t="str">
        <f t="shared" si="2"/>
        <v/>
      </c>
      <c r="Q1816" s="25" t="str">
        <f ca="1">IFERROR(__xludf.DUMMYFUNCTION("""COMPUTED_VALUE"""),"Corto plazo")</f>
        <v>Corto plazo</v>
      </c>
      <c r="R1816" s="25"/>
      <c r="S1816" s="55"/>
      <c r="T1816" s="56"/>
      <c r="U1816" s="25"/>
      <c r="V1816" s="25"/>
      <c r="W1816" s="25"/>
      <c r="X1816" s="25"/>
      <c r="Y1816" s="25"/>
      <c r="Z1816" s="25"/>
    </row>
    <row r="1817" spans="1:26" ht="52.5" customHeight="1" x14ac:dyDescent="0.25">
      <c r="A1817" s="25" t="str">
        <f ca="1">IFERROR(__xludf.DUMMYFUNCTION("""COMPUTED_VALUE"""),"Desar15")</f>
        <v>Desar15</v>
      </c>
      <c r="B1817" s="25" t="str">
        <f ca="1">IFERROR(__xludf.DUMMYFUNCTION("""COMPUTED_VALUE"""),"Comité Directivo Desarrollo Económico")</f>
        <v>Comité Directivo Desarrollo Económico</v>
      </c>
      <c r="C1817" s="55">
        <f ca="1">IFERROR(__xludf.DUMMYFUNCTION("""COMPUTED_VALUE"""),44466)</f>
        <v>44466</v>
      </c>
      <c r="D1817" s="25" t="str">
        <f ca="1">IFERROR(__xludf.DUMMYFUNCTION("""COMPUTED_VALUE"""),"Desarrollo_Económico")</f>
        <v>Desarrollo_Económico</v>
      </c>
      <c r="E1817" s="25" t="str">
        <f ca="1">IFERROR(__xludf.DUMMYFUNCTION("""COMPUTED_VALUE"""),"Secretaría Distrital de Desarrollo Económico")</f>
        <v>Secretaría Distrital de Desarrollo Económico</v>
      </c>
      <c r="F1817" s="25" t="str">
        <f ca="1">IFERROR(__xludf.DUMMYFUNCTION("""COMPUTED_VALUE"""),"Delegar a una persona de la Secretaría de Desarrollo Económico para definir temas a incluir en la agenda de  Despachando de la Cámara de Comercio")</f>
        <v>Delegar a una persona de la Secretaría de Desarrollo Económico para definir temas a incluir en la agenda de  Despachando de la Cámara de Comercio</v>
      </c>
      <c r="G1817" s="25" t="str">
        <f ca="1">IFERROR(__xludf.DUMMYFUNCTION("""COMPUTED_VALUE"""),"99. Distrito")</f>
        <v>99. Distrito</v>
      </c>
      <c r="H1817" s="55">
        <f ca="1">IFERROR(__xludf.DUMMYFUNCTION("""COMPUTED_VALUE"""),44561)</f>
        <v>44561</v>
      </c>
      <c r="I1817" s="25"/>
      <c r="J1817" s="55" t="str">
        <f ca="1">IFERROR(__xludf.DUMMYFUNCTION("""COMPUTED_VALUE"""),"Media")</f>
        <v>Media</v>
      </c>
      <c r="K1817" s="25">
        <f ca="1">IFERROR(__xludf.DUMMYFUNCTION("""COMPUTED_VALUE"""),95)</f>
        <v>95</v>
      </c>
      <c r="L1817" s="62"/>
      <c r="M1817" s="25"/>
      <c r="N1817" s="55">
        <f ca="1">IFERROR(__xludf.DUMMYFUNCTION("""COMPUTED_VALUE"""),44561)</f>
        <v>44561</v>
      </c>
      <c r="O1817" s="25" t="str">
        <f t="shared" ca="1" si="0"/>
        <v>Secretaría Distrital de Desarrollo Económico</v>
      </c>
      <c r="P1817" s="25" t="str">
        <f t="shared" si="2"/>
        <v/>
      </c>
      <c r="Q1817" s="25" t="str">
        <f ca="1">IFERROR(__xludf.DUMMYFUNCTION("""COMPUTED_VALUE"""),"Mediano plazo")</f>
        <v>Mediano plazo</v>
      </c>
      <c r="R1817" s="25"/>
      <c r="S1817" s="55"/>
      <c r="T1817" s="56"/>
      <c r="U1817" s="25"/>
      <c r="V1817" s="25"/>
      <c r="W1817" s="25"/>
      <c r="X1817" s="25"/>
      <c r="Y1817" s="25"/>
      <c r="Z1817" s="25"/>
    </row>
    <row r="1818" spans="1:26" ht="52.5" customHeight="1" x14ac:dyDescent="0.25">
      <c r="A1818" s="25" t="str">
        <f ca="1">IFERROR(__xludf.DUMMYFUNCTION("""COMPUTED_VALUE"""),"Desar16")</f>
        <v>Desar16</v>
      </c>
      <c r="B1818" s="25" t="str">
        <f ca="1">IFERROR(__xludf.DUMMYFUNCTION("""COMPUTED_VALUE"""),"Plan Navidad, iluminación y Bogotá 24 horas")</f>
        <v>Plan Navidad, iluminación y Bogotá 24 horas</v>
      </c>
      <c r="C1818" s="55">
        <f ca="1">IFERROR(__xludf.DUMMYFUNCTION("""COMPUTED_VALUE"""),44463)</f>
        <v>44463</v>
      </c>
      <c r="D1818" s="25" t="str">
        <f ca="1">IFERROR(__xludf.DUMMYFUNCTION("""COMPUTED_VALUE"""),"Desarrollo_Económico")</f>
        <v>Desarrollo_Económico</v>
      </c>
      <c r="E1818" s="25" t="str">
        <f ca="1">IFERROR(__xludf.DUMMYFUNCTION("""COMPUTED_VALUE"""),"Secretaría Distrital de Desarrollo Económico")</f>
        <v>Secretaría Distrital de Desarrollo Económico</v>
      </c>
      <c r="F1818" s="25" t="str">
        <f ca="1">IFERROR(__xludf.DUMMYFUNCTION("""COMPUTED_VALUE"""),"Asegurar que cada zona de cielo abierto debe eliminarse y auto organizarse")</f>
        <v>Asegurar que cada zona de cielo abierto debe eliminarse y auto organizarse</v>
      </c>
      <c r="G1818" s="25" t="str">
        <f ca="1">IFERROR(__xludf.DUMMYFUNCTION("""COMPUTED_VALUE"""),"99. Distrito")</f>
        <v>99. Distrito</v>
      </c>
      <c r="H1818" s="55">
        <f ca="1">IFERROR(__xludf.DUMMYFUNCTION("""COMPUTED_VALUE"""),44593)</f>
        <v>44593</v>
      </c>
      <c r="I1818" s="25"/>
      <c r="J1818" s="55" t="str">
        <f ca="1">IFERROR(__xludf.DUMMYFUNCTION("""COMPUTED_VALUE"""),"Media")</f>
        <v>Media</v>
      </c>
      <c r="K1818" s="25">
        <f ca="1">IFERROR(__xludf.DUMMYFUNCTION("""COMPUTED_VALUE"""),130)</f>
        <v>130</v>
      </c>
      <c r="L1818" s="62">
        <f ca="1">IFERROR(__xludf.DUMMYFUNCTION("""COMPUTED_VALUE"""),44530)</f>
        <v>44530</v>
      </c>
      <c r="M1818" s="25" t="str">
        <f ca="1">IFERROR(__xludf.DUMMYFUNCTION("""COMPUTED_VALUE"""),"La SDDE ha trabajado con los gerentes de zona de VACA las propuestas propias por zonas que incluyan una propuesta de navidad e iluminación autogestionada. Así, la SDDE expedirá una comunicación oficial indicando  las pautas sobre el tema de autocuidado y "&amp;"mejora de las zonas para BACA. ")</f>
        <v xml:space="preserve">La SDDE ha trabajado con los gerentes de zona de VACA las propuestas propias por zonas que incluyan una propuesta de navidad e iluminación autogestionada. Así, la SDDE expedirá una comunicación oficial indicando  las pautas sobre el tema de autocuidado y mejora de las zonas para BACA. </v>
      </c>
      <c r="N1818" s="55">
        <f ca="1">IFERROR(__xludf.DUMMYFUNCTION("""COMPUTED_VALUE"""),44530)</f>
        <v>44530</v>
      </c>
      <c r="O1818" s="25" t="str">
        <f t="shared" ca="1" si="0"/>
        <v>Secretaría Distrital de Desarrollo Económico</v>
      </c>
      <c r="P1818" s="25" t="str">
        <f t="shared" si="2"/>
        <v/>
      </c>
      <c r="Q1818" s="25" t="str">
        <f ca="1">IFERROR(__xludf.DUMMYFUNCTION("""COMPUTED_VALUE"""),"Mediano plazo")</f>
        <v>Mediano plazo</v>
      </c>
      <c r="R1818" s="25"/>
      <c r="S1818" s="55"/>
      <c r="T1818" s="56"/>
      <c r="U1818" s="25"/>
      <c r="V1818" s="25"/>
      <c r="W1818" s="25"/>
      <c r="X1818" s="25"/>
      <c r="Y1818" s="25"/>
      <c r="Z1818" s="25"/>
    </row>
    <row r="1819" spans="1:26" ht="52.5" customHeight="1" x14ac:dyDescent="0.25">
      <c r="A1819" s="25" t="str">
        <f ca="1">IFERROR(__xludf.DUMMYFUNCTION("""COMPUTED_VALUE"""),"Desar17")</f>
        <v>Desar17</v>
      </c>
      <c r="B1819" s="25" t="str">
        <f ca="1">IFERROR(__xludf.DUMMYFUNCTION("""COMPUTED_VALUE"""),"Despachando frentes de seguridad")</f>
        <v>Despachando frentes de seguridad</v>
      </c>
      <c r="C1819" s="55">
        <f ca="1">IFERROR(__xludf.DUMMYFUNCTION("""COMPUTED_VALUE"""),44459)</f>
        <v>44459</v>
      </c>
      <c r="D1819" s="25" t="str">
        <f ca="1">IFERROR(__xludf.DUMMYFUNCTION("""COMPUTED_VALUE"""),"Desarrollo_Económico")</f>
        <v>Desarrollo_Económico</v>
      </c>
      <c r="E1819" s="25" t="str">
        <f ca="1">IFERROR(__xludf.DUMMYFUNCTION("""COMPUTED_VALUE"""),"Secretaría Distrital de Desarrollo Económico")</f>
        <v>Secretaría Distrital de Desarrollo Económico</v>
      </c>
      <c r="F1819" s="25" t="str">
        <f ca="1">IFERROR(__xludf.DUMMYFUNCTION("""COMPUTED_VALUE"""),"Realizar una mesa de seguimiento con el colectivo de ciclistas donde se le muestre todo lo que se ha realizado, el articulado que se va a presentar en materia legislativa  y la oferta de créditos para empresarios del gremio. ")</f>
        <v xml:space="preserve">Realizar una mesa de seguimiento con el colectivo de ciclistas donde se le muestre todo lo que se ha realizado, el articulado que se va a presentar en materia legislativa  y la oferta de créditos para empresarios del gremio. </v>
      </c>
      <c r="G1819" s="25" t="str">
        <f ca="1">IFERROR(__xludf.DUMMYFUNCTION("""COMPUTED_VALUE"""),"99. Distrito")</f>
        <v>99. Distrito</v>
      </c>
      <c r="H1819" s="55">
        <f ca="1">IFERROR(__xludf.DUMMYFUNCTION("""COMPUTED_VALUE"""),44489)</f>
        <v>44489</v>
      </c>
      <c r="I1819" s="25"/>
      <c r="J1819" s="55" t="str">
        <f ca="1">IFERROR(__xludf.DUMMYFUNCTION("""COMPUTED_VALUE"""),"Alta")</f>
        <v>Alta</v>
      </c>
      <c r="K1819" s="25">
        <f ca="1">IFERROR(__xludf.DUMMYFUNCTION("""COMPUTED_VALUE"""),30)</f>
        <v>30</v>
      </c>
      <c r="L1819" s="62"/>
      <c r="M1819" s="25"/>
      <c r="N1819" s="55">
        <f ca="1">IFERROR(__xludf.DUMMYFUNCTION("""COMPUTED_VALUE"""),44927)</f>
        <v>44927</v>
      </c>
      <c r="O1819" s="25" t="str">
        <f t="shared" ca="1" si="0"/>
        <v>Secretaría Distrital de Desarrollo Económico</v>
      </c>
      <c r="P1819" s="25" t="str">
        <f t="shared" si="2"/>
        <v/>
      </c>
      <c r="Q1819" s="25" t="str">
        <f ca="1">IFERROR(__xludf.DUMMYFUNCTION("""COMPUTED_VALUE"""),"Corto plazo")</f>
        <v>Corto plazo</v>
      </c>
      <c r="R1819" s="25"/>
      <c r="S1819" s="55"/>
      <c r="T1819" s="56"/>
      <c r="U1819" s="25"/>
      <c r="V1819" s="25"/>
      <c r="W1819" s="25"/>
      <c r="X1819" s="25"/>
      <c r="Y1819" s="25"/>
      <c r="Z1819" s="25"/>
    </row>
    <row r="1820" spans="1:26" ht="52.5" customHeight="1" x14ac:dyDescent="0.25">
      <c r="A1820" s="25" t="str">
        <f ca="1">IFERROR(__xludf.DUMMYFUNCTION("""COMPUTED_VALUE"""),"Desar18")</f>
        <v>Desar18</v>
      </c>
      <c r="B1820" s="25" t="str">
        <f ca="1">IFERROR(__xludf.DUMMYFUNCTION("""COMPUTED_VALUE"""),"Despachando asobares")</f>
        <v>Despachando asobares</v>
      </c>
      <c r="C1820" s="55">
        <f ca="1">IFERROR(__xludf.DUMMYFUNCTION("""COMPUTED_VALUE"""),44453)</f>
        <v>44453</v>
      </c>
      <c r="D1820" s="25" t="str">
        <f ca="1">IFERROR(__xludf.DUMMYFUNCTION("""COMPUTED_VALUE"""),"Desarrollo_Económico")</f>
        <v>Desarrollo_Económico</v>
      </c>
      <c r="E1820" s="25" t="str">
        <f ca="1">IFERROR(__xludf.DUMMYFUNCTION("""COMPUTED_VALUE"""),"Secretaría Distrital de Desarrollo Económico")</f>
        <v>Secretaría Distrital de Desarrollo Económico</v>
      </c>
      <c r="F1820" s="25" t="str">
        <f ca="1">IFERROR(__xludf.DUMMYFUNCTION("""COMPUTED_VALUE"""),"Realizar mesas con Desarrollo Económico para la definición de zonas de pilotaje 24")</f>
        <v>Realizar mesas con Desarrollo Económico para la definición de zonas de pilotaje 24</v>
      </c>
      <c r="G1820" s="25" t="str">
        <f ca="1">IFERROR(__xludf.DUMMYFUNCTION("""COMPUTED_VALUE"""),"99. Distrito")</f>
        <v>99. Distrito</v>
      </c>
      <c r="H1820" s="55">
        <f ca="1">IFERROR(__xludf.DUMMYFUNCTION("""COMPUTED_VALUE"""),44483)</f>
        <v>44483</v>
      </c>
      <c r="I1820" s="25"/>
      <c r="J1820" s="55" t="str">
        <f ca="1">IFERROR(__xludf.DUMMYFUNCTION("""COMPUTED_VALUE"""),"Alta")</f>
        <v>Alta</v>
      </c>
      <c r="K1820" s="25">
        <f ca="1">IFERROR(__xludf.DUMMYFUNCTION("""COMPUTED_VALUE"""),30)</f>
        <v>30</v>
      </c>
      <c r="L1820" s="62">
        <f ca="1">IFERROR(__xludf.DUMMYFUNCTION("""COMPUTED_VALUE"""),44502)</f>
        <v>44502</v>
      </c>
      <c r="M1820" s="25" t="str">
        <f ca="1">IFERROR(__xludf.DUMMYFUNCTION("""COMPUTED_VALUE"""),"Se han realizado mesas técnicas con Secretaría de Seguridad y Fenalco para verificar los polígonos donde se realizarán las activaciones de Bogotá 24 horas. Adicionalmente se ha realizado visitas en las zonas y reuniones con alcaldía local y empresarios en"&amp;" las zonas de Usaquén, La Candelaria, La Macarena, Barrio San Felipe, 12 de Octubre, El Restrepo, La Alquería, El Bronx Distrito Creativo.  La reunión con Asobares se realiza el 24 de Septiembre en horas de la tarde. 
Las zonas establecidas son las sigui"&amp;"entes
1. Localidad Fontibón:  Piloto de Cargue y descargue de mercancías en horarios no convencionales liderado por Secretaría de Movilidad.
2. Localidad Antonio Nariño - Zona: en el Barrio El restrepo. Actividad Feria Comercial de dos fines de semana (F"&amp;"DS)
3. Localidad Usaquén - Zona Plaza Fundacional - Actividad Feria Comercial de dos FDS.
4. Localidad Barrios Unidos - Zona 12 de Octubre y el Gaitán- Actividad Feria Comercial de dos FDS
5. Localidad La Candelaria - Zona La Candelaria - Actividad: activ"&amp;"ación 24 horas con la Fundación Gilberto Alzate, Primera Noche de Museos, feria comercial de artistas, activación de comercios e instituciones, reactivación de sector de industrias creativas y culturales, gastronomía, plazas de mercado, joyería y turismo."&amp;"
6. Localidad Santafé - Zonas: Macarena, San Diego, Calle Bonita, Museo Nacional, Centro Internacional, Perseverancia, Planetario. Activación ruta gastronómica y turística.
7. Localidad Mártires - Zona: Bronx. Activación Feria Comercial de dos FDS, con of"&amp;"erta cultural y artística permanente a cargo de la FUGA.
8. Localidad Ciudad Bolívar - Zona: El Lucero o Ismael Perdomo. Activación Feria Comercial de un FDS.
9. Localidad Kennedy - Zona: Techo. Activación Feria Comercial de un FDS.
10. Localidad Chapiner"&amp;"o - Zona: Zona T. Activación Feria Comercial de un FDS.
11. Localidad Puente Aranda - Zona: La Alquería. Activación Feria Comercial de un FDS.")</f>
        <v>Se han realizado mesas técnicas con Secretaría de Seguridad y Fenalco para verificar los polígonos donde se realizarán las activaciones de Bogotá 24 horas. Adicionalmente se ha realizado visitas en las zonas y reuniones con alcaldía local y empresarios en las zonas de Usaquén, La Candelaria, La Macarena, Barrio San Felipe, 12 de Octubre, El Restrepo, La Alquería, El Bronx Distrito Creativo.  La reunión con Asobares se realiza el 24 de Septiembre en horas de la tarde. 
Las zonas establecidas son las siguientes
1. Localidad Fontibón:  Piloto de Cargue y descargue de mercancías en horarios no convencionales liderado por Secretaría de Movilidad.
2. Localidad Antonio Nariño - Zona: en el Barrio El restrepo. Actividad Feria Comercial de dos fines de semana (FDS)
3. Localidad Usaquén - Zona Plaza Fundacional - Actividad Feria Comercial de dos FDS.
4. Localidad Barrios Unidos - Zona 12 de Octubre y el Gaitán- Actividad Feria Comercial de dos FDS
5. Localidad La Candelaria - Zona La Candelaria - Actividad: activación 24 horas con la Fundación Gilberto Alzate, Primera Noche de Museos, feria comercial de artistas, activación de comercios e instituciones, reactivación de sector de industrias creativas y culturales, gastronomía, plazas de mercado, joyería y turismo.
6. Localidad Santafé - Zonas: Macarena, San Diego, Calle Bonita, Museo Nacional, Centro Internacional, Perseverancia, Planetario. Activación ruta gastronómica y turística.
7. Localidad Mártires - Zona: Bronx. Activación Feria Comercial de dos FDS, con oferta cultural y artística permanente a cargo de la FUGA.
8. Localidad Ciudad Bolívar - Zona: El Lucero o Ismael Perdomo. Activación Feria Comercial de un FDS.
9. Localidad Kennedy - Zona: Techo. Activación Feria Comercial de un FDS.
10. Localidad Chapinero - Zona: Zona T. Activación Feria Comercial de un FDS.
11. Localidad Puente Aranda - Zona: La Alquería. Activación Feria Comercial de un FDS.</v>
      </c>
      <c r="N1820" s="55">
        <f ca="1">IFERROR(__xludf.DUMMYFUNCTION("""COMPUTED_VALUE"""),44502)</f>
        <v>44502</v>
      </c>
      <c r="O1820" s="25" t="str">
        <f t="shared" ca="1" si="0"/>
        <v>Secretaría Distrital de Desarrollo Económico</v>
      </c>
      <c r="P1820" s="25" t="str">
        <f t="shared" si="2"/>
        <v/>
      </c>
      <c r="Q1820" s="25" t="str">
        <f ca="1">IFERROR(__xludf.DUMMYFUNCTION("""COMPUTED_VALUE"""),"Corto plazo")</f>
        <v>Corto plazo</v>
      </c>
      <c r="R1820" s="25"/>
      <c r="S1820" s="55"/>
      <c r="T1820" s="56"/>
      <c r="U1820" s="25"/>
      <c r="V1820" s="25"/>
      <c r="W1820" s="25"/>
      <c r="X1820" s="25"/>
      <c r="Y1820" s="25"/>
      <c r="Z1820" s="25"/>
    </row>
    <row r="1821" spans="1:26" ht="52.5" customHeight="1" x14ac:dyDescent="0.25">
      <c r="A1821" s="25" t="str">
        <f ca="1">IFERROR(__xludf.DUMMYFUNCTION("""COMPUTED_VALUE"""),"Desar19")</f>
        <v>Desar19</v>
      </c>
      <c r="B1821" s="25" t="str">
        <f ca="1">IFERROR(__xludf.DUMMYFUNCTION("""COMPUTED_VALUE"""),"Despachando asobares")</f>
        <v>Despachando asobares</v>
      </c>
      <c r="C1821" s="55">
        <f ca="1">IFERROR(__xludf.DUMMYFUNCTION("""COMPUTED_VALUE"""),44453)</f>
        <v>44453</v>
      </c>
      <c r="D1821" s="25" t="str">
        <f ca="1">IFERROR(__xludf.DUMMYFUNCTION("""COMPUTED_VALUE"""),"Desarrollo_Económico")</f>
        <v>Desarrollo_Económico</v>
      </c>
      <c r="E1821" s="25" t="str">
        <f ca="1">IFERROR(__xludf.DUMMYFUNCTION("""COMPUTED_VALUE"""),"Secretaría Distrital de Desarrollo Económico")</f>
        <v>Secretaría Distrital de Desarrollo Económico</v>
      </c>
      <c r="F1821" s="25" t="str">
        <f ca="1">IFERROR(__xludf.DUMMYFUNCTION("""COMPUTED_VALUE"""),"Realizar una mesa de seguimiento con asobares donde se le muestre todo lo que se ha realizado y los logros más significativos. ")</f>
        <v xml:space="preserve">Realizar una mesa de seguimiento con asobares donde se le muestre todo lo que se ha realizado y los logros más significativos. </v>
      </c>
      <c r="G1821" s="25" t="str">
        <f ca="1">IFERROR(__xludf.DUMMYFUNCTION("""COMPUTED_VALUE"""),"99. Distrito")</f>
        <v>99. Distrito</v>
      </c>
      <c r="H1821" s="55">
        <f ca="1">IFERROR(__xludf.DUMMYFUNCTION("""COMPUTED_VALUE"""),44483)</f>
        <v>44483</v>
      </c>
      <c r="I1821" s="25"/>
      <c r="J1821" s="55" t="str">
        <f ca="1">IFERROR(__xludf.DUMMYFUNCTION("""COMPUTED_VALUE"""),"Alta")</f>
        <v>Alta</v>
      </c>
      <c r="K1821" s="25">
        <f ca="1">IFERROR(__xludf.DUMMYFUNCTION("""COMPUTED_VALUE"""),30)</f>
        <v>30</v>
      </c>
      <c r="L1821" s="62">
        <f ca="1">IFERROR(__xludf.DUMMYFUNCTION("""COMPUTED_VALUE"""),44530)</f>
        <v>44530</v>
      </c>
      <c r="M1821" s="25" t="str">
        <f ca="1">IFERROR(__xludf.DUMMYFUNCTION("""COMPUTED_VALUE"""),"El martes 23 de noviembre se llevó a cabo la reunión de EMRE Sector Privado en la cual participó la Alcaldesa Mayor, la Secretaría de Desarrollo Económico, el Secretario de Cultura, Recreación y Deporte, representantes de la Secretaría Distrital de Salud "&amp;"junto con los empresarios y representantes gremiales de diferentes sectores económicos que componen la mesa de trabajo. Dentro de los puntos abordados en la reunión se trató la estrategia distrital para Navidad y fin de año, los indicadores de reactivació"&amp;"n económica y la exigencia del carnet de vacunación. Asobares participó con la Directora Ejecutiva Nacional, Adriana Plata, quién diálogo y expresó las reflexiones desde la perspectiva del sector nocturno. EMRE Privado")</f>
        <v>El martes 23 de noviembre se llevó a cabo la reunión de EMRE Sector Privado en la cual participó la Alcaldesa Mayor, la Secretaría de Desarrollo Económico, el Secretario de Cultura, Recreación y Deporte, representantes de la Secretaría Distrital de Salud junto con los empresarios y representantes gremiales de diferentes sectores económicos que componen la mesa de trabajo. Dentro de los puntos abordados en la reunión se trató la estrategia distrital para Navidad y fin de año, los indicadores de reactivación económica y la exigencia del carnet de vacunación. Asobares participó con la Directora Ejecutiva Nacional, Adriana Plata, quién diálogo y expresó las reflexiones desde la perspectiva del sector nocturno. EMRE Privado</v>
      </c>
      <c r="N1821" s="55">
        <f ca="1">IFERROR(__xludf.DUMMYFUNCTION("""COMPUTED_VALUE"""),44530)</f>
        <v>44530</v>
      </c>
      <c r="O1821" s="25" t="str">
        <f t="shared" ca="1" si="0"/>
        <v>Secretaría Distrital de Desarrollo Económico</v>
      </c>
      <c r="P1821" s="25" t="str">
        <f t="shared" si="2"/>
        <v/>
      </c>
      <c r="Q1821" s="25" t="str">
        <f ca="1">IFERROR(__xludf.DUMMYFUNCTION("""COMPUTED_VALUE"""),"Corto plazo")</f>
        <v>Corto plazo</v>
      </c>
      <c r="R1821" s="25"/>
      <c r="S1821" s="55"/>
      <c r="T1821" s="56"/>
      <c r="U1821" s="25"/>
      <c r="V1821" s="25"/>
      <c r="W1821" s="25"/>
      <c r="X1821" s="25"/>
      <c r="Y1821" s="25"/>
      <c r="Z1821" s="25"/>
    </row>
    <row r="1822" spans="1:26" ht="52.5" customHeight="1" x14ac:dyDescent="0.25">
      <c r="A1822" s="25" t="str">
        <f ca="1">IFERROR(__xludf.DUMMYFUNCTION("""COMPUTED_VALUE"""),"Desar20")</f>
        <v>Desar20</v>
      </c>
      <c r="B1822" s="25" t="str">
        <f ca="1">IFERROR(__xludf.DUMMYFUNCTION("""COMPUTED_VALUE"""),"Despachando Fenalco")</f>
        <v>Despachando Fenalco</v>
      </c>
      <c r="C1822" s="55">
        <f ca="1">IFERROR(__xludf.DUMMYFUNCTION("""COMPUTED_VALUE"""),44452)</f>
        <v>44452</v>
      </c>
      <c r="D1822" s="25" t="str">
        <f ca="1">IFERROR(__xludf.DUMMYFUNCTION("""COMPUTED_VALUE"""),"Desarrollo_Económico")</f>
        <v>Desarrollo_Económico</v>
      </c>
      <c r="E1822" s="25" t="str">
        <f ca="1">IFERROR(__xludf.DUMMYFUNCTION("""COMPUTED_VALUE"""),"Secretaría Distrital de Desarrollo Económico")</f>
        <v>Secretaría Distrital de Desarrollo Económico</v>
      </c>
      <c r="F1822" s="25" t="str">
        <f ca="1">IFERROR(__xludf.DUMMYFUNCTION("""COMPUTED_VALUE"""),"Formalizar acuerdos entre comerciantes, DADEP y las alcaldías locales, para el mantenimiento del espacio público, así como la promoción de Jornadas 24 horas durante el fin de año. ")</f>
        <v xml:space="preserve">Formalizar acuerdos entre comerciantes, DADEP y las alcaldías locales, para el mantenimiento del espacio público, así como la promoción de Jornadas 24 horas durante el fin de año. </v>
      </c>
      <c r="G1822" s="25" t="str">
        <f ca="1">IFERROR(__xludf.DUMMYFUNCTION("""COMPUTED_VALUE"""),"99. Distrito")</f>
        <v>99. Distrito</v>
      </c>
      <c r="H1822" s="55">
        <f ca="1">IFERROR(__xludf.DUMMYFUNCTION("""COMPUTED_VALUE"""),44482)</f>
        <v>44482</v>
      </c>
      <c r="I1822" s="25"/>
      <c r="J1822" s="55" t="str">
        <f ca="1">IFERROR(__xludf.DUMMYFUNCTION("""COMPUTED_VALUE"""),"Alta")</f>
        <v>Alta</v>
      </c>
      <c r="K1822" s="25">
        <f ca="1">IFERROR(__xludf.DUMMYFUNCTION("""COMPUTED_VALUE"""),30)</f>
        <v>30</v>
      </c>
      <c r="L1822" s="62">
        <f ca="1">IFERROR(__xludf.DUMMYFUNCTION("""COMPUTED_VALUE"""),44530)</f>
        <v>44530</v>
      </c>
      <c r="M1822" s="25" t="str">
        <f ca="1">IFERROR(__xludf.DUMMYFUNCTION("""COMPUTED_VALUE"""),"Los Acuerdos de mantenimiento del espacio público no son competencia del Sector Desarrollo económico, sino del DADEP. Sin embargo en el marco de la implementación de Bogotá 24 horas, se han desarrollado reuniones con las Alcaldías Locales para compartir l"&amp;"a apuesta de activación de la Economía nocturna, con miras al aprovechamiento económico del espacio público. Para este propósito, y desde el mes de agosto, se han ido gestando unas mesas técnicas de trabajo con las Alcaldías Locales de Candelaria, Santafé"&amp;", Barrios Unidos, Puente Aranda y Usaquén. El compromiso al que hemos llegado, en términos generales, responde a la necesidad de dejar definidos los aportes -desde las alcaldías locales- para la promoción de actividades cívicas, culturales y artísticas en"&amp;" el marco de la implementación de la Estrategia. De igual manera, se resaltó la labor fundamental de cada Alcaldía para la gestión de los permisos derivados de este aprovechamiento económico del espacio público. Fechas de reuniones: 13 de octubre con Cand"&amp;"elaria - Puente Aranda Viernes 8 de octubre - El 12 de octubre con Puente Aranda y Ciudad Bolívar. ")</f>
        <v xml:space="preserve">Los Acuerdos de mantenimiento del espacio público no son competencia del Sector Desarrollo económico, sino del DADEP. Sin embargo en el marco de la implementación de Bogotá 24 horas, se han desarrollado reuniones con las Alcaldías Locales para compartir la apuesta de activación de la Economía nocturna, con miras al aprovechamiento económico del espacio público. Para este propósito, y desde el mes de agosto, se han ido gestando unas mesas técnicas de trabajo con las Alcaldías Locales de Candelaria, Santafé, Barrios Unidos, Puente Aranda y Usaquén. El compromiso al que hemos llegado, en términos generales, responde a la necesidad de dejar definidos los aportes -desde las alcaldías locales- para la promoción de actividades cívicas, culturales y artísticas en el marco de la implementación de la Estrategia. De igual manera, se resaltó la labor fundamental de cada Alcaldía para la gestión de los permisos derivados de este aprovechamiento económico del espacio público. Fechas de reuniones: 13 de octubre con Candelaria - Puente Aranda Viernes 8 de octubre - El 12 de octubre con Puente Aranda y Ciudad Bolívar. </v>
      </c>
      <c r="N1822" s="55">
        <f ca="1">IFERROR(__xludf.DUMMYFUNCTION("""COMPUTED_VALUE"""),44530)</f>
        <v>44530</v>
      </c>
      <c r="O1822" s="25" t="str">
        <f t="shared" ca="1" si="0"/>
        <v>Secretaría Distrital de Desarrollo Económico</v>
      </c>
      <c r="P1822" s="25" t="str">
        <f t="shared" si="2"/>
        <v/>
      </c>
      <c r="Q1822" s="25" t="str">
        <f ca="1">IFERROR(__xludf.DUMMYFUNCTION("""COMPUTED_VALUE"""),"Corto plazo")</f>
        <v>Corto plazo</v>
      </c>
      <c r="R1822" s="25"/>
      <c r="S1822" s="55"/>
      <c r="T1822" s="56"/>
      <c r="U1822" s="25"/>
      <c r="V1822" s="25"/>
      <c r="W1822" s="25"/>
      <c r="X1822" s="25"/>
      <c r="Y1822" s="25"/>
      <c r="Z1822" s="25"/>
    </row>
    <row r="1823" spans="1:26" ht="52.5" customHeight="1" x14ac:dyDescent="0.25">
      <c r="A1823" s="25" t="str">
        <f ca="1">IFERROR(__xludf.DUMMYFUNCTION("""COMPUTED_VALUE"""),"Desar21")</f>
        <v>Desar21</v>
      </c>
      <c r="B1823" s="25" t="str">
        <f ca="1">IFERROR(__xludf.DUMMYFUNCTION("""COMPUTED_VALUE"""),"Despachando Fenalco")</f>
        <v>Despachando Fenalco</v>
      </c>
      <c r="C1823" s="55">
        <f ca="1">IFERROR(__xludf.DUMMYFUNCTION("""COMPUTED_VALUE"""),44452)</f>
        <v>44452</v>
      </c>
      <c r="D1823" s="25" t="str">
        <f ca="1">IFERROR(__xludf.DUMMYFUNCTION("""COMPUTED_VALUE"""),"Desarrollo_Económico")</f>
        <v>Desarrollo_Económico</v>
      </c>
      <c r="E1823" s="25" t="str">
        <f ca="1">IFERROR(__xludf.DUMMYFUNCTION("""COMPUTED_VALUE"""),"Secretaría Distrital de Desarrollo Económico")</f>
        <v>Secretaría Distrital de Desarrollo Económico</v>
      </c>
      <c r="F1823" s="25" t="str">
        <f ca="1">IFERROR(__xludf.DUMMYFUNCTION("""COMPUTED_VALUE"""),"Creación de mesa de trabajo, para entrega de información sobre bandas por parte de comerciantes. Prioritario.")</f>
        <v>Creación de mesa de trabajo, para entrega de información sobre bandas por parte de comerciantes. Prioritario.</v>
      </c>
      <c r="G1823" s="25" t="str">
        <f ca="1">IFERROR(__xludf.DUMMYFUNCTION("""COMPUTED_VALUE"""),"99. Distrito")</f>
        <v>99. Distrito</v>
      </c>
      <c r="H1823" s="55">
        <f ca="1">IFERROR(__xludf.DUMMYFUNCTION("""COMPUTED_VALUE"""),44482)</f>
        <v>44482</v>
      </c>
      <c r="I1823" s="25"/>
      <c r="J1823" s="55" t="str">
        <f ca="1">IFERROR(__xludf.DUMMYFUNCTION("""COMPUTED_VALUE"""),"Alta")</f>
        <v>Alta</v>
      </c>
      <c r="K1823" s="25">
        <f ca="1">IFERROR(__xludf.DUMMYFUNCTION("""COMPUTED_VALUE"""),30)</f>
        <v>30</v>
      </c>
      <c r="L1823" s="62">
        <f ca="1">IFERROR(__xludf.DUMMYFUNCTION("""COMPUTED_VALUE"""),44551)</f>
        <v>44551</v>
      </c>
      <c r="M1823" s="25" t="str">
        <f ca="1">IFERROR(__xludf.DUMMYFUNCTION("""COMPUTED_VALUE"""),"La Secretaría de Seguridad llevó a cabo una mesa en la localidad de Antonio Nariño el 25 de octubre de 2021. A la fecha no se han recibido solicitudes adicionales para llevar a cabo mesas en otras localidades.")</f>
        <v>La Secretaría de Seguridad llevó a cabo una mesa en la localidad de Antonio Nariño el 25 de octubre de 2021. A la fecha no se han recibido solicitudes adicionales para llevar a cabo mesas en otras localidades.</v>
      </c>
      <c r="N1823" s="55">
        <f ca="1">IFERROR(__xludf.DUMMYFUNCTION("""COMPUTED_VALUE"""),44551)</f>
        <v>44551</v>
      </c>
      <c r="O1823" s="25" t="str">
        <f t="shared" ca="1" si="0"/>
        <v>Secretaría Distrital de Desarrollo Económico</v>
      </c>
      <c r="P1823" s="25" t="str">
        <f t="shared" si="2"/>
        <v/>
      </c>
      <c r="Q1823" s="25" t="str">
        <f ca="1">IFERROR(__xludf.DUMMYFUNCTION("""COMPUTED_VALUE"""),"Corto plazo")</f>
        <v>Corto plazo</v>
      </c>
      <c r="R1823" s="25"/>
      <c r="S1823" s="55"/>
      <c r="T1823" s="56"/>
      <c r="U1823" s="25"/>
      <c r="V1823" s="25"/>
      <c r="W1823" s="25"/>
      <c r="X1823" s="25"/>
      <c r="Y1823" s="25"/>
      <c r="Z1823" s="25"/>
    </row>
    <row r="1824" spans="1:26" ht="52.5" customHeight="1" x14ac:dyDescent="0.25">
      <c r="A1824" s="25" t="str">
        <f ca="1">IFERROR(__xludf.DUMMYFUNCTION("""COMPUTED_VALUE"""),"Desar22")</f>
        <v>Desar22</v>
      </c>
      <c r="B1824" s="25" t="str">
        <f ca="1">IFERROR(__xludf.DUMMYFUNCTION("""COMPUTED_VALUE"""),"Despachando Fenalco")</f>
        <v>Despachando Fenalco</v>
      </c>
      <c r="C1824" s="55">
        <f ca="1">IFERROR(__xludf.DUMMYFUNCTION("""COMPUTED_VALUE"""),44452)</f>
        <v>44452</v>
      </c>
      <c r="D1824" s="25" t="str">
        <f ca="1">IFERROR(__xludf.DUMMYFUNCTION("""COMPUTED_VALUE"""),"Desarrollo_Económico")</f>
        <v>Desarrollo_Económico</v>
      </c>
      <c r="E1824" s="25" t="str">
        <f ca="1">IFERROR(__xludf.DUMMYFUNCTION("""COMPUTED_VALUE"""),"Secretaría Distrital de Desarrollo Económico")</f>
        <v>Secretaría Distrital de Desarrollo Económico</v>
      </c>
      <c r="F1824" s="25" t="str">
        <f ca="1">IFERROR(__xludf.DUMMYFUNCTION("""COMPUTED_VALUE"""),"Realizar mesa de entrega de nueva información sobre bandas por parte de comerciales. ")</f>
        <v xml:space="preserve">Realizar mesa de entrega de nueva información sobre bandas por parte de comerciales. </v>
      </c>
      <c r="G1824" s="25" t="str">
        <f ca="1">IFERROR(__xludf.DUMMYFUNCTION("""COMPUTED_VALUE"""),"99. Distrito")</f>
        <v>99. Distrito</v>
      </c>
      <c r="H1824" s="55">
        <f ca="1">IFERROR(__xludf.DUMMYFUNCTION("""COMPUTED_VALUE"""),44482)</f>
        <v>44482</v>
      </c>
      <c r="I1824" s="25"/>
      <c r="J1824" s="55" t="str">
        <f ca="1">IFERROR(__xludf.DUMMYFUNCTION("""COMPUTED_VALUE"""),"Alta")</f>
        <v>Alta</v>
      </c>
      <c r="K1824" s="25">
        <f ca="1">IFERROR(__xludf.DUMMYFUNCTION("""COMPUTED_VALUE"""),30)</f>
        <v>30</v>
      </c>
      <c r="L1824" s="62">
        <f ca="1">IFERROR(__xludf.DUMMYFUNCTION("""COMPUTED_VALUE"""),44530)</f>
        <v>44530</v>
      </c>
      <c r="M1824" s="25" t="str">
        <f ca="1">IFERROR(__xludf.DUMMYFUNCTION("""COMPUTED_VALUE"""),"La reunión se realizó mediante la convocatoria hecha por la entidad y contó con la participación de empresarios del sector de eventos masivos y representantes gremiales. Adicionalmente, por parte de las instituciones distritales participó tanto la Secreta"&amp;"ría Distrital de Salud y la Secretaría Distrital de Cultura, Recreación y Deporte. Dentro de la agenda tratada se revisó la normatividad para la realización de eventos masivos, se discutió la posibilidad de la exigencia del carnet de vacunación y el panor"&amp;"ama de reactivación económica para el fin de año.")</f>
        <v>La reunión se realizó mediante la convocatoria hecha por la entidad y contó con la participación de empresarios del sector de eventos masivos y representantes gremiales. Adicionalmente, por parte de las instituciones distritales participó tanto la Secretaría Distrital de Salud y la Secretaría Distrital de Cultura, Recreación y Deporte. Dentro de la agenda tratada se revisó la normatividad para la realización de eventos masivos, se discutió la posibilidad de la exigencia del carnet de vacunación y el panorama de reactivación económica para el fin de año.</v>
      </c>
      <c r="N1824" s="55">
        <f ca="1">IFERROR(__xludf.DUMMYFUNCTION("""COMPUTED_VALUE"""),44530)</f>
        <v>44530</v>
      </c>
      <c r="O1824" s="25" t="str">
        <f t="shared" ca="1" si="0"/>
        <v>Secretaría Distrital de Desarrollo Económico</v>
      </c>
      <c r="P1824" s="25" t="str">
        <f t="shared" si="2"/>
        <v/>
      </c>
      <c r="Q1824" s="25" t="str">
        <f ca="1">IFERROR(__xludf.DUMMYFUNCTION("""COMPUTED_VALUE"""),"Corto plazo")</f>
        <v>Corto plazo</v>
      </c>
      <c r="R1824" s="25"/>
      <c r="S1824" s="55"/>
      <c r="T1824" s="56"/>
      <c r="U1824" s="25"/>
      <c r="V1824" s="25"/>
      <c r="W1824" s="25"/>
      <c r="X1824" s="25"/>
      <c r="Y1824" s="25"/>
      <c r="Z1824" s="25"/>
    </row>
    <row r="1825" spans="1:26" ht="52.5" customHeight="1" x14ac:dyDescent="0.25">
      <c r="A1825" s="25" t="str">
        <f ca="1">IFERROR(__xludf.DUMMYFUNCTION("""COMPUTED_VALUE"""),"Desar23")</f>
        <v>Desar23</v>
      </c>
      <c r="B1825" s="25" t="str">
        <f ca="1">IFERROR(__xludf.DUMMYFUNCTION("""COMPUTED_VALUE"""),"Despachando Fenalco")</f>
        <v>Despachando Fenalco</v>
      </c>
      <c r="C1825" s="55">
        <f ca="1">IFERROR(__xludf.DUMMYFUNCTION("""COMPUTED_VALUE"""),44452)</f>
        <v>44452</v>
      </c>
      <c r="D1825" s="25" t="str">
        <f ca="1">IFERROR(__xludf.DUMMYFUNCTION("""COMPUTED_VALUE"""),"Desarrollo_Económico")</f>
        <v>Desarrollo_Económico</v>
      </c>
      <c r="E1825" s="25" t="str">
        <f ca="1">IFERROR(__xludf.DUMMYFUNCTION("""COMPUTED_VALUE"""),"Secretaría Distrital de Desarrollo Económico")</f>
        <v>Secretaría Distrital de Desarrollo Económico</v>
      </c>
      <c r="F1825" s="25" t="str">
        <f ca="1">IFERROR(__xludf.DUMMYFUNCTION("""COMPUTED_VALUE"""),"Definir y dar inicio al Plan de reactivación económica debe cumplir con los subsidios a microempresarios para nóminas.")</f>
        <v>Definir y dar inicio al Plan de reactivación económica debe cumplir con los subsidios a microempresarios para nóminas.</v>
      </c>
      <c r="G1825" s="25" t="str">
        <f ca="1">IFERROR(__xludf.DUMMYFUNCTION("""COMPUTED_VALUE"""),"99. Distrito")</f>
        <v>99. Distrito</v>
      </c>
      <c r="H1825" s="55">
        <f ca="1">IFERROR(__xludf.DUMMYFUNCTION("""COMPUTED_VALUE"""),44482)</f>
        <v>44482</v>
      </c>
      <c r="I1825" s="25"/>
      <c r="J1825" s="55" t="str">
        <f ca="1">IFERROR(__xludf.DUMMYFUNCTION("""COMPUTED_VALUE"""),"Alta")</f>
        <v>Alta</v>
      </c>
      <c r="K1825" s="25">
        <f ca="1">IFERROR(__xludf.DUMMYFUNCTION("""COMPUTED_VALUE"""),30)</f>
        <v>30</v>
      </c>
      <c r="L1825" s="62">
        <f ca="1">IFERROR(__xludf.DUMMYFUNCTION("""COMPUTED_VALUE"""),44463)</f>
        <v>44463</v>
      </c>
      <c r="M1825" s="25" t="str">
        <f ca="1">IFERROR(__xludf.DUMMYFUNCTION("""COMPUTED_VALUE"""),"Se diseñó el programa Empleo Joven para facilitar la inserción laboral de jóvenes (mujeres jóvenes, hombres jóvenes y jóvenes de otras identidades sexuales) entre los 18 y 28 años de edad, a través de un alivio en la nómina correspondiente al 55% de un Sa"&amp;"lario Mínimo Mensual Legal Vigente (SMMLV), más las prestaciones sociales, los aportes al Sistema de Seguridad Social Integral y el auxilio de transporte derivados de ese SMMLV. El alivio será entregado hasta por tres (3) meses consecutivos. Las empresas "&amp;"tendrán disponibles 50.000 cupos para la contratación de jóvenes, de los cuales se destinarán aproximadamente 10.000 para el 2021.")</f>
        <v>Se diseñó el programa Empleo Joven para facilitar la inserción laboral de jóvenes (mujeres jóvenes, hombres jóvenes y jóvenes de otras identidades sexuales) entre los 18 y 28 años de edad, a través de un alivio en la nómina correspondiente al 55% de un Salario Mínimo Mensual Legal Vigente (SMMLV), más las prestaciones sociales, los aportes al Sistema de Seguridad Social Integral y el auxilio de transporte derivados de ese SMMLV. El alivio será entregado hasta por tres (3) meses consecutivos. Las empresas tendrán disponibles 50.000 cupos para la contratación de jóvenes, de los cuales se destinarán aproximadamente 10.000 para el 2021.</v>
      </c>
      <c r="N1825" s="55">
        <f ca="1">IFERROR(__xludf.DUMMYFUNCTION("""COMPUTED_VALUE"""),44463)</f>
        <v>44463</v>
      </c>
      <c r="O1825" s="25" t="str">
        <f t="shared" ca="1" si="0"/>
        <v>Secretaría Distrital de Desarrollo Económico</v>
      </c>
      <c r="P1825" s="25" t="str">
        <f t="shared" si="2"/>
        <v/>
      </c>
      <c r="Q1825" s="25" t="str">
        <f ca="1">IFERROR(__xludf.DUMMYFUNCTION("""COMPUTED_VALUE"""),"Corto plazo")</f>
        <v>Corto plazo</v>
      </c>
      <c r="R1825" s="25"/>
      <c r="S1825" s="55"/>
      <c r="T1825" s="56"/>
      <c r="U1825" s="25"/>
      <c r="V1825" s="25"/>
      <c r="W1825" s="25"/>
      <c r="X1825" s="25"/>
      <c r="Y1825" s="25"/>
      <c r="Z1825" s="25"/>
    </row>
    <row r="1826" spans="1:26" ht="52.5" customHeight="1" x14ac:dyDescent="0.25">
      <c r="A1826" s="25" t="str">
        <f ca="1">IFERROR(__xludf.DUMMYFUNCTION("""COMPUTED_VALUE"""),"Desar24")</f>
        <v>Desar24</v>
      </c>
      <c r="B1826" s="25" t="str">
        <f ca="1">IFERROR(__xludf.DUMMYFUNCTION("""COMPUTED_VALUE"""),"Despachando Fenalco")</f>
        <v>Despachando Fenalco</v>
      </c>
      <c r="C1826" s="55">
        <f ca="1">IFERROR(__xludf.DUMMYFUNCTION("""COMPUTED_VALUE"""),44452)</f>
        <v>44452</v>
      </c>
      <c r="D1826" s="25" t="str">
        <f ca="1">IFERROR(__xludf.DUMMYFUNCTION("""COMPUTED_VALUE"""),"Desarrollo_Económico")</f>
        <v>Desarrollo_Económico</v>
      </c>
      <c r="E1826" s="25" t="str">
        <f ca="1">IFERROR(__xludf.DUMMYFUNCTION("""COMPUTED_VALUE"""),"Secretaría Distrital de Desarrollo Económico")</f>
        <v>Secretaría Distrital de Desarrollo Económico</v>
      </c>
      <c r="F1826" s="25" t="str">
        <f ca="1">IFERROR(__xludf.DUMMYFUNCTION("""COMPUTED_VALUE"""),"Definir y dar inicio al Plan para salvar empresas en quiebra")</f>
        <v>Definir y dar inicio al Plan para salvar empresas en quiebra</v>
      </c>
      <c r="G1826" s="25" t="str">
        <f ca="1">IFERROR(__xludf.DUMMYFUNCTION("""COMPUTED_VALUE"""),"99. Distrito")</f>
        <v>99. Distrito</v>
      </c>
      <c r="H1826" s="55">
        <f ca="1">IFERROR(__xludf.DUMMYFUNCTION("""COMPUTED_VALUE"""),44482)</f>
        <v>44482</v>
      </c>
      <c r="I1826" s="25"/>
      <c r="J1826" s="55" t="str">
        <f ca="1">IFERROR(__xludf.DUMMYFUNCTION("""COMPUTED_VALUE"""),"Alta")</f>
        <v>Alta</v>
      </c>
      <c r="K1826" s="25">
        <f ca="1">IFERROR(__xludf.DUMMYFUNCTION("""COMPUTED_VALUE"""),30)</f>
        <v>30</v>
      </c>
      <c r="L1826" s="62">
        <f ca="1">IFERROR(__xludf.DUMMYFUNCTION("""COMPUTED_VALUE"""),44502)</f>
        <v>44502</v>
      </c>
      <c r="M1826" s="25" t="str">
        <f ca="1">IFERROR(__xludf.DUMMYFUNCTION("""COMPUTED_VALUE"""),"El plan para atender las empresas en quiebra se está realizando por medio de la Tropa económica. A la fecha se han caracterizado 62.580 unidades productivas de las cuales 10.317 las ha realizado la SDDE. De la prioridad 1 ""la empresa o negocio esta cerra"&amp;"do temporalmente o en etapa de cierre"" se han generado 2.342 alertas que están en proceso de atención, así mismo, se ha caracterizado 1.016 unidades productivas que no conocen los programas, de las cuales 865 han recibido la oferta institucional.")</f>
        <v>El plan para atender las empresas en quiebra se está realizando por medio de la Tropa económica. A la fecha se han caracterizado 62.580 unidades productivas de las cuales 10.317 las ha realizado la SDDE. De la prioridad 1 "la empresa o negocio esta cerrado temporalmente o en etapa de cierre" se han generado 2.342 alertas que están en proceso de atención, así mismo, se ha caracterizado 1.016 unidades productivas que no conocen los programas, de las cuales 865 han recibido la oferta institucional.</v>
      </c>
      <c r="N1826" s="55">
        <f ca="1">IFERROR(__xludf.DUMMYFUNCTION("""COMPUTED_VALUE"""),44502)</f>
        <v>44502</v>
      </c>
      <c r="O1826" s="25" t="str">
        <f t="shared" ca="1" si="0"/>
        <v>Secretaría Distrital de Desarrollo Económico</v>
      </c>
      <c r="P1826" s="25" t="str">
        <f t="shared" si="2"/>
        <v/>
      </c>
      <c r="Q1826" s="25" t="str">
        <f ca="1">IFERROR(__xludf.DUMMYFUNCTION("""COMPUTED_VALUE"""),"Corto plazo")</f>
        <v>Corto plazo</v>
      </c>
      <c r="R1826" s="25"/>
      <c r="S1826" s="55"/>
      <c r="T1826" s="56"/>
      <c r="U1826" s="25"/>
      <c r="V1826" s="25"/>
      <c r="W1826" s="25"/>
      <c r="X1826" s="25"/>
      <c r="Y1826" s="25"/>
      <c r="Z1826" s="25"/>
    </row>
    <row r="1827" spans="1:26" ht="52.5" customHeight="1" x14ac:dyDescent="0.25">
      <c r="A1827" s="25" t="str">
        <f ca="1">IFERROR(__xludf.DUMMYFUNCTION("""COMPUTED_VALUE"""),"Desar25")</f>
        <v>Desar25</v>
      </c>
      <c r="B1827" s="25" t="str">
        <f ca="1">IFERROR(__xludf.DUMMYFUNCTION("""COMPUTED_VALUE"""),"Tablero tropa económica")</f>
        <v>Tablero tropa económica</v>
      </c>
      <c r="C1827" s="55">
        <f ca="1">IFERROR(__xludf.DUMMYFUNCTION("""COMPUTED_VALUE"""),44442)</f>
        <v>44442</v>
      </c>
      <c r="D1827" s="25" t="str">
        <f ca="1">IFERROR(__xludf.DUMMYFUNCTION("""COMPUTED_VALUE"""),"Desarrollo_Económico")</f>
        <v>Desarrollo_Económico</v>
      </c>
      <c r="E1827" s="25" t="str">
        <f ca="1">IFERROR(__xludf.DUMMYFUNCTION("""COMPUTED_VALUE"""),"Secretaría Distrital de Desarrollo Económico")</f>
        <v>Secretaría Distrital de Desarrollo Económico</v>
      </c>
      <c r="F1827" s="25" t="str">
        <f ca="1">IFERROR(__xludf.DUMMYFUNCTION("""COMPUTED_VALUE"""),"Contactar a las 40000 empresas caracterizadas en la tropa económica para ofrecerle  el portafolio de servicios que existe en el distrito en materia de emprendimiento, financiación y educación ")</f>
        <v xml:space="preserve">Contactar a las 40000 empresas caracterizadas en la tropa económica para ofrecerle  el portafolio de servicios que existe en el distrito en materia de emprendimiento, financiación y educación </v>
      </c>
      <c r="G1827" s="25" t="str">
        <f ca="1">IFERROR(__xludf.DUMMYFUNCTION("""COMPUTED_VALUE"""),"99. Distrito")</f>
        <v>99. Distrito</v>
      </c>
      <c r="H1827" s="55">
        <f ca="1">IFERROR(__xludf.DUMMYFUNCTION("""COMPUTED_VALUE"""),44472)</f>
        <v>44472</v>
      </c>
      <c r="I1827" s="25"/>
      <c r="J1827" s="55" t="str">
        <f ca="1">IFERROR(__xludf.DUMMYFUNCTION("""COMPUTED_VALUE"""),"Alta")</f>
        <v>Alta</v>
      </c>
      <c r="K1827" s="25">
        <f ca="1">IFERROR(__xludf.DUMMYFUNCTION("""COMPUTED_VALUE"""),30)</f>
        <v>30</v>
      </c>
      <c r="L1827" s="62">
        <f ca="1">IFERROR(__xludf.DUMMYFUNCTION("""COMPUTED_VALUE"""),44655)</f>
        <v>44655</v>
      </c>
      <c r="M1827" s="64" t="str">
        <f ca="1">IFERROR(__xludf.DUMMYFUNCTION("""COMPUTED_VALUE"""),"La tropa económica finalizó a 31 de diciembre de 2021 y se está planteando volverla a activar a partir del segundo semestre del año 2022.
A 31 de diciembre 2021:Tropa Económica ha visitado 14,549 unidades productivas, llevando la oferta de la SDDE. Este p"&amp;"roceso permitió que se atendieran 2.637 alertas generadas en la caracterización aplicada a las unidades productivas. Lo que se traduce en 780 unidades productivas beneficiarias de los programas de la SDDE, para un total de 1.846 unidades productivas gesti"&amp;"onadas. 
En el siguiente link pueden conocer la PPT de Tropa Económica:
https://docs.google.com/presentation/d/1uXqma5J-kquyhx6iG4K_HvWl7oQOMS6NTGyQlddit7Q/edit?usp=sharing
Si bien, con respecto a temas asociados a empleabilidad durante el año anterior l"&amp;"a Tropa y el ejercicio que realizaba no respondia a las oportunidades que se tienen desde la SEF, durante el mes de marzo se realizaron conversaciones con el fin de reactivar este ejercicio durante el año en curso, en las que propusieron elementos que per"&amp;"mitan alcanzar a la población identificada en relación a las oportunidades de generación de empleo y de formación que fortalezca al sector productivo 
")</f>
        <v xml:space="preserve">La tropa económica finalizó a 31 de diciembre de 2021 y se está planteando volverla a activar a partir del segundo semestre del año 2022.
A 31 de diciembre 2021:Tropa Económica ha visitado 14,549 unidades productivas, llevando la oferta de la SDDE. Este proceso permitió que se atendieran 2.637 alertas generadas en la caracterización aplicada a las unidades productivas. Lo que se traduce en 780 unidades productivas beneficiarias de los programas de la SDDE, para un total de 1.846 unidades productivas gestionadas. 
En el siguiente link pueden conocer la PPT de Tropa Económica:
https://docs.google.com/presentation/d/1uXqma5J-kquyhx6iG4K_HvWl7oQOMS6NTGyQlddit7Q/edit?usp=sharing
Si bien, con respecto a temas asociados a empleabilidad durante el año anterior la Tropa y el ejercicio que realizaba no respondia a las oportunidades que se tienen desde la SEF, durante el mes de marzo se realizaron conversaciones con el fin de reactivar este ejercicio durante el año en curso, en las que propusieron elementos que permitan alcanzar a la población identificada en relación a las oportunidades de generación de empleo y de formación que fortalezca al sector productivo 
</v>
      </c>
      <c r="N1827" s="55">
        <f ca="1">IFERROR(__xludf.DUMMYFUNCTION("""COMPUTED_VALUE"""),44655)</f>
        <v>44655</v>
      </c>
      <c r="O1827" s="25" t="str">
        <f t="shared" ca="1" si="0"/>
        <v>Secretaría Distrital de Desarrollo Económico</v>
      </c>
      <c r="P1827" s="25" t="str">
        <f t="shared" si="2"/>
        <v/>
      </c>
      <c r="Q1827" s="25" t="str">
        <f ca="1">IFERROR(__xludf.DUMMYFUNCTION("""COMPUTED_VALUE"""),"Corto plazo")</f>
        <v>Corto plazo</v>
      </c>
      <c r="R1827" s="25"/>
      <c r="S1827" s="55"/>
      <c r="T1827" s="56"/>
      <c r="U1827" s="25"/>
      <c r="V1827" s="25"/>
      <c r="W1827" s="25"/>
      <c r="X1827" s="25"/>
      <c r="Y1827" s="25"/>
      <c r="Z1827" s="25"/>
    </row>
    <row r="1828" spans="1:26" ht="52.5" customHeight="1" x14ac:dyDescent="0.25">
      <c r="A1828" s="25" t="str">
        <f ca="1">IFERROR(__xludf.DUMMYFUNCTION("""COMPUTED_VALUE"""),"Desar26")</f>
        <v>Desar26</v>
      </c>
      <c r="B1828" s="25" t="str">
        <f ca="1">IFERROR(__xludf.DUMMYFUNCTION("""COMPUTED_VALUE"""),"Juntos Cuidamos Bogotá - Recorrido Suba")</f>
        <v>Juntos Cuidamos Bogotá - Recorrido Suba</v>
      </c>
      <c r="C1828" s="55">
        <f ca="1">IFERROR(__xludf.DUMMYFUNCTION("""COMPUTED_VALUE"""),44435)</f>
        <v>44435</v>
      </c>
      <c r="D1828" s="25" t="str">
        <f ca="1">IFERROR(__xludf.DUMMYFUNCTION("""COMPUTED_VALUE"""),"Desarrollo_Económico")</f>
        <v>Desarrollo_Económico</v>
      </c>
      <c r="E1828" s="25" t="str">
        <f ca="1">IFERROR(__xludf.DUMMYFUNCTION("""COMPUTED_VALUE"""),"Secretaría Distrital de Desarrollo Económico")</f>
        <v>Secretaría Distrital de Desarrollo Económico</v>
      </c>
      <c r="F1828" s="25" t="str">
        <f ca="1">IFERROR(__xludf.DUMMYFUNCTION("""COMPUTED_VALUE"""),"Hacer un pacto de Bogotá Cielo Abierto en la Gaitana")</f>
        <v>Hacer un pacto de Bogotá Cielo Abierto en la Gaitana</v>
      </c>
      <c r="G1828" s="25" t="str">
        <f ca="1">IFERROR(__xludf.DUMMYFUNCTION("""COMPUTED_VALUE"""),"11. Suba")</f>
        <v>11. Suba</v>
      </c>
      <c r="H1828" s="55">
        <f ca="1">IFERROR(__xludf.DUMMYFUNCTION("""COMPUTED_VALUE"""),44465)</f>
        <v>44465</v>
      </c>
      <c r="I1828" s="25"/>
      <c r="J1828" s="55" t="str">
        <f ca="1">IFERROR(__xludf.DUMMYFUNCTION("""COMPUTED_VALUE"""),"Alta")</f>
        <v>Alta</v>
      </c>
      <c r="K1828" s="25">
        <f ca="1">IFERROR(__xludf.DUMMYFUNCTION("""COMPUTED_VALUE"""),30)</f>
        <v>30</v>
      </c>
      <c r="L1828" s="62">
        <f ca="1">IFERROR(__xludf.DUMMYFUNCTION("""COMPUTED_VALUE"""),44463)</f>
        <v>44463</v>
      </c>
      <c r="M1828" s="25" t="str">
        <f ca="1">IFERROR(__xludf.DUMMYFUNCTION("""COMPUTED_VALUE"""),"Se desarollaron espacios con establecimientos del Sector La Gaitana, y la zona ha operado con el esquema sin cobor 1.0 pero no continuará en el nuevo modelo.")</f>
        <v>Se desarollaron espacios con establecimientos del Sector La Gaitana, y la zona ha operado con el esquema sin cobor 1.0 pero no continuará en el nuevo modelo.</v>
      </c>
      <c r="N1828" s="55">
        <f ca="1">IFERROR(__xludf.DUMMYFUNCTION("""COMPUTED_VALUE"""),44463)</f>
        <v>44463</v>
      </c>
      <c r="O1828" s="25" t="str">
        <f t="shared" ca="1" si="0"/>
        <v>Secretaría Distrital de Desarrollo Económico</v>
      </c>
      <c r="P1828" s="25" t="str">
        <f t="shared" si="2"/>
        <v/>
      </c>
      <c r="Q1828" s="25" t="str">
        <f ca="1">IFERROR(__xludf.DUMMYFUNCTION("""COMPUTED_VALUE"""),"Corto plazo")</f>
        <v>Corto plazo</v>
      </c>
      <c r="R1828" s="25"/>
      <c r="S1828" s="55"/>
      <c r="T1828" s="56"/>
      <c r="U1828" s="25"/>
      <c r="V1828" s="25"/>
      <c r="W1828" s="25"/>
      <c r="X1828" s="25"/>
      <c r="Y1828" s="25"/>
      <c r="Z1828" s="25"/>
    </row>
    <row r="1829" spans="1:26" ht="52.5" customHeight="1" x14ac:dyDescent="0.25">
      <c r="A1829" s="25" t="str">
        <f ca="1">IFERROR(__xludf.DUMMYFUNCTION("""COMPUTED_VALUE"""),"Desar27")</f>
        <v>Desar27</v>
      </c>
      <c r="B1829" s="25" t="str">
        <f ca="1">IFERROR(__xludf.DUMMYFUNCTION("""COMPUTED_VALUE"""),"Maloka")</f>
        <v>Maloka</v>
      </c>
      <c r="C1829" s="55">
        <f ca="1">IFERROR(__xludf.DUMMYFUNCTION("""COMPUTED_VALUE"""),44421)</f>
        <v>44421</v>
      </c>
      <c r="D1829" s="25" t="str">
        <f ca="1">IFERROR(__xludf.DUMMYFUNCTION("""COMPUTED_VALUE"""),"Desarrollo_Económico")</f>
        <v>Desarrollo_Económico</v>
      </c>
      <c r="E1829" s="25" t="str">
        <f ca="1">IFERROR(__xludf.DUMMYFUNCTION("""COMPUTED_VALUE"""),"Secretaría Distrital de Desarrollo Económico")</f>
        <v>Secretaría Distrital de Desarrollo Económico</v>
      </c>
      <c r="F1829" s="25" t="str">
        <f ca="1">IFERROR(__xludf.DUMMYFUNCTION("""COMPUTED_VALUE"""),"Armar mercados campesinos en la plazoleta de la Maloka")</f>
        <v>Armar mercados campesinos en la plazoleta de la Maloka</v>
      </c>
      <c r="G1829" s="25" t="str">
        <f ca="1">IFERROR(__xludf.DUMMYFUNCTION("""COMPUTED_VALUE"""),"99. Distrito")</f>
        <v>99. Distrito</v>
      </c>
      <c r="H1829" s="55">
        <f ca="1">IFERROR(__xludf.DUMMYFUNCTION("""COMPUTED_VALUE"""),44451)</f>
        <v>44451</v>
      </c>
      <c r="I1829" s="25"/>
      <c r="J1829" s="55" t="str">
        <f ca="1">IFERROR(__xludf.DUMMYFUNCTION("""COMPUTED_VALUE"""),"Alta")</f>
        <v>Alta</v>
      </c>
      <c r="K1829" s="25">
        <f ca="1">IFERROR(__xludf.DUMMYFUNCTION("""COMPUTED_VALUE"""),30)</f>
        <v>30</v>
      </c>
      <c r="L1829" s="62">
        <f ca="1">IFERROR(__xludf.DUMMYFUNCTION("""COMPUTED_VALUE"""),44655)</f>
        <v>44655</v>
      </c>
      <c r="M1829" s="25" t="str">
        <f ca="1">IFERROR(__xludf.DUMMYFUNCTION("""COMPUTED_VALUE"""),"La plazoleta de Maloka fue entregada por el IDU a un particular para su administración. El particular cobra por el uso del espacio público. Además, este no está interesado en la realización de mercados campesinos, por tanto no se puede realizar en esta pl"&amp;"azoleta. 
Sin embargo, ya se contactó con el IDU, respondiendo que el punto cercano donde se puede realizar el mercado campesino es en la carrera 68 C con calle 25. Por tanto, el día lunes 04 de abril de 2022, se hará reunión de equipo de mercados campesi"&amp;"nos para definir alistamiento de lo necesario para la realización del evento, como la fecha del mercado, la solicitud del permiso al IDU para el uso del espacio, gestionar las carpas y mobiliario, diseñar y divulgar las piezas comunicativas del evento, en"&amp;"tre otros. ")</f>
        <v xml:space="preserve">La plazoleta de Maloka fue entregada por el IDU a un particular para su administración. El particular cobra por el uso del espacio público. Además, este no está interesado en la realización de mercados campesinos, por tanto no se puede realizar en esta plazoleta. 
Sin embargo, ya se contactó con el IDU, respondiendo que el punto cercano donde se puede realizar el mercado campesino es en la carrera 68 C con calle 25. Por tanto, el día lunes 04 de abril de 2022, se hará reunión de equipo de mercados campesinos para definir alistamiento de lo necesario para la realización del evento, como la fecha del mercado, la solicitud del permiso al IDU para el uso del espacio, gestionar las carpas y mobiliario, diseñar y divulgar las piezas comunicativas del evento, entre otros. </v>
      </c>
      <c r="N1829" s="55">
        <f ca="1">IFERROR(__xludf.DUMMYFUNCTION("""COMPUTED_VALUE"""),44655)</f>
        <v>44655</v>
      </c>
      <c r="O1829" s="25" t="str">
        <f t="shared" ca="1" si="0"/>
        <v>Secretaría Distrital de Desarrollo Económico</v>
      </c>
      <c r="P1829" s="25" t="str">
        <f t="shared" si="2"/>
        <v/>
      </c>
      <c r="Q1829" s="25" t="str">
        <f ca="1">IFERROR(__xludf.DUMMYFUNCTION("""COMPUTED_VALUE"""),"Corto plazo")</f>
        <v>Corto plazo</v>
      </c>
      <c r="R1829" s="25"/>
      <c r="S1829" s="55"/>
      <c r="T1829" s="56"/>
      <c r="U1829" s="25"/>
      <c r="V1829" s="25"/>
      <c r="W1829" s="25"/>
      <c r="X1829" s="25"/>
      <c r="Y1829" s="25"/>
      <c r="Z1829" s="25"/>
    </row>
    <row r="1830" spans="1:26" ht="52.5" customHeight="1" x14ac:dyDescent="0.25">
      <c r="A1830" s="25" t="str">
        <f ca="1">IFERROR(__xludf.DUMMYFUNCTION("""COMPUTED_VALUE"""),"Desar28")</f>
        <v>Desar28</v>
      </c>
      <c r="B1830" s="25" t="str">
        <f ca="1">IFERROR(__xludf.DUMMYFUNCTION("""COMPUTED_VALUE"""),"PEMP")</f>
        <v>PEMP</v>
      </c>
      <c r="C1830" s="55">
        <f ca="1">IFERROR(__xludf.DUMMYFUNCTION("""COMPUTED_VALUE"""),44417)</f>
        <v>44417</v>
      </c>
      <c r="D1830" s="25" t="str">
        <f ca="1">IFERROR(__xludf.DUMMYFUNCTION("""COMPUTED_VALUE"""),"Desarrollo_Económico")</f>
        <v>Desarrollo_Económico</v>
      </c>
      <c r="E1830" s="25" t="str">
        <f ca="1">IFERROR(__xludf.DUMMYFUNCTION("""COMPUTED_VALUE"""),"Secretaría Distrital de Desarrollo Económico")</f>
        <v>Secretaría Distrital de Desarrollo Económico</v>
      </c>
      <c r="F1830" s="25" t="str">
        <f ca="1">IFERROR(__xludf.DUMMYFUNCTION("""COMPUTED_VALUE"""),"Compromiso de Rosario, Banco de la República y Avianca para administrar el parque por mínimo 30 años en el modelo de Bogotá a Cielo Abierto - Reunión con Dllo. Económico y DADEP")</f>
        <v>Compromiso de Rosario, Banco de la República y Avianca para administrar el parque por mínimo 30 años en el modelo de Bogotá a Cielo Abierto - Reunión con Dllo. Económico y DADEP</v>
      </c>
      <c r="G1830" s="25" t="str">
        <f ca="1">IFERROR(__xludf.DUMMYFUNCTION("""COMPUTED_VALUE"""),"99. Distrito")</f>
        <v>99. Distrito</v>
      </c>
      <c r="H1830" s="55">
        <f ca="1">IFERROR(__xludf.DUMMYFUNCTION("""COMPUTED_VALUE"""),44447)</f>
        <v>44447</v>
      </c>
      <c r="I1830" s="25"/>
      <c r="J1830" s="55" t="str">
        <f ca="1">IFERROR(__xludf.DUMMYFUNCTION("""COMPUTED_VALUE"""),"Alta")</f>
        <v>Alta</v>
      </c>
      <c r="K1830" s="25">
        <f ca="1">IFERROR(__xludf.DUMMYFUNCTION("""COMPUTED_VALUE"""),30)</f>
        <v>30</v>
      </c>
      <c r="L1830" s="62">
        <f ca="1">IFERROR(__xludf.DUMMYFUNCTION("""COMPUTED_VALUE"""),44655)</f>
        <v>44655</v>
      </c>
      <c r="M1830" s="25" t="str">
        <f ca="1">IFERROR(__xludf.DUMMYFUNCTION("""COMPUTED_VALUE"""),"Actualmente el decreto de reglamentación de la estrategia BACA 2.0, según comunicación con radicado No. 20214213923302 del 07 de diciembre del 2021 del Departamento Administrativo de la Defensoría Del Espacio Público -DADEP -, informó que había sido radic"&amp;"ado mediante comunicación No. 20214213923302 del 7 de diciembre del 2021, ante la Secretaria Distrital de Gobierno, para surtir los trámites de aprobación y firma de la Alcaldesa Mayor. 
Aprobación y sanción que a la fecha no se se ha logrado, encontrándo"&amp;"nos sin el marco normativo para el desarrollo de dicha estrategia. ")</f>
        <v xml:space="preserve">Actualmente el decreto de reglamentación de la estrategia BACA 2.0, según comunicación con radicado No. 20214213923302 del 07 de diciembre del 2021 del Departamento Administrativo de la Defensoría Del Espacio Público -DADEP -, informó que había sido radicado mediante comunicación No. 20214213923302 del 7 de diciembre del 2021, ante la Secretaria Distrital de Gobierno, para surtir los trámites de aprobación y firma de la Alcaldesa Mayor. 
Aprobación y sanción que a la fecha no se se ha logrado, encontrándonos sin el marco normativo para el desarrollo de dicha estrategia. </v>
      </c>
      <c r="N1830" s="55">
        <f ca="1">IFERROR(__xludf.DUMMYFUNCTION("""COMPUTED_VALUE"""),44655)</f>
        <v>44655</v>
      </c>
      <c r="O1830" s="25" t="str">
        <f t="shared" ca="1" si="0"/>
        <v>Secretaría Distrital de Desarrollo Económico</v>
      </c>
      <c r="P1830" s="25" t="str">
        <f t="shared" si="2"/>
        <v/>
      </c>
      <c r="Q1830" s="25" t="str">
        <f ca="1">IFERROR(__xludf.DUMMYFUNCTION("""COMPUTED_VALUE"""),"Corto plazo")</f>
        <v>Corto plazo</v>
      </c>
      <c r="R1830" s="25"/>
      <c r="S1830" s="55"/>
      <c r="T1830" s="56"/>
      <c r="U1830" s="25"/>
      <c r="V1830" s="25"/>
      <c r="W1830" s="25"/>
      <c r="X1830" s="25"/>
      <c r="Y1830" s="25"/>
      <c r="Z1830" s="25"/>
    </row>
    <row r="1831" spans="1:26" ht="52.5" customHeight="1" x14ac:dyDescent="0.25">
      <c r="A1831" s="25" t="str">
        <f ca="1">IFERROR(__xludf.DUMMYFUNCTION("""COMPUTED_VALUE"""),"Desar29")</f>
        <v>Desar29</v>
      </c>
      <c r="B1831" s="25" t="str">
        <f ca="1">IFERROR(__xludf.DUMMYFUNCTION("""COMPUTED_VALUE"""),"PEMP")</f>
        <v>PEMP</v>
      </c>
      <c r="C1831" s="55">
        <f ca="1">IFERROR(__xludf.DUMMYFUNCTION("""COMPUTED_VALUE"""),44417)</f>
        <v>44417</v>
      </c>
      <c r="D1831" s="25" t="str">
        <f ca="1">IFERROR(__xludf.DUMMYFUNCTION("""COMPUTED_VALUE"""),"Desarrollo_Económico")</f>
        <v>Desarrollo_Económico</v>
      </c>
      <c r="E1831" s="25" t="str">
        <f ca="1">IFERROR(__xludf.DUMMYFUNCTION("""COMPUTED_VALUE"""),"Secretaría Distrital de Desarrollo Económico")</f>
        <v>Secretaría Distrital de Desarrollo Económico</v>
      </c>
      <c r="F1831" s="25" t="str">
        <f ca="1">IFERROR(__xludf.DUMMYFUNCTION("""COMPUTED_VALUE"""),"Ajuste del decreto de Bogotá Cielo Abierto")</f>
        <v>Ajuste del decreto de Bogotá Cielo Abierto</v>
      </c>
      <c r="G1831" s="25" t="str">
        <f ca="1">IFERROR(__xludf.DUMMYFUNCTION("""COMPUTED_VALUE"""),"99. Distrito")</f>
        <v>99. Distrito</v>
      </c>
      <c r="H1831" s="55">
        <f ca="1">IFERROR(__xludf.DUMMYFUNCTION("""COMPUTED_VALUE"""),44447)</f>
        <v>44447</v>
      </c>
      <c r="I1831" s="25"/>
      <c r="J1831" s="55" t="str">
        <f ca="1">IFERROR(__xludf.DUMMYFUNCTION("""COMPUTED_VALUE"""),"Alta")</f>
        <v>Alta</v>
      </c>
      <c r="K1831" s="25">
        <f ca="1">IFERROR(__xludf.DUMMYFUNCTION("""COMPUTED_VALUE"""),30)</f>
        <v>30</v>
      </c>
      <c r="L1831" s="62">
        <f ca="1">IFERROR(__xludf.DUMMYFUNCTION("""COMPUTED_VALUE"""),44655)</f>
        <v>44655</v>
      </c>
      <c r="M1831" s="25" t="str">
        <f ca="1">IFERROR(__xludf.DUMMYFUNCTION("""COMPUTED_VALUE"""),"Actualmente el decreto de reglamentación de la estrategia BACA 2.0, según comunicación con radicado No. 20214213923302 del 07 de diciembre del 2021 del Departamento Administrativo de la Defensoría Del Espacio Público -DADEP -, informó que había sido radic"&amp;"ado mediante comunicación No. 20214213923302 del 7 de diciembre del 2021, ante la Secretaria Distrital de Gobierno, para surtir los trámites de aprobación y firma de la Alcaldesa Mayor. 
Aprobación y sanción que a la fecha no se se ha logrado, encontrándo"&amp;"nos sin el marco normativo para el desarrollo de dicha estrategia. ")</f>
        <v xml:space="preserve">Actualmente el decreto de reglamentación de la estrategia BACA 2.0, según comunicación con radicado No. 20214213923302 del 07 de diciembre del 2021 del Departamento Administrativo de la Defensoría Del Espacio Público -DADEP -, informó que había sido radicado mediante comunicación No. 20214213923302 del 7 de diciembre del 2021, ante la Secretaria Distrital de Gobierno, para surtir los trámites de aprobación y firma de la Alcaldesa Mayor. 
Aprobación y sanción que a la fecha no se se ha logrado, encontrándonos sin el marco normativo para el desarrollo de dicha estrategia. </v>
      </c>
      <c r="N1831" s="55">
        <f ca="1">IFERROR(__xludf.DUMMYFUNCTION("""COMPUTED_VALUE"""),44655)</f>
        <v>44655</v>
      </c>
      <c r="O1831" s="25" t="str">
        <f t="shared" ca="1" si="0"/>
        <v>Secretaría Distrital de Desarrollo Económico</v>
      </c>
      <c r="P1831" s="25" t="str">
        <f t="shared" si="2"/>
        <v/>
      </c>
      <c r="Q1831" s="25" t="str">
        <f ca="1">IFERROR(__xludf.DUMMYFUNCTION("""COMPUTED_VALUE"""),"Corto plazo")</f>
        <v>Corto plazo</v>
      </c>
      <c r="R1831" s="25"/>
      <c r="S1831" s="55"/>
      <c r="T1831" s="56"/>
      <c r="U1831" s="25"/>
      <c r="V1831" s="25"/>
      <c r="W1831" s="25"/>
      <c r="X1831" s="25"/>
      <c r="Y1831" s="25"/>
      <c r="Z1831" s="25"/>
    </row>
    <row r="1832" spans="1:26" ht="52.5" customHeight="1" x14ac:dyDescent="0.25">
      <c r="A1832" s="25" t="str">
        <f ca="1">IFERROR(__xludf.DUMMYFUNCTION("""COMPUTED_VALUE"""),"Desar30")</f>
        <v>Desar30</v>
      </c>
      <c r="B1832" s="25" t="str">
        <f ca="1">IFERROR(__xludf.DUMMYFUNCTION("""COMPUTED_VALUE"""),"Revisión retos y oportunidades UPL (POT)")</f>
        <v>Revisión retos y oportunidades UPL (POT)</v>
      </c>
      <c r="C1832" s="55">
        <f ca="1">IFERROR(__xludf.DUMMYFUNCTION("""COMPUTED_VALUE"""),44400)</f>
        <v>44400</v>
      </c>
      <c r="D1832" s="25" t="str">
        <f ca="1">IFERROR(__xludf.DUMMYFUNCTION("""COMPUTED_VALUE"""),"Desarrollo_Económico")</f>
        <v>Desarrollo_Económico</v>
      </c>
      <c r="E1832" s="25" t="str">
        <f ca="1">IFERROR(__xludf.DUMMYFUNCTION("""COMPUTED_VALUE"""),"Instituto Distrital de Turismo")</f>
        <v>Instituto Distrital de Turismo</v>
      </c>
      <c r="F1832" s="25" t="str">
        <f ca="1">IFERROR(__xludf.DUMMYFUNCTION("""COMPUTED_VALUE"""),"Incluir señalética en los senderos ambientales que permita incluirlos en las guías turísticas y se genere apropiación de estos territorios. ")</f>
        <v xml:space="preserve">Incluir señalética en los senderos ambientales que permita incluirlos en las guías turísticas y se genere apropiación de estos territorios. </v>
      </c>
      <c r="G1832" s="25" t="str">
        <f ca="1">IFERROR(__xludf.DUMMYFUNCTION("""COMPUTED_VALUE"""),"99. Distrito")</f>
        <v>99. Distrito</v>
      </c>
      <c r="H1832" s="55">
        <f ca="1">IFERROR(__xludf.DUMMYFUNCTION("""COMPUTED_VALUE"""),44430)</f>
        <v>44430</v>
      </c>
      <c r="I1832" s="25"/>
      <c r="J1832" s="55" t="str">
        <f ca="1">IFERROR(__xludf.DUMMYFUNCTION("""COMPUTED_VALUE"""),"Alta")</f>
        <v>Alta</v>
      </c>
      <c r="K1832" s="25">
        <f ca="1">IFERROR(__xludf.DUMMYFUNCTION("""COMPUTED_VALUE"""),30)</f>
        <v>30</v>
      </c>
      <c r="L1832" s="62">
        <f ca="1">IFERROR(__xludf.DUMMYFUNCTION("""COMPUTED_VALUE"""),44463)</f>
        <v>44463</v>
      </c>
      <c r="M1832" s="25" t="str">
        <f ca="1">IFERROR(__xludf.DUMMYFUNCTION("""COMPUTED_VALUE"""),"Se suscribió convenio entre el IDRD y el IDT el 29 de mayo de 2021 para para ejecutar actividades relacionadas con el funcionamiento y operación del camino pico del águila ubicado en los cerros orientales de la ciudad de Bogotá, de igual manera se suscrib"&amp;"ió convenio entre la EAAB y el IDT el 09 de agosto de 2021 para para la adecuación de señalización en los caminos priorizados ubicados en los cerros orientales de la ciudad de Bogotá. Así mismo, se desarrollaron procesos de participación ciudadana con los"&amp;" grupos aledaños a los caminos ancestrales, caminantes frecuentes y comunidad de la Ronda Urbana Quebrada La vieja para temas de señalización los días 16, 22, 23 de junio y 12 de agosto, esto con el fin de poder remitir al IDRD y la EAAB diseños finales d"&amp;"e señales e inicien sus procesos de contratación. También se realizarán durante el mes de agosto y septiembre mesas de trabajo para la construcción de contenidos de señalización con las comunidades de los senderos.")</f>
        <v>Se suscribió convenio entre el IDRD y el IDT el 29 de mayo de 2021 para para ejecutar actividades relacionadas con el funcionamiento y operación del camino pico del águila ubicado en los cerros orientales de la ciudad de Bogotá, de igual manera se suscribió convenio entre la EAAB y el IDT el 09 de agosto de 2021 para para la adecuación de señalización en los caminos priorizados ubicados en los cerros orientales de la ciudad de Bogotá. Así mismo, se desarrollaron procesos de participación ciudadana con los grupos aledaños a los caminos ancestrales, caminantes frecuentes y comunidad de la Ronda Urbana Quebrada La vieja para temas de señalización los días 16, 22, 23 de junio y 12 de agosto, esto con el fin de poder remitir al IDRD y la EAAB diseños finales de señales e inicien sus procesos de contratación. También se realizarán durante el mes de agosto y septiembre mesas de trabajo para la construcción de contenidos de señalización con las comunidades de los senderos.</v>
      </c>
      <c r="N1832" s="55">
        <f ca="1">IFERROR(__xludf.DUMMYFUNCTION("""COMPUTED_VALUE"""),44463)</f>
        <v>44463</v>
      </c>
      <c r="O1832" s="25" t="str">
        <f t="shared" ca="1" si="0"/>
        <v>Instituto Distrital de Turismo</v>
      </c>
      <c r="P1832" s="25" t="str">
        <f t="shared" si="2"/>
        <v/>
      </c>
      <c r="Q1832" s="25" t="str">
        <f ca="1">IFERROR(__xludf.DUMMYFUNCTION("""COMPUTED_VALUE"""),"Corto plazo")</f>
        <v>Corto plazo</v>
      </c>
      <c r="R1832" s="25"/>
      <c r="S1832" s="55"/>
      <c r="T1832" s="56"/>
      <c r="U1832" s="25"/>
      <c r="V1832" s="25"/>
      <c r="W1832" s="25"/>
      <c r="X1832" s="25"/>
      <c r="Y1832" s="25"/>
      <c r="Z1832" s="25"/>
    </row>
    <row r="1833" spans="1:26" ht="52.5" customHeight="1" x14ac:dyDescent="0.25">
      <c r="A1833" s="25" t="str">
        <f ca="1">IFERROR(__xludf.DUMMYFUNCTION("""COMPUTED_VALUE"""),"Desar31")</f>
        <v>Desar31</v>
      </c>
      <c r="B1833" s="25" t="str">
        <f ca="1">IFERROR(__xludf.DUMMYFUNCTION("""COMPUTED_VALUE"""),"Consejo Consultivo LGBTI")</f>
        <v>Consejo Consultivo LGBTI</v>
      </c>
      <c r="C1833" s="55">
        <f ca="1">IFERROR(__xludf.DUMMYFUNCTION("""COMPUTED_VALUE"""),44398)</f>
        <v>44398</v>
      </c>
      <c r="D1833" s="25" t="str">
        <f ca="1">IFERROR(__xludf.DUMMYFUNCTION("""COMPUTED_VALUE"""),"Desarrollo_Económico")</f>
        <v>Desarrollo_Económico</v>
      </c>
      <c r="E1833" s="25" t="str">
        <f ca="1">IFERROR(__xludf.DUMMYFUNCTION("""COMPUTED_VALUE"""),"Secretaría Distrital de Desarrollo Económico")</f>
        <v>Secretaría Distrital de Desarrollo Económico</v>
      </c>
      <c r="F1833" s="25" t="str">
        <f ca="1">IFERROR(__xludf.DUMMYFUNCTION("""COMPUTED_VALUE"""),"Crear un equipo de trabajo en la Secretaría de Desarrollo Económico que se enfoque y genere acciones, estrategia para empleabilidad  y obtención de recursos específicamente para poblaciones de difícil empleabilidad: población lgtbi en situación de vulnera"&amp;"bilidad, población trans, población lgtbi mayores de 50 años , población en situación de discapacidad. ")</f>
        <v xml:space="preserve">Crear un equipo de trabajo en la Secretaría de Desarrollo Económico que se enfoque y genere acciones, estrategia para empleabilidad  y obtención de recursos específicamente para poblaciones de difícil empleabilidad: población lgtbi en situación de vulnerabilidad, población trans, población lgtbi mayores de 50 años , población en situación de discapacidad. </v>
      </c>
      <c r="G1833" s="25" t="str">
        <f ca="1">IFERROR(__xludf.DUMMYFUNCTION("""COMPUTED_VALUE"""),"99. Distrito")</f>
        <v>99. Distrito</v>
      </c>
      <c r="H1833" s="55">
        <f ca="1">IFERROR(__xludf.DUMMYFUNCTION("""COMPUTED_VALUE"""),44419)</f>
        <v>44419</v>
      </c>
      <c r="I1833" s="25"/>
      <c r="J1833" s="55" t="str">
        <f ca="1">IFERROR(__xludf.DUMMYFUNCTION("""COMPUTED_VALUE"""),"Alta")</f>
        <v>Alta</v>
      </c>
      <c r="K1833" s="25">
        <f ca="1">IFERROR(__xludf.DUMMYFUNCTION("""COMPUTED_VALUE"""),21)</f>
        <v>21</v>
      </c>
      <c r="L1833" s="62">
        <f ca="1">IFERROR(__xludf.DUMMYFUNCTION("""COMPUTED_VALUE"""),44484)</f>
        <v>44484</v>
      </c>
      <c r="M1833" s="25" t="str">
        <f ca="1">IFERROR(__xludf.DUMMYFUNCTION("""COMPUTED_VALUE"""),"La SDDE, a través de la Agencia Pública de Empleo del Distrito, robustece su equipo y parte de este será destinado para identificar las brechas en materia de empleo que enfrentan esta población y sobre la definición de las acciones necesarias para superar"&amp;"las de acuerdo con la Ruta de Empleo inclusivo y la estrategia Bogotá te conecta. 
Adicionalmente, desde el equipo de Poblaciones y Territorios, que articula la estrategia misional de la entidad, se ha designado un contratista para el acompañamiento de"&amp;" los espacios distritales y locales. Así, se ha fortalecido la presencia de la Secretaría en la gestión y ejecución del plan de acción de la política pública LGBTI.
")</f>
        <v xml:space="preserve">La SDDE, a través de la Agencia Pública de Empleo del Distrito, robustece su equipo y parte de este será destinado para identificar las brechas en materia de empleo que enfrentan esta población y sobre la definición de las acciones necesarias para superarlas de acuerdo con la Ruta de Empleo inclusivo y la estrategia Bogotá te conecta. 
Adicionalmente, desde el equipo de Poblaciones y Territorios, que articula la estrategia misional de la entidad, se ha designado un contratista para el acompañamiento de los espacios distritales y locales. Así, se ha fortalecido la presencia de la Secretaría en la gestión y ejecución del plan de acción de la política pública LGBTI.
</v>
      </c>
      <c r="N1833" s="55">
        <f ca="1">IFERROR(__xludf.DUMMYFUNCTION("""COMPUTED_VALUE"""),44484)</f>
        <v>44484</v>
      </c>
      <c r="O1833" s="25" t="str">
        <f t="shared" ca="1" si="0"/>
        <v>Secretaría Distrital de Desarrollo Económico</v>
      </c>
      <c r="P1833" s="25" t="str">
        <f t="shared" si="2"/>
        <v/>
      </c>
      <c r="Q1833" s="25" t="str">
        <f ca="1">IFERROR(__xludf.DUMMYFUNCTION("""COMPUTED_VALUE"""),"Corto plazo")</f>
        <v>Corto plazo</v>
      </c>
      <c r="R1833" s="25"/>
      <c r="S1833" s="55"/>
      <c r="T1833" s="56"/>
      <c r="U1833" s="25"/>
      <c r="V1833" s="25"/>
      <c r="W1833" s="25"/>
      <c r="X1833" s="25"/>
      <c r="Y1833" s="25"/>
      <c r="Z1833" s="25"/>
    </row>
    <row r="1834" spans="1:26" ht="52.5" customHeight="1" x14ac:dyDescent="0.25">
      <c r="A1834" s="25" t="str">
        <f ca="1">IFERROR(__xludf.DUMMYFUNCTION("""COMPUTED_VALUE"""),"Desar32")</f>
        <v>Desar32</v>
      </c>
      <c r="B1834" s="25" t="str">
        <f ca="1">IFERROR(__xludf.DUMMYFUNCTION("""COMPUTED_VALUE"""),"Consejo Consultivo LGBTI")</f>
        <v>Consejo Consultivo LGBTI</v>
      </c>
      <c r="C1834" s="55">
        <f ca="1">IFERROR(__xludf.DUMMYFUNCTION("""COMPUTED_VALUE"""),44398)</f>
        <v>44398</v>
      </c>
      <c r="D1834" s="25" t="str">
        <f ca="1">IFERROR(__xludf.DUMMYFUNCTION("""COMPUTED_VALUE"""),"Desarrollo_Económico")</f>
        <v>Desarrollo_Económico</v>
      </c>
      <c r="E1834" s="25" t="str">
        <f ca="1">IFERROR(__xludf.DUMMYFUNCTION("""COMPUTED_VALUE"""),"Secretaría Distrital de Desarrollo Económico")</f>
        <v>Secretaría Distrital de Desarrollo Económico</v>
      </c>
      <c r="F1834" s="25" t="str">
        <f ca="1">IFERROR(__xludf.DUMMYFUNCTION("""COMPUTED_VALUE"""),"Definir un plan de empleabilidad y emprendimiento para poblaciones de difícil empleabilidad: población lgtbi en situación de vulnerabilidad, población hombres y mujeres trans mayores de 50 años (tarea que viene desde mayo), población lgtbi mayores de 50 a"&amp;"ños , población en situación de discapacidad. ")</f>
        <v xml:space="preserve">Definir un plan de empleabilidad y emprendimiento para poblaciones de difícil empleabilidad: población lgtbi en situación de vulnerabilidad, población hombres y mujeres trans mayores de 50 años (tarea que viene desde mayo), población lgtbi mayores de 50 años , población en situación de discapacidad. </v>
      </c>
      <c r="G1834" s="25" t="str">
        <f ca="1">IFERROR(__xludf.DUMMYFUNCTION("""COMPUTED_VALUE"""),"99. Distrito")</f>
        <v>99. Distrito</v>
      </c>
      <c r="H1834" s="55">
        <f ca="1">IFERROR(__xludf.DUMMYFUNCTION("""COMPUTED_VALUE"""),44419)</f>
        <v>44419</v>
      </c>
      <c r="I1834" s="25"/>
      <c r="J1834" s="55" t="str">
        <f ca="1">IFERROR(__xludf.DUMMYFUNCTION("""COMPUTED_VALUE"""),"Alta")</f>
        <v>Alta</v>
      </c>
      <c r="K1834" s="25">
        <f ca="1">IFERROR(__xludf.DUMMYFUNCTION("""COMPUTED_VALUE"""),21)</f>
        <v>21</v>
      </c>
      <c r="L1834" s="62">
        <f ca="1">IFERROR(__xludf.DUMMYFUNCTION("""COMPUTED_VALUE"""),44655)</f>
        <v>44655</v>
      </c>
      <c r="M1834" s="25" t="s">
        <v>92</v>
      </c>
      <c r="N1834" s="55">
        <f ca="1">IFERROR(__xludf.DUMMYFUNCTION("""COMPUTED_VALUE"""),44655)</f>
        <v>44655</v>
      </c>
      <c r="O1834" s="25" t="str">
        <f t="shared" ca="1" si="0"/>
        <v>Secretaría Distrital de Desarrollo Económico</v>
      </c>
      <c r="P1834" s="25" t="str">
        <f t="shared" si="2"/>
        <v/>
      </c>
      <c r="Q1834" s="25" t="str">
        <f ca="1">IFERROR(__xludf.DUMMYFUNCTION("""COMPUTED_VALUE"""),"Corto plazo")</f>
        <v>Corto plazo</v>
      </c>
      <c r="R1834" s="25"/>
      <c r="S1834" s="55"/>
      <c r="T1834" s="56"/>
      <c r="U1834" s="25"/>
      <c r="V1834" s="25"/>
      <c r="W1834" s="25"/>
      <c r="X1834" s="25"/>
      <c r="Y1834" s="25"/>
      <c r="Z1834" s="25"/>
    </row>
    <row r="1835" spans="1:26" ht="52.5" customHeight="1" x14ac:dyDescent="0.25">
      <c r="A1835" s="25" t="str">
        <f ca="1">IFERROR(__xludf.DUMMYFUNCTION("""COMPUTED_VALUE"""),"Desar33")</f>
        <v>Desar33</v>
      </c>
      <c r="B1835" s="25" t="str">
        <f ca="1">IFERROR(__xludf.DUMMYFUNCTION("""COMPUTED_VALUE"""),"Consejo Consultivo LGBTI")</f>
        <v>Consejo Consultivo LGBTI</v>
      </c>
      <c r="C1835" s="55">
        <f ca="1">IFERROR(__xludf.DUMMYFUNCTION("""COMPUTED_VALUE"""),44398)</f>
        <v>44398</v>
      </c>
      <c r="D1835" s="25" t="str">
        <f ca="1">IFERROR(__xludf.DUMMYFUNCTION("""COMPUTED_VALUE"""),"Desarrollo_Económico")</f>
        <v>Desarrollo_Económico</v>
      </c>
      <c r="E1835" s="25" t="str">
        <f ca="1">IFERROR(__xludf.DUMMYFUNCTION("""COMPUTED_VALUE"""),"Instituto para la Economía Social")</f>
        <v>Instituto para la Economía Social</v>
      </c>
      <c r="F1835" s="25" t="str">
        <f ca="1">IFERROR(__xludf.DUMMYFUNCTION("""COMPUTED_VALUE"""),"Hacer en este cuatrienio en cada una de las localidades ferias de economías populares como “Parches Diversos” del IPES. ")</f>
        <v xml:space="preserve">Hacer en este cuatrienio en cada una de las localidades ferias de economías populares como “Parches Diversos” del IPES. </v>
      </c>
      <c r="G1835" s="25" t="str">
        <f ca="1">IFERROR(__xludf.DUMMYFUNCTION("""COMPUTED_VALUE"""),"99. Distrito")</f>
        <v>99. Distrito</v>
      </c>
      <c r="H1835" s="55">
        <f ca="1">IFERROR(__xludf.DUMMYFUNCTION("""COMPUTED_VALUE"""),44910)</f>
        <v>44910</v>
      </c>
      <c r="I1835" s="25"/>
      <c r="J1835" s="55" t="str">
        <f ca="1">IFERROR(__xludf.DUMMYFUNCTION("""COMPUTED_VALUE"""),"Baja")</f>
        <v>Baja</v>
      </c>
      <c r="K1835" s="25">
        <f ca="1">IFERROR(__xludf.DUMMYFUNCTION("""COMPUTED_VALUE"""),512)</f>
        <v>512</v>
      </c>
      <c r="L1835" s="62">
        <f ca="1">IFERROR(__xludf.DUMMYFUNCTION("""COMPUTED_VALUE"""),44956)</f>
        <v>44956</v>
      </c>
      <c r="M1835" s="25" t="str">
        <f ca="1">IFERROR(__xludf.DUMMYFUNCTION("""COMPUTED_VALUE"""),"El IPES, en lo corrido de la vigencia 2022, participó en la socialización del Plan de Acción de la Política Pública LGBTI (2021-2032) que se llevó a cabo en el parque de los Hippies el pasado 12 de febrero, adicionalmente se está articulando internamente "&amp;"y con la Dirección de Diversidad Sexual (DDS) el desarrollo de una de las actividades del Plan de Acción sobre Ambientes Laborales Inclusivos.
Se informa que durante el primer bimestre del año en curso no se han llevado a cabo ferias (Parches Diversos) ya"&amp;" que estas se encuentran en etapa de planeación y articulación con la DDS.
Durante el segundo semestre del 2022, se realizaron las siguientes actividades:
1. Parche Diverso del Sur. 26 de junio 8:00 am - 2:00 pm Lugar Parque del Olaya, para este parche s"&amp;"e asistió con oferta institucional  y traductor de lenguaje de señas quien acompaño a los emprendedores sordos durante este evento.
2. Marcha el 03 de julio día del orgullo LGBTI, en la cual el IPES por medio de nuestros equipos de gestores locales realiz"&amp;"aron jornadas de sensibilización previas al evento y ese día desde las 6 am se dispuso un equipo de gestores para evitar que los Vendedores Informales ocuparan el espacio Público y así dar paso a la marcha entre la calle 26 y la Plaza de Bolívar, adiciona"&amp;"lmente durante la actividad en la Plaza de Bolívar se contó con la participación de nuestro interprete de lenguaje de señas.
3. Parche Diverso Chapinero 8 julio parque Hippies, en el cual el IPES aporto:
40 carpas (pequeñas)
60 sillas
4 baños portátiles.
"&amp;"La participación de 14 emprendimiento de los sectores sociales LGBTI por del IPES, de igual manera el acompañamiento con oferta institucional.")</f>
        <v>El IPES, en lo corrido de la vigencia 2022, participó en la socialización del Plan de Acción de la Política Pública LGBTI (2021-2032) que se llevó a cabo en el parque de los Hippies el pasado 12 de febrero, adicionalmente se está articulando internamente y con la Dirección de Diversidad Sexual (DDS) el desarrollo de una de las actividades del Plan de Acción sobre Ambientes Laborales Inclusivos.
Se informa que durante el primer bimestre del año en curso no se han llevado a cabo ferias (Parches Diversos) ya que estas se encuentran en etapa de planeación y articulación con la DDS.
Durante el segundo semestre del 2022, se realizaron las siguientes actividades:
1. Parche Diverso del Sur. 26 de junio 8:00 am - 2:00 pm Lugar Parque del Olaya, para este parche se asistió con oferta institucional  y traductor de lenguaje de señas quien acompaño a los emprendedores sordos durante este evento.
2. Marcha el 03 de julio día del orgullo LGBTI, en la cual el IPES por medio de nuestros equipos de gestores locales realizaron jornadas de sensibilización previas al evento y ese día desde las 6 am se dispuso un equipo de gestores para evitar que los Vendedores Informales ocuparan el espacio Público y así dar paso a la marcha entre la calle 26 y la Plaza de Bolívar, adicionalmente durante la actividad en la Plaza de Bolívar se contó con la participación de nuestro interprete de lenguaje de señas.
3. Parche Diverso Chapinero 8 julio parque Hippies, en el cual el IPES aporto:
40 carpas (pequeñas)
60 sillas
4 baños portátiles.
La participación de 14 emprendimiento de los sectores sociales LGBTI por del IPES, de igual manera el acompañamiento con oferta institucional.</v>
      </c>
      <c r="N1835" s="55">
        <f ca="1">IFERROR(__xludf.DUMMYFUNCTION("""COMPUTED_VALUE"""),44956)</f>
        <v>44956</v>
      </c>
      <c r="O1835" s="25" t="str">
        <f t="shared" ca="1" si="0"/>
        <v>Instituto para la Economía Social</v>
      </c>
      <c r="P1835" s="25" t="str">
        <f t="shared" si="2"/>
        <v/>
      </c>
      <c r="Q1835" s="25" t="str">
        <f ca="1">IFERROR(__xludf.DUMMYFUNCTION("""COMPUTED_VALUE"""),"Largo plazo")</f>
        <v>Largo plazo</v>
      </c>
      <c r="R1835" s="25"/>
      <c r="S1835" s="55"/>
      <c r="T1835" s="56"/>
      <c r="U1835" s="25"/>
      <c r="V1835" s="25"/>
      <c r="W1835" s="25"/>
      <c r="X1835" s="25"/>
      <c r="Y1835" s="25"/>
      <c r="Z1835" s="25"/>
    </row>
    <row r="1836" spans="1:26" ht="52.5" customHeight="1" x14ac:dyDescent="0.25">
      <c r="A1836" s="25" t="str">
        <f ca="1">IFERROR(__xludf.DUMMYFUNCTION("""COMPUTED_VALUE"""),"Desar34")</f>
        <v>Desar34</v>
      </c>
      <c r="B1836" s="25" t="str">
        <f ca="1">IFERROR(__xludf.DUMMYFUNCTION("""COMPUTED_VALUE"""),"Consejo Consultivo LGBTI")</f>
        <v>Consejo Consultivo LGBTI</v>
      </c>
      <c r="C1836" s="55">
        <f ca="1">IFERROR(__xludf.DUMMYFUNCTION("""COMPUTED_VALUE"""),44398)</f>
        <v>44398</v>
      </c>
      <c r="D1836" s="25" t="str">
        <f ca="1">IFERROR(__xludf.DUMMYFUNCTION("""COMPUTED_VALUE"""),"Desarrollo_Económico")</f>
        <v>Desarrollo_Económico</v>
      </c>
      <c r="E1836" s="25" t="str">
        <f ca="1">IFERROR(__xludf.DUMMYFUNCTION("""COMPUTED_VALUE"""),"Instituto Distrital de Turismo")</f>
        <v>Instituto Distrital de Turismo</v>
      </c>
      <c r="F1836" s="25" t="str">
        <f ca="1">IFERROR(__xludf.DUMMYFUNCTION("""COMPUTED_VALUE"""),"Definir fecha específica de entrega por parte del IDT de la guía turística LGTBI ")</f>
        <v xml:space="preserve">Definir fecha específica de entrega por parte del IDT de la guía turística LGTBI </v>
      </c>
      <c r="G1836" s="25" t="str">
        <f ca="1">IFERROR(__xludf.DUMMYFUNCTION("""COMPUTED_VALUE"""),"99. Distrito")</f>
        <v>99. Distrito</v>
      </c>
      <c r="H1836" s="55">
        <f ca="1">IFERROR(__xludf.DUMMYFUNCTION("""COMPUTED_VALUE"""),44428)</f>
        <v>44428</v>
      </c>
      <c r="I1836" s="25"/>
      <c r="J1836" s="55" t="str">
        <f ca="1">IFERROR(__xludf.DUMMYFUNCTION("""COMPUTED_VALUE"""),"Alta")</f>
        <v>Alta</v>
      </c>
      <c r="K1836" s="25">
        <f ca="1">IFERROR(__xludf.DUMMYFUNCTION("""COMPUTED_VALUE"""),30)</f>
        <v>30</v>
      </c>
      <c r="L1836" s="62">
        <f ca="1">IFERROR(__xludf.DUMMYFUNCTION("""COMPUTED_VALUE"""),44898)</f>
        <v>44898</v>
      </c>
      <c r="M1836" s="25" t="str">
        <f ca="1">IFERROR(__xludf.DUMMYFUNCTION("""COMPUTED_VALUE"""),"Se cuenta para este proyecto con el contratista que iniciará con la fase de investigación, esta fase dura alrededor de 2 meses, y luego se inicia con la fase creativa y de diseño. Se espera cumplir con la entrega en agosto de 2022, o un mes antes. 040322:"&amp;" La primera y segunda semana de marzo, se encuentra un contenido inicial de la guía que está siendo validado con equipo del IDT y con algunos externos. Se está cumpliendo con el cronograma. 020522: Siguiendo con el cronograma, actualmente nos encontramos "&amp;"haciendo una encuesta a la ciudad con el fin de retroalimentar aquellos lugares o sitios que se consideran de interés para este grupo, asimismo, entre el 12 y 20 de mayo se tienen unas mesas técnicas de trabajo en el IDT, para validación del contenido de "&amp;"la guía. 270522: El día martes 10 de mayo se realizó una validación de contenidos de la guía LGBTI con el equipo interno del IDT de acuerdo con los avances de los periodistas, y con los resultados arrojados en la encuesta que ha estado abierta al público,"&amp;" desde el día 29 de abril y la cual se cierra el 31 de mayo, donde se ha recogido información importante de lugares y experiencias que no pueden faltar en la guía. Así mismo y teniendo en cuenta que la marcha gay está programada para el 3 de julio, se esp"&amp;"era poder sacar algunas fotografías e información importante para complementar esta guía. 06/07/22: Se realizó la marcha LGBTIQ+ el día 3 de julio, donde el IDT acompañó, y aprovechó no solo para tomar fotografías y videos que puedan apoyar el material de"&amp;" la guía, sino que además, realizó encuestas para validar producto y contar con otras posibles ideas para la guía. El 6 de julio se revisará el material y el contenido de la guía con la directora del IDT.")</f>
        <v>Se cuenta para este proyecto con el contratista que iniciará con la fase de investigación, esta fase dura alrededor de 2 meses, y luego se inicia con la fase creativa y de diseño. Se espera cumplir con la entrega en agosto de 2022, o un mes antes. 040322: La primera y segunda semana de marzo, se encuentra un contenido inicial de la guía que está siendo validado con equipo del IDT y con algunos externos. Se está cumpliendo con el cronograma. 020522: Siguiendo con el cronograma, actualmente nos encontramos haciendo una encuesta a la ciudad con el fin de retroalimentar aquellos lugares o sitios que se consideran de interés para este grupo, asimismo, entre el 12 y 20 de mayo se tienen unas mesas técnicas de trabajo en el IDT, para validación del contenido de la guía. 270522: El día martes 10 de mayo se realizó una validación de contenidos de la guía LGBTI con el equipo interno del IDT de acuerdo con los avances de los periodistas, y con los resultados arrojados en la encuesta que ha estado abierta al público, desde el día 29 de abril y la cual se cierra el 31 de mayo, donde se ha recogido información importante de lugares y experiencias que no pueden faltar en la guía. Así mismo y teniendo en cuenta que la marcha gay está programada para el 3 de julio, se espera poder sacar algunas fotografías e información importante para complementar esta guía. 06/07/22: Se realizó la marcha LGBTIQ+ el día 3 de julio, donde el IDT acompañó, y aprovechó no solo para tomar fotografías y videos que puedan apoyar el material de la guía, sino que además, realizó encuestas para validar producto y contar con otras posibles ideas para la guía. El 6 de julio se revisará el material y el contenido de la guía con la directora del IDT.</v>
      </c>
      <c r="N1836" s="55">
        <f ca="1">IFERROR(__xludf.DUMMYFUNCTION("""COMPUTED_VALUE"""),44898)</f>
        <v>44898</v>
      </c>
      <c r="O1836" s="25" t="str">
        <f t="shared" ca="1" si="0"/>
        <v>Instituto Distrital de Turismo</v>
      </c>
      <c r="P1836" s="25" t="str">
        <f t="shared" si="2"/>
        <v/>
      </c>
      <c r="Q1836" s="25" t="str">
        <f ca="1">IFERROR(__xludf.DUMMYFUNCTION("""COMPUTED_VALUE"""),"Corto plazo")</f>
        <v>Corto plazo</v>
      </c>
      <c r="R1836" s="25"/>
      <c r="S1836" s="55"/>
      <c r="T1836" s="56"/>
      <c r="U1836" s="25"/>
      <c r="V1836" s="25"/>
      <c r="W1836" s="25"/>
      <c r="X1836" s="25"/>
      <c r="Y1836" s="25"/>
      <c r="Z1836" s="25"/>
    </row>
    <row r="1837" spans="1:26" ht="52.5" customHeight="1" x14ac:dyDescent="0.25">
      <c r="A1837" s="25" t="str">
        <f ca="1">IFERROR(__xludf.DUMMYFUNCTION("""COMPUTED_VALUE"""),"Desar35")</f>
        <v>Desar35</v>
      </c>
      <c r="B1837" s="25" t="str">
        <f ca="1">IFERROR(__xludf.DUMMYFUNCTION("""COMPUTED_VALUE"""),"Consejo Consultivo LGBTI")</f>
        <v>Consejo Consultivo LGBTI</v>
      </c>
      <c r="C1837" s="55">
        <f ca="1">IFERROR(__xludf.DUMMYFUNCTION("""COMPUTED_VALUE"""),44398)</f>
        <v>44398</v>
      </c>
      <c r="D1837" s="25" t="str">
        <f ca="1">IFERROR(__xludf.DUMMYFUNCTION("""COMPUTED_VALUE"""),"Desarrollo_Económico")</f>
        <v>Desarrollo_Económico</v>
      </c>
      <c r="E1837" s="25" t="str">
        <f ca="1">IFERROR(__xludf.DUMMYFUNCTION("""COMPUTED_VALUE"""),"Secretaría Distrital de Desarrollo Económico")</f>
        <v>Secretaría Distrital de Desarrollo Económico</v>
      </c>
      <c r="F1837" s="25" t="str">
        <f ca="1">IFERROR(__xludf.DUMMYFUNCTION("""COMPUTED_VALUE"""),"Revisar estrategia de pagos por resultados a fin de definir si es posible beneficiar a personas de los sectores LGBTI")</f>
        <v>Revisar estrategia de pagos por resultados a fin de definir si es posible beneficiar a personas de los sectores LGBTI</v>
      </c>
      <c r="G1837" s="25" t="str">
        <f ca="1">IFERROR(__xludf.DUMMYFUNCTION("""COMPUTED_VALUE"""),"99. Distrito")</f>
        <v>99. Distrito</v>
      </c>
      <c r="H1837" s="55">
        <f ca="1">IFERROR(__xludf.DUMMYFUNCTION("""COMPUTED_VALUE"""),44428)</f>
        <v>44428</v>
      </c>
      <c r="I1837" s="25"/>
      <c r="J1837" s="55" t="str">
        <f ca="1">IFERROR(__xludf.DUMMYFUNCTION("""COMPUTED_VALUE"""),"Alta")</f>
        <v>Alta</v>
      </c>
      <c r="K1837" s="25">
        <f ca="1">IFERROR(__xludf.DUMMYFUNCTION("""COMPUTED_VALUE"""),30)</f>
        <v>30</v>
      </c>
      <c r="L1837" s="62">
        <f ca="1">IFERROR(__xludf.DUMMYFUNCTION("""COMPUTED_VALUE"""),44655)</f>
        <v>44655</v>
      </c>
      <c r="M1837" s="25" t="str">
        <f ca="1">IFERROR(__xludf.DUMMYFUNCTION("""COMPUTED_VALUE"""),"Se han realizado socializaciones de la estrategia de Pago por Resultados a los funcionarios de la dirección de diversidad sexual. El día 22 de noviembre se socializaron las caracteristicas del modelo el cual se implementará a tavés del programa impulso al"&amp;" empleo y tiene dos paquetes de intervención: 1. paquete basico (Dirigido basicamente a las personas que perdieron el empleo a raíz de la pandemia) 2.Paquete de intervención integral (incluye servicios de gestión y colocación y mitigación de barreras dond"&amp;"e se incluye formación). En este sentido se ha priorizado a la población de los sectores LGTBI para ser atendidos en el paquete integral, este programa se ejecutará durante la vigencia 2022.
En reunión con la Dirección de Diversidad Sexual se acordó revis"&amp;"ar la posibilidad de incluir en el paquete especializado del instrumento diseñado de Financiación Basada en Resultados diseñado con Fundación Corona pagar también por quienes se reconocen como mujeres. La Dirección de Diversidad Sexual propuso como mecani"&amp;"smo por el cual se va a hacer la verificación la utilización de la encuesta de caracterización ficha SIRBE de Integración Social. Esta propuesta está por validar con el secretario
De acuerdo con las directrices recibidas desde Alcaldía, se definió que la"&amp;" población LGTBI no será incluida con un incentivo adicional o específico en el paquete especializado del instrumento diseñado de Financiación Basada en Resultados, sin embargo se promoverá su atención por medio de este programa a la vez que se promoverá "&amp;"la atención de la población de los sectores LGTBI en el paquete integral del programa Impulso al Empleo")</f>
        <v>Se han realizado socializaciones de la estrategia de Pago por Resultados a los funcionarios de la dirección de diversidad sexual. El día 22 de noviembre se socializaron las caracteristicas del modelo el cual se implementará a tavés del programa impulso al empleo y tiene dos paquetes de intervención: 1. paquete basico (Dirigido basicamente a las personas que perdieron el empleo a raíz de la pandemia) 2.Paquete de intervención integral (incluye servicios de gestión y colocación y mitigación de barreras donde se incluye formación). En este sentido se ha priorizado a la población de los sectores LGTBI para ser atendidos en el paquete integral, este programa se ejecutará durante la vigencia 2022.
En reunión con la Dirección de Diversidad Sexual se acordó revisar la posibilidad de incluir en el paquete especializado del instrumento diseñado de Financiación Basada en Resultados diseñado con Fundación Corona pagar también por quienes se reconocen como mujeres. La Dirección de Diversidad Sexual propuso como mecanismo por el cual se va a hacer la verificación la utilización de la encuesta de caracterización ficha SIRBE de Integración Social. Esta propuesta está por validar con el secretario
De acuerdo con las directrices recibidas desde Alcaldía, se definió que la población LGTBI no será incluida con un incentivo adicional o específico en el paquete especializado del instrumento diseñado de Financiación Basada en Resultados, sin embargo se promoverá su atención por medio de este programa a la vez que se promoverá la atención de la población de los sectores LGTBI en el paquete integral del programa Impulso al Empleo</v>
      </c>
      <c r="N1837" s="55">
        <f ca="1">IFERROR(__xludf.DUMMYFUNCTION("""COMPUTED_VALUE"""),44655)</f>
        <v>44655</v>
      </c>
      <c r="O1837" s="25" t="str">
        <f t="shared" ca="1" si="0"/>
        <v>Secretaría Distrital de Desarrollo Económico</v>
      </c>
      <c r="P1837" s="25" t="str">
        <f t="shared" si="2"/>
        <v/>
      </c>
      <c r="Q1837" s="25" t="str">
        <f ca="1">IFERROR(__xludf.DUMMYFUNCTION("""COMPUTED_VALUE"""),"Corto plazo")</f>
        <v>Corto plazo</v>
      </c>
      <c r="R1837" s="25"/>
      <c r="S1837" s="55"/>
      <c r="T1837" s="56"/>
      <c r="U1837" s="25"/>
      <c r="V1837" s="25"/>
      <c r="W1837" s="25"/>
      <c r="X1837" s="25"/>
      <c r="Y1837" s="25"/>
      <c r="Z1837" s="25"/>
    </row>
    <row r="1838" spans="1:26" ht="52.5" customHeight="1" x14ac:dyDescent="0.25">
      <c r="A1838" s="25" t="str">
        <f ca="1">IFERROR(__xludf.DUMMYFUNCTION("""COMPUTED_VALUE"""),"Desar36")</f>
        <v>Desar36</v>
      </c>
      <c r="B1838" s="25" t="str">
        <f ca="1">IFERROR(__xludf.DUMMYFUNCTION("""COMPUTED_VALUE"""),"Recorrido Fontibón")</f>
        <v>Recorrido Fontibón</v>
      </c>
      <c r="C1838" s="55">
        <f ca="1">IFERROR(__xludf.DUMMYFUNCTION("""COMPUTED_VALUE"""),44373)</f>
        <v>44373</v>
      </c>
      <c r="D1838" s="25" t="str">
        <f ca="1">IFERROR(__xludf.DUMMYFUNCTION("""COMPUTED_VALUE"""),"Desarrollo_Económico")</f>
        <v>Desarrollo_Económico</v>
      </c>
      <c r="E1838" s="25" t="str">
        <f ca="1">IFERROR(__xludf.DUMMYFUNCTION("""COMPUTED_VALUE"""),"Instituto Distrital de Turismo")</f>
        <v>Instituto Distrital de Turismo</v>
      </c>
      <c r="F1838" s="25" t="str">
        <f ca="1">IFERROR(__xludf.DUMMYFUNCTION("""COMPUTED_VALUE"""),"Reunirse con edil de la localidad de Fontibón Julián Felipe Triana, para conocer proyecto de recorrido temporal en el sector del aeropuerto de la localidad de Fontibón.")</f>
        <v>Reunirse con edil de la localidad de Fontibón Julián Felipe Triana, para conocer proyecto de recorrido temporal en el sector del aeropuerto de la localidad de Fontibón.</v>
      </c>
      <c r="G1838" s="55" t="str">
        <f ca="1">IFERROR(__xludf.DUMMYFUNCTION("""COMPUTED_VALUE"""),"09. Fontibón")</f>
        <v>09. Fontibón</v>
      </c>
      <c r="H1838" s="55">
        <f ca="1">IFERROR(__xludf.DUMMYFUNCTION("""COMPUTED_VALUE"""),44403)</f>
        <v>44403</v>
      </c>
      <c r="I1838" s="25"/>
      <c r="J1838" s="55" t="str">
        <f ca="1">IFERROR(__xludf.DUMMYFUNCTION("""COMPUTED_VALUE"""),"Alta")</f>
        <v>Alta</v>
      </c>
      <c r="K1838" s="25">
        <f ca="1">IFERROR(__xludf.DUMMYFUNCTION("""COMPUTED_VALUE"""),30)</f>
        <v>30</v>
      </c>
      <c r="L1838" s="62">
        <f ca="1">IFERROR(__xludf.DUMMYFUNCTION("""COMPUTED_VALUE"""),44426)</f>
        <v>44426</v>
      </c>
      <c r="M1838" s="25" t="str">
        <f ca="1">IFERROR(__xludf.DUMMYFUNCTION("""COMPUTED_VALUE"""),"El 16 de Julio del presente año, se realizó reunión entre el IDT y los ediles, Juan Sebastián Diaz Tapias, Andrea Castro y Julián David Triana, de la localidad de Fontibón, con el fin de buscar mecanismos para reactivación del turismo en la localidad. Ate"&amp;"ndiendo la solicitud de los ediles, el IDT se comprometió llevar la oferta Institucional a la localidad. y de esta manera buscar un espacio de discusión o concertación en materia de turismo, generando así un mecanismo de participación. 
Los ediles propusi"&amp;"eron reglamentar dicho espacio por vía proyecto de Acuerdo. La alcaldía local es quien debe liderar este proceso de proyecto de acuerdo, el cual  tendrá asistencia técnica del IDT ")</f>
        <v xml:space="preserve">El 16 de Julio del presente año, se realizó reunión entre el IDT y los ediles, Juan Sebastián Diaz Tapias, Andrea Castro y Julián David Triana, de la localidad de Fontibón, con el fin de buscar mecanismos para reactivación del turismo en la localidad. Atendiendo la solicitud de los ediles, el IDT se comprometió llevar la oferta Institucional a la localidad. y de esta manera buscar un espacio de discusión o concertación en materia de turismo, generando así un mecanismo de participación. 
Los ediles propusieron reglamentar dicho espacio por vía proyecto de Acuerdo. La alcaldía local es quien debe liderar este proceso de proyecto de acuerdo, el cual  tendrá asistencia técnica del IDT </v>
      </c>
      <c r="N1838" s="55">
        <f ca="1">IFERROR(__xludf.DUMMYFUNCTION("""COMPUTED_VALUE"""),44426)</f>
        <v>44426</v>
      </c>
      <c r="O1838" s="25" t="str">
        <f t="shared" ca="1" si="0"/>
        <v>Instituto Distrital de Turismo</v>
      </c>
      <c r="P1838" s="25" t="str">
        <f t="shared" si="2"/>
        <v/>
      </c>
      <c r="Q1838" s="25" t="str">
        <f ca="1">IFERROR(__xludf.DUMMYFUNCTION("""COMPUTED_VALUE"""),"Corto plazo")</f>
        <v>Corto plazo</v>
      </c>
      <c r="R1838" s="25"/>
      <c r="S1838" s="55"/>
      <c r="T1838" s="56"/>
      <c r="U1838" s="25"/>
      <c r="V1838" s="25"/>
      <c r="W1838" s="25"/>
      <c r="X1838" s="25"/>
      <c r="Y1838" s="25"/>
      <c r="Z1838" s="25"/>
    </row>
    <row r="1839" spans="1:26" ht="52.5" customHeight="1" x14ac:dyDescent="0.25">
      <c r="A1839" s="25" t="str">
        <f ca="1">IFERROR(__xludf.DUMMYFUNCTION("""COMPUTED_VALUE"""),"Desar37")</f>
        <v>Desar37</v>
      </c>
      <c r="B1839" s="25" t="str">
        <f ca="1">IFERROR(__xludf.DUMMYFUNCTION("""COMPUTED_VALUE"""),"Almuerzo Ministra de Comercio")</f>
        <v>Almuerzo Ministra de Comercio</v>
      </c>
      <c r="C1839" s="55">
        <f ca="1">IFERROR(__xludf.DUMMYFUNCTION("""COMPUTED_VALUE"""),44370)</f>
        <v>44370</v>
      </c>
      <c r="D1839" s="25" t="str">
        <f ca="1">IFERROR(__xludf.DUMMYFUNCTION("""COMPUTED_VALUE"""),"Desarrollo_Económico")</f>
        <v>Desarrollo_Económico</v>
      </c>
      <c r="E1839" s="25" t="str">
        <f ca="1">IFERROR(__xludf.DUMMYFUNCTION("""COMPUTED_VALUE"""),"Secretaría Distrital de Desarrollo Económico")</f>
        <v>Secretaría Distrital de Desarrollo Económico</v>
      </c>
      <c r="F1839" s="25" t="str">
        <f ca="1">IFERROR(__xludf.DUMMYFUNCTION("""COMPUTED_VALUE"""),"Realizar la feria de empleo con gremios y entidades distritales. En la feria se debe realizar un evento donde los empresarios se comprometan con un número de empleos para el programa empleo joven")</f>
        <v>Realizar la feria de empleo con gremios y entidades distritales. En la feria se debe realizar un evento donde los empresarios se comprometan con un número de empleos para el programa empleo joven</v>
      </c>
      <c r="G1839" s="25" t="str">
        <f ca="1">IFERROR(__xludf.DUMMYFUNCTION("""COMPUTED_VALUE"""),"99. Distrito")</f>
        <v>99. Distrito</v>
      </c>
      <c r="H1839" s="55">
        <f ca="1">IFERROR(__xludf.DUMMYFUNCTION("""COMPUTED_VALUE"""),44400)</f>
        <v>44400</v>
      </c>
      <c r="I1839" s="25"/>
      <c r="J1839" s="55" t="str">
        <f ca="1">IFERROR(__xludf.DUMMYFUNCTION("""COMPUTED_VALUE"""),"Alta")</f>
        <v>Alta</v>
      </c>
      <c r="K1839" s="25">
        <f ca="1">IFERROR(__xludf.DUMMYFUNCTION("""COMPUTED_VALUE"""),30)</f>
        <v>30</v>
      </c>
      <c r="L1839" s="62">
        <f ca="1">IFERROR(__xludf.DUMMYFUNCTION("""COMPUTED_VALUE"""),44463)</f>
        <v>44463</v>
      </c>
      <c r="M1839" s="64" t="str">
        <f ca="1">IFERROR(__xludf.DUMMYFUNCTION("""COMPUTED_VALUE"""),"Bogotá imparable se realizará los próximos 6 y 7 de Octubre y permitirá reunir a toda la oferta institucional. Además, a través de un Empleado se busca conseguir un match entre las empresas y la población que está en busca de ofertas laborales. La feria c"&amp;"ontará con una agenda acádemica que se podrá encontrar en: http://elgeckodelaweb.com/bogota-imparable/agenda.html. El evento contará con la presencia de la alcaldesa mayor y está pensado para Unidades productivas y buscadores de empleo. ")</f>
        <v xml:space="preserve">Bogotá imparable se realizará los próximos 6 y 7 de Octubre y permitirá reunir a toda la oferta institucional. Además, a través de un Empleado se busca conseguir un match entre las empresas y la población que está en busca de ofertas laborales. La feria contará con una agenda acádemica que se podrá encontrar en: http://elgeckodelaweb.com/bogota-imparable/agenda.html. El evento contará con la presencia de la alcaldesa mayor y está pensado para Unidades productivas y buscadores de empleo. </v>
      </c>
      <c r="N1839" s="55">
        <f ca="1">IFERROR(__xludf.DUMMYFUNCTION("""COMPUTED_VALUE"""),44463)</f>
        <v>44463</v>
      </c>
      <c r="O1839" s="25" t="str">
        <f t="shared" ca="1" si="0"/>
        <v>Secretaría Distrital de Desarrollo Económico</v>
      </c>
      <c r="P1839" s="25" t="str">
        <f t="shared" si="2"/>
        <v/>
      </c>
      <c r="Q1839" s="25" t="str">
        <f ca="1">IFERROR(__xludf.DUMMYFUNCTION("""COMPUTED_VALUE"""),"Corto plazo")</f>
        <v>Corto plazo</v>
      </c>
      <c r="R1839" s="25"/>
      <c r="S1839" s="55"/>
      <c r="T1839" s="56"/>
      <c r="U1839" s="25"/>
      <c r="V1839" s="25"/>
      <c r="W1839" s="25"/>
      <c r="X1839" s="25"/>
      <c r="Y1839" s="25"/>
      <c r="Z1839" s="25"/>
    </row>
    <row r="1840" spans="1:26" ht="52.5" customHeight="1" x14ac:dyDescent="0.25">
      <c r="A1840" s="25" t="str">
        <f ca="1">IFERROR(__xludf.DUMMYFUNCTION("""COMPUTED_VALUE"""),"Desar38")</f>
        <v>Desar38</v>
      </c>
      <c r="B1840" s="25" t="str">
        <f ca="1">IFERROR(__xludf.DUMMYFUNCTION("""COMPUTED_VALUE"""),"Recorrido Antonio Nariño ")</f>
        <v xml:space="preserve">Recorrido Antonio Nariño </v>
      </c>
      <c r="C1840" s="55">
        <f ca="1">IFERROR(__xludf.DUMMYFUNCTION("""COMPUTED_VALUE"""),44364)</f>
        <v>44364</v>
      </c>
      <c r="D1840" s="25" t="str">
        <f ca="1">IFERROR(__xludf.DUMMYFUNCTION("""COMPUTED_VALUE"""),"Desarrollo_Económico")</f>
        <v>Desarrollo_Económico</v>
      </c>
      <c r="E1840" s="25" t="str">
        <f ca="1">IFERROR(__xludf.DUMMYFUNCTION("""COMPUTED_VALUE"""),"Secretaría Distrital de Desarrollo Económico")</f>
        <v>Secretaría Distrital de Desarrollo Económico</v>
      </c>
      <c r="F1840" s="25" t="str">
        <f ca="1">IFERROR(__xludf.DUMMYFUNCTION("""COMPUTED_VALUE"""),"Crear un plegable (o una pieza gráfica) que explique la oferta distrital en materia de beneficios para las empresas")</f>
        <v>Crear un plegable (o una pieza gráfica) que explique la oferta distrital en materia de beneficios para las empresas</v>
      </c>
      <c r="G1840" s="55" t="str">
        <f ca="1">IFERROR(__xludf.DUMMYFUNCTION("""COMPUTED_VALUE"""),"15. Antonio Nariño")</f>
        <v>15. Antonio Nariño</v>
      </c>
      <c r="H1840" s="55">
        <f ca="1">IFERROR(__xludf.DUMMYFUNCTION("""COMPUTED_VALUE"""),44394)</f>
        <v>44394</v>
      </c>
      <c r="I1840" s="25"/>
      <c r="J1840" s="55" t="str">
        <f ca="1">IFERROR(__xludf.DUMMYFUNCTION("""COMPUTED_VALUE"""),"Alta")</f>
        <v>Alta</v>
      </c>
      <c r="K1840" s="25">
        <f ca="1">IFERROR(__xludf.DUMMYFUNCTION("""COMPUTED_VALUE"""),30)</f>
        <v>30</v>
      </c>
      <c r="L1840" s="62">
        <f ca="1">IFERROR(__xludf.DUMMYFUNCTION("""COMPUTED_VALUE"""),44398)</f>
        <v>44398</v>
      </c>
      <c r="M1840" s="25" t="str">
        <f ca="1">IFERROR(__xludf.DUMMYFUNCTION("""COMPUTED_VALUE"""),"Se elaboró infografía que está entregando la tropa económica. Esta infografía se trabajó en conjunto entre la Secretaría de Hacienda y la Secretaría de Desarrollo Económico. Recoge de manera resumida, y  fácil de entender, las principales líneas de acción"&amp;" de estas dos entidades distritales, en materia de oferta institucional para la reactivación.  Está dirigida a personas en busca de empleo o formación para el trabajo, y para unidades productivas que requieran financiamiento, formación o fortalecimiento e"&amp;"mpresarial. Además de beneficios tributarios para la formalización.")</f>
        <v>Se elaboró infografía que está entregando la tropa económica. Esta infografía se trabajó en conjunto entre la Secretaría de Hacienda y la Secretaría de Desarrollo Económico. Recoge de manera resumida, y  fácil de entender, las principales líneas de acción de estas dos entidades distritales, en materia de oferta institucional para la reactivación.  Está dirigida a personas en busca de empleo o formación para el trabajo, y para unidades productivas que requieran financiamiento, formación o fortalecimiento empresarial. Además de beneficios tributarios para la formalización.</v>
      </c>
      <c r="N1840" s="55">
        <f ca="1">IFERROR(__xludf.DUMMYFUNCTION("""COMPUTED_VALUE"""),44398)</f>
        <v>44398</v>
      </c>
      <c r="O1840" s="25" t="str">
        <f t="shared" ca="1" si="0"/>
        <v>Secretaría Distrital de Desarrollo Económico</v>
      </c>
      <c r="P1840" s="25" t="str">
        <f t="shared" si="2"/>
        <v/>
      </c>
      <c r="Q1840" s="25" t="str">
        <f ca="1">IFERROR(__xludf.DUMMYFUNCTION("""COMPUTED_VALUE"""),"Corto plazo")</f>
        <v>Corto plazo</v>
      </c>
      <c r="R1840" s="25"/>
      <c r="S1840" s="55"/>
      <c r="T1840" s="56"/>
      <c r="U1840" s="25"/>
      <c r="V1840" s="25"/>
      <c r="W1840" s="25"/>
      <c r="X1840" s="25"/>
      <c r="Y1840" s="25"/>
      <c r="Z1840" s="25"/>
    </row>
    <row r="1841" spans="1:26" ht="52.5" customHeight="1" x14ac:dyDescent="0.25">
      <c r="A1841" s="25" t="str">
        <f ca="1">IFERROR(__xludf.DUMMYFUNCTION("""COMPUTED_VALUE"""),"Desar39")</f>
        <v>Desar39</v>
      </c>
      <c r="B1841" s="25" t="str">
        <f ca="1">IFERROR(__xludf.DUMMYFUNCTION("""COMPUTED_VALUE"""),"Bogotá Cielo Abierto ")</f>
        <v xml:space="preserve">Bogotá Cielo Abierto </v>
      </c>
      <c r="C1841" s="55">
        <f ca="1">IFERROR(__xludf.DUMMYFUNCTION("""COMPUTED_VALUE"""),44348)</f>
        <v>44348</v>
      </c>
      <c r="D1841" s="25" t="str">
        <f ca="1">IFERROR(__xludf.DUMMYFUNCTION("""COMPUTED_VALUE"""),"Desarrollo_Económico")</f>
        <v>Desarrollo_Económico</v>
      </c>
      <c r="E1841" s="25" t="str">
        <f ca="1">IFERROR(__xludf.DUMMYFUNCTION("""COMPUTED_VALUE"""),"Secretaría Distrital de Desarrollo Económico")</f>
        <v>Secretaría Distrital de Desarrollo Económico</v>
      </c>
      <c r="F1841" s="25" t="str">
        <f ca="1">IFERROR(__xludf.DUMMYFUNCTION("""COMPUTED_VALUE"""),"Establecer que en Bogotá a Cielo Abierto 2.0 se empiece a pagar desde el último trimestre")</f>
        <v>Establecer que en Bogotá a Cielo Abierto 2.0 se empiece a pagar desde el último trimestre</v>
      </c>
      <c r="G1841" s="25" t="str">
        <f ca="1">IFERROR(__xludf.DUMMYFUNCTION("""COMPUTED_VALUE"""),"99. Distrito")</f>
        <v>99. Distrito</v>
      </c>
      <c r="H1841" s="55">
        <f ca="1">IFERROR(__xludf.DUMMYFUNCTION("""COMPUTED_VALUE"""),44378)</f>
        <v>44378</v>
      </c>
      <c r="I1841" s="25"/>
      <c r="J1841" s="55" t="str">
        <f ca="1">IFERROR(__xludf.DUMMYFUNCTION("""COMPUTED_VALUE"""),"Alta")</f>
        <v>Alta</v>
      </c>
      <c r="K1841" s="25">
        <f ca="1">IFERROR(__xludf.DUMMYFUNCTION("""COMPUTED_VALUE"""),30)</f>
        <v>30</v>
      </c>
      <c r="L1841" s="62">
        <f ca="1">IFERROR(__xludf.DUMMYFUNCTION("""COMPUTED_VALUE"""),44390)</f>
        <v>44390</v>
      </c>
      <c r="M1841" s="25" t="str">
        <f ca="1">IFERROR(__xludf.DUMMYFUNCTION("""COMPUTED_VALUE"""),"En virtud del proyecto de Decreto ""Por medio de la cual se adopta la reglamentación de la estrategia de revitalización  y las actividades  de aprovechamiento económico ""Bogotá a cielo abierto 2.0"" será implementado  por el DADEP y será esta entidad la "&amp;"encargada del cobro respectivo (Se concertó que durante la vigencia 2021 no se efectuará el cobro)")</f>
        <v>En virtud del proyecto de Decreto "Por medio de la cual se adopta la reglamentación de la estrategia de revitalización  y las actividades  de aprovechamiento económico "Bogotá a cielo abierto 2.0" será implementado  por el DADEP y será esta entidad la encargada del cobro respectivo (Se concertó que durante la vigencia 2021 no se efectuará el cobro)</v>
      </c>
      <c r="N1841" s="55">
        <f ca="1">IFERROR(__xludf.DUMMYFUNCTION("""COMPUTED_VALUE"""),44390)</f>
        <v>44390</v>
      </c>
      <c r="O1841" s="25" t="str">
        <f t="shared" ca="1" si="0"/>
        <v>Secretaría Distrital de Desarrollo Económico</v>
      </c>
      <c r="P1841" s="25" t="str">
        <f t="shared" si="2"/>
        <v/>
      </c>
      <c r="Q1841" s="25" t="str">
        <f ca="1">IFERROR(__xludf.DUMMYFUNCTION("""COMPUTED_VALUE"""),"Corto plazo")</f>
        <v>Corto plazo</v>
      </c>
      <c r="R1841" s="25"/>
      <c r="S1841" s="55"/>
      <c r="T1841" s="56"/>
      <c r="U1841" s="25"/>
      <c r="V1841" s="25"/>
      <c r="W1841" s="25"/>
      <c r="X1841" s="25"/>
      <c r="Y1841" s="25"/>
      <c r="Z1841" s="25"/>
    </row>
    <row r="1842" spans="1:26" ht="52.5" customHeight="1" x14ac:dyDescent="0.25">
      <c r="A1842" s="25" t="str">
        <f ca="1">IFERROR(__xludf.DUMMYFUNCTION("""COMPUTED_VALUE"""),"Desar40")</f>
        <v>Desar40</v>
      </c>
      <c r="B1842" s="25" t="str">
        <f ca="1">IFERROR(__xludf.DUMMYFUNCTION("""COMPUTED_VALUE"""),"Bogotá Cielo Abierto ")</f>
        <v xml:space="preserve">Bogotá Cielo Abierto </v>
      </c>
      <c r="C1842" s="55">
        <f ca="1">IFERROR(__xludf.DUMMYFUNCTION("""COMPUTED_VALUE"""),44348)</f>
        <v>44348</v>
      </c>
      <c r="D1842" s="25" t="str">
        <f ca="1">IFERROR(__xludf.DUMMYFUNCTION("""COMPUTED_VALUE"""),"Desarrollo_Económico")</f>
        <v>Desarrollo_Económico</v>
      </c>
      <c r="E1842" s="25" t="str">
        <f ca="1">IFERROR(__xludf.DUMMYFUNCTION("""COMPUTED_VALUE"""),"Secretaría Distrital de Desarrollo Económico")</f>
        <v>Secretaría Distrital de Desarrollo Económico</v>
      </c>
      <c r="F1842" s="25" t="str">
        <f ca="1">IFERROR(__xludf.DUMMYFUNCTION("""COMPUTED_VALUE"""),"Definir bien las funciones del DADEP y Desarrollo Económico en el proyecto de Bogotá a Cielo Abierto 2.0  
")</f>
        <v xml:space="preserve">Definir bien las funciones del DADEP y Desarrollo Económico en el proyecto de Bogotá a Cielo Abierto 2.0  
</v>
      </c>
      <c r="G1842" s="25" t="str">
        <f ca="1">IFERROR(__xludf.DUMMYFUNCTION("""COMPUTED_VALUE"""),"99. Distrito")</f>
        <v>99. Distrito</v>
      </c>
      <c r="H1842" s="55">
        <f ca="1">IFERROR(__xludf.DUMMYFUNCTION("""COMPUTED_VALUE"""),44378)</f>
        <v>44378</v>
      </c>
      <c r="I1842" s="25"/>
      <c r="J1842" s="55" t="str">
        <f ca="1">IFERROR(__xludf.DUMMYFUNCTION("""COMPUTED_VALUE"""),"Alta")</f>
        <v>Alta</v>
      </c>
      <c r="K1842" s="25">
        <f ca="1">IFERROR(__xludf.DUMMYFUNCTION("""COMPUTED_VALUE"""),30)</f>
        <v>30</v>
      </c>
      <c r="L1842" s="62">
        <f ca="1">IFERROR(__xludf.DUMMYFUNCTION("""COMPUTED_VALUE"""),44463)</f>
        <v>44463</v>
      </c>
      <c r="M1842" s="25" t="str">
        <f ca="1">IFERROR(__xludf.DUMMYFUNCTION("""COMPUTED_VALUE"""),"A la fecha, ya existe un borrador de decreto hecho por el DADEP, el cual está para sanción. En el decreto se establece cuáles son las responsabilidades del DADEP y cuáles las de la SDDE en específico y se ha trabajado en conjunto con la SDDE. ")</f>
        <v xml:space="preserve">A la fecha, ya existe un borrador de decreto hecho por el DADEP, el cual está para sanción. En el decreto se establece cuáles son las responsabilidades del DADEP y cuáles las de la SDDE en específico y se ha trabajado en conjunto con la SDDE. </v>
      </c>
      <c r="N1842" s="55">
        <f ca="1">IFERROR(__xludf.DUMMYFUNCTION("""COMPUTED_VALUE"""),44463)</f>
        <v>44463</v>
      </c>
      <c r="O1842" s="25" t="str">
        <f t="shared" ca="1" si="0"/>
        <v>Secretaría Distrital de Desarrollo Económico</v>
      </c>
      <c r="P1842" s="25" t="str">
        <f t="shared" si="2"/>
        <v/>
      </c>
      <c r="Q1842" s="25" t="str">
        <f ca="1">IFERROR(__xludf.DUMMYFUNCTION("""COMPUTED_VALUE"""),"Corto plazo")</f>
        <v>Corto plazo</v>
      </c>
      <c r="R1842" s="25"/>
      <c r="S1842" s="55"/>
      <c r="T1842" s="56"/>
      <c r="U1842" s="25"/>
      <c r="V1842" s="25"/>
      <c r="W1842" s="25"/>
      <c r="X1842" s="25"/>
      <c r="Y1842" s="25"/>
      <c r="Z1842" s="25"/>
    </row>
    <row r="1843" spans="1:26" ht="52.5" customHeight="1" x14ac:dyDescent="0.25">
      <c r="A1843" s="25" t="str">
        <f ca="1">IFERROR(__xludf.DUMMYFUNCTION("""COMPUTED_VALUE"""),"Desar41")</f>
        <v>Desar41</v>
      </c>
      <c r="B1843" s="25" t="str">
        <f ca="1">IFERROR(__xludf.DUMMYFUNCTION("""COMPUTED_VALUE"""),"Bogotá Cielo Abierto ")</f>
        <v xml:space="preserve">Bogotá Cielo Abierto </v>
      </c>
      <c r="C1843" s="55">
        <f ca="1">IFERROR(__xludf.DUMMYFUNCTION("""COMPUTED_VALUE"""),44348)</f>
        <v>44348</v>
      </c>
      <c r="D1843" s="25" t="str">
        <f ca="1">IFERROR(__xludf.DUMMYFUNCTION("""COMPUTED_VALUE"""),"Desarrollo_Económico")</f>
        <v>Desarrollo_Económico</v>
      </c>
      <c r="E1843" s="25" t="str">
        <f ca="1">IFERROR(__xludf.DUMMYFUNCTION("""COMPUTED_VALUE"""),"Instituto para la Economía Social")</f>
        <v>Instituto para la Economía Social</v>
      </c>
      <c r="F1843" s="25" t="str">
        <f ca="1">IFERROR(__xludf.DUMMYFUNCTION("""COMPUTED_VALUE"""),"Bogotá a Cielo Abierto debe tener la inclusión social  
")</f>
        <v xml:space="preserve">Bogotá a Cielo Abierto debe tener la inclusión social  
</v>
      </c>
      <c r="G1843" s="25" t="str">
        <f ca="1">IFERROR(__xludf.DUMMYFUNCTION("""COMPUTED_VALUE"""),"99. Distrito")</f>
        <v>99. Distrito</v>
      </c>
      <c r="H1843" s="55">
        <f ca="1">IFERROR(__xludf.DUMMYFUNCTION("""COMPUTED_VALUE"""),44378)</f>
        <v>44378</v>
      </c>
      <c r="I1843" s="25"/>
      <c r="J1843" s="55" t="str">
        <f ca="1">IFERROR(__xludf.DUMMYFUNCTION("""COMPUTED_VALUE"""),"Alta")</f>
        <v>Alta</v>
      </c>
      <c r="K1843" s="25">
        <f ca="1">IFERROR(__xludf.DUMMYFUNCTION("""COMPUTED_VALUE"""),30)</f>
        <v>30</v>
      </c>
      <c r="L1843" s="62">
        <f ca="1">IFERROR(__xludf.DUMMYFUNCTION("""COMPUTED_VALUE"""),44463)</f>
        <v>44463</v>
      </c>
      <c r="M1843" s="25" t="str">
        <f ca="1">IFERROR(__xludf.DUMMYFUNCTION("""COMPUTED_VALUE"""),"3 acciones específicas: 
1. Actualmente en la estrategia están incluidos vendedores informales
2. La SDDE en conjunto con la SDC , en articulación con el Ministerio Cultura, buscan generar un proyecto de acciones de fortalecimiento frente al sector de art"&amp;"istas de la ciudad. (PROYECTO DE CIRCULACIÓN ZONAS- ARTISTAS llamado Artes en Movimiento)
3. En la nueva reglamentación del espacio público en el que se incluirá como factor en la fórmula de retribución económica.")</f>
        <v>3 acciones específicas: 
1. Actualmente en la estrategia están incluidos vendedores informales
2. La SDDE en conjunto con la SDC , en articulación con el Ministerio Cultura, buscan generar un proyecto de acciones de fortalecimiento frente al sector de artistas de la ciudad. (PROYECTO DE CIRCULACIÓN ZONAS- ARTISTAS llamado Artes en Movimiento)
3. En la nueva reglamentación del espacio público en el que se incluirá como factor en la fórmula de retribución económica.</v>
      </c>
      <c r="N1843" s="55">
        <f ca="1">IFERROR(__xludf.DUMMYFUNCTION("""COMPUTED_VALUE"""),44463)</f>
        <v>44463</v>
      </c>
      <c r="O1843" s="25" t="str">
        <f t="shared" ca="1" si="0"/>
        <v>Instituto para la Economía Social</v>
      </c>
      <c r="P1843" s="25" t="str">
        <f t="shared" si="2"/>
        <v/>
      </c>
      <c r="Q1843" s="25" t="str">
        <f ca="1">IFERROR(__xludf.DUMMYFUNCTION("""COMPUTED_VALUE"""),"Corto plazo")</f>
        <v>Corto plazo</v>
      </c>
      <c r="R1843" s="25"/>
      <c r="S1843" s="55"/>
      <c r="T1843" s="56"/>
      <c r="U1843" s="25"/>
      <c r="V1843" s="25"/>
      <c r="W1843" s="25"/>
      <c r="X1843" s="25"/>
      <c r="Y1843" s="25"/>
      <c r="Z1843" s="25"/>
    </row>
    <row r="1844" spans="1:26" ht="52.5" customHeight="1" x14ac:dyDescent="0.25">
      <c r="A1844" s="25" t="str">
        <f ca="1">IFERROR(__xludf.DUMMYFUNCTION("""COMPUTED_VALUE"""),"Desar42")</f>
        <v>Desar42</v>
      </c>
      <c r="B1844" s="25" t="str">
        <f ca="1">IFERROR(__xludf.DUMMYFUNCTION("""COMPUTED_VALUE"""),"Bogotá Cielo Abierto ")</f>
        <v xml:space="preserve">Bogotá Cielo Abierto </v>
      </c>
      <c r="C1844" s="55">
        <f ca="1">IFERROR(__xludf.DUMMYFUNCTION("""COMPUTED_VALUE"""),44348)</f>
        <v>44348</v>
      </c>
      <c r="D1844" s="25" t="str">
        <f ca="1">IFERROR(__xludf.DUMMYFUNCTION("""COMPUTED_VALUE"""),"Desarrollo_Económico")</f>
        <v>Desarrollo_Económico</v>
      </c>
      <c r="E1844" s="25" t="str">
        <f ca="1">IFERROR(__xludf.DUMMYFUNCTION("""COMPUTED_VALUE"""),"Instituto Distrital de Turismo")</f>
        <v>Instituto Distrital de Turismo</v>
      </c>
      <c r="F1844" s="25" t="str">
        <f ca="1">IFERROR(__xludf.DUMMYFUNCTION("""COMPUTED_VALUE"""),"El IDT debe instalar la señalética de cada zona de Bogotá a Cielo Abierto 2.0   
")</f>
        <v xml:space="preserve">El IDT debe instalar la señalética de cada zona de Bogotá a Cielo Abierto 2.0   
</v>
      </c>
      <c r="G1844" s="25" t="str">
        <f ca="1">IFERROR(__xludf.DUMMYFUNCTION("""COMPUTED_VALUE"""),"99. Distrito")</f>
        <v>99. Distrito</v>
      </c>
      <c r="H1844" s="55">
        <f ca="1">IFERROR(__xludf.DUMMYFUNCTION("""COMPUTED_VALUE"""),44378)</f>
        <v>44378</v>
      </c>
      <c r="I1844" s="25"/>
      <c r="J1844" s="55" t="str">
        <f ca="1">IFERROR(__xludf.DUMMYFUNCTION("""COMPUTED_VALUE"""),"Alta")</f>
        <v>Alta</v>
      </c>
      <c r="K1844" s="25">
        <f ca="1">IFERROR(__xludf.DUMMYFUNCTION("""COMPUTED_VALUE"""),30)</f>
        <v>30</v>
      </c>
      <c r="L1844" s="62">
        <f ca="1">IFERROR(__xludf.DUMMYFUNCTION("""COMPUTED_VALUE"""),44463)</f>
        <v>44463</v>
      </c>
      <c r="M1844" s="25" t="str">
        <f ca="1">IFERROR(__xludf.DUMMYFUNCTION("""COMPUTED_VALUE"""),"El IDT se encuentra pendiente de que el DADEP confirme número de señales y ubicación de las mismas.  En comunicación recibida por parte del DADEP al IDT, del 16 de septiembre sobre el tema en mención, agradeció la disposición del IDT e indica que actualme"&amp;"nte, se encuentran trabajando en el proyecto de decreto que reglamentará esta actividad, y una vez se expida la reglamentación mencionada, se comunicarán con el IDT, para revisar los temas técnicos sobre la instalación de la señalética.")</f>
        <v>El IDT se encuentra pendiente de que el DADEP confirme número de señales y ubicación de las mismas.  En comunicación recibida por parte del DADEP al IDT, del 16 de septiembre sobre el tema en mención, agradeció la disposición del IDT e indica que actualmente, se encuentran trabajando en el proyecto de decreto que reglamentará esta actividad, y una vez se expida la reglamentación mencionada, se comunicarán con el IDT, para revisar los temas técnicos sobre la instalación de la señalética.</v>
      </c>
      <c r="N1844" s="55">
        <f ca="1">IFERROR(__xludf.DUMMYFUNCTION("""COMPUTED_VALUE"""),44463)</f>
        <v>44463</v>
      </c>
      <c r="O1844" s="25" t="str">
        <f t="shared" ca="1" si="0"/>
        <v>Instituto Distrital de Turismo</v>
      </c>
      <c r="P1844" s="25" t="str">
        <f t="shared" si="2"/>
        <v/>
      </c>
      <c r="Q1844" s="25" t="str">
        <f ca="1">IFERROR(__xludf.DUMMYFUNCTION("""COMPUTED_VALUE"""),"Corto plazo")</f>
        <v>Corto plazo</v>
      </c>
      <c r="R1844" s="25"/>
      <c r="S1844" s="55"/>
      <c r="T1844" s="56"/>
      <c r="U1844" s="25"/>
      <c r="V1844" s="25"/>
      <c r="W1844" s="25"/>
      <c r="X1844" s="25"/>
      <c r="Y1844" s="25"/>
      <c r="Z1844" s="25"/>
    </row>
    <row r="1845" spans="1:26" ht="52.5" customHeight="1" x14ac:dyDescent="0.25">
      <c r="A1845" s="25" t="str">
        <f ca="1">IFERROR(__xludf.DUMMYFUNCTION("""COMPUTED_VALUE"""),"Desar43")</f>
        <v>Desar43</v>
      </c>
      <c r="B1845" s="25" t="str">
        <f ca="1">IFERROR(__xludf.DUMMYFUNCTION("""COMPUTED_VALUE"""),"Alianzas para Ofrecer Créditos a Negocios Informales y Población Vulnerable")</f>
        <v>Alianzas para Ofrecer Créditos a Negocios Informales y Población Vulnerable</v>
      </c>
      <c r="C1845" s="55">
        <f ca="1">IFERROR(__xludf.DUMMYFUNCTION("""COMPUTED_VALUE"""),44336)</f>
        <v>44336</v>
      </c>
      <c r="D1845" s="25" t="str">
        <f ca="1">IFERROR(__xludf.DUMMYFUNCTION("""COMPUTED_VALUE"""),"Desarrollo_Económico")</f>
        <v>Desarrollo_Económico</v>
      </c>
      <c r="E1845" s="25" t="str">
        <f ca="1">IFERROR(__xludf.DUMMYFUNCTION("""COMPUTED_VALUE"""),"Secretaría Distrital de Desarrollo Económico")</f>
        <v>Secretaría Distrital de Desarrollo Económico</v>
      </c>
      <c r="F1845" s="25" t="str">
        <f ca="1">IFERROR(__xludf.DUMMYFUNCTION("""COMPUTED_VALUE"""),"Revisión con Secretaría Distrital de Desarrollo Económico y Fondo Nacional de Garantías para profundizar oportunidades de alianza.")</f>
        <v>Revisión con Secretaría Distrital de Desarrollo Económico y Fondo Nacional de Garantías para profundizar oportunidades de alianza.</v>
      </c>
      <c r="G1845" s="25" t="str">
        <f ca="1">IFERROR(__xludf.DUMMYFUNCTION("""COMPUTED_VALUE"""),"99. Distrito")</f>
        <v>99. Distrito</v>
      </c>
      <c r="H1845" s="55">
        <f ca="1">IFERROR(__xludf.DUMMYFUNCTION("""COMPUTED_VALUE"""),44593)</f>
        <v>44593</v>
      </c>
      <c r="I1845" s="25"/>
      <c r="J1845" s="55" t="str">
        <f ca="1">IFERROR(__xludf.DUMMYFUNCTION("""COMPUTED_VALUE"""),"Baja")</f>
        <v>Baja</v>
      </c>
      <c r="K1845" s="25">
        <f ca="1">IFERROR(__xludf.DUMMYFUNCTION("""COMPUTED_VALUE"""),257)</f>
        <v>257</v>
      </c>
      <c r="L1845" s="62">
        <f ca="1">IFERROR(__xludf.DUMMYFUNCTION("""COMPUTED_VALUE"""),44655)</f>
        <v>44655</v>
      </c>
      <c r="M1845" s="25" t="str">
        <f ca="1">IFERROR(__xludf.DUMMYFUNCTION("""COMPUTED_VALUE"""),"En el año 2021 se tuvo vigente el convenio FNG Unidos por Bogotá, dirigido a trabajadores independientes. Este convenio benefició a 530 personas con creditos por $3.485 millones. Para el año 2022 no se pudo concretar una nueva línea con FNG, ya que tienen"&amp;" algunos problemas operativos que no permitieron planear un nuevo convenio para el 2022 con el FNG. ")</f>
        <v xml:space="preserve">En el año 2021 se tuvo vigente el convenio FNG Unidos por Bogotá, dirigido a trabajadores independientes. Este convenio benefició a 530 personas con creditos por $3.485 millones. Para el año 2022 no se pudo concretar una nueva línea con FNG, ya que tienen algunos problemas operativos que no permitieron planear un nuevo convenio para el 2022 con el FNG. </v>
      </c>
      <c r="N1845" s="55">
        <f ca="1">IFERROR(__xludf.DUMMYFUNCTION("""COMPUTED_VALUE"""),44655)</f>
        <v>44655</v>
      </c>
      <c r="O1845" s="25" t="str">
        <f t="shared" ca="1" si="0"/>
        <v>Secretaría Distrital de Desarrollo Económico</v>
      </c>
      <c r="P1845" s="25" t="str">
        <f t="shared" si="2"/>
        <v/>
      </c>
      <c r="Q1845" s="25" t="str">
        <f ca="1">IFERROR(__xludf.DUMMYFUNCTION("""COMPUTED_VALUE"""),"Largo plazo")</f>
        <v>Largo plazo</v>
      </c>
      <c r="R1845" s="25"/>
      <c r="S1845" s="55"/>
      <c r="T1845" s="56"/>
      <c r="U1845" s="25"/>
      <c r="V1845" s="25"/>
      <c r="W1845" s="25"/>
      <c r="X1845" s="25"/>
      <c r="Y1845" s="25"/>
      <c r="Z1845" s="25"/>
    </row>
    <row r="1846" spans="1:26" ht="52.5" customHeight="1" x14ac:dyDescent="0.25">
      <c r="A1846" s="25" t="str">
        <f ca="1">IFERROR(__xludf.DUMMYFUNCTION("""COMPUTED_VALUE"""),"Desar44")</f>
        <v>Desar44</v>
      </c>
      <c r="B1846" s="25" t="str">
        <f ca="1">IFERROR(__xludf.DUMMYFUNCTION("""COMPUTED_VALUE"""),"Recorrido Plan Centro ")</f>
        <v xml:space="preserve">Recorrido Plan Centro </v>
      </c>
      <c r="C1846" s="55">
        <f ca="1">IFERROR(__xludf.DUMMYFUNCTION("""COMPUTED_VALUE"""),44294)</f>
        <v>44294</v>
      </c>
      <c r="D1846" s="25" t="str">
        <f ca="1">IFERROR(__xludf.DUMMYFUNCTION("""COMPUTED_VALUE"""),"Desarrollo_Económico")</f>
        <v>Desarrollo_Económico</v>
      </c>
      <c r="E1846" s="25" t="str">
        <f ca="1">IFERROR(__xludf.DUMMYFUNCTION("""COMPUTED_VALUE"""),"Instituto para la Economía Social")</f>
        <v>Instituto para la Economía Social</v>
      </c>
      <c r="F1846" s="25" t="str">
        <f ca="1">IFERROR(__xludf.DUMMYFUNCTION("""COMPUTED_VALUE"""),"Coordinar  la presentación de una propuesta de experimento de emprendimiento ""zapatos materas""")</f>
        <v>Coordinar  la presentación de una propuesta de experimento de emprendimiento "zapatos materas"</v>
      </c>
      <c r="G1846" s="55" t="str">
        <f ca="1">IFERROR(__xludf.DUMMYFUNCTION("""COMPUTED_VALUE"""),"14. Mártires")</f>
        <v>14. Mártires</v>
      </c>
      <c r="H1846" s="55">
        <f ca="1">IFERROR(__xludf.DUMMYFUNCTION("""COMPUTED_VALUE"""),44324)</f>
        <v>44324</v>
      </c>
      <c r="I1846" s="25"/>
      <c r="J1846" s="55" t="str">
        <f ca="1">IFERROR(__xludf.DUMMYFUNCTION("""COMPUTED_VALUE"""),"Alta")</f>
        <v>Alta</v>
      </c>
      <c r="K1846" s="25">
        <f ca="1">IFERROR(__xludf.DUMMYFUNCTION("""COMPUTED_VALUE"""),30)</f>
        <v>30</v>
      </c>
      <c r="L1846" s="62">
        <f ca="1">IFERROR(__xludf.DUMMYFUNCTION("""COMPUTED_VALUE"""),44426)</f>
        <v>44426</v>
      </c>
      <c r="M1846" s="25" t="str">
        <f ca="1">IFERROR(__xludf.DUMMYFUNCTION("""COMPUTED_VALUE"""),"Una vez se realizó la solicitud de atención al emprendimiento, se llevó a cabo reunión con los funcionarios de casa de todas y líderes de la fundación MUDET, el día 15/04/2021, durante la cual se les presentó el proyecto 7722 "" Fortalecimiento de la incl"&amp;"usión productiva de emprendimientos por subsistencia""  y  se brindaron las indicaciones de lo requerido para la remisión de las mujeres a atender, posterior a esta reunión, se recibió información por parte de la secretaría  distrital de la mujer, hasta e"&amp;"l día 27 de mayo del 2021, mediante radicado N° 00110-812-008194  al IPES,  al cual se le brindó respuesta solicitando ampliar la  información con las  fechas de expedición de la cédula de las personas remitidas,  con el fin de poder realizar la verificac"&amp;"ión de los criterios de focalización, de lo cual se obtuvo respuesta hasta el día 29/07/2021, mediante correo electrónico, remito por parte de la contratista de la casa de todas, Yanira Espinoza. 
Posterior a esto se realizó la verificación de los criteri"&amp;"os de focalización y se dio inicio a la atención de las mujeres remitidas, con reunión llevada a cabo el día 05/08/2021, donde junto al profesional Camilo Umaña de la secretaria privada de la alcaldía de Bogotá, el subdirector de emprendimiento, servicios"&amp;" empresariales y comercialización SESEC, el Dr. Cristian Felipe González,  la profesional Yanira Espinoza de la casa de todas y el equipo de trabajo, se generaron los acuerdos y compromisos en pro del fortalecimiento a este emprendimiento.
 Teniendo en cu"&amp;"enta lo anterior,  se  realizó la perfilación y se dio inicio a la intervención de las mujeres, con cronograma acordado con las funcionarias de la entidad Yanira Espinoza,  Mabel Zea Mosquera y el equipo de trabajo de SESEC, en reunión del día 10/08/2021,"&amp;"   en donde estableció  que el fortalecimiento se realizará mediante   6 sesiones, las cuales se llevarán a cabo semanalmente, en un tiempo de 2 horas, (ya se llevó cabo la primera  el día jueves 12 de Agosto) enfocados en  el fortalecimiento  del emprend"&amp;"imiento y mejoramiento del producto,  para su posterior comercialización en  ferias y muestras comerciales, que se tiene proyectadas para los meses de septiembre y Octubre del presente año, lo anterior ya fue  socializado con las  líderes  de la fundación"&amp;" MUDET y las mujeres  que serán atendidas. 
")</f>
        <v xml:space="preserve">Una vez se realizó la solicitud de atención al emprendimiento, se llevó a cabo reunión con los funcionarios de casa de todas y líderes de la fundación MUDET, el día 15/04/2021, durante la cual se les presentó el proyecto 7722 " Fortalecimiento de la inclusión productiva de emprendimientos por subsistencia"  y  se brindaron las indicaciones de lo requerido para la remisión de las mujeres a atender, posterior a esta reunión, se recibió información por parte de la secretaría  distrital de la mujer, hasta el día 27 de mayo del 2021, mediante radicado N° 00110-812-008194  al IPES,  al cual se le brindó respuesta solicitando ampliar la  información con las  fechas de expedición de la cédula de las personas remitidas,  con el fin de poder realizar la verificación de los criterios de focalización, de lo cual se obtuvo respuesta hasta el día 29/07/2021, mediante correo electrónico, remito por parte de la contratista de la casa de todas, Yanira Espinoza. 
Posterior a esto se realizó la verificación de los criterios de focalización y se dio inicio a la atención de las mujeres remitidas, con reunión llevada a cabo el día 05/08/2021, donde junto al profesional Camilo Umaña de la secretaria privada de la alcaldía de Bogotá, el subdirector de emprendimiento, servicios empresariales y comercialización SESEC, el Dr. Cristian Felipe González,  la profesional Yanira Espinoza de la casa de todas y el equipo de trabajo, se generaron los acuerdos y compromisos en pro del fortalecimiento a este emprendimiento.
 Teniendo en cuenta lo anterior,  se  realizó la perfilación y se dio inicio a la intervención de las mujeres, con cronograma acordado con las funcionarias de la entidad Yanira Espinoza,  Mabel Zea Mosquera y el equipo de trabajo de SESEC, en reunión del día 10/08/2021,   en donde estableció  que el fortalecimiento se realizará mediante   6 sesiones, las cuales se llevarán a cabo semanalmente, en un tiempo de 2 horas, (ya se llevó cabo la primera  el día jueves 12 de Agosto) enfocados en  el fortalecimiento  del emprendimiento y mejoramiento del producto,  para su posterior comercialización en  ferias y muestras comerciales, que se tiene proyectadas para los meses de septiembre y Octubre del presente año, lo anterior ya fue  socializado con las  líderes  de la fundación MUDET y las mujeres  que serán atendidas. 
</v>
      </c>
      <c r="N1846" s="55">
        <f ca="1">IFERROR(__xludf.DUMMYFUNCTION("""COMPUTED_VALUE"""),44426)</f>
        <v>44426</v>
      </c>
      <c r="O1846" s="25" t="str">
        <f t="shared" ca="1" si="0"/>
        <v>Instituto para la Economía Social</v>
      </c>
      <c r="P1846" s="25" t="str">
        <f t="shared" si="2"/>
        <v/>
      </c>
      <c r="Q1846" s="25" t="str">
        <f ca="1">IFERROR(__xludf.DUMMYFUNCTION("""COMPUTED_VALUE"""),"Corto plazo")</f>
        <v>Corto plazo</v>
      </c>
      <c r="R1846" s="25"/>
      <c r="S1846" s="55"/>
      <c r="T1846" s="56"/>
      <c r="U1846" s="25"/>
      <c r="V1846" s="25"/>
      <c r="W1846" s="25"/>
      <c r="X1846" s="25"/>
      <c r="Y1846" s="25"/>
      <c r="Z1846" s="25"/>
    </row>
    <row r="1847" spans="1:26" ht="52.5" customHeight="1" x14ac:dyDescent="0.25">
      <c r="A1847" s="25" t="str">
        <f ca="1">IFERROR(__xludf.DUMMYFUNCTION("""COMPUTED_VALUE"""),"Desar45")</f>
        <v>Desar45</v>
      </c>
      <c r="B1847" s="25" t="str">
        <f ca="1">IFERROR(__xludf.DUMMYFUNCTION("""COMPUTED_VALUE"""),"Despachando: ACOPI")</f>
        <v>Despachando: ACOPI</v>
      </c>
      <c r="C1847" s="55">
        <f ca="1">IFERROR(__xludf.DUMMYFUNCTION("""COMPUTED_VALUE"""),44292)</f>
        <v>44292</v>
      </c>
      <c r="D1847" s="25" t="str">
        <f ca="1">IFERROR(__xludf.DUMMYFUNCTION("""COMPUTED_VALUE"""),"Desarrollo_Económico")</f>
        <v>Desarrollo_Económico</v>
      </c>
      <c r="E1847" s="25" t="str">
        <f ca="1">IFERROR(__xludf.DUMMYFUNCTION("""COMPUTED_VALUE"""),"Secretaría Distrital de Desarrollo Económico")</f>
        <v>Secretaría Distrital de Desarrollo Económico</v>
      </c>
      <c r="F1847" s="25" t="str">
        <f ca="1">IFERROR(__xludf.DUMMYFUNCTION("""COMPUTED_VALUE"""),"Tener una relación constante con el sector, para que la administración distrital pueda ser vocera con el Gobierno Nacional.")</f>
        <v>Tener una relación constante con el sector, para que la administración distrital pueda ser vocera con el Gobierno Nacional.</v>
      </c>
      <c r="G1847" s="25" t="str">
        <f ca="1">IFERROR(__xludf.DUMMYFUNCTION("""COMPUTED_VALUE"""),"99. Distrito")</f>
        <v>99. Distrito</v>
      </c>
      <c r="H1847" s="55">
        <f ca="1">IFERROR(__xludf.DUMMYFUNCTION("""COMPUTED_VALUE"""),44322)</f>
        <v>44322</v>
      </c>
      <c r="I1847" s="25"/>
      <c r="J1847" s="55" t="str">
        <f ca="1">IFERROR(__xludf.DUMMYFUNCTION("""COMPUTED_VALUE"""),"Alta")</f>
        <v>Alta</v>
      </c>
      <c r="K1847" s="25">
        <f ca="1">IFERROR(__xludf.DUMMYFUNCTION("""COMPUTED_VALUE"""),30)</f>
        <v>30</v>
      </c>
      <c r="L1847" s="62">
        <f ca="1">IFERROR(__xludf.DUMMYFUNCTION("""COMPUTED_VALUE"""),44425)</f>
        <v>44425</v>
      </c>
      <c r="M1847" s="25" t="str">
        <f ca="1">IFERROR(__xludf.DUMMYFUNCTION("""COMPUTED_VALUE"""),"Todos los miércoles cada 15 días se realiza EMRE mesa de trabajo, en el que participa ACOPI. En este espacio se escuchan todas las solicitudes que se tienen de cada sector y se generan reuniones con el Gobierno Nacional. El pasado jueves 29 de abril se co"&amp;"ncertó una reunión con el Ministro Restrepo en el que quedaron los siguientes compromisos: 1. Mediante el distrito: recoger las medidas restrictivas alternativas (si se puede, con argumentos sanitarios). Esto con el fin de presentarlas en los comités epid"&amp;"emiológicos (en conjunto- distrito y Gob). 
 a. Con Asobares, Acolap y Acecolombia (que ya nos envió un oficio).
 2. PAEF: 
 a. Recoger desde el distrito la solicitud formal sobre la importancia y la propuesta de un PAEF diferencial para los más afectados"&amp;". Esto con el fin de enviarlo a Hacienda. 
 b. Desde MinComercio estamos trabajando para que Hacienda esté presente en reunión con ellos, en una reunión concreta en la que puedan exponerles estos puntos. 
 3. Arriendos: 
 a. Recoger por medio del distrito"&amp;" la propuesta de arriendos para seguir trabajando este punto. 
 4. Incapacidades médicas:
 a. Nos enviarán el tema de incapacidades médicas para poder llevarlo al Ministerio de Salud. 
 5. Sobre el tema de reguladores con Evert Montero de Fel Coljuegos, d"&amp;"estinar un espacio de discusión. 
 6. Acelerar la línea con Bancóldex de Bogotá Adelante. 
 a. Encargados: Alcaldía y Bancóldex (Jorge Arcieri). 
 7. Reunión del gremio de eventos (Satori), con la Alcaldía (que se incluya a la secretaria, Carlos Lucio y o"&amp;"tros gremios de eventos) y el viceministerio de turismo. 
 a. Con el fin de pensar creativamente para reactivar al sector. 
 b. Es importante que como resultado de la conversación salga una propuesta concreta. 
 8. Trabajo con los informales para Bogotá: "&amp;"
 a. Reunión de Sandra Acero, con la Secretaría de Desarrollo, para organizar un programa puntual para los informales. 
 b. Ignacio Gaitán se reunirá con la Secretaría de Desarrollo para montar un ReactivaTech en Bogotá")</f>
        <v>Todos los miércoles cada 15 días se realiza EMRE mesa de trabajo, en el que participa ACOPI. En este espacio se escuchan todas las solicitudes que se tienen de cada sector y se generan reuniones con el Gobierno Nacional. El pasado jueves 29 de abril se concertó una reunión con el Ministro Restrepo en el que quedaron los siguientes compromisos: 1. Mediante el distrito: recoger las medidas restrictivas alternativas (si se puede, con argumentos sanitarios). Esto con el fin de presentarlas en los comités epidemiológicos (en conjunto- distrito y Gob). 
 a. Con Asobares, Acolap y Acecolombia (que ya nos envió un oficio).
 2. PAEF: 
 a. Recoger desde el distrito la solicitud formal sobre la importancia y la propuesta de un PAEF diferencial para los más afectados. Esto con el fin de enviarlo a Hacienda. 
 b. Desde MinComercio estamos trabajando para que Hacienda esté presente en reunión con ellos, en una reunión concreta en la que puedan exponerles estos puntos. 
 3. Arriendos: 
 a. Recoger por medio del distrito la propuesta de arriendos para seguir trabajando este punto. 
 4. Incapacidades médicas:
 a. Nos enviarán el tema de incapacidades médicas para poder llevarlo al Ministerio de Salud. 
 5. Sobre el tema de reguladores con Evert Montero de Fel Coljuegos, destinar un espacio de discusión. 
 6. Acelerar la línea con Bancóldex de Bogotá Adelante. 
 a. Encargados: Alcaldía y Bancóldex (Jorge Arcieri). 
 7. Reunión del gremio de eventos (Satori), con la Alcaldía (que se incluya a la secretaria, Carlos Lucio y otros gremios de eventos) y el viceministerio de turismo. 
 a. Con el fin de pensar creativamente para reactivar al sector. 
 b. Es importante que como resultado de la conversación salga una propuesta concreta. 
 8. Trabajo con los informales para Bogotá: 
 a. Reunión de Sandra Acero, con la Secretaría de Desarrollo, para organizar un programa puntual para los informales. 
 b. Ignacio Gaitán se reunirá con la Secretaría de Desarrollo para montar un ReactivaTech en Bogotá</v>
      </c>
      <c r="N1847" s="55">
        <f ca="1">IFERROR(__xludf.DUMMYFUNCTION("""COMPUTED_VALUE"""),44425)</f>
        <v>44425</v>
      </c>
      <c r="O1847" s="25" t="str">
        <f t="shared" ca="1" si="0"/>
        <v>Secretaría Distrital de Desarrollo Económico</v>
      </c>
      <c r="P1847" s="25" t="str">
        <f t="shared" si="2"/>
        <v/>
      </c>
      <c r="Q1847" s="25" t="str">
        <f ca="1">IFERROR(__xludf.DUMMYFUNCTION("""COMPUTED_VALUE"""),"Corto plazo")</f>
        <v>Corto plazo</v>
      </c>
      <c r="R1847" s="25"/>
      <c r="S1847" s="55"/>
      <c r="T1847" s="56"/>
      <c r="U1847" s="25"/>
      <c r="V1847" s="25"/>
      <c r="W1847" s="25"/>
      <c r="X1847" s="25"/>
      <c r="Y1847" s="25"/>
      <c r="Z1847" s="25"/>
    </row>
    <row r="1848" spans="1:26" ht="52.5" customHeight="1" x14ac:dyDescent="0.25">
      <c r="A1848" s="25" t="str">
        <f ca="1">IFERROR(__xludf.DUMMYFUNCTION("""COMPUTED_VALUE"""),"Desar46")</f>
        <v>Desar46</v>
      </c>
      <c r="B1848" s="25" t="str">
        <f ca="1">IFERROR(__xludf.DUMMYFUNCTION("""COMPUTED_VALUE"""),"Despachando: ACOPI")</f>
        <v>Despachando: ACOPI</v>
      </c>
      <c r="C1848" s="55">
        <f ca="1">IFERROR(__xludf.DUMMYFUNCTION("""COMPUTED_VALUE"""),44292)</f>
        <v>44292</v>
      </c>
      <c r="D1848" s="25" t="str">
        <f ca="1">IFERROR(__xludf.DUMMYFUNCTION("""COMPUTED_VALUE"""),"Desarrollo_Económico")</f>
        <v>Desarrollo_Económico</v>
      </c>
      <c r="E1848" s="25" t="str">
        <f ca="1">IFERROR(__xludf.DUMMYFUNCTION("""COMPUTED_VALUE"""),"Secretaría Distrital de Desarrollo Económico")</f>
        <v>Secretaría Distrital de Desarrollo Económico</v>
      </c>
      <c r="F1848" s="25" t="str">
        <f ca="1">IFERROR(__xludf.DUMMYFUNCTION("""COMPUTED_VALUE"""),"Tener mayor comunicación de la nueva línea de Bogotá Responde, para que puedan participar más mipymes")</f>
        <v>Tener mayor comunicación de la nueva línea de Bogotá Responde, para que puedan participar más mipymes</v>
      </c>
      <c r="G1848" s="25" t="str">
        <f ca="1">IFERROR(__xludf.DUMMYFUNCTION("""COMPUTED_VALUE"""),"99. Distrito")</f>
        <v>99. Distrito</v>
      </c>
      <c r="H1848" s="55">
        <f ca="1">IFERROR(__xludf.DUMMYFUNCTION("""COMPUTED_VALUE"""),44322)</f>
        <v>44322</v>
      </c>
      <c r="I1848" s="25"/>
      <c r="J1848" s="55" t="str">
        <f ca="1">IFERROR(__xludf.DUMMYFUNCTION("""COMPUTED_VALUE"""),"Alta")</f>
        <v>Alta</v>
      </c>
      <c r="K1848" s="25">
        <f ca="1">IFERROR(__xludf.DUMMYFUNCTION("""COMPUTED_VALUE"""),30)</f>
        <v>30</v>
      </c>
      <c r="L1848" s="62">
        <f ca="1">IFERROR(__xludf.DUMMYFUNCTION("""COMPUTED_VALUE"""),44463)</f>
        <v>44463</v>
      </c>
      <c r="M1848" s="25" t="str">
        <f ca="1">IFERROR(__xludf.DUMMYFUNCTION("""COMPUTED_VALUE"""),"Se creó la línea Bogotá Adelante la cual se lanzó en el mes de agosto y la misma tiene una estrategia de comunicación especial para lograr llegar a más Mypimes.
- La línea se lanzó en el marco de la ruta de competitividad, en un evento con la alcaldesa, "&amp;"lo que permitió darle más alcade. 
- La estrategia está concentrada en: (i). Parrilla de piezas y mensajes para redes sociales, (ii). Vídeo de la secretaría Carolina Durán para redes sociales y medios de comunicación masivos. (iii). Envío de mailing a bd "&amp;"de la SDDE y Bancoldex, (iv). Socialización del programa en los espacios de la SDDE con poblaciones diferenciales, (v). Socialización en territorio a través de la Tropa Económica y/u otros equipos territoriales del distrito. Dichas acciones, se harán por "&amp;"doble vía (SDDE y Bancoldex  y con apoyo de otras entidades distritales.
Resultados: a un mes del lanzamiento, aproximadamente, ya hay 1629 Unidades productivas beneficiadas ")</f>
        <v xml:space="preserve">Se creó la línea Bogotá Adelante la cual se lanzó en el mes de agosto y la misma tiene una estrategia de comunicación especial para lograr llegar a más Mypimes.
- La línea se lanzó en el marco de la ruta de competitividad, en un evento con la alcaldesa, lo que permitió darle más alcade. 
- La estrategia está concentrada en: (i). Parrilla de piezas y mensajes para redes sociales, (ii). Vídeo de la secretaría Carolina Durán para redes sociales y medios de comunicación masivos. (iii). Envío de mailing a bd de la SDDE y Bancoldex, (iv). Socialización del programa en los espacios de la SDDE con poblaciones diferenciales, (v). Socialización en territorio a través de la Tropa Económica y/u otros equipos territoriales del distrito. Dichas acciones, se harán por doble vía (SDDE y Bancoldex  y con apoyo de otras entidades distritales.
Resultados: a un mes del lanzamiento, aproximadamente, ya hay 1629 Unidades productivas beneficiadas </v>
      </c>
      <c r="N1848" s="55">
        <f ca="1">IFERROR(__xludf.DUMMYFUNCTION("""COMPUTED_VALUE"""),44463)</f>
        <v>44463</v>
      </c>
      <c r="O1848" s="25" t="str">
        <f t="shared" ca="1" si="0"/>
        <v>Secretaría Distrital de Desarrollo Económico</v>
      </c>
      <c r="P1848" s="25" t="str">
        <f t="shared" si="2"/>
        <v/>
      </c>
      <c r="Q1848" s="25" t="str">
        <f ca="1">IFERROR(__xludf.DUMMYFUNCTION("""COMPUTED_VALUE"""),"Corto plazo")</f>
        <v>Corto plazo</v>
      </c>
      <c r="R1848" s="25"/>
      <c r="S1848" s="55"/>
      <c r="T1848" s="56"/>
      <c r="U1848" s="25"/>
      <c r="V1848" s="25"/>
      <c r="W1848" s="25"/>
      <c r="X1848" s="25"/>
      <c r="Y1848" s="25"/>
      <c r="Z1848" s="25"/>
    </row>
    <row r="1849" spans="1:26" ht="52.5" customHeight="1" x14ac:dyDescent="0.25">
      <c r="A1849" s="25" t="str">
        <f ca="1">IFERROR(__xludf.DUMMYFUNCTION("""COMPUTED_VALUE"""),"Desar47")</f>
        <v>Desar47</v>
      </c>
      <c r="B1849" s="25" t="str">
        <f ca="1">IFERROR(__xludf.DUMMYFUNCTION("""COMPUTED_VALUE"""),"Despachando: ACOPI")</f>
        <v>Despachando: ACOPI</v>
      </c>
      <c r="C1849" s="55">
        <f ca="1">IFERROR(__xludf.DUMMYFUNCTION("""COMPUTED_VALUE"""),44292)</f>
        <v>44292</v>
      </c>
      <c r="D1849" s="25" t="str">
        <f ca="1">IFERROR(__xludf.DUMMYFUNCTION("""COMPUTED_VALUE"""),"Desarrollo_Económico")</f>
        <v>Desarrollo_Económico</v>
      </c>
      <c r="E1849" s="25" t="str">
        <f ca="1">IFERROR(__xludf.DUMMYFUNCTION("""COMPUTED_VALUE"""),"Secretaría Distrital de Desarrollo Económico")</f>
        <v>Secretaría Distrital de Desarrollo Económico</v>
      </c>
      <c r="F1849" s="25" t="str">
        <f ca="1">IFERROR(__xludf.DUMMYFUNCTION("""COMPUTED_VALUE"""),"Fortalecer programas de innovación digital y transformación de aglomeraciones productivas que se puedan integrar a la cadena de valor")</f>
        <v>Fortalecer programas de innovación digital y transformación de aglomeraciones productivas que se puedan integrar a la cadena de valor</v>
      </c>
      <c r="G1849" s="25" t="str">
        <f ca="1">IFERROR(__xludf.DUMMYFUNCTION("""COMPUTED_VALUE"""),"99. Distrito")</f>
        <v>99. Distrito</v>
      </c>
      <c r="H1849" s="55">
        <f ca="1">IFERROR(__xludf.DUMMYFUNCTION("""COMPUTED_VALUE"""),44322)</f>
        <v>44322</v>
      </c>
      <c r="I1849" s="25"/>
      <c r="J1849" s="55" t="str">
        <f ca="1">IFERROR(__xludf.DUMMYFUNCTION("""COMPUTED_VALUE"""),"Alta")</f>
        <v>Alta</v>
      </c>
      <c r="K1849" s="25">
        <f ca="1">IFERROR(__xludf.DUMMYFUNCTION("""COMPUTED_VALUE"""),30)</f>
        <v>30</v>
      </c>
      <c r="L1849" s="62">
        <f ca="1">IFERROR(__xludf.DUMMYFUNCTION("""COMPUTED_VALUE"""),44425)</f>
        <v>44425</v>
      </c>
      <c r="M1849" s="25" t="str">
        <f ca="1">IFERROR(__xludf.DUMMYFUNCTION("""COMPUTED_VALUE"""),"1. Entorno
 Servicios de capacitación y asesoría para la implementación de innovación en procesos y productos. Apoyar la reconfiguración de los negocios de cada a la nueva normalidad a través de la transferencia de conocimiento y la metodología de Voucher"&amp;"s para acelerar la transformación de modelos de negocio y el acceso a nuevos mercados.
 Meta: 600 empresas
 Estado: preparación 
 2. HUB Blockchain Bogotá – LATAM 
 Adopción de nuevas tecnologías que incentiven la innovación de las industrias en escenar"&amp;"ios de oportunidad. consolidar un ecosistema de negocios Blockchain y fortalecer la competitividad de empresas de diversos sectores que incursionen en esta tecnología.
 Meta: 100 empresas
 Estado: preparación 
 3. Negocios Verdes Innovadores
 Reactivaci"&amp;"ón económica enfocado en el aprovechamiento de los negocios verdes. promover las capacidades de articulación academia – industria, con el fin de generar conexiones de valor en torno a proyectos I+D+i en el marco del aprovechamiento sostenible de negocios "&amp;"verdes.
 Meta: 250 empresas
 Estado: preparación 
 4. Diseño Bogotá
 El diseño, la innovación y la tecnología para la sofisticación de sectores tradicionales. potenciar la competitividad de las empresas, a través de la apropiación del diseño como genera"&amp;"dor de valor e innovación; para diferenciar, dinamizar y transformar los modelos de negocio de cara a la nueva normalidad.
 Meta: 300 empresas
 Estado: preparación 
 5. Sistema de Innovación Empresarial: Innovación más país Bogotá
 20 empresas bogotan"&amp;"as reciben acompañamiento de alto nivel y recursos para implementar un sistema de gestión de innovación y hacer realidad un proyecto que fortalezca su oferta de valor 
 Meta: 200 empresas
 Estado: Implementación – las empresas ya se encuentran seleccionad"&amp;"as, en proceso de iniciar fase de fortalecimiento 
 6. Transformatech 
 Ruta para acelerar en 5 meses los procesos de transformación digital de empresas del sector de agroindustria, metalmecánica, químicos/plásticos y biotecnología/nanotecnología enfoca"&amp;"do en cosméticos y aseo.
 Fases:
 1. Sensibilización en: Cloud innovation, Inteligencia artificial, Analítica de datos, Seguridad de la información, Transformación digital,Innovación)
 2. Diagnóstico, Formación y uso de herramientas por cada temática
 3. "&amp;"Aceleración: Intervención de la empresa e incorporación tecnológica
 Meta: 300 empresas
 Estado: Implementación – convocatoria abierta")</f>
        <v>1. Entorno
 Servicios de capacitación y asesoría para la implementación de innovación en procesos y productos. Apoyar la reconfiguración de los negocios de cada a la nueva normalidad a través de la transferencia de conocimiento y la metodología de Vouchers para acelerar la transformación de modelos de negocio y el acceso a nuevos mercados.
 Meta: 600 empresas
 Estado: preparación 
 2. HUB Blockchain Bogotá – LATAM 
 Adopción de nuevas tecnologías que incentiven la innovación de las industrias en escenarios de oportunidad. consolidar un ecosistema de negocios Blockchain y fortalecer la competitividad de empresas de diversos sectores que incursionen en esta tecnología.
 Meta: 100 empresas
 Estado: preparación 
 3. Negocios Verdes Innovadores
 Reactivación económica enfocado en el aprovechamiento de los negocios verdes. promover las capacidades de articulación academia – industria, con el fin de generar conexiones de valor en torno a proyectos I+D+i en el marco del aprovechamiento sostenible de negocios verdes.
 Meta: 250 empresas
 Estado: preparación 
 4. Diseño Bogotá
 El diseño, la innovación y la tecnología para la sofisticación de sectores tradicionales. potenciar la competitividad de las empresas, a través de la apropiación del diseño como generador de valor e innovación; para diferenciar, dinamizar y transformar los modelos de negocio de cara a la nueva normalidad.
 Meta: 300 empresas
 Estado: preparación 
 5. Sistema de Innovación Empresarial: Innovación más país Bogotá
 20 empresas bogotanas reciben acompañamiento de alto nivel y recursos para implementar un sistema de gestión de innovación y hacer realidad un proyecto que fortalezca su oferta de valor 
 Meta: 200 empresas
 Estado: Implementación – las empresas ya se encuentran seleccionadas, en proceso de iniciar fase de fortalecimiento 
 6. Transformatech 
 Ruta para acelerar en 5 meses los procesos de transformación digital de empresas del sector de agroindustria, metalmecánica, químicos/plásticos y biotecnología/nanotecnología enfocado en cosméticos y aseo.
 Fases:
 1. Sensibilización en: Cloud innovation, Inteligencia artificial, Analítica de datos, Seguridad de la información, Transformación digital,Innovación)
 2. Diagnóstico, Formación y uso de herramientas por cada temática
 3. Aceleración: Intervención de la empresa e incorporación tecnológica
 Meta: 300 empresas
 Estado: Implementación – convocatoria abierta</v>
      </c>
      <c r="N1849" s="55">
        <f ca="1">IFERROR(__xludf.DUMMYFUNCTION("""COMPUTED_VALUE"""),44425)</f>
        <v>44425</v>
      </c>
      <c r="O1849" s="25" t="str">
        <f t="shared" ca="1" si="0"/>
        <v>Secretaría Distrital de Desarrollo Económico</v>
      </c>
      <c r="P1849" s="25" t="str">
        <f t="shared" si="2"/>
        <v/>
      </c>
      <c r="Q1849" s="25" t="str">
        <f ca="1">IFERROR(__xludf.DUMMYFUNCTION("""COMPUTED_VALUE"""),"Corto plazo")</f>
        <v>Corto plazo</v>
      </c>
      <c r="R1849" s="25"/>
      <c r="S1849" s="55"/>
      <c r="T1849" s="56"/>
      <c r="U1849" s="25"/>
      <c r="V1849" s="25"/>
      <c r="W1849" s="25"/>
      <c r="X1849" s="25"/>
      <c r="Y1849" s="25"/>
      <c r="Z1849" s="25"/>
    </row>
    <row r="1850" spans="1:26" ht="52.5" customHeight="1" x14ac:dyDescent="0.25">
      <c r="A1850" s="25" t="str">
        <f ca="1">IFERROR(__xludf.DUMMYFUNCTION("""COMPUTED_VALUE"""),"Desar48")</f>
        <v>Desar48</v>
      </c>
      <c r="B1850" s="25" t="str">
        <f ca="1">IFERROR(__xludf.DUMMYFUNCTION("""COMPUTED_VALUE"""),"Despachando: ACOPI")</f>
        <v>Despachando: ACOPI</v>
      </c>
      <c r="C1850" s="55">
        <f ca="1">IFERROR(__xludf.DUMMYFUNCTION("""COMPUTED_VALUE"""),44292)</f>
        <v>44292</v>
      </c>
      <c r="D1850" s="25" t="str">
        <f ca="1">IFERROR(__xludf.DUMMYFUNCTION("""COMPUTED_VALUE"""),"Desarrollo_Económico")</f>
        <v>Desarrollo_Económico</v>
      </c>
      <c r="E1850" s="25" t="str">
        <f ca="1">IFERROR(__xludf.DUMMYFUNCTION("""COMPUTED_VALUE"""),"Secretaría Distrital de Desarrollo Económico")</f>
        <v>Secretaría Distrital de Desarrollo Económico</v>
      </c>
      <c r="F1850" s="25" t="str">
        <f ca="1">IFERROR(__xludf.DUMMYFUNCTION("""COMPUTED_VALUE"""),"Organizar Ferias para comercializar los productos de las mipymes y la Feria Internacional del Calzado, Cuero, Marroquinería, Insumos y Tecnología - IFLS + EICI que organiza ACICAM")</f>
        <v>Organizar Ferias para comercializar los productos de las mipymes y la Feria Internacional del Calzado, Cuero, Marroquinería, Insumos y Tecnología - IFLS + EICI que organiza ACICAM</v>
      </c>
      <c r="G1850" s="25" t="str">
        <f ca="1">IFERROR(__xludf.DUMMYFUNCTION("""COMPUTED_VALUE"""),"99. Distrito")</f>
        <v>99. Distrito</v>
      </c>
      <c r="H1850" s="55">
        <f ca="1">IFERROR(__xludf.DUMMYFUNCTION("""COMPUTED_VALUE"""),44322)</f>
        <v>44322</v>
      </c>
      <c r="I1850" s="25"/>
      <c r="J1850" s="55" t="str">
        <f ca="1">IFERROR(__xludf.DUMMYFUNCTION("""COMPUTED_VALUE"""),"Alta")</f>
        <v>Alta</v>
      </c>
      <c r="K1850" s="25">
        <f ca="1">IFERROR(__xludf.DUMMYFUNCTION("""COMPUTED_VALUE"""),30)</f>
        <v>30</v>
      </c>
      <c r="L1850" s="62">
        <f ca="1">IFERROR(__xludf.DUMMYFUNCTION("""COMPUTED_VALUE"""),44463)</f>
        <v>44463</v>
      </c>
      <c r="M1850" s="25" t="str">
        <f ca="1">IFERROR(__xludf.DUMMYFUNCTION("""COMPUTED_VALUE"""),"Las 26 emprendedoras que participarán en la Feria han recibido capacitación en ""Marketing y Ventas"" y ""Servicio al Cliente"", se seleccionaron 5 emprendimientos para realizar un video por parte de comunicaciones, la fecha de feria es del 4 al 13 de jun"&amp;"io - MallPlaza - NQS con calle 19
CORREDORES
se realizarán 3 Corredores de 50 emprendimientos x c/u (Comercialización) 4 días a la semana por 4 jornadas y contarán con talleres de transferencia de habilidades para los participantes
Feria Creo en mí (como"&amp;" evento realizado):Evento con emprendedoras seleccionadas beneficiarias del programa Creo en Mí 2020. 42 mujeres participaron de la feria con sus emprendimientos.
Se tiene previsto que, para finales de la tercera mitad de la vigencia 2021, inicie la real"&amp;"ización de la Feria Internacional de Cuero, Calzado y Marroquinería; empezando por la Feria del Mueble, en el barrio el 12 de Octubre de la localidad de Barrios Unidos. Así –paulatinamente- se irán desarrollando las demás ferias comerciales en las localid"&amp;"ades de Usaquén, Mártires y Antonio Nariño (localidad en la que se realizará la Feria Internacional del Cuero Calzado y Marroquinería, en cumplimiento del Acuerdo Distrital 729-2018); además de cuatro (4) ferias comerciales adicionales, que se encuentran "&amp;"–todavía- en un proceso de planeación.
De otra parte, durante la primera semana de agosto se llevó a cabo la edición número 41 de la International Footwear &amp; Leather Show (IFLS) y la EICI - Exhibición especializada de cuero, insumos, maquinaria, tecno"&amp;"logía y servicios, que recibió a más de 6.000 visitantes de países como Brasil, Italia, México, Uruguay, Peru y Colombia y contó con la participación de 220 expositores, con estimaciones en ventas cercanas a los 17 mil millones en ventas.")</f>
        <v>Las 26 emprendedoras que participarán en la Feria han recibido capacitación en "Marketing y Ventas" y "Servicio al Cliente", se seleccionaron 5 emprendimientos para realizar un video por parte de comunicaciones, la fecha de feria es del 4 al 13 de junio - MallPlaza - NQS con calle 19
CORREDORES
se realizarán 3 Corredores de 50 emprendimientos x c/u (Comercialización) 4 días a la semana por 4 jornadas y contarán con talleres de transferencia de habilidades para los participantes
Feria Creo en mí (como evento realizado):Evento con emprendedoras seleccionadas beneficiarias del programa Creo en Mí 2020. 42 mujeres participaron de la feria con sus emprendimientos.
Se tiene previsto que, para finales de la tercera mitad de la vigencia 2021, inicie la realización de la Feria Internacional de Cuero, Calzado y Marroquinería; empezando por la Feria del Mueble, en el barrio el 12 de Octubre de la localidad de Barrios Unidos. Así –paulatinamente- se irán desarrollando las demás ferias comerciales en las localidades de Usaquén, Mártires y Antonio Nariño (localidad en la que se realizará la Feria Internacional del Cuero Calzado y Marroquinería, en cumplimiento del Acuerdo Distrital 729-2018); además de cuatro (4) ferias comerciales adicionales, que se encuentran –todavía- en un proceso de planeación.
De otra parte, durante la primera semana de agosto se llevó a cabo la edición número 41 de la International Footwear &amp; Leather Show (IFLS) y la EICI - Exhibición especializada de cuero, insumos, maquinaria, tecnología y servicios, que recibió a más de 6.000 visitantes de países como Brasil, Italia, México, Uruguay, Peru y Colombia y contó con la participación de 220 expositores, con estimaciones en ventas cercanas a los 17 mil millones en ventas.</v>
      </c>
      <c r="N1850" s="55">
        <f ca="1">IFERROR(__xludf.DUMMYFUNCTION("""COMPUTED_VALUE"""),44463)</f>
        <v>44463</v>
      </c>
      <c r="O1850" s="25" t="str">
        <f t="shared" ca="1" si="0"/>
        <v>Secretaría Distrital de Desarrollo Económico</v>
      </c>
      <c r="P1850" s="25" t="str">
        <f t="shared" si="2"/>
        <v/>
      </c>
      <c r="Q1850" s="25" t="str">
        <f ca="1">IFERROR(__xludf.DUMMYFUNCTION("""COMPUTED_VALUE"""),"Corto plazo")</f>
        <v>Corto plazo</v>
      </c>
      <c r="R1850" s="25"/>
      <c r="S1850" s="55"/>
      <c r="T1850" s="56"/>
      <c r="U1850" s="25"/>
      <c r="V1850" s="25"/>
      <c r="W1850" s="25"/>
      <c r="X1850" s="25"/>
      <c r="Y1850" s="25"/>
      <c r="Z1850" s="25"/>
    </row>
    <row r="1851" spans="1:26" ht="52.5" customHeight="1" x14ac:dyDescent="0.25">
      <c r="A1851" s="25" t="str">
        <f ca="1">IFERROR(__xludf.DUMMYFUNCTION("""COMPUTED_VALUE"""),"Desar49")</f>
        <v>Desar49</v>
      </c>
      <c r="B1851" s="25" t="str">
        <f ca="1">IFERROR(__xludf.DUMMYFUNCTION("""COMPUTED_VALUE"""),"Despachando: ACOPI")</f>
        <v>Despachando: ACOPI</v>
      </c>
      <c r="C1851" s="55">
        <f ca="1">IFERROR(__xludf.DUMMYFUNCTION("""COMPUTED_VALUE"""),44292)</f>
        <v>44292</v>
      </c>
      <c r="D1851" s="25" t="str">
        <f ca="1">IFERROR(__xludf.DUMMYFUNCTION("""COMPUTED_VALUE"""),"Desarrollo_Económico")</f>
        <v>Desarrollo_Económico</v>
      </c>
      <c r="E1851" s="25" t="str">
        <f ca="1">IFERROR(__xludf.DUMMYFUNCTION("""COMPUTED_VALUE"""),"Secretaría Distrital de Desarrollo Económico")</f>
        <v>Secretaría Distrital de Desarrollo Económico</v>
      </c>
      <c r="F1851" s="25" t="str">
        <f ca="1">IFERROR(__xludf.DUMMYFUNCTION("""COMPUTED_VALUE"""),"Realizar rueda de negocios de mipymes con Procolombia para exportación")</f>
        <v>Realizar rueda de negocios de mipymes con Procolombia para exportación</v>
      </c>
      <c r="G1851" s="25" t="str">
        <f ca="1">IFERROR(__xludf.DUMMYFUNCTION("""COMPUTED_VALUE"""),"99. Distrito")</f>
        <v>99. Distrito</v>
      </c>
      <c r="H1851" s="55">
        <f ca="1">IFERROR(__xludf.DUMMYFUNCTION("""COMPUTED_VALUE"""),44322)</f>
        <v>44322</v>
      </c>
      <c r="I1851" s="25"/>
      <c r="J1851" s="55" t="str">
        <f ca="1">IFERROR(__xludf.DUMMYFUNCTION("""COMPUTED_VALUE"""),"Alta")</f>
        <v>Alta</v>
      </c>
      <c r="K1851" s="25">
        <f ca="1">IFERROR(__xludf.DUMMYFUNCTION("""COMPUTED_VALUE"""),30)</f>
        <v>30</v>
      </c>
      <c r="L1851" s="62">
        <f ca="1">IFERROR(__xludf.DUMMYFUNCTION("""COMPUTED_VALUE"""),44390)</f>
        <v>44390</v>
      </c>
      <c r="M1851" s="25" t="str">
        <f ca="1">IFERROR(__xludf.DUMMYFUNCTION("""COMPUTED_VALUE"""),"Estrategia Bogotá Exporta +2021 Fortalecer la oferta exportable de un grupo de empresas de la ciudad y generar acciones para conectarlas con nuevos mercados. 100 empresas con fortalecimiento empresarial orientado al aumento de su capacidad exportadora y c"&amp;"on acceso al menos a un evento internacional de vinculación comercial. 500 empresas pertenecientes a seis (06) clúster o sectores estratégicos de la economía bogotana participando en eventos internacionales de vinculación comercial.
En proceso de contrat"&amp;"ación ")</f>
        <v xml:space="preserve">Estrategia Bogotá Exporta +2021 Fortalecer la oferta exportable de un grupo de empresas de la ciudad y generar acciones para conectarlas con nuevos mercados. 100 empresas con fortalecimiento empresarial orientado al aumento de su capacidad exportadora y con acceso al menos a un evento internacional de vinculación comercial. 500 empresas pertenecientes a seis (06) clúster o sectores estratégicos de la economía bogotana participando en eventos internacionales de vinculación comercial.
En proceso de contratación </v>
      </c>
      <c r="N1851" s="55">
        <f ca="1">IFERROR(__xludf.DUMMYFUNCTION("""COMPUTED_VALUE"""),44390)</f>
        <v>44390</v>
      </c>
      <c r="O1851" s="25" t="str">
        <f t="shared" ca="1" si="0"/>
        <v>Secretaría Distrital de Desarrollo Económico</v>
      </c>
      <c r="P1851" s="25" t="str">
        <f t="shared" si="2"/>
        <v/>
      </c>
      <c r="Q1851" s="25" t="str">
        <f ca="1">IFERROR(__xludf.DUMMYFUNCTION("""COMPUTED_VALUE"""),"Corto plazo")</f>
        <v>Corto plazo</v>
      </c>
      <c r="R1851" s="25"/>
      <c r="S1851" s="55"/>
      <c r="T1851" s="56"/>
      <c r="U1851" s="25"/>
      <c r="V1851" s="25"/>
      <c r="W1851" s="25"/>
      <c r="X1851" s="25"/>
      <c r="Y1851" s="25"/>
      <c r="Z1851" s="25"/>
    </row>
    <row r="1852" spans="1:26" ht="52.5" customHeight="1" x14ac:dyDescent="0.25">
      <c r="A1852" s="25" t="str">
        <f ca="1">IFERROR(__xludf.DUMMYFUNCTION("""COMPUTED_VALUE"""),"Desar50")</f>
        <v>Desar50</v>
      </c>
      <c r="B1852" s="25" t="str">
        <f ca="1">IFERROR(__xludf.DUMMYFUNCTION("""COMPUTED_VALUE"""),"Despachando: ACOPI")</f>
        <v>Despachando: ACOPI</v>
      </c>
      <c r="C1852" s="55">
        <f ca="1">IFERROR(__xludf.DUMMYFUNCTION("""COMPUTED_VALUE"""),44292)</f>
        <v>44292</v>
      </c>
      <c r="D1852" s="25" t="str">
        <f ca="1">IFERROR(__xludf.DUMMYFUNCTION("""COMPUTED_VALUE"""),"Desarrollo_Económico")</f>
        <v>Desarrollo_Económico</v>
      </c>
      <c r="E1852" s="25" t="str">
        <f ca="1">IFERROR(__xludf.DUMMYFUNCTION("""COMPUTED_VALUE"""),"Secretaría Distrital de Desarrollo Económico")</f>
        <v>Secretaría Distrital de Desarrollo Económico</v>
      </c>
      <c r="F1852" s="25" t="str">
        <f ca="1">IFERROR(__xludf.DUMMYFUNCTION("""COMPUTED_VALUE"""),"Realizar un programa mensual junto a ACOPI para dar a conocer todos los programas y necesidades de las mipymes de Bogotá")</f>
        <v>Realizar un programa mensual junto a ACOPI para dar a conocer todos los programas y necesidades de las mipymes de Bogotá</v>
      </c>
      <c r="G1852" s="25" t="str">
        <f ca="1">IFERROR(__xludf.DUMMYFUNCTION("""COMPUTED_VALUE"""),"99. Distrito")</f>
        <v>99. Distrito</v>
      </c>
      <c r="H1852" s="55">
        <f ca="1">IFERROR(__xludf.DUMMYFUNCTION("""COMPUTED_VALUE"""),44322)</f>
        <v>44322</v>
      </c>
      <c r="I1852" s="25"/>
      <c r="J1852" s="55" t="str">
        <f ca="1">IFERROR(__xludf.DUMMYFUNCTION("""COMPUTED_VALUE"""),"Alta")</f>
        <v>Alta</v>
      </c>
      <c r="K1852" s="25">
        <f ca="1">IFERROR(__xludf.DUMMYFUNCTION("""COMPUTED_VALUE"""),30)</f>
        <v>30</v>
      </c>
      <c r="L1852" s="62">
        <f ca="1">IFERROR(__xludf.DUMMYFUNCTION("""COMPUTED_VALUE"""),44463)</f>
        <v>44463</v>
      </c>
      <c r="M1852" s="25" t="str">
        <f ca="1">IFERROR(__xludf.DUMMYFUNCTION("""COMPUTED_VALUE"""),"La SDDE ya viene adelantando un programa con el propósito de divulgar, promover y contactar con el mercado a los programas,  servicios y emprendedores de ACOPI y de la Alcaldía. El programa será lanzado para el mes de noviembre de 2021, a la fecha estamos"&amp;" en etapa de estructuración con ACOPI.")</f>
        <v>La SDDE ya viene adelantando un programa con el propósito de divulgar, promover y contactar con el mercado a los programas,  servicios y emprendedores de ACOPI y de la Alcaldía. El programa será lanzado para el mes de noviembre de 2021, a la fecha estamos en etapa de estructuración con ACOPI.</v>
      </c>
      <c r="N1852" s="55">
        <f ca="1">IFERROR(__xludf.DUMMYFUNCTION("""COMPUTED_VALUE"""),44463)</f>
        <v>44463</v>
      </c>
      <c r="O1852" s="25" t="str">
        <f t="shared" ca="1" si="0"/>
        <v>Secretaría Distrital de Desarrollo Económico</v>
      </c>
      <c r="P1852" s="25" t="str">
        <f t="shared" si="2"/>
        <v/>
      </c>
      <c r="Q1852" s="25" t="str">
        <f ca="1">IFERROR(__xludf.DUMMYFUNCTION("""COMPUTED_VALUE"""),"Corto plazo")</f>
        <v>Corto plazo</v>
      </c>
      <c r="R1852" s="25"/>
      <c r="S1852" s="55"/>
      <c r="T1852" s="56"/>
      <c r="U1852" s="25"/>
      <c r="V1852" s="25"/>
      <c r="W1852" s="25"/>
      <c r="X1852" s="25"/>
      <c r="Y1852" s="25"/>
      <c r="Z1852" s="25"/>
    </row>
    <row r="1853" spans="1:26" ht="52.5" customHeight="1" x14ac:dyDescent="0.25">
      <c r="A1853" s="25" t="str">
        <f ca="1">IFERROR(__xludf.DUMMYFUNCTION("""COMPUTED_VALUE"""),"Desar51")</f>
        <v>Desar51</v>
      </c>
      <c r="B1853" s="25" t="str">
        <f ca="1">IFERROR(__xludf.DUMMYFUNCTION("""COMPUTED_VALUE"""),"Recorrido Ciudad Bolívar")</f>
        <v>Recorrido Ciudad Bolívar</v>
      </c>
      <c r="C1853" s="55">
        <f ca="1">IFERROR(__xludf.DUMMYFUNCTION("""COMPUTED_VALUE"""),44289)</f>
        <v>44289</v>
      </c>
      <c r="D1853" s="25" t="str">
        <f ca="1">IFERROR(__xludf.DUMMYFUNCTION("""COMPUTED_VALUE"""),"Desarrollo_Económico")</f>
        <v>Desarrollo_Económico</v>
      </c>
      <c r="E1853" s="25" t="str">
        <f ca="1">IFERROR(__xludf.DUMMYFUNCTION("""COMPUTED_VALUE"""),"Instituto Distrital de Turismo")</f>
        <v>Instituto Distrital de Turismo</v>
      </c>
      <c r="F1853" s="25" t="str">
        <f ca="1">IFERROR(__xludf.DUMMYFUNCTION("""COMPUTED_VALUE"""),"Cuadrar con Andrés Clavijo del IDT para que se comunique con Jazmín la edilesa y se organice la visita a la Serpiente y ver la posibilidad de crear huertas y aprovechamiento del espacio público ")</f>
        <v xml:space="preserve">Cuadrar con Andrés Clavijo del IDT para que se comunique con Jazmín la edilesa y se organice la visita a la Serpiente y ver la posibilidad de crear huertas y aprovechamiento del espacio público </v>
      </c>
      <c r="G1853" s="55" t="str">
        <f ca="1">IFERROR(__xludf.DUMMYFUNCTION("""COMPUTED_VALUE"""),"19. Ciudad Bolívar")</f>
        <v>19. Ciudad Bolívar</v>
      </c>
      <c r="H1853" s="55">
        <f ca="1">IFERROR(__xludf.DUMMYFUNCTION("""COMPUTED_VALUE"""),44319)</f>
        <v>44319</v>
      </c>
      <c r="I1853" s="25"/>
      <c r="J1853" s="55" t="str">
        <f ca="1">IFERROR(__xludf.DUMMYFUNCTION("""COMPUTED_VALUE"""),"Alta")</f>
        <v>Alta</v>
      </c>
      <c r="K1853" s="25">
        <f ca="1">IFERROR(__xludf.DUMMYFUNCTION("""COMPUTED_VALUE"""),30)</f>
        <v>30</v>
      </c>
      <c r="L1853" s="62">
        <f ca="1">IFERROR(__xludf.DUMMYFUNCTION("""COMPUTED_VALUE"""),44362)</f>
        <v>44362</v>
      </c>
      <c r="M1853" s="25" t="str">
        <f ca="1">IFERROR(__xludf.DUMMYFUNCTION("""COMPUTED_VALUE"""),"El 15 de abril se realizó visita con la Edilesa Jazmín García. Se revisaron los proyectos con enfoques turísticos que se pueden desarrollar en este sector de la ciudad. Así mismo se plantearon una serie de actividades en los cuales el IDT participará en a"&amp;"rticulación con otras entidades en el marco del trabajo que la Edilesa viene desarrollando en la Localidad. El 10 de junio por invitación de la Edilesa el IDT participó el sesión de la JAL para hablar de temas de turismo en la localidad.")</f>
        <v>El 15 de abril se realizó visita con la Edilesa Jazmín García. Se revisaron los proyectos con enfoques turísticos que se pueden desarrollar en este sector de la ciudad. Así mismo se plantearon una serie de actividades en los cuales el IDT participará en articulación con otras entidades en el marco del trabajo que la Edilesa viene desarrollando en la Localidad. El 10 de junio por invitación de la Edilesa el IDT participó el sesión de la JAL para hablar de temas de turismo en la localidad.</v>
      </c>
      <c r="N1853" s="55">
        <f ca="1">IFERROR(__xludf.DUMMYFUNCTION("""COMPUTED_VALUE"""),44362)</f>
        <v>44362</v>
      </c>
      <c r="O1853" s="25" t="str">
        <f t="shared" ca="1" si="0"/>
        <v>Instituto Distrital de Turismo</v>
      </c>
      <c r="P1853" s="25" t="str">
        <f t="shared" si="2"/>
        <v/>
      </c>
      <c r="Q1853" s="25" t="str">
        <f ca="1">IFERROR(__xludf.DUMMYFUNCTION("""COMPUTED_VALUE"""),"Corto plazo")</f>
        <v>Corto plazo</v>
      </c>
      <c r="R1853" s="25"/>
      <c r="S1853" s="55"/>
      <c r="T1853" s="56"/>
      <c r="U1853" s="25"/>
      <c r="V1853" s="25"/>
      <c r="W1853" s="25"/>
      <c r="X1853" s="25"/>
      <c r="Y1853" s="25"/>
      <c r="Z1853" s="25"/>
    </row>
    <row r="1854" spans="1:26" ht="52.5" customHeight="1" x14ac:dyDescent="0.25">
      <c r="A1854" s="25" t="str">
        <f ca="1">IFERROR(__xludf.DUMMYFUNCTION("""COMPUTED_VALUE"""),"Desar52")</f>
        <v>Desar52</v>
      </c>
      <c r="B1854" s="25" t="str">
        <f ca="1">IFERROR(__xludf.DUMMYFUNCTION("""COMPUTED_VALUE"""),"EMRE Estrategia de Pobreza ")</f>
        <v xml:space="preserve">EMRE Estrategia de Pobreza </v>
      </c>
      <c r="C1854" s="55">
        <f ca="1">IFERROR(__xludf.DUMMYFUNCTION("""COMPUTED_VALUE"""),44286)</f>
        <v>44286</v>
      </c>
      <c r="D1854" s="25" t="str">
        <f ca="1">IFERROR(__xludf.DUMMYFUNCTION("""COMPUTED_VALUE"""),"Desarrollo_Económico")</f>
        <v>Desarrollo_Económico</v>
      </c>
      <c r="E1854" s="25" t="str">
        <f ca="1">IFERROR(__xludf.DUMMYFUNCTION("""COMPUTED_VALUE"""),"Secretaría Distrital de Desarrollo Económico")</f>
        <v>Secretaría Distrital de Desarrollo Económico</v>
      </c>
      <c r="F1854" s="25" t="str">
        <f ca="1">IFERROR(__xludf.DUMMYFUNCTION("""COMPUTED_VALUE"""),"Crear un programa que permita cerrar la brecha de las 22 mil mujeres")</f>
        <v>Crear un programa que permita cerrar la brecha de las 22 mil mujeres</v>
      </c>
      <c r="G1854" s="25" t="str">
        <f ca="1">IFERROR(__xludf.DUMMYFUNCTION("""COMPUTED_VALUE"""),"99. Distrito")</f>
        <v>99. Distrito</v>
      </c>
      <c r="H1854" s="55">
        <f ca="1">IFERROR(__xludf.DUMMYFUNCTION("""COMPUTED_VALUE"""),44316)</f>
        <v>44316</v>
      </c>
      <c r="I1854" s="25"/>
      <c r="J1854" s="55" t="str">
        <f ca="1">IFERROR(__xludf.DUMMYFUNCTION("""COMPUTED_VALUE"""),"Alta")</f>
        <v>Alta</v>
      </c>
      <c r="K1854" s="25">
        <f ca="1">IFERROR(__xludf.DUMMYFUNCTION("""COMPUTED_VALUE"""),30)</f>
        <v>30</v>
      </c>
      <c r="L1854" s="62">
        <f ca="1">IFERROR(__xludf.DUMMYFUNCTION("""COMPUTED_VALUE"""),44463)</f>
        <v>44463</v>
      </c>
      <c r="M1854" s="25" t="str">
        <f ca="1">IFERROR(__xludf.DUMMYFUNCTION("""COMPUTED_VALUE"""),"La SDDE ha creado dos proyectos en este sentido: 1. Creo en mí: Programa que busca desarrollar capacidades en mujeres para iniciar o potenciar emprendimientos, por medio de la formación en habilidades blandas y duras que refuercen el ser para él hacer, cr"&amp;"eando rutas concretas de generación de modelos de negocios innovadores y sostenibles. Se firmó convenio de cooperación con PNUD, el programa atenderá a 1034 mujeres. El programa Creo en Mí cerró su proceso de convocatoria en Agosto de 2021 y está en imple"&amp;"mentación. 2. Imparables (Programa de ingreso para mujeres - recursos de rescate social): Propuesta y metodología construida y en ajustes de acuerdo con indicaciones de la Alcaldesa mayor de Bogotá. Actualmente la DDEE de la SDDE ya hizo acercamientos a v"&amp;"arios aliados (en especial la OEI) para definir quién será el operador del programa.")</f>
        <v>La SDDE ha creado dos proyectos en este sentido: 1. Creo en mí: Programa que busca desarrollar capacidades en mujeres para iniciar o potenciar emprendimientos, por medio de la formación en habilidades blandas y duras que refuercen el ser para él hacer, creando rutas concretas de generación de modelos de negocios innovadores y sostenibles. Se firmó convenio de cooperación con PNUD, el programa atenderá a 1034 mujeres. El programa Creo en Mí cerró su proceso de convocatoria en Agosto de 2021 y está en implementación. 2. Imparables (Programa de ingreso para mujeres - recursos de rescate social): Propuesta y metodología construida y en ajustes de acuerdo con indicaciones de la Alcaldesa mayor de Bogotá. Actualmente la DDEE de la SDDE ya hizo acercamientos a varios aliados (en especial la OEI) para definir quién será el operador del programa.</v>
      </c>
      <c r="N1854" s="55">
        <f ca="1">IFERROR(__xludf.DUMMYFUNCTION("""COMPUTED_VALUE"""),44463)</f>
        <v>44463</v>
      </c>
      <c r="O1854" s="25" t="str">
        <f t="shared" ca="1" si="0"/>
        <v>Secretaría Distrital de Desarrollo Económico</v>
      </c>
      <c r="P1854" s="25" t="str">
        <f t="shared" si="2"/>
        <v/>
      </c>
      <c r="Q1854" s="25" t="str">
        <f ca="1">IFERROR(__xludf.DUMMYFUNCTION("""COMPUTED_VALUE"""),"Corto plazo")</f>
        <v>Corto plazo</v>
      </c>
      <c r="R1854" s="25"/>
      <c r="S1854" s="55"/>
      <c r="T1854" s="56"/>
      <c r="U1854" s="25"/>
      <c r="V1854" s="25"/>
      <c r="W1854" s="25"/>
      <c r="X1854" s="25"/>
      <c r="Y1854" s="25"/>
      <c r="Z1854" s="25"/>
    </row>
    <row r="1855" spans="1:26" ht="52.5" customHeight="1" x14ac:dyDescent="0.25">
      <c r="A1855" s="25" t="str">
        <f ca="1">IFERROR(__xludf.DUMMYFUNCTION("""COMPUTED_VALUE"""),"Desar53")</f>
        <v>Desar53</v>
      </c>
      <c r="B1855" s="25" t="str">
        <f ca="1">IFERROR(__xludf.DUMMYFUNCTION("""COMPUTED_VALUE"""),"EMRE Estrategia de Pobreza ")</f>
        <v xml:space="preserve">EMRE Estrategia de Pobreza </v>
      </c>
      <c r="C1855" s="55">
        <f ca="1">IFERROR(__xludf.DUMMYFUNCTION("""COMPUTED_VALUE"""),44286)</f>
        <v>44286</v>
      </c>
      <c r="D1855" s="25" t="str">
        <f ca="1">IFERROR(__xludf.DUMMYFUNCTION("""COMPUTED_VALUE"""),"Desarrollo_Económico")</f>
        <v>Desarrollo_Económico</v>
      </c>
      <c r="E1855" s="25" t="str">
        <f ca="1">IFERROR(__xludf.DUMMYFUNCTION("""COMPUTED_VALUE"""),"Secretaría Distrital de Desarrollo Económico")</f>
        <v>Secretaría Distrital de Desarrollo Económico</v>
      </c>
      <c r="F1855" s="25" t="str">
        <f ca="1">IFERROR(__xludf.DUMMYFUNCTION("""COMPUTED_VALUE"""),"Definir la oferta de formación para el trabajo. 
Bateman debe decir los cursos que se necesitan para formación y formar a las personas donde se puedan ubicar laboralmente. ")</f>
        <v xml:space="preserve">Definir la oferta de formación para el trabajo. 
Bateman debe decir los cursos que se necesitan para formación y formar a las personas donde se puedan ubicar laboralmente. </v>
      </c>
      <c r="G1855" s="25" t="str">
        <f ca="1">IFERROR(__xludf.DUMMYFUNCTION("""COMPUTED_VALUE"""),"99. Distrito")</f>
        <v>99. Distrito</v>
      </c>
      <c r="H1855" s="55">
        <f ca="1">IFERROR(__xludf.DUMMYFUNCTION("""COMPUTED_VALUE"""),44316)</f>
        <v>44316</v>
      </c>
      <c r="I1855" s="25"/>
      <c r="J1855" s="55" t="str">
        <f ca="1">IFERROR(__xludf.DUMMYFUNCTION("""COMPUTED_VALUE"""),"Alta")</f>
        <v>Alta</v>
      </c>
      <c r="K1855" s="25">
        <f ca="1">IFERROR(__xludf.DUMMYFUNCTION("""COMPUTED_VALUE"""),30)</f>
        <v>30</v>
      </c>
      <c r="L1855" s="62">
        <f ca="1">IFERROR(__xludf.DUMMYFUNCTION("""COMPUTED_VALUE"""),44425)</f>
        <v>44425</v>
      </c>
      <c r="M1855" s="25" t="str">
        <f ca="1">IFERROR(__xludf.DUMMYFUNCTION("""COMPUTED_VALUE"""),"Desde la Secretaría Distrital de Desarrollo Económico (SDDE) se implementa la estrategia Bogotá te conecta. Esta estrategia se centra en la gestión de políticas de inclusión y en la coordinación e implementación de programas que permitan un marco de gener"&amp;"ación de oportunidades laborales para toda la población, en especial para los jóvenes. 
De esta forma, la estrategia inicia en esas identificación de las necesidades existentes en el mercado laboral,  buscando fortalecer el talento humano. Esta identifica"&amp;"ción permite establecer formación pertinente para el acceso a las oportunidades laborales y generar capacidades a las poblaciones priorizadas en habilidades de bilingüismo, habilidades digitales y formación a la medida del sector productivo. Dicho esto, d"&amp;"esde la meta de formar 50.000 personas,  para este 2021 se apunta a realizar formación a 16.500 personas, generando programas enfocados en nuevas competencias y/o habilidades para el trabajo, con especial énfasis en los sectores afectados por la emergenci"&amp;"a. Se cuenta con  3 líneas generales en temas de formación: 
1. Bilingüismo:
2. Habilidades en TI: 
3. Formación a la medida y certificación de competencias:  ")</f>
        <v xml:space="preserve">Desde la Secretaría Distrital de Desarrollo Económico (SDDE) se implementa la estrategia Bogotá te conecta. Esta estrategia se centra en la gestión de políticas de inclusión y en la coordinación e implementación de programas que permitan un marco de generación de oportunidades laborales para toda la población, en especial para los jóvenes. 
De esta forma, la estrategia inicia en esas identificación de las necesidades existentes en el mercado laboral,  buscando fortalecer el talento humano. Esta identificación permite establecer formación pertinente para el acceso a las oportunidades laborales y generar capacidades a las poblaciones priorizadas en habilidades de bilingüismo, habilidades digitales y formación a la medida del sector productivo. Dicho esto, desde la meta de formar 50.000 personas,  para este 2021 se apunta a realizar formación a 16.500 personas, generando programas enfocados en nuevas competencias y/o habilidades para el trabajo, con especial énfasis en los sectores afectados por la emergencia. Se cuenta con  3 líneas generales en temas de formación: 
1. Bilingüismo:
2. Habilidades en TI: 
3. Formación a la medida y certificación de competencias:  </v>
      </c>
      <c r="N1855" s="55">
        <f ca="1">IFERROR(__xludf.DUMMYFUNCTION("""COMPUTED_VALUE"""),44425)</f>
        <v>44425</v>
      </c>
      <c r="O1855" s="25" t="str">
        <f t="shared" ca="1" si="0"/>
        <v>Secretaría Distrital de Desarrollo Económico</v>
      </c>
      <c r="P1855" s="25" t="str">
        <f t="shared" si="2"/>
        <v/>
      </c>
      <c r="Q1855" s="25" t="str">
        <f ca="1">IFERROR(__xludf.DUMMYFUNCTION("""COMPUTED_VALUE"""),"Corto plazo")</f>
        <v>Corto plazo</v>
      </c>
      <c r="R1855" s="25"/>
      <c r="S1855" s="55"/>
      <c r="T1855" s="56"/>
      <c r="U1855" s="25"/>
      <c r="V1855" s="25"/>
      <c r="W1855" s="25"/>
      <c r="X1855" s="25"/>
      <c r="Y1855" s="25"/>
      <c r="Z1855" s="25"/>
    </row>
    <row r="1856" spans="1:26" ht="52.5" customHeight="1" x14ac:dyDescent="0.25">
      <c r="A1856" s="25" t="str">
        <f ca="1">IFERROR(__xludf.DUMMYFUNCTION("""COMPUTED_VALUE"""),"Desar54")</f>
        <v>Desar54</v>
      </c>
      <c r="B1856" s="25" t="str">
        <f ca="1">IFERROR(__xludf.DUMMYFUNCTION("""COMPUTED_VALUE"""),"EMRE Estrategia de Pobreza ")</f>
        <v xml:space="preserve">EMRE Estrategia de Pobreza </v>
      </c>
      <c r="C1856" s="55">
        <f ca="1">IFERROR(__xludf.DUMMYFUNCTION("""COMPUTED_VALUE"""),44286)</f>
        <v>44286</v>
      </c>
      <c r="D1856" s="25" t="str">
        <f ca="1">IFERROR(__xludf.DUMMYFUNCTION("""COMPUTED_VALUE"""),"Desarrollo_Económico")</f>
        <v>Desarrollo_Económico</v>
      </c>
      <c r="E1856" s="25" t="str">
        <f ca="1">IFERROR(__xludf.DUMMYFUNCTION("""COMPUTED_VALUE"""),"Secretaría Distrital de Desarrollo Económico")</f>
        <v>Secretaría Distrital de Desarrollo Económico</v>
      </c>
      <c r="F1856" s="25" t="str">
        <f ca="1">IFERROR(__xludf.DUMMYFUNCTION("""COMPUTED_VALUE"""),"La tropa económica debe hacer recorridos de formalización y de emprendimientos. 
Enfocar el empleo de emergencia en mayores de 40 años (preferiblemente en mujeres). 
 ")</f>
        <v xml:space="preserve">La tropa económica debe hacer recorridos de formalización y de emprendimientos. 
Enfocar el empleo de emergencia en mayores de 40 años (preferiblemente en mujeres). 
 </v>
      </c>
      <c r="G1856" s="25" t="str">
        <f ca="1">IFERROR(__xludf.DUMMYFUNCTION("""COMPUTED_VALUE"""),"99. Distrito")</f>
        <v>99. Distrito</v>
      </c>
      <c r="H1856" s="55">
        <f ca="1">IFERROR(__xludf.DUMMYFUNCTION("""COMPUTED_VALUE"""),44316)</f>
        <v>44316</v>
      </c>
      <c r="I1856" s="25"/>
      <c r="J1856" s="55" t="str">
        <f ca="1">IFERROR(__xludf.DUMMYFUNCTION("""COMPUTED_VALUE"""),"Alta")</f>
        <v>Alta</v>
      </c>
      <c r="K1856" s="25">
        <f ca="1">IFERROR(__xludf.DUMMYFUNCTION("""COMPUTED_VALUE"""),30)</f>
        <v>30</v>
      </c>
      <c r="L1856" s="62">
        <f ca="1">IFERROR(__xludf.DUMMYFUNCTION("""COMPUTED_VALUE"""),44425)</f>
        <v>44425</v>
      </c>
      <c r="M1856" s="25" t="str">
        <f ca="1">IFERROR(__xludf.DUMMYFUNCTION("""COMPUTED_VALUE"""),"El equipo de Tropa Económica viene realizando una serie de capacitaciones para reforzar y conocer los nuevos programas que se han lanzado, para llevar toda la oferta institucional, y recoger la información necesaria para caracterizar a la población")</f>
        <v>El equipo de Tropa Económica viene realizando una serie de capacitaciones para reforzar y conocer los nuevos programas que se han lanzado, para llevar toda la oferta institucional, y recoger la información necesaria para caracterizar a la población</v>
      </c>
      <c r="N1856" s="55">
        <f ca="1">IFERROR(__xludf.DUMMYFUNCTION("""COMPUTED_VALUE"""),44425)</f>
        <v>44425</v>
      </c>
      <c r="O1856" s="25" t="str">
        <f t="shared" ca="1" si="0"/>
        <v>Secretaría Distrital de Desarrollo Económico</v>
      </c>
      <c r="P1856" s="25" t="str">
        <f t="shared" si="2"/>
        <v/>
      </c>
      <c r="Q1856" s="25" t="str">
        <f ca="1">IFERROR(__xludf.DUMMYFUNCTION("""COMPUTED_VALUE"""),"Corto plazo")</f>
        <v>Corto plazo</v>
      </c>
      <c r="R1856" s="25"/>
      <c r="S1856" s="55"/>
      <c r="T1856" s="56"/>
      <c r="U1856" s="25"/>
      <c r="V1856" s="25"/>
      <c r="W1856" s="25"/>
      <c r="X1856" s="25"/>
      <c r="Y1856" s="25"/>
      <c r="Z1856" s="25"/>
    </row>
    <row r="1857" spans="1:26" ht="52.5" customHeight="1" x14ac:dyDescent="0.25">
      <c r="A1857" s="25" t="str">
        <f ca="1">IFERROR(__xludf.DUMMYFUNCTION("""COMPUTED_VALUE"""),"Desar55")</f>
        <v>Desar55</v>
      </c>
      <c r="B1857" s="25" t="str">
        <f ca="1">IFERROR(__xludf.DUMMYFUNCTION("""COMPUTED_VALUE"""),"Evento Choachí ")</f>
        <v xml:space="preserve">Evento Choachí </v>
      </c>
      <c r="C1857" s="55">
        <f ca="1">IFERROR(__xludf.DUMMYFUNCTION("""COMPUTED_VALUE"""),44286)</f>
        <v>44286</v>
      </c>
      <c r="D1857" s="25" t="str">
        <f ca="1">IFERROR(__xludf.DUMMYFUNCTION("""COMPUTED_VALUE"""),"Desarrollo_Económico")</f>
        <v>Desarrollo_Económico</v>
      </c>
      <c r="E1857" s="25" t="str">
        <f ca="1">IFERROR(__xludf.DUMMYFUNCTION("""COMPUTED_VALUE"""),"Secretaría Distrital de Desarrollo Económico")</f>
        <v>Secretaría Distrital de Desarrollo Económico</v>
      </c>
      <c r="F1857" s="25" t="str">
        <f ca="1">IFERROR(__xludf.DUMMYFUNCTION("""COMPUTED_VALUE"""),"Programar fecha para relanzamiento mercados campesinos.
Buscar 100 puntos en la ciudad para ubicar mercados. Para el día del relanzamiento deben estar identificados por lo menos 30, y la plataforma Lucero
")</f>
        <v xml:space="preserve">Programar fecha para relanzamiento mercados campesinos.
Buscar 100 puntos en la ciudad para ubicar mercados. Para el día del relanzamiento deben estar identificados por lo menos 30, y la plataforma Lucero
</v>
      </c>
      <c r="G1857" s="25" t="str">
        <f ca="1">IFERROR(__xludf.DUMMYFUNCTION("""COMPUTED_VALUE"""),"99. Distrito")</f>
        <v>99. Distrito</v>
      </c>
      <c r="H1857" s="55">
        <f ca="1">IFERROR(__xludf.DUMMYFUNCTION("""COMPUTED_VALUE"""),44316)</f>
        <v>44316</v>
      </c>
      <c r="I1857" s="25"/>
      <c r="J1857" s="55" t="str">
        <f ca="1">IFERROR(__xludf.DUMMYFUNCTION("""COMPUTED_VALUE"""),"Alta")</f>
        <v>Alta</v>
      </c>
      <c r="K1857" s="25">
        <f ca="1">IFERROR(__xludf.DUMMYFUNCTION("""COMPUTED_VALUE"""),30)</f>
        <v>30</v>
      </c>
      <c r="L1857" s="62">
        <f ca="1">IFERROR(__xludf.DUMMYFUNCTION("""COMPUTED_VALUE"""),44425)</f>
        <v>44425</v>
      </c>
      <c r="M1857" s="25"/>
      <c r="N1857" s="55">
        <f ca="1">IFERROR(__xludf.DUMMYFUNCTION("""COMPUTED_VALUE"""),44425)</f>
        <v>44425</v>
      </c>
      <c r="O1857" s="25" t="str">
        <f t="shared" ca="1" si="0"/>
        <v>Secretaría Distrital de Desarrollo Económico</v>
      </c>
      <c r="P1857" s="25" t="str">
        <f t="shared" si="2"/>
        <v/>
      </c>
      <c r="Q1857" s="25" t="str">
        <f ca="1">IFERROR(__xludf.DUMMYFUNCTION("""COMPUTED_VALUE"""),"Corto plazo")</f>
        <v>Corto plazo</v>
      </c>
      <c r="R1857" s="25"/>
      <c r="S1857" s="55"/>
      <c r="T1857" s="56"/>
      <c r="U1857" s="25"/>
      <c r="V1857" s="25"/>
      <c r="W1857" s="25"/>
      <c r="X1857" s="25"/>
      <c r="Y1857" s="25"/>
      <c r="Z1857" s="25"/>
    </row>
    <row r="1858" spans="1:26" ht="52.5" customHeight="1" x14ac:dyDescent="0.25">
      <c r="A1858" s="25" t="str">
        <f ca="1">IFERROR(__xludf.DUMMYFUNCTION("""COMPUTED_VALUE"""),"Desar56")</f>
        <v>Desar56</v>
      </c>
      <c r="B1858" s="25" t="str">
        <f ca="1">IFERROR(__xludf.DUMMYFUNCTION("""COMPUTED_VALUE"""),"RAPE Desarrollo Económico")</f>
        <v>RAPE Desarrollo Económico</v>
      </c>
      <c r="C1858" s="55">
        <f ca="1">IFERROR(__xludf.DUMMYFUNCTION("""COMPUTED_VALUE"""),44286)</f>
        <v>44286</v>
      </c>
      <c r="D1858" s="25" t="str">
        <f ca="1">IFERROR(__xludf.DUMMYFUNCTION("""COMPUTED_VALUE"""),"Desarrollo_Económico")</f>
        <v>Desarrollo_Económico</v>
      </c>
      <c r="E1858" s="25" t="str">
        <f ca="1">IFERROR(__xludf.DUMMYFUNCTION("""COMPUTED_VALUE"""),"Secretaría Distrital de Desarrollo Económico")</f>
        <v>Secretaría Distrital de Desarrollo Económico</v>
      </c>
      <c r="F1858" s="25" t="str">
        <f ca="1">IFERROR(__xludf.DUMMYFUNCTION("""COMPUTED_VALUE"""),"Hacer el piloto del sistema de información del abastecimiento alimentario en Bogotá (Piloto del convenio que se firmó en Choachí) 
")</f>
        <v xml:space="preserve">Hacer el piloto del sistema de información del abastecimiento alimentario en Bogotá (Piloto del convenio que se firmó en Choachí) 
</v>
      </c>
      <c r="G1858" s="25" t="str">
        <f ca="1">IFERROR(__xludf.DUMMYFUNCTION("""COMPUTED_VALUE"""),"99. Distrito")</f>
        <v>99. Distrito</v>
      </c>
      <c r="H1858" s="55">
        <f ca="1">IFERROR(__xludf.DUMMYFUNCTION("""COMPUTED_VALUE"""),44316)</f>
        <v>44316</v>
      </c>
      <c r="I1858" s="25"/>
      <c r="J1858" s="55" t="str">
        <f ca="1">IFERROR(__xludf.DUMMYFUNCTION("""COMPUTED_VALUE"""),"Alta")</f>
        <v>Alta</v>
      </c>
      <c r="K1858" s="25">
        <f ca="1">IFERROR(__xludf.DUMMYFUNCTION("""COMPUTED_VALUE"""),30)</f>
        <v>30</v>
      </c>
      <c r="L1858" s="62">
        <f ca="1">IFERROR(__xludf.DUMMYFUNCTION("""COMPUTED_VALUE"""),44655)</f>
        <v>44655</v>
      </c>
      <c r="M1858" s="25" t="str">
        <f ca="1">IFERROR(__xludf.DUMMYFUNCTION("""COMPUTED_VALUE"""),"Desde la DERAA se realizó el mapa de usuario que permita realizar las modificaciones requeridas al sistema SUMERCE de modo que esta herrramienta sea funcional en el marco de las tareas de promoción y reporte de la vinculación de pequeños prodcutores al si"&amp;"stema de compras publicas. Se proyecta que en los meses de abril y mayo se desarrollen las modificaciones con el objetivo de hacer prubea piloto en el mes de Junio. ")</f>
        <v xml:space="preserve">Desde la DERAA se realizó el mapa de usuario que permita realizar las modificaciones requeridas al sistema SUMERCE de modo que esta herrramienta sea funcional en el marco de las tareas de promoción y reporte de la vinculación de pequeños prodcutores al sistema de compras publicas. Se proyecta que en los meses de abril y mayo se desarrollen las modificaciones con el objetivo de hacer prubea piloto en el mes de Junio. </v>
      </c>
      <c r="N1858" s="55">
        <f ca="1">IFERROR(__xludf.DUMMYFUNCTION("""COMPUTED_VALUE"""),44655)</f>
        <v>44655</v>
      </c>
      <c r="O1858" s="25" t="str">
        <f t="shared" ca="1" si="0"/>
        <v>Secretaría Distrital de Desarrollo Económico</v>
      </c>
      <c r="P1858" s="25" t="str">
        <f t="shared" si="2"/>
        <v/>
      </c>
      <c r="Q1858" s="25" t="str">
        <f ca="1">IFERROR(__xludf.DUMMYFUNCTION("""COMPUTED_VALUE"""),"Corto plazo")</f>
        <v>Corto plazo</v>
      </c>
      <c r="R1858" s="25"/>
      <c r="S1858" s="55"/>
      <c r="T1858" s="56"/>
      <c r="U1858" s="25"/>
      <c r="V1858" s="25"/>
      <c r="W1858" s="25"/>
      <c r="X1858" s="25"/>
      <c r="Y1858" s="25"/>
      <c r="Z1858" s="25"/>
    </row>
    <row r="1859" spans="1:26" ht="52.5" customHeight="1" x14ac:dyDescent="0.25">
      <c r="A1859" s="25" t="str">
        <f ca="1">IFERROR(__xludf.DUMMYFUNCTION("""COMPUTED_VALUE"""),"Desar57")</f>
        <v>Desar57</v>
      </c>
      <c r="B1859" s="25" t="str">
        <f ca="1">IFERROR(__xludf.DUMMYFUNCTION("""COMPUTED_VALUE"""),"RAPE Desarrollo Económico")</f>
        <v>RAPE Desarrollo Económico</v>
      </c>
      <c r="C1859" s="55">
        <f ca="1">IFERROR(__xludf.DUMMYFUNCTION("""COMPUTED_VALUE"""),44286)</f>
        <v>44286</v>
      </c>
      <c r="D1859" s="25" t="str">
        <f ca="1">IFERROR(__xludf.DUMMYFUNCTION("""COMPUTED_VALUE"""),"Desarrollo_Económico")</f>
        <v>Desarrollo_Económico</v>
      </c>
      <c r="E1859" s="25" t="str">
        <f ca="1">IFERROR(__xludf.DUMMYFUNCTION("""COMPUTED_VALUE"""),"Secretaría Distrital de Desarrollo Económico")</f>
        <v>Secretaría Distrital de Desarrollo Económico</v>
      </c>
      <c r="F1859" s="25" t="str">
        <f ca="1">IFERROR(__xludf.DUMMYFUNCTION("""COMPUTED_VALUE"""),"Definir y enviar programación de las mercatones. Incluir Mercatón en la Plaza de Bolívar. ")</f>
        <v xml:space="preserve">Definir y enviar programación de las mercatones. Incluir Mercatón en la Plaza de Bolívar. </v>
      </c>
      <c r="G1859" s="25" t="str">
        <f ca="1">IFERROR(__xludf.DUMMYFUNCTION("""COMPUTED_VALUE"""),"99. Distrito")</f>
        <v>99. Distrito</v>
      </c>
      <c r="H1859" s="55">
        <f ca="1">IFERROR(__xludf.DUMMYFUNCTION("""COMPUTED_VALUE"""),44316)</f>
        <v>44316</v>
      </c>
      <c r="I1859" s="25"/>
      <c r="J1859" s="55" t="str">
        <f ca="1">IFERROR(__xludf.DUMMYFUNCTION("""COMPUTED_VALUE"""),"Alta")</f>
        <v>Alta</v>
      </c>
      <c r="K1859" s="25">
        <f ca="1">IFERROR(__xludf.DUMMYFUNCTION("""COMPUTED_VALUE"""),30)</f>
        <v>30</v>
      </c>
      <c r="L1859" s="62">
        <f ca="1">IFERROR(__xludf.DUMMYFUNCTION("""COMPUTED_VALUE"""),44426)</f>
        <v>44426</v>
      </c>
      <c r="M1859" s="25" t="str">
        <f ca="1">IFERROR(__xludf.DUMMYFUNCTION("""COMPUTED_VALUE"""),"Se adelantaron las Maratones Institucionales con funcionarios públicos A partir del primero de Mayo, en SEDE, Gobernación de Cundinamarca y SDIS, 7 maratones realizadas (721 mercados entregados y ventas totales por $ 57.820.000).")</f>
        <v>Se adelantaron las Maratones Institucionales con funcionarios públicos A partir del primero de Mayo, en SEDE, Gobernación de Cundinamarca y SDIS, 7 maratones realizadas (721 mercados entregados y ventas totales por $ 57.820.000).</v>
      </c>
      <c r="N1859" s="55">
        <f ca="1">IFERROR(__xludf.DUMMYFUNCTION("""COMPUTED_VALUE"""),44426)</f>
        <v>44426</v>
      </c>
      <c r="O1859" s="25" t="str">
        <f t="shared" ca="1" si="0"/>
        <v>Secretaría Distrital de Desarrollo Económico</v>
      </c>
      <c r="P1859" s="25" t="str">
        <f t="shared" si="2"/>
        <v/>
      </c>
      <c r="Q1859" s="25" t="str">
        <f ca="1">IFERROR(__xludf.DUMMYFUNCTION("""COMPUTED_VALUE"""),"Corto plazo")</f>
        <v>Corto plazo</v>
      </c>
      <c r="R1859" s="25"/>
      <c r="S1859" s="55"/>
      <c r="T1859" s="56"/>
      <c r="U1859" s="25"/>
      <c r="V1859" s="25"/>
      <c r="W1859" s="25"/>
      <c r="X1859" s="25"/>
      <c r="Y1859" s="25"/>
      <c r="Z1859" s="25"/>
    </row>
    <row r="1860" spans="1:26" ht="52.5" customHeight="1" x14ac:dyDescent="0.25">
      <c r="A1860" s="25" t="str">
        <f ca="1">IFERROR(__xludf.DUMMYFUNCTION("""COMPUTED_VALUE"""),"Desar58")</f>
        <v>Desar58</v>
      </c>
      <c r="B1860" s="25" t="str">
        <f ca="1">IFERROR(__xludf.DUMMYFUNCTION("""COMPUTED_VALUE"""),"RAPE Desarrollo Económico")</f>
        <v>RAPE Desarrollo Económico</v>
      </c>
      <c r="C1860" s="55">
        <f ca="1">IFERROR(__xludf.DUMMYFUNCTION("""COMPUTED_VALUE"""),44286)</f>
        <v>44286</v>
      </c>
      <c r="D1860" s="25" t="str">
        <f ca="1">IFERROR(__xludf.DUMMYFUNCTION("""COMPUTED_VALUE"""),"Desarrollo_Económico")</f>
        <v>Desarrollo_Económico</v>
      </c>
      <c r="E1860" s="25" t="str">
        <f ca="1">IFERROR(__xludf.DUMMYFUNCTION("""COMPUTED_VALUE"""),"Secretaría Distrital de Desarrollo Económico")</f>
        <v>Secretaría Distrital de Desarrollo Económico</v>
      </c>
      <c r="F1860" s="25" t="str">
        <f ca="1">IFERROR(__xludf.DUMMYFUNCTION("""COMPUTED_VALUE"""),"Enviar cronograma en detalle de los 1.200 mercados campesinos del 2021. (Incluyendo modalidades: itinerante, permanente, móviles y plataforma)")</f>
        <v>Enviar cronograma en detalle de los 1.200 mercados campesinos del 2021. (Incluyendo modalidades: itinerante, permanente, móviles y plataforma)</v>
      </c>
      <c r="G1860" s="25" t="str">
        <f ca="1">IFERROR(__xludf.DUMMYFUNCTION("""COMPUTED_VALUE"""),"99. Distrito")</f>
        <v>99. Distrito</v>
      </c>
      <c r="H1860" s="55">
        <f ca="1">IFERROR(__xludf.DUMMYFUNCTION("""COMPUTED_VALUE"""),44316)</f>
        <v>44316</v>
      </c>
      <c r="I1860" s="25"/>
      <c r="J1860" s="55" t="str">
        <f ca="1">IFERROR(__xludf.DUMMYFUNCTION("""COMPUTED_VALUE"""),"Alta")</f>
        <v>Alta</v>
      </c>
      <c r="K1860" s="25">
        <f ca="1">IFERROR(__xludf.DUMMYFUNCTION("""COMPUTED_VALUE"""),30)</f>
        <v>30</v>
      </c>
      <c r="L1860" s="62">
        <f ca="1">IFERROR(__xludf.DUMMYFUNCTION("""COMPUTED_VALUE"""),44426)</f>
        <v>44426</v>
      </c>
      <c r="M1860" s="25" t="str">
        <f ca="1">IFERROR(__xludf.DUMMYFUNCTION("""COMPUTED_VALUE"""),"A julio 30 se han realizado 186 mercados campesinos en sus diferentes modalidades, en 15 localidades en 24 puntos físicos, vinculando a 784 productores y 12 organizaciones, se adjunta cronograma de mercados campesinos de la presente anualidad")</f>
        <v>A julio 30 se han realizado 186 mercados campesinos en sus diferentes modalidades, en 15 localidades en 24 puntos físicos, vinculando a 784 productores y 12 organizaciones, se adjunta cronograma de mercados campesinos de la presente anualidad</v>
      </c>
      <c r="N1860" s="55">
        <f ca="1">IFERROR(__xludf.DUMMYFUNCTION("""COMPUTED_VALUE"""),44426)</f>
        <v>44426</v>
      </c>
      <c r="O1860" s="25" t="str">
        <f t="shared" ca="1" si="0"/>
        <v>Secretaría Distrital de Desarrollo Económico</v>
      </c>
      <c r="P1860" s="25" t="str">
        <f t="shared" si="2"/>
        <v/>
      </c>
      <c r="Q1860" s="25" t="str">
        <f ca="1">IFERROR(__xludf.DUMMYFUNCTION("""COMPUTED_VALUE"""),"Corto plazo")</f>
        <v>Corto plazo</v>
      </c>
      <c r="R1860" s="25"/>
      <c r="S1860" s="55"/>
      <c r="T1860" s="56"/>
      <c r="U1860" s="25"/>
      <c r="V1860" s="25"/>
      <c r="W1860" s="25"/>
      <c r="X1860" s="25"/>
      <c r="Y1860" s="25"/>
      <c r="Z1860" s="25"/>
    </row>
    <row r="1861" spans="1:26" ht="52.5" customHeight="1" x14ac:dyDescent="0.25">
      <c r="A1861" s="25" t="str">
        <f ca="1">IFERROR(__xludf.DUMMYFUNCTION("""COMPUTED_VALUE"""),"Desar59")</f>
        <v>Desar59</v>
      </c>
      <c r="B1861" s="25" t="str">
        <f ca="1">IFERROR(__xludf.DUMMYFUNCTION("""COMPUTED_VALUE"""),"RAPE Desarrollo Económico")</f>
        <v>RAPE Desarrollo Económico</v>
      </c>
      <c r="C1861" s="55">
        <f ca="1">IFERROR(__xludf.DUMMYFUNCTION("""COMPUTED_VALUE"""),44286)</f>
        <v>44286</v>
      </c>
      <c r="D1861" s="25" t="str">
        <f ca="1">IFERROR(__xludf.DUMMYFUNCTION("""COMPUTED_VALUE"""),"Desarrollo_Económico")</f>
        <v>Desarrollo_Económico</v>
      </c>
      <c r="E1861" s="25" t="str">
        <f ca="1">IFERROR(__xludf.DUMMYFUNCTION("""COMPUTED_VALUE"""),"Instituto Distrital de Turismo")</f>
        <v>Instituto Distrital de Turismo</v>
      </c>
      <c r="F1861" s="25" t="str">
        <f ca="1">IFERROR(__xludf.DUMMYFUNCTION("""COMPUTED_VALUE"""),"Enviar propuesta del lanzamiento de FONDETUR ")</f>
        <v xml:space="preserve">Enviar propuesta del lanzamiento de FONDETUR </v>
      </c>
      <c r="G1861" s="25" t="str">
        <f ca="1">IFERROR(__xludf.DUMMYFUNCTION("""COMPUTED_VALUE"""),"99. Distrito")</f>
        <v>99. Distrito</v>
      </c>
      <c r="H1861" s="55">
        <f ca="1">IFERROR(__xludf.DUMMYFUNCTION("""COMPUTED_VALUE"""),44316)</f>
        <v>44316</v>
      </c>
      <c r="I1861" s="25"/>
      <c r="J1861" s="55" t="str">
        <f ca="1">IFERROR(__xludf.DUMMYFUNCTION("""COMPUTED_VALUE"""),"Alta")</f>
        <v>Alta</v>
      </c>
      <c r="K1861" s="25">
        <f ca="1">IFERROR(__xludf.DUMMYFUNCTION("""COMPUTED_VALUE"""),30)</f>
        <v>30</v>
      </c>
      <c r="L1861" s="62">
        <f ca="1">IFERROR(__xludf.DUMMYFUNCTION("""COMPUTED_VALUE"""),44426)</f>
        <v>44426</v>
      </c>
      <c r="M1861" s="25" t="str">
        <f ca="1">IFERROR(__xludf.DUMMYFUNCTION("""COMPUTED_VALUE"""),"LANZAMIENTO FONDETUR A través del Acuerdo 761 de 2020 Artículo 122, se Crea el Fondo de Desarrollo Turístico de Bogotá - FONDETUR.  Las convocatorias se encuentran abiertas hasta el 30 de julio de 2021.  https://www.idt.gov.co/es/fondetur. Primera convoca"&amp;"toria el 16 Junio 2021. Entrega de beneficios a las agencias de viajes seleccionadas, programada para el 28 de septiembre - 68 agencias de viajes ")</f>
        <v xml:space="preserve">LANZAMIENTO FONDETUR A través del Acuerdo 761 de 2020 Artículo 122, se Crea el Fondo de Desarrollo Turístico de Bogotá - FONDETUR.  Las convocatorias se encuentran abiertas hasta el 30 de julio de 2021.  https://www.idt.gov.co/es/fondetur. Primera convocatoria el 16 Junio 2021. Entrega de beneficios a las agencias de viajes seleccionadas, programada para el 28 de septiembre - 68 agencias de viajes </v>
      </c>
      <c r="N1861" s="55">
        <f ca="1">IFERROR(__xludf.DUMMYFUNCTION("""COMPUTED_VALUE"""),44426)</f>
        <v>44426</v>
      </c>
      <c r="O1861" s="25" t="str">
        <f t="shared" ca="1" si="0"/>
        <v>Instituto Distrital de Turismo</v>
      </c>
      <c r="P1861" s="25" t="str">
        <f t="shared" si="2"/>
        <v/>
      </c>
      <c r="Q1861" s="25" t="str">
        <f ca="1">IFERROR(__xludf.DUMMYFUNCTION("""COMPUTED_VALUE"""),"Corto plazo")</f>
        <v>Corto plazo</v>
      </c>
      <c r="R1861" s="25"/>
      <c r="S1861" s="55"/>
      <c r="T1861" s="56"/>
      <c r="U1861" s="25"/>
      <c r="V1861" s="25"/>
      <c r="W1861" s="25"/>
      <c r="X1861" s="25"/>
      <c r="Y1861" s="25"/>
      <c r="Z1861" s="25"/>
    </row>
    <row r="1862" spans="1:26" ht="52.5" customHeight="1" x14ac:dyDescent="0.25">
      <c r="A1862" s="25" t="str">
        <f ca="1">IFERROR(__xludf.DUMMYFUNCTION("""COMPUTED_VALUE"""),"Desar60")</f>
        <v>Desar60</v>
      </c>
      <c r="B1862" s="25" t="str">
        <f ca="1">IFERROR(__xludf.DUMMYFUNCTION("""COMPUTED_VALUE"""),"RAPE Desarrollo Económico")</f>
        <v>RAPE Desarrollo Económico</v>
      </c>
      <c r="C1862" s="55">
        <f ca="1">IFERROR(__xludf.DUMMYFUNCTION("""COMPUTED_VALUE"""),44286)</f>
        <v>44286</v>
      </c>
      <c r="D1862" s="25" t="str">
        <f ca="1">IFERROR(__xludf.DUMMYFUNCTION("""COMPUTED_VALUE"""),"Desarrollo_Económico")</f>
        <v>Desarrollo_Económico</v>
      </c>
      <c r="E1862" s="25" t="str">
        <f ca="1">IFERROR(__xludf.DUMMYFUNCTION("""COMPUTED_VALUE"""),"Instituto Distrital de Turismo")</f>
        <v>Instituto Distrital de Turismo</v>
      </c>
      <c r="F1862" s="25" t="str">
        <f ca="1">IFERROR(__xludf.DUMMYFUNCTION("""COMPUTED_VALUE"""),"Montar Lanzamiento con la RAPE por la certificación del circuito bici región. ")</f>
        <v xml:space="preserve">Montar Lanzamiento con la RAPE por la certificación del circuito bici región. </v>
      </c>
      <c r="G1862" s="25" t="str">
        <f ca="1">IFERROR(__xludf.DUMMYFUNCTION("""COMPUTED_VALUE"""),"99. Distrito")</f>
        <v>99. Distrito</v>
      </c>
      <c r="H1862" s="55">
        <f ca="1">IFERROR(__xludf.DUMMYFUNCTION("""COMPUTED_VALUE"""),44457)</f>
        <v>44457</v>
      </c>
      <c r="I1862" s="25"/>
      <c r="J1862" s="55" t="str">
        <f ca="1">IFERROR(__xludf.DUMMYFUNCTION("""COMPUTED_VALUE"""),"Media")</f>
        <v>Media</v>
      </c>
      <c r="K1862" s="25">
        <f ca="1">IFERROR(__xludf.DUMMYFUNCTION("""COMPUTED_VALUE"""),171)</f>
        <v>171</v>
      </c>
      <c r="L1862" s="62">
        <f ca="1">IFERROR(__xludf.DUMMYFUNCTION("""COMPUTED_VALUE"""),44462)</f>
        <v>44462</v>
      </c>
      <c r="M1862" s="25" t="str">
        <f ca="1">IFERROR(__xludf.DUMMYFUNCTION("""COMPUTED_VALUE"""),"En el marco del proyecto Bici Bogotá Región, se desarrollará como evento de lanzamiento, una rodada con la participación de la Alcaldesa de Bogotá, el Gobernador y los Alcaldes de los 15 municipios de Cundinamarca, por uno de los segmentos del circuito, c"&amp;"on el objetivo de disfrutar la actividad turística por medio del consumo de servicios locales. Se está pendiente por parte de la Rape, la fecha de realización del evento.  En la actualidad se tiene contemplado realizar este lanzamiento el próximo 18 de se"&amp;"ptiembre.  Evento organizado por la RAPE, y organizado para el 18 de septiembre, fue cancelado el día 17 de septiembre, por motivos de fuerza mayor, sin reprogramación, por lo que se da por cerrado el compromiso.")</f>
        <v>En el marco del proyecto Bici Bogotá Región, se desarrollará como evento de lanzamiento, una rodada con la participación de la Alcaldesa de Bogotá, el Gobernador y los Alcaldes de los 15 municipios de Cundinamarca, por uno de los segmentos del circuito, con el objetivo de disfrutar la actividad turística por medio del consumo de servicios locales. Se está pendiente por parte de la Rape, la fecha de realización del evento.  En la actualidad se tiene contemplado realizar este lanzamiento el próximo 18 de septiembre.  Evento organizado por la RAPE, y organizado para el 18 de septiembre, fue cancelado el día 17 de septiembre, por motivos de fuerza mayor, sin reprogramación, por lo que se da por cerrado el compromiso.</v>
      </c>
      <c r="N1862" s="55">
        <f ca="1">IFERROR(__xludf.DUMMYFUNCTION("""COMPUTED_VALUE"""),44462)</f>
        <v>44462</v>
      </c>
      <c r="O1862" s="25" t="str">
        <f t="shared" ca="1" si="0"/>
        <v>Instituto Distrital de Turismo</v>
      </c>
      <c r="P1862" s="25" t="str">
        <f t="shared" si="2"/>
        <v/>
      </c>
      <c r="Q1862" s="25" t="str">
        <f ca="1">IFERROR(__xludf.DUMMYFUNCTION("""COMPUTED_VALUE"""),"Mediano plazo")</f>
        <v>Mediano plazo</v>
      </c>
      <c r="R1862" s="25"/>
      <c r="S1862" s="55"/>
      <c r="T1862" s="56"/>
      <c r="U1862" s="25"/>
      <c r="V1862" s="25"/>
      <c r="W1862" s="25"/>
      <c r="X1862" s="25"/>
      <c r="Y1862" s="25"/>
      <c r="Z1862" s="25"/>
    </row>
    <row r="1863" spans="1:26" ht="52.5" customHeight="1" x14ac:dyDescent="0.25">
      <c r="A1863" s="25" t="str">
        <f ca="1">IFERROR(__xludf.DUMMYFUNCTION("""COMPUTED_VALUE"""),"Desar61")</f>
        <v>Desar61</v>
      </c>
      <c r="B1863" s="25" t="str">
        <f ca="1">IFERROR(__xludf.DUMMYFUNCTION("""COMPUTED_VALUE"""),"RAPE Desarrollo Económico")</f>
        <v>RAPE Desarrollo Económico</v>
      </c>
      <c r="C1863" s="55">
        <f ca="1">IFERROR(__xludf.DUMMYFUNCTION("""COMPUTED_VALUE"""),44286)</f>
        <v>44286</v>
      </c>
      <c r="D1863" s="25" t="str">
        <f ca="1">IFERROR(__xludf.DUMMYFUNCTION("""COMPUTED_VALUE"""),"Desarrollo_Económico")</f>
        <v>Desarrollo_Económico</v>
      </c>
      <c r="E1863" s="25" t="str">
        <f ca="1">IFERROR(__xludf.DUMMYFUNCTION("""COMPUTED_VALUE"""),"Secretaría Distrital de Desarrollo Económico")</f>
        <v>Secretaría Distrital de Desarrollo Económico</v>
      </c>
      <c r="F1863" s="25" t="str">
        <f ca="1">IFERROR(__xludf.DUMMYFUNCTION("""COMPUTED_VALUE"""),"Presentar y/o idear un sistema de finanzas con el propósito de combatir el gota a gota.")</f>
        <v>Presentar y/o idear un sistema de finanzas con el propósito de combatir el gota a gota.</v>
      </c>
      <c r="G1863" s="25" t="str">
        <f ca="1">IFERROR(__xludf.DUMMYFUNCTION("""COMPUTED_VALUE"""),"99. Distrito")</f>
        <v>99. Distrito</v>
      </c>
      <c r="H1863" s="55">
        <f ca="1">IFERROR(__xludf.DUMMYFUNCTION("""COMPUTED_VALUE"""),44316)</f>
        <v>44316</v>
      </c>
      <c r="I1863" s="25"/>
      <c r="J1863" s="55" t="str">
        <f ca="1">IFERROR(__xludf.DUMMYFUNCTION("""COMPUTED_VALUE"""),"Alta")</f>
        <v>Alta</v>
      </c>
      <c r="K1863" s="25">
        <f ca="1">IFERROR(__xludf.DUMMYFUNCTION("""COMPUTED_VALUE"""),30)</f>
        <v>30</v>
      </c>
      <c r="L1863" s="62">
        <f ca="1">IFERROR(__xludf.DUMMYFUNCTION("""COMPUTED_VALUE"""),44530)</f>
        <v>44530</v>
      </c>
      <c r="M1863" s="25" t="str">
        <f ca="1">IFERROR(__xludf.DUMMYFUNCTION("""COMPUTED_VALUE"""),"La DDEE de la SDDE estructuró el proyecto que realizará en conjunto con AGATA (la agencia de analitica distrital), el cual consiste en crear un sistema de scoring que permita que los créditos del sector financiero, a través de aliados, puedan llegar a per"&amp;"sonas informales-microempresas. El proyecto ya fue aprobado, surtiendo el proceso interno de la entidad (SDDE). A la fecha se encuentra en inicios de implementación (esta semana se definirá la fecha del evento kickoff para el programa). El programa proyec"&amp;"ta que su apertura al público y dispersión de microcréditos sea desde Marzo 2022. ")</f>
        <v xml:space="preserve">La DDEE de la SDDE estructuró el proyecto que realizará en conjunto con AGATA (la agencia de analitica distrital), el cual consiste en crear un sistema de scoring que permita que los créditos del sector financiero, a través de aliados, puedan llegar a personas informales-microempresas. El proyecto ya fue aprobado, surtiendo el proceso interno de la entidad (SDDE). A la fecha se encuentra en inicios de implementación (esta semana se definirá la fecha del evento kickoff para el programa). El programa proyecta que su apertura al público y dispersión de microcréditos sea desde Marzo 2022. </v>
      </c>
      <c r="N1863" s="55">
        <f ca="1">IFERROR(__xludf.DUMMYFUNCTION("""COMPUTED_VALUE"""),44530)</f>
        <v>44530</v>
      </c>
      <c r="O1863" s="25" t="str">
        <f t="shared" ca="1" si="0"/>
        <v>Secretaría Distrital de Desarrollo Económico</v>
      </c>
      <c r="P1863" s="25" t="str">
        <f t="shared" si="2"/>
        <v/>
      </c>
      <c r="Q1863" s="25" t="str">
        <f ca="1">IFERROR(__xludf.DUMMYFUNCTION("""COMPUTED_VALUE"""),"Corto plazo")</f>
        <v>Corto plazo</v>
      </c>
      <c r="R1863" s="25"/>
      <c r="S1863" s="55"/>
      <c r="T1863" s="56"/>
      <c r="U1863" s="25"/>
      <c r="V1863" s="25"/>
      <c r="W1863" s="25"/>
      <c r="X1863" s="25"/>
      <c r="Y1863" s="25"/>
      <c r="Z1863" s="25"/>
    </row>
    <row r="1864" spans="1:26" ht="52.5" customHeight="1" x14ac:dyDescent="0.25">
      <c r="A1864" s="25" t="str">
        <f ca="1">IFERROR(__xludf.DUMMYFUNCTION("""COMPUTED_VALUE"""),"Desar62")</f>
        <v>Desar62</v>
      </c>
      <c r="B1864" s="25" t="str">
        <f ca="1">IFERROR(__xludf.DUMMYFUNCTION("""COMPUTED_VALUE"""),"RAPE Desarrollo Económico")</f>
        <v>RAPE Desarrollo Económico</v>
      </c>
      <c r="C1864" s="55">
        <f ca="1">IFERROR(__xludf.DUMMYFUNCTION("""COMPUTED_VALUE"""),44286)</f>
        <v>44286</v>
      </c>
      <c r="D1864" s="25" t="str">
        <f ca="1">IFERROR(__xludf.DUMMYFUNCTION("""COMPUTED_VALUE"""),"Desarrollo_Económico")</f>
        <v>Desarrollo_Económico</v>
      </c>
      <c r="E1864" s="25" t="str">
        <f ca="1">IFERROR(__xludf.DUMMYFUNCTION("""COMPUTED_VALUE"""),"Secretaría Distrital de Desarrollo Económico")</f>
        <v>Secretaría Distrital de Desarrollo Económico</v>
      </c>
      <c r="F1864" s="25" t="str">
        <f ca="1">IFERROR(__xludf.DUMMYFUNCTION("""COMPUTED_VALUE"""),"Programar asistencia a vitrina turística de ANATO con el tema central de Ciudad –Región. (Fecha tentativa 28 de abril)")</f>
        <v>Programar asistencia a vitrina turística de ANATO con el tema central de Ciudad –Región. (Fecha tentativa 28 de abril)</v>
      </c>
      <c r="G1864" s="25" t="str">
        <f ca="1">IFERROR(__xludf.DUMMYFUNCTION("""COMPUTED_VALUE"""),"99. Distrito")</f>
        <v>99. Distrito</v>
      </c>
      <c r="H1864" s="55">
        <f ca="1">IFERROR(__xludf.DUMMYFUNCTION("""COMPUTED_VALUE"""),44316)</f>
        <v>44316</v>
      </c>
      <c r="I1864" s="25"/>
      <c r="J1864" s="55" t="str">
        <f ca="1">IFERROR(__xludf.DUMMYFUNCTION("""COMPUTED_VALUE"""),"Alta")</f>
        <v>Alta</v>
      </c>
      <c r="K1864" s="25">
        <f ca="1">IFERROR(__xludf.DUMMYFUNCTION("""COMPUTED_VALUE"""),30)</f>
        <v>30</v>
      </c>
      <c r="L1864" s="62">
        <f ca="1">IFERROR(__xludf.DUMMYFUNCTION("""COMPUTED_VALUE"""),44425)</f>
        <v>44425</v>
      </c>
      <c r="M1864" s="25"/>
      <c r="N1864" s="55">
        <f ca="1">IFERROR(__xludf.DUMMYFUNCTION("""COMPUTED_VALUE"""),44425)</f>
        <v>44425</v>
      </c>
      <c r="O1864" s="25" t="str">
        <f t="shared" ca="1" si="0"/>
        <v>Secretaría Distrital de Desarrollo Económico</v>
      </c>
      <c r="P1864" s="25" t="str">
        <f t="shared" si="2"/>
        <v/>
      </c>
      <c r="Q1864" s="25" t="str">
        <f ca="1">IFERROR(__xludf.DUMMYFUNCTION("""COMPUTED_VALUE"""),"Corto plazo")</f>
        <v>Corto plazo</v>
      </c>
      <c r="R1864" s="25"/>
      <c r="S1864" s="55"/>
      <c r="T1864" s="56"/>
      <c r="U1864" s="25"/>
      <c r="V1864" s="25"/>
      <c r="W1864" s="25"/>
      <c r="X1864" s="25"/>
      <c r="Y1864" s="25"/>
      <c r="Z1864" s="25"/>
    </row>
    <row r="1865" spans="1:26" ht="52.5" customHeight="1" x14ac:dyDescent="0.25">
      <c r="A1865" s="25" t="str">
        <f ca="1">IFERROR(__xludf.DUMMYFUNCTION("""COMPUTED_VALUE"""),"Desar63")</f>
        <v>Desar63</v>
      </c>
      <c r="B1865" s="25" t="str">
        <f ca="1">IFERROR(__xludf.DUMMYFUNCTION("""COMPUTED_VALUE"""),"RAPE Desarrollo Económico")</f>
        <v>RAPE Desarrollo Económico</v>
      </c>
      <c r="C1865" s="55">
        <f ca="1">IFERROR(__xludf.DUMMYFUNCTION("""COMPUTED_VALUE"""),44286)</f>
        <v>44286</v>
      </c>
      <c r="D1865" s="25" t="str">
        <f ca="1">IFERROR(__xludf.DUMMYFUNCTION("""COMPUTED_VALUE"""),"Desarrollo_Económico")</f>
        <v>Desarrollo_Económico</v>
      </c>
      <c r="E1865" s="25" t="str">
        <f ca="1">IFERROR(__xludf.DUMMYFUNCTION("""COMPUTED_VALUE"""),"Instituto Distrital de Turismo")</f>
        <v>Instituto Distrital de Turismo</v>
      </c>
      <c r="F1865" s="25" t="str">
        <f ca="1">IFERROR(__xludf.DUMMYFUNCTION("""COMPUTED_VALUE"""),"Programar Consejo Consultivo de Turismo ")</f>
        <v xml:space="preserve">Programar Consejo Consultivo de Turismo </v>
      </c>
      <c r="G1865" s="25" t="str">
        <f ca="1">IFERROR(__xludf.DUMMYFUNCTION("""COMPUTED_VALUE"""),"99. Distrito")</f>
        <v>99. Distrito</v>
      </c>
      <c r="H1865" s="55">
        <f ca="1">IFERROR(__xludf.DUMMYFUNCTION("""COMPUTED_VALUE"""),44469)</f>
        <v>44469</v>
      </c>
      <c r="I1865" s="25"/>
      <c r="J1865" s="55" t="str">
        <f ca="1">IFERROR(__xludf.DUMMYFUNCTION("""COMPUTED_VALUE"""),"Baja")</f>
        <v>Baja</v>
      </c>
      <c r="K1865" s="25">
        <f ca="1">IFERROR(__xludf.DUMMYFUNCTION("""COMPUTED_VALUE"""),183)</f>
        <v>183</v>
      </c>
      <c r="L1865" s="62">
        <f ca="1">IFERROR(__xludf.DUMMYFUNCTION("""COMPUTED_VALUE"""),44463)</f>
        <v>44463</v>
      </c>
      <c r="M1865" s="25" t="str">
        <f ca="1">IFERROR(__xludf.DUMMYFUNCTION("""COMPUTED_VALUE"""),"De acuerdo con el Decreto 213 del 16 de junio de 2021 por el cual se creó el Consejo Consultivo Distrital de Turismo, el IDT se encuentra en proceso de expedir la reglamentación correspondiente, que incluye la elección de los miembros. Tan pronto se surta"&amp;" esta etapa, se espera citar el primer consejo a finales del mes de septiembre. Actualmente la resolución para las tres convocatorias que se llevarán a cabo para escoger los miembros del Consejo fue publicada en la plataforma LEGAL BOG para observaciones."&amp;" Se recibieron 5 observaciones por parte de la comunidad, las cuales están siendo contestadas.  Del 21 al 22 de septiembre se realizó la elección de los miembros del Consejo.  Actualmente estamos pendientes de la confirmación de agenda por parte del despa"&amp;"cho de la Alcaldía, para llevar a cabo la primera sesión del Consejo, en el mes de octubre.")</f>
        <v>De acuerdo con el Decreto 213 del 16 de junio de 2021 por el cual se creó el Consejo Consultivo Distrital de Turismo, el IDT se encuentra en proceso de expedir la reglamentación correspondiente, que incluye la elección de los miembros. Tan pronto se surta esta etapa, se espera citar el primer consejo a finales del mes de septiembre. Actualmente la resolución para las tres convocatorias que se llevarán a cabo para escoger los miembros del Consejo fue publicada en la plataforma LEGAL BOG para observaciones. Se recibieron 5 observaciones por parte de la comunidad, las cuales están siendo contestadas.  Del 21 al 22 de septiembre se realizó la elección de los miembros del Consejo.  Actualmente estamos pendientes de la confirmación de agenda por parte del despacho de la Alcaldía, para llevar a cabo la primera sesión del Consejo, en el mes de octubre.</v>
      </c>
      <c r="N1865" s="55">
        <f ca="1">IFERROR(__xludf.DUMMYFUNCTION("""COMPUTED_VALUE"""),44463)</f>
        <v>44463</v>
      </c>
      <c r="O1865" s="25" t="str">
        <f t="shared" ca="1" si="0"/>
        <v>Instituto Distrital de Turismo</v>
      </c>
      <c r="P1865" s="25" t="str">
        <f t="shared" si="2"/>
        <v/>
      </c>
      <c r="Q1865" s="25" t="str">
        <f ca="1">IFERROR(__xludf.DUMMYFUNCTION("""COMPUTED_VALUE"""),"Largo plazo")</f>
        <v>Largo plazo</v>
      </c>
      <c r="R1865" s="25"/>
      <c r="S1865" s="55"/>
      <c r="T1865" s="56"/>
      <c r="U1865" s="25"/>
      <c r="V1865" s="25"/>
      <c r="W1865" s="25"/>
      <c r="X1865" s="25"/>
      <c r="Y1865" s="25"/>
      <c r="Z1865" s="25"/>
    </row>
    <row r="1866" spans="1:26" ht="52.5" customHeight="1" x14ac:dyDescent="0.25">
      <c r="A1866" s="25" t="str">
        <f ca="1">IFERROR(__xludf.DUMMYFUNCTION("""COMPUTED_VALUE"""),"Desar64")</f>
        <v>Desar64</v>
      </c>
      <c r="B1866" s="25" t="str">
        <f ca="1">IFERROR(__xludf.DUMMYFUNCTION("""COMPUTED_VALUE"""),"RAPE Desarrollo Económico")</f>
        <v>RAPE Desarrollo Económico</v>
      </c>
      <c r="C1866" s="55">
        <f ca="1">IFERROR(__xludf.DUMMYFUNCTION("""COMPUTED_VALUE"""),44286)</f>
        <v>44286</v>
      </c>
      <c r="D1866" s="25" t="str">
        <f ca="1">IFERROR(__xludf.DUMMYFUNCTION("""COMPUTED_VALUE"""),"Desarrollo_Económico")</f>
        <v>Desarrollo_Económico</v>
      </c>
      <c r="E1866" s="25" t="str">
        <f ca="1">IFERROR(__xludf.DUMMYFUNCTION("""COMPUTED_VALUE"""),"Secretaría Distrital de Desarrollo Económico")</f>
        <v>Secretaría Distrital de Desarrollo Económico</v>
      </c>
      <c r="F1866" s="25" t="str">
        <f ca="1">IFERROR(__xludf.DUMMYFUNCTION("""COMPUTED_VALUE"""),"Trabajar en sinergia en comunicaciones con el tema Turismo.")</f>
        <v>Trabajar en sinergia en comunicaciones con el tema Turismo.</v>
      </c>
      <c r="G1866" s="25" t="str">
        <f ca="1">IFERROR(__xludf.DUMMYFUNCTION("""COMPUTED_VALUE"""),"99. Distrito")</f>
        <v>99. Distrito</v>
      </c>
      <c r="H1866" s="55">
        <f ca="1">IFERROR(__xludf.DUMMYFUNCTION("""COMPUTED_VALUE"""),44316)</f>
        <v>44316</v>
      </c>
      <c r="I1866" s="25"/>
      <c r="J1866" s="55" t="str">
        <f ca="1">IFERROR(__xludf.DUMMYFUNCTION("""COMPUTED_VALUE"""),"Alta")</f>
        <v>Alta</v>
      </c>
      <c r="K1866" s="25">
        <f ca="1">IFERROR(__xludf.DUMMYFUNCTION("""COMPUTED_VALUE"""),30)</f>
        <v>30</v>
      </c>
      <c r="L1866" s="62">
        <f ca="1">IFERROR(__xludf.DUMMYFUNCTION("""COMPUTED_VALUE"""),44384)</f>
        <v>44384</v>
      </c>
      <c r="M1866" s="25" t="str">
        <f ca="1">IFERROR(__xludf.DUMMYFUNCTION("""COMPUTED_VALUE"""),"Se adelantó convocatoria junto a la Rape y al Idecut, para la inscripción de operadores y bici guías a los cursos de formación, en el marco del proyecto Bici Bogotá Región.  290621: Se realizó reunión entre Rape, Idecut e IDT, para verificación de requisi"&amp;"tos de cumplimiento de los inscritos, y selección de los participantes en los cursos de formación de Bogotá y los municipios de Cundinamarca")</f>
        <v>Se adelantó convocatoria junto a la Rape y al Idecut, para la inscripción de operadores y bici guías a los cursos de formación, en el marco del proyecto Bici Bogotá Región.  290621: Se realizó reunión entre Rape, Idecut e IDT, para verificación de requisitos de cumplimiento de los inscritos, y selección de los participantes en los cursos de formación de Bogotá y los municipios de Cundinamarca</v>
      </c>
      <c r="N1866" s="55">
        <f ca="1">IFERROR(__xludf.DUMMYFUNCTION("""COMPUTED_VALUE"""),44384)</f>
        <v>44384</v>
      </c>
      <c r="O1866" s="25" t="str">
        <f t="shared" ca="1" si="0"/>
        <v>Secretaría Distrital de Desarrollo Económico</v>
      </c>
      <c r="P1866" s="25" t="str">
        <f t="shared" si="2"/>
        <v/>
      </c>
      <c r="Q1866" s="25" t="str">
        <f ca="1">IFERROR(__xludf.DUMMYFUNCTION("""COMPUTED_VALUE"""),"Corto plazo")</f>
        <v>Corto plazo</v>
      </c>
      <c r="R1866" s="25"/>
      <c r="S1866" s="55"/>
      <c r="T1866" s="56"/>
      <c r="U1866" s="25"/>
      <c r="V1866" s="25"/>
      <c r="W1866" s="25"/>
      <c r="X1866" s="25"/>
      <c r="Y1866" s="25"/>
      <c r="Z1866" s="25"/>
    </row>
    <row r="1867" spans="1:26" ht="52.5" customHeight="1" x14ac:dyDescent="0.25">
      <c r="A1867" s="25" t="str">
        <f ca="1">IFERROR(__xludf.DUMMYFUNCTION("""COMPUTED_VALUE"""),"Desar65")</f>
        <v>Desar65</v>
      </c>
      <c r="B1867" s="25" t="str">
        <f ca="1">IFERROR(__xludf.DUMMYFUNCTION("""COMPUTED_VALUE"""),"Evento Choachí  marzo 20 de 2021")</f>
        <v>Evento Choachí  marzo 20 de 2021</v>
      </c>
      <c r="C1867" s="55">
        <f ca="1">IFERROR(__xludf.DUMMYFUNCTION("""COMPUTED_VALUE"""),44286)</f>
        <v>44286</v>
      </c>
      <c r="D1867" s="25" t="str">
        <f ca="1">IFERROR(__xludf.DUMMYFUNCTION("""COMPUTED_VALUE"""),"Desarrollo_Económico")</f>
        <v>Desarrollo_Económico</v>
      </c>
      <c r="E1867" s="25" t="str">
        <f ca="1">IFERROR(__xludf.DUMMYFUNCTION("""COMPUTED_VALUE"""),"Secretaría Distrital de Desarrollo Económico")</f>
        <v>Secretaría Distrital de Desarrollo Económico</v>
      </c>
      <c r="F1867" s="25" t="str">
        <f ca="1">IFERROR(__xludf.DUMMYFUNCTION("""COMPUTED_VALUE"""),"Programar fecha para relanzamiento mercados campesinos.")</f>
        <v>Programar fecha para relanzamiento mercados campesinos.</v>
      </c>
      <c r="G1867" s="25" t="str">
        <f ca="1">IFERROR(__xludf.DUMMYFUNCTION("""COMPUTED_VALUE"""),"99. Distrito")</f>
        <v>99. Distrito</v>
      </c>
      <c r="H1867" s="55">
        <f ca="1">IFERROR(__xludf.DUMMYFUNCTION("""COMPUTED_VALUE"""),44316)</f>
        <v>44316</v>
      </c>
      <c r="I1867" s="25"/>
      <c r="J1867" s="55" t="str">
        <f ca="1">IFERROR(__xludf.DUMMYFUNCTION("""COMPUTED_VALUE"""),"Alta")</f>
        <v>Alta</v>
      </c>
      <c r="K1867" s="25">
        <f ca="1">IFERROR(__xludf.DUMMYFUNCTION("""COMPUTED_VALUE"""),30)</f>
        <v>30</v>
      </c>
      <c r="L1867" s="62">
        <f ca="1">IFERROR(__xludf.DUMMYFUNCTION("""COMPUTED_VALUE"""),44426)</f>
        <v>44426</v>
      </c>
      <c r="M1867" s="25" t="str">
        <f ca="1">IFERROR(__xludf.DUMMYFUNCTION("""COMPUTED_VALUE"""),"Se realizó el relanzamiento de los mercados campesinos en articulación con la gobernación de cundinamarca los días 26 y 27 de junio de 2021 realizando un total de 24 mercados campesinos en 15 localidades de la ciudad de manera simultánea. Con reporte de v"&amp;"entas totales por 131.093.235 con la participación de 310 productores.")</f>
        <v>Se realizó el relanzamiento de los mercados campesinos en articulación con la gobernación de cundinamarca los días 26 y 27 de junio de 2021 realizando un total de 24 mercados campesinos en 15 localidades de la ciudad de manera simultánea. Con reporte de ventas totales por 131.093.235 con la participación de 310 productores.</v>
      </c>
      <c r="N1867" s="55">
        <f ca="1">IFERROR(__xludf.DUMMYFUNCTION("""COMPUTED_VALUE"""),44426)</f>
        <v>44426</v>
      </c>
      <c r="O1867" s="25" t="str">
        <f t="shared" ca="1" si="0"/>
        <v>Secretaría Distrital de Desarrollo Económico</v>
      </c>
      <c r="P1867" s="25" t="str">
        <f t="shared" si="2"/>
        <v/>
      </c>
      <c r="Q1867" s="25" t="str">
        <f ca="1">IFERROR(__xludf.DUMMYFUNCTION("""COMPUTED_VALUE"""),"Corto plazo")</f>
        <v>Corto plazo</v>
      </c>
      <c r="R1867" s="25"/>
      <c r="S1867" s="55"/>
      <c r="T1867" s="56"/>
      <c r="U1867" s="25"/>
      <c r="V1867" s="25"/>
      <c r="W1867" s="25"/>
      <c r="X1867" s="25"/>
      <c r="Y1867" s="25"/>
      <c r="Z1867" s="25"/>
    </row>
    <row r="1868" spans="1:26" ht="52.5" customHeight="1" x14ac:dyDescent="0.25">
      <c r="A1868" s="25" t="str">
        <f ca="1">IFERROR(__xludf.DUMMYFUNCTION("""COMPUTED_VALUE"""),"Desar66")</f>
        <v>Desar66</v>
      </c>
      <c r="B1868" s="25" t="str">
        <f ca="1">IFERROR(__xludf.DUMMYFUNCTION("""COMPUTED_VALUE"""),"Evento Choachí  marzo 20 de 2021")</f>
        <v>Evento Choachí  marzo 20 de 2021</v>
      </c>
      <c r="C1868" s="55">
        <f ca="1">IFERROR(__xludf.DUMMYFUNCTION("""COMPUTED_VALUE"""),44286)</f>
        <v>44286</v>
      </c>
      <c r="D1868" s="25" t="str">
        <f ca="1">IFERROR(__xludf.DUMMYFUNCTION("""COMPUTED_VALUE"""),"Desarrollo_Económico")</f>
        <v>Desarrollo_Económico</v>
      </c>
      <c r="E1868" s="25" t="str">
        <f ca="1">IFERROR(__xludf.DUMMYFUNCTION("""COMPUTED_VALUE"""),"Secretaría Distrital de Desarrollo Económico")</f>
        <v>Secretaría Distrital de Desarrollo Económico</v>
      </c>
      <c r="F1868" s="25" t="str">
        <f ca="1">IFERROR(__xludf.DUMMYFUNCTION("""COMPUTED_VALUE"""),"Avanzar en un derivado del convenio de abastecimiento, sobre procesamiento de orgánicos. El socio debe ser del departamento")</f>
        <v>Avanzar en un derivado del convenio de abastecimiento, sobre procesamiento de orgánicos. El socio debe ser del departamento</v>
      </c>
      <c r="G1868" s="25" t="str">
        <f ca="1">IFERROR(__xludf.DUMMYFUNCTION("""COMPUTED_VALUE"""),"99. Distrito")</f>
        <v>99. Distrito</v>
      </c>
      <c r="H1868" s="55">
        <f ca="1">IFERROR(__xludf.DUMMYFUNCTION("""COMPUTED_VALUE"""),44316)</f>
        <v>44316</v>
      </c>
      <c r="I1868" s="25"/>
      <c r="J1868" s="55" t="str">
        <f ca="1">IFERROR(__xludf.DUMMYFUNCTION("""COMPUTED_VALUE"""),"Alta")</f>
        <v>Alta</v>
      </c>
      <c r="K1868" s="25">
        <f ca="1">IFERROR(__xludf.DUMMYFUNCTION("""COMPUTED_VALUE"""),30)</f>
        <v>30</v>
      </c>
      <c r="L1868" s="62">
        <f ca="1">IFERROR(__xludf.DUMMYFUNCTION("""COMPUTED_VALUE"""),44686)</f>
        <v>44686</v>
      </c>
      <c r="M1868" s="25" t="str">
        <f ca="1">IFERROR(__xludf.DUMMYFUNCTION("""COMPUTED_VALUE"""),"En el marco de las mesas de trabajo derivadas del Convenio Marco de Abastecimiento Bogotá - Cundinamarca se han realizado aportes a la construcción de los terminos de referencia del Concurso de Meritos que adelantará la Gobernación de Cundinamarca para se"&amp;"leccionar el consultor que desarrollará el estudio de factibilidad. La inversión en el estudio es cercana a los 468.000.000, los cuales seran financiados unica y exclusivamente por el Departamento. De conformidad al cronograma se espera publicar el proces"&amp;"o en el mes de Abril y adjudicar a finales de Mayo.  ")</f>
        <v xml:space="preserve">En el marco de las mesas de trabajo derivadas del Convenio Marco de Abastecimiento Bogotá - Cundinamarca se han realizado aportes a la construcción de los terminos de referencia del Concurso de Meritos que adelantará la Gobernación de Cundinamarca para seleccionar el consultor que desarrollará el estudio de factibilidad. La inversión en el estudio es cercana a los 468.000.000, los cuales seran financiados unica y exclusivamente por el Departamento. De conformidad al cronograma se espera publicar el proceso en el mes de Abril y adjudicar a finales de Mayo.  </v>
      </c>
      <c r="N1868" s="55">
        <f ca="1">IFERROR(__xludf.DUMMYFUNCTION("""COMPUTED_VALUE"""),44686)</f>
        <v>44686</v>
      </c>
      <c r="O1868" s="25" t="str">
        <f t="shared" ca="1" si="0"/>
        <v>Secretaría Distrital de Desarrollo Económico</v>
      </c>
      <c r="P1868" s="25" t="str">
        <f t="shared" si="2"/>
        <v/>
      </c>
      <c r="Q1868" s="25" t="str">
        <f ca="1">IFERROR(__xludf.DUMMYFUNCTION("""COMPUTED_VALUE"""),"Corto plazo")</f>
        <v>Corto plazo</v>
      </c>
      <c r="R1868" s="25"/>
      <c r="S1868" s="55"/>
      <c r="T1868" s="56"/>
      <c r="U1868" s="25"/>
      <c r="V1868" s="25"/>
      <c r="W1868" s="25"/>
      <c r="X1868" s="25"/>
      <c r="Y1868" s="25"/>
      <c r="Z1868" s="25"/>
    </row>
    <row r="1869" spans="1:26" ht="52.5" customHeight="1" x14ac:dyDescent="0.25">
      <c r="A1869" s="25" t="str">
        <f ca="1">IFERROR(__xludf.DUMMYFUNCTION("""COMPUTED_VALUE"""),"Desar67")</f>
        <v>Desar67</v>
      </c>
      <c r="B1869" s="25" t="str">
        <f ca="1">IFERROR(__xludf.DUMMYFUNCTION("""COMPUTED_VALUE"""),"Evento Choachí  marzo 20 de 2021")</f>
        <v>Evento Choachí  marzo 20 de 2021</v>
      </c>
      <c r="C1869" s="55">
        <f ca="1">IFERROR(__xludf.DUMMYFUNCTION("""COMPUTED_VALUE"""),44286)</f>
        <v>44286</v>
      </c>
      <c r="D1869" s="25" t="str">
        <f ca="1">IFERROR(__xludf.DUMMYFUNCTION("""COMPUTED_VALUE"""),"Desarrollo_Económico")</f>
        <v>Desarrollo_Económico</v>
      </c>
      <c r="E1869" s="25" t="str">
        <f ca="1">IFERROR(__xludf.DUMMYFUNCTION("""COMPUTED_VALUE"""),"Secretaría Distrital de Desarrollo Económico")</f>
        <v>Secretaría Distrital de Desarrollo Económico</v>
      </c>
      <c r="F1869" s="25" t="str">
        <f ca="1">IFERROR(__xludf.DUMMYFUNCTION("""COMPUTED_VALUE"""),"Buscar 100 puntos en la ciudad para ubicar mercados. Para el día del relanzamiento deben estar identificados por lo menos 30, y la plataforma Lucero")</f>
        <v>Buscar 100 puntos en la ciudad para ubicar mercados. Para el día del relanzamiento deben estar identificados por lo menos 30, y la plataforma Lucero</v>
      </c>
      <c r="G1869" s="25" t="str">
        <f ca="1">IFERROR(__xludf.DUMMYFUNCTION("""COMPUTED_VALUE"""),"99. Distrito")</f>
        <v>99. Distrito</v>
      </c>
      <c r="H1869" s="55">
        <f ca="1">IFERROR(__xludf.DUMMYFUNCTION("""COMPUTED_VALUE"""),44316)</f>
        <v>44316</v>
      </c>
      <c r="I1869" s="25"/>
      <c r="J1869" s="55" t="str">
        <f ca="1">IFERROR(__xludf.DUMMYFUNCTION("""COMPUTED_VALUE"""),"Alta")</f>
        <v>Alta</v>
      </c>
      <c r="K1869" s="25">
        <f ca="1">IFERROR(__xludf.DUMMYFUNCTION("""COMPUTED_VALUE"""),30)</f>
        <v>30</v>
      </c>
      <c r="L1869" s="62">
        <f ca="1">IFERROR(__xludf.DUMMYFUNCTION("""COMPUTED_VALUE"""),44426)</f>
        <v>44426</v>
      </c>
      <c r="M1869" s="25" t="str">
        <f ca="1">IFERROR(__xludf.DUMMYFUNCTION("""COMPUTED_VALUE"""),"A la fecha se tienen 100 puntos identificados para el desarrollo de mercados campesinos, 20 de ellos con los respectivos permisos por parte de los administradores del espacio público.  ")</f>
        <v>A la fecha se tienen 100 puntos identificados para el desarrollo de mercados campesinos, 20 de ellos con los respectivos permisos por parte de los administradores del espacio público.  </v>
      </c>
      <c r="N1869" s="55">
        <f ca="1">IFERROR(__xludf.DUMMYFUNCTION("""COMPUTED_VALUE"""),44426)</f>
        <v>44426</v>
      </c>
      <c r="O1869" s="25" t="str">
        <f t="shared" ca="1" si="0"/>
        <v>Secretaría Distrital de Desarrollo Económico</v>
      </c>
      <c r="P1869" s="25" t="str">
        <f t="shared" si="2"/>
        <v/>
      </c>
      <c r="Q1869" s="25" t="str">
        <f ca="1">IFERROR(__xludf.DUMMYFUNCTION("""COMPUTED_VALUE"""),"Corto plazo")</f>
        <v>Corto plazo</v>
      </c>
      <c r="R1869" s="25"/>
      <c r="S1869" s="55"/>
      <c r="T1869" s="56"/>
      <c r="U1869" s="25"/>
      <c r="V1869" s="25"/>
      <c r="W1869" s="25"/>
      <c r="X1869" s="25"/>
      <c r="Y1869" s="25"/>
      <c r="Z1869" s="25"/>
    </row>
    <row r="1870" spans="1:26" ht="52.5" customHeight="1" x14ac:dyDescent="0.25">
      <c r="A1870" s="25" t="str">
        <f ca="1">IFERROR(__xludf.DUMMYFUNCTION("""COMPUTED_VALUE"""),"Desar68")</f>
        <v>Desar68</v>
      </c>
      <c r="B1870" s="25" t="str">
        <f ca="1">IFERROR(__xludf.DUMMYFUNCTION("""COMPUTED_VALUE"""),"Recorrido Ciudad Bolívar")</f>
        <v>Recorrido Ciudad Bolívar</v>
      </c>
      <c r="C1870" s="55">
        <f ca="1">IFERROR(__xludf.DUMMYFUNCTION("""COMPUTED_VALUE"""),44264)</f>
        <v>44264</v>
      </c>
      <c r="D1870" s="25" t="str">
        <f ca="1">IFERROR(__xludf.DUMMYFUNCTION("""COMPUTED_VALUE"""),"Desarrollo_Económico")</f>
        <v>Desarrollo_Económico</v>
      </c>
      <c r="E1870" s="25" t="str">
        <f ca="1">IFERROR(__xludf.DUMMYFUNCTION("""COMPUTED_VALUE"""),"Secretaría Distrital de Desarrollo Económico")</f>
        <v>Secretaría Distrital de Desarrollo Económico</v>
      </c>
      <c r="F1870" s="25" t="str">
        <f ca="1">IFERROR(__xludf.DUMMYFUNCTION("""COMPUTED_VALUE"""),"Visitar Andrés Clavijo con Jazmín la edilesa la Serpiente (volver zona comercial)")</f>
        <v>Visitar Andrés Clavijo con Jazmín la edilesa la Serpiente (volver zona comercial)</v>
      </c>
      <c r="G1870" s="25" t="str">
        <f ca="1">IFERROR(__xludf.DUMMYFUNCTION("""COMPUTED_VALUE"""),"19. Ciudad Bolívar")</f>
        <v>19. Ciudad Bolívar</v>
      </c>
      <c r="H1870" s="55">
        <f ca="1">IFERROR(__xludf.DUMMYFUNCTION("""COMPUTED_VALUE"""),44294)</f>
        <v>44294</v>
      </c>
      <c r="I1870" s="25"/>
      <c r="J1870" s="55" t="str">
        <f ca="1">IFERROR(__xludf.DUMMYFUNCTION("""COMPUTED_VALUE"""),"Alta")</f>
        <v>Alta</v>
      </c>
      <c r="K1870" s="25">
        <f ca="1">IFERROR(__xludf.DUMMYFUNCTION("""COMPUTED_VALUE"""),30)</f>
        <v>30</v>
      </c>
      <c r="L1870" s="62">
        <f ca="1">IFERROR(__xludf.DUMMYFUNCTION("""COMPUTED_VALUE"""),44384)</f>
        <v>44384</v>
      </c>
      <c r="M1870" s="25" t="str">
        <f ca="1">IFERROR(__xludf.DUMMYFUNCTION("""COMPUTED_VALUE""")," El 15 de abril se realizó visita al ""recorrido de la Serpiente"" (escaleras que comunican los barrios Cordillera y los Alpes) con la Edilesa Jazmín García, en donde se revisaron los proyectos con enfoques turísticos que se pueden desarrollar en este sec"&amp;"tor de la ciudad. Así mismo se plantearon una serie de actividades en los cuales el IDT participará en articulación con otras entidades en el marco del trabajo que la Edilesa viene desarrollando en la Localidad. Cumpliendo así con el compromiso pactado. ")</f>
        <v xml:space="preserve"> El 15 de abril se realizó visita al "recorrido de la Serpiente" (escaleras que comunican los barrios Cordillera y los Alpes) con la Edilesa Jazmín García, en donde se revisaron los proyectos con enfoques turísticos que se pueden desarrollar en este sector de la ciudad. Así mismo se plantearon una serie de actividades en los cuales el IDT participará en articulación con otras entidades en el marco del trabajo que la Edilesa viene desarrollando en la Localidad. Cumpliendo así con el compromiso pactado. </v>
      </c>
      <c r="N1870" s="55">
        <f ca="1">IFERROR(__xludf.DUMMYFUNCTION("""COMPUTED_VALUE"""),44384)</f>
        <v>44384</v>
      </c>
      <c r="O1870" s="25" t="str">
        <f t="shared" ca="1" si="0"/>
        <v>Secretaría Distrital de Desarrollo Económico</v>
      </c>
      <c r="P1870" s="25" t="str">
        <f t="shared" si="2"/>
        <v/>
      </c>
      <c r="Q1870" s="25" t="str">
        <f ca="1">IFERROR(__xludf.DUMMYFUNCTION("""COMPUTED_VALUE"""),"Corto plazo")</f>
        <v>Corto plazo</v>
      </c>
      <c r="R1870" s="25"/>
      <c r="S1870" s="55"/>
      <c r="T1870" s="56"/>
      <c r="U1870" s="25"/>
      <c r="V1870" s="25"/>
      <c r="W1870" s="25"/>
      <c r="X1870" s="25"/>
      <c r="Y1870" s="25"/>
      <c r="Z1870" s="25"/>
    </row>
    <row r="1871" spans="1:26" ht="52.5" customHeight="1" x14ac:dyDescent="0.25">
      <c r="A1871" s="25" t="str">
        <f ca="1">IFERROR(__xludf.DUMMYFUNCTION("""COMPUTED_VALUE"""),"Desar69")</f>
        <v>Desar69</v>
      </c>
      <c r="B1871" s="25" t="str">
        <f ca="1">IFERROR(__xludf.DUMMYFUNCTION("""COMPUTED_VALUE"""),"Despachando: Invest-in Bogotá")</f>
        <v>Despachando: Invest-in Bogotá</v>
      </c>
      <c r="C1871" s="55">
        <f ca="1">IFERROR(__xludf.DUMMYFUNCTION("""COMPUTED_VALUE"""),44258)</f>
        <v>44258</v>
      </c>
      <c r="D1871" s="25" t="str">
        <f ca="1">IFERROR(__xludf.DUMMYFUNCTION("""COMPUTED_VALUE"""),"Desarrollo_Económico")</f>
        <v>Desarrollo_Económico</v>
      </c>
      <c r="E1871" s="25" t="str">
        <f ca="1">IFERROR(__xludf.DUMMYFUNCTION("""COMPUTED_VALUE"""),"Secretaría Distrital de Desarrollo Económico")</f>
        <v>Secretaría Distrital de Desarrollo Económico</v>
      </c>
      <c r="F1871" s="25" t="str">
        <f ca="1">IFERROR(__xludf.DUMMYFUNCTION("""COMPUTED_VALUE"""),"Buscar oferentes para creación programa de bilingüismo, tanto para las Instituciones Educativas Distritales como universidades.")</f>
        <v>Buscar oferentes para creación programa de bilingüismo, tanto para las Instituciones Educativas Distritales como universidades.</v>
      </c>
      <c r="G1871" s="25" t="str">
        <f ca="1">IFERROR(__xludf.DUMMYFUNCTION("""COMPUTED_VALUE"""),"99. Distrito")</f>
        <v>99. Distrito</v>
      </c>
      <c r="H1871" s="55">
        <f ca="1">IFERROR(__xludf.DUMMYFUNCTION("""COMPUTED_VALUE"""),44288)</f>
        <v>44288</v>
      </c>
      <c r="I1871" s="25"/>
      <c r="J1871" s="55" t="str">
        <f ca="1">IFERROR(__xludf.DUMMYFUNCTION("""COMPUTED_VALUE"""),"Alta")</f>
        <v>Alta</v>
      </c>
      <c r="K1871" s="25">
        <f ca="1">IFERROR(__xludf.DUMMYFUNCTION("""COMPUTED_VALUE"""),30)</f>
        <v>30</v>
      </c>
      <c r="L1871" s="62">
        <f ca="1">IFERROR(__xludf.DUMMYFUNCTION("""COMPUTED_VALUE"""),44384)</f>
        <v>44384</v>
      </c>
      <c r="M1871" s="25" t="str">
        <f ca="1">IFERROR(__xludf.DUMMYFUNCTION("""COMPUTED_VALUE"""),"- Invest in Bogota identificó un total de 45 empresas/instituciones líderes mundiales en la enseñanza del idioma inglés. De acuerdo con los requerimientos específicos para enseñanza a  docentes y estudiantes en la ciudad, formulados por la SED,  se convoc"&amp;"ó a las 28 empresas identificadas con mayor potencial para la entrega de su propuesta metodológica. Con base en las propuestas recibidas, Invest in Bogota seleccionó 6 empresas para tener un acercamiento directo con la SED. En un espacio tipo pitch elevat"&amp;"or que organizó IIB, las empresas/instituciones compartieron su experiencia, metodología, tecnologías, costos, entre otra información relevante.  IIB se encuentra consolidando un informe de todo el proceso que será insumo para el proceso de selección de o"&amp;"ferentes que realizará el Distrito.  
- A través de la gestión de Invest in Bogotá se concretó un espacio con Plan Ceibal de Uruguay para socializar su metodología con la Secretaría Distrital de Educación-SED, con el fin de evaluar la posibilidad de impl"&amp;"ementar el modelo en la ciudad que busca fortalecer la enseñanza del inglés en los colegios del Distrito. De acuerdo al seguimiento realizado por IIB, la propuesta se encuentra siendo analizada por el equipo de la SED. ")</f>
        <v xml:space="preserve">- Invest in Bogota identificó un total de 45 empresas/instituciones líderes mundiales en la enseñanza del idioma inglés. De acuerdo con los requerimientos específicos para enseñanza a  docentes y estudiantes en la ciudad, formulados por la SED,  se convocó a las 28 empresas identificadas con mayor potencial para la entrega de su propuesta metodológica. Con base en las propuestas recibidas, Invest in Bogota seleccionó 6 empresas para tener un acercamiento directo con la SED. En un espacio tipo pitch elevator que organizó IIB, las empresas/instituciones compartieron su experiencia, metodología, tecnologías, costos, entre otra información relevante.  IIB se encuentra consolidando un informe de todo el proceso que será insumo para el proceso de selección de oferentes que realizará el Distrito.  
- A través de la gestión de Invest in Bogotá se concretó un espacio con Plan Ceibal de Uruguay para socializar su metodología con la Secretaría Distrital de Educación-SED, con el fin de evaluar la posibilidad de implementar el modelo en la ciudad que busca fortalecer la enseñanza del inglés en los colegios del Distrito. De acuerdo al seguimiento realizado por IIB, la propuesta se encuentra siendo analizada por el equipo de la SED. </v>
      </c>
      <c r="N1871" s="55">
        <f ca="1">IFERROR(__xludf.DUMMYFUNCTION("""COMPUTED_VALUE"""),44384)</f>
        <v>44384</v>
      </c>
      <c r="O1871" s="25" t="str">
        <f t="shared" ca="1" si="0"/>
        <v>Secretaría Distrital de Desarrollo Económico</v>
      </c>
      <c r="P1871" s="25" t="str">
        <f t="shared" si="2"/>
        <v/>
      </c>
      <c r="Q1871" s="25" t="str">
        <f ca="1">IFERROR(__xludf.DUMMYFUNCTION("""COMPUTED_VALUE"""),"Corto plazo")</f>
        <v>Corto plazo</v>
      </c>
      <c r="R1871" s="25"/>
      <c r="S1871" s="55"/>
      <c r="T1871" s="56"/>
      <c r="U1871" s="25"/>
      <c r="V1871" s="25"/>
      <c r="W1871" s="25"/>
      <c r="X1871" s="25"/>
      <c r="Y1871" s="25"/>
      <c r="Z1871" s="25"/>
    </row>
    <row r="1872" spans="1:26" ht="52.5" customHeight="1" x14ac:dyDescent="0.25">
      <c r="A1872" s="25" t="str">
        <f ca="1">IFERROR(__xludf.DUMMYFUNCTION("""COMPUTED_VALUE"""),"Desar70")</f>
        <v>Desar70</v>
      </c>
      <c r="B1872" s="25" t="str">
        <f ca="1">IFERROR(__xludf.DUMMYFUNCTION("""COMPUTED_VALUE"""),"Despachando: Invest-in Bogotá")</f>
        <v>Despachando: Invest-in Bogotá</v>
      </c>
      <c r="C1872" s="55">
        <f ca="1">IFERROR(__xludf.DUMMYFUNCTION("""COMPUTED_VALUE"""),44258)</f>
        <v>44258</v>
      </c>
      <c r="D1872" s="25" t="str">
        <f ca="1">IFERROR(__xludf.DUMMYFUNCTION("""COMPUTED_VALUE"""),"Desarrollo_Económico")</f>
        <v>Desarrollo_Económico</v>
      </c>
      <c r="E1872" s="25" t="str">
        <f ca="1">IFERROR(__xludf.DUMMYFUNCTION("""COMPUTED_VALUE"""),"Invest In Bogotá")</f>
        <v>Invest In Bogotá</v>
      </c>
      <c r="F1872" s="25" t="str">
        <f ca="1">IFERROR(__xludf.DUMMYFUNCTION("""COMPUTED_VALUE"""),"Realizar un Bootcamp fase 2, para capacitar a las mujeres en temas de programación y convocar empresas para mejorar la empleabilidad.")</f>
        <v>Realizar un Bootcamp fase 2, para capacitar a las mujeres en temas de programación y convocar empresas para mejorar la empleabilidad.</v>
      </c>
      <c r="G1872" s="25" t="str">
        <f ca="1">IFERROR(__xludf.DUMMYFUNCTION("""COMPUTED_VALUE"""),"99. Distrito")</f>
        <v>99. Distrito</v>
      </c>
      <c r="H1872" s="55">
        <f ca="1">IFERROR(__xludf.DUMMYFUNCTION("""COMPUTED_VALUE"""),44288)</f>
        <v>44288</v>
      </c>
      <c r="I1872" s="25"/>
      <c r="J1872" s="55" t="str">
        <f ca="1">IFERROR(__xludf.DUMMYFUNCTION("""COMPUTED_VALUE"""),"Alta")</f>
        <v>Alta</v>
      </c>
      <c r="K1872" s="25">
        <f ca="1">IFERROR(__xludf.DUMMYFUNCTION("""COMPUTED_VALUE"""),30)</f>
        <v>30</v>
      </c>
      <c r="L1872" s="62">
        <f ca="1">IFERROR(__xludf.DUMMYFUNCTION("""COMPUTED_VALUE"""),44655)</f>
        <v>44655</v>
      </c>
      <c r="M1872" s="25" t="str">
        <f ca="1">IFERROR(__xludf.DUMMYFUNCTION("""COMPUTED_VALUE"""),"Invest in bogotá presentó el 24 de marzo de 2022 ante la CCB, Colsubsidio, Atenea y la SDDE la propuesta de proyecto de BootCamps para articular el sector. El objetivo es la generación de empleo por medio de incentivos y riedas de empleo, y el cierre de b"&amp;"rechas de talento humano por medio de formaciones de bilinguismo y talento TI. 
La propuesta de proyecto es BootCamps de programación para mujeres ""Ready-to-work"" enfocado al genero femenino (ideal 1.000 jovenes con enfasis en 70% mujeres). Formación co"&amp;"rta de entre 14 y 20 semanas aproximadamente. Modalidad mixta.")</f>
        <v>Invest in bogotá presentó el 24 de marzo de 2022 ante la CCB, Colsubsidio, Atenea y la SDDE la propuesta de proyecto de BootCamps para articular el sector. El objetivo es la generación de empleo por medio de incentivos y riedas de empleo, y el cierre de brechas de talento humano por medio de formaciones de bilinguismo y talento TI. 
La propuesta de proyecto es BootCamps de programación para mujeres "Ready-to-work" enfocado al genero femenino (ideal 1.000 jovenes con enfasis en 70% mujeres). Formación corta de entre 14 y 20 semanas aproximadamente. Modalidad mixta.</v>
      </c>
      <c r="N1872" s="55">
        <f ca="1">IFERROR(__xludf.DUMMYFUNCTION("""COMPUTED_VALUE"""),44655)</f>
        <v>44655</v>
      </c>
      <c r="O1872" s="25" t="str">
        <f t="shared" ca="1" si="0"/>
        <v>Invest In Bogotá</v>
      </c>
      <c r="P1872" s="25" t="str">
        <f t="shared" si="2"/>
        <v/>
      </c>
      <c r="Q1872" s="25" t="str">
        <f ca="1">IFERROR(__xludf.DUMMYFUNCTION("""COMPUTED_VALUE"""),"Corto plazo")</f>
        <v>Corto plazo</v>
      </c>
      <c r="R1872" s="25"/>
      <c r="S1872" s="55"/>
      <c r="T1872" s="56"/>
      <c r="U1872" s="25"/>
      <c r="V1872" s="25"/>
      <c r="W1872" s="25"/>
      <c r="X1872" s="25"/>
      <c r="Y1872" s="25"/>
      <c r="Z1872" s="25"/>
    </row>
    <row r="1873" spans="1:26" ht="52.5" customHeight="1" x14ac:dyDescent="0.25">
      <c r="A1873" s="25" t="str">
        <f ca="1">IFERROR(__xludf.DUMMYFUNCTION("""COMPUTED_VALUE"""),"Desar71")</f>
        <v>Desar71</v>
      </c>
      <c r="B1873" s="25" t="str">
        <f ca="1">IFERROR(__xludf.DUMMYFUNCTION("""COMPUTED_VALUE"""),"Despachando: Sector gastronómico")</f>
        <v>Despachando: Sector gastronómico</v>
      </c>
      <c r="C1873" s="55">
        <f ca="1">IFERROR(__xludf.DUMMYFUNCTION("""COMPUTED_VALUE"""),44251)</f>
        <v>44251</v>
      </c>
      <c r="D1873" s="25" t="str">
        <f ca="1">IFERROR(__xludf.DUMMYFUNCTION("""COMPUTED_VALUE"""),"Desarrollo_Económico")</f>
        <v>Desarrollo_Económico</v>
      </c>
      <c r="E1873" s="25" t="str">
        <f ca="1">IFERROR(__xludf.DUMMYFUNCTION("""COMPUTED_VALUE"""),"Secretaría Distrital de Desarrollo Económico")</f>
        <v>Secretaría Distrital de Desarrollo Económico</v>
      </c>
      <c r="F1873" s="25" t="str">
        <f ca="1">IFERROR(__xludf.DUMMYFUNCTION("""COMPUTED_VALUE"""),"Crear mesa de encuentro entre empresarios del gremio de restaurantes, bares y discotecas, para buscar soluciones de ventilación a los locales liderado por cámara de comercio Bogotá")</f>
        <v>Crear mesa de encuentro entre empresarios del gremio de restaurantes, bares y discotecas, para buscar soluciones de ventilación a los locales liderado por cámara de comercio Bogotá</v>
      </c>
      <c r="G1873" s="25" t="str">
        <f ca="1">IFERROR(__xludf.DUMMYFUNCTION("""COMPUTED_VALUE"""),"99. Distrito")</f>
        <v>99. Distrito</v>
      </c>
      <c r="H1873" s="55">
        <f ca="1">IFERROR(__xludf.DUMMYFUNCTION("""COMPUTED_VALUE"""),44281)</f>
        <v>44281</v>
      </c>
      <c r="I1873" s="25"/>
      <c r="J1873" s="55" t="str">
        <f ca="1">IFERROR(__xludf.DUMMYFUNCTION("""COMPUTED_VALUE"""),"Alta")</f>
        <v>Alta</v>
      </c>
      <c r="K1873" s="25">
        <f ca="1">IFERROR(__xludf.DUMMYFUNCTION("""COMPUTED_VALUE"""),30)</f>
        <v>30</v>
      </c>
      <c r="L1873" s="62">
        <f ca="1">IFERROR(__xludf.DUMMYFUNCTION("""COMPUTED_VALUE"""),44425)</f>
        <v>44425</v>
      </c>
      <c r="M1873" s="25" t="str">
        <f ca="1">IFERROR(__xludf.DUMMYFUNCTION("""COMPUTED_VALUE"""),"Emre Mesas de trabajo y Emre sector privado son espacios quincenales en los que se reúnen la SDDE, SHD, Salud y SDG, con el fin de dialogar con empresarios y representante gremiales, para proponer acciones encaminadas a lograr un proceso de reactivación s"&amp;"ostenible. 
 Se han realizado varias reuniones con gremios y empresarios (bares) para hablar de ventilación. Se llevaron compañías de riesgos profesionales y fenalco también participó. Por otra lado hay una comisión en el Concejo liderada por concejala "&amp;"Mafe rojas sobre ventilación.
")</f>
        <v xml:space="preserve">Emre Mesas de trabajo y Emre sector privado son espacios quincenales en los que se reúnen la SDDE, SHD, Salud y SDG, con el fin de dialogar con empresarios y representante gremiales, para proponer acciones encaminadas a lograr un proceso de reactivación sostenible. 
 Se han realizado varias reuniones con gremios y empresarios (bares) para hablar de ventilación. Se llevaron compañías de riesgos profesionales y fenalco también participó. Por otra lado hay una comisión en el Concejo liderada por concejala Mafe rojas sobre ventilación.
</v>
      </c>
      <c r="N1873" s="55">
        <f ca="1">IFERROR(__xludf.DUMMYFUNCTION("""COMPUTED_VALUE"""),44425)</f>
        <v>44425</v>
      </c>
      <c r="O1873" s="25" t="str">
        <f t="shared" ca="1" si="0"/>
        <v>Secretaría Distrital de Desarrollo Económico</v>
      </c>
      <c r="P1873" s="25" t="str">
        <f t="shared" si="2"/>
        <v/>
      </c>
      <c r="Q1873" s="25" t="str">
        <f ca="1">IFERROR(__xludf.DUMMYFUNCTION("""COMPUTED_VALUE"""),"Corto plazo")</f>
        <v>Corto plazo</v>
      </c>
      <c r="R1873" s="25"/>
      <c r="S1873" s="55"/>
      <c r="T1873" s="56"/>
      <c r="U1873" s="25"/>
      <c r="V1873" s="25"/>
      <c r="W1873" s="25"/>
      <c r="X1873" s="25"/>
      <c r="Y1873" s="25"/>
      <c r="Z1873" s="25"/>
    </row>
    <row r="1874" spans="1:26" ht="52.5" customHeight="1" x14ac:dyDescent="0.25">
      <c r="A1874" s="25" t="str">
        <f ca="1">IFERROR(__xludf.DUMMYFUNCTION("""COMPUTED_VALUE"""),"Desar72")</f>
        <v>Desar72</v>
      </c>
      <c r="B1874" s="25" t="str">
        <f ca="1">IFERROR(__xludf.DUMMYFUNCTION("""COMPUTED_VALUE"""),"Despachando: Sector gastronómico")</f>
        <v>Despachando: Sector gastronómico</v>
      </c>
      <c r="C1874" s="55">
        <f ca="1">IFERROR(__xludf.DUMMYFUNCTION("""COMPUTED_VALUE"""),44251)</f>
        <v>44251</v>
      </c>
      <c r="D1874" s="25" t="str">
        <f ca="1">IFERROR(__xludf.DUMMYFUNCTION("""COMPUTED_VALUE"""),"Desarrollo_Económico")</f>
        <v>Desarrollo_Económico</v>
      </c>
      <c r="E1874" s="25" t="str">
        <f ca="1">IFERROR(__xludf.DUMMYFUNCTION("""COMPUTED_VALUE"""),"Secretaría Distrital de Desarrollo Económico")</f>
        <v>Secretaría Distrital de Desarrollo Económico</v>
      </c>
      <c r="F1874" s="25" t="str">
        <f ca="1">IFERROR(__xludf.DUMMYFUNCTION("""COMPUTED_VALUE"""),"Lograr un proceso de reactivación sostenible (medidas como ventilación interior).")</f>
        <v>Lograr un proceso de reactivación sostenible (medidas como ventilación interior).</v>
      </c>
      <c r="G1874" s="25" t="str">
        <f ca="1">IFERROR(__xludf.DUMMYFUNCTION("""COMPUTED_VALUE"""),"99. Distrito")</f>
        <v>99. Distrito</v>
      </c>
      <c r="H1874" s="55">
        <f ca="1">IFERROR(__xludf.DUMMYFUNCTION("""COMPUTED_VALUE"""),44281)</f>
        <v>44281</v>
      </c>
      <c r="I1874" s="25"/>
      <c r="J1874" s="55" t="str">
        <f ca="1">IFERROR(__xludf.DUMMYFUNCTION("""COMPUTED_VALUE"""),"Alta")</f>
        <v>Alta</v>
      </c>
      <c r="K1874" s="25">
        <f ca="1">IFERROR(__xludf.DUMMYFUNCTION("""COMPUTED_VALUE"""),30)</f>
        <v>30</v>
      </c>
      <c r="L1874" s="62">
        <f ca="1">IFERROR(__xludf.DUMMYFUNCTION("""COMPUTED_VALUE"""),44425)</f>
        <v>44425</v>
      </c>
      <c r="M1874" s="25" t="str">
        <f ca="1">IFERROR(__xludf.DUMMYFUNCTION("""COMPUTED_VALUE"""),"Emre Mesas de trabajo y Emre sector privado son espacios quincenales en los que se reúnen la SDDE, SHD, Salud y SDG, con el fin de dialogar con empresarios y representante gremiales, para proponer acciones encaminadas a lograr un proceso de reactivación s"&amp;"ostenible.")</f>
        <v>Emre Mesas de trabajo y Emre sector privado son espacios quincenales en los que se reúnen la SDDE, SHD, Salud y SDG, con el fin de dialogar con empresarios y representante gremiales, para proponer acciones encaminadas a lograr un proceso de reactivación sostenible.</v>
      </c>
      <c r="N1874" s="55">
        <f ca="1">IFERROR(__xludf.DUMMYFUNCTION("""COMPUTED_VALUE"""),44425)</f>
        <v>44425</v>
      </c>
      <c r="O1874" s="25" t="str">
        <f t="shared" ca="1" si="0"/>
        <v>Secretaría Distrital de Desarrollo Económico</v>
      </c>
      <c r="P1874" s="25" t="str">
        <f t="shared" si="2"/>
        <v/>
      </c>
      <c r="Q1874" s="25" t="str">
        <f ca="1">IFERROR(__xludf.DUMMYFUNCTION("""COMPUTED_VALUE"""),"Corto plazo")</f>
        <v>Corto plazo</v>
      </c>
      <c r="R1874" s="25"/>
      <c r="S1874" s="55"/>
      <c r="T1874" s="56"/>
      <c r="U1874" s="25"/>
      <c r="V1874" s="25"/>
      <c r="W1874" s="25"/>
      <c r="X1874" s="25"/>
      <c r="Y1874" s="25"/>
      <c r="Z1874" s="25"/>
    </row>
    <row r="1875" spans="1:26" ht="52.5" customHeight="1" x14ac:dyDescent="0.25">
      <c r="A1875" s="25" t="str">
        <f ca="1">IFERROR(__xludf.DUMMYFUNCTION("""COMPUTED_VALUE"""),"Desar73")</f>
        <v>Desar73</v>
      </c>
      <c r="B1875" s="25" t="str">
        <f ca="1">IFERROR(__xludf.DUMMYFUNCTION("""COMPUTED_VALUE"""),"Despachando: Sector gastronómico")</f>
        <v>Despachando: Sector gastronómico</v>
      </c>
      <c r="C1875" s="55">
        <f ca="1">IFERROR(__xludf.DUMMYFUNCTION("""COMPUTED_VALUE"""),44251)</f>
        <v>44251</v>
      </c>
      <c r="D1875" s="25" t="str">
        <f ca="1">IFERROR(__xludf.DUMMYFUNCTION("""COMPUTED_VALUE"""),"Desarrollo_Económico")</f>
        <v>Desarrollo_Económico</v>
      </c>
      <c r="E1875" s="25" t="str">
        <f ca="1">IFERROR(__xludf.DUMMYFUNCTION("""COMPUTED_VALUE"""),"Secretaría Distrital de Desarrollo Económico")</f>
        <v>Secretaría Distrital de Desarrollo Económico</v>
      </c>
      <c r="F1875" s="25" t="str">
        <f ca="1">IFERROR(__xludf.DUMMYFUNCTION("""COMPUTED_VALUE"""),"Estudiar las zonas de parqueo azul y zonas de bici parqueadero.")</f>
        <v>Estudiar las zonas de parqueo azul y zonas de bici parqueadero.</v>
      </c>
      <c r="G1875" s="25" t="str">
        <f ca="1">IFERROR(__xludf.DUMMYFUNCTION("""COMPUTED_VALUE"""),"99. Distrito")</f>
        <v>99. Distrito</v>
      </c>
      <c r="H1875" s="55">
        <f ca="1">IFERROR(__xludf.DUMMYFUNCTION("""COMPUTED_VALUE"""),44281)</f>
        <v>44281</v>
      </c>
      <c r="I1875" s="25"/>
      <c r="J1875" s="55" t="str">
        <f ca="1">IFERROR(__xludf.DUMMYFUNCTION("""COMPUTED_VALUE"""),"Alta")</f>
        <v>Alta</v>
      </c>
      <c r="K1875" s="25">
        <f ca="1">IFERROR(__xludf.DUMMYFUNCTION("""COMPUTED_VALUE"""),30)</f>
        <v>30</v>
      </c>
      <c r="L1875" s="62">
        <f ca="1">IFERROR(__xludf.DUMMYFUNCTION("""COMPUTED_VALUE"""),44463)</f>
        <v>44463</v>
      </c>
      <c r="M1875" s="25" t="str">
        <f ca="1">IFERROR(__xludf.DUMMYFUNCTION("""COMPUTED_VALUE"""),"La DCBR trabajó en un documento donde se plantea presentar una estrategia para el fortalecimiento empresarial del sector de la bicicleta en la ciudad de Bogotá, considerando todas las actividades asociadas al mismo, esto incluye 
una revisión de informaci"&amp;"ón y datos indicativos para construir una caracterización de la cadena productiva de la bicicleta, una revisión de la política pública, una presentación de la oferta institucional de la Secretaría Distrital de Desarrollo Económico SDDE y finalmente una pr"&amp;"opuesta de estrategia para el fortalecimiento del sector de la bici. 
Además, en el marco de la rueda de negocios y alianzas de la BICI, la DCBR estará reuniendo el 01 y 02 de octubre los actores relevantes del ecosistema de la bici (incluyendo proveedore"&amp;"s de biciparqueaderos) para fortalecer la cadena de valor de esta industria.
Nota:En el marco de la pp de la bici la DCBR no tiene que ver directamente con la implementación de estrategia de biciparqueaderos. Sin embargo, ha apoyado a la Sec de Movilidad "&amp;"en la socialización de esta estrategia con sector privado. ")</f>
        <v xml:space="preserve">La DCBR trabajó en un documento donde se plantea presentar una estrategia para el fortalecimiento empresarial del sector de la bicicleta en la ciudad de Bogotá, considerando todas las actividades asociadas al mismo, esto incluye 
una revisión de información y datos indicativos para construir una caracterización de la cadena productiva de la bicicleta, una revisión de la política pública, una presentación de la oferta institucional de la Secretaría Distrital de Desarrollo Económico SDDE y finalmente una propuesta de estrategia para el fortalecimiento del sector de la bici. 
Además, en el marco de la rueda de negocios y alianzas de la BICI, la DCBR estará reuniendo el 01 y 02 de octubre los actores relevantes del ecosistema de la bici (incluyendo proveedores de biciparqueaderos) para fortalecer la cadena de valor de esta industria.
Nota:En el marco de la pp de la bici la DCBR no tiene que ver directamente con la implementación de estrategia de biciparqueaderos. Sin embargo, ha apoyado a la Sec de Movilidad en la socialización de esta estrategia con sector privado. </v>
      </c>
      <c r="N1875" s="55">
        <f ca="1">IFERROR(__xludf.DUMMYFUNCTION("""COMPUTED_VALUE"""),44463)</f>
        <v>44463</v>
      </c>
      <c r="O1875" s="25" t="str">
        <f t="shared" ca="1" si="0"/>
        <v>Secretaría Distrital de Desarrollo Económico</v>
      </c>
      <c r="P1875" s="25" t="str">
        <f t="shared" si="2"/>
        <v/>
      </c>
      <c r="Q1875" s="25" t="str">
        <f ca="1">IFERROR(__xludf.DUMMYFUNCTION("""COMPUTED_VALUE"""),"Corto plazo")</f>
        <v>Corto plazo</v>
      </c>
      <c r="R1875" s="25"/>
      <c r="S1875" s="55"/>
      <c r="T1875" s="56"/>
      <c r="U1875" s="25"/>
      <c r="V1875" s="25"/>
      <c r="W1875" s="25"/>
      <c r="X1875" s="25"/>
      <c r="Y1875" s="25"/>
      <c r="Z1875" s="25"/>
    </row>
    <row r="1876" spans="1:26" ht="52.5" customHeight="1" x14ac:dyDescent="0.25">
      <c r="A1876" s="25" t="str">
        <f ca="1">IFERROR(__xludf.DUMMYFUNCTION("""COMPUTED_VALUE"""),"Desar74")</f>
        <v>Desar74</v>
      </c>
      <c r="B1876" s="25" t="str">
        <f ca="1">IFERROR(__xludf.DUMMYFUNCTION("""COMPUTED_VALUE"""),"Despachando: Sector gastronómico")</f>
        <v>Despachando: Sector gastronómico</v>
      </c>
      <c r="C1876" s="55">
        <f ca="1">IFERROR(__xludf.DUMMYFUNCTION("""COMPUTED_VALUE"""),44251)</f>
        <v>44251</v>
      </c>
      <c r="D1876" s="25" t="str">
        <f ca="1">IFERROR(__xludf.DUMMYFUNCTION("""COMPUTED_VALUE"""),"Desarrollo_Económico")</f>
        <v>Desarrollo_Económico</v>
      </c>
      <c r="E1876" s="25" t="str">
        <f ca="1">IFERROR(__xludf.DUMMYFUNCTION("""COMPUTED_VALUE"""),"Secretaría Distrital de Desarrollo Económico")</f>
        <v>Secretaría Distrital de Desarrollo Económico</v>
      </c>
      <c r="F1876" s="25" t="str">
        <f ca="1">IFERROR(__xludf.DUMMYFUNCTION("""COMPUTED_VALUE"""),"Bogotá A Cielo Abierto 2.0 (sostenibilidad jurídica, operativa, financiera y ambiental).")</f>
        <v>Bogotá A Cielo Abierto 2.0 (sostenibilidad jurídica, operativa, financiera y ambiental).</v>
      </c>
      <c r="G1876" s="25" t="str">
        <f ca="1">IFERROR(__xludf.DUMMYFUNCTION("""COMPUTED_VALUE"""),"99. Distrito")</f>
        <v>99. Distrito</v>
      </c>
      <c r="H1876" s="55">
        <f ca="1">IFERROR(__xludf.DUMMYFUNCTION("""COMPUTED_VALUE"""),44281)</f>
        <v>44281</v>
      </c>
      <c r="I1876" s="25"/>
      <c r="J1876" s="55" t="str">
        <f ca="1">IFERROR(__xludf.DUMMYFUNCTION("""COMPUTED_VALUE"""),"Alta")</f>
        <v>Alta</v>
      </c>
      <c r="K1876" s="25">
        <f ca="1">IFERROR(__xludf.DUMMYFUNCTION("""COMPUTED_VALUE"""),30)</f>
        <v>30</v>
      </c>
      <c r="L1876" s="62">
        <f ca="1">IFERROR(__xludf.DUMMYFUNCTION("""COMPUTED_VALUE"""),44452)</f>
        <v>44452</v>
      </c>
      <c r="M1876" s="25" t="str">
        <f ca="1">IFERROR(__xludf.DUMMYFUNCTION("""COMPUTED_VALUE"""),"La reunión con gerentes de Bogotá a Cielo Abierto, es un espacio que se realiza los miércoles cada quince días, en los que socializa los avances de Bogotá 2.0 y otra serie de medidas de la administración distrital. La última reunión de seguimiento realiza"&amp;"da fue el 1 de septiembre, los temas tratados fueron: 
1. Estado de permisos y zonas 
2. Socialización programa Empleo Joven 
3.  Socialización del tema de circulación de artistas y el piloto que se realizará en una zona BACA
4. Socialización de tareas qu"&amp;"e se van a realizar en temas de seguridad")</f>
        <v>La reunión con gerentes de Bogotá a Cielo Abierto, es un espacio que se realiza los miércoles cada quince días, en los que socializa los avances de Bogotá 2.0 y otra serie de medidas de la administración distrital. La última reunión de seguimiento realizada fue el 1 de septiembre, los temas tratados fueron: 
1. Estado de permisos y zonas 
2. Socialización programa Empleo Joven 
3.  Socialización del tema de circulación de artistas y el piloto que se realizará en una zona BACA
4. Socialización de tareas que se van a realizar en temas de seguridad</v>
      </c>
      <c r="N1876" s="55">
        <f ca="1">IFERROR(__xludf.DUMMYFUNCTION("""COMPUTED_VALUE"""),44452)</f>
        <v>44452</v>
      </c>
      <c r="O1876" s="25" t="str">
        <f t="shared" ca="1" si="0"/>
        <v>Secretaría Distrital de Desarrollo Económico</v>
      </c>
      <c r="P1876" s="25" t="str">
        <f t="shared" si="2"/>
        <v/>
      </c>
      <c r="Q1876" s="25" t="str">
        <f ca="1">IFERROR(__xludf.DUMMYFUNCTION("""COMPUTED_VALUE"""),"Corto plazo")</f>
        <v>Corto plazo</v>
      </c>
      <c r="R1876" s="25"/>
      <c r="S1876" s="55"/>
      <c r="T1876" s="56"/>
      <c r="U1876" s="25"/>
      <c r="V1876" s="25"/>
      <c r="W1876" s="25"/>
      <c r="X1876" s="25"/>
      <c r="Y1876" s="25"/>
      <c r="Z1876" s="25"/>
    </row>
    <row r="1877" spans="1:26" ht="52.5" customHeight="1" x14ac:dyDescent="0.25">
      <c r="A1877" s="25" t="str">
        <f ca="1">IFERROR(__xludf.DUMMYFUNCTION("""COMPUTED_VALUE"""),"Desar75")</f>
        <v>Desar75</v>
      </c>
      <c r="B1877" s="25" t="str">
        <f ca="1">IFERROR(__xludf.DUMMYFUNCTION("""COMPUTED_VALUE"""),"Despachando: Asoc. hotelera y turística de Colombia - COTELCO")</f>
        <v>Despachando: Asoc. hotelera y turística de Colombia - COTELCO</v>
      </c>
      <c r="C1877" s="55">
        <f ca="1">IFERROR(__xludf.DUMMYFUNCTION("""COMPUTED_VALUE"""),44239)</f>
        <v>44239</v>
      </c>
      <c r="D1877" s="25" t="str">
        <f ca="1">IFERROR(__xludf.DUMMYFUNCTION("""COMPUTED_VALUE"""),"Desarrollo_Económico")</f>
        <v>Desarrollo_Económico</v>
      </c>
      <c r="E1877" s="25" t="str">
        <f ca="1">IFERROR(__xludf.DUMMYFUNCTION("""COMPUTED_VALUE"""),"Instituto Distrital de Turismo")</f>
        <v>Instituto Distrital de Turismo</v>
      </c>
      <c r="F1877" s="25" t="str">
        <f ca="1">IFERROR(__xludf.DUMMYFUNCTION("""COMPUTED_VALUE"""),"Promover de ciudad: Bogotá - Región")</f>
        <v>Promover de ciudad: Bogotá - Región</v>
      </c>
      <c r="G1877" s="25" t="str">
        <f ca="1">IFERROR(__xludf.DUMMYFUNCTION("""COMPUTED_VALUE"""),"99. Distrito")</f>
        <v>99. Distrito</v>
      </c>
      <c r="H1877" s="55">
        <f ca="1">IFERROR(__xludf.DUMMYFUNCTION("""COMPUTED_VALUE"""),44269)</f>
        <v>44269</v>
      </c>
      <c r="I1877" s="25"/>
      <c r="J1877" s="55" t="str">
        <f ca="1">IFERROR(__xludf.DUMMYFUNCTION("""COMPUTED_VALUE"""),"Alta")</f>
        <v>Alta</v>
      </c>
      <c r="K1877" s="25">
        <f ca="1">IFERROR(__xludf.DUMMYFUNCTION("""COMPUTED_VALUE"""),30)</f>
        <v>30</v>
      </c>
      <c r="L1877" s="62">
        <f ca="1">IFERROR(__xludf.DUMMYFUNCTION("""COMPUTED_VALUE"""),44426)</f>
        <v>44426</v>
      </c>
      <c r="M1877" s="25" t="str">
        <f ca="1">IFERROR(__xludf.DUMMYFUNCTION("""COMPUTED_VALUE"""),"*Firma de convenio entre el IDT e IDECUT, que dará paso al trabajo conjunto y articulación interinstitucional, en procura del desarrollo turístico de Bogotá y Cundinamarca. Cumplido: firma del convenio el 26 de febrero de 2021 * VITRINA TURÍSTICA DE ANATO"&amp;" 2021: Para este año en la versión 40 de la vitrina turística de Anato, la ciudad de Bogotá llegará con un trabajo mancomunado con el departamento de Cundinamarca para llevar una oferta consolidada de Bogotá y la Región. 
 *Evento Adventure Week llevado a"&amp;" cabo entre el 14 al 19 de marzo, evento que se lleva a cabo como el primero presencial del año y el cual fortalece la dinámica de reactivación del sector y articulación entre las entidades del IDT, IDECUT Y Procolombia, con la visita de países como Brasi"&amp;"l, Estados Unidos, España, Francia, Reino Unido, Perú y visita a territorios del Tolima, Meta, Boyacá y Cundinamarca. Cumplido: LLevado a cabo entre el 14 al 19 de marzo, con estos resultados 275 citas y 3 fam trips, por Bogotá - Región.")</f>
        <v>*Firma de convenio entre el IDT e IDECUT, que dará paso al trabajo conjunto y articulación interinstitucional, en procura del desarrollo turístico de Bogotá y Cundinamarca. Cumplido: firma del convenio el 26 de febrero de 2021 * VITRINA TURÍSTICA DE ANATO 2021: Para este año en la versión 40 de la vitrina turística de Anato, la ciudad de Bogotá llegará con un trabajo mancomunado con el departamento de Cundinamarca para llevar una oferta consolidada de Bogotá y la Región. 
 *Evento Adventure Week llevado a cabo entre el 14 al 19 de marzo, evento que se lleva a cabo como el primero presencial del año y el cual fortalece la dinámica de reactivación del sector y articulación entre las entidades del IDT, IDECUT Y Procolombia, con la visita de países como Brasil, Estados Unidos, España, Francia, Reino Unido, Perú y visita a territorios del Tolima, Meta, Boyacá y Cundinamarca. Cumplido: LLevado a cabo entre el 14 al 19 de marzo, con estos resultados 275 citas y 3 fam trips, por Bogotá - Región.</v>
      </c>
      <c r="N1877" s="55">
        <f ca="1">IFERROR(__xludf.DUMMYFUNCTION("""COMPUTED_VALUE"""),44426)</f>
        <v>44426</v>
      </c>
      <c r="O1877" s="25" t="str">
        <f t="shared" ca="1" si="0"/>
        <v>Instituto Distrital de Turismo</v>
      </c>
      <c r="P1877" s="25" t="str">
        <f t="shared" si="2"/>
        <v/>
      </c>
      <c r="Q1877" s="25" t="str">
        <f ca="1">IFERROR(__xludf.DUMMYFUNCTION("""COMPUTED_VALUE"""),"Corto plazo")</f>
        <v>Corto plazo</v>
      </c>
      <c r="R1877" s="25"/>
      <c r="S1877" s="55"/>
      <c r="T1877" s="56"/>
      <c r="U1877" s="25"/>
      <c r="V1877" s="25"/>
      <c r="W1877" s="25"/>
      <c r="X1877" s="25"/>
      <c r="Y1877" s="25"/>
      <c r="Z1877" s="25"/>
    </row>
    <row r="1878" spans="1:26" ht="52.5" customHeight="1" x14ac:dyDescent="0.25">
      <c r="A1878" s="25" t="str">
        <f ca="1">IFERROR(__xludf.DUMMYFUNCTION("""COMPUTED_VALUE"""),"Desar76")</f>
        <v>Desar76</v>
      </c>
      <c r="B1878" s="25" t="str">
        <f ca="1">IFERROR(__xludf.DUMMYFUNCTION("""COMPUTED_VALUE"""),"Despachando: Asoc. hotelera y turística de Colombia - COTELCO")</f>
        <v>Despachando: Asoc. hotelera y turística de Colombia - COTELCO</v>
      </c>
      <c r="C1878" s="55">
        <f ca="1">IFERROR(__xludf.DUMMYFUNCTION("""COMPUTED_VALUE"""),44239)</f>
        <v>44239</v>
      </c>
      <c r="D1878" s="25" t="str">
        <f ca="1">IFERROR(__xludf.DUMMYFUNCTION("""COMPUTED_VALUE"""),"Desarrollo_Económico")</f>
        <v>Desarrollo_Económico</v>
      </c>
      <c r="E1878" s="25" t="str">
        <f ca="1">IFERROR(__xludf.DUMMYFUNCTION("""COMPUTED_VALUE"""),"Instituto Distrital de Turismo")</f>
        <v>Instituto Distrital de Turismo</v>
      </c>
      <c r="F1878" s="25" t="str">
        <f ca="1">IFERROR(__xludf.DUMMYFUNCTION("""COMPUTED_VALUE"""),"Promocionar los parques temáticos de la ciudad en articulación con la estrategia de parques del IDRD")</f>
        <v>Promocionar los parques temáticos de la ciudad en articulación con la estrategia de parques del IDRD</v>
      </c>
      <c r="G1878" s="25" t="str">
        <f ca="1">IFERROR(__xludf.DUMMYFUNCTION("""COMPUTED_VALUE"""),"99. Distrito")</f>
        <v>99. Distrito</v>
      </c>
      <c r="H1878" s="55">
        <f ca="1">IFERROR(__xludf.DUMMYFUNCTION("""COMPUTED_VALUE"""),44269)</f>
        <v>44269</v>
      </c>
      <c r="I1878" s="25"/>
      <c r="J1878" s="55" t="str">
        <f ca="1">IFERROR(__xludf.DUMMYFUNCTION("""COMPUTED_VALUE"""),"Alta")</f>
        <v>Alta</v>
      </c>
      <c r="K1878" s="25">
        <f ca="1">IFERROR(__xludf.DUMMYFUNCTION("""COMPUTED_VALUE"""),30)</f>
        <v>30</v>
      </c>
      <c r="L1878" s="62">
        <f ca="1">IFERROR(__xludf.DUMMYFUNCTION("""COMPUTED_VALUE"""),44426)</f>
        <v>44426</v>
      </c>
      <c r="M1878" s="25" t="str">
        <f ca="1">IFERROR(__xludf.DUMMYFUNCTION("""COMPUTED_VALUE"""),"el IDT el día 4 de agosto ha entregado la campaña de parques a los parques de la ciudad (Mundo Aventura, Multiparque y Salitre Mágico)")</f>
        <v>el IDT el día 4 de agosto ha entregado la campaña de parques a los parques de la ciudad (Mundo Aventura, Multiparque y Salitre Mágico)</v>
      </c>
      <c r="N1878" s="55">
        <f ca="1">IFERROR(__xludf.DUMMYFUNCTION("""COMPUTED_VALUE"""),44426)</f>
        <v>44426</v>
      </c>
      <c r="O1878" s="25" t="str">
        <f t="shared" ca="1" si="0"/>
        <v>Instituto Distrital de Turismo</v>
      </c>
      <c r="P1878" s="25" t="str">
        <f t="shared" si="2"/>
        <v/>
      </c>
      <c r="Q1878" s="25" t="str">
        <f ca="1">IFERROR(__xludf.DUMMYFUNCTION("""COMPUTED_VALUE"""),"Corto plazo")</f>
        <v>Corto plazo</v>
      </c>
      <c r="R1878" s="25"/>
      <c r="S1878" s="55"/>
      <c r="T1878" s="56"/>
      <c r="U1878" s="25"/>
      <c r="V1878" s="25"/>
      <c r="W1878" s="25"/>
      <c r="X1878" s="25"/>
      <c r="Y1878" s="25"/>
      <c r="Z1878" s="25"/>
    </row>
    <row r="1879" spans="1:26" ht="52.5" customHeight="1" x14ac:dyDescent="0.25">
      <c r="A1879" s="25" t="str">
        <f ca="1">IFERROR(__xludf.DUMMYFUNCTION("""COMPUTED_VALUE"""),"Desar77")</f>
        <v>Desar77</v>
      </c>
      <c r="B1879" s="25" t="str">
        <f ca="1">IFERROR(__xludf.DUMMYFUNCTION("""COMPUTED_VALUE"""),"Despachando: Asoc. hotelera y turística de Colombia - COTELCO")</f>
        <v>Despachando: Asoc. hotelera y turística de Colombia - COTELCO</v>
      </c>
      <c r="C1879" s="55">
        <f ca="1">IFERROR(__xludf.DUMMYFUNCTION("""COMPUTED_VALUE"""),44239)</f>
        <v>44239</v>
      </c>
      <c r="D1879" s="25" t="str">
        <f ca="1">IFERROR(__xludf.DUMMYFUNCTION("""COMPUTED_VALUE"""),"Desarrollo_Económico")</f>
        <v>Desarrollo_Económico</v>
      </c>
      <c r="E1879" s="25" t="str">
        <f ca="1">IFERROR(__xludf.DUMMYFUNCTION("""COMPUTED_VALUE"""),"Instituto Distrital de Turismo")</f>
        <v>Instituto Distrital de Turismo</v>
      </c>
      <c r="F1879" s="25" t="str">
        <f ca="1">IFERROR(__xludf.DUMMYFUNCTION("""COMPUTED_VALUE"""),"Gestionar una convocatoria a través del FONDETUR, dirigida a la transformación digital de las agencias de viajes de Bogotá")</f>
        <v>Gestionar una convocatoria a través del FONDETUR, dirigida a la transformación digital de las agencias de viajes de Bogotá</v>
      </c>
      <c r="G1879" s="25" t="str">
        <f ca="1">IFERROR(__xludf.DUMMYFUNCTION("""COMPUTED_VALUE"""),"99. Distrito")</f>
        <v>99. Distrito</v>
      </c>
      <c r="H1879" s="55">
        <f ca="1">IFERROR(__xludf.DUMMYFUNCTION("""COMPUTED_VALUE"""),44269)</f>
        <v>44269</v>
      </c>
      <c r="I1879" s="25"/>
      <c r="J1879" s="55" t="str">
        <f ca="1">IFERROR(__xludf.DUMMYFUNCTION("""COMPUTED_VALUE"""),"Alta")</f>
        <v>Alta</v>
      </c>
      <c r="K1879" s="25">
        <f ca="1">IFERROR(__xludf.DUMMYFUNCTION("""COMPUTED_VALUE"""),30)</f>
        <v>30</v>
      </c>
      <c r="L1879" s="62">
        <f ca="1">IFERROR(__xludf.DUMMYFUNCTION("""COMPUTED_VALUE"""),44426)</f>
        <v>44426</v>
      </c>
      <c r="M1879" s="25" t="str">
        <f ca="1">IFERROR(__xludf.DUMMYFUNCTION("""COMPUTED_VALUE"""),"Se realizó el autodiagnóstico de cultura digital de las agencias de viajes de Bogotá entre el 27 de febrero y el 15 de marzo de 2021. Lo anterior fue indispensable para conocer las necesidades puntuales de transformación digital que requieren las agencias"&amp;" de la ciudad y con base en ello estructurar la convocatoria puntual. De manera simultánea, para FONDETUR se realizó la creación de las fichas MGA y EBI del nuevo proyecto de inversión, el cual ya fue verificado por la Secretaría Distrital de Planeación y"&amp;" se encuentra en aprobación en DNP.
 Actualmente se encuentra en estructuración técnica la convocatoria.
Se realizó el autodiagnóstico de cultura digital de las agencias de viajes de Bogotá entre el 27 de febrero y el 15 de marzo de 2021. Lo anterior f"&amp;"ue indispensable para conocer las necesidades puntuales de transformación digital que requieren las agencias de la ciudad y con base en ello estructurar la convocatoria puntual. De manera simultánea, para FONDETUR se realizó la creación de las fichas MGA "&amp;"y EBI del nuevo proyecto de inversión, el cual ya fue verificado por la Secretaría Distrital de Planeación y se encuentra en aprobación en DNP.  Actualmente se encuentra en estructuración técnica la convocatoria.     070721:  Se lanzó la convocatoria el d"&amp;"ía 16 de junio de 2021, en el marco de la Vitrina Turística de Anato, cumpliendo así con el compromiso del Despachando.  Los beneficiarios serán informados el día 30 de julio de 2021, con el fin de iniciar la entrega de los beneficios entre el 16 de septi"&amp;"embre de 2021 a 16 de marzo de 2022.
")</f>
        <v xml:space="preserve">Se realizó el autodiagnóstico de cultura digital de las agencias de viajes de Bogotá entre el 27 de febrero y el 15 de marzo de 2021. Lo anterior fue indispensable para conocer las necesidades puntuales de transformación digital que requieren las agencias de la ciudad y con base en ello estructurar la convocatoria puntual. De manera simultánea, para FONDETUR se realizó la creación de las fichas MGA y EBI del nuevo proyecto de inversión, el cual ya fue verificado por la Secretaría Distrital de Planeación y se encuentra en aprobación en DNP.
 Actualmente se encuentra en estructuración técnica la convocatoria.
Se realizó el autodiagnóstico de cultura digital de las agencias de viajes de Bogotá entre el 27 de febrero y el 15 de marzo de 2021. Lo anterior fue indispensable para conocer las necesidades puntuales de transformación digital que requieren las agencias de la ciudad y con base en ello estructurar la convocatoria puntual. De manera simultánea, para FONDETUR se realizó la creación de las fichas MGA y EBI del nuevo proyecto de inversión, el cual ya fue verificado por la Secretaría Distrital de Planeación y se encuentra en aprobación en DNP.  Actualmente se encuentra en estructuración técnica la convocatoria.     070721:  Se lanzó la convocatoria el día 16 de junio de 2021, en el marco de la Vitrina Turística de Anato, cumpliendo así con el compromiso del Despachando.  Los beneficiarios serán informados el día 30 de julio de 2021, con el fin de iniciar la entrega de los beneficios entre el 16 de septiembre de 2021 a 16 de marzo de 2022.
</v>
      </c>
      <c r="N1879" s="55">
        <f ca="1">IFERROR(__xludf.DUMMYFUNCTION("""COMPUTED_VALUE"""),44426)</f>
        <v>44426</v>
      </c>
      <c r="O1879" s="25" t="str">
        <f t="shared" ca="1" si="0"/>
        <v>Instituto Distrital de Turismo</v>
      </c>
      <c r="P1879" s="25" t="str">
        <f t="shared" si="2"/>
        <v/>
      </c>
      <c r="Q1879" s="25" t="str">
        <f ca="1">IFERROR(__xludf.DUMMYFUNCTION("""COMPUTED_VALUE"""),"Corto plazo")</f>
        <v>Corto plazo</v>
      </c>
      <c r="R1879" s="25"/>
      <c r="S1879" s="55"/>
      <c r="T1879" s="56"/>
      <c r="U1879" s="25"/>
      <c r="V1879" s="25"/>
      <c r="W1879" s="25"/>
      <c r="X1879" s="25"/>
      <c r="Y1879" s="25"/>
      <c r="Z1879" s="25"/>
    </row>
    <row r="1880" spans="1:26" ht="52.5" customHeight="1" x14ac:dyDescent="0.25">
      <c r="A1880" s="25" t="str">
        <f ca="1">IFERROR(__xludf.DUMMYFUNCTION("""COMPUTED_VALUE"""),"Desar78")</f>
        <v>Desar78</v>
      </c>
      <c r="B1880" s="25" t="str">
        <f ca="1">IFERROR(__xludf.DUMMYFUNCTION("""COMPUTED_VALUE"""),"Despachando: Asoc. hotelera y turística de Colombia - COTELCO")</f>
        <v>Despachando: Asoc. hotelera y turística de Colombia - COTELCO</v>
      </c>
      <c r="C1880" s="55">
        <f ca="1">IFERROR(__xludf.DUMMYFUNCTION("""COMPUTED_VALUE"""),44239)</f>
        <v>44239</v>
      </c>
      <c r="D1880" s="25" t="str">
        <f ca="1">IFERROR(__xludf.DUMMYFUNCTION("""COMPUTED_VALUE"""),"Desarrollo_Económico")</f>
        <v>Desarrollo_Económico</v>
      </c>
      <c r="E1880" s="25" t="str">
        <f ca="1">IFERROR(__xludf.DUMMYFUNCTION("""COMPUTED_VALUE"""),"Secretaría Distrital de Desarrollo Económico")</f>
        <v>Secretaría Distrital de Desarrollo Económico</v>
      </c>
      <c r="F1880" s="25" t="str">
        <f ca="1">IFERROR(__xludf.DUMMYFUNCTION("""COMPUTED_VALUE"""),"Analizar la posibilidad de realizar exención de impuesto predial al gremio hotelero, más no congelación de impuesto (compensación por sectores)")</f>
        <v>Analizar la posibilidad de realizar exención de impuesto predial al gremio hotelero, más no congelación de impuesto (compensación por sectores)</v>
      </c>
      <c r="G1880" s="25" t="str">
        <f ca="1">IFERROR(__xludf.DUMMYFUNCTION("""COMPUTED_VALUE"""),"99. Distrito")</f>
        <v>99. Distrito</v>
      </c>
      <c r="H1880" s="55">
        <f ca="1">IFERROR(__xludf.DUMMYFUNCTION("""COMPUTED_VALUE"""),44269)</f>
        <v>44269</v>
      </c>
      <c r="I1880" s="25"/>
      <c r="J1880" s="55" t="str">
        <f ca="1">IFERROR(__xludf.DUMMYFUNCTION("""COMPUTED_VALUE"""),"Alta")</f>
        <v>Alta</v>
      </c>
      <c r="K1880" s="25">
        <f ca="1">IFERROR(__xludf.DUMMYFUNCTION("""COMPUTED_VALUE"""),30)</f>
        <v>30</v>
      </c>
      <c r="L1880" s="62">
        <f ca="1">IFERROR(__xludf.DUMMYFUNCTION("""COMPUTED_VALUE"""),44425)</f>
        <v>44425</v>
      </c>
      <c r="M1880" s="25" t="str">
        <f ca="1">IFERROR(__xludf.DUMMYFUNCTION("""COMPUTED_VALUE"""),"Se llevó a cabo dos reuniones: El 11 de marzo liderada por la Secretaría Distrital de Desarrollo Económico y el Instituto Distrital de Turismo con gremios de turismo. y el 15 de marzo entre Secretaría Distrital de Hacienda, Concejal Martín Rivera y el Ins"&amp;"tituto Distrital de Turismo, en la que se explicó el aplazamiento de pago para el 2022 en cuotas para las exenciones, Secretaría de Hacienda realizará un estudio para ver la viabilidad. El IDT, por su parte, envió a la Secretaría Distrital de Hacienda la "&amp;"información completa con la base de datos del Registro Nacional de Turismo con la que se cuenta con corte Diciembre 2020.")</f>
        <v>Se llevó a cabo dos reuniones: El 11 de marzo liderada por la Secretaría Distrital de Desarrollo Económico y el Instituto Distrital de Turismo con gremios de turismo. y el 15 de marzo entre Secretaría Distrital de Hacienda, Concejal Martín Rivera y el Instituto Distrital de Turismo, en la que se explicó el aplazamiento de pago para el 2022 en cuotas para las exenciones, Secretaría de Hacienda realizará un estudio para ver la viabilidad. El IDT, por su parte, envió a la Secretaría Distrital de Hacienda la información completa con la base de datos del Registro Nacional de Turismo con la que se cuenta con corte Diciembre 2020.</v>
      </c>
      <c r="N1880" s="55">
        <f ca="1">IFERROR(__xludf.DUMMYFUNCTION("""COMPUTED_VALUE"""),44425)</f>
        <v>44425</v>
      </c>
      <c r="O1880" s="25" t="str">
        <f t="shared" ca="1" si="0"/>
        <v>Secretaría Distrital de Desarrollo Económico</v>
      </c>
      <c r="P1880" s="25" t="str">
        <f t="shared" si="2"/>
        <v/>
      </c>
      <c r="Q1880" s="25" t="str">
        <f ca="1">IFERROR(__xludf.DUMMYFUNCTION("""COMPUTED_VALUE"""),"Corto plazo")</f>
        <v>Corto plazo</v>
      </c>
      <c r="R1880" s="25"/>
      <c r="S1880" s="55"/>
      <c r="T1880" s="56"/>
      <c r="U1880" s="25"/>
      <c r="V1880" s="25"/>
      <c r="W1880" s="25"/>
      <c r="X1880" s="25"/>
      <c r="Y1880" s="25"/>
      <c r="Z1880" s="25"/>
    </row>
    <row r="1881" spans="1:26" ht="52.5" customHeight="1" x14ac:dyDescent="0.25">
      <c r="A1881" s="25" t="str">
        <f ca="1">IFERROR(__xludf.DUMMYFUNCTION("""COMPUTED_VALUE"""),"Desar79")</f>
        <v>Desar79</v>
      </c>
      <c r="B1881" s="25" t="str">
        <f ca="1">IFERROR(__xludf.DUMMYFUNCTION("""COMPUTED_VALUE"""),"Despachando: Asoc. hotelera y turística de Colombia - COTELCO")</f>
        <v>Despachando: Asoc. hotelera y turística de Colombia - COTELCO</v>
      </c>
      <c r="C1881" s="55">
        <f ca="1">IFERROR(__xludf.DUMMYFUNCTION("""COMPUTED_VALUE"""),44239)</f>
        <v>44239</v>
      </c>
      <c r="D1881" s="25" t="str">
        <f ca="1">IFERROR(__xludf.DUMMYFUNCTION("""COMPUTED_VALUE"""),"Desarrollo_Económico")</f>
        <v>Desarrollo_Económico</v>
      </c>
      <c r="E1881" s="25" t="str">
        <f ca="1">IFERROR(__xludf.DUMMYFUNCTION("""COMPUTED_VALUE"""),"Instituto Distrital de Turismo")</f>
        <v>Instituto Distrital de Turismo</v>
      </c>
      <c r="F1881" s="25" t="str">
        <f ca="1">IFERROR(__xludf.DUMMYFUNCTION("""COMPUTED_VALUE"""),"Crear el Consejo Consultivo de Turismo de Bogotá.")</f>
        <v>Crear el Consejo Consultivo de Turismo de Bogotá.</v>
      </c>
      <c r="G1881" s="25" t="str">
        <f ca="1">IFERROR(__xludf.DUMMYFUNCTION("""COMPUTED_VALUE"""),"99. Distrito")</f>
        <v>99. Distrito</v>
      </c>
      <c r="H1881" s="55">
        <f ca="1">IFERROR(__xludf.DUMMYFUNCTION("""COMPUTED_VALUE"""),44269)</f>
        <v>44269</v>
      </c>
      <c r="I1881" s="25"/>
      <c r="J1881" s="55" t="str">
        <f ca="1">IFERROR(__xludf.DUMMYFUNCTION("""COMPUTED_VALUE"""),"Alta")</f>
        <v>Alta</v>
      </c>
      <c r="K1881" s="25">
        <f ca="1">IFERROR(__xludf.DUMMYFUNCTION("""COMPUTED_VALUE"""),30)</f>
        <v>30</v>
      </c>
      <c r="L1881" s="62">
        <f ca="1">IFERROR(__xludf.DUMMYFUNCTION("""COMPUTED_VALUE"""),44426)</f>
        <v>44426</v>
      </c>
      <c r="M1881" s="25" t="str">
        <f ca="1">IFERROR(__xludf.DUMMYFUNCTION("""COMPUTED_VALUE"""),"Habiendo surtido las diferentes instancias jurídicas, el Decreto 213 del 16 de junio de 2021, fue expedido y firmado por la Alcaldesa Claudia López, por el cual se creó el Consejo Consultivo Distrital de Turismo, en el marco de la Vitrina Turística de Ana"&amp;"to, cumpliendo así con el compromiso del Despachando.
")</f>
        <v xml:space="preserve">Habiendo surtido las diferentes instancias jurídicas, el Decreto 213 del 16 de junio de 2021, fue expedido y firmado por la Alcaldesa Claudia López, por el cual se creó el Consejo Consultivo Distrital de Turismo, en el marco de la Vitrina Turística de Anato, cumpliendo así con el compromiso del Despachando.
</v>
      </c>
      <c r="N1881" s="55">
        <f ca="1">IFERROR(__xludf.DUMMYFUNCTION("""COMPUTED_VALUE"""),44426)</f>
        <v>44426</v>
      </c>
      <c r="O1881" s="25" t="str">
        <f t="shared" ca="1" si="0"/>
        <v>Instituto Distrital de Turismo</v>
      </c>
      <c r="P1881" s="25" t="str">
        <f t="shared" si="2"/>
        <v/>
      </c>
      <c r="Q1881" s="25" t="str">
        <f ca="1">IFERROR(__xludf.DUMMYFUNCTION("""COMPUTED_VALUE"""),"Corto plazo")</f>
        <v>Corto plazo</v>
      </c>
      <c r="R1881" s="25"/>
      <c r="S1881" s="55"/>
      <c r="T1881" s="56"/>
      <c r="U1881" s="25"/>
      <c r="V1881" s="25"/>
      <c r="W1881" s="25"/>
      <c r="X1881" s="25"/>
      <c r="Y1881" s="25"/>
      <c r="Z1881" s="25"/>
    </row>
    <row r="1882" spans="1:26" ht="52.5" customHeight="1" x14ac:dyDescent="0.25">
      <c r="A1882" s="25" t="str">
        <f ca="1">IFERROR(__xludf.DUMMYFUNCTION("""COMPUTED_VALUE"""),"Desar80")</f>
        <v>Desar80</v>
      </c>
      <c r="B1882" s="25" t="str">
        <f ca="1">IFERROR(__xludf.DUMMYFUNCTION("""COMPUTED_VALUE"""),"Despachando: Asoc. hotelera y turística de Colombia - COTELCO")</f>
        <v>Despachando: Asoc. hotelera y turística de Colombia - COTELCO</v>
      </c>
      <c r="C1882" s="55">
        <f ca="1">IFERROR(__xludf.DUMMYFUNCTION("""COMPUTED_VALUE"""),44239)</f>
        <v>44239</v>
      </c>
      <c r="D1882" s="25" t="str">
        <f ca="1">IFERROR(__xludf.DUMMYFUNCTION("""COMPUTED_VALUE"""),"Desarrollo_Económico")</f>
        <v>Desarrollo_Económico</v>
      </c>
      <c r="E1882" s="25" t="str">
        <f ca="1">IFERROR(__xludf.DUMMYFUNCTION("""COMPUTED_VALUE"""),"Instituto Distrital de Turismo")</f>
        <v>Instituto Distrital de Turismo</v>
      </c>
      <c r="F1882" s="25" t="str">
        <f ca="1">IFERROR(__xludf.DUMMYFUNCTION("""COMPUTED_VALUE"""),"Programar asistencia de la alcaldesa a la vitrina turística de ANATO")</f>
        <v>Programar asistencia de la alcaldesa a la vitrina turística de ANATO</v>
      </c>
      <c r="G1882" s="25" t="str">
        <f ca="1">IFERROR(__xludf.DUMMYFUNCTION("""COMPUTED_VALUE"""),"99. Distrito")</f>
        <v>99. Distrito</v>
      </c>
      <c r="H1882" s="55">
        <f ca="1">IFERROR(__xludf.DUMMYFUNCTION("""COMPUTED_VALUE"""),44269)</f>
        <v>44269</v>
      </c>
      <c r="I1882" s="25"/>
      <c r="J1882" s="55" t="str">
        <f ca="1">IFERROR(__xludf.DUMMYFUNCTION("""COMPUTED_VALUE"""),"Alta")</f>
        <v>Alta</v>
      </c>
      <c r="K1882" s="25">
        <f ca="1">IFERROR(__xludf.DUMMYFUNCTION("""COMPUTED_VALUE"""),30)</f>
        <v>30</v>
      </c>
      <c r="L1882" s="62">
        <f ca="1">IFERROR(__xludf.DUMMYFUNCTION("""COMPUTED_VALUE"""),44426)</f>
        <v>44426</v>
      </c>
      <c r="M1882" s="25" t="str">
        <f ca="1">IFERROR(__xludf.DUMMYFUNCTION("""COMPUTED_VALUE"""),"La asistencia de la Alcaldesa a la vitrina turística de Anato, quedó programada para el miércoles 16 de junio a las 3:00 pm")</f>
        <v>La asistencia de la Alcaldesa a la vitrina turística de Anato, quedó programada para el miércoles 16 de junio a las 3:00 pm</v>
      </c>
      <c r="N1882" s="55">
        <f ca="1">IFERROR(__xludf.DUMMYFUNCTION("""COMPUTED_VALUE"""),44426)</f>
        <v>44426</v>
      </c>
      <c r="O1882" s="25" t="str">
        <f t="shared" ca="1" si="0"/>
        <v>Instituto Distrital de Turismo</v>
      </c>
      <c r="P1882" s="25" t="str">
        <f t="shared" si="2"/>
        <v/>
      </c>
      <c r="Q1882" s="25" t="str">
        <f ca="1">IFERROR(__xludf.DUMMYFUNCTION("""COMPUTED_VALUE"""),"Corto plazo")</f>
        <v>Corto plazo</v>
      </c>
      <c r="R1882" s="25"/>
      <c r="S1882" s="55"/>
      <c r="T1882" s="56"/>
      <c r="U1882" s="25"/>
      <c r="V1882" s="25"/>
      <c r="W1882" s="25"/>
      <c r="X1882" s="25"/>
      <c r="Y1882" s="25"/>
      <c r="Z1882" s="25"/>
    </row>
    <row r="1883" spans="1:26" ht="52.5" customHeight="1" x14ac:dyDescent="0.25">
      <c r="A1883" s="25" t="str">
        <f ca="1">IFERROR(__xludf.DUMMYFUNCTION("""COMPUTED_VALUE"""),"Desar81")</f>
        <v>Desar81</v>
      </c>
      <c r="B1883" s="25" t="str">
        <f ca="1">IFERROR(__xludf.DUMMYFUNCTION("""COMPUTED_VALUE"""),"Despachando: Asoc. hotelera y turística de Colombia - COTELCO")</f>
        <v>Despachando: Asoc. hotelera y turística de Colombia - COTELCO</v>
      </c>
      <c r="C1883" s="55">
        <f ca="1">IFERROR(__xludf.DUMMYFUNCTION("""COMPUTED_VALUE"""),44239)</f>
        <v>44239</v>
      </c>
      <c r="D1883" s="25" t="str">
        <f ca="1">IFERROR(__xludf.DUMMYFUNCTION("""COMPUTED_VALUE"""),"Desarrollo_Económico")</f>
        <v>Desarrollo_Económico</v>
      </c>
      <c r="E1883" s="25" t="str">
        <f ca="1">IFERROR(__xludf.DUMMYFUNCTION("""COMPUTED_VALUE"""),"Secretaría Distrital de Desarrollo Económico")</f>
        <v>Secretaría Distrital de Desarrollo Económico</v>
      </c>
      <c r="F1883" s="25" t="str">
        <f ca="1">IFERROR(__xludf.DUMMYFUNCTION("""COMPUTED_VALUE"""),"Programar reunión con Policía de tránsito, para aclarar el aforo permitido en transporte especial-turismo")</f>
        <v>Programar reunión con Policía de tránsito, para aclarar el aforo permitido en transporte especial-turismo</v>
      </c>
      <c r="G1883" s="25" t="str">
        <f ca="1">IFERROR(__xludf.DUMMYFUNCTION("""COMPUTED_VALUE"""),"99. Distrito")</f>
        <v>99. Distrito</v>
      </c>
      <c r="H1883" s="55">
        <f ca="1">IFERROR(__xludf.DUMMYFUNCTION("""COMPUTED_VALUE"""),44269)</f>
        <v>44269</v>
      </c>
      <c r="I1883" s="25"/>
      <c r="J1883" s="55" t="str">
        <f ca="1">IFERROR(__xludf.DUMMYFUNCTION("""COMPUTED_VALUE"""),"Alta")</f>
        <v>Alta</v>
      </c>
      <c r="K1883" s="25">
        <f ca="1">IFERROR(__xludf.DUMMYFUNCTION("""COMPUTED_VALUE"""),30)</f>
        <v>30</v>
      </c>
      <c r="L1883" s="62">
        <f ca="1">IFERROR(__xludf.DUMMYFUNCTION("""COMPUTED_VALUE"""),44530)</f>
        <v>44530</v>
      </c>
      <c r="M1883" s="25" t="str">
        <f ca="1">IFERROR(__xludf.DUMMYFUNCTION("""COMPUTED_VALUE"""),"No se ha programado reunión con la Policía de tránsito.Ya están claros los foros en decreto.")</f>
        <v>No se ha programado reunión con la Policía de tránsito.Ya están claros los foros en decreto.</v>
      </c>
      <c r="N1883" s="55">
        <f ca="1">IFERROR(__xludf.DUMMYFUNCTION("""COMPUTED_VALUE"""),44530)</f>
        <v>44530</v>
      </c>
      <c r="O1883" s="25" t="str">
        <f t="shared" ca="1" si="0"/>
        <v>Secretaría Distrital de Desarrollo Económico</v>
      </c>
      <c r="P1883" s="25" t="str">
        <f t="shared" si="2"/>
        <v/>
      </c>
      <c r="Q1883" s="25" t="str">
        <f ca="1">IFERROR(__xludf.DUMMYFUNCTION("""COMPUTED_VALUE"""),"Corto plazo")</f>
        <v>Corto plazo</v>
      </c>
      <c r="R1883" s="25"/>
      <c r="S1883" s="55"/>
      <c r="T1883" s="56"/>
      <c r="U1883" s="25"/>
      <c r="V1883" s="25"/>
      <c r="W1883" s="25"/>
      <c r="X1883" s="25"/>
      <c r="Y1883" s="25"/>
      <c r="Z1883" s="25"/>
    </row>
    <row r="1884" spans="1:26" ht="52.5" customHeight="1" x14ac:dyDescent="0.25">
      <c r="A1884" s="25" t="str">
        <f ca="1">IFERROR(__xludf.DUMMYFUNCTION("""COMPUTED_VALUE"""),"Desar82")</f>
        <v>Desar82</v>
      </c>
      <c r="B1884" s="25" t="str">
        <f ca="1">IFERROR(__xludf.DUMMYFUNCTION("""COMPUTED_VALUE"""),"Despachando: Asoc. hotelera y turística de Colombia - COTELCO")</f>
        <v>Despachando: Asoc. hotelera y turística de Colombia - COTELCO</v>
      </c>
      <c r="C1884" s="55">
        <f ca="1">IFERROR(__xludf.DUMMYFUNCTION("""COMPUTED_VALUE"""),44239)</f>
        <v>44239</v>
      </c>
      <c r="D1884" s="25" t="str">
        <f ca="1">IFERROR(__xludf.DUMMYFUNCTION("""COMPUTED_VALUE"""),"Desarrollo_Económico")</f>
        <v>Desarrollo_Económico</v>
      </c>
      <c r="E1884" s="25" t="str">
        <f ca="1">IFERROR(__xludf.DUMMYFUNCTION("""COMPUTED_VALUE"""),"Instituto Distrital de Turismo")</f>
        <v>Instituto Distrital de Turismo</v>
      </c>
      <c r="F1884" s="25" t="str">
        <f ca="1">IFERROR(__xludf.DUMMYFUNCTION("""COMPUTED_VALUE"""),"Llegar a 500 empresas en el 2021 en alianza entre IDT y FONTUR (Fondo Nacional de Turismo) para que adquieran el sello/certificación de bioseguridad.")</f>
        <v>Llegar a 500 empresas en el 2021 en alianza entre IDT y FONTUR (Fondo Nacional de Turismo) para que adquieran el sello/certificación de bioseguridad.</v>
      </c>
      <c r="G1884" s="25" t="str">
        <f ca="1">IFERROR(__xludf.DUMMYFUNCTION("""COMPUTED_VALUE"""),"99. Distrito")</f>
        <v>99. Distrito</v>
      </c>
      <c r="H1884" s="55">
        <f ca="1">IFERROR(__xludf.DUMMYFUNCTION("""COMPUTED_VALUE"""),44269)</f>
        <v>44269</v>
      </c>
      <c r="I1884" s="25"/>
      <c r="J1884" s="55" t="str">
        <f ca="1">IFERROR(__xludf.DUMMYFUNCTION("""COMPUTED_VALUE"""),"Alta")</f>
        <v>Alta</v>
      </c>
      <c r="K1884" s="25">
        <f ca="1">IFERROR(__xludf.DUMMYFUNCTION("""COMPUTED_VALUE"""),30)</f>
        <v>30</v>
      </c>
      <c r="L1884" s="62">
        <f ca="1">IFERROR(__xludf.DUMMYFUNCTION("""COMPUTED_VALUE"""),44463)</f>
        <v>44463</v>
      </c>
      <c r="M1884" s="25" t="str">
        <f ca="1">IFERROR(__xludf.DUMMYFUNCTION("""COMPUTED_VALUE"""),"En las fases 1 y 2: 443 empresas inscritas en plataforma, 166 empresas finalizaron formación y asistencia técnica, 158 empresas con plan de acción Formulado. Fase 3: se abrió convocatoria a través de FONTUR el 15 de marzo, a 23 de marzo van 30 inscritos a"&amp;"l proceso de certificación (420 cupos disponibles). A la fecha se tienen 167 empresas. Por parte del IDT se han acompañado a los prestadores con actualización de protocolos y oferta institucional del IDT, acompañamiento en formalización y calidad turístic"&amp;"a. Actualmente se encuentra en jurídica el proceso de firma de un otro si, para ampliación de las subcategorías en la convocatoria.  Con corte a 12 de julio de 2021, se tienen incorporadas 165 empresas que se encuentran en proceso de auditoría para la cer"&amp;"tificación del Sello de Bioseguridad.
Por parte del IDT, se ha implementado una estrategia de comunicaciones y capacitaciones en las localidades para lograr que más empresas se inscriban en el proceso. Además, se viene realizando asesoría y acompañamiento"&amp;" a las empresas para atender el proceso de certificación y tener actualizados los protocolos de bioseguridad de acuerdo a la nueva regulación.                                                                                                Actualmente se ha"&amp;" avanzado en el número de empresas incorporadas para un total de 232 empresas y contamos con 7 empresas que han recibido su certificado que les avala la obtención del Sello Check in certificado.")</f>
        <v>En las fases 1 y 2: 443 empresas inscritas en plataforma, 166 empresas finalizaron formación y asistencia técnica, 158 empresas con plan de acción Formulado. Fase 3: se abrió convocatoria a través de FONTUR el 15 de marzo, a 23 de marzo van 30 inscritos al proceso de certificación (420 cupos disponibles). A la fecha se tienen 167 empresas. Por parte del IDT se han acompañado a los prestadores con actualización de protocolos y oferta institucional del IDT, acompañamiento en formalización y calidad turística. Actualmente se encuentra en jurídica el proceso de firma de un otro si, para ampliación de las subcategorías en la convocatoria.  Con corte a 12 de julio de 2021, se tienen incorporadas 165 empresas que se encuentran en proceso de auditoría para la certificación del Sello de Bioseguridad.
Por parte del IDT, se ha implementado una estrategia de comunicaciones y capacitaciones en las localidades para lograr que más empresas se inscriban en el proceso. Además, se viene realizando asesoría y acompañamiento a las empresas para atender el proceso de certificación y tener actualizados los protocolos de bioseguridad de acuerdo a la nueva regulación.                                                                                                Actualmente se ha avanzado en el número de empresas incorporadas para un total de 232 empresas y contamos con 7 empresas que han recibido su certificado que les avala la obtención del Sello Check in certificado.</v>
      </c>
      <c r="N1884" s="55">
        <f ca="1">IFERROR(__xludf.DUMMYFUNCTION("""COMPUTED_VALUE"""),44463)</f>
        <v>44463</v>
      </c>
      <c r="O1884" s="25" t="str">
        <f t="shared" ca="1" si="0"/>
        <v>Instituto Distrital de Turismo</v>
      </c>
      <c r="P1884" s="25" t="str">
        <f t="shared" si="2"/>
        <v/>
      </c>
      <c r="Q1884" s="25" t="str">
        <f ca="1">IFERROR(__xludf.DUMMYFUNCTION("""COMPUTED_VALUE"""),"Corto plazo")</f>
        <v>Corto plazo</v>
      </c>
      <c r="R1884" s="25"/>
      <c r="S1884" s="55"/>
      <c r="T1884" s="56"/>
      <c r="U1884" s="25"/>
      <c r="V1884" s="25"/>
      <c r="W1884" s="25"/>
      <c r="X1884" s="25"/>
      <c r="Y1884" s="25"/>
      <c r="Z1884" s="25"/>
    </row>
    <row r="1885" spans="1:26" ht="52.5" customHeight="1" x14ac:dyDescent="0.25">
      <c r="A1885" s="25" t="str">
        <f ca="1">IFERROR(__xludf.DUMMYFUNCTION("""COMPUTED_VALUE"""),"Desar83")</f>
        <v>Desar83</v>
      </c>
      <c r="B1885" s="25" t="str">
        <f ca="1">IFERROR(__xludf.DUMMYFUNCTION("""COMPUTED_VALUE"""),"Despachando: FENALCO")</f>
        <v>Despachando: FENALCO</v>
      </c>
      <c r="C1885" s="55">
        <f ca="1">IFERROR(__xludf.DUMMYFUNCTION("""COMPUTED_VALUE"""),44232)</f>
        <v>44232</v>
      </c>
      <c r="D1885" s="25" t="str">
        <f ca="1">IFERROR(__xludf.DUMMYFUNCTION("""COMPUTED_VALUE"""),"Desarrollo_Económico")</f>
        <v>Desarrollo_Económico</v>
      </c>
      <c r="E1885" s="25" t="str">
        <f ca="1">IFERROR(__xludf.DUMMYFUNCTION("""COMPUTED_VALUE"""),"Secretaría Distrital de Desarrollo Económico")</f>
        <v>Secretaría Distrital de Desarrollo Económico</v>
      </c>
      <c r="F1885" s="25" t="str">
        <f ca="1">IFERROR(__xludf.DUMMYFUNCTION("""COMPUTED_VALUE"""),"Realizar propuesta modelo de Bogotá Cielo Abierto 2.0 (logística y vigilancia, señalización y mantenimiento físico) que mantenga, perdure en el tiempo y se auto financie.")</f>
        <v>Realizar propuesta modelo de Bogotá Cielo Abierto 2.0 (logística y vigilancia, señalización y mantenimiento físico) que mantenga, perdure en el tiempo y se auto financie.</v>
      </c>
      <c r="G1885" s="25" t="str">
        <f ca="1">IFERROR(__xludf.DUMMYFUNCTION("""COMPUTED_VALUE"""),"99. Distrito")</f>
        <v>99. Distrito</v>
      </c>
      <c r="H1885" s="55">
        <f ca="1">IFERROR(__xludf.DUMMYFUNCTION("""COMPUTED_VALUE"""),44262)</f>
        <v>44262</v>
      </c>
      <c r="I1885" s="25"/>
      <c r="J1885" s="55" t="str">
        <f ca="1">IFERROR(__xludf.DUMMYFUNCTION("""COMPUTED_VALUE"""),"Alta")</f>
        <v>Alta</v>
      </c>
      <c r="K1885" s="25">
        <f ca="1">IFERROR(__xludf.DUMMYFUNCTION("""COMPUTED_VALUE"""),30)</f>
        <v>30</v>
      </c>
      <c r="L1885" s="62">
        <f ca="1">IFERROR(__xludf.DUMMYFUNCTION("""COMPUTED_VALUE"""),44425)</f>
        <v>44425</v>
      </c>
      <c r="M1885" s="25" t="str">
        <f ca="1">IFERROR(__xludf.DUMMYFUNCTION("""COMPUTED_VALUE"""),"La Secretaría Distrital de Desarrollo Económico, ha participado en una serie de reuniones con otras entidades del Distrito, cómo: Secretaría Privada, DADEP e IDPAC, con el fin de acordar en una mesa interinstitucional, el mejor esquema de cobro y/o compen"&amp;"saciones por el uso del espacio público, para que sea equitativo, sostenible, rentable y útil para la ciudad.
 De igual manera, se está trabajando con IPES, para que las zonas BACA 2.0, además sean incluyentes, y vinculen a los Vendedores Informales, como"&amp;" actores fundamentales del proceso. 
 Este modelo debe estar contenido, en una resolución, que también se está trabajando en la mesa interinstitucional. 
 La propuesta se debe presentar en la siguiente reunión de la Alcaldesa y la Secretaría, con la Junta"&amp;" de FENALCO BOGOTÁ. 
 Se extendieron las resoluciones que permiten el funcionamiento al programa BECA hasta el 30 de mayo. Actualmente, SDDE y Dadep, están trabajando en la revisión y modelo de aprovechamiento económico.
 Piloto de datos en Usaquén y "&amp;"Kennedy, con ETB y Appen.")</f>
        <v>La Secretaría Distrital de Desarrollo Económico, ha participado en una serie de reuniones con otras entidades del Distrito, cómo: Secretaría Privada, DADEP e IDPAC, con el fin de acordar en una mesa interinstitucional, el mejor esquema de cobro y/o compensaciones por el uso del espacio público, para que sea equitativo, sostenible, rentable y útil para la ciudad.
 De igual manera, se está trabajando con IPES, para que las zonas BACA 2.0, además sean incluyentes, y vinculen a los Vendedores Informales, como actores fundamentales del proceso. 
 Este modelo debe estar contenido, en una resolución, que también se está trabajando en la mesa interinstitucional. 
 La propuesta se debe presentar en la siguiente reunión de la Alcaldesa y la Secretaría, con la Junta de FENALCO BOGOTÁ. 
 Se extendieron las resoluciones que permiten el funcionamiento al programa BECA hasta el 30 de mayo. Actualmente, SDDE y Dadep, están trabajando en la revisión y modelo de aprovechamiento económico.
 Piloto de datos en Usaquén y Kennedy, con ETB y Appen.</v>
      </c>
      <c r="N1885" s="55">
        <f ca="1">IFERROR(__xludf.DUMMYFUNCTION("""COMPUTED_VALUE"""),44425)</f>
        <v>44425</v>
      </c>
      <c r="O1885" s="25" t="str">
        <f t="shared" ca="1" si="0"/>
        <v>Secretaría Distrital de Desarrollo Económico</v>
      </c>
      <c r="P1885" s="25" t="str">
        <f t="shared" si="2"/>
        <v/>
      </c>
      <c r="Q1885" s="25" t="str">
        <f ca="1">IFERROR(__xludf.DUMMYFUNCTION("""COMPUTED_VALUE"""),"Corto plazo")</f>
        <v>Corto plazo</v>
      </c>
      <c r="R1885" s="25"/>
      <c r="S1885" s="55"/>
      <c r="T1885" s="56"/>
      <c r="U1885" s="25"/>
      <c r="V1885" s="25"/>
      <c r="W1885" s="25"/>
      <c r="X1885" s="25"/>
      <c r="Y1885" s="25"/>
      <c r="Z1885" s="25"/>
    </row>
    <row r="1886" spans="1:26" ht="52.5" customHeight="1" x14ac:dyDescent="0.25">
      <c r="A1886" s="25" t="str">
        <f ca="1">IFERROR(__xludf.DUMMYFUNCTION("""COMPUTED_VALUE"""),"Desar84")</f>
        <v>Desar84</v>
      </c>
      <c r="B1886" s="25" t="str">
        <f ca="1">IFERROR(__xludf.DUMMYFUNCTION("""COMPUTED_VALUE"""),"Despachando: FENALCO")</f>
        <v>Despachando: FENALCO</v>
      </c>
      <c r="C1886" s="55">
        <f ca="1">IFERROR(__xludf.DUMMYFUNCTION("""COMPUTED_VALUE"""),44232)</f>
        <v>44232</v>
      </c>
      <c r="D1886" s="25" t="str">
        <f ca="1">IFERROR(__xludf.DUMMYFUNCTION("""COMPUTED_VALUE"""),"Desarrollo_Económico")</f>
        <v>Desarrollo_Económico</v>
      </c>
      <c r="E1886" s="25" t="str">
        <f ca="1">IFERROR(__xludf.DUMMYFUNCTION("""COMPUTED_VALUE"""),"Secretaría Distrital de Desarrollo Económico")</f>
        <v>Secretaría Distrital de Desarrollo Económico</v>
      </c>
      <c r="F1886" s="25" t="str">
        <f ca="1">IFERROR(__xludf.DUMMYFUNCTION("""COMPUTED_VALUE"""),"Analizar posibilidad de reemplazar madrugón por San Victorino 24 horas")</f>
        <v>Analizar posibilidad de reemplazar madrugón por San Victorino 24 horas</v>
      </c>
      <c r="G1886" s="25" t="str">
        <f ca="1">IFERROR(__xludf.DUMMYFUNCTION("""COMPUTED_VALUE"""),"99. Distrito")</f>
        <v>99. Distrito</v>
      </c>
      <c r="H1886" s="55">
        <f ca="1">IFERROR(__xludf.DUMMYFUNCTION("""COMPUTED_VALUE"""),44262)</f>
        <v>44262</v>
      </c>
      <c r="I1886" s="25"/>
      <c r="J1886" s="55" t="str">
        <f ca="1">IFERROR(__xludf.DUMMYFUNCTION("""COMPUTED_VALUE"""),"Alta")</f>
        <v>Alta</v>
      </c>
      <c r="K1886" s="25">
        <f ca="1">IFERROR(__xludf.DUMMYFUNCTION("""COMPUTED_VALUE"""),30)</f>
        <v>30</v>
      </c>
      <c r="L1886" s="62">
        <f ca="1">IFERROR(__xludf.DUMMYFUNCTION("""COMPUTED_VALUE"""),44425)</f>
        <v>44425</v>
      </c>
      <c r="M1886" s="25" t="str">
        <f ca="1">IFERROR(__xludf.DUMMYFUNCTION("""COMPUTED_VALUE"""),"Después de realizar un análisis y conforme a lo que se ha venido acordando en el marco de la Mesa de Reactivación Económica y los responsables de la estrategia Bogotá a Cielo Abierto, se estableció que -desde estas instancias- se diseñaría y ofrecería el "&amp;"portafolio de servicios de fortalecimiento y reactivación económica focalizado a esta zona de la ciudad, lo que generó que desde la estrategia de Bogotá Productiva 24 Horas, se priorizaron otras zonas de la ciudad. Por tanto, no se incluyó la zona de San "&amp;"Victorino, dentro de las zonas de implementación del programa para 2021.")</f>
        <v>Después de realizar un análisis y conforme a lo que se ha venido acordando en el marco de la Mesa de Reactivación Económica y los responsables de la estrategia Bogotá a Cielo Abierto, se estableció que -desde estas instancias- se diseñaría y ofrecería el portafolio de servicios de fortalecimiento y reactivación económica focalizado a esta zona de la ciudad, lo que generó que desde la estrategia de Bogotá Productiva 24 Horas, se priorizaron otras zonas de la ciudad. Por tanto, no se incluyó la zona de San Victorino, dentro de las zonas de implementación del programa para 2021.</v>
      </c>
      <c r="N1886" s="55">
        <f ca="1">IFERROR(__xludf.DUMMYFUNCTION("""COMPUTED_VALUE"""),44425)</f>
        <v>44425</v>
      </c>
      <c r="O1886" s="25" t="str">
        <f t="shared" ca="1" si="0"/>
        <v>Secretaría Distrital de Desarrollo Económico</v>
      </c>
      <c r="P1886" s="25" t="str">
        <f t="shared" si="2"/>
        <v/>
      </c>
      <c r="Q1886" s="25" t="str">
        <f ca="1">IFERROR(__xludf.DUMMYFUNCTION("""COMPUTED_VALUE"""),"Corto plazo")</f>
        <v>Corto plazo</v>
      </c>
      <c r="R1886" s="25"/>
      <c r="S1886" s="55"/>
      <c r="T1886" s="56"/>
      <c r="U1886" s="25"/>
      <c r="V1886" s="25"/>
      <c r="W1886" s="25"/>
      <c r="X1886" s="25"/>
      <c r="Y1886" s="25"/>
      <c r="Z1886" s="25"/>
    </row>
    <row r="1887" spans="1:26" ht="52.5" customHeight="1" x14ac:dyDescent="0.25">
      <c r="A1887" s="25" t="str">
        <f ca="1">IFERROR(__xludf.DUMMYFUNCTION("""COMPUTED_VALUE"""),"Desar85")</f>
        <v>Desar85</v>
      </c>
      <c r="B1887" s="25" t="str">
        <f ca="1">IFERROR(__xludf.DUMMYFUNCTION("""COMPUTED_VALUE"""),"Despachando: FENALCO")</f>
        <v>Despachando: FENALCO</v>
      </c>
      <c r="C1887" s="55">
        <f ca="1">IFERROR(__xludf.DUMMYFUNCTION("""COMPUTED_VALUE"""),44232)</f>
        <v>44232</v>
      </c>
      <c r="D1887" s="25" t="str">
        <f ca="1">IFERROR(__xludf.DUMMYFUNCTION("""COMPUTED_VALUE"""),"Desarrollo_Económico")</f>
        <v>Desarrollo_Económico</v>
      </c>
      <c r="E1887" s="25" t="str">
        <f ca="1">IFERROR(__xludf.DUMMYFUNCTION("""COMPUTED_VALUE"""),"Secretaría Distrital de Desarrollo Económico")</f>
        <v>Secretaría Distrital de Desarrollo Económico</v>
      </c>
      <c r="F1887" s="25" t="str">
        <f ca="1">IFERROR(__xludf.DUMMYFUNCTION("""COMPUTED_VALUE"""),"Invitar a Fenalco Bogotá a Consejo de Seguridad sobre robos de bici y contrabando")</f>
        <v>Invitar a Fenalco Bogotá a Consejo de Seguridad sobre robos de bici y contrabando</v>
      </c>
      <c r="G1887" s="25" t="str">
        <f ca="1">IFERROR(__xludf.DUMMYFUNCTION("""COMPUTED_VALUE"""),"99. Distrito")</f>
        <v>99. Distrito</v>
      </c>
      <c r="H1887" s="55">
        <f ca="1">IFERROR(__xludf.DUMMYFUNCTION("""COMPUTED_VALUE"""),44262)</f>
        <v>44262</v>
      </c>
      <c r="I1887" s="25"/>
      <c r="J1887" s="55" t="str">
        <f ca="1">IFERROR(__xludf.DUMMYFUNCTION("""COMPUTED_VALUE"""),"Alta")</f>
        <v>Alta</v>
      </c>
      <c r="K1887" s="25">
        <f ca="1">IFERROR(__xludf.DUMMYFUNCTION("""COMPUTED_VALUE"""),30)</f>
        <v>30</v>
      </c>
      <c r="L1887" s="62">
        <f ca="1">IFERROR(__xludf.DUMMYFUNCTION("""COMPUTED_VALUE"""),44425)</f>
        <v>44425</v>
      </c>
      <c r="M1887" s="25" t="str">
        <f ca="1">IFERROR(__xludf.DUMMYFUNCTION("""COMPUTED_VALUE"""),"Fenalco asistió al consejo de seguridad del 16 de febrero de 2020.
 Compromiso conjunto para marcación y registro de las bicis en el punto de venta")</f>
        <v>Fenalco asistió al consejo de seguridad del 16 de febrero de 2020.
 Compromiso conjunto para marcación y registro de las bicis en el punto de venta</v>
      </c>
      <c r="N1887" s="55">
        <f ca="1">IFERROR(__xludf.DUMMYFUNCTION("""COMPUTED_VALUE"""),44425)</f>
        <v>44425</v>
      </c>
      <c r="O1887" s="25" t="str">
        <f t="shared" ca="1" si="0"/>
        <v>Secretaría Distrital de Desarrollo Económico</v>
      </c>
      <c r="P1887" s="25" t="str">
        <f t="shared" si="2"/>
        <v/>
      </c>
      <c r="Q1887" s="25" t="str">
        <f ca="1">IFERROR(__xludf.DUMMYFUNCTION("""COMPUTED_VALUE"""),"Corto plazo")</f>
        <v>Corto plazo</v>
      </c>
      <c r="R1887" s="25"/>
      <c r="S1887" s="55"/>
      <c r="T1887" s="56"/>
      <c r="U1887" s="25"/>
      <c r="V1887" s="25"/>
      <c r="W1887" s="25"/>
      <c r="X1887" s="25"/>
      <c r="Y1887" s="25"/>
      <c r="Z1887" s="25"/>
    </row>
    <row r="1888" spans="1:26" ht="52.5" customHeight="1" x14ac:dyDescent="0.25">
      <c r="A1888" s="25" t="str">
        <f ca="1">IFERROR(__xludf.DUMMYFUNCTION("""COMPUTED_VALUE"""),"Desar86")</f>
        <v>Desar86</v>
      </c>
      <c r="B1888" s="25" t="str">
        <f ca="1">IFERROR(__xludf.DUMMYFUNCTION("""COMPUTED_VALUE"""),"Reunión EMRE Distrital ")</f>
        <v xml:space="preserve">Reunión EMRE Distrital </v>
      </c>
      <c r="C1888" s="55">
        <f ca="1">IFERROR(__xludf.DUMMYFUNCTION("""COMPUTED_VALUE"""),44223)</f>
        <v>44223</v>
      </c>
      <c r="D1888" s="25" t="str">
        <f ca="1">IFERROR(__xludf.DUMMYFUNCTION("""COMPUTED_VALUE"""),"Desarrollo_Económico")</f>
        <v>Desarrollo_Económico</v>
      </c>
      <c r="E1888" s="25" t="str">
        <f ca="1">IFERROR(__xludf.DUMMYFUNCTION("""COMPUTED_VALUE"""),"Secretaría Distrital de Desarrollo Económico")</f>
        <v>Secretaría Distrital de Desarrollo Económico</v>
      </c>
      <c r="F1888" s="25" t="str">
        <f ca="1">IFERROR(__xludf.DUMMYFUNCTION("""COMPUTED_VALUE"""),"Contratar o desarrollar (in house) estudio sobre destrucción de empresas durante la pandemia (cuáles, tipo de personas, cuáles estaban produciendo, en qué sectores de la economía, etc)")</f>
        <v>Contratar o desarrollar (in house) estudio sobre destrucción de empresas durante la pandemia (cuáles, tipo de personas, cuáles estaban produciendo, en qué sectores de la economía, etc)</v>
      </c>
      <c r="G1888" s="25" t="str">
        <f ca="1">IFERROR(__xludf.DUMMYFUNCTION("""COMPUTED_VALUE"""),"99. Distrito")</f>
        <v>99. Distrito</v>
      </c>
      <c r="H1888" s="55">
        <f ca="1">IFERROR(__xludf.DUMMYFUNCTION("""COMPUTED_VALUE"""),44253)</f>
        <v>44253</v>
      </c>
      <c r="I1888" s="25"/>
      <c r="J1888" s="55" t="str">
        <f ca="1">IFERROR(__xludf.DUMMYFUNCTION("""COMPUTED_VALUE"""),"Alta")</f>
        <v>Alta</v>
      </c>
      <c r="K1888" s="25">
        <f ca="1">IFERROR(__xludf.DUMMYFUNCTION("""COMPUTED_VALUE"""),30)</f>
        <v>30</v>
      </c>
      <c r="L1888" s="62">
        <f ca="1">IFERROR(__xludf.DUMMYFUNCTION("""COMPUTED_VALUE"""),44463)</f>
        <v>44463</v>
      </c>
      <c r="M1888" s="64" t="str">
        <f ca="1">IFERROR(__xludf.DUMMYFUNCTION("""COMPUTED_VALUE"""),"Se realizó análisis de cifras de empresas con base en información de la CCB,  el cual fue incluido como un apartado en el libro ¿Cómo le fue a la economía bogotana? 2020, particularmente en el Primer Capítulo, Subcapítulo 2  Bogotá en el Contexto Global. "&amp;"El libro se publica en la página web del Observatorio https://observatorio.desarrolloeconomico.gov.co/")</f>
        <v>Se realizó análisis de cifras de empresas con base en información de la CCB,  el cual fue incluido como un apartado en el libro ¿Cómo le fue a la economía bogotana? 2020, particularmente en el Primer Capítulo, Subcapítulo 2  Bogotá en el Contexto Global. El libro se publica en la página web del Observatorio https://observatorio.desarrolloeconomico.gov.co/</v>
      </c>
      <c r="N1888" s="55">
        <f ca="1">IFERROR(__xludf.DUMMYFUNCTION("""COMPUTED_VALUE"""),44463)</f>
        <v>44463</v>
      </c>
      <c r="O1888" s="25" t="str">
        <f t="shared" ca="1" si="0"/>
        <v>Secretaría Distrital de Desarrollo Económico</v>
      </c>
      <c r="P1888" s="25" t="str">
        <f t="shared" si="2"/>
        <v/>
      </c>
      <c r="Q1888" s="25" t="str">
        <f ca="1">IFERROR(__xludf.DUMMYFUNCTION("""COMPUTED_VALUE"""),"Corto plazo")</f>
        <v>Corto plazo</v>
      </c>
      <c r="R1888" s="25"/>
      <c r="S1888" s="55"/>
      <c r="T1888" s="56"/>
      <c r="U1888" s="25"/>
      <c r="V1888" s="25"/>
      <c r="W1888" s="25"/>
      <c r="X1888" s="25"/>
      <c r="Y1888" s="25"/>
      <c r="Z1888" s="25"/>
    </row>
    <row r="1889" spans="1:26" ht="52.5" customHeight="1" x14ac:dyDescent="0.25">
      <c r="A1889" s="25" t="str">
        <f ca="1">IFERROR(__xludf.DUMMYFUNCTION("""COMPUTED_VALUE"""),"Desar87")</f>
        <v>Desar87</v>
      </c>
      <c r="B1889" s="25" t="str">
        <f ca="1">IFERROR(__xludf.DUMMYFUNCTION("""COMPUTED_VALUE"""),"Despachando: Secretaría distrital de desarrollo económico")</f>
        <v>Despachando: Secretaría distrital de desarrollo económico</v>
      </c>
      <c r="C1889" s="55">
        <f ca="1">IFERROR(__xludf.DUMMYFUNCTION("""COMPUTED_VALUE"""),44141)</f>
        <v>44141</v>
      </c>
      <c r="D1889" s="25" t="str">
        <f ca="1">IFERROR(__xludf.DUMMYFUNCTION("""COMPUTED_VALUE"""),"Desarrollo_Económico")</f>
        <v>Desarrollo_Económico</v>
      </c>
      <c r="E1889" s="25" t="str">
        <f ca="1">IFERROR(__xludf.DUMMYFUNCTION("""COMPUTED_VALUE"""),"Secretaría Distrital de Desarrollo Económico")</f>
        <v>Secretaría Distrital de Desarrollo Económico</v>
      </c>
      <c r="F1889" s="25" t="str">
        <f ca="1">IFERROR(__xludf.DUMMYFUNCTION("""COMPUTED_VALUE"""),"Coordinar con la UAESP para el asocio y compra de máquinas para las bodegas de reciclaje.")</f>
        <v>Coordinar con la UAESP para el asocio y compra de máquinas para las bodegas de reciclaje.</v>
      </c>
      <c r="G1889" s="25" t="str">
        <f ca="1">IFERROR(__xludf.DUMMYFUNCTION("""COMPUTED_VALUE"""),"99. Distrito")</f>
        <v>99. Distrito</v>
      </c>
      <c r="H1889" s="55">
        <f ca="1">IFERROR(__xludf.DUMMYFUNCTION("""COMPUTED_VALUE"""),44171)</f>
        <v>44171</v>
      </c>
      <c r="I1889" s="25"/>
      <c r="J1889" s="55" t="str">
        <f ca="1">IFERROR(__xludf.DUMMYFUNCTION("""COMPUTED_VALUE"""),"Alta")</f>
        <v>Alta</v>
      </c>
      <c r="K1889" s="25">
        <f ca="1">IFERROR(__xludf.DUMMYFUNCTION("""COMPUTED_VALUE"""),30)</f>
        <v>30</v>
      </c>
      <c r="L1889" s="62">
        <f ca="1">IFERROR(__xludf.DUMMYFUNCTION("""COMPUTED_VALUE"""),44425)</f>
        <v>44425</v>
      </c>
      <c r="M1889" s="25" t="str">
        <f ca="1">IFERROR(__xludf.DUMMYFUNCTION("""COMPUTED_VALUE"""),"Se envió listado de los lotes o predios del IPES, que tendrían posibilidades de ser utilizados como Estaciones de Clasificación (ECAS) según los criterios expuestos por UAESP. Estamos a la espera de validación por parte de Secretaría de Hábitat. 
 Se ha"&amp;" nombrado al Gerente de Reactivación Económica de la SDDE para liderar, junto con el Subdirector de Aprovechamiento de la UAESP, el proyecto para ampliar la capacidad instalada y de gestión, de las diferentes asociaciones de recicladores de la ciudad. Est"&amp;"e proyecto, contempla inclusión y/o fortalecimiento de fuentes de financiación para la adquisición de maquinaria o capital de trabajo. Formación en gestión e innovación. Así mismo, desde el área de Economía Circular de la SDDE, se asesorará a estas asocia"&amp;"ciones, con el fin de mejorar el aprovechamiento productivo de la actividad del reciclaje e incrementar el rendimiento de sus unidades económicas.
")</f>
        <v xml:space="preserve">Se envió listado de los lotes o predios del IPES, que tendrían posibilidades de ser utilizados como Estaciones de Clasificación (ECAS) según los criterios expuestos por UAESP. Estamos a la espera de validación por parte de Secretaría de Hábitat. 
 Se ha nombrado al Gerente de Reactivación Económica de la SDDE para liderar, junto con el Subdirector de Aprovechamiento de la UAESP, el proyecto para ampliar la capacidad instalada y de gestión, de las diferentes asociaciones de recicladores de la ciudad. Este proyecto, contempla inclusión y/o fortalecimiento de fuentes de financiación para la adquisición de maquinaria o capital de trabajo. Formación en gestión e innovación. Así mismo, desde el área de Economía Circular de la SDDE, se asesorará a estas asociaciones, con el fin de mejorar el aprovechamiento productivo de la actividad del reciclaje e incrementar el rendimiento de sus unidades económicas.
</v>
      </c>
      <c r="N1889" s="55">
        <f ca="1">IFERROR(__xludf.DUMMYFUNCTION("""COMPUTED_VALUE"""),44425)</f>
        <v>44425</v>
      </c>
      <c r="O1889" s="25" t="str">
        <f t="shared" ca="1" si="0"/>
        <v>Secretaría Distrital de Desarrollo Económico</v>
      </c>
      <c r="P1889" s="25" t="str">
        <f t="shared" si="2"/>
        <v/>
      </c>
      <c r="Q1889" s="25" t="str">
        <f ca="1">IFERROR(__xludf.DUMMYFUNCTION("""COMPUTED_VALUE"""),"Corto plazo")</f>
        <v>Corto plazo</v>
      </c>
      <c r="R1889" s="25"/>
      <c r="S1889" s="55"/>
      <c r="T1889" s="56"/>
      <c r="U1889" s="25"/>
      <c r="V1889" s="25"/>
      <c r="W1889" s="25"/>
      <c r="X1889" s="25"/>
      <c r="Y1889" s="25"/>
      <c r="Z1889" s="25"/>
    </row>
    <row r="1890" spans="1:26" ht="52.5" customHeight="1" x14ac:dyDescent="0.25">
      <c r="A1890" s="25" t="str">
        <f ca="1">IFERROR(__xludf.DUMMYFUNCTION("""COMPUTED_VALUE"""),"Desar88")</f>
        <v>Desar88</v>
      </c>
      <c r="B1890" s="25" t="str">
        <f ca="1">IFERROR(__xludf.DUMMYFUNCTION("""COMPUTED_VALUE"""),"Despachando: Secretaría distrital de desarrollo económico")</f>
        <v>Despachando: Secretaría distrital de desarrollo económico</v>
      </c>
      <c r="C1890" s="55">
        <f ca="1">IFERROR(__xludf.DUMMYFUNCTION("""COMPUTED_VALUE"""),44141)</f>
        <v>44141</v>
      </c>
      <c r="D1890" s="25" t="str">
        <f ca="1">IFERROR(__xludf.DUMMYFUNCTION("""COMPUTED_VALUE"""),"Desarrollo_Económico")</f>
        <v>Desarrollo_Económico</v>
      </c>
      <c r="E1890" s="25" t="str">
        <f ca="1">IFERROR(__xludf.DUMMYFUNCTION("""COMPUTED_VALUE"""),"Secretaría Distrital de Desarrollo Económico")</f>
        <v>Secretaría Distrital de Desarrollo Económico</v>
      </c>
      <c r="F1890" s="25" t="str">
        <f ca="1">IFERROR(__xludf.DUMMYFUNCTION("""COMPUTED_VALUE"""),"Coordinar con las demás entidades del distrito para hacer un concurso de diseño de mobiliario que sea escalable a toda la ciudad (kit mobiliario)")</f>
        <v>Coordinar con las demás entidades del distrito para hacer un concurso de diseño de mobiliario que sea escalable a toda la ciudad (kit mobiliario)</v>
      </c>
      <c r="G1890" s="25" t="str">
        <f ca="1">IFERROR(__xludf.DUMMYFUNCTION("""COMPUTED_VALUE"""),"99. Distrito")</f>
        <v>99. Distrito</v>
      </c>
      <c r="H1890" s="55">
        <f ca="1">IFERROR(__xludf.DUMMYFUNCTION("""COMPUTED_VALUE"""),44171)</f>
        <v>44171</v>
      </c>
      <c r="I1890" s="25"/>
      <c r="J1890" s="55" t="str">
        <f ca="1">IFERROR(__xludf.DUMMYFUNCTION("""COMPUTED_VALUE"""),"Alta")</f>
        <v>Alta</v>
      </c>
      <c r="K1890" s="25">
        <f ca="1">IFERROR(__xludf.DUMMYFUNCTION("""COMPUTED_VALUE"""),30)</f>
        <v>30</v>
      </c>
      <c r="L1890" s="62">
        <f ca="1">IFERROR(__xludf.DUMMYFUNCTION("""COMPUTED_VALUE"""),44425)</f>
        <v>44425</v>
      </c>
      <c r="M1890" s="25" t="str">
        <f ca="1">IFERROR(__xludf.DUMMYFUNCTION("""COMPUTED_VALUE"""),"El reto ""Transmi Transforma"" busca soluciones que permitan elaborar mobiliario e infraestructura basada en la reconversión de material reciclado para portales y estaciones de Transmilenio. En este momento el reto se encuentra abierto y en la plataforma "&amp;"Bogotech Abierta hasta el 31 de enero de 2021, dando cumplimiento a nuestro compromiso. 
 Se está estudiando la posibilidad de ampliar el plazo hasta el 28 de febrero
 https://retos.bogotechabierta.com/retotransmitransforma/
 Se recibieron 3 propues"&amp;"tas a 28 de febrero de 2021. Se constituirá un comité con: un representante de la alta consejería, uno de Connect, uno de Transmilenio, uno del IDU y uno de la Uaesp, para evaluar y calificar las propuestas.")</f>
        <v>El reto "Transmi Transforma" busca soluciones que permitan elaborar mobiliario e infraestructura basada en la reconversión de material reciclado para portales y estaciones de Transmilenio. En este momento el reto se encuentra abierto y en la plataforma Bogotech Abierta hasta el 31 de enero de 2021, dando cumplimiento a nuestro compromiso. 
 Se está estudiando la posibilidad de ampliar el plazo hasta el 28 de febrero
 https://retos.bogotechabierta.com/retotransmitransforma/
 Se recibieron 3 propuestas a 28 de febrero de 2021. Se constituirá un comité con: un representante de la alta consejería, uno de Connect, uno de Transmilenio, uno del IDU y uno de la Uaesp, para evaluar y calificar las propuestas.</v>
      </c>
      <c r="N1890" s="55">
        <f ca="1">IFERROR(__xludf.DUMMYFUNCTION("""COMPUTED_VALUE"""),44425)</f>
        <v>44425</v>
      </c>
      <c r="O1890" s="25" t="str">
        <f t="shared" ca="1" si="0"/>
        <v>Secretaría Distrital de Desarrollo Económico</v>
      </c>
      <c r="P1890" s="25" t="str">
        <f t="shared" si="2"/>
        <v/>
      </c>
      <c r="Q1890" s="25" t="str">
        <f ca="1">IFERROR(__xludf.DUMMYFUNCTION("""COMPUTED_VALUE"""),"Corto plazo")</f>
        <v>Corto plazo</v>
      </c>
      <c r="R1890" s="25"/>
      <c r="S1890" s="55"/>
      <c r="T1890" s="56"/>
      <c r="U1890" s="25"/>
      <c r="V1890" s="25"/>
      <c r="W1890" s="25"/>
      <c r="X1890" s="25"/>
      <c r="Y1890" s="25"/>
      <c r="Z1890" s="25"/>
    </row>
    <row r="1891" spans="1:26" ht="52.5" customHeight="1" x14ac:dyDescent="0.25">
      <c r="A1891" s="25" t="str">
        <f ca="1">IFERROR(__xludf.DUMMYFUNCTION("""COMPUTED_VALUE"""),"Desar89")</f>
        <v>Desar89</v>
      </c>
      <c r="B1891" s="25" t="str">
        <f ca="1">IFERROR(__xludf.DUMMYFUNCTION("""COMPUTED_VALUE"""),"Despachando: Secretaría distrital de desarrollo económico")</f>
        <v>Despachando: Secretaría distrital de desarrollo económico</v>
      </c>
      <c r="C1891" s="55">
        <f ca="1">IFERROR(__xludf.DUMMYFUNCTION("""COMPUTED_VALUE"""),44141)</f>
        <v>44141</v>
      </c>
      <c r="D1891" s="25" t="str">
        <f ca="1">IFERROR(__xludf.DUMMYFUNCTION("""COMPUTED_VALUE"""),"Desarrollo_Económico")</f>
        <v>Desarrollo_Económico</v>
      </c>
      <c r="E1891" s="25" t="str">
        <f ca="1">IFERROR(__xludf.DUMMYFUNCTION("""COMPUTED_VALUE"""),"Secretaría Distrital de Desarrollo Económico")</f>
        <v>Secretaría Distrital de Desarrollo Económico</v>
      </c>
      <c r="F1891" s="25" t="str">
        <f ca="1">IFERROR(__xludf.DUMMYFUNCTION("""COMPUTED_VALUE"""),"Organizar un equipo que se encargue de responder las alertas de la ""tropa social"".")</f>
        <v>Organizar un equipo que se encargue de responder las alertas de la "tropa social".</v>
      </c>
      <c r="G1891" s="25" t="str">
        <f ca="1">IFERROR(__xludf.DUMMYFUNCTION("""COMPUTED_VALUE"""),"99. Distrito")</f>
        <v>99. Distrito</v>
      </c>
      <c r="H1891" s="55">
        <f ca="1">IFERROR(__xludf.DUMMYFUNCTION("""COMPUTED_VALUE"""),44171)</f>
        <v>44171</v>
      </c>
      <c r="I1891" s="25"/>
      <c r="J1891" s="55" t="str">
        <f ca="1">IFERROR(__xludf.DUMMYFUNCTION("""COMPUTED_VALUE"""),"Alta")</f>
        <v>Alta</v>
      </c>
      <c r="K1891" s="25">
        <f ca="1">IFERROR(__xludf.DUMMYFUNCTION("""COMPUTED_VALUE"""),30)</f>
        <v>30</v>
      </c>
      <c r="L1891" s="62">
        <f ca="1">IFERROR(__xludf.DUMMYFUNCTION("""COMPUTED_VALUE"""),44425)</f>
        <v>44425</v>
      </c>
      <c r="M1891" s="25" t="str">
        <f ca="1">IFERROR(__xludf.DUMMYFUNCTION("""COMPUTED_VALUE"""),"Equipo organizado por la SDDE.
 En inicio de articulación entre SDDE e Integración Social para avanzar en la construcción de un paquete de desarrollo económico que incluya: 1. Empleabilidad, 2. Emprendimiento y 3. Formalización empresarial. 
 Se creó Bo"&amp;"gotá Te Conecta, Ruta de Emprendimiento y Ruta de Financiación, ha dado respuesta a 4.234 alertas entregadas por parte de la Secretaría de Integración.")</f>
        <v>Equipo organizado por la SDDE.
 En inicio de articulación entre SDDE e Integración Social para avanzar en la construcción de un paquete de desarrollo económico que incluya: 1. Empleabilidad, 2. Emprendimiento y 3. Formalización empresarial. 
 Se creó Bogotá Te Conecta, Ruta de Emprendimiento y Ruta de Financiación, ha dado respuesta a 4.234 alertas entregadas por parte de la Secretaría de Integración.</v>
      </c>
      <c r="N1891" s="55">
        <f ca="1">IFERROR(__xludf.DUMMYFUNCTION("""COMPUTED_VALUE"""),44425)</f>
        <v>44425</v>
      </c>
      <c r="O1891" s="25" t="str">
        <f t="shared" ca="1" si="0"/>
        <v>Secretaría Distrital de Desarrollo Económico</v>
      </c>
      <c r="P1891" s="25" t="str">
        <f t="shared" si="2"/>
        <v/>
      </c>
      <c r="Q1891" s="25" t="str">
        <f ca="1">IFERROR(__xludf.DUMMYFUNCTION("""COMPUTED_VALUE"""),"Corto plazo")</f>
        <v>Corto plazo</v>
      </c>
      <c r="R1891" s="25"/>
      <c r="S1891" s="55"/>
      <c r="T1891" s="56"/>
      <c r="U1891" s="25"/>
      <c r="V1891" s="25"/>
      <c r="W1891" s="25"/>
      <c r="X1891" s="25"/>
      <c r="Y1891" s="25"/>
      <c r="Z1891" s="25"/>
    </row>
    <row r="1892" spans="1:26" ht="52.5" customHeight="1" x14ac:dyDescent="0.25">
      <c r="A1892" s="25" t="str">
        <f ca="1">IFERROR(__xludf.DUMMYFUNCTION("""COMPUTED_VALUE"""),"Desar90")</f>
        <v>Desar90</v>
      </c>
      <c r="B1892" s="25" t="str">
        <f ca="1">IFERROR(__xludf.DUMMYFUNCTION("""COMPUTED_VALUE"""),"Despachando: Secretaría distrital de desarrollo económico")</f>
        <v>Despachando: Secretaría distrital de desarrollo económico</v>
      </c>
      <c r="C1892" s="55">
        <f ca="1">IFERROR(__xludf.DUMMYFUNCTION("""COMPUTED_VALUE"""),44141)</f>
        <v>44141</v>
      </c>
      <c r="D1892" s="25" t="str">
        <f ca="1">IFERROR(__xludf.DUMMYFUNCTION("""COMPUTED_VALUE"""),"Desarrollo_Económico")</f>
        <v>Desarrollo_Económico</v>
      </c>
      <c r="E1892" s="25" t="str">
        <f ca="1">IFERROR(__xludf.DUMMYFUNCTION("""COMPUTED_VALUE"""),"Secretaría Distrital de Desarrollo Económico")</f>
        <v>Secretaría Distrital de Desarrollo Económico</v>
      </c>
      <c r="F1892" s="25" t="str">
        <f ca="1">IFERROR(__xludf.DUMMYFUNCTION("""COMPUTED_VALUE"""),"Organizar un equipo que sea la ""tropa social"" de la SDDE, que vaya a negocios barriales e informales a buscar a los emprendedores a ofrecer la oferta del distrito y el paquete de formalización")</f>
        <v>Organizar un equipo que sea la "tropa social" de la SDDE, que vaya a negocios barriales e informales a buscar a los emprendedores a ofrecer la oferta del distrito y el paquete de formalización</v>
      </c>
      <c r="G1892" s="25" t="str">
        <f ca="1">IFERROR(__xludf.DUMMYFUNCTION("""COMPUTED_VALUE"""),"99. Distrito")</f>
        <v>99. Distrito</v>
      </c>
      <c r="H1892" s="55">
        <f ca="1">IFERROR(__xludf.DUMMYFUNCTION("""COMPUTED_VALUE"""),44171)</f>
        <v>44171</v>
      </c>
      <c r="I1892" s="25"/>
      <c r="J1892" s="55" t="str">
        <f ca="1">IFERROR(__xludf.DUMMYFUNCTION("""COMPUTED_VALUE"""),"Alta")</f>
        <v>Alta</v>
      </c>
      <c r="K1892" s="25">
        <f ca="1">IFERROR(__xludf.DUMMYFUNCTION("""COMPUTED_VALUE"""),30)</f>
        <v>30</v>
      </c>
      <c r="L1892" s="62">
        <f ca="1">IFERROR(__xludf.DUMMYFUNCTION("""COMPUTED_VALUE"""),44425)</f>
        <v>44425</v>
      </c>
      <c r="M1892" s="25" t="str">
        <f ca="1">IFERROR(__xludf.DUMMYFUNCTION("""COMPUTED_VALUE"""),"Se contrataron alrededor de 50 personas que serán capacitadas y lideradas por un asesor del despacho de la entidad. Se han realizado aproximadamente 200mil visitas")</f>
        <v>Se contrataron alrededor de 50 personas que serán capacitadas y lideradas por un asesor del despacho de la entidad. Se han realizado aproximadamente 200mil visitas</v>
      </c>
      <c r="N1892" s="55">
        <f ca="1">IFERROR(__xludf.DUMMYFUNCTION("""COMPUTED_VALUE"""),44425)</f>
        <v>44425</v>
      </c>
      <c r="O1892" s="25" t="str">
        <f t="shared" ca="1" si="0"/>
        <v>Secretaría Distrital de Desarrollo Económico</v>
      </c>
      <c r="P1892" s="25" t="str">
        <f t="shared" si="2"/>
        <v/>
      </c>
      <c r="Q1892" s="25" t="str">
        <f ca="1">IFERROR(__xludf.DUMMYFUNCTION("""COMPUTED_VALUE"""),"Corto plazo")</f>
        <v>Corto plazo</v>
      </c>
      <c r="R1892" s="25"/>
      <c r="S1892" s="55"/>
      <c r="T1892" s="56"/>
      <c r="U1892" s="25"/>
      <c r="V1892" s="25"/>
      <c r="W1892" s="25"/>
      <c r="X1892" s="25"/>
      <c r="Y1892" s="25"/>
      <c r="Z1892" s="25"/>
    </row>
    <row r="1893" spans="1:26" ht="52.5" customHeight="1" x14ac:dyDescent="0.25">
      <c r="A1893" s="25" t="str">
        <f ca="1">IFERROR(__xludf.DUMMYFUNCTION("""COMPUTED_VALUE"""),"Desar91")</f>
        <v>Desar91</v>
      </c>
      <c r="B1893" s="25" t="str">
        <f ca="1">IFERROR(__xludf.DUMMYFUNCTION("""COMPUTED_VALUE"""),"Despachando: Secretaría distrital de desarrollo económico")</f>
        <v>Despachando: Secretaría distrital de desarrollo económico</v>
      </c>
      <c r="C1893" s="55">
        <f ca="1">IFERROR(__xludf.DUMMYFUNCTION("""COMPUTED_VALUE"""),44141)</f>
        <v>44141</v>
      </c>
      <c r="D1893" s="25" t="str">
        <f ca="1">IFERROR(__xludf.DUMMYFUNCTION("""COMPUTED_VALUE"""),"Desarrollo_Económico")</f>
        <v>Desarrollo_Económico</v>
      </c>
      <c r="E1893" s="25" t="str">
        <f ca="1">IFERROR(__xludf.DUMMYFUNCTION("""COMPUTED_VALUE"""),"Secretaría Distrital de Desarrollo Económico")</f>
        <v>Secretaría Distrital de Desarrollo Económico</v>
      </c>
      <c r="F1893" s="25" t="str">
        <f ca="1">IFERROR(__xludf.DUMMYFUNCTION("""COMPUTED_VALUE"""),"Coordinar con seguridad cómo organizar las zonas comerciales (puente aranda, por ejemplo), para reducir el hurto a vehículos allí")</f>
        <v>Coordinar con seguridad cómo organizar las zonas comerciales (puente aranda, por ejemplo), para reducir el hurto a vehículos allí</v>
      </c>
      <c r="G1893" s="25" t="str">
        <f ca="1">IFERROR(__xludf.DUMMYFUNCTION("""COMPUTED_VALUE"""),"99. Distrito")</f>
        <v>99. Distrito</v>
      </c>
      <c r="H1893" s="55">
        <f ca="1">IFERROR(__xludf.DUMMYFUNCTION("""COMPUTED_VALUE"""),44171)</f>
        <v>44171</v>
      </c>
      <c r="I1893" s="25"/>
      <c r="J1893" s="55" t="str">
        <f ca="1">IFERROR(__xludf.DUMMYFUNCTION("""COMPUTED_VALUE"""),"Alta")</f>
        <v>Alta</v>
      </c>
      <c r="K1893" s="25">
        <f ca="1">IFERROR(__xludf.DUMMYFUNCTION("""COMPUTED_VALUE"""),30)</f>
        <v>30</v>
      </c>
      <c r="L1893" s="62">
        <f ca="1">IFERROR(__xludf.DUMMYFUNCTION("""COMPUTED_VALUE"""),44425)</f>
        <v>44425</v>
      </c>
      <c r="M1893" s="25" t="str">
        <f ca="1">IFERROR(__xludf.DUMMYFUNCTION("""COMPUTED_VALUE"""),"Se realizó articulación entre los comerciantes y los CAI, cercanos a las zonas, para el llamado oportuno por cualquier eventualidad. Asimismo, se han generado chat entre los comerciantes que reporta los robos y finalmente, con Vanti se ha articulado ilumi"&amp;"nación de zonas.
 Por otro lado, se está estructurando el decreto Bogotá a Cielo Abierto 2.0 junto con DADEP, en donde se tiene contemplado este tema.")</f>
        <v>Se realizó articulación entre los comerciantes y los CAI, cercanos a las zonas, para el llamado oportuno por cualquier eventualidad. Asimismo, se han generado chat entre los comerciantes que reporta los robos y finalmente, con Vanti se ha articulado iluminación de zonas.
 Por otro lado, se está estructurando el decreto Bogotá a Cielo Abierto 2.0 junto con DADEP, en donde se tiene contemplado este tema.</v>
      </c>
      <c r="N1893" s="55">
        <f ca="1">IFERROR(__xludf.DUMMYFUNCTION("""COMPUTED_VALUE"""),44425)</f>
        <v>44425</v>
      </c>
      <c r="O1893" s="25" t="str">
        <f t="shared" ca="1" si="0"/>
        <v>Secretaría Distrital de Desarrollo Económico</v>
      </c>
      <c r="P1893" s="25" t="str">
        <f t="shared" si="2"/>
        <v/>
      </c>
      <c r="Q1893" s="25" t="str">
        <f ca="1">IFERROR(__xludf.DUMMYFUNCTION("""COMPUTED_VALUE"""),"Corto plazo")</f>
        <v>Corto plazo</v>
      </c>
      <c r="R1893" s="25"/>
      <c r="S1893" s="55"/>
      <c r="T1893" s="56"/>
      <c r="U1893" s="25"/>
      <c r="V1893" s="25"/>
      <c r="W1893" s="25"/>
      <c r="X1893" s="25"/>
      <c r="Y1893" s="25"/>
      <c r="Z1893" s="25"/>
    </row>
    <row r="1894" spans="1:26" ht="52.5" customHeight="1" x14ac:dyDescent="0.25">
      <c r="A1894" s="25" t="str">
        <f ca="1">IFERROR(__xludf.DUMMYFUNCTION("""COMPUTED_VALUE"""),"Desar92")</f>
        <v>Desar92</v>
      </c>
      <c r="B1894" s="25" t="str">
        <f ca="1">IFERROR(__xludf.DUMMYFUNCTION("""COMPUTED_VALUE"""),"Despachando: Secretaría distrital de desarrollo económico")</f>
        <v>Despachando: Secretaría distrital de desarrollo económico</v>
      </c>
      <c r="C1894" s="55">
        <f ca="1">IFERROR(__xludf.DUMMYFUNCTION("""COMPUTED_VALUE"""),44141)</f>
        <v>44141</v>
      </c>
      <c r="D1894" s="25" t="str">
        <f ca="1">IFERROR(__xludf.DUMMYFUNCTION("""COMPUTED_VALUE"""),"Desarrollo_Económico")</f>
        <v>Desarrollo_Económico</v>
      </c>
      <c r="E1894" s="25" t="str">
        <f ca="1">IFERROR(__xludf.DUMMYFUNCTION("""COMPUTED_VALUE"""),"Secretaría Distrital de Desarrollo Económico")</f>
        <v>Secretaría Distrital de Desarrollo Económico</v>
      </c>
      <c r="F1894" s="25" t="str">
        <f ca="1">IFERROR(__xludf.DUMMYFUNCTION("""COMPUTED_VALUE"""),"Coordinar con otras entidades el funcionamiento del corredor logístico calle 13
 Cargue y Descargue")</f>
        <v>Coordinar con otras entidades el funcionamiento del corredor logístico calle 13
 Cargue y Descargue</v>
      </c>
      <c r="G1894" s="25" t="str">
        <f ca="1">IFERROR(__xludf.DUMMYFUNCTION("""COMPUTED_VALUE"""),"99. Distrito")</f>
        <v>99. Distrito</v>
      </c>
      <c r="H1894" s="55">
        <f ca="1">IFERROR(__xludf.DUMMYFUNCTION("""COMPUTED_VALUE"""),44171)</f>
        <v>44171</v>
      </c>
      <c r="I1894" s="25"/>
      <c r="J1894" s="55" t="str">
        <f ca="1">IFERROR(__xludf.DUMMYFUNCTION("""COMPUTED_VALUE"""),"Alta")</f>
        <v>Alta</v>
      </c>
      <c r="K1894" s="25">
        <f ca="1">IFERROR(__xludf.DUMMYFUNCTION("""COMPUTED_VALUE"""),30)</f>
        <v>30</v>
      </c>
      <c r="L1894" s="62">
        <f ca="1">IFERROR(__xludf.DUMMYFUNCTION("""COMPUTED_VALUE"""),44425)</f>
        <v>44425</v>
      </c>
      <c r="M1894" s="25" t="str">
        <f ca="1">IFERROR(__xludf.DUMMYFUNCTION("""COMPUTED_VALUE"""),"El rol que desempeñó la SDDE, consistió en elaborar un concepto técnico a la Resolución de Cargue y Descargue, que fue expedida por la SDM, en agosto de 2021. En lo referente a los pilotos, su implementación, está a cargo -en 100%- de la SDM. Desde la SDD"&amp;"E, se realiza un acompañamiento al seguimiento de los indicadores económicos de la operación de cargue y descargue nocturno, los cuales nos permitirán documentar y articular esta gestión adelantada por la SDM, en el marco de la estrategia Bogotá Productiv"&amp;"a 24 Horas. ")</f>
        <v xml:space="preserve">El rol que desempeñó la SDDE, consistió en elaborar un concepto técnico a la Resolución de Cargue y Descargue, que fue expedida por la SDM, en agosto de 2021. En lo referente a los pilotos, su implementación, está a cargo -en 100%- de la SDM. Desde la SDDE, se realiza un acompañamiento al seguimiento de los indicadores económicos de la operación de cargue y descargue nocturno, los cuales nos permitirán documentar y articular esta gestión adelantada por la SDM, en el marco de la estrategia Bogotá Productiva 24 Horas. </v>
      </c>
      <c r="N1894" s="55">
        <f ca="1">IFERROR(__xludf.DUMMYFUNCTION("""COMPUTED_VALUE"""),44425)</f>
        <v>44425</v>
      </c>
      <c r="O1894" s="25" t="str">
        <f t="shared" ca="1" si="0"/>
        <v>Secretaría Distrital de Desarrollo Económico</v>
      </c>
      <c r="P1894" s="25" t="str">
        <f t="shared" si="2"/>
        <v/>
      </c>
      <c r="Q1894" s="25" t="str">
        <f ca="1">IFERROR(__xludf.DUMMYFUNCTION("""COMPUTED_VALUE"""),"Corto plazo")</f>
        <v>Corto plazo</v>
      </c>
      <c r="R1894" s="25"/>
      <c r="S1894" s="55"/>
      <c r="T1894" s="56"/>
      <c r="U1894" s="25"/>
      <c r="V1894" s="25"/>
      <c r="W1894" s="25"/>
      <c r="X1894" s="25"/>
      <c r="Y1894" s="25"/>
      <c r="Z1894" s="25"/>
    </row>
    <row r="1895" spans="1:26" ht="52.5" customHeight="1" x14ac:dyDescent="0.25">
      <c r="A1895" s="25" t="str">
        <f ca="1">IFERROR(__xludf.DUMMYFUNCTION("""COMPUTED_VALUE"""),"Desar93")</f>
        <v>Desar93</v>
      </c>
      <c r="B1895" s="25" t="str">
        <f ca="1">IFERROR(__xludf.DUMMYFUNCTION("""COMPUTED_VALUE"""),"Consejo Consultivo LGBTI")</f>
        <v>Consejo Consultivo LGBTI</v>
      </c>
      <c r="C1895" s="55">
        <f ca="1">IFERROR(__xludf.DUMMYFUNCTION("""COMPUTED_VALUE"""),44698)</f>
        <v>44698</v>
      </c>
      <c r="D1895" s="25" t="str">
        <f ca="1">IFERROR(__xludf.DUMMYFUNCTION("""COMPUTED_VALUE"""),"Desarrollo_Económico")</f>
        <v>Desarrollo_Económico</v>
      </c>
      <c r="E1895" s="25" t="str">
        <f ca="1">IFERROR(__xludf.DUMMYFUNCTION("""COMPUTED_VALUE"""),"Secretaría Distrital de Desarrollo Económico")</f>
        <v>Secretaría Distrital de Desarrollo Económico</v>
      </c>
      <c r="F1895" s="25" t="str">
        <f ca="1">IFERROR(__xludf.DUMMYFUNCTION("""COMPUTED_VALUE"""),"Definir un número concreto dentro de los principales programas que se ofertan al Consejo Consultivo LGBTI y fijar cupos para población LGBTI con plazos de cumplimiento. 
Programas específicos: 
-        Jóvenes a la U 
-        Becas postmedia 
-        "&amp;"Empleo joven 
-        Bogotá Local 
Tener al menos una meta fija del 1% dirigido a población LGBTI. El 25% de eso dirigido a población trans específicamente. 
")</f>
        <v xml:space="preserve">Definir un número concreto dentro de los principales programas que se ofertan al Consejo Consultivo LGBTI y fijar cupos para población LGBTI con plazos de cumplimiento. 
Programas específicos: 
-        Jóvenes a la U 
-        Becas postmedia 
-        Empleo joven 
-        Bogotá Local 
Tener al menos una meta fija del 1% dirigido a población LGBTI. El 25% de eso dirigido a población trans específicamente. 
</v>
      </c>
      <c r="G1895" s="25" t="str">
        <f ca="1">IFERROR(__xludf.DUMMYFUNCTION("""COMPUTED_VALUE"""),"99. Distrito")</f>
        <v>99. Distrito</v>
      </c>
      <c r="H1895" s="55">
        <f ca="1">IFERROR(__xludf.DUMMYFUNCTION("""COMPUTED_VALUE"""),44910)</f>
        <v>44910</v>
      </c>
      <c r="I1895" s="25"/>
      <c r="J1895" s="55" t="str">
        <f ca="1">IFERROR(__xludf.DUMMYFUNCTION("""COMPUTED_VALUE"""),"Baja")</f>
        <v>Baja</v>
      </c>
      <c r="K1895" s="25">
        <f ca="1">IFERROR(__xludf.DUMMYFUNCTION("""COMPUTED_VALUE"""),212)</f>
        <v>212</v>
      </c>
      <c r="L1895" s="62">
        <f ca="1">IFERROR(__xludf.DUMMYFUNCTION("""COMPUTED_VALUE"""),44898)</f>
        <v>44898</v>
      </c>
      <c r="M1895" s="25" t="str">
        <f ca="1">IFERROR(__xludf.DUMMYFUNCTION("""COMPUTED_VALUE"""),"Se acordó en el Consejo Consultivo LGTBI lo siguiente:
 Personas:
 - Por medio de los programas de empleo, vincular laboralmente a 200 personas.
 - Formar para el empleo a 150 personas.
 Unidades productivas:
 -Fortalecer a 120 unidades productivas de b"&amp;"ase.
 -Fortalecimiento de 100 unidades productivas de alto impacto.
")</f>
        <v xml:space="preserve">Se acordó en el Consejo Consultivo LGTBI lo siguiente:
 Personas:
 - Por medio de los programas de empleo, vincular laboralmente a 200 personas.
 - Formar para el empleo a 150 personas.
 Unidades productivas:
 -Fortalecer a 120 unidades productivas de base.
 -Fortalecimiento de 100 unidades productivas de alto impacto.
</v>
      </c>
      <c r="N1895" s="55">
        <f ca="1">IFERROR(__xludf.DUMMYFUNCTION("""COMPUTED_VALUE"""),44910)</f>
        <v>44910</v>
      </c>
      <c r="O1895" s="25" t="str">
        <f t="shared" ca="1" si="0"/>
        <v>Secretaría Distrital de Desarrollo Económico</v>
      </c>
      <c r="P1895" s="25" t="str">
        <f t="shared" si="2"/>
        <v/>
      </c>
      <c r="Q1895" s="25" t="str">
        <f ca="1">IFERROR(__xludf.DUMMYFUNCTION("""COMPUTED_VALUE"""),"Largo plazo")</f>
        <v>Largo plazo</v>
      </c>
      <c r="R1895" s="25"/>
      <c r="S1895" s="55"/>
      <c r="T1895" s="56"/>
      <c r="U1895" s="25"/>
      <c r="V1895" s="25"/>
      <c r="W1895" s="25"/>
      <c r="X1895" s="25"/>
      <c r="Y1895" s="25"/>
      <c r="Z1895" s="25"/>
    </row>
    <row r="1896" spans="1:26" ht="52.5" customHeight="1" x14ac:dyDescent="0.25">
      <c r="A1896" s="25" t="str">
        <f ca="1">IFERROR(__xludf.DUMMYFUNCTION("""COMPUTED_VALUE"""),"Desar94")</f>
        <v>Desar94</v>
      </c>
      <c r="B1896" s="25" t="str">
        <f ca="1">IFERROR(__xludf.DUMMYFUNCTION("""COMPUTED_VALUE"""),"Consejo Consultivo LGBTI")</f>
        <v>Consejo Consultivo LGBTI</v>
      </c>
      <c r="C1896" s="55">
        <f ca="1">IFERROR(__xludf.DUMMYFUNCTION("""COMPUTED_VALUE"""),44698)</f>
        <v>44698</v>
      </c>
      <c r="D1896" s="25" t="str">
        <f ca="1">IFERROR(__xludf.DUMMYFUNCTION("""COMPUTED_VALUE"""),"Desarrollo_Económico")</f>
        <v>Desarrollo_Económico</v>
      </c>
      <c r="E1896" s="25" t="str">
        <f ca="1">IFERROR(__xludf.DUMMYFUNCTION("""COMPUTED_VALUE"""),"Secretaría Distrital de Desarrollo Económico")</f>
        <v>Secretaría Distrital de Desarrollo Económico</v>
      </c>
      <c r="F1896" s="25" t="str">
        <f ca="1">IFERROR(__xludf.DUMMYFUNCTION("""COMPUTED_VALUE"""),"Tener una persona específica que tenga la tarea de garantizar cumplimiento de metas de población LGBTI en programas de empleabilidad y fortalecimiento. ")</f>
        <v xml:space="preserve">Tener una persona específica que tenga la tarea de garantizar cumplimiento de metas de población LGBTI en programas de empleabilidad y fortalecimiento. </v>
      </c>
      <c r="G1896" s="25" t="str">
        <f ca="1">IFERROR(__xludf.DUMMYFUNCTION("""COMPUTED_VALUE"""),"99. Distrito")</f>
        <v>99. Distrito</v>
      </c>
      <c r="H1896" s="55">
        <f ca="1">IFERROR(__xludf.DUMMYFUNCTION("""COMPUTED_VALUE"""),44728)</f>
        <v>44728</v>
      </c>
      <c r="I1896" s="25"/>
      <c r="J1896" s="55" t="str">
        <f ca="1">IFERROR(__xludf.DUMMYFUNCTION("""COMPUTED_VALUE"""),"Alta")</f>
        <v>Alta</v>
      </c>
      <c r="K1896" s="25">
        <f ca="1">IFERROR(__xludf.DUMMYFUNCTION("""COMPUTED_VALUE"""),30)</f>
        <v>30</v>
      </c>
      <c r="L1896" s="62">
        <f ca="1">IFERROR(__xludf.DUMMYFUNCTION("""COMPUTED_VALUE"""),44718)</f>
        <v>44718</v>
      </c>
      <c r="M1896" s="25" t="str">
        <f ca="1">IFERROR(__xludf.DUMMYFUNCTION("""COMPUTED_VALUE"""),"La SDDE, a través de la Agencia Pública de Empleo del Distrito, robustece su equipo y se destinó para identificar las brechas en materia de empleo que enfrentan esta población y sobre la definición de las acciones necesarias para superarlas de acuerdo con"&amp;" la Ruta de Empleo inclusivo y la estrategia Bogotá te conecta. 
Adicionalmente, desde el equipo de Poblaciones y Territorios, que articula la estrategia misional de la entidad, se ha designado un contratista para el acompañamiento de los espacios distri"&amp;"tales y locales. 
Contacto del contratista: Bryan Barragán Cel: 3134860089")</f>
        <v>La SDDE, a través de la Agencia Pública de Empleo del Distrito, robustece su equipo y se destinó para identificar las brechas en materia de empleo que enfrentan esta población y sobre la definición de las acciones necesarias para superarlas de acuerdo con la Ruta de Empleo inclusivo y la estrategia Bogotá te conecta. 
Adicionalmente, desde el equipo de Poblaciones y Territorios, que articula la estrategia misional de la entidad, se ha designado un contratista para el acompañamiento de los espacios distritales y locales. 
Contacto del contratista: Bryan Barragán Cel: 3134860089</v>
      </c>
      <c r="N1896" s="55">
        <f ca="1">IFERROR(__xludf.DUMMYFUNCTION("""COMPUTED_VALUE"""),44718)</f>
        <v>44718</v>
      </c>
      <c r="O1896" s="25" t="str">
        <f t="shared" ca="1" si="0"/>
        <v>Secretaría Distrital de Desarrollo Económico</v>
      </c>
      <c r="P1896" s="25" t="str">
        <f t="shared" si="2"/>
        <v/>
      </c>
      <c r="Q1896" s="25" t="str">
        <f ca="1">IFERROR(__xludf.DUMMYFUNCTION("""COMPUTED_VALUE"""),"Corto plazo")</f>
        <v>Corto plazo</v>
      </c>
      <c r="R1896" s="25"/>
      <c r="S1896" s="55"/>
      <c r="T1896" s="56"/>
      <c r="U1896" s="25"/>
      <c r="V1896" s="25"/>
      <c r="W1896" s="25"/>
      <c r="X1896" s="25"/>
      <c r="Y1896" s="25"/>
      <c r="Z1896" s="25"/>
    </row>
    <row r="1897" spans="1:26" ht="52.5" customHeight="1" x14ac:dyDescent="0.25">
      <c r="A1897" s="25" t="str">
        <f ca="1">IFERROR(__xludf.DUMMYFUNCTION("""COMPUTED_VALUE"""),"Desar95")</f>
        <v>Desar95</v>
      </c>
      <c r="B1897" s="25" t="str">
        <f ca="1">IFERROR(__xludf.DUMMYFUNCTION("""COMPUTED_VALUE"""),"Presentación resultados de pobreza")</f>
        <v>Presentación resultados de pobreza</v>
      </c>
      <c r="C1897" s="55">
        <f ca="1">IFERROR(__xludf.DUMMYFUNCTION("""COMPUTED_VALUE"""),44707)</f>
        <v>44707</v>
      </c>
      <c r="D1897" s="25" t="str">
        <f ca="1">IFERROR(__xludf.DUMMYFUNCTION("""COMPUTED_VALUE"""),"Desarrollo_Económico")</f>
        <v>Desarrollo_Económico</v>
      </c>
      <c r="E1897" s="25" t="str">
        <f ca="1">IFERROR(__xludf.DUMMYFUNCTION("""COMPUTED_VALUE"""),"Secretaría Distrital de Desarrollo Económico")</f>
        <v>Secretaría Distrital de Desarrollo Económico</v>
      </c>
      <c r="F1897" s="25" t="str">
        <f ca="1">IFERROR(__xludf.DUMMYFUNCTION("""COMPUTED_VALUE"""),"Trabajar con Alfredo Bateman en: 1. dónde enfocar los esfuerzos de reactivación para que aporte en la reducción de la pobreza total. 2. Sentarse con empresarios, sector por sector, para saber que es lo más efectista para ayudarle a los sectores y que gene"&amp;"re reactivación.")</f>
        <v>Trabajar con Alfredo Bateman en: 1. dónde enfocar los esfuerzos de reactivación para que aporte en la reducción de la pobreza total. 2. Sentarse con empresarios, sector por sector, para saber que es lo más efectista para ayudarle a los sectores y que genere reactivación.</v>
      </c>
      <c r="G1897" s="25" t="str">
        <f ca="1">IFERROR(__xludf.DUMMYFUNCTION("""COMPUTED_VALUE"""),"99. Distrito")</f>
        <v>99. Distrito</v>
      </c>
      <c r="H1897" s="55">
        <f ca="1">IFERROR(__xludf.DUMMYFUNCTION("""COMPUTED_VALUE"""),44737)</f>
        <v>44737</v>
      </c>
      <c r="I1897" s="25"/>
      <c r="J1897" s="55" t="str">
        <f ca="1">IFERROR(__xludf.DUMMYFUNCTION("""COMPUTED_VALUE"""),"Alta")</f>
        <v>Alta</v>
      </c>
      <c r="K1897" s="25">
        <f ca="1">IFERROR(__xludf.DUMMYFUNCTION("""COMPUTED_VALUE"""),30)</f>
        <v>30</v>
      </c>
      <c r="L1897" s="62">
        <f ca="1">IFERROR(__xludf.DUMMYFUNCTION("""COMPUTED_VALUE"""),44898)</f>
        <v>44898</v>
      </c>
      <c r="M1897" s="25" t="str">
        <f ca="1">IFERROR(__xludf.DUMMYFUNCTION("""COMPUTED_VALUE"""),"Durante la reunión del 15 de junio 2022 la Secretaría de Planeación presentó cifras de pobreza monetaria y algunos canales para la reducción de la pobreza monetaria en la ciudad. El análisis se centró en identificar retos de recuperación económica, con fo"&amp;"co en los indicadores de empleo de la ciudad. 
 Desde la SDDE se está trabajando en la creación del indicador de empleo para la ruta de Bogotá Trabaja en la iniciativa de Empleo Joven y nuevos programas que incluyan incentivos con enfoque diferencial. E"&amp;"l 17 de junio se reunió la SDP con la SDDE en cabeza del equipo del subdirector de empleo y formación Bernardo Brigard y la SDP para revisar el programa de Empleo Joven como resultado de los compromisos de las reuniones del 26 de mayo y 15 de junio. Inici"&amp;"almente, en el trabajo de articulación sectorial se ha trabajado con las empresas que participan y potenciales participantes en los programas de colocación de empleo. El programa se encuentra en ejecución.
 De otro lado, se han desarrollado sesiones de "&amp;"EMRE privado y reuniones bilaterales con gremios como CCB, Asobares, CCB, Acicam, Alianza In, Fenalco, Asobares, Asopartes, entre otros; en estos espacios se ha socializado y difundido la oferta de la SSDE, y se ha discutido sobre la pertinencia de los pr"&amp;"ogramas para responder a las necesidades de formación y empleo de los gremios. También se encuentran en desarrollo mesas de trabajo con Alianza In y con la CCB para hacer alianzas y articular la oferta a las necesidades de las empresas.")</f>
        <v>Durante la reunión del 15 de junio 2022 la Secretaría de Planeación presentó cifras de pobreza monetaria y algunos canales para la reducción de la pobreza monetaria en la ciudad. El análisis se centró en identificar retos de recuperación económica, con foco en los indicadores de empleo de la ciudad. 
 Desde la SDDE se está trabajando en la creación del indicador de empleo para la ruta de Bogotá Trabaja en la iniciativa de Empleo Joven y nuevos programas que incluyan incentivos con enfoque diferencial. El 17 de junio se reunió la SDP con la SDDE en cabeza del equipo del subdirector de empleo y formación Bernardo Brigard y la SDP para revisar el programa de Empleo Joven como resultado de los compromisos de las reuniones del 26 de mayo y 15 de junio. Inicialmente, en el trabajo de articulación sectorial se ha trabajado con las empresas que participan y potenciales participantes en los programas de colocación de empleo. El programa se encuentra en ejecución.
 De otro lado, se han desarrollado sesiones de EMRE privado y reuniones bilaterales con gremios como CCB, Asobares, CCB, Acicam, Alianza In, Fenalco, Asobares, Asopartes, entre otros; en estos espacios se ha socializado y difundido la oferta de la SSDE, y se ha discutido sobre la pertinencia de los programas para responder a las necesidades de formación y empleo de los gremios. También se encuentran en desarrollo mesas de trabajo con Alianza In y con la CCB para hacer alianzas y articular la oferta a las necesidades de las empresas.</v>
      </c>
      <c r="N1897" s="55">
        <f ca="1">IFERROR(__xludf.DUMMYFUNCTION("""COMPUTED_VALUE"""),44898)</f>
        <v>44898</v>
      </c>
      <c r="O1897" s="25" t="str">
        <f t="shared" ca="1" si="0"/>
        <v>Secretaría Distrital de Desarrollo Económico</v>
      </c>
      <c r="P1897" s="25" t="str">
        <f t="shared" si="2"/>
        <v/>
      </c>
      <c r="Q1897" s="25" t="str">
        <f ca="1">IFERROR(__xludf.DUMMYFUNCTION("""COMPUTED_VALUE"""),"Corto plazo")</f>
        <v>Corto plazo</v>
      </c>
      <c r="R1897" s="25"/>
      <c r="S1897" s="55"/>
      <c r="T1897" s="56"/>
      <c r="U1897" s="25"/>
      <c r="V1897" s="25"/>
      <c r="W1897" s="25"/>
      <c r="X1897" s="25"/>
      <c r="Y1897" s="25"/>
      <c r="Z1897" s="25"/>
    </row>
    <row r="1898" spans="1:26" ht="52.5" customHeight="1" x14ac:dyDescent="0.25">
      <c r="A1898" s="25" t="str">
        <f ca="1">IFERROR(__xludf.DUMMYFUNCTION("""COMPUTED_VALUE"""),"Desar96")</f>
        <v>Desar96</v>
      </c>
      <c r="B1898" s="25" t="str">
        <f ca="1">IFERROR(__xludf.DUMMYFUNCTION("""COMPUTED_VALUE"""),"Presentación resultados de pobreza")</f>
        <v>Presentación resultados de pobreza</v>
      </c>
      <c r="C1898" s="55">
        <f ca="1">IFERROR(__xludf.DUMMYFUNCTION("""COMPUTED_VALUE"""),44707)</f>
        <v>44707</v>
      </c>
      <c r="D1898" s="25" t="str">
        <f ca="1">IFERROR(__xludf.DUMMYFUNCTION("""COMPUTED_VALUE"""),"Desarrollo_Económico")</f>
        <v>Desarrollo_Económico</v>
      </c>
      <c r="E1898" s="25" t="str">
        <f ca="1">IFERROR(__xludf.DUMMYFUNCTION("""COMPUTED_VALUE"""),"Secretaría Distrital de Desarrollo Económico")</f>
        <v>Secretaría Distrital de Desarrollo Económico</v>
      </c>
      <c r="F1898" s="25" t="str">
        <f ca="1">IFERROR(__xludf.DUMMYFUNCTION("""COMPUTED_VALUE"""),"Revisar con el sector del entretenimiento y empresarios en qué áreas se puede facilitar desde la alcaldía para aumentar eventos (permisos, autorizaciones, etc.) y que esto impacte en la reactivación.")</f>
        <v>Revisar con el sector del entretenimiento y empresarios en qué áreas se puede facilitar desde la alcaldía para aumentar eventos (permisos, autorizaciones, etc.) y que esto impacte en la reactivación.</v>
      </c>
      <c r="G1898" s="25" t="str">
        <f ca="1">IFERROR(__xludf.DUMMYFUNCTION("""COMPUTED_VALUE"""),"99. Distrito")</f>
        <v>99. Distrito</v>
      </c>
      <c r="H1898" s="55">
        <f ca="1">IFERROR(__xludf.DUMMYFUNCTION("""COMPUTED_VALUE"""),44896)</f>
        <v>44896</v>
      </c>
      <c r="I1898" s="25"/>
      <c r="J1898" s="55" t="str">
        <f ca="1">IFERROR(__xludf.DUMMYFUNCTION("""COMPUTED_VALUE"""),"Baja")</f>
        <v>Baja</v>
      </c>
      <c r="K1898" s="25">
        <f ca="1">IFERROR(__xludf.DUMMYFUNCTION("""COMPUTED_VALUE"""),189)</f>
        <v>189</v>
      </c>
      <c r="L1898" s="62">
        <f ca="1">IFERROR(__xludf.DUMMYFUNCTION("""COMPUTED_VALUE"""),44959)</f>
        <v>44959</v>
      </c>
      <c r="M1898" s="25" t="str">
        <f ca="1">IFERROR(__xludf.DUMMYFUNCTION("""COMPUTED_VALUE"""),"La Dirección de Desarrollo Empresarial y Empleo se encuentra en este momento formulando su estrategia de intermediación empresarial y conexiones con el mercado, títulada Hecho en Bogotá, que incluirá el programa Bogotá a Cielo Abierto y la ruta de Navidad"&amp;". De otro lado, se está realizando un perfilamiento de los emprendimientos para trabajar articuladamente con las localidades que permita acceder a ferias y servicios impactando en la reactivación económica. Otras actividades enfocadas a diagnosticar y fac"&amp;"ilitar trámites para el desarrollo de eventos en el distrito han consistido, primeramente, en hacer revisión junto con la secretería de cultura y responder PQRD para verificar solicitudes de empresas en relación a flexibilización de trámites; no se encuen"&amp;"tran PQRD pendientes por responder relacionados. Como espacio para seguir con el desarrollo de la tarea se espera convocar una nueva mesa de SUGA (Sistema Único de Gestión para el Registro, Evaluación y Autorización de Actividades de Aglomeración de Publi"&amp;"co en el Distrito Capital).
30/01/2023: La Secretaría Distrital de Desarrollo Económico en el marco de las estrategias de reactivación económica, busca implementar acciones que propendan por el fortalecimiento de competencias de las unidades productivas l"&amp;"ocales para la conexión a mercados y la operación de canales de comercialización que las beneficien. Para esto se desarrolló e impulsó la estrategia titulada “Hecho en Bogotá”, un espacio que crea una nueva forma de comercializar en la ciudad. Con el fin "&amp;"de incentivar el consumo de productos y servicios creados por empresas y emprendimientos de la ciudad, “Hecho en Bogotá” genera un impacto favorable a la imagen del espacio público, atrayendo nuevos visitantes y generando espacios de intermediación, a par"&amp;"tir del diseño de ferias locales y de gran impacto al aire libre. Durante el 2022 se beneficiaron 1.450 unidades productivas en las diferentes localidades de la ciudad.
A través de la operación de estos espacios, que son a 0 costo para los participantes,"&amp;" las unidades productivas promueven su marca, sus productos y servicios que les permitan generar posicionamiento y relacionamiento con nuevos clientes y obtener ganancias netas por ventas.
Durante el 2022 se puso en marcha la ejecución de la estrategia H"&amp;"echo en Bogotá, ")</f>
        <v xml:space="preserve">La Dirección de Desarrollo Empresarial y Empleo se encuentra en este momento formulando su estrategia de intermediación empresarial y conexiones con el mercado, títulada Hecho en Bogotá, que incluirá el programa Bogotá a Cielo Abierto y la ruta de Navidad. De otro lado, se está realizando un perfilamiento de los emprendimientos para trabajar articuladamente con las localidades que permita acceder a ferias y servicios impactando en la reactivación económica. Otras actividades enfocadas a diagnosticar y facilitar trámites para el desarrollo de eventos en el distrito han consistido, primeramente, en hacer revisión junto con la secretería de cultura y responder PQRD para verificar solicitudes de empresas en relación a flexibilización de trámites; no se encuentran PQRD pendientes por responder relacionados. Como espacio para seguir con el desarrollo de la tarea se espera convocar una nueva mesa de SUGA (Sistema Único de Gestión para el Registro, Evaluación y Autorización de Actividades de Aglomeración de Publico en el Distrito Capital).
30/01/2023: La Secretaría Distrital de Desarrollo Económico en el marco de las estrategias de reactivación económica, busca implementar acciones que propendan por el fortalecimiento de competencias de las unidades productivas locales para la conexión a mercados y la operación de canales de comercialización que las beneficien. Para esto se desarrolló e impulsó la estrategia titulada “Hecho en Bogotá”, un espacio que crea una nueva forma de comercializar en la ciudad. Con el fin de incentivar el consumo de productos y servicios creados por empresas y emprendimientos de la ciudad, “Hecho en Bogotá” genera un impacto favorable a la imagen del espacio público, atrayendo nuevos visitantes y generando espacios de intermediación, a partir del diseño de ferias locales y de gran impacto al aire libre. Durante el 2022 se beneficiaron 1.450 unidades productivas en las diferentes localidades de la ciudad.
A través de la operación de estos espacios, que son a 0 costo para los participantes, las unidades productivas promueven su marca, sus productos y servicios que les permitan generar posicionamiento y relacionamiento con nuevos clientes y obtener ganancias netas por ventas.
Durante el 2022 se puso en marcha la ejecución de la estrategia Hecho en Bogotá, </v>
      </c>
      <c r="N1898" s="55">
        <f ca="1">IFERROR(__xludf.DUMMYFUNCTION("""COMPUTED_VALUE"""),44896)</f>
        <v>44896</v>
      </c>
      <c r="O1898" s="25" t="str">
        <f t="shared" ca="1" si="0"/>
        <v>Secretaría Distrital de Desarrollo Económico</v>
      </c>
      <c r="P1898" s="25" t="str">
        <f t="shared" si="2"/>
        <v/>
      </c>
      <c r="Q1898" s="25" t="str">
        <f ca="1">IFERROR(__xludf.DUMMYFUNCTION("""COMPUTED_VALUE"""),"Largo plazo")</f>
        <v>Largo plazo</v>
      </c>
      <c r="R1898" s="25"/>
      <c r="S1898" s="55"/>
      <c r="T1898" s="56"/>
      <c r="U1898" s="25"/>
      <c r="V1898" s="25"/>
      <c r="W1898" s="25"/>
      <c r="X1898" s="25"/>
      <c r="Y1898" s="25"/>
      <c r="Z1898" s="25"/>
    </row>
    <row r="1899" spans="1:26" ht="52.5" customHeight="1" x14ac:dyDescent="0.25">
      <c r="A1899" s="25" t="str">
        <f ca="1">IFERROR(__xludf.DUMMYFUNCTION("""COMPUTED_VALUE"""),"Desar97")</f>
        <v>Desar97</v>
      </c>
      <c r="B1899" s="25" t="str">
        <f ca="1">IFERROR(__xludf.DUMMYFUNCTION("""COMPUTED_VALUE"""),"Presentación resultados de pobreza")</f>
        <v>Presentación resultados de pobreza</v>
      </c>
      <c r="C1899" s="55">
        <f ca="1">IFERROR(__xludf.DUMMYFUNCTION("""COMPUTED_VALUE"""),44707)</f>
        <v>44707</v>
      </c>
      <c r="D1899" s="25" t="str">
        <f ca="1">IFERROR(__xludf.DUMMYFUNCTION("""COMPUTED_VALUE"""),"Desarrollo_Económico")</f>
        <v>Desarrollo_Económico</v>
      </c>
      <c r="E1899" s="25" t="str">
        <f ca="1">IFERROR(__xludf.DUMMYFUNCTION("""COMPUTED_VALUE"""),"Secretaría Distrital de Desarrollo Económico")</f>
        <v>Secretaría Distrital de Desarrollo Económico</v>
      </c>
      <c r="F1899" s="25" t="str">
        <f ca="1">IFERROR(__xludf.DUMMYFUNCTION("""COMPUTED_VALUE"""),"(Actualización avance) Temas clave de la SDDE: ejecutar empleo joven y programas de colocación. Además, medir su contribución para bajar trabajo informal.
Tareas: Dos programas que debe diseñar/ejecutar la SDDE: Subsidio al primer empleo (mujeres o jóvene"&amp;"s) y subsidio al último empleo (mayores de 45 o 50 años). 
")</f>
        <v xml:space="preserve">(Actualización avance) Temas clave de la SDDE: ejecutar empleo joven y programas de colocación. Además, medir su contribución para bajar trabajo informal.
Tareas: Dos programas que debe diseñar/ejecutar la SDDE: Subsidio al primer empleo (mujeres o jóvenes) y subsidio al último empleo (mayores de 45 o 50 años). 
</v>
      </c>
      <c r="G1899" s="25" t="str">
        <f ca="1">IFERROR(__xludf.DUMMYFUNCTION("""COMPUTED_VALUE"""),"99. Distrito")</f>
        <v>99. Distrito</v>
      </c>
      <c r="H1899" s="55">
        <f ca="1">IFERROR(__xludf.DUMMYFUNCTION("""COMPUTED_VALUE"""),44737)</f>
        <v>44737</v>
      </c>
      <c r="I1899" s="25"/>
      <c r="J1899" s="55" t="str">
        <f ca="1">IFERROR(__xludf.DUMMYFUNCTION("""COMPUTED_VALUE"""),"Alta")</f>
        <v>Alta</v>
      </c>
      <c r="K1899" s="25">
        <f ca="1">IFERROR(__xludf.DUMMYFUNCTION("""COMPUTED_VALUE"""),30)</f>
        <v>30</v>
      </c>
      <c r="L1899" s="62">
        <f ca="1">IFERROR(__xludf.DUMMYFUNCTION("""COMPUTED_VALUE"""),44898)</f>
        <v>44898</v>
      </c>
      <c r="M1899" s="25" t="str">
        <f ca="1">IFERROR(__xludf.DUMMYFUNCTION("""COMPUTED_VALUE"""),"La Subdirección de Empleo y Formación para el trabajo está avanzando en la ejecución del Programa Empleo Joven, llegando al 98% de jóvenes vinculados al programa y logrando 12.709 con al menos un pago ya realizado.  Adicionalmente se suscribió el 20 de se"&amp;"ptiembre el decreto 399 de 2022, que crea el programa empleo Incluyente, en el cual se brindan beneficios a las empresas que den empleo a personas de los grupos poblacionales priorizados en el Decreto (en la actualidad el programa se encuentra finalizando"&amp;" la contratación de los modelos operativos para su puesta en marcha).
 Pendiente medición de la contribución del programa (en general para subsidio a la nómina) para bajar el empleo informal.")</f>
        <v>La Subdirección de Empleo y Formación para el trabajo está avanzando en la ejecución del Programa Empleo Joven, llegando al 98% de jóvenes vinculados al programa y logrando 12.709 con al menos un pago ya realizado.  Adicionalmente se suscribió el 20 de septiembre el decreto 399 de 2022, que crea el programa empleo Incluyente, en el cual se brindan beneficios a las empresas que den empleo a personas de los grupos poblacionales priorizados en el Decreto (en la actualidad el programa se encuentra finalizando la contratación de los modelos operativos para su puesta en marcha).
 Pendiente medición de la contribución del programa (en general para subsidio a la nómina) para bajar el empleo informal.</v>
      </c>
      <c r="N1899" s="55">
        <f ca="1">IFERROR(__xludf.DUMMYFUNCTION("""COMPUTED_VALUE"""),44898)</f>
        <v>44898</v>
      </c>
      <c r="O1899" s="25" t="str">
        <f t="shared" ca="1" si="0"/>
        <v>Secretaría Distrital de Desarrollo Económico</v>
      </c>
      <c r="P1899" s="25" t="str">
        <f t="shared" si="2"/>
        <v/>
      </c>
      <c r="Q1899" s="25" t="str">
        <f ca="1">IFERROR(__xludf.DUMMYFUNCTION("""COMPUTED_VALUE"""),"Corto plazo")</f>
        <v>Corto plazo</v>
      </c>
      <c r="R1899" s="25"/>
      <c r="S1899" s="55"/>
      <c r="T1899" s="56"/>
      <c r="U1899" s="25"/>
      <c r="V1899" s="25"/>
      <c r="W1899" s="25"/>
      <c r="X1899" s="25"/>
      <c r="Y1899" s="25"/>
      <c r="Z1899" s="25"/>
    </row>
    <row r="1900" spans="1:26" ht="52.5" customHeight="1" x14ac:dyDescent="0.25">
      <c r="A1900" s="25" t="str">
        <f ca="1">IFERROR(__xludf.DUMMYFUNCTION("""COMPUTED_VALUE"""),"Desar98")</f>
        <v>Desar98</v>
      </c>
      <c r="B1900" s="25" t="str">
        <f ca="1">IFERROR(__xludf.DUMMYFUNCTION("""COMPUTED_VALUE"""),"Junta de infraestructura")</f>
        <v>Junta de infraestructura</v>
      </c>
      <c r="C1900" s="55">
        <f ca="1">IFERROR(__xludf.DUMMYFUNCTION("""COMPUTED_VALUE"""),44727)</f>
        <v>44727</v>
      </c>
      <c r="D1900" s="25" t="str">
        <f ca="1">IFERROR(__xludf.DUMMYFUNCTION("""COMPUTED_VALUE"""),"Desarrollo_Económico")</f>
        <v>Desarrollo_Económico</v>
      </c>
      <c r="E1900" s="25" t="str">
        <f ca="1">IFERROR(__xludf.DUMMYFUNCTION("""COMPUTED_VALUE"""),"Secretaría Distrital de Desarrollo Económico")</f>
        <v>Secretaría Distrital de Desarrollo Económico</v>
      </c>
      <c r="F1900" s="25" t="str">
        <f ca="1">IFERROR(__xludf.DUMMYFUNCTION("""COMPUTED_VALUE"""),"Reunirse con el SENA para que gire los 70 mil millones, a través del Convenio, (antes de que se vaya el Gobierno Nacional). El alcance del convenio debe incluir que se definirá en conjunto con el SENA la operación del Centro de Talento y la inclusión de l"&amp;"a UDistrital.")</f>
        <v>Reunirse con el SENA para que gire los 70 mil millones, a través del Convenio, (antes de que se vaya el Gobierno Nacional). El alcance del convenio debe incluir que se definirá en conjunto con el SENA la operación del Centro de Talento y la inclusión de la UDistrital.</v>
      </c>
      <c r="G1900" s="25" t="str">
        <f ca="1">IFERROR(__xludf.DUMMYFUNCTION("""COMPUTED_VALUE"""),"99. Distrito")</f>
        <v>99. Distrito</v>
      </c>
      <c r="H1900" s="55">
        <f ca="1">IFERROR(__xludf.DUMMYFUNCTION("""COMPUTED_VALUE"""),44910)</f>
        <v>44910</v>
      </c>
      <c r="I1900" s="25"/>
      <c r="J1900" s="55" t="str">
        <f ca="1">IFERROR(__xludf.DUMMYFUNCTION("""COMPUTED_VALUE"""),"Baja")</f>
        <v>Baja</v>
      </c>
      <c r="K1900" s="25">
        <f ca="1">IFERROR(__xludf.DUMMYFUNCTION("""COMPUTED_VALUE"""),183)</f>
        <v>183</v>
      </c>
      <c r="L1900" s="62">
        <f ca="1">IFERROR(__xludf.DUMMYFUNCTION("""COMPUTED_VALUE"""),44956)</f>
        <v>44956</v>
      </c>
      <c r="M1900" s="25" t="str">
        <f ca="1">IFERROR(__xludf.DUMMYFUNCTION("""COMPUTED_VALUE"""),"La SDDE creo un equipo desde la Subdireccion de Empleo y Formacion para apoyar jurídica y técnicamente lo que será el modelo de multicampus, la tarea de artciulación con la Universidad Distrital, Sena, Secretaria de Educación y la SDDE, se encuentra lider"&amp;"ada por Atenea. Durante la primera quincena del del mes de enero de 2023, se han venido sosteniendo reuniones con la entidades aliadas con el fin de evaluar los modelos de gestión del multcampus planteados por Atenea. Durante la semana del 2 de febrero de"&amp;" 2023 se realizarán las reuniones definitivas de los equipos técnicos y jurídicos para que a más tardar el 8 de febrero se haga una presentación a la Secretaria de Educacion, al Secretario de Desarrollo Económico y al Director de Atenea para tomar la deci"&amp;"sión sobre el modelo de gestion a implementar y validarlo con la alcaldesa y poteriormente plantearlo al Sena.")</f>
        <v>La SDDE creo un equipo desde la Subdireccion de Empleo y Formacion para apoyar jurídica y técnicamente lo que será el modelo de multicampus, la tarea de artciulación con la Universidad Distrital, Sena, Secretaria de Educación y la SDDE, se encuentra liderada por Atenea. Durante la primera quincena del del mes de enero de 2023, se han venido sosteniendo reuniones con la entidades aliadas con el fin de evaluar los modelos de gestión del multcampus planteados por Atenea. Durante la semana del 2 de febrero de 2023 se realizarán las reuniones definitivas de los equipos técnicos y jurídicos para que a más tardar el 8 de febrero se haga una presentación a la Secretaria de Educacion, al Secretario de Desarrollo Económico y al Director de Atenea para tomar la decisión sobre el modelo de gestion a implementar y validarlo con la alcaldesa y poteriormente plantearlo al Sena.</v>
      </c>
      <c r="N1900" s="55">
        <f ca="1">IFERROR(__xludf.DUMMYFUNCTION("""COMPUTED_VALUE"""),44956)</f>
        <v>44956</v>
      </c>
      <c r="O1900" s="25" t="str">
        <f t="shared" ca="1" si="0"/>
        <v>Secretaría Distrital de Desarrollo Económico</v>
      </c>
      <c r="P1900" s="25" t="str">
        <f t="shared" si="2"/>
        <v/>
      </c>
      <c r="Q1900" s="25" t="str">
        <f ca="1">IFERROR(__xludf.DUMMYFUNCTION("""COMPUTED_VALUE"""),"Largo plazo")</f>
        <v>Largo plazo</v>
      </c>
      <c r="R1900" s="25"/>
      <c r="S1900" s="55"/>
      <c r="T1900" s="56"/>
      <c r="U1900" s="25"/>
      <c r="V1900" s="25"/>
      <c r="W1900" s="25"/>
      <c r="X1900" s="25"/>
      <c r="Y1900" s="25"/>
      <c r="Z1900" s="25"/>
    </row>
    <row r="1901" spans="1:26" ht="52.5" customHeight="1" x14ac:dyDescent="0.25">
      <c r="A1901" s="25" t="str">
        <f ca="1">IFERROR(__xludf.DUMMYFUNCTION("""COMPUTED_VALUE"""),"Desar99")</f>
        <v>Desar99</v>
      </c>
      <c r="B1901" s="25" t="str">
        <f ca="1">IFERROR(__xludf.DUMMYFUNCTION("""COMPUTED_VALUE"""),"Reunión Proyecto estratégico Programas de Desarrollo con Enfoque Territorial")</f>
        <v>Reunión Proyecto estratégico Programas de Desarrollo con Enfoque Territorial</v>
      </c>
      <c r="C1901" s="55">
        <f ca="1">IFERROR(__xludf.DUMMYFUNCTION("""COMPUTED_VALUE"""),44775)</f>
        <v>44775</v>
      </c>
      <c r="D1901" s="25" t="str">
        <f ca="1">IFERROR(__xludf.DUMMYFUNCTION("""COMPUTED_VALUE"""),"Desarrollo_Económico")</f>
        <v>Desarrollo_Económico</v>
      </c>
      <c r="E1901" s="25" t="str">
        <f ca="1">IFERROR(__xludf.DUMMYFUNCTION("""COMPUTED_VALUE"""),"Secretaría Distrital de Desarrollo Económico")</f>
        <v>Secretaría Distrital de Desarrollo Económico</v>
      </c>
      <c r="F1901" s="25" t="str">
        <f ca="1">IFERROR(__xludf.DUMMYFUNCTION("""COMPUTED_VALUE"""),"En la propuesta del programa de beneficio a la nómina para la vinculación de población vulnerable con brechas de empleo liderado por la Secretaría de Desarrollo Económico, se debe incluir la categoría de víctimas y reincorporado.")</f>
        <v>En la propuesta del programa de beneficio a la nómina para la vinculación de población vulnerable con brechas de empleo liderado por la Secretaría de Desarrollo Económico, se debe incluir la categoría de víctimas y reincorporado.</v>
      </c>
      <c r="G1901" s="25" t="str">
        <f ca="1">IFERROR(__xludf.DUMMYFUNCTION("""COMPUTED_VALUE"""),"99. Distrito")</f>
        <v>99. Distrito</v>
      </c>
      <c r="H1901" s="55">
        <f ca="1">IFERROR(__xludf.DUMMYFUNCTION("""COMPUTED_VALUE"""),44805)</f>
        <v>44805</v>
      </c>
      <c r="I1901" s="25"/>
      <c r="J1901" s="55" t="str">
        <f ca="1">IFERROR(__xludf.DUMMYFUNCTION("""COMPUTED_VALUE"""),"Alta")</f>
        <v>Alta</v>
      </c>
      <c r="K1901" s="25">
        <f ca="1">IFERROR(__xludf.DUMMYFUNCTION("""COMPUTED_VALUE"""),30)</f>
        <v>30</v>
      </c>
      <c r="L1901" s="62">
        <f ca="1">IFERROR(__xludf.DUMMYFUNCTION("""COMPUTED_VALUE"""),44898)</f>
        <v>44898</v>
      </c>
      <c r="M1901" s="25" t="str">
        <f ca="1">IFERROR(__xludf.DUMMYFUNCTION("""COMPUTED_VALUE"""),"La Subdirección de Empleo y Formación adelantó la suscripción del 20 de septiembre el decreto 399 de 2022, que crea el programa empleo Incluyente, en el cual se brindan beneficios a las empresas que den empleo a personas de los grupos poblacionales priori"&amp;"zados en el Decreto, entre ellos población víctima y reincorporados. En total son 19 categorías de poblaciones a ser atendidas por el programa.
Se espera lanzar el programa a mediados de diciembre de 2022, una vez finalice el proceso de contratación")</f>
        <v>La Subdirección de Empleo y Formación adelantó la suscripción del 20 de septiembre el decreto 399 de 2022, que crea el programa empleo Incluyente, en el cual se brindan beneficios a las empresas que den empleo a personas de los grupos poblacionales priorizados en el Decreto, entre ellos población víctima y reincorporados. En total son 19 categorías de poblaciones a ser atendidas por el programa.
Se espera lanzar el programa a mediados de diciembre de 2022, una vez finalice el proceso de contratación</v>
      </c>
      <c r="N1901" s="55">
        <f ca="1">IFERROR(__xludf.DUMMYFUNCTION("""COMPUTED_VALUE"""),44898)</f>
        <v>44898</v>
      </c>
      <c r="O1901" s="25" t="str">
        <f t="shared" ca="1" si="0"/>
        <v>Secretaría Distrital de Desarrollo Económico</v>
      </c>
      <c r="P1901" s="25" t="str">
        <f t="shared" si="2"/>
        <v/>
      </c>
      <c r="Q1901" s="25" t="str">
        <f ca="1">IFERROR(__xludf.DUMMYFUNCTION("""COMPUTED_VALUE"""),"Corto plazo")</f>
        <v>Corto plazo</v>
      </c>
      <c r="R1901" s="25"/>
      <c r="S1901" s="55"/>
      <c r="T1901" s="56"/>
      <c r="U1901" s="25"/>
      <c r="V1901" s="25"/>
      <c r="W1901" s="25"/>
      <c r="X1901" s="25"/>
      <c r="Y1901" s="25"/>
      <c r="Z1901" s="25"/>
    </row>
    <row r="1902" spans="1:26" ht="52.5" customHeight="1" x14ac:dyDescent="0.25">
      <c r="A1902" s="25" t="str">
        <f ca="1">IFERROR(__xludf.DUMMYFUNCTION("""COMPUTED_VALUE"""),"Desar100")</f>
        <v>Desar100</v>
      </c>
      <c r="B1902" s="25" t="str">
        <f ca="1">IFERROR(__xludf.DUMMYFUNCTION("""COMPUTED_VALUE"""),"CORABASTOS")</f>
        <v>CORABASTOS</v>
      </c>
      <c r="C1902" s="55">
        <f ca="1">IFERROR(__xludf.DUMMYFUNCTION("""COMPUTED_VALUE"""),44806)</f>
        <v>44806</v>
      </c>
      <c r="D1902" s="25" t="str">
        <f ca="1">IFERROR(__xludf.DUMMYFUNCTION("""COMPUTED_VALUE"""),"Desarrollo_Económico")</f>
        <v>Desarrollo_Económico</v>
      </c>
      <c r="E1902" s="25" t="str">
        <f ca="1">IFERROR(__xludf.DUMMYFUNCTION("""COMPUTED_VALUE"""),"Secretaría Distrital de Desarrollo Económico")</f>
        <v>Secretaría Distrital de Desarrollo Económico</v>
      </c>
      <c r="F1902" s="25" t="str">
        <f ca="1">IFERROR(__xludf.DUMMYFUNCTION("""COMPUTED_VALUE"""),"Generación de nuevo Plan Urbanístico que contemple nueva estructura de Corabastos que establezca tres momentos en proceso de descentralización:
Corto plazo: 2 años
Mediano plazo: de 4 a 6 años
Largo Plazo: 10 años
")</f>
        <v xml:space="preserve">Generación de nuevo Plan Urbanístico que contemple nueva estructura de Corabastos que establezca tres momentos en proceso de descentralización:
Corto plazo: 2 años
Mediano plazo: de 4 a 6 años
Largo Plazo: 10 años
</v>
      </c>
      <c r="G1902" s="25" t="str">
        <f ca="1">IFERROR(__xludf.DUMMYFUNCTION("""COMPUTED_VALUE"""),"99. Distrito")</f>
        <v>99. Distrito</v>
      </c>
      <c r="H1902" s="55">
        <f ca="1">IFERROR(__xludf.DUMMYFUNCTION("""COMPUTED_VALUE"""),45085)</f>
        <v>45085</v>
      </c>
      <c r="I1902" s="25" t="str">
        <f ca="1">IFERROR(__xludf.DUMMYFUNCTION("""COMPUTED_VALUE"""),"Secretaría Privada")</f>
        <v>Secretaría Privada</v>
      </c>
      <c r="J1902" s="55" t="str">
        <f ca="1">IFERROR(__xludf.DUMMYFUNCTION("""COMPUTED_VALUE"""),"Baja")</f>
        <v>Baja</v>
      </c>
      <c r="K1902" s="25">
        <f ca="1">IFERROR(__xludf.DUMMYFUNCTION("""COMPUTED_VALUE"""),279)</f>
        <v>279</v>
      </c>
      <c r="L1902" s="62">
        <f ca="1">IFERROR(__xludf.DUMMYFUNCTION("""COMPUTED_VALUE"""),45083)</f>
        <v>45083</v>
      </c>
      <c r="M1902" s="25" t="str">
        <f ca="1">IFERROR(__xludf.DUMMYFUNCTION("""COMPUTED_VALUE"""),"Actualmente se tramita una prorroga al contrato 906-2022, de acuerdo a los comentarios y observaciones realizadas por el equipo técnico de apoyo al seguimiento del contrato. Con base en lo anterior y el planteamiento de la consultoría de organizar el 100%"&amp;" de la información recolectada no de forma desagregada como está definido cada uno de los entregables sino de forma consolidada y considerar incluir las sugerencias planteadas por la SDDE. 
También y acogiendo las recomendaciones del equipo técnico de la"&amp;" SDDE, se han venido gestionando entrevistas con entidades de referencia mundial, como el caso MERCASA en España y la Central Mayorista de Ciudad de México, D.F. Dichas entrevistas han venido siendo objeto de re agendamiento por motivos de disponibilidad "&amp;"de los funcionarios lo cual ha extendido el tiempo de ejecución de dicha actividad que genera valor a la luz del desarrollo del proyecto. Igualmente ha sucedido con actores estratégicos del sistema de abastecimiento alimentario de la ciudad, que tuvieron "&amp;"que re agendarse diferentes reuniones. 
También es importante señalar que se han presentado dificultades en el relacionamiento e intercambio de información con la Central CORABASTOS, lo que ha incidido negativamente en el desarrollo de los tiempos inicia"&amp;"lmente previstos.
")</f>
        <v xml:space="preserve">Actualmente se tramita una prorroga al contrato 906-2022, de acuerdo a los comentarios y observaciones realizadas por el equipo técnico de apoyo al seguimiento del contrato. Con base en lo anterior y el planteamiento de la consultoría de organizar el 100% de la información recolectada no de forma desagregada como está definido cada uno de los entregables sino de forma consolidada y considerar incluir las sugerencias planteadas por la SDDE. 
También y acogiendo las recomendaciones del equipo técnico de la SDDE, se han venido gestionando entrevistas con entidades de referencia mundial, como el caso MERCASA en España y la Central Mayorista de Ciudad de México, D.F. Dichas entrevistas han venido siendo objeto de re agendamiento por motivos de disponibilidad de los funcionarios lo cual ha extendido el tiempo de ejecución de dicha actividad que genera valor a la luz del desarrollo del proyecto. Igualmente ha sucedido con actores estratégicos del sistema de abastecimiento alimentario de la ciudad, que tuvieron que re agendarse diferentes reuniones. 
También es importante señalar que se han presentado dificultades en el relacionamiento e intercambio de información con la Central CORABASTOS, lo que ha incidido negativamente en el desarrollo de los tiempos inicialmente previstos.
</v>
      </c>
      <c r="N1902" s="55">
        <f ca="1">IFERROR(__xludf.DUMMYFUNCTION("""COMPUTED_VALUE"""),45146)</f>
        <v>45146</v>
      </c>
      <c r="O1902" s="25" t="str">
        <f t="shared" ca="1" si="0"/>
        <v>Secretaría Distrital de Desarrollo Económico</v>
      </c>
      <c r="P1902" s="25" t="str">
        <f t="shared" ca="1" si="2"/>
        <v/>
      </c>
      <c r="Q1902" s="25" t="str">
        <f ca="1">IFERROR(__xludf.DUMMYFUNCTION("""COMPUTED_VALUE"""),"Largo plazo")</f>
        <v>Largo plazo</v>
      </c>
      <c r="R1902" s="25"/>
      <c r="S1902" s="55"/>
      <c r="T1902" s="56"/>
      <c r="U1902" s="25"/>
      <c r="V1902" s="25"/>
      <c r="W1902" s="25"/>
      <c r="X1902" s="25"/>
      <c r="Y1902" s="25"/>
      <c r="Z1902" s="25"/>
    </row>
    <row r="1903" spans="1:26" ht="52.5" customHeight="1" x14ac:dyDescent="0.25">
      <c r="A1903" s="25" t="str">
        <f ca="1">IFERROR(__xludf.DUMMYFUNCTION("""COMPUTED_VALUE"""),"Desar101")</f>
        <v>Desar101</v>
      </c>
      <c r="B1903" s="25" t="str">
        <f ca="1">IFERROR(__xludf.DUMMYFUNCTION("""COMPUTED_VALUE"""),"CORABASTOS ")</f>
        <v xml:space="preserve">CORABASTOS </v>
      </c>
      <c r="C1903" s="55">
        <f ca="1">IFERROR(__xludf.DUMMYFUNCTION("""COMPUTED_VALUE"""),44806)</f>
        <v>44806</v>
      </c>
      <c r="D1903" s="25" t="str">
        <f ca="1">IFERROR(__xludf.DUMMYFUNCTION("""COMPUTED_VALUE"""),"Desarrollo_Económico")</f>
        <v>Desarrollo_Económico</v>
      </c>
      <c r="E1903" s="25" t="str">
        <f ca="1">IFERROR(__xludf.DUMMYFUNCTION("""COMPUTED_VALUE"""),"Secretaría Distrital de Desarrollo Económico")</f>
        <v>Secretaría Distrital de Desarrollo Económico</v>
      </c>
      <c r="F1903" s="25" t="str">
        <f ca="1">IFERROR(__xludf.DUMMYFUNCTION("""COMPUTED_VALUE"""),"Identificación de predios de espacio de propiedad estatal en Bogotá o Región Metropolitana que corresponda a criterios de abastecimiento donde se ubicarían las dos nuevas centrales de Corabastos.")</f>
        <v>Identificación de predios de espacio de propiedad estatal en Bogotá o Región Metropolitana que corresponda a criterios de abastecimiento donde se ubicarían las dos nuevas centrales de Corabastos.</v>
      </c>
      <c r="G1903" s="25" t="str">
        <f ca="1">IFERROR(__xludf.DUMMYFUNCTION("""COMPUTED_VALUE"""),"99. Distrito")</f>
        <v>99. Distrito</v>
      </c>
      <c r="H1903" s="55">
        <f ca="1">IFERROR(__xludf.DUMMYFUNCTION("""COMPUTED_VALUE"""),45169)</f>
        <v>45169</v>
      </c>
      <c r="I1903" s="25" t="str">
        <f ca="1">IFERROR(__xludf.DUMMYFUNCTION("""COMPUTED_VALUE"""),"Secretaría Privada")</f>
        <v>Secretaría Privada</v>
      </c>
      <c r="J1903" s="55" t="str">
        <f ca="1">IFERROR(__xludf.DUMMYFUNCTION("""COMPUTED_VALUE"""),"Baja")</f>
        <v>Baja</v>
      </c>
      <c r="K1903" s="25">
        <f ca="1">IFERROR(__xludf.DUMMYFUNCTION("""COMPUTED_VALUE"""),363)</f>
        <v>363</v>
      </c>
      <c r="L1903" s="62">
        <f ca="1">IFERROR(__xludf.DUMMYFUNCTION("""COMPUTED_VALUE"""),45083)</f>
        <v>45083</v>
      </c>
      <c r="M1903" s="25" t="str">
        <f ca="1">IFERROR(__xludf.DUMMYFUNCTION("""COMPUTED_VALUE"""),"Actualmente se tramita una prórroga al contrato 906-2022, de acuerdo a los comentarios y observaciones realizadas por el equipo técnico de apoyo al seguimiento del contrato. Con base en lo anterior y el planteamiento de la consultoría de organizar el 100%"&amp;" de la información recolectada no de forma desagregada como está definido cada uno de los entregables sino de forma consolidada y considerar incluir las sugerencias planteadas por la SDDE.
También y acogiendo las recomendaciones del equipo técnico de la "&amp;"SDDE, se han venido gestionando entrevistas con entidades de referencia mundial, como el caso MERCASA en España y la Central Mayorista de Ciudad de México, D.F. Dichas entrevistas han venido siendo objeto de re agendamiento por motivos de disponibilidad d"&amp;"e los funcionarios lo cual ha extendido el tiempo de ejecución de dicha actividad que genera valor a la luz del desarrollo del proyecto. Igualmente ha sucedido con actores estratégicos del sistema de abastecimiento alimentario de la ciudad, que tuvieron q"&amp;"ue re agendarse diferentes reuniones.
También es importante señalar que se han presentado dificultades en el relacionamiento e intercambio de información con la Central CORABASTOS, lo que ha incidido negativamente en el desarrollo de los tiempos inicialm"&amp;"ente previstos.
Los avances  de la tarea   100   y 101  se  desarrollan a partir  del mismo Contrato 906 de 2022. ")</f>
        <v xml:space="preserve">Actualmente se tramita una prórroga al contrato 906-2022, de acuerdo a los comentarios y observaciones realizadas por el equipo técnico de apoyo al seguimiento del contrato. Con base en lo anterior y el planteamiento de la consultoría de organizar el 100% de la información recolectada no de forma desagregada como está definido cada uno de los entregables sino de forma consolidada y considerar incluir las sugerencias planteadas por la SDDE.
También y acogiendo las recomendaciones del equipo técnico de la SDDE, se han venido gestionando entrevistas con entidades de referencia mundial, como el caso MERCASA en España y la Central Mayorista de Ciudad de México, D.F. Dichas entrevistas han venido siendo objeto de re agendamiento por motivos de disponibilidad de los funcionarios lo cual ha extendido el tiempo de ejecución de dicha actividad que genera valor a la luz del desarrollo del proyecto. Igualmente ha sucedido con actores estratégicos del sistema de abastecimiento alimentario de la ciudad, que tuvieron que re agendarse diferentes reuniones.
También es importante señalar que se han presentado dificultades en el relacionamiento e intercambio de información con la Central CORABASTOS, lo que ha incidido negativamente en el desarrollo de los tiempos inicialmente previstos.
Los avances  de la tarea   100   y 101  se  desarrollan a partir  del mismo Contrato 906 de 2022. </v>
      </c>
      <c r="N1903" s="55">
        <f ca="1">IFERROR(__xludf.DUMMYFUNCTION("""COMPUTED_VALUE"""),45146)</f>
        <v>45146</v>
      </c>
      <c r="O1903" s="25" t="str">
        <f t="shared" ca="1" si="0"/>
        <v>Secretaría Distrital de Desarrollo Económico</v>
      </c>
      <c r="P1903" s="25" t="str">
        <f t="shared" ca="1" si="2"/>
        <v/>
      </c>
      <c r="Q1903" s="25" t="str">
        <f ca="1">IFERROR(__xludf.DUMMYFUNCTION("""COMPUTED_VALUE"""),"Largo plazo")</f>
        <v>Largo plazo</v>
      </c>
      <c r="R1903" s="25"/>
      <c r="S1903" s="55"/>
      <c r="T1903" s="56"/>
      <c r="U1903" s="25"/>
      <c r="V1903" s="25"/>
      <c r="W1903" s="25"/>
      <c r="X1903" s="25"/>
      <c r="Y1903" s="25"/>
      <c r="Z1903" s="25"/>
    </row>
    <row r="1904" spans="1:26" ht="52.5" customHeight="1" x14ac:dyDescent="0.25">
      <c r="A1904" s="25" t="str">
        <f ca="1">IFERROR(__xludf.DUMMYFUNCTION("""COMPUTED_VALUE"""),"Desar102")</f>
        <v>Desar102</v>
      </c>
      <c r="B1904" s="25" t="str">
        <f ca="1">IFERROR(__xludf.DUMMYFUNCTION("""COMPUTED_VALUE"""),"Conpes")</f>
        <v>Conpes</v>
      </c>
      <c r="C1904" s="55">
        <f ca="1">IFERROR(__xludf.DUMMYFUNCTION("""COMPUTED_VALUE"""),44867)</f>
        <v>44867</v>
      </c>
      <c r="D1904" s="25" t="str">
        <f ca="1">IFERROR(__xludf.DUMMYFUNCTION("""COMPUTED_VALUE"""),"Desarrollo_Económico")</f>
        <v>Desarrollo_Económico</v>
      </c>
      <c r="E1904" s="25" t="str">
        <f ca="1">IFERROR(__xludf.DUMMYFUNCTION("""COMPUTED_VALUE"""),"Secretaría Distrital de Desarrollo Económico")</f>
        <v>Secretaría Distrital de Desarrollo Económico</v>
      </c>
      <c r="F1904" s="25" t="str">
        <f ca="1">IFERROR(__xludf.DUMMYFUNCTION("""COMPUTED_VALUE"""),"Actualizar el reporte de avance y seguimiento del plan de acción de las políticas de Ciencia, tecnología e innovación y Seguridad Alimentaria. ")</f>
        <v xml:space="preserve">Actualizar el reporte de avance y seguimiento del plan de acción de las políticas de Ciencia, tecnología e innovación y Seguridad Alimentaria. </v>
      </c>
      <c r="G1904" s="25" t="str">
        <f ca="1">IFERROR(__xludf.DUMMYFUNCTION("""COMPUTED_VALUE"""),"99. Distrito")</f>
        <v>99. Distrito</v>
      </c>
      <c r="H1904" s="55">
        <f ca="1">IFERROR(__xludf.DUMMYFUNCTION("""COMPUTED_VALUE"""),45000)</f>
        <v>45000</v>
      </c>
      <c r="I1904" s="25" t="str">
        <f ca="1">IFERROR(__xludf.DUMMYFUNCTION("""COMPUTED_VALUE"""),"Delivery Unit")</f>
        <v>Delivery Unit</v>
      </c>
      <c r="J1904" s="55" t="str">
        <f ca="1">IFERROR(__xludf.DUMMYFUNCTION("""COMPUTED_VALUE"""),"Media")</f>
        <v>Media</v>
      </c>
      <c r="K1904" s="25">
        <f ca="1">IFERROR(__xludf.DUMMYFUNCTION("""COMPUTED_VALUE"""),133)</f>
        <v>133</v>
      </c>
      <c r="L1904" s="62">
        <f ca="1">IFERROR(__xludf.DUMMYFUNCTION("""COMPUTED_VALUE"""),45083)</f>
        <v>45083</v>
      </c>
      <c r="M1904" s="25" t="str">
        <f ca="1">IFERROR(__xludf.DUMMYFUNCTION("""COMPUTED_VALUE"""),"Política Pública de Seguridad Alimentaria y Nutricional CONPES 09/2019: La SDDE como sector líder, en el marco del proceso de seguimiento e implementación de la PPSAN, ha venido trabajando de manera articulada en la recolección de información para la cons"&amp;"olidación de la matriz de seguimiento correspondiente al plan de acción de la política. Actualmente la OAP  trabaja en el reporte a corte 31 de marzo de 2023. 
En esta misma línea el dia  20 de abril sesionó de manera ordinaria la Comision Intersectori"&amp;"al de Seguridad Alimentaria y Nutricional CISAN donde se presentaron los avances y el estado correspondientes a la PPSAN, presentando alertas y logros a los integrantes de la comisión, de esta sesion surgio la necesidad de realizar ajustes al plan de acci"&amp;"on de la politica y las hojas de vida de los indicadores correspondientes, esta solicitud sera radicada antes el CONPES Distrital la primera semana de Junio. 
Finalmente, el dia 29 de mayo la DERAA/SAA participó en el lanzamiento del Plan Distrital de Ed"&amp;"ucación Sanitaria y Nutricional como lider de la PPSAN y presidencia de la CISAN. ")</f>
        <v xml:space="preserve">Política Pública de Seguridad Alimentaria y Nutricional CONPES 09/2019: La SDDE como sector líder, en el marco del proceso de seguimiento e implementación de la PPSAN, ha venido trabajando de manera articulada en la recolección de información para la consolidación de la matriz de seguimiento correspondiente al plan de acción de la política. Actualmente la OAP  trabaja en el reporte a corte 31 de marzo de 2023. 
En esta misma línea el dia  20 de abril sesionó de manera ordinaria la Comision Intersectorial de Seguridad Alimentaria y Nutricional CISAN donde se presentaron los avances y el estado correspondientes a la PPSAN, presentando alertas y logros a los integrantes de la comisión, de esta sesion surgio la necesidad de realizar ajustes al plan de accion de la politica y las hojas de vida de los indicadores correspondientes, esta solicitud sera radicada antes el CONPES Distrital la primera semana de Junio. 
Finalmente, el dia 29 de mayo la DERAA/SAA participó en el lanzamiento del Plan Distrital de Educación Sanitaria y Nutricional como lider de la PPSAN y presidencia de la CISAN. </v>
      </c>
      <c r="N1904" s="25"/>
      <c r="O1904" s="25" t="str">
        <f t="shared" ca="1" si="0"/>
        <v>Secretaría Distrital de Desarrollo Económico</v>
      </c>
      <c r="P1904" s="25" t="str">
        <f t="shared" ca="1" si="2"/>
        <v/>
      </c>
      <c r="Q1904" s="25" t="str">
        <f ca="1">IFERROR(__xludf.DUMMYFUNCTION("""COMPUTED_VALUE"""),"Mediano plazo")</f>
        <v>Mediano plazo</v>
      </c>
      <c r="R1904" s="25"/>
      <c r="S1904" s="55"/>
      <c r="T1904" s="56"/>
      <c r="U1904" s="25"/>
      <c r="V1904" s="25"/>
      <c r="W1904" s="25"/>
      <c r="X1904" s="25"/>
      <c r="Y1904" s="25"/>
      <c r="Z1904" s="25"/>
    </row>
    <row r="1905" spans="1:26" ht="52.5" customHeight="1" x14ac:dyDescent="0.25">
      <c r="A1905" s="25" t="str">
        <f ca="1">IFERROR(__xludf.DUMMYFUNCTION("""COMPUTED_VALUE"""),"Desar103")</f>
        <v>Desar103</v>
      </c>
      <c r="B1905" s="25" t="str">
        <f ca="1">IFERROR(__xludf.DUMMYFUNCTION("""COMPUTED_VALUE"""),"Consejo de Gobierno")</f>
        <v>Consejo de Gobierno</v>
      </c>
      <c r="C1905" s="55">
        <f ca="1">IFERROR(__xludf.DUMMYFUNCTION("""COMPUTED_VALUE"""),44956)</f>
        <v>44956</v>
      </c>
      <c r="D1905" s="25" t="str">
        <f ca="1">IFERROR(__xludf.DUMMYFUNCTION("""COMPUTED_VALUE"""),"Desarrollo_Económico")</f>
        <v>Desarrollo_Económico</v>
      </c>
      <c r="E1905" s="25" t="str">
        <f ca="1">IFERROR(__xludf.DUMMYFUNCTION("""COMPUTED_VALUE"""),"Secretaría Distrital de Desarrollo Económico")</f>
        <v>Secretaría Distrital de Desarrollo Económico</v>
      </c>
      <c r="F1905" s="25" t="str">
        <f ca="1">IFERROR(__xludf.DUMMYFUNCTION("""COMPUTED_VALUE"""),"Conseguir recursos para la navidad con el sector privado")</f>
        <v>Conseguir recursos para la navidad con el sector privado</v>
      </c>
      <c r="G1905" s="25" t="str">
        <f ca="1">IFERROR(__xludf.DUMMYFUNCTION("""COMPUTED_VALUE"""),"99. Distrito")</f>
        <v>99. Distrito</v>
      </c>
      <c r="H1905" s="55">
        <f ca="1">IFERROR(__xludf.DUMMYFUNCTION("""COMPUTED_VALUE"""),45092)</f>
        <v>45092</v>
      </c>
      <c r="I1905" s="25" t="str">
        <f ca="1">IFERROR(__xludf.DUMMYFUNCTION("""COMPUTED_VALUE"""),"Secretaría Privada")</f>
        <v>Secretaría Privada</v>
      </c>
      <c r="J1905" s="55" t="str">
        <f ca="1">IFERROR(__xludf.DUMMYFUNCTION("""COMPUTED_VALUE"""),"Media")</f>
        <v>Media</v>
      </c>
      <c r="K1905" s="25">
        <f ca="1">IFERROR(__xludf.DUMMYFUNCTION("""COMPUTED_VALUE"""),136)</f>
        <v>136</v>
      </c>
      <c r="L1905" s="62">
        <f ca="1">IFERROR(__xludf.DUMMYFUNCTION("""COMPUTED_VALUE"""),45051)</f>
        <v>45051</v>
      </c>
      <c r="M1905" s="25" t="str">
        <f ca="1">IFERROR(__xludf.DUMMYFUNCTION("""COMPUTED_VALUE"""),"No hay avances")</f>
        <v>No hay avances</v>
      </c>
      <c r="N1905" s="25"/>
      <c r="O1905" s="25" t="str">
        <f t="shared" ca="1" si="0"/>
        <v>Secretaría Distrital de Desarrollo Económico</v>
      </c>
      <c r="P1905" s="25" t="str">
        <f t="shared" ca="1" si="2"/>
        <v/>
      </c>
      <c r="Q1905" s="25" t="str">
        <f ca="1">IFERROR(__xludf.DUMMYFUNCTION("""COMPUTED_VALUE"""),"Mediano plazo")</f>
        <v>Mediano plazo</v>
      </c>
      <c r="R1905" s="25"/>
      <c r="S1905" s="55"/>
      <c r="T1905" s="56"/>
      <c r="U1905" s="25"/>
      <c r="V1905" s="25"/>
      <c r="W1905" s="25"/>
      <c r="X1905" s="25"/>
      <c r="Y1905" s="25"/>
      <c r="Z1905" s="25"/>
    </row>
    <row r="1906" spans="1:26" ht="52.5" customHeight="1" x14ac:dyDescent="0.25">
      <c r="A1906" s="25" t="str">
        <f ca="1">IFERROR(__xludf.DUMMYFUNCTION("""COMPUTED_VALUE"""),"Desar104")</f>
        <v>Desar104</v>
      </c>
      <c r="B1906" s="25" t="str">
        <f ca="1">IFERROR(__xludf.DUMMYFUNCTION("""COMPUTED_VALUE"""),"Recorrido Puente Aranda")</f>
        <v>Recorrido Puente Aranda</v>
      </c>
      <c r="C1906" s="55">
        <f ca="1">IFERROR(__xludf.DUMMYFUNCTION("""COMPUTED_VALUE"""),44971)</f>
        <v>44971</v>
      </c>
      <c r="D1906" s="25" t="str">
        <f ca="1">IFERROR(__xludf.DUMMYFUNCTION("""COMPUTED_VALUE"""),"Desarrollo_Económico")</f>
        <v>Desarrollo_Económico</v>
      </c>
      <c r="E1906" s="25" t="str">
        <f ca="1">IFERROR(__xludf.DUMMYFUNCTION("""COMPUTED_VALUE"""),"Instituto para la Economía Social")</f>
        <v>Instituto para la Economía Social</v>
      </c>
      <c r="F1906" s="25" t="str">
        <f ca="1">IFERROR(__xludf.DUMMYFUNCTION("""COMPUTED_VALUE"""),"Revisar qué hacer con los vendedores informales de la zona del puemnte de la autopista sur con carrera 50.")</f>
        <v>Revisar qué hacer con los vendedores informales de la zona del puemnte de la autopista sur con carrera 50.</v>
      </c>
      <c r="G1906" s="25" t="str">
        <f ca="1">IFERROR(__xludf.DUMMYFUNCTION("""COMPUTED_VALUE"""),"16. Puente Aranda")</f>
        <v>16. Puente Aranda</v>
      </c>
      <c r="H1906" s="55">
        <f ca="1">IFERROR(__xludf.DUMMYFUNCTION("""COMPUTED_VALUE"""),44985)</f>
        <v>44985</v>
      </c>
      <c r="I1906" s="25" t="str">
        <f ca="1">IFERROR(__xludf.DUMMYFUNCTION("""COMPUTED_VALUE"""),"Secretaría Privada")</f>
        <v>Secretaría Privada</v>
      </c>
      <c r="J1906" s="55" t="str">
        <f ca="1">IFERROR(__xludf.DUMMYFUNCTION("""COMPUTED_VALUE"""),"Alta")</f>
        <v>Alta</v>
      </c>
      <c r="K1906" s="25">
        <f ca="1">IFERROR(__xludf.DUMMYFUNCTION("""COMPUTED_VALUE"""),14)</f>
        <v>14</v>
      </c>
      <c r="L1906" s="62">
        <f ca="1">IFERROR(__xludf.DUMMYFUNCTION("""COMPUTED_VALUE"""),45083)</f>
        <v>45083</v>
      </c>
      <c r="M1906" s="25" t="str">
        <f ca="1">IFERROR(__xludf.DUMMYFUNCTION("""COMPUTED_VALUE"""),"el 29 de abril de 2023 se realizó oferta de reubicacion en la Alameda Choco de Tunjuelito, los vendedores no acogieron la oferta ed reubicación, se realiza seguimiento y sensibilizacion. ")</f>
        <v xml:space="preserve">el 29 de abril de 2023 se realizó oferta de reubicacion en la Alameda Choco de Tunjuelito, los vendedores no acogieron la oferta ed reubicación, se realiza seguimiento y sensibilizacion. </v>
      </c>
      <c r="N1906" s="25"/>
      <c r="O1906" s="25" t="str">
        <f t="shared" ca="1" si="0"/>
        <v>Instituto para la Economía Social</v>
      </c>
      <c r="P1906" s="25" t="str">
        <f t="shared" ca="1" si="2"/>
        <v/>
      </c>
      <c r="Q1906" s="25" t="str">
        <f ca="1">IFERROR(__xludf.DUMMYFUNCTION("""COMPUTED_VALUE"""),"Corto plazo")</f>
        <v>Corto plazo</v>
      </c>
      <c r="R1906" s="25"/>
      <c r="S1906" s="55"/>
      <c r="T1906" s="56"/>
      <c r="U1906" s="25"/>
      <c r="V1906" s="25"/>
      <c r="W1906" s="25"/>
      <c r="X1906" s="25"/>
      <c r="Y1906" s="25"/>
      <c r="Z1906" s="25"/>
    </row>
    <row r="1907" spans="1:26" ht="52.5" customHeight="1" x14ac:dyDescent="0.25">
      <c r="A1907" s="25" t="str">
        <f ca="1">IFERROR(__xludf.DUMMYFUNCTION("""COMPUTED_VALUE"""),"Desar105")</f>
        <v>Desar105</v>
      </c>
      <c r="B1907" s="25" t="str">
        <f ca="1">IFERROR(__xludf.DUMMYFUNCTION("""COMPUTED_VALUE"""),"Recorrido Puente Aranda")</f>
        <v>Recorrido Puente Aranda</v>
      </c>
      <c r="C1907" s="55">
        <f ca="1">IFERROR(__xludf.DUMMYFUNCTION("""COMPUTED_VALUE"""),44971)</f>
        <v>44971</v>
      </c>
      <c r="D1907" s="25" t="str">
        <f ca="1">IFERROR(__xludf.DUMMYFUNCTION("""COMPUTED_VALUE"""),"Desarrollo_Económico")</f>
        <v>Desarrollo_Económico</v>
      </c>
      <c r="E1907" s="25" t="str">
        <f ca="1">IFERROR(__xludf.DUMMYFUNCTION("""COMPUTED_VALUE"""),"Secretaría Distrital de Desarrollo Económico")</f>
        <v>Secretaría Distrital de Desarrollo Económico</v>
      </c>
      <c r="F1907" s="25" t="str">
        <f ca="1">IFERROR(__xludf.DUMMYFUNCTION("""COMPUTED_VALUE"""),"Revisar el tema de la realización de “Bogotá Cielo Abierto” en los asaderos de Puente Aranda con la comunidad ya que no se ha podido hacer.")</f>
        <v>Revisar el tema de la realización de “Bogotá Cielo Abierto” en los asaderos de Puente Aranda con la comunidad ya que no se ha podido hacer.</v>
      </c>
      <c r="G1907" s="25" t="str">
        <f ca="1">IFERROR(__xludf.DUMMYFUNCTION("""COMPUTED_VALUE"""),"16. Puente Aranda")</f>
        <v>16. Puente Aranda</v>
      </c>
      <c r="H1907" s="55">
        <f ca="1">IFERROR(__xludf.DUMMYFUNCTION("""COMPUTED_VALUE"""),44985)</f>
        <v>44985</v>
      </c>
      <c r="I1907" s="25" t="str">
        <f ca="1">IFERROR(__xludf.DUMMYFUNCTION("""COMPUTED_VALUE"""),"Secretaría Privada")</f>
        <v>Secretaría Privada</v>
      </c>
      <c r="J1907" s="55" t="str">
        <f ca="1">IFERROR(__xludf.DUMMYFUNCTION("""COMPUTED_VALUE"""),"Alta")</f>
        <v>Alta</v>
      </c>
      <c r="K1907" s="25">
        <f ca="1">IFERROR(__xludf.DUMMYFUNCTION("""COMPUTED_VALUE"""),14)</f>
        <v>14</v>
      </c>
      <c r="L1907" s="62">
        <f ca="1">IFERROR(__xludf.DUMMYFUNCTION("""COMPUTED_VALUE"""),45026)</f>
        <v>45026</v>
      </c>
      <c r="M1907" s="25" t="str">
        <f ca="1">IFERROR(__xludf.DUMMYFUNCTION("""COMPUTED_VALUE"""),"De acuerdo con el Decreto 070/2022 la estrategia Bogotá a cielo abierto, es responsabilidad del DADEP por lo tanto es necesario trasladar la solicitud (enlace DADEP Jose Gonzalez celular 3153120748)")</f>
        <v>De acuerdo con el Decreto 070/2022 la estrategia Bogotá a cielo abierto, es responsabilidad del DADEP por lo tanto es necesario trasladar la solicitud (enlace DADEP Jose Gonzalez celular 3153120748)</v>
      </c>
      <c r="N1907" s="25"/>
      <c r="O1907" s="25" t="str">
        <f t="shared" ca="1" si="0"/>
        <v>Secretaría Distrital de Desarrollo Económico</v>
      </c>
      <c r="P1907" s="25" t="str">
        <f t="shared" ca="1" si="2"/>
        <v/>
      </c>
      <c r="Q1907" s="25" t="str">
        <f ca="1">IFERROR(__xludf.DUMMYFUNCTION("""COMPUTED_VALUE"""),"Corto plazo")</f>
        <v>Corto plazo</v>
      </c>
      <c r="R1907" s="25"/>
      <c r="S1907" s="55"/>
      <c r="T1907" s="56"/>
      <c r="U1907" s="25"/>
      <c r="V1907" s="25"/>
      <c r="W1907" s="25"/>
      <c r="X1907" s="25"/>
      <c r="Y1907" s="25"/>
      <c r="Z1907" s="25"/>
    </row>
    <row r="1908" spans="1:26" ht="52.5" customHeight="1" x14ac:dyDescent="0.25">
      <c r="A1908" s="25" t="str">
        <f ca="1">IFERROR(__xludf.DUMMYFUNCTION("""COMPUTED_VALUE"""),"Desar106")</f>
        <v>Desar106</v>
      </c>
      <c r="B1908" s="25" t="str">
        <f ca="1">IFERROR(__xludf.DUMMYFUNCTION("""COMPUTED_VALUE"""),"Seguimiento avances región metropolitana")</f>
        <v>Seguimiento avances región metropolitana</v>
      </c>
      <c r="C1908" s="55">
        <f ca="1">IFERROR(__xludf.DUMMYFUNCTION("""COMPUTED_VALUE"""),44980)</f>
        <v>44980</v>
      </c>
      <c r="D1908" s="25" t="str">
        <f ca="1">IFERROR(__xludf.DUMMYFUNCTION("""COMPUTED_VALUE"""),"Desarrollo_Económico")</f>
        <v>Desarrollo_Económico</v>
      </c>
      <c r="E1908" s="25" t="str">
        <f ca="1">IFERROR(__xludf.DUMMYFUNCTION("""COMPUTED_VALUE"""),"Secretaría Distrital de Desarrollo Económico")</f>
        <v>Secretaría Distrital de Desarrollo Económico</v>
      </c>
      <c r="F1908" s="25" t="str">
        <f ca="1">IFERROR(__xludf.DUMMYFUNCTION("""COMPUTED_VALUE"""),"Plan de desarrollo de la región: preparar los insumos necesarios para declarar el hecho metropolitano proyecto de abastecimiento.")</f>
        <v>Plan de desarrollo de la región: preparar los insumos necesarios para declarar el hecho metropolitano proyecto de abastecimiento.</v>
      </c>
      <c r="G1908" s="25" t="str">
        <f ca="1">IFERROR(__xludf.DUMMYFUNCTION("""COMPUTED_VALUE"""),"99. Distrito")</f>
        <v>99. Distrito</v>
      </c>
      <c r="H1908" s="55">
        <f ca="1">IFERROR(__xludf.DUMMYFUNCTION("""COMPUTED_VALUE"""),45072)</f>
        <v>45072</v>
      </c>
      <c r="I1908" s="25" t="str">
        <f ca="1">IFERROR(__xludf.DUMMYFUNCTION("""COMPUTED_VALUE"""),"Secretaría Privada")</f>
        <v>Secretaría Privada</v>
      </c>
      <c r="J1908" s="55" t="str">
        <f ca="1">IFERROR(__xludf.DUMMYFUNCTION("""COMPUTED_VALUE"""),"Media")</f>
        <v>Media</v>
      </c>
      <c r="K1908" s="25">
        <f ca="1">IFERROR(__xludf.DUMMYFUNCTION("""COMPUTED_VALUE"""),92)</f>
        <v>92</v>
      </c>
      <c r="L1908" s="62">
        <f ca="1">IFERROR(__xludf.DUMMYFUNCTION("""COMPUTED_VALUE"""),45083)</f>
        <v>45083</v>
      </c>
      <c r="M1908" s="25" t="str">
        <f ca="1">IFERROR(__xludf.DUMMYFUNCTION("""COMPUTED_VALUE"""),"* Acuerdo No. 858. Noviembre de 2022. “Por medio del cual se aprueba el ingreso del Distrito Capital a la Región Metropolitana Bogotá – Cundinamarca y se dictan otras disposiciones”
* Acuerdo Regional No. 001. 20 de dic 2022. “Por medio del cual se adopta"&amp;"n los estatutos de la Región Metropolitana Bogotá - Cundinamarca
* Apoyo en la construcción de los documentos técnicos de soporte (DTS) para la definición técnica de los dos hechos metropolitanos de Seguridad Alimentaria y Comercialización.
* Acuerdo Regi"&amp;"onal No. 09. 23 de dic 2022. “Por medio del cual se identifican los hechos metropolitanos del área temática de Seguridad Alimentaria y Comercialización”
* Se apoyo en la identificación y estructuración de los proyectos a desarrollar en la vigencia 2023 pa"&amp;"ra la Región Metropolitana en el marco de los dos hechos metropolitanos establecidos en el acuerdo 09-2022. ARTÍCULO 1°. Identificar como hecho metropolitano “Gestión del sistema de abastecimiento y comercialización agropecuaria para mayor eficiencia de l"&amp;"a relación funcional entre la producción y el consumo”. ARTÍCULO 2°. Identificar como hecho metropolitano “Gestión del sistema logístico y distribución de alimentos para reducir ineficiencias y sus impactos sociales, económicos y ambientales”.
Los proyect"&amp;"os estructurados conjuntamente con la Agencia de Comercialización de Cundinamarca son: 
- 1. Planta regional de gestión y  aprovechamiento de residuos orgánicos 
- 2. Compramos tu cosecha regional (CTC – Regional)
- 3. Producción agropecuaria regional pla"&amp;"nificada (PARP)
- 4. Factibilidad del proceso de desconcentración de Corabastos
*Participación enla  sesión de la Región Metropolitana, el pasado 17 de mayo de 2023, en la que se desarrollaron los siguientes temas: Covocatoria del Director y nombramiento"&amp;" de planta de personal, estructura presupuestal de la Región Central y las Agencias, informe sobre la ejecución de proyectos entre ellos el de seguridad alimentaria y propuesta de creación de agencias entre la que se encuentra la Agencia Regional de Abast"&amp;"ecimiento.
")</f>
        <v xml:space="preserve">* Acuerdo No. 858. Noviembre de 2022. “Por medio del cual se aprueba el ingreso del Distrito Capital a la Región Metropolitana Bogotá – Cundinamarca y se dictan otras disposiciones”
* Acuerdo Regional No. 001. 20 de dic 2022. “Por medio del cual se adoptan los estatutos de la Región Metropolitana Bogotá - Cundinamarca
* Apoyo en la construcción de los documentos técnicos de soporte (DTS) para la definición técnica de los dos hechos metropolitanos de Seguridad Alimentaria y Comercialización.
* Acuerdo Regional No. 09. 23 de dic 2022. “Por medio del cual se identifican los hechos metropolitanos del área temática de Seguridad Alimentaria y Comercialización”
* Se apoyo en la identificación y estructuración de los proyectos a desarrollar en la vigencia 2023 para la Región Metropolitana en el marco de los dos hechos metropolitanos establecidos en el acuerdo 09-2022. ARTÍCULO 1°. Identificar como hecho metropolitano “Gestión del sistema de abastecimiento y comercialización agropecuaria para mayor eficiencia de la relación funcional entre la producción y el consumo”. ARTÍCULO 2°. Identificar como hecho metropolitano “Gestión del sistema logístico y distribución de alimentos para reducir ineficiencias y sus impactos sociales, económicos y ambientales”.
Los proyectos estructurados conjuntamente con la Agencia de Comercialización de Cundinamarca son: 
- 1. Planta regional de gestión y  aprovechamiento de residuos orgánicos 
- 2. Compramos tu cosecha regional (CTC – Regional)
- 3. Producción agropecuaria regional planificada (PARP)
- 4. Factibilidad del proceso de desconcentración de Corabastos
*Participación enla  sesión de la Región Metropolitana, el pasado 17 de mayo de 2023, en la que se desarrollaron los siguientes temas: Covocatoria del Director y nombramiento de planta de personal, estructura presupuestal de la Región Central y las Agencias, informe sobre la ejecución de proyectos entre ellos el de seguridad alimentaria y propuesta de creación de agencias entre la que se encuentra la Agencia Regional de Abastecimiento.
</v>
      </c>
      <c r="N1908" s="25"/>
      <c r="O1908" s="25" t="str">
        <f t="shared" ca="1" si="0"/>
        <v>Secretaría Distrital de Desarrollo Económico</v>
      </c>
      <c r="P1908" s="25" t="str">
        <f t="shared" ca="1" si="2"/>
        <v/>
      </c>
      <c r="Q1908" s="25" t="str">
        <f ca="1">IFERROR(__xludf.DUMMYFUNCTION("""COMPUTED_VALUE"""),"Mediano plazo")</f>
        <v>Mediano plazo</v>
      </c>
      <c r="R1908" s="25"/>
      <c r="S1908" s="55"/>
      <c r="T1908" s="56"/>
      <c r="U1908" s="25"/>
      <c r="V1908" s="25"/>
      <c r="W1908" s="25"/>
      <c r="X1908" s="25"/>
      <c r="Y1908" s="25"/>
      <c r="Z1908" s="25"/>
    </row>
    <row r="1909" spans="1:26" ht="52.5" customHeight="1" x14ac:dyDescent="0.25">
      <c r="A1909" s="25" t="str">
        <f ca="1">IFERROR(__xludf.DUMMYFUNCTION("""COMPUTED_VALUE"""),"Desar107")</f>
        <v>Desar107</v>
      </c>
      <c r="B1909" s="25" t="str">
        <f ca="1">IFERROR(__xludf.DUMMYFUNCTION("""COMPUTED_VALUE"""),"Plan de carreteros, habitantes de calle y basuras")</f>
        <v>Plan de carreteros, habitantes de calle y basuras</v>
      </c>
      <c r="C1909" s="55">
        <f ca="1">IFERROR(__xludf.DUMMYFUNCTION("""COMPUTED_VALUE"""),44620)</f>
        <v>44620</v>
      </c>
      <c r="D1909" s="25" t="str">
        <f ca="1">IFERROR(__xludf.DUMMYFUNCTION("""COMPUTED_VALUE"""),"Desarrollo_Económico")</f>
        <v>Desarrollo_Económico</v>
      </c>
      <c r="E1909" s="25" t="str">
        <f ca="1">IFERROR(__xludf.DUMMYFUNCTION("""COMPUTED_VALUE"""),"Secretaría Distrital de Desarrollo Económico")</f>
        <v>Secretaría Distrital de Desarrollo Económico</v>
      </c>
      <c r="F1909" s="25" t="str">
        <f ca="1">IFERROR(__xludf.DUMMYFUNCTION("""COMPUTED_VALUE"""),"Asesorar, desde la SDDE, a las 8 asociaciones que recogen escombros para formalizarlas.")</f>
        <v>Asesorar, desde la SDDE, a las 8 asociaciones que recogen escombros para formalizarlas.</v>
      </c>
      <c r="G1909" s="55" t="str">
        <f ca="1">IFERROR(__xludf.DUMMYFUNCTION("""COMPUTED_VALUE"""),"99. Distrito")</f>
        <v>99. Distrito</v>
      </c>
      <c r="H1909" s="55">
        <f ca="1">IFERROR(__xludf.DUMMYFUNCTION("""COMPUTED_VALUE"""),44910)</f>
        <v>44910</v>
      </c>
      <c r="I1909" s="25" t="str">
        <f ca="1">IFERROR(__xludf.DUMMYFUNCTION("""COMPUTED_VALUE"""),"Secretaría Privada")</f>
        <v>Secretaría Privada</v>
      </c>
      <c r="J1909" s="55" t="str">
        <f ca="1">IFERROR(__xludf.DUMMYFUNCTION("""COMPUTED_VALUE"""),"Baja")</f>
        <v>Baja</v>
      </c>
      <c r="K1909" s="25">
        <f ca="1">IFERROR(__xludf.DUMMYFUNCTION("""COMPUTED_VALUE"""),290)</f>
        <v>290</v>
      </c>
      <c r="L1909" s="62"/>
      <c r="M1909" s="25" t="str">
        <f ca="1">IFERROR(__xludf.DUMMYFUNCTION("""COMPUTED_VALUE"""),"Las asociaciones no están como organizaciones de reciclaje por lo que no entran en la categoría Jurídica que soporta el Registro Único de Organizaciones de Recicladores (RUOR). Podría generarse un acompañamiento desde la Secretaría de Desarrollo Económico"&amp;" para el fortalecimiento empresarial ante Cámara de Comercio y su control por medio de la Superintendencia ")</f>
        <v xml:space="preserve">Las asociaciones no están como organizaciones de reciclaje por lo que no entran en la categoría Jurídica que soporta el Registro Único de Organizaciones de Recicladores (RUOR). Podría generarse un acompañamiento desde la Secretaría de Desarrollo Económico para el fortalecimiento empresarial ante Cámara de Comercio y su control por medio de la Superintendencia </v>
      </c>
      <c r="N1909" s="25"/>
      <c r="O1909" s="25" t="str">
        <f t="shared" ca="1" si="0"/>
        <v>Secretaría Distrital de Desarrollo Económico</v>
      </c>
      <c r="P1909" s="25" t="str">
        <f t="shared" ca="1" si="2"/>
        <v/>
      </c>
      <c r="Q1909" s="25" t="str">
        <f ca="1">IFERROR(__xludf.DUMMYFUNCTION("""COMPUTED_VALUE"""),"Largo plazo")</f>
        <v>Largo plazo</v>
      </c>
      <c r="R1909" s="25"/>
      <c r="S1909" s="55"/>
      <c r="T1909" s="56"/>
      <c r="U1909" s="25"/>
      <c r="V1909" s="25"/>
      <c r="W1909" s="25"/>
      <c r="X1909" s="25"/>
      <c r="Y1909" s="25"/>
      <c r="Z1909" s="25"/>
    </row>
    <row r="1910" spans="1:26" ht="52.5" customHeight="1" x14ac:dyDescent="0.25">
      <c r="A1910" s="25" t="str">
        <f ca="1">IFERROR(__xludf.DUMMYFUNCTION("""COMPUTED_VALUE"""),"Desar108")</f>
        <v>Desar108</v>
      </c>
      <c r="B1910" s="25" t="str">
        <f ca="1">IFERROR(__xludf.DUMMYFUNCTION("""COMPUTED_VALUE"""),"Recorrido Barrios Unidos")</f>
        <v>Recorrido Barrios Unidos</v>
      </c>
      <c r="C1910" s="55">
        <f ca="1">IFERROR(__xludf.DUMMYFUNCTION("""COMPUTED_VALUE"""),44978)</f>
        <v>44978</v>
      </c>
      <c r="D1910" s="25" t="str">
        <f ca="1">IFERROR(__xludf.DUMMYFUNCTION("""COMPUTED_VALUE"""),"Desarrollo_Económico")</f>
        <v>Desarrollo_Económico</v>
      </c>
      <c r="E1910" s="25" t="str">
        <f ca="1">IFERROR(__xludf.DUMMYFUNCTION("""COMPUTED_VALUE"""),"Secretaría Distrital de Desarrollo Económico")</f>
        <v>Secretaría Distrital de Desarrollo Económico</v>
      </c>
      <c r="F1910" s="25" t="str">
        <f ca="1">IFERROR(__xludf.DUMMYFUNCTION("""COMPUTED_VALUE"""),"Definir una marca clara para el sector, el compromiso es que la marca esté para marzo.")</f>
        <v>Definir una marca clara para el sector, el compromiso es que la marca esté para marzo.</v>
      </c>
      <c r="G1910" s="55" t="str">
        <f ca="1">IFERROR(__xludf.DUMMYFUNCTION("""COMPUTED_VALUE"""),"12. Barrios Unidos")</f>
        <v>12. Barrios Unidos</v>
      </c>
      <c r="H1910" s="55">
        <f ca="1">IFERROR(__xludf.DUMMYFUNCTION("""COMPUTED_VALUE"""),45077)</f>
        <v>45077</v>
      </c>
      <c r="I1910" s="25" t="str">
        <f ca="1">IFERROR(__xludf.DUMMYFUNCTION("""COMPUTED_VALUE"""),"Secretaría Privada")</f>
        <v>Secretaría Privada</v>
      </c>
      <c r="J1910" s="55" t="str">
        <f ca="1">IFERROR(__xludf.DUMMYFUNCTION("""COMPUTED_VALUE"""),"Media")</f>
        <v>Media</v>
      </c>
      <c r="K1910" s="25">
        <f ca="1">IFERROR(__xludf.DUMMYFUNCTION("""COMPUTED_VALUE"""),99)</f>
        <v>99</v>
      </c>
      <c r="L1910" s="62">
        <f ca="1">IFERROR(__xludf.DUMMYFUNCTION("""COMPUTED_VALUE"""),45083)</f>
        <v>45083</v>
      </c>
      <c r="M1910" s="25" t="str">
        <f ca="1">IFERROR(__xludf.DUMMYFUNCTION("""COMPUTED_VALUE"""),"Con corte al 31 de mayo se cuenta con la dos marcas creadas por cada una de las aglomeraciones que seran presentadas a los colectivos empresariales durante la tercera semana de junio para validaciony seleccion de una unica marca por cada aglomeración.")</f>
        <v>Con corte al 31 de mayo se cuenta con la dos marcas creadas por cada una de las aglomeraciones que seran presentadas a los colectivos empresariales durante la tercera semana de junio para validaciony seleccion de una unica marca por cada aglomeración.</v>
      </c>
      <c r="N1910" s="25"/>
      <c r="O1910" s="25" t="str">
        <f t="shared" ca="1" si="0"/>
        <v>Secretaría Distrital de Desarrollo Económico</v>
      </c>
      <c r="P1910" s="25" t="str">
        <f t="shared" ca="1" si="2"/>
        <v/>
      </c>
      <c r="Q1910" s="25" t="str">
        <f ca="1">IFERROR(__xludf.DUMMYFUNCTION("""COMPUTED_VALUE"""),"Mediano plazo")</f>
        <v>Mediano plazo</v>
      </c>
      <c r="R1910" s="25"/>
      <c r="S1910" s="55"/>
      <c r="T1910" s="56"/>
      <c r="U1910" s="25"/>
      <c r="V1910" s="25"/>
      <c r="W1910" s="25"/>
      <c r="X1910" s="25"/>
      <c r="Y1910" s="25"/>
      <c r="Z1910" s="25"/>
    </row>
    <row r="1911" spans="1:26" ht="52.5" customHeight="1" x14ac:dyDescent="0.25">
      <c r="A1911" s="25" t="str">
        <f ca="1">IFERROR(__xludf.DUMMYFUNCTION("""COMPUTED_VALUE"""),"Desar109")</f>
        <v>Desar109</v>
      </c>
      <c r="B1911" s="25" t="str">
        <f ca="1">IFERROR(__xludf.DUMMYFUNCTION("""COMPUTED_VALUE"""),"Recorrido Barrios Unidos")</f>
        <v>Recorrido Barrios Unidos</v>
      </c>
      <c r="C1911" s="55">
        <f ca="1">IFERROR(__xludf.DUMMYFUNCTION("""COMPUTED_VALUE"""),44978)</f>
        <v>44978</v>
      </c>
      <c r="D1911" s="25" t="str">
        <f ca="1">IFERROR(__xludf.DUMMYFUNCTION("""COMPUTED_VALUE"""),"Desarrollo_Económico")</f>
        <v>Desarrollo_Económico</v>
      </c>
      <c r="E1911" s="25" t="str">
        <f ca="1">IFERROR(__xludf.DUMMYFUNCTION("""COMPUTED_VALUE"""),"Secretaría Distrital de Desarrollo Económico")</f>
        <v>Secretaría Distrital de Desarrollo Económico</v>
      </c>
      <c r="F1911" s="25" t="str">
        <f ca="1">IFERROR(__xludf.DUMMYFUNCTION("""COMPUTED_VALUE"""),"En marzo todos los comerciantes del sector deben colgar sus productos en la plataforma vitrina digital en el marco del lanzamiento de esta estrategia.")</f>
        <v>En marzo todos los comerciantes del sector deben colgar sus productos en la plataforma vitrina digital en el marco del lanzamiento de esta estrategia.</v>
      </c>
      <c r="G1911" s="55" t="str">
        <f ca="1">IFERROR(__xludf.DUMMYFUNCTION("""COMPUTED_VALUE"""),"12. Barrios Unidos")</f>
        <v>12. Barrios Unidos</v>
      </c>
      <c r="H1911" s="55">
        <f ca="1">IFERROR(__xludf.DUMMYFUNCTION("""COMPUTED_VALUE"""),45077)</f>
        <v>45077</v>
      </c>
      <c r="I1911" s="25" t="str">
        <f ca="1">IFERROR(__xludf.DUMMYFUNCTION("""COMPUTED_VALUE"""),"Secretaría Privada")</f>
        <v>Secretaría Privada</v>
      </c>
      <c r="J1911" s="55" t="str">
        <f ca="1">IFERROR(__xludf.DUMMYFUNCTION("""COMPUTED_VALUE"""),"Media")</f>
        <v>Media</v>
      </c>
      <c r="K1911" s="25">
        <f ca="1">IFERROR(__xludf.DUMMYFUNCTION("""COMPUTED_VALUE"""),99)</f>
        <v>99</v>
      </c>
      <c r="L1911" s="62">
        <f ca="1">IFERROR(__xludf.DUMMYFUNCTION("""COMPUTED_VALUE"""),45083)</f>
        <v>45083</v>
      </c>
      <c r="M1911" s="25" t="str">
        <f ca="1">IFERROR(__xludf.DUMMYFUNCTION("""COMPUTED_VALUE"""),"Con corte al 31 de mayo se ceunta con cuenta 829 empresas de las cinco aglomeraciones para dar inicio a la vinculacion de la vitrian comercial virtual. Se anexa el previsualizacion de la vitrian en la que se dara el proceso https://storage.net-fs.com/host"&amp;"ing/7297046/89/")</f>
        <v>Con corte al 31 de mayo se ceunta con cuenta 829 empresas de las cinco aglomeraciones para dar inicio a la vinculacion de la vitrian comercial virtual. Se anexa el previsualizacion de la vitrian en la que se dara el proceso https://storage.net-fs.com/hosting/7297046/89/</v>
      </c>
      <c r="N1911" s="25"/>
      <c r="O1911" s="25" t="str">
        <f t="shared" ca="1" si="0"/>
        <v>Secretaría Distrital de Desarrollo Económico</v>
      </c>
      <c r="P1911" s="25" t="str">
        <f t="shared" ca="1" si="2"/>
        <v/>
      </c>
      <c r="Q1911" s="25" t="str">
        <f ca="1">IFERROR(__xludf.DUMMYFUNCTION("""COMPUTED_VALUE"""),"Mediano plazo")</f>
        <v>Mediano plazo</v>
      </c>
      <c r="R1911" s="25"/>
      <c r="S1911" s="55"/>
      <c r="T1911" s="56"/>
      <c r="U1911" s="25"/>
      <c r="V1911" s="25"/>
      <c r="W1911" s="25"/>
      <c r="X1911" s="25"/>
      <c r="Y1911" s="25"/>
      <c r="Z1911" s="25"/>
    </row>
    <row r="1912" spans="1:26" ht="52.5" customHeight="1" x14ac:dyDescent="0.25">
      <c r="A1912" s="25" t="str">
        <f ca="1">IFERROR(__xludf.DUMMYFUNCTION("""COMPUTED_VALUE"""),"Desar110")</f>
        <v>Desar110</v>
      </c>
      <c r="B1912" s="25" t="str">
        <f ca="1">IFERROR(__xludf.DUMMYFUNCTION("""COMPUTED_VALUE"""),"Recorrido Barrios Unidos")</f>
        <v>Recorrido Barrios Unidos</v>
      </c>
      <c r="C1912" s="55">
        <f ca="1">IFERROR(__xludf.DUMMYFUNCTION("""COMPUTED_VALUE"""),44978)</f>
        <v>44978</v>
      </c>
      <c r="D1912" s="25" t="str">
        <f ca="1">IFERROR(__xludf.DUMMYFUNCTION("""COMPUTED_VALUE"""),"Desarrollo_Económico")</f>
        <v>Desarrollo_Económico</v>
      </c>
      <c r="E1912" s="25" t="str">
        <f ca="1">IFERROR(__xludf.DUMMYFUNCTION("""COMPUTED_VALUE"""),"Secretaría Distrital de Desarrollo Económico")</f>
        <v>Secretaría Distrital de Desarrollo Económico</v>
      </c>
      <c r="F1912" s="25" t="str">
        <f ca="1">IFERROR(__xludf.DUMMYFUNCTION("""COMPUTED_VALUE"""),"Coordinar con comerciantes y SDDE la estrategia para la realización de una feria “shoowroom” previa a la Feria del Hogar de Corferias en el 12 de octubre en la cual participen proveedores de insumos y compradores. Una vez definida esta estrategia, se pres"&amp;"entará la propuesta ante Corferias.")</f>
        <v>Coordinar con comerciantes y SDDE la estrategia para la realización de una feria “shoowroom” previa a la Feria del Hogar de Corferias en el 12 de octubre en la cual participen proveedores de insumos y compradores. Una vez definida esta estrategia, se presentará la propuesta ante Corferias.</v>
      </c>
      <c r="G1912" s="55" t="str">
        <f ca="1">IFERROR(__xludf.DUMMYFUNCTION("""COMPUTED_VALUE"""),"12. Barrios Unidos")</f>
        <v>12. Barrios Unidos</v>
      </c>
      <c r="H1912" s="55">
        <f ca="1">IFERROR(__xludf.DUMMYFUNCTION("""COMPUTED_VALUE"""),45077)</f>
        <v>45077</v>
      </c>
      <c r="I1912" s="25" t="str">
        <f ca="1">IFERROR(__xludf.DUMMYFUNCTION("""COMPUTED_VALUE"""),"Secretaría Privada")</f>
        <v>Secretaría Privada</v>
      </c>
      <c r="J1912" s="55" t="str">
        <f ca="1">IFERROR(__xludf.DUMMYFUNCTION("""COMPUTED_VALUE"""),"Media")</f>
        <v>Media</v>
      </c>
      <c r="K1912" s="25">
        <f ca="1">IFERROR(__xludf.DUMMYFUNCTION("""COMPUTED_VALUE"""),99)</f>
        <v>99</v>
      </c>
      <c r="L1912" s="62">
        <f ca="1">IFERROR(__xludf.DUMMYFUNCTION("""COMPUTED_VALUE"""),45083)</f>
        <v>45083</v>
      </c>
      <c r="M1912" s="25" t="str">
        <f ca="1">IFERROR(__xludf.DUMMYFUNCTION("""COMPUTED_VALUE"""),"Con corte al 31 de mayo se cuenta con la propuesta de circuito comercial creadas por cada una de las aglomeraciones que seran presentadas a los colectivos empresariales durante la tercera semana de junio para validacion e inicio de postulación de los empr"&amp;"esaris interesados en participar.")</f>
        <v>Con corte al 31 de mayo se cuenta con la propuesta de circuito comercial creadas por cada una de las aglomeraciones que seran presentadas a los colectivos empresariales durante la tercera semana de junio para validacion e inicio de postulación de los empresaris interesados en participar.</v>
      </c>
      <c r="N1912" s="25"/>
      <c r="O1912" s="25" t="str">
        <f t="shared" ca="1" si="0"/>
        <v>Secretaría Distrital de Desarrollo Económico</v>
      </c>
      <c r="P1912" s="25" t="str">
        <f t="shared" ca="1" si="2"/>
        <v/>
      </c>
      <c r="Q1912" s="25" t="str">
        <f ca="1">IFERROR(__xludf.DUMMYFUNCTION("""COMPUTED_VALUE"""),"Mediano plazo")</f>
        <v>Mediano plazo</v>
      </c>
      <c r="R1912" s="25"/>
      <c r="S1912" s="55"/>
      <c r="T1912" s="56"/>
      <c r="U1912" s="25"/>
      <c r="V1912" s="25"/>
      <c r="W1912" s="25"/>
      <c r="X1912" s="25"/>
      <c r="Y1912" s="25"/>
      <c r="Z1912" s="25"/>
    </row>
    <row r="1913" spans="1:26" ht="52.5" customHeight="1" x14ac:dyDescent="0.25">
      <c r="A1913" s="25" t="str">
        <f ca="1">IFERROR(__xludf.DUMMYFUNCTION("""COMPUTED_VALUE"""),"Desar111")</f>
        <v>Desar111</v>
      </c>
      <c r="B1913" s="25" t="str">
        <f ca="1">IFERROR(__xludf.DUMMYFUNCTION("""COMPUTED_VALUE"""),"Recorrido Barrios Unidos")</f>
        <v>Recorrido Barrios Unidos</v>
      </c>
      <c r="C1913" s="55">
        <f ca="1">IFERROR(__xludf.DUMMYFUNCTION("""COMPUTED_VALUE"""),44978)</f>
        <v>44978</v>
      </c>
      <c r="D1913" s="25" t="str">
        <f ca="1">IFERROR(__xludf.DUMMYFUNCTION("""COMPUTED_VALUE"""),"Desarrollo_Económico")</f>
        <v>Desarrollo_Económico</v>
      </c>
      <c r="E1913" s="25" t="str">
        <f ca="1">IFERROR(__xludf.DUMMYFUNCTION("""COMPUTED_VALUE"""),"Secretaría Distrital de Desarrollo Económico")</f>
        <v>Secretaría Distrital de Desarrollo Económico</v>
      </c>
      <c r="F1913" s="25" t="str">
        <f ca="1">IFERROR(__xludf.DUMMYFUNCTION("""COMPUTED_VALUE"""),"Someter a votación a través de chatico el nombre/marca del sector del 12 de Octubre")</f>
        <v>Someter a votación a través de chatico el nombre/marca del sector del 12 de Octubre</v>
      </c>
      <c r="G1913" s="55" t="str">
        <f ca="1">IFERROR(__xludf.DUMMYFUNCTION("""COMPUTED_VALUE"""),"12. Barrios Unidos")</f>
        <v>12. Barrios Unidos</v>
      </c>
      <c r="H1913" s="55">
        <f ca="1">IFERROR(__xludf.DUMMYFUNCTION("""COMPUTED_VALUE"""),45077)</f>
        <v>45077</v>
      </c>
      <c r="I1913" s="25" t="str">
        <f ca="1">IFERROR(__xludf.DUMMYFUNCTION("""COMPUTED_VALUE"""),"Secretaría Privada")</f>
        <v>Secretaría Privada</v>
      </c>
      <c r="J1913" s="55" t="str">
        <f ca="1">IFERROR(__xludf.DUMMYFUNCTION("""COMPUTED_VALUE"""),"Media")</f>
        <v>Media</v>
      </c>
      <c r="K1913" s="25">
        <f ca="1">IFERROR(__xludf.DUMMYFUNCTION("""COMPUTED_VALUE"""),99)</f>
        <v>99</v>
      </c>
      <c r="L1913" s="62">
        <f ca="1">IFERROR(__xludf.DUMMYFUNCTION("""COMPUTED_VALUE"""),45083)</f>
        <v>45083</v>
      </c>
      <c r="M1913" s="25" t="str">
        <f ca="1">IFERROR(__xludf.DUMMYFUNCTION("""COMPUTED_VALUE"""),"Para el periodo de mayo de 2023 y teniendo en cuenta que desde el 17 de marzo de 2023 el contrato se encontraba suspendido se realizó el seguimiento y dado las diferentes comités el operador considero pertinente realizar la cesión del contrato con el nuev"&amp;"o operador SOTAVENTO, en el cual se reactivo el contrato el dia 29 de abril y desde alli se han venido adelantado actividades en las aglomeraciones y se esta validando el mecanismo de aprobación.")</f>
        <v>Para el periodo de mayo de 2023 y teniendo en cuenta que desde el 17 de marzo de 2023 el contrato se encontraba suspendido se realizó el seguimiento y dado las diferentes comités el operador considero pertinente realizar la cesión del contrato con el nuevo operador SOTAVENTO, en el cual se reactivo el contrato el dia 29 de abril y desde alli se han venido adelantado actividades en las aglomeraciones y se esta validando el mecanismo de aprobación.</v>
      </c>
      <c r="N1913" s="25"/>
      <c r="O1913" s="25" t="str">
        <f t="shared" ca="1" si="0"/>
        <v>Secretaría Distrital de Desarrollo Económico</v>
      </c>
      <c r="P1913" s="25" t="str">
        <f t="shared" ca="1" si="2"/>
        <v/>
      </c>
      <c r="Q1913" s="25" t="str">
        <f ca="1">IFERROR(__xludf.DUMMYFUNCTION("""COMPUTED_VALUE"""),"Mediano plazo")</f>
        <v>Mediano plazo</v>
      </c>
      <c r="R1913" s="25"/>
      <c r="S1913" s="55"/>
      <c r="T1913" s="56"/>
      <c r="U1913" s="25"/>
      <c r="V1913" s="25"/>
      <c r="W1913" s="25"/>
      <c r="X1913" s="25"/>
      <c r="Y1913" s="25"/>
      <c r="Z1913" s="25"/>
    </row>
    <row r="1914" spans="1:26" ht="52.5" customHeight="1" x14ac:dyDescent="0.25">
      <c r="A1914" s="25" t="str">
        <f ca="1">IFERROR(__xludf.DUMMYFUNCTION("""COMPUTED_VALUE"""),"Desar112")</f>
        <v>Desar112</v>
      </c>
      <c r="B1914" s="25" t="str">
        <f ca="1">IFERROR(__xludf.DUMMYFUNCTION("""COMPUTED_VALUE"""),"Recorrido Barrios Unidos")</f>
        <v>Recorrido Barrios Unidos</v>
      </c>
      <c r="C1914" s="55">
        <f ca="1">IFERROR(__xludf.DUMMYFUNCTION("""COMPUTED_VALUE"""),44978)</f>
        <v>44978</v>
      </c>
      <c r="D1914" s="25" t="str">
        <f ca="1">IFERROR(__xludf.DUMMYFUNCTION("""COMPUTED_VALUE"""),"Desarrollo_Económico")</f>
        <v>Desarrollo_Económico</v>
      </c>
      <c r="E1914" s="25" t="str">
        <f ca="1">IFERROR(__xludf.DUMMYFUNCTION("""COMPUTED_VALUE"""),"Secretaría Distrital de Desarrollo Económico")</f>
        <v>Secretaría Distrital de Desarrollo Económico</v>
      </c>
      <c r="F1914" s="25" t="str">
        <f ca="1">IFERROR(__xludf.DUMMYFUNCTION("""COMPUTED_VALUE"""),"Enlazar a los comerciantes interesados del sector del 12 de octubre con el Gobierno Nacional para revisar la posibilidad de construir una mesa de trabajo sobre regulación de precios de insumos y aranceles para el sector manufacturero.")</f>
        <v>Enlazar a los comerciantes interesados del sector del 12 de octubre con el Gobierno Nacional para revisar la posibilidad de construir una mesa de trabajo sobre regulación de precios de insumos y aranceles para el sector manufacturero.</v>
      </c>
      <c r="G1914" s="55" t="str">
        <f ca="1">IFERROR(__xludf.DUMMYFUNCTION("""COMPUTED_VALUE"""),"12. Barrios Unidos")</f>
        <v>12. Barrios Unidos</v>
      </c>
      <c r="H1914" s="55">
        <f ca="1">IFERROR(__xludf.DUMMYFUNCTION("""COMPUTED_VALUE"""),45015)</f>
        <v>45015</v>
      </c>
      <c r="I1914" s="25" t="str">
        <f ca="1">IFERROR(__xludf.DUMMYFUNCTION("""COMPUTED_VALUE"""),"Secretaría Privada")</f>
        <v>Secretaría Privada</v>
      </c>
      <c r="J1914" s="55" t="str">
        <f ca="1">IFERROR(__xludf.DUMMYFUNCTION("""COMPUTED_VALUE"""),"Alta")</f>
        <v>Alta</v>
      </c>
      <c r="K1914" s="25">
        <f ca="1">IFERROR(__xludf.DUMMYFUNCTION("""COMPUTED_VALUE"""),37)</f>
        <v>37</v>
      </c>
      <c r="L1914" s="62">
        <f ca="1">IFERROR(__xludf.DUMMYFUNCTION("""COMPUTED_VALUE"""),45083)</f>
        <v>45083</v>
      </c>
      <c r="M1914" s="25" t="str">
        <f ca="1">IFERROR(__xludf.DUMMYFUNCTION("""COMPUTED_VALUE"""),"No asignada")</f>
        <v>No asignada</v>
      </c>
      <c r="N1914" s="55" t="str">
        <f ca="1">IFERROR(__xludf.DUMMYFUNCTION("""COMPUTED_VALUE"""),"Por definir")</f>
        <v>Por definir</v>
      </c>
      <c r="O1914" s="25" t="str">
        <f t="shared" ca="1" si="0"/>
        <v>Secretaría Distrital de Desarrollo Económico</v>
      </c>
      <c r="P1914" s="25" t="str">
        <f t="shared" ca="1" si="2"/>
        <v/>
      </c>
      <c r="Q1914" s="25" t="str">
        <f ca="1">IFERROR(__xludf.DUMMYFUNCTION("""COMPUTED_VALUE"""),"Corto plazo")</f>
        <v>Corto plazo</v>
      </c>
      <c r="R1914" s="25"/>
      <c r="S1914" s="55"/>
      <c r="T1914" s="56"/>
      <c r="U1914" s="25"/>
      <c r="V1914" s="25"/>
      <c r="W1914" s="25"/>
      <c r="X1914" s="25"/>
      <c r="Y1914" s="25"/>
      <c r="Z1914" s="25"/>
    </row>
    <row r="1915" spans="1:26" ht="52.5" customHeight="1" x14ac:dyDescent="0.25">
      <c r="A1915" s="25" t="str">
        <f ca="1">IFERROR(__xludf.DUMMYFUNCTION("""COMPUTED_VALUE"""),"Desar113")</f>
        <v>Desar113</v>
      </c>
      <c r="B1915" s="25" t="str">
        <f ca="1">IFERROR(__xludf.DUMMYFUNCTION("""COMPUTED_VALUE"""),"Recorrido Barrios Unidos")</f>
        <v>Recorrido Barrios Unidos</v>
      </c>
      <c r="C1915" s="55">
        <f ca="1">IFERROR(__xludf.DUMMYFUNCTION("""COMPUTED_VALUE"""),44978)</f>
        <v>44978</v>
      </c>
      <c r="D1915" s="25" t="str">
        <f ca="1">IFERROR(__xludf.DUMMYFUNCTION("""COMPUTED_VALUE"""),"Desarrollo_Económico")</f>
        <v>Desarrollo_Económico</v>
      </c>
      <c r="E1915" s="25" t="str">
        <f ca="1">IFERROR(__xludf.DUMMYFUNCTION("""COMPUTED_VALUE"""),"Secretaría Distrital de Desarrollo Económico")</f>
        <v>Secretaría Distrital de Desarrollo Económico</v>
      </c>
      <c r="F1915" s="25" t="str">
        <f ca="1">IFERROR(__xludf.DUMMYFUNCTION("""COMPUTED_VALUE"""),"Proponerle a los comerciantes de los POSTRES de la cra 60 que se formalicen ante la SDDE y el DADEP como zona de Cielo Abierto Dulce.")</f>
        <v>Proponerle a los comerciantes de los POSTRES de la cra 60 que se formalicen ante la SDDE y el DADEP como zona de Cielo Abierto Dulce.</v>
      </c>
      <c r="G1915" s="55" t="str">
        <f ca="1">IFERROR(__xludf.DUMMYFUNCTION("""COMPUTED_VALUE"""),"12. Barrios Unidos")</f>
        <v>12. Barrios Unidos</v>
      </c>
      <c r="H1915" s="55">
        <f ca="1">IFERROR(__xludf.DUMMYFUNCTION("""COMPUTED_VALUE"""),45005)</f>
        <v>45005</v>
      </c>
      <c r="I1915" s="25" t="str">
        <f ca="1">IFERROR(__xludf.DUMMYFUNCTION("""COMPUTED_VALUE"""),"Secretaría Privada")</f>
        <v>Secretaría Privada</v>
      </c>
      <c r="J1915" s="55" t="str">
        <f ca="1">IFERROR(__xludf.DUMMYFUNCTION("""COMPUTED_VALUE"""),"Alta")</f>
        <v>Alta</v>
      </c>
      <c r="K1915" s="25">
        <f ca="1">IFERROR(__xludf.DUMMYFUNCTION("""COMPUTED_VALUE"""),27)</f>
        <v>27</v>
      </c>
      <c r="L1915" s="62">
        <f ca="1">IFERROR(__xludf.DUMMYFUNCTION("""COMPUTED_VALUE"""),45026)</f>
        <v>45026</v>
      </c>
      <c r="M1915" s="25" t="str">
        <f ca="1">IFERROR(__xludf.DUMMYFUNCTION("""COMPUTED_VALUE"""),"De acuerdo con el Decreto 070/2022 la estrategia Bogotá a cielo abierto, es responsabilidad del DADEP, el 21 de marzo, se articularon el encargado del DADEP y la edilesa Julbia Ines Herrera, se realizo visita y medición de los espacios")</f>
        <v>De acuerdo con el Decreto 070/2022 la estrategia Bogotá a cielo abierto, es responsabilidad del DADEP, el 21 de marzo, se articularon el encargado del DADEP y la edilesa Julbia Ines Herrera, se realizo visita y medición de los espacios</v>
      </c>
      <c r="N1915" s="25"/>
      <c r="O1915" s="25" t="str">
        <f t="shared" ca="1" si="0"/>
        <v>Secretaría Distrital de Desarrollo Económico</v>
      </c>
      <c r="P1915" s="25" t="str">
        <f t="shared" ca="1" si="2"/>
        <v/>
      </c>
      <c r="Q1915" s="25" t="str">
        <f ca="1">IFERROR(__xludf.DUMMYFUNCTION("""COMPUTED_VALUE"""),"Corto plazo")</f>
        <v>Corto plazo</v>
      </c>
      <c r="R1915" s="25"/>
      <c r="S1915" s="55"/>
      <c r="T1915" s="56"/>
      <c r="U1915" s="25"/>
      <c r="V1915" s="25"/>
      <c r="W1915" s="25"/>
      <c r="X1915" s="25"/>
      <c r="Y1915" s="25"/>
      <c r="Z1915" s="25"/>
    </row>
    <row r="1916" spans="1:26" ht="52.5" customHeight="1" x14ac:dyDescent="0.25">
      <c r="A1916" s="25" t="str">
        <f ca="1">IFERROR(__xludf.DUMMYFUNCTION("""COMPUTED_VALUE"""),"Desar114")</f>
        <v>Desar114</v>
      </c>
      <c r="B1916" s="25" t="str">
        <f ca="1">IFERROR(__xludf.DUMMYFUNCTION("""COMPUTED_VALUE"""),"Recorrido Fontibón")</f>
        <v>Recorrido Fontibón</v>
      </c>
      <c r="C1916" s="55">
        <f ca="1">IFERROR(__xludf.DUMMYFUNCTION("""COMPUTED_VALUE"""),44984)</f>
        <v>44984</v>
      </c>
      <c r="D1916" s="25" t="str">
        <f ca="1">IFERROR(__xludf.DUMMYFUNCTION("""COMPUTED_VALUE"""),"Desarrollo_Económico")</f>
        <v>Desarrollo_Económico</v>
      </c>
      <c r="E1916" s="25" t="str">
        <f ca="1">IFERROR(__xludf.DUMMYFUNCTION("""COMPUTED_VALUE"""),"Instituto para la Economía Social")</f>
        <v>Instituto para la Economía Social</v>
      </c>
      <c r="F1916" s="25" t="str">
        <f ca="1">IFERROR(__xludf.DUMMYFUNCTION("""COMPUTED_VALUE"""),"Brindar atención a la problemática de ocupación del espacio púbico por parte de vendedores ambulantes en la plaza de Fontibón. También, en articulación con la SDSCJ redoblar esfuerzos contra el microtráfico en este punto de comercio.")</f>
        <v>Brindar atención a la problemática de ocupación del espacio púbico por parte de vendedores ambulantes en la plaza de Fontibón. También, en articulación con la SDSCJ redoblar esfuerzos contra el microtráfico en este punto de comercio.</v>
      </c>
      <c r="G1916" s="55" t="str">
        <f ca="1">IFERROR(__xludf.DUMMYFUNCTION("""COMPUTED_VALUE"""),"09. Fontibón")</f>
        <v>09. Fontibón</v>
      </c>
      <c r="H1916" s="55">
        <f ca="1">IFERROR(__xludf.DUMMYFUNCTION("""COMPUTED_VALUE"""),45041)</f>
        <v>45041</v>
      </c>
      <c r="I1916" s="25" t="str">
        <f ca="1">IFERROR(__xludf.DUMMYFUNCTION("""COMPUTED_VALUE"""),"Secretaría Privada")</f>
        <v>Secretaría Privada</v>
      </c>
      <c r="J1916" s="55" t="str">
        <f ca="1">IFERROR(__xludf.DUMMYFUNCTION("""COMPUTED_VALUE"""),"Alta")</f>
        <v>Alta</v>
      </c>
      <c r="K1916" s="25">
        <f ca="1">IFERROR(__xludf.DUMMYFUNCTION("""COMPUTED_VALUE"""),57)</f>
        <v>57</v>
      </c>
      <c r="L1916" s="62">
        <f ca="1">IFERROR(__xludf.DUMMYFUNCTION("""COMPUTED_VALUE"""),45083)</f>
        <v>45083</v>
      </c>
      <c r="M1916" s="25" t="str">
        <f ca="1">IFERROR(__xludf.DUMMYFUNCTION("""COMPUTED_VALUE"""),"En articulación con la Alcaldía Local en mesa de trabajo técnica durante la primera semana de junio, se definieron las acciones para continuar con proceso de construcción y suscripción del Acuerdo de Acción Colectiva. Entre ellas: 1. Triangular los inform"&amp;"es técnicos de caracterización adelantados en distintas vigencias por IPES, con la finalidad de establecer actores recurrentes en el sector. 2. Adelantar acciones de verificación en el sector para validar la información resultante del ejercicio de triangu"&amp;"lación de informes de caracterización, las anteriores acciones están definidas para desarrollarse entre la tercera semana de junio y la primera de julio.")</f>
        <v>En articulación con la Alcaldía Local en mesa de trabajo técnica durante la primera semana de junio, se definieron las acciones para continuar con proceso de construcción y suscripción del Acuerdo de Acción Colectiva. Entre ellas: 1. Triangular los informes técnicos de caracterización adelantados en distintas vigencias por IPES, con la finalidad de establecer actores recurrentes en el sector. 2. Adelantar acciones de verificación en el sector para validar la información resultante del ejercicio de triangulación de informes de caracterización, las anteriores acciones están definidas para desarrollarse entre la tercera semana de junio y la primera de julio.</v>
      </c>
      <c r="N1916" s="25"/>
      <c r="O1916" s="25" t="str">
        <f t="shared" ca="1" si="0"/>
        <v>Instituto para la Economía Social</v>
      </c>
      <c r="P1916" s="25" t="str">
        <f t="shared" ca="1" si="2"/>
        <v/>
      </c>
      <c r="Q1916" s="25" t="str">
        <f ca="1">IFERROR(__xludf.DUMMYFUNCTION("""COMPUTED_VALUE"""),"Corto plazo")</f>
        <v>Corto plazo</v>
      </c>
      <c r="R1916" s="25"/>
      <c r="S1916" s="55"/>
      <c r="T1916" s="56"/>
      <c r="U1916" s="25"/>
      <c r="V1916" s="25"/>
      <c r="W1916" s="25"/>
      <c r="X1916" s="25"/>
      <c r="Y1916" s="25"/>
      <c r="Z1916" s="25"/>
    </row>
    <row r="1917" spans="1:26" ht="52.5" customHeight="1" x14ac:dyDescent="0.25">
      <c r="A1917" s="25" t="str">
        <f ca="1">IFERROR(__xludf.DUMMYFUNCTION("""COMPUTED_VALUE"""),"Desar115")</f>
        <v>Desar115</v>
      </c>
      <c r="B1917" s="25" t="str">
        <f ca="1">IFERROR(__xludf.DUMMYFUNCTION("""COMPUTED_VALUE"""),"Recorrido Tunjuelito")</f>
        <v>Recorrido Tunjuelito</v>
      </c>
      <c r="C1917" s="55">
        <f ca="1">IFERROR(__xludf.DUMMYFUNCTION("""COMPUTED_VALUE"""),44992)</f>
        <v>44992</v>
      </c>
      <c r="D1917" s="25" t="str">
        <f ca="1">IFERROR(__xludf.DUMMYFUNCTION("""COMPUTED_VALUE"""),"Desarrollo_Económico")</f>
        <v>Desarrollo_Económico</v>
      </c>
      <c r="E1917" s="25" t="str">
        <f ca="1">IFERROR(__xludf.DUMMYFUNCTION("""COMPUTED_VALUE"""),"Secretaría Distrital de Desarrollo Económico")</f>
        <v>Secretaría Distrital de Desarrollo Económico</v>
      </c>
      <c r="F1917" s="25" t="str">
        <f ca="1">IFERROR(__xludf.DUMMYFUNCTION("""COMPUTED_VALUE"""),"Realizar feria del cuero en la localidad.")</f>
        <v>Realizar feria del cuero en la localidad.</v>
      </c>
      <c r="G1917" s="55" t="str">
        <f ca="1">IFERROR(__xludf.DUMMYFUNCTION("""COMPUTED_VALUE"""),"06. Tunjuelito")</f>
        <v>06. Tunjuelito</v>
      </c>
      <c r="H1917" s="55">
        <f ca="1">IFERROR(__xludf.DUMMYFUNCTION("""COMPUTED_VALUE"""),45168)</f>
        <v>45168</v>
      </c>
      <c r="I1917" s="25" t="str">
        <f ca="1">IFERROR(__xludf.DUMMYFUNCTION("""COMPUTED_VALUE"""),"Secretaría Privada")</f>
        <v>Secretaría Privada</v>
      </c>
      <c r="J1917" s="55" t="str">
        <f ca="1">IFERROR(__xludf.DUMMYFUNCTION("""COMPUTED_VALUE"""),"Media")</f>
        <v>Media</v>
      </c>
      <c r="K1917" s="25">
        <f ca="1">IFERROR(__xludf.DUMMYFUNCTION("""COMPUTED_VALUE"""),176)</f>
        <v>176</v>
      </c>
      <c r="L1917" s="62">
        <f ca="1">IFERROR(__xludf.DUMMYFUNCTION("""COMPUTED_VALUE"""),45083)</f>
        <v>45083</v>
      </c>
      <c r="M1917" s="25" t="str">
        <f ca="1">IFERROR(__xludf.DUMMYFUNCTION("""COMPUTED_VALUE"""),"Para el periodo de mayo de 2023 y teniendo en cuenta que desde el 17 de marzo de 2023 el contrato se encontraba suspendido se realizó el seguimiento y dado las diferentes comités el operador considero pertinente realizar la cesión del contrato con el nuev"&amp;"o operador SOTAVENTO, en el cual se reactivo el contrato el dia 29 de abril y desde alli se han venido adelantado actividades en las aglomeraciones.")</f>
        <v>Para el periodo de mayo de 2023 y teniendo en cuenta que desde el 17 de marzo de 2023 el contrato se encontraba suspendido se realizó el seguimiento y dado las diferentes comités el operador considero pertinente realizar la cesión del contrato con el nuevo operador SOTAVENTO, en el cual se reactivo el contrato el dia 29 de abril y desde alli se han venido adelantado actividades en las aglomeraciones.</v>
      </c>
      <c r="N1917" s="25"/>
      <c r="O1917" s="25" t="str">
        <f t="shared" ca="1" si="0"/>
        <v>Secretaría Distrital de Desarrollo Económico</v>
      </c>
      <c r="P1917" s="25" t="str">
        <f t="shared" ca="1" si="2"/>
        <v/>
      </c>
      <c r="Q1917" s="25" t="str">
        <f ca="1">IFERROR(__xludf.DUMMYFUNCTION("""COMPUTED_VALUE"""),"Mediano plazo")</f>
        <v>Mediano plazo</v>
      </c>
      <c r="R1917" s="25"/>
      <c r="S1917" s="55"/>
      <c r="T1917" s="56"/>
      <c r="U1917" s="25"/>
      <c r="V1917" s="25"/>
      <c r="W1917" s="25"/>
      <c r="X1917" s="25"/>
      <c r="Y1917" s="25"/>
      <c r="Z1917" s="25"/>
    </row>
    <row r="1918" spans="1:26" ht="52.5" customHeight="1" x14ac:dyDescent="0.25">
      <c r="A1918" s="25" t="str">
        <f ca="1">IFERROR(__xludf.DUMMYFUNCTION("""COMPUTED_VALUE"""),"Desar116")</f>
        <v>Desar116</v>
      </c>
      <c r="B1918" s="25" t="str">
        <f ca="1">IFERROR(__xludf.DUMMYFUNCTION("""COMPUTED_VALUE"""),"Recorrido Antonio Nariño")</f>
        <v>Recorrido Antonio Nariño</v>
      </c>
      <c r="C1918" s="55">
        <f ca="1">IFERROR(__xludf.DUMMYFUNCTION("""COMPUTED_VALUE"""),44999)</f>
        <v>44999</v>
      </c>
      <c r="D1918" s="25" t="str">
        <f ca="1">IFERROR(__xludf.DUMMYFUNCTION("""COMPUTED_VALUE"""),"Desarrollo_Económico")</f>
        <v>Desarrollo_Económico</v>
      </c>
      <c r="E1918" s="25" t="str">
        <f ca="1">IFERROR(__xludf.DUMMYFUNCTION("""COMPUTED_VALUE"""),"Secretaría Distrital de Desarrollo Económico")</f>
        <v>Secretaría Distrital de Desarrollo Económico</v>
      </c>
      <c r="F1918" s="25" t="str">
        <f ca="1">IFERROR(__xludf.DUMMYFUNCTION("""COMPUTED_VALUE"""),"Llevar a cabo feria de activación comercial del Restrepo en junio 2023.")</f>
        <v>Llevar a cabo feria de activación comercial del Restrepo en junio 2023.</v>
      </c>
      <c r="G1918" s="55" t="str">
        <f ca="1">IFERROR(__xludf.DUMMYFUNCTION("""COMPUTED_VALUE"""),"15. Antonio Nariño")</f>
        <v>15. Antonio Nariño</v>
      </c>
      <c r="H1918" s="55">
        <f ca="1">IFERROR(__xludf.DUMMYFUNCTION("""COMPUTED_VALUE"""),45107)</f>
        <v>45107</v>
      </c>
      <c r="I1918" s="25" t="str">
        <f ca="1">IFERROR(__xludf.DUMMYFUNCTION("""COMPUTED_VALUE"""),"Secretaría Privada")</f>
        <v>Secretaría Privada</v>
      </c>
      <c r="J1918" s="55" t="str">
        <f ca="1">IFERROR(__xludf.DUMMYFUNCTION("""COMPUTED_VALUE"""),"Media")</f>
        <v>Media</v>
      </c>
      <c r="K1918" s="25">
        <f ca="1">IFERROR(__xludf.DUMMYFUNCTION("""COMPUTED_VALUE"""),108)</f>
        <v>108</v>
      </c>
      <c r="L1918" s="62">
        <f ca="1">IFERROR(__xludf.DUMMYFUNCTION("""COMPUTED_VALUE"""),45083)</f>
        <v>45083</v>
      </c>
      <c r="M1918" s="25" t="str">
        <f ca="1">IFERROR(__xludf.DUMMYFUNCTION("""COMPUTED_VALUE"""),"Para el periodo de mayo de 2023 y teniendo en cuenta que desde el 17 de marzo de 2023 el contrato se encontraba suspendido se realizó el seguimiento y dado las diferentes comités el operador considero pertinente realizar la cesión del contrato con el nuev"&amp;"o operador SOTAVENTO, en el cual se reactivo el contrato el dia 29 de abril y desde alli se han venido adelantado actividades en las aglomeraciones")</f>
        <v>Para el periodo de mayo de 2023 y teniendo en cuenta que desde el 17 de marzo de 2023 el contrato se encontraba suspendido se realizó el seguimiento y dado las diferentes comités el operador considero pertinente realizar la cesión del contrato con el nuevo operador SOTAVENTO, en el cual se reactivo el contrato el dia 29 de abril y desde alli se han venido adelantado actividades en las aglomeraciones</v>
      </c>
      <c r="N1918" s="25"/>
      <c r="O1918" s="25" t="str">
        <f t="shared" ca="1" si="0"/>
        <v>Secretaría Distrital de Desarrollo Económico</v>
      </c>
      <c r="P1918" s="25" t="str">
        <f t="shared" ca="1" si="2"/>
        <v/>
      </c>
      <c r="Q1918" s="25" t="str">
        <f ca="1">IFERROR(__xludf.DUMMYFUNCTION("""COMPUTED_VALUE"""),"Mediano plazo")</f>
        <v>Mediano plazo</v>
      </c>
      <c r="R1918" s="25"/>
      <c r="S1918" s="55"/>
      <c r="T1918" s="56"/>
      <c r="U1918" s="25"/>
      <c r="V1918" s="25"/>
      <c r="W1918" s="25"/>
      <c r="X1918" s="25"/>
      <c r="Y1918" s="25"/>
      <c r="Z1918" s="25"/>
    </row>
    <row r="1919" spans="1:26" ht="52.5" customHeight="1" x14ac:dyDescent="0.25">
      <c r="A1919" s="25" t="str">
        <f ca="1">IFERROR(__xludf.DUMMYFUNCTION("""COMPUTED_VALUE"""),"Desar117")</f>
        <v>Desar117</v>
      </c>
      <c r="B1919" s="25" t="str">
        <f ca="1">IFERROR(__xludf.DUMMYFUNCTION("""COMPUTED_VALUE"""),"Recorrido Antonio Nariño")</f>
        <v>Recorrido Antonio Nariño</v>
      </c>
      <c r="C1919" s="55">
        <f ca="1">IFERROR(__xludf.DUMMYFUNCTION("""COMPUTED_VALUE"""),44999)</f>
        <v>44999</v>
      </c>
      <c r="D1919" s="25" t="str">
        <f ca="1">IFERROR(__xludf.DUMMYFUNCTION("""COMPUTED_VALUE"""),"Desarrollo_Económico")</f>
        <v>Desarrollo_Económico</v>
      </c>
      <c r="E1919" s="25" t="str">
        <f ca="1">IFERROR(__xludf.DUMMYFUNCTION("""COMPUTED_VALUE"""),"Secretaría Distrital de Desarrollo Económico")</f>
        <v>Secretaría Distrital de Desarrollo Económico</v>
      </c>
      <c r="F1919" s="25" t="str">
        <f ca="1">IFERROR(__xludf.DUMMYFUNCTION("""COMPUTED_VALUE"""),"Llevar a cabo feria de activación comercial del Restrepo en octubre 2023.")</f>
        <v>Llevar a cabo feria de activación comercial del Restrepo en octubre 2023.</v>
      </c>
      <c r="G1919" s="55" t="str">
        <f ca="1">IFERROR(__xludf.DUMMYFUNCTION("""COMPUTED_VALUE"""),"15. Antonio Nariño")</f>
        <v>15. Antonio Nariño</v>
      </c>
      <c r="H1919" s="55">
        <f ca="1">IFERROR(__xludf.DUMMYFUNCTION("""COMPUTED_VALUE"""),45229)</f>
        <v>45229</v>
      </c>
      <c r="I1919" s="25" t="str">
        <f ca="1">IFERROR(__xludf.DUMMYFUNCTION("""COMPUTED_VALUE"""),"Secretaría Privada")</f>
        <v>Secretaría Privada</v>
      </c>
      <c r="J1919" s="55" t="str">
        <f ca="1">IFERROR(__xludf.DUMMYFUNCTION("""COMPUTED_VALUE"""),"Baja")</f>
        <v>Baja</v>
      </c>
      <c r="K1919" s="25">
        <f ca="1">IFERROR(__xludf.DUMMYFUNCTION("""COMPUTED_VALUE"""),230)</f>
        <v>230</v>
      </c>
      <c r="L1919" s="62">
        <f ca="1">IFERROR(__xludf.DUMMYFUNCTION("""COMPUTED_VALUE"""),45083)</f>
        <v>45083</v>
      </c>
      <c r="M1919" s="25" t="str">
        <f ca="1">IFERROR(__xludf.DUMMYFUNCTION("""COMPUTED_VALUE"""),"Para el periodo de mayo de 2023 y teniendo en cuenta que desde el 17 de marzo de 2023 el contrato se encontraba suspendido se realizó el seguimiento y dado las diferentes comités el operador considero pertinente realizar la cesión del contrato con el nuev"&amp;"o operador SOTAVENTO, en el cual se reactivo el contrato el dia 29 de abril y desde alli se han venido adelantado actividades en las aglomeraciones")</f>
        <v>Para el periodo de mayo de 2023 y teniendo en cuenta que desde el 17 de marzo de 2023 el contrato se encontraba suspendido se realizó el seguimiento y dado las diferentes comités el operador considero pertinente realizar la cesión del contrato con el nuevo operador SOTAVENTO, en el cual se reactivo el contrato el dia 29 de abril y desde alli se han venido adelantado actividades en las aglomeraciones</v>
      </c>
      <c r="N1919" s="25"/>
      <c r="O1919" s="25" t="str">
        <f t="shared" ca="1" si="0"/>
        <v>Secretaría Distrital de Desarrollo Económico</v>
      </c>
      <c r="P1919" s="25" t="str">
        <f t="shared" ca="1" si="2"/>
        <v/>
      </c>
      <c r="Q1919" s="25" t="str">
        <f ca="1">IFERROR(__xludf.DUMMYFUNCTION("""COMPUTED_VALUE"""),"Largo plazo")</f>
        <v>Largo plazo</v>
      </c>
      <c r="R1919" s="25"/>
      <c r="S1919" s="55"/>
      <c r="T1919" s="56"/>
      <c r="U1919" s="25"/>
      <c r="V1919" s="25"/>
      <c r="W1919" s="25"/>
      <c r="X1919" s="25"/>
      <c r="Y1919" s="25"/>
      <c r="Z1919" s="25"/>
    </row>
    <row r="1920" spans="1:26" ht="52.5" customHeight="1" x14ac:dyDescent="0.25">
      <c r="A1920" s="25" t="str">
        <f ca="1">IFERROR(__xludf.DUMMYFUNCTION("""COMPUTED_VALUE"""),"Desar118")</f>
        <v>Desar118</v>
      </c>
      <c r="B1920" s="25" t="str">
        <f ca="1">IFERROR(__xludf.DUMMYFUNCTION("""COMPUTED_VALUE"""),"Recorrido Antonio Nariño")</f>
        <v>Recorrido Antonio Nariño</v>
      </c>
      <c r="C1920" s="55">
        <f ca="1">IFERROR(__xludf.DUMMYFUNCTION("""COMPUTED_VALUE"""),44999)</f>
        <v>44999</v>
      </c>
      <c r="D1920" s="25" t="str">
        <f ca="1">IFERROR(__xludf.DUMMYFUNCTION("""COMPUTED_VALUE"""),"Desarrollo_Económico")</f>
        <v>Desarrollo_Económico</v>
      </c>
      <c r="E1920" s="25" t="str">
        <f ca="1">IFERROR(__xludf.DUMMYFUNCTION("""COMPUTED_VALUE"""),"Secretaría Distrital de Desarrollo Económico")</f>
        <v>Secretaría Distrital de Desarrollo Económico</v>
      </c>
      <c r="F1920" s="25" t="str">
        <f ca="1">IFERROR(__xludf.DUMMYFUNCTION("""COMPUTED_VALUE"""),"Fortalecer la plataforma digital del programa Corazones productivos.")</f>
        <v>Fortalecer la plataforma digital del programa Corazones productivos.</v>
      </c>
      <c r="G1920" s="55" t="str">
        <f ca="1">IFERROR(__xludf.DUMMYFUNCTION("""COMPUTED_VALUE"""),"99. Distrito")</f>
        <v>99. Distrito</v>
      </c>
      <c r="H1920" s="55">
        <f ca="1">IFERROR(__xludf.DUMMYFUNCTION("""COMPUTED_VALUE"""),45077)</f>
        <v>45077</v>
      </c>
      <c r="I1920" s="25" t="str">
        <f ca="1">IFERROR(__xludf.DUMMYFUNCTION("""COMPUTED_VALUE"""),"Secretaría Privada")</f>
        <v>Secretaría Privada</v>
      </c>
      <c r="J1920" s="55" t="str">
        <f ca="1">IFERROR(__xludf.DUMMYFUNCTION("""COMPUTED_VALUE"""),"Media")</f>
        <v>Media</v>
      </c>
      <c r="K1920" s="25">
        <f ca="1">IFERROR(__xludf.DUMMYFUNCTION("""COMPUTED_VALUE"""),78)</f>
        <v>78</v>
      </c>
      <c r="L1920" s="62">
        <f ca="1">IFERROR(__xludf.DUMMYFUNCTION("""COMPUTED_VALUE"""),45083)</f>
        <v>45083</v>
      </c>
      <c r="M1920" s="25" t="str">
        <f ca="1">IFERROR(__xludf.DUMMYFUNCTION("""COMPUTED_VALUE"""),"Con corte al 31 de mayo se ceunta con cuenta 829 empresas de las cinco aglomeraciones para dar inicio a la vinculacion de la vitrian comercial virtual. Se anexa el previsualizacion de la vitrian en la que se dara el proceso https://storage.net-fs.com/host"&amp;"ing/7297046/89/")</f>
        <v>Con corte al 31 de mayo se ceunta con cuenta 829 empresas de las cinco aglomeraciones para dar inicio a la vinculacion de la vitrian comercial virtual. Se anexa el previsualizacion de la vitrian en la que se dara el proceso https://storage.net-fs.com/hosting/7297046/89/</v>
      </c>
      <c r="N1920" s="25"/>
      <c r="O1920" s="25" t="str">
        <f t="shared" ca="1" si="0"/>
        <v>Secretaría Distrital de Desarrollo Económico</v>
      </c>
      <c r="P1920" s="25" t="str">
        <f t="shared" ca="1" si="2"/>
        <v/>
      </c>
      <c r="Q1920" s="25" t="str">
        <f ca="1">IFERROR(__xludf.DUMMYFUNCTION("""COMPUTED_VALUE"""),"Mediano plazo")</f>
        <v>Mediano plazo</v>
      </c>
      <c r="R1920" s="25"/>
      <c r="S1920" s="55"/>
      <c r="T1920" s="56"/>
      <c r="U1920" s="25"/>
      <c r="V1920" s="25"/>
      <c r="W1920" s="25"/>
      <c r="X1920" s="25"/>
      <c r="Y1920" s="25"/>
      <c r="Z1920" s="25"/>
    </row>
    <row r="1921" spans="1:26" ht="52.5" customHeight="1" x14ac:dyDescent="0.25">
      <c r="A1921" s="25" t="str">
        <f ca="1">IFERROR(__xludf.DUMMYFUNCTION("""COMPUTED_VALUE"""),"Desar119")</f>
        <v>Desar119</v>
      </c>
      <c r="B1921" s="25" t="str">
        <f ca="1">IFERROR(__xludf.DUMMYFUNCTION("""COMPUTED_VALUE"""),"Recorrido Antonio Nariño")</f>
        <v>Recorrido Antonio Nariño</v>
      </c>
      <c r="C1921" s="55">
        <f ca="1">IFERROR(__xludf.DUMMYFUNCTION("""COMPUTED_VALUE"""),44999)</f>
        <v>44999</v>
      </c>
      <c r="D1921" s="25" t="str">
        <f ca="1">IFERROR(__xludf.DUMMYFUNCTION("""COMPUTED_VALUE"""),"Desarrollo_Económico")</f>
        <v>Desarrollo_Económico</v>
      </c>
      <c r="E1921" s="25" t="str">
        <f ca="1">IFERROR(__xludf.DUMMYFUNCTION("""COMPUTED_VALUE"""),"Secretaría Distrital de Desarrollo Económico")</f>
        <v>Secretaría Distrital de Desarrollo Económico</v>
      </c>
      <c r="F1921" s="25" t="str">
        <f ca="1">IFERROR(__xludf.DUMMYFUNCTION("""COMPUTED_VALUE"""),"Concretar la marca ""Restrepo corazón productivo"" en tres semanas.")</f>
        <v>Concretar la marca "Restrepo corazón productivo" en tres semanas.</v>
      </c>
      <c r="G1921" s="55" t="str">
        <f ca="1">IFERROR(__xludf.DUMMYFUNCTION("""COMPUTED_VALUE"""),"15. Antonio Nariño")</f>
        <v>15. Antonio Nariño</v>
      </c>
      <c r="H1921" s="55">
        <f ca="1">IFERROR(__xludf.DUMMYFUNCTION("""COMPUTED_VALUE"""),45077)</f>
        <v>45077</v>
      </c>
      <c r="I1921" s="25" t="str">
        <f ca="1">IFERROR(__xludf.DUMMYFUNCTION("""COMPUTED_VALUE"""),"Secretaría Privada")</f>
        <v>Secretaría Privada</v>
      </c>
      <c r="J1921" s="55" t="str">
        <f ca="1">IFERROR(__xludf.DUMMYFUNCTION("""COMPUTED_VALUE"""),"Media")</f>
        <v>Media</v>
      </c>
      <c r="K1921" s="25">
        <f ca="1">IFERROR(__xludf.DUMMYFUNCTION("""COMPUTED_VALUE"""),78)</f>
        <v>78</v>
      </c>
      <c r="L1921" s="62">
        <f ca="1">IFERROR(__xludf.DUMMYFUNCTION("""COMPUTED_VALUE"""),45083)</f>
        <v>45083</v>
      </c>
      <c r="M1921" s="25" t="str">
        <f ca="1">IFERROR(__xludf.DUMMYFUNCTION("""COMPUTED_VALUE"""),"Con corte al 31 de mayo se cuenta con la dos marcas creadas para la aglomeración que seran presentadas a los colectivos empresariales durante la tercera semana de junio para validaciony seleccion de una unica marca para esta.")</f>
        <v>Con corte al 31 de mayo se cuenta con la dos marcas creadas para la aglomeración que seran presentadas a los colectivos empresariales durante la tercera semana de junio para validaciony seleccion de una unica marca para esta.</v>
      </c>
      <c r="N1921" s="25"/>
      <c r="O1921" s="25" t="str">
        <f t="shared" ca="1" si="0"/>
        <v>Secretaría Distrital de Desarrollo Económico</v>
      </c>
      <c r="P1921" s="25" t="str">
        <f t="shared" ca="1" si="2"/>
        <v/>
      </c>
      <c r="Q1921" s="25" t="str">
        <f ca="1">IFERROR(__xludf.DUMMYFUNCTION("""COMPUTED_VALUE"""),"Mediano plazo")</f>
        <v>Mediano plazo</v>
      </c>
      <c r="R1921" s="25"/>
      <c r="S1921" s="55"/>
      <c r="T1921" s="56"/>
      <c r="U1921" s="25"/>
      <c r="V1921" s="25"/>
      <c r="W1921" s="25"/>
      <c r="X1921" s="25"/>
      <c r="Y1921" s="25"/>
      <c r="Z1921" s="25"/>
    </row>
    <row r="1922" spans="1:26" ht="52.5" customHeight="1" x14ac:dyDescent="0.25">
      <c r="A1922" s="25" t="str">
        <f ca="1">IFERROR(__xludf.DUMMYFUNCTION("""COMPUTED_VALUE"""),"Desar120")</f>
        <v>Desar120</v>
      </c>
      <c r="B1922" s="25" t="str">
        <f ca="1">IFERROR(__xludf.DUMMYFUNCTION("""COMPUTED_VALUE"""),"Recorrido Antonio Nariño")</f>
        <v>Recorrido Antonio Nariño</v>
      </c>
      <c r="C1922" s="55">
        <f ca="1">IFERROR(__xludf.DUMMYFUNCTION("""COMPUTED_VALUE"""),44999)</f>
        <v>44999</v>
      </c>
      <c r="D1922" s="25" t="str">
        <f ca="1">IFERROR(__xludf.DUMMYFUNCTION("""COMPUTED_VALUE"""),"Desarrollo_Económico")</f>
        <v>Desarrollo_Económico</v>
      </c>
      <c r="E1922" s="25" t="str">
        <f ca="1">IFERROR(__xludf.DUMMYFUNCTION("""COMPUTED_VALUE"""),"Secretaría Distrital de Desarrollo Económico")</f>
        <v>Secretaría Distrital de Desarrollo Económico</v>
      </c>
      <c r="F1922" s="25" t="str">
        <f ca="1">IFERROR(__xludf.DUMMYFUNCTION("""COMPUTED_VALUE"""),"Promocionar los mecanismos de formalización de MIPYMES en el Restrepo")</f>
        <v>Promocionar los mecanismos de formalización de MIPYMES en el Restrepo</v>
      </c>
      <c r="G1922" s="55" t="str">
        <f ca="1">IFERROR(__xludf.DUMMYFUNCTION("""COMPUTED_VALUE"""),"15. Antonio Nariño")</f>
        <v>15. Antonio Nariño</v>
      </c>
      <c r="H1922" s="55">
        <f ca="1">IFERROR(__xludf.DUMMYFUNCTION("""COMPUTED_VALUE"""),45031)</f>
        <v>45031</v>
      </c>
      <c r="I1922" s="25" t="str">
        <f ca="1">IFERROR(__xludf.DUMMYFUNCTION("""COMPUTED_VALUE"""),"Secretaría Privada")</f>
        <v>Secretaría Privada</v>
      </c>
      <c r="J1922" s="55" t="str">
        <f ca="1">IFERROR(__xludf.DUMMYFUNCTION("""COMPUTED_VALUE"""),"Alta")</f>
        <v>Alta</v>
      </c>
      <c r="K1922" s="25">
        <f ca="1">IFERROR(__xludf.DUMMYFUNCTION("""COMPUTED_VALUE"""),32)</f>
        <v>32</v>
      </c>
      <c r="L1922" s="62">
        <f ca="1">IFERROR(__xludf.DUMMYFUNCTION("""COMPUTED_VALUE"""),45083)</f>
        <v>45083</v>
      </c>
      <c r="M1922" s="25" t="str">
        <f ca="1">IFERROR(__xludf.DUMMYFUNCTION("""COMPUTED_VALUE"""),"No se recibio respuesta del oficio dirigido a la Alcaldía, sin embargo el 16/05/2023 se programo reunión con el equipo de reactivación economica de la alcaldia Antonio Nariño para articular acciones referentes a charlas de formacion y fortaleciemiento ref"&amp;"erentes a la formalización. Como compromiso,  la alcaldía enviarin la solicitud de los temas en formalización empresarial que le gustaria que se dictaran a los emprendimientos y comerciantes de la localidad de Antonio Nariño. ")</f>
        <v xml:space="preserve">No se recibio respuesta del oficio dirigido a la Alcaldía, sin embargo el 16/05/2023 se programo reunión con el equipo de reactivación economica de la alcaldia Antonio Nariño para articular acciones referentes a charlas de formacion y fortaleciemiento referentes a la formalización. Como compromiso,  la alcaldía enviarin la solicitud de los temas en formalización empresarial que le gustaria que se dictaran a los emprendimientos y comerciantes de la localidad de Antonio Nariño. </v>
      </c>
      <c r="N1922" s="25"/>
      <c r="O1922" s="25" t="str">
        <f t="shared" ca="1" si="0"/>
        <v>Secretaría Distrital de Desarrollo Económico</v>
      </c>
      <c r="P1922" s="25" t="str">
        <f t="shared" ca="1" si="2"/>
        <v/>
      </c>
      <c r="Q1922" s="25" t="str">
        <f ca="1">IFERROR(__xludf.DUMMYFUNCTION("""COMPUTED_VALUE"""),"Corto plazo")</f>
        <v>Corto plazo</v>
      </c>
      <c r="R1922" s="25"/>
      <c r="S1922" s="55"/>
      <c r="T1922" s="56"/>
      <c r="U1922" s="25"/>
      <c r="V1922" s="25"/>
      <c r="W1922" s="25"/>
      <c r="X1922" s="25"/>
      <c r="Y1922" s="25"/>
      <c r="Z1922" s="25"/>
    </row>
    <row r="1923" spans="1:26" ht="52.5" customHeight="1" x14ac:dyDescent="0.25">
      <c r="A1923" s="25" t="str">
        <f ca="1">IFERROR(__xludf.DUMMYFUNCTION("""COMPUTED_VALUE"""),"Desar121")</f>
        <v>Desar121</v>
      </c>
      <c r="B1923" s="25" t="str">
        <f ca="1">IFERROR(__xludf.DUMMYFUNCTION("""COMPUTED_VALUE"""),"Recorrido Antonio Nariño")</f>
        <v>Recorrido Antonio Nariño</v>
      </c>
      <c r="C1923" s="55">
        <f ca="1">IFERROR(__xludf.DUMMYFUNCTION("""COMPUTED_VALUE"""),44999)</f>
        <v>44999</v>
      </c>
      <c r="D1923" s="25" t="str">
        <f ca="1">IFERROR(__xludf.DUMMYFUNCTION("""COMPUTED_VALUE"""),"Desarrollo_Económico")</f>
        <v>Desarrollo_Económico</v>
      </c>
      <c r="E1923" s="25" t="str">
        <f ca="1">IFERROR(__xludf.DUMMYFUNCTION("""COMPUTED_VALUE"""),"Secretaría Distrital de Desarrollo Económico")</f>
        <v>Secretaría Distrital de Desarrollo Económico</v>
      </c>
      <c r="F1923" s="25" t="str">
        <f ca="1">IFERROR(__xludf.DUMMYFUNCTION("""COMPUTED_VALUE"""),"Próxima semana se realizará reunión en Alcaldía Local (jueves 23 de marzo a las 3pm) con comerciantes y empresarios de la zona del Restrepo, para presentar propuesta de logo, marca, feria de marketing de corazón productivo.")</f>
        <v>Próxima semana se realizará reunión en Alcaldía Local (jueves 23 de marzo a las 3pm) con comerciantes y empresarios de la zona del Restrepo, para presentar propuesta de logo, marca, feria de marketing de corazón productivo.</v>
      </c>
      <c r="G1923" s="55" t="str">
        <f ca="1">IFERROR(__xludf.DUMMYFUNCTION("""COMPUTED_VALUE"""),"15. Antonio Nariño")</f>
        <v>15. Antonio Nariño</v>
      </c>
      <c r="H1923" s="55">
        <f ca="1">IFERROR(__xludf.DUMMYFUNCTION("""COMPUTED_VALUE"""),45077)</f>
        <v>45077</v>
      </c>
      <c r="I1923" s="25" t="str">
        <f ca="1">IFERROR(__xludf.DUMMYFUNCTION("""COMPUTED_VALUE"""),"Secretaría Privada")</f>
        <v>Secretaría Privada</v>
      </c>
      <c r="J1923" s="55" t="str">
        <f ca="1">IFERROR(__xludf.DUMMYFUNCTION("""COMPUTED_VALUE"""),"Media")</f>
        <v>Media</v>
      </c>
      <c r="K1923" s="25">
        <f ca="1">IFERROR(__xludf.DUMMYFUNCTION("""COMPUTED_VALUE"""),78)</f>
        <v>78</v>
      </c>
      <c r="L1923" s="62">
        <f ca="1">IFERROR(__xludf.DUMMYFUNCTION("""COMPUTED_VALUE"""),45083)</f>
        <v>45083</v>
      </c>
      <c r="M1923" s="25" t="str">
        <f ca="1">IFERROR(__xludf.DUMMYFUNCTION("""COMPUTED_VALUE"""),"La jornada sera desarrollada para la tercera semana de junio.")</f>
        <v>La jornada sera desarrollada para la tercera semana de junio.</v>
      </c>
      <c r="N1923" s="25"/>
      <c r="O1923" s="25" t="str">
        <f t="shared" ca="1" si="0"/>
        <v>Secretaría Distrital de Desarrollo Económico</v>
      </c>
      <c r="P1923" s="25" t="str">
        <f t="shared" ca="1" si="2"/>
        <v/>
      </c>
      <c r="Q1923" s="25" t="str">
        <f ca="1">IFERROR(__xludf.DUMMYFUNCTION("""COMPUTED_VALUE"""),"Mediano plazo")</f>
        <v>Mediano plazo</v>
      </c>
      <c r="R1923" s="25"/>
      <c r="S1923" s="55"/>
      <c r="T1923" s="56"/>
      <c r="U1923" s="25"/>
      <c r="V1923" s="25"/>
      <c r="W1923" s="25"/>
      <c r="X1923" s="25"/>
      <c r="Y1923" s="25"/>
      <c r="Z1923" s="25"/>
    </row>
    <row r="1924" spans="1:26" ht="52.5" customHeight="1" x14ac:dyDescent="0.25">
      <c r="A1924" s="25" t="str">
        <f ca="1">IFERROR(__xludf.DUMMYFUNCTION("""COMPUTED_VALUE"""),"Desar122")</f>
        <v>Desar122</v>
      </c>
      <c r="B1924" s="25" t="str">
        <f ca="1">IFERROR(__xludf.DUMMYFUNCTION("""COMPUTED_VALUE"""),"Recorrido Antonio Nariño")</f>
        <v>Recorrido Antonio Nariño</v>
      </c>
      <c r="C1924" s="55">
        <f ca="1">IFERROR(__xludf.DUMMYFUNCTION("""COMPUTED_VALUE"""),44999)</f>
        <v>44999</v>
      </c>
      <c r="D1924" s="25" t="str">
        <f ca="1">IFERROR(__xludf.DUMMYFUNCTION("""COMPUTED_VALUE"""),"Desarrollo_Económico")</f>
        <v>Desarrollo_Económico</v>
      </c>
      <c r="E1924" s="25" t="str">
        <f ca="1">IFERROR(__xludf.DUMMYFUNCTION("""COMPUTED_VALUE"""),"Secretaría Distrital de Desarrollo Económico")</f>
        <v>Secretaría Distrital de Desarrollo Económico</v>
      </c>
      <c r="F1924" s="25" t="str">
        <f ca="1">IFERROR(__xludf.DUMMYFUNCTION("""COMPUTED_VALUE"""),"Identificar que tipo de mano de obra se requiere en el Restrepo para ofertar becas de formación, que permita al finalizar los estudios vincularse al mercado laboral.")</f>
        <v>Identificar que tipo de mano de obra se requiere en el Restrepo para ofertar becas de formación, que permita al finalizar los estudios vincularse al mercado laboral.</v>
      </c>
      <c r="G1924" s="55" t="str">
        <f ca="1">IFERROR(__xludf.DUMMYFUNCTION("""COMPUTED_VALUE"""),"15. Antonio Nariño")</f>
        <v>15. Antonio Nariño</v>
      </c>
      <c r="H1924" s="55">
        <f ca="1">IFERROR(__xludf.DUMMYFUNCTION("""COMPUTED_VALUE"""),45046)</f>
        <v>45046</v>
      </c>
      <c r="I1924" s="25" t="str">
        <f ca="1">IFERROR(__xludf.DUMMYFUNCTION("""COMPUTED_VALUE"""),"Secretaría Privada")</f>
        <v>Secretaría Privada</v>
      </c>
      <c r="J1924" s="55" t="str">
        <f ca="1">IFERROR(__xludf.DUMMYFUNCTION("""COMPUTED_VALUE"""),"Alta")</f>
        <v>Alta</v>
      </c>
      <c r="K1924" s="25">
        <f ca="1">IFERROR(__xludf.DUMMYFUNCTION("""COMPUTED_VALUE"""),47)</f>
        <v>47</v>
      </c>
      <c r="L1924" s="62">
        <f ca="1">IFERROR(__xludf.DUMMYFUNCTION("""COMPUTED_VALUE"""),45061)</f>
        <v>45061</v>
      </c>
      <c r="M1924" s="25" t="str">
        <f ca="1">IFERROR(__xludf.DUMMYFUNCTION("""COMPUTED_VALUE"""),"Se está organizando el cronograma por aglomeracion. se busca diseñar espacios sincronicos y asincronicos para dar a concoer a los emrpesarios esta estrategia")</f>
        <v>Se está organizando el cronograma por aglomeracion. se busca diseñar espacios sincronicos y asincronicos para dar a concoer a los emrpesarios esta estrategia</v>
      </c>
      <c r="N1924" s="25"/>
      <c r="O1924" s="25" t="str">
        <f t="shared" ca="1" si="0"/>
        <v>Secretaría Distrital de Desarrollo Económico</v>
      </c>
      <c r="P1924" s="25" t="str">
        <f t="shared" ca="1" si="2"/>
        <v/>
      </c>
      <c r="Q1924" s="25" t="str">
        <f ca="1">IFERROR(__xludf.DUMMYFUNCTION("""COMPUTED_VALUE"""),"Corto plazo")</f>
        <v>Corto plazo</v>
      </c>
      <c r="R1924" s="25"/>
      <c r="S1924" s="55"/>
      <c r="T1924" s="56"/>
      <c r="U1924" s="25"/>
      <c r="V1924" s="25"/>
      <c r="W1924" s="25"/>
      <c r="X1924" s="25"/>
      <c r="Y1924" s="25"/>
      <c r="Z1924" s="25"/>
    </row>
    <row r="1925" spans="1:26" ht="52.5" customHeight="1" x14ac:dyDescent="0.25">
      <c r="A1925" s="25" t="str">
        <f ca="1">IFERROR(__xludf.DUMMYFUNCTION("""COMPUTED_VALUE"""),"Desar123")</f>
        <v>Desar123</v>
      </c>
      <c r="B1925" s="25" t="str">
        <f ca="1">IFERROR(__xludf.DUMMYFUNCTION("""COMPUTED_VALUE"""),"Recorrido Antonio Nariño")</f>
        <v>Recorrido Antonio Nariño</v>
      </c>
      <c r="C1925" s="55">
        <f ca="1">IFERROR(__xludf.DUMMYFUNCTION("""COMPUTED_VALUE"""),44999)</f>
        <v>44999</v>
      </c>
      <c r="D1925" s="25" t="str">
        <f ca="1">IFERROR(__xludf.DUMMYFUNCTION("""COMPUTED_VALUE"""),"Desarrollo_Económico")</f>
        <v>Desarrollo_Económico</v>
      </c>
      <c r="E1925" s="25" t="str">
        <f ca="1">IFERROR(__xludf.DUMMYFUNCTION("""COMPUTED_VALUE"""),"Instituto para la Economía Social")</f>
        <v>Instituto para la Economía Social</v>
      </c>
      <c r="F1925" s="25" t="str">
        <f ca="1">IFERROR(__xludf.DUMMYFUNCTION("""COMPUTED_VALUE"""),"Iniciar en 8 días las obras de mejoramiento estructural de la plaza el Restrepo.")</f>
        <v>Iniciar en 8 días las obras de mejoramiento estructural de la plaza el Restrepo.</v>
      </c>
      <c r="G1925" s="55" t="str">
        <f ca="1">IFERROR(__xludf.DUMMYFUNCTION("""COMPUTED_VALUE"""),"15. Antonio Nariño")</f>
        <v>15. Antonio Nariño</v>
      </c>
      <c r="H1925" s="55">
        <f ca="1">IFERROR(__xludf.DUMMYFUNCTION("""COMPUTED_VALUE"""),45085)</f>
        <v>45085</v>
      </c>
      <c r="I1925" s="25" t="str">
        <f ca="1">IFERROR(__xludf.DUMMYFUNCTION("""COMPUTED_VALUE"""),"Secretaría Privada")</f>
        <v>Secretaría Privada</v>
      </c>
      <c r="J1925" s="55" t="str">
        <f ca="1">IFERROR(__xludf.DUMMYFUNCTION("""COMPUTED_VALUE"""),"Alta")</f>
        <v>Alta</v>
      </c>
      <c r="K1925" s="25">
        <f ca="1">IFERROR(__xludf.DUMMYFUNCTION("""COMPUTED_VALUE"""),86)</f>
        <v>86</v>
      </c>
      <c r="L1925" s="62">
        <f ca="1">IFERROR(__xludf.DUMMYFUNCTION("""COMPUTED_VALUE"""),45079)</f>
        <v>45079</v>
      </c>
      <c r="M1925" s="25" t="str">
        <f ca="1">IFERROR(__xludf.DUMMYFUNCTION("""COMPUTED_VALUE"""),"Se inicia proceso de presunto incumplimiento por parte del IPES dado que a la fecha no se han iniciado  actividades constructivas para el reforzamiento estructural de la plaza de mercado restrepo y con el plazo que resta de ejecución no se puede dar termi"&amp;"nación a la obra.")</f>
        <v>Se inicia proceso de presunto incumplimiento por parte del IPES dado que a la fecha no se han iniciado  actividades constructivas para el reforzamiento estructural de la plaza de mercado restrepo y con el plazo que resta de ejecución no se puede dar terminación a la obra.</v>
      </c>
      <c r="N1925" s="55">
        <f ca="1">IFERROR(__xludf.DUMMYFUNCTION("""COMPUTED_VALUE"""),45124)</f>
        <v>45124</v>
      </c>
      <c r="O1925" s="25" t="str">
        <f t="shared" ca="1" si="0"/>
        <v>Instituto para la Economía Social</v>
      </c>
      <c r="P1925" s="25" t="str">
        <f t="shared" ca="1" si="2"/>
        <v/>
      </c>
      <c r="Q1925" s="25" t="str">
        <f ca="1">IFERROR(__xludf.DUMMYFUNCTION("""COMPUTED_VALUE"""),"Mediano plazo")</f>
        <v>Mediano plazo</v>
      </c>
      <c r="R1925" s="25"/>
      <c r="S1925" s="55"/>
      <c r="T1925" s="56"/>
      <c r="U1925" s="25"/>
      <c r="V1925" s="25"/>
      <c r="W1925" s="25"/>
      <c r="X1925" s="25"/>
      <c r="Y1925" s="25"/>
      <c r="Z1925" s="25"/>
    </row>
    <row r="1926" spans="1:26" ht="52.5" customHeight="1" x14ac:dyDescent="0.25">
      <c r="A1926" s="25" t="str">
        <f ca="1">IFERROR(__xludf.DUMMYFUNCTION("""COMPUTED_VALUE"""),"Desar124")</f>
        <v>Desar124</v>
      </c>
      <c r="B1926" s="25" t="str">
        <f ca="1">IFERROR(__xludf.DUMMYFUNCTION("""COMPUTED_VALUE"""),"Recorrido Antonio Nariño")</f>
        <v>Recorrido Antonio Nariño</v>
      </c>
      <c r="C1926" s="55">
        <f ca="1">IFERROR(__xludf.DUMMYFUNCTION("""COMPUTED_VALUE"""),44999)</f>
        <v>44999</v>
      </c>
      <c r="D1926" s="25" t="str">
        <f ca="1">IFERROR(__xludf.DUMMYFUNCTION("""COMPUTED_VALUE"""),"Desarrollo_Económico")</f>
        <v>Desarrollo_Económico</v>
      </c>
      <c r="E1926" s="25" t="str">
        <f ca="1">IFERROR(__xludf.DUMMYFUNCTION("""COMPUTED_VALUE"""),"Instituto para la Economía Social")</f>
        <v>Instituto para la Economía Social</v>
      </c>
      <c r="F1926" s="25" t="str">
        <f ca="1">IFERROR(__xludf.DUMMYFUNCTION("""COMPUTED_VALUE"""),"Junto con la Policía, el IPES y la Alcaldía Local, se llevará a cabo un operativo de reubicación de 47 vendedores ambulantes a los locales temporales dispuestos para dar inicio a las obras al interior de la Plaza el Restrepo.")</f>
        <v>Junto con la Policía, el IPES y la Alcaldía Local, se llevará a cabo un operativo de reubicación de 47 vendedores ambulantes a los locales temporales dispuestos para dar inicio a las obras al interior de la Plaza el Restrepo.</v>
      </c>
      <c r="G1926" s="55" t="str">
        <f ca="1">IFERROR(__xludf.DUMMYFUNCTION("""COMPUTED_VALUE"""),"15. Antonio Nariño")</f>
        <v>15. Antonio Nariño</v>
      </c>
      <c r="H1926" s="55">
        <f ca="1">IFERROR(__xludf.DUMMYFUNCTION("""COMPUTED_VALUE"""),45006)</f>
        <v>45006</v>
      </c>
      <c r="I1926" s="25" t="str">
        <f ca="1">IFERROR(__xludf.DUMMYFUNCTION("""COMPUTED_VALUE"""),"Secretaría Privada")</f>
        <v>Secretaría Privada</v>
      </c>
      <c r="J1926" s="55" t="str">
        <f ca="1">IFERROR(__xludf.DUMMYFUNCTION("""COMPUTED_VALUE"""),"Alta")</f>
        <v>Alta</v>
      </c>
      <c r="K1926" s="25">
        <f ca="1">IFERROR(__xludf.DUMMYFUNCTION("""COMPUTED_VALUE"""),7)</f>
        <v>7</v>
      </c>
      <c r="L1926" s="62">
        <f ca="1">IFERROR(__xludf.DUMMYFUNCTION("""COMPUTED_VALUE"""),45079)</f>
        <v>45079</v>
      </c>
      <c r="M1926" s="25" t="str">
        <f ca="1">IFERROR(__xludf.DUMMYFUNCTION("""COMPUTED_VALUE"""),"Teniendo encuenta que se inicia proceso de presunto incumplimiento por parte del IPES dado que a la fecha no se han iniciado  actividades constructivas para el reforzamiento estructural de la plaza de mercado restrepo y con el plazo que resta de ejecucion"&amp;" no se puede dar terminacion a la obra, no se realizaron las reubicacion para no generar afectacion a los comerciantes y realizar traslados sin iniciar actividades de obra ")</f>
        <v xml:space="preserve">Teniendo encuenta que se inicia proceso de presunto incumplimiento por parte del IPES dado que a la fecha no se han iniciado  actividades constructivas para el reforzamiento estructural de la plaza de mercado restrepo y con el plazo que resta de ejecucion no se puede dar terminacion a la obra, no se realizaron las reubicacion para no generar afectacion a los comerciantes y realizar traslados sin iniciar actividades de obra </v>
      </c>
      <c r="N1926" s="25"/>
      <c r="O1926" s="25" t="str">
        <f t="shared" ca="1" si="0"/>
        <v>Instituto para la Economía Social</v>
      </c>
      <c r="P1926" s="25" t="str">
        <f t="shared" ca="1" si="2"/>
        <v/>
      </c>
      <c r="Q1926" s="25" t="str">
        <f ca="1">IFERROR(__xludf.DUMMYFUNCTION("""COMPUTED_VALUE"""),"Corto plazo")</f>
        <v>Corto plazo</v>
      </c>
      <c r="R1926" s="25"/>
      <c r="S1926" s="55"/>
      <c r="T1926" s="56"/>
      <c r="U1926" s="25"/>
      <c r="V1926" s="25"/>
      <c r="W1926" s="25"/>
      <c r="X1926" s="25"/>
      <c r="Y1926" s="25"/>
      <c r="Z1926" s="25"/>
    </row>
    <row r="1927" spans="1:26" ht="52.5" customHeight="1" x14ac:dyDescent="0.25">
      <c r="A1927" s="25" t="str">
        <f ca="1">IFERROR(__xludf.DUMMYFUNCTION("""COMPUTED_VALUE"""),"Desar125")</f>
        <v>Desar125</v>
      </c>
      <c r="B1927" s="25" t="str">
        <f ca="1">IFERROR(__xludf.DUMMYFUNCTION("""COMPUTED_VALUE"""),"Recorrido Antonio Nariño")</f>
        <v>Recorrido Antonio Nariño</v>
      </c>
      <c r="C1927" s="55">
        <f ca="1">IFERROR(__xludf.DUMMYFUNCTION("""COMPUTED_VALUE"""),44999)</f>
        <v>44999</v>
      </c>
      <c r="D1927" s="25" t="str">
        <f ca="1">IFERROR(__xludf.DUMMYFUNCTION("""COMPUTED_VALUE"""),"Desarrollo_Económico")</f>
        <v>Desarrollo_Económico</v>
      </c>
      <c r="E1927" s="25" t="str">
        <f ca="1">IFERROR(__xludf.DUMMYFUNCTION("""COMPUTED_VALUE"""),"Instituto para la Economía Social")</f>
        <v>Instituto para la Economía Social</v>
      </c>
      <c r="F1927" s="25" t="str">
        <f ca="1">IFERROR(__xludf.DUMMYFUNCTION("""COMPUTED_VALUE"""),"Presentar en 8 días plan y cronograma de obra ajustado para dar finalización a las obras de mejoramiento estructural del Restrepo en 3 meses.")</f>
        <v>Presentar en 8 días plan y cronograma de obra ajustado para dar finalización a las obras de mejoramiento estructural del Restrepo en 3 meses.</v>
      </c>
      <c r="G1927" s="55" t="str">
        <f ca="1">IFERROR(__xludf.DUMMYFUNCTION("""COMPUTED_VALUE"""),"15. Antonio Nariño")</f>
        <v>15. Antonio Nariño</v>
      </c>
      <c r="H1927" s="55">
        <f ca="1">IFERROR(__xludf.DUMMYFUNCTION("""COMPUTED_VALUE"""),45108)</f>
        <v>45108</v>
      </c>
      <c r="I1927" s="25" t="str">
        <f ca="1">IFERROR(__xludf.DUMMYFUNCTION("""COMPUTED_VALUE"""),"Secretaría Privada")</f>
        <v>Secretaría Privada</v>
      </c>
      <c r="J1927" s="55" t="str">
        <f ca="1">IFERROR(__xludf.DUMMYFUNCTION("""COMPUTED_VALUE"""),"Alta")</f>
        <v>Alta</v>
      </c>
      <c r="K1927" s="25">
        <f ca="1">IFERROR(__xludf.DUMMYFUNCTION("""COMPUTED_VALUE"""),109)</f>
        <v>109</v>
      </c>
      <c r="L1927" s="62">
        <f ca="1">IFERROR(__xludf.DUMMYFUNCTION("""COMPUTED_VALUE"""),45079)</f>
        <v>45079</v>
      </c>
      <c r="M1927" s="25" t="str">
        <f ca="1">IFERROR(__xludf.DUMMYFUNCTION("""COMPUTED_VALUE"""),"Teniendo encuenta que se inicio proceso de presunto incumplimiento por parte del IPES al contratista de obra  dado que a la fecha no se han iniciado  actividades constructivas para el reforzamiento estructural de la plaza de mercado restrepo y con el plaz"&amp;"o que resta de ejecucion no se puede dar terminacion a la obra y no se genero prorroga al plazo contractual no se presenta cronograma ajustado ya que las condiciones iniciales en cuanto a plazo no cambiaron")</f>
        <v>Teniendo encuenta que se inicio proceso de presunto incumplimiento por parte del IPES al contratista de obra  dado que a la fecha no se han iniciado  actividades constructivas para el reforzamiento estructural de la plaza de mercado restrepo y con el plazo que resta de ejecucion no se puede dar terminacion a la obra y no se genero prorroga al plazo contractual no se presenta cronograma ajustado ya que las condiciones iniciales en cuanto a plazo no cambiaron</v>
      </c>
      <c r="N1927" s="61">
        <f ca="1">IFERROR(__xludf.DUMMYFUNCTION("""COMPUTED_VALUE"""),45124)</f>
        <v>45124</v>
      </c>
      <c r="O1927" s="25" t="str">
        <f t="shared" ca="1" si="0"/>
        <v>Instituto para la Economía Social</v>
      </c>
      <c r="P1927" s="25" t="str">
        <f t="shared" ca="1" si="2"/>
        <v/>
      </c>
      <c r="Q1927" s="25" t="str">
        <f ca="1">IFERROR(__xludf.DUMMYFUNCTION("""COMPUTED_VALUE"""),"Mediano plazo")</f>
        <v>Mediano plazo</v>
      </c>
      <c r="R1927" s="25"/>
      <c r="S1927" s="55"/>
      <c r="T1927" s="56"/>
      <c r="U1927" s="25"/>
      <c r="V1927" s="25"/>
      <c r="W1927" s="25"/>
      <c r="X1927" s="25"/>
      <c r="Y1927" s="25"/>
      <c r="Z1927" s="25"/>
    </row>
    <row r="1928" spans="1:26" ht="52.5" customHeight="1" x14ac:dyDescent="0.25">
      <c r="A1928" s="25" t="str">
        <f ca="1">IFERROR(__xludf.DUMMYFUNCTION("""COMPUTED_VALUE"""),"Desar126")</f>
        <v>Desar126</v>
      </c>
      <c r="B1928" s="25" t="str">
        <f ca="1">IFERROR(__xludf.DUMMYFUNCTION("""COMPUTED_VALUE"""),"Recorrido Antonio Nariño")</f>
        <v>Recorrido Antonio Nariño</v>
      </c>
      <c r="C1928" s="55">
        <f ca="1">IFERROR(__xludf.DUMMYFUNCTION("""COMPUTED_VALUE"""),44999)</f>
        <v>44999</v>
      </c>
      <c r="D1928" s="25" t="str">
        <f ca="1">IFERROR(__xludf.DUMMYFUNCTION("""COMPUTED_VALUE"""),"Desarrollo_Económico")</f>
        <v>Desarrollo_Económico</v>
      </c>
      <c r="E1928" s="25" t="str">
        <f ca="1">IFERROR(__xludf.DUMMYFUNCTION("""COMPUTED_VALUE"""),"Instituto para la Economía Social")</f>
        <v>Instituto para la Economía Social</v>
      </c>
      <c r="F1928" s="25" t="str">
        <f ca="1">IFERROR(__xludf.DUMMYFUNCTION("""COMPUTED_VALUE"""),"Establecer triple turno para avanzar significativamente en las obras de mejoramiento estructural en la plaza el Restrepo.")</f>
        <v>Establecer triple turno para avanzar significativamente en las obras de mejoramiento estructural en la plaza el Restrepo.</v>
      </c>
      <c r="G1928" s="55" t="str">
        <f ca="1">IFERROR(__xludf.DUMMYFUNCTION("""COMPUTED_VALUE"""),"15. Antonio Nariño")</f>
        <v>15. Antonio Nariño</v>
      </c>
      <c r="H1928" s="55">
        <f ca="1">IFERROR(__xludf.DUMMYFUNCTION("""COMPUTED_VALUE"""),45108)</f>
        <v>45108</v>
      </c>
      <c r="I1928" s="25" t="str">
        <f ca="1">IFERROR(__xludf.DUMMYFUNCTION("""COMPUTED_VALUE"""),"Secretaría Privada")</f>
        <v>Secretaría Privada</v>
      </c>
      <c r="J1928" s="55" t="str">
        <f ca="1">IFERROR(__xludf.DUMMYFUNCTION("""COMPUTED_VALUE"""),"Media")</f>
        <v>Media</v>
      </c>
      <c r="K1928" s="25">
        <f ca="1">IFERROR(__xludf.DUMMYFUNCTION("""COMPUTED_VALUE"""),109)</f>
        <v>109</v>
      </c>
      <c r="L1928" s="62">
        <f ca="1">IFERROR(__xludf.DUMMYFUNCTION("""COMPUTED_VALUE"""),45079)</f>
        <v>45079</v>
      </c>
      <c r="M1928" s="25" t="str">
        <f ca="1">IFERROR(__xludf.DUMMYFUNCTION("""COMPUTED_VALUE"""),"Teniendo encuenta que se inicio el proceso de presunto incumplimiento por parte del IPES al contratista de obra  dado que a la fecha no se han iniciado  actividades constructivas para el reforzamiento estructural de la plaza de mercado restrepo y con el p"&amp;"lazo que resta de ejecucion no se puede dar terminacion a la obra y no se genero prorroga al plazo contractual no se presenta cronograma ajustado ya que las condiciones iniciales en cuanto a plazo no cambiaron y se implementara mayores turnos una vez sea "&amp;"adjudicado el nuevo contratista con la finalidad de terminar las obras en un tiempo menor al programado")</f>
        <v>Teniendo encuenta que se inicio el proceso de presunto incumplimiento por parte del IPES al contratista de obra  dado que a la fecha no se han iniciado  actividades constructivas para el reforzamiento estructural de la plaza de mercado restrepo y con el plazo que resta de ejecucion no se puede dar terminacion a la obra y no se genero prorroga al plazo contractual no se presenta cronograma ajustado ya que las condiciones iniciales en cuanto a plazo no cambiaron y se implementara mayores turnos una vez sea adjudicado el nuevo contratista con la finalidad de terminar las obras en un tiempo menor al programado</v>
      </c>
      <c r="N1928" s="61">
        <f ca="1">IFERROR(__xludf.DUMMYFUNCTION("""COMPUTED_VALUE"""),45124)</f>
        <v>45124</v>
      </c>
      <c r="O1928" s="25" t="str">
        <f t="shared" ca="1" si="0"/>
        <v>Instituto para la Economía Social</v>
      </c>
      <c r="P1928" s="25" t="str">
        <f t="shared" ca="1" si="2"/>
        <v/>
      </c>
      <c r="Q1928" s="25" t="str">
        <f ca="1">IFERROR(__xludf.DUMMYFUNCTION("""COMPUTED_VALUE"""),"Mediano plazo")</f>
        <v>Mediano plazo</v>
      </c>
      <c r="R1928" s="25"/>
      <c r="S1928" s="55"/>
      <c r="T1928" s="56"/>
      <c r="U1928" s="25"/>
      <c r="V1928" s="25"/>
      <c r="W1928" s="25"/>
      <c r="X1928" s="25"/>
      <c r="Y1928" s="25"/>
      <c r="Z1928" s="25"/>
    </row>
    <row r="1929" spans="1:26" ht="52.5" customHeight="1" x14ac:dyDescent="0.25">
      <c r="A1929" s="25" t="str">
        <f ca="1">IFERROR(__xludf.DUMMYFUNCTION("""COMPUTED_VALUE"""),"Desar127")</f>
        <v>Desar127</v>
      </c>
      <c r="B1929" s="25" t="str">
        <f ca="1">IFERROR(__xludf.DUMMYFUNCTION("""COMPUTED_VALUE"""),"Recorrido Antonio Nariño")</f>
        <v>Recorrido Antonio Nariño</v>
      </c>
      <c r="C1929" s="55">
        <f ca="1">IFERROR(__xludf.DUMMYFUNCTION("""COMPUTED_VALUE"""),44999)</f>
        <v>44999</v>
      </c>
      <c r="D1929" s="25" t="str">
        <f ca="1">IFERROR(__xludf.DUMMYFUNCTION("""COMPUTED_VALUE"""),"Desarrollo_Económico")</f>
        <v>Desarrollo_Económico</v>
      </c>
      <c r="E1929" s="25" t="str">
        <f ca="1">IFERROR(__xludf.DUMMYFUNCTION("""COMPUTED_VALUE"""),"Secretaría Distrital de Desarrollo Económico")</f>
        <v>Secretaría Distrital de Desarrollo Económico</v>
      </c>
      <c r="F1929" s="25" t="str">
        <f ca="1">IFERROR(__xludf.DUMMYFUNCTION("""COMPUTED_VALUE"""),"Presentar empleo incluyente a los jóvenes vinculados a las casas de juventud del Distrito.")</f>
        <v>Presentar empleo incluyente a los jóvenes vinculados a las casas de juventud del Distrito.</v>
      </c>
      <c r="G1929" s="55" t="str">
        <f ca="1">IFERROR(__xludf.DUMMYFUNCTION("""COMPUTED_VALUE"""),"99. Distrito")</f>
        <v>99. Distrito</v>
      </c>
      <c r="H1929" s="55">
        <f ca="1">IFERROR(__xludf.DUMMYFUNCTION("""COMPUTED_VALUE"""),45077)</f>
        <v>45077</v>
      </c>
      <c r="I1929" s="25" t="str">
        <f ca="1">IFERROR(__xludf.DUMMYFUNCTION("""COMPUTED_VALUE"""),"Secretaría Privada")</f>
        <v>Secretaría Privada</v>
      </c>
      <c r="J1929" s="55" t="str">
        <f ca="1">IFERROR(__xludf.DUMMYFUNCTION("""COMPUTED_VALUE"""),"Media")</f>
        <v>Media</v>
      </c>
      <c r="K1929" s="25">
        <f ca="1">IFERROR(__xludf.DUMMYFUNCTION("""COMPUTED_VALUE"""),78)</f>
        <v>78</v>
      </c>
      <c r="L1929" s="62">
        <f ca="1">IFERROR(__xludf.DUMMYFUNCTION("""COMPUTED_VALUE"""),45083)</f>
        <v>45083</v>
      </c>
      <c r="M1929" s="25" t="str">
        <f ca="1">IFERROR(__xludf.DUMMYFUNCTION("""COMPUTED_VALUE"""),"Se ha avanzado en reuniones con la subdirección de juventud de SDIS en el marco del programa Empleo Incluyente para implementar una alianza. ")</f>
        <v xml:space="preserve">Se ha avanzado en reuniones con la subdirección de juventud de SDIS en el marco del programa Empleo Incluyente para implementar una alianza. </v>
      </c>
      <c r="N1929" s="25"/>
      <c r="O1929" s="25" t="str">
        <f t="shared" ca="1" si="0"/>
        <v>Secretaría Distrital de Desarrollo Económico</v>
      </c>
      <c r="P1929" s="25" t="str">
        <f t="shared" ca="1" si="2"/>
        <v/>
      </c>
      <c r="Q1929" s="25" t="str">
        <f ca="1">IFERROR(__xludf.DUMMYFUNCTION("""COMPUTED_VALUE"""),"Mediano plazo")</f>
        <v>Mediano plazo</v>
      </c>
      <c r="R1929" s="25"/>
      <c r="S1929" s="55"/>
      <c r="T1929" s="56"/>
      <c r="U1929" s="25"/>
      <c r="V1929" s="25"/>
      <c r="W1929" s="25"/>
      <c r="X1929" s="25"/>
      <c r="Y1929" s="25"/>
      <c r="Z1929" s="25"/>
    </row>
    <row r="1930" spans="1:26" ht="52.5" customHeight="1" x14ac:dyDescent="0.25">
      <c r="A1930" s="25" t="str">
        <f ca="1">IFERROR(__xludf.DUMMYFUNCTION("""COMPUTED_VALUE"""),"Desar128")</f>
        <v>Desar128</v>
      </c>
      <c r="B1930" s="25" t="str">
        <f ca="1">IFERROR(__xludf.DUMMYFUNCTION("""COMPUTED_VALUE"""),"Emprendimiento de alto impacto")</f>
        <v>Emprendimiento de alto impacto</v>
      </c>
      <c r="C1930" s="55">
        <f ca="1">IFERROR(__xludf.DUMMYFUNCTION("""COMPUTED_VALUE"""),45015)</f>
        <v>45015</v>
      </c>
      <c r="D1930" s="25" t="str">
        <f ca="1">IFERROR(__xludf.DUMMYFUNCTION("""COMPUTED_VALUE"""),"Desarrollo_Económico")</f>
        <v>Desarrollo_Económico</v>
      </c>
      <c r="E1930" s="25" t="str">
        <f ca="1">IFERROR(__xludf.DUMMYFUNCTION("""COMPUTED_VALUE"""),"Invest in Bogotá")</f>
        <v>Invest in Bogotá</v>
      </c>
      <c r="F1930" s="25" t="str">
        <f ca="1">IFERROR(__xludf.DUMMYFUNCTION("""COMPUTED_VALUE"""),"Firmar un convenio con MinCiencias para la estructuración de la Fase 1 del Distrito de Ciencia, Tecnología e Innovación.")</f>
        <v>Firmar un convenio con MinCiencias para la estructuración de la Fase 1 del Distrito de Ciencia, Tecnología e Innovación.</v>
      </c>
      <c r="G1930" s="55" t="str">
        <f ca="1">IFERROR(__xludf.DUMMYFUNCTION("""COMPUTED_VALUE"""),"99. Distrito")</f>
        <v>99. Distrito</v>
      </c>
      <c r="H1930" s="55">
        <f ca="1">IFERROR(__xludf.DUMMYFUNCTION("""COMPUTED_VALUE"""),45107)</f>
        <v>45107</v>
      </c>
      <c r="I1930" s="25" t="str">
        <f ca="1">IFERROR(__xludf.DUMMYFUNCTION("""COMPUTED_VALUE"""),"Delivery Unit")</f>
        <v>Delivery Unit</v>
      </c>
      <c r="J1930" s="55" t="str">
        <f ca="1">IFERROR(__xludf.DUMMYFUNCTION("""COMPUTED_VALUE"""),"Alta")</f>
        <v>Alta</v>
      </c>
      <c r="K1930" s="25">
        <f ca="1">IFERROR(__xludf.DUMMYFUNCTION("""COMPUTED_VALUE"""),92)</f>
        <v>92</v>
      </c>
      <c r="L1930" s="62">
        <f ca="1">IFERROR(__xludf.DUMMYFUNCTION("""COMPUTED_VALUE"""),45083)</f>
        <v>45083</v>
      </c>
      <c r="M1930" s="25" t="str">
        <f ca="1">IFERROR(__xludf.DUMMYFUNCTION("""COMPUTED_VALUE"""),"Con el  fin de viabilizar la vinculación de los socios en la construcción y operación del proyecto DCTIB se definió la suscripción de un convenio marco de CTI, bajo el cual se constituya un contrato de fiducia mercantil para la administración de los aport"&amp;"es de las partes. A partir de dicha definición se ha venido trabajando en los alcances de la minuta del convenio con las entidades que estarían involucradas (SDDE, ATENEA, CCB, CORFERIAS)")</f>
        <v>Con el  fin de viabilizar la vinculación de los socios en la construcción y operación del proyecto DCTIB se definió la suscripción de un convenio marco de CTI, bajo el cual se constituya un contrato de fiducia mercantil para la administración de los aportes de las partes. A partir de dicha definición se ha venido trabajando en los alcances de la minuta del convenio con las entidades que estarían involucradas (SDDE, ATENEA, CCB, CORFERIAS)</v>
      </c>
      <c r="N1930" s="55" t="str">
        <f ca="1">IFERROR(__xludf.DUMMYFUNCTION("""COMPUTED_VALUE"""),"Por definir ")</f>
        <v xml:space="preserve">Por definir </v>
      </c>
      <c r="O1930" s="25" t="str">
        <f t="shared" ca="1" si="0"/>
        <v>Invest in Bogotá</v>
      </c>
      <c r="P1930" s="25" t="str">
        <f t="shared" ca="1" si="2"/>
        <v/>
      </c>
      <c r="Q1930" s="25" t="str">
        <f ca="1">IFERROR(__xludf.DUMMYFUNCTION("""COMPUTED_VALUE"""),"Mediano plazo")</f>
        <v>Mediano plazo</v>
      </c>
      <c r="R1930" s="25"/>
      <c r="S1930" s="55"/>
      <c r="T1930" s="56"/>
      <c r="U1930" s="25"/>
      <c r="V1930" s="25"/>
      <c r="W1930" s="25"/>
      <c r="X1930" s="25"/>
      <c r="Y1930" s="25"/>
      <c r="Z1930" s="25"/>
    </row>
    <row r="1931" spans="1:26" ht="52.5" customHeight="1" x14ac:dyDescent="0.25">
      <c r="A1931" s="25" t="str">
        <f ca="1">IFERROR(__xludf.DUMMYFUNCTION("""COMPUTED_VALUE"""),"Desar129")</f>
        <v>Desar129</v>
      </c>
      <c r="B1931" s="25" t="str">
        <f ca="1">IFERROR(__xludf.DUMMYFUNCTION("""COMPUTED_VALUE"""),"Consejo Local de Gobierno de Usme")</f>
        <v>Consejo Local de Gobierno de Usme</v>
      </c>
      <c r="C1931" s="55">
        <f ca="1">IFERROR(__xludf.DUMMYFUNCTION("""COMPUTED_VALUE"""),44783)</f>
        <v>44783</v>
      </c>
      <c r="D1931" s="25" t="str">
        <f ca="1">IFERROR(__xludf.DUMMYFUNCTION("""COMPUTED_VALUE"""),"Desarrollo_Económico")</f>
        <v>Desarrollo_Económico</v>
      </c>
      <c r="E1931" s="25" t="str">
        <f ca="1">IFERROR(__xludf.DUMMYFUNCTION("""COMPUTED_VALUE"""),"Secretaría Distrital de Desarrollo Económico")</f>
        <v>Secretaría Distrital de Desarrollo Económico</v>
      </c>
      <c r="F1931" s="25" t="str">
        <f ca="1">IFERROR(__xludf.DUMMYFUNCTION("""COMPUTED_VALUE"""),"Pendiente la caracterización para continuar con el proceso de carnetización de vendedores informales, adicionalmente la alcaldía hace una invitación a que las entidades tengan más participación en la feria de servicios.")</f>
        <v>Pendiente la caracterización para continuar con el proceso de carnetización de vendedores informales, adicionalmente la alcaldía hace una invitación a que las entidades tengan más participación en la feria de servicios.</v>
      </c>
      <c r="G1931" s="55" t="str">
        <f ca="1">IFERROR(__xludf.DUMMYFUNCTION("""COMPUTED_VALUE"""),"05. Usme")</f>
        <v>05. Usme</v>
      </c>
      <c r="H1931" s="55">
        <f ca="1">IFERROR(__xludf.DUMMYFUNCTION("""COMPUTED_VALUE"""),45107)</f>
        <v>45107</v>
      </c>
      <c r="I1931" s="25" t="str">
        <f ca="1">IFERROR(__xludf.DUMMYFUNCTION("""COMPUTED_VALUE"""),"Delivery Unit")</f>
        <v>Delivery Unit</v>
      </c>
      <c r="J1931" s="55" t="str">
        <f ca="1">IFERROR(__xludf.DUMMYFUNCTION("""COMPUTED_VALUE"""),"Media")</f>
        <v>Media</v>
      </c>
      <c r="K1931" s="25">
        <f ca="1">IFERROR(__xludf.DUMMYFUNCTION("""COMPUTED_VALUE"""),324)</f>
        <v>324</v>
      </c>
      <c r="L1931" s="62">
        <f ca="1">IFERROR(__xludf.DUMMYFUNCTION("""COMPUTED_VALUE"""),45083)</f>
        <v>45083</v>
      </c>
      <c r="M1931" s="25" t="str">
        <f ca="1">IFERROR(__xludf.DUMMYFUNCTION("""COMPUTED_VALUE"""),"PROYECTO AL MOMENTO SE ENCUENTRA EN LA FASE DE FORMULACION")</f>
        <v>PROYECTO AL MOMENTO SE ENCUENTRA EN LA FASE DE FORMULACION</v>
      </c>
      <c r="N1931" s="25"/>
      <c r="O1931" s="25" t="str">
        <f t="shared" ca="1" si="0"/>
        <v>Secretaría Distrital de Desarrollo Económico</v>
      </c>
      <c r="P1931" s="25" t="str">
        <f t="shared" ca="1" si="2"/>
        <v/>
      </c>
      <c r="Q1931" s="25" t="str">
        <f ca="1">IFERROR(__xludf.DUMMYFUNCTION("""COMPUTED_VALUE"""),"Largo plazo")</f>
        <v>Largo plazo</v>
      </c>
      <c r="R1931" s="25"/>
      <c r="S1931" s="55"/>
      <c r="T1931" s="56"/>
      <c r="U1931" s="25"/>
      <c r="V1931" s="25"/>
      <c r="W1931" s="25"/>
      <c r="X1931" s="25"/>
      <c r="Y1931" s="25"/>
      <c r="Z1931" s="25"/>
    </row>
    <row r="1932" spans="1:26" ht="52.5" customHeight="1" x14ac:dyDescent="0.25">
      <c r="A1932" s="25" t="str">
        <f ca="1">IFERROR(__xludf.DUMMYFUNCTION("""COMPUTED_VALUE"""),"Desar130")</f>
        <v>Desar130</v>
      </c>
      <c r="B1932" s="25" t="str">
        <f ca="1">IFERROR(__xludf.DUMMYFUNCTION("""COMPUTED_VALUE"""),"Consejo Local de Gobierno de Usme")</f>
        <v>Consejo Local de Gobierno de Usme</v>
      </c>
      <c r="C1932" s="55">
        <f ca="1">IFERROR(__xludf.DUMMYFUNCTION("""COMPUTED_VALUE"""),44783)</f>
        <v>44783</v>
      </c>
      <c r="D1932" s="25" t="str">
        <f ca="1">IFERROR(__xludf.DUMMYFUNCTION("""COMPUTED_VALUE"""),"Desarrollo_Económico")</f>
        <v>Desarrollo_Económico</v>
      </c>
      <c r="E1932" s="25" t="str">
        <f ca="1">IFERROR(__xludf.DUMMYFUNCTION("""COMPUTED_VALUE"""),"Secretaría Distrital de Desarrollo Económico")</f>
        <v>Secretaría Distrital de Desarrollo Económico</v>
      </c>
      <c r="F1932" s="25" t="str">
        <f ca="1">IFERROR(__xludf.DUMMYFUNCTION("""COMPUTED_VALUE"""),"Solicitud a la Secretaría de Desarrollo Económico a que se encuentren en el marco del Consejo Consultivo de Ambiente donde están trabajando en la formulación de la política pública de ruralidad, el decreto para establecer el tema de la extensión agropecua"&amp;"ria con Ulata y la Secretaría de Ambiente y la armonización con la ley 1876 de 2017 en el marco de innovación agropecuaria para fortalecer ese espacio.")</f>
        <v>Solicitud a la Secretaría de Desarrollo Económico a que se encuentren en el marco del Consejo Consultivo de Ambiente donde están trabajando en la formulación de la política pública de ruralidad, el decreto para establecer el tema de la extensión agropecuaria con Ulata y la Secretaría de Ambiente y la armonización con la ley 1876 de 2017 en el marco de innovación agropecuaria para fortalecer ese espacio.</v>
      </c>
      <c r="G1932" s="55" t="str">
        <f ca="1">IFERROR(__xludf.DUMMYFUNCTION("""COMPUTED_VALUE"""),"05. Usme")</f>
        <v>05. Usme</v>
      </c>
      <c r="H1932" s="55">
        <f ca="1">IFERROR(__xludf.DUMMYFUNCTION("""COMPUTED_VALUE"""),45138)</f>
        <v>45138</v>
      </c>
      <c r="I1932" s="25" t="str">
        <f ca="1">IFERROR(__xludf.DUMMYFUNCTION("""COMPUTED_VALUE"""),"Delivery Unit")</f>
        <v>Delivery Unit</v>
      </c>
      <c r="J1932" s="55" t="str">
        <f ca="1">IFERROR(__xludf.DUMMYFUNCTION("""COMPUTED_VALUE"""),"Media")</f>
        <v>Media</v>
      </c>
      <c r="K1932" s="25">
        <f ca="1">IFERROR(__xludf.DUMMYFUNCTION("""COMPUTED_VALUE"""),355)</f>
        <v>355</v>
      </c>
      <c r="L1932" s="62">
        <f ca="1">IFERROR(__xludf.DUMMYFUNCTION("""COMPUTED_VALUE"""),45083)</f>
        <v>45083</v>
      </c>
      <c r="M1932" s="25" t="str">
        <f ca="1">IFERROR(__xludf.DUMMYFUNCTION("""COMPUTED_VALUE"""),"Concejo Consultivo de Desarrollo Rural: Es una instancia conformada por las entidades que intervenienen la ruralidad de Bogotá, Secretario(a) Distrital de Ambiente. Secretario(a) Distrital de Educación, Secretario(a) Distrital de Salud, Secretario(a) Dist"&amp;"rital de Gobierno, Secretario(a) Distrital de Planeación, Secretario(a) Distrital de Desarrollo Económico, Secretario(a) Distrital de Integración Social, Secretario(a) Distrital de Cultura Recreación y Deporte, Secretario(a) Distrital de Hábitat, Un Repre"&amp;"sentante por cada una de las Unidades Locales de Desarrollo Rural, Alcaldías Locales con jurisdicciones en áreas rurales o sus delegados. 
-Desde el año 2022 se ha venido trabajando en la reformulación de la política pública de Ruralidad, dicho proceso s"&amp;"e encuentra en cabeza de la Secretaría Distrital de Planeación en concertación con cada entidad. 
-La Secretaría Distrital de Desarrollo Económico ha venido acompañando los procesos de concertación y planeación con entidades del nivel nacional y local pa"&amp;"ra definir cuales son las posibilidades de intervención por parte de SDDE, así como la hoja de ruta hacia la reconversión productiva.
-Se debe llevar a cabo un proceso de mesas de concertación con las comunidades que se encuentran en zonas con determinan"&amp;"tes ambientales a la luz del POT decreto 555 de 2021 el cual está a cargo de la Secretaría Distrital de Ambiente, para las áreas de paisaje sostenible, para una posible y posterior intervención por parte de la Secretaría de Desarrollo Económico. 
-Tenien"&amp;"do en cuenta lo anterior, se deben surtir las mesas de concertación y revisión con las entidades competentes en el territorio para llevar a cabo el proceso de fortalecimiento  en la ruralidad de Bogotá.
-Se fijó fecha de 5 de junio para la firma del memo"&amp;"rando de entendimiento con el alcalde Local y la ULATA para el ejercicio de seguimiento de los proyectos que han sido fortalecidos por parte de la SDDE. ")</f>
        <v xml:space="preserve">Concejo Consultivo de Desarrollo Rural: Es una instancia conformada por las entidades que intervenienen la ruralidad de Bogotá, Secretario(a) Distrital de Ambiente. Secretario(a) Distrital de Educación, Secretario(a) Distrital de Salud, Secretario(a) Distrital de Gobierno, Secretario(a) Distrital de Planeación, Secretario(a) Distrital de Desarrollo Económico, Secretario(a) Distrital de Integración Social, Secretario(a) Distrital de Cultura Recreación y Deporte, Secretario(a) Distrital de Hábitat, Un Representante por cada una de las Unidades Locales de Desarrollo Rural, Alcaldías Locales con jurisdicciones en áreas rurales o sus delegados. 
-Desde el año 2022 se ha venido trabajando en la reformulación de la política pública de Ruralidad, dicho proceso se encuentra en cabeza de la Secretaría Distrital de Planeación en concertación con cada entidad. 
-La Secretaría Distrital de Desarrollo Económico ha venido acompañando los procesos de concertación y planeación con entidades del nivel nacional y local para definir cuales son las posibilidades de intervención por parte de SDDE, así como la hoja de ruta hacia la reconversión productiva.
-Se debe llevar a cabo un proceso de mesas de concertación con las comunidades que se encuentran en zonas con determinantes ambientales a la luz del POT decreto 555 de 2021 el cual está a cargo de la Secretaría Distrital de Ambiente, para las áreas de paisaje sostenible, para una posible y posterior intervención por parte de la Secretaría de Desarrollo Económico. 
-Teniendo en cuenta lo anterior, se deben surtir las mesas de concertación y revisión con las entidades competentes en el territorio para llevar a cabo el proceso de fortalecimiento  en la ruralidad de Bogotá.
-Se fijó fecha de 5 de junio para la firma del memorando de entendimiento con el alcalde Local y la ULATA para el ejercicio de seguimiento de los proyectos que han sido fortalecidos por parte de la SDDE. </v>
      </c>
      <c r="N1932" s="25"/>
      <c r="O1932" s="25" t="str">
        <f t="shared" ca="1" si="0"/>
        <v>Secretaría Distrital de Desarrollo Económico</v>
      </c>
      <c r="P1932" s="25" t="str">
        <f t="shared" ca="1" si="2"/>
        <v/>
      </c>
      <c r="Q1932" s="25" t="str">
        <f ca="1">IFERROR(__xludf.DUMMYFUNCTION("""COMPUTED_VALUE"""),"Largo plazo")</f>
        <v>Largo plazo</v>
      </c>
      <c r="R1932" s="25"/>
      <c r="S1932" s="55"/>
      <c r="T1932" s="56"/>
      <c r="U1932" s="25"/>
      <c r="V1932" s="25"/>
      <c r="W1932" s="25"/>
      <c r="X1932" s="25"/>
      <c r="Y1932" s="25"/>
      <c r="Z1932" s="25"/>
    </row>
    <row r="1933" spans="1:26" ht="52.5" customHeight="1" x14ac:dyDescent="0.25">
      <c r="A1933" s="25" t="str">
        <f ca="1">IFERROR(__xludf.DUMMYFUNCTION("""COMPUTED_VALUE"""),"Desar131")</f>
        <v>Desar131</v>
      </c>
      <c r="B1933" s="25" t="str">
        <f ca="1">IFERROR(__xludf.DUMMYFUNCTION("""COMPUTED_VALUE"""),"Consejo Local de Gobierno de Engativá")</f>
        <v>Consejo Local de Gobierno de Engativá</v>
      </c>
      <c r="C1933" s="55">
        <f ca="1">IFERROR(__xludf.DUMMYFUNCTION("""COMPUTED_VALUE"""),44588)</f>
        <v>44588</v>
      </c>
      <c r="D1933" s="25" t="str">
        <f ca="1">IFERROR(__xludf.DUMMYFUNCTION("""COMPUTED_VALUE"""),"Desarrollo_Económico")</f>
        <v>Desarrollo_Económico</v>
      </c>
      <c r="E1933" s="25" t="str">
        <f ca="1">IFERROR(__xludf.DUMMYFUNCTION("""COMPUTED_VALUE"""),"Secretaría Distrital de Desarrollo Económico")</f>
        <v>Secretaría Distrital de Desarrollo Económico</v>
      </c>
      <c r="F1933" s="25" t="str">
        <f ca="1">IFERROR(__xludf.DUMMYFUNCTION("""COMPUTED_VALUE"""),"Remodelar la plaza de mercado Quirigua")</f>
        <v>Remodelar la plaza de mercado Quirigua</v>
      </c>
      <c r="G1933" s="55" t="str">
        <f ca="1">IFERROR(__xludf.DUMMYFUNCTION("""COMPUTED_VALUE"""),"10. Engativá")</f>
        <v>10. Engativá</v>
      </c>
      <c r="H1933" s="55">
        <f ca="1">IFERROR(__xludf.DUMMYFUNCTION("""COMPUTED_VALUE"""),44893)</f>
        <v>44893</v>
      </c>
      <c r="I1933" s="25"/>
      <c r="J1933" s="55" t="str">
        <f ca="1">IFERROR(__xludf.DUMMYFUNCTION("""COMPUTED_VALUE"""),"Baja")</f>
        <v>Baja</v>
      </c>
      <c r="K1933" s="25">
        <f ca="1">IFERROR(__xludf.DUMMYFUNCTION("""COMPUTED_VALUE"""),305)</f>
        <v>305</v>
      </c>
      <c r="L1933" s="62">
        <f ca="1">IFERROR(__xludf.DUMMYFUNCTION("""COMPUTED_VALUE"""),44893)</f>
        <v>44893</v>
      </c>
      <c r="M1933" s="25" t="str">
        <f ca="1">IFERROR(__xludf.DUMMYFUNCTION("""COMPUTED_VALUE"""),"Los contratos de obra y de interventoría para el reforzamiento estructural tienen acta de inicio del 19/01/22, con un plazo de ejecución de 6 meses y adición de 3 meses, para una duración total de 9 meses.
 El proyecto termino el 19 de octubre de 2022.")</f>
        <v>Los contratos de obra y de interventoría para el reforzamiento estructural tienen acta de inicio del 19/01/22, con un plazo de ejecución de 6 meses y adición de 3 meses, para una duración total de 9 meses.
 El proyecto termino el 19 de octubre de 2022.</v>
      </c>
      <c r="N1933" s="55">
        <f ca="1">IFERROR(__xludf.DUMMYFUNCTION("""COMPUTED_VALUE"""),44926)</f>
        <v>44926</v>
      </c>
      <c r="O1933" s="25" t="str">
        <f t="shared" ca="1" si="0"/>
        <v>Secretaría Distrital de Desarrollo Económico</v>
      </c>
      <c r="P1933" s="25" t="str">
        <f t="shared" si="2"/>
        <v/>
      </c>
      <c r="Q1933" s="25" t="str">
        <f ca="1">IFERROR(__xludf.DUMMYFUNCTION("""COMPUTED_VALUE"""),"Largo plazo")</f>
        <v>Largo plazo</v>
      </c>
      <c r="R1933" s="25"/>
      <c r="S1933" s="55"/>
      <c r="T1933" s="56"/>
      <c r="U1933" s="25"/>
      <c r="V1933" s="25"/>
      <c r="W1933" s="25"/>
      <c r="X1933" s="25"/>
      <c r="Y1933" s="25"/>
      <c r="Z1933" s="25"/>
    </row>
    <row r="1934" spans="1:26" ht="52.5" customHeight="1" x14ac:dyDescent="0.25">
      <c r="A1934" s="25" t="str">
        <f ca="1">IFERROR(__xludf.DUMMYFUNCTION("""COMPUTED_VALUE"""),"Desar132")</f>
        <v>Desar132</v>
      </c>
      <c r="B1934" s="25" t="str">
        <f ca="1">IFERROR(__xludf.DUMMYFUNCTION("""COMPUTED_VALUE"""),"Consejo Local de Gobierno de Engativá")</f>
        <v>Consejo Local de Gobierno de Engativá</v>
      </c>
      <c r="C1934" s="55">
        <f ca="1">IFERROR(__xludf.DUMMYFUNCTION("""COMPUTED_VALUE"""),44588)</f>
        <v>44588</v>
      </c>
      <c r="D1934" s="25" t="str">
        <f ca="1">IFERROR(__xludf.DUMMYFUNCTION("""COMPUTED_VALUE"""),"Desarrollo_Económico")</f>
        <v>Desarrollo_Económico</v>
      </c>
      <c r="E1934" s="25" t="str">
        <f ca="1">IFERROR(__xludf.DUMMYFUNCTION("""COMPUTED_VALUE"""),"Instituto para la Economía Social")</f>
        <v>Instituto para la Economía Social</v>
      </c>
      <c r="F1934" s="25" t="str">
        <f ca="1">IFERROR(__xludf.DUMMYFUNCTION("""COMPUTED_VALUE"""),"Lograr un acuerdo organizado y reubicar a los vendedores informales de la localidad")</f>
        <v>Lograr un acuerdo organizado y reubicar a los vendedores informales de la localidad</v>
      </c>
      <c r="G1934" s="55" t="str">
        <f ca="1">IFERROR(__xludf.DUMMYFUNCTION("""COMPUTED_VALUE"""),"10. Engativá")</f>
        <v>10. Engativá</v>
      </c>
      <c r="H1934" s="25"/>
      <c r="I1934" s="25"/>
      <c r="J1934" s="55"/>
      <c r="K1934" s="25" t="str">
        <f ca="1">IFERROR(__xludf.DUMMYFUNCTION("""COMPUTED_VALUE"""),"Definir fecha")</f>
        <v>Definir fecha</v>
      </c>
      <c r="L1934" s="62">
        <f ca="1">IFERROR(__xludf.DUMMYFUNCTION("""COMPUTED_VALUE"""),44621)</f>
        <v>44621</v>
      </c>
      <c r="M1934" s="25" t="str">
        <f ca="1">IFERROR(__xludf.DUMMYFUNCTION("""COMPUTED_VALUE"""),"Se firmó pacto con el sector denominado Connecta Cra 52A, aledaño al Centro Empresarial Connecta 26. Se logró su reubicación sobre la acera aledaña al parque y se entregó chaleco, gorra, kit de bioseguridad y parasol. Este acuerdo se realizó en articulaci"&amp;"ón con la Alcaldía Local, IDRD, IPES y los 14 vendedores informales firmantes. Además, se intervino el espacio con pintura indicativa de lugares de uso.")</f>
        <v>Se firmó pacto con el sector denominado Connecta Cra 52A, aledaño al Centro Empresarial Connecta 26. Se logró su reubicación sobre la acera aledaña al parque y se entregó chaleco, gorra, kit de bioseguridad y parasol. Este acuerdo se realizó en articulación con la Alcaldía Local, IDRD, IPES y los 14 vendedores informales firmantes. Además, se intervino el espacio con pintura indicativa de lugares de uso.</v>
      </c>
      <c r="N1934" s="55">
        <f ca="1">IFERROR(__xludf.DUMMYFUNCTION("""COMPUTED_VALUE"""),44926)</f>
        <v>44926</v>
      </c>
      <c r="O1934" s="25" t="str">
        <f t="shared" ca="1" si="0"/>
        <v>Instituto para la Economía Social</v>
      </c>
      <c r="P1934" s="25" t="str">
        <f t="shared" si="2"/>
        <v/>
      </c>
      <c r="Q1934" s="25" t="str">
        <f ca="1">IFERROR(__xludf.DUMMYFUNCTION("""COMPUTED_VALUE"""),"Sin defenir")</f>
        <v>Sin defenir</v>
      </c>
      <c r="R1934" s="25"/>
      <c r="S1934" s="55"/>
      <c r="T1934" s="56"/>
      <c r="U1934" s="25"/>
      <c r="V1934" s="25"/>
      <c r="W1934" s="25"/>
      <c r="X1934" s="25"/>
      <c r="Y1934" s="25"/>
      <c r="Z1934" s="25"/>
    </row>
    <row r="1935" spans="1:26" ht="52.5" customHeight="1" x14ac:dyDescent="0.25">
      <c r="A1935" s="25" t="str">
        <f ca="1">IFERROR(__xludf.DUMMYFUNCTION("""COMPUTED_VALUE"""),"Desar133")</f>
        <v>Desar133</v>
      </c>
      <c r="B1935" s="25" t="str">
        <f ca="1">IFERROR(__xludf.DUMMYFUNCTION("""COMPUTED_VALUE"""),"Consejo Local de Gobierno de Ciudad Bolívar")</f>
        <v>Consejo Local de Gobierno de Ciudad Bolívar</v>
      </c>
      <c r="C1935" s="55">
        <f ca="1">IFERROR(__xludf.DUMMYFUNCTION("""COMPUTED_VALUE"""),44595)</f>
        <v>44595</v>
      </c>
      <c r="D1935" s="25" t="str">
        <f ca="1">IFERROR(__xludf.DUMMYFUNCTION("""COMPUTED_VALUE"""),"Desarrollo_Económico")</f>
        <v>Desarrollo_Económico</v>
      </c>
      <c r="E1935" s="25" t="str">
        <f ca="1">IFERROR(__xludf.DUMMYFUNCTION("""COMPUTED_VALUE"""),"Secretaría Distrital de Desarrollo Económico")</f>
        <v>Secretaría Distrital de Desarrollo Económico</v>
      </c>
      <c r="F1935" s="25" t="str">
        <f ca="1">IFERROR(__xludf.DUMMYFUNCTION("""COMPUTED_VALUE"""),"Reactivar la plaza de mercado de La Plataforma El Lucero")</f>
        <v>Reactivar la plaza de mercado de La Plataforma El Lucero</v>
      </c>
      <c r="G1935" s="55" t="str">
        <f ca="1">IFERROR(__xludf.DUMMYFUNCTION("""COMPUTED_VALUE"""),"19. Ciudad Bolívar")</f>
        <v>19. Ciudad Bolívar</v>
      </c>
      <c r="H1935" s="55">
        <f ca="1">IFERROR(__xludf.DUMMYFUNCTION("""COMPUTED_VALUE"""),45107)</f>
        <v>45107</v>
      </c>
      <c r="I1935" s="25" t="str">
        <f ca="1">IFERROR(__xludf.DUMMYFUNCTION("""COMPUTED_VALUE"""),"Delivery Unit")</f>
        <v>Delivery Unit</v>
      </c>
      <c r="J1935" s="55" t="str">
        <f ca="1">IFERROR(__xludf.DUMMYFUNCTION("""COMPUTED_VALUE"""),"Alta")</f>
        <v>Alta</v>
      </c>
      <c r="K1935" s="25">
        <f ca="1">IFERROR(__xludf.DUMMYFUNCTION("""COMPUTED_VALUE"""),512)</f>
        <v>512</v>
      </c>
      <c r="L1935" s="62">
        <f ca="1">IFERROR(__xludf.DUMMYFUNCTION("""COMPUTED_VALUE"""),45083)</f>
        <v>45083</v>
      </c>
      <c r="M1935" s="25" t="str">
        <f ca="1">IFERROR(__xludf.DUMMYFUNCTION("""COMPUTED_VALUE"""),"PLATAFORMA LOGISTICAS LOS LUCEROS:
  Avances a la fecha: 
 OPERACION:
1. COORATIENDAS , FEDEARROZ  operando segun su formato
2. AGROPOLITANA, AGROORIGEN, APAVE Y RED MUJER  operando con comedores comunitarios y PAE Bogotà por intermedio de COMPENSAR
CONSU"&amp;"LTORIA:
3. En desarrollo el contrato de consultoría estructural con el objeto:"" realizar una evaluacion integral de la funcionalidad de la plataforma logistica los Luceros, en el marco del abastecimiento alimentario de Bogotá-Región, orientada a obtener "&amp;"los insumos necesarios para determinar la viabilidad de su operación como plataforma logística y formular alternativas de uso de la infraestructura. Producto 1 entregado●        Un (1) documento que recopile los antecedentes de la planeación, construcción"&amp;" y operación de la Plataforma Logística Los Luceros, incluyendo los recursos económicos invertidos para su operación.●        Un (1) documento de análisis costo - beneficio de la Plataforma Logística Los Luceros en función de distintos escenarios de opera"&amp;"ción, en el marco del abastecimiento alimentario de Bogotá-Región, en el que se detallen los objetivos, los requerimientos, las limitaciones y las estimaciones en términos monetarios de los costos y beneficios relacionados con cada opción evaluada. (SE EN"&amp;"TREGA EL DOCUMENTO EL 6 DE JUNIO DE 2023)
4. Se prorroga el término en un mes más, su finalización esta programada para el 27 de  julio de 2023.
MEMORANDOS ENTENDIMIENTO:
Se prorrogaron los MoU de:
Cooratiendas, Fedearroz, red Mujer, Agropolitana, Apave "&amp;"y Agroorigen por dos meses más hasta tener resultados por parte de la consultoría.  
PLAZA DE MERCADO LOS LUCEROS:
En apoyo a contribuir con el impulso de la plaza de mercado, se logró instalar un local para COORATIENDAS dentro de la plaza de mercado c"&amp;"omo ancla comercial de 100m2 al igual que FEDEARROZ con un local de 30m2, para impulsar la plaza que esta acargo del IPES""
")</f>
        <v xml:space="preserve">PLATAFORMA LOGISTICAS LOS LUCEROS:
  Avances a la fecha: 
 OPERACION:
1. COORATIENDAS , FEDEARROZ  operando segun su formato
2. AGROPOLITANA, AGROORIGEN, APAVE Y RED MUJER  operando con comedores comunitarios y PAE Bogotà por intermedio de COMPENSAR
CONSULTORIA:
3. En desarrollo el contrato de consultoría estructural con el objeto:" realizar una evaluacion integral de la funcionalidad de la plataforma logistica los Luceros, en el marco del abastecimiento alimentario de Bogotá-Región, orientada a obtener los insumos necesarios para determinar la viabilidad de su operación como plataforma logística y formular alternativas de uso de la infraestructura. Producto 1 entregado●        Un (1) documento que recopile los antecedentes de la planeación, construcción y operación de la Plataforma Logística Los Luceros, incluyendo los recursos económicos invertidos para su operación.●        Un (1) documento de análisis costo - beneficio de la Plataforma Logística Los Luceros en función de distintos escenarios de operación, en el marco del abastecimiento alimentario de Bogotá-Región, en el que se detallen los objetivos, los requerimientos, las limitaciones y las estimaciones en términos monetarios de los costos y beneficios relacionados con cada opción evaluada. (SE ENTREGA EL DOCUMENTO EL 6 DE JUNIO DE 2023)
4. Se prorroga el término en un mes más, su finalización esta programada para el 27 de  julio de 2023.
MEMORANDOS ENTENDIMIENTO:
Se prorrogaron los MoU de:
Cooratiendas, Fedearroz, red Mujer, Agropolitana, Apave y Agroorigen por dos meses más hasta tener resultados por parte de la consultoría.  
PLAZA DE MERCADO LOS LUCEROS:
En apoyo a contribuir con el impulso de la plaza de mercado, se logró instalar un local para COORATIENDAS dentro de la plaza de mercado como ancla comercial de 100m2 al igual que FEDEARROZ con un local de 30m2, para impulsar la plaza que esta acargo del IPES"
</v>
      </c>
      <c r="N1935" s="55">
        <f ca="1">IFERROR(__xludf.DUMMYFUNCTION("""COMPUTED_VALUE"""),45134)</f>
        <v>45134</v>
      </c>
      <c r="O1935" s="25" t="str">
        <f t="shared" ca="1" si="0"/>
        <v>Secretaría Distrital de Desarrollo Económico</v>
      </c>
      <c r="P1935" s="25" t="str">
        <f t="shared" ca="1" si="2"/>
        <v/>
      </c>
      <c r="Q1935" s="25" t="str">
        <f ca="1">IFERROR(__xludf.DUMMYFUNCTION("""COMPUTED_VALUE"""),"Largo plazo")</f>
        <v>Largo plazo</v>
      </c>
      <c r="R1935" s="25"/>
      <c r="S1935" s="55"/>
      <c r="T1935" s="56"/>
      <c r="U1935" s="25"/>
      <c r="V1935" s="25"/>
      <c r="W1935" s="25"/>
      <c r="X1935" s="25"/>
      <c r="Y1935" s="25"/>
      <c r="Z1935" s="25"/>
    </row>
    <row r="1936" spans="1:26" ht="52.5" customHeight="1" x14ac:dyDescent="0.25">
      <c r="A1936" s="25" t="str">
        <f ca="1">IFERROR(__xludf.DUMMYFUNCTION("""COMPUTED_VALUE"""),"Desar134")</f>
        <v>Desar134</v>
      </c>
      <c r="B1936" s="25" t="str">
        <f ca="1">IFERROR(__xludf.DUMMYFUNCTION("""COMPUTED_VALUE"""),"Consejo Local de Gobierno de Fontibón")</f>
        <v>Consejo Local de Gobierno de Fontibón</v>
      </c>
      <c r="C1936" s="55">
        <f ca="1">IFERROR(__xludf.DUMMYFUNCTION("""COMPUTED_VALUE"""),44609)</f>
        <v>44609</v>
      </c>
      <c r="D1936" s="25" t="str">
        <f ca="1">IFERROR(__xludf.DUMMYFUNCTION("""COMPUTED_VALUE"""),"Desarrollo_Económico")</f>
        <v>Desarrollo_Económico</v>
      </c>
      <c r="E1936" s="25" t="str">
        <f ca="1">IFERROR(__xludf.DUMMYFUNCTION("""COMPUTED_VALUE"""),"Secretaría Distrital de Desarrollo Económico")</f>
        <v>Secretaría Distrital de Desarrollo Económico</v>
      </c>
      <c r="F1936" s="25" t="str">
        <f ca="1">IFERROR(__xludf.DUMMYFUNCTION("""COMPUTED_VALUE"""),"Revisar la posibilidad de implementar líneas de apoyo para la recepción de hojas de vida en la localidad y establecer posibles estrategias que permitan conectar a la comunidad con las ofertas laborales de las empresas privadas")</f>
        <v>Revisar la posibilidad de implementar líneas de apoyo para la recepción de hojas de vida en la localidad y establecer posibles estrategias que permitan conectar a la comunidad con las ofertas laborales de las empresas privadas</v>
      </c>
      <c r="G1936" s="55" t="str">
        <f ca="1">IFERROR(__xludf.DUMMYFUNCTION("""COMPUTED_VALUE"""),"09. Fontibón")</f>
        <v>09. Fontibón</v>
      </c>
      <c r="H1936" s="55">
        <f ca="1">IFERROR(__xludf.DUMMYFUNCTION("""COMPUTED_VALUE"""),44895)</f>
        <v>44895</v>
      </c>
      <c r="I1936" s="25"/>
      <c r="J1936" s="55" t="str">
        <f ca="1">IFERROR(__xludf.DUMMYFUNCTION("""COMPUTED_VALUE"""),"Baja")</f>
        <v>Baja</v>
      </c>
      <c r="K1936" s="25">
        <f ca="1">IFERROR(__xludf.DUMMYFUNCTION("""COMPUTED_VALUE"""),286)</f>
        <v>286</v>
      </c>
      <c r="L1936" s="62">
        <f ca="1">IFERROR(__xludf.DUMMYFUNCTION("""COMPUTED_VALUE"""),44895)</f>
        <v>44895</v>
      </c>
      <c r="M1936" s="25" t="str">
        <f ca="1">IFERROR(__xludf.DUMMYFUNCTION("""COMPUTED_VALUE"""),"Desde la APED se va a desarrollar una jornada en territorio, en la cual se va a atender a toda la población que busca empleo o algun tema de fortalecimiento de hoja devida por medio de la prestación de los servicios de ruta de empleo los cuales comprenden"&amp;": 1. Registro, 2. Orientación. 3. Taller de formación 4. Intermediación laboral. Tambien nos acomapñara una empresa quienes realizan su procesos de selección para vacantes de operarios en cultivo de flores. (Es el ultimo paso de la ruta de empleo). 
 La f"&amp;"eria tendra lugar el día: 5 de diciembre de 2022 en la casa de la cultura de fontibón.")</f>
        <v>Desde la APED se va a desarrollar una jornada en territorio, en la cual se va a atender a toda la población que busca empleo o algun tema de fortalecimiento de hoja devida por medio de la prestación de los servicios de ruta de empleo los cuales comprenden: 1. Registro, 2. Orientación. 3. Taller de formación 4. Intermediación laboral. Tambien nos acomapñara una empresa quienes realizan su procesos de selección para vacantes de operarios en cultivo de flores. (Es el ultimo paso de la ruta de empleo). 
 La feria tendra lugar el día: 5 de diciembre de 2022 en la casa de la cultura de fontibón.</v>
      </c>
      <c r="N1936" s="55">
        <f ca="1">IFERROR(__xludf.DUMMYFUNCTION("""COMPUTED_VALUE"""),44926)</f>
        <v>44926</v>
      </c>
      <c r="O1936" s="25" t="str">
        <f t="shared" ca="1" si="0"/>
        <v>Secretaría Distrital de Desarrollo Económico</v>
      </c>
      <c r="P1936" s="25" t="str">
        <f t="shared" si="2"/>
        <v/>
      </c>
      <c r="Q1936" s="25" t="str">
        <f ca="1">IFERROR(__xludf.DUMMYFUNCTION("""COMPUTED_VALUE"""),"Largo plazo")</f>
        <v>Largo plazo</v>
      </c>
      <c r="R1936" s="25"/>
      <c r="S1936" s="55"/>
      <c r="T1936" s="56"/>
      <c r="U1936" s="25"/>
      <c r="V1936" s="25"/>
      <c r="W1936" s="25"/>
      <c r="X1936" s="25"/>
      <c r="Y1936" s="25"/>
      <c r="Z1936" s="25"/>
    </row>
    <row r="1937" spans="1:26" ht="52.5" customHeight="1" x14ac:dyDescent="0.25">
      <c r="A1937" s="25" t="str">
        <f ca="1">IFERROR(__xludf.DUMMYFUNCTION("""COMPUTED_VALUE"""),"Desar135")</f>
        <v>Desar135</v>
      </c>
      <c r="B1937" s="25" t="str">
        <f ca="1">IFERROR(__xludf.DUMMYFUNCTION("""COMPUTED_VALUE"""),"Consejo Local de Gobierno de Puente Aranda")</f>
        <v>Consejo Local de Gobierno de Puente Aranda</v>
      </c>
      <c r="C1937" s="55">
        <f ca="1">IFERROR(__xludf.DUMMYFUNCTION("""COMPUTED_VALUE"""),44672)</f>
        <v>44672</v>
      </c>
      <c r="D1937" s="25" t="str">
        <f ca="1">IFERROR(__xludf.DUMMYFUNCTION("""COMPUTED_VALUE"""),"Desarrollo_Económico")</f>
        <v>Desarrollo_Económico</v>
      </c>
      <c r="E1937" s="25" t="str">
        <f ca="1">IFERROR(__xludf.DUMMYFUNCTION("""COMPUTED_VALUE"""),"Secretaría Distrital de Desarrollo Económico")</f>
        <v>Secretaría Distrital de Desarrollo Económico</v>
      </c>
      <c r="F1937" s="25" t="str">
        <f ca="1">IFERROR(__xludf.DUMMYFUNCTION("""COMPUTED_VALUE"""),"Avanzar en el programa para incentivar la contratación de personas mayores, subsidiando una parte de su salario para que puedan trabajar y lograr una pensión")</f>
        <v>Avanzar en el programa para incentivar la contratación de personas mayores, subsidiando una parte de su salario para que puedan trabajar y lograr una pensión</v>
      </c>
      <c r="G1937" s="55" t="str">
        <f ca="1">IFERROR(__xludf.DUMMYFUNCTION("""COMPUTED_VALUE"""),"16. Puente Aranda")</f>
        <v>16. Puente Aranda</v>
      </c>
      <c r="H1937" s="55">
        <f ca="1">IFERROR(__xludf.DUMMYFUNCTION("""COMPUTED_VALUE"""),44893)</f>
        <v>44893</v>
      </c>
      <c r="I1937" s="25"/>
      <c r="J1937" s="55" t="str">
        <f ca="1">IFERROR(__xludf.DUMMYFUNCTION("""COMPUTED_VALUE"""),"Baja")</f>
        <v>Baja</v>
      </c>
      <c r="K1937" s="25">
        <f ca="1">IFERROR(__xludf.DUMMYFUNCTION("""COMPUTED_VALUE"""),221)</f>
        <v>221</v>
      </c>
      <c r="L1937" s="62">
        <f ca="1">IFERROR(__xludf.DUMMYFUNCTION("""COMPUTED_VALUE"""),44893)</f>
        <v>44893</v>
      </c>
      <c r="M1937" s="25" t="str">
        <f ca="1">IFERROR(__xludf.DUMMYFUNCTION("""COMPUTED_VALUE"""),"El pasado 20 de septiembre del 2022, en un acto protocolario, se realizó el lanzamiento del programa “Empleo Incluyente” a través del Decreto 399 del 2022. Contemplando favorecer a 19 tipos de poblaciones focalizadas entre los que se encuentran las person"&amp;"as mayores, esta es una herramienta dispuesta por el Sistema Distrital Para la Mitigación del Impacto Económico, el Fomento y la Reactivación Económica, y tiene como objetivo incentivar la contratación laboral de las poblaciones que enfrentan brechas de a"&amp;"cceso al empleo formal, como acción afirmativa con enfoque de género y diferencial en respuesta a las dificultades de inclusión laboral que enfrentan. Básicamente funciona a través de un beneficio económico corriente entregado directamente a las empresas "&amp;"que demuestren vinculaciones efectivas para esta población. Con esta iniciativa se va a beneficiar a 22.500 personas pertenecientes a los grupos poblaciones focalizados en el Decreto.")</f>
        <v>El pasado 20 de septiembre del 2022, en un acto protocolario, se realizó el lanzamiento del programa “Empleo Incluyente” a través del Decreto 399 del 2022. Contemplando favorecer a 19 tipos de poblaciones focalizadas entre los que se encuentran las personas mayores, esta es una herramienta dispuesta por el Sistema Distrital Para la Mitigación del Impacto Económico, el Fomento y la Reactivación Económica, y tiene como objetivo incentivar la contratación laboral de las poblaciones que enfrentan brechas de acceso al empleo formal, como acción afirmativa con enfoque de género y diferencial en respuesta a las dificultades de inclusión laboral que enfrentan. Básicamente funciona a través de un beneficio económico corriente entregado directamente a las empresas que demuestren vinculaciones efectivas para esta población. Con esta iniciativa se va a beneficiar a 22.500 personas pertenecientes a los grupos poblaciones focalizados en el Decreto.</v>
      </c>
      <c r="N1937" s="55">
        <f ca="1">IFERROR(__xludf.DUMMYFUNCTION("""COMPUTED_VALUE"""),44926)</f>
        <v>44926</v>
      </c>
      <c r="O1937" s="25" t="str">
        <f t="shared" ca="1" si="0"/>
        <v>Secretaría Distrital de Desarrollo Económico</v>
      </c>
      <c r="P1937" s="25" t="str">
        <f t="shared" si="2"/>
        <v/>
      </c>
      <c r="Q1937" s="25" t="str">
        <f ca="1">IFERROR(__xludf.DUMMYFUNCTION("""COMPUTED_VALUE"""),"Largo plazo")</f>
        <v>Largo plazo</v>
      </c>
      <c r="R1937" s="25"/>
      <c r="S1937" s="55"/>
      <c r="T1937" s="56"/>
      <c r="U1937" s="25"/>
      <c r="V1937" s="25"/>
      <c r="W1937" s="25"/>
      <c r="X1937" s="25"/>
      <c r="Y1937" s="25"/>
      <c r="Z1937" s="25"/>
    </row>
    <row r="1938" spans="1:26" ht="52.5" customHeight="1" x14ac:dyDescent="0.25">
      <c r="A1938" s="25" t="str">
        <f ca="1">IFERROR(__xludf.DUMMYFUNCTION("""COMPUTED_VALUE"""),"Desar136")</f>
        <v>Desar136</v>
      </c>
      <c r="B1938" s="25" t="str">
        <f ca="1">IFERROR(__xludf.DUMMYFUNCTION("""COMPUTED_VALUE"""),"Consejo Local de Gobierno de Puente Aranda")</f>
        <v>Consejo Local de Gobierno de Puente Aranda</v>
      </c>
      <c r="C1938" s="55">
        <f ca="1">IFERROR(__xludf.DUMMYFUNCTION("""COMPUTED_VALUE"""),44672)</f>
        <v>44672</v>
      </c>
      <c r="D1938" s="25" t="str">
        <f ca="1">IFERROR(__xludf.DUMMYFUNCTION("""COMPUTED_VALUE"""),"Desarrollo_Económico")</f>
        <v>Desarrollo_Económico</v>
      </c>
      <c r="E1938" s="25" t="str">
        <f ca="1">IFERROR(__xludf.DUMMYFUNCTION("""COMPUTED_VALUE"""),"Secretaría Distrital de Desarrollo Económico")</f>
        <v>Secretaría Distrital de Desarrollo Económico</v>
      </c>
      <c r="F1938" s="25" t="str">
        <f ca="1">IFERROR(__xludf.DUMMYFUNCTION("""COMPUTED_VALUE"""),"Brindar al ciudadano la información necesaria para presentarse en los programas de apoyo a empredendores y que pueda financiar su emprendimiento")</f>
        <v>Brindar al ciudadano la información necesaria para presentarse en los programas de apoyo a empredendores y que pueda financiar su emprendimiento</v>
      </c>
      <c r="G1938" s="55" t="str">
        <f ca="1">IFERROR(__xludf.DUMMYFUNCTION("""COMPUTED_VALUE"""),"16. Puente Aranda")</f>
        <v>16. Puente Aranda</v>
      </c>
      <c r="H1938" s="55">
        <f ca="1">IFERROR(__xludf.DUMMYFUNCTION("""COMPUTED_VALUE"""),44894)</f>
        <v>44894</v>
      </c>
      <c r="I1938" s="25"/>
      <c r="J1938" s="55" t="str">
        <f ca="1">IFERROR(__xludf.DUMMYFUNCTION("""COMPUTED_VALUE"""),"Baja")</f>
        <v>Baja</v>
      </c>
      <c r="K1938" s="25">
        <f ca="1">IFERROR(__xludf.DUMMYFUNCTION("""COMPUTED_VALUE"""),222)</f>
        <v>222</v>
      </c>
      <c r="L1938" s="62">
        <f ca="1">IFERROR(__xludf.DUMMYFUNCTION("""COMPUTED_VALUE"""),44894)</f>
        <v>44894</v>
      </c>
      <c r="M1938" s="25" t="str">
        <f ca="1">IFERROR(__xludf.DUMMYFUNCTION("""COMPUTED_VALUE"""),"Desde la Subdireccion de Emprendimiento y Negocios se realizó comunicación con el ciudadano le hablamos del programa Ruta Bogotá e ,para que pueda hacer parte de el, se le hizo énfasis en la academia de emprendimiento, que en ella recibirá formación en ha"&amp;"bilidades y capacidades para fortalecer su emprendimiento, así mismo le informamos que los más destacados de la academia y previo cumplimiento de requisitos, tendrán la oportunidad participar de ruedas de negocio e inversión, ruedas de innovación, ferias,"&amp;" entre otros Se envió información del programa Ruta Bogotá E, por vía WhatsApp.
 29/11/2022: En contacto telefónico con el señor miguel Patiño ser pudo confirmar que ya se inscribió en el programa Bogotá Ruta E, en el cual he realizado formación en las "&amp;"cápsulas de conocimiento, y que va a participar en los colaboratorios cuando se programe; y que adicionalmente se va a inscribir en Impulso Local.")</f>
        <v>Desde la Subdireccion de Emprendimiento y Negocios se realizó comunicación con el ciudadano le hablamos del programa Ruta Bogotá e ,para que pueda hacer parte de el, se le hizo énfasis en la academia de emprendimiento, que en ella recibirá formación en habilidades y capacidades para fortalecer su emprendimiento, así mismo le informamos que los más destacados de la academia y previo cumplimiento de requisitos, tendrán la oportunidad participar de ruedas de negocio e inversión, ruedas de innovación, ferias, entre otros Se envió información del programa Ruta Bogotá E, por vía WhatsApp.
 29/11/2022: En contacto telefónico con el señor miguel Patiño ser pudo confirmar que ya se inscribió en el programa Bogotá Ruta E, en el cual he realizado formación en las cápsulas de conocimiento, y que va a participar en los colaboratorios cuando se programe; y que adicionalmente se va a inscribir en Impulso Local.</v>
      </c>
      <c r="N1938" s="55">
        <f ca="1">IFERROR(__xludf.DUMMYFUNCTION("""COMPUTED_VALUE"""),44926)</f>
        <v>44926</v>
      </c>
      <c r="O1938" s="25" t="str">
        <f t="shared" ca="1" si="0"/>
        <v>Secretaría Distrital de Desarrollo Económico</v>
      </c>
      <c r="P1938" s="25" t="str">
        <f t="shared" si="2"/>
        <v/>
      </c>
      <c r="Q1938" s="25" t="str">
        <f ca="1">IFERROR(__xludf.DUMMYFUNCTION("""COMPUTED_VALUE"""),"Largo plazo")</f>
        <v>Largo plazo</v>
      </c>
      <c r="R1938" s="25"/>
      <c r="S1938" s="55"/>
      <c r="T1938" s="56"/>
      <c r="U1938" s="25"/>
      <c r="V1938" s="25"/>
      <c r="W1938" s="25"/>
      <c r="X1938" s="25"/>
      <c r="Y1938" s="25"/>
      <c r="Z1938" s="25"/>
    </row>
    <row r="1939" spans="1:26" ht="52.5" customHeight="1" x14ac:dyDescent="0.25">
      <c r="A1939" s="25" t="str">
        <f ca="1">IFERROR(__xludf.DUMMYFUNCTION("""COMPUTED_VALUE"""),"Desar137")</f>
        <v>Desar137</v>
      </c>
      <c r="B1939" s="25" t="str">
        <f ca="1">IFERROR(__xludf.DUMMYFUNCTION("""COMPUTED_VALUE"""),"Consejo Local de Gobienro de Teusaquillo")</f>
        <v>Consejo Local de Gobienro de Teusaquillo</v>
      </c>
      <c r="C1939" s="55">
        <f ca="1">IFERROR(__xludf.DUMMYFUNCTION("""COMPUTED_VALUE"""),44651)</f>
        <v>44651</v>
      </c>
      <c r="D1939" s="25" t="str">
        <f ca="1">IFERROR(__xludf.DUMMYFUNCTION("""COMPUTED_VALUE"""),"Desarrollo_Económico")</f>
        <v>Desarrollo_Económico</v>
      </c>
      <c r="E1939" s="25" t="str">
        <f ca="1">IFERROR(__xludf.DUMMYFUNCTION("""COMPUTED_VALUE"""),"Instituto para la Economía Social")</f>
        <v>Instituto para la Economía Social</v>
      </c>
      <c r="F1939" s="25" t="str">
        <f ca="1">IFERROR(__xludf.DUMMYFUNCTION("""COMPUTED_VALUE"""),"Organizar una mesa con los Consejos Locales y el Distrital de Vendedores Informales para aclarar que la nueva reglamentación de espacio público no los afecta, así como, el pago de los comparendos de la Ley 1801")</f>
        <v>Organizar una mesa con los Consejos Locales y el Distrital de Vendedores Informales para aclarar que la nueva reglamentación de espacio público no los afecta, así como, el pago de los comparendos de la Ley 1801</v>
      </c>
      <c r="G1939" s="55" t="str">
        <f ca="1">IFERROR(__xludf.DUMMYFUNCTION("""COMPUTED_VALUE"""),"13. Teusaquillo")</f>
        <v>13. Teusaquillo</v>
      </c>
      <c r="H1939" s="55">
        <f ca="1">IFERROR(__xludf.DUMMYFUNCTION("""COMPUTED_VALUE"""),44892)</f>
        <v>44892</v>
      </c>
      <c r="I1939" s="25"/>
      <c r="J1939" s="55" t="str">
        <f ca="1">IFERROR(__xludf.DUMMYFUNCTION("""COMPUTED_VALUE"""),"Baja")</f>
        <v>Baja</v>
      </c>
      <c r="K1939" s="25">
        <f ca="1">IFERROR(__xludf.DUMMYFUNCTION("""COMPUTED_VALUE"""),241)</f>
        <v>241</v>
      </c>
      <c r="L1939" s="62">
        <f ca="1">IFERROR(__xludf.DUMMYFUNCTION("""COMPUTED_VALUE"""),44892)</f>
        <v>44892</v>
      </c>
      <c r="M1939" s="25" t="str">
        <f ca="1">IFERROR(__xludf.DUMMYFUNCTION("""COMPUTED_VALUE"""),"Se llevaron a cabo, los dias 30 de marzo , 7 de abril, 17 de mayo, 23 de mayo y 31 de mayo, 29 de junio, 6 de julio , 13 julio, 31 agosto, 7 , 12 15 y 19 de septiembre, reuniones con vendedores informales y sus representantes en las que se expuso la regla"&amp;"mentación de Bogotá a Cielo Abierto 2.0")</f>
        <v>Se llevaron a cabo, los dias 30 de marzo , 7 de abril, 17 de mayo, 23 de mayo y 31 de mayo, 29 de junio, 6 de julio , 13 julio, 31 agosto, 7 , 12 15 y 19 de septiembre, reuniones con vendedores informales y sus representantes en las que se expuso la reglamentación de Bogotá a Cielo Abierto 2.0</v>
      </c>
      <c r="N1939" s="55">
        <f ca="1">IFERROR(__xludf.DUMMYFUNCTION("""COMPUTED_VALUE"""),44926)</f>
        <v>44926</v>
      </c>
      <c r="O1939" s="25" t="str">
        <f t="shared" ca="1" si="0"/>
        <v>Instituto para la Economía Social</v>
      </c>
      <c r="P1939" s="25" t="str">
        <f t="shared" si="2"/>
        <v/>
      </c>
      <c r="Q1939" s="25" t="str">
        <f ca="1">IFERROR(__xludf.DUMMYFUNCTION("""COMPUTED_VALUE"""),"Largo plazo")</f>
        <v>Largo plazo</v>
      </c>
      <c r="R1939" s="25"/>
      <c r="S1939" s="55"/>
      <c r="T1939" s="56"/>
      <c r="U1939" s="25"/>
      <c r="V1939" s="25"/>
      <c r="W1939" s="25"/>
      <c r="X1939" s="25"/>
      <c r="Y1939" s="25"/>
      <c r="Z1939" s="25"/>
    </row>
    <row r="1940" spans="1:26" ht="52.5" customHeight="1" x14ac:dyDescent="0.25">
      <c r="A1940" s="25" t="str">
        <f ca="1">IFERROR(__xludf.DUMMYFUNCTION("""COMPUTED_VALUE"""),"Desar138")</f>
        <v>Desar138</v>
      </c>
      <c r="B1940" s="25" t="str">
        <f ca="1">IFERROR(__xludf.DUMMYFUNCTION("""COMPUTED_VALUE"""),"Consejo Local de Gobierno de Tunjuelito")</f>
        <v>Consejo Local de Gobierno de Tunjuelito</v>
      </c>
      <c r="C1940" s="55">
        <f ca="1">IFERROR(__xludf.DUMMYFUNCTION("""COMPUTED_VALUE"""),44686)</f>
        <v>44686</v>
      </c>
      <c r="D1940" s="25" t="str">
        <f ca="1">IFERROR(__xludf.DUMMYFUNCTION("""COMPUTED_VALUE"""),"Desarrollo_Económico")</f>
        <v>Desarrollo_Económico</v>
      </c>
      <c r="E1940" s="25" t="str">
        <f ca="1">IFERROR(__xludf.DUMMYFUNCTION("""COMPUTED_VALUE"""),"Instituto para la Economía Social")</f>
        <v>Instituto para la Economía Social</v>
      </c>
      <c r="F1940" s="25" t="str">
        <f ca="1">IFERROR(__xludf.DUMMYFUNCTION("""COMPUTED_VALUE"""),"Realizar mesa de trabajo con los Consejeros Locales de Vendedores Informales y los líderes de las Asociaciones de Vendedores Informales")</f>
        <v>Realizar mesa de trabajo con los Consejeros Locales de Vendedores Informales y los líderes de las Asociaciones de Vendedores Informales</v>
      </c>
      <c r="G1940" s="55" t="str">
        <f ca="1">IFERROR(__xludf.DUMMYFUNCTION("""COMPUTED_VALUE"""),"06. Tunjuelito")</f>
        <v>06. Tunjuelito</v>
      </c>
      <c r="H1940" s="55">
        <f ca="1">IFERROR(__xludf.DUMMYFUNCTION("""COMPUTED_VALUE"""),44901)</f>
        <v>44901</v>
      </c>
      <c r="I1940" s="25"/>
      <c r="J1940" s="55" t="str">
        <f ca="1">IFERROR(__xludf.DUMMYFUNCTION("""COMPUTED_VALUE"""),"Baja")</f>
        <v>Baja</v>
      </c>
      <c r="K1940" s="25">
        <f ca="1">IFERROR(__xludf.DUMMYFUNCTION("""COMPUTED_VALUE"""),215)</f>
        <v>215</v>
      </c>
      <c r="L1940" s="62">
        <f ca="1">IFERROR(__xludf.DUMMYFUNCTION("""COMPUTED_VALUE"""),44902)</f>
        <v>44902</v>
      </c>
      <c r="M1940" s="25" t="str">
        <f ca="1">IFERROR(__xludf.DUMMYFUNCTION("""COMPUTED_VALUE"""),"Se leva a cabo reunión con los consejeros distritales el día 23 de mayo de 2022.
 Se realizan reuniones con los líderes y/o representantes de las Asociaciones de Vendedores Informales.")</f>
        <v>Se leva a cabo reunión con los consejeros distritales el día 23 de mayo de 2022.
 Se realizan reuniones con los líderes y/o representantes de las Asociaciones de Vendedores Informales.</v>
      </c>
      <c r="N1940" s="55">
        <f ca="1">IFERROR(__xludf.DUMMYFUNCTION("""COMPUTED_VALUE"""),44926)</f>
        <v>44926</v>
      </c>
      <c r="O1940" s="25" t="str">
        <f t="shared" ca="1" si="0"/>
        <v>Instituto para la Economía Social</v>
      </c>
      <c r="P1940" s="25" t="str">
        <f t="shared" si="2"/>
        <v/>
      </c>
      <c r="Q1940" s="25" t="str">
        <f ca="1">IFERROR(__xludf.DUMMYFUNCTION("""COMPUTED_VALUE"""),"Largo plazo")</f>
        <v>Largo plazo</v>
      </c>
      <c r="R1940" s="25"/>
      <c r="S1940" s="55"/>
      <c r="T1940" s="56"/>
      <c r="U1940" s="25"/>
      <c r="V1940" s="25"/>
      <c r="W1940" s="25"/>
      <c r="X1940" s="25"/>
      <c r="Y1940" s="25"/>
      <c r="Z1940" s="25"/>
    </row>
    <row r="1941" spans="1:26" ht="52.5" customHeight="1" x14ac:dyDescent="0.25">
      <c r="A1941" s="25" t="str">
        <f ca="1">IFERROR(__xludf.DUMMYFUNCTION("""COMPUTED_VALUE"""),"Desar139")</f>
        <v>Desar139</v>
      </c>
      <c r="B1941" s="25" t="str">
        <f ca="1">IFERROR(__xludf.DUMMYFUNCTION("""COMPUTED_VALUE"""),"Consejo Local de Gobierno de Santa Fe")</f>
        <v>Consejo Local de Gobierno de Santa Fe</v>
      </c>
      <c r="C1941" s="55">
        <f ca="1">IFERROR(__xludf.DUMMYFUNCTION("""COMPUTED_VALUE"""),44693)</f>
        <v>44693</v>
      </c>
      <c r="D1941" s="25" t="str">
        <f ca="1">IFERROR(__xludf.DUMMYFUNCTION("""COMPUTED_VALUE"""),"Desarrollo_Económico")</f>
        <v>Desarrollo_Económico</v>
      </c>
      <c r="E1941" s="25" t="str">
        <f ca="1">IFERROR(__xludf.DUMMYFUNCTION("""COMPUTED_VALUE"""),"Instituto para la Economía Social")</f>
        <v>Instituto para la Economía Social</v>
      </c>
      <c r="F1941" s="25" t="str">
        <f ca="1">IFERROR(__xludf.DUMMYFUNCTION("""COMPUTED_VALUE"""),"Organizar y carnetizar a los vendedores informales de la carrera décima")</f>
        <v>Organizar y carnetizar a los vendedores informales de la carrera décima</v>
      </c>
      <c r="G1941" s="55" t="str">
        <f ca="1">IFERROR(__xludf.DUMMYFUNCTION("""COMPUTED_VALUE"""),"03. Santa Fe")</f>
        <v>03. Santa Fe</v>
      </c>
      <c r="H1941" s="55">
        <f ca="1">IFERROR(__xludf.DUMMYFUNCTION("""COMPUTED_VALUE"""),45107)</f>
        <v>45107</v>
      </c>
      <c r="I1941" s="25" t="str">
        <f ca="1">IFERROR(__xludf.DUMMYFUNCTION("""COMPUTED_VALUE"""),"Delivery Unit")</f>
        <v>Delivery Unit</v>
      </c>
      <c r="J1941" s="55" t="str">
        <f ca="1">IFERROR(__xludf.DUMMYFUNCTION("""COMPUTED_VALUE"""),"Media")</f>
        <v>Media</v>
      </c>
      <c r="K1941" s="25">
        <f ca="1">IFERROR(__xludf.DUMMYFUNCTION("""COMPUTED_VALUE"""),414)</f>
        <v>414</v>
      </c>
      <c r="L1941" s="62">
        <f ca="1">IFERROR(__xludf.DUMMYFUNCTION("""COMPUTED_VALUE"""),45083)</f>
        <v>45083</v>
      </c>
      <c r="M1941" s="25" t="str">
        <f ca="1">IFERROR(__xludf.DUMMYFUNCTION("""COMPUTED_VALUE"""),"Desde IPES se expidió la resolución 0245 que regulariza el procedimiento HEMI-RIVI y da las directrices para la expedición de carnets y se envió hacia las Alcaldías Locales los listados de vendedores identificados en la localidad. Desde la Alcadia de Sant"&amp;"a Fe se expidió la Resolución 036 del 5 de mayo de 2022 y desde la Alcaldía Local de La Candelaria se expidió la resolución 033 del 6 de mayo de 2022, ambas con el fin de expedir los carnets y de firmar un acuerdo de aprovechamiento coordinado, organizado"&amp;", corresponsable y colaborativo del espacio publico.
El 26 de Mayo de 2022, por parte del IPES se remitieron a las Alcaldias Locales de Santa Fe y Candelaria los codigos QR para adelantar la correspondiente carnetzacion.
La  ALSF inició el proceso con"&amp;" los vendedores de la carrera 7a para avanzar en su organización. 
El 16 de marzo de 2023, nuevamente el IPES remitie los codigos QR actualizados a las Alcaldias Locales de Santa Fe y Candelaria para que desde su competencia se adelante el tramite corres"&amp;"pondente para la carnetización de los vendedores.")</f>
        <v>Desde IPES se expidió la resolución 0245 que regulariza el procedimiento HEMI-RIVI y da las directrices para la expedición de carnets y se envió hacia las Alcaldías Locales los listados de vendedores identificados en la localidad. Desde la Alcadia de Santa Fe se expidió la Resolución 036 del 5 de mayo de 2022 y desde la Alcaldía Local de La Candelaria se expidió la resolución 033 del 6 de mayo de 2022, ambas con el fin de expedir los carnets y de firmar un acuerdo de aprovechamiento coordinado, organizado, corresponsable y colaborativo del espacio publico.
El 26 de Mayo de 2022, por parte del IPES se remitieron a las Alcaldias Locales de Santa Fe y Candelaria los codigos QR para adelantar la correspondiente carnetzacion.
La  ALSF inició el proceso con los vendedores de la carrera 7a para avanzar en su organización. 
El 16 de marzo de 2023, nuevamente el IPES remitie los codigos QR actualizados a las Alcaldias Locales de Santa Fe y Candelaria para que desde su competencia se adelante el tramite correspondente para la carnetización de los vendedores.</v>
      </c>
      <c r="N1941" s="25"/>
      <c r="O1941" s="25" t="str">
        <f t="shared" ca="1" si="0"/>
        <v>Instituto para la Economía Social</v>
      </c>
      <c r="P1941" s="25" t="str">
        <f t="shared" ca="1" si="2"/>
        <v/>
      </c>
      <c r="Q1941" s="25" t="str">
        <f ca="1">IFERROR(__xludf.DUMMYFUNCTION("""COMPUTED_VALUE"""),"Largo plazo")</f>
        <v>Largo plazo</v>
      </c>
      <c r="R1941" s="25"/>
      <c r="S1941" s="55"/>
      <c r="T1941" s="56"/>
      <c r="U1941" s="25"/>
      <c r="V1941" s="25"/>
      <c r="W1941" s="25"/>
      <c r="X1941" s="25"/>
      <c r="Y1941" s="25"/>
      <c r="Z1941" s="25"/>
    </row>
    <row r="1942" spans="1:26" ht="52.5" customHeight="1" x14ac:dyDescent="0.25">
      <c r="A1942" s="25" t="str">
        <f ca="1">IFERROR(__xludf.DUMMYFUNCTION("""COMPUTED_VALUE"""),"Desar140")</f>
        <v>Desar140</v>
      </c>
      <c r="B1942" s="25" t="str">
        <f ca="1">IFERROR(__xludf.DUMMYFUNCTION("""COMPUTED_VALUE"""),"Consejo Local de Gobierno de Santa Fe")</f>
        <v>Consejo Local de Gobierno de Santa Fe</v>
      </c>
      <c r="C1942" s="55">
        <f ca="1">IFERROR(__xludf.DUMMYFUNCTION("""COMPUTED_VALUE"""),44693)</f>
        <v>44693</v>
      </c>
      <c r="D1942" s="25" t="str">
        <f ca="1">IFERROR(__xludf.DUMMYFUNCTION("""COMPUTED_VALUE"""),"Desarrollo_Económico")</f>
        <v>Desarrollo_Económico</v>
      </c>
      <c r="E1942" s="25" t="str">
        <f ca="1">IFERROR(__xludf.DUMMYFUNCTION("""COMPUTED_VALUE"""),"Secretaría Distrital de Desarrollo Económico")</f>
        <v>Secretaría Distrital de Desarrollo Económico</v>
      </c>
      <c r="F1942" s="25" t="str">
        <f ca="1">IFERROR(__xludf.DUMMYFUNCTION("""COMPUTED_VALUE"""),"Organizar la iniciativa de Bogotá 24 horas")</f>
        <v>Organizar la iniciativa de Bogotá 24 horas</v>
      </c>
      <c r="G1942" s="55" t="str">
        <f ca="1">IFERROR(__xludf.DUMMYFUNCTION("""COMPUTED_VALUE"""),"03. Santa Fe")</f>
        <v>03. Santa Fe</v>
      </c>
      <c r="H1942" s="55">
        <f ca="1">IFERROR(__xludf.DUMMYFUNCTION("""COMPUTED_VALUE"""),44707)</f>
        <v>44707</v>
      </c>
      <c r="I1942" s="25"/>
      <c r="J1942" s="55" t="str">
        <f ca="1">IFERROR(__xludf.DUMMYFUNCTION("""COMPUTED_VALUE"""),"Alta")</f>
        <v>Alta</v>
      </c>
      <c r="K1942" s="25">
        <f ca="1">IFERROR(__xludf.DUMMYFUNCTION("""COMPUTED_VALUE"""),14)</f>
        <v>14</v>
      </c>
      <c r="L1942" s="62">
        <f ca="1">IFERROR(__xludf.DUMMYFUNCTION("""COMPUTED_VALUE"""),45082)</f>
        <v>45082</v>
      </c>
      <c r="M1942" s="25" t="str">
        <f ca="1">IFERROR(__xludf.DUMMYFUNCTION("""COMPUTED_VALUE"""),"La Subdirección de Internacionalización SDDE, durante el 2022, apoyará la generación de bienes públicos sectoriales en zonas que cumplan con las condiciones para ser catalogadas como Distritos Creativos y que cuentan con un potencial económico nocturno, s"&amp;"egún lo definido por el Diagnóstico de Bogotá Productiva 24 Horas. 
 De esta manera, la SDDE, apoyará la creación, la contratación y la puesta en marcha de una Agenda Conjunta de Intervenciones con la Secretaría Distrital de Cultura, Recreación y Deport"&amp;"e, llevando su intervención a los polígonos priorizados de San Felipe (en la localidad de Barrios Unidos), Calle 85 y Calle 93 (en la localidad de Chapinero). 
 Por este motivo no se plantea la adopción de estrategias de economía nocturna, durante este "&amp;"2022, en las localidades de La Candelaria y Santa Fé.
Las actividades de sostenibilidad y organizacion de la carrera septima se realizan de manera constante a fin de lograr que el proceso se mantenga en el tiempo.")</f>
        <v>La Subdirección de Internacionalización SDDE, durante el 2022, apoyará la generación de bienes públicos sectoriales en zonas que cumplan con las condiciones para ser catalogadas como Distritos Creativos y que cuentan con un potencial económico nocturno, según lo definido por el Diagnóstico de Bogotá Productiva 24 Horas. 
 De esta manera, la SDDE, apoyará la creación, la contratación y la puesta en marcha de una Agenda Conjunta de Intervenciones con la Secretaría Distrital de Cultura, Recreación y Deporte, llevando su intervención a los polígonos priorizados de San Felipe (en la localidad de Barrios Unidos), Calle 85 y Calle 93 (en la localidad de Chapinero). 
 Por este motivo no se plantea la adopción de estrategias de economía nocturna, durante este 2022, en las localidades de La Candelaria y Santa Fé.
Las actividades de sostenibilidad y organizacion de la carrera septima se realizan de manera constante a fin de lograr que el proceso se mantenga en el tiempo.</v>
      </c>
      <c r="N1942" s="55">
        <f ca="1">IFERROR(__xludf.DUMMYFUNCTION("""COMPUTED_VALUE"""),44926)</f>
        <v>44926</v>
      </c>
      <c r="O1942" s="25" t="str">
        <f t="shared" ca="1" si="0"/>
        <v>Secretaría Distrital de Desarrollo Económico</v>
      </c>
      <c r="P1942" s="25" t="str">
        <f t="shared" si="2"/>
        <v/>
      </c>
      <c r="Q1942" s="25" t="str">
        <f ca="1">IFERROR(__xludf.DUMMYFUNCTION("""COMPUTED_VALUE"""),"Corto plazo")</f>
        <v>Corto plazo</v>
      </c>
      <c r="R1942" s="25"/>
      <c r="S1942" s="55"/>
      <c r="T1942" s="56"/>
      <c r="U1942" s="25"/>
      <c r="V1942" s="25"/>
      <c r="W1942" s="25"/>
      <c r="X1942" s="25"/>
      <c r="Y1942" s="25"/>
      <c r="Z1942" s="25"/>
    </row>
    <row r="1943" spans="1:26" ht="52.5" customHeight="1" x14ac:dyDescent="0.25">
      <c r="A1943" s="25" t="str">
        <f ca="1">IFERROR(__xludf.DUMMYFUNCTION("""COMPUTED_VALUE"""),"Desar141")</f>
        <v>Desar141</v>
      </c>
      <c r="B1943" s="25" t="str">
        <f ca="1">IFERROR(__xludf.DUMMYFUNCTION("""COMPUTED_VALUE"""),"Consejo Local de Gobierno de San Crisóbal")</f>
        <v>Consejo Local de Gobierno de San Crisóbal</v>
      </c>
      <c r="C1943" s="55">
        <f ca="1">IFERROR(__xludf.DUMMYFUNCTION("""COMPUTED_VALUE"""),44700)</f>
        <v>44700</v>
      </c>
      <c r="D1943" s="25" t="str">
        <f ca="1">IFERROR(__xludf.DUMMYFUNCTION("""COMPUTED_VALUE"""),"Desarrollo_Económico")</f>
        <v>Desarrollo_Económico</v>
      </c>
      <c r="E1943" s="25" t="str">
        <f ca="1">IFERROR(__xludf.DUMMYFUNCTION("""COMPUTED_VALUE"""),"Instituto para la Economía Social")</f>
        <v>Instituto para la Economía Social</v>
      </c>
      <c r="F1943" s="25" t="str">
        <f ca="1">IFERROR(__xludf.DUMMYFUNCTION("""COMPUTED_VALUE"""),"Realizar la caracterización de vendedores informales en el 20 de julio, la 1º de mayo, la victoria y la décima con 27. Avanzar en la política pública para mujeres vendedoras informales")</f>
        <v>Realizar la caracterización de vendedores informales en el 20 de julio, la 1º de mayo, la victoria y la décima con 27. Avanzar en la política pública para mujeres vendedoras informales</v>
      </c>
      <c r="G1943" s="55" t="str">
        <f ca="1">IFERROR(__xludf.DUMMYFUNCTION("""COMPUTED_VALUE"""),"04. San Cristóbal")</f>
        <v>04. San Cristóbal</v>
      </c>
      <c r="H1943" s="55">
        <f ca="1">IFERROR(__xludf.DUMMYFUNCTION("""COMPUTED_VALUE"""),45107)</f>
        <v>45107</v>
      </c>
      <c r="I1943" s="25" t="str">
        <f ca="1">IFERROR(__xludf.DUMMYFUNCTION("""COMPUTED_VALUE"""),"Delivery Unit")</f>
        <v>Delivery Unit</v>
      </c>
      <c r="J1943" s="55" t="str">
        <f ca="1">IFERROR(__xludf.DUMMYFUNCTION("""COMPUTED_VALUE"""),"Media")</f>
        <v>Media</v>
      </c>
      <c r="K1943" s="25">
        <f ca="1">IFERROR(__xludf.DUMMYFUNCTION("""COMPUTED_VALUE"""),407)</f>
        <v>407</v>
      </c>
      <c r="L1943" s="62">
        <f ca="1">IFERROR(__xludf.DUMMYFUNCTION("""COMPUTED_VALUE"""),45083)</f>
        <v>45083</v>
      </c>
      <c r="M1943" s="25" t="str">
        <f ca="1">IFERROR(__xludf.DUMMYFUNCTION("""COMPUTED_VALUE"""),"Se realiza jornada de identificacion y caracterización en el mes de enero del 2023 en el eje ubicado entre las calles 25 sur y 27 sur en la cra. 6, con un resultado de 26 vendedores caracterizados en el sector del 20 de julio. En la victoria se inicio dia"&amp;"logo y concertacion con alcaldia local y vendedores del sector, el dia 27 de abril se realizará un recorrido en el sector de la victoria junto con la alcaldia local. La política publica de mujeres es participativa y de consenso con los consejeros distrita"&amp;"les y locales.")</f>
        <v>Se realiza jornada de identificacion y caracterización en el mes de enero del 2023 en el eje ubicado entre las calles 25 sur y 27 sur en la cra. 6, con un resultado de 26 vendedores caracterizados en el sector del 20 de julio. En la victoria se inicio dialogo y concertacion con alcaldia local y vendedores del sector, el dia 27 de abril se realizará un recorrido en el sector de la victoria junto con la alcaldia local. La política publica de mujeres es participativa y de consenso con los consejeros distritales y locales.</v>
      </c>
      <c r="N1943" s="25"/>
      <c r="O1943" s="25" t="str">
        <f t="shared" ca="1" si="0"/>
        <v>Instituto para la Economía Social</v>
      </c>
      <c r="P1943" s="25" t="str">
        <f t="shared" ca="1" si="2"/>
        <v/>
      </c>
      <c r="Q1943" s="25" t="str">
        <f ca="1">IFERROR(__xludf.DUMMYFUNCTION("""COMPUTED_VALUE"""),"Largo plazo")</f>
        <v>Largo plazo</v>
      </c>
      <c r="R1943" s="25"/>
      <c r="S1943" s="55"/>
      <c r="T1943" s="56"/>
      <c r="U1943" s="25"/>
      <c r="V1943" s="25"/>
      <c r="W1943" s="25"/>
      <c r="X1943" s="25"/>
      <c r="Y1943" s="25"/>
      <c r="Z1943" s="25"/>
    </row>
    <row r="1944" spans="1:26" ht="52.5" customHeight="1" x14ac:dyDescent="0.25">
      <c r="A1944" s="25" t="str">
        <f ca="1">IFERROR(__xludf.DUMMYFUNCTION("""COMPUTED_VALUE"""),"Desar142")</f>
        <v>Desar142</v>
      </c>
      <c r="B1944" s="25" t="str">
        <f ca="1">IFERROR(__xludf.DUMMYFUNCTION("""COMPUTED_VALUE"""),"Consejo Local de Gobierno de San Crisóbal")</f>
        <v>Consejo Local de Gobierno de San Crisóbal</v>
      </c>
      <c r="C1944" s="55">
        <f ca="1">IFERROR(__xludf.DUMMYFUNCTION("""COMPUTED_VALUE"""),44700)</f>
        <v>44700</v>
      </c>
      <c r="D1944" s="25" t="str">
        <f ca="1">IFERROR(__xludf.DUMMYFUNCTION("""COMPUTED_VALUE"""),"Desarrollo_Económico")</f>
        <v>Desarrollo_Económico</v>
      </c>
      <c r="E1944" s="25" t="str">
        <f ca="1">IFERROR(__xludf.DUMMYFUNCTION("""COMPUTED_VALUE"""),"Secretaría Distrital de Desarrollo Económico")</f>
        <v>Secretaría Distrital de Desarrollo Económico</v>
      </c>
      <c r="F1944" s="25" t="str">
        <f ca="1">IFERROR(__xludf.DUMMYFUNCTION("""COMPUTED_VALUE"""),"Informar sobre las acciones de priorización de empleos focalizados para la comunidad Trans. Así como, la oferta en prestación de servicios de salud")</f>
        <v>Informar sobre las acciones de priorización de empleos focalizados para la comunidad Trans. Así como, la oferta en prestación de servicios de salud</v>
      </c>
      <c r="G1944" s="55" t="str">
        <f ca="1">IFERROR(__xludf.DUMMYFUNCTION("""COMPUTED_VALUE"""),"04. San Cristóbal")</f>
        <v>04. San Cristóbal</v>
      </c>
      <c r="H1944" s="55">
        <f ca="1">IFERROR(__xludf.DUMMYFUNCTION("""COMPUTED_VALUE"""),44707)</f>
        <v>44707</v>
      </c>
      <c r="I1944" s="25"/>
      <c r="J1944" s="55" t="str">
        <f ca="1">IFERROR(__xludf.DUMMYFUNCTION("""COMPUTED_VALUE"""),"Alta")</f>
        <v>Alta</v>
      </c>
      <c r="K1944" s="25">
        <f ca="1">IFERROR(__xludf.DUMMYFUNCTION("""COMPUTED_VALUE"""),7)</f>
        <v>7</v>
      </c>
      <c r="L1944" s="62">
        <f ca="1">IFERROR(__xludf.DUMMYFUNCTION("""COMPUTED_VALUE"""),44707)</f>
        <v>44707</v>
      </c>
      <c r="M1944" s="25" t="str">
        <f ca="1">IFERROR(__xludf.DUMMYFUNCTION("""COMPUTED_VALUE"""),"Con el objetivo de dinamizar el programa Empleo Incluyente en la Localidad de San Cristóbal se ha socializado con el Alcalde Local y se capacitó a su equipo de gobierno. Actualmente, se está trabajando en definir un plan de trabajo con el cual la alcaldía"&amp;" local apoyar la difusión del programa con Empresas de la Localidad y buscadores de empleo, entre ellos las personas trans.
En materia de prestación de servicios de salud, se va a incluir en el nuevo PSPIC acciones de información, educación y comunicació"&amp;"n para reconocimiento por parte de las personas Trans de los derechos en salud y portafolio de servicios; y con respecto a la implementación de la atención poblacional y diferencial en IPS, se apoyaron las acciones que se van a desarrollar desde Provisión"&amp;" de servicios en el mes de junio de 2022 con la población.
")</f>
        <v xml:space="preserve">Con el objetivo de dinamizar el programa Empleo Incluyente en la Localidad de San Cristóbal se ha socializado con el Alcalde Local y se capacitó a su equipo de gobierno. Actualmente, se está trabajando en definir un plan de trabajo con el cual la alcaldía local apoyar la difusión del programa con Empresas de la Localidad y buscadores de empleo, entre ellos las personas trans.
En materia de prestación de servicios de salud, se va a incluir en el nuevo PSPIC acciones de información, educación y comunicación para reconocimiento por parte de las personas Trans de los derechos en salud y portafolio de servicios; y con respecto a la implementación de la atención poblacional y diferencial en IPS, se apoyaron las acciones que se van a desarrollar desde Provisión de servicios en el mes de junio de 2022 con la población.
</v>
      </c>
      <c r="N1944" s="55">
        <f ca="1">IFERROR(__xludf.DUMMYFUNCTION("""COMPUTED_VALUE"""),44926)</f>
        <v>44926</v>
      </c>
      <c r="O1944" s="25" t="str">
        <f t="shared" ca="1" si="0"/>
        <v>Secretaría Distrital de Desarrollo Económico</v>
      </c>
      <c r="P1944" s="25" t="str">
        <f t="shared" si="2"/>
        <v/>
      </c>
      <c r="Q1944" s="25" t="str">
        <f ca="1">IFERROR(__xludf.DUMMYFUNCTION("""COMPUTED_VALUE"""),"Corto plazo")</f>
        <v>Corto plazo</v>
      </c>
      <c r="R1944" s="25"/>
      <c r="S1944" s="55"/>
      <c r="T1944" s="56"/>
      <c r="U1944" s="25"/>
      <c r="V1944" s="25"/>
      <c r="W1944" s="25"/>
      <c r="X1944" s="25"/>
      <c r="Y1944" s="25"/>
      <c r="Z1944" s="25"/>
    </row>
    <row r="1945" spans="1:26" ht="52.5" customHeight="1" x14ac:dyDescent="0.25">
      <c r="A1945" s="25" t="str">
        <f ca="1">IFERROR(__xludf.DUMMYFUNCTION("""COMPUTED_VALUE"""),"Desar143")</f>
        <v>Desar143</v>
      </c>
      <c r="B1945" s="25" t="str">
        <f ca="1">IFERROR(__xludf.DUMMYFUNCTION("""COMPUTED_VALUE"""),"Consejo Local de Gobierno de San Crisóbal")</f>
        <v>Consejo Local de Gobierno de San Crisóbal</v>
      </c>
      <c r="C1945" s="55">
        <f ca="1">IFERROR(__xludf.DUMMYFUNCTION("""COMPUTED_VALUE"""),44700)</f>
        <v>44700</v>
      </c>
      <c r="D1945" s="25" t="str">
        <f ca="1">IFERROR(__xludf.DUMMYFUNCTION("""COMPUTED_VALUE"""),"Desarrollo_Económico")</f>
        <v>Desarrollo_Económico</v>
      </c>
      <c r="E1945" s="25" t="str">
        <f ca="1">IFERROR(__xludf.DUMMYFUNCTION("""COMPUTED_VALUE"""),"Instituto para la Economía Social")</f>
        <v>Instituto para la Economía Social</v>
      </c>
      <c r="F1945" s="25" t="str">
        <f ca="1">IFERROR(__xludf.DUMMYFUNCTION("""COMPUTED_VALUE"""),"Informar los avances de la acción judicial para la restitución en recinto ferial")</f>
        <v>Informar los avances de la acción judicial para la restitución en recinto ferial</v>
      </c>
      <c r="G1945" s="55" t="str">
        <f ca="1">IFERROR(__xludf.DUMMYFUNCTION("""COMPUTED_VALUE"""),"04. San Cristóbal")</f>
        <v>04. San Cristóbal</v>
      </c>
      <c r="H1945" s="55">
        <f ca="1">IFERROR(__xludf.DUMMYFUNCTION("""COMPUTED_VALUE"""),45077)</f>
        <v>45077</v>
      </c>
      <c r="I1945" s="25" t="str">
        <f ca="1">IFERROR(__xludf.DUMMYFUNCTION("""COMPUTED_VALUE"""),"Delivery Unit")</f>
        <v>Delivery Unit</v>
      </c>
      <c r="J1945" s="55" t="str">
        <f ca="1">IFERROR(__xludf.DUMMYFUNCTION("""COMPUTED_VALUE"""),"Media")</f>
        <v>Media</v>
      </c>
      <c r="K1945" s="25">
        <f ca="1">IFERROR(__xludf.DUMMYFUNCTION("""COMPUTED_VALUE"""),377)</f>
        <v>377</v>
      </c>
      <c r="L1945" s="62">
        <f ca="1">IFERROR(__xludf.DUMMYFUNCTION("""COMPUTED_VALUE"""),45083)</f>
        <v>45083</v>
      </c>
      <c r="M1945" s="25" t="str">
        <f ca="1">IFERROR(__xludf.DUMMYFUNCTION("""COMPUTED_VALUE"""),"Se contactó a la ciudadana y nos comenta que su solicitud ante el CLG es si ya se restituyo un recinto ferial (Portal 20 de Julio) que queda en el 20 de julio al lado del IPES. Hay un proceso judicial por Alejandro Barrera que lo tuvo en arriendo. Este co"&amp;"mpromiso debe estar en cabeza del IPES.
El día 9 de diciembre de 2022 se dictó fallo ordenándole al demandado restituir el inmueble al IPES dentro de los 5 días siguientes a la notificación del fallo. Habida cuenta del incumplimiento del fallo por parte "&amp;"del demandado, se ofició el día 6 de febrero de 2023, al Juzgado 58 Administrativo del Circuito Judicial de Bogota a fin de que este libre los despachos comisorios correspondientes para efectuar la diligencia de lanzamiento. Por lo tanto, una vez librados"&amp;" dichos despachos comisorios a los juzgados civiles municipales y de pequeñas causas, se programará por parte del juzgado al que se le asigne, el trámite del lanzamiento.")</f>
        <v>Se contactó a la ciudadana y nos comenta que su solicitud ante el CLG es si ya se restituyo un recinto ferial (Portal 20 de Julio) que queda en el 20 de julio al lado del IPES. Hay un proceso judicial por Alejandro Barrera que lo tuvo en arriendo. Este compromiso debe estar en cabeza del IPES.
El día 9 de diciembre de 2022 se dictó fallo ordenándole al demandado restituir el inmueble al IPES dentro de los 5 días siguientes a la notificación del fallo. Habida cuenta del incumplimiento del fallo por parte del demandado, se ofició el día 6 de febrero de 2023, al Juzgado 58 Administrativo del Circuito Judicial de Bogota a fin de que este libre los despachos comisorios correspondientes para efectuar la diligencia de lanzamiento. Por lo tanto, una vez librados dichos despachos comisorios a los juzgados civiles municipales y de pequeñas causas, se programará por parte del juzgado al que se le asigne, el trámite del lanzamiento.</v>
      </c>
      <c r="N1945" s="25"/>
      <c r="O1945" s="25" t="str">
        <f t="shared" ca="1" si="0"/>
        <v>Instituto para la Economía Social</v>
      </c>
      <c r="P1945" s="25" t="str">
        <f t="shared" ca="1" si="2"/>
        <v/>
      </c>
      <c r="Q1945" s="25" t="str">
        <f ca="1">IFERROR(__xludf.DUMMYFUNCTION("""COMPUTED_VALUE"""),"Largo plazo")</f>
        <v>Largo plazo</v>
      </c>
      <c r="R1945" s="25"/>
      <c r="S1945" s="55"/>
      <c r="T1945" s="56"/>
      <c r="U1945" s="25"/>
      <c r="V1945" s="25"/>
      <c r="W1945" s="25"/>
      <c r="X1945" s="25"/>
      <c r="Y1945" s="25"/>
      <c r="Z1945" s="25"/>
    </row>
    <row r="1946" spans="1:26" ht="52.5" customHeight="1" x14ac:dyDescent="0.25">
      <c r="A1946" s="25" t="str">
        <f ca="1">IFERROR(__xludf.DUMMYFUNCTION("""COMPUTED_VALUE"""),"Desar144")</f>
        <v>Desar144</v>
      </c>
      <c r="B1946" s="25" t="str">
        <f ca="1">IFERROR(__xludf.DUMMYFUNCTION("""COMPUTED_VALUE"""),"Recorrido Antonio Nariño")</f>
        <v>Recorrido Antonio Nariño</v>
      </c>
      <c r="C1946" s="55">
        <f ca="1">IFERROR(__xludf.DUMMYFUNCTION("""COMPUTED_VALUE"""),44999)</f>
        <v>44999</v>
      </c>
      <c r="D1946" s="25" t="str">
        <f ca="1">IFERROR(__xludf.DUMMYFUNCTION("""COMPUTED_VALUE"""),"Desarrollo_Económico")</f>
        <v>Desarrollo_Económico</v>
      </c>
      <c r="E1946" s="25" t="str">
        <f ca="1">IFERROR(__xludf.DUMMYFUNCTION("""COMPUTED_VALUE"""),"Secretaría Distrital de Desarrollo Económico")</f>
        <v>Secretaría Distrital de Desarrollo Económico</v>
      </c>
      <c r="F1946" s="25" t="str">
        <f ca="1">IFERROR(__xludf.DUMMYFUNCTION("""COMPUTED_VALUE"""),"La Secretaría Distrital de la Mujer junto con la Secretaría Distrital de Desarrollo Económico realizarán dos ferias con las 20 casas de igualdad del Distrito, una para el día de la madre y otra en el segundo semestre del 2023.")</f>
        <v>La Secretaría Distrital de la Mujer junto con la Secretaría Distrital de Desarrollo Económico realizarán dos ferias con las 20 casas de igualdad del Distrito, una para el día de la madre y otra en el segundo semestre del 2023.</v>
      </c>
      <c r="G1946" s="25" t="str">
        <f ca="1">IFERROR(__xludf.DUMMYFUNCTION("""COMPUTED_VALUE"""),"99. Distrito")</f>
        <v>99. Distrito</v>
      </c>
      <c r="H1946" s="55">
        <f ca="1">IFERROR(__xludf.DUMMYFUNCTION("""COMPUTED_VALUE"""),45199)</f>
        <v>45199</v>
      </c>
      <c r="I1946" s="25" t="str">
        <f ca="1">IFERROR(__xludf.DUMMYFUNCTION("""COMPUTED_VALUE"""),"Secretaría Privada")</f>
        <v>Secretaría Privada</v>
      </c>
      <c r="J1946" s="55" t="str">
        <f ca="1">IFERROR(__xludf.DUMMYFUNCTION("""COMPUTED_VALUE"""),"Baja")</f>
        <v>Baja</v>
      </c>
      <c r="K1946" s="25">
        <f ca="1">IFERROR(__xludf.DUMMYFUNCTION("""COMPUTED_VALUE"""),200)</f>
        <v>200</v>
      </c>
      <c r="L1946" s="62">
        <f ca="1">IFERROR(__xludf.DUMMYFUNCTION("""COMPUTED_VALUE"""),45079)</f>
        <v>45079</v>
      </c>
      <c r="M1946" s="25" t="str">
        <f ca="1">IFERROR(__xludf.DUMMYFUNCTION("""COMPUTED_VALUE"""),"Bajo la estrategia hecho en Bogotá, se realizó feria el 4, 5 y 6 de mayo ""mujeres que inspiran, mujeres que crean"" en la Calle 85, con la participación de 54  emprendimientos seleccionados de mujeres miembros de las casas de la igualdad. En esta feria s"&amp;"e realizaron ventas alrededor de $60.765.000")</f>
        <v>Bajo la estrategia hecho en Bogotá, se realizó feria el 4, 5 y 6 de mayo "mujeres que inspiran, mujeres que crean" en la Calle 85, con la participación de 54  emprendimientos seleccionados de mujeres miembros de las casas de la igualdad. En esta feria se realizaron ventas alrededor de $60.765.000</v>
      </c>
      <c r="N1946" s="25"/>
      <c r="O1946" s="25" t="str">
        <f t="shared" ca="1" si="0"/>
        <v>Secretaría Distrital de Desarrollo Económico</v>
      </c>
      <c r="P1946" s="25" t="str">
        <f t="shared" ca="1" si="2"/>
        <v/>
      </c>
      <c r="Q1946" s="25" t="str">
        <f ca="1">IFERROR(__xludf.DUMMYFUNCTION("""COMPUTED_VALUE"""),"Largo plazo")</f>
        <v>Largo plazo</v>
      </c>
      <c r="R1946" s="25"/>
      <c r="S1946" s="55"/>
      <c r="T1946" s="56"/>
      <c r="U1946" s="25"/>
      <c r="V1946" s="25"/>
      <c r="W1946" s="25"/>
      <c r="X1946" s="25"/>
      <c r="Y1946" s="25"/>
      <c r="Z1946" s="25"/>
    </row>
    <row r="1947" spans="1:26" ht="52.5" customHeight="1" x14ac:dyDescent="0.25">
      <c r="A1947" s="25" t="str">
        <f ca="1">IFERROR(__xludf.DUMMYFUNCTION("""COMPUTED_VALUE"""),"Desar145")</f>
        <v>Desar145</v>
      </c>
      <c r="B1947" s="25" t="str">
        <f ca="1">IFERROR(__xludf.DUMMYFUNCTION("""COMPUTED_VALUE"""),"Junta directiva RAP-E")</f>
        <v>Junta directiva RAP-E</v>
      </c>
      <c r="C1947" s="55">
        <f ca="1">IFERROR(__xludf.DUMMYFUNCTION("""COMPUTED_VALUE"""),45007)</f>
        <v>45007</v>
      </c>
      <c r="D1947" s="25" t="str">
        <f ca="1">IFERROR(__xludf.DUMMYFUNCTION("""COMPUTED_VALUE"""),"Desarrollo_Económico")</f>
        <v>Desarrollo_Económico</v>
      </c>
      <c r="E1947" s="25" t="str">
        <f ca="1">IFERROR(__xludf.DUMMYFUNCTION("""COMPUTED_VALUE"""),"Instituto Distrital de Turismo")</f>
        <v>Instituto Distrital de Turismo</v>
      </c>
      <c r="F1947" s="25" t="str">
        <f ca="1">IFERROR(__xludf.DUMMYFUNCTION("""COMPUTED_VALUE"""),"IDT y RAP-E deben coordinar instalación de publicidad en la valla del aeropuerto, alusiva a la estrategia de Bogotá Bici Región.")</f>
        <v>IDT y RAP-E deben coordinar instalación de publicidad en la valla del aeropuerto, alusiva a la estrategia de Bogotá Bici Región.</v>
      </c>
      <c r="G1947" s="25" t="str">
        <f ca="1">IFERROR(__xludf.DUMMYFUNCTION("""COMPUTED_VALUE"""),"09. Fontibón")</f>
        <v>09. Fontibón</v>
      </c>
      <c r="H1947" s="55">
        <f ca="1">IFERROR(__xludf.DUMMYFUNCTION("""COMPUTED_VALUE"""),45061)</f>
        <v>45061</v>
      </c>
      <c r="I1947" s="25" t="str">
        <f ca="1">IFERROR(__xludf.DUMMYFUNCTION("""COMPUTED_VALUE"""),"Delivery Unit")</f>
        <v>Delivery Unit</v>
      </c>
      <c r="J1947" s="55" t="str">
        <f ca="1">IFERROR(__xludf.DUMMYFUNCTION("""COMPUTED_VALUE"""),"Media")</f>
        <v>Media</v>
      </c>
      <c r="K1947" s="25">
        <f ca="1">IFERROR(__xludf.DUMMYFUNCTION("""COMPUTED_VALUE"""),54)</f>
        <v>54</v>
      </c>
      <c r="L1947" s="62">
        <f ca="1">IFERROR(__xludf.DUMMYFUNCTION("""COMPUTED_VALUE"""),45083)</f>
        <v>45083</v>
      </c>
      <c r="M1947" s="25" t="str">
        <f ca="1">IFERROR(__xludf.DUMMYFUNCTION("""COMPUTED_VALUE"""),"Desde la Secretaría de Desarrollo Economico se desarrolla el programa Empleo Inlcuyente, el cual  es un programa que incentiva la contratación laboral de las poblaciones de difícil empleabilidad, por medio de beneficios económicos a las empresas que contr"&amp;"aten a las poblaciones con mayores barreras para conseguir empleo. Entrega un beneficio por cada contratación realizada. El valor del beneficio va de $600.000 hasta $4.200.000 dependiendo de la condición de vulnerabilidad de la persona contratada y el tér"&amp;"mino del contrato laboral que se firme.
Así, dentro de las poblaciones priorizadas está la población mayor de 50 años
Así mismo, a través del programa Impulso Local, dentro de los criterios de priorización para la capitalización está que la persona sea m"&amp;"ayor de 50 años")</f>
        <v>Desde la Secretaría de Desarrollo Economico se desarrolla el programa Empleo Inlcuyente, el cual  es un programa que incentiva la contratación laboral de las poblaciones de difícil empleabilidad, por medio de beneficios económicos a las empresas que contraten a las poblaciones con mayores barreras para conseguir empleo. Entrega un beneficio por cada contratación realizada. El valor del beneficio va de $600.000 hasta $4.200.000 dependiendo de la condición de vulnerabilidad de la persona contratada y el término del contrato laboral que se firme.
Así, dentro de las poblaciones priorizadas está la población mayor de 50 años
Así mismo, a través del programa Impulso Local, dentro de los criterios de priorización para la capitalización está que la persona sea mayor de 50 años</v>
      </c>
      <c r="N1947" s="25"/>
      <c r="O1947" s="25" t="str">
        <f t="shared" ca="1" si="0"/>
        <v>Instituto Distrital de Turismo</v>
      </c>
      <c r="P1947" s="25" t="str">
        <f t="shared" ca="1" si="2"/>
        <v/>
      </c>
      <c r="Q1947" s="25" t="str">
        <f ca="1">IFERROR(__xludf.DUMMYFUNCTION("""COMPUTED_VALUE"""),"Corto plazo")</f>
        <v>Corto plazo</v>
      </c>
      <c r="R1947" s="25"/>
      <c r="S1947" s="55"/>
      <c r="T1947" s="56"/>
      <c r="U1947" s="25"/>
      <c r="V1947" s="25"/>
      <c r="W1947" s="25"/>
      <c r="X1947" s="25"/>
      <c r="Y1947" s="25"/>
      <c r="Z1947" s="25"/>
    </row>
    <row r="1948" spans="1:26" ht="52.5" customHeight="1" x14ac:dyDescent="0.25">
      <c r="A1948" s="25" t="str">
        <f ca="1">IFERROR(__xludf.DUMMYFUNCTION("""COMPUTED_VALUE"""),"Desar146")</f>
        <v>Desar146</v>
      </c>
      <c r="B1948" s="25" t="str">
        <f ca="1">IFERROR(__xludf.DUMMYFUNCTION("""COMPUTED_VALUE"""),"Consejo Local de Gobierno de Engativá")</f>
        <v>Consejo Local de Gobierno de Engativá</v>
      </c>
      <c r="C1948" s="55">
        <f ca="1">IFERROR(__xludf.DUMMYFUNCTION("""COMPUTED_VALUE"""),44588)</f>
        <v>44588</v>
      </c>
      <c r="D1948" s="25" t="str">
        <f ca="1">IFERROR(__xludf.DUMMYFUNCTION("""COMPUTED_VALUE"""),"Desarrollo_Económico")</f>
        <v>Desarrollo_Económico</v>
      </c>
      <c r="E1948" s="25" t="str">
        <f ca="1">IFERROR(__xludf.DUMMYFUNCTION("""COMPUTED_VALUE"""),"Secretaría Distrital de Desarrollo Económico")</f>
        <v>Secretaría Distrital de Desarrollo Económico</v>
      </c>
      <c r="F1948" s="25" t="str">
        <f ca="1">IFERROR(__xludf.DUMMYFUNCTION("""COMPUTED_VALUE"""),"Crear una línea de inversión de empleo y emprendimiento para adultos mayores de 50 años.")</f>
        <v>Crear una línea de inversión de empleo y emprendimiento para adultos mayores de 50 años.</v>
      </c>
      <c r="G1948" s="25" t="str">
        <f ca="1">IFERROR(__xludf.DUMMYFUNCTION("""COMPUTED_VALUE"""),"10. Engativá")</f>
        <v>10. Engativá</v>
      </c>
      <c r="H1948" s="55">
        <f ca="1">IFERROR(__xludf.DUMMYFUNCTION("""COMPUTED_VALUE"""),45077)</f>
        <v>45077</v>
      </c>
      <c r="I1948" s="25" t="str">
        <f ca="1">IFERROR(__xludf.DUMMYFUNCTION("""COMPUTED_VALUE"""),"Delivery Unit")</f>
        <v>Delivery Unit</v>
      </c>
      <c r="J1948" s="55" t="str">
        <f ca="1">IFERROR(__xludf.DUMMYFUNCTION("""COMPUTED_VALUE"""),"Media")</f>
        <v>Media</v>
      </c>
      <c r="K1948" s="25">
        <f ca="1">IFERROR(__xludf.DUMMYFUNCTION("""COMPUTED_VALUE"""),489)</f>
        <v>489</v>
      </c>
      <c r="L1948" s="62">
        <f ca="1">IFERROR(__xludf.DUMMYFUNCTION("""COMPUTED_VALUE"""),45077)</f>
        <v>45077</v>
      </c>
      <c r="M1948" s="25" t="str">
        <f ca="1">IFERROR(__xludf.DUMMYFUNCTION("""COMPUTED_VALUE"""),"Desde la Secretaría de Desarrollo Economico se desarrolla el programa Empleo Inlcuyente, el cual  es un programa que incentiva la contratación laboral de las poblaciones de difícil empleabilidad, por medio de beneficios económicos a las empresas que contr"&amp;"aten a las poblaciones con mayores barreras para conseguir empleo. Entrega un beneficio por cada contratación realizada. El valor del beneficio va de $600.000 hasta $4.200.000 dependiendo de la condición de vulnerabilidad de la persona contratada y el tér"&amp;"mino del contrato laboral que se firme.
Así, dentro de las poblaciones priorizadas está la población mayor de 50 años
Así mismo, a través del programa Impulso Local, dentro de los criterios de priorización para la capitalización está que la persona sea m"&amp;"ayor de 50 años")</f>
        <v>Desde la Secretaría de Desarrollo Economico se desarrolla el programa Empleo Inlcuyente, el cual  es un programa que incentiva la contratación laboral de las poblaciones de difícil empleabilidad, por medio de beneficios económicos a las empresas que contraten a las poblaciones con mayores barreras para conseguir empleo. Entrega un beneficio por cada contratación realizada. El valor del beneficio va de $600.000 hasta $4.200.000 dependiendo de la condición de vulnerabilidad de la persona contratada y el término del contrato laboral que se firme.
Así, dentro de las poblaciones priorizadas está la población mayor de 50 años
Así mismo, a través del programa Impulso Local, dentro de los criterios de priorización para la capitalización está que la persona sea mayor de 50 años</v>
      </c>
      <c r="N1948" s="25"/>
      <c r="O1948" s="25" t="str">
        <f t="shared" ca="1" si="0"/>
        <v>Secretaría Distrital de Desarrollo Económico</v>
      </c>
      <c r="P1948" s="25" t="str">
        <f t="shared" ca="1" si="2"/>
        <v/>
      </c>
      <c r="Q1948" s="25" t="str">
        <f ca="1">IFERROR(__xludf.DUMMYFUNCTION("""COMPUTED_VALUE"""),"Largo plazo")</f>
        <v>Largo plazo</v>
      </c>
      <c r="R1948" s="25"/>
      <c r="S1948" s="55"/>
      <c r="T1948" s="56"/>
      <c r="U1948" s="25"/>
      <c r="V1948" s="25"/>
      <c r="W1948" s="25"/>
      <c r="X1948" s="25"/>
      <c r="Y1948" s="25"/>
      <c r="Z1948" s="25"/>
    </row>
    <row r="1949" spans="1:26" ht="52.5" customHeight="1" x14ac:dyDescent="0.25">
      <c r="A1949" s="25" t="str">
        <f ca="1">IFERROR(__xludf.DUMMYFUNCTION("""COMPUTED_VALUE"""),"Desar147")</f>
        <v>Desar147</v>
      </c>
      <c r="B1949" s="25" t="str">
        <f ca="1">IFERROR(__xludf.DUMMYFUNCTION("""COMPUTED_VALUE"""),"Consejo Local de Gobierno de Bosa")</f>
        <v>Consejo Local de Gobierno de Bosa</v>
      </c>
      <c r="C1949" s="55">
        <f ca="1">IFERROR(__xludf.DUMMYFUNCTION("""COMPUTED_VALUE"""),44602)</f>
        <v>44602</v>
      </c>
      <c r="D1949" s="25" t="str">
        <f ca="1">IFERROR(__xludf.DUMMYFUNCTION("""COMPUTED_VALUE"""),"Desarrollo_Económico")</f>
        <v>Desarrollo_Económico</v>
      </c>
      <c r="E1949" s="25" t="str">
        <f ca="1">IFERROR(__xludf.DUMMYFUNCTION("""COMPUTED_VALUE"""),"Instituto para la Economía Social")</f>
        <v>Instituto para la Economía Social</v>
      </c>
      <c r="F1949" s="25" t="str">
        <f ca="1">IFERROR(__xludf.DUMMYFUNCTION("""COMPUTED_VALUE"""),"Garantizar la participación de los miembros de los Consejos Locales de Vendedores Informales en la reglamentación del Decreto 552 de 2019")</f>
        <v>Garantizar la participación de los miembros de los Consejos Locales de Vendedores Informales en la reglamentación del Decreto 552 de 2019</v>
      </c>
      <c r="G1949" s="25" t="str">
        <f ca="1">IFERROR(__xludf.DUMMYFUNCTION("""COMPUTED_VALUE"""),"07. Bosa")</f>
        <v>07. Bosa</v>
      </c>
      <c r="H1949" s="55">
        <f ca="1">IFERROR(__xludf.DUMMYFUNCTION("""COMPUTED_VALUE"""),44902)</f>
        <v>44902</v>
      </c>
      <c r="I1949" s="25"/>
      <c r="J1949" s="55" t="str">
        <f ca="1">IFERROR(__xludf.DUMMYFUNCTION("""COMPUTED_VALUE"""),"Baja")</f>
        <v>Baja</v>
      </c>
      <c r="K1949" s="25">
        <f ca="1">IFERROR(__xludf.DUMMYFUNCTION("""COMPUTED_VALUE"""),300)</f>
        <v>300</v>
      </c>
      <c r="L1949" s="62">
        <f ca="1">IFERROR(__xludf.DUMMYFUNCTION("""COMPUTED_VALUE"""),44902)</f>
        <v>44902</v>
      </c>
      <c r="M1949" s="25" t="str">
        <f ca="1">IFERROR(__xludf.DUMMYFUNCTION("""COMPUTED_VALUE"""),"El IPES incluyó en la agenda de la sesión ordinaria del consejo distrital de vendedores informales citada para el 23 de mayo: ""aportes a la participación de la reglamentación del Decreto 552 de 2019""")</f>
        <v>El IPES incluyó en la agenda de la sesión ordinaria del consejo distrital de vendedores informales citada para el 23 de mayo: "aportes a la participación de la reglamentación del Decreto 552 de 2019"</v>
      </c>
      <c r="N1949" s="55">
        <f ca="1">IFERROR(__xludf.DUMMYFUNCTION("""COMPUTED_VALUE"""),44926)</f>
        <v>44926</v>
      </c>
      <c r="O1949" s="25" t="str">
        <f t="shared" ca="1" si="0"/>
        <v>Instituto para la Economía Social</v>
      </c>
      <c r="P1949" s="25" t="str">
        <f t="shared" si="2"/>
        <v/>
      </c>
      <c r="Q1949" s="25" t="str">
        <f ca="1">IFERROR(__xludf.DUMMYFUNCTION("""COMPUTED_VALUE"""),"Largo plazo")</f>
        <v>Largo plazo</v>
      </c>
      <c r="R1949" s="25"/>
      <c r="S1949" s="55"/>
      <c r="T1949" s="56"/>
      <c r="U1949" s="25"/>
      <c r="V1949" s="25"/>
      <c r="W1949" s="25"/>
      <c r="X1949" s="25"/>
      <c r="Y1949" s="25"/>
      <c r="Z1949" s="25"/>
    </row>
    <row r="1950" spans="1:26" ht="52.5" customHeight="1" x14ac:dyDescent="0.25">
      <c r="A1950" s="25" t="str">
        <f ca="1">IFERROR(__xludf.DUMMYFUNCTION("""COMPUTED_VALUE"""),"Desar148")</f>
        <v>Desar148</v>
      </c>
      <c r="B1950" s="25" t="str">
        <f ca="1">IFERROR(__xludf.DUMMYFUNCTION("""COMPUTED_VALUE"""),"Consejo Local de Gobierno de Bosa")</f>
        <v>Consejo Local de Gobierno de Bosa</v>
      </c>
      <c r="C1950" s="55">
        <f ca="1">IFERROR(__xludf.DUMMYFUNCTION("""COMPUTED_VALUE"""),44602)</f>
        <v>44602</v>
      </c>
      <c r="D1950" s="25" t="str">
        <f ca="1">IFERROR(__xludf.DUMMYFUNCTION("""COMPUTED_VALUE"""),"Desarrollo_Económico")</f>
        <v>Desarrollo_Económico</v>
      </c>
      <c r="E1950" s="25" t="str">
        <f ca="1">IFERROR(__xludf.DUMMYFUNCTION("""COMPUTED_VALUE"""),"Instituto para la Economía Social")</f>
        <v>Instituto para la Economía Social</v>
      </c>
      <c r="F1950" s="25" t="str">
        <f ca="1">IFERROR(__xludf.DUMMYFUNCTION("""COMPUTED_VALUE"""),"Restituir el espacio público y retirar las casetas metálicas que han enterrado en espacio público (Parques de Bogotá)")</f>
        <v>Restituir el espacio público y retirar las casetas metálicas que han enterrado en espacio público (Parques de Bogotá)</v>
      </c>
      <c r="G1950" s="25" t="str">
        <f ca="1">IFERROR(__xludf.DUMMYFUNCTION("""COMPUTED_VALUE"""),"07. Bosa")</f>
        <v>07. Bosa</v>
      </c>
      <c r="H1950" s="55">
        <f ca="1">IFERROR(__xludf.DUMMYFUNCTION("""COMPUTED_VALUE"""),45077)</f>
        <v>45077</v>
      </c>
      <c r="I1950" s="25" t="str">
        <f ca="1">IFERROR(__xludf.DUMMYFUNCTION("""COMPUTED_VALUE"""),"Delivery Unit")</f>
        <v>Delivery Unit</v>
      </c>
      <c r="J1950" s="55" t="str">
        <f ca="1">IFERROR(__xludf.DUMMYFUNCTION("""COMPUTED_VALUE"""),"Baja")</f>
        <v>Baja</v>
      </c>
      <c r="K1950" s="25">
        <f ca="1">IFERROR(__xludf.DUMMYFUNCTION("""COMPUTED_VALUE"""),475)</f>
        <v>475</v>
      </c>
      <c r="L1950" s="62">
        <f ca="1">IFERROR(__xludf.DUMMYFUNCTION("""COMPUTED_VALUE"""),45079)</f>
        <v>45079</v>
      </c>
      <c r="M1950" s="25" t="str">
        <f ca="1">IFERROR(__xludf.DUMMYFUNCTION("""COMPUTED_VALUE"""),"Se realizó reunión con más de 100 caseteros de la zona Parques de Bogotá el 3 de mayo, y se hizo un reconocimiento de las alamedas para reubicación junto con la Alcaldía Local.
  - Se cuenta con el censo actualizado de caseteros, ubicación y fotografía de"&amp;" cada caseta para avanzar en la reubicación.
  - Se determinaron los lugares de posible reubicación y la cantidad aproximada en cada alameda.
  - Se está a la espera de que los vendedores radiquen la propuesta de autorregulación revisada por todos los asi"&amp;"stentes a la reunión.
  - Se radicó solicitud ante el IDU para el permiso de uso y aprovechamiento de las Alamedas en las que se haría la reubicación.
  Desde el IPES se ralizó la solicitud a IDU, para la obtencion del permiso de uso de un espacio para"&amp;" la reubicacion de vendedores informales y en articulacion con la Alcaldia local se logró la reubicacion de 50 vendedores en Alameca Comercios.")</f>
        <v>Se realizó reunión con más de 100 caseteros de la zona Parques de Bogotá el 3 de mayo, y se hizo un reconocimiento de las alamedas para reubicación junto con la Alcaldía Local.
  - Se cuenta con el censo actualizado de caseteros, ubicación y fotografía de cada caseta para avanzar en la reubicación.
  - Se determinaron los lugares de posible reubicación y la cantidad aproximada en cada alameda.
  - Se está a la espera de que los vendedores radiquen la propuesta de autorregulación revisada por todos los asistentes a la reunión.
  - Se radicó solicitud ante el IDU para el permiso de uso y aprovechamiento de las Alamedas en las que se haría la reubicación.
  Desde el IPES se ralizó la solicitud a IDU, para la obtencion del permiso de uso de un espacio para la reubicacion de vendedores informales y en articulacion con la Alcaldia local se logró la reubicacion de 50 vendedores en Alameca Comercios.</v>
      </c>
      <c r="N1950" s="25"/>
      <c r="O1950" s="25" t="str">
        <f t="shared" ca="1" si="0"/>
        <v>Instituto para la Economía Social</v>
      </c>
      <c r="P1950" s="25" t="str">
        <f t="shared" ca="1" si="2"/>
        <v/>
      </c>
      <c r="Q1950" s="25" t="str">
        <f ca="1">IFERROR(__xludf.DUMMYFUNCTION("""COMPUTED_VALUE"""),"Largo plazo")</f>
        <v>Largo plazo</v>
      </c>
      <c r="R1950" s="25"/>
      <c r="S1950" s="55"/>
      <c r="T1950" s="56"/>
      <c r="U1950" s="25"/>
      <c r="V1950" s="25"/>
      <c r="W1950" s="25"/>
      <c r="X1950" s="25"/>
      <c r="Y1950" s="25"/>
      <c r="Z1950" s="25"/>
    </row>
    <row r="1951" spans="1:26" ht="52.5" customHeight="1" x14ac:dyDescent="0.25">
      <c r="A1951" s="25" t="str">
        <f ca="1">IFERROR(__xludf.DUMMYFUNCTION("""COMPUTED_VALUE"""),"Desar149")</f>
        <v>Desar149</v>
      </c>
      <c r="B1951" s="25" t="str">
        <f ca="1">IFERROR(__xludf.DUMMYFUNCTION("""COMPUTED_VALUE"""),"Consejo Local de Gobierno de Bosa")</f>
        <v>Consejo Local de Gobierno de Bosa</v>
      </c>
      <c r="C1951" s="55">
        <f ca="1">IFERROR(__xludf.DUMMYFUNCTION("""COMPUTED_VALUE"""),44602)</f>
        <v>44602</v>
      </c>
      <c r="D1951" s="25" t="str">
        <f ca="1">IFERROR(__xludf.DUMMYFUNCTION("""COMPUTED_VALUE"""),"Desarrollo_Económico")</f>
        <v>Desarrollo_Económico</v>
      </c>
      <c r="E1951" s="25" t="str">
        <f ca="1">IFERROR(__xludf.DUMMYFUNCTION("""COMPUTED_VALUE"""),"Instituto para la Economía Social")</f>
        <v>Instituto para la Economía Social</v>
      </c>
      <c r="F1951" s="25" t="str">
        <f ca="1">IFERROR(__xludf.DUMMYFUNCTION("""COMPUTED_VALUE"""),"Organizar mesas de trabajo con el Consejo Local de Vendedores Informales para establecer los acuerdos de espacio público zona por zona")</f>
        <v>Organizar mesas de trabajo con el Consejo Local de Vendedores Informales para establecer los acuerdos de espacio público zona por zona</v>
      </c>
      <c r="G1951" s="25" t="str">
        <f ca="1">IFERROR(__xludf.DUMMYFUNCTION("""COMPUTED_VALUE"""),"07. Bosa")</f>
        <v>07. Bosa</v>
      </c>
      <c r="H1951" s="55">
        <f ca="1">IFERROR(__xludf.DUMMYFUNCTION("""COMPUTED_VALUE"""),44902)</f>
        <v>44902</v>
      </c>
      <c r="I1951" s="25"/>
      <c r="J1951" s="55" t="str">
        <f ca="1">IFERROR(__xludf.DUMMYFUNCTION("""COMPUTED_VALUE"""),"Baja")</f>
        <v>Baja</v>
      </c>
      <c r="K1951" s="25">
        <f ca="1">IFERROR(__xludf.DUMMYFUNCTION("""COMPUTED_VALUE"""),300)</f>
        <v>300</v>
      </c>
      <c r="L1951" s="62">
        <f ca="1">IFERROR(__xludf.DUMMYFUNCTION("""COMPUTED_VALUE"""),44902)</f>
        <v>44902</v>
      </c>
      <c r="M1951" s="25" t="str">
        <f ca="1">IFERROR(__xludf.DUMMYFUNCTION("""COMPUTED_VALUE"""),"En la sesión 002 del Consejo Local de Vendedores Informales celebrado el 01 de marzo de 2022 se revisó el tema y se informó a los Consejeros sobre la importancia de definir los “Acuerdos, para el uso acceso y aprovechamiento del espacio público”, puesto q"&amp;"ue estos nos permitirán organizar a los vendedores informales, identificarlos y diseñar espacios agradables tanto para el gocé del espacio público por parte de los peatones como la creación de lugares para el comercio.
 Se solicitó a los consejeros y as"&amp;"istentes a la sesión, identificar zonas en las cuales se puedan generar acuerdos, reglas de convivencia y regulación del espacio público para ser presentados en la siguiente sesión del consejo.
 En el marco de las competencias atribuidas a la alcaldia loc"&amp;"al se realizaron las diferentes mesas de traabajo con los vendedores y se logró, en un ejercicio articulado con la alcaldia local, el desmonte de las casetas y su reubicacion en la plazoleta")</f>
        <v>En la sesión 002 del Consejo Local de Vendedores Informales celebrado el 01 de marzo de 2022 se revisó el tema y se informó a los Consejeros sobre la importancia de definir los “Acuerdos, para el uso acceso y aprovechamiento del espacio público”, puesto que estos nos permitirán organizar a los vendedores informales, identificarlos y diseñar espacios agradables tanto para el gocé del espacio público por parte de los peatones como la creación de lugares para el comercio.
 Se solicitó a los consejeros y asistentes a la sesión, identificar zonas en las cuales se puedan generar acuerdos, reglas de convivencia y regulación del espacio público para ser presentados en la siguiente sesión del consejo.
 En el marco de las competencias atribuidas a la alcaldia local se realizaron las diferentes mesas de traabajo con los vendedores y se logró, en un ejercicio articulado con la alcaldia local, el desmonte de las casetas y su reubicacion en la plazoleta</v>
      </c>
      <c r="N1951" s="55">
        <f ca="1">IFERROR(__xludf.DUMMYFUNCTION("""COMPUTED_VALUE"""),44926)</f>
        <v>44926</v>
      </c>
      <c r="O1951" s="25" t="str">
        <f t="shared" ca="1" si="0"/>
        <v>Instituto para la Economía Social</v>
      </c>
      <c r="P1951" s="25" t="str">
        <f t="shared" si="2"/>
        <v/>
      </c>
      <c r="Q1951" s="25" t="str">
        <f ca="1">IFERROR(__xludf.DUMMYFUNCTION("""COMPUTED_VALUE"""),"Largo plazo")</f>
        <v>Largo plazo</v>
      </c>
      <c r="R1951" s="25"/>
      <c r="S1951" s="55"/>
      <c r="T1951" s="56"/>
      <c r="U1951" s="25"/>
      <c r="V1951" s="25"/>
      <c r="W1951" s="25"/>
      <c r="X1951" s="25"/>
      <c r="Y1951" s="25"/>
      <c r="Z1951" s="25"/>
    </row>
    <row r="1952" spans="1:26" ht="52.5" customHeight="1" x14ac:dyDescent="0.25">
      <c r="A1952" s="25" t="str">
        <f ca="1">IFERROR(__xludf.DUMMYFUNCTION("""COMPUTED_VALUE"""),"Desar150")</f>
        <v>Desar150</v>
      </c>
      <c r="B1952" s="25" t="str">
        <f ca="1">IFERROR(__xludf.DUMMYFUNCTION("""COMPUTED_VALUE"""),"Consejo Local de Gobierno de Bosa")</f>
        <v>Consejo Local de Gobierno de Bosa</v>
      </c>
      <c r="C1952" s="55">
        <f ca="1">IFERROR(__xludf.DUMMYFUNCTION("""COMPUTED_VALUE"""),44602)</f>
        <v>44602</v>
      </c>
      <c r="D1952" s="25" t="str">
        <f ca="1">IFERROR(__xludf.DUMMYFUNCTION("""COMPUTED_VALUE"""),"Desarrollo_Económico")</f>
        <v>Desarrollo_Económico</v>
      </c>
      <c r="E1952" s="25" t="str">
        <f ca="1">IFERROR(__xludf.DUMMYFUNCTION("""COMPUTED_VALUE"""),"Instituto para la Economía Social")</f>
        <v>Instituto para la Economía Social</v>
      </c>
      <c r="F1952" s="25" t="str">
        <f ca="1">IFERROR(__xludf.DUMMYFUNCTION("""COMPUTED_VALUE"""),"Formular la Política Pública de Ventas Informales")</f>
        <v>Formular la Política Pública de Ventas Informales</v>
      </c>
      <c r="G1952" s="25" t="str">
        <f ca="1">IFERROR(__xludf.DUMMYFUNCTION("""COMPUTED_VALUE"""),"07. Bosa")</f>
        <v>07. Bosa</v>
      </c>
      <c r="H1952" s="55">
        <f ca="1">IFERROR(__xludf.DUMMYFUNCTION("""COMPUTED_VALUE"""),45077)</f>
        <v>45077</v>
      </c>
      <c r="I1952" s="25" t="str">
        <f ca="1">IFERROR(__xludf.DUMMYFUNCTION("""COMPUTED_VALUE"""),"Delivery Unit")</f>
        <v>Delivery Unit</v>
      </c>
      <c r="J1952" s="55" t="str">
        <f ca="1">IFERROR(__xludf.DUMMYFUNCTION("""COMPUTED_VALUE"""),"Alta")</f>
        <v>Alta</v>
      </c>
      <c r="K1952" s="25">
        <f ca="1">IFERROR(__xludf.DUMMYFUNCTION("""COMPUTED_VALUE"""),475)</f>
        <v>475</v>
      </c>
      <c r="L1952" s="62">
        <f ca="1">IFERROR(__xludf.DUMMYFUNCTION("""COMPUTED_VALUE"""),45079)</f>
        <v>45079</v>
      </c>
      <c r="M1952" s="25" t="str">
        <f ca="1">IFERROR(__xludf.DUMMYFUNCTION("""COMPUTED_VALUE"""),"De acuerdo con el ciclo de política pública establecido, la política pública de vendedoras y vendedores informales ya surtió la fase de diagnóstico y dicho documento se encuentra en revisión de la secretaria de planeación. Actualmente se están revisando l"&amp;"as acciones que son objeto de política pública y que deben incluirse en el plan de acción de esta política")</f>
        <v>De acuerdo con el ciclo de política pública establecido, la política pública de vendedoras y vendedores informales ya surtió la fase de diagnóstico y dicho documento se encuentra en revisión de la secretaria de planeación. Actualmente se están revisando las acciones que son objeto de política pública y que deben incluirse en el plan de acción de esta política</v>
      </c>
      <c r="N1952" s="25"/>
      <c r="O1952" s="25" t="str">
        <f t="shared" ca="1" si="0"/>
        <v>Instituto para la Economía Social</v>
      </c>
      <c r="P1952" s="25" t="str">
        <f t="shared" ca="1" si="2"/>
        <v/>
      </c>
      <c r="Q1952" s="25" t="str">
        <f ca="1">IFERROR(__xludf.DUMMYFUNCTION("""COMPUTED_VALUE"""),"Largo plazo")</f>
        <v>Largo plazo</v>
      </c>
      <c r="R1952" s="25"/>
      <c r="S1952" s="55"/>
      <c r="T1952" s="56"/>
      <c r="U1952" s="25"/>
      <c r="V1952" s="25"/>
      <c r="W1952" s="25"/>
      <c r="X1952" s="25"/>
      <c r="Y1952" s="25"/>
      <c r="Z1952" s="25"/>
    </row>
    <row r="1953" spans="1:26" ht="52.5" customHeight="1" x14ac:dyDescent="0.25">
      <c r="A1953" s="25" t="str">
        <f ca="1">IFERROR(__xludf.DUMMYFUNCTION("""COMPUTED_VALUE"""),"Desar151")</f>
        <v>Desar151</v>
      </c>
      <c r="B1953" s="25" t="str">
        <f ca="1">IFERROR(__xludf.DUMMYFUNCTION("""COMPUTED_VALUE"""),"Consejo Local de Gobierno de Chapinero")</f>
        <v>Consejo Local de Gobierno de Chapinero</v>
      </c>
      <c r="C1953" s="55">
        <f ca="1">IFERROR(__xludf.DUMMYFUNCTION("""COMPUTED_VALUE"""),44623)</f>
        <v>44623</v>
      </c>
      <c r="D1953" s="25" t="str">
        <f ca="1">IFERROR(__xludf.DUMMYFUNCTION("""COMPUTED_VALUE"""),"Desarrollo_Económico")</f>
        <v>Desarrollo_Económico</v>
      </c>
      <c r="E1953" s="25" t="str">
        <f ca="1">IFERROR(__xludf.DUMMYFUNCTION("""COMPUTED_VALUE"""),"Instituto para la Economía Social")</f>
        <v>Instituto para la Economía Social</v>
      </c>
      <c r="F1953" s="25" t="str">
        <f ca="1">IFERROR(__xludf.DUMMYFUNCTION("""COMPUTED_VALUE"""),"Realizar un foro sobre venta informal y espacio público, y lograr una caracterización rigurosa de los vendedores informales de la ciudad.")</f>
        <v>Realizar un foro sobre venta informal y espacio público, y lograr una caracterización rigurosa de los vendedores informales de la ciudad.</v>
      </c>
      <c r="G1953" s="25" t="str">
        <f ca="1">IFERROR(__xludf.DUMMYFUNCTION("""COMPUTED_VALUE"""),"02. Chapinero")</f>
        <v>02. Chapinero</v>
      </c>
      <c r="H1953" s="55">
        <f ca="1">IFERROR(__xludf.DUMMYFUNCTION("""COMPUTED_VALUE"""),44697)</f>
        <v>44697</v>
      </c>
      <c r="I1953" s="25"/>
      <c r="J1953" s="55" t="str">
        <f ca="1">IFERROR(__xludf.DUMMYFUNCTION("""COMPUTED_VALUE"""),"Alta")</f>
        <v>Alta</v>
      </c>
      <c r="K1953" s="25">
        <f ca="1">IFERROR(__xludf.DUMMYFUNCTION("""COMPUTED_VALUE"""),74)</f>
        <v>74</v>
      </c>
      <c r="L1953" s="62">
        <f ca="1">IFERROR(__xludf.DUMMYFUNCTION("""COMPUTED_VALUE"""),44697)</f>
        <v>44697</v>
      </c>
      <c r="M1953" s="25" t="str">
        <f ca="1">IFERROR(__xludf.DUMMYFUNCTION("""COMPUTED_VALUE"""),"El foro se estableció para el 27 de julio de 2022. de la siguiente manera: Economía Popular Transformadora
 27 de Julio de 2022
 Ejes temáticos y horarios:
 9 a 10:00 Derecho a la ciudad y a la Economía Popular
 10 a 11:00 Experiencias en Latinoaméric"&amp;"a, Transformación de las ventas callejeras
 11 a 12:00 Vive la Calle, Dignifiquemos el trabajo 
 12:00 a 2:00 Almuerzo
 2 a 3:30 Construyendo Ciudad: Bogotá una ciudad para la economía transformadora (Zona Norte, Zona Centro, Zona Sur)
 3:30 a 4:00 Po"&amp;"lítica Pública de vendedores informales
 Construyendo Ciudad: Bogotá una ciudad para la economía transformadora.
 En los meses de mayo y junio se realizarán talleres con los consejeros locales por zona, para construir una visión conjunta de la ciudad qu"&amp;"e esté en consonancia con el derecho al trabajo, la dignidad y el derecho al espacio público para todas y todos.")</f>
        <v>El foro se estableció para el 27 de julio de 2022. de la siguiente manera: Economía Popular Transformadora
 27 de Julio de 2022
 Ejes temáticos y horarios:
 9 a 10:00 Derecho a la ciudad y a la Economía Popular
 10 a 11:00 Experiencias en Latinoamérica, Transformación de las ventas callejeras
 11 a 12:00 Vive la Calle, Dignifiquemos el trabajo 
 12:00 a 2:00 Almuerzo
 2 a 3:30 Construyendo Ciudad: Bogotá una ciudad para la economía transformadora (Zona Norte, Zona Centro, Zona Sur)
 3:30 a 4:00 Política Pública de vendedores informales
 Construyendo Ciudad: Bogotá una ciudad para la economía transformadora.
 En los meses de mayo y junio se realizarán talleres con los consejeros locales por zona, para construir una visión conjunta de la ciudad que esté en consonancia con el derecho al trabajo, la dignidad y el derecho al espacio público para todas y todos.</v>
      </c>
      <c r="N1953" s="55">
        <f ca="1">IFERROR(__xludf.DUMMYFUNCTION("""COMPUTED_VALUE"""),44926)</f>
        <v>44926</v>
      </c>
      <c r="O1953" s="25" t="str">
        <f t="shared" ca="1" si="0"/>
        <v>Instituto para la Economía Social</v>
      </c>
      <c r="P1953" s="25" t="str">
        <f t="shared" si="2"/>
        <v/>
      </c>
      <c r="Q1953" s="25" t="str">
        <f ca="1">IFERROR(__xludf.DUMMYFUNCTION("""COMPUTED_VALUE"""),"Mediano plazo")</f>
        <v>Mediano plazo</v>
      </c>
      <c r="R1953" s="25"/>
      <c r="S1953" s="55"/>
      <c r="T1953" s="56"/>
      <c r="U1953" s="25"/>
      <c r="V1953" s="25"/>
      <c r="W1953" s="25"/>
      <c r="X1953" s="25"/>
      <c r="Y1953" s="25"/>
      <c r="Z1953" s="25"/>
    </row>
    <row r="1954" spans="1:26" ht="52.5" customHeight="1" x14ac:dyDescent="0.25">
      <c r="A1954" s="25" t="str">
        <f ca="1">IFERROR(__xludf.DUMMYFUNCTION("""COMPUTED_VALUE"""),"Desar152")</f>
        <v>Desar152</v>
      </c>
      <c r="B1954" s="25"/>
      <c r="C1954" s="55"/>
      <c r="D1954" s="25" t="str">
        <f ca="1">IFERROR(__xludf.DUMMYFUNCTION("""COMPUTED_VALUE"""),"Desarrollo_Económico")</f>
        <v>Desarrollo_Económico</v>
      </c>
      <c r="E1954" s="25"/>
      <c r="F1954" s="25"/>
      <c r="G1954" s="25"/>
      <c r="H1954" s="25"/>
      <c r="I1954" s="25"/>
      <c r="J1954" s="55"/>
      <c r="K1954" s="25" t="str">
        <f ca="1">IFERROR(__xludf.DUMMYFUNCTION("""COMPUTED_VALUE"""),"Definir fecha")</f>
        <v>Definir fecha</v>
      </c>
      <c r="L1954" s="62"/>
      <c r="M1954" s="25"/>
      <c r="N1954" s="25"/>
      <c r="O1954" s="25">
        <f t="shared" si="0"/>
        <v>0</v>
      </c>
      <c r="P1954" s="25" t="str">
        <f t="shared" si="2"/>
        <v/>
      </c>
      <c r="Q1954" s="25" t="str">
        <f ca="1">IFERROR(__xludf.DUMMYFUNCTION("""COMPUTED_VALUE"""),"Sin defenir")</f>
        <v>Sin defenir</v>
      </c>
      <c r="R1954" s="25"/>
      <c r="S1954" s="55"/>
      <c r="T1954" s="56"/>
      <c r="U1954" s="25"/>
      <c r="V1954" s="25"/>
      <c r="W1954" s="25"/>
      <c r="X1954" s="25"/>
      <c r="Y1954" s="25"/>
      <c r="Z1954" s="25"/>
    </row>
    <row r="1955" spans="1:26" ht="52.5" customHeight="1" x14ac:dyDescent="0.25">
      <c r="A1955" s="25" t="str">
        <f ca="1">IFERROR(__xludf.DUMMYFUNCTION("""COMPUTED_VALUE"""),"Desar153")</f>
        <v>Desar153</v>
      </c>
      <c r="B1955" s="25"/>
      <c r="C1955" s="55"/>
      <c r="D1955" s="25" t="str">
        <f ca="1">IFERROR(__xludf.DUMMYFUNCTION("""COMPUTED_VALUE"""),"Desarrollo_Económico")</f>
        <v>Desarrollo_Económico</v>
      </c>
      <c r="E1955" s="25"/>
      <c r="F1955" s="25"/>
      <c r="G1955" s="25"/>
      <c r="H1955" s="25"/>
      <c r="I1955" s="25"/>
      <c r="J1955" s="55"/>
      <c r="K1955" s="25" t="str">
        <f ca="1">IFERROR(__xludf.DUMMYFUNCTION("""COMPUTED_VALUE"""),"Definir fecha")</f>
        <v>Definir fecha</v>
      </c>
      <c r="L1955" s="62"/>
      <c r="M1955" s="25"/>
      <c r="N1955" s="25"/>
      <c r="O1955" s="25">
        <f t="shared" si="0"/>
        <v>0</v>
      </c>
      <c r="P1955" s="25" t="str">
        <f t="shared" si="2"/>
        <v/>
      </c>
      <c r="Q1955" s="25" t="str">
        <f ca="1">IFERROR(__xludf.DUMMYFUNCTION("""COMPUTED_VALUE"""),"Sin defenir")</f>
        <v>Sin defenir</v>
      </c>
      <c r="R1955" s="25"/>
      <c r="S1955" s="55"/>
      <c r="T1955" s="56"/>
      <c r="U1955" s="25"/>
      <c r="V1955" s="25"/>
      <c r="W1955" s="25"/>
      <c r="X1955" s="25"/>
      <c r="Y1955" s="25"/>
      <c r="Z1955" s="25"/>
    </row>
    <row r="1956" spans="1:26" ht="52.5" customHeight="1" x14ac:dyDescent="0.25">
      <c r="A1956" s="25" t="str">
        <f ca="1">IFERROR(__xludf.DUMMYFUNCTION("""COMPUTED_VALUE"""),"Desar154")</f>
        <v>Desar154</v>
      </c>
      <c r="B1956" s="25"/>
      <c r="C1956" s="55"/>
      <c r="D1956" s="25" t="str">
        <f ca="1">IFERROR(__xludf.DUMMYFUNCTION("""COMPUTED_VALUE"""),"Desarrollo_Económico")</f>
        <v>Desarrollo_Económico</v>
      </c>
      <c r="E1956" s="25"/>
      <c r="F1956" s="25"/>
      <c r="G1956" s="25"/>
      <c r="H1956" s="25"/>
      <c r="I1956" s="25"/>
      <c r="J1956" s="55"/>
      <c r="K1956" s="25" t="str">
        <f ca="1">IFERROR(__xludf.DUMMYFUNCTION("""COMPUTED_VALUE"""),"Definir fecha")</f>
        <v>Definir fecha</v>
      </c>
      <c r="L1956" s="62"/>
      <c r="M1956" s="25"/>
      <c r="N1956" s="25"/>
      <c r="O1956" s="25">
        <f t="shared" si="0"/>
        <v>0</v>
      </c>
      <c r="P1956" s="25" t="str">
        <f t="shared" si="2"/>
        <v/>
      </c>
      <c r="Q1956" s="25" t="str">
        <f ca="1">IFERROR(__xludf.DUMMYFUNCTION("""COMPUTED_VALUE"""),"Sin defenir")</f>
        <v>Sin defenir</v>
      </c>
      <c r="R1956" s="25"/>
      <c r="S1956" s="55"/>
      <c r="T1956" s="56"/>
      <c r="U1956" s="25"/>
      <c r="V1956" s="25"/>
      <c r="W1956" s="25"/>
      <c r="X1956" s="25"/>
      <c r="Y1956" s="25"/>
      <c r="Z1956" s="25"/>
    </row>
    <row r="1957" spans="1:26" ht="52.5" customHeight="1" x14ac:dyDescent="0.25">
      <c r="A1957" s="25" t="str">
        <f ca="1">IFERROR(__xludf.DUMMYFUNCTION("""COMPUTED_VALUE"""),"Desar155")</f>
        <v>Desar155</v>
      </c>
      <c r="B1957" s="25"/>
      <c r="C1957" s="55"/>
      <c r="D1957" s="25" t="str">
        <f ca="1">IFERROR(__xludf.DUMMYFUNCTION("""COMPUTED_VALUE"""),"Desarrollo_Económico")</f>
        <v>Desarrollo_Económico</v>
      </c>
      <c r="E1957" s="25"/>
      <c r="F1957" s="25"/>
      <c r="G1957" s="25"/>
      <c r="H1957" s="25"/>
      <c r="I1957" s="25"/>
      <c r="J1957" s="55"/>
      <c r="K1957" s="25" t="str">
        <f ca="1">IFERROR(__xludf.DUMMYFUNCTION("""COMPUTED_VALUE"""),"Definir fecha")</f>
        <v>Definir fecha</v>
      </c>
      <c r="L1957" s="62"/>
      <c r="M1957" s="25"/>
      <c r="N1957" s="25"/>
      <c r="O1957" s="25">
        <f t="shared" si="0"/>
        <v>0</v>
      </c>
      <c r="P1957" s="25" t="str">
        <f t="shared" si="2"/>
        <v/>
      </c>
      <c r="Q1957" s="25" t="str">
        <f ca="1">IFERROR(__xludf.DUMMYFUNCTION("""COMPUTED_VALUE"""),"Sin defenir")</f>
        <v>Sin defenir</v>
      </c>
      <c r="R1957" s="25"/>
      <c r="S1957" s="55"/>
      <c r="T1957" s="56"/>
      <c r="U1957" s="25"/>
      <c r="V1957" s="25"/>
      <c r="W1957" s="25"/>
      <c r="X1957" s="25"/>
      <c r="Y1957" s="25"/>
      <c r="Z1957" s="25"/>
    </row>
    <row r="1958" spans="1:26" ht="52.5" customHeight="1" x14ac:dyDescent="0.25">
      <c r="A1958" s="25" t="str">
        <f ca="1">IFERROR(__xludf.DUMMYFUNCTION("""COMPUTED_VALUE"""),"Desar156")</f>
        <v>Desar156</v>
      </c>
      <c r="B1958" s="25"/>
      <c r="C1958" s="55"/>
      <c r="D1958" s="25" t="str">
        <f ca="1">IFERROR(__xludf.DUMMYFUNCTION("""COMPUTED_VALUE"""),"Desarrollo_Económico")</f>
        <v>Desarrollo_Económico</v>
      </c>
      <c r="E1958" s="25"/>
      <c r="F1958" s="25"/>
      <c r="G1958" s="25"/>
      <c r="H1958" s="25"/>
      <c r="I1958" s="25"/>
      <c r="J1958" s="55"/>
      <c r="K1958" s="25" t="str">
        <f ca="1">IFERROR(__xludf.DUMMYFUNCTION("""COMPUTED_VALUE"""),"Definir fecha")</f>
        <v>Definir fecha</v>
      </c>
      <c r="L1958" s="62"/>
      <c r="M1958" s="25"/>
      <c r="N1958" s="25"/>
      <c r="O1958" s="25">
        <f t="shared" si="0"/>
        <v>0</v>
      </c>
      <c r="P1958" s="25" t="str">
        <f t="shared" si="2"/>
        <v/>
      </c>
      <c r="Q1958" s="25" t="str">
        <f ca="1">IFERROR(__xludf.DUMMYFUNCTION("""COMPUTED_VALUE"""),"Sin defenir")</f>
        <v>Sin defenir</v>
      </c>
      <c r="R1958" s="25"/>
      <c r="S1958" s="55"/>
      <c r="T1958" s="56"/>
      <c r="U1958" s="25"/>
      <c r="V1958" s="25"/>
      <c r="W1958" s="25"/>
      <c r="X1958" s="25"/>
      <c r="Y1958" s="25"/>
      <c r="Z1958" s="25"/>
    </row>
    <row r="1959" spans="1:26" ht="52.5" customHeight="1" x14ac:dyDescent="0.25">
      <c r="A1959" s="25" t="str">
        <f ca="1">IFERROR(__xludf.DUMMYFUNCTION("""COMPUTED_VALUE"""),"Desar157")</f>
        <v>Desar157</v>
      </c>
      <c r="B1959" s="25"/>
      <c r="C1959" s="55"/>
      <c r="D1959" s="25" t="str">
        <f ca="1">IFERROR(__xludf.DUMMYFUNCTION("""COMPUTED_VALUE"""),"Desarrollo_Económico")</f>
        <v>Desarrollo_Económico</v>
      </c>
      <c r="E1959" s="25"/>
      <c r="F1959" s="25"/>
      <c r="G1959" s="25"/>
      <c r="H1959" s="25"/>
      <c r="I1959" s="25"/>
      <c r="J1959" s="55"/>
      <c r="K1959" s="25" t="str">
        <f ca="1">IFERROR(__xludf.DUMMYFUNCTION("""COMPUTED_VALUE"""),"Definir fecha")</f>
        <v>Definir fecha</v>
      </c>
      <c r="L1959" s="62"/>
      <c r="M1959" s="25"/>
      <c r="N1959" s="25"/>
      <c r="O1959" s="25">
        <f t="shared" si="0"/>
        <v>0</v>
      </c>
      <c r="P1959" s="25" t="str">
        <f t="shared" si="2"/>
        <v/>
      </c>
      <c r="Q1959" s="25" t="str">
        <f ca="1">IFERROR(__xludf.DUMMYFUNCTION("""COMPUTED_VALUE"""),"Sin defenir")</f>
        <v>Sin defenir</v>
      </c>
      <c r="R1959" s="25"/>
      <c r="S1959" s="55"/>
      <c r="T1959" s="56"/>
      <c r="U1959" s="25"/>
      <c r="V1959" s="25"/>
      <c r="W1959" s="25"/>
      <c r="X1959" s="25"/>
      <c r="Y1959" s="25"/>
      <c r="Z1959" s="25"/>
    </row>
    <row r="1960" spans="1:26" ht="52.5" customHeight="1" x14ac:dyDescent="0.25">
      <c r="A1960" s="25" t="str">
        <f ca="1">IFERROR(__xludf.DUMMYFUNCTION("""COMPUTED_VALUE"""),"Desar158")</f>
        <v>Desar158</v>
      </c>
      <c r="B1960" s="25"/>
      <c r="C1960" s="55"/>
      <c r="D1960" s="25" t="str">
        <f ca="1">IFERROR(__xludf.DUMMYFUNCTION("""COMPUTED_VALUE"""),"Desarrollo_Económico")</f>
        <v>Desarrollo_Económico</v>
      </c>
      <c r="E1960" s="25"/>
      <c r="F1960" s="25"/>
      <c r="G1960" s="25"/>
      <c r="H1960" s="25"/>
      <c r="I1960" s="25"/>
      <c r="J1960" s="55"/>
      <c r="K1960" s="25" t="str">
        <f ca="1">IFERROR(__xludf.DUMMYFUNCTION("""COMPUTED_VALUE"""),"Definir fecha")</f>
        <v>Definir fecha</v>
      </c>
      <c r="L1960" s="62"/>
      <c r="M1960" s="25"/>
      <c r="N1960" s="25"/>
      <c r="O1960" s="25">
        <f t="shared" si="0"/>
        <v>0</v>
      </c>
      <c r="P1960" s="25" t="str">
        <f t="shared" si="2"/>
        <v/>
      </c>
      <c r="Q1960" s="25" t="str">
        <f ca="1">IFERROR(__xludf.DUMMYFUNCTION("""COMPUTED_VALUE"""),"Sin defenir")</f>
        <v>Sin defenir</v>
      </c>
      <c r="R1960" s="25"/>
      <c r="S1960" s="55"/>
      <c r="T1960" s="56"/>
      <c r="U1960" s="25"/>
      <c r="V1960" s="25"/>
      <c r="W1960" s="25"/>
      <c r="X1960" s="25"/>
      <c r="Y1960" s="25"/>
      <c r="Z1960" s="25"/>
    </row>
    <row r="1961" spans="1:26" ht="52.5" customHeight="1" x14ac:dyDescent="0.25">
      <c r="A1961" s="25" t="str">
        <f ca="1">IFERROR(__xludf.DUMMYFUNCTION("""COMPUTED_VALUE"""),"Desar159")</f>
        <v>Desar159</v>
      </c>
      <c r="B1961" s="25"/>
      <c r="C1961" s="55"/>
      <c r="D1961" s="25" t="str">
        <f ca="1">IFERROR(__xludf.DUMMYFUNCTION("""COMPUTED_VALUE"""),"Desarrollo_Económico")</f>
        <v>Desarrollo_Económico</v>
      </c>
      <c r="E1961" s="25"/>
      <c r="F1961" s="25"/>
      <c r="G1961" s="25"/>
      <c r="H1961" s="25"/>
      <c r="I1961" s="25"/>
      <c r="J1961" s="55"/>
      <c r="K1961" s="25" t="str">
        <f ca="1">IFERROR(__xludf.DUMMYFUNCTION("""COMPUTED_VALUE"""),"Definir fecha")</f>
        <v>Definir fecha</v>
      </c>
      <c r="L1961" s="62"/>
      <c r="M1961" s="25"/>
      <c r="N1961" s="25"/>
      <c r="O1961" s="25">
        <f t="shared" si="0"/>
        <v>0</v>
      </c>
      <c r="P1961" s="25" t="str">
        <f t="shared" si="2"/>
        <v/>
      </c>
      <c r="Q1961" s="25" t="str">
        <f ca="1">IFERROR(__xludf.DUMMYFUNCTION("""COMPUTED_VALUE"""),"Sin defenir")</f>
        <v>Sin defenir</v>
      </c>
      <c r="R1961" s="25"/>
      <c r="S1961" s="55"/>
      <c r="T1961" s="56"/>
      <c r="U1961" s="25"/>
      <c r="V1961" s="25"/>
      <c r="W1961" s="25"/>
      <c r="X1961" s="25"/>
      <c r="Y1961" s="25"/>
      <c r="Z1961" s="25"/>
    </row>
    <row r="1962" spans="1:26" ht="52.5" customHeight="1" x14ac:dyDescent="0.25">
      <c r="A1962" s="25" t="str">
        <f ca="1">IFERROR(__xludf.DUMMYFUNCTION("""COMPUTED_VALUE"""),"Desar160")</f>
        <v>Desar160</v>
      </c>
      <c r="B1962" s="25"/>
      <c r="C1962" s="55"/>
      <c r="D1962" s="25" t="str">
        <f ca="1">IFERROR(__xludf.DUMMYFUNCTION("""COMPUTED_VALUE"""),"Desarrollo_Económico")</f>
        <v>Desarrollo_Económico</v>
      </c>
      <c r="E1962" s="25"/>
      <c r="F1962" s="25"/>
      <c r="G1962" s="25"/>
      <c r="H1962" s="25"/>
      <c r="I1962" s="25"/>
      <c r="J1962" s="55"/>
      <c r="K1962" s="25" t="str">
        <f ca="1">IFERROR(__xludf.DUMMYFUNCTION("""COMPUTED_VALUE"""),"Definir fecha")</f>
        <v>Definir fecha</v>
      </c>
      <c r="L1962" s="62"/>
      <c r="M1962" s="25"/>
      <c r="N1962" s="25"/>
      <c r="O1962" s="25">
        <f t="shared" si="0"/>
        <v>0</v>
      </c>
      <c r="P1962" s="25" t="str">
        <f t="shared" si="2"/>
        <v/>
      </c>
      <c r="Q1962" s="25" t="str">
        <f ca="1">IFERROR(__xludf.DUMMYFUNCTION("""COMPUTED_VALUE"""),"Sin defenir")</f>
        <v>Sin defenir</v>
      </c>
      <c r="R1962" s="25"/>
      <c r="S1962" s="55"/>
      <c r="T1962" s="56"/>
      <c r="U1962" s="25"/>
      <c r="V1962" s="25"/>
      <c r="W1962" s="25"/>
      <c r="X1962" s="25"/>
      <c r="Y1962" s="25"/>
      <c r="Z1962" s="25"/>
    </row>
    <row r="1963" spans="1:26" ht="52.5" customHeight="1" x14ac:dyDescent="0.25">
      <c r="A1963" s="25" t="str">
        <f ca="1">IFERROR(__xludf.DUMMYFUNCTION("""COMPUTED_VALUE"""),"Desar161")</f>
        <v>Desar161</v>
      </c>
      <c r="B1963" s="25"/>
      <c r="C1963" s="55"/>
      <c r="D1963" s="25" t="str">
        <f ca="1">IFERROR(__xludf.DUMMYFUNCTION("""COMPUTED_VALUE"""),"Desarrollo_Económico")</f>
        <v>Desarrollo_Económico</v>
      </c>
      <c r="E1963" s="25"/>
      <c r="F1963" s="25"/>
      <c r="G1963" s="25"/>
      <c r="H1963" s="25"/>
      <c r="I1963" s="25"/>
      <c r="J1963" s="55"/>
      <c r="K1963" s="25" t="str">
        <f ca="1">IFERROR(__xludf.DUMMYFUNCTION("""COMPUTED_VALUE"""),"Definir fecha")</f>
        <v>Definir fecha</v>
      </c>
      <c r="L1963" s="62"/>
      <c r="M1963" s="25"/>
      <c r="N1963" s="25"/>
      <c r="O1963" s="25">
        <f t="shared" si="0"/>
        <v>0</v>
      </c>
      <c r="P1963" s="25" t="str">
        <f t="shared" si="2"/>
        <v/>
      </c>
      <c r="Q1963" s="25" t="str">
        <f ca="1">IFERROR(__xludf.DUMMYFUNCTION("""COMPUTED_VALUE"""),"Sin defenir")</f>
        <v>Sin defenir</v>
      </c>
      <c r="R1963" s="25"/>
      <c r="S1963" s="55"/>
      <c r="T1963" s="56"/>
      <c r="U1963" s="25"/>
      <c r="V1963" s="25"/>
      <c r="W1963" s="25"/>
      <c r="X1963" s="25"/>
      <c r="Y1963" s="25"/>
      <c r="Z1963" s="25"/>
    </row>
    <row r="1964" spans="1:26" ht="52.5" customHeight="1" x14ac:dyDescent="0.25">
      <c r="A1964" s="25" t="str">
        <f ca="1">IFERROR(__xludf.DUMMYFUNCTION("""COMPUTED_VALUE"""),"Desar162")</f>
        <v>Desar162</v>
      </c>
      <c r="B1964" s="25"/>
      <c r="C1964" s="55"/>
      <c r="D1964" s="25" t="str">
        <f ca="1">IFERROR(__xludf.DUMMYFUNCTION("""COMPUTED_VALUE"""),"Desarrollo_Económico")</f>
        <v>Desarrollo_Económico</v>
      </c>
      <c r="E1964" s="25"/>
      <c r="F1964" s="25"/>
      <c r="G1964" s="25"/>
      <c r="H1964" s="25"/>
      <c r="I1964" s="25"/>
      <c r="J1964" s="55"/>
      <c r="K1964" s="25" t="str">
        <f ca="1">IFERROR(__xludf.DUMMYFUNCTION("""COMPUTED_VALUE"""),"Definir fecha")</f>
        <v>Definir fecha</v>
      </c>
      <c r="L1964" s="62"/>
      <c r="M1964" s="25"/>
      <c r="N1964" s="25"/>
      <c r="O1964" s="25">
        <f t="shared" si="0"/>
        <v>0</v>
      </c>
      <c r="P1964" s="25" t="str">
        <f t="shared" si="2"/>
        <v/>
      </c>
      <c r="Q1964" s="25" t="str">
        <f ca="1">IFERROR(__xludf.DUMMYFUNCTION("""COMPUTED_VALUE"""),"Sin defenir")</f>
        <v>Sin defenir</v>
      </c>
      <c r="R1964" s="25"/>
      <c r="S1964" s="55"/>
      <c r="T1964" s="56"/>
      <c r="U1964" s="25"/>
      <c r="V1964" s="25"/>
      <c r="W1964" s="25"/>
      <c r="X1964" s="25"/>
      <c r="Y1964" s="25"/>
      <c r="Z1964" s="25"/>
    </row>
    <row r="1965" spans="1:26" ht="52.5" customHeight="1" x14ac:dyDescent="0.25">
      <c r="A1965" s="25" t="str">
        <f ca="1">IFERROR(__xludf.DUMMYFUNCTION("""COMPUTED_VALUE"""),"Desar163")</f>
        <v>Desar163</v>
      </c>
      <c r="B1965" s="25"/>
      <c r="C1965" s="55"/>
      <c r="D1965" s="25" t="str">
        <f ca="1">IFERROR(__xludf.DUMMYFUNCTION("""COMPUTED_VALUE"""),"Desarrollo_Económico")</f>
        <v>Desarrollo_Económico</v>
      </c>
      <c r="E1965" s="25"/>
      <c r="F1965" s="25"/>
      <c r="G1965" s="25"/>
      <c r="H1965" s="25"/>
      <c r="I1965" s="25"/>
      <c r="J1965" s="55"/>
      <c r="K1965" s="25" t="str">
        <f ca="1">IFERROR(__xludf.DUMMYFUNCTION("""COMPUTED_VALUE"""),"Definir fecha")</f>
        <v>Definir fecha</v>
      </c>
      <c r="L1965" s="62"/>
      <c r="M1965" s="25"/>
      <c r="N1965" s="25"/>
      <c r="O1965" s="25">
        <f t="shared" si="0"/>
        <v>0</v>
      </c>
      <c r="P1965" s="25" t="str">
        <f t="shared" si="2"/>
        <v/>
      </c>
      <c r="Q1965" s="25" t="str">
        <f ca="1">IFERROR(__xludf.DUMMYFUNCTION("""COMPUTED_VALUE"""),"Sin defenir")</f>
        <v>Sin defenir</v>
      </c>
      <c r="R1965" s="25"/>
      <c r="S1965" s="55"/>
      <c r="T1965" s="56"/>
      <c r="U1965" s="25"/>
      <c r="V1965" s="25"/>
      <c r="W1965" s="25"/>
      <c r="X1965" s="25"/>
      <c r="Y1965" s="25"/>
      <c r="Z1965" s="25"/>
    </row>
    <row r="1966" spans="1:26" ht="52.5" customHeight="1" x14ac:dyDescent="0.25">
      <c r="A1966" s="25" t="str">
        <f ca="1">IFERROR(__xludf.DUMMYFUNCTION("""COMPUTED_VALUE"""),"Desar164")</f>
        <v>Desar164</v>
      </c>
      <c r="B1966" s="25"/>
      <c r="C1966" s="55"/>
      <c r="D1966" s="25" t="str">
        <f ca="1">IFERROR(__xludf.DUMMYFUNCTION("""COMPUTED_VALUE"""),"Desarrollo_Económico")</f>
        <v>Desarrollo_Económico</v>
      </c>
      <c r="E1966" s="25"/>
      <c r="F1966" s="25"/>
      <c r="G1966" s="25"/>
      <c r="H1966" s="25"/>
      <c r="I1966" s="25"/>
      <c r="J1966" s="55"/>
      <c r="K1966" s="25" t="str">
        <f ca="1">IFERROR(__xludf.DUMMYFUNCTION("""COMPUTED_VALUE"""),"Definir fecha")</f>
        <v>Definir fecha</v>
      </c>
      <c r="L1966" s="62"/>
      <c r="M1966" s="25"/>
      <c r="N1966" s="25"/>
      <c r="O1966" s="25">
        <f t="shared" si="0"/>
        <v>0</v>
      </c>
      <c r="P1966" s="25" t="str">
        <f t="shared" si="2"/>
        <v/>
      </c>
      <c r="Q1966" s="25" t="str">
        <f ca="1">IFERROR(__xludf.DUMMYFUNCTION("""COMPUTED_VALUE"""),"Sin defenir")</f>
        <v>Sin defenir</v>
      </c>
      <c r="R1966" s="25"/>
      <c r="S1966" s="55"/>
      <c r="T1966" s="56"/>
      <c r="U1966" s="25"/>
      <c r="V1966" s="25"/>
      <c r="W1966" s="25"/>
      <c r="X1966" s="25"/>
      <c r="Y1966" s="25"/>
      <c r="Z1966" s="25"/>
    </row>
    <row r="1967" spans="1:26" ht="52.5" customHeight="1" x14ac:dyDescent="0.25">
      <c r="A1967" s="25" t="str">
        <f ca="1">IFERROR(__xludf.DUMMYFUNCTION("""COMPUTED_VALUE"""),"Desar165")</f>
        <v>Desar165</v>
      </c>
      <c r="B1967" s="25"/>
      <c r="C1967" s="55"/>
      <c r="D1967" s="25" t="str">
        <f ca="1">IFERROR(__xludf.DUMMYFUNCTION("""COMPUTED_VALUE"""),"Desarrollo_Económico")</f>
        <v>Desarrollo_Económico</v>
      </c>
      <c r="E1967" s="25"/>
      <c r="F1967" s="25"/>
      <c r="G1967" s="25"/>
      <c r="H1967" s="25"/>
      <c r="I1967" s="25"/>
      <c r="J1967" s="55"/>
      <c r="K1967" s="25" t="str">
        <f ca="1">IFERROR(__xludf.DUMMYFUNCTION("""COMPUTED_VALUE"""),"Definir fecha")</f>
        <v>Definir fecha</v>
      </c>
      <c r="L1967" s="62"/>
      <c r="M1967" s="25"/>
      <c r="N1967" s="25"/>
      <c r="O1967" s="25">
        <f t="shared" si="0"/>
        <v>0</v>
      </c>
      <c r="P1967" s="25" t="str">
        <f t="shared" si="2"/>
        <v/>
      </c>
      <c r="Q1967" s="25" t="str">
        <f ca="1">IFERROR(__xludf.DUMMYFUNCTION("""COMPUTED_VALUE"""),"Sin defenir")</f>
        <v>Sin defenir</v>
      </c>
      <c r="R1967" s="25"/>
      <c r="S1967" s="55"/>
      <c r="T1967" s="56"/>
      <c r="U1967" s="25"/>
      <c r="V1967" s="25"/>
      <c r="W1967" s="25"/>
      <c r="X1967" s="25"/>
      <c r="Y1967" s="25"/>
      <c r="Z1967" s="25"/>
    </row>
    <row r="1968" spans="1:26" ht="52.5" customHeight="1" x14ac:dyDescent="0.25">
      <c r="A1968" s="25" t="str">
        <f ca="1">IFERROR(__xludf.DUMMYFUNCTION("""COMPUTED_VALUE"""),"Desar166")</f>
        <v>Desar166</v>
      </c>
      <c r="B1968" s="25"/>
      <c r="C1968" s="55"/>
      <c r="D1968" s="25" t="str">
        <f ca="1">IFERROR(__xludf.DUMMYFUNCTION("""COMPUTED_VALUE"""),"Desarrollo_Económico")</f>
        <v>Desarrollo_Económico</v>
      </c>
      <c r="E1968" s="25"/>
      <c r="F1968" s="25"/>
      <c r="G1968" s="25"/>
      <c r="H1968" s="25"/>
      <c r="I1968" s="25"/>
      <c r="J1968" s="55"/>
      <c r="K1968" s="25" t="str">
        <f ca="1">IFERROR(__xludf.DUMMYFUNCTION("""COMPUTED_VALUE"""),"Definir fecha")</f>
        <v>Definir fecha</v>
      </c>
      <c r="L1968" s="62"/>
      <c r="M1968" s="25"/>
      <c r="N1968" s="25"/>
      <c r="O1968" s="25">
        <f t="shared" si="0"/>
        <v>0</v>
      </c>
      <c r="P1968" s="25" t="str">
        <f t="shared" si="2"/>
        <v/>
      </c>
      <c r="Q1968" s="25" t="str">
        <f ca="1">IFERROR(__xludf.DUMMYFUNCTION("""COMPUTED_VALUE"""),"Sin defenir")</f>
        <v>Sin defenir</v>
      </c>
      <c r="R1968" s="25"/>
      <c r="S1968" s="55"/>
      <c r="T1968" s="56"/>
      <c r="U1968" s="25"/>
      <c r="V1968" s="25"/>
      <c r="W1968" s="25"/>
      <c r="X1968" s="25"/>
      <c r="Y1968" s="25"/>
      <c r="Z1968" s="25"/>
    </row>
    <row r="1969" spans="1:26" ht="52.5" customHeight="1" x14ac:dyDescent="0.25">
      <c r="A1969" s="25" t="str">
        <f ca="1">IFERROR(__xludf.DUMMYFUNCTION("""COMPUTED_VALUE"""),"Desar167")</f>
        <v>Desar167</v>
      </c>
      <c r="B1969" s="25"/>
      <c r="C1969" s="55"/>
      <c r="D1969" s="25" t="str">
        <f ca="1">IFERROR(__xludf.DUMMYFUNCTION("""COMPUTED_VALUE"""),"Desarrollo_Económico")</f>
        <v>Desarrollo_Económico</v>
      </c>
      <c r="E1969" s="25"/>
      <c r="F1969" s="25"/>
      <c r="G1969" s="25"/>
      <c r="H1969" s="25"/>
      <c r="I1969" s="25"/>
      <c r="J1969" s="55"/>
      <c r="K1969" s="25" t="str">
        <f ca="1">IFERROR(__xludf.DUMMYFUNCTION("""COMPUTED_VALUE"""),"Definir fecha")</f>
        <v>Definir fecha</v>
      </c>
      <c r="L1969" s="62"/>
      <c r="M1969" s="25"/>
      <c r="N1969" s="25"/>
      <c r="O1969" s="25">
        <f t="shared" si="0"/>
        <v>0</v>
      </c>
      <c r="P1969" s="25" t="str">
        <f t="shared" si="2"/>
        <v/>
      </c>
      <c r="Q1969" s="25" t="str">
        <f ca="1">IFERROR(__xludf.DUMMYFUNCTION("""COMPUTED_VALUE"""),"Sin defenir")</f>
        <v>Sin defenir</v>
      </c>
      <c r="R1969" s="25"/>
      <c r="S1969" s="55"/>
      <c r="T1969" s="56"/>
      <c r="U1969" s="25"/>
      <c r="V1969" s="25"/>
      <c r="W1969" s="25"/>
      <c r="X1969" s="25"/>
      <c r="Y1969" s="25"/>
      <c r="Z1969" s="25"/>
    </row>
    <row r="1970" spans="1:26" ht="52.5" customHeight="1" x14ac:dyDescent="0.25">
      <c r="A1970" s="25" t="str">
        <f ca="1">IFERROR(__xludf.DUMMYFUNCTION("""COMPUTED_VALUE"""),"Desar168")</f>
        <v>Desar168</v>
      </c>
      <c r="B1970" s="25"/>
      <c r="C1970" s="55"/>
      <c r="D1970" s="25" t="str">
        <f ca="1">IFERROR(__xludf.DUMMYFUNCTION("""COMPUTED_VALUE"""),"Desarrollo_Económico")</f>
        <v>Desarrollo_Económico</v>
      </c>
      <c r="E1970" s="25"/>
      <c r="F1970" s="25"/>
      <c r="G1970" s="25"/>
      <c r="H1970" s="25"/>
      <c r="I1970" s="25"/>
      <c r="J1970" s="55"/>
      <c r="K1970" s="25" t="str">
        <f ca="1">IFERROR(__xludf.DUMMYFUNCTION("""COMPUTED_VALUE"""),"Definir fecha")</f>
        <v>Definir fecha</v>
      </c>
      <c r="L1970" s="62"/>
      <c r="M1970" s="25"/>
      <c r="N1970" s="25"/>
      <c r="O1970" s="25">
        <f t="shared" si="0"/>
        <v>0</v>
      </c>
      <c r="P1970" s="25" t="str">
        <f t="shared" si="2"/>
        <v/>
      </c>
      <c r="Q1970" s="25" t="str">
        <f ca="1">IFERROR(__xludf.DUMMYFUNCTION("""COMPUTED_VALUE"""),"Sin defenir")</f>
        <v>Sin defenir</v>
      </c>
      <c r="R1970" s="25"/>
      <c r="S1970" s="55"/>
      <c r="T1970" s="56"/>
      <c r="U1970" s="25"/>
      <c r="V1970" s="25"/>
      <c r="W1970" s="25"/>
      <c r="X1970" s="25"/>
      <c r="Y1970" s="25"/>
      <c r="Z1970" s="25"/>
    </row>
    <row r="1971" spans="1:26" ht="52.5" customHeight="1" x14ac:dyDescent="0.25">
      <c r="A1971" s="25" t="str">
        <f ca="1">IFERROR(__xludf.DUMMYFUNCTION("""COMPUTED_VALUE"""),"Desar169")</f>
        <v>Desar169</v>
      </c>
      <c r="B1971" s="25"/>
      <c r="C1971" s="55"/>
      <c r="D1971" s="25" t="str">
        <f ca="1">IFERROR(__xludf.DUMMYFUNCTION("""COMPUTED_VALUE"""),"Desarrollo_Económico")</f>
        <v>Desarrollo_Económico</v>
      </c>
      <c r="E1971" s="25"/>
      <c r="F1971" s="25"/>
      <c r="G1971" s="25"/>
      <c r="H1971" s="25"/>
      <c r="I1971" s="25"/>
      <c r="J1971" s="55"/>
      <c r="K1971" s="25" t="str">
        <f ca="1">IFERROR(__xludf.DUMMYFUNCTION("""COMPUTED_VALUE"""),"Definir fecha")</f>
        <v>Definir fecha</v>
      </c>
      <c r="L1971" s="62"/>
      <c r="M1971" s="25"/>
      <c r="N1971" s="25"/>
      <c r="O1971" s="25">
        <f t="shared" si="0"/>
        <v>0</v>
      </c>
      <c r="P1971" s="25" t="str">
        <f t="shared" si="2"/>
        <v/>
      </c>
      <c r="Q1971" s="25" t="str">
        <f ca="1">IFERROR(__xludf.DUMMYFUNCTION("""COMPUTED_VALUE"""),"Sin defenir")</f>
        <v>Sin defenir</v>
      </c>
      <c r="R1971" s="25"/>
      <c r="S1971" s="55"/>
      <c r="T1971" s="56"/>
      <c r="U1971" s="25"/>
      <c r="V1971" s="25"/>
      <c r="W1971" s="25"/>
      <c r="X1971" s="25"/>
      <c r="Y1971" s="25"/>
      <c r="Z1971" s="25"/>
    </row>
    <row r="1972" spans="1:26" ht="52.5" customHeight="1" x14ac:dyDescent="0.25">
      <c r="A1972" s="25" t="str">
        <f ca="1">IFERROR(__xludf.DUMMYFUNCTION("""COMPUTED_VALUE"""),"Desar170")</f>
        <v>Desar170</v>
      </c>
      <c r="B1972" s="25"/>
      <c r="C1972" s="55"/>
      <c r="D1972" s="25" t="str">
        <f ca="1">IFERROR(__xludf.DUMMYFUNCTION("""COMPUTED_VALUE"""),"Desarrollo_Económico")</f>
        <v>Desarrollo_Económico</v>
      </c>
      <c r="E1972" s="25"/>
      <c r="F1972" s="25"/>
      <c r="G1972" s="25"/>
      <c r="H1972" s="25"/>
      <c r="I1972" s="25"/>
      <c r="J1972" s="55"/>
      <c r="K1972" s="25" t="str">
        <f ca="1">IFERROR(__xludf.DUMMYFUNCTION("""COMPUTED_VALUE"""),"Definir fecha")</f>
        <v>Definir fecha</v>
      </c>
      <c r="L1972" s="62"/>
      <c r="M1972" s="25"/>
      <c r="N1972" s="25"/>
      <c r="O1972" s="25">
        <f t="shared" si="0"/>
        <v>0</v>
      </c>
      <c r="P1972" s="25" t="str">
        <f t="shared" si="2"/>
        <v/>
      </c>
      <c r="Q1972" s="25" t="str">
        <f ca="1">IFERROR(__xludf.DUMMYFUNCTION("""COMPUTED_VALUE"""),"Sin defenir")</f>
        <v>Sin defenir</v>
      </c>
      <c r="R1972" s="25"/>
      <c r="S1972" s="55"/>
      <c r="T1972" s="56"/>
      <c r="U1972" s="25"/>
      <c r="V1972" s="25"/>
      <c r="W1972" s="25"/>
      <c r="X1972" s="25"/>
      <c r="Y1972" s="25"/>
      <c r="Z1972" s="25"/>
    </row>
    <row r="1973" spans="1:26" ht="52.5" customHeight="1" x14ac:dyDescent="0.25">
      <c r="A1973" s="25" t="str">
        <f ca="1">IFERROR(__xludf.DUMMYFUNCTION("""COMPUTED_VALUE"""),"Desar171")</f>
        <v>Desar171</v>
      </c>
      <c r="B1973" s="25"/>
      <c r="C1973" s="55"/>
      <c r="D1973" s="25" t="str">
        <f ca="1">IFERROR(__xludf.DUMMYFUNCTION("""COMPUTED_VALUE"""),"Desarrollo_Económico")</f>
        <v>Desarrollo_Económico</v>
      </c>
      <c r="E1973" s="25"/>
      <c r="F1973" s="25"/>
      <c r="G1973" s="25"/>
      <c r="H1973" s="25"/>
      <c r="I1973" s="25"/>
      <c r="J1973" s="55"/>
      <c r="K1973" s="25" t="str">
        <f ca="1">IFERROR(__xludf.DUMMYFUNCTION("""COMPUTED_VALUE"""),"Definir fecha")</f>
        <v>Definir fecha</v>
      </c>
      <c r="L1973" s="62"/>
      <c r="M1973" s="25"/>
      <c r="N1973" s="25"/>
      <c r="O1973" s="25">
        <f t="shared" si="0"/>
        <v>0</v>
      </c>
      <c r="P1973" s="25" t="str">
        <f t="shared" si="2"/>
        <v/>
      </c>
      <c r="Q1973" s="25" t="str">
        <f ca="1">IFERROR(__xludf.DUMMYFUNCTION("""COMPUTED_VALUE"""),"Sin defenir")</f>
        <v>Sin defenir</v>
      </c>
      <c r="R1973" s="25"/>
      <c r="S1973" s="55"/>
      <c r="T1973" s="56"/>
      <c r="U1973" s="25"/>
      <c r="V1973" s="25"/>
      <c r="W1973" s="25"/>
      <c r="X1973" s="25"/>
      <c r="Y1973" s="25"/>
      <c r="Z1973" s="25"/>
    </row>
    <row r="1974" spans="1:26" ht="52.5" customHeight="1" x14ac:dyDescent="0.25">
      <c r="A1974" s="25" t="str">
        <f ca="1">IFERROR(__xludf.DUMMYFUNCTION("""COMPUTED_VALUE"""),"Desar172")</f>
        <v>Desar172</v>
      </c>
      <c r="B1974" s="25"/>
      <c r="C1974" s="55"/>
      <c r="D1974" s="25" t="str">
        <f ca="1">IFERROR(__xludf.DUMMYFUNCTION("""COMPUTED_VALUE"""),"Desarrollo_Económico")</f>
        <v>Desarrollo_Económico</v>
      </c>
      <c r="E1974" s="25"/>
      <c r="F1974" s="25"/>
      <c r="G1974" s="25"/>
      <c r="H1974" s="25"/>
      <c r="I1974" s="25"/>
      <c r="J1974" s="55"/>
      <c r="K1974" s="25" t="str">
        <f ca="1">IFERROR(__xludf.DUMMYFUNCTION("""COMPUTED_VALUE"""),"Definir fecha")</f>
        <v>Definir fecha</v>
      </c>
      <c r="L1974" s="62"/>
      <c r="M1974" s="25"/>
      <c r="N1974" s="25"/>
      <c r="O1974" s="25">
        <f t="shared" si="0"/>
        <v>0</v>
      </c>
      <c r="P1974" s="25" t="str">
        <f t="shared" si="2"/>
        <v/>
      </c>
      <c r="Q1974" s="25" t="str">
        <f ca="1">IFERROR(__xludf.DUMMYFUNCTION("""COMPUTED_VALUE"""),"Sin defenir")</f>
        <v>Sin defenir</v>
      </c>
      <c r="R1974" s="25"/>
      <c r="S1974" s="55"/>
      <c r="T1974" s="56"/>
      <c r="U1974" s="25"/>
      <c r="V1974" s="25"/>
      <c r="W1974" s="25"/>
      <c r="X1974" s="25"/>
      <c r="Y1974" s="25"/>
      <c r="Z1974" s="25"/>
    </row>
    <row r="1975" spans="1:26" ht="52.5" customHeight="1" x14ac:dyDescent="0.25">
      <c r="A1975" s="25" t="str">
        <f ca="1">IFERROR(__xludf.DUMMYFUNCTION("""COMPUTED_VALUE"""),"Desar173")</f>
        <v>Desar173</v>
      </c>
      <c r="B1975" s="25"/>
      <c r="C1975" s="55"/>
      <c r="D1975" s="25" t="str">
        <f ca="1">IFERROR(__xludf.DUMMYFUNCTION("""COMPUTED_VALUE"""),"Desarrollo_Económico")</f>
        <v>Desarrollo_Económico</v>
      </c>
      <c r="E1975" s="25"/>
      <c r="F1975" s="25"/>
      <c r="G1975" s="25"/>
      <c r="H1975" s="25"/>
      <c r="I1975" s="25"/>
      <c r="J1975" s="55"/>
      <c r="K1975" s="25" t="str">
        <f ca="1">IFERROR(__xludf.DUMMYFUNCTION("""COMPUTED_VALUE"""),"Definir fecha")</f>
        <v>Definir fecha</v>
      </c>
      <c r="L1975" s="62"/>
      <c r="M1975" s="25"/>
      <c r="N1975" s="25"/>
      <c r="O1975" s="25">
        <f t="shared" si="0"/>
        <v>0</v>
      </c>
      <c r="P1975" s="25" t="str">
        <f t="shared" si="2"/>
        <v/>
      </c>
      <c r="Q1975" s="25" t="str">
        <f ca="1">IFERROR(__xludf.DUMMYFUNCTION("""COMPUTED_VALUE"""),"Sin defenir")</f>
        <v>Sin defenir</v>
      </c>
      <c r="R1975" s="25"/>
      <c r="S1975" s="55"/>
      <c r="T1975" s="56"/>
      <c r="U1975" s="25"/>
      <c r="V1975" s="25"/>
      <c r="W1975" s="25"/>
      <c r="X1975" s="25"/>
      <c r="Y1975" s="25"/>
      <c r="Z1975" s="25"/>
    </row>
    <row r="1976" spans="1:26" ht="52.5" customHeight="1" x14ac:dyDescent="0.25">
      <c r="A1976" s="25" t="str">
        <f ca="1">IFERROR(__xludf.DUMMYFUNCTION("""COMPUTED_VALUE"""),"Desar174")</f>
        <v>Desar174</v>
      </c>
      <c r="B1976" s="25"/>
      <c r="C1976" s="55"/>
      <c r="D1976" s="25" t="str">
        <f ca="1">IFERROR(__xludf.DUMMYFUNCTION("""COMPUTED_VALUE"""),"Desarrollo_Económico")</f>
        <v>Desarrollo_Económico</v>
      </c>
      <c r="E1976" s="25"/>
      <c r="F1976" s="25"/>
      <c r="G1976" s="25"/>
      <c r="H1976" s="25"/>
      <c r="I1976" s="25"/>
      <c r="J1976" s="55"/>
      <c r="K1976" s="25" t="str">
        <f ca="1">IFERROR(__xludf.DUMMYFUNCTION("""COMPUTED_VALUE"""),"Definir fecha")</f>
        <v>Definir fecha</v>
      </c>
      <c r="L1976" s="62"/>
      <c r="M1976" s="25"/>
      <c r="N1976" s="25"/>
      <c r="O1976" s="25">
        <f t="shared" si="0"/>
        <v>0</v>
      </c>
      <c r="P1976" s="25" t="str">
        <f t="shared" si="2"/>
        <v/>
      </c>
      <c r="Q1976" s="25" t="str">
        <f ca="1">IFERROR(__xludf.DUMMYFUNCTION("""COMPUTED_VALUE"""),"Sin defenir")</f>
        <v>Sin defenir</v>
      </c>
      <c r="R1976" s="25"/>
      <c r="S1976" s="55"/>
      <c r="T1976" s="56"/>
      <c r="U1976" s="25"/>
      <c r="V1976" s="25"/>
      <c r="W1976" s="25"/>
      <c r="X1976" s="25"/>
      <c r="Y1976" s="25"/>
      <c r="Z1976" s="25"/>
    </row>
    <row r="1977" spans="1:26" ht="52.5" customHeight="1" x14ac:dyDescent="0.25">
      <c r="A1977" s="25" t="str">
        <f ca="1">IFERROR(__xludf.DUMMYFUNCTION("""COMPUTED_VALUE"""),"Desar175")</f>
        <v>Desar175</v>
      </c>
      <c r="B1977" s="25"/>
      <c r="C1977" s="55"/>
      <c r="D1977" s="25" t="str">
        <f ca="1">IFERROR(__xludf.DUMMYFUNCTION("""COMPUTED_VALUE"""),"Desarrollo_Económico")</f>
        <v>Desarrollo_Económico</v>
      </c>
      <c r="E1977" s="25"/>
      <c r="F1977" s="25"/>
      <c r="G1977" s="25"/>
      <c r="H1977" s="25"/>
      <c r="I1977" s="25"/>
      <c r="J1977" s="55"/>
      <c r="K1977" s="25" t="str">
        <f ca="1">IFERROR(__xludf.DUMMYFUNCTION("""COMPUTED_VALUE"""),"Definir fecha")</f>
        <v>Definir fecha</v>
      </c>
      <c r="L1977" s="62"/>
      <c r="M1977" s="25"/>
      <c r="N1977" s="25"/>
      <c r="O1977" s="25">
        <f t="shared" si="0"/>
        <v>0</v>
      </c>
      <c r="P1977" s="25" t="str">
        <f t="shared" si="2"/>
        <v/>
      </c>
      <c r="Q1977" s="25" t="str">
        <f ca="1">IFERROR(__xludf.DUMMYFUNCTION("""COMPUTED_VALUE"""),"Sin defenir")</f>
        <v>Sin defenir</v>
      </c>
      <c r="R1977" s="25"/>
      <c r="S1977" s="55"/>
      <c r="T1977" s="56"/>
      <c r="U1977" s="25"/>
      <c r="V1977" s="25"/>
      <c r="W1977" s="25"/>
      <c r="X1977" s="25"/>
      <c r="Y1977" s="25"/>
      <c r="Z1977" s="25"/>
    </row>
    <row r="1978" spans="1:26" ht="52.5" customHeight="1" x14ac:dyDescent="0.25">
      <c r="A1978" s="25" t="str">
        <f ca="1">IFERROR(__xludf.DUMMYFUNCTION("""COMPUTED_VALUE"""),"Desar176")</f>
        <v>Desar176</v>
      </c>
      <c r="B1978" s="25"/>
      <c r="C1978" s="55"/>
      <c r="D1978" s="25" t="str">
        <f ca="1">IFERROR(__xludf.DUMMYFUNCTION("""COMPUTED_VALUE"""),"Desarrollo_Económico")</f>
        <v>Desarrollo_Económico</v>
      </c>
      <c r="E1978" s="25"/>
      <c r="F1978" s="25"/>
      <c r="G1978" s="25"/>
      <c r="H1978" s="25"/>
      <c r="I1978" s="25"/>
      <c r="J1978" s="55"/>
      <c r="K1978" s="25" t="str">
        <f ca="1">IFERROR(__xludf.DUMMYFUNCTION("""COMPUTED_VALUE"""),"Definir fecha")</f>
        <v>Definir fecha</v>
      </c>
      <c r="L1978" s="62"/>
      <c r="M1978" s="25"/>
      <c r="N1978" s="25"/>
      <c r="O1978" s="25">
        <f t="shared" si="0"/>
        <v>0</v>
      </c>
      <c r="P1978" s="25" t="str">
        <f t="shared" si="2"/>
        <v/>
      </c>
      <c r="Q1978" s="25" t="str">
        <f ca="1">IFERROR(__xludf.DUMMYFUNCTION("""COMPUTED_VALUE"""),"Sin defenir")</f>
        <v>Sin defenir</v>
      </c>
      <c r="R1978" s="25"/>
      <c r="S1978" s="55"/>
      <c r="T1978" s="56"/>
      <c r="U1978" s="25"/>
      <c r="V1978" s="25"/>
      <c r="W1978" s="25"/>
      <c r="X1978" s="25"/>
      <c r="Y1978" s="25"/>
      <c r="Z1978" s="25"/>
    </row>
    <row r="1979" spans="1:26" ht="52.5" customHeight="1" x14ac:dyDescent="0.25">
      <c r="A1979" s="25" t="str">
        <f ca="1">IFERROR(__xludf.DUMMYFUNCTION("""COMPUTED_VALUE"""),"Desar177")</f>
        <v>Desar177</v>
      </c>
      <c r="B1979" s="25"/>
      <c r="C1979" s="55"/>
      <c r="D1979" s="25" t="str">
        <f ca="1">IFERROR(__xludf.DUMMYFUNCTION("""COMPUTED_VALUE"""),"Desarrollo_Económico")</f>
        <v>Desarrollo_Económico</v>
      </c>
      <c r="E1979" s="25"/>
      <c r="F1979" s="25"/>
      <c r="G1979" s="25"/>
      <c r="H1979" s="25"/>
      <c r="I1979" s="25"/>
      <c r="J1979" s="55"/>
      <c r="K1979" s="25" t="str">
        <f ca="1">IFERROR(__xludf.DUMMYFUNCTION("""COMPUTED_VALUE"""),"Definir fecha")</f>
        <v>Definir fecha</v>
      </c>
      <c r="L1979" s="62"/>
      <c r="M1979" s="25"/>
      <c r="N1979" s="25"/>
      <c r="O1979" s="25">
        <f t="shared" si="0"/>
        <v>0</v>
      </c>
      <c r="P1979" s="25" t="str">
        <f t="shared" si="2"/>
        <v/>
      </c>
      <c r="Q1979" s="25" t="str">
        <f ca="1">IFERROR(__xludf.DUMMYFUNCTION("""COMPUTED_VALUE"""),"Sin defenir")</f>
        <v>Sin defenir</v>
      </c>
      <c r="R1979" s="25"/>
      <c r="S1979" s="55"/>
      <c r="T1979" s="56"/>
      <c r="U1979" s="25"/>
      <c r="V1979" s="25"/>
      <c r="W1979" s="25"/>
      <c r="X1979" s="25"/>
      <c r="Y1979" s="25"/>
      <c r="Z1979" s="25"/>
    </row>
    <row r="1980" spans="1:26" ht="52.5" customHeight="1" x14ac:dyDescent="0.25">
      <c r="A1980" s="25" t="str">
        <f ca="1">IFERROR(__xludf.DUMMYFUNCTION("""COMPUTED_VALUE"""),"Desar178")</f>
        <v>Desar178</v>
      </c>
      <c r="B1980" s="25"/>
      <c r="C1980" s="55"/>
      <c r="D1980" s="25" t="str">
        <f ca="1">IFERROR(__xludf.DUMMYFUNCTION("""COMPUTED_VALUE"""),"Desarrollo_Económico")</f>
        <v>Desarrollo_Económico</v>
      </c>
      <c r="E1980" s="25"/>
      <c r="F1980" s="25"/>
      <c r="G1980" s="25"/>
      <c r="H1980" s="25"/>
      <c r="I1980" s="25"/>
      <c r="J1980" s="55"/>
      <c r="K1980" s="25" t="str">
        <f ca="1">IFERROR(__xludf.DUMMYFUNCTION("""COMPUTED_VALUE"""),"Definir fecha")</f>
        <v>Definir fecha</v>
      </c>
      <c r="L1980" s="62"/>
      <c r="M1980" s="25"/>
      <c r="N1980" s="25"/>
      <c r="O1980" s="25">
        <f t="shared" si="0"/>
        <v>0</v>
      </c>
      <c r="P1980" s="25" t="str">
        <f t="shared" si="2"/>
        <v/>
      </c>
      <c r="Q1980" s="25" t="str">
        <f ca="1">IFERROR(__xludf.DUMMYFUNCTION("""COMPUTED_VALUE"""),"Sin defenir")</f>
        <v>Sin defenir</v>
      </c>
      <c r="R1980" s="25"/>
      <c r="S1980" s="55"/>
      <c r="T1980" s="56"/>
      <c r="U1980" s="25"/>
      <c r="V1980" s="25"/>
      <c r="W1980" s="25"/>
      <c r="X1980" s="25"/>
      <c r="Y1980" s="25"/>
      <c r="Z1980" s="25"/>
    </row>
    <row r="1981" spans="1:26" ht="52.5" customHeight="1" x14ac:dyDescent="0.25">
      <c r="A1981" s="25" t="str">
        <f ca="1">IFERROR(__xludf.DUMMYFUNCTION("""COMPUTED_VALUE"""),"Desar179")</f>
        <v>Desar179</v>
      </c>
      <c r="B1981" s="25"/>
      <c r="C1981" s="55"/>
      <c r="D1981" s="25" t="str">
        <f ca="1">IFERROR(__xludf.DUMMYFUNCTION("""COMPUTED_VALUE"""),"Desarrollo_Económico")</f>
        <v>Desarrollo_Económico</v>
      </c>
      <c r="E1981" s="25"/>
      <c r="F1981" s="25"/>
      <c r="G1981" s="25"/>
      <c r="H1981" s="25"/>
      <c r="I1981" s="25"/>
      <c r="J1981" s="55"/>
      <c r="K1981" s="25" t="str">
        <f ca="1">IFERROR(__xludf.DUMMYFUNCTION("""COMPUTED_VALUE"""),"Definir fecha")</f>
        <v>Definir fecha</v>
      </c>
      <c r="L1981" s="62"/>
      <c r="M1981" s="25"/>
      <c r="N1981" s="25"/>
      <c r="O1981" s="25">
        <f t="shared" si="0"/>
        <v>0</v>
      </c>
      <c r="P1981" s="25" t="str">
        <f t="shared" si="2"/>
        <v/>
      </c>
      <c r="Q1981" s="25" t="str">
        <f ca="1">IFERROR(__xludf.DUMMYFUNCTION("""COMPUTED_VALUE"""),"Sin defenir")</f>
        <v>Sin defenir</v>
      </c>
      <c r="R1981" s="25"/>
      <c r="S1981" s="55"/>
      <c r="T1981" s="56"/>
      <c r="U1981" s="25"/>
      <c r="V1981" s="25"/>
      <c r="W1981" s="25"/>
      <c r="X1981" s="25"/>
      <c r="Y1981" s="25"/>
      <c r="Z1981" s="25"/>
    </row>
    <row r="1982" spans="1:26" ht="52.5" customHeight="1" x14ac:dyDescent="0.25">
      <c r="A1982" s="25" t="str">
        <f ca="1">IFERROR(__xludf.DUMMYFUNCTION("""COMPUTED_VALUE"""),"Desar180")</f>
        <v>Desar180</v>
      </c>
      <c r="B1982" s="25"/>
      <c r="C1982" s="55"/>
      <c r="D1982" s="25" t="str">
        <f ca="1">IFERROR(__xludf.DUMMYFUNCTION("""COMPUTED_VALUE"""),"Desarrollo_Económico")</f>
        <v>Desarrollo_Económico</v>
      </c>
      <c r="E1982" s="25"/>
      <c r="F1982" s="25"/>
      <c r="G1982" s="25"/>
      <c r="H1982" s="25"/>
      <c r="I1982" s="25"/>
      <c r="J1982" s="55"/>
      <c r="K1982" s="25" t="str">
        <f ca="1">IFERROR(__xludf.DUMMYFUNCTION("""COMPUTED_VALUE"""),"Definir fecha")</f>
        <v>Definir fecha</v>
      </c>
      <c r="L1982" s="62"/>
      <c r="M1982" s="25"/>
      <c r="N1982" s="25"/>
      <c r="O1982" s="25">
        <f t="shared" si="0"/>
        <v>0</v>
      </c>
      <c r="P1982" s="25" t="str">
        <f t="shared" si="2"/>
        <v/>
      </c>
      <c r="Q1982" s="25" t="str">
        <f ca="1">IFERROR(__xludf.DUMMYFUNCTION("""COMPUTED_VALUE"""),"Sin defenir")</f>
        <v>Sin defenir</v>
      </c>
      <c r="R1982" s="25"/>
      <c r="S1982" s="55"/>
      <c r="T1982" s="56"/>
      <c r="U1982" s="25"/>
      <c r="V1982" s="25"/>
      <c r="W1982" s="25"/>
      <c r="X1982" s="25"/>
      <c r="Y1982" s="25"/>
      <c r="Z1982" s="25"/>
    </row>
    <row r="1983" spans="1:26" ht="52.5" customHeight="1" x14ac:dyDescent="0.25">
      <c r="A1983" s="25" t="str">
        <f ca="1">IFERROR(__xludf.DUMMYFUNCTION("""COMPUTED_VALUE"""),"Desar181")</f>
        <v>Desar181</v>
      </c>
      <c r="B1983" s="25"/>
      <c r="C1983" s="55"/>
      <c r="D1983" s="25" t="str">
        <f ca="1">IFERROR(__xludf.DUMMYFUNCTION("""COMPUTED_VALUE"""),"Desarrollo_Económico")</f>
        <v>Desarrollo_Económico</v>
      </c>
      <c r="E1983" s="25"/>
      <c r="F1983" s="25"/>
      <c r="G1983" s="25"/>
      <c r="H1983" s="25"/>
      <c r="I1983" s="25"/>
      <c r="J1983" s="55"/>
      <c r="K1983" s="25" t="str">
        <f ca="1">IFERROR(__xludf.DUMMYFUNCTION("""COMPUTED_VALUE"""),"Definir fecha")</f>
        <v>Definir fecha</v>
      </c>
      <c r="L1983" s="62"/>
      <c r="M1983" s="25"/>
      <c r="N1983" s="25"/>
      <c r="O1983" s="25">
        <f t="shared" si="0"/>
        <v>0</v>
      </c>
      <c r="P1983" s="25" t="str">
        <f t="shared" si="2"/>
        <v/>
      </c>
      <c r="Q1983" s="25" t="str">
        <f ca="1">IFERROR(__xludf.DUMMYFUNCTION("""COMPUTED_VALUE"""),"Sin defenir")</f>
        <v>Sin defenir</v>
      </c>
      <c r="R1983" s="25"/>
      <c r="S1983" s="55"/>
      <c r="T1983" s="56"/>
      <c r="U1983" s="25"/>
      <c r="V1983" s="25"/>
      <c r="W1983" s="25"/>
      <c r="X1983" s="25"/>
      <c r="Y1983" s="25"/>
      <c r="Z1983" s="25"/>
    </row>
    <row r="1984" spans="1:26" ht="52.5" customHeight="1" x14ac:dyDescent="0.25">
      <c r="A1984" s="25" t="str">
        <f ca="1">IFERROR(__xludf.DUMMYFUNCTION("""COMPUTED_VALUE"""),"Desar182")</f>
        <v>Desar182</v>
      </c>
      <c r="B1984" s="25"/>
      <c r="C1984" s="55"/>
      <c r="D1984" s="25" t="str">
        <f ca="1">IFERROR(__xludf.DUMMYFUNCTION("""COMPUTED_VALUE"""),"Desarrollo_Económico")</f>
        <v>Desarrollo_Económico</v>
      </c>
      <c r="E1984" s="25"/>
      <c r="F1984" s="25"/>
      <c r="G1984" s="25"/>
      <c r="H1984" s="25"/>
      <c r="I1984" s="25"/>
      <c r="J1984" s="55"/>
      <c r="K1984" s="25" t="str">
        <f ca="1">IFERROR(__xludf.DUMMYFUNCTION("""COMPUTED_VALUE"""),"Definir fecha")</f>
        <v>Definir fecha</v>
      </c>
      <c r="L1984" s="62"/>
      <c r="M1984" s="25"/>
      <c r="N1984" s="25"/>
      <c r="O1984" s="25">
        <f t="shared" si="0"/>
        <v>0</v>
      </c>
      <c r="P1984" s="25" t="str">
        <f t="shared" si="2"/>
        <v/>
      </c>
      <c r="Q1984" s="25" t="str">
        <f ca="1">IFERROR(__xludf.DUMMYFUNCTION("""COMPUTED_VALUE"""),"Sin defenir")</f>
        <v>Sin defenir</v>
      </c>
      <c r="R1984" s="25"/>
      <c r="S1984" s="55"/>
      <c r="T1984" s="56"/>
      <c r="U1984" s="25"/>
      <c r="V1984" s="25"/>
      <c r="W1984" s="25"/>
      <c r="X1984" s="25"/>
      <c r="Y1984" s="25"/>
      <c r="Z1984" s="25"/>
    </row>
    <row r="1985" spans="1:26" ht="52.5" customHeight="1" x14ac:dyDescent="0.25">
      <c r="A1985" s="25" t="str">
        <f ca="1">IFERROR(__xludf.DUMMYFUNCTION("""COMPUTED_VALUE"""),"Desar183")</f>
        <v>Desar183</v>
      </c>
      <c r="B1985" s="25"/>
      <c r="C1985" s="55"/>
      <c r="D1985" s="25" t="str">
        <f ca="1">IFERROR(__xludf.DUMMYFUNCTION("""COMPUTED_VALUE"""),"Desarrollo_Económico")</f>
        <v>Desarrollo_Económico</v>
      </c>
      <c r="E1985" s="25"/>
      <c r="F1985" s="25"/>
      <c r="G1985" s="25"/>
      <c r="H1985" s="25"/>
      <c r="I1985" s="25"/>
      <c r="J1985" s="55"/>
      <c r="K1985" s="25" t="str">
        <f ca="1">IFERROR(__xludf.DUMMYFUNCTION("""COMPUTED_VALUE"""),"Definir fecha")</f>
        <v>Definir fecha</v>
      </c>
      <c r="L1985" s="62"/>
      <c r="M1985" s="25"/>
      <c r="N1985" s="25"/>
      <c r="O1985" s="25">
        <f t="shared" si="0"/>
        <v>0</v>
      </c>
      <c r="P1985" s="25" t="str">
        <f t="shared" si="2"/>
        <v/>
      </c>
      <c r="Q1985" s="25" t="str">
        <f ca="1">IFERROR(__xludf.DUMMYFUNCTION("""COMPUTED_VALUE"""),"Sin defenir")</f>
        <v>Sin defenir</v>
      </c>
      <c r="R1985" s="25"/>
      <c r="S1985" s="55"/>
      <c r="T1985" s="56"/>
      <c r="U1985" s="25"/>
      <c r="V1985" s="25"/>
      <c r="W1985" s="25"/>
      <c r="X1985" s="25"/>
      <c r="Y1985" s="25"/>
      <c r="Z1985" s="25"/>
    </row>
    <row r="1986" spans="1:26" ht="52.5" customHeight="1" x14ac:dyDescent="0.25">
      <c r="A1986" s="25" t="str">
        <f ca="1">IFERROR(__xludf.DUMMYFUNCTION("""COMPUTED_VALUE"""),"Desar184")</f>
        <v>Desar184</v>
      </c>
      <c r="B1986" s="25"/>
      <c r="C1986" s="55"/>
      <c r="D1986" s="25" t="str">
        <f ca="1">IFERROR(__xludf.DUMMYFUNCTION("""COMPUTED_VALUE"""),"Desarrollo_Económico")</f>
        <v>Desarrollo_Económico</v>
      </c>
      <c r="E1986" s="25"/>
      <c r="F1986" s="25"/>
      <c r="G1986" s="25"/>
      <c r="H1986" s="25"/>
      <c r="I1986" s="25"/>
      <c r="J1986" s="55"/>
      <c r="K1986" s="25" t="str">
        <f ca="1">IFERROR(__xludf.DUMMYFUNCTION("""COMPUTED_VALUE"""),"Definir fecha")</f>
        <v>Definir fecha</v>
      </c>
      <c r="L1986" s="62"/>
      <c r="M1986" s="25"/>
      <c r="N1986" s="25"/>
      <c r="O1986" s="25">
        <f t="shared" si="0"/>
        <v>0</v>
      </c>
      <c r="P1986" s="25" t="str">
        <f t="shared" si="2"/>
        <v/>
      </c>
      <c r="Q1986" s="25" t="str">
        <f ca="1">IFERROR(__xludf.DUMMYFUNCTION("""COMPUTED_VALUE"""),"Sin defenir")</f>
        <v>Sin defenir</v>
      </c>
      <c r="R1986" s="25"/>
      <c r="S1986" s="55"/>
      <c r="T1986" s="56"/>
      <c r="U1986" s="25"/>
      <c r="V1986" s="25"/>
      <c r="W1986" s="25"/>
      <c r="X1986" s="25"/>
      <c r="Y1986" s="25"/>
      <c r="Z1986" s="25"/>
    </row>
    <row r="1987" spans="1:26" ht="52.5" customHeight="1" x14ac:dyDescent="0.25">
      <c r="A1987" s="25" t="str">
        <f ca="1">IFERROR(__xludf.DUMMYFUNCTION("""COMPUTED_VALUE"""),"Desar185")</f>
        <v>Desar185</v>
      </c>
      <c r="B1987" s="25"/>
      <c r="C1987" s="55"/>
      <c r="D1987" s="25" t="str">
        <f ca="1">IFERROR(__xludf.DUMMYFUNCTION("""COMPUTED_VALUE"""),"Desarrollo_Económico")</f>
        <v>Desarrollo_Económico</v>
      </c>
      <c r="E1987" s="25"/>
      <c r="F1987" s="25"/>
      <c r="G1987" s="25"/>
      <c r="H1987" s="25"/>
      <c r="I1987" s="25"/>
      <c r="J1987" s="55"/>
      <c r="K1987" s="25" t="str">
        <f ca="1">IFERROR(__xludf.DUMMYFUNCTION("""COMPUTED_VALUE"""),"Definir fecha")</f>
        <v>Definir fecha</v>
      </c>
      <c r="L1987" s="62"/>
      <c r="M1987" s="25"/>
      <c r="N1987" s="25"/>
      <c r="O1987" s="25">
        <f t="shared" si="0"/>
        <v>0</v>
      </c>
      <c r="P1987" s="25" t="str">
        <f t="shared" si="2"/>
        <v/>
      </c>
      <c r="Q1987" s="25" t="str">
        <f ca="1">IFERROR(__xludf.DUMMYFUNCTION("""COMPUTED_VALUE"""),"Sin defenir")</f>
        <v>Sin defenir</v>
      </c>
      <c r="R1987" s="25"/>
      <c r="S1987" s="55"/>
      <c r="T1987" s="56"/>
      <c r="U1987" s="25"/>
      <c r="V1987" s="25"/>
      <c r="W1987" s="25"/>
      <c r="X1987" s="25"/>
      <c r="Y1987" s="25"/>
      <c r="Z1987" s="25"/>
    </row>
    <row r="1988" spans="1:26" ht="52.5" customHeight="1" x14ac:dyDescent="0.25">
      <c r="A1988" s="25" t="str">
        <f ca="1">IFERROR(__xludf.DUMMYFUNCTION("""COMPUTED_VALUE"""),"Desar186")</f>
        <v>Desar186</v>
      </c>
      <c r="B1988" s="25"/>
      <c r="C1988" s="55"/>
      <c r="D1988" s="25" t="str">
        <f ca="1">IFERROR(__xludf.DUMMYFUNCTION("""COMPUTED_VALUE"""),"Desarrollo_Económico")</f>
        <v>Desarrollo_Económico</v>
      </c>
      <c r="E1988" s="25"/>
      <c r="F1988" s="25"/>
      <c r="G1988" s="25"/>
      <c r="H1988" s="25"/>
      <c r="I1988" s="25"/>
      <c r="J1988" s="55"/>
      <c r="K1988" s="25" t="str">
        <f ca="1">IFERROR(__xludf.DUMMYFUNCTION("""COMPUTED_VALUE"""),"Definir fecha")</f>
        <v>Definir fecha</v>
      </c>
      <c r="L1988" s="62"/>
      <c r="M1988" s="25"/>
      <c r="N1988" s="25"/>
      <c r="O1988" s="25">
        <f t="shared" si="0"/>
        <v>0</v>
      </c>
      <c r="P1988" s="25" t="str">
        <f t="shared" si="2"/>
        <v/>
      </c>
      <c r="Q1988" s="25" t="str">
        <f ca="1">IFERROR(__xludf.DUMMYFUNCTION("""COMPUTED_VALUE"""),"Sin defenir")</f>
        <v>Sin defenir</v>
      </c>
      <c r="R1988" s="25"/>
      <c r="S1988" s="55"/>
      <c r="T1988" s="56"/>
      <c r="U1988" s="25"/>
      <c r="V1988" s="25"/>
      <c r="W1988" s="25"/>
      <c r="X1988" s="25"/>
      <c r="Y1988" s="25"/>
      <c r="Z1988" s="25"/>
    </row>
    <row r="1989" spans="1:26" ht="52.5" customHeight="1" x14ac:dyDescent="0.25">
      <c r="A1989" s="25" t="str">
        <f ca="1">IFERROR(__xludf.DUMMYFUNCTION("""COMPUTED_VALUE"""),"Desar187")</f>
        <v>Desar187</v>
      </c>
      <c r="B1989" s="25"/>
      <c r="C1989" s="55"/>
      <c r="D1989" s="25" t="str">
        <f ca="1">IFERROR(__xludf.DUMMYFUNCTION("""COMPUTED_VALUE"""),"Desarrollo_Económico")</f>
        <v>Desarrollo_Económico</v>
      </c>
      <c r="E1989" s="25"/>
      <c r="F1989" s="25"/>
      <c r="G1989" s="25"/>
      <c r="H1989" s="25"/>
      <c r="I1989" s="25"/>
      <c r="J1989" s="55"/>
      <c r="K1989" s="25" t="str">
        <f ca="1">IFERROR(__xludf.DUMMYFUNCTION("""COMPUTED_VALUE"""),"Definir fecha")</f>
        <v>Definir fecha</v>
      </c>
      <c r="L1989" s="62"/>
      <c r="M1989" s="25"/>
      <c r="N1989" s="25"/>
      <c r="O1989" s="25">
        <f t="shared" si="0"/>
        <v>0</v>
      </c>
      <c r="P1989" s="25" t="str">
        <f t="shared" si="2"/>
        <v/>
      </c>
      <c r="Q1989" s="25" t="str">
        <f ca="1">IFERROR(__xludf.DUMMYFUNCTION("""COMPUTED_VALUE"""),"Sin defenir")</f>
        <v>Sin defenir</v>
      </c>
      <c r="R1989" s="25"/>
      <c r="S1989" s="55"/>
      <c r="T1989" s="56"/>
      <c r="U1989" s="25"/>
      <c r="V1989" s="25"/>
      <c r="W1989" s="25"/>
      <c r="X1989" s="25"/>
      <c r="Y1989" s="25"/>
      <c r="Z1989" s="25"/>
    </row>
    <row r="1990" spans="1:26" ht="52.5" customHeight="1" x14ac:dyDescent="0.25">
      <c r="A1990" s="25" t="str">
        <f ca="1">IFERROR(__xludf.DUMMYFUNCTION("""COMPUTED_VALUE"""),"Desar188")</f>
        <v>Desar188</v>
      </c>
      <c r="B1990" s="25"/>
      <c r="C1990" s="55"/>
      <c r="D1990" s="25" t="str">
        <f ca="1">IFERROR(__xludf.DUMMYFUNCTION("""COMPUTED_VALUE"""),"Desarrollo_Económico")</f>
        <v>Desarrollo_Económico</v>
      </c>
      <c r="E1990" s="25"/>
      <c r="F1990" s="25"/>
      <c r="G1990" s="25"/>
      <c r="H1990" s="25"/>
      <c r="I1990" s="25"/>
      <c r="J1990" s="55"/>
      <c r="K1990" s="25" t="str">
        <f ca="1">IFERROR(__xludf.DUMMYFUNCTION("""COMPUTED_VALUE"""),"Definir fecha")</f>
        <v>Definir fecha</v>
      </c>
      <c r="L1990" s="62"/>
      <c r="M1990" s="25"/>
      <c r="N1990" s="25"/>
      <c r="O1990" s="25">
        <f t="shared" si="0"/>
        <v>0</v>
      </c>
      <c r="P1990" s="25" t="str">
        <f t="shared" si="2"/>
        <v/>
      </c>
      <c r="Q1990" s="25" t="str">
        <f ca="1">IFERROR(__xludf.DUMMYFUNCTION("""COMPUTED_VALUE"""),"Sin defenir")</f>
        <v>Sin defenir</v>
      </c>
      <c r="R1990" s="25"/>
      <c r="S1990" s="55"/>
      <c r="T1990" s="56"/>
      <c r="U1990" s="25"/>
      <c r="V1990" s="25"/>
      <c r="W1990" s="25"/>
      <c r="X1990" s="25"/>
      <c r="Y1990" s="25"/>
      <c r="Z1990" s="25"/>
    </row>
    <row r="1991" spans="1:26" ht="52.5" customHeight="1" x14ac:dyDescent="0.25">
      <c r="A1991" s="25" t="str">
        <f ca="1">IFERROR(__xludf.DUMMYFUNCTION("""COMPUTED_VALUE"""),"Desar189")</f>
        <v>Desar189</v>
      </c>
      <c r="B1991" s="25"/>
      <c r="C1991" s="55"/>
      <c r="D1991" s="25" t="str">
        <f ca="1">IFERROR(__xludf.DUMMYFUNCTION("""COMPUTED_VALUE"""),"Desarrollo_Económico")</f>
        <v>Desarrollo_Económico</v>
      </c>
      <c r="E1991" s="25"/>
      <c r="F1991" s="25"/>
      <c r="G1991" s="25"/>
      <c r="H1991" s="25"/>
      <c r="I1991" s="25"/>
      <c r="J1991" s="55"/>
      <c r="K1991" s="25" t="str">
        <f ca="1">IFERROR(__xludf.DUMMYFUNCTION("""COMPUTED_VALUE"""),"Definir fecha")</f>
        <v>Definir fecha</v>
      </c>
      <c r="L1991" s="62"/>
      <c r="M1991" s="25"/>
      <c r="N1991" s="25"/>
      <c r="O1991" s="25">
        <f t="shared" si="0"/>
        <v>0</v>
      </c>
      <c r="P1991" s="25" t="str">
        <f t="shared" si="2"/>
        <v/>
      </c>
      <c r="Q1991" s="25" t="str">
        <f ca="1">IFERROR(__xludf.DUMMYFUNCTION("""COMPUTED_VALUE"""),"Sin defenir")</f>
        <v>Sin defenir</v>
      </c>
      <c r="R1991" s="25"/>
      <c r="S1991" s="55"/>
      <c r="T1991" s="56"/>
      <c r="U1991" s="25"/>
      <c r="V1991" s="25"/>
      <c r="W1991" s="25"/>
      <c r="X1991" s="25"/>
      <c r="Y1991" s="25"/>
      <c r="Z1991" s="25"/>
    </row>
    <row r="1992" spans="1:26" ht="52.5" customHeight="1" x14ac:dyDescent="0.25">
      <c r="A1992" s="25" t="str">
        <f ca="1">IFERROR(__xludf.DUMMYFUNCTION("""COMPUTED_VALUE"""),"Desar190")</f>
        <v>Desar190</v>
      </c>
      <c r="B1992" s="25"/>
      <c r="C1992" s="55"/>
      <c r="D1992" s="25" t="str">
        <f ca="1">IFERROR(__xludf.DUMMYFUNCTION("""COMPUTED_VALUE"""),"Desarrollo_Económico")</f>
        <v>Desarrollo_Económico</v>
      </c>
      <c r="E1992" s="25"/>
      <c r="F1992" s="25"/>
      <c r="G1992" s="25"/>
      <c r="H1992" s="25"/>
      <c r="I1992" s="25"/>
      <c r="J1992" s="55"/>
      <c r="K1992" s="25" t="str">
        <f ca="1">IFERROR(__xludf.DUMMYFUNCTION("""COMPUTED_VALUE"""),"Definir fecha")</f>
        <v>Definir fecha</v>
      </c>
      <c r="L1992" s="62"/>
      <c r="M1992" s="25"/>
      <c r="N1992" s="25"/>
      <c r="O1992" s="25">
        <f t="shared" si="0"/>
        <v>0</v>
      </c>
      <c r="P1992" s="25" t="str">
        <f t="shared" si="2"/>
        <v/>
      </c>
      <c r="Q1992" s="25" t="str">
        <f ca="1">IFERROR(__xludf.DUMMYFUNCTION("""COMPUTED_VALUE"""),"Sin defenir")</f>
        <v>Sin defenir</v>
      </c>
      <c r="R1992" s="25"/>
      <c r="S1992" s="55"/>
      <c r="T1992" s="56"/>
      <c r="U1992" s="25"/>
      <c r="V1992" s="25"/>
      <c r="W1992" s="25"/>
      <c r="X1992" s="25"/>
      <c r="Y1992" s="25"/>
      <c r="Z1992" s="25"/>
    </row>
    <row r="1993" spans="1:26" ht="52.5" customHeight="1" x14ac:dyDescent="0.25">
      <c r="A1993" s="25" t="str">
        <f ca="1">IFERROR(__xludf.DUMMYFUNCTION("""COMPUTED_VALUE"""),"Desar191")</f>
        <v>Desar191</v>
      </c>
      <c r="B1993" s="25"/>
      <c r="C1993" s="55"/>
      <c r="D1993" s="25" t="str">
        <f ca="1">IFERROR(__xludf.DUMMYFUNCTION("""COMPUTED_VALUE"""),"Desarrollo_Económico")</f>
        <v>Desarrollo_Económico</v>
      </c>
      <c r="E1993" s="25"/>
      <c r="F1993" s="25"/>
      <c r="G1993" s="25"/>
      <c r="H1993" s="25"/>
      <c r="I1993" s="25"/>
      <c r="J1993" s="55"/>
      <c r="K1993" s="25" t="str">
        <f ca="1">IFERROR(__xludf.DUMMYFUNCTION("""COMPUTED_VALUE"""),"Definir fecha")</f>
        <v>Definir fecha</v>
      </c>
      <c r="L1993" s="62"/>
      <c r="M1993" s="25"/>
      <c r="N1993" s="25"/>
      <c r="O1993" s="25">
        <f t="shared" si="0"/>
        <v>0</v>
      </c>
      <c r="P1993" s="25" t="str">
        <f t="shared" si="2"/>
        <v/>
      </c>
      <c r="Q1993" s="25" t="str">
        <f ca="1">IFERROR(__xludf.DUMMYFUNCTION("""COMPUTED_VALUE"""),"Sin defenir")</f>
        <v>Sin defenir</v>
      </c>
      <c r="R1993" s="25"/>
      <c r="S1993" s="55"/>
      <c r="T1993" s="56"/>
      <c r="U1993" s="25"/>
      <c r="V1993" s="25"/>
      <c r="W1993" s="25"/>
      <c r="X1993" s="25"/>
      <c r="Y1993" s="25"/>
      <c r="Z1993" s="25"/>
    </row>
    <row r="1994" spans="1:26" ht="52.5" customHeight="1" x14ac:dyDescent="0.25">
      <c r="A1994" s="25" t="str">
        <f ca="1">IFERROR(__xludf.DUMMYFUNCTION("""COMPUTED_VALUE"""),"Desar192")</f>
        <v>Desar192</v>
      </c>
      <c r="B1994" s="25"/>
      <c r="C1994" s="55"/>
      <c r="D1994" s="25" t="str">
        <f ca="1">IFERROR(__xludf.DUMMYFUNCTION("""COMPUTED_VALUE"""),"Desarrollo_Económico")</f>
        <v>Desarrollo_Económico</v>
      </c>
      <c r="E1994" s="25"/>
      <c r="F1994" s="25"/>
      <c r="G1994" s="25"/>
      <c r="H1994" s="25"/>
      <c r="I1994" s="25"/>
      <c r="J1994" s="55"/>
      <c r="K1994" s="25" t="str">
        <f ca="1">IFERROR(__xludf.DUMMYFUNCTION("""COMPUTED_VALUE"""),"Definir fecha")</f>
        <v>Definir fecha</v>
      </c>
      <c r="L1994" s="62"/>
      <c r="M1994" s="25"/>
      <c r="N1994" s="25"/>
      <c r="O1994" s="25">
        <f t="shared" si="0"/>
        <v>0</v>
      </c>
      <c r="P1994" s="25" t="str">
        <f t="shared" si="2"/>
        <v/>
      </c>
      <c r="Q1994" s="25" t="str">
        <f ca="1">IFERROR(__xludf.DUMMYFUNCTION("""COMPUTED_VALUE"""),"Sin defenir")</f>
        <v>Sin defenir</v>
      </c>
      <c r="R1994" s="25"/>
      <c r="S1994" s="55"/>
      <c r="T1994" s="56"/>
      <c r="U1994" s="25"/>
      <c r="V1994" s="25"/>
      <c r="W1994" s="25"/>
      <c r="X1994" s="25"/>
      <c r="Y1994" s="25"/>
      <c r="Z1994" s="25"/>
    </row>
    <row r="1995" spans="1:26" ht="52.5" customHeight="1" x14ac:dyDescent="0.25">
      <c r="A1995" s="25" t="str">
        <f ca="1">IFERROR(__xludf.DUMMYFUNCTION("""COMPUTED_VALUE"""),"Desar193")</f>
        <v>Desar193</v>
      </c>
      <c r="B1995" s="25"/>
      <c r="C1995" s="55"/>
      <c r="D1995" s="25" t="str">
        <f ca="1">IFERROR(__xludf.DUMMYFUNCTION("""COMPUTED_VALUE"""),"Desarrollo_Económico")</f>
        <v>Desarrollo_Económico</v>
      </c>
      <c r="E1995" s="25"/>
      <c r="F1995" s="25"/>
      <c r="G1995" s="25"/>
      <c r="H1995" s="25"/>
      <c r="I1995" s="25"/>
      <c r="J1995" s="55"/>
      <c r="K1995" s="25" t="str">
        <f ca="1">IFERROR(__xludf.DUMMYFUNCTION("""COMPUTED_VALUE"""),"Definir fecha")</f>
        <v>Definir fecha</v>
      </c>
      <c r="L1995" s="62"/>
      <c r="M1995" s="25"/>
      <c r="N1995" s="25"/>
      <c r="O1995" s="25">
        <f t="shared" si="0"/>
        <v>0</v>
      </c>
      <c r="P1995" s="25" t="str">
        <f t="shared" si="2"/>
        <v/>
      </c>
      <c r="Q1995" s="25" t="str">
        <f ca="1">IFERROR(__xludf.DUMMYFUNCTION("""COMPUTED_VALUE"""),"Sin defenir")</f>
        <v>Sin defenir</v>
      </c>
      <c r="R1995" s="25"/>
      <c r="S1995" s="55"/>
      <c r="T1995" s="56"/>
      <c r="U1995" s="25"/>
      <c r="V1995" s="25"/>
      <c r="W1995" s="25"/>
      <c r="X1995" s="25"/>
      <c r="Y1995" s="25"/>
      <c r="Z1995" s="25"/>
    </row>
    <row r="1996" spans="1:26" ht="52.5" customHeight="1" x14ac:dyDescent="0.25">
      <c r="A1996" s="25" t="str">
        <f ca="1">IFERROR(__xludf.DUMMYFUNCTION("""COMPUTED_VALUE"""),"Desar194")</f>
        <v>Desar194</v>
      </c>
      <c r="B1996" s="25"/>
      <c r="C1996" s="55"/>
      <c r="D1996" s="25" t="str">
        <f ca="1">IFERROR(__xludf.DUMMYFUNCTION("""COMPUTED_VALUE"""),"Desarrollo_Económico")</f>
        <v>Desarrollo_Económico</v>
      </c>
      <c r="E1996" s="25"/>
      <c r="F1996" s="25"/>
      <c r="G1996" s="25"/>
      <c r="H1996" s="25"/>
      <c r="I1996" s="25"/>
      <c r="J1996" s="55"/>
      <c r="K1996" s="25" t="str">
        <f ca="1">IFERROR(__xludf.DUMMYFUNCTION("""COMPUTED_VALUE"""),"Definir fecha")</f>
        <v>Definir fecha</v>
      </c>
      <c r="L1996" s="62"/>
      <c r="M1996" s="25"/>
      <c r="N1996" s="25"/>
      <c r="O1996" s="25">
        <f t="shared" si="0"/>
        <v>0</v>
      </c>
      <c r="P1996" s="25" t="str">
        <f t="shared" si="2"/>
        <v/>
      </c>
      <c r="Q1996" s="25" t="str">
        <f ca="1">IFERROR(__xludf.DUMMYFUNCTION("""COMPUTED_VALUE"""),"Sin defenir")</f>
        <v>Sin defenir</v>
      </c>
      <c r="R1996" s="25"/>
      <c r="S1996" s="55"/>
      <c r="T1996" s="56"/>
      <c r="U1996" s="25"/>
      <c r="V1996" s="25"/>
      <c r="W1996" s="25"/>
      <c r="X1996" s="25"/>
      <c r="Y1996" s="25"/>
      <c r="Z1996" s="25"/>
    </row>
    <row r="1997" spans="1:26" ht="52.5" customHeight="1" x14ac:dyDescent="0.25">
      <c r="A1997" s="25" t="str">
        <f ca="1">IFERROR(__xludf.DUMMYFUNCTION("""COMPUTED_VALUE"""),"Desar195")</f>
        <v>Desar195</v>
      </c>
      <c r="B1997" s="25"/>
      <c r="C1997" s="55"/>
      <c r="D1997" s="25" t="str">
        <f ca="1">IFERROR(__xludf.DUMMYFUNCTION("""COMPUTED_VALUE"""),"Desarrollo_Económico")</f>
        <v>Desarrollo_Económico</v>
      </c>
      <c r="E1997" s="25"/>
      <c r="F1997" s="25"/>
      <c r="G1997" s="25"/>
      <c r="H1997" s="25"/>
      <c r="I1997" s="25"/>
      <c r="J1997" s="55"/>
      <c r="K1997" s="25" t="str">
        <f ca="1">IFERROR(__xludf.DUMMYFUNCTION("""COMPUTED_VALUE"""),"Definir fecha")</f>
        <v>Definir fecha</v>
      </c>
      <c r="L1997" s="62"/>
      <c r="M1997" s="25"/>
      <c r="N1997" s="25"/>
      <c r="O1997" s="25">
        <f t="shared" si="0"/>
        <v>0</v>
      </c>
      <c r="P1997" s="25" t="str">
        <f t="shared" si="2"/>
        <v/>
      </c>
      <c r="Q1997" s="25" t="str">
        <f ca="1">IFERROR(__xludf.DUMMYFUNCTION("""COMPUTED_VALUE"""),"Sin defenir")</f>
        <v>Sin defenir</v>
      </c>
      <c r="R1997" s="25"/>
      <c r="S1997" s="55"/>
      <c r="T1997" s="56"/>
      <c r="U1997" s="25"/>
      <c r="V1997" s="25"/>
      <c r="W1997" s="25"/>
      <c r="X1997" s="25"/>
      <c r="Y1997" s="25"/>
      <c r="Z1997" s="25"/>
    </row>
    <row r="1998" spans="1:26" ht="52.5" customHeight="1" x14ac:dyDescent="0.25">
      <c r="A1998" s="25" t="str">
        <f ca="1">IFERROR(__xludf.DUMMYFUNCTION("""COMPUTED_VALUE"""),"Desar196")</f>
        <v>Desar196</v>
      </c>
      <c r="B1998" s="25"/>
      <c r="C1998" s="55"/>
      <c r="D1998" s="25" t="str">
        <f ca="1">IFERROR(__xludf.DUMMYFUNCTION("""COMPUTED_VALUE"""),"Desarrollo_Económico")</f>
        <v>Desarrollo_Económico</v>
      </c>
      <c r="E1998" s="25"/>
      <c r="F1998" s="25"/>
      <c r="G1998" s="25"/>
      <c r="H1998" s="25"/>
      <c r="I1998" s="25"/>
      <c r="J1998" s="55"/>
      <c r="K1998" s="25" t="str">
        <f ca="1">IFERROR(__xludf.DUMMYFUNCTION("""COMPUTED_VALUE"""),"Definir fecha")</f>
        <v>Definir fecha</v>
      </c>
      <c r="L1998" s="62"/>
      <c r="M1998" s="25"/>
      <c r="N1998" s="25"/>
      <c r="O1998" s="25">
        <f t="shared" si="0"/>
        <v>0</v>
      </c>
      <c r="P1998" s="25" t="str">
        <f t="shared" si="2"/>
        <v/>
      </c>
      <c r="Q1998" s="25" t="str">
        <f ca="1">IFERROR(__xludf.DUMMYFUNCTION("""COMPUTED_VALUE"""),"Sin defenir")</f>
        <v>Sin defenir</v>
      </c>
      <c r="R1998" s="25"/>
      <c r="S1998" s="55"/>
      <c r="T1998" s="56"/>
      <c r="U1998" s="25"/>
      <c r="V1998" s="25"/>
      <c r="W1998" s="25"/>
      <c r="X1998" s="25"/>
      <c r="Y1998" s="25"/>
      <c r="Z1998" s="25"/>
    </row>
    <row r="1999" spans="1:26" ht="52.5" customHeight="1" x14ac:dyDescent="0.25">
      <c r="A1999" s="25" t="str">
        <f ca="1">IFERROR(__xludf.DUMMYFUNCTION("""COMPUTED_VALUE"""),"Desar197")</f>
        <v>Desar197</v>
      </c>
      <c r="B1999" s="25"/>
      <c r="C1999" s="55"/>
      <c r="D1999" s="25" t="str">
        <f ca="1">IFERROR(__xludf.DUMMYFUNCTION("""COMPUTED_VALUE"""),"Desarrollo_Económico")</f>
        <v>Desarrollo_Económico</v>
      </c>
      <c r="E1999" s="25"/>
      <c r="F1999" s="25"/>
      <c r="G1999" s="25"/>
      <c r="H1999" s="25"/>
      <c r="I1999" s="25"/>
      <c r="J1999" s="55"/>
      <c r="K1999" s="25" t="str">
        <f ca="1">IFERROR(__xludf.DUMMYFUNCTION("""COMPUTED_VALUE"""),"Definir fecha")</f>
        <v>Definir fecha</v>
      </c>
      <c r="L1999" s="62"/>
      <c r="M1999" s="25"/>
      <c r="N1999" s="25"/>
      <c r="O1999" s="25">
        <f t="shared" si="0"/>
        <v>0</v>
      </c>
      <c r="P1999" s="25" t="str">
        <f t="shared" si="2"/>
        <v/>
      </c>
      <c r="Q1999" s="25" t="str">
        <f ca="1">IFERROR(__xludf.DUMMYFUNCTION("""COMPUTED_VALUE"""),"Sin defenir")</f>
        <v>Sin defenir</v>
      </c>
      <c r="R1999" s="25"/>
      <c r="S1999" s="55"/>
      <c r="T1999" s="56"/>
      <c r="U1999" s="25"/>
      <c r="V1999" s="25"/>
      <c r="W1999" s="25"/>
      <c r="X1999" s="25"/>
      <c r="Y1999" s="25"/>
      <c r="Z1999" s="25"/>
    </row>
    <row r="2000" spans="1:26" ht="52.5" customHeight="1" x14ac:dyDescent="0.25">
      <c r="A2000" s="25" t="str">
        <f ca="1">IFERROR(__xludf.DUMMYFUNCTION("""COMPUTED_VALUE"""),"Desar198")</f>
        <v>Desar198</v>
      </c>
      <c r="B2000" s="25"/>
      <c r="C2000" s="55"/>
      <c r="D2000" s="25" t="str">
        <f ca="1">IFERROR(__xludf.DUMMYFUNCTION("""COMPUTED_VALUE"""),"Desarrollo_Económico")</f>
        <v>Desarrollo_Económico</v>
      </c>
      <c r="E2000" s="25"/>
      <c r="F2000" s="25"/>
      <c r="G2000" s="25"/>
      <c r="H2000" s="25"/>
      <c r="I2000" s="25"/>
      <c r="J2000" s="55"/>
      <c r="K2000" s="25" t="str">
        <f ca="1">IFERROR(__xludf.DUMMYFUNCTION("""COMPUTED_VALUE"""),"Definir fecha")</f>
        <v>Definir fecha</v>
      </c>
      <c r="L2000" s="62"/>
      <c r="M2000" s="25"/>
      <c r="N2000" s="25"/>
      <c r="O2000" s="25">
        <f t="shared" si="0"/>
        <v>0</v>
      </c>
      <c r="P2000" s="25" t="str">
        <f t="shared" si="2"/>
        <v/>
      </c>
      <c r="Q2000" s="25" t="str">
        <f ca="1">IFERROR(__xludf.DUMMYFUNCTION("""COMPUTED_VALUE"""),"Sin defenir")</f>
        <v>Sin defenir</v>
      </c>
      <c r="R2000" s="25"/>
      <c r="S2000" s="55"/>
      <c r="T2000" s="56"/>
      <c r="U2000" s="25"/>
      <c r="V2000" s="25"/>
      <c r="W2000" s="25"/>
      <c r="X2000" s="25"/>
      <c r="Y2000" s="25"/>
      <c r="Z2000" s="25"/>
    </row>
    <row r="2001" spans="1:26" ht="52.5" customHeight="1" x14ac:dyDescent="0.25">
      <c r="A2001" s="25" t="str">
        <f ca="1">IFERROR(__xludf.DUMMYFUNCTION("""COMPUTED_VALUE"""),"Desar199")</f>
        <v>Desar199</v>
      </c>
      <c r="B2001" s="25"/>
      <c r="C2001" s="55"/>
      <c r="D2001" s="25" t="str">
        <f ca="1">IFERROR(__xludf.DUMMYFUNCTION("""COMPUTED_VALUE"""),"Desarrollo_Económico")</f>
        <v>Desarrollo_Económico</v>
      </c>
      <c r="E2001" s="25"/>
      <c r="F2001" s="25"/>
      <c r="G2001" s="25"/>
      <c r="H2001" s="25"/>
      <c r="I2001" s="25"/>
      <c r="J2001" s="55"/>
      <c r="K2001" s="25" t="str">
        <f ca="1">IFERROR(__xludf.DUMMYFUNCTION("""COMPUTED_VALUE"""),"Definir fecha")</f>
        <v>Definir fecha</v>
      </c>
      <c r="L2001" s="62"/>
      <c r="M2001" s="25"/>
      <c r="N2001" s="25"/>
      <c r="O2001" s="25">
        <f t="shared" si="0"/>
        <v>0</v>
      </c>
      <c r="P2001" s="25" t="str">
        <f t="shared" si="2"/>
        <v/>
      </c>
      <c r="Q2001" s="25" t="str">
        <f ca="1">IFERROR(__xludf.DUMMYFUNCTION("""COMPUTED_VALUE"""),"Sin defenir")</f>
        <v>Sin defenir</v>
      </c>
      <c r="R2001" s="25"/>
      <c r="S2001" s="55"/>
      <c r="T2001" s="56"/>
      <c r="U2001" s="25"/>
      <c r="V2001" s="25"/>
      <c r="W2001" s="25"/>
      <c r="X2001" s="25"/>
      <c r="Y2001" s="25"/>
      <c r="Z2001" s="25"/>
    </row>
    <row r="2002" spans="1:26" ht="52.5" customHeight="1" x14ac:dyDescent="0.25">
      <c r="A2002" s="25" t="str">
        <f ca="1">IFERROR(__xludf.DUMMYFUNCTION("""COMPUTED_VALUE"""),"Desar200")</f>
        <v>Desar200</v>
      </c>
      <c r="B2002" s="25"/>
      <c r="C2002" s="55"/>
      <c r="D2002" s="25" t="str">
        <f ca="1">IFERROR(__xludf.DUMMYFUNCTION("""COMPUTED_VALUE"""),"Desarrollo_Económico")</f>
        <v>Desarrollo_Económico</v>
      </c>
      <c r="E2002" s="25"/>
      <c r="F2002" s="25"/>
      <c r="G2002" s="25"/>
      <c r="H2002" s="25"/>
      <c r="I2002" s="25"/>
      <c r="J2002" s="55"/>
      <c r="K2002" s="25" t="str">
        <f ca="1">IFERROR(__xludf.DUMMYFUNCTION("""COMPUTED_VALUE"""),"Definir fecha")</f>
        <v>Definir fecha</v>
      </c>
      <c r="L2002" s="62"/>
      <c r="M2002" s="25"/>
      <c r="N2002" s="25"/>
      <c r="O2002" s="25">
        <f t="shared" si="0"/>
        <v>0</v>
      </c>
      <c r="P2002" s="25" t="str">
        <f t="shared" si="2"/>
        <v/>
      </c>
      <c r="Q2002" s="25" t="str">
        <f ca="1">IFERROR(__xludf.DUMMYFUNCTION("""COMPUTED_VALUE"""),"Sin defenir")</f>
        <v>Sin defenir</v>
      </c>
      <c r="R2002" s="25"/>
      <c r="S2002" s="55"/>
      <c r="T2002" s="56"/>
      <c r="U2002" s="25"/>
      <c r="V2002" s="25"/>
      <c r="W2002" s="25"/>
      <c r="X2002" s="25"/>
      <c r="Y2002" s="25"/>
      <c r="Z2002" s="25"/>
    </row>
    <row r="2003" spans="1:26" ht="52.5" customHeight="1" x14ac:dyDescent="0.25">
      <c r="A2003" s="25" t="str">
        <f ca="1">IFERROR(__xludf.DUMMYFUNCTION("""COMPUTED_VALUE"""),"Desar201")</f>
        <v>Desar201</v>
      </c>
      <c r="B2003" s="25"/>
      <c r="C2003" s="55"/>
      <c r="D2003" s="25" t="str">
        <f ca="1">IFERROR(__xludf.DUMMYFUNCTION("""COMPUTED_VALUE"""),"Desarrollo_Económico")</f>
        <v>Desarrollo_Económico</v>
      </c>
      <c r="E2003" s="25"/>
      <c r="F2003" s="25"/>
      <c r="G2003" s="25"/>
      <c r="H2003" s="25"/>
      <c r="I2003" s="25"/>
      <c r="J2003" s="55"/>
      <c r="K2003" s="25" t="str">
        <f ca="1">IFERROR(__xludf.DUMMYFUNCTION("""COMPUTED_VALUE"""),"Definir fecha")</f>
        <v>Definir fecha</v>
      </c>
      <c r="L2003" s="62"/>
      <c r="M2003" s="25"/>
      <c r="N2003" s="25"/>
      <c r="O2003" s="25">
        <f t="shared" si="0"/>
        <v>0</v>
      </c>
      <c r="P2003" s="25" t="str">
        <f t="shared" si="2"/>
        <v/>
      </c>
      <c r="Q2003" s="25" t="str">
        <f ca="1">IFERROR(__xludf.DUMMYFUNCTION("""COMPUTED_VALUE"""),"Sin defenir")</f>
        <v>Sin defenir</v>
      </c>
      <c r="R2003" s="25"/>
      <c r="S2003" s="55"/>
      <c r="T2003" s="56"/>
      <c r="U2003" s="25"/>
      <c r="V2003" s="25"/>
      <c r="W2003" s="25"/>
      <c r="X2003" s="25"/>
      <c r="Y2003" s="25"/>
      <c r="Z2003" s="25"/>
    </row>
    <row r="2004" spans="1:26" ht="52.5" customHeight="1" x14ac:dyDescent="0.25">
      <c r="A2004" s="25" t="str">
        <f ca="1">IFERROR(__xludf.DUMMYFUNCTION("""COMPUTED_VALUE"""),"Desar202")</f>
        <v>Desar202</v>
      </c>
      <c r="B2004" s="25"/>
      <c r="C2004" s="55"/>
      <c r="D2004" s="25" t="str">
        <f ca="1">IFERROR(__xludf.DUMMYFUNCTION("""COMPUTED_VALUE"""),"Desarrollo_Económico")</f>
        <v>Desarrollo_Económico</v>
      </c>
      <c r="E2004" s="25"/>
      <c r="F2004" s="25"/>
      <c r="G2004" s="25"/>
      <c r="H2004" s="25"/>
      <c r="I2004" s="25"/>
      <c r="J2004" s="55"/>
      <c r="K2004" s="25" t="str">
        <f ca="1">IFERROR(__xludf.DUMMYFUNCTION("""COMPUTED_VALUE"""),"Definir fecha")</f>
        <v>Definir fecha</v>
      </c>
      <c r="L2004" s="62"/>
      <c r="M2004" s="25"/>
      <c r="N2004" s="25"/>
      <c r="O2004" s="25">
        <f t="shared" si="0"/>
        <v>0</v>
      </c>
      <c r="P2004" s="25" t="str">
        <f t="shared" si="2"/>
        <v/>
      </c>
      <c r="Q2004" s="25" t="str">
        <f ca="1">IFERROR(__xludf.DUMMYFUNCTION("""COMPUTED_VALUE"""),"Sin defenir")</f>
        <v>Sin defenir</v>
      </c>
      <c r="R2004" s="25"/>
      <c r="S2004" s="55"/>
      <c r="T2004" s="56"/>
      <c r="U2004" s="25"/>
      <c r="V2004" s="25"/>
      <c r="W2004" s="25"/>
      <c r="X2004" s="25"/>
      <c r="Y2004" s="25"/>
      <c r="Z2004" s="25"/>
    </row>
    <row r="2005" spans="1:26" ht="52.5" customHeight="1" x14ac:dyDescent="0.25">
      <c r="A2005" s="25" t="str">
        <f ca="1">IFERROR(__xludf.DUMMYFUNCTION("""COMPUTED_VALUE"""),"Desar203")</f>
        <v>Desar203</v>
      </c>
      <c r="B2005" s="25"/>
      <c r="C2005" s="55"/>
      <c r="D2005" s="25" t="str">
        <f ca="1">IFERROR(__xludf.DUMMYFUNCTION("""COMPUTED_VALUE"""),"Desarrollo_Económico")</f>
        <v>Desarrollo_Económico</v>
      </c>
      <c r="E2005" s="25"/>
      <c r="F2005" s="25"/>
      <c r="G2005" s="25"/>
      <c r="H2005" s="25"/>
      <c r="I2005" s="25"/>
      <c r="J2005" s="55"/>
      <c r="K2005" s="25" t="str">
        <f ca="1">IFERROR(__xludf.DUMMYFUNCTION("""COMPUTED_VALUE"""),"Definir fecha")</f>
        <v>Definir fecha</v>
      </c>
      <c r="L2005" s="62"/>
      <c r="M2005" s="25"/>
      <c r="N2005" s="25"/>
      <c r="O2005" s="25">
        <f t="shared" si="0"/>
        <v>0</v>
      </c>
      <c r="P2005" s="25" t="str">
        <f t="shared" si="2"/>
        <v/>
      </c>
      <c r="Q2005" s="25" t="str">
        <f ca="1">IFERROR(__xludf.DUMMYFUNCTION("""COMPUTED_VALUE"""),"Sin defenir")</f>
        <v>Sin defenir</v>
      </c>
      <c r="R2005" s="25"/>
      <c r="S2005" s="55"/>
      <c r="T2005" s="56"/>
      <c r="U2005" s="25"/>
      <c r="V2005" s="25"/>
      <c r="W2005" s="25"/>
      <c r="X2005" s="25"/>
      <c r="Y2005" s="25"/>
      <c r="Z2005" s="25"/>
    </row>
    <row r="2006" spans="1:26" ht="52.5" customHeight="1" x14ac:dyDescent="0.25">
      <c r="A2006" s="25" t="str">
        <f ca="1">IFERROR(__xludf.DUMMYFUNCTION("""COMPUTED_VALUE"""),"Desar204")</f>
        <v>Desar204</v>
      </c>
      <c r="B2006" s="25"/>
      <c r="C2006" s="55"/>
      <c r="D2006" s="25" t="str">
        <f ca="1">IFERROR(__xludf.DUMMYFUNCTION("""COMPUTED_VALUE"""),"Desarrollo_Económico")</f>
        <v>Desarrollo_Económico</v>
      </c>
      <c r="E2006" s="25"/>
      <c r="F2006" s="25"/>
      <c r="G2006" s="25"/>
      <c r="H2006" s="25"/>
      <c r="I2006" s="25"/>
      <c r="J2006" s="55"/>
      <c r="K2006" s="25" t="str">
        <f ca="1">IFERROR(__xludf.DUMMYFUNCTION("""COMPUTED_VALUE"""),"Definir fecha")</f>
        <v>Definir fecha</v>
      </c>
      <c r="L2006" s="62"/>
      <c r="M2006" s="25"/>
      <c r="N2006" s="25"/>
      <c r="O2006" s="25">
        <f t="shared" si="0"/>
        <v>0</v>
      </c>
      <c r="P2006" s="25" t="str">
        <f t="shared" si="2"/>
        <v/>
      </c>
      <c r="Q2006" s="25" t="str">
        <f ca="1">IFERROR(__xludf.DUMMYFUNCTION("""COMPUTED_VALUE"""),"Sin defenir")</f>
        <v>Sin defenir</v>
      </c>
      <c r="R2006" s="25"/>
      <c r="S2006" s="55"/>
      <c r="T2006" s="56"/>
      <c r="U2006" s="25"/>
      <c r="V2006" s="25"/>
      <c r="W2006" s="25"/>
      <c r="X2006" s="25"/>
      <c r="Y2006" s="25"/>
      <c r="Z2006" s="25"/>
    </row>
    <row r="2007" spans="1:26" ht="52.5" customHeight="1" x14ac:dyDescent="0.25">
      <c r="A2007" s="25" t="str">
        <f ca="1">IFERROR(__xludf.DUMMYFUNCTION("""COMPUTED_VALUE"""),"Desar205")</f>
        <v>Desar205</v>
      </c>
      <c r="B2007" s="25"/>
      <c r="C2007" s="55"/>
      <c r="D2007" s="25" t="str">
        <f ca="1">IFERROR(__xludf.DUMMYFUNCTION("""COMPUTED_VALUE"""),"Desarrollo_Económico")</f>
        <v>Desarrollo_Económico</v>
      </c>
      <c r="E2007" s="25"/>
      <c r="F2007" s="25"/>
      <c r="G2007" s="25"/>
      <c r="H2007" s="25"/>
      <c r="I2007" s="25"/>
      <c r="J2007" s="55"/>
      <c r="K2007" s="25" t="str">
        <f ca="1">IFERROR(__xludf.DUMMYFUNCTION("""COMPUTED_VALUE"""),"Definir fecha")</f>
        <v>Definir fecha</v>
      </c>
      <c r="L2007" s="62"/>
      <c r="M2007" s="25"/>
      <c r="N2007" s="25"/>
      <c r="O2007" s="25">
        <f t="shared" si="0"/>
        <v>0</v>
      </c>
      <c r="P2007" s="25" t="str">
        <f t="shared" si="2"/>
        <v/>
      </c>
      <c r="Q2007" s="25" t="str">
        <f ca="1">IFERROR(__xludf.DUMMYFUNCTION("""COMPUTED_VALUE"""),"Sin defenir")</f>
        <v>Sin defenir</v>
      </c>
      <c r="R2007" s="25"/>
      <c r="S2007" s="55"/>
      <c r="T2007" s="56"/>
      <c r="U2007" s="25"/>
      <c r="V2007" s="25"/>
      <c r="W2007" s="25"/>
      <c r="X2007" s="25"/>
      <c r="Y2007" s="25"/>
      <c r="Z2007" s="25"/>
    </row>
    <row r="2008" spans="1:26" ht="52.5" customHeight="1" x14ac:dyDescent="0.25">
      <c r="A2008" s="25" t="str">
        <f ca="1">IFERROR(__xludf.DUMMYFUNCTION("""COMPUTED_VALUE"""),"Desar206")</f>
        <v>Desar206</v>
      </c>
      <c r="B2008" s="25"/>
      <c r="C2008" s="55"/>
      <c r="D2008" s="25" t="str">
        <f ca="1">IFERROR(__xludf.DUMMYFUNCTION("""COMPUTED_VALUE"""),"Desarrollo_Económico")</f>
        <v>Desarrollo_Económico</v>
      </c>
      <c r="E2008" s="25"/>
      <c r="F2008" s="25"/>
      <c r="G2008" s="25"/>
      <c r="H2008" s="25"/>
      <c r="I2008" s="25"/>
      <c r="J2008" s="55"/>
      <c r="K2008" s="25" t="str">
        <f ca="1">IFERROR(__xludf.DUMMYFUNCTION("""COMPUTED_VALUE"""),"Definir fecha")</f>
        <v>Definir fecha</v>
      </c>
      <c r="L2008" s="62"/>
      <c r="M2008" s="25"/>
      <c r="N2008" s="25"/>
      <c r="O2008" s="25">
        <f t="shared" si="0"/>
        <v>0</v>
      </c>
      <c r="P2008" s="25" t="str">
        <f t="shared" si="2"/>
        <v/>
      </c>
      <c r="Q2008" s="25" t="str">
        <f ca="1">IFERROR(__xludf.DUMMYFUNCTION("""COMPUTED_VALUE"""),"Sin defenir")</f>
        <v>Sin defenir</v>
      </c>
      <c r="R2008" s="25"/>
      <c r="S2008" s="55"/>
      <c r="T2008" s="56"/>
      <c r="U2008" s="25"/>
      <c r="V2008" s="25"/>
      <c r="W2008" s="25"/>
      <c r="X2008" s="25"/>
      <c r="Y2008" s="25"/>
      <c r="Z2008" s="25"/>
    </row>
    <row r="2009" spans="1:26" ht="52.5" customHeight="1" x14ac:dyDescent="0.25">
      <c r="A2009" s="25" t="str">
        <f ca="1">IFERROR(__xludf.DUMMYFUNCTION("""COMPUTED_VALUE"""),"Desar207")</f>
        <v>Desar207</v>
      </c>
      <c r="B2009" s="25"/>
      <c r="C2009" s="55"/>
      <c r="D2009" s="25" t="str">
        <f ca="1">IFERROR(__xludf.DUMMYFUNCTION("""COMPUTED_VALUE"""),"Desarrollo_Económico")</f>
        <v>Desarrollo_Económico</v>
      </c>
      <c r="E2009" s="25"/>
      <c r="F2009" s="25"/>
      <c r="G2009" s="25"/>
      <c r="H2009" s="25"/>
      <c r="I2009" s="25"/>
      <c r="J2009" s="55"/>
      <c r="K2009" s="25" t="str">
        <f ca="1">IFERROR(__xludf.DUMMYFUNCTION("""COMPUTED_VALUE"""),"Definir fecha")</f>
        <v>Definir fecha</v>
      </c>
      <c r="L2009" s="62"/>
      <c r="M2009" s="25"/>
      <c r="N2009" s="25"/>
      <c r="O2009" s="25">
        <f t="shared" si="0"/>
        <v>0</v>
      </c>
      <c r="P2009" s="25" t="str">
        <f t="shared" si="2"/>
        <v/>
      </c>
      <c r="Q2009" s="25" t="str">
        <f ca="1">IFERROR(__xludf.DUMMYFUNCTION("""COMPUTED_VALUE"""),"Sin defenir")</f>
        <v>Sin defenir</v>
      </c>
      <c r="R2009" s="25"/>
      <c r="S2009" s="55"/>
      <c r="T2009" s="56"/>
      <c r="U2009" s="25"/>
      <c r="V2009" s="25"/>
      <c r="W2009" s="25"/>
      <c r="X2009" s="25"/>
      <c r="Y2009" s="25"/>
      <c r="Z2009" s="25"/>
    </row>
    <row r="2010" spans="1:26" ht="52.5" customHeight="1" x14ac:dyDescent="0.25">
      <c r="A2010" s="25" t="str">
        <f ca="1">IFERROR(__xludf.DUMMYFUNCTION("""COMPUTED_VALUE"""),"Desar208")</f>
        <v>Desar208</v>
      </c>
      <c r="B2010" s="25"/>
      <c r="C2010" s="55"/>
      <c r="D2010" s="25" t="str">
        <f ca="1">IFERROR(__xludf.DUMMYFUNCTION("""COMPUTED_VALUE"""),"Desarrollo_Económico")</f>
        <v>Desarrollo_Económico</v>
      </c>
      <c r="E2010" s="25"/>
      <c r="F2010" s="25"/>
      <c r="G2010" s="25"/>
      <c r="H2010" s="25"/>
      <c r="I2010" s="25"/>
      <c r="J2010" s="55"/>
      <c r="K2010" s="25" t="str">
        <f ca="1">IFERROR(__xludf.DUMMYFUNCTION("""COMPUTED_VALUE"""),"Definir fecha")</f>
        <v>Definir fecha</v>
      </c>
      <c r="L2010" s="62"/>
      <c r="M2010" s="25"/>
      <c r="N2010" s="25"/>
      <c r="O2010" s="25">
        <f t="shared" si="0"/>
        <v>0</v>
      </c>
      <c r="P2010" s="25" t="str">
        <f t="shared" si="2"/>
        <v/>
      </c>
      <c r="Q2010" s="25" t="str">
        <f ca="1">IFERROR(__xludf.DUMMYFUNCTION("""COMPUTED_VALUE"""),"Sin defenir")</f>
        <v>Sin defenir</v>
      </c>
      <c r="R2010" s="25"/>
      <c r="S2010" s="55"/>
      <c r="T2010" s="56"/>
      <c r="U2010" s="25"/>
      <c r="V2010" s="25"/>
      <c r="W2010" s="25"/>
      <c r="X2010" s="25"/>
      <c r="Y2010" s="25"/>
      <c r="Z2010" s="25"/>
    </row>
    <row r="2011" spans="1:26" ht="52.5" customHeight="1" x14ac:dyDescent="0.25">
      <c r="A2011" s="25" t="str">
        <f ca="1">IFERROR(__xludf.DUMMYFUNCTION("""COMPUTED_VALUE"""),"Desar209")</f>
        <v>Desar209</v>
      </c>
      <c r="B2011" s="25"/>
      <c r="C2011" s="55"/>
      <c r="D2011" s="25" t="str">
        <f ca="1">IFERROR(__xludf.DUMMYFUNCTION("""COMPUTED_VALUE"""),"Desarrollo_Económico")</f>
        <v>Desarrollo_Económico</v>
      </c>
      <c r="E2011" s="25"/>
      <c r="F2011" s="25"/>
      <c r="G2011" s="25"/>
      <c r="H2011" s="25"/>
      <c r="I2011" s="25"/>
      <c r="J2011" s="55"/>
      <c r="K2011" s="25" t="str">
        <f ca="1">IFERROR(__xludf.DUMMYFUNCTION("""COMPUTED_VALUE"""),"Definir fecha")</f>
        <v>Definir fecha</v>
      </c>
      <c r="L2011" s="62"/>
      <c r="M2011" s="25"/>
      <c r="N2011" s="25"/>
      <c r="O2011" s="25">
        <f t="shared" si="0"/>
        <v>0</v>
      </c>
      <c r="P2011" s="25" t="str">
        <f t="shared" si="2"/>
        <v/>
      </c>
      <c r="Q2011" s="25" t="str">
        <f ca="1">IFERROR(__xludf.DUMMYFUNCTION("""COMPUTED_VALUE"""),"Sin defenir")</f>
        <v>Sin defenir</v>
      </c>
      <c r="R2011" s="25"/>
      <c r="S2011" s="55"/>
      <c r="T2011" s="56"/>
      <c r="U2011" s="25"/>
      <c r="V2011" s="25"/>
      <c r="W2011" s="25"/>
      <c r="X2011" s="25"/>
      <c r="Y2011" s="25"/>
      <c r="Z2011" s="25"/>
    </row>
    <row r="2012" spans="1:26" ht="52.5" customHeight="1" x14ac:dyDescent="0.25">
      <c r="A2012" s="25" t="str">
        <f ca="1">IFERROR(__xludf.DUMMYFUNCTION("""COMPUTED_VALUE"""),"Desar210")</f>
        <v>Desar210</v>
      </c>
      <c r="B2012" s="25"/>
      <c r="C2012" s="55"/>
      <c r="D2012" s="25" t="str">
        <f ca="1">IFERROR(__xludf.DUMMYFUNCTION("""COMPUTED_VALUE"""),"Desarrollo_Económico")</f>
        <v>Desarrollo_Económico</v>
      </c>
      <c r="E2012" s="25"/>
      <c r="F2012" s="25"/>
      <c r="G2012" s="25"/>
      <c r="H2012" s="25"/>
      <c r="I2012" s="25"/>
      <c r="J2012" s="55"/>
      <c r="K2012" s="25" t="str">
        <f ca="1">IFERROR(__xludf.DUMMYFUNCTION("""COMPUTED_VALUE"""),"Definir fecha")</f>
        <v>Definir fecha</v>
      </c>
      <c r="L2012" s="62"/>
      <c r="M2012" s="25"/>
      <c r="N2012" s="25"/>
      <c r="O2012" s="25">
        <f t="shared" si="0"/>
        <v>0</v>
      </c>
      <c r="P2012" s="25" t="str">
        <f t="shared" si="2"/>
        <v/>
      </c>
      <c r="Q2012" s="25" t="str">
        <f ca="1">IFERROR(__xludf.DUMMYFUNCTION("""COMPUTED_VALUE"""),"Sin defenir")</f>
        <v>Sin defenir</v>
      </c>
      <c r="R2012" s="25"/>
      <c r="S2012" s="55"/>
      <c r="T2012" s="56"/>
      <c r="U2012" s="25"/>
      <c r="V2012" s="25"/>
      <c r="W2012" s="25"/>
      <c r="X2012" s="25"/>
      <c r="Y2012" s="25"/>
      <c r="Z2012" s="25"/>
    </row>
    <row r="2013" spans="1:26" ht="52.5" customHeight="1" x14ac:dyDescent="0.25">
      <c r="A2013" s="25" t="str">
        <f ca="1">IFERROR(__xludf.DUMMYFUNCTION("""COMPUTED_VALUE"""),"Desar211")</f>
        <v>Desar211</v>
      </c>
      <c r="B2013" s="25"/>
      <c r="C2013" s="55"/>
      <c r="D2013" s="25" t="str">
        <f ca="1">IFERROR(__xludf.DUMMYFUNCTION("""COMPUTED_VALUE"""),"Desarrollo_Económico")</f>
        <v>Desarrollo_Económico</v>
      </c>
      <c r="E2013" s="25"/>
      <c r="F2013" s="25"/>
      <c r="G2013" s="25"/>
      <c r="H2013" s="25"/>
      <c r="I2013" s="25"/>
      <c r="J2013" s="55"/>
      <c r="K2013" s="25" t="str">
        <f ca="1">IFERROR(__xludf.DUMMYFUNCTION("""COMPUTED_VALUE"""),"Definir fecha")</f>
        <v>Definir fecha</v>
      </c>
      <c r="L2013" s="62"/>
      <c r="M2013" s="25"/>
      <c r="N2013" s="25"/>
      <c r="O2013" s="25">
        <f t="shared" si="0"/>
        <v>0</v>
      </c>
      <c r="P2013" s="25" t="str">
        <f t="shared" si="2"/>
        <v/>
      </c>
      <c r="Q2013" s="25" t="str">
        <f ca="1">IFERROR(__xludf.DUMMYFUNCTION("""COMPUTED_VALUE"""),"Sin defenir")</f>
        <v>Sin defenir</v>
      </c>
      <c r="R2013" s="25"/>
      <c r="S2013" s="55"/>
      <c r="T2013" s="56"/>
      <c r="U2013" s="25"/>
      <c r="V2013" s="25"/>
      <c r="W2013" s="25"/>
      <c r="X2013" s="25"/>
      <c r="Y2013" s="25"/>
      <c r="Z2013" s="25"/>
    </row>
    <row r="2014" spans="1:26" ht="52.5" customHeight="1" x14ac:dyDescent="0.25">
      <c r="A2014" s="25" t="str">
        <f ca="1">IFERROR(__xludf.DUMMYFUNCTION("""COMPUTED_VALUE"""),"Desar212")</f>
        <v>Desar212</v>
      </c>
      <c r="B2014" s="25"/>
      <c r="C2014" s="55"/>
      <c r="D2014" s="25" t="str">
        <f ca="1">IFERROR(__xludf.DUMMYFUNCTION("""COMPUTED_VALUE"""),"Desarrollo_Económico")</f>
        <v>Desarrollo_Económico</v>
      </c>
      <c r="E2014" s="25"/>
      <c r="F2014" s="25"/>
      <c r="G2014" s="25"/>
      <c r="H2014" s="25"/>
      <c r="I2014" s="25"/>
      <c r="J2014" s="55"/>
      <c r="K2014" s="25" t="str">
        <f ca="1">IFERROR(__xludf.DUMMYFUNCTION("""COMPUTED_VALUE"""),"Definir fecha")</f>
        <v>Definir fecha</v>
      </c>
      <c r="L2014" s="62"/>
      <c r="M2014" s="25"/>
      <c r="N2014" s="25"/>
      <c r="O2014" s="25">
        <f t="shared" si="0"/>
        <v>0</v>
      </c>
      <c r="P2014" s="25" t="str">
        <f t="shared" si="2"/>
        <v/>
      </c>
      <c r="Q2014" s="25" t="str">
        <f ca="1">IFERROR(__xludf.DUMMYFUNCTION("""COMPUTED_VALUE"""),"Sin defenir")</f>
        <v>Sin defenir</v>
      </c>
      <c r="R2014" s="25"/>
      <c r="S2014" s="55"/>
      <c r="T2014" s="56"/>
      <c r="U2014" s="25"/>
      <c r="V2014" s="25"/>
      <c r="W2014" s="25"/>
      <c r="X2014" s="25"/>
      <c r="Y2014" s="25"/>
      <c r="Z2014" s="25"/>
    </row>
    <row r="2015" spans="1:26" ht="52.5" customHeight="1" x14ac:dyDescent="0.25">
      <c r="A2015" s="25" t="str">
        <f ca="1">IFERROR(__xludf.DUMMYFUNCTION("""COMPUTED_VALUE"""),"Desar213")</f>
        <v>Desar213</v>
      </c>
      <c r="B2015" s="25"/>
      <c r="C2015" s="55"/>
      <c r="D2015" s="25" t="str">
        <f ca="1">IFERROR(__xludf.DUMMYFUNCTION("""COMPUTED_VALUE"""),"Desarrollo_Económico")</f>
        <v>Desarrollo_Económico</v>
      </c>
      <c r="E2015" s="25"/>
      <c r="F2015" s="25"/>
      <c r="G2015" s="25"/>
      <c r="H2015" s="25"/>
      <c r="I2015" s="25"/>
      <c r="J2015" s="55"/>
      <c r="K2015" s="25" t="str">
        <f ca="1">IFERROR(__xludf.DUMMYFUNCTION("""COMPUTED_VALUE"""),"Definir fecha")</f>
        <v>Definir fecha</v>
      </c>
      <c r="L2015" s="62"/>
      <c r="M2015" s="25"/>
      <c r="N2015" s="25"/>
      <c r="O2015" s="25">
        <f t="shared" si="0"/>
        <v>0</v>
      </c>
      <c r="P2015" s="25" t="str">
        <f t="shared" si="2"/>
        <v/>
      </c>
      <c r="Q2015" s="25" t="str">
        <f ca="1">IFERROR(__xludf.DUMMYFUNCTION("""COMPUTED_VALUE"""),"Sin defenir")</f>
        <v>Sin defenir</v>
      </c>
      <c r="R2015" s="25"/>
      <c r="S2015" s="55"/>
      <c r="T2015" s="56"/>
      <c r="U2015" s="25"/>
      <c r="V2015" s="25"/>
      <c r="W2015" s="25"/>
      <c r="X2015" s="25"/>
      <c r="Y2015" s="25"/>
      <c r="Z2015" s="25"/>
    </row>
    <row r="2016" spans="1:26" ht="52.5" customHeight="1" x14ac:dyDescent="0.25">
      <c r="A2016" s="25" t="str">
        <f ca="1">IFERROR(__xludf.DUMMYFUNCTION("""COMPUTED_VALUE"""),"Desar214")</f>
        <v>Desar214</v>
      </c>
      <c r="B2016" s="25"/>
      <c r="C2016" s="55"/>
      <c r="D2016" s="25" t="str">
        <f ca="1">IFERROR(__xludf.DUMMYFUNCTION("""COMPUTED_VALUE"""),"Desarrollo_Económico")</f>
        <v>Desarrollo_Económico</v>
      </c>
      <c r="E2016" s="25"/>
      <c r="F2016" s="25"/>
      <c r="G2016" s="25"/>
      <c r="H2016" s="25"/>
      <c r="I2016" s="25"/>
      <c r="J2016" s="55"/>
      <c r="K2016" s="25" t="str">
        <f ca="1">IFERROR(__xludf.DUMMYFUNCTION("""COMPUTED_VALUE"""),"Definir fecha")</f>
        <v>Definir fecha</v>
      </c>
      <c r="L2016" s="62"/>
      <c r="M2016" s="25"/>
      <c r="N2016" s="25"/>
      <c r="O2016" s="25">
        <f t="shared" si="0"/>
        <v>0</v>
      </c>
      <c r="P2016" s="25" t="str">
        <f t="shared" si="2"/>
        <v/>
      </c>
      <c r="Q2016" s="25" t="str">
        <f ca="1">IFERROR(__xludf.DUMMYFUNCTION("""COMPUTED_VALUE"""),"Sin defenir")</f>
        <v>Sin defenir</v>
      </c>
      <c r="R2016" s="25"/>
      <c r="S2016" s="55"/>
      <c r="T2016" s="56"/>
      <c r="U2016" s="25"/>
      <c r="V2016" s="25"/>
      <c r="W2016" s="25"/>
      <c r="X2016" s="25"/>
      <c r="Y2016" s="25"/>
      <c r="Z2016" s="25"/>
    </row>
    <row r="2017" spans="1:26" ht="52.5" customHeight="1" x14ac:dyDescent="0.25">
      <c r="A2017" s="25" t="str">
        <f ca="1">IFERROR(__xludf.DUMMYFUNCTION("""COMPUTED_VALUE"""),"Desar215")</f>
        <v>Desar215</v>
      </c>
      <c r="B2017" s="25"/>
      <c r="C2017" s="55"/>
      <c r="D2017" s="25" t="str">
        <f ca="1">IFERROR(__xludf.DUMMYFUNCTION("""COMPUTED_VALUE"""),"Desarrollo_Económico")</f>
        <v>Desarrollo_Económico</v>
      </c>
      <c r="E2017" s="25"/>
      <c r="F2017" s="25"/>
      <c r="G2017" s="25"/>
      <c r="H2017" s="25"/>
      <c r="I2017" s="25"/>
      <c r="J2017" s="55"/>
      <c r="K2017" s="25" t="str">
        <f ca="1">IFERROR(__xludf.DUMMYFUNCTION("""COMPUTED_VALUE"""),"Definir fecha")</f>
        <v>Definir fecha</v>
      </c>
      <c r="L2017" s="62"/>
      <c r="M2017" s="25"/>
      <c r="N2017" s="25"/>
      <c r="O2017" s="25">
        <f t="shared" si="0"/>
        <v>0</v>
      </c>
      <c r="P2017" s="25" t="str">
        <f t="shared" si="2"/>
        <v/>
      </c>
      <c r="Q2017" s="25" t="str">
        <f ca="1">IFERROR(__xludf.DUMMYFUNCTION("""COMPUTED_VALUE"""),"Sin defenir")</f>
        <v>Sin defenir</v>
      </c>
      <c r="R2017" s="25"/>
      <c r="S2017" s="55"/>
      <c r="T2017" s="56"/>
      <c r="U2017" s="25"/>
      <c r="V2017" s="25"/>
      <c r="W2017" s="25"/>
      <c r="X2017" s="25"/>
      <c r="Y2017" s="25"/>
      <c r="Z2017" s="25"/>
    </row>
    <row r="2018" spans="1:26" ht="52.5" customHeight="1" x14ac:dyDescent="0.25">
      <c r="A2018" s="25" t="str">
        <f ca="1">IFERROR(__xludf.DUMMYFUNCTION("""COMPUTED_VALUE"""),"Desar216")</f>
        <v>Desar216</v>
      </c>
      <c r="B2018" s="25"/>
      <c r="C2018" s="55"/>
      <c r="D2018" s="25" t="str">
        <f ca="1">IFERROR(__xludf.DUMMYFUNCTION("""COMPUTED_VALUE"""),"Desarrollo_Económico")</f>
        <v>Desarrollo_Económico</v>
      </c>
      <c r="E2018" s="25"/>
      <c r="F2018" s="25"/>
      <c r="G2018" s="25"/>
      <c r="H2018" s="25"/>
      <c r="I2018" s="25"/>
      <c r="J2018" s="55"/>
      <c r="K2018" s="25" t="str">
        <f ca="1">IFERROR(__xludf.DUMMYFUNCTION("""COMPUTED_VALUE"""),"Definir fecha")</f>
        <v>Definir fecha</v>
      </c>
      <c r="L2018" s="62"/>
      <c r="M2018" s="25"/>
      <c r="N2018" s="25"/>
      <c r="O2018" s="25">
        <f t="shared" si="0"/>
        <v>0</v>
      </c>
      <c r="P2018" s="25" t="str">
        <f t="shared" si="2"/>
        <v/>
      </c>
      <c r="Q2018" s="25" t="str">
        <f ca="1">IFERROR(__xludf.DUMMYFUNCTION("""COMPUTED_VALUE"""),"Sin defenir")</f>
        <v>Sin defenir</v>
      </c>
      <c r="R2018" s="25"/>
      <c r="S2018" s="55"/>
      <c r="T2018" s="56"/>
      <c r="U2018" s="25"/>
      <c r="V2018" s="25"/>
      <c r="W2018" s="25"/>
      <c r="X2018" s="25"/>
      <c r="Y2018" s="25"/>
      <c r="Z2018" s="25"/>
    </row>
    <row r="2019" spans="1:26" ht="52.5" customHeight="1" x14ac:dyDescent="0.25">
      <c r="A2019" s="25" t="str">
        <f ca="1">IFERROR(__xludf.DUMMYFUNCTION("""COMPUTED_VALUE"""),"Desar217")</f>
        <v>Desar217</v>
      </c>
      <c r="B2019" s="25"/>
      <c r="C2019" s="55"/>
      <c r="D2019" s="25" t="str">
        <f ca="1">IFERROR(__xludf.DUMMYFUNCTION("""COMPUTED_VALUE"""),"Desarrollo_Económico")</f>
        <v>Desarrollo_Económico</v>
      </c>
      <c r="E2019" s="25"/>
      <c r="F2019" s="25"/>
      <c r="G2019" s="25"/>
      <c r="H2019" s="25"/>
      <c r="I2019" s="25"/>
      <c r="J2019" s="55"/>
      <c r="K2019" s="25" t="str">
        <f ca="1">IFERROR(__xludf.DUMMYFUNCTION("""COMPUTED_VALUE"""),"Definir fecha")</f>
        <v>Definir fecha</v>
      </c>
      <c r="L2019" s="62"/>
      <c r="M2019" s="25"/>
      <c r="N2019" s="25"/>
      <c r="O2019" s="25">
        <f t="shared" si="0"/>
        <v>0</v>
      </c>
      <c r="P2019" s="25" t="str">
        <f t="shared" si="2"/>
        <v/>
      </c>
      <c r="Q2019" s="25" t="str">
        <f ca="1">IFERROR(__xludf.DUMMYFUNCTION("""COMPUTED_VALUE"""),"Sin defenir")</f>
        <v>Sin defenir</v>
      </c>
      <c r="R2019" s="25"/>
      <c r="S2019" s="55"/>
      <c r="T2019" s="56"/>
      <c r="U2019" s="25"/>
      <c r="V2019" s="25"/>
      <c r="W2019" s="25"/>
      <c r="X2019" s="25"/>
      <c r="Y2019" s="25"/>
      <c r="Z2019" s="25"/>
    </row>
    <row r="2020" spans="1:26" ht="52.5" customHeight="1" x14ac:dyDescent="0.25">
      <c r="A2020" s="25" t="str">
        <f ca="1">IFERROR(__xludf.DUMMYFUNCTION("""COMPUTED_VALUE"""),"Desar218")</f>
        <v>Desar218</v>
      </c>
      <c r="B2020" s="25"/>
      <c r="C2020" s="55"/>
      <c r="D2020" s="25" t="str">
        <f ca="1">IFERROR(__xludf.DUMMYFUNCTION("""COMPUTED_VALUE"""),"Desarrollo_Económico")</f>
        <v>Desarrollo_Económico</v>
      </c>
      <c r="E2020" s="25"/>
      <c r="F2020" s="25"/>
      <c r="G2020" s="25"/>
      <c r="H2020" s="25"/>
      <c r="I2020" s="25"/>
      <c r="J2020" s="55"/>
      <c r="K2020" s="25" t="str">
        <f ca="1">IFERROR(__xludf.DUMMYFUNCTION("""COMPUTED_VALUE"""),"Definir fecha")</f>
        <v>Definir fecha</v>
      </c>
      <c r="L2020" s="62"/>
      <c r="M2020" s="25"/>
      <c r="N2020" s="25"/>
      <c r="O2020" s="25">
        <f t="shared" si="0"/>
        <v>0</v>
      </c>
      <c r="P2020" s="25" t="str">
        <f t="shared" si="2"/>
        <v/>
      </c>
      <c r="Q2020" s="25" t="str">
        <f ca="1">IFERROR(__xludf.DUMMYFUNCTION("""COMPUTED_VALUE"""),"Sin defenir")</f>
        <v>Sin defenir</v>
      </c>
      <c r="R2020" s="25"/>
      <c r="S2020" s="55"/>
      <c r="T2020" s="56"/>
      <c r="U2020" s="25"/>
      <c r="V2020" s="25"/>
      <c r="W2020" s="25"/>
      <c r="X2020" s="25"/>
      <c r="Y2020" s="25"/>
      <c r="Z2020" s="25"/>
    </row>
    <row r="2021" spans="1:26" ht="52.5" customHeight="1" x14ac:dyDescent="0.25">
      <c r="A2021" s="25" t="str">
        <f ca="1">IFERROR(__xludf.DUMMYFUNCTION("""COMPUTED_VALUE"""),"Desar219")</f>
        <v>Desar219</v>
      </c>
      <c r="B2021" s="25"/>
      <c r="C2021" s="55"/>
      <c r="D2021" s="25" t="str">
        <f ca="1">IFERROR(__xludf.DUMMYFUNCTION("""COMPUTED_VALUE"""),"Desarrollo_Económico")</f>
        <v>Desarrollo_Económico</v>
      </c>
      <c r="E2021" s="25"/>
      <c r="F2021" s="25"/>
      <c r="G2021" s="25"/>
      <c r="H2021" s="25"/>
      <c r="I2021" s="25"/>
      <c r="J2021" s="55"/>
      <c r="K2021" s="25" t="str">
        <f ca="1">IFERROR(__xludf.DUMMYFUNCTION("""COMPUTED_VALUE"""),"Definir fecha")</f>
        <v>Definir fecha</v>
      </c>
      <c r="L2021" s="62"/>
      <c r="M2021" s="25"/>
      <c r="N2021" s="25"/>
      <c r="O2021" s="25">
        <f t="shared" si="0"/>
        <v>0</v>
      </c>
      <c r="P2021" s="25" t="str">
        <f t="shared" si="2"/>
        <v/>
      </c>
      <c r="Q2021" s="25" t="str">
        <f ca="1">IFERROR(__xludf.DUMMYFUNCTION("""COMPUTED_VALUE"""),"Sin defenir")</f>
        <v>Sin defenir</v>
      </c>
      <c r="R2021" s="25"/>
      <c r="S2021" s="55"/>
      <c r="T2021" s="56"/>
      <c r="U2021" s="25"/>
      <c r="V2021" s="25"/>
      <c r="W2021" s="25"/>
      <c r="X2021" s="25"/>
      <c r="Y2021" s="25"/>
      <c r="Z2021" s="25"/>
    </row>
    <row r="2022" spans="1:26" ht="52.5" customHeight="1" x14ac:dyDescent="0.25">
      <c r="A2022" s="25" t="str">
        <f ca="1">IFERROR(__xludf.DUMMYFUNCTION("""COMPUTED_VALUE"""),"Desar220")</f>
        <v>Desar220</v>
      </c>
      <c r="B2022" s="25"/>
      <c r="C2022" s="55"/>
      <c r="D2022" s="25" t="str">
        <f ca="1">IFERROR(__xludf.DUMMYFUNCTION("""COMPUTED_VALUE"""),"Desarrollo_Económico")</f>
        <v>Desarrollo_Económico</v>
      </c>
      <c r="E2022" s="25"/>
      <c r="F2022" s="25"/>
      <c r="G2022" s="25"/>
      <c r="H2022" s="25"/>
      <c r="I2022" s="25"/>
      <c r="J2022" s="55"/>
      <c r="K2022" s="25" t="str">
        <f ca="1">IFERROR(__xludf.DUMMYFUNCTION("""COMPUTED_VALUE"""),"Definir fecha")</f>
        <v>Definir fecha</v>
      </c>
      <c r="L2022" s="62"/>
      <c r="M2022" s="25"/>
      <c r="N2022" s="25"/>
      <c r="O2022" s="25">
        <f t="shared" si="0"/>
        <v>0</v>
      </c>
      <c r="P2022" s="25" t="str">
        <f t="shared" si="2"/>
        <v/>
      </c>
      <c r="Q2022" s="25" t="str">
        <f ca="1">IFERROR(__xludf.DUMMYFUNCTION("""COMPUTED_VALUE"""),"Sin defenir")</f>
        <v>Sin defenir</v>
      </c>
      <c r="R2022" s="25"/>
      <c r="S2022" s="55"/>
      <c r="T2022" s="56"/>
      <c r="U2022" s="25"/>
      <c r="V2022" s="25"/>
      <c r="W2022" s="25"/>
      <c r="X2022" s="25"/>
      <c r="Y2022" s="25"/>
      <c r="Z2022" s="25"/>
    </row>
    <row r="2023" spans="1:26" ht="52.5" customHeight="1" x14ac:dyDescent="0.25">
      <c r="A2023" s="25" t="str">
        <f ca="1">IFERROR(__xludf.DUMMYFUNCTION("""COMPUTED_VALUE"""),"Desar221")</f>
        <v>Desar221</v>
      </c>
      <c r="B2023" s="25"/>
      <c r="C2023" s="55"/>
      <c r="D2023" s="25" t="str">
        <f ca="1">IFERROR(__xludf.DUMMYFUNCTION("""COMPUTED_VALUE"""),"Desarrollo_Económico")</f>
        <v>Desarrollo_Económico</v>
      </c>
      <c r="E2023" s="25"/>
      <c r="F2023" s="25"/>
      <c r="G2023" s="25"/>
      <c r="H2023" s="25"/>
      <c r="I2023" s="25"/>
      <c r="J2023" s="55"/>
      <c r="K2023" s="25" t="str">
        <f ca="1">IFERROR(__xludf.DUMMYFUNCTION("""COMPUTED_VALUE"""),"Definir fecha")</f>
        <v>Definir fecha</v>
      </c>
      <c r="L2023" s="62"/>
      <c r="M2023" s="25"/>
      <c r="N2023" s="25"/>
      <c r="O2023" s="25">
        <f t="shared" si="0"/>
        <v>0</v>
      </c>
      <c r="P2023" s="25" t="str">
        <f t="shared" si="2"/>
        <v/>
      </c>
      <c r="Q2023" s="25" t="str">
        <f ca="1">IFERROR(__xludf.DUMMYFUNCTION("""COMPUTED_VALUE"""),"Sin defenir")</f>
        <v>Sin defenir</v>
      </c>
      <c r="R2023" s="25"/>
      <c r="S2023" s="55"/>
      <c r="T2023" s="56"/>
      <c r="U2023" s="25"/>
      <c r="V2023" s="25"/>
      <c r="W2023" s="25"/>
      <c r="X2023" s="25"/>
      <c r="Y2023" s="25"/>
      <c r="Z2023" s="25"/>
    </row>
    <row r="2024" spans="1:26" ht="52.5" customHeight="1" x14ac:dyDescent="0.25">
      <c r="A2024" s="25" t="str">
        <f ca="1">IFERROR(__xludf.DUMMYFUNCTION("""COMPUTED_VALUE"""),"Desar222")</f>
        <v>Desar222</v>
      </c>
      <c r="B2024" s="25"/>
      <c r="C2024" s="55"/>
      <c r="D2024" s="25" t="str">
        <f ca="1">IFERROR(__xludf.DUMMYFUNCTION("""COMPUTED_VALUE"""),"Desarrollo_Económico")</f>
        <v>Desarrollo_Económico</v>
      </c>
      <c r="E2024" s="25"/>
      <c r="F2024" s="25"/>
      <c r="G2024" s="25"/>
      <c r="H2024" s="25"/>
      <c r="I2024" s="25"/>
      <c r="J2024" s="55"/>
      <c r="K2024" s="25" t="str">
        <f ca="1">IFERROR(__xludf.DUMMYFUNCTION("""COMPUTED_VALUE"""),"Definir fecha")</f>
        <v>Definir fecha</v>
      </c>
      <c r="L2024" s="62"/>
      <c r="M2024" s="25"/>
      <c r="N2024" s="25"/>
      <c r="O2024" s="25">
        <f t="shared" si="0"/>
        <v>0</v>
      </c>
      <c r="P2024" s="25" t="str">
        <f t="shared" si="2"/>
        <v/>
      </c>
      <c r="Q2024" s="25" t="str">
        <f ca="1">IFERROR(__xludf.DUMMYFUNCTION("""COMPUTED_VALUE"""),"Sin defenir")</f>
        <v>Sin defenir</v>
      </c>
      <c r="R2024" s="25"/>
      <c r="S2024" s="55"/>
      <c r="T2024" s="56"/>
      <c r="U2024" s="25"/>
      <c r="V2024" s="25"/>
      <c r="W2024" s="25"/>
      <c r="X2024" s="25"/>
      <c r="Y2024" s="25"/>
      <c r="Z2024" s="25"/>
    </row>
    <row r="2025" spans="1:26" ht="52.5" customHeight="1" x14ac:dyDescent="0.25">
      <c r="A2025" s="25" t="str">
        <f ca="1">IFERROR(__xludf.DUMMYFUNCTION("""COMPUTED_VALUE"""),"Desar223")</f>
        <v>Desar223</v>
      </c>
      <c r="B2025" s="25"/>
      <c r="C2025" s="55"/>
      <c r="D2025" s="25" t="str">
        <f ca="1">IFERROR(__xludf.DUMMYFUNCTION("""COMPUTED_VALUE"""),"Desarrollo_Económico")</f>
        <v>Desarrollo_Económico</v>
      </c>
      <c r="E2025" s="25"/>
      <c r="F2025" s="25"/>
      <c r="G2025" s="25"/>
      <c r="H2025" s="25"/>
      <c r="I2025" s="25"/>
      <c r="J2025" s="55"/>
      <c r="K2025" s="25" t="str">
        <f ca="1">IFERROR(__xludf.DUMMYFUNCTION("""COMPUTED_VALUE"""),"Definir fecha")</f>
        <v>Definir fecha</v>
      </c>
      <c r="L2025" s="62"/>
      <c r="M2025" s="25"/>
      <c r="N2025" s="25"/>
      <c r="O2025" s="25">
        <f t="shared" si="0"/>
        <v>0</v>
      </c>
      <c r="P2025" s="25" t="str">
        <f t="shared" si="2"/>
        <v/>
      </c>
      <c r="Q2025" s="25" t="str">
        <f ca="1">IFERROR(__xludf.DUMMYFUNCTION("""COMPUTED_VALUE"""),"Sin defenir")</f>
        <v>Sin defenir</v>
      </c>
      <c r="R2025" s="25"/>
      <c r="S2025" s="55"/>
      <c r="T2025" s="56"/>
      <c r="U2025" s="25"/>
      <c r="V2025" s="25"/>
      <c r="W2025" s="25"/>
      <c r="X2025" s="25"/>
      <c r="Y2025" s="25"/>
      <c r="Z2025" s="25"/>
    </row>
    <row r="2026" spans="1:26" ht="52.5" customHeight="1" x14ac:dyDescent="0.25">
      <c r="A2026" s="25" t="str">
        <f ca="1">IFERROR(__xludf.DUMMYFUNCTION("""COMPUTED_VALUE"""),"Desar224")</f>
        <v>Desar224</v>
      </c>
      <c r="B2026" s="25"/>
      <c r="C2026" s="55"/>
      <c r="D2026" s="25" t="str">
        <f ca="1">IFERROR(__xludf.DUMMYFUNCTION("""COMPUTED_VALUE"""),"Desarrollo_Económico")</f>
        <v>Desarrollo_Económico</v>
      </c>
      <c r="E2026" s="25"/>
      <c r="F2026" s="25"/>
      <c r="G2026" s="25"/>
      <c r="H2026" s="25"/>
      <c r="I2026" s="25"/>
      <c r="J2026" s="55"/>
      <c r="K2026" s="25" t="str">
        <f ca="1">IFERROR(__xludf.DUMMYFUNCTION("""COMPUTED_VALUE"""),"Definir fecha")</f>
        <v>Definir fecha</v>
      </c>
      <c r="L2026" s="62"/>
      <c r="M2026" s="25"/>
      <c r="N2026" s="25"/>
      <c r="O2026" s="25">
        <f t="shared" si="0"/>
        <v>0</v>
      </c>
      <c r="P2026" s="25" t="str">
        <f t="shared" si="2"/>
        <v/>
      </c>
      <c r="Q2026" s="25" t="str">
        <f ca="1">IFERROR(__xludf.DUMMYFUNCTION("""COMPUTED_VALUE"""),"Sin defenir")</f>
        <v>Sin defenir</v>
      </c>
      <c r="R2026" s="25"/>
      <c r="S2026" s="55"/>
      <c r="T2026" s="56"/>
      <c r="U2026" s="25"/>
      <c r="V2026" s="25"/>
      <c r="W2026" s="25"/>
      <c r="X2026" s="25"/>
      <c r="Y2026" s="25"/>
      <c r="Z2026" s="25"/>
    </row>
    <row r="2027" spans="1:26" ht="52.5" customHeight="1" x14ac:dyDescent="0.25">
      <c r="A2027" s="25" t="str">
        <f ca="1">IFERROR(__xludf.DUMMYFUNCTION("""COMPUTED_VALUE"""),"Desar225")</f>
        <v>Desar225</v>
      </c>
      <c r="B2027" s="25"/>
      <c r="C2027" s="55"/>
      <c r="D2027" s="25" t="str">
        <f ca="1">IFERROR(__xludf.DUMMYFUNCTION("""COMPUTED_VALUE"""),"Desarrollo_Económico")</f>
        <v>Desarrollo_Económico</v>
      </c>
      <c r="E2027" s="25"/>
      <c r="F2027" s="25"/>
      <c r="G2027" s="25"/>
      <c r="H2027" s="25"/>
      <c r="I2027" s="25"/>
      <c r="J2027" s="55"/>
      <c r="K2027" s="25" t="str">
        <f ca="1">IFERROR(__xludf.DUMMYFUNCTION("""COMPUTED_VALUE"""),"Definir fecha")</f>
        <v>Definir fecha</v>
      </c>
      <c r="L2027" s="62"/>
      <c r="M2027" s="25"/>
      <c r="N2027" s="25"/>
      <c r="O2027" s="25">
        <f t="shared" si="0"/>
        <v>0</v>
      </c>
      <c r="P2027" s="25" t="str">
        <f t="shared" si="2"/>
        <v/>
      </c>
      <c r="Q2027" s="25" t="str">
        <f ca="1">IFERROR(__xludf.DUMMYFUNCTION("""COMPUTED_VALUE"""),"Sin defenir")</f>
        <v>Sin defenir</v>
      </c>
      <c r="R2027" s="25"/>
      <c r="S2027" s="55"/>
      <c r="T2027" s="56"/>
      <c r="U2027" s="25"/>
      <c r="V2027" s="25"/>
      <c r="W2027" s="25"/>
      <c r="X2027" s="25"/>
      <c r="Y2027" s="25"/>
      <c r="Z2027" s="25"/>
    </row>
    <row r="2028" spans="1:26" ht="52.5" customHeight="1" x14ac:dyDescent="0.25">
      <c r="A2028" s="25" t="str">
        <f ca="1">IFERROR(__xludf.DUMMYFUNCTION("""COMPUTED_VALUE"""),"Desar226")</f>
        <v>Desar226</v>
      </c>
      <c r="B2028" s="25"/>
      <c r="C2028" s="55"/>
      <c r="D2028" s="25" t="str">
        <f ca="1">IFERROR(__xludf.DUMMYFUNCTION("""COMPUTED_VALUE"""),"Desarrollo_Económico")</f>
        <v>Desarrollo_Económico</v>
      </c>
      <c r="E2028" s="25"/>
      <c r="F2028" s="25"/>
      <c r="G2028" s="25"/>
      <c r="H2028" s="25"/>
      <c r="I2028" s="25"/>
      <c r="J2028" s="55"/>
      <c r="K2028" s="25" t="str">
        <f ca="1">IFERROR(__xludf.DUMMYFUNCTION("""COMPUTED_VALUE"""),"Definir fecha")</f>
        <v>Definir fecha</v>
      </c>
      <c r="L2028" s="62"/>
      <c r="M2028" s="25"/>
      <c r="N2028" s="25"/>
      <c r="O2028" s="25">
        <f t="shared" si="0"/>
        <v>0</v>
      </c>
      <c r="P2028" s="25" t="str">
        <f t="shared" si="2"/>
        <v/>
      </c>
      <c r="Q2028" s="25" t="str">
        <f ca="1">IFERROR(__xludf.DUMMYFUNCTION("""COMPUTED_VALUE"""),"Sin defenir")</f>
        <v>Sin defenir</v>
      </c>
      <c r="R2028" s="25"/>
      <c r="S2028" s="55"/>
      <c r="T2028" s="56"/>
      <c r="U2028" s="25"/>
      <c r="V2028" s="25"/>
      <c r="W2028" s="25"/>
      <c r="X2028" s="25"/>
      <c r="Y2028" s="25"/>
      <c r="Z2028" s="25"/>
    </row>
    <row r="2029" spans="1:26" ht="52.5" customHeight="1" x14ac:dyDescent="0.25">
      <c r="A2029" s="25" t="str">
        <f ca="1">IFERROR(__xludf.DUMMYFUNCTION("""COMPUTED_VALUE"""),"Desar227")</f>
        <v>Desar227</v>
      </c>
      <c r="B2029" s="25"/>
      <c r="C2029" s="55"/>
      <c r="D2029" s="25" t="str">
        <f ca="1">IFERROR(__xludf.DUMMYFUNCTION("""COMPUTED_VALUE"""),"Desarrollo_Económico")</f>
        <v>Desarrollo_Económico</v>
      </c>
      <c r="E2029" s="25"/>
      <c r="F2029" s="25"/>
      <c r="G2029" s="25"/>
      <c r="H2029" s="25"/>
      <c r="I2029" s="25"/>
      <c r="J2029" s="55"/>
      <c r="K2029" s="25" t="str">
        <f ca="1">IFERROR(__xludf.DUMMYFUNCTION("""COMPUTED_VALUE"""),"Definir fecha")</f>
        <v>Definir fecha</v>
      </c>
      <c r="L2029" s="62"/>
      <c r="M2029" s="25"/>
      <c r="N2029" s="25"/>
      <c r="O2029" s="25">
        <f t="shared" si="0"/>
        <v>0</v>
      </c>
      <c r="P2029" s="25" t="str">
        <f t="shared" si="2"/>
        <v/>
      </c>
      <c r="Q2029" s="25" t="str">
        <f ca="1">IFERROR(__xludf.DUMMYFUNCTION("""COMPUTED_VALUE"""),"Sin defenir")</f>
        <v>Sin defenir</v>
      </c>
      <c r="R2029" s="25"/>
      <c r="S2029" s="55"/>
      <c r="T2029" s="56"/>
      <c r="U2029" s="25"/>
      <c r="V2029" s="25"/>
      <c r="W2029" s="25"/>
      <c r="X2029" s="25"/>
      <c r="Y2029" s="25"/>
      <c r="Z2029" s="25"/>
    </row>
    <row r="2030" spans="1:26" ht="52.5" customHeight="1" x14ac:dyDescent="0.25">
      <c r="A2030" s="25" t="str">
        <f ca="1">IFERROR(__xludf.DUMMYFUNCTION("""COMPUTED_VALUE"""),"Desar228")</f>
        <v>Desar228</v>
      </c>
      <c r="B2030" s="25"/>
      <c r="C2030" s="55"/>
      <c r="D2030" s="25" t="str">
        <f ca="1">IFERROR(__xludf.DUMMYFUNCTION("""COMPUTED_VALUE"""),"Desarrollo_Económico")</f>
        <v>Desarrollo_Económico</v>
      </c>
      <c r="E2030" s="25"/>
      <c r="F2030" s="25"/>
      <c r="G2030" s="25"/>
      <c r="H2030" s="25"/>
      <c r="I2030" s="25"/>
      <c r="J2030" s="55"/>
      <c r="K2030" s="25" t="str">
        <f ca="1">IFERROR(__xludf.DUMMYFUNCTION("""COMPUTED_VALUE"""),"Definir fecha")</f>
        <v>Definir fecha</v>
      </c>
      <c r="L2030" s="62"/>
      <c r="M2030" s="25"/>
      <c r="N2030" s="25"/>
      <c r="O2030" s="25">
        <f t="shared" si="0"/>
        <v>0</v>
      </c>
      <c r="P2030" s="25" t="str">
        <f t="shared" si="2"/>
        <v/>
      </c>
      <c r="Q2030" s="25" t="str">
        <f ca="1">IFERROR(__xludf.DUMMYFUNCTION("""COMPUTED_VALUE"""),"Sin defenir")</f>
        <v>Sin defenir</v>
      </c>
      <c r="R2030" s="25"/>
      <c r="S2030" s="55"/>
      <c r="T2030" s="56"/>
      <c r="U2030" s="25"/>
      <c r="V2030" s="25"/>
      <c r="W2030" s="25"/>
      <c r="X2030" s="25"/>
      <c r="Y2030" s="25"/>
      <c r="Z2030" s="25"/>
    </row>
    <row r="2031" spans="1:26" ht="52.5" customHeight="1" x14ac:dyDescent="0.25">
      <c r="A2031" s="25" t="str">
        <f ca="1">IFERROR(__xludf.DUMMYFUNCTION("""COMPUTED_VALUE"""),"Desar229")</f>
        <v>Desar229</v>
      </c>
      <c r="B2031" s="25"/>
      <c r="C2031" s="55"/>
      <c r="D2031" s="25" t="str">
        <f ca="1">IFERROR(__xludf.DUMMYFUNCTION("""COMPUTED_VALUE"""),"Desarrollo_Económico")</f>
        <v>Desarrollo_Económico</v>
      </c>
      <c r="E2031" s="25"/>
      <c r="F2031" s="25"/>
      <c r="G2031" s="25"/>
      <c r="H2031" s="25"/>
      <c r="I2031" s="25"/>
      <c r="J2031" s="55"/>
      <c r="K2031" s="25" t="str">
        <f ca="1">IFERROR(__xludf.DUMMYFUNCTION("""COMPUTED_VALUE"""),"Definir fecha")</f>
        <v>Definir fecha</v>
      </c>
      <c r="L2031" s="62"/>
      <c r="M2031" s="25"/>
      <c r="N2031" s="25"/>
      <c r="O2031" s="25">
        <f t="shared" si="0"/>
        <v>0</v>
      </c>
      <c r="P2031" s="25" t="str">
        <f t="shared" si="2"/>
        <v/>
      </c>
      <c r="Q2031" s="25" t="str">
        <f ca="1">IFERROR(__xludf.DUMMYFUNCTION("""COMPUTED_VALUE"""),"Sin defenir")</f>
        <v>Sin defenir</v>
      </c>
      <c r="R2031" s="25"/>
      <c r="S2031" s="55"/>
      <c r="T2031" s="56"/>
      <c r="U2031" s="25"/>
      <c r="V2031" s="25"/>
      <c r="W2031" s="25"/>
      <c r="X2031" s="25"/>
      <c r="Y2031" s="25"/>
      <c r="Z2031" s="25"/>
    </row>
    <row r="2032" spans="1:26" ht="52.5" customHeight="1" x14ac:dyDescent="0.25">
      <c r="A2032" s="25" t="str">
        <f ca="1">IFERROR(__xludf.DUMMYFUNCTION("""COMPUTED_VALUE"""),"Desar230")</f>
        <v>Desar230</v>
      </c>
      <c r="B2032" s="25"/>
      <c r="C2032" s="55"/>
      <c r="D2032" s="25" t="str">
        <f ca="1">IFERROR(__xludf.DUMMYFUNCTION("""COMPUTED_VALUE"""),"Desarrollo_Económico")</f>
        <v>Desarrollo_Económico</v>
      </c>
      <c r="E2032" s="25"/>
      <c r="F2032" s="25"/>
      <c r="G2032" s="25"/>
      <c r="H2032" s="25"/>
      <c r="I2032" s="25"/>
      <c r="J2032" s="55"/>
      <c r="K2032" s="25" t="str">
        <f ca="1">IFERROR(__xludf.DUMMYFUNCTION("""COMPUTED_VALUE"""),"Definir fecha")</f>
        <v>Definir fecha</v>
      </c>
      <c r="L2032" s="62"/>
      <c r="M2032" s="25"/>
      <c r="N2032" s="25"/>
      <c r="O2032" s="25">
        <f t="shared" si="0"/>
        <v>0</v>
      </c>
      <c r="P2032" s="25" t="str">
        <f t="shared" si="2"/>
        <v/>
      </c>
      <c r="Q2032" s="25" t="str">
        <f ca="1">IFERROR(__xludf.DUMMYFUNCTION("""COMPUTED_VALUE"""),"Sin defenir")</f>
        <v>Sin defenir</v>
      </c>
      <c r="R2032" s="25"/>
      <c r="S2032" s="55"/>
      <c r="T2032" s="56"/>
      <c r="U2032" s="25"/>
      <c r="V2032" s="25"/>
      <c r="W2032" s="25"/>
      <c r="X2032" s="25"/>
      <c r="Y2032" s="25"/>
      <c r="Z2032" s="25"/>
    </row>
    <row r="2033" spans="1:26" ht="52.5" customHeight="1" x14ac:dyDescent="0.25">
      <c r="A2033" s="25" t="str">
        <f ca="1">IFERROR(__xludf.DUMMYFUNCTION("""COMPUTED_VALUE"""),"Desar231")</f>
        <v>Desar231</v>
      </c>
      <c r="B2033" s="25"/>
      <c r="C2033" s="55"/>
      <c r="D2033" s="25" t="str">
        <f ca="1">IFERROR(__xludf.DUMMYFUNCTION("""COMPUTED_VALUE"""),"Desarrollo_Económico")</f>
        <v>Desarrollo_Económico</v>
      </c>
      <c r="E2033" s="25"/>
      <c r="F2033" s="25"/>
      <c r="G2033" s="25"/>
      <c r="H2033" s="25"/>
      <c r="I2033" s="25"/>
      <c r="J2033" s="55"/>
      <c r="K2033" s="25" t="str">
        <f ca="1">IFERROR(__xludf.DUMMYFUNCTION("""COMPUTED_VALUE"""),"Definir fecha")</f>
        <v>Definir fecha</v>
      </c>
      <c r="L2033" s="62"/>
      <c r="M2033" s="25"/>
      <c r="N2033" s="25"/>
      <c r="O2033" s="25">
        <f t="shared" si="0"/>
        <v>0</v>
      </c>
      <c r="P2033" s="25" t="str">
        <f t="shared" si="2"/>
        <v/>
      </c>
      <c r="Q2033" s="25" t="str">
        <f ca="1">IFERROR(__xludf.DUMMYFUNCTION("""COMPUTED_VALUE"""),"Sin defenir")</f>
        <v>Sin defenir</v>
      </c>
      <c r="R2033" s="25"/>
      <c r="S2033" s="55"/>
      <c r="T2033" s="56"/>
      <c r="U2033" s="25"/>
      <c r="V2033" s="25"/>
      <c r="W2033" s="25"/>
      <c r="X2033" s="25"/>
      <c r="Y2033" s="25"/>
      <c r="Z2033" s="25"/>
    </row>
    <row r="2034" spans="1:26" ht="52.5" customHeight="1" x14ac:dyDescent="0.25">
      <c r="A2034" s="25" t="str">
        <f ca="1">IFERROR(__xludf.DUMMYFUNCTION("""COMPUTED_VALUE"""),"Desar232")</f>
        <v>Desar232</v>
      </c>
      <c r="B2034" s="25"/>
      <c r="C2034" s="55"/>
      <c r="D2034" s="25" t="str">
        <f ca="1">IFERROR(__xludf.DUMMYFUNCTION("""COMPUTED_VALUE"""),"Desarrollo_Económico")</f>
        <v>Desarrollo_Económico</v>
      </c>
      <c r="E2034" s="25"/>
      <c r="F2034" s="25"/>
      <c r="G2034" s="25"/>
      <c r="H2034" s="25"/>
      <c r="I2034" s="25"/>
      <c r="J2034" s="55"/>
      <c r="K2034" s="25" t="str">
        <f ca="1">IFERROR(__xludf.DUMMYFUNCTION("""COMPUTED_VALUE"""),"Definir fecha")</f>
        <v>Definir fecha</v>
      </c>
      <c r="L2034" s="62"/>
      <c r="M2034" s="25"/>
      <c r="N2034" s="25"/>
      <c r="O2034" s="25">
        <f t="shared" si="0"/>
        <v>0</v>
      </c>
      <c r="P2034" s="25" t="str">
        <f t="shared" si="2"/>
        <v/>
      </c>
      <c r="Q2034" s="25" t="str">
        <f ca="1">IFERROR(__xludf.DUMMYFUNCTION("""COMPUTED_VALUE"""),"Sin defenir")</f>
        <v>Sin defenir</v>
      </c>
      <c r="R2034" s="25"/>
      <c r="S2034" s="55"/>
      <c r="T2034" s="56"/>
      <c r="U2034" s="25"/>
      <c r="V2034" s="25"/>
      <c r="W2034" s="25"/>
      <c r="X2034" s="25"/>
      <c r="Y2034" s="25"/>
      <c r="Z2034" s="25"/>
    </row>
    <row r="2035" spans="1:26" ht="52.5" customHeight="1" x14ac:dyDescent="0.25">
      <c r="A2035" s="25" t="str">
        <f ca="1">IFERROR(__xludf.DUMMYFUNCTION("""COMPUTED_VALUE"""),"Desar233")</f>
        <v>Desar233</v>
      </c>
      <c r="B2035" s="25"/>
      <c r="C2035" s="55"/>
      <c r="D2035" s="25" t="str">
        <f ca="1">IFERROR(__xludf.DUMMYFUNCTION("""COMPUTED_VALUE"""),"Desarrollo_Económico")</f>
        <v>Desarrollo_Económico</v>
      </c>
      <c r="E2035" s="25"/>
      <c r="F2035" s="25"/>
      <c r="G2035" s="25"/>
      <c r="H2035" s="25"/>
      <c r="I2035" s="25"/>
      <c r="J2035" s="55"/>
      <c r="K2035" s="25" t="str">
        <f ca="1">IFERROR(__xludf.DUMMYFUNCTION("""COMPUTED_VALUE"""),"Definir fecha")</f>
        <v>Definir fecha</v>
      </c>
      <c r="L2035" s="62"/>
      <c r="M2035" s="25"/>
      <c r="N2035" s="25"/>
      <c r="O2035" s="25">
        <f t="shared" si="0"/>
        <v>0</v>
      </c>
      <c r="P2035" s="25" t="str">
        <f t="shared" si="2"/>
        <v/>
      </c>
      <c r="Q2035" s="25" t="str">
        <f ca="1">IFERROR(__xludf.DUMMYFUNCTION("""COMPUTED_VALUE"""),"Sin defenir")</f>
        <v>Sin defenir</v>
      </c>
      <c r="R2035" s="25"/>
      <c r="S2035" s="55"/>
      <c r="T2035" s="56"/>
      <c r="U2035" s="25"/>
      <c r="V2035" s="25"/>
      <c r="W2035" s="25"/>
      <c r="X2035" s="25"/>
      <c r="Y2035" s="25"/>
      <c r="Z2035" s="25"/>
    </row>
    <row r="2036" spans="1:26" ht="52.5" customHeight="1" x14ac:dyDescent="0.25">
      <c r="A2036" s="25" t="str">
        <f ca="1">IFERROR(__xludf.DUMMYFUNCTION("""COMPUTED_VALUE"""),"Desar234")</f>
        <v>Desar234</v>
      </c>
      <c r="B2036" s="25"/>
      <c r="C2036" s="55"/>
      <c r="D2036" s="25" t="str">
        <f ca="1">IFERROR(__xludf.DUMMYFUNCTION("""COMPUTED_VALUE"""),"Desarrollo_Económico")</f>
        <v>Desarrollo_Económico</v>
      </c>
      <c r="E2036" s="25"/>
      <c r="F2036" s="25"/>
      <c r="G2036" s="25"/>
      <c r="H2036" s="25"/>
      <c r="I2036" s="25"/>
      <c r="J2036" s="55"/>
      <c r="K2036" s="25" t="str">
        <f ca="1">IFERROR(__xludf.DUMMYFUNCTION("""COMPUTED_VALUE"""),"Definir fecha")</f>
        <v>Definir fecha</v>
      </c>
      <c r="L2036" s="62"/>
      <c r="M2036" s="25"/>
      <c r="N2036" s="25"/>
      <c r="O2036" s="25">
        <f t="shared" si="0"/>
        <v>0</v>
      </c>
      <c r="P2036" s="25" t="str">
        <f t="shared" si="2"/>
        <v/>
      </c>
      <c r="Q2036" s="25" t="str">
        <f ca="1">IFERROR(__xludf.DUMMYFUNCTION("""COMPUTED_VALUE"""),"Sin defenir")</f>
        <v>Sin defenir</v>
      </c>
      <c r="R2036" s="25"/>
      <c r="S2036" s="55"/>
      <c r="T2036" s="56"/>
      <c r="U2036" s="25"/>
      <c r="V2036" s="25"/>
      <c r="W2036" s="25"/>
      <c r="X2036" s="25"/>
      <c r="Y2036" s="25"/>
      <c r="Z2036" s="25"/>
    </row>
    <row r="2037" spans="1:26" ht="52.5" customHeight="1" x14ac:dyDescent="0.25">
      <c r="A2037" s="25" t="str">
        <f ca="1">IFERROR(__xludf.DUMMYFUNCTION("""COMPUTED_VALUE"""),"Desar235")</f>
        <v>Desar235</v>
      </c>
      <c r="B2037" s="25"/>
      <c r="C2037" s="55"/>
      <c r="D2037" s="25" t="str">
        <f ca="1">IFERROR(__xludf.DUMMYFUNCTION("""COMPUTED_VALUE"""),"Desarrollo_Económico")</f>
        <v>Desarrollo_Económico</v>
      </c>
      <c r="E2037" s="25"/>
      <c r="F2037" s="25"/>
      <c r="G2037" s="25"/>
      <c r="H2037" s="25"/>
      <c r="I2037" s="25"/>
      <c r="J2037" s="55"/>
      <c r="K2037" s="25" t="str">
        <f ca="1">IFERROR(__xludf.DUMMYFUNCTION("""COMPUTED_VALUE"""),"Definir fecha")</f>
        <v>Definir fecha</v>
      </c>
      <c r="L2037" s="62"/>
      <c r="M2037" s="25"/>
      <c r="N2037" s="25"/>
      <c r="O2037" s="25">
        <f t="shared" si="0"/>
        <v>0</v>
      </c>
      <c r="P2037" s="25" t="str">
        <f t="shared" si="2"/>
        <v/>
      </c>
      <c r="Q2037" s="25" t="str">
        <f ca="1">IFERROR(__xludf.DUMMYFUNCTION("""COMPUTED_VALUE"""),"Sin defenir")</f>
        <v>Sin defenir</v>
      </c>
      <c r="R2037" s="25"/>
      <c r="S2037" s="55"/>
      <c r="T2037" s="56"/>
      <c r="U2037" s="25"/>
      <c r="V2037" s="25"/>
      <c r="W2037" s="25"/>
      <c r="X2037" s="25"/>
      <c r="Y2037" s="25"/>
      <c r="Z2037" s="25"/>
    </row>
    <row r="2038" spans="1:26" ht="52.5" customHeight="1" x14ac:dyDescent="0.25">
      <c r="A2038" s="25" t="str">
        <f ca="1">IFERROR(__xludf.DUMMYFUNCTION("""COMPUTED_VALUE"""),"Desar236")</f>
        <v>Desar236</v>
      </c>
      <c r="B2038" s="25"/>
      <c r="C2038" s="55"/>
      <c r="D2038" s="25" t="str">
        <f ca="1">IFERROR(__xludf.DUMMYFUNCTION("""COMPUTED_VALUE"""),"Desarrollo_Económico")</f>
        <v>Desarrollo_Económico</v>
      </c>
      <c r="E2038" s="25"/>
      <c r="F2038" s="25"/>
      <c r="G2038" s="25"/>
      <c r="H2038" s="25"/>
      <c r="I2038" s="25"/>
      <c r="J2038" s="55"/>
      <c r="K2038" s="25" t="str">
        <f ca="1">IFERROR(__xludf.DUMMYFUNCTION("""COMPUTED_VALUE"""),"Definir fecha")</f>
        <v>Definir fecha</v>
      </c>
      <c r="L2038" s="62"/>
      <c r="M2038" s="25"/>
      <c r="N2038" s="25"/>
      <c r="O2038" s="25">
        <f t="shared" si="0"/>
        <v>0</v>
      </c>
      <c r="P2038" s="25" t="str">
        <f t="shared" si="2"/>
        <v/>
      </c>
      <c r="Q2038" s="25" t="str">
        <f ca="1">IFERROR(__xludf.DUMMYFUNCTION("""COMPUTED_VALUE"""),"Sin defenir")</f>
        <v>Sin defenir</v>
      </c>
      <c r="R2038" s="25"/>
      <c r="S2038" s="55"/>
      <c r="T2038" s="56"/>
      <c r="U2038" s="25"/>
      <c r="V2038" s="25"/>
      <c r="W2038" s="25"/>
      <c r="X2038" s="25"/>
      <c r="Y2038" s="25"/>
      <c r="Z2038" s="25"/>
    </row>
    <row r="2039" spans="1:26" ht="52.5" customHeight="1" x14ac:dyDescent="0.25">
      <c r="A2039" s="25" t="str">
        <f ca="1">IFERROR(__xludf.DUMMYFUNCTION("""COMPUTED_VALUE"""),"Desar237")</f>
        <v>Desar237</v>
      </c>
      <c r="B2039" s="25"/>
      <c r="C2039" s="55"/>
      <c r="D2039" s="25" t="str">
        <f ca="1">IFERROR(__xludf.DUMMYFUNCTION("""COMPUTED_VALUE"""),"Desarrollo_Económico")</f>
        <v>Desarrollo_Económico</v>
      </c>
      <c r="E2039" s="25"/>
      <c r="F2039" s="25"/>
      <c r="G2039" s="25"/>
      <c r="H2039" s="25"/>
      <c r="I2039" s="25"/>
      <c r="J2039" s="55"/>
      <c r="K2039" s="25" t="str">
        <f ca="1">IFERROR(__xludf.DUMMYFUNCTION("""COMPUTED_VALUE"""),"Definir fecha")</f>
        <v>Definir fecha</v>
      </c>
      <c r="L2039" s="62"/>
      <c r="M2039" s="25"/>
      <c r="N2039" s="25"/>
      <c r="O2039" s="25">
        <f t="shared" si="0"/>
        <v>0</v>
      </c>
      <c r="P2039" s="25" t="str">
        <f t="shared" si="2"/>
        <v/>
      </c>
      <c r="Q2039" s="25" t="str">
        <f ca="1">IFERROR(__xludf.DUMMYFUNCTION("""COMPUTED_VALUE"""),"Sin defenir")</f>
        <v>Sin defenir</v>
      </c>
      <c r="R2039" s="25"/>
      <c r="S2039" s="55"/>
      <c r="T2039" s="56"/>
      <c r="U2039" s="25"/>
      <c r="V2039" s="25"/>
      <c r="W2039" s="25"/>
      <c r="X2039" s="25"/>
      <c r="Y2039" s="25"/>
      <c r="Z2039" s="25"/>
    </row>
    <row r="2040" spans="1:26" ht="52.5" customHeight="1" x14ac:dyDescent="0.25">
      <c r="A2040" s="25" t="str">
        <f ca="1">IFERROR(__xludf.DUMMYFUNCTION("""COMPUTED_VALUE"""),"Desar238")</f>
        <v>Desar238</v>
      </c>
      <c r="B2040" s="25"/>
      <c r="C2040" s="55"/>
      <c r="D2040" s="25" t="str">
        <f ca="1">IFERROR(__xludf.DUMMYFUNCTION("""COMPUTED_VALUE"""),"Desarrollo_Económico")</f>
        <v>Desarrollo_Económico</v>
      </c>
      <c r="E2040" s="25"/>
      <c r="F2040" s="25"/>
      <c r="G2040" s="25"/>
      <c r="H2040" s="25"/>
      <c r="I2040" s="25"/>
      <c r="J2040" s="55"/>
      <c r="K2040" s="25" t="str">
        <f ca="1">IFERROR(__xludf.DUMMYFUNCTION("""COMPUTED_VALUE"""),"Definir fecha")</f>
        <v>Definir fecha</v>
      </c>
      <c r="L2040" s="62"/>
      <c r="M2040" s="25"/>
      <c r="N2040" s="25"/>
      <c r="O2040" s="25">
        <f t="shared" si="0"/>
        <v>0</v>
      </c>
      <c r="P2040" s="25" t="str">
        <f t="shared" si="2"/>
        <v/>
      </c>
      <c r="Q2040" s="25" t="str">
        <f ca="1">IFERROR(__xludf.DUMMYFUNCTION("""COMPUTED_VALUE"""),"Sin defenir")</f>
        <v>Sin defenir</v>
      </c>
      <c r="R2040" s="25"/>
      <c r="S2040" s="55"/>
      <c r="T2040" s="56"/>
      <c r="U2040" s="25"/>
      <c r="V2040" s="25"/>
      <c r="W2040" s="25"/>
      <c r="X2040" s="25"/>
      <c r="Y2040" s="25"/>
      <c r="Z2040" s="25"/>
    </row>
    <row r="2041" spans="1:26" ht="52.5" customHeight="1" x14ac:dyDescent="0.25">
      <c r="A2041" s="25" t="str">
        <f ca="1">IFERROR(__xludf.DUMMYFUNCTION("""COMPUTED_VALUE"""),"Desar239")</f>
        <v>Desar239</v>
      </c>
      <c r="B2041" s="25"/>
      <c r="C2041" s="55"/>
      <c r="D2041" s="25" t="str">
        <f ca="1">IFERROR(__xludf.DUMMYFUNCTION("""COMPUTED_VALUE"""),"Desarrollo_Económico")</f>
        <v>Desarrollo_Económico</v>
      </c>
      <c r="E2041" s="25"/>
      <c r="F2041" s="25"/>
      <c r="G2041" s="25"/>
      <c r="H2041" s="25"/>
      <c r="I2041" s="25"/>
      <c r="J2041" s="55"/>
      <c r="K2041" s="25" t="str">
        <f ca="1">IFERROR(__xludf.DUMMYFUNCTION("""COMPUTED_VALUE"""),"Definir fecha")</f>
        <v>Definir fecha</v>
      </c>
      <c r="L2041" s="62"/>
      <c r="M2041" s="25"/>
      <c r="N2041" s="25"/>
      <c r="O2041" s="25">
        <f t="shared" si="0"/>
        <v>0</v>
      </c>
      <c r="P2041" s="25" t="str">
        <f t="shared" si="2"/>
        <v/>
      </c>
      <c r="Q2041" s="25" t="str">
        <f ca="1">IFERROR(__xludf.DUMMYFUNCTION("""COMPUTED_VALUE"""),"Sin defenir")</f>
        <v>Sin defenir</v>
      </c>
      <c r="R2041" s="25"/>
      <c r="S2041" s="55"/>
      <c r="T2041" s="56"/>
      <c r="U2041" s="25"/>
      <c r="V2041" s="25"/>
      <c r="W2041" s="25"/>
      <c r="X2041" s="25"/>
      <c r="Y2041" s="25"/>
      <c r="Z2041" s="25"/>
    </row>
    <row r="2042" spans="1:26" ht="52.5" customHeight="1" x14ac:dyDescent="0.25">
      <c r="A2042" s="25" t="str">
        <f ca="1">IFERROR(__xludf.DUMMYFUNCTION("""COMPUTED_VALUE"""),"Desar240")</f>
        <v>Desar240</v>
      </c>
      <c r="B2042" s="25"/>
      <c r="C2042" s="55"/>
      <c r="D2042" s="25" t="str">
        <f ca="1">IFERROR(__xludf.DUMMYFUNCTION("""COMPUTED_VALUE"""),"Desarrollo_Económico")</f>
        <v>Desarrollo_Económico</v>
      </c>
      <c r="E2042" s="25"/>
      <c r="F2042" s="25"/>
      <c r="G2042" s="25"/>
      <c r="H2042" s="25"/>
      <c r="I2042" s="25"/>
      <c r="J2042" s="55"/>
      <c r="K2042" s="25" t="str">
        <f ca="1">IFERROR(__xludf.DUMMYFUNCTION("""COMPUTED_VALUE"""),"Definir fecha")</f>
        <v>Definir fecha</v>
      </c>
      <c r="L2042" s="62"/>
      <c r="M2042" s="25"/>
      <c r="N2042" s="25"/>
      <c r="O2042" s="25">
        <f t="shared" si="0"/>
        <v>0</v>
      </c>
      <c r="P2042" s="25" t="str">
        <f t="shared" si="2"/>
        <v/>
      </c>
      <c r="Q2042" s="25" t="str">
        <f ca="1">IFERROR(__xludf.DUMMYFUNCTION("""COMPUTED_VALUE"""),"Sin defenir")</f>
        <v>Sin defenir</v>
      </c>
      <c r="R2042" s="25"/>
      <c r="S2042" s="55"/>
      <c r="T2042" s="56"/>
      <c r="U2042" s="25"/>
      <c r="V2042" s="25"/>
      <c r="W2042" s="25"/>
      <c r="X2042" s="25"/>
      <c r="Y2042" s="25"/>
      <c r="Z2042" s="25"/>
    </row>
    <row r="2043" spans="1:26" ht="52.5" customHeight="1" x14ac:dyDescent="0.25">
      <c r="A2043" s="25" t="str">
        <f ca="1">IFERROR(__xludf.DUMMYFUNCTION("""COMPUTED_VALUE"""),"Desar241")</f>
        <v>Desar241</v>
      </c>
      <c r="B2043" s="25"/>
      <c r="C2043" s="55"/>
      <c r="D2043" s="25" t="str">
        <f ca="1">IFERROR(__xludf.DUMMYFUNCTION("""COMPUTED_VALUE"""),"Desarrollo_Económico")</f>
        <v>Desarrollo_Económico</v>
      </c>
      <c r="E2043" s="25"/>
      <c r="F2043" s="25"/>
      <c r="G2043" s="25"/>
      <c r="H2043" s="25"/>
      <c r="I2043" s="25"/>
      <c r="J2043" s="55"/>
      <c r="K2043" s="25" t="str">
        <f ca="1">IFERROR(__xludf.DUMMYFUNCTION("""COMPUTED_VALUE"""),"Definir fecha")</f>
        <v>Definir fecha</v>
      </c>
      <c r="L2043" s="62"/>
      <c r="M2043" s="25"/>
      <c r="N2043" s="25"/>
      <c r="O2043" s="25">
        <f t="shared" si="0"/>
        <v>0</v>
      </c>
      <c r="P2043" s="25" t="str">
        <f t="shared" si="2"/>
        <v/>
      </c>
      <c r="Q2043" s="25" t="str">
        <f ca="1">IFERROR(__xludf.DUMMYFUNCTION("""COMPUTED_VALUE"""),"Sin defenir")</f>
        <v>Sin defenir</v>
      </c>
      <c r="R2043" s="25"/>
      <c r="S2043" s="55"/>
      <c r="T2043" s="56"/>
      <c r="U2043" s="25"/>
      <c r="V2043" s="25"/>
      <c r="W2043" s="25"/>
      <c r="X2043" s="25"/>
      <c r="Y2043" s="25"/>
      <c r="Z2043" s="25"/>
    </row>
    <row r="2044" spans="1:26" ht="52.5" customHeight="1" x14ac:dyDescent="0.25">
      <c r="A2044" s="25" t="str">
        <f ca="1">IFERROR(__xludf.DUMMYFUNCTION("""COMPUTED_VALUE"""),"Desar242")</f>
        <v>Desar242</v>
      </c>
      <c r="B2044" s="25"/>
      <c r="C2044" s="55"/>
      <c r="D2044" s="25" t="str">
        <f ca="1">IFERROR(__xludf.DUMMYFUNCTION("""COMPUTED_VALUE"""),"Desarrollo_Económico")</f>
        <v>Desarrollo_Económico</v>
      </c>
      <c r="E2044" s="25"/>
      <c r="F2044" s="25"/>
      <c r="G2044" s="25"/>
      <c r="H2044" s="25"/>
      <c r="I2044" s="25"/>
      <c r="J2044" s="55"/>
      <c r="K2044" s="25" t="str">
        <f ca="1">IFERROR(__xludf.DUMMYFUNCTION("""COMPUTED_VALUE"""),"Definir fecha")</f>
        <v>Definir fecha</v>
      </c>
      <c r="L2044" s="62"/>
      <c r="M2044" s="25"/>
      <c r="N2044" s="25"/>
      <c r="O2044" s="25">
        <f t="shared" si="0"/>
        <v>0</v>
      </c>
      <c r="P2044" s="25" t="str">
        <f t="shared" si="2"/>
        <v/>
      </c>
      <c r="Q2044" s="25" t="str">
        <f ca="1">IFERROR(__xludf.DUMMYFUNCTION("""COMPUTED_VALUE"""),"Sin defenir")</f>
        <v>Sin defenir</v>
      </c>
      <c r="R2044" s="25"/>
      <c r="S2044" s="55"/>
      <c r="T2044" s="56"/>
      <c r="U2044" s="25"/>
      <c r="V2044" s="25"/>
      <c r="W2044" s="25"/>
      <c r="X2044" s="25"/>
      <c r="Y2044" s="25"/>
      <c r="Z2044" s="25"/>
    </row>
    <row r="2045" spans="1:26" ht="52.5" customHeight="1" x14ac:dyDescent="0.25">
      <c r="A2045" s="25" t="str">
        <f ca="1">IFERROR(__xludf.DUMMYFUNCTION("""COMPUTED_VALUE"""),"Desar243")</f>
        <v>Desar243</v>
      </c>
      <c r="B2045" s="25"/>
      <c r="C2045" s="55"/>
      <c r="D2045" s="25" t="str">
        <f ca="1">IFERROR(__xludf.DUMMYFUNCTION("""COMPUTED_VALUE"""),"Desarrollo_Económico")</f>
        <v>Desarrollo_Económico</v>
      </c>
      <c r="E2045" s="25"/>
      <c r="F2045" s="25"/>
      <c r="G2045" s="25"/>
      <c r="H2045" s="25"/>
      <c r="I2045" s="25"/>
      <c r="J2045" s="55"/>
      <c r="K2045" s="25" t="str">
        <f ca="1">IFERROR(__xludf.DUMMYFUNCTION("""COMPUTED_VALUE"""),"Definir fecha")</f>
        <v>Definir fecha</v>
      </c>
      <c r="L2045" s="62"/>
      <c r="M2045" s="25"/>
      <c r="N2045" s="25"/>
      <c r="O2045" s="25">
        <f t="shared" si="0"/>
        <v>0</v>
      </c>
      <c r="P2045" s="25" t="str">
        <f t="shared" si="2"/>
        <v/>
      </c>
      <c r="Q2045" s="25" t="str">
        <f ca="1">IFERROR(__xludf.DUMMYFUNCTION("""COMPUTED_VALUE"""),"Sin defenir")</f>
        <v>Sin defenir</v>
      </c>
      <c r="R2045" s="25"/>
      <c r="S2045" s="55"/>
      <c r="T2045" s="56"/>
      <c r="U2045" s="25"/>
      <c r="V2045" s="25"/>
      <c r="W2045" s="25"/>
      <c r="X2045" s="25"/>
      <c r="Y2045" s="25"/>
      <c r="Z2045" s="25"/>
    </row>
    <row r="2046" spans="1:26" ht="52.5" customHeight="1" x14ac:dyDescent="0.25">
      <c r="A2046" s="25" t="str">
        <f ca="1">IFERROR(__xludf.DUMMYFUNCTION("""COMPUTED_VALUE"""),"Desar244")</f>
        <v>Desar244</v>
      </c>
      <c r="B2046" s="25"/>
      <c r="C2046" s="55"/>
      <c r="D2046" s="25" t="str">
        <f ca="1">IFERROR(__xludf.DUMMYFUNCTION("""COMPUTED_VALUE"""),"Desarrollo_Económico")</f>
        <v>Desarrollo_Económico</v>
      </c>
      <c r="E2046" s="25"/>
      <c r="F2046" s="25"/>
      <c r="G2046" s="25"/>
      <c r="H2046" s="25"/>
      <c r="I2046" s="25"/>
      <c r="J2046" s="55"/>
      <c r="K2046" s="25" t="str">
        <f ca="1">IFERROR(__xludf.DUMMYFUNCTION("""COMPUTED_VALUE"""),"Definir fecha")</f>
        <v>Definir fecha</v>
      </c>
      <c r="L2046" s="62"/>
      <c r="M2046" s="25"/>
      <c r="N2046" s="25"/>
      <c r="O2046" s="25">
        <f t="shared" si="0"/>
        <v>0</v>
      </c>
      <c r="P2046" s="25" t="str">
        <f t="shared" si="2"/>
        <v/>
      </c>
      <c r="Q2046" s="25" t="str">
        <f ca="1">IFERROR(__xludf.DUMMYFUNCTION("""COMPUTED_VALUE"""),"Sin defenir")</f>
        <v>Sin defenir</v>
      </c>
      <c r="R2046" s="25"/>
      <c r="S2046" s="55"/>
      <c r="T2046" s="56"/>
      <c r="U2046" s="25"/>
      <c r="V2046" s="25"/>
      <c r="W2046" s="25"/>
      <c r="X2046" s="25"/>
      <c r="Y2046" s="25"/>
      <c r="Z2046" s="25"/>
    </row>
    <row r="2047" spans="1:26" ht="52.5" customHeight="1" x14ac:dyDescent="0.25">
      <c r="A2047" s="25" t="str">
        <f ca="1">IFERROR(__xludf.DUMMYFUNCTION("""COMPUTED_VALUE"""),"Desar245")</f>
        <v>Desar245</v>
      </c>
      <c r="B2047" s="25"/>
      <c r="C2047" s="55"/>
      <c r="D2047" s="25" t="str">
        <f ca="1">IFERROR(__xludf.DUMMYFUNCTION("""COMPUTED_VALUE"""),"Desarrollo_Económico")</f>
        <v>Desarrollo_Económico</v>
      </c>
      <c r="E2047" s="25"/>
      <c r="F2047" s="25"/>
      <c r="G2047" s="25"/>
      <c r="H2047" s="25"/>
      <c r="I2047" s="25"/>
      <c r="J2047" s="55"/>
      <c r="K2047" s="25" t="str">
        <f ca="1">IFERROR(__xludf.DUMMYFUNCTION("""COMPUTED_VALUE"""),"Definir fecha")</f>
        <v>Definir fecha</v>
      </c>
      <c r="L2047" s="62"/>
      <c r="M2047" s="25"/>
      <c r="N2047" s="25"/>
      <c r="O2047" s="25">
        <f t="shared" si="0"/>
        <v>0</v>
      </c>
      <c r="P2047" s="25" t="str">
        <f t="shared" si="2"/>
        <v/>
      </c>
      <c r="Q2047" s="25" t="str">
        <f ca="1">IFERROR(__xludf.DUMMYFUNCTION("""COMPUTED_VALUE"""),"Sin defenir")</f>
        <v>Sin defenir</v>
      </c>
      <c r="R2047" s="25"/>
      <c r="S2047" s="55"/>
      <c r="T2047" s="56"/>
      <c r="U2047" s="25"/>
      <c r="V2047" s="25"/>
      <c r="W2047" s="25"/>
      <c r="X2047" s="25"/>
      <c r="Y2047" s="25"/>
      <c r="Z2047" s="25"/>
    </row>
    <row r="2048" spans="1:26" ht="52.5" customHeight="1" x14ac:dyDescent="0.25">
      <c r="A2048" s="25" t="str">
        <f ca="1">IFERROR(__xludf.DUMMYFUNCTION("""COMPUTED_VALUE"""),"Desar246")</f>
        <v>Desar246</v>
      </c>
      <c r="B2048" s="25"/>
      <c r="C2048" s="55"/>
      <c r="D2048" s="25" t="str">
        <f ca="1">IFERROR(__xludf.DUMMYFUNCTION("""COMPUTED_VALUE"""),"Desarrollo_Económico")</f>
        <v>Desarrollo_Económico</v>
      </c>
      <c r="E2048" s="25"/>
      <c r="F2048" s="25"/>
      <c r="G2048" s="25"/>
      <c r="H2048" s="25"/>
      <c r="I2048" s="25"/>
      <c r="J2048" s="55"/>
      <c r="K2048" s="25" t="str">
        <f ca="1">IFERROR(__xludf.DUMMYFUNCTION("""COMPUTED_VALUE"""),"Definir fecha")</f>
        <v>Definir fecha</v>
      </c>
      <c r="L2048" s="62"/>
      <c r="M2048" s="25"/>
      <c r="N2048" s="25"/>
      <c r="O2048" s="25">
        <f t="shared" si="0"/>
        <v>0</v>
      </c>
      <c r="P2048" s="25" t="str">
        <f t="shared" si="2"/>
        <v/>
      </c>
      <c r="Q2048" s="25" t="str">
        <f ca="1">IFERROR(__xludf.DUMMYFUNCTION("""COMPUTED_VALUE"""),"Sin defenir")</f>
        <v>Sin defenir</v>
      </c>
      <c r="R2048" s="25"/>
      <c r="S2048" s="55"/>
      <c r="T2048" s="56"/>
      <c r="U2048" s="25"/>
      <c r="V2048" s="25"/>
      <c r="W2048" s="25"/>
      <c r="X2048" s="25"/>
      <c r="Y2048" s="25"/>
      <c r="Z2048" s="25"/>
    </row>
    <row r="2049" spans="1:26" ht="52.5" customHeight="1" x14ac:dyDescent="0.25">
      <c r="A2049" s="25" t="str">
        <f ca="1">IFERROR(__xludf.DUMMYFUNCTION("""COMPUTED_VALUE"""),"Desar247")</f>
        <v>Desar247</v>
      </c>
      <c r="B2049" s="25"/>
      <c r="C2049" s="55"/>
      <c r="D2049" s="25" t="str">
        <f ca="1">IFERROR(__xludf.DUMMYFUNCTION("""COMPUTED_VALUE"""),"Desarrollo_Económico")</f>
        <v>Desarrollo_Económico</v>
      </c>
      <c r="E2049" s="25"/>
      <c r="F2049" s="25"/>
      <c r="G2049" s="25"/>
      <c r="H2049" s="25"/>
      <c r="I2049" s="25"/>
      <c r="J2049" s="55"/>
      <c r="K2049" s="25" t="str">
        <f ca="1">IFERROR(__xludf.DUMMYFUNCTION("""COMPUTED_VALUE"""),"Definir fecha")</f>
        <v>Definir fecha</v>
      </c>
      <c r="L2049" s="62"/>
      <c r="M2049" s="25"/>
      <c r="N2049" s="25"/>
      <c r="O2049" s="25">
        <f t="shared" si="0"/>
        <v>0</v>
      </c>
      <c r="P2049" s="25" t="str">
        <f t="shared" si="2"/>
        <v/>
      </c>
      <c r="Q2049" s="25" t="str">
        <f ca="1">IFERROR(__xludf.DUMMYFUNCTION("""COMPUTED_VALUE"""),"Sin defenir")</f>
        <v>Sin defenir</v>
      </c>
      <c r="R2049" s="25"/>
      <c r="S2049" s="55"/>
      <c r="T2049" s="56"/>
      <c r="U2049" s="25"/>
      <c r="V2049" s="25"/>
      <c r="W2049" s="25"/>
      <c r="X2049" s="25"/>
      <c r="Y2049" s="25"/>
      <c r="Z2049" s="25"/>
    </row>
    <row r="2050" spans="1:26" ht="52.5" customHeight="1" x14ac:dyDescent="0.25">
      <c r="A2050" s="25" t="str">
        <f ca="1">IFERROR(__xludf.DUMMYFUNCTION("""COMPUTED_VALUE"""),"Desar248")</f>
        <v>Desar248</v>
      </c>
      <c r="B2050" s="25"/>
      <c r="C2050" s="55"/>
      <c r="D2050" s="25" t="str">
        <f ca="1">IFERROR(__xludf.DUMMYFUNCTION("""COMPUTED_VALUE"""),"Desarrollo_Económico")</f>
        <v>Desarrollo_Económico</v>
      </c>
      <c r="E2050" s="25"/>
      <c r="F2050" s="25"/>
      <c r="G2050" s="25"/>
      <c r="H2050" s="25"/>
      <c r="I2050" s="25"/>
      <c r="J2050" s="55"/>
      <c r="K2050" s="25" t="str">
        <f ca="1">IFERROR(__xludf.DUMMYFUNCTION("""COMPUTED_VALUE"""),"Definir fecha")</f>
        <v>Definir fecha</v>
      </c>
      <c r="L2050" s="62"/>
      <c r="M2050" s="25"/>
      <c r="N2050" s="25"/>
      <c r="O2050" s="25">
        <f t="shared" si="0"/>
        <v>0</v>
      </c>
      <c r="P2050" s="25" t="str">
        <f t="shared" si="2"/>
        <v/>
      </c>
      <c r="Q2050" s="25" t="str">
        <f ca="1">IFERROR(__xludf.DUMMYFUNCTION("""COMPUTED_VALUE"""),"Sin defenir")</f>
        <v>Sin defenir</v>
      </c>
      <c r="R2050" s="25"/>
      <c r="S2050" s="55"/>
      <c r="T2050" s="56"/>
      <c r="U2050" s="25"/>
      <c r="V2050" s="25"/>
      <c r="W2050" s="25"/>
      <c r="X2050" s="25"/>
      <c r="Y2050" s="25"/>
      <c r="Z2050" s="25"/>
    </row>
    <row r="2051" spans="1:26" ht="52.5" customHeight="1" x14ac:dyDescent="0.25">
      <c r="A2051" s="25" t="str">
        <f ca="1">IFERROR(__xludf.DUMMYFUNCTION("""COMPUTED_VALUE"""),"Desar249")</f>
        <v>Desar249</v>
      </c>
      <c r="B2051" s="25"/>
      <c r="C2051" s="55"/>
      <c r="D2051" s="25" t="str">
        <f ca="1">IFERROR(__xludf.DUMMYFUNCTION("""COMPUTED_VALUE"""),"Desarrollo_Económico")</f>
        <v>Desarrollo_Económico</v>
      </c>
      <c r="E2051" s="25"/>
      <c r="F2051" s="25"/>
      <c r="G2051" s="25"/>
      <c r="H2051" s="25"/>
      <c r="I2051" s="25"/>
      <c r="J2051" s="55"/>
      <c r="K2051" s="25" t="str">
        <f ca="1">IFERROR(__xludf.DUMMYFUNCTION("""COMPUTED_VALUE"""),"Definir fecha")</f>
        <v>Definir fecha</v>
      </c>
      <c r="L2051" s="62"/>
      <c r="M2051" s="25"/>
      <c r="N2051" s="25"/>
      <c r="O2051" s="25">
        <f t="shared" si="0"/>
        <v>0</v>
      </c>
      <c r="P2051" s="25" t="str">
        <f t="shared" si="2"/>
        <v/>
      </c>
      <c r="Q2051" s="25" t="str">
        <f ca="1">IFERROR(__xludf.DUMMYFUNCTION("""COMPUTED_VALUE"""),"Sin defenir")</f>
        <v>Sin defenir</v>
      </c>
      <c r="R2051" s="25"/>
      <c r="S2051" s="55"/>
      <c r="T2051" s="56"/>
      <c r="U2051" s="25"/>
      <c r="V2051" s="25"/>
      <c r="W2051" s="25"/>
      <c r="X2051" s="25"/>
      <c r="Y2051" s="25"/>
      <c r="Z2051" s="25"/>
    </row>
    <row r="2052" spans="1:26" ht="52.5" customHeight="1" x14ac:dyDescent="0.25">
      <c r="A2052" s="25" t="str">
        <f ca="1">IFERROR(__xludf.DUMMYFUNCTION("""COMPUTED_VALUE"""),"Desar250")</f>
        <v>Desar250</v>
      </c>
      <c r="B2052" s="25"/>
      <c r="C2052" s="55"/>
      <c r="D2052" s="25" t="str">
        <f ca="1">IFERROR(__xludf.DUMMYFUNCTION("""COMPUTED_VALUE"""),"Desarrollo_Económico")</f>
        <v>Desarrollo_Económico</v>
      </c>
      <c r="E2052" s="25"/>
      <c r="F2052" s="25"/>
      <c r="G2052" s="25"/>
      <c r="H2052" s="25"/>
      <c r="I2052" s="25"/>
      <c r="J2052" s="55"/>
      <c r="K2052" s="25" t="str">
        <f ca="1">IFERROR(__xludf.DUMMYFUNCTION("""COMPUTED_VALUE"""),"Definir fecha")</f>
        <v>Definir fecha</v>
      </c>
      <c r="L2052" s="62"/>
      <c r="M2052" s="25"/>
      <c r="N2052" s="25"/>
      <c r="O2052" s="25">
        <f t="shared" si="0"/>
        <v>0</v>
      </c>
      <c r="P2052" s="25" t="str">
        <f t="shared" si="2"/>
        <v/>
      </c>
      <c r="Q2052" s="25" t="str">
        <f ca="1">IFERROR(__xludf.DUMMYFUNCTION("""COMPUTED_VALUE"""),"Sin defenir")</f>
        <v>Sin defenir</v>
      </c>
      <c r="R2052" s="25"/>
      <c r="S2052" s="55"/>
      <c r="T2052" s="56"/>
      <c r="U2052" s="25"/>
      <c r="V2052" s="25"/>
      <c r="W2052" s="25"/>
      <c r="X2052" s="25"/>
      <c r="Y2052" s="25"/>
      <c r="Z2052" s="25"/>
    </row>
    <row r="2053" spans="1:26" ht="52.5" customHeight="1" x14ac:dyDescent="0.25">
      <c r="A2053" s="25" t="str">
        <f ca="1">IFERROR(__xludf.DUMMYFUNCTION("""COMPUTED_VALUE"""),"Desar251")</f>
        <v>Desar251</v>
      </c>
      <c r="B2053" s="25"/>
      <c r="C2053" s="55"/>
      <c r="D2053" s="25" t="str">
        <f ca="1">IFERROR(__xludf.DUMMYFUNCTION("""COMPUTED_VALUE"""),"Desarrollo_Económico")</f>
        <v>Desarrollo_Económico</v>
      </c>
      <c r="E2053" s="25"/>
      <c r="F2053" s="25"/>
      <c r="G2053" s="25"/>
      <c r="H2053" s="25"/>
      <c r="I2053" s="25"/>
      <c r="J2053" s="55"/>
      <c r="K2053" s="25" t="str">
        <f ca="1">IFERROR(__xludf.DUMMYFUNCTION("""COMPUTED_VALUE"""),"Definir fecha")</f>
        <v>Definir fecha</v>
      </c>
      <c r="L2053" s="62"/>
      <c r="M2053" s="25"/>
      <c r="N2053" s="25"/>
      <c r="O2053" s="25">
        <f t="shared" si="0"/>
        <v>0</v>
      </c>
      <c r="P2053" s="25" t="str">
        <f t="shared" si="2"/>
        <v/>
      </c>
      <c r="Q2053" s="25" t="str">
        <f ca="1">IFERROR(__xludf.DUMMYFUNCTION("""COMPUTED_VALUE"""),"Sin defenir")</f>
        <v>Sin defenir</v>
      </c>
      <c r="R2053" s="25"/>
      <c r="S2053" s="55"/>
      <c r="T2053" s="56"/>
      <c r="U2053" s="25"/>
      <c r="V2053" s="25"/>
      <c r="W2053" s="25"/>
      <c r="X2053" s="25"/>
      <c r="Y2053" s="25"/>
      <c r="Z2053" s="25"/>
    </row>
    <row r="2054" spans="1:26" ht="52.5" customHeight="1" x14ac:dyDescent="0.25">
      <c r="A2054" s="25" t="str">
        <f ca="1">IFERROR(__xludf.DUMMYFUNCTION("""COMPUTED_VALUE"""),"Desar252")</f>
        <v>Desar252</v>
      </c>
      <c r="B2054" s="25"/>
      <c r="C2054" s="55"/>
      <c r="D2054" s="25" t="str">
        <f ca="1">IFERROR(__xludf.DUMMYFUNCTION("""COMPUTED_VALUE"""),"Desarrollo_Económico")</f>
        <v>Desarrollo_Económico</v>
      </c>
      <c r="E2054" s="25"/>
      <c r="F2054" s="25"/>
      <c r="G2054" s="25"/>
      <c r="H2054" s="25"/>
      <c r="I2054" s="25"/>
      <c r="J2054" s="55"/>
      <c r="K2054" s="25" t="str">
        <f ca="1">IFERROR(__xludf.DUMMYFUNCTION("""COMPUTED_VALUE"""),"Definir fecha")</f>
        <v>Definir fecha</v>
      </c>
      <c r="L2054" s="62"/>
      <c r="M2054" s="25"/>
      <c r="N2054" s="25"/>
      <c r="O2054" s="25">
        <f t="shared" si="0"/>
        <v>0</v>
      </c>
      <c r="P2054" s="25" t="str">
        <f t="shared" si="2"/>
        <v/>
      </c>
      <c r="Q2054" s="25" t="str">
        <f ca="1">IFERROR(__xludf.DUMMYFUNCTION("""COMPUTED_VALUE"""),"Sin defenir")</f>
        <v>Sin defenir</v>
      </c>
      <c r="R2054" s="25"/>
      <c r="S2054" s="55"/>
      <c r="T2054" s="56"/>
      <c r="U2054" s="25"/>
      <c r="V2054" s="25"/>
      <c r="W2054" s="25"/>
      <c r="X2054" s="25"/>
      <c r="Y2054" s="25"/>
      <c r="Z2054" s="25"/>
    </row>
    <row r="2055" spans="1:26" ht="52.5" customHeight="1" x14ac:dyDescent="0.25">
      <c r="A2055" s="25" t="str">
        <f ca="1">IFERROR(__xludf.DUMMYFUNCTION("""COMPUTED_VALUE"""),"Desar253")</f>
        <v>Desar253</v>
      </c>
      <c r="B2055" s="25"/>
      <c r="C2055" s="55"/>
      <c r="D2055" s="25" t="str">
        <f ca="1">IFERROR(__xludf.DUMMYFUNCTION("""COMPUTED_VALUE"""),"Desarrollo_Económico")</f>
        <v>Desarrollo_Económico</v>
      </c>
      <c r="E2055" s="25"/>
      <c r="F2055" s="25"/>
      <c r="G2055" s="25"/>
      <c r="H2055" s="25"/>
      <c r="I2055" s="25"/>
      <c r="J2055" s="55"/>
      <c r="K2055" s="25" t="str">
        <f ca="1">IFERROR(__xludf.DUMMYFUNCTION("""COMPUTED_VALUE"""),"Definir fecha")</f>
        <v>Definir fecha</v>
      </c>
      <c r="L2055" s="62"/>
      <c r="M2055" s="25"/>
      <c r="N2055" s="25"/>
      <c r="O2055" s="25">
        <f t="shared" si="0"/>
        <v>0</v>
      </c>
      <c r="P2055" s="25" t="str">
        <f t="shared" si="2"/>
        <v/>
      </c>
      <c r="Q2055" s="25" t="str">
        <f ca="1">IFERROR(__xludf.DUMMYFUNCTION("""COMPUTED_VALUE"""),"Sin defenir")</f>
        <v>Sin defenir</v>
      </c>
      <c r="R2055" s="25"/>
      <c r="S2055" s="55"/>
      <c r="T2055" s="56"/>
      <c r="U2055" s="25"/>
      <c r="V2055" s="25"/>
      <c r="W2055" s="25"/>
      <c r="X2055" s="25"/>
      <c r="Y2055" s="25"/>
      <c r="Z2055" s="25"/>
    </row>
    <row r="2056" spans="1:26" ht="52.5" customHeight="1" x14ac:dyDescent="0.25">
      <c r="A2056" s="25" t="str">
        <f ca="1">IFERROR(__xludf.DUMMYFUNCTION("""COMPUTED_VALUE"""),"Desar254")</f>
        <v>Desar254</v>
      </c>
      <c r="B2056" s="25"/>
      <c r="C2056" s="55"/>
      <c r="D2056" s="25" t="str">
        <f ca="1">IFERROR(__xludf.DUMMYFUNCTION("""COMPUTED_VALUE"""),"Desarrollo_Económico")</f>
        <v>Desarrollo_Económico</v>
      </c>
      <c r="E2056" s="25"/>
      <c r="F2056" s="25"/>
      <c r="G2056" s="25"/>
      <c r="H2056" s="25"/>
      <c r="I2056" s="25"/>
      <c r="J2056" s="55"/>
      <c r="K2056" s="25" t="str">
        <f ca="1">IFERROR(__xludf.DUMMYFUNCTION("""COMPUTED_VALUE"""),"Definir fecha")</f>
        <v>Definir fecha</v>
      </c>
      <c r="L2056" s="62"/>
      <c r="M2056" s="25"/>
      <c r="N2056" s="25"/>
      <c r="O2056" s="25">
        <f t="shared" si="0"/>
        <v>0</v>
      </c>
      <c r="P2056" s="25" t="str">
        <f t="shared" si="2"/>
        <v/>
      </c>
      <c r="Q2056" s="25" t="str">
        <f ca="1">IFERROR(__xludf.DUMMYFUNCTION("""COMPUTED_VALUE"""),"Sin defenir")</f>
        <v>Sin defenir</v>
      </c>
      <c r="R2056" s="25"/>
      <c r="S2056" s="55"/>
      <c r="T2056" s="56"/>
      <c r="U2056" s="25"/>
      <c r="V2056" s="25"/>
      <c r="W2056" s="25"/>
      <c r="X2056" s="25"/>
      <c r="Y2056" s="25"/>
      <c r="Z2056" s="25"/>
    </row>
    <row r="2057" spans="1:26" ht="52.5" customHeight="1" x14ac:dyDescent="0.25">
      <c r="A2057" s="25" t="str">
        <f ca="1">IFERROR(__xludf.DUMMYFUNCTION("""COMPUTED_VALUE"""),"Desar255")</f>
        <v>Desar255</v>
      </c>
      <c r="B2057" s="25"/>
      <c r="C2057" s="55"/>
      <c r="D2057" s="25" t="str">
        <f ca="1">IFERROR(__xludf.DUMMYFUNCTION("""COMPUTED_VALUE"""),"Desarrollo_Económico")</f>
        <v>Desarrollo_Económico</v>
      </c>
      <c r="E2057" s="25"/>
      <c r="F2057" s="25"/>
      <c r="G2057" s="25"/>
      <c r="H2057" s="25"/>
      <c r="I2057" s="25"/>
      <c r="J2057" s="55"/>
      <c r="K2057" s="25" t="str">
        <f ca="1">IFERROR(__xludf.DUMMYFUNCTION("""COMPUTED_VALUE"""),"Definir fecha")</f>
        <v>Definir fecha</v>
      </c>
      <c r="L2057" s="62"/>
      <c r="M2057" s="25"/>
      <c r="N2057" s="25"/>
      <c r="O2057" s="25">
        <f t="shared" si="0"/>
        <v>0</v>
      </c>
      <c r="P2057" s="25" t="str">
        <f t="shared" si="2"/>
        <v/>
      </c>
      <c r="Q2057" s="25" t="str">
        <f ca="1">IFERROR(__xludf.DUMMYFUNCTION("""COMPUTED_VALUE"""),"Sin defenir")</f>
        <v>Sin defenir</v>
      </c>
      <c r="R2057" s="25"/>
      <c r="S2057" s="55"/>
      <c r="T2057" s="56"/>
      <c r="U2057" s="25"/>
      <c r="V2057" s="25"/>
      <c r="W2057" s="25"/>
      <c r="X2057" s="25"/>
      <c r="Y2057" s="25"/>
      <c r="Z2057" s="25"/>
    </row>
    <row r="2058" spans="1:26" ht="52.5" customHeight="1" x14ac:dyDescent="0.25">
      <c r="A2058" s="25" t="str">
        <f ca="1">IFERROR(__xludf.DUMMYFUNCTION("""COMPUTED_VALUE"""),"Desar256")</f>
        <v>Desar256</v>
      </c>
      <c r="B2058" s="25"/>
      <c r="C2058" s="55"/>
      <c r="D2058" s="25" t="str">
        <f ca="1">IFERROR(__xludf.DUMMYFUNCTION("""COMPUTED_VALUE"""),"Desarrollo_Económico")</f>
        <v>Desarrollo_Económico</v>
      </c>
      <c r="E2058" s="25"/>
      <c r="F2058" s="25"/>
      <c r="G2058" s="25"/>
      <c r="H2058" s="25"/>
      <c r="I2058" s="25"/>
      <c r="J2058" s="55"/>
      <c r="K2058" s="25" t="str">
        <f ca="1">IFERROR(__xludf.DUMMYFUNCTION("""COMPUTED_VALUE"""),"Definir fecha")</f>
        <v>Definir fecha</v>
      </c>
      <c r="L2058" s="62"/>
      <c r="M2058" s="25"/>
      <c r="N2058" s="25"/>
      <c r="O2058" s="25">
        <f t="shared" si="0"/>
        <v>0</v>
      </c>
      <c r="P2058" s="25" t="str">
        <f t="shared" si="2"/>
        <v/>
      </c>
      <c r="Q2058" s="25" t="str">
        <f ca="1">IFERROR(__xludf.DUMMYFUNCTION("""COMPUTED_VALUE"""),"Sin defenir")</f>
        <v>Sin defenir</v>
      </c>
      <c r="R2058" s="25"/>
      <c r="S2058" s="55"/>
      <c r="T2058" s="56"/>
      <c r="U2058" s="25"/>
      <c r="V2058" s="25"/>
      <c r="W2058" s="25"/>
      <c r="X2058" s="25"/>
      <c r="Y2058" s="25"/>
      <c r="Z2058" s="25"/>
    </row>
    <row r="2059" spans="1:26" ht="52.5" customHeight="1" x14ac:dyDescent="0.25">
      <c r="A2059" s="25" t="str">
        <f ca="1">IFERROR(__xludf.DUMMYFUNCTION("""COMPUTED_VALUE"""),"Desar257")</f>
        <v>Desar257</v>
      </c>
      <c r="B2059" s="25"/>
      <c r="C2059" s="55"/>
      <c r="D2059" s="25" t="str">
        <f ca="1">IFERROR(__xludf.DUMMYFUNCTION("""COMPUTED_VALUE"""),"Desarrollo_Económico")</f>
        <v>Desarrollo_Económico</v>
      </c>
      <c r="E2059" s="25"/>
      <c r="F2059" s="25"/>
      <c r="G2059" s="25"/>
      <c r="H2059" s="25"/>
      <c r="I2059" s="25"/>
      <c r="J2059" s="55"/>
      <c r="K2059" s="25" t="str">
        <f ca="1">IFERROR(__xludf.DUMMYFUNCTION("""COMPUTED_VALUE"""),"Definir fecha")</f>
        <v>Definir fecha</v>
      </c>
      <c r="L2059" s="62"/>
      <c r="M2059" s="25"/>
      <c r="N2059" s="25"/>
      <c r="O2059" s="25">
        <f t="shared" si="0"/>
        <v>0</v>
      </c>
      <c r="P2059" s="25" t="str">
        <f t="shared" si="2"/>
        <v/>
      </c>
      <c r="Q2059" s="25" t="str">
        <f ca="1">IFERROR(__xludf.DUMMYFUNCTION("""COMPUTED_VALUE"""),"Sin defenir")</f>
        <v>Sin defenir</v>
      </c>
      <c r="R2059" s="25"/>
      <c r="S2059" s="55"/>
      <c r="T2059" s="56"/>
      <c r="U2059" s="25"/>
      <c r="V2059" s="25"/>
      <c r="W2059" s="25"/>
      <c r="X2059" s="25"/>
      <c r="Y2059" s="25"/>
      <c r="Z2059" s="25"/>
    </row>
    <row r="2060" spans="1:26" ht="52.5" customHeight="1" x14ac:dyDescent="0.25">
      <c r="A2060" s="25" t="str">
        <f ca="1">IFERROR(__xludf.DUMMYFUNCTION("""COMPUTED_VALUE"""),"Desar258")</f>
        <v>Desar258</v>
      </c>
      <c r="B2060" s="25"/>
      <c r="C2060" s="55"/>
      <c r="D2060" s="25" t="str">
        <f ca="1">IFERROR(__xludf.DUMMYFUNCTION("""COMPUTED_VALUE"""),"Desarrollo_Económico")</f>
        <v>Desarrollo_Económico</v>
      </c>
      <c r="E2060" s="25"/>
      <c r="F2060" s="25"/>
      <c r="G2060" s="25"/>
      <c r="H2060" s="25"/>
      <c r="I2060" s="25"/>
      <c r="J2060" s="55"/>
      <c r="K2060" s="25" t="str">
        <f ca="1">IFERROR(__xludf.DUMMYFUNCTION("""COMPUTED_VALUE"""),"Definir fecha")</f>
        <v>Definir fecha</v>
      </c>
      <c r="L2060" s="62"/>
      <c r="M2060" s="25"/>
      <c r="N2060" s="25"/>
      <c r="O2060" s="25">
        <f t="shared" si="0"/>
        <v>0</v>
      </c>
      <c r="P2060" s="25" t="str">
        <f t="shared" si="2"/>
        <v/>
      </c>
      <c r="Q2060" s="25" t="str">
        <f ca="1">IFERROR(__xludf.DUMMYFUNCTION("""COMPUTED_VALUE"""),"Sin defenir")</f>
        <v>Sin defenir</v>
      </c>
      <c r="R2060" s="25"/>
      <c r="S2060" s="55"/>
      <c r="T2060" s="56"/>
      <c r="U2060" s="25"/>
      <c r="V2060" s="25"/>
      <c r="W2060" s="25"/>
      <c r="X2060" s="25"/>
      <c r="Y2060" s="25"/>
      <c r="Z2060" s="25"/>
    </row>
    <row r="2061" spans="1:26" ht="52.5" customHeight="1" x14ac:dyDescent="0.25">
      <c r="A2061" s="25" t="str">
        <f ca="1">IFERROR(__xludf.DUMMYFUNCTION("""COMPUTED_VALUE"""),"Desar259")</f>
        <v>Desar259</v>
      </c>
      <c r="B2061" s="25"/>
      <c r="C2061" s="55"/>
      <c r="D2061" s="25" t="str">
        <f ca="1">IFERROR(__xludf.DUMMYFUNCTION("""COMPUTED_VALUE"""),"Desarrollo_Económico")</f>
        <v>Desarrollo_Económico</v>
      </c>
      <c r="E2061" s="25"/>
      <c r="F2061" s="25"/>
      <c r="G2061" s="25"/>
      <c r="H2061" s="25"/>
      <c r="I2061" s="25"/>
      <c r="J2061" s="55"/>
      <c r="K2061" s="25" t="str">
        <f ca="1">IFERROR(__xludf.DUMMYFUNCTION("""COMPUTED_VALUE"""),"Definir fecha")</f>
        <v>Definir fecha</v>
      </c>
      <c r="L2061" s="62"/>
      <c r="M2061" s="25"/>
      <c r="N2061" s="25"/>
      <c r="O2061" s="25">
        <f t="shared" si="0"/>
        <v>0</v>
      </c>
      <c r="P2061" s="25" t="str">
        <f t="shared" si="2"/>
        <v/>
      </c>
      <c r="Q2061" s="25" t="str">
        <f ca="1">IFERROR(__xludf.DUMMYFUNCTION("""COMPUTED_VALUE"""),"Sin defenir")</f>
        <v>Sin defenir</v>
      </c>
      <c r="R2061" s="25"/>
      <c r="S2061" s="55"/>
      <c r="T2061" s="56"/>
      <c r="U2061" s="25"/>
      <c r="V2061" s="25"/>
      <c r="W2061" s="25"/>
      <c r="X2061" s="25"/>
      <c r="Y2061" s="25"/>
      <c r="Z2061" s="25"/>
    </row>
    <row r="2062" spans="1:26" ht="52.5" customHeight="1" x14ac:dyDescent="0.25">
      <c r="A2062" s="25" t="str">
        <f ca="1">IFERROR(__xludf.DUMMYFUNCTION("""COMPUTED_VALUE"""),"Desar260")</f>
        <v>Desar260</v>
      </c>
      <c r="B2062" s="25"/>
      <c r="C2062" s="55"/>
      <c r="D2062" s="25" t="str">
        <f ca="1">IFERROR(__xludf.DUMMYFUNCTION("""COMPUTED_VALUE"""),"Desarrollo_Económico")</f>
        <v>Desarrollo_Económico</v>
      </c>
      <c r="E2062" s="25"/>
      <c r="F2062" s="25"/>
      <c r="G2062" s="25"/>
      <c r="H2062" s="25"/>
      <c r="I2062" s="25"/>
      <c r="J2062" s="55"/>
      <c r="K2062" s="25" t="str">
        <f ca="1">IFERROR(__xludf.DUMMYFUNCTION("""COMPUTED_VALUE"""),"Definir fecha")</f>
        <v>Definir fecha</v>
      </c>
      <c r="L2062" s="62"/>
      <c r="M2062" s="25"/>
      <c r="N2062" s="25"/>
      <c r="O2062" s="25">
        <f t="shared" si="0"/>
        <v>0</v>
      </c>
      <c r="P2062" s="25" t="str">
        <f t="shared" si="2"/>
        <v/>
      </c>
      <c r="Q2062" s="25" t="str">
        <f ca="1">IFERROR(__xludf.DUMMYFUNCTION("""COMPUTED_VALUE"""),"Sin defenir")</f>
        <v>Sin defenir</v>
      </c>
      <c r="R2062" s="25"/>
      <c r="S2062" s="55"/>
      <c r="T2062" s="56"/>
      <c r="U2062" s="25"/>
      <c r="V2062" s="25"/>
      <c r="W2062" s="25"/>
      <c r="X2062" s="25"/>
      <c r="Y2062" s="25"/>
      <c r="Z2062" s="25"/>
    </row>
    <row r="2063" spans="1:26" ht="52.5" customHeight="1" x14ac:dyDescent="0.25">
      <c r="A2063" s="25" t="str">
        <f ca="1">IFERROR(__xludf.DUMMYFUNCTION("""COMPUTED_VALUE"""),"Desar261")</f>
        <v>Desar261</v>
      </c>
      <c r="B2063" s="25"/>
      <c r="C2063" s="55"/>
      <c r="D2063" s="25" t="str">
        <f ca="1">IFERROR(__xludf.DUMMYFUNCTION("""COMPUTED_VALUE"""),"Desarrollo_Económico")</f>
        <v>Desarrollo_Económico</v>
      </c>
      <c r="E2063" s="25"/>
      <c r="F2063" s="25"/>
      <c r="G2063" s="25"/>
      <c r="H2063" s="25"/>
      <c r="I2063" s="25"/>
      <c r="J2063" s="55"/>
      <c r="K2063" s="25" t="str">
        <f ca="1">IFERROR(__xludf.DUMMYFUNCTION("""COMPUTED_VALUE"""),"Definir fecha")</f>
        <v>Definir fecha</v>
      </c>
      <c r="L2063" s="62"/>
      <c r="M2063" s="25"/>
      <c r="N2063" s="25"/>
      <c r="O2063" s="25">
        <f t="shared" si="0"/>
        <v>0</v>
      </c>
      <c r="P2063" s="25" t="str">
        <f t="shared" si="2"/>
        <v/>
      </c>
      <c r="Q2063" s="25" t="str">
        <f ca="1">IFERROR(__xludf.DUMMYFUNCTION("""COMPUTED_VALUE"""),"Sin defenir")</f>
        <v>Sin defenir</v>
      </c>
      <c r="R2063" s="25"/>
      <c r="S2063" s="55"/>
      <c r="T2063" s="56"/>
      <c r="U2063" s="25"/>
      <c r="V2063" s="25"/>
      <c r="W2063" s="25"/>
      <c r="X2063" s="25"/>
      <c r="Y2063" s="25"/>
      <c r="Z2063" s="25"/>
    </row>
    <row r="2064" spans="1:26" ht="52.5" customHeight="1" x14ac:dyDescent="0.25">
      <c r="A2064" s="25" t="str">
        <f ca="1">IFERROR(__xludf.DUMMYFUNCTION("""COMPUTED_VALUE"""),"Desar262")</f>
        <v>Desar262</v>
      </c>
      <c r="B2064" s="25"/>
      <c r="C2064" s="55"/>
      <c r="D2064" s="25" t="str">
        <f ca="1">IFERROR(__xludf.DUMMYFUNCTION("""COMPUTED_VALUE"""),"Desarrollo_Económico")</f>
        <v>Desarrollo_Económico</v>
      </c>
      <c r="E2064" s="25"/>
      <c r="F2064" s="25"/>
      <c r="G2064" s="25"/>
      <c r="H2064" s="25"/>
      <c r="I2064" s="25"/>
      <c r="J2064" s="55"/>
      <c r="K2064" s="25" t="str">
        <f ca="1">IFERROR(__xludf.DUMMYFUNCTION("""COMPUTED_VALUE"""),"Definir fecha")</f>
        <v>Definir fecha</v>
      </c>
      <c r="L2064" s="62"/>
      <c r="M2064" s="25"/>
      <c r="N2064" s="25"/>
      <c r="O2064" s="25">
        <f t="shared" si="0"/>
        <v>0</v>
      </c>
      <c r="P2064" s="25" t="str">
        <f t="shared" si="2"/>
        <v/>
      </c>
      <c r="Q2064" s="25" t="str">
        <f ca="1">IFERROR(__xludf.DUMMYFUNCTION("""COMPUTED_VALUE"""),"Sin defenir")</f>
        <v>Sin defenir</v>
      </c>
      <c r="R2064" s="25"/>
      <c r="S2064" s="55"/>
      <c r="T2064" s="56"/>
      <c r="U2064" s="25"/>
      <c r="V2064" s="25"/>
      <c r="W2064" s="25"/>
      <c r="X2064" s="25"/>
      <c r="Y2064" s="25"/>
      <c r="Z2064" s="25"/>
    </row>
    <row r="2065" spans="1:26" ht="52.5" customHeight="1" x14ac:dyDescent="0.25">
      <c r="A2065" s="25" t="str">
        <f ca="1">IFERROR(__xludf.DUMMYFUNCTION("""COMPUTED_VALUE"""),"Desar263")</f>
        <v>Desar263</v>
      </c>
      <c r="B2065" s="25"/>
      <c r="C2065" s="55"/>
      <c r="D2065" s="25" t="str">
        <f ca="1">IFERROR(__xludf.DUMMYFUNCTION("""COMPUTED_VALUE"""),"Desarrollo_Económico")</f>
        <v>Desarrollo_Económico</v>
      </c>
      <c r="E2065" s="25"/>
      <c r="F2065" s="25"/>
      <c r="G2065" s="25"/>
      <c r="H2065" s="25"/>
      <c r="I2065" s="25"/>
      <c r="J2065" s="55"/>
      <c r="K2065" s="25" t="str">
        <f ca="1">IFERROR(__xludf.DUMMYFUNCTION("""COMPUTED_VALUE"""),"Definir fecha")</f>
        <v>Definir fecha</v>
      </c>
      <c r="L2065" s="62"/>
      <c r="M2065" s="25"/>
      <c r="N2065" s="25"/>
      <c r="O2065" s="25">
        <f t="shared" si="0"/>
        <v>0</v>
      </c>
      <c r="P2065" s="25" t="str">
        <f t="shared" si="2"/>
        <v/>
      </c>
      <c r="Q2065" s="25" t="str">
        <f ca="1">IFERROR(__xludf.DUMMYFUNCTION("""COMPUTED_VALUE"""),"Sin defenir")</f>
        <v>Sin defenir</v>
      </c>
      <c r="R2065" s="25"/>
      <c r="S2065" s="55"/>
      <c r="T2065" s="56"/>
      <c r="U2065" s="25"/>
      <c r="V2065" s="25"/>
      <c r="W2065" s="25"/>
      <c r="X2065" s="25"/>
      <c r="Y2065" s="25"/>
      <c r="Z2065" s="25"/>
    </row>
    <row r="2066" spans="1:26" ht="52.5" customHeight="1" x14ac:dyDescent="0.25">
      <c r="A2066" s="25" t="str">
        <f ca="1">IFERROR(__xludf.DUMMYFUNCTION("""COMPUTED_VALUE"""),"Desar264")</f>
        <v>Desar264</v>
      </c>
      <c r="B2066" s="25"/>
      <c r="C2066" s="55"/>
      <c r="D2066" s="25" t="str">
        <f ca="1">IFERROR(__xludf.DUMMYFUNCTION("""COMPUTED_VALUE"""),"Desarrollo_Económico")</f>
        <v>Desarrollo_Económico</v>
      </c>
      <c r="E2066" s="25"/>
      <c r="F2066" s="25"/>
      <c r="G2066" s="25"/>
      <c r="H2066" s="25"/>
      <c r="I2066" s="25"/>
      <c r="J2066" s="55"/>
      <c r="K2066" s="25" t="str">
        <f ca="1">IFERROR(__xludf.DUMMYFUNCTION("""COMPUTED_VALUE"""),"Definir fecha")</f>
        <v>Definir fecha</v>
      </c>
      <c r="L2066" s="62"/>
      <c r="M2066" s="25"/>
      <c r="N2066" s="25"/>
      <c r="O2066" s="25">
        <f t="shared" si="0"/>
        <v>0</v>
      </c>
      <c r="P2066" s="25" t="str">
        <f t="shared" si="2"/>
        <v/>
      </c>
      <c r="Q2066" s="25" t="str">
        <f ca="1">IFERROR(__xludf.DUMMYFUNCTION("""COMPUTED_VALUE"""),"Sin defenir")</f>
        <v>Sin defenir</v>
      </c>
      <c r="R2066" s="25"/>
      <c r="S2066" s="55"/>
      <c r="T2066" s="56"/>
      <c r="U2066" s="25"/>
      <c r="V2066" s="25"/>
      <c r="W2066" s="25"/>
      <c r="X2066" s="25"/>
      <c r="Y2066" s="25"/>
      <c r="Z2066" s="25"/>
    </row>
    <row r="2067" spans="1:26" ht="52.5" customHeight="1" x14ac:dyDescent="0.25">
      <c r="A2067" s="25" t="str">
        <f ca="1">IFERROR(__xludf.DUMMYFUNCTION("""COMPUTED_VALUE"""),"Desar265")</f>
        <v>Desar265</v>
      </c>
      <c r="B2067" s="25"/>
      <c r="C2067" s="55"/>
      <c r="D2067" s="25" t="str">
        <f ca="1">IFERROR(__xludf.DUMMYFUNCTION("""COMPUTED_VALUE"""),"Desarrollo_Económico")</f>
        <v>Desarrollo_Económico</v>
      </c>
      <c r="E2067" s="25"/>
      <c r="F2067" s="25"/>
      <c r="G2067" s="25"/>
      <c r="H2067" s="25"/>
      <c r="I2067" s="25"/>
      <c r="J2067" s="55"/>
      <c r="K2067" s="25" t="str">
        <f ca="1">IFERROR(__xludf.DUMMYFUNCTION("""COMPUTED_VALUE"""),"Definir fecha")</f>
        <v>Definir fecha</v>
      </c>
      <c r="L2067" s="62"/>
      <c r="M2067" s="25"/>
      <c r="N2067" s="25"/>
      <c r="O2067" s="25">
        <f t="shared" si="0"/>
        <v>0</v>
      </c>
      <c r="P2067" s="25" t="str">
        <f t="shared" si="2"/>
        <v/>
      </c>
      <c r="Q2067" s="25" t="str">
        <f ca="1">IFERROR(__xludf.DUMMYFUNCTION("""COMPUTED_VALUE"""),"Sin defenir")</f>
        <v>Sin defenir</v>
      </c>
      <c r="R2067" s="25"/>
      <c r="S2067" s="55"/>
      <c r="T2067" s="56"/>
      <c r="U2067" s="25"/>
      <c r="V2067" s="25"/>
      <c r="W2067" s="25"/>
      <c r="X2067" s="25"/>
      <c r="Y2067" s="25"/>
      <c r="Z2067" s="25"/>
    </row>
    <row r="2068" spans="1:26" ht="52.5" customHeight="1" x14ac:dyDescent="0.25">
      <c r="A2068" s="25" t="str">
        <f ca="1">IFERROR(__xludf.DUMMYFUNCTION("""COMPUTED_VALUE"""),"Desar266")</f>
        <v>Desar266</v>
      </c>
      <c r="B2068" s="25"/>
      <c r="C2068" s="55"/>
      <c r="D2068" s="25" t="str">
        <f ca="1">IFERROR(__xludf.DUMMYFUNCTION("""COMPUTED_VALUE"""),"Desarrollo_Económico")</f>
        <v>Desarrollo_Económico</v>
      </c>
      <c r="E2068" s="25"/>
      <c r="F2068" s="25"/>
      <c r="G2068" s="25"/>
      <c r="H2068" s="25"/>
      <c r="I2068" s="25"/>
      <c r="J2068" s="55"/>
      <c r="K2068" s="25" t="str">
        <f ca="1">IFERROR(__xludf.DUMMYFUNCTION("""COMPUTED_VALUE"""),"Definir fecha")</f>
        <v>Definir fecha</v>
      </c>
      <c r="L2068" s="62"/>
      <c r="M2068" s="25"/>
      <c r="N2068" s="25"/>
      <c r="O2068" s="25">
        <f t="shared" si="0"/>
        <v>0</v>
      </c>
      <c r="P2068" s="25" t="str">
        <f t="shared" si="2"/>
        <v/>
      </c>
      <c r="Q2068" s="25" t="str">
        <f ca="1">IFERROR(__xludf.DUMMYFUNCTION("""COMPUTED_VALUE"""),"Sin defenir")</f>
        <v>Sin defenir</v>
      </c>
      <c r="R2068" s="25"/>
      <c r="S2068" s="55"/>
      <c r="T2068" s="56"/>
      <c r="U2068" s="25"/>
      <c r="V2068" s="25"/>
      <c r="W2068" s="25"/>
      <c r="X2068" s="25"/>
      <c r="Y2068" s="25"/>
      <c r="Z2068" s="25"/>
    </row>
    <row r="2069" spans="1:26" ht="52.5" customHeight="1" x14ac:dyDescent="0.25">
      <c r="A2069" s="25" t="str">
        <f ca="1">IFERROR(__xludf.DUMMYFUNCTION("""COMPUTED_VALUE"""),"Desar267")</f>
        <v>Desar267</v>
      </c>
      <c r="B2069" s="25"/>
      <c r="C2069" s="55"/>
      <c r="D2069" s="25" t="str">
        <f ca="1">IFERROR(__xludf.DUMMYFUNCTION("""COMPUTED_VALUE"""),"Desarrollo_Económico")</f>
        <v>Desarrollo_Económico</v>
      </c>
      <c r="E2069" s="25"/>
      <c r="F2069" s="25"/>
      <c r="G2069" s="25"/>
      <c r="H2069" s="25"/>
      <c r="I2069" s="25"/>
      <c r="J2069" s="55"/>
      <c r="K2069" s="25" t="str">
        <f ca="1">IFERROR(__xludf.DUMMYFUNCTION("""COMPUTED_VALUE"""),"Definir fecha")</f>
        <v>Definir fecha</v>
      </c>
      <c r="L2069" s="62"/>
      <c r="M2069" s="25"/>
      <c r="N2069" s="25"/>
      <c r="O2069" s="25">
        <f t="shared" si="0"/>
        <v>0</v>
      </c>
      <c r="P2069" s="25" t="str">
        <f t="shared" si="2"/>
        <v/>
      </c>
      <c r="Q2069" s="25" t="str">
        <f ca="1">IFERROR(__xludf.DUMMYFUNCTION("""COMPUTED_VALUE"""),"Sin defenir")</f>
        <v>Sin defenir</v>
      </c>
      <c r="R2069" s="25"/>
      <c r="S2069" s="55"/>
      <c r="T2069" s="56"/>
      <c r="U2069" s="25"/>
      <c r="V2069" s="25"/>
      <c r="W2069" s="25"/>
      <c r="X2069" s="25"/>
      <c r="Y2069" s="25"/>
      <c r="Z2069" s="25"/>
    </row>
    <row r="2070" spans="1:26" ht="52.5" customHeight="1" x14ac:dyDescent="0.25">
      <c r="A2070" s="25" t="str">
        <f ca="1">IFERROR(__xludf.DUMMYFUNCTION("""COMPUTED_VALUE"""),"Desar268")</f>
        <v>Desar268</v>
      </c>
      <c r="B2070" s="25"/>
      <c r="C2070" s="55"/>
      <c r="D2070" s="25" t="str">
        <f ca="1">IFERROR(__xludf.DUMMYFUNCTION("""COMPUTED_VALUE"""),"Desarrollo_Económico")</f>
        <v>Desarrollo_Económico</v>
      </c>
      <c r="E2070" s="25"/>
      <c r="F2070" s="25"/>
      <c r="G2070" s="25"/>
      <c r="H2070" s="25"/>
      <c r="I2070" s="25"/>
      <c r="J2070" s="55"/>
      <c r="K2070" s="25" t="str">
        <f ca="1">IFERROR(__xludf.DUMMYFUNCTION("""COMPUTED_VALUE"""),"Definir fecha")</f>
        <v>Definir fecha</v>
      </c>
      <c r="L2070" s="62"/>
      <c r="M2070" s="25"/>
      <c r="N2070" s="25"/>
      <c r="O2070" s="25">
        <f t="shared" si="0"/>
        <v>0</v>
      </c>
      <c r="P2070" s="25" t="str">
        <f t="shared" si="2"/>
        <v/>
      </c>
      <c r="Q2070" s="25" t="str">
        <f ca="1">IFERROR(__xludf.DUMMYFUNCTION("""COMPUTED_VALUE"""),"Sin defenir")</f>
        <v>Sin defenir</v>
      </c>
      <c r="R2070" s="25"/>
      <c r="S2070" s="55"/>
      <c r="T2070" s="56"/>
      <c r="U2070" s="25"/>
      <c r="V2070" s="25"/>
      <c r="W2070" s="25"/>
      <c r="X2070" s="25"/>
      <c r="Y2070" s="25"/>
      <c r="Z2070" s="25"/>
    </row>
    <row r="2071" spans="1:26" ht="52.5" customHeight="1" x14ac:dyDescent="0.25">
      <c r="A2071" s="25" t="str">
        <f ca="1">IFERROR(__xludf.DUMMYFUNCTION("""COMPUTED_VALUE"""),"Desar269")</f>
        <v>Desar269</v>
      </c>
      <c r="B2071" s="25"/>
      <c r="C2071" s="55"/>
      <c r="D2071" s="25" t="str">
        <f ca="1">IFERROR(__xludf.DUMMYFUNCTION("""COMPUTED_VALUE"""),"Desarrollo_Económico")</f>
        <v>Desarrollo_Económico</v>
      </c>
      <c r="E2071" s="25"/>
      <c r="F2071" s="25"/>
      <c r="G2071" s="25"/>
      <c r="H2071" s="25"/>
      <c r="I2071" s="25"/>
      <c r="J2071" s="55"/>
      <c r="K2071" s="25" t="str">
        <f ca="1">IFERROR(__xludf.DUMMYFUNCTION("""COMPUTED_VALUE"""),"Definir fecha")</f>
        <v>Definir fecha</v>
      </c>
      <c r="L2071" s="62"/>
      <c r="M2071" s="25"/>
      <c r="N2071" s="25"/>
      <c r="O2071" s="25">
        <f t="shared" si="0"/>
        <v>0</v>
      </c>
      <c r="P2071" s="25" t="str">
        <f t="shared" si="2"/>
        <v/>
      </c>
      <c r="Q2071" s="25" t="str">
        <f ca="1">IFERROR(__xludf.DUMMYFUNCTION("""COMPUTED_VALUE"""),"Sin defenir")</f>
        <v>Sin defenir</v>
      </c>
      <c r="R2071" s="25"/>
      <c r="S2071" s="55"/>
      <c r="T2071" s="56"/>
      <c r="U2071" s="25"/>
      <c r="V2071" s="25"/>
      <c r="W2071" s="25"/>
      <c r="X2071" s="25"/>
      <c r="Y2071" s="25"/>
      <c r="Z2071" s="25"/>
    </row>
    <row r="2072" spans="1:26" ht="52.5" customHeight="1" x14ac:dyDescent="0.25">
      <c r="A2072" s="25" t="str">
        <f ca="1">IFERROR(__xludf.DUMMYFUNCTION("""COMPUTED_VALUE"""),"Desar270")</f>
        <v>Desar270</v>
      </c>
      <c r="B2072" s="25"/>
      <c r="C2072" s="55"/>
      <c r="D2072" s="25" t="str">
        <f ca="1">IFERROR(__xludf.DUMMYFUNCTION("""COMPUTED_VALUE"""),"Desarrollo_Económico")</f>
        <v>Desarrollo_Económico</v>
      </c>
      <c r="E2072" s="25"/>
      <c r="F2072" s="25"/>
      <c r="G2072" s="25"/>
      <c r="H2072" s="25"/>
      <c r="I2072" s="25"/>
      <c r="J2072" s="55"/>
      <c r="K2072" s="25" t="str">
        <f ca="1">IFERROR(__xludf.DUMMYFUNCTION("""COMPUTED_VALUE"""),"Definir fecha")</f>
        <v>Definir fecha</v>
      </c>
      <c r="L2072" s="62"/>
      <c r="M2072" s="25"/>
      <c r="N2072" s="25"/>
      <c r="O2072" s="25">
        <f t="shared" si="0"/>
        <v>0</v>
      </c>
      <c r="P2072" s="25" t="str">
        <f t="shared" si="2"/>
        <v/>
      </c>
      <c r="Q2072" s="25" t="str">
        <f ca="1">IFERROR(__xludf.DUMMYFUNCTION("""COMPUTED_VALUE"""),"Sin defenir")</f>
        <v>Sin defenir</v>
      </c>
      <c r="R2072" s="25"/>
      <c r="S2072" s="55"/>
      <c r="T2072" s="56"/>
      <c r="U2072" s="25"/>
      <c r="V2072" s="25"/>
      <c r="W2072" s="25"/>
      <c r="X2072" s="25"/>
      <c r="Y2072" s="25"/>
      <c r="Z2072" s="25"/>
    </row>
    <row r="2073" spans="1:26" ht="52.5" customHeight="1" x14ac:dyDescent="0.25">
      <c r="A2073" s="25" t="str">
        <f ca="1">IFERROR(__xludf.DUMMYFUNCTION("""COMPUTED_VALUE"""),"Desar271")</f>
        <v>Desar271</v>
      </c>
      <c r="B2073" s="25"/>
      <c r="C2073" s="55"/>
      <c r="D2073" s="25" t="str">
        <f ca="1">IFERROR(__xludf.DUMMYFUNCTION("""COMPUTED_VALUE"""),"Desarrollo_Económico")</f>
        <v>Desarrollo_Económico</v>
      </c>
      <c r="E2073" s="25"/>
      <c r="F2073" s="25"/>
      <c r="G2073" s="25"/>
      <c r="H2073" s="25"/>
      <c r="I2073" s="25"/>
      <c r="J2073" s="55"/>
      <c r="K2073" s="25" t="str">
        <f ca="1">IFERROR(__xludf.DUMMYFUNCTION("""COMPUTED_VALUE"""),"Definir fecha")</f>
        <v>Definir fecha</v>
      </c>
      <c r="L2073" s="62"/>
      <c r="M2073" s="25"/>
      <c r="N2073" s="25"/>
      <c r="O2073" s="25">
        <f t="shared" si="0"/>
        <v>0</v>
      </c>
      <c r="P2073" s="25" t="str">
        <f t="shared" si="2"/>
        <v/>
      </c>
      <c r="Q2073" s="25" t="str">
        <f ca="1">IFERROR(__xludf.DUMMYFUNCTION("""COMPUTED_VALUE"""),"Sin defenir")</f>
        <v>Sin defenir</v>
      </c>
      <c r="R2073" s="25"/>
      <c r="S2073" s="55"/>
      <c r="T2073" s="56"/>
      <c r="U2073" s="25"/>
      <c r="V2073" s="25"/>
      <c r="W2073" s="25"/>
      <c r="X2073" s="25"/>
      <c r="Y2073" s="25"/>
      <c r="Z2073" s="25"/>
    </row>
    <row r="2074" spans="1:26" ht="52.5" customHeight="1" x14ac:dyDescent="0.25">
      <c r="A2074" s="25" t="str">
        <f ca="1">IFERROR(__xludf.DUMMYFUNCTION("""COMPUTED_VALUE"""),"Desar272")</f>
        <v>Desar272</v>
      </c>
      <c r="B2074" s="25"/>
      <c r="C2074" s="55"/>
      <c r="D2074" s="25" t="str">
        <f ca="1">IFERROR(__xludf.DUMMYFUNCTION("""COMPUTED_VALUE"""),"Desarrollo_Económico")</f>
        <v>Desarrollo_Económico</v>
      </c>
      <c r="E2074" s="25"/>
      <c r="F2074" s="25"/>
      <c r="G2074" s="25"/>
      <c r="H2074" s="25"/>
      <c r="I2074" s="25"/>
      <c r="J2074" s="55"/>
      <c r="K2074" s="25" t="str">
        <f ca="1">IFERROR(__xludf.DUMMYFUNCTION("""COMPUTED_VALUE"""),"Definir fecha")</f>
        <v>Definir fecha</v>
      </c>
      <c r="L2074" s="62"/>
      <c r="M2074" s="25"/>
      <c r="N2074" s="25"/>
      <c r="O2074" s="25">
        <f t="shared" si="0"/>
        <v>0</v>
      </c>
      <c r="P2074" s="25" t="str">
        <f t="shared" si="2"/>
        <v/>
      </c>
      <c r="Q2074" s="25" t="str">
        <f ca="1">IFERROR(__xludf.DUMMYFUNCTION("""COMPUTED_VALUE"""),"Sin defenir")</f>
        <v>Sin defenir</v>
      </c>
      <c r="R2074" s="25"/>
      <c r="S2074" s="55"/>
      <c r="T2074" s="56"/>
      <c r="U2074" s="25"/>
      <c r="V2074" s="25"/>
      <c r="W2074" s="25"/>
      <c r="X2074" s="25"/>
      <c r="Y2074" s="25"/>
      <c r="Z2074" s="25"/>
    </row>
    <row r="2075" spans="1:26" ht="52.5" customHeight="1" x14ac:dyDescent="0.25">
      <c r="A2075" s="25" t="str">
        <f ca="1">IFERROR(__xludf.DUMMYFUNCTION("""COMPUTED_VALUE"""),"Desar273")</f>
        <v>Desar273</v>
      </c>
      <c r="B2075" s="25"/>
      <c r="C2075" s="55"/>
      <c r="D2075" s="25" t="str">
        <f ca="1">IFERROR(__xludf.DUMMYFUNCTION("""COMPUTED_VALUE"""),"Desarrollo_Económico")</f>
        <v>Desarrollo_Económico</v>
      </c>
      <c r="E2075" s="25"/>
      <c r="F2075" s="25"/>
      <c r="G2075" s="25"/>
      <c r="H2075" s="25"/>
      <c r="I2075" s="25"/>
      <c r="J2075" s="55"/>
      <c r="K2075" s="25" t="str">
        <f ca="1">IFERROR(__xludf.DUMMYFUNCTION("""COMPUTED_VALUE"""),"Definir fecha")</f>
        <v>Definir fecha</v>
      </c>
      <c r="L2075" s="62"/>
      <c r="M2075" s="25"/>
      <c r="N2075" s="25"/>
      <c r="O2075" s="25">
        <f t="shared" si="0"/>
        <v>0</v>
      </c>
      <c r="P2075" s="25" t="str">
        <f t="shared" si="2"/>
        <v/>
      </c>
      <c r="Q2075" s="25" t="str">
        <f ca="1">IFERROR(__xludf.DUMMYFUNCTION("""COMPUTED_VALUE"""),"Sin defenir")</f>
        <v>Sin defenir</v>
      </c>
      <c r="R2075" s="25"/>
      <c r="S2075" s="55"/>
      <c r="T2075" s="56"/>
      <c r="U2075" s="25"/>
      <c r="V2075" s="25"/>
      <c r="W2075" s="25"/>
      <c r="X2075" s="25"/>
      <c r="Y2075" s="25"/>
      <c r="Z2075" s="25"/>
    </row>
    <row r="2076" spans="1:26" ht="52.5" customHeight="1" x14ac:dyDescent="0.25">
      <c r="A2076" s="25" t="str">
        <f ca="1">IFERROR(__xludf.DUMMYFUNCTION("""COMPUTED_VALUE"""),"Desar274")</f>
        <v>Desar274</v>
      </c>
      <c r="B2076" s="25"/>
      <c r="C2076" s="55"/>
      <c r="D2076" s="25" t="str">
        <f ca="1">IFERROR(__xludf.DUMMYFUNCTION("""COMPUTED_VALUE"""),"Desarrollo_Económico")</f>
        <v>Desarrollo_Económico</v>
      </c>
      <c r="E2076" s="25"/>
      <c r="F2076" s="25"/>
      <c r="G2076" s="25"/>
      <c r="H2076" s="25"/>
      <c r="I2076" s="25"/>
      <c r="J2076" s="55"/>
      <c r="K2076" s="25" t="str">
        <f ca="1">IFERROR(__xludf.DUMMYFUNCTION("""COMPUTED_VALUE"""),"Definir fecha")</f>
        <v>Definir fecha</v>
      </c>
      <c r="L2076" s="62"/>
      <c r="M2076" s="25"/>
      <c r="N2076" s="25"/>
      <c r="O2076" s="25">
        <f t="shared" si="0"/>
        <v>0</v>
      </c>
      <c r="P2076" s="25" t="str">
        <f t="shared" si="2"/>
        <v/>
      </c>
      <c r="Q2076" s="25" t="str">
        <f ca="1">IFERROR(__xludf.DUMMYFUNCTION("""COMPUTED_VALUE"""),"Sin defenir")</f>
        <v>Sin defenir</v>
      </c>
      <c r="R2076" s="25"/>
      <c r="S2076" s="55"/>
      <c r="T2076" s="56"/>
      <c r="U2076" s="25"/>
      <c r="V2076" s="25"/>
      <c r="W2076" s="25"/>
      <c r="X2076" s="25"/>
      <c r="Y2076" s="25"/>
      <c r="Z2076" s="25"/>
    </row>
    <row r="2077" spans="1:26" ht="52.5" customHeight="1" x14ac:dyDescent="0.25">
      <c r="A2077" s="25" t="str">
        <f ca="1">IFERROR(__xludf.DUMMYFUNCTION("""COMPUTED_VALUE"""),"Desar275")</f>
        <v>Desar275</v>
      </c>
      <c r="B2077" s="25"/>
      <c r="C2077" s="55"/>
      <c r="D2077" s="25" t="str">
        <f ca="1">IFERROR(__xludf.DUMMYFUNCTION("""COMPUTED_VALUE"""),"Desarrollo_Económico")</f>
        <v>Desarrollo_Económico</v>
      </c>
      <c r="E2077" s="25"/>
      <c r="F2077" s="25"/>
      <c r="G2077" s="25"/>
      <c r="H2077" s="25"/>
      <c r="I2077" s="25"/>
      <c r="J2077" s="55"/>
      <c r="K2077" s="25" t="str">
        <f ca="1">IFERROR(__xludf.DUMMYFUNCTION("""COMPUTED_VALUE"""),"Definir fecha")</f>
        <v>Definir fecha</v>
      </c>
      <c r="L2077" s="62"/>
      <c r="M2077" s="25"/>
      <c r="N2077" s="25"/>
      <c r="O2077" s="25">
        <f t="shared" si="0"/>
        <v>0</v>
      </c>
      <c r="P2077" s="25" t="str">
        <f t="shared" si="2"/>
        <v/>
      </c>
      <c r="Q2077" s="25" t="str">
        <f ca="1">IFERROR(__xludf.DUMMYFUNCTION("""COMPUTED_VALUE"""),"Sin defenir")</f>
        <v>Sin defenir</v>
      </c>
      <c r="R2077" s="25"/>
      <c r="S2077" s="55"/>
      <c r="T2077" s="56"/>
      <c r="U2077" s="25"/>
      <c r="V2077" s="25"/>
      <c r="W2077" s="25"/>
      <c r="X2077" s="25"/>
      <c r="Y2077" s="25"/>
      <c r="Z2077" s="25"/>
    </row>
    <row r="2078" spans="1:26" ht="52.5" customHeight="1" x14ac:dyDescent="0.25">
      <c r="A2078" s="25" t="str">
        <f ca="1">IFERROR(__xludf.DUMMYFUNCTION("""COMPUTED_VALUE"""),"Desar276")</f>
        <v>Desar276</v>
      </c>
      <c r="B2078" s="25"/>
      <c r="C2078" s="55"/>
      <c r="D2078" s="25" t="str">
        <f ca="1">IFERROR(__xludf.DUMMYFUNCTION("""COMPUTED_VALUE"""),"Desarrollo_Económico")</f>
        <v>Desarrollo_Económico</v>
      </c>
      <c r="E2078" s="25"/>
      <c r="F2078" s="25"/>
      <c r="G2078" s="25"/>
      <c r="H2078" s="25"/>
      <c r="I2078" s="25"/>
      <c r="J2078" s="55"/>
      <c r="K2078" s="25" t="str">
        <f ca="1">IFERROR(__xludf.DUMMYFUNCTION("""COMPUTED_VALUE"""),"Definir fecha")</f>
        <v>Definir fecha</v>
      </c>
      <c r="L2078" s="62"/>
      <c r="M2078" s="25"/>
      <c r="N2078" s="25"/>
      <c r="O2078" s="25">
        <f t="shared" si="0"/>
        <v>0</v>
      </c>
      <c r="P2078" s="25" t="str">
        <f t="shared" si="2"/>
        <v/>
      </c>
      <c r="Q2078" s="25" t="str">
        <f ca="1">IFERROR(__xludf.DUMMYFUNCTION("""COMPUTED_VALUE"""),"Sin defenir")</f>
        <v>Sin defenir</v>
      </c>
      <c r="R2078" s="25"/>
      <c r="S2078" s="55"/>
      <c r="T2078" s="56"/>
      <c r="U2078" s="25"/>
      <c r="V2078" s="25"/>
      <c r="W2078" s="25"/>
      <c r="X2078" s="25"/>
      <c r="Y2078" s="25"/>
      <c r="Z2078" s="25"/>
    </row>
    <row r="2079" spans="1:26" ht="52.5" customHeight="1" x14ac:dyDescent="0.25">
      <c r="A2079" s="25" t="str">
        <f ca="1">IFERROR(__xludf.DUMMYFUNCTION("""COMPUTED_VALUE"""),"Desar277")</f>
        <v>Desar277</v>
      </c>
      <c r="B2079" s="25"/>
      <c r="C2079" s="55"/>
      <c r="D2079" s="25" t="str">
        <f ca="1">IFERROR(__xludf.DUMMYFUNCTION("""COMPUTED_VALUE"""),"Desarrollo_Económico")</f>
        <v>Desarrollo_Económico</v>
      </c>
      <c r="E2079" s="25"/>
      <c r="F2079" s="25"/>
      <c r="G2079" s="25"/>
      <c r="H2079" s="25"/>
      <c r="I2079" s="25"/>
      <c r="J2079" s="55"/>
      <c r="K2079" s="25" t="str">
        <f ca="1">IFERROR(__xludf.DUMMYFUNCTION("""COMPUTED_VALUE"""),"Definir fecha")</f>
        <v>Definir fecha</v>
      </c>
      <c r="L2079" s="62"/>
      <c r="M2079" s="25"/>
      <c r="N2079" s="25"/>
      <c r="O2079" s="25">
        <f t="shared" si="0"/>
        <v>0</v>
      </c>
      <c r="P2079" s="25" t="str">
        <f t="shared" si="2"/>
        <v/>
      </c>
      <c r="Q2079" s="25" t="str">
        <f ca="1">IFERROR(__xludf.DUMMYFUNCTION("""COMPUTED_VALUE"""),"Sin defenir")</f>
        <v>Sin defenir</v>
      </c>
      <c r="R2079" s="25"/>
      <c r="S2079" s="55"/>
      <c r="T2079" s="56"/>
      <c r="U2079" s="25"/>
      <c r="V2079" s="25"/>
      <c r="W2079" s="25"/>
      <c r="X2079" s="25"/>
      <c r="Y2079" s="25"/>
      <c r="Z2079" s="25"/>
    </row>
    <row r="2080" spans="1:26" ht="52.5" customHeight="1" x14ac:dyDescent="0.25">
      <c r="A2080" s="25" t="str">
        <f ca="1">IFERROR(__xludf.DUMMYFUNCTION("""COMPUTED_VALUE"""),"Desar278")</f>
        <v>Desar278</v>
      </c>
      <c r="B2080" s="25"/>
      <c r="C2080" s="55"/>
      <c r="D2080" s="25" t="str">
        <f ca="1">IFERROR(__xludf.DUMMYFUNCTION("""COMPUTED_VALUE"""),"Desarrollo_Económico")</f>
        <v>Desarrollo_Económico</v>
      </c>
      <c r="E2080" s="25"/>
      <c r="F2080" s="25"/>
      <c r="G2080" s="25"/>
      <c r="H2080" s="25"/>
      <c r="I2080" s="25"/>
      <c r="J2080" s="55"/>
      <c r="K2080" s="25" t="str">
        <f ca="1">IFERROR(__xludf.DUMMYFUNCTION("""COMPUTED_VALUE"""),"Definir fecha")</f>
        <v>Definir fecha</v>
      </c>
      <c r="L2080" s="62"/>
      <c r="M2080" s="25"/>
      <c r="N2080" s="25"/>
      <c r="O2080" s="25">
        <f t="shared" si="0"/>
        <v>0</v>
      </c>
      <c r="P2080" s="25" t="str">
        <f t="shared" si="2"/>
        <v/>
      </c>
      <c r="Q2080" s="25" t="str">
        <f ca="1">IFERROR(__xludf.DUMMYFUNCTION("""COMPUTED_VALUE"""),"Sin defenir")</f>
        <v>Sin defenir</v>
      </c>
      <c r="R2080" s="25"/>
      <c r="S2080" s="55"/>
      <c r="T2080" s="56"/>
      <c r="U2080" s="25"/>
      <c r="V2080" s="25"/>
      <c r="W2080" s="25"/>
      <c r="X2080" s="25"/>
      <c r="Y2080" s="25"/>
      <c r="Z2080" s="25"/>
    </row>
    <row r="2081" spans="1:26" ht="52.5" customHeight="1" x14ac:dyDescent="0.25">
      <c r="A2081" s="25" t="str">
        <f ca="1">IFERROR(__xludf.DUMMYFUNCTION("""COMPUTED_VALUE"""),"Desar279")</f>
        <v>Desar279</v>
      </c>
      <c r="B2081" s="25"/>
      <c r="C2081" s="55"/>
      <c r="D2081" s="25" t="str">
        <f ca="1">IFERROR(__xludf.DUMMYFUNCTION("""COMPUTED_VALUE"""),"Desarrollo_Económico")</f>
        <v>Desarrollo_Económico</v>
      </c>
      <c r="E2081" s="25"/>
      <c r="F2081" s="25"/>
      <c r="G2081" s="25"/>
      <c r="H2081" s="25"/>
      <c r="I2081" s="25"/>
      <c r="J2081" s="55"/>
      <c r="K2081" s="25" t="str">
        <f ca="1">IFERROR(__xludf.DUMMYFUNCTION("""COMPUTED_VALUE"""),"Definir fecha")</f>
        <v>Definir fecha</v>
      </c>
      <c r="L2081" s="62"/>
      <c r="M2081" s="25"/>
      <c r="N2081" s="25"/>
      <c r="O2081" s="25">
        <f t="shared" si="0"/>
        <v>0</v>
      </c>
      <c r="P2081" s="25" t="str">
        <f t="shared" si="2"/>
        <v/>
      </c>
      <c r="Q2081" s="25" t="str">
        <f ca="1">IFERROR(__xludf.DUMMYFUNCTION("""COMPUTED_VALUE"""),"Sin defenir")</f>
        <v>Sin defenir</v>
      </c>
      <c r="R2081" s="25"/>
      <c r="S2081" s="55"/>
      <c r="T2081" s="56"/>
      <c r="U2081" s="25"/>
      <c r="V2081" s="25"/>
      <c r="W2081" s="25"/>
      <c r="X2081" s="25"/>
      <c r="Y2081" s="25"/>
      <c r="Z2081" s="25"/>
    </row>
    <row r="2082" spans="1:26" ht="52.5" customHeight="1" x14ac:dyDescent="0.25">
      <c r="A2082" s="25" t="str">
        <f ca="1">IFERROR(__xludf.DUMMYFUNCTION("""COMPUTED_VALUE"""),"Desar280")</f>
        <v>Desar280</v>
      </c>
      <c r="B2082" s="25"/>
      <c r="C2082" s="55"/>
      <c r="D2082" s="25" t="str">
        <f ca="1">IFERROR(__xludf.DUMMYFUNCTION("""COMPUTED_VALUE"""),"Desarrollo_Económico")</f>
        <v>Desarrollo_Económico</v>
      </c>
      <c r="E2082" s="25"/>
      <c r="F2082" s="25"/>
      <c r="G2082" s="25"/>
      <c r="H2082" s="25"/>
      <c r="I2082" s="25"/>
      <c r="J2082" s="55"/>
      <c r="K2082" s="25" t="str">
        <f ca="1">IFERROR(__xludf.DUMMYFUNCTION("""COMPUTED_VALUE"""),"Definir fecha")</f>
        <v>Definir fecha</v>
      </c>
      <c r="L2082" s="62"/>
      <c r="M2082" s="25"/>
      <c r="N2082" s="25"/>
      <c r="O2082" s="25">
        <f t="shared" si="0"/>
        <v>0</v>
      </c>
      <c r="P2082" s="25" t="str">
        <f t="shared" si="2"/>
        <v/>
      </c>
      <c r="Q2082" s="25" t="str">
        <f ca="1">IFERROR(__xludf.DUMMYFUNCTION("""COMPUTED_VALUE"""),"Sin defenir")</f>
        <v>Sin defenir</v>
      </c>
      <c r="R2082" s="25"/>
      <c r="S2082" s="55"/>
      <c r="T2082" s="56"/>
      <c r="U2082" s="25"/>
      <c r="V2082" s="25"/>
      <c r="W2082" s="25"/>
      <c r="X2082" s="25"/>
      <c r="Y2082" s="25"/>
      <c r="Z2082" s="25"/>
    </row>
    <row r="2083" spans="1:26" ht="52.5" customHeight="1" x14ac:dyDescent="0.25">
      <c r="A2083" s="25" t="str">
        <f ca="1">IFERROR(__xludf.DUMMYFUNCTION("""COMPUTED_VALUE"""),"Desar281")</f>
        <v>Desar281</v>
      </c>
      <c r="B2083" s="25"/>
      <c r="C2083" s="55"/>
      <c r="D2083" s="25" t="str">
        <f ca="1">IFERROR(__xludf.DUMMYFUNCTION("""COMPUTED_VALUE"""),"Desarrollo_Económico")</f>
        <v>Desarrollo_Económico</v>
      </c>
      <c r="E2083" s="25"/>
      <c r="F2083" s="25"/>
      <c r="G2083" s="25"/>
      <c r="H2083" s="25"/>
      <c r="I2083" s="25"/>
      <c r="J2083" s="55"/>
      <c r="K2083" s="25" t="str">
        <f ca="1">IFERROR(__xludf.DUMMYFUNCTION("""COMPUTED_VALUE"""),"Definir fecha")</f>
        <v>Definir fecha</v>
      </c>
      <c r="L2083" s="62"/>
      <c r="M2083" s="25"/>
      <c r="N2083" s="25"/>
      <c r="O2083" s="25">
        <f t="shared" si="0"/>
        <v>0</v>
      </c>
      <c r="P2083" s="25" t="str">
        <f t="shared" si="2"/>
        <v/>
      </c>
      <c r="Q2083" s="25" t="str">
        <f ca="1">IFERROR(__xludf.DUMMYFUNCTION("""COMPUTED_VALUE"""),"Sin defenir")</f>
        <v>Sin defenir</v>
      </c>
      <c r="R2083" s="25"/>
      <c r="S2083" s="55"/>
      <c r="T2083" s="56"/>
      <c r="U2083" s="25"/>
      <c r="V2083" s="25"/>
      <c r="W2083" s="25"/>
      <c r="X2083" s="25"/>
      <c r="Y2083" s="25"/>
      <c r="Z2083" s="25"/>
    </row>
    <row r="2084" spans="1:26" ht="52.5" customHeight="1" x14ac:dyDescent="0.25">
      <c r="A2084" s="25" t="str">
        <f ca="1">IFERROR(__xludf.DUMMYFUNCTION("""COMPUTED_VALUE"""),"Desar282")</f>
        <v>Desar282</v>
      </c>
      <c r="B2084" s="25"/>
      <c r="C2084" s="55"/>
      <c r="D2084" s="25" t="str">
        <f ca="1">IFERROR(__xludf.DUMMYFUNCTION("""COMPUTED_VALUE"""),"Desarrollo_Económico")</f>
        <v>Desarrollo_Económico</v>
      </c>
      <c r="E2084" s="25"/>
      <c r="F2084" s="25"/>
      <c r="G2084" s="25"/>
      <c r="H2084" s="25"/>
      <c r="I2084" s="25"/>
      <c r="J2084" s="55"/>
      <c r="K2084" s="25" t="str">
        <f ca="1">IFERROR(__xludf.DUMMYFUNCTION("""COMPUTED_VALUE"""),"Definir fecha")</f>
        <v>Definir fecha</v>
      </c>
      <c r="L2084" s="62"/>
      <c r="M2084" s="25"/>
      <c r="N2084" s="25"/>
      <c r="O2084" s="25">
        <f t="shared" si="0"/>
        <v>0</v>
      </c>
      <c r="P2084" s="25" t="str">
        <f t="shared" si="2"/>
        <v/>
      </c>
      <c r="Q2084" s="25" t="str">
        <f ca="1">IFERROR(__xludf.DUMMYFUNCTION("""COMPUTED_VALUE"""),"Sin defenir")</f>
        <v>Sin defenir</v>
      </c>
      <c r="R2084" s="25"/>
      <c r="S2084" s="55"/>
      <c r="T2084" s="56"/>
      <c r="U2084" s="25"/>
      <c r="V2084" s="25"/>
      <c r="W2084" s="25"/>
      <c r="X2084" s="25"/>
      <c r="Y2084" s="25"/>
      <c r="Z2084" s="25"/>
    </row>
    <row r="2085" spans="1:26" ht="52.5" customHeight="1" x14ac:dyDescent="0.25">
      <c r="A2085" s="25" t="str">
        <f ca="1">IFERROR(__xludf.DUMMYFUNCTION("""COMPUTED_VALUE"""),"Desar283")</f>
        <v>Desar283</v>
      </c>
      <c r="B2085" s="25"/>
      <c r="C2085" s="55"/>
      <c r="D2085" s="25" t="str">
        <f ca="1">IFERROR(__xludf.DUMMYFUNCTION("""COMPUTED_VALUE"""),"Desarrollo_Económico")</f>
        <v>Desarrollo_Económico</v>
      </c>
      <c r="E2085" s="25"/>
      <c r="F2085" s="25"/>
      <c r="G2085" s="25"/>
      <c r="H2085" s="25"/>
      <c r="I2085" s="25"/>
      <c r="J2085" s="55"/>
      <c r="K2085" s="25" t="str">
        <f ca="1">IFERROR(__xludf.DUMMYFUNCTION("""COMPUTED_VALUE"""),"Definir fecha")</f>
        <v>Definir fecha</v>
      </c>
      <c r="L2085" s="62"/>
      <c r="M2085" s="25"/>
      <c r="N2085" s="25"/>
      <c r="O2085" s="25">
        <f t="shared" si="0"/>
        <v>0</v>
      </c>
      <c r="P2085" s="25" t="str">
        <f t="shared" si="2"/>
        <v/>
      </c>
      <c r="Q2085" s="25" t="str">
        <f ca="1">IFERROR(__xludf.DUMMYFUNCTION("""COMPUTED_VALUE"""),"Sin defenir")</f>
        <v>Sin defenir</v>
      </c>
      <c r="R2085" s="25"/>
      <c r="S2085" s="55"/>
      <c r="T2085" s="56"/>
      <c r="U2085" s="25"/>
      <c r="V2085" s="25"/>
      <c r="W2085" s="25"/>
      <c r="X2085" s="25"/>
      <c r="Y2085" s="25"/>
      <c r="Z2085" s="25"/>
    </row>
    <row r="2086" spans="1:26" ht="52.5" customHeight="1" x14ac:dyDescent="0.25">
      <c r="A2086" s="25" t="str">
        <f ca="1">IFERROR(__xludf.DUMMYFUNCTION("""COMPUTED_VALUE"""),"Desar284")</f>
        <v>Desar284</v>
      </c>
      <c r="B2086" s="25"/>
      <c r="C2086" s="55"/>
      <c r="D2086" s="25" t="str">
        <f ca="1">IFERROR(__xludf.DUMMYFUNCTION("""COMPUTED_VALUE"""),"Desarrollo_Económico")</f>
        <v>Desarrollo_Económico</v>
      </c>
      <c r="E2086" s="25"/>
      <c r="F2086" s="25"/>
      <c r="G2086" s="25"/>
      <c r="H2086" s="25"/>
      <c r="I2086" s="25"/>
      <c r="J2086" s="55"/>
      <c r="K2086" s="25" t="str">
        <f ca="1">IFERROR(__xludf.DUMMYFUNCTION("""COMPUTED_VALUE"""),"Definir fecha")</f>
        <v>Definir fecha</v>
      </c>
      <c r="L2086" s="62"/>
      <c r="M2086" s="25"/>
      <c r="N2086" s="25"/>
      <c r="O2086" s="25">
        <f t="shared" si="0"/>
        <v>0</v>
      </c>
      <c r="P2086" s="25" t="str">
        <f t="shared" si="2"/>
        <v/>
      </c>
      <c r="Q2086" s="25" t="str">
        <f ca="1">IFERROR(__xludf.DUMMYFUNCTION("""COMPUTED_VALUE"""),"Sin defenir")</f>
        <v>Sin defenir</v>
      </c>
      <c r="R2086" s="25"/>
      <c r="S2086" s="55"/>
      <c r="T2086" s="56"/>
      <c r="U2086" s="25"/>
      <c r="V2086" s="25"/>
      <c r="W2086" s="25"/>
      <c r="X2086" s="25"/>
      <c r="Y2086" s="25"/>
      <c r="Z2086" s="25"/>
    </row>
    <row r="2087" spans="1:26" ht="52.5" customHeight="1" x14ac:dyDescent="0.25">
      <c r="A2087" s="25" t="str">
        <f ca="1">IFERROR(__xludf.DUMMYFUNCTION("""COMPUTED_VALUE"""),"Desar285")</f>
        <v>Desar285</v>
      </c>
      <c r="B2087" s="25"/>
      <c r="C2087" s="55"/>
      <c r="D2087" s="25" t="str">
        <f ca="1">IFERROR(__xludf.DUMMYFUNCTION("""COMPUTED_VALUE"""),"Desarrollo_Económico")</f>
        <v>Desarrollo_Económico</v>
      </c>
      <c r="E2087" s="25"/>
      <c r="F2087" s="25"/>
      <c r="G2087" s="25"/>
      <c r="H2087" s="25"/>
      <c r="I2087" s="25"/>
      <c r="J2087" s="55"/>
      <c r="K2087" s="25" t="str">
        <f ca="1">IFERROR(__xludf.DUMMYFUNCTION("""COMPUTED_VALUE"""),"Definir fecha")</f>
        <v>Definir fecha</v>
      </c>
      <c r="L2087" s="62"/>
      <c r="M2087" s="25"/>
      <c r="N2087" s="25"/>
      <c r="O2087" s="25">
        <f t="shared" si="0"/>
        <v>0</v>
      </c>
      <c r="P2087" s="25" t="str">
        <f t="shared" si="2"/>
        <v/>
      </c>
      <c r="Q2087" s="25" t="str">
        <f ca="1">IFERROR(__xludf.DUMMYFUNCTION("""COMPUTED_VALUE"""),"Sin defenir")</f>
        <v>Sin defenir</v>
      </c>
      <c r="R2087" s="25"/>
      <c r="S2087" s="55"/>
      <c r="T2087" s="56"/>
      <c r="U2087" s="25"/>
      <c r="V2087" s="25"/>
      <c r="W2087" s="25"/>
      <c r="X2087" s="25"/>
      <c r="Y2087" s="25"/>
      <c r="Z2087" s="25"/>
    </row>
    <row r="2088" spans="1:26" ht="52.5" customHeight="1" x14ac:dyDescent="0.25">
      <c r="A2088" s="25" t="str">
        <f ca="1">IFERROR(__xludf.DUMMYFUNCTION("""COMPUTED_VALUE"""),"Desar286")</f>
        <v>Desar286</v>
      </c>
      <c r="B2088" s="25"/>
      <c r="C2088" s="55"/>
      <c r="D2088" s="25" t="str">
        <f ca="1">IFERROR(__xludf.DUMMYFUNCTION("""COMPUTED_VALUE"""),"Desarrollo_Económico")</f>
        <v>Desarrollo_Económico</v>
      </c>
      <c r="E2088" s="25"/>
      <c r="F2088" s="25"/>
      <c r="G2088" s="25"/>
      <c r="H2088" s="25"/>
      <c r="I2088" s="25"/>
      <c r="J2088" s="55"/>
      <c r="K2088" s="25" t="str">
        <f ca="1">IFERROR(__xludf.DUMMYFUNCTION("""COMPUTED_VALUE"""),"Definir fecha")</f>
        <v>Definir fecha</v>
      </c>
      <c r="L2088" s="62"/>
      <c r="M2088" s="25"/>
      <c r="N2088" s="25"/>
      <c r="O2088" s="25">
        <f t="shared" si="0"/>
        <v>0</v>
      </c>
      <c r="P2088" s="25" t="str">
        <f t="shared" si="2"/>
        <v/>
      </c>
      <c r="Q2088" s="25" t="str">
        <f ca="1">IFERROR(__xludf.DUMMYFUNCTION("""COMPUTED_VALUE"""),"Sin defenir")</f>
        <v>Sin defenir</v>
      </c>
      <c r="R2088" s="25"/>
      <c r="S2088" s="55"/>
      <c r="T2088" s="56"/>
      <c r="U2088" s="25"/>
      <c r="V2088" s="25"/>
      <c r="W2088" s="25"/>
      <c r="X2088" s="25"/>
      <c r="Y2088" s="25"/>
      <c r="Z2088" s="25"/>
    </row>
    <row r="2089" spans="1:26" ht="52.5" customHeight="1" x14ac:dyDescent="0.25">
      <c r="A2089" s="25" t="str">
        <f ca="1">IFERROR(__xludf.DUMMYFUNCTION("""COMPUTED_VALUE"""),"Desar287")</f>
        <v>Desar287</v>
      </c>
      <c r="B2089" s="25"/>
      <c r="C2089" s="55"/>
      <c r="D2089" s="25" t="str">
        <f ca="1">IFERROR(__xludf.DUMMYFUNCTION("""COMPUTED_VALUE"""),"Desarrollo_Económico")</f>
        <v>Desarrollo_Económico</v>
      </c>
      <c r="E2089" s="25"/>
      <c r="F2089" s="25"/>
      <c r="G2089" s="25"/>
      <c r="H2089" s="25"/>
      <c r="I2089" s="25"/>
      <c r="J2089" s="55"/>
      <c r="K2089" s="25" t="str">
        <f ca="1">IFERROR(__xludf.DUMMYFUNCTION("""COMPUTED_VALUE"""),"Definir fecha")</f>
        <v>Definir fecha</v>
      </c>
      <c r="L2089" s="62"/>
      <c r="M2089" s="25"/>
      <c r="N2089" s="25"/>
      <c r="O2089" s="25">
        <f t="shared" si="0"/>
        <v>0</v>
      </c>
      <c r="P2089" s="25" t="str">
        <f t="shared" si="2"/>
        <v/>
      </c>
      <c r="Q2089" s="25" t="str">
        <f ca="1">IFERROR(__xludf.DUMMYFUNCTION("""COMPUTED_VALUE"""),"Sin defenir")</f>
        <v>Sin defenir</v>
      </c>
      <c r="R2089" s="25"/>
      <c r="S2089" s="55"/>
      <c r="T2089" s="56"/>
      <c r="U2089" s="25"/>
      <c r="V2089" s="25"/>
      <c r="W2089" s="25"/>
      <c r="X2089" s="25"/>
      <c r="Y2089" s="25"/>
      <c r="Z2089" s="25"/>
    </row>
    <row r="2090" spans="1:26" ht="52.5" customHeight="1" x14ac:dyDescent="0.25">
      <c r="A2090" s="25" t="str">
        <f ca="1">IFERROR(__xludf.DUMMYFUNCTION("""COMPUTED_VALUE"""),"Desar288")</f>
        <v>Desar288</v>
      </c>
      <c r="B2090" s="25"/>
      <c r="C2090" s="55"/>
      <c r="D2090" s="25" t="str">
        <f ca="1">IFERROR(__xludf.DUMMYFUNCTION("""COMPUTED_VALUE"""),"Desarrollo_Económico")</f>
        <v>Desarrollo_Económico</v>
      </c>
      <c r="E2090" s="25"/>
      <c r="F2090" s="25"/>
      <c r="G2090" s="25"/>
      <c r="H2090" s="25"/>
      <c r="I2090" s="25"/>
      <c r="J2090" s="55"/>
      <c r="K2090" s="25" t="str">
        <f ca="1">IFERROR(__xludf.DUMMYFUNCTION("""COMPUTED_VALUE"""),"Definir fecha")</f>
        <v>Definir fecha</v>
      </c>
      <c r="L2090" s="62"/>
      <c r="M2090" s="25"/>
      <c r="N2090" s="25"/>
      <c r="O2090" s="25">
        <f t="shared" si="0"/>
        <v>0</v>
      </c>
      <c r="P2090" s="25" t="str">
        <f t="shared" si="2"/>
        <v/>
      </c>
      <c r="Q2090" s="25" t="str">
        <f ca="1">IFERROR(__xludf.DUMMYFUNCTION("""COMPUTED_VALUE"""),"Sin defenir")</f>
        <v>Sin defenir</v>
      </c>
      <c r="R2090" s="25"/>
      <c r="S2090" s="55"/>
      <c r="T2090" s="56"/>
      <c r="U2090" s="25"/>
      <c r="V2090" s="25"/>
      <c r="W2090" s="25"/>
      <c r="X2090" s="25"/>
      <c r="Y2090" s="25"/>
      <c r="Z2090" s="25"/>
    </row>
    <row r="2091" spans="1:26" ht="52.5" customHeight="1" x14ac:dyDescent="0.25">
      <c r="A2091" s="25" t="str">
        <f ca="1">IFERROR(__xludf.DUMMYFUNCTION("""COMPUTED_VALUE"""),"Desar289")</f>
        <v>Desar289</v>
      </c>
      <c r="B2091" s="25"/>
      <c r="C2091" s="55"/>
      <c r="D2091" s="25" t="str">
        <f ca="1">IFERROR(__xludf.DUMMYFUNCTION("""COMPUTED_VALUE"""),"Desarrollo_Económico")</f>
        <v>Desarrollo_Económico</v>
      </c>
      <c r="E2091" s="25"/>
      <c r="F2091" s="25"/>
      <c r="G2091" s="25"/>
      <c r="H2091" s="25"/>
      <c r="I2091" s="25"/>
      <c r="J2091" s="55"/>
      <c r="K2091" s="25" t="str">
        <f ca="1">IFERROR(__xludf.DUMMYFUNCTION("""COMPUTED_VALUE"""),"Definir fecha")</f>
        <v>Definir fecha</v>
      </c>
      <c r="L2091" s="62"/>
      <c r="M2091" s="25"/>
      <c r="N2091" s="25"/>
      <c r="O2091" s="25">
        <f t="shared" si="0"/>
        <v>0</v>
      </c>
      <c r="P2091" s="25" t="str">
        <f t="shared" si="2"/>
        <v/>
      </c>
      <c r="Q2091" s="25" t="str">
        <f ca="1">IFERROR(__xludf.DUMMYFUNCTION("""COMPUTED_VALUE"""),"Sin defenir")</f>
        <v>Sin defenir</v>
      </c>
      <c r="R2091" s="25"/>
      <c r="S2091" s="55"/>
      <c r="T2091" s="56"/>
      <c r="U2091" s="25"/>
      <c r="V2091" s="25"/>
      <c r="W2091" s="25"/>
      <c r="X2091" s="25"/>
      <c r="Y2091" s="25"/>
      <c r="Z2091" s="25"/>
    </row>
    <row r="2092" spans="1:26" ht="52.5" customHeight="1" x14ac:dyDescent="0.25">
      <c r="A2092" s="25" t="str">
        <f ca="1">IFERROR(__xludf.DUMMYFUNCTION("""COMPUTED_VALUE"""),"Desar290")</f>
        <v>Desar290</v>
      </c>
      <c r="B2092" s="25"/>
      <c r="C2092" s="55"/>
      <c r="D2092" s="25" t="str">
        <f ca="1">IFERROR(__xludf.DUMMYFUNCTION("""COMPUTED_VALUE"""),"Desarrollo_Económico")</f>
        <v>Desarrollo_Económico</v>
      </c>
      <c r="E2092" s="25"/>
      <c r="F2092" s="25"/>
      <c r="G2092" s="25"/>
      <c r="H2092" s="25"/>
      <c r="I2092" s="25"/>
      <c r="J2092" s="55"/>
      <c r="K2092" s="25" t="str">
        <f ca="1">IFERROR(__xludf.DUMMYFUNCTION("""COMPUTED_VALUE"""),"Definir fecha")</f>
        <v>Definir fecha</v>
      </c>
      <c r="L2092" s="62"/>
      <c r="M2092" s="25"/>
      <c r="N2092" s="25"/>
      <c r="O2092" s="25">
        <f t="shared" si="0"/>
        <v>0</v>
      </c>
      <c r="P2092" s="25" t="str">
        <f t="shared" si="2"/>
        <v/>
      </c>
      <c r="Q2092" s="25" t="str">
        <f ca="1">IFERROR(__xludf.DUMMYFUNCTION("""COMPUTED_VALUE"""),"Sin defenir")</f>
        <v>Sin defenir</v>
      </c>
      <c r="R2092" s="25"/>
      <c r="S2092" s="55"/>
      <c r="T2092" s="56"/>
      <c r="U2092" s="25"/>
      <c r="V2092" s="25"/>
      <c r="W2092" s="25"/>
      <c r="X2092" s="25"/>
      <c r="Y2092" s="25"/>
      <c r="Z2092" s="25"/>
    </row>
    <row r="2093" spans="1:26" ht="52.5" customHeight="1" x14ac:dyDescent="0.25">
      <c r="A2093" s="25" t="str">
        <f ca="1">IFERROR(__xludf.DUMMYFUNCTION("""COMPUTED_VALUE"""),"Desar291")</f>
        <v>Desar291</v>
      </c>
      <c r="B2093" s="25"/>
      <c r="C2093" s="55"/>
      <c r="D2093" s="25" t="str">
        <f ca="1">IFERROR(__xludf.DUMMYFUNCTION("""COMPUTED_VALUE"""),"Desarrollo_Económico")</f>
        <v>Desarrollo_Económico</v>
      </c>
      <c r="E2093" s="25"/>
      <c r="F2093" s="25"/>
      <c r="G2093" s="25"/>
      <c r="H2093" s="25"/>
      <c r="I2093" s="25"/>
      <c r="J2093" s="55"/>
      <c r="K2093" s="25" t="str">
        <f ca="1">IFERROR(__xludf.DUMMYFUNCTION("""COMPUTED_VALUE"""),"Definir fecha")</f>
        <v>Definir fecha</v>
      </c>
      <c r="L2093" s="62"/>
      <c r="M2093" s="25"/>
      <c r="N2093" s="25"/>
      <c r="O2093" s="25">
        <f t="shared" si="0"/>
        <v>0</v>
      </c>
      <c r="P2093" s="25" t="str">
        <f t="shared" si="2"/>
        <v/>
      </c>
      <c r="Q2093" s="25" t="str">
        <f ca="1">IFERROR(__xludf.DUMMYFUNCTION("""COMPUTED_VALUE"""),"Sin defenir")</f>
        <v>Sin defenir</v>
      </c>
      <c r="R2093" s="25"/>
      <c r="S2093" s="55"/>
      <c r="T2093" s="56"/>
      <c r="U2093" s="25"/>
      <c r="V2093" s="25"/>
      <c r="W2093" s="25"/>
      <c r="X2093" s="25"/>
      <c r="Y2093" s="25"/>
      <c r="Z2093" s="25"/>
    </row>
    <row r="2094" spans="1:26" ht="52.5" customHeight="1" x14ac:dyDescent="0.25">
      <c r="A2094" s="25" t="str">
        <f ca="1">IFERROR(__xludf.DUMMYFUNCTION("""COMPUTED_VALUE"""),"Desar292")</f>
        <v>Desar292</v>
      </c>
      <c r="B2094" s="25"/>
      <c r="C2094" s="55"/>
      <c r="D2094" s="25" t="str">
        <f ca="1">IFERROR(__xludf.DUMMYFUNCTION("""COMPUTED_VALUE"""),"Desarrollo_Económico")</f>
        <v>Desarrollo_Económico</v>
      </c>
      <c r="E2094" s="25"/>
      <c r="F2094" s="25"/>
      <c r="G2094" s="25"/>
      <c r="H2094" s="25"/>
      <c r="I2094" s="25"/>
      <c r="J2094" s="55"/>
      <c r="K2094" s="25" t="str">
        <f ca="1">IFERROR(__xludf.DUMMYFUNCTION("""COMPUTED_VALUE"""),"Definir fecha")</f>
        <v>Definir fecha</v>
      </c>
      <c r="L2094" s="62"/>
      <c r="M2094" s="25"/>
      <c r="N2094" s="25"/>
      <c r="O2094" s="25">
        <f t="shared" si="0"/>
        <v>0</v>
      </c>
      <c r="P2094" s="25" t="str">
        <f t="shared" si="2"/>
        <v/>
      </c>
      <c r="Q2094" s="25" t="str">
        <f ca="1">IFERROR(__xludf.DUMMYFUNCTION("""COMPUTED_VALUE"""),"Sin defenir")</f>
        <v>Sin defenir</v>
      </c>
      <c r="R2094" s="25"/>
      <c r="S2094" s="55"/>
      <c r="T2094" s="56"/>
      <c r="U2094" s="25"/>
      <c r="V2094" s="25"/>
      <c r="W2094" s="25"/>
      <c r="X2094" s="25"/>
      <c r="Y2094" s="25"/>
      <c r="Z2094" s="25"/>
    </row>
    <row r="2095" spans="1:26" ht="52.5" customHeight="1" x14ac:dyDescent="0.25">
      <c r="A2095" s="25" t="str">
        <f ca="1">IFERROR(__xludf.DUMMYFUNCTION("""COMPUTED_VALUE"""),"Desar293")</f>
        <v>Desar293</v>
      </c>
      <c r="B2095" s="25"/>
      <c r="C2095" s="55"/>
      <c r="D2095" s="25" t="str">
        <f ca="1">IFERROR(__xludf.DUMMYFUNCTION("""COMPUTED_VALUE"""),"Desarrollo_Económico")</f>
        <v>Desarrollo_Económico</v>
      </c>
      <c r="E2095" s="25"/>
      <c r="F2095" s="25"/>
      <c r="G2095" s="25"/>
      <c r="H2095" s="25"/>
      <c r="I2095" s="25"/>
      <c r="J2095" s="55"/>
      <c r="K2095" s="25" t="str">
        <f ca="1">IFERROR(__xludf.DUMMYFUNCTION("""COMPUTED_VALUE"""),"Definir fecha")</f>
        <v>Definir fecha</v>
      </c>
      <c r="L2095" s="62"/>
      <c r="M2095" s="25"/>
      <c r="N2095" s="25"/>
      <c r="O2095" s="25">
        <f t="shared" si="0"/>
        <v>0</v>
      </c>
      <c r="P2095" s="25" t="str">
        <f t="shared" si="2"/>
        <v/>
      </c>
      <c r="Q2095" s="25" t="str">
        <f ca="1">IFERROR(__xludf.DUMMYFUNCTION("""COMPUTED_VALUE"""),"Sin defenir")</f>
        <v>Sin defenir</v>
      </c>
      <c r="R2095" s="25"/>
      <c r="S2095" s="55"/>
      <c r="T2095" s="56"/>
      <c r="U2095" s="25"/>
      <c r="V2095" s="25"/>
      <c r="W2095" s="25"/>
      <c r="X2095" s="25"/>
      <c r="Y2095" s="25"/>
      <c r="Z2095" s="25"/>
    </row>
    <row r="2096" spans="1:26" ht="52.5" customHeight="1" x14ac:dyDescent="0.25">
      <c r="A2096" s="25" t="str">
        <f ca="1">IFERROR(__xludf.DUMMYFUNCTION("""COMPUTED_VALUE"""),"Desar294")</f>
        <v>Desar294</v>
      </c>
      <c r="B2096" s="25"/>
      <c r="C2096" s="55"/>
      <c r="D2096" s="25" t="str">
        <f ca="1">IFERROR(__xludf.DUMMYFUNCTION("""COMPUTED_VALUE"""),"Desarrollo_Económico")</f>
        <v>Desarrollo_Económico</v>
      </c>
      <c r="E2096" s="25"/>
      <c r="F2096" s="25"/>
      <c r="G2096" s="25"/>
      <c r="H2096" s="25"/>
      <c r="I2096" s="25"/>
      <c r="J2096" s="55"/>
      <c r="K2096" s="25" t="str">
        <f ca="1">IFERROR(__xludf.DUMMYFUNCTION("""COMPUTED_VALUE"""),"Definir fecha")</f>
        <v>Definir fecha</v>
      </c>
      <c r="L2096" s="62"/>
      <c r="M2096" s="25"/>
      <c r="N2096" s="25"/>
      <c r="O2096" s="25">
        <f t="shared" si="0"/>
        <v>0</v>
      </c>
      <c r="P2096" s="25" t="str">
        <f t="shared" si="2"/>
        <v/>
      </c>
      <c r="Q2096" s="25" t="str">
        <f ca="1">IFERROR(__xludf.DUMMYFUNCTION("""COMPUTED_VALUE"""),"Sin defenir")</f>
        <v>Sin defenir</v>
      </c>
      <c r="R2096" s="25"/>
      <c r="S2096" s="55"/>
      <c r="T2096" s="56"/>
      <c r="U2096" s="25"/>
      <c r="V2096" s="25"/>
      <c r="W2096" s="25"/>
      <c r="X2096" s="25"/>
      <c r="Y2096" s="25"/>
      <c r="Z2096" s="25"/>
    </row>
    <row r="2097" spans="1:26" ht="52.5" customHeight="1" x14ac:dyDescent="0.25">
      <c r="A2097" s="25" t="str">
        <f ca="1">IFERROR(__xludf.DUMMYFUNCTION("""COMPUTED_VALUE"""),"Desar295")</f>
        <v>Desar295</v>
      </c>
      <c r="B2097" s="25"/>
      <c r="C2097" s="55"/>
      <c r="D2097" s="25" t="str">
        <f ca="1">IFERROR(__xludf.DUMMYFUNCTION("""COMPUTED_VALUE"""),"Desarrollo_Económico")</f>
        <v>Desarrollo_Económico</v>
      </c>
      <c r="E2097" s="25"/>
      <c r="F2097" s="25"/>
      <c r="G2097" s="25"/>
      <c r="H2097" s="25"/>
      <c r="I2097" s="25"/>
      <c r="J2097" s="55"/>
      <c r="K2097" s="25" t="str">
        <f ca="1">IFERROR(__xludf.DUMMYFUNCTION("""COMPUTED_VALUE"""),"Definir fecha")</f>
        <v>Definir fecha</v>
      </c>
      <c r="L2097" s="62"/>
      <c r="M2097" s="25"/>
      <c r="N2097" s="25"/>
      <c r="O2097" s="25">
        <f t="shared" si="0"/>
        <v>0</v>
      </c>
      <c r="P2097" s="25" t="str">
        <f t="shared" si="2"/>
        <v/>
      </c>
      <c r="Q2097" s="25" t="str">
        <f ca="1">IFERROR(__xludf.DUMMYFUNCTION("""COMPUTED_VALUE"""),"Sin defenir")</f>
        <v>Sin defenir</v>
      </c>
      <c r="R2097" s="25"/>
      <c r="S2097" s="55"/>
      <c r="T2097" s="56"/>
      <c r="U2097" s="25"/>
      <c r="V2097" s="25"/>
      <c r="W2097" s="25"/>
      <c r="X2097" s="25"/>
      <c r="Y2097" s="25"/>
      <c r="Z2097" s="25"/>
    </row>
    <row r="2098" spans="1:26" ht="52.5" customHeight="1" x14ac:dyDescent="0.25">
      <c r="A2098" s="25" t="str">
        <f ca="1">IFERROR(__xludf.DUMMYFUNCTION("""COMPUTED_VALUE"""),"Desar296")</f>
        <v>Desar296</v>
      </c>
      <c r="B2098" s="25"/>
      <c r="C2098" s="55"/>
      <c r="D2098" s="25" t="str">
        <f ca="1">IFERROR(__xludf.DUMMYFUNCTION("""COMPUTED_VALUE"""),"Desarrollo_Económico")</f>
        <v>Desarrollo_Económico</v>
      </c>
      <c r="E2098" s="25"/>
      <c r="F2098" s="25"/>
      <c r="G2098" s="25"/>
      <c r="H2098" s="25"/>
      <c r="I2098" s="25"/>
      <c r="J2098" s="55"/>
      <c r="K2098" s="25" t="str">
        <f ca="1">IFERROR(__xludf.DUMMYFUNCTION("""COMPUTED_VALUE"""),"Definir fecha")</f>
        <v>Definir fecha</v>
      </c>
      <c r="L2098" s="62"/>
      <c r="M2098" s="25"/>
      <c r="N2098" s="25"/>
      <c r="O2098" s="25">
        <f t="shared" si="0"/>
        <v>0</v>
      </c>
      <c r="P2098" s="25" t="str">
        <f t="shared" si="2"/>
        <v/>
      </c>
      <c r="Q2098" s="25" t="str">
        <f ca="1">IFERROR(__xludf.DUMMYFUNCTION("""COMPUTED_VALUE"""),"Sin defenir")</f>
        <v>Sin defenir</v>
      </c>
      <c r="R2098" s="25"/>
      <c r="S2098" s="55"/>
      <c r="T2098" s="56"/>
      <c r="U2098" s="25"/>
      <c r="V2098" s="25"/>
      <c r="W2098" s="25"/>
      <c r="X2098" s="25"/>
      <c r="Y2098" s="25"/>
      <c r="Z2098" s="25"/>
    </row>
    <row r="2099" spans="1:26" ht="52.5" customHeight="1" x14ac:dyDescent="0.25">
      <c r="A2099" s="25" t="str">
        <f ca="1">IFERROR(__xludf.DUMMYFUNCTION("""COMPUTED_VALUE"""),"Desar297")</f>
        <v>Desar297</v>
      </c>
      <c r="B2099" s="25"/>
      <c r="C2099" s="55"/>
      <c r="D2099" s="25" t="str">
        <f ca="1">IFERROR(__xludf.DUMMYFUNCTION("""COMPUTED_VALUE"""),"Desarrollo_Económico")</f>
        <v>Desarrollo_Económico</v>
      </c>
      <c r="E2099" s="25"/>
      <c r="F2099" s="25"/>
      <c r="G2099" s="25"/>
      <c r="H2099" s="25"/>
      <c r="I2099" s="25"/>
      <c r="J2099" s="55"/>
      <c r="K2099" s="25" t="str">
        <f ca="1">IFERROR(__xludf.DUMMYFUNCTION("""COMPUTED_VALUE"""),"Definir fecha")</f>
        <v>Definir fecha</v>
      </c>
      <c r="L2099" s="62"/>
      <c r="M2099" s="25"/>
      <c r="N2099" s="25"/>
      <c r="O2099" s="25">
        <f t="shared" si="0"/>
        <v>0</v>
      </c>
      <c r="P2099" s="25" t="str">
        <f t="shared" si="2"/>
        <v/>
      </c>
      <c r="Q2099" s="25" t="str">
        <f ca="1">IFERROR(__xludf.DUMMYFUNCTION("""COMPUTED_VALUE"""),"Sin defenir")</f>
        <v>Sin defenir</v>
      </c>
      <c r="R2099" s="25"/>
      <c r="S2099" s="55"/>
      <c r="T2099" s="56"/>
      <c r="U2099" s="25"/>
      <c r="V2099" s="25"/>
      <c r="W2099" s="25"/>
      <c r="X2099" s="25"/>
      <c r="Y2099" s="25"/>
      <c r="Z2099" s="25"/>
    </row>
    <row r="2100" spans="1:26" ht="52.5" customHeight="1" x14ac:dyDescent="0.25">
      <c r="A2100" s="25" t="str">
        <f ca="1">IFERROR(__xludf.DUMMYFUNCTION("""COMPUTED_VALUE"""),"Desar298")</f>
        <v>Desar298</v>
      </c>
      <c r="B2100" s="25"/>
      <c r="C2100" s="55"/>
      <c r="D2100" s="25" t="str">
        <f ca="1">IFERROR(__xludf.DUMMYFUNCTION("""COMPUTED_VALUE"""),"Desarrollo_Económico")</f>
        <v>Desarrollo_Económico</v>
      </c>
      <c r="E2100" s="25"/>
      <c r="F2100" s="25"/>
      <c r="G2100" s="25"/>
      <c r="H2100" s="25"/>
      <c r="I2100" s="25"/>
      <c r="J2100" s="55"/>
      <c r="K2100" s="25" t="str">
        <f ca="1">IFERROR(__xludf.DUMMYFUNCTION("""COMPUTED_VALUE"""),"Definir fecha")</f>
        <v>Definir fecha</v>
      </c>
      <c r="L2100" s="62"/>
      <c r="M2100" s="25"/>
      <c r="N2100" s="25"/>
      <c r="O2100" s="25">
        <f t="shared" si="0"/>
        <v>0</v>
      </c>
      <c r="P2100" s="25" t="str">
        <f t="shared" si="2"/>
        <v/>
      </c>
      <c r="Q2100" s="25" t="str">
        <f ca="1">IFERROR(__xludf.DUMMYFUNCTION("""COMPUTED_VALUE"""),"Sin defenir")</f>
        <v>Sin defenir</v>
      </c>
      <c r="R2100" s="25"/>
      <c r="S2100" s="55"/>
      <c r="T2100" s="56"/>
      <c r="U2100" s="25"/>
      <c r="V2100" s="25"/>
      <c r="W2100" s="25"/>
      <c r="X2100" s="25"/>
      <c r="Y2100" s="25"/>
      <c r="Z2100" s="25"/>
    </row>
    <row r="2101" spans="1:26" ht="52.5" customHeight="1" x14ac:dyDescent="0.25">
      <c r="A2101" s="25" t="str">
        <f ca="1">IFERROR(__xludf.DUMMYFUNCTION("""COMPUTED_VALUE"""),"Desar299")</f>
        <v>Desar299</v>
      </c>
      <c r="B2101" s="25"/>
      <c r="C2101" s="55"/>
      <c r="D2101" s="25" t="str">
        <f ca="1">IFERROR(__xludf.DUMMYFUNCTION("""COMPUTED_VALUE"""),"Desarrollo_Económico")</f>
        <v>Desarrollo_Económico</v>
      </c>
      <c r="E2101" s="25"/>
      <c r="F2101" s="25"/>
      <c r="G2101" s="25"/>
      <c r="H2101" s="25"/>
      <c r="I2101" s="25"/>
      <c r="J2101" s="55"/>
      <c r="K2101" s="25" t="str">
        <f ca="1">IFERROR(__xludf.DUMMYFUNCTION("""COMPUTED_VALUE"""),"Definir fecha")</f>
        <v>Definir fecha</v>
      </c>
      <c r="L2101" s="62"/>
      <c r="M2101" s="25"/>
      <c r="N2101" s="25"/>
      <c r="O2101" s="25">
        <f t="shared" si="0"/>
        <v>0</v>
      </c>
      <c r="P2101" s="25" t="str">
        <f t="shared" si="2"/>
        <v/>
      </c>
      <c r="Q2101" s="25" t="str">
        <f ca="1">IFERROR(__xludf.DUMMYFUNCTION("""COMPUTED_VALUE"""),"Sin defenir")</f>
        <v>Sin defenir</v>
      </c>
      <c r="R2101" s="25"/>
      <c r="S2101" s="55"/>
      <c r="T2101" s="56"/>
      <c r="U2101" s="25"/>
      <c r="V2101" s="25"/>
      <c r="W2101" s="25"/>
      <c r="X2101" s="25"/>
      <c r="Y2101" s="25"/>
      <c r="Z2101" s="25"/>
    </row>
    <row r="2102" spans="1:26" ht="52.5" customHeight="1" x14ac:dyDescent="0.25">
      <c r="A2102" s="25" t="str">
        <f ca="1">IFERROR(__xludf.DUMMYFUNCTION("""COMPUTED_VALUE"""),"Desar300")</f>
        <v>Desar300</v>
      </c>
      <c r="B2102" s="25"/>
      <c r="C2102" s="55"/>
      <c r="D2102" s="25" t="str">
        <f ca="1">IFERROR(__xludf.DUMMYFUNCTION("""COMPUTED_VALUE"""),"Desarrollo_Económico")</f>
        <v>Desarrollo_Económico</v>
      </c>
      <c r="E2102" s="25"/>
      <c r="F2102" s="25"/>
      <c r="G2102" s="25"/>
      <c r="H2102" s="25"/>
      <c r="I2102" s="25"/>
      <c r="J2102" s="55"/>
      <c r="K2102" s="25" t="str">
        <f ca="1">IFERROR(__xludf.DUMMYFUNCTION("""COMPUTED_VALUE"""),"Definir fecha")</f>
        <v>Definir fecha</v>
      </c>
      <c r="L2102" s="62"/>
      <c r="M2102" s="25"/>
      <c r="N2102" s="25"/>
      <c r="O2102" s="25">
        <f t="shared" si="0"/>
        <v>0</v>
      </c>
      <c r="P2102" s="25" t="str">
        <f t="shared" si="2"/>
        <v/>
      </c>
      <c r="Q2102" s="25" t="str">
        <f ca="1">IFERROR(__xludf.DUMMYFUNCTION("""COMPUTED_VALUE"""),"Sin defenir")</f>
        <v>Sin defenir</v>
      </c>
      <c r="R2102" s="25"/>
      <c r="S2102" s="55"/>
      <c r="T2102" s="56"/>
      <c r="U2102" s="25"/>
      <c r="V2102" s="25"/>
      <c r="W2102" s="25"/>
      <c r="X2102" s="25"/>
      <c r="Y2102" s="25"/>
      <c r="Z2102" s="25"/>
    </row>
    <row r="2103" spans="1:26" ht="52.5" customHeight="1" x14ac:dyDescent="0.25">
      <c r="A2103" s="25" t="str">
        <f ca="1">IFERROR(__xludf.DUMMYFUNCTION("IMPORTRANGE(""https://docs.google.com/spreadsheets/d/1SUh42QDwFP8obN0GNIj4rWfstJx5kDi_GF8-hP5_7Ug/edit#gid=330735094"",""Hábitat!A2:K301"")"),"Hábit1")</f>
        <v>Hábit1</v>
      </c>
      <c r="B2103" s="25" t="str">
        <f ca="1">IFERROR(__xludf.DUMMYFUNCTION("""COMPUTED_VALUE"""),"Evento Choachí  marzo 20 de 2021")</f>
        <v>Evento Choachí  marzo 20 de 2021</v>
      </c>
      <c r="C2103" s="55" t="str">
        <f ca="1">IFERROR(__xludf.DUMMYFUNCTION("""COMPUTED_VALUE"""),"31/03/2021")</f>
        <v>31/03/2021</v>
      </c>
      <c r="D2103" s="25" t="str">
        <f ca="1">IFERROR(__xludf.DUMMYFUNCTION("""COMPUTED_VALUE"""),"Hábitat")</f>
        <v>Hábitat</v>
      </c>
      <c r="E2103" s="25" t="str">
        <f ca="1">IFERROR(__xludf.DUMMYFUNCTION("""COMPUTED_VALUE"""),"Secretaría Distrital del Hábitat")</f>
        <v>Secretaría Distrital del Hábitat</v>
      </c>
      <c r="F2103" s="25" t="str">
        <f ca="1">IFERROR(__xludf.DUMMYFUNCTION("""COMPUTED_VALUE"""),"Programar evento de anuncio de plan terrazas con MinVivienda en Mayo, para las primeras 240 familias beneficiarias")</f>
        <v>Programar evento de anuncio de plan terrazas con MinVivienda en Mayo, para las primeras 240 familias beneficiarias</v>
      </c>
      <c r="G2103" s="25" t="str">
        <f ca="1">IFERROR(__xludf.DUMMYFUNCTION("""COMPUTED_VALUE"""),"99. Distrito")</f>
        <v>99. Distrito</v>
      </c>
      <c r="H2103" s="55">
        <f ca="1">IFERROR(__xludf.DUMMYFUNCTION("""COMPUTED_VALUE"""),44316)</f>
        <v>44316</v>
      </c>
      <c r="I2103" s="25"/>
      <c r="J2103" s="55" t="str">
        <f ca="1">IFERROR(__xludf.DUMMYFUNCTION("""COMPUTED_VALUE"""),"Alta")</f>
        <v>Alta</v>
      </c>
      <c r="K2103" s="25">
        <f ca="1">IFERROR(__xludf.DUMMYFUNCTION("""COMPUTED_VALUE"""),30)</f>
        <v>30</v>
      </c>
      <c r="L2103" s="62" t="str">
        <f ca="1">IFERROR(__xludf.DUMMYFUNCTION("IMPORTRANGE(""https://docs.google.com/spreadsheets/d/1SUh42QDwFP8obN0GNIj4rWfstJx5kDi_GF8-hP5_7Ug/edit#gid=330735094"",""Hábitat!M2:O301"")"),"")</f>
        <v/>
      </c>
      <c r="M2103" s="25"/>
      <c r="N2103" s="55">
        <f ca="1">IFERROR(__xludf.DUMMYFUNCTION("""COMPUTED_VALUE"""),44927)</f>
        <v>44927</v>
      </c>
      <c r="O2103" s="25" t="str">
        <f t="shared" ca="1" si="0"/>
        <v>Secretaría Distrital del Hábitat</v>
      </c>
      <c r="P2103" s="25" t="str">
        <f t="shared" si="2"/>
        <v/>
      </c>
      <c r="Q2103" s="25" t="str">
        <f ca="1">IFERROR(__xludf.DUMMYFUNCTION("IMPORTRANGE(""https://docs.google.com/spreadsheets/d/1SUh42QDwFP8obN0GNIj4rWfstJx5kDi_GF8-hP5_7Ug/edit#gid=330735094"",""Hábitat!L2:L301"")"),"Corto plazo")</f>
        <v>Corto plazo</v>
      </c>
      <c r="R2103" s="25"/>
      <c r="S2103" s="55"/>
      <c r="T2103" s="56"/>
      <c r="U2103" s="25"/>
      <c r="V2103" s="25"/>
      <c r="W2103" s="25"/>
      <c r="X2103" s="25"/>
      <c r="Y2103" s="25"/>
      <c r="Z2103" s="25"/>
    </row>
    <row r="2104" spans="1:26" ht="52.5" customHeight="1" x14ac:dyDescent="0.25">
      <c r="A2104" s="25" t="str">
        <f ca="1">IFERROR(__xludf.DUMMYFUNCTION("""COMPUTED_VALUE"""),"Hábit2")</f>
        <v>Hábit2</v>
      </c>
      <c r="B2104" s="25" t="str">
        <f ca="1">IFERROR(__xludf.DUMMYFUNCTION("""COMPUTED_VALUE"""),"Infraestructura - Predio Gibraltar con alcaldesa")</f>
        <v>Infraestructura - Predio Gibraltar con alcaldesa</v>
      </c>
      <c r="C2104" s="55">
        <f ca="1">IFERROR(__xludf.DUMMYFUNCTION("""COMPUTED_VALUE"""),44271)</f>
        <v>44271</v>
      </c>
      <c r="D2104" s="25" t="str">
        <f ca="1">IFERROR(__xludf.DUMMYFUNCTION("""COMPUTED_VALUE"""),"Hábitat")</f>
        <v>Hábitat</v>
      </c>
      <c r="E2104" s="25" t="str">
        <f ca="1">IFERROR(__xludf.DUMMYFUNCTION("""COMPUTED_VALUE"""),"Empresa de Acueducto y Alcantarillado de Bogotá")</f>
        <v>Empresa de Acueducto y Alcantarillado de Bogotá</v>
      </c>
      <c r="F2104" s="25" t="str">
        <f ca="1">IFERROR(__xludf.DUMMYFUNCTION("""COMPUTED_VALUE"""),"La sede de Zona 5 dela EAAB en la zona E del predio se debe mantener en esa ubicación.")</f>
        <v>La sede de Zona 5 dela EAAB en la zona E del predio se debe mantener en esa ubicación.</v>
      </c>
      <c r="G2104" s="25" t="str">
        <f ca="1">IFERROR(__xludf.DUMMYFUNCTION("""COMPUTED_VALUE"""),"99. Distrito")</f>
        <v>99. Distrito</v>
      </c>
      <c r="H2104" s="55">
        <f ca="1">IFERROR(__xludf.DUMMYFUNCTION("""COMPUTED_VALUE"""),44301)</f>
        <v>44301</v>
      </c>
      <c r="I2104" s="25"/>
      <c r="J2104" s="55" t="str">
        <f ca="1">IFERROR(__xludf.DUMMYFUNCTION("""COMPUTED_VALUE"""),"Alta")</f>
        <v>Alta</v>
      </c>
      <c r="K2104" s="25">
        <f ca="1">IFERROR(__xludf.DUMMYFUNCTION("""COMPUTED_VALUE"""),30)</f>
        <v>30</v>
      </c>
      <c r="L2104" s="62"/>
      <c r="M2104" s="25"/>
      <c r="N2104" s="55">
        <f ca="1">IFERROR(__xludf.DUMMYFUNCTION("""COMPUTED_VALUE"""),44927)</f>
        <v>44927</v>
      </c>
      <c r="O2104" s="25" t="str">
        <f t="shared" ca="1" si="0"/>
        <v>Empresa de Acueducto y Alcantarillado de Bogotá</v>
      </c>
      <c r="P2104" s="25" t="str">
        <f t="shared" si="2"/>
        <v/>
      </c>
      <c r="Q2104" s="25" t="str">
        <f ca="1">IFERROR(__xludf.DUMMYFUNCTION("""COMPUTED_VALUE"""),"Corto plazo")</f>
        <v>Corto plazo</v>
      </c>
      <c r="R2104" s="25"/>
      <c r="S2104" s="55"/>
      <c r="T2104" s="56"/>
      <c r="U2104" s="25"/>
      <c r="V2104" s="25"/>
      <c r="W2104" s="25"/>
      <c r="X2104" s="25"/>
      <c r="Y2104" s="25"/>
      <c r="Z2104" s="25"/>
    </row>
    <row r="2105" spans="1:26" ht="52.5" customHeight="1" x14ac:dyDescent="0.25">
      <c r="A2105" s="25" t="str">
        <f ca="1">IFERROR(__xludf.DUMMYFUNCTION("""COMPUTED_VALUE"""),"Hábit3")</f>
        <v>Hábit3</v>
      </c>
      <c r="B2105" s="25" t="str">
        <f ca="1">IFERROR(__xludf.DUMMYFUNCTION("""COMPUTED_VALUE"""),"Infraestructura - Predio Gibraltar: determinantes ambientales y saneamiento del predio")</f>
        <v>Infraestructura - Predio Gibraltar: determinantes ambientales y saneamiento del predio</v>
      </c>
      <c r="C2105" s="55">
        <f ca="1">IFERROR(__xludf.DUMMYFUNCTION("""COMPUTED_VALUE"""),44259)</f>
        <v>44259</v>
      </c>
      <c r="D2105" s="25" t="str">
        <f ca="1">IFERROR(__xludf.DUMMYFUNCTION("""COMPUTED_VALUE"""),"Hábitat")</f>
        <v>Hábitat</v>
      </c>
      <c r="E2105" s="25" t="str">
        <f ca="1">IFERROR(__xludf.DUMMYFUNCTION("""COMPUTED_VALUE"""),"Empresa de Acueducto y Alcantarillado de Bogotá")</f>
        <v>Empresa de Acueducto y Alcantarillado de Bogotá</v>
      </c>
      <c r="F2105" s="25" t="str">
        <f ca="1">IFERROR(__xludf.DUMMYFUNCTION("""COMPUTED_VALUE"""),"Realizar reunión entre EAAB, IDRD y SDA para determinar una lista de preguntas que se le harán al contratista en la reunión que EAAB tendrá con éste.")</f>
        <v>Realizar reunión entre EAAB, IDRD y SDA para determinar una lista de preguntas que se le harán al contratista en la reunión que EAAB tendrá con éste.</v>
      </c>
      <c r="G2105" s="25" t="str">
        <f ca="1">IFERROR(__xludf.DUMMYFUNCTION("""COMPUTED_VALUE"""),"99. Distrito")</f>
        <v>99. Distrito</v>
      </c>
      <c r="H2105" s="55">
        <f ca="1">IFERROR(__xludf.DUMMYFUNCTION("""COMPUTED_VALUE"""),44289)</f>
        <v>44289</v>
      </c>
      <c r="I2105" s="25"/>
      <c r="J2105" s="55" t="str">
        <f ca="1">IFERROR(__xludf.DUMMYFUNCTION("""COMPUTED_VALUE"""),"Alta")</f>
        <v>Alta</v>
      </c>
      <c r="K2105" s="25">
        <f ca="1">IFERROR(__xludf.DUMMYFUNCTION("""COMPUTED_VALUE"""),30)</f>
        <v>30</v>
      </c>
      <c r="L2105" s="62">
        <f ca="1">IFERROR(__xludf.DUMMYFUNCTION("""COMPUTED_VALUE"""),44956)</f>
        <v>44956</v>
      </c>
      <c r="M2105" s="25"/>
      <c r="N2105" s="55">
        <f ca="1">IFERROR(__xludf.DUMMYFUNCTION("""COMPUTED_VALUE"""),44927)</f>
        <v>44927</v>
      </c>
      <c r="O2105" s="25" t="str">
        <f t="shared" ca="1" si="0"/>
        <v>Empresa de Acueducto y Alcantarillado de Bogotá</v>
      </c>
      <c r="P2105" s="25" t="str">
        <f t="shared" si="2"/>
        <v/>
      </c>
      <c r="Q2105" s="25" t="str">
        <f ca="1">IFERROR(__xludf.DUMMYFUNCTION("""COMPUTED_VALUE"""),"Corto plazo")</f>
        <v>Corto plazo</v>
      </c>
      <c r="R2105" s="25"/>
      <c r="S2105" s="55"/>
      <c r="T2105" s="56"/>
      <c r="U2105" s="25"/>
      <c r="V2105" s="25"/>
      <c r="W2105" s="25"/>
      <c r="X2105" s="25"/>
      <c r="Y2105" s="25"/>
      <c r="Z2105" s="25"/>
    </row>
    <row r="2106" spans="1:26" ht="52.5" customHeight="1" x14ac:dyDescent="0.25">
      <c r="A2106" s="25" t="str">
        <f ca="1">IFERROR(__xludf.DUMMYFUNCTION("""COMPUTED_VALUE"""),"Hábit4")</f>
        <v>Hábit4</v>
      </c>
      <c r="B2106" s="25" t="str">
        <f ca="1">IFERROR(__xludf.DUMMYFUNCTION("""COMPUTED_VALUE"""),"Infraestructura - Visita campo y reunión Santa Teresita San Cristóbal")</f>
        <v>Infraestructura - Visita campo y reunión Santa Teresita San Cristóbal</v>
      </c>
      <c r="C2106" s="55">
        <f ca="1">IFERROR(__xludf.DUMMYFUNCTION("""COMPUTED_VALUE"""),44229)</f>
        <v>44229</v>
      </c>
      <c r="D2106" s="25" t="str">
        <f ca="1">IFERROR(__xludf.DUMMYFUNCTION("""COMPUTED_VALUE"""),"Hábitat")</f>
        <v>Hábitat</v>
      </c>
      <c r="E2106" s="25" t="str">
        <f ca="1">IFERROR(__xludf.DUMMYFUNCTION("""COMPUTED_VALUE"""),"Caja de Vivienda Popular")</f>
        <v>Caja de Vivienda Popular</v>
      </c>
      <c r="F2106" s="25" t="str">
        <f ca="1">IFERROR(__xludf.DUMMYFUNCTION("""COMPUTED_VALUE"""),"La   SED   solicita   a   la   CVP   la   remisión   de   las   memorias   de   cálculo   del colector/acueducto que fueron presentados a la EAAB")</f>
        <v>La   SED   solicita   a   la   CVP   la   remisión   de   las   memorias   de   cálculo   del colector/acueducto que fueron presentados a la EAAB</v>
      </c>
      <c r="G2106" s="25" t="str">
        <f ca="1">IFERROR(__xludf.DUMMYFUNCTION("""COMPUTED_VALUE"""),"99. Distrito")</f>
        <v>99. Distrito</v>
      </c>
      <c r="H2106" s="55">
        <f ca="1">IFERROR(__xludf.DUMMYFUNCTION("""COMPUTED_VALUE"""),44259)</f>
        <v>44259</v>
      </c>
      <c r="I2106" s="25"/>
      <c r="J2106" s="55" t="str">
        <f ca="1">IFERROR(__xludf.DUMMYFUNCTION("""COMPUTED_VALUE"""),"Alta")</f>
        <v>Alta</v>
      </c>
      <c r="K2106" s="25">
        <f ca="1">IFERROR(__xludf.DUMMYFUNCTION("""COMPUTED_VALUE"""),30)</f>
        <v>30</v>
      </c>
      <c r="L2106" s="62"/>
      <c r="M2106" s="25"/>
      <c r="N2106" s="55">
        <f ca="1">IFERROR(__xludf.DUMMYFUNCTION("""COMPUTED_VALUE"""),44927)</f>
        <v>44927</v>
      </c>
      <c r="O2106" s="25" t="str">
        <f t="shared" ca="1" si="0"/>
        <v>Caja de Vivienda Popular</v>
      </c>
      <c r="P2106" s="25" t="str">
        <f t="shared" si="2"/>
        <v/>
      </c>
      <c r="Q2106" s="25" t="str">
        <f ca="1">IFERROR(__xludf.DUMMYFUNCTION("""COMPUTED_VALUE"""),"Corto plazo")</f>
        <v>Corto plazo</v>
      </c>
      <c r="R2106" s="25"/>
      <c r="S2106" s="55"/>
      <c r="T2106" s="56"/>
      <c r="U2106" s="25"/>
      <c r="V2106" s="25"/>
      <c r="W2106" s="25"/>
      <c r="X2106" s="25"/>
      <c r="Y2106" s="25"/>
      <c r="Z2106" s="25"/>
    </row>
    <row r="2107" spans="1:26" ht="52.5" customHeight="1" x14ac:dyDescent="0.25">
      <c r="A2107" s="25" t="str">
        <f ca="1">IFERROR(__xludf.DUMMYFUNCTION("""COMPUTED_VALUE"""),"Hábit5")</f>
        <v>Hábit5</v>
      </c>
      <c r="B2107" s="25" t="str">
        <f ca="1">IFERROR(__xludf.DUMMYFUNCTION("""COMPUTED_VALUE"""),"Obras Sector San Bernardo")</f>
        <v>Obras Sector San Bernardo</v>
      </c>
      <c r="C2107" s="55">
        <f ca="1">IFERROR(__xludf.DUMMYFUNCTION("""COMPUTED_VALUE"""),44112)</f>
        <v>44112</v>
      </c>
      <c r="D2107" s="25" t="str">
        <f ca="1">IFERROR(__xludf.DUMMYFUNCTION("""COMPUTED_VALUE"""),"Hábitat")</f>
        <v>Hábitat</v>
      </c>
      <c r="E2107" s="25" t="str">
        <f ca="1">IFERROR(__xludf.DUMMYFUNCTION("""COMPUTED_VALUE"""),"Empresa de Renovación y Desarrollo Urbano")</f>
        <v>Empresa de Renovación y Desarrollo Urbano</v>
      </c>
      <c r="F2107" s="25" t="str">
        <f ca="1">IFERROR(__xludf.DUMMYFUNCTION("""COMPUTED_VALUE"""),"Gestión predial en San Bernardo al 100% a diciembre 2020")</f>
        <v>Gestión predial en San Bernardo al 100% a diciembre 2020</v>
      </c>
      <c r="G2107" s="55" t="str">
        <f ca="1">IFERROR(__xludf.DUMMYFUNCTION("""COMPUTED_VALUE"""),"03. Santa Fe")</f>
        <v>03. Santa Fe</v>
      </c>
      <c r="H2107" s="55">
        <f ca="1">IFERROR(__xludf.DUMMYFUNCTION("""COMPUTED_VALUE"""),44142)</f>
        <v>44142</v>
      </c>
      <c r="I2107" s="25"/>
      <c r="J2107" s="55" t="str">
        <f ca="1">IFERROR(__xludf.DUMMYFUNCTION("""COMPUTED_VALUE"""),"Alta")</f>
        <v>Alta</v>
      </c>
      <c r="K2107" s="25">
        <f ca="1">IFERROR(__xludf.DUMMYFUNCTION("""COMPUTED_VALUE"""),30)</f>
        <v>30</v>
      </c>
      <c r="L2107" s="62"/>
      <c r="M2107" s="25"/>
      <c r="N2107" s="55">
        <f ca="1">IFERROR(__xludf.DUMMYFUNCTION("""COMPUTED_VALUE"""),44927)</f>
        <v>44927</v>
      </c>
      <c r="O2107" s="25" t="str">
        <f t="shared" ca="1" si="0"/>
        <v>Empresa de Renovación y Desarrollo Urbano</v>
      </c>
      <c r="P2107" s="25" t="str">
        <f t="shared" si="2"/>
        <v/>
      </c>
      <c r="Q2107" s="25" t="str">
        <f ca="1">IFERROR(__xludf.DUMMYFUNCTION("""COMPUTED_VALUE"""),"Corto plazo")</f>
        <v>Corto plazo</v>
      </c>
      <c r="R2107" s="25"/>
      <c r="S2107" s="55"/>
      <c r="T2107" s="56"/>
      <c r="U2107" s="25"/>
      <c r="V2107" s="25"/>
      <c r="W2107" s="25"/>
      <c r="X2107" s="25"/>
      <c r="Y2107" s="25"/>
      <c r="Z2107" s="25"/>
    </row>
    <row r="2108" spans="1:26" ht="52.5" customHeight="1" x14ac:dyDescent="0.25">
      <c r="A2108" s="25" t="str">
        <f ca="1">IFERROR(__xludf.DUMMYFUNCTION("""COMPUTED_VALUE"""),"Hábit6")</f>
        <v>Hábit6</v>
      </c>
      <c r="B2108" s="25" t="str">
        <f ca="1">IFERROR(__xludf.DUMMYFUNCTION("""COMPUTED_VALUE"""),"Parque lineal Río Arzobispo")</f>
        <v>Parque lineal Río Arzobispo</v>
      </c>
      <c r="C2108" s="55">
        <f ca="1">IFERROR(__xludf.DUMMYFUNCTION("""COMPUTED_VALUE"""),44105)</f>
        <v>44105</v>
      </c>
      <c r="D2108" s="25" t="str">
        <f ca="1">IFERROR(__xludf.DUMMYFUNCTION("""COMPUTED_VALUE"""),"Hábitat")</f>
        <v>Hábitat</v>
      </c>
      <c r="E2108" s="25" t="str">
        <f ca="1">IFERROR(__xludf.DUMMYFUNCTION("""COMPUTED_VALUE"""),"Empresa de Acueducto y Alcantarillado de Bogotá")</f>
        <v>Empresa de Acueducto y Alcantarillado de Bogotá</v>
      </c>
      <c r="F2108" s="25" t="str">
        <f ca="1">IFERROR(__xludf.DUMMYFUNCTION("""COMPUTED_VALUE"""),"Conseguir los permisos ambientales rapidamente para el desarrollo de las obras")</f>
        <v>Conseguir los permisos ambientales rapidamente para el desarrollo de las obras</v>
      </c>
      <c r="G2108" s="55" t="str">
        <f ca="1">IFERROR(__xludf.DUMMYFUNCTION("""COMPUTED_VALUE"""),"02. Chapinero")</f>
        <v>02. Chapinero</v>
      </c>
      <c r="H2108" s="55">
        <f ca="1">IFERROR(__xludf.DUMMYFUNCTION("""COMPUTED_VALUE"""),44135)</f>
        <v>44135</v>
      </c>
      <c r="I2108" s="25"/>
      <c r="J2108" s="55" t="str">
        <f ca="1">IFERROR(__xludf.DUMMYFUNCTION("""COMPUTED_VALUE"""),"Alta")</f>
        <v>Alta</v>
      </c>
      <c r="K2108" s="25">
        <f ca="1">IFERROR(__xludf.DUMMYFUNCTION("""COMPUTED_VALUE"""),30)</f>
        <v>30</v>
      </c>
      <c r="L2108" s="62">
        <f ca="1">IFERROR(__xludf.DUMMYFUNCTION("""COMPUTED_VALUE"""),44956)</f>
        <v>44956</v>
      </c>
      <c r="M2108" s="25" t="str">
        <f ca="1">IFERROR(__xludf.DUMMYFUNCTION("""COMPUTED_VALUE"""),"El 28 de septiembre de 2022 se termino el contrato de obra con una ejecución fisica del 100% y  la empresa entrego el corredor con la Alcaldesa Mayor, se da por terminado.")</f>
        <v>El 28 de septiembre de 2022 se termino el contrato de obra con una ejecución fisica del 100% y  la empresa entrego el corredor con la Alcaldesa Mayor, se da por terminado.</v>
      </c>
      <c r="N2108" s="55">
        <f ca="1">IFERROR(__xludf.DUMMYFUNCTION("""COMPUTED_VALUE"""),44927)</f>
        <v>44927</v>
      </c>
      <c r="O2108" s="25" t="str">
        <f t="shared" ca="1" si="0"/>
        <v>Empresa de Acueducto y Alcantarillado de Bogotá</v>
      </c>
      <c r="P2108" s="25" t="str">
        <f t="shared" si="2"/>
        <v/>
      </c>
      <c r="Q2108" s="25" t="str">
        <f ca="1">IFERROR(__xludf.DUMMYFUNCTION("""COMPUTED_VALUE"""),"Corto plazo")</f>
        <v>Corto plazo</v>
      </c>
      <c r="R2108" s="25"/>
      <c r="S2108" s="55"/>
      <c r="T2108" s="56"/>
      <c r="U2108" s="25"/>
      <c r="V2108" s="25"/>
      <c r="W2108" s="25"/>
      <c r="X2108" s="25"/>
      <c r="Y2108" s="25"/>
      <c r="Z2108" s="25"/>
    </row>
    <row r="2109" spans="1:26" ht="52.5" customHeight="1" x14ac:dyDescent="0.25">
      <c r="A2109" s="25" t="str">
        <f ca="1">IFERROR(__xludf.DUMMYFUNCTION("""COMPUTED_VALUE"""),"Hábit7")</f>
        <v>Hábit7</v>
      </c>
      <c r="B2109" s="25" t="str">
        <f ca="1">IFERROR(__xludf.DUMMYFUNCTION("""COMPUTED_VALUE"""),"Parque lineal Río Arzobispo")</f>
        <v>Parque lineal Río Arzobispo</v>
      </c>
      <c r="C2109" s="55">
        <f ca="1">IFERROR(__xludf.DUMMYFUNCTION("""COMPUTED_VALUE"""),44105)</f>
        <v>44105</v>
      </c>
      <c r="D2109" s="25" t="str">
        <f ca="1">IFERROR(__xludf.DUMMYFUNCTION("""COMPUTED_VALUE"""),"Hábitat")</f>
        <v>Hábitat</v>
      </c>
      <c r="E2109" s="25" t="str">
        <f ca="1">IFERROR(__xludf.DUMMYFUNCTION("""COMPUTED_VALUE"""),"Unidad Administrativa Especial de Servicios Públicos")</f>
        <v>Unidad Administrativa Especial de Servicios Públicos</v>
      </c>
      <c r="F2109" s="25" t="str">
        <f ca="1">IFERROR(__xludf.DUMMYFUNCTION("""COMPUTED_VALUE"""),"Establecimiento de baños públicos en el parque lineal")</f>
        <v>Establecimiento de baños públicos en el parque lineal</v>
      </c>
      <c r="G2109" s="55" t="str">
        <f ca="1">IFERROR(__xludf.DUMMYFUNCTION("""COMPUTED_VALUE"""),"02. Chapinero")</f>
        <v>02. Chapinero</v>
      </c>
      <c r="H2109" s="55">
        <f ca="1">IFERROR(__xludf.DUMMYFUNCTION("""COMPUTED_VALUE"""),44135)</f>
        <v>44135</v>
      </c>
      <c r="I2109" s="25"/>
      <c r="J2109" s="55" t="str">
        <f ca="1">IFERROR(__xludf.DUMMYFUNCTION("""COMPUTED_VALUE"""),"Alta")</f>
        <v>Alta</v>
      </c>
      <c r="K2109" s="25">
        <f ca="1">IFERROR(__xludf.DUMMYFUNCTION("""COMPUTED_VALUE"""),30)</f>
        <v>30</v>
      </c>
      <c r="L2109" s="62"/>
      <c r="M2109" s="25"/>
      <c r="N2109" s="55">
        <f ca="1">IFERROR(__xludf.DUMMYFUNCTION("""COMPUTED_VALUE"""),44927)</f>
        <v>44927</v>
      </c>
      <c r="O2109" s="25" t="str">
        <f t="shared" ca="1" si="0"/>
        <v>Unidad Administrativa Especial de Servicios Públicos</v>
      </c>
      <c r="P2109" s="25" t="str">
        <f t="shared" si="2"/>
        <v/>
      </c>
      <c r="Q2109" s="25" t="str">
        <f ca="1">IFERROR(__xludf.DUMMYFUNCTION("""COMPUTED_VALUE"""),"Corto plazo")</f>
        <v>Corto plazo</v>
      </c>
      <c r="R2109" s="25"/>
      <c r="S2109" s="55"/>
      <c r="T2109" s="56"/>
      <c r="U2109" s="25"/>
      <c r="V2109" s="25"/>
      <c r="W2109" s="25"/>
      <c r="X2109" s="25"/>
      <c r="Y2109" s="25"/>
      <c r="Z2109" s="25"/>
    </row>
    <row r="2110" spans="1:26" ht="52.5" customHeight="1" x14ac:dyDescent="0.25">
      <c r="A2110" s="25" t="str">
        <f ca="1">IFERROR(__xludf.DUMMYFUNCTION("""COMPUTED_VALUE"""),"Hábit8")</f>
        <v>Hábit8</v>
      </c>
      <c r="B2110" s="25" t="str">
        <f ca="1">IFERROR(__xludf.DUMMYFUNCTION("""COMPUTED_VALUE"""),"Plan Parcial Bavaria")</f>
        <v>Plan Parcial Bavaria</v>
      </c>
      <c r="C2110" s="55">
        <f ca="1">IFERROR(__xludf.DUMMYFUNCTION("""COMPUTED_VALUE"""),44133)</f>
        <v>44133</v>
      </c>
      <c r="D2110" s="25" t="str">
        <f ca="1">IFERROR(__xludf.DUMMYFUNCTION("""COMPUTED_VALUE"""),"Hábitat")</f>
        <v>Hábitat</v>
      </c>
      <c r="E2110" s="25" t="str">
        <f ca="1">IFERROR(__xludf.DUMMYFUNCTION("""COMPUTED_VALUE"""),"Secretaría Distrital del Hábitat")</f>
        <v>Secretaría Distrital del Hábitat</v>
      </c>
      <c r="F2110" s="25" t="str">
        <f ca="1">IFERROR(__xludf.DUMMYFUNCTION("""COMPUTED_VALUE"""),"Para las mesas de concertación con la comunidad, adicionar temas culturales y educativos")</f>
        <v>Para las mesas de concertación con la comunidad, adicionar temas culturales y educativos</v>
      </c>
      <c r="G2110" s="55" t="str">
        <f ca="1">IFERROR(__xludf.DUMMYFUNCTION("""COMPUTED_VALUE"""),"08. Kennedy")</f>
        <v>08. Kennedy</v>
      </c>
      <c r="H2110" s="55">
        <f ca="1">IFERROR(__xludf.DUMMYFUNCTION("""COMPUTED_VALUE"""),44163)</f>
        <v>44163</v>
      </c>
      <c r="I2110" s="25"/>
      <c r="J2110" s="55" t="str">
        <f ca="1">IFERROR(__xludf.DUMMYFUNCTION("""COMPUTED_VALUE"""),"Alta")</f>
        <v>Alta</v>
      </c>
      <c r="K2110" s="25">
        <f ca="1">IFERROR(__xludf.DUMMYFUNCTION("""COMPUTED_VALUE"""),30)</f>
        <v>30</v>
      </c>
      <c r="L2110" s="62"/>
      <c r="M2110" s="25"/>
      <c r="N2110" s="55">
        <f ca="1">IFERROR(__xludf.DUMMYFUNCTION("""COMPUTED_VALUE"""),44927)</f>
        <v>44927</v>
      </c>
      <c r="O2110" s="25" t="str">
        <f t="shared" ca="1" si="0"/>
        <v>Secretaría Distrital del Hábitat</v>
      </c>
      <c r="P2110" s="25" t="str">
        <f t="shared" si="2"/>
        <v/>
      </c>
      <c r="Q2110" s="25" t="str">
        <f ca="1">IFERROR(__xludf.DUMMYFUNCTION("""COMPUTED_VALUE"""),"Corto plazo")</f>
        <v>Corto plazo</v>
      </c>
      <c r="R2110" s="25"/>
      <c r="S2110" s="55"/>
      <c r="T2110" s="56"/>
      <c r="U2110" s="25"/>
      <c r="V2110" s="25"/>
      <c r="W2110" s="25"/>
      <c r="X2110" s="25"/>
      <c r="Y2110" s="25"/>
      <c r="Z2110" s="25"/>
    </row>
    <row r="2111" spans="1:26" ht="52.5" customHeight="1" x14ac:dyDescent="0.25">
      <c r="A2111" s="25" t="str">
        <f ca="1">IFERROR(__xludf.DUMMYFUNCTION("""COMPUTED_VALUE"""),"Hábit9")</f>
        <v>Hábit9</v>
      </c>
      <c r="B2111" s="25" t="str">
        <f ca="1">IFERROR(__xludf.DUMMYFUNCTION("""COMPUTED_VALUE"""),"PP Bosa 37")</f>
        <v>PP Bosa 37</v>
      </c>
      <c r="C2111" s="55">
        <f ca="1">IFERROR(__xludf.DUMMYFUNCTION("""COMPUTED_VALUE"""),44126)</f>
        <v>44126</v>
      </c>
      <c r="D2111" s="25" t="str">
        <f ca="1">IFERROR(__xludf.DUMMYFUNCTION("""COMPUTED_VALUE"""),"Hábitat")</f>
        <v>Hábitat</v>
      </c>
      <c r="E2111" s="25" t="str">
        <f ca="1">IFERROR(__xludf.DUMMYFUNCTION("""COMPUTED_VALUE"""),"Secretaría Distrital del Hábitat")</f>
        <v>Secretaría Distrital del Hábitat</v>
      </c>
      <c r="F2111" s="25" t="str">
        <f ca="1">IFERROR(__xludf.DUMMYFUNCTION("""COMPUTED_VALUE"""),"Hablar con el IDU para gestionar el anillo vial que conecta los Planes Parciales Bosa 37 y La Marlene (Circunvalar del Sur, la Santa Fe y la Tintal)")</f>
        <v>Hablar con el IDU para gestionar el anillo vial que conecta los Planes Parciales Bosa 37 y La Marlene (Circunvalar del Sur, la Santa Fe y la Tintal)</v>
      </c>
      <c r="G2111" s="55" t="str">
        <f ca="1">IFERROR(__xludf.DUMMYFUNCTION("""COMPUTED_VALUE"""),"07. Bosa")</f>
        <v>07. Bosa</v>
      </c>
      <c r="H2111" s="55">
        <f ca="1">IFERROR(__xludf.DUMMYFUNCTION("""COMPUTED_VALUE"""),44156)</f>
        <v>44156</v>
      </c>
      <c r="I2111" s="25"/>
      <c r="J2111" s="55" t="str">
        <f ca="1">IFERROR(__xludf.DUMMYFUNCTION("""COMPUTED_VALUE"""),"Alta")</f>
        <v>Alta</v>
      </c>
      <c r="K2111" s="25">
        <f ca="1">IFERROR(__xludf.DUMMYFUNCTION("""COMPUTED_VALUE"""),30)</f>
        <v>30</v>
      </c>
      <c r="L2111" s="62"/>
      <c r="M2111" s="25"/>
      <c r="N2111" s="55">
        <f ca="1">IFERROR(__xludf.DUMMYFUNCTION("""COMPUTED_VALUE"""),44927)</f>
        <v>44927</v>
      </c>
      <c r="O2111" s="25" t="str">
        <f t="shared" ca="1" si="0"/>
        <v>Secretaría Distrital del Hábitat</v>
      </c>
      <c r="P2111" s="25" t="str">
        <f t="shared" si="2"/>
        <v/>
      </c>
      <c r="Q2111" s="25" t="str">
        <f ca="1">IFERROR(__xludf.DUMMYFUNCTION("""COMPUTED_VALUE"""),"Corto plazo")</f>
        <v>Corto plazo</v>
      </c>
      <c r="R2111" s="25"/>
      <c r="S2111" s="55"/>
      <c r="T2111" s="56"/>
      <c r="U2111" s="25"/>
      <c r="V2111" s="25"/>
      <c r="W2111" s="25"/>
      <c r="X2111" s="25"/>
      <c r="Y2111" s="25"/>
      <c r="Z2111" s="25"/>
    </row>
    <row r="2112" spans="1:26" ht="52.5" customHeight="1" x14ac:dyDescent="0.25">
      <c r="A2112" s="25" t="str">
        <f ca="1">IFERROR(__xludf.DUMMYFUNCTION("""COMPUTED_VALUE"""),"Hábit10")</f>
        <v>Hábit10</v>
      </c>
      <c r="B2112" s="25" t="str">
        <f ca="1">IFERROR(__xludf.DUMMYFUNCTION("""COMPUTED_VALUE"""),"Presentación Decreto subsidios habitacionales")</f>
        <v>Presentación Decreto subsidios habitacionales</v>
      </c>
      <c r="C2112" s="55">
        <f ca="1">IFERROR(__xludf.DUMMYFUNCTION("""COMPUTED_VALUE"""),44273)</f>
        <v>44273</v>
      </c>
      <c r="D2112" s="25" t="str">
        <f ca="1">IFERROR(__xludf.DUMMYFUNCTION("""COMPUTED_VALUE"""),"Hábitat")</f>
        <v>Hábitat</v>
      </c>
      <c r="E2112" s="25" t="str">
        <f ca="1">IFERROR(__xludf.DUMMYFUNCTION("""COMPUTED_VALUE"""),"Secretaría Distrital del Hábitat")</f>
        <v>Secretaría Distrital del Hábitat</v>
      </c>
      <c r="F2112" s="25" t="str">
        <f ca="1">IFERROR(__xludf.DUMMYFUNCTION("""COMPUTED_VALUE"""),"Flexibilizar los criterios para acceder a los subsidios que ofrece el distrito")</f>
        <v>Flexibilizar los criterios para acceder a los subsidios que ofrece el distrito</v>
      </c>
      <c r="G2112" s="25" t="str">
        <f ca="1">IFERROR(__xludf.DUMMYFUNCTION("""COMPUTED_VALUE"""),"99. Distrito")</f>
        <v>99. Distrito</v>
      </c>
      <c r="H2112" s="55">
        <f ca="1">IFERROR(__xludf.DUMMYFUNCTION("""COMPUTED_VALUE"""),44303)</f>
        <v>44303</v>
      </c>
      <c r="I2112" s="25"/>
      <c r="J2112" s="55" t="str">
        <f ca="1">IFERROR(__xludf.DUMMYFUNCTION("""COMPUTED_VALUE"""),"Alta")</f>
        <v>Alta</v>
      </c>
      <c r="K2112" s="25">
        <f ca="1">IFERROR(__xludf.DUMMYFUNCTION("""COMPUTED_VALUE"""),30)</f>
        <v>30</v>
      </c>
      <c r="L2112" s="62"/>
      <c r="M2112" s="25"/>
      <c r="N2112" s="55">
        <f ca="1">IFERROR(__xludf.DUMMYFUNCTION("""COMPUTED_VALUE"""),44927)</f>
        <v>44927</v>
      </c>
      <c r="O2112" s="25" t="str">
        <f t="shared" ca="1" si="0"/>
        <v>Secretaría Distrital del Hábitat</v>
      </c>
      <c r="P2112" s="25" t="str">
        <f t="shared" si="2"/>
        <v/>
      </c>
      <c r="Q2112" s="25" t="str">
        <f ca="1">IFERROR(__xludf.DUMMYFUNCTION("""COMPUTED_VALUE"""),"Corto plazo")</f>
        <v>Corto plazo</v>
      </c>
      <c r="R2112" s="25"/>
      <c r="S2112" s="55"/>
      <c r="T2112" s="56"/>
      <c r="U2112" s="25"/>
      <c r="V2112" s="25"/>
      <c r="W2112" s="25"/>
      <c r="X2112" s="25"/>
      <c r="Y2112" s="25"/>
      <c r="Z2112" s="25"/>
    </row>
    <row r="2113" spans="1:26" ht="52.5" customHeight="1" x14ac:dyDescent="0.25">
      <c r="A2113" s="25" t="str">
        <f ca="1">IFERROR(__xludf.DUMMYFUNCTION("""COMPUTED_VALUE"""),"Hábit11")</f>
        <v>Hábit11</v>
      </c>
      <c r="B2113" s="25" t="str">
        <f ca="1">IFERROR(__xludf.DUMMYFUNCTION("""COMPUTED_VALUE"""),"Priorización luces led ")</f>
        <v xml:space="preserve">Priorización luces led </v>
      </c>
      <c r="C2113" s="55">
        <f ca="1">IFERROR(__xludf.DUMMYFUNCTION("""COMPUTED_VALUE"""),44273)</f>
        <v>44273</v>
      </c>
      <c r="D2113" s="25" t="str">
        <f ca="1">IFERROR(__xludf.DUMMYFUNCTION("""COMPUTED_VALUE"""),"Hábitat")</f>
        <v>Hábitat</v>
      </c>
      <c r="E2113" s="25" t="str">
        <f ca="1">IFERROR(__xludf.DUMMYFUNCTION("""COMPUTED_VALUE"""),"Unidad Administrativa Especial de Servicios Públicos")</f>
        <v>Unidad Administrativa Especial de Servicios Públicos</v>
      </c>
      <c r="F2113" s="25" t="str">
        <f ca="1">IFERROR(__xludf.DUMMYFUNCTION("""COMPUTED_VALUE"""),"Tener plan de priorización de luces Led")</f>
        <v>Tener plan de priorización de luces Led</v>
      </c>
      <c r="G2113" s="25" t="str">
        <f ca="1">IFERROR(__xludf.DUMMYFUNCTION("""COMPUTED_VALUE"""),"99. Distrito")</f>
        <v>99. Distrito</v>
      </c>
      <c r="H2113" s="55">
        <f ca="1">IFERROR(__xludf.DUMMYFUNCTION("""COMPUTED_VALUE"""),44303)</f>
        <v>44303</v>
      </c>
      <c r="I2113" s="25"/>
      <c r="J2113" s="55" t="str">
        <f ca="1">IFERROR(__xludf.DUMMYFUNCTION("""COMPUTED_VALUE"""),"Alta")</f>
        <v>Alta</v>
      </c>
      <c r="K2113" s="25">
        <f ca="1">IFERROR(__xludf.DUMMYFUNCTION("""COMPUTED_VALUE"""),30)</f>
        <v>30</v>
      </c>
      <c r="L2113" s="62"/>
      <c r="M2113" s="25"/>
      <c r="N2113" s="55">
        <f ca="1">IFERROR(__xludf.DUMMYFUNCTION("""COMPUTED_VALUE"""),44927)</f>
        <v>44927</v>
      </c>
      <c r="O2113" s="25" t="str">
        <f t="shared" ca="1" si="0"/>
        <v>Unidad Administrativa Especial de Servicios Públicos</v>
      </c>
      <c r="P2113" s="25" t="str">
        <f t="shared" si="2"/>
        <v/>
      </c>
      <c r="Q2113" s="25" t="str">
        <f ca="1">IFERROR(__xludf.DUMMYFUNCTION("""COMPUTED_VALUE"""),"Corto plazo")</f>
        <v>Corto plazo</v>
      </c>
      <c r="R2113" s="25"/>
      <c r="S2113" s="55"/>
      <c r="T2113" s="56"/>
      <c r="U2113" s="25"/>
      <c r="V2113" s="25"/>
      <c r="W2113" s="25"/>
      <c r="X2113" s="25"/>
      <c r="Y2113" s="25"/>
      <c r="Z2113" s="25"/>
    </row>
    <row r="2114" spans="1:26" ht="52.5" customHeight="1" x14ac:dyDescent="0.25">
      <c r="A2114" s="25" t="str">
        <f ca="1">IFERROR(__xludf.DUMMYFUNCTION("""COMPUTED_VALUE"""),"Hábit12")</f>
        <v>Hábit12</v>
      </c>
      <c r="B2114" s="25" t="str">
        <f ca="1">IFERROR(__xludf.DUMMYFUNCTION("""COMPUTED_VALUE"""),"Recorrido Kennedy ")</f>
        <v xml:space="preserve">Recorrido Kennedy </v>
      </c>
      <c r="C2114" s="55">
        <f ca="1">IFERROR(__xludf.DUMMYFUNCTION("""COMPUTED_VALUE"""),44273)</f>
        <v>44273</v>
      </c>
      <c r="D2114" s="25" t="str">
        <f ca="1">IFERROR(__xludf.DUMMYFUNCTION("""COMPUTED_VALUE"""),"Hábitat")</f>
        <v>Hábitat</v>
      </c>
      <c r="E2114" s="25" t="str">
        <f ca="1">IFERROR(__xludf.DUMMYFUNCTION("""COMPUTED_VALUE"""),"Unidad Administrativa Especial de Servicios Públicos")</f>
        <v>Unidad Administrativa Especial de Servicios Públicos</v>
      </c>
      <c r="F2114" s="25" t="str">
        <f ca="1">IFERROR(__xludf.DUMMYFUNCTION("""COMPUTED_VALUE""")," Iluminar la cancha de futbol del barrio Alsacio con la UAESP.")</f>
        <v xml:space="preserve"> Iluminar la cancha de futbol del barrio Alsacio con la UAESP.</v>
      </c>
      <c r="G2114" s="55" t="str">
        <f ca="1">IFERROR(__xludf.DUMMYFUNCTION("""COMPUTED_VALUE"""),"08. Kennedy")</f>
        <v>08. Kennedy</v>
      </c>
      <c r="H2114" s="55">
        <f ca="1">IFERROR(__xludf.DUMMYFUNCTION("""COMPUTED_VALUE"""),44303)</f>
        <v>44303</v>
      </c>
      <c r="I2114" s="25"/>
      <c r="J2114" s="55" t="str">
        <f ca="1">IFERROR(__xludf.DUMMYFUNCTION("""COMPUTED_VALUE"""),"Alta")</f>
        <v>Alta</v>
      </c>
      <c r="K2114" s="25">
        <f ca="1">IFERROR(__xludf.DUMMYFUNCTION("""COMPUTED_VALUE"""),30)</f>
        <v>30</v>
      </c>
      <c r="L2114" s="62"/>
      <c r="M2114" s="25"/>
      <c r="N2114" s="55">
        <f ca="1">IFERROR(__xludf.DUMMYFUNCTION("""COMPUTED_VALUE"""),44927)</f>
        <v>44927</v>
      </c>
      <c r="O2114" s="25" t="str">
        <f t="shared" ca="1" si="0"/>
        <v>Unidad Administrativa Especial de Servicios Públicos</v>
      </c>
      <c r="P2114" s="25" t="str">
        <f t="shared" si="2"/>
        <v/>
      </c>
      <c r="Q2114" s="25" t="str">
        <f ca="1">IFERROR(__xludf.DUMMYFUNCTION("""COMPUTED_VALUE"""),"Corto plazo")</f>
        <v>Corto plazo</v>
      </c>
      <c r="R2114" s="25"/>
      <c r="S2114" s="55"/>
      <c r="T2114" s="56"/>
      <c r="U2114" s="25"/>
      <c r="V2114" s="25"/>
      <c r="W2114" s="25"/>
      <c r="X2114" s="25"/>
      <c r="Y2114" s="25"/>
      <c r="Z2114" s="25"/>
    </row>
    <row r="2115" spans="1:26" ht="52.5" customHeight="1" x14ac:dyDescent="0.25">
      <c r="A2115" s="25" t="str">
        <f ca="1">IFERROR(__xludf.DUMMYFUNCTION("""COMPUTED_VALUE"""),"Hábit13")</f>
        <v>Hábit13</v>
      </c>
      <c r="B2115" s="25" t="str">
        <f ca="1">IFERROR(__xludf.DUMMYFUNCTION("""COMPUTED_VALUE"""),"Recorrido Plan Centro ")</f>
        <v xml:space="preserve">Recorrido Plan Centro </v>
      </c>
      <c r="C2115" s="55">
        <f ca="1">IFERROR(__xludf.DUMMYFUNCTION("""COMPUTED_VALUE"""),44294)</f>
        <v>44294</v>
      </c>
      <c r="D2115" s="25" t="str">
        <f ca="1">IFERROR(__xludf.DUMMYFUNCTION("""COMPUTED_VALUE"""),"Hábitat")</f>
        <v>Hábitat</v>
      </c>
      <c r="E2115" s="25" t="str">
        <f ca="1">IFERROR(__xludf.DUMMYFUNCTION("""COMPUTED_VALUE"""),"Empresa de Renovación y Desarrollo Urbano")</f>
        <v>Empresa de Renovación y Desarrollo Urbano</v>
      </c>
      <c r="F2115" s="25" t="str">
        <f ca="1">IFERROR(__xludf.DUMMYFUNCTION("""COMPUTED_VALUE"""),"Coordinar con la ERU y la Secretaría de Planeación la visita al predio (Bodega) ubicado cerca al cementerio centro perteneciente a la UAESP, con el fin de que presenten una propuesta de que hacer en ese predio")</f>
        <v>Coordinar con la ERU y la Secretaría de Planeación la visita al predio (Bodega) ubicado cerca al cementerio centro perteneciente a la UAESP, con el fin de que presenten una propuesta de que hacer en ese predio</v>
      </c>
      <c r="G2115" s="25" t="str">
        <f ca="1">IFERROR(__xludf.DUMMYFUNCTION("""COMPUTED_VALUE"""),"14. Martires")</f>
        <v>14. Martires</v>
      </c>
      <c r="H2115" s="55">
        <f ca="1">IFERROR(__xludf.DUMMYFUNCTION("""COMPUTED_VALUE"""),44324)</f>
        <v>44324</v>
      </c>
      <c r="I2115" s="25"/>
      <c r="J2115" s="55" t="str">
        <f ca="1">IFERROR(__xludf.DUMMYFUNCTION("""COMPUTED_VALUE"""),"Alta")</f>
        <v>Alta</v>
      </c>
      <c r="K2115" s="25">
        <f ca="1">IFERROR(__xludf.DUMMYFUNCTION("""COMPUTED_VALUE"""),30)</f>
        <v>30</v>
      </c>
      <c r="L2115" s="62"/>
      <c r="M2115" s="25"/>
      <c r="N2115" s="55">
        <f ca="1">IFERROR(__xludf.DUMMYFUNCTION("""COMPUTED_VALUE"""),44927)</f>
        <v>44927</v>
      </c>
      <c r="O2115" s="25" t="str">
        <f t="shared" ca="1" si="0"/>
        <v>Empresa de Renovación y Desarrollo Urbano</v>
      </c>
      <c r="P2115" s="25" t="str">
        <f t="shared" si="2"/>
        <v/>
      </c>
      <c r="Q2115" s="25" t="str">
        <f ca="1">IFERROR(__xludf.DUMMYFUNCTION("""COMPUTED_VALUE"""),"Corto plazo")</f>
        <v>Corto plazo</v>
      </c>
      <c r="R2115" s="25"/>
      <c r="S2115" s="55"/>
      <c r="T2115" s="56"/>
      <c r="U2115" s="25"/>
      <c r="V2115" s="25"/>
      <c r="W2115" s="25"/>
      <c r="X2115" s="25"/>
      <c r="Y2115" s="25"/>
      <c r="Z2115" s="25"/>
    </row>
    <row r="2116" spans="1:26" ht="52.5" customHeight="1" x14ac:dyDescent="0.25">
      <c r="A2116" s="25" t="str">
        <f ca="1">IFERROR(__xludf.DUMMYFUNCTION("""COMPUTED_VALUE"""),"Hábit14")</f>
        <v>Hábit14</v>
      </c>
      <c r="B2116" s="25" t="str">
        <f ca="1">IFERROR(__xludf.DUMMYFUNCTION("""COMPUTED_VALUE"""),"Recorrido Plan Centro ")</f>
        <v xml:space="preserve">Recorrido Plan Centro </v>
      </c>
      <c r="C2116" s="55">
        <f ca="1">IFERROR(__xludf.DUMMYFUNCTION("""COMPUTED_VALUE"""),44294)</f>
        <v>44294</v>
      </c>
      <c r="D2116" s="25" t="str">
        <f ca="1">IFERROR(__xludf.DUMMYFUNCTION("""COMPUTED_VALUE"""),"Hábitat")</f>
        <v>Hábitat</v>
      </c>
      <c r="E2116" s="25" t="str">
        <f ca="1">IFERROR(__xludf.DUMMYFUNCTION("""COMPUTED_VALUE"""),"Unidad Administrativa Especial de Servicios Públicos")</f>
        <v>Unidad Administrativa Especial de Servicios Públicos</v>
      </c>
      <c r="F2116" s="25" t="str">
        <f ca="1">IFERROR(__xludf.DUMMYFUNCTION("""COMPUTED_VALUE"""),"Encontrar espacios para la apertura de Centros Transitorios del Cuidado al Carretero CTCC en la zona centro. ")</f>
        <v xml:space="preserve">Encontrar espacios para la apertura de Centros Transitorios del Cuidado al Carretero CTCC en la zona centro. </v>
      </c>
      <c r="G2116" s="25" t="str">
        <f ca="1">IFERROR(__xludf.DUMMYFUNCTION("""COMPUTED_VALUE"""),"14. Martires")</f>
        <v>14. Martires</v>
      </c>
      <c r="H2116" s="55">
        <f ca="1">IFERROR(__xludf.DUMMYFUNCTION("""COMPUTED_VALUE"""),44324)</f>
        <v>44324</v>
      </c>
      <c r="I2116" s="25"/>
      <c r="J2116" s="55" t="str">
        <f ca="1">IFERROR(__xludf.DUMMYFUNCTION("""COMPUTED_VALUE"""),"Alta")</f>
        <v>Alta</v>
      </c>
      <c r="K2116" s="25">
        <f ca="1">IFERROR(__xludf.DUMMYFUNCTION("""COMPUTED_VALUE"""),30)</f>
        <v>30</v>
      </c>
      <c r="L2116" s="62"/>
      <c r="M2116" s="25"/>
      <c r="N2116" s="55">
        <f ca="1">IFERROR(__xludf.DUMMYFUNCTION("""COMPUTED_VALUE"""),44927)</f>
        <v>44927</v>
      </c>
      <c r="O2116" s="25" t="str">
        <f t="shared" ca="1" si="0"/>
        <v>Unidad Administrativa Especial de Servicios Públicos</v>
      </c>
      <c r="P2116" s="25" t="str">
        <f t="shared" si="2"/>
        <v/>
      </c>
      <c r="Q2116" s="25" t="str">
        <f ca="1">IFERROR(__xludf.DUMMYFUNCTION("""COMPUTED_VALUE"""),"Corto plazo")</f>
        <v>Corto plazo</v>
      </c>
      <c r="R2116" s="25"/>
      <c r="S2116" s="55"/>
      <c r="T2116" s="56"/>
      <c r="U2116" s="25"/>
      <c r="V2116" s="25"/>
      <c r="W2116" s="25"/>
      <c r="X2116" s="25"/>
      <c r="Y2116" s="25"/>
      <c r="Z2116" s="25"/>
    </row>
    <row r="2117" spans="1:26" ht="52.5" customHeight="1" x14ac:dyDescent="0.25">
      <c r="A2117" s="25" t="str">
        <f ca="1">IFERROR(__xludf.DUMMYFUNCTION("""COMPUTED_VALUE"""),"Hábit15")</f>
        <v>Hábit15</v>
      </c>
      <c r="B2117" s="25" t="str">
        <f ca="1">IFERROR(__xludf.DUMMYFUNCTION("""COMPUTED_VALUE"""),"Recorrido Plan Centro ")</f>
        <v xml:space="preserve">Recorrido Plan Centro </v>
      </c>
      <c r="C2117" s="55">
        <f ca="1">IFERROR(__xludf.DUMMYFUNCTION("""COMPUTED_VALUE"""),44294)</f>
        <v>44294</v>
      </c>
      <c r="D2117" s="25" t="str">
        <f ca="1">IFERROR(__xludf.DUMMYFUNCTION("""COMPUTED_VALUE"""),"Hábitat")</f>
        <v>Hábitat</v>
      </c>
      <c r="E2117" s="25" t="str">
        <f ca="1">IFERROR(__xludf.DUMMYFUNCTION("""COMPUTED_VALUE"""),"Empresa de Renovación y Desarrollo Urbano")</f>
        <v>Empresa de Renovación y Desarrollo Urbano</v>
      </c>
      <c r="F2117" s="25" t="str">
        <f ca="1">IFERROR(__xludf.DUMMYFUNCTION("""COMPUTED_VALUE"""),"Coordinar reunión con ERU y IPES para la adecuación del predio (antigua bolera) para que usado como bodega de los cachivacheros ")</f>
        <v xml:space="preserve">Coordinar reunión con ERU y IPES para la adecuación del predio (antigua bolera) para que usado como bodega de los cachivacheros </v>
      </c>
      <c r="G2117" s="25" t="str">
        <f ca="1">IFERROR(__xludf.DUMMYFUNCTION("""COMPUTED_VALUE"""),"14. Martires")</f>
        <v>14. Martires</v>
      </c>
      <c r="H2117" s="55">
        <f ca="1">IFERROR(__xludf.DUMMYFUNCTION("""COMPUTED_VALUE"""),44324)</f>
        <v>44324</v>
      </c>
      <c r="I2117" s="25"/>
      <c r="J2117" s="55" t="str">
        <f ca="1">IFERROR(__xludf.DUMMYFUNCTION("""COMPUTED_VALUE"""),"Alta")</f>
        <v>Alta</v>
      </c>
      <c r="K2117" s="25">
        <f ca="1">IFERROR(__xludf.DUMMYFUNCTION("""COMPUTED_VALUE"""),30)</f>
        <v>30</v>
      </c>
      <c r="L2117" s="62"/>
      <c r="M2117" s="25"/>
      <c r="N2117" s="55">
        <f ca="1">IFERROR(__xludf.DUMMYFUNCTION("""COMPUTED_VALUE"""),44927)</f>
        <v>44927</v>
      </c>
      <c r="O2117" s="25" t="str">
        <f t="shared" ca="1" si="0"/>
        <v>Empresa de Renovación y Desarrollo Urbano</v>
      </c>
      <c r="P2117" s="25" t="str">
        <f t="shared" si="2"/>
        <v/>
      </c>
      <c r="Q2117" s="25" t="str">
        <f ca="1">IFERROR(__xludf.DUMMYFUNCTION("""COMPUTED_VALUE"""),"Corto plazo")</f>
        <v>Corto plazo</v>
      </c>
      <c r="R2117" s="25"/>
      <c r="S2117" s="55"/>
      <c r="T2117" s="56"/>
      <c r="U2117" s="25"/>
      <c r="V2117" s="25"/>
      <c r="W2117" s="25"/>
      <c r="X2117" s="25"/>
      <c r="Y2117" s="25"/>
      <c r="Z2117" s="25"/>
    </row>
    <row r="2118" spans="1:26" ht="52.5" customHeight="1" x14ac:dyDescent="0.25">
      <c r="A2118" s="25" t="str">
        <f ca="1">IFERROR(__xludf.DUMMYFUNCTION("""COMPUTED_VALUE"""),"Hábit16")</f>
        <v>Hábit16</v>
      </c>
      <c r="B2118" s="25" t="str">
        <f ca="1">IFERROR(__xludf.DUMMYFUNCTION("""COMPUTED_VALUE"""),"Recorrido Sumapaz")</f>
        <v>Recorrido Sumapaz</v>
      </c>
      <c r="C2118" s="55" t="str">
        <f ca="1">IFERROR(__xludf.DUMMYFUNCTION("""COMPUTED_VALUE"""),"04/12/2020")</f>
        <v>04/12/2020</v>
      </c>
      <c r="D2118" s="25" t="str">
        <f ca="1">IFERROR(__xludf.DUMMYFUNCTION("""COMPUTED_VALUE"""),"Hábitat")</f>
        <v>Hábitat</v>
      </c>
      <c r="E2118" s="25" t="str">
        <f ca="1">IFERROR(__xludf.DUMMYFUNCTION("""COMPUTED_VALUE"""),"Secretaría Distrital del Hábitat")</f>
        <v>Secretaría Distrital del Hábitat</v>
      </c>
      <c r="F2118" s="25" t="str">
        <f ca="1">IFERROR(__xludf.DUMMYFUNCTION("""COMPUTED_VALUE"""),"Adelantar tres audiencias públicas: presupuestos participativos, región metropolitana y de delimitación del páramo")</f>
        <v>Adelantar tres audiencias públicas: presupuestos participativos, región metropolitana y de delimitación del páramo</v>
      </c>
      <c r="G2118" s="55" t="str">
        <f ca="1">IFERROR(__xludf.DUMMYFUNCTION("""COMPUTED_VALUE"""),"20. Sumapaz")</f>
        <v>20. Sumapaz</v>
      </c>
      <c r="H2118" s="55">
        <f ca="1">IFERROR(__xludf.DUMMYFUNCTION("""COMPUTED_VALUE"""),44199)</f>
        <v>44199</v>
      </c>
      <c r="I2118" s="25"/>
      <c r="J2118" s="55" t="str">
        <f ca="1">IFERROR(__xludf.DUMMYFUNCTION("""COMPUTED_VALUE"""),"Alta")</f>
        <v>Alta</v>
      </c>
      <c r="K2118" s="25">
        <f ca="1">IFERROR(__xludf.DUMMYFUNCTION("""COMPUTED_VALUE"""),30)</f>
        <v>30</v>
      </c>
      <c r="L2118" s="62"/>
      <c r="M2118" s="25"/>
      <c r="N2118" s="55">
        <f ca="1">IFERROR(__xludf.DUMMYFUNCTION("""COMPUTED_VALUE"""),44927)</f>
        <v>44927</v>
      </c>
      <c r="O2118" s="25" t="str">
        <f t="shared" ca="1" si="0"/>
        <v>Secretaría Distrital del Hábitat</v>
      </c>
      <c r="P2118" s="25" t="str">
        <f t="shared" si="2"/>
        <v/>
      </c>
      <c r="Q2118" s="25" t="str">
        <f ca="1">IFERROR(__xludf.DUMMYFUNCTION("""COMPUTED_VALUE"""),"Corto plazo")</f>
        <v>Corto plazo</v>
      </c>
      <c r="R2118" s="25"/>
      <c r="S2118" s="55"/>
      <c r="T2118" s="56"/>
      <c r="U2118" s="25"/>
      <c r="V2118" s="25"/>
      <c r="W2118" s="25"/>
      <c r="X2118" s="25"/>
      <c r="Y2118" s="25"/>
      <c r="Z2118" s="25"/>
    </row>
    <row r="2119" spans="1:26" ht="52.5" customHeight="1" x14ac:dyDescent="0.25">
      <c r="A2119" s="25" t="str">
        <f ca="1">IFERROR(__xludf.DUMMYFUNCTION("""COMPUTED_VALUE"""),"Hábit17")</f>
        <v>Hábit17</v>
      </c>
      <c r="B2119" s="25" t="str">
        <f ca="1">IFERROR(__xludf.DUMMYFUNCTION("""COMPUTED_VALUE"""),"Recorrido Usaquén ")</f>
        <v xml:space="preserve">Recorrido Usaquén </v>
      </c>
      <c r="C2119" s="55">
        <f ca="1">IFERROR(__xludf.DUMMYFUNCTION("""COMPUTED_VALUE"""),44266)</f>
        <v>44266</v>
      </c>
      <c r="D2119" s="25" t="str">
        <f ca="1">IFERROR(__xludf.DUMMYFUNCTION("""COMPUTED_VALUE"""),"Hábitat")</f>
        <v>Hábitat</v>
      </c>
      <c r="E2119" s="25" t="str">
        <f ca="1">IFERROR(__xludf.DUMMYFUNCTION("""COMPUTED_VALUE"""),"Unidad Administrativa Especial de Servicios Públicos")</f>
        <v>Unidad Administrativa Especial de Servicios Públicos</v>
      </c>
      <c r="F2119" s="25" t="str">
        <f ca="1">IFERROR(__xludf.DUMMYFUNCTION("""COMPUTED_VALUE"""),"Iluminar calle 140 con 19")</f>
        <v>Iluminar calle 140 con 19</v>
      </c>
      <c r="G2119" s="55" t="str">
        <f ca="1">IFERROR(__xludf.DUMMYFUNCTION("""COMPUTED_VALUE"""),"01. Usaquén")</f>
        <v>01. Usaquén</v>
      </c>
      <c r="H2119" s="55">
        <f ca="1">IFERROR(__xludf.DUMMYFUNCTION("""COMPUTED_VALUE"""),44296)</f>
        <v>44296</v>
      </c>
      <c r="I2119" s="25"/>
      <c r="J2119" s="55" t="str">
        <f ca="1">IFERROR(__xludf.DUMMYFUNCTION("""COMPUTED_VALUE"""),"Alta")</f>
        <v>Alta</v>
      </c>
      <c r="K2119" s="25">
        <f ca="1">IFERROR(__xludf.DUMMYFUNCTION("""COMPUTED_VALUE"""),30)</f>
        <v>30</v>
      </c>
      <c r="L2119" s="62">
        <f ca="1">IFERROR(__xludf.DUMMYFUNCTION("""COMPUTED_VALUE"""),45033)</f>
        <v>45033</v>
      </c>
      <c r="M2119" s="25" t="str">
        <f ca="1">IFERROR(__xludf.DUMMYFUNCTION("""COMPUTED_VALUE"""),"En el primer trimestre del año 2021, se realizó la modernización a tecnología LED de 66 luminarias en la Avenida Calle 140 entre carreras 7ma y 19")</f>
        <v>En el primer trimestre del año 2021, se realizó la modernización a tecnología LED de 66 luminarias en la Avenida Calle 140 entre carreras 7ma y 19</v>
      </c>
      <c r="N2119" s="55">
        <f ca="1">IFERROR(__xludf.DUMMYFUNCTION("""COMPUTED_VALUE"""),44927)</f>
        <v>44927</v>
      </c>
      <c r="O2119" s="25" t="str">
        <f t="shared" ca="1" si="0"/>
        <v>Unidad Administrativa Especial de Servicios Públicos</v>
      </c>
      <c r="P2119" s="25" t="str">
        <f t="shared" si="2"/>
        <v/>
      </c>
      <c r="Q2119" s="25" t="str">
        <f ca="1">IFERROR(__xludf.DUMMYFUNCTION("""COMPUTED_VALUE"""),"Corto plazo")</f>
        <v>Corto plazo</v>
      </c>
      <c r="R2119" s="25"/>
      <c r="S2119" s="55"/>
      <c r="T2119" s="56"/>
      <c r="U2119" s="25"/>
      <c r="V2119" s="25"/>
      <c r="W2119" s="25"/>
      <c r="X2119" s="25"/>
      <c r="Y2119" s="25"/>
      <c r="Z2119" s="25"/>
    </row>
    <row r="2120" spans="1:26" ht="52.5" customHeight="1" x14ac:dyDescent="0.25">
      <c r="A2120" s="25" t="str">
        <f ca="1">IFERROR(__xludf.DUMMYFUNCTION("""COMPUTED_VALUE"""),"Hábit18")</f>
        <v>Hábit18</v>
      </c>
      <c r="B2120" s="25" t="str">
        <f ca="1">IFERROR(__xludf.DUMMYFUNCTION("""COMPUTED_VALUE"""),"TAR Tibitoc")</f>
        <v>TAR Tibitoc</v>
      </c>
      <c r="C2120" s="55">
        <f ca="1">IFERROR(__xludf.DUMMYFUNCTION("""COMPUTED_VALUE"""),44126)</f>
        <v>44126</v>
      </c>
      <c r="D2120" s="25" t="str">
        <f ca="1">IFERROR(__xludf.DUMMYFUNCTION("""COMPUTED_VALUE"""),"Hábitat")</f>
        <v>Hábitat</v>
      </c>
      <c r="E2120" s="25" t="str">
        <f ca="1">IFERROR(__xludf.DUMMYFUNCTION("""COMPUTED_VALUE"""),"Secretaría Distrital del Hábitat")</f>
        <v>Secretaría Distrital del Hábitat</v>
      </c>
      <c r="F2120" s="25" t="str">
        <f ca="1">IFERROR(__xludf.DUMMYFUNCTION("""COMPUTED_VALUE"""),"Revisar el plan de intervensión del PDET Soacha en especial el mejoramiento de barrios de Caracolí (Ciudad Bolívar) y 5 barrios más")</f>
        <v>Revisar el plan de intervensión del PDET Soacha en especial el mejoramiento de barrios de Caracolí (Ciudad Bolívar) y 5 barrios más</v>
      </c>
      <c r="G2120" s="25" t="str">
        <f ca="1">IFERROR(__xludf.DUMMYFUNCTION("""COMPUTED_VALUE"""),"99. Distrito")</f>
        <v>99. Distrito</v>
      </c>
      <c r="H2120" s="55">
        <f ca="1">IFERROR(__xludf.DUMMYFUNCTION("""COMPUTED_VALUE"""),44156)</f>
        <v>44156</v>
      </c>
      <c r="I2120" s="25"/>
      <c r="J2120" s="55" t="str">
        <f ca="1">IFERROR(__xludf.DUMMYFUNCTION("""COMPUTED_VALUE"""),"Alta")</f>
        <v>Alta</v>
      </c>
      <c r="K2120" s="25">
        <f ca="1">IFERROR(__xludf.DUMMYFUNCTION("""COMPUTED_VALUE"""),30)</f>
        <v>30</v>
      </c>
      <c r="L2120" s="62"/>
      <c r="M2120" s="25"/>
      <c r="N2120" s="55">
        <f ca="1">IFERROR(__xludf.DUMMYFUNCTION("""COMPUTED_VALUE"""),44927)</f>
        <v>44927</v>
      </c>
      <c r="O2120" s="25" t="str">
        <f t="shared" ca="1" si="0"/>
        <v>Secretaría Distrital del Hábitat</v>
      </c>
      <c r="P2120" s="25" t="str">
        <f t="shared" si="2"/>
        <v/>
      </c>
      <c r="Q2120" s="25" t="str">
        <f ca="1">IFERROR(__xludf.DUMMYFUNCTION("""COMPUTED_VALUE"""),"Corto plazo")</f>
        <v>Corto plazo</v>
      </c>
      <c r="R2120" s="25"/>
      <c r="S2120" s="55"/>
      <c r="T2120" s="56"/>
      <c r="U2120" s="25"/>
      <c r="V2120" s="25"/>
      <c r="W2120" s="25"/>
      <c r="X2120" s="25"/>
      <c r="Y2120" s="25"/>
      <c r="Z2120" s="25"/>
    </row>
    <row r="2121" spans="1:26" ht="52.5" customHeight="1" x14ac:dyDescent="0.25">
      <c r="A2121" s="25" t="str">
        <f ca="1">IFERROR(__xludf.DUMMYFUNCTION("""COMPUTED_VALUE"""),"Hábit19")</f>
        <v>Hábit19</v>
      </c>
      <c r="B2121" s="25" t="str">
        <f ca="1">IFERROR(__xludf.DUMMYFUNCTION("""COMPUTED_VALUE"""),"Despachando: Desarrollo económico")</f>
        <v>Despachando: Desarrollo económico</v>
      </c>
      <c r="C2121" s="55">
        <f ca="1">IFERROR(__xludf.DUMMYFUNCTION("""COMPUTED_VALUE"""),44141)</f>
        <v>44141</v>
      </c>
      <c r="D2121" s="25" t="str">
        <f ca="1">IFERROR(__xludf.DUMMYFUNCTION("""COMPUTED_VALUE"""),"Hábitat")</f>
        <v>Hábitat</v>
      </c>
      <c r="E2121" s="25" t="str">
        <f ca="1">IFERROR(__xludf.DUMMYFUNCTION("""COMPUTED_VALUE"""),"Unidad Administrativa Especial de Servicios Públicos")</f>
        <v>Unidad Administrativa Especial de Servicios Públicos</v>
      </c>
      <c r="F2121" s="25" t="str">
        <f ca="1">IFERROR(__xludf.DUMMYFUNCTION("""COMPUTED_VALUE"""),"1. Coordinar reunión entre UAESP y Desarrollo Económico para la revisión de parámetros para la industrialización de las bodegas de reciclaje.
2. Apoyar el encadenamiento productivo con los recicladores con los materiales de las bodejas de reciclaje (mueb"&amp;"les).")</f>
        <v>1. Coordinar reunión entre UAESP y Desarrollo Económico para la revisión de parámetros para la industrialización de las bodegas de reciclaje.
2. Apoyar el encadenamiento productivo con los recicladores con los materiales de las bodejas de reciclaje (muebles).</v>
      </c>
      <c r="G2121" s="25" t="str">
        <f ca="1">IFERROR(__xludf.DUMMYFUNCTION("""COMPUTED_VALUE"""),"99. Distrito")</f>
        <v>99. Distrito</v>
      </c>
      <c r="H2121" s="55">
        <f ca="1">IFERROR(__xludf.DUMMYFUNCTION("""COMPUTED_VALUE"""),44171)</f>
        <v>44171</v>
      </c>
      <c r="I2121" s="25"/>
      <c r="J2121" s="55" t="str">
        <f ca="1">IFERROR(__xludf.DUMMYFUNCTION("""COMPUTED_VALUE"""),"Alta")</f>
        <v>Alta</v>
      </c>
      <c r="K2121" s="25">
        <f ca="1">IFERROR(__xludf.DUMMYFUNCTION("""COMPUTED_VALUE"""),30)</f>
        <v>30</v>
      </c>
      <c r="L2121" s="62"/>
      <c r="M2121" s="25"/>
      <c r="N2121" s="55">
        <f ca="1">IFERROR(__xludf.DUMMYFUNCTION("""COMPUTED_VALUE"""),44927)</f>
        <v>44927</v>
      </c>
      <c r="O2121" s="25" t="str">
        <f t="shared" ca="1" si="0"/>
        <v>Unidad Administrativa Especial de Servicios Públicos</v>
      </c>
      <c r="P2121" s="25" t="str">
        <f t="shared" si="2"/>
        <v/>
      </c>
      <c r="Q2121" s="25" t="str">
        <f ca="1">IFERROR(__xludf.DUMMYFUNCTION("""COMPUTED_VALUE"""),"Corto plazo")</f>
        <v>Corto plazo</v>
      </c>
      <c r="R2121" s="25"/>
      <c r="S2121" s="55"/>
      <c r="T2121" s="56"/>
      <c r="U2121" s="25"/>
      <c r="V2121" s="25"/>
      <c r="W2121" s="25"/>
      <c r="X2121" s="25"/>
      <c r="Y2121" s="25"/>
      <c r="Z2121" s="25"/>
    </row>
    <row r="2122" spans="1:26" ht="52.5" customHeight="1" x14ac:dyDescent="0.25">
      <c r="A2122" s="25" t="str">
        <f ca="1">IFERROR(__xludf.DUMMYFUNCTION("""COMPUTED_VALUE"""),"Hábit20")</f>
        <v>Hábit20</v>
      </c>
      <c r="B2122" s="25" t="str">
        <f ca="1">IFERROR(__xludf.DUMMYFUNCTION("""COMPUTED_VALUE"""),"Plan Parcial Reverdecer del Sur, ALO Norte y POIR Acueducto– 21 de junio")</f>
        <v>Plan Parcial Reverdecer del Sur, ALO Norte y POIR Acueducto– 21 de junio</v>
      </c>
      <c r="C2122" s="55">
        <f ca="1">IFERROR(__xludf.DUMMYFUNCTION("""COMPUTED_VALUE"""),44368)</f>
        <v>44368</v>
      </c>
      <c r="D2122" s="25" t="str">
        <f ca="1">IFERROR(__xludf.DUMMYFUNCTION("""COMPUTED_VALUE"""),"Hábitat")</f>
        <v>Hábitat</v>
      </c>
      <c r="E2122" s="25" t="str">
        <f ca="1">IFERROR(__xludf.DUMMYFUNCTION("""COMPUTED_VALUE"""),"Secretaría Distrital del Hábitat")</f>
        <v>Secretaría Distrital del Hábitat</v>
      </c>
      <c r="F2122" s="25" t="str">
        <f ca="1">IFERROR(__xludf.DUMMYFUNCTION("""COMPUTED_VALUE"""),"Cual es la propuesta para radicar la formulación del Plan Parcial Reverdecer Sur una vez sea adoptado el Proyecto de Acuerdo del POT")</f>
        <v>Cual es la propuesta para radicar la formulación del Plan Parcial Reverdecer Sur una vez sea adoptado el Proyecto de Acuerdo del POT</v>
      </c>
      <c r="G2122" s="25" t="str">
        <f ca="1">IFERROR(__xludf.DUMMYFUNCTION("""COMPUTED_VALUE"""),"99. Distrito")</f>
        <v>99. Distrito</v>
      </c>
      <c r="H2122" s="55">
        <f ca="1">IFERROR(__xludf.DUMMYFUNCTION("""COMPUTED_VALUE"""),44398)</f>
        <v>44398</v>
      </c>
      <c r="I2122" s="25"/>
      <c r="J2122" s="55" t="str">
        <f ca="1">IFERROR(__xludf.DUMMYFUNCTION("""COMPUTED_VALUE"""),"Alta")</f>
        <v>Alta</v>
      </c>
      <c r="K2122" s="25">
        <f ca="1">IFERROR(__xludf.DUMMYFUNCTION("""COMPUTED_VALUE"""),30)</f>
        <v>30</v>
      </c>
      <c r="L2122" s="62"/>
      <c r="M2122" s="25"/>
      <c r="N2122" s="55">
        <f ca="1">IFERROR(__xludf.DUMMYFUNCTION("""COMPUTED_VALUE"""),44927)</f>
        <v>44927</v>
      </c>
      <c r="O2122" s="25" t="str">
        <f t="shared" ca="1" si="0"/>
        <v>Secretaría Distrital del Hábitat</v>
      </c>
      <c r="P2122" s="25" t="str">
        <f t="shared" si="2"/>
        <v/>
      </c>
      <c r="Q2122" s="25" t="str">
        <f ca="1">IFERROR(__xludf.DUMMYFUNCTION("""COMPUTED_VALUE"""),"Corto plazo")</f>
        <v>Corto plazo</v>
      </c>
      <c r="R2122" s="25"/>
      <c r="S2122" s="55"/>
      <c r="T2122" s="56"/>
      <c r="U2122" s="25"/>
      <c r="V2122" s="25"/>
      <c r="W2122" s="25"/>
      <c r="X2122" s="25"/>
      <c r="Y2122" s="25"/>
      <c r="Z2122" s="25"/>
    </row>
    <row r="2123" spans="1:26" ht="52.5" customHeight="1" x14ac:dyDescent="0.25">
      <c r="A2123" s="25" t="str">
        <f ca="1">IFERROR(__xludf.DUMMYFUNCTION("""COMPUTED_VALUE"""),"Hábit21")</f>
        <v>Hábit21</v>
      </c>
      <c r="B2123" s="25" t="str">
        <f ca="1">IFERROR(__xludf.DUMMYFUNCTION("""COMPUTED_VALUE"""),"Plan Parcial Reverdecer del Sur, ALO Norte y POIR Acueducto– 21 de junio")</f>
        <v>Plan Parcial Reverdecer del Sur, ALO Norte y POIR Acueducto– 21 de junio</v>
      </c>
      <c r="C2123" s="55">
        <f ca="1">IFERROR(__xludf.DUMMYFUNCTION("""COMPUTED_VALUE"""),44368)</f>
        <v>44368</v>
      </c>
      <c r="D2123" s="25" t="str">
        <f ca="1">IFERROR(__xludf.DUMMYFUNCTION("""COMPUTED_VALUE"""),"Hábitat")</f>
        <v>Hábitat</v>
      </c>
      <c r="E2123" s="25" t="str">
        <f ca="1">IFERROR(__xludf.DUMMYFUNCTION("""COMPUTED_VALUE"""),"Secretaría Distrital del Hábitat")</f>
        <v>Secretaría Distrital del Hábitat</v>
      </c>
      <c r="F2123" s="25" t="str">
        <f ca="1">IFERROR(__xludf.DUMMYFUNCTION("""COMPUTED_VALUE"""),"Hacer una reunión con los promotores del plan parcial de Reverdecer del Sur para revisar si todo lo que necesitan está dentro del proyecto de POT. 
Citar a ANLA y Promotores  
")</f>
        <v xml:space="preserve">Hacer una reunión con los promotores del plan parcial de Reverdecer del Sur para revisar si todo lo que necesitan está dentro del proyecto de POT. 
Citar a ANLA y Promotores  
</v>
      </c>
      <c r="G2123" s="25" t="str">
        <f ca="1">IFERROR(__xludf.DUMMYFUNCTION("""COMPUTED_VALUE"""),"99. Distrito")</f>
        <v>99. Distrito</v>
      </c>
      <c r="H2123" s="55">
        <f ca="1">IFERROR(__xludf.DUMMYFUNCTION("""COMPUTED_VALUE"""),44398)</f>
        <v>44398</v>
      </c>
      <c r="I2123" s="25"/>
      <c r="J2123" s="55" t="str">
        <f ca="1">IFERROR(__xludf.DUMMYFUNCTION("""COMPUTED_VALUE"""),"Alta")</f>
        <v>Alta</v>
      </c>
      <c r="K2123" s="25">
        <f ca="1">IFERROR(__xludf.DUMMYFUNCTION("""COMPUTED_VALUE"""),30)</f>
        <v>30</v>
      </c>
      <c r="L2123" s="62"/>
      <c r="M2123" s="25"/>
      <c r="N2123" s="55">
        <f ca="1">IFERROR(__xludf.DUMMYFUNCTION("""COMPUTED_VALUE"""),44927)</f>
        <v>44927</v>
      </c>
      <c r="O2123" s="25" t="str">
        <f t="shared" ca="1" si="0"/>
        <v>Secretaría Distrital del Hábitat</v>
      </c>
      <c r="P2123" s="25" t="str">
        <f t="shared" si="2"/>
        <v/>
      </c>
      <c r="Q2123" s="25" t="str">
        <f ca="1">IFERROR(__xludf.DUMMYFUNCTION("""COMPUTED_VALUE"""),"Corto plazo")</f>
        <v>Corto plazo</v>
      </c>
      <c r="R2123" s="25"/>
      <c r="S2123" s="55"/>
      <c r="T2123" s="56"/>
      <c r="U2123" s="25"/>
      <c r="V2123" s="25"/>
      <c r="W2123" s="25"/>
      <c r="X2123" s="25"/>
      <c r="Y2123" s="25"/>
      <c r="Z2123" s="25"/>
    </row>
    <row r="2124" spans="1:26" ht="52.5" customHeight="1" x14ac:dyDescent="0.25">
      <c r="A2124" s="25" t="str">
        <f ca="1">IFERROR(__xludf.DUMMYFUNCTION("""COMPUTED_VALUE"""),"Hábit22")</f>
        <v>Hábit22</v>
      </c>
      <c r="B2124" s="25" t="str">
        <f ca="1">IFERROR(__xludf.DUMMYFUNCTION("""COMPUTED_VALUE"""),"Plan Parcial Reverdecer del Sur, ALO Norte y POIR Acueducto– 21 de junio")</f>
        <v>Plan Parcial Reverdecer del Sur, ALO Norte y POIR Acueducto– 21 de junio</v>
      </c>
      <c r="C2124" s="55">
        <f ca="1">IFERROR(__xludf.DUMMYFUNCTION("""COMPUTED_VALUE"""),44368)</f>
        <v>44368</v>
      </c>
      <c r="D2124" s="25" t="str">
        <f ca="1">IFERROR(__xludf.DUMMYFUNCTION("""COMPUTED_VALUE"""),"Hábitat")</f>
        <v>Hábitat</v>
      </c>
      <c r="E2124" s="25" t="str">
        <f ca="1">IFERROR(__xludf.DUMMYFUNCTION("""COMPUTED_VALUE"""),"Secretaría Distrital del Hábitat")</f>
        <v>Secretaría Distrital del Hábitat</v>
      </c>
      <c r="F2124" s="25" t="str">
        <f ca="1">IFERROR(__xludf.DUMMYFUNCTION("""COMPUTED_VALUE"""),"Avances frente al proyecto ALO: 1. Adquisición predial por parte de los operadores urbanos y 2. Perfil de Proyecto y Estructuración de Proyecto.
")</f>
        <v xml:space="preserve">Avances frente al proyecto ALO: 1. Adquisición predial por parte de los operadores urbanos y 2. Perfil de Proyecto y Estructuración de Proyecto.
</v>
      </c>
      <c r="G2124" s="25" t="str">
        <f ca="1">IFERROR(__xludf.DUMMYFUNCTION("""COMPUTED_VALUE"""),"99. Distrito")</f>
        <v>99. Distrito</v>
      </c>
      <c r="H2124" s="55">
        <f ca="1">IFERROR(__xludf.DUMMYFUNCTION("""COMPUTED_VALUE"""),44398)</f>
        <v>44398</v>
      </c>
      <c r="I2124" s="25"/>
      <c r="J2124" s="55" t="str">
        <f ca="1">IFERROR(__xludf.DUMMYFUNCTION("""COMPUTED_VALUE"""),"Alta")</f>
        <v>Alta</v>
      </c>
      <c r="K2124" s="25">
        <f ca="1">IFERROR(__xludf.DUMMYFUNCTION("""COMPUTED_VALUE"""),30)</f>
        <v>30</v>
      </c>
      <c r="L2124" s="62"/>
      <c r="M2124" s="25"/>
      <c r="N2124" s="55">
        <f ca="1">IFERROR(__xludf.DUMMYFUNCTION("""COMPUTED_VALUE"""),44927)</f>
        <v>44927</v>
      </c>
      <c r="O2124" s="25" t="str">
        <f t="shared" ca="1" si="0"/>
        <v>Secretaría Distrital del Hábitat</v>
      </c>
      <c r="P2124" s="25" t="str">
        <f t="shared" si="2"/>
        <v/>
      </c>
      <c r="Q2124" s="25" t="str">
        <f ca="1">IFERROR(__xludf.DUMMYFUNCTION("""COMPUTED_VALUE"""),"Corto plazo")</f>
        <v>Corto plazo</v>
      </c>
      <c r="R2124" s="25"/>
      <c r="S2124" s="55"/>
      <c r="T2124" s="56"/>
      <c r="U2124" s="25"/>
      <c r="V2124" s="25"/>
      <c r="W2124" s="25"/>
      <c r="X2124" s="25"/>
      <c r="Y2124" s="25"/>
      <c r="Z2124" s="25"/>
    </row>
    <row r="2125" spans="1:26" ht="52.5" customHeight="1" x14ac:dyDescent="0.25">
      <c r="A2125" s="25" t="str">
        <f ca="1">IFERROR(__xludf.DUMMYFUNCTION("""COMPUTED_VALUE"""),"Hábit23")</f>
        <v>Hábit23</v>
      </c>
      <c r="B2125" s="25" t="str">
        <f ca="1">IFERROR(__xludf.DUMMYFUNCTION("""COMPUTED_VALUE"""),"Plan Parcial Reverdecer del Sur, ALO Norte y POIR Acueducto– 21 de junio")</f>
        <v>Plan Parcial Reverdecer del Sur, ALO Norte y POIR Acueducto– 21 de junio</v>
      </c>
      <c r="C2125" s="55">
        <f ca="1">IFERROR(__xludf.DUMMYFUNCTION("""COMPUTED_VALUE"""),44368)</f>
        <v>44368</v>
      </c>
      <c r="D2125" s="25" t="str">
        <f ca="1">IFERROR(__xludf.DUMMYFUNCTION("""COMPUTED_VALUE"""),"Hábitat")</f>
        <v>Hábitat</v>
      </c>
      <c r="E2125" s="25" t="str">
        <f ca="1">IFERROR(__xludf.DUMMYFUNCTION("""COMPUTED_VALUE"""),"Secretaría Distrital del Hábitat")</f>
        <v>Secretaría Distrital del Hábitat</v>
      </c>
      <c r="F2125" s="25" t="str">
        <f ca="1">IFERROR(__xludf.DUMMYFUNCTION("""COMPUTED_VALUE"""),"Entregar el artículo que debe ir en el POT sobre la reserva de la ALO. ")</f>
        <v xml:space="preserve">Entregar el artículo que debe ir en el POT sobre la reserva de la ALO. </v>
      </c>
      <c r="G2125" s="25" t="str">
        <f ca="1">IFERROR(__xludf.DUMMYFUNCTION("""COMPUTED_VALUE"""),"99. Distrito")</f>
        <v>99. Distrito</v>
      </c>
      <c r="H2125" s="55">
        <f ca="1">IFERROR(__xludf.DUMMYFUNCTION("""COMPUTED_VALUE"""),44398)</f>
        <v>44398</v>
      </c>
      <c r="I2125" s="25"/>
      <c r="J2125" s="55" t="str">
        <f ca="1">IFERROR(__xludf.DUMMYFUNCTION("""COMPUTED_VALUE"""),"Alta")</f>
        <v>Alta</v>
      </c>
      <c r="K2125" s="25">
        <f ca="1">IFERROR(__xludf.DUMMYFUNCTION("""COMPUTED_VALUE"""),30)</f>
        <v>30</v>
      </c>
      <c r="L2125" s="62"/>
      <c r="M2125" s="25"/>
      <c r="N2125" s="55">
        <f ca="1">IFERROR(__xludf.DUMMYFUNCTION("""COMPUTED_VALUE"""),44927)</f>
        <v>44927</v>
      </c>
      <c r="O2125" s="25" t="str">
        <f t="shared" ca="1" si="0"/>
        <v>Secretaría Distrital del Hábitat</v>
      </c>
      <c r="P2125" s="25" t="str">
        <f t="shared" si="2"/>
        <v/>
      </c>
      <c r="Q2125" s="25" t="str">
        <f ca="1">IFERROR(__xludf.DUMMYFUNCTION("""COMPUTED_VALUE"""),"Corto plazo")</f>
        <v>Corto plazo</v>
      </c>
      <c r="R2125" s="25"/>
      <c r="S2125" s="55"/>
      <c r="T2125" s="56"/>
      <c r="U2125" s="25"/>
      <c r="V2125" s="25"/>
      <c r="W2125" s="25"/>
      <c r="X2125" s="25"/>
      <c r="Y2125" s="25"/>
      <c r="Z2125" s="25"/>
    </row>
    <row r="2126" spans="1:26" ht="52.5" customHeight="1" x14ac:dyDescent="0.25">
      <c r="A2126" s="25" t="str">
        <f ca="1">IFERROR(__xludf.DUMMYFUNCTION("""COMPUTED_VALUE"""),"Hábit24")</f>
        <v>Hábit24</v>
      </c>
      <c r="B2126" s="25" t="str">
        <f ca="1">IFERROR(__xludf.DUMMYFUNCTION("""COMPUTED_VALUE"""),"Plan Parcial Reverdecer del Sur, ALO Norte y POIR Acueducto– 21 de junio")</f>
        <v>Plan Parcial Reverdecer del Sur, ALO Norte y POIR Acueducto– 21 de junio</v>
      </c>
      <c r="C2126" s="55">
        <f ca="1">IFERROR(__xludf.DUMMYFUNCTION("""COMPUTED_VALUE"""),44368)</f>
        <v>44368</v>
      </c>
      <c r="D2126" s="25" t="str">
        <f ca="1">IFERROR(__xludf.DUMMYFUNCTION("""COMPUTED_VALUE"""),"Hábitat")</f>
        <v>Hábitat</v>
      </c>
      <c r="E2126" s="25" t="str">
        <f ca="1">IFERROR(__xludf.DUMMYFUNCTION("""COMPUTED_VALUE"""),"Secretaría Distrital del Hábitat")</f>
        <v>Secretaría Distrital del Hábitat</v>
      </c>
      <c r="F2126" s="25" t="str">
        <f ca="1">IFERROR(__xludf.DUMMYFUNCTION("""COMPUTED_VALUE"""),"Convocar una reunión de Asocapitales con el Presidente para revisar el POIR del sector de servicios públicos 
Llamar al Alcalde de Villavicencio")</f>
        <v>Convocar una reunión de Asocapitales con el Presidente para revisar el POIR del sector de servicios públicos 
Llamar al Alcalde de Villavicencio</v>
      </c>
      <c r="G2126" s="25" t="str">
        <f ca="1">IFERROR(__xludf.DUMMYFUNCTION("""COMPUTED_VALUE"""),"99. Distrito")</f>
        <v>99. Distrito</v>
      </c>
      <c r="H2126" s="55">
        <f ca="1">IFERROR(__xludf.DUMMYFUNCTION("""COMPUTED_VALUE"""),44398)</f>
        <v>44398</v>
      </c>
      <c r="I2126" s="25"/>
      <c r="J2126" s="55" t="str">
        <f ca="1">IFERROR(__xludf.DUMMYFUNCTION("""COMPUTED_VALUE"""),"Alta")</f>
        <v>Alta</v>
      </c>
      <c r="K2126" s="25">
        <f ca="1">IFERROR(__xludf.DUMMYFUNCTION("""COMPUTED_VALUE"""),30)</f>
        <v>30</v>
      </c>
      <c r="L2126" s="62"/>
      <c r="M2126" s="25"/>
      <c r="N2126" s="55">
        <f ca="1">IFERROR(__xludf.DUMMYFUNCTION("""COMPUTED_VALUE"""),44927)</f>
        <v>44927</v>
      </c>
      <c r="O2126" s="25" t="str">
        <f t="shared" ca="1" si="0"/>
        <v>Secretaría Distrital del Hábitat</v>
      </c>
      <c r="P2126" s="25" t="str">
        <f t="shared" si="2"/>
        <v/>
      </c>
      <c r="Q2126" s="25" t="str">
        <f ca="1">IFERROR(__xludf.DUMMYFUNCTION("""COMPUTED_VALUE"""),"Corto plazo")</f>
        <v>Corto plazo</v>
      </c>
      <c r="R2126" s="25"/>
      <c r="S2126" s="55"/>
      <c r="T2126" s="56"/>
      <c r="U2126" s="25"/>
      <c r="V2126" s="25"/>
      <c r="W2126" s="25"/>
      <c r="X2126" s="25"/>
      <c r="Y2126" s="25"/>
      <c r="Z2126" s="25"/>
    </row>
    <row r="2127" spans="1:26" ht="52.5" customHeight="1" x14ac:dyDescent="0.25">
      <c r="A2127" s="25" t="str">
        <f ca="1">IFERROR(__xludf.DUMMYFUNCTION("""COMPUTED_VALUE"""),"Hábit25")</f>
        <v>Hábit25</v>
      </c>
      <c r="B2127" s="25" t="str">
        <f ca="1">IFERROR(__xludf.DUMMYFUNCTION("""COMPUTED_VALUE"""),"Junta de infraestructura del 16 de junio")</f>
        <v>Junta de infraestructura del 16 de junio</v>
      </c>
      <c r="C2127" s="55">
        <f ca="1">IFERROR(__xludf.DUMMYFUNCTION("""COMPUTED_VALUE"""),44363)</f>
        <v>44363</v>
      </c>
      <c r="D2127" s="25" t="str">
        <f ca="1">IFERROR(__xludf.DUMMYFUNCTION("""COMPUTED_VALUE"""),"Hábitat")</f>
        <v>Hábitat</v>
      </c>
      <c r="E2127" s="25" t="str">
        <f ca="1">IFERROR(__xludf.DUMMYFUNCTION("""COMPUTED_VALUE"""),"Empresa de Acueducto y Alcantarillado de Bogotá")</f>
        <v>Empresa de Acueducto y Alcantarillado de Bogotá</v>
      </c>
      <c r="F2127" s="25" t="str">
        <f ca="1">IFERROR(__xludf.DUMMYFUNCTION("""COMPUTED_VALUE"""),"Hacer un cálculo del valor de obra para corregir las conexiones erradas de la obra de Canal Córdoba.  
")</f>
        <v xml:space="preserve">Hacer un cálculo del valor de obra para corregir las conexiones erradas de la obra de Canal Córdoba.  
</v>
      </c>
      <c r="G2127" s="25" t="str">
        <f ca="1">IFERROR(__xludf.DUMMYFUNCTION("""COMPUTED_VALUE"""),"99. Distrito")</f>
        <v>99. Distrito</v>
      </c>
      <c r="H2127" s="55">
        <f ca="1">IFERROR(__xludf.DUMMYFUNCTION("""COMPUTED_VALUE"""),44393)</f>
        <v>44393</v>
      </c>
      <c r="I2127" s="25"/>
      <c r="J2127" s="55" t="str">
        <f ca="1">IFERROR(__xludf.DUMMYFUNCTION("""COMPUTED_VALUE"""),"Alta")</f>
        <v>Alta</v>
      </c>
      <c r="K2127" s="25">
        <f ca="1">IFERROR(__xludf.DUMMYFUNCTION("""COMPUTED_VALUE"""),30)</f>
        <v>30</v>
      </c>
      <c r="L2127" s="62">
        <f ca="1">IFERROR(__xludf.DUMMYFUNCTION("""COMPUTED_VALUE"""),44956)</f>
        <v>44956</v>
      </c>
      <c r="M2127" s="25"/>
      <c r="N2127" s="55">
        <f ca="1">IFERROR(__xludf.DUMMYFUNCTION("""COMPUTED_VALUE"""),44927)</f>
        <v>44927</v>
      </c>
      <c r="O2127" s="25" t="str">
        <f t="shared" ca="1" si="0"/>
        <v>Empresa de Acueducto y Alcantarillado de Bogotá</v>
      </c>
      <c r="P2127" s="25" t="str">
        <f t="shared" si="2"/>
        <v/>
      </c>
      <c r="Q2127" s="25" t="str">
        <f ca="1">IFERROR(__xludf.DUMMYFUNCTION("""COMPUTED_VALUE"""),"Corto plazo")</f>
        <v>Corto plazo</v>
      </c>
      <c r="R2127" s="25"/>
      <c r="S2127" s="55"/>
      <c r="T2127" s="56"/>
      <c r="U2127" s="25"/>
      <c r="V2127" s="25"/>
      <c r="W2127" s="25"/>
      <c r="X2127" s="25"/>
      <c r="Y2127" s="25"/>
      <c r="Z2127" s="25"/>
    </row>
    <row r="2128" spans="1:26" ht="52.5" customHeight="1" x14ac:dyDescent="0.25">
      <c r="A2128" s="25" t="str">
        <f ca="1">IFERROR(__xludf.DUMMYFUNCTION("""COMPUTED_VALUE"""),"Hábit26")</f>
        <v>Hábit26</v>
      </c>
      <c r="B2128" s="25" t="str">
        <f ca="1">IFERROR(__xludf.DUMMYFUNCTION("""COMPUTED_VALUE"""),"Bronx Distrito Creativo -02 de junio")</f>
        <v>Bronx Distrito Creativo -02 de junio</v>
      </c>
      <c r="C2128" s="55">
        <f ca="1">IFERROR(__xludf.DUMMYFUNCTION("""COMPUTED_VALUE"""),44349)</f>
        <v>44349</v>
      </c>
      <c r="D2128" s="25" t="str">
        <f ca="1">IFERROR(__xludf.DUMMYFUNCTION("""COMPUTED_VALUE"""),"Hábitat")</f>
        <v>Hábitat</v>
      </c>
      <c r="E2128" s="25" t="str">
        <f ca="1">IFERROR(__xludf.DUMMYFUNCTION("""COMPUTED_VALUE"""),"Empresa de Renovación y Desarrollo Urbano")</f>
        <v>Empresa de Renovación y Desarrollo Urbano</v>
      </c>
      <c r="F2128" s="25" t="str">
        <f ca="1">IFERROR(__xludf.DUMMYFUNCTION("""COMPUTED_VALUE"""),"La ERU debe hacer la maqueta de San Bernardo y del San Juan de Dios como la del Bronx")</f>
        <v>La ERU debe hacer la maqueta de San Bernardo y del San Juan de Dios como la del Bronx</v>
      </c>
      <c r="G2128" s="25" t="str">
        <f ca="1">IFERROR(__xludf.DUMMYFUNCTION("""COMPUTED_VALUE"""),"99. Distrito")</f>
        <v>99. Distrito</v>
      </c>
      <c r="H2128" s="55">
        <f ca="1">IFERROR(__xludf.DUMMYFUNCTION("""COMPUTED_VALUE"""),44379)</f>
        <v>44379</v>
      </c>
      <c r="I2128" s="25"/>
      <c r="J2128" s="55" t="str">
        <f ca="1">IFERROR(__xludf.DUMMYFUNCTION("""COMPUTED_VALUE"""),"Alta")</f>
        <v>Alta</v>
      </c>
      <c r="K2128" s="25">
        <f ca="1">IFERROR(__xludf.DUMMYFUNCTION("""COMPUTED_VALUE"""),30)</f>
        <v>30</v>
      </c>
      <c r="L2128" s="62"/>
      <c r="M2128" s="25"/>
      <c r="N2128" s="55">
        <f ca="1">IFERROR(__xludf.DUMMYFUNCTION("""COMPUTED_VALUE"""),44927)</f>
        <v>44927</v>
      </c>
      <c r="O2128" s="25" t="str">
        <f t="shared" ca="1" si="0"/>
        <v>Empresa de Renovación y Desarrollo Urbano</v>
      </c>
      <c r="P2128" s="25" t="str">
        <f t="shared" si="2"/>
        <v/>
      </c>
      <c r="Q2128" s="25" t="str">
        <f ca="1">IFERROR(__xludf.DUMMYFUNCTION("""COMPUTED_VALUE"""),"Corto plazo")</f>
        <v>Corto plazo</v>
      </c>
      <c r="R2128" s="25"/>
      <c r="S2128" s="55"/>
      <c r="T2128" s="56"/>
      <c r="U2128" s="25"/>
      <c r="V2128" s="25"/>
      <c r="W2128" s="25"/>
      <c r="X2128" s="25"/>
      <c r="Y2128" s="25"/>
      <c r="Z2128" s="25"/>
    </row>
    <row r="2129" spans="1:26" ht="52.5" customHeight="1" x14ac:dyDescent="0.25">
      <c r="A2129" s="25" t="str">
        <f ca="1">IFERROR(__xludf.DUMMYFUNCTION("""COMPUTED_VALUE"""),"Hábit27")</f>
        <v>Hábit27</v>
      </c>
      <c r="B2129" s="25" t="str">
        <f ca="1">IFERROR(__xludf.DUMMYFUNCTION("""COMPUTED_VALUE"""),"Cable San Cristóbal")</f>
        <v>Cable San Cristóbal</v>
      </c>
      <c r="C2129" s="55">
        <f ca="1">IFERROR(__xludf.DUMMYFUNCTION("""COMPUTED_VALUE"""),44370)</f>
        <v>44370</v>
      </c>
      <c r="D2129" s="25" t="str">
        <f ca="1">IFERROR(__xludf.DUMMYFUNCTION("""COMPUTED_VALUE"""),"Hábitat")</f>
        <v>Hábitat</v>
      </c>
      <c r="E2129" s="25" t="str">
        <f ca="1">IFERROR(__xludf.DUMMYFUNCTION("""COMPUTED_VALUE"""),"Secretaría Distrital del Hábitat")</f>
        <v>Secretaría Distrital del Hábitat</v>
      </c>
      <c r="F2129" s="25" t="str">
        <f ca="1">IFERROR(__xludf.DUMMYFUNCTION("""COMPUTED_VALUE"""),"Definir los equipamientos mínimos que debe tener el proyecto del Cable de San Cristóbal y definir el valor agregado que genera a la localidad")</f>
        <v>Definir los equipamientos mínimos que debe tener el proyecto del Cable de San Cristóbal y definir el valor agregado que genera a la localidad</v>
      </c>
      <c r="G2129" s="55" t="str">
        <f ca="1">IFERROR(__xludf.DUMMYFUNCTION("""COMPUTED_VALUE"""),"04. San Cristóbal")</f>
        <v>04. San Cristóbal</v>
      </c>
      <c r="H2129" s="55">
        <f ca="1">IFERROR(__xludf.DUMMYFUNCTION("""COMPUTED_VALUE"""),44400)</f>
        <v>44400</v>
      </c>
      <c r="I2129" s="25"/>
      <c r="J2129" s="55" t="str">
        <f ca="1">IFERROR(__xludf.DUMMYFUNCTION("""COMPUTED_VALUE"""),"Alta")</f>
        <v>Alta</v>
      </c>
      <c r="K2129" s="25">
        <f ca="1">IFERROR(__xludf.DUMMYFUNCTION("""COMPUTED_VALUE"""),30)</f>
        <v>30</v>
      </c>
      <c r="L2129" s="62"/>
      <c r="M2129" s="25"/>
      <c r="N2129" s="55">
        <f ca="1">IFERROR(__xludf.DUMMYFUNCTION("""COMPUTED_VALUE"""),44927)</f>
        <v>44927</v>
      </c>
      <c r="O2129" s="25" t="str">
        <f t="shared" ca="1" si="0"/>
        <v>Secretaría Distrital del Hábitat</v>
      </c>
      <c r="P2129" s="25" t="str">
        <f t="shared" si="2"/>
        <v/>
      </c>
      <c r="Q2129" s="25" t="str">
        <f ca="1">IFERROR(__xludf.DUMMYFUNCTION("""COMPUTED_VALUE"""),"Corto plazo")</f>
        <v>Corto plazo</v>
      </c>
      <c r="R2129" s="25"/>
      <c r="S2129" s="55"/>
      <c r="T2129" s="56"/>
      <c r="U2129" s="25"/>
      <c r="V2129" s="25"/>
      <c r="W2129" s="25"/>
      <c r="X2129" s="25"/>
      <c r="Y2129" s="25"/>
      <c r="Z2129" s="25"/>
    </row>
    <row r="2130" spans="1:26" ht="52.5" customHeight="1" x14ac:dyDescent="0.25">
      <c r="A2130" s="25" t="str">
        <f ca="1">IFERROR(__xludf.DUMMYFUNCTION("""COMPUTED_VALUE"""),"Hábit28")</f>
        <v>Hábit28</v>
      </c>
      <c r="B2130" s="25" t="str">
        <f ca="1">IFERROR(__xludf.DUMMYFUNCTION("""COMPUTED_VALUE"""),"Seguimiento CAD ")</f>
        <v xml:space="preserve">Seguimiento CAD </v>
      </c>
      <c r="C2130" s="55" t="str">
        <f ca="1">IFERROR(__xludf.DUMMYFUNCTION("""COMPUTED_VALUE"""),"31/03/2021")</f>
        <v>31/03/2021</v>
      </c>
      <c r="D2130" s="25" t="str">
        <f ca="1">IFERROR(__xludf.DUMMYFUNCTION("""COMPUTED_VALUE"""),"Hábitat")</f>
        <v>Hábitat</v>
      </c>
      <c r="E2130" s="25" t="str">
        <f ca="1">IFERROR(__xludf.DUMMYFUNCTION("""COMPUTED_VALUE"""),"Empresa de Renovación y Desarrollo Urbano")</f>
        <v>Empresa de Renovación y Desarrollo Urbano</v>
      </c>
      <c r="F2130" s="25" t="str">
        <f ca="1">IFERROR(__xludf.DUMMYFUNCTION("""COMPUTED_VALUE"""),"En la zona de posible compra de la ERU hay que proponerles a los privados el uso de ese suelo para que construyan algo")</f>
        <v>En la zona de posible compra de la ERU hay que proponerles a los privados el uso de ese suelo para que construyan algo</v>
      </c>
      <c r="G2130" s="25" t="str">
        <f ca="1">IFERROR(__xludf.DUMMYFUNCTION("""COMPUTED_VALUE"""),"99. Distrito")</f>
        <v>99. Distrito</v>
      </c>
      <c r="H2130" s="55">
        <f ca="1">IFERROR(__xludf.DUMMYFUNCTION("""COMPUTED_VALUE"""),44316)</f>
        <v>44316</v>
      </c>
      <c r="I2130" s="25"/>
      <c r="J2130" s="55" t="str">
        <f ca="1">IFERROR(__xludf.DUMMYFUNCTION("""COMPUTED_VALUE"""),"Alta")</f>
        <v>Alta</v>
      </c>
      <c r="K2130" s="25">
        <f ca="1">IFERROR(__xludf.DUMMYFUNCTION("""COMPUTED_VALUE"""),30)</f>
        <v>30</v>
      </c>
      <c r="L2130" s="62"/>
      <c r="M2130" s="25"/>
      <c r="N2130" s="55">
        <f ca="1">IFERROR(__xludf.DUMMYFUNCTION("""COMPUTED_VALUE"""),44927)</f>
        <v>44927</v>
      </c>
      <c r="O2130" s="25" t="str">
        <f t="shared" ca="1" si="0"/>
        <v>Empresa de Renovación y Desarrollo Urbano</v>
      </c>
      <c r="P2130" s="25" t="str">
        <f t="shared" si="2"/>
        <v/>
      </c>
      <c r="Q2130" s="25" t="str">
        <f ca="1">IFERROR(__xludf.DUMMYFUNCTION("""COMPUTED_VALUE"""),"Corto plazo")</f>
        <v>Corto plazo</v>
      </c>
      <c r="R2130" s="25"/>
      <c r="S2130" s="55"/>
      <c r="T2130" s="56"/>
      <c r="U2130" s="25"/>
      <c r="V2130" s="25"/>
      <c r="W2130" s="25"/>
      <c r="X2130" s="25"/>
      <c r="Y2130" s="25"/>
      <c r="Z2130" s="25"/>
    </row>
    <row r="2131" spans="1:26" ht="52.5" customHeight="1" x14ac:dyDescent="0.25">
      <c r="A2131" s="25" t="str">
        <f ca="1">IFERROR(__xludf.DUMMYFUNCTION("""COMPUTED_VALUE"""),"Hábit29")</f>
        <v>Hábit29</v>
      </c>
      <c r="B2131" s="25" t="str">
        <f ca="1">IFERROR(__xludf.DUMMYFUNCTION("""COMPUTED_VALUE"""),"Seguimiento CAD ")</f>
        <v xml:space="preserve">Seguimiento CAD </v>
      </c>
      <c r="C2131" s="55" t="str">
        <f ca="1">IFERROR(__xludf.DUMMYFUNCTION("""COMPUTED_VALUE"""),"31/03/2021")</f>
        <v>31/03/2021</v>
      </c>
      <c r="D2131" s="25" t="str">
        <f ca="1">IFERROR(__xludf.DUMMYFUNCTION("""COMPUTED_VALUE"""),"Hábitat")</f>
        <v>Hábitat</v>
      </c>
      <c r="E2131" s="25" t="str">
        <f ca="1">IFERROR(__xludf.DUMMYFUNCTION("""COMPUTED_VALUE"""),"Empresa de Renovación y Desarrollo Urbano")</f>
        <v>Empresa de Renovación y Desarrollo Urbano</v>
      </c>
      <c r="F2131" s="25" t="str">
        <f ca="1">IFERROR(__xludf.DUMMYFUNCTION("""COMPUTED_VALUE"""),"Enviar a la Alcaldesa actualización de Entreparques y El Rosario. (Tareas pendientes de Consejo de Gobierno Barrios Unidos)")</f>
        <v>Enviar a la Alcaldesa actualización de Entreparques y El Rosario. (Tareas pendientes de Consejo de Gobierno Barrios Unidos)</v>
      </c>
      <c r="G2131" s="25" t="str">
        <f ca="1">IFERROR(__xludf.DUMMYFUNCTION("""COMPUTED_VALUE"""),"99. Distrito")</f>
        <v>99. Distrito</v>
      </c>
      <c r="H2131" s="55">
        <f ca="1">IFERROR(__xludf.DUMMYFUNCTION("""COMPUTED_VALUE"""),44316)</f>
        <v>44316</v>
      </c>
      <c r="I2131" s="25"/>
      <c r="J2131" s="55" t="str">
        <f ca="1">IFERROR(__xludf.DUMMYFUNCTION("""COMPUTED_VALUE"""),"Alta")</f>
        <v>Alta</v>
      </c>
      <c r="K2131" s="25">
        <f ca="1">IFERROR(__xludf.DUMMYFUNCTION("""COMPUTED_VALUE"""),30)</f>
        <v>30</v>
      </c>
      <c r="L2131" s="62"/>
      <c r="M2131" s="25"/>
      <c r="N2131" s="55">
        <f ca="1">IFERROR(__xludf.DUMMYFUNCTION("""COMPUTED_VALUE"""),44927)</f>
        <v>44927</v>
      </c>
      <c r="O2131" s="25" t="str">
        <f t="shared" ca="1" si="0"/>
        <v>Empresa de Renovación y Desarrollo Urbano</v>
      </c>
      <c r="P2131" s="25" t="str">
        <f t="shared" si="2"/>
        <v/>
      </c>
      <c r="Q2131" s="25" t="str">
        <f ca="1">IFERROR(__xludf.DUMMYFUNCTION("""COMPUTED_VALUE"""),"Corto plazo")</f>
        <v>Corto plazo</v>
      </c>
      <c r="R2131" s="25"/>
      <c r="S2131" s="55"/>
      <c r="T2131" s="56"/>
      <c r="U2131" s="25"/>
      <c r="V2131" s="25"/>
      <c r="W2131" s="25"/>
      <c r="X2131" s="25"/>
      <c r="Y2131" s="25"/>
      <c r="Z2131" s="25"/>
    </row>
    <row r="2132" spans="1:26" ht="52.5" customHeight="1" x14ac:dyDescent="0.25">
      <c r="A2132" s="25" t="str">
        <f ca="1">IFERROR(__xludf.DUMMYFUNCTION("""COMPUTED_VALUE"""),"Hábit30")</f>
        <v>Hábit30</v>
      </c>
      <c r="B2132" s="25" t="str">
        <f ca="1">IFERROR(__xludf.DUMMYFUNCTION("""COMPUTED_VALUE"""),"Seguimiento CAD ")</f>
        <v xml:space="preserve">Seguimiento CAD </v>
      </c>
      <c r="C2132" s="55" t="str">
        <f ca="1">IFERROR(__xludf.DUMMYFUNCTION("""COMPUTED_VALUE"""),"31/03/2021")</f>
        <v>31/03/2021</v>
      </c>
      <c r="D2132" s="25" t="str">
        <f ca="1">IFERROR(__xludf.DUMMYFUNCTION("""COMPUTED_VALUE"""),"Hábitat")</f>
        <v>Hábitat</v>
      </c>
      <c r="E2132" s="25" t="str">
        <f ca="1">IFERROR(__xludf.DUMMYFUNCTION("""COMPUTED_VALUE"""),"Empresa de Renovación y Desarrollo Urbano")</f>
        <v>Empresa de Renovación y Desarrollo Urbano</v>
      </c>
      <c r="F2132" s="25" t="str">
        <f ca="1">IFERROR(__xludf.DUMMYFUNCTION("""COMPUTED_VALUE"""),"Establecer una escala de arrendamientos dentro del nuevo CAD a 10 años")</f>
        <v>Establecer una escala de arrendamientos dentro del nuevo CAD a 10 años</v>
      </c>
      <c r="G2132" s="25" t="str">
        <f ca="1">IFERROR(__xludf.DUMMYFUNCTION("""COMPUTED_VALUE"""),"99. Distrito")</f>
        <v>99. Distrito</v>
      </c>
      <c r="H2132" s="55">
        <f ca="1">IFERROR(__xludf.DUMMYFUNCTION("""COMPUTED_VALUE"""),44316)</f>
        <v>44316</v>
      </c>
      <c r="I2132" s="25"/>
      <c r="J2132" s="55" t="str">
        <f ca="1">IFERROR(__xludf.DUMMYFUNCTION("""COMPUTED_VALUE"""),"Alta")</f>
        <v>Alta</v>
      </c>
      <c r="K2132" s="25">
        <f ca="1">IFERROR(__xludf.DUMMYFUNCTION("""COMPUTED_VALUE"""),30)</f>
        <v>30</v>
      </c>
      <c r="L2132" s="62"/>
      <c r="M2132" s="25"/>
      <c r="N2132" s="55">
        <f ca="1">IFERROR(__xludf.DUMMYFUNCTION("""COMPUTED_VALUE"""),44927)</f>
        <v>44927</v>
      </c>
      <c r="O2132" s="25" t="str">
        <f t="shared" ca="1" si="0"/>
        <v>Empresa de Renovación y Desarrollo Urbano</v>
      </c>
      <c r="P2132" s="25" t="str">
        <f t="shared" si="2"/>
        <v/>
      </c>
      <c r="Q2132" s="25" t="str">
        <f ca="1">IFERROR(__xludf.DUMMYFUNCTION("""COMPUTED_VALUE"""),"Corto plazo")</f>
        <v>Corto plazo</v>
      </c>
      <c r="R2132" s="25"/>
      <c r="S2132" s="55"/>
      <c r="T2132" s="56"/>
      <c r="U2132" s="25"/>
      <c r="V2132" s="25"/>
      <c r="W2132" s="25"/>
      <c r="X2132" s="25"/>
      <c r="Y2132" s="25"/>
      <c r="Z2132" s="25"/>
    </row>
    <row r="2133" spans="1:26" ht="52.5" customHeight="1" x14ac:dyDescent="0.25">
      <c r="A2133" s="25" t="str">
        <f ca="1">IFERROR(__xludf.DUMMYFUNCTION("""COMPUTED_VALUE"""),"Hábit31")</f>
        <v>Hábit31</v>
      </c>
      <c r="B2133" s="25" t="str">
        <f ca="1">IFERROR(__xludf.DUMMYFUNCTION("""COMPUTED_VALUE"""),"Seguimiento CAD ")</f>
        <v xml:space="preserve">Seguimiento CAD </v>
      </c>
      <c r="C2133" s="55" t="str">
        <f ca="1">IFERROR(__xludf.DUMMYFUNCTION("""COMPUTED_VALUE"""),"31/03/2021")</f>
        <v>31/03/2021</v>
      </c>
      <c r="D2133" s="25" t="str">
        <f ca="1">IFERROR(__xludf.DUMMYFUNCTION("""COMPUTED_VALUE"""),"Hábitat")</f>
        <v>Hábitat</v>
      </c>
      <c r="E2133" s="25" t="str">
        <f ca="1">IFERROR(__xludf.DUMMYFUNCTION("""COMPUTED_VALUE"""),"Empresa de Renovación y Desarrollo Urbano")</f>
        <v>Empresa de Renovación y Desarrollo Urbano</v>
      </c>
      <c r="F2133" s="25" t="str">
        <f ca="1">IFERROR(__xludf.DUMMYFUNCTION("""COMPUTED_VALUE"""),"Formalizar convenio con Metro y Transmilenio, en donde ERU haga gestión inmobiliaria y Metro y TM tengan un esquema de captura de valor.")</f>
        <v>Formalizar convenio con Metro y Transmilenio, en donde ERU haga gestión inmobiliaria y Metro y TM tengan un esquema de captura de valor.</v>
      </c>
      <c r="G2133" s="25" t="str">
        <f ca="1">IFERROR(__xludf.DUMMYFUNCTION("""COMPUTED_VALUE"""),"99. Distrito")</f>
        <v>99. Distrito</v>
      </c>
      <c r="H2133" s="55">
        <f ca="1">IFERROR(__xludf.DUMMYFUNCTION("""COMPUTED_VALUE"""),44316)</f>
        <v>44316</v>
      </c>
      <c r="I2133" s="25"/>
      <c r="J2133" s="55" t="str">
        <f ca="1">IFERROR(__xludf.DUMMYFUNCTION("""COMPUTED_VALUE"""),"Alta")</f>
        <v>Alta</v>
      </c>
      <c r="K2133" s="25">
        <f ca="1">IFERROR(__xludf.DUMMYFUNCTION("""COMPUTED_VALUE"""),30)</f>
        <v>30</v>
      </c>
      <c r="L2133" s="62"/>
      <c r="M2133" s="25"/>
      <c r="N2133" s="55">
        <f ca="1">IFERROR(__xludf.DUMMYFUNCTION("""COMPUTED_VALUE"""),44927)</f>
        <v>44927</v>
      </c>
      <c r="O2133" s="25" t="str">
        <f t="shared" ca="1" si="0"/>
        <v>Empresa de Renovación y Desarrollo Urbano</v>
      </c>
      <c r="P2133" s="25" t="str">
        <f t="shared" si="2"/>
        <v/>
      </c>
      <c r="Q2133" s="25" t="str">
        <f ca="1">IFERROR(__xludf.DUMMYFUNCTION("""COMPUTED_VALUE"""),"Corto plazo")</f>
        <v>Corto plazo</v>
      </c>
      <c r="R2133" s="25"/>
      <c r="S2133" s="55"/>
      <c r="T2133" s="56"/>
      <c r="U2133" s="25"/>
      <c r="V2133" s="25"/>
      <c r="W2133" s="25"/>
      <c r="X2133" s="25"/>
      <c r="Y2133" s="25"/>
      <c r="Z2133" s="25"/>
    </row>
    <row r="2134" spans="1:26" ht="52.5" customHeight="1" x14ac:dyDescent="0.25">
      <c r="A2134" s="25" t="str">
        <f ca="1">IFERROR(__xludf.DUMMYFUNCTION("""COMPUTED_VALUE"""),"Hábit32")</f>
        <v>Hábit32</v>
      </c>
      <c r="B2134" s="25" t="str">
        <f ca="1">IFERROR(__xludf.DUMMYFUNCTION("""COMPUTED_VALUE"""),"Seguimiento CAD ")</f>
        <v xml:space="preserve">Seguimiento CAD </v>
      </c>
      <c r="C2134" s="55" t="str">
        <f ca="1">IFERROR(__xludf.DUMMYFUNCTION("""COMPUTED_VALUE"""),"31/03/2021")</f>
        <v>31/03/2021</v>
      </c>
      <c r="D2134" s="25" t="str">
        <f ca="1">IFERROR(__xludf.DUMMYFUNCTION("""COMPUTED_VALUE"""),"Hábitat")</f>
        <v>Hábitat</v>
      </c>
      <c r="E2134" s="25" t="str">
        <f ca="1">IFERROR(__xludf.DUMMYFUNCTION("""COMPUTED_VALUE"""),"Empresa de Renovación y Desarrollo Urbano")</f>
        <v>Empresa de Renovación y Desarrollo Urbano</v>
      </c>
      <c r="F2134" s="25" t="str">
        <f ca="1">IFERROR(__xludf.DUMMYFUNCTION("""COMPUTED_VALUE"""),"Incluir parque dentro del Plan Parcial. Determinar exactamente qué temas están pendientes con IDU para incluirlo. ")</f>
        <v xml:space="preserve">Incluir parque dentro del Plan Parcial. Determinar exactamente qué temas están pendientes con IDU para incluirlo. </v>
      </c>
      <c r="G2134" s="25" t="str">
        <f ca="1">IFERROR(__xludf.DUMMYFUNCTION("""COMPUTED_VALUE"""),"99. Distrito")</f>
        <v>99. Distrito</v>
      </c>
      <c r="H2134" s="55">
        <f ca="1">IFERROR(__xludf.DUMMYFUNCTION("""COMPUTED_VALUE"""),44316)</f>
        <v>44316</v>
      </c>
      <c r="I2134" s="25"/>
      <c r="J2134" s="55" t="str">
        <f ca="1">IFERROR(__xludf.DUMMYFUNCTION("""COMPUTED_VALUE"""),"Alta")</f>
        <v>Alta</v>
      </c>
      <c r="K2134" s="25">
        <f ca="1">IFERROR(__xludf.DUMMYFUNCTION("""COMPUTED_VALUE"""),30)</f>
        <v>30</v>
      </c>
      <c r="L2134" s="62"/>
      <c r="M2134" s="25"/>
      <c r="N2134" s="55">
        <f ca="1">IFERROR(__xludf.DUMMYFUNCTION("""COMPUTED_VALUE"""),44927)</f>
        <v>44927</v>
      </c>
      <c r="O2134" s="25" t="str">
        <f t="shared" ca="1" si="0"/>
        <v>Empresa de Renovación y Desarrollo Urbano</v>
      </c>
      <c r="P2134" s="25" t="str">
        <f t="shared" si="2"/>
        <v/>
      </c>
      <c r="Q2134" s="25" t="str">
        <f ca="1">IFERROR(__xludf.DUMMYFUNCTION("""COMPUTED_VALUE"""),"Corto plazo")</f>
        <v>Corto plazo</v>
      </c>
      <c r="R2134" s="25"/>
      <c r="S2134" s="55"/>
      <c r="T2134" s="56"/>
      <c r="U2134" s="25"/>
      <c r="V2134" s="25"/>
      <c r="W2134" s="25"/>
      <c r="X2134" s="25"/>
      <c r="Y2134" s="25"/>
      <c r="Z2134" s="25"/>
    </row>
    <row r="2135" spans="1:26" ht="52.5" customHeight="1" x14ac:dyDescent="0.25">
      <c r="A2135" s="25" t="str">
        <f ca="1">IFERROR(__xludf.DUMMYFUNCTION("""COMPUTED_VALUE"""),"Hábit33")</f>
        <v>Hábit33</v>
      </c>
      <c r="B2135" s="25" t="str">
        <f ca="1">IFERROR(__xludf.DUMMYFUNCTION("""COMPUTED_VALUE"""),"Seguimiento CAD ")</f>
        <v xml:space="preserve">Seguimiento CAD </v>
      </c>
      <c r="C2135" s="55" t="str">
        <f ca="1">IFERROR(__xludf.DUMMYFUNCTION("""COMPUTED_VALUE"""),"31/03/2021")</f>
        <v>31/03/2021</v>
      </c>
      <c r="D2135" s="25" t="str">
        <f ca="1">IFERROR(__xludf.DUMMYFUNCTION("""COMPUTED_VALUE"""),"Hábitat")</f>
        <v>Hábitat</v>
      </c>
      <c r="E2135" s="25" t="str">
        <f ca="1">IFERROR(__xludf.DUMMYFUNCTION("""COMPUTED_VALUE"""),"Empresa de Renovación y Desarrollo Urbano")</f>
        <v>Empresa de Renovación y Desarrollo Urbano</v>
      </c>
      <c r="F2135" s="25" t="str">
        <f ca="1">IFERROR(__xludf.DUMMYFUNCTION("""COMPUTED_VALUE"""),"Radicar el plan parcial en junio para estructurar la convocatoria para sacarla en diciembre de 2021 
Estructurar proyectos CAD 1 y CAD2.")</f>
        <v>Radicar el plan parcial en junio para estructurar la convocatoria para sacarla en diciembre de 2021 
Estructurar proyectos CAD 1 y CAD2.</v>
      </c>
      <c r="G2135" s="25" t="str">
        <f ca="1">IFERROR(__xludf.DUMMYFUNCTION("""COMPUTED_VALUE"""),"99. Distrito")</f>
        <v>99. Distrito</v>
      </c>
      <c r="H2135" s="55">
        <f ca="1">IFERROR(__xludf.DUMMYFUNCTION("""COMPUTED_VALUE"""),44316)</f>
        <v>44316</v>
      </c>
      <c r="I2135" s="25"/>
      <c r="J2135" s="55" t="str">
        <f ca="1">IFERROR(__xludf.DUMMYFUNCTION("""COMPUTED_VALUE"""),"Alta")</f>
        <v>Alta</v>
      </c>
      <c r="K2135" s="25">
        <f ca="1">IFERROR(__xludf.DUMMYFUNCTION("""COMPUTED_VALUE"""),30)</f>
        <v>30</v>
      </c>
      <c r="L2135" s="62"/>
      <c r="M2135" s="25"/>
      <c r="N2135" s="55">
        <f ca="1">IFERROR(__xludf.DUMMYFUNCTION("""COMPUTED_VALUE"""),44927)</f>
        <v>44927</v>
      </c>
      <c r="O2135" s="25" t="str">
        <f t="shared" ca="1" si="0"/>
        <v>Empresa de Renovación y Desarrollo Urbano</v>
      </c>
      <c r="P2135" s="25" t="str">
        <f t="shared" si="2"/>
        <v/>
      </c>
      <c r="Q2135" s="25" t="str">
        <f ca="1">IFERROR(__xludf.DUMMYFUNCTION("""COMPUTED_VALUE"""),"Corto plazo")</f>
        <v>Corto plazo</v>
      </c>
      <c r="R2135" s="25"/>
      <c r="S2135" s="55"/>
      <c r="T2135" s="56"/>
      <c r="U2135" s="25"/>
      <c r="V2135" s="25"/>
      <c r="W2135" s="25"/>
      <c r="X2135" s="25"/>
      <c r="Y2135" s="25"/>
      <c r="Z2135" s="25"/>
    </row>
    <row r="2136" spans="1:26" ht="52.5" customHeight="1" x14ac:dyDescent="0.25">
      <c r="A2136" s="25" t="str">
        <f ca="1">IFERROR(__xludf.DUMMYFUNCTION("""COMPUTED_VALUE"""),"Hábit34")</f>
        <v>Hábit34</v>
      </c>
      <c r="B2136" s="25" t="str">
        <f ca="1">IFERROR(__xludf.DUMMYFUNCTION("""COMPUTED_VALUE"""),"Seguimiento CAD ")</f>
        <v xml:space="preserve">Seguimiento CAD </v>
      </c>
      <c r="C2136" s="55" t="str">
        <f ca="1">IFERROR(__xludf.DUMMYFUNCTION("""COMPUTED_VALUE"""),"31/03/2021")</f>
        <v>31/03/2021</v>
      </c>
      <c r="D2136" s="25" t="str">
        <f ca="1">IFERROR(__xludf.DUMMYFUNCTION("""COMPUTED_VALUE"""),"Hábitat")</f>
        <v>Hábitat</v>
      </c>
      <c r="E2136" s="25" t="str">
        <f ca="1">IFERROR(__xludf.DUMMYFUNCTION("""COMPUTED_VALUE"""),"Empresa de Renovación y Desarrollo Urbano")</f>
        <v>Empresa de Renovación y Desarrollo Urbano</v>
      </c>
      <c r="F2136" s="25" t="str">
        <f ca="1">IFERROR(__xludf.DUMMYFUNCTION("""COMPUTED_VALUE"""),"Conseguir con Aerocivil permiso para máxima edificabilidad en Plan Parcial.")</f>
        <v>Conseguir con Aerocivil permiso para máxima edificabilidad en Plan Parcial.</v>
      </c>
      <c r="G2136" s="25" t="str">
        <f ca="1">IFERROR(__xludf.DUMMYFUNCTION("""COMPUTED_VALUE"""),"99. Distrito")</f>
        <v>99. Distrito</v>
      </c>
      <c r="H2136" s="55">
        <f ca="1">IFERROR(__xludf.DUMMYFUNCTION("""COMPUTED_VALUE"""),44316)</f>
        <v>44316</v>
      </c>
      <c r="I2136" s="25"/>
      <c r="J2136" s="55" t="str">
        <f ca="1">IFERROR(__xludf.DUMMYFUNCTION("""COMPUTED_VALUE"""),"Alta")</f>
        <v>Alta</v>
      </c>
      <c r="K2136" s="25">
        <f ca="1">IFERROR(__xludf.DUMMYFUNCTION("""COMPUTED_VALUE"""),30)</f>
        <v>30</v>
      </c>
      <c r="L2136" s="62"/>
      <c r="M2136" s="25"/>
      <c r="N2136" s="55">
        <f ca="1">IFERROR(__xludf.DUMMYFUNCTION("""COMPUTED_VALUE"""),44927)</f>
        <v>44927</v>
      </c>
      <c r="O2136" s="25" t="str">
        <f t="shared" ca="1" si="0"/>
        <v>Empresa de Renovación y Desarrollo Urbano</v>
      </c>
      <c r="P2136" s="25" t="str">
        <f t="shared" si="2"/>
        <v/>
      </c>
      <c r="Q2136" s="25" t="str">
        <f ca="1">IFERROR(__xludf.DUMMYFUNCTION("""COMPUTED_VALUE"""),"Corto plazo")</f>
        <v>Corto plazo</v>
      </c>
      <c r="R2136" s="25"/>
      <c r="S2136" s="55"/>
      <c r="T2136" s="56"/>
      <c r="U2136" s="25"/>
      <c r="V2136" s="25"/>
      <c r="W2136" s="25"/>
      <c r="X2136" s="25"/>
      <c r="Y2136" s="25"/>
      <c r="Z2136" s="25"/>
    </row>
    <row r="2137" spans="1:26" ht="52.5" customHeight="1" x14ac:dyDescent="0.25">
      <c r="A2137" s="25" t="str">
        <f ca="1">IFERROR(__xludf.DUMMYFUNCTION("""COMPUTED_VALUE"""),"Hábit35")</f>
        <v>Hábit35</v>
      </c>
      <c r="B2137" s="25" t="str">
        <f ca="1">IFERROR(__xludf.DUMMYFUNCTION("""COMPUTED_VALUE"""),"Seguimiento CAD ")</f>
        <v xml:space="preserve">Seguimiento CAD </v>
      </c>
      <c r="C2137" s="55" t="str">
        <f ca="1">IFERROR(__xludf.DUMMYFUNCTION("""COMPUTED_VALUE"""),"31/03/2021")</f>
        <v>31/03/2021</v>
      </c>
      <c r="D2137" s="25" t="str">
        <f ca="1">IFERROR(__xludf.DUMMYFUNCTION("""COMPUTED_VALUE"""),"Hábitat")</f>
        <v>Hábitat</v>
      </c>
      <c r="E2137" s="25" t="str">
        <f ca="1">IFERROR(__xludf.DUMMYFUNCTION("""COMPUTED_VALUE"""),"Empresa de Renovación y Desarrollo Urbano")</f>
        <v>Empresa de Renovación y Desarrollo Urbano</v>
      </c>
      <c r="F2137" s="25" t="str">
        <f ca="1">IFERROR(__xludf.DUMMYFUNCTION("""COMPUTED_VALUE"""),"Dentro del proyecto CAD contemplar oficinas para Ágata, Atenea, Operador Público de TMSA y edificio inteligente (Similar a Ruta N) para Centro de Formación del Siglo XXI, en el proyecto de Nuevo CAD")</f>
        <v>Dentro del proyecto CAD contemplar oficinas para Ágata, Atenea, Operador Público de TMSA y edificio inteligente (Similar a Ruta N) para Centro de Formación del Siglo XXI, en el proyecto de Nuevo CAD</v>
      </c>
      <c r="G2137" s="25" t="str">
        <f ca="1">IFERROR(__xludf.DUMMYFUNCTION("""COMPUTED_VALUE"""),"99. Distrito")</f>
        <v>99. Distrito</v>
      </c>
      <c r="H2137" s="55">
        <f ca="1">IFERROR(__xludf.DUMMYFUNCTION("""COMPUTED_VALUE"""),44316)</f>
        <v>44316</v>
      </c>
      <c r="I2137" s="25"/>
      <c r="J2137" s="55" t="str">
        <f ca="1">IFERROR(__xludf.DUMMYFUNCTION("""COMPUTED_VALUE"""),"Alta")</f>
        <v>Alta</v>
      </c>
      <c r="K2137" s="25">
        <f ca="1">IFERROR(__xludf.DUMMYFUNCTION("""COMPUTED_VALUE"""),30)</f>
        <v>30</v>
      </c>
      <c r="L2137" s="62"/>
      <c r="M2137" s="25"/>
      <c r="N2137" s="55">
        <f ca="1">IFERROR(__xludf.DUMMYFUNCTION("""COMPUTED_VALUE"""),44927)</f>
        <v>44927</v>
      </c>
      <c r="O2137" s="25" t="str">
        <f t="shared" ca="1" si="0"/>
        <v>Empresa de Renovación y Desarrollo Urbano</v>
      </c>
      <c r="P2137" s="25" t="str">
        <f t="shared" si="2"/>
        <v/>
      </c>
      <c r="Q2137" s="25" t="str">
        <f ca="1">IFERROR(__xludf.DUMMYFUNCTION("""COMPUTED_VALUE"""),"Corto plazo")</f>
        <v>Corto plazo</v>
      </c>
      <c r="R2137" s="25"/>
      <c r="S2137" s="55"/>
      <c r="T2137" s="56"/>
      <c r="U2137" s="25"/>
      <c r="V2137" s="25"/>
      <c r="W2137" s="25"/>
      <c r="X2137" s="25"/>
      <c r="Y2137" s="25"/>
      <c r="Z2137" s="25"/>
    </row>
    <row r="2138" spans="1:26" ht="52.5" customHeight="1" x14ac:dyDescent="0.25">
      <c r="A2138" s="25" t="str">
        <f ca="1">IFERROR(__xludf.DUMMYFUNCTION("""COMPUTED_VALUE"""),"Hábit36")</f>
        <v>Hábit36</v>
      </c>
      <c r="B2138" s="25" t="str">
        <f ca="1">IFERROR(__xludf.DUMMYFUNCTION("""COMPUTED_VALUE"""),"Seguimiento CAD ")</f>
        <v xml:space="preserve">Seguimiento CAD </v>
      </c>
      <c r="C2138" s="55" t="str">
        <f ca="1">IFERROR(__xludf.DUMMYFUNCTION("""COMPUTED_VALUE"""),"26/03/2021")</f>
        <v>26/03/2021</v>
      </c>
      <c r="D2138" s="25" t="str">
        <f ca="1">IFERROR(__xludf.DUMMYFUNCTION("""COMPUTED_VALUE"""),"Hábitat")</f>
        <v>Hábitat</v>
      </c>
      <c r="E2138" s="25" t="str">
        <f ca="1">IFERROR(__xludf.DUMMYFUNCTION("""COMPUTED_VALUE"""),"Empresa de Renovación y Desarrollo Urbano")</f>
        <v>Empresa de Renovación y Desarrollo Urbano</v>
      </c>
      <c r="F2138" s="25" t="str">
        <f ca="1">IFERROR(__xludf.DUMMYFUNCTION("""COMPUTED_VALUE"""),"Agregar a la presentación del proyecto nuevo CAD: 25% de espacios verdes y 50% de espacio público
")</f>
        <v xml:space="preserve">Agregar a la presentación del proyecto nuevo CAD: 25% de espacios verdes y 50% de espacio público
</v>
      </c>
      <c r="G2138" s="25" t="str">
        <f ca="1">IFERROR(__xludf.DUMMYFUNCTION("""COMPUTED_VALUE"""),"99. Distrito")</f>
        <v>99. Distrito</v>
      </c>
      <c r="H2138" s="55">
        <f ca="1">IFERROR(__xludf.DUMMYFUNCTION("""COMPUTED_VALUE"""),44311)</f>
        <v>44311</v>
      </c>
      <c r="I2138" s="25"/>
      <c r="J2138" s="55" t="str">
        <f ca="1">IFERROR(__xludf.DUMMYFUNCTION("""COMPUTED_VALUE"""),"Alta")</f>
        <v>Alta</v>
      </c>
      <c r="K2138" s="25">
        <f ca="1">IFERROR(__xludf.DUMMYFUNCTION("""COMPUTED_VALUE"""),30)</f>
        <v>30</v>
      </c>
      <c r="L2138" s="62"/>
      <c r="M2138" s="25"/>
      <c r="N2138" s="55">
        <f ca="1">IFERROR(__xludf.DUMMYFUNCTION("""COMPUTED_VALUE"""),44927)</f>
        <v>44927</v>
      </c>
      <c r="O2138" s="25" t="str">
        <f t="shared" ca="1" si="0"/>
        <v>Empresa de Renovación y Desarrollo Urbano</v>
      </c>
      <c r="P2138" s="25" t="str">
        <f t="shared" si="2"/>
        <v/>
      </c>
      <c r="Q2138" s="25" t="str">
        <f ca="1">IFERROR(__xludf.DUMMYFUNCTION("""COMPUTED_VALUE"""),"Corto plazo")</f>
        <v>Corto plazo</v>
      </c>
      <c r="R2138" s="25"/>
      <c r="S2138" s="55"/>
      <c r="T2138" s="56"/>
      <c r="U2138" s="25"/>
      <c r="V2138" s="25"/>
      <c r="W2138" s="25"/>
      <c r="X2138" s="25"/>
      <c r="Y2138" s="25"/>
      <c r="Z2138" s="25"/>
    </row>
    <row r="2139" spans="1:26" ht="52.5" customHeight="1" x14ac:dyDescent="0.25">
      <c r="A2139" s="25" t="str">
        <f ca="1">IFERROR(__xludf.DUMMYFUNCTION("""COMPUTED_VALUE"""),"Hábit37")</f>
        <v>Hábit37</v>
      </c>
      <c r="B2139" s="25" t="str">
        <f ca="1">IFERROR(__xludf.DUMMYFUNCTION("""COMPUTED_VALUE"""),"Recorrido Antonio Nariño ")</f>
        <v xml:space="preserve">Recorrido Antonio Nariño </v>
      </c>
      <c r="C2139" s="55">
        <f ca="1">IFERROR(__xludf.DUMMYFUNCTION("""COMPUTED_VALUE"""),44364)</f>
        <v>44364</v>
      </c>
      <c r="D2139" s="25" t="str">
        <f ca="1">IFERROR(__xludf.DUMMYFUNCTION("""COMPUTED_VALUE"""),"Hábitat")</f>
        <v>Hábitat</v>
      </c>
      <c r="E2139" s="25" t="str">
        <f ca="1">IFERROR(__xludf.DUMMYFUNCTION("""COMPUTED_VALUE"""),"Secretaría Distrital del Hábitat")</f>
        <v>Secretaría Distrital del Hábitat</v>
      </c>
      <c r="F2139" s="25" t="str">
        <f ca="1">IFERROR(__xludf.DUMMYFUNCTION("""COMPUTED_VALUE"""),"Asegurar que el traslado de hornos crematorios quede incluído en el POT")</f>
        <v>Asegurar que el traslado de hornos crematorios quede incluído en el POT</v>
      </c>
      <c r="G2139" s="55" t="str">
        <f ca="1">IFERROR(__xludf.DUMMYFUNCTION("""COMPUTED_VALUE"""),"15. Antonio Nariño")</f>
        <v>15. Antonio Nariño</v>
      </c>
      <c r="H2139" s="55">
        <f ca="1">IFERROR(__xludf.DUMMYFUNCTION("""COMPUTED_VALUE"""),44394)</f>
        <v>44394</v>
      </c>
      <c r="I2139" s="25"/>
      <c r="J2139" s="55" t="str">
        <f ca="1">IFERROR(__xludf.DUMMYFUNCTION("""COMPUTED_VALUE"""),"Alta")</f>
        <v>Alta</v>
      </c>
      <c r="K2139" s="25">
        <f ca="1">IFERROR(__xludf.DUMMYFUNCTION("""COMPUTED_VALUE"""),30)</f>
        <v>30</v>
      </c>
      <c r="L2139" s="62"/>
      <c r="M2139" s="25"/>
      <c r="N2139" s="55">
        <f ca="1">IFERROR(__xludf.DUMMYFUNCTION("""COMPUTED_VALUE"""),44927)</f>
        <v>44927</v>
      </c>
      <c r="O2139" s="25" t="str">
        <f t="shared" ca="1" si="0"/>
        <v>Secretaría Distrital del Hábitat</v>
      </c>
      <c r="P2139" s="25" t="str">
        <f t="shared" si="2"/>
        <v/>
      </c>
      <c r="Q2139" s="25" t="str">
        <f ca="1">IFERROR(__xludf.DUMMYFUNCTION("""COMPUTED_VALUE"""),"Corto plazo")</f>
        <v>Corto plazo</v>
      </c>
      <c r="R2139" s="25"/>
      <c r="S2139" s="55"/>
      <c r="T2139" s="56"/>
      <c r="U2139" s="25"/>
      <c r="V2139" s="25"/>
      <c r="W2139" s="25"/>
      <c r="X2139" s="25"/>
      <c r="Y2139" s="25"/>
      <c r="Z2139" s="25"/>
    </row>
    <row r="2140" spans="1:26" ht="52.5" customHeight="1" x14ac:dyDescent="0.25">
      <c r="A2140" s="25" t="str">
        <f ca="1">IFERROR(__xludf.DUMMYFUNCTION("""COMPUTED_VALUE"""),"Hábit38")</f>
        <v>Hábit38</v>
      </c>
      <c r="B2140" s="25" t="str">
        <f ca="1">IFERROR(__xludf.DUMMYFUNCTION("""COMPUTED_VALUE"""),"Recorrido Antonio Nariño ")</f>
        <v xml:space="preserve">Recorrido Antonio Nariño </v>
      </c>
      <c r="C2140" s="55">
        <f ca="1">IFERROR(__xludf.DUMMYFUNCTION("""COMPUTED_VALUE"""),44364)</f>
        <v>44364</v>
      </c>
      <c r="D2140" s="25" t="str">
        <f ca="1">IFERROR(__xludf.DUMMYFUNCTION("""COMPUTED_VALUE"""),"Hábitat")</f>
        <v>Hábitat</v>
      </c>
      <c r="E2140" s="25" t="str">
        <f ca="1">IFERROR(__xludf.DUMMYFUNCTION("""COMPUTED_VALUE"""),"Empresa de Acueducto y Alcantarillado de Bogotá")</f>
        <v>Empresa de Acueducto y Alcantarillado de Bogotá</v>
      </c>
      <c r="F2140" s="25" t="str">
        <f ca="1">IFERROR(__xludf.DUMMYFUNCTION("""COMPUTED_VALUE"""),"Solicitar a acueducto que se liquide el contrato de la construcción que la ciclovía alrededor del río Fucha y que esos recursos de trasladen al IDU para que realice la obra.")</f>
        <v>Solicitar a acueducto que se liquide el contrato de la construcción que la ciclovía alrededor del río Fucha y que esos recursos de trasladen al IDU para que realice la obra.</v>
      </c>
      <c r="G2140" s="55" t="str">
        <f ca="1">IFERROR(__xludf.DUMMYFUNCTION("""COMPUTED_VALUE"""),"15. Antonio Nariño")</f>
        <v>15. Antonio Nariño</v>
      </c>
      <c r="H2140" s="55">
        <f ca="1">IFERROR(__xludf.DUMMYFUNCTION("""COMPUTED_VALUE"""),44394)</f>
        <v>44394</v>
      </c>
      <c r="I2140" s="25"/>
      <c r="J2140" s="55" t="str">
        <f ca="1">IFERROR(__xludf.DUMMYFUNCTION("""COMPUTED_VALUE"""),"Alta")</f>
        <v>Alta</v>
      </c>
      <c r="K2140" s="25">
        <f ca="1">IFERROR(__xludf.DUMMYFUNCTION("""COMPUTED_VALUE"""),30)</f>
        <v>30</v>
      </c>
      <c r="L2140" s="62">
        <f ca="1">IFERROR(__xludf.DUMMYFUNCTION("""COMPUTED_VALUE"""),44956)</f>
        <v>44956</v>
      </c>
      <c r="M2140" s="25"/>
      <c r="N2140" s="55">
        <f ca="1">IFERROR(__xludf.DUMMYFUNCTION("""COMPUTED_VALUE"""),44927)</f>
        <v>44927</v>
      </c>
      <c r="O2140" s="25" t="str">
        <f t="shared" ca="1" si="0"/>
        <v>Empresa de Acueducto y Alcantarillado de Bogotá</v>
      </c>
      <c r="P2140" s="25" t="str">
        <f t="shared" si="2"/>
        <v/>
      </c>
      <c r="Q2140" s="25" t="str">
        <f ca="1">IFERROR(__xludf.DUMMYFUNCTION("""COMPUTED_VALUE"""),"Corto plazo")</f>
        <v>Corto plazo</v>
      </c>
      <c r="R2140" s="25"/>
      <c r="S2140" s="55"/>
      <c r="T2140" s="56"/>
      <c r="U2140" s="25"/>
      <c r="V2140" s="25"/>
      <c r="W2140" s="25"/>
      <c r="X2140" s="25"/>
      <c r="Y2140" s="25"/>
      <c r="Z2140" s="25"/>
    </row>
    <row r="2141" spans="1:26" ht="52.5" customHeight="1" x14ac:dyDescent="0.25">
      <c r="A2141" s="25" t="str">
        <f ca="1">IFERROR(__xludf.DUMMYFUNCTION("""COMPUTED_VALUE"""),"Hábit39")</f>
        <v>Hábit39</v>
      </c>
      <c r="B2141" s="25" t="str">
        <f ca="1">IFERROR(__xludf.DUMMYFUNCTION("""COMPUTED_VALUE"""),"Recorrido Antonio Nariño ")</f>
        <v xml:space="preserve">Recorrido Antonio Nariño </v>
      </c>
      <c r="C2141" s="55">
        <f ca="1">IFERROR(__xludf.DUMMYFUNCTION("""COMPUTED_VALUE"""),44364)</f>
        <v>44364</v>
      </c>
      <c r="D2141" s="25" t="str">
        <f ca="1">IFERROR(__xludf.DUMMYFUNCTION("""COMPUTED_VALUE"""),"Hábitat")</f>
        <v>Hábitat</v>
      </c>
      <c r="E2141" s="25" t="str">
        <f ca="1">IFERROR(__xludf.DUMMYFUNCTION("""COMPUTED_VALUE"""),"Empresa de Acueducto y Alcantarillado de Bogotá")</f>
        <v>Empresa de Acueducto y Alcantarillado de Bogotá</v>
      </c>
      <c r="F2141" s="25" t="str">
        <f ca="1">IFERROR(__xludf.DUMMYFUNCTION("""COMPUTED_VALUE"""),"Asegurar la construcción del acueducto en el barrio Policarpa")</f>
        <v>Asegurar la construcción del acueducto en el barrio Policarpa</v>
      </c>
      <c r="G2141" s="55" t="str">
        <f ca="1">IFERROR(__xludf.DUMMYFUNCTION("""COMPUTED_VALUE"""),"15. Antonio Nariño")</f>
        <v>15. Antonio Nariño</v>
      </c>
      <c r="H2141" s="55">
        <f ca="1">IFERROR(__xludf.DUMMYFUNCTION("""COMPUTED_VALUE"""),44394)</f>
        <v>44394</v>
      </c>
      <c r="I2141" s="25"/>
      <c r="J2141" s="55" t="str">
        <f ca="1">IFERROR(__xludf.DUMMYFUNCTION("""COMPUTED_VALUE"""),"Alta")</f>
        <v>Alta</v>
      </c>
      <c r="K2141" s="25">
        <f ca="1">IFERROR(__xludf.DUMMYFUNCTION("""COMPUTED_VALUE"""),30)</f>
        <v>30</v>
      </c>
      <c r="L2141" s="62">
        <f ca="1">IFERROR(__xludf.DUMMYFUNCTION("""COMPUTED_VALUE"""),44956)</f>
        <v>44956</v>
      </c>
      <c r="M2141" s="25"/>
      <c r="N2141" s="55">
        <f ca="1">IFERROR(__xludf.DUMMYFUNCTION("""COMPUTED_VALUE"""),44927)</f>
        <v>44927</v>
      </c>
      <c r="O2141" s="25" t="str">
        <f t="shared" ca="1" si="0"/>
        <v>Empresa de Acueducto y Alcantarillado de Bogotá</v>
      </c>
      <c r="P2141" s="25" t="str">
        <f t="shared" si="2"/>
        <v/>
      </c>
      <c r="Q2141" s="25" t="str">
        <f ca="1">IFERROR(__xludf.DUMMYFUNCTION("""COMPUTED_VALUE"""),"Corto plazo")</f>
        <v>Corto plazo</v>
      </c>
      <c r="R2141" s="25"/>
      <c r="S2141" s="55"/>
      <c r="T2141" s="56"/>
      <c r="U2141" s="25"/>
      <c r="V2141" s="25"/>
      <c r="W2141" s="25"/>
      <c r="X2141" s="25"/>
      <c r="Y2141" s="25"/>
      <c r="Z2141" s="25"/>
    </row>
    <row r="2142" spans="1:26" ht="52.5" customHeight="1" x14ac:dyDescent="0.25">
      <c r="A2142" s="25" t="str">
        <f ca="1">IFERROR(__xludf.DUMMYFUNCTION("""COMPUTED_VALUE"""),"Hábit40")</f>
        <v>Hábit40</v>
      </c>
      <c r="B2142" s="25" t="str">
        <f ca="1">IFERROR(__xludf.DUMMYFUNCTION("""COMPUTED_VALUE"""),"Recorrido San Cristóbal ")</f>
        <v xml:space="preserve">Recorrido San Cristóbal </v>
      </c>
      <c r="C2142" s="55">
        <f ca="1">IFERROR(__xludf.DUMMYFUNCTION("""COMPUTED_VALUE"""),44371)</f>
        <v>44371</v>
      </c>
      <c r="D2142" s="25" t="str">
        <f ca="1">IFERROR(__xludf.DUMMYFUNCTION("""COMPUTED_VALUE"""),"Hábitat")</f>
        <v>Hábitat</v>
      </c>
      <c r="E2142" s="25" t="str">
        <f ca="1">IFERROR(__xludf.DUMMYFUNCTION("""COMPUTED_VALUE"""),"Caja de Vivienda Popular")</f>
        <v>Caja de Vivienda Popular</v>
      </c>
      <c r="F2142" s="25" t="str">
        <f ca="1">IFERROR(__xludf.DUMMYFUNCTION("""COMPUTED_VALUE"""),"Pedirle a la Caja de Vivienda Popular que asista a una sesión de la JAL y presente su oferta en materia de vivienda.")</f>
        <v>Pedirle a la Caja de Vivienda Popular que asista a una sesión de la JAL y presente su oferta en materia de vivienda.</v>
      </c>
      <c r="G2142" s="55" t="str">
        <f ca="1">IFERROR(__xludf.DUMMYFUNCTION("""COMPUTED_VALUE"""),"04. San Cristóbal")</f>
        <v>04. San Cristóbal</v>
      </c>
      <c r="H2142" s="55">
        <f ca="1">IFERROR(__xludf.DUMMYFUNCTION("""COMPUTED_VALUE"""),44401)</f>
        <v>44401</v>
      </c>
      <c r="I2142" s="25"/>
      <c r="J2142" s="55" t="str">
        <f ca="1">IFERROR(__xludf.DUMMYFUNCTION("""COMPUTED_VALUE"""),"Alta")</f>
        <v>Alta</v>
      </c>
      <c r="K2142" s="25">
        <f ca="1">IFERROR(__xludf.DUMMYFUNCTION("""COMPUTED_VALUE"""),30)</f>
        <v>30</v>
      </c>
      <c r="L2142" s="62"/>
      <c r="M2142" s="25" t="str">
        <f ca="1">IFERROR(__xludf.DUMMYFUNCTION("""COMPUTED_VALUE"""),"El 29 de septiembre de 2021, con participación de la JAL, se llevó a cabo un evento de presentación del proyecto de Vivienda Arboleda Santa Teresita, llevado a cabo en el CDC de la Victoria, en el cual 39 familias seleccionaron vivienda de reposición en d"&amp;"icho proyecto, siendo éste el único proyecto de vivienda disponible durante la vigencia 2021 en la localidad de San Cristóbal.
Adicional a esto, la Alcaldía le hizo la solicitud al vicepresidente de la JAL con el fin de volver a hacer una socialización co"&amp;"n la nueva oferta disponible y que se encuentra vigente. La presente socialización se realizará en el mes de mayo del 2023.")</f>
        <v>El 29 de septiembre de 2021, con participación de la JAL, se llevó a cabo un evento de presentación del proyecto de Vivienda Arboleda Santa Teresita, llevado a cabo en el CDC de la Victoria, en el cual 39 familias seleccionaron vivienda de reposición en dicho proyecto, siendo éste el único proyecto de vivienda disponible durante la vigencia 2021 en la localidad de San Cristóbal.
Adicional a esto, la Alcaldía le hizo la solicitud al vicepresidente de la JAL con el fin de volver a hacer una socialización con la nueva oferta disponible y que se encuentra vigente. La presente socialización se realizará en el mes de mayo del 2023.</v>
      </c>
      <c r="N2142" s="55">
        <f ca="1">IFERROR(__xludf.DUMMYFUNCTION("""COMPUTED_VALUE"""),44927)</f>
        <v>44927</v>
      </c>
      <c r="O2142" s="25" t="str">
        <f t="shared" ca="1" si="0"/>
        <v>Caja de Vivienda Popular</v>
      </c>
      <c r="P2142" s="25" t="str">
        <f t="shared" si="2"/>
        <v/>
      </c>
      <c r="Q2142" s="25" t="str">
        <f ca="1">IFERROR(__xludf.DUMMYFUNCTION("""COMPUTED_VALUE"""),"Corto plazo")</f>
        <v>Corto plazo</v>
      </c>
      <c r="R2142" s="25"/>
      <c r="S2142" s="55"/>
      <c r="T2142" s="56"/>
      <c r="U2142" s="25"/>
      <c r="V2142" s="25"/>
      <c r="W2142" s="25"/>
      <c r="X2142" s="25"/>
      <c r="Y2142" s="25"/>
      <c r="Z2142" s="25"/>
    </row>
    <row r="2143" spans="1:26" ht="52.5" customHeight="1" x14ac:dyDescent="0.25">
      <c r="A2143" s="25" t="str">
        <f ca="1">IFERROR(__xludf.DUMMYFUNCTION("""COMPUTED_VALUE"""),"Hábit41")</f>
        <v>Hábit41</v>
      </c>
      <c r="B2143" s="25" t="str">
        <f ca="1">IFERROR(__xludf.DUMMYFUNCTION("""COMPUTED_VALUE"""),"Recorrido San Cristóbal ")</f>
        <v xml:space="preserve">Recorrido San Cristóbal </v>
      </c>
      <c r="C2143" s="55">
        <f ca="1">IFERROR(__xludf.DUMMYFUNCTION("""COMPUTED_VALUE"""),44375)</f>
        <v>44375</v>
      </c>
      <c r="D2143" s="25" t="str">
        <f ca="1">IFERROR(__xludf.DUMMYFUNCTION("""COMPUTED_VALUE"""),"Hábitat")</f>
        <v>Hábitat</v>
      </c>
      <c r="E2143" s="25" t="str">
        <f ca="1">IFERROR(__xludf.DUMMYFUNCTION("""COMPUTED_VALUE"""),"Secretaría Distrital del Hábitat")</f>
        <v>Secretaría Distrital del Hábitat</v>
      </c>
      <c r="F2143" s="25" t="str">
        <f ca="1">IFERROR(__xludf.DUMMYFUNCTION("""COMPUTED_VALUE"""),"Pedirle a la Secretaría de Hábitat que asista a la JAL y explique el proyecto de construcción del cable aéreo y el programa de mejoramiento de barrios")</f>
        <v>Pedirle a la Secretaría de Hábitat que asista a la JAL y explique el proyecto de construcción del cable aéreo y el programa de mejoramiento de barrios</v>
      </c>
      <c r="G2143" s="55" t="str">
        <f ca="1">IFERROR(__xludf.DUMMYFUNCTION("""COMPUTED_VALUE"""),"04. San Cristóbal")</f>
        <v>04. San Cristóbal</v>
      </c>
      <c r="H2143" s="55">
        <f ca="1">IFERROR(__xludf.DUMMYFUNCTION("""COMPUTED_VALUE"""),44405)</f>
        <v>44405</v>
      </c>
      <c r="I2143" s="25"/>
      <c r="J2143" s="55" t="str">
        <f ca="1">IFERROR(__xludf.DUMMYFUNCTION("""COMPUTED_VALUE"""),"Alta")</f>
        <v>Alta</v>
      </c>
      <c r="K2143" s="25">
        <f ca="1">IFERROR(__xludf.DUMMYFUNCTION("""COMPUTED_VALUE"""),30)</f>
        <v>30</v>
      </c>
      <c r="L2143" s="62"/>
      <c r="M2143" s="25"/>
      <c r="N2143" s="55">
        <f ca="1">IFERROR(__xludf.DUMMYFUNCTION("""COMPUTED_VALUE"""),44927)</f>
        <v>44927</v>
      </c>
      <c r="O2143" s="25" t="str">
        <f t="shared" ca="1" si="0"/>
        <v>Secretaría Distrital del Hábitat</v>
      </c>
      <c r="P2143" s="25" t="str">
        <f t="shared" si="2"/>
        <v/>
      </c>
      <c r="Q2143" s="25" t="str">
        <f ca="1">IFERROR(__xludf.DUMMYFUNCTION("""COMPUTED_VALUE"""),"Corto plazo")</f>
        <v>Corto plazo</v>
      </c>
      <c r="R2143" s="25"/>
      <c r="S2143" s="55"/>
      <c r="T2143" s="56"/>
      <c r="U2143" s="25"/>
      <c r="V2143" s="25"/>
      <c r="W2143" s="25"/>
      <c r="X2143" s="25"/>
      <c r="Y2143" s="25"/>
      <c r="Z2143" s="25"/>
    </row>
    <row r="2144" spans="1:26" ht="52.5" customHeight="1" x14ac:dyDescent="0.25">
      <c r="A2144" s="25" t="str">
        <f ca="1">IFERROR(__xludf.DUMMYFUNCTION("""COMPUTED_VALUE"""),"Hábit42")</f>
        <v>Hábit42</v>
      </c>
      <c r="B2144" s="25" t="str">
        <f ca="1">IFERROR(__xludf.DUMMYFUNCTION("""COMPUTED_VALUE"""),"Recorrido San Cristóbal ")</f>
        <v xml:space="preserve">Recorrido San Cristóbal </v>
      </c>
      <c r="C2144" s="55">
        <f ca="1">IFERROR(__xludf.DUMMYFUNCTION("""COMPUTED_VALUE"""),44376)</f>
        <v>44376</v>
      </c>
      <c r="D2144" s="25" t="str">
        <f ca="1">IFERROR(__xludf.DUMMYFUNCTION("""COMPUTED_VALUE"""),"Hábitat")</f>
        <v>Hábitat</v>
      </c>
      <c r="E2144" s="25" t="str">
        <f ca="1">IFERROR(__xludf.DUMMYFUNCTION("""COMPUTED_VALUE"""),"Empresa de Acueducto y Alcantarillado de Bogotá")</f>
        <v>Empresa de Acueducto y Alcantarillado de Bogotá</v>
      </c>
      <c r="F2144" s="25" t="str">
        <f ca="1">IFERROR(__xludf.DUMMYFUNCTION("""COMPUTED_VALUE"""),"La EAAB debe trabajar en la adecuación de la ronda de Chiguaza, y mostrar los avances en la JAL.")</f>
        <v>La EAAB debe trabajar en la adecuación de la ronda de Chiguaza, y mostrar los avances en la JAL.</v>
      </c>
      <c r="G2144" s="55" t="str">
        <f ca="1">IFERROR(__xludf.DUMMYFUNCTION("""COMPUTED_VALUE"""),"04. San Cristóbal")</f>
        <v>04. San Cristóbal</v>
      </c>
      <c r="H2144" s="55">
        <f ca="1">IFERROR(__xludf.DUMMYFUNCTION("""COMPUTED_VALUE"""),44406)</f>
        <v>44406</v>
      </c>
      <c r="I2144" s="25"/>
      <c r="J2144" s="55" t="str">
        <f ca="1">IFERROR(__xludf.DUMMYFUNCTION("""COMPUTED_VALUE"""),"Alta")</f>
        <v>Alta</v>
      </c>
      <c r="K2144" s="25">
        <f ca="1">IFERROR(__xludf.DUMMYFUNCTION("""COMPUTED_VALUE"""),30)</f>
        <v>30</v>
      </c>
      <c r="L2144" s="62">
        <f ca="1">IFERROR(__xludf.DUMMYFUNCTION("""COMPUTED_VALUE"""),44956)</f>
        <v>44956</v>
      </c>
      <c r="M2144" s="25"/>
      <c r="N2144" s="55">
        <f ca="1">IFERROR(__xludf.DUMMYFUNCTION("""COMPUTED_VALUE"""),44927)</f>
        <v>44927</v>
      </c>
      <c r="O2144" s="25" t="str">
        <f t="shared" ca="1" si="0"/>
        <v>Empresa de Acueducto y Alcantarillado de Bogotá</v>
      </c>
      <c r="P2144" s="25" t="str">
        <f t="shared" si="2"/>
        <v/>
      </c>
      <c r="Q2144" s="25" t="str">
        <f ca="1">IFERROR(__xludf.DUMMYFUNCTION("""COMPUTED_VALUE"""),"Corto plazo")</f>
        <v>Corto plazo</v>
      </c>
      <c r="R2144" s="25"/>
      <c r="S2144" s="55"/>
      <c r="T2144" s="56"/>
      <c r="U2144" s="25"/>
      <c r="V2144" s="25"/>
      <c r="W2144" s="25"/>
      <c r="X2144" s="25"/>
      <c r="Y2144" s="25"/>
      <c r="Z2144" s="25"/>
    </row>
    <row r="2145" spans="1:26" ht="52.5" customHeight="1" x14ac:dyDescent="0.25">
      <c r="A2145" s="25" t="str">
        <f ca="1">IFERROR(__xludf.DUMMYFUNCTION("""COMPUTED_VALUE"""),"Hábit43")</f>
        <v>Hábit43</v>
      </c>
      <c r="B2145" s="25" t="str">
        <f ca="1">IFERROR(__xludf.DUMMYFUNCTION("""COMPUTED_VALUE"""),"Cable San Cristóbal")</f>
        <v>Cable San Cristóbal</v>
      </c>
      <c r="C2145" s="55">
        <f ca="1">IFERROR(__xludf.DUMMYFUNCTION("""COMPUTED_VALUE"""),44370)</f>
        <v>44370</v>
      </c>
      <c r="D2145" s="25" t="str">
        <f ca="1">IFERROR(__xludf.DUMMYFUNCTION("""COMPUTED_VALUE"""),"Hábitat")</f>
        <v>Hábitat</v>
      </c>
      <c r="E2145" s="25" t="str">
        <f ca="1">IFERROR(__xludf.DUMMYFUNCTION("""COMPUTED_VALUE"""),"Secretaría Distrital del Hábitat")</f>
        <v>Secretaría Distrital del Hábitat</v>
      </c>
      <c r="F2145" s="25" t="str">
        <f ca="1">IFERROR(__xludf.DUMMYFUNCTION("""COMPUTED_VALUE"""),"La Sec. de Hábitat debe hacer el Decreto de Anuncio del proyecto respecto al cable aéreo de San Cristóbal  y coordinar con Movilidad para la generación de los vistos buenos y se de inicio oportuno
 Todos los convenios jurídicos estarán a cargo de la Se"&amp;"c. de Habitat")</f>
        <v>La Sec. de Hábitat debe hacer el Decreto de Anuncio del proyecto respecto al cable aéreo de San Cristóbal  y coordinar con Movilidad para la generación de los vistos buenos y se de inicio oportuno
 Todos los convenios jurídicos estarán a cargo de la Sec. de Habitat</v>
      </c>
      <c r="G2145" s="55" t="str">
        <f ca="1">IFERROR(__xludf.DUMMYFUNCTION("""COMPUTED_VALUE"""),"04. San Cristóbal")</f>
        <v>04. San Cristóbal</v>
      </c>
      <c r="H2145" s="55">
        <f ca="1">IFERROR(__xludf.DUMMYFUNCTION("""COMPUTED_VALUE"""),44400)</f>
        <v>44400</v>
      </c>
      <c r="I2145" s="25"/>
      <c r="J2145" s="55" t="str">
        <f ca="1">IFERROR(__xludf.DUMMYFUNCTION("""COMPUTED_VALUE"""),"Alta")</f>
        <v>Alta</v>
      </c>
      <c r="K2145" s="25">
        <f ca="1">IFERROR(__xludf.DUMMYFUNCTION("""COMPUTED_VALUE"""),30)</f>
        <v>30</v>
      </c>
      <c r="L2145" s="62"/>
      <c r="M2145" s="25"/>
      <c r="N2145" s="55">
        <f ca="1">IFERROR(__xludf.DUMMYFUNCTION("""COMPUTED_VALUE"""),44927)</f>
        <v>44927</v>
      </c>
      <c r="O2145" s="25" t="str">
        <f t="shared" ca="1" si="0"/>
        <v>Secretaría Distrital del Hábitat</v>
      </c>
      <c r="P2145" s="25" t="str">
        <f t="shared" si="2"/>
        <v/>
      </c>
      <c r="Q2145" s="25" t="str">
        <f ca="1">IFERROR(__xludf.DUMMYFUNCTION("""COMPUTED_VALUE"""),"Corto plazo")</f>
        <v>Corto plazo</v>
      </c>
      <c r="R2145" s="25"/>
      <c r="S2145" s="55"/>
      <c r="T2145" s="56"/>
      <c r="U2145" s="25"/>
      <c r="V2145" s="25"/>
      <c r="W2145" s="25"/>
      <c r="X2145" s="25"/>
      <c r="Y2145" s="25"/>
      <c r="Z2145" s="25"/>
    </row>
    <row r="2146" spans="1:26" ht="52.5" customHeight="1" x14ac:dyDescent="0.25">
      <c r="A2146" s="25" t="str">
        <f ca="1">IFERROR(__xludf.DUMMYFUNCTION("""COMPUTED_VALUE"""),"Hábit44")</f>
        <v>Hábit44</v>
      </c>
      <c r="B2146" s="25" t="str">
        <f ca="1">IFERROR(__xludf.DUMMYFUNCTION("""COMPUTED_VALUE"""),"Cable San Cristóbal")</f>
        <v>Cable San Cristóbal</v>
      </c>
      <c r="C2146" s="55">
        <f ca="1">IFERROR(__xludf.DUMMYFUNCTION("""COMPUTED_VALUE"""),44370)</f>
        <v>44370</v>
      </c>
      <c r="D2146" s="25" t="str">
        <f ca="1">IFERROR(__xludf.DUMMYFUNCTION("""COMPUTED_VALUE"""),"Hábitat")</f>
        <v>Hábitat</v>
      </c>
      <c r="E2146" s="25" t="str">
        <f ca="1">IFERROR(__xludf.DUMMYFUNCTION("""COMPUTED_VALUE"""),"Secretaría Distrital del Hábitat")</f>
        <v>Secretaría Distrital del Hábitat</v>
      </c>
      <c r="F2146" s="25" t="str">
        <f ca="1">IFERROR(__xludf.DUMMYFUNCTION("""COMPUTED_VALUE"""),"Definir estimado de recursos para estudio y diseños de los equipamientos a crear en zona del cable de San Cristóbal para el año 2022 y 2023.")</f>
        <v>Definir estimado de recursos para estudio y diseños de los equipamientos a crear en zona del cable de San Cristóbal para el año 2022 y 2023.</v>
      </c>
      <c r="G2146" s="55" t="str">
        <f ca="1">IFERROR(__xludf.DUMMYFUNCTION("""COMPUTED_VALUE"""),"04. San Cristóbal")</f>
        <v>04. San Cristóbal</v>
      </c>
      <c r="H2146" s="55">
        <f ca="1">IFERROR(__xludf.DUMMYFUNCTION("""COMPUTED_VALUE"""),44400)</f>
        <v>44400</v>
      </c>
      <c r="I2146" s="25"/>
      <c r="J2146" s="55" t="str">
        <f ca="1">IFERROR(__xludf.DUMMYFUNCTION("""COMPUTED_VALUE"""),"Alta")</f>
        <v>Alta</v>
      </c>
      <c r="K2146" s="25">
        <f ca="1">IFERROR(__xludf.DUMMYFUNCTION("""COMPUTED_VALUE"""),30)</f>
        <v>30</v>
      </c>
      <c r="L2146" s="62"/>
      <c r="M2146" s="25"/>
      <c r="N2146" s="55">
        <f ca="1">IFERROR(__xludf.DUMMYFUNCTION("""COMPUTED_VALUE"""),44927)</f>
        <v>44927</v>
      </c>
      <c r="O2146" s="25" t="str">
        <f t="shared" ca="1" si="0"/>
        <v>Secretaría Distrital del Hábitat</v>
      </c>
      <c r="P2146" s="25" t="str">
        <f t="shared" si="2"/>
        <v/>
      </c>
      <c r="Q2146" s="25" t="str">
        <f ca="1">IFERROR(__xludf.DUMMYFUNCTION("""COMPUTED_VALUE"""),"Corto plazo")</f>
        <v>Corto plazo</v>
      </c>
      <c r="R2146" s="25"/>
      <c r="S2146" s="55"/>
      <c r="T2146" s="56"/>
      <c r="U2146" s="25"/>
      <c r="V2146" s="25"/>
      <c r="W2146" s="25"/>
      <c r="X2146" s="25"/>
      <c r="Y2146" s="25"/>
      <c r="Z2146" s="25"/>
    </row>
    <row r="2147" spans="1:26" ht="52.5" customHeight="1" x14ac:dyDescent="0.25">
      <c r="A2147" s="25" t="str">
        <f ca="1">IFERROR(__xludf.DUMMYFUNCTION("""COMPUTED_VALUE"""),"Hábit45")</f>
        <v>Hábit45</v>
      </c>
      <c r="B2147" s="25" t="str">
        <f ca="1">IFERROR(__xludf.DUMMYFUNCTION("""COMPUTED_VALUE"""),"Despachando desde la Caja de vivienda popular")</f>
        <v>Despachando desde la Caja de vivienda popular</v>
      </c>
      <c r="C2147" s="55">
        <f ca="1">IFERROR(__xludf.DUMMYFUNCTION("""COMPUTED_VALUE"""),44104)</f>
        <v>44104</v>
      </c>
      <c r="D2147" s="25" t="str">
        <f ca="1">IFERROR(__xludf.DUMMYFUNCTION("""COMPUTED_VALUE"""),"Hábitat")</f>
        <v>Hábitat</v>
      </c>
      <c r="E2147" s="25" t="str">
        <f ca="1">IFERROR(__xludf.DUMMYFUNCTION("""COMPUTED_VALUE"""),"Secretaría Distrital del Hábitat")</f>
        <v>Secretaría Distrital del Hábitat</v>
      </c>
      <c r="F2147" s="25" t="str">
        <f ca="1">IFERROR(__xludf.DUMMYFUNCTION("""COMPUTED_VALUE"""),"Priorizar y presentar como proyecto regional de regalías, el mejoramiento en Ciudad Bolívar para conseguir 46 mil millones que faltan para terminar todo el borde de Caracolí, Potosí, Santa Viviana y Ciudadela Sucre, para que quede todo el mejoramiento del"&amp;" territorio.")</f>
        <v>Priorizar y presentar como proyecto regional de regalías, el mejoramiento en Ciudad Bolívar para conseguir 46 mil millones que faltan para terminar todo el borde de Caracolí, Potosí, Santa Viviana y Ciudadela Sucre, para que quede todo el mejoramiento del territorio.</v>
      </c>
      <c r="G2147" s="25" t="str">
        <f ca="1">IFERROR(__xludf.DUMMYFUNCTION("""COMPUTED_VALUE"""),"99. Distrito")</f>
        <v>99. Distrito</v>
      </c>
      <c r="H2147" s="55">
        <f ca="1">IFERROR(__xludf.DUMMYFUNCTION("""COMPUTED_VALUE"""),44134)</f>
        <v>44134</v>
      </c>
      <c r="I2147" s="25"/>
      <c r="J2147" s="55" t="str">
        <f ca="1">IFERROR(__xludf.DUMMYFUNCTION("""COMPUTED_VALUE"""),"Alta")</f>
        <v>Alta</v>
      </c>
      <c r="K2147" s="25">
        <f ca="1">IFERROR(__xludf.DUMMYFUNCTION("""COMPUTED_VALUE"""),30)</f>
        <v>30</v>
      </c>
      <c r="L2147" s="62"/>
      <c r="M2147" s="25"/>
      <c r="N2147" s="55">
        <f ca="1">IFERROR(__xludf.DUMMYFUNCTION("""COMPUTED_VALUE"""),44927)</f>
        <v>44927</v>
      </c>
      <c r="O2147" s="25" t="str">
        <f t="shared" ca="1" si="0"/>
        <v>Secretaría Distrital del Hábitat</v>
      </c>
      <c r="P2147" s="25" t="str">
        <f t="shared" si="2"/>
        <v/>
      </c>
      <c r="Q2147" s="25" t="str">
        <f ca="1">IFERROR(__xludf.DUMMYFUNCTION("""COMPUTED_VALUE"""),"Corto plazo")</f>
        <v>Corto plazo</v>
      </c>
      <c r="R2147" s="25"/>
      <c r="S2147" s="55"/>
      <c r="T2147" s="56"/>
      <c r="U2147" s="25"/>
      <c r="V2147" s="25"/>
      <c r="W2147" s="25"/>
      <c r="X2147" s="25"/>
      <c r="Y2147" s="25"/>
      <c r="Z2147" s="25"/>
    </row>
    <row r="2148" spans="1:26" ht="52.5" customHeight="1" x14ac:dyDescent="0.25">
      <c r="A2148" s="25" t="str">
        <f ca="1">IFERROR(__xludf.DUMMYFUNCTION("""COMPUTED_VALUE"""),"Hábit46")</f>
        <v>Hábit46</v>
      </c>
      <c r="B2148" s="25" t="str">
        <f ca="1">IFERROR(__xludf.DUMMYFUNCTION("""COMPUTED_VALUE"""),"Despachando desde la Caja de vivienda popular")</f>
        <v>Despachando desde la Caja de vivienda popular</v>
      </c>
      <c r="C2148" s="55">
        <f ca="1">IFERROR(__xludf.DUMMYFUNCTION("""COMPUTED_VALUE"""),44104)</f>
        <v>44104</v>
      </c>
      <c r="D2148" s="25" t="str">
        <f ca="1">IFERROR(__xludf.DUMMYFUNCTION("""COMPUTED_VALUE"""),"Hábitat")</f>
        <v>Hábitat</v>
      </c>
      <c r="E2148" s="25" t="str">
        <f ca="1">IFERROR(__xludf.DUMMYFUNCTION("""COMPUTED_VALUE"""),"Secretaría Distrital del Hábitat")</f>
        <v>Secretaría Distrital del Hábitat</v>
      </c>
      <c r="F2148" s="25" t="str">
        <f ca="1">IFERROR(__xludf.DUMMYFUNCTION("""COMPUTED_VALUE"""),"Agendar una reunión con el alcalde de Suba para priorizar en las líneas de inversión de los presupuestos participativos del FDL, poder poner en conjunto el mejoramiento integral étnico.")</f>
        <v>Agendar una reunión con el alcalde de Suba para priorizar en las líneas de inversión de los presupuestos participativos del FDL, poder poner en conjunto el mejoramiento integral étnico.</v>
      </c>
      <c r="G2148" s="25" t="str">
        <f ca="1">IFERROR(__xludf.DUMMYFUNCTION("""COMPUTED_VALUE"""),"99. Distrito")</f>
        <v>99. Distrito</v>
      </c>
      <c r="H2148" s="55">
        <f ca="1">IFERROR(__xludf.DUMMYFUNCTION("""COMPUTED_VALUE"""),44134)</f>
        <v>44134</v>
      </c>
      <c r="I2148" s="25"/>
      <c r="J2148" s="55" t="str">
        <f ca="1">IFERROR(__xludf.DUMMYFUNCTION("""COMPUTED_VALUE"""),"Alta")</f>
        <v>Alta</v>
      </c>
      <c r="K2148" s="25">
        <f ca="1">IFERROR(__xludf.DUMMYFUNCTION("""COMPUTED_VALUE"""),30)</f>
        <v>30</v>
      </c>
      <c r="L2148" s="62"/>
      <c r="M2148" s="25"/>
      <c r="N2148" s="55">
        <f ca="1">IFERROR(__xludf.DUMMYFUNCTION("""COMPUTED_VALUE"""),44927)</f>
        <v>44927</v>
      </c>
      <c r="O2148" s="25" t="str">
        <f t="shared" ca="1" si="0"/>
        <v>Secretaría Distrital del Hábitat</v>
      </c>
      <c r="P2148" s="25" t="str">
        <f t="shared" si="2"/>
        <v/>
      </c>
      <c r="Q2148" s="25" t="str">
        <f ca="1">IFERROR(__xludf.DUMMYFUNCTION("""COMPUTED_VALUE"""),"Corto plazo")</f>
        <v>Corto plazo</v>
      </c>
      <c r="R2148" s="25"/>
      <c r="S2148" s="55"/>
      <c r="T2148" s="56"/>
      <c r="U2148" s="25"/>
      <c r="V2148" s="25"/>
      <c r="W2148" s="25"/>
      <c r="X2148" s="25"/>
      <c r="Y2148" s="25"/>
      <c r="Z2148" s="25"/>
    </row>
    <row r="2149" spans="1:26" ht="52.5" customHeight="1" x14ac:dyDescent="0.25">
      <c r="A2149" s="25" t="str">
        <f ca="1">IFERROR(__xludf.DUMMYFUNCTION("""COMPUTED_VALUE"""),"Hábit47")</f>
        <v>Hábit47</v>
      </c>
      <c r="B2149" s="25" t="str">
        <f ca="1">IFERROR(__xludf.DUMMYFUNCTION("""COMPUTED_VALUE"""),"Despachando desde la Unidad administrativa especial de servicios públicos - UAESP")</f>
        <v>Despachando desde la Unidad administrativa especial de servicios públicos - UAESP</v>
      </c>
      <c r="C2149" s="55">
        <f ca="1">IFERROR(__xludf.DUMMYFUNCTION("""COMPUTED_VALUE"""),44134)</f>
        <v>44134</v>
      </c>
      <c r="D2149" s="25" t="str">
        <f ca="1">IFERROR(__xludf.DUMMYFUNCTION("""COMPUTED_VALUE"""),"Hábitat")</f>
        <v>Hábitat</v>
      </c>
      <c r="E2149" s="25" t="str">
        <f ca="1">IFERROR(__xludf.DUMMYFUNCTION("""COMPUTED_VALUE"""),"Unidad Administrativa Especial de Servicios Públicos")</f>
        <v>Unidad Administrativa Especial de Servicios Públicos</v>
      </c>
      <c r="F2149" s="25" t="str">
        <f ca="1">IFERROR(__xludf.DUMMYFUNCTION("""COMPUTED_VALUE"""),"Coordinar que todas las troncales nuevas queden con iluminación LED")</f>
        <v>Coordinar que todas las troncales nuevas queden con iluminación LED</v>
      </c>
      <c r="G2149" s="25" t="str">
        <f ca="1">IFERROR(__xludf.DUMMYFUNCTION("""COMPUTED_VALUE"""),"99. Distrito")</f>
        <v>99. Distrito</v>
      </c>
      <c r="H2149" s="55">
        <f ca="1">IFERROR(__xludf.DUMMYFUNCTION("""COMPUTED_VALUE"""),44164)</f>
        <v>44164</v>
      </c>
      <c r="I2149" s="25"/>
      <c r="J2149" s="55" t="str">
        <f ca="1">IFERROR(__xludf.DUMMYFUNCTION("""COMPUTED_VALUE"""),"Alta")</f>
        <v>Alta</v>
      </c>
      <c r="K2149" s="25">
        <f ca="1">IFERROR(__xludf.DUMMYFUNCTION("""COMPUTED_VALUE"""),30)</f>
        <v>30</v>
      </c>
      <c r="L2149" s="62"/>
      <c r="M2149" s="25"/>
      <c r="N2149" s="55">
        <f ca="1">IFERROR(__xludf.DUMMYFUNCTION("""COMPUTED_VALUE"""),44927)</f>
        <v>44927</v>
      </c>
      <c r="O2149" s="25" t="str">
        <f t="shared" ca="1" si="0"/>
        <v>Unidad Administrativa Especial de Servicios Públicos</v>
      </c>
      <c r="P2149" s="25" t="str">
        <f t="shared" si="2"/>
        <v/>
      </c>
      <c r="Q2149" s="25" t="str">
        <f ca="1">IFERROR(__xludf.DUMMYFUNCTION("""COMPUTED_VALUE"""),"Corto plazo")</f>
        <v>Corto plazo</v>
      </c>
      <c r="R2149" s="25"/>
      <c r="S2149" s="55"/>
      <c r="T2149" s="56"/>
      <c r="U2149" s="25"/>
      <c r="V2149" s="25"/>
      <c r="W2149" s="25"/>
      <c r="X2149" s="25"/>
      <c r="Y2149" s="25"/>
      <c r="Z2149" s="25"/>
    </row>
    <row r="2150" spans="1:26" ht="52.5" customHeight="1" x14ac:dyDescent="0.25">
      <c r="A2150" s="25" t="str">
        <f ca="1">IFERROR(__xludf.DUMMYFUNCTION("""COMPUTED_VALUE"""),"Hábit48")</f>
        <v>Hábit48</v>
      </c>
      <c r="B2150" s="25" t="str">
        <f ca="1">IFERROR(__xludf.DUMMYFUNCTION("""COMPUTED_VALUE"""),"Despachando desde la Unidad administrativa especial de servicios públicos - UAESP")</f>
        <v>Despachando desde la Unidad administrativa especial de servicios públicos - UAESP</v>
      </c>
      <c r="C2150" s="55">
        <f ca="1">IFERROR(__xludf.DUMMYFUNCTION("""COMPUTED_VALUE"""),44134)</f>
        <v>44134</v>
      </c>
      <c r="D2150" s="25" t="str">
        <f ca="1">IFERROR(__xludf.DUMMYFUNCTION("""COMPUTED_VALUE"""),"Hábitat")</f>
        <v>Hábitat</v>
      </c>
      <c r="E2150" s="25" t="str">
        <f ca="1">IFERROR(__xludf.DUMMYFUNCTION("""COMPUTED_VALUE"""),"Unidad Administrativa Especial de Servicios Públicos")</f>
        <v>Unidad Administrativa Especial de Servicios Públicos</v>
      </c>
      <c r="F2150" s="25" t="str">
        <f ca="1">IFERROR(__xludf.DUMMYFUNCTION("""COMPUTED_VALUE"""),"Cambiar o potenciar las bombillas de todas las ciclorrutas existentes, y poner bombillas LED en las nuevas")</f>
        <v>Cambiar o potenciar las bombillas de todas las ciclorrutas existentes, y poner bombillas LED en las nuevas</v>
      </c>
      <c r="G2150" s="25" t="str">
        <f ca="1">IFERROR(__xludf.DUMMYFUNCTION("""COMPUTED_VALUE"""),"99. Distrito")</f>
        <v>99. Distrito</v>
      </c>
      <c r="H2150" s="55">
        <f ca="1">IFERROR(__xludf.DUMMYFUNCTION("""COMPUTED_VALUE"""),44164)</f>
        <v>44164</v>
      </c>
      <c r="I2150" s="25"/>
      <c r="J2150" s="55" t="str">
        <f ca="1">IFERROR(__xludf.DUMMYFUNCTION("""COMPUTED_VALUE"""),"Alta")</f>
        <v>Alta</v>
      </c>
      <c r="K2150" s="25">
        <f ca="1">IFERROR(__xludf.DUMMYFUNCTION("""COMPUTED_VALUE"""),30)</f>
        <v>30</v>
      </c>
      <c r="L2150" s="62"/>
      <c r="M2150" s="25"/>
      <c r="N2150" s="55">
        <f ca="1">IFERROR(__xludf.DUMMYFUNCTION("""COMPUTED_VALUE"""),44927)</f>
        <v>44927</v>
      </c>
      <c r="O2150" s="25" t="str">
        <f t="shared" ca="1" si="0"/>
        <v>Unidad Administrativa Especial de Servicios Públicos</v>
      </c>
      <c r="P2150" s="25" t="str">
        <f t="shared" si="2"/>
        <v/>
      </c>
      <c r="Q2150" s="25" t="str">
        <f ca="1">IFERROR(__xludf.DUMMYFUNCTION("""COMPUTED_VALUE"""),"Corto plazo")</f>
        <v>Corto plazo</v>
      </c>
      <c r="R2150" s="25"/>
      <c r="S2150" s="55"/>
      <c r="T2150" s="56"/>
      <c r="U2150" s="25"/>
      <c r="V2150" s="25"/>
      <c r="W2150" s="25"/>
      <c r="X2150" s="25"/>
      <c r="Y2150" s="25"/>
      <c r="Z2150" s="25"/>
    </row>
    <row r="2151" spans="1:26" ht="52.5" customHeight="1" x14ac:dyDescent="0.25">
      <c r="A2151" s="25" t="str">
        <f ca="1">IFERROR(__xludf.DUMMYFUNCTION("""COMPUTED_VALUE"""),"Hábit49")</f>
        <v>Hábit49</v>
      </c>
      <c r="B2151" s="25" t="str">
        <f ca="1">IFERROR(__xludf.DUMMYFUNCTION("""COMPUTED_VALUE"""),"Despachando desde la Unidad administrativa especial de servicios públicos - UAESP")</f>
        <v>Despachando desde la Unidad administrativa especial de servicios públicos - UAESP</v>
      </c>
      <c r="C2151" s="55">
        <f ca="1">IFERROR(__xludf.DUMMYFUNCTION("""COMPUTED_VALUE"""),44134)</f>
        <v>44134</v>
      </c>
      <c r="D2151" s="25" t="str">
        <f ca="1">IFERROR(__xludf.DUMMYFUNCTION("""COMPUTED_VALUE"""),"Hábitat")</f>
        <v>Hábitat</v>
      </c>
      <c r="E2151" s="25" t="str">
        <f ca="1">IFERROR(__xludf.DUMMYFUNCTION("""COMPUTED_VALUE"""),"Unidad Administrativa Especial de Servicios Públicos")</f>
        <v>Unidad Administrativa Especial de Servicios Públicos</v>
      </c>
      <c r="F2151" s="25" t="str">
        <f ca="1">IFERROR(__xludf.DUMMYFUNCTION("""COMPUTED_VALUE"""),"Ubicar dos puntos -en la región, para la planta de aprovechamiento")</f>
        <v>Ubicar dos puntos -en la región, para la planta de aprovechamiento</v>
      </c>
      <c r="G2151" s="25" t="str">
        <f ca="1">IFERROR(__xludf.DUMMYFUNCTION("""COMPUTED_VALUE"""),"99. Distrito")</f>
        <v>99. Distrito</v>
      </c>
      <c r="H2151" s="55">
        <f ca="1">IFERROR(__xludf.DUMMYFUNCTION("""COMPUTED_VALUE"""),44164)</f>
        <v>44164</v>
      </c>
      <c r="I2151" s="25"/>
      <c r="J2151" s="55" t="str">
        <f ca="1">IFERROR(__xludf.DUMMYFUNCTION("""COMPUTED_VALUE"""),"Alta")</f>
        <v>Alta</v>
      </c>
      <c r="K2151" s="25">
        <f ca="1">IFERROR(__xludf.DUMMYFUNCTION("""COMPUTED_VALUE"""),30)</f>
        <v>30</v>
      </c>
      <c r="L2151" s="62"/>
      <c r="M2151" s="25"/>
      <c r="N2151" s="55">
        <f ca="1">IFERROR(__xludf.DUMMYFUNCTION("""COMPUTED_VALUE"""),44927)</f>
        <v>44927</v>
      </c>
      <c r="O2151" s="25" t="str">
        <f t="shared" ca="1" si="0"/>
        <v>Unidad Administrativa Especial de Servicios Públicos</v>
      </c>
      <c r="P2151" s="25" t="str">
        <f t="shared" si="2"/>
        <v/>
      </c>
      <c r="Q2151" s="25" t="str">
        <f ca="1">IFERROR(__xludf.DUMMYFUNCTION("""COMPUTED_VALUE"""),"Corto plazo")</f>
        <v>Corto plazo</v>
      </c>
      <c r="R2151" s="25"/>
      <c r="S2151" s="55"/>
      <c r="T2151" s="56"/>
      <c r="U2151" s="25"/>
      <c r="V2151" s="25"/>
      <c r="W2151" s="25"/>
      <c r="X2151" s="25"/>
      <c r="Y2151" s="25"/>
      <c r="Z2151" s="25"/>
    </row>
    <row r="2152" spans="1:26" ht="52.5" customHeight="1" x14ac:dyDescent="0.25">
      <c r="A2152" s="25" t="str">
        <f ca="1">IFERROR(__xludf.DUMMYFUNCTION("""COMPUTED_VALUE"""),"Hábit50")</f>
        <v>Hábit50</v>
      </c>
      <c r="B2152" s="25" t="str">
        <f ca="1">IFERROR(__xludf.DUMMYFUNCTION("""COMPUTED_VALUE"""),"Despachando desde la Unidad administrativa especial de servicios públicos - UAESP")</f>
        <v>Despachando desde la Unidad administrativa especial de servicios públicos - UAESP</v>
      </c>
      <c r="C2152" s="55">
        <f ca="1">IFERROR(__xludf.DUMMYFUNCTION("""COMPUTED_VALUE"""),44134)</f>
        <v>44134</v>
      </c>
      <c r="D2152" s="25" t="str">
        <f ca="1">IFERROR(__xludf.DUMMYFUNCTION("""COMPUTED_VALUE"""),"Hábitat")</f>
        <v>Hábitat</v>
      </c>
      <c r="E2152" s="25" t="str">
        <f ca="1">IFERROR(__xludf.DUMMYFUNCTION("""COMPUTED_VALUE"""),"Unidad Administrativa Especial de Servicios Públicos")</f>
        <v>Unidad Administrativa Especial de Servicios Públicos</v>
      </c>
      <c r="F2152" s="25" t="str">
        <f ca="1">IFERROR(__xludf.DUMMYFUNCTION("""COMPUTED_VALUE"""),"Revisar las herramientas jurídicas para extender los horarios de las bodegas privadas")</f>
        <v>Revisar las herramientas jurídicas para extender los horarios de las bodegas privadas</v>
      </c>
      <c r="G2152" s="25" t="str">
        <f ca="1">IFERROR(__xludf.DUMMYFUNCTION("""COMPUTED_VALUE"""),"99. Distrito")</f>
        <v>99. Distrito</v>
      </c>
      <c r="H2152" s="55">
        <f ca="1">IFERROR(__xludf.DUMMYFUNCTION("""COMPUTED_VALUE"""),44164)</f>
        <v>44164</v>
      </c>
      <c r="I2152" s="25"/>
      <c r="J2152" s="55" t="str">
        <f ca="1">IFERROR(__xludf.DUMMYFUNCTION("""COMPUTED_VALUE"""),"Alta")</f>
        <v>Alta</v>
      </c>
      <c r="K2152" s="25">
        <f ca="1">IFERROR(__xludf.DUMMYFUNCTION("""COMPUTED_VALUE"""),30)</f>
        <v>30</v>
      </c>
      <c r="L2152" s="62"/>
      <c r="M2152" s="25"/>
      <c r="N2152" s="55">
        <f ca="1">IFERROR(__xludf.DUMMYFUNCTION("""COMPUTED_VALUE"""),44927)</f>
        <v>44927</v>
      </c>
      <c r="O2152" s="25" t="str">
        <f t="shared" ca="1" si="0"/>
        <v>Unidad Administrativa Especial de Servicios Públicos</v>
      </c>
      <c r="P2152" s="25" t="str">
        <f t="shared" si="2"/>
        <v/>
      </c>
      <c r="Q2152" s="25" t="str">
        <f ca="1">IFERROR(__xludf.DUMMYFUNCTION("""COMPUTED_VALUE"""),"Corto plazo")</f>
        <v>Corto plazo</v>
      </c>
      <c r="R2152" s="25"/>
      <c r="S2152" s="55"/>
      <c r="T2152" s="56"/>
      <c r="U2152" s="25"/>
      <c r="V2152" s="25"/>
      <c r="W2152" s="25"/>
      <c r="X2152" s="25"/>
      <c r="Y2152" s="25"/>
      <c r="Z2152" s="25"/>
    </row>
    <row r="2153" spans="1:26" ht="52.5" customHeight="1" x14ac:dyDescent="0.25">
      <c r="A2153" s="25" t="str">
        <f ca="1">IFERROR(__xludf.DUMMYFUNCTION("""COMPUTED_VALUE"""),"Hábit51")</f>
        <v>Hábit51</v>
      </c>
      <c r="B2153" s="25" t="str">
        <f ca="1">IFERROR(__xludf.DUMMYFUNCTION("""COMPUTED_VALUE"""),"Despachando desde la Unidad administrativa especial de servicios públicos - UAESP")</f>
        <v>Despachando desde la Unidad administrativa especial de servicios públicos - UAESP</v>
      </c>
      <c r="C2153" s="55">
        <f ca="1">IFERROR(__xludf.DUMMYFUNCTION("""COMPUTED_VALUE"""),44134)</f>
        <v>44134</v>
      </c>
      <c r="D2153" s="25" t="str">
        <f ca="1">IFERROR(__xludf.DUMMYFUNCTION("""COMPUTED_VALUE"""),"Hábitat")</f>
        <v>Hábitat</v>
      </c>
      <c r="E2153" s="25" t="str">
        <f ca="1">IFERROR(__xludf.DUMMYFUNCTION("""COMPUTED_VALUE"""),"Secretaría Distrital del Hábitat")</f>
        <v>Secretaría Distrital del Hábitat</v>
      </c>
      <c r="F2153" s="25" t="str">
        <f ca="1">IFERROR(__xludf.DUMMYFUNCTION("""COMPUTED_VALUE"""),"Trabajar en la modificación de los contratos con los operadores de aseo")</f>
        <v>Trabajar en la modificación de los contratos con los operadores de aseo</v>
      </c>
      <c r="G2153" s="25" t="str">
        <f ca="1">IFERROR(__xludf.DUMMYFUNCTION("""COMPUTED_VALUE"""),"99. Distrito")</f>
        <v>99. Distrito</v>
      </c>
      <c r="H2153" s="55">
        <f ca="1">IFERROR(__xludf.DUMMYFUNCTION("""COMPUTED_VALUE"""),44164)</f>
        <v>44164</v>
      </c>
      <c r="I2153" s="25"/>
      <c r="J2153" s="55" t="str">
        <f ca="1">IFERROR(__xludf.DUMMYFUNCTION("""COMPUTED_VALUE"""),"Alta")</f>
        <v>Alta</v>
      </c>
      <c r="K2153" s="25">
        <f ca="1">IFERROR(__xludf.DUMMYFUNCTION("""COMPUTED_VALUE"""),30)</f>
        <v>30</v>
      </c>
      <c r="L2153" s="62"/>
      <c r="M2153" s="25"/>
      <c r="N2153" s="55">
        <f ca="1">IFERROR(__xludf.DUMMYFUNCTION("""COMPUTED_VALUE"""),44927)</f>
        <v>44927</v>
      </c>
      <c r="O2153" s="25" t="str">
        <f t="shared" ca="1" si="0"/>
        <v>Secretaría Distrital del Hábitat</v>
      </c>
      <c r="P2153" s="25" t="str">
        <f t="shared" si="2"/>
        <v/>
      </c>
      <c r="Q2153" s="25" t="str">
        <f ca="1">IFERROR(__xludf.DUMMYFUNCTION("""COMPUTED_VALUE"""),"Corto plazo")</f>
        <v>Corto plazo</v>
      </c>
      <c r="R2153" s="25"/>
      <c r="S2153" s="55"/>
      <c r="T2153" s="56"/>
      <c r="U2153" s="25"/>
      <c r="V2153" s="25"/>
      <c r="W2153" s="25"/>
      <c r="X2153" s="25"/>
      <c r="Y2153" s="25"/>
      <c r="Z2153" s="25"/>
    </row>
    <row r="2154" spans="1:26" ht="52.5" customHeight="1" x14ac:dyDescent="0.25">
      <c r="A2154" s="25" t="str">
        <f ca="1">IFERROR(__xludf.DUMMYFUNCTION("""COMPUTED_VALUE"""),"Hábit52")</f>
        <v>Hábit52</v>
      </c>
      <c r="B2154" s="25" t="str">
        <f ca="1">IFERROR(__xludf.DUMMYFUNCTION("""COMPUTED_VALUE"""),"Despachando desde la Unidad administrativa especial de servicios públicos - UAESP")</f>
        <v>Despachando desde la Unidad administrativa especial de servicios públicos - UAESP</v>
      </c>
      <c r="C2154" s="55">
        <f ca="1">IFERROR(__xludf.DUMMYFUNCTION("""COMPUTED_VALUE"""),44134)</f>
        <v>44134</v>
      </c>
      <c r="D2154" s="25" t="str">
        <f ca="1">IFERROR(__xludf.DUMMYFUNCTION("""COMPUTED_VALUE"""),"Hábitat")</f>
        <v>Hábitat</v>
      </c>
      <c r="E2154" s="25" t="str">
        <f ca="1">IFERROR(__xludf.DUMMYFUNCTION("""COMPUTED_VALUE"""),"Unidad Administrativa Especial de Servicios Públicos")</f>
        <v>Unidad Administrativa Especial de Servicios Públicos</v>
      </c>
      <c r="F2154" s="25" t="str">
        <f ca="1">IFERROR(__xludf.DUMMYFUNCTION("""COMPUTED_VALUE"""),"Poner en funcionamiento la planta EAAB cerca a Mochuelo")</f>
        <v>Poner en funcionamiento la planta EAAB cerca a Mochuelo</v>
      </c>
      <c r="G2154" s="25" t="str">
        <f ca="1">IFERROR(__xludf.DUMMYFUNCTION("""COMPUTED_VALUE"""),"99. Distrito")</f>
        <v>99. Distrito</v>
      </c>
      <c r="H2154" s="55">
        <f ca="1">IFERROR(__xludf.DUMMYFUNCTION("""COMPUTED_VALUE"""),44164)</f>
        <v>44164</v>
      </c>
      <c r="I2154" s="25"/>
      <c r="J2154" s="55" t="str">
        <f ca="1">IFERROR(__xludf.DUMMYFUNCTION("""COMPUTED_VALUE"""),"Alta")</f>
        <v>Alta</v>
      </c>
      <c r="K2154" s="25">
        <f ca="1">IFERROR(__xludf.DUMMYFUNCTION("""COMPUTED_VALUE"""),30)</f>
        <v>30</v>
      </c>
      <c r="L2154" s="62"/>
      <c r="M2154" s="25"/>
      <c r="N2154" s="55">
        <f ca="1">IFERROR(__xludf.DUMMYFUNCTION("""COMPUTED_VALUE"""),44927)</f>
        <v>44927</v>
      </c>
      <c r="O2154" s="25" t="str">
        <f t="shared" ca="1" si="0"/>
        <v>Unidad Administrativa Especial de Servicios Públicos</v>
      </c>
      <c r="P2154" s="25" t="str">
        <f t="shared" si="2"/>
        <v/>
      </c>
      <c r="Q2154" s="25" t="str">
        <f ca="1">IFERROR(__xludf.DUMMYFUNCTION("""COMPUTED_VALUE"""),"Corto plazo")</f>
        <v>Corto plazo</v>
      </c>
      <c r="R2154" s="25"/>
      <c r="S2154" s="55"/>
      <c r="T2154" s="56"/>
      <c r="U2154" s="25"/>
      <c r="V2154" s="25"/>
      <c r="W2154" s="25"/>
      <c r="X2154" s="25"/>
      <c r="Y2154" s="25"/>
      <c r="Z2154" s="25"/>
    </row>
    <row r="2155" spans="1:26" ht="52.5" customHeight="1" x14ac:dyDescent="0.25">
      <c r="A2155" s="25" t="str">
        <f ca="1">IFERROR(__xludf.DUMMYFUNCTION("""COMPUTED_VALUE"""),"Hábit53")</f>
        <v>Hábit53</v>
      </c>
      <c r="B2155" s="25" t="str">
        <f ca="1">IFERROR(__xludf.DUMMYFUNCTION("""COMPUTED_VALUE"""),"Despachando desde la Unidad administrativa especial de servicios públicos - UAESP")</f>
        <v>Despachando desde la Unidad administrativa especial de servicios públicos - UAESP</v>
      </c>
      <c r="C2155" s="55">
        <f ca="1">IFERROR(__xludf.DUMMYFUNCTION("""COMPUTED_VALUE"""),44134)</f>
        <v>44134</v>
      </c>
      <c r="D2155" s="25" t="str">
        <f ca="1">IFERROR(__xludf.DUMMYFUNCTION("""COMPUTED_VALUE"""),"Hábitat")</f>
        <v>Hábitat</v>
      </c>
      <c r="E2155" s="25" t="str">
        <f ca="1">IFERROR(__xludf.DUMMYFUNCTION("""COMPUTED_VALUE"""),"Unidad Administrativa Especial de Servicios Públicos")</f>
        <v>Unidad Administrativa Especial de Servicios Públicos</v>
      </c>
      <c r="F2155" s="25" t="str">
        <f ca="1">IFERROR(__xludf.DUMMYFUNCTION("""COMPUTED_VALUE"""),"Continuar las capacitaciones para mejorar ejercicio de separación en la fuente")</f>
        <v>Continuar las capacitaciones para mejorar ejercicio de separación en la fuente</v>
      </c>
      <c r="G2155" s="25" t="str">
        <f ca="1">IFERROR(__xludf.DUMMYFUNCTION("""COMPUTED_VALUE"""),"99. Distrito")</f>
        <v>99. Distrito</v>
      </c>
      <c r="H2155" s="55">
        <f ca="1">IFERROR(__xludf.DUMMYFUNCTION("""COMPUTED_VALUE"""),44164)</f>
        <v>44164</v>
      </c>
      <c r="I2155" s="25"/>
      <c r="J2155" s="55" t="str">
        <f ca="1">IFERROR(__xludf.DUMMYFUNCTION("""COMPUTED_VALUE"""),"Alta")</f>
        <v>Alta</v>
      </c>
      <c r="K2155" s="25">
        <f ca="1">IFERROR(__xludf.DUMMYFUNCTION("""COMPUTED_VALUE"""),30)</f>
        <v>30</v>
      </c>
      <c r="L2155" s="62"/>
      <c r="M2155" s="25"/>
      <c r="N2155" s="55">
        <f ca="1">IFERROR(__xludf.DUMMYFUNCTION("""COMPUTED_VALUE"""),44927)</f>
        <v>44927</v>
      </c>
      <c r="O2155" s="25" t="str">
        <f t="shared" ca="1" si="0"/>
        <v>Unidad Administrativa Especial de Servicios Públicos</v>
      </c>
      <c r="P2155" s="25" t="str">
        <f t="shared" si="2"/>
        <v/>
      </c>
      <c r="Q2155" s="25" t="str">
        <f ca="1">IFERROR(__xludf.DUMMYFUNCTION("""COMPUTED_VALUE"""),"Corto plazo")</f>
        <v>Corto plazo</v>
      </c>
      <c r="R2155" s="25"/>
      <c r="S2155" s="55"/>
      <c r="T2155" s="56"/>
      <c r="U2155" s="25"/>
      <c r="V2155" s="25"/>
      <c r="W2155" s="25"/>
      <c r="X2155" s="25"/>
      <c r="Y2155" s="25"/>
      <c r="Z2155" s="25"/>
    </row>
    <row r="2156" spans="1:26" ht="52.5" customHeight="1" x14ac:dyDescent="0.25">
      <c r="A2156" s="25" t="str">
        <f ca="1">IFERROR(__xludf.DUMMYFUNCTION("""COMPUTED_VALUE"""),"Hábit54")</f>
        <v>Hábit54</v>
      </c>
      <c r="B2156" s="25" t="str">
        <f ca="1">IFERROR(__xludf.DUMMYFUNCTION("""COMPUTED_VALUE"""),"Despachando desde la Unidad administrativa especial de servicios públicos - UAESP")</f>
        <v>Despachando desde la Unidad administrativa especial de servicios públicos - UAESP</v>
      </c>
      <c r="C2156" s="55">
        <f ca="1">IFERROR(__xludf.DUMMYFUNCTION("""COMPUTED_VALUE"""),44134)</f>
        <v>44134</v>
      </c>
      <c r="D2156" s="25" t="str">
        <f ca="1">IFERROR(__xludf.DUMMYFUNCTION("""COMPUTED_VALUE"""),"Hábitat")</f>
        <v>Hábitat</v>
      </c>
      <c r="E2156" s="25" t="str">
        <f ca="1">IFERROR(__xludf.DUMMYFUNCTION("""COMPUTED_VALUE"""),"Unidad Administrativa Especial de Servicios Públicos")</f>
        <v>Unidad Administrativa Especial de Servicios Públicos</v>
      </c>
      <c r="F2156" s="25" t="str">
        <f ca="1">IFERROR(__xludf.DUMMYFUNCTION("""COMPUTED_VALUE"""),"Migrar del sistema único de Enterramiento hacia el tratamiento de residuos - Contratar consultorías.")</f>
        <v>Migrar del sistema único de Enterramiento hacia el tratamiento de residuos - Contratar consultorías.</v>
      </c>
      <c r="G2156" s="25" t="str">
        <f ca="1">IFERROR(__xludf.DUMMYFUNCTION("""COMPUTED_VALUE"""),"99. Distrito")</f>
        <v>99. Distrito</v>
      </c>
      <c r="H2156" s="55">
        <f ca="1">IFERROR(__xludf.DUMMYFUNCTION("""COMPUTED_VALUE"""),44164)</f>
        <v>44164</v>
      </c>
      <c r="I2156" s="25"/>
      <c r="J2156" s="55" t="str">
        <f ca="1">IFERROR(__xludf.DUMMYFUNCTION("""COMPUTED_VALUE"""),"Alta")</f>
        <v>Alta</v>
      </c>
      <c r="K2156" s="25">
        <f ca="1">IFERROR(__xludf.DUMMYFUNCTION("""COMPUTED_VALUE"""),30)</f>
        <v>30</v>
      </c>
      <c r="L2156" s="62"/>
      <c r="M2156" s="25"/>
      <c r="N2156" s="55">
        <f ca="1">IFERROR(__xludf.DUMMYFUNCTION("""COMPUTED_VALUE"""),44927)</f>
        <v>44927</v>
      </c>
      <c r="O2156" s="25" t="str">
        <f t="shared" ca="1" si="0"/>
        <v>Unidad Administrativa Especial de Servicios Públicos</v>
      </c>
      <c r="P2156" s="25" t="str">
        <f t="shared" si="2"/>
        <v/>
      </c>
      <c r="Q2156" s="25" t="str">
        <f ca="1">IFERROR(__xludf.DUMMYFUNCTION("""COMPUTED_VALUE"""),"Corto plazo")</f>
        <v>Corto plazo</v>
      </c>
      <c r="R2156" s="25"/>
      <c r="S2156" s="55"/>
      <c r="T2156" s="56"/>
      <c r="U2156" s="25"/>
      <c r="V2156" s="25"/>
      <c r="W2156" s="25"/>
      <c r="X2156" s="25"/>
      <c r="Y2156" s="25"/>
      <c r="Z2156" s="25"/>
    </row>
    <row r="2157" spans="1:26" ht="52.5" customHeight="1" x14ac:dyDescent="0.25">
      <c r="A2157" s="25" t="str">
        <f ca="1">IFERROR(__xludf.DUMMYFUNCTION("""COMPUTED_VALUE"""),"Hábit55")</f>
        <v>Hábit55</v>
      </c>
      <c r="B2157" s="25" t="str">
        <f ca="1">IFERROR(__xludf.DUMMYFUNCTION("""COMPUTED_VALUE"""),"Despachando desde el Grupo de energía de Bogotá - GEB")</f>
        <v>Despachando desde el Grupo de energía de Bogotá - GEB</v>
      </c>
      <c r="C2157" s="55">
        <f ca="1">IFERROR(__xludf.DUMMYFUNCTION("""COMPUTED_VALUE"""),44148)</f>
        <v>44148</v>
      </c>
      <c r="D2157" s="25" t="str">
        <f ca="1">IFERROR(__xludf.DUMMYFUNCTION("""COMPUTED_VALUE"""),"Hábitat")</f>
        <v>Hábitat</v>
      </c>
      <c r="E2157" s="25" t="str">
        <f ca="1">IFERROR(__xludf.DUMMYFUNCTION("""COMPUTED_VALUE"""),"Caja de Vivienda Popular")</f>
        <v>Caja de Vivienda Popular</v>
      </c>
      <c r="F2157" s="25" t="str">
        <f ca="1">IFERROR(__xludf.DUMMYFUNCTION("""COMPUTED_VALUE"""),"Trabajar en la electrificación de la flota de taxis y la reconversión de la flota de carga")</f>
        <v>Trabajar en la electrificación de la flota de taxis y la reconversión de la flota de carga</v>
      </c>
      <c r="G2157" s="25" t="str">
        <f ca="1">IFERROR(__xludf.DUMMYFUNCTION("""COMPUTED_VALUE"""),"99. Distrito")</f>
        <v>99. Distrito</v>
      </c>
      <c r="H2157" s="55">
        <f ca="1">IFERROR(__xludf.DUMMYFUNCTION("""COMPUTED_VALUE"""),44178)</f>
        <v>44178</v>
      </c>
      <c r="I2157" s="25"/>
      <c r="J2157" s="55" t="str">
        <f ca="1">IFERROR(__xludf.DUMMYFUNCTION("""COMPUTED_VALUE"""),"Alta")</f>
        <v>Alta</v>
      </c>
      <c r="K2157" s="25">
        <f ca="1">IFERROR(__xludf.DUMMYFUNCTION("""COMPUTED_VALUE"""),30)</f>
        <v>30</v>
      </c>
      <c r="L2157" s="62"/>
      <c r="M2157" s="25"/>
      <c r="N2157" s="55">
        <f ca="1">IFERROR(__xludf.DUMMYFUNCTION("""COMPUTED_VALUE"""),44927)</f>
        <v>44927</v>
      </c>
      <c r="O2157" s="25" t="str">
        <f t="shared" ca="1" si="0"/>
        <v>Caja de Vivienda Popular</v>
      </c>
      <c r="P2157" s="25" t="str">
        <f t="shared" si="2"/>
        <v/>
      </c>
      <c r="Q2157" s="25" t="str">
        <f ca="1">IFERROR(__xludf.DUMMYFUNCTION("""COMPUTED_VALUE"""),"Corto plazo")</f>
        <v>Corto plazo</v>
      </c>
      <c r="R2157" s="25"/>
      <c r="S2157" s="55"/>
      <c r="T2157" s="56"/>
      <c r="U2157" s="25"/>
      <c r="V2157" s="25"/>
      <c r="W2157" s="25"/>
      <c r="X2157" s="25"/>
      <c r="Y2157" s="25"/>
      <c r="Z2157" s="25"/>
    </row>
    <row r="2158" spans="1:26" ht="52.5" customHeight="1" x14ac:dyDescent="0.25">
      <c r="A2158" s="25" t="str">
        <f ca="1">IFERROR(__xludf.DUMMYFUNCTION("""COMPUTED_VALUE"""),"Hábit56")</f>
        <v>Hábit56</v>
      </c>
      <c r="B2158" s="25" t="str">
        <f ca="1">IFERROR(__xludf.DUMMYFUNCTION("""COMPUTED_VALUE"""),"Despachando desde el Grupo de energía de Bogotá - GEB")</f>
        <v>Despachando desde el Grupo de energía de Bogotá - GEB</v>
      </c>
      <c r="C2158" s="55">
        <f ca="1">IFERROR(__xludf.DUMMYFUNCTION("""COMPUTED_VALUE"""),44148)</f>
        <v>44148</v>
      </c>
      <c r="D2158" s="25" t="str">
        <f ca="1">IFERROR(__xludf.DUMMYFUNCTION("""COMPUTED_VALUE"""),"Hábitat")</f>
        <v>Hábitat</v>
      </c>
      <c r="E2158" s="25" t="str">
        <f ca="1">IFERROR(__xludf.DUMMYFUNCTION("""COMPUTED_VALUE"""),"Secretaría Distrital del Hábitat")</f>
        <v>Secretaría Distrital del Hábitat</v>
      </c>
      <c r="F2158" s="25" t="str">
        <f ca="1">IFERROR(__xludf.DUMMYFUNCTION("""COMPUTED_VALUE"""),"Programar viaje a Alemania en 2021, para hacer explícito el interés de Bogotá en ser parte de la transformación a hidrógeno")</f>
        <v>Programar viaje a Alemania en 2021, para hacer explícito el interés de Bogotá en ser parte de la transformación a hidrógeno</v>
      </c>
      <c r="G2158" s="25" t="str">
        <f ca="1">IFERROR(__xludf.DUMMYFUNCTION("""COMPUTED_VALUE"""),"99. Distrito")</f>
        <v>99. Distrito</v>
      </c>
      <c r="H2158" s="55">
        <f ca="1">IFERROR(__xludf.DUMMYFUNCTION("""COMPUTED_VALUE"""),44178)</f>
        <v>44178</v>
      </c>
      <c r="I2158" s="25"/>
      <c r="J2158" s="55" t="str">
        <f ca="1">IFERROR(__xludf.DUMMYFUNCTION("""COMPUTED_VALUE"""),"Alta")</f>
        <v>Alta</v>
      </c>
      <c r="K2158" s="25">
        <f ca="1">IFERROR(__xludf.DUMMYFUNCTION("""COMPUTED_VALUE"""),30)</f>
        <v>30</v>
      </c>
      <c r="L2158" s="62"/>
      <c r="M2158" s="25"/>
      <c r="N2158" s="55">
        <f ca="1">IFERROR(__xludf.DUMMYFUNCTION("""COMPUTED_VALUE"""),44927)</f>
        <v>44927</v>
      </c>
      <c r="O2158" s="25" t="str">
        <f t="shared" ca="1" si="0"/>
        <v>Secretaría Distrital del Hábitat</v>
      </c>
      <c r="P2158" s="25" t="str">
        <f t="shared" si="2"/>
        <v/>
      </c>
      <c r="Q2158" s="25" t="str">
        <f ca="1">IFERROR(__xludf.DUMMYFUNCTION("""COMPUTED_VALUE"""),"Corto plazo")</f>
        <v>Corto plazo</v>
      </c>
      <c r="R2158" s="25"/>
      <c r="S2158" s="55"/>
      <c r="T2158" s="56"/>
      <c r="U2158" s="25"/>
      <c r="V2158" s="25"/>
      <c r="W2158" s="25"/>
      <c r="X2158" s="25"/>
      <c r="Y2158" s="25"/>
      <c r="Z2158" s="25"/>
    </row>
    <row r="2159" spans="1:26" ht="52.5" customHeight="1" x14ac:dyDescent="0.25">
      <c r="A2159" s="25" t="str">
        <f ca="1">IFERROR(__xludf.DUMMYFUNCTION("""COMPUTED_VALUE"""),"Hábit57")</f>
        <v>Hábit57</v>
      </c>
      <c r="B2159" s="25" t="str">
        <f ca="1">IFERROR(__xludf.DUMMYFUNCTION("""COMPUTED_VALUE"""),"Despachando desde el Grupo de energía de Bogotá - GEB")</f>
        <v>Despachando desde el Grupo de energía de Bogotá - GEB</v>
      </c>
      <c r="C2159" s="55">
        <f ca="1">IFERROR(__xludf.DUMMYFUNCTION("""COMPUTED_VALUE"""),44148)</f>
        <v>44148</v>
      </c>
      <c r="D2159" s="25" t="str">
        <f ca="1">IFERROR(__xludf.DUMMYFUNCTION("""COMPUTED_VALUE"""),"Hábitat")</f>
        <v>Hábitat</v>
      </c>
      <c r="E2159" s="25" t="str">
        <f ca="1">IFERROR(__xludf.DUMMYFUNCTION("""COMPUTED_VALUE"""),"Secretaría Distrital del Hábitat")</f>
        <v>Secretaría Distrital del Hábitat</v>
      </c>
      <c r="F2159" s="25" t="str">
        <f ca="1">IFERROR(__xludf.DUMMYFUNCTION("""COMPUTED_VALUE"""),"Concretar trabajo del GEB con comunidades en temas de concertación y consulta previa en lugares donde esté adelantando obras de construcción de infraestructura")</f>
        <v>Concretar trabajo del GEB con comunidades en temas de concertación y consulta previa en lugares donde esté adelantando obras de construcción de infraestructura</v>
      </c>
      <c r="G2159" s="25" t="str">
        <f ca="1">IFERROR(__xludf.DUMMYFUNCTION("""COMPUTED_VALUE"""),"99. Distrito")</f>
        <v>99. Distrito</v>
      </c>
      <c r="H2159" s="55">
        <f ca="1">IFERROR(__xludf.DUMMYFUNCTION("""COMPUTED_VALUE"""),44178)</f>
        <v>44178</v>
      </c>
      <c r="I2159" s="25"/>
      <c r="J2159" s="55" t="str">
        <f ca="1">IFERROR(__xludf.DUMMYFUNCTION("""COMPUTED_VALUE"""),"Alta")</f>
        <v>Alta</v>
      </c>
      <c r="K2159" s="25">
        <f ca="1">IFERROR(__xludf.DUMMYFUNCTION("""COMPUTED_VALUE"""),30)</f>
        <v>30</v>
      </c>
      <c r="L2159" s="62"/>
      <c r="M2159" s="25"/>
      <c r="N2159" s="55">
        <f ca="1">IFERROR(__xludf.DUMMYFUNCTION("""COMPUTED_VALUE"""),44927)</f>
        <v>44927</v>
      </c>
      <c r="O2159" s="25" t="str">
        <f t="shared" ca="1" si="0"/>
        <v>Secretaría Distrital del Hábitat</v>
      </c>
      <c r="P2159" s="25" t="str">
        <f t="shared" si="2"/>
        <v/>
      </c>
      <c r="Q2159" s="25" t="str">
        <f ca="1">IFERROR(__xludf.DUMMYFUNCTION("""COMPUTED_VALUE"""),"Corto plazo")</f>
        <v>Corto plazo</v>
      </c>
      <c r="R2159" s="25"/>
      <c r="S2159" s="55"/>
      <c r="T2159" s="56"/>
      <c r="U2159" s="25"/>
      <c r="V2159" s="25"/>
      <c r="W2159" s="25"/>
      <c r="X2159" s="25"/>
      <c r="Y2159" s="25"/>
      <c r="Z2159" s="25"/>
    </row>
    <row r="2160" spans="1:26" ht="52.5" customHeight="1" x14ac:dyDescent="0.25">
      <c r="A2160" s="25" t="str">
        <f ca="1">IFERROR(__xludf.DUMMYFUNCTION("""COMPUTED_VALUE"""),"Hábit58")</f>
        <v>Hábit58</v>
      </c>
      <c r="B2160" s="25" t="str">
        <f ca="1">IFERROR(__xludf.DUMMYFUNCTION("""COMPUTED_VALUE"""),"Despachando desde el Grupo de energía de Bogotá - GEB")</f>
        <v>Despachando desde el Grupo de energía de Bogotá - GEB</v>
      </c>
      <c r="C2160" s="55">
        <f ca="1">IFERROR(__xludf.DUMMYFUNCTION("""COMPUTED_VALUE"""),44148)</f>
        <v>44148</v>
      </c>
      <c r="D2160" s="25" t="str">
        <f ca="1">IFERROR(__xludf.DUMMYFUNCTION("""COMPUTED_VALUE"""),"Hábitat")</f>
        <v>Hábitat</v>
      </c>
      <c r="E2160" s="25" t="str">
        <f ca="1">IFERROR(__xludf.DUMMYFUNCTION("""COMPUTED_VALUE"""),"Secretaría Distrital del Hábitat")</f>
        <v>Secretaría Distrital del Hábitat</v>
      </c>
      <c r="F2160" s="25" t="str">
        <f ca="1">IFERROR(__xludf.DUMMYFUNCTION("""COMPUTED_VALUE"""),"Incluir en la negociación con ENEL una cláusula de información al socio y otra referente a la información al mercado")</f>
        <v>Incluir en la negociación con ENEL una cláusula de información al socio y otra referente a la información al mercado</v>
      </c>
      <c r="G2160" s="25" t="str">
        <f ca="1">IFERROR(__xludf.DUMMYFUNCTION("""COMPUTED_VALUE"""),"99. Distrito")</f>
        <v>99. Distrito</v>
      </c>
      <c r="H2160" s="55">
        <f ca="1">IFERROR(__xludf.DUMMYFUNCTION("""COMPUTED_VALUE"""),44178)</f>
        <v>44178</v>
      </c>
      <c r="I2160" s="25"/>
      <c r="J2160" s="55" t="str">
        <f ca="1">IFERROR(__xludf.DUMMYFUNCTION("""COMPUTED_VALUE"""),"Alta")</f>
        <v>Alta</v>
      </c>
      <c r="K2160" s="25">
        <f ca="1">IFERROR(__xludf.DUMMYFUNCTION("""COMPUTED_VALUE"""),30)</f>
        <v>30</v>
      </c>
      <c r="L2160" s="62"/>
      <c r="M2160" s="25"/>
      <c r="N2160" s="55">
        <f ca="1">IFERROR(__xludf.DUMMYFUNCTION("""COMPUTED_VALUE"""),44927)</f>
        <v>44927</v>
      </c>
      <c r="O2160" s="25" t="str">
        <f t="shared" ca="1" si="0"/>
        <v>Secretaría Distrital del Hábitat</v>
      </c>
      <c r="P2160" s="25" t="str">
        <f t="shared" si="2"/>
        <v/>
      </c>
      <c r="Q2160" s="25" t="str">
        <f ca="1">IFERROR(__xludf.DUMMYFUNCTION("""COMPUTED_VALUE"""),"Corto plazo")</f>
        <v>Corto plazo</v>
      </c>
      <c r="R2160" s="25"/>
      <c r="S2160" s="55"/>
      <c r="T2160" s="56"/>
      <c r="U2160" s="25"/>
      <c r="V2160" s="25"/>
      <c r="W2160" s="25"/>
      <c r="X2160" s="25"/>
      <c r="Y2160" s="25"/>
      <c r="Z2160" s="25"/>
    </row>
    <row r="2161" spans="1:26" ht="52.5" customHeight="1" x14ac:dyDescent="0.25">
      <c r="A2161" s="25" t="str">
        <f ca="1">IFERROR(__xludf.DUMMYFUNCTION("""COMPUTED_VALUE"""),"Hábit59")</f>
        <v>Hábit59</v>
      </c>
      <c r="B2161" s="25" t="str">
        <f ca="1">IFERROR(__xludf.DUMMYFUNCTION("""COMPUTED_VALUE"""),"Despachando desde la Secretaría Distrital de Hábitat")</f>
        <v>Despachando desde la Secretaría Distrital de Hábitat</v>
      </c>
      <c r="C2161" s="55">
        <f ca="1">IFERROR(__xludf.DUMMYFUNCTION("""COMPUTED_VALUE"""),44076)</f>
        <v>44076</v>
      </c>
      <c r="D2161" s="25" t="str">
        <f ca="1">IFERROR(__xludf.DUMMYFUNCTION("""COMPUTED_VALUE"""),"Hábitat")</f>
        <v>Hábitat</v>
      </c>
      <c r="E2161" s="25" t="str">
        <f ca="1">IFERROR(__xludf.DUMMYFUNCTION("""COMPUTED_VALUE"""),"Secretaría Distrital del Hábitat")</f>
        <v>Secretaría Distrital del Hábitat</v>
      </c>
      <c r="F2161" s="25" t="str">
        <f ca="1">IFERROR(__xludf.DUMMYFUNCTION("""COMPUTED_VALUE"""),"Incluir Suba – Chorrillos en los sitios focalizados para el programa de mejoramiento integral rural")</f>
        <v>Incluir Suba – Chorrillos en los sitios focalizados para el programa de mejoramiento integral rural</v>
      </c>
      <c r="G2161" s="25" t="str">
        <f ca="1">IFERROR(__xludf.DUMMYFUNCTION("""COMPUTED_VALUE"""),"99. Distrito")</f>
        <v>99. Distrito</v>
      </c>
      <c r="H2161" s="55">
        <f ca="1">IFERROR(__xludf.DUMMYFUNCTION("""COMPUTED_VALUE"""),44106)</f>
        <v>44106</v>
      </c>
      <c r="I2161" s="25"/>
      <c r="J2161" s="55" t="str">
        <f ca="1">IFERROR(__xludf.DUMMYFUNCTION("""COMPUTED_VALUE"""),"Alta")</f>
        <v>Alta</v>
      </c>
      <c r="K2161" s="25">
        <f ca="1">IFERROR(__xludf.DUMMYFUNCTION("""COMPUTED_VALUE"""),30)</f>
        <v>30</v>
      </c>
      <c r="L2161" s="62"/>
      <c r="M2161" s="25" t="str">
        <f ca="1">IFERROR(__xludf.DUMMYFUNCTION("""COMPUTED_VALUE"""),"La Secretaría Distrital del Hábitat, realizó convocatorias abiertas, ampliamente divulgadas y comunicadas por diferentes canales a la comunidad asentada en territorio rural, con el fin de socializar y recibir las postulaciones de los hogares rurales. Adic"&amp;"ionalmente, recorridos de reconocimiento, talleres y visitas para brindar la información asociada al proyecto.
En la vigencia 2022, se efectúo la evaluación (técnica, social, jurídica, económica, cartográfica y de afectaciones y/o restricciones) de las po"&amp;"stulaciones presentadas a través de las citadas convocatorias, validando el cumplimiento de los hogares frente a los requisitos estipulados en el marco normativo (Decreto Distrital No. 145 de 2021 modificado por el Decreto Distrital 241 de 2022 y la Resol"&amp;"ución 586 de 2021 modificada por las Resoluciones No. 770 de 2021 y No. 481 de 2022, mediante las cuales se adopta el reglamento operativo para el otorgamiento, asignación y ejecución de los citados subsidios) y asignando quince (15) subsidios de mejorami"&amp;"ento de vivienda el área rural de la Localidad de Suba, específicamente en el Centro Poblado de Chorrillos, los cuales actualmente se encuentran en proceso de validación y ejecución.")</f>
        <v>La Secretaría Distrital del Hábitat, realizó convocatorias abiertas, ampliamente divulgadas y comunicadas por diferentes canales a la comunidad asentada en territorio rural, con el fin de socializar y recibir las postulaciones de los hogares rurales. Adicionalmente, recorridos de reconocimiento, talleres y visitas para brindar la información asociada al proyecto.
En la vigencia 2022, se efectúo la evaluación (técnica, social, jurídica, económica, cartográfica y de afectaciones y/o restricciones) de las postulaciones presentadas a través de las citadas convocatorias, validando el cumplimiento de los hogares frente a los requisitos estipulados en el marco normativo (Decreto Distrital No. 145 de 2021 modificado por el Decreto Distrital 241 de 2022 y la Resolución 586 de 2021 modificada por las Resoluciones No. 770 de 2021 y No. 481 de 2022, mediante las cuales se adopta el reglamento operativo para el otorgamiento, asignación y ejecución de los citados subsidios) y asignando quince (15) subsidios de mejoramiento de vivienda el área rural de la Localidad de Suba, específicamente en el Centro Poblado de Chorrillos, los cuales actualmente se encuentran en proceso de validación y ejecución.</v>
      </c>
      <c r="N2161" s="55">
        <f ca="1">IFERROR(__xludf.DUMMYFUNCTION("""COMPUTED_VALUE"""),44927)</f>
        <v>44927</v>
      </c>
      <c r="O2161" s="25" t="str">
        <f t="shared" ca="1" si="0"/>
        <v>Secretaría Distrital del Hábitat</v>
      </c>
      <c r="P2161" s="25" t="str">
        <f t="shared" si="2"/>
        <v/>
      </c>
      <c r="Q2161" s="25" t="str">
        <f ca="1">IFERROR(__xludf.DUMMYFUNCTION("""COMPUTED_VALUE"""),"Corto plazo")</f>
        <v>Corto plazo</v>
      </c>
      <c r="R2161" s="25"/>
      <c r="S2161" s="55"/>
      <c r="T2161" s="56"/>
      <c r="U2161" s="25"/>
      <c r="V2161" s="25"/>
      <c r="W2161" s="25"/>
      <c r="X2161" s="25"/>
      <c r="Y2161" s="25"/>
      <c r="Z2161" s="25"/>
    </row>
    <row r="2162" spans="1:26" ht="52.5" customHeight="1" x14ac:dyDescent="0.25">
      <c r="A2162" s="25" t="str">
        <f ca="1">IFERROR(__xludf.DUMMYFUNCTION("""COMPUTED_VALUE"""),"Hábit60")</f>
        <v>Hábit60</v>
      </c>
      <c r="B2162" s="25" t="str">
        <f ca="1">IFERROR(__xludf.DUMMYFUNCTION("""COMPUTED_VALUE"""),"Despachando desde la Secretaría Distrital de Hábitat")</f>
        <v>Despachando desde la Secretaría Distrital de Hábitat</v>
      </c>
      <c r="C2162" s="55">
        <f ca="1">IFERROR(__xludf.DUMMYFUNCTION("""COMPUTED_VALUE"""),44076)</f>
        <v>44076</v>
      </c>
      <c r="D2162" s="25" t="str">
        <f ca="1">IFERROR(__xludf.DUMMYFUNCTION("""COMPUTED_VALUE"""),"Hábitat")</f>
        <v>Hábitat</v>
      </c>
      <c r="E2162" s="25" t="str">
        <f ca="1">IFERROR(__xludf.DUMMYFUNCTION("""COMPUTED_VALUE"""),"Secretaría Distrital del Hábitat")</f>
        <v>Secretaría Distrital del Hábitat</v>
      </c>
      <c r="F2162" s="25" t="str">
        <f ca="1">IFERROR(__xludf.DUMMYFUNCTION("""COMPUTED_VALUE"""),"Programar visita a Illimani para la inauguración")</f>
        <v>Programar visita a Illimani para la inauguración</v>
      </c>
      <c r="G2162" s="25" t="str">
        <f ca="1">IFERROR(__xludf.DUMMYFUNCTION("""COMPUTED_VALUE"""),"99. Distrito")</f>
        <v>99. Distrito</v>
      </c>
      <c r="H2162" s="55">
        <f ca="1">IFERROR(__xludf.DUMMYFUNCTION("""COMPUTED_VALUE"""),44106)</f>
        <v>44106</v>
      </c>
      <c r="I2162" s="25"/>
      <c r="J2162" s="55" t="str">
        <f ca="1">IFERROR(__xludf.DUMMYFUNCTION("""COMPUTED_VALUE"""),"Alta")</f>
        <v>Alta</v>
      </c>
      <c r="K2162" s="25">
        <f ca="1">IFERROR(__xludf.DUMMYFUNCTION("""COMPUTED_VALUE"""),30)</f>
        <v>30</v>
      </c>
      <c r="L2162" s="62"/>
      <c r="M2162" s="25"/>
      <c r="N2162" s="55">
        <f ca="1">IFERROR(__xludf.DUMMYFUNCTION("""COMPUTED_VALUE"""),44927)</f>
        <v>44927</v>
      </c>
      <c r="O2162" s="25" t="str">
        <f t="shared" ca="1" si="0"/>
        <v>Secretaría Distrital del Hábitat</v>
      </c>
      <c r="P2162" s="25" t="str">
        <f t="shared" si="2"/>
        <v/>
      </c>
      <c r="Q2162" s="25" t="str">
        <f ca="1">IFERROR(__xludf.DUMMYFUNCTION("""COMPUTED_VALUE"""),"Corto plazo")</f>
        <v>Corto plazo</v>
      </c>
      <c r="R2162" s="25"/>
      <c r="S2162" s="55"/>
      <c r="T2162" s="56"/>
      <c r="U2162" s="25"/>
      <c r="V2162" s="25"/>
      <c r="W2162" s="25"/>
      <c r="X2162" s="25"/>
      <c r="Y2162" s="25"/>
      <c r="Z2162" s="25"/>
    </row>
    <row r="2163" spans="1:26" ht="52.5" customHeight="1" x14ac:dyDescent="0.25">
      <c r="A2163" s="25" t="str">
        <f ca="1">IFERROR(__xludf.DUMMYFUNCTION("""COMPUTED_VALUE"""),"Hábit61")</f>
        <v>Hábit61</v>
      </c>
      <c r="B2163" s="25" t="str">
        <f ca="1">IFERROR(__xludf.DUMMYFUNCTION("""COMPUTED_VALUE"""),"Despachando desde la Secretaría Distrital de Hábitat")</f>
        <v>Despachando desde la Secretaría Distrital de Hábitat</v>
      </c>
      <c r="C2163" s="55">
        <f ca="1">IFERROR(__xludf.DUMMYFUNCTION("""COMPUTED_VALUE"""),44076)</f>
        <v>44076</v>
      </c>
      <c r="D2163" s="25" t="str">
        <f ca="1">IFERROR(__xludf.DUMMYFUNCTION("""COMPUTED_VALUE"""),"Hábitat")</f>
        <v>Hábitat</v>
      </c>
      <c r="E2163" s="25" t="str">
        <f ca="1">IFERROR(__xludf.DUMMYFUNCTION("""COMPUTED_VALUE"""),"Secretaría Distrital del Hábitat")</f>
        <v>Secretaría Distrital del Hábitat</v>
      </c>
      <c r="F2163" s="25" t="str">
        <f ca="1">IFERROR(__xludf.DUMMYFUNCTION("""COMPUTED_VALUE"""),"Inaugurar el Mirador Illìmanì")</f>
        <v>Inaugurar el Mirador Illìmanì</v>
      </c>
      <c r="G2163" s="25" t="str">
        <f ca="1">IFERROR(__xludf.DUMMYFUNCTION("""COMPUTED_VALUE"""),"99. Distrito")</f>
        <v>99. Distrito</v>
      </c>
      <c r="H2163" s="55">
        <f ca="1">IFERROR(__xludf.DUMMYFUNCTION("""COMPUTED_VALUE"""),44106)</f>
        <v>44106</v>
      </c>
      <c r="I2163" s="25"/>
      <c r="J2163" s="55" t="str">
        <f ca="1">IFERROR(__xludf.DUMMYFUNCTION("""COMPUTED_VALUE"""),"Alta")</f>
        <v>Alta</v>
      </c>
      <c r="K2163" s="25">
        <f ca="1">IFERROR(__xludf.DUMMYFUNCTION("""COMPUTED_VALUE"""),30)</f>
        <v>30</v>
      </c>
      <c r="L2163" s="62"/>
      <c r="M2163" s="25"/>
      <c r="N2163" s="55">
        <f ca="1">IFERROR(__xludf.DUMMYFUNCTION("""COMPUTED_VALUE"""),44927)</f>
        <v>44927</v>
      </c>
      <c r="O2163" s="25" t="str">
        <f t="shared" ca="1" si="0"/>
        <v>Secretaría Distrital del Hábitat</v>
      </c>
      <c r="P2163" s="25" t="str">
        <f t="shared" si="2"/>
        <v/>
      </c>
      <c r="Q2163" s="25" t="str">
        <f ca="1">IFERROR(__xludf.DUMMYFUNCTION("""COMPUTED_VALUE"""),"Corto plazo")</f>
        <v>Corto plazo</v>
      </c>
      <c r="R2163" s="25"/>
      <c r="S2163" s="55"/>
      <c r="T2163" s="56"/>
      <c r="U2163" s="25"/>
      <c r="V2163" s="25"/>
      <c r="W2163" s="25"/>
      <c r="X2163" s="25"/>
      <c r="Y2163" s="25"/>
      <c r="Z2163" s="25"/>
    </row>
    <row r="2164" spans="1:26" ht="52.5" customHeight="1" x14ac:dyDescent="0.25">
      <c r="A2164" s="25" t="str">
        <f ca="1">IFERROR(__xludf.DUMMYFUNCTION("""COMPUTED_VALUE"""),"Hábit62")</f>
        <v>Hábit62</v>
      </c>
      <c r="B2164" s="25" t="str">
        <f ca="1">IFERROR(__xludf.DUMMYFUNCTION("""COMPUTED_VALUE"""),"Despachando desde la Secretaría Distrital de Hábitat")</f>
        <v>Despachando desde la Secretaría Distrital de Hábitat</v>
      </c>
      <c r="C2164" s="55">
        <f ca="1">IFERROR(__xludf.DUMMYFUNCTION("""COMPUTED_VALUE"""),44076)</f>
        <v>44076</v>
      </c>
      <c r="D2164" s="25" t="str">
        <f ca="1">IFERROR(__xludf.DUMMYFUNCTION("""COMPUTED_VALUE"""),"Hábitat")</f>
        <v>Hábitat</v>
      </c>
      <c r="E2164" s="25" t="str">
        <f ca="1">IFERROR(__xludf.DUMMYFUNCTION("""COMPUTED_VALUE"""),"Secretaría Distrital del Hábitat")</f>
        <v>Secretaría Distrital del Hábitat</v>
      </c>
      <c r="F2164" s="25" t="str">
        <f ca="1">IFERROR(__xludf.DUMMYFUNCTION("""COMPUTED_VALUE"""),"Empezar intervenciones de revitalización en corredores de transporte ya (antes de empezar las obras de infraestructura de tte)")</f>
        <v>Empezar intervenciones de revitalización en corredores de transporte ya (antes de empezar las obras de infraestructura de tte)</v>
      </c>
      <c r="G2164" s="25" t="str">
        <f ca="1">IFERROR(__xludf.DUMMYFUNCTION("""COMPUTED_VALUE"""),"99. Distrito")</f>
        <v>99. Distrito</v>
      </c>
      <c r="H2164" s="55">
        <f ca="1">IFERROR(__xludf.DUMMYFUNCTION("""COMPUTED_VALUE"""),44106)</f>
        <v>44106</v>
      </c>
      <c r="I2164" s="25"/>
      <c r="J2164" s="55" t="str">
        <f ca="1">IFERROR(__xludf.DUMMYFUNCTION("""COMPUTED_VALUE"""),"Alta")</f>
        <v>Alta</v>
      </c>
      <c r="K2164" s="25">
        <f ca="1">IFERROR(__xludf.DUMMYFUNCTION("""COMPUTED_VALUE"""),30)</f>
        <v>30</v>
      </c>
      <c r="L2164" s="62"/>
      <c r="M2164" s="25"/>
      <c r="N2164" s="55">
        <f ca="1">IFERROR(__xludf.DUMMYFUNCTION("""COMPUTED_VALUE"""),44927)</f>
        <v>44927</v>
      </c>
      <c r="O2164" s="25" t="str">
        <f t="shared" ca="1" si="0"/>
        <v>Secretaría Distrital del Hábitat</v>
      </c>
      <c r="P2164" s="25" t="str">
        <f t="shared" si="2"/>
        <v/>
      </c>
      <c r="Q2164" s="25" t="str">
        <f ca="1">IFERROR(__xludf.DUMMYFUNCTION("""COMPUTED_VALUE"""),"Corto plazo")</f>
        <v>Corto plazo</v>
      </c>
      <c r="R2164" s="25"/>
      <c r="S2164" s="55"/>
      <c r="T2164" s="56"/>
      <c r="U2164" s="25"/>
      <c r="V2164" s="25"/>
      <c r="W2164" s="25"/>
      <c r="X2164" s="25"/>
      <c r="Y2164" s="25"/>
      <c r="Z2164" s="25"/>
    </row>
    <row r="2165" spans="1:26" ht="52.5" customHeight="1" x14ac:dyDescent="0.25">
      <c r="A2165" s="25" t="str">
        <f ca="1">IFERROR(__xludf.DUMMYFUNCTION("""COMPUTED_VALUE"""),"Hábit63")</f>
        <v>Hábit63</v>
      </c>
      <c r="B2165" s="25" t="str">
        <f ca="1">IFERROR(__xludf.DUMMYFUNCTION("""COMPUTED_VALUE"""),"Despachando desde la Secretaría Distrital de Hábitat")</f>
        <v>Despachando desde la Secretaría Distrital de Hábitat</v>
      </c>
      <c r="C2165" s="55">
        <f ca="1">IFERROR(__xludf.DUMMYFUNCTION("""COMPUTED_VALUE"""),44076)</f>
        <v>44076</v>
      </c>
      <c r="D2165" s="25" t="str">
        <f ca="1">IFERROR(__xludf.DUMMYFUNCTION("""COMPUTED_VALUE"""),"Hábitat")</f>
        <v>Hábitat</v>
      </c>
      <c r="E2165" s="25" t="str">
        <f ca="1">IFERROR(__xludf.DUMMYFUNCTION("""COMPUTED_VALUE"""),"Secretaría Distrital del Hábitat")</f>
        <v>Secretaría Distrital del Hábitat</v>
      </c>
      <c r="F2165" s="25" t="str">
        <f ca="1">IFERROR(__xludf.DUMMYFUNCTION("""COMPUTED_VALUE"""),"Avanzar en la estructuración del fondo de financiamiento para adquisición de vivienda")</f>
        <v>Avanzar en la estructuración del fondo de financiamiento para adquisición de vivienda</v>
      </c>
      <c r="G2165" s="25" t="str">
        <f ca="1">IFERROR(__xludf.DUMMYFUNCTION("""COMPUTED_VALUE"""),"99. Distrito")</f>
        <v>99. Distrito</v>
      </c>
      <c r="H2165" s="55">
        <f ca="1">IFERROR(__xludf.DUMMYFUNCTION("""COMPUTED_VALUE"""),44106)</f>
        <v>44106</v>
      </c>
      <c r="I2165" s="25"/>
      <c r="J2165" s="55" t="str">
        <f ca="1">IFERROR(__xludf.DUMMYFUNCTION("""COMPUTED_VALUE"""),"Alta")</f>
        <v>Alta</v>
      </c>
      <c r="K2165" s="25">
        <f ca="1">IFERROR(__xludf.DUMMYFUNCTION("""COMPUTED_VALUE"""),30)</f>
        <v>30</v>
      </c>
      <c r="L2165" s="62"/>
      <c r="M2165" s="25"/>
      <c r="N2165" s="55">
        <f ca="1">IFERROR(__xludf.DUMMYFUNCTION("""COMPUTED_VALUE"""),44927)</f>
        <v>44927</v>
      </c>
      <c r="O2165" s="25" t="str">
        <f t="shared" ca="1" si="0"/>
        <v>Secretaría Distrital del Hábitat</v>
      </c>
      <c r="P2165" s="25" t="str">
        <f t="shared" si="2"/>
        <v/>
      </c>
      <c r="Q2165" s="25" t="str">
        <f ca="1">IFERROR(__xludf.DUMMYFUNCTION("""COMPUTED_VALUE"""),"Corto plazo")</f>
        <v>Corto plazo</v>
      </c>
      <c r="R2165" s="25"/>
      <c r="S2165" s="55"/>
      <c r="T2165" s="56"/>
      <c r="U2165" s="25"/>
      <c r="V2165" s="25"/>
      <c r="W2165" s="25"/>
      <c r="X2165" s="25"/>
      <c r="Y2165" s="25"/>
      <c r="Z2165" s="25"/>
    </row>
    <row r="2166" spans="1:26" ht="52.5" customHeight="1" x14ac:dyDescent="0.25">
      <c r="A2166" s="25" t="str">
        <f ca="1">IFERROR(__xludf.DUMMYFUNCTION("""COMPUTED_VALUE"""),"Hábit64")</f>
        <v>Hábit64</v>
      </c>
      <c r="B2166" s="25" t="str">
        <f ca="1">IFERROR(__xludf.DUMMYFUNCTION("""COMPUTED_VALUE"""),"Despachando desde la Secretaría Distrital de Hábitat")</f>
        <v>Despachando desde la Secretaría Distrital de Hábitat</v>
      </c>
      <c r="C2166" s="55">
        <f ca="1">IFERROR(__xludf.DUMMYFUNCTION("""COMPUTED_VALUE"""),44076)</f>
        <v>44076</v>
      </c>
      <c r="D2166" s="25" t="str">
        <f ca="1">IFERROR(__xludf.DUMMYFUNCTION("""COMPUTED_VALUE"""),"Hábitat")</f>
        <v>Hábitat</v>
      </c>
      <c r="E2166" s="25" t="str">
        <f ca="1">IFERROR(__xludf.DUMMYFUNCTION("""COMPUTED_VALUE"""),"Secretaría Distrital del Hábitat")</f>
        <v>Secretaría Distrital del Hábitat</v>
      </c>
      <c r="F2166" s="25" t="str">
        <f ca="1">IFERROR(__xludf.DUMMYFUNCTION("""COMPUTED_VALUE"""),"Programar durante septiembre una audiencia pública con la comunidad y el promotor del plan parcial Bavaria")</f>
        <v>Programar durante septiembre una audiencia pública con la comunidad y el promotor del plan parcial Bavaria</v>
      </c>
      <c r="G2166" s="25" t="str">
        <f ca="1">IFERROR(__xludf.DUMMYFUNCTION("""COMPUTED_VALUE"""),"99. Distrito")</f>
        <v>99. Distrito</v>
      </c>
      <c r="H2166" s="55">
        <f ca="1">IFERROR(__xludf.DUMMYFUNCTION("""COMPUTED_VALUE"""),44106)</f>
        <v>44106</v>
      </c>
      <c r="I2166" s="25"/>
      <c r="J2166" s="55" t="str">
        <f ca="1">IFERROR(__xludf.DUMMYFUNCTION("""COMPUTED_VALUE"""),"Alta")</f>
        <v>Alta</v>
      </c>
      <c r="K2166" s="25">
        <f ca="1">IFERROR(__xludf.DUMMYFUNCTION("""COMPUTED_VALUE"""),30)</f>
        <v>30</v>
      </c>
      <c r="L2166" s="62"/>
      <c r="M2166" s="25"/>
      <c r="N2166" s="55">
        <f ca="1">IFERROR(__xludf.DUMMYFUNCTION("""COMPUTED_VALUE"""),44927)</f>
        <v>44927</v>
      </c>
      <c r="O2166" s="25" t="str">
        <f t="shared" ca="1" si="0"/>
        <v>Secretaría Distrital del Hábitat</v>
      </c>
      <c r="P2166" s="25" t="str">
        <f t="shared" si="2"/>
        <v/>
      </c>
      <c r="Q2166" s="25" t="str">
        <f ca="1">IFERROR(__xludf.DUMMYFUNCTION("""COMPUTED_VALUE"""),"Corto plazo")</f>
        <v>Corto plazo</v>
      </c>
      <c r="R2166" s="25"/>
      <c r="S2166" s="55"/>
      <c r="T2166" s="56"/>
      <c r="U2166" s="25"/>
      <c r="V2166" s="25"/>
      <c r="W2166" s="25"/>
      <c r="X2166" s="25"/>
      <c r="Y2166" s="25"/>
      <c r="Z2166" s="25"/>
    </row>
    <row r="2167" spans="1:26" ht="52.5" customHeight="1" x14ac:dyDescent="0.25">
      <c r="A2167" s="25" t="str">
        <f ca="1">IFERROR(__xludf.DUMMYFUNCTION("""COMPUTED_VALUE"""),"Hábit65")</f>
        <v>Hábit65</v>
      </c>
      <c r="B2167" s="25" t="str">
        <f ca="1">IFERROR(__xludf.DUMMYFUNCTION("""COMPUTED_VALUE"""),"Despachando desde la Secretaría Distrital de Hábitat")</f>
        <v>Despachando desde la Secretaría Distrital de Hábitat</v>
      </c>
      <c r="C2167" s="55">
        <f ca="1">IFERROR(__xludf.DUMMYFUNCTION("""COMPUTED_VALUE"""),44076)</f>
        <v>44076</v>
      </c>
      <c r="D2167" s="25" t="str">
        <f ca="1">IFERROR(__xludf.DUMMYFUNCTION("""COMPUTED_VALUE"""),"Hábitat")</f>
        <v>Hábitat</v>
      </c>
      <c r="E2167" s="25" t="str">
        <f ca="1">IFERROR(__xludf.DUMMYFUNCTION("""COMPUTED_VALUE"""),"Secretaría Distrital del Hábitat")</f>
        <v>Secretaría Distrital del Hábitat</v>
      </c>
      <c r="F2167" s="25" t="str">
        <f ca="1">IFERROR(__xludf.DUMMYFUNCTION("""COMPUTED_VALUE"""),"Incluir en el POT con rigurosidad, la alternativa no es legalización sino reubicación de barrios.")</f>
        <v>Incluir en el POT con rigurosidad, la alternativa no es legalización sino reubicación de barrios.</v>
      </c>
      <c r="G2167" s="25" t="str">
        <f ca="1">IFERROR(__xludf.DUMMYFUNCTION("""COMPUTED_VALUE"""),"99. Distrito")</f>
        <v>99. Distrito</v>
      </c>
      <c r="H2167" s="55">
        <f ca="1">IFERROR(__xludf.DUMMYFUNCTION("""COMPUTED_VALUE"""),44106)</f>
        <v>44106</v>
      </c>
      <c r="I2167" s="25"/>
      <c r="J2167" s="55" t="str">
        <f ca="1">IFERROR(__xludf.DUMMYFUNCTION("""COMPUTED_VALUE"""),"Alta")</f>
        <v>Alta</v>
      </c>
      <c r="K2167" s="25">
        <f ca="1">IFERROR(__xludf.DUMMYFUNCTION("""COMPUTED_VALUE"""),30)</f>
        <v>30</v>
      </c>
      <c r="L2167" s="62"/>
      <c r="M2167" s="25"/>
      <c r="N2167" s="55">
        <f ca="1">IFERROR(__xludf.DUMMYFUNCTION("""COMPUTED_VALUE"""),44927)</f>
        <v>44927</v>
      </c>
      <c r="O2167" s="25" t="str">
        <f t="shared" ca="1" si="0"/>
        <v>Secretaría Distrital del Hábitat</v>
      </c>
      <c r="P2167" s="25" t="str">
        <f t="shared" si="2"/>
        <v/>
      </c>
      <c r="Q2167" s="25" t="str">
        <f ca="1">IFERROR(__xludf.DUMMYFUNCTION("""COMPUTED_VALUE"""),"Corto plazo")</f>
        <v>Corto plazo</v>
      </c>
      <c r="R2167" s="25"/>
      <c r="S2167" s="55"/>
      <c r="T2167" s="56"/>
      <c r="U2167" s="25"/>
      <c r="V2167" s="25"/>
      <c r="W2167" s="25"/>
      <c r="X2167" s="25"/>
      <c r="Y2167" s="25"/>
      <c r="Z2167" s="25"/>
    </row>
    <row r="2168" spans="1:26" ht="52.5" customHeight="1" x14ac:dyDescent="0.25">
      <c r="A2168" s="25" t="str">
        <f ca="1">IFERROR(__xludf.DUMMYFUNCTION("""COMPUTED_VALUE"""),"Hábit66")</f>
        <v>Hábit66</v>
      </c>
      <c r="B2168" s="25" t="str">
        <f ca="1">IFERROR(__xludf.DUMMYFUNCTION("""COMPUTED_VALUE"""),"Despachando desde la Secretaría Distrital de Hábitat")</f>
        <v>Despachando desde la Secretaría Distrital de Hábitat</v>
      </c>
      <c r="C2168" s="55">
        <f ca="1">IFERROR(__xludf.DUMMYFUNCTION("""COMPUTED_VALUE"""),44076)</f>
        <v>44076</v>
      </c>
      <c r="D2168" s="25" t="str">
        <f ca="1">IFERROR(__xludf.DUMMYFUNCTION("""COMPUTED_VALUE"""),"Hábitat")</f>
        <v>Hábitat</v>
      </c>
      <c r="E2168" s="25" t="str">
        <f ca="1">IFERROR(__xludf.DUMMYFUNCTION("""COMPUTED_VALUE"""),"Secretaría Distrital del Hábitat")</f>
        <v>Secretaría Distrital del Hábitat</v>
      </c>
      <c r="F2168" s="25" t="str">
        <f ca="1">IFERROR(__xludf.DUMMYFUNCTION("""COMPUTED_VALUE"""),"Avanzar en la consolidación de una metodología de obras con saldo pedagógico y diseño comunitario para los proyectos de mejoramiento integral de barrios")</f>
        <v>Avanzar en la consolidación de una metodología de obras con saldo pedagógico y diseño comunitario para los proyectos de mejoramiento integral de barrios</v>
      </c>
      <c r="G2168" s="25" t="str">
        <f ca="1">IFERROR(__xludf.DUMMYFUNCTION("""COMPUTED_VALUE"""),"99. Distrito")</f>
        <v>99. Distrito</v>
      </c>
      <c r="H2168" s="55">
        <f ca="1">IFERROR(__xludf.DUMMYFUNCTION("""COMPUTED_VALUE"""),44106)</f>
        <v>44106</v>
      </c>
      <c r="I2168" s="25"/>
      <c r="J2168" s="55" t="str">
        <f ca="1">IFERROR(__xludf.DUMMYFUNCTION("""COMPUTED_VALUE"""),"Alta")</f>
        <v>Alta</v>
      </c>
      <c r="K2168" s="25">
        <f ca="1">IFERROR(__xludf.DUMMYFUNCTION("""COMPUTED_VALUE"""),30)</f>
        <v>30</v>
      </c>
      <c r="L2168" s="62"/>
      <c r="M2168" s="25"/>
      <c r="N2168" s="55">
        <f ca="1">IFERROR(__xludf.DUMMYFUNCTION("""COMPUTED_VALUE"""),44927)</f>
        <v>44927</v>
      </c>
      <c r="O2168" s="25" t="str">
        <f t="shared" ca="1" si="0"/>
        <v>Secretaría Distrital del Hábitat</v>
      </c>
      <c r="P2168" s="25" t="str">
        <f t="shared" si="2"/>
        <v/>
      </c>
      <c r="Q2168" s="25" t="str">
        <f ca="1">IFERROR(__xludf.DUMMYFUNCTION("""COMPUTED_VALUE"""),"Corto plazo")</f>
        <v>Corto plazo</v>
      </c>
      <c r="R2168" s="25"/>
      <c r="S2168" s="55"/>
      <c r="T2168" s="56"/>
      <c r="U2168" s="25"/>
      <c r="V2168" s="25"/>
      <c r="W2168" s="25"/>
      <c r="X2168" s="25"/>
      <c r="Y2168" s="25"/>
      <c r="Z2168" s="25"/>
    </row>
    <row r="2169" spans="1:26" ht="52.5" customHeight="1" x14ac:dyDescent="0.25">
      <c r="A2169" s="25" t="str">
        <f ca="1">IFERROR(__xludf.DUMMYFUNCTION("""COMPUTED_VALUE"""),"Hábit67")</f>
        <v>Hábit67</v>
      </c>
      <c r="B2169" s="25" t="str">
        <f ca="1">IFERROR(__xludf.DUMMYFUNCTION("""COMPUTED_VALUE"""),"Despachando desde la Secretaría Distrital de Hábitat")</f>
        <v>Despachando desde la Secretaría Distrital de Hábitat</v>
      </c>
      <c r="C2169" s="55">
        <f ca="1">IFERROR(__xludf.DUMMYFUNCTION("""COMPUTED_VALUE"""),44076)</f>
        <v>44076</v>
      </c>
      <c r="D2169" s="25" t="str">
        <f ca="1">IFERROR(__xludf.DUMMYFUNCTION("""COMPUTED_VALUE"""),"Hábitat")</f>
        <v>Hábitat</v>
      </c>
      <c r="E2169" s="25" t="str">
        <f ca="1">IFERROR(__xludf.DUMMYFUNCTION("""COMPUTED_VALUE"""),"Secretaría Distrital del Hábitat")</f>
        <v>Secretaría Distrital del Hábitat</v>
      </c>
      <c r="F2169" s="25" t="str">
        <f ca="1">IFERROR(__xludf.DUMMYFUNCTION("""COMPUTED_VALUE"""),"Revisar cómo puede el Acueducto, junto con el Hábitat empezar a dictar talleres de agua para el que quiera, no solamente que viva en territorio rural")</f>
        <v>Revisar cómo puede el Acueducto, junto con el Hábitat empezar a dictar talleres de agua para el que quiera, no solamente que viva en territorio rural</v>
      </c>
      <c r="G2169" s="25" t="str">
        <f ca="1">IFERROR(__xludf.DUMMYFUNCTION("""COMPUTED_VALUE"""),"99. Distrito")</f>
        <v>99. Distrito</v>
      </c>
      <c r="H2169" s="55">
        <f ca="1">IFERROR(__xludf.DUMMYFUNCTION("""COMPUTED_VALUE"""),44106)</f>
        <v>44106</v>
      </c>
      <c r="I2169" s="25"/>
      <c r="J2169" s="55" t="str">
        <f ca="1">IFERROR(__xludf.DUMMYFUNCTION("""COMPUTED_VALUE"""),"Alta")</f>
        <v>Alta</v>
      </c>
      <c r="K2169" s="25">
        <f ca="1">IFERROR(__xludf.DUMMYFUNCTION("""COMPUTED_VALUE"""),30)</f>
        <v>30</v>
      </c>
      <c r="L2169" s="62"/>
      <c r="M2169" s="25"/>
      <c r="N2169" s="55">
        <f ca="1">IFERROR(__xludf.DUMMYFUNCTION("""COMPUTED_VALUE"""),44927)</f>
        <v>44927</v>
      </c>
      <c r="O2169" s="25" t="str">
        <f t="shared" ca="1" si="0"/>
        <v>Secretaría Distrital del Hábitat</v>
      </c>
      <c r="P2169" s="25" t="str">
        <f t="shared" si="2"/>
        <v/>
      </c>
      <c r="Q2169" s="25" t="str">
        <f ca="1">IFERROR(__xludf.DUMMYFUNCTION("""COMPUTED_VALUE"""),"Corto plazo")</f>
        <v>Corto plazo</v>
      </c>
      <c r="R2169" s="25"/>
      <c r="S2169" s="55"/>
      <c r="T2169" s="56"/>
      <c r="U2169" s="25"/>
      <c r="V2169" s="25"/>
      <c r="W2169" s="25"/>
      <c r="X2169" s="25"/>
      <c r="Y2169" s="25"/>
      <c r="Z2169" s="25"/>
    </row>
    <row r="2170" spans="1:26" ht="52.5" customHeight="1" x14ac:dyDescent="0.25">
      <c r="A2170" s="25" t="str">
        <f ca="1">IFERROR(__xludf.DUMMYFUNCTION("""COMPUTED_VALUE"""),"Hábit68")</f>
        <v>Hábit68</v>
      </c>
      <c r="B2170" s="25" t="str">
        <f ca="1">IFERROR(__xludf.DUMMYFUNCTION("""COMPUTED_VALUE"""),"Despachando desde la Empresa de  renovación y desarrollo urbano - ERu")</f>
        <v>Despachando desde la Empresa de  renovación y desarrollo urbano - ERu</v>
      </c>
      <c r="C2170" s="55">
        <f ca="1">IFERROR(__xludf.DUMMYFUNCTION("""COMPUTED_VALUE"""),44106)</f>
        <v>44106</v>
      </c>
      <c r="D2170" s="25" t="str">
        <f ca="1">IFERROR(__xludf.DUMMYFUNCTION("""COMPUTED_VALUE"""),"Hábitat")</f>
        <v>Hábitat</v>
      </c>
      <c r="E2170" s="25" t="str">
        <f ca="1">IFERROR(__xludf.DUMMYFUNCTION("""COMPUTED_VALUE"""),"Secretaría Distrital del Hábitat")</f>
        <v>Secretaría Distrital del Hábitat</v>
      </c>
      <c r="F2170" s="25" t="str">
        <f ca="1">IFERROR(__xludf.DUMMYFUNCTION("""COMPUTED_VALUE"""),"Sacar por Plan de Desarrollo Local los recursos económicos necesarios que hacen falta para el proyecto en el edificio de la alcaldía local de Mártires y la manzana del cuidado.")</f>
        <v>Sacar por Plan de Desarrollo Local los recursos económicos necesarios que hacen falta para el proyecto en el edificio de la alcaldía local de Mártires y la manzana del cuidado.</v>
      </c>
      <c r="G2170" s="25" t="str">
        <f ca="1">IFERROR(__xludf.DUMMYFUNCTION("""COMPUTED_VALUE"""),"99. Distrito")</f>
        <v>99. Distrito</v>
      </c>
      <c r="H2170" s="55">
        <f ca="1">IFERROR(__xludf.DUMMYFUNCTION("""COMPUTED_VALUE"""),44136)</f>
        <v>44136</v>
      </c>
      <c r="I2170" s="25"/>
      <c r="J2170" s="55" t="str">
        <f ca="1">IFERROR(__xludf.DUMMYFUNCTION("""COMPUTED_VALUE"""),"Alta")</f>
        <v>Alta</v>
      </c>
      <c r="K2170" s="25">
        <f ca="1">IFERROR(__xludf.DUMMYFUNCTION("""COMPUTED_VALUE"""),30)</f>
        <v>30</v>
      </c>
      <c r="L2170" s="62"/>
      <c r="M2170" s="25"/>
      <c r="N2170" s="55">
        <f ca="1">IFERROR(__xludf.DUMMYFUNCTION("""COMPUTED_VALUE"""),44927)</f>
        <v>44927</v>
      </c>
      <c r="O2170" s="25" t="str">
        <f t="shared" ca="1" si="0"/>
        <v>Secretaría Distrital del Hábitat</v>
      </c>
      <c r="P2170" s="25" t="str">
        <f t="shared" si="2"/>
        <v/>
      </c>
      <c r="Q2170" s="25" t="str">
        <f ca="1">IFERROR(__xludf.DUMMYFUNCTION("""COMPUTED_VALUE"""),"Corto plazo")</f>
        <v>Corto plazo</v>
      </c>
      <c r="R2170" s="25"/>
      <c r="S2170" s="55"/>
      <c r="T2170" s="56"/>
      <c r="U2170" s="25"/>
      <c r="V2170" s="25"/>
      <c r="W2170" s="25"/>
      <c r="X2170" s="25"/>
      <c r="Y2170" s="25"/>
      <c r="Z2170" s="25"/>
    </row>
    <row r="2171" spans="1:26" ht="52.5" customHeight="1" x14ac:dyDescent="0.25">
      <c r="A2171" s="25" t="str">
        <f ca="1">IFERROR(__xludf.DUMMYFUNCTION("""COMPUTED_VALUE"""),"Hábit69")</f>
        <v>Hábit69</v>
      </c>
      <c r="B2171" s="25" t="str">
        <f ca="1">IFERROR(__xludf.DUMMYFUNCTION("""COMPUTED_VALUE"""),"Despachando desde la Empresa de  renovación y desarrollo urbano - ERu")</f>
        <v>Despachando desde la Empresa de  renovación y desarrollo urbano - ERu</v>
      </c>
      <c r="C2171" s="55">
        <f ca="1">IFERROR(__xludf.DUMMYFUNCTION("""COMPUTED_VALUE"""),44106)</f>
        <v>44106</v>
      </c>
      <c r="D2171" s="25" t="str">
        <f ca="1">IFERROR(__xludf.DUMMYFUNCTION("""COMPUTED_VALUE"""),"Hábitat")</f>
        <v>Hábitat</v>
      </c>
      <c r="E2171" s="25" t="str">
        <f ca="1">IFERROR(__xludf.DUMMYFUNCTION("""COMPUTED_VALUE"""),"Secretaría Distrital del Hábitat")</f>
        <v>Secretaría Distrital del Hábitat</v>
      </c>
      <c r="F2171" s="25" t="str">
        <f ca="1">IFERROR(__xludf.DUMMYFUNCTION("""COMPUTED_VALUE"""),"Programar reunión con la ERU, el IDPC y EMB para revisar las estaciones de la PLMB en el centro de la ciudad.")</f>
        <v>Programar reunión con la ERU, el IDPC y EMB para revisar las estaciones de la PLMB en el centro de la ciudad.</v>
      </c>
      <c r="G2171" s="25" t="str">
        <f ca="1">IFERROR(__xludf.DUMMYFUNCTION("""COMPUTED_VALUE"""),"99. Distrito")</f>
        <v>99. Distrito</v>
      </c>
      <c r="H2171" s="55">
        <f ca="1">IFERROR(__xludf.DUMMYFUNCTION("""COMPUTED_VALUE"""),44136)</f>
        <v>44136</v>
      </c>
      <c r="I2171" s="25"/>
      <c r="J2171" s="55" t="str">
        <f ca="1">IFERROR(__xludf.DUMMYFUNCTION("""COMPUTED_VALUE"""),"Alta")</f>
        <v>Alta</v>
      </c>
      <c r="K2171" s="25">
        <f ca="1">IFERROR(__xludf.DUMMYFUNCTION("""COMPUTED_VALUE"""),30)</f>
        <v>30</v>
      </c>
      <c r="L2171" s="62"/>
      <c r="M2171" s="25"/>
      <c r="N2171" s="55">
        <f ca="1">IFERROR(__xludf.DUMMYFUNCTION("""COMPUTED_VALUE"""),44927)</f>
        <v>44927</v>
      </c>
      <c r="O2171" s="25" t="str">
        <f t="shared" ca="1" si="0"/>
        <v>Secretaría Distrital del Hábitat</v>
      </c>
      <c r="P2171" s="25" t="str">
        <f t="shared" si="2"/>
        <v/>
      </c>
      <c r="Q2171" s="25" t="str">
        <f ca="1">IFERROR(__xludf.DUMMYFUNCTION("""COMPUTED_VALUE"""),"Corto plazo")</f>
        <v>Corto plazo</v>
      </c>
      <c r="R2171" s="25"/>
      <c r="S2171" s="55"/>
      <c r="T2171" s="56"/>
      <c r="U2171" s="25"/>
      <c r="V2171" s="25"/>
      <c r="W2171" s="25"/>
      <c r="X2171" s="25"/>
      <c r="Y2171" s="25"/>
      <c r="Z2171" s="25"/>
    </row>
    <row r="2172" spans="1:26" ht="52.5" customHeight="1" x14ac:dyDescent="0.25">
      <c r="A2172" s="25" t="str">
        <f ca="1">IFERROR(__xludf.DUMMYFUNCTION("""COMPUTED_VALUE"""),"Hábit70")</f>
        <v>Hábit70</v>
      </c>
      <c r="B2172" s="25" t="str">
        <f ca="1">IFERROR(__xludf.DUMMYFUNCTION("""COMPUTED_VALUE"""),"Despachando desde la Empresa de  renovación y desarrollo urbano - ERu")</f>
        <v>Despachando desde la Empresa de  renovación y desarrollo urbano - ERu</v>
      </c>
      <c r="C2172" s="55">
        <f ca="1">IFERROR(__xludf.DUMMYFUNCTION("""COMPUTED_VALUE"""),44106)</f>
        <v>44106</v>
      </c>
      <c r="D2172" s="25" t="str">
        <f ca="1">IFERROR(__xludf.DUMMYFUNCTION("""COMPUTED_VALUE"""),"Hábitat")</f>
        <v>Hábitat</v>
      </c>
      <c r="E2172" s="25" t="str">
        <f ca="1">IFERROR(__xludf.DUMMYFUNCTION("""COMPUTED_VALUE"""),"Empresa de Renovación y Desarrollo Urbano")</f>
        <v>Empresa de Renovación y Desarrollo Urbano</v>
      </c>
      <c r="F2172" s="25" t="str">
        <f ca="1">IFERROR(__xludf.DUMMYFUNCTION("""COMPUTED_VALUE"""),"Invitar al desarrollador de San Bernardo al recorrido que se haga por la localidad de Mártires.")</f>
        <v>Invitar al desarrollador de San Bernardo al recorrido que se haga por la localidad de Mártires.</v>
      </c>
      <c r="G2172" s="25" t="str">
        <f ca="1">IFERROR(__xludf.DUMMYFUNCTION("""COMPUTED_VALUE"""),"99. Distrito")</f>
        <v>99. Distrito</v>
      </c>
      <c r="H2172" s="55">
        <f ca="1">IFERROR(__xludf.DUMMYFUNCTION("""COMPUTED_VALUE"""),44136)</f>
        <v>44136</v>
      </c>
      <c r="I2172" s="25"/>
      <c r="J2172" s="55" t="str">
        <f ca="1">IFERROR(__xludf.DUMMYFUNCTION("""COMPUTED_VALUE"""),"Alta")</f>
        <v>Alta</v>
      </c>
      <c r="K2172" s="25">
        <f ca="1">IFERROR(__xludf.DUMMYFUNCTION("""COMPUTED_VALUE"""),30)</f>
        <v>30</v>
      </c>
      <c r="L2172" s="62"/>
      <c r="M2172" s="25"/>
      <c r="N2172" s="55">
        <f ca="1">IFERROR(__xludf.DUMMYFUNCTION("""COMPUTED_VALUE"""),44927)</f>
        <v>44927</v>
      </c>
      <c r="O2172" s="25" t="str">
        <f t="shared" ca="1" si="0"/>
        <v>Empresa de Renovación y Desarrollo Urbano</v>
      </c>
      <c r="P2172" s="25" t="str">
        <f t="shared" si="2"/>
        <v/>
      </c>
      <c r="Q2172" s="25" t="str">
        <f ca="1">IFERROR(__xludf.DUMMYFUNCTION("""COMPUTED_VALUE"""),"Corto plazo")</f>
        <v>Corto plazo</v>
      </c>
      <c r="R2172" s="25"/>
      <c r="S2172" s="55"/>
      <c r="T2172" s="56"/>
      <c r="U2172" s="25"/>
      <c r="V2172" s="25"/>
      <c r="W2172" s="25"/>
      <c r="X2172" s="25"/>
      <c r="Y2172" s="25"/>
      <c r="Z2172" s="25"/>
    </row>
    <row r="2173" spans="1:26" ht="52.5" customHeight="1" x14ac:dyDescent="0.25">
      <c r="A2173" s="25" t="str">
        <f ca="1">IFERROR(__xludf.DUMMYFUNCTION("""COMPUTED_VALUE"""),"Hábit71")</f>
        <v>Hábit71</v>
      </c>
      <c r="B2173" s="25" t="str">
        <f ca="1">IFERROR(__xludf.DUMMYFUNCTION("""COMPUTED_VALUE"""),"Despachando desde la Empresa de  renovación y desarrollo urbano - ERu")</f>
        <v>Despachando desde la Empresa de  renovación y desarrollo urbano - ERu</v>
      </c>
      <c r="C2173" s="55">
        <f ca="1">IFERROR(__xludf.DUMMYFUNCTION("""COMPUTED_VALUE"""),44106)</f>
        <v>44106</v>
      </c>
      <c r="D2173" s="25" t="str">
        <f ca="1">IFERROR(__xludf.DUMMYFUNCTION("""COMPUTED_VALUE"""),"Hábitat")</f>
        <v>Hábitat</v>
      </c>
      <c r="E2173" s="25" t="str">
        <f ca="1">IFERROR(__xludf.DUMMYFUNCTION("""COMPUTED_VALUE"""),"Empresa de Renovación y Desarrollo Urbano")</f>
        <v>Empresa de Renovación y Desarrollo Urbano</v>
      </c>
      <c r="F2173" s="25" t="str">
        <f ca="1">IFERROR(__xludf.DUMMYFUNCTION("""COMPUTED_VALUE"""),"Revisar si se puede cambiar en el POT las condiciones de que la ERU sea el que tenga la iniciativa para vincular los proyectos de renovación que ahora son de iniciativa privada, porque no se puede llegar siempre a última hora a hacer el trabajo que no rea"&amp;"lizó el privado, sin ningún beneficio público.")</f>
        <v>Revisar si se puede cambiar en el POT las condiciones de que la ERU sea el que tenga la iniciativa para vincular los proyectos de renovación que ahora son de iniciativa privada, porque no se puede llegar siempre a última hora a hacer el trabajo que no realizó el privado, sin ningún beneficio público.</v>
      </c>
      <c r="G2173" s="25" t="str">
        <f ca="1">IFERROR(__xludf.DUMMYFUNCTION("""COMPUTED_VALUE"""),"99. Distrito")</f>
        <v>99. Distrito</v>
      </c>
      <c r="H2173" s="55">
        <f ca="1">IFERROR(__xludf.DUMMYFUNCTION("""COMPUTED_VALUE"""),44136)</f>
        <v>44136</v>
      </c>
      <c r="I2173" s="25"/>
      <c r="J2173" s="55" t="str">
        <f ca="1">IFERROR(__xludf.DUMMYFUNCTION("""COMPUTED_VALUE"""),"Alta")</f>
        <v>Alta</v>
      </c>
      <c r="K2173" s="25">
        <f ca="1">IFERROR(__xludf.DUMMYFUNCTION("""COMPUTED_VALUE"""),30)</f>
        <v>30</v>
      </c>
      <c r="L2173" s="62"/>
      <c r="M2173" s="25"/>
      <c r="N2173" s="55">
        <f ca="1">IFERROR(__xludf.DUMMYFUNCTION("""COMPUTED_VALUE"""),44927)</f>
        <v>44927</v>
      </c>
      <c r="O2173" s="25" t="str">
        <f t="shared" ca="1" si="0"/>
        <v>Empresa de Renovación y Desarrollo Urbano</v>
      </c>
      <c r="P2173" s="25" t="str">
        <f t="shared" si="2"/>
        <v/>
      </c>
      <c r="Q2173" s="25" t="str">
        <f ca="1">IFERROR(__xludf.DUMMYFUNCTION("""COMPUTED_VALUE"""),"Corto plazo")</f>
        <v>Corto plazo</v>
      </c>
      <c r="R2173" s="25"/>
      <c r="S2173" s="55"/>
      <c r="T2173" s="56"/>
      <c r="U2173" s="25"/>
      <c r="V2173" s="25"/>
      <c r="W2173" s="25"/>
      <c r="X2173" s="25"/>
      <c r="Y2173" s="25"/>
      <c r="Z2173" s="25"/>
    </row>
    <row r="2174" spans="1:26" ht="52.5" customHeight="1" x14ac:dyDescent="0.25">
      <c r="A2174" s="25" t="str">
        <f ca="1">IFERROR(__xludf.DUMMYFUNCTION("""COMPUTED_VALUE"""),"Hábit72")</f>
        <v>Hábit72</v>
      </c>
      <c r="B2174" s="25" t="str">
        <f ca="1">IFERROR(__xludf.DUMMYFUNCTION("""COMPUTED_VALUE"""),"Despachando desde la Empresa de  renovación y desarrollo urbano - ERu")</f>
        <v>Despachando desde la Empresa de  renovación y desarrollo urbano - ERu</v>
      </c>
      <c r="C2174" s="55">
        <f ca="1">IFERROR(__xludf.DUMMYFUNCTION("""COMPUTED_VALUE"""),44106)</f>
        <v>44106</v>
      </c>
      <c r="D2174" s="25" t="str">
        <f ca="1">IFERROR(__xludf.DUMMYFUNCTION("""COMPUTED_VALUE"""),"Hábitat")</f>
        <v>Hábitat</v>
      </c>
      <c r="E2174" s="25" t="str">
        <f ca="1">IFERROR(__xludf.DUMMYFUNCTION("""COMPUTED_VALUE"""),"Empresa de Renovación y Desarrollo Urbano")</f>
        <v>Empresa de Renovación y Desarrollo Urbano</v>
      </c>
      <c r="F2174" s="25" t="str">
        <f ca="1">IFERROR(__xludf.DUMMYFUNCTION("""COMPUTED_VALUE"""),"Revisar como el Metro de Bogotá le paga a la ERU por el trabajo de estructuración, organización y ejecución de derechos de subasta inmobiliaria, presentando un servicio competitivo en renovación urbana.")</f>
        <v>Revisar como el Metro de Bogotá le paga a la ERU por el trabajo de estructuración, organización y ejecución de derechos de subasta inmobiliaria, presentando un servicio competitivo en renovación urbana.</v>
      </c>
      <c r="G2174" s="25" t="str">
        <f ca="1">IFERROR(__xludf.DUMMYFUNCTION("""COMPUTED_VALUE"""),"99. Distrito")</f>
        <v>99. Distrito</v>
      </c>
      <c r="H2174" s="55">
        <f ca="1">IFERROR(__xludf.DUMMYFUNCTION("""COMPUTED_VALUE"""),44136)</f>
        <v>44136</v>
      </c>
      <c r="I2174" s="25"/>
      <c r="J2174" s="55" t="str">
        <f ca="1">IFERROR(__xludf.DUMMYFUNCTION("""COMPUTED_VALUE"""),"Alta")</f>
        <v>Alta</v>
      </c>
      <c r="K2174" s="25">
        <f ca="1">IFERROR(__xludf.DUMMYFUNCTION("""COMPUTED_VALUE"""),30)</f>
        <v>30</v>
      </c>
      <c r="L2174" s="62"/>
      <c r="M2174" s="25"/>
      <c r="N2174" s="55">
        <f ca="1">IFERROR(__xludf.DUMMYFUNCTION("""COMPUTED_VALUE"""),44927)</f>
        <v>44927</v>
      </c>
      <c r="O2174" s="25" t="str">
        <f t="shared" ca="1" si="0"/>
        <v>Empresa de Renovación y Desarrollo Urbano</v>
      </c>
      <c r="P2174" s="25" t="str">
        <f t="shared" si="2"/>
        <v/>
      </c>
      <c r="Q2174" s="25" t="str">
        <f ca="1">IFERROR(__xludf.DUMMYFUNCTION("""COMPUTED_VALUE"""),"Corto plazo")</f>
        <v>Corto plazo</v>
      </c>
      <c r="R2174" s="25"/>
      <c r="S2174" s="55"/>
      <c r="T2174" s="56"/>
      <c r="U2174" s="25"/>
      <c r="V2174" s="25"/>
      <c r="W2174" s="25"/>
      <c r="X2174" s="25"/>
      <c r="Y2174" s="25"/>
      <c r="Z2174" s="25"/>
    </row>
    <row r="2175" spans="1:26" ht="52.5" customHeight="1" x14ac:dyDescent="0.25">
      <c r="A2175" s="25" t="str">
        <f ca="1">IFERROR(__xludf.DUMMYFUNCTION("""COMPUTED_VALUE"""),"Hábit73")</f>
        <v>Hábit73</v>
      </c>
      <c r="B2175" s="25" t="str">
        <f ca="1">IFERROR(__xludf.DUMMYFUNCTION("""COMPUTED_VALUE"""),"Reunión ANLA y Promotores Lagos de Tunjuelo ")</f>
        <v xml:space="preserve">Reunión ANLA y Promotores Lagos de Tunjuelo </v>
      </c>
      <c r="C2175" s="55">
        <f ca="1">IFERROR(__xludf.DUMMYFUNCTION("""COMPUTED_VALUE"""),44377)</f>
        <v>44377</v>
      </c>
      <c r="D2175" s="25" t="str">
        <f ca="1">IFERROR(__xludf.DUMMYFUNCTION("""COMPUTED_VALUE"""),"Hábitat")</f>
        <v>Hábitat</v>
      </c>
      <c r="E2175" s="25" t="str">
        <f ca="1">IFERROR(__xludf.DUMMYFUNCTION("""COMPUTED_VALUE"""),"Secretaría Distrital del Hábitat")</f>
        <v>Secretaría Distrital del Hábitat</v>
      </c>
      <c r="F2175" s="25" t="str">
        <f ca="1">IFERROR(__xludf.DUMMYFUNCTION("""COMPUTED_VALUE"""),"Hacer un convenio interadministrativo entre la Secretaría de Hábitat y los actores claves del Plan Reverdecer del Sur.")</f>
        <v>Hacer un convenio interadministrativo entre la Secretaría de Hábitat y los actores claves del Plan Reverdecer del Sur.</v>
      </c>
      <c r="G2175" s="25" t="str">
        <f ca="1">IFERROR(__xludf.DUMMYFUNCTION("""COMPUTED_VALUE"""),"99. Distrito")</f>
        <v>99. Distrito</v>
      </c>
      <c r="H2175" s="55">
        <f ca="1">IFERROR(__xludf.DUMMYFUNCTION("""COMPUTED_VALUE"""),44407)</f>
        <v>44407</v>
      </c>
      <c r="I2175" s="25"/>
      <c r="J2175" s="55" t="str">
        <f ca="1">IFERROR(__xludf.DUMMYFUNCTION("""COMPUTED_VALUE"""),"Alta")</f>
        <v>Alta</v>
      </c>
      <c r="K2175" s="25">
        <f ca="1">IFERROR(__xludf.DUMMYFUNCTION("""COMPUTED_VALUE"""),30)</f>
        <v>30</v>
      </c>
      <c r="L2175" s="62"/>
      <c r="M2175" s="25"/>
      <c r="N2175" s="55">
        <f ca="1">IFERROR(__xludf.DUMMYFUNCTION("""COMPUTED_VALUE"""),44927)</f>
        <v>44927</v>
      </c>
      <c r="O2175" s="25" t="str">
        <f t="shared" ca="1" si="0"/>
        <v>Secretaría Distrital del Hábitat</v>
      </c>
      <c r="P2175" s="25" t="str">
        <f t="shared" si="2"/>
        <v/>
      </c>
      <c r="Q2175" s="25" t="str">
        <f ca="1">IFERROR(__xludf.DUMMYFUNCTION("""COMPUTED_VALUE"""),"Corto plazo")</f>
        <v>Corto plazo</v>
      </c>
      <c r="R2175" s="25"/>
      <c r="S2175" s="55"/>
      <c r="T2175" s="56"/>
      <c r="U2175" s="25"/>
      <c r="V2175" s="25"/>
      <c r="W2175" s="25"/>
      <c r="X2175" s="25"/>
      <c r="Y2175" s="25"/>
      <c r="Z2175" s="25"/>
    </row>
    <row r="2176" spans="1:26" ht="52.5" customHeight="1" x14ac:dyDescent="0.25">
      <c r="A2176" s="25" t="str">
        <f ca="1">IFERROR(__xludf.DUMMYFUNCTION("""COMPUTED_VALUE"""),"Hábit74")</f>
        <v>Hábit74</v>
      </c>
      <c r="B2176" s="25" t="str">
        <f ca="1">IFERROR(__xludf.DUMMYFUNCTION("""COMPUTED_VALUE"""),"Lagos de Torca ")</f>
        <v xml:space="preserve">Lagos de Torca </v>
      </c>
      <c r="C2176" s="55">
        <f ca="1">IFERROR(__xludf.DUMMYFUNCTION("""COMPUTED_VALUE"""),44383)</f>
        <v>44383</v>
      </c>
      <c r="D2176" s="25" t="str">
        <f ca="1">IFERROR(__xludf.DUMMYFUNCTION("""COMPUTED_VALUE"""),"Hábitat")</f>
        <v>Hábitat</v>
      </c>
      <c r="E2176" s="25" t="str">
        <f ca="1">IFERROR(__xludf.DUMMYFUNCTION("""COMPUTED_VALUE"""),"Secretaría Distrital del Hábitat")</f>
        <v>Secretaría Distrital del Hábitat</v>
      </c>
      <c r="F2176" s="25" t="str">
        <f ca="1">IFERROR(__xludf.DUMMYFUNCTION("""COMPUTED_VALUE"""),"Incluir a la Personería en el proceso de socialización del plan parcial de Bavaria Fábrica")</f>
        <v>Incluir a la Personería en el proceso de socialización del plan parcial de Bavaria Fábrica</v>
      </c>
      <c r="G2176" s="25" t="str">
        <f ca="1">IFERROR(__xludf.DUMMYFUNCTION("""COMPUTED_VALUE"""),"99. Distrito")</f>
        <v>99. Distrito</v>
      </c>
      <c r="H2176" s="55">
        <f ca="1">IFERROR(__xludf.DUMMYFUNCTION("""COMPUTED_VALUE"""),44413)</f>
        <v>44413</v>
      </c>
      <c r="I2176" s="25"/>
      <c r="J2176" s="55" t="str">
        <f ca="1">IFERROR(__xludf.DUMMYFUNCTION("""COMPUTED_VALUE"""),"Alta")</f>
        <v>Alta</v>
      </c>
      <c r="K2176" s="25">
        <f ca="1">IFERROR(__xludf.DUMMYFUNCTION("""COMPUTED_VALUE"""),30)</f>
        <v>30</v>
      </c>
      <c r="L2176" s="62"/>
      <c r="M2176" s="25"/>
      <c r="N2176" s="55">
        <f ca="1">IFERROR(__xludf.DUMMYFUNCTION("""COMPUTED_VALUE"""),44927)</f>
        <v>44927</v>
      </c>
      <c r="O2176" s="25" t="str">
        <f t="shared" ca="1" si="0"/>
        <v>Secretaría Distrital del Hábitat</v>
      </c>
      <c r="P2176" s="25" t="str">
        <f t="shared" si="2"/>
        <v/>
      </c>
      <c r="Q2176" s="25" t="str">
        <f ca="1">IFERROR(__xludf.DUMMYFUNCTION("""COMPUTED_VALUE"""),"Corto plazo")</f>
        <v>Corto plazo</v>
      </c>
      <c r="R2176" s="25"/>
      <c r="S2176" s="55"/>
      <c r="T2176" s="56"/>
      <c r="U2176" s="25"/>
      <c r="V2176" s="25"/>
      <c r="W2176" s="25"/>
      <c r="X2176" s="25"/>
      <c r="Y2176" s="25"/>
      <c r="Z2176" s="25"/>
    </row>
    <row r="2177" spans="1:26" ht="52.5" customHeight="1" x14ac:dyDescent="0.25">
      <c r="A2177" s="25" t="str">
        <f ca="1">IFERROR(__xludf.DUMMYFUNCTION("""COMPUTED_VALUE"""),"Hábit75")</f>
        <v>Hábit75</v>
      </c>
      <c r="B2177" s="25" t="str">
        <f ca="1">IFERROR(__xludf.DUMMYFUNCTION("""COMPUTED_VALUE"""),"Lagos de Torca ")</f>
        <v xml:space="preserve">Lagos de Torca </v>
      </c>
      <c r="C2177" s="55">
        <f ca="1">IFERROR(__xludf.DUMMYFUNCTION("""COMPUTED_VALUE"""),44383)</f>
        <v>44383</v>
      </c>
      <c r="D2177" s="25" t="str">
        <f ca="1">IFERROR(__xludf.DUMMYFUNCTION("""COMPUTED_VALUE"""),"Hábitat")</f>
        <v>Hábitat</v>
      </c>
      <c r="E2177" s="25" t="str">
        <f ca="1">IFERROR(__xludf.DUMMYFUNCTION("""COMPUTED_VALUE"""),"Secretaría Distrital del Hábitat")</f>
        <v>Secretaría Distrital del Hábitat</v>
      </c>
      <c r="F2177" s="25" t="str">
        <f ca="1">IFERROR(__xludf.DUMMYFUNCTION("""COMPUTED_VALUE"""),"Gestionar que la Personería y la comunidad acompañen al proceso del Plan de Parcial Bavaria. La idea es que vayan al juzgado.")</f>
        <v>Gestionar que la Personería y la comunidad acompañen al proceso del Plan de Parcial Bavaria. La idea es que vayan al juzgado.</v>
      </c>
      <c r="G2177" s="25" t="str">
        <f ca="1">IFERROR(__xludf.DUMMYFUNCTION("""COMPUTED_VALUE"""),"99. Distrito")</f>
        <v>99. Distrito</v>
      </c>
      <c r="H2177" s="55">
        <f ca="1">IFERROR(__xludf.DUMMYFUNCTION("""COMPUTED_VALUE"""),44413)</f>
        <v>44413</v>
      </c>
      <c r="I2177" s="25"/>
      <c r="J2177" s="55" t="str">
        <f ca="1">IFERROR(__xludf.DUMMYFUNCTION("""COMPUTED_VALUE"""),"Alta")</f>
        <v>Alta</v>
      </c>
      <c r="K2177" s="25">
        <f ca="1">IFERROR(__xludf.DUMMYFUNCTION("""COMPUTED_VALUE"""),30)</f>
        <v>30</v>
      </c>
      <c r="L2177" s="62"/>
      <c r="M2177" s="25"/>
      <c r="N2177" s="55">
        <f ca="1">IFERROR(__xludf.DUMMYFUNCTION("""COMPUTED_VALUE"""),44927)</f>
        <v>44927</v>
      </c>
      <c r="O2177" s="25" t="str">
        <f t="shared" ca="1" si="0"/>
        <v>Secretaría Distrital del Hábitat</v>
      </c>
      <c r="P2177" s="25" t="str">
        <f t="shared" si="2"/>
        <v/>
      </c>
      <c r="Q2177" s="25" t="str">
        <f ca="1">IFERROR(__xludf.DUMMYFUNCTION("""COMPUTED_VALUE"""),"Corto plazo")</f>
        <v>Corto plazo</v>
      </c>
      <c r="R2177" s="25"/>
      <c r="S2177" s="55"/>
      <c r="T2177" s="56"/>
      <c r="U2177" s="25"/>
      <c r="V2177" s="25"/>
      <c r="W2177" s="25"/>
      <c r="X2177" s="25"/>
      <c r="Y2177" s="25"/>
      <c r="Z2177" s="25"/>
    </row>
    <row r="2178" spans="1:26" ht="52.5" customHeight="1" x14ac:dyDescent="0.25">
      <c r="A2178" s="25" t="str">
        <f ca="1">IFERROR(__xludf.DUMMYFUNCTION("""COMPUTED_VALUE"""),"Hábit76")</f>
        <v>Hábit76</v>
      </c>
      <c r="B2178" s="25" t="str">
        <f ca="1">IFERROR(__xludf.DUMMYFUNCTION("""COMPUTED_VALUE"""),"Lagos de Torca ")</f>
        <v xml:space="preserve">Lagos de Torca </v>
      </c>
      <c r="C2178" s="55">
        <f ca="1">IFERROR(__xludf.DUMMYFUNCTION("""COMPUTED_VALUE"""),44383)</f>
        <v>44383</v>
      </c>
      <c r="D2178" s="25" t="str">
        <f ca="1">IFERROR(__xludf.DUMMYFUNCTION("""COMPUTED_VALUE"""),"Hábitat")</f>
        <v>Hábitat</v>
      </c>
      <c r="E2178" s="25" t="str">
        <f ca="1">IFERROR(__xludf.DUMMYFUNCTION("""COMPUTED_VALUE"""),"Secretaría Distrital del Hábitat")</f>
        <v>Secretaría Distrital del Hábitat</v>
      </c>
      <c r="F2178" s="25" t="str">
        <f ca="1">IFERROR(__xludf.DUMMYFUNCTION("""COMPUTED_VALUE"""),"Definir Cuántas aulas ambientales y lugar de ubicación dentro de los senderos de Lagos de Torca")</f>
        <v>Definir Cuántas aulas ambientales y lugar de ubicación dentro de los senderos de Lagos de Torca</v>
      </c>
      <c r="G2178" s="25" t="str">
        <f ca="1">IFERROR(__xludf.DUMMYFUNCTION("""COMPUTED_VALUE"""),"99. Distrito")</f>
        <v>99. Distrito</v>
      </c>
      <c r="H2178" s="55">
        <f ca="1">IFERROR(__xludf.DUMMYFUNCTION("""COMPUTED_VALUE"""),44413)</f>
        <v>44413</v>
      </c>
      <c r="I2178" s="25"/>
      <c r="J2178" s="55" t="str">
        <f ca="1">IFERROR(__xludf.DUMMYFUNCTION("""COMPUTED_VALUE"""),"Alta")</f>
        <v>Alta</v>
      </c>
      <c r="K2178" s="25">
        <f ca="1">IFERROR(__xludf.DUMMYFUNCTION("""COMPUTED_VALUE"""),30)</f>
        <v>30</v>
      </c>
      <c r="L2178" s="62"/>
      <c r="M2178" s="25"/>
      <c r="N2178" s="55">
        <f ca="1">IFERROR(__xludf.DUMMYFUNCTION("""COMPUTED_VALUE"""),44927)</f>
        <v>44927</v>
      </c>
      <c r="O2178" s="25" t="str">
        <f t="shared" ca="1" si="0"/>
        <v>Secretaría Distrital del Hábitat</v>
      </c>
      <c r="P2178" s="25" t="str">
        <f t="shared" si="2"/>
        <v/>
      </c>
      <c r="Q2178" s="25" t="str">
        <f ca="1">IFERROR(__xludf.DUMMYFUNCTION("""COMPUTED_VALUE"""),"Corto plazo")</f>
        <v>Corto plazo</v>
      </c>
      <c r="R2178" s="25"/>
      <c r="S2178" s="55"/>
      <c r="T2178" s="56"/>
      <c r="U2178" s="25"/>
      <c r="V2178" s="25"/>
      <c r="W2178" s="25"/>
      <c r="X2178" s="25"/>
      <c r="Y2178" s="25"/>
      <c r="Z2178" s="25"/>
    </row>
    <row r="2179" spans="1:26" ht="52.5" customHeight="1" x14ac:dyDescent="0.25">
      <c r="A2179" s="25" t="str">
        <f ca="1">IFERROR(__xludf.DUMMYFUNCTION("""COMPUTED_VALUE"""),"Hábit77")</f>
        <v>Hábit77</v>
      </c>
      <c r="B2179" s="25" t="str">
        <f ca="1">IFERROR(__xludf.DUMMYFUNCTION("""COMPUTED_VALUE"""),"CAMACOL POT")</f>
        <v>CAMACOL POT</v>
      </c>
      <c r="C2179" s="55">
        <f ca="1">IFERROR(__xludf.DUMMYFUNCTION("""COMPUTED_VALUE"""),44383)</f>
        <v>44383</v>
      </c>
      <c r="D2179" s="25" t="str">
        <f ca="1">IFERROR(__xludf.DUMMYFUNCTION("""COMPUTED_VALUE"""),"Hábitat")</f>
        <v>Hábitat</v>
      </c>
      <c r="E2179" s="25" t="str">
        <f ca="1">IFERROR(__xludf.DUMMYFUNCTION("""COMPUTED_VALUE"""),"Secretaría Distrital del Hábitat")</f>
        <v>Secretaría Distrital del Hábitat</v>
      </c>
      <c r="F2179" s="25" t="str">
        <f ca="1">IFERROR(__xludf.DUMMYFUNCTION("""COMPUTED_VALUE"""),"Revisar si el índice de construcción puede ser mayor a 5 para los requerimientos de planes parciales
")</f>
        <v xml:space="preserve">Revisar si el índice de construcción puede ser mayor a 5 para los requerimientos de planes parciales
</v>
      </c>
      <c r="G2179" s="25" t="str">
        <f ca="1">IFERROR(__xludf.DUMMYFUNCTION("""COMPUTED_VALUE"""),"99. Distrito")</f>
        <v>99. Distrito</v>
      </c>
      <c r="H2179" s="55">
        <f ca="1">IFERROR(__xludf.DUMMYFUNCTION("""COMPUTED_VALUE"""),44413)</f>
        <v>44413</v>
      </c>
      <c r="I2179" s="25"/>
      <c r="J2179" s="55" t="str">
        <f ca="1">IFERROR(__xludf.DUMMYFUNCTION("""COMPUTED_VALUE"""),"Alta")</f>
        <v>Alta</v>
      </c>
      <c r="K2179" s="25">
        <f ca="1">IFERROR(__xludf.DUMMYFUNCTION("""COMPUTED_VALUE"""),30)</f>
        <v>30</v>
      </c>
      <c r="L2179" s="62"/>
      <c r="M2179" s="25"/>
      <c r="N2179" s="55">
        <f ca="1">IFERROR(__xludf.DUMMYFUNCTION("""COMPUTED_VALUE"""),44927)</f>
        <v>44927</v>
      </c>
      <c r="O2179" s="25" t="str">
        <f t="shared" ca="1" si="0"/>
        <v>Secretaría Distrital del Hábitat</v>
      </c>
      <c r="P2179" s="25" t="str">
        <f t="shared" si="2"/>
        <v/>
      </c>
      <c r="Q2179" s="25" t="str">
        <f ca="1">IFERROR(__xludf.DUMMYFUNCTION("""COMPUTED_VALUE"""),"Corto plazo")</f>
        <v>Corto plazo</v>
      </c>
      <c r="R2179" s="25"/>
      <c r="S2179" s="55"/>
      <c r="T2179" s="56"/>
      <c r="U2179" s="25"/>
      <c r="V2179" s="25"/>
      <c r="W2179" s="25"/>
      <c r="X2179" s="25"/>
      <c r="Y2179" s="25"/>
      <c r="Z2179" s="25"/>
    </row>
    <row r="2180" spans="1:26" ht="52.5" customHeight="1" x14ac:dyDescent="0.25">
      <c r="A2180" s="25" t="str">
        <f ca="1">IFERROR(__xludf.DUMMYFUNCTION("""COMPUTED_VALUE"""),"Hábit78")</f>
        <v>Hábit78</v>
      </c>
      <c r="B2180" s="25" t="str">
        <f ca="1">IFERROR(__xludf.DUMMYFUNCTION("""COMPUTED_VALUE"""),"CAMACOL POT")</f>
        <v>CAMACOL POT</v>
      </c>
      <c r="C2180" s="55">
        <f ca="1">IFERROR(__xludf.DUMMYFUNCTION("""COMPUTED_VALUE"""),44383)</f>
        <v>44383</v>
      </c>
      <c r="D2180" s="25" t="str">
        <f ca="1">IFERROR(__xludf.DUMMYFUNCTION("""COMPUTED_VALUE"""),"Hábitat")</f>
        <v>Hábitat</v>
      </c>
      <c r="E2180" s="25" t="str">
        <f ca="1">IFERROR(__xludf.DUMMYFUNCTION("""COMPUTED_VALUE"""),"Secretaría Distrital del Hábitat")</f>
        <v>Secretaría Distrital del Hábitat</v>
      </c>
      <c r="F2180" s="25" t="str">
        <f ca="1">IFERROR(__xludf.DUMMYFUNCTION("""COMPUTED_VALUE"""),"Hacer una mesa de trabajo entre Camacol, la Secretaría de Hábitat y la Secretaría de Planeación para cruzar demanda de vivienda por estratos con encuesta multipropósito del dane y pensar una alternativa para el área de la vivienda (42m2)")</f>
        <v>Hacer una mesa de trabajo entre Camacol, la Secretaría de Hábitat y la Secretaría de Planeación para cruzar demanda de vivienda por estratos con encuesta multipropósito del dane y pensar una alternativa para el área de la vivienda (42m2)</v>
      </c>
      <c r="G2180" s="25" t="str">
        <f ca="1">IFERROR(__xludf.DUMMYFUNCTION("""COMPUTED_VALUE"""),"99. Distrito")</f>
        <v>99. Distrito</v>
      </c>
      <c r="H2180" s="55">
        <f ca="1">IFERROR(__xludf.DUMMYFUNCTION("""COMPUTED_VALUE"""),44413)</f>
        <v>44413</v>
      </c>
      <c r="I2180" s="25"/>
      <c r="J2180" s="55" t="str">
        <f ca="1">IFERROR(__xludf.DUMMYFUNCTION("""COMPUTED_VALUE"""),"Alta")</f>
        <v>Alta</v>
      </c>
      <c r="K2180" s="25">
        <f ca="1">IFERROR(__xludf.DUMMYFUNCTION("""COMPUTED_VALUE"""),30)</f>
        <v>30</v>
      </c>
      <c r="L2180" s="62"/>
      <c r="M2180" s="25"/>
      <c r="N2180" s="55">
        <f ca="1">IFERROR(__xludf.DUMMYFUNCTION("""COMPUTED_VALUE"""),44927)</f>
        <v>44927</v>
      </c>
      <c r="O2180" s="25" t="str">
        <f t="shared" ca="1" si="0"/>
        <v>Secretaría Distrital del Hábitat</v>
      </c>
      <c r="P2180" s="25" t="str">
        <f t="shared" si="2"/>
        <v/>
      </c>
      <c r="Q2180" s="25" t="str">
        <f ca="1">IFERROR(__xludf.DUMMYFUNCTION("""COMPUTED_VALUE"""),"Corto plazo")</f>
        <v>Corto plazo</v>
      </c>
      <c r="R2180" s="25"/>
      <c r="S2180" s="55"/>
      <c r="T2180" s="56"/>
      <c r="U2180" s="25"/>
      <c r="V2180" s="25"/>
      <c r="W2180" s="25"/>
      <c r="X2180" s="25"/>
      <c r="Y2180" s="25"/>
      <c r="Z2180" s="25"/>
    </row>
    <row r="2181" spans="1:26" ht="52.5" customHeight="1" x14ac:dyDescent="0.25">
      <c r="A2181" s="25" t="str">
        <f ca="1">IFERROR(__xludf.DUMMYFUNCTION("""COMPUTED_VALUE"""),"Hábit79")</f>
        <v>Hábit79</v>
      </c>
      <c r="B2181" s="25" t="str">
        <f ca="1">IFERROR(__xludf.DUMMYFUNCTION("""COMPUTED_VALUE"""),"Recorrido Ciudad Bolívar")</f>
        <v>Recorrido Ciudad Bolívar</v>
      </c>
      <c r="C2181" s="55">
        <f ca="1">IFERROR(__xludf.DUMMYFUNCTION("""COMPUTED_VALUE"""),44386)</f>
        <v>44386</v>
      </c>
      <c r="D2181" s="25" t="str">
        <f ca="1">IFERROR(__xludf.DUMMYFUNCTION("""COMPUTED_VALUE"""),"Hábitat")</f>
        <v>Hábitat</v>
      </c>
      <c r="E2181" s="25" t="str">
        <f ca="1">IFERROR(__xludf.DUMMYFUNCTION("""COMPUTED_VALUE"""),"Caja de Vivienda Popular")</f>
        <v>Caja de Vivienda Popular</v>
      </c>
      <c r="F2181" s="25" t="str">
        <f ca="1">IFERROR(__xludf.DUMMYFUNCTION("""COMPUTED_VALUE"""),"Entregar reporte actualizado de como va el sendero del parque Illimani a la estación del cable")</f>
        <v>Entregar reporte actualizado de como va el sendero del parque Illimani a la estación del cable</v>
      </c>
      <c r="G2181" s="55" t="str">
        <f ca="1">IFERROR(__xludf.DUMMYFUNCTION("""COMPUTED_VALUE"""),"19. Ciudad Bolívar")</f>
        <v>19. Ciudad Bolívar</v>
      </c>
      <c r="H2181" s="55">
        <f ca="1">IFERROR(__xludf.DUMMYFUNCTION("""COMPUTED_VALUE"""),44416)</f>
        <v>44416</v>
      </c>
      <c r="I2181" s="25"/>
      <c r="J2181" s="55" t="str">
        <f ca="1">IFERROR(__xludf.DUMMYFUNCTION("""COMPUTED_VALUE"""),"Alta")</f>
        <v>Alta</v>
      </c>
      <c r="K2181" s="25">
        <f ca="1">IFERROR(__xludf.DUMMYFUNCTION("""COMPUTED_VALUE"""),30)</f>
        <v>30</v>
      </c>
      <c r="L2181" s="62"/>
      <c r="M2181" s="64"/>
      <c r="N2181" s="55">
        <f ca="1">IFERROR(__xludf.DUMMYFUNCTION("""COMPUTED_VALUE"""),44927)</f>
        <v>44927</v>
      </c>
      <c r="O2181" s="25" t="str">
        <f t="shared" ca="1" si="0"/>
        <v>Caja de Vivienda Popular</v>
      </c>
      <c r="P2181" s="25" t="str">
        <f t="shared" si="2"/>
        <v/>
      </c>
      <c r="Q2181" s="25" t="str">
        <f ca="1">IFERROR(__xludf.DUMMYFUNCTION("""COMPUTED_VALUE"""),"Corto plazo")</f>
        <v>Corto plazo</v>
      </c>
      <c r="R2181" s="25"/>
      <c r="S2181" s="55"/>
      <c r="T2181" s="56"/>
      <c r="U2181" s="25"/>
      <c r="V2181" s="25"/>
      <c r="W2181" s="25"/>
      <c r="X2181" s="25"/>
      <c r="Y2181" s="25"/>
      <c r="Z2181" s="25"/>
    </row>
    <row r="2182" spans="1:26" ht="52.5" customHeight="1" x14ac:dyDescent="0.25">
      <c r="A2182" s="25" t="str">
        <f ca="1">IFERROR(__xludf.DUMMYFUNCTION("""COMPUTED_VALUE"""),"Hábit80")</f>
        <v>Hábit80</v>
      </c>
      <c r="B2182" s="25" t="str">
        <f ca="1">IFERROR(__xludf.DUMMYFUNCTION("""COMPUTED_VALUE"""),"Recorrido Ciudad Bolívar")</f>
        <v>Recorrido Ciudad Bolívar</v>
      </c>
      <c r="C2182" s="55">
        <f ca="1">IFERROR(__xludf.DUMMYFUNCTION("""COMPUTED_VALUE"""),44386)</f>
        <v>44386</v>
      </c>
      <c r="D2182" s="25" t="str">
        <f ca="1">IFERROR(__xludf.DUMMYFUNCTION("""COMPUTED_VALUE"""),"Hábitat")</f>
        <v>Hábitat</v>
      </c>
      <c r="E2182" s="25" t="str">
        <f ca="1">IFERROR(__xludf.DUMMYFUNCTION("""COMPUTED_VALUE"""),"Unidad Administrativa Especial de Servicios Públicos")</f>
        <v>Unidad Administrativa Especial de Servicios Públicos</v>
      </c>
      <c r="F2182" s="25" t="str">
        <f ca="1">IFERROR(__xludf.DUMMYFUNCTION("""COMPUTED_VALUE"""),"Realizar una reunión con Amanda Camacho y el edil Pablo hernández con el fin de contextualizar en que estamos con los Residuos Orgánicos")</f>
        <v>Realizar una reunión con Amanda Camacho y el edil Pablo hernández con el fin de contextualizar en que estamos con los Residuos Orgánicos</v>
      </c>
      <c r="G2182" s="55" t="str">
        <f ca="1">IFERROR(__xludf.DUMMYFUNCTION("""COMPUTED_VALUE"""),"19. Ciudad Bolívar")</f>
        <v>19. Ciudad Bolívar</v>
      </c>
      <c r="H2182" s="55">
        <f ca="1">IFERROR(__xludf.DUMMYFUNCTION("""COMPUTED_VALUE"""),44416)</f>
        <v>44416</v>
      </c>
      <c r="I2182" s="25"/>
      <c r="J2182" s="55" t="str">
        <f ca="1">IFERROR(__xludf.DUMMYFUNCTION("""COMPUTED_VALUE"""),"Alta")</f>
        <v>Alta</v>
      </c>
      <c r="K2182" s="25">
        <f ca="1">IFERROR(__xludf.DUMMYFUNCTION("""COMPUTED_VALUE"""),30)</f>
        <v>30</v>
      </c>
      <c r="L2182" s="62"/>
      <c r="M2182" s="25"/>
      <c r="N2182" s="55">
        <f ca="1">IFERROR(__xludf.DUMMYFUNCTION("""COMPUTED_VALUE"""),44927)</f>
        <v>44927</v>
      </c>
      <c r="O2182" s="25" t="str">
        <f t="shared" ca="1" si="0"/>
        <v>Unidad Administrativa Especial de Servicios Públicos</v>
      </c>
      <c r="P2182" s="25" t="str">
        <f t="shared" si="2"/>
        <v/>
      </c>
      <c r="Q2182" s="25" t="str">
        <f ca="1">IFERROR(__xludf.DUMMYFUNCTION("""COMPUTED_VALUE"""),"Corto plazo")</f>
        <v>Corto plazo</v>
      </c>
      <c r="R2182" s="25"/>
      <c r="S2182" s="55"/>
      <c r="T2182" s="56"/>
      <c r="U2182" s="25"/>
      <c r="V2182" s="25"/>
      <c r="W2182" s="25"/>
      <c r="X2182" s="25"/>
      <c r="Y2182" s="25"/>
      <c r="Z2182" s="25"/>
    </row>
    <row r="2183" spans="1:26" ht="52.5" customHeight="1" x14ac:dyDescent="0.25">
      <c r="A2183" s="25" t="str">
        <f ca="1">IFERROR(__xludf.DUMMYFUNCTION("""COMPUTED_VALUE"""),"Hábit81")</f>
        <v>Hábit81</v>
      </c>
      <c r="B2183" s="25" t="str">
        <f ca="1">IFERROR(__xludf.DUMMYFUNCTION("""COMPUTED_VALUE"""),"Recorrido Ciudad Bolívar")</f>
        <v>Recorrido Ciudad Bolívar</v>
      </c>
      <c r="C2183" s="55">
        <f ca="1">IFERROR(__xludf.DUMMYFUNCTION("""COMPUTED_VALUE"""),44386)</f>
        <v>44386</v>
      </c>
      <c r="D2183" s="25" t="str">
        <f ca="1">IFERROR(__xludf.DUMMYFUNCTION("""COMPUTED_VALUE"""),"Hábitat")</f>
        <v>Hábitat</v>
      </c>
      <c r="E2183" s="25" t="str">
        <f ca="1">IFERROR(__xludf.DUMMYFUNCTION("""COMPUTED_VALUE"""),"Unidad Administrativa Especial de Servicios Públicos")</f>
        <v>Unidad Administrativa Especial de Servicios Públicos</v>
      </c>
      <c r="F2183" s="25" t="str">
        <f ca="1">IFERROR(__xludf.DUMMYFUNCTION("""COMPUTED_VALUE"""),"Que la UAESP nos informe ¿por que hay pocos contenedores en la localidad?")</f>
        <v>Que la UAESP nos informe ¿por que hay pocos contenedores en la localidad?</v>
      </c>
      <c r="G2183" s="55" t="str">
        <f ca="1">IFERROR(__xludf.DUMMYFUNCTION("""COMPUTED_VALUE"""),"19. Ciudad Bolívar")</f>
        <v>19. Ciudad Bolívar</v>
      </c>
      <c r="H2183" s="55">
        <f ca="1">IFERROR(__xludf.DUMMYFUNCTION("""COMPUTED_VALUE"""),44416)</f>
        <v>44416</v>
      </c>
      <c r="I2183" s="25"/>
      <c r="J2183" s="55" t="str">
        <f ca="1">IFERROR(__xludf.DUMMYFUNCTION("""COMPUTED_VALUE"""),"Alta")</f>
        <v>Alta</v>
      </c>
      <c r="K2183" s="25">
        <f ca="1">IFERROR(__xludf.DUMMYFUNCTION("""COMPUTED_VALUE"""),30)</f>
        <v>30</v>
      </c>
      <c r="L2183" s="62"/>
      <c r="M2183" s="25" t="s">
        <v>93</v>
      </c>
      <c r="N2183" s="55">
        <f ca="1">IFERROR(__xludf.DUMMYFUNCTION("""COMPUTED_VALUE"""),44927)</f>
        <v>44927</v>
      </c>
      <c r="O2183" s="25" t="str">
        <f t="shared" ca="1" si="0"/>
        <v>Unidad Administrativa Especial de Servicios Públicos</v>
      </c>
      <c r="P2183" s="25" t="str">
        <f t="shared" si="2"/>
        <v/>
      </c>
      <c r="Q2183" s="25" t="str">
        <f ca="1">IFERROR(__xludf.DUMMYFUNCTION("""COMPUTED_VALUE"""),"Corto plazo")</f>
        <v>Corto plazo</v>
      </c>
      <c r="R2183" s="25"/>
      <c r="S2183" s="55"/>
      <c r="T2183" s="56"/>
      <c r="U2183" s="25"/>
      <c r="V2183" s="25"/>
      <c r="W2183" s="25"/>
      <c r="X2183" s="25"/>
      <c r="Y2183" s="25"/>
      <c r="Z2183" s="25"/>
    </row>
    <row r="2184" spans="1:26" ht="52.5" customHeight="1" x14ac:dyDescent="0.25">
      <c r="A2184" s="25" t="str">
        <f ca="1">IFERROR(__xludf.DUMMYFUNCTION("""COMPUTED_VALUE"""),"Hábit82")</f>
        <v>Hábit82</v>
      </c>
      <c r="B2184" s="25" t="str">
        <f ca="1">IFERROR(__xludf.DUMMYFUNCTION("""COMPUTED_VALUE"""),"Revisión Tunjuelo y Alo Norte")</f>
        <v>Revisión Tunjuelo y Alo Norte</v>
      </c>
      <c r="C2184" s="55">
        <f ca="1">IFERROR(__xludf.DUMMYFUNCTION("""COMPUTED_VALUE"""),44368)</f>
        <v>44368</v>
      </c>
      <c r="D2184" s="25" t="str">
        <f ca="1">IFERROR(__xludf.DUMMYFUNCTION("""COMPUTED_VALUE"""),"Hábitat")</f>
        <v>Hábitat</v>
      </c>
      <c r="E2184" s="25" t="str">
        <f ca="1">IFERROR(__xludf.DUMMYFUNCTION("""COMPUTED_VALUE"""),"Secretaría Distrital del Hábitat")</f>
        <v>Secretaría Distrital del Hábitat</v>
      </c>
      <c r="F2184" s="25" t="str">
        <f ca="1">IFERROR(__xludf.DUMMYFUNCTION("""COMPUTED_VALUE"""),"Reunirse Hábitat y Ambiente para contrastar la cartografía de la Resolución 2304 con la información consignada y presentada en el reunión para así definir cual el cifra de hectáreas de las reservas viales (art. 155) en el proyecto Actuación Estratégica Re"&amp;"verdecer Sur")</f>
        <v>Reunirse Hábitat y Ambiente para contrastar la cartografía de la Resolución 2304 con la información consignada y presentada en el reunión para así definir cual el cifra de hectáreas de las reservas viales (art. 155) en el proyecto Actuación Estratégica Reverdecer Sur</v>
      </c>
      <c r="G2184" s="25" t="str">
        <f ca="1">IFERROR(__xludf.DUMMYFUNCTION("""COMPUTED_VALUE"""),"99. Distrito")</f>
        <v>99. Distrito</v>
      </c>
      <c r="H2184" s="55">
        <f ca="1">IFERROR(__xludf.DUMMYFUNCTION("""COMPUTED_VALUE"""),44398)</f>
        <v>44398</v>
      </c>
      <c r="I2184" s="25"/>
      <c r="J2184" s="55" t="str">
        <f ca="1">IFERROR(__xludf.DUMMYFUNCTION("""COMPUTED_VALUE"""),"Alta")</f>
        <v>Alta</v>
      </c>
      <c r="K2184" s="25">
        <f ca="1">IFERROR(__xludf.DUMMYFUNCTION("""COMPUTED_VALUE"""),30)</f>
        <v>30</v>
      </c>
      <c r="L2184" s="62"/>
      <c r="M2184" s="25"/>
      <c r="N2184" s="55">
        <f ca="1">IFERROR(__xludf.DUMMYFUNCTION("""COMPUTED_VALUE"""),44927)</f>
        <v>44927</v>
      </c>
      <c r="O2184" s="25" t="str">
        <f t="shared" ca="1" si="0"/>
        <v>Secretaría Distrital del Hábitat</v>
      </c>
      <c r="P2184" s="25" t="str">
        <f t="shared" si="2"/>
        <v/>
      </c>
      <c r="Q2184" s="25" t="str">
        <f ca="1">IFERROR(__xludf.DUMMYFUNCTION("""COMPUTED_VALUE"""),"Corto plazo")</f>
        <v>Corto plazo</v>
      </c>
      <c r="R2184" s="25"/>
      <c r="S2184" s="55"/>
      <c r="T2184" s="56"/>
      <c r="U2184" s="25"/>
      <c r="V2184" s="25"/>
      <c r="W2184" s="25"/>
      <c r="X2184" s="25"/>
      <c r="Y2184" s="25"/>
      <c r="Z2184" s="25"/>
    </row>
    <row r="2185" spans="1:26" ht="52.5" customHeight="1" x14ac:dyDescent="0.25">
      <c r="A2185" s="25" t="str">
        <f ca="1">IFERROR(__xludf.DUMMYFUNCTION("""COMPUTED_VALUE"""),"Hábit83")</f>
        <v>Hábit83</v>
      </c>
      <c r="B2185" s="25" t="str">
        <f ca="1">IFERROR(__xludf.DUMMYFUNCTION("""COMPUTED_VALUE"""),"Revisión Tunjuelo y Alo Norte")</f>
        <v>Revisión Tunjuelo y Alo Norte</v>
      </c>
      <c r="C2185" s="55">
        <f ca="1">IFERROR(__xludf.DUMMYFUNCTION("""COMPUTED_VALUE"""),44368)</f>
        <v>44368</v>
      </c>
      <c r="D2185" s="25" t="str">
        <f ca="1">IFERROR(__xludf.DUMMYFUNCTION("""COMPUTED_VALUE"""),"Hábitat")</f>
        <v>Hábitat</v>
      </c>
      <c r="E2185" s="25" t="str">
        <f ca="1">IFERROR(__xludf.DUMMYFUNCTION("""COMPUTED_VALUE"""),"Secretaría Distrital del Hábitat")</f>
        <v>Secretaría Distrital del Hábitat</v>
      </c>
      <c r="F2185" s="25" t="str">
        <f ca="1">IFERROR(__xludf.DUMMYFUNCTION("""COMPUTED_VALUE"""),"Entregar propuesta concreta al batallón referente a zonas y usos del suelo que permitan dar continuidad al proyecto Actuación Estratégica Reverdecer Sur")</f>
        <v>Entregar propuesta concreta al batallón referente a zonas y usos del suelo que permitan dar continuidad al proyecto Actuación Estratégica Reverdecer Sur</v>
      </c>
      <c r="G2185" s="25" t="str">
        <f ca="1">IFERROR(__xludf.DUMMYFUNCTION("""COMPUTED_VALUE"""),"99. Distrito")</f>
        <v>99. Distrito</v>
      </c>
      <c r="H2185" s="55">
        <f ca="1">IFERROR(__xludf.DUMMYFUNCTION("""COMPUTED_VALUE"""),44398)</f>
        <v>44398</v>
      </c>
      <c r="I2185" s="25"/>
      <c r="J2185" s="55" t="str">
        <f ca="1">IFERROR(__xludf.DUMMYFUNCTION("""COMPUTED_VALUE"""),"Alta")</f>
        <v>Alta</v>
      </c>
      <c r="K2185" s="25">
        <f ca="1">IFERROR(__xludf.DUMMYFUNCTION("""COMPUTED_VALUE"""),30)</f>
        <v>30</v>
      </c>
      <c r="L2185" s="62"/>
      <c r="M2185" s="25"/>
      <c r="N2185" s="55">
        <f ca="1">IFERROR(__xludf.DUMMYFUNCTION("""COMPUTED_VALUE"""),44927)</f>
        <v>44927</v>
      </c>
      <c r="O2185" s="25" t="str">
        <f t="shared" ca="1" si="0"/>
        <v>Secretaría Distrital del Hábitat</v>
      </c>
      <c r="P2185" s="25" t="str">
        <f t="shared" si="2"/>
        <v/>
      </c>
      <c r="Q2185" s="25" t="str">
        <f ca="1">IFERROR(__xludf.DUMMYFUNCTION("""COMPUTED_VALUE"""),"Corto plazo")</f>
        <v>Corto plazo</v>
      </c>
      <c r="R2185" s="25"/>
      <c r="S2185" s="55"/>
      <c r="T2185" s="56"/>
      <c r="U2185" s="25"/>
      <c r="V2185" s="25"/>
      <c r="W2185" s="25"/>
      <c r="X2185" s="25"/>
      <c r="Y2185" s="25"/>
      <c r="Z2185" s="25"/>
    </row>
    <row r="2186" spans="1:26" ht="52.5" customHeight="1" x14ac:dyDescent="0.25">
      <c r="A2186" s="25" t="str">
        <f ca="1">IFERROR(__xludf.DUMMYFUNCTION("""COMPUTED_VALUE"""),"Hábit84")</f>
        <v>Hábit84</v>
      </c>
      <c r="B2186" s="25" t="str">
        <f ca="1">IFERROR(__xludf.DUMMYFUNCTION("""COMPUTED_VALUE"""),"Revisión Tunjuelo y Alo Norte")</f>
        <v>Revisión Tunjuelo y Alo Norte</v>
      </c>
      <c r="C2186" s="55">
        <f ca="1">IFERROR(__xludf.DUMMYFUNCTION("""COMPUTED_VALUE"""),44368)</f>
        <v>44368</v>
      </c>
      <c r="D2186" s="25" t="str">
        <f ca="1">IFERROR(__xludf.DUMMYFUNCTION("""COMPUTED_VALUE"""),"Hábitat")</f>
        <v>Hábitat</v>
      </c>
      <c r="E2186" s="25" t="str">
        <f ca="1">IFERROR(__xludf.DUMMYFUNCTION("""COMPUTED_VALUE"""),"Secretaría Distrital del Hábitat")</f>
        <v>Secretaría Distrital del Hábitat</v>
      </c>
      <c r="F2186" s="25" t="str">
        <f ca="1">IFERROR(__xludf.DUMMYFUNCTION("""COMPUTED_VALUE"""),"Entregar propuesta concreta a la ANLA específica (cierres mineros, reconformación del río y demás) que incluya cronograma y división de funciones respecto a la reconformación del uso del suelo y áreas destinadas en el proyecto Actuación Estratégica Reverd"&amp;"ecer Sur")</f>
        <v>Entregar propuesta concreta a la ANLA específica (cierres mineros, reconformación del río y demás) que incluya cronograma y división de funciones respecto a la reconformación del uso del suelo y áreas destinadas en el proyecto Actuación Estratégica Reverdecer Sur</v>
      </c>
      <c r="G2186" s="25" t="str">
        <f ca="1">IFERROR(__xludf.DUMMYFUNCTION("""COMPUTED_VALUE"""),"99. Distrito")</f>
        <v>99. Distrito</v>
      </c>
      <c r="H2186" s="55">
        <f ca="1">IFERROR(__xludf.DUMMYFUNCTION("""COMPUTED_VALUE"""),44398)</f>
        <v>44398</v>
      </c>
      <c r="I2186" s="25"/>
      <c r="J2186" s="55" t="str">
        <f ca="1">IFERROR(__xludf.DUMMYFUNCTION("""COMPUTED_VALUE"""),"Alta")</f>
        <v>Alta</v>
      </c>
      <c r="K2186" s="25">
        <f ca="1">IFERROR(__xludf.DUMMYFUNCTION("""COMPUTED_VALUE"""),30)</f>
        <v>30</v>
      </c>
      <c r="L2186" s="62"/>
      <c r="M2186" s="25"/>
      <c r="N2186" s="55">
        <f ca="1">IFERROR(__xludf.DUMMYFUNCTION("""COMPUTED_VALUE"""),44927)</f>
        <v>44927</v>
      </c>
      <c r="O2186" s="25" t="str">
        <f t="shared" ca="1" si="0"/>
        <v>Secretaría Distrital del Hábitat</v>
      </c>
      <c r="P2186" s="25" t="str">
        <f t="shared" si="2"/>
        <v/>
      </c>
      <c r="Q2186" s="25" t="str">
        <f ca="1">IFERROR(__xludf.DUMMYFUNCTION("""COMPUTED_VALUE"""),"Corto plazo")</f>
        <v>Corto plazo</v>
      </c>
      <c r="R2186" s="25"/>
      <c r="S2186" s="55"/>
      <c r="T2186" s="56"/>
      <c r="U2186" s="25"/>
      <c r="V2186" s="25"/>
      <c r="W2186" s="25"/>
      <c r="X2186" s="25"/>
      <c r="Y2186" s="25"/>
      <c r="Z2186" s="25"/>
    </row>
    <row r="2187" spans="1:26" ht="52.5" customHeight="1" x14ac:dyDescent="0.25">
      <c r="A2187" s="25" t="str">
        <f ca="1">IFERROR(__xludf.DUMMYFUNCTION("""COMPUTED_VALUE"""),"Hábit85")</f>
        <v>Hábit85</v>
      </c>
      <c r="B2187" s="25" t="str">
        <f ca="1">IFERROR(__xludf.DUMMYFUNCTION("""COMPUTED_VALUE"""),"Revisión Tunjuelo y Alo Norte")</f>
        <v>Revisión Tunjuelo y Alo Norte</v>
      </c>
      <c r="C2187" s="55">
        <f ca="1">IFERROR(__xludf.DUMMYFUNCTION("""COMPUTED_VALUE"""),44368)</f>
        <v>44368</v>
      </c>
      <c r="D2187" s="25" t="str">
        <f ca="1">IFERROR(__xludf.DUMMYFUNCTION("""COMPUTED_VALUE"""),"Hábitat")</f>
        <v>Hábitat</v>
      </c>
      <c r="E2187" s="25" t="str">
        <f ca="1">IFERROR(__xludf.DUMMYFUNCTION("""COMPUTED_VALUE"""),"Secretaría Distrital del Hábitat")</f>
        <v>Secretaría Distrital del Hábitat</v>
      </c>
      <c r="F2187" s="25" t="str">
        <f ca="1">IFERROR(__xludf.DUMMYFUNCTION("""COMPUTED_VALUE"""),"Definir estrategia jurídica que permita anticiparse a posibles demandas y otros riesgos que frenen los proyectos. En este sentido, qué información puede incluirse en la Concertación o que en el POT. Tener en cuenta criterios como la incorporación de estud"&amp;"ios geomorfológicos al detalle y componente sistémico. ")</f>
        <v xml:space="preserve">Definir estrategia jurídica que permita anticiparse a posibles demandas y otros riesgos que frenen los proyectos. En este sentido, qué información puede incluirse en la Concertación o que en el POT. Tener en cuenta criterios como la incorporación de estudios geomorfológicos al detalle y componente sistémico. </v>
      </c>
      <c r="G2187" s="25" t="str">
        <f ca="1">IFERROR(__xludf.DUMMYFUNCTION("""COMPUTED_VALUE"""),"99. Distrito")</f>
        <v>99. Distrito</v>
      </c>
      <c r="H2187" s="55">
        <f ca="1">IFERROR(__xludf.DUMMYFUNCTION("""COMPUTED_VALUE"""),44398)</f>
        <v>44398</v>
      </c>
      <c r="I2187" s="25"/>
      <c r="J2187" s="55" t="str">
        <f ca="1">IFERROR(__xludf.DUMMYFUNCTION("""COMPUTED_VALUE"""),"Alta")</f>
        <v>Alta</v>
      </c>
      <c r="K2187" s="25">
        <f ca="1">IFERROR(__xludf.DUMMYFUNCTION("""COMPUTED_VALUE"""),30)</f>
        <v>30</v>
      </c>
      <c r="L2187" s="62"/>
      <c r="M2187" s="25"/>
      <c r="N2187" s="55">
        <f ca="1">IFERROR(__xludf.DUMMYFUNCTION("""COMPUTED_VALUE"""),44927)</f>
        <v>44927</v>
      </c>
      <c r="O2187" s="25" t="str">
        <f t="shared" ca="1" si="0"/>
        <v>Secretaría Distrital del Hábitat</v>
      </c>
      <c r="P2187" s="25" t="str">
        <f t="shared" si="2"/>
        <v/>
      </c>
      <c r="Q2187" s="25" t="str">
        <f ca="1">IFERROR(__xludf.DUMMYFUNCTION("""COMPUTED_VALUE"""),"Corto plazo")</f>
        <v>Corto plazo</v>
      </c>
      <c r="R2187" s="25"/>
      <c r="S2187" s="55"/>
      <c r="T2187" s="56"/>
      <c r="U2187" s="25"/>
      <c r="V2187" s="25"/>
      <c r="W2187" s="25"/>
      <c r="X2187" s="25"/>
      <c r="Y2187" s="25"/>
      <c r="Z2187" s="25"/>
    </row>
    <row r="2188" spans="1:26" ht="52.5" customHeight="1" x14ac:dyDescent="0.25">
      <c r="A2188" s="25" t="str">
        <f ca="1">IFERROR(__xludf.DUMMYFUNCTION("""COMPUTED_VALUE"""),"Hábit86")</f>
        <v>Hábit86</v>
      </c>
      <c r="B2188" s="25" t="str">
        <f ca="1">IFERROR(__xludf.DUMMYFUNCTION("""COMPUTED_VALUE"""),"Reunión Universidad de los Andes ")</f>
        <v xml:space="preserve">Reunión Universidad de los Andes </v>
      </c>
      <c r="C2188" s="55">
        <f ca="1">IFERROR(__xludf.DUMMYFUNCTION("""COMPUTED_VALUE"""),44384)</f>
        <v>44384</v>
      </c>
      <c r="D2188" s="25" t="str">
        <f ca="1">IFERROR(__xludf.DUMMYFUNCTION("""COMPUTED_VALUE"""),"Hábitat")</f>
        <v>Hábitat</v>
      </c>
      <c r="E2188" s="25" t="str">
        <f ca="1">IFERROR(__xludf.DUMMYFUNCTION("""COMPUTED_VALUE"""),"Secretaría Distrital del Hábitat")</f>
        <v>Secretaría Distrital del Hábitat</v>
      </c>
      <c r="F2188" s="25" t="str">
        <f ca="1">IFERROR(__xludf.DUMMYFUNCTION("""COMPUTED_VALUE"""),"Redactar un artículo para el POT que defina el momento del valor catastral de los predios en el plan parcial Fenicia. 
")</f>
        <v xml:space="preserve">Redactar un artículo para el POT que defina el momento del valor catastral de los predios en el plan parcial Fenicia. 
</v>
      </c>
      <c r="G2188" s="25" t="str">
        <f ca="1">IFERROR(__xludf.DUMMYFUNCTION("""COMPUTED_VALUE"""),"99. Distrito")</f>
        <v>99. Distrito</v>
      </c>
      <c r="H2188" s="55">
        <f ca="1">IFERROR(__xludf.DUMMYFUNCTION("""COMPUTED_VALUE"""),44414)</f>
        <v>44414</v>
      </c>
      <c r="I2188" s="25"/>
      <c r="J2188" s="55" t="str">
        <f ca="1">IFERROR(__xludf.DUMMYFUNCTION("""COMPUTED_VALUE"""),"Alta")</f>
        <v>Alta</v>
      </c>
      <c r="K2188" s="25">
        <f ca="1">IFERROR(__xludf.DUMMYFUNCTION("""COMPUTED_VALUE"""),30)</f>
        <v>30</v>
      </c>
      <c r="L2188" s="62"/>
      <c r="M2188" s="25"/>
      <c r="N2188" s="55">
        <f ca="1">IFERROR(__xludf.DUMMYFUNCTION("""COMPUTED_VALUE"""),44927)</f>
        <v>44927</v>
      </c>
      <c r="O2188" s="25" t="str">
        <f t="shared" ca="1" si="0"/>
        <v>Secretaría Distrital del Hábitat</v>
      </c>
      <c r="P2188" s="25" t="str">
        <f t="shared" si="2"/>
        <v/>
      </c>
      <c r="Q2188" s="25" t="str">
        <f ca="1">IFERROR(__xludf.DUMMYFUNCTION("""COMPUTED_VALUE"""),"Corto plazo")</f>
        <v>Corto plazo</v>
      </c>
      <c r="R2188" s="25"/>
      <c r="S2188" s="55"/>
      <c r="T2188" s="56"/>
      <c r="U2188" s="25"/>
      <c r="V2188" s="25"/>
      <c r="W2188" s="25"/>
      <c r="X2188" s="25"/>
      <c r="Y2188" s="25"/>
      <c r="Z2188" s="25"/>
    </row>
    <row r="2189" spans="1:26" ht="52.5" customHeight="1" x14ac:dyDescent="0.25">
      <c r="A2189" s="25" t="str">
        <f ca="1">IFERROR(__xludf.DUMMYFUNCTION("""COMPUTED_VALUE"""),"Hábit87")</f>
        <v>Hábit87</v>
      </c>
      <c r="B2189" s="25" t="str">
        <f ca="1">IFERROR(__xludf.DUMMYFUNCTION("""COMPUTED_VALUE"""),"Recorrido Chapinero")</f>
        <v>Recorrido Chapinero</v>
      </c>
      <c r="C2189" s="55">
        <f ca="1">IFERROR(__xludf.DUMMYFUNCTION("""COMPUTED_VALUE"""),44105)</f>
        <v>44105</v>
      </c>
      <c r="D2189" s="25" t="str">
        <f ca="1">IFERROR(__xludf.DUMMYFUNCTION("""COMPUTED_VALUE"""),"Hábitat")</f>
        <v>Hábitat</v>
      </c>
      <c r="E2189" s="25" t="str">
        <f ca="1">IFERROR(__xludf.DUMMYFUNCTION("""COMPUTED_VALUE"""),"Secretaría Distrital del Hábitat")</f>
        <v>Secretaría Distrital del Hábitat</v>
      </c>
      <c r="F2189" s="25" t="str">
        <f ca="1">IFERROR(__xludf.DUMMYFUNCTION("""COMPUTED_VALUE"""),"Elaborar documento que registró los avances del proyectos Acualcos. Este debe incluir dificultades y que hace falta para la finalización del mismo. ")</f>
        <v xml:space="preserve">Elaborar documento que registró los avances del proyectos Acualcos. Este debe incluir dificultades y que hace falta para la finalización del mismo. </v>
      </c>
      <c r="G2189" s="55" t="str">
        <f ca="1">IFERROR(__xludf.DUMMYFUNCTION("""COMPUTED_VALUE"""),"02. Chapinero")</f>
        <v>02. Chapinero</v>
      </c>
      <c r="H2189" s="55">
        <f ca="1">IFERROR(__xludf.DUMMYFUNCTION("""COMPUTED_VALUE"""),44135)</f>
        <v>44135</v>
      </c>
      <c r="I2189" s="25"/>
      <c r="J2189" s="55" t="str">
        <f ca="1">IFERROR(__xludf.DUMMYFUNCTION("""COMPUTED_VALUE"""),"Alta")</f>
        <v>Alta</v>
      </c>
      <c r="K2189" s="25">
        <f ca="1">IFERROR(__xludf.DUMMYFUNCTION("""COMPUTED_VALUE"""),30)</f>
        <v>30</v>
      </c>
      <c r="L2189" s="62"/>
      <c r="M2189" s="25"/>
      <c r="N2189" s="55">
        <f ca="1">IFERROR(__xludf.DUMMYFUNCTION("""COMPUTED_VALUE"""),44927)</f>
        <v>44927</v>
      </c>
      <c r="O2189" s="25" t="str">
        <f t="shared" ca="1" si="0"/>
        <v>Secretaría Distrital del Hábitat</v>
      </c>
      <c r="P2189" s="25" t="str">
        <f t="shared" si="2"/>
        <v/>
      </c>
      <c r="Q2189" s="25" t="str">
        <f ca="1">IFERROR(__xludf.DUMMYFUNCTION("""COMPUTED_VALUE"""),"Corto plazo")</f>
        <v>Corto plazo</v>
      </c>
      <c r="R2189" s="25"/>
      <c r="S2189" s="55"/>
      <c r="T2189" s="56"/>
      <c r="U2189" s="25"/>
      <c r="V2189" s="25"/>
      <c r="W2189" s="25"/>
      <c r="X2189" s="25"/>
      <c r="Y2189" s="25"/>
      <c r="Z2189" s="25"/>
    </row>
    <row r="2190" spans="1:26" ht="52.5" customHeight="1" x14ac:dyDescent="0.25">
      <c r="A2190" s="25" t="str">
        <f ca="1">IFERROR(__xludf.DUMMYFUNCTION("""COMPUTED_VALUE"""),"Hábit88")</f>
        <v>Hábit88</v>
      </c>
      <c r="B2190" s="25" t="str">
        <f ca="1">IFERROR(__xludf.DUMMYFUNCTION("""COMPUTED_VALUE"""),"Recorrido Chapinero")</f>
        <v>Recorrido Chapinero</v>
      </c>
      <c r="C2190" s="55">
        <f ca="1">IFERROR(__xludf.DUMMYFUNCTION("""COMPUTED_VALUE"""),44105)</f>
        <v>44105</v>
      </c>
      <c r="D2190" s="25" t="str">
        <f ca="1">IFERROR(__xludf.DUMMYFUNCTION("""COMPUTED_VALUE"""),"Hábitat")</f>
        <v>Hábitat</v>
      </c>
      <c r="E2190" s="25" t="str">
        <f ca="1">IFERROR(__xludf.DUMMYFUNCTION("""COMPUTED_VALUE"""),"Secretaría Distrital del Hábitat")</f>
        <v>Secretaría Distrital del Hábitat</v>
      </c>
      <c r="F2190" s="25" t="str">
        <f ca="1">IFERROR(__xludf.DUMMYFUNCTION("""COMPUTED_VALUE"""),"Elaborar documento que contenga como va el proceso de legalización de barrios de la localidad de Chapinero")</f>
        <v>Elaborar documento que contenga como va el proceso de legalización de barrios de la localidad de Chapinero</v>
      </c>
      <c r="G2190" s="55" t="str">
        <f ca="1">IFERROR(__xludf.DUMMYFUNCTION("""COMPUTED_VALUE"""),"02. Chapinero")</f>
        <v>02. Chapinero</v>
      </c>
      <c r="H2190" s="55">
        <f ca="1">IFERROR(__xludf.DUMMYFUNCTION("""COMPUTED_VALUE"""),44135)</f>
        <v>44135</v>
      </c>
      <c r="I2190" s="25"/>
      <c r="J2190" s="55" t="str">
        <f ca="1">IFERROR(__xludf.DUMMYFUNCTION("""COMPUTED_VALUE"""),"Alta")</f>
        <v>Alta</v>
      </c>
      <c r="K2190" s="25">
        <f ca="1">IFERROR(__xludf.DUMMYFUNCTION("""COMPUTED_VALUE"""),30)</f>
        <v>30</v>
      </c>
      <c r="L2190" s="62"/>
      <c r="M2190" s="25"/>
      <c r="N2190" s="55">
        <f ca="1">IFERROR(__xludf.DUMMYFUNCTION("""COMPUTED_VALUE"""),44927)</f>
        <v>44927</v>
      </c>
      <c r="O2190" s="25" t="str">
        <f t="shared" ca="1" si="0"/>
        <v>Secretaría Distrital del Hábitat</v>
      </c>
      <c r="P2190" s="25" t="str">
        <f t="shared" si="2"/>
        <v/>
      </c>
      <c r="Q2190" s="25" t="str">
        <f ca="1">IFERROR(__xludf.DUMMYFUNCTION("""COMPUTED_VALUE"""),"Corto plazo")</f>
        <v>Corto plazo</v>
      </c>
      <c r="R2190" s="25"/>
      <c r="S2190" s="55"/>
      <c r="T2190" s="56"/>
      <c r="U2190" s="25"/>
      <c r="V2190" s="25"/>
      <c r="W2190" s="25"/>
      <c r="X2190" s="25"/>
      <c r="Y2190" s="25"/>
      <c r="Z2190" s="25"/>
    </row>
    <row r="2191" spans="1:26" ht="52.5" customHeight="1" x14ac:dyDescent="0.25">
      <c r="A2191" s="25" t="str">
        <f ca="1">IFERROR(__xludf.DUMMYFUNCTION("""COMPUTED_VALUE"""),"Hábit89")</f>
        <v>Hábit89</v>
      </c>
      <c r="B2191" s="25" t="str">
        <f ca="1">IFERROR(__xludf.DUMMYFUNCTION("""COMPUTED_VALUE"""),"Revisión Obra Juan Amarillo ")</f>
        <v xml:space="preserve">Revisión Obra Juan Amarillo </v>
      </c>
      <c r="C2191" s="55">
        <f ca="1">IFERROR(__xludf.DUMMYFUNCTION("""COMPUTED_VALUE"""),44393)</f>
        <v>44393</v>
      </c>
      <c r="D2191" s="25" t="str">
        <f ca="1">IFERROR(__xludf.DUMMYFUNCTION("""COMPUTED_VALUE"""),"Hábitat")</f>
        <v>Hábitat</v>
      </c>
      <c r="E2191" s="25" t="str">
        <f ca="1">IFERROR(__xludf.DUMMYFUNCTION("""COMPUTED_VALUE"""),"Secretaría Distrital del Hábitat")</f>
        <v>Secretaría Distrital del Hábitat</v>
      </c>
      <c r="F2191" s="25" t="str">
        <f ca="1">IFERROR(__xludf.DUMMYFUNCTION("""COMPUTED_VALUE"""),"Solicitar seguridad y custodia para la obra de Juan Amarillo y poder seguir su ejecución contractual de acuerdo a lo estipulado. Está solicitud se le debe realizar al General Rey.")</f>
        <v>Solicitar seguridad y custodia para la obra de Juan Amarillo y poder seguir su ejecución contractual de acuerdo a lo estipulado. Está solicitud se le debe realizar al General Rey.</v>
      </c>
      <c r="G2191" s="25" t="str">
        <f ca="1">IFERROR(__xludf.DUMMYFUNCTION("""COMPUTED_VALUE"""),"99. Distrito")</f>
        <v>99. Distrito</v>
      </c>
      <c r="H2191" s="55">
        <f ca="1">IFERROR(__xludf.DUMMYFUNCTION("""COMPUTED_VALUE"""),44423)</f>
        <v>44423</v>
      </c>
      <c r="I2191" s="25"/>
      <c r="J2191" s="55" t="str">
        <f ca="1">IFERROR(__xludf.DUMMYFUNCTION("""COMPUTED_VALUE"""),"Alta")</f>
        <v>Alta</v>
      </c>
      <c r="K2191" s="25">
        <f ca="1">IFERROR(__xludf.DUMMYFUNCTION("""COMPUTED_VALUE"""),30)</f>
        <v>30</v>
      </c>
      <c r="L2191" s="62"/>
      <c r="M2191" s="25"/>
      <c r="N2191" s="55">
        <f ca="1">IFERROR(__xludf.DUMMYFUNCTION("""COMPUTED_VALUE"""),44927)</f>
        <v>44927</v>
      </c>
      <c r="O2191" s="25" t="str">
        <f t="shared" ca="1" si="0"/>
        <v>Secretaría Distrital del Hábitat</v>
      </c>
      <c r="P2191" s="25" t="str">
        <f t="shared" si="2"/>
        <v/>
      </c>
      <c r="Q2191" s="25" t="str">
        <f ca="1">IFERROR(__xludf.DUMMYFUNCTION("""COMPUTED_VALUE"""),"Corto plazo")</f>
        <v>Corto plazo</v>
      </c>
      <c r="R2191" s="25"/>
      <c r="S2191" s="55"/>
      <c r="T2191" s="56"/>
      <c r="U2191" s="25"/>
      <c r="V2191" s="25"/>
      <c r="W2191" s="25"/>
      <c r="X2191" s="25"/>
      <c r="Y2191" s="25"/>
      <c r="Z2191" s="25"/>
    </row>
    <row r="2192" spans="1:26" ht="52.5" customHeight="1" x14ac:dyDescent="0.25">
      <c r="A2192" s="25" t="str">
        <f ca="1">IFERROR(__xludf.DUMMYFUNCTION("""COMPUTED_VALUE"""),"Hábit90")</f>
        <v>Hábit90</v>
      </c>
      <c r="B2192" s="25" t="str">
        <f ca="1">IFERROR(__xludf.DUMMYFUNCTION("""COMPUTED_VALUE"""),"Revisión Obra Juan Amarillo ")</f>
        <v xml:space="preserve">Revisión Obra Juan Amarillo </v>
      </c>
      <c r="C2192" s="55">
        <f ca="1">IFERROR(__xludf.DUMMYFUNCTION("""COMPUTED_VALUE"""),44393)</f>
        <v>44393</v>
      </c>
      <c r="D2192" s="25" t="str">
        <f ca="1">IFERROR(__xludf.DUMMYFUNCTION("""COMPUTED_VALUE"""),"Hábitat")</f>
        <v>Hábitat</v>
      </c>
      <c r="E2192" s="25" t="str">
        <f ca="1">IFERROR(__xludf.DUMMYFUNCTION("""COMPUTED_VALUE"""),"Secretaría Distrital del Hábitat")</f>
        <v>Secretaría Distrital del Hábitat</v>
      </c>
      <c r="F2192" s="25" t="str">
        <f ca="1">IFERROR(__xludf.DUMMYFUNCTION("""COMPUTED_VALUE"""),"Programar visita con el contralor distrital para que emita un veredicto sobre si la terminación de la obra genera de Juan Amarillo genera detrimento patrimonial. Es importante que asista el personero también. ")</f>
        <v xml:space="preserve">Programar visita con el contralor distrital para que emita un veredicto sobre si la terminación de la obra genera de Juan Amarillo genera detrimento patrimonial. Es importante que asista el personero también. </v>
      </c>
      <c r="G2192" s="25" t="str">
        <f ca="1">IFERROR(__xludf.DUMMYFUNCTION("""COMPUTED_VALUE"""),"99. Distrito")</f>
        <v>99. Distrito</v>
      </c>
      <c r="H2192" s="55">
        <f ca="1">IFERROR(__xludf.DUMMYFUNCTION("""COMPUTED_VALUE"""),44423)</f>
        <v>44423</v>
      </c>
      <c r="I2192" s="25"/>
      <c r="J2192" s="55" t="str">
        <f ca="1">IFERROR(__xludf.DUMMYFUNCTION("""COMPUTED_VALUE"""),"Alta")</f>
        <v>Alta</v>
      </c>
      <c r="K2192" s="25">
        <f ca="1">IFERROR(__xludf.DUMMYFUNCTION("""COMPUTED_VALUE"""),30)</f>
        <v>30</v>
      </c>
      <c r="L2192" s="62"/>
      <c r="M2192" s="25"/>
      <c r="N2192" s="55">
        <f ca="1">IFERROR(__xludf.DUMMYFUNCTION("""COMPUTED_VALUE"""),44927)</f>
        <v>44927</v>
      </c>
      <c r="O2192" s="25" t="str">
        <f t="shared" ca="1" si="0"/>
        <v>Secretaría Distrital del Hábitat</v>
      </c>
      <c r="P2192" s="25" t="str">
        <f t="shared" si="2"/>
        <v/>
      </c>
      <c r="Q2192" s="25" t="str">
        <f ca="1">IFERROR(__xludf.DUMMYFUNCTION("""COMPUTED_VALUE"""),"Corto plazo")</f>
        <v>Corto plazo</v>
      </c>
      <c r="R2192" s="25"/>
      <c r="S2192" s="55"/>
      <c r="T2192" s="56"/>
      <c r="U2192" s="25"/>
      <c r="V2192" s="25"/>
      <c r="W2192" s="25"/>
      <c r="X2192" s="25"/>
      <c r="Y2192" s="25"/>
      <c r="Z2192" s="25"/>
    </row>
    <row r="2193" spans="1:26" ht="52.5" customHeight="1" x14ac:dyDescent="0.25">
      <c r="A2193" s="25" t="str">
        <f ca="1">IFERROR(__xludf.DUMMYFUNCTION("""COMPUTED_VALUE"""),"Hábit91")</f>
        <v>Hábit91</v>
      </c>
      <c r="B2193" s="25" t="str">
        <f ca="1">IFERROR(__xludf.DUMMYFUNCTION("""COMPUTED_VALUE"""),"Revisión Obra Juan Amarillo ")</f>
        <v xml:space="preserve">Revisión Obra Juan Amarillo </v>
      </c>
      <c r="C2193" s="55">
        <f ca="1">IFERROR(__xludf.DUMMYFUNCTION("""COMPUTED_VALUE"""),44393)</f>
        <v>44393</v>
      </c>
      <c r="D2193" s="25" t="str">
        <f ca="1">IFERROR(__xludf.DUMMYFUNCTION("""COMPUTED_VALUE"""),"Hábitat")</f>
        <v>Hábitat</v>
      </c>
      <c r="E2193" s="25" t="str">
        <f ca="1">IFERROR(__xludf.DUMMYFUNCTION("""COMPUTED_VALUE"""),"Secretaría Distrital del Hábitat")</f>
        <v>Secretaría Distrital del Hábitat</v>
      </c>
      <c r="F2193" s="25" t="str">
        <f ca="1">IFERROR(__xludf.DUMMYFUNCTION("""COMPUTED_VALUE"""),"Programar para la primera semana de agosto la restitución del predio Juan Amarillo de tal manera que se permita continuar la obra. ")</f>
        <v xml:space="preserve">Programar para la primera semana de agosto la restitución del predio Juan Amarillo de tal manera que se permita continuar la obra. </v>
      </c>
      <c r="G2193" s="25" t="str">
        <f ca="1">IFERROR(__xludf.DUMMYFUNCTION("""COMPUTED_VALUE"""),"99. Distrito")</f>
        <v>99. Distrito</v>
      </c>
      <c r="H2193" s="55">
        <f ca="1">IFERROR(__xludf.DUMMYFUNCTION("""COMPUTED_VALUE"""),44423)</f>
        <v>44423</v>
      </c>
      <c r="I2193" s="25"/>
      <c r="J2193" s="55" t="str">
        <f ca="1">IFERROR(__xludf.DUMMYFUNCTION("""COMPUTED_VALUE"""),"Alta")</f>
        <v>Alta</v>
      </c>
      <c r="K2193" s="25">
        <f ca="1">IFERROR(__xludf.DUMMYFUNCTION("""COMPUTED_VALUE"""),30)</f>
        <v>30</v>
      </c>
      <c r="L2193" s="62"/>
      <c r="M2193" s="25"/>
      <c r="N2193" s="55">
        <f ca="1">IFERROR(__xludf.DUMMYFUNCTION("""COMPUTED_VALUE"""),44927)</f>
        <v>44927</v>
      </c>
      <c r="O2193" s="25" t="str">
        <f t="shared" ca="1" si="0"/>
        <v>Secretaría Distrital del Hábitat</v>
      </c>
      <c r="P2193" s="25" t="str">
        <f t="shared" si="2"/>
        <v/>
      </c>
      <c r="Q2193" s="25" t="str">
        <f ca="1">IFERROR(__xludf.DUMMYFUNCTION("""COMPUTED_VALUE"""),"Corto plazo")</f>
        <v>Corto plazo</v>
      </c>
      <c r="R2193" s="25"/>
      <c r="S2193" s="55"/>
      <c r="T2193" s="56"/>
      <c r="U2193" s="25"/>
      <c r="V2193" s="25"/>
      <c r="W2193" s="25"/>
      <c r="X2193" s="25"/>
      <c r="Y2193" s="25"/>
      <c r="Z2193" s="25"/>
    </row>
    <row r="2194" spans="1:26" ht="52.5" customHeight="1" x14ac:dyDescent="0.25">
      <c r="A2194" s="25" t="str">
        <f ca="1">IFERROR(__xludf.DUMMYFUNCTION("""COMPUTED_VALUE"""),"Hábit92")</f>
        <v>Hábit92</v>
      </c>
      <c r="B2194" s="25" t="str">
        <f ca="1">IFERROR(__xludf.DUMMYFUNCTION("""COMPUTED_VALUE"""),"Reunión Planes Parciales")</f>
        <v>Reunión Planes Parciales</v>
      </c>
      <c r="C2194" s="55">
        <f ca="1">IFERROR(__xludf.DUMMYFUNCTION("""COMPUTED_VALUE"""),44383)</f>
        <v>44383</v>
      </c>
      <c r="D2194" s="25" t="str">
        <f ca="1">IFERROR(__xludf.DUMMYFUNCTION("""COMPUTED_VALUE"""),"Hábitat")</f>
        <v>Hábitat</v>
      </c>
      <c r="E2194" s="25" t="str">
        <f ca="1">IFERROR(__xludf.DUMMYFUNCTION("""COMPUTED_VALUE"""),"Secretaría Distrital del Hábitat")</f>
        <v>Secretaría Distrital del Hábitat</v>
      </c>
      <c r="F2194" s="25" t="str">
        <f ca="1">IFERROR(__xludf.DUMMYFUNCTION("""COMPUTED_VALUE"""),"Respecto al PPRU Bavaria Fábrica: Incorporar en el cronograma la socialización de Planes Parciales con la comunidad y con el juez. Es importante que asista Personería. ")</f>
        <v xml:space="preserve">Respecto al PPRU Bavaria Fábrica: Incorporar en el cronograma la socialización de Planes Parciales con la comunidad y con el juez. Es importante que asista Personería. </v>
      </c>
      <c r="G2194" s="25" t="str">
        <f ca="1">IFERROR(__xludf.DUMMYFUNCTION("""COMPUTED_VALUE"""),"99. Distrito")</f>
        <v>99. Distrito</v>
      </c>
      <c r="H2194" s="55">
        <f ca="1">IFERROR(__xludf.DUMMYFUNCTION("""COMPUTED_VALUE"""),44413)</f>
        <v>44413</v>
      </c>
      <c r="I2194" s="25"/>
      <c r="J2194" s="55" t="str">
        <f ca="1">IFERROR(__xludf.DUMMYFUNCTION("""COMPUTED_VALUE"""),"Alta")</f>
        <v>Alta</v>
      </c>
      <c r="K2194" s="25">
        <f ca="1">IFERROR(__xludf.DUMMYFUNCTION("""COMPUTED_VALUE"""),30)</f>
        <v>30</v>
      </c>
      <c r="L2194" s="62"/>
      <c r="M2194" s="25"/>
      <c r="N2194" s="55">
        <f ca="1">IFERROR(__xludf.DUMMYFUNCTION("""COMPUTED_VALUE"""),44927)</f>
        <v>44927</v>
      </c>
      <c r="O2194" s="25" t="str">
        <f t="shared" ca="1" si="0"/>
        <v>Secretaría Distrital del Hábitat</v>
      </c>
      <c r="P2194" s="25" t="str">
        <f t="shared" si="2"/>
        <v/>
      </c>
      <c r="Q2194" s="25" t="str">
        <f ca="1">IFERROR(__xludf.DUMMYFUNCTION("""COMPUTED_VALUE"""),"Corto plazo")</f>
        <v>Corto plazo</v>
      </c>
      <c r="R2194" s="25"/>
      <c r="S2194" s="55"/>
      <c r="T2194" s="56"/>
      <c r="U2194" s="25"/>
      <c r="V2194" s="25"/>
      <c r="W2194" s="25"/>
      <c r="X2194" s="25"/>
      <c r="Y2194" s="25"/>
      <c r="Z2194" s="25"/>
    </row>
    <row r="2195" spans="1:26" ht="52.5" customHeight="1" x14ac:dyDescent="0.25">
      <c r="A2195" s="25" t="str">
        <f ca="1">IFERROR(__xludf.DUMMYFUNCTION("""COMPUTED_VALUE"""),"Hábit93")</f>
        <v>Hábit93</v>
      </c>
      <c r="B2195" s="25" t="str">
        <f ca="1">IFERROR(__xludf.DUMMYFUNCTION("""COMPUTED_VALUE"""),"Recorrido Kennedy ")</f>
        <v xml:space="preserve">Recorrido Kennedy </v>
      </c>
      <c r="C2195" s="55">
        <f ca="1">IFERROR(__xludf.DUMMYFUNCTION("""COMPUTED_VALUE"""),44399)</f>
        <v>44399</v>
      </c>
      <c r="D2195" s="25" t="str">
        <f ca="1">IFERROR(__xludf.DUMMYFUNCTION("""COMPUTED_VALUE"""),"Hábitat")</f>
        <v>Hábitat</v>
      </c>
      <c r="E2195" s="25" t="str">
        <f ca="1">IFERROR(__xludf.DUMMYFUNCTION("""COMPUTED_VALUE"""),"Unidad Administrativa Especial de Servicios Públicos")</f>
        <v>Unidad Administrativa Especial de Servicios Públicos</v>
      </c>
      <c r="F2195" s="25" t="str">
        <f ca="1">IFERROR(__xludf.DUMMYFUNCTION("""COMPUTED_VALUE"""),"Recoger los escombros de la zona portal américas y 1 de mayo con boyacá y hospital de Kennedy para el 6 de agosto")</f>
        <v>Recoger los escombros de la zona portal américas y 1 de mayo con boyacá y hospital de Kennedy para el 6 de agosto</v>
      </c>
      <c r="G2195" s="55" t="str">
        <f ca="1">IFERROR(__xludf.DUMMYFUNCTION("""COMPUTED_VALUE"""),"08. Kennedy")</f>
        <v>08. Kennedy</v>
      </c>
      <c r="H2195" s="55">
        <f ca="1">IFERROR(__xludf.DUMMYFUNCTION("""COMPUTED_VALUE"""),44429)</f>
        <v>44429</v>
      </c>
      <c r="I2195" s="25"/>
      <c r="J2195" s="55" t="str">
        <f ca="1">IFERROR(__xludf.DUMMYFUNCTION("""COMPUTED_VALUE"""),"Alta")</f>
        <v>Alta</v>
      </c>
      <c r="K2195" s="61">
        <f ca="1">IFERROR(__xludf.DUMMYFUNCTION("""COMPUTED_VALUE"""),30)</f>
        <v>30</v>
      </c>
      <c r="L2195" s="62"/>
      <c r="M2195" s="25"/>
      <c r="N2195" s="55">
        <f ca="1">IFERROR(__xludf.DUMMYFUNCTION("""COMPUTED_VALUE"""),44927)</f>
        <v>44927</v>
      </c>
      <c r="O2195" s="25" t="str">
        <f t="shared" ca="1" si="0"/>
        <v>Unidad Administrativa Especial de Servicios Públicos</v>
      </c>
      <c r="P2195" s="25" t="str">
        <f t="shared" si="2"/>
        <v/>
      </c>
      <c r="Q2195" s="25" t="str">
        <f ca="1">IFERROR(__xludf.DUMMYFUNCTION("""COMPUTED_VALUE"""),"Corto plazo")</f>
        <v>Corto plazo</v>
      </c>
      <c r="R2195" s="25"/>
      <c r="S2195" s="55"/>
      <c r="T2195" s="56"/>
      <c r="U2195" s="25"/>
      <c r="V2195" s="25"/>
      <c r="W2195" s="25"/>
      <c r="X2195" s="25"/>
      <c r="Y2195" s="25"/>
      <c r="Z2195" s="25"/>
    </row>
    <row r="2196" spans="1:26" ht="52.5" customHeight="1" x14ac:dyDescent="0.25">
      <c r="A2196" s="25" t="str">
        <f ca="1">IFERROR(__xludf.DUMMYFUNCTION("""COMPUTED_VALUE"""),"Hábit94")</f>
        <v>Hábit94</v>
      </c>
      <c r="B2196" s="25" t="str">
        <f ca="1">IFERROR(__xludf.DUMMYFUNCTION("""COMPUTED_VALUE"""),"Ventanilla Única de la Construcción -VUC")</f>
        <v>Ventanilla Única de la Construcción -VUC</v>
      </c>
      <c r="C2196" s="55">
        <f ca="1">IFERROR(__xludf.DUMMYFUNCTION("""COMPUTED_VALUE"""),44399)</f>
        <v>44399</v>
      </c>
      <c r="D2196" s="25" t="str">
        <f ca="1">IFERROR(__xludf.DUMMYFUNCTION("""COMPUTED_VALUE"""),"Hábitat")</f>
        <v>Hábitat</v>
      </c>
      <c r="E2196" s="25" t="str">
        <f ca="1">IFERROR(__xludf.DUMMYFUNCTION("""COMPUTED_VALUE"""),"Secretaría Distrital del Hábitat")</f>
        <v>Secretaría Distrital del Hábitat</v>
      </c>
      <c r="F2196" s="25" t="str">
        <f ca="1">IFERROR(__xludf.DUMMYFUNCTION("""COMPUTED_VALUE"""),"Adopción de alternativas para complementariedad de interoperabilidad de VUC")</f>
        <v>Adopción de alternativas para complementariedad de interoperabilidad de VUC</v>
      </c>
      <c r="G2196" s="25" t="str">
        <f ca="1">IFERROR(__xludf.DUMMYFUNCTION("""COMPUTED_VALUE"""),"99. Distrito")</f>
        <v>99. Distrito</v>
      </c>
      <c r="H2196" s="55">
        <f ca="1">IFERROR(__xludf.DUMMYFUNCTION("""COMPUTED_VALUE"""),44429)</f>
        <v>44429</v>
      </c>
      <c r="I2196" s="25"/>
      <c r="J2196" s="55" t="str">
        <f ca="1">IFERROR(__xludf.DUMMYFUNCTION("""COMPUTED_VALUE"""),"Alta")</f>
        <v>Alta</v>
      </c>
      <c r="K2196" s="25">
        <f ca="1">IFERROR(__xludf.DUMMYFUNCTION("""COMPUTED_VALUE"""),30)</f>
        <v>30</v>
      </c>
      <c r="L2196" s="62"/>
      <c r="M2196" s="25"/>
      <c r="N2196" s="55">
        <f ca="1">IFERROR(__xludf.DUMMYFUNCTION("""COMPUTED_VALUE"""),44927)</f>
        <v>44927</v>
      </c>
      <c r="O2196" s="25" t="str">
        <f t="shared" ca="1" si="0"/>
        <v>Secretaría Distrital del Hábitat</v>
      </c>
      <c r="P2196" s="25" t="str">
        <f t="shared" si="2"/>
        <v/>
      </c>
      <c r="Q2196" s="25" t="str">
        <f ca="1">IFERROR(__xludf.DUMMYFUNCTION("""COMPUTED_VALUE"""),"Corto plazo")</f>
        <v>Corto plazo</v>
      </c>
      <c r="R2196" s="25"/>
      <c r="S2196" s="55"/>
      <c r="T2196" s="56"/>
      <c r="U2196" s="25"/>
      <c r="V2196" s="25"/>
      <c r="W2196" s="25"/>
      <c r="X2196" s="25"/>
      <c r="Y2196" s="25"/>
      <c r="Z2196" s="25"/>
    </row>
    <row r="2197" spans="1:26" ht="52.5" customHeight="1" x14ac:dyDescent="0.25">
      <c r="A2197" s="25" t="str">
        <f ca="1">IFERROR(__xludf.DUMMYFUNCTION("""COMPUTED_VALUE"""),"Hábit95")</f>
        <v>Hábit95</v>
      </c>
      <c r="B2197" s="25" t="str">
        <f ca="1">IFERROR(__xludf.DUMMYFUNCTION("""COMPUTED_VALUE"""),"Ventanilla Única de la Construcción -VUC")</f>
        <v>Ventanilla Única de la Construcción -VUC</v>
      </c>
      <c r="C2197" s="55">
        <f ca="1">IFERROR(__xludf.DUMMYFUNCTION("""COMPUTED_VALUE"""),44399)</f>
        <v>44399</v>
      </c>
      <c r="D2197" s="25" t="str">
        <f ca="1">IFERROR(__xludf.DUMMYFUNCTION("""COMPUTED_VALUE"""),"Hábitat")</f>
        <v>Hábitat</v>
      </c>
      <c r="E2197" s="25" t="str">
        <f ca="1">IFERROR(__xludf.DUMMYFUNCTION("""COMPUTED_VALUE"""),"Secretaría Distrital del Hábitat")</f>
        <v>Secretaría Distrital del Hábitat</v>
      </c>
      <c r="F2197" s="25" t="str">
        <f ca="1">IFERROR(__xludf.DUMMYFUNCTION("""COMPUTED_VALUE"""),"Coordinación interinstitucional para digitalización de cadena de trámites")</f>
        <v>Coordinación interinstitucional para digitalización de cadena de trámites</v>
      </c>
      <c r="G2197" s="25" t="str">
        <f ca="1">IFERROR(__xludf.DUMMYFUNCTION("""COMPUTED_VALUE"""),"99. Distrito")</f>
        <v>99. Distrito</v>
      </c>
      <c r="H2197" s="55">
        <f ca="1">IFERROR(__xludf.DUMMYFUNCTION("""COMPUTED_VALUE"""),44429)</f>
        <v>44429</v>
      </c>
      <c r="I2197" s="25"/>
      <c r="J2197" s="55" t="str">
        <f ca="1">IFERROR(__xludf.DUMMYFUNCTION("""COMPUTED_VALUE"""),"Alta")</f>
        <v>Alta</v>
      </c>
      <c r="K2197" s="25">
        <f ca="1">IFERROR(__xludf.DUMMYFUNCTION("""COMPUTED_VALUE"""),30)</f>
        <v>30</v>
      </c>
      <c r="L2197" s="62"/>
      <c r="M2197" s="25"/>
      <c r="N2197" s="55">
        <f ca="1">IFERROR(__xludf.DUMMYFUNCTION("""COMPUTED_VALUE"""),44927)</f>
        <v>44927</v>
      </c>
      <c r="O2197" s="25" t="str">
        <f t="shared" ca="1" si="0"/>
        <v>Secretaría Distrital del Hábitat</v>
      </c>
      <c r="P2197" s="25" t="str">
        <f t="shared" si="2"/>
        <v/>
      </c>
      <c r="Q2197" s="25" t="str">
        <f ca="1">IFERROR(__xludf.DUMMYFUNCTION("""COMPUTED_VALUE"""),"Corto plazo")</f>
        <v>Corto plazo</v>
      </c>
      <c r="R2197" s="25"/>
      <c r="S2197" s="55"/>
      <c r="T2197" s="56"/>
      <c r="U2197" s="25"/>
      <c r="V2197" s="25"/>
      <c r="W2197" s="25"/>
      <c r="X2197" s="25"/>
      <c r="Y2197" s="25"/>
      <c r="Z2197" s="25"/>
    </row>
    <row r="2198" spans="1:26" ht="52.5" customHeight="1" x14ac:dyDescent="0.25">
      <c r="A2198" s="25" t="str">
        <f ca="1">IFERROR(__xludf.DUMMYFUNCTION("""COMPUTED_VALUE"""),"Hábit96")</f>
        <v>Hábit96</v>
      </c>
      <c r="B2198" s="25" t="str">
        <f ca="1">IFERROR(__xludf.DUMMYFUNCTION("""COMPUTED_VALUE"""),"Ventanilla Única de la Construcción -VUC")</f>
        <v>Ventanilla Única de la Construcción -VUC</v>
      </c>
      <c r="C2198" s="55">
        <f ca="1">IFERROR(__xludf.DUMMYFUNCTION("""COMPUTED_VALUE"""),44399)</f>
        <v>44399</v>
      </c>
      <c r="D2198" s="25" t="str">
        <f ca="1">IFERROR(__xludf.DUMMYFUNCTION("""COMPUTED_VALUE"""),"Hábitat")</f>
        <v>Hábitat</v>
      </c>
      <c r="E2198" s="25" t="str">
        <f ca="1">IFERROR(__xludf.DUMMYFUNCTION("""COMPUTED_VALUE"""),"Secretaría Distrital del Hábitat")</f>
        <v>Secretaría Distrital del Hábitat</v>
      </c>
      <c r="F2198" s="25" t="str">
        <f ca="1">IFERROR(__xludf.DUMMYFUNCTION("""COMPUTED_VALUE"""),"Divulgación del proyecto a través de canales internos del Gobierno Distrital, en el contexto nacional e internacional")</f>
        <v>Divulgación del proyecto a través de canales internos del Gobierno Distrital, en el contexto nacional e internacional</v>
      </c>
      <c r="G2198" s="25" t="str">
        <f ca="1">IFERROR(__xludf.DUMMYFUNCTION("""COMPUTED_VALUE"""),"99. Distrito")</f>
        <v>99. Distrito</v>
      </c>
      <c r="H2198" s="55">
        <f ca="1">IFERROR(__xludf.DUMMYFUNCTION("""COMPUTED_VALUE"""),44429)</f>
        <v>44429</v>
      </c>
      <c r="I2198" s="25"/>
      <c r="J2198" s="55" t="str">
        <f ca="1">IFERROR(__xludf.DUMMYFUNCTION("""COMPUTED_VALUE"""),"Alta")</f>
        <v>Alta</v>
      </c>
      <c r="K2198" s="25">
        <f ca="1">IFERROR(__xludf.DUMMYFUNCTION("""COMPUTED_VALUE"""),30)</f>
        <v>30</v>
      </c>
      <c r="L2198" s="62"/>
      <c r="M2198" s="64"/>
      <c r="N2198" s="55">
        <f ca="1">IFERROR(__xludf.DUMMYFUNCTION("""COMPUTED_VALUE"""),44927)</f>
        <v>44927</v>
      </c>
      <c r="O2198" s="25" t="str">
        <f t="shared" ca="1" si="0"/>
        <v>Secretaría Distrital del Hábitat</v>
      </c>
      <c r="P2198" s="25" t="str">
        <f t="shared" si="2"/>
        <v/>
      </c>
      <c r="Q2198" s="25" t="str">
        <f ca="1">IFERROR(__xludf.DUMMYFUNCTION("""COMPUTED_VALUE"""),"Corto plazo")</f>
        <v>Corto plazo</v>
      </c>
      <c r="R2198" s="25"/>
      <c r="S2198" s="55"/>
      <c r="T2198" s="56"/>
      <c r="U2198" s="25"/>
      <c r="V2198" s="25"/>
      <c r="W2198" s="25"/>
      <c r="X2198" s="25"/>
      <c r="Y2198" s="25"/>
      <c r="Z2198" s="25"/>
    </row>
    <row r="2199" spans="1:26" ht="52.5" customHeight="1" x14ac:dyDescent="0.25">
      <c r="A2199" s="67" t="str">
        <f ca="1">IFERROR(__xludf.DUMMYFUNCTION("""COMPUTED_VALUE"""),"Hábit97")</f>
        <v>Hábit97</v>
      </c>
      <c r="B2199" s="25" t="str">
        <f ca="1">IFERROR(__xludf.DUMMYFUNCTION("""COMPUTED_VALUE"""),"Ventanilla Única de la Construcción -VUC")</f>
        <v>Ventanilla Única de la Construcción -VUC</v>
      </c>
      <c r="C2199" s="55">
        <f ca="1">IFERROR(__xludf.DUMMYFUNCTION("""COMPUTED_VALUE"""),44399)</f>
        <v>44399</v>
      </c>
      <c r="D2199" s="25" t="str">
        <f ca="1">IFERROR(__xludf.DUMMYFUNCTION("""COMPUTED_VALUE"""),"Hábitat")</f>
        <v>Hábitat</v>
      </c>
      <c r="E2199" s="25" t="str">
        <f ca="1">IFERROR(__xludf.DUMMYFUNCTION("""COMPUTED_VALUE"""),"Secretaría Distrital del Hábitat")</f>
        <v>Secretaría Distrital del Hábitat</v>
      </c>
      <c r="F2199" s="25" t="str">
        <f ca="1">IFERROR(__xludf.DUMMYFUNCTION("""COMPUTED_VALUE"""),"Puesta en producción del módulo de Curaduría Social en conjunto con Caja de Vivienda Popular")</f>
        <v>Puesta en producción del módulo de Curaduría Social en conjunto con Caja de Vivienda Popular</v>
      </c>
      <c r="G2199" s="25" t="str">
        <f ca="1">IFERROR(__xludf.DUMMYFUNCTION("""COMPUTED_VALUE"""),"99. Distrito")</f>
        <v>99. Distrito</v>
      </c>
      <c r="H2199" s="55">
        <f ca="1">IFERROR(__xludf.DUMMYFUNCTION("""COMPUTED_VALUE"""),44429)</f>
        <v>44429</v>
      </c>
      <c r="I2199" s="25"/>
      <c r="J2199" s="55" t="str">
        <f ca="1">IFERROR(__xludf.DUMMYFUNCTION("""COMPUTED_VALUE"""),"Alta")</f>
        <v>Alta</v>
      </c>
      <c r="K2199" s="25">
        <f ca="1">IFERROR(__xludf.DUMMYFUNCTION("""COMPUTED_VALUE"""),30)</f>
        <v>30</v>
      </c>
      <c r="L2199" s="62"/>
      <c r="M2199" s="25"/>
      <c r="N2199" s="55">
        <f ca="1">IFERROR(__xludf.DUMMYFUNCTION("""COMPUTED_VALUE"""),44927)</f>
        <v>44927</v>
      </c>
      <c r="O2199" s="25" t="str">
        <f t="shared" ca="1" si="0"/>
        <v>Secretaría Distrital del Hábitat</v>
      </c>
      <c r="P2199" s="25" t="str">
        <f t="shared" si="2"/>
        <v/>
      </c>
      <c r="Q2199" s="25" t="str">
        <f ca="1">IFERROR(__xludf.DUMMYFUNCTION("""COMPUTED_VALUE"""),"Corto plazo")</f>
        <v>Corto plazo</v>
      </c>
      <c r="R2199" s="25"/>
      <c r="S2199" s="55"/>
      <c r="T2199" s="56"/>
      <c r="U2199" s="25"/>
      <c r="V2199" s="25"/>
      <c r="W2199" s="25"/>
      <c r="X2199" s="25"/>
      <c r="Y2199" s="25"/>
      <c r="Z2199" s="25"/>
    </row>
    <row r="2200" spans="1:26" ht="52.5" customHeight="1" x14ac:dyDescent="0.25">
      <c r="A2200" s="67" t="str">
        <f ca="1">IFERROR(__xludf.DUMMYFUNCTION("""COMPUTED_VALUE"""),"Hábit98")</f>
        <v>Hábit98</v>
      </c>
      <c r="B2200" s="25" t="str">
        <f ca="1">IFERROR(__xludf.DUMMYFUNCTION("""COMPUTED_VALUE"""),"Predios Distrito -POT")</f>
        <v>Predios Distrito -POT</v>
      </c>
      <c r="C2200" s="55">
        <f ca="1">IFERROR(__xludf.DUMMYFUNCTION("""COMPUTED_VALUE"""),44400)</f>
        <v>44400</v>
      </c>
      <c r="D2200" s="25" t="str">
        <f ca="1">IFERROR(__xludf.DUMMYFUNCTION("""COMPUTED_VALUE"""),"Hábitat")</f>
        <v>Hábitat</v>
      </c>
      <c r="E2200" s="25" t="str">
        <f ca="1">IFERROR(__xludf.DUMMYFUNCTION("""COMPUTED_VALUE"""),"Empresa de Renovación y Desarrollo Urbano")</f>
        <v>Empresa de Renovación y Desarrollo Urbano</v>
      </c>
      <c r="F2200" s="25" t="str">
        <f ca="1">IFERROR(__xludf.DUMMYFUNCTION("""COMPUTED_VALUE"""),"Para el próximo Consejo de Gobierno llevar una carta (con visto bueno de la alcaldesa) donde se solicite a cada entidad del distrito la información detallada de todos sus predios donde indique qué usos se le da y en qué tiempos. Adicionalmente deben indic"&amp;"ar qué predios necesitan. El plazo para entregar esta información no debe exceder 1 mes . Adicionalmente se debe crear un espacio para socializar la solicitud en el Consejo de Gobierno. ")</f>
        <v xml:space="preserve">Para el próximo Consejo de Gobierno llevar una carta (con visto bueno de la alcaldesa) donde se solicite a cada entidad del distrito la información detallada de todos sus predios donde indique qué usos se le da y en qué tiempos. Adicionalmente deben indicar qué predios necesitan. El plazo para entregar esta información no debe exceder 1 mes . Adicionalmente se debe crear un espacio para socializar la solicitud en el Consejo de Gobierno. </v>
      </c>
      <c r="G2200" s="25" t="str">
        <f ca="1">IFERROR(__xludf.DUMMYFUNCTION("""COMPUTED_VALUE"""),"99. Distrito")</f>
        <v>99. Distrito</v>
      </c>
      <c r="H2200" s="55">
        <f ca="1">IFERROR(__xludf.DUMMYFUNCTION("""COMPUTED_VALUE"""),44430)</f>
        <v>44430</v>
      </c>
      <c r="I2200" s="25"/>
      <c r="J2200" s="55" t="str">
        <f ca="1">IFERROR(__xludf.DUMMYFUNCTION("""COMPUTED_VALUE"""),"Alta")</f>
        <v>Alta</v>
      </c>
      <c r="K2200" s="25">
        <f ca="1">IFERROR(__xludf.DUMMYFUNCTION("""COMPUTED_VALUE"""),30)</f>
        <v>30</v>
      </c>
      <c r="L2200" s="62"/>
      <c r="M2200" s="25"/>
      <c r="N2200" s="55">
        <f ca="1">IFERROR(__xludf.DUMMYFUNCTION("""COMPUTED_VALUE"""),44927)</f>
        <v>44927</v>
      </c>
      <c r="O2200" s="25" t="str">
        <f t="shared" ca="1" si="0"/>
        <v>Empresa de Renovación y Desarrollo Urbano</v>
      </c>
      <c r="P2200" s="25" t="str">
        <f t="shared" si="2"/>
        <v/>
      </c>
      <c r="Q2200" s="25" t="str">
        <f ca="1">IFERROR(__xludf.DUMMYFUNCTION("""COMPUTED_VALUE"""),"Corto plazo")</f>
        <v>Corto plazo</v>
      </c>
      <c r="R2200" s="25"/>
      <c r="S2200" s="55"/>
      <c r="T2200" s="56"/>
      <c r="U2200" s="25"/>
      <c r="V2200" s="25"/>
      <c r="W2200" s="25"/>
      <c r="X2200" s="25"/>
      <c r="Y2200" s="25"/>
      <c r="Z2200" s="25"/>
    </row>
    <row r="2201" spans="1:26" ht="52.5" customHeight="1" x14ac:dyDescent="0.25">
      <c r="A2201" s="67" t="str">
        <f ca="1">IFERROR(__xludf.DUMMYFUNCTION("""COMPUTED_VALUE"""),"Hábit99")</f>
        <v>Hábit99</v>
      </c>
      <c r="B2201" s="25" t="str">
        <f ca="1">IFERROR(__xludf.DUMMYFUNCTION("""COMPUTED_VALUE"""),"Reunión GEB, Hábitat y UAESP")</f>
        <v>Reunión GEB, Hábitat y UAESP</v>
      </c>
      <c r="C2201" s="55">
        <f ca="1">IFERROR(__xludf.DUMMYFUNCTION("""COMPUTED_VALUE"""),44405)</f>
        <v>44405</v>
      </c>
      <c r="D2201" s="25" t="str">
        <f ca="1">IFERROR(__xludf.DUMMYFUNCTION("""COMPUTED_VALUE"""),"Hábitat")</f>
        <v>Hábitat</v>
      </c>
      <c r="E2201" s="25" t="str">
        <f ca="1">IFERROR(__xludf.DUMMYFUNCTION("""COMPUTED_VALUE"""),"Unidad Administrativa Especial de Servicios Públicos")</f>
        <v>Unidad Administrativa Especial de Servicios Públicos</v>
      </c>
      <c r="F2201" s="25" t="str">
        <f ca="1">IFERROR(__xludf.DUMMYFUNCTION("""COMPUTED_VALUE"""),"Crear un equipo de expertos técnicos y judiciales de las entidades UAESP -GEB y Secretaría del Hábitat donde se define un monto o en caso tal iniciar proceso de demanda, frente al caso de Enel Codensa. ")</f>
        <v xml:space="preserve">Crear un equipo de expertos técnicos y judiciales de las entidades UAESP -GEB y Secretaría del Hábitat donde se define un monto o en caso tal iniciar proceso de demanda, frente al caso de Enel Codensa. </v>
      </c>
      <c r="G2201" s="25" t="str">
        <f ca="1">IFERROR(__xludf.DUMMYFUNCTION("""COMPUTED_VALUE"""),"99. Distrito")</f>
        <v>99. Distrito</v>
      </c>
      <c r="H2201" s="55">
        <f ca="1">IFERROR(__xludf.DUMMYFUNCTION("""COMPUTED_VALUE"""),44435)</f>
        <v>44435</v>
      </c>
      <c r="I2201" s="25"/>
      <c r="J2201" s="55" t="str">
        <f ca="1">IFERROR(__xludf.DUMMYFUNCTION("""COMPUTED_VALUE"""),"Alta")</f>
        <v>Alta</v>
      </c>
      <c r="K2201" s="25">
        <f ca="1">IFERROR(__xludf.DUMMYFUNCTION("""COMPUTED_VALUE"""),30)</f>
        <v>30</v>
      </c>
      <c r="L2201" s="62"/>
      <c r="M2201" s="25"/>
      <c r="N2201" s="55">
        <f ca="1">IFERROR(__xludf.DUMMYFUNCTION("""COMPUTED_VALUE"""),44927)</f>
        <v>44927</v>
      </c>
      <c r="O2201" s="25" t="str">
        <f t="shared" ca="1" si="0"/>
        <v>Unidad Administrativa Especial de Servicios Públicos</v>
      </c>
      <c r="P2201" s="25" t="str">
        <f t="shared" si="2"/>
        <v/>
      </c>
      <c r="Q2201" s="25" t="str">
        <f ca="1">IFERROR(__xludf.DUMMYFUNCTION("""COMPUTED_VALUE"""),"Corto plazo")</f>
        <v>Corto plazo</v>
      </c>
      <c r="R2201" s="25"/>
      <c r="S2201" s="55"/>
      <c r="T2201" s="56"/>
      <c r="U2201" s="25"/>
      <c r="V2201" s="25"/>
      <c r="W2201" s="25"/>
      <c r="X2201" s="25"/>
      <c r="Y2201" s="25"/>
      <c r="Z2201" s="25"/>
    </row>
    <row r="2202" spans="1:26" ht="52.5" customHeight="1" x14ac:dyDescent="0.25">
      <c r="A2202" s="67" t="str">
        <f ca="1">IFERROR(__xludf.DUMMYFUNCTION("""COMPUTED_VALUE"""),"Hábit100")</f>
        <v>Hábit100</v>
      </c>
      <c r="B2202" s="25" t="str">
        <f ca="1">IFERROR(__xludf.DUMMYFUNCTION("""COMPUTED_VALUE"""),"Reunión IDU- Movilidad")</f>
        <v>Reunión IDU- Movilidad</v>
      </c>
      <c r="C2202" s="55">
        <f ca="1">IFERROR(__xludf.DUMMYFUNCTION("""COMPUTED_VALUE"""),44410)</f>
        <v>44410</v>
      </c>
      <c r="D2202" s="25" t="str">
        <f ca="1">IFERROR(__xludf.DUMMYFUNCTION("""COMPUTED_VALUE"""),"Hábitat")</f>
        <v>Hábitat</v>
      </c>
      <c r="E2202" s="25" t="str">
        <f ca="1">IFERROR(__xludf.DUMMYFUNCTION("""COMPUTED_VALUE"""),"Secretaría Distrital del Hábitat")</f>
        <v>Secretaría Distrital del Hábitat</v>
      </c>
      <c r="F2202" s="25" t="str">
        <f ca="1">IFERROR(__xludf.DUMMYFUNCTION("""COMPUTED_VALUE"""),"Radicar el Decreto del anuncio del proyecto del cable de San Cristóbal ")</f>
        <v xml:space="preserve">Radicar el Decreto del anuncio del proyecto del cable de San Cristóbal </v>
      </c>
      <c r="G2202" s="25" t="str">
        <f ca="1">IFERROR(__xludf.DUMMYFUNCTION("""COMPUTED_VALUE"""),"04. San Cristóbal")</f>
        <v>04. San Cristóbal</v>
      </c>
      <c r="H2202" s="55">
        <f ca="1">IFERROR(__xludf.DUMMYFUNCTION("""COMPUTED_VALUE"""),44440)</f>
        <v>44440</v>
      </c>
      <c r="I2202" s="25"/>
      <c r="J2202" s="55" t="str">
        <f ca="1">IFERROR(__xludf.DUMMYFUNCTION("""COMPUTED_VALUE"""),"Alta")</f>
        <v>Alta</v>
      </c>
      <c r="K2202" s="61">
        <f ca="1">IFERROR(__xludf.DUMMYFUNCTION("""COMPUTED_VALUE"""),30)</f>
        <v>30</v>
      </c>
      <c r="L2202" s="62"/>
      <c r="M2202" s="25"/>
      <c r="N2202" s="55">
        <f ca="1">IFERROR(__xludf.DUMMYFUNCTION("""COMPUTED_VALUE"""),44927)</f>
        <v>44927</v>
      </c>
      <c r="O2202" s="25" t="str">
        <f t="shared" ca="1" si="0"/>
        <v>Secretaría Distrital del Hábitat</v>
      </c>
      <c r="P2202" s="25" t="str">
        <f t="shared" si="2"/>
        <v/>
      </c>
      <c r="Q2202" s="25" t="str">
        <f ca="1">IFERROR(__xludf.DUMMYFUNCTION("""COMPUTED_VALUE"""),"Corto plazo")</f>
        <v>Corto plazo</v>
      </c>
      <c r="R2202" s="25"/>
      <c r="S2202" s="55"/>
      <c r="T2202" s="56"/>
      <c r="U2202" s="25"/>
      <c r="V2202" s="25"/>
      <c r="W2202" s="25"/>
      <c r="X2202" s="25"/>
      <c r="Y2202" s="25"/>
      <c r="Z2202" s="25"/>
    </row>
    <row r="2203" spans="1:26" ht="52.5" customHeight="1" x14ac:dyDescent="0.25">
      <c r="A2203" s="67" t="str">
        <f ca="1">IFERROR(__xludf.DUMMYFUNCTION("""COMPUTED_VALUE"""),"Hábit101")</f>
        <v>Hábit101</v>
      </c>
      <c r="B2203" s="25" t="str">
        <f ca="1">IFERROR(__xludf.DUMMYFUNCTION("""COMPUTED_VALUE"""),"Reunión Cable San Rafael")</f>
        <v>Reunión Cable San Rafael</v>
      </c>
      <c r="C2203" s="55">
        <f ca="1">IFERROR(__xludf.DUMMYFUNCTION("""COMPUTED_VALUE"""),44414)</f>
        <v>44414</v>
      </c>
      <c r="D2203" s="25" t="str">
        <f ca="1">IFERROR(__xludf.DUMMYFUNCTION("""COMPUTED_VALUE"""),"Hábitat")</f>
        <v>Hábitat</v>
      </c>
      <c r="E2203" s="25" t="str">
        <f ca="1">IFERROR(__xludf.DUMMYFUNCTION("""COMPUTED_VALUE"""),"Empresa de Acueducto y Alcantarillado de Bogotá")</f>
        <v>Empresa de Acueducto y Alcantarillado de Bogotá</v>
      </c>
      <c r="F2203" s="25" t="str">
        <f ca="1">IFERROR(__xludf.DUMMYFUNCTION("""COMPUTED_VALUE"""),"Llevar a cabo un recorrido con EAAB para revisar posibles cambios de redes y canalización de quebradas en las estaciones del cable San Cristóbal")</f>
        <v>Llevar a cabo un recorrido con EAAB para revisar posibles cambios de redes y canalización de quebradas en las estaciones del cable San Cristóbal</v>
      </c>
      <c r="G2203" s="25" t="str">
        <f ca="1">IFERROR(__xludf.DUMMYFUNCTION("""COMPUTED_VALUE"""),"04. San Cristóbal")</f>
        <v>04. San Cristóbal</v>
      </c>
      <c r="H2203" s="55">
        <f ca="1">IFERROR(__xludf.DUMMYFUNCTION("""COMPUTED_VALUE"""),44444)</f>
        <v>44444</v>
      </c>
      <c r="I2203" s="25"/>
      <c r="J2203" s="55" t="str">
        <f ca="1">IFERROR(__xludf.DUMMYFUNCTION("""COMPUTED_VALUE"""),"Alta")</f>
        <v>Alta</v>
      </c>
      <c r="K2203" s="25">
        <f ca="1">IFERROR(__xludf.DUMMYFUNCTION("""COMPUTED_VALUE"""),30)</f>
        <v>30</v>
      </c>
      <c r="L2203" s="62">
        <f ca="1">IFERROR(__xludf.DUMMYFUNCTION("""COMPUTED_VALUE"""),44956)</f>
        <v>44956</v>
      </c>
      <c r="M2203" s="25" t="str">
        <f ca="1">IFERROR(__xludf.DUMMYFUNCTION("""COMPUTED_VALUE"""),"Durante 2021, se realizó el recorrido y mesas de trabajo con la EAAB para revisar posibles cambios de redes y canalización de quebradas en el proyecto del cable. El 23 de febrero de este año se dio la no objeción y actualmente se encuentra en definición e"&amp;"l polígono de intervención de la ronda de quebrada Chorro Colorado que colinda con la estación Altamira del Cable de San Cristóbal.")</f>
        <v>Durante 2021, se realizó el recorrido y mesas de trabajo con la EAAB para revisar posibles cambios de redes y canalización de quebradas en el proyecto del cable. El 23 de febrero de este año se dio la no objeción y actualmente se encuentra en definición el polígono de intervención de la ronda de quebrada Chorro Colorado que colinda con la estación Altamira del Cable de San Cristóbal.</v>
      </c>
      <c r="N2203" s="55">
        <f ca="1">IFERROR(__xludf.DUMMYFUNCTION("""COMPUTED_VALUE"""),44927)</f>
        <v>44927</v>
      </c>
      <c r="O2203" s="25" t="str">
        <f t="shared" ca="1" si="0"/>
        <v>Empresa de Acueducto y Alcantarillado de Bogotá</v>
      </c>
      <c r="P2203" s="25" t="str">
        <f t="shared" si="2"/>
        <v/>
      </c>
      <c r="Q2203" s="25" t="str">
        <f ca="1">IFERROR(__xludf.DUMMYFUNCTION("""COMPUTED_VALUE"""),"Corto plazo")</f>
        <v>Corto plazo</v>
      </c>
      <c r="R2203" s="25"/>
      <c r="S2203" s="55"/>
      <c r="T2203" s="56"/>
      <c r="U2203" s="25"/>
      <c r="V2203" s="25"/>
      <c r="W2203" s="25"/>
      <c r="X2203" s="25"/>
      <c r="Y2203" s="25"/>
      <c r="Z2203" s="25"/>
    </row>
    <row r="2204" spans="1:26" ht="52.5" customHeight="1" x14ac:dyDescent="0.25">
      <c r="A2204" s="67" t="str">
        <f ca="1">IFERROR(__xludf.DUMMYFUNCTION("""COMPUTED_VALUE"""),"Hábit102")</f>
        <v>Hábit102</v>
      </c>
      <c r="B2204" s="25" t="str">
        <f ca="1">IFERROR(__xludf.DUMMYFUNCTION("""COMPUTED_VALUE"""),"Reunión Cable San Rafael")</f>
        <v>Reunión Cable San Rafael</v>
      </c>
      <c r="C2204" s="55">
        <f ca="1">IFERROR(__xludf.DUMMYFUNCTION("""COMPUTED_VALUE"""),44414)</f>
        <v>44414</v>
      </c>
      <c r="D2204" s="25" t="str">
        <f ca="1">IFERROR(__xludf.DUMMYFUNCTION("""COMPUTED_VALUE"""),"Hábitat")</f>
        <v>Hábitat</v>
      </c>
      <c r="E2204" s="25" t="str">
        <f ca="1">IFERROR(__xludf.DUMMYFUNCTION("""COMPUTED_VALUE"""),"Empresa de Acueducto y Alcantarillado de Bogotá")</f>
        <v>Empresa de Acueducto y Alcantarillado de Bogotá</v>
      </c>
      <c r="F2204" s="25" t="str">
        <f ca="1">IFERROR(__xludf.DUMMYFUNCTION("""COMPUTED_VALUE"""),"Reunión con la embajadora de Francia para la APP de los cables orientales")</f>
        <v>Reunión con la embajadora de Francia para la APP de los cables orientales</v>
      </c>
      <c r="G2204" s="25" t="str">
        <f ca="1">IFERROR(__xludf.DUMMYFUNCTION("""COMPUTED_VALUE"""),"99. Distrito")</f>
        <v>99. Distrito</v>
      </c>
      <c r="H2204" s="55">
        <f ca="1">IFERROR(__xludf.DUMMYFUNCTION("""COMPUTED_VALUE"""),44444)</f>
        <v>44444</v>
      </c>
      <c r="I2204" s="25"/>
      <c r="J2204" s="55" t="str">
        <f ca="1">IFERROR(__xludf.DUMMYFUNCTION("""COMPUTED_VALUE"""),"Alta")</f>
        <v>Alta</v>
      </c>
      <c r="K2204" s="25">
        <f ca="1">IFERROR(__xludf.DUMMYFUNCTION("""COMPUTED_VALUE"""),30)</f>
        <v>30</v>
      </c>
      <c r="L2204" s="62">
        <f ca="1">IFERROR(__xludf.DUMMYFUNCTION("""COMPUTED_VALUE"""),44956)</f>
        <v>44956</v>
      </c>
      <c r="M2204" s="25"/>
      <c r="N2204" s="55">
        <f ca="1">IFERROR(__xludf.DUMMYFUNCTION("""COMPUTED_VALUE"""),44927)</f>
        <v>44927</v>
      </c>
      <c r="O2204" s="25" t="str">
        <f t="shared" ca="1" si="0"/>
        <v>Empresa de Acueducto y Alcantarillado de Bogotá</v>
      </c>
      <c r="P2204" s="25" t="str">
        <f t="shared" si="2"/>
        <v/>
      </c>
      <c r="Q2204" s="25" t="str">
        <f ca="1">IFERROR(__xludf.DUMMYFUNCTION("""COMPUTED_VALUE"""),"Corto plazo")</f>
        <v>Corto plazo</v>
      </c>
      <c r="R2204" s="25"/>
      <c r="S2204" s="55"/>
      <c r="T2204" s="56"/>
      <c r="U2204" s="25"/>
      <c r="V2204" s="25"/>
      <c r="W2204" s="25"/>
      <c r="X2204" s="25"/>
      <c r="Y2204" s="25"/>
      <c r="Z2204" s="25"/>
    </row>
    <row r="2205" spans="1:26" ht="52.5" customHeight="1" x14ac:dyDescent="0.25">
      <c r="A2205" s="67" t="str">
        <f ca="1">IFERROR(__xludf.DUMMYFUNCTION("""COMPUTED_VALUE"""),"Hábit103")</f>
        <v>Hábit103</v>
      </c>
      <c r="B2205" s="25" t="str">
        <f ca="1">IFERROR(__xludf.DUMMYFUNCTION("""COMPUTED_VALUE"""),"Kennedy")</f>
        <v>Kennedy</v>
      </c>
      <c r="C2205" s="55">
        <f ca="1">IFERROR(__xludf.DUMMYFUNCTION("""COMPUTED_VALUE"""),44406)</f>
        <v>44406</v>
      </c>
      <c r="D2205" s="25" t="str">
        <f ca="1">IFERROR(__xludf.DUMMYFUNCTION("""COMPUTED_VALUE"""),"Hábitat")</f>
        <v>Hábitat</v>
      </c>
      <c r="E2205" s="25" t="str">
        <f ca="1">IFERROR(__xludf.DUMMYFUNCTION("""COMPUTED_VALUE"""),"Unidad Administrativa Especial de Servicios Públicos")</f>
        <v>Unidad Administrativa Especial de Servicios Públicos</v>
      </c>
      <c r="F2205" s="25" t="str">
        <f ca="1">IFERROR(__xludf.DUMMYFUNCTION("""COMPUTED_VALUE""")," Construir un centro de carreteros en la alameda el porvenir ")</f>
        <v xml:space="preserve"> Construir un centro de carreteros en la alameda el porvenir </v>
      </c>
      <c r="G2205" s="25" t="str">
        <f ca="1">IFERROR(__xludf.DUMMYFUNCTION("""COMPUTED_VALUE"""),"99. Distrito")</f>
        <v>99. Distrito</v>
      </c>
      <c r="H2205" s="55">
        <f ca="1">IFERROR(__xludf.DUMMYFUNCTION("""COMPUTED_VALUE"""),44436)</f>
        <v>44436</v>
      </c>
      <c r="I2205" s="25"/>
      <c r="J2205" s="55" t="str">
        <f ca="1">IFERROR(__xludf.DUMMYFUNCTION("""COMPUTED_VALUE"""),"Alta")</f>
        <v>Alta</v>
      </c>
      <c r="K2205" s="25">
        <f ca="1">IFERROR(__xludf.DUMMYFUNCTION("""COMPUTED_VALUE"""),30)</f>
        <v>30</v>
      </c>
      <c r="L2205" s="62"/>
      <c r="M2205" s="25"/>
      <c r="N2205" s="55">
        <f ca="1">IFERROR(__xludf.DUMMYFUNCTION("""COMPUTED_VALUE"""),44927)</f>
        <v>44927</v>
      </c>
      <c r="O2205" s="25" t="str">
        <f t="shared" ca="1" si="0"/>
        <v>Unidad Administrativa Especial de Servicios Públicos</v>
      </c>
      <c r="P2205" s="25" t="str">
        <f t="shared" si="2"/>
        <v/>
      </c>
      <c r="Q2205" s="25" t="str">
        <f ca="1">IFERROR(__xludf.DUMMYFUNCTION("""COMPUTED_VALUE"""),"Corto plazo")</f>
        <v>Corto plazo</v>
      </c>
      <c r="R2205" s="25"/>
      <c r="S2205" s="55"/>
      <c r="T2205" s="56"/>
      <c r="U2205" s="25"/>
      <c r="V2205" s="25"/>
      <c r="W2205" s="25"/>
      <c r="X2205" s="25"/>
      <c r="Y2205" s="25"/>
      <c r="Z2205" s="25"/>
    </row>
    <row r="2206" spans="1:26" ht="52.5" customHeight="1" x14ac:dyDescent="0.25">
      <c r="A2206" s="67" t="str">
        <f ca="1">IFERROR(__xludf.DUMMYFUNCTION("""COMPUTED_VALUE"""),"Hábit104")</f>
        <v>Hábit104</v>
      </c>
      <c r="B2206" s="25" t="str">
        <f ca="1">IFERROR(__xludf.DUMMYFUNCTION("""COMPUTED_VALUE"""),"Kennedy")</f>
        <v>Kennedy</v>
      </c>
      <c r="C2206" s="55">
        <f ca="1">IFERROR(__xludf.DUMMYFUNCTION("""COMPUTED_VALUE"""),44406)</f>
        <v>44406</v>
      </c>
      <c r="D2206" s="25" t="str">
        <f ca="1">IFERROR(__xludf.DUMMYFUNCTION("""COMPUTED_VALUE"""),"Hábitat")</f>
        <v>Hábitat</v>
      </c>
      <c r="E2206" s="25" t="str">
        <f ca="1">IFERROR(__xludf.DUMMYFUNCTION("""COMPUTED_VALUE"""),"Empresa de Acueducto y Alcantarillado de Bogotá")</f>
        <v>Empresa de Acueducto y Alcantarillado de Bogotá</v>
      </c>
      <c r="F2206" s="25" t="str">
        <f ca="1">IFERROR(__xludf.DUMMYFUNCTION("""COMPUTED_VALUE"""),"EAAB debe hacer revisión de adecuación hidráulica del humedal Tingua Azul")</f>
        <v>EAAB debe hacer revisión de adecuación hidráulica del humedal Tingua Azul</v>
      </c>
      <c r="G2206" s="25" t="str">
        <f ca="1">IFERROR(__xludf.DUMMYFUNCTION("""COMPUTED_VALUE"""),"99. Distrito")</f>
        <v>99. Distrito</v>
      </c>
      <c r="H2206" s="55">
        <f ca="1">IFERROR(__xludf.DUMMYFUNCTION("""COMPUTED_VALUE"""),44436)</f>
        <v>44436</v>
      </c>
      <c r="I2206" s="25"/>
      <c r="J2206" s="55" t="str">
        <f ca="1">IFERROR(__xludf.DUMMYFUNCTION("""COMPUTED_VALUE"""),"Alta")</f>
        <v>Alta</v>
      </c>
      <c r="K2206" s="25">
        <f ca="1">IFERROR(__xludf.DUMMYFUNCTION("""COMPUTED_VALUE"""),30)</f>
        <v>30</v>
      </c>
      <c r="L2206" s="62">
        <f ca="1">IFERROR(__xludf.DUMMYFUNCTION("""COMPUTED_VALUE"""),44956)</f>
        <v>44956</v>
      </c>
      <c r="M2206" s="25"/>
      <c r="N2206" s="55">
        <f ca="1">IFERROR(__xludf.DUMMYFUNCTION("""COMPUTED_VALUE"""),44927)</f>
        <v>44927</v>
      </c>
      <c r="O2206" s="25" t="str">
        <f t="shared" ca="1" si="0"/>
        <v>Empresa de Acueducto y Alcantarillado de Bogotá</v>
      </c>
      <c r="P2206" s="25" t="str">
        <f t="shared" si="2"/>
        <v/>
      </c>
      <c r="Q2206" s="25" t="str">
        <f ca="1">IFERROR(__xludf.DUMMYFUNCTION("""COMPUTED_VALUE"""),"Corto plazo")</f>
        <v>Corto plazo</v>
      </c>
      <c r="R2206" s="25"/>
      <c r="S2206" s="55"/>
      <c r="T2206" s="56"/>
      <c r="U2206" s="25"/>
      <c r="V2206" s="25"/>
      <c r="W2206" s="25"/>
      <c r="X2206" s="25"/>
      <c r="Y2206" s="25"/>
      <c r="Z2206" s="25"/>
    </row>
    <row r="2207" spans="1:26" ht="52.5" customHeight="1" x14ac:dyDescent="0.25">
      <c r="A2207" s="67" t="str">
        <f ca="1">IFERROR(__xludf.DUMMYFUNCTION("""COMPUTED_VALUE"""),"Hábit105")</f>
        <v>Hábit105</v>
      </c>
      <c r="B2207" s="25" t="str">
        <f ca="1">IFERROR(__xludf.DUMMYFUNCTION("""COMPUTED_VALUE"""),"Revisión obras IDRD")</f>
        <v>Revisión obras IDRD</v>
      </c>
      <c r="C2207" s="55">
        <f ca="1">IFERROR(__xludf.DUMMYFUNCTION("""COMPUTED_VALUE"""),44413)</f>
        <v>44413</v>
      </c>
      <c r="D2207" s="25" t="str">
        <f ca="1">IFERROR(__xludf.DUMMYFUNCTION("""COMPUTED_VALUE"""),"Hábitat")</f>
        <v>Hábitat</v>
      </c>
      <c r="E2207" s="25" t="str">
        <f ca="1">IFERROR(__xludf.DUMMYFUNCTION("""COMPUTED_VALUE"""),"Secretaría Distrital del Hábitat")</f>
        <v>Secretaría Distrital del Hábitat</v>
      </c>
      <c r="F2207" s="25" t="str">
        <f ca="1">IFERROR(__xludf.DUMMYFUNCTION("""COMPUTED_VALUE"""),"SDHT debe radicar una propuesta del proyecto de ecobarrios y postularse para cooperación francesa")</f>
        <v>SDHT debe radicar una propuesta del proyecto de ecobarrios y postularse para cooperación francesa</v>
      </c>
      <c r="G2207" s="25" t="str">
        <f ca="1">IFERROR(__xludf.DUMMYFUNCTION("""COMPUTED_VALUE"""),"99. Distrito")</f>
        <v>99. Distrito</v>
      </c>
      <c r="H2207" s="55">
        <f ca="1">IFERROR(__xludf.DUMMYFUNCTION("""COMPUTED_VALUE"""),44443)</f>
        <v>44443</v>
      </c>
      <c r="I2207" s="25"/>
      <c r="J2207" s="55" t="str">
        <f ca="1">IFERROR(__xludf.DUMMYFUNCTION("""COMPUTED_VALUE"""),"Alta")</f>
        <v>Alta</v>
      </c>
      <c r="K2207" s="25">
        <f ca="1">IFERROR(__xludf.DUMMYFUNCTION("""COMPUTED_VALUE"""),30)</f>
        <v>30</v>
      </c>
      <c r="L2207" s="62"/>
      <c r="M2207" s="25"/>
      <c r="N2207" s="55">
        <f ca="1">IFERROR(__xludf.DUMMYFUNCTION("""COMPUTED_VALUE"""),44927)</f>
        <v>44927</v>
      </c>
      <c r="O2207" s="25" t="str">
        <f t="shared" ca="1" si="0"/>
        <v>Secretaría Distrital del Hábitat</v>
      </c>
      <c r="P2207" s="25" t="str">
        <f t="shared" si="2"/>
        <v/>
      </c>
      <c r="Q2207" s="25" t="str">
        <f ca="1">IFERROR(__xludf.DUMMYFUNCTION("""COMPUTED_VALUE"""),"Corto plazo")</f>
        <v>Corto plazo</v>
      </c>
      <c r="R2207" s="25"/>
      <c r="S2207" s="55"/>
      <c r="T2207" s="56"/>
      <c r="U2207" s="25"/>
      <c r="V2207" s="25"/>
      <c r="W2207" s="25"/>
      <c r="X2207" s="25"/>
      <c r="Y2207" s="25"/>
      <c r="Z2207" s="25"/>
    </row>
    <row r="2208" spans="1:26" ht="52.5" customHeight="1" x14ac:dyDescent="0.25">
      <c r="A2208" s="67" t="str">
        <f ca="1">IFERROR(__xludf.DUMMYFUNCTION("""COMPUTED_VALUE"""),"Hábit106")</f>
        <v>Hábit106</v>
      </c>
      <c r="B2208" s="25" t="str">
        <f ca="1">IFERROR(__xludf.DUMMYFUNCTION("""COMPUTED_VALUE"""),"Revisión obras IDRD")</f>
        <v>Revisión obras IDRD</v>
      </c>
      <c r="C2208" s="55">
        <f ca="1">IFERROR(__xludf.DUMMYFUNCTION("""COMPUTED_VALUE"""),44413)</f>
        <v>44413</v>
      </c>
      <c r="D2208" s="25" t="str">
        <f ca="1">IFERROR(__xludf.DUMMYFUNCTION("""COMPUTED_VALUE"""),"Hábitat")</f>
        <v>Hábitat</v>
      </c>
      <c r="E2208" s="25" t="str">
        <f ca="1">IFERROR(__xludf.DUMMYFUNCTION("""COMPUTED_VALUE"""),"Caja de Vivienda Popular")</f>
        <v>Caja de Vivienda Popular</v>
      </c>
      <c r="F2208" s="25" t="str">
        <f ca="1">IFERROR(__xludf.DUMMYFUNCTION("""COMPUTED_VALUE"""),"CVP debe priorizar y solucionar reasentamientos de tramos 6, 7 y 8 del proyecto del parque lineal de la 80")</f>
        <v>CVP debe priorizar y solucionar reasentamientos de tramos 6, 7 y 8 del proyecto del parque lineal de la 80</v>
      </c>
      <c r="G2208" s="55" t="str">
        <f ca="1">IFERROR(__xludf.DUMMYFUNCTION("""COMPUTED_VALUE"""),"11. Suba")</f>
        <v>11. Suba</v>
      </c>
      <c r="H2208" s="55">
        <f ca="1">IFERROR(__xludf.DUMMYFUNCTION("""COMPUTED_VALUE"""),44443)</f>
        <v>44443</v>
      </c>
      <c r="I2208" s="25"/>
      <c r="J2208" s="55" t="str">
        <f ca="1">IFERROR(__xludf.DUMMYFUNCTION("""COMPUTED_VALUE"""),"Alta")</f>
        <v>Alta</v>
      </c>
      <c r="K2208" s="25">
        <f ca="1">IFERROR(__xludf.DUMMYFUNCTION("""COMPUTED_VALUE"""),30)</f>
        <v>30</v>
      </c>
      <c r="L2208" s="62"/>
      <c r="M2208" s="25"/>
      <c r="N2208" s="55">
        <f ca="1">IFERROR(__xludf.DUMMYFUNCTION("""COMPUTED_VALUE"""),44927)</f>
        <v>44927</v>
      </c>
      <c r="O2208" s="25" t="str">
        <f t="shared" ca="1" si="0"/>
        <v>Caja de Vivienda Popular</v>
      </c>
      <c r="P2208" s="25" t="str">
        <f t="shared" si="2"/>
        <v/>
      </c>
      <c r="Q2208" s="25" t="str">
        <f ca="1">IFERROR(__xludf.DUMMYFUNCTION("""COMPUTED_VALUE"""),"Corto plazo")</f>
        <v>Corto plazo</v>
      </c>
      <c r="R2208" s="25"/>
      <c r="S2208" s="55"/>
      <c r="T2208" s="56"/>
      <c r="U2208" s="25"/>
      <c r="V2208" s="25"/>
      <c r="W2208" s="25"/>
      <c r="X2208" s="25"/>
      <c r="Y2208" s="25"/>
      <c r="Z2208" s="25"/>
    </row>
    <row r="2209" spans="1:26" ht="52.5" customHeight="1" x14ac:dyDescent="0.25">
      <c r="A2209" s="25" t="str">
        <f ca="1">IFERROR(__xludf.DUMMYFUNCTION("""COMPUTED_VALUE"""),"Hábit107")</f>
        <v>Hábit107</v>
      </c>
      <c r="B2209" s="25" t="str">
        <f ca="1">IFERROR(__xludf.DUMMYFUNCTION("""COMPUTED_VALUE"""),"Reunión directora DNP ")</f>
        <v xml:space="preserve">Reunión directora DNP </v>
      </c>
      <c r="C2209" s="55">
        <f ca="1">IFERROR(__xludf.DUMMYFUNCTION("""COMPUTED_VALUE"""),44413)</f>
        <v>44413</v>
      </c>
      <c r="D2209" s="25" t="str">
        <f ca="1">IFERROR(__xludf.DUMMYFUNCTION("""COMPUTED_VALUE"""),"Hábitat")</f>
        <v>Hábitat</v>
      </c>
      <c r="E2209" s="25" t="str">
        <f ca="1">IFERROR(__xludf.DUMMYFUNCTION("""COMPUTED_VALUE"""),"Empresa de Acueducto y Alcantarillado de Bogotá")</f>
        <v>Empresa de Acueducto y Alcantarillado de Bogotá</v>
      </c>
      <c r="F2209" s="25" t="str">
        <f ca="1">IFERROR(__xludf.DUMMYFUNCTION("""COMPUTED_VALUE"""),"Cooperación Reino Unido para actualizar el catastro en 23 municipios. Fondos: 46 millones de dólares. Gestor Catastral para 12 municipios. Reunión con el Director de Catastro y la directora del DNP. Municipios: 5 meta4 Guaviare y Caquetá.")</f>
        <v>Cooperación Reino Unido para actualizar el catastro en 23 municipios. Fondos: 46 millones de dólares. Gestor Catastral para 12 municipios. Reunión con el Director de Catastro y la directora del DNP. Municipios: 5 meta4 Guaviare y Caquetá.</v>
      </c>
      <c r="G2209" s="25" t="str">
        <f ca="1">IFERROR(__xludf.DUMMYFUNCTION("""COMPUTED_VALUE"""),"99. Distrito")</f>
        <v>99. Distrito</v>
      </c>
      <c r="H2209" s="55">
        <f ca="1">IFERROR(__xludf.DUMMYFUNCTION("""COMPUTED_VALUE"""),44443)</f>
        <v>44443</v>
      </c>
      <c r="I2209" s="25"/>
      <c r="J2209" s="55" t="str">
        <f ca="1">IFERROR(__xludf.DUMMYFUNCTION("""COMPUTED_VALUE"""),"Alta")</f>
        <v>Alta</v>
      </c>
      <c r="K2209" s="25">
        <f ca="1">IFERROR(__xludf.DUMMYFUNCTION("""COMPUTED_VALUE"""),30)</f>
        <v>30</v>
      </c>
      <c r="L2209" s="62">
        <f ca="1">IFERROR(__xludf.DUMMYFUNCTION("""COMPUTED_VALUE"""),44956)</f>
        <v>44956</v>
      </c>
      <c r="M2209" s="25"/>
      <c r="N2209" s="55">
        <f ca="1">IFERROR(__xludf.DUMMYFUNCTION("""COMPUTED_VALUE"""),44927)</f>
        <v>44927</v>
      </c>
      <c r="O2209" s="25" t="str">
        <f t="shared" ca="1" si="0"/>
        <v>Empresa de Acueducto y Alcantarillado de Bogotá</v>
      </c>
      <c r="P2209" s="25" t="str">
        <f t="shared" si="2"/>
        <v/>
      </c>
      <c r="Q2209" s="25" t="str">
        <f ca="1">IFERROR(__xludf.DUMMYFUNCTION("""COMPUTED_VALUE"""),"Corto plazo")</f>
        <v>Corto plazo</v>
      </c>
      <c r="R2209" s="25"/>
      <c r="S2209" s="55"/>
      <c r="T2209" s="56"/>
      <c r="U2209" s="25"/>
      <c r="V2209" s="25"/>
      <c r="W2209" s="25"/>
      <c r="X2209" s="25"/>
      <c r="Y2209" s="25"/>
      <c r="Z2209" s="25"/>
    </row>
    <row r="2210" spans="1:26" ht="52.5" customHeight="1" x14ac:dyDescent="0.25">
      <c r="A2210" s="67" t="str">
        <f ca="1">IFERROR(__xludf.DUMMYFUNCTION("""COMPUTED_VALUE"""),"Hábit108")</f>
        <v>Hábit108</v>
      </c>
      <c r="B2210" s="25" t="str">
        <f ca="1">IFERROR(__xludf.DUMMYFUNCTION("""COMPUTED_VALUE"""),"Revisión obras IDRD")</f>
        <v>Revisión obras IDRD</v>
      </c>
      <c r="C2210" s="55">
        <f ca="1">IFERROR(__xludf.DUMMYFUNCTION("""COMPUTED_VALUE"""),44413)</f>
        <v>44413</v>
      </c>
      <c r="D2210" s="25" t="str">
        <f ca="1">IFERROR(__xludf.DUMMYFUNCTION("""COMPUTED_VALUE"""),"Hábitat")</f>
        <v>Hábitat</v>
      </c>
      <c r="E2210" s="25" t="str">
        <f ca="1">IFERROR(__xludf.DUMMYFUNCTION("""COMPUTED_VALUE"""),"Empresa de Acueducto y Alcantarillado de Bogotá")</f>
        <v>Empresa de Acueducto y Alcantarillado de Bogotá</v>
      </c>
      <c r="F2210" s="25" t="str">
        <f ca="1">IFERROR(__xludf.DUMMYFUNCTION("""COMPUTED_VALUE"""),"Hacer cronograma de desgasificación del predio del Parque Gibraltar")</f>
        <v>Hacer cronograma de desgasificación del predio del Parque Gibraltar</v>
      </c>
      <c r="G2210" s="25" t="str">
        <f ca="1">IFERROR(__xludf.DUMMYFUNCTION("""COMPUTED_VALUE"""),"99. Distrito")</f>
        <v>99. Distrito</v>
      </c>
      <c r="H2210" s="55">
        <f ca="1">IFERROR(__xludf.DUMMYFUNCTION("""COMPUTED_VALUE"""),44443)</f>
        <v>44443</v>
      </c>
      <c r="I2210" s="25"/>
      <c r="J2210" s="55" t="str">
        <f ca="1">IFERROR(__xludf.DUMMYFUNCTION("""COMPUTED_VALUE"""),"Alta")</f>
        <v>Alta</v>
      </c>
      <c r="K2210" s="25">
        <f ca="1">IFERROR(__xludf.DUMMYFUNCTION("""COMPUTED_VALUE"""),30)</f>
        <v>30</v>
      </c>
      <c r="L2210" s="62">
        <f ca="1">IFERROR(__xludf.DUMMYFUNCTION("""COMPUTED_VALUE"""),44956)</f>
        <v>44956</v>
      </c>
      <c r="M2210" s="25"/>
      <c r="N2210" s="55">
        <f ca="1">IFERROR(__xludf.DUMMYFUNCTION("""COMPUTED_VALUE"""),44927)</f>
        <v>44927</v>
      </c>
      <c r="O2210" s="25" t="str">
        <f t="shared" ca="1" si="0"/>
        <v>Empresa de Acueducto y Alcantarillado de Bogotá</v>
      </c>
      <c r="P2210" s="25" t="str">
        <f t="shared" si="2"/>
        <v/>
      </c>
      <c r="Q2210" s="25" t="str">
        <f ca="1">IFERROR(__xludf.DUMMYFUNCTION("""COMPUTED_VALUE"""),"Corto plazo")</f>
        <v>Corto plazo</v>
      </c>
      <c r="R2210" s="25"/>
      <c r="S2210" s="55"/>
      <c r="T2210" s="56"/>
      <c r="U2210" s="25"/>
      <c r="V2210" s="25"/>
      <c r="W2210" s="25"/>
      <c r="X2210" s="25"/>
      <c r="Y2210" s="25"/>
      <c r="Z2210" s="25"/>
    </row>
    <row r="2211" spans="1:26" ht="52.5" customHeight="1" x14ac:dyDescent="0.25">
      <c r="A2211" s="67" t="str">
        <f ca="1">IFERROR(__xludf.DUMMYFUNCTION("""COMPUTED_VALUE"""),"Hábit109")</f>
        <v>Hábit109</v>
      </c>
      <c r="B2211" s="25" t="str">
        <f ca="1">IFERROR(__xludf.DUMMYFUNCTION("""COMPUTED_VALUE"""),"Reunión directora DNP ")</f>
        <v xml:space="preserve">Reunión directora DNP </v>
      </c>
      <c r="C2211" s="55">
        <f ca="1">IFERROR(__xludf.DUMMYFUNCTION("""COMPUTED_VALUE"""),44413)</f>
        <v>44413</v>
      </c>
      <c r="D2211" s="25" t="str">
        <f ca="1">IFERROR(__xludf.DUMMYFUNCTION("""COMPUTED_VALUE"""),"Hábitat")</f>
        <v>Hábitat</v>
      </c>
      <c r="E2211" s="25" t="str">
        <f ca="1">IFERROR(__xludf.DUMMYFUNCTION("""COMPUTED_VALUE"""),"Empresa de Acueducto y Alcantarillado de Bogotá")</f>
        <v>Empresa de Acueducto y Alcantarillado de Bogotá</v>
      </c>
      <c r="F2211" s="25" t="str">
        <f ca="1">IFERROR(__xludf.DUMMYFUNCTION("""COMPUTED_VALUE"""),"Catastro actualizado para incluir en la Bogotá Región. Ayuda de financiación por regalías.")</f>
        <v>Catastro actualizado para incluir en la Bogotá Región. Ayuda de financiación por regalías.</v>
      </c>
      <c r="G2211" s="25" t="str">
        <f ca="1">IFERROR(__xludf.DUMMYFUNCTION("""COMPUTED_VALUE"""),"99. Distrito")</f>
        <v>99. Distrito</v>
      </c>
      <c r="H2211" s="55">
        <f ca="1">IFERROR(__xludf.DUMMYFUNCTION("""COMPUTED_VALUE"""),44443)</f>
        <v>44443</v>
      </c>
      <c r="I2211" s="25"/>
      <c r="J2211" s="55" t="str">
        <f ca="1">IFERROR(__xludf.DUMMYFUNCTION("""COMPUTED_VALUE"""),"Alta")</f>
        <v>Alta</v>
      </c>
      <c r="K2211" s="25">
        <f ca="1">IFERROR(__xludf.DUMMYFUNCTION("""COMPUTED_VALUE"""),30)</f>
        <v>30</v>
      </c>
      <c r="L2211" s="62">
        <f ca="1">IFERROR(__xludf.DUMMYFUNCTION("""COMPUTED_VALUE"""),44956)</f>
        <v>44956</v>
      </c>
      <c r="M2211" s="25"/>
      <c r="N2211" s="55">
        <f ca="1">IFERROR(__xludf.DUMMYFUNCTION("""COMPUTED_VALUE"""),44927)</f>
        <v>44927</v>
      </c>
      <c r="O2211" s="25" t="str">
        <f t="shared" ca="1" si="0"/>
        <v>Empresa de Acueducto y Alcantarillado de Bogotá</v>
      </c>
      <c r="P2211" s="25" t="str">
        <f t="shared" si="2"/>
        <v/>
      </c>
      <c r="Q2211" s="25" t="str">
        <f ca="1">IFERROR(__xludf.DUMMYFUNCTION("""COMPUTED_VALUE"""),"Corto plazo")</f>
        <v>Corto plazo</v>
      </c>
      <c r="R2211" s="25"/>
      <c r="S2211" s="55"/>
      <c r="T2211" s="56"/>
      <c r="U2211" s="25"/>
      <c r="V2211" s="25"/>
      <c r="W2211" s="25"/>
      <c r="X2211" s="25"/>
      <c r="Y2211" s="25"/>
      <c r="Z2211" s="25"/>
    </row>
    <row r="2212" spans="1:26" ht="52.5" customHeight="1" x14ac:dyDescent="0.25">
      <c r="A2212" s="67" t="str">
        <f ca="1">IFERROR(__xludf.DUMMYFUNCTION("""COMPUTED_VALUE"""),"Hábit110")</f>
        <v>Hábit110</v>
      </c>
      <c r="B2212" s="25" t="str">
        <f ca="1">IFERROR(__xludf.DUMMYFUNCTION("""COMPUTED_VALUE"""),"Reunión Hospital San Juan de Dios")</f>
        <v>Reunión Hospital San Juan de Dios</v>
      </c>
      <c r="C2212" s="55">
        <f ca="1">IFERROR(__xludf.DUMMYFUNCTION("""COMPUTED_VALUE"""),44378)</f>
        <v>44378</v>
      </c>
      <c r="D2212" s="25" t="str">
        <f ca="1">IFERROR(__xludf.DUMMYFUNCTION("""COMPUTED_VALUE"""),"Hábitat")</f>
        <v>Hábitat</v>
      </c>
      <c r="E2212" s="25" t="str">
        <f ca="1">IFERROR(__xludf.DUMMYFUNCTION("""COMPUTED_VALUE"""),"Empresa de Renovación y Desarrollo Urbano")</f>
        <v>Empresa de Renovación y Desarrollo Urbano</v>
      </c>
      <c r="F2212" s="25" t="str">
        <f ca="1">IFERROR(__xludf.DUMMYFUNCTION("""COMPUTED_VALUE"""),"Sacar adelante el Convenio Salud-ERU- Min Cultura teniendo en cuenta la proximidad de inicio de ley de garantías.")</f>
        <v>Sacar adelante el Convenio Salud-ERU- Min Cultura teniendo en cuenta la proximidad de inicio de ley de garantías.</v>
      </c>
      <c r="G2212" s="25" t="str">
        <f ca="1">IFERROR(__xludf.DUMMYFUNCTION("""COMPUTED_VALUE"""),"99. Distrito")</f>
        <v>99. Distrito</v>
      </c>
      <c r="H2212" s="55">
        <f ca="1">IFERROR(__xludf.DUMMYFUNCTION("""COMPUTED_VALUE"""),44408)</f>
        <v>44408</v>
      </c>
      <c r="I2212" s="25"/>
      <c r="J2212" s="55" t="str">
        <f ca="1">IFERROR(__xludf.DUMMYFUNCTION("""COMPUTED_VALUE"""),"Alta")</f>
        <v>Alta</v>
      </c>
      <c r="K2212" s="25">
        <f ca="1">IFERROR(__xludf.DUMMYFUNCTION("""COMPUTED_VALUE"""),30)</f>
        <v>30</v>
      </c>
      <c r="L2212" s="62"/>
      <c r="M2212" s="25"/>
      <c r="N2212" s="55">
        <f ca="1">IFERROR(__xludf.DUMMYFUNCTION("""COMPUTED_VALUE"""),44927)</f>
        <v>44927</v>
      </c>
      <c r="O2212" s="25" t="str">
        <f t="shared" ca="1" si="0"/>
        <v>Empresa de Renovación y Desarrollo Urbano</v>
      </c>
      <c r="P2212" s="25" t="str">
        <f t="shared" si="2"/>
        <v/>
      </c>
      <c r="Q2212" s="25" t="str">
        <f ca="1">IFERROR(__xludf.DUMMYFUNCTION("""COMPUTED_VALUE"""),"Corto plazo")</f>
        <v>Corto plazo</v>
      </c>
      <c r="R2212" s="25"/>
      <c r="S2212" s="55"/>
      <c r="T2212" s="56"/>
      <c r="U2212" s="25"/>
      <c r="V2212" s="25"/>
      <c r="W2212" s="25"/>
      <c r="X2212" s="25"/>
      <c r="Y2212" s="25"/>
      <c r="Z2212" s="25"/>
    </row>
    <row r="2213" spans="1:26" ht="52.5" customHeight="1" x14ac:dyDescent="0.25">
      <c r="A2213" s="67" t="str">
        <f ca="1">IFERROR(__xludf.DUMMYFUNCTION("""COMPUTED_VALUE"""),"Hábit111")</f>
        <v>Hábit111</v>
      </c>
      <c r="B2213" s="25" t="str">
        <f ca="1">IFERROR(__xludf.DUMMYFUNCTION("""COMPUTED_VALUE"""),"Reunión Hospital San Juan de Dios")</f>
        <v>Reunión Hospital San Juan de Dios</v>
      </c>
      <c r="C2213" s="55">
        <f ca="1">IFERROR(__xludf.DUMMYFUNCTION("""COMPUTED_VALUE"""),44378)</f>
        <v>44378</v>
      </c>
      <c r="D2213" s="25" t="str">
        <f ca="1">IFERROR(__xludf.DUMMYFUNCTION("""COMPUTED_VALUE"""),"Hábitat")</f>
        <v>Hábitat</v>
      </c>
      <c r="E2213" s="25" t="str">
        <f ca="1">IFERROR(__xludf.DUMMYFUNCTION("""COMPUTED_VALUE"""),"Empresa de Renovación y Desarrollo Urbano")</f>
        <v>Empresa de Renovación y Desarrollo Urbano</v>
      </c>
      <c r="F2213" s="25" t="str">
        <f ca="1">IFERROR(__xludf.DUMMYFUNCTION("""COMPUTED_VALUE"""),"Revisar entre la ERU y Secretaria de Salud (Juan Carlos Bolívar) el proyecto Sena Salud")</f>
        <v>Revisar entre la ERU y Secretaria de Salud (Juan Carlos Bolívar) el proyecto Sena Salud</v>
      </c>
      <c r="G2213" s="55" t="str">
        <f ca="1">IFERROR(__xludf.DUMMYFUNCTION("""COMPUTED_VALUE"""),"15. Antonio Nariño")</f>
        <v>15. Antonio Nariño</v>
      </c>
      <c r="H2213" s="55">
        <f ca="1">IFERROR(__xludf.DUMMYFUNCTION("""COMPUTED_VALUE"""),44408)</f>
        <v>44408</v>
      </c>
      <c r="I2213" s="25"/>
      <c r="J2213" s="55" t="str">
        <f ca="1">IFERROR(__xludf.DUMMYFUNCTION("""COMPUTED_VALUE"""),"Alta")</f>
        <v>Alta</v>
      </c>
      <c r="K2213" s="25">
        <f ca="1">IFERROR(__xludf.DUMMYFUNCTION("""COMPUTED_VALUE"""),30)</f>
        <v>30</v>
      </c>
      <c r="L2213" s="62"/>
      <c r="M2213" s="25"/>
      <c r="N2213" s="55">
        <f ca="1">IFERROR(__xludf.DUMMYFUNCTION("""COMPUTED_VALUE"""),44927)</f>
        <v>44927</v>
      </c>
      <c r="O2213" s="25" t="str">
        <f t="shared" ca="1" si="0"/>
        <v>Empresa de Renovación y Desarrollo Urbano</v>
      </c>
      <c r="P2213" s="25" t="str">
        <f t="shared" si="2"/>
        <v/>
      </c>
      <c r="Q2213" s="25" t="str">
        <f ca="1">IFERROR(__xludf.DUMMYFUNCTION("""COMPUTED_VALUE"""),"Corto plazo")</f>
        <v>Corto plazo</v>
      </c>
      <c r="R2213" s="25"/>
      <c r="S2213" s="55"/>
      <c r="T2213" s="56"/>
      <c r="U2213" s="25"/>
      <c r="V2213" s="25"/>
      <c r="W2213" s="25"/>
      <c r="X2213" s="25"/>
      <c r="Y2213" s="25"/>
      <c r="Z2213" s="25"/>
    </row>
    <row r="2214" spans="1:26" ht="52.5" customHeight="1" x14ac:dyDescent="0.25">
      <c r="A2214" s="67" t="str">
        <f ca="1">IFERROR(__xludf.DUMMYFUNCTION("""COMPUTED_VALUE"""),"Hábit112")</f>
        <v>Hábit112</v>
      </c>
      <c r="B2214" s="25" t="str">
        <f ca="1">IFERROR(__xludf.DUMMYFUNCTION("""COMPUTED_VALUE"""),"Reunión obras IDU- Acueducto")</f>
        <v>Reunión obras IDU- Acueducto</v>
      </c>
      <c r="C2214" s="55">
        <f ca="1">IFERROR(__xludf.DUMMYFUNCTION("""COMPUTED_VALUE"""),44425)</f>
        <v>44425</v>
      </c>
      <c r="D2214" s="25" t="str">
        <f ca="1">IFERROR(__xludf.DUMMYFUNCTION("""COMPUTED_VALUE"""),"Hábitat")</f>
        <v>Hábitat</v>
      </c>
      <c r="E2214" s="25" t="str">
        <f ca="1">IFERROR(__xludf.DUMMYFUNCTION("""COMPUTED_VALUE"""),"Empresa de Acueducto y Alcantarillado de Bogotá")</f>
        <v>Empresa de Acueducto y Alcantarillado de Bogotá</v>
      </c>
      <c r="F2214" s="25" t="str">
        <f ca="1">IFERROR(__xludf.DUMMYFUNCTION("""COMPUTED_VALUE""")," Adoptar manual/lineamiento para la actualización del Catastro de Redes, donde se indique que se debe hacer de manera trimestral por cada zona a cargo de EAAB, las alcaldías locales y la UMV. El producto esperado de esta tarea corresponde a la elaboración"&amp;"/actualización y socialización del documento que formalice los procesos/procedimientos correspondientes al interior de la Entidad.")</f>
        <v xml:space="preserve"> Adoptar manual/lineamiento para la actualización del Catastro de Redes, donde se indique que se debe hacer de manera trimestral por cada zona a cargo de EAAB, las alcaldías locales y la UMV. El producto esperado de esta tarea corresponde a la elaboración/actualización y socialización del documento que formalice los procesos/procedimientos correspondientes al interior de la Entidad.</v>
      </c>
      <c r="G2214" s="25" t="str">
        <f ca="1">IFERROR(__xludf.DUMMYFUNCTION("""COMPUTED_VALUE"""),"99. Distrito")</f>
        <v>99. Distrito</v>
      </c>
      <c r="H2214" s="55">
        <f ca="1">IFERROR(__xludf.DUMMYFUNCTION("""COMPUTED_VALUE"""),44455)</f>
        <v>44455</v>
      </c>
      <c r="I2214" s="25"/>
      <c r="J2214" s="55" t="str">
        <f ca="1">IFERROR(__xludf.DUMMYFUNCTION("""COMPUTED_VALUE"""),"Alta")</f>
        <v>Alta</v>
      </c>
      <c r="K2214" s="25">
        <f ca="1">IFERROR(__xludf.DUMMYFUNCTION("""COMPUTED_VALUE"""),30)</f>
        <v>30</v>
      </c>
      <c r="L2214" s="62">
        <f ca="1">IFERROR(__xludf.DUMMYFUNCTION("""COMPUTED_VALUE"""),44956)</f>
        <v>44956</v>
      </c>
      <c r="M2214" s="25"/>
      <c r="N2214" s="55">
        <f ca="1">IFERROR(__xludf.DUMMYFUNCTION("""COMPUTED_VALUE"""),44927)</f>
        <v>44927</v>
      </c>
      <c r="O2214" s="25" t="str">
        <f t="shared" ca="1" si="0"/>
        <v>Empresa de Acueducto y Alcantarillado de Bogotá</v>
      </c>
      <c r="P2214" s="25" t="str">
        <f t="shared" si="2"/>
        <v/>
      </c>
      <c r="Q2214" s="25" t="str">
        <f ca="1">IFERROR(__xludf.DUMMYFUNCTION("""COMPUTED_VALUE"""),"Corto plazo")</f>
        <v>Corto plazo</v>
      </c>
      <c r="R2214" s="25"/>
      <c r="S2214" s="55"/>
      <c r="T2214" s="56"/>
      <c r="U2214" s="25"/>
      <c r="V2214" s="25"/>
      <c r="W2214" s="25"/>
      <c r="X2214" s="25"/>
      <c r="Y2214" s="25"/>
      <c r="Z2214" s="25"/>
    </row>
    <row r="2215" spans="1:26" ht="52.5" customHeight="1" x14ac:dyDescent="0.25">
      <c r="A2215" s="67" t="str">
        <f ca="1">IFERROR(__xludf.DUMMYFUNCTION("""COMPUTED_VALUE"""),"Hábit113")</f>
        <v>Hábit113</v>
      </c>
      <c r="B2215" s="25" t="str">
        <f ca="1">IFERROR(__xludf.DUMMYFUNCTION("""COMPUTED_VALUE"""),"Reunión obras IDU- Acueducto")</f>
        <v>Reunión obras IDU- Acueducto</v>
      </c>
      <c r="C2215" s="55">
        <f ca="1">IFERROR(__xludf.DUMMYFUNCTION("""COMPUTED_VALUE"""),44425)</f>
        <v>44425</v>
      </c>
      <c r="D2215" s="25" t="str">
        <f ca="1">IFERROR(__xludf.DUMMYFUNCTION("""COMPUTED_VALUE"""),"Hábitat")</f>
        <v>Hábitat</v>
      </c>
      <c r="E2215" s="25" t="str">
        <f ca="1">IFERROR(__xludf.DUMMYFUNCTION("""COMPUTED_VALUE"""),"Empresa de Acueducto y Alcantarillado de Bogotá")</f>
        <v>Empresa de Acueducto y Alcantarillado de Bogotá</v>
      </c>
      <c r="F2215" s="25" t="str">
        <f ca="1">IFERROR(__xludf.DUMMYFUNCTION("""COMPUTED_VALUE"""),"Adoptar como lineamiento que para todos los contratos del IDU se entregan los datos técnicos al contratista del IDU con una fecha de vigencia. El producto esperado de esta tarea corresponde a la elaboración/actualización y socialización del documento que "&amp;"formalice los procesos/procedimientos correspondientes al interior de la Entidad.")</f>
        <v>Adoptar como lineamiento que para todos los contratos del IDU se entregan los datos técnicos al contratista del IDU con una fecha de vigencia. El producto esperado de esta tarea corresponde a la elaboración/actualización y socialización del documento que formalice los procesos/procedimientos correspondientes al interior de la Entidad.</v>
      </c>
      <c r="G2215" s="25" t="str">
        <f ca="1">IFERROR(__xludf.DUMMYFUNCTION("""COMPUTED_VALUE"""),"99. Distrito")</f>
        <v>99. Distrito</v>
      </c>
      <c r="H2215" s="55">
        <f ca="1">IFERROR(__xludf.DUMMYFUNCTION("""COMPUTED_VALUE"""),44455)</f>
        <v>44455</v>
      </c>
      <c r="I2215" s="25"/>
      <c r="J2215" s="55" t="str">
        <f ca="1">IFERROR(__xludf.DUMMYFUNCTION("""COMPUTED_VALUE"""),"Alta")</f>
        <v>Alta</v>
      </c>
      <c r="K2215" s="25">
        <f ca="1">IFERROR(__xludf.DUMMYFUNCTION("""COMPUTED_VALUE"""),30)</f>
        <v>30</v>
      </c>
      <c r="L2215" s="62">
        <f ca="1">IFERROR(__xludf.DUMMYFUNCTION("""COMPUTED_VALUE"""),44956)</f>
        <v>44956</v>
      </c>
      <c r="M2215" s="25"/>
      <c r="N2215" s="55">
        <f ca="1">IFERROR(__xludf.DUMMYFUNCTION("""COMPUTED_VALUE"""),44927)</f>
        <v>44927</v>
      </c>
      <c r="O2215" s="25" t="str">
        <f t="shared" ca="1" si="0"/>
        <v>Empresa de Acueducto y Alcantarillado de Bogotá</v>
      </c>
      <c r="P2215" s="25" t="str">
        <f t="shared" si="2"/>
        <v/>
      </c>
      <c r="Q2215" s="25" t="str">
        <f ca="1">IFERROR(__xludf.DUMMYFUNCTION("""COMPUTED_VALUE"""),"Corto plazo")</f>
        <v>Corto plazo</v>
      </c>
      <c r="R2215" s="25"/>
      <c r="S2215" s="55"/>
      <c r="T2215" s="56"/>
      <c r="U2215" s="25"/>
      <c r="V2215" s="25"/>
      <c r="W2215" s="25"/>
      <c r="X2215" s="25"/>
      <c r="Y2215" s="25"/>
      <c r="Z2215" s="25"/>
    </row>
    <row r="2216" spans="1:26" ht="52.5" customHeight="1" x14ac:dyDescent="0.25">
      <c r="A2216" s="67" t="str">
        <f ca="1">IFERROR(__xludf.DUMMYFUNCTION("""COMPUTED_VALUE"""),"Hábit114")</f>
        <v>Hábit114</v>
      </c>
      <c r="B2216" s="25" t="str">
        <f ca="1">IFERROR(__xludf.DUMMYFUNCTION("""COMPUTED_VALUE"""),"Reunión obras IDU- Acueducto")</f>
        <v>Reunión obras IDU- Acueducto</v>
      </c>
      <c r="C2216" s="55">
        <f ca="1">IFERROR(__xludf.DUMMYFUNCTION("""COMPUTED_VALUE"""),44425)</f>
        <v>44425</v>
      </c>
      <c r="D2216" s="25" t="str">
        <f ca="1">IFERROR(__xludf.DUMMYFUNCTION("""COMPUTED_VALUE"""),"Hábitat")</f>
        <v>Hábitat</v>
      </c>
      <c r="E2216" s="25" t="str">
        <f ca="1">IFERROR(__xludf.DUMMYFUNCTION("""COMPUTED_VALUE"""),"Empresa de Acueducto y Alcantarillado de Bogotá")</f>
        <v>Empresa de Acueducto y Alcantarillado de Bogotá</v>
      </c>
      <c r="F2216" s="25" t="str">
        <f ca="1">IFERROR(__xludf.DUMMYFUNCTION("""COMPUTED_VALUE"""),"Enviar los nombres de las personas encargadas zona por zona de la actualización de los catastros de las redes.")</f>
        <v>Enviar los nombres de las personas encargadas zona por zona de la actualización de los catastros de las redes.</v>
      </c>
      <c r="G2216" s="25" t="str">
        <f ca="1">IFERROR(__xludf.DUMMYFUNCTION("""COMPUTED_VALUE"""),"99. Distrito")</f>
        <v>99. Distrito</v>
      </c>
      <c r="H2216" s="55">
        <f ca="1">IFERROR(__xludf.DUMMYFUNCTION("""COMPUTED_VALUE"""),44455)</f>
        <v>44455</v>
      </c>
      <c r="I2216" s="25"/>
      <c r="J2216" s="55" t="str">
        <f ca="1">IFERROR(__xludf.DUMMYFUNCTION("""COMPUTED_VALUE"""),"Alta")</f>
        <v>Alta</v>
      </c>
      <c r="K2216" s="25">
        <f ca="1">IFERROR(__xludf.DUMMYFUNCTION("""COMPUTED_VALUE"""),30)</f>
        <v>30</v>
      </c>
      <c r="L2216" s="62">
        <f ca="1">IFERROR(__xludf.DUMMYFUNCTION("""COMPUTED_VALUE"""),44956)</f>
        <v>44956</v>
      </c>
      <c r="M2216" s="25"/>
      <c r="N2216" s="55">
        <f ca="1">IFERROR(__xludf.DUMMYFUNCTION("""COMPUTED_VALUE"""),44927)</f>
        <v>44927</v>
      </c>
      <c r="O2216" s="25" t="str">
        <f t="shared" ca="1" si="0"/>
        <v>Empresa de Acueducto y Alcantarillado de Bogotá</v>
      </c>
      <c r="P2216" s="25" t="str">
        <f t="shared" si="2"/>
        <v/>
      </c>
      <c r="Q2216" s="25" t="str">
        <f ca="1">IFERROR(__xludf.DUMMYFUNCTION("""COMPUTED_VALUE"""),"Corto plazo")</f>
        <v>Corto plazo</v>
      </c>
      <c r="R2216" s="25"/>
      <c r="S2216" s="55"/>
      <c r="T2216" s="56"/>
      <c r="U2216" s="25"/>
      <c r="V2216" s="25"/>
      <c r="W2216" s="25"/>
      <c r="X2216" s="25"/>
      <c r="Y2216" s="25"/>
      <c r="Z2216" s="25"/>
    </row>
    <row r="2217" spans="1:26" ht="52.5" customHeight="1" x14ac:dyDescent="0.25">
      <c r="A2217" s="67" t="str">
        <f ca="1">IFERROR(__xludf.DUMMYFUNCTION("""COMPUTED_VALUE"""),"Hábit115")</f>
        <v>Hábit115</v>
      </c>
      <c r="B2217" s="25" t="str">
        <f ca="1">IFERROR(__xludf.DUMMYFUNCTION("""COMPUTED_VALUE"""),"Reunión obras IDU- Acueducto")</f>
        <v>Reunión obras IDU- Acueducto</v>
      </c>
      <c r="C2217" s="55">
        <f ca="1">IFERROR(__xludf.DUMMYFUNCTION("""COMPUTED_VALUE"""),44425)</f>
        <v>44425</v>
      </c>
      <c r="D2217" s="25" t="str">
        <f ca="1">IFERROR(__xludf.DUMMYFUNCTION("""COMPUTED_VALUE"""),"Hábitat")</f>
        <v>Hábitat</v>
      </c>
      <c r="E2217" s="25" t="str">
        <f ca="1">IFERROR(__xludf.DUMMYFUNCTION("""COMPUTED_VALUE"""),"Empresa de Acueducto y Alcantarillado de Bogotá")</f>
        <v>Empresa de Acueducto y Alcantarillado de Bogotá</v>
      </c>
      <c r="F2217" s="25" t="str">
        <f ca="1">IFERROR(__xludf.DUMMYFUNCTION("""COMPUTED_VALUE"""),"
Presentar a la Junta del EAAB una propuesta de presupuesto de 2022 que incorpore el aumento del funcionamiento requerido para poder atender las necesidades de revisión de los diseños presentados por el IDU (Esto a partir de relacionar todas las obras y c"&amp;"ruzarla con el IDU y viceversa). El producto esperado de esta tarea corresponde a: a) la propuesta de presupuesto 2022 y b) resultado de la socialización con la Junta de la Entidad.")</f>
        <v xml:space="preserve">
Presentar a la Junta del EAAB una propuesta de presupuesto de 2022 que incorpore el aumento del funcionamiento requerido para poder atender las necesidades de revisión de los diseños presentados por el IDU (Esto a partir de relacionar todas las obras y cruzarla con el IDU y viceversa). El producto esperado de esta tarea corresponde a: a) la propuesta de presupuesto 2022 y b) resultado de la socialización con la Junta de la Entidad.</v>
      </c>
      <c r="G2217" s="25" t="str">
        <f ca="1">IFERROR(__xludf.DUMMYFUNCTION("""COMPUTED_VALUE"""),"99. Distrito")</f>
        <v>99. Distrito</v>
      </c>
      <c r="H2217" s="55">
        <f ca="1">IFERROR(__xludf.DUMMYFUNCTION("""COMPUTED_VALUE"""),44455)</f>
        <v>44455</v>
      </c>
      <c r="I2217" s="25"/>
      <c r="J2217" s="55" t="str">
        <f ca="1">IFERROR(__xludf.DUMMYFUNCTION("""COMPUTED_VALUE"""),"Alta")</f>
        <v>Alta</v>
      </c>
      <c r="K2217" s="25">
        <f ca="1">IFERROR(__xludf.DUMMYFUNCTION("""COMPUTED_VALUE"""),30)</f>
        <v>30</v>
      </c>
      <c r="L2217" s="62">
        <f ca="1">IFERROR(__xludf.DUMMYFUNCTION("""COMPUTED_VALUE"""),44956)</f>
        <v>44956</v>
      </c>
      <c r="M2217" s="25"/>
      <c r="N2217" s="55">
        <f ca="1">IFERROR(__xludf.DUMMYFUNCTION("""COMPUTED_VALUE"""),44927)</f>
        <v>44927</v>
      </c>
      <c r="O2217" s="25" t="str">
        <f t="shared" ca="1" si="0"/>
        <v>Empresa de Acueducto y Alcantarillado de Bogotá</v>
      </c>
      <c r="P2217" s="25" t="str">
        <f t="shared" si="2"/>
        <v/>
      </c>
      <c r="Q2217" s="25" t="str">
        <f ca="1">IFERROR(__xludf.DUMMYFUNCTION("""COMPUTED_VALUE"""),"Corto plazo")</f>
        <v>Corto plazo</v>
      </c>
      <c r="R2217" s="25"/>
      <c r="S2217" s="55"/>
      <c r="T2217" s="56"/>
      <c r="U2217" s="25"/>
      <c r="V2217" s="25"/>
      <c r="W2217" s="25"/>
      <c r="X2217" s="25"/>
      <c r="Y2217" s="25"/>
      <c r="Z2217" s="25"/>
    </row>
    <row r="2218" spans="1:26" ht="52.5" customHeight="1" x14ac:dyDescent="0.25">
      <c r="A2218" s="67" t="str">
        <f ca="1">IFERROR(__xludf.DUMMYFUNCTION("""COMPUTED_VALUE"""),"Hábit116")</f>
        <v>Hábit116</v>
      </c>
      <c r="B2218" s="25" t="str">
        <f ca="1">IFERROR(__xludf.DUMMYFUNCTION("""COMPUTED_VALUE"""),"Reunión obras IDU- Acueducto")</f>
        <v>Reunión obras IDU- Acueducto</v>
      </c>
      <c r="C2218" s="55">
        <f ca="1">IFERROR(__xludf.DUMMYFUNCTION("""COMPUTED_VALUE"""),44425)</f>
        <v>44425</v>
      </c>
      <c r="D2218" s="25" t="str">
        <f ca="1">IFERROR(__xludf.DUMMYFUNCTION("""COMPUTED_VALUE"""),"Hábitat")</f>
        <v>Hábitat</v>
      </c>
      <c r="E2218" s="25" t="str">
        <f ca="1">IFERROR(__xludf.DUMMYFUNCTION("""COMPUTED_VALUE"""),"Empresa de Acueducto y Alcantarillado de Bogotá")</f>
        <v>Empresa de Acueducto y Alcantarillado de Bogotá</v>
      </c>
      <c r="F2218" s="25" t="str">
        <f ca="1">IFERROR(__xludf.DUMMYFUNCTION("""COMPUTED_VALUE"""),"Crear incentivo/sanción (liquidación de excedentes) frente a la no actualización o entrega oportuna de catastro de las redes. El producto esperado de esta tarea corresponde a la elaboración y socialización del instrumento a utilizar en estas situaciones.")</f>
        <v>Crear incentivo/sanción (liquidación de excedentes) frente a la no actualización o entrega oportuna de catastro de las redes. El producto esperado de esta tarea corresponde a la elaboración y socialización del instrumento a utilizar en estas situaciones.</v>
      </c>
      <c r="G2218" s="25" t="str">
        <f ca="1">IFERROR(__xludf.DUMMYFUNCTION("""COMPUTED_VALUE"""),"99. Distrito")</f>
        <v>99. Distrito</v>
      </c>
      <c r="H2218" s="55">
        <f ca="1">IFERROR(__xludf.DUMMYFUNCTION("""COMPUTED_VALUE"""),44455)</f>
        <v>44455</v>
      </c>
      <c r="I2218" s="25"/>
      <c r="J2218" s="55" t="str">
        <f ca="1">IFERROR(__xludf.DUMMYFUNCTION("""COMPUTED_VALUE"""),"Alta")</f>
        <v>Alta</v>
      </c>
      <c r="K2218" s="25">
        <f ca="1">IFERROR(__xludf.DUMMYFUNCTION("""COMPUTED_VALUE"""),30)</f>
        <v>30</v>
      </c>
      <c r="L2218" s="62">
        <f ca="1">IFERROR(__xludf.DUMMYFUNCTION("""COMPUTED_VALUE"""),44956)</f>
        <v>44956</v>
      </c>
      <c r="M2218" s="25"/>
      <c r="N2218" s="55">
        <f ca="1">IFERROR(__xludf.DUMMYFUNCTION("""COMPUTED_VALUE"""),44927)</f>
        <v>44927</v>
      </c>
      <c r="O2218" s="25" t="str">
        <f t="shared" ca="1" si="0"/>
        <v>Empresa de Acueducto y Alcantarillado de Bogotá</v>
      </c>
      <c r="P2218" s="25" t="str">
        <f t="shared" si="2"/>
        <v/>
      </c>
      <c r="Q2218" s="25" t="str">
        <f ca="1">IFERROR(__xludf.DUMMYFUNCTION("""COMPUTED_VALUE"""),"Corto plazo")</f>
        <v>Corto plazo</v>
      </c>
      <c r="R2218" s="25"/>
      <c r="S2218" s="55"/>
      <c r="T2218" s="56"/>
      <c r="U2218" s="25"/>
      <c r="V2218" s="25"/>
      <c r="W2218" s="25"/>
      <c r="X2218" s="25"/>
      <c r="Y2218" s="25"/>
      <c r="Z2218" s="25"/>
    </row>
    <row r="2219" spans="1:26" ht="52.5" customHeight="1" x14ac:dyDescent="0.25">
      <c r="A2219" s="67" t="str">
        <f ca="1">IFERROR(__xludf.DUMMYFUNCTION("""COMPUTED_VALUE"""),"Hábit117")</f>
        <v>Hábit117</v>
      </c>
      <c r="B2219" s="25" t="str">
        <f ca="1">IFERROR(__xludf.DUMMYFUNCTION("""COMPUTED_VALUE"""),"Revisión retos y oportunidades UPL (POT)")</f>
        <v>Revisión retos y oportunidades UPL (POT)</v>
      </c>
      <c r="C2219" s="55">
        <f ca="1">IFERROR(__xludf.DUMMYFUNCTION("""COMPUTED_VALUE"""),44400)</f>
        <v>44400</v>
      </c>
      <c r="D2219" s="25" t="str">
        <f ca="1">IFERROR(__xludf.DUMMYFUNCTION("""COMPUTED_VALUE"""),"Hábitat")</f>
        <v>Hábitat</v>
      </c>
      <c r="E2219" s="25" t="str">
        <f ca="1">IFERROR(__xludf.DUMMYFUNCTION("""COMPUTED_VALUE"""),"Empresa de Acueducto y Alcantarillado de Bogotá")</f>
        <v>Empresa de Acueducto y Alcantarillado de Bogotá</v>
      </c>
      <c r="F2219" s="25" t="str">
        <f ca="1">IFERROR(__xludf.DUMMYFUNCTION("""COMPUTED_VALUE"""),"Estudiar la viabilidad técnica y ambiental del Sendero Delirio- Río Fucha")</f>
        <v>Estudiar la viabilidad técnica y ambiental del Sendero Delirio- Río Fucha</v>
      </c>
      <c r="G2219" s="25" t="str">
        <f ca="1">IFERROR(__xludf.DUMMYFUNCTION("""COMPUTED_VALUE"""),"99. Distrito")</f>
        <v>99. Distrito</v>
      </c>
      <c r="H2219" s="55">
        <f ca="1">IFERROR(__xludf.DUMMYFUNCTION("""COMPUTED_VALUE"""),44430)</f>
        <v>44430</v>
      </c>
      <c r="I2219" s="25"/>
      <c r="J2219" s="55" t="str">
        <f ca="1">IFERROR(__xludf.DUMMYFUNCTION("""COMPUTED_VALUE"""),"Alta")</f>
        <v>Alta</v>
      </c>
      <c r="K2219" s="25">
        <f ca="1">IFERROR(__xludf.DUMMYFUNCTION("""COMPUTED_VALUE"""),30)</f>
        <v>30</v>
      </c>
      <c r="L2219" s="62">
        <f ca="1">IFERROR(__xludf.DUMMYFUNCTION("""COMPUTED_VALUE"""),44956)</f>
        <v>44956</v>
      </c>
      <c r="M2219" s="25"/>
      <c r="N2219" s="55">
        <f ca="1">IFERROR(__xludf.DUMMYFUNCTION("""COMPUTED_VALUE"""),44927)</f>
        <v>44927</v>
      </c>
      <c r="O2219" s="25" t="str">
        <f t="shared" ca="1" si="0"/>
        <v>Empresa de Acueducto y Alcantarillado de Bogotá</v>
      </c>
      <c r="P2219" s="25" t="str">
        <f t="shared" si="2"/>
        <v/>
      </c>
      <c r="Q2219" s="25" t="str">
        <f ca="1">IFERROR(__xludf.DUMMYFUNCTION("""COMPUTED_VALUE"""),"Corto plazo")</f>
        <v>Corto plazo</v>
      </c>
      <c r="R2219" s="25"/>
      <c r="S2219" s="55"/>
      <c r="T2219" s="56"/>
      <c r="U2219" s="25"/>
      <c r="V2219" s="25"/>
      <c r="W2219" s="25"/>
      <c r="X2219" s="25"/>
      <c r="Y2219" s="25"/>
      <c r="Z2219" s="25"/>
    </row>
    <row r="2220" spans="1:26" ht="52.5" customHeight="1" x14ac:dyDescent="0.25">
      <c r="A2220" s="67" t="str">
        <f ca="1">IFERROR(__xludf.DUMMYFUNCTION("""COMPUTED_VALUE"""),"Hábit118")</f>
        <v>Hábit118</v>
      </c>
      <c r="B2220" s="25" t="str">
        <f ca="1">IFERROR(__xludf.DUMMYFUNCTION("""COMPUTED_VALUE"""),"Reunión Asociación Público Privada -APP")</f>
        <v>Reunión Asociación Público Privada -APP</v>
      </c>
      <c r="C2220" s="55">
        <f ca="1">IFERROR(__xludf.DUMMYFUNCTION("""COMPUTED_VALUE"""),44435)</f>
        <v>44435</v>
      </c>
      <c r="D2220" s="25" t="str">
        <f ca="1">IFERROR(__xludf.DUMMYFUNCTION("""COMPUTED_VALUE"""),"Hábitat")</f>
        <v>Hábitat</v>
      </c>
      <c r="E2220" s="25" t="str">
        <f ca="1">IFERROR(__xludf.DUMMYFUNCTION("""COMPUTED_VALUE"""),"Empresa de Acueducto y Alcantarillado de Bogotá")</f>
        <v>Empresa de Acueducto y Alcantarillado de Bogotá</v>
      </c>
      <c r="F2220" s="25" t="str">
        <f ca="1">IFERROR(__xludf.DUMMYFUNCTION("""COMPUTED_VALUE"""),"Cerrar el proyecto (radicado ante el juez) por sustracción de materia del parque de la Calera. ")</f>
        <v xml:space="preserve">Cerrar el proyecto (radicado ante el juez) por sustracción de materia del parque de la Calera. </v>
      </c>
      <c r="G2220" s="25" t="str">
        <f ca="1">IFERROR(__xludf.DUMMYFUNCTION("""COMPUTED_VALUE"""),"99. Distrito")</f>
        <v>99. Distrito</v>
      </c>
      <c r="H2220" s="55">
        <f ca="1">IFERROR(__xludf.DUMMYFUNCTION("""COMPUTED_VALUE"""),44465)</f>
        <v>44465</v>
      </c>
      <c r="I2220" s="25"/>
      <c r="J2220" s="55" t="str">
        <f ca="1">IFERROR(__xludf.DUMMYFUNCTION("""COMPUTED_VALUE"""),"Alta")</f>
        <v>Alta</v>
      </c>
      <c r="K2220" s="25">
        <f ca="1">IFERROR(__xludf.DUMMYFUNCTION("""COMPUTED_VALUE"""),30)</f>
        <v>30</v>
      </c>
      <c r="L2220" s="62">
        <f ca="1">IFERROR(__xludf.DUMMYFUNCTION("""COMPUTED_VALUE"""),44956)</f>
        <v>44956</v>
      </c>
      <c r="M2220" s="25"/>
      <c r="N2220" s="55">
        <f ca="1">IFERROR(__xludf.DUMMYFUNCTION("""COMPUTED_VALUE"""),44927)</f>
        <v>44927</v>
      </c>
      <c r="O2220" s="25" t="str">
        <f t="shared" ca="1" si="0"/>
        <v>Empresa de Acueducto y Alcantarillado de Bogotá</v>
      </c>
      <c r="P2220" s="25" t="str">
        <f t="shared" si="2"/>
        <v/>
      </c>
      <c r="Q2220" s="25" t="str">
        <f ca="1">IFERROR(__xludf.DUMMYFUNCTION("""COMPUTED_VALUE"""),"Corto plazo")</f>
        <v>Corto plazo</v>
      </c>
      <c r="R2220" s="25"/>
      <c r="S2220" s="55"/>
      <c r="T2220" s="56"/>
      <c r="U2220" s="25"/>
      <c r="V2220" s="25"/>
      <c r="W2220" s="25"/>
      <c r="X2220" s="25"/>
      <c r="Y2220" s="25"/>
      <c r="Z2220" s="25"/>
    </row>
    <row r="2221" spans="1:26" ht="52.5" customHeight="1" x14ac:dyDescent="0.25">
      <c r="A2221" s="67" t="str">
        <f ca="1">IFERROR(__xludf.DUMMYFUNCTION("""COMPUTED_VALUE"""),"Hábit119")</f>
        <v>Hábit119</v>
      </c>
      <c r="B2221" s="25" t="str">
        <f ca="1">IFERROR(__xludf.DUMMYFUNCTION("""COMPUTED_VALUE"""),"Juntos Cuidamos Bogotá - Recorrido Suba")</f>
        <v>Juntos Cuidamos Bogotá - Recorrido Suba</v>
      </c>
      <c r="C2221" s="55">
        <f ca="1">IFERROR(__xludf.DUMMYFUNCTION("""COMPUTED_VALUE"""),44435)</f>
        <v>44435</v>
      </c>
      <c r="D2221" s="25" t="str">
        <f ca="1">IFERROR(__xludf.DUMMYFUNCTION("""COMPUTED_VALUE"""),"Hábitat")</f>
        <v>Hábitat</v>
      </c>
      <c r="E2221" s="25" t="str">
        <f ca="1">IFERROR(__xludf.DUMMYFUNCTION("""COMPUTED_VALUE"""),"Unidad Administrativa Especial de Servicios Públicos")</f>
        <v>Unidad Administrativa Especial de Servicios Públicos</v>
      </c>
      <c r="F2221" s="25" t="str">
        <f ca="1">IFERROR(__xludf.DUMMYFUNCTION("""COMPUTED_VALUE"""),"Hacer la apertura de una bodega para carreteros en la localidad de Suba")</f>
        <v>Hacer la apertura de una bodega para carreteros en la localidad de Suba</v>
      </c>
      <c r="G2221" s="55" t="str">
        <f ca="1">IFERROR(__xludf.DUMMYFUNCTION("""COMPUTED_VALUE"""),"11. Suba")</f>
        <v>11. Suba</v>
      </c>
      <c r="H2221" s="55">
        <f ca="1">IFERROR(__xludf.DUMMYFUNCTION("""COMPUTED_VALUE"""),44465)</f>
        <v>44465</v>
      </c>
      <c r="I2221" s="25"/>
      <c r="J2221" s="55" t="str">
        <f ca="1">IFERROR(__xludf.DUMMYFUNCTION("""COMPUTED_VALUE"""),"Alta")</f>
        <v>Alta</v>
      </c>
      <c r="K2221" s="25">
        <f ca="1">IFERROR(__xludf.DUMMYFUNCTION("""COMPUTED_VALUE"""),30)</f>
        <v>30</v>
      </c>
      <c r="L2221" s="62"/>
      <c r="M2221" s="25"/>
      <c r="N2221" s="55">
        <f ca="1">IFERROR(__xludf.DUMMYFUNCTION("""COMPUTED_VALUE"""),44927)</f>
        <v>44927</v>
      </c>
      <c r="O2221" s="25" t="str">
        <f t="shared" ca="1" si="0"/>
        <v>Unidad Administrativa Especial de Servicios Públicos</v>
      </c>
      <c r="P2221" s="25" t="str">
        <f t="shared" si="2"/>
        <v/>
      </c>
      <c r="Q2221" s="25" t="str">
        <f ca="1">IFERROR(__xludf.DUMMYFUNCTION("""COMPUTED_VALUE"""),"Corto plazo")</f>
        <v>Corto plazo</v>
      </c>
      <c r="R2221" s="25"/>
      <c r="S2221" s="55"/>
      <c r="T2221" s="56"/>
      <c r="U2221" s="25"/>
      <c r="V2221" s="25"/>
      <c r="W2221" s="25"/>
      <c r="X2221" s="25"/>
      <c r="Y2221" s="25"/>
      <c r="Z2221" s="25"/>
    </row>
    <row r="2222" spans="1:26" ht="52.5" customHeight="1" x14ac:dyDescent="0.25">
      <c r="A2222" s="67" t="str">
        <f ca="1">IFERROR(__xludf.DUMMYFUNCTION("""COMPUTED_VALUE"""),"Hábit120")</f>
        <v>Hábit120</v>
      </c>
      <c r="B2222" s="25" t="str">
        <f ca="1">IFERROR(__xludf.DUMMYFUNCTION("""COMPUTED_VALUE"""),"Carreteros")</f>
        <v>Carreteros</v>
      </c>
      <c r="C2222" s="55">
        <f ca="1">IFERROR(__xludf.DUMMYFUNCTION("""COMPUTED_VALUE"""),44455)</f>
        <v>44455</v>
      </c>
      <c r="D2222" s="25" t="str">
        <f ca="1">IFERROR(__xludf.DUMMYFUNCTION("""COMPUTED_VALUE"""),"Hábitat")</f>
        <v>Hábitat</v>
      </c>
      <c r="E2222" s="25" t="str">
        <f ca="1">IFERROR(__xludf.DUMMYFUNCTION("""COMPUTED_VALUE"""),"Unidad Administrativa Especial de Servicios Públicos")</f>
        <v>Unidad Administrativa Especial de Servicios Públicos</v>
      </c>
      <c r="F2222" s="25" t="str">
        <f ca="1">IFERROR(__xludf.DUMMYFUNCTION("""COMPUTED_VALUE"""),"cumplir el plan de limpieza y organziación de los 15 puntos críiticos")</f>
        <v>cumplir el plan de limpieza y organziación de los 15 puntos críiticos</v>
      </c>
      <c r="G2222" s="25" t="str">
        <f ca="1">IFERROR(__xludf.DUMMYFUNCTION("""COMPUTED_VALUE"""),"99. Distrito")</f>
        <v>99. Distrito</v>
      </c>
      <c r="H2222" s="55">
        <f ca="1">IFERROR(__xludf.DUMMYFUNCTION("""COMPUTED_VALUE"""),44485)</f>
        <v>44485</v>
      </c>
      <c r="I2222" s="25"/>
      <c r="J2222" s="55" t="str">
        <f ca="1">IFERROR(__xludf.DUMMYFUNCTION("""COMPUTED_VALUE"""),"Alta")</f>
        <v>Alta</v>
      </c>
      <c r="K2222" s="25">
        <f ca="1">IFERROR(__xludf.DUMMYFUNCTION("""COMPUTED_VALUE"""),30)</f>
        <v>30</v>
      </c>
      <c r="L2222" s="62"/>
      <c r="M2222" s="25"/>
      <c r="N2222" s="55">
        <f ca="1">IFERROR(__xludf.DUMMYFUNCTION("""COMPUTED_VALUE"""),44927)</f>
        <v>44927</v>
      </c>
      <c r="O2222" s="25" t="str">
        <f t="shared" ca="1" si="0"/>
        <v>Unidad Administrativa Especial de Servicios Públicos</v>
      </c>
      <c r="P2222" s="25" t="str">
        <f t="shared" si="2"/>
        <v/>
      </c>
      <c r="Q2222" s="25" t="str">
        <f ca="1">IFERROR(__xludf.DUMMYFUNCTION("""COMPUTED_VALUE"""),"Corto plazo")</f>
        <v>Corto plazo</v>
      </c>
      <c r="R2222" s="25"/>
      <c r="S2222" s="55"/>
      <c r="T2222" s="56"/>
      <c r="U2222" s="25"/>
      <c r="V2222" s="25"/>
      <c r="W2222" s="25"/>
      <c r="X2222" s="25"/>
      <c r="Y2222" s="25"/>
      <c r="Z2222" s="25"/>
    </row>
    <row r="2223" spans="1:26" ht="52.5" customHeight="1" x14ac:dyDescent="0.25">
      <c r="A2223" s="67" t="str">
        <f ca="1">IFERROR(__xludf.DUMMYFUNCTION("""COMPUTED_VALUE"""),"Hábit121")</f>
        <v>Hábit121</v>
      </c>
      <c r="B2223" s="25" t="str">
        <f ca="1">IFERROR(__xludf.DUMMYFUNCTION("""COMPUTED_VALUE"""),"Despachando Fenalco")</f>
        <v>Despachando Fenalco</v>
      </c>
      <c r="C2223" s="55">
        <f ca="1">IFERROR(__xludf.DUMMYFUNCTION("""COMPUTED_VALUE"""),44452)</f>
        <v>44452</v>
      </c>
      <c r="D2223" s="25" t="str">
        <f ca="1">IFERROR(__xludf.DUMMYFUNCTION("""COMPUTED_VALUE"""),"Hábitat")</f>
        <v>Hábitat</v>
      </c>
      <c r="E2223" s="25" t="str">
        <f ca="1">IFERROR(__xludf.DUMMYFUNCTION("""COMPUTED_VALUE"""),"Unidad Administrativa Especial de Servicios Públicos")</f>
        <v>Unidad Administrativa Especial de Servicios Públicos</v>
      </c>
      <c r="F2223" s="25" t="str">
        <f ca="1">IFERROR(__xludf.DUMMYFUNCTION("""COMPUTED_VALUE"""),"Crear un plan de acción para recicladores en noche y madrugada.")</f>
        <v>Crear un plan de acción para recicladores en noche y madrugada.</v>
      </c>
      <c r="G2223" s="25" t="str">
        <f ca="1">IFERROR(__xludf.DUMMYFUNCTION("""COMPUTED_VALUE"""),"99. Distrito")</f>
        <v>99. Distrito</v>
      </c>
      <c r="H2223" s="55">
        <f ca="1">IFERROR(__xludf.DUMMYFUNCTION("""COMPUTED_VALUE"""),44482)</f>
        <v>44482</v>
      </c>
      <c r="I2223" s="25"/>
      <c r="J2223" s="55" t="str">
        <f ca="1">IFERROR(__xludf.DUMMYFUNCTION("""COMPUTED_VALUE"""),"Alta")</f>
        <v>Alta</v>
      </c>
      <c r="K2223" s="25">
        <f ca="1">IFERROR(__xludf.DUMMYFUNCTION("""COMPUTED_VALUE"""),30)</f>
        <v>30</v>
      </c>
      <c r="L2223" s="62"/>
      <c r="M2223" s="25"/>
      <c r="N2223" s="55">
        <f ca="1">IFERROR(__xludf.DUMMYFUNCTION("""COMPUTED_VALUE"""),44927)</f>
        <v>44927</v>
      </c>
      <c r="O2223" s="25" t="str">
        <f t="shared" ca="1" si="0"/>
        <v>Unidad Administrativa Especial de Servicios Públicos</v>
      </c>
      <c r="P2223" s="25" t="str">
        <f t="shared" si="2"/>
        <v/>
      </c>
      <c r="Q2223" s="25" t="str">
        <f ca="1">IFERROR(__xludf.DUMMYFUNCTION("""COMPUTED_VALUE"""),"Corto plazo")</f>
        <v>Corto plazo</v>
      </c>
      <c r="R2223" s="25"/>
      <c r="S2223" s="55"/>
      <c r="T2223" s="56"/>
      <c r="U2223" s="25"/>
      <c r="V2223" s="25"/>
      <c r="W2223" s="25"/>
      <c r="X2223" s="25"/>
      <c r="Y2223" s="25"/>
      <c r="Z2223" s="25"/>
    </row>
    <row r="2224" spans="1:26" ht="52.5" customHeight="1" x14ac:dyDescent="0.25">
      <c r="A2224" s="67" t="str">
        <f ca="1">IFERROR(__xludf.DUMMYFUNCTION("""COMPUTED_VALUE"""),"Hábit122")</f>
        <v>Hábit122</v>
      </c>
      <c r="B2224" s="25" t="str">
        <f ca="1">IFERROR(__xludf.DUMMYFUNCTION("""COMPUTED_VALUE"""),"Despachando frentes de seguridad")</f>
        <v>Despachando frentes de seguridad</v>
      </c>
      <c r="C2224" s="55">
        <f ca="1">IFERROR(__xludf.DUMMYFUNCTION("""COMPUTED_VALUE"""),44459)</f>
        <v>44459</v>
      </c>
      <c r="D2224" s="25" t="str">
        <f ca="1">IFERROR(__xludf.DUMMYFUNCTION("""COMPUTED_VALUE"""),"Hábitat")</f>
        <v>Hábitat</v>
      </c>
      <c r="E2224" s="25" t="str">
        <f ca="1">IFERROR(__xludf.DUMMYFUNCTION("""COMPUTED_VALUE"""),"Unidad Administrativa Especial de Servicios Públicos")</f>
        <v>Unidad Administrativa Especial de Servicios Públicos</v>
      </c>
      <c r="F2224" s="25" t="str">
        <f ca="1">IFERROR(__xludf.DUMMYFUNCTION("""COMPUTED_VALUE"""),"Arreglar el tranformador de energía ubicado en la cancha ""La Mina"" del barrio Laches en la localidad de SantaFe")</f>
        <v>Arreglar el tranformador de energía ubicado en la cancha "La Mina" del barrio Laches en la localidad de SantaFe</v>
      </c>
      <c r="G2224" s="25" t="str">
        <f ca="1">IFERROR(__xludf.DUMMYFUNCTION("""COMPUTED_VALUE"""),"99. Distrito")</f>
        <v>99. Distrito</v>
      </c>
      <c r="H2224" s="55">
        <f ca="1">IFERROR(__xludf.DUMMYFUNCTION("""COMPUTED_VALUE"""),44489)</f>
        <v>44489</v>
      </c>
      <c r="I2224" s="25"/>
      <c r="J2224" s="55" t="str">
        <f ca="1">IFERROR(__xludf.DUMMYFUNCTION("""COMPUTED_VALUE"""),"Alta")</f>
        <v>Alta</v>
      </c>
      <c r="K2224" s="25">
        <f ca="1">IFERROR(__xludf.DUMMYFUNCTION("""COMPUTED_VALUE"""),30)</f>
        <v>30</v>
      </c>
      <c r="L2224" s="62"/>
      <c r="M2224" s="25"/>
      <c r="N2224" s="55">
        <f ca="1">IFERROR(__xludf.DUMMYFUNCTION("""COMPUTED_VALUE"""),44927)</f>
        <v>44927</v>
      </c>
      <c r="O2224" s="25" t="str">
        <f t="shared" ca="1" si="0"/>
        <v>Unidad Administrativa Especial de Servicios Públicos</v>
      </c>
      <c r="P2224" s="25" t="str">
        <f t="shared" si="2"/>
        <v/>
      </c>
      <c r="Q2224" s="25" t="str">
        <f ca="1">IFERROR(__xludf.DUMMYFUNCTION("""COMPUTED_VALUE"""),"Corto plazo")</f>
        <v>Corto plazo</v>
      </c>
      <c r="R2224" s="25"/>
      <c r="S2224" s="55"/>
      <c r="T2224" s="56"/>
      <c r="U2224" s="25"/>
      <c r="V2224" s="25"/>
      <c r="W2224" s="25"/>
      <c r="X2224" s="25"/>
      <c r="Y2224" s="25"/>
      <c r="Z2224" s="25"/>
    </row>
    <row r="2225" spans="1:26" ht="52.5" customHeight="1" x14ac:dyDescent="0.25">
      <c r="A2225" s="67" t="str">
        <f ca="1">IFERROR(__xludf.DUMMYFUNCTION("""COMPUTED_VALUE"""),"Hábit123")</f>
        <v>Hábit123</v>
      </c>
      <c r="B2225" s="25" t="str">
        <f ca="1">IFERROR(__xludf.DUMMYFUNCTION("""COMPUTED_VALUE"""),"Despachando frentes de seguridad")</f>
        <v>Despachando frentes de seguridad</v>
      </c>
      <c r="C2225" s="55">
        <f ca="1">IFERROR(__xludf.DUMMYFUNCTION("""COMPUTED_VALUE"""),44459)</f>
        <v>44459</v>
      </c>
      <c r="D2225" s="25" t="str">
        <f ca="1">IFERROR(__xludf.DUMMYFUNCTION("""COMPUTED_VALUE"""),"Hábitat")</f>
        <v>Hábitat</v>
      </c>
      <c r="E2225" s="25" t="str">
        <f ca="1">IFERROR(__xludf.DUMMYFUNCTION("""COMPUTED_VALUE"""),"Unidad Administrativa Especial de Servicios Públicos")</f>
        <v>Unidad Administrativa Especial de Servicios Públicos</v>
      </c>
      <c r="F2225" s="25" t="str">
        <f ca="1">IFERROR(__xludf.DUMMYFUNCTION("""COMPUTED_VALUE"""),"Embellecer y realizar una feria local la cancha de futbol ""La Mina"" en el barrio Laches en la localidad de Santa Fe ")</f>
        <v xml:space="preserve">Embellecer y realizar una feria local la cancha de futbol "La Mina" en el barrio Laches en la localidad de Santa Fe </v>
      </c>
      <c r="G2225" s="25" t="str">
        <f ca="1">IFERROR(__xludf.DUMMYFUNCTION("""COMPUTED_VALUE"""),"99. Distrito")</f>
        <v>99. Distrito</v>
      </c>
      <c r="H2225" s="55">
        <f ca="1">IFERROR(__xludf.DUMMYFUNCTION("""COMPUTED_VALUE"""),44489)</f>
        <v>44489</v>
      </c>
      <c r="I2225" s="25"/>
      <c r="J2225" s="55" t="str">
        <f ca="1">IFERROR(__xludf.DUMMYFUNCTION("""COMPUTED_VALUE"""),"Alta")</f>
        <v>Alta</v>
      </c>
      <c r="K2225" s="25">
        <f ca="1">IFERROR(__xludf.DUMMYFUNCTION("""COMPUTED_VALUE"""),30)</f>
        <v>30</v>
      </c>
      <c r="L2225" s="62"/>
      <c r="M2225" s="25"/>
      <c r="N2225" s="55">
        <f ca="1">IFERROR(__xludf.DUMMYFUNCTION("""COMPUTED_VALUE"""),44927)</f>
        <v>44927</v>
      </c>
      <c r="O2225" s="25" t="str">
        <f t="shared" ca="1" si="0"/>
        <v>Unidad Administrativa Especial de Servicios Públicos</v>
      </c>
      <c r="P2225" s="25" t="str">
        <f t="shared" si="2"/>
        <v/>
      </c>
      <c r="Q2225" s="25" t="str">
        <f ca="1">IFERROR(__xludf.DUMMYFUNCTION("""COMPUTED_VALUE"""),"Corto plazo")</f>
        <v>Corto plazo</v>
      </c>
      <c r="R2225" s="25"/>
      <c r="S2225" s="55"/>
      <c r="T2225" s="56"/>
      <c r="U2225" s="25"/>
      <c r="V2225" s="25"/>
      <c r="W2225" s="25"/>
      <c r="X2225" s="25"/>
      <c r="Y2225" s="25"/>
      <c r="Z2225" s="25"/>
    </row>
    <row r="2226" spans="1:26" ht="52.5" customHeight="1" x14ac:dyDescent="0.25">
      <c r="A2226" s="25" t="str">
        <f ca="1">IFERROR(__xludf.DUMMYFUNCTION("""COMPUTED_VALUE"""),"Hábit124")</f>
        <v>Hábit124</v>
      </c>
      <c r="B2226" s="25" t="str">
        <f ca="1">IFERROR(__xludf.DUMMYFUNCTION("""COMPUTED_VALUE"""),"Comisión SIDICU")</f>
        <v>Comisión SIDICU</v>
      </c>
      <c r="C2226" s="55">
        <f ca="1">IFERROR(__xludf.DUMMYFUNCTION("""COMPUTED_VALUE"""),44620)</f>
        <v>44620</v>
      </c>
      <c r="D2226" s="25" t="str">
        <f ca="1">IFERROR(__xludf.DUMMYFUNCTION("""COMPUTED_VALUE"""),"Hábitat")</f>
        <v>Hábitat</v>
      </c>
      <c r="E2226" s="25" t="str">
        <f ca="1">IFERROR(__xludf.DUMMYFUNCTION("""COMPUTED_VALUE"""),"Secretaría Distrital del Hábitat")</f>
        <v>Secretaría Distrital del Hábitat</v>
      </c>
      <c r="F2226" s="25" t="str">
        <f ca="1">IFERROR(__xludf.DUMMYFUNCTION("""COMPUTED_VALUE"""),"Incluir urbanismo táctico y señalización entre los diferentes equipamientos en la super manzana del cuidado")</f>
        <v>Incluir urbanismo táctico y señalización entre los diferentes equipamientos en la super manzana del cuidado</v>
      </c>
      <c r="G2226" s="25" t="str">
        <f ca="1">IFERROR(__xludf.DUMMYFUNCTION("""COMPUTED_VALUE"""),"99. Distrito")</f>
        <v>99. Distrito</v>
      </c>
      <c r="H2226" s="55">
        <f ca="1">IFERROR(__xludf.DUMMYFUNCTION("""COMPUTED_VALUE"""),44650)</f>
        <v>44650</v>
      </c>
      <c r="I2226" s="25"/>
      <c r="J2226" s="55" t="str">
        <f ca="1">IFERROR(__xludf.DUMMYFUNCTION("""COMPUTED_VALUE"""),"Alta")</f>
        <v>Alta</v>
      </c>
      <c r="K2226" s="25">
        <f ca="1">IFERROR(__xludf.DUMMYFUNCTION("""COMPUTED_VALUE"""),30)</f>
        <v>30</v>
      </c>
      <c r="L2226" s="62"/>
      <c r="M2226" s="25"/>
      <c r="N2226" s="55">
        <f ca="1">IFERROR(__xludf.DUMMYFUNCTION("""COMPUTED_VALUE"""),44927)</f>
        <v>44927</v>
      </c>
      <c r="O2226" s="25" t="str">
        <f t="shared" ca="1" si="0"/>
        <v>Secretaría Distrital del Hábitat</v>
      </c>
      <c r="P2226" s="25" t="str">
        <f t="shared" si="2"/>
        <v/>
      </c>
      <c r="Q2226" s="25" t="str">
        <f ca="1">IFERROR(__xludf.DUMMYFUNCTION("""COMPUTED_VALUE"""),"Corto plazo")</f>
        <v>Corto plazo</v>
      </c>
      <c r="R2226" s="25"/>
      <c r="S2226" s="55"/>
      <c r="T2226" s="56"/>
      <c r="U2226" s="25"/>
      <c r="V2226" s="25"/>
      <c r="W2226" s="25"/>
      <c r="X2226" s="25"/>
      <c r="Y2226" s="25"/>
      <c r="Z2226" s="25"/>
    </row>
    <row r="2227" spans="1:26" ht="52.5" customHeight="1" x14ac:dyDescent="0.25">
      <c r="A2227" s="67" t="str">
        <f ca="1">IFERROR(__xludf.DUMMYFUNCTION("""COMPUTED_VALUE"""),"Hábit125")</f>
        <v>Hábit125</v>
      </c>
      <c r="B2227" s="25" t="str">
        <f ca="1">IFERROR(__xludf.DUMMYFUNCTION("""COMPUTED_VALUE"""),"PTAR Canoas")</f>
        <v>PTAR Canoas</v>
      </c>
      <c r="C2227" s="55">
        <f ca="1">IFERROR(__xludf.DUMMYFUNCTION("""COMPUTED_VALUE"""),44456)</f>
        <v>44456</v>
      </c>
      <c r="D2227" s="25" t="str">
        <f ca="1">IFERROR(__xludf.DUMMYFUNCTION("""COMPUTED_VALUE"""),"Hábitat")</f>
        <v>Hábitat</v>
      </c>
      <c r="E2227" s="25" t="str">
        <f ca="1">IFERROR(__xludf.DUMMYFUNCTION("""COMPUTED_VALUE"""),"Empresa de Acueducto y Alcantarillado de Bogotá")</f>
        <v>Empresa de Acueducto y Alcantarillado de Bogotá</v>
      </c>
      <c r="F2227" s="25" t="str">
        <f ca="1">IFERROR(__xludf.DUMMYFUNCTION("""COMPUTED_VALUE"""),"Tener el acta de inicio para el año 2022 de PTAR Canoas y contratar interventoría en paralelo con la finalidad de reducir tiempos y poder iniciar obra en 2023. ")</f>
        <v xml:space="preserve">Tener el acta de inicio para el año 2022 de PTAR Canoas y contratar interventoría en paralelo con la finalidad de reducir tiempos y poder iniciar obra en 2023. </v>
      </c>
      <c r="G2227" s="25" t="str">
        <f ca="1">IFERROR(__xludf.DUMMYFUNCTION("""COMPUTED_VALUE"""),"99. Distrito")</f>
        <v>99. Distrito</v>
      </c>
      <c r="H2227" s="55">
        <f ca="1">IFERROR(__xludf.DUMMYFUNCTION("""COMPUTED_VALUE"""),44486)</f>
        <v>44486</v>
      </c>
      <c r="I2227" s="25"/>
      <c r="J2227" s="55" t="str">
        <f ca="1">IFERROR(__xludf.DUMMYFUNCTION("""COMPUTED_VALUE"""),"Alta")</f>
        <v>Alta</v>
      </c>
      <c r="K2227" s="25">
        <f ca="1">IFERROR(__xludf.DUMMYFUNCTION("""COMPUTED_VALUE"""),30)</f>
        <v>30</v>
      </c>
      <c r="L2227" s="62">
        <f ca="1">IFERROR(__xludf.DUMMYFUNCTION("""COMPUTED_VALUE"""),44956)</f>
        <v>44956</v>
      </c>
      <c r="M2227" s="25"/>
      <c r="N2227" s="55">
        <f ca="1">IFERROR(__xludf.DUMMYFUNCTION("""COMPUTED_VALUE"""),44927)</f>
        <v>44927</v>
      </c>
      <c r="O2227" s="25" t="str">
        <f t="shared" ca="1" si="0"/>
        <v>Empresa de Acueducto y Alcantarillado de Bogotá</v>
      </c>
      <c r="P2227" s="25" t="str">
        <f t="shared" si="2"/>
        <v/>
      </c>
      <c r="Q2227" s="25" t="str">
        <f ca="1">IFERROR(__xludf.DUMMYFUNCTION("""COMPUTED_VALUE"""),"Corto plazo")</f>
        <v>Corto plazo</v>
      </c>
      <c r="R2227" s="25"/>
      <c r="S2227" s="55"/>
      <c r="T2227" s="56"/>
      <c r="U2227" s="25"/>
      <c r="V2227" s="25"/>
      <c r="W2227" s="25"/>
      <c r="X2227" s="25"/>
      <c r="Y2227" s="25"/>
      <c r="Z2227" s="25"/>
    </row>
    <row r="2228" spans="1:26" ht="52.5" customHeight="1" x14ac:dyDescent="0.25">
      <c r="A2228" s="67" t="str">
        <f ca="1">IFERROR(__xludf.DUMMYFUNCTION("""COMPUTED_VALUE"""),"Hábit126")</f>
        <v>Hábit126</v>
      </c>
      <c r="B2228" s="25" t="str">
        <f ca="1">IFERROR(__xludf.DUMMYFUNCTION("""COMPUTED_VALUE"""),"Reunión POT ")</f>
        <v xml:space="preserve">Reunión POT </v>
      </c>
      <c r="C2228" s="55">
        <f ca="1">IFERROR(__xludf.DUMMYFUNCTION("""COMPUTED_VALUE"""),44459)</f>
        <v>44459</v>
      </c>
      <c r="D2228" s="25" t="str">
        <f ca="1">IFERROR(__xludf.DUMMYFUNCTION("""COMPUTED_VALUE"""),"Hábitat")</f>
        <v>Hábitat</v>
      </c>
      <c r="E2228" s="25" t="str">
        <f ca="1">IFERROR(__xludf.DUMMYFUNCTION("""COMPUTED_VALUE"""),"Secretaría Distrital del Hábitat")</f>
        <v>Secretaría Distrital del Hábitat</v>
      </c>
      <c r="F2228" s="25" t="str">
        <f ca="1">IFERROR(__xludf.DUMMYFUNCTION("""COMPUTED_VALUE"""),"Tener claro y asegurarse que se envie la informaciòn solicitada por el senador referente a las tablas de suelo-tipo de suelos, tiempos establecidos para expedir un plan parcial anteriormente y con este nuevo POT")</f>
        <v>Tener claro y asegurarse que se envie la informaciòn solicitada por el senador referente a las tablas de suelo-tipo de suelos, tiempos establecidos para expedir un plan parcial anteriormente y con este nuevo POT</v>
      </c>
      <c r="G2228" s="25" t="str">
        <f ca="1">IFERROR(__xludf.DUMMYFUNCTION("""COMPUTED_VALUE"""),"99. Distrito")</f>
        <v>99. Distrito</v>
      </c>
      <c r="H2228" s="55">
        <f ca="1">IFERROR(__xludf.DUMMYFUNCTION("""COMPUTED_VALUE"""),44489)</f>
        <v>44489</v>
      </c>
      <c r="I2228" s="25"/>
      <c r="J2228" s="55" t="str">
        <f ca="1">IFERROR(__xludf.DUMMYFUNCTION("""COMPUTED_VALUE"""),"Alta")</f>
        <v>Alta</v>
      </c>
      <c r="K2228" s="25">
        <f ca="1">IFERROR(__xludf.DUMMYFUNCTION("""COMPUTED_VALUE"""),30)</f>
        <v>30</v>
      </c>
      <c r="L2228" s="62"/>
      <c r="M2228" s="25"/>
      <c r="N2228" s="55">
        <f ca="1">IFERROR(__xludf.DUMMYFUNCTION("""COMPUTED_VALUE"""),44927)</f>
        <v>44927</v>
      </c>
      <c r="O2228" s="25" t="str">
        <f t="shared" ca="1" si="0"/>
        <v>Secretaría Distrital del Hábitat</v>
      </c>
      <c r="P2228" s="25" t="str">
        <f t="shared" si="2"/>
        <v/>
      </c>
      <c r="Q2228" s="25" t="str">
        <f ca="1">IFERROR(__xludf.DUMMYFUNCTION("""COMPUTED_VALUE"""),"Corto plazo")</f>
        <v>Corto plazo</v>
      </c>
      <c r="R2228" s="25"/>
      <c r="S2228" s="55"/>
      <c r="T2228" s="56"/>
      <c r="U2228" s="25"/>
      <c r="V2228" s="25"/>
      <c r="W2228" s="25"/>
      <c r="X2228" s="25"/>
      <c r="Y2228" s="25"/>
      <c r="Z2228" s="25"/>
    </row>
    <row r="2229" spans="1:26" ht="52.5" customHeight="1" x14ac:dyDescent="0.25">
      <c r="A2229" s="67" t="str">
        <f ca="1">IFERROR(__xludf.DUMMYFUNCTION("""COMPUTED_VALUE"""),"Hábit127")</f>
        <v>Hábit127</v>
      </c>
      <c r="B2229" s="25" t="str">
        <f ca="1">IFERROR(__xludf.DUMMYFUNCTION("""COMPUTED_VALUE"""),"Revisión cable trazado del centro")</f>
        <v>Revisión cable trazado del centro</v>
      </c>
      <c r="C2229" s="55">
        <f ca="1">IFERROR(__xludf.DUMMYFUNCTION("""COMPUTED_VALUE"""),44498)</f>
        <v>44498</v>
      </c>
      <c r="D2229" s="25" t="str">
        <f ca="1">IFERROR(__xludf.DUMMYFUNCTION("""COMPUTED_VALUE"""),"Hábitat")</f>
        <v>Hábitat</v>
      </c>
      <c r="E2229" s="25" t="str">
        <f ca="1">IFERROR(__xludf.DUMMYFUNCTION("""COMPUTED_VALUE"""),"Secretaría Distrital del Hábitat")</f>
        <v>Secretaría Distrital del Hábitat</v>
      </c>
      <c r="F2229" s="25" t="str">
        <f ca="1">IFERROR(__xludf.DUMMYFUNCTION("""COMPUTED_VALUE"""),"Realizar reunión con la Universidad de los Andes (Consejo Directivo, Rectora y Director del Campus) para la revisión del trazado del cable centro")</f>
        <v>Realizar reunión con la Universidad de los Andes (Consejo Directivo, Rectora y Director del Campus) para la revisión del trazado del cable centro</v>
      </c>
      <c r="G2229" s="25" t="str">
        <f ca="1">IFERROR(__xludf.DUMMYFUNCTION("""COMPUTED_VALUE"""),"99. Distrito")</f>
        <v>99. Distrito</v>
      </c>
      <c r="H2229" s="55">
        <f ca="1">IFERROR(__xludf.DUMMYFUNCTION("""COMPUTED_VALUE"""),44528)</f>
        <v>44528</v>
      </c>
      <c r="I2229" s="25"/>
      <c r="J2229" s="55" t="str">
        <f ca="1">IFERROR(__xludf.DUMMYFUNCTION("""COMPUTED_VALUE"""),"Alta")</f>
        <v>Alta</v>
      </c>
      <c r="K2229" s="55">
        <f ca="1">IFERROR(__xludf.DUMMYFUNCTION("""COMPUTED_VALUE"""),30)</f>
        <v>30</v>
      </c>
      <c r="L2229" s="62"/>
      <c r="M2229" s="25"/>
      <c r="N2229" s="55">
        <f ca="1">IFERROR(__xludf.DUMMYFUNCTION("""COMPUTED_VALUE"""),44927)</f>
        <v>44927</v>
      </c>
      <c r="O2229" s="25" t="str">
        <f t="shared" ca="1" si="0"/>
        <v>Secretaría Distrital del Hábitat</v>
      </c>
      <c r="P2229" s="25" t="str">
        <f t="shared" si="2"/>
        <v/>
      </c>
      <c r="Q2229" s="25" t="str">
        <f ca="1">IFERROR(__xludf.DUMMYFUNCTION("""COMPUTED_VALUE"""),"Corto plazo")</f>
        <v>Corto plazo</v>
      </c>
      <c r="R2229" s="25"/>
      <c r="S2229" s="55"/>
      <c r="T2229" s="56"/>
      <c r="U2229" s="25"/>
      <c r="V2229" s="25"/>
      <c r="W2229" s="25"/>
      <c r="X2229" s="25"/>
      <c r="Y2229" s="25"/>
      <c r="Z2229" s="25"/>
    </row>
    <row r="2230" spans="1:26" ht="52.5" customHeight="1" x14ac:dyDescent="0.25">
      <c r="A2230" s="67" t="str">
        <f ca="1">IFERROR(__xludf.DUMMYFUNCTION("""COMPUTED_VALUE"""),"Hábit128")</f>
        <v>Hábit128</v>
      </c>
      <c r="B2230" s="25" t="str">
        <f ca="1">IFERROR(__xludf.DUMMYFUNCTION("""COMPUTED_VALUE"""),"Despachando Mebog ")</f>
        <v xml:space="preserve">Despachando Mebog </v>
      </c>
      <c r="C2230" s="55">
        <f ca="1">IFERROR(__xludf.DUMMYFUNCTION("""COMPUTED_VALUE"""),44518)</f>
        <v>44518</v>
      </c>
      <c r="D2230" s="25" t="str">
        <f ca="1">IFERROR(__xludf.DUMMYFUNCTION("""COMPUTED_VALUE"""),"Hábitat")</f>
        <v>Hábitat</v>
      </c>
      <c r="E2230" s="25" t="str">
        <f ca="1">IFERROR(__xludf.DUMMYFUNCTION("""COMPUTED_VALUE"""),"Unidad Administrativa Especial de Servicios Públicos")</f>
        <v>Unidad Administrativa Especial de Servicios Públicos</v>
      </c>
      <c r="F2230" s="25" t="str">
        <f ca="1">IFERROR(__xludf.DUMMYFUNCTION("""COMPUTED_VALUE"""),"Mejorar la iluminación en el corredor de la Calle 13")</f>
        <v>Mejorar la iluminación en el corredor de la Calle 13</v>
      </c>
      <c r="G2230" s="55" t="str">
        <f ca="1">IFERROR(__xludf.DUMMYFUNCTION("""COMPUTED_VALUE"""),"09. Fontibón")</f>
        <v>09. Fontibón</v>
      </c>
      <c r="H2230" s="55">
        <f ca="1">IFERROR(__xludf.DUMMYFUNCTION("""COMPUTED_VALUE"""),44548)</f>
        <v>44548</v>
      </c>
      <c r="I2230" s="25"/>
      <c r="J2230" s="55" t="str">
        <f ca="1">IFERROR(__xludf.DUMMYFUNCTION("""COMPUTED_VALUE"""),"Alta")</f>
        <v>Alta</v>
      </c>
      <c r="K2230" s="25">
        <f ca="1">IFERROR(__xludf.DUMMYFUNCTION("""COMPUTED_VALUE"""),30)</f>
        <v>30</v>
      </c>
      <c r="L2230" s="62"/>
      <c r="M2230" s="25"/>
      <c r="N2230" s="55">
        <f ca="1">IFERROR(__xludf.DUMMYFUNCTION("""COMPUTED_VALUE"""),44927)</f>
        <v>44927</v>
      </c>
      <c r="O2230" s="25" t="str">
        <f t="shared" ca="1" si="0"/>
        <v>Unidad Administrativa Especial de Servicios Públicos</v>
      </c>
      <c r="P2230" s="25" t="str">
        <f t="shared" si="2"/>
        <v/>
      </c>
      <c r="Q2230" s="25" t="str">
        <f ca="1">IFERROR(__xludf.DUMMYFUNCTION("""COMPUTED_VALUE"""),"Corto plazo")</f>
        <v>Corto plazo</v>
      </c>
      <c r="R2230" s="25"/>
      <c r="S2230" s="55"/>
      <c r="T2230" s="56"/>
      <c r="U2230" s="25"/>
      <c r="V2230" s="25"/>
      <c r="W2230" s="25"/>
      <c r="X2230" s="25"/>
      <c r="Y2230" s="25"/>
      <c r="Z2230" s="25"/>
    </row>
    <row r="2231" spans="1:26" ht="52.5" customHeight="1" x14ac:dyDescent="0.25">
      <c r="A2231" s="67" t="str">
        <f ca="1">IFERROR(__xludf.DUMMYFUNCTION("""COMPUTED_VALUE"""),"Hábit129")</f>
        <v>Hábit129</v>
      </c>
      <c r="B2231" s="25" t="str">
        <f ca="1">IFERROR(__xludf.DUMMYFUNCTION("""COMPUTED_VALUE"""),"Despachando Mebog ")</f>
        <v xml:space="preserve">Despachando Mebog </v>
      </c>
      <c r="C2231" s="55">
        <f ca="1">IFERROR(__xludf.DUMMYFUNCTION("""COMPUTED_VALUE"""),44518)</f>
        <v>44518</v>
      </c>
      <c r="D2231" s="25" t="str">
        <f ca="1">IFERROR(__xludf.DUMMYFUNCTION("""COMPUTED_VALUE"""),"Hábitat")</f>
        <v>Hábitat</v>
      </c>
      <c r="E2231" s="25" t="str">
        <f ca="1">IFERROR(__xludf.DUMMYFUNCTION("""COMPUTED_VALUE"""),"Unidad Administrativa Especial de Servicios Públicos")</f>
        <v>Unidad Administrativa Especial de Servicios Públicos</v>
      </c>
      <c r="F2231" s="25" t="str">
        <f ca="1">IFERROR(__xludf.DUMMYFUNCTION("""COMPUTED_VALUE"""),"Iluminar puntos de oscuridad con la UAESP y recoger los residuos sólidos que están botando en la localidad")</f>
        <v>Iluminar puntos de oscuridad con la UAESP y recoger los residuos sólidos que están botando en la localidad</v>
      </c>
      <c r="G2231" s="55" t="str">
        <f ca="1">IFERROR(__xludf.DUMMYFUNCTION("""COMPUTED_VALUE"""),"16. Puente Aranda")</f>
        <v>16. Puente Aranda</v>
      </c>
      <c r="H2231" s="55">
        <f ca="1">IFERROR(__xludf.DUMMYFUNCTION("""COMPUTED_VALUE"""),44548)</f>
        <v>44548</v>
      </c>
      <c r="I2231" s="25"/>
      <c r="J2231" s="55" t="str">
        <f ca="1">IFERROR(__xludf.DUMMYFUNCTION("""COMPUTED_VALUE"""),"Alta")</f>
        <v>Alta</v>
      </c>
      <c r="K2231" s="25">
        <f ca="1">IFERROR(__xludf.DUMMYFUNCTION("""COMPUTED_VALUE"""),30)</f>
        <v>30</v>
      </c>
      <c r="L2231" s="62"/>
      <c r="M2231" s="25"/>
      <c r="N2231" s="55">
        <f ca="1">IFERROR(__xludf.DUMMYFUNCTION("""COMPUTED_VALUE"""),44927)</f>
        <v>44927</v>
      </c>
      <c r="O2231" s="25" t="str">
        <f t="shared" ca="1" si="0"/>
        <v>Unidad Administrativa Especial de Servicios Públicos</v>
      </c>
      <c r="P2231" s="25" t="str">
        <f t="shared" si="2"/>
        <v/>
      </c>
      <c r="Q2231" s="25" t="str">
        <f ca="1">IFERROR(__xludf.DUMMYFUNCTION("""COMPUTED_VALUE"""),"Corto plazo")</f>
        <v>Corto plazo</v>
      </c>
      <c r="R2231" s="25"/>
      <c r="S2231" s="55"/>
      <c r="T2231" s="56"/>
      <c r="U2231" s="25"/>
      <c r="V2231" s="25"/>
      <c r="W2231" s="25"/>
      <c r="X2231" s="25"/>
      <c r="Y2231" s="25"/>
      <c r="Z2231" s="25"/>
    </row>
    <row r="2232" spans="1:26" ht="52.5" customHeight="1" x14ac:dyDescent="0.25">
      <c r="A2232" s="67" t="str">
        <f ca="1">IFERROR(__xludf.DUMMYFUNCTION("""COMPUTED_VALUE"""),"Hábit130")</f>
        <v>Hábit130</v>
      </c>
      <c r="B2232" s="25" t="str">
        <f ca="1">IFERROR(__xludf.DUMMYFUNCTION("""COMPUTED_VALUE"""),"Despachando Mebog ")</f>
        <v xml:space="preserve">Despachando Mebog </v>
      </c>
      <c r="C2232" s="55">
        <f ca="1">IFERROR(__xludf.DUMMYFUNCTION("""COMPUTED_VALUE"""),44518)</f>
        <v>44518</v>
      </c>
      <c r="D2232" s="25" t="str">
        <f ca="1">IFERROR(__xludf.DUMMYFUNCTION("""COMPUTED_VALUE"""),"Hábitat")</f>
        <v>Hábitat</v>
      </c>
      <c r="E2232" s="25" t="str">
        <f ca="1">IFERROR(__xludf.DUMMYFUNCTION("""COMPUTED_VALUE"""),"Unidad Administrativa Especial de Servicios Públicos")</f>
        <v>Unidad Administrativa Especial de Servicios Públicos</v>
      </c>
      <c r="F2232" s="25" t="str">
        <f ca="1">IFERROR(__xludf.DUMMYFUNCTION("""COMPUTED_VALUE"""),"Fortalecer la iluminación en unos puntos focalizados de la localidad")</f>
        <v>Fortalecer la iluminación en unos puntos focalizados de la localidad</v>
      </c>
      <c r="G2232" s="55" t="str">
        <f ca="1">IFERROR(__xludf.DUMMYFUNCTION("""COMPUTED_VALUE"""),"15. Antonio Nariño")</f>
        <v>15. Antonio Nariño</v>
      </c>
      <c r="H2232" s="55">
        <f ca="1">IFERROR(__xludf.DUMMYFUNCTION("""COMPUTED_VALUE"""),44548)</f>
        <v>44548</v>
      </c>
      <c r="I2232" s="25"/>
      <c r="J2232" s="55" t="str">
        <f ca="1">IFERROR(__xludf.DUMMYFUNCTION("""COMPUTED_VALUE"""),"Alta")</f>
        <v>Alta</v>
      </c>
      <c r="K2232" s="25">
        <f ca="1">IFERROR(__xludf.DUMMYFUNCTION("""COMPUTED_VALUE"""),30)</f>
        <v>30</v>
      </c>
      <c r="L2232" s="62"/>
      <c r="M2232" s="25"/>
      <c r="N2232" s="55">
        <f ca="1">IFERROR(__xludf.DUMMYFUNCTION("""COMPUTED_VALUE"""),44927)</f>
        <v>44927</v>
      </c>
      <c r="O2232" s="25" t="str">
        <f t="shared" ca="1" si="0"/>
        <v>Unidad Administrativa Especial de Servicios Públicos</v>
      </c>
      <c r="P2232" s="25" t="str">
        <f t="shared" si="2"/>
        <v/>
      </c>
      <c r="Q2232" s="25" t="str">
        <f ca="1">IFERROR(__xludf.DUMMYFUNCTION("""COMPUTED_VALUE"""),"Corto plazo")</f>
        <v>Corto plazo</v>
      </c>
      <c r="R2232" s="25"/>
      <c r="S2232" s="55"/>
      <c r="T2232" s="56"/>
      <c r="U2232" s="25"/>
      <c r="V2232" s="25"/>
      <c r="W2232" s="25"/>
      <c r="X2232" s="25"/>
      <c r="Y2232" s="25"/>
      <c r="Z2232" s="25"/>
    </row>
    <row r="2233" spans="1:26" ht="52.5" customHeight="1" x14ac:dyDescent="0.25">
      <c r="A2233" s="67" t="str">
        <f ca="1">IFERROR(__xludf.DUMMYFUNCTION("""COMPUTED_VALUE"""),"Hábit131")</f>
        <v>Hábit131</v>
      </c>
      <c r="B2233" s="25" t="str">
        <f ca="1">IFERROR(__xludf.DUMMYFUNCTION("""COMPUTED_VALUE"""),"Despachando Mebog ")</f>
        <v xml:space="preserve">Despachando Mebog </v>
      </c>
      <c r="C2233" s="55">
        <f ca="1">IFERROR(__xludf.DUMMYFUNCTION("""COMPUTED_VALUE"""),44518)</f>
        <v>44518</v>
      </c>
      <c r="D2233" s="25" t="str">
        <f ca="1">IFERROR(__xludf.DUMMYFUNCTION("""COMPUTED_VALUE"""),"Hábitat")</f>
        <v>Hábitat</v>
      </c>
      <c r="E2233" s="25" t="str">
        <f ca="1">IFERROR(__xludf.DUMMYFUNCTION("""COMPUTED_VALUE"""),"Unidad Administrativa Especial de Servicios Públicos")</f>
        <v>Unidad Administrativa Especial de Servicios Públicos</v>
      </c>
      <c r="F2233" s="25" t="str">
        <f ca="1">IFERROR(__xludf.DUMMYFUNCTION("""COMPUTED_VALUE"""),"Identificar y definir el espacio para la puesta en marcha de un centro de atención  para habitantes de calle y población carretera en el 7 de agosto.")</f>
        <v>Identificar y definir el espacio para la puesta en marcha de un centro de atención  para habitantes de calle y población carretera en el 7 de agosto.</v>
      </c>
      <c r="G2233" s="55" t="str">
        <f ca="1">IFERROR(__xludf.DUMMYFUNCTION("""COMPUTED_VALUE"""),"12. Barrios Unidos")</f>
        <v>12. Barrios Unidos</v>
      </c>
      <c r="H2233" s="55">
        <f ca="1">IFERROR(__xludf.DUMMYFUNCTION("""COMPUTED_VALUE"""),45015)</f>
        <v>45015</v>
      </c>
      <c r="I2233" s="25"/>
      <c r="J2233" s="55" t="str">
        <f ca="1">IFERROR(__xludf.DUMMYFUNCTION("""COMPUTED_VALUE"""),"Baja")</f>
        <v>Baja</v>
      </c>
      <c r="K2233" s="25">
        <f ca="1">IFERROR(__xludf.DUMMYFUNCTION("""COMPUTED_VALUE"""),497)</f>
        <v>497</v>
      </c>
      <c r="L2233" s="62">
        <f ca="1">IFERROR(__xludf.DUMMYFUNCTION("""COMPUTED_VALUE"""),45016)</f>
        <v>45016</v>
      </c>
      <c r="M2233" s="25" t="str">
        <f ca="1">IFERROR(__xludf.DUMMYFUNCTION("""COMPUTED_VALUE"""),"Se firmó el contrato UAESP-411-2023 cuyo objeto es: SA-106 Arrendamiento de un inmueble ubicado en la Ciudad de Bogotá D.C, para llevar a cabo actividades a favor de la población carretera en el marco del cumplimiento de la Directiva 004 del 25 de 5 de 20"&amp;"21, expedida por la Alcaldía de Bogotá, e llugar del arrendamiento es en la dirección: carrera 29B No. 73-01, actualmente se están solicitando las pólizas para la firma del acta de inicio del contrato. Con el espacio arrendado se dará respuesta a la neces"&amp;"itad del Centro Transitorio de Cuidado Carretero - CTCC ubicado en la localidad de Barrios Unidos  ")</f>
        <v xml:space="preserve">Se firmó el contrato UAESP-411-2023 cuyo objeto es: SA-106 Arrendamiento de un inmueble ubicado en la Ciudad de Bogotá D.C, para llevar a cabo actividades a favor de la población carretera en el marco del cumplimiento de la Directiva 004 del 25 de 5 de 2021, expedida por la Alcaldía de Bogotá, e llugar del arrendamiento es en la dirección: carrera 29B No. 73-01, actualmente se están solicitando las pólizas para la firma del acta de inicio del contrato. Con el espacio arrendado se dará respuesta a la necesitad del Centro Transitorio de Cuidado Carretero - CTCC ubicado en la localidad de Barrios Unidos  </v>
      </c>
      <c r="N2233" s="55">
        <f ca="1">IFERROR(__xludf.DUMMYFUNCTION("""COMPUTED_VALUE"""),45016)</f>
        <v>45016</v>
      </c>
      <c r="O2233" s="25" t="str">
        <f t="shared" ca="1" si="0"/>
        <v>Unidad Administrativa Especial de Servicios Públicos</v>
      </c>
      <c r="P2233" s="25" t="str">
        <f t="shared" si="2"/>
        <v/>
      </c>
      <c r="Q2233" s="25" t="str">
        <f ca="1">IFERROR(__xludf.DUMMYFUNCTION("""COMPUTED_VALUE"""),"Largo plazo")</f>
        <v>Largo plazo</v>
      </c>
      <c r="R2233" s="25"/>
      <c r="S2233" s="55"/>
      <c r="T2233" s="56"/>
      <c r="U2233" s="25"/>
      <c r="V2233" s="25"/>
      <c r="W2233" s="25"/>
      <c r="X2233" s="25"/>
      <c r="Y2233" s="25"/>
      <c r="Z2233" s="25"/>
    </row>
    <row r="2234" spans="1:26" ht="52.5" customHeight="1" x14ac:dyDescent="0.25">
      <c r="A2234" s="67" t="str">
        <f ca="1">IFERROR(__xludf.DUMMYFUNCTION("""COMPUTED_VALUE"""),"Hábit132")</f>
        <v>Hábit132</v>
      </c>
      <c r="B2234" s="25" t="str">
        <f ca="1">IFERROR(__xludf.DUMMYFUNCTION("""COMPUTED_VALUE"""),"Despachando Mebog ")</f>
        <v xml:space="preserve">Despachando Mebog </v>
      </c>
      <c r="C2234" s="55">
        <f ca="1">IFERROR(__xludf.DUMMYFUNCTION("""COMPUTED_VALUE"""),44518)</f>
        <v>44518</v>
      </c>
      <c r="D2234" s="25" t="str">
        <f ca="1">IFERROR(__xludf.DUMMYFUNCTION("""COMPUTED_VALUE"""),"Hábitat")</f>
        <v>Hábitat</v>
      </c>
      <c r="E2234" s="25" t="str">
        <f ca="1">IFERROR(__xludf.DUMMYFUNCTION("""COMPUTED_VALUE"""),"Secretaría Distrital del Hábitat")</f>
        <v>Secretaría Distrital del Hábitat</v>
      </c>
      <c r="F2234" s="25" t="str">
        <f ca="1">IFERROR(__xludf.DUMMYFUNCTION("""COMPUTED_VALUE"""),"Revisar la entrega de drones para vigilar el parque Entre Nubes y las ocupaciones ilegales en San German y Yopal Pedregal. La Secretaría de Hábitat debe implementar letreros sobre la no venta de los lotes por ser zonas de remoción.")</f>
        <v>Revisar la entrega de drones para vigilar el parque Entre Nubes y las ocupaciones ilegales en San German y Yopal Pedregal. La Secretaría de Hábitat debe implementar letreros sobre la no venta de los lotes por ser zonas de remoción.</v>
      </c>
      <c r="G2234" s="55" t="str">
        <f ca="1">IFERROR(__xludf.DUMMYFUNCTION("""COMPUTED_VALUE"""),"05. Usme")</f>
        <v>05. Usme</v>
      </c>
      <c r="H2234" s="55">
        <f ca="1">IFERROR(__xludf.DUMMYFUNCTION("""COMPUTED_VALUE"""),44548)</f>
        <v>44548</v>
      </c>
      <c r="I2234" s="25"/>
      <c r="J2234" s="55" t="str">
        <f ca="1">IFERROR(__xludf.DUMMYFUNCTION("""COMPUTED_VALUE"""),"Alta")</f>
        <v>Alta</v>
      </c>
      <c r="K2234" s="25">
        <f ca="1">IFERROR(__xludf.DUMMYFUNCTION("""COMPUTED_VALUE"""),30)</f>
        <v>30</v>
      </c>
      <c r="L2234" s="62"/>
      <c r="M2234" s="25"/>
      <c r="N2234" s="55">
        <f ca="1">IFERROR(__xludf.DUMMYFUNCTION("""COMPUTED_VALUE"""),44927)</f>
        <v>44927</v>
      </c>
      <c r="O2234" s="25" t="str">
        <f t="shared" ca="1" si="0"/>
        <v>Secretaría Distrital del Hábitat</v>
      </c>
      <c r="P2234" s="25" t="str">
        <f t="shared" si="2"/>
        <v/>
      </c>
      <c r="Q2234" s="25" t="str">
        <f ca="1">IFERROR(__xludf.DUMMYFUNCTION("""COMPUTED_VALUE"""),"Corto plazo")</f>
        <v>Corto plazo</v>
      </c>
      <c r="R2234" s="25"/>
      <c r="S2234" s="55"/>
      <c r="T2234" s="56"/>
      <c r="U2234" s="25"/>
      <c r="V2234" s="25"/>
      <c r="W2234" s="25"/>
      <c r="X2234" s="25"/>
      <c r="Y2234" s="25"/>
      <c r="Z2234" s="25"/>
    </row>
    <row r="2235" spans="1:26" ht="52.5" customHeight="1" x14ac:dyDescent="0.25">
      <c r="A2235" s="67" t="str">
        <f ca="1">IFERROR(__xludf.DUMMYFUNCTION("""COMPUTED_VALUE"""),"Hábit133")</f>
        <v>Hábit133</v>
      </c>
      <c r="B2235" s="25" t="str">
        <f ca="1">IFERROR(__xludf.DUMMYFUNCTION("""COMPUTED_VALUE"""),"Despachando Mebog ")</f>
        <v xml:space="preserve">Despachando Mebog </v>
      </c>
      <c r="C2235" s="55">
        <f ca="1">IFERROR(__xludf.DUMMYFUNCTION("""COMPUTED_VALUE"""),44518)</f>
        <v>44518</v>
      </c>
      <c r="D2235" s="25" t="str">
        <f ca="1">IFERROR(__xludf.DUMMYFUNCTION("""COMPUTED_VALUE"""),"Hábitat")</f>
        <v>Hábitat</v>
      </c>
      <c r="E2235" s="25" t="str">
        <f ca="1">IFERROR(__xludf.DUMMYFUNCTION("""COMPUTED_VALUE"""),"Unidad Administrativa Especial de Servicios Públicos")</f>
        <v>Unidad Administrativa Especial de Servicios Públicos</v>
      </c>
      <c r="F2235" s="25" t="str">
        <f ca="1">IFERROR(__xludf.DUMMYFUNCTION("""COMPUTED_VALUE"""),"Puesta en marcha de un centro para atención a carreteros en la localidad")</f>
        <v>Puesta en marcha de un centro para atención a carreteros en la localidad</v>
      </c>
      <c r="G2235" s="55" t="str">
        <f ca="1">IFERROR(__xludf.DUMMYFUNCTION("""COMPUTED_VALUE"""),"05. Usme")</f>
        <v>05. Usme</v>
      </c>
      <c r="H2235" s="55">
        <f ca="1">IFERROR(__xludf.DUMMYFUNCTION("""COMPUTED_VALUE"""),44548)</f>
        <v>44548</v>
      </c>
      <c r="I2235" s="25"/>
      <c r="J2235" s="55" t="str">
        <f ca="1">IFERROR(__xludf.DUMMYFUNCTION("""COMPUTED_VALUE"""),"Alta")</f>
        <v>Alta</v>
      </c>
      <c r="K2235" s="25">
        <f ca="1">IFERROR(__xludf.DUMMYFUNCTION("""COMPUTED_VALUE"""),30)</f>
        <v>30</v>
      </c>
      <c r="L2235" s="62"/>
      <c r="M2235" s="25"/>
      <c r="N2235" s="55">
        <f ca="1">IFERROR(__xludf.DUMMYFUNCTION("""COMPUTED_VALUE"""),44927)</f>
        <v>44927</v>
      </c>
      <c r="O2235" s="25" t="str">
        <f t="shared" ca="1" si="0"/>
        <v>Unidad Administrativa Especial de Servicios Públicos</v>
      </c>
      <c r="P2235" s="25" t="str">
        <f t="shared" si="2"/>
        <v/>
      </c>
      <c r="Q2235" s="25" t="str">
        <f ca="1">IFERROR(__xludf.DUMMYFUNCTION("""COMPUTED_VALUE"""),"Corto plazo")</f>
        <v>Corto plazo</v>
      </c>
      <c r="R2235" s="25"/>
      <c r="S2235" s="55"/>
      <c r="T2235" s="56"/>
      <c r="U2235" s="25"/>
      <c r="V2235" s="25"/>
      <c r="W2235" s="25"/>
      <c r="X2235" s="25"/>
      <c r="Y2235" s="25"/>
      <c r="Z2235" s="25"/>
    </row>
    <row r="2236" spans="1:26" ht="52.5" customHeight="1" x14ac:dyDescent="0.25">
      <c r="A2236" s="67" t="str">
        <f ca="1">IFERROR(__xludf.DUMMYFUNCTION("""COMPUTED_VALUE"""),"Hábit134")</f>
        <v>Hábit134</v>
      </c>
      <c r="B2236" s="25" t="str">
        <f ca="1">IFERROR(__xludf.DUMMYFUNCTION("""COMPUTED_VALUE"""),"Despachando Mebog ")</f>
        <v xml:space="preserve">Despachando Mebog </v>
      </c>
      <c r="C2236" s="55">
        <f ca="1">IFERROR(__xludf.DUMMYFUNCTION("""COMPUTED_VALUE"""),44518)</f>
        <v>44518</v>
      </c>
      <c r="D2236" s="25" t="str">
        <f ca="1">IFERROR(__xludf.DUMMYFUNCTION("""COMPUTED_VALUE"""),"Hábitat")</f>
        <v>Hábitat</v>
      </c>
      <c r="E2236" s="25" t="str">
        <f ca="1">IFERROR(__xludf.DUMMYFUNCTION("""COMPUTED_VALUE"""),"Unidad Administrativa Especial de Servicios Públicos")</f>
        <v>Unidad Administrativa Especial de Servicios Públicos</v>
      </c>
      <c r="F2236" s="25" t="str">
        <f ca="1">IFERROR(__xludf.DUMMYFUNCTION("""COMPUTED_VALUE"""),"Mejorar la iluminación de focos ciegos en la Candelaria, los cuales tienen incidencia en hurtos")</f>
        <v>Mejorar la iluminación de focos ciegos en la Candelaria, los cuales tienen incidencia en hurtos</v>
      </c>
      <c r="G2236" s="55" t="str">
        <f ca="1">IFERROR(__xludf.DUMMYFUNCTION("""COMPUTED_VALUE"""),"17. La Candelaria")</f>
        <v>17. La Candelaria</v>
      </c>
      <c r="H2236" s="55">
        <f ca="1">IFERROR(__xludf.DUMMYFUNCTION("""COMPUTED_VALUE"""),44548)</f>
        <v>44548</v>
      </c>
      <c r="I2236" s="25"/>
      <c r="J2236" s="55" t="str">
        <f ca="1">IFERROR(__xludf.DUMMYFUNCTION("""COMPUTED_VALUE"""),"Alta")</f>
        <v>Alta</v>
      </c>
      <c r="K2236" s="25">
        <f ca="1">IFERROR(__xludf.DUMMYFUNCTION("""COMPUTED_VALUE"""),30)</f>
        <v>30</v>
      </c>
      <c r="L2236" s="62"/>
      <c r="M2236" s="25"/>
      <c r="N2236" s="55">
        <f ca="1">IFERROR(__xludf.DUMMYFUNCTION("""COMPUTED_VALUE"""),44927)</f>
        <v>44927</v>
      </c>
      <c r="O2236" s="25" t="str">
        <f t="shared" ca="1" si="0"/>
        <v>Unidad Administrativa Especial de Servicios Públicos</v>
      </c>
      <c r="P2236" s="25" t="str">
        <f t="shared" si="2"/>
        <v/>
      </c>
      <c r="Q2236" s="25" t="str">
        <f ca="1">IFERROR(__xludf.DUMMYFUNCTION("""COMPUTED_VALUE"""),"Corto plazo")</f>
        <v>Corto plazo</v>
      </c>
      <c r="R2236" s="25"/>
      <c r="S2236" s="55"/>
      <c r="T2236" s="56"/>
      <c r="U2236" s="25"/>
      <c r="V2236" s="25"/>
      <c r="W2236" s="25"/>
      <c r="X2236" s="25"/>
      <c r="Y2236" s="25"/>
      <c r="Z2236" s="25"/>
    </row>
    <row r="2237" spans="1:26" ht="52.5" customHeight="1" x14ac:dyDescent="0.25">
      <c r="A2237" s="67" t="str">
        <f ca="1">IFERROR(__xludf.DUMMYFUNCTION("""COMPUTED_VALUE"""),"Hábit135")</f>
        <v>Hábit135</v>
      </c>
      <c r="B2237" s="25" t="str">
        <f ca="1">IFERROR(__xludf.DUMMYFUNCTION("""COMPUTED_VALUE"""),"Despachando Mebog ")</f>
        <v xml:space="preserve">Despachando Mebog </v>
      </c>
      <c r="C2237" s="55">
        <f ca="1">IFERROR(__xludf.DUMMYFUNCTION("""COMPUTED_VALUE"""),44518)</f>
        <v>44518</v>
      </c>
      <c r="D2237" s="25" t="str">
        <f ca="1">IFERROR(__xludf.DUMMYFUNCTION("""COMPUTED_VALUE"""),"Hábitat")</f>
        <v>Hábitat</v>
      </c>
      <c r="E2237" s="25" t="str">
        <f ca="1">IFERROR(__xludf.DUMMYFUNCTION("""COMPUTED_VALUE"""),"Unidad Administrativa Especial de Servicios Públicos")</f>
        <v>Unidad Administrativa Especial de Servicios Públicos</v>
      </c>
      <c r="F2237" s="25" t="str">
        <f ca="1">IFERROR(__xludf.DUMMYFUNCTION("""COMPUTED_VALUE"""),"Mejorar la iluminación en espacios identificados en la localidad, sobretodo los de estructura ecológica principal")</f>
        <v>Mejorar la iluminación en espacios identificados en la localidad, sobretodo los de estructura ecológica principal</v>
      </c>
      <c r="G2237" s="55" t="str">
        <f ca="1">IFERROR(__xludf.DUMMYFUNCTION("""COMPUTED_VALUE"""),"06. Tunjuelito")</f>
        <v>06. Tunjuelito</v>
      </c>
      <c r="H2237" s="55">
        <f ca="1">IFERROR(__xludf.DUMMYFUNCTION("""COMPUTED_VALUE"""),44548)</f>
        <v>44548</v>
      </c>
      <c r="I2237" s="25"/>
      <c r="J2237" s="55" t="str">
        <f ca="1">IFERROR(__xludf.DUMMYFUNCTION("""COMPUTED_VALUE"""),"Alta")</f>
        <v>Alta</v>
      </c>
      <c r="K2237" s="25">
        <f ca="1">IFERROR(__xludf.DUMMYFUNCTION("""COMPUTED_VALUE"""),30)</f>
        <v>30</v>
      </c>
      <c r="L2237" s="62"/>
      <c r="M2237" s="25"/>
      <c r="N2237" s="55">
        <f ca="1">IFERROR(__xludf.DUMMYFUNCTION("""COMPUTED_VALUE"""),44927)</f>
        <v>44927</v>
      </c>
      <c r="O2237" s="25" t="str">
        <f t="shared" ca="1" si="0"/>
        <v>Unidad Administrativa Especial de Servicios Públicos</v>
      </c>
      <c r="P2237" s="25" t="str">
        <f t="shared" si="2"/>
        <v/>
      </c>
      <c r="Q2237" s="25" t="str">
        <f ca="1">IFERROR(__xludf.DUMMYFUNCTION("""COMPUTED_VALUE"""),"Corto plazo")</f>
        <v>Corto plazo</v>
      </c>
      <c r="R2237" s="25"/>
      <c r="S2237" s="55"/>
      <c r="T2237" s="56"/>
      <c r="U2237" s="25"/>
      <c r="V2237" s="25"/>
      <c r="W2237" s="25"/>
      <c r="X2237" s="25"/>
      <c r="Y2237" s="25"/>
      <c r="Z2237" s="25"/>
    </row>
    <row r="2238" spans="1:26" ht="52.5" customHeight="1" x14ac:dyDescent="0.25">
      <c r="A2238" s="67" t="str">
        <f ca="1">IFERROR(__xludf.DUMMYFUNCTION("""COMPUTED_VALUE"""),"Hábit136")</f>
        <v>Hábit136</v>
      </c>
      <c r="B2238" s="25" t="str">
        <f ca="1">IFERROR(__xludf.DUMMYFUNCTION("""COMPUTED_VALUE"""),"Junta de infraestructura - valorización")</f>
        <v>Junta de infraestructura - valorización</v>
      </c>
      <c r="C2238" s="55">
        <f ca="1">IFERROR(__xludf.DUMMYFUNCTION("""COMPUTED_VALUE"""),44512)</f>
        <v>44512</v>
      </c>
      <c r="D2238" s="25" t="str">
        <f ca="1">IFERROR(__xludf.DUMMYFUNCTION("""COMPUTED_VALUE"""),"Hábitat")</f>
        <v>Hábitat</v>
      </c>
      <c r="E2238" s="25" t="str">
        <f ca="1">IFERROR(__xludf.DUMMYFUNCTION("""COMPUTED_VALUE"""),"Empresa de Acueducto y Alcantarillado de Bogotá")</f>
        <v>Empresa de Acueducto y Alcantarillado de Bogotá</v>
      </c>
      <c r="F2238" s="25" t="str">
        <f ca="1">IFERROR(__xludf.DUMMYFUNCTION("""COMPUTED_VALUE"""),"Autopista Norte - Andenes y ciclorruta costado oriental entre calles 80 y 128B (priorizó para paso a obra el tramo 1:
Revisión de diseño de redes de acueducto y alcantarillado Tramo 1 - Versión 2, Radicado en EAAB el 5 de noviembre. Prioritario para cambi"&amp;"o de etapa. Solicitan sacar al menos no objeción condicionada. EAAB indica que se hizo una reorganización de su equipo para atender con prioridad lo referente a este y los otros proyectos de valorización, en particular este que fue recientemente radicado."&amp;" ")</f>
        <v xml:space="preserve">Autopista Norte - Andenes y ciclorruta costado oriental entre calles 80 y 128B (priorizó para paso a obra el tramo 1:
Revisión de diseño de redes de acueducto y alcantarillado Tramo 1 - Versión 2, Radicado en EAAB el 5 de noviembre. Prioritario para cambio de etapa. Solicitan sacar al menos no objeción condicionada. EAAB indica que se hizo una reorganización de su equipo para atender con prioridad lo referente a este y los otros proyectos de valorización, en particular este que fue recientemente radicado. </v>
      </c>
      <c r="G2238" s="25" t="str">
        <f ca="1">IFERROR(__xludf.DUMMYFUNCTION("""COMPUTED_VALUE"""),"99. Distrito")</f>
        <v>99. Distrito</v>
      </c>
      <c r="H2238" s="55">
        <f ca="1">IFERROR(__xludf.DUMMYFUNCTION("""COMPUTED_VALUE"""),44542)</f>
        <v>44542</v>
      </c>
      <c r="I2238" s="25"/>
      <c r="J2238" s="55" t="str">
        <f ca="1">IFERROR(__xludf.DUMMYFUNCTION("""COMPUTED_VALUE"""),"Alta")</f>
        <v>Alta</v>
      </c>
      <c r="K2238" s="25">
        <f ca="1">IFERROR(__xludf.DUMMYFUNCTION("""COMPUTED_VALUE"""),30)</f>
        <v>30</v>
      </c>
      <c r="L2238" s="62">
        <f ca="1">IFERROR(__xludf.DUMMYFUNCTION("""COMPUTED_VALUE"""),44956)</f>
        <v>44956</v>
      </c>
      <c r="M2238" s="25"/>
      <c r="N2238" s="55">
        <f ca="1">IFERROR(__xludf.DUMMYFUNCTION("""COMPUTED_VALUE"""),44927)</f>
        <v>44927</v>
      </c>
      <c r="O2238" s="25" t="str">
        <f t="shared" ca="1" si="0"/>
        <v>Empresa de Acueducto y Alcantarillado de Bogotá</v>
      </c>
      <c r="P2238" s="25" t="str">
        <f t="shared" si="2"/>
        <v/>
      </c>
      <c r="Q2238" s="25" t="str">
        <f ca="1">IFERROR(__xludf.DUMMYFUNCTION("""COMPUTED_VALUE"""),"Corto plazo")</f>
        <v>Corto plazo</v>
      </c>
      <c r="R2238" s="25"/>
      <c r="S2238" s="55"/>
      <c r="T2238" s="56"/>
      <c r="U2238" s="25"/>
      <c r="V2238" s="25"/>
      <c r="W2238" s="25"/>
      <c r="X2238" s="25"/>
      <c r="Y2238" s="25"/>
      <c r="Z2238" s="25"/>
    </row>
    <row r="2239" spans="1:26" ht="52.5" customHeight="1" x14ac:dyDescent="0.25">
      <c r="A2239" s="67" t="str">
        <f ca="1">IFERROR(__xludf.DUMMYFUNCTION("""COMPUTED_VALUE"""),"Hábit137")</f>
        <v>Hábit137</v>
      </c>
      <c r="B2239" s="25" t="str">
        <f ca="1">IFERROR(__xludf.DUMMYFUNCTION("""COMPUTED_VALUE"""),"Junta de infraestructura - valorización")</f>
        <v>Junta de infraestructura - valorización</v>
      </c>
      <c r="C2239" s="55">
        <f ca="1">IFERROR(__xludf.DUMMYFUNCTION("""COMPUTED_VALUE"""),44512)</f>
        <v>44512</v>
      </c>
      <c r="D2239" s="25" t="str">
        <f ca="1">IFERROR(__xludf.DUMMYFUNCTION("""COMPUTED_VALUE"""),"Hábitat")</f>
        <v>Hábitat</v>
      </c>
      <c r="E2239" s="25" t="str">
        <f ca="1">IFERROR(__xludf.DUMMYFUNCTION("""COMPUTED_VALUE"""),"Empresa de Acueducto y Alcantarillado de Bogotá")</f>
        <v>Empresa de Acueducto y Alcantarillado de Bogotá</v>
      </c>
      <c r="F2239" s="25" t="str">
        <f ca="1">IFERROR(__xludf.DUMMYFUNCTION("""COMPUTED_VALUE"""),"Autopista Norte - Andenes y ciclorruta costado oriental entre calles 80 y 128B (priorizó para paso a obra el tramo 1)
Pendiente aprobación de Serie 4 (8), 2 en Codensa y 6 en ajustes del Consultor para proceder a radicar - Tramo 1 - ok ")</f>
        <v xml:space="preserve">Autopista Norte - Andenes y ciclorruta costado oriental entre calles 80 y 128B (priorizó para paso a obra el tramo 1)
Pendiente aprobación de Serie 4 (8), 2 en Codensa y 6 en ajustes del Consultor para proceder a radicar - Tramo 1 - ok </v>
      </c>
      <c r="G2239" s="25" t="str">
        <f ca="1">IFERROR(__xludf.DUMMYFUNCTION("""COMPUTED_VALUE"""),"99. Distrito")</f>
        <v>99. Distrito</v>
      </c>
      <c r="H2239" s="55">
        <f ca="1">IFERROR(__xludf.DUMMYFUNCTION("""COMPUTED_VALUE"""),44542)</f>
        <v>44542</v>
      </c>
      <c r="I2239" s="25"/>
      <c r="J2239" s="55" t="str">
        <f ca="1">IFERROR(__xludf.DUMMYFUNCTION("""COMPUTED_VALUE"""),"Alta")</f>
        <v>Alta</v>
      </c>
      <c r="K2239" s="25">
        <f ca="1">IFERROR(__xludf.DUMMYFUNCTION("""COMPUTED_VALUE"""),30)</f>
        <v>30</v>
      </c>
      <c r="L2239" s="62">
        <f ca="1">IFERROR(__xludf.DUMMYFUNCTION("""COMPUTED_VALUE"""),44956)</f>
        <v>44956</v>
      </c>
      <c r="M2239" s="25"/>
      <c r="N2239" s="55">
        <f ca="1">IFERROR(__xludf.DUMMYFUNCTION("""COMPUTED_VALUE"""),44927)</f>
        <v>44927</v>
      </c>
      <c r="O2239" s="25" t="str">
        <f t="shared" ca="1" si="0"/>
        <v>Empresa de Acueducto y Alcantarillado de Bogotá</v>
      </c>
      <c r="P2239" s="25" t="str">
        <f t="shared" si="2"/>
        <v/>
      </c>
      <c r="Q2239" s="25" t="str">
        <f ca="1">IFERROR(__xludf.DUMMYFUNCTION("""COMPUTED_VALUE"""),"Corto plazo")</f>
        <v>Corto plazo</v>
      </c>
      <c r="R2239" s="25"/>
      <c r="S2239" s="55"/>
      <c r="T2239" s="56"/>
      <c r="U2239" s="25"/>
      <c r="V2239" s="25"/>
      <c r="W2239" s="25"/>
      <c r="X2239" s="25"/>
      <c r="Y2239" s="25"/>
      <c r="Z2239" s="25"/>
    </row>
    <row r="2240" spans="1:26" ht="52.5" customHeight="1" x14ac:dyDescent="0.25">
      <c r="A2240" s="67" t="str">
        <f ca="1">IFERROR(__xludf.DUMMYFUNCTION("""COMPUTED_VALUE"""),"Hábit138")</f>
        <v>Hábit138</v>
      </c>
      <c r="B2240" s="25" t="str">
        <f ca="1">IFERROR(__xludf.DUMMYFUNCTION("""COMPUTED_VALUE"""),"Junta de infraestructura - valorización")</f>
        <v>Junta de infraestructura - valorización</v>
      </c>
      <c r="C2240" s="55">
        <f ca="1">IFERROR(__xludf.DUMMYFUNCTION("""COMPUTED_VALUE"""),44512)</f>
        <v>44512</v>
      </c>
      <c r="D2240" s="25" t="str">
        <f ca="1">IFERROR(__xludf.DUMMYFUNCTION("""COMPUTED_VALUE"""),"Hábitat")</f>
        <v>Hábitat</v>
      </c>
      <c r="E2240" s="25" t="str">
        <f ca="1">IFERROR(__xludf.DUMMYFUNCTION("""COMPUTED_VALUE"""),"Empresa de Acueducto y Alcantarillado de Bogotá")</f>
        <v>Empresa de Acueducto y Alcantarillado de Bogotá</v>
      </c>
      <c r="F2240" s="25" t="str">
        <f ca="1">IFERROR(__xludf.DUMMYFUNCTION("""COMPUTED_VALUE"""),"Canal Córdoba entre calles 129 y 170:
 Remitirá a más tardar el martes las observaciones de los tramos pendientes. El IDU radicará hoy mismo documentos ajustados del tramo 1.")</f>
        <v>Canal Córdoba entre calles 129 y 170:
 Remitirá a más tardar el martes las observaciones de los tramos pendientes. El IDU radicará hoy mismo documentos ajustados del tramo 1.</v>
      </c>
      <c r="G2240" s="25" t="str">
        <f ca="1">IFERROR(__xludf.DUMMYFUNCTION("""COMPUTED_VALUE"""),"99. Distrito")</f>
        <v>99. Distrito</v>
      </c>
      <c r="H2240" s="55">
        <f ca="1">IFERROR(__xludf.DUMMYFUNCTION("""COMPUTED_VALUE"""),44542)</f>
        <v>44542</v>
      </c>
      <c r="I2240" s="25"/>
      <c r="J2240" s="55" t="str">
        <f ca="1">IFERROR(__xludf.DUMMYFUNCTION("""COMPUTED_VALUE"""),"Alta")</f>
        <v>Alta</v>
      </c>
      <c r="K2240" s="25">
        <f ca="1">IFERROR(__xludf.DUMMYFUNCTION("""COMPUTED_VALUE"""),30)</f>
        <v>30</v>
      </c>
      <c r="L2240" s="62">
        <f ca="1">IFERROR(__xludf.DUMMYFUNCTION("""COMPUTED_VALUE"""),44956)</f>
        <v>44956</v>
      </c>
      <c r="M2240" s="25"/>
      <c r="N2240" s="55">
        <f ca="1">IFERROR(__xludf.DUMMYFUNCTION("""COMPUTED_VALUE"""),44927)</f>
        <v>44927</v>
      </c>
      <c r="O2240" s="25" t="str">
        <f t="shared" ca="1" si="0"/>
        <v>Empresa de Acueducto y Alcantarillado de Bogotá</v>
      </c>
      <c r="P2240" s="25" t="str">
        <f t="shared" si="2"/>
        <v/>
      </c>
      <c r="Q2240" s="25" t="str">
        <f ca="1">IFERROR(__xludf.DUMMYFUNCTION("""COMPUTED_VALUE"""),"Corto plazo")</f>
        <v>Corto plazo</v>
      </c>
      <c r="R2240" s="25"/>
      <c r="S2240" s="55"/>
      <c r="T2240" s="56"/>
      <c r="U2240" s="25"/>
      <c r="V2240" s="25"/>
      <c r="W2240" s="25"/>
      <c r="X2240" s="25"/>
      <c r="Y2240" s="25"/>
      <c r="Z2240" s="25"/>
    </row>
    <row r="2241" spans="1:26" ht="52.5" customHeight="1" x14ac:dyDescent="0.25">
      <c r="A2241" s="67" t="str">
        <f ca="1">IFERROR(__xludf.DUMMYFUNCTION("""COMPUTED_VALUE"""),"Hábit139")</f>
        <v>Hábit139</v>
      </c>
      <c r="B2241" s="25" t="str">
        <f ca="1">IFERROR(__xludf.DUMMYFUNCTION("""COMPUTED_VALUE"""),"Junta de infraestructura - valorización")</f>
        <v>Junta de infraestructura - valorización</v>
      </c>
      <c r="C2241" s="55">
        <f ca="1">IFERROR(__xludf.DUMMYFUNCTION("""COMPUTED_VALUE"""),44512)</f>
        <v>44512</v>
      </c>
      <c r="D2241" s="25" t="str">
        <f ca="1">IFERROR(__xludf.DUMMYFUNCTION("""COMPUTED_VALUE"""),"Hábitat")</f>
        <v>Hábitat</v>
      </c>
      <c r="E2241" s="25" t="str">
        <f ca="1">IFERROR(__xludf.DUMMYFUNCTION("""COMPUTED_VALUE"""),"Empresa de Acueducto y Alcantarillado de Bogotá")</f>
        <v>Empresa de Acueducto y Alcantarillado de Bogotá</v>
      </c>
      <c r="F2241" s="25" t="str">
        <f ca="1">IFERROR(__xludf.DUMMYFUNCTION("""COMPUTED_VALUE"""),"Zonas Industriales Estudios y Diseños Grupo 1 UPZ 108 :
Diseño Acueducto y Alcantarillado (subgrupos 2 y 3) radicado 7/10/21 y Diseño Acueducto y Alcantarillado (subgrupos 1 y 4) radicado 10/10/21. EAAB: señala que darán respuesta el 19 de noviembre
")</f>
        <v xml:space="preserve">Zonas Industriales Estudios y Diseños Grupo 1 UPZ 108 :
Diseño Acueducto y Alcantarillado (subgrupos 2 y 3) radicado 7/10/21 y Diseño Acueducto y Alcantarillado (subgrupos 1 y 4) radicado 10/10/21. EAAB: señala que darán respuesta el 19 de noviembre
</v>
      </c>
      <c r="G2241" s="25" t="str">
        <f ca="1">IFERROR(__xludf.DUMMYFUNCTION("""COMPUTED_VALUE"""),"99. Distrito")</f>
        <v>99. Distrito</v>
      </c>
      <c r="H2241" s="55">
        <f ca="1">IFERROR(__xludf.DUMMYFUNCTION("""COMPUTED_VALUE"""),44542)</f>
        <v>44542</v>
      </c>
      <c r="I2241" s="25"/>
      <c r="J2241" s="55" t="str">
        <f ca="1">IFERROR(__xludf.DUMMYFUNCTION("""COMPUTED_VALUE"""),"Alta")</f>
        <v>Alta</v>
      </c>
      <c r="K2241" s="25">
        <f ca="1">IFERROR(__xludf.DUMMYFUNCTION("""COMPUTED_VALUE"""),30)</f>
        <v>30</v>
      </c>
      <c r="L2241" s="62">
        <f ca="1">IFERROR(__xludf.DUMMYFUNCTION("""COMPUTED_VALUE"""),44956)</f>
        <v>44956</v>
      </c>
      <c r="M2241" s="25"/>
      <c r="N2241" s="55">
        <f ca="1">IFERROR(__xludf.DUMMYFUNCTION("""COMPUTED_VALUE"""),44927)</f>
        <v>44927</v>
      </c>
      <c r="O2241" s="25" t="str">
        <f t="shared" ca="1" si="0"/>
        <v>Empresa de Acueducto y Alcantarillado de Bogotá</v>
      </c>
      <c r="P2241" s="25" t="str">
        <f t="shared" si="2"/>
        <v/>
      </c>
      <c r="Q2241" s="25" t="str">
        <f ca="1">IFERROR(__xludf.DUMMYFUNCTION("""COMPUTED_VALUE"""),"Corto plazo")</f>
        <v>Corto plazo</v>
      </c>
      <c r="R2241" s="25"/>
      <c r="S2241" s="55"/>
      <c r="T2241" s="56"/>
      <c r="U2241" s="25"/>
      <c r="V2241" s="25"/>
      <c r="W2241" s="25"/>
      <c r="X2241" s="25"/>
      <c r="Y2241" s="25"/>
      <c r="Z2241" s="25"/>
    </row>
    <row r="2242" spans="1:26" ht="52.5" customHeight="1" x14ac:dyDescent="0.25">
      <c r="A2242" s="67" t="str">
        <f ca="1">IFERROR(__xludf.DUMMYFUNCTION("""COMPUTED_VALUE"""),"Hábit140")</f>
        <v>Hábit140</v>
      </c>
      <c r="B2242" s="25" t="str">
        <f ca="1">IFERROR(__xludf.DUMMYFUNCTION("""COMPUTED_VALUE"""),"Junta de infraestructura - valorización")</f>
        <v>Junta de infraestructura - valorización</v>
      </c>
      <c r="C2242" s="55">
        <f ca="1">IFERROR(__xludf.DUMMYFUNCTION("""COMPUTED_VALUE"""),44512)</f>
        <v>44512</v>
      </c>
      <c r="D2242" s="25" t="str">
        <f ca="1">IFERROR(__xludf.DUMMYFUNCTION("""COMPUTED_VALUE"""),"Hábitat")</f>
        <v>Hábitat</v>
      </c>
      <c r="E2242" s="25" t="str">
        <f ca="1">IFERROR(__xludf.DUMMYFUNCTION("""COMPUTED_VALUE"""),"Unidad Administrativa Especial de Servicios Públicos")</f>
        <v>Unidad Administrativa Especial de Servicios Públicos</v>
      </c>
      <c r="F2242" s="25" t="str">
        <f ca="1">IFERROR(__xludf.DUMMYFUNCTION("""COMPUTED_VALUE"""),"Zonas Industriales Estudios y Diseños Grupo 1 UPZ 108 :
Diseño Fotométrico (subgrupos 2 y 3) radicado  2/11/21. UAESP: La entidad indica dará prioridad para responder la semana entrante
")</f>
        <v xml:space="preserve">Zonas Industriales Estudios y Diseños Grupo 1 UPZ 108 :
Diseño Fotométrico (subgrupos 2 y 3) radicado  2/11/21. UAESP: La entidad indica dará prioridad para responder la semana entrante
</v>
      </c>
      <c r="G2242" s="25" t="str">
        <f ca="1">IFERROR(__xludf.DUMMYFUNCTION("""COMPUTED_VALUE"""),"99. Distrito")</f>
        <v>99. Distrito</v>
      </c>
      <c r="H2242" s="55">
        <f ca="1">IFERROR(__xludf.DUMMYFUNCTION("""COMPUTED_VALUE"""),44542)</f>
        <v>44542</v>
      </c>
      <c r="I2242" s="25"/>
      <c r="J2242" s="55" t="str">
        <f ca="1">IFERROR(__xludf.DUMMYFUNCTION("""COMPUTED_VALUE"""),"Alta")</f>
        <v>Alta</v>
      </c>
      <c r="K2242" s="25">
        <f ca="1">IFERROR(__xludf.DUMMYFUNCTION("""COMPUTED_VALUE"""),30)</f>
        <v>30</v>
      </c>
      <c r="L2242" s="62"/>
      <c r="M2242" s="25"/>
      <c r="N2242" s="55">
        <f ca="1">IFERROR(__xludf.DUMMYFUNCTION("""COMPUTED_VALUE"""),44927)</f>
        <v>44927</v>
      </c>
      <c r="O2242" s="25" t="str">
        <f t="shared" ca="1" si="0"/>
        <v>Unidad Administrativa Especial de Servicios Públicos</v>
      </c>
      <c r="P2242" s="25" t="str">
        <f t="shared" si="2"/>
        <v/>
      </c>
      <c r="Q2242" s="25" t="str">
        <f ca="1">IFERROR(__xludf.DUMMYFUNCTION("""COMPUTED_VALUE"""),"Corto plazo")</f>
        <v>Corto plazo</v>
      </c>
      <c r="R2242" s="25"/>
      <c r="S2242" s="55"/>
      <c r="T2242" s="56"/>
      <c r="U2242" s="25"/>
      <c r="V2242" s="25"/>
      <c r="W2242" s="25"/>
      <c r="X2242" s="25"/>
      <c r="Y2242" s="25"/>
      <c r="Z2242" s="25"/>
    </row>
    <row r="2243" spans="1:26" ht="52.5" customHeight="1" x14ac:dyDescent="0.25">
      <c r="A2243" s="67" t="str">
        <f ca="1">IFERROR(__xludf.DUMMYFUNCTION("""COMPUTED_VALUE"""),"Hábit141")</f>
        <v>Hábit141</v>
      </c>
      <c r="B2243" s="25" t="str">
        <f ca="1">IFERROR(__xludf.DUMMYFUNCTION("""COMPUTED_VALUE"""),"Plan de Mantenimiento Vial ")</f>
        <v xml:space="preserve">Plan de Mantenimiento Vial </v>
      </c>
      <c r="C2243" s="55">
        <f ca="1">IFERROR(__xludf.DUMMYFUNCTION("""COMPUTED_VALUE"""),44526)</f>
        <v>44526</v>
      </c>
      <c r="D2243" s="25" t="str">
        <f ca="1">IFERROR(__xludf.DUMMYFUNCTION("""COMPUTED_VALUE"""),"Hábitat")</f>
        <v>Hábitat</v>
      </c>
      <c r="E2243" s="25" t="str">
        <f ca="1">IFERROR(__xludf.DUMMYFUNCTION("""COMPUTED_VALUE"""),"Empresa de Telecomunicaciones de Bogotá")</f>
        <v>Empresa de Telecomunicaciones de Bogotá</v>
      </c>
      <c r="F2243" s="25" t="str">
        <f ca="1">IFERROR(__xludf.DUMMYFUNCTION("""COMPUTED_VALUE"""),"Informar cuantas cajas hay de ETB y asegurar que para los meses de diciembre y enero se realice mantenimiento y adecuación de todas. ")</f>
        <v xml:space="preserve">Informar cuantas cajas hay de ETB y asegurar que para los meses de diciembre y enero se realice mantenimiento y adecuación de todas. </v>
      </c>
      <c r="G2243" s="25" t="str">
        <f ca="1">IFERROR(__xludf.DUMMYFUNCTION("""COMPUTED_VALUE"""),"99. Distrito")</f>
        <v>99. Distrito</v>
      </c>
      <c r="H2243" s="55">
        <f ca="1">IFERROR(__xludf.DUMMYFUNCTION("""COMPUTED_VALUE"""),44556)</f>
        <v>44556</v>
      </c>
      <c r="I2243" s="25"/>
      <c r="J2243" s="55" t="str">
        <f ca="1">IFERROR(__xludf.DUMMYFUNCTION("""COMPUTED_VALUE"""),"Alta")</f>
        <v>Alta</v>
      </c>
      <c r="K2243" s="25">
        <f ca="1">IFERROR(__xludf.DUMMYFUNCTION("""COMPUTED_VALUE"""),30)</f>
        <v>30</v>
      </c>
      <c r="L2243" s="62"/>
      <c r="M2243" s="25"/>
      <c r="N2243" s="55">
        <f ca="1">IFERROR(__xludf.DUMMYFUNCTION("""COMPUTED_VALUE"""),44927)</f>
        <v>44927</v>
      </c>
      <c r="O2243" s="25" t="str">
        <f t="shared" ca="1" si="0"/>
        <v>Empresa de Telecomunicaciones de Bogotá</v>
      </c>
      <c r="P2243" s="25" t="str">
        <f t="shared" si="2"/>
        <v/>
      </c>
      <c r="Q2243" s="25" t="str">
        <f ca="1">IFERROR(__xludf.DUMMYFUNCTION("""COMPUTED_VALUE"""),"Corto plazo")</f>
        <v>Corto plazo</v>
      </c>
      <c r="R2243" s="25"/>
      <c r="S2243" s="55"/>
      <c r="T2243" s="56"/>
      <c r="U2243" s="25"/>
      <c r="V2243" s="25"/>
      <c r="W2243" s="25"/>
      <c r="X2243" s="25"/>
      <c r="Y2243" s="25"/>
      <c r="Z2243" s="25"/>
    </row>
    <row r="2244" spans="1:26" ht="52.5" customHeight="1" x14ac:dyDescent="0.25">
      <c r="A2244" s="67" t="str">
        <f ca="1">IFERROR(__xludf.DUMMYFUNCTION("""COMPUTED_VALUE"""),"Hábit142")</f>
        <v>Hábit142</v>
      </c>
      <c r="B2244" s="25" t="str">
        <f ca="1">IFERROR(__xludf.DUMMYFUNCTION("""COMPUTED_VALUE"""),"Consejo de Gobierno ampliado")</f>
        <v>Consejo de Gobierno ampliado</v>
      </c>
      <c r="C2244" s="55">
        <f ca="1">IFERROR(__xludf.DUMMYFUNCTION("""COMPUTED_VALUE"""),44544)</f>
        <v>44544</v>
      </c>
      <c r="D2244" s="25" t="str">
        <f ca="1">IFERROR(__xludf.DUMMYFUNCTION("""COMPUTED_VALUE"""),"Hábitat")</f>
        <v>Hábitat</v>
      </c>
      <c r="E2244" s="25" t="str">
        <f ca="1">IFERROR(__xludf.DUMMYFUNCTION("""COMPUTED_VALUE"""),"Unidad Administrativa Especial de Servicios Públicos")</f>
        <v>Unidad Administrativa Especial de Servicios Públicos</v>
      </c>
      <c r="F2244" s="25" t="str">
        <f ca="1">IFERROR(__xludf.DUMMYFUNCTION("""COMPUTED_VALUE"""),"Vincular a los recicladores en el cambio de transformación y tecnificación de la basura. Esto debe ir de manera específica en la licitación, donde se pueda construir una alianza comunitaria.")</f>
        <v>Vincular a los recicladores en el cambio de transformación y tecnificación de la basura. Esto debe ir de manera específica en la licitación, donde se pueda construir una alianza comunitaria.</v>
      </c>
      <c r="G2244" s="25" t="str">
        <f ca="1">IFERROR(__xludf.DUMMYFUNCTION("""COMPUTED_VALUE"""),"99. Distrito")</f>
        <v>99. Distrito</v>
      </c>
      <c r="H2244" s="55">
        <f ca="1">IFERROR(__xludf.DUMMYFUNCTION("""COMPUTED_VALUE"""),44574)</f>
        <v>44574</v>
      </c>
      <c r="I2244" s="25"/>
      <c r="J2244" s="55" t="str">
        <f ca="1">IFERROR(__xludf.DUMMYFUNCTION("""COMPUTED_VALUE"""),"Alta")</f>
        <v>Alta</v>
      </c>
      <c r="K2244" s="25">
        <f ca="1">IFERROR(__xludf.DUMMYFUNCTION("""COMPUTED_VALUE"""),30)</f>
        <v>30</v>
      </c>
      <c r="L2244" s="62"/>
      <c r="M2244" s="25"/>
      <c r="N2244" s="55">
        <f ca="1">IFERROR(__xludf.DUMMYFUNCTION("""COMPUTED_VALUE"""),44927)</f>
        <v>44927</v>
      </c>
      <c r="O2244" s="25" t="str">
        <f t="shared" ca="1" si="0"/>
        <v>Unidad Administrativa Especial de Servicios Públicos</v>
      </c>
      <c r="P2244" s="25" t="str">
        <f t="shared" si="2"/>
        <v/>
      </c>
      <c r="Q2244" s="25" t="str">
        <f ca="1">IFERROR(__xludf.DUMMYFUNCTION("""COMPUTED_VALUE"""),"Corto plazo")</f>
        <v>Corto plazo</v>
      </c>
      <c r="R2244" s="25"/>
      <c r="S2244" s="55"/>
      <c r="T2244" s="56"/>
      <c r="U2244" s="25"/>
      <c r="V2244" s="25"/>
      <c r="W2244" s="25"/>
      <c r="X2244" s="25"/>
      <c r="Y2244" s="25"/>
      <c r="Z2244" s="25"/>
    </row>
    <row r="2245" spans="1:26" ht="52.5" customHeight="1" x14ac:dyDescent="0.25">
      <c r="A2245" s="67" t="str">
        <f ca="1">IFERROR(__xludf.DUMMYFUNCTION("""COMPUTED_VALUE"""),"Hábit143")</f>
        <v>Hábit143</v>
      </c>
      <c r="B2245" s="25" t="str">
        <f ca="1">IFERROR(__xludf.DUMMYFUNCTION("""COMPUTED_VALUE"""),"Junta de infraestructura")</f>
        <v>Junta de infraestructura</v>
      </c>
      <c r="C2245" s="55">
        <f ca="1">IFERROR(__xludf.DUMMYFUNCTION("""COMPUTED_VALUE"""),44566)</f>
        <v>44566</v>
      </c>
      <c r="D2245" s="25" t="str">
        <f ca="1">IFERROR(__xludf.DUMMYFUNCTION("""COMPUTED_VALUE"""),"Hábitat")</f>
        <v>Hábitat</v>
      </c>
      <c r="E2245" s="25" t="str">
        <f ca="1">IFERROR(__xludf.DUMMYFUNCTION("""COMPUTED_VALUE"""),"Secretaría Distrital del Hábitat")</f>
        <v>Secretaría Distrital del Hábitat</v>
      </c>
      <c r="F2245" s="25" t="str">
        <f ca="1">IFERROR(__xludf.DUMMYFUNCTION("""COMPUTED_VALUE"""),"Hacer un plan para financiar el tramo 2 del mirador de Illimani que garantice la obra y los reasentamientos del tramo 2 (Bella Flor) del sendero de Illimani")</f>
        <v>Hacer un plan para financiar el tramo 2 del mirador de Illimani que garantice la obra y los reasentamientos del tramo 2 (Bella Flor) del sendero de Illimani</v>
      </c>
      <c r="G2245" s="25" t="str">
        <f ca="1">IFERROR(__xludf.DUMMYFUNCTION("""COMPUTED_VALUE"""),"99. Distrito")</f>
        <v>99. Distrito</v>
      </c>
      <c r="H2245" s="55">
        <f ca="1">IFERROR(__xludf.DUMMYFUNCTION("""COMPUTED_VALUE"""),44596)</f>
        <v>44596</v>
      </c>
      <c r="I2245" s="25"/>
      <c r="J2245" s="55" t="str">
        <f ca="1">IFERROR(__xludf.DUMMYFUNCTION("""COMPUTED_VALUE"""),"Alta")</f>
        <v>Alta</v>
      </c>
      <c r="K2245" s="25">
        <f ca="1">IFERROR(__xludf.DUMMYFUNCTION("""COMPUTED_VALUE"""),30)</f>
        <v>30</v>
      </c>
      <c r="L2245" s="62"/>
      <c r="M2245" s="25"/>
      <c r="N2245" s="55">
        <f ca="1">IFERROR(__xludf.DUMMYFUNCTION("""COMPUTED_VALUE"""),44927)</f>
        <v>44927</v>
      </c>
      <c r="O2245" s="25" t="str">
        <f t="shared" ca="1" si="0"/>
        <v>Secretaría Distrital del Hábitat</v>
      </c>
      <c r="P2245" s="25" t="str">
        <f t="shared" si="2"/>
        <v/>
      </c>
      <c r="Q2245" s="25" t="str">
        <f ca="1">IFERROR(__xludf.DUMMYFUNCTION("""COMPUTED_VALUE"""),"Corto plazo")</f>
        <v>Corto plazo</v>
      </c>
      <c r="R2245" s="25"/>
      <c r="S2245" s="55"/>
      <c r="T2245" s="56"/>
      <c r="U2245" s="25"/>
      <c r="V2245" s="25"/>
      <c r="W2245" s="25"/>
      <c r="X2245" s="25"/>
      <c r="Y2245" s="25"/>
      <c r="Z2245" s="25"/>
    </row>
    <row r="2246" spans="1:26" ht="52.5" customHeight="1" x14ac:dyDescent="0.25">
      <c r="A2246" s="67" t="str">
        <f ca="1">IFERROR(__xludf.DUMMYFUNCTION("""COMPUTED_VALUE"""),"Hábit144")</f>
        <v>Hábit144</v>
      </c>
      <c r="B2246" s="25" t="str">
        <f ca="1">IFERROR(__xludf.DUMMYFUNCTION("""COMPUTED_VALUE"""),"Junta de infraestructura")</f>
        <v>Junta de infraestructura</v>
      </c>
      <c r="C2246" s="55">
        <f ca="1">IFERROR(__xludf.DUMMYFUNCTION("""COMPUTED_VALUE"""),44566)</f>
        <v>44566</v>
      </c>
      <c r="D2246" s="25" t="str">
        <f ca="1">IFERROR(__xludf.DUMMYFUNCTION("""COMPUTED_VALUE"""),"Hábitat")</f>
        <v>Hábitat</v>
      </c>
      <c r="E2246" s="25" t="str">
        <f ca="1">IFERROR(__xludf.DUMMYFUNCTION("""COMPUTED_VALUE"""),"Empresa de Acueducto y Alcantarillado de Bogotá")</f>
        <v>Empresa de Acueducto y Alcantarillado de Bogotá</v>
      </c>
      <c r="F2246" s="25" t="str">
        <f ca="1">IFERROR(__xludf.DUMMYFUNCTION("""COMPUTED_VALUE"""),"Para el TAR de la Primera Línea de 15 de marzo y 15 de abril cierre total entre la Av. Primero de Mayor y la 78L
El 5 de febrero Acueducto debe radicar un nuevo PMT para la Av. Primera de Mayo
")</f>
        <v xml:space="preserve">Para el TAR de la Primera Línea de 15 de marzo y 15 de abril cierre total entre la Av. Primero de Mayor y la 78L
El 5 de febrero Acueducto debe radicar un nuevo PMT para la Av. Primera de Mayo
</v>
      </c>
      <c r="G2246" s="25" t="str">
        <f ca="1">IFERROR(__xludf.DUMMYFUNCTION("""COMPUTED_VALUE"""),"99. Distrito")</f>
        <v>99. Distrito</v>
      </c>
      <c r="H2246" s="55">
        <f ca="1">IFERROR(__xludf.DUMMYFUNCTION("""COMPUTED_VALUE"""),44596)</f>
        <v>44596</v>
      </c>
      <c r="I2246" s="25"/>
      <c r="J2246" s="55" t="str">
        <f ca="1">IFERROR(__xludf.DUMMYFUNCTION("""COMPUTED_VALUE"""),"Alta")</f>
        <v>Alta</v>
      </c>
      <c r="K2246" s="25">
        <f ca="1">IFERROR(__xludf.DUMMYFUNCTION("""COMPUTED_VALUE"""),30)</f>
        <v>30</v>
      </c>
      <c r="L2246" s="62">
        <f ca="1">IFERROR(__xludf.DUMMYFUNCTION("""COMPUTED_VALUE"""),44956)</f>
        <v>44956</v>
      </c>
      <c r="M2246" s="25"/>
      <c r="N2246" s="55">
        <f ca="1">IFERROR(__xludf.DUMMYFUNCTION("""COMPUTED_VALUE"""),44927)</f>
        <v>44927</v>
      </c>
      <c r="O2246" s="25" t="str">
        <f t="shared" ca="1" si="0"/>
        <v>Empresa de Acueducto y Alcantarillado de Bogotá</v>
      </c>
      <c r="P2246" s="25" t="str">
        <f t="shared" si="2"/>
        <v/>
      </c>
      <c r="Q2246" s="25" t="str">
        <f ca="1">IFERROR(__xludf.DUMMYFUNCTION("""COMPUTED_VALUE"""),"Corto plazo")</f>
        <v>Corto plazo</v>
      </c>
      <c r="R2246" s="25"/>
      <c r="S2246" s="55"/>
      <c r="T2246" s="56"/>
      <c r="U2246" s="25"/>
      <c r="V2246" s="25"/>
      <c r="W2246" s="25"/>
      <c r="X2246" s="25"/>
      <c r="Y2246" s="25"/>
      <c r="Z2246" s="25"/>
    </row>
    <row r="2247" spans="1:26" ht="52.5" customHeight="1" x14ac:dyDescent="0.25">
      <c r="A2247" s="67" t="str">
        <f ca="1">IFERROR(__xludf.DUMMYFUNCTION("""COMPUTED_VALUE"""),"Hábit145")</f>
        <v>Hábit145</v>
      </c>
      <c r="B2247" s="25" t="str">
        <f ca="1">IFERROR(__xludf.DUMMYFUNCTION("""COMPUTED_VALUE"""),"Licitación UAESP")</f>
        <v>Licitación UAESP</v>
      </c>
      <c r="C2247" s="55">
        <f ca="1">IFERROR(__xludf.DUMMYFUNCTION("""COMPUTED_VALUE"""),44572)</f>
        <v>44572</v>
      </c>
      <c r="D2247" s="25" t="str">
        <f ca="1">IFERROR(__xludf.DUMMYFUNCTION("""COMPUTED_VALUE"""),"Hábitat")</f>
        <v>Hábitat</v>
      </c>
      <c r="E2247" s="25" t="str">
        <f ca="1">IFERROR(__xludf.DUMMYFUNCTION("""COMPUTED_VALUE"""),"Unidad Administrativa Especial de Servicios Públicos")</f>
        <v>Unidad Administrativa Especial de Servicios Públicos</v>
      </c>
      <c r="F2247" s="25" t="str">
        <f ca="1">IFERROR(__xludf.DUMMYFUNCTION("""COMPUTED_VALUE"""),"Poner claro en el mapa del doña Juana (sin la 6 y sin la 7) cuál es la delimitación de las licencias ambientales de Doña Juana.   Tener 2 delimitaciones: 
Sin predios 6 y 7- Licencias ambientales. 
Con predios 6 y 7- Parque de innovación.
")</f>
        <v xml:space="preserve">Poner claro en el mapa del doña Juana (sin la 6 y sin la 7) cuál es la delimitación de las licencias ambientales de Doña Juana.   Tener 2 delimitaciones: 
Sin predios 6 y 7- Licencias ambientales. 
Con predios 6 y 7- Parque de innovación.
</v>
      </c>
      <c r="G2247" s="25" t="str">
        <f ca="1">IFERROR(__xludf.DUMMYFUNCTION("""COMPUTED_VALUE"""),"99. Distrito")</f>
        <v>99. Distrito</v>
      </c>
      <c r="H2247" s="55">
        <f ca="1">IFERROR(__xludf.DUMMYFUNCTION("""COMPUTED_VALUE"""),44602)</f>
        <v>44602</v>
      </c>
      <c r="I2247" s="25"/>
      <c r="J2247" s="55" t="str">
        <f ca="1">IFERROR(__xludf.DUMMYFUNCTION("""COMPUTED_VALUE"""),"Alta")</f>
        <v>Alta</v>
      </c>
      <c r="K2247" s="25">
        <f ca="1">IFERROR(__xludf.DUMMYFUNCTION("""COMPUTED_VALUE"""),30)</f>
        <v>30</v>
      </c>
      <c r="L2247" s="62"/>
      <c r="M2247" s="25"/>
      <c r="N2247" s="55">
        <f ca="1">IFERROR(__xludf.DUMMYFUNCTION("""COMPUTED_VALUE"""),44927)</f>
        <v>44927</v>
      </c>
      <c r="O2247" s="25" t="str">
        <f t="shared" ca="1" si="0"/>
        <v>Unidad Administrativa Especial de Servicios Públicos</v>
      </c>
      <c r="P2247" s="25" t="str">
        <f t="shared" si="2"/>
        <v/>
      </c>
      <c r="Q2247" s="25" t="str">
        <f ca="1">IFERROR(__xludf.DUMMYFUNCTION("""COMPUTED_VALUE"""),"Corto plazo")</f>
        <v>Corto plazo</v>
      </c>
      <c r="R2247" s="25"/>
      <c r="S2247" s="55"/>
      <c r="T2247" s="56"/>
      <c r="U2247" s="25"/>
      <c r="V2247" s="25"/>
      <c r="W2247" s="25"/>
      <c r="X2247" s="25"/>
      <c r="Y2247" s="25"/>
      <c r="Z2247" s="25"/>
    </row>
    <row r="2248" spans="1:26" ht="52.5" customHeight="1" x14ac:dyDescent="0.25">
      <c r="A2248" s="67" t="str">
        <f ca="1">IFERROR(__xludf.DUMMYFUNCTION("""COMPUTED_VALUE"""),"Hábit146")</f>
        <v>Hábit146</v>
      </c>
      <c r="B2248" s="25" t="str">
        <f ca="1">IFERROR(__xludf.DUMMYFUNCTION("""COMPUTED_VALUE"""),"Licitación UAESP")</f>
        <v>Licitación UAESP</v>
      </c>
      <c r="C2248" s="55">
        <f ca="1">IFERROR(__xludf.DUMMYFUNCTION("""COMPUTED_VALUE"""),44572)</f>
        <v>44572</v>
      </c>
      <c r="D2248" s="25" t="str">
        <f ca="1">IFERROR(__xludf.DUMMYFUNCTION("""COMPUTED_VALUE"""),"Hábitat")</f>
        <v>Hábitat</v>
      </c>
      <c r="E2248" s="25" t="str">
        <f ca="1">IFERROR(__xludf.DUMMYFUNCTION("""COMPUTED_VALUE"""),"Unidad Administrativa Especial de Servicios Públicos")</f>
        <v>Unidad Administrativa Especial de Servicios Públicos</v>
      </c>
      <c r="F2248" s="25" t="str">
        <f ca="1">IFERROR(__xludf.DUMMYFUNCTION("""COMPUTED_VALUE"""),"Agregar a plan concreto de transición energética: 
- ¿Cuál es el plan de la ciudad para iniciar a bajar volumen de residuos y cómo? 
-Las toneladas a producir en la vigencia del POT va a ser XX
")</f>
        <v xml:space="preserve">Agregar a plan concreto de transición energética: 
- ¿Cuál es el plan de la ciudad para iniciar a bajar volumen de residuos y cómo? 
-Las toneladas a producir en la vigencia del POT va a ser XX
</v>
      </c>
      <c r="G2248" s="25" t="str">
        <f ca="1">IFERROR(__xludf.DUMMYFUNCTION("""COMPUTED_VALUE"""),"99. Distrito")</f>
        <v>99. Distrito</v>
      </c>
      <c r="H2248" s="55">
        <f ca="1">IFERROR(__xludf.DUMMYFUNCTION("""COMPUTED_VALUE"""),44602)</f>
        <v>44602</v>
      </c>
      <c r="I2248" s="25"/>
      <c r="J2248" s="55" t="str">
        <f ca="1">IFERROR(__xludf.DUMMYFUNCTION("""COMPUTED_VALUE"""),"Alta")</f>
        <v>Alta</v>
      </c>
      <c r="K2248" s="25">
        <f ca="1">IFERROR(__xludf.DUMMYFUNCTION("""COMPUTED_VALUE"""),30)</f>
        <v>30</v>
      </c>
      <c r="L2248" s="62"/>
      <c r="M2248" s="25"/>
      <c r="N2248" s="55">
        <f ca="1">IFERROR(__xludf.DUMMYFUNCTION("""COMPUTED_VALUE"""),44927)</f>
        <v>44927</v>
      </c>
      <c r="O2248" s="25" t="str">
        <f t="shared" ca="1" si="0"/>
        <v>Unidad Administrativa Especial de Servicios Públicos</v>
      </c>
      <c r="P2248" s="25" t="str">
        <f t="shared" si="2"/>
        <v/>
      </c>
      <c r="Q2248" s="25" t="str">
        <f ca="1">IFERROR(__xludf.DUMMYFUNCTION("""COMPUTED_VALUE"""),"Corto plazo")</f>
        <v>Corto plazo</v>
      </c>
      <c r="R2248" s="25"/>
      <c r="S2248" s="55"/>
      <c r="T2248" s="56"/>
      <c r="U2248" s="25"/>
      <c r="V2248" s="25"/>
      <c r="W2248" s="25"/>
      <c r="X2248" s="25"/>
      <c r="Y2248" s="25"/>
      <c r="Z2248" s="25"/>
    </row>
    <row r="2249" spans="1:26" ht="52.5" customHeight="1" x14ac:dyDescent="0.25">
      <c r="A2249" s="67" t="str">
        <f ca="1">IFERROR(__xludf.DUMMYFUNCTION("""COMPUTED_VALUE"""),"Hábit147")</f>
        <v>Hábit147</v>
      </c>
      <c r="B2249" s="25" t="str">
        <f ca="1">IFERROR(__xludf.DUMMYFUNCTION("""COMPUTED_VALUE"""),"Licitación UAESP")</f>
        <v>Licitación UAESP</v>
      </c>
      <c r="C2249" s="55">
        <f ca="1">IFERROR(__xludf.DUMMYFUNCTION("""COMPUTED_VALUE"""),44572)</f>
        <v>44572</v>
      </c>
      <c r="D2249" s="25" t="str">
        <f ca="1">IFERROR(__xludf.DUMMYFUNCTION("""COMPUTED_VALUE"""),"Hábitat")</f>
        <v>Hábitat</v>
      </c>
      <c r="E2249" s="25" t="str">
        <f ca="1">IFERROR(__xludf.DUMMYFUNCTION("""COMPUTED_VALUE"""),"Unidad Administrativa Especial de Servicios Públicos")</f>
        <v>Unidad Administrativa Especial de Servicios Públicos</v>
      </c>
      <c r="F2249" s="25" t="str">
        <f ca="1">IFERROR(__xludf.DUMMYFUNCTION("""COMPUTED_VALUE"""),"Prohibir enterrar orgánicos explícitamente terminada la concesión de Doña Juana. ")</f>
        <v xml:space="preserve">Prohibir enterrar orgánicos explícitamente terminada la concesión de Doña Juana. </v>
      </c>
      <c r="G2249" s="25" t="str">
        <f ca="1">IFERROR(__xludf.DUMMYFUNCTION("""COMPUTED_VALUE"""),"99. Distrito")</f>
        <v>99. Distrito</v>
      </c>
      <c r="H2249" s="55">
        <f ca="1">IFERROR(__xludf.DUMMYFUNCTION("""COMPUTED_VALUE"""),44602)</f>
        <v>44602</v>
      </c>
      <c r="I2249" s="25"/>
      <c r="J2249" s="55" t="str">
        <f ca="1">IFERROR(__xludf.DUMMYFUNCTION("""COMPUTED_VALUE"""),"Alta")</f>
        <v>Alta</v>
      </c>
      <c r="K2249" s="25">
        <f ca="1">IFERROR(__xludf.DUMMYFUNCTION("""COMPUTED_VALUE"""),30)</f>
        <v>30</v>
      </c>
      <c r="L2249" s="62"/>
      <c r="M2249" s="25"/>
      <c r="N2249" s="55">
        <f ca="1">IFERROR(__xludf.DUMMYFUNCTION("""COMPUTED_VALUE"""),44927)</f>
        <v>44927</v>
      </c>
      <c r="O2249" s="25" t="str">
        <f t="shared" ca="1" si="0"/>
        <v>Unidad Administrativa Especial de Servicios Públicos</v>
      </c>
      <c r="P2249" s="25" t="str">
        <f t="shared" si="2"/>
        <v/>
      </c>
      <c r="Q2249" s="25" t="str">
        <f ca="1">IFERROR(__xludf.DUMMYFUNCTION("""COMPUTED_VALUE"""),"Corto plazo")</f>
        <v>Corto plazo</v>
      </c>
      <c r="R2249" s="25"/>
      <c r="S2249" s="55"/>
      <c r="T2249" s="56"/>
      <c r="U2249" s="25"/>
      <c r="V2249" s="25"/>
      <c r="W2249" s="25"/>
      <c r="X2249" s="25"/>
      <c r="Y2249" s="25"/>
      <c r="Z2249" s="25"/>
    </row>
    <row r="2250" spans="1:26" ht="52.5" customHeight="1" x14ac:dyDescent="0.25">
      <c r="A2250" s="67" t="str">
        <f ca="1">IFERROR(__xludf.DUMMYFUNCTION("""COMPUTED_VALUE"""),"Hábit148")</f>
        <v>Hábit148</v>
      </c>
      <c r="B2250" s="25" t="str">
        <f ca="1">IFERROR(__xludf.DUMMYFUNCTION("""COMPUTED_VALUE"""),"Licitación UAESP")</f>
        <v>Licitación UAESP</v>
      </c>
      <c r="C2250" s="55">
        <f ca="1">IFERROR(__xludf.DUMMYFUNCTION("""COMPUTED_VALUE"""),44572)</f>
        <v>44572</v>
      </c>
      <c r="D2250" s="25" t="str">
        <f ca="1">IFERROR(__xludf.DUMMYFUNCTION("""COMPUTED_VALUE"""),"Hábitat")</f>
        <v>Hábitat</v>
      </c>
      <c r="E2250" s="25" t="str">
        <f ca="1">IFERROR(__xludf.DUMMYFUNCTION("""COMPUTED_VALUE"""),"Unidad Administrativa Especial de Servicios Públicos")</f>
        <v>Unidad Administrativa Especial de Servicios Públicos</v>
      </c>
      <c r="F2250" s="25" t="str">
        <f ca="1">IFERROR(__xludf.DUMMYFUNCTION("""COMPUTED_VALUE"""),"Montar dos opciones de pilotos para zonas de separación de residuos. ")</f>
        <v xml:space="preserve">Montar dos opciones de pilotos para zonas de separación de residuos. </v>
      </c>
      <c r="G2250" s="25" t="str">
        <f ca="1">IFERROR(__xludf.DUMMYFUNCTION("""COMPUTED_VALUE"""),"99. Distrito")</f>
        <v>99. Distrito</v>
      </c>
      <c r="H2250" s="55">
        <f ca="1">IFERROR(__xludf.DUMMYFUNCTION("""COMPUTED_VALUE"""),44602)</f>
        <v>44602</v>
      </c>
      <c r="I2250" s="25"/>
      <c r="J2250" s="55" t="str">
        <f ca="1">IFERROR(__xludf.DUMMYFUNCTION("""COMPUTED_VALUE"""),"Alta")</f>
        <v>Alta</v>
      </c>
      <c r="K2250" s="25">
        <f ca="1">IFERROR(__xludf.DUMMYFUNCTION("""COMPUTED_VALUE"""),30)</f>
        <v>30</v>
      </c>
      <c r="L2250" s="62"/>
      <c r="M2250" s="25"/>
      <c r="N2250" s="55">
        <f ca="1">IFERROR(__xludf.DUMMYFUNCTION("""COMPUTED_VALUE"""),44927)</f>
        <v>44927</v>
      </c>
      <c r="O2250" s="25" t="str">
        <f t="shared" ca="1" si="0"/>
        <v>Unidad Administrativa Especial de Servicios Públicos</v>
      </c>
      <c r="P2250" s="25" t="str">
        <f t="shared" si="2"/>
        <v/>
      </c>
      <c r="Q2250" s="25" t="str">
        <f ca="1">IFERROR(__xludf.DUMMYFUNCTION("""COMPUTED_VALUE"""),"Corto plazo")</f>
        <v>Corto plazo</v>
      </c>
      <c r="R2250" s="25"/>
      <c r="S2250" s="55"/>
      <c r="T2250" s="56"/>
      <c r="U2250" s="25"/>
      <c r="V2250" s="25"/>
      <c r="W2250" s="25"/>
      <c r="X2250" s="25"/>
      <c r="Y2250" s="25"/>
      <c r="Z2250" s="25"/>
    </row>
    <row r="2251" spans="1:26" ht="52.5" customHeight="1" x14ac:dyDescent="0.25">
      <c r="A2251" s="67" t="str">
        <f ca="1">IFERROR(__xludf.DUMMYFUNCTION("""COMPUTED_VALUE"""),"Hábit149")</f>
        <v>Hábit149</v>
      </c>
      <c r="B2251" s="25" t="str">
        <f ca="1">IFERROR(__xludf.DUMMYFUNCTION("""COMPUTED_VALUE"""),"Licitación UAESP")</f>
        <v>Licitación UAESP</v>
      </c>
      <c r="C2251" s="55">
        <f ca="1">IFERROR(__xludf.DUMMYFUNCTION("""COMPUTED_VALUE"""),44572)</f>
        <v>44572</v>
      </c>
      <c r="D2251" s="25" t="str">
        <f ca="1">IFERROR(__xludf.DUMMYFUNCTION("""COMPUTED_VALUE"""),"Hábitat")</f>
        <v>Hábitat</v>
      </c>
      <c r="E2251" s="25" t="str">
        <f ca="1">IFERROR(__xludf.DUMMYFUNCTION("""COMPUTED_VALUE"""),"Unidad Administrativa Especial de Servicios Públicos")</f>
        <v>Unidad Administrativa Especial de Servicios Públicos</v>
      </c>
      <c r="F2251" s="25" t="str">
        <f ca="1">IFERROR(__xludf.DUMMYFUNCTION("""COMPUTED_VALUE"""),"Tener modelo y justificación de cómo se articula el proyecto con el plan de acción climática. POT y metas ambientales 2030- 2050 del distrito antes de abrir licitación. Este paso es requisito para pensar en abrir licitación. 
1.        UAESP: Qué va a sa"&amp;"lir a contratar y por qué? 
2.        SDA: Calcular si el modelo nos lleva al cumplimiento de metas de plan de acción climática. 
")</f>
        <v xml:space="preserve">Tener modelo y justificación de cómo se articula el proyecto con el plan de acción climática. POT y metas ambientales 2030- 2050 del distrito antes de abrir licitación. Este paso es requisito para pensar en abrir licitación. 
1.        UAESP: Qué va a salir a contratar y por qué? 
2.        SDA: Calcular si el modelo nos lleva al cumplimiento de metas de plan de acción climática. 
</v>
      </c>
      <c r="G2251" s="25" t="str">
        <f ca="1">IFERROR(__xludf.DUMMYFUNCTION("""COMPUTED_VALUE"""),"99. Distrito")</f>
        <v>99. Distrito</v>
      </c>
      <c r="H2251" s="55">
        <f ca="1">IFERROR(__xludf.DUMMYFUNCTION("""COMPUTED_VALUE"""),44602)</f>
        <v>44602</v>
      </c>
      <c r="I2251" s="25"/>
      <c r="J2251" s="55" t="str">
        <f ca="1">IFERROR(__xludf.DUMMYFUNCTION("""COMPUTED_VALUE"""),"Alta")</f>
        <v>Alta</v>
      </c>
      <c r="K2251" s="25">
        <f ca="1">IFERROR(__xludf.DUMMYFUNCTION("""COMPUTED_VALUE"""),30)</f>
        <v>30</v>
      </c>
      <c r="L2251" s="62"/>
      <c r="M2251" s="25"/>
      <c r="N2251" s="55">
        <f ca="1">IFERROR(__xludf.DUMMYFUNCTION("""COMPUTED_VALUE"""),44927)</f>
        <v>44927</v>
      </c>
      <c r="O2251" s="25" t="str">
        <f t="shared" ca="1" si="0"/>
        <v>Unidad Administrativa Especial de Servicios Públicos</v>
      </c>
      <c r="P2251" s="25" t="str">
        <f t="shared" si="2"/>
        <v/>
      </c>
      <c r="Q2251" s="25" t="str">
        <f ca="1">IFERROR(__xludf.DUMMYFUNCTION("""COMPUTED_VALUE"""),"Corto plazo")</f>
        <v>Corto plazo</v>
      </c>
      <c r="R2251" s="25"/>
      <c r="S2251" s="55"/>
      <c r="T2251" s="56"/>
      <c r="U2251" s="25"/>
      <c r="V2251" s="25"/>
      <c r="W2251" s="25"/>
      <c r="X2251" s="25"/>
      <c r="Y2251" s="25"/>
      <c r="Z2251" s="25"/>
    </row>
    <row r="2252" spans="1:26" ht="52.5" customHeight="1" x14ac:dyDescent="0.25">
      <c r="A2252" s="67" t="str">
        <f ca="1">IFERROR(__xludf.DUMMYFUNCTION("""COMPUTED_VALUE"""),"Hábit150")</f>
        <v>Hábit150</v>
      </c>
      <c r="B2252" s="25" t="str">
        <f ca="1">IFERROR(__xludf.DUMMYFUNCTION("""COMPUTED_VALUE"""),"Actuación estratégica Ciudadela del Cuidado")</f>
        <v>Actuación estratégica Ciudadela del Cuidado</v>
      </c>
      <c r="C2252" s="55">
        <f ca="1">IFERROR(__xludf.DUMMYFUNCTION("""COMPUTED_VALUE"""),44573)</f>
        <v>44573</v>
      </c>
      <c r="D2252" s="25" t="str">
        <f ca="1">IFERROR(__xludf.DUMMYFUNCTION("""COMPUTED_VALUE"""),"Hábitat")</f>
        <v>Hábitat</v>
      </c>
      <c r="E2252" s="25" t="str">
        <f ca="1">IFERROR(__xludf.DUMMYFUNCTION("""COMPUTED_VALUE"""),"Secretaría Distrital del Hábitat")</f>
        <v>Secretaría Distrital del Hábitat</v>
      </c>
      <c r="F2252" s="25" t="str">
        <f ca="1">IFERROR(__xludf.DUMMYFUNCTION("""COMPUTED_VALUE"""),"Hablar con EMB porque ellos deben comprar los predios que no tenemos entre la Av Ciudad de Cali y la ALO. Revisarlo en reunión del 19 de enero. ")</f>
        <v xml:space="preserve">Hablar con EMB porque ellos deben comprar los predios que no tenemos entre la Av Ciudad de Cali y la ALO. Revisarlo en reunión del 19 de enero. </v>
      </c>
      <c r="G2252" s="25" t="str">
        <f ca="1">IFERROR(__xludf.DUMMYFUNCTION("""COMPUTED_VALUE"""),"99. Distrito")</f>
        <v>99. Distrito</v>
      </c>
      <c r="H2252" s="55">
        <f ca="1">IFERROR(__xludf.DUMMYFUNCTION("""COMPUTED_VALUE"""),44603)</f>
        <v>44603</v>
      </c>
      <c r="I2252" s="25"/>
      <c r="J2252" s="55" t="str">
        <f ca="1">IFERROR(__xludf.DUMMYFUNCTION("""COMPUTED_VALUE"""),"Alta")</f>
        <v>Alta</v>
      </c>
      <c r="K2252" s="25">
        <f ca="1">IFERROR(__xludf.DUMMYFUNCTION("""COMPUTED_VALUE"""),30)</f>
        <v>30</v>
      </c>
      <c r="L2252" s="62"/>
      <c r="M2252" s="25"/>
      <c r="N2252" s="55">
        <f ca="1">IFERROR(__xludf.DUMMYFUNCTION("""COMPUTED_VALUE"""),44927)</f>
        <v>44927</v>
      </c>
      <c r="O2252" s="25" t="str">
        <f t="shared" ca="1" si="0"/>
        <v>Secretaría Distrital del Hábitat</v>
      </c>
      <c r="P2252" s="25" t="str">
        <f t="shared" si="2"/>
        <v/>
      </c>
      <c r="Q2252" s="25" t="str">
        <f ca="1">IFERROR(__xludf.DUMMYFUNCTION("""COMPUTED_VALUE"""),"Corto plazo")</f>
        <v>Corto plazo</v>
      </c>
      <c r="R2252" s="25"/>
      <c r="S2252" s="55"/>
      <c r="T2252" s="56"/>
      <c r="U2252" s="25"/>
      <c r="V2252" s="25"/>
      <c r="W2252" s="25"/>
      <c r="X2252" s="25"/>
      <c r="Y2252" s="25"/>
      <c r="Z2252" s="25"/>
    </row>
    <row r="2253" spans="1:26" ht="52.5" customHeight="1" x14ac:dyDescent="0.25">
      <c r="A2253" s="67" t="str">
        <f ca="1">IFERROR(__xludf.DUMMYFUNCTION("""COMPUTED_VALUE"""),"Hábit151")</f>
        <v>Hábit151</v>
      </c>
      <c r="B2253" s="25" t="str">
        <f ca="1">IFERROR(__xludf.DUMMYFUNCTION("""COMPUTED_VALUE"""),"Actuación estratégica Ciudadela del Cuidado")</f>
        <v>Actuación estratégica Ciudadela del Cuidado</v>
      </c>
      <c r="C2253" s="55">
        <f ca="1">IFERROR(__xludf.DUMMYFUNCTION("""COMPUTED_VALUE"""),44573)</f>
        <v>44573</v>
      </c>
      <c r="D2253" s="25" t="str">
        <f ca="1">IFERROR(__xludf.DUMMYFUNCTION("""COMPUTED_VALUE"""),"Hábitat")</f>
        <v>Hábitat</v>
      </c>
      <c r="E2253" s="25" t="str">
        <f ca="1">IFERROR(__xludf.DUMMYFUNCTION("""COMPUTED_VALUE"""),"Secretaría Distrital del Hábitat")</f>
        <v>Secretaría Distrital del Hábitat</v>
      </c>
      <c r="F2253" s="25" t="str">
        <f ca="1">IFERROR(__xludf.DUMMYFUNCTION("""COMPUTED_VALUE"""),"Revisar la capacidad de la Secretaría de Hábitat de hacer gestión predial y su capacidad expropiatoria en la Actuación Estratégica del Cuidado.")</f>
        <v>Revisar la capacidad de la Secretaría de Hábitat de hacer gestión predial y su capacidad expropiatoria en la Actuación Estratégica del Cuidado.</v>
      </c>
      <c r="G2253" s="25" t="str">
        <f ca="1">IFERROR(__xludf.DUMMYFUNCTION("""COMPUTED_VALUE"""),"99. Distrito")</f>
        <v>99. Distrito</v>
      </c>
      <c r="H2253" s="55">
        <f ca="1">IFERROR(__xludf.DUMMYFUNCTION("""COMPUTED_VALUE"""),44603)</f>
        <v>44603</v>
      </c>
      <c r="I2253" s="25"/>
      <c r="J2253" s="55" t="str">
        <f ca="1">IFERROR(__xludf.DUMMYFUNCTION("""COMPUTED_VALUE"""),"Alta")</f>
        <v>Alta</v>
      </c>
      <c r="K2253" s="25">
        <f ca="1">IFERROR(__xludf.DUMMYFUNCTION("""COMPUTED_VALUE"""),30)</f>
        <v>30</v>
      </c>
      <c r="L2253" s="62"/>
      <c r="M2253" s="25"/>
      <c r="N2253" s="55">
        <f ca="1">IFERROR(__xludf.DUMMYFUNCTION("""COMPUTED_VALUE"""),44927)</f>
        <v>44927</v>
      </c>
      <c r="O2253" s="25" t="str">
        <f t="shared" ca="1" si="0"/>
        <v>Secretaría Distrital del Hábitat</v>
      </c>
      <c r="P2253" s="25" t="str">
        <f t="shared" si="2"/>
        <v/>
      </c>
      <c r="Q2253" s="25" t="str">
        <f ca="1">IFERROR(__xludf.DUMMYFUNCTION("""COMPUTED_VALUE"""),"Corto plazo")</f>
        <v>Corto plazo</v>
      </c>
      <c r="R2253" s="25"/>
      <c r="S2253" s="55"/>
      <c r="T2253" s="56"/>
      <c r="U2253" s="25"/>
      <c r="V2253" s="25"/>
      <c r="W2253" s="25"/>
      <c r="X2253" s="25"/>
      <c r="Y2253" s="25"/>
      <c r="Z2253" s="25"/>
    </row>
    <row r="2254" spans="1:26" ht="52.5" customHeight="1" x14ac:dyDescent="0.25">
      <c r="A2254" s="67" t="str">
        <f ca="1">IFERROR(__xludf.DUMMYFUNCTION("""COMPUTED_VALUE"""),"Hábit152")</f>
        <v>Hábit152</v>
      </c>
      <c r="B2254" s="25" t="str">
        <f ca="1">IFERROR(__xludf.DUMMYFUNCTION("""COMPUTED_VALUE"""),"Actuación estratégica Ciudadela del Cuidado")</f>
        <v>Actuación estratégica Ciudadela del Cuidado</v>
      </c>
      <c r="C2254" s="55">
        <f ca="1">IFERROR(__xludf.DUMMYFUNCTION("""COMPUTED_VALUE"""),44573)</f>
        <v>44573</v>
      </c>
      <c r="D2254" s="25" t="str">
        <f ca="1">IFERROR(__xludf.DUMMYFUNCTION("""COMPUTED_VALUE"""),"Hábitat")</f>
        <v>Hábitat</v>
      </c>
      <c r="E2254" s="25" t="str">
        <f ca="1">IFERROR(__xludf.DUMMYFUNCTION("""COMPUTED_VALUE"""),"Secretaría Distrital del Hábitat")</f>
        <v>Secretaría Distrital del Hábitat</v>
      </c>
      <c r="F2254" s="25" t="str">
        <f ca="1">IFERROR(__xludf.DUMMYFUNCTION("""COMPUTED_VALUE"""),"Hacer un focus group con empresarios de construcción para conocer cómo puede ser el modelo de la actuación estratégica.")</f>
        <v>Hacer un focus group con empresarios de construcción para conocer cómo puede ser el modelo de la actuación estratégica.</v>
      </c>
      <c r="G2254" s="25" t="str">
        <f ca="1">IFERROR(__xludf.DUMMYFUNCTION("""COMPUTED_VALUE"""),"99. Distrito")</f>
        <v>99. Distrito</v>
      </c>
      <c r="H2254" s="55">
        <f ca="1">IFERROR(__xludf.DUMMYFUNCTION("""COMPUTED_VALUE"""),44603)</f>
        <v>44603</v>
      </c>
      <c r="I2254" s="25"/>
      <c r="J2254" s="55" t="str">
        <f ca="1">IFERROR(__xludf.DUMMYFUNCTION("""COMPUTED_VALUE"""),"Alta")</f>
        <v>Alta</v>
      </c>
      <c r="K2254" s="25">
        <f ca="1">IFERROR(__xludf.DUMMYFUNCTION("""COMPUTED_VALUE"""),30)</f>
        <v>30</v>
      </c>
      <c r="L2254" s="62"/>
      <c r="M2254" s="25"/>
      <c r="N2254" s="55">
        <f ca="1">IFERROR(__xludf.DUMMYFUNCTION("""COMPUTED_VALUE"""),44927)</f>
        <v>44927</v>
      </c>
      <c r="O2254" s="25" t="str">
        <f t="shared" ca="1" si="0"/>
        <v>Secretaría Distrital del Hábitat</v>
      </c>
      <c r="P2254" s="25" t="str">
        <f t="shared" si="2"/>
        <v/>
      </c>
      <c r="Q2254" s="25" t="str">
        <f ca="1">IFERROR(__xludf.DUMMYFUNCTION("""COMPUTED_VALUE"""),"Corto plazo")</f>
        <v>Corto plazo</v>
      </c>
      <c r="R2254" s="25"/>
      <c r="S2254" s="55"/>
      <c r="T2254" s="56"/>
      <c r="U2254" s="25"/>
      <c r="V2254" s="25"/>
      <c r="W2254" s="25"/>
      <c r="X2254" s="25"/>
      <c r="Y2254" s="25"/>
      <c r="Z2254" s="25"/>
    </row>
    <row r="2255" spans="1:26" ht="52.5" customHeight="1" x14ac:dyDescent="0.25">
      <c r="A2255" s="67" t="str">
        <f ca="1">IFERROR(__xludf.DUMMYFUNCTION("""COMPUTED_VALUE"""),"Hábit153")</f>
        <v>Hábit153</v>
      </c>
      <c r="B2255" s="25" t="str">
        <f ca="1">IFERROR(__xludf.DUMMYFUNCTION("""COMPUTED_VALUE"""),"Actuación estratégica Ciudadela del Cuidado")</f>
        <v>Actuación estratégica Ciudadela del Cuidado</v>
      </c>
      <c r="C2255" s="55">
        <f ca="1">IFERROR(__xludf.DUMMYFUNCTION("""COMPUTED_VALUE"""),44573)</f>
        <v>44573</v>
      </c>
      <c r="D2255" s="25" t="str">
        <f ca="1">IFERROR(__xludf.DUMMYFUNCTION("""COMPUTED_VALUE"""),"Hábitat")</f>
        <v>Hábitat</v>
      </c>
      <c r="E2255" s="25" t="str">
        <f ca="1">IFERROR(__xludf.DUMMYFUNCTION("""COMPUTED_VALUE"""),"Secretaría Distrital del Hábitat")</f>
        <v>Secretaría Distrital del Hábitat</v>
      </c>
      <c r="F2255" s="25" t="str">
        <f ca="1">IFERROR(__xludf.DUMMYFUNCTION("""COMPUTED_VALUE"""),"Hacer una reunión entre gestores: ERU, SDP, SDHT, EMB para hacer la distribución de intervenciones estratégicas. ")</f>
        <v xml:space="preserve">Hacer una reunión entre gestores: ERU, SDP, SDHT, EMB para hacer la distribución de intervenciones estratégicas. </v>
      </c>
      <c r="G2255" s="25" t="str">
        <f ca="1">IFERROR(__xludf.DUMMYFUNCTION("""COMPUTED_VALUE"""),"99. Distrito")</f>
        <v>99. Distrito</v>
      </c>
      <c r="H2255" s="55">
        <f ca="1">IFERROR(__xludf.DUMMYFUNCTION("""COMPUTED_VALUE"""),44603)</f>
        <v>44603</v>
      </c>
      <c r="I2255" s="25"/>
      <c r="J2255" s="55" t="str">
        <f ca="1">IFERROR(__xludf.DUMMYFUNCTION("""COMPUTED_VALUE"""),"Alta")</f>
        <v>Alta</v>
      </c>
      <c r="K2255" s="25">
        <f ca="1">IFERROR(__xludf.DUMMYFUNCTION("""COMPUTED_VALUE"""),30)</f>
        <v>30</v>
      </c>
      <c r="L2255" s="62"/>
      <c r="M2255" s="25"/>
      <c r="N2255" s="55">
        <f ca="1">IFERROR(__xludf.DUMMYFUNCTION("""COMPUTED_VALUE"""),44927)</f>
        <v>44927</v>
      </c>
      <c r="O2255" s="25" t="str">
        <f t="shared" ca="1" si="0"/>
        <v>Secretaría Distrital del Hábitat</v>
      </c>
      <c r="P2255" s="25" t="str">
        <f t="shared" si="2"/>
        <v/>
      </c>
      <c r="Q2255" s="25" t="str">
        <f ca="1">IFERROR(__xludf.DUMMYFUNCTION("""COMPUTED_VALUE"""),"Corto plazo")</f>
        <v>Corto plazo</v>
      </c>
      <c r="R2255" s="25"/>
      <c r="S2255" s="55"/>
      <c r="T2255" s="56"/>
      <c r="U2255" s="25"/>
      <c r="V2255" s="25"/>
      <c r="W2255" s="25"/>
      <c r="X2255" s="25"/>
      <c r="Y2255" s="25"/>
      <c r="Z2255" s="25"/>
    </row>
    <row r="2256" spans="1:26" ht="52.5" customHeight="1" x14ac:dyDescent="0.25">
      <c r="A2256" s="67" t="str">
        <f ca="1">IFERROR(__xludf.DUMMYFUNCTION("""COMPUTED_VALUE"""),"Hábit154")</f>
        <v>Hábit154</v>
      </c>
      <c r="B2256" s="25" t="str">
        <f ca="1">IFERROR(__xludf.DUMMYFUNCTION("""COMPUTED_VALUE"""),"Actuación estratégica Ciudadela del Cuidado")</f>
        <v>Actuación estratégica Ciudadela del Cuidado</v>
      </c>
      <c r="C2256" s="55">
        <f ca="1">IFERROR(__xludf.DUMMYFUNCTION("""COMPUTED_VALUE"""),44573)</f>
        <v>44573</v>
      </c>
      <c r="D2256" s="25" t="str">
        <f ca="1">IFERROR(__xludf.DUMMYFUNCTION("""COMPUTED_VALUE"""),"Hábitat")</f>
        <v>Hábitat</v>
      </c>
      <c r="E2256" s="25" t="str">
        <f ca="1">IFERROR(__xludf.DUMMYFUNCTION("""COMPUTED_VALUE"""),"Secretaría Distrital del Hábitat")</f>
        <v>Secretaría Distrital del Hábitat</v>
      </c>
      <c r="F2256" s="25" t="str">
        <f ca="1">IFERROR(__xludf.DUMMYFUNCTION("""COMPUTED_VALUE"""),"Enviar un brief y documentos ajustados sobre Actuación estratégica Ciudadela del Cuidado, según lo acordado en la reunión a la alcaldesa. ")</f>
        <v xml:space="preserve">Enviar un brief y documentos ajustados sobre Actuación estratégica Ciudadela del Cuidado, según lo acordado en la reunión a la alcaldesa. </v>
      </c>
      <c r="G2256" s="25" t="str">
        <f ca="1">IFERROR(__xludf.DUMMYFUNCTION("""COMPUTED_VALUE"""),"99. Distrito")</f>
        <v>99. Distrito</v>
      </c>
      <c r="H2256" s="55">
        <f ca="1">IFERROR(__xludf.DUMMYFUNCTION("""COMPUTED_VALUE"""),44603)</f>
        <v>44603</v>
      </c>
      <c r="I2256" s="25"/>
      <c r="J2256" s="55" t="str">
        <f ca="1">IFERROR(__xludf.DUMMYFUNCTION("""COMPUTED_VALUE"""),"Alta")</f>
        <v>Alta</v>
      </c>
      <c r="K2256" s="25">
        <f ca="1">IFERROR(__xludf.DUMMYFUNCTION("""COMPUTED_VALUE"""),30)</f>
        <v>30</v>
      </c>
      <c r="L2256" s="62"/>
      <c r="M2256" s="25"/>
      <c r="N2256" s="55">
        <f ca="1">IFERROR(__xludf.DUMMYFUNCTION("""COMPUTED_VALUE"""),44927)</f>
        <v>44927</v>
      </c>
      <c r="O2256" s="25" t="str">
        <f t="shared" ca="1" si="0"/>
        <v>Secretaría Distrital del Hábitat</v>
      </c>
      <c r="P2256" s="25" t="str">
        <f t="shared" si="2"/>
        <v/>
      </c>
      <c r="Q2256" s="25" t="str">
        <f ca="1">IFERROR(__xludf.DUMMYFUNCTION("""COMPUTED_VALUE"""),"Corto plazo")</f>
        <v>Corto plazo</v>
      </c>
      <c r="R2256" s="25"/>
      <c r="S2256" s="55"/>
      <c r="T2256" s="56"/>
      <c r="U2256" s="25"/>
      <c r="V2256" s="25"/>
      <c r="W2256" s="25"/>
      <c r="X2256" s="25"/>
      <c r="Y2256" s="25"/>
      <c r="Z2256" s="25"/>
    </row>
    <row r="2257" spans="1:26" ht="52.5" customHeight="1" x14ac:dyDescent="0.25">
      <c r="A2257" s="67" t="str">
        <f ca="1">IFERROR(__xludf.DUMMYFUNCTION("""COMPUTED_VALUE"""),"Hábit155")</f>
        <v>Hábit155</v>
      </c>
      <c r="B2257" s="25" t="str">
        <f ca="1">IFERROR(__xludf.DUMMYFUNCTION("""COMPUTED_VALUE"""),"Reunión embajadora de Francia")</f>
        <v>Reunión embajadora de Francia</v>
      </c>
      <c r="C2257" s="55">
        <f ca="1">IFERROR(__xludf.DUMMYFUNCTION("""COMPUTED_VALUE"""),44410)</f>
        <v>44410</v>
      </c>
      <c r="D2257" s="25" t="str">
        <f ca="1">IFERROR(__xludf.DUMMYFUNCTION("""COMPUTED_VALUE"""),"Hábitat")</f>
        <v>Hábitat</v>
      </c>
      <c r="E2257" s="25" t="str">
        <f ca="1">IFERROR(__xludf.DUMMYFUNCTION("""COMPUTED_VALUE"""),"Secretaría Distrital del Hábitat")</f>
        <v>Secretaría Distrital del Hábitat</v>
      </c>
      <c r="F2257" s="25" t="str">
        <f ca="1">IFERROR(__xludf.DUMMYFUNCTION("""COMPUTED_VALUE"""),"Sec. de Habitat - Radicar una propuesta sobre eco barrios y cuál zona se quiere postular. La zona debe ser un proyecto comunitario 
")</f>
        <v xml:space="preserve">Sec. de Habitat - Radicar una propuesta sobre eco barrios y cuál zona se quiere postular. La zona debe ser un proyecto comunitario 
</v>
      </c>
      <c r="G2257" s="25" t="str">
        <f ca="1">IFERROR(__xludf.DUMMYFUNCTION("""COMPUTED_VALUE"""),"99. Distrito")</f>
        <v>99. Distrito</v>
      </c>
      <c r="H2257" s="55">
        <f ca="1">IFERROR(__xludf.DUMMYFUNCTION("""COMPUTED_VALUE"""),44440)</f>
        <v>44440</v>
      </c>
      <c r="I2257" s="25"/>
      <c r="J2257" s="55" t="str">
        <f ca="1">IFERROR(__xludf.DUMMYFUNCTION("""COMPUTED_VALUE"""),"Alta")</f>
        <v>Alta</v>
      </c>
      <c r="K2257" s="25">
        <f ca="1">IFERROR(__xludf.DUMMYFUNCTION("""COMPUTED_VALUE"""),30)</f>
        <v>30</v>
      </c>
      <c r="L2257" s="62"/>
      <c r="M2257" s="25"/>
      <c r="N2257" s="55">
        <f ca="1">IFERROR(__xludf.DUMMYFUNCTION("""COMPUTED_VALUE"""),44927)</f>
        <v>44927</v>
      </c>
      <c r="O2257" s="25" t="str">
        <f t="shared" ca="1" si="0"/>
        <v>Secretaría Distrital del Hábitat</v>
      </c>
      <c r="P2257" s="25" t="str">
        <f t="shared" si="2"/>
        <v/>
      </c>
      <c r="Q2257" s="25" t="str">
        <f ca="1">IFERROR(__xludf.DUMMYFUNCTION("""COMPUTED_VALUE"""),"Corto plazo")</f>
        <v>Corto plazo</v>
      </c>
      <c r="R2257" s="25"/>
      <c r="S2257" s="55"/>
      <c r="T2257" s="56"/>
      <c r="U2257" s="25"/>
      <c r="V2257" s="25"/>
      <c r="W2257" s="25"/>
      <c r="X2257" s="25"/>
      <c r="Y2257" s="25"/>
      <c r="Z2257" s="25"/>
    </row>
    <row r="2258" spans="1:26" ht="52.5" customHeight="1" x14ac:dyDescent="0.25">
      <c r="A2258" s="67" t="str">
        <f ca="1">IFERROR(__xludf.DUMMYFUNCTION("""COMPUTED_VALUE"""),"Hábit156")</f>
        <v>Hábit156</v>
      </c>
      <c r="B2258" s="25" t="str">
        <f ca="1">IFERROR(__xludf.DUMMYFUNCTION("""COMPUTED_VALUE"""),"Reunión Cable Reencuentro - Monserrate")</f>
        <v>Reunión Cable Reencuentro - Monserrate</v>
      </c>
      <c r="C2258" s="55">
        <f ca="1">IFERROR(__xludf.DUMMYFUNCTION("""COMPUTED_VALUE"""),44580)</f>
        <v>44580</v>
      </c>
      <c r="D2258" s="25" t="str">
        <f ca="1">IFERROR(__xludf.DUMMYFUNCTION("""COMPUTED_VALUE"""),"Hábitat")</f>
        <v>Hábitat</v>
      </c>
      <c r="E2258" s="25" t="str">
        <f ca="1">IFERROR(__xludf.DUMMYFUNCTION("""COMPUTED_VALUE"""),"Secretaría Distrital del Hábitat")</f>
        <v>Secretaría Distrital del Hábitat</v>
      </c>
      <c r="F2258" s="25" t="str">
        <f ca="1">IFERROR(__xludf.DUMMYFUNCTION("""COMPUTED_VALUE"""),"Iniciar la formulación de los proyectos complementarios en el área de influencia del tramo sur del cable")</f>
        <v>Iniciar la formulación de los proyectos complementarios en el área de influencia del tramo sur del cable</v>
      </c>
      <c r="G2258" s="25" t="str">
        <f ca="1">IFERROR(__xludf.DUMMYFUNCTION("""COMPUTED_VALUE"""),"99. Distrito")</f>
        <v>99. Distrito</v>
      </c>
      <c r="H2258" s="55">
        <f ca="1">IFERROR(__xludf.DUMMYFUNCTION("""COMPUTED_VALUE"""),44610)</f>
        <v>44610</v>
      </c>
      <c r="I2258" s="25"/>
      <c r="J2258" s="55" t="str">
        <f ca="1">IFERROR(__xludf.DUMMYFUNCTION("""COMPUTED_VALUE"""),"Alta")</f>
        <v>Alta</v>
      </c>
      <c r="K2258" s="25">
        <f ca="1">IFERROR(__xludf.DUMMYFUNCTION("""COMPUTED_VALUE"""),30)</f>
        <v>30</v>
      </c>
      <c r="L2258" s="62"/>
      <c r="M2258" s="25"/>
      <c r="N2258" s="55">
        <f ca="1">IFERROR(__xludf.DUMMYFUNCTION("""COMPUTED_VALUE"""),44927)</f>
        <v>44927</v>
      </c>
      <c r="O2258" s="25" t="str">
        <f t="shared" ca="1" si="0"/>
        <v>Secretaría Distrital del Hábitat</v>
      </c>
      <c r="P2258" s="25" t="str">
        <f t="shared" si="2"/>
        <v/>
      </c>
      <c r="Q2258" s="25" t="str">
        <f ca="1">IFERROR(__xludf.DUMMYFUNCTION("""COMPUTED_VALUE"""),"Corto plazo")</f>
        <v>Corto plazo</v>
      </c>
      <c r="R2258" s="25"/>
      <c r="S2258" s="55"/>
      <c r="T2258" s="56"/>
      <c r="U2258" s="25"/>
      <c r="V2258" s="25"/>
      <c r="W2258" s="25"/>
      <c r="X2258" s="25"/>
      <c r="Y2258" s="25"/>
      <c r="Z2258" s="25"/>
    </row>
    <row r="2259" spans="1:26" ht="52.5" customHeight="1" x14ac:dyDescent="0.25">
      <c r="A2259" s="67" t="str">
        <f ca="1">IFERROR(__xludf.DUMMYFUNCTION("""COMPUTED_VALUE"""),"Hábit157")</f>
        <v>Hábit157</v>
      </c>
      <c r="B2259" s="25" t="str">
        <f ca="1">IFERROR(__xludf.DUMMYFUNCTION("""COMPUTED_VALUE"""),"Revisión de obras 16 de julio")</f>
        <v>Revisión de obras 16 de julio</v>
      </c>
      <c r="C2259" s="55">
        <f ca="1">IFERROR(__xludf.DUMMYFUNCTION("""COMPUTED_VALUE"""),44393)</f>
        <v>44393</v>
      </c>
      <c r="D2259" s="25" t="str">
        <f ca="1">IFERROR(__xludf.DUMMYFUNCTION("""COMPUTED_VALUE"""),"Hábitat")</f>
        <v>Hábitat</v>
      </c>
      <c r="E2259" s="25" t="str">
        <f ca="1">IFERROR(__xludf.DUMMYFUNCTION("""COMPUTED_VALUE"""),"Empresa de Acueducto y Alcantarillado de Bogotá")</f>
        <v>Empresa de Acueducto y Alcantarillado de Bogotá</v>
      </c>
      <c r="F2259" s="25" t="str">
        <f ca="1">IFERROR(__xludf.DUMMYFUNCTION("""COMPUTED_VALUE"""),"El Acueducto debe entregar los permisos al IDU antes de iniciar las obras. Llevar este tema a la próxima junta de infraestructura")</f>
        <v>El Acueducto debe entregar los permisos al IDU antes de iniciar las obras. Llevar este tema a la próxima junta de infraestructura</v>
      </c>
      <c r="G2259" s="25" t="str">
        <f ca="1">IFERROR(__xludf.DUMMYFUNCTION("""COMPUTED_VALUE"""),"99. Distrito")</f>
        <v>99. Distrito</v>
      </c>
      <c r="H2259" s="55">
        <f ca="1">IFERROR(__xludf.DUMMYFUNCTION("""COMPUTED_VALUE"""),44423)</f>
        <v>44423</v>
      </c>
      <c r="I2259" s="25"/>
      <c r="J2259" s="55" t="str">
        <f ca="1">IFERROR(__xludf.DUMMYFUNCTION("""COMPUTED_VALUE"""),"Alta")</f>
        <v>Alta</v>
      </c>
      <c r="K2259" s="25">
        <f ca="1">IFERROR(__xludf.DUMMYFUNCTION("""COMPUTED_VALUE"""),30)</f>
        <v>30</v>
      </c>
      <c r="L2259" s="62">
        <f ca="1">IFERROR(__xludf.DUMMYFUNCTION("""COMPUTED_VALUE"""),44956)</f>
        <v>44956</v>
      </c>
      <c r="M2259" s="25"/>
      <c r="N2259" s="55">
        <f ca="1">IFERROR(__xludf.DUMMYFUNCTION("""COMPUTED_VALUE"""),44927)</f>
        <v>44927</v>
      </c>
      <c r="O2259" s="25" t="str">
        <f t="shared" ca="1" si="0"/>
        <v>Empresa de Acueducto y Alcantarillado de Bogotá</v>
      </c>
      <c r="P2259" s="25" t="str">
        <f t="shared" si="2"/>
        <v/>
      </c>
      <c r="Q2259" s="25" t="str">
        <f ca="1">IFERROR(__xludf.DUMMYFUNCTION("""COMPUTED_VALUE"""),"Corto plazo")</f>
        <v>Corto plazo</v>
      </c>
      <c r="R2259" s="25"/>
      <c r="S2259" s="55"/>
      <c r="T2259" s="56"/>
      <c r="U2259" s="25"/>
      <c r="V2259" s="25"/>
      <c r="W2259" s="25"/>
      <c r="X2259" s="25"/>
      <c r="Y2259" s="25"/>
      <c r="Z2259" s="25"/>
    </row>
    <row r="2260" spans="1:26" ht="52.5" customHeight="1" x14ac:dyDescent="0.25">
      <c r="A2260" s="67" t="str">
        <f ca="1">IFERROR(__xludf.DUMMYFUNCTION("""COMPUTED_VALUE"""),"Hábit158")</f>
        <v>Hábit158</v>
      </c>
      <c r="B2260" s="25" t="str">
        <f ca="1">IFERROR(__xludf.DUMMYFUNCTION("""COMPUTED_VALUE"""),"Recorrido Kennedy")</f>
        <v>Recorrido Kennedy</v>
      </c>
      <c r="C2260" s="55">
        <f ca="1">IFERROR(__xludf.DUMMYFUNCTION("""COMPUTED_VALUE"""),44581)</f>
        <v>44581</v>
      </c>
      <c r="D2260" s="25" t="str">
        <f ca="1">IFERROR(__xludf.DUMMYFUNCTION("""COMPUTED_VALUE"""),"Hábitat")</f>
        <v>Hábitat</v>
      </c>
      <c r="E2260" s="25" t="str">
        <f ca="1">IFERROR(__xludf.DUMMYFUNCTION("""COMPUTED_VALUE"""),"Unidad Administrativa Especial de Servicios Públicos")</f>
        <v>Unidad Administrativa Especial de Servicios Públicos</v>
      </c>
      <c r="F2260" s="25" t="str">
        <f ca="1">IFERROR(__xludf.DUMMYFUNCTION("""COMPUTED_VALUE"""),"Instalar unas expansiones de luz alrededor del parque Villa Alsacia ( Cl. 11a Bis #72 A - 53). La obra se realizará en el mes de febrero del 2022")</f>
        <v>Instalar unas expansiones de luz alrededor del parque Villa Alsacia ( Cl. 11a Bis #72 A - 53). La obra se realizará en el mes de febrero del 2022</v>
      </c>
      <c r="G2260" s="55" t="str">
        <f ca="1">IFERROR(__xludf.DUMMYFUNCTION("""COMPUTED_VALUE"""),"08. Kennedy")</f>
        <v>08. Kennedy</v>
      </c>
      <c r="H2260" s="55">
        <f ca="1">IFERROR(__xludf.DUMMYFUNCTION("""COMPUTED_VALUE"""),44611)</f>
        <v>44611</v>
      </c>
      <c r="I2260" s="25"/>
      <c r="J2260" s="55" t="str">
        <f ca="1">IFERROR(__xludf.DUMMYFUNCTION("""COMPUTED_VALUE"""),"Alta")</f>
        <v>Alta</v>
      </c>
      <c r="K2260" s="25">
        <f ca="1">IFERROR(__xludf.DUMMYFUNCTION("""COMPUTED_VALUE"""),30)</f>
        <v>30</v>
      </c>
      <c r="L2260" s="62">
        <f ca="1">IFERROR(__xludf.DUMMYFUNCTION("""COMPUTED_VALUE"""),45061)</f>
        <v>45061</v>
      </c>
      <c r="M2260" s="66" t="str">
        <f ca="1">IFERROR(__xludf.DUMMYFUNCTION("""COMPUTED_VALUE"""),"se realizó la instalación de 11 luminarias y 11 postes alrededor de la cancha sintética del parque Villa Alsacia durante el mes de febrero de 2022 y fue entregado a la comunidad el 1 de marzo de 2022. (se adjunta video).Link de evidencias https://drive.go"&amp;"ogle.com/drive/folders/19kvWOCUzrVvUPRphvdGOcIPRToPm4XoR?usp=share_link")</f>
        <v>se realizó la instalación de 11 luminarias y 11 postes alrededor de la cancha sintética del parque Villa Alsacia durante el mes de febrero de 2022 y fue entregado a la comunidad el 1 de marzo de 2022. (se adjunta video).Link de evidencias https://drive.google.com/drive/folders/19kvWOCUzrVvUPRphvdGOcIPRToPm4XoR?usp=share_link</v>
      </c>
      <c r="N2260" s="25">
        <f ca="1">IFERROR(__xludf.DUMMYFUNCTION("""COMPUTED_VALUE"""),44593)</f>
        <v>44593</v>
      </c>
      <c r="O2260" s="25" t="str">
        <f t="shared" ca="1" si="0"/>
        <v>Unidad Administrativa Especial de Servicios Públicos</v>
      </c>
      <c r="P2260" s="25" t="str">
        <f t="shared" si="2"/>
        <v/>
      </c>
      <c r="Q2260" s="25" t="str">
        <f ca="1">IFERROR(__xludf.DUMMYFUNCTION("""COMPUTED_VALUE"""),"Corto plazo")</f>
        <v>Corto plazo</v>
      </c>
      <c r="R2260" s="25"/>
      <c r="S2260" s="55"/>
      <c r="T2260" s="56"/>
      <c r="U2260" s="25"/>
      <c r="V2260" s="25"/>
      <c r="W2260" s="25"/>
      <c r="X2260" s="25"/>
      <c r="Y2260" s="25"/>
      <c r="Z2260" s="25"/>
    </row>
    <row r="2261" spans="1:26" ht="52.5" customHeight="1" x14ac:dyDescent="0.25">
      <c r="A2261" s="67" t="str">
        <f ca="1">IFERROR(__xludf.DUMMYFUNCTION("""COMPUTED_VALUE"""),"Hábit159")</f>
        <v>Hábit159</v>
      </c>
      <c r="B2261" s="25" t="str">
        <f ca="1">IFERROR(__xludf.DUMMYFUNCTION("""COMPUTED_VALUE"""),"Reunión CAF ")</f>
        <v xml:space="preserve">Reunión CAF </v>
      </c>
      <c r="C2261" s="55">
        <f ca="1">IFERROR(__xludf.DUMMYFUNCTION("""COMPUTED_VALUE"""),44582)</f>
        <v>44582</v>
      </c>
      <c r="D2261" s="25" t="str">
        <f ca="1">IFERROR(__xludf.DUMMYFUNCTION("""COMPUTED_VALUE"""),"Hábitat")</f>
        <v>Hábitat</v>
      </c>
      <c r="E2261" s="25" t="str">
        <f ca="1">IFERROR(__xludf.DUMMYFUNCTION("""COMPUTED_VALUE"""),"Empresa de Renovación y Desarrollo Urbano")</f>
        <v>Empresa de Renovación y Desarrollo Urbano</v>
      </c>
      <c r="F2261" s="25" t="str">
        <f ca="1">IFERROR(__xludf.DUMMYFUNCTION("""COMPUTED_VALUE"""),"Oficina de la CAF en el centro histórico. Reunión con Juan Guillermo Jiménez (ERU) para ver las diferentes alternativas en el centro histórico para un espacio de oficina tipo cowork. ")</f>
        <v xml:space="preserve">Oficina de la CAF en el centro histórico. Reunión con Juan Guillermo Jiménez (ERU) para ver las diferentes alternativas en el centro histórico para un espacio de oficina tipo cowork. </v>
      </c>
      <c r="G2261" s="25" t="str">
        <f ca="1">IFERROR(__xludf.DUMMYFUNCTION("""COMPUTED_VALUE"""),"99. Distrito")</f>
        <v>99. Distrito</v>
      </c>
      <c r="H2261" s="55">
        <f ca="1">IFERROR(__xludf.DUMMYFUNCTION("""COMPUTED_VALUE"""),44612)</f>
        <v>44612</v>
      </c>
      <c r="I2261" s="25"/>
      <c r="J2261" s="55" t="str">
        <f ca="1">IFERROR(__xludf.DUMMYFUNCTION("""COMPUTED_VALUE"""),"Alta")</f>
        <v>Alta</v>
      </c>
      <c r="K2261" s="25">
        <f ca="1">IFERROR(__xludf.DUMMYFUNCTION("""COMPUTED_VALUE"""),30)</f>
        <v>30</v>
      </c>
      <c r="L2261" s="62"/>
      <c r="M2261" s="25"/>
      <c r="N2261" s="55">
        <f ca="1">IFERROR(__xludf.DUMMYFUNCTION("""COMPUTED_VALUE"""),44927)</f>
        <v>44927</v>
      </c>
      <c r="O2261" s="25" t="str">
        <f t="shared" ca="1" si="0"/>
        <v>Empresa de Renovación y Desarrollo Urbano</v>
      </c>
      <c r="P2261" s="25" t="str">
        <f t="shared" si="2"/>
        <v/>
      </c>
      <c r="Q2261" s="25" t="str">
        <f ca="1">IFERROR(__xludf.DUMMYFUNCTION("""COMPUTED_VALUE"""),"Corto plazo")</f>
        <v>Corto plazo</v>
      </c>
      <c r="R2261" s="25"/>
      <c r="S2261" s="55"/>
      <c r="T2261" s="56"/>
      <c r="U2261" s="25"/>
      <c r="V2261" s="25"/>
      <c r="W2261" s="25"/>
      <c r="X2261" s="25"/>
      <c r="Y2261" s="25"/>
      <c r="Z2261" s="25"/>
    </row>
    <row r="2262" spans="1:26" ht="52.5" customHeight="1" x14ac:dyDescent="0.25">
      <c r="A2262" s="67" t="str">
        <f ca="1">IFERROR(__xludf.DUMMYFUNCTION("""COMPUTED_VALUE"""),"Hábit160")</f>
        <v>Hábit160</v>
      </c>
      <c r="B2262" s="25" t="str">
        <f ca="1">IFERROR(__xludf.DUMMYFUNCTION("""COMPUTED_VALUE"""),"Obras IDU - Acueducto")</f>
        <v>Obras IDU - Acueducto</v>
      </c>
      <c r="C2262" s="55">
        <f ca="1">IFERROR(__xludf.DUMMYFUNCTION("""COMPUTED_VALUE"""),44425)</f>
        <v>44425</v>
      </c>
      <c r="D2262" s="25" t="str">
        <f ca="1">IFERROR(__xludf.DUMMYFUNCTION("""COMPUTED_VALUE"""),"Hábitat")</f>
        <v>Hábitat</v>
      </c>
      <c r="E2262" s="25" t="str">
        <f ca="1">IFERROR(__xludf.DUMMYFUNCTION("""COMPUTED_VALUE"""),"Empresa de Acueducto y Alcantarillado de Bogotá")</f>
        <v>Empresa de Acueducto y Alcantarillado de Bogotá</v>
      </c>
      <c r="F2262" s="25" t="str">
        <f ca="1">IFERROR(__xludf.DUMMYFUNCTION("""COMPUTED_VALUE"""),"Hacer un equipo que se dedique a tener el catastro de redes actualizado, que esté a cargo las gerencias operativas de las zonas y deben entregar un informe trimestral.")</f>
        <v>Hacer un equipo que se dedique a tener el catastro de redes actualizado, que esté a cargo las gerencias operativas de las zonas y deben entregar un informe trimestral.</v>
      </c>
      <c r="G2262" s="25" t="str">
        <f ca="1">IFERROR(__xludf.DUMMYFUNCTION("""COMPUTED_VALUE"""),"99. Distrito")</f>
        <v>99. Distrito</v>
      </c>
      <c r="H2262" s="55">
        <f ca="1">IFERROR(__xludf.DUMMYFUNCTION("""COMPUTED_VALUE"""),44455)</f>
        <v>44455</v>
      </c>
      <c r="I2262" s="25"/>
      <c r="J2262" s="55" t="str">
        <f ca="1">IFERROR(__xludf.DUMMYFUNCTION("""COMPUTED_VALUE"""),"Alta")</f>
        <v>Alta</v>
      </c>
      <c r="K2262" s="25">
        <f ca="1">IFERROR(__xludf.DUMMYFUNCTION("""COMPUTED_VALUE"""),30)</f>
        <v>30</v>
      </c>
      <c r="L2262" s="62">
        <f ca="1">IFERROR(__xludf.DUMMYFUNCTION("""COMPUTED_VALUE"""),44956)</f>
        <v>44956</v>
      </c>
      <c r="M2262" s="25"/>
      <c r="N2262" s="55">
        <f ca="1">IFERROR(__xludf.DUMMYFUNCTION("""COMPUTED_VALUE"""),44927)</f>
        <v>44927</v>
      </c>
      <c r="O2262" s="25" t="str">
        <f t="shared" ca="1" si="0"/>
        <v>Empresa de Acueducto y Alcantarillado de Bogotá</v>
      </c>
      <c r="P2262" s="25" t="str">
        <f t="shared" si="2"/>
        <v/>
      </c>
      <c r="Q2262" s="25" t="str">
        <f ca="1">IFERROR(__xludf.DUMMYFUNCTION("""COMPUTED_VALUE"""),"Corto plazo")</f>
        <v>Corto plazo</v>
      </c>
      <c r="R2262" s="25"/>
      <c r="S2262" s="55"/>
      <c r="T2262" s="56"/>
      <c r="U2262" s="25"/>
      <c r="V2262" s="25"/>
      <c r="W2262" s="25"/>
      <c r="X2262" s="25"/>
      <c r="Y2262" s="25"/>
      <c r="Z2262" s="25"/>
    </row>
    <row r="2263" spans="1:26" ht="52.5" customHeight="1" x14ac:dyDescent="0.25">
      <c r="A2263" s="67" t="str">
        <f ca="1">IFERROR(__xludf.DUMMYFUNCTION("""COMPUTED_VALUE"""),"Hábit161")</f>
        <v>Hábit161</v>
      </c>
      <c r="B2263" s="25" t="str">
        <f ca="1">IFERROR(__xludf.DUMMYFUNCTION("""COMPUTED_VALUE"""),"Obras IDU - Acueducto")</f>
        <v>Obras IDU - Acueducto</v>
      </c>
      <c r="C2263" s="55">
        <f ca="1">IFERROR(__xludf.DUMMYFUNCTION("""COMPUTED_VALUE"""),44425)</f>
        <v>44425</v>
      </c>
      <c r="D2263" s="25" t="str">
        <f ca="1">IFERROR(__xludf.DUMMYFUNCTION("""COMPUTED_VALUE"""),"Hábitat")</f>
        <v>Hábitat</v>
      </c>
      <c r="E2263" s="25" t="str">
        <f ca="1">IFERROR(__xludf.DUMMYFUNCTION("""COMPUTED_VALUE"""),"Empresa de Acueducto y Alcantarillado de Bogotá")</f>
        <v>Empresa de Acueducto y Alcantarillado de Bogotá</v>
      </c>
      <c r="F2263" s="25" t="str">
        <f ca="1">IFERROR(__xludf.DUMMYFUNCTION("""COMPUTED_VALUE"""),"Enviar a la alcaldesa los nombres de las personas de los equipos encargados de la actualización del Catastro.")</f>
        <v>Enviar a la alcaldesa los nombres de las personas de los equipos encargados de la actualización del Catastro.</v>
      </c>
      <c r="G2263" s="25" t="str">
        <f ca="1">IFERROR(__xludf.DUMMYFUNCTION("""COMPUTED_VALUE"""),"99. Distrito")</f>
        <v>99. Distrito</v>
      </c>
      <c r="H2263" s="55">
        <f ca="1">IFERROR(__xludf.DUMMYFUNCTION("""COMPUTED_VALUE"""),44455)</f>
        <v>44455</v>
      </c>
      <c r="I2263" s="25"/>
      <c r="J2263" s="55" t="str">
        <f ca="1">IFERROR(__xludf.DUMMYFUNCTION("""COMPUTED_VALUE"""),"Alta")</f>
        <v>Alta</v>
      </c>
      <c r="K2263" s="25">
        <f ca="1">IFERROR(__xludf.DUMMYFUNCTION("""COMPUTED_VALUE"""),30)</f>
        <v>30</v>
      </c>
      <c r="L2263" s="62">
        <f ca="1">IFERROR(__xludf.DUMMYFUNCTION("""COMPUTED_VALUE"""),44956)</f>
        <v>44956</v>
      </c>
      <c r="M2263" s="25"/>
      <c r="N2263" s="55">
        <f ca="1">IFERROR(__xludf.DUMMYFUNCTION("""COMPUTED_VALUE"""),44927)</f>
        <v>44927</v>
      </c>
      <c r="O2263" s="25" t="str">
        <f t="shared" ca="1" si="0"/>
        <v>Empresa de Acueducto y Alcantarillado de Bogotá</v>
      </c>
      <c r="P2263" s="25" t="str">
        <f t="shared" si="2"/>
        <v/>
      </c>
      <c r="Q2263" s="25" t="str">
        <f ca="1">IFERROR(__xludf.DUMMYFUNCTION("""COMPUTED_VALUE"""),"Corto plazo")</f>
        <v>Corto plazo</v>
      </c>
      <c r="R2263" s="25"/>
      <c r="S2263" s="55"/>
      <c r="T2263" s="56"/>
      <c r="U2263" s="25"/>
      <c r="V2263" s="25"/>
      <c r="W2263" s="25"/>
      <c r="X2263" s="25"/>
      <c r="Y2263" s="25"/>
      <c r="Z2263" s="25"/>
    </row>
    <row r="2264" spans="1:26" ht="52.5" customHeight="1" x14ac:dyDescent="0.25">
      <c r="A2264" s="67" t="str">
        <f ca="1">IFERROR(__xludf.DUMMYFUNCTION("""COMPUTED_VALUE"""),"Hábit162")</f>
        <v>Hábit162</v>
      </c>
      <c r="B2264" s="25" t="str">
        <f ca="1">IFERROR(__xludf.DUMMYFUNCTION("""COMPUTED_VALUE"""),"Obras IDU - Acueducto")</f>
        <v>Obras IDU - Acueducto</v>
      </c>
      <c r="C2264" s="55">
        <f ca="1">IFERROR(__xludf.DUMMYFUNCTION("""COMPUTED_VALUE"""),44425)</f>
        <v>44425</v>
      </c>
      <c r="D2264" s="25" t="str">
        <f ca="1">IFERROR(__xludf.DUMMYFUNCTION("""COMPUTED_VALUE"""),"Hábitat")</f>
        <v>Hábitat</v>
      </c>
      <c r="E2264" s="25" t="str">
        <f ca="1">IFERROR(__xludf.DUMMYFUNCTION("""COMPUTED_VALUE"""),"Empresa de Acueducto y Alcantarillado de Bogotá")</f>
        <v>Empresa de Acueducto y Alcantarillado de Bogotá</v>
      </c>
      <c r="F2264" s="25" t="str">
        <f ca="1">IFERROR(__xludf.DUMMYFUNCTION("""COMPUTED_VALUE"""),"Hacer una guía para la actualización del catastro de las redes")</f>
        <v>Hacer una guía para la actualización del catastro de las redes</v>
      </c>
      <c r="G2264" s="25" t="str">
        <f ca="1">IFERROR(__xludf.DUMMYFUNCTION("""COMPUTED_VALUE"""),"99. Distrito")</f>
        <v>99. Distrito</v>
      </c>
      <c r="H2264" s="55">
        <f ca="1">IFERROR(__xludf.DUMMYFUNCTION("""COMPUTED_VALUE"""),44455)</f>
        <v>44455</v>
      </c>
      <c r="I2264" s="25"/>
      <c r="J2264" s="55" t="str">
        <f ca="1">IFERROR(__xludf.DUMMYFUNCTION("""COMPUTED_VALUE"""),"Alta")</f>
        <v>Alta</v>
      </c>
      <c r="K2264" s="25">
        <f ca="1">IFERROR(__xludf.DUMMYFUNCTION("""COMPUTED_VALUE"""),30)</f>
        <v>30</v>
      </c>
      <c r="L2264" s="62">
        <f ca="1">IFERROR(__xludf.DUMMYFUNCTION("""COMPUTED_VALUE"""),44956)</f>
        <v>44956</v>
      </c>
      <c r="M2264" s="25"/>
      <c r="N2264" s="55">
        <f ca="1">IFERROR(__xludf.DUMMYFUNCTION("""COMPUTED_VALUE"""),44927)</f>
        <v>44927</v>
      </c>
      <c r="O2264" s="25" t="str">
        <f t="shared" ca="1" si="0"/>
        <v>Empresa de Acueducto y Alcantarillado de Bogotá</v>
      </c>
      <c r="P2264" s="25" t="str">
        <f t="shared" si="2"/>
        <v/>
      </c>
      <c r="Q2264" s="25" t="str">
        <f ca="1">IFERROR(__xludf.DUMMYFUNCTION("""COMPUTED_VALUE"""),"Corto plazo")</f>
        <v>Corto plazo</v>
      </c>
      <c r="R2264" s="25"/>
      <c r="S2264" s="55"/>
      <c r="T2264" s="56"/>
      <c r="U2264" s="25"/>
      <c r="V2264" s="25"/>
      <c r="W2264" s="25"/>
      <c r="X2264" s="25"/>
      <c r="Y2264" s="25"/>
      <c r="Z2264" s="25"/>
    </row>
    <row r="2265" spans="1:26" ht="52.5" customHeight="1" x14ac:dyDescent="0.25">
      <c r="A2265" s="67" t="str">
        <f ca="1">IFERROR(__xludf.DUMMYFUNCTION("""COMPUTED_VALUE"""),"Hábit163")</f>
        <v>Hábit163</v>
      </c>
      <c r="B2265" s="25" t="str">
        <f ca="1">IFERROR(__xludf.DUMMYFUNCTION("""COMPUTED_VALUE"""),"Consejos Locales de Gobierno")</f>
        <v>Consejos Locales de Gobierno</v>
      </c>
      <c r="C2265" s="55" t="str">
        <f ca="1">IFERROR(__xludf.DUMMYFUNCTION("""COMPUTED_VALUE"""),"22/04/2021")</f>
        <v>22/04/2021</v>
      </c>
      <c r="D2265" s="25" t="str">
        <f ca="1">IFERROR(__xludf.DUMMYFUNCTION("""COMPUTED_VALUE"""),"Hábitat")</f>
        <v>Hábitat</v>
      </c>
      <c r="E2265" s="25" t="str">
        <f ca="1">IFERROR(__xludf.DUMMYFUNCTION("""COMPUTED_VALUE"""),"Empresa de Acueducto y Alcantarillado de Bogotá")</f>
        <v>Empresa de Acueducto y Alcantarillado de Bogotá</v>
      </c>
      <c r="F2265" s="25" t="str">
        <f ca="1">IFERROR(__xludf.DUMMYFUNCTION("""COMPUTED_VALUE"""),"concretar compra del predio adyacente al parque mirador de los nevados")</f>
        <v>concretar compra del predio adyacente al parque mirador de los nevados</v>
      </c>
      <c r="G2265" s="25" t="str">
        <f ca="1">IFERROR(__xludf.DUMMYFUNCTION("""COMPUTED_VALUE"""),"99. Distrito")</f>
        <v>99. Distrito</v>
      </c>
      <c r="H2265" s="55">
        <f ca="1">IFERROR(__xludf.DUMMYFUNCTION("""COMPUTED_VALUE"""),44338)</f>
        <v>44338</v>
      </c>
      <c r="I2265" s="25"/>
      <c r="J2265" s="55" t="str">
        <f ca="1">IFERROR(__xludf.DUMMYFUNCTION("""COMPUTED_VALUE"""),"Alta")</f>
        <v>Alta</v>
      </c>
      <c r="K2265" s="25">
        <f ca="1">IFERROR(__xludf.DUMMYFUNCTION("""COMPUTED_VALUE"""),30)</f>
        <v>30</v>
      </c>
      <c r="L2265" s="62">
        <f ca="1">IFERROR(__xludf.DUMMYFUNCTION("""COMPUTED_VALUE"""),44956)</f>
        <v>44956</v>
      </c>
      <c r="M2265" s="25"/>
      <c r="N2265" s="55">
        <f ca="1">IFERROR(__xludf.DUMMYFUNCTION("""COMPUTED_VALUE"""),44927)</f>
        <v>44927</v>
      </c>
      <c r="O2265" s="25" t="str">
        <f t="shared" ca="1" si="0"/>
        <v>Empresa de Acueducto y Alcantarillado de Bogotá</v>
      </c>
      <c r="P2265" s="25" t="str">
        <f t="shared" si="2"/>
        <v/>
      </c>
      <c r="Q2265" s="25" t="str">
        <f ca="1">IFERROR(__xludf.DUMMYFUNCTION("""COMPUTED_VALUE"""),"Corto plazo")</f>
        <v>Corto plazo</v>
      </c>
      <c r="R2265" s="25"/>
      <c r="S2265" s="55"/>
      <c r="T2265" s="56"/>
      <c r="U2265" s="25"/>
      <c r="V2265" s="25"/>
      <c r="W2265" s="25"/>
      <c r="X2265" s="25"/>
      <c r="Y2265" s="25"/>
      <c r="Z2265" s="25"/>
    </row>
    <row r="2266" spans="1:26" ht="52.5" customHeight="1" x14ac:dyDescent="0.25">
      <c r="A2266" s="67" t="str">
        <f ca="1">IFERROR(__xludf.DUMMYFUNCTION("""COMPUTED_VALUE"""),"Hábit164")</f>
        <v>Hábit164</v>
      </c>
      <c r="B2266" s="25" t="str">
        <f ca="1">IFERROR(__xludf.DUMMYFUNCTION("""COMPUTED_VALUE"""),"Evento Choachí  marzo 20 de 2021")</f>
        <v>Evento Choachí  marzo 20 de 2021</v>
      </c>
      <c r="C2266" s="55" t="str">
        <f ca="1">IFERROR(__xludf.DUMMYFUNCTION("""COMPUTED_VALUE"""),"31/03/2021")</f>
        <v>31/03/2021</v>
      </c>
      <c r="D2266" s="25" t="str">
        <f ca="1">IFERROR(__xludf.DUMMYFUNCTION("""COMPUTED_VALUE"""),"Hábitat")</f>
        <v>Hábitat</v>
      </c>
      <c r="E2266" s="25" t="str">
        <f ca="1">IFERROR(__xludf.DUMMYFUNCTION("""COMPUTED_VALUE"""),"Empresa de Acueducto y Alcantarillado de Bogotá")</f>
        <v>Empresa de Acueducto y Alcantarillado de Bogotá</v>
      </c>
      <c r="F2266" s="25" t="str">
        <f ca="1">IFERROR(__xludf.DUMMYFUNCTION("""COMPUTED_VALUE"""),"Liquidar convenio actual con municipio de Fómeque en 2 meses")</f>
        <v>Liquidar convenio actual con municipio de Fómeque en 2 meses</v>
      </c>
      <c r="G2266" s="25" t="str">
        <f ca="1">IFERROR(__xludf.DUMMYFUNCTION("""COMPUTED_VALUE"""),"99. Distrito")</f>
        <v>99. Distrito</v>
      </c>
      <c r="H2266" s="55">
        <f ca="1">IFERROR(__xludf.DUMMYFUNCTION("""COMPUTED_VALUE"""),44316)</f>
        <v>44316</v>
      </c>
      <c r="I2266" s="25"/>
      <c r="J2266" s="55" t="str">
        <f ca="1">IFERROR(__xludf.DUMMYFUNCTION("""COMPUTED_VALUE"""),"Alta")</f>
        <v>Alta</v>
      </c>
      <c r="K2266" s="25">
        <f ca="1">IFERROR(__xludf.DUMMYFUNCTION("""COMPUTED_VALUE"""),30)</f>
        <v>30</v>
      </c>
      <c r="L2266" s="62">
        <f ca="1">IFERROR(__xludf.DUMMYFUNCTION("""COMPUTED_VALUE"""),44956)</f>
        <v>44956</v>
      </c>
      <c r="M2266" s="25"/>
      <c r="N2266" s="55">
        <f ca="1">IFERROR(__xludf.DUMMYFUNCTION("""COMPUTED_VALUE"""),44927)</f>
        <v>44927</v>
      </c>
      <c r="O2266" s="25" t="str">
        <f t="shared" ca="1" si="0"/>
        <v>Empresa de Acueducto y Alcantarillado de Bogotá</v>
      </c>
      <c r="P2266" s="25" t="str">
        <f t="shared" si="2"/>
        <v/>
      </c>
      <c r="Q2266" s="25" t="str">
        <f ca="1">IFERROR(__xludf.DUMMYFUNCTION("""COMPUTED_VALUE"""),"Corto plazo")</f>
        <v>Corto plazo</v>
      </c>
      <c r="R2266" s="25"/>
      <c r="S2266" s="55"/>
      <c r="T2266" s="56"/>
      <c r="U2266" s="25"/>
      <c r="V2266" s="25"/>
      <c r="W2266" s="25"/>
      <c r="X2266" s="25"/>
      <c r="Y2266" s="25"/>
      <c r="Z2266" s="25"/>
    </row>
    <row r="2267" spans="1:26" ht="52.5" customHeight="1" x14ac:dyDescent="0.25">
      <c r="A2267" s="67" t="str">
        <f ca="1">IFERROR(__xludf.DUMMYFUNCTION("""COMPUTED_VALUE"""),"Hábit165")</f>
        <v>Hábit165</v>
      </c>
      <c r="B2267" s="25" t="str">
        <f ca="1">IFERROR(__xludf.DUMMYFUNCTION("""COMPUTED_VALUE"""),"Evento Choachí  marzo 20 de 2021")</f>
        <v>Evento Choachí  marzo 20 de 2021</v>
      </c>
      <c r="C2267" s="55" t="str">
        <f ca="1">IFERROR(__xludf.DUMMYFUNCTION("""COMPUTED_VALUE"""),"31/03/2021")</f>
        <v>31/03/2021</v>
      </c>
      <c r="D2267" s="25" t="str">
        <f ca="1">IFERROR(__xludf.DUMMYFUNCTION("""COMPUTED_VALUE"""),"Hábitat")</f>
        <v>Hábitat</v>
      </c>
      <c r="E2267" s="25" t="str">
        <f ca="1">IFERROR(__xludf.DUMMYFUNCTION("""COMPUTED_VALUE"""),"Secretaría Distrital del Hábitat")</f>
        <v>Secretaría Distrital del Hábitat</v>
      </c>
      <c r="F2267" s="25" t="str">
        <f ca="1">IFERROR(__xludf.DUMMYFUNCTION("""COMPUTED_VALUE"""),"Presentar propuesta escrita a MinVivienda y DNP sobre modificación a Decreto 1382  2020")</f>
        <v>Presentar propuesta escrita a MinVivienda y DNP sobre modificación a Decreto 1382  2020</v>
      </c>
      <c r="G2267" s="25" t="str">
        <f ca="1">IFERROR(__xludf.DUMMYFUNCTION("""COMPUTED_VALUE"""),"99. Distrito")</f>
        <v>99. Distrito</v>
      </c>
      <c r="H2267" s="55">
        <f ca="1">IFERROR(__xludf.DUMMYFUNCTION("""COMPUTED_VALUE"""),44316)</f>
        <v>44316</v>
      </c>
      <c r="I2267" s="25"/>
      <c r="J2267" s="55" t="str">
        <f ca="1">IFERROR(__xludf.DUMMYFUNCTION("""COMPUTED_VALUE"""),"Alta")</f>
        <v>Alta</v>
      </c>
      <c r="K2267" s="25">
        <f ca="1">IFERROR(__xludf.DUMMYFUNCTION("""COMPUTED_VALUE"""),30)</f>
        <v>30</v>
      </c>
      <c r="L2267" s="62"/>
      <c r="M2267" s="25"/>
      <c r="N2267" s="55">
        <f ca="1">IFERROR(__xludf.DUMMYFUNCTION("""COMPUTED_VALUE"""),44927)</f>
        <v>44927</v>
      </c>
      <c r="O2267" s="25" t="str">
        <f t="shared" ca="1" si="0"/>
        <v>Secretaría Distrital del Hábitat</v>
      </c>
      <c r="P2267" s="25" t="str">
        <f t="shared" si="2"/>
        <v/>
      </c>
      <c r="Q2267" s="25" t="str">
        <f ca="1">IFERROR(__xludf.DUMMYFUNCTION("""COMPUTED_VALUE"""),"Corto plazo")</f>
        <v>Corto plazo</v>
      </c>
      <c r="R2267" s="25"/>
      <c r="S2267" s="55"/>
      <c r="T2267" s="56"/>
      <c r="U2267" s="25"/>
      <c r="V2267" s="25"/>
      <c r="W2267" s="25"/>
      <c r="X2267" s="25"/>
      <c r="Y2267" s="25"/>
      <c r="Z2267" s="25"/>
    </row>
    <row r="2268" spans="1:26" ht="52.5" customHeight="1" x14ac:dyDescent="0.25">
      <c r="A2268" s="67" t="str">
        <f ca="1">IFERROR(__xludf.DUMMYFUNCTION("""COMPUTED_VALUE"""),"Hábit166")</f>
        <v>Hábit166</v>
      </c>
      <c r="B2268" s="25" t="str">
        <f ca="1">IFERROR(__xludf.DUMMYFUNCTION("""COMPUTED_VALUE"""),"Regiotram Norte")</f>
        <v>Regiotram Norte</v>
      </c>
      <c r="C2268" s="55">
        <f ca="1">IFERROR(__xludf.DUMMYFUNCTION("""COMPUTED_VALUE"""),44393)</f>
        <v>44393</v>
      </c>
      <c r="D2268" s="25" t="str">
        <f ca="1">IFERROR(__xludf.DUMMYFUNCTION("""COMPUTED_VALUE"""),"Hábitat")</f>
        <v>Hábitat</v>
      </c>
      <c r="E2268" s="25" t="str">
        <f ca="1">IFERROR(__xludf.DUMMYFUNCTION("""COMPUTED_VALUE"""),"Empresa de Acueducto y Alcantarillado de Bogotá")</f>
        <v>Empresa de Acueducto y Alcantarillado de Bogotá</v>
      </c>
      <c r="F2268" s="25" t="str">
        <f ca="1">IFERROR(__xludf.DUMMYFUNCTION("""COMPUTED_VALUE"""),"Acueducto debe verificar la estructuración de redes")</f>
        <v>Acueducto debe verificar la estructuración de redes</v>
      </c>
      <c r="G2268" s="25" t="str">
        <f ca="1">IFERROR(__xludf.DUMMYFUNCTION("""COMPUTED_VALUE"""),"99. Distrito")</f>
        <v>99. Distrito</v>
      </c>
      <c r="H2268" s="55">
        <f ca="1">IFERROR(__xludf.DUMMYFUNCTION("""COMPUTED_VALUE"""),44423)</f>
        <v>44423</v>
      </c>
      <c r="I2268" s="25"/>
      <c r="J2268" s="55" t="str">
        <f ca="1">IFERROR(__xludf.DUMMYFUNCTION("""COMPUTED_VALUE"""),"Alta")</f>
        <v>Alta</v>
      </c>
      <c r="K2268" s="25">
        <f ca="1">IFERROR(__xludf.DUMMYFUNCTION("""COMPUTED_VALUE"""),30)</f>
        <v>30</v>
      </c>
      <c r="L2268" s="62">
        <f ca="1">IFERROR(__xludf.DUMMYFUNCTION("""COMPUTED_VALUE"""),44956)</f>
        <v>44956</v>
      </c>
      <c r="M2268" s="25"/>
      <c r="N2268" s="55">
        <f ca="1">IFERROR(__xludf.DUMMYFUNCTION("""COMPUTED_VALUE"""),44927)</f>
        <v>44927</v>
      </c>
      <c r="O2268" s="25" t="str">
        <f t="shared" ca="1" si="0"/>
        <v>Empresa de Acueducto y Alcantarillado de Bogotá</v>
      </c>
      <c r="P2268" s="25" t="str">
        <f t="shared" si="2"/>
        <v/>
      </c>
      <c r="Q2268" s="25" t="str">
        <f ca="1">IFERROR(__xludf.DUMMYFUNCTION("""COMPUTED_VALUE"""),"Corto plazo")</f>
        <v>Corto plazo</v>
      </c>
      <c r="R2268" s="25"/>
      <c r="S2268" s="55"/>
      <c r="T2268" s="56"/>
      <c r="U2268" s="25"/>
      <c r="V2268" s="25"/>
      <c r="W2268" s="25"/>
      <c r="X2268" s="25"/>
      <c r="Y2268" s="25"/>
      <c r="Z2268" s="25"/>
    </row>
    <row r="2269" spans="1:26" ht="52.5" customHeight="1" x14ac:dyDescent="0.25">
      <c r="A2269" s="67" t="str">
        <f ca="1">IFERROR(__xludf.DUMMYFUNCTION("""COMPUTED_VALUE"""),"Hábit167")</f>
        <v>Hábit167</v>
      </c>
      <c r="B2269" s="25" t="str">
        <f ca="1">IFERROR(__xludf.DUMMYFUNCTION("""COMPUTED_VALUE"""),"Kennedy")</f>
        <v>Kennedy</v>
      </c>
      <c r="C2269" s="55">
        <f ca="1">IFERROR(__xludf.DUMMYFUNCTION("""COMPUTED_VALUE"""),44415)</f>
        <v>44415</v>
      </c>
      <c r="D2269" s="25" t="str">
        <f ca="1">IFERROR(__xludf.DUMMYFUNCTION("""COMPUTED_VALUE"""),"Hábitat")</f>
        <v>Hábitat</v>
      </c>
      <c r="E2269" s="25" t="str">
        <f ca="1">IFERROR(__xludf.DUMMYFUNCTION("""COMPUTED_VALUE"""),"Unidad Administrativa Especial de Servicios Públicos")</f>
        <v>Unidad Administrativa Especial de Servicios Públicos</v>
      </c>
      <c r="F2269" s="25" t="str">
        <f ca="1">IFERROR(__xludf.DUMMYFUNCTION("""COMPUTED_VALUE"""),"Construir un centro de carreteros en la Alameda el Porvenir")</f>
        <v>Construir un centro de carreteros en la Alameda el Porvenir</v>
      </c>
      <c r="G2269" s="55" t="str">
        <f ca="1">IFERROR(__xludf.DUMMYFUNCTION("""COMPUTED_VALUE"""),"07. Bosa")</f>
        <v>07. Bosa</v>
      </c>
      <c r="H2269" s="55">
        <f ca="1">IFERROR(__xludf.DUMMYFUNCTION("""COMPUTED_VALUE"""),44445)</f>
        <v>44445</v>
      </c>
      <c r="I2269" s="25"/>
      <c r="J2269" s="55" t="str">
        <f ca="1">IFERROR(__xludf.DUMMYFUNCTION("""COMPUTED_VALUE"""),"Alta")</f>
        <v>Alta</v>
      </c>
      <c r="K2269" s="25">
        <f ca="1">IFERROR(__xludf.DUMMYFUNCTION("""COMPUTED_VALUE"""),30)</f>
        <v>30</v>
      </c>
      <c r="L2269" s="62"/>
      <c r="M2269" s="25"/>
      <c r="N2269" s="55">
        <f ca="1">IFERROR(__xludf.DUMMYFUNCTION("""COMPUTED_VALUE"""),44927)</f>
        <v>44927</v>
      </c>
      <c r="O2269" s="25" t="str">
        <f t="shared" ca="1" si="0"/>
        <v>Unidad Administrativa Especial de Servicios Públicos</v>
      </c>
      <c r="P2269" s="25" t="str">
        <f t="shared" si="2"/>
        <v/>
      </c>
      <c r="Q2269" s="25" t="str">
        <f ca="1">IFERROR(__xludf.DUMMYFUNCTION("""COMPUTED_VALUE"""),"Corto plazo")</f>
        <v>Corto plazo</v>
      </c>
      <c r="R2269" s="25"/>
      <c r="S2269" s="55"/>
      <c r="T2269" s="56"/>
      <c r="U2269" s="25"/>
      <c r="V2269" s="25"/>
      <c r="W2269" s="25"/>
      <c r="X2269" s="25"/>
      <c r="Y2269" s="25"/>
      <c r="Z2269" s="25"/>
    </row>
    <row r="2270" spans="1:26" ht="52.5" customHeight="1" x14ac:dyDescent="0.25">
      <c r="A2270" s="25" t="str">
        <f ca="1">IFERROR(__xludf.DUMMYFUNCTION("""COMPUTED_VALUE"""),"Hábit168")</f>
        <v>Hábit168</v>
      </c>
      <c r="B2270" s="25" t="str">
        <f ca="1">IFERROR(__xludf.DUMMYFUNCTION("""COMPUTED_VALUE"""),"Junta de Infraestructura")</f>
        <v>Junta de Infraestructura</v>
      </c>
      <c r="C2270" s="55">
        <f ca="1">IFERROR(__xludf.DUMMYFUNCTION("""COMPUTED_VALUE"""),44601)</f>
        <v>44601</v>
      </c>
      <c r="D2270" s="25" t="str">
        <f ca="1">IFERROR(__xludf.DUMMYFUNCTION("""COMPUTED_VALUE"""),"Hábitat")</f>
        <v>Hábitat</v>
      </c>
      <c r="E2270" s="25" t="str">
        <f ca="1">IFERROR(__xludf.DUMMYFUNCTION("""COMPUTED_VALUE"""),"Empresa de Acueducto y Alcantarillado de Bogotá")</f>
        <v>Empresa de Acueducto y Alcantarillado de Bogotá</v>
      </c>
      <c r="F2270" s="25" t="str">
        <f ca="1">IFERROR(__xludf.DUMMYFUNCTION("""COMPUTED_VALUE"""),"Hacer un plan para liberar los recursos de la ciclo-ruta del Fucha.")</f>
        <v>Hacer un plan para liberar los recursos de la ciclo-ruta del Fucha.</v>
      </c>
      <c r="G2270" s="25" t="str">
        <f ca="1">IFERROR(__xludf.DUMMYFUNCTION("""COMPUTED_VALUE"""),"99. Distrito")</f>
        <v>99. Distrito</v>
      </c>
      <c r="H2270" s="55">
        <f ca="1">IFERROR(__xludf.DUMMYFUNCTION("""COMPUTED_VALUE"""),44985)</f>
        <v>44985</v>
      </c>
      <c r="I2270" s="25"/>
      <c r="J2270" s="55" t="str">
        <f ca="1">IFERROR(__xludf.DUMMYFUNCTION("""COMPUTED_VALUE"""),"Baja")</f>
        <v>Baja</v>
      </c>
      <c r="K2270" s="25">
        <f ca="1">IFERROR(__xludf.DUMMYFUNCTION("""COMPUTED_VALUE"""),384)</f>
        <v>384</v>
      </c>
      <c r="L2270" s="62">
        <f ca="1">IFERROR(__xludf.DUMMYFUNCTION("""COMPUTED_VALUE"""),45000)</f>
        <v>45000</v>
      </c>
      <c r="M2270" s="25" t="str">
        <f ca="1">IFERROR(__xludf.DUMMYFUNCTION("""COMPUTED_VALUE"""),"Se encuentran liberados a la fecha de corte un total de $76.684.831.071, correspondientes a la liquidación de los contratos 1-01-25100-0741-2019 y 1-01-25100-0736-2019, del proyecto parque lineal corredor ambiental Río Fucha.Se encuentra en aprobación de "&amp;"polizas por acta de liquidación del contrato No. 1-01-25100-0738-2019 y la aprobación de la misma por parte de la Dirección de Contratación y Compras de la EAAB,por parte de la supervisión se ha hecho el seguimiento respectivo para el trámite descrito a l"&amp;"a fecha del reporte se remitieron observaciones a la poliza realizadas por CyC, para que sean antendidas por el contratista.")</f>
        <v>Se encuentran liberados a la fecha de corte un total de $76.684.831.071, correspondientes a la liquidación de los contratos 1-01-25100-0741-2019 y 1-01-25100-0736-2019, del proyecto parque lineal corredor ambiental Río Fucha.Se encuentra en aprobación de polizas por acta de liquidación del contrato No. 1-01-25100-0738-2019 y la aprobación de la misma por parte de la Dirección de Contratación y Compras de la EAAB,por parte de la supervisión se ha hecho el seguimiento respectivo para el trámite descrito a la fecha del reporte se remitieron observaciones a la poliza realizadas por CyC, para que sean antendidas por el contratista.</v>
      </c>
      <c r="N2270" s="55">
        <f ca="1">IFERROR(__xludf.DUMMYFUNCTION("""COMPUTED_VALUE"""),45016)</f>
        <v>45016</v>
      </c>
      <c r="O2270" s="25" t="str">
        <f t="shared" ca="1" si="0"/>
        <v>Empresa de Acueducto y Alcantarillado de Bogotá</v>
      </c>
      <c r="P2270" s="25" t="str">
        <f t="shared" si="2"/>
        <v/>
      </c>
      <c r="Q2270" s="25" t="str">
        <f ca="1">IFERROR(__xludf.DUMMYFUNCTION("""COMPUTED_VALUE"""),"Largo plazo")</f>
        <v>Largo plazo</v>
      </c>
      <c r="R2270" s="25"/>
      <c r="S2270" s="55"/>
      <c r="T2270" s="56"/>
      <c r="U2270" s="25"/>
      <c r="V2270" s="25"/>
      <c r="W2270" s="25"/>
      <c r="X2270" s="25"/>
      <c r="Y2270" s="25"/>
      <c r="Z2270" s="25"/>
    </row>
    <row r="2271" spans="1:26" ht="52.5" customHeight="1" x14ac:dyDescent="0.25">
      <c r="A2271" s="25" t="str">
        <f ca="1">IFERROR(__xludf.DUMMYFUNCTION("""COMPUTED_VALUE"""),"Hábit169")</f>
        <v>Hábit169</v>
      </c>
      <c r="B2271" s="25" t="str">
        <f ca="1">IFERROR(__xludf.DUMMYFUNCTION("""COMPUTED_VALUE"""),"Junta de Infraestructura")</f>
        <v>Junta de Infraestructura</v>
      </c>
      <c r="C2271" s="55">
        <f ca="1">IFERROR(__xludf.DUMMYFUNCTION("""COMPUTED_VALUE"""),44601)</f>
        <v>44601</v>
      </c>
      <c r="D2271" s="25" t="str">
        <f ca="1">IFERROR(__xludf.DUMMYFUNCTION("""COMPUTED_VALUE"""),"Hábitat")</f>
        <v>Hábitat</v>
      </c>
      <c r="E2271" s="25" t="str">
        <f ca="1">IFERROR(__xludf.DUMMYFUNCTION("""COMPUTED_VALUE"""),"Empresa de Acueducto y Alcantarillado de Bogotá")</f>
        <v>Empresa de Acueducto y Alcantarillado de Bogotá</v>
      </c>
      <c r="F2271" s="25" t="str">
        <f ca="1">IFERROR(__xludf.DUMMYFUNCTION("""COMPUTED_VALUE"""),"La interventoría de Chingaza la debe ejercer directamente el EAAB")</f>
        <v>La interventoría de Chingaza la debe ejercer directamente el EAAB</v>
      </c>
      <c r="G2271" s="25" t="str">
        <f ca="1">IFERROR(__xludf.DUMMYFUNCTION("""COMPUTED_VALUE"""),"99. Distrito")</f>
        <v>99. Distrito</v>
      </c>
      <c r="H2271" s="55">
        <f ca="1">IFERROR(__xludf.DUMMYFUNCTION("""COMPUTED_VALUE"""),44631)</f>
        <v>44631</v>
      </c>
      <c r="I2271" s="25"/>
      <c r="J2271" s="55" t="str">
        <f ca="1">IFERROR(__xludf.DUMMYFUNCTION("""COMPUTED_VALUE"""),"Alta")</f>
        <v>Alta</v>
      </c>
      <c r="K2271" s="25">
        <f ca="1">IFERROR(__xludf.DUMMYFUNCTION("""COMPUTED_VALUE"""),30)</f>
        <v>30</v>
      </c>
      <c r="L2271" s="62">
        <f ca="1">IFERROR(__xludf.DUMMYFUNCTION("""COMPUTED_VALUE"""),44956)</f>
        <v>44956</v>
      </c>
      <c r="M2271" s="25"/>
      <c r="N2271" s="55">
        <f ca="1">IFERROR(__xludf.DUMMYFUNCTION("""COMPUTED_VALUE"""),44927)</f>
        <v>44927</v>
      </c>
      <c r="O2271" s="25" t="str">
        <f t="shared" ca="1" si="0"/>
        <v>Empresa de Acueducto y Alcantarillado de Bogotá</v>
      </c>
      <c r="P2271" s="25" t="str">
        <f t="shared" si="2"/>
        <v/>
      </c>
      <c r="Q2271" s="25" t="str">
        <f ca="1">IFERROR(__xludf.DUMMYFUNCTION("""COMPUTED_VALUE"""),"Corto plazo")</f>
        <v>Corto plazo</v>
      </c>
      <c r="R2271" s="25"/>
      <c r="S2271" s="55"/>
      <c r="T2271" s="56"/>
      <c r="U2271" s="25"/>
      <c r="V2271" s="25"/>
      <c r="W2271" s="25"/>
      <c r="X2271" s="25"/>
      <c r="Y2271" s="25"/>
      <c r="Z2271" s="25"/>
    </row>
    <row r="2272" spans="1:26" ht="52.5" customHeight="1" x14ac:dyDescent="0.25">
      <c r="A2272" s="25" t="str">
        <f ca="1">IFERROR(__xludf.DUMMYFUNCTION("""COMPUTED_VALUE"""),"Hábit170")</f>
        <v>Hábit170</v>
      </c>
      <c r="B2272" s="25" t="str">
        <f ca="1">IFERROR(__xludf.DUMMYFUNCTION("""COMPUTED_VALUE"""),"Junta de Infraestructura")</f>
        <v>Junta de Infraestructura</v>
      </c>
      <c r="C2272" s="55">
        <f ca="1">IFERROR(__xludf.DUMMYFUNCTION("""COMPUTED_VALUE"""),44601)</f>
        <v>44601</v>
      </c>
      <c r="D2272" s="25" t="str">
        <f ca="1">IFERROR(__xludf.DUMMYFUNCTION("""COMPUTED_VALUE"""),"Hábitat")</f>
        <v>Hábitat</v>
      </c>
      <c r="E2272" s="25" t="str">
        <f ca="1">IFERROR(__xludf.DUMMYFUNCTION("""COMPUTED_VALUE"""),"Empresa de Acueducto y Alcantarillado de Bogotá")</f>
        <v>Empresa de Acueducto y Alcantarillado de Bogotá</v>
      </c>
      <c r="F2272" s="25" t="str">
        <f ca="1">IFERROR(__xludf.DUMMYFUNCTION("""COMPUTED_VALUE"""),"Propuesta ampliación cobertura en Soacha: Identificar el número de viviendas adicionales en las 700 hectáreas; se requieren proyecciones consistentes para Bogotá – Región.")</f>
        <v>Propuesta ampliación cobertura en Soacha: Identificar el número de viviendas adicionales en las 700 hectáreas; se requieren proyecciones consistentes para Bogotá – Región.</v>
      </c>
      <c r="G2272" s="25" t="str">
        <f ca="1">IFERROR(__xludf.DUMMYFUNCTION("""COMPUTED_VALUE"""),"99. Distrito")</f>
        <v>99. Distrito</v>
      </c>
      <c r="H2272" s="55">
        <f ca="1">IFERROR(__xludf.DUMMYFUNCTION("""COMPUTED_VALUE"""),45107)</f>
        <v>45107</v>
      </c>
      <c r="I2272" s="25"/>
      <c r="J2272" s="55" t="str">
        <f ca="1">IFERROR(__xludf.DUMMYFUNCTION("""COMPUTED_VALUE"""),"Baja")</f>
        <v>Baja</v>
      </c>
      <c r="K2272" s="25">
        <f ca="1">IFERROR(__xludf.DUMMYFUNCTION("""COMPUTED_VALUE"""),506)</f>
        <v>506</v>
      </c>
      <c r="L2272" s="62">
        <f ca="1">IFERROR(__xludf.DUMMYFUNCTION("""COMPUTED_VALUE"""),44956)</f>
        <v>44956</v>
      </c>
      <c r="M2272" s="25"/>
      <c r="N2272" s="55">
        <f ca="1">IFERROR(__xludf.DUMMYFUNCTION("""COMPUTED_VALUE"""),44927)</f>
        <v>44927</v>
      </c>
      <c r="O2272" s="25" t="str">
        <f t="shared" ca="1" si="0"/>
        <v>Empresa de Acueducto y Alcantarillado de Bogotá</v>
      </c>
      <c r="P2272" s="25" t="str">
        <f t="shared" si="2"/>
        <v/>
      </c>
      <c r="Q2272" s="25" t="str">
        <f ca="1">IFERROR(__xludf.DUMMYFUNCTION("""COMPUTED_VALUE"""),"Largo plazo")</f>
        <v>Largo plazo</v>
      </c>
      <c r="R2272" s="25"/>
      <c r="S2272" s="55"/>
      <c r="T2272" s="56"/>
      <c r="U2272" s="25"/>
      <c r="V2272" s="25"/>
      <c r="W2272" s="25"/>
      <c r="X2272" s="25"/>
      <c r="Y2272" s="25"/>
      <c r="Z2272" s="25"/>
    </row>
    <row r="2273" spans="1:26" ht="52.5" customHeight="1" x14ac:dyDescent="0.25">
      <c r="A2273" s="25" t="str">
        <f ca="1">IFERROR(__xludf.DUMMYFUNCTION("""COMPUTED_VALUE"""),"Hábit171")</f>
        <v>Hábit171</v>
      </c>
      <c r="B2273" s="25" t="str">
        <f ca="1">IFERROR(__xludf.DUMMYFUNCTION("""COMPUTED_VALUE"""),"Junta de Infraestructura")</f>
        <v>Junta de Infraestructura</v>
      </c>
      <c r="C2273" s="55">
        <f ca="1">IFERROR(__xludf.DUMMYFUNCTION("""COMPUTED_VALUE"""),44601)</f>
        <v>44601</v>
      </c>
      <c r="D2273" s="25" t="str">
        <f ca="1">IFERROR(__xludf.DUMMYFUNCTION("""COMPUTED_VALUE"""),"Hábitat")</f>
        <v>Hábitat</v>
      </c>
      <c r="E2273" s="25" t="str">
        <f ca="1">IFERROR(__xludf.DUMMYFUNCTION("""COMPUTED_VALUE"""),"Empresa de Acueducto y Alcantarillado de Bogotá")</f>
        <v>Empresa de Acueducto y Alcantarillado de Bogotá</v>
      </c>
      <c r="F2273" s="25" t="str">
        <f ca="1">IFERROR(__xludf.DUMMYFUNCTION("""COMPUTED_VALUE"""),"TAR Metro:  Grupo 1. Corredor de Av. Villavicencio entre Río Bogotá y Ciudad de Cali. Se debe realizar el cerramiento por parte de EAAB (debe estar en marzo de 2022)")</f>
        <v>TAR Metro:  Grupo 1. Corredor de Av. Villavicencio entre Río Bogotá y Ciudad de Cali. Se debe realizar el cerramiento por parte de EAAB (debe estar en marzo de 2022)</v>
      </c>
      <c r="G2273" s="25" t="str">
        <f ca="1">IFERROR(__xludf.DUMMYFUNCTION("""COMPUTED_VALUE"""),"99. Distrito")</f>
        <v>99. Distrito</v>
      </c>
      <c r="H2273" s="55">
        <f ca="1">IFERROR(__xludf.DUMMYFUNCTION("""COMPUTED_VALUE"""),44631)</f>
        <v>44631</v>
      </c>
      <c r="I2273" s="25"/>
      <c r="J2273" s="55" t="str">
        <f ca="1">IFERROR(__xludf.DUMMYFUNCTION("""COMPUTED_VALUE"""),"Alta")</f>
        <v>Alta</v>
      </c>
      <c r="K2273" s="25">
        <f ca="1">IFERROR(__xludf.DUMMYFUNCTION("""COMPUTED_VALUE"""),30)</f>
        <v>30</v>
      </c>
      <c r="L2273" s="62">
        <f ca="1">IFERROR(__xludf.DUMMYFUNCTION("""COMPUTED_VALUE"""),44956)</f>
        <v>44956</v>
      </c>
      <c r="M2273" s="25"/>
      <c r="N2273" s="55">
        <f ca="1">IFERROR(__xludf.DUMMYFUNCTION("""COMPUTED_VALUE"""),44927)</f>
        <v>44927</v>
      </c>
      <c r="O2273" s="25" t="str">
        <f t="shared" ca="1" si="0"/>
        <v>Empresa de Acueducto y Alcantarillado de Bogotá</v>
      </c>
      <c r="P2273" s="25" t="str">
        <f t="shared" si="2"/>
        <v/>
      </c>
      <c r="Q2273" s="25" t="str">
        <f ca="1">IFERROR(__xludf.DUMMYFUNCTION("""COMPUTED_VALUE"""),"Corto plazo")</f>
        <v>Corto plazo</v>
      </c>
      <c r="R2273" s="25"/>
      <c r="S2273" s="55"/>
      <c r="T2273" s="56"/>
      <c r="U2273" s="25"/>
      <c r="V2273" s="25"/>
      <c r="W2273" s="25"/>
      <c r="X2273" s="25"/>
      <c r="Y2273" s="25"/>
      <c r="Z2273" s="25"/>
    </row>
    <row r="2274" spans="1:26" ht="52.5" customHeight="1" x14ac:dyDescent="0.25">
      <c r="A2274" s="25" t="str">
        <f ca="1">IFERROR(__xludf.DUMMYFUNCTION("""COMPUTED_VALUE"""),"Hábit172")</f>
        <v>Hábit172</v>
      </c>
      <c r="B2274" s="25" t="str">
        <f ca="1">IFERROR(__xludf.DUMMYFUNCTION("""COMPUTED_VALUE"""),"Junta de Infraestructura")</f>
        <v>Junta de Infraestructura</v>
      </c>
      <c r="C2274" s="55">
        <f ca="1">IFERROR(__xludf.DUMMYFUNCTION("""COMPUTED_VALUE"""),44601)</f>
        <v>44601</v>
      </c>
      <c r="D2274" s="25" t="str">
        <f ca="1">IFERROR(__xludf.DUMMYFUNCTION("""COMPUTED_VALUE"""),"Hábitat")</f>
        <v>Hábitat</v>
      </c>
      <c r="E2274" s="25" t="str">
        <f ca="1">IFERROR(__xludf.DUMMYFUNCTION("""COMPUTED_VALUE"""),"Empresa de Acueducto y Alcantarillado de Bogotá")</f>
        <v>Empresa de Acueducto y Alcantarillado de Bogotá</v>
      </c>
      <c r="F2274" s="25" t="str">
        <f ca="1">IFERROR(__xludf.DUMMYFUNCTION("""COMPUTED_VALUE"""),"Corredor Tunjuelo Chingaza: EAAB entregar parques y CicloRuta, iluminación.")</f>
        <v>Corredor Tunjuelo Chingaza: EAAB entregar parques y CicloRuta, iluminación.</v>
      </c>
      <c r="G2274" s="25" t="str">
        <f ca="1">IFERROR(__xludf.DUMMYFUNCTION("""COMPUTED_VALUE"""),"99. Distrito")</f>
        <v>99. Distrito</v>
      </c>
      <c r="H2274" s="55">
        <f ca="1">IFERROR(__xludf.DUMMYFUNCTION("""COMPUTED_VALUE"""),45107)</f>
        <v>45107</v>
      </c>
      <c r="I2274" s="25" t="str">
        <f ca="1">IFERROR(__xludf.DUMMYFUNCTION("""COMPUTED_VALUE"""),"Junta de Infraestructura")</f>
        <v>Junta de Infraestructura</v>
      </c>
      <c r="J2274" s="55" t="str">
        <f ca="1">IFERROR(__xludf.DUMMYFUNCTION("""COMPUTED_VALUE"""),"Baja")</f>
        <v>Baja</v>
      </c>
      <c r="K2274" s="25">
        <f ca="1">IFERROR(__xludf.DUMMYFUNCTION("""COMPUTED_VALUE"""),506)</f>
        <v>506</v>
      </c>
      <c r="L2274" s="62">
        <f ca="1">IFERROR(__xludf.DUMMYFUNCTION("""COMPUTED_VALUE"""),45077)</f>
        <v>45077</v>
      </c>
      <c r="M2274" s="25" t="str">
        <f ca="1">IFERROR(__xludf.DUMMYFUNCTION("""COMPUTED_VALUE"""),"El contratista del contrato 1448-2018 informa ya se tiene aprobación del RETIE y actualmente se espera la certificación RETILAP del proyecto y les volvieron a pedir los diseños originales de la iluminación para establecer los parámetros de lo construido v"&amp;"s lo entregado inicialmente ( esta información ya la tenían dichos señores ) .El contratista espera un pronunciamiento para la semana entrante para proceder con el trámite con UAESP .El contratista radico ante la UAESP los documentos soportes para la soli"&amp;"citud y aprobación de los mismos,se recibieron observaciones por parte de la UAESP las cuales ya fueron subsandas. Actualmente desde la EAAB estamos a la espera una vez se tenga esta certificación se procedera a la liquidación del contrato.
En cuanto al c"&amp;"ontrato 1417-2018 se estan evaluando opciones para el recibo de las obras ya que se ha presentado vandalización de las obras terminadas.
En cuanto al contrato 1466-2018  Se adelanto visita a Secretaria Distrital de movilidad para definir el procedimiento "&amp;"de entrega de las ciclorutas. Se hace seguimiento desde la supervisión del proyecto a las gestiones adelantadas por el contratista para cumplir la actividades descritas
")</f>
        <v xml:space="preserve">El contratista del contrato 1448-2018 informa ya se tiene aprobación del RETIE y actualmente se espera la certificación RETILAP del proyecto y les volvieron a pedir los diseños originales de la iluminación para establecer los parámetros de lo construido vs lo entregado inicialmente ( esta información ya la tenían dichos señores ) .El contratista espera un pronunciamiento para la semana entrante para proceder con el trámite con UAESP .El contratista radico ante la UAESP los documentos soportes para la solicitud y aprobación de los mismos,se recibieron observaciones por parte de la UAESP las cuales ya fueron subsandas. Actualmente desde la EAAB estamos a la espera una vez se tenga esta certificación se procedera a la liquidación del contrato.
En cuanto al contrato 1417-2018 se estan evaluando opciones para el recibo de las obras ya que se ha presentado vandalización de las obras terminadas.
En cuanto al contrato 1466-2018  Se adelanto visita a Secretaria Distrital de movilidad para definir el procedimiento de entrega de las ciclorutas. Se hace seguimiento desde la supervisión del proyecto a las gestiones adelantadas por el contratista para cumplir la actividades descritas
</v>
      </c>
      <c r="N2274" s="61">
        <f ca="1">IFERROR(__xludf.DUMMYFUNCTION("""COMPUTED_VALUE"""),45230)</f>
        <v>45230</v>
      </c>
      <c r="O2274" s="25" t="str">
        <f t="shared" ca="1" si="0"/>
        <v>Empresa de Acueducto y Alcantarillado de Bogotá</v>
      </c>
      <c r="P2274" s="25" t="str">
        <f t="shared" ca="1" si="2"/>
        <v/>
      </c>
      <c r="Q2274" s="25" t="str">
        <f ca="1">IFERROR(__xludf.DUMMYFUNCTION("""COMPUTED_VALUE"""),"Largo plazo")</f>
        <v>Largo plazo</v>
      </c>
      <c r="R2274" s="25"/>
      <c r="S2274" s="55"/>
      <c r="T2274" s="56"/>
      <c r="U2274" s="25"/>
      <c r="V2274" s="25"/>
      <c r="W2274" s="25"/>
      <c r="X2274" s="25"/>
      <c r="Y2274" s="25"/>
      <c r="Z2274" s="25"/>
    </row>
    <row r="2275" spans="1:26" ht="52.5" customHeight="1" x14ac:dyDescent="0.25">
      <c r="A2275" s="25" t="str">
        <f ca="1">IFERROR(__xludf.DUMMYFUNCTION("""COMPUTED_VALUE"""),"Hábit173")</f>
        <v>Hábit173</v>
      </c>
      <c r="B2275" s="25" t="str">
        <f ca="1">IFERROR(__xludf.DUMMYFUNCTION("""COMPUTED_VALUE"""),"Reunión Lagos de Torca")</f>
        <v>Reunión Lagos de Torca</v>
      </c>
      <c r="C2275" s="55">
        <f ca="1">IFERROR(__xludf.DUMMYFUNCTION("""COMPUTED_VALUE"""),44587)</f>
        <v>44587</v>
      </c>
      <c r="D2275" s="25" t="str">
        <f ca="1">IFERROR(__xludf.DUMMYFUNCTION("""COMPUTED_VALUE"""),"Hábitat")</f>
        <v>Hábitat</v>
      </c>
      <c r="E2275" s="25" t="str">
        <f ca="1">IFERROR(__xludf.DUMMYFUNCTION("""COMPUTED_VALUE"""),"Empresa de Renovación y Desarrollo Urbano")</f>
        <v>Empresa de Renovación y Desarrollo Urbano</v>
      </c>
      <c r="F2275" s="25" t="str">
        <f ca="1">IFERROR(__xludf.DUMMYFUNCTION("""COMPUTED_VALUE"""),"Hacer un plan para autorizar el plan parcial Alameda La Concordia en el 2022")</f>
        <v>Hacer un plan para autorizar el plan parcial Alameda La Concordia en el 2022</v>
      </c>
      <c r="G2275" s="25" t="str">
        <f ca="1">IFERROR(__xludf.DUMMYFUNCTION("""COMPUTED_VALUE"""),"99. Distrito")</f>
        <v>99. Distrito</v>
      </c>
      <c r="H2275" s="55">
        <f ca="1">IFERROR(__xludf.DUMMYFUNCTION("""COMPUTED_VALUE"""),44617)</f>
        <v>44617</v>
      </c>
      <c r="I2275" s="25"/>
      <c r="J2275" s="55" t="str">
        <f ca="1">IFERROR(__xludf.DUMMYFUNCTION("""COMPUTED_VALUE"""),"Alta")</f>
        <v>Alta</v>
      </c>
      <c r="K2275" s="25">
        <f ca="1">IFERROR(__xludf.DUMMYFUNCTION("""COMPUTED_VALUE"""),30)</f>
        <v>30</v>
      </c>
      <c r="L2275" s="62"/>
      <c r="M2275" s="25"/>
      <c r="N2275" s="55">
        <f ca="1">IFERROR(__xludf.DUMMYFUNCTION("""COMPUTED_VALUE"""),44927)</f>
        <v>44927</v>
      </c>
      <c r="O2275" s="25" t="str">
        <f t="shared" ca="1" si="0"/>
        <v>Empresa de Renovación y Desarrollo Urbano</v>
      </c>
      <c r="P2275" s="25" t="str">
        <f t="shared" si="2"/>
        <v/>
      </c>
      <c r="Q2275" s="25" t="str">
        <f ca="1">IFERROR(__xludf.DUMMYFUNCTION("""COMPUTED_VALUE"""),"Corto plazo")</f>
        <v>Corto plazo</v>
      </c>
      <c r="R2275" s="25"/>
      <c r="S2275" s="55"/>
      <c r="T2275" s="56"/>
      <c r="U2275" s="25"/>
      <c r="V2275" s="25"/>
      <c r="W2275" s="25"/>
      <c r="X2275" s="25"/>
      <c r="Y2275" s="25"/>
      <c r="Z2275" s="25"/>
    </row>
    <row r="2276" spans="1:26" ht="52.5" customHeight="1" x14ac:dyDescent="0.25">
      <c r="A2276" s="25" t="str">
        <f ca="1">IFERROR(__xludf.DUMMYFUNCTION("""COMPUTED_VALUE"""),"Hábit174")</f>
        <v>Hábit174</v>
      </c>
      <c r="B2276" s="25" t="str">
        <f ca="1">IFERROR(__xludf.DUMMYFUNCTION("""COMPUTED_VALUE"""),"Junta de infraestructura")</f>
        <v>Junta de infraestructura</v>
      </c>
      <c r="C2276" s="55">
        <f ca="1">IFERROR(__xludf.DUMMYFUNCTION("""COMPUTED_VALUE"""),44608)</f>
        <v>44608</v>
      </c>
      <c r="D2276" s="25" t="str">
        <f ca="1">IFERROR(__xludf.DUMMYFUNCTION("""COMPUTED_VALUE"""),"Hábitat")</f>
        <v>Hábitat</v>
      </c>
      <c r="E2276" s="25" t="str">
        <f ca="1">IFERROR(__xludf.DUMMYFUNCTION("""COMPUTED_VALUE"""),"Secretaría Distrital del Hábitat")</f>
        <v>Secretaría Distrital del Hábitat</v>
      </c>
      <c r="F2276" s="25" t="str">
        <f ca="1">IFERROR(__xludf.DUMMYFUNCTION("""COMPUTED_VALUE"""),"Av 68
Apoyo en la gestión con Ospinas para el Plan Parcial de Renovación Urbana Nuevo Salitre 
")</f>
        <v xml:space="preserve">Av 68
Apoyo en la gestión con Ospinas para el Plan Parcial de Renovación Urbana Nuevo Salitre 
</v>
      </c>
      <c r="G2276" s="25" t="str">
        <f ca="1">IFERROR(__xludf.DUMMYFUNCTION("""COMPUTED_VALUE"""),"99. Distrito")</f>
        <v>99. Distrito</v>
      </c>
      <c r="H2276" s="55">
        <f ca="1">IFERROR(__xludf.DUMMYFUNCTION("""COMPUTED_VALUE"""),44638)</f>
        <v>44638</v>
      </c>
      <c r="I2276" s="25"/>
      <c r="J2276" s="55" t="str">
        <f ca="1">IFERROR(__xludf.DUMMYFUNCTION("""COMPUTED_VALUE"""),"Alta")</f>
        <v>Alta</v>
      </c>
      <c r="K2276" s="25">
        <f ca="1">IFERROR(__xludf.DUMMYFUNCTION("""COMPUTED_VALUE"""),30)</f>
        <v>30</v>
      </c>
      <c r="L2276" s="62"/>
      <c r="M2276" s="25"/>
      <c r="N2276" s="55">
        <f ca="1">IFERROR(__xludf.DUMMYFUNCTION("""COMPUTED_VALUE"""),44927)</f>
        <v>44927</v>
      </c>
      <c r="O2276" s="25" t="str">
        <f t="shared" ca="1" si="0"/>
        <v>Secretaría Distrital del Hábitat</v>
      </c>
      <c r="P2276" s="25" t="str">
        <f t="shared" si="2"/>
        <v/>
      </c>
      <c r="Q2276" s="25" t="str">
        <f ca="1">IFERROR(__xludf.DUMMYFUNCTION("""COMPUTED_VALUE"""),"Corto plazo")</f>
        <v>Corto plazo</v>
      </c>
      <c r="R2276" s="25"/>
      <c r="S2276" s="55"/>
      <c r="T2276" s="56"/>
      <c r="U2276" s="25"/>
      <c r="V2276" s="25"/>
      <c r="W2276" s="25"/>
      <c r="X2276" s="25"/>
      <c r="Y2276" s="25"/>
      <c r="Z2276" s="25"/>
    </row>
    <row r="2277" spans="1:26" ht="52.5" customHeight="1" x14ac:dyDescent="0.25">
      <c r="A2277" s="25" t="str">
        <f ca="1">IFERROR(__xludf.DUMMYFUNCTION("""COMPUTED_VALUE"""),"Hábit175")</f>
        <v>Hábit175</v>
      </c>
      <c r="B2277" s="25" t="str">
        <f ca="1">IFERROR(__xludf.DUMMYFUNCTION("""COMPUTED_VALUE"""),"Junta de infraestructura")</f>
        <v>Junta de infraestructura</v>
      </c>
      <c r="C2277" s="55">
        <f ca="1">IFERROR(__xludf.DUMMYFUNCTION("""COMPUTED_VALUE"""),44608)</f>
        <v>44608</v>
      </c>
      <c r="D2277" s="25" t="str">
        <f ca="1">IFERROR(__xludf.DUMMYFUNCTION("""COMPUTED_VALUE"""),"Hábitat")</f>
        <v>Hábitat</v>
      </c>
      <c r="E2277" s="25" t="str">
        <f ca="1">IFERROR(__xludf.DUMMYFUNCTION("""COMPUTED_VALUE"""),"Empresa de Acueducto y Alcantarillado de Bogotá")</f>
        <v>Empresa de Acueducto y Alcantarillado de Bogotá</v>
      </c>
      <c r="F2277" s="25" t="str">
        <f ca="1">IFERROR(__xludf.DUMMYFUNCTION("""COMPUTED_VALUE"""),"TAR - PLMB:
Radicar oficialmente el PMT de la pastrana y la primero de mayo.
")</f>
        <v xml:space="preserve">TAR - PLMB:
Radicar oficialmente el PMT de la pastrana y la primero de mayo.
</v>
      </c>
      <c r="G2277" s="25" t="str">
        <f ca="1">IFERROR(__xludf.DUMMYFUNCTION("""COMPUTED_VALUE"""),"99. Distrito")</f>
        <v>99. Distrito</v>
      </c>
      <c r="H2277" s="55">
        <f ca="1">IFERROR(__xludf.DUMMYFUNCTION("""COMPUTED_VALUE"""),44972)</f>
        <v>44972</v>
      </c>
      <c r="I2277" s="25"/>
      <c r="J2277" s="55" t="str">
        <f ca="1">IFERROR(__xludf.DUMMYFUNCTION("""COMPUTED_VALUE"""),"Baja")</f>
        <v>Baja</v>
      </c>
      <c r="K2277" s="25">
        <f ca="1">IFERROR(__xludf.DUMMYFUNCTION("""COMPUTED_VALUE"""),364)</f>
        <v>364</v>
      </c>
      <c r="L2277" s="62">
        <f ca="1">IFERROR(__xludf.DUMMYFUNCTION("""COMPUTED_VALUE"""),44985)</f>
        <v>44985</v>
      </c>
      <c r="M2277" s="25" t="str">
        <f ca="1">IFERROR(__xludf.DUMMYFUNCTION("""COMPUTED_VALUE"""),"El último PMT requerido para la ejecución del colector pastrana en la Av Primero Mayo entre cl 41b sur a la Av. VIllavicencio fue radicado por parte del contratista ante la SDM el 23 Ago-22 y 19 Oct-22 éste último por necesidad de actualizar condiciones d"&amp;"el desvio viabilizado. Las aprobaciones por parte de la SDM fueron dadas mediante COOS No.37 de fecha 15 Sep-22 y No.43 de fecha 27 de octubre de 2022. La Red matriz de acueducto en la Av Primero Mayo entre cl 41 sur a la Cl 42 sur. El PMT requerido para "&amp;"la ejecución de la red matriz de acueducto en el tramo Av Primero Mayo entre Cl 42 sur a la Av. Villavicencio, fue radicado por el contratista a SDM el 21 de Dic-22. El avance actual del colector Pastrana es del 70% y de la red matriz de acueducto es del "&amp;"74%.")</f>
        <v>El último PMT requerido para la ejecución del colector pastrana en la Av Primero Mayo entre cl 41b sur a la Av. VIllavicencio fue radicado por parte del contratista ante la SDM el 23 Ago-22 y 19 Oct-22 éste último por necesidad de actualizar condiciones del desvio viabilizado. Las aprobaciones por parte de la SDM fueron dadas mediante COOS No.37 de fecha 15 Sep-22 y No.43 de fecha 27 de octubre de 2022. La Red matriz de acueducto en la Av Primero Mayo entre cl 41 sur a la Cl 42 sur. El PMT requerido para la ejecución de la red matriz de acueducto en el tramo Av Primero Mayo entre Cl 42 sur a la Av. Villavicencio, fue radicado por el contratista a SDM el 21 de Dic-22. El avance actual del colector Pastrana es del 70% y de la red matriz de acueducto es del 74%.</v>
      </c>
      <c r="N2277" s="55">
        <f ca="1">IFERROR(__xludf.DUMMYFUNCTION("""COMPUTED_VALUE"""),44985)</f>
        <v>44985</v>
      </c>
      <c r="O2277" s="25" t="str">
        <f t="shared" ca="1" si="0"/>
        <v>Empresa de Acueducto y Alcantarillado de Bogotá</v>
      </c>
      <c r="P2277" s="25" t="str">
        <f t="shared" si="2"/>
        <v/>
      </c>
      <c r="Q2277" s="25" t="str">
        <f ca="1">IFERROR(__xludf.DUMMYFUNCTION("""COMPUTED_VALUE"""),"Largo plazo")</f>
        <v>Largo plazo</v>
      </c>
      <c r="R2277" s="25"/>
      <c r="S2277" s="55"/>
      <c r="T2277" s="56"/>
      <c r="U2277" s="25"/>
      <c r="V2277" s="25"/>
      <c r="W2277" s="25"/>
      <c r="X2277" s="25"/>
      <c r="Y2277" s="25"/>
      <c r="Z2277" s="25"/>
    </row>
    <row r="2278" spans="1:26" ht="52.5" customHeight="1" x14ac:dyDescent="0.25">
      <c r="A2278" s="25" t="str">
        <f ca="1">IFERROR(__xludf.DUMMYFUNCTION("""COMPUTED_VALUE"""),"Hábit176")</f>
        <v>Hábit176</v>
      </c>
      <c r="B2278" s="25" t="str">
        <f ca="1">IFERROR(__xludf.DUMMYFUNCTION("""COMPUTED_VALUE"""),"Junta de infraestructura")</f>
        <v>Junta de infraestructura</v>
      </c>
      <c r="C2278" s="55">
        <f ca="1">IFERROR(__xludf.DUMMYFUNCTION("""COMPUTED_VALUE"""),44608)</f>
        <v>44608</v>
      </c>
      <c r="D2278" s="25" t="str">
        <f ca="1">IFERROR(__xludf.DUMMYFUNCTION("""COMPUTED_VALUE"""),"Hábitat")</f>
        <v>Hábitat</v>
      </c>
      <c r="E2278" s="25" t="str">
        <f ca="1">IFERROR(__xludf.DUMMYFUNCTION("""COMPUTED_VALUE"""),"Codensa")</f>
        <v>Codensa</v>
      </c>
      <c r="F2278" s="25" t="str">
        <f ca="1">IFERROR(__xludf.DUMMYFUNCTION("""COMPUTED_VALUE"""),"Av. Ciudad de Cali:
Traslado de postes para poder instalar los pontones sobre el canal
")</f>
        <v xml:space="preserve">Av. Ciudad de Cali:
Traslado de postes para poder instalar los pontones sobre el canal
</v>
      </c>
      <c r="G2278" s="25" t="str">
        <f ca="1">IFERROR(__xludf.DUMMYFUNCTION("""COMPUTED_VALUE"""),"99. Distrito")</f>
        <v>99. Distrito</v>
      </c>
      <c r="H2278" s="55">
        <f ca="1">IFERROR(__xludf.DUMMYFUNCTION("""COMPUTED_VALUE"""),44910)</f>
        <v>44910</v>
      </c>
      <c r="I2278" s="25"/>
      <c r="J2278" s="55" t="str">
        <f ca="1">IFERROR(__xludf.DUMMYFUNCTION("""COMPUTED_VALUE"""),"Baja")</f>
        <v>Baja</v>
      </c>
      <c r="K2278" s="25">
        <f ca="1">IFERROR(__xludf.DUMMYFUNCTION("""COMPUTED_VALUE"""),302)</f>
        <v>302</v>
      </c>
      <c r="L2278" s="62">
        <f ca="1">IFERROR(__xludf.DUMMYFUNCTION("""COMPUTED_VALUE"""),44979)</f>
        <v>44979</v>
      </c>
      <c r="M2278" s="25" t="str">
        <f ca="1">IFERROR(__xludf.DUMMYFUNCTION("""COMPUTED_VALUE"""),"Se había propuesto un nuevo pontón (que si requería traslado de redes y por tanto traslado de postes), pero luego se vio que lo viable es el reforzamiento de los actuales pontones (que NO requiere traslado de redes y por tanto traslado de postes) con lo c"&amp;"uál ese primer punto de la tabla ya no se requiere.")</f>
        <v>Se había propuesto un nuevo pontón (que si requería traslado de redes y por tanto traslado de postes), pero luego se vio que lo viable es el reforzamiento de los actuales pontones (que NO requiere traslado de redes y por tanto traslado de postes) con lo cuál ese primer punto de la tabla ya no se requiere.</v>
      </c>
      <c r="N2278" s="55">
        <f ca="1">IFERROR(__xludf.DUMMYFUNCTION("""COMPUTED_VALUE"""),44980)</f>
        <v>44980</v>
      </c>
      <c r="O2278" s="25" t="str">
        <f t="shared" ca="1" si="0"/>
        <v>Codensa</v>
      </c>
      <c r="P2278" s="25" t="str">
        <f t="shared" si="2"/>
        <v/>
      </c>
      <c r="Q2278" s="25" t="str">
        <f ca="1">IFERROR(__xludf.DUMMYFUNCTION("""COMPUTED_VALUE"""),"Largo plazo")</f>
        <v>Largo plazo</v>
      </c>
      <c r="R2278" s="25"/>
      <c r="S2278" s="55"/>
      <c r="T2278" s="56"/>
      <c r="U2278" s="25"/>
      <c r="V2278" s="25"/>
      <c r="W2278" s="25"/>
      <c r="X2278" s="25"/>
      <c r="Y2278" s="25"/>
      <c r="Z2278" s="25"/>
    </row>
    <row r="2279" spans="1:26" ht="52.5" customHeight="1" x14ac:dyDescent="0.25">
      <c r="A2279" s="25" t="str">
        <f ca="1">IFERROR(__xludf.DUMMYFUNCTION("""COMPUTED_VALUE"""),"Hábit177")</f>
        <v>Hábit177</v>
      </c>
      <c r="B2279" s="25" t="str">
        <f ca="1">IFERROR(__xludf.DUMMYFUNCTION("""COMPUTED_VALUE"""),"Junta de infraestructura")</f>
        <v>Junta de infraestructura</v>
      </c>
      <c r="C2279" s="55">
        <f ca="1">IFERROR(__xludf.DUMMYFUNCTION("""COMPUTED_VALUE"""),44608)</f>
        <v>44608</v>
      </c>
      <c r="D2279" s="25" t="str">
        <f ca="1">IFERROR(__xludf.DUMMYFUNCTION("""COMPUTED_VALUE"""),"Hábitat")</f>
        <v>Hábitat</v>
      </c>
      <c r="E2279" s="25" t="str">
        <f ca="1">IFERROR(__xludf.DUMMYFUNCTION("""COMPUTED_VALUE"""),"Codensa")</f>
        <v>Codensa</v>
      </c>
      <c r="F2279" s="25" t="str">
        <f ca="1">IFERROR(__xludf.DUMMYFUNCTION("""COMPUTED_VALUE"""),"AV 68:
se solicita a ENEL celeridad en el traslado subestación 
")</f>
        <v xml:space="preserve">AV 68:
se solicita a ENEL celeridad en el traslado subestación 
</v>
      </c>
      <c r="G2279" s="25" t="str">
        <f ca="1">IFERROR(__xludf.DUMMYFUNCTION("""COMPUTED_VALUE"""),"99. Distrito")</f>
        <v>99. Distrito</v>
      </c>
      <c r="H2279" s="55">
        <f ca="1">IFERROR(__xludf.DUMMYFUNCTION("""COMPUTED_VALUE"""),44910)</f>
        <v>44910</v>
      </c>
      <c r="I2279" s="25"/>
      <c r="J2279" s="55" t="str">
        <f ca="1">IFERROR(__xludf.DUMMYFUNCTION("""COMPUTED_VALUE"""),"Baja")</f>
        <v>Baja</v>
      </c>
      <c r="K2279" s="25">
        <f ca="1">IFERROR(__xludf.DUMMYFUNCTION("""COMPUTED_VALUE"""),302)</f>
        <v>302</v>
      </c>
      <c r="L2279" s="62">
        <f ca="1">IFERROR(__xludf.DUMMYFUNCTION("""COMPUTED_VALUE"""),44979)</f>
        <v>44979</v>
      </c>
      <c r="M2279" s="25" t="str">
        <f ca="1">IFERROR(__xludf.DUMMYFUNCTION("""COMPUTED_VALUE"""),"Con la energización de la calle 100 que ya se hizo  se logró atender el requerimiento. ")</f>
        <v xml:space="preserve">Con la energización de la calle 100 que ya se hizo  se logró atender el requerimiento. </v>
      </c>
      <c r="N2279" s="55">
        <f ca="1">IFERROR(__xludf.DUMMYFUNCTION("""COMPUTED_VALUE"""),44980)</f>
        <v>44980</v>
      </c>
      <c r="O2279" s="25" t="str">
        <f t="shared" ca="1" si="0"/>
        <v>Codensa</v>
      </c>
      <c r="P2279" s="25" t="str">
        <f t="shared" si="2"/>
        <v/>
      </c>
      <c r="Q2279" s="25" t="str">
        <f ca="1">IFERROR(__xludf.DUMMYFUNCTION("""COMPUTED_VALUE"""),"Largo plazo")</f>
        <v>Largo plazo</v>
      </c>
      <c r="R2279" s="25"/>
      <c r="S2279" s="55"/>
      <c r="T2279" s="56"/>
      <c r="U2279" s="25"/>
      <c r="V2279" s="25"/>
      <c r="W2279" s="25"/>
      <c r="X2279" s="25"/>
      <c r="Y2279" s="25"/>
      <c r="Z2279" s="25"/>
    </row>
    <row r="2280" spans="1:26" ht="52.5" customHeight="1" x14ac:dyDescent="0.25">
      <c r="A2280" s="25" t="str">
        <f ca="1">IFERROR(__xludf.DUMMYFUNCTION("""COMPUTED_VALUE"""),"Hábit178")</f>
        <v>Hábit178</v>
      </c>
      <c r="B2280" s="25" t="str">
        <f ca="1">IFERROR(__xludf.DUMMYFUNCTION("""COMPUTED_VALUE"""),"Plan de carreteros, habitantes de calle y basuras ")</f>
        <v xml:space="preserve">Plan de carreteros, habitantes de calle y basuras </v>
      </c>
      <c r="C2280" s="55">
        <f ca="1">IFERROR(__xludf.DUMMYFUNCTION("""COMPUTED_VALUE"""),44603)</f>
        <v>44603</v>
      </c>
      <c r="D2280" s="25" t="str">
        <f ca="1">IFERROR(__xludf.DUMMYFUNCTION("""COMPUTED_VALUE"""),"Hábitat")</f>
        <v>Hábitat</v>
      </c>
      <c r="E2280" s="25" t="str">
        <f ca="1">IFERROR(__xludf.DUMMYFUNCTION("""COMPUTED_VALUE"""),"Unidad Administrativa Especial de Servicios Públicos")</f>
        <v>Unidad Administrativa Especial de Servicios Públicos</v>
      </c>
      <c r="F2280" s="25" t="str">
        <f ca="1">IFERROR(__xludf.DUMMYFUNCTION("""COMPUTED_VALUE"""),"Atender con recicladores y carreteros, en el marco de la implementación del Decreto y la regularización del POT, acuerdos para establecer organización en la recolección del material aprovechable (horarios y rutas).")</f>
        <v>Atender con recicladores y carreteros, en el marco de la implementación del Decreto y la regularización del POT, acuerdos para establecer organización en la recolección del material aprovechable (horarios y rutas).</v>
      </c>
      <c r="G2280" s="25" t="str">
        <f ca="1">IFERROR(__xludf.DUMMYFUNCTION("""COMPUTED_VALUE"""),"99. Distrito")</f>
        <v>99. Distrito</v>
      </c>
      <c r="H2280" s="55">
        <f ca="1">IFERROR(__xludf.DUMMYFUNCTION("""COMPUTED_VALUE"""),44633)</f>
        <v>44633</v>
      </c>
      <c r="I2280" s="25"/>
      <c r="J2280" s="55" t="str">
        <f ca="1">IFERROR(__xludf.DUMMYFUNCTION("""COMPUTED_VALUE"""),"Alta")</f>
        <v>Alta</v>
      </c>
      <c r="K2280" s="25">
        <f ca="1">IFERROR(__xludf.DUMMYFUNCTION("""COMPUTED_VALUE"""),30)</f>
        <v>30</v>
      </c>
      <c r="L2280" s="62"/>
      <c r="M2280" s="25"/>
      <c r="N2280" s="55">
        <f ca="1">IFERROR(__xludf.DUMMYFUNCTION("""COMPUTED_VALUE"""),44927)</f>
        <v>44927</v>
      </c>
      <c r="O2280" s="25" t="str">
        <f t="shared" ca="1" si="0"/>
        <v>Unidad Administrativa Especial de Servicios Públicos</v>
      </c>
      <c r="P2280" s="25" t="str">
        <f t="shared" si="2"/>
        <v/>
      </c>
      <c r="Q2280" s="25" t="str">
        <f ca="1">IFERROR(__xludf.DUMMYFUNCTION("""COMPUTED_VALUE"""),"Corto plazo")</f>
        <v>Corto plazo</v>
      </c>
      <c r="R2280" s="25"/>
      <c r="S2280" s="55"/>
      <c r="T2280" s="56"/>
      <c r="U2280" s="25"/>
      <c r="V2280" s="25"/>
      <c r="W2280" s="25"/>
      <c r="X2280" s="25"/>
      <c r="Y2280" s="25"/>
      <c r="Z2280" s="25"/>
    </row>
    <row r="2281" spans="1:26" ht="52.5" customHeight="1" x14ac:dyDescent="0.25">
      <c r="A2281" s="25" t="str">
        <f ca="1">IFERROR(__xludf.DUMMYFUNCTION("""COMPUTED_VALUE"""),"Hábit179")</f>
        <v>Hábit179</v>
      </c>
      <c r="B2281" s="25" t="str">
        <f ca="1">IFERROR(__xludf.DUMMYFUNCTION("""COMPUTED_VALUE"""),"Plan de carreteros, habitantes de calle y basuras")</f>
        <v>Plan de carreteros, habitantes de calle y basuras</v>
      </c>
      <c r="C2281" s="55">
        <f ca="1">IFERROR(__xludf.DUMMYFUNCTION("""COMPUTED_VALUE"""),44603)</f>
        <v>44603</v>
      </c>
      <c r="D2281" s="25" t="str">
        <f ca="1">IFERROR(__xludf.DUMMYFUNCTION("""COMPUTED_VALUE"""),"Hábitat")</f>
        <v>Hábitat</v>
      </c>
      <c r="E2281" s="25" t="str">
        <f ca="1">IFERROR(__xludf.DUMMYFUNCTION("""COMPUTED_VALUE"""),"Unidad Administrativa Especial de Servicios Públicos")</f>
        <v>Unidad Administrativa Especial de Servicios Públicos</v>
      </c>
      <c r="F2281" s="25" t="str">
        <f ca="1">IFERROR(__xludf.DUMMYFUNCTION("""COMPUTED_VALUE"""),"Se debe agendar una reunión con los operadores de servicio: 
-        Evaluación y corrección de la tarifa de recolección y transporte de los RCDs y Especiales Domiciliarios
-        Sistema en libre competencia en el que el Distrito participe a través de"&amp;" terceros distintos a los Operadores de Aseo de la Concesión
-        Solicitar a los Operadores, una cuadrilla permanente que atienda exclusivamente las solicitudes de UAESP por ASE
")</f>
        <v xml:space="preserve">Se debe agendar una reunión con los operadores de servicio: 
-        Evaluación y corrección de la tarifa de recolección y transporte de los RCDs y Especiales Domiciliarios
-        Sistema en libre competencia en el que el Distrito participe a través de terceros distintos a los Operadores de Aseo de la Concesión
-        Solicitar a los Operadores, una cuadrilla permanente que atienda exclusivamente las solicitudes de UAESP por ASE
</v>
      </c>
      <c r="G2281" s="25" t="str">
        <f ca="1">IFERROR(__xludf.DUMMYFUNCTION("""COMPUTED_VALUE"""),"99. Distrito")</f>
        <v>99. Distrito</v>
      </c>
      <c r="H2281" s="55">
        <f ca="1">IFERROR(__xludf.DUMMYFUNCTION("""COMPUTED_VALUE"""),44633)</f>
        <v>44633</v>
      </c>
      <c r="I2281" s="25"/>
      <c r="J2281" s="55" t="str">
        <f ca="1">IFERROR(__xludf.DUMMYFUNCTION("""COMPUTED_VALUE"""),"Alta")</f>
        <v>Alta</v>
      </c>
      <c r="K2281" s="25">
        <f ca="1">IFERROR(__xludf.DUMMYFUNCTION("""COMPUTED_VALUE"""),30)</f>
        <v>30</v>
      </c>
      <c r="L2281" s="62"/>
      <c r="M2281" s="25"/>
      <c r="N2281" s="55">
        <f ca="1">IFERROR(__xludf.DUMMYFUNCTION("""COMPUTED_VALUE"""),44927)</f>
        <v>44927</v>
      </c>
      <c r="O2281" s="25" t="str">
        <f t="shared" ca="1" si="0"/>
        <v>Unidad Administrativa Especial de Servicios Públicos</v>
      </c>
      <c r="P2281" s="25" t="str">
        <f t="shared" si="2"/>
        <v/>
      </c>
      <c r="Q2281" s="25" t="str">
        <f ca="1">IFERROR(__xludf.DUMMYFUNCTION("""COMPUTED_VALUE"""),"Corto plazo")</f>
        <v>Corto plazo</v>
      </c>
      <c r="R2281" s="25"/>
      <c r="S2281" s="55"/>
      <c r="T2281" s="56"/>
      <c r="U2281" s="25"/>
      <c r="V2281" s="25"/>
      <c r="W2281" s="25"/>
      <c r="X2281" s="25"/>
      <c r="Y2281" s="25"/>
      <c r="Z2281" s="25"/>
    </row>
    <row r="2282" spans="1:26" ht="52.5" customHeight="1" x14ac:dyDescent="0.25">
      <c r="A2282" s="25" t="str">
        <f ca="1">IFERROR(__xludf.DUMMYFUNCTION("""COMPUTED_VALUE"""),"Hábit180")</f>
        <v>Hábit180</v>
      </c>
      <c r="B2282" s="25" t="str">
        <f ca="1">IFERROR(__xludf.DUMMYFUNCTION("""COMPUTED_VALUE"""),"Plan de carreteros, habitantes de calle y basuras")</f>
        <v>Plan de carreteros, habitantes de calle y basuras</v>
      </c>
      <c r="C2282" s="55">
        <f ca="1">IFERROR(__xludf.DUMMYFUNCTION("""COMPUTED_VALUE"""),44603)</f>
        <v>44603</v>
      </c>
      <c r="D2282" s="25" t="str">
        <f ca="1">IFERROR(__xludf.DUMMYFUNCTION("""COMPUTED_VALUE"""),"Hábitat")</f>
        <v>Hábitat</v>
      </c>
      <c r="E2282" s="25" t="str">
        <f ca="1">IFERROR(__xludf.DUMMYFUNCTION("""COMPUTED_VALUE"""),"Unidad Administrativa Especial de Servicios Públicos")</f>
        <v>Unidad Administrativa Especial de Servicios Públicos</v>
      </c>
      <c r="F2282" s="25" t="str">
        <f ca="1">IFERROR(__xludf.DUMMYFUNCTION("""COMPUTED_VALUE"""),"Diseñar una estrategia de divulgación de la información necesaria para que los usuarios que requieran entregar RCDs y Especiales, tengan a dónde comunicarse bajo una tarifa y tiempos de recolección razonables.")</f>
        <v>Diseñar una estrategia de divulgación de la información necesaria para que los usuarios que requieran entregar RCDs y Especiales, tengan a dónde comunicarse bajo una tarifa y tiempos de recolección razonables.</v>
      </c>
      <c r="G2282" s="25" t="str">
        <f ca="1">IFERROR(__xludf.DUMMYFUNCTION("""COMPUTED_VALUE"""),"99. Distrito")</f>
        <v>99. Distrito</v>
      </c>
      <c r="H2282" s="55">
        <f ca="1">IFERROR(__xludf.DUMMYFUNCTION("""COMPUTED_VALUE"""),44633)</f>
        <v>44633</v>
      </c>
      <c r="I2282" s="25"/>
      <c r="J2282" s="55" t="str">
        <f ca="1">IFERROR(__xludf.DUMMYFUNCTION("""COMPUTED_VALUE"""),"Alta")</f>
        <v>Alta</v>
      </c>
      <c r="K2282" s="25">
        <f ca="1">IFERROR(__xludf.DUMMYFUNCTION("""COMPUTED_VALUE"""),30)</f>
        <v>30</v>
      </c>
      <c r="L2282" s="62"/>
      <c r="M2282" s="25"/>
      <c r="N2282" s="55">
        <f ca="1">IFERROR(__xludf.DUMMYFUNCTION("""COMPUTED_VALUE"""),44927)</f>
        <v>44927</v>
      </c>
      <c r="O2282" s="25" t="str">
        <f t="shared" ca="1" si="0"/>
        <v>Unidad Administrativa Especial de Servicios Públicos</v>
      </c>
      <c r="P2282" s="25" t="str">
        <f t="shared" si="2"/>
        <v/>
      </c>
      <c r="Q2282" s="25" t="str">
        <f ca="1">IFERROR(__xludf.DUMMYFUNCTION("""COMPUTED_VALUE"""),"Corto plazo")</f>
        <v>Corto plazo</v>
      </c>
      <c r="R2282" s="25"/>
      <c r="S2282" s="55"/>
      <c r="T2282" s="56"/>
      <c r="U2282" s="25"/>
      <c r="V2282" s="25"/>
      <c r="W2282" s="25"/>
      <c r="X2282" s="25"/>
      <c r="Y2282" s="25"/>
      <c r="Z2282" s="25"/>
    </row>
    <row r="2283" spans="1:26" ht="52.5" customHeight="1" x14ac:dyDescent="0.25">
      <c r="A2283" s="25" t="str">
        <f ca="1">IFERROR(__xludf.DUMMYFUNCTION("""COMPUTED_VALUE"""),"Hábit181")</f>
        <v>Hábit181</v>
      </c>
      <c r="B2283" s="25" t="str">
        <f ca="1">IFERROR(__xludf.DUMMYFUNCTION("""COMPUTED_VALUE"""),"Mesa Concertación Recicladores")</f>
        <v>Mesa Concertación Recicladores</v>
      </c>
      <c r="C2283" s="55">
        <f ca="1">IFERROR(__xludf.DUMMYFUNCTION("""COMPUTED_VALUE"""),44606)</f>
        <v>44606</v>
      </c>
      <c r="D2283" s="25" t="str">
        <f ca="1">IFERROR(__xludf.DUMMYFUNCTION("""COMPUTED_VALUE"""),"Hábitat")</f>
        <v>Hábitat</v>
      </c>
      <c r="E2283" s="25" t="str">
        <f ca="1">IFERROR(__xludf.DUMMYFUNCTION("""COMPUTED_VALUE"""),"Unidad Administrativa Especial de Servicios Públicos")</f>
        <v>Unidad Administrativa Especial de Servicios Públicos</v>
      </c>
      <c r="F2283" s="25" t="str">
        <f ca="1">IFERROR(__xludf.DUMMYFUNCTION("""COMPUTED_VALUE"""),"Hacer una mesa para establecer un plan de organización con los recicladores que no están organizados/formalizados. ")</f>
        <v xml:space="preserve">Hacer una mesa para establecer un plan de organización con los recicladores que no están organizados/formalizados. </v>
      </c>
      <c r="G2283" s="25" t="str">
        <f ca="1">IFERROR(__xludf.DUMMYFUNCTION("""COMPUTED_VALUE"""),"99. Distrito")</f>
        <v>99. Distrito</v>
      </c>
      <c r="H2283" s="55">
        <f ca="1">IFERROR(__xludf.DUMMYFUNCTION("""COMPUTED_VALUE"""),44636)</f>
        <v>44636</v>
      </c>
      <c r="I2283" s="25"/>
      <c r="J2283" s="55" t="str">
        <f ca="1">IFERROR(__xludf.DUMMYFUNCTION("""COMPUTED_VALUE"""),"Alta")</f>
        <v>Alta</v>
      </c>
      <c r="K2283" s="25">
        <f ca="1">IFERROR(__xludf.DUMMYFUNCTION("""COMPUTED_VALUE"""),30)</f>
        <v>30</v>
      </c>
      <c r="L2283" s="62"/>
      <c r="M2283" s="25"/>
      <c r="N2283" s="55">
        <f ca="1">IFERROR(__xludf.DUMMYFUNCTION("""COMPUTED_VALUE"""),44927)</f>
        <v>44927</v>
      </c>
      <c r="O2283" s="25" t="str">
        <f t="shared" ca="1" si="0"/>
        <v>Unidad Administrativa Especial de Servicios Públicos</v>
      </c>
      <c r="P2283" s="25" t="str">
        <f t="shared" si="2"/>
        <v/>
      </c>
      <c r="Q2283" s="25" t="str">
        <f ca="1">IFERROR(__xludf.DUMMYFUNCTION("""COMPUTED_VALUE"""),"Corto plazo")</f>
        <v>Corto plazo</v>
      </c>
      <c r="R2283" s="25"/>
      <c r="S2283" s="55"/>
      <c r="T2283" s="56"/>
      <c r="U2283" s="25"/>
      <c r="V2283" s="25"/>
      <c r="W2283" s="25"/>
      <c r="X2283" s="25"/>
      <c r="Y2283" s="25"/>
      <c r="Z2283" s="25"/>
    </row>
    <row r="2284" spans="1:26" ht="52.5" customHeight="1" x14ac:dyDescent="0.25">
      <c r="A2284" s="25" t="str">
        <f ca="1">IFERROR(__xludf.DUMMYFUNCTION("""COMPUTED_VALUE"""),"Hábit182")</f>
        <v>Hábit182</v>
      </c>
      <c r="B2284" s="25" t="str">
        <f ca="1">IFERROR(__xludf.DUMMYFUNCTION("""COMPUTED_VALUE"""),"Mesa Concertación Recicladores")</f>
        <v>Mesa Concertación Recicladores</v>
      </c>
      <c r="C2284" s="55">
        <f ca="1">IFERROR(__xludf.DUMMYFUNCTION("""COMPUTED_VALUE"""),44606)</f>
        <v>44606</v>
      </c>
      <c r="D2284" s="25" t="str">
        <f ca="1">IFERROR(__xludf.DUMMYFUNCTION("""COMPUTED_VALUE"""),"Hábitat")</f>
        <v>Hábitat</v>
      </c>
      <c r="E2284" s="25" t="str">
        <f ca="1">IFERROR(__xludf.DUMMYFUNCTION("""COMPUTED_VALUE"""),"Unidad Administrativa Especial de Servicios Públicos")</f>
        <v>Unidad Administrativa Especial de Servicios Públicos</v>
      </c>
      <c r="F2284" s="25" t="str">
        <f ca="1">IFERROR(__xludf.DUMMYFUNCTION("""COMPUTED_VALUE"""),"Taller por UPL: Hacer un mapeo UPL por UPL para revisar cómo prestar el servicio de la mejor manera en cada zona. (Cómo se lo imagina el distrito y cómo se lo imaginan los recicladores)")</f>
        <v>Taller por UPL: Hacer un mapeo UPL por UPL para revisar cómo prestar el servicio de la mejor manera en cada zona. (Cómo se lo imagina el distrito y cómo se lo imaginan los recicladores)</v>
      </c>
      <c r="G2284" s="25" t="str">
        <f ca="1">IFERROR(__xludf.DUMMYFUNCTION("""COMPUTED_VALUE"""),"99. Distrito")</f>
        <v>99. Distrito</v>
      </c>
      <c r="H2284" s="55">
        <f ca="1">IFERROR(__xludf.DUMMYFUNCTION("""COMPUTED_VALUE"""),44636)</f>
        <v>44636</v>
      </c>
      <c r="I2284" s="25"/>
      <c r="J2284" s="55" t="str">
        <f ca="1">IFERROR(__xludf.DUMMYFUNCTION("""COMPUTED_VALUE"""),"Alta")</f>
        <v>Alta</v>
      </c>
      <c r="K2284" s="25">
        <f ca="1">IFERROR(__xludf.DUMMYFUNCTION("""COMPUTED_VALUE"""),30)</f>
        <v>30</v>
      </c>
      <c r="L2284" s="62"/>
      <c r="M2284" s="25"/>
      <c r="N2284" s="55">
        <f ca="1">IFERROR(__xludf.DUMMYFUNCTION("""COMPUTED_VALUE"""),44927)</f>
        <v>44927</v>
      </c>
      <c r="O2284" s="25" t="str">
        <f t="shared" ca="1" si="0"/>
        <v>Unidad Administrativa Especial de Servicios Públicos</v>
      </c>
      <c r="P2284" s="25" t="str">
        <f t="shared" si="2"/>
        <v/>
      </c>
      <c r="Q2284" s="25" t="str">
        <f ca="1">IFERROR(__xludf.DUMMYFUNCTION("""COMPUTED_VALUE"""),"Corto plazo")</f>
        <v>Corto plazo</v>
      </c>
      <c r="R2284" s="25"/>
      <c r="S2284" s="55"/>
      <c r="T2284" s="56"/>
      <c r="U2284" s="25"/>
      <c r="V2284" s="25"/>
      <c r="W2284" s="25"/>
      <c r="X2284" s="25"/>
      <c r="Y2284" s="25"/>
      <c r="Z2284" s="25"/>
    </row>
    <row r="2285" spans="1:26" ht="52.5" customHeight="1" x14ac:dyDescent="0.25">
      <c r="A2285" s="25" t="str">
        <f ca="1">IFERROR(__xludf.DUMMYFUNCTION("""COMPUTED_VALUE"""),"Hábit183")</f>
        <v>Hábit183</v>
      </c>
      <c r="B2285" s="25" t="str">
        <f ca="1">IFERROR(__xludf.DUMMYFUNCTION("""COMPUTED_VALUE"""),"Planes Parciales")</f>
        <v>Planes Parciales</v>
      </c>
      <c r="C2285" s="55">
        <f ca="1">IFERROR(__xludf.DUMMYFUNCTION("""COMPUTED_VALUE"""),44607)</f>
        <v>44607</v>
      </c>
      <c r="D2285" s="25" t="str">
        <f ca="1">IFERROR(__xludf.DUMMYFUNCTION("""COMPUTED_VALUE"""),"Hábitat")</f>
        <v>Hábitat</v>
      </c>
      <c r="E2285" s="25" t="str">
        <f ca="1">IFERROR(__xludf.DUMMYFUNCTION("""COMPUTED_VALUE"""),"Secretaría Distrital del Hábitat")</f>
        <v>Secretaría Distrital del Hábitat</v>
      </c>
      <c r="F2285" s="25" t="str">
        <f ca="1">IFERROR(__xludf.DUMMYFUNCTION("""COMPUTED_VALUE"""),"Hacer un plan/cronograma para el plan parcial en sector de Quiba")</f>
        <v>Hacer un plan/cronograma para el plan parcial en sector de Quiba</v>
      </c>
      <c r="G2285" s="25" t="str">
        <f ca="1">IFERROR(__xludf.DUMMYFUNCTION("""COMPUTED_VALUE"""),"99. Distrito")</f>
        <v>99. Distrito</v>
      </c>
      <c r="H2285" s="55">
        <f ca="1">IFERROR(__xludf.DUMMYFUNCTION("""COMPUTED_VALUE"""),44637)</f>
        <v>44637</v>
      </c>
      <c r="I2285" s="25"/>
      <c r="J2285" s="55" t="str">
        <f ca="1">IFERROR(__xludf.DUMMYFUNCTION("""COMPUTED_VALUE"""),"Alta")</f>
        <v>Alta</v>
      </c>
      <c r="K2285" s="25">
        <f ca="1">IFERROR(__xludf.DUMMYFUNCTION("""COMPUTED_VALUE"""),30)</f>
        <v>30</v>
      </c>
      <c r="L2285" s="62"/>
      <c r="M2285" s="25"/>
      <c r="N2285" s="55">
        <f ca="1">IFERROR(__xludf.DUMMYFUNCTION("""COMPUTED_VALUE"""),44927)</f>
        <v>44927</v>
      </c>
      <c r="O2285" s="25" t="str">
        <f t="shared" ca="1" si="0"/>
        <v>Secretaría Distrital del Hábitat</v>
      </c>
      <c r="P2285" s="25" t="str">
        <f t="shared" si="2"/>
        <v/>
      </c>
      <c r="Q2285" s="25" t="str">
        <f ca="1">IFERROR(__xludf.DUMMYFUNCTION("""COMPUTED_VALUE"""),"Corto plazo")</f>
        <v>Corto plazo</v>
      </c>
      <c r="R2285" s="25"/>
      <c r="S2285" s="55"/>
      <c r="T2285" s="56"/>
      <c r="U2285" s="25"/>
      <c r="V2285" s="25"/>
      <c r="W2285" s="25"/>
      <c r="X2285" s="25"/>
      <c r="Y2285" s="25"/>
      <c r="Z2285" s="25"/>
    </row>
    <row r="2286" spans="1:26" ht="52.5" customHeight="1" x14ac:dyDescent="0.25">
      <c r="A2286" s="25" t="str">
        <f ca="1">IFERROR(__xludf.DUMMYFUNCTION("""COMPUTED_VALUE"""),"Hábit184")</f>
        <v>Hábit184</v>
      </c>
      <c r="B2286" s="25" t="str">
        <f ca="1">IFERROR(__xludf.DUMMYFUNCTION("""COMPUTED_VALUE"""),"Planes Parciales")</f>
        <v>Planes Parciales</v>
      </c>
      <c r="C2286" s="55">
        <f ca="1">IFERROR(__xludf.DUMMYFUNCTION("""COMPUTED_VALUE"""),44607)</f>
        <v>44607</v>
      </c>
      <c r="D2286" s="25" t="str">
        <f ca="1">IFERROR(__xludf.DUMMYFUNCTION("""COMPUTED_VALUE"""),"Hábitat")</f>
        <v>Hábitat</v>
      </c>
      <c r="E2286" s="25" t="str">
        <f ca="1">IFERROR(__xludf.DUMMYFUNCTION("""COMPUTED_VALUE"""),"Secretaría Distrital del Hábitat")</f>
        <v>Secretaría Distrital del Hábitat</v>
      </c>
      <c r="F2286" s="25" t="str">
        <f ca="1">IFERROR(__xludf.DUMMYFUNCTION("""COMPUTED_VALUE"""),"Realizar un cronograma de estimación de iniciaciones de vivienda (Ej: Cronograma presentado por SDP adopción planes parciales)")</f>
        <v>Realizar un cronograma de estimación de iniciaciones de vivienda (Ej: Cronograma presentado por SDP adopción planes parciales)</v>
      </c>
      <c r="G2286" s="25" t="str">
        <f ca="1">IFERROR(__xludf.DUMMYFUNCTION("""COMPUTED_VALUE"""),"99. Distrito")</f>
        <v>99. Distrito</v>
      </c>
      <c r="H2286" s="55">
        <f ca="1">IFERROR(__xludf.DUMMYFUNCTION("""COMPUTED_VALUE"""),44637)</f>
        <v>44637</v>
      </c>
      <c r="I2286" s="25"/>
      <c r="J2286" s="55" t="str">
        <f ca="1">IFERROR(__xludf.DUMMYFUNCTION("""COMPUTED_VALUE"""),"Alta")</f>
        <v>Alta</v>
      </c>
      <c r="K2286" s="25">
        <f ca="1">IFERROR(__xludf.DUMMYFUNCTION("""COMPUTED_VALUE"""),30)</f>
        <v>30</v>
      </c>
      <c r="L2286" s="62"/>
      <c r="M2286" s="25"/>
      <c r="N2286" s="55">
        <f ca="1">IFERROR(__xludf.DUMMYFUNCTION("""COMPUTED_VALUE"""),44927)</f>
        <v>44927</v>
      </c>
      <c r="O2286" s="25" t="str">
        <f t="shared" ca="1" si="0"/>
        <v>Secretaría Distrital del Hábitat</v>
      </c>
      <c r="P2286" s="25" t="str">
        <f t="shared" si="2"/>
        <v/>
      </c>
      <c r="Q2286" s="25" t="str">
        <f ca="1">IFERROR(__xludf.DUMMYFUNCTION("""COMPUTED_VALUE"""),"Corto plazo")</f>
        <v>Corto plazo</v>
      </c>
      <c r="R2286" s="25"/>
      <c r="S2286" s="55"/>
      <c r="T2286" s="56"/>
      <c r="U2286" s="25"/>
      <c r="V2286" s="25"/>
      <c r="W2286" s="25"/>
      <c r="X2286" s="25"/>
      <c r="Y2286" s="25"/>
      <c r="Z2286" s="25"/>
    </row>
    <row r="2287" spans="1:26" ht="52.5" customHeight="1" x14ac:dyDescent="0.25">
      <c r="A2287" s="25" t="str">
        <f ca="1">IFERROR(__xludf.DUMMYFUNCTION("""COMPUTED_VALUE"""),"Hábit185")</f>
        <v>Hábit185</v>
      </c>
      <c r="B2287" s="25" t="str">
        <f ca="1">IFERROR(__xludf.DUMMYFUNCTION("""COMPUTED_VALUE"""),"Plan de carreteros, habitantes de calle y basuras")</f>
        <v>Plan de carreteros, habitantes de calle y basuras</v>
      </c>
      <c r="C2287" s="55">
        <f ca="1">IFERROR(__xludf.DUMMYFUNCTION("""COMPUTED_VALUE"""),44238)</f>
        <v>44238</v>
      </c>
      <c r="D2287" s="25" t="str">
        <f ca="1">IFERROR(__xludf.DUMMYFUNCTION("""COMPUTED_VALUE"""),"Hábitat")</f>
        <v>Hábitat</v>
      </c>
      <c r="E2287" s="25" t="str">
        <f ca="1">IFERROR(__xludf.DUMMYFUNCTION("""COMPUTED_VALUE"""),"Unidad Administrativa Especial de Servicios Públicos")</f>
        <v>Unidad Administrativa Especial de Servicios Públicos</v>
      </c>
      <c r="F2287" s="25" t="str">
        <f ca="1">IFERROR(__xludf.DUMMYFUNCTION("""COMPUTED_VALUE"""),"Conformar cuadrillas de jóvenes de los programas Parceros y/o Reto, que en una acción conjunta de Cultura Ciudadana con Secretaría de Seguridad, SDIS, IDIPRON, Cultura, Ambiente, Gobierno (Alcaldías Locales), propendan por la limpieza de la ciudad. (Entre"&amp;" 4.000 y 5.000 jóvenes capacitados y coordinados por la UAESP, para intervenciones en los puntos determinados mediante mapa de necesidades de las Entidades mencionadas).")</f>
        <v>Conformar cuadrillas de jóvenes de los programas Parceros y/o Reto, que en una acción conjunta de Cultura Ciudadana con Secretaría de Seguridad, SDIS, IDIPRON, Cultura, Ambiente, Gobierno (Alcaldías Locales), propendan por la limpieza de la ciudad. (Entre 4.000 y 5.000 jóvenes capacitados y coordinados por la UAESP, para intervenciones en los puntos determinados mediante mapa de necesidades de las Entidades mencionadas).</v>
      </c>
      <c r="G2287" s="25" t="str">
        <f ca="1">IFERROR(__xludf.DUMMYFUNCTION("""COMPUTED_VALUE"""),"99. Distrito")</f>
        <v>99. Distrito</v>
      </c>
      <c r="H2287" s="55">
        <f ca="1">IFERROR(__xludf.DUMMYFUNCTION("""COMPUTED_VALUE"""),44268)</f>
        <v>44268</v>
      </c>
      <c r="I2287" s="25"/>
      <c r="J2287" s="55" t="str">
        <f ca="1">IFERROR(__xludf.DUMMYFUNCTION("""COMPUTED_VALUE"""),"Alta")</f>
        <v>Alta</v>
      </c>
      <c r="K2287" s="25">
        <f ca="1">IFERROR(__xludf.DUMMYFUNCTION("""COMPUTED_VALUE"""),30)</f>
        <v>30</v>
      </c>
      <c r="L2287" s="62"/>
      <c r="M2287" s="25"/>
      <c r="N2287" s="55">
        <f ca="1">IFERROR(__xludf.DUMMYFUNCTION("""COMPUTED_VALUE"""),44927)</f>
        <v>44927</v>
      </c>
      <c r="O2287" s="25" t="str">
        <f t="shared" ca="1" si="0"/>
        <v>Unidad Administrativa Especial de Servicios Públicos</v>
      </c>
      <c r="P2287" s="25" t="str">
        <f t="shared" si="2"/>
        <v/>
      </c>
      <c r="Q2287" s="25" t="str">
        <f ca="1">IFERROR(__xludf.DUMMYFUNCTION("""COMPUTED_VALUE"""),"Corto plazo")</f>
        <v>Corto plazo</v>
      </c>
      <c r="R2287" s="25"/>
      <c r="S2287" s="55"/>
      <c r="T2287" s="56"/>
      <c r="U2287" s="25"/>
      <c r="V2287" s="25"/>
      <c r="W2287" s="25"/>
      <c r="X2287" s="25"/>
      <c r="Y2287" s="25"/>
      <c r="Z2287" s="25"/>
    </row>
    <row r="2288" spans="1:26" ht="52.5" customHeight="1" x14ac:dyDescent="0.25">
      <c r="A2288" s="25" t="str">
        <f ca="1">IFERROR(__xludf.DUMMYFUNCTION("""COMPUTED_VALUE"""),"Hábit186")</f>
        <v>Hábit186</v>
      </c>
      <c r="B2288" s="25" t="str">
        <f ca="1">IFERROR(__xludf.DUMMYFUNCTION("""COMPUTED_VALUE"""),"Reunión Cable Reencuentro - Monserrate")</f>
        <v>Reunión Cable Reencuentro - Monserrate</v>
      </c>
      <c r="C2288" s="55">
        <f ca="1">IFERROR(__xludf.DUMMYFUNCTION("""COMPUTED_VALUE"""),44580)</f>
        <v>44580</v>
      </c>
      <c r="D2288" s="25" t="str">
        <f ca="1">IFERROR(__xludf.DUMMYFUNCTION("""COMPUTED_VALUE"""),"Hábitat")</f>
        <v>Hábitat</v>
      </c>
      <c r="E2288" s="25" t="str">
        <f ca="1">IFERROR(__xludf.DUMMYFUNCTION("""COMPUTED_VALUE"""),"Empresa de Renovación y Desarrollo Urbano")</f>
        <v>Empresa de Renovación y Desarrollo Urbano</v>
      </c>
      <c r="F2288" s="25" t="str">
        <f ca="1">IFERROR(__xludf.DUMMYFUNCTION("""COMPUTED_VALUE""")," Radicar en mayo 2022 el PP. Metro Calle 26 (alcance a radicación) y el PP. San Bernardo ante SDP")</f>
        <v xml:space="preserve"> Radicar en mayo 2022 el PP. Metro Calle 26 (alcance a radicación) y el PP. San Bernardo ante SDP</v>
      </c>
      <c r="G2288" s="25" t="str">
        <f ca="1">IFERROR(__xludf.DUMMYFUNCTION("""COMPUTED_VALUE"""),"99. Distrito")</f>
        <v>99. Distrito</v>
      </c>
      <c r="H2288" s="55">
        <f ca="1">IFERROR(__xludf.DUMMYFUNCTION("""COMPUTED_VALUE"""),44610)</f>
        <v>44610</v>
      </c>
      <c r="I2288" s="25"/>
      <c r="J2288" s="55" t="str">
        <f ca="1">IFERROR(__xludf.DUMMYFUNCTION("""COMPUTED_VALUE"""),"Alta")</f>
        <v>Alta</v>
      </c>
      <c r="K2288" s="25">
        <f ca="1">IFERROR(__xludf.DUMMYFUNCTION("""COMPUTED_VALUE"""),30)</f>
        <v>30</v>
      </c>
      <c r="L2288" s="62"/>
      <c r="M2288" s="25"/>
      <c r="N2288" s="55">
        <f ca="1">IFERROR(__xludf.DUMMYFUNCTION("""COMPUTED_VALUE"""),44927)</f>
        <v>44927</v>
      </c>
      <c r="O2288" s="25" t="str">
        <f t="shared" ca="1" si="0"/>
        <v>Empresa de Renovación y Desarrollo Urbano</v>
      </c>
      <c r="P2288" s="25" t="str">
        <f t="shared" si="2"/>
        <v/>
      </c>
      <c r="Q2288" s="25" t="str">
        <f ca="1">IFERROR(__xludf.DUMMYFUNCTION("""COMPUTED_VALUE"""),"Corto plazo")</f>
        <v>Corto plazo</v>
      </c>
      <c r="R2288" s="25"/>
      <c r="S2288" s="55"/>
      <c r="T2288" s="56"/>
      <c r="U2288" s="25"/>
      <c r="V2288" s="25"/>
      <c r="W2288" s="25"/>
      <c r="X2288" s="25"/>
      <c r="Y2288" s="25"/>
      <c r="Z2288" s="25"/>
    </row>
    <row r="2289" spans="1:26" ht="52.5" customHeight="1" x14ac:dyDescent="0.25">
      <c r="A2289" s="25" t="str">
        <f ca="1">IFERROR(__xludf.DUMMYFUNCTION("""COMPUTED_VALUE"""),"Hábit187")</f>
        <v>Hábit187</v>
      </c>
      <c r="B2289" s="25" t="str">
        <f ca="1">IFERROR(__xludf.DUMMYFUNCTION("""COMPUTED_VALUE"""),"Reverdecer del Sur")</f>
        <v>Reverdecer del Sur</v>
      </c>
      <c r="C2289" s="55">
        <f ca="1">IFERROR(__xludf.DUMMYFUNCTION("""COMPUTED_VALUE"""),44613)</f>
        <v>44613</v>
      </c>
      <c r="D2289" s="25" t="str">
        <f ca="1">IFERROR(__xludf.DUMMYFUNCTION("""COMPUTED_VALUE"""),"Hábitat")</f>
        <v>Hábitat</v>
      </c>
      <c r="E2289" s="25" t="str">
        <f ca="1">IFERROR(__xludf.DUMMYFUNCTION("""COMPUTED_VALUE"""),"Empresa de Acueducto y Alcantarillado de Bogotá")</f>
        <v>Empresa de Acueducto y Alcantarillado de Bogotá</v>
      </c>
      <c r="F2289" s="25" t="str">
        <f ca="1">IFERROR(__xludf.DUMMYFUNCTION("""COMPUTED_VALUE"""),"Reverdecer del sur:
Entregar estudios técnicos Reverdecer del Sur al IDIGER El estudio topográfico y modelación por parte de la EAAB.")</f>
        <v>Reverdecer del sur:
Entregar estudios técnicos Reverdecer del Sur al IDIGER El estudio topográfico y modelación por parte de la EAAB.</v>
      </c>
      <c r="G2289" s="25" t="str">
        <f ca="1">IFERROR(__xludf.DUMMYFUNCTION("""COMPUTED_VALUE"""),"99. Distrito")</f>
        <v>99. Distrito</v>
      </c>
      <c r="H2289" s="55">
        <f ca="1">IFERROR(__xludf.DUMMYFUNCTION("""COMPUTED_VALUE"""),44643)</f>
        <v>44643</v>
      </c>
      <c r="I2289" s="25"/>
      <c r="J2289" s="55" t="str">
        <f ca="1">IFERROR(__xludf.DUMMYFUNCTION("""COMPUTED_VALUE"""),"Alta")</f>
        <v>Alta</v>
      </c>
      <c r="K2289" s="61">
        <f ca="1">IFERROR(__xludf.DUMMYFUNCTION("""COMPUTED_VALUE"""),30)</f>
        <v>30</v>
      </c>
      <c r="L2289" s="62">
        <f ca="1">IFERROR(__xludf.DUMMYFUNCTION("""COMPUTED_VALUE"""),44956)</f>
        <v>44956</v>
      </c>
      <c r="M2289" s="25"/>
      <c r="N2289" s="55">
        <f ca="1">IFERROR(__xludf.DUMMYFUNCTION("""COMPUTED_VALUE"""),44927)</f>
        <v>44927</v>
      </c>
      <c r="O2289" s="25" t="str">
        <f t="shared" ca="1" si="0"/>
        <v>Empresa de Acueducto y Alcantarillado de Bogotá</v>
      </c>
      <c r="P2289" s="25" t="str">
        <f t="shared" si="2"/>
        <v/>
      </c>
      <c r="Q2289" s="25" t="str">
        <f ca="1">IFERROR(__xludf.DUMMYFUNCTION("""COMPUTED_VALUE"""),"Corto plazo")</f>
        <v>Corto plazo</v>
      </c>
      <c r="R2289" s="25"/>
      <c r="S2289" s="55"/>
      <c r="T2289" s="56"/>
      <c r="U2289" s="25"/>
      <c r="V2289" s="25"/>
      <c r="W2289" s="25"/>
      <c r="X2289" s="25"/>
      <c r="Y2289" s="25"/>
      <c r="Z2289" s="25"/>
    </row>
    <row r="2290" spans="1:26" ht="52.5" customHeight="1" x14ac:dyDescent="0.25">
      <c r="A2290" s="25" t="str">
        <f ca="1">IFERROR(__xludf.DUMMYFUNCTION("""COMPUTED_VALUE"""),"Hábit188")</f>
        <v>Hábit188</v>
      </c>
      <c r="B2290" s="25" t="str">
        <f ca="1">IFERROR(__xludf.DUMMYFUNCTION("""COMPUTED_VALUE"""),"Reverdecer del Sur")</f>
        <v>Reverdecer del Sur</v>
      </c>
      <c r="C2290" s="55">
        <f ca="1">IFERROR(__xludf.DUMMYFUNCTION("""COMPUTED_VALUE"""),44613)</f>
        <v>44613</v>
      </c>
      <c r="D2290" s="25" t="str">
        <f ca="1">IFERROR(__xludf.DUMMYFUNCTION("""COMPUTED_VALUE"""),"Hábitat")</f>
        <v>Hábitat</v>
      </c>
      <c r="E2290" s="25" t="str">
        <f ca="1">IFERROR(__xludf.DUMMYFUNCTION("""COMPUTED_VALUE"""),"Secretaría Distrital del Hábitat")</f>
        <v>Secretaría Distrital del Hábitat</v>
      </c>
      <c r="F2290" s="25" t="str">
        <f ca="1">IFERROR(__xludf.DUMMYFUNCTION("""COMPUTED_VALUE"""),"Reverdecer del sur:
Estrategia y cronograma de cierre minero y reconformación del suelo conciliado con el sector privado")</f>
        <v>Reverdecer del sur:
Estrategia y cronograma de cierre minero y reconformación del suelo conciliado con el sector privado</v>
      </c>
      <c r="G2290" s="25" t="str">
        <f ca="1">IFERROR(__xludf.DUMMYFUNCTION("""COMPUTED_VALUE"""),"99. Distrito")</f>
        <v>99. Distrito</v>
      </c>
      <c r="H2290" s="55">
        <f ca="1">IFERROR(__xludf.DUMMYFUNCTION("""COMPUTED_VALUE"""),44643)</f>
        <v>44643</v>
      </c>
      <c r="I2290" s="25"/>
      <c r="J2290" s="55" t="str">
        <f ca="1">IFERROR(__xludf.DUMMYFUNCTION("""COMPUTED_VALUE"""),"Alta")</f>
        <v>Alta</v>
      </c>
      <c r="K2290" s="61">
        <f ca="1">IFERROR(__xludf.DUMMYFUNCTION("""COMPUTED_VALUE"""),30)</f>
        <v>30</v>
      </c>
      <c r="L2290" s="62"/>
      <c r="M2290" s="25"/>
      <c r="N2290" s="55">
        <f ca="1">IFERROR(__xludf.DUMMYFUNCTION("""COMPUTED_VALUE"""),44927)</f>
        <v>44927</v>
      </c>
      <c r="O2290" s="25" t="str">
        <f t="shared" ca="1" si="0"/>
        <v>Secretaría Distrital del Hábitat</v>
      </c>
      <c r="P2290" s="25" t="str">
        <f t="shared" si="2"/>
        <v/>
      </c>
      <c r="Q2290" s="25" t="str">
        <f ca="1">IFERROR(__xludf.DUMMYFUNCTION("""COMPUTED_VALUE"""),"Corto plazo")</f>
        <v>Corto plazo</v>
      </c>
      <c r="R2290" s="25"/>
      <c r="S2290" s="55"/>
      <c r="T2290" s="56"/>
      <c r="U2290" s="25"/>
      <c r="V2290" s="25"/>
      <c r="W2290" s="25"/>
      <c r="X2290" s="25"/>
      <c r="Y2290" s="25"/>
      <c r="Z2290" s="25"/>
    </row>
    <row r="2291" spans="1:26" ht="52.5" customHeight="1" x14ac:dyDescent="0.25">
      <c r="A2291" s="25" t="str">
        <f ca="1">IFERROR(__xludf.DUMMYFUNCTION("""COMPUTED_VALUE"""),"Hábit189")</f>
        <v>Hábit189</v>
      </c>
      <c r="B2291" s="25" t="str">
        <f ca="1">IFERROR(__xludf.DUMMYFUNCTION("""COMPUTED_VALUE"""),"Reverdecer del Sur")</f>
        <v>Reverdecer del Sur</v>
      </c>
      <c r="C2291" s="55">
        <f ca="1">IFERROR(__xludf.DUMMYFUNCTION("""COMPUTED_VALUE"""),44613)</f>
        <v>44613</v>
      </c>
      <c r="D2291" s="25" t="str">
        <f ca="1">IFERROR(__xludf.DUMMYFUNCTION("""COMPUTED_VALUE"""),"Hábitat")</f>
        <v>Hábitat</v>
      </c>
      <c r="E2291" s="25" t="str">
        <f ca="1">IFERROR(__xludf.DUMMYFUNCTION("""COMPUTED_VALUE"""),"Secretaría Distrital del Hábitat")</f>
        <v>Secretaría Distrital del Hábitat</v>
      </c>
      <c r="F2291" s="25" t="str">
        <f ca="1">IFERROR(__xludf.DUMMYFUNCTION("""COMPUTED_VALUE"""),"Reverdecer del sur:
Radicación de la iniciativa SDHT - Privados")</f>
        <v>Reverdecer del sur:
Radicación de la iniciativa SDHT - Privados</v>
      </c>
      <c r="G2291" s="25" t="str">
        <f ca="1">IFERROR(__xludf.DUMMYFUNCTION("""COMPUTED_VALUE"""),"99. Distrito")</f>
        <v>99. Distrito</v>
      </c>
      <c r="H2291" s="55">
        <f ca="1">IFERROR(__xludf.DUMMYFUNCTION("""COMPUTED_VALUE"""),44643)</f>
        <v>44643</v>
      </c>
      <c r="I2291" s="25"/>
      <c r="J2291" s="55" t="str">
        <f ca="1">IFERROR(__xludf.DUMMYFUNCTION("""COMPUTED_VALUE"""),"Alta")</f>
        <v>Alta</v>
      </c>
      <c r="K2291" s="61">
        <f ca="1">IFERROR(__xludf.DUMMYFUNCTION("""COMPUTED_VALUE"""),30)</f>
        <v>30</v>
      </c>
      <c r="L2291" s="62"/>
      <c r="M2291" s="25"/>
      <c r="N2291" s="55">
        <f ca="1">IFERROR(__xludf.DUMMYFUNCTION("""COMPUTED_VALUE"""),44927)</f>
        <v>44927</v>
      </c>
      <c r="O2291" s="25" t="str">
        <f t="shared" ca="1" si="0"/>
        <v>Secretaría Distrital del Hábitat</v>
      </c>
      <c r="P2291" s="25" t="str">
        <f t="shared" si="2"/>
        <v/>
      </c>
      <c r="Q2291" s="25" t="str">
        <f ca="1">IFERROR(__xludf.DUMMYFUNCTION("""COMPUTED_VALUE"""),"Corto plazo")</f>
        <v>Corto plazo</v>
      </c>
      <c r="R2291" s="25"/>
      <c r="S2291" s="55"/>
      <c r="T2291" s="56"/>
      <c r="U2291" s="25"/>
      <c r="V2291" s="25"/>
      <c r="W2291" s="25"/>
      <c r="X2291" s="25"/>
      <c r="Y2291" s="25"/>
      <c r="Z2291" s="25"/>
    </row>
    <row r="2292" spans="1:26" ht="52.5" customHeight="1" x14ac:dyDescent="0.25">
      <c r="A2292" s="25" t="str">
        <f ca="1">IFERROR(__xludf.DUMMYFUNCTION("""COMPUTED_VALUE"""),"Hábit190")</f>
        <v>Hábit190</v>
      </c>
      <c r="B2292" s="25" t="str">
        <f ca="1">IFERROR(__xludf.DUMMYFUNCTION("""COMPUTED_VALUE"""),"Reverdecer del Sur")</f>
        <v>Reverdecer del Sur</v>
      </c>
      <c r="C2292" s="55">
        <f ca="1">IFERROR(__xludf.DUMMYFUNCTION("""COMPUTED_VALUE"""),44613)</f>
        <v>44613</v>
      </c>
      <c r="D2292" s="25" t="str">
        <f ca="1">IFERROR(__xludf.DUMMYFUNCTION("""COMPUTED_VALUE"""),"Hábitat")</f>
        <v>Hábitat</v>
      </c>
      <c r="E2292" s="25" t="str">
        <f ca="1">IFERROR(__xludf.DUMMYFUNCTION("""COMPUTED_VALUE"""),"Secretaría Distrital del Hábitat")</f>
        <v>Secretaría Distrital del Hábitat</v>
      </c>
      <c r="F2292" s="25" t="str">
        <f ca="1">IFERROR(__xludf.DUMMYFUNCTION("""COMPUTED_VALUE"""),"Reverdecer del sur:
Cómo se va a financiar el fondo/programa de apoyo a recicladores, ¿cómo va a operar y qué se va a hacer?")</f>
        <v>Reverdecer del sur:
Cómo se va a financiar el fondo/programa de apoyo a recicladores, ¿cómo va a operar y qué se va a hacer?</v>
      </c>
      <c r="G2292" s="25" t="str">
        <f ca="1">IFERROR(__xludf.DUMMYFUNCTION("""COMPUTED_VALUE"""),"99. Distrito")</f>
        <v>99. Distrito</v>
      </c>
      <c r="H2292" s="55">
        <f ca="1">IFERROR(__xludf.DUMMYFUNCTION("""COMPUTED_VALUE"""),44643)</f>
        <v>44643</v>
      </c>
      <c r="I2292" s="25"/>
      <c r="J2292" s="55" t="str">
        <f ca="1">IFERROR(__xludf.DUMMYFUNCTION("""COMPUTED_VALUE"""),"Alta")</f>
        <v>Alta</v>
      </c>
      <c r="K2292" s="61">
        <f ca="1">IFERROR(__xludf.DUMMYFUNCTION("""COMPUTED_VALUE"""),30)</f>
        <v>30</v>
      </c>
      <c r="L2292" s="62"/>
      <c r="M2292" s="25"/>
      <c r="N2292" s="55">
        <f ca="1">IFERROR(__xludf.DUMMYFUNCTION("""COMPUTED_VALUE"""),44927)</f>
        <v>44927</v>
      </c>
      <c r="O2292" s="25" t="str">
        <f t="shared" ca="1" si="0"/>
        <v>Secretaría Distrital del Hábitat</v>
      </c>
      <c r="P2292" s="25" t="str">
        <f t="shared" si="2"/>
        <v/>
      </c>
      <c r="Q2292" s="25" t="str">
        <f ca="1">IFERROR(__xludf.DUMMYFUNCTION("""COMPUTED_VALUE"""),"Corto plazo")</f>
        <v>Corto plazo</v>
      </c>
      <c r="R2292" s="25"/>
      <c r="S2292" s="55"/>
      <c r="T2292" s="56"/>
      <c r="U2292" s="25"/>
      <c r="V2292" s="25"/>
      <c r="W2292" s="25"/>
      <c r="X2292" s="25"/>
      <c r="Y2292" s="25"/>
      <c r="Z2292" s="25"/>
    </row>
    <row r="2293" spans="1:26" ht="52.5" customHeight="1" x14ac:dyDescent="0.25">
      <c r="A2293" s="25" t="str">
        <f ca="1">IFERROR(__xludf.DUMMYFUNCTION("""COMPUTED_VALUE"""),"Hábit191")</f>
        <v>Hábit191</v>
      </c>
      <c r="B2293" s="25" t="str">
        <f ca="1">IFERROR(__xludf.DUMMYFUNCTION("""COMPUTED_VALUE"""),"Campañas Cultura Ciudadana")</f>
        <v>Campañas Cultura Ciudadana</v>
      </c>
      <c r="C2293" s="55">
        <f ca="1">IFERROR(__xludf.DUMMYFUNCTION("""COMPUTED_VALUE"""),44627)</f>
        <v>44627</v>
      </c>
      <c r="D2293" s="25" t="str">
        <f ca="1">IFERROR(__xludf.DUMMYFUNCTION("""COMPUTED_VALUE"""),"Hábitat")</f>
        <v>Hábitat</v>
      </c>
      <c r="E2293" s="25" t="str">
        <f ca="1">IFERROR(__xludf.DUMMYFUNCTION("""COMPUTED_VALUE"""),"Unidad Administrativa Especial de Servicios Públicos")</f>
        <v>Unidad Administrativa Especial de Servicios Públicos</v>
      </c>
      <c r="F2293" s="25" t="str">
        <f ca="1">IFERROR(__xludf.DUMMYFUNCTION("""COMPUTED_VALUE"""),"Todos los recicladores deben pertennecer a una asociación, estar registrados y carnetixados")</f>
        <v>Todos los recicladores deben pertennecer a una asociación, estar registrados y carnetixados</v>
      </c>
      <c r="G2293" s="25" t="str">
        <f ca="1">IFERROR(__xludf.DUMMYFUNCTION("""COMPUTED_VALUE"""),"99. Distrito")</f>
        <v>99. Distrito</v>
      </c>
      <c r="H2293" s="55">
        <f ca="1">IFERROR(__xludf.DUMMYFUNCTION("""COMPUTED_VALUE"""),44657)</f>
        <v>44657</v>
      </c>
      <c r="I2293" s="25"/>
      <c r="J2293" s="55" t="str">
        <f ca="1">IFERROR(__xludf.DUMMYFUNCTION("""COMPUTED_VALUE"""),"Alta")</f>
        <v>Alta</v>
      </c>
      <c r="K2293" s="25">
        <f ca="1">IFERROR(__xludf.DUMMYFUNCTION("""COMPUTED_VALUE"""),30)</f>
        <v>30</v>
      </c>
      <c r="L2293" s="62"/>
      <c r="M2293" s="25"/>
      <c r="N2293" s="55">
        <f ca="1">IFERROR(__xludf.DUMMYFUNCTION("""COMPUTED_VALUE"""),44927)</f>
        <v>44927</v>
      </c>
      <c r="O2293" s="25" t="str">
        <f t="shared" ca="1" si="0"/>
        <v>Unidad Administrativa Especial de Servicios Públicos</v>
      </c>
      <c r="P2293" s="25" t="str">
        <f t="shared" si="2"/>
        <v/>
      </c>
      <c r="Q2293" s="25" t="str">
        <f ca="1">IFERROR(__xludf.DUMMYFUNCTION("""COMPUTED_VALUE"""),"Corto plazo")</f>
        <v>Corto plazo</v>
      </c>
      <c r="R2293" s="25"/>
      <c r="S2293" s="55"/>
      <c r="T2293" s="56"/>
      <c r="U2293" s="25"/>
      <c r="V2293" s="25"/>
      <c r="W2293" s="25"/>
      <c r="X2293" s="25"/>
      <c r="Y2293" s="25"/>
      <c r="Z2293" s="25"/>
    </row>
    <row r="2294" spans="1:26" ht="52.5" customHeight="1" x14ac:dyDescent="0.25">
      <c r="A2294" s="25" t="str">
        <f ca="1">IFERROR(__xludf.DUMMYFUNCTION("""COMPUTED_VALUE"""),"Hábit192")</f>
        <v>Hábit192</v>
      </c>
      <c r="B2294" s="25" t="str">
        <f ca="1">IFERROR(__xludf.DUMMYFUNCTION("""COMPUTED_VALUE"""),"Plan de carreteros, habitantes de calle y basuras")</f>
        <v>Plan de carreteros, habitantes de calle y basuras</v>
      </c>
      <c r="C2294" s="55">
        <f ca="1">IFERROR(__xludf.DUMMYFUNCTION("""COMPUTED_VALUE"""),44620)</f>
        <v>44620</v>
      </c>
      <c r="D2294" s="25" t="str">
        <f ca="1">IFERROR(__xludf.DUMMYFUNCTION("""COMPUTED_VALUE"""),"Hábitat")</f>
        <v>Hábitat</v>
      </c>
      <c r="E2294" s="25" t="str">
        <f ca="1">IFERROR(__xludf.DUMMYFUNCTION("""COMPUTED_VALUE"""),"Unidad Administrativa Especial de Servicios Públicos")</f>
        <v>Unidad Administrativa Especial de Servicios Públicos</v>
      </c>
      <c r="F2294" s="25" t="str">
        <f ca="1">IFERROR(__xludf.DUMMYFUNCTION("""COMPUTED_VALUE"""),"Poner en funcionamiento el Call Center de la estrategia de limpieza: En el que se debe garantizar el funcionamiento para asignar quién puede recoger los escombros incluidas las 8 asociaciones a formalizar. ")</f>
        <v xml:space="preserve">Poner en funcionamiento el Call Center de la estrategia de limpieza: En el que se debe garantizar el funcionamiento para asignar quién puede recoger los escombros incluidas las 8 asociaciones a formalizar. </v>
      </c>
      <c r="G2294" s="25" t="str">
        <f ca="1">IFERROR(__xludf.DUMMYFUNCTION("""COMPUTED_VALUE"""),"99. Distrito")</f>
        <v>99. Distrito</v>
      </c>
      <c r="H2294" s="55">
        <f ca="1">IFERROR(__xludf.DUMMYFUNCTION("""COMPUTED_VALUE"""),44650)</f>
        <v>44650</v>
      </c>
      <c r="I2294" s="25"/>
      <c r="J2294" s="55" t="str">
        <f ca="1">IFERROR(__xludf.DUMMYFUNCTION("""COMPUTED_VALUE"""),"Alta")</f>
        <v>Alta</v>
      </c>
      <c r="K2294" s="25">
        <f ca="1">IFERROR(__xludf.DUMMYFUNCTION("""COMPUTED_VALUE"""),30)</f>
        <v>30</v>
      </c>
      <c r="L2294" s="62"/>
      <c r="M2294" s="25"/>
      <c r="N2294" s="55">
        <f ca="1">IFERROR(__xludf.DUMMYFUNCTION("""COMPUTED_VALUE"""),44927)</f>
        <v>44927</v>
      </c>
      <c r="O2294" s="25" t="str">
        <f t="shared" ca="1" si="0"/>
        <v>Unidad Administrativa Especial de Servicios Públicos</v>
      </c>
      <c r="P2294" s="25" t="str">
        <f t="shared" si="2"/>
        <v/>
      </c>
      <c r="Q2294" s="25" t="str">
        <f ca="1">IFERROR(__xludf.DUMMYFUNCTION("""COMPUTED_VALUE"""),"Corto plazo")</f>
        <v>Corto plazo</v>
      </c>
      <c r="R2294" s="25"/>
      <c r="S2294" s="55"/>
      <c r="T2294" s="56"/>
      <c r="U2294" s="25"/>
      <c r="V2294" s="25"/>
      <c r="W2294" s="25"/>
      <c r="X2294" s="25"/>
      <c r="Y2294" s="25"/>
      <c r="Z2294" s="25"/>
    </row>
    <row r="2295" spans="1:26" ht="52.5" customHeight="1" x14ac:dyDescent="0.25">
      <c r="A2295" s="25" t="str">
        <f ca="1">IFERROR(__xludf.DUMMYFUNCTION("""COMPUTED_VALUE"""),"Hábit193")</f>
        <v>Hábit193</v>
      </c>
      <c r="B2295" s="25" t="str">
        <f ca="1">IFERROR(__xludf.DUMMYFUNCTION("""COMPUTED_VALUE"""),"Plan de carreteros, habitantes de calle y basuras")</f>
        <v>Plan de carreteros, habitantes de calle y basuras</v>
      </c>
      <c r="C2295" s="55">
        <f ca="1">IFERROR(__xludf.DUMMYFUNCTION("""COMPUTED_VALUE"""),44620)</f>
        <v>44620</v>
      </c>
      <c r="D2295" s="25" t="str">
        <f ca="1">IFERROR(__xludf.DUMMYFUNCTION("""COMPUTED_VALUE"""),"Hábitat")</f>
        <v>Hábitat</v>
      </c>
      <c r="E2295" s="25" t="str">
        <f ca="1">IFERROR(__xludf.DUMMYFUNCTION("""COMPUTED_VALUE"""),"Unidad Administrativa Especial de Servicios Públicos")</f>
        <v>Unidad Administrativa Especial de Servicios Públicos</v>
      </c>
      <c r="F2295" s="25" t="str">
        <f ca="1">IFERROR(__xludf.DUMMYFUNCTION("""COMPUTED_VALUE"""),"Los contenedores de residuos se deben pintar de acuerdo al uso que se le debe dar. Por ejemplo: Escombros, Material Reciclable, etc.")</f>
        <v>Los contenedores de residuos se deben pintar de acuerdo al uso que se le debe dar. Por ejemplo: Escombros, Material Reciclable, etc.</v>
      </c>
      <c r="G2295" s="25" t="str">
        <f ca="1">IFERROR(__xludf.DUMMYFUNCTION("""COMPUTED_VALUE"""),"99. Distrito")</f>
        <v>99. Distrito</v>
      </c>
      <c r="H2295" s="55">
        <f ca="1">IFERROR(__xludf.DUMMYFUNCTION("""COMPUTED_VALUE"""),44650)</f>
        <v>44650</v>
      </c>
      <c r="I2295" s="25"/>
      <c r="J2295" s="55" t="str">
        <f ca="1">IFERROR(__xludf.DUMMYFUNCTION("""COMPUTED_VALUE"""),"Alta")</f>
        <v>Alta</v>
      </c>
      <c r="K2295" s="25">
        <f ca="1">IFERROR(__xludf.DUMMYFUNCTION("""COMPUTED_VALUE"""),30)</f>
        <v>30</v>
      </c>
      <c r="L2295" s="62"/>
      <c r="M2295" s="25"/>
      <c r="N2295" s="55">
        <f ca="1">IFERROR(__xludf.DUMMYFUNCTION("""COMPUTED_VALUE"""),44927)</f>
        <v>44927</v>
      </c>
      <c r="O2295" s="25" t="str">
        <f t="shared" ca="1" si="0"/>
        <v>Unidad Administrativa Especial de Servicios Públicos</v>
      </c>
      <c r="P2295" s="25" t="str">
        <f t="shared" si="2"/>
        <v/>
      </c>
      <c r="Q2295" s="25" t="str">
        <f ca="1">IFERROR(__xludf.DUMMYFUNCTION("""COMPUTED_VALUE"""),"Corto plazo")</f>
        <v>Corto plazo</v>
      </c>
      <c r="R2295" s="25"/>
      <c r="S2295" s="55"/>
      <c r="T2295" s="56"/>
      <c r="U2295" s="25"/>
      <c r="V2295" s="25"/>
      <c r="W2295" s="25"/>
      <c r="X2295" s="25"/>
      <c r="Y2295" s="25"/>
      <c r="Z2295" s="25"/>
    </row>
    <row r="2296" spans="1:26" ht="52.5" customHeight="1" x14ac:dyDescent="0.25">
      <c r="A2296" s="25" t="str">
        <f ca="1">IFERROR(__xludf.DUMMYFUNCTION("""COMPUTED_VALUE"""),"Hábit194")</f>
        <v>Hábit194</v>
      </c>
      <c r="B2296" s="25" t="str">
        <f ca="1">IFERROR(__xludf.DUMMYFUNCTION("""COMPUTED_VALUE"""),"Plan de carreteros, habitantes de calle y basuras")</f>
        <v>Plan de carreteros, habitantes de calle y basuras</v>
      </c>
      <c r="C2296" s="55">
        <f ca="1">IFERROR(__xludf.DUMMYFUNCTION("""COMPUTED_VALUE"""),44620)</f>
        <v>44620</v>
      </c>
      <c r="D2296" s="25" t="str">
        <f ca="1">IFERROR(__xludf.DUMMYFUNCTION("""COMPUTED_VALUE"""),"Hábitat")</f>
        <v>Hábitat</v>
      </c>
      <c r="E2296" s="25" t="str">
        <f ca="1">IFERROR(__xludf.DUMMYFUNCTION("""COMPUTED_VALUE"""),"Unidad Administrativa Especial de Servicios Públicos")</f>
        <v>Unidad Administrativa Especial de Servicios Públicos</v>
      </c>
      <c r="F2296" s="25" t="str">
        <f ca="1">IFERROR(__xludf.DUMMYFUNCTION("""COMPUTED_VALUE"""),"Elaborar un cronograma de información diciendo dónde van a estar los contenedores de residuos especiales (móviles) y en dónde se encuentran los contenedores permanentes.")</f>
        <v>Elaborar un cronograma de información diciendo dónde van a estar los contenedores de residuos especiales (móviles) y en dónde se encuentran los contenedores permanentes.</v>
      </c>
      <c r="G2296" s="25" t="str">
        <f ca="1">IFERROR(__xludf.DUMMYFUNCTION("""COMPUTED_VALUE"""),"99. Distrito")</f>
        <v>99. Distrito</v>
      </c>
      <c r="H2296" s="55">
        <f ca="1">IFERROR(__xludf.DUMMYFUNCTION("""COMPUTED_VALUE"""),44650)</f>
        <v>44650</v>
      </c>
      <c r="I2296" s="25"/>
      <c r="J2296" s="55" t="str">
        <f ca="1">IFERROR(__xludf.DUMMYFUNCTION("""COMPUTED_VALUE"""),"Alta")</f>
        <v>Alta</v>
      </c>
      <c r="K2296" s="25">
        <f ca="1">IFERROR(__xludf.DUMMYFUNCTION("""COMPUTED_VALUE"""),30)</f>
        <v>30</v>
      </c>
      <c r="L2296" s="62"/>
      <c r="M2296" s="25"/>
      <c r="N2296" s="55">
        <f ca="1">IFERROR(__xludf.DUMMYFUNCTION("""COMPUTED_VALUE"""),44927)</f>
        <v>44927</v>
      </c>
      <c r="O2296" s="25" t="str">
        <f t="shared" ca="1" si="0"/>
        <v>Unidad Administrativa Especial de Servicios Públicos</v>
      </c>
      <c r="P2296" s="25" t="str">
        <f t="shared" si="2"/>
        <v/>
      </c>
      <c r="Q2296" s="25" t="str">
        <f ca="1">IFERROR(__xludf.DUMMYFUNCTION("""COMPUTED_VALUE"""),"Corto plazo")</f>
        <v>Corto plazo</v>
      </c>
      <c r="R2296" s="25"/>
      <c r="S2296" s="55"/>
      <c r="T2296" s="56"/>
      <c r="U2296" s="25"/>
      <c r="V2296" s="25"/>
      <c r="W2296" s="25"/>
      <c r="X2296" s="25"/>
      <c r="Y2296" s="25"/>
      <c r="Z2296" s="25"/>
    </row>
    <row r="2297" spans="1:26" ht="52.5" customHeight="1" x14ac:dyDescent="0.25">
      <c r="A2297" s="25" t="str">
        <f ca="1">IFERROR(__xludf.DUMMYFUNCTION("""COMPUTED_VALUE"""),"Hábit195")</f>
        <v>Hábit195</v>
      </c>
      <c r="B2297" s="25" t="str">
        <f ca="1">IFERROR(__xludf.DUMMYFUNCTION("""COMPUTED_VALUE"""),"Operadores de servicio de recolección de basura ")</f>
        <v xml:space="preserve">Operadores de servicio de recolección de basura </v>
      </c>
      <c r="C2297" s="55">
        <f ca="1">IFERROR(__xludf.DUMMYFUNCTION("""COMPUTED_VALUE"""),44649)</f>
        <v>44649</v>
      </c>
      <c r="D2297" s="25" t="str">
        <f ca="1">IFERROR(__xludf.DUMMYFUNCTION("""COMPUTED_VALUE"""),"Hábitat")</f>
        <v>Hábitat</v>
      </c>
      <c r="E2297" s="25" t="str">
        <f ca="1">IFERROR(__xludf.DUMMYFUNCTION("""COMPUTED_VALUE"""),"Unidad Administrativa Especial de Servicios Públicos")</f>
        <v>Unidad Administrativa Especial de Servicios Públicos</v>
      </c>
      <c r="F2297" s="25" t="str">
        <f ca="1">IFERROR(__xludf.DUMMYFUNCTION("""COMPUTED_VALUE"""),"Se debe garantizar la articulación entre las cuadrillas del operador del servicio y las de UAESP en la estrategia de limpieza.")</f>
        <v>Se debe garantizar la articulación entre las cuadrillas del operador del servicio y las de UAESP en la estrategia de limpieza.</v>
      </c>
      <c r="G2297" s="25" t="str">
        <f ca="1">IFERROR(__xludf.DUMMYFUNCTION("""COMPUTED_VALUE"""),"99. Distrito")</f>
        <v>99. Distrito</v>
      </c>
      <c r="H2297" s="55">
        <f ca="1">IFERROR(__xludf.DUMMYFUNCTION("""COMPUTED_VALUE"""),44679)</f>
        <v>44679</v>
      </c>
      <c r="I2297" s="25"/>
      <c r="J2297" s="55" t="str">
        <f ca="1">IFERROR(__xludf.DUMMYFUNCTION("""COMPUTED_VALUE"""),"Alta")</f>
        <v>Alta</v>
      </c>
      <c r="K2297" s="25">
        <f ca="1">IFERROR(__xludf.DUMMYFUNCTION("""COMPUTED_VALUE"""),30)</f>
        <v>30</v>
      </c>
      <c r="L2297" s="62"/>
      <c r="M2297" s="25"/>
      <c r="N2297" s="55">
        <f ca="1">IFERROR(__xludf.DUMMYFUNCTION("""COMPUTED_VALUE"""),44927)</f>
        <v>44927</v>
      </c>
      <c r="O2297" s="25" t="str">
        <f t="shared" ca="1" si="0"/>
        <v>Unidad Administrativa Especial de Servicios Públicos</v>
      </c>
      <c r="P2297" s="25" t="str">
        <f t="shared" si="2"/>
        <v/>
      </c>
      <c r="Q2297" s="25" t="str">
        <f ca="1">IFERROR(__xludf.DUMMYFUNCTION("""COMPUTED_VALUE"""),"Corto plazo")</f>
        <v>Corto plazo</v>
      </c>
      <c r="R2297" s="25"/>
      <c r="S2297" s="55"/>
      <c r="T2297" s="56"/>
      <c r="U2297" s="25"/>
      <c r="V2297" s="25"/>
      <c r="W2297" s="25"/>
      <c r="X2297" s="25"/>
      <c r="Y2297" s="25"/>
      <c r="Z2297" s="25"/>
    </row>
    <row r="2298" spans="1:26" ht="52.5" customHeight="1" x14ac:dyDescent="0.25">
      <c r="A2298" s="25" t="str">
        <f ca="1">IFERROR(__xludf.DUMMYFUNCTION("""COMPUTED_VALUE"""),"Hábit196")</f>
        <v>Hábit196</v>
      </c>
      <c r="B2298" s="25" t="str">
        <f ca="1">IFERROR(__xludf.DUMMYFUNCTION("""COMPUTED_VALUE"""),"Operadores de servicio de recolección de basura ")</f>
        <v xml:space="preserve">Operadores de servicio de recolección de basura </v>
      </c>
      <c r="C2298" s="55">
        <f ca="1">IFERROR(__xludf.DUMMYFUNCTION("""COMPUTED_VALUE"""),44649)</f>
        <v>44649</v>
      </c>
      <c r="D2298" s="25" t="str">
        <f ca="1">IFERROR(__xludf.DUMMYFUNCTION("""COMPUTED_VALUE"""),"Hábitat")</f>
        <v>Hábitat</v>
      </c>
      <c r="E2298" s="25" t="str">
        <f ca="1">IFERROR(__xludf.DUMMYFUNCTION("""COMPUTED_VALUE"""),"Unidad Administrativa Especial de Servicios Públicos")</f>
        <v>Unidad Administrativa Especial de Servicios Públicos</v>
      </c>
      <c r="F2298" s="25" t="str">
        <f ca="1">IFERROR(__xludf.DUMMYFUNCTION("""COMPUTED_VALUE"""),"Revisar la forma de organizar las toneladas que no están recogiendo los operadores formales (450 aproximadamente) para tener una tarifa razonable en el mercado formal.")</f>
        <v>Revisar la forma de organizar las toneladas que no están recogiendo los operadores formales (450 aproximadamente) para tener una tarifa razonable en el mercado formal.</v>
      </c>
      <c r="G2298" s="25" t="str">
        <f ca="1">IFERROR(__xludf.DUMMYFUNCTION("""COMPUTED_VALUE"""),"99. Distrito")</f>
        <v>99. Distrito</v>
      </c>
      <c r="H2298" s="55">
        <f ca="1">IFERROR(__xludf.DUMMYFUNCTION("""COMPUTED_VALUE"""),44679)</f>
        <v>44679</v>
      </c>
      <c r="I2298" s="25"/>
      <c r="J2298" s="55" t="str">
        <f ca="1">IFERROR(__xludf.DUMMYFUNCTION("""COMPUTED_VALUE"""),"Alta")</f>
        <v>Alta</v>
      </c>
      <c r="K2298" s="25">
        <f ca="1">IFERROR(__xludf.DUMMYFUNCTION("""COMPUTED_VALUE"""),30)</f>
        <v>30</v>
      </c>
      <c r="L2298" s="62"/>
      <c r="M2298" s="25"/>
      <c r="N2298" s="55">
        <f ca="1">IFERROR(__xludf.DUMMYFUNCTION("""COMPUTED_VALUE"""),44927)</f>
        <v>44927</v>
      </c>
      <c r="O2298" s="25" t="str">
        <f t="shared" ca="1" si="0"/>
        <v>Unidad Administrativa Especial de Servicios Públicos</v>
      </c>
      <c r="P2298" s="25" t="str">
        <f t="shared" si="2"/>
        <v/>
      </c>
      <c r="Q2298" s="25" t="str">
        <f ca="1">IFERROR(__xludf.DUMMYFUNCTION("""COMPUTED_VALUE"""),"Corto plazo")</f>
        <v>Corto plazo</v>
      </c>
      <c r="R2298" s="25"/>
      <c r="S2298" s="55"/>
      <c r="T2298" s="56"/>
      <c r="U2298" s="25"/>
      <c r="V2298" s="25"/>
      <c r="W2298" s="25"/>
      <c r="X2298" s="25"/>
      <c r="Y2298" s="25"/>
      <c r="Z2298" s="25"/>
    </row>
    <row r="2299" spans="1:26" ht="52.5" customHeight="1" x14ac:dyDescent="0.25">
      <c r="A2299" s="25" t="str">
        <f ca="1">IFERROR(__xludf.DUMMYFUNCTION("""COMPUTED_VALUE"""),"Hábit197")</f>
        <v>Hábit197</v>
      </c>
      <c r="B2299" s="25" t="str">
        <f ca="1">IFERROR(__xludf.DUMMYFUNCTION("""COMPUTED_VALUE"""),"Operadores de servicio de recolección de basura ")</f>
        <v xml:space="preserve">Operadores de servicio de recolección de basura </v>
      </c>
      <c r="C2299" s="55">
        <f ca="1">IFERROR(__xludf.DUMMYFUNCTION("""COMPUTED_VALUE"""),44649)</f>
        <v>44649</v>
      </c>
      <c r="D2299" s="25" t="str">
        <f ca="1">IFERROR(__xludf.DUMMYFUNCTION("""COMPUTED_VALUE"""),"Hábitat")</f>
        <v>Hábitat</v>
      </c>
      <c r="E2299" s="25" t="str">
        <f ca="1">IFERROR(__xludf.DUMMYFUNCTION("""COMPUTED_VALUE"""),"Unidad Administrativa Especial de Servicios Públicos")</f>
        <v>Unidad Administrativa Especial de Servicios Públicos</v>
      </c>
      <c r="F2299" s="25" t="str">
        <f ca="1">IFERROR(__xludf.DUMMYFUNCTION("""COMPUTED_VALUE"""),"Revisar la posibilidad de contar con un espacio para residuos Escombrera pública en el norte (Ej: Ciudadela Educativa y del Cuidado).")</f>
        <v>Revisar la posibilidad de contar con un espacio para residuos Escombrera pública en el norte (Ej: Ciudadela Educativa y del Cuidado).</v>
      </c>
      <c r="G2299" s="25" t="str">
        <f ca="1">IFERROR(__xludf.DUMMYFUNCTION("""COMPUTED_VALUE"""),"99. Distrito")</f>
        <v>99. Distrito</v>
      </c>
      <c r="H2299" s="55">
        <f ca="1">IFERROR(__xludf.DUMMYFUNCTION("""COMPUTED_VALUE"""),44910)</f>
        <v>44910</v>
      </c>
      <c r="I2299" s="25"/>
      <c r="J2299" s="55" t="str">
        <f ca="1">IFERROR(__xludf.DUMMYFUNCTION("""COMPUTED_VALUE"""),"Baja")</f>
        <v>Baja</v>
      </c>
      <c r="K2299" s="25">
        <f ca="1">IFERROR(__xludf.DUMMYFUNCTION("""COMPUTED_VALUE"""),261)</f>
        <v>261</v>
      </c>
      <c r="L2299" s="62">
        <f ca="1">IFERROR(__xludf.DUMMYFUNCTION("""COMPUTED_VALUE"""),44977)</f>
        <v>44977</v>
      </c>
      <c r="M2299" s="25" t="str">
        <f ca="1">IFERROR(__xludf.DUMMYFUNCTION("""COMPUTED_VALUE"""),"Se intensificó la frecuencia en el segmento priorizado pasando de 2 a 3, se realizó evaluación de contenedores para reubicación por petición de la comunidad. No se encontró viabilidad de escombrera en la zona por uso del suelo no reglamentado para la acti"&amp;"vidad.
")</f>
        <v xml:space="preserve">Se intensificó la frecuencia en el segmento priorizado pasando de 2 a 3, se realizó evaluación de contenedores para reubicación por petición de la comunidad. No se encontró viabilidad de escombrera en la zona por uso del suelo no reglamentado para la actividad.
</v>
      </c>
      <c r="N2299" s="55">
        <f ca="1">IFERROR(__xludf.DUMMYFUNCTION("""COMPUTED_VALUE"""),44977)</f>
        <v>44977</v>
      </c>
      <c r="O2299" s="25" t="str">
        <f t="shared" ca="1" si="0"/>
        <v>Unidad Administrativa Especial de Servicios Públicos</v>
      </c>
      <c r="P2299" s="25" t="str">
        <f t="shared" si="2"/>
        <v/>
      </c>
      <c r="Q2299" s="25" t="str">
        <f ca="1">IFERROR(__xludf.DUMMYFUNCTION("""COMPUTED_VALUE"""),"Largo plazo")</f>
        <v>Largo plazo</v>
      </c>
      <c r="R2299" s="25"/>
      <c r="S2299" s="55"/>
      <c r="T2299" s="56"/>
      <c r="U2299" s="25"/>
      <c r="V2299" s="25"/>
      <c r="W2299" s="25"/>
      <c r="X2299" s="25"/>
      <c r="Y2299" s="25"/>
      <c r="Z2299" s="25"/>
    </row>
    <row r="2300" spans="1:26" ht="52.5" customHeight="1" x14ac:dyDescent="0.25">
      <c r="A2300" s="25" t="str">
        <f ca="1">IFERROR(__xludf.DUMMYFUNCTION("""COMPUTED_VALUE"""),"Hábit198")</f>
        <v>Hábit198</v>
      </c>
      <c r="B2300" s="25" t="str">
        <f ca="1">IFERROR(__xludf.DUMMYFUNCTION("""COMPUTED_VALUE"""),"Corredor vial 7 seguimiento")</f>
        <v>Corredor vial 7 seguimiento</v>
      </c>
      <c r="C2300" s="55">
        <f ca="1">IFERROR(__xludf.DUMMYFUNCTION("""COMPUTED_VALUE"""),44673)</f>
        <v>44673</v>
      </c>
      <c r="D2300" s="25" t="str">
        <f ca="1">IFERROR(__xludf.DUMMYFUNCTION("""COMPUTED_VALUE"""),"Hábitat")</f>
        <v>Hábitat</v>
      </c>
      <c r="E2300" s="25" t="str">
        <f ca="1">IFERROR(__xludf.DUMMYFUNCTION("""COMPUTED_VALUE"""),"Unidad Administrativa Especial de Servicios Públicos")</f>
        <v>Unidad Administrativa Especial de Servicios Públicos</v>
      </c>
      <c r="F2300" s="25" t="str">
        <f ca="1">IFERROR(__xludf.DUMMYFUNCTION("""COMPUTED_VALUE"""),"Acordar considerando seguridad y funcionalidad, y con la consulta hecha a CREG cómo incorporar los elementos que se prevén como alumbrado público y el pago de la energía.")</f>
        <v>Acordar considerando seguridad y funcionalidad, y con la consulta hecha a CREG cómo incorporar los elementos que se prevén como alumbrado público y el pago de la energía.</v>
      </c>
      <c r="G2300" s="25" t="str">
        <f ca="1">IFERROR(__xludf.DUMMYFUNCTION("""COMPUTED_VALUE"""),"99. Distrito")</f>
        <v>99. Distrito</v>
      </c>
      <c r="H2300" s="55">
        <f ca="1">IFERROR(__xludf.DUMMYFUNCTION("""COMPUTED_VALUE"""),44910)</f>
        <v>44910</v>
      </c>
      <c r="I2300" s="25"/>
      <c r="J2300" s="55" t="str">
        <f ca="1">IFERROR(__xludf.DUMMYFUNCTION("""COMPUTED_VALUE"""),"Baja")</f>
        <v>Baja</v>
      </c>
      <c r="K2300" s="25">
        <f ca="1">IFERROR(__xludf.DUMMYFUNCTION("""COMPUTED_VALUE"""),237)</f>
        <v>237</v>
      </c>
      <c r="L2300" s="62">
        <f ca="1">IFERROR(__xludf.DUMMYFUNCTION("""COMPUTED_VALUE"""),44977)</f>
        <v>44977</v>
      </c>
      <c r="M2300" s="25" t="str">
        <f ca="1">IFERROR(__xludf.DUMMYFUNCTION("""COMPUTED_VALUE"""),"De acuerdo a los lineamientos de la CREG no se pueden validar luminarias públicas en predios que no tengan validación como públicos con código RUPI. ")</f>
        <v xml:space="preserve">De acuerdo a los lineamientos de la CREG no se pueden validar luminarias públicas en predios que no tengan validación como públicos con código RUPI. </v>
      </c>
      <c r="N2300" s="55">
        <f ca="1">IFERROR(__xludf.DUMMYFUNCTION("""COMPUTED_VALUE"""),44977)</f>
        <v>44977</v>
      </c>
      <c r="O2300" s="25" t="str">
        <f t="shared" ca="1" si="0"/>
        <v>Unidad Administrativa Especial de Servicios Públicos</v>
      </c>
      <c r="P2300" s="25" t="str">
        <f t="shared" si="2"/>
        <v/>
      </c>
      <c r="Q2300" s="25" t="str">
        <f ca="1">IFERROR(__xludf.DUMMYFUNCTION("""COMPUTED_VALUE"""),"Largo plazo")</f>
        <v>Largo plazo</v>
      </c>
      <c r="R2300" s="25"/>
      <c r="S2300" s="55"/>
      <c r="T2300" s="56"/>
      <c r="U2300" s="25"/>
      <c r="V2300" s="25"/>
      <c r="W2300" s="25"/>
      <c r="X2300" s="25"/>
      <c r="Y2300" s="25"/>
      <c r="Z2300" s="25"/>
    </row>
    <row r="2301" spans="1:26" ht="52.5" customHeight="1" x14ac:dyDescent="0.25">
      <c r="A2301" s="25" t="str">
        <f ca="1">IFERROR(__xludf.DUMMYFUNCTION("""COMPUTED_VALUE"""),"Hábit199")</f>
        <v>Hábit199</v>
      </c>
      <c r="B2301" s="25" t="str">
        <f ca="1">IFERROR(__xludf.DUMMYFUNCTION("""COMPUTED_VALUE"""),"Recorrido Tunjuelito")</f>
        <v>Recorrido Tunjuelito</v>
      </c>
      <c r="C2301" s="55">
        <f ca="1">IFERROR(__xludf.DUMMYFUNCTION("""COMPUTED_VALUE"""),44686)</f>
        <v>44686</v>
      </c>
      <c r="D2301" s="25" t="str">
        <f ca="1">IFERROR(__xludf.DUMMYFUNCTION("""COMPUTED_VALUE"""),"Hábitat")</f>
        <v>Hábitat</v>
      </c>
      <c r="E2301" s="25" t="str">
        <f ca="1">IFERROR(__xludf.DUMMYFUNCTION("""COMPUTED_VALUE"""),"Empresa de Renovación y Desarrollo Urbano")</f>
        <v>Empresa de Renovación y Desarrollo Urbano</v>
      </c>
      <c r="F2301" s="25" t="str">
        <f ca="1">IFERROR(__xludf.DUMMYFUNCTION("""COMPUTED_VALUE"""),"Hacer una visita de campo por los predios remanentes (Al lado de la antigua sede de la Alcaldía Local de Tunjuelito) de la ampliación de la Caracas para hacer viviendas de interés social. ")</f>
        <v xml:space="preserve">Hacer una visita de campo por los predios remanentes (Al lado de la antigua sede de la Alcaldía Local de Tunjuelito) de la ampliación de la Caracas para hacer viviendas de interés social. </v>
      </c>
      <c r="G2301" s="55" t="str">
        <f ca="1">IFERROR(__xludf.DUMMYFUNCTION("""COMPUTED_VALUE"""),"06. Tunjuelito")</f>
        <v>06. Tunjuelito</v>
      </c>
      <c r="H2301" s="55">
        <f ca="1">IFERROR(__xludf.DUMMYFUNCTION("""COMPUTED_VALUE"""),44716)</f>
        <v>44716</v>
      </c>
      <c r="I2301" s="25"/>
      <c r="J2301" s="55" t="str">
        <f ca="1">IFERROR(__xludf.DUMMYFUNCTION("""COMPUTED_VALUE"""),"Alta")</f>
        <v>Alta</v>
      </c>
      <c r="K2301" s="25">
        <f ca="1">IFERROR(__xludf.DUMMYFUNCTION("""COMPUTED_VALUE"""),30)</f>
        <v>30</v>
      </c>
      <c r="L2301" s="62"/>
      <c r="M2301" s="25"/>
      <c r="N2301" s="55">
        <f ca="1">IFERROR(__xludf.DUMMYFUNCTION("""COMPUTED_VALUE"""),44927)</f>
        <v>44927</v>
      </c>
      <c r="O2301" s="25" t="str">
        <f t="shared" ca="1" si="0"/>
        <v>Empresa de Renovación y Desarrollo Urbano</v>
      </c>
      <c r="P2301" s="25" t="str">
        <f t="shared" si="2"/>
        <v/>
      </c>
      <c r="Q2301" s="25" t="str">
        <f ca="1">IFERROR(__xludf.DUMMYFUNCTION("""COMPUTED_VALUE"""),"Corto plazo")</f>
        <v>Corto plazo</v>
      </c>
      <c r="R2301" s="25"/>
      <c r="S2301" s="55"/>
      <c r="T2301" s="56"/>
      <c r="U2301" s="25"/>
      <c r="V2301" s="25"/>
      <c r="W2301" s="25"/>
      <c r="X2301" s="25"/>
      <c r="Y2301" s="25"/>
      <c r="Z2301" s="25"/>
    </row>
    <row r="2302" spans="1:26" ht="52.5" customHeight="1" x14ac:dyDescent="0.25">
      <c r="A2302" s="25" t="str">
        <f ca="1">IFERROR(__xludf.DUMMYFUNCTION("""COMPUTED_VALUE"""),"Hábit200")</f>
        <v>Hábit200</v>
      </c>
      <c r="B2302" s="25" t="str">
        <f ca="1">IFERROR(__xludf.DUMMYFUNCTION("""COMPUTED_VALUE"""),"Recorrido sendero Vivachá y Aguanoso")</f>
        <v>Recorrido sendero Vivachá y Aguanoso</v>
      </c>
      <c r="C2302" s="55">
        <f ca="1">IFERROR(__xludf.DUMMYFUNCTION("""COMPUTED_VALUE"""),44695)</f>
        <v>44695</v>
      </c>
      <c r="D2302" s="25" t="str">
        <f ca="1">IFERROR(__xludf.DUMMYFUNCTION("""COMPUTED_VALUE"""),"Hábitat")</f>
        <v>Hábitat</v>
      </c>
      <c r="E2302" s="25" t="str">
        <f ca="1">IFERROR(__xludf.DUMMYFUNCTION("""COMPUTED_VALUE"""),"Empresa de Acueducto y Alcantarillado de Bogotá")</f>
        <v>Empresa de Acueducto y Alcantarillado de Bogotá</v>
      </c>
      <c r="F2302" s="25" t="str">
        <f ca="1">IFERROR(__xludf.DUMMYFUNCTION("""COMPUTED_VALUE"""),"En cada conector ecosistémico poner señalización como la de senderos ")</f>
        <v xml:space="preserve">En cada conector ecosistémico poner señalización como la de senderos </v>
      </c>
      <c r="G2302" s="25" t="str">
        <f ca="1">IFERROR(__xludf.DUMMYFUNCTION("""COMPUTED_VALUE"""),"99. Distrito")</f>
        <v>99. Distrito</v>
      </c>
      <c r="H2302" s="55">
        <f ca="1">IFERROR(__xludf.DUMMYFUNCTION("""COMPUTED_VALUE"""),44725)</f>
        <v>44725</v>
      </c>
      <c r="I2302" s="25"/>
      <c r="J2302" s="55" t="str">
        <f ca="1">IFERROR(__xludf.DUMMYFUNCTION("""COMPUTED_VALUE"""),"Alta")</f>
        <v>Alta</v>
      </c>
      <c r="K2302" s="25">
        <f ca="1">IFERROR(__xludf.DUMMYFUNCTION("""COMPUTED_VALUE"""),30)</f>
        <v>30</v>
      </c>
      <c r="L2302" s="62">
        <f ca="1">IFERROR(__xludf.DUMMYFUNCTION("""COMPUTED_VALUE"""),44956)</f>
        <v>44956</v>
      </c>
      <c r="M2302" s="25"/>
      <c r="N2302" s="55">
        <f ca="1">IFERROR(__xludf.DUMMYFUNCTION("""COMPUTED_VALUE"""),44927)</f>
        <v>44927</v>
      </c>
      <c r="O2302" s="25" t="str">
        <f t="shared" ca="1" si="0"/>
        <v>Empresa de Acueducto y Alcantarillado de Bogotá</v>
      </c>
      <c r="P2302" s="25" t="str">
        <f t="shared" si="2"/>
        <v/>
      </c>
      <c r="Q2302" s="25" t="str">
        <f ca="1">IFERROR(__xludf.DUMMYFUNCTION("""COMPUTED_VALUE"""),"Corto plazo")</f>
        <v>Corto plazo</v>
      </c>
      <c r="R2302" s="25"/>
      <c r="S2302" s="55"/>
      <c r="T2302" s="56"/>
      <c r="U2302" s="25"/>
      <c r="V2302" s="25"/>
      <c r="W2302" s="25"/>
      <c r="X2302" s="25"/>
      <c r="Y2302" s="25"/>
      <c r="Z2302" s="25"/>
    </row>
    <row r="2303" spans="1:26" ht="52.5" customHeight="1" x14ac:dyDescent="0.25">
      <c r="A2303" s="25" t="str">
        <f ca="1">IFERROR(__xludf.DUMMYFUNCTION("""COMPUTED_VALUE"""),"Hábit201")</f>
        <v>Hábit201</v>
      </c>
      <c r="B2303" s="25" t="str">
        <f ca="1">IFERROR(__xludf.DUMMYFUNCTION("""COMPUTED_VALUE"""),"Recorrido sendero Vivachá y Aguanoso")</f>
        <v>Recorrido sendero Vivachá y Aguanoso</v>
      </c>
      <c r="C2303" s="55">
        <f ca="1">IFERROR(__xludf.DUMMYFUNCTION("""COMPUTED_VALUE"""),44695)</f>
        <v>44695</v>
      </c>
      <c r="D2303" s="25" t="str">
        <f ca="1">IFERROR(__xludf.DUMMYFUNCTION("""COMPUTED_VALUE"""),"Hábitat")</f>
        <v>Hábitat</v>
      </c>
      <c r="E2303" s="25" t="str">
        <f ca="1">IFERROR(__xludf.DUMMYFUNCTION("""COMPUTED_VALUE"""),"Empresa de Acueducto y Alcantarillado de Bogotá")</f>
        <v>Empresa de Acueducto y Alcantarillado de Bogotá</v>
      </c>
      <c r="F2303" s="25" t="str">
        <f ca="1">IFERROR(__xludf.DUMMYFUNCTION("""COMPUTED_VALUE"""),"En el punto de encuentro entre los senderos Vivachá y Km 11 hacer mantenimiento a predios para habilitar conexión entre los dos senderos.")</f>
        <v>En el punto de encuentro entre los senderos Vivachá y Km 11 hacer mantenimiento a predios para habilitar conexión entre los dos senderos.</v>
      </c>
      <c r="G2303" s="25" t="str">
        <f ca="1">IFERROR(__xludf.DUMMYFUNCTION("""COMPUTED_VALUE"""),"99. Distrito")</f>
        <v>99. Distrito</v>
      </c>
      <c r="H2303" s="55">
        <f ca="1">IFERROR(__xludf.DUMMYFUNCTION("""COMPUTED_VALUE"""),44725)</f>
        <v>44725</v>
      </c>
      <c r="I2303" s="25"/>
      <c r="J2303" s="55" t="str">
        <f ca="1">IFERROR(__xludf.DUMMYFUNCTION("""COMPUTED_VALUE"""),"Alta")</f>
        <v>Alta</v>
      </c>
      <c r="K2303" s="25">
        <f ca="1">IFERROR(__xludf.DUMMYFUNCTION("""COMPUTED_VALUE"""),30)</f>
        <v>30</v>
      </c>
      <c r="L2303" s="62">
        <f ca="1">IFERROR(__xludf.DUMMYFUNCTION("""COMPUTED_VALUE"""),44956)</f>
        <v>44956</v>
      </c>
      <c r="M2303" s="25"/>
      <c r="N2303" s="55">
        <f ca="1">IFERROR(__xludf.DUMMYFUNCTION("""COMPUTED_VALUE"""),44927)</f>
        <v>44927</v>
      </c>
      <c r="O2303" s="25" t="str">
        <f t="shared" ca="1" si="0"/>
        <v>Empresa de Acueducto y Alcantarillado de Bogotá</v>
      </c>
      <c r="P2303" s="25" t="str">
        <f t="shared" si="2"/>
        <v/>
      </c>
      <c r="Q2303" s="25" t="str">
        <f ca="1">IFERROR(__xludf.DUMMYFUNCTION("""COMPUTED_VALUE"""),"Corto plazo")</f>
        <v>Corto plazo</v>
      </c>
      <c r="R2303" s="25"/>
      <c r="S2303" s="55"/>
      <c r="T2303" s="56"/>
      <c r="U2303" s="25"/>
      <c r="V2303" s="25"/>
      <c r="W2303" s="25"/>
      <c r="X2303" s="25"/>
      <c r="Y2303" s="25"/>
      <c r="Z2303" s="25"/>
    </row>
    <row r="2304" spans="1:26" ht="52.5" customHeight="1" x14ac:dyDescent="0.25">
      <c r="A2304" s="25" t="str">
        <f ca="1">IFERROR(__xludf.DUMMYFUNCTION("""COMPUTED_VALUE"""),"Hábit202")</f>
        <v>Hábit202</v>
      </c>
      <c r="B2304" s="25" t="str">
        <f ca="1">IFERROR(__xludf.DUMMYFUNCTION("""COMPUTED_VALUE"""),"Plan de carreteros, habitantes de calle y basuras")</f>
        <v>Plan de carreteros, habitantes de calle y basuras</v>
      </c>
      <c r="C2304" s="55">
        <f ca="1">IFERROR(__xludf.DUMMYFUNCTION("""COMPUTED_VALUE"""),44603)</f>
        <v>44603</v>
      </c>
      <c r="D2304" s="25" t="str">
        <f ca="1">IFERROR(__xludf.DUMMYFUNCTION("""COMPUTED_VALUE"""),"Hábitat")</f>
        <v>Hábitat</v>
      </c>
      <c r="E2304" s="25" t="str">
        <f ca="1">IFERROR(__xludf.DUMMYFUNCTION("""COMPUTED_VALUE"""),"Unidad Administrativa Especial de Servicios Públicos")</f>
        <v>Unidad Administrativa Especial de Servicios Públicos</v>
      </c>
      <c r="F2304" s="25" t="str">
        <f ca="1">IFERROR(__xludf.DUMMYFUNCTION("""COMPUTED_VALUE"""),"Implementar el plan de choque de basuras, se debe iniciar con los corredores de gobernabilidad empezando por la calle 100 y la Cra 7ma")</f>
        <v>Implementar el plan de choque de basuras, se debe iniciar con los corredores de gobernabilidad empezando por la calle 100 y la Cra 7ma</v>
      </c>
      <c r="G2304" s="25" t="str">
        <f ca="1">IFERROR(__xludf.DUMMYFUNCTION("""COMPUTED_VALUE"""),"99. Distrito")</f>
        <v>99. Distrito</v>
      </c>
      <c r="H2304" s="55">
        <f ca="1">IFERROR(__xludf.DUMMYFUNCTION("""COMPUTED_VALUE"""),44633)</f>
        <v>44633</v>
      </c>
      <c r="I2304" s="25"/>
      <c r="J2304" s="55" t="str">
        <f ca="1">IFERROR(__xludf.DUMMYFUNCTION("""COMPUTED_VALUE"""),"Alta")</f>
        <v>Alta</v>
      </c>
      <c r="K2304" s="25">
        <f ca="1">IFERROR(__xludf.DUMMYFUNCTION("""COMPUTED_VALUE"""),30)</f>
        <v>30</v>
      </c>
      <c r="L2304" s="62"/>
      <c r="M2304" s="25"/>
      <c r="N2304" s="55">
        <f ca="1">IFERROR(__xludf.DUMMYFUNCTION("""COMPUTED_VALUE"""),44927)</f>
        <v>44927</v>
      </c>
      <c r="O2304" s="25" t="str">
        <f t="shared" ca="1" si="0"/>
        <v>Unidad Administrativa Especial de Servicios Públicos</v>
      </c>
      <c r="P2304" s="25" t="str">
        <f t="shared" si="2"/>
        <v/>
      </c>
      <c r="Q2304" s="25" t="str">
        <f ca="1">IFERROR(__xludf.DUMMYFUNCTION("""COMPUTED_VALUE"""),"Corto plazo")</f>
        <v>Corto plazo</v>
      </c>
      <c r="R2304" s="25"/>
      <c r="S2304" s="55"/>
      <c r="T2304" s="56"/>
      <c r="U2304" s="25"/>
      <c r="V2304" s="25"/>
      <c r="W2304" s="25"/>
      <c r="X2304" s="25"/>
      <c r="Y2304" s="25"/>
      <c r="Z2304" s="25"/>
    </row>
    <row r="2305" spans="1:26" ht="52.5" customHeight="1" x14ac:dyDescent="0.25">
      <c r="A2305" s="25" t="str">
        <f ca="1">IFERROR(__xludf.DUMMYFUNCTION("""COMPUTED_VALUE"""),"Hábit203")</f>
        <v>Hábit203</v>
      </c>
      <c r="B2305" s="25" t="str">
        <f ca="1">IFERROR(__xludf.DUMMYFUNCTION("""COMPUTED_VALUE"""),"Corredor Verde y Valorización")</f>
        <v>Corredor Verde y Valorización</v>
      </c>
      <c r="C2305" s="55">
        <f ca="1">IFERROR(__xludf.DUMMYFUNCTION("""COMPUTED_VALUE"""),44687)</f>
        <v>44687</v>
      </c>
      <c r="D2305" s="25" t="str">
        <f ca="1">IFERROR(__xludf.DUMMYFUNCTION("""COMPUTED_VALUE"""),"Hábitat")</f>
        <v>Hábitat</v>
      </c>
      <c r="E2305" s="25" t="str">
        <f ca="1">IFERROR(__xludf.DUMMYFUNCTION("""COMPUTED_VALUE"""),"Unidad Administrativa Especial de Servicios Públicos")</f>
        <v>Unidad Administrativa Especial de Servicios Públicos</v>
      </c>
      <c r="F2305" s="25" t="str">
        <f ca="1">IFERROR(__xludf.DUMMYFUNCTION("""COMPUTED_VALUE"""),"PENDIENTE ESPECIFICACIONES TÉCNICAS con revisiones de borradores en cuanto a componente de materiales iniciando el 10 de mayo.")</f>
        <v>PENDIENTE ESPECIFICACIONES TÉCNICAS con revisiones de borradores en cuanto a componente de materiales iniciando el 10 de mayo.</v>
      </c>
      <c r="G2305" s="25" t="str">
        <f ca="1">IFERROR(__xludf.DUMMYFUNCTION("""COMPUTED_VALUE"""),"99. Distrito")</f>
        <v>99. Distrito</v>
      </c>
      <c r="H2305" s="55">
        <f ca="1">IFERROR(__xludf.DUMMYFUNCTION("""COMPUTED_VALUE"""),44910)</f>
        <v>44910</v>
      </c>
      <c r="I2305" s="25"/>
      <c r="J2305" s="55" t="str">
        <f ca="1">IFERROR(__xludf.DUMMYFUNCTION("""COMPUTED_VALUE"""),"Baja")</f>
        <v>Baja</v>
      </c>
      <c r="K2305" s="25">
        <f ca="1">IFERROR(__xludf.DUMMYFUNCTION("""COMPUTED_VALUE"""),223)</f>
        <v>223</v>
      </c>
      <c r="L2305" s="62">
        <f ca="1">IFERROR(__xludf.DUMMYFUNCTION("""COMPUTED_VALUE"""),45016)</f>
        <v>45016</v>
      </c>
      <c r="M2305" s="25" t="str">
        <f ca="1">IFERROR(__xludf.DUMMYFUNCTION("""COMPUTED_VALUE"""),"La función de la UAESP en cuanto al alumbrado público es la aprobación de diseños fotométricos, según lo estipulado por RETILAP. En este proceso se han recibido las solicitudes de aprobación de diseño fotométrico del Tramo 1 y Tramo 3 del Corredor Verde, "&amp;"a los cuales se les han hecho las respectivas revisiones y retroalimentaciones.
Último envío de observaciones al Tramo 1: 21 de marzo de 2023
Último envío de observaciones al Tramo 3: 14 de febrero de 2023
En cuanto a las especificaciones técnicas de"&amp;" los tramos que se han entregado para aprobación, el contratista del IDU está presentando diseños con luminarias en tecnología LED, las cuales comprenden iluminación funcional, ornamental y smart. Dichas luminarias deben cumplir con la normatividad del RE"&amp;"TILAP y el dictamen del operador de Alumbrado Público y la UAESP.
La aprobación del diseño fotométrico está sujeta a los tiempos que se tome el contratista del IDU para presentar los respectivos ajustes.
Se realizaron reuniones con los especialistas"&amp;" del contratista IDU para la retroalimentación de las observaciones a las propuestas de los diseños fotométricos presentados. En relación a visitas técnicas en terreno, se coordinan entre IDU, contratista IDU y el operador de alumbrado público como propie"&amp;"tario de la infraestructura en el sector.
En cuanto a las instalaciones y desinstalaciones de infraestructura de alumbrado público, el IDU y el operador de alumbrado público, realizan estas actividades bajo el convenio de cooperación establecido entre "&amp;"las partes.")</f>
        <v>La función de la UAESP en cuanto al alumbrado público es la aprobación de diseños fotométricos, según lo estipulado por RETILAP. En este proceso se han recibido las solicitudes de aprobación de diseño fotométrico del Tramo 1 y Tramo 3 del Corredor Verde, a los cuales se les han hecho las respectivas revisiones y retroalimentaciones.
Último envío de observaciones al Tramo 1: 21 de marzo de 2023
Último envío de observaciones al Tramo 3: 14 de febrero de 2023
En cuanto a las especificaciones técnicas de los tramos que se han entregado para aprobación, el contratista del IDU está presentando diseños con luminarias en tecnología LED, las cuales comprenden iluminación funcional, ornamental y smart. Dichas luminarias deben cumplir con la normatividad del RETILAP y el dictamen del operador de Alumbrado Público y la UAESP.
La aprobación del diseño fotométrico está sujeta a los tiempos que se tome el contratista del IDU para presentar los respectivos ajustes.
Se realizaron reuniones con los especialistas del contratista IDU para la retroalimentación de las observaciones a las propuestas de los diseños fotométricos presentados. En relación a visitas técnicas en terreno, se coordinan entre IDU, contratista IDU y el operador de alumbrado público como propietario de la infraestructura en el sector.
En cuanto a las instalaciones y desinstalaciones de infraestructura de alumbrado público, el IDU y el operador de alumbrado público, realizan estas actividades bajo el convenio de cooperación establecido entre las partes.</v>
      </c>
      <c r="N2305" s="55">
        <f ca="1">IFERROR(__xludf.DUMMYFUNCTION("""COMPUTED_VALUE"""),45016)</f>
        <v>45016</v>
      </c>
      <c r="O2305" s="25" t="str">
        <f t="shared" ca="1" si="0"/>
        <v>Unidad Administrativa Especial de Servicios Públicos</v>
      </c>
      <c r="P2305" s="25" t="str">
        <f t="shared" si="2"/>
        <v/>
      </c>
      <c r="Q2305" s="25" t="str">
        <f ca="1">IFERROR(__xludf.DUMMYFUNCTION("""COMPUTED_VALUE"""),"Largo plazo")</f>
        <v>Largo plazo</v>
      </c>
      <c r="R2305" s="25"/>
      <c r="S2305" s="55"/>
      <c r="T2305" s="56"/>
      <c r="U2305" s="25"/>
      <c r="V2305" s="25"/>
      <c r="W2305" s="25"/>
      <c r="X2305" s="25"/>
      <c r="Y2305" s="25"/>
      <c r="Z2305" s="25"/>
    </row>
    <row r="2306" spans="1:26" ht="52.5" customHeight="1" x14ac:dyDescent="0.25">
      <c r="A2306" s="25" t="str">
        <f ca="1">IFERROR(__xludf.DUMMYFUNCTION("""COMPUTED_VALUE"""),"Hábit204")</f>
        <v>Hábit204</v>
      </c>
      <c r="B2306" s="25" t="str">
        <f ca="1">IFERROR(__xludf.DUMMYFUNCTION("""COMPUTED_VALUE"""),"Corredor Verde y Valorización")</f>
        <v>Corredor Verde y Valorización</v>
      </c>
      <c r="C2306" s="55">
        <f ca="1">IFERROR(__xludf.DUMMYFUNCTION("""COMPUTED_VALUE"""),44687)</f>
        <v>44687</v>
      </c>
      <c r="D2306" s="25" t="str">
        <f ca="1">IFERROR(__xludf.DUMMYFUNCTION("""COMPUTED_VALUE"""),"Hábitat")</f>
        <v>Hábitat</v>
      </c>
      <c r="E2306" s="25" t="str">
        <f ca="1">IFERROR(__xludf.DUMMYFUNCTION("""COMPUTED_VALUE"""),"Unidad Administrativa Especial de Servicios Públicos")</f>
        <v>Unidad Administrativa Especial de Servicios Públicos</v>
      </c>
      <c r="F2306" s="25" t="str">
        <f ca="1">IFERROR(__xludf.DUMMYFUNCTION("""COMPUTED_VALUE"""),"Parque Bosa Nova:
Recepción del parque
")</f>
        <v xml:space="preserve">Parque Bosa Nova:
Recepción del parque
</v>
      </c>
      <c r="G2306" s="25" t="str">
        <f ca="1">IFERROR(__xludf.DUMMYFUNCTION("""COMPUTED_VALUE"""),"07. Bosa")</f>
        <v>07. Bosa</v>
      </c>
      <c r="H2306" s="55">
        <f ca="1">IFERROR(__xludf.DUMMYFUNCTION("""COMPUTED_VALUE"""),44910)</f>
        <v>44910</v>
      </c>
      <c r="I2306" s="25"/>
      <c r="J2306" s="55" t="str">
        <f ca="1">IFERROR(__xludf.DUMMYFUNCTION("""COMPUTED_VALUE"""),"Baja")</f>
        <v>Baja</v>
      </c>
      <c r="K2306" s="25">
        <f ca="1">IFERROR(__xludf.DUMMYFUNCTION("""COMPUTED_VALUE"""),223)</f>
        <v>223</v>
      </c>
      <c r="L2306" s="62">
        <f ca="1">IFERROR(__xludf.DUMMYFUNCTION("""COMPUTED_VALUE"""),44987)</f>
        <v>44987</v>
      </c>
      <c r="M2306" s="25" t="str">
        <f ca="1">IFERROR(__xludf.DUMMYFUNCTION("""COMPUTED_VALUE"""),"El parque debe ser entregado oficialmente al Dadep y/o Alcaldía Local en el contrato de intervención para codificación Rupi, con dicho registro se procede a la verificación. El contratista debe asumir el costo de la regulación y medidor. El contratante no"&amp;" debe recibir el parque sin dicha instalación. El procedimiento es que el contratista solicite dicho proceso con Codensa")</f>
        <v>El parque debe ser entregado oficialmente al Dadep y/o Alcaldía Local en el contrato de intervención para codificación Rupi, con dicho registro se procede a la verificación. El contratista debe asumir el costo de la regulación y medidor. El contratante no debe recibir el parque sin dicha instalación. El procedimiento es que el contratista solicite dicho proceso con Codensa</v>
      </c>
      <c r="N2306" s="55">
        <f ca="1">IFERROR(__xludf.DUMMYFUNCTION("""COMPUTED_VALUE"""),44987)</f>
        <v>44987</v>
      </c>
      <c r="O2306" s="25" t="str">
        <f t="shared" ca="1" si="0"/>
        <v>Unidad Administrativa Especial de Servicios Públicos</v>
      </c>
      <c r="P2306" s="25" t="str">
        <f t="shared" si="2"/>
        <v/>
      </c>
      <c r="Q2306" s="25" t="str">
        <f ca="1">IFERROR(__xludf.DUMMYFUNCTION("""COMPUTED_VALUE"""),"Largo plazo")</f>
        <v>Largo plazo</v>
      </c>
      <c r="R2306" s="25"/>
      <c r="S2306" s="55"/>
      <c r="T2306" s="56"/>
      <c r="U2306" s="25"/>
      <c r="V2306" s="25"/>
      <c r="W2306" s="25"/>
      <c r="X2306" s="25"/>
      <c r="Y2306" s="25"/>
      <c r="Z2306" s="25"/>
    </row>
    <row r="2307" spans="1:26" ht="52.5" customHeight="1" x14ac:dyDescent="0.25">
      <c r="A2307" s="25" t="str">
        <f ca="1">IFERROR(__xludf.DUMMYFUNCTION("""COMPUTED_VALUE"""),"Hábit205")</f>
        <v>Hábit205</v>
      </c>
      <c r="B2307" s="25" t="str">
        <f ca="1">IFERROR(__xludf.DUMMYFUNCTION("""COMPUTED_VALUE"""),"Conectores ecosistémicos, siembra")</f>
        <v>Conectores ecosistémicos, siembra</v>
      </c>
      <c r="C2307" s="55">
        <f ca="1">IFERROR(__xludf.DUMMYFUNCTION("""COMPUTED_VALUE"""),44695)</f>
        <v>44695</v>
      </c>
      <c r="D2307" s="25" t="str">
        <f ca="1">IFERROR(__xludf.DUMMYFUNCTION("""COMPUTED_VALUE"""),"Hábitat")</f>
        <v>Hábitat</v>
      </c>
      <c r="E2307" s="25" t="str">
        <f ca="1">IFERROR(__xludf.DUMMYFUNCTION("""COMPUTED_VALUE"""),"Empresa de Acueducto y Alcantarillado de Bogotá")</f>
        <v>Empresa de Acueducto y Alcantarillado de Bogotá</v>
      </c>
      <c r="F2307" s="25" t="str">
        <f ca="1">IFERROR(__xludf.DUMMYFUNCTION("""COMPUTED_VALUE"""),"Humedal Juan Amarillo.
Incluir la cicloruta de subida, esa es la funcionalidad y coordinar con Movilidad. 
")</f>
        <v xml:space="preserve">Humedal Juan Amarillo.
Incluir la cicloruta de subida, esa es la funcionalidad y coordinar con Movilidad. 
</v>
      </c>
      <c r="G2307" s="25" t="str">
        <f ca="1">IFERROR(__xludf.DUMMYFUNCTION("""COMPUTED_VALUE"""),"99. Distrito")</f>
        <v>99. Distrito</v>
      </c>
      <c r="H2307" s="55">
        <f ca="1">IFERROR(__xludf.DUMMYFUNCTION("""COMPUTED_VALUE"""),44725)</f>
        <v>44725</v>
      </c>
      <c r="I2307" s="25"/>
      <c r="J2307" s="55" t="str">
        <f ca="1">IFERROR(__xludf.DUMMYFUNCTION("""COMPUTED_VALUE"""),"Alta")</f>
        <v>Alta</v>
      </c>
      <c r="K2307" s="25">
        <f ca="1">IFERROR(__xludf.DUMMYFUNCTION("""COMPUTED_VALUE"""),30)</f>
        <v>30</v>
      </c>
      <c r="L2307" s="62">
        <f ca="1">IFERROR(__xludf.DUMMYFUNCTION("""COMPUTED_VALUE"""),44956)</f>
        <v>44956</v>
      </c>
      <c r="M2307" s="25"/>
      <c r="N2307" s="55">
        <f ca="1">IFERROR(__xludf.DUMMYFUNCTION("""COMPUTED_VALUE"""),44927)</f>
        <v>44927</v>
      </c>
      <c r="O2307" s="25" t="str">
        <f t="shared" ca="1" si="0"/>
        <v>Empresa de Acueducto y Alcantarillado de Bogotá</v>
      </c>
      <c r="P2307" s="25" t="str">
        <f t="shared" si="2"/>
        <v/>
      </c>
      <c r="Q2307" s="25" t="str">
        <f ca="1">IFERROR(__xludf.DUMMYFUNCTION("""COMPUTED_VALUE"""),"Corto plazo")</f>
        <v>Corto plazo</v>
      </c>
      <c r="R2307" s="25"/>
      <c r="S2307" s="55"/>
      <c r="T2307" s="56"/>
      <c r="U2307" s="25"/>
      <c r="V2307" s="25"/>
      <c r="W2307" s="25"/>
      <c r="X2307" s="25"/>
      <c r="Y2307" s="25"/>
      <c r="Z2307" s="25"/>
    </row>
    <row r="2308" spans="1:26" ht="52.5" customHeight="1" x14ac:dyDescent="0.25">
      <c r="A2308" s="25" t="str">
        <f ca="1">IFERROR(__xludf.DUMMYFUNCTION("""COMPUTED_VALUE"""),"Hábit206")</f>
        <v>Hábit206</v>
      </c>
      <c r="B2308" s="25" t="str">
        <f ca="1">IFERROR(__xludf.DUMMYFUNCTION("""COMPUTED_VALUE"""),"Conectores ecosistémicos, siembra")</f>
        <v>Conectores ecosistémicos, siembra</v>
      </c>
      <c r="C2308" s="55">
        <f ca="1">IFERROR(__xludf.DUMMYFUNCTION("""COMPUTED_VALUE"""),44695)</f>
        <v>44695</v>
      </c>
      <c r="D2308" s="25" t="str">
        <f ca="1">IFERROR(__xludf.DUMMYFUNCTION("""COMPUTED_VALUE"""),"Hábitat")</f>
        <v>Hábitat</v>
      </c>
      <c r="E2308" s="25" t="str">
        <f ca="1">IFERROR(__xludf.DUMMYFUNCTION("""COMPUTED_VALUE"""),"Empresa de Acueducto y Alcantarillado de Bogotá")</f>
        <v>Empresa de Acueducto y Alcantarillado de Bogotá</v>
      </c>
      <c r="F2308" s="25" t="str">
        <f ca="1">IFERROR(__xludf.DUMMYFUNCTION("""COMPUTED_VALUE"""),"Humedal Jaboque.
Hablar con Secretaría de Seguridad para el tema de seguridad
")</f>
        <v xml:space="preserve">Humedal Jaboque.
Hablar con Secretaría de Seguridad para el tema de seguridad
</v>
      </c>
      <c r="G2308" s="25" t="str">
        <f ca="1">IFERROR(__xludf.DUMMYFUNCTION("""COMPUTED_VALUE"""),"99. Distrito")</f>
        <v>99. Distrito</v>
      </c>
      <c r="H2308" s="55">
        <f ca="1">IFERROR(__xludf.DUMMYFUNCTION("""COMPUTED_VALUE"""),44725)</f>
        <v>44725</v>
      </c>
      <c r="I2308" s="25"/>
      <c r="J2308" s="55" t="str">
        <f ca="1">IFERROR(__xludf.DUMMYFUNCTION("""COMPUTED_VALUE"""),"Alta")</f>
        <v>Alta</v>
      </c>
      <c r="K2308" s="25">
        <f ca="1">IFERROR(__xludf.DUMMYFUNCTION("""COMPUTED_VALUE"""),30)</f>
        <v>30</v>
      </c>
      <c r="L2308" s="62">
        <f ca="1">IFERROR(__xludf.DUMMYFUNCTION("""COMPUTED_VALUE"""),44956)</f>
        <v>44956</v>
      </c>
      <c r="M2308" s="25"/>
      <c r="N2308" s="55">
        <f ca="1">IFERROR(__xludf.DUMMYFUNCTION("""COMPUTED_VALUE"""),44927)</f>
        <v>44927</v>
      </c>
      <c r="O2308" s="25" t="str">
        <f t="shared" ca="1" si="0"/>
        <v>Empresa de Acueducto y Alcantarillado de Bogotá</v>
      </c>
      <c r="P2308" s="25" t="str">
        <f t="shared" si="2"/>
        <v/>
      </c>
      <c r="Q2308" s="25" t="str">
        <f ca="1">IFERROR(__xludf.DUMMYFUNCTION("""COMPUTED_VALUE"""),"Corto plazo")</f>
        <v>Corto plazo</v>
      </c>
      <c r="R2308" s="25"/>
      <c r="S2308" s="55"/>
      <c r="T2308" s="56"/>
      <c r="U2308" s="25"/>
      <c r="V2308" s="25"/>
      <c r="W2308" s="25"/>
      <c r="X2308" s="25"/>
      <c r="Y2308" s="25"/>
      <c r="Z2308" s="25"/>
    </row>
    <row r="2309" spans="1:26" ht="52.5" customHeight="1" x14ac:dyDescent="0.25">
      <c r="A2309" s="25" t="str">
        <f ca="1">IFERROR(__xludf.DUMMYFUNCTION("""COMPUTED_VALUE"""),"Hábit207")</f>
        <v>Hábit207</v>
      </c>
      <c r="B2309" s="25" t="str">
        <f ca="1">IFERROR(__xludf.DUMMYFUNCTION("""COMPUTED_VALUE"""),"Conectores ecosistémicos, siembra")</f>
        <v>Conectores ecosistémicos, siembra</v>
      </c>
      <c r="C2309" s="55">
        <f ca="1">IFERROR(__xludf.DUMMYFUNCTION("""COMPUTED_VALUE"""),44695)</f>
        <v>44695</v>
      </c>
      <c r="D2309" s="25" t="str">
        <f ca="1">IFERROR(__xludf.DUMMYFUNCTION("""COMPUTED_VALUE"""),"Hábitat")</f>
        <v>Hábitat</v>
      </c>
      <c r="E2309" s="25" t="str">
        <f ca="1">IFERROR(__xludf.DUMMYFUNCTION("""COMPUTED_VALUE"""),"Empresa de Acueducto y Alcantarillado de Bogotá")</f>
        <v>Empresa de Acueducto y Alcantarillado de Bogotá</v>
      </c>
      <c r="F2309" s="25" t="str">
        <f ca="1">IFERROR(__xludf.DUMMYFUNCTION("""COMPUTED_VALUE"""),"Los conectores ecosistémicos (rio, rondas o humedales) deben tener siembra, señalización e iluminación donde autoricen; y definir limpieza y mantenimiento del conector con Aguas de Bogotá.")</f>
        <v>Los conectores ecosistémicos (rio, rondas o humedales) deben tener siembra, señalización e iluminación donde autoricen; y definir limpieza y mantenimiento del conector con Aguas de Bogotá.</v>
      </c>
      <c r="G2309" s="25" t="str">
        <f ca="1">IFERROR(__xludf.DUMMYFUNCTION("""COMPUTED_VALUE"""),"99. Distrito")</f>
        <v>99. Distrito</v>
      </c>
      <c r="H2309" s="55">
        <f ca="1">IFERROR(__xludf.DUMMYFUNCTION("""COMPUTED_VALUE"""),44895)</f>
        <v>44895</v>
      </c>
      <c r="I2309" s="25"/>
      <c r="J2309" s="55" t="str">
        <f ca="1">IFERROR(__xludf.DUMMYFUNCTION("""COMPUTED_VALUE"""),"Baja")</f>
        <v>Baja</v>
      </c>
      <c r="K2309" s="25">
        <f ca="1">IFERROR(__xludf.DUMMYFUNCTION("""COMPUTED_VALUE"""),200)</f>
        <v>200</v>
      </c>
      <c r="L2309" s="62">
        <f ca="1">IFERROR(__xludf.DUMMYFUNCTION("""COMPUTED_VALUE"""),44956)</f>
        <v>44956</v>
      </c>
      <c r="M2309" s="25"/>
      <c r="N2309" s="55">
        <f ca="1">IFERROR(__xludf.DUMMYFUNCTION("""COMPUTED_VALUE"""),44927)</f>
        <v>44927</v>
      </c>
      <c r="O2309" s="25" t="str">
        <f t="shared" ca="1" si="0"/>
        <v>Empresa de Acueducto y Alcantarillado de Bogotá</v>
      </c>
      <c r="P2309" s="25" t="str">
        <f t="shared" si="2"/>
        <v/>
      </c>
      <c r="Q2309" s="25" t="str">
        <f ca="1">IFERROR(__xludf.DUMMYFUNCTION("""COMPUTED_VALUE"""),"Largo plazo")</f>
        <v>Largo plazo</v>
      </c>
      <c r="R2309" s="25"/>
      <c r="S2309" s="55"/>
      <c r="T2309" s="56"/>
      <c r="U2309" s="25"/>
      <c r="V2309" s="25"/>
      <c r="W2309" s="25"/>
      <c r="X2309" s="25"/>
      <c r="Y2309" s="25"/>
      <c r="Z2309" s="25"/>
    </row>
    <row r="2310" spans="1:26" ht="52.5" customHeight="1" x14ac:dyDescent="0.25">
      <c r="A2310" s="25" t="str">
        <f ca="1">IFERROR(__xludf.DUMMYFUNCTION("""COMPUTED_VALUE"""),"Hábit208")</f>
        <v>Hábit208</v>
      </c>
      <c r="B2310" s="25" t="str">
        <f ca="1">IFERROR(__xludf.DUMMYFUNCTION("""COMPUTED_VALUE"""),"Conectores ecosistémicos, siembra")</f>
        <v>Conectores ecosistémicos, siembra</v>
      </c>
      <c r="C2310" s="55">
        <f ca="1">IFERROR(__xludf.DUMMYFUNCTION("""COMPUTED_VALUE"""),44695)</f>
        <v>44695</v>
      </c>
      <c r="D2310" s="25" t="str">
        <f ca="1">IFERROR(__xludf.DUMMYFUNCTION("""COMPUTED_VALUE"""),"Hábitat")</f>
        <v>Hábitat</v>
      </c>
      <c r="E2310" s="25" t="str">
        <f ca="1">IFERROR(__xludf.DUMMYFUNCTION("""COMPUTED_VALUE"""),"Empresa de Acueducto y Alcantarillado de Bogotá")</f>
        <v>Empresa de Acueducto y Alcantarillado de Bogotá</v>
      </c>
      <c r="F2310" s="25" t="str">
        <f ca="1">IFERROR(__xludf.DUMMYFUNCTION("""COMPUTED_VALUE"""),"El Canal del Salitre está canalizado en una parte (el que va por detrás de Entre Ríos), pero el brazo que viene de la NQS y sale al frente de Entre Ríos (12 de octubre) no lo está. Está lleno de basura, sino se puede canalizar se debe hacer mantenimiento "&amp;"e iluminación.")</f>
        <v>El Canal del Salitre está canalizado en una parte (el que va por detrás de Entre Ríos), pero el brazo que viene de la NQS y sale al frente de Entre Ríos (12 de octubre) no lo está. Está lleno de basura, sino se puede canalizar se debe hacer mantenimiento e iluminación.</v>
      </c>
      <c r="G2310" s="25" t="str">
        <f ca="1">IFERROR(__xludf.DUMMYFUNCTION("""COMPUTED_VALUE"""),"99. Distrito")</f>
        <v>99. Distrito</v>
      </c>
      <c r="H2310" s="55">
        <f ca="1">IFERROR(__xludf.DUMMYFUNCTION("""COMPUTED_VALUE"""),44725)</f>
        <v>44725</v>
      </c>
      <c r="I2310" s="25"/>
      <c r="J2310" s="55" t="str">
        <f ca="1">IFERROR(__xludf.DUMMYFUNCTION("""COMPUTED_VALUE"""),"Alta")</f>
        <v>Alta</v>
      </c>
      <c r="K2310" s="25">
        <f ca="1">IFERROR(__xludf.DUMMYFUNCTION("""COMPUTED_VALUE"""),30)</f>
        <v>30</v>
      </c>
      <c r="L2310" s="62">
        <f ca="1">IFERROR(__xludf.DUMMYFUNCTION("""COMPUTED_VALUE"""),44956)</f>
        <v>44956</v>
      </c>
      <c r="M2310" s="25"/>
      <c r="N2310" s="55">
        <f ca="1">IFERROR(__xludf.DUMMYFUNCTION("""COMPUTED_VALUE"""),44927)</f>
        <v>44927</v>
      </c>
      <c r="O2310" s="25" t="str">
        <f t="shared" ca="1" si="0"/>
        <v>Empresa de Acueducto y Alcantarillado de Bogotá</v>
      </c>
      <c r="P2310" s="25" t="str">
        <f t="shared" si="2"/>
        <v/>
      </c>
      <c r="Q2310" s="25" t="str">
        <f ca="1">IFERROR(__xludf.DUMMYFUNCTION("""COMPUTED_VALUE"""),"Corto plazo")</f>
        <v>Corto plazo</v>
      </c>
      <c r="R2310" s="25"/>
      <c r="S2310" s="55"/>
      <c r="T2310" s="56"/>
      <c r="U2310" s="25"/>
      <c r="V2310" s="25"/>
      <c r="W2310" s="25"/>
      <c r="X2310" s="25"/>
      <c r="Y2310" s="25"/>
      <c r="Z2310" s="25"/>
    </row>
    <row r="2311" spans="1:26" ht="52.5" customHeight="1" x14ac:dyDescent="0.25">
      <c r="A2311" s="25" t="str">
        <f ca="1">IFERROR(__xludf.DUMMYFUNCTION("""COMPUTED_VALUE"""),"Hábit209")</f>
        <v>Hábit209</v>
      </c>
      <c r="B2311" s="25" t="str">
        <f ca="1">IFERROR(__xludf.DUMMYFUNCTION("""COMPUTED_VALUE"""),"Revisión cesiones y legalizaciones barrios")</f>
        <v>Revisión cesiones y legalizaciones barrios</v>
      </c>
      <c r="C2311" s="55">
        <f ca="1">IFERROR(__xludf.DUMMYFUNCTION("""COMPUTED_VALUE"""),44697)</f>
        <v>44697</v>
      </c>
      <c r="D2311" s="25" t="str">
        <f ca="1">IFERROR(__xludf.DUMMYFUNCTION("""COMPUTED_VALUE"""),"Hábitat")</f>
        <v>Hábitat</v>
      </c>
      <c r="E2311" s="25" t="str">
        <f ca="1">IFERROR(__xludf.DUMMYFUNCTION("""COMPUTED_VALUE"""),"Unidad Administrativa Especial de Servicios Públicos")</f>
        <v>Unidad Administrativa Especial de Servicios Públicos</v>
      </c>
      <c r="F2311" s="25" t="str">
        <f ca="1">IFERROR(__xludf.DUMMYFUNCTION("""COMPUTED_VALUE"""),"Solucionar la legalización de espacio público del barrio Veraguas y los barrios Caracol, Lomas Pijao, Modelo Norte, Jorge Gaitán Cortes y Calvo Sur.")</f>
        <v>Solucionar la legalización de espacio público del barrio Veraguas y los barrios Caracol, Lomas Pijao, Modelo Norte, Jorge Gaitán Cortes y Calvo Sur.</v>
      </c>
      <c r="G2311" s="25" t="str">
        <f ca="1">IFERROR(__xludf.DUMMYFUNCTION("""COMPUTED_VALUE"""),"99. Distrito")</f>
        <v>99. Distrito</v>
      </c>
      <c r="H2311" s="55">
        <f ca="1">IFERROR(__xludf.DUMMYFUNCTION("""COMPUTED_VALUE"""),44910)</f>
        <v>44910</v>
      </c>
      <c r="I2311" s="25"/>
      <c r="J2311" s="55" t="str">
        <f ca="1">IFERROR(__xludf.DUMMYFUNCTION("""COMPUTED_VALUE"""),"Baja")</f>
        <v>Baja</v>
      </c>
      <c r="K2311" s="25">
        <f ca="1">IFERROR(__xludf.DUMMYFUNCTION("""COMPUTED_VALUE"""),213)</f>
        <v>213</v>
      </c>
      <c r="L2311" s="62">
        <f ca="1">IFERROR(__xludf.DUMMYFUNCTION("""COMPUTED_VALUE"""),44987)</f>
        <v>44987</v>
      </c>
      <c r="M2311" s="25" t="str">
        <f ca="1">IFERROR(__xludf.DUMMYFUNCTION("""COMPUTED_VALUE"""),"Se solicita a Dadep avanzar en la clarificación del estado de las zonas de los barrios Veraguas y los barrios Caracol, Lomas Pijao, Modelo Norte, Jorge Gaitán Cortes y Calvo Sur que aún no están tipificados como espacios públicos para ser incluidos en el "&amp;"mobiliario y red pública de iluminación ")</f>
        <v xml:space="preserve">Se solicita a Dadep avanzar en la clarificación del estado de las zonas de los barrios Veraguas y los barrios Caracol, Lomas Pijao, Modelo Norte, Jorge Gaitán Cortes y Calvo Sur que aún no están tipificados como espacios públicos para ser incluidos en el mobiliario y red pública de iluminación </v>
      </c>
      <c r="N2311" s="55">
        <f ca="1">IFERROR(__xludf.DUMMYFUNCTION("""COMPUTED_VALUE"""),44987)</f>
        <v>44987</v>
      </c>
      <c r="O2311" s="25" t="str">
        <f t="shared" ca="1" si="0"/>
        <v>Unidad Administrativa Especial de Servicios Públicos</v>
      </c>
      <c r="P2311" s="25" t="str">
        <f t="shared" si="2"/>
        <v/>
      </c>
      <c r="Q2311" s="25" t="str">
        <f ca="1">IFERROR(__xludf.DUMMYFUNCTION("""COMPUTED_VALUE"""),"Largo plazo")</f>
        <v>Largo plazo</v>
      </c>
      <c r="R2311" s="25"/>
      <c r="S2311" s="55"/>
      <c r="T2311" s="56"/>
      <c r="U2311" s="25"/>
      <c r="V2311" s="25"/>
      <c r="W2311" s="25"/>
      <c r="X2311" s="25"/>
      <c r="Y2311" s="25"/>
      <c r="Z2311" s="25"/>
    </row>
    <row r="2312" spans="1:26" ht="52.5" customHeight="1" x14ac:dyDescent="0.25">
      <c r="A2312" s="25" t="str">
        <f ca="1">IFERROR(__xludf.DUMMYFUNCTION("""COMPUTED_VALUE"""),"Hábit210")</f>
        <v>Hábit210</v>
      </c>
      <c r="B2312" s="25" t="str">
        <f ca="1">IFERROR(__xludf.DUMMYFUNCTION("""COMPUTED_VALUE"""),"Revisión cesiones y legalizaciones barrios")</f>
        <v>Revisión cesiones y legalizaciones barrios</v>
      </c>
      <c r="C2312" s="55">
        <f ca="1">IFERROR(__xludf.DUMMYFUNCTION("""COMPUTED_VALUE"""),44697)</f>
        <v>44697</v>
      </c>
      <c r="D2312" s="25" t="str">
        <f ca="1">IFERROR(__xludf.DUMMYFUNCTION("""COMPUTED_VALUE"""),"Hábitat")</f>
        <v>Hábitat</v>
      </c>
      <c r="E2312" s="25" t="str">
        <f ca="1">IFERROR(__xludf.DUMMYFUNCTION("""COMPUTED_VALUE"""),"Unidad Administrativa Especial de Servicios Públicos")</f>
        <v>Unidad Administrativa Especial de Servicios Públicos</v>
      </c>
      <c r="F2312" s="25" t="str">
        <f ca="1">IFERROR(__xludf.DUMMYFUNCTION("""COMPUTED_VALUE"""),"Plan Parcial Quiba y Plan Parcial Mochuelo - Contratación 2022 con recursos de adición presupuestal.")</f>
        <v>Plan Parcial Quiba y Plan Parcial Mochuelo - Contratación 2022 con recursos de adición presupuestal.</v>
      </c>
      <c r="G2312" s="25" t="str">
        <f ca="1">IFERROR(__xludf.DUMMYFUNCTION("""COMPUTED_VALUE"""),"99. Distrito")</f>
        <v>99. Distrito</v>
      </c>
      <c r="H2312" s="55">
        <f ca="1">IFERROR(__xludf.DUMMYFUNCTION("""COMPUTED_VALUE"""),44910)</f>
        <v>44910</v>
      </c>
      <c r="I2312" s="25"/>
      <c r="J2312" s="55" t="str">
        <f ca="1">IFERROR(__xludf.DUMMYFUNCTION("""COMPUTED_VALUE"""),"Baja")</f>
        <v>Baja</v>
      </c>
      <c r="K2312" s="25">
        <f ca="1">IFERROR(__xludf.DUMMYFUNCTION("""COMPUTED_VALUE"""),213)</f>
        <v>213</v>
      </c>
      <c r="L2312" s="62">
        <f ca="1">IFERROR(__xludf.DUMMYFUNCTION("""COMPUTED_VALUE"""),44987)</f>
        <v>44987</v>
      </c>
      <c r="M2312" s="25" t="str">
        <f ca="1">IFERROR(__xludf.DUMMYFUNCTION("""COMPUTED_VALUE"""),"Esta tarea de recursos es de Alcaldía Local, si se llegara a hacer intervención o contratación de arreglo, se facilita mesa con Enel para el concepto técnico y las orientaciones correspondientes en el diseño lumínico")</f>
        <v>Esta tarea de recursos es de Alcaldía Local, si se llegara a hacer intervención o contratación de arreglo, se facilita mesa con Enel para el concepto técnico y las orientaciones correspondientes en el diseño lumínico</v>
      </c>
      <c r="N2312" s="55">
        <f ca="1">IFERROR(__xludf.DUMMYFUNCTION("""COMPUTED_VALUE"""),44987)</f>
        <v>44987</v>
      </c>
      <c r="O2312" s="25" t="str">
        <f t="shared" ca="1" si="0"/>
        <v>Unidad Administrativa Especial de Servicios Públicos</v>
      </c>
      <c r="P2312" s="25" t="str">
        <f t="shared" si="2"/>
        <v/>
      </c>
      <c r="Q2312" s="25" t="str">
        <f ca="1">IFERROR(__xludf.DUMMYFUNCTION("""COMPUTED_VALUE"""),"Largo plazo")</f>
        <v>Largo plazo</v>
      </c>
      <c r="R2312" s="25"/>
      <c r="S2312" s="55"/>
      <c r="T2312" s="56"/>
      <c r="U2312" s="25"/>
      <c r="V2312" s="25"/>
      <c r="W2312" s="25"/>
      <c r="X2312" s="25"/>
      <c r="Y2312" s="25"/>
      <c r="Z2312" s="25"/>
    </row>
    <row r="2313" spans="1:26" ht="52.5" customHeight="1" x14ac:dyDescent="0.25">
      <c r="A2313" s="25" t="str">
        <f ca="1">IFERROR(__xludf.DUMMYFUNCTION("""COMPUTED_VALUE"""),"Hábit211")</f>
        <v>Hábit211</v>
      </c>
      <c r="B2313" s="25" t="str">
        <f ca="1">IFERROR(__xludf.DUMMYFUNCTION("""COMPUTED_VALUE"""),"Revisión cesiones y legalizaciones barrios")</f>
        <v>Revisión cesiones y legalizaciones barrios</v>
      </c>
      <c r="C2313" s="55">
        <f ca="1">IFERROR(__xludf.DUMMYFUNCTION("""COMPUTED_VALUE"""),44697)</f>
        <v>44697</v>
      </c>
      <c r="D2313" s="25" t="str">
        <f ca="1">IFERROR(__xludf.DUMMYFUNCTION("""COMPUTED_VALUE"""),"Hábitat")</f>
        <v>Hábitat</v>
      </c>
      <c r="E2313" s="25" t="str">
        <f ca="1">IFERROR(__xludf.DUMMYFUNCTION("""COMPUTED_VALUE"""),"Secretaría Distrital del Hábitat")</f>
        <v>Secretaría Distrital del Hábitat</v>
      </c>
      <c r="F2313" s="25" t="str">
        <f ca="1">IFERROR(__xludf.DUMMYFUNCTION("""COMPUTED_VALUE"""),"Las Margaritas: 
1.        Verificar si ya están haciendo el parque mundo 
2.        Cuando pueden comenzar el parque de La Casona
3.        Ya tomó posesión de la Casona para su reforzamiento 
4.        Andenes parque Gilma Jiménez
5.        Arreglo de l"&amp;"a vía principal (pasa por SITP) y la T aledaña al parque
6.        En el conjunto no puede existir predios con cartón ni con vidrios rotos
")</f>
        <v xml:space="preserve">Las Margaritas: 
1.        Verificar si ya están haciendo el parque mundo 
2.        Cuando pueden comenzar el parque de La Casona
3.        Ya tomó posesión de la Casona para su reforzamiento 
4.        Andenes parque Gilma Jiménez
5.        Arreglo de la vía principal (pasa por SITP) y la T aledaña al parque
6.        En el conjunto no puede existir predios con cartón ni con vidrios rotos
</v>
      </c>
      <c r="G2313" s="25" t="str">
        <f ca="1">IFERROR(__xludf.DUMMYFUNCTION("""COMPUTED_VALUE"""),"99. Distrito")</f>
        <v>99. Distrito</v>
      </c>
      <c r="H2313" s="55">
        <f ca="1">IFERROR(__xludf.DUMMYFUNCTION("""COMPUTED_VALUE"""),44910)</f>
        <v>44910</v>
      </c>
      <c r="I2313" s="25" t="str">
        <f ca="1">IFERROR(__xludf.DUMMYFUNCTION("""COMPUTED_VALUE"""),"Junta de Infraestructura")</f>
        <v>Junta de Infraestructura</v>
      </c>
      <c r="J2313" s="55" t="str">
        <f ca="1">IFERROR(__xludf.DUMMYFUNCTION("""COMPUTED_VALUE"""),"Baja")</f>
        <v>Baja</v>
      </c>
      <c r="K2313" s="25">
        <f ca="1">IFERROR(__xludf.DUMMYFUNCTION("""COMPUTED_VALUE"""),213)</f>
        <v>213</v>
      </c>
      <c r="L2313" s="62">
        <f ca="1">IFERROR(__xludf.DUMMYFUNCTION("""COMPUTED_VALUE"""),45077)</f>
        <v>45077</v>
      </c>
      <c r="M2313" s="25" t="str">
        <f ca="1">IFERROR(__xludf.DUMMYFUNCTION("""COMPUTED_VALUE"""),"1. El parque mundo fue entregado por la constructora al DADEP y abierto a la comunidad desde el 8 de diciembre de 2022.  
2 y 3. El 25 de Mayo se llevó a cabo reunión entre constructora Colpatria y el IDPC, dando alcance a las observaciones generadas en l"&amp;"a radicación No. 20235110013362 y su respectiva respuesta entregada el pasado 24 de Mayo bajo radicado No. 20233060026701; se fijan mesas de trabajo conjuntas para ser revisadas iniciando el día 28 de mayo en el IDPC. Pendiente la entrega de un cronograma"&amp;" que se ajuste a la atención de observaciones, aprobación y ejecución del proyecto de la constructora. 
7. Desde Hábitat se realizará la gestión interinstitucional para la mesa de trabajo con el fin de establecer un plan de intervención y cronograma de l"&amp;"a entrega de las zonas restantes de La Margarita. Fecha prevista para la realización de esta actividad semana 25 al 30 de junio 2023.
Se estima que la fecha de cierre final de la actividad será en abil de 2024. ")</f>
        <v xml:space="preserve">1. El parque mundo fue entregado por la constructora al DADEP y abierto a la comunidad desde el 8 de diciembre de 2022.  
2 y 3. El 25 de Mayo se llevó a cabo reunión entre constructora Colpatria y el IDPC, dando alcance a las observaciones generadas en la radicación No. 20235110013362 y su respectiva respuesta entregada el pasado 24 de Mayo bajo radicado No. 20233060026701; se fijan mesas de trabajo conjuntas para ser revisadas iniciando el día 28 de mayo en el IDPC. Pendiente la entrega de un cronograma que se ajuste a la atención de observaciones, aprobación y ejecución del proyecto de la constructora. 
7. Desde Hábitat se realizará la gestión interinstitucional para la mesa de trabajo con el fin de establecer un plan de intervención y cronograma de la entrega de las zonas restantes de La Margarita. Fecha prevista para la realización de esta actividad semana 25 al 30 de junio 2023.
Se estima que la fecha de cierre final de la actividad será en abil de 2024. </v>
      </c>
      <c r="N2313" s="25"/>
      <c r="O2313" s="25" t="str">
        <f t="shared" ca="1" si="0"/>
        <v>Secretaría Distrital del Hábitat</v>
      </c>
      <c r="P2313" s="25" t="str">
        <f t="shared" ca="1" si="2"/>
        <v/>
      </c>
      <c r="Q2313" s="25" t="str">
        <f ca="1">IFERROR(__xludf.DUMMYFUNCTION("""COMPUTED_VALUE"""),"Largo plazo")</f>
        <v>Largo plazo</v>
      </c>
      <c r="R2313" s="25"/>
      <c r="S2313" s="55"/>
      <c r="T2313" s="56"/>
      <c r="U2313" s="25"/>
      <c r="V2313" s="25"/>
      <c r="W2313" s="25"/>
      <c r="X2313" s="25"/>
      <c r="Y2313" s="25"/>
      <c r="Z2313" s="25"/>
    </row>
    <row r="2314" spans="1:26" ht="52.5" customHeight="1" x14ac:dyDescent="0.25">
      <c r="A2314" s="25" t="str">
        <f ca="1">IFERROR(__xludf.DUMMYFUNCTION("""COMPUTED_VALUE"""),"Hábit212")</f>
        <v>Hábit212</v>
      </c>
      <c r="B2314" s="25" t="str">
        <f ca="1">IFERROR(__xludf.DUMMYFUNCTION("""COMPUTED_VALUE"""),"Junta de infraestructura")</f>
        <v>Junta de infraestructura</v>
      </c>
      <c r="C2314" s="55">
        <f ca="1">IFERROR(__xludf.DUMMYFUNCTION("""COMPUTED_VALUE"""),44704)</f>
        <v>44704</v>
      </c>
      <c r="D2314" s="25" t="str">
        <f ca="1">IFERROR(__xludf.DUMMYFUNCTION("""COMPUTED_VALUE"""),"Hábitat")</f>
        <v>Hábitat</v>
      </c>
      <c r="E2314" s="25" t="str">
        <f ca="1">IFERROR(__xludf.DUMMYFUNCTION("""COMPUTED_VALUE"""),"Secretaría Distrital del Hábitat")</f>
        <v>Secretaría Distrital del Hábitat</v>
      </c>
      <c r="F2314" s="25" t="str">
        <f ca="1">IFERROR(__xludf.DUMMYFUNCTION("""COMPUTED_VALUE"""),"Cable Potosí
Hacer recorrido en campo
")</f>
        <v xml:space="preserve">Cable Potosí
Hacer recorrido en campo
</v>
      </c>
      <c r="G2314" s="25" t="str">
        <f ca="1">IFERROR(__xludf.DUMMYFUNCTION("""COMPUTED_VALUE"""),"99. Distrito")</f>
        <v>99. Distrito</v>
      </c>
      <c r="H2314" s="55">
        <f ca="1">IFERROR(__xludf.DUMMYFUNCTION("""COMPUTED_VALUE"""),44734)</f>
        <v>44734</v>
      </c>
      <c r="I2314" s="25"/>
      <c r="J2314" s="55" t="str">
        <f ca="1">IFERROR(__xludf.DUMMYFUNCTION("""COMPUTED_VALUE"""),"Alta")</f>
        <v>Alta</v>
      </c>
      <c r="K2314" s="25">
        <f ca="1">IFERROR(__xludf.DUMMYFUNCTION("""COMPUTED_VALUE"""),30)</f>
        <v>30</v>
      </c>
      <c r="L2314" s="62"/>
      <c r="M2314" s="25"/>
      <c r="N2314" s="55">
        <f ca="1">IFERROR(__xludf.DUMMYFUNCTION("""COMPUTED_VALUE"""),44927)</f>
        <v>44927</v>
      </c>
      <c r="O2314" s="25" t="str">
        <f t="shared" ca="1" si="0"/>
        <v>Secretaría Distrital del Hábitat</v>
      </c>
      <c r="P2314" s="25" t="str">
        <f t="shared" si="2"/>
        <v/>
      </c>
      <c r="Q2314" s="25" t="str">
        <f ca="1">IFERROR(__xludf.DUMMYFUNCTION("""COMPUTED_VALUE"""),"Corto plazo")</f>
        <v>Corto plazo</v>
      </c>
      <c r="R2314" s="25"/>
      <c r="S2314" s="55"/>
      <c r="T2314" s="56"/>
      <c r="U2314" s="25"/>
      <c r="V2314" s="25"/>
      <c r="W2314" s="25"/>
      <c r="X2314" s="25"/>
      <c r="Y2314" s="25"/>
      <c r="Z2314" s="25"/>
    </row>
    <row r="2315" spans="1:26" ht="52.5" customHeight="1" x14ac:dyDescent="0.25">
      <c r="A2315" s="25" t="str">
        <f ca="1">IFERROR(__xludf.DUMMYFUNCTION("""COMPUTED_VALUE"""),"Hábit213")</f>
        <v>Hábit213</v>
      </c>
      <c r="B2315" s="25" t="str">
        <f ca="1">IFERROR(__xludf.DUMMYFUNCTION("""COMPUTED_VALUE"""),"Junta de infraestructura")</f>
        <v>Junta de infraestructura</v>
      </c>
      <c r="C2315" s="55">
        <f ca="1">IFERROR(__xludf.DUMMYFUNCTION("""COMPUTED_VALUE"""),44704)</f>
        <v>44704</v>
      </c>
      <c r="D2315" s="25" t="str">
        <f ca="1">IFERROR(__xludf.DUMMYFUNCTION("""COMPUTED_VALUE"""),"Hábitat")</f>
        <v>Hábitat</v>
      </c>
      <c r="E2315" s="25" t="str">
        <f ca="1">IFERROR(__xludf.DUMMYFUNCTION("""COMPUTED_VALUE"""),"Empresa de Acueducto y Alcantarillado de Bogotá")</f>
        <v>Empresa de Acueducto y Alcantarillado de Bogotá</v>
      </c>
      <c r="F2315" s="25" t="str">
        <f ca="1">IFERROR(__xludf.DUMMYFUNCTION("""COMPUTED_VALUE"""),"Presentar un plan del equipo de la empresa que se dedicará a la supervisión de los estudios y diseños de las obras de la ciudad, en especial del IDU y de la EMB. IDU debe transferir los recursos que se ahorre de las interventorías.")</f>
        <v>Presentar un plan del equipo de la empresa que se dedicará a la supervisión de los estudios y diseños de las obras de la ciudad, en especial del IDU y de la EMB. IDU debe transferir los recursos que se ahorre de las interventorías.</v>
      </c>
      <c r="G2315" s="25" t="str">
        <f ca="1">IFERROR(__xludf.DUMMYFUNCTION("""COMPUTED_VALUE"""),"99. Distrito")</f>
        <v>99. Distrito</v>
      </c>
      <c r="H2315" s="55">
        <f ca="1">IFERROR(__xludf.DUMMYFUNCTION("""COMPUTED_VALUE"""),44734)</f>
        <v>44734</v>
      </c>
      <c r="I2315" s="25"/>
      <c r="J2315" s="55" t="str">
        <f ca="1">IFERROR(__xludf.DUMMYFUNCTION("""COMPUTED_VALUE"""),"Alta")</f>
        <v>Alta</v>
      </c>
      <c r="K2315" s="25">
        <f ca="1">IFERROR(__xludf.DUMMYFUNCTION("""COMPUTED_VALUE"""),30)</f>
        <v>30</v>
      </c>
      <c r="L2315" s="62">
        <f ca="1">IFERROR(__xludf.DUMMYFUNCTION("""COMPUTED_VALUE"""),44956)</f>
        <v>44956</v>
      </c>
      <c r="M2315" s="25"/>
      <c r="N2315" s="55">
        <f ca="1">IFERROR(__xludf.DUMMYFUNCTION("""COMPUTED_VALUE"""),44927)</f>
        <v>44927</v>
      </c>
      <c r="O2315" s="25" t="str">
        <f t="shared" ca="1" si="0"/>
        <v>Empresa de Acueducto y Alcantarillado de Bogotá</v>
      </c>
      <c r="P2315" s="25" t="str">
        <f t="shared" si="2"/>
        <v/>
      </c>
      <c r="Q2315" s="25" t="str">
        <f ca="1">IFERROR(__xludf.DUMMYFUNCTION("""COMPUTED_VALUE"""),"Corto plazo")</f>
        <v>Corto plazo</v>
      </c>
      <c r="R2315" s="25"/>
      <c r="S2315" s="55"/>
      <c r="T2315" s="56"/>
      <c r="U2315" s="25"/>
      <c r="V2315" s="25"/>
      <c r="W2315" s="25"/>
      <c r="X2315" s="25"/>
      <c r="Y2315" s="25"/>
      <c r="Z2315" s="25"/>
    </row>
    <row r="2316" spans="1:26" ht="52.5" customHeight="1" x14ac:dyDescent="0.25">
      <c r="A2316" s="25" t="str">
        <f ca="1">IFERROR(__xludf.DUMMYFUNCTION("""COMPUTED_VALUE"""),"Hábit214")</f>
        <v>Hábit214</v>
      </c>
      <c r="B2316" s="25" t="str">
        <f ca="1">IFERROR(__xludf.DUMMYFUNCTION("""COMPUTED_VALUE"""),"Junta de infraestructura")</f>
        <v>Junta de infraestructura</v>
      </c>
      <c r="C2316" s="55">
        <f ca="1">IFERROR(__xludf.DUMMYFUNCTION("""COMPUTED_VALUE"""),44704)</f>
        <v>44704</v>
      </c>
      <c r="D2316" s="25" t="str">
        <f ca="1">IFERROR(__xludf.DUMMYFUNCTION("""COMPUTED_VALUE"""),"Hábitat")</f>
        <v>Hábitat</v>
      </c>
      <c r="E2316" s="25" t="str">
        <f ca="1">IFERROR(__xludf.DUMMYFUNCTION("""COMPUTED_VALUE"""),"Empresa de Acueducto y Alcantarillado de Bogotá")</f>
        <v>Empresa de Acueducto y Alcantarillado de Bogotá</v>
      </c>
      <c r="F2316" s="25" t="str">
        <f ca="1">IFERROR(__xludf.DUMMYFUNCTION("""COMPUTED_VALUE"""),"Terminar los frentes de obra que se tienen abiertos identificados en el plan de choque")</f>
        <v>Terminar los frentes de obra que se tienen abiertos identificados en el plan de choque</v>
      </c>
      <c r="G2316" s="25" t="str">
        <f ca="1">IFERROR(__xludf.DUMMYFUNCTION("""COMPUTED_VALUE"""),"99. Distrito")</f>
        <v>99. Distrito</v>
      </c>
      <c r="H2316" s="55">
        <f ca="1">IFERROR(__xludf.DUMMYFUNCTION("""COMPUTED_VALUE"""),45107)</f>
        <v>45107</v>
      </c>
      <c r="I2316" s="25" t="str">
        <f ca="1">IFERROR(__xludf.DUMMYFUNCTION("""COMPUTED_VALUE"""),"Junta de Infraestructura")</f>
        <v>Junta de Infraestructura</v>
      </c>
      <c r="J2316" s="55" t="str">
        <f ca="1">IFERROR(__xludf.DUMMYFUNCTION("""COMPUTED_VALUE"""),"Baja")</f>
        <v>Baja</v>
      </c>
      <c r="K2316" s="25">
        <f ca="1">IFERROR(__xludf.DUMMYFUNCTION("""COMPUTED_VALUE"""),403)</f>
        <v>403</v>
      </c>
      <c r="L2316" s="62">
        <f ca="1">IFERROR(__xludf.DUMMYFUNCTION("""COMPUTED_VALUE"""),45077)</f>
        <v>45077</v>
      </c>
      <c r="M2316" s="25" t="str">
        <f ca="1">IFERROR(__xludf.DUMMYFUNCTION("""COMPUTED_VALUE"""),"Zona 5, Kennedy 8 etapas: De los 5 puntos identificados en el plan de choque para el contrato de Kennedy 8 etapas, se ejecutaron con recursos de funcionamiento de la EAAB actividades de instalación de accesorios y conexiones que restablecieron las condici"&amp;"ones operativas de las redes, así como la recuperación del espacio público en los sitios más críticos que generaban problemas en la accesibilidad de los predios para los tres barrios afectados en la Localidad de Kennedy.  Actualmente se evalua la interven"&amp;"ción en un punto adicional en la Calle 36 Sur con Carrera 78H, mediante el contrato es espacio publico vigente de la Zona 5 (1-01-35300-1525-2022).
Se continua con la identifiación y evaluación técnica para la formualcion y  maduración de los proyectos p"&amp;"ara poder finalizar las obras.
En el marco de la reclamación ante la aseguradora desde la terminación del contrato en abril de 2022, se recibe respuesta por parte de Seguros de Estado objetando el proceso, situacion que se puso en conocimiento de la ofic"&amp;"ina de representación juridica para la toma de decisiones y acciones pertinentes para continuar con el procedimiento de las aciones judiciales correspondientes.
Zona 4, Canadá Güira y Libertadores: A esta fecha ya estan concluidas las obras que se podia"&amp;"n ejecutar con el plan de choque, consideramos que se debe cerrar este seguimiento  y continuar desde el compromiso del contrato de culminación de las obras. Esta actividad fue creada con el fin de hacer un plan de choque con el contratista que estaba inc"&amp;"umpliendo en los dos contratos, Canadá Güira y Libertadores. En ese momento el contratista atendió parte de las acciones establecidas en el plan de choque, los contratos se terminaron el 16 de mayo del 2022 y el 9 de agosto de 2022 respectivamente. La EAA"&amp;"B-ESP atendió algunos puntos urgentes en el 2022 y ahora está en el proceso de contratación para la culminación de estas obras, al cual se le hace seguimiento en otro compromiso, por lo cual solicitamos dar por terminado este compromiso.")</f>
        <v>Zona 5, Kennedy 8 etapas: De los 5 puntos identificados en el plan de choque para el contrato de Kennedy 8 etapas, se ejecutaron con recursos de funcionamiento de la EAAB actividades de instalación de accesorios y conexiones que restablecieron las condiciones operativas de las redes, así como la recuperación del espacio público en los sitios más críticos que generaban problemas en la accesibilidad de los predios para los tres barrios afectados en la Localidad de Kennedy.  Actualmente se evalua la intervención en un punto adicional en la Calle 36 Sur con Carrera 78H, mediante el contrato es espacio publico vigente de la Zona 5 (1-01-35300-1525-2022).
Se continua con la identifiación y evaluación técnica para la formualcion y  maduración de los proyectos para poder finalizar las obras.
En el marco de la reclamación ante la aseguradora desde la terminación del contrato en abril de 2022, se recibe respuesta por parte de Seguros de Estado objetando el proceso, situacion que se puso en conocimiento de la oficina de representación juridica para la toma de decisiones y acciones pertinentes para continuar con el procedimiento de las aciones judiciales correspondientes.
Zona 4, Canadá Güira y Libertadores: A esta fecha ya estan concluidas las obras que se podian ejecutar con el plan de choque, consideramos que se debe cerrar este seguimiento  y continuar desde el compromiso del contrato de culminación de las obras. Esta actividad fue creada con el fin de hacer un plan de choque con el contratista que estaba incumpliendo en los dos contratos, Canadá Güira y Libertadores. En ese momento el contratista atendió parte de las acciones establecidas en el plan de choque, los contratos se terminaron el 16 de mayo del 2022 y el 9 de agosto de 2022 respectivamente. La EAAB-ESP atendió algunos puntos urgentes en el 2022 y ahora está en el proceso de contratación para la culminación de estas obras, al cual se le hace seguimiento en otro compromiso, por lo cual solicitamos dar por terminado este compromiso.</v>
      </c>
      <c r="N2316" s="25"/>
      <c r="O2316" s="25" t="str">
        <f t="shared" ca="1" si="0"/>
        <v>Empresa de Acueducto y Alcantarillado de Bogotá</v>
      </c>
      <c r="P2316" s="25" t="str">
        <f t="shared" ca="1" si="2"/>
        <v/>
      </c>
      <c r="Q2316" s="25" t="str">
        <f ca="1">IFERROR(__xludf.DUMMYFUNCTION("""COMPUTED_VALUE"""),"Largo plazo")</f>
        <v>Largo plazo</v>
      </c>
      <c r="R2316" s="25"/>
      <c r="S2316" s="55"/>
      <c r="T2316" s="56"/>
      <c r="U2316" s="25"/>
      <c r="V2316" s="25"/>
      <c r="W2316" s="25"/>
      <c r="X2316" s="25"/>
      <c r="Y2316" s="25"/>
      <c r="Z2316" s="25"/>
    </row>
    <row r="2317" spans="1:26" ht="52.5" customHeight="1" x14ac:dyDescent="0.25">
      <c r="A2317" s="25" t="str">
        <f ca="1">IFERROR(__xludf.DUMMYFUNCTION("""COMPUTED_VALUE"""),"Hábit215")</f>
        <v>Hábit215</v>
      </c>
      <c r="B2317" s="25" t="str">
        <f ca="1">IFERROR(__xludf.DUMMYFUNCTION("""COMPUTED_VALUE"""),"Junta de infraestructura")</f>
        <v>Junta de infraestructura</v>
      </c>
      <c r="C2317" s="55">
        <f ca="1">IFERROR(__xludf.DUMMYFUNCTION("""COMPUTED_VALUE"""),44704)</f>
        <v>44704</v>
      </c>
      <c r="D2317" s="25" t="str">
        <f ca="1">IFERROR(__xludf.DUMMYFUNCTION("""COMPUTED_VALUE"""),"Hábitat")</f>
        <v>Hábitat</v>
      </c>
      <c r="E2317" s="25" t="str">
        <f ca="1">IFERROR(__xludf.DUMMYFUNCTION("""COMPUTED_VALUE"""),"Empresa de Acueducto y Alcantarillado de Bogotá")</f>
        <v>Empresa de Acueducto y Alcantarillado de Bogotá</v>
      </c>
      <c r="F2317" s="25" t="str">
        <f ca="1">IFERROR(__xludf.DUMMYFUNCTION("""COMPUTED_VALUE"""),"Revisar con secretaría Jurídica el proceso para la terminación unilateral de contratos de obra que tengan incumplimiento reiterado")</f>
        <v>Revisar con secretaría Jurídica el proceso para la terminación unilateral de contratos de obra que tengan incumplimiento reiterado</v>
      </c>
      <c r="G2317" s="25" t="str">
        <f ca="1">IFERROR(__xludf.DUMMYFUNCTION("""COMPUTED_VALUE"""),"99. Distrito")</f>
        <v>99. Distrito</v>
      </c>
      <c r="H2317" s="55">
        <f ca="1">IFERROR(__xludf.DUMMYFUNCTION("""COMPUTED_VALUE"""),44734)</f>
        <v>44734</v>
      </c>
      <c r="I2317" s="25"/>
      <c r="J2317" s="55" t="str">
        <f ca="1">IFERROR(__xludf.DUMMYFUNCTION("""COMPUTED_VALUE"""),"Alta")</f>
        <v>Alta</v>
      </c>
      <c r="K2317" s="25">
        <f ca="1">IFERROR(__xludf.DUMMYFUNCTION("""COMPUTED_VALUE"""),30)</f>
        <v>30</v>
      </c>
      <c r="L2317" s="62">
        <f ca="1">IFERROR(__xludf.DUMMYFUNCTION("""COMPUTED_VALUE"""),45061)</f>
        <v>45061</v>
      </c>
      <c r="M2317" s="25"/>
      <c r="N2317" s="55">
        <f ca="1">IFERROR(__xludf.DUMMYFUNCTION("""COMPUTED_VALUE"""),44927)</f>
        <v>44927</v>
      </c>
      <c r="O2317" s="25" t="str">
        <f t="shared" ca="1" si="0"/>
        <v>Empresa de Acueducto y Alcantarillado de Bogotá</v>
      </c>
      <c r="P2317" s="25" t="str">
        <f t="shared" si="2"/>
        <v/>
      </c>
      <c r="Q2317" s="25" t="str">
        <f ca="1">IFERROR(__xludf.DUMMYFUNCTION("""COMPUTED_VALUE"""),"Corto plazo")</f>
        <v>Corto plazo</v>
      </c>
      <c r="R2317" s="25"/>
      <c r="S2317" s="55"/>
      <c r="T2317" s="56"/>
      <c r="U2317" s="25"/>
      <c r="V2317" s="25"/>
      <c r="W2317" s="25"/>
      <c r="X2317" s="25"/>
      <c r="Y2317" s="25"/>
      <c r="Z2317" s="25"/>
    </row>
    <row r="2318" spans="1:26" ht="52.5" customHeight="1" x14ac:dyDescent="0.25">
      <c r="A2318" s="25" t="str">
        <f ca="1">IFERROR(__xludf.DUMMYFUNCTION("""COMPUTED_VALUE"""),"Hábit216")</f>
        <v>Hábit216</v>
      </c>
      <c r="B2318" s="25" t="str">
        <f ca="1">IFERROR(__xludf.DUMMYFUNCTION("""COMPUTED_VALUE"""),"Junta de infraestructura")</f>
        <v>Junta de infraestructura</v>
      </c>
      <c r="C2318" s="55">
        <f ca="1">IFERROR(__xludf.DUMMYFUNCTION("""COMPUTED_VALUE"""),44704)</f>
        <v>44704</v>
      </c>
      <c r="D2318" s="25" t="str">
        <f ca="1">IFERROR(__xludf.DUMMYFUNCTION("""COMPUTED_VALUE"""),"Hábitat")</f>
        <v>Hábitat</v>
      </c>
      <c r="E2318" s="25" t="str">
        <f ca="1">IFERROR(__xludf.DUMMYFUNCTION("""COMPUTED_VALUE"""),"Empresa de Acueducto y Alcantarillado de Bogotá")</f>
        <v>Empresa de Acueducto y Alcantarillado de Bogotá</v>
      </c>
      <c r="F2318" s="25" t="str">
        <f ca="1">IFERROR(__xludf.DUMMYFUNCTION("""COMPUTED_VALUE"""),"Firma de convenio entre EAAB y EFR para el proyecto TM Soacha")</f>
        <v>Firma de convenio entre EAAB y EFR para el proyecto TM Soacha</v>
      </c>
      <c r="G2318" s="25" t="str">
        <f ca="1">IFERROR(__xludf.DUMMYFUNCTION("""COMPUTED_VALUE"""),"99. Distrito")</f>
        <v>99. Distrito</v>
      </c>
      <c r="H2318" s="55">
        <f ca="1">IFERROR(__xludf.DUMMYFUNCTION("""COMPUTED_VALUE"""),44734)</f>
        <v>44734</v>
      </c>
      <c r="I2318" s="25"/>
      <c r="J2318" s="55" t="str">
        <f ca="1">IFERROR(__xludf.DUMMYFUNCTION("""COMPUTED_VALUE"""),"Alta")</f>
        <v>Alta</v>
      </c>
      <c r="K2318" s="25">
        <f ca="1">IFERROR(__xludf.DUMMYFUNCTION("""COMPUTED_VALUE"""),30)</f>
        <v>30</v>
      </c>
      <c r="L2318" s="62">
        <f ca="1">IFERROR(__xludf.DUMMYFUNCTION("""COMPUTED_VALUE"""),45061)</f>
        <v>45061</v>
      </c>
      <c r="M2318" s="25" t="str">
        <f ca="1">IFERROR(__xludf.DUMMYFUNCTION("""COMPUTED_VALUE"""),"El acuerdo marco celebrado entre LA EMPRESA FÉRREA REGIONAL S.A.S. - EFR, EL CONSORCIO VIAL DE SOACHA, EL CONSORCIO TPF – ICEACSA, LA CONSTRUCTORA CONCONCRETO S.A., INTERDISEÑOS INTERNACIONAL S.A.S., Y LA EMPRESA DE ACUEDUCTO Y ALCANTARILLADO DE BOGOTÁ - "&amp;"E.S.P. se firmó el pasado 9 de junio de 2022. 
Esta pendiente la firma de los acuerdos específicos de obra, cuyos borradores conciliados fueron remitidos por parte de la EAAB-ESP el pasado 18 de abril de 2023. ")</f>
        <v xml:space="preserve">El acuerdo marco celebrado entre LA EMPRESA FÉRREA REGIONAL S.A.S. - EFR, EL CONSORCIO VIAL DE SOACHA, EL CONSORCIO TPF – ICEACSA, LA CONSTRUCTORA CONCONCRETO S.A., INTERDISEÑOS INTERNACIONAL S.A.S., Y LA EMPRESA DE ACUEDUCTO Y ALCANTARILLADO DE BOGOTÁ - E.S.P. se firmó el pasado 9 de junio de 2022. 
Esta pendiente la firma de los acuerdos específicos de obra, cuyos borradores conciliados fueron remitidos por parte de la EAAB-ESP el pasado 18 de abril de 2023. </v>
      </c>
      <c r="N2318" s="55">
        <f ca="1">IFERROR(__xludf.DUMMYFUNCTION("""COMPUTED_VALUE"""),44927)</f>
        <v>44927</v>
      </c>
      <c r="O2318" s="25" t="str">
        <f t="shared" ca="1" si="0"/>
        <v>Empresa de Acueducto y Alcantarillado de Bogotá</v>
      </c>
      <c r="P2318" s="25" t="str">
        <f t="shared" si="2"/>
        <v/>
      </c>
      <c r="Q2318" s="25" t="str">
        <f ca="1">IFERROR(__xludf.DUMMYFUNCTION("""COMPUTED_VALUE"""),"Corto plazo")</f>
        <v>Corto plazo</v>
      </c>
      <c r="R2318" s="25"/>
      <c r="S2318" s="55"/>
      <c r="T2318" s="56"/>
      <c r="U2318" s="25"/>
      <c r="V2318" s="25"/>
      <c r="W2318" s="25"/>
      <c r="X2318" s="25"/>
      <c r="Y2318" s="25"/>
      <c r="Z2318" s="25"/>
    </row>
    <row r="2319" spans="1:26" ht="52.5" customHeight="1" x14ac:dyDescent="0.25">
      <c r="A2319" s="25" t="str">
        <f ca="1">IFERROR(__xludf.DUMMYFUNCTION("""COMPUTED_VALUE"""),"Hábit217")</f>
        <v>Hábit217</v>
      </c>
      <c r="B2319" s="25" t="str">
        <f ca="1">IFERROR(__xludf.DUMMYFUNCTION("""COMPUTED_VALUE"""),"Junta de infraestructura")</f>
        <v>Junta de infraestructura</v>
      </c>
      <c r="C2319" s="55">
        <f ca="1">IFERROR(__xludf.DUMMYFUNCTION("""COMPUTED_VALUE"""),44704)</f>
        <v>44704</v>
      </c>
      <c r="D2319" s="25" t="str">
        <f ca="1">IFERROR(__xludf.DUMMYFUNCTION("""COMPUTED_VALUE"""),"Hábitat")</f>
        <v>Hábitat</v>
      </c>
      <c r="E2319" s="25" t="str">
        <f ca="1">IFERROR(__xludf.DUMMYFUNCTION("""COMPUTED_VALUE"""),"Caja de Vivienda Popular")</f>
        <v>Caja de Vivienda Popular</v>
      </c>
      <c r="F2319" s="25" t="str">
        <f ca="1">IFERROR(__xludf.DUMMYFUNCTION("""COMPUTED_VALUE"""),"La SDHT debe realizar una adición al contrato que tiene financiado por regalías para el mejoramiento de barrios en ciudad Bolívar para intervenir los 25 segmentos viales que tiene la CVP, utilizando los estudios y diseños que ya realizó la CVP")</f>
        <v>La SDHT debe realizar una adición al contrato que tiene financiado por regalías para el mejoramiento de barrios en ciudad Bolívar para intervenir los 25 segmentos viales que tiene la CVP, utilizando los estudios y diseños que ya realizó la CVP</v>
      </c>
      <c r="G2319" s="25" t="str">
        <f ca="1">IFERROR(__xludf.DUMMYFUNCTION("""COMPUTED_VALUE"""),"19. Ciudad Bolívar")</f>
        <v>19. Ciudad Bolívar</v>
      </c>
      <c r="H2319" s="55">
        <f ca="1">IFERROR(__xludf.DUMMYFUNCTION("""COMPUTED_VALUE"""),44910)</f>
        <v>44910</v>
      </c>
      <c r="I2319" s="25"/>
      <c r="J2319" s="55" t="str">
        <f ca="1">IFERROR(__xludf.DUMMYFUNCTION("""COMPUTED_VALUE"""),"Baja")</f>
        <v>Baja</v>
      </c>
      <c r="K2319" s="25">
        <f ca="1">IFERROR(__xludf.DUMMYFUNCTION("""COMPUTED_VALUE"""),206)</f>
        <v>206</v>
      </c>
      <c r="L2319" s="62">
        <f ca="1">IFERROR(__xludf.DUMMYFUNCTION("""COMPUTED_VALUE"""),44978)</f>
        <v>44978</v>
      </c>
      <c r="M2319" s="25" t="str">
        <f ca="1">IFERROR(__xludf.DUMMYFUNCTION("""COMPUTED_VALUE"""),"Se evaluó la posibilidad de adicionar recursos al contrato de obra 987-2021 el cual se encuentra en ejecución en los barrios de Caracolí y Jerusalén de la localidad de Ciudad Bolívar con recursos del SGR, sin embargo se pudo concluir que no es viable por "&amp;"la siguientes razones:
-El proyecto de Mejoramiento Integral de Barrios aprobado por el SGR establece un polígono específico de ejecución y las 25 vías a las cuales la CVP viene realizando actualización de diseños se encuentran por fuera de dicho polígon"&amp;"o. no es posible incluirlas pues eso modificaría el alcance del proyecto ante SGR. Así mismo las vías contratadas fueron objeto de proceso de aprobación por par evaluador previo a su ejecución.
-Actualmente la CVP ya tiene en curso el proceso de licitació"&amp;"n CVP-LP-001-2022 para contratar algunas de las 25 vías inicialmente solicitadas.Link imagen contrato 987-2021SGR vs 25 Vías CVP: https://sdht-my.sharepoint.com/:i:/g/personal/jhon_espitia_habitatbogota_gov_co/Eb9r14xbeutMlEpHjFPNlCcBdCNzPjBylyMnCuZA21Kw9"&amp;"g?e=UzAxGy 
Link proceso de licitación CVP-LP-001-2022 para contratar algunas de las 25 vías inicialmente solicitadas: https://community.secop.gov.co/Public/Tendering/OpportunityDetail/Index?noticeUID=CO1.NTC.3403953&amp;isFromPublicArea=True&amp;isModal=False"&amp;" ")</f>
        <v xml:space="preserve">Se evaluó la posibilidad de adicionar recursos al contrato de obra 987-2021 el cual se encuentra en ejecución en los barrios de Caracolí y Jerusalén de la localidad de Ciudad Bolívar con recursos del SGR, sin embargo se pudo concluir que no es viable por la siguientes razones:
-El proyecto de Mejoramiento Integral de Barrios aprobado por el SGR establece un polígono específico de ejecución y las 25 vías a las cuales la CVP viene realizando actualización de diseños se encuentran por fuera de dicho polígono. no es posible incluirlas pues eso modificaría el alcance del proyecto ante SGR. Así mismo las vías contratadas fueron objeto de proceso de aprobación por par evaluador previo a su ejecución.
-Actualmente la CVP ya tiene en curso el proceso de licitación CVP-LP-001-2022 para contratar algunas de las 25 vías inicialmente solicitadas.Link imagen contrato 987-2021SGR vs 25 Vías CVP: https://sdht-my.sharepoint.com/:i:/g/personal/jhon_espitia_habitatbogota_gov_co/Eb9r14xbeutMlEpHjFPNlCcBdCNzPjBylyMnCuZA21Kw9g?e=UzAxGy 
Link proceso de licitación CVP-LP-001-2022 para contratar algunas de las 25 vías inicialmente solicitadas: https://community.secop.gov.co/Public/Tendering/OpportunityDetail/Index?noticeUID=CO1.NTC.3403953&amp;isFromPublicArea=True&amp;isModal=False </v>
      </c>
      <c r="N2319" s="55">
        <f ca="1">IFERROR(__xludf.DUMMYFUNCTION("""COMPUTED_VALUE"""),44978)</f>
        <v>44978</v>
      </c>
      <c r="O2319" s="25" t="str">
        <f t="shared" ca="1" si="0"/>
        <v>Caja de Vivienda Popular</v>
      </c>
      <c r="P2319" s="25" t="str">
        <f t="shared" si="2"/>
        <v/>
      </c>
      <c r="Q2319" s="25" t="str">
        <f ca="1">IFERROR(__xludf.DUMMYFUNCTION("""COMPUTED_VALUE"""),"Largo plazo")</f>
        <v>Largo plazo</v>
      </c>
      <c r="R2319" s="25"/>
      <c r="S2319" s="55"/>
      <c r="T2319" s="56"/>
      <c r="U2319" s="25"/>
      <c r="V2319" s="25"/>
      <c r="W2319" s="25"/>
      <c r="X2319" s="25"/>
      <c r="Y2319" s="25"/>
      <c r="Z2319" s="25"/>
    </row>
    <row r="2320" spans="1:26" ht="52.5" customHeight="1" x14ac:dyDescent="0.25">
      <c r="A2320" s="25" t="str">
        <f ca="1">IFERROR(__xludf.DUMMYFUNCTION("""COMPUTED_VALUE"""),"Hábit218")</f>
        <v>Hábit218</v>
      </c>
      <c r="B2320" s="25"/>
      <c r="C2320" s="55"/>
      <c r="D2320" s="25" t="str">
        <f ca="1">IFERROR(__xludf.DUMMYFUNCTION("""COMPUTED_VALUE"""),"Hábitat")</f>
        <v>Hábitat</v>
      </c>
      <c r="E2320" s="25" t="str">
        <f ca="1">IFERROR(__xludf.DUMMYFUNCTION("""COMPUTED_VALUE"""),"Unidad Administrativa Especial de Servicios Públicos")</f>
        <v>Unidad Administrativa Especial de Servicios Públicos</v>
      </c>
      <c r="F2320" s="25" t="str">
        <f ca="1">IFERROR(__xludf.DUMMYFUNCTION("""COMPUTED_VALUE"""),"Eliminada")</f>
        <v>Eliminada</v>
      </c>
      <c r="G2320" s="25"/>
      <c r="H2320" s="25"/>
      <c r="I2320" s="25"/>
      <c r="J2320" s="55"/>
      <c r="K2320" s="25" t="str">
        <f ca="1">IFERROR(__xludf.DUMMYFUNCTION("""COMPUTED_VALUE"""),"Definir fecha")</f>
        <v>Definir fecha</v>
      </c>
      <c r="L2320" s="62"/>
      <c r="M2320" s="25"/>
      <c r="N2320" s="25"/>
      <c r="O2320" s="25" t="str">
        <f t="shared" ca="1" si="0"/>
        <v>Unidad Administrativa Especial de Servicios Públicos</v>
      </c>
      <c r="P2320" s="25" t="str">
        <f t="shared" si="2"/>
        <v/>
      </c>
      <c r="Q2320" s="25" t="str">
        <f ca="1">IFERROR(__xludf.DUMMYFUNCTION("""COMPUTED_VALUE"""),"Sin defenir")</f>
        <v>Sin defenir</v>
      </c>
      <c r="R2320" s="25"/>
      <c r="S2320" s="55"/>
      <c r="T2320" s="56"/>
      <c r="U2320" s="25"/>
      <c r="V2320" s="25"/>
      <c r="W2320" s="25"/>
      <c r="X2320" s="25"/>
      <c r="Y2320" s="25"/>
      <c r="Z2320" s="25"/>
    </row>
    <row r="2321" spans="1:26" ht="52.5" customHeight="1" x14ac:dyDescent="0.25">
      <c r="A2321" s="25" t="str">
        <f ca="1">IFERROR(__xludf.DUMMYFUNCTION("""COMPUTED_VALUE"""),"Hábit219")</f>
        <v>Hábit219</v>
      </c>
      <c r="B2321" s="25" t="str">
        <f ca="1">IFERROR(__xludf.DUMMYFUNCTION("""COMPUTED_VALUE"""),"Junta de infraestructura")</f>
        <v>Junta de infraestructura</v>
      </c>
      <c r="C2321" s="55">
        <f ca="1">IFERROR(__xludf.DUMMYFUNCTION("""COMPUTED_VALUE"""),44727)</f>
        <v>44727</v>
      </c>
      <c r="D2321" s="25" t="str">
        <f ca="1">IFERROR(__xludf.DUMMYFUNCTION("""COMPUTED_VALUE"""),"Hábitat")</f>
        <v>Hábitat</v>
      </c>
      <c r="E2321" s="25" t="str">
        <f ca="1">IFERROR(__xludf.DUMMYFUNCTION("""COMPUTED_VALUE"""),"Secretaría Distrital del Hábitat")</f>
        <v>Secretaría Distrital del Hábitat</v>
      </c>
      <c r="F2321" s="25" t="str">
        <f ca="1">IFERROR(__xludf.DUMMYFUNCTION("""COMPUTED_VALUE"""),"Accesos norte:
Coordinar para que el concesionario remita a SDHT plano indicando predio a predio que se requiera y para cuándo. Se radica a SDHT para que coordine con Lagos de Torca")</f>
        <v>Accesos norte:
Coordinar para que el concesionario remita a SDHT plano indicando predio a predio que se requiera y para cuándo. Se radica a SDHT para que coordine con Lagos de Torca</v>
      </c>
      <c r="G2321" s="25" t="str">
        <f ca="1">IFERROR(__xludf.DUMMYFUNCTION("""COMPUTED_VALUE"""),"99. Distrito")</f>
        <v>99. Distrito</v>
      </c>
      <c r="H2321" s="55">
        <f ca="1">IFERROR(__xludf.DUMMYFUNCTION("""COMPUTED_VALUE"""),44757)</f>
        <v>44757</v>
      </c>
      <c r="I2321" s="25"/>
      <c r="J2321" s="55" t="str">
        <f ca="1">IFERROR(__xludf.DUMMYFUNCTION("""COMPUTED_VALUE"""),"Alta")</f>
        <v>Alta</v>
      </c>
      <c r="K2321" s="25">
        <f ca="1">IFERROR(__xludf.DUMMYFUNCTION("""COMPUTED_VALUE"""),30)</f>
        <v>30</v>
      </c>
      <c r="L2321" s="62"/>
      <c r="M2321" s="25"/>
      <c r="N2321" s="55">
        <f ca="1">IFERROR(__xludf.DUMMYFUNCTION("""COMPUTED_VALUE"""),44927)</f>
        <v>44927</v>
      </c>
      <c r="O2321" s="25" t="str">
        <f t="shared" ca="1" si="0"/>
        <v>Secretaría Distrital del Hábitat</v>
      </c>
      <c r="P2321" s="25" t="str">
        <f t="shared" si="2"/>
        <v/>
      </c>
      <c r="Q2321" s="25" t="str">
        <f ca="1">IFERROR(__xludf.DUMMYFUNCTION("""COMPUTED_VALUE"""),"Corto plazo")</f>
        <v>Corto plazo</v>
      </c>
      <c r="R2321" s="25"/>
      <c r="S2321" s="55"/>
      <c r="T2321" s="56"/>
      <c r="U2321" s="25"/>
      <c r="V2321" s="25"/>
      <c r="W2321" s="25"/>
      <c r="X2321" s="25"/>
      <c r="Y2321" s="25"/>
      <c r="Z2321" s="25"/>
    </row>
    <row r="2322" spans="1:26" ht="52.5" customHeight="1" x14ac:dyDescent="0.25">
      <c r="A2322" s="25" t="str">
        <f ca="1">IFERROR(__xludf.DUMMYFUNCTION("""COMPUTED_VALUE"""),"Hábit220")</f>
        <v>Hábit220</v>
      </c>
      <c r="B2322" s="25" t="str">
        <f ca="1">IFERROR(__xludf.DUMMYFUNCTION("""COMPUTED_VALUE"""),"Junta de infraestructura")</f>
        <v>Junta de infraestructura</v>
      </c>
      <c r="C2322" s="55">
        <f ca="1">IFERROR(__xludf.DUMMYFUNCTION("""COMPUTED_VALUE"""),44727)</f>
        <v>44727</v>
      </c>
      <c r="D2322" s="25" t="str">
        <f ca="1">IFERROR(__xludf.DUMMYFUNCTION("""COMPUTED_VALUE"""),"Hábitat")</f>
        <v>Hábitat</v>
      </c>
      <c r="E2322" s="25" t="str">
        <f ca="1">IFERROR(__xludf.DUMMYFUNCTION("""COMPUTED_VALUE"""),"Secretaría Distrital del Hábitat")</f>
        <v>Secretaría Distrital del Hábitat</v>
      </c>
      <c r="F2322" s="25" t="str">
        <f ca="1">IFERROR(__xludf.DUMMYFUNCTION("""COMPUTED_VALUE"""),"Accesos Norte:
Coordinar con Lagos de Torca los requerimientos y gestiones referente a los predios a partir de la información remitida por el concesionario.
")</f>
        <v xml:space="preserve">Accesos Norte:
Coordinar con Lagos de Torca los requerimientos y gestiones referente a los predios a partir de la información remitida por el concesionario.
</v>
      </c>
      <c r="G2322" s="25" t="str">
        <f ca="1">IFERROR(__xludf.DUMMYFUNCTION("""COMPUTED_VALUE"""),"99. Distrito")</f>
        <v>99. Distrito</v>
      </c>
      <c r="H2322" s="55">
        <f ca="1">IFERROR(__xludf.DUMMYFUNCTION("""COMPUTED_VALUE"""),44757)</f>
        <v>44757</v>
      </c>
      <c r="I2322" s="25"/>
      <c r="J2322" s="55" t="str">
        <f ca="1">IFERROR(__xludf.DUMMYFUNCTION("""COMPUTED_VALUE"""),"Alta")</f>
        <v>Alta</v>
      </c>
      <c r="K2322" s="25">
        <f ca="1">IFERROR(__xludf.DUMMYFUNCTION("""COMPUTED_VALUE"""),30)</f>
        <v>30</v>
      </c>
      <c r="L2322" s="62"/>
      <c r="M2322" s="25"/>
      <c r="N2322" s="55">
        <f ca="1">IFERROR(__xludf.DUMMYFUNCTION("""COMPUTED_VALUE"""),44927)</f>
        <v>44927</v>
      </c>
      <c r="O2322" s="25" t="str">
        <f t="shared" ca="1" si="0"/>
        <v>Secretaría Distrital del Hábitat</v>
      </c>
      <c r="P2322" s="25" t="str">
        <f t="shared" si="2"/>
        <v/>
      </c>
      <c r="Q2322" s="25" t="str">
        <f ca="1">IFERROR(__xludf.DUMMYFUNCTION("""COMPUTED_VALUE"""),"Corto plazo")</f>
        <v>Corto plazo</v>
      </c>
      <c r="R2322" s="25"/>
      <c r="S2322" s="55"/>
      <c r="T2322" s="56"/>
      <c r="U2322" s="25"/>
      <c r="V2322" s="25"/>
      <c r="W2322" s="25"/>
      <c r="X2322" s="25"/>
      <c r="Y2322" s="25"/>
      <c r="Z2322" s="25"/>
    </row>
    <row r="2323" spans="1:26" ht="52.5" customHeight="1" x14ac:dyDescent="0.25">
      <c r="A2323" s="25" t="str">
        <f ca="1">IFERROR(__xludf.DUMMYFUNCTION("""COMPUTED_VALUE"""),"Hábit221")</f>
        <v>Hábit221</v>
      </c>
      <c r="B2323" s="25" t="str">
        <f ca="1">IFERROR(__xludf.DUMMYFUNCTION("""COMPUTED_VALUE"""),"Junta de infraestructura")</f>
        <v>Junta de infraestructura</v>
      </c>
      <c r="C2323" s="55">
        <f ca="1">IFERROR(__xludf.DUMMYFUNCTION("""COMPUTED_VALUE"""),44727)</f>
        <v>44727</v>
      </c>
      <c r="D2323" s="25" t="str">
        <f ca="1">IFERROR(__xludf.DUMMYFUNCTION("""COMPUTED_VALUE"""),"Hábitat")</f>
        <v>Hábitat</v>
      </c>
      <c r="E2323" s="25" t="str">
        <f ca="1">IFERROR(__xludf.DUMMYFUNCTION("""COMPUTED_VALUE"""),"Empresa de Acueducto y Alcantarillado de Bogotá")</f>
        <v>Empresa de Acueducto y Alcantarillado de Bogotá</v>
      </c>
      <c r="F2323" s="25" t="str">
        <f ca="1">IFERROR(__xludf.DUMMYFUNCTION("""COMPUTED_VALUE"""),"Aceras y ciclorrutas autonorte:
Verificar con el IDU fechas para lograr la aprobación de las redes húmedas.
")</f>
        <v xml:space="preserve">Aceras y ciclorrutas autonorte:
Verificar con el IDU fechas para lograr la aprobación de las redes húmedas.
</v>
      </c>
      <c r="G2323" s="25" t="str">
        <f ca="1">IFERROR(__xludf.DUMMYFUNCTION("""COMPUTED_VALUE"""),"99. Distrito")</f>
        <v>99. Distrito</v>
      </c>
      <c r="H2323" s="55">
        <f ca="1">IFERROR(__xludf.DUMMYFUNCTION("""COMPUTED_VALUE"""),45107)</f>
        <v>45107</v>
      </c>
      <c r="I2323" s="25" t="str">
        <f ca="1">IFERROR(__xludf.DUMMYFUNCTION("""COMPUTED_VALUE"""),"Junta de Infraestructura")</f>
        <v>Junta de Infraestructura</v>
      </c>
      <c r="J2323" s="55" t="str">
        <f ca="1">IFERROR(__xludf.DUMMYFUNCTION("""COMPUTED_VALUE"""),"Baja")</f>
        <v>Baja</v>
      </c>
      <c r="K2323" s="25">
        <f ca="1">IFERROR(__xludf.DUMMYFUNCTION("""COMPUTED_VALUE"""),380)</f>
        <v>380</v>
      </c>
      <c r="L2323" s="62">
        <f ca="1">IFERROR(__xludf.DUMMYFUNCTION("""COMPUTED_VALUE"""),45077)</f>
        <v>45077</v>
      </c>
      <c r="M2323" s="25" t="str">
        <f ca="1">IFERROR(__xludf.DUMMYFUNCTION("""COMPUTED_VALUE"""),"De los seis tramos a intervenir, la EAAB-ESP emitió desde el año pasado la ""No objeción"" para el tramo 1 y tramo 3, en lo que respecta al tramo 2, 4, 5 y 6 estos cuenta con ""No objección condicionada""; lo que da lugar para que el IDU pueda iniciar las"&amp;" obras. Se solicita dar por cumplido este compromiso, teniendo en cuenta el reporte de avance. ültimo tramos aprobado el 3 de febrero de 2023. se solicitó cierre en el corte de marzo 31 
31 Mayo
  Tramos
  Estado 18 de Mayo de 2023
  T"&amp;"ramo
  1
  •No Objeción condicionada, 16 de mayo de 2022 y No objeción 25 de agosto de 2022
  Tramo
  2
  •No objeción condicionada, del 3 de febrero de 2023
  Tramo
  3
  •No Objeción condicionada, 10 de octubre de 2"&amp;"022 y
  No
  objeción, 14 de diciembre de 2022
  Tramo
  4
  •No
  Objeción Condicionada, 14 de Febrero 2023. 
  Tramo
  5
  •No objeción condicionada, de 13 de enero de 2023 y No objeción, 15 de mayo de 2023.
  T"&amp;"ramo
  6
  •No Objeción Condicionada, del 1 de marzo de 2023. 
")</f>
        <v xml:space="preserve">De los seis tramos a intervenir, la EAAB-ESP emitió desde el año pasado la "No objeción" para el tramo 1 y tramo 3, en lo que respecta al tramo 2, 4, 5 y 6 estos cuenta con "No objección condicionada"; lo que da lugar para que el IDU pueda iniciar las obras. Se solicita dar por cumplido este compromiso, teniendo en cuenta el reporte de avance. ültimo tramos aprobado el 3 de febrero de 2023. se solicitó cierre en el corte de marzo 31 
31 Mayo
  Tramos
  Estado 18 de Mayo de 2023
  Tramo
  1
  •No Objeción condicionada, 16 de mayo de 2022 y No objeción 25 de agosto de 2022
  Tramo
  2
  •No objeción condicionada, del 3 de febrero de 2023
  Tramo
  3
  •No Objeción condicionada, 10 de octubre de 2022 y
  No
  objeción, 14 de diciembre de 2022
  Tramo
  4
  •No
  Objeción Condicionada, 14 de Febrero 2023. 
  Tramo
  5
  •No objeción condicionada, de 13 de enero de 2023 y No objeción, 15 de mayo de 2023.
  Tramo
  6
  •No Objeción Condicionada, del 1 de marzo de 2023. 
</v>
      </c>
      <c r="N2323" s="55">
        <f ca="1">IFERROR(__xludf.DUMMYFUNCTION("""COMPUTED_VALUE"""),45077)</f>
        <v>45077</v>
      </c>
      <c r="O2323" s="25" t="str">
        <f t="shared" ca="1" si="0"/>
        <v>Empresa de Acueducto y Alcantarillado de Bogotá</v>
      </c>
      <c r="P2323" s="25" t="str">
        <f t="shared" ca="1" si="2"/>
        <v/>
      </c>
      <c r="Q2323" s="25" t="str">
        <f ca="1">IFERROR(__xludf.DUMMYFUNCTION("""COMPUTED_VALUE"""),"Largo plazo")</f>
        <v>Largo plazo</v>
      </c>
      <c r="R2323" s="25"/>
      <c r="S2323" s="55"/>
      <c r="T2323" s="56"/>
      <c r="U2323" s="25"/>
      <c r="V2323" s="25"/>
      <c r="W2323" s="25"/>
      <c r="X2323" s="25"/>
      <c r="Y2323" s="25"/>
      <c r="Z2323" s="25"/>
    </row>
    <row r="2324" spans="1:26" ht="52.5" customHeight="1" x14ac:dyDescent="0.25">
      <c r="A2324" s="25" t="str">
        <f ca="1">IFERROR(__xludf.DUMMYFUNCTION("""COMPUTED_VALUE"""),"Hábit222")</f>
        <v>Hábit222</v>
      </c>
      <c r="B2324" s="25" t="str">
        <f ca="1">IFERROR(__xludf.DUMMYFUNCTION("""COMPUTED_VALUE"""),"Junta de infraestructura")</f>
        <v>Junta de infraestructura</v>
      </c>
      <c r="C2324" s="55">
        <f ca="1">IFERROR(__xludf.DUMMYFUNCTION("""COMPUTED_VALUE"""),44727)</f>
        <v>44727</v>
      </c>
      <c r="D2324" s="25" t="str">
        <f ca="1">IFERROR(__xludf.DUMMYFUNCTION("""COMPUTED_VALUE"""),"Hábitat")</f>
        <v>Hábitat</v>
      </c>
      <c r="E2324" s="25" t="str">
        <f ca="1">IFERROR(__xludf.DUMMYFUNCTION("""COMPUTED_VALUE"""),"Empresa de Renovación y Desarrollo Urbano")</f>
        <v>Empresa de Renovación y Desarrollo Urbano</v>
      </c>
      <c r="F2324" s="25" t="str">
        <f ca="1">IFERROR(__xludf.DUMMYFUNCTION("""COMPUTED_VALUE"""),"Para el predio faltante definir cómo se aprovecha y garantizar los recursos en la adición presupuestal (coordinar con Atenea y UDistrital)")</f>
        <v>Para el predio faltante definir cómo se aprovecha y garantizar los recursos en la adición presupuestal (coordinar con Atenea y UDistrital)</v>
      </c>
      <c r="G2324" s="25" t="str">
        <f ca="1">IFERROR(__xludf.DUMMYFUNCTION("""COMPUTED_VALUE"""),"99. Distrito")</f>
        <v>99. Distrito</v>
      </c>
      <c r="H2324" s="55">
        <f ca="1">IFERROR(__xludf.DUMMYFUNCTION("""COMPUTED_VALUE"""),45107)</f>
        <v>45107</v>
      </c>
      <c r="I2324" s="25" t="str">
        <f ca="1">IFERROR(__xludf.DUMMYFUNCTION("""COMPUTED_VALUE"""),"Junta de Infraestructura")</f>
        <v>Junta de Infraestructura</v>
      </c>
      <c r="J2324" s="55" t="str">
        <f ca="1">IFERROR(__xludf.DUMMYFUNCTION("""COMPUTED_VALUE"""),"Baja")</f>
        <v>Baja</v>
      </c>
      <c r="K2324" s="25">
        <f ca="1">IFERROR(__xludf.DUMMYFUNCTION("""COMPUTED_VALUE"""),380)</f>
        <v>380</v>
      </c>
      <c r="L2324" s="62">
        <f ca="1">IFERROR(__xludf.DUMMYFUNCTION("""COMPUTED_VALUE"""),45077)</f>
        <v>45077</v>
      </c>
      <c r="M2324" s="25" t="str">
        <f ca="1">IFERROR(__xludf.DUMMYFUNCTION("""COMPUTED_VALUE"""),"* Se realizó costeo de estudios y diseños incluyendo interventoría sobre un valor de $2.800 millones de pesos aprox. 
* En conversación con U. Distrital manifiesta que no cuenta con disponibilidad de recursos para el proyecto.
* En el comité de convenio 2"&amp;"99-2019 del 02/05/2023, se socializo nuevamente a la SDDE y SED el valor de los estudios, diseño y obra para realizar el proyecto en el lote de oportunidad. La SED informó que continúan en la verificación presupuestal y viabilidad para adelantar el proyec"&amp;"to y que informará la decisión en el comité del convenio que se adelante en el mes de junio de 2023")</f>
        <v>* Se realizó costeo de estudios y diseños incluyendo interventoría sobre un valor de $2.800 millones de pesos aprox. 
* En conversación con U. Distrital manifiesta que no cuenta con disponibilidad de recursos para el proyecto.
* En el comité de convenio 299-2019 del 02/05/2023, se socializo nuevamente a la SDDE y SED el valor de los estudios, diseño y obra para realizar el proyecto en el lote de oportunidad. La SED informó que continúan en la verificación presupuestal y viabilidad para adelantar el proyecto y que informará la decisión en el comité del convenio que se adelante en el mes de junio de 2023</v>
      </c>
      <c r="N2324" s="25"/>
      <c r="O2324" s="25" t="str">
        <f t="shared" ca="1" si="0"/>
        <v>Empresa de Renovación y Desarrollo Urbano</v>
      </c>
      <c r="P2324" s="25" t="str">
        <f t="shared" ca="1" si="2"/>
        <v/>
      </c>
      <c r="Q2324" s="25" t="str">
        <f ca="1">IFERROR(__xludf.DUMMYFUNCTION("""COMPUTED_VALUE"""),"Largo plazo")</f>
        <v>Largo plazo</v>
      </c>
      <c r="R2324" s="25"/>
      <c r="S2324" s="55"/>
      <c r="T2324" s="56"/>
      <c r="U2324" s="25"/>
      <c r="V2324" s="25"/>
      <c r="W2324" s="25"/>
      <c r="X2324" s="25"/>
      <c r="Y2324" s="25"/>
      <c r="Z2324" s="25"/>
    </row>
    <row r="2325" spans="1:26" ht="52.5" customHeight="1" x14ac:dyDescent="0.25">
      <c r="A2325" s="25" t="str">
        <f ca="1">IFERROR(__xludf.DUMMYFUNCTION("""COMPUTED_VALUE"""),"Hábit223")</f>
        <v>Hábit223</v>
      </c>
      <c r="B2325" s="25" t="str">
        <f ca="1">IFERROR(__xludf.DUMMYFUNCTION("""COMPUTED_VALUE"""),"PTAR Salitre")</f>
        <v>PTAR Salitre</v>
      </c>
      <c r="C2325" s="55">
        <f ca="1">IFERROR(__xludf.DUMMYFUNCTION("""COMPUTED_VALUE"""),44767)</f>
        <v>44767</v>
      </c>
      <c r="D2325" s="25" t="str">
        <f ca="1">IFERROR(__xludf.DUMMYFUNCTION("""COMPUTED_VALUE"""),"Hábitat")</f>
        <v>Hábitat</v>
      </c>
      <c r="E2325" s="25" t="str">
        <f ca="1">IFERROR(__xludf.DUMMYFUNCTION("""COMPUTED_VALUE"""),"Empresa de Acueducto y Alcantarillado de Bogotá")</f>
        <v>Empresa de Acueducto y Alcantarillado de Bogotá</v>
      </c>
      <c r="F2325" s="25" t="str">
        <f ca="1">IFERROR(__xludf.DUMMYFUNCTION("""COMPUTED_VALUE"""),"Entregar el plan de ¿Cómo vamos a operar a partir del 13 de septiembre? Se deben buscar los recursos, personal, etc.")</f>
        <v>Entregar el plan de ¿Cómo vamos a operar a partir del 13 de septiembre? Se deben buscar los recursos, personal, etc.</v>
      </c>
      <c r="G2325" s="25" t="str">
        <f ca="1">IFERROR(__xludf.DUMMYFUNCTION("""COMPUTED_VALUE"""),"99. Distrito")</f>
        <v>99. Distrito</v>
      </c>
      <c r="H2325" s="55">
        <f ca="1">IFERROR(__xludf.DUMMYFUNCTION("""COMPUTED_VALUE"""),44797)</f>
        <v>44797</v>
      </c>
      <c r="I2325" s="25"/>
      <c r="J2325" s="55" t="str">
        <f ca="1">IFERROR(__xludf.DUMMYFUNCTION("""COMPUTED_VALUE"""),"Alta")</f>
        <v>Alta</v>
      </c>
      <c r="K2325" s="25">
        <f ca="1">IFERROR(__xludf.DUMMYFUNCTION("""COMPUTED_VALUE"""),30)</f>
        <v>30</v>
      </c>
      <c r="L2325" s="62">
        <f ca="1">IFERROR(__xludf.DUMMYFUNCTION("""COMPUTED_VALUE"""),44956)</f>
        <v>44956</v>
      </c>
      <c r="M2325" s="25"/>
      <c r="N2325" s="55">
        <f ca="1">IFERROR(__xludf.DUMMYFUNCTION("""COMPUTED_VALUE"""),44927)</f>
        <v>44927</v>
      </c>
      <c r="O2325" s="25" t="str">
        <f t="shared" ca="1" si="0"/>
        <v>Empresa de Acueducto y Alcantarillado de Bogotá</v>
      </c>
      <c r="P2325" s="25" t="str">
        <f t="shared" si="2"/>
        <v/>
      </c>
      <c r="Q2325" s="25" t="str">
        <f ca="1">IFERROR(__xludf.DUMMYFUNCTION("""COMPUTED_VALUE"""),"Corto plazo")</f>
        <v>Corto plazo</v>
      </c>
      <c r="R2325" s="25"/>
      <c r="S2325" s="55"/>
      <c r="T2325" s="56"/>
      <c r="U2325" s="25"/>
      <c r="V2325" s="25"/>
      <c r="W2325" s="25"/>
      <c r="X2325" s="25"/>
      <c r="Y2325" s="25"/>
      <c r="Z2325" s="25"/>
    </row>
    <row r="2326" spans="1:26" ht="52.5" customHeight="1" x14ac:dyDescent="0.25">
      <c r="A2326" s="25" t="str">
        <f ca="1">IFERROR(__xludf.DUMMYFUNCTION("""COMPUTED_VALUE"""),"Hábit224")</f>
        <v>Hábit224</v>
      </c>
      <c r="B2326" s="25" t="str">
        <f ca="1">IFERROR(__xludf.DUMMYFUNCTION("""COMPUTED_VALUE"""),"PTAR Salitre")</f>
        <v>PTAR Salitre</v>
      </c>
      <c r="C2326" s="55">
        <f ca="1">IFERROR(__xludf.DUMMYFUNCTION("""COMPUTED_VALUE"""),44767)</f>
        <v>44767</v>
      </c>
      <c r="D2326" s="25" t="str">
        <f ca="1">IFERROR(__xludf.DUMMYFUNCTION("""COMPUTED_VALUE"""),"Hábitat")</f>
        <v>Hábitat</v>
      </c>
      <c r="E2326" s="25" t="str">
        <f ca="1">IFERROR(__xludf.DUMMYFUNCTION("""COMPUTED_VALUE"""),"Empresa de Acueducto y Alcantarillado de Bogotá")</f>
        <v>Empresa de Acueducto y Alcantarillado de Bogotá</v>
      </c>
      <c r="F2326" s="25" t="str">
        <f ca="1">IFERROR(__xludf.DUMMYFUNCTION("""COMPUTED_VALUE"""),"Tener un informe de estado de cómo recibimos la operación de la PTAR (Por equipo y proceso). Informe articulado con la interventoría y Banco Mundial (no pueden existir 3 informes, solo uno).")</f>
        <v>Tener un informe de estado de cómo recibimos la operación de la PTAR (Por equipo y proceso). Informe articulado con la interventoría y Banco Mundial (no pueden existir 3 informes, solo uno).</v>
      </c>
      <c r="G2326" s="25" t="str">
        <f ca="1">IFERROR(__xludf.DUMMYFUNCTION("""COMPUTED_VALUE"""),"99. Distrito")</f>
        <v>99. Distrito</v>
      </c>
      <c r="H2326" s="55">
        <f ca="1">IFERROR(__xludf.DUMMYFUNCTION("""COMPUTED_VALUE"""),45016)</f>
        <v>45016</v>
      </c>
      <c r="I2326" s="25" t="str">
        <f ca="1">IFERROR(__xludf.DUMMYFUNCTION("""COMPUTED_VALUE"""),"Delivery Unit")</f>
        <v>Delivery Unit</v>
      </c>
      <c r="J2326" s="55" t="str">
        <f ca="1">IFERROR(__xludf.DUMMYFUNCTION("""COMPUTED_VALUE"""),"Baja")</f>
        <v>Baja</v>
      </c>
      <c r="K2326" s="25">
        <f ca="1">IFERROR(__xludf.DUMMYFUNCTION("""COMPUTED_VALUE"""),249)</f>
        <v>249</v>
      </c>
      <c r="L2326" s="62">
        <f ca="1">IFERROR(__xludf.DUMMYFUNCTION("""COMPUTED_VALUE"""),45077)</f>
        <v>45077</v>
      </c>
      <c r="M2326" s="66" t="str">
        <f ca="1">IFERROR(__xludf.DUMMYFUNCTION("""COMPUTED_VALUE"""),"Adicional a los informes semanales anteriormente enviados, se adjunta los informes N° 72, 73 y 74 de novedades presentadas en el PTAR Salitre con corte al 15/05/2023. Anexo 1. Informes de la PTAR Salitre Fase II: https://drive.google.com/drive/folders/1m6"&amp;"j7cVgX4hEV8w7lG4flNnxjQNIYb23h?usp=sharing. Los informes reportados corresponden al estado de la Operación que adelanta la EAAB dando cumplimiento a la orden Judicial interpuesta por el Tribunal Administrativo de Cundinamarca.")</f>
        <v>Adicional a los informes semanales anteriormente enviados, se adjunta los informes N° 72, 73 y 74 de novedades presentadas en el PTAR Salitre con corte al 15/05/2023. Anexo 1. Informes de la PTAR Salitre Fase II: https://drive.google.com/drive/folders/1m6j7cVgX4hEV8w7lG4flNnxjQNIYb23h?usp=sharing. Los informes reportados corresponden al estado de la Operación que adelanta la EAAB dando cumplimiento a la orden Judicial interpuesta por el Tribunal Administrativo de Cundinamarca.</v>
      </c>
      <c r="N2326" s="68">
        <f ca="1">IFERROR(__xludf.DUMMYFUNCTION("""COMPUTED_VALUE"""),45077)</f>
        <v>45077</v>
      </c>
      <c r="O2326" s="25" t="str">
        <f t="shared" ca="1" si="0"/>
        <v>Empresa de Acueducto y Alcantarillado de Bogotá</v>
      </c>
      <c r="P2326" s="25" t="str">
        <f t="shared" ca="1" si="2"/>
        <v/>
      </c>
      <c r="Q2326" s="25" t="str">
        <f ca="1">IFERROR(__xludf.DUMMYFUNCTION("""COMPUTED_VALUE"""),"Largo plazo")</f>
        <v>Largo plazo</v>
      </c>
      <c r="R2326" s="25"/>
      <c r="S2326" s="55"/>
      <c r="T2326" s="56"/>
      <c r="U2326" s="25"/>
      <c r="V2326" s="25"/>
      <c r="W2326" s="25"/>
      <c r="X2326" s="25"/>
      <c r="Y2326" s="25"/>
      <c r="Z2326" s="25"/>
    </row>
    <row r="2327" spans="1:26" ht="52.5" customHeight="1" x14ac:dyDescent="0.25">
      <c r="A2327" s="25" t="str">
        <f ca="1">IFERROR(__xludf.DUMMYFUNCTION("""COMPUTED_VALUE"""),"Hábit225")</f>
        <v>Hábit225</v>
      </c>
      <c r="B2327" s="25" t="str">
        <f ca="1">IFERROR(__xludf.DUMMYFUNCTION("""COMPUTED_VALUE"""),"Junta de infraestructura")</f>
        <v>Junta de infraestructura</v>
      </c>
      <c r="C2327" s="55">
        <f ca="1">IFERROR(__xludf.DUMMYFUNCTION("""COMPUTED_VALUE"""),44727)</f>
        <v>44727</v>
      </c>
      <c r="D2327" s="25" t="str">
        <f ca="1">IFERROR(__xludf.DUMMYFUNCTION("""COMPUTED_VALUE"""),"Hábitat")</f>
        <v>Hábitat</v>
      </c>
      <c r="E2327" s="25" t="str">
        <f ca="1">IFERROR(__xludf.DUMMYFUNCTION("""COMPUTED_VALUE"""),"Secretaría Distrital del Hábitat")</f>
        <v>Secretaría Distrital del Hábitat</v>
      </c>
      <c r="F2327" s="25" t="str">
        <f ca="1">IFERROR(__xludf.DUMMYFUNCTION("""COMPUTED_VALUE"""),"Dejar planteado el proyecto integral de revitalización del cable potosí")</f>
        <v>Dejar planteado el proyecto integral de revitalización del cable potosí</v>
      </c>
      <c r="G2327" s="25" t="str">
        <f ca="1">IFERROR(__xludf.DUMMYFUNCTION("""COMPUTED_VALUE"""),"99. Distrito")</f>
        <v>99. Distrito</v>
      </c>
      <c r="H2327" s="55">
        <f ca="1">IFERROR(__xludf.DUMMYFUNCTION("""COMPUTED_VALUE"""),45107)</f>
        <v>45107</v>
      </c>
      <c r="I2327" s="25" t="str">
        <f ca="1">IFERROR(__xludf.DUMMYFUNCTION("""COMPUTED_VALUE"""),"Junta de Infraestructura")</f>
        <v>Junta de Infraestructura</v>
      </c>
      <c r="J2327" s="55" t="str">
        <f ca="1">IFERROR(__xludf.DUMMYFUNCTION("""COMPUTED_VALUE"""),"Baja")</f>
        <v>Baja</v>
      </c>
      <c r="K2327" s="25">
        <f ca="1">IFERROR(__xludf.DUMMYFUNCTION("""COMPUTED_VALUE"""),380)</f>
        <v>380</v>
      </c>
      <c r="L2327" s="62">
        <f ca="1">IFERROR(__xludf.DUMMYFUNCTION("""COMPUTED_VALUE"""),45077)</f>
        <v>45077</v>
      </c>
      <c r="M2327" s="25" t="str">
        <f ca="1">IFERROR(__xludf.DUMMYFUNCTION("""COMPUTED_VALUE"""),"En lo avanzado del mes de mayo de 2023 la SDHT se estableció una ruta para la gestión de insumos de soporte al anuncio integral del proyecto de revitalización en torno al Cable Aéreo Potosí. Estas gestiones involucran la finalización del documento técnico"&amp;" de soporte, la inclusión de la versión definicita de áreas con oportunidad para el desarrollo de proyectos complementarios, la validación de la minutá de decreto distrital y la integración del proyecto con entidades distritales con competencia en la aten"&amp;"ción de los territorios objetivo de intervención. Se realizaron mesas de trabajo con el IDU sobre los resultados finales de la consultoría en el que se detalla la versión final del trazado, la ubicación de estaciones y pilonas, y la identificación definit"&amp;"iva de áreas con oportunidad.")</f>
        <v>En lo avanzado del mes de mayo de 2023 la SDHT se estableció una ruta para la gestión de insumos de soporte al anuncio integral del proyecto de revitalización en torno al Cable Aéreo Potosí. Estas gestiones involucran la finalización del documento técnico de soporte, la inclusión de la versión definicita de áreas con oportunidad para el desarrollo de proyectos complementarios, la validación de la minutá de decreto distrital y la integración del proyecto con entidades distritales con competencia en la atención de los territorios objetivo de intervención. Se realizaron mesas de trabajo con el IDU sobre los resultados finales de la consultoría en el que se detalla la versión final del trazado, la ubicación de estaciones y pilonas, y la identificación definitiva de áreas con oportunidad.</v>
      </c>
      <c r="N2327" s="25"/>
      <c r="O2327" s="25" t="str">
        <f t="shared" ca="1" si="0"/>
        <v>Secretaría Distrital del Hábitat</v>
      </c>
      <c r="P2327" s="25" t="str">
        <f t="shared" ca="1" si="2"/>
        <v/>
      </c>
      <c r="Q2327" s="25" t="str">
        <f ca="1">IFERROR(__xludf.DUMMYFUNCTION("""COMPUTED_VALUE"""),"Largo plazo")</f>
        <v>Largo plazo</v>
      </c>
      <c r="R2327" s="25"/>
      <c r="S2327" s="55"/>
      <c r="T2327" s="56"/>
      <c r="U2327" s="25"/>
      <c r="V2327" s="25"/>
      <c r="W2327" s="25"/>
      <c r="X2327" s="25"/>
      <c r="Y2327" s="25"/>
      <c r="Z2327" s="25"/>
    </row>
    <row r="2328" spans="1:26" ht="52.5" customHeight="1" x14ac:dyDescent="0.25">
      <c r="A2328" s="25" t="str">
        <f ca="1">IFERROR(__xludf.DUMMYFUNCTION("""COMPUTED_VALUE"""),"Hábit226")</f>
        <v>Hábit226</v>
      </c>
      <c r="B2328" s="25" t="str">
        <f ca="1">IFERROR(__xludf.DUMMYFUNCTION("""COMPUTED_VALUE"""),"PTAR Canoas")</f>
        <v>PTAR Canoas</v>
      </c>
      <c r="C2328" s="55">
        <f ca="1">IFERROR(__xludf.DUMMYFUNCTION("""COMPUTED_VALUE"""),44799)</f>
        <v>44799</v>
      </c>
      <c r="D2328" s="25" t="str">
        <f ca="1">IFERROR(__xludf.DUMMYFUNCTION("""COMPUTED_VALUE"""),"Hábitat")</f>
        <v>Hábitat</v>
      </c>
      <c r="E2328" s="25" t="str">
        <f ca="1">IFERROR(__xludf.DUMMYFUNCTION("""COMPUTED_VALUE"""),"Empresa de Acueducto y Alcantarillado de Bogotá")</f>
        <v>Empresa de Acueducto y Alcantarillado de Bogotá</v>
      </c>
      <c r="F2328" s="25" t="str">
        <f ca="1">IFERROR(__xludf.DUMMYFUNCTION("""COMPUTED_VALUE"""),"Banco Mundial debe entregar, a través de la EAAB, el listado de las PTAR que se puedan comparar con la PTAR CANOAS incluyendo información estratégica, tales como:
-	¿Cuántos años es/fue el período de construcción, el de operación y el de mantenimiento?
"&amp;"-	¿Cuántas incluyeron procesos de renegociación? ¿Y cuántas han sido renegociadas?
-	¿Cuántas y cuáles PTAR han tenido inconvenientes en su operación? ¿cuándo se comenzaron a manifestar los riesgos en estas PTAR? 
")</f>
        <v xml:space="preserve">Banco Mundial debe entregar, a través de la EAAB, el listado de las PTAR que se puedan comparar con la PTAR CANOAS incluyendo información estratégica, tales como:
-	¿Cuántos años es/fue el período de construcción, el de operación y el de mantenimiento?
-	¿Cuántas incluyeron procesos de renegociación? ¿Y cuántas han sido renegociadas?
-	¿Cuántas y cuáles PTAR han tenido inconvenientes en su operación? ¿cuándo se comenzaron a manifestar los riesgos en estas PTAR? 
</v>
      </c>
      <c r="G2328" s="25" t="str">
        <f ca="1">IFERROR(__xludf.DUMMYFUNCTION("""COMPUTED_VALUE"""),"99. Distrito")</f>
        <v>99. Distrito</v>
      </c>
      <c r="H2328" s="55">
        <f ca="1">IFERROR(__xludf.DUMMYFUNCTION("""COMPUTED_VALUE"""),44829)</f>
        <v>44829</v>
      </c>
      <c r="I2328" s="25"/>
      <c r="J2328" s="55" t="str">
        <f ca="1">IFERROR(__xludf.DUMMYFUNCTION("""COMPUTED_VALUE"""),"Alta")</f>
        <v>Alta</v>
      </c>
      <c r="K2328" s="25">
        <f ca="1">IFERROR(__xludf.DUMMYFUNCTION("""COMPUTED_VALUE"""),30)</f>
        <v>30</v>
      </c>
      <c r="L2328" s="62">
        <f ca="1">IFERROR(__xludf.DUMMYFUNCTION("""COMPUTED_VALUE"""),44956)</f>
        <v>44956</v>
      </c>
      <c r="M2328" s="25"/>
      <c r="N2328" s="55">
        <f ca="1">IFERROR(__xludf.DUMMYFUNCTION("""COMPUTED_VALUE"""),44927)</f>
        <v>44927</v>
      </c>
      <c r="O2328" s="25" t="str">
        <f t="shared" ca="1" si="0"/>
        <v>Empresa de Acueducto y Alcantarillado de Bogotá</v>
      </c>
      <c r="P2328" s="25" t="str">
        <f t="shared" si="2"/>
        <v/>
      </c>
      <c r="Q2328" s="25" t="str">
        <f ca="1">IFERROR(__xludf.DUMMYFUNCTION("""COMPUTED_VALUE"""),"Corto plazo")</f>
        <v>Corto plazo</v>
      </c>
      <c r="R2328" s="25"/>
      <c r="S2328" s="55"/>
      <c r="T2328" s="56"/>
      <c r="U2328" s="25"/>
      <c r="V2328" s="25"/>
      <c r="W2328" s="25"/>
      <c r="X2328" s="25"/>
      <c r="Y2328" s="25"/>
      <c r="Z2328" s="25"/>
    </row>
    <row r="2329" spans="1:26" ht="52.5" customHeight="1" x14ac:dyDescent="0.25">
      <c r="A2329" s="25" t="str">
        <f ca="1">IFERROR(__xludf.DUMMYFUNCTION("""COMPUTED_VALUE"""),"Hábit227")</f>
        <v>Hábit227</v>
      </c>
      <c r="B2329" s="25" t="str">
        <f ca="1">IFERROR(__xludf.DUMMYFUNCTION("""COMPUTED_VALUE"""),"Junta de Infraestructura")</f>
        <v>Junta de Infraestructura</v>
      </c>
      <c r="C2329" s="55">
        <f ca="1">IFERROR(__xludf.DUMMYFUNCTION("""COMPUTED_VALUE"""),44650)</f>
        <v>44650</v>
      </c>
      <c r="D2329" s="25" t="str">
        <f ca="1">IFERROR(__xludf.DUMMYFUNCTION("""COMPUTED_VALUE"""),"Hábitat")</f>
        <v>Hábitat</v>
      </c>
      <c r="E2329" s="25" t="str">
        <f ca="1">IFERROR(__xludf.DUMMYFUNCTION("""COMPUTED_VALUE"""),"Empresa de Acueducto y Alcantarillado de Bogotá")</f>
        <v>Empresa de Acueducto y Alcantarillado de Bogotá</v>
      </c>
      <c r="F2329" s="25" t="str">
        <f ca="1">IFERROR(__xludf.DUMMYFUNCTION("""COMPUTED_VALUE"""),"Cable San Rafael - La Calera
Abrir el proyecto del cable aéreo en coordinación con el sindicato EAAB y La Calera para evitar demandas al proyecto
")</f>
        <v xml:space="preserve">Cable San Rafael - La Calera
Abrir el proyecto del cable aéreo en coordinación con el sindicato EAAB y La Calera para evitar demandas al proyecto
</v>
      </c>
      <c r="G2329" s="25" t="str">
        <f ca="1">IFERROR(__xludf.DUMMYFUNCTION("""COMPUTED_VALUE"""),"99. Distrito")</f>
        <v>99. Distrito</v>
      </c>
      <c r="H2329" s="55">
        <f ca="1">IFERROR(__xludf.DUMMYFUNCTION("""COMPUTED_VALUE"""),44680)</f>
        <v>44680</v>
      </c>
      <c r="I2329" s="25"/>
      <c r="J2329" s="55" t="str">
        <f ca="1">IFERROR(__xludf.DUMMYFUNCTION("""COMPUTED_VALUE"""),"Alta")</f>
        <v>Alta</v>
      </c>
      <c r="K2329" s="25">
        <f ca="1">IFERROR(__xludf.DUMMYFUNCTION("""COMPUTED_VALUE"""),30)</f>
        <v>30</v>
      </c>
      <c r="L2329" s="62">
        <f ca="1">IFERROR(__xludf.DUMMYFUNCTION("""COMPUTED_VALUE"""),44956)</f>
        <v>44956</v>
      </c>
      <c r="M2329" s="25" t="str">
        <f ca="1">IFERROR(__xludf.DUMMYFUNCTION("""COMPUTED_VALUE"""),",")</f>
        <v>,</v>
      </c>
      <c r="N2329" s="55">
        <f ca="1">IFERROR(__xludf.DUMMYFUNCTION("""COMPUTED_VALUE"""),44927)</f>
        <v>44927</v>
      </c>
      <c r="O2329" s="25" t="str">
        <f t="shared" ca="1" si="0"/>
        <v>Empresa de Acueducto y Alcantarillado de Bogotá</v>
      </c>
      <c r="P2329" s="25" t="str">
        <f t="shared" si="2"/>
        <v/>
      </c>
      <c r="Q2329" s="25" t="str">
        <f ca="1">IFERROR(__xludf.DUMMYFUNCTION("""COMPUTED_VALUE"""),"Corto plazo")</f>
        <v>Corto plazo</v>
      </c>
      <c r="R2329" s="25"/>
      <c r="S2329" s="55"/>
      <c r="T2329" s="56"/>
      <c r="U2329" s="25"/>
      <c r="V2329" s="25"/>
      <c r="W2329" s="25"/>
      <c r="X2329" s="25"/>
      <c r="Y2329" s="25"/>
      <c r="Z2329" s="25"/>
    </row>
    <row r="2330" spans="1:26" ht="52.5" customHeight="1" x14ac:dyDescent="0.25">
      <c r="A2330" s="25" t="str">
        <f ca="1">IFERROR(__xludf.DUMMYFUNCTION("""COMPUTED_VALUE"""),"Hábit228")</f>
        <v>Hábit228</v>
      </c>
      <c r="B2330" s="25" t="str">
        <f ca="1">IFERROR(__xludf.DUMMYFUNCTION("""COMPUTED_VALUE"""),"Operadores de aseo")</f>
        <v>Operadores de aseo</v>
      </c>
      <c r="C2330" s="55">
        <f ca="1">IFERROR(__xludf.DUMMYFUNCTION("""COMPUTED_VALUE"""),44821)</f>
        <v>44821</v>
      </c>
      <c r="D2330" s="25" t="str">
        <f ca="1">IFERROR(__xludf.DUMMYFUNCTION("""COMPUTED_VALUE"""),"Hábitat")</f>
        <v>Hábitat</v>
      </c>
      <c r="E2330" s="25" t="str">
        <f ca="1">IFERROR(__xludf.DUMMYFUNCTION("""COMPUTED_VALUE"""),"Unidad Administrativa Especial de Servicios Públicos")</f>
        <v>Unidad Administrativa Especial de Servicios Públicos</v>
      </c>
      <c r="F2330" s="25" t="str">
        <f ca="1">IFERROR(__xludf.DUMMYFUNCTION("""COMPUTED_VALUE"""),"Programar y desarrollar mesas de trabajo con los operadores de servicio de aseo para revisar el modelo de disposición de RCD y orgánicos (identificar el catastro con usuarios, tales como fruvers, restaurantes, entre otros).  ")</f>
        <v xml:space="preserve">Programar y desarrollar mesas de trabajo con los operadores de servicio de aseo para revisar el modelo de disposición de RCD y orgánicos (identificar el catastro con usuarios, tales como fruvers, restaurantes, entre otros).  </v>
      </c>
      <c r="G2330" s="25" t="str">
        <f ca="1">IFERROR(__xludf.DUMMYFUNCTION("""COMPUTED_VALUE"""),"99. Distrito")</f>
        <v>99. Distrito</v>
      </c>
      <c r="H2330" s="55">
        <f ca="1">IFERROR(__xludf.DUMMYFUNCTION("""COMPUTED_VALUE"""),44851)</f>
        <v>44851</v>
      </c>
      <c r="I2330" s="25"/>
      <c r="J2330" s="55" t="str">
        <f ca="1">IFERROR(__xludf.DUMMYFUNCTION("""COMPUTED_VALUE"""),"Alta")</f>
        <v>Alta</v>
      </c>
      <c r="K2330" s="25">
        <f ca="1">IFERROR(__xludf.DUMMYFUNCTION("""COMPUTED_VALUE"""),30)</f>
        <v>30</v>
      </c>
      <c r="L2330" s="62"/>
      <c r="M2330" s="25"/>
      <c r="N2330" s="55">
        <f ca="1">IFERROR(__xludf.DUMMYFUNCTION("""COMPUTED_VALUE"""),44927)</f>
        <v>44927</v>
      </c>
      <c r="O2330" s="25" t="str">
        <f t="shared" ca="1" si="0"/>
        <v>Unidad Administrativa Especial de Servicios Públicos</v>
      </c>
      <c r="P2330" s="25" t="str">
        <f t="shared" si="2"/>
        <v/>
      </c>
      <c r="Q2330" s="25" t="str">
        <f ca="1">IFERROR(__xludf.DUMMYFUNCTION("""COMPUTED_VALUE"""),"Corto plazo")</f>
        <v>Corto plazo</v>
      </c>
      <c r="R2330" s="25"/>
      <c r="S2330" s="55"/>
      <c r="T2330" s="56"/>
      <c r="U2330" s="25"/>
      <c r="V2330" s="25"/>
      <c r="W2330" s="25"/>
      <c r="X2330" s="25"/>
      <c r="Y2330" s="25"/>
      <c r="Z2330" s="25"/>
    </row>
    <row r="2331" spans="1:26" ht="52.5" customHeight="1" x14ac:dyDescent="0.25">
      <c r="A2331" s="25" t="str">
        <f ca="1">IFERROR(__xludf.DUMMYFUNCTION("""COMPUTED_VALUE"""),"Hábit229")</f>
        <v>Hábit229</v>
      </c>
      <c r="B2331" s="25" t="str">
        <f ca="1">IFERROR(__xludf.DUMMYFUNCTION("""COMPUTED_VALUE"""),"Operadores de aseo")</f>
        <v>Operadores de aseo</v>
      </c>
      <c r="C2331" s="55">
        <f ca="1">IFERROR(__xludf.DUMMYFUNCTION("""COMPUTED_VALUE"""),44821)</f>
        <v>44821</v>
      </c>
      <c r="D2331" s="25" t="str">
        <f ca="1">IFERROR(__xludf.DUMMYFUNCTION("""COMPUTED_VALUE"""),"Hábitat")</f>
        <v>Hábitat</v>
      </c>
      <c r="E2331" s="25" t="str">
        <f ca="1">IFERROR(__xludf.DUMMYFUNCTION("""COMPUTED_VALUE"""),"Unidad Administrativa Especial de Servicios Públicos")</f>
        <v>Unidad Administrativa Especial de Servicios Públicos</v>
      </c>
      <c r="F2331" s="25" t="str">
        <f ca="1">IFERROR(__xludf.DUMMYFUNCTION("""COMPUTED_VALUE"""),"Los operadores de servicio de aseo deberán presentar sus propuestas para el modelo de disposición de RCD. ")</f>
        <v xml:space="preserve">Los operadores de servicio de aseo deberán presentar sus propuestas para el modelo de disposición de RCD. </v>
      </c>
      <c r="G2331" s="25" t="str">
        <f ca="1">IFERROR(__xludf.DUMMYFUNCTION("""COMPUTED_VALUE"""),"99. Distrito")</f>
        <v>99. Distrito</v>
      </c>
      <c r="H2331" s="55">
        <f ca="1">IFERROR(__xludf.DUMMYFUNCTION("""COMPUTED_VALUE"""),44851)</f>
        <v>44851</v>
      </c>
      <c r="I2331" s="25"/>
      <c r="J2331" s="55" t="str">
        <f ca="1">IFERROR(__xludf.DUMMYFUNCTION("""COMPUTED_VALUE"""),"Alta")</f>
        <v>Alta</v>
      </c>
      <c r="K2331" s="25">
        <f ca="1">IFERROR(__xludf.DUMMYFUNCTION("""COMPUTED_VALUE"""),30)</f>
        <v>30</v>
      </c>
      <c r="L2331" s="62"/>
      <c r="M2331" s="25"/>
      <c r="N2331" s="55">
        <f ca="1">IFERROR(__xludf.DUMMYFUNCTION("""COMPUTED_VALUE"""),44927)</f>
        <v>44927</v>
      </c>
      <c r="O2331" s="25" t="str">
        <f t="shared" ca="1" si="0"/>
        <v>Unidad Administrativa Especial de Servicios Públicos</v>
      </c>
      <c r="P2331" s="25" t="str">
        <f t="shared" si="2"/>
        <v/>
      </c>
      <c r="Q2331" s="25" t="str">
        <f ca="1">IFERROR(__xludf.DUMMYFUNCTION("""COMPUTED_VALUE"""),"Corto plazo")</f>
        <v>Corto plazo</v>
      </c>
      <c r="R2331" s="25"/>
      <c r="S2331" s="55"/>
      <c r="T2331" s="56"/>
      <c r="U2331" s="25"/>
      <c r="V2331" s="25"/>
      <c r="W2331" s="25"/>
      <c r="X2331" s="25"/>
      <c r="Y2331" s="25"/>
      <c r="Z2331" s="25"/>
    </row>
    <row r="2332" spans="1:26" ht="52.5" customHeight="1" x14ac:dyDescent="0.25">
      <c r="A2332" s="25" t="str">
        <f ca="1">IFERROR(__xludf.DUMMYFUNCTION("""COMPUTED_VALUE"""),"Hábit230")</f>
        <v>Hábit230</v>
      </c>
      <c r="B2332" s="25" t="str">
        <f ca="1">IFERROR(__xludf.DUMMYFUNCTION("""COMPUTED_VALUE"""),"Recorrido el Delirio")</f>
        <v>Recorrido el Delirio</v>
      </c>
      <c r="C2332" s="55">
        <f ca="1">IFERROR(__xludf.DUMMYFUNCTION("""COMPUTED_VALUE"""),44830)</f>
        <v>44830</v>
      </c>
      <c r="D2332" s="25" t="str">
        <f ca="1">IFERROR(__xludf.DUMMYFUNCTION("""COMPUTED_VALUE"""),"Hábitat")</f>
        <v>Hábitat</v>
      </c>
      <c r="E2332" s="25" t="str">
        <f ca="1">IFERROR(__xludf.DUMMYFUNCTION("""COMPUTED_VALUE"""),"Empresa de Acueducto y Alcantarillado de Bogotá")</f>
        <v>Empresa de Acueducto y Alcantarillado de Bogotá</v>
      </c>
      <c r="F2332" s="25" t="str">
        <f ca="1">IFERROR(__xludf.DUMMYFUNCTION("""COMPUTED_VALUE"""),"Restaurar las señalizaciones que hay al interior del sendero. Son al menos 5.")</f>
        <v>Restaurar las señalizaciones que hay al interior del sendero. Son al menos 5.</v>
      </c>
      <c r="G2332" s="25" t="str">
        <f ca="1">IFERROR(__xludf.DUMMYFUNCTION("""COMPUTED_VALUE"""),"99. Distrito")</f>
        <v>99. Distrito</v>
      </c>
      <c r="H2332" s="55">
        <f ca="1">IFERROR(__xludf.DUMMYFUNCTION("""COMPUTED_VALUE"""),45107)</f>
        <v>45107</v>
      </c>
      <c r="I2332" s="25" t="str">
        <f ca="1">IFERROR(__xludf.DUMMYFUNCTION("""COMPUTED_VALUE"""),"Secretaría Privada")</f>
        <v>Secretaría Privada</v>
      </c>
      <c r="J2332" s="55" t="str">
        <f ca="1">IFERROR(__xludf.DUMMYFUNCTION("""COMPUTED_VALUE"""),"Baja")</f>
        <v>Baja</v>
      </c>
      <c r="K2332" s="25">
        <f ca="1">IFERROR(__xludf.DUMMYFUNCTION("""COMPUTED_VALUE"""),277)</f>
        <v>277</v>
      </c>
      <c r="L2332" s="62">
        <f ca="1">IFERROR(__xludf.DUMMYFUNCTION("""COMPUTED_VALUE"""),45044)</f>
        <v>45044</v>
      </c>
      <c r="M2332" s="25" t="str">
        <f ca="1">IFERROR(__xludf.DUMMYFUNCTION("""COMPUTED_VALUE"""),"Se iniciarán labores el 21/06/2023")</f>
        <v>Se iniciarán labores el 21/06/2023</v>
      </c>
      <c r="N2332" s="55">
        <f ca="1">IFERROR(__xludf.DUMMYFUNCTION("""COMPUTED_VALUE"""),45045)</f>
        <v>45045</v>
      </c>
      <c r="O2332" s="25" t="str">
        <f t="shared" ca="1" si="0"/>
        <v>Empresa de Acueducto y Alcantarillado de Bogotá</v>
      </c>
      <c r="P2332" s="25" t="str">
        <f t="shared" ca="1" si="2"/>
        <v/>
      </c>
      <c r="Q2332" s="25" t="str">
        <f ca="1">IFERROR(__xludf.DUMMYFUNCTION("""COMPUTED_VALUE"""),"Largo plazo")</f>
        <v>Largo plazo</v>
      </c>
      <c r="R2332" s="25"/>
      <c r="S2332" s="55"/>
      <c r="T2332" s="56"/>
      <c r="U2332" s="25"/>
      <c r="V2332" s="25"/>
      <c r="W2332" s="25"/>
      <c r="X2332" s="25"/>
      <c r="Y2332" s="25"/>
      <c r="Z2332" s="25"/>
    </row>
    <row r="2333" spans="1:26" ht="52.5" customHeight="1" x14ac:dyDescent="0.25">
      <c r="A2333" s="25" t="str">
        <f ca="1">IFERROR(__xludf.DUMMYFUNCTION("""COMPUTED_VALUE"""),"Hábit231")</f>
        <v>Hábit231</v>
      </c>
      <c r="B2333" s="25" t="str">
        <f ca="1">IFERROR(__xludf.DUMMYFUNCTION("""COMPUTED_VALUE"""),"Recorrido el Delirio")</f>
        <v>Recorrido el Delirio</v>
      </c>
      <c r="C2333" s="55">
        <f ca="1">IFERROR(__xludf.DUMMYFUNCTION("""COMPUTED_VALUE"""),44830)</f>
        <v>44830</v>
      </c>
      <c r="D2333" s="25" t="str">
        <f ca="1">IFERROR(__xludf.DUMMYFUNCTION("""COMPUTED_VALUE"""),"Hábitat")</f>
        <v>Hábitat</v>
      </c>
      <c r="E2333" s="25" t="str">
        <f ca="1">IFERROR(__xludf.DUMMYFUNCTION("""COMPUTED_VALUE"""),"Empresa de Acueducto y Alcantarillado de Bogotá")</f>
        <v>Empresa de Acueducto y Alcantarillado de Bogotá</v>
      </c>
      <c r="F2333" s="25" t="str">
        <f ca="1">IFERROR(__xludf.DUMMYFUNCTION("""COMPUTED_VALUE"""),"Quitar la cerca que divide predios al interior del sendero")</f>
        <v>Quitar la cerca que divide predios al interior del sendero</v>
      </c>
      <c r="G2333" s="25" t="str">
        <f ca="1">IFERROR(__xludf.DUMMYFUNCTION("""COMPUTED_VALUE"""),"99. Distrito")</f>
        <v>99. Distrito</v>
      </c>
      <c r="H2333" s="55">
        <f ca="1">IFERROR(__xludf.DUMMYFUNCTION("""COMPUTED_VALUE"""),45107)</f>
        <v>45107</v>
      </c>
      <c r="I2333" s="25" t="str">
        <f ca="1">IFERROR(__xludf.DUMMYFUNCTION("""COMPUTED_VALUE"""),"Secretaría Privada")</f>
        <v>Secretaría Privada</v>
      </c>
      <c r="J2333" s="55" t="str">
        <f ca="1">IFERROR(__xludf.DUMMYFUNCTION("""COMPUTED_VALUE"""),"Baja")</f>
        <v>Baja</v>
      </c>
      <c r="K2333" s="25">
        <f ca="1">IFERROR(__xludf.DUMMYFUNCTION("""COMPUTED_VALUE"""),277)</f>
        <v>277</v>
      </c>
      <c r="L2333" s="62">
        <f ca="1">IFERROR(__xludf.DUMMYFUNCTION("""COMPUTED_VALUE"""),45044)</f>
        <v>45044</v>
      </c>
      <c r="M2333" s="25" t="str">
        <f ca="1">IFERROR(__xludf.DUMMYFUNCTION("""COMPUTED_VALUE"""),"Se iniciarán labores el 21/06/2023")</f>
        <v>Se iniciarán labores el 21/06/2023</v>
      </c>
      <c r="N2333" s="55">
        <f ca="1">IFERROR(__xludf.DUMMYFUNCTION("""COMPUTED_VALUE"""),45044)</f>
        <v>45044</v>
      </c>
      <c r="O2333" s="25" t="str">
        <f t="shared" ca="1" si="0"/>
        <v>Empresa de Acueducto y Alcantarillado de Bogotá</v>
      </c>
      <c r="P2333" s="25" t="str">
        <f t="shared" ca="1" si="2"/>
        <v/>
      </c>
      <c r="Q2333" s="25" t="str">
        <f ca="1">IFERROR(__xludf.DUMMYFUNCTION("""COMPUTED_VALUE"""),"Largo plazo")</f>
        <v>Largo plazo</v>
      </c>
      <c r="R2333" s="25"/>
      <c r="S2333" s="55"/>
      <c r="T2333" s="56"/>
      <c r="U2333" s="25"/>
      <c r="V2333" s="25"/>
      <c r="W2333" s="25"/>
      <c r="X2333" s="25"/>
      <c r="Y2333" s="25"/>
      <c r="Z2333" s="25"/>
    </row>
    <row r="2334" spans="1:26" ht="52.5" customHeight="1" x14ac:dyDescent="0.25">
      <c r="A2334" s="25" t="str">
        <f ca="1">IFERROR(__xludf.DUMMYFUNCTION("""COMPUTED_VALUE"""),"Hábit232")</f>
        <v>Hábit232</v>
      </c>
      <c r="B2334" s="25" t="str">
        <f ca="1">IFERROR(__xludf.DUMMYFUNCTION("""COMPUTED_VALUE"""),"Recorrido el Delirio")</f>
        <v>Recorrido el Delirio</v>
      </c>
      <c r="C2334" s="55">
        <f ca="1">IFERROR(__xludf.DUMMYFUNCTION("""COMPUTED_VALUE"""),44830)</f>
        <v>44830</v>
      </c>
      <c r="D2334" s="25" t="str">
        <f ca="1">IFERROR(__xludf.DUMMYFUNCTION("""COMPUTED_VALUE"""),"Hábitat")</f>
        <v>Hábitat</v>
      </c>
      <c r="E2334" s="25" t="str">
        <f ca="1">IFERROR(__xludf.DUMMYFUNCTION("""COMPUTED_VALUE"""),"Empresa de Acueducto y Alcantarillado de Bogotá")</f>
        <v>Empresa de Acueducto y Alcantarillado de Bogotá</v>
      </c>
      <c r="F2334" s="25" t="str">
        <f ca="1">IFERROR(__xludf.DUMMYFUNCTION("""COMPUTED_VALUE"""),"Talar por completo el árbol que se encuentra al final del sendero ")</f>
        <v xml:space="preserve">Talar por completo el árbol que se encuentra al final del sendero </v>
      </c>
      <c r="G2334" s="25" t="str">
        <f ca="1">IFERROR(__xludf.DUMMYFUNCTION("""COMPUTED_VALUE"""),"99. Distrito")</f>
        <v>99. Distrito</v>
      </c>
      <c r="H2334" s="55">
        <f ca="1">IFERROR(__xludf.DUMMYFUNCTION("""COMPUTED_VALUE"""),45107)</f>
        <v>45107</v>
      </c>
      <c r="I2334" s="25" t="str">
        <f ca="1">IFERROR(__xludf.DUMMYFUNCTION("""COMPUTED_VALUE"""),"Secretaría Privada")</f>
        <v>Secretaría Privada</v>
      </c>
      <c r="J2334" s="55" t="str">
        <f ca="1">IFERROR(__xludf.DUMMYFUNCTION("""COMPUTED_VALUE"""),"Baja")</f>
        <v>Baja</v>
      </c>
      <c r="K2334" s="25">
        <f ca="1">IFERROR(__xludf.DUMMYFUNCTION("""COMPUTED_VALUE"""),277)</f>
        <v>277</v>
      </c>
      <c r="L2334" s="62">
        <f ca="1">IFERROR(__xludf.DUMMYFUNCTION("""COMPUTED_VALUE"""),45044)</f>
        <v>45044</v>
      </c>
      <c r="M2334" s="25" t="str">
        <f ca="1">IFERROR(__xludf.DUMMYFUNCTION("""COMPUTED_VALUE"""),"Se iniciarán labores el 21/06/2023")</f>
        <v>Se iniciarán labores el 21/06/2023</v>
      </c>
      <c r="N2334" s="55">
        <f ca="1">IFERROR(__xludf.DUMMYFUNCTION("""COMPUTED_VALUE"""),45044)</f>
        <v>45044</v>
      </c>
      <c r="O2334" s="25" t="str">
        <f t="shared" ca="1" si="0"/>
        <v>Empresa de Acueducto y Alcantarillado de Bogotá</v>
      </c>
      <c r="P2334" s="25" t="str">
        <f t="shared" ca="1" si="2"/>
        <v/>
      </c>
      <c r="Q2334" s="25" t="str">
        <f ca="1">IFERROR(__xludf.DUMMYFUNCTION("""COMPUTED_VALUE"""),"Largo plazo")</f>
        <v>Largo plazo</v>
      </c>
      <c r="R2334" s="25"/>
      <c r="S2334" s="55"/>
      <c r="T2334" s="56"/>
      <c r="U2334" s="25"/>
      <c r="V2334" s="25"/>
      <c r="W2334" s="25"/>
      <c r="X2334" s="25"/>
      <c r="Y2334" s="25"/>
      <c r="Z2334" s="25"/>
    </row>
    <row r="2335" spans="1:26" ht="52.5" customHeight="1" x14ac:dyDescent="0.25">
      <c r="A2335" s="25" t="str">
        <f ca="1">IFERROR(__xludf.DUMMYFUNCTION("""COMPUTED_VALUE"""),"Hábit233")</f>
        <v>Hábit233</v>
      </c>
      <c r="B2335" s="25" t="str">
        <f ca="1">IFERROR(__xludf.DUMMYFUNCTION("""COMPUTED_VALUE"""),"Comité gestión de riesgos")</f>
        <v>Comité gestión de riesgos</v>
      </c>
      <c r="C2335" s="55">
        <f ca="1">IFERROR(__xludf.DUMMYFUNCTION("""COMPUTED_VALUE"""),44824)</f>
        <v>44824</v>
      </c>
      <c r="D2335" s="25" t="str">
        <f ca="1">IFERROR(__xludf.DUMMYFUNCTION("""COMPUTED_VALUE"""),"Hábitat")</f>
        <v>Hábitat</v>
      </c>
      <c r="E2335" s="25" t="str">
        <f ca="1">IFERROR(__xludf.DUMMYFUNCTION("""COMPUTED_VALUE"""),"Unidad Administrativa Especial de Servicios Públicos")</f>
        <v>Unidad Administrativa Especial de Servicios Públicos</v>
      </c>
      <c r="F2335" s="25" t="str">
        <f ca="1">IFERROR(__xludf.DUMMYFUNCTION("""COMPUTED_VALUE"""),"Podar ciclorutas")</f>
        <v>Podar ciclorutas</v>
      </c>
      <c r="G2335" s="25" t="str">
        <f ca="1">IFERROR(__xludf.DUMMYFUNCTION("""COMPUTED_VALUE"""),"99. Distrito")</f>
        <v>99. Distrito</v>
      </c>
      <c r="H2335" s="55">
        <f ca="1">IFERROR(__xludf.DUMMYFUNCTION("""COMPUTED_VALUE"""),44854)</f>
        <v>44854</v>
      </c>
      <c r="I2335" s="25"/>
      <c r="J2335" s="55" t="str">
        <f ca="1">IFERROR(__xludf.DUMMYFUNCTION("""COMPUTED_VALUE"""),"Alta")</f>
        <v>Alta</v>
      </c>
      <c r="K2335" s="25">
        <f ca="1">IFERROR(__xludf.DUMMYFUNCTION("""COMPUTED_VALUE"""),30)</f>
        <v>30</v>
      </c>
      <c r="L2335" s="62"/>
      <c r="M2335" s="25"/>
      <c r="N2335" s="55">
        <f ca="1">IFERROR(__xludf.DUMMYFUNCTION("""COMPUTED_VALUE"""),44927)</f>
        <v>44927</v>
      </c>
      <c r="O2335" s="25" t="str">
        <f t="shared" ca="1" si="0"/>
        <v>Unidad Administrativa Especial de Servicios Públicos</v>
      </c>
      <c r="P2335" s="25" t="str">
        <f t="shared" si="2"/>
        <v/>
      </c>
      <c r="Q2335" s="25" t="str">
        <f ca="1">IFERROR(__xludf.DUMMYFUNCTION("""COMPUTED_VALUE"""),"Corto plazo")</f>
        <v>Corto plazo</v>
      </c>
      <c r="R2335" s="25"/>
      <c r="S2335" s="55"/>
      <c r="T2335" s="56"/>
      <c r="U2335" s="25"/>
      <c r="V2335" s="25"/>
      <c r="W2335" s="25"/>
      <c r="X2335" s="25"/>
      <c r="Y2335" s="25"/>
      <c r="Z2335" s="25"/>
    </row>
    <row r="2336" spans="1:26" ht="52.5" customHeight="1" x14ac:dyDescent="0.25">
      <c r="A2336" s="25" t="str">
        <f ca="1">IFERROR(__xludf.DUMMYFUNCTION("""COMPUTED_VALUE"""),"Hábit234")</f>
        <v>Hábit234</v>
      </c>
      <c r="B2336" s="25" t="str">
        <f ca="1">IFERROR(__xludf.DUMMYFUNCTION("""COMPUTED_VALUE"""),"Comité gestión de riesgos")</f>
        <v>Comité gestión de riesgos</v>
      </c>
      <c r="C2336" s="55">
        <f ca="1">IFERROR(__xludf.DUMMYFUNCTION("""COMPUTED_VALUE"""),44841)</f>
        <v>44841</v>
      </c>
      <c r="D2336" s="25" t="str">
        <f ca="1">IFERROR(__xludf.DUMMYFUNCTION("""COMPUTED_VALUE"""),"Hábitat")</f>
        <v>Hábitat</v>
      </c>
      <c r="E2336" s="25" t="str">
        <f ca="1">IFERROR(__xludf.DUMMYFUNCTION("""COMPUTED_VALUE"""),"Unidad Administrativa Especial de Servicios Públicos")</f>
        <v>Unidad Administrativa Especial de Servicios Públicos</v>
      </c>
      <c r="F2336" s="25" t="str">
        <f ca="1">IFERROR(__xludf.DUMMYFUNCTION("""COMPUTED_VALUE"""),"Intervención por la Cra 7 entre la 19 y la 24 (cruce de arbolado y cicloruta)")</f>
        <v>Intervención por la Cra 7 entre la 19 y la 24 (cruce de arbolado y cicloruta)</v>
      </c>
      <c r="G2336" s="25" t="str">
        <f ca="1">IFERROR(__xludf.DUMMYFUNCTION("""COMPUTED_VALUE"""),"99. Distrito")</f>
        <v>99. Distrito</v>
      </c>
      <c r="H2336" s="55">
        <f ca="1">IFERROR(__xludf.DUMMYFUNCTION("""COMPUTED_VALUE"""),44871)</f>
        <v>44871</v>
      </c>
      <c r="I2336" s="25"/>
      <c r="J2336" s="55" t="str">
        <f ca="1">IFERROR(__xludf.DUMMYFUNCTION("""COMPUTED_VALUE"""),"Alta")</f>
        <v>Alta</v>
      </c>
      <c r="K2336" s="25">
        <f ca="1">IFERROR(__xludf.DUMMYFUNCTION("""COMPUTED_VALUE"""),30)</f>
        <v>30</v>
      </c>
      <c r="L2336" s="62"/>
      <c r="M2336" s="25"/>
      <c r="N2336" s="55">
        <f ca="1">IFERROR(__xludf.DUMMYFUNCTION("""COMPUTED_VALUE"""),44927)</f>
        <v>44927</v>
      </c>
      <c r="O2336" s="25" t="str">
        <f t="shared" ca="1" si="0"/>
        <v>Unidad Administrativa Especial de Servicios Públicos</v>
      </c>
      <c r="P2336" s="25" t="str">
        <f t="shared" si="2"/>
        <v/>
      </c>
      <c r="Q2336" s="25" t="str">
        <f ca="1">IFERROR(__xludf.DUMMYFUNCTION("""COMPUTED_VALUE"""),"Corto plazo")</f>
        <v>Corto plazo</v>
      </c>
      <c r="R2336" s="25"/>
      <c r="S2336" s="55"/>
      <c r="T2336" s="56"/>
      <c r="U2336" s="25"/>
      <c r="V2336" s="25"/>
      <c r="W2336" s="25"/>
      <c r="X2336" s="25"/>
      <c r="Y2336" s="25"/>
      <c r="Z2336" s="25"/>
    </row>
    <row r="2337" spans="1:26" ht="52.5" customHeight="1" x14ac:dyDescent="0.25">
      <c r="A2337" s="25" t="str">
        <f ca="1">IFERROR(__xludf.DUMMYFUNCTION("""COMPUTED_VALUE"""),"Hábit235")</f>
        <v>Hábit235</v>
      </c>
      <c r="B2337" s="25" t="str">
        <f ca="1">IFERROR(__xludf.DUMMYFUNCTION("""COMPUTED_VALUE"""),"Mesa Planeación, Hábitat y Ambiente ")</f>
        <v xml:space="preserve">Mesa Planeación, Hábitat y Ambiente </v>
      </c>
      <c r="C2337" s="55">
        <f ca="1">IFERROR(__xludf.DUMMYFUNCTION("""COMPUTED_VALUE"""),44831)</f>
        <v>44831</v>
      </c>
      <c r="D2337" s="25" t="str">
        <f ca="1">IFERROR(__xludf.DUMMYFUNCTION("""COMPUTED_VALUE"""),"Hábitat")</f>
        <v>Hábitat</v>
      </c>
      <c r="E2337" s="25" t="str">
        <f ca="1">IFERROR(__xludf.DUMMYFUNCTION("""COMPUTED_VALUE"""),"Caja de Vivienda Popular")</f>
        <v>Caja de Vivienda Popular</v>
      </c>
      <c r="F2337" s="25" t="str">
        <f ca="1">IFERROR(__xludf.DUMMYFUNCTION("""COMPUTED_VALUE"""),"Realizar los reasentamientos requeridos que se encuentran ubicados al frente del mirador Entrenubes ")</f>
        <v xml:space="preserve">Realizar los reasentamientos requeridos que se encuentran ubicados al frente del mirador Entrenubes </v>
      </c>
      <c r="G2337" s="25" t="str">
        <f ca="1">IFERROR(__xludf.DUMMYFUNCTION("""COMPUTED_VALUE"""),"99. Distrito")</f>
        <v>99. Distrito</v>
      </c>
      <c r="H2337" s="55">
        <f ca="1">IFERROR(__xludf.DUMMYFUNCTION("""COMPUTED_VALUE"""),45184)</f>
        <v>45184</v>
      </c>
      <c r="I2337" s="25" t="str">
        <f ca="1">IFERROR(__xludf.DUMMYFUNCTION("""COMPUTED_VALUE"""),"Delivery Unit")</f>
        <v>Delivery Unit</v>
      </c>
      <c r="J2337" s="55" t="str">
        <f ca="1">IFERROR(__xludf.DUMMYFUNCTION("""COMPUTED_VALUE"""),"Media")</f>
        <v>Media</v>
      </c>
      <c r="K2337" s="25">
        <f ca="1">IFERROR(__xludf.DUMMYFUNCTION("""COMPUTED_VALUE"""),353)</f>
        <v>353</v>
      </c>
      <c r="L2337" s="62">
        <f ca="1">IFERROR(__xludf.DUMMYFUNCTION("""COMPUTED_VALUE"""),45077)</f>
        <v>45077</v>
      </c>
      <c r="M2337" s="25" t="str">
        <f ca="1">IFERROR(__xludf.DUMMYFUNCTION("""COMPUTED_VALUE"""),"La caja de Vivienda Popular a través de la dirección de reasentamientos adelanta seis procesos en el sector Tocaimita – Parque Entre Nubes, los cuales de acuerdo a la gestión realizada por el equipo interdisciplinario (técnico, social, jurídico y financie"&amp;"ro) en el año 2022, se encuentran en los siguientes estados: 1 proceso con entrega de alternativa habitacional en Proyecto Colores de Bolonia III – Localidad Usme se adelanta cierre del proceso, 1 Proceso con selección de alternativa habitacional en Proye"&amp;"cto Colores de Bolonia III – Localidad Usme en tramite de saneamiento del predio en alto riesgo cumplimiento de requisitos para entrega material, 2 procesos con estudio de documentos negativos del año 2018 por no evidenciar la habitabilidad del predio (1 "&amp;"tiene nueva ocupación), 1 predio con Titular del proceso fallecido y no se logró establecer contacto con hijos y 1 proceso con cierre administrativo por tratarse de un lote. Como se ha reiterado en múltiples ocasiones, para la CVP no es posible cerrar la "&amp;"presente tarea sin la voluntareidad de las familias, por ende, se solicita nuevamen te la extensión de la fecha de cierre, para dar tiempo a las familias de cumplir con los requisitos establecidos (5-5-2023).
Mayo 30
La familia debe enviar pruebas de habi"&amp;"tabilidad 
Y ya se venció y no trajeron nada, en documentos negativos en el momento de la notificación, se espera que las alleguen en el momento de la declaración de riesgo emitida por Idiger.
La primera se estregó en diciembre 2022
El segundo: ese proc"&amp;"eso estamos esperando para realizar si es procedente el ajuste del valor único de reconocimiento -VUR (es actualizarlo a 104.400)
Fallecido: más que el contrato es sucesión o herederos, para dar continuidad al proceso y si no reclaman, no tenemos a quien"&amp;" entregarles, ser requere que un  jurídico lo Avale ")</f>
        <v xml:space="preserve">La caja de Vivienda Popular a través de la dirección de reasentamientos adelanta seis procesos en el sector Tocaimita – Parque Entre Nubes, los cuales de acuerdo a la gestión realizada por el equipo interdisciplinario (técnico, social, jurídico y financiero) en el año 2022, se encuentran en los siguientes estados: 1 proceso con entrega de alternativa habitacional en Proyecto Colores de Bolonia III – Localidad Usme se adelanta cierre del proceso, 1 Proceso con selección de alternativa habitacional en Proyecto Colores de Bolonia III – Localidad Usme en tramite de saneamiento del predio en alto riesgo cumplimiento de requisitos para entrega material, 2 procesos con estudio de documentos negativos del año 2018 por no evidenciar la habitabilidad del predio (1 tiene nueva ocupación), 1 predio con Titular del proceso fallecido y no se logró establecer contacto con hijos y 1 proceso con cierre administrativo por tratarse de un lote. Como se ha reiterado en múltiples ocasiones, para la CVP no es posible cerrar la presente tarea sin la voluntareidad de las familias, por ende, se solicita nuevamen te la extensión de la fecha de cierre, para dar tiempo a las familias de cumplir con los requisitos establecidos (5-5-2023).
Mayo 30
La familia debe enviar pruebas de habitabilidad 
Y ya se venció y no trajeron nada, en documentos negativos en el momento de la notificación, se espera que las alleguen en el momento de la declaración de riesgo emitida por Idiger.
La primera se estregó en diciembre 2022
El segundo: ese proceso estamos esperando para realizar si es procedente el ajuste del valor único de reconocimiento -VUR (es actualizarlo a 104.400)
Fallecido: más que el contrato es sucesión o herederos, para dar continuidad al proceso y si no reclaman, no tenemos a quien entregarles, ser requere que un  jurídico lo Avale </v>
      </c>
      <c r="N2337" s="25"/>
      <c r="O2337" s="25" t="str">
        <f t="shared" ca="1" si="0"/>
        <v>Caja de Vivienda Popular</v>
      </c>
      <c r="P2337" s="25" t="str">
        <f t="shared" ca="1" si="2"/>
        <v/>
      </c>
      <c r="Q2337" s="25" t="str">
        <f ca="1">IFERROR(__xludf.DUMMYFUNCTION("""COMPUTED_VALUE"""),"Largo plazo")</f>
        <v>Largo plazo</v>
      </c>
      <c r="R2337" s="25"/>
      <c r="S2337" s="55"/>
      <c r="T2337" s="56"/>
      <c r="U2337" s="25"/>
      <c r="V2337" s="25"/>
      <c r="W2337" s="25"/>
      <c r="X2337" s="25"/>
      <c r="Y2337" s="25"/>
      <c r="Z2337" s="25"/>
    </row>
    <row r="2338" spans="1:26" ht="52.5" customHeight="1" x14ac:dyDescent="0.25">
      <c r="A2338" s="25" t="str">
        <f ca="1">IFERROR(__xludf.DUMMYFUNCTION("""COMPUTED_VALUE"""),"Hábit236")</f>
        <v>Hábit236</v>
      </c>
      <c r="B2338" s="25" t="str">
        <f ca="1">IFERROR(__xludf.DUMMYFUNCTION("""COMPUTED_VALUE"""),"Mesa Planeación, Hábitat y Ambiente ")</f>
        <v xml:space="preserve">Mesa Planeación, Hábitat y Ambiente </v>
      </c>
      <c r="C2338" s="55">
        <f ca="1">IFERROR(__xludf.DUMMYFUNCTION("""COMPUTED_VALUE"""),44831)</f>
        <v>44831</v>
      </c>
      <c r="D2338" s="25" t="str">
        <f ca="1">IFERROR(__xludf.DUMMYFUNCTION("""COMPUTED_VALUE"""),"Hábitat")</f>
        <v>Hábitat</v>
      </c>
      <c r="E2338" s="25" t="str">
        <f ca="1">IFERROR(__xludf.DUMMYFUNCTION("""COMPUTED_VALUE"""),"Empresa de Acueducto y Alcantarillado de Bogotá")</f>
        <v>Empresa de Acueducto y Alcantarillado de Bogotá</v>
      </c>
      <c r="F2338" s="25" t="str">
        <f ca="1">IFERROR(__xludf.DUMMYFUNCTION("""COMPUTED_VALUE"""),"En Tunjuelo – EAAB debe limpiar el predio y recoger todos los residuos con su maquinaria y personal. La UAESP ya realizó una parte del predio.")</f>
        <v>En Tunjuelo – EAAB debe limpiar el predio y recoger todos los residuos con su maquinaria y personal. La UAESP ya realizó una parte del predio.</v>
      </c>
      <c r="G2338" s="25" t="str">
        <f ca="1">IFERROR(__xludf.DUMMYFUNCTION("""COMPUTED_VALUE"""),"99. Distrito")</f>
        <v>99. Distrito</v>
      </c>
      <c r="H2338" s="55">
        <f ca="1">IFERROR(__xludf.DUMMYFUNCTION("""COMPUTED_VALUE"""),45016)</f>
        <v>45016</v>
      </c>
      <c r="I2338" s="25"/>
      <c r="J2338" s="55" t="str">
        <f ca="1">IFERROR(__xludf.DUMMYFUNCTION("""COMPUTED_VALUE"""),"Baja")</f>
        <v>Baja</v>
      </c>
      <c r="K2338" s="25">
        <f ca="1">IFERROR(__xludf.DUMMYFUNCTION("""COMPUTED_VALUE"""),185)</f>
        <v>185</v>
      </c>
      <c r="L2338" s="62">
        <f ca="1">IFERROR(__xludf.DUMMYFUNCTION("""COMPUTED_VALUE"""),44956)</f>
        <v>44956</v>
      </c>
      <c r="M2338" s="25" t="str">
        <f ca="1">IFERROR(__xludf.DUMMYFUNCTION("""COMPUTED_VALUE"""),"El 10 de diciembre se terminaron de recuperar los predios de la EAAB-ESP y se sembraron 25 árboles. Los predios restantes son del IDU. el Jardín Botanico debe realizar el diseño pasajistico en esos predios y definir quien implementa la siemra")</f>
        <v>El 10 de diciembre se terminaron de recuperar los predios de la EAAB-ESP y se sembraron 25 árboles. Los predios restantes son del IDU. el Jardín Botanico debe realizar el diseño pasajistico en esos predios y definir quien implementa la siemra</v>
      </c>
      <c r="N2338" s="55">
        <f ca="1">IFERROR(__xludf.DUMMYFUNCTION("""COMPUTED_VALUE"""),44956)</f>
        <v>44956</v>
      </c>
      <c r="O2338" s="25" t="str">
        <f t="shared" ca="1" si="0"/>
        <v>Empresa de Acueducto y Alcantarillado de Bogotá</v>
      </c>
      <c r="P2338" s="25" t="str">
        <f t="shared" si="2"/>
        <v/>
      </c>
      <c r="Q2338" s="25" t="str">
        <f ca="1">IFERROR(__xludf.DUMMYFUNCTION("""COMPUTED_VALUE"""),"Largo plazo")</f>
        <v>Largo plazo</v>
      </c>
      <c r="R2338" s="25"/>
      <c r="S2338" s="55"/>
      <c r="T2338" s="56"/>
      <c r="U2338" s="25"/>
      <c r="V2338" s="25"/>
      <c r="W2338" s="25"/>
      <c r="X2338" s="25"/>
      <c r="Y2338" s="25"/>
      <c r="Z2338" s="25"/>
    </row>
    <row r="2339" spans="1:26" ht="52.5" customHeight="1" x14ac:dyDescent="0.25">
      <c r="A2339" s="25" t="str">
        <f ca="1">IFERROR(__xludf.DUMMYFUNCTION("""COMPUTED_VALUE"""),"Hábit237")</f>
        <v>Hábit237</v>
      </c>
      <c r="B2339" s="25" t="str">
        <f ca="1">IFERROR(__xludf.DUMMYFUNCTION("""COMPUTED_VALUE"""),"Mesa Planeación, Hábitat y Ambiente ")</f>
        <v xml:space="preserve">Mesa Planeación, Hábitat y Ambiente </v>
      </c>
      <c r="C2339" s="55">
        <f ca="1">IFERROR(__xludf.DUMMYFUNCTION("""COMPUTED_VALUE"""),44831)</f>
        <v>44831</v>
      </c>
      <c r="D2339" s="25" t="str">
        <f ca="1">IFERROR(__xludf.DUMMYFUNCTION("""COMPUTED_VALUE"""),"Hábitat")</f>
        <v>Hábitat</v>
      </c>
      <c r="E2339" s="25" t="str">
        <f ca="1">IFERROR(__xludf.DUMMYFUNCTION("""COMPUTED_VALUE"""),"Empresa de Acueducto y Alcantarillado de Bogotá")</f>
        <v>Empresa de Acueducto y Alcantarillado de Bogotá</v>
      </c>
      <c r="F2339" s="25" t="str">
        <f ca="1">IFERROR(__xludf.DUMMYFUNCTION("""COMPUTED_VALUE"""),"Ajustar la señalización en el Delirio y los demás senderos como en Guadalupe Aguanoso y la BiciRegión, donde se tienen códigos QR con la información que se puede ampliar ")</f>
        <v xml:space="preserve">Ajustar la señalización en el Delirio y los demás senderos como en Guadalupe Aguanoso y la BiciRegión, donde se tienen códigos QR con la información que se puede ampliar </v>
      </c>
      <c r="G2339" s="25" t="str">
        <f ca="1">IFERROR(__xludf.DUMMYFUNCTION("""COMPUTED_VALUE"""),"99. Distrito")</f>
        <v>99. Distrito</v>
      </c>
      <c r="H2339" s="55">
        <f ca="1">IFERROR(__xludf.DUMMYFUNCTION("""COMPUTED_VALUE"""),44861)</f>
        <v>44861</v>
      </c>
      <c r="I2339" s="25"/>
      <c r="J2339" s="55" t="str">
        <f ca="1">IFERROR(__xludf.DUMMYFUNCTION("""COMPUTED_VALUE"""),"Alta")</f>
        <v>Alta</v>
      </c>
      <c r="K2339" s="25">
        <f ca="1">IFERROR(__xludf.DUMMYFUNCTION("""COMPUTED_VALUE"""),30)</f>
        <v>30</v>
      </c>
      <c r="L2339" s="62">
        <f ca="1">IFERROR(__xludf.DUMMYFUNCTION("""COMPUTED_VALUE"""),44956)</f>
        <v>44956</v>
      </c>
      <c r="M2339" s="25"/>
      <c r="N2339" s="55">
        <f ca="1">IFERROR(__xludf.DUMMYFUNCTION("""COMPUTED_VALUE"""),44927)</f>
        <v>44927</v>
      </c>
      <c r="O2339" s="25" t="str">
        <f t="shared" ca="1" si="0"/>
        <v>Empresa de Acueducto y Alcantarillado de Bogotá</v>
      </c>
      <c r="P2339" s="25" t="str">
        <f t="shared" si="2"/>
        <v/>
      </c>
      <c r="Q2339" s="25" t="str">
        <f ca="1">IFERROR(__xludf.DUMMYFUNCTION("""COMPUTED_VALUE"""),"Corto plazo")</f>
        <v>Corto plazo</v>
      </c>
      <c r="R2339" s="25"/>
      <c r="S2339" s="55"/>
      <c r="T2339" s="56"/>
      <c r="U2339" s="25"/>
      <c r="V2339" s="25"/>
      <c r="W2339" s="25"/>
      <c r="X2339" s="25"/>
      <c r="Y2339" s="25"/>
      <c r="Z2339" s="25"/>
    </row>
    <row r="2340" spans="1:26" ht="52.5" customHeight="1" x14ac:dyDescent="0.25">
      <c r="A2340" s="25" t="str">
        <f ca="1">IFERROR(__xludf.DUMMYFUNCTION("""COMPUTED_VALUE"""),"Hábit238")</f>
        <v>Hábit238</v>
      </c>
      <c r="B2340" s="25" t="str">
        <f ca="1">IFERROR(__xludf.DUMMYFUNCTION("""COMPUTED_VALUE"""),"AE – Ciudadela Educativa y del Cuidado")</f>
        <v>AE – Ciudadela Educativa y del Cuidado</v>
      </c>
      <c r="C2340" s="55">
        <f ca="1">IFERROR(__xludf.DUMMYFUNCTION("""COMPUTED_VALUE"""),44875)</f>
        <v>44875</v>
      </c>
      <c r="D2340" s="25" t="str">
        <f ca="1">IFERROR(__xludf.DUMMYFUNCTION("""COMPUTED_VALUE"""),"Hábitat")</f>
        <v>Hábitat</v>
      </c>
      <c r="E2340" s="25" t="str">
        <f ca="1">IFERROR(__xludf.DUMMYFUNCTION("""COMPUTED_VALUE"""),"Secretaría Distrital del Hábitat")</f>
        <v>Secretaría Distrital del Hábitat</v>
      </c>
      <c r="F2340" s="25" t="str">
        <f ca="1">IFERROR(__xludf.DUMMYFUNCTION("""COMPUTED_VALUE"""),"Incluir en la AE el suelo correspondiente a la reserva vial de la ALO NORTE desde el Humedal Juan Amarillo a la Calle 80. En esta zona se deben generar usos rentables.")</f>
        <v>Incluir en la AE el suelo correspondiente a la reserva vial de la ALO NORTE desde el Humedal Juan Amarillo a la Calle 80. En esta zona se deben generar usos rentables.</v>
      </c>
      <c r="G2340" s="25" t="str">
        <f ca="1">IFERROR(__xludf.DUMMYFUNCTION("""COMPUTED_VALUE"""),"99. Distrito")</f>
        <v>99. Distrito</v>
      </c>
      <c r="H2340" s="55">
        <f ca="1">IFERROR(__xludf.DUMMYFUNCTION("""COMPUTED_VALUE"""),44905)</f>
        <v>44905</v>
      </c>
      <c r="I2340" s="25"/>
      <c r="J2340" s="55" t="str">
        <f ca="1">IFERROR(__xludf.DUMMYFUNCTION("""COMPUTED_VALUE"""),"Alta")</f>
        <v>Alta</v>
      </c>
      <c r="K2340" s="25">
        <f ca="1">IFERROR(__xludf.DUMMYFUNCTION("""COMPUTED_VALUE"""),30)</f>
        <v>30</v>
      </c>
      <c r="L2340" s="62"/>
      <c r="M2340" s="25"/>
      <c r="N2340" s="55">
        <f ca="1">IFERROR(__xludf.DUMMYFUNCTION("""COMPUTED_VALUE"""),44927)</f>
        <v>44927</v>
      </c>
      <c r="O2340" s="25" t="str">
        <f t="shared" ca="1" si="0"/>
        <v>Secretaría Distrital del Hábitat</v>
      </c>
      <c r="P2340" s="25" t="str">
        <f t="shared" si="2"/>
        <v/>
      </c>
      <c r="Q2340" s="25" t="str">
        <f ca="1">IFERROR(__xludf.DUMMYFUNCTION("""COMPUTED_VALUE"""),"Corto plazo")</f>
        <v>Corto plazo</v>
      </c>
      <c r="R2340" s="25"/>
      <c r="S2340" s="55"/>
      <c r="T2340" s="56"/>
      <c r="U2340" s="25"/>
      <c r="V2340" s="25"/>
      <c r="W2340" s="25"/>
      <c r="X2340" s="25"/>
      <c r="Y2340" s="25"/>
      <c r="Z2340" s="25"/>
    </row>
    <row r="2341" spans="1:26" ht="52.5" customHeight="1" x14ac:dyDescent="0.25">
      <c r="A2341" s="25" t="str">
        <f ca="1">IFERROR(__xludf.DUMMYFUNCTION("""COMPUTED_VALUE"""),"Hábit239")</f>
        <v>Hábit239</v>
      </c>
      <c r="B2341" s="25" t="str">
        <f ca="1">IFERROR(__xludf.DUMMYFUNCTION("""COMPUTED_VALUE"""),"Modelo basuras ")</f>
        <v xml:space="preserve">Modelo basuras </v>
      </c>
      <c r="C2341" s="55">
        <f ca="1">IFERROR(__xludf.DUMMYFUNCTION("""COMPUTED_VALUE"""),44868)</f>
        <v>44868</v>
      </c>
      <c r="D2341" s="25" t="str">
        <f ca="1">IFERROR(__xludf.DUMMYFUNCTION("""COMPUTED_VALUE"""),"Hábitat")</f>
        <v>Hábitat</v>
      </c>
      <c r="E2341" s="25" t="str">
        <f ca="1">IFERROR(__xludf.DUMMYFUNCTION("""COMPUTED_VALUE"""),"Unidad Administrativa Especial de Servicios Públicos")</f>
        <v>Unidad Administrativa Especial de Servicios Públicos</v>
      </c>
      <c r="F2341" s="25" t="str">
        <f ca="1">IFERROR(__xludf.DUMMYFUNCTION("""COMPUTED_VALUE"""),"Identificar de las fuentes estratégicas (Recolección de Arrojo clandestino, grandes generadores, barrido de calles, operativos especiales, poda de árboles y corte de césped y otros) y definir cuántos residuos son de origen: orgánicos, construcción, Materi"&amp;"al reciclable, etc.; e iniciar con ese universo un piloto para el modelo planteado respecto a recolección, disposición y procesamiento separado. ")</f>
        <v xml:space="preserve">Identificar de las fuentes estratégicas (Recolección de Arrojo clandestino, grandes generadores, barrido de calles, operativos especiales, poda de árboles y corte de césped y otros) y definir cuántos residuos son de origen: orgánicos, construcción, Material reciclable, etc.; e iniciar con ese universo un piloto para el modelo planteado respecto a recolección, disposición y procesamiento separado. </v>
      </c>
      <c r="G2341" s="25" t="str">
        <f ca="1">IFERROR(__xludf.DUMMYFUNCTION("""COMPUTED_VALUE"""),"99. Distrito")</f>
        <v>99. Distrito</v>
      </c>
      <c r="H2341" s="55">
        <f ca="1">IFERROR(__xludf.DUMMYFUNCTION("""COMPUTED_VALUE"""),44972)</f>
        <v>44972</v>
      </c>
      <c r="I2341" s="25" t="str">
        <f ca="1">IFERROR(__xludf.DUMMYFUNCTION("""COMPUTED_VALUE"""),"Delivery Unit")</f>
        <v>Delivery Unit</v>
      </c>
      <c r="J2341" s="55" t="str">
        <f ca="1">IFERROR(__xludf.DUMMYFUNCTION("""COMPUTED_VALUE"""),"Media")</f>
        <v>Media</v>
      </c>
      <c r="K2341" s="25">
        <f ca="1">IFERROR(__xludf.DUMMYFUNCTION("""COMPUTED_VALUE"""),104)</f>
        <v>104</v>
      </c>
      <c r="L2341" s="62">
        <f ca="1">IFERROR(__xludf.DUMMYFUNCTION("""COMPUTED_VALUE"""),45077)</f>
        <v>45077</v>
      </c>
      <c r="M2341" s="25" t="str">
        <f ca="1">IFERROR(__xludf.DUMMYFUNCTION("""COMPUTED_VALUE"""),"En la vigencia 2022 fueron elaborados los documentos precontractuales para la contratación de la caracterización de los residuos en los puntos críticos, sin embargo la Subdirección de Aprovechamiento no cuenta con los recursos para adelantar esta contrata"&amp;"ción.  Teniendo encuenta lo anterior, se sugiere muy respetuosamente cerrar el compromiso. 
 Se remite proyecto de oficio informando los análisis que se han realizado desde la Subdirección RBL para modelos de gestión por corriente de residuos. Se solicit"&amp;"a el cierre de la tarea hasta tanto se tenga definido el sistema de tratamiento o disposición diferenciada. ")</f>
        <v xml:space="preserve">En la vigencia 2022 fueron elaborados los documentos precontractuales para la contratación de la caracterización de los residuos en los puntos críticos, sin embargo la Subdirección de Aprovechamiento no cuenta con los recursos para adelantar esta contratación.  Teniendo encuenta lo anterior, se sugiere muy respetuosamente cerrar el compromiso. 
 Se remite proyecto de oficio informando los análisis que se han realizado desde la Subdirección RBL para modelos de gestión por corriente de residuos. Se solicita el cierre de la tarea hasta tanto se tenga definido el sistema de tratamiento o disposición diferenciada. </v>
      </c>
      <c r="N2341" s="25"/>
      <c r="O2341" s="25" t="str">
        <f t="shared" ca="1" si="0"/>
        <v>Unidad Administrativa Especial de Servicios Públicos</v>
      </c>
      <c r="P2341" s="25" t="str">
        <f t="shared" ca="1" si="2"/>
        <v/>
      </c>
      <c r="Q2341" s="25" t="str">
        <f ca="1">IFERROR(__xludf.DUMMYFUNCTION("""COMPUTED_VALUE"""),"Mediano plazo")</f>
        <v>Mediano plazo</v>
      </c>
      <c r="R2341" s="25"/>
      <c r="S2341" s="55"/>
      <c r="T2341" s="56"/>
      <c r="U2341" s="25"/>
      <c r="V2341" s="25"/>
      <c r="W2341" s="25"/>
      <c r="X2341" s="25"/>
      <c r="Y2341" s="25"/>
      <c r="Z2341" s="25"/>
    </row>
    <row r="2342" spans="1:26" ht="52.5" customHeight="1" x14ac:dyDescent="0.25">
      <c r="A2342" s="25" t="str">
        <f ca="1">IFERROR(__xludf.DUMMYFUNCTION("""COMPUTED_VALUE"""),"Hábit240")</f>
        <v>Hábit240</v>
      </c>
      <c r="B2342" s="25" t="str">
        <f ca="1">IFERROR(__xludf.DUMMYFUNCTION("""COMPUTED_VALUE"""),"Modelo basuras ")</f>
        <v xml:space="preserve">Modelo basuras </v>
      </c>
      <c r="C2342" s="55">
        <f ca="1">IFERROR(__xludf.DUMMYFUNCTION("""COMPUTED_VALUE"""),44868)</f>
        <v>44868</v>
      </c>
      <c r="D2342" s="25" t="str">
        <f ca="1">IFERROR(__xludf.DUMMYFUNCTION("""COMPUTED_VALUE"""),"Hábitat")</f>
        <v>Hábitat</v>
      </c>
      <c r="E2342" s="25" t="str">
        <f ca="1">IFERROR(__xludf.DUMMYFUNCTION("""COMPUTED_VALUE"""),"Unidad Administrativa Especial de Servicios Públicos")</f>
        <v>Unidad Administrativa Especial de Servicios Públicos</v>
      </c>
      <c r="F2342" s="25" t="str">
        <f ca="1">IFERROR(__xludf.DUMMYFUNCTION("""COMPUTED_VALUE"""),"Iniciar la implementación de los biodigestores de 3 toneladas para plazas de mercado (20) con IPES y revisar con sitios de distribución de alimentos (CODABAS y CORABASTOS) y Centros comerciales. Reunirse con la empresa Vanti para iniciar en 2023.")</f>
        <v>Iniciar la implementación de los biodigestores de 3 toneladas para plazas de mercado (20) con IPES y revisar con sitios de distribución de alimentos (CODABAS y CORABASTOS) y Centros comerciales. Reunirse con la empresa Vanti para iniciar en 2023.</v>
      </c>
      <c r="G2342" s="25" t="str">
        <f ca="1">IFERROR(__xludf.DUMMYFUNCTION("""COMPUTED_VALUE"""),"99. Distrito")</f>
        <v>99. Distrito</v>
      </c>
      <c r="H2342" s="55">
        <f ca="1">IFERROR(__xludf.DUMMYFUNCTION("""COMPUTED_VALUE"""),45061)</f>
        <v>45061</v>
      </c>
      <c r="I2342" s="25" t="str">
        <f ca="1">IFERROR(__xludf.DUMMYFUNCTION("""COMPUTED_VALUE"""),"Delivery Unit")</f>
        <v>Delivery Unit</v>
      </c>
      <c r="J2342" s="55" t="str">
        <f ca="1">IFERROR(__xludf.DUMMYFUNCTION("""COMPUTED_VALUE"""),"Media")</f>
        <v>Media</v>
      </c>
      <c r="K2342" s="25">
        <f ca="1">IFERROR(__xludf.DUMMYFUNCTION("""COMPUTED_VALUE"""),193)</f>
        <v>193</v>
      </c>
      <c r="L2342" s="62">
        <f ca="1">IFERROR(__xludf.DUMMYFUNCTION("""COMPUTED_VALUE"""),45077)</f>
        <v>45077</v>
      </c>
      <c r="M2342" s="25" t="str">
        <f ca="1">IFERROR(__xludf.DUMMYFUNCTION("""COMPUTED_VALUE"""),"En el marco del contrato UAESP-843-2022 con Aguas de Bogotá SA ESP para la implementación de procesos sostenibles de tratamiento de residuos sólidos, fomentando la cultura ciudadana para transformar hábitos en la gestión de estos residuos, en el marco del"&amp;" nuevo modelo de gestión de residuos sólidos en Bogotá D.C., se realizarán los estudios de factibilidad e ingeniería de detalle para un biodigestor en el Aeropuerto El Dorado. En este periodo se realizaron los primeros acercamientos y se realizó una reuni"&amp;"ón formal con OPAIN, concesionario del Aeropuerto y se programó visita técnica de reconocimiento.")</f>
        <v>En el marco del contrato UAESP-843-2022 con Aguas de Bogotá SA ESP para la implementación de procesos sostenibles de tratamiento de residuos sólidos, fomentando la cultura ciudadana para transformar hábitos en la gestión de estos residuos, en el marco del nuevo modelo de gestión de residuos sólidos en Bogotá D.C., se realizarán los estudios de factibilidad e ingeniería de detalle para un biodigestor en el Aeropuerto El Dorado. En este periodo se realizaron los primeros acercamientos y se realizó una reunión formal con OPAIN, concesionario del Aeropuerto y se programó visita técnica de reconocimiento.</v>
      </c>
      <c r="N2342" s="25"/>
      <c r="O2342" s="25" t="str">
        <f t="shared" ca="1" si="0"/>
        <v>Unidad Administrativa Especial de Servicios Públicos</v>
      </c>
      <c r="P2342" s="25" t="str">
        <f t="shared" ca="1" si="2"/>
        <v/>
      </c>
      <c r="Q2342" s="25" t="str">
        <f ca="1">IFERROR(__xludf.DUMMYFUNCTION("""COMPUTED_VALUE"""),"Largo plazo")</f>
        <v>Largo plazo</v>
      </c>
      <c r="R2342" s="25"/>
      <c r="S2342" s="55"/>
      <c r="T2342" s="56"/>
      <c r="U2342" s="25"/>
      <c r="V2342" s="25"/>
      <c r="W2342" s="25"/>
      <c r="X2342" s="25"/>
      <c r="Y2342" s="25"/>
      <c r="Z2342" s="25"/>
    </row>
    <row r="2343" spans="1:26" ht="52.5" customHeight="1" x14ac:dyDescent="0.25">
      <c r="A2343" s="25" t="str">
        <f ca="1">IFERROR(__xludf.DUMMYFUNCTION("""COMPUTED_VALUE"""),"Hábit241")</f>
        <v>Hábit241</v>
      </c>
      <c r="B2343" s="25" t="str">
        <f ca="1">IFERROR(__xludf.DUMMYFUNCTION("""COMPUTED_VALUE"""),"Modelo basuras ")</f>
        <v xml:space="preserve">Modelo basuras </v>
      </c>
      <c r="C2343" s="55">
        <f ca="1">IFERROR(__xludf.DUMMYFUNCTION("""COMPUTED_VALUE"""),44868)</f>
        <v>44868</v>
      </c>
      <c r="D2343" s="25" t="str">
        <f ca="1">IFERROR(__xludf.DUMMYFUNCTION("""COMPUTED_VALUE"""),"Hábitat")</f>
        <v>Hábitat</v>
      </c>
      <c r="E2343" s="25" t="str">
        <f ca="1">IFERROR(__xludf.DUMMYFUNCTION("""COMPUTED_VALUE"""),"Unidad Administrativa Especial de Servicios Públicos")</f>
        <v>Unidad Administrativa Especial de Servicios Públicos</v>
      </c>
      <c r="F2343" s="25" t="str">
        <f ca="1">IFERROR(__xludf.DUMMYFUNCTION("""COMPUTED_VALUE"""),"Realizar la comparación del costo-beneficio-eficiencia respecto a comprar/utilizar composteras o biodigestores")</f>
        <v>Realizar la comparación del costo-beneficio-eficiencia respecto a comprar/utilizar composteras o biodigestores</v>
      </c>
      <c r="G2343" s="25" t="str">
        <f ca="1">IFERROR(__xludf.DUMMYFUNCTION("""COMPUTED_VALUE"""),"99. Distrito")</f>
        <v>99. Distrito</v>
      </c>
      <c r="H2343" s="55">
        <f ca="1">IFERROR(__xludf.DUMMYFUNCTION("""COMPUTED_VALUE"""),45061)</f>
        <v>45061</v>
      </c>
      <c r="I2343" s="25" t="str">
        <f ca="1">IFERROR(__xludf.DUMMYFUNCTION("""COMPUTED_VALUE"""),"Delivery Unit")</f>
        <v>Delivery Unit</v>
      </c>
      <c r="J2343" s="55" t="str">
        <f ca="1">IFERROR(__xludf.DUMMYFUNCTION("""COMPUTED_VALUE"""),"Media")</f>
        <v>Media</v>
      </c>
      <c r="K2343" s="25">
        <f ca="1">IFERROR(__xludf.DUMMYFUNCTION("""COMPUTED_VALUE"""),193)</f>
        <v>193</v>
      </c>
      <c r="L2343" s="62">
        <f ca="1">IFERROR(__xludf.DUMMYFUNCTION("""COMPUTED_VALUE"""),45077)</f>
        <v>45077</v>
      </c>
      <c r="M2343" s="25" t="str">
        <f ca="1">IFERROR(__xludf.DUMMYFUNCTION("""COMPUTED_VALUE"""),"Se revisó la metodología multicriterio elaborada por Aguas de Bogotá para la selección de tecnología, proveedores y beneficiarios de las soluciones de tratamiento insitu de residuos orgánicos, a través del contrato UAESP-843-2022. Actualmente se encuentra"&amp;"n realizando los ajustes respectivos.")</f>
        <v>Se revisó la metodología multicriterio elaborada por Aguas de Bogotá para la selección de tecnología, proveedores y beneficiarios de las soluciones de tratamiento insitu de residuos orgánicos, a través del contrato UAESP-843-2022. Actualmente se encuentran realizando los ajustes respectivos.</v>
      </c>
      <c r="N2343" s="25"/>
      <c r="O2343" s="25" t="str">
        <f t="shared" ca="1" si="0"/>
        <v>Unidad Administrativa Especial de Servicios Públicos</v>
      </c>
      <c r="P2343" s="25" t="str">
        <f t="shared" ca="1" si="2"/>
        <v/>
      </c>
      <c r="Q2343" s="25" t="str">
        <f ca="1">IFERROR(__xludf.DUMMYFUNCTION("""COMPUTED_VALUE"""),"Largo plazo")</f>
        <v>Largo plazo</v>
      </c>
      <c r="R2343" s="25"/>
      <c r="S2343" s="55"/>
      <c r="T2343" s="56"/>
      <c r="U2343" s="25"/>
      <c r="V2343" s="25"/>
      <c r="W2343" s="25"/>
      <c r="X2343" s="25"/>
      <c r="Y2343" s="25"/>
      <c r="Z2343" s="25"/>
    </row>
    <row r="2344" spans="1:26" ht="52.5" customHeight="1" x14ac:dyDescent="0.25">
      <c r="A2344" s="25" t="str">
        <f ca="1">IFERROR(__xludf.DUMMYFUNCTION("""COMPUTED_VALUE"""),"Hábit242")</f>
        <v>Hábit242</v>
      </c>
      <c r="B2344" s="25" t="str">
        <f ca="1">IFERROR(__xludf.DUMMYFUNCTION("""COMPUTED_VALUE"""),"Modelo basuras ")</f>
        <v xml:space="preserve">Modelo basuras </v>
      </c>
      <c r="C2344" s="55">
        <f ca="1">IFERROR(__xludf.DUMMYFUNCTION("""COMPUTED_VALUE"""),44868)</f>
        <v>44868</v>
      </c>
      <c r="D2344" s="25" t="str">
        <f ca="1">IFERROR(__xludf.DUMMYFUNCTION("""COMPUTED_VALUE"""),"Hábitat")</f>
        <v>Hábitat</v>
      </c>
      <c r="E2344" s="25" t="str">
        <f ca="1">IFERROR(__xludf.DUMMYFUNCTION("""COMPUTED_VALUE"""),"Unidad Administrativa Especial de Servicios Públicos")</f>
        <v>Unidad Administrativa Especial de Servicios Públicos</v>
      </c>
      <c r="F2344" s="25" t="str">
        <f ca="1">IFERROR(__xludf.DUMMYFUNCTION("""COMPUTED_VALUE"""),"Se debe identificar sitio en el noroccidente para la planta de clasificación (entre Cota y Suba). El suroccidente ya cuenta con Doña Juana para esta actividad.")</f>
        <v>Se debe identificar sitio en el noroccidente para la planta de clasificación (entre Cota y Suba). El suroccidente ya cuenta con Doña Juana para esta actividad.</v>
      </c>
      <c r="G2344" s="25" t="str">
        <f ca="1">IFERROR(__xludf.DUMMYFUNCTION("""COMPUTED_VALUE"""),"99. Distrito")</f>
        <v>99. Distrito</v>
      </c>
      <c r="H2344" s="55">
        <f ca="1">IFERROR(__xludf.DUMMYFUNCTION("""COMPUTED_VALUE"""),45017)</f>
        <v>45017</v>
      </c>
      <c r="I2344" s="25" t="str">
        <f ca="1">IFERROR(__xludf.DUMMYFUNCTION("""COMPUTED_VALUE"""),"Delivery Unit")</f>
        <v>Delivery Unit</v>
      </c>
      <c r="J2344" s="55" t="str">
        <f ca="1">IFERROR(__xludf.DUMMYFUNCTION("""COMPUTED_VALUE"""),"Media")</f>
        <v>Media</v>
      </c>
      <c r="K2344" s="25">
        <f ca="1">IFERROR(__xludf.DUMMYFUNCTION("""COMPUTED_VALUE"""),149)</f>
        <v>149</v>
      </c>
      <c r="L2344" s="62">
        <f ca="1">IFERROR(__xludf.DUMMYFUNCTION("""COMPUTED_VALUE"""),45077)</f>
        <v>45077</v>
      </c>
      <c r="M2344" s="25" t="str">
        <f ca="1">IFERROR(__xludf.DUMMYFUNCTION("""COMPUTED_VALUE"""),"De acuerdo con la planificación financiera de la entidad, no se destinaron los recursos para la elaboración de un estudio de alternativas y localización de áreas potenciales para una planta de clasificación en Bogotá y la región. Motivo por el cual, desde"&amp;" la UAESP no se podrá adelantar este análisis multicriterio que pueda arrojar unos resultados confiables. 
")</f>
        <v xml:space="preserve">De acuerdo con la planificación financiera de la entidad, no se destinaron los recursos para la elaboración de un estudio de alternativas y localización de áreas potenciales para una planta de clasificación en Bogotá y la región. Motivo por el cual, desde la UAESP no se podrá adelantar este análisis multicriterio que pueda arrojar unos resultados confiables. 
</v>
      </c>
      <c r="N2344" s="25"/>
      <c r="O2344" s="25" t="str">
        <f t="shared" ca="1" si="0"/>
        <v>Unidad Administrativa Especial de Servicios Públicos</v>
      </c>
      <c r="P2344" s="25" t="str">
        <f t="shared" ca="1" si="2"/>
        <v/>
      </c>
      <c r="Q2344" s="25" t="str">
        <f ca="1">IFERROR(__xludf.DUMMYFUNCTION("""COMPUTED_VALUE"""),"Mediano plazo")</f>
        <v>Mediano plazo</v>
      </c>
      <c r="R2344" s="25"/>
      <c r="S2344" s="55"/>
      <c r="T2344" s="56"/>
      <c r="U2344" s="25"/>
      <c r="V2344" s="25"/>
      <c r="W2344" s="25"/>
      <c r="X2344" s="25"/>
      <c r="Y2344" s="25"/>
      <c r="Z2344" s="25"/>
    </row>
    <row r="2345" spans="1:26" ht="52.5" customHeight="1" x14ac:dyDescent="0.25">
      <c r="A2345" s="25" t="str">
        <f ca="1">IFERROR(__xludf.DUMMYFUNCTION("""COMPUTED_VALUE"""),"Hábit243")</f>
        <v>Hábit243</v>
      </c>
      <c r="B2345" s="25" t="str">
        <f ca="1">IFERROR(__xludf.DUMMYFUNCTION("""COMPUTED_VALUE"""),"Modelo basuras ")</f>
        <v xml:space="preserve">Modelo basuras </v>
      </c>
      <c r="C2345" s="55">
        <f ca="1">IFERROR(__xludf.DUMMYFUNCTION("""COMPUTED_VALUE"""),44868)</f>
        <v>44868</v>
      </c>
      <c r="D2345" s="25" t="str">
        <f ca="1">IFERROR(__xludf.DUMMYFUNCTION("""COMPUTED_VALUE"""),"Hábitat")</f>
        <v>Hábitat</v>
      </c>
      <c r="E2345" s="25" t="str">
        <f ca="1">IFERROR(__xludf.DUMMYFUNCTION("""COMPUTED_VALUE"""),"Unidad Administrativa Especial de Servicios Públicos")</f>
        <v>Unidad Administrativa Especial de Servicios Públicos</v>
      </c>
      <c r="F2345" s="25" t="str">
        <f ca="1">IFERROR(__xludf.DUMMYFUNCTION("""COMPUTED_VALUE"""),"Iniciar la implementación de las composteras en colegios públicos y nuestras huertas urbanas.")</f>
        <v>Iniciar la implementación de las composteras en colegios públicos y nuestras huertas urbanas.</v>
      </c>
      <c r="G2345" s="25" t="str">
        <f ca="1">IFERROR(__xludf.DUMMYFUNCTION("""COMPUTED_VALUE"""),"99. Distrito")</f>
        <v>99. Distrito</v>
      </c>
      <c r="H2345" s="55">
        <f ca="1">IFERROR(__xludf.DUMMYFUNCTION("""COMPUTED_VALUE"""),45017)</f>
        <v>45017</v>
      </c>
      <c r="I2345" s="25" t="str">
        <f ca="1">IFERROR(__xludf.DUMMYFUNCTION("""COMPUTED_VALUE"""),"Delivery Unit")</f>
        <v>Delivery Unit</v>
      </c>
      <c r="J2345" s="55" t="str">
        <f ca="1">IFERROR(__xludf.DUMMYFUNCTION("""COMPUTED_VALUE"""),"Media")</f>
        <v>Media</v>
      </c>
      <c r="K2345" s="25">
        <f ca="1">IFERROR(__xludf.DUMMYFUNCTION("""COMPUTED_VALUE"""),149)</f>
        <v>149</v>
      </c>
      <c r="L2345" s="62">
        <f ca="1">IFERROR(__xludf.DUMMYFUNCTION("""COMPUTED_VALUE"""),45077)</f>
        <v>45077</v>
      </c>
      <c r="M2345" s="25" t="str">
        <f ca="1">IFERROR(__xludf.DUMMYFUNCTION("""COMPUTED_VALUE"""),"en el marco del contrato interadministrativo UAESP 843  2022 con la empresa Aguas de Bogotá; se está desarrollando e implementando una matriz multicriterio con la finalidad de determinar los posibles espacios y/o áreas para la instalación de las solucione"&amp;"s de tratamiento  y valoración de residuos orgánicos in situ mediante la tecnología de composteras , entre los ítems a cumplir dichos espacios deben contar con el  área suficiente para la instalación, personal idóneo para la operación, compromiso para el "&amp;"reporte constante de las cantidades  valorizadas.
Se espera que en el mes de junio ya se tengan identificados los lugares donde se implementaran las composteras. ")</f>
        <v xml:space="preserve">en el marco del contrato interadministrativo UAESP 843  2022 con la empresa Aguas de Bogotá; se está desarrollando e implementando una matriz multicriterio con la finalidad de determinar los posibles espacios y/o áreas para la instalación de las soluciones de tratamiento  y valoración de residuos orgánicos in situ mediante la tecnología de composteras , entre los ítems a cumplir dichos espacios deben contar con el  área suficiente para la instalación, personal idóneo para la operación, compromiso para el reporte constante de las cantidades  valorizadas.
Se espera que en el mes de junio ya se tengan identificados los lugares donde se implementaran las composteras. </v>
      </c>
      <c r="N2345" s="25"/>
      <c r="O2345" s="25" t="str">
        <f t="shared" ca="1" si="0"/>
        <v>Unidad Administrativa Especial de Servicios Públicos</v>
      </c>
      <c r="P2345" s="25" t="str">
        <f t="shared" ca="1" si="2"/>
        <v/>
      </c>
      <c r="Q2345" s="25" t="str">
        <f ca="1">IFERROR(__xludf.DUMMYFUNCTION("""COMPUTED_VALUE"""),"Mediano plazo")</f>
        <v>Mediano plazo</v>
      </c>
      <c r="R2345" s="25"/>
      <c r="S2345" s="55"/>
      <c r="T2345" s="56"/>
      <c r="U2345" s="25"/>
      <c r="V2345" s="25"/>
      <c r="W2345" s="25"/>
      <c r="X2345" s="25"/>
      <c r="Y2345" s="25"/>
      <c r="Z2345" s="25"/>
    </row>
    <row r="2346" spans="1:26" ht="52.5" customHeight="1" x14ac:dyDescent="0.25">
      <c r="A2346" s="25" t="str">
        <f ca="1">IFERROR(__xludf.DUMMYFUNCTION("""COMPUTED_VALUE"""),"Hábit244")</f>
        <v>Hábit244</v>
      </c>
      <c r="B2346" s="25" t="str">
        <f ca="1">IFERROR(__xludf.DUMMYFUNCTION("""COMPUTED_VALUE"""),"Modelo basuras ")</f>
        <v xml:space="preserve">Modelo basuras </v>
      </c>
      <c r="C2346" s="55">
        <f ca="1">IFERROR(__xludf.DUMMYFUNCTION("""COMPUTED_VALUE"""),44868)</f>
        <v>44868</v>
      </c>
      <c r="D2346" s="25" t="str">
        <f ca="1">IFERROR(__xludf.DUMMYFUNCTION("""COMPUTED_VALUE"""),"Hábitat")</f>
        <v>Hábitat</v>
      </c>
      <c r="E2346" s="25" t="str">
        <f ca="1">IFERROR(__xludf.DUMMYFUNCTION("""COMPUTED_VALUE"""),"Unidad Administrativa Especial de Servicios Públicos")</f>
        <v>Unidad Administrativa Especial de Servicios Públicos</v>
      </c>
      <c r="F2346" s="25" t="str">
        <f ca="1">IFERROR(__xludf.DUMMYFUNCTION("""COMPUTED_VALUE"""),"Para los residuos No aprovechables (RCD) iniciar en Doña Juana (Holcim, Argos, Cemex), firmar los convenios necesarios con las cementeras para realizar la planta de clasificación y dejar su ejecución en 2023.")</f>
        <v>Para los residuos No aprovechables (RCD) iniciar en Doña Juana (Holcim, Argos, Cemex), firmar los convenios necesarios con las cementeras para realizar la planta de clasificación y dejar su ejecución en 2023.</v>
      </c>
      <c r="G2346" s="25" t="str">
        <f ca="1">IFERROR(__xludf.DUMMYFUNCTION("""COMPUTED_VALUE"""),"99. Distrito")</f>
        <v>99. Distrito</v>
      </c>
      <c r="H2346" s="55">
        <f ca="1">IFERROR(__xludf.DUMMYFUNCTION("""COMPUTED_VALUE"""),45017)</f>
        <v>45017</v>
      </c>
      <c r="I2346" s="25" t="str">
        <f ca="1">IFERROR(__xludf.DUMMYFUNCTION("""COMPUTED_VALUE"""),"Delivery Unit")</f>
        <v>Delivery Unit</v>
      </c>
      <c r="J2346" s="55" t="str">
        <f ca="1">IFERROR(__xludf.DUMMYFUNCTION("""COMPUTED_VALUE"""),"Media")</f>
        <v>Media</v>
      </c>
      <c r="K2346" s="25">
        <f ca="1">IFERROR(__xludf.DUMMYFUNCTION("""COMPUTED_VALUE"""),149)</f>
        <v>149</v>
      </c>
      <c r="L2346" s="62">
        <f ca="1">IFERROR(__xludf.DUMMYFUNCTION("""COMPUTED_VALUE"""),45076)</f>
        <v>45076</v>
      </c>
      <c r="M2346" s="25" t="str">
        <f ca="1">IFERROR(__xludf.DUMMYFUNCTION("""COMPUTED_VALUE"""),"Se esta a espera de concepto técnico sobre los resultados obtenidos con la prueba enviada de las 9,23 toneladas de residuos de rechazo entregadas en el mes de diciembre, producto de la separación y la limpieza del equipo de limpieza y clasificación - Trom"&amp;"mel susceptibles de aprovechamiento como combustible derivado de residuos (CDR).  Adicional se tiene pendiente por parte del gestor de recolección SOLUCIONES AMBIENTALES 4R la fecha para la siguiente recolección de estos residuos, esto teniendo en cuenta "&amp;"que la ultima comunicación realizada en el mes de marzo de la presente vigencia, se informa que la empresa CEMEX COL se encuentra en mantenimiento de equipos para reactivar convenio. Se requerirá nuevamente para obtener respuesta, se está a la espera de c"&amp;"onfirmación de fecha por parte de Cemex para realizar mesa de trabajo.")</f>
        <v>Se esta a espera de concepto técnico sobre los resultados obtenidos con la prueba enviada de las 9,23 toneladas de residuos de rechazo entregadas en el mes de diciembre, producto de la separación y la limpieza del equipo de limpieza y clasificación - Trommel susceptibles de aprovechamiento como combustible derivado de residuos (CDR).  Adicional se tiene pendiente por parte del gestor de recolección SOLUCIONES AMBIENTALES 4R la fecha para la siguiente recolección de estos residuos, esto teniendo en cuenta que la ultima comunicación realizada en el mes de marzo de la presente vigencia, se informa que la empresa CEMEX COL se encuentra en mantenimiento de equipos para reactivar convenio. Se requerirá nuevamente para obtener respuesta, se está a la espera de confirmación de fecha por parte de Cemex para realizar mesa de trabajo.</v>
      </c>
      <c r="N2346" s="25"/>
      <c r="O2346" s="25" t="str">
        <f t="shared" ca="1" si="0"/>
        <v>Unidad Administrativa Especial de Servicios Públicos</v>
      </c>
      <c r="P2346" s="25" t="str">
        <f t="shared" ca="1" si="2"/>
        <v/>
      </c>
      <c r="Q2346" s="25" t="str">
        <f ca="1">IFERROR(__xludf.DUMMYFUNCTION("""COMPUTED_VALUE"""),"Mediano plazo")</f>
        <v>Mediano plazo</v>
      </c>
      <c r="R2346" s="25"/>
      <c r="S2346" s="55"/>
      <c r="T2346" s="56"/>
      <c r="U2346" s="25"/>
      <c r="V2346" s="25"/>
      <c r="W2346" s="25"/>
      <c r="X2346" s="25"/>
      <c r="Y2346" s="25"/>
      <c r="Z2346" s="25"/>
    </row>
    <row r="2347" spans="1:26" ht="52.5" customHeight="1" x14ac:dyDescent="0.25">
      <c r="A2347" s="25" t="str">
        <f ca="1">IFERROR(__xludf.DUMMYFUNCTION("""COMPUTED_VALUE"""),"Hábit245")</f>
        <v>Hábit245</v>
      </c>
      <c r="B2347" s="25" t="str">
        <f ca="1">IFERROR(__xludf.DUMMYFUNCTION("""COMPUTED_VALUE"""),"Modelo basuras ")</f>
        <v xml:space="preserve">Modelo basuras </v>
      </c>
      <c r="C2347" s="55">
        <f ca="1">IFERROR(__xludf.DUMMYFUNCTION("""COMPUTED_VALUE"""),44868)</f>
        <v>44868</v>
      </c>
      <c r="D2347" s="25" t="str">
        <f ca="1">IFERROR(__xludf.DUMMYFUNCTION("""COMPUTED_VALUE"""),"Hábitat")</f>
        <v>Hábitat</v>
      </c>
      <c r="E2347" s="25" t="str">
        <f ca="1">IFERROR(__xludf.DUMMYFUNCTION("""COMPUTED_VALUE"""),"Unidad Administrativa Especial de Servicios Públicos")</f>
        <v>Unidad Administrativa Especial de Servicios Públicos</v>
      </c>
      <c r="F2347" s="25" t="str">
        <f ca="1">IFERROR(__xludf.DUMMYFUNCTION("""COMPUTED_VALUE"""),"Para la próxima reunión con la alcaldesa se deberá traer el esquema de negocio y cronograma con Vanti y Cementeras")</f>
        <v>Para la próxima reunión con la alcaldesa se deberá traer el esquema de negocio y cronograma con Vanti y Cementeras</v>
      </c>
      <c r="G2347" s="25" t="str">
        <f ca="1">IFERROR(__xludf.DUMMYFUNCTION("""COMPUTED_VALUE"""),"99. Distrito")</f>
        <v>99. Distrito</v>
      </c>
      <c r="H2347" s="55">
        <f ca="1">IFERROR(__xludf.DUMMYFUNCTION("""COMPUTED_VALUE"""),45017)</f>
        <v>45017</v>
      </c>
      <c r="I2347" s="25" t="str">
        <f ca="1">IFERROR(__xludf.DUMMYFUNCTION("""COMPUTED_VALUE"""),"Delivery Unit")</f>
        <v>Delivery Unit</v>
      </c>
      <c r="J2347" s="55" t="str">
        <f ca="1">IFERROR(__xludf.DUMMYFUNCTION("""COMPUTED_VALUE"""),"Media")</f>
        <v>Media</v>
      </c>
      <c r="K2347" s="25">
        <f ca="1">IFERROR(__xludf.DUMMYFUNCTION("""COMPUTED_VALUE"""),149)</f>
        <v>149</v>
      </c>
      <c r="L2347" s="62">
        <f ca="1">IFERROR(__xludf.DUMMYFUNCTION("""COMPUTED_VALUE"""),45077)</f>
        <v>45077</v>
      </c>
      <c r="M2347" s="25" t="str">
        <f ca="1">IFERROR(__xludf.DUMMYFUNCTION("""COMPUTED_VALUE"""),"Las asesorias con Vanti se suspenden, debido a que ya no se entregaran Biodigestores, quedaron desiertas desde el año pasado,  En cuanto a la gestion con las cementeras se informa que a la feha no ha sido posible el avance ")</f>
        <v xml:space="preserve">Las asesorias con Vanti se suspenden, debido a que ya no se entregaran Biodigestores, quedaron desiertas desde el año pasado,  En cuanto a la gestion con las cementeras se informa que a la feha no ha sido posible el avance </v>
      </c>
      <c r="N2347" s="25"/>
      <c r="O2347" s="25" t="str">
        <f t="shared" ca="1" si="0"/>
        <v>Unidad Administrativa Especial de Servicios Públicos</v>
      </c>
      <c r="P2347" s="25" t="str">
        <f t="shared" ca="1" si="2"/>
        <v/>
      </c>
      <c r="Q2347" s="25" t="str">
        <f ca="1">IFERROR(__xludf.DUMMYFUNCTION("""COMPUTED_VALUE"""),"Mediano plazo")</f>
        <v>Mediano plazo</v>
      </c>
      <c r="R2347" s="25"/>
      <c r="S2347" s="55"/>
      <c r="T2347" s="56"/>
      <c r="U2347" s="25"/>
      <c r="V2347" s="25"/>
      <c r="W2347" s="25"/>
      <c r="X2347" s="25"/>
      <c r="Y2347" s="25"/>
      <c r="Z2347" s="25"/>
    </row>
    <row r="2348" spans="1:26" ht="52.5" customHeight="1" x14ac:dyDescent="0.25">
      <c r="A2348" s="25" t="str">
        <f ca="1">IFERROR(__xludf.DUMMYFUNCTION("""COMPUTED_VALUE"""),"Hábit246")</f>
        <v>Hábit246</v>
      </c>
      <c r="B2348" s="25" t="str">
        <f ca="1">IFERROR(__xludf.DUMMYFUNCTION("""COMPUTED_VALUE"""),"Modelo basuras ")</f>
        <v xml:space="preserve">Modelo basuras </v>
      </c>
      <c r="C2348" s="55">
        <f ca="1">IFERROR(__xludf.DUMMYFUNCTION("""COMPUTED_VALUE"""),44868)</f>
        <v>44868</v>
      </c>
      <c r="D2348" s="25" t="str">
        <f ca="1">IFERROR(__xludf.DUMMYFUNCTION("""COMPUTED_VALUE"""),"Hábitat")</f>
        <v>Hábitat</v>
      </c>
      <c r="E2348" s="25" t="str">
        <f ca="1">IFERROR(__xludf.DUMMYFUNCTION("""COMPUTED_VALUE"""),"Unidad Administrativa Especial de Servicios Públicos")</f>
        <v>Unidad Administrativa Especial de Servicios Públicos</v>
      </c>
      <c r="F2348" s="25" t="str">
        <f ca="1">IFERROR(__xludf.DUMMYFUNCTION("""COMPUTED_VALUE"""),"Propuesta de microzonificación de orgánicos y por reciclables (incluir rutas, horarios, mapas, etc.)")</f>
        <v>Propuesta de microzonificación de orgánicos y por reciclables (incluir rutas, horarios, mapas, etc.)</v>
      </c>
      <c r="G2348" s="25" t="str">
        <f ca="1">IFERROR(__xludf.DUMMYFUNCTION("""COMPUTED_VALUE"""),"99. Distrito")</f>
        <v>99. Distrito</v>
      </c>
      <c r="H2348" s="55">
        <f ca="1">IFERROR(__xludf.DUMMYFUNCTION("""COMPUTED_VALUE"""),45017)</f>
        <v>45017</v>
      </c>
      <c r="I2348" s="25"/>
      <c r="J2348" s="55" t="str">
        <f ca="1">IFERROR(__xludf.DUMMYFUNCTION("""COMPUTED_VALUE"""),"Media")</f>
        <v>Media</v>
      </c>
      <c r="K2348" s="25">
        <f ca="1">IFERROR(__xludf.DUMMYFUNCTION("""COMPUTED_VALUE"""),149)</f>
        <v>149</v>
      </c>
      <c r="L2348" s="62">
        <f ca="1">IFERROR(__xludf.DUMMYFUNCTION("""COMPUTED_VALUE"""),45006)</f>
        <v>45006</v>
      </c>
      <c r="M2348" s="25" t="str">
        <f ca="1">IFERROR(__xludf.DUMMYFUNCTION("""COMPUTED_VALUE"""),"La UAESP, a través del contrato UAESP-501--2021 suscrito con la Universidad Distrital Francisco José de Caldas, está adelantando la actualización de la caracterización de los residuos sólidos para Bogotá. Como resultado se espera contar con las caracterís"&amp;"ticas físicas, químicas y biológicas de los residuos generados en Bogotá por sectores económicos y por localidades, de acuerdo con una metodología establecida y aprobada en el marco del contrato que obedece a un modelo estadístico. Este estudio se encuent"&amp;"ra en su fase final y se contará con la información para toda la ciudad. Por tal motivo, no es viable técnicamente realizar una microzonificación de la generación de los residuos orgánicos en la localidad de Puente Aranda, pues esto implica un estudio téc"&amp;"nico adicional que permita identificar y caracterizar a los generadores en esta localidad por UPZ, barrio y por predio para conocer cantidades de residuos orgánicos. Para este estudio, la UAESP no cuenta con los recursos necesarios, además que no es neces"&amp;"ario realizarlo, toda vez que los resultados del contrato con la universidad distrital nos permitirá conocer por localidad estos datos para que sean analizados por cualquier actor en la cadena y que puedan tomar las decisiones necesarios.")</f>
        <v>La UAESP, a través del contrato UAESP-501--2021 suscrito con la Universidad Distrital Francisco José de Caldas, está adelantando la actualización de la caracterización de los residuos sólidos para Bogotá. Como resultado se espera contar con las características físicas, químicas y biológicas de los residuos generados en Bogotá por sectores económicos y por localidades, de acuerdo con una metodología establecida y aprobada en el marco del contrato que obedece a un modelo estadístico. Este estudio se encuentra en su fase final y se contará con la información para toda la ciudad. Por tal motivo, no es viable técnicamente realizar una microzonificación de la generación de los residuos orgánicos en la localidad de Puente Aranda, pues esto implica un estudio técnico adicional que permita identificar y caracterizar a los generadores en esta localidad por UPZ, barrio y por predio para conocer cantidades de residuos orgánicos. Para este estudio, la UAESP no cuenta con los recursos necesarios, además que no es necesario realizarlo, toda vez que los resultados del contrato con la universidad distrital nos permitirá conocer por localidad estos datos para que sean analizados por cualquier actor en la cadena y que puedan tomar las decisiones necesarios.</v>
      </c>
      <c r="N2348" s="55">
        <f ca="1">IFERROR(__xludf.DUMMYFUNCTION("""COMPUTED_VALUE"""),45012)</f>
        <v>45012</v>
      </c>
      <c r="O2348" s="25" t="str">
        <f t="shared" ca="1" si="0"/>
        <v>Unidad Administrativa Especial de Servicios Públicos</v>
      </c>
      <c r="P2348" s="25" t="str">
        <f t="shared" si="2"/>
        <v/>
      </c>
      <c r="Q2348" s="25" t="str">
        <f ca="1">IFERROR(__xludf.DUMMYFUNCTION("""COMPUTED_VALUE"""),"Mediano plazo")</f>
        <v>Mediano plazo</v>
      </c>
      <c r="R2348" s="25"/>
      <c r="S2348" s="55"/>
      <c r="T2348" s="56"/>
      <c r="U2348" s="25"/>
      <c r="V2348" s="25"/>
      <c r="W2348" s="25"/>
      <c r="X2348" s="25"/>
      <c r="Y2348" s="25"/>
      <c r="Z2348" s="25"/>
    </row>
    <row r="2349" spans="1:26" ht="52.5" customHeight="1" x14ac:dyDescent="0.25">
      <c r="A2349" s="25" t="str">
        <f ca="1">IFERROR(__xludf.DUMMYFUNCTION("""COMPUTED_VALUE"""),"Hábit247")</f>
        <v>Hábit247</v>
      </c>
      <c r="B2349" s="25" t="str">
        <f ca="1">IFERROR(__xludf.DUMMYFUNCTION("""COMPUTED_VALUE"""),"Junta de Infraestructura")</f>
        <v>Junta de Infraestructura</v>
      </c>
      <c r="C2349" s="55">
        <f ca="1">IFERROR(__xludf.DUMMYFUNCTION("""COMPUTED_VALUE"""),44881)</f>
        <v>44881</v>
      </c>
      <c r="D2349" s="25" t="str">
        <f ca="1">IFERROR(__xludf.DUMMYFUNCTION("""COMPUTED_VALUE"""),"Hábitat")</f>
        <v>Hábitat</v>
      </c>
      <c r="E2349" s="25" t="str">
        <f ca="1">IFERROR(__xludf.DUMMYFUNCTION("""COMPUTED_VALUE"""),"Empresa de Acueducto y Alcantarillado de Bogotá")</f>
        <v>Empresa de Acueducto y Alcantarillado de Bogotá</v>
      </c>
      <c r="F2349" s="25" t="str">
        <f ca="1">IFERROR(__xludf.DUMMYFUNCTION("""COMPUTED_VALUE"""),"Se requiere que el EAAB gestione ante el juzgado la inscripción de la sentencia Predio (50121)")</f>
        <v>Se requiere que el EAAB gestione ante el juzgado la inscripción de la sentencia Predio (50121)</v>
      </c>
      <c r="G2349" s="25" t="str">
        <f ca="1">IFERROR(__xludf.DUMMYFUNCTION("""COMPUTED_VALUE"""),"99. Distrito")</f>
        <v>99. Distrito</v>
      </c>
      <c r="H2349" s="55">
        <f ca="1">IFERROR(__xludf.DUMMYFUNCTION("""COMPUTED_VALUE"""),45000)</f>
        <v>45000</v>
      </c>
      <c r="I2349" s="25" t="str">
        <f ca="1">IFERROR(__xludf.DUMMYFUNCTION("""COMPUTED_VALUE"""),"Junta de Infraestructura")</f>
        <v>Junta de Infraestructura</v>
      </c>
      <c r="J2349" s="55" t="str">
        <f ca="1">IFERROR(__xludf.DUMMYFUNCTION("""COMPUTED_VALUE"""),"Media")</f>
        <v>Media</v>
      </c>
      <c r="K2349" s="25">
        <f ca="1">IFERROR(__xludf.DUMMYFUNCTION("""COMPUTED_VALUE"""),119)</f>
        <v>119</v>
      </c>
      <c r="L2349" s="62">
        <f ca="1">IFERROR(__xludf.DUMMYFUNCTION("""COMPUTED_VALUE"""),45077)</f>
        <v>45077</v>
      </c>
      <c r="M2349" s="25" t="str">
        <f ca="1">IFERROR(__xludf.DUMMYFUNCTION("""COMPUTED_VALUE"""),"Proceso No 2010-00542
Juzgado de Origen: 10 Civil del Circuito de Bogotá
Juzgado de Conocimiento: 46 Civil del circuito de Bogotá
Demandante: EMPRESA DE ACUEDUCTO Y ALCANTARILLADO DE BOGOTÁ E.S.P
Demandado: ASOCIACIÓN DE VIVIENDA BOGOTÁ SIGLO XXI.
Clase d"&amp;"e Proceso: Imposición de Servidumbre
La apoderada solicitó actualización y elaboración de los oficios que se deben allegar a la Oficina de Registro de Instrumentos Públicos para que proceda el registro de la sentencia. Mediante auto del 24 de marzo de 20"&amp;"23, el Juez los ordeno. Estamos a la espera de la entrega de estos para proceder a radicar en la ORIP Sur. En este proceso fue necesario interponer una acción de tutela (marzo 20 de 2023) para que el Juez ademas de ordenar el desembargo de las cuentas de "&amp;"la Empresa, atendiera y diera impulso al proceso, dado que desde octubre de 2022 entro al despacho y solo hasta marzo de 2023, salío resolviendo nuestra solicitudes.")</f>
        <v>Proceso No 2010-00542
Juzgado de Origen: 10 Civil del Circuito de Bogotá
Juzgado de Conocimiento: 46 Civil del circuito de Bogotá
Demandante: EMPRESA DE ACUEDUCTO Y ALCANTARILLADO DE BOGOTÁ E.S.P
Demandado: ASOCIACIÓN DE VIVIENDA BOGOTÁ SIGLO XXI.
Clase de Proceso: Imposición de Servidumbre
La apoderada solicitó actualización y elaboración de los oficios que se deben allegar a la Oficina de Registro de Instrumentos Públicos para que proceda el registro de la sentencia. Mediante auto del 24 de marzo de 2023, el Juez los ordeno. Estamos a la espera de la entrega de estos para proceder a radicar en la ORIP Sur. En este proceso fue necesario interponer una acción de tutela (marzo 20 de 2023) para que el Juez ademas de ordenar el desembargo de las cuentas de la Empresa, atendiera y diera impulso al proceso, dado que desde octubre de 2022 entro al despacho y solo hasta marzo de 2023, salío resolviendo nuestra solicitudes.</v>
      </c>
      <c r="N2349" s="55">
        <f ca="1">IFERROR(__xludf.DUMMYFUNCTION("""COMPUTED_VALUE"""),45077)</f>
        <v>45077</v>
      </c>
      <c r="O2349" s="25" t="str">
        <f t="shared" ca="1" si="0"/>
        <v>Empresa de Acueducto y Alcantarillado de Bogotá</v>
      </c>
      <c r="P2349" s="25" t="str">
        <f t="shared" ca="1" si="2"/>
        <v/>
      </c>
      <c r="Q2349" s="25" t="str">
        <f ca="1">IFERROR(__xludf.DUMMYFUNCTION("""COMPUTED_VALUE"""),"Mediano plazo")</f>
        <v>Mediano plazo</v>
      </c>
      <c r="R2349" s="25"/>
      <c r="S2349" s="55"/>
      <c r="T2349" s="56"/>
      <c r="U2349" s="25"/>
      <c r="V2349" s="25"/>
      <c r="W2349" s="25"/>
      <c r="X2349" s="25"/>
      <c r="Y2349" s="25"/>
      <c r="Z2349" s="25"/>
    </row>
    <row r="2350" spans="1:26" ht="52.5" customHeight="1" x14ac:dyDescent="0.25">
      <c r="A2350" s="25" t="str">
        <f ca="1">IFERROR(__xludf.DUMMYFUNCTION("""COMPUTED_VALUE"""),"Hábit248")</f>
        <v>Hábit248</v>
      </c>
      <c r="B2350" s="25" t="str">
        <f ca="1">IFERROR(__xludf.DUMMYFUNCTION("""COMPUTED_VALUE"""),"Junta de Infraestructura")</f>
        <v>Junta de Infraestructura</v>
      </c>
      <c r="C2350" s="55">
        <f ca="1">IFERROR(__xludf.DUMMYFUNCTION("""COMPUTED_VALUE"""),44881)</f>
        <v>44881</v>
      </c>
      <c r="D2350" s="25" t="str">
        <f ca="1">IFERROR(__xludf.DUMMYFUNCTION("""COMPUTED_VALUE"""),"Hábitat")</f>
        <v>Hábitat</v>
      </c>
      <c r="E2350" s="25" t="str">
        <f ca="1">IFERROR(__xludf.DUMMYFUNCTION("""COMPUTED_VALUE"""),"Empresa de Acueducto y Alcantarillado de Bogotá")</f>
        <v>Empresa de Acueducto y Alcantarillado de Bogotá</v>
      </c>
      <c r="F2350" s="25" t="str">
        <f ca="1">IFERROR(__xludf.DUMMYFUNCTION("""COMPUTED_VALUE"""),"Acelerar la recepción de las redes para que las Galias entregue los controles ambientales.")</f>
        <v>Acelerar la recepción de las redes para que las Galias entregue los controles ambientales.</v>
      </c>
      <c r="G2350" s="25" t="str">
        <f ca="1">IFERROR(__xludf.DUMMYFUNCTION("""COMPUTED_VALUE"""),"99. Distrito")</f>
        <v>99. Distrito</v>
      </c>
      <c r="H2350" s="55">
        <f ca="1">IFERROR(__xludf.DUMMYFUNCTION("""COMPUTED_VALUE"""),45046)</f>
        <v>45046</v>
      </c>
      <c r="I2350" s="25" t="str">
        <f ca="1">IFERROR(__xludf.DUMMYFUNCTION("""COMPUTED_VALUE"""),"Junta de Infraestructura")</f>
        <v>Junta de Infraestructura</v>
      </c>
      <c r="J2350" s="55" t="str">
        <f ca="1">IFERROR(__xludf.DUMMYFUNCTION("""COMPUTED_VALUE"""),"Media")</f>
        <v>Media</v>
      </c>
      <c r="K2350" s="25">
        <f ca="1">IFERROR(__xludf.DUMMYFUNCTION("""COMPUTED_VALUE"""),165)</f>
        <v>165</v>
      </c>
      <c r="L2350" s="62">
        <f ca="1">IFERROR(__xludf.DUMMYFUNCTION("""COMPUTED_VALUE"""),45077)</f>
        <v>45077</v>
      </c>
      <c r="M2350" s="25" t="str">
        <f ca="1">IFERROR(__xludf.DUMMYFUNCTION("""COMPUTED_VALUE"""),"A la fecha El Proyecto Plan Parcial La Palestina - constructora Las Galias, cuenta con: Diseños aprobados y Obras terminadas. Esta pendiente la aprobación de planos, liquidación y recibo final de las obras.
El estado de aprobación de los planos record es"&amp;" el siguiente: 
Etapa 1: Se realizó asignación de numero de proyecto el 12 de diciembre de 2022
Etapa 2: Se aprobó por parte de DITG, pendiente aprobación de la Zona.
Etapa 3: Se aprobó por parte de DITG el 20 de mayo de 2023, pendiente aprobación de la "&amp;"Zona. 
Etapa 4: Se aprobó por parte de DITG el 24 de abril de 2023, pendiente aprobación de la zona.  
Con el animo de dar celeridad al proceso de recibo de redes de la zona solicitada por el IDU, la EAAB-ESP procedió hacer el trámite de modificación de "&amp;"la carta de compromiso incluyendo el recibo parcial de redes, en virtud de lo anterior y luego de varias reuniones con el urbanizador, se llegó a un acuerdo para formalizar las entregas anticipadas, para lo cual se esta revisando la versión final de la ca"&amp;"rta de compromiso. Se estima que para junio 30 de 2023 se cuente con las entregas anticipadas.
")</f>
        <v xml:space="preserve">A la fecha El Proyecto Plan Parcial La Palestina - constructora Las Galias, cuenta con: Diseños aprobados y Obras terminadas. Esta pendiente la aprobación de planos, liquidación y recibo final de las obras.
El estado de aprobación de los planos record es el siguiente: 
Etapa 1: Se realizó asignación de numero de proyecto el 12 de diciembre de 2022
Etapa 2: Se aprobó por parte de DITG, pendiente aprobación de la Zona.
Etapa 3: Se aprobó por parte de DITG el 20 de mayo de 2023, pendiente aprobación de la Zona. 
Etapa 4: Se aprobó por parte de DITG el 24 de abril de 2023, pendiente aprobación de la zona.  
Con el animo de dar celeridad al proceso de recibo de redes de la zona solicitada por el IDU, la EAAB-ESP procedió hacer el trámite de modificación de la carta de compromiso incluyendo el recibo parcial de redes, en virtud de lo anterior y luego de varias reuniones con el urbanizador, se llegó a un acuerdo para formalizar las entregas anticipadas, para lo cual se esta revisando la versión final de la carta de compromiso. Se estima que para junio 30 de 2023 se cuente con las entregas anticipadas.
</v>
      </c>
      <c r="N2350" s="25"/>
      <c r="O2350" s="25" t="str">
        <f t="shared" ca="1" si="0"/>
        <v>Empresa de Acueducto y Alcantarillado de Bogotá</v>
      </c>
      <c r="P2350" s="25" t="str">
        <f t="shared" ca="1" si="2"/>
        <v/>
      </c>
      <c r="Q2350" s="25" t="str">
        <f ca="1">IFERROR(__xludf.DUMMYFUNCTION("""COMPUTED_VALUE"""),"Mediano plazo")</f>
        <v>Mediano plazo</v>
      </c>
      <c r="R2350" s="25"/>
      <c r="S2350" s="55"/>
      <c r="T2350" s="56"/>
      <c r="U2350" s="25"/>
      <c r="V2350" s="25"/>
      <c r="W2350" s="25"/>
      <c r="X2350" s="25"/>
      <c r="Y2350" s="25"/>
      <c r="Z2350" s="25"/>
    </row>
    <row r="2351" spans="1:26" ht="52.5" customHeight="1" x14ac:dyDescent="0.25">
      <c r="A2351" s="25" t="str">
        <f ca="1">IFERROR(__xludf.DUMMYFUNCTION("""COMPUTED_VALUE"""),"Hábit249")</f>
        <v>Hábit249</v>
      </c>
      <c r="B2351" s="25" t="str">
        <f ca="1">IFERROR(__xludf.DUMMYFUNCTION("""COMPUTED_VALUE"""),"Taller Av. 68")</f>
        <v>Taller Av. 68</v>
      </c>
      <c r="C2351" s="55">
        <f ca="1">IFERROR(__xludf.DUMMYFUNCTION("""COMPUTED_VALUE"""),44427)</f>
        <v>44427</v>
      </c>
      <c r="D2351" s="25" t="str">
        <f ca="1">IFERROR(__xludf.DUMMYFUNCTION("""COMPUTED_VALUE"""),"Hábitat")</f>
        <v>Hábitat</v>
      </c>
      <c r="E2351" s="25" t="str">
        <f ca="1">IFERROR(__xludf.DUMMYFUNCTION("""COMPUTED_VALUE"""),"Secretaría Distrital del Hábitat")</f>
        <v>Secretaría Distrital del Hábitat</v>
      </c>
      <c r="F2351" s="25" t="str">
        <f ca="1">IFERROR(__xludf.DUMMYFUNCTION("""COMPUTED_VALUE"""),"Hacer un plan de la verificación de cabida y linderos en la unidad deportiva El Salitre")</f>
        <v>Hacer un plan de la verificación de cabida y linderos en la unidad deportiva El Salitre</v>
      </c>
      <c r="G2351" s="25" t="str">
        <f ca="1">IFERROR(__xludf.DUMMYFUNCTION("""COMPUTED_VALUE"""),"99. Distrito")</f>
        <v>99. Distrito</v>
      </c>
      <c r="H2351" s="55">
        <f ca="1">IFERROR(__xludf.DUMMYFUNCTION("""COMPUTED_VALUE"""),44910)</f>
        <v>44910</v>
      </c>
      <c r="I2351" s="25"/>
      <c r="J2351" s="55" t="str">
        <f ca="1">IFERROR(__xludf.DUMMYFUNCTION("""COMPUTED_VALUE"""),"Baja")</f>
        <v>Baja</v>
      </c>
      <c r="K2351" s="25">
        <f ca="1">IFERROR(__xludf.DUMMYFUNCTION("""COMPUTED_VALUE"""),483)</f>
        <v>483</v>
      </c>
      <c r="L2351" s="62"/>
      <c r="M2351" s="25"/>
      <c r="N2351" s="55">
        <f ca="1">IFERROR(__xludf.DUMMYFUNCTION("""COMPUTED_VALUE"""),44927)</f>
        <v>44927</v>
      </c>
      <c r="O2351" s="25" t="str">
        <f t="shared" ca="1" si="0"/>
        <v>Secretaría Distrital del Hábitat</v>
      </c>
      <c r="P2351" s="25" t="str">
        <f t="shared" si="2"/>
        <v/>
      </c>
      <c r="Q2351" s="25" t="str">
        <f ca="1">IFERROR(__xludf.DUMMYFUNCTION("""COMPUTED_VALUE"""),"Largo plazo")</f>
        <v>Largo plazo</v>
      </c>
      <c r="R2351" s="25"/>
      <c r="S2351" s="55"/>
      <c r="T2351" s="56"/>
      <c r="U2351" s="25"/>
      <c r="V2351" s="25"/>
      <c r="W2351" s="25"/>
      <c r="X2351" s="25"/>
      <c r="Y2351" s="25"/>
      <c r="Z2351" s="25"/>
    </row>
    <row r="2352" spans="1:26" ht="52.5" customHeight="1" x14ac:dyDescent="0.25">
      <c r="A2352" s="25" t="str">
        <f ca="1">IFERROR(__xludf.DUMMYFUNCTION("""COMPUTED_VALUE"""),"Hábit250")</f>
        <v>Hábit250</v>
      </c>
      <c r="B2352" s="25" t="str">
        <f ca="1">IFERROR(__xludf.DUMMYFUNCTION("""COMPUTED_VALUE"""),"Comité gestión de riesgos")</f>
        <v>Comité gestión de riesgos</v>
      </c>
      <c r="C2352" s="55">
        <f ca="1">IFERROR(__xludf.DUMMYFUNCTION("""COMPUTED_VALUE"""),44841)</f>
        <v>44841</v>
      </c>
      <c r="D2352" s="25" t="str">
        <f ca="1">IFERROR(__xludf.DUMMYFUNCTION("""COMPUTED_VALUE"""),"Hábitat")</f>
        <v>Hábitat</v>
      </c>
      <c r="E2352" s="25" t="str">
        <f ca="1">IFERROR(__xludf.DUMMYFUNCTION("""COMPUTED_VALUE"""),"Unidad Administrativa Especial de Servicios Públicos")</f>
        <v>Unidad Administrativa Especial de Servicios Públicos</v>
      </c>
      <c r="F2352" s="25" t="str">
        <f ca="1">IFERROR(__xludf.DUMMYFUNCTION("""COMPUTED_VALUE"""),"Incluir en el convenio con la ANI que el Distrito hace la poda en el corredor férreo del sur (incorporar a Invías)")</f>
        <v>Incluir en el convenio con la ANI que el Distrito hace la poda en el corredor férreo del sur (incorporar a Invías)</v>
      </c>
      <c r="G2352" s="25" t="str">
        <f ca="1">IFERROR(__xludf.DUMMYFUNCTION("""COMPUTED_VALUE"""),"99. Distrito")</f>
        <v>99. Distrito</v>
      </c>
      <c r="H2352" s="55">
        <f ca="1">IFERROR(__xludf.DUMMYFUNCTION("""COMPUTED_VALUE"""),45017)</f>
        <v>45017</v>
      </c>
      <c r="I2352" s="25"/>
      <c r="J2352" s="55" t="str">
        <f ca="1">IFERROR(__xludf.DUMMYFUNCTION("""COMPUTED_VALUE"""),"Media")</f>
        <v>Media</v>
      </c>
      <c r="K2352" s="25">
        <f ca="1">IFERROR(__xludf.DUMMYFUNCTION("""COMPUTED_VALUE"""),176)</f>
        <v>176</v>
      </c>
      <c r="L2352" s="62">
        <f ca="1">IFERROR(__xludf.DUMMYFUNCTION("""COMPUTED_VALUE"""),44987)</f>
        <v>44987</v>
      </c>
      <c r="M2352" s="25" t="str">
        <f ca="1">IFERROR(__xludf.DUMMYFUNCTION("""COMPUTED_VALUE"""),"INVIAS se compromete en hacer la poda que quede en el nuevo manual de regulación y por ende que se traduzca en la contratación de mantenimiento. En la actualidad solo se refieren dos podas al año.")</f>
        <v>INVIAS se compromete en hacer la poda que quede en el nuevo manual de regulación y por ende que se traduzca en la contratación de mantenimiento. En la actualidad solo se refieren dos podas al año.</v>
      </c>
      <c r="N2352" s="55">
        <f ca="1">IFERROR(__xludf.DUMMYFUNCTION("""COMPUTED_VALUE"""),44998)</f>
        <v>44998</v>
      </c>
      <c r="O2352" s="25" t="str">
        <f t="shared" ca="1" si="0"/>
        <v>Unidad Administrativa Especial de Servicios Públicos</v>
      </c>
      <c r="P2352" s="25" t="str">
        <f t="shared" si="2"/>
        <v/>
      </c>
      <c r="Q2352" s="25" t="str">
        <f ca="1">IFERROR(__xludf.DUMMYFUNCTION("""COMPUTED_VALUE"""),"Mediano plazo")</f>
        <v>Mediano plazo</v>
      </c>
      <c r="R2352" s="25"/>
      <c r="S2352" s="55"/>
      <c r="T2352" s="56"/>
      <c r="U2352" s="25"/>
      <c r="V2352" s="25"/>
      <c r="W2352" s="25"/>
      <c r="X2352" s="25"/>
      <c r="Y2352" s="25"/>
      <c r="Z2352" s="25"/>
    </row>
    <row r="2353" spans="1:26" ht="52.5" customHeight="1" x14ac:dyDescent="0.25">
      <c r="A2353" s="25" t="str">
        <f ca="1">IFERROR(__xludf.DUMMYFUNCTION("""COMPUTED_VALUE"""),"Hábit251")</f>
        <v>Hábit251</v>
      </c>
      <c r="B2353" s="25"/>
      <c r="C2353" s="55"/>
      <c r="D2353" s="25" t="str">
        <f ca="1">IFERROR(__xludf.DUMMYFUNCTION("""COMPUTED_VALUE"""),"Hábitat")</f>
        <v>Hábitat</v>
      </c>
      <c r="E2353" s="25" t="str">
        <f ca="1">IFERROR(__xludf.DUMMYFUNCTION("""COMPUTED_VALUE"""),"Unidad Administrativa Especial de Servicios Públicos")</f>
        <v>Unidad Administrativa Especial de Servicios Públicos</v>
      </c>
      <c r="F2353" s="25" t="str">
        <f ca="1">IFERROR(__xludf.DUMMYFUNCTION("""COMPUTED_VALUE"""),"Eliminada")</f>
        <v>Eliminada</v>
      </c>
      <c r="G2353" s="25"/>
      <c r="H2353" s="25"/>
      <c r="I2353" s="25"/>
      <c r="J2353" s="55"/>
      <c r="K2353" s="25" t="str">
        <f ca="1">IFERROR(__xludf.DUMMYFUNCTION("""COMPUTED_VALUE"""),"Definir fecha")</f>
        <v>Definir fecha</v>
      </c>
      <c r="L2353" s="62"/>
      <c r="M2353" s="25"/>
      <c r="N2353" s="25"/>
      <c r="O2353" s="25" t="str">
        <f t="shared" ca="1" si="0"/>
        <v>Unidad Administrativa Especial de Servicios Públicos</v>
      </c>
      <c r="P2353" s="25" t="str">
        <f t="shared" si="2"/>
        <v/>
      </c>
      <c r="Q2353" s="25" t="str">
        <f ca="1">IFERROR(__xludf.DUMMYFUNCTION("""COMPUTED_VALUE"""),"Sin defenir")</f>
        <v>Sin defenir</v>
      </c>
      <c r="R2353" s="25"/>
      <c r="S2353" s="55"/>
      <c r="T2353" s="56"/>
      <c r="U2353" s="25"/>
      <c r="V2353" s="25"/>
      <c r="W2353" s="25"/>
      <c r="X2353" s="25"/>
      <c r="Y2353" s="25"/>
      <c r="Z2353" s="25"/>
    </row>
    <row r="2354" spans="1:26" ht="52.5" customHeight="1" x14ac:dyDescent="0.25">
      <c r="A2354" s="25" t="str">
        <f ca="1">IFERROR(__xludf.DUMMYFUNCTION("""COMPUTED_VALUE"""),"Hábit252")</f>
        <v>Hábit252</v>
      </c>
      <c r="B2354" s="25" t="str">
        <f ca="1">IFERROR(__xludf.DUMMYFUNCTION("""COMPUTED_VALUE"""),"Despachando desde la Secretaría Distrital de Hábitat")</f>
        <v>Despachando desde la Secretaría Distrital de Hábitat</v>
      </c>
      <c r="C2354" s="55">
        <f ca="1">IFERROR(__xludf.DUMMYFUNCTION("""COMPUTED_VALUE"""),44076)</f>
        <v>44076</v>
      </c>
      <c r="D2354" s="25" t="str">
        <f ca="1">IFERROR(__xludf.DUMMYFUNCTION("""COMPUTED_VALUE"""),"Hábitat")</f>
        <v>Hábitat</v>
      </c>
      <c r="E2354" s="25" t="str">
        <f ca="1">IFERROR(__xludf.DUMMYFUNCTION("""COMPUTED_VALUE"""),"Unidad Administrativa Especial de Rehabilitación y Mantenimiento Vial")</f>
        <v>Unidad Administrativa Especial de Rehabilitación y Mantenimiento Vial</v>
      </c>
      <c r="F2354" s="25" t="str">
        <f ca="1">IFERROR(__xludf.DUMMYFUNCTION("""COMPUTED_VALUE"""),"Liderar la reconstrucción del sendero que une Choachí y la Calera por el Verjón")</f>
        <v>Liderar la reconstrucción del sendero que une Choachí y la Calera por el Verjón</v>
      </c>
      <c r="G2354" s="25" t="str">
        <f ca="1">IFERROR(__xludf.DUMMYFUNCTION("""COMPUTED_VALUE"""),"99. Distrito")</f>
        <v>99. Distrito</v>
      </c>
      <c r="H2354" s="55">
        <f ca="1">IFERROR(__xludf.DUMMYFUNCTION("""COMPUTED_VALUE"""),44106)</f>
        <v>44106</v>
      </c>
      <c r="I2354" s="25"/>
      <c r="J2354" s="55" t="str">
        <f ca="1">IFERROR(__xludf.DUMMYFUNCTION("""COMPUTED_VALUE"""),"Alta")</f>
        <v>Alta</v>
      </c>
      <c r="K2354" s="25">
        <f ca="1">IFERROR(__xludf.DUMMYFUNCTION("""COMPUTED_VALUE"""),30)</f>
        <v>30</v>
      </c>
      <c r="L2354" s="62">
        <f ca="1">IFERROR(__xludf.DUMMYFUNCTION("""COMPUTED_VALUE"""),44748)</f>
        <v>44748</v>
      </c>
      <c r="M2354" s="25" t="str">
        <f ca="1">IFERROR(__xludf.DUMMYFUNCTION("""COMPUTED_VALUE"""),"13/12/2021: Se tiene planteada una reunión con el IDU y los principales actores de esta intervención para revisar las acciones para cumplir con este compromiso. 
15/11/2021: Se tiene el mismo avance del 15/07/2021. 
30/10/2021: Se tiene el mismo avance de"&amp;"l 15/07/2021. 
15/07/2021: Frente a este compromiso, junto con el IDU se revisaron las alternativas para la intervención de los tramos del sendero que están en mal estado y esta entidad está a la espera de recibir las autorizaciones de MinAmbiente y CAR p"&amp;"ara su ejecución de mejoramientos viales con el apoyo de la UMV, en los tramos que son competencia del IDU. Se construyó una trazabilidad de los avances frente a esta intervención, la cual tiene soportes desde el año 2018 para esta vía. Frente a esto, el "&amp;"IDU y la UMV está a la espera de recibir las autorizaciones para ejecutar los mantenimientos que se requieren en los tramos priorizados del sendero.
14/01/2022: Continua en el estado de espera de las autorizaciones de Minambiente y CAR. 
01/02/2022: Conti"&amp;"nua en el estado de espera de las autorizaciones de Minambiente y CAR. 
15/02/2022: Continua en el estado de espera de las autorizaciones de Minambiente y CAR. 
06/07/2022: Continua en el estado de espera de las autorizaciones de Minambiente y CAR. ")</f>
        <v xml:space="preserve">13/12/2021: Se tiene planteada una reunión con el IDU y los principales actores de esta intervención para revisar las acciones para cumplir con este compromiso. 
15/11/2021: Se tiene el mismo avance del 15/07/2021. 
30/10/2021: Se tiene el mismo avance del 15/07/2021. 
15/07/2021: Frente a este compromiso, junto con el IDU se revisaron las alternativas para la intervención de los tramos del sendero que están en mal estado y esta entidad está a la espera de recibir las autorizaciones de MinAmbiente y CAR para su ejecución de mejoramientos viales con el apoyo de la UMV, en los tramos que son competencia del IDU. Se construyó una trazabilidad de los avances frente a esta intervención, la cual tiene soportes desde el año 2018 para esta vía. Frente a esto, el IDU y la UMV está a la espera de recibir las autorizaciones para ejecutar los mantenimientos que se requieren en los tramos priorizados del sendero.
14/01/2022: Continua en el estado de espera de las autorizaciones de Minambiente y CAR. 
01/02/2022: Continua en el estado de espera de las autorizaciones de Minambiente y CAR. 
15/02/2022: Continua en el estado de espera de las autorizaciones de Minambiente y CAR. 
06/07/2022: Continua en el estado de espera de las autorizaciones de Minambiente y CAR. </v>
      </c>
      <c r="N2354" s="55">
        <f ca="1">IFERROR(__xludf.DUMMYFUNCTION("""COMPUTED_VALUE"""),44748)</f>
        <v>44748</v>
      </c>
      <c r="O2354" s="25" t="str">
        <f t="shared" ca="1" si="0"/>
        <v>Unidad Administrativa Especial de Rehabilitación y Mantenimiento Vial</v>
      </c>
      <c r="P2354" s="25" t="str">
        <f t="shared" si="2"/>
        <v/>
      </c>
      <c r="Q2354" s="25" t="str">
        <f ca="1">IFERROR(__xludf.DUMMYFUNCTION("""COMPUTED_VALUE"""),"Corto plazo")</f>
        <v>Corto plazo</v>
      </c>
      <c r="R2354" s="25"/>
      <c r="S2354" s="55"/>
      <c r="T2354" s="56"/>
      <c r="U2354" s="25"/>
      <c r="V2354" s="25"/>
      <c r="W2354" s="25"/>
      <c r="X2354" s="25"/>
      <c r="Y2354" s="25"/>
      <c r="Z2354" s="25"/>
    </row>
    <row r="2355" spans="1:26" ht="52.5" customHeight="1" x14ac:dyDescent="0.25">
      <c r="A2355" s="25" t="str">
        <f ca="1">IFERROR(__xludf.DUMMYFUNCTION("""COMPUTED_VALUE"""),"Hábit253")</f>
        <v>Hábit253</v>
      </c>
      <c r="B2355" s="25" t="str">
        <f ca="1">IFERROR(__xludf.DUMMYFUNCTION("""COMPUTED_VALUE"""),"Despachando Mebog ")</f>
        <v xml:space="preserve">Despachando Mebog </v>
      </c>
      <c r="C2355" s="55">
        <f ca="1">IFERROR(__xludf.DUMMYFUNCTION("""COMPUTED_VALUE"""),44518)</f>
        <v>44518</v>
      </c>
      <c r="D2355" s="25" t="str">
        <f ca="1">IFERROR(__xludf.DUMMYFUNCTION("""COMPUTED_VALUE"""),"Hábitat")</f>
        <v>Hábitat</v>
      </c>
      <c r="E2355" s="25" t="str">
        <f ca="1">IFERROR(__xludf.DUMMYFUNCTION("""COMPUTED_VALUE"""),"Instituto de Desarrollo Urbano")</f>
        <v>Instituto de Desarrollo Urbano</v>
      </c>
      <c r="F2355" s="25" t="str">
        <f ca="1">IFERROR(__xludf.DUMMYFUNCTION("""COMPUTED_VALUE"""),"Mejorar la iluminación del Puente de Mutis con Boyacá")</f>
        <v>Mejorar la iluminación del Puente de Mutis con Boyacá</v>
      </c>
      <c r="G2355" s="55" t="str">
        <f ca="1">IFERROR(__xludf.DUMMYFUNCTION("""COMPUTED_VALUE"""),"10. Engativá")</f>
        <v>10. Engativá</v>
      </c>
      <c r="H2355" s="55">
        <f ca="1">IFERROR(__xludf.DUMMYFUNCTION("""COMPUTED_VALUE"""),44548)</f>
        <v>44548</v>
      </c>
      <c r="I2355" s="25"/>
      <c r="J2355" s="55" t="str">
        <f ca="1">IFERROR(__xludf.DUMMYFUNCTION("""COMPUTED_VALUE"""),"Alta")</f>
        <v>Alta</v>
      </c>
      <c r="K2355" s="25">
        <f ca="1">IFERROR(__xludf.DUMMYFUNCTION("""COMPUTED_VALUE"""),30)</f>
        <v>30</v>
      </c>
      <c r="L2355" s="62">
        <f ca="1">IFERROR(__xludf.DUMMYFUNCTION("""COMPUTED_VALUE"""),44782)</f>
        <v>44782</v>
      </c>
      <c r="M2355" s="25" t="str">
        <f ca="1">IFERROR(__xludf.DUMMYFUNCTION("""COMPUTED_VALUE"""),"Las obras civiles ejecutadas para redes de alumbrado público y redes eléctricas por parte del contratista de obra IDU con objeto del contrato 1851-2015 ya se terminaron en su totalidad, y se han realizado las revisiones, recorridos y entregas a Enel Colom"&amp;"bia,  actualmente está ESP, administrador de las redes, ha realizado la  instalación de postería, cableado e iluminación, mejorando la iluminación del sector.")</f>
        <v>Las obras civiles ejecutadas para redes de alumbrado público y redes eléctricas por parte del contratista de obra IDU con objeto del contrato 1851-2015 ya se terminaron en su totalidad, y se han realizado las revisiones, recorridos y entregas a Enel Colombia,  actualmente está ESP, administrador de las redes, ha realizado la  instalación de postería, cableado e iluminación, mejorando la iluminación del sector.</v>
      </c>
      <c r="N2355" s="55">
        <f ca="1">IFERROR(__xludf.DUMMYFUNCTION("""COMPUTED_VALUE"""),44782)</f>
        <v>44782</v>
      </c>
      <c r="O2355" s="25" t="str">
        <f t="shared" ca="1" si="0"/>
        <v>Instituto de Desarrollo Urbano</v>
      </c>
      <c r="P2355" s="25" t="str">
        <f t="shared" si="2"/>
        <v/>
      </c>
      <c r="Q2355" s="25" t="str">
        <f ca="1">IFERROR(__xludf.DUMMYFUNCTION("""COMPUTED_VALUE"""),"Corto plazo")</f>
        <v>Corto plazo</v>
      </c>
      <c r="R2355" s="25"/>
      <c r="S2355" s="55"/>
      <c r="T2355" s="56"/>
      <c r="U2355" s="25"/>
      <c r="V2355" s="25"/>
      <c r="W2355" s="25"/>
      <c r="X2355" s="25"/>
      <c r="Y2355" s="25"/>
      <c r="Z2355" s="25"/>
    </row>
    <row r="2356" spans="1:26" ht="52.5" customHeight="1" x14ac:dyDescent="0.25">
      <c r="A2356" s="25" t="str">
        <f ca="1">IFERROR(__xludf.DUMMYFUNCTION("""COMPUTED_VALUE"""),"Hábit254")</f>
        <v>Hábit254</v>
      </c>
      <c r="B2356" s="25" t="str">
        <f ca="1">IFERROR(__xludf.DUMMYFUNCTION("""COMPUTED_VALUE"""),"Reglamentación POT + AE reencuentro")</f>
        <v>Reglamentación POT + AE reencuentro</v>
      </c>
      <c r="C2356" s="55">
        <f ca="1">IFERROR(__xludf.DUMMYFUNCTION("""COMPUTED_VALUE"""),44942)</f>
        <v>44942</v>
      </c>
      <c r="D2356" s="25" t="str">
        <f ca="1">IFERROR(__xludf.DUMMYFUNCTION("""COMPUTED_VALUE"""),"Hábitat")</f>
        <v>Hábitat</v>
      </c>
      <c r="E2356" s="25" t="str">
        <f ca="1">IFERROR(__xludf.DUMMYFUNCTION("""COMPUTED_VALUE"""),"Empresa de Renovación y Desarrollo Urbano")</f>
        <v>Empresa de Renovación y Desarrollo Urbano</v>
      </c>
      <c r="F2356" s="25" t="str">
        <f ca="1">IFERROR(__xludf.DUMMYFUNCTION("""COMPUTED_VALUE"""),"Realizar anuncio del proyecto del Plan Parcial calle 24")</f>
        <v>Realizar anuncio del proyecto del Plan Parcial calle 24</v>
      </c>
      <c r="G2356" s="25" t="str">
        <f ca="1">IFERROR(__xludf.DUMMYFUNCTION("""COMPUTED_VALUE"""),"99. Distrito")</f>
        <v>99. Distrito</v>
      </c>
      <c r="H2356" s="55">
        <f ca="1">IFERROR(__xludf.DUMMYFUNCTION("""COMPUTED_VALUE"""),45031)</f>
        <v>45031</v>
      </c>
      <c r="I2356" s="25" t="str">
        <f ca="1">IFERROR(__xludf.DUMMYFUNCTION("""COMPUTED_VALUE"""),"Junta de Infraestructura")</f>
        <v>Junta de Infraestructura</v>
      </c>
      <c r="J2356" s="55" t="str">
        <f ca="1">IFERROR(__xludf.DUMMYFUNCTION("""COMPUTED_VALUE"""),"Media")</f>
        <v>Media</v>
      </c>
      <c r="K2356" s="25">
        <f ca="1">IFERROR(__xludf.DUMMYFUNCTION("""COMPUTED_VALUE"""),89)</f>
        <v>89</v>
      </c>
      <c r="L2356" s="62">
        <f ca="1">IFERROR(__xludf.DUMMYFUNCTION("""COMPUTED_VALUE"""),45077)</f>
        <v>45077</v>
      </c>
      <c r="M2356" s="25" t="str">
        <f ca="1">IFERROR(__xludf.DUMMYFUNCTION("""COMPUTED_VALUE"""),"*El 05.05.23 se recibieron observaciones al anuncio del proyecto.
*El 16.05.23 se solicitó a la Secretaría Jurídica acceso a LegalBog para realizar el carge de respuesta a observaciones al Anuncio de Proyecto.
*El Anuncio se firmó el 02.06.23 y se avanzar"&amp;"á en la publicación en el Registro Distrital ante la Secretaría General.")</f>
        <v>*El 05.05.23 se recibieron observaciones al anuncio del proyecto.
*El 16.05.23 se solicitó a la Secretaría Jurídica acceso a LegalBog para realizar el carge de respuesta a observaciones al Anuncio de Proyecto.
*El Anuncio se firmó el 02.06.23 y se avanzará en la publicación en el Registro Distrital ante la Secretaría General.</v>
      </c>
      <c r="N2356" s="55">
        <f ca="1">IFERROR(__xludf.DUMMYFUNCTION("""COMPUTED_VALUE"""),45079)</f>
        <v>45079</v>
      </c>
      <c r="O2356" s="25" t="str">
        <f t="shared" ca="1" si="0"/>
        <v>Empresa de Renovación y Desarrollo Urbano</v>
      </c>
      <c r="P2356" s="25" t="str">
        <f t="shared" ca="1" si="2"/>
        <v/>
      </c>
      <c r="Q2356" s="25" t="str">
        <f ca="1">IFERROR(__xludf.DUMMYFUNCTION("""COMPUTED_VALUE"""),"Mediano plazo")</f>
        <v>Mediano plazo</v>
      </c>
      <c r="R2356" s="25"/>
      <c r="S2356" s="55"/>
      <c r="T2356" s="56"/>
      <c r="U2356" s="25"/>
      <c r="V2356" s="25"/>
      <c r="W2356" s="25"/>
      <c r="X2356" s="25"/>
      <c r="Y2356" s="25"/>
      <c r="Z2356" s="25"/>
    </row>
    <row r="2357" spans="1:26" ht="52.5" customHeight="1" x14ac:dyDescent="0.25">
      <c r="A2357" s="25" t="str">
        <f ca="1">IFERROR(__xludf.DUMMYFUNCTION("""COMPUTED_VALUE"""),"Hábit255")</f>
        <v>Hábit255</v>
      </c>
      <c r="B2357" s="25"/>
      <c r="C2357" s="55"/>
      <c r="D2357" s="25" t="str">
        <f ca="1">IFERROR(__xludf.DUMMYFUNCTION("""COMPUTED_VALUE"""),"Hábitat")</f>
        <v>Hábitat</v>
      </c>
      <c r="E2357" s="25" t="str">
        <f ca="1">IFERROR(__xludf.DUMMYFUNCTION("""COMPUTED_VALUE"""),"Empresa de Renovación y Desarrollo Urbano")</f>
        <v>Empresa de Renovación y Desarrollo Urbano</v>
      </c>
      <c r="F2357" s="25" t="str">
        <f ca="1">IFERROR(__xludf.DUMMYFUNCTION("""COMPUTED_VALUE"""),"Eliminada")</f>
        <v>Eliminada</v>
      </c>
      <c r="G2357" s="25"/>
      <c r="H2357" s="25"/>
      <c r="I2357" s="25"/>
      <c r="J2357" s="55"/>
      <c r="K2357" s="25" t="str">
        <f ca="1">IFERROR(__xludf.DUMMYFUNCTION("""COMPUTED_VALUE"""),"Definir fecha")</f>
        <v>Definir fecha</v>
      </c>
      <c r="L2357" s="62"/>
      <c r="M2357" s="25"/>
      <c r="N2357" s="25"/>
      <c r="O2357" s="25" t="str">
        <f t="shared" ca="1" si="0"/>
        <v>Empresa de Renovación y Desarrollo Urbano</v>
      </c>
      <c r="P2357" s="25" t="str">
        <f t="shared" si="2"/>
        <v/>
      </c>
      <c r="Q2357" s="25" t="str">
        <f ca="1">IFERROR(__xludf.DUMMYFUNCTION("""COMPUTED_VALUE"""),"Sin defenir")</f>
        <v>Sin defenir</v>
      </c>
      <c r="R2357" s="25"/>
      <c r="S2357" s="55"/>
      <c r="T2357" s="56"/>
      <c r="U2357" s="25"/>
      <c r="V2357" s="25"/>
      <c r="W2357" s="25"/>
      <c r="X2357" s="25"/>
      <c r="Y2357" s="25"/>
      <c r="Z2357" s="25"/>
    </row>
    <row r="2358" spans="1:26" ht="52.5" customHeight="1" x14ac:dyDescent="0.25">
      <c r="A2358" s="25" t="str">
        <f ca="1">IFERROR(__xludf.DUMMYFUNCTION("""COMPUTED_VALUE"""),"Hábit256")</f>
        <v>Hábit256</v>
      </c>
      <c r="B2358" s="25" t="str">
        <f ca="1">IFERROR(__xludf.DUMMYFUNCTION("""COMPUTED_VALUE"""),"Reglamentación POT + AE reencuentro")</f>
        <v>Reglamentación POT + AE reencuentro</v>
      </c>
      <c r="C2358" s="55">
        <f ca="1">IFERROR(__xludf.DUMMYFUNCTION("""COMPUTED_VALUE"""),44942)</f>
        <v>44942</v>
      </c>
      <c r="D2358" s="25" t="str">
        <f ca="1">IFERROR(__xludf.DUMMYFUNCTION("""COMPUTED_VALUE"""),"Hábitat")</f>
        <v>Hábitat</v>
      </c>
      <c r="E2358" s="25" t="str">
        <f ca="1">IFERROR(__xludf.DUMMYFUNCTION("""COMPUTED_VALUE"""),"Empresa de Renovación y Desarrollo Urbano")</f>
        <v>Empresa de Renovación y Desarrollo Urbano</v>
      </c>
      <c r="F2358" s="25" t="str">
        <f ca="1">IFERROR(__xludf.DUMMYFUNCTION("""COMPUTED_VALUE"""),"Realizar traslado de los predios de la UAESP en PP Calle 24")</f>
        <v>Realizar traslado de los predios de la UAESP en PP Calle 24</v>
      </c>
      <c r="G2358" s="25" t="str">
        <f ca="1">IFERROR(__xludf.DUMMYFUNCTION("""COMPUTED_VALUE"""),"99. Distrito")</f>
        <v>99. Distrito</v>
      </c>
      <c r="H2358" s="55">
        <f ca="1">IFERROR(__xludf.DUMMYFUNCTION("""COMPUTED_VALUE"""),45199)</f>
        <v>45199</v>
      </c>
      <c r="I2358" s="25" t="str">
        <f ca="1">IFERROR(__xludf.DUMMYFUNCTION("""COMPUTED_VALUE"""),"Junta de Infraestructura")</f>
        <v>Junta de Infraestructura</v>
      </c>
      <c r="J2358" s="55" t="str">
        <f ca="1">IFERROR(__xludf.DUMMYFUNCTION("""COMPUTED_VALUE"""),"Baja")</f>
        <v>Baja</v>
      </c>
      <c r="K2358" s="25">
        <f ca="1">IFERROR(__xludf.DUMMYFUNCTION("""COMPUTED_VALUE"""),257)</f>
        <v>257</v>
      </c>
      <c r="L2358" s="62">
        <f ca="1">IFERROR(__xludf.DUMMYFUNCTION("""COMPUTED_VALUE"""),45077)</f>
        <v>45077</v>
      </c>
      <c r="M2358" s="25" t="str">
        <f ca="1">IFERROR(__xludf.DUMMYFUNCTION("""COMPUTED_VALUE"""),"Se avanza en el estudio de prefactibilidad financiera (incluye la revisión del manejo contable) del proyecto piloto Calle 24 para posteriormente gestionar la entrega de los predios por parte de UAESP.")</f>
        <v>Se avanza en el estudio de prefactibilidad financiera (incluye la revisión del manejo contable) del proyecto piloto Calle 24 para posteriormente gestionar la entrega de los predios por parte de UAESP.</v>
      </c>
      <c r="N2358" s="25"/>
      <c r="O2358" s="25" t="str">
        <f t="shared" ca="1" si="0"/>
        <v>Empresa de Renovación y Desarrollo Urbano</v>
      </c>
      <c r="P2358" s="25" t="str">
        <f t="shared" ca="1" si="2"/>
        <v/>
      </c>
      <c r="Q2358" s="25" t="str">
        <f ca="1">IFERROR(__xludf.DUMMYFUNCTION("""COMPUTED_VALUE"""),"Largo plazo")</f>
        <v>Largo plazo</v>
      </c>
      <c r="R2358" s="25"/>
      <c r="S2358" s="55"/>
      <c r="T2358" s="56"/>
      <c r="U2358" s="25"/>
      <c r="V2358" s="25"/>
      <c r="W2358" s="25"/>
      <c r="X2358" s="25"/>
      <c r="Y2358" s="25"/>
      <c r="Z2358" s="25"/>
    </row>
    <row r="2359" spans="1:26" ht="52.5" customHeight="1" x14ac:dyDescent="0.25">
      <c r="A2359" s="25" t="str">
        <f ca="1">IFERROR(__xludf.DUMMYFUNCTION("""COMPUTED_VALUE"""),"Hábit257")</f>
        <v>Hábit257</v>
      </c>
      <c r="B2359" s="25" t="str">
        <f ca="1">IFERROR(__xludf.DUMMYFUNCTION("""COMPUTED_VALUE"""),"Reglamentación POT + AE reencuentro")</f>
        <v>Reglamentación POT + AE reencuentro</v>
      </c>
      <c r="C2359" s="55">
        <f ca="1">IFERROR(__xludf.DUMMYFUNCTION("""COMPUTED_VALUE"""),44942)</f>
        <v>44942</v>
      </c>
      <c r="D2359" s="25" t="str">
        <f ca="1">IFERROR(__xludf.DUMMYFUNCTION("""COMPUTED_VALUE"""),"Hábitat")</f>
        <v>Hábitat</v>
      </c>
      <c r="E2359" s="25" t="str">
        <f ca="1">IFERROR(__xludf.DUMMYFUNCTION("""COMPUTED_VALUE"""),"Empresa de Renovación y Desarrollo Urbano")</f>
        <v>Empresa de Renovación y Desarrollo Urbano</v>
      </c>
      <c r="F2359" s="25" t="str">
        <f ca="1">IFERROR(__xludf.DUMMYFUNCTION("""COMPUTED_VALUE"""),"Informar al sector Movilidad (SDM, IDU y estructurador) la propuesta para la Línea 3 del Metro de Bogotá en el área de influencia del PP (Estación Metro Calle 26)")</f>
        <v>Informar al sector Movilidad (SDM, IDU y estructurador) la propuesta para la Línea 3 del Metro de Bogotá en el área de influencia del PP (Estación Metro Calle 26)</v>
      </c>
      <c r="G2359" s="25" t="str">
        <f ca="1">IFERROR(__xludf.DUMMYFUNCTION("""COMPUTED_VALUE"""),"99. Distrito")</f>
        <v>99. Distrito</v>
      </c>
      <c r="H2359" s="55">
        <f ca="1">IFERROR(__xludf.DUMMYFUNCTION("""COMPUTED_VALUE"""),44972)</f>
        <v>44972</v>
      </c>
      <c r="I2359" s="25"/>
      <c r="J2359" s="55" t="str">
        <f ca="1">IFERROR(__xludf.DUMMYFUNCTION("""COMPUTED_VALUE"""),"Alta")</f>
        <v>Alta</v>
      </c>
      <c r="K2359" s="25">
        <f ca="1">IFERROR(__xludf.DUMMYFUNCTION("""COMPUTED_VALUE"""),30)</f>
        <v>30</v>
      </c>
      <c r="L2359" s="62">
        <f ca="1">IFERROR(__xludf.DUMMYFUNCTION("""COMPUTED_VALUE"""),44972)</f>
        <v>44972</v>
      </c>
      <c r="M2359" s="25" t="str">
        <f ca="1">IFERROR(__xludf.DUMMYFUNCTION("""COMPUTED_VALUE"""),"La ERU envió al Instituto de Desarrollo Urbano el día 24-01-2023 en conjunto con SDP, la alternativa para la tercera línea del metro de Bogotá D.C. en el marco de la actuación estratégica Reencuentro.")</f>
        <v>La ERU envió al Instituto de Desarrollo Urbano el día 24-01-2023 en conjunto con SDP, la alternativa para la tercera línea del metro de Bogotá D.C. en el marco de la actuación estratégica Reencuentro.</v>
      </c>
      <c r="N2359" s="55">
        <f ca="1">IFERROR(__xludf.DUMMYFUNCTION("""COMPUTED_VALUE"""),44950)</f>
        <v>44950</v>
      </c>
      <c r="O2359" s="25" t="str">
        <f t="shared" ca="1" si="0"/>
        <v>Empresa de Renovación y Desarrollo Urbano</v>
      </c>
      <c r="P2359" s="25" t="str">
        <f t="shared" si="2"/>
        <v/>
      </c>
      <c r="Q2359" s="25" t="str">
        <f ca="1">IFERROR(__xludf.DUMMYFUNCTION("""COMPUTED_VALUE"""),"Corto plazo")</f>
        <v>Corto plazo</v>
      </c>
      <c r="R2359" s="25"/>
      <c r="S2359" s="55"/>
      <c r="T2359" s="56"/>
      <c r="U2359" s="25"/>
      <c r="V2359" s="25"/>
      <c r="W2359" s="25"/>
      <c r="X2359" s="25"/>
      <c r="Y2359" s="25"/>
      <c r="Z2359" s="25"/>
    </row>
    <row r="2360" spans="1:26" ht="52.5" customHeight="1" x14ac:dyDescent="0.25">
      <c r="A2360" s="25" t="str">
        <f ca="1">IFERROR(__xludf.DUMMYFUNCTION("""COMPUTED_VALUE"""),"Hábit258")</f>
        <v>Hábit258</v>
      </c>
      <c r="B2360" s="25" t="str">
        <f ca="1">IFERROR(__xludf.DUMMYFUNCTION("""COMPUTED_VALUE"""),"Revisión Ola Invernal")</f>
        <v>Revisión Ola Invernal</v>
      </c>
      <c r="C2360" s="55">
        <f ca="1">IFERROR(__xludf.DUMMYFUNCTION("""COMPUTED_VALUE"""),44945)</f>
        <v>44945</v>
      </c>
      <c r="D2360" s="25" t="str">
        <f ca="1">IFERROR(__xludf.DUMMYFUNCTION("""COMPUTED_VALUE"""),"Hábitat")</f>
        <v>Hábitat</v>
      </c>
      <c r="E2360" s="25" t="str">
        <f ca="1">IFERROR(__xludf.DUMMYFUNCTION("""COMPUTED_VALUE"""),"Empresa de Acueducto y Alcantarillado de Bogotá")</f>
        <v>Empresa de Acueducto y Alcantarillado de Bogotá</v>
      </c>
      <c r="F2360" s="25" t="str">
        <f ca="1">IFERROR(__xludf.DUMMYFUNCTION("""COMPUTED_VALUE"""),"Hacer manejos preventivos de captación de agua mediante zanjas o canaletas (de forma manual) en el Paraiso, mientras se hace el estudio sofisticado. Contratar por Fondiger. Pasar informe en máximo una semana.")</f>
        <v>Hacer manejos preventivos de captación de agua mediante zanjas o canaletas (de forma manual) en el Paraiso, mientras se hace el estudio sofisticado. Contratar por Fondiger. Pasar informe en máximo una semana.</v>
      </c>
      <c r="G2360" s="25" t="str">
        <f ca="1">IFERROR(__xludf.DUMMYFUNCTION("""COMPUTED_VALUE"""),"01. Usaquén")</f>
        <v>01. Usaquén</v>
      </c>
      <c r="H2360" s="55">
        <f ca="1">IFERROR(__xludf.DUMMYFUNCTION("""COMPUTED_VALUE"""),44972)</f>
        <v>44972</v>
      </c>
      <c r="I2360" s="25"/>
      <c r="J2360" s="55" t="str">
        <f ca="1">IFERROR(__xludf.DUMMYFUNCTION("""COMPUTED_VALUE"""),"Alta")</f>
        <v>Alta</v>
      </c>
      <c r="K2360" s="25">
        <f ca="1">IFERROR(__xludf.DUMMYFUNCTION("""COMPUTED_VALUE"""),27)</f>
        <v>27</v>
      </c>
      <c r="L2360" s="62">
        <f ca="1">IFERROR(__xludf.DUMMYFUNCTION("""COMPUTED_VALUE"""),44985)</f>
        <v>44985</v>
      </c>
      <c r="M2360" s="25" t="str">
        <f ca="1">IFERROR(__xludf.DUMMYFUNCTION("""COMPUTED_VALUE"""),"Actividad ejecutada con asesoría del acueducto y mano de obra de la comunidad. 
Por otra parte, por medio del convenio con Aguas de Bogotá y la EAAB-ESP se esta realizando la limpieza de las canaletas ( ver registro fotográfico adjunto) aledañas a la Queb"&amp;"rada el Chulo. ")</f>
        <v xml:space="preserve">Actividad ejecutada con asesoría del acueducto y mano de obra de la comunidad. 
Por otra parte, por medio del convenio con Aguas de Bogotá y la EAAB-ESP se esta realizando la limpieza de las canaletas ( ver registro fotográfico adjunto) aledañas a la Quebrada el Chulo. </v>
      </c>
      <c r="N2360" s="55">
        <f ca="1">IFERROR(__xludf.DUMMYFUNCTION("""COMPUTED_VALUE"""),44985)</f>
        <v>44985</v>
      </c>
      <c r="O2360" s="25" t="str">
        <f t="shared" ca="1" si="0"/>
        <v>Empresa de Acueducto y Alcantarillado de Bogotá</v>
      </c>
      <c r="P2360" s="25" t="str">
        <f t="shared" si="2"/>
        <v/>
      </c>
      <c r="Q2360" s="25" t="str">
        <f ca="1">IFERROR(__xludf.DUMMYFUNCTION("""COMPUTED_VALUE"""),"Corto plazo")</f>
        <v>Corto plazo</v>
      </c>
      <c r="R2360" s="25"/>
      <c r="S2360" s="55"/>
      <c r="T2360" s="56"/>
      <c r="U2360" s="25"/>
      <c r="V2360" s="25"/>
      <c r="W2360" s="25"/>
      <c r="X2360" s="25"/>
      <c r="Y2360" s="25"/>
      <c r="Z2360" s="25"/>
    </row>
    <row r="2361" spans="1:26" ht="52.5" customHeight="1" x14ac:dyDescent="0.25">
      <c r="A2361" s="25" t="str">
        <f ca="1">IFERROR(__xludf.DUMMYFUNCTION("""COMPUTED_VALUE"""),"Hábit259")</f>
        <v>Hábit259</v>
      </c>
      <c r="B2361" s="25" t="str">
        <f ca="1">IFERROR(__xludf.DUMMYFUNCTION("""COMPUTED_VALUE"""),"Revisión Ola Invernal")</f>
        <v>Revisión Ola Invernal</v>
      </c>
      <c r="C2361" s="55">
        <f ca="1">IFERROR(__xludf.DUMMYFUNCTION("""COMPUTED_VALUE"""),44945)</f>
        <v>44945</v>
      </c>
      <c r="D2361" s="25" t="str">
        <f ca="1">IFERROR(__xludf.DUMMYFUNCTION("""COMPUTED_VALUE"""),"Hábitat")</f>
        <v>Hábitat</v>
      </c>
      <c r="E2361" s="25" t="str">
        <f ca="1">IFERROR(__xludf.DUMMYFUNCTION("""COMPUTED_VALUE"""),"Empresa de Acueducto y Alcantarillado de Bogotá")</f>
        <v>Empresa de Acueducto y Alcantarillado de Bogotá</v>
      </c>
      <c r="F2361" s="25" t="str">
        <f ca="1">IFERROR(__xludf.DUMMYFUNCTION("""COMPUTED_VALUE"""),"Obra Tibabuyes: Conexión de la cicloruta debe quedar lista este año.")</f>
        <v>Obra Tibabuyes: Conexión de la cicloruta debe quedar lista este año.</v>
      </c>
      <c r="G2361" s="25" t="str">
        <f ca="1">IFERROR(__xludf.DUMMYFUNCTION("""COMPUTED_VALUE"""),"11. Suba")</f>
        <v>11. Suba</v>
      </c>
      <c r="H2361" s="55">
        <f ca="1">IFERROR(__xludf.DUMMYFUNCTION("""COMPUTED_VALUE"""),45230)</f>
        <v>45230</v>
      </c>
      <c r="I2361" s="25" t="str">
        <f ca="1">IFERROR(__xludf.DUMMYFUNCTION("""COMPUTED_VALUE"""),"Junta de Infraestructura")</f>
        <v>Junta de Infraestructura</v>
      </c>
      <c r="J2361" s="55" t="str">
        <f ca="1">IFERROR(__xludf.DUMMYFUNCTION("""COMPUTED_VALUE"""),"Baja")</f>
        <v>Baja</v>
      </c>
      <c r="K2361" s="25">
        <f ca="1">IFERROR(__xludf.DUMMYFUNCTION("""COMPUTED_VALUE"""),285)</f>
        <v>285</v>
      </c>
      <c r="L2361" s="62">
        <f ca="1">IFERROR(__xludf.DUMMYFUNCTION("""COMPUTED_VALUE"""),45077)</f>
        <v>45077</v>
      </c>
      <c r="M2361" s="25" t="str">
        <f ca="1">IFERROR(__xludf.DUMMYFUNCTION("""COMPUTED_VALUE"""),"El contratista ya entregó los cinco productos correspondientes a la Fase I del proyecto a la Interventoria FASE I 95%
Los cuales corresponden a los siguientes:
PRODUCTO 1: Informe de revisión de los diseños existentes y anteriores, con recomendaciones d"&amp;"e actualización y/o complementación avance 100%
PRODUCTO 2: La entrega de las alternativas de actualización y/o complementación que se derivaron de la revisión avance 100%
PRODUCTO 3: ya se ejecutaron los ensayos de los sondeos de suelos, con alternativas"&amp;" de solución geotécnica, y selección de la alternativa definitiva, Avance 100%                                                       
PRODUCTO 4: Resultado y análisis de los ensayos de estructura y patología, con alternativas de solución estructura o refo"&amp;"rzamiento, y selección de la alternativa definitiva. Avance 100%
PRODUCTO 5: Informe de alternativas de metodología y recomendación de construcción para los retos identificados en la estructura existente, y de
las alternativas generadas en el producto 2  "&amp;"Avance 100%.
PRODUCTO 6: Insumos para el trámite de las licencias de ocupación de cauce y silviculturales, y documentación de la licencia de construcción, que
se requieran para la aplicación de las alternativas generadas en los productos 2 y 5.  Avance 90"&amp;"%
Por lo anterior se encuentra en verificación el tramite de prorroga del proyecto para iniciar la etapa de obra una vez aterrizados los productos.")</f>
        <v>El contratista ya entregó los cinco productos correspondientes a la Fase I del proyecto a la Interventoria FASE I 95%
Los cuales corresponden a los siguientes:
PRODUCTO 1: Informe de revisión de los diseños existentes y anteriores, con recomendaciones de actualización y/o complementación avance 100%
PRODUCTO 2: La entrega de las alternativas de actualización y/o complementación que se derivaron de la revisión avance 100%
PRODUCTO 3: ya se ejecutaron los ensayos de los sondeos de suelos, con alternativas de solución geotécnica, y selección de la alternativa definitiva, Avance 100%                                                       
PRODUCTO 4: Resultado y análisis de los ensayos de estructura y patología, con alternativas de solución estructura o reforzamiento, y selección de la alternativa definitiva. Avance 100%
PRODUCTO 5: Informe de alternativas de metodología y recomendación de construcción para los retos identificados en la estructura existente, y de
las alternativas generadas en el producto 2  Avance 100%.
PRODUCTO 6: Insumos para el trámite de las licencias de ocupación de cauce y silviculturales, y documentación de la licencia de construcción, que
se requieran para la aplicación de las alternativas generadas en los productos 2 y 5.  Avance 90%
Por lo anterior se encuentra en verificación el tramite de prorroga del proyecto para iniciar la etapa de obra una vez aterrizados los productos.</v>
      </c>
      <c r="N2361" s="25"/>
      <c r="O2361" s="25" t="str">
        <f t="shared" ca="1" si="0"/>
        <v>Empresa de Acueducto y Alcantarillado de Bogotá</v>
      </c>
      <c r="P2361" s="25" t="str">
        <f t="shared" ca="1" si="2"/>
        <v/>
      </c>
      <c r="Q2361" s="25" t="str">
        <f ca="1">IFERROR(__xludf.DUMMYFUNCTION("""COMPUTED_VALUE"""),"Largo plazo")</f>
        <v>Largo plazo</v>
      </c>
      <c r="R2361" s="25"/>
      <c r="S2361" s="55"/>
      <c r="T2361" s="56"/>
      <c r="U2361" s="25"/>
      <c r="V2361" s="25"/>
      <c r="W2361" s="25"/>
      <c r="X2361" s="25"/>
      <c r="Y2361" s="25"/>
      <c r="Z2361" s="25"/>
    </row>
    <row r="2362" spans="1:26" ht="52.5" customHeight="1" x14ac:dyDescent="0.25">
      <c r="A2362" s="25" t="str">
        <f ca="1">IFERROR(__xludf.DUMMYFUNCTION("""COMPUTED_VALUE"""),"Hábit260")</f>
        <v>Hábit260</v>
      </c>
      <c r="B2362" s="25" t="str">
        <f ca="1">IFERROR(__xludf.DUMMYFUNCTION("""COMPUTED_VALUE"""),"Revisión Ola Invernal")</f>
        <v>Revisión Ola Invernal</v>
      </c>
      <c r="C2362" s="55">
        <f ca="1">IFERROR(__xludf.DUMMYFUNCTION("""COMPUTED_VALUE"""),44945)</f>
        <v>44945</v>
      </c>
      <c r="D2362" s="25" t="str">
        <f ca="1">IFERROR(__xludf.DUMMYFUNCTION("""COMPUTED_VALUE"""),"Hábitat")</f>
        <v>Hábitat</v>
      </c>
      <c r="E2362" s="25" t="str">
        <f ca="1">IFERROR(__xludf.DUMMYFUNCTION("""COMPUTED_VALUE"""),"Secretaría Distrital del Hábitat")</f>
        <v>Secretaría Distrital del Hábitat</v>
      </c>
      <c r="F2362" s="25" t="str">
        <f ca="1">IFERROR(__xludf.DUMMYFUNCTION("""COMPUTED_VALUE"""),"Circunvalar en la 22. Encauzar el agua hacia las cunetas y no en toda la montaña. Entidades que intervienen: EAAB e IDU")</f>
        <v>Circunvalar en la 22. Encauzar el agua hacia las cunetas y no en toda la montaña. Entidades que intervienen: EAAB e IDU</v>
      </c>
      <c r="G2362" s="25" t="str">
        <f ca="1">IFERROR(__xludf.DUMMYFUNCTION("""COMPUTED_VALUE"""),"17. La Candelaria")</f>
        <v>17. La Candelaria</v>
      </c>
      <c r="H2362" s="55">
        <f ca="1">IFERROR(__xludf.DUMMYFUNCTION("""COMPUTED_VALUE"""),45015)</f>
        <v>45015</v>
      </c>
      <c r="I2362" s="25" t="str">
        <f ca="1">IFERROR(__xludf.DUMMYFUNCTION("""COMPUTED_VALUE"""),"Junta de Infraestructura")</f>
        <v>Junta de Infraestructura</v>
      </c>
      <c r="J2362" s="55" t="str">
        <f ca="1">IFERROR(__xludf.DUMMYFUNCTION("""COMPUTED_VALUE"""),"Media")</f>
        <v>Media</v>
      </c>
      <c r="K2362" s="25">
        <f ca="1">IFERROR(__xludf.DUMMYFUNCTION("""COMPUTED_VALUE"""),70)</f>
        <v>70</v>
      </c>
      <c r="L2362" s="62">
        <f ca="1">IFERROR(__xludf.DUMMYFUNCTION("""COMPUTED_VALUE"""),45077)</f>
        <v>45077</v>
      </c>
      <c r="M2362" s="25" t="str">
        <f ca="1">IFERROR(__xludf.DUMMYFUNCTION("""COMPUTED_VALUE"""),"1) Se realizó Visita de Verificación el 16/01/2023
2) Se realizó Diagnostico de Redes Existes en el Sector de Interés el 16/01/2023. El 16 de enero del 2023, se adelantó las actividades de verificación por parte de la EAAB-ESP en la Avenida Circunvalar, "&amp;"sentido norte sur, con Calle 17, en inmediaciones del Centro Las Gaviotas en la que se identificó que no existe redes de acueducto o alcantarillados en el sector, ya que se trata de un AREAL RURAL conforme a los limites oficiales catastrales del IDECA de "&amp;"la Unidad Administrativa Especial de Catastro Distrital")</f>
        <v>1) Se realizó Visita de Verificación el 16/01/2023
2) Se realizó Diagnostico de Redes Existes en el Sector de Interés el 16/01/2023. El 16 de enero del 2023, se adelantó las actividades de verificación por parte de la EAAB-ESP en la Avenida Circunvalar, sentido norte sur, con Calle 17, en inmediaciones del Centro Las Gaviotas en la que se identificó que no existe redes de acueducto o alcantarillados en el sector, ya que se trata de un AREAL RURAL conforme a los limites oficiales catastrales del IDECA de la Unidad Administrativa Especial de Catastro Distrital</v>
      </c>
      <c r="N2362" s="25"/>
      <c r="O2362" s="25" t="str">
        <f t="shared" ca="1" si="0"/>
        <v>Secretaría Distrital del Hábitat</v>
      </c>
      <c r="P2362" s="25" t="str">
        <f t="shared" ca="1" si="2"/>
        <v/>
      </c>
      <c r="Q2362" s="25" t="str">
        <f ca="1">IFERROR(__xludf.DUMMYFUNCTION("""COMPUTED_VALUE"""),"Mediano plazo")</f>
        <v>Mediano plazo</v>
      </c>
      <c r="R2362" s="25"/>
      <c r="S2362" s="55"/>
      <c r="T2362" s="56"/>
      <c r="U2362" s="25"/>
      <c r="V2362" s="25"/>
      <c r="W2362" s="25"/>
      <c r="X2362" s="25"/>
      <c r="Y2362" s="25"/>
      <c r="Z2362" s="25"/>
    </row>
    <row r="2363" spans="1:26" ht="52.5" customHeight="1" x14ac:dyDescent="0.25">
      <c r="A2363" s="25" t="str">
        <f ca="1">IFERROR(__xludf.DUMMYFUNCTION("""COMPUTED_VALUE"""),"Hábit261")</f>
        <v>Hábit261</v>
      </c>
      <c r="B2363" s="25" t="str">
        <f ca="1">IFERROR(__xludf.DUMMYFUNCTION("""COMPUTED_VALUE"""),"Revisión Ola Invernal")</f>
        <v>Revisión Ola Invernal</v>
      </c>
      <c r="C2363" s="55">
        <f ca="1">IFERROR(__xludf.DUMMYFUNCTION("""COMPUTED_VALUE"""),44945)</f>
        <v>44945</v>
      </c>
      <c r="D2363" s="25" t="str">
        <f ca="1">IFERROR(__xludf.DUMMYFUNCTION("""COMPUTED_VALUE"""),"Hábitat")</f>
        <v>Hábitat</v>
      </c>
      <c r="E2363" s="25" t="str">
        <f ca="1">IFERROR(__xludf.DUMMYFUNCTION("""COMPUTED_VALUE"""),"Secretaría Distrital del Hábitat")</f>
        <v>Secretaría Distrital del Hábitat</v>
      </c>
      <c r="F2363" s="25" t="str">
        <f ca="1">IFERROR(__xludf.DUMMYFUNCTION("""COMPUTED_VALUE"""),"Sitio crítico por movimientos en masa en tramos viales:
 Usaquén – Santa Cecilia. 
 Presentar informe de riesgo del Idiger que muestre el impacto de la via, y qué se debe reasentar en lugar de consolidar; bloquear el paso y concentrar el esfuerzo de rease"&amp;"ntamiento. Entidades que intervienen: Hábitat, Secretaría de Gobierno, Alcaldía Local")</f>
        <v>Sitio crítico por movimientos en masa en tramos viales:
 Usaquén – Santa Cecilia. 
 Presentar informe de riesgo del Idiger que muestre el impacto de la via, y qué se debe reasentar en lugar de consolidar; bloquear el paso y concentrar el esfuerzo de reasentamiento. Entidades que intervienen: Hábitat, Secretaría de Gobierno, Alcaldía Local</v>
      </c>
      <c r="G2363" s="25" t="str">
        <f ca="1">IFERROR(__xludf.DUMMYFUNCTION("""COMPUTED_VALUE"""),"01. Usaquén")</f>
        <v>01. Usaquén</v>
      </c>
      <c r="H2363" s="55">
        <f ca="1">IFERROR(__xludf.DUMMYFUNCTION("""COMPUTED_VALUE"""),45107)</f>
        <v>45107</v>
      </c>
      <c r="I2363" s="25" t="str">
        <f ca="1">IFERROR(__xludf.DUMMYFUNCTION("""COMPUTED_VALUE"""),"Junta de Infraestructura")</f>
        <v>Junta de Infraestructura</v>
      </c>
      <c r="J2363" s="55" t="str">
        <f ca="1">IFERROR(__xludf.DUMMYFUNCTION("""COMPUTED_VALUE"""),"Media")</f>
        <v>Media</v>
      </c>
      <c r="K2363" s="25">
        <f ca="1">IFERROR(__xludf.DUMMYFUNCTION("""COMPUTED_VALUE"""),162)</f>
        <v>162</v>
      </c>
      <c r="L2363" s="62">
        <f ca="1">IFERROR(__xludf.DUMMYFUNCTION("""COMPUTED_VALUE"""),45077)</f>
        <v>45077</v>
      </c>
      <c r="M2363" s="25" t="str">
        <f ca="1">IFERROR(__xludf.DUMMYFUNCTION("""COMPUTED_VALUE"""),"A corte de 30 de mayo de 2023, se espera el avance del informe parcial de la SCI que tiene fecha de recibo 1 de junio, a su vez se ha realizado seguimiento al movimiento de piedras en terreno con la ayuda del personal del ejercito suministrado por IDIGER
"&amp;"
A corte de 15 de mayo de 2023, la SCI se encuentra en su trabajo de diagnóstico, el cual tendrá un informe parcial para presentación a la comunidad con fecha a la primera semaan de junio. Así mismo, el IDIGER con apoyo del ejercito desde el día 9 de mayo"&amp;" se encuentra en labores de retiro de piezas , para evitar el desprendimiento y caida de objetos a la parte baja de santa cecilia.             
A la fecha se realizó reunión el día 24 de abril con la SCI para la verificación de la información física. Adi"&amp;"cional a esto el día 27 de abril se realizó visita con el IDIGER con el objetivo de poder realizar obras de mitigación de riesgo en la zona.
El día 28 de marzo se firmó el acta de inicio para el diagnóstico con la Sociedad Colombiana de Ingenieros (SCI),"&amp;" se tiene previsto tres (3) meses para la emisión del diagnóstico final de este segmento víal.
OBJETO:REALIZAR EL DICTAMEN TÉCNICO PARA DETERMINAR LOS CAMBIOS MORFOLÓGICOS Y LA POSIBLE EXISTENCIA DE PROCESOS INESTABLES ANTIGUOS EN EL SEGMENTO VIAL NÚMERO"&amp;" CIV 1002502, Y LAS POSIBLES CAUSAS DE QUE LAS AGUAS LLUVIAS, EN EL SEGMENTO VIAL CIV 1008237, CIRCULEN POR LA SUPERFICIE DE LAS ESCALERAS.
VALOR: $136.850.000
PLAZO: TRES (3) MESES
FECHA ESTIMADA DE TERMINACIÓN: 26 DE JUNIO DE 2023
A corte de 15 de mayo"&amp;" de 2023, la SCI se encuentra en su trabajo de diagnóstico, el cual tendrá un informe parcial para presentación a la comunidad con fecha a la primera semaan de junio.
Así mismo, el IDIGER con apoyo del ejercito desde el día 9 de mayo se encuentra en labor"&amp;"es de retiro de piezas , para evitar el desprendimiento y caida de objetos a la parte baja de santa cecilia.
A corte de 30 se espera el avance del informe parcial de la SCI que tiene feca de recibo 1 de junio, a su vez se ha realizado seguimiento al movi"&amp;"miento de piedras  el terreno con la ayuda del personal del ejercito suministrado por IDIGER""
")</f>
        <v xml:space="preserve">A corte de 30 de mayo de 2023, se espera el avance del informe parcial de la SCI que tiene fecha de recibo 1 de junio, a su vez se ha realizado seguimiento al movimiento de piedras en terreno con la ayuda del personal del ejercito suministrado por IDIGER
A corte de 15 de mayo de 2023, la SCI se encuentra en su trabajo de diagnóstico, el cual tendrá un informe parcial para presentación a la comunidad con fecha a la primera semaan de junio. Así mismo, el IDIGER con apoyo del ejercito desde el día 9 de mayo se encuentra en labores de retiro de piezas , para evitar el desprendimiento y caida de objetos a la parte baja de santa cecilia.             
A la fecha se realizó reunión el día 24 de abril con la SCI para la verificación de la información física. Adicional a esto el día 27 de abril se realizó visita con el IDIGER con el objetivo de poder realizar obras de mitigación de riesgo en la zona.
El día 28 de marzo se firmó el acta de inicio para el diagnóstico con la Sociedad Colombiana de Ingenieros (SCI), se tiene previsto tres (3) meses para la emisión del diagnóstico final de este segmento víal.
OBJETO:REALIZAR EL DICTAMEN TÉCNICO PARA DETERMINAR LOS CAMBIOS MORFOLÓGICOS Y LA POSIBLE EXISTENCIA DE PROCESOS INESTABLES ANTIGUOS EN EL SEGMENTO VIAL NÚMERO CIV 1002502, Y LAS POSIBLES CAUSAS DE QUE LAS AGUAS LLUVIAS, EN EL SEGMENTO VIAL CIV 1008237, CIRCULEN POR LA SUPERFICIE DE LAS ESCALERAS.
VALOR: $136.850.000
PLAZO: TRES (3) MESES
FECHA ESTIMADA DE TERMINACIÓN: 26 DE JUNIO DE 2023
A corte de 15 de mayo de 2023, la SCI se encuentra en su trabajo de diagnóstico, el cual tendrá un informe parcial para presentación a la comunidad con fecha a la primera semaan de junio.
Así mismo, el IDIGER con apoyo del ejercito desde el día 9 de mayo se encuentra en labores de retiro de piezas , para evitar el desprendimiento y caida de objetos a la parte baja de santa cecilia.
A corte de 30 se espera el avance del informe parcial de la SCI que tiene feca de recibo 1 de junio, a su vez se ha realizado seguimiento al movimiento de piedras  el terreno con la ayuda del personal del ejercito suministrado por IDIGER"
</v>
      </c>
      <c r="N2363" s="25"/>
      <c r="O2363" s="25" t="str">
        <f t="shared" ca="1" si="0"/>
        <v>Secretaría Distrital del Hábitat</v>
      </c>
      <c r="P2363" s="25" t="str">
        <f t="shared" ca="1" si="2"/>
        <v/>
      </c>
      <c r="Q2363" s="25" t="str">
        <f ca="1">IFERROR(__xludf.DUMMYFUNCTION("""COMPUTED_VALUE"""),"Mediano plazo")</f>
        <v>Mediano plazo</v>
      </c>
      <c r="R2363" s="25"/>
      <c r="S2363" s="55"/>
      <c r="T2363" s="56"/>
      <c r="U2363" s="25"/>
      <c r="V2363" s="25"/>
      <c r="W2363" s="25"/>
      <c r="X2363" s="25"/>
      <c r="Y2363" s="25"/>
      <c r="Z2363" s="25"/>
    </row>
    <row r="2364" spans="1:26" ht="52.5" customHeight="1" x14ac:dyDescent="0.25">
      <c r="A2364" s="25" t="str">
        <f ca="1">IFERROR(__xludf.DUMMYFUNCTION("""COMPUTED_VALUE"""),"Hábit262")</f>
        <v>Hábit262</v>
      </c>
      <c r="B2364" s="25"/>
      <c r="C2364" s="55"/>
      <c r="D2364" s="25" t="str">
        <f ca="1">IFERROR(__xludf.DUMMYFUNCTION("""COMPUTED_VALUE"""),"Hábitat")</f>
        <v>Hábitat</v>
      </c>
      <c r="E2364" s="25" t="str">
        <f ca="1">IFERROR(__xludf.DUMMYFUNCTION("""COMPUTED_VALUE"""),"Secretaría Distrital del Hábitat")</f>
        <v>Secretaría Distrital del Hábitat</v>
      </c>
      <c r="F2364" s="25" t="str">
        <f ca="1">IFERROR(__xludf.DUMMYFUNCTION("""COMPUTED_VALUE"""),"Eliminada")</f>
        <v>Eliminada</v>
      </c>
      <c r="G2364" s="25"/>
      <c r="H2364" s="25"/>
      <c r="I2364" s="25"/>
      <c r="J2364" s="55"/>
      <c r="K2364" s="25" t="str">
        <f ca="1">IFERROR(__xludf.DUMMYFUNCTION("""COMPUTED_VALUE"""),"Definir fecha")</f>
        <v>Definir fecha</v>
      </c>
      <c r="L2364" s="62"/>
      <c r="M2364" s="25"/>
      <c r="N2364" s="25"/>
      <c r="O2364" s="25" t="str">
        <f t="shared" ca="1" si="0"/>
        <v>Secretaría Distrital del Hábitat</v>
      </c>
      <c r="P2364" s="25" t="str">
        <f t="shared" si="2"/>
        <v/>
      </c>
      <c r="Q2364" s="25" t="str">
        <f ca="1">IFERROR(__xludf.DUMMYFUNCTION("""COMPUTED_VALUE"""),"Sin defenir")</f>
        <v>Sin defenir</v>
      </c>
      <c r="R2364" s="25"/>
      <c r="S2364" s="55"/>
      <c r="T2364" s="56"/>
      <c r="U2364" s="25"/>
      <c r="V2364" s="25"/>
      <c r="W2364" s="25"/>
      <c r="X2364" s="25"/>
      <c r="Y2364" s="25"/>
      <c r="Z2364" s="25"/>
    </row>
    <row r="2365" spans="1:26" ht="52.5" customHeight="1" x14ac:dyDescent="0.25">
      <c r="A2365" s="25" t="str">
        <f ca="1">IFERROR(__xludf.DUMMYFUNCTION("""COMPUTED_VALUE"""),"Hábit263")</f>
        <v>Hábit263</v>
      </c>
      <c r="B2365" s="25"/>
      <c r="C2365" s="55"/>
      <c r="D2365" s="25" t="str">
        <f ca="1">IFERROR(__xludf.DUMMYFUNCTION("""COMPUTED_VALUE"""),"Hábitat")</f>
        <v>Hábitat</v>
      </c>
      <c r="E2365" s="25" t="str">
        <f ca="1">IFERROR(__xludf.DUMMYFUNCTION("""COMPUTED_VALUE"""),"Secretaría Distrital del Hábitat")</f>
        <v>Secretaría Distrital del Hábitat</v>
      </c>
      <c r="F2365" s="25" t="str">
        <f ca="1">IFERROR(__xludf.DUMMYFUNCTION("""COMPUTED_VALUE"""),"Eliminada")</f>
        <v>Eliminada</v>
      </c>
      <c r="G2365" s="25"/>
      <c r="H2365" s="25"/>
      <c r="I2365" s="25"/>
      <c r="J2365" s="55"/>
      <c r="K2365" s="25" t="str">
        <f ca="1">IFERROR(__xludf.DUMMYFUNCTION("""COMPUTED_VALUE"""),"Definir fecha")</f>
        <v>Definir fecha</v>
      </c>
      <c r="L2365" s="62"/>
      <c r="M2365" s="25"/>
      <c r="N2365" s="25"/>
      <c r="O2365" s="25" t="str">
        <f t="shared" ca="1" si="0"/>
        <v>Secretaría Distrital del Hábitat</v>
      </c>
      <c r="P2365" s="25" t="str">
        <f t="shared" si="2"/>
        <v/>
      </c>
      <c r="Q2365" s="25" t="str">
        <f ca="1">IFERROR(__xludf.DUMMYFUNCTION("""COMPUTED_VALUE"""),"Sin defenir")</f>
        <v>Sin defenir</v>
      </c>
      <c r="R2365" s="25"/>
      <c r="S2365" s="55"/>
      <c r="T2365" s="56"/>
      <c r="U2365" s="25"/>
      <c r="V2365" s="25"/>
      <c r="W2365" s="25"/>
      <c r="X2365" s="25"/>
      <c r="Y2365" s="25"/>
      <c r="Z2365" s="25"/>
    </row>
    <row r="2366" spans="1:26" ht="52.5" customHeight="1" x14ac:dyDescent="0.25">
      <c r="A2366" s="25" t="str">
        <f ca="1">IFERROR(__xludf.DUMMYFUNCTION("""COMPUTED_VALUE"""),"Hábit264")</f>
        <v>Hábit264</v>
      </c>
      <c r="B2366" s="25" t="str">
        <f ca="1">IFERROR(__xludf.DUMMYFUNCTION("""COMPUTED_VALUE"""),"Revisión Ola Invernal")</f>
        <v>Revisión Ola Invernal</v>
      </c>
      <c r="C2366" s="55">
        <f ca="1">IFERROR(__xludf.DUMMYFUNCTION("""COMPUTED_VALUE"""),44945)</f>
        <v>44945</v>
      </c>
      <c r="D2366" s="25" t="str">
        <f ca="1">IFERROR(__xludf.DUMMYFUNCTION("""COMPUTED_VALUE"""),"Hábitat")</f>
        <v>Hábitat</v>
      </c>
      <c r="E2366" s="25" t="str">
        <f ca="1">IFERROR(__xludf.DUMMYFUNCTION("""COMPUTED_VALUE"""),"Empresa de Acueducto y Alcantarillado de Bogotá")</f>
        <v>Empresa de Acueducto y Alcantarillado de Bogotá</v>
      </c>
      <c r="F2366" s="25" t="str">
        <f ca="1">IFERROR(__xludf.DUMMYFUNCTION("""COMPUTED_VALUE"""),"Deprimido calle 94. Construcción de 49 sumideros adicionales. Se deben fondear y deben quedar este año")</f>
        <v>Deprimido calle 94. Construcción de 49 sumideros adicionales. Se deben fondear y deben quedar este año</v>
      </c>
      <c r="G2366" s="25" t="str">
        <f ca="1">IFERROR(__xludf.DUMMYFUNCTION("""COMPUTED_VALUE"""),"02. Chapinero")</f>
        <v>02. Chapinero</v>
      </c>
      <c r="H2366" s="55">
        <f ca="1">IFERROR(__xludf.DUMMYFUNCTION("""COMPUTED_VALUE"""),45184)</f>
        <v>45184</v>
      </c>
      <c r="I2366" s="25" t="str">
        <f ca="1">IFERROR(__xludf.DUMMYFUNCTION("""COMPUTED_VALUE"""),"Junta de Infraestructura")</f>
        <v>Junta de Infraestructura</v>
      </c>
      <c r="J2366" s="55" t="str">
        <f ca="1">IFERROR(__xludf.DUMMYFUNCTION("""COMPUTED_VALUE"""),"Baja")</f>
        <v>Baja</v>
      </c>
      <c r="K2366" s="25">
        <f ca="1">IFERROR(__xludf.DUMMYFUNCTION("""COMPUTED_VALUE"""),239)</f>
        <v>239</v>
      </c>
      <c r="L2366" s="62">
        <f ca="1">IFERROR(__xludf.DUMMYFUNCTION("""COMPUTED_VALUE"""),45077)</f>
        <v>45077</v>
      </c>
      <c r="M2366" s="25" t="str">
        <f ca="1">IFERROR(__xludf.DUMMYFUNCTION("""COMPUTED_VALUE"""),"Se continua con el proceso de formulación y maduración del proyecto en el Sistema de Gestión de Infraestructura (SGI), se georreferencian los 49 puntos a intervenir, se ajusta el cálculo de cantidades de obra, se proyecta una inversión de $ 1.402.895.060,"&amp;"36, este valor susceptible de cambio de acuerdo con los cálculos de AIU. Adicionalmente, se creo la ficha de inscripción en el Banco de Proycetos de la EAAB-ESP y se generó la Matriz Multicriterio, documentos necesarios para la solicitud de recursos. 
Al "&amp;"8 de mayo de 2023, el proyecto se encuentra en revisión por parte de Bienes raices, para la disponibilidad predial. ")</f>
        <v xml:space="preserve">Se continua con el proceso de formulación y maduración del proyecto en el Sistema de Gestión de Infraestructura (SGI), se georreferencian los 49 puntos a intervenir, se ajusta el cálculo de cantidades de obra, se proyecta una inversión de $ 1.402.895.060,36, este valor susceptible de cambio de acuerdo con los cálculos de AIU. Adicionalmente, se creo la ficha de inscripción en el Banco de Proycetos de la EAAB-ESP y se generó la Matriz Multicriterio, documentos necesarios para la solicitud de recursos. 
Al 8 de mayo de 2023, el proyecto se encuentra en revisión por parte de Bienes raices, para la disponibilidad predial. </v>
      </c>
      <c r="N2366" s="25"/>
      <c r="O2366" s="25" t="str">
        <f t="shared" ca="1" si="0"/>
        <v>Empresa de Acueducto y Alcantarillado de Bogotá</v>
      </c>
      <c r="P2366" s="25" t="str">
        <f t="shared" ca="1" si="2"/>
        <v/>
      </c>
      <c r="Q2366" s="25" t="str">
        <f ca="1">IFERROR(__xludf.DUMMYFUNCTION("""COMPUTED_VALUE"""),"Largo plazo")</f>
        <v>Largo plazo</v>
      </c>
      <c r="R2366" s="25"/>
      <c r="S2366" s="55"/>
      <c r="T2366" s="56"/>
      <c r="U2366" s="25"/>
      <c r="V2366" s="25"/>
      <c r="W2366" s="25"/>
      <c r="X2366" s="25"/>
      <c r="Y2366" s="25"/>
      <c r="Z2366" s="25"/>
    </row>
    <row r="2367" spans="1:26" ht="52.5" customHeight="1" x14ac:dyDescent="0.25">
      <c r="A2367" s="25" t="str">
        <f ca="1">IFERROR(__xludf.DUMMYFUNCTION("""COMPUTED_VALUE"""),"Hábit265")</f>
        <v>Hábit265</v>
      </c>
      <c r="B2367" s="25" t="str">
        <f ca="1">IFERROR(__xludf.DUMMYFUNCTION("""COMPUTED_VALUE"""),"Revisión Ola Invernal")</f>
        <v>Revisión Ola Invernal</v>
      </c>
      <c r="C2367" s="55">
        <f ca="1">IFERROR(__xludf.DUMMYFUNCTION("""COMPUTED_VALUE"""),44945)</f>
        <v>44945</v>
      </c>
      <c r="D2367" s="25" t="str">
        <f ca="1">IFERROR(__xludf.DUMMYFUNCTION("""COMPUTED_VALUE"""),"Hábitat")</f>
        <v>Hábitat</v>
      </c>
      <c r="E2367" s="25" t="str">
        <f ca="1">IFERROR(__xludf.DUMMYFUNCTION("""COMPUTED_VALUE"""),"Empresa de Acueducto y Alcantarillado de Bogotá")</f>
        <v>Empresa de Acueducto y Alcantarillado de Bogotá</v>
      </c>
      <c r="F2367" s="25" t="str">
        <f ca="1">IFERROR(__xludf.DUMMYFUNCTION("""COMPUTED_VALUE"""),"Deprimido calle 80 con Caracas
 Hacer el mantenimiento y poner una estación de bombeo o poner más sumideros o mejorar la capacidad hidráulica de los sumideros para evacuar rápidamente el agua
 Tener equipo permanente 80, 92, 94, al frente del Virrey.")</f>
        <v>Deprimido calle 80 con Caracas
 Hacer el mantenimiento y poner una estación de bombeo o poner más sumideros o mejorar la capacidad hidráulica de los sumideros para evacuar rápidamente el agua
 Tener equipo permanente 80, 92, 94, al frente del Virrey.</v>
      </c>
      <c r="G2367" s="25" t="str">
        <f ca="1">IFERROR(__xludf.DUMMYFUNCTION("""COMPUTED_VALUE"""),"12. Barrios Unidos")</f>
        <v>12. Barrios Unidos</v>
      </c>
      <c r="H2367" s="55">
        <f ca="1">IFERROR(__xludf.DUMMYFUNCTION("""COMPUTED_VALUE"""),45092)</f>
        <v>45092</v>
      </c>
      <c r="I2367" s="25"/>
      <c r="J2367" s="55" t="str">
        <f ca="1">IFERROR(__xludf.DUMMYFUNCTION("""COMPUTED_VALUE"""),"Media")</f>
        <v>Media</v>
      </c>
      <c r="K2367" s="25">
        <f ca="1">IFERROR(__xludf.DUMMYFUNCTION("""COMPUTED_VALUE"""),147)</f>
        <v>147</v>
      </c>
      <c r="L2367" s="62">
        <f ca="1">IFERROR(__xludf.DUMMYFUNCTION("""COMPUTED_VALUE"""),45016)</f>
        <v>45016</v>
      </c>
      <c r="M2367" s="25" t="str">
        <f ca="1">IFERROR(__xludf.DUMMYFUNCTION("""COMPUTED_VALUE"""),"En investigación realizada los dias 25 y 26 de enero de 2023 a las redes del desagüe del deprimido de la calle 80 se pudo evidenciar que el mismo drena hacia el norte al colector ""autopista norte"" de  diámetro de 2.30 metros. El drenaje del deprimido de"&amp;" la Av. Calle 80 con Av. Caracas se encontraba colapsado por taponamiento de escombros y basuras en pozos localizados en carril de Transmilenio y en el cerramiento donde se encontraba ubicado el antiguo Monumento a Los Héroes. Durante la investigación se "&amp;"pudo realizar la limpieza de estos pozos y redes de alcantarillado que optimizaron el buen funcioinamiento de dicho drenaje.
Asi mismo, en el mes de marzo de 2023 se realizó el mantenimiento de los 2 tramos faltantes quedando el sistema de drenaje del dep"&amp;"rimido en óptimas condiciones de funcionamiento, mitigando la afectación por encharcamiento  del deprimido. A la fecha se encuentra funcionando en buenas condiciones hidraúlicas.")</f>
        <v>En investigación realizada los dias 25 y 26 de enero de 2023 a las redes del desagüe del deprimido de la calle 80 se pudo evidenciar que el mismo drena hacia el norte al colector "autopista norte" de  diámetro de 2.30 metros. El drenaje del deprimido de la Av. Calle 80 con Av. Caracas se encontraba colapsado por taponamiento de escombros y basuras en pozos localizados en carril de Transmilenio y en el cerramiento donde se encontraba ubicado el antiguo Monumento a Los Héroes. Durante la investigación se pudo realizar la limpieza de estos pozos y redes de alcantarillado que optimizaron el buen funcioinamiento de dicho drenaje.
Asi mismo, en el mes de marzo de 2023 se realizó el mantenimiento de los 2 tramos faltantes quedando el sistema de drenaje del deprimido en óptimas condiciones de funcionamiento, mitigando la afectación por encharcamiento  del deprimido. A la fecha se encuentra funcionando en buenas condiciones hidraúlicas.</v>
      </c>
      <c r="N2367" s="55">
        <f ca="1">IFERROR(__xludf.DUMMYFUNCTION("""COMPUTED_VALUE"""),45016)</f>
        <v>45016</v>
      </c>
      <c r="O2367" s="25" t="str">
        <f t="shared" ca="1" si="0"/>
        <v>Empresa de Acueducto y Alcantarillado de Bogotá</v>
      </c>
      <c r="P2367" s="25" t="str">
        <f t="shared" si="2"/>
        <v/>
      </c>
      <c r="Q2367" s="25" t="str">
        <f ca="1">IFERROR(__xludf.DUMMYFUNCTION("""COMPUTED_VALUE"""),"Mediano plazo")</f>
        <v>Mediano plazo</v>
      </c>
      <c r="R2367" s="25"/>
      <c r="S2367" s="55"/>
      <c r="T2367" s="56"/>
      <c r="U2367" s="25"/>
      <c r="V2367" s="25"/>
      <c r="W2367" s="25"/>
      <c r="X2367" s="25"/>
      <c r="Y2367" s="25"/>
      <c r="Z2367" s="25"/>
    </row>
    <row r="2368" spans="1:26" ht="52.5" customHeight="1" x14ac:dyDescent="0.25">
      <c r="A2368" s="25" t="str">
        <f ca="1">IFERROR(__xludf.DUMMYFUNCTION("""COMPUTED_VALUE"""),"Hábit266")</f>
        <v>Hábit266</v>
      </c>
      <c r="B2368" s="25" t="str">
        <f ca="1">IFERROR(__xludf.DUMMYFUNCTION("""COMPUTED_VALUE"""),"Revisión Ola Invernal")</f>
        <v>Revisión Ola Invernal</v>
      </c>
      <c r="C2368" s="55">
        <f ca="1">IFERROR(__xludf.DUMMYFUNCTION("""COMPUTED_VALUE"""),44945)</f>
        <v>44945</v>
      </c>
      <c r="D2368" s="25" t="str">
        <f ca="1">IFERROR(__xludf.DUMMYFUNCTION("""COMPUTED_VALUE"""),"Hábitat")</f>
        <v>Hábitat</v>
      </c>
      <c r="E2368" s="25" t="str">
        <f ca="1">IFERROR(__xludf.DUMMYFUNCTION("""COMPUTED_VALUE"""),"Empresa de Acueducto y Alcantarillado de Bogotá")</f>
        <v>Empresa de Acueducto y Alcantarillado de Bogotá</v>
      </c>
      <c r="F2368" s="25" t="str">
        <f ca="1">IFERROR(__xludf.DUMMYFUNCTION("""COMPUTED_VALUE"""),"Estación Transmilenio Virrey. 
 Ampliar sumideros y conectarlos al sistema de drenaje")</f>
        <v>Estación Transmilenio Virrey. 
 Ampliar sumideros y conectarlos al sistema de drenaje</v>
      </c>
      <c r="G2368" s="25" t="str">
        <f ca="1">IFERROR(__xludf.DUMMYFUNCTION("""COMPUTED_VALUE"""),"02. Chapinero")</f>
        <v>02. Chapinero</v>
      </c>
      <c r="H2368" s="55">
        <f ca="1">IFERROR(__xludf.DUMMYFUNCTION("""COMPUTED_VALUE"""),45092)</f>
        <v>45092</v>
      </c>
      <c r="I2368" s="25"/>
      <c r="J2368" s="55" t="str">
        <f ca="1">IFERROR(__xludf.DUMMYFUNCTION("""COMPUTED_VALUE"""),"Media")</f>
        <v>Media</v>
      </c>
      <c r="K2368" s="25">
        <f ca="1">IFERROR(__xludf.DUMMYFUNCTION("""COMPUTED_VALUE"""),147)</f>
        <v>147</v>
      </c>
      <c r="L2368" s="62">
        <f ca="1">IFERROR(__xludf.DUMMYFUNCTION("""COMPUTED_VALUE"""),44972)</f>
        <v>44972</v>
      </c>
      <c r="M2368" s="25" t="str">
        <f ca="1">IFERROR(__xludf.DUMMYFUNCTION("""COMPUTED_VALUE"""),"Se Anexa Informe de la Investigacion realizada a los sumideros ubicados en la Autopista Norte frente a la estación Virrey sentido Sur-Norte. En dicho Informe en su parte final se dice "" De acuerdo con la visita, se evidenció que no es necesario construir"&amp;" un sumidero adicional, por lo cual, se debe es realizar el mantenimiento respectivo a los sumideros existentes. ""  Dado lo investigado se realizó operativo de limpieza de sumideros relacionados en el Informe, actividad que se realizó la última semana de"&amp;"l mes de Enero de 2023 quedando los sumidros en buen funcionamiento hidráulico.")</f>
        <v>Se Anexa Informe de la Investigacion realizada a los sumideros ubicados en la Autopista Norte frente a la estación Virrey sentido Sur-Norte. En dicho Informe en su parte final se dice " De acuerdo con la visita, se evidenció que no es necesario construir un sumidero adicional, por lo cual, se debe es realizar el mantenimiento respectivo a los sumideros existentes. "  Dado lo investigado se realizó operativo de limpieza de sumideros relacionados en el Informe, actividad que se realizó la última semana del mes de Enero de 2023 quedando los sumidros en buen funcionamiento hidráulico.</v>
      </c>
      <c r="N2368" s="55">
        <f ca="1">IFERROR(__xludf.DUMMYFUNCTION("""COMPUTED_VALUE"""),44972)</f>
        <v>44972</v>
      </c>
      <c r="O2368" s="25" t="str">
        <f t="shared" ca="1" si="0"/>
        <v>Empresa de Acueducto y Alcantarillado de Bogotá</v>
      </c>
      <c r="P2368" s="25" t="str">
        <f t="shared" si="2"/>
        <v/>
      </c>
      <c r="Q2368" s="25" t="str">
        <f ca="1">IFERROR(__xludf.DUMMYFUNCTION("""COMPUTED_VALUE"""),"Mediano plazo")</f>
        <v>Mediano plazo</v>
      </c>
      <c r="R2368" s="25"/>
      <c r="S2368" s="55"/>
      <c r="T2368" s="56"/>
      <c r="U2368" s="25"/>
      <c r="V2368" s="25"/>
      <c r="W2368" s="25"/>
      <c r="X2368" s="25"/>
      <c r="Y2368" s="25"/>
      <c r="Z2368" s="25"/>
    </row>
    <row r="2369" spans="1:26" ht="52.5" customHeight="1" x14ac:dyDescent="0.25">
      <c r="A2369" s="25" t="str">
        <f ca="1">IFERROR(__xludf.DUMMYFUNCTION("""COMPUTED_VALUE"""),"Hábit267")</f>
        <v>Hábit267</v>
      </c>
      <c r="B2369" s="25"/>
      <c r="C2369" s="55"/>
      <c r="D2369" s="25" t="str">
        <f ca="1">IFERROR(__xludf.DUMMYFUNCTION("""COMPUTED_VALUE"""),"Hábitat")</f>
        <v>Hábitat</v>
      </c>
      <c r="E2369" s="25" t="str">
        <f ca="1">IFERROR(__xludf.DUMMYFUNCTION("""COMPUTED_VALUE"""),"Empresa de Acueducto y Alcantarillado de Bogotá")</f>
        <v>Empresa de Acueducto y Alcantarillado de Bogotá</v>
      </c>
      <c r="F2369" s="25" t="str">
        <f ca="1">IFERROR(__xludf.DUMMYFUNCTION("""COMPUTED_VALUE"""),"Eliminada")</f>
        <v>Eliminada</v>
      </c>
      <c r="G2369" s="25"/>
      <c r="H2369" s="25"/>
      <c r="I2369" s="25"/>
      <c r="J2369" s="55"/>
      <c r="K2369" s="25"/>
      <c r="L2369" s="62"/>
      <c r="M2369" s="25"/>
      <c r="N2369" s="25"/>
      <c r="O2369" s="25" t="str">
        <f t="shared" ca="1" si="0"/>
        <v>Empresa de Acueducto y Alcantarillado de Bogotá</v>
      </c>
      <c r="P2369" s="25" t="str">
        <f t="shared" si="2"/>
        <v/>
      </c>
      <c r="Q2369" s="25"/>
      <c r="R2369" s="25"/>
      <c r="S2369" s="55"/>
      <c r="T2369" s="56"/>
      <c r="U2369" s="25"/>
      <c r="V2369" s="25"/>
      <c r="W2369" s="25"/>
      <c r="X2369" s="25"/>
      <c r="Y2369" s="25"/>
      <c r="Z2369" s="25"/>
    </row>
    <row r="2370" spans="1:26" ht="52.5" customHeight="1" x14ac:dyDescent="0.25">
      <c r="A2370" s="25" t="str">
        <f ca="1">IFERROR(__xludf.DUMMYFUNCTION("""COMPUTED_VALUE"""),"Hábit268")</f>
        <v>Hábit268</v>
      </c>
      <c r="B2370" s="25" t="str">
        <f ca="1">IFERROR(__xludf.DUMMYFUNCTION("""COMPUTED_VALUE"""),"Revisión Ola Invernal")</f>
        <v>Revisión Ola Invernal</v>
      </c>
      <c r="C2370" s="55">
        <f ca="1">IFERROR(__xludf.DUMMYFUNCTION("""COMPUTED_VALUE"""),44945)</f>
        <v>44945</v>
      </c>
      <c r="D2370" s="25" t="str">
        <f ca="1">IFERROR(__xludf.DUMMYFUNCTION("""COMPUTED_VALUE"""),"Hábitat")</f>
        <v>Hábitat</v>
      </c>
      <c r="E2370" s="25" t="str">
        <f ca="1">IFERROR(__xludf.DUMMYFUNCTION("""COMPUTED_VALUE"""),"Secretaría Distrital del Hábitat")</f>
        <v>Secretaría Distrital del Hábitat</v>
      </c>
      <c r="F2370" s="25" t="str">
        <f ca="1">IFERROR(__xludf.DUMMYFUNCTION("""COMPUTED_VALUE"""),"Tener reservado recursos de arrendamiento por 6 meses para Santa Cecilia, Bella Flor, Brisas del Volador, el Mirador de Entrenubes y Tocaimita. Poner fecha definitiva de restitución y luego actuar con la oferta de arrendamiento y el desalojo de las person"&amp;"as (Hablar con con la Brigada 13). Entidades que intervienen: Hábitat, Secretaría de Gobierno, alcaldías locales y Secretaría de Seguridad (Policía)")</f>
        <v>Tener reservado recursos de arrendamiento por 6 meses para Santa Cecilia, Bella Flor, Brisas del Volador, el Mirador de Entrenubes y Tocaimita. Poner fecha definitiva de restitución y luego actuar con la oferta de arrendamiento y el desalojo de las personas (Hablar con con la Brigada 13). Entidades que intervienen: Hábitat, Secretaría de Gobierno, alcaldías locales y Secretaría de Seguridad (Policía)</v>
      </c>
      <c r="G2370" s="25" t="str">
        <f ca="1">IFERROR(__xludf.DUMMYFUNCTION("""COMPUTED_VALUE"""),"99. Distrito")</f>
        <v>99. Distrito</v>
      </c>
      <c r="H2370" s="55">
        <f ca="1">IFERROR(__xludf.DUMMYFUNCTION("""COMPUTED_VALUE"""),45092)</f>
        <v>45092</v>
      </c>
      <c r="I2370" s="25" t="str">
        <f ca="1">IFERROR(__xludf.DUMMYFUNCTION("""COMPUTED_VALUE"""),"Delivery Unit")</f>
        <v>Delivery Unit</v>
      </c>
      <c r="J2370" s="55" t="str">
        <f ca="1">IFERROR(__xludf.DUMMYFUNCTION("""COMPUTED_VALUE"""),"Alta")</f>
        <v>Alta</v>
      </c>
      <c r="K2370" s="25">
        <f ca="1">IFERROR(__xludf.DUMMYFUNCTION("""COMPUTED_VALUE"""),147)</f>
        <v>147</v>
      </c>
      <c r="L2370" s="62">
        <f ca="1">IFERROR(__xludf.DUMMYFUNCTION("""COMPUTED_VALUE"""),45077)</f>
        <v>45077</v>
      </c>
      <c r="M2370" s="25" t="str">
        <f ca="1">IFERROR(__xludf.DUMMYFUNCTION("""COMPUTED_VALUE"""),"Actividades adelantadas para la atención de la población afectada por la emergencia decretara en el Decreto 513 de 2022: 1- Suscripción del Plan de Acción para la atención de la población a través del programa de arrendamiento por parte de la SDHT 2- Gest"&amp;"ión de recursos necesaria para la asignación de los aportes de arrendamiento y contratación del personal necesario, actualmente contamos con el CDP 3199 del 20 de enero de 2023 por valor de $ 2.520.000.000 3- Contratación de dos (2) sociales para adelanta"&amp;"r las actividades con la población afectada. 4- Aprobación y adopción del reglamento operativo del programa de arrendamiento para la atención de los hogares afectados por la emergencia declarada en la Bogotá D.C., mediante la resolución 257 de 2023 5- pro"&amp;"cesamiento del 100% de las bases entregadas por IDIGER con la información de los hogares afectado por la emergencia con corte al 5 de mayo de 2023, asignando los tres aportes adicionales a los entregados por IDIGER a 56 hogares de acuerdo con el reglament"&amp;"o y la normativa vigente. . 6- Registro presupuestal por valor de $ 134.760.000, el saldo no podrá ser ejecutado toda vez que el Decreto perdió vigencia el pasado 14 de mayo de 2023. es de anotar que la verificación se realizó al 100% de los hogares que y"&amp;"a habían recibido previamente las ayudas pecuniarias por parte de IDIGER y el beneficio del aporte de arrendamiento se le otorgó aquellos hogares que cumplieron con los requisitos.")</f>
        <v>Actividades adelantadas para la atención de la población afectada por la emergencia decretara en el Decreto 513 de 2022: 1- Suscripción del Plan de Acción para la atención de la población a través del programa de arrendamiento por parte de la SDHT 2- Gestión de recursos necesaria para la asignación de los aportes de arrendamiento y contratación del personal necesario, actualmente contamos con el CDP 3199 del 20 de enero de 2023 por valor de $ 2.520.000.000 3- Contratación de dos (2) sociales para adelantar las actividades con la población afectada. 4- Aprobación y adopción del reglamento operativo del programa de arrendamiento para la atención de los hogares afectados por la emergencia declarada en la Bogotá D.C., mediante la resolución 257 de 2023 5- procesamiento del 100% de las bases entregadas por IDIGER con la información de los hogares afectado por la emergencia con corte al 5 de mayo de 2023, asignando los tres aportes adicionales a los entregados por IDIGER a 56 hogares de acuerdo con el reglamento y la normativa vigente. . 6- Registro presupuestal por valor de $ 134.760.000, el saldo no podrá ser ejecutado toda vez que el Decreto perdió vigencia el pasado 14 de mayo de 2023. es de anotar que la verificación se realizó al 100% de los hogares que ya habían recibido previamente las ayudas pecuniarias por parte de IDIGER y el beneficio del aporte de arrendamiento se le otorgó aquellos hogares que cumplieron con los requisitos.</v>
      </c>
      <c r="N2370" s="25"/>
      <c r="O2370" s="25" t="str">
        <f t="shared" ca="1" si="0"/>
        <v>Secretaría Distrital del Hábitat</v>
      </c>
      <c r="P2370" s="25" t="str">
        <f t="shared" ca="1" si="2"/>
        <v/>
      </c>
      <c r="Q2370" s="25" t="str">
        <f ca="1">IFERROR(__xludf.DUMMYFUNCTION("""COMPUTED_VALUE"""),"Mediano plazo")</f>
        <v>Mediano plazo</v>
      </c>
      <c r="R2370" s="25"/>
      <c r="S2370" s="55"/>
      <c r="T2370" s="56"/>
      <c r="U2370" s="25"/>
      <c r="V2370" s="25"/>
      <c r="W2370" s="25"/>
      <c r="X2370" s="25"/>
      <c r="Y2370" s="25"/>
      <c r="Z2370" s="25"/>
    </row>
    <row r="2371" spans="1:26" ht="52.5" customHeight="1" x14ac:dyDescent="0.25">
      <c r="A2371" s="25" t="str">
        <f ca="1">IFERROR(__xludf.DUMMYFUNCTION("""COMPUTED_VALUE"""),"Hábit269")</f>
        <v>Hábit269</v>
      </c>
      <c r="B2371" s="25" t="str">
        <f ca="1">IFERROR(__xludf.DUMMYFUNCTION("""COMPUTED_VALUE"""),"Presidente SAE - Articulación Bogotá")</f>
        <v>Presidente SAE - Articulación Bogotá</v>
      </c>
      <c r="C2371" s="55">
        <f ca="1">IFERROR(__xludf.DUMMYFUNCTION("""COMPUTED_VALUE"""),44950)</f>
        <v>44950</v>
      </c>
      <c r="D2371" s="25" t="str">
        <f ca="1">IFERROR(__xludf.DUMMYFUNCTION("""COMPUTED_VALUE"""),"Hábitat")</f>
        <v>Hábitat</v>
      </c>
      <c r="E2371" s="25" t="str">
        <f ca="1">IFERROR(__xludf.DUMMYFUNCTION("""COMPUTED_VALUE"""),"Empresa de Renovación y Desarrollo Urbano")</f>
        <v>Empresa de Renovación y Desarrollo Urbano</v>
      </c>
      <c r="F2371" s="25" t="str">
        <f ca="1">IFERROR(__xludf.DUMMYFUNCTION("""COMPUTED_VALUE"""),"Revisar el predio de Villa Delaida para usar la figura de enagenación con la SAE.")</f>
        <v>Revisar el predio de Villa Delaida para usar la figura de enagenación con la SAE.</v>
      </c>
      <c r="G2371" s="25" t="str">
        <f ca="1">IFERROR(__xludf.DUMMYFUNCTION("""COMPUTED_VALUE"""),"99. Distrito")</f>
        <v>99. Distrito</v>
      </c>
      <c r="H2371" s="55">
        <f ca="1">IFERROR(__xludf.DUMMYFUNCTION("""COMPUTED_VALUE"""),45015)</f>
        <v>45015</v>
      </c>
      <c r="I2371" s="25"/>
      <c r="J2371" s="55" t="str">
        <f ca="1">IFERROR(__xludf.DUMMYFUNCTION("""COMPUTED_VALUE"""),"Media")</f>
        <v>Media</v>
      </c>
      <c r="K2371" s="25">
        <f ca="1">IFERROR(__xludf.DUMMYFUNCTION("""COMPUTED_VALUE"""),65)</f>
        <v>65</v>
      </c>
      <c r="L2371" s="62">
        <f ca="1">IFERROR(__xludf.DUMMYFUNCTION("""COMPUTED_VALUE"""),45015)</f>
        <v>45015</v>
      </c>
      <c r="M2371" s="25" t="str">
        <f ca="1">IFERROR(__xludf.DUMMYFUNCTION("""COMPUTED_VALUE"""),"*Se realizó reunión con la SAE el 06.03.23 y actualmente se avanza en el análisis jurídico del predio.
 *Se remitió el Rad S2023001213 del 13 de marzo 2023 solicitando mayor información sobre posibles negociaciones que puedan adelantarse desde el Distrito"&amp;".
 *En reunión del 29 de marzo realizada entre la ERU y la CAF, se concluyó que la CAF no continuará la gestión para el predio de Villa Adelaida, sino manifiesta su interés sobre el predio del IDU localizado en la Calle 84 x carrera 12, la ERU avanzará en"&amp;" la gestión ante el IDU")</f>
        <v>*Se realizó reunión con la SAE el 06.03.23 y actualmente se avanza en el análisis jurídico del predio.
 *Se remitió el Rad S2023001213 del 13 de marzo 2023 solicitando mayor información sobre posibles negociaciones que puedan adelantarse desde el Distrito.
 *En reunión del 29 de marzo realizada entre la ERU y la CAF, se concluyó que la CAF no continuará la gestión para el predio de Villa Adelaida, sino manifiesta su interés sobre el predio del IDU localizado en la Calle 84 x carrera 12, la ERU avanzará en la gestión ante el IDU</v>
      </c>
      <c r="N2371" s="55">
        <f ca="1">IFERROR(__xludf.DUMMYFUNCTION("""COMPUTED_VALUE"""),45014)</f>
        <v>45014</v>
      </c>
      <c r="O2371" s="25" t="str">
        <f t="shared" ca="1" si="0"/>
        <v>Empresa de Renovación y Desarrollo Urbano</v>
      </c>
      <c r="P2371" s="25" t="str">
        <f t="shared" si="2"/>
        <v/>
      </c>
      <c r="Q2371" s="25" t="str">
        <f ca="1">IFERROR(__xludf.DUMMYFUNCTION("""COMPUTED_VALUE"""),"Mediano plazo")</f>
        <v>Mediano plazo</v>
      </c>
      <c r="R2371" s="25"/>
      <c r="S2371" s="55"/>
      <c r="T2371" s="56"/>
      <c r="U2371" s="25"/>
      <c r="V2371" s="25"/>
      <c r="W2371" s="25"/>
      <c r="X2371" s="25"/>
      <c r="Y2371" s="25"/>
      <c r="Z2371" s="25"/>
    </row>
    <row r="2372" spans="1:26" ht="52.5" customHeight="1" x14ac:dyDescent="0.25">
      <c r="A2372" s="25" t="str">
        <f ca="1">IFERROR(__xludf.DUMMYFUNCTION("""COMPUTED_VALUE"""),"Hábit270")</f>
        <v>Hábit270</v>
      </c>
      <c r="B2372" s="25" t="str">
        <f ca="1">IFERROR(__xludf.DUMMYFUNCTION("""COMPUTED_VALUE"""),"Presidente SAE - Articulación Bogotá")</f>
        <v>Presidente SAE - Articulación Bogotá</v>
      </c>
      <c r="C2372" s="55">
        <f ca="1">IFERROR(__xludf.DUMMYFUNCTION("""COMPUTED_VALUE"""),44950)</f>
        <v>44950</v>
      </c>
      <c r="D2372" s="25" t="str">
        <f ca="1">IFERROR(__xludf.DUMMYFUNCTION("""COMPUTED_VALUE"""),"Hábitat")</f>
        <v>Hábitat</v>
      </c>
      <c r="E2372" s="25" t="str">
        <f ca="1">IFERROR(__xludf.DUMMYFUNCTION("""COMPUTED_VALUE"""),"Secretaría Distrital del Hábitat")</f>
        <v>Secretaría Distrital del Hábitat</v>
      </c>
      <c r="F2372" s="25" t="str">
        <f ca="1">IFERROR(__xludf.DUMMYFUNCTION("""COMPUTED_VALUE"""),"Revisar predios de la SAE para usar en el programa de vivienda pública en arriendo con el fin de enfrentar a los pagadiarios")</f>
        <v>Revisar predios de la SAE para usar en el programa de vivienda pública en arriendo con el fin de enfrentar a los pagadiarios</v>
      </c>
      <c r="G2372" s="25" t="str">
        <f ca="1">IFERROR(__xludf.DUMMYFUNCTION("""COMPUTED_VALUE"""),"99. Distrito")</f>
        <v>99. Distrito</v>
      </c>
      <c r="H2372" s="55">
        <f ca="1">IFERROR(__xludf.DUMMYFUNCTION("""COMPUTED_VALUE"""),44986)</f>
        <v>44986</v>
      </c>
      <c r="I2372" s="25" t="str">
        <f ca="1">IFERROR(__xludf.DUMMYFUNCTION("""COMPUTED_VALUE"""),"Delivery Unit")</f>
        <v>Delivery Unit</v>
      </c>
      <c r="J2372" s="55" t="str">
        <f ca="1">IFERROR(__xludf.DUMMYFUNCTION("""COMPUTED_VALUE"""),"Alta")</f>
        <v>Alta</v>
      </c>
      <c r="K2372" s="25">
        <f ca="1">IFERROR(__xludf.DUMMYFUNCTION("""COMPUTED_VALUE"""),36)</f>
        <v>36</v>
      </c>
      <c r="L2372" s="62">
        <f ca="1">IFERROR(__xludf.DUMMYFUNCTION("""COMPUTED_VALUE"""),45077)</f>
        <v>45077</v>
      </c>
      <c r="M2372" s="25" t="str">
        <f ca="1">IFERROR(__xludf.DUMMYFUNCTION("""COMPUTED_VALUE"""),"Se realizaron dos reuniones con la SAE el 6/3/2023 y el 22/3/2023. Producto de estas reuniones se identificaron 8 predios administrados por la SAE que podrían ser transferidos a título gratuito y/o destinados provisionalmente para incluir en el programa d"&amp;"e vivienda pública en arriendo. Se acordó programar una visita a los predios y diligenciar un formulario para cada caso con el fin de avanzar en el proceso. La SAE georreferenciará la información. Es necesario visitar los predios en su interior para ver e"&amp;"l estado de la edificación y determinar el nivel de la intervención. Por ahora la visita solo a sido visual")</f>
        <v>Se realizaron dos reuniones con la SAE el 6/3/2023 y el 22/3/2023. Producto de estas reuniones se identificaron 8 predios administrados por la SAE que podrían ser transferidos a título gratuito y/o destinados provisionalmente para incluir en el programa de vivienda pública en arriendo. Se acordó programar una visita a los predios y diligenciar un formulario para cada caso con el fin de avanzar en el proceso. La SAE georreferenciará la información. Es necesario visitar los predios en su interior para ver el estado de la edificación y determinar el nivel de la intervención. Por ahora la visita solo a sido visual</v>
      </c>
      <c r="N2372" s="25"/>
      <c r="O2372" s="25" t="str">
        <f t="shared" ca="1" si="0"/>
        <v>Secretaría Distrital del Hábitat</v>
      </c>
      <c r="P2372" s="25" t="str">
        <f t="shared" ca="1" si="2"/>
        <v/>
      </c>
      <c r="Q2372" s="25" t="str">
        <f ca="1">IFERROR(__xludf.DUMMYFUNCTION("""COMPUTED_VALUE"""),"Corto plazo")</f>
        <v>Corto plazo</v>
      </c>
      <c r="R2372" s="25"/>
      <c r="S2372" s="55"/>
      <c r="T2372" s="56"/>
      <c r="U2372" s="25"/>
      <c r="V2372" s="25"/>
      <c r="W2372" s="25"/>
      <c r="X2372" s="25"/>
      <c r="Y2372" s="25"/>
      <c r="Z2372" s="25"/>
    </row>
    <row r="2373" spans="1:26" ht="52.5" customHeight="1" x14ac:dyDescent="0.25">
      <c r="A2373" s="25" t="str">
        <f ca="1">IFERROR(__xludf.DUMMYFUNCTION("""COMPUTED_VALUE"""),"Hábit271")</f>
        <v>Hábit271</v>
      </c>
      <c r="B2373" s="25" t="str">
        <f ca="1">IFERROR(__xludf.DUMMYFUNCTION("""COMPUTED_VALUE"""),"Revisión ERU")</f>
        <v>Revisión ERU</v>
      </c>
      <c r="C2373" s="55">
        <f ca="1">IFERROR(__xludf.DUMMYFUNCTION("""COMPUTED_VALUE"""),44964)</f>
        <v>44964</v>
      </c>
      <c r="D2373" s="25" t="str">
        <f ca="1">IFERROR(__xludf.DUMMYFUNCTION("""COMPUTED_VALUE"""),"Hábitat")</f>
        <v>Hábitat</v>
      </c>
      <c r="E2373" s="25" t="str">
        <f ca="1">IFERROR(__xludf.DUMMYFUNCTION("""COMPUTED_VALUE"""),"Empresa de Renovación y Desarrollo Urbano")</f>
        <v>Empresa de Renovación y Desarrollo Urbano</v>
      </c>
      <c r="F2373" s="25" t="str">
        <f ca="1">IFERROR(__xludf.DUMMYFUNCTION("""COMPUTED_VALUE"""),"Apoyar a la constructora Bolívar para que los permisos que se encuentran en proceso con la secretaría de Movilidad, la EAAB y el IDU se gestionen rápidamente en el Proyecto de Tres Quebradas.")</f>
        <v>Apoyar a la constructora Bolívar para que los permisos que se encuentran en proceso con la secretaría de Movilidad, la EAAB y el IDU se gestionen rápidamente en el Proyecto de Tres Quebradas.</v>
      </c>
      <c r="G2373" s="25" t="str">
        <f ca="1">IFERROR(__xludf.DUMMYFUNCTION("""COMPUTED_VALUE"""),"05. Usme")</f>
        <v>05. Usme</v>
      </c>
      <c r="H2373" s="55">
        <f ca="1">IFERROR(__xludf.DUMMYFUNCTION("""COMPUTED_VALUE"""),45076)</f>
        <v>45076</v>
      </c>
      <c r="I2373" s="25" t="str">
        <f ca="1">IFERROR(__xludf.DUMMYFUNCTION("""COMPUTED_VALUE"""),"Junta de Infraestructura")</f>
        <v>Junta de Infraestructura</v>
      </c>
      <c r="J2373" s="55" t="str">
        <f ca="1">IFERROR(__xludf.DUMMYFUNCTION("""COMPUTED_VALUE"""),"Media")</f>
        <v>Media</v>
      </c>
      <c r="K2373" s="25">
        <f ca="1">IFERROR(__xludf.DUMMYFUNCTION("""COMPUTED_VALUE"""),112)</f>
        <v>112</v>
      </c>
      <c r="L2373" s="62">
        <f ca="1">IFERROR(__xludf.DUMMYFUNCTION("""COMPUTED_VALUE"""),45077)</f>
        <v>45077</v>
      </c>
      <c r="M2373" s="25" t="str">
        <f ca="1">IFERROR(__xludf.DUMMYFUNCTION("""COMPUTED_VALUE"""),"Se mantiene en acompañamiento conjunto con SDHT al Fideicomitente Desarrollador Privado en el avance de los estudios y diseños específicos para el inicio de las obras de urbanismo, así como la aprobación ante SDM, la EAAB y el IDU.
Actualmente se cuenta c"&amp;"on aprobación de:
EAAB: Aprobación condicionada.
SDM: En trámite de firma.
IDU: Una vez se cuente con firma de SDM se radica en IDU para continuar con trámite.")</f>
        <v>Se mantiene en acompañamiento conjunto con SDHT al Fideicomitente Desarrollador Privado en el avance de los estudios y diseños específicos para el inicio de las obras de urbanismo, así como la aprobación ante SDM, la EAAB y el IDU.
Actualmente se cuenta con aprobación de:
EAAB: Aprobación condicionada.
SDM: En trámite de firma.
IDU: Una vez se cuente con firma de SDM se radica en IDU para continuar con trámite.</v>
      </c>
      <c r="N2373" s="25"/>
      <c r="O2373" s="25" t="str">
        <f t="shared" ca="1" si="0"/>
        <v>Empresa de Renovación y Desarrollo Urbano</v>
      </c>
      <c r="P2373" s="25" t="str">
        <f t="shared" ca="1" si="2"/>
        <v/>
      </c>
      <c r="Q2373" s="25" t="str">
        <f ca="1">IFERROR(__xludf.DUMMYFUNCTION("""COMPUTED_VALUE"""),"Mediano plazo")</f>
        <v>Mediano plazo</v>
      </c>
      <c r="R2373" s="25"/>
      <c r="S2373" s="55"/>
      <c r="T2373" s="56"/>
      <c r="U2373" s="25"/>
      <c r="V2373" s="25"/>
      <c r="W2373" s="25"/>
      <c r="X2373" s="25"/>
      <c r="Y2373" s="25"/>
      <c r="Z2373" s="25"/>
    </row>
    <row r="2374" spans="1:26" ht="52.5" customHeight="1" x14ac:dyDescent="0.25">
      <c r="A2374" s="25" t="str">
        <f ca="1">IFERROR(__xludf.DUMMYFUNCTION("""COMPUTED_VALUE"""),"Hábit272")</f>
        <v>Hábit272</v>
      </c>
      <c r="B2374" s="25" t="str">
        <f ca="1">IFERROR(__xludf.DUMMYFUNCTION("""COMPUTED_VALUE"""),"Revisión ERU")</f>
        <v>Revisión ERU</v>
      </c>
      <c r="C2374" s="55">
        <f ca="1">IFERROR(__xludf.DUMMYFUNCTION("""COMPUTED_VALUE"""),44964)</f>
        <v>44964</v>
      </c>
      <c r="D2374" s="25" t="str">
        <f ca="1">IFERROR(__xludf.DUMMYFUNCTION("""COMPUTED_VALUE"""),"Hábitat")</f>
        <v>Hábitat</v>
      </c>
      <c r="E2374" s="25" t="str">
        <f ca="1">IFERROR(__xludf.DUMMYFUNCTION("""COMPUTED_VALUE"""),"Empresa de Renovación y Desarrollo Urbano")</f>
        <v>Empresa de Renovación y Desarrollo Urbano</v>
      </c>
      <c r="F2374" s="25" t="str">
        <f ca="1">IFERROR(__xludf.DUMMYFUNCTION("""COMPUTED_VALUE"""),"Agilizar la entrega de unos segmentos viales en el proyecto San Bernardo-Tercer Milenio que se encuentran a nombre del DADEP.")</f>
        <v>Agilizar la entrega de unos segmentos viales en el proyecto San Bernardo-Tercer Milenio que se encuentran a nombre del DADEP.</v>
      </c>
      <c r="G2374" s="25" t="str">
        <f ca="1">IFERROR(__xludf.DUMMYFUNCTION("""COMPUTED_VALUE"""),"03. Santa Fe")</f>
        <v>03. Santa Fe</v>
      </c>
      <c r="H2374" s="55">
        <f ca="1">IFERROR(__xludf.DUMMYFUNCTION("""COMPUTED_VALUE"""),45107)</f>
        <v>45107</v>
      </c>
      <c r="I2374" s="25" t="str">
        <f ca="1">IFERROR(__xludf.DUMMYFUNCTION("""COMPUTED_VALUE"""),"Junta de Infraestructura")</f>
        <v>Junta de Infraestructura</v>
      </c>
      <c r="J2374" s="55" t="str">
        <f ca="1">IFERROR(__xludf.DUMMYFUNCTION("""COMPUTED_VALUE"""),"Media")</f>
        <v>Media</v>
      </c>
      <c r="K2374" s="25">
        <f ca="1">IFERROR(__xludf.DUMMYFUNCTION("""COMPUTED_VALUE"""),143)</f>
        <v>143</v>
      </c>
      <c r="L2374" s="62">
        <f ca="1">IFERROR(__xludf.DUMMYFUNCTION("""COMPUTED_VALUE"""),45077)</f>
        <v>45077</v>
      </c>
      <c r="M2374" s="25" t="str">
        <f ca="1">IFERROR(__xludf.DUMMYFUNCTION("""COMPUTED_VALUE"""),"En coordinación conjunta ERU, SDHT y DADEP se han realizado los siguientes avances en el saneamiento de los 23 segmentos viales en el marco del plan parcial:
* 4 con saneamiento finalizado
* 4 con solicitud de apertura de matrículas inmobiliarias en nu"&amp;"evo sistema de la oficina de registro. Radicado ORIP 50C2022ER14058 del 18/10/2022
* 15 para Declaratoria Baldío (13 segmentos viales en calificación y registro - Resolución 281 de 2022, y 2 segmentos con carencia registral ya expedida por la ORIP)")</f>
        <v>En coordinación conjunta ERU, SDHT y DADEP se han realizado los siguientes avances en el saneamiento de los 23 segmentos viales en el marco del plan parcial:
* 4 con saneamiento finalizado
* 4 con solicitud de apertura de matrículas inmobiliarias en nuevo sistema de la oficina de registro. Radicado ORIP 50C2022ER14058 del 18/10/2022
* 15 para Declaratoria Baldío (13 segmentos viales en calificación y registro - Resolución 281 de 2022, y 2 segmentos con carencia registral ya expedida por la ORIP)</v>
      </c>
      <c r="N2374" s="25"/>
      <c r="O2374" s="25" t="str">
        <f t="shared" ca="1" si="0"/>
        <v>Empresa de Renovación y Desarrollo Urbano</v>
      </c>
      <c r="P2374" s="25" t="str">
        <f t="shared" ca="1" si="2"/>
        <v/>
      </c>
      <c r="Q2374" s="25" t="str">
        <f ca="1">IFERROR(__xludf.DUMMYFUNCTION("""COMPUTED_VALUE"""),"Mediano plazo")</f>
        <v>Mediano plazo</v>
      </c>
      <c r="R2374" s="25"/>
      <c r="S2374" s="55"/>
      <c r="T2374" s="56"/>
      <c r="U2374" s="25"/>
      <c r="V2374" s="25"/>
      <c r="W2374" s="25"/>
      <c r="X2374" s="25"/>
      <c r="Y2374" s="25"/>
      <c r="Z2374" s="25"/>
    </row>
    <row r="2375" spans="1:26" ht="52.5" customHeight="1" x14ac:dyDescent="0.25">
      <c r="A2375" s="25" t="str">
        <f ca="1">IFERROR(__xludf.DUMMYFUNCTION("""COMPUTED_VALUE"""),"Hábit273")</f>
        <v>Hábit273</v>
      </c>
      <c r="B2375" s="25" t="str">
        <f ca="1">IFERROR(__xludf.DUMMYFUNCTION("""COMPUTED_VALUE"""),"Revisión ERU")</f>
        <v>Revisión ERU</v>
      </c>
      <c r="C2375" s="55">
        <f ca="1">IFERROR(__xludf.DUMMYFUNCTION("""COMPUTED_VALUE"""),44964)</f>
        <v>44964</v>
      </c>
      <c r="D2375" s="25" t="str">
        <f ca="1">IFERROR(__xludf.DUMMYFUNCTION("""COMPUTED_VALUE"""),"Hábitat")</f>
        <v>Hábitat</v>
      </c>
      <c r="E2375" s="25" t="str">
        <f ca="1">IFERROR(__xludf.DUMMYFUNCTION("""COMPUTED_VALUE"""),"Empresa de Renovación y Desarrollo Urbano")</f>
        <v>Empresa de Renovación y Desarrollo Urbano</v>
      </c>
      <c r="F2375" s="25" t="str">
        <f ca="1">IFERROR(__xludf.DUMMYFUNCTION("""COMPUTED_VALUE"""),"La alcaldesa se comprometió a acompañar la gestión del proyecto de Tres Quebradas UG-2 a los presidentes de las Cajas de Compensación para poder adjudicar en junio")</f>
        <v>La alcaldesa se comprometió a acompañar la gestión del proyecto de Tres Quebradas UG-2 a los presidentes de las Cajas de Compensación para poder adjudicar en junio</v>
      </c>
      <c r="G2375" s="25" t="str">
        <f ca="1">IFERROR(__xludf.DUMMYFUNCTION("""COMPUTED_VALUE"""),"05. Usme")</f>
        <v>05. Usme</v>
      </c>
      <c r="H2375" s="55">
        <f ca="1">IFERROR(__xludf.DUMMYFUNCTION("""COMPUTED_VALUE"""),45107)</f>
        <v>45107</v>
      </c>
      <c r="I2375" s="25" t="str">
        <f ca="1">IFERROR(__xludf.DUMMYFUNCTION("""COMPUTED_VALUE"""),"Junta de Infraestructura")</f>
        <v>Junta de Infraestructura</v>
      </c>
      <c r="J2375" s="55" t="str">
        <f ca="1">IFERROR(__xludf.DUMMYFUNCTION("""COMPUTED_VALUE"""),"Media")</f>
        <v>Media</v>
      </c>
      <c r="K2375" s="25">
        <f ca="1">IFERROR(__xludf.DUMMYFUNCTION("""COMPUTED_VALUE"""),143)</f>
        <v>143</v>
      </c>
      <c r="L2375" s="62">
        <f ca="1">IFERROR(__xludf.DUMMYFUNCTION("""COMPUTED_VALUE"""),45077)</f>
        <v>45077</v>
      </c>
      <c r="M2375" s="25" t="str">
        <f ca="1">IFERROR(__xludf.DUMMYFUNCTION("""COMPUTED_VALUE"""),"*Se avanza en la estructuración del proceso de acuerdo a retroalimentación del mercado y modalidad a contratar")</f>
        <v>*Se avanza en la estructuración del proceso de acuerdo a retroalimentación del mercado y modalidad a contratar</v>
      </c>
      <c r="N2375" s="25"/>
      <c r="O2375" s="25" t="str">
        <f t="shared" ca="1" si="0"/>
        <v>Empresa de Renovación y Desarrollo Urbano</v>
      </c>
      <c r="P2375" s="25" t="str">
        <f t="shared" ca="1" si="2"/>
        <v/>
      </c>
      <c r="Q2375" s="25" t="str">
        <f ca="1">IFERROR(__xludf.DUMMYFUNCTION("""COMPUTED_VALUE"""),"Mediano plazo")</f>
        <v>Mediano plazo</v>
      </c>
      <c r="R2375" s="25"/>
      <c r="S2375" s="55"/>
      <c r="T2375" s="56"/>
      <c r="U2375" s="25"/>
      <c r="V2375" s="25"/>
      <c r="W2375" s="25"/>
      <c r="X2375" s="25"/>
      <c r="Y2375" s="25"/>
      <c r="Z2375" s="25"/>
    </row>
    <row r="2376" spans="1:26" ht="52.5" customHeight="1" x14ac:dyDescent="0.25">
      <c r="A2376" s="25" t="str">
        <f ca="1">IFERROR(__xludf.DUMMYFUNCTION("""COMPUTED_VALUE"""),"Hábit274")</f>
        <v>Hábit274</v>
      </c>
      <c r="B2376" s="25" t="str">
        <f ca="1">IFERROR(__xludf.DUMMYFUNCTION("""COMPUTED_VALUE"""),"Revisión ERU")</f>
        <v>Revisión ERU</v>
      </c>
      <c r="C2376" s="55">
        <f ca="1">IFERROR(__xludf.DUMMYFUNCTION("""COMPUTED_VALUE"""),44964)</f>
        <v>44964</v>
      </c>
      <c r="D2376" s="25" t="str">
        <f ca="1">IFERROR(__xludf.DUMMYFUNCTION("""COMPUTED_VALUE"""),"Hábitat")</f>
        <v>Hábitat</v>
      </c>
      <c r="E2376" s="25" t="str">
        <f ca="1">IFERROR(__xludf.DUMMYFUNCTION("""COMPUTED_VALUE"""),"Empresa de Renovación y Desarrollo Urbano")</f>
        <v>Empresa de Renovación y Desarrollo Urbano</v>
      </c>
      <c r="F2376" s="25" t="str">
        <f ca="1">IFERROR(__xludf.DUMMYFUNCTION("""COMPUTED_VALUE"""),"Agregar a la negociación de la venta del proyecto del Hospital San Juan de Dios los estudios y diseños ya realizados al Gobierno Nacional.")</f>
        <v>Agregar a la negociación de la venta del proyecto del Hospital San Juan de Dios los estudios y diseños ya realizados al Gobierno Nacional.</v>
      </c>
      <c r="G2376" s="25" t="str">
        <f ca="1">IFERROR(__xludf.DUMMYFUNCTION("""COMPUTED_VALUE"""),"15. Antonio Nariño")</f>
        <v>15. Antonio Nariño</v>
      </c>
      <c r="H2376" s="55">
        <f ca="1">IFERROR(__xludf.DUMMYFUNCTION("""COMPUTED_VALUE"""),45031)</f>
        <v>45031</v>
      </c>
      <c r="I2376" s="25"/>
      <c r="J2376" s="55" t="str">
        <f ca="1">IFERROR(__xludf.DUMMYFUNCTION("""COMPUTED_VALUE"""),"Media")</f>
        <v>Media</v>
      </c>
      <c r="K2376" s="25">
        <f ca="1">IFERROR(__xludf.DUMMYFUNCTION("""COMPUTED_VALUE"""),67)</f>
        <v>67</v>
      </c>
      <c r="L2376" s="62">
        <f ca="1">IFERROR(__xludf.DUMMYFUNCTION("""COMPUTED_VALUE"""),44985)</f>
        <v>44985</v>
      </c>
      <c r="M2376" s="25" t="str">
        <f ca="1">IFERROR(__xludf.DUMMYFUNCTION("""COMPUTED_VALUE"""),"*El 09 de febrero se presentó en reunión técnica con IDPC  la información relacionada con los avalúos disponibles del San Juan de Dios y las inversiones realizadas entre 2015- 2023, el 10 de febrero se remitió por correo electrónico al director del IDCP, "&amp;"el balance de ingresos y egresos con corte a Dic de 2022, incluido el informe de los gestiones en curso. El día 13 de febrero de 2023, la ERU presentó al IDPC la información relacionada con  los montos invertidos para el desarrollo de estudios, diseños, o"&amp;"bras, entre otros, con el fin de que se adelante la inclusión de estas inversiones al negocio de la posible venta del predio.")</f>
        <v>*El 09 de febrero se presentó en reunión técnica con IDPC  la información relacionada con los avalúos disponibles del San Juan de Dios y las inversiones realizadas entre 2015- 2023, el 10 de febrero se remitió por correo electrónico al director del IDCP, el balance de ingresos y egresos con corte a Dic de 2022, incluido el informe de los gestiones en curso. El día 13 de febrero de 2023, la ERU presentó al IDPC la información relacionada con  los montos invertidos para el desarrollo de estudios, diseños, obras, entre otros, con el fin de que se adelante la inclusión de estas inversiones al negocio de la posible venta del predio.</v>
      </c>
      <c r="N2376" s="55">
        <f ca="1">IFERROR(__xludf.DUMMYFUNCTION("""COMPUTED_VALUE"""),44970)</f>
        <v>44970</v>
      </c>
      <c r="O2376" s="25" t="str">
        <f t="shared" ca="1" si="0"/>
        <v>Empresa de Renovación y Desarrollo Urbano</v>
      </c>
      <c r="P2376" s="25" t="str">
        <f t="shared" si="2"/>
        <v/>
      </c>
      <c r="Q2376" s="25" t="str">
        <f ca="1">IFERROR(__xludf.DUMMYFUNCTION("""COMPUTED_VALUE"""),"Mediano plazo")</f>
        <v>Mediano plazo</v>
      </c>
      <c r="R2376" s="25"/>
      <c r="S2376" s="55"/>
      <c r="T2376" s="56"/>
      <c r="U2376" s="25"/>
      <c r="V2376" s="25"/>
      <c r="W2376" s="25"/>
      <c r="X2376" s="25"/>
      <c r="Y2376" s="25"/>
      <c r="Z2376" s="25"/>
    </row>
    <row r="2377" spans="1:26" ht="52.5" customHeight="1" x14ac:dyDescent="0.25">
      <c r="A2377" s="25" t="str">
        <f ca="1">IFERROR(__xludf.DUMMYFUNCTION("""COMPUTED_VALUE"""),"Hábit275")</f>
        <v>Hábit275</v>
      </c>
      <c r="B2377" s="25" t="str">
        <f ca="1">IFERROR(__xludf.DUMMYFUNCTION("""COMPUTED_VALUE"""),"Revisión ERU")</f>
        <v>Revisión ERU</v>
      </c>
      <c r="C2377" s="55">
        <f ca="1">IFERROR(__xludf.DUMMYFUNCTION("""COMPUTED_VALUE"""),44964)</f>
        <v>44964</v>
      </c>
      <c r="D2377" s="25" t="str">
        <f ca="1">IFERROR(__xludf.DUMMYFUNCTION("""COMPUTED_VALUE"""),"Hábitat")</f>
        <v>Hábitat</v>
      </c>
      <c r="E2377" s="25" t="str">
        <f ca="1">IFERROR(__xludf.DUMMYFUNCTION("""COMPUTED_VALUE"""),"Empresa de Renovación y Desarrollo Urbano")</f>
        <v>Empresa de Renovación y Desarrollo Urbano</v>
      </c>
      <c r="F2377" s="25" t="str">
        <f ca="1">IFERROR(__xludf.DUMMYFUNCTION("""COMPUTED_VALUE"""),"Concretar la venta de la primera etapa del proyecto de San Victorino, si bien no es prioridad para la administración, es claro que si no se concreta la venta se pierde el trabajo.")</f>
        <v>Concretar la venta de la primera etapa del proyecto de San Victorino, si bien no es prioridad para la administración, es claro que si no se concreta la venta se pierde el trabajo.</v>
      </c>
      <c r="G2377" s="25" t="str">
        <f ca="1">IFERROR(__xludf.DUMMYFUNCTION("""COMPUTED_VALUE"""),"03. Santa Fe")</f>
        <v>03. Santa Fe</v>
      </c>
      <c r="H2377" s="55">
        <f ca="1">IFERROR(__xludf.DUMMYFUNCTION("""COMPUTED_VALUE"""),45108)</f>
        <v>45108</v>
      </c>
      <c r="I2377" s="25" t="str">
        <f ca="1">IFERROR(__xludf.DUMMYFUNCTION("""COMPUTED_VALUE"""),"Junta de Infraestructura")</f>
        <v>Junta de Infraestructura</v>
      </c>
      <c r="J2377" s="55" t="str">
        <f ca="1">IFERROR(__xludf.DUMMYFUNCTION("""COMPUTED_VALUE"""),"Media")</f>
        <v>Media</v>
      </c>
      <c r="K2377" s="25">
        <f ca="1">IFERROR(__xludf.DUMMYFUNCTION("""COMPUTED_VALUE"""),144)</f>
        <v>144</v>
      </c>
      <c r="L2377" s="62">
        <f ca="1">IFERROR(__xludf.DUMMYFUNCTION("""COMPUTED_VALUE"""),45077)</f>
        <v>45077</v>
      </c>
      <c r="M2377" s="25" t="str">
        <f ca="1">IFERROR(__xludf.DUMMYFUNCTION("""COMPUTED_VALUE"""),"Se actualizó el cronograma del proceso de selección teniendo en cuenta la retroalimentación del mercado y la modalidad a contratar, de la siguiente manera:
Publicación Aviso Dialogo 13.06.2023/ Ejecucuión Dialogo Empresarial 14.07.2023/ Adjudicación 25.09"&amp;".2023")</f>
        <v>Se actualizó el cronograma del proceso de selección teniendo en cuenta la retroalimentación del mercado y la modalidad a contratar, de la siguiente manera:
Publicación Aviso Dialogo 13.06.2023/ Ejecucuión Dialogo Empresarial 14.07.2023/ Adjudicación 25.09.2023</v>
      </c>
      <c r="N2377" s="25"/>
      <c r="O2377" s="25" t="str">
        <f t="shared" ca="1" si="0"/>
        <v>Empresa de Renovación y Desarrollo Urbano</v>
      </c>
      <c r="P2377" s="25" t="str">
        <f t="shared" ca="1" si="2"/>
        <v/>
      </c>
      <c r="Q2377" s="25" t="str">
        <f ca="1">IFERROR(__xludf.DUMMYFUNCTION("""COMPUTED_VALUE"""),"Mediano plazo")</f>
        <v>Mediano plazo</v>
      </c>
      <c r="R2377" s="25"/>
      <c r="S2377" s="55"/>
      <c r="T2377" s="56"/>
      <c r="U2377" s="25"/>
      <c r="V2377" s="25"/>
      <c r="W2377" s="25"/>
      <c r="X2377" s="25"/>
      <c r="Y2377" s="25"/>
      <c r="Z2377" s="25"/>
    </row>
    <row r="2378" spans="1:26" ht="52.5" customHeight="1" x14ac:dyDescent="0.25">
      <c r="A2378" s="25" t="str">
        <f ca="1">IFERROR(__xludf.DUMMYFUNCTION("""COMPUTED_VALUE"""),"Hábit276")</f>
        <v>Hábit276</v>
      </c>
      <c r="B2378" s="25" t="str">
        <f ca="1">IFERROR(__xludf.DUMMYFUNCTION("""COMPUTED_VALUE"""),"Revisión ERU")</f>
        <v>Revisión ERU</v>
      </c>
      <c r="C2378" s="55">
        <f ca="1">IFERROR(__xludf.DUMMYFUNCTION("""COMPUTED_VALUE"""),44964)</f>
        <v>44964</v>
      </c>
      <c r="D2378" s="25" t="str">
        <f ca="1">IFERROR(__xludf.DUMMYFUNCTION("""COMPUTED_VALUE"""),"Hábitat")</f>
        <v>Hábitat</v>
      </c>
      <c r="E2378" s="25" t="str">
        <f ca="1">IFERROR(__xludf.DUMMYFUNCTION("""COMPUTED_VALUE"""),"Empresa de Renovación y Desarrollo Urbano")</f>
        <v>Empresa de Renovación y Desarrollo Urbano</v>
      </c>
      <c r="F2378" s="25" t="str">
        <f ca="1">IFERROR(__xludf.DUMMYFUNCTION("""COMPUTED_VALUE"""),"Frente al re-branding de la ERU y su reestructuración la alcaldesa sugirió: Cambiar el diseño de la letra N de la marca RENOBO.")</f>
        <v>Frente al re-branding de la ERU y su reestructuración la alcaldesa sugirió: Cambiar el diseño de la letra N de la marca RENOBO.</v>
      </c>
      <c r="G2378" s="25" t="str">
        <f ca="1">IFERROR(__xludf.DUMMYFUNCTION("""COMPUTED_VALUE"""),"99. Distrito")</f>
        <v>99. Distrito</v>
      </c>
      <c r="H2378" s="55">
        <f ca="1">IFERROR(__xludf.DUMMYFUNCTION("""COMPUTED_VALUE"""),45031)</f>
        <v>45031</v>
      </c>
      <c r="I2378" s="25"/>
      <c r="J2378" s="55" t="str">
        <f ca="1">IFERROR(__xludf.DUMMYFUNCTION("""COMPUTED_VALUE"""),"Media")</f>
        <v>Media</v>
      </c>
      <c r="K2378" s="25">
        <f ca="1">IFERROR(__xludf.DUMMYFUNCTION("""COMPUTED_VALUE"""),67)</f>
        <v>67</v>
      </c>
      <c r="L2378" s="62">
        <f ca="1">IFERROR(__xludf.DUMMYFUNCTION("""COMPUTED_VALUE"""),45031)</f>
        <v>45031</v>
      </c>
      <c r="M2378" s="25" t="str">
        <f ca="1">IFERROR(__xludf.DUMMYFUNCTION("""COMPUTED_VALUE"""),"Se culmina con las actividades para el cambio de la letra N de la marca y se socializaron los resultados con la Oficina de Comunicaciones de la Alcaldía Mayor.")</f>
        <v>Se culmina con las actividades para el cambio de la letra N de la marca y se socializaron los resultados con la Oficina de Comunicaciones de la Alcaldía Mayor.</v>
      </c>
      <c r="N2378" s="55">
        <f ca="1">IFERROR(__xludf.DUMMYFUNCTION("""COMPUTED_VALUE"""),45015)</f>
        <v>45015</v>
      </c>
      <c r="O2378" s="25" t="str">
        <f t="shared" ca="1" si="0"/>
        <v>Empresa de Renovación y Desarrollo Urbano</v>
      </c>
      <c r="P2378" s="25" t="str">
        <f t="shared" si="2"/>
        <v/>
      </c>
      <c r="Q2378" s="25" t="str">
        <f ca="1">IFERROR(__xludf.DUMMYFUNCTION("""COMPUTED_VALUE"""),"Mediano plazo")</f>
        <v>Mediano plazo</v>
      </c>
      <c r="R2378" s="25"/>
      <c r="S2378" s="55"/>
      <c r="T2378" s="56"/>
      <c r="U2378" s="25"/>
      <c r="V2378" s="25"/>
      <c r="W2378" s="25"/>
      <c r="X2378" s="25"/>
      <c r="Y2378" s="25"/>
      <c r="Z2378" s="25"/>
    </row>
    <row r="2379" spans="1:26" ht="52.5" customHeight="1" x14ac:dyDescent="0.25">
      <c r="A2379" s="25" t="str">
        <f ca="1">IFERROR(__xludf.DUMMYFUNCTION("""COMPUTED_VALUE"""),"Hábit277")</f>
        <v>Hábit277</v>
      </c>
      <c r="B2379" s="25" t="str">
        <f ca="1">IFERROR(__xludf.DUMMYFUNCTION("""COMPUTED_VALUE"""),"Revisión ERU")</f>
        <v>Revisión ERU</v>
      </c>
      <c r="C2379" s="55">
        <f ca="1">IFERROR(__xludf.DUMMYFUNCTION("""COMPUTED_VALUE"""),44964)</f>
        <v>44964</v>
      </c>
      <c r="D2379" s="25" t="str">
        <f ca="1">IFERROR(__xludf.DUMMYFUNCTION("""COMPUTED_VALUE"""),"Hábitat")</f>
        <v>Hábitat</v>
      </c>
      <c r="E2379" s="25" t="str">
        <f ca="1">IFERROR(__xludf.DUMMYFUNCTION("""COMPUTED_VALUE"""),"Empresa de Renovación y Desarrollo Urbano")</f>
        <v>Empresa de Renovación y Desarrollo Urbano</v>
      </c>
      <c r="F2379" s="25" t="str">
        <f ca="1">IFERROR(__xludf.DUMMYFUNCTION("""COMPUTED_VALUE"""),"Frente al re-branding de la ERU y su reestructuración la alcaldesa sugirió: Enfocar el mensaje principal en el cambio de chip de la empresa que explulsa, reemplaza y tumba por la que rehace, reincluye y reverdece la ciudad.")</f>
        <v>Frente al re-branding de la ERU y su reestructuración la alcaldesa sugirió: Enfocar el mensaje principal en el cambio de chip de la empresa que explulsa, reemplaza y tumba por la que rehace, reincluye y reverdece la ciudad.</v>
      </c>
      <c r="G2379" s="25" t="str">
        <f ca="1">IFERROR(__xludf.DUMMYFUNCTION("""COMPUTED_VALUE"""),"99. Distrito")</f>
        <v>99. Distrito</v>
      </c>
      <c r="H2379" s="55">
        <f ca="1">IFERROR(__xludf.DUMMYFUNCTION("""COMPUTED_VALUE"""),45031)</f>
        <v>45031</v>
      </c>
      <c r="I2379" s="25"/>
      <c r="J2379" s="55" t="str">
        <f ca="1">IFERROR(__xludf.DUMMYFUNCTION("""COMPUTED_VALUE"""),"Media")</f>
        <v>Media</v>
      </c>
      <c r="K2379" s="25">
        <f ca="1">IFERROR(__xludf.DUMMYFUNCTION("""COMPUTED_VALUE"""),67)</f>
        <v>67</v>
      </c>
      <c r="L2379" s="62">
        <f ca="1">IFERROR(__xludf.DUMMYFUNCTION("""COMPUTED_VALUE"""),45031)</f>
        <v>45031</v>
      </c>
      <c r="M2379" s="25" t="str">
        <f ca="1">IFERROR(__xludf.DUMMYFUNCTION("""COMPUTED_VALUE"""),"Se realizó la incorporación del mensaje principa y se adaptó la narrativa de la marca. Del mismo modo, se realizó la socialización de los resultados con la Oficina de Comunicaciones de la Alcaldía Mayor.")</f>
        <v>Se realizó la incorporación del mensaje principa y se adaptó la narrativa de la marca. Del mismo modo, se realizó la socialización de los resultados con la Oficina de Comunicaciones de la Alcaldía Mayor.</v>
      </c>
      <c r="N2379" s="55">
        <f ca="1">IFERROR(__xludf.DUMMYFUNCTION("""COMPUTED_VALUE"""),45015)</f>
        <v>45015</v>
      </c>
      <c r="O2379" s="25" t="str">
        <f t="shared" ca="1" si="0"/>
        <v>Empresa de Renovación y Desarrollo Urbano</v>
      </c>
      <c r="P2379" s="25" t="str">
        <f t="shared" si="2"/>
        <v/>
      </c>
      <c r="Q2379" s="25" t="str">
        <f ca="1">IFERROR(__xludf.DUMMYFUNCTION("""COMPUTED_VALUE"""),"Mediano plazo")</f>
        <v>Mediano plazo</v>
      </c>
      <c r="R2379" s="25"/>
      <c r="S2379" s="55"/>
      <c r="T2379" s="56"/>
      <c r="U2379" s="25"/>
      <c r="V2379" s="25"/>
      <c r="W2379" s="25"/>
      <c r="X2379" s="25"/>
      <c r="Y2379" s="25"/>
      <c r="Z2379" s="25"/>
    </row>
    <row r="2380" spans="1:26" ht="52.5" customHeight="1" x14ac:dyDescent="0.25">
      <c r="A2380" s="25" t="str">
        <f ca="1">IFERROR(__xludf.DUMMYFUNCTION("""COMPUTED_VALUE"""),"Hábit278")</f>
        <v>Hábit278</v>
      </c>
      <c r="B2380" s="25" t="str">
        <f ca="1">IFERROR(__xludf.DUMMYFUNCTION("""COMPUTED_VALUE"""),"Revisión ERU")</f>
        <v>Revisión ERU</v>
      </c>
      <c r="C2380" s="55">
        <f ca="1">IFERROR(__xludf.DUMMYFUNCTION("""COMPUTED_VALUE"""),44964)</f>
        <v>44964</v>
      </c>
      <c r="D2380" s="25" t="str">
        <f ca="1">IFERROR(__xludf.DUMMYFUNCTION("""COMPUTED_VALUE"""),"Hábitat")</f>
        <v>Hábitat</v>
      </c>
      <c r="E2380" s="25" t="str">
        <f ca="1">IFERROR(__xludf.DUMMYFUNCTION("""COMPUTED_VALUE"""),"Empresa de Renovación y Desarrollo Urbano")</f>
        <v>Empresa de Renovación y Desarrollo Urbano</v>
      </c>
      <c r="F2380" s="25" t="str">
        <f ca="1">IFERROR(__xludf.DUMMYFUNCTION("""COMPUTED_VALUE"""),"Frente al re-branding de la ERU y su reestructuración la alcaldesa sugirió: planificar y realizar una semana de la renovación y reverdecimiento de la ciudad en la que se haga una feria donde se presenten los diferentes proyectos que tiene la ERU e incluso"&amp;" se haga una simulación de subasta de las Actuaciones Estratégicas.")</f>
        <v>Frente al re-branding de la ERU y su reestructuración la alcaldesa sugirió: planificar y realizar una semana de la renovación y reverdecimiento de la ciudad en la que se haga una feria donde se presenten los diferentes proyectos que tiene la ERU e incluso se haga una simulación de subasta de las Actuaciones Estratégicas.</v>
      </c>
      <c r="G2380" s="25" t="str">
        <f ca="1">IFERROR(__xludf.DUMMYFUNCTION("""COMPUTED_VALUE"""),"99. Distrito")</f>
        <v>99. Distrito</v>
      </c>
      <c r="H2380" s="55">
        <f ca="1">IFERROR(__xludf.DUMMYFUNCTION("""COMPUTED_VALUE"""),45031)</f>
        <v>45031</v>
      </c>
      <c r="I2380" s="25" t="str">
        <f ca="1">IFERROR(__xludf.DUMMYFUNCTION("""COMPUTED_VALUE"""),"Delivery Unit")</f>
        <v>Delivery Unit</v>
      </c>
      <c r="J2380" s="55" t="str">
        <f ca="1">IFERROR(__xludf.DUMMYFUNCTION("""COMPUTED_VALUE"""),"Alta")</f>
        <v>Alta</v>
      </c>
      <c r="K2380" s="25">
        <f ca="1">IFERROR(__xludf.DUMMYFUNCTION("""COMPUTED_VALUE"""),67)</f>
        <v>67</v>
      </c>
      <c r="L2380" s="62">
        <f ca="1">IFERROR(__xludf.DUMMYFUNCTION("""COMPUTED_VALUE"""),45077)</f>
        <v>45077</v>
      </c>
      <c r="M2380" s="25" t="str">
        <f ca="1">IFERROR(__xludf.DUMMYFUNCTION("""COMPUTED_VALUE"""),"Semana de la Revitalización y el Reverdecimiento se está ejecutando actualmente desde el 29.05.23 al 02.06.23 (Conel lanzamiento interno de la nueva marca, participación en expoconstrucción y Smart City).")</f>
        <v>Semana de la Revitalización y el Reverdecimiento se está ejecutando actualmente desde el 29.05.23 al 02.06.23 (Conel lanzamiento interno de la nueva marca, participación en expoconstrucción y Smart City).</v>
      </c>
      <c r="N2380" s="55">
        <f ca="1">IFERROR(__xludf.DUMMYFUNCTION("""COMPUTED_VALUE"""),45075)</f>
        <v>45075</v>
      </c>
      <c r="O2380" s="25" t="str">
        <f t="shared" ca="1" si="0"/>
        <v>Empresa de Renovación y Desarrollo Urbano</v>
      </c>
      <c r="P2380" s="25" t="str">
        <f t="shared" ca="1" si="2"/>
        <v/>
      </c>
      <c r="Q2380" s="25" t="str">
        <f ca="1">IFERROR(__xludf.DUMMYFUNCTION("""COMPUTED_VALUE"""),"Mediano plazo")</f>
        <v>Mediano plazo</v>
      </c>
      <c r="R2380" s="25"/>
      <c r="S2380" s="55"/>
      <c r="T2380" s="56"/>
      <c r="U2380" s="25"/>
      <c r="V2380" s="25"/>
      <c r="W2380" s="25"/>
      <c r="X2380" s="25"/>
      <c r="Y2380" s="25"/>
      <c r="Z2380" s="25"/>
    </row>
    <row r="2381" spans="1:26" ht="52.5" customHeight="1" x14ac:dyDescent="0.25">
      <c r="A2381" s="25" t="str">
        <f ca="1">IFERROR(__xludf.DUMMYFUNCTION("""COMPUTED_VALUE"""),"Hábit279")</f>
        <v>Hábit279</v>
      </c>
      <c r="B2381" s="25" t="str">
        <f ca="1">IFERROR(__xludf.DUMMYFUNCTION("""COMPUTED_VALUE"""),"Recorrido Puente Aranda")</f>
        <v>Recorrido Puente Aranda</v>
      </c>
      <c r="C2381" s="55">
        <f ca="1">IFERROR(__xludf.DUMMYFUNCTION("""COMPUTED_VALUE"""),44971)</f>
        <v>44971</v>
      </c>
      <c r="D2381" s="25" t="str">
        <f ca="1">IFERROR(__xludf.DUMMYFUNCTION("""COMPUTED_VALUE"""),"Hábitat")</f>
        <v>Hábitat</v>
      </c>
      <c r="E2381" s="25" t="str">
        <f ca="1">IFERROR(__xludf.DUMMYFUNCTION("""COMPUTED_VALUE"""),"Caja de Vivienda Popular")</f>
        <v>Caja de Vivienda Popular</v>
      </c>
      <c r="F2381" s="25" t="str">
        <f ca="1">IFERROR(__xludf.DUMMYFUNCTION("""COMPUTED_VALUE"""),"Solucionar problemas para la entrega del Parque en el Barrio Gaitán Cortés.")</f>
        <v>Solucionar problemas para la entrega del Parque en el Barrio Gaitán Cortés.</v>
      </c>
      <c r="G2381" s="25" t="str">
        <f ca="1">IFERROR(__xludf.DUMMYFUNCTION("""COMPUTED_VALUE"""),"16. Puente Aranda")</f>
        <v>16. Puente Aranda</v>
      </c>
      <c r="H2381" s="55">
        <f ca="1">IFERROR(__xludf.DUMMYFUNCTION("""COMPUTED_VALUE"""),45138)</f>
        <v>45138</v>
      </c>
      <c r="I2381" s="25" t="str">
        <f ca="1">IFERROR(__xludf.DUMMYFUNCTION("""COMPUTED_VALUE"""),"Secretaría Privada")</f>
        <v>Secretaría Privada</v>
      </c>
      <c r="J2381" s="55" t="str">
        <f ca="1">IFERROR(__xludf.DUMMYFUNCTION("""COMPUTED_VALUE"""),"Media")</f>
        <v>Media</v>
      </c>
      <c r="K2381" s="25">
        <f ca="1">IFERROR(__xludf.DUMMYFUNCTION("""COMPUTED_VALUE"""),167)</f>
        <v>167</v>
      </c>
      <c r="L2381" s="62">
        <f ca="1">IFERROR(__xludf.DUMMYFUNCTION("""COMPUTED_VALUE"""),45077)</f>
        <v>45077</v>
      </c>
      <c r="M2381" s="25" t="str">
        <f ca="1">IFERROR(__xludf.DUMMYFUNCTION("""COMPUTED_VALUE"""),"Se efectua reunión en campo con el IDRD, el día 18 de abril, para verificar posible intervención, de acuerdo con los los lineamientos de solicitud de la comunidad y el marco normativo, en el area central, denominada como PARQUE y la posibilidad de generar"&amp;" espacios que mejoren la calidad de vida de la comuniidad del sector, se proyecta socializar con la comunidad, mediante reunión programada para el viernes 21 de abril en las instalaciones de la CVP,, Dirección de Urbanizaciones y Titulación. 
30 de mayo:"&amp;" En asocio con el IDRD y la Alcaldía Local, se unen esfuerzos presupuestales para lograr la mejor intervención urbanistica y arquitectonica. 
De nueva visita  efectuada el dia 4 del mes de mayo, teniendo lugar en el salon comunal del barrio Corkidi, con l"&amp;"a comunidad del parque Gaitan Cortes, el cual es indice para la intervencion del parque, se llega a un acuerdo conjunto a partir de los lineamientos presentados por los funcionarios del IDRD y Caja De Vivienda Popular y a partir del diseño participativo p"&amp;"resentado por la Direccin de mejoramiento de barrios de la CVP. De acuerdo a ello se presentan dos propuestas, diseño de cancha de futbol 5  y diseño '' paisajistico'' de mantenimiento y adecuacion de la zona verde, con mobiliarios. La comunidad por votac"&amp;"ion, escoge la propuesta de diseño '' paisajistico'' con adecuacion de mobiliarios.  
Se está haciendo un convenio interadministrativo entre IDRD y el FONDO LOCAL DE LA ALCALDIA DE PUENTE ARANDA Y LA CVP para iniciar el proceso de construcción del parque "&amp;"con responsabilidad de ejecución de la CVP, todo esto para firma en en la primera semana de junio. Con base en diseños esquema básico presentado por IDRD.")</f>
        <v>Se efectua reunión en campo con el IDRD, el día 18 de abril, para verificar posible intervención, de acuerdo con los los lineamientos de solicitud de la comunidad y el marco normativo, en el area central, denominada como PARQUE y la posibilidad de generar espacios que mejoren la calidad de vida de la comuniidad del sector, se proyecta socializar con la comunidad, mediante reunión programada para el viernes 21 de abril en las instalaciones de la CVP,, Dirección de Urbanizaciones y Titulación. 
30 de mayo: En asocio con el IDRD y la Alcaldía Local, se unen esfuerzos presupuestales para lograr la mejor intervención urbanistica y arquitectonica. 
De nueva visita  efectuada el dia 4 del mes de mayo, teniendo lugar en el salon comunal del barrio Corkidi, con la comunidad del parque Gaitan Cortes, el cual es indice para la intervencion del parque, se llega a un acuerdo conjunto a partir de los lineamientos presentados por los funcionarios del IDRD y Caja De Vivienda Popular y a partir del diseño participativo presentado por la Direccin de mejoramiento de barrios de la CVP. De acuerdo a ello se presentan dos propuestas, diseño de cancha de futbol 5  y diseño '' paisajistico'' de mantenimiento y adecuacion de la zona verde, con mobiliarios. La comunidad por votacion, escoge la propuesta de diseño '' paisajistico'' con adecuacion de mobiliarios.  
Se está haciendo un convenio interadministrativo entre IDRD y el FONDO LOCAL DE LA ALCALDIA DE PUENTE ARANDA Y LA CVP para iniciar el proceso de construcción del parque con responsabilidad de ejecución de la CVP, todo esto para firma en en la primera semana de junio. Con base en diseños esquema básico presentado por IDRD.</v>
      </c>
      <c r="N2381" s="25"/>
      <c r="O2381" s="25" t="str">
        <f t="shared" ca="1" si="0"/>
        <v>Caja de Vivienda Popular</v>
      </c>
      <c r="P2381" s="25" t="str">
        <f t="shared" ca="1" si="2"/>
        <v/>
      </c>
      <c r="Q2381" s="25" t="str">
        <f ca="1">IFERROR(__xludf.DUMMYFUNCTION("""COMPUTED_VALUE"""),"Mediano plazo")</f>
        <v>Mediano plazo</v>
      </c>
      <c r="R2381" s="25"/>
      <c r="S2381" s="55"/>
      <c r="T2381" s="56"/>
      <c r="U2381" s="25"/>
      <c r="V2381" s="25"/>
      <c r="W2381" s="25"/>
      <c r="X2381" s="25"/>
      <c r="Y2381" s="25"/>
      <c r="Z2381" s="25"/>
    </row>
    <row r="2382" spans="1:26" ht="52.5" customHeight="1" x14ac:dyDescent="0.25">
      <c r="A2382" s="25" t="str">
        <f ca="1">IFERROR(__xludf.DUMMYFUNCTION("""COMPUTED_VALUE"""),"Hábit280")</f>
        <v>Hábit280</v>
      </c>
      <c r="B2382" s="25" t="str">
        <f ca="1">IFERROR(__xludf.DUMMYFUNCTION("""COMPUTED_VALUE"""),"Recorrido Puente Aranda")</f>
        <v>Recorrido Puente Aranda</v>
      </c>
      <c r="C2382" s="55">
        <f ca="1">IFERROR(__xludf.DUMMYFUNCTION("""COMPUTED_VALUE"""),44971)</f>
        <v>44971</v>
      </c>
      <c r="D2382" s="25" t="str">
        <f ca="1">IFERROR(__xludf.DUMMYFUNCTION("""COMPUTED_VALUE"""),"Hábitat")</f>
        <v>Hábitat</v>
      </c>
      <c r="E2382" s="25" t="str">
        <f ca="1">IFERROR(__xludf.DUMMYFUNCTION("""COMPUTED_VALUE"""),"Unidad Administrativa Especial de Servicios Públicos")</f>
        <v>Unidad Administrativa Especial de Servicios Públicos</v>
      </c>
      <c r="F2382" s="25" t="str">
        <f ca="1">IFERROR(__xludf.DUMMYFUNCTION("""COMPUTED_VALUE"""),"Realizar jornadas de sensibilización y capacitación con los recicladores acerca del buen uso del Centro Carretero de Puente Aranda.")</f>
        <v>Realizar jornadas de sensibilización y capacitación con los recicladores acerca del buen uso del Centro Carretero de Puente Aranda.</v>
      </c>
      <c r="G2382" s="25" t="str">
        <f ca="1">IFERROR(__xludf.DUMMYFUNCTION("""COMPUTED_VALUE"""),"16. Puente Aranda")</f>
        <v>16. Puente Aranda</v>
      </c>
      <c r="H2382" s="55">
        <f ca="1">IFERROR(__xludf.DUMMYFUNCTION("""COMPUTED_VALUE"""),45015)</f>
        <v>45015</v>
      </c>
      <c r="I2382" s="25"/>
      <c r="J2382" s="55" t="str">
        <f ca="1">IFERROR(__xludf.DUMMYFUNCTION("""COMPUTED_VALUE"""),"Alta")</f>
        <v>Alta</v>
      </c>
      <c r="K2382" s="25">
        <f ca="1">IFERROR(__xludf.DUMMYFUNCTION("""COMPUTED_VALUE"""),44)</f>
        <v>44</v>
      </c>
      <c r="L2382" s="62">
        <f ca="1">IFERROR(__xludf.DUMMYFUNCTION("""COMPUTED_VALUE"""),45006)</f>
        <v>45006</v>
      </c>
      <c r="M2382" s="25" t="str">
        <f ca="1">IFERROR(__xludf.DUMMYFUNCTION("""COMPUTED_VALUE"""),"Por parte del equipo territorial de la Subdirección de Aprovechamiento, se realizó sensibilización a los alrededores del CTCC de Puente Aranda. Fecha de Ejecución 6/3/23")</f>
        <v>Por parte del equipo territorial de la Subdirección de Aprovechamiento, se realizó sensibilización a los alrededores del CTCC de Puente Aranda. Fecha de Ejecución 6/3/23</v>
      </c>
      <c r="N2382" s="55">
        <f ca="1">IFERROR(__xludf.DUMMYFUNCTION("""COMPUTED_VALUE"""),45006)</f>
        <v>45006</v>
      </c>
      <c r="O2382" s="25" t="str">
        <f t="shared" ca="1" si="0"/>
        <v>Unidad Administrativa Especial de Servicios Públicos</v>
      </c>
      <c r="P2382" s="25" t="str">
        <f t="shared" si="2"/>
        <v/>
      </c>
      <c r="Q2382" s="25" t="str">
        <f ca="1">IFERROR(__xludf.DUMMYFUNCTION("""COMPUTED_VALUE"""),"Corto plazo")</f>
        <v>Corto plazo</v>
      </c>
      <c r="R2382" s="25"/>
      <c r="S2382" s="55"/>
      <c r="T2382" s="56"/>
      <c r="U2382" s="25"/>
      <c r="V2382" s="25"/>
      <c r="W2382" s="25"/>
      <c r="X2382" s="25"/>
      <c r="Y2382" s="25"/>
      <c r="Z2382" s="25"/>
    </row>
    <row r="2383" spans="1:26" ht="52.5" customHeight="1" x14ac:dyDescent="0.25">
      <c r="A2383" s="25" t="str">
        <f ca="1">IFERROR(__xludf.DUMMYFUNCTION("""COMPUTED_VALUE"""),"Hábit281")</f>
        <v>Hábit281</v>
      </c>
      <c r="B2383" s="25" t="str">
        <f ca="1">IFERROR(__xludf.DUMMYFUNCTION("""COMPUTED_VALUE"""),"Recorrido Puente Aranda")</f>
        <v>Recorrido Puente Aranda</v>
      </c>
      <c r="C2383" s="55">
        <f ca="1">IFERROR(__xludf.DUMMYFUNCTION("""COMPUTED_VALUE"""),44971)</f>
        <v>44971</v>
      </c>
      <c r="D2383" s="25" t="str">
        <f ca="1">IFERROR(__xludf.DUMMYFUNCTION("""COMPUTED_VALUE"""),"Hábitat")</f>
        <v>Hábitat</v>
      </c>
      <c r="E2383" s="25" t="str">
        <f ca="1">IFERROR(__xludf.DUMMYFUNCTION("""COMPUTED_VALUE"""),"Unidad Administrativa Especial de Servicios Públicos")</f>
        <v>Unidad Administrativa Especial de Servicios Públicos</v>
      </c>
      <c r="F2383" s="25" t="str">
        <f ca="1">IFERROR(__xludf.DUMMYFUNCTION("""COMPUTED_VALUE"""),"Hacerle seguimiento (trimestral) a la construcción de la bodega de plásticos que se está construyendo en la localidad y que debe estar para noviembre.")</f>
        <v>Hacerle seguimiento (trimestral) a la construcción de la bodega de plásticos que se está construyendo en la localidad y que debe estar para noviembre.</v>
      </c>
      <c r="G2383" s="25" t="str">
        <f ca="1">IFERROR(__xludf.DUMMYFUNCTION("""COMPUTED_VALUE"""),"16. Puente Aranda")</f>
        <v>16. Puente Aranda</v>
      </c>
      <c r="H2383" s="55">
        <f ca="1">IFERROR(__xludf.DUMMYFUNCTION("""COMPUTED_VALUE"""),45260)</f>
        <v>45260</v>
      </c>
      <c r="I2383" s="25" t="str">
        <f ca="1">IFERROR(__xludf.DUMMYFUNCTION("""COMPUTED_VALUE"""),"Secretaría Privada")</f>
        <v>Secretaría Privada</v>
      </c>
      <c r="J2383" s="55" t="str">
        <f ca="1">IFERROR(__xludf.DUMMYFUNCTION("""COMPUTED_VALUE"""),"Baja")</f>
        <v>Baja</v>
      </c>
      <c r="K2383" s="25">
        <f ca="1">IFERROR(__xludf.DUMMYFUNCTION("""COMPUTED_VALUE"""),289)</f>
        <v>289</v>
      </c>
      <c r="L2383" s="62">
        <f ca="1">IFERROR(__xludf.DUMMYFUNCTION("""COMPUTED_VALUE"""),45076)</f>
        <v>45076</v>
      </c>
      <c r="M2383" s="25" t="str">
        <f ca="1">IFERROR(__xludf.DUMMYFUNCTION("""COMPUTED_VALUE"""),"Es importante precisar que el contrato de obra civil al que se hace referencia en la celda de avance para informe de la jefatura del gabinete, es el de la construcción del Centro Especializado de Aprovechamiento Plásticos en la Alquería localidad de Kenne"&amp;"dy; teniendo en cuenta lo anterior, nos permitimos decribir la siguiente gestión: en la actualidad el contrato UAESP-674-2021 se encuentra suspendido, esto debido a que el contratista PROCOM INGENIERÍA S.A.S, quien recibió la cesión del contrato a final d"&amp;"e noviembre de 2022, solicitó a la entidad contratante, la adición al contrato en mención por un valor de $ 2.681.830.966 M/Cte, adición que tiene un alcance un total del contrato de $ 7.634.415.373 M/Cte. Es por este motivo, que esta entidad se encuentra"&amp;" estudiando el proceder desde las áreas técnicas y jurídicas, esto debido a que la propuesta de adición presentada, no resulta viable, ya que el objeto del contrato especifica claramente que este es sin fórmula de reajuste, propuesta que fue aceptada por "&amp;"el contratista, razón por la cual se podría estar pensando en un presunto incumplimiento por parte del mismo.
Teniendo en cuenta lo relacionado al contrato Alqueria expuesto anteriormente, se determino adelantar todo el proceso para el manejo y transfo"&amp;"rmación de plásticos de segundo uso en el complejo de bodegas adquiridas por la UAESP en María Paz localidad Kennedy, para implementar allí el Parque Industrial de Plásticos.  Por lo que solicitamos el cierra del compromiso en Puente Aranda y generar uno "&amp;"nuevo con María Paz.")</f>
        <v>Es importante precisar que el contrato de obra civil al que se hace referencia en la celda de avance para informe de la jefatura del gabinete, es el de la construcción del Centro Especializado de Aprovechamiento Plásticos en la Alquería localidad de Kennedy; teniendo en cuenta lo anterior, nos permitimos decribir la siguiente gestión: en la actualidad el contrato UAESP-674-2021 se encuentra suspendido, esto debido a que el contratista PROCOM INGENIERÍA S.A.S, quien recibió la cesión del contrato a final de noviembre de 2022, solicitó a la entidad contratante, la adición al contrato en mención por un valor de $ 2.681.830.966 M/Cte, adición que tiene un alcance un total del contrato de $ 7.634.415.373 M/Cte. Es por este motivo, que esta entidad se encuentra estudiando el proceder desde las áreas técnicas y jurídicas, esto debido a que la propuesta de adición presentada, no resulta viable, ya que el objeto del contrato especifica claramente que este es sin fórmula de reajuste, propuesta que fue aceptada por el contratista, razón por la cual se podría estar pensando en un presunto incumplimiento por parte del mismo.
Teniendo en cuenta lo relacionado al contrato Alqueria expuesto anteriormente, se determino adelantar todo el proceso para el manejo y transformación de plásticos de segundo uso en el complejo de bodegas adquiridas por la UAESP en María Paz localidad Kennedy, para implementar allí el Parque Industrial de Plásticos.  Por lo que solicitamos el cierra del compromiso en Puente Aranda y generar uno nuevo con María Paz.</v>
      </c>
      <c r="N2383" s="25"/>
      <c r="O2383" s="25" t="str">
        <f t="shared" ca="1" si="0"/>
        <v>Unidad Administrativa Especial de Servicios Públicos</v>
      </c>
      <c r="P2383" s="25" t="str">
        <f t="shared" ca="1" si="2"/>
        <v/>
      </c>
      <c r="Q2383" s="25" t="str">
        <f ca="1">IFERROR(__xludf.DUMMYFUNCTION("""COMPUTED_VALUE"""),"Largo plazo")</f>
        <v>Largo plazo</v>
      </c>
      <c r="R2383" s="25"/>
      <c r="S2383" s="55"/>
      <c r="T2383" s="56"/>
      <c r="U2383" s="25"/>
      <c r="V2383" s="25"/>
      <c r="W2383" s="25"/>
      <c r="X2383" s="25"/>
      <c r="Y2383" s="25"/>
      <c r="Z2383" s="25"/>
    </row>
    <row r="2384" spans="1:26" ht="52.5" customHeight="1" x14ac:dyDescent="0.25">
      <c r="A2384" s="25" t="str">
        <f ca="1">IFERROR(__xludf.DUMMYFUNCTION("""COMPUTED_VALUE"""),"Hábit282")</f>
        <v>Hábit282</v>
      </c>
      <c r="B2384" s="25" t="str">
        <f ca="1">IFERROR(__xludf.DUMMYFUNCTION("""COMPUTED_VALUE"""),"Recorrido Puente Aranda")</f>
        <v>Recorrido Puente Aranda</v>
      </c>
      <c r="C2384" s="55">
        <f ca="1">IFERROR(__xludf.DUMMYFUNCTION("""COMPUTED_VALUE"""),44971)</f>
        <v>44971</v>
      </c>
      <c r="D2384" s="25" t="str">
        <f ca="1">IFERROR(__xludf.DUMMYFUNCTION("""COMPUTED_VALUE"""),"Hábitat")</f>
        <v>Hábitat</v>
      </c>
      <c r="E2384" s="25" t="str">
        <f ca="1">IFERROR(__xludf.DUMMYFUNCTION("""COMPUTED_VALUE"""),"Unidad Administrativa Especial de Servicios Públicos")</f>
        <v>Unidad Administrativa Especial de Servicios Públicos</v>
      </c>
      <c r="F2384" s="25" t="str">
        <f ca="1">IFERROR(__xludf.DUMMYFUNCTION("""COMPUTED_VALUE"""),"Se solicita revisar la inclusión del puente de la autopista sur con Carrera 50 en el proyecto “Zona Bajo Puentes”.")</f>
        <v>Se solicita revisar la inclusión del puente de la autopista sur con Carrera 50 en el proyecto “Zona Bajo Puentes”.</v>
      </c>
      <c r="G2384" s="25" t="str">
        <f ca="1">IFERROR(__xludf.DUMMYFUNCTION("""COMPUTED_VALUE"""),"16. Puente Aranda")</f>
        <v>16. Puente Aranda</v>
      </c>
      <c r="H2384" s="55">
        <f ca="1">IFERROR(__xludf.DUMMYFUNCTION("""COMPUTED_VALUE"""),44985)</f>
        <v>44985</v>
      </c>
      <c r="I2384" s="25" t="str">
        <f ca="1">IFERROR(__xludf.DUMMYFUNCTION("""COMPUTED_VALUE"""),"Junta de Infraestructura")</f>
        <v>Junta de Infraestructura</v>
      </c>
      <c r="J2384" s="55" t="str">
        <f ca="1">IFERROR(__xludf.DUMMYFUNCTION("""COMPUTED_VALUE"""),"Alta")</f>
        <v>Alta</v>
      </c>
      <c r="K2384" s="25">
        <f ca="1">IFERROR(__xludf.DUMMYFUNCTION("""COMPUTED_VALUE"""),14)</f>
        <v>14</v>
      </c>
      <c r="L2384" s="62">
        <f ca="1">IFERROR(__xludf.DUMMYFUNCTION("""COMPUTED_VALUE"""),45077)</f>
        <v>45077</v>
      </c>
      <c r="M2384" s="25" t="str">
        <f ca="1">IFERROR(__xludf.DUMMYFUNCTION("""COMPUTED_VALUE"""),"El contrato de la ejecución del proyecto de recuperación del espacio público en los puentes seleccionados con anterioridad, cuenta con la ejecución de Aguas de Bogotá. Después de elevar la consulta, se encuentra que no es posible incluir el puente en la p"&amp;"rimera fase. Sin embargo, para la próxima fase se incluirá, lo anterior depende de adiciion en dinero y prorroga en tiempo del contrato UAESP-841/22.")</f>
        <v>El contrato de la ejecución del proyecto de recuperación del espacio público en los puentes seleccionados con anterioridad, cuenta con la ejecución de Aguas de Bogotá. Después de elevar la consulta, se encuentra que no es posible incluir el puente en la primera fase. Sin embargo, para la próxima fase se incluirá, lo anterior depende de adiciion en dinero y prorroga en tiempo del contrato UAESP-841/22.</v>
      </c>
      <c r="N2384" s="55">
        <f ca="1">IFERROR(__xludf.DUMMYFUNCTION("""COMPUTED_VALUE"""),45077)</f>
        <v>45077</v>
      </c>
      <c r="O2384" s="25" t="str">
        <f t="shared" ca="1" si="0"/>
        <v>Unidad Administrativa Especial de Servicios Públicos</v>
      </c>
      <c r="P2384" s="25" t="str">
        <f t="shared" ca="1" si="2"/>
        <v/>
      </c>
      <c r="Q2384" s="25" t="str">
        <f ca="1">IFERROR(__xludf.DUMMYFUNCTION("""COMPUTED_VALUE"""),"Corto plazo")</f>
        <v>Corto plazo</v>
      </c>
      <c r="R2384" s="25"/>
      <c r="S2384" s="55"/>
      <c r="T2384" s="56"/>
      <c r="U2384" s="25"/>
      <c r="V2384" s="25"/>
      <c r="W2384" s="25"/>
      <c r="X2384" s="25"/>
      <c r="Y2384" s="25"/>
      <c r="Z2384" s="25"/>
    </row>
    <row r="2385" spans="1:26" ht="52.5" customHeight="1" x14ac:dyDescent="0.25">
      <c r="A2385" s="25" t="str">
        <f ca="1">IFERROR(__xludf.DUMMYFUNCTION("""COMPUTED_VALUE"""),"Hábit283")</f>
        <v>Hábit283</v>
      </c>
      <c r="B2385" s="25" t="str">
        <f ca="1">IFERROR(__xludf.DUMMYFUNCTION("""COMPUTED_VALUE"""),"Junta infraestructura")</f>
        <v>Junta infraestructura</v>
      </c>
      <c r="C2385" s="55">
        <f ca="1">IFERROR(__xludf.DUMMYFUNCTION("""COMPUTED_VALUE"""),44970)</f>
        <v>44970</v>
      </c>
      <c r="D2385" s="25" t="str">
        <f ca="1">IFERROR(__xludf.DUMMYFUNCTION("""COMPUTED_VALUE"""),"Hábitat")</f>
        <v>Hábitat</v>
      </c>
      <c r="E2385" s="25" t="str">
        <f ca="1">IFERROR(__xludf.DUMMYFUNCTION("""COMPUTED_VALUE"""),"Empresa de Acueducto y Alcantarillado de Bogotá")</f>
        <v>Empresa de Acueducto y Alcantarillado de Bogotá</v>
      </c>
      <c r="F2385" s="25" t="str">
        <f ca="1">IFERROR(__xludf.DUMMYFUNCTION("""COMPUTED_VALUE"""),"Incluir en un mapa el trazado de las redes de acueducto para el ferrocarril del sur, para ver que traslado de redes es necesario en el desarrollo del proyecto.")</f>
        <v>Incluir en un mapa el trazado de las redes de acueducto para el ferrocarril del sur, para ver que traslado de redes es necesario en el desarrollo del proyecto.</v>
      </c>
      <c r="G2385" s="25" t="str">
        <f ca="1">IFERROR(__xludf.DUMMYFUNCTION("""COMPUTED_VALUE"""),"99. Distrito")</f>
        <v>99. Distrito</v>
      </c>
      <c r="H2385" s="55">
        <f ca="1">IFERROR(__xludf.DUMMYFUNCTION("""COMPUTED_VALUE"""),45046)</f>
        <v>45046</v>
      </c>
      <c r="I2385" s="25" t="str">
        <f ca="1">IFERROR(__xludf.DUMMYFUNCTION("""COMPUTED_VALUE"""),"Junta de Infraestructura")</f>
        <v>Junta de Infraestructura</v>
      </c>
      <c r="J2385" s="55" t="str">
        <f ca="1">IFERROR(__xludf.DUMMYFUNCTION("""COMPUTED_VALUE"""),"Media")</f>
        <v>Media</v>
      </c>
      <c r="K2385" s="25">
        <f ca="1">IFERROR(__xludf.DUMMYFUNCTION("""COMPUTED_VALUE"""),76)</f>
        <v>76</v>
      </c>
      <c r="L2385" s="62">
        <f ca="1">IFERROR(__xludf.DUMMYFUNCTION("""COMPUTED_VALUE"""),45077)</f>
        <v>45077</v>
      </c>
      <c r="M2385" s="25" t="str">
        <f ca="1">IFERROR(__xludf.DUMMYFUNCTION("""COMPUTED_VALUE"""),"A partir del mes de marzo del 2022 la EAAB- ESP le informó al IDU que deberia hacer la solicitud formal de la Información técnica de redes existentes y proyectos en ejecución, una vez definieran el trazado del corredor ferreo del sur. 
En noviembre de 202"&amp;"2 el IDU realizó la entrega del trazado N° 7, el cual se definio en 5 tramos, de los cuales la EAAB-ESP realizó la entrega de la información técnica del tramo 1 (entre Soacha y Calle 78 Sur), tramo 2 (entre la Calle 78 Sur y Calle 53 Sur ) y tramos 3 (Car"&amp;"rera 77 K a Calle 45 Sur). 
La información técnica para en tramo 4 (entre la Calle 45 Sur a Puente Aranda) se remitió el pasado 3 mayo de 2023 y  el tramo 5 (ubicado entre Puente Aranda y Av. Americas) que estaba pendiente, se remitió el pasado 19 de may"&amp;"o de 2023. ")</f>
        <v xml:space="preserve">A partir del mes de marzo del 2022 la EAAB- ESP le informó al IDU que deberia hacer la solicitud formal de la Información técnica de redes existentes y proyectos en ejecución, una vez definieran el trazado del corredor ferreo del sur. 
En noviembre de 2022 el IDU realizó la entrega del trazado N° 7, el cual se definio en 5 tramos, de los cuales la EAAB-ESP realizó la entrega de la información técnica del tramo 1 (entre Soacha y Calle 78 Sur), tramo 2 (entre la Calle 78 Sur y Calle 53 Sur ) y tramos 3 (Carrera 77 K a Calle 45 Sur). 
La información técnica para en tramo 4 (entre la Calle 45 Sur a Puente Aranda) se remitió el pasado 3 mayo de 2023 y  el tramo 5 (ubicado entre Puente Aranda y Av. Americas) que estaba pendiente, se remitió el pasado 19 de mayo de 2023. </v>
      </c>
      <c r="N2385" s="55">
        <f ca="1">IFERROR(__xludf.DUMMYFUNCTION("""COMPUTED_VALUE"""),45077)</f>
        <v>45077</v>
      </c>
      <c r="O2385" s="25" t="str">
        <f t="shared" ca="1" si="0"/>
        <v>Empresa de Acueducto y Alcantarillado de Bogotá</v>
      </c>
      <c r="P2385" s="25" t="str">
        <f t="shared" ca="1" si="2"/>
        <v/>
      </c>
      <c r="Q2385" s="25" t="str">
        <f ca="1">IFERROR(__xludf.DUMMYFUNCTION("""COMPUTED_VALUE"""),"Mediano plazo")</f>
        <v>Mediano plazo</v>
      </c>
      <c r="R2385" s="25"/>
      <c r="S2385" s="55"/>
      <c r="T2385" s="56"/>
      <c r="U2385" s="25"/>
      <c r="V2385" s="25"/>
      <c r="W2385" s="25"/>
      <c r="X2385" s="25"/>
      <c r="Y2385" s="25"/>
      <c r="Z2385" s="25"/>
    </row>
    <row r="2386" spans="1:26" ht="52.5" customHeight="1" x14ac:dyDescent="0.25">
      <c r="A2386" s="25" t="str">
        <f ca="1">IFERROR(__xludf.DUMMYFUNCTION("""COMPUTED_VALUE"""),"Hábit284")</f>
        <v>Hábit284</v>
      </c>
      <c r="B2386" s="25" t="str">
        <f ca="1">IFERROR(__xludf.DUMMYFUNCTION("""COMPUTED_VALUE"""),"Junta infraestructura")</f>
        <v>Junta infraestructura</v>
      </c>
      <c r="C2386" s="55">
        <f ca="1">IFERROR(__xludf.DUMMYFUNCTION("""COMPUTED_VALUE"""),44970)</f>
        <v>44970</v>
      </c>
      <c r="D2386" s="25" t="str">
        <f ca="1">IFERROR(__xludf.DUMMYFUNCTION("""COMPUTED_VALUE"""),"Hábitat")</f>
        <v>Hábitat</v>
      </c>
      <c r="E2386" s="25" t="str">
        <f ca="1">IFERROR(__xludf.DUMMYFUNCTION("""COMPUTED_VALUE"""),"Empresa de Acueducto y Alcantarillado de Bogotá")</f>
        <v>Empresa de Acueducto y Alcantarillado de Bogotá</v>
      </c>
      <c r="F2386" s="25" t="str">
        <f ca="1">IFERROR(__xludf.DUMMYFUNCTION("""COMPUTED_VALUE"""),"En la conexión del humedal Juan Amarillo se debe trabajar con el jardín botánico en incluir pasifloras para embellecer la conexión.")</f>
        <v>En la conexión del humedal Juan Amarillo se debe trabajar con el jardín botánico en incluir pasifloras para embellecer la conexión.</v>
      </c>
      <c r="G2386" s="25" t="str">
        <f ca="1">IFERROR(__xludf.DUMMYFUNCTION("""COMPUTED_VALUE"""),"11. Suba")</f>
        <v>11. Suba</v>
      </c>
      <c r="H2386" s="55">
        <f ca="1">IFERROR(__xludf.DUMMYFUNCTION("""COMPUTED_VALUE"""),44998)</f>
        <v>44998</v>
      </c>
      <c r="I2386" s="25"/>
      <c r="J2386" s="55" t="str">
        <f ca="1">IFERROR(__xludf.DUMMYFUNCTION("""COMPUTED_VALUE"""),"Alta")</f>
        <v>Alta</v>
      </c>
      <c r="K2386" s="25">
        <f ca="1">IFERROR(__xludf.DUMMYFUNCTION("""COMPUTED_VALUE"""),28)</f>
        <v>28</v>
      </c>
      <c r="L2386" s="62">
        <f ca="1">IFERROR(__xludf.DUMMYFUNCTION("""COMPUTED_VALUE"""),45000)</f>
        <v>45000</v>
      </c>
      <c r="M2386" s="25" t="str">
        <f ca="1">IFERROR(__xludf.DUMMYFUNCTION("""COMPUTED_VALUE"""),"El contrato se encuentra en fase de consultoria se evalua la especie para implementar en el paisajismo del proyecto")</f>
        <v>El contrato se encuentra en fase de consultoria se evalua la especie para implementar en el paisajismo del proyecto</v>
      </c>
      <c r="N2386" s="55">
        <f ca="1">IFERROR(__xludf.DUMMYFUNCTION("""COMPUTED_VALUE"""),45031)</f>
        <v>45031</v>
      </c>
      <c r="O2386" s="25" t="str">
        <f t="shared" ca="1" si="0"/>
        <v>Empresa de Acueducto y Alcantarillado de Bogotá</v>
      </c>
      <c r="P2386" s="25" t="str">
        <f t="shared" si="2"/>
        <v/>
      </c>
      <c r="Q2386" s="25" t="str">
        <f ca="1">IFERROR(__xludf.DUMMYFUNCTION("""COMPUTED_VALUE"""),"Corto plazo")</f>
        <v>Corto plazo</v>
      </c>
      <c r="R2386" s="25"/>
      <c r="S2386" s="55"/>
      <c r="T2386" s="56"/>
      <c r="U2386" s="25"/>
      <c r="V2386" s="25"/>
      <c r="W2386" s="25"/>
      <c r="X2386" s="25"/>
      <c r="Y2386" s="25"/>
      <c r="Z2386" s="25"/>
    </row>
    <row r="2387" spans="1:26" ht="52.5" customHeight="1" x14ac:dyDescent="0.25">
      <c r="A2387" s="25" t="str">
        <f ca="1">IFERROR(__xludf.DUMMYFUNCTION("""COMPUTED_VALUE"""),"Hábit285")</f>
        <v>Hábit285</v>
      </c>
      <c r="B2387" s="25" t="str">
        <f ca="1">IFERROR(__xludf.DUMMYFUNCTION("""COMPUTED_VALUE"""),"Junta infraestructura")</f>
        <v>Junta infraestructura</v>
      </c>
      <c r="C2387" s="55">
        <f ca="1">IFERROR(__xludf.DUMMYFUNCTION("""COMPUTED_VALUE"""),44970)</f>
        <v>44970</v>
      </c>
      <c r="D2387" s="25" t="str">
        <f ca="1">IFERROR(__xludf.DUMMYFUNCTION("""COMPUTED_VALUE"""),"Hábitat")</f>
        <v>Hábitat</v>
      </c>
      <c r="E2387" s="25" t="str">
        <f ca="1">IFERROR(__xludf.DUMMYFUNCTION("""COMPUTED_VALUE"""),"Empresa de Acueducto y Alcantarillado de Bogotá")</f>
        <v>Empresa de Acueducto y Alcantarillado de Bogotá</v>
      </c>
      <c r="F2387" s="25" t="str">
        <f ca="1">IFERROR(__xludf.DUMMYFUNCTION("""COMPUTED_VALUE"""),"En el humedal Juan Amarillo, la iluminación perimetral del sendero debe tener focos de luz en el piso para delimitar la ciclorruta. Reemplazar ese tipo de iluminación en lugar de postes.")</f>
        <v>En el humedal Juan Amarillo, la iluminación perimetral del sendero debe tener focos de luz en el piso para delimitar la ciclorruta. Reemplazar ese tipo de iluminación en lugar de postes.</v>
      </c>
      <c r="G2387" s="25" t="str">
        <f ca="1">IFERROR(__xludf.DUMMYFUNCTION("""COMPUTED_VALUE"""),"11. Suba")</f>
        <v>11. Suba</v>
      </c>
      <c r="H2387" s="55">
        <f ca="1">IFERROR(__xludf.DUMMYFUNCTION("""COMPUTED_VALUE"""),44998)</f>
        <v>44998</v>
      </c>
      <c r="I2387" s="25" t="str">
        <f ca="1">IFERROR(__xludf.DUMMYFUNCTION("""COMPUTED_VALUE"""),"Junta de Infraestructura")</f>
        <v>Junta de Infraestructura</v>
      </c>
      <c r="J2387" s="55" t="str">
        <f ca="1">IFERROR(__xludf.DUMMYFUNCTION("""COMPUTED_VALUE"""),"Alta")</f>
        <v>Alta</v>
      </c>
      <c r="K2387" s="25">
        <f ca="1">IFERROR(__xludf.DUMMYFUNCTION("""COMPUTED_VALUE"""),28)</f>
        <v>28</v>
      </c>
      <c r="L2387" s="62">
        <f ca="1">IFERROR(__xludf.DUMMYFUNCTION("""COMPUTED_VALUE"""),45077)</f>
        <v>45077</v>
      </c>
      <c r="M2387" s="25" t="str">
        <f ca="1">IFERROR(__xludf.DUMMYFUNCTION("""COMPUTED_VALUE"""),"Se evalua dentro de la fase de ajustes a diseños, el contratista y la interventoría realizaron la evaluación y se descarta la posibilidad teniendo en cuenta que esto implica cambiar todo el diseño de iluminación incluyento el  fotométrico que debe ser aut"&amp;"orizado por la UAESP, lo que repercute en el cronograma y presupuesto de la obra. Se aclara que el diseño propuesto de iluminación cumple con los requisitos técnicos y ambientales para el área del humedal.")</f>
        <v>Se evalua dentro de la fase de ajustes a diseños, el contratista y la interventoría realizaron la evaluación y se descarta la posibilidad teniendo en cuenta que esto implica cambiar todo el diseño de iluminación incluyento el  fotométrico que debe ser autorizado por la UAESP, lo que repercute en el cronograma y presupuesto de la obra. Se aclara que el diseño propuesto de iluminación cumple con los requisitos técnicos y ambientales para el área del humedal.</v>
      </c>
      <c r="N2387" s="25"/>
      <c r="O2387" s="25" t="str">
        <f t="shared" ca="1" si="0"/>
        <v>Empresa de Acueducto y Alcantarillado de Bogotá</v>
      </c>
      <c r="P2387" s="25" t="str">
        <f t="shared" ca="1" si="2"/>
        <v/>
      </c>
      <c r="Q2387" s="25" t="str">
        <f ca="1">IFERROR(__xludf.DUMMYFUNCTION("""COMPUTED_VALUE"""),"Corto plazo")</f>
        <v>Corto plazo</v>
      </c>
      <c r="R2387" s="25"/>
      <c r="S2387" s="55"/>
      <c r="T2387" s="56"/>
      <c r="U2387" s="25"/>
      <c r="V2387" s="25"/>
      <c r="W2387" s="25"/>
      <c r="X2387" s="25"/>
      <c r="Y2387" s="25"/>
      <c r="Z2387" s="25"/>
    </row>
    <row r="2388" spans="1:26" ht="52.5" customHeight="1" x14ac:dyDescent="0.25">
      <c r="A2388" s="25" t="str">
        <f ca="1">IFERROR(__xludf.DUMMYFUNCTION("""COMPUTED_VALUE"""),"Hábit286")</f>
        <v>Hábit286</v>
      </c>
      <c r="B2388" s="25" t="str">
        <f ca="1">IFERROR(__xludf.DUMMYFUNCTION("""COMPUTED_VALUE"""),"Junta infraestructura")</f>
        <v>Junta infraestructura</v>
      </c>
      <c r="C2388" s="55">
        <f ca="1">IFERROR(__xludf.DUMMYFUNCTION("""COMPUTED_VALUE"""),44970)</f>
        <v>44970</v>
      </c>
      <c r="D2388" s="25" t="str">
        <f ca="1">IFERROR(__xludf.DUMMYFUNCTION("""COMPUTED_VALUE"""),"Hábitat")</f>
        <v>Hábitat</v>
      </c>
      <c r="E2388" s="25" t="str">
        <f ca="1">IFERROR(__xludf.DUMMYFUNCTION("""COMPUTED_VALUE"""),"Empresa de Acueducto y Alcantarillado de Bogotá")</f>
        <v>Empresa de Acueducto y Alcantarillado de Bogotá</v>
      </c>
      <c r="F2388" s="25" t="str">
        <f ca="1">IFERROR(__xludf.DUMMYFUNCTION("""COMPUTED_VALUE"""),"Hacer un evento para los senderos en mayo, con difusión para los 9 senderos que deben estar abiertos, podados, señalizados y terminados.")</f>
        <v>Hacer un evento para los senderos en mayo, con difusión para los 9 senderos que deben estar abiertos, podados, señalizados y terminados.</v>
      </c>
      <c r="G2388" s="25" t="str">
        <f ca="1">IFERROR(__xludf.DUMMYFUNCTION("""COMPUTED_VALUE"""),"99. Distrito")</f>
        <v>99. Distrito</v>
      </c>
      <c r="H2388" s="55">
        <f ca="1">IFERROR(__xludf.DUMMYFUNCTION("""COMPUTED_VALUE"""),45046)</f>
        <v>45046</v>
      </c>
      <c r="I2388" s="25" t="str">
        <f ca="1">IFERROR(__xludf.DUMMYFUNCTION("""COMPUTED_VALUE"""),"Delivery Unit")</f>
        <v>Delivery Unit</v>
      </c>
      <c r="J2388" s="55" t="str">
        <f ca="1">IFERROR(__xludf.DUMMYFUNCTION("""COMPUTED_VALUE"""),"Alta")</f>
        <v>Alta</v>
      </c>
      <c r="K2388" s="25">
        <f ca="1">IFERROR(__xludf.DUMMYFUNCTION("""COMPUTED_VALUE"""),76)</f>
        <v>76</v>
      </c>
      <c r="L2388" s="62">
        <f ca="1">IFERROR(__xludf.DUMMYFUNCTION("""COMPUTED_VALUE"""),45077)</f>
        <v>45077</v>
      </c>
      <c r="M2388" s="66" t="str">
        <f ca="1">IFERROR(__xludf.DUMMYFUNCTION("""COMPUTED_VALUE"""),"El 13 de mayo 2023, se realizaron actividades de Avistamiento de Aves en el marco del Glabal Big Day en todos los caminos de los Cerros Orientales. https://twitter.com/AcueductoBogota/status/1657487067146854401?s=20 ")</f>
        <v xml:space="preserve">El 13 de mayo 2023, se realizaron actividades de Avistamiento de Aves en el marco del Glabal Big Day en todos los caminos de los Cerros Orientales. https://twitter.com/AcueductoBogota/status/1657487067146854401?s=20 </v>
      </c>
      <c r="N2388" s="55">
        <f ca="1">IFERROR(__xludf.DUMMYFUNCTION("""COMPUTED_VALUE"""),45059)</f>
        <v>45059</v>
      </c>
      <c r="O2388" s="25" t="str">
        <f t="shared" ca="1" si="0"/>
        <v>Empresa de Acueducto y Alcantarillado de Bogotá</v>
      </c>
      <c r="P2388" s="25" t="str">
        <f t="shared" ca="1" si="2"/>
        <v/>
      </c>
      <c r="Q2388" s="25" t="str">
        <f ca="1">IFERROR(__xludf.DUMMYFUNCTION("""COMPUTED_VALUE"""),"Mediano plazo")</f>
        <v>Mediano plazo</v>
      </c>
      <c r="R2388" s="25"/>
      <c r="S2388" s="55"/>
      <c r="T2388" s="56"/>
      <c r="U2388" s="25"/>
      <c r="V2388" s="25"/>
      <c r="W2388" s="25"/>
      <c r="X2388" s="25"/>
      <c r="Y2388" s="25"/>
      <c r="Z2388" s="25"/>
    </row>
    <row r="2389" spans="1:26" ht="52.5" customHeight="1" x14ac:dyDescent="0.25">
      <c r="A2389" s="25" t="str">
        <f ca="1">IFERROR(__xludf.DUMMYFUNCTION("""COMPUTED_VALUE"""),"Hábit287")</f>
        <v>Hábit287</v>
      </c>
      <c r="B2389" s="25" t="str">
        <f ca="1">IFERROR(__xludf.DUMMYFUNCTION("""COMPUTED_VALUE"""),"Validación AE Chapinero Verde + Reglamentación POT")</f>
        <v>Validación AE Chapinero Verde + Reglamentación POT</v>
      </c>
      <c r="C2389" s="55">
        <f ca="1">IFERROR(__xludf.DUMMYFUNCTION("""COMPUTED_VALUE"""),44972)</f>
        <v>44972</v>
      </c>
      <c r="D2389" s="25" t="str">
        <f ca="1">IFERROR(__xludf.DUMMYFUNCTION("""COMPUTED_VALUE"""),"Hábitat")</f>
        <v>Hábitat</v>
      </c>
      <c r="E2389" s="25" t="str">
        <f ca="1">IFERROR(__xludf.DUMMYFUNCTION("""COMPUTED_VALUE"""),"Empresa de Renovación y Desarrollo Urbano")</f>
        <v>Empresa de Renovación y Desarrollo Urbano</v>
      </c>
      <c r="F2389" s="25" t="str">
        <f ca="1">IFERROR(__xludf.DUMMYFUNCTION("""COMPUTED_VALUE"""),"Retomar el tema de las alternativas de uso de los (16) predios que se encuentran a lo largo del corredor verde (triple función: espacio público, equipamiento y generar vivienda) y lo que hace falta de la carrera 11, al igual que los predios ubicados en la"&amp;" primera línea del metro que requieren renovación urbana. Sobre este último el Instituto Distrital de Patrimonio viene adelantando el inventario de uno a uno de los predios.")</f>
        <v>Retomar el tema de las alternativas de uso de los (16) predios que se encuentran a lo largo del corredor verde (triple función: espacio público, equipamiento y generar vivienda) y lo que hace falta de la carrera 11, al igual que los predios ubicados en la primera línea del metro que requieren renovación urbana. Sobre este último el Instituto Distrital de Patrimonio viene adelantando el inventario de uno a uno de los predios.</v>
      </c>
      <c r="G2389" s="25" t="str">
        <f ca="1">IFERROR(__xludf.DUMMYFUNCTION("""COMPUTED_VALUE"""),"99. Distrito")</f>
        <v>99. Distrito</v>
      </c>
      <c r="H2389" s="55">
        <f ca="1">IFERROR(__xludf.DUMMYFUNCTION("""COMPUTED_VALUE"""),45044)</f>
        <v>45044</v>
      </c>
      <c r="I2389" s="25" t="str">
        <f ca="1">IFERROR(__xludf.DUMMYFUNCTION("""COMPUTED_VALUE"""),"Junta de Infraestructura")</f>
        <v>Junta de Infraestructura</v>
      </c>
      <c r="J2389" s="55" t="str">
        <f ca="1">IFERROR(__xludf.DUMMYFUNCTION("""COMPUTED_VALUE"""),"Media")</f>
        <v>Media</v>
      </c>
      <c r="K2389" s="25">
        <f ca="1">IFERROR(__xludf.DUMMYFUNCTION("""COMPUTED_VALUE"""),72)</f>
        <v>72</v>
      </c>
      <c r="L2389" s="62">
        <f ca="1">IFERROR(__xludf.DUMMYFUNCTION("""COMPUTED_VALUE"""),45077)</f>
        <v>45077</v>
      </c>
      <c r="M2389" s="25" t="str">
        <f ca="1">IFERROR(__xludf.DUMMYFUNCTION("""COMPUTED_VALUE"""),"Solicitamos reunión para revisar y precisar el alcance de esta tarea con IDPC, SDHT, IDU y Junta de Infraestructura.
")</f>
        <v xml:space="preserve">Solicitamos reunión para revisar y precisar el alcance de esta tarea con IDPC, SDHT, IDU y Junta de Infraestructura.
</v>
      </c>
      <c r="N2389" s="25"/>
      <c r="O2389" s="25" t="str">
        <f t="shared" ca="1" si="0"/>
        <v>Empresa de Renovación y Desarrollo Urbano</v>
      </c>
      <c r="P2389" s="25" t="str">
        <f t="shared" ca="1" si="2"/>
        <v/>
      </c>
      <c r="Q2389" s="25" t="str">
        <f ca="1">IFERROR(__xludf.DUMMYFUNCTION("""COMPUTED_VALUE"""),"Mediano plazo")</f>
        <v>Mediano plazo</v>
      </c>
      <c r="R2389" s="25"/>
      <c r="S2389" s="55"/>
      <c r="T2389" s="56"/>
      <c r="U2389" s="25"/>
      <c r="V2389" s="25"/>
      <c r="W2389" s="25"/>
      <c r="X2389" s="25"/>
      <c r="Y2389" s="25"/>
      <c r="Z2389" s="25"/>
    </row>
    <row r="2390" spans="1:26" ht="52.5" customHeight="1" x14ac:dyDescent="0.25">
      <c r="A2390" s="25" t="str">
        <f ca="1">IFERROR(__xludf.DUMMYFUNCTION("""COMPUTED_VALUE"""),"Hábit288")</f>
        <v>Hábit288</v>
      </c>
      <c r="B2390" s="25" t="str">
        <f ca="1">IFERROR(__xludf.DUMMYFUNCTION("""COMPUTED_VALUE"""),"Validación AE Chapinero Verde + Reglamentación POT")</f>
        <v>Validación AE Chapinero Verde + Reglamentación POT</v>
      </c>
      <c r="C2390" s="55">
        <f ca="1">IFERROR(__xludf.DUMMYFUNCTION("""COMPUTED_VALUE"""),44972)</f>
        <v>44972</v>
      </c>
      <c r="D2390" s="25" t="str">
        <f ca="1">IFERROR(__xludf.DUMMYFUNCTION("""COMPUTED_VALUE"""),"Hábitat")</f>
        <v>Hábitat</v>
      </c>
      <c r="E2390" s="25" t="str">
        <f ca="1">IFERROR(__xludf.DUMMYFUNCTION("""COMPUTED_VALUE"""),"Empresa de Renovación y Desarrollo Urbano")</f>
        <v>Empresa de Renovación y Desarrollo Urbano</v>
      </c>
      <c r="F2390" s="25" t="str">
        <f ca="1">IFERROR(__xludf.DUMMYFUNCTION("""COMPUTED_VALUE"""),"Incluir la delimitación geográfica y el ajuste que se ha venido realizando en el diseño del corredor verde en la Actuación Estratégica de Chapinero e incluir en el plan maestro de movilidad y en los lineamientos de las actuaciones estratégicas, la precisi"&amp;"ón que todo el acotamiento o pacificación que sea haga es zona de reverdecimiento (visión cero).")</f>
        <v>Incluir la delimitación geográfica y el ajuste que se ha venido realizando en el diseño del corredor verde en la Actuación Estratégica de Chapinero e incluir en el plan maestro de movilidad y en los lineamientos de las actuaciones estratégicas, la precisión que todo el acotamiento o pacificación que sea haga es zona de reverdecimiento (visión cero).</v>
      </c>
      <c r="G2390" s="25" t="str">
        <f ca="1">IFERROR(__xludf.DUMMYFUNCTION("""COMPUTED_VALUE"""),"99. Distrito")</f>
        <v>99. Distrito</v>
      </c>
      <c r="H2390" s="55">
        <f ca="1">IFERROR(__xludf.DUMMYFUNCTION("""COMPUTED_VALUE"""),45014)</f>
        <v>45014</v>
      </c>
      <c r="I2390" s="25"/>
      <c r="J2390" s="55" t="str">
        <f ca="1">IFERROR(__xludf.DUMMYFUNCTION("""COMPUTED_VALUE"""),"Alta")</f>
        <v>Alta</v>
      </c>
      <c r="K2390" s="25">
        <f ca="1">IFERROR(__xludf.DUMMYFUNCTION("""COMPUTED_VALUE"""),42)</f>
        <v>42</v>
      </c>
      <c r="L2390" s="62">
        <f ca="1">IFERROR(__xludf.DUMMYFUNCTION("""COMPUTED_VALUE"""),45000)</f>
        <v>45000</v>
      </c>
      <c r="M2390" s="25" t="str">
        <f ca="1">IFERROR(__xludf.DUMMYFUNCTION("""COMPUTED_VALUE"""),"Se informa que desde la ERU se incluyó dentro de la formulación de las directrices de la Actuación Estratégica lo referente a:
 *la delimitación geográfica y el ajuste en el diseño del corredor verde
 *En cuanto a los lineamientos se incluyó la precisión "&amp;"que todo el acotamiento o pacificación que sea haga es zona de reverdecimiento (visión cero).")</f>
        <v>Se informa que desde la ERU se incluyó dentro de la formulación de las directrices de la Actuación Estratégica lo referente a:
 *la delimitación geográfica y el ajuste en el diseño del corredor verde
 *En cuanto a los lineamientos se incluyó la precisión que todo el acotamiento o pacificación que sea haga es zona de reverdecimiento (visión cero).</v>
      </c>
      <c r="N2390" s="55">
        <f ca="1">IFERROR(__xludf.DUMMYFUNCTION("""COMPUTED_VALUE"""),45000)</f>
        <v>45000</v>
      </c>
      <c r="O2390" s="25" t="str">
        <f t="shared" ca="1" si="0"/>
        <v>Empresa de Renovación y Desarrollo Urbano</v>
      </c>
      <c r="P2390" s="25" t="str">
        <f t="shared" si="2"/>
        <v/>
      </c>
      <c r="Q2390" s="25" t="str">
        <f ca="1">IFERROR(__xludf.DUMMYFUNCTION("""COMPUTED_VALUE"""),"Corto plazo")</f>
        <v>Corto plazo</v>
      </c>
      <c r="R2390" s="25"/>
      <c r="S2390" s="55"/>
      <c r="T2390" s="56"/>
      <c r="U2390" s="25"/>
      <c r="V2390" s="25"/>
      <c r="W2390" s="25"/>
      <c r="X2390" s="25"/>
      <c r="Y2390" s="25"/>
      <c r="Z2390" s="25"/>
    </row>
    <row r="2391" spans="1:26" ht="52.5" customHeight="1" x14ac:dyDescent="0.25">
      <c r="A2391" s="25" t="str">
        <f ca="1">IFERROR(__xludf.DUMMYFUNCTION("""COMPUTED_VALUE"""),"Hábit289")</f>
        <v>Hábit289</v>
      </c>
      <c r="B2391" s="25"/>
      <c r="C2391" s="55"/>
      <c r="D2391" s="25" t="str">
        <f ca="1">IFERROR(__xludf.DUMMYFUNCTION("""COMPUTED_VALUE"""),"Hábitat")</f>
        <v>Hábitat</v>
      </c>
      <c r="E2391" s="25" t="str">
        <f ca="1">IFERROR(__xludf.DUMMYFUNCTION("""COMPUTED_VALUE"""),"Secretaría Distrital del Hábitat")</f>
        <v>Secretaría Distrital del Hábitat</v>
      </c>
      <c r="F2391" s="25" t="str">
        <f ca="1">IFERROR(__xludf.DUMMYFUNCTION("""COMPUTED_VALUE"""),"Eliminada")</f>
        <v>Eliminada</v>
      </c>
      <c r="G2391" s="25"/>
      <c r="H2391" s="25"/>
      <c r="I2391" s="25"/>
      <c r="J2391" s="55"/>
      <c r="K2391" s="25" t="str">
        <f ca="1">IFERROR(__xludf.DUMMYFUNCTION("""COMPUTED_VALUE"""),"Definir fecha")</f>
        <v>Definir fecha</v>
      </c>
      <c r="L2391" s="62"/>
      <c r="M2391" s="25"/>
      <c r="N2391" s="25"/>
      <c r="O2391" s="25" t="str">
        <f t="shared" ca="1" si="0"/>
        <v>Secretaría Distrital del Hábitat</v>
      </c>
      <c r="P2391" s="25" t="str">
        <f t="shared" si="2"/>
        <v/>
      </c>
      <c r="Q2391" s="25" t="str">
        <f ca="1">IFERROR(__xludf.DUMMYFUNCTION("""COMPUTED_VALUE"""),"Sin defenir")</f>
        <v>Sin defenir</v>
      </c>
      <c r="R2391" s="25"/>
      <c r="S2391" s="55"/>
      <c r="T2391" s="56"/>
      <c r="U2391" s="25"/>
      <c r="V2391" s="25"/>
      <c r="W2391" s="25"/>
      <c r="X2391" s="25"/>
      <c r="Y2391" s="25"/>
      <c r="Z2391" s="25"/>
    </row>
    <row r="2392" spans="1:26" ht="52.5" customHeight="1" x14ac:dyDescent="0.25">
      <c r="A2392" s="25" t="str">
        <f ca="1">IFERROR(__xludf.DUMMYFUNCTION("""COMPUTED_VALUE"""),"Hábit290")</f>
        <v>Hábit290</v>
      </c>
      <c r="B2392" s="25" t="str">
        <f ca="1">IFERROR(__xludf.DUMMYFUNCTION("""COMPUTED_VALUE"""),"Validación AE Chapinero Verde + Reglamentación POT")</f>
        <v>Validación AE Chapinero Verde + Reglamentación POT</v>
      </c>
      <c r="C2392" s="55">
        <f ca="1">IFERROR(__xludf.DUMMYFUNCTION("""COMPUTED_VALUE"""),44972)</f>
        <v>44972</v>
      </c>
      <c r="D2392" s="25" t="str">
        <f ca="1">IFERROR(__xludf.DUMMYFUNCTION("""COMPUTED_VALUE"""),"Hábitat")</f>
        <v>Hábitat</v>
      </c>
      <c r="E2392" s="25" t="str">
        <f ca="1">IFERROR(__xludf.DUMMYFUNCTION("""COMPUTED_VALUE"""),"Empresa de Renovación y Desarrollo Urbano")</f>
        <v>Empresa de Renovación y Desarrollo Urbano</v>
      </c>
      <c r="F2392" s="25" t="str">
        <f ca="1">IFERROR(__xludf.DUMMYFUNCTION("""COMPUTED_VALUE"""),"Incluir en la Actuación Estratégica de Chapinero el reverdecimiento de los siguientes espacios: entre la calle 54 y la 57 entre la carrera 13 y 7, calle 63 y la plazoleta frente a la Universidad Korad Lornenz.")</f>
        <v>Incluir en la Actuación Estratégica de Chapinero el reverdecimiento de los siguientes espacios: entre la calle 54 y la 57 entre la carrera 13 y 7, calle 63 y la plazoleta frente a la Universidad Korad Lornenz.</v>
      </c>
      <c r="G2392" s="25" t="str">
        <f ca="1">IFERROR(__xludf.DUMMYFUNCTION("""COMPUTED_VALUE"""),"02. Chapinero")</f>
        <v>02. Chapinero</v>
      </c>
      <c r="H2392" s="55">
        <f ca="1">IFERROR(__xludf.DUMMYFUNCTION("""COMPUTED_VALUE"""),45014)</f>
        <v>45014</v>
      </c>
      <c r="I2392" s="25"/>
      <c r="J2392" s="55" t="str">
        <f ca="1">IFERROR(__xludf.DUMMYFUNCTION("""COMPUTED_VALUE"""),"Alta")</f>
        <v>Alta</v>
      </c>
      <c r="K2392" s="25">
        <f ca="1">IFERROR(__xludf.DUMMYFUNCTION("""COMPUTED_VALUE"""),42)</f>
        <v>42</v>
      </c>
      <c r="L2392" s="62">
        <f ca="1">IFERROR(__xludf.DUMMYFUNCTION("""COMPUTED_VALUE"""),45000)</f>
        <v>45000</v>
      </c>
      <c r="M2392" s="25" t="str">
        <f ca="1">IFERROR(__xludf.DUMMYFUNCTION("""COMPUTED_VALUE"""),"Se informa que la inclusión ya se encuentra realizada dentro de la formulación de las directrices de la Actuación Estratégica.")</f>
        <v>Se informa que la inclusión ya se encuentra realizada dentro de la formulación de las directrices de la Actuación Estratégica.</v>
      </c>
      <c r="N2392" s="55">
        <f ca="1">IFERROR(__xludf.DUMMYFUNCTION("""COMPUTED_VALUE"""),45000)</f>
        <v>45000</v>
      </c>
      <c r="O2392" s="25" t="str">
        <f t="shared" ca="1" si="0"/>
        <v>Empresa de Renovación y Desarrollo Urbano</v>
      </c>
      <c r="P2392" s="25" t="str">
        <f t="shared" si="2"/>
        <v/>
      </c>
      <c r="Q2392" s="25" t="str">
        <f ca="1">IFERROR(__xludf.DUMMYFUNCTION("""COMPUTED_VALUE"""),"Corto plazo")</f>
        <v>Corto plazo</v>
      </c>
      <c r="R2392" s="25"/>
      <c r="S2392" s="55"/>
      <c r="T2392" s="56"/>
      <c r="U2392" s="25"/>
      <c r="V2392" s="25"/>
      <c r="W2392" s="25"/>
      <c r="X2392" s="25"/>
      <c r="Y2392" s="25"/>
      <c r="Z2392" s="25"/>
    </row>
    <row r="2393" spans="1:26" ht="52.5" customHeight="1" x14ac:dyDescent="0.25">
      <c r="A2393" s="25" t="str">
        <f ca="1">IFERROR(__xludf.DUMMYFUNCTION("""COMPUTED_VALUE"""),"Hábit291")</f>
        <v>Hábit291</v>
      </c>
      <c r="B2393" s="25"/>
      <c r="C2393" s="55"/>
      <c r="D2393" s="25" t="str">
        <f ca="1">IFERROR(__xludf.DUMMYFUNCTION("""COMPUTED_VALUE"""),"Hábitat")</f>
        <v>Hábitat</v>
      </c>
      <c r="E2393" s="25" t="str">
        <f ca="1">IFERROR(__xludf.DUMMYFUNCTION("""COMPUTED_VALUE"""),"Secretaría Distrital del Hábitat")</f>
        <v>Secretaría Distrital del Hábitat</v>
      </c>
      <c r="F2393" s="25" t="str">
        <f ca="1">IFERROR(__xludf.DUMMYFUNCTION("""COMPUTED_VALUE"""),"Eliminada")</f>
        <v>Eliminada</v>
      </c>
      <c r="G2393" s="25"/>
      <c r="H2393" s="25"/>
      <c r="I2393" s="25"/>
      <c r="J2393" s="55"/>
      <c r="K2393" s="25" t="str">
        <f ca="1">IFERROR(__xludf.DUMMYFUNCTION("""COMPUTED_VALUE"""),"Definir fecha")</f>
        <v>Definir fecha</v>
      </c>
      <c r="L2393" s="62"/>
      <c r="M2393" s="25"/>
      <c r="N2393" s="25"/>
      <c r="O2393" s="25" t="str">
        <f t="shared" ca="1" si="0"/>
        <v>Secretaría Distrital del Hábitat</v>
      </c>
      <c r="P2393" s="25" t="str">
        <f t="shared" si="2"/>
        <v/>
      </c>
      <c r="Q2393" s="25" t="str">
        <f ca="1">IFERROR(__xludf.DUMMYFUNCTION("""COMPUTED_VALUE"""),"Sin defenir")</f>
        <v>Sin defenir</v>
      </c>
      <c r="R2393" s="25"/>
      <c r="S2393" s="55"/>
      <c r="T2393" s="56"/>
      <c r="U2393" s="25"/>
      <c r="V2393" s="25"/>
      <c r="W2393" s="25"/>
      <c r="X2393" s="25"/>
      <c r="Y2393" s="25"/>
      <c r="Z2393" s="25"/>
    </row>
    <row r="2394" spans="1:26" ht="52.5" customHeight="1" x14ac:dyDescent="0.25">
      <c r="A2394" s="25" t="str">
        <f ca="1">IFERROR(__xludf.DUMMYFUNCTION("""COMPUTED_VALUE"""),"Hábit292")</f>
        <v>Hábit292</v>
      </c>
      <c r="B2394" s="25" t="str">
        <f ca="1">IFERROR(__xludf.DUMMYFUNCTION("""COMPUTED_VALUE"""),"Estrategia de recolección de residuos")</f>
        <v>Estrategia de recolección de residuos</v>
      </c>
      <c r="C2394" s="55">
        <f ca="1">IFERROR(__xludf.DUMMYFUNCTION("""COMPUTED_VALUE"""),44974)</f>
        <v>44974</v>
      </c>
      <c r="D2394" s="25" t="str">
        <f ca="1">IFERROR(__xludf.DUMMYFUNCTION("""COMPUTED_VALUE"""),"Hábitat")</f>
        <v>Hábitat</v>
      </c>
      <c r="E2394" s="25" t="str">
        <f ca="1">IFERROR(__xludf.DUMMYFUNCTION("""COMPUTED_VALUE"""),"Aguas de Bogotá SA ESP")</f>
        <v>Aguas de Bogotá SA ESP</v>
      </c>
      <c r="F2394" s="25" t="str">
        <f ca="1">IFERROR(__xludf.DUMMYFUNCTION("""COMPUTED_VALUE"""),"Junto con la UAESP, modificar el diseño actual que se está implementando en las
 zonas bajo puentes de la calle 183 y 170 por un diseño autosostenido con piedras de 1 metro de altura y que no se puedan mover, este diseño
 puede ser combinado con materas.")</f>
        <v>Junto con la UAESP, modificar el diseño actual que se está implementando en las
 zonas bajo puentes de la calle 183 y 170 por un diseño autosostenido con piedras de 1 metro de altura y que no se puedan mover, este diseño
 puede ser combinado con materas.</v>
      </c>
      <c r="G2394" s="25" t="str">
        <f ca="1">IFERROR(__xludf.DUMMYFUNCTION("""COMPUTED_VALUE"""),"01. Usaquén")</f>
        <v>01. Usaquén</v>
      </c>
      <c r="H2394" s="55">
        <f ca="1">IFERROR(__xludf.DUMMYFUNCTION("""COMPUTED_VALUE"""),45031)</f>
        <v>45031</v>
      </c>
      <c r="I2394" s="25"/>
      <c r="J2394" s="55" t="str">
        <f ca="1">IFERROR(__xludf.DUMMYFUNCTION("""COMPUTED_VALUE"""),"Alta")</f>
        <v>Alta</v>
      </c>
      <c r="K2394" s="25">
        <f ca="1">IFERROR(__xludf.DUMMYFUNCTION("""COMPUTED_VALUE"""),57)</f>
        <v>57</v>
      </c>
      <c r="L2394" s="62">
        <f ca="1">IFERROR(__xludf.DUMMYFUNCTION("""COMPUTED_VALUE"""),45033)</f>
        <v>45033</v>
      </c>
      <c r="M2394" s="25" t="str">
        <f ca="1">IFERROR(__xludf.DUMMYFUNCTION("""COMPUTED_VALUE"""),"El 24 de febrero de 2023 se realizó reunión entre la UAESP y el IDU para ajustar los diseños presentados en la reunión del 17 de febrero de 2023, en función de las instrucciones del comité de estrategia de recolección de residuos. En la reunión se acordar"&amp;"on los ajustes al diseño, los cuales proyectan el máximo aprovechamiento de la topografía del espacio e introducen materas de gran dimensión para evitar el uso indebido del espacio público. 
Acordados los diseños, el 26 de febrero de 2023 se dio inicio"&amp;" a las obras de intervención en la Calle 170 y el 17 de febrero de 2023 en la Calle 183. ")</f>
        <v xml:space="preserve">El 24 de febrero de 2023 se realizó reunión entre la UAESP y el IDU para ajustar los diseños presentados en la reunión del 17 de febrero de 2023, en función de las instrucciones del comité de estrategia de recolección de residuos. En la reunión se acordaron los ajustes al diseño, los cuales proyectan el máximo aprovechamiento de la topografía del espacio e introducen materas de gran dimensión para evitar el uso indebido del espacio público. 
Acordados los diseños, el 26 de febrero de 2023 se dio inicio a las obras de intervención en la Calle 170 y el 17 de febrero de 2023 en la Calle 183. </v>
      </c>
      <c r="N2394" s="55">
        <f ca="1">IFERROR(__xludf.DUMMYFUNCTION("""COMPUTED_VALUE"""),45016)</f>
        <v>45016</v>
      </c>
      <c r="O2394" s="25" t="str">
        <f t="shared" ca="1" si="0"/>
        <v>Aguas de Bogotá SA ESP</v>
      </c>
      <c r="P2394" s="25" t="str">
        <f t="shared" si="2"/>
        <v/>
      </c>
      <c r="Q2394" s="25" t="str">
        <f ca="1">IFERROR(__xludf.DUMMYFUNCTION("""COMPUTED_VALUE"""),"Corto plazo")</f>
        <v>Corto plazo</v>
      </c>
      <c r="R2394" s="25"/>
      <c r="S2394" s="55"/>
      <c r="T2394" s="56"/>
      <c r="U2394" s="25"/>
      <c r="V2394" s="25"/>
      <c r="W2394" s="25"/>
      <c r="X2394" s="25"/>
      <c r="Y2394" s="25"/>
      <c r="Z2394" s="25"/>
    </row>
    <row r="2395" spans="1:26" ht="52.5" customHeight="1" x14ac:dyDescent="0.25">
      <c r="A2395" s="25" t="str">
        <f ca="1">IFERROR(__xludf.DUMMYFUNCTION("""COMPUTED_VALUE"""),"Hábit293")</f>
        <v>Hábit293</v>
      </c>
      <c r="B2395" s="25" t="str">
        <f ca="1">IFERROR(__xludf.DUMMYFUNCTION("""COMPUTED_VALUE"""),"Estrategia de recolección de residuos")</f>
        <v>Estrategia de recolección de residuos</v>
      </c>
      <c r="C2395" s="55">
        <f ca="1">IFERROR(__xludf.DUMMYFUNCTION("""COMPUTED_VALUE"""),44974)</f>
        <v>44974</v>
      </c>
      <c r="D2395" s="25" t="str">
        <f ca="1">IFERROR(__xludf.DUMMYFUNCTION("""COMPUTED_VALUE"""),"Hábitat")</f>
        <v>Hábitat</v>
      </c>
      <c r="E2395" s="25" t="str">
        <f ca="1">IFERROR(__xludf.DUMMYFUNCTION("""COMPUTED_VALUE"""),"Unidad Administrativa Especial de Servicios Públicos")</f>
        <v>Unidad Administrativa Especial de Servicios Públicos</v>
      </c>
      <c r="F2395" s="25" t="str">
        <f ca="1">IFERROR(__xludf.DUMMYFUNCTION("""COMPUTED_VALUE"""),"Junto con la empresa Aguas de Bogotá, modificar el diseño actual que se está implementando en las zonas bajo puentes de la calle 183 y 170 (que incluya un plan de iluminación con ENEL).")</f>
        <v>Junto con la empresa Aguas de Bogotá, modificar el diseño actual que se está implementando en las zonas bajo puentes de la calle 183 y 170 (que incluya un plan de iluminación con ENEL).</v>
      </c>
      <c r="G2395" s="25" t="str">
        <f ca="1">IFERROR(__xludf.DUMMYFUNCTION("""COMPUTED_VALUE"""),"99. Distrito")</f>
        <v>99. Distrito</v>
      </c>
      <c r="H2395" s="55">
        <f ca="1">IFERROR(__xludf.DUMMYFUNCTION("""COMPUTED_VALUE"""),45031)</f>
        <v>45031</v>
      </c>
      <c r="I2395" s="25" t="str">
        <f ca="1">IFERROR(__xludf.DUMMYFUNCTION("""COMPUTED_VALUE"""),"Delivery Unit")</f>
        <v>Delivery Unit</v>
      </c>
      <c r="J2395" s="55" t="str">
        <f ca="1">IFERROR(__xludf.DUMMYFUNCTION("""COMPUTED_VALUE"""),"Alta")</f>
        <v>Alta</v>
      </c>
      <c r="K2395" s="25">
        <f ca="1">IFERROR(__xludf.DUMMYFUNCTION("""COMPUTED_VALUE"""),57)</f>
        <v>57</v>
      </c>
      <c r="L2395" s="62">
        <f ca="1">IFERROR(__xludf.DUMMYFUNCTION("""COMPUTED_VALUE"""),45077)</f>
        <v>45077</v>
      </c>
      <c r="M2395" s="25" t="str">
        <f ca="1">IFERROR(__xludf.DUMMYFUNCTION("""COMPUTED_VALUE"""),"El 100% de los espacios transitables bajo puentes están iluminados conforme a reglamento técnico de iluminación (RETILAP) / Los puentes en mención se encuentan en tecnología LED y en visita realizada el 28 de marzo y el 13 de abril de 2023 se idenitificó "&amp;"que el alumbrado público se encuentra funcionando correctamente y en el marco de la normatividad vigente, por lo cual no se requiere la instalación de infraestructura adicional")</f>
        <v>El 100% de los espacios transitables bajo puentes están iluminados conforme a reglamento técnico de iluminación (RETILAP) / Los puentes en mención se encuentan en tecnología LED y en visita realizada el 28 de marzo y el 13 de abril de 2023 se idenitificó que el alumbrado público se encuentra funcionando correctamente y en el marco de la normatividad vigente, por lo cual no se requiere la instalación de infraestructura adicional</v>
      </c>
      <c r="N2395" s="61">
        <f ca="1">IFERROR(__xludf.DUMMYFUNCTION("""COMPUTED_VALUE"""),45077)</f>
        <v>45077</v>
      </c>
      <c r="O2395" s="25" t="str">
        <f t="shared" ca="1" si="0"/>
        <v>Unidad Administrativa Especial de Servicios Públicos</v>
      </c>
      <c r="P2395" s="25" t="str">
        <f t="shared" ca="1" si="2"/>
        <v/>
      </c>
      <c r="Q2395" s="25" t="str">
        <f ca="1">IFERROR(__xludf.DUMMYFUNCTION("""COMPUTED_VALUE"""),"Corto plazo")</f>
        <v>Corto plazo</v>
      </c>
      <c r="R2395" s="25"/>
      <c r="S2395" s="55"/>
      <c r="T2395" s="56"/>
      <c r="U2395" s="25"/>
      <c r="V2395" s="25"/>
      <c r="W2395" s="25"/>
      <c r="X2395" s="25"/>
      <c r="Y2395" s="25"/>
      <c r="Z2395" s="25"/>
    </row>
    <row r="2396" spans="1:26" ht="52.5" customHeight="1" x14ac:dyDescent="0.25">
      <c r="A2396" s="25" t="str">
        <f ca="1">IFERROR(__xludf.DUMMYFUNCTION("""COMPUTED_VALUE"""),"Hábit294")</f>
        <v>Hábit294</v>
      </c>
      <c r="B2396" s="25"/>
      <c r="C2396" s="55"/>
      <c r="D2396" s="25" t="str">
        <f ca="1">IFERROR(__xludf.DUMMYFUNCTION("""COMPUTED_VALUE"""),"Hábitat")</f>
        <v>Hábitat</v>
      </c>
      <c r="E2396" s="25" t="str">
        <f ca="1">IFERROR(__xludf.DUMMYFUNCTION("""COMPUTED_VALUE"""),"Unidad Administrativa Especial de Servicios Públicos")</f>
        <v>Unidad Administrativa Especial de Servicios Públicos</v>
      </c>
      <c r="F2396" s="25" t="str">
        <f ca="1">IFERROR(__xludf.DUMMYFUNCTION("""COMPUTED_VALUE"""),"Eliminada")</f>
        <v>Eliminada</v>
      </c>
      <c r="G2396" s="25"/>
      <c r="H2396" s="25"/>
      <c r="I2396" s="25"/>
      <c r="J2396" s="55"/>
      <c r="K2396" s="25" t="str">
        <f ca="1">IFERROR(__xludf.DUMMYFUNCTION("""COMPUTED_VALUE"""),"Definir fecha")</f>
        <v>Definir fecha</v>
      </c>
      <c r="L2396" s="62"/>
      <c r="M2396" s="25"/>
      <c r="N2396" s="25"/>
      <c r="O2396" s="25" t="str">
        <f t="shared" ca="1" si="0"/>
        <v>Unidad Administrativa Especial de Servicios Públicos</v>
      </c>
      <c r="P2396" s="25" t="str">
        <f t="shared" si="2"/>
        <v/>
      </c>
      <c r="Q2396" s="25" t="str">
        <f ca="1">IFERROR(__xludf.DUMMYFUNCTION("""COMPUTED_VALUE"""),"Sin defenir")</f>
        <v>Sin defenir</v>
      </c>
      <c r="R2396" s="25"/>
      <c r="S2396" s="55"/>
      <c r="T2396" s="56"/>
      <c r="U2396" s="25"/>
      <c r="V2396" s="25"/>
      <c r="W2396" s="25"/>
      <c r="X2396" s="25"/>
      <c r="Y2396" s="25"/>
      <c r="Z2396" s="25"/>
    </row>
    <row r="2397" spans="1:26" ht="52.5" customHeight="1" x14ac:dyDescent="0.25">
      <c r="A2397" s="25" t="str">
        <f ca="1">IFERROR(__xludf.DUMMYFUNCTION("""COMPUTED_VALUE"""),"Hábit295")</f>
        <v>Hábit295</v>
      </c>
      <c r="B2397" s="25" t="str">
        <f ca="1">IFERROR(__xludf.DUMMYFUNCTION("""COMPUTED_VALUE"""),"Estrategia de recolección de residuos")</f>
        <v>Estrategia de recolección de residuos</v>
      </c>
      <c r="C2397" s="55">
        <f ca="1">IFERROR(__xludf.DUMMYFUNCTION("""COMPUTED_VALUE"""),44974)</f>
        <v>44974</v>
      </c>
      <c r="D2397" s="25" t="str">
        <f ca="1">IFERROR(__xludf.DUMMYFUNCTION("""COMPUTED_VALUE"""),"Hábitat")</f>
        <v>Hábitat</v>
      </c>
      <c r="E2397" s="25" t="str">
        <f ca="1">IFERROR(__xludf.DUMMYFUNCTION("""COMPUTED_VALUE"""),"Unidad Administrativa Especial de Servicios Públicos")</f>
        <v>Unidad Administrativa Especial de Servicios Públicos</v>
      </c>
      <c r="F2397" s="25" t="str">
        <f ca="1">IFERROR(__xludf.DUMMYFUNCTION("""COMPUTED_VALUE"""),"Realizar una estrategia de recuperación de espacio público en la zona del Cementerio Central.")</f>
        <v>Realizar una estrategia de recuperación de espacio público en la zona del Cementerio Central.</v>
      </c>
      <c r="G2397" s="25" t="str">
        <f ca="1">IFERROR(__xludf.DUMMYFUNCTION("""COMPUTED_VALUE"""),"14. Martires")</f>
        <v>14. Martires</v>
      </c>
      <c r="H2397" s="55">
        <f ca="1">IFERROR(__xludf.DUMMYFUNCTION("""COMPUTED_VALUE"""),45031)</f>
        <v>45031</v>
      </c>
      <c r="I2397" s="25" t="str">
        <f ca="1">IFERROR(__xludf.DUMMYFUNCTION("""COMPUTED_VALUE"""),"Delivery Unit")</f>
        <v>Delivery Unit</v>
      </c>
      <c r="J2397" s="55" t="str">
        <f ca="1">IFERROR(__xludf.DUMMYFUNCTION("""COMPUTED_VALUE"""),"Alta")</f>
        <v>Alta</v>
      </c>
      <c r="K2397" s="25">
        <f ca="1">IFERROR(__xludf.DUMMYFUNCTION("""COMPUTED_VALUE"""),57)</f>
        <v>57</v>
      </c>
      <c r="L2397" s="62">
        <f ca="1">IFERROR(__xludf.DUMMYFUNCTION("""COMPUTED_VALUE"""),45077)</f>
        <v>45077</v>
      </c>
      <c r="M2397" s="25" t="str">
        <f ca="1">IFERROR(__xludf.DUMMYFUNCTION("""COMPUTED_VALUE"""),"Las acciones del JCB Cementerio Central, se desarrollaron en los meses de septiembre y octubre de 2022, cabe resaltar que las acciones de aseo perimetral y de sensibilización a población carretera, se han realizado de manera regular de acuerdo al esquema "&amp;"del operador de Aseo y el cronograma de trabajo estipulado por la SAP.
Con el fin de salvaguardar el espacio y las acciones desarrolladas en el perímetro alrededor del cementerio central y por tratarse de espacio público, se sugiere que la tarea de sosten"&amp;"imiento se traslade a la alcaldía local de los Mártires. En el marco de la estrategia Juntos Cuidamos Bogotá, se adelantó en el mes de septiembre y octubre de 2022 la instalación de 13 luminarias nuevas en el sector, la reposición de 3 tapas de cajas de i"&amp;"nspección, acción de poda de 3 individuos arbóreos y la realización de lavados perimetrales en la zona. Adicionalmente, se estableció un acuerdo de aseo con los comerciantes de veladoras de la calle 26 y la calle 24. Para la vigencia 2023, la UAESP mantie"&amp;"ne el desarrollo de jornadas periódicas de aseo perimetral y sensibilización a población carretera. Por su parte, la Alcaldía Local ha llevado a cabo 7 operativos de IVC para la recuperación del espacio público. Se tiene programado un próximo operativo pa"&amp;"ra el mes de junio.")</f>
        <v>Las acciones del JCB Cementerio Central, se desarrollaron en los meses de septiembre y octubre de 2022, cabe resaltar que las acciones de aseo perimetral y de sensibilización a población carretera, se han realizado de manera regular de acuerdo al esquema del operador de Aseo y el cronograma de trabajo estipulado por la SAP.
Con el fin de salvaguardar el espacio y las acciones desarrolladas en el perímetro alrededor del cementerio central y por tratarse de espacio público, se sugiere que la tarea de sostenimiento se traslade a la alcaldía local de los Mártires. En el marco de la estrategia Juntos Cuidamos Bogotá, se adelantó en el mes de septiembre y octubre de 2022 la instalación de 13 luminarias nuevas en el sector, la reposición de 3 tapas de cajas de inspección, acción de poda de 3 individuos arbóreos y la realización de lavados perimetrales en la zona. Adicionalmente, se estableció un acuerdo de aseo con los comerciantes de veladoras de la calle 26 y la calle 24. Para la vigencia 2023, la UAESP mantiene el desarrollo de jornadas periódicas de aseo perimetral y sensibilización a población carretera. Por su parte, la Alcaldía Local ha llevado a cabo 7 operativos de IVC para la recuperación del espacio público. Se tiene programado un próximo operativo para el mes de junio.</v>
      </c>
      <c r="N2397" s="25"/>
      <c r="O2397" s="25" t="str">
        <f t="shared" ca="1" si="0"/>
        <v>Unidad Administrativa Especial de Servicios Públicos</v>
      </c>
      <c r="P2397" s="25" t="str">
        <f t="shared" ca="1" si="2"/>
        <v/>
      </c>
      <c r="Q2397" s="25" t="str">
        <f ca="1">IFERROR(__xludf.DUMMYFUNCTION("""COMPUTED_VALUE"""),"Corto plazo")</f>
        <v>Corto plazo</v>
      </c>
      <c r="R2397" s="25"/>
      <c r="S2397" s="55"/>
      <c r="T2397" s="56"/>
      <c r="U2397" s="25"/>
      <c r="V2397" s="25"/>
      <c r="W2397" s="25"/>
      <c r="X2397" s="25"/>
      <c r="Y2397" s="25"/>
      <c r="Z2397" s="25"/>
    </row>
    <row r="2398" spans="1:26" ht="52.5" customHeight="1" x14ac:dyDescent="0.25">
      <c r="A2398" s="25" t="str">
        <f ca="1">IFERROR(__xludf.DUMMYFUNCTION("""COMPUTED_VALUE"""),"Hábit296")</f>
        <v>Hábit296</v>
      </c>
      <c r="B2398" s="25" t="str">
        <f ca="1">IFERROR(__xludf.DUMMYFUNCTION("""COMPUTED_VALUE"""),"Estrategia de recolección de residuos")</f>
        <v>Estrategia de recolección de residuos</v>
      </c>
      <c r="C2398" s="55">
        <f ca="1">IFERROR(__xludf.DUMMYFUNCTION("""COMPUTED_VALUE"""),44974)</f>
        <v>44974</v>
      </c>
      <c r="D2398" s="25" t="str">
        <f ca="1">IFERROR(__xludf.DUMMYFUNCTION("""COMPUTED_VALUE"""),"Hábitat")</f>
        <v>Hábitat</v>
      </c>
      <c r="E2398" s="25" t="str">
        <f ca="1">IFERROR(__xludf.DUMMYFUNCTION("""COMPUTED_VALUE"""),"Unidad Administrativa Especial de Servicios Públicos")</f>
        <v>Unidad Administrativa Especial de Servicios Públicos</v>
      </c>
      <c r="F2398" s="25" t="str">
        <f ca="1">IFERROR(__xludf.DUMMYFUNCTION("""COMPUTED_VALUE"""),"La estrategia Compost in situ debe ser implementada en la plaza de las flores en la localidad de Kennedy (al lado de Corabastos).")</f>
        <v>La estrategia Compost in situ debe ser implementada en la plaza de las flores en la localidad de Kennedy (al lado de Corabastos).</v>
      </c>
      <c r="G2398" s="25" t="str">
        <f ca="1">IFERROR(__xludf.DUMMYFUNCTION("""COMPUTED_VALUE"""),"08. Kennedy")</f>
        <v>08. Kennedy</v>
      </c>
      <c r="H2398" s="55">
        <f ca="1">IFERROR(__xludf.DUMMYFUNCTION("""COMPUTED_VALUE"""),45031)</f>
        <v>45031</v>
      </c>
      <c r="I2398" s="25" t="str">
        <f ca="1">IFERROR(__xludf.DUMMYFUNCTION("""COMPUTED_VALUE"""),"Delivery Unit")</f>
        <v>Delivery Unit</v>
      </c>
      <c r="J2398" s="55" t="str">
        <f ca="1">IFERROR(__xludf.DUMMYFUNCTION("""COMPUTED_VALUE"""),"Alta")</f>
        <v>Alta</v>
      </c>
      <c r="K2398" s="25">
        <f ca="1">IFERROR(__xludf.DUMMYFUNCTION("""COMPUTED_VALUE"""),57)</f>
        <v>57</v>
      </c>
      <c r="L2398" s="62">
        <f ca="1">IFERROR(__xludf.DUMMYFUNCTION("""COMPUTED_VALUE"""),45076)</f>
        <v>45076</v>
      </c>
      <c r="M2398" s="25" t="str">
        <f ca="1">IFERROR(__xludf.DUMMYFUNCTION("""COMPUTED_VALUE"""),"En el mes de mayo de 2023, se informó mediante comité técnico del contrato UAESP-843-2022 hacer el diagnóstico técnico de la plaza de mercado las flores. El diagnóstico inició y se está recopilando la información para realizar el análisis y establecer la "&amp;"viabilidad técnica. Se solicitaampliar la fecha de cierre para el 30 de julio de 2023.")</f>
        <v>En el mes de mayo de 2023, se informó mediante comité técnico del contrato UAESP-843-2022 hacer el diagnóstico técnico de la plaza de mercado las flores. El diagnóstico inició y se está recopilando la información para realizar el análisis y establecer la viabilidad técnica. Se solicitaampliar la fecha de cierre para el 30 de julio de 2023.</v>
      </c>
      <c r="N2398" s="25"/>
      <c r="O2398" s="25" t="str">
        <f t="shared" ca="1" si="0"/>
        <v>Unidad Administrativa Especial de Servicios Públicos</v>
      </c>
      <c r="P2398" s="25" t="str">
        <f t="shared" ca="1" si="2"/>
        <v/>
      </c>
      <c r="Q2398" s="25" t="str">
        <f ca="1">IFERROR(__xludf.DUMMYFUNCTION("""COMPUTED_VALUE"""),"Corto plazo")</f>
        <v>Corto plazo</v>
      </c>
      <c r="R2398" s="25"/>
      <c r="S2398" s="55"/>
      <c r="T2398" s="56"/>
      <c r="U2398" s="25"/>
      <c r="V2398" s="25"/>
      <c r="W2398" s="25"/>
      <c r="X2398" s="25"/>
      <c r="Y2398" s="25"/>
      <c r="Z2398" s="25"/>
    </row>
    <row r="2399" spans="1:26" ht="52.5" customHeight="1" x14ac:dyDescent="0.25">
      <c r="A2399" s="25" t="str">
        <f ca="1">IFERROR(__xludf.DUMMYFUNCTION("""COMPUTED_VALUE"""),"Hábit297")</f>
        <v>Hábit297</v>
      </c>
      <c r="B2399" s="25" t="str">
        <f ca="1">IFERROR(__xludf.DUMMYFUNCTION("""COMPUTED_VALUE"""),"Estrategia de recolección de residuos")</f>
        <v>Estrategia de recolección de residuos</v>
      </c>
      <c r="C2399" s="55">
        <f ca="1">IFERROR(__xludf.DUMMYFUNCTION("""COMPUTED_VALUE"""),44974)</f>
        <v>44974</v>
      </c>
      <c r="D2399" s="25" t="str">
        <f ca="1">IFERROR(__xludf.DUMMYFUNCTION("""COMPUTED_VALUE"""),"Hábitat")</f>
        <v>Hábitat</v>
      </c>
      <c r="E2399" s="25" t="str">
        <f ca="1">IFERROR(__xludf.DUMMYFUNCTION("""COMPUTED_VALUE"""),"Unidad Administrativa Especial de Servicios Públicos")</f>
        <v>Unidad Administrativa Especial de Servicios Públicos</v>
      </c>
      <c r="F2399" s="25" t="str">
        <f ca="1">IFERROR(__xludf.DUMMYFUNCTION("""COMPUTED_VALUE"""),"Llegar a un acuerdo con los operadores y reiterarles que nuestra propuesta es para
 reforzar esos puntos críticos.")</f>
        <v>Llegar a un acuerdo con los operadores y reiterarles que nuestra propuesta es para
 reforzar esos puntos críticos.</v>
      </c>
      <c r="G2399" s="25" t="str">
        <f ca="1">IFERROR(__xludf.DUMMYFUNCTION("""COMPUTED_VALUE"""),"99. Distrito")</f>
        <v>99. Distrito</v>
      </c>
      <c r="H2399" s="55">
        <f ca="1">IFERROR(__xludf.DUMMYFUNCTION("""COMPUTED_VALUE"""),45031)</f>
        <v>45031</v>
      </c>
      <c r="I2399" s="25" t="str">
        <f ca="1">IFERROR(__xludf.DUMMYFUNCTION("""COMPUTED_VALUE"""),"Secretaría Privada")</f>
        <v>Secretaría Privada</v>
      </c>
      <c r="J2399" s="55" t="str">
        <f ca="1">IFERROR(__xludf.DUMMYFUNCTION("""COMPUTED_VALUE"""),"Alta")</f>
        <v>Alta</v>
      </c>
      <c r="K2399" s="25">
        <f ca="1">IFERROR(__xludf.DUMMYFUNCTION("""COMPUTED_VALUE"""),57)</f>
        <v>57</v>
      </c>
      <c r="L2399" s="62">
        <f ca="1">IFERROR(__xludf.DUMMYFUNCTION("""COMPUTED_VALUE"""),45077)</f>
        <v>45077</v>
      </c>
      <c r="M2399" s="25" t="str">
        <f ca="1">IFERROR(__xludf.DUMMYFUNCTION("""COMPUTED_VALUE"""),"         
El 15 de marzo se realizó reunión con los cinco concesionarios de aseo y se dio instrucción
")</f>
        <v xml:space="preserve">         
El 15 de marzo se realizó reunión con los cinco concesionarios de aseo y se dio instrucción
</v>
      </c>
      <c r="N2399" s="25"/>
      <c r="O2399" s="25" t="str">
        <f t="shared" ca="1" si="0"/>
        <v>Unidad Administrativa Especial de Servicios Públicos</v>
      </c>
      <c r="P2399" s="25" t="str">
        <f t="shared" ca="1" si="2"/>
        <v/>
      </c>
      <c r="Q2399" s="25" t="str">
        <f ca="1">IFERROR(__xludf.DUMMYFUNCTION("""COMPUTED_VALUE"""),"Corto plazo")</f>
        <v>Corto plazo</v>
      </c>
      <c r="R2399" s="25"/>
      <c r="S2399" s="55"/>
      <c r="T2399" s="56"/>
      <c r="U2399" s="25"/>
      <c r="V2399" s="25"/>
      <c r="W2399" s="25"/>
      <c r="X2399" s="25"/>
      <c r="Y2399" s="25"/>
      <c r="Z2399" s="25"/>
    </row>
    <row r="2400" spans="1:26" ht="52.5" customHeight="1" x14ac:dyDescent="0.25">
      <c r="A2400" s="25" t="str">
        <f ca="1">IFERROR(__xludf.DUMMYFUNCTION("""COMPUTED_VALUE"""),"Hábit298")</f>
        <v>Hábit298</v>
      </c>
      <c r="B2400" s="25" t="str">
        <f ca="1">IFERROR(__xludf.DUMMYFUNCTION("""COMPUTED_VALUE"""),"Estrategia de recolección de residuos")</f>
        <v>Estrategia de recolección de residuos</v>
      </c>
      <c r="C2400" s="55">
        <f ca="1">IFERROR(__xludf.DUMMYFUNCTION("""COMPUTED_VALUE"""),44974)</f>
        <v>44974</v>
      </c>
      <c r="D2400" s="25" t="str">
        <f ca="1">IFERROR(__xludf.DUMMYFUNCTION("""COMPUTED_VALUE"""),"Hábitat")</f>
        <v>Hábitat</v>
      </c>
      <c r="E2400" s="25" t="str">
        <f ca="1">IFERROR(__xludf.DUMMYFUNCTION("""COMPUTED_VALUE"""),"Unidad Administrativa Especial de Servicios Públicos")</f>
        <v>Unidad Administrativa Especial de Servicios Públicos</v>
      </c>
      <c r="F2400" s="25" t="str">
        <f ca="1">IFERROR(__xludf.DUMMYFUNCTION("""COMPUTED_VALUE"""),"La UAESP debe dejar claro a los contratistas (operadores) de recolección de residuos en el contrato, lo que no están haciendo y deberían hacer, y especificar que en el “barrido” se incluye recolección de residuos integral.")</f>
        <v>La UAESP debe dejar claro a los contratistas (operadores) de recolección de residuos en el contrato, lo que no están haciendo y deberían hacer, y especificar que en el “barrido” se incluye recolección de residuos integral.</v>
      </c>
      <c r="G2400" s="25" t="str">
        <f ca="1">IFERROR(__xludf.DUMMYFUNCTION("""COMPUTED_VALUE"""),"99. Distrito")</f>
        <v>99. Distrito</v>
      </c>
      <c r="H2400" s="55">
        <f ca="1">IFERROR(__xludf.DUMMYFUNCTION("""COMPUTED_VALUE"""),45031)</f>
        <v>45031</v>
      </c>
      <c r="I2400" s="25" t="str">
        <f ca="1">IFERROR(__xludf.DUMMYFUNCTION("""COMPUTED_VALUE"""),"Secretaría Privada")</f>
        <v>Secretaría Privada</v>
      </c>
      <c r="J2400" s="55" t="str">
        <f ca="1">IFERROR(__xludf.DUMMYFUNCTION("""COMPUTED_VALUE"""),"Alta")</f>
        <v>Alta</v>
      </c>
      <c r="K2400" s="25">
        <f ca="1">IFERROR(__xludf.DUMMYFUNCTION("""COMPUTED_VALUE"""),57)</f>
        <v>57</v>
      </c>
      <c r="L2400" s="62">
        <f ca="1">IFERROR(__xludf.DUMMYFUNCTION("""COMPUTED_VALUE"""),45077)</f>
        <v>45077</v>
      </c>
      <c r="M2400" s="25" t="str">
        <f ca="1">IFERROR(__xludf.DUMMYFUNCTION("""COMPUTED_VALUE"""),"El 15 de marzo se realizó reunión con los cinco concesionarios de aseo para avance de la actividad")</f>
        <v>El 15 de marzo se realizó reunión con los cinco concesionarios de aseo para avance de la actividad</v>
      </c>
      <c r="N2400" s="25"/>
      <c r="O2400" s="25" t="str">
        <f t="shared" ca="1" si="0"/>
        <v>Unidad Administrativa Especial de Servicios Públicos</v>
      </c>
      <c r="P2400" s="25" t="str">
        <f t="shared" ca="1" si="2"/>
        <v/>
      </c>
      <c r="Q2400" s="25" t="str">
        <f ca="1">IFERROR(__xludf.DUMMYFUNCTION("""COMPUTED_VALUE"""),"Corto plazo")</f>
        <v>Corto plazo</v>
      </c>
      <c r="R2400" s="25"/>
      <c r="S2400" s="55"/>
      <c r="T2400" s="56"/>
      <c r="U2400" s="25"/>
      <c r="V2400" s="25"/>
      <c r="W2400" s="25"/>
      <c r="X2400" s="25"/>
      <c r="Y2400" s="25"/>
      <c r="Z2400" s="25"/>
    </row>
    <row r="2401" spans="1:26" ht="52.5" customHeight="1" x14ac:dyDescent="0.25">
      <c r="A2401" s="25" t="str">
        <f ca="1">IFERROR(__xludf.DUMMYFUNCTION("""COMPUTED_VALUE"""),"Hábit299")</f>
        <v>Hábit299</v>
      </c>
      <c r="B2401" s="25" t="str">
        <f ca="1">IFERROR(__xludf.DUMMYFUNCTION("""COMPUTED_VALUE"""),"Estrategia de recolección de residuos")</f>
        <v>Estrategia de recolección de residuos</v>
      </c>
      <c r="C2401" s="55">
        <f ca="1">IFERROR(__xludf.DUMMYFUNCTION("""COMPUTED_VALUE"""),44974)</f>
        <v>44974</v>
      </c>
      <c r="D2401" s="25" t="str">
        <f ca="1">IFERROR(__xludf.DUMMYFUNCTION("""COMPUTED_VALUE"""),"Hábitat")</f>
        <v>Hábitat</v>
      </c>
      <c r="E2401" s="25" t="str">
        <f ca="1">IFERROR(__xludf.DUMMYFUNCTION("""COMPUTED_VALUE"""),"Unidad Administrativa Especial de Servicios Públicos")</f>
        <v>Unidad Administrativa Especial de Servicios Públicos</v>
      </c>
      <c r="F2401" s="25" t="str">
        <f ca="1">IFERROR(__xludf.DUMMYFUNCTION("""COMPUTED_VALUE"""),"Aguas de bogotá debe mirar el modelo y diseño del manejo de cementerios pero solo el modelo, para que puedan contratar a otro privado.")</f>
        <v>Aguas de bogotá debe mirar el modelo y diseño del manejo de cementerios pero solo el modelo, para que puedan contratar a otro privado.</v>
      </c>
      <c r="G2401" s="25" t="str">
        <f ca="1">IFERROR(__xludf.DUMMYFUNCTION("""COMPUTED_VALUE"""),"99. Distrito")</f>
        <v>99. Distrito</v>
      </c>
      <c r="H2401" s="55">
        <f ca="1">IFERROR(__xludf.DUMMYFUNCTION("""COMPUTED_VALUE"""),45031)</f>
        <v>45031</v>
      </c>
      <c r="I2401" s="25" t="str">
        <f ca="1">IFERROR(__xludf.DUMMYFUNCTION("""COMPUTED_VALUE"""),"Delivery Unit")</f>
        <v>Delivery Unit</v>
      </c>
      <c r="J2401" s="55" t="str">
        <f ca="1">IFERROR(__xludf.DUMMYFUNCTION("""COMPUTED_VALUE"""),"Alta")</f>
        <v>Alta</v>
      </c>
      <c r="K2401" s="25">
        <f ca="1">IFERROR(__xludf.DUMMYFUNCTION("""COMPUTED_VALUE"""),57)</f>
        <v>57</v>
      </c>
      <c r="L2401" s="62">
        <f ca="1">IFERROR(__xludf.DUMMYFUNCTION("""COMPUTED_VALUE"""),45076)</f>
        <v>45076</v>
      </c>
      <c r="M2401" s="25" t="str">
        <f ca="1">IFERROR(__xludf.DUMMYFUNCTION("""COMPUTED_VALUE"""),"Se realizaron mesas de trabajo entre la UAESP y Aguas de Bogotá los días 8, 17 y 23 febrero, el 10, 16 y 31 de marzo, 14 y 21 de abril para explicar operación de los cementerios y revisar acciones frente a una posible contingencia.
Aguas de Bogotá presen"&amp;"tó una primera propuesta el día 8 de mayo y un ajuste a esta propuesta el 16 de mayo, sobre la cual se realizó mesa de trabajo el día 24 de mayo. Se solicita cierre.")</f>
        <v>Se realizaron mesas de trabajo entre la UAESP y Aguas de Bogotá los días 8, 17 y 23 febrero, el 10, 16 y 31 de marzo, 14 y 21 de abril para explicar operación de los cementerios y revisar acciones frente a una posible contingencia.
Aguas de Bogotá presentó una primera propuesta el día 8 de mayo y un ajuste a esta propuesta el 16 de mayo, sobre la cual se realizó mesa de trabajo el día 24 de mayo. Se solicita cierre.</v>
      </c>
      <c r="N2401" s="25"/>
      <c r="O2401" s="25" t="str">
        <f t="shared" ca="1" si="0"/>
        <v>Unidad Administrativa Especial de Servicios Públicos</v>
      </c>
      <c r="P2401" s="25" t="str">
        <f t="shared" ca="1" si="2"/>
        <v/>
      </c>
      <c r="Q2401" s="25" t="str">
        <f ca="1">IFERROR(__xludf.DUMMYFUNCTION("""COMPUTED_VALUE"""),"Corto plazo")</f>
        <v>Corto plazo</v>
      </c>
      <c r="R2401" s="25"/>
      <c r="S2401" s="55"/>
      <c r="T2401" s="56"/>
      <c r="U2401" s="25"/>
      <c r="V2401" s="25"/>
      <c r="W2401" s="25"/>
      <c r="X2401" s="25"/>
      <c r="Y2401" s="25"/>
      <c r="Z2401" s="25"/>
    </row>
    <row r="2402" spans="1:26" ht="52.5" customHeight="1" x14ac:dyDescent="0.25">
      <c r="A2402" s="25" t="str">
        <f ca="1">IFERROR(__xludf.DUMMYFUNCTION("""COMPUTED_VALUE"""),"Hábit300")</f>
        <v>Hábit300</v>
      </c>
      <c r="B2402" s="25" t="str">
        <f ca="1">IFERROR(__xludf.DUMMYFUNCTION("""COMPUTED_VALUE"""),"Junta Infraestructura")</f>
        <v>Junta Infraestructura</v>
      </c>
      <c r="C2402" s="55">
        <f ca="1">IFERROR(__xludf.DUMMYFUNCTION("""COMPUTED_VALUE"""),44986)</f>
        <v>44986</v>
      </c>
      <c r="D2402" s="25" t="str">
        <f ca="1">IFERROR(__xludf.DUMMYFUNCTION("""COMPUTED_VALUE"""),"Hábitat")</f>
        <v>Hábitat</v>
      </c>
      <c r="E2402" s="25" t="str">
        <f ca="1">IFERROR(__xludf.DUMMYFUNCTION("""COMPUTED_VALUE"""),"Secretaría Distrital del Hábitat")</f>
        <v>Secretaría Distrital del Hábitat</v>
      </c>
      <c r="F2402" s="25" t="str">
        <f ca="1">IFERROR(__xludf.DUMMYFUNCTION("""COMPUTED_VALUE"""),"Av 68 Grupo 6.  Realizar visita la próxima semana para el traslado de redes que permitan agilizar las obras (ENEL - CODENSA).")</f>
        <v>Av 68 Grupo 6.  Realizar visita la próxima semana para el traslado de redes que permitan agilizar las obras (ENEL - CODENSA).</v>
      </c>
      <c r="G2402" s="25" t="str">
        <f ca="1">IFERROR(__xludf.DUMMYFUNCTION("""COMPUTED_VALUE"""),"99. Distrito")</f>
        <v>99. Distrito</v>
      </c>
      <c r="H2402" s="55">
        <f ca="1">IFERROR(__xludf.DUMMYFUNCTION("""COMPUTED_VALUE"""),45202)</f>
        <v>45202</v>
      </c>
      <c r="I2402" s="25" t="str">
        <f ca="1">IFERROR(__xludf.DUMMYFUNCTION("""COMPUTED_VALUE"""),"Junta de Infraestructura")</f>
        <v>Junta de Infraestructura</v>
      </c>
      <c r="J2402" s="55" t="str">
        <f ca="1">IFERROR(__xludf.DUMMYFUNCTION("""COMPUTED_VALUE"""),"Baja")</f>
        <v>Baja</v>
      </c>
      <c r="K2402" s="25">
        <f ca="1">IFERROR(__xludf.DUMMYFUNCTION("""COMPUTED_VALUE"""),216)</f>
        <v>216</v>
      </c>
      <c r="L2402" s="62">
        <f ca="1">IFERROR(__xludf.DUMMYFUNCTION("""COMPUTED_VALUE"""),45046)</f>
        <v>45046</v>
      </c>
      <c r="M2402" s="25" t="str">
        <f ca="1">IFERROR(__xludf.DUMMYFUNCTION("""COMPUTED_VALUE"""),"Esta solicitud corresponde al operador de red de energía Enel Colombia, no relacionado con el convenio 766 de 1997 de alumbrado público del distrito.")</f>
        <v>Esta solicitud corresponde al operador de red de energía Enel Colombia, no relacionado con el convenio 766 de 1997 de alumbrado público del distrito.</v>
      </c>
      <c r="N2402" s="25"/>
      <c r="O2402" s="25" t="str">
        <f t="shared" ca="1" si="0"/>
        <v>Secretaría Distrital del Hábitat</v>
      </c>
      <c r="P2402" s="25" t="str">
        <f t="shared" ca="1" si="2"/>
        <v/>
      </c>
      <c r="Q2402" s="25" t="str">
        <f ca="1">IFERROR(__xludf.DUMMYFUNCTION("""COMPUTED_VALUE"""),"Largo plazo")</f>
        <v>Largo plazo</v>
      </c>
      <c r="R2402" s="25"/>
      <c r="S2402" s="55"/>
      <c r="T2402" s="56"/>
      <c r="U2402" s="25"/>
      <c r="V2402" s="25"/>
      <c r="W2402" s="25"/>
      <c r="X2402" s="25"/>
      <c r="Y2402" s="25"/>
      <c r="Z2402" s="25"/>
    </row>
    <row r="2403" spans="1:26" ht="52.5" customHeight="1" x14ac:dyDescent="0.25">
      <c r="A2403" s="25" t="str">
        <f ca="1">IFERROR(__xludf.DUMMYFUNCTION("IMPORTRANGE(""https://docs.google.com/spreadsheets/d/1SUh42QDwFP8obN0GNIj4rWfstJx5kDi_GF8-hP5_7Ug/edit#gid=330735094"",""Cultura!A2:K301"")"),"Cultu1")</f>
        <v>Cultu1</v>
      </c>
      <c r="B2403" s="25" t="str">
        <f ca="1">IFERROR(__xludf.DUMMYFUNCTION("""COMPUTED_VALUE"""),"Campañas Cultura Ciudadana")</f>
        <v>Campañas Cultura Ciudadana</v>
      </c>
      <c r="C2403" s="55">
        <f ca="1">IFERROR(__xludf.DUMMYFUNCTION("""COMPUTED_VALUE"""),44627)</f>
        <v>44627</v>
      </c>
      <c r="D2403" s="25" t="str">
        <f ca="1">IFERROR(__xludf.DUMMYFUNCTION("""COMPUTED_VALUE"""),"Cultura")</f>
        <v>Cultura</v>
      </c>
      <c r="E2403" s="25" t="str">
        <f ca="1">IFERROR(__xludf.DUMMYFUNCTION("""COMPUTED_VALUE"""),"Secretaría Distrital de Cultura, Recreación y Deporte")</f>
        <v>Secretaría Distrital de Cultura, Recreación y Deporte</v>
      </c>
      <c r="F2403" s="25" t="str">
        <f ca="1">IFERROR(__xludf.DUMMYFUNCTION("""COMPUTED_VALUE"""),"Diseñar una estrategia de comunicación para los mal parqueados en andenes y vias que incluya stickers y sanciones sociales")</f>
        <v>Diseñar una estrategia de comunicación para los mal parqueados en andenes y vias que incluya stickers y sanciones sociales</v>
      </c>
      <c r="G2403" s="25" t="str">
        <f ca="1">IFERROR(__xludf.DUMMYFUNCTION("""COMPUTED_VALUE"""),"99. Distrito")</f>
        <v>99. Distrito</v>
      </c>
      <c r="H2403" s="55">
        <f ca="1">IFERROR(__xludf.DUMMYFUNCTION("""COMPUTED_VALUE"""),44657)</f>
        <v>44657</v>
      </c>
      <c r="I2403" s="25"/>
      <c r="J2403" s="55" t="str">
        <f ca="1">IFERROR(__xludf.DUMMYFUNCTION("""COMPUTED_VALUE"""),"Alta")</f>
        <v>Alta</v>
      </c>
      <c r="K2403" s="25">
        <f ca="1">IFERROR(__xludf.DUMMYFUNCTION("""COMPUTED_VALUE"""),30)</f>
        <v>30</v>
      </c>
      <c r="L2403" s="62" t="str">
        <f ca="1">IFERROR(__xludf.DUMMYFUNCTION("IMPORTRANGE(""https://docs.google.com/spreadsheets/d/1SUh42QDwFP8obN0GNIj4rWfstJx5kDi_GF8-hP5_7Ug/edit#gid=330735094"",""Cultura!M2:O301"")"),"")</f>
        <v/>
      </c>
      <c r="M2403" s="25" t="str">
        <f ca="1">IFERROR(__xludf.DUMMYFUNCTION("""COMPUTED_VALUE"""),"Con la campaña  #nicincominuticos, la Secretaría Distrital de Movilidad en conjuntos con la Secretaría Distrital de recreación, Cultura y Deporte,  diseñaron  esta estrategia para concientizar a los ciudadanos sobre la problemática de los mal parqueados.
"&amp;"Desde el pasado 29 de marzo de 2022  se implementaron las intervenciones en vía.                                                                                                                                                              Se han tenido 160"&amp;" salidas con las alcaldías. 
Dentro de la campaña se resalta componentes digitales, radiales, televisivos y acciones en vía.
En televisión se realizaron  tres comerciales los cuales se adaptaron para digital, se realizaron tres referencias de cuñas de r"&amp;"adio y se realizaron piezas estáticas.
")</f>
        <v xml:space="preserve">Con la campaña  #nicincominuticos, la Secretaría Distrital de Movilidad en conjuntos con la Secretaría Distrital de recreación, Cultura y Deporte,  diseñaron  esta estrategia para concientizar a los ciudadanos sobre la problemática de los mal parqueados.
Desde el pasado 29 de marzo de 2022  se implementaron las intervenciones en vía.                                                                                                                                                              Se han tenido 160 salidas con las alcaldías. 
Dentro de la campaña se resalta componentes digitales, radiales, televisivos y acciones en vía.
En televisión se realizaron  tres comerciales los cuales se adaptaron para digital, se realizaron tres referencias de cuñas de radio y se realizaron piezas estáticas.
</v>
      </c>
      <c r="N2403" s="55">
        <f ca="1">IFERROR(__xludf.DUMMYFUNCTION("""COMPUTED_VALUE"""),44927)</f>
        <v>44927</v>
      </c>
      <c r="O2403" s="25" t="str">
        <f t="shared" ca="1" si="0"/>
        <v>Secretaría Distrital de Cultura, Recreación y Deporte</v>
      </c>
      <c r="P2403" s="25" t="str">
        <f t="shared" si="2"/>
        <v/>
      </c>
      <c r="Q2403" s="25" t="str">
        <f ca="1">IFERROR(__xludf.DUMMYFUNCTION("IMPORTRANGE(""https://docs.google.com/spreadsheets/d/1SUh42QDwFP8obN0GNIj4rWfstJx5kDi_GF8-hP5_7Ug/edit#gid=330735094"",""Cultura!L2:L301"")"),"Corto plazo")</f>
        <v>Corto plazo</v>
      </c>
      <c r="R2403" s="25"/>
      <c r="S2403" s="55"/>
      <c r="T2403" s="56"/>
      <c r="U2403" s="25"/>
      <c r="V2403" s="25"/>
      <c r="W2403" s="25"/>
      <c r="X2403" s="25"/>
      <c r="Y2403" s="25"/>
      <c r="Z2403" s="25"/>
    </row>
    <row r="2404" spans="1:26" ht="52.5" customHeight="1" x14ac:dyDescent="0.25">
      <c r="A2404" s="25" t="str">
        <f ca="1">IFERROR(__xludf.DUMMYFUNCTION("""COMPUTED_VALUE"""),"Cultu2")</f>
        <v>Cultu2</v>
      </c>
      <c r="B2404" s="25" t="str">
        <f ca="1">IFERROR(__xludf.DUMMYFUNCTION("""COMPUTED_VALUE"""),"Campañas Cultura Ciudadana")</f>
        <v>Campañas Cultura Ciudadana</v>
      </c>
      <c r="C2404" s="55">
        <f ca="1">IFERROR(__xludf.DUMMYFUNCTION("""COMPUTED_VALUE"""),44627)</f>
        <v>44627</v>
      </c>
      <c r="D2404" s="25" t="str">
        <f ca="1">IFERROR(__xludf.DUMMYFUNCTION("""COMPUTED_VALUE"""),"Cultura")</f>
        <v>Cultura</v>
      </c>
      <c r="E2404" s="25" t="str">
        <f ca="1">IFERROR(__xludf.DUMMYFUNCTION("""COMPUTED_VALUE"""),"Secretaría Distrital de Cultura, Recreación y Deporte")</f>
        <v>Secretaría Distrital de Cultura, Recreación y Deporte</v>
      </c>
      <c r="F2404" s="25" t="str">
        <f ca="1">IFERROR(__xludf.DUMMYFUNCTION("""COMPUTED_VALUE"""),"Hacer jornadas donde se roten los corredores viales principales")</f>
        <v>Hacer jornadas donde se roten los corredores viales principales</v>
      </c>
      <c r="G2404" s="25" t="str">
        <f ca="1">IFERROR(__xludf.DUMMYFUNCTION("""COMPUTED_VALUE"""),"99. Distrito")</f>
        <v>99. Distrito</v>
      </c>
      <c r="H2404" s="55">
        <f ca="1">IFERROR(__xludf.DUMMYFUNCTION("""COMPUTED_VALUE"""),44657)</f>
        <v>44657</v>
      </c>
      <c r="I2404" s="25"/>
      <c r="J2404" s="55" t="str">
        <f ca="1">IFERROR(__xludf.DUMMYFUNCTION("""COMPUTED_VALUE"""),"Alta")</f>
        <v>Alta</v>
      </c>
      <c r="K2404" s="25">
        <f ca="1">IFERROR(__xludf.DUMMYFUNCTION("""COMPUTED_VALUE"""),30)</f>
        <v>30</v>
      </c>
      <c r="L2404" s="62"/>
      <c r="M2404" s="25" t="str">
        <f ca="1">IFERROR(__xludf.DUMMYFUNCTION("""COMPUTED_VALUE"""),"Con la campaña  #nicincominuticos  entre las localidades que se han llegado desde el 29 de marzo de 2022 a la fecha son: Engativá, Suba, Bosa, Puente Aranda, Rafael Uribe Uribe, Teusaquillo, Usme, Tunjuelito, Kennedy, Fontibón, Usaquén, Chapinero, San Cri"&amp;"stóbal, Barrios Unidos, la Candelaria, Antonio Nariño, Ciudad Bolívar.")</f>
        <v>Con la campaña  #nicincominuticos  entre las localidades que se han llegado desde el 29 de marzo de 2022 a la fecha son: Engativá, Suba, Bosa, Puente Aranda, Rafael Uribe Uribe, Teusaquillo, Usme, Tunjuelito, Kennedy, Fontibón, Usaquén, Chapinero, San Cristóbal, Barrios Unidos, la Candelaria, Antonio Nariño, Ciudad Bolívar.</v>
      </c>
      <c r="N2404" s="55">
        <f ca="1">IFERROR(__xludf.DUMMYFUNCTION("""COMPUTED_VALUE"""),44927)</f>
        <v>44927</v>
      </c>
      <c r="O2404" s="25" t="str">
        <f t="shared" ca="1" si="0"/>
        <v>Secretaría Distrital de Cultura, Recreación y Deporte</v>
      </c>
      <c r="P2404" s="25" t="str">
        <f t="shared" si="2"/>
        <v/>
      </c>
      <c r="Q2404" s="25" t="str">
        <f ca="1">IFERROR(__xludf.DUMMYFUNCTION("""COMPUTED_VALUE"""),"Corto plazo")</f>
        <v>Corto plazo</v>
      </c>
      <c r="R2404" s="25"/>
      <c r="S2404" s="55"/>
      <c r="T2404" s="56"/>
      <c r="U2404" s="25"/>
      <c r="V2404" s="25"/>
      <c r="W2404" s="25"/>
      <c r="X2404" s="25"/>
      <c r="Y2404" s="25"/>
      <c r="Z2404" s="25"/>
    </row>
    <row r="2405" spans="1:26" ht="52.5" customHeight="1" x14ac:dyDescent="0.25">
      <c r="A2405" s="25" t="str">
        <f ca="1">IFERROR(__xludf.DUMMYFUNCTION("""COMPUTED_VALUE"""),"Cultu3")</f>
        <v>Cultu3</v>
      </c>
      <c r="B2405" s="25" t="str">
        <f ca="1">IFERROR(__xludf.DUMMYFUNCTION("""COMPUTED_VALUE"""),"Campañas Cultura Ciudadana")</f>
        <v>Campañas Cultura Ciudadana</v>
      </c>
      <c r="C2405" s="55">
        <f ca="1">IFERROR(__xludf.DUMMYFUNCTION("""COMPUTED_VALUE"""),44627)</f>
        <v>44627</v>
      </c>
      <c r="D2405" s="25" t="str">
        <f ca="1">IFERROR(__xludf.DUMMYFUNCTION("""COMPUTED_VALUE"""),"Cultura")</f>
        <v>Cultura</v>
      </c>
      <c r="E2405" s="25" t="str">
        <f ca="1">IFERROR(__xludf.DUMMYFUNCTION("""COMPUTED_VALUE"""),"Secretaría Distrital de Cultura, Recreación y Deporte")</f>
        <v>Secretaría Distrital de Cultura, Recreación y Deporte</v>
      </c>
      <c r="F2405" s="25" t="str">
        <f ca="1">IFERROR(__xludf.DUMMYFUNCTION("""COMPUTED_VALUE"""),"Realizar lanzamiento de la programación cultural (conciertos, festival, desportes) en el parque el Tunal con la Cinemateca al parque y picnic literario")</f>
        <v>Realizar lanzamiento de la programación cultural (conciertos, festival, desportes) en el parque el Tunal con la Cinemateca al parque y picnic literario</v>
      </c>
      <c r="G2405" s="25" t="str">
        <f ca="1">IFERROR(__xludf.DUMMYFUNCTION("""COMPUTED_VALUE"""),"99. Distrito")</f>
        <v>99. Distrito</v>
      </c>
      <c r="H2405" s="55">
        <f ca="1">IFERROR(__xludf.DUMMYFUNCTION("""COMPUTED_VALUE"""),44657)</f>
        <v>44657</v>
      </c>
      <c r="I2405" s="25"/>
      <c r="J2405" s="55" t="str">
        <f ca="1">IFERROR(__xludf.DUMMYFUNCTION("""COMPUTED_VALUE"""),"Alta")</f>
        <v>Alta</v>
      </c>
      <c r="K2405" s="25">
        <f ca="1">IFERROR(__xludf.DUMMYFUNCTION("""COMPUTED_VALUE"""),30)</f>
        <v>30</v>
      </c>
      <c r="L2405" s="62"/>
      <c r="M2405" s="25" t="str">
        <f ca="1">IFERROR(__xludf.DUMMYFUNCTION("""COMPUTED_VALUE"""),"El lanzamiento de la programación cultural se hará el 27 de marzo")</f>
        <v>El lanzamiento de la programación cultural se hará el 27 de marzo</v>
      </c>
      <c r="N2405" s="55">
        <f ca="1">IFERROR(__xludf.DUMMYFUNCTION("""COMPUTED_VALUE"""),44927)</f>
        <v>44927</v>
      </c>
      <c r="O2405" s="25" t="str">
        <f t="shared" ca="1" si="0"/>
        <v>Secretaría Distrital de Cultura, Recreación y Deporte</v>
      </c>
      <c r="P2405" s="25" t="str">
        <f t="shared" si="2"/>
        <v/>
      </c>
      <c r="Q2405" s="25" t="str">
        <f ca="1">IFERROR(__xludf.DUMMYFUNCTION("""COMPUTED_VALUE"""),"Corto plazo")</f>
        <v>Corto plazo</v>
      </c>
      <c r="R2405" s="25"/>
      <c r="S2405" s="55"/>
      <c r="T2405" s="56"/>
      <c r="U2405" s="25"/>
      <c r="V2405" s="25"/>
      <c r="W2405" s="25"/>
      <c r="X2405" s="25"/>
      <c r="Y2405" s="25"/>
      <c r="Z2405" s="25"/>
    </row>
    <row r="2406" spans="1:26" ht="52.5" customHeight="1" x14ac:dyDescent="0.25">
      <c r="A2406" s="25" t="str">
        <f ca="1">IFERROR(__xludf.DUMMYFUNCTION("""COMPUTED_VALUE"""),"Cultu4")</f>
        <v>Cultu4</v>
      </c>
      <c r="B2406" s="25" t="str">
        <f ca="1">IFERROR(__xludf.DUMMYFUNCTION("""COMPUTED_VALUE"""),"Campañas Cultura Ciudadana")</f>
        <v>Campañas Cultura Ciudadana</v>
      </c>
      <c r="C2406" s="55">
        <f ca="1">IFERROR(__xludf.DUMMYFUNCTION("""COMPUTED_VALUE"""),44627)</f>
        <v>44627</v>
      </c>
      <c r="D2406" s="25" t="str">
        <f ca="1">IFERROR(__xludf.DUMMYFUNCTION("""COMPUTED_VALUE"""),"Cultura")</f>
        <v>Cultura</v>
      </c>
      <c r="E2406" s="25" t="str">
        <f ca="1">IFERROR(__xludf.DUMMYFUNCTION("""COMPUTED_VALUE"""),"Secretaría Distrital de Cultura, Recreación y Deporte")</f>
        <v>Secretaría Distrital de Cultura, Recreación y Deporte</v>
      </c>
      <c r="F2406" s="25" t="str">
        <f ca="1">IFERROR(__xludf.DUMMYFUNCTION("""COMPUTED_VALUE"""),"Realizar un gran lanzamiento de campaña de limpieza")</f>
        <v>Realizar un gran lanzamiento de campaña de limpieza</v>
      </c>
      <c r="G2406" s="25" t="str">
        <f ca="1">IFERROR(__xludf.DUMMYFUNCTION("""COMPUTED_VALUE"""),"99. Distrito")</f>
        <v>99. Distrito</v>
      </c>
      <c r="H2406" s="55">
        <f ca="1">IFERROR(__xludf.DUMMYFUNCTION("""COMPUTED_VALUE"""),44657)</f>
        <v>44657</v>
      </c>
      <c r="I2406" s="25"/>
      <c r="J2406" s="55" t="str">
        <f ca="1">IFERROR(__xludf.DUMMYFUNCTION("""COMPUTED_VALUE"""),"Alta")</f>
        <v>Alta</v>
      </c>
      <c r="K2406" s="25">
        <f ca="1">IFERROR(__xludf.DUMMYFUNCTION("""COMPUTED_VALUE"""),30)</f>
        <v>30</v>
      </c>
      <c r="L2406" s="62"/>
      <c r="M2406" s="25" t="str">
        <f ca="1">IFERROR(__xludf.DUMMYFUNCTION("""COMPUTED_VALUE"""),"El 7 de abril de 2022 se realizó en la Plaza de La Mariposa en San Victoriano el lanzamiento de la Estrategia Ambiental, resultado de la articulación UAESP y SCRD. 
Esta estrategia se enfoca en el cuidado del espacio público en condiciones de salubridad y"&amp;" la reducción de residuos sólidos en las calles de Bogotá. Desde el lanzamiento y durante el primer semestre de 2022, la SCRD ha realizado alrededor de cuarenta acciones de articulación, impacto y diagnóstico. Estas acciones han alcanzado a 17.257 persona"&amp;"s en 19 localidades de Bogotá. Algunos de los hitos de la estrategia: (i) Diagnóstico de residuos en el espacio público y limpieza del frente de la casa; (ii) piloto de la acción Niños reguladores y Escuadrón de la Limpieza en la Plaza del 20 de Julio; (i"&amp;"ii) Formación Jóvenes Reto para la gestión integral y sostenible de residuos y participación de la Estrategia Ambiental.")</f>
        <v>El 7 de abril de 2022 se realizó en la Plaza de La Mariposa en San Victoriano el lanzamiento de la Estrategia Ambiental, resultado de la articulación UAESP y SCRD. 
Esta estrategia se enfoca en el cuidado del espacio público en condiciones de salubridad y la reducción de residuos sólidos en las calles de Bogotá. Desde el lanzamiento y durante el primer semestre de 2022, la SCRD ha realizado alrededor de cuarenta acciones de articulación, impacto y diagnóstico. Estas acciones han alcanzado a 17.257 personas en 19 localidades de Bogotá. Algunos de los hitos de la estrategia: (i) Diagnóstico de residuos en el espacio público y limpieza del frente de la casa; (ii) piloto de la acción Niños reguladores y Escuadrón de la Limpieza en la Plaza del 20 de Julio; (iii) Formación Jóvenes Reto para la gestión integral y sostenible de residuos y participación de la Estrategia Ambiental.</v>
      </c>
      <c r="N2406" s="55">
        <f ca="1">IFERROR(__xludf.DUMMYFUNCTION("""COMPUTED_VALUE"""),44927)</f>
        <v>44927</v>
      </c>
      <c r="O2406" s="25" t="str">
        <f t="shared" ca="1" si="0"/>
        <v>Secretaría Distrital de Cultura, Recreación y Deporte</v>
      </c>
      <c r="P2406" s="25" t="str">
        <f t="shared" si="2"/>
        <v/>
      </c>
      <c r="Q2406" s="25" t="str">
        <f ca="1">IFERROR(__xludf.DUMMYFUNCTION("""COMPUTED_VALUE"""),"Corto plazo")</f>
        <v>Corto plazo</v>
      </c>
      <c r="R2406" s="25"/>
      <c r="S2406" s="55"/>
      <c r="T2406" s="56"/>
      <c r="U2406" s="25"/>
      <c r="V2406" s="25"/>
      <c r="W2406" s="25"/>
      <c r="X2406" s="25"/>
      <c r="Y2406" s="25"/>
      <c r="Z2406" s="25"/>
    </row>
    <row r="2407" spans="1:26" ht="52.5" customHeight="1" x14ac:dyDescent="0.25">
      <c r="A2407" s="25" t="str">
        <f ca="1">IFERROR(__xludf.DUMMYFUNCTION("""COMPUTED_VALUE"""),"Cultu5")</f>
        <v>Cultu5</v>
      </c>
      <c r="B2407" s="25" t="str">
        <f ca="1">IFERROR(__xludf.DUMMYFUNCTION("""COMPUTED_VALUE"""),"Inauguración Manzana del Cuidado Santa Fe")</f>
        <v>Inauguración Manzana del Cuidado Santa Fe</v>
      </c>
      <c r="C2407" s="55">
        <f ca="1">IFERROR(__xludf.DUMMYFUNCTION("""COMPUTED_VALUE"""),44620)</f>
        <v>44620</v>
      </c>
      <c r="D2407" s="25" t="str">
        <f ca="1">IFERROR(__xludf.DUMMYFUNCTION("""COMPUTED_VALUE"""),"Cultura")</f>
        <v>Cultura</v>
      </c>
      <c r="E2407" s="25" t="str">
        <f ca="1">IFERROR(__xludf.DUMMYFUNCTION("""COMPUTED_VALUE"""),"Secretaría Distrital de Cultura, Recreación y Deporte")</f>
        <v>Secretaría Distrital de Cultura, Recreación y Deporte</v>
      </c>
      <c r="F2407" s="25" t="str">
        <f ca="1">IFERROR(__xludf.DUMMYFUNCTION("""COMPUTED_VALUE"""),"hacer programación Cultural en los teatros de los CDC")</f>
        <v>hacer programación Cultural en los teatros de los CDC</v>
      </c>
      <c r="G2407" s="55" t="str">
        <f ca="1">IFERROR(__xludf.DUMMYFUNCTION("""COMPUTED_VALUE"""),"03. Santa Fe")</f>
        <v>03. Santa Fe</v>
      </c>
      <c r="H2407" s="55">
        <f ca="1">IFERROR(__xludf.DUMMYFUNCTION("""COMPUTED_VALUE"""),44650)</f>
        <v>44650</v>
      </c>
      <c r="I2407" s="25"/>
      <c r="J2407" s="55" t="str">
        <f ca="1">IFERROR(__xludf.DUMMYFUNCTION("""COMPUTED_VALUE"""),"Alta")</f>
        <v>Alta</v>
      </c>
      <c r="K2407" s="25">
        <f ca="1">IFERROR(__xludf.DUMMYFUNCTION("""COMPUTED_VALUE"""),30)</f>
        <v>30</v>
      </c>
      <c r="L2407" s="62">
        <f ca="1">IFERROR(__xludf.DUMMYFUNCTION("""COMPUTED_VALUE"""),45077)</f>
        <v>45077</v>
      </c>
      <c r="M2407" s="25" t="str">
        <f ca="1">IFERROR(__xludf.DUMMYFUNCTION("""COMPUTED_VALUE"""),"Desde el Programa Nidos hemos tenido una dupla de artistas dispuesta para la realización de experiencias artísticas dirigidas a niñas y niños de primera infancia en el marco de la manzana de cuidado, realizadas en el CDC pero no especificamente en el teat"&amp;"ro. Las experiencias se realizaron en  el 12 de abril de 2:00 a 3:00 pm y el 25 de  mayo de 2:00 a 3:00 pm. La cantidad de asistentes promedio estuvo entre los 2 y 5 niños.
Esta programación está a cargo de Integración Social, entidad encargada de los Te"&amp;"atros CDC")</f>
        <v>Desde el Programa Nidos hemos tenido una dupla de artistas dispuesta para la realización de experiencias artísticas dirigidas a niñas y niños de primera infancia en el marco de la manzana de cuidado, realizadas en el CDC pero no especificamente en el teatro. Las experiencias se realizaron en  el 12 de abril de 2:00 a 3:00 pm y el 25 de  mayo de 2:00 a 3:00 pm. La cantidad de asistentes promedio estuvo entre los 2 y 5 niños.
Esta programación está a cargo de Integración Social, entidad encargada de los Teatros CDC</v>
      </c>
      <c r="N2407" s="55">
        <f ca="1">IFERROR(__xludf.DUMMYFUNCTION("""COMPUTED_VALUE"""),44927)</f>
        <v>44927</v>
      </c>
      <c r="O2407" s="25" t="str">
        <f t="shared" ca="1" si="0"/>
        <v>Secretaría Distrital de Cultura, Recreación y Deporte</v>
      </c>
      <c r="P2407" s="25" t="str">
        <f t="shared" si="2"/>
        <v/>
      </c>
      <c r="Q2407" s="25" t="str">
        <f ca="1">IFERROR(__xludf.DUMMYFUNCTION("""COMPUTED_VALUE"""),"Corto plazo")</f>
        <v>Corto plazo</v>
      </c>
      <c r="R2407" s="25"/>
      <c r="S2407" s="55"/>
      <c r="T2407" s="56"/>
      <c r="U2407" s="25"/>
      <c r="V2407" s="25"/>
      <c r="W2407" s="25"/>
      <c r="X2407" s="25"/>
      <c r="Y2407" s="25"/>
      <c r="Z2407" s="25"/>
    </row>
    <row r="2408" spans="1:26" ht="52.5" customHeight="1" x14ac:dyDescent="0.25">
      <c r="A2408" s="25" t="str">
        <f ca="1">IFERROR(__xludf.DUMMYFUNCTION("""COMPUTED_VALUE"""),"Cultu6")</f>
        <v>Cultu6</v>
      </c>
      <c r="B2408" s="25" t="str">
        <f ca="1">IFERROR(__xludf.DUMMYFUNCTION("""COMPUTED_VALUE"""),"Reunión Orquesta Filarmónica de Bogotá y IDRD Planes 2022")</f>
        <v>Reunión Orquesta Filarmónica de Bogotá y IDRD Planes 2022</v>
      </c>
      <c r="C2408" s="55">
        <f ca="1">IFERROR(__xludf.DUMMYFUNCTION("""COMPUTED_VALUE"""),44606)</f>
        <v>44606</v>
      </c>
      <c r="D2408" s="25" t="str">
        <f ca="1">IFERROR(__xludf.DUMMYFUNCTION("""COMPUTED_VALUE"""),"Cultura")</f>
        <v>Cultura</v>
      </c>
      <c r="E2408" s="25" t="str">
        <f ca="1">IFERROR(__xludf.DUMMYFUNCTION("""COMPUTED_VALUE"""),"Instituto Distrital de Recreación y Deporte")</f>
        <v>Instituto Distrital de Recreación y Deporte</v>
      </c>
      <c r="F2408" s="25" t="str">
        <f ca="1">IFERROR(__xludf.DUMMYFUNCTION("""COMPUTED_VALUE"""),"SIDECU: Fortalecer la convocatoria para actividades respiro y hacer el costeo de cuánto cuesta atender a las mujeres")</f>
        <v>SIDECU: Fortalecer la convocatoria para actividades respiro y hacer el costeo de cuánto cuesta atender a las mujeres</v>
      </c>
      <c r="G2408" s="25" t="str">
        <f ca="1">IFERROR(__xludf.DUMMYFUNCTION("""COMPUTED_VALUE"""),"99. Distrito")</f>
        <v>99. Distrito</v>
      </c>
      <c r="H2408" s="55">
        <f ca="1">IFERROR(__xludf.DUMMYFUNCTION("""COMPUTED_VALUE"""),44636)</f>
        <v>44636</v>
      </c>
      <c r="I2408" s="25"/>
      <c r="J2408" s="55" t="str">
        <f ca="1">IFERROR(__xludf.DUMMYFUNCTION("""COMPUTED_VALUE"""),"Alta")</f>
        <v>Alta</v>
      </c>
      <c r="K2408" s="25">
        <f ca="1">IFERROR(__xludf.DUMMYFUNCTION("""COMPUTED_VALUE"""),30)</f>
        <v>30</v>
      </c>
      <c r="L2408" s="62">
        <f ca="1">IFERROR(__xludf.DUMMYFUNCTION("""COMPUTED_VALUE"""),44790)</f>
        <v>44790</v>
      </c>
      <c r="M2408" s="25" t="str">
        <f ca="1">IFERROR(__xludf.DUMMYFUNCTION("""COMPUTED_VALUE"""),"El costeo se realizó y fue enviado a la alcaldesa vía whatsapp por parte de la Directora del IDRD. De igual manera desde la secretaría de la mujer se ha adelantado un proceso de costeo de todo el sistema y hemos participado en lo que se nos ha solicitado."&amp;" Sigue siendo muy baja la participación en la escuela de la bici en la manzana de Mártires a pesar del cambio en el punto. 
**el costeo de cuánto cuesta atender a las mujeres. por favor cerrar, esta actividad fue enviada a SDMujer para consolidación y se"&amp;" llevó a comisión intersectorial del SDICU")</f>
        <v>El costeo se realizó y fue enviado a la alcaldesa vía whatsapp por parte de la Directora del IDRD. De igual manera desde la secretaría de la mujer se ha adelantado un proceso de costeo de todo el sistema y hemos participado en lo que se nos ha solicitado. Sigue siendo muy baja la participación en la escuela de la bici en la manzana de Mártires a pesar del cambio en el punto. 
**el costeo de cuánto cuesta atender a las mujeres. por favor cerrar, esta actividad fue enviada a SDMujer para consolidación y se llevó a comisión intersectorial del SDICU</v>
      </c>
      <c r="N2408" s="55">
        <f ca="1">IFERROR(__xludf.DUMMYFUNCTION("""COMPUTED_VALUE"""),44790)</f>
        <v>44790</v>
      </c>
      <c r="O2408" s="25" t="str">
        <f t="shared" ca="1" si="0"/>
        <v>Instituto Distrital de Recreación y Deporte</v>
      </c>
      <c r="P2408" s="25" t="str">
        <f t="shared" si="2"/>
        <v/>
      </c>
      <c r="Q2408" s="25" t="str">
        <f ca="1">IFERROR(__xludf.DUMMYFUNCTION("""COMPUTED_VALUE"""),"Corto plazo")</f>
        <v>Corto plazo</v>
      </c>
      <c r="R2408" s="25"/>
      <c r="S2408" s="55"/>
      <c r="T2408" s="56"/>
      <c r="U2408" s="25"/>
      <c r="V2408" s="25"/>
      <c r="W2408" s="25"/>
      <c r="X2408" s="25"/>
      <c r="Y2408" s="25"/>
      <c r="Z2408" s="25"/>
    </row>
    <row r="2409" spans="1:26" ht="52.5" customHeight="1" x14ac:dyDescent="0.25">
      <c r="A2409" s="25" t="str">
        <f ca="1">IFERROR(__xludf.DUMMYFUNCTION("""COMPUTED_VALUE"""),"Cultu7")</f>
        <v>Cultu7</v>
      </c>
      <c r="B2409" s="25" t="str">
        <f ca="1">IFERROR(__xludf.DUMMYFUNCTION("""COMPUTED_VALUE"""),"Reunión Orquesta Filarmónica de Bogotá y IDRD Planes 2022")</f>
        <v>Reunión Orquesta Filarmónica de Bogotá y IDRD Planes 2022</v>
      </c>
      <c r="C2409" s="55">
        <f ca="1">IFERROR(__xludf.DUMMYFUNCTION("""COMPUTED_VALUE"""),44606)</f>
        <v>44606</v>
      </c>
      <c r="D2409" s="25" t="str">
        <f ca="1">IFERROR(__xludf.DUMMYFUNCTION("""COMPUTED_VALUE"""),"Cultura")</f>
        <v>Cultura</v>
      </c>
      <c r="E2409" s="25" t="str">
        <f ca="1">IFERROR(__xludf.DUMMYFUNCTION("""COMPUTED_VALUE"""),"Instituto Distrital de Recreación y Deporte")</f>
        <v>Instituto Distrital de Recreación y Deporte</v>
      </c>
      <c r="F2409" s="25" t="str">
        <f ca="1">IFERROR(__xludf.DUMMYFUNCTION("""COMPUTED_VALUE"""),"Hacer un plan para priorizar los parques donde se van a hacer los campeonatos juveniles para hacerles el mantenimiento que corresponda. 
 Hacer el cálculo de cuáles parques serían, cuánto cuesta y cuáles son las zonas priorizadas.")</f>
        <v>Hacer un plan para priorizar los parques donde se van a hacer los campeonatos juveniles para hacerles el mantenimiento que corresponda. 
 Hacer el cálculo de cuáles parques serían, cuánto cuesta y cuáles son las zonas priorizadas.</v>
      </c>
      <c r="G2409" s="25" t="str">
        <f ca="1">IFERROR(__xludf.DUMMYFUNCTION("""COMPUTED_VALUE"""),"99. Distrito")</f>
        <v>99. Distrito</v>
      </c>
      <c r="H2409" s="55">
        <f ca="1">IFERROR(__xludf.DUMMYFUNCTION("""COMPUTED_VALUE"""),44636)</f>
        <v>44636</v>
      </c>
      <c r="I2409" s="25"/>
      <c r="J2409" s="55" t="str">
        <f ca="1">IFERROR(__xludf.DUMMYFUNCTION("""COMPUTED_VALUE"""),"Alta")</f>
        <v>Alta</v>
      </c>
      <c r="K2409" s="25">
        <f ca="1">IFERROR(__xludf.DUMMYFUNCTION("""COMPUTED_VALUE"""),30)</f>
        <v>30</v>
      </c>
      <c r="L2409" s="62">
        <f ca="1">IFERROR(__xludf.DUMMYFUNCTION("""COMPUTED_VALUE"""),44627)</f>
        <v>44627</v>
      </c>
      <c r="M2409" s="25" t="str">
        <f ca="1">IFERROR(__xludf.DUMMYFUNCTION("""COMPUTED_VALUE"""),"Se visitaron 700 parques con el fin de verificar si se cuenta con  las condiciones para hacer los torneos nocturnos en tres deportes: fútbol de salón, baloncesto 3x3 y calistenia. La verificación se realizó en aspectos como iluminación, demarcación, infra"&amp;"estructura. Dependemos de la definición de los recursos que asignará la alcaldía al instituto para este proyecto para definir cómo y cuándo empezamos (teniendo en cuenta también la ley de garantías). Con este listado se realizará la revisión de en cuáles "&amp;"se debe hacer mantenimiento. ")</f>
        <v xml:space="preserve">Se visitaron 700 parques con el fin de verificar si se cuenta con  las condiciones para hacer los torneos nocturnos en tres deportes: fútbol de salón, baloncesto 3x3 y calistenia. La verificación se realizó en aspectos como iluminación, demarcación, infraestructura. Dependemos de la definición de los recursos que asignará la alcaldía al instituto para este proyecto para definir cómo y cuándo empezamos (teniendo en cuenta también la ley de garantías). Con este listado se realizará la revisión de en cuáles se debe hacer mantenimiento. </v>
      </c>
      <c r="N2409" s="55">
        <f ca="1">IFERROR(__xludf.DUMMYFUNCTION("""COMPUTED_VALUE"""),44627)</f>
        <v>44627</v>
      </c>
      <c r="O2409" s="25" t="str">
        <f t="shared" ca="1" si="0"/>
        <v>Instituto Distrital de Recreación y Deporte</v>
      </c>
      <c r="P2409" s="25" t="str">
        <f t="shared" si="2"/>
        <v/>
      </c>
      <c r="Q2409" s="25" t="str">
        <f ca="1">IFERROR(__xludf.DUMMYFUNCTION("""COMPUTED_VALUE"""),"Corto plazo")</f>
        <v>Corto plazo</v>
      </c>
      <c r="R2409" s="25"/>
      <c r="S2409" s="55"/>
      <c r="T2409" s="56"/>
      <c r="U2409" s="25"/>
      <c r="V2409" s="25"/>
      <c r="W2409" s="25"/>
      <c r="X2409" s="25"/>
      <c r="Y2409" s="25"/>
      <c r="Z2409" s="25"/>
    </row>
    <row r="2410" spans="1:26" ht="52.5" customHeight="1" x14ac:dyDescent="0.25">
      <c r="A2410" s="25" t="str">
        <f ca="1">IFERROR(__xludf.DUMMYFUNCTION("""COMPUTED_VALUE"""),"Cultu8")</f>
        <v>Cultu8</v>
      </c>
      <c r="B2410" s="25" t="str">
        <f ca="1">IFERROR(__xludf.DUMMYFUNCTION("""COMPUTED_VALUE"""),"Reunión Orquesta Filarmónica de Bogotá y IDRD Planes 2022")</f>
        <v>Reunión Orquesta Filarmónica de Bogotá y IDRD Planes 2022</v>
      </c>
      <c r="C2410" s="55">
        <f ca="1">IFERROR(__xludf.DUMMYFUNCTION("""COMPUTED_VALUE"""),44606)</f>
        <v>44606</v>
      </c>
      <c r="D2410" s="25" t="str">
        <f ca="1">IFERROR(__xludf.DUMMYFUNCTION("""COMPUTED_VALUE"""),"Cultura")</f>
        <v>Cultura</v>
      </c>
      <c r="E2410" s="25" t="str">
        <f ca="1">IFERROR(__xludf.DUMMYFUNCTION("""COMPUTED_VALUE"""),"Instituto Distrital de Recreación y Deporte")</f>
        <v>Instituto Distrital de Recreación y Deporte</v>
      </c>
      <c r="F2410" s="25" t="str">
        <f ca="1">IFERROR(__xludf.DUMMYFUNCTION("""COMPUTED_VALUE"""),"Enviar detalle de cuando inician y cuando terminan las obras de rescate social y regalías")</f>
        <v>Enviar detalle de cuando inician y cuando terminan las obras de rescate social y regalías</v>
      </c>
      <c r="G2410" s="25" t="str">
        <f ca="1">IFERROR(__xludf.DUMMYFUNCTION("""COMPUTED_VALUE"""),"99. Distrito")</f>
        <v>99. Distrito</v>
      </c>
      <c r="H2410" s="55">
        <f ca="1">IFERROR(__xludf.DUMMYFUNCTION("""COMPUTED_VALUE"""),44636)</f>
        <v>44636</v>
      </c>
      <c r="I2410" s="25"/>
      <c r="J2410" s="55" t="str">
        <f ca="1">IFERROR(__xludf.DUMMYFUNCTION("""COMPUTED_VALUE"""),"Alta")</f>
        <v>Alta</v>
      </c>
      <c r="K2410" s="25">
        <f ca="1">IFERROR(__xludf.DUMMYFUNCTION("""COMPUTED_VALUE"""),30)</f>
        <v>30</v>
      </c>
      <c r="L2410" s="62">
        <f ca="1">IFERROR(__xludf.DUMMYFUNCTION("""COMPUTED_VALUE"""),44810)</f>
        <v>44810</v>
      </c>
      <c r="M2410" s="25" t="str">
        <f ca="1">IFERROR(__xludf.DUMMYFUNCTION("""COMPUTED_VALUE"""),"Con recursos de regalías se financiaron las obras de dos parques: Santa Ana finalizado el 02/05/22 y Olaya Herrera termina su construcción el 25/10/2022 
Los recursos de rescate social financian:
Estudios y diseños de parque ecológico Gibraltar - adjudic"&amp;"ado y del parque Hacienda Los Molinos - Adjudicado
Obras de: parque Rincón de los Ángeles - Adjudicado, parque Chico - en proceso de adjudicación, parque Veraguas - en proceso de adjudicación, parque Buena Vista Porvenir - en proceso de adjudicación y par"&amp;"que Bosa Porvenir - en proceso de adjudicación.
El trámite para el mantenimiento de la intervención de parques de proximidad se encuentra en proceso de contratación, con la adjudicación programada para mediados de septiembre, se proyecta el inicio de la "&amp;"ejecución a mediados de octubre una vez se adjudique la interventoría. ")</f>
        <v xml:space="preserve">Con recursos de regalías se financiaron las obras de dos parques: Santa Ana finalizado el 02/05/22 y Olaya Herrera termina su construcción el 25/10/2022 
Los recursos de rescate social financian:
Estudios y diseños de parque ecológico Gibraltar - adjudicado y del parque Hacienda Los Molinos - Adjudicado
Obras de: parque Rincón de los Ángeles - Adjudicado, parque Chico - en proceso de adjudicación, parque Veraguas - en proceso de adjudicación, parque Buena Vista Porvenir - en proceso de adjudicación y parque Bosa Porvenir - en proceso de adjudicación.
El trámite para el mantenimiento de la intervención de parques de proximidad se encuentra en proceso de contratación, con la adjudicación programada para mediados de septiembre, se proyecta el inicio de la ejecución a mediados de octubre una vez se adjudique la interventoría. </v>
      </c>
      <c r="N2410" s="55">
        <f ca="1">IFERROR(__xludf.DUMMYFUNCTION("""COMPUTED_VALUE"""),44810)</f>
        <v>44810</v>
      </c>
      <c r="O2410" s="25" t="str">
        <f t="shared" ca="1" si="0"/>
        <v>Instituto Distrital de Recreación y Deporte</v>
      </c>
      <c r="P2410" s="25" t="str">
        <f t="shared" si="2"/>
        <v/>
      </c>
      <c r="Q2410" s="25" t="str">
        <f ca="1">IFERROR(__xludf.DUMMYFUNCTION("""COMPUTED_VALUE"""),"Corto plazo")</f>
        <v>Corto plazo</v>
      </c>
      <c r="R2410" s="25"/>
      <c r="S2410" s="55"/>
      <c r="T2410" s="56"/>
      <c r="U2410" s="25"/>
      <c r="V2410" s="25"/>
      <c r="W2410" s="25"/>
      <c r="X2410" s="25"/>
      <c r="Y2410" s="25"/>
      <c r="Z2410" s="25"/>
    </row>
    <row r="2411" spans="1:26" ht="52.5" customHeight="1" x14ac:dyDescent="0.25">
      <c r="A2411" s="25" t="str">
        <f ca="1">IFERROR(__xludf.DUMMYFUNCTION("""COMPUTED_VALUE"""),"Cultu9")</f>
        <v>Cultu9</v>
      </c>
      <c r="B2411" s="25" t="str">
        <f ca="1">IFERROR(__xludf.DUMMYFUNCTION("""COMPUTED_VALUE"""),"Reunión Orquesta Filarmónica de Bogotá y IDRD Planes 2022")</f>
        <v>Reunión Orquesta Filarmónica de Bogotá y IDRD Planes 2022</v>
      </c>
      <c r="C2411" s="55">
        <f ca="1">IFERROR(__xludf.DUMMYFUNCTION("""COMPUTED_VALUE"""),44606)</f>
        <v>44606</v>
      </c>
      <c r="D2411" s="25" t="str">
        <f ca="1">IFERROR(__xludf.DUMMYFUNCTION("""COMPUTED_VALUE"""),"Cultura")</f>
        <v>Cultura</v>
      </c>
      <c r="E2411" s="25" t="str">
        <f ca="1">IFERROR(__xludf.DUMMYFUNCTION("""COMPUTED_VALUE"""),"Orquesta Filarmónica de Bogotá")</f>
        <v>Orquesta Filarmónica de Bogotá</v>
      </c>
      <c r="F2411" s="25" t="str">
        <f ca="1">IFERROR(__xludf.DUMMYFUNCTION("""COMPUTED_VALUE"""),"Hacer un plan para fortalecer el proceso musical que tiene la alcaldía local de Puente Aranda")</f>
        <v>Hacer un plan para fortalecer el proceso musical que tiene la alcaldía local de Puente Aranda</v>
      </c>
      <c r="G2411" s="55" t="str">
        <f ca="1">IFERROR(__xludf.DUMMYFUNCTION("""COMPUTED_VALUE"""),"16. Puente Aranda")</f>
        <v>16. Puente Aranda</v>
      </c>
      <c r="H2411" s="55">
        <f ca="1">IFERROR(__xludf.DUMMYFUNCTION("""COMPUTED_VALUE"""),44636)</f>
        <v>44636</v>
      </c>
      <c r="I2411" s="25"/>
      <c r="J2411" s="55" t="str">
        <f ca="1">IFERROR(__xludf.DUMMYFUNCTION("""COMPUTED_VALUE"""),"Alta")</f>
        <v>Alta</v>
      </c>
      <c r="K2411" s="25">
        <f ca="1">IFERROR(__xludf.DUMMYFUNCTION("""COMPUTED_VALUE"""),30)</f>
        <v>30</v>
      </c>
      <c r="L2411" s="62">
        <f ca="1">IFERROR(__xludf.DUMMYFUNCTION("""COMPUTED_VALUE"""),44670)</f>
        <v>44670</v>
      </c>
      <c r="M2411" s="25" t="str">
        <f ca="1">IFERROR(__xludf.DUMMYFUNCTION("""COMPUTED_VALUE"""),"La Orquesta Filarmónica de Bogotá hace presencia en la localidad de Puente Aranda en el Centro Filarmónico Escolar del Colegio de Cultura Popular que funciona desde el año 2016 y en él se adelantan procesos de formación musical en las áreas Sinfónica, Cor"&amp;"al/Vocal e Iniciación Musical. Para 2022 se cuenta con un pacto de cobertura correspondiente a 500 estudiantes del colegio de grados primero a sexto. 
A la fecha, la Orquesta ha garantizado la atención de todos los y las estudiantes según el pacto de cobe"&amp;"rtura y la matrícula del colegio, con la participación de 439 estudiantes.")</f>
        <v>La Orquesta Filarmónica de Bogotá hace presencia en la localidad de Puente Aranda en el Centro Filarmónico Escolar del Colegio de Cultura Popular que funciona desde el año 2016 y en él se adelantan procesos de formación musical en las áreas Sinfónica, Coral/Vocal e Iniciación Musical. Para 2022 se cuenta con un pacto de cobertura correspondiente a 500 estudiantes del colegio de grados primero a sexto. 
A la fecha, la Orquesta ha garantizado la atención de todos los y las estudiantes según el pacto de cobertura y la matrícula del colegio, con la participación de 439 estudiantes.</v>
      </c>
      <c r="N2411" s="55">
        <f ca="1">IFERROR(__xludf.DUMMYFUNCTION("""COMPUTED_VALUE"""),44670)</f>
        <v>44670</v>
      </c>
      <c r="O2411" s="25" t="str">
        <f t="shared" ca="1" si="0"/>
        <v>Orquesta Filarmónica de Bogotá</v>
      </c>
      <c r="P2411" s="25" t="str">
        <f t="shared" si="2"/>
        <v/>
      </c>
      <c r="Q2411" s="25" t="str">
        <f ca="1">IFERROR(__xludf.DUMMYFUNCTION("""COMPUTED_VALUE"""),"Corto plazo")</f>
        <v>Corto plazo</v>
      </c>
      <c r="R2411" s="25"/>
      <c r="S2411" s="55"/>
      <c r="T2411" s="56"/>
      <c r="U2411" s="25"/>
      <c r="V2411" s="25"/>
      <c r="W2411" s="25"/>
      <c r="X2411" s="25"/>
      <c r="Y2411" s="25"/>
      <c r="Z2411" s="25"/>
    </row>
    <row r="2412" spans="1:26" ht="52.5" customHeight="1" x14ac:dyDescent="0.25">
      <c r="A2412" s="25" t="str">
        <f ca="1">IFERROR(__xludf.DUMMYFUNCTION("""COMPUTED_VALUE"""),"Cultu10")</f>
        <v>Cultu10</v>
      </c>
      <c r="B2412" s="25" t="str">
        <f ca="1">IFERROR(__xludf.DUMMYFUNCTION("""COMPUTED_VALUE"""),"Reunión Orquesta Filarmónica de Bogotá y IDRD Planes 2022")</f>
        <v>Reunión Orquesta Filarmónica de Bogotá y IDRD Planes 2022</v>
      </c>
      <c r="C2412" s="55">
        <f ca="1">IFERROR(__xludf.DUMMYFUNCTION("""COMPUTED_VALUE"""),44606)</f>
        <v>44606</v>
      </c>
      <c r="D2412" s="25" t="str">
        <f ca="1">IFERROR(__xludf.DUMMYFUNCTION("""COMPUTED_VALUE"""),"Cultura")</f>
        <v>Cultura</v>
      </c>
      <c r="E2412" s="25" t="str">
        <f ca="1">IFERROR(__xludf.DUMMYFUNCTION("""COMPUTED_VALUE"""),"Orquesta Filarmónica de Bogotá")</f>
        <v>Orquesta Filarmónica de Bogotá</v>
      </c>
      <c r="F2412" s="25" t="str">
        <f ca="1">IFERROR(__xludf.DUMMYFUNCTION("""COMPUTED_VALUE"""),"Revisar si la agencia cultural o el sector puede hacer lo que hace Batuta en términos de compra de instrumentos.")</f>
        <v>Revisar si la agencia cultural o el sector puede hacer lo que hace Batuta en términos de compra de instrumentos.</v>
      </c>
      <c r="G2412" s="25" t="str">
        <f ca="1">IFERROR(__xludf.DUMMYFUNCTION("""COMPUTED_VALUE"""),"99. Distrito")</f>
        <v>99. Distrito</v>
      </c>
      <c r="H2412" s="55">
        <f ca="1">IFERROR(__xludf.DUMMYFUNCTION("""COMPUTED_VALUE"""),44636)</f>
        <v>44636</v>
      </c>
      <c r="I2412" s="25"/>
      <c r="J2412" s="55" t="str">
        <f ca="1">IFERROR(__xludf.DUMMYFUNCTION("""COMPUTED_VALUE"""),"Alta")</f>
        <v>Alta</v>
      </c>
      <c r="K2412" s="25">
        <f ca="1">IFERROR(__xludf.DUMMYFUNCTION("""COMPUTED_VALUE"""),30)</f>
        <v>30</v>
      </c>
      <c r="L2412" s="62">
        <f ca="1">IFERROR(__xludf.DUMMYFUNCTION("""COMPUTED_VALUE"""),44627)</f>
        <v>44627</v>
      </c>
      <c r="M2412" s="25" t="str">
        <f ca="1">IFERROR(__xludf.DUMMYFUNCTION("""COMPUTED_VALUE"""),"En 2020 y 2021, la Alcaldía Local se acercó a la entidad con el fin de establecer alianzas para atender más beneficiarios a través de un Centro Filarmónico Local, sin embargo esta alianza no fue posible consolidar toda vez que las expectativas de la local"&amp;"idad no corresponden al modelo implementado por la OFB para el desarrollo del Proyecto de Formación Musical. Específicamente, la Alcaldía Local requiere que en un eventual Convenio que se celebre, la OFB debe comprar instrumentos lo cual, hasta la fecha, "&amp;"no está contemplado en nuestro modelo de operación del proyecto. En el mes de marzo, evaluaremos la pertinencia legal, presupuestal y de conveniencia de crear una línea presupuestal para la compra de instrumentos, el cual además, incluye los costos de man"&amp;"tenimiento y compra de accesorios.  En el mes de marzo, evaluaremos la pertinencia legal, presupuestal y de conveniencia de crear una línea presupuestal para la compra de instrumentos, la cual además, incluye los costos de mantenimiento y compra de acceso"&amp;"rios. Otra opción es evaluar con la Secretaría de Cultura Recreación y Deporte si la agencia que está en proceso de creación por parte de esa Secretaría incluye este aspecto dentro de su misionalidad")</f>
        <v>En 2020 y 2021, la Alcaldía Local se acercó a la entidad con el fin de establecer alianzas para atender más beneficiarios a través de un Centro Filarmónico Local, sin embargo esta alianza no fue posible consolidar toda vez que las expectativas de la localidad no corresponden al modelo implementado por la OFB para el desarrollo del Proyecto de Formación Musical. Específicamente, la Alcaldía Local requiere que en un eventual Convenio que se celebre, la OFB debe comprar instrumentos lo cual, hasta la fecha, no está contemplado en nuestro modelo de operación del proyecto. En el mes de marzo, evaluaremos la pertinencia legal, presupuestal y de conveniencia de crear una línea presupuestal para la compra de instrumentos, el cual además, incluye los costos de mantenimiento y compra de accesorios.  En el mes de marzo, evaluaremos la pertinencia legal, presupuestal y de conveniencia de crear una línea presupuestal para la compra de instrumentos, la cual además, incluye los costos de mantenimiento y compra de accesorios. Otra opción es evaluar con la Secretaría de Cultura Recreación y Deporte si la agencia que está en proceso de creación por parte de esa Secretaría incluye este aspecto dentro de su misionalidad</v>
      </c>
      <c r="N2412" s="55">
        <f ca="1">IFERROR(__xludf.DUMMYFUNCTION("""COMPUTED_VALUE"""),44627)</f>
        <v>44627</v>
      </c>
      <c r="O2412" s="25" t="str">
        <f t="shared" ca="1" si="0"/>
        <v>Orquesta Filarmónica de Bogotá</v>
      </c>
      <c r="P2412" s="25" t="str">
        <f t="shared" si="2"/>
        <v/>
      </c>
      <c r="Q2412" s="25" t="str">
        <f ca="1">IFERROR(__xludf.DUMMYFUNCTION("""COMPUTED_VALUE"""),"Corto plazo")</f>
        <v>Corto plazo</v>
      </c>
      <c r="R2412" s="25"/>
      <c r="S2412" s="55"/>
      <c r="T2412" s="56"/>
      <c r="U2412" s="25"/>
      <c r="V2412" s="25"/>
      <c r="W2412" s="25"/>
      <c r="X2412" s="25"/>
      <c r="Y2412" s="25"/>
      <c r="Z2412" s="25"/>
    </row>
    <row r="2413" spans="1:26" ht="52.5" customHeight="1" x14ac:dyDescent="0.25">
      <c r="A2413" s="25" t="str">
        <f ca="1">IFERROR(__xludf.DUMMYFUNCTION("""COMPUTED_VALUE"""),"Cultu11")</f>
        <v>Cultu11</v>
      </c>
      <c r="B2413" s="25" t="str">
        <f ca="1">IFERROR(__xludf.DUMMYFUNCTION("""COMPUTED_VALUE"""),"Reunión Orquesta Filarmónica de Bogotá y IDRD Planes 2022")</f>
        <v>Reunión Orquesta Filarmónica de Bogotá y IDRD Planes 2022</v>
      </c>
      <c r="C2413" s="55">
        <f ca="1">IFERROR(__xludf.DUMMYFUNCTION("""COMPUTED_VALUE"""),44606)</f>
        <v>44606</v>
      </c>
      <c r="D2413" s="25" t="str">
        <f ca="1">IFERROR(__xludf.DUMMYFUNCTION("""COMPUTED_VALUE"""),"Cultura")</f>
        <v>Cultura</v>
      </c>
      <c r="E2413" s="25" t="str">
        <f ca="1">IFERROR(__xludf.DUMMYFUNCTION("""COMPUTED_VALUE"""),"Orquesta Filarmónica de Bogotá")</f>
        <v>Orquesta Filarmónica de Bogotá</v>
      </c>
      <c r="F2413" s="25" t="str">
        <f ca="1">IFERROR(__xludf.DUMMYFUNCTION("""COMPUTED_VALUE"""),"Trabajar el centro filarmónico, adicional a la Cárcel la Modelo, en el Cárcel Distrital y el Buen Pastor.")</f>
        <v>Trabajar el centro filarmónico, adicional a la Cárcel la Modelo, en el Cárcel Distrital y el Buen Pastor.</v>
      </c>
      <c r="G2413" s="25" t="str">
        <f ca="1">IFERROR(__xludf.DUMMYFUNCTION("""COMPUTED_VALUE"""),"99. Distrito")</f>
        <v>99. Distrito</v>
      </c>
      <c r="H2413" s="55">
        <f ca="1">IFERROR(__xludf.DUMMYFUNCTION("""COMPUTED_VALUE"""),44636)</f>
        <v>44636</v>
      </c>
      <c r="I2413" s="25"/>
      <c r="J2413" s="55" t="str">
        <f ca="1">IFERROR(__xludf.DUMMYFUNCTION("""COMPUTED_VALUE"""),"Alta")</f>
        <v>Alta</v>
      </c>
      <c r="K2413" s="25">
        <f ca="1">IFERROR(__xludf.DUMMYFUNCTION("""COMPUTED_VALUE"""),30)</f>
        <v>30</v>
      </c>
      <c r="L2413" s="62">
        <f ca="1">IFERROR(__xludf.DUMMYFUNCTION("""COMPUTED_VALUE"""),44627)</f>
        <v>44627</v>
      </c>
      <c r="M2413" s="25" t="str">
        <f ca="1">IFERROR(__xludf.DUMMYFUNCTION("""COMPUTED_VALUE"""),"En 2020, se inició el diseño de una propuesta para la celebración de un convenio con el Instituto Nacional Penitenciario y Carcelario (INPEC) y la Orquesta Filarmónica de Bogotá, para la puesta en marcha del Centro Filarmónico Carcelario y Penitenciario e"&amp;"n la Cárcel y Penitenciaría de media seguridad Modelo (ver Anexo 1). Dicha propuesta fue suspendida debido a la situación de emergencia sanitaria que se ha afrontado desde 2020 con ocasión del COVID-19. Para retomar la propuesta, la Orquesta Filarmónica d"&amp;"e Bogotá requiere analizar el modelo de operación y definir los requerimientos técnicos y financieros para el funcionamiento de los Centros Filarmónicos Penitenciarios y Carcelarios")</f>
        <v>En 2020, se inició el diseño de una propuesta para la celebración de un convenio con el Instituto Nacional Penitenciario y Carcelario (INPEC) y la Orquesta Filarmónica de Bogotá, para la puesta en marcha del Centro Filarmónico Carcelario y Penitenciario en la Cárcel y Penitenciaría de media seguridad Modelo (ver Anexo 1). Dicha propuesta fue suspendida debido a la situación de emergencia sanitaria que se ha afrontado desde 2020 con ocasión del COVID-19. Para retomar la propuesta, la Orquesta Filarmónica de Bogotá requiere analizar el modelo de operación y definir los requerimientos técnicos y financieros para el funcionamiento de los Centros Filarmónicos Penitenciarios y Carcelarios</v>
      </c>
      <c r="N2413" s="55">
        <f ca="1">IFERROR(__xludf.DUMMYFUNCTION("""COMPUTED_VALUE"""),44627)</f>
        <v>44627</v>
      </c>
      <c r="O2413" s="25" t="str">
        <f t="shared" ca="1" si="0"/>
        <v>Orquesta Filarmónica de Bogotá</v>
      </c>
      <c r="P2413" s="25" t="str">
        <f t="shared" si="2"/>
        <v/>
      </c>
      <c r="Q2413" s="25" t="str">
        <f ca="1">IFERROR(__xludf.DUMMYFUNCTION("""COMPUTED_VALUE"""),"Corto plazo")</f>
        <v>Corto plazo</v>
      </c>
      <c r="R2413" s="25"/>
      <c r="S2413" s="55"/>
      <c r="T2413" s="56"/>
      <c r="U2413" s="25"/>
      <c r="V2413" s="25"/>
      <c r="W2413" s="25"/>
      <c r="X2413" s="25"/>
      <c r="Y2413" s="25"/>
      <c r="Z2413" s="25"/>
    </row>
    <row r="2414" spans="1:26" ht="52.5" customHeight="1" x14ac:dyDescent="0.25">
      <c r="A2414" s="25" t="str">
        <f ca="1">IFERROR(__xludf.DUMMYFUNCTION("""COMPUTED_VALUE"""),"Cultu12")</f>
        <v>Cultu12</v>
      </c>
      <c r="B2414" s="25" t="str">
        <f ca="1">IFERROR(__xludf.DUMMYFUNCTION("""COMPUTED_VALUE"""),"Reunión Orquesta Filarmónica de Bogotá y IDRD Planes 2022")</f>
        <v>Reunión Orquesta Filarmónica de Bogotá y IDRD Planes 2022</v>
      </c>
      <c r="C2414" s="55">
        <f ca="1">IFERROR(__xludf.DUMMYFUNCTION("""COMPUTED_VALUE"""),44606)</f>
        <v>44606</v>
      </c>
      <c r="D2414" s="25" t="str">
        <f ca="1">IFERROR(__xludf.DUMMYFUNCTION("""COMPUTED_VALUE"""),"Cultura")</f>
        <v>Cultura</v>
      </c>
      <c r="E2414" s="25" t="str">
        <f ca="1">IFERROR(__xludf.DUMMYFUNCTION("""COMPUTED_VALUE"""),"Orquesta Filarmónica de Bogotá")</f>
        <v>Orquesta Filarmónica de Bogotá</v>
      </c>
      <c r="F2414" s="25" t="str">
        <f ca="1">IFERROR(__xludf.DUMMYFUNCTION("""COMPUTED_VALUE"""),"Diseñar proyecto prototipo para presentar a las localidades para buscar su apoyo (costos, beneficios, niños a cubrir, sostenimiento)")</f>
        <v>Diseñar proyecto prototipo para presentar a las localidades para buscar su apoyo (costos, beneficios, niños a cubrir, sostenimiento)</v>
      </c>
      <c r="G2414" s="25" t="str">
        <f ca="1">IFERROR(__xludf.DUMMYFUNCTION("""COMPUTED_VALUE"""),"99. Distrito")</f>
        <v>99. Distrito</v>
      </c>
      <c r="H2414" s="55">
        <f ca="1">IFERROR(__xludf.DUMMYFUNCTION("""COMPUTED_VALUE"""),44636)</f>
        <v>44636</v>
      </c>
      <c r="I2414" s="25"/>
      <c r="J2414" s="55" t="str">
        <f ca="1">IFERROR(__xludf.DUMMYFUNCTION("""COMPUTED_VALUE"""),"Alta")</f>
        <v>Alta</v>
      </c>
      <c r="K2414" s="25">
        <f ca="1">IFERROR(__xludf.DUMMYFUNCTION("""COMPUTED_VALUE"""),30)</f>
        <v>30</v>
      </c>
      <c r="L2414" s="62">
        <f ca="1">IFERROR(__xludf.DUMMYFUNCTION("""COMPUTED_VALUE"""),44627)</f>
        <v>44627</v>
      </c>
      <c r="M2414" s="25" t="str">
        <f ca="1">IFERROR(__xludf.DUMMYFUNCTION("""COMPUTED_VALUE"""),"Los Centros Filarmónicos Locales se desarrollan bajo el modelo de convenio interadministrativo, por lo cual, los aportes de las entidades son en especie constituyendo convenios a cero pesos, por esta razón el prototipo idóneo para el buen funcionamiento d"&amp;"e los Centros Filarmónicos es:
•        Aportes por la OFB: actividades pedagógicas y artísticas, el modelo de atención, los equipos artístico-pedagógicos y administrativo de apoyo a la gestión.
•        Aportes por los Fondos: Corresponden a elementos lo"&amp;"gísticos como:         
- Instrumentos musicales de Iniciación y Sinfónicos, accesorios y el respectivo mantenimientos de los mismos.
- Refrigerios para beneficiarios.
- Transportes de carga para instrumentos musicales.
- Pólizas de seguros para el bienes"&amp;"tar de los beneficiarios
- Prendas de imagen institucional para los beneficiarios (camisetas y/o chaquetas)
- Consecución de las sedes para los Centros Filarmónicos Locales. Los tiempos destinados por las Alcaldías Locales para la estructuración y suscrip"&amp;"ción de los convenios son laxos frente a los tiempos para el inicio de la atención de los beneficiarios. De igual forma, la rotación constante del personal de las Alcaldías afecta el seguimiento y la ejecución de los convenios, así como su liquidación fre"&amp;"nte a lo pactado entre las partes,")</f>
        <v>Los Centros Filarmónicos Locales se desarrollan bajo el modelo de convenio interadministrativo, por lo cual, los aportes de las entidades son en especie constituyendo convenios a cero pesos, por esta razón el prototipo idóneo para el buen funcionamiento de los Centros Filarmónicos es:
•        Aportes por la OFB: actividades pedagógicas y artísticas, el modelo de atención, los equipos artístico-pedagógicos y administrativo de apoyo a la gestión.
•        Aportes por los Fondos: Corresponden a elementos logísticos como:         
- Instrumentos musicales de Iniciación y Sinfónicos, accesorios y el respectivo mantenimientos de los mismos.
- Refrigerios para beneficiarios.
- Transportes de carga para instrumentos musicales.
- Pólizas de seguros para el bienestar de los beneficiarios
- Prendas de imagen institucional para los beneficiarios (camisetas y/o chaquetas)
- Consecución de las sedes para los Centros Filarmónicos Locales. Los tiempos destinados por las Alcaldías Locales para la estructuración y suscripción de los convenios son laxos frente a los tiempos para el inicio de la atención de los beneficiarios. De igual forma, la rotación constante del personal de las Alcaldías afecta el seguimiento y la ejecución de los convenios, así como su liquidación frente a lo pactado entre las partes,</v>
      </c>
      <c r="N2414" s="55">
        <f ca="1">IFERROR(__xludf.DUMMYFUNCTION("""COMPUTED_VALUE"""),44627)</f>
        <v>44627</v>
      </c>
      <c r="O2414" s="25" t="str">
        <f t="shared" ca="1" si="0"/>
        <v>Orquesta Filarmónica de Bogotá</v>
      </c>
      <c r="P2414" s="25" t="str">
        <f t="shared" si="2"/>
        <v/>
      </c>
      <c r="Q2414" s="25" t="str">
        <f ca="1">IFERROR(__xludf.DUMMYFUNCTION("""COMPUTED_VALUE"""),"Corto plazo")</f>
        <v>Corto plazo</v>
      </c>
      <c r="R2414" s="25"/>
      <c r="S2414" s="55"/>
      <c r="T2414" s="56"/>
      <c r="U2414" s="25"/>
      <c r="V2414" s="25"/>
      <c r="W2414" s="25"/>
      <c r="X2414" s="25"/>
      <c r="Y2414" s="25"/>
      <c r="Z2414" s="25"/>
    </row>
    <row r="2415" spans="1:26" ht="52.5" customHeight="1" x14ac:dyDescent="0.25">
      <c r="A2415" s="25" t="str">
        <f ca="1">IFERROR(__xludf.DUMMYFUNCTION("""COMPUTED_VALUE"""),"Cultu13")</f>
        <v>Cultu13</v>
      </c>
      <c r="B2415" s="25" t="str">
        <f ca="1">IFERROR(__xludf.DUMMYFUNCTION("""COMPUTED_VALUE"""),"Reunión Orquesta Filarmónica de Bogotá y IDRD Planes 2022")</f>
        <v>Reunión Orquesta Filarmónica de Bogotá y IDRD Planes 2022</v>
      </c>
      <c r="C2415" s="55">
        <f ca="1">IFERROR(__xludf.DUMMYFUNCTION("""COMPUTED_VALUE"""),44606)</f>
        <v>44606</v>
      </c>
      <c r="D2415" s="25" t="str">
        <f ca="1">IFERROR(__xludf.DUMMYFUNCTION("""COMPUTED_VALUE"""),"Cultura")</f>
        <v>Cultura</v>
      </c>
      <c r="E2415" s="25" t="str">
        <f ca="1">IFERROR(__xludf.DUMMYFUNCTION("""COMPUTED_VALUE"""),"Orquesta Filarmónica de Bogotá")</f>
        <v>Orquesta Filarmónica de Bogotá</v>
      </c>
      <c r="F2415" s="25" t="str">
        <f ca="1">IFERROR(__xludf.DUMMYFUNCTION("""COMPUTED_VALUE"""),"Pasarle por escrito a la Alcaldesa el proyecto de dimensión regional de Bogotá que se está trabajando con la Secretaría de Cultura de Cundinamarca")</f>
        <v>Pasarle por escrito a la Alcaldesa el proyecto de dimensión regional de Bogotá que se está trabajando con la Secretaría de Cultura de Cundinamarca</v>
      </c>
      <c r="G2415" s="25" t="str">
        <f ca="1">IFERROR(__xludf.DUMMYFUNCTION("""COMPUTED_VALUE"""),"99. Distrito")</f>
        <v>99. Distrito</v>
      </c>
      <c r="H2415" s="55">
        <f ca="1">IFERROR(__xludf.DUMMYFUNCTION("""COMPUTED_VALUE"""),44636)</f>
        <v>44636</v>
      </c>
      <c r="I2415" s="25"/>
      <c r="J2415" s="55" t="str">
        <f ca="1">IFERROR(__xludf.DUMMYFUNCTION("""COMPUTED_VALUE"""),"Alta")</f>
        <v>Alta</v>
      </c>
      <c r="K2415" s="25">
        <f ca="1">IFERROR(__xludf.DUMMYFUNCTION("""COMPUTED_VALUE"""),30)</f>
        <v>30</v>
      </c>
      <c r="L2415" s="62">
        <f ca="1">IFERROR(__xludf.DUMMYFUNCTION("""COMPUTED_VALUE"""),44627)</f>
        <v>44627</v>
      </c>
      <c r="M2415" s="25" t="str">
        <f ca="1">IFERROR(__xludf.DUMMYFUNCTION("""COMPUTED_VALUE"""),"El documento fue enviado por el Director General de la Orquesta Filarmónica de Bogotá a la señora Alcaldesa Mayor de Bogotá. 
Se resumen a continuación el contenido del documento enviado:
Con el fin de “Aunar esfuerzos [...] para fortalecer la realiza"&amp;"ción de procesos y proyectos culturales, artísticos y de formación en los municipios del departamento de Cundinamarca y el Distrito Capital”, el Instituto Departamental de Cultura y Turismo de Cundinamarca -IDECUT-, la Secretaría Distrital de Cultura, Rec"&amp;"reación y Deporte de Bogotá, la Orquesta Filarmónica de Bogotá y la Fundación Amigos del Teatro Mayor, suscribieron el Convenio Marco de Cooperación Interinstitucional y con Particulares N° 246 de 2021.
Esta articulación permitió el desarrollo de las sig"&amp;"uientes acciones en 2021:
- Se creó la Filarmónica Prejuvenil Bogotá – Cundinamarca, en la que se lograron realizar conciertos, clases de instrumento, ensayos y el primer Campamento Filarmónico. 
- Se generó una circulación con Conciertos de las agrupacio"&amp;"nes de la OFB en distintos Municipios de Cundinamarca.
- Estímulos y Clases magistrales: Se realizaron socializaciones, audiciones presenciales y virtuales para las convocatorias de Estímulos, así mismo clases magistrales presenciales. 
- Asesoría Técnica"&amp;": Reuniones con la Secretaría de Educación de Soacha.
- Formación a Formadores: Sesiones virtuales de Formación a Formadores.
La Orquesta Filarmónica de Bogotá en alianza con el Instituto Departamental de Cultura y Turismo de Cundinamarca presentó a Cocr"&amp;"ea el proyecto “Sistema Filarmónico Bogotá – Cundinamarca” el cual ya se encuentra  publicado en el banco de proyectos BanCo Crea. (Ver Anexo 2: Generales)
El proyecto “Sistema Filarmónico Bogotá – Cundinamarca” busca conformar un sistema que permita la "&amp;"integración cultural musical de la Región Bogotá - Cundinamarca, a través del fortalecimiento de los procesos de formación musical, la creación y circulación de agrupaciones musicales sinfónicas, corales y de formatos tradicionales, y la apropiación de lo"&amp;"s patrimonios musicales de la región.
El SFBC propone:
•        La creación de 12 Centros Filarmónicos Municipales. 
•        La vinculación de 2160 NNA a procesos de formación musical.
•        La vinculación de 30 Artistas Formadores. 
•        La entr"&amp;"ega de 3 dotaciones de instrumentos musicales para orquestas de cuerdas pulsadas a agrupaciones creadas en el marco del SFBC.
•        Desarrollo y puesta en funcionamiento de una plataforma virtual para el soporte pedagógico y operativo del SFBC.
•      "&amp;"  La realización de 3 producciones artísticas y culturales para la circulación.
-        Duración del Proyecto: 3 años
-Costos: 
Costo total del proyecto a 3 años: $8,100,265,661.78
Valor contrapartida a 3 años: $2,430,661,876 ( de la cual la OFB aporta e"&amp;"l 70% y el IDECUT el 30% restante)
Valor Recursos de aportantes sujetos a beneficio tributario: $5,669,603,785.78Se continuará con las acciones que se vienen desarrollando con recursos propios. Para la implementación del proyecto Cocrea se requiere identi"&amp;"ficar aportantes dispuestos a financiar el 70% del proyecto con recursos sujetos a beneficios tributarios. ADJUNTOS QUE SOPORTAN LA ACTIVIDAD: https://drive.google.com/drive/folders/1CMBk31WEG5B87jJsT9_TSJ0aHCU7WRK-?usp=sharing")</f>
        <v>El documento fue enviado por el Director General de la Orquesta Filarmónica de Bogotá a la señora Alcaldesa Mayor de Bogotá. 
Se resumen a continuación el contenido del documento enviado:
Con el fin de “Aunar esfuerzos [...] para fortalecer la realización de procesos y proyectos culturales, artísticos y de formación en los municipios del departamento de Cundinamarca y el Distrito Capital”, el Instituto Departamental de Cultura y Turismo de Cundinamarca -IDECUT-, la Secretaría Distrital de Cultura, Recreación y Deporte de Bogotá, la Orquesta Filarmónica de Bogotá y la Fundación Amigos del Teatro Mayor, suscribieron el Convenio Marco de Cooperación Interinstitucional y con Particulares N° 246 de 2021.
Esta articulación permitió el desarrollo de las siguientes acciones en 2021:
- Se creó la Filarmónica Prejuvenil Bogotá – Cundinamarca, en la que se lograron realizar conciertos, clases de instrumento, ensayos y el primer Campamento Filarmónico. 
- Se generó una circulación con Conciertos de las agrupaciones de la OFB en distintos Municipios de Cundinamarca.
- Estímulos y Clases magistrales: Se realizaron socializaciones, audiciones presenciales y virtuales para las convocatorias de Estímulos, así mismo clases magistrales presenciales. 
- Asesoría Técnica: Reuniones con la Secretaría de Educación de Soacha.
- Formación a Formadores: Sesiones virtuales de Formación a Formadores.
La Orquesta Filarmónica de Bogotá en alianza con el Instituto Departamental de Cultura y Turismo de Cundinamarca presentó a Cocrea el proyecto “Sistema Filarmónico Bogotá – Cundinamarca” el cual ya se encuentra  publicado en el banco de proyectos BanCo Crea. (Ver Anexo 2: Generales)
El proyecto “Sistema Filarmónico Bogotá – Cundinamarca” busca conformar un sistema que permita la integración cultural musical de la Región Bogotá - Cundinamarca, a través del fortalecimiento de los procesos de formación musical, la creación y circulación de agrupaciones musicales sinfónicas, corales y de formatos tradicionales, y la apropiación de los patrimonios musicales de la región.
El SFBC propone:
•        La creación de 12 Centros Filarmónicos Municipales. 
•        La vinculación de 2160 NNA a procesos de formación musical.
•        La vinculación de 30 Artistas Formadores. 
•        La entrega de 3 dotaciones de instrumentos musicales para orquestas de cuerdas pulsadas a agrupaciones creadas en el marco del SFBC.
•        Desarrollo y puesta en funcionamiento de una plataforma virtual para el soporte pedagógico y operativo del SFBC.
•        La realización de 3 producciones artísticas y culturales para la circulación.
-        Duración del Proyecto: 3 años
-Costos: 
Costo total del proyecto a 3 años: $8,100,265,661.78
Valor contrapartida a 3 años: $2,430,661,876 ( de la cual la OFB aporta el 70% y el IDECUT el 30% restante)
Valor Recursos de aportantes sujetos a beneficio tributario: $5,669,603,785.78Se continuará con las acciones que se vienen desarrollando con recursos propios. Para la implementación del proyecto Cocrea se requiere identificar aportantes dispuestos a financiar el 70% del proyecto con recursos sujetos a beneficios tributarios. ADJUNTOS QUE SOPORTAN LA ACTIVIDAD: https://drive.google.com/drive/folders/1CMBk31WEG5B87jJsT9_TSJ0aHCU7WRK-?usp=sharing</v>
      </c>
      <c r="N2415" s="55">
        <f ca="1">IFERROR(__xludf.DUMMYFUNCTION("""COMPUTED_VALUE"""),44627)</f>
        <v>44627</v>
      </c>
      <c r="O2415" s="25" t="str">
        <f t="shared" ca="1" si="0"/>
        <v>Orquesta Filarmónica de Bogotá</v>
      </c>
      <c r="P2415" s="25" t="str">
        <f t="shared" si="2"/>
        <v/>
      </c>
      <c r="Q2415" s="25" t="str">
        <f ca="1">IFERROR(__xludf.DUMMYFUNCTION("""COMPUTED_VALUE"""),"Corto plazo")</f>
        <v>Corto plazo</v>
      </c>
      <c r="R2415" s="25"/>
      <c r="S2415" s="55"/>
      <c r="T2415" s="56"/>
      <c r="U2415" s="25"/>
      <c r="V2415" s="25"/>
      <c r="W2415" s="25"/>
      <c r="X2415" s="25"/>
      <c r="Y2415" s="25"/>
      <c r="Z2415" s="25"/>
    </row>
    <row r="2416" spans="1:26" ht="52.5" customHeight="1" x14ac:dyDescent="0.25">
      <c r="A2416" s="25" t="str">
        <f ca="1">IFERROR(__xludf.DUMMYFUNCTION("""COMPUTED_VALUE"""),"Cultu14")</f>
        <v>Cultu14</v>
      </c>
      <c r="B2416" s="25" t="str">
        <f ca="1">IFERROR(__xludf.DUMMYFUNCTION("""COMPUTED_VALUE"""),"Reunión Orquesta Filarmónica de Bogotá y IDRD Planes 2022")</f>
        <v>Reunión Orquesta Filarmónica de Bogotá y IDRD Planes 2022</v>
      </c>
      <c r="C2416" s="55">
        <f ca="1">IFERROR(__xludf.DUMMYFUNCTION("""COMPUTED_VALUE"""),44606)</f>
        <v>44606</v>
      </c>
      <c r="D2416" s="25" t="str">
        <f ca="1">IFERROR(__xludf.DUMMYFUNCTION("""COMPUTED_VALUE"""),"Cultura")</f>
        <v>Cultura</v>
      </c>
      <c r="E2416" s="25" t="str">
        <f ca="1">IFERROR(__xludf.DUMMYFUNCTION("""COMPUTED_VALUE"""),"Secretaría Distrital de Cultura, Recreación y Deporte")</f>
        <v>Secretaría Distrital de Cultura, Recreación y Deporte</v>
      </c>
      <c r="F2416" s="25" t="str">
        <f ca="1">IFERROR(__xludf.DUMMYFUNCTION("""COMPUTED_VALUE"""),"Buscar sitio para la Academia de Ciencias y la gran biblioteca ambiental de Bogotá")</f>
        <v>Buscar sitio para la Academia de Ciencias y la gran biblioteca ambiental de Bogotá</v>
      </c>
      <c r="G2416" s="25" t="str">
        <f ca="1">IFERROR(__xludf.DUMMYFUNCTION("""COMPUTED_VALUE"""),"99. Distrito")</f>
        <v>99. Distrito</v>
      </c>
      <c r="H2416" s="55">
        <f ca="1">IFERROR(__xludf.DUMMYFUNCTION("""COMPUTED_VALUE"""),44636)</f>
        <v>44636</v>
      </c>
      <c r="I2416" s="25"/>
      <c r="J2416" s="55" t="str">
        <f ca="1">IFERROR(__xludf.DUMMYFUNCTION("""COMPUTED_VALUE"""),"Alta")</f>
        <v>Alta</v>
      </c>
      <c r="K2416" s="25">
        <f ca="1">IFERROR(__xludf.DUMMYFUNCTION("""COMPUTED_VALUE"""),30)</f>
        <v>30</v>
      </c>
      <c r="L2416" s="62">
        <f ca="1">IFERROR(__xludf.DUMMYFUNCTION("""COMPUTED_VALUE"""),44627)</f>
        <v>44627</v>
      </c>
      <c r="M2416" s="25" t="str">
        <f ca="1">IFERROR(__xludf.DUMMYFUNCTION("""COMPUTED_VALUE"""),"En la búsqueda del sitio, en Febrero 2022 el equipo DLB realizó recorrido a las instalaciones de la Antigua estación de la Sabana, predio propiedad del INVIAS, Nivel Nacional. Se trata de un Proyecto de recuperación patrimonial. Como alternativa la SCRD y"&amp;" DLB recorrieron también el predio Villa Adelaida. La DLB continúa en la búsqueda del sitio y revisando propuestas para el sitio de la Academia de Ciencias y Biblioteca ambiental de Bogotá. Adicionalmente la DLB está gestionando otro compromiso semejante "&amp;"para sumar la Biblioteca Patrimonial de Arqueología de USME a la Red; si Bien este no es compromiso de recorrido , se pretende inaugurar este espacio en el segundo semestre de 2022 con presencia de la Alcaldesa.  ")</f>
        <v xml:space="preserve">En la búsqueda del sitio, en Febrero 2022 el equipo DLB realizó recorrido a las instalaciones de la Antigua estación de la Sabana, predio propiedad del INVIAS, Nivel Nacional. Se trata de un Proyecto de recuperación patrimonial. Como alternativa la SCRD y DLB recorrieron también el predio Villa Adelaida. La DLB continúa en la búsqueda del sitio y revisando propuestas para el sitio de la Academia de Ciencias y Biblioteca ambiental de Bogotá. Adicionalmente la DLB está gestionando otro compromiso semejante para sumar la Biblioteca Patrimonial de Arqueología de USME a la Red; si Bien este no es compromiso de recorrido , se pretende inaugurar este espacio en el segundo semestre de 2022 con presencia de la Alcaldesa.  </v>
      </c>
      <c r="N2416" s="55">
        <f ca="1">IFERROR(__xludf.DUMMYFUNCTION("""COMPUTED_VALUE"""),44627)</f>
        <v>44627</v>
      </c>
      <c r="O2416" s="25" t="str">
        <f t="shared" ca="1" si="0"/>
        <v>Secretaría Distrital de Cultura, Recreación y Deporte</v>
      </c>
      <c r="P2416" s="25" t="str">
        <f t="shared" si="2"/>
        <v/>
      </c>
      <c r="Q2416" s="25" t="str">
        <f ca="1">IFERROR(__xludf.DUMMYFUNCTION("""COMPUTED_VALUE"""),"Corto plazo")</f>
        <v>Corto plazo</v>
      </c>
      <c r="R2416" s="25"/>
      <c r="S2416" s="55"/>
      <c r="T2416" s="56"/>
      <c r="U2416" s="25"/>
      <c r="V2416" s="25"/>
      <c r="W2416" s="25"/>
      <c r="X2416" s="25"/>
      <c r="Y2416" s="25"/>
      <c r="Z2416" s="25"/>
    </row>
    <row r="2417" spans="1:26" ht="52.5" customHeight="1" x14ac:dyDescent="0.25">
      <c r="A2417" s="25" t="str">
        <f ca="1">IFERROR(__xludf.DUMMYFUNCTION("""COMPUTED_VALUE"""),"Cultu15")</f>
        <v>Cultu15</v>
      </c>
      <c r="B2417" s="25" t="str">
        <f ca="1">IFERROR(__xludf.DUMMYFUNCTION("""COMPUTED_VALUE"""),"Reunión Orquesta Filarmónica de Bogotá y IDRD Planes 2022")</f>
        <v>Reunión Orquesta Filarmónica de Bogotá y IDRD Planes 2022</v>
      </c>
      <c r="C2417" s="55">
        <f ca="1">IFERROR(__xludf.DUMMYFUNCTION("""COMPUTED_VALUE"""),44606)</f>
        <v>44606</v>
      </c>
      <c r="D2417" s="25" t="str">
        <f ca="1">IFERROR(__xludf.DUMMYFUNCTION("""COMPUTED_VALUE"""),"Cultura")</f>
        <v>Cultura</v>
      </c>
      <c r="E2417" s="25" t="str">
        <f ca="1">IFERROR(__xludf.DUMMYFUNCTION("""COMPUTED_VALUE"""),"Instituto Distrital de Recreación y Deporte")</f>
        <v>Instituto Distrital de Recreación y Deporte</v>
      </c>
      <c r="F2417" s="25" t="str">
        <f ca="1">IFERROR(__xludf.DUMMYFUNCTION("""COMPUTED_VALUE"""),"Enviar cronograma y lista de disciplinas para los juegos distritales de la juventud")</f>
        <v>Enviar cronograma y lista de disciplinas para los juegos distritales de la juventud</v>
      </c>
      <c r="G2417" s="25" t="str">
        <f ca="1">IFERROR(__xludf.DUMMYFUNCTION("""COMPUTED_VALUE"""),"99. Distrito")</f>
        <v>99. Distrito</v>
      </c>
      <c r="H2417" s="55">
        <f ca="1">IFERROR(__xludf.DUMMYFUNCTION("""COMPUTED_VALUE"""),44636)</f>
        <v>44636</v>
      </c>
      <c r="I2417" s="25"/>
      <c r="J2417" s="55" t="str">
        <f ca="1">IFERROR(__xludf.DUMMYFUNCTION("""COMPUTED_VALUE"""),"Alta")</f>
        <v>Alta</v>
      </c>
      <c r="K2417" s="25">
        <f ca="1">IFERROR(__xludf.DUMMYFUNCTION("""COMPUTED_VALUE"""),30)</f>
        <v>30</v>
      </c>
      <c r="L2417" s="62">
        <f ca="1">IFERROR(__xludf.DUMMYFUNCTION("""COMPUTED_VALUE"""),44705)</f>
        <v>44705</v>
      </c>
      <c r="M2417" s="15" t="str">
        <f ca="1">IFERROR(__xludf.DUMMYFUNCTION("""COMPUTED_VALUE"""),"El torneo se realizará 18 de junio al 17 de julio 2022. Son 12 deportes y disciplinas del sector paralímpico. 39 deportes y disciplinas del sector convencional, se remite presentación vía correo electrónico a Claudia Rodríguez. La información fue remitida"&amp;" en su momento, la tarea se debería cerrar.")</f>
        <v>El torneo se realizará 18 de junio al 17 de julio 2022. Son 12 deportes y disciplinas del sector paralímpico. 39 deportes y disciplinas del sector convencional, se remite presentación vía correo electrónico a Claudia Rodríguez. La información fue remitida en su momento, la tarea se debería cerrar.</v>
      </c>
      <c r="N2417" s="55">
        <f ca="1">IFERROR(__xludf.DUMMYFUNCTION("""COMPUTED_VALUE"""),44705)</f>
        <v>44705</v>
      </c>
      <c r="O2417" s="25" t="str">
        <f t="shared" ca="1" si="0"/>
        <v>Instituto Distrital de Recreación y Deporte</v>
      </c>
      <c r="P2417" s="25" t="str">
        <f t="shared" si="2"/>
        <v/>
      </c>
      <c r="Q2417" s="25" t="str">
        <f ca="1">IFERROR(__xludf.DUMMYFUNCTION("""COMPUTED_VALUE"""),"Corto plazo")</f>
        <v>Corto plazo</v>
      </c>
      <c r="R2417" s="25"/>
      <c r="S2417" s="55"/>
      <c r="T2417" s="56"/>
      <c r="U2417" s="25"/>
      <c r="V2417" s="25"/>
      <c r="W2417" s="25"/>
      <c r="X2417" s="25"/>
      <c r="Y2417" s="25"/>
      <c r="Z2417" s="25"/>
    </row>
    <row r="2418" spans="1:26" ht="52.5" customHeight="1" x14ac:dyDescent="0.25">
      <c r="A2418" s="25" t="str">
        <f ca="1">IFERROR(__xludf.DUMMYFUNCTION("""COMPUTED_VALUE"""),"Cultu16")</f>
        <v>Cultu16</v>
      </c>
      <c r="B2418" s="25" t="str">
        <f ca="1">IFERROR(__xludf.DUMMYFUNCTION("""COMPUTED_VALUE"""),"Reunión Orquesta Filarmónica de Bogotá y IDRD Planes 2022")</f>
        <v>Reunión Orquesta Filarmónica de Bogotá y IDRD Planes 2022</v>
      </c>
      <c r="C2418" s="55">
        <f ca="1">IFERROR(__xludf.DUMMYFUNCTION("""COMPUTED_VALUE"""),44606)</f>
        <v>44606</v>
      </c>
      <c r="D2418" s="25" t="str">
        <f ca="1">IFERROR(__xludf.DUMMYFUNCTION("""COMPUTED_VALUE"""),"Cultura")</f>
        <v>Cultura</v>
      </c>
      <c r="E2418" s="25" t="str">
        <f ca="1">IFERROR(__xludf.DUMMYFUNCTION("""COMPUTED_VALUE"""),"Instituto Distrital de Recreación y Deporte")</f>
        <v>Instituto Distrital de Recreación y Deporte</v>
      </c>
      <c r="F2418" s="25" t="str">
        <f ca="1">IFERROR(__xludf.DUMMYFUNCTION("""COMPUTED_VALUE"""),"Hacer un plan para que dentro de los campeonatos juveniles y barriales esté Microfútbol y Baloncesto")</f>
        <v>Hacer un plan para que dentro de los campeonatos juveniles y barriales esté Microfútbol y Baloncesto</v>
      </c>
      <c r="G2418" s="25" t="str">
        <f ca="1">IFERROR(__xludf.DUMMYFUNCTION("""COMPUTED_VALUE"""),"99. Distrito")</f>
        <v>99. Distrito</v>
      </c>
      <c r="H2418" s="55">
        <f ca="1">IFERROR(__xludf.DUMMYFUNCTION("""COMPUTED_VALUE"""),44636)</f>
        <v>44636</v>
      </c>
      <c r="I2418" s="25"/>
      <c r="J2418" s="55" t="str">
        <f ca="1">IFERROR(__xludf.DUMMYFUNCTION("""COMPUTED_VALUE"""),"Alta")</f>
        <v>Alta</v>
      </c>
      <c r="K2418" s="25">
        <f ca="1">IFERROR(__xludf.DUMMYFUNCTION("""COMPUTED_VALUE"""),30)</f>
        <v>30</v>
      </c>
      <c r="L2418" s="62">
        <f ca="1">IFERROR(__xludf.DUMMYFUNCTION("""COMPUTED_VALUE"""),44811)</f>
        <v>44811</v>
      </c>
      <c r="M2418" s="25" t="str">
        <f ca="1">IFERROR(__xludf.DUMMYFUNCTION("""COMPUTED_VALUE"""),"El torneo inició el 28 de julio en la disciplina microfútbol. Se inscribieron 1342 mujeres (121 equipos) y 2848 hombres (259 equipos), para un total de 4,190 deportistas. De 857 partidos se han jugado a la fecha  del reporte 370, en 66 canchas de fútbol d"&amp;"e salón de 18 localidades. Los partidos se realizan en horario nocturno en escenarios con problemáticas de seguridad. La finalización del torneo está prevista para la última semana de noviembre.")</f>
        <v>El torneo inició el 28 de julio en la disciplina microfútbol. Se inscribieron 1342 mujeres (121 equipos) y 2848 hombres (259 equipos), para un total de 4,190 deportistas. De 857 partidos se han jugado a la fecha  del reporte 370, en 66 canchas de fútbol de salón de 18 localidades. Los partidos se realizan en horario nocturno en escenarios con problemáticas de seguridad. La finalización del torneo está prevista para la última semana de noviembre.</v>
      </c>
      <c r="N2418" s="55">
        <f ca="1">IFERROR(__xludf.DUMMYFUNCTION("""COMPUTED_VALUE"""),44811)</f>
        <v>44811</v>
      </c>
      <c r="O2418" s="25" t="str">
        <f t="shared" ca="1" si="0"/>
        <v>Instituto Distrital de Recreación y Deporte</v>
      </c>
      <c r="P2418" s="25" t="str">
        <f t="shared" si="2"/>
        <v/>
      </c>
      <c r="Q2418" s="25" t="str">
        <f ca="1">IFERROR(__xludf.DUMMYFUNCTION("""COMPUTED_VALUE"""),"Corto plazo")</f>
        <v>Corto plazo</v>
      </c>
      <c r="R2418" s="25"/>
      <c r="S2418" s="55"/>
      <c r="T2418" s="56"/>
      <c r="U2418" s="25"/>
      <c r="V2418" s="25"/>
      <c r="W2418" s="25"/>
      <c r="X2418" s="25"/>
      <c r="Y2418" s="25"/>
      <c r="Z2418" s="25"/>
    </row>
    <row r="2419" spans="1:26" ht="52.5" customHeight="1" x14ac:dyDescent="0.25">
      <c r="A2419" s="25" t="str">
        <f ca="1">IFERROR(__xludf.DUMMYFUNCTION("""COMPUTED_VALUE"""),"Cultu17")</f>
        <v>Cultu17</v>
      </c>
      <c r="B2419" s="25" t="str">
        <f ca="1">IFERROR(__xludf.DUMMYFUNCTION("""COMPUTED_VALUE"""),"Reunión Orquesta Filarmónica de Bogotá y IDRD Planes 2022")</f>
        <v>Reunión Orquesta Filarmónica de Bogotá y IDRD Planes 2022</v>
      </c>
      <c r="C2419" s="55">
        <f ca="1">IFERROR(__xludf.DUMMYFUNCTION("""COMPUTED_VALUE"""),44606)</f>
        <v>44606</v>
      </c>
      <c r="D2419" s="25" t="str">
        <f ca="1">IFERROR(__xludf.DUMMYFUNCTION("""COMPUTED_VALUE"""),"Cultura")</f>
        <v>Cultura</v>
      </c>
      <c r="E2419" s="25" t="str">
        <f ca="1">IFERROR(__xludf.DUMMYFUNCTION("""COMPUTED_VALUE"""),"Instituto Distrital de Recreación y Deporte")</f>
        <v>Instituto Distrital de Recreación y Deporte</v>
      </c>
      <c r="F2419" s="25" t="str">
        <f ca="1">IFERROR(__xludf.DUMMYFUNCTION("""COMPUTED_VALUE"""),"Hacer un plan con la Sec. de Educación para que los niños de secundaria de los colegios distritales puedan conocer los senderos que abrió el Distrito.")</f>
        <v>Hacer un plan con la Sec. de Educación para que los niños de secundaria de los colegios distritales puedan conocer los senderos que abrió el Distrito.</v>
      </c>
      <c r="G2419" s="25" t="str">
        <f ca="1">IFERROR(__xludf.DUMMYFUNCTION("""COMPUTED_VALUE"""),"99. Distrito")</f>
        <v>99. Distrito</v>
      </c>
      <c r="H2419" s="55">
        <f ca="1">IFERROR(__xludf.DUMMYFUNCTION("""COMPUTED_VALUE"""),44636)</f>
        <v>44636</v>
      </c>
      <c r="I2419" s="25"/>
      <c r="J2419" s="55" t="str">
        <f ca="1">IFERROR(__xludf.DUMMYFUNCTION("""COMPUTED_VALUE"""),"Alta")</f>
        <v>Alta</v>
      </c>
      <c r="K2419" s="25">
        <f ca="1">IFERROR(__xludf.DUMMYFUNCTION("""COMPUTED_VALUE"""),30)</f>
        <v>30</v>
      </c>
      <c r="L2419" s="62">
        <f ca="1">IFERROR(__xludf.DUMMYFUNCTION("""COMPUTED_VALUE"""),44811)</f>
        <v>44811</v>
      </c>
      <c r="M2419" s="25" t="str">
        <f ca="1">IFERROR(__xludf.DUMMYFUNCTION("""COMPUTED_VALUE"""),"Los recursos que se adicionaron al presupuesto del IDRD para implementar esta tarea fueron incorporados en el mes de agosto. Se está realizando el proceso de contratación del talento humano para operar las caminatas. Se está programando mesa de trabajo co"&amp;"n Secretaria de Educación para definir un cronograma de ejecución.")</f>
        <v>Los recursos que se adicionaron al presupuesto del IDRD para implementar esta tarea fueron incorporados en el mes de agosto. Se está realizando el proceso de contratación del talento humano para operar las caminatas. Se está programando mesa de trabajo con Secretaria de Educación para definir un cronograma de ejecución.</v>
      </c>
      <c r="N2419" s="55">
        <f ca="1">IFERROR(__xludf.DUMMYFUNCTION("""COMPUTED_VALUE"""),44811)</f>
        <v>44811</v>
      </c>
      <c r="O2419" s="25" t="str">
        <f t="shared" ca="1" si="0"/>
        <v>Instituto Distrital de Recreación y Deporte</v>
      </c>
      <c r="P2419" s="25" t="str">
        <f t="shared" si="2"/>
        <v/>
      </c>
      <c r="Q2419" s="25" t="str">
        <f ca="1">IFERROR(__xludf.DUMMYFUNCTION("""COMPUTED_VALUE"""),"Corto plazo")</f>
        <v>Corto plazo</v>
      </c>
      <c r="R2419" s="25"/>
      <c r="S2419" s="55"/>
      <c r="T2419" s="56"/>
      <c r="U2419" s="25"/>
      <c r="V2419" s="25"/>
      <c r="W2419" s="25"/>
      <c r="X2419" s="25"/>
      <c r="Y2419" s="25"/>
      <c r="Z2419" s="25"/>
    </row>
    <row r="2420" spans="1:26" ht="52.5" customHeight="1" x14ac:dyDescent="0.25">
      <c r="A2420" s="25" t="str">
        <f ca="1">IFERROR(__xludf.DUMMYFUNCTION("""COMPUTED_VALUE"""),"Cultu18")</f>
        <v>Cultu18</v>
      </c>
      <c r="B2420" s="25" t="str">
        <f ca="1">IFERROR(__xludf.DUMMYFUNCTION("""COMPUTED_VALUE"""),"Reunión Orquesta Filarmónica de Bogotá y IDRD Planes 2022")</f>
        <v>Reunión Orquesta Filarmónica de Bogotá y IDRD Planes 2022</v>
      </c>
      <c r="C2420" s="55">
        <f ca="1">IFERROR(__xludf.DUMMYFUNCTION("""COMPUTED_VALUE"""),44606)</f>
        <v>44606</v>
      </c>
      <c r="D2420" s="25" t="str">
        <f ca="1">IFERROR(__xludf.DUMMYFUNCTION("""COMPUTED_VALUE"""),"Cultura")</f>
        <v>Cultura</v>
      </c>
      <c r="E2420" s="25" t="str">
        <f ca="1">IFERROR(__xludf.DUMMYFUNCTION("""COMPUTED_VALUE"""),"Instituto Distrital de Recreación y Deporte")</f>
        <v>Instituto Distrital de Recreación y Deporte</v>
      </c>
      <c r="F2420" s="25" t="str">
        <f ca="1">IFERROR(__xludf.DUMMYFUNCTION("""COMPUTED_VALUE"""),"Incluir senderismo en el marco del festival de verano y fortalecerlo durante las actividades del año.
 Adicionalmente, incluir y potenciar los recorridos de la bici región.")</f>
        <v>Incluir senderismo en el marco del festival de verano y fortalecerlo durante las actividades del año.
 Adicionalmente, incluir y potenciar los recorridos de la bici región.</v>
      </c>
      <c r="G2420" s="25" t="str">
        <f ca="1">IFERROR(__xludf.DUMMYFUNCTION("""COMPUTED_VALUE"""),"99. Distrito")</f>
        <v>99. Distrito</v>
      </c>
      <c r="H2420" s="55">
        <f ca="1">IFERROR(__xludf.DUMMYFUNCTION("""COMPUTED_VALUE"""),44636)</f>
        <v>44636</v>
      </c>
      <c r="I2420" s="25"/>
      <c r="J2420" s="55" t="str">
        <f ca="1">IFERROR(__xludf.DUMMYFUNCTION("""COMPUTED_VALUE"""),"Alta")</f>
        <v>Alta</v>
      </c>
      <c r="K2420" s="25">
        <f ca="1">IFERROR(__xludf.DUMMYFUNCTION("""COMPUTED_VALUE"""),30)</f>
        <v>30</v>
      </c>
      <c r="L2420" s="62">
        <f ca="1">IFERROR(__xludf.DUMMYFUNCTION("""COMPUTED_VALUE"""),44627)</f>
        <v>44627</v>
      </c>
      <c r="M2420" s="25" t="str">
        <f ca="1">IFERROR(__xludf.DUMMYFUNCTION("""COMPUTED_VALUE"""),"Dentro de la programación del festival de verano ya se cuenta con eventos de senderismo y ciclomontañismo ")</f>
        <v xml:space="preserve">Dentro de la programación del festival de verano ya se cuenta con eventos de senderismo y ciclomontañismo </v>
      </c>
      <c r="N2420" s="55">
        <f ca="1">IFERROR(__xludf.DUMMYFUNCTION("""COMPUTED_VALUE"""),44627)</f>
        <v>44627</v>
      </c>
      <c r="O2420" s="25" t="str">
        <f t="shared" ca="1" si="0"/>
        <v>Instituto Distrital de Recreación y Deporte</v>
      </c>
      <c r="P2420" s="25" t="str">
        <f t="shared" si="2"/>
        <v/>
      </c>
      <c r="Q2420" s="25" t="str">
        <f ca="1">IFERROR(__xludf.DUMMYFUNCTION("""COMPUTED_VALUE"""),"Corto plazo")</f>
        <v>Corto plazo</v>
      </c>
      <c r="R2420" s="25"/>
      <c r="S2420" s="55"/>
      <c r="T2420" s="56"/>
      <c r="U2420" s="25"/>
      <c r="V2420" s="25"/>
      <c r="W2420" s="25"/>
      <c r="X2420" s="25"/>
      <c r="Y2420" s="25"/>
      <c r="Z2420" s="25"/>
    </row>
    <row r="2421" spans="1:26" ht="52.5" customHeight="1" x14ac:dyDescent="0.25">
      <c r="A2421" s="25" t="str">
        <f ca="1">IFERROR(__xludf.DUMMYFUNCTION("""COMPUTED_VALUE"""),"Cultu19")</f>
        <v>Cultu19</v>
      </c>
      <c r="B2421" s="25" t="str">
        <f ca="1">IFERROR(__xludf.DUMMYFUNCTION("""COMPUTED_VALUE"""),"Reunión Orquesta Filarmónica de Bogotá y IDRD Planes 2022")</f>
        <v>Reunión Orquesta Filarmónica de Bogotá y IDRD Planes 2022</v>
      </c>
      <c r="C2421" s="55">
        <f ca="1">IFERROR(__xludf.DUMMYFUNCTION("""COMPUTED_VALUE"""),44606)</f>
        <v>44606</v>
      </c>
      <c r="D2421" s="25" t="str">
        <f ca="1">IFERROR(__xludf.DUMMYFUNCTION("""COMPUTED_VALUE"""),"Cultura")</f>
        <v>Cultura</v>
      </c>
      <c r="E2421" s="25" t="str">
        <f ca="1">IFERROR(__xludf.DUMMYFUNCTION("""COMPUTED_VALUE"""),"Instituto Distrital de Recreación y Deporte")</f>
        <v>Instituto Distrital de Recreación y Deporte</v>
      </c>
      <c r="F2421" s="25" t="str">
        <f ca="1">IFERROR(__xludf.DUMMYFUNCTION("""COMPUTED_VALUE"""),"Preparar actividades para el día sin carro en Abril")</f>
        <v>Preparar actividades para el día sin carro en Abril</v>
      </c>
      <c r="G2421" s="25" t="str">
        <f ca="1">IFERROR(__xludf.DUMMYFUNCTION("""COMPUTED_VALUE"""),"99. Distrito")</f>
        <v>99. Distrito</v>
      </c>
      <c r="H2421" s="55">
        <f ca="1">IFERROR(__xludf.DUMMYFUNCTION("""COMPUTED_VALUE"""),44636)</f>
        <v>44636</v>
      </c>
      <c r="I2421" s="25"/>
      <c r="J2421" s="55" t="str">
        <f ca="1">IFERROR(__xludf.DUMMYFUNCTION("""COMPUTED_VALUE"""),"Alta")</f>
        <v>Alta</v>
      </c>
      <c r="K2421" s="25">
        <f ca="1">IFERROR(__xludf.DUMMYFUNCTION("""COMPUTED_VALUE"""),30)</f>
        <v>30</v>
      </c>
      <c r="L2421" s="62">
        <f ca="1">IFERROR(__xludf.DUMMYFUNCTION("""COMPUTED_VALUE"""),44810)</f>
        <v>44810</v>
      </c>
      <c r="M2421" s="25" t="str">
        <f ca="1">IFERROR(__xludf.DUMMYFUNCTION("""COMPUTED_VALUE"""),"El día sin carro se realizará en septiembre en el marco de la semana de la bicicleta, la semana del 5 de septiembre se sostendrán reuniones con la Secretaría de Movilidad para coordinar actividades conjuntas.")</f>
        <v>El día sin carro se realizará en septiembre en el marco de la semana de la bicicleta, la semana del 5 de septiembre se sostendrán reuniones con la Secretaría de Movilidad para coordinar actividades conjuntas.</v>
      </c>
      <c r="N2421" s="55">
        <f ca="1">IFERROR(__xludf.DUMMYFUNCTION("""COMPUTED_VALUE"""),44810)</f>
        <v>44810</v>
      </c>
      <c r="O2421" s="25" t="str">
        <f t="shared" ca="1" si="0"/>
        <v>Instituto Distrital de Recreación y Deporte</v>
      </c>
      <c r="P2421" s="25" t="str">
        <f t="shared" si="2"/>
        <v/>
      </c>
      <c r="Q2421" s="25" t="str">
        <f ca="1">IFERROR(__xludf.DUMMYFUNCTION("""COMPUTED_VALUE"""),"Corto plazo")</f>
        <v>Corto plazo</v>
      </c>
      <c r="R2421" s="25"/>
      <c r="S2421" s="55"/>
      <c r="T2421" s="56"/>
      <c r="U2421" s="25"/>
      <c r="V2421" s="25"/>
      <c r="W2421" s="25"/>
      <c r="X2421" s="25"/>
      <c r="Y2421" s="25"/>
      <c r="Z2421" s="25"/>
    </row>
    <row r="2422" spans="1:26" ht="52.5" customHeight="1" x14ac:dyDescent="0.25">
      <c r="A2422" s="25" t="str">
        <f ca="1">IFERROR(__xludf.DUMMYFUNCTION("""COMPUTED_VALUE"""),"Cultu20")</f>
        <v>Cultu20</v>
      </c>
      <c r="B2422" s="25" t="str">
        <f ca="1">IFERROR(__xludf.DUMMYFUNCTION("""COMPUTED_VALUE"""),"Reunión Orquesta Filarmónica de Bogotá y IDRD Planes 2022")</f>
        <v>Reunión Orquesta Filarmónica de Bogotá y IDRD Planes 2022</v>
      </c>
      <c r="C2422" s="55">
        <f ca="1">IFERROR(__xludf.DUMMYFUNCTION("""COMPUTED_VALUE"""),44606)</f>
        <v>44606</v>
      </c>
      <c r="D2422" s="25" t="str">
        <f ca="1">IFERROR(__xludf.DUMMYFUNCTION("""COMPUTED_VALUE"""),"Cultura")</f>
        <v>Cultura</v>
      </c>
      <c r="E2422" s="25" t="str">
        <f ca="1">IFERROR(__xludf.DUMMYFUNCTION("""COMPUTED_VALUE"""),"Instituto Distrital de Recreación y Deporte")</f>
        <v>Instituto Distrital de Recreación y Deporte</v>
      </c>
      <c r="F2422" s="25" t="str">
        <f ca="1">IFERROR(__xludf.DUMMYFUNCTION("""COMPUTED_VALUE"""),"Seleccionar los 150 parques de proximidad a renovar con los alcaldes locales. Se debe incluir parque de los hippies")</f>
        <v>Seleccionar los 150 parques de proximidad a renovar con los alcaldes locales. Se debe incluir parque de los hippies</v>
      </c>
      <c r="G2422" s="25" t="str">
        <f ca="1">IFERROR(__xludf.DUMMYFUNCTION("""COMPUTED_VALUE"""),"99. Distrito")</f>
        <v>99. Distrito</v>
      </c>
      <c r="H2422" s="55">
        <f ca="1">IFERROR(__xludf.DUMMYFUNCTION("""COMPUTED_VALUE"""),44636)</f>
        <v>44636</v>
      </c>
      <c r="I2422" s="25"/>
      <c r="J2422" s="55" t="str">
        <f ca="1">IFERROR(__xludf.DUMMYFUNCTION("""COMPUTED_VALUE"""),"Alta")</f>
        <v>Alta</v>
      </c>
      <c r="K2422" s="25">
        <f ca="1">IFERROR(__xludf.DUMMYFUNCTION("""COMPUTED_VALUE"""),30)</f>
        <v>30</v>
      </c>
      <c r="L2422" s="62">
        <f ca="1">IFERROR(__xludf.DUMMYFUNCTION("""COMPUTED_VALUE"""),44810)</f>
        <v>44810</v>
      </c>
      <c r="M2422" s="25" t="str">
        <f ca="1">IFERROR(__xludf.DUMMYFUNCTION("""COMPUTED_VALUE"""),"El trámite para el mantenimiento de la intervención de parques de proximidad se encuentra en proceso de contratación, con la adjudicación programada para mediados de septiembre, se proyecta el inicio de la ejecución a mediados de octubre una vez se adjudi"&amp;"que la interventoría. ")</f>
        <v xml:space="preserve">El trámite para el mantenimiento de la intervención de parques de proximidad se encuentra en proceso de contratación, con la adjudicación programada para mediados de septiembre, se proyecta el inicio de la ejecución a mediados de octubre una vez se adjudique la interventoría. </v>
      </c>
      <c r="N2422" s="55">
        <f ca="1">IFERROR(__xludf.DUMMYFUNCTION("""COMPUTED_VALUE"""),44810)</f>
        <v>44810</v>
      </c>
      <c r="O2422" s="25" t="str">
        <f t="shared" ca="1" si="0"/>
        <v>Instituto Distrital de Recreación y Deporte</v>
      </c>
      <c r="P2422" s="25" t="str">
        <f t="shared" si="2"/>
        <v/>
      </c>
      <c r="Q2422" s="25" t="str">
        <f ca="1">IFERROR(__xludf.DUMMYFUNCTION("""COMPUTED_VALUE"""),"Corto plazo")</f>
        <v>Corto plazo</v>
      </c>
      <c r="R2422" s="25"/>
      <c r="S2422" s="55"/>
      <c r="T2422" s="56"/>
      <c r="U2422" s="25"/>
      <c r="V2422" s="25"/>
      <c r="W2422" s="25"/>
      <c r="X2422" s="25"/>
      <c r="Y2422" s="25"/>
      <c r="Z2422" s="25"/>
    </row>
    <row r="2423" spans="1:26" ht="52.5" customHeight="1" x14ac:dyDescent="0.25">
      <c r="A2423" s="25" t="str">
        <f ca="1">IFERROR(__xludf.DUMMYFUNCTION("""COMPUTED_VALUE"""),"Cultu21")</f>
        <v>Cultu21</v>
      </c>
      <c r="B2423" s="25" t="str">
        <f ca="1">IFERROR(__xludf.DUMMYFUNCTION("""COMPUTED_VALUE"""),"Junta de Infraestructura")</f>
        <v>Junta de Infraestructura</v>
      </c>
      <c r="C2423" s="55">
        <f ca="1">IFERROR(__xludf.DUMMYFUNCTION("""COMPUTED_VALUE"""),44601)</f>
        <v>44601</v>
      </c>
      <c r="D2423" s="25" t="str">
        <f ca="1">IFERROR(__xludf.DUMMYFUNCTION("""COMPUTED_VALUE"""),"Cultura")</f>
        <v>Cultura</v>
      </c>
      <c r="E2423" s="25" t="str">
        <f ca="1">IFERROR(__xludf.DUMMYFUNCTION("""COMPUTED_VALUE"""),"Instituto Distrital de Recreación y Deporte")</f>
        <v>Instituto Distrital de Recreación y Deporte</v>
      </c>
      <c r="F2423" s="25" t="str">
        <f ca="1">IFERROR(__xludf.DUMMYFUNCTION("""COMPUTED_VALUE"""),"En la obra Juan Amarillo se requiere apropiación del IDRD; se debe tener programación de viernes a domingo semanalmente")</f>
        <v>En la obra Juan Amarillo se requiere apropiación del IDRD; se debe tener programación de viernes a domingo semanalmente</v>
      </c>
      <c r="G2423" s="25" t="str">
        <f ca="1">IFERROR(__xludf.DUMMYFUNCTION("""COMPUTED_VALUE"""),"99. Distrito")</f>
        <v>99. Distrito</v>
      </c>
      <c r="H2423" s="55">
        <f ca="1">IFERROR(__xludf.DUMMYFUNCTION("""COMPUTED_VALUE"""),44631)</f>
        <v>44631</v>
      </c>
      <c r="I2423" s="25"/>
      <c r="J2423" s="55" t="str">
        <f ca="1">IFERROR(__xludf.DUMMYFUNCTION("""COMPUTED_VALUE"""),"Alta")</f>
        <v>Alta</v>
      </c>
      <c r="K2423" s="25">
        <f ca="1">IFERROR(__xludf.DUMMYFUNCTION("""COMPUTED_VALUE"""),30)</f>
        <v>30</v>
      </c>
      <c r="L2423" s="62">
        <f ca="1">IFERROR(__xludf.DUMMYFUNCTION("""COMPUTED_VALUE"""),44811)</f>
        <v>44811</v>
      </c>
      <c r="M2423" s="25" t="str">
        <f ca="1">IFERROR(__xludf.DUMMYFUNCTION("""COMPUTED_VALUE"""),"Desde el mes de marzo se viene realizando intervención en la cancha de baloncesto con comunidad los viernes de 8 a 10 am con el programa parques para la cultura ciudadana. Y a la fecha del reporte se han realizado 12 caminatas correspondientes al programa"&amp;" recorriendo mi ciudad con 180 usuarios. Adicionalmente se cuenta con oferta de clases grupales de actividad física los miércoles y viernes de 9am a 11 am.")</f>
        <v>Desde el mes de marzo se viene realizando intervención en la cancha de baloncesto con comunidad los viernes de 8 a 10 am con el programa parques para la cultura ciudadana. Y a la fecha del reporte se han realizado 12 caminatas correspondientes al programa recorriendo mi ciudad con 180 usuarios. Adicionalmente se cuenta con oferta de clases grupales de actividad física los miércoles y viernes de 9am a 11 am.</v>
      </c>
      <c r="N2423" s="55">
        <f ca="1">IFERROR(__xludf.DUMMYFUNCTION("""COMPUTED_VALUE"""),44811)</f>
        <v>44811</v>
      </c>
      <c r="O2423" s="25" t="str">
        <f t="shared" ca="1" si="0"/>
        <v>Instituto Distrital de Recreación y Deporte</v>
      </c>
      <c r="P2423" s="25" t="str">
        <f t="shared" si="2"/>
        <v/>
      </c>
      <c r="Q2423" s="25" t="str">
        <f ca="1">IFERROR(__xludf.DUMMYFUNCTION("""COMPUTED_VALUE"""),"Corto plazo")</f>
        <v>Corto plazo</v>
      </c>
      <c r="R2423" s="25"/>
      <c r="S2423" s="55"/>
      <c r="T2423" s="56"/>
      <c r="U2423" s="25"/>
      <c r="V2423" s="25"/>
      <c r="W2423" s="25"/>
      <c r="X2423" s="25"/>
      <c r="Y2423" s="25"/>
      <c r="Z2423" s="25"/>
    </row>
    <row r="2424" spans="1:26" ht="52.5" customHeight="1" x14ac:dyDescent="0.25">
      <c r="A2424" s="25" t="str">
        <f ca="1">IFERROR(__xludf.DUMMYFUNCTION("""COMPUTED_VALUE"""),"Cultu22")</f>
        <v>Cultu22</v>
      </c>
      <c r="B2424" s="25" t="str">
        <f ca="1">IFERROR(__xludf.DUMMYFUNCTION("""COMPUTED_VALUE"""),"IDPC y FUGA Planes 2022")</f>
        <v>IDPC y FUGA Planes 2022</v>
      </c>
      <c r="C2424" s="55">
        <f ca="1">IFERROR(__xludf.DUMMYFUNCTION("""COMPUTED_VALUE"""),44600)</f>
        <v>44600</v>
      </c>
      <c r="D2424" s="25" t="str">
        <f ca="1">IFERROR(__xludf.DUMMYFUNCTION("""COMPUTED_VALUE"""),"Cultura")</f>
        <v>Cultura</v>
      </c>
      <c r="E2424" s="25" t="str">
        <f ca="1">IFERROR(__xludf.DUMMYFUNCTION("""COMPUTED_VALUE"""),"Fundación Gilberto Alzate Avendaño")</f>
        <v>Fundación Gilberto Alzate Avendaño</v>
      </c>
      <c r="F2424" s="25" t="str">
        <f ca="1">IFERROR(__xludf.DUMMYFUNCTION("""COMPUTED_VALUE"""),"Recuperación Parque Santander")</f>
        <v>Recuperación Parque Santander</v>
      </c>
      <c r="G2424" s="25" t="str">
        <f ca="1">IFERROR(__xludf.DUMMYFUNCTION("""COMPUTED_VALUE"""),"99. Distrito")</f>
        <v>99. Distrito</v>
      </c>
      <c r="H2424" s="55">
        <f ca="1">IFERROR(__xludf.DUMMYFUNCTION("""COMPUTED_VALUE"""),44630)</f>
        <v>44630</v>
      </c>
      <c r="I2424" s="25"/>
      <c r="J2424" s="55" t="str">
        <f ca="1">IFERROR(__xludf.DUMMYFUNCTION("""COMPUTED_VALUE"""),"Alta")</f>
        <v>Alta</v>
      </c>
      <c r="K2424" s="25">
        <f ca="1">IFERROR(__xludf.DUMMYFUNCTION("""COMPUTED_VALUE"""),30)</f>
        <v>30</v>
      </c>
      <c r="L2424" s="62">
        <f ca="1">IFERROR(__xludf.DUMMYFUNCTION("""COMPUTED_VALUE"""),44810)</f>
        <v>44810</v>
      </c>
      <c r="M2424" s="25" t="str">
        <f ca="1">IFERROR(__xludf.DUMMYFUNCTION("""COMPUTED_VALUE"""),"A corto plazo continuamos con las activaciones semanales con oferta institucional. A corte de 31 de agosto, hemos realizado un total de 62 jornadas. La FUGA continúa asistiendo todos los viernes y el IPES los domingos. Tuvimos en alianza con la SDSCJ, la "&amp;"feria de emprendimiento “Casa de la Libertad” como parte del programa postpenitenciario de dicha entidad los días 29 de julio y 28 de agosto. 
En el mediano plazo continuamos con conversaciones con la Fundación Amigos del Parque y el Banco de la República"&amp;" para articularnos en pro de la intervención de urbanismo táctico. Con DADEP continuamos analizando el desarrollo de a estrategia Cielo abierto con el comercio circudante.
Según reporte de la Secretaria de Seguridad, Convivencia y Seguridad en estos 6 mes"&amp;"es de intervenciones y de nuestras 62 actividades, logramos disminuir las tasas de 7 conductas delictivas en nuestro parque. ")</f>
        <v xml:space="preserve">A corto plazo continuamos con las activaciones semanales con oferta institucional. A corte de 31 de agosto, hemos realizado un total de 62 jornadas. La FUGA continúa asistiendo todos los viernes y el IPES los domingos. Tuvimos en alianza con la SDSCJ, la feria de emprendimiento “Casa de la Libertad” como parte del programa postpenitenciario de dicha entidad los días 29 de julio y 28 de agosto. 
En el mediano plazo continuamos con conversaciones con la Fundación Amigos del Parque y el Banco de la República para articularnos en pro de la intervención de urbanismo táctico. Con DADEP continuamos analizando el desarrollo de a estrategia Cielo abierto con el comercio circudante.
Según reporte de la Secretaria de Seguridad, Convivencia y Seguridad en estos 6 meses de intervenciones y de nuestras 62 actividades, logramos disminuir las tasas de 7 conductas delictivas en nuestro parque. </v>
      </c>
      <c r="N2424" s="55">
        <f ca="1">IFERROR(__xludf.DUMMYFUNCTION("""COMPUTED_VALUE"""),44810)</f>
        <v>44810</v>
      </c>
      <c r="O2424" s="25" t="str">
        <f t="shared" ca="1" si="0"/>
        <v>Fundación Gilberto Alzate Avendaño</v>
      </c>
      <c r="P2424" s="25" t="str">
        <f t="shared" si="2"/>
        <v/>
      </c>
      <c r="Q2424" s="25" t="str">
        <f ca="1">IFERROR(__xludf.DUMMYFUNCTION("""COMPUTED_VALUE"""),"Corto plazo")</f>
        <v>Corto plazo</v>
      </c>
      <c r="R2424" s="25"/>
      <c r="S2424" s="55"/>
      <c r="T2424" s="56"/>
      <c r="U2424" s="25"/>
      <c r="V2424" s="25"/>
      <c r="W2424" s="25"/>
      <c r="X2424" s="25"/>
      <c r="Y2424" s="25"/>
      <c r="Z2424" s="25"/>
    </row>
    <row r="2425" spans="1:26" ht="52.5" customHeight="1" x14ac:dyDescent="0.25">
      <c r="A2425" s="25" t="str">
        <f ca="1">IFERROR(__xludf.DUMMYFUNCTION("""COMPUTED_VALUE"""),"Cultu23")</f>
        <v>Cultu23</v>
      </c>
      <c r="B2425" s="25" t="str">
        <f ca="1">IFERROR(__xludf.DUMMYFUNCTION("""COMPUTED_VALUE"""),"IDPC y FUGA Planes 2022")</f>
        <v>IDPC y FUGA Planes 2022</v>
      </c>
      <c r="C2425" s="55">
        <f ca="1">IFERROR(__xludf.DUMMYFUNCTION("""COMPUTED_VALUE"""),44600)</f>
        <v>44600</v>
      </c>
      <c r="D2425" s="25" t="str">
        <f ca="1">IFERROR(__xludf.DUMMYFUNCTION("""COMPUTED_VALUE"""),"Cultura")</f>
        <v>Cultura</v>
      </c>
      <c r="E2425" s="25" t="str">
        <f ca="1">IFERROR(__xludf.DUMMYFUNCTION("""COMPUTED_VALUE"""),"Fundación Gilberto Alzate Avendaño")</f>
        <v>Fundación Gilberto Alzate Avendaño</v>
      </c>
      <c r="F2425" s="25" t="str">
        <f ca="1">IFERROR(__xludf.DUMMYFUNCTION("""COMPUTED_VALUE"""),"Recuperar la Cra 7ª (de la 24 hacia el sur)")</f>
        <v>Recuperar la Cra 7ª (de la 24 hacia el sur)</v>
      </c>
      <c r="G2425" s="25" t="str">
        <f ca="1">IFERROR(__xludf.DUMMYFUNCTION("""COMPUTED_VALUE"""),"99. Distrito")</f>
        <v>99. Distrito</v>
      </c>
      <c r="H2425" s="55">
        <f ca="1">IFERROR(__xludf.DUMMYFUNCTION("""COMPUTED_VALUE"""),44630)</f>
        <v>44630</v>
      </c>
      <c r="I2425" s="25"/>
      <c r="J2425" s="55" t="str">
        <f ca="1">IFERROR(__xludf.DUMMYFUNCTION("""COMPUTED_VALUE"""),"Alta")</f>
        <v>Alta</v>
      </c>
      <c r="K2425" s="25">
        <f ca="1">IFERROR(__xludf.DUMMYFUNCTION("""COMPUTED_VALUE"""),30)</f>
        <v>30</v>
      </c>
      <c r="L2425" s="62">
        <f ca="1">IFERROR(__xludf.DUMMYFUNCTION("""COMPUTED_VALUE"""),44712)</f>
        <v>44712</v>
      </c>
      <c r="M2425" s="25" t="str">
        <f ca="1">IFERROR(__xludf.DUMMYFUNCTION("""COMPUTED_VALUE"""),"La FUGA asistió al PMU que citó el IPES para hacer seguimiento a las diferentes actividades que se están realizando en la Séptima. Se realizó acompañamiento con los artesanos del centro de Bogotá en la Alcaldía Local de la Candelaria el jueves 12 de mayo."&amp;" ")</f>
        <v xml:space="preserve">La FUGA asistió al PMU que citó el IPES para hacer seguimiento a las diferentes actividades que se están realizando en la Séptima. Se realizó acompañamiento con los artesanos del centro de Bogotá en la Alcaldía Local de la Candelaria el jueves 12 de mayo. </v>
      </c>
      <c r="N2425" s="55">
        <f ca="1">IFERROR(__xludf.DUMMYFUNCTION("""COMPUTED_VALUE"""),44712)</f>
        <v>44712</v>
      </c>
      <c r="O2425" s="25" t="str">
        <f t="shared" ca="1" si="0"/>
        <v>Fundación Gilberto Alzate Avendaño</v>
      </c>
      <c r="P2425" s="25" t="str">
        <f t="shared" si="2"/>
        <v/>
      </c>
      <c r="Q2425" s="25" t="str">
        <f ca="1">IFERROR(__xludf.DUMMYFUNCTION("""COMPUTED_VALUE"""),"Corto plazo")</f>
        <v>Corto plazo</v>
      </c>
      <c r="R2425" s="25"/>
      <c r="S2425" s="55"/>
      <c r="T2425" s="56"/>
      <c r="U2425" s="25"/>
      <c r="V2425" s="25"/>
      <c r="W2425" s="25"/>
      <c r="X2425" s="25"/>
      <c r="Y2425" s="25"/>
      <c r="Z2425" s="25"/>
    </row>
    <row r="2426" spans="1:26" ht="52.5" customHeight="1" x14ac:dyDescent="0.25">
      <c r="A2426" s="25" t="str">
        <f ca="1">IFERROR(__xludf.DUMMYFUNCTION("""COMPUTED_VALUE"""),"Cultu24")</f>
        <v>Cultu24</v>
      </c>
      <c r="B2426" s="25" t="str">
        <f ca="1">IFERROR(__xludf.DUMMYFUNCTION("""COMPUTED_VALUE"""),"IDPC y FUGA Planes 2022")</f>
        <v>IDPC y FUGA Planes 2022</v>
      </c>
      <c r="C2426" s="55">
        <f ca="1">IFERROR(__xludf.DUMMYFUNCTION("""COMPUTED_VALUE"""),44600)</f>
        <v>44600</v>
      </c>
      <c r="D2426" s="25" t="str">
        <f ca="1">IFERROR(__xludf.DUMMYFUNCTION("""COMPUTED_VALUE"""),"Cultura")</f>
        <v>Cultura</v>
      </c>
      <c r="E2426" s="25" t="str">
        <f ca="1">IFERROR(__xludf.DUMMYFUNCTION("""COMPUTED_VALUE"""),"Fundación Gilberto Alzate Avendaño")</f>
        <v>Fundación Gilberto Alzate Avendaño</v>
      </c>
      <c r="F2426" s="25" t="str">
        <f ca="1">IFERROR(__xludf.DUMMYFUNCTION("""COMPUTED_VALUE"""),"Figura jurídica óptima para el ente gestor")</f>
        <v>Figura jurídica óptima para el ente gestor</v>
      </c>
      <c r="G2426" s="25" t="str">
        <f ca="1">IFERROR(__xludf.DUMMYFUNCTION("""COMPUTED_VALUE"""),"99. Distrito")</f>
        <v>99. Distrito</v>
      </c>
      <c r="H2426" s="55">
        <f ca="1">IFERROR(__xludf.DUMMYFUNCTION("""COMPUTED_VALUE"""),44630)</f>
        <v>44630</v>
      </c>
      <c r="I2426" s="25"/>
      <c r="J2426" s="55" t="str">
        <f ca="1">IFERROR(__xludf.DUMMYFUNCTION("""COMPUTED_VALUE"""),"Alta")</f>
        <v>Alta</v>
      </c>
      <c r="K2426" s="25">
        <f ca="1">IFERROR(__xludf.DUMMYFUNCTION("""COMPUTED_VALUE"""),30)</f>
        <v>30</v>
      </c>
      <c r="L2426" s="62">
        <f ca="1">IFERROR(__xludf.DUMMYFUNCTION("""COMPUTED_VALUE"""),44649)</f>
        <v>44649</v>
      </c>
      <c r="M2426" s="25" t="str">
        <f ca="1">IFERROR(__xludf.DUMMYFUNCTION("""COMPUTED_VALUE"""),"En concordancia con la Alcaldesa y la Secretaria General se estableció que el IDPC será la entidad idónea para ser el ente gestor del centro de Bogotá.")</f>
        <v>En concordancia con la Alcaldesa y la Secretaria General se estableció que el IDPC será la entidad idónea para ser el ente gestor del centro de Bogotá.</v>
      </c>
      <c r="N2426" s="55">
        <f ca="1">IFERROR(__xludf.DUMMYFUNCTION("""COMPUTED_VALUE"""),44649)</f>
        <v>44649</v>
      </c>
      <c r="O2426" s="25" t="str">
        <f t="shared" ca="1" si="0"/>
        <v>Fundación Gilberto Alzate Avendaño</v>
      </c>
      <c r="P2426" s="25" t="str">
        <f t="shared" si="2"/>
        <v/>
      </c>
      <c r="Q2426" s="25" t="str">
        <f ca="1">IFERROR(__xludf.DUMMYFUNCTION("""COMPUTED_VALUE"""),"Corto plazo")</f>
        <v>Corto plazo</v>
      </c>
      <c r="R2426" s="25"/>
      <c r="S2426" s="55"/>
      <c r="T2426" s="56"/>
      <c r="U2426" s="25"/>
      <c r="V2426" s="25"/>
      <c r="W2426" s="25"/>
      <c r="X2426" s="25"/>
      <c r="Y2426" s="25"/>
      <c r="Z2426" s="25"/>
    </row>
    <row r="2427" spans="1:26" ht="52.5" customHeight="1" x14ac:dyDescent="0.25">
      <c r="A2427" s="25" t="str">
        <f ca="1">IFERROR(__xludf.DUMMYFUNCTION("""COMPUTED_VALUE"""),"Cultu25")</f>
        <v>Cultu25</v>
      </c>
      <c r="B2427" s="25" t="str">
        <f ca="1">IFERROR(__xludf.DUMMYFUNCTION("""COMPUTED_VALUE"""),"Idartes Planes 2022")</f>
        <v>Idartes Planes 2022</v>
      </c>
      <c r="C2427" s="55">
        <f ca="1">IFERROR(__xludf.DUMMYFUNCTION("""COMPUTED_VALUE"""),44600)</f>
        <v>44600</v>
      </c>
      <c r="D2427" s="25" t="str">
        <f ca="1">IFERROR(__xludf.DUMMYFUNCTION("""COMPUTED_VALUE"""),"Cultura")</f>
        <v>Cultura</v>
      </c>
      <c r="E2427" s="25" t="str">
        <f ca="1">IFERROR(__xludf.DUMMYFUNCTION("""COMPUTED_VALUE"""),"Instituto Distrital de las Artes")</f>
        <v>Instituto Distrital de las Artes</v>
      </c>
      <c r="F2427" s="25" t="str">
        <f ca="1">IFERROR(__xludf.DUMMYFUNCTION("""COMPUTED_VALUE"""),"Unificar bono (Sello Joven, red de escenarios sostenibles y sustentables y territorios artísticos para el buen vivir)")</f>
        <v>Unificar bono (Sello Joven, red de escenarios sostenibles y sustentables y territorios artísticos para el buen vivir)</v>
      </c>
      <c r="G2427" s="25" t="str">
        <f ca="1">IFERROR(__xludf.DUMMYFUNCTION("""COMPUTED_VALUE"""),"99. Distrito")</f>
        <v>99. Distrito</v>
      </c>
      <c r="H2427" s="55">
        <f ca="1">IFERROR(__xludf.DUMMYFUNCTION("""COMPUTED_VALUE"""),44621)</f>
        <v>44621</v>
      </c>
      <c r="I2427" s="25"/>
      <c r="J2427" s="55" t="str">
        <f ca="1">IFERROR(__xludf.DUMMYFUNCTION("""COMPUTED_VALUE"""),"Alta")</f>
        <v>Alta</v>
      </c>
      <c r="K2427" s="25">
        <f ca="1">IFERROR(__xludf.DUMMYFUNCTION("""COMPUTED_VALUE"""),21)</f>
        <v>21</v>
      </c>
      <c r="L2427" s="62">
        <f ca="1">IFERROR(__xludf.DUMMYFUNCTION("""COMPUTED_VALUE"""),44627)</f>
        <v>44627</v>
      </c>
      <c r="M2427" s="25" t="str">
        <f ca="1">IFERROR(__xludf.DUMMYFUNCTION("""COMPUTED_VALUE"""),"Se brindaron lineamientos por parte del Secretario de cultura el día 28 de febrero, en la biblioteca Virgilio Barco. Idartes transmitió las orientaciones al Comité Directivo, el 1 de marzo para adelantar las acciones correspondientes materia de comunicaci"&amp;"ones y las acciones tácticas que desarrollan los diferentes equipos de la entidad")</f>
        <v>Se brindaron lineamientos por parte del Secretario de cultura el día 28 de febrero, en la biblioteca Virgilio Barco. Idartes transmitió las orientaciones al Comité Directivo, el 1 de marzo para adelantar las acciones correspondientes materia de comunicaciones y las acciones tácticas que desarrollan los diferentes equipos de la entidad</v>
      </c>
      <c r="N2427" s="55">
        <f ca="1">IFERROR(__xludf.DUMMYFUNCTION("""COMPUTED_VALUE"""),44627)</f>
        <v>44627</v>
      </c>
      <c r="O2427" s="25" t="str">
        <f t="shared" ca="1" si="0"/>
        <v>Instituto Distrital de las Artes</v>
      </c>
      <c r="P2427" s="25" t="str">
        <f t="shared" si="2"/>
        <v/>
      </c>
      <c r="Q2427" s="25" t="str">
        <f ca="1">IFERROR(__xludf.DUMMYFUNCTION("""COMPUTED_VALUE"""),"Corto plazo")</f>
        <v>Corto plazo</v>
      </c>
      <c r="R2427" s="25"/>
      <c r="S2427" s="55"/>
      <c r="T2427" s="56"/>
      <c r="U2427" s="25"/>
      <c r="V2427" s="25"/>
      <c r="W2427" s="25"/>
      <c r="X2427" s="25"/>
      <c r="Y2427" s="25"/>
      <c r="Z2427" s="25"/>
    </row>
    <row r="2428" spans="1:26" ht="52.5" customHeight="1" x14ac:dyDescent="0.25">
      <c r="A2428" s="25" t="str">
        <f ca="1">IFERROR(__xludf.DUMMYFUNCTION("""COMPUTED_VALUE"""),"Cultu26")</f>
        <v>Cultu26</v>
      </c>
      <c r="B2428" s="25" t="str">
        <f ca="1">IFERROR(__xludf.DUMMYFUNCTION("""COMPUTED_VALUE"""),"Idartes Planes 2022")</f>
        <v>Idartes Planes 2022</v>
      </c>
      <c r="C2428" s="55">
        <f ca="1">IFERROR(__xludf.DUMMYFUNCTION("""COMPUTED_VALUE"""),44600)</f>
        <v>44600</v>
      </c>
      <c r="D2428" s="25" t="str">
        <f ca="1">IFERROR(__xludf.DUMMYFUNCTION("""COMPUTED_VALUE"""),"Cultura")</f>
        <v>Cultura</v>
      </c>
      <c r="E2428" s="25" t="str">
        <f ca="1">IFERROR(__xludf.DUMMYFUNCTION("""COMPUTED_VALUE"""),"Instituto Distrital de las Artes")</f>
        <v>Instituto Distrital de las Artes</v>
      </c>
      <c r="F2428" s="25" t="str">
        <f ca="1">IFERROR(__xludf.DUMMYFUNCTION("""COMPUTED_VALUE"""),"Empaquetar todo en la sombrilla de cultura ciudadana (Bogotá está mejorando).")</f>
        <v>Empaquetar todo en la sombrilla de cultura ciudadana (Bogotá está mejorando).</v>
      </c>
      <c r="G2428" s="25" t="str">
        <f ca="1">IFERROR(__xludf.DUMMYFUNCTION("""COMPUTED_VALUE"""),"99. Distrito")</f>
        <v>99. Distrito</v>
      </c>
      <c r="H2428" s="55">
        <f ca="1">IFERROR(__xludf.DUMMYFUNCTION("""COMPUTED_VALUE"""),44621)</f>
        <v>44621</v>
      </c>
      <c r="I2428" s="25"/>
      <c r="J2428" s="55" t="str">
        <f ca="1">IFERROR(__xludf.DUMMYFUNCTION("""COMPUTED_VALUE"""),"Alta")</f>
        <v>Alta</v>
      </c>
      <c r="K2428" s="25">
        <f ca="1">IFERROR(__xludf.DUMMYFUNCTION("""COMPUTED_VALUE"""),21)</f>
        <v>21</v>
      </c>
      <c r="L2428" s="62">
        <f ca="1">IFERROR(__xludf.DUMMYFUNCTION("""COMPUTED_VALUE"""),44627)</f>
        <v>44627</v>
      </c>
      <c r="M2428" s="25" t="str">
        <f ca="1">IFERROR(__xludf.DUMMYFUNCTION("""COMPUTED_VALUE"""),"Se brindaron lineamientos por parte del Secretario de cultura el día 28 de febrero, en la biblioteca Virgilio Barco. Idartes transmitió las orientaciones al Comité Directivo, el 1 de marzo para adelantar las acciones correspondientes materia de comunicaci"&amp;"ones y las acciones tácticas que desarrollan los diferentes equipos de la entidad")</f>
        <v>Se brindaron lineamientos por parte del Secretario de cultura el día 28 de febrero, en la biblioteca Virgilio Barco. Idartes transmitió las orientaciones al Comité Directivo, el 1 de marzo para adelantar las acciones correspondientes materia de comunicaciones y las acciones tácticas que desarrollan los diferentes equipos de la entidad</v>
      </c>
      <c r="N2428" s="55">
        <f ca="1">IFERROR(__xludf.DUMMYFUNCTION("""COMPUTED_VALUE"""),44627)</f>
        <v>44627</v>
      </c>
      <c r="O2428" s="25" t="str">
        <f t="shared" ca="1" si="0"/>
        <v>Instituto Distrital de las Artes</v>
      </c>
      <c r="P2428" s="25" t="str">
        <f t="shared" si="2"/>
        <v/>
      </c>
      <c r="Q2428" s="25" t="str">
        <f ca="1">IFERROR(__xludf.DUMMYFUNCTION("""COMPUTED_VALUE"""),"Corto plazo")</f>
        <v>Corto plazo</v>
      </c>
      <c r="R2428" s="25"/>
      <c r="S2428" s="55"/>
      <c r="T2428" s="56"/>
      <c r="U2428" s="25"/>
      <c r="V2428" s="25"/>
      <c r="W2428" s="25"/>
      <c r="X2428" s="25"/>
      <c r="Y2428" s="25"/>
      <c r="Z2428" s="25"/>
    </row>
    <row r="2429" spans="1:26" ht="52.5" customHeight="1" x14ac:dyDescent="0.25">
      <c r="A2429" s="25" t="str">
        <f ca="1">IFERROR(__xludf.DUMMYFUNCTION("""COMPUTED_VALUE"""),"Cultu27")</f>
        <v>Cultu27</v>
      </c>
      <c r="B2429" s="25" t="str">
        <f ca="1">IFERROR(__xludf.DUMMYFUNCTION("""COMPUTED_VALUE"""),"Idartes Planes 2022")</f>
        <v>Idartes Planes 2022</v>
      </c>
      <c r="C2429" s="55">
        <f ca="1">IFERROR(__xludf.DUMMYFUNCTION("""COMPUTED_VALUE"""),44600)</f>
        <v>44600</v>
      </c>
      <c r="D2429" s="25" t="str">
        <f ca="1">IFERROR(__xludf.DUMMYFUNCTION("""COMPUTED_VALUE"""),"Cultura")</f>
        <v>Cultura</v>
      </c>
      <c r="E2429" s="25" t="str">
        <f ca="1">IFERROR(__xludf.DUMMYFUNCTION("""COMPUTED_VALUE"""),"Secretaría Distrital de Cultura, Recreación y Deporte")</f>
        <v>Secretaría Distrital de Cultura, Recreación y Deporte</v>
      </c>
      <c r="F2429" s="25" t="str">
        <f ca="1">IFERROR(__xludf.DUMMYFUNCTION("""COMPUTED_VALUE"""),"Presentar programación articulada y agrupada como sector para los 3 momentos críticos (abril, agosto y diciembre)")</f>
        <v>Presentar programación articulada y agrupada como sector para los 3 momentos críticos (abril, agosto y diciembre)</v>
      </c>
      <c r="G2429" s="25" t="str">
        <f ca="1">IFERROR(__xludf.DUMMYFUNCTION("""COMPUTED_VALUE"""),"99. Distrito")</f>
        <v>99. Distrito</v>
      </c>
      <c r="H2429" s="55">
        <f ca="1">IFERROR(__xludf.DUMMYFUNCTION("""COMPUTED_VALUE"""),44621)</f>
        <v>44621</v>
      </c>
      <c r="I2429" s="25"/>
      <c r="J2429" s="55" t="str">
        <f ca="1">IFERROR(__xludf.DUMMYFUNCTION("""COMPUTED_VALUE"""),"Alta")</f>
        <v>Alta</v>
      </c>
      <c r="K2429" s="25">
        <f ca="1">IFERROR(__xludf.DUMMYFUNCTION("""COMPUTED_VALUE"""),21)</f>
        <v>21</v>
      </c>
      <c r="L2429" s="62">
        <f ca="1">IFERROR(__xludf.DUMMYFUNCTION("""COMPUTED_VALUE"""),44627)</f>
        <v>44627</v>
      </c>
      <c r="M2429" s="25" t="str">
        <f ca="1">IFERROR(__xludf.DUMMYFUNCTION("""COMPUTED_VALUE"""),"Se remitió la matriz que contiene los eventos destacados y tiene en cuenta todo el panorama del idartes.")</f>
        <v>Se remitió la matriz que contiene los eventos destacados y tiene en cuenta todo el panorama del idartes.</v>
      </c>
      <c r="N2429" s="55">
        <f ca="1">IFERROR(__xludf.DUMMYFUNCTION("""COMPUTED_VALUE"""),44627)</f>
        <v>44627</v>
      </c>
      <c r="O2429" s="25" t="str">
        <f t="shared" ca="1" si="0"/>
        <v>Secretaría Distrital de Cultura, Recreación y Deporte</v>
      </c>
      <c r="P2429" s="25" t="str">
        <f t="shared" si="2"/>
        <v/>
      </c>
      <c r="Q2429" s="25" t="str">
        <f ca="1">IFERROR(__xludf.DUMMYFUNCTION("""COMPUTED_VALUE"""),"Corto plazo")</f>
        <v>Corto plazo</v>
      </c>
      <c r="R2429" s="25"/>
      <c r="S2429" s="55"/>
      <c r="T2429" s="56"/>
      <c r="U2429" s="25"/>
      <c r="V2429" s="25"/>
      <c r="W2429" s="25"/>
      <c r="X2429" s="25"/>
      <c r="Y2429" s="25"/>
      <c r="Z2429" s="25"/>
    </row>
    <row r="2430" spans="1:26" ht="52.5" customHeight="1" x14ac:dyDescent="0.25">
      <c r="A2430" s="25" t="str">
        <f ca="1">IFERROR(__xludf.DUMMYFUNCTION("""COMPUTED_VALUE"""),"Cultu28")</f>
        <v>Cultu28</v>
      </c>
      <c r="B2430" s="25" t="str">
        <f ca="1">IFERROR(__xludf.DUMMYFUNCTION("""COMPUTED_VALUE"""),"IDPC y FUGA Planes 2022")</f>
        <v>IDPC y FUGA Planes 2022</v>
      </c>
      <c r="C2430" s="55">
        <f ca="1">IFERROR(__xludf.DUMMYFUNCTION("""COMPUTED_VALUE"""),44600)</f>
        <v>44600</v>
      </c>
      <c r="D2430" s="25" t="str">
        <f ca="1">IFERROR(__xludf.DUMMYFUNCTION("""COMPUTED_VALUE"""),"Cultura")</f>
        <v>Cultura</v>
      </c>
      <c r="E2430" s="25" t="str">
        <f ca="1">IFERROR(__xludf.DUMMYFUNCTION("""COMPUTED_VALUE"""),"Instituto Distrital del Patrimonio Cultural")</f>
        <v>Instituto Distrital del Patrimonio Cultural</v>
      </c>
      <c r="F2430" s="25" t="str">
        <f ca="1">IFERROR(__xludf.DUMMYFUNCTION("""COMPUTED_VALUE"""),"Gestionar la declaratoria de patrimonio inmaterial de las políticas de movilidad sostenible con la bicicleta como eje central; el cuidado enclave equidad de género y el ecourbanismo, además del festival del sol y la luna.")</f>
        <v>Gestionar la declaratoria de patrimonio inmaterial de las políticas de movilidad sostenible con la bicicleta como eje central; el cuidado enclave equidad de género y el ecourbanismo, además del festival del sol y la luna.</v>
      </c>
      <c r="G2430" s="25" t="str">
        <f ca="1">IFERROR(__xludf.DUMMYFUNCTION("""COMPUTED_VALUE"""),"99. Distrito")</f>
        <v>99. Distrito</v>
      </c>
      <c r="H2430" s="55">
        <f ca="1">IFERROR(__xludf.DUMMYFUNCTION("""COMPUTED_VALUE"""),44630)</f>
        <v>44630</v>
      </c>
      <c r="I2430" s="25"/>
      <c r="J2430" s="55" t="str">
        <f ca="1">IFERROR(__xludf.DUMMYFUNCTION("""COMPUTED_VALUE"""),"Alta")</f>
        <v>Alta</v>
      </c>
      <c r="K2430" s="25">
        <f ca="1">IFERROR(__xludf.DUMMYFUNCTION("""COMPUTED_VALUE"""),30)</f>
        <v>30</v>
      </c>
      <c r="L2430" s="62">
        <f ca="1">IFERROR(__xludf.DUMMYFUNCTION("""COMPUTED_VALUE"""),45077)</f>
        <v>45077</v>
      </c>
      <c r="M2430" s="25" t="str">
        <f ca="1">IFERROR(__xludf.DUMMYFUNCTION("""COMPUTED_VALUE"""),"a. Bici
Desde el 2020, el IDPC,  en conjunto con la Secretaría Distrital de Movilidad y la Secretaría Distrital de la Mujer, ha adelantado el proceso de reconocimiento de la Cultura bogotana de los usos y disfrutes de la bicicleta como patrimonio de la c"&amp;"iudad, a través de su inclusión en la Lista representativa de patrimonio cultural inmaterial (LRPCID). Este proceso parte de la necesidad de visibilizar, valorar, salvaguardar y fortalecer la gestión de la Cultura bogotana de los usos y disfrutes de la bi"&amp;"cicleta, como referente del patrimonio cultural inmaterial y la memoria colectiva a nivel distrital. La cultura de los usos y disfrutes de la bicicleta se entiende como un complejo sistema cultural y patrimonial asociado al uso y disfrute de la bicicleta "&amp;"como sistema de movilidad en un contexto urbano como el bogotano, que involucra economías populares, estructuras organizativas y comunitarias y formas de habitar el territorio urbano y construir la memoria colectiva de la ciudad. Así mismo se destaca el i"&amp;"mportante papel de las mujeres y las luchas por el derecho a la ciudad y el espacio público, a través de diversas formas de activismo feminista en torno a la bici. 
b. Festival Jizca chia zue del pueblo música de Bosa (o Festival del sol y la luna). 
"&amp;"El festival del sol y la luna o “Jizca Chía Zhue” corresponde a una celebración de la comunidad indígena Muisca de Bosa que integra diferentes actividades y prácticas culturales en un ciclo anual de celebración. Se ha realizado de forma ininterrumpida des"&amp;"de el año 2001, en el marco del proceso de reivindicación étnica y fortalecimiento cultural del pueblo Muisca en la ciudad. En el marco del cumplimiento a los acuerdos de Consulta Previa del plan parcial El edén-El descanso,  desde 2020 el IDPC viene acom"&amp;"pañando el proceso de inclusión de este Festival en la LRPCID.  En este sentido, se busca destacar la importancia de este festival para la comunidad muisca de Bosa,  en tanto que en esta celebración, confluyen diversos elementos de la identidad y la terri"&amp;"torialidad muisca en la localidad de Bosa. ")</f>
        <v xml:space="preserve">a. Bici
Desde el 2020, el IDPC,  en conjunto con la Secretaría Distrital de Movilidad y la Secretaría Distrital de la Mujer, ha adelantado el proceso de reconocimiento de la Cultura bogotana de los usos y disfrutes de la bicicleta como patrimonio de la ciudad, a través de su inclusión en la Lista representativa de patrimonio cultural inmaterial (LRPCID). Este proceso parte de la necesidad de visibilizar, valorar, salvaguardar y fortalecer la gestión de la Cultura bogotana de los usos y disfrutes de la bicicleta, como referente del patrimonio cultural inmaterial y la memoria colectiva a nivel distrital. La cultura de los usos y disfrutes de la bicicleta se entiende como un complejo sistema cultural y patrimonial asociado al uso y disfrute de la bicicleta como sistema de movilidad en un contexto urbano como el bogotano, que involucra economías populares, estructuras organizativas y comunitarias y formas de habitar el territorio urbano y construir la memoria colectiva de la ciudad. Así mismo se destaca el importante papel de las mujeres y las luchas por el derecho a la ciudad y el espacio público, a través de diversas formas de activismo feminista en torno a la bici. 
b. Festival Jizca chia zue del pueblo música de Bosa (o Festival del sol y la luna). 
El festival del sol y la luna o “Jizca Chía Zhue” corresponde a una celebración de la comunidad indígena Muisca de Bosa que integra diferentes actividades y prácticas culturales en un ciclo anual de celebración. Se ha realizado de forma ininterrumpida desde el año 2001, en el marco del proceso de reivindicación étnica y fortalecimiento cultural del pueblo Muisca en la ciudad. En el marco del cumplimiento a los acuerdos de Consulta Previa del plan parcial El edén-El descanso,  desde 2020 el IDPC viene acompañando el proceso de inclusión de este Festival en la LRPCID.  En este sentido, se busca destacar la importancia de este festival para la comunidad muisca de Bosa,  en tanto que en esta celebración, confluyen diversos elementos de la identidad y la territorialidad muisca en la localidad de Bosa. </v>
      </c>
      <c r="N2430" s="55">
        <f ca="1">IFERROR(__xludf.DUMMYFUNCTION("""COMPUTED_VALUE"""),44927)</f>
        <v>44927</v>
      </c>
      <c r="O2430" s="25" t="str">
        <f t="shared" ca="1" si="0"/>
        <v>Instituto Distrital del Patrimonio Cultural</v>
      </c>
      <c r="P2430" s="25" t="str">
        <f t="shared" si="2"/>
        <v/>
      </c>
      <c r="Q2430" s="25" t="str">
        <f ca="1">IFERROR(__xludf.DUMMYFUNCTION("""COMPUTED_VALUE"""),"Corto plazo")</f>
        <v>Corto plazo</v>
      </c>
      <c r="R2430" s="25"/>
      <c r="S2430" s="55"/>
      <c r="T2430" s="56"/>
      <c r="U2430" s="25"/>
      <c r="V2430" s="25"/>
      <c r="W2430" s="25"/>
      <c r="X2430" s="25"/>
      <c r="Y2430" s="25"/>
      <c r="Z2430" s="25"/>
    </row>
    <row r="2431" spans="1:26" ht="52.5" customHeight="1" x14ac:dyDescent="0.25">
      <c r="A2431" s="25" t="str">
        <f ca="1">IFERROR(__xludf.DUMMYFUNCTION("""COMPUTED_VALUE"""),"Cultu29")</f>
        <v>Cultu29</v>
      </c>
      <c r="B2431" s="25" t="str">
        <f ca="1">IFERROR(__xludf.DUMMYFUNCTION("""COMPUTED_VALUE"""),"IDPC y FUGA Planes 2022")</f>
        <v>IDPC y FUGA Planes 2022</v>
      </c>
      <c r="C2431" s="55">
        <f ca="1">IFERROR(__xludf.DUMMYFUNCTION("""COMPUTED_VALUE"""),44600)</f>
        <v>44600</v>
      </c>
      <c r="D2431" s="25" t="str">
        <f ca="1">IFERROR(__xludf.DUMMYFUNCTION("""COMPUTED_VALUE"""),"Cultura")</f>
        <v>Cultura</v>
      </c>
      <c r="E2431" s="25" t="str">
        <f ca="1">IFERROR(__xludf.DUMMYFUNCTION("""COMPUTED_VALUE"""),"Instituto Distrital del Patrimonio Cultural")</f>
        <v>Instituto Distrital del Patrimonio Cultural</v>
      </c>
      <c r="F2431" s="25" t="str">
        <f ca="1">IFERROR(__xludf.DUMMYFUNCTION("""COMPUTED_VALUE"""),"PEMP Teusaquillo y Bosa: aplicar la noción más amplia a la plaza y 3 cuadras.")</f>
        <v>PEMP Teusaquillo y Bosa: aplicar la noción más amplia a la plaza y 3 cuadras.</v>
      </c>
      <c r="G2431" s="25" t="str">
        <f ca="1">IFERROR(__xludf.DUMMYFUNCTION("""COMPUTED_VALUE"""),"99. Distrito")</f>
        <v>99. Distrito</v>
      </c>
      <c r="H2431" s="55">
        <f ca="1">IFERROR(__xludf.DUMMYFUNCTION("""COMPUTED_VALUE"""),44630)</f>
        <v>44630</v>
      </c>
      <c r="I2431" s="25"/>
      <c r="J2431" s="55" t="str">
        <f ca="1">IFERROR(__xludf.DUMMYFUNCTION("""COMPUTED_VALUE"""),"Alta")</f>
        <v>Alta</v>
      </c>
      <c r="K2431" s="25">
        <f ca="1">IFERROR(__xludf.DUMMYFUNCTION("""COMPUTED_VALUE"""),30)</f>
        <v>30</v>
      </c>
      <c r="L2431" s="62">
        <f ca="1">IFERROR(__xludf.DUMMYFUNCTION("""COMPUTED_VALUE"""),44644)</f>
        <v>44644</v>
      </c>
      <c r="M2431" s="25" t="str">
        <f ca="1">IFERROR(__xludf.DUMMYFUNCTION("""COMPUTED_VALUE"""),"En relación con el PEMP  de Bosa reconocemos formas de habitar el territorio a partir de las prácticas culturales y su relación con el sistema hídrico. Por ello se propone ampliar el ámbito PEMP más allá de las nueve manzanas que constituyen el Sector Ant"&amp;"iguo. Adicionalmente, se incorporan unas áreas de reconocimiento en articulación con la Estructura Integradora de Patrimonios establecida por el POT.
Para Teusaquillo no aplica por cuanto la estructura urbana del sector no corresponde al modelo colonial e"&amp;"n torno a una plaza, sin embargo el PEMP aumenta el área de protección incluyendo los barrios de la Soledad, Palermo y Gran América en aras de preservar los distintos patrimonios localizados allí.
")</f>
        <v xml:space="preserve">En relación con el PEMP  de Bosa reconocemos formas de habitar el territorio a partir de las prácticas culturales y su relación con el sistema hídrico. Por ello se propone ampliar el ámbito PEMP más allá de las nueve manzanas que constituyen el Sector Antiguo. Adicionalmente, se incorporan unas áreas de reconocimiento en articulación con la Estructura Integradora de Patrimonios establecida por el POT.
Para Teusaquillo no aplica por cuanto la estructura urbana del sector no corresponde al modelo colonial en torno a una plaza, sin embargo el PEMP aumenta el área de protección incluyendo los barrios de la Soledad, Palermo y Gran América en aras de preservar los distintos patrimonios localizados allí.
</v>
      </c>
      <c r="N2431" s="55">
        <f ca="1">IFERROR(__xludf.DUMMYFUNCTION("""COMPUTED_VALUE"""),44644)</f>
        <v>44644</v>
      </c>
      <c r="O2431" s="25" t="str">
        <f t="shared" ca="1" si="0"/>
        <v>Instituto Distrital del Patrimonio Cultural</v>
      </c>
      <c r="P2431" s="25" t="str">
        <f t="shared" si="2"/>
        <v/>
      </c>
      <c r="Q2431" s="25" t="str">
        <f ca="1">IFERROR(__xludf.DUMMYFUNCTION("""COMPUTED_VALUE"""),"Corto plazo")</f>
        <v>Corto plazo</v>
      </c>
      <c r="R2431" s="25"/>
      <c r="S2431" s="55"/>
      <c r="T2431" s="56"/>
      <c r="U2431" s="25"/>
      <c r="V2431" s="25"/>
      <c r="W2431" s="25"/>
      <c r="X2431" s="25"/>
      <c r="Y2431" s="25"/>
      <c r="Z2431" s="25"/>
    </row>
    <row r="2432" spans="1:26" ht="52.5" customHeight="1" x14ac:dyDescent="0.25">
      <c r="A2432" s="25" t="str">
        <f ca="1">IFERROR(__xludf.DUMMYFUNCTION("""COMPUTED_VALUE"""),"Cultu30")</f>
        <v>Cultu30</v>
      </c>
      <c r="B2432" s="25" t="str">
        <f ca="1">IFERROR(__xludf.DUMMYFUNCTION("""COMPUTED_VALUE"""),"Reunión Juegos parapanamericanos IDRD, MinDeporte")</f>
        <v>Reunión Juegos parapanamericanos IDRD, MinDeporte</v>
      </c>
      <c r="C2432" s="55">
        <f ca="1">IFERROR(__xludf.DUMMYFUNCTION("""COMPUTED_VALUE"""),44586)</f>
        <v>44586</v>
      </c>
      <c r="D2432" s="25" t="str">
        <f ca="1">IFERROR(__xludf.DUMMYFUNCTION("""COMPUTED_VALUE"""),"Cultura")</f>
        <v>Cultura</v>
      </c>
      <c r="E2432" s="25" t="str">
        <f ca="1">IFERROR(__xludf.DUMMYFUNCTION("""COMPUTED_VALUE"""),"Instituto Distrital de Recreación y Deporte")</f>
        <v>Instituto Distrital de Recreación y Deporte</v>
      </c>
      <c r="F2432" s="25" t="str">
        <f ca="1">IFERROR(__xludf.DUMMYFUNCTION("""COMPUTED_VALUE"""),"Revisar apoyo en hoteles y alimentación para los Juegos parapanamericanos. En el próximo Consejo Distrital de Turismo (23 de feb), presentar en concreto la necesidad de hotelería y alimentación, con el fin de buscar apoyo del sector privado")</f>
        <v>Revisar apoyo en hoteles y alimentación para los Juegos parapanamericanos. En el próximo Consejo Distrital de Turismo (23 de feb), presentar en concreto la necesidad de hotelería y alimentación, con el fin de buscar apoyo del sector privado</v>
      </c>
      <c r="G2432" s="25" t="str">
        <f ca="1">IFERROR(__xludf.DUMMYFUNCTION("""COMPUTED_VALUE"""),"99. Distrito")</f>
        <v>99. Distrito</v>
      </c>
      <c r="H2432" s="55">
        <f ca="1">IFERROR(__xludf.DUMMYFUNCTION("""COMPUTED_VALUE"""),44601)</f>
        <v>44601</v>
      </c>
      <c r="I2432" s="25"/>
      <c r="J2432" s="55" t="str">
        <f ca="1">IFERROR(__xludf.DUMMYFUNCTION("""COMPUTED_VALUE"""),"Alta")</f>
        <v>Alta</v>
      </c>
      <c r="K2432" s="25">
        <f ca="1">IFERROR(__xludf.DUMMYFUNCTION("""COMPUTED_VALUE"""),15)</f>
        <v>15</v>
      </c>
      <c r="L2432" s="62">
        <f ca="1">IFERROR(__xludf.DUMMYFUNCTION("""COMPUTED_VALUE"""),44810)</f>
        <v>44810</v>
      </c>
      <c r="M2432" s="25" t="str">
        <f ca="1">IFERROR(__xludf.DUMMYFUNCTION("""COMPUTED_VALUE"""),"Se comparte por parte de la organización de los juegos información general de las necesidades para el consejo de turismo el 28 de febrero. IDT lidera una reunión el 17 de marzo para introducir enlaces y equipo de trabajo para apoyar el tema. Se hace segun"&amp;"da reunión el 20 de abril en IDT con acompañamiento de IDRD dejando tareas pendientes para organización de juegos. Se suspenden actividades hasta que no se firmara el convenio de ciudad. Se busca reactivar mesas de trabajo el 31 de agosto. Nueva fecha de "&amp;"juegos 2 al 12 de junio de 2023.")</f>
        <v>Se comparte por parte de la organización de los juegos información general de las necesidades para el consejo de turismo el 28 de febrero. IDT lidera una reunión el 17 de marzo para introducir enlaces y equipo de trabajo para apoyar el tema. Se hace segunda reunión el 20 de abril en IDT con acompañamiento de IDRD dejando tareas pendientes para organización de juegos. Se suspenden actividades hasta que no se firmara el convenio de ciudad. Se busca reactivar mesas de trabajo el 31 de agosto. Nueva fecha de juegos 2 al 12 de junio de 2023.</v>
      </c>
      <c r="N2432" s="55">
        <f ca="1">IFERROR(__xludf.DUMMYFUNCTION("""COMPUTED_VALUE"""),44810)</f>
        <v>44810</v>
      </c>
      <c r="O2432" s="25" t="str">
        <f t="shared" ca="1" si="0"/>
        <v>Instituto Distrital de Recreación y Deporte</v>
      </c>
      <c r="P2432" s="25" t="str">
        <f t="shared" si="2"/>
        <v/>
      </c>
      <c r="Q2432" s="25" t="str">
        <f ca="1">IFERROR(__xludf.DUMMYFUNCTION("""COMPUTED_VALUE"""),"Corto plazo")</f>
        <v>Corto plazo</v>
      </c>
      <c r="R2432" s="25"/>
      <c r="S2432" s="55"/>
      <c r="T2432" s="56"/>
      <c r="U2432" s="25"/>
      <c r="V2432" s="25"/>
      <c r="W2432" s="25"/>
      <c r="X2432" s="25"/>
      <c r="Y2432" s="25"/>
      <c r="Z2432" s="25"/>
    </row>
    <row r="2433" spans="1:26" ht="52.5" customHeight="1" x14ac:dyDescent="0.25">
      <c r="A2433" s="25" t="str">
        <f ca="1">IFERROR(__xludf.DUMMYFUNCTION("""COMPUTED_VALUE"""),"Cultu31")</f>
        <v>Cultu31</v>
      </c>
      <c r="B2433" s="25" t="str">
        <f ca="1">IFERROR(__xludf.DUMMYFUNCTION("""COMPUTED_VALUE"""),"Reunión Juegos parapanamericanos IDRD, MinDeporte")</f>
        <v>Reunión Juegos parapanamericanos IDRD, MinDeporte</v>
      </c>
      <c r="C2433" s="55">
        <f ca="1">IFERROR(__xludf.DUMMYFUNCTION("""COMPUTED_VALUE"""),44586)</f>
        <v>44586</v>
      </c>
      <c r="D2433" s="25" t="str">
        <f ca="1">IFERROR(__xludf.DUMMYFUNCTION("""COMPUTED_VALUE"""),"Cultura")</f>
        <v>Cultura</v>
      </c>
      <c r="E2433" s="25" t="str">
        <f ca="1">IFERROR(__xludf.DUMMYFUNCTION("""COMPUTED_VALUE"""),"Instituto Distrital de Recreación y Deporte")</f>
        <v>Instituto Distrital de Recreación y Deporte</v>
      </c>
      <c r="F2433" s="25" t="str">
        <f ca="1">IFERROR(__xludf.DUMMYFUNCTION("""COMPUTED_VALUE"""),"Divulgación y comunicaciones  para los Juegos parapanamericanos. Pensar con Henry Murrain en una campaña de comunicaciones en función de la cultura ciudadana, de emoción e inclusión. Incluir a Idartes")</f>
        <v>Divulgación y comunicaciones  para los Juegos parapanamericanos. Pensar con Henry Murrain en una campaña de comunicaciones en función de la cultura ciudadana, de emoción e inclusión. Incluir a Idartes</v>
      </c>
      <c r="G2433" s="25" t="str">
        <f ca="1">IFERROR(__xludf.DUMMYFUNCTION("""COMPUTED_VALUE"""),"99. Distrito")</f>
        <v>99. Distrito</v>
      </c>
      <c r="H2433" s="55">
        <f ca="1">IFERROR(__xludf.DUMMYFUNCTION("""COMPUTED_VALUE"""),44616)</f>
        <v>44616</v>
      </c>
      <c r="I2433" s="25"/>
      <c r="J2433" s="55" t="str">
        <f ca="1">IFERROR(__xludf.DUMMYFUNCTION("""COMPUTED_VALUE"""),"Alta")</f>
        <v>Alta</v>
      </c>
      <c r="K2433" s="25">
        <f ca="1">IFERROR(__xludf.DUMMYFUNCTION("""COMPUTED_VALUE"""),30)</f>
        <v>30</v>
      </c>
      <c r="L2433" s="62">
        <f ca="1">IFERROR(__xludf.DUMMYFUNCTION("""COMPUTED_VALUE"""),44810)</f>
        <v>44810</v>
      </c>
      <c r="M2433" s="25" t="str">
        <f ca="1">IFERROR(__xludf.DUMMYFUNCTION("""COMPUTED_VALUE"""),"Los juegos se aplazaron para 2023. Se están reactivando las mesas de trabajo. Se está a la espera de la entrega de plan de acción de la organización los juegos teniendo en cuenta la nueva fecha. Se está buscando agentes para la presentación del plan de co"&amp;"municaciones por parte del equipo de juegos para la segunda semana de septiembre y así socializar con otras entidades del sector cultura.")</f>
        <v>Los juegos se aplazaron para 2023. Se están reactivando las mesas de trabajo. Se está a la espera de la entrega de plan de acción de la organización los juegos teniendo en cuenta la nueva fecha. Se está buscando agentes para la presentación del plan de comunicaciones por parte del equipo de juegos para la segunda semana de septiembre y así socializar con otras entidades del sector cultura.</v>
      </c>
      <c r="N2433" s="55">
        <f ca="1">IFERROR(__xludf.DUMMYFUNCTION("""COMPUTED_VALUE"""),44810)</f>
        <v>44810</v>
      </c>
      <c r="O2433" s="25" t="str">
        <f t="shared" ca="1" si="0"/>
        <v>Instituto Distrital de Recreación y Deporte</v>
      </c>
      <c r="P2433" s="25" t="str">
        <f t="shared" si="2"/>
        <v/>
      </c>
      <c r="Q2433" s="25" t="str">
        <f ca="1">IFERROR(__xludf.DUMMYFUNCTION("""COMPUTED_VALUE"""),"Corto plazo")</f>
        <v>Corto plazo</v>
      </c>
      <c r="R2433" s="25"/>
      <c r="S2433" s="55"/>
      <c r="T2433" s="56"/>
      <c r="U2433" s="25"/>
      <c r="V2433" s="25"/>
      <c r="W2433" s="25"/>
      <c r="X2433" s="25"/>
      <c r="Y2433" s="25"/>
      <c r="Z2433" s="25"/>
    </row>
    <row r="2434" spans="1:26" ht="52.5" customHeight="1" x14ac:dyDescent="0.25">
      <c r="A2434" s="25" t="str">
        <f ca="1">IFERROR(__xludf.DUMMYFUNCTION("""COMPUTED_VALUE"""),"Cultu32")</f>
        <v>Cultu32</v>
      </c>
      <c r="B2434" s="25" t="str">
        <f ca="1">IFERROR(__xludf.DUMMYFUNCTION("""COMPUTED_VALUE"""),"Consejo de Gobierno ampliado")</f>
        <v>Consejo de Gobierno ampliado</v>
      </c>
      <c r="C2434" s="55">
        <f ca="1">IFERROR(__xludf.DUMMYFUNCTION("""COMPUTED_VALUE"""),44544)</f>
        <v>44544</v>
      </c>
      <c r="D2434" s="25" t="str">
        <f ca="1">IFERROR(__xludf.DUMMYFUNCTION("""COMPUTED_VALUE"""),"Cultura")</f>
        <v>Cultura</v>
      </c>
      <c r="E2434" s="25" t="str">
        <f ca="1">IFERROR(__xludf.DUMMYFUNCTION("""COMPUTED_VALUE"""),"Instituto Distrital de Recreación y Deporte")</f>
        <v>Instituto Distrital de Recreación y Deporte</v>
      </c>
      <c r="F2434" s="25" t="str">
        <f ca="1">IFERROR(__xludf.DUMMYFUNCTION("""COMPUTED_VALUE"""),"Definir cómo se puede unir de la calle 50 a la NQS del Humedal del Salitre para que se pueda convertir en un parque lineal")</f>
        <v>Definir cómo se puede unir de la calle 50 a la NQS del Humedal del Salitre para que se pueda convertir en un parque lineal</v>
      </c>
      <c r="G2434" s="25" t="str">
        <f ca="1">IFERROR(__xludf.DUMMYFUNCTION("""COMPUTED_VALUE"""),"99. Distrito")</f>
        <v>99. Distrito</v>
      </c>
      <c r="H2434" s="55">
        <f ca="1">IFERROR(__xludf.DUMMYFUNCTION("""COMPUTED_VALUE"""),44574)</f>
        <v>44574</v>
      </c>
      <c r="I2434" s="25"/>
      <c r="J2434" s="55" t="str">
        <f ca="1">IFERROR(__xludf.DUMMYFUNCTION("""COMPUTED_VALUE"""),"Alta")</f>
        <v>Alta</v>
      </c>
      <c r="K2434" s="25">
        <f ca="1">IFERROR(__xludf.DUMMYFUNCTION("""COMPUTED_VALUE"""),30)</f>
        <v>30</v>
      </c>
      <c r="L2434" s="62"/>
      <c r="M2434" s="25" t="str">
        <f ca="1">IFERROR(__xludf.DUMMYFUNCTION("""COMPUTED_VALUE"""),"Desde el sector consideramos que esta tarea podría ser de competencia de otro sector ")</f>
        <v xml:space="preserve">Desde el sector consideramos que esta tarea podría ser de competencia de otro sector </v>
      </c>
      <c r="N2434" s="55">
        <f ca="1">IFERROR(__xludf.DUMMYFUNCTION("""COMPUTED_VALUE"""),44927)</f>
        <v>44927</v>
      </c>
      <c r="O2434" s="25" t="str">
        <f t="shared" ca="1" si="0"/>
        <v>Instituto Distrital de Recreación y Deporte</v>
      </c>
      <c r="P2434" s="25" t="str">
        <f t="shared" si="2"/>
        <v/>
      </c>
      <c r="Q2434" s="25" t="str">
        <f ca="1">IFERROR(__xludf.DUMMYFUNCTION("""COMPUTED_VALUE"""),"Corto plazo")</f>
        <v>Corto plazo</v>
      </c>
      <c r="R2434" s="25"/>
      <c r="S2434" s="55"/>
      <c r="T2434" s="56"/>
      <c r="U2434" s="25"/>
      <c r="V2434" s="25"/>
      <c r="W2434" s="25"/>
      <c r="X2434" s="25"/>
      <c r="Y2434" s="25"/>
      <c r="Z2434" s="25"/>
    </row>
    <row r="2435" spans="1:26" ht="52.5" customHeight="1" x14ac:dyDescent="0.25">
      <c r="A2435" s="25" t="str">
        <f ca="1">IFERROR(__xludf.DUMMYFUNCTION("""COMPUTED_VALUE"""),"Cultu33")</f>
        <v>Cultu33</v>
      </c>
      <c r="B2435" s="25" t="str">
        <f ca="1">IFERROR(__xludf.DUMMYFUNCTION("""COMPUTED_VALUE"""),"Consejo de Gobierno ampliado")</f>
        <v>Consejo de Gobierno ampliado</v>
      </c>
      <c r="C2435" s="55">
        <f ca="1">IFERROR(__xludf.DUMMYFUNCTION("""COMPUTED_VALUE"""),44544)</f>
        <v>44544</v>
      </c>
      <c r="D2435" s="25" t="str">
        <f ca="1">IFERROR(__xludf.DUMMYFUNCTION("""COMPUTED_VALUE"""),"Cultura")</f>
        <v>Cultura</v>
      </c>
      <c r="E2435" s="25" t="str">
        <f ca="1">IFERROR(__xludf.DUMMYFUNCTION("""COMPUTED_VALUE"""),"Secretaría Distrital de Cultura, Recreación y Deporte")</f>
        <v>Secretaría Distrital de Cultura, Recreación y Deporte</v>
      </c>
      <c r="F2435" s="25" t="str">
        <f ca="1">IFERROR(__xludf.DUMMYFUNCTION("""COMPUTED_VALUE"""),"Articular toda la oferta cultural entre todas las entidades, en especial, desde el segundo semestre 2022")</f>
        <v>Articular toda la oferta cultural entre todas las entidades, en especial, desde el segundo semestre 2022</v>
      </c>
      <c r="G2435" s="25" t="str">
        <f ca="1">IFERROR(__xludf.DUMMYFUNCTION("""COMPUTED_VALUE"""),"99. Distrito")</f>
        <v>99. Distrito</v>
      </c>
      <c r="H2435" s="55">
        <f ca="1">IFERROR(__xludf.DUMMYFUNCTION("""COMPUTED_VALUE"""),44574)</f>
        <v>44574</v>
      </c>
      <c r="I2435" s="25"/>
      <c r="J2435" s="55" t="str">
        <f ca="1">IFERROR(__xludf.DUMMYFUNCTION("""COMPUTED_VALUE"""),"Alta")</f>
        <v>Alta</v>
      </c>
      <c r="K2435" s="25">
        <f ca="1">IFERROR(__xludf.DUMMYFUNCTION("""COMPUTED_VALUE"""),30)</f>
        <v>30</v>
      </c>
      <c r="L2435" s="62">
        <f ca="1">IFERROR(__xludf.DUMMYFUNCTION("""COMPUTED_VALUE"""),44627)</f>
        <v>44627</v>
      </c>
      <c r="M2435" s="25" t="str">
        <f ca="1">IFERROR(__xludf.DUMMYFUNCTION("""COMPUTED_VALUE"""),"Se elaboró una matriz de programación conjunta de todas las entidades del sector concentrando la oferta para ser divulgada y ejecutada en el marco de la estrategia distrital. Dicha programación, además, se compartió con Sec. Gobierno para poder formular a"&amp;"cciones conjuntas. ")</f>
        <v xml:space="preserve">Se elaboró una matriz de programación conjunta de todas las entidades del sector concentrando la oferta para ser divulgada y ejecutada en el marco de la estrategia distrital. Dicha programación, además, se compartió con Sec. Gobierno para poder formular acciones conjuntas. </v>
      </c>
      <c r="N2435" s="55">
        <f ca="1">IFERROR(__xludf.DUMMYFUNCTION("""COMPUTED_VALUE"""),44627)</f>
        <v>44627</v>
      </c>
      <c r="O2435" s="25" t="str">
        <f t="shared" ca="1" si="0"/>
        <v>Secretaría Distrital de Cultura, Recreación y Deporte</v>
      </c>
      <c r="P2435" s="25" t="str">
        <f t="shared" si="2"/>
        <v/>
      </c>
      <c r="Q2435" s="25" t="str">
        <f ca="1">IFERROR(__xludf.DUMMYFUNCTION("""COMPUTED_VALUE"""),"Corto plazo")</f>
        <v>Corto plazo</v>
      </c>
      <c r="R2435" s="25"/>
      <c r="S2435" s="55"/>
      <c r="T2435" s="56"/>
      <c r="U2435" s="25"/>
      <c r="V2435" s="25"/>
      <c r="W2435" s="25"/>
      <c r="X2435" s="25"/>
      <c r="Y2435" s="25"/>
      <c r="Z2435" s="25"/>
    </row>
    <row r="2436" spans="1:26" ht="52.5" customHeight="1" x14ac:dyDescent="0.25">
      <c r="A2436" s="25" t="str">
        <f ca="1">IFERROR(__xludf.DUMMYFUNCTION("""COMPUTED_VALUE"""),"Cultu34")</f>
        <v>Cultu34</v>
      </c>
      <c r="B2436" s="25" t="str">
        <f ca="1">IFERROR(__xludf.DUMMYFUNCTION("""COMPUTED_VALUE"""),"Recorrido Puente Aranda")</f>
        <v>Recorrido Puente Aranda</v>
      </c>
      <c r="C2436" s="55">
        <f ca="1">IFERROR(__xludf.DUMMYFUNCTION("""COMPUTED_VALUE"""),44534)</f>
        <v>44534</v>
      </c>
      <c r="D2436" s="25" t="str">
        <f ca="1">IFERROR(__xludf.DUMMYFUNCTION("""COMPUTED_VALUE"""),"Cultura")</f>
        <v>Cultura</v>
      </c>
      <c r="E2436" s="25" t="str">
        <f ca="1">IFERROR(__xludf.DUMMYFUNCTION("""COMPUTED_VALUE"""),"Secretaría Distrital de Cultura, Recreación y Deporte")</f>
        <v>Secretaría Distrital de Cultura, Recreación y Deporte</v>
      </c>
      <c r="F2436" s="25" t="str">
        <f ca="1">IFERROR(__xludf.DUMMYFUNCTION("""COMPUTED_VALUE"""),"Hacer un plan de capacitación donde se articule la Secretaría de Cultura con la Secretaría de Salud para tratar temas de salud mental a los gestores de deporte de Puente Aranda")</f>
        <v>Hacer un plan de capacitación donde se articule la Secretaría de Cultura con la Secretaría de Salud para tratar temas de salud mental a los gestores de deporte de Puente Aranda</v>
      </c>
      <c r="G2436" s="55" t="str">
        <f ca="1">IFERROR(__xludf.DUMMYFUNCTION("""COMPUTED_VALUE"""),"16. Puente Aranda")</f>
        <v>16. Puente Aranda</v>
      </c>
      <c r="H2436" s="55">
        <f ca="1">IFERROR(__xludf.DUMMYFUNCTION("""COMPUTED_VALUE"""),44564)</f>
        <v>44564</v>
      </c>
      <c r="I2436" s="25"/>
      <c r="J2436" s="55" t="str">
        <f ca="1">IFERROR(__xludf.DUMMYFUNCTION("""COMPUTED_VALUE"""),"Alta")</f>
        <v>Alta</v>
      </c>
      <c r="K2436" s="25">
        <f ca="1">IFERROR(__xludf.DUMMYFUNCTION("""COMPUTED_VALUE"""),30)</f>
        <v>30</v>
      </c>
      <c r="L2436" s="62"/>
      <c r="M2436" s="25" t="str">
        <f ca="1">IFERROR(__xludf.DUMMYFUNCTION("""COMPUTED_VALUE"""),"La Subsecretaría no tiene la competencia sobre capacitaciones de salud mental, sin embargo ha venido llevando a cabo las acciones de cultura ciudadana para comportamientos de cuidado COVID. Se ejecuta la estrategia Aves Cuidadoras dirigida a  los servidor"&amp;"@s  del Distrito de los 15 sectores para ser cooperadores en cultura ciudadana.  La estrategia viene de 2020 , parte de la estrategia ALAS A un Ala de Distancia. Para el 2021, con la apuesta por los detalles que salvan, fue necesario hacer un salto narrat"&amp;"ivo que facilitara el aprendizaje de los mensajes de cuidado en las oficinas del sector público. Se diseñó y  publicó Cartilla pedagógica como una guía para la prevención y el cuidado para servidores y servidoras del Distrito, donde se reiteraba el mapa m"&amp;"ental del contagio del Covid 19, las medidas de cuidado que salvan y cómo se puede hacer regulación amable en el entorno laboral y de trabajo en casa. Se construyó un plan de acción articulado con el Departamento Administrativo de Servicio Civil que buscó"&amp;" vincular y mantener interesados a los servidores y servidoras en la estrategia. 
Se establecieron así cinco (5) retos de auto y cuidado mutuo, los cuales fueron presentados en la primera jornada de formación al grupo de Aves Cuidadoras; este ejercicio co"&amp;"ntó con la planeación, difusión y seguimiento correspondiente a cada acción en los tiempos establecidos para ello. En el 2021 se vincularon 131 servidores públicos a la estrategia 
")</f>
        <v xml:space="preserve">La Subsecretaría no tiene la competencia sobre capacitaciones de salud mental, sin embargo ha venido llevando a cabo las acciones de cultura ciudadana para comportamientos de cuidado COVID. Se ejecuta la estrategia Aves Cuidadoras dirigida a  los servidor@s  del Distrito de los 15 sectores para ser cooperadores en cultura ciudadana.  La estrategia viene de 2020 , parte de la estrategia ALAS A un Ala de Distancia. Para el 2021, con la apuesta por los detalles que salvan, fue necesario hacer un salto narrativo que facilitara el aprendizaje de los mensajes de cuidado en las oficinas del sector público. Se diseñó y  publicó Cartilla pedagógica como una guía para la prevención y el cuidado para servidores y servidoras del Distrito, donde se reiteraba el mapa mental del contagio del Covid 19, las medidas de cuidado que salvan y cómo se puede hacer regulación amable en el entorno laboral y de trabajo en casa. Se construyó un plan de acción articulado con el Departamento Administrativo de Servicio Civil que buscó vincular y mantener interesados a los servidores y servidoras en la estrategia. 
Se establecieron así cinco (5) retos de auto y cuidado mutuo, los cuales fueron presentados en la primera jornada de formación al grupo de Aves Cuidadoras; este ejercicio contó con la planeación, difusión y seguimiento correspondiente a cada acción en los tiempos establecidos para ello. En el 2021 se vincularon 131 servidores públicos a la estrategia 
</v>
      </c>
      <c r="N2436" s="55">
        <f ca="1">IFERROR(__xludf.DUMMYFUNCTION("""COMPUTED_VALUE"""),44927)</f>
        <v>44927</v>
      </c>
      <c r="O2436" s="25" t="str">
        <f t="shared" ca="1" si="0"/>
        <v>Secretaría Distrital de Cultura, Recreación y Deporte</v>
      </c>
      <c r="P2436" s="25" t="str">
        <f t="shared" si="2"/>
        <v/>
      </c>
      <c r="Q2436" s="25" t="str">
        <f ca="1">IFERROR(__xludf.DUMMYFUNCTION("""COMPUTED_VALUE"""),"Corto plazo")</f>
        <v>Corto plazo</v>
      </c>
      <c r="R2436" s="25"/>
      <c r="S2436" s="55"/>
      <c r="T2436" s="56"/>
      <c r="U2436" s="25"/>
      <c r="V2436" s="25"/>
      <c r="W2436" s="25"/>
      <c r="X2436" s="25"/>
      <c r="Y2436" s="25"/>
      <c r="Z2436" s="25"/>
    </row>
    <row r="2437" spans="1:26" ht="52.5" customHeight="1" x14ac:dyDescent="0.25">
      <c r="A2437" s="25" t="str">
        <f ca="1">IFERROR(__xludf.DUMMYFUNCTION("""COMPUTED_VALUE"""),"Cultu35")</f>
        <v>Cultu35</v>
      </c>
      <c r="B2437" s="25" t="str">
        <f ca="1">IFERROR(__xludf.DUMMYFUNCTION("""COMPUTED_VALUE"""),"Recorrido Puente Aranda")</f>
        <v>Recorrido Puente Aranda</v>
      </c>
      <c r="C2437" s="55">
        <f ca="1">IFERROR(__xludf.DUMMYFUNCTION("""COMPUTED_VALUE"""),44534)</f>
        <v>44534</v>
      </c>
      <c r="D2437" s="25" t="str">
        <f ca="1">IFERROR(__xludf.DUMMYFUNCTION("""COMPUTED_VALUE"""),"Cultura")</f>
        <v>Cultura</v>
      </c>
      <c r="E2437" s="25" t="str">
        <f ca="1">IFERROR(__xludf.DUMMYFUNCTION("""COMPUTED_VALUE"""),"Instituto Distrital de Recreación y Deporte")</f>
        <v>Instituto Distrital de Recreación y Deporte</v>
      </c>
      <c r="F2437" s="25" t="str">
        <f ca="1">IFERROR(__xludf.DUMMYFUNCTION("""COMPUTED_VALUE"""),"Averiguar el proceso del parque Santa Matilde e incluirlo en presupuesto 2023")</f>
        <v>Averiguar el proceso del parque Santa Matilde e incluirlo en presupuesto 2023</v>
      </c>
      <c r="G2437" s="55" t="str">
        <f ca="1">IFERROR(__xludf.DUMMYFUNCTION("""COMPUTED_VALUE"""),"16. Puente Aranda")</f>
        <v>16. Puente Aranda</v>
      </c>
      <c r="H2437" s="55">
        <f ca="1">IFERROR(__xludf.DUMMYFUNCTION("""COMPUTED_VALUE"""),44564)</f>
        <v>44564</v>
      </c>
      <c r="I2437" s="25"/>
      <c r="J2437" s="55" t="str">
        <f ca="1">IFERROR(__xludf.DUMMYFUNCTION("""COMPUTED_VALUE"""),"Alta")</f>
        <v>Alta</v>
      </c>
      <c r="K2437" s="25">
        <f ca="1">IFERROR(__xludf.DUMMYFUNCTION("""COMPUTED_VALUE"""),30)</f>
        <v>30</v>
      </c>
      <c r="L2437" s="62">
        <f ca="1">IFERROR(__xludf.DUMMYFUNCTION("""COMPUTED_VALUE"""),44810)</f>
        <v>44810</v>
      </c>
      <c r="M2437" s="25" t="str">
        <f ca="1">IFERROR(__xludf.DUMMYFUNCTION("""COMPUTED_VALUE"""),"Parque privado que actualmente está vendiendo la Central de Inversiones CISA SAS, se consultó  el valor del inmueble y su valor es de $13.500.000.000, se solicitó en el anteproyecto 2023 los recursos para la compra de este predio.")</f>
        <v>Parque privado que actualmente está vendiendo la Central de Inversiones CISA SAS, se consultó  el valor del inmueble y su valor es de $13.500.000.000, se solicitó en el anteproyecto 2023 los recursos para la compra de este predio.</v>
      </c>
      <c r="N2437" s="55">
        <f ca="1">IFERROR(__xludf.DUMMYFUNCTION("""COMPUTED_VALUE"""),44810)</f>
        <v>44810</v>
      </c>
      <c r="O2437" s="25" t="str">
        <f t="shared" ca="1" si="0"/>
        <v>Instituto Distrital de Recreación y Deporte</v>
      </c>
      <c r="P2437" s="25" t="str">
        <f t="shared" si="2"/>
        <v/>
      </c>
      <c r="Q2437" s="25" t="str">
        <f ca="1">IFERROR(__xludf.DUMMYFUNCTION("""COMPUTED_VALUE"""),"Corto plazo")</f>
        <v>Corto plazo</v>
      </c>
      <c r="R2437" s="25"/>
      <c r="S2437" s="55"/>
      <c r="T2437" s="56"/>
      <c r="U2437" s="25"/>
      <c r="V2437" s="25"/>
      <c r="W2437" s="25"/>
      <c r="X2437" s="25"/>
      <c r="Y2437" s="25"/>
      <c r="Z2437" s="25"/>
    </row>
    <row r="2438" spans="1:26" ht="52.5" customHeight="1" x14ac:dyDescent="0.25">
      <c r="A2438" s="25" t="str">
        <f ca="1">IFERROR(__xludf.DUMMYFUNCTION("""COMPUTED_VALUE"""),"Cultu36")</f>
        <v>Cultu36</v>
      </c>
      <c r="B2438" s="25" t="str">
        <f ca="1">IFERROR(__xludf.DUMMYFUNCTION("""COMPUTED_VALUE"""),"Recorrido Chapinero - Usaquén")</f>
        <v>Recorrido Chapinero - Usaquén</v>
      </c>
      <c r="C2438" s="55">
        <f ca="1">IFERROR(__xludf.DUMMYFUNCTION("""COMPUTED_VALUE"""),44533)</f>
        <v>44533</v>
      </c>
      <c r="D2438" s="25" t="str">
        <f ca="1">IFERROR(__xludf.DUMMYFUNCTION("""COMPUTED_VALUE"""),"Cultura")</f>
        <v>Cultura</v>
      </c>
      <c r="E2438" s="25" t="str">
        <f ca="1">IFERROR(__xludf.DUMMYFUNCTION("""COMPUTED_VALUE"""),"Instituto Distrital de las Artes")</f>
        <v>Instituto Distrital de las Artes</v>
      </c>
      <c r="F2438" s="25" t="str">
        <f ca="1">IFERROR(__xludf.DUMMYFUNCTION("""COMPUTED_VALUE"""),"Hablar con el alcalde de Chapinero  e IDARTES para adelantar un proceso de arte en el parque de los Hippies")</f>
        <v>Hablar con el alcalde de Chapinero  e IDARTES para adelantar un proceso de arte en el parque de los Hippies</v>
      </c>
      <c r="G2438" s="55" t="str">
        <f ca="1">IFERROR(__xludf.DUMMYFUNCTION("""COMPUTED_VALUE"""),"02. Chapinero")</f>
        <v>02. Chapinero</v>
      </c>
      <c r="H2438" s="55">
        <f ca="1">IFERROR(__xludf.DUMMYFUNCTION("""COMPUTED_VALUE"""),44563)</f>
        <v>44563</v>
      </c>
      <c r="I2438" s="25"/>
      <c r="J2438" s="55" t="str">
        <f ca="1">IFERROR(__xludf.DUMMYFUNCTION("""COMPUTED_VALUE"""),"Alta")</f>
        <v>Alta</v>
      </c>
      <c r="K2438" s="25">
        <f ca="1">IFERROR(__xludf.DUMMYFUNCTION("""COMPUTED_VALUE"""),30)</f>
        <v>30</v>
      </c>
      <c r="L2438" s="62">
        <f ca="1">IFERROR(__xludf.DUMMYFUNCTION("""COMPUTED_VALUE"""),44620)</f>
        <v>44620</v>
      </c>
      <c r="M2438" s="25" t="str">
        <f ca="1">IFERROR(__xludf.DUMMYFUNCTION("""COMPUTED_VALUE"""),"A inicios de febrero Gobierno, Seguridad, DADEP y la alcaldía local intervinieron el parque de los Hippies, realizando limpieza de la zona, y pintura de bancas y postes. Así como la intervención de un muro con figuras geométricas, realizado con el apoyo d"&amp;"e jóvenes del programa de Defensores del Espacio Público del DADEP.
Adicionalmente, Idartes en coordinación con IDRD, UAESP y alcaldía local realizará la intervención de este parque; no obstante, Idartes  presenta problemas de presupuesto que hace necesar"&amp;"io priorizar sus intervenciones.")</f>
        <v>A inicios de febrero Gobierno, Seguridad, DADEP y la alcaldía local intervinieron el parque de los Hippies, realizando limpieza de la zona, y pintura de bancas y postes. Así como la intervención de un muro con figuras geométricas, realizado con el apoyo de jóvenes del programa de Defensores del Espacio Público del DADEP.
Adicionalmente, Idartes en coordinación con IDRD, UAESP y alcaldía local realizará la intervención de este parque; no obstante, Idartes  presenta problemas de presupuesto que hace necesario priorizar sus intervenciones.</v>
      </c>
      <c r="N2438" s="55">
        <f ca="1">IFERROR(__xludf.DUMMYFUNCTION("""COMPUTED_VALUE"""),44620)</f>
        <v>44620</v>
      </c>
      <c r="O2438" s="25" t="str">
        <f t="shared" ca="1" si="0"/>
        <v>Instituto Distrital de las Artes</v>
      </c>
      <c r="P2438" s="25" t="str">
        <f t="shared" si="2"/>
        <v/>
      </c>
      <c r="Q2438" s="25" t="str">
        <f ca="1">IFERROR(__xludf.DUMMYFUNCTION("""COMPUTED_VALUE"""),"Corto plazo")</f>
        <v>Corto plazo</v>
      </c>
      <c r="R2438" s="25"/>
      <c r="S2438" s="55"/>
      <c r="T2438" s="56"/>
      <c r="U2438" s="25"/>
      <c r="V2438" s="25"/>
      <c r="W2438" s="25"/>
      <c r="X2438" s="25"/>
      <c r="Y2438" s="25"/>
      <c r="Z2438" s="25"/>
    </row>
    <row r="2439" spans="1:26" ht="52.5" customHeight="1" x14ac:dyDescent="0.25">
      <c r="A2439" s="25" t="str">
        <f ca="1">IFERROR(__xludf.DUMMYFUNCTION("""COMPUTED_VALUE"""),"Cultu37")</f>
        <v>Cultu37</v>
      </c>
      <c r="B2439" s="25" t="str">
        <f ca="1">IFERROR(__xludf.DUMMYFUNCTION("""COMPUTED_VALUE"""),"Reunión Cultura Ciudadana")</f>
        <v>Reunión Cultura Ciudadana</v>
      </c>
      <c r="C2439" s="55">
        <f ca="1">IFERROR(__xludf.DUMMYFUNCTION("""COMPUTED_VALUE"""),44467)</f>
        <v>44467</v>
      </c>
      <c r="D2439" s="25" t="str">
        <f ca="1">IFERROR(__xludf.DUMMYFUNCTION("""COMPUTED_VALUE"""),"Cultura")</f>
        <v>Cultura</v>
      </c>
      <c r="E2439" s="25" t="str">
        <f ca="1">IFERROR(__xludf.DUMMYFUNCTION("""COMPUTED_VALUE"""),"Secretaría Distrital de Cultura, Recreación y Deporte")</f>
        <v>Secretaría Distrital de Cultura, Recreación y Deporte</v>
      </c>
      <c r="F2439" s="25" t="str">
        <f ca="1">IFERROR(__xludf.DUMMYFUNCTION("""COMPUTED_VALUE"""),"Crear Comité Técnico de buenas prácticas que garantice la integralidad y revista la institucionalidad del observatorio de cultura ciudadana (medición, encuestas)")</f>
        <v>Crear Comité Técnico de buenas prácticas que garantice la integralidad y revista la institucionalidad del observatorio de cultura ciudadana (medición, encuestas)</v>
      </c>
      <c r="G2439" s="25" t="str">
        <f ca="1">IFERROR(__xludf.DUMMYFUNCTION("""COMPUTED_VALUE"""),"99. Distrito")</f>
        <v>99. Distrito</v>
      </c>
      <c r="H2439" s="55">
        <f ca="1">IFERROR(__xludf.DUMMYFUNCTION("""COMPUTED_VALUE"""),44497)</f>
        <v>44497</v>
      </c>
      <c r="I2439" s="25"/>
      <c r="J2439" s="55" t="str">
        <f ca="1">IFERROR(__xludf.DUMMYFUNCTION("""COMPUTED_VALUE"""),"Alta")</f>
        <v>Alta</v>
      </c>
      <c r="K2439" s="25">
        <f ca="1">IFERROR(__xludf.DUMMYFUNCTION("""COMPUTED_VALUE"""),30)</f>
        <v>30</v>
      </c>
      <c r="L2439" s="62"/>
      <c r="M2439" s="25" t="str">
        <f ca="1">IFERROR(__xludf.DUMMYFUNCTION("""COMPUTED_VALUE"""),"*Se firmó por parte del Secretario de Cultura, la Resolución 525 del 27 de Julio de 2021 con alcance sectorial, con el fin de establecer un comité de gestión del conocimiento, que tiene entre otras funciones ""Brindar insumos para la formulación de las po"&amp;"líticas y las actividades de gestión del conocimiento del sector, insumos que facilitan el seguimiento y control a la ejecución de políticas y actividades sectoriales"".
")</f>
        <v xml:space="preserve">*Se firmó por parte del Secretario de Cultura, la Resolución 525 del 27 de Julio de 2021 con alcance sectorial, con el fin de establecer un comité de gestión del conocimiento, que tiene entre otras funciones "Brindar insumos para la formulación de las políticas y las actividades de gestión del conocimiento del sector, insumos que facilitan el seguimiento y control a la ejecución de políticas y actividades sectoriales".
</v>
      </c>
      <c r="N2439" s="55">
        <f ca="1">IFERROR(__xludf.DUMMYFUNCTION("""COMPUTED_VALUE"""),44927)</f>
        <v>44927</v>
      </c>
      <c r="O2439" s="25" t="str">
        <f t="shared" ca="1" si="0"/>
        <v>Secretaría Distrital de Cultura, Recreación y Deporte</v>
      </c>
      <c r="P2439" s="25" t="str">
        <f t="shared" si="2"/>
        <v/>
      </c>
      <c r="Q2439" s="25" t="str">
        <f ca="1">IFERROR(__xludf.DUMMYFUNCTION("""COMPUTED_VALUE"""),"Corto plazo")</f>
        <v>Corto plazo</v>
      </c>
      <c r="R2439" s="25"/>
      <c r="S2439" s="55"/>
      <c r="T2439" s="56"/>
      <c r="U2439" s="25"/>
      <c r="V2439" s="25"/>
      <c r="W2439" s="25"/>
      <c r="X2439" s="25"/>
      <c r="Y2439" s="25"/>
      <c r="Z2439" s="25"/>
    </row>
    <row r="2440" spans="1:26" ht="52.5" customHeight="1" x14ac:dyDescent="0.25">
      <c r="A2440" s="25" t="str">
        <f ca="1">IFERROR(__xludf.DUMMYFUNCTION("""COMPUTED_VALUE"""),"Cultu38")</f>
        <v>Cultu38</v>
      </c>
      <c r="B2440" s="25" t="str">
        <f ca="1">IFERROR(__xludf.DUMMYFUNCTION("""COMPUTED_VALUE"""),"Reunión Cultura Ciudadana")</f>
        <v>Reunión Cultura Ciudadana</v>
      </c>
      <c r="C2440" s="55">
        <f ca="1">IFERROR(__xludf.DUMMYFUNCTION("""COMPUTED_VALUE"""),44467)</f>
        <v>44467</v>
      </c>
      <c r="D2440" s="25" t="str">
        <f ca="1">IFERROR(__xludf.DUMMYFUNCTION("""COMPUTED_VALUE"""),"Cultura")</f>
        <v>Cultura</v>
      </c>
      <c r="E2440" s="25" t="str">
        <f ca="1">IFERROR(__xludf.DUMMYFUNCTION("""COMPUTED_VALUE"""),"Secretaría Distrital de Cultura, Recreación y Deporte")</f>
        <v>Secretaría Distrital de Cultura, Recreación y Deporte</v>
      </c>
      <c r="F2440" s="25" t="str">
        <f ca="1">IFERROR(__xludf.DUMMYFUNCTION("""COMPUTED_VALUE"""),"Ampliar el concepto de cultura ambiental que no se centre solo en reciclaje e incluye más temas de calidad del aire.")</f>
        <v>Ampliar el concepto de cultura ambiental que no se centre solo en reciclaje e incluye más temas de calidad del aire.</v>
      </c>
      <c r="G2440" s="25" t="str">
        <f ca="1">IFERROR(__xludf.DUMMYFUNCTION("""COMPUTED_VALUE"""),"99. Distrito")</f>
        <v>99. Distrito</v>
      </c>
      <c r="H2440" s="55">
        <f ca="1">IFERROR(__xludf.DUMMYFUNCTION("""COMPUTED_VALUE"""),44497)</f>
        <v>44497</v>
      </c>
      <c r="I2440" s="25"/>
      <c r="J2440" s="55" t="str">
        <f ca="1">IFERROR(__xludf.DUMMYFUNCTION("""COMPUTED_VALUE"""),"Alta")</f>
        <v>Alta</v>
      </c>
      <c r="K2440" s="25">
        <f ca="1">IFERROR(__xludf.DUMMYFUNCTION("""COMPUTED_VALUE"""),30)</f>
        <v>30</v>
      </c>
      <c r="L2440" s="62"/>
      <c r="M2440" s="25" t="str">
        <f ca="1">IFERROR(__xludf.DUMMYFUNCTION("""COMPUTED_VALUE"""),"Para la Subsecretaría de Cultura Ciudadana el concepto de cultura ambiental se refiere a la forma en la que los ciudadanos y ciudadanas nos relacionamos con el ambiente y todas las formas de vida y elementos que lo componen. Se parte de tres principios de"&amp;" trabajo: 1) reconocer las otras formas de vida con las que compartimos hábitat (Bogotá); 2) reconocernos como parte de un mismo sistema; 3) adoptar una perspectiva de ""circularidad"" en nuestros procesos y acciones humanas. La línea de trabajo del ámbit"&amp;"o de cultura ambiental se centra en: primero, reconocer los elementos que componen el ambiente; segundo, valorar el rol fundamental de cada uno de esos elementos; por último, invitar a comportamientos proambientales de cuidado (por ejemplo: separación de "&amp;"residuos, ahorro de energía, ahorro de agua, entre otros). En ese sentido, el Ámbito de Cultura Ambiental trabaja en diversas líneas temáticas: 
1. Calidad del aire: para la cual se formuló el enfoque de cultura ciudadana del Proyecto Zonas Urbanas por un"&amp;" Mejor Aire (ZUMA). Este proyecto iniciará su implementación a partir del 2022. Así mismo, en la última medición de factores culturales del Observatorio y Gestión del conocimiento Cultural se formularon preguntas orientadas a entender el relacionamiento d"&amp;"e la ciudadanía con la calidad del aire. Estos serán los insumos clave para la apuesta de cultura ciudadana en temas de calidad del aire en los próximos años. 
2. Reconocimiento y valoración de la biodiversidad: en esta temática se han venido realizando u"&amp;"na serie de conversaciones ciudadanas (Encuentro Todo Bien) para cambiar la narrativa de complejidad y regaño que existe alrededor de las conversaciones sobre cuidado y valoración de la biodiversidad. Estos espacios contaron con la participación de más de"&amp;" 2.000 personas durante el 2021. 
3. Cuidado del espacio público en condiciones de salubridad: una apuesta del equipo de cultura ambiental es entender el espacio público como parte del ambiente. Es por esto que desde este ámbito se trabaja en la estrategi"&amp;"a de cuidado del espacio público. Para esta temática se trabajó el tema de baños públicos y se contó con una acción de cultura ciudadana que invitaba a reconocer y cuidar los baños públicos y el espacio público de la ciudad. En esta acción participaron de"&amp;" forma presencial más de 31.000 personas y se logró un cambio de comportamiento: un aumento de 21% en el número de personas que reconocen y utilizan los baños públicos que participaron de esta acción. 
4. Gestión integral y sostenible de residuos: orienta"&amp;"das a la diversidad de comportamientos humanos que aportan a la adopción de un enfoque de economía circular: reducir consumo, reparar objetos, reutilizar objetos, separar nuestros residuos y reciclarlos. La acción más importante en este sentido fue la Bec"&amp;"a La basura no es basura, que contó con 8 iniciativas ganadoras y un alcance de más de 11.000 beneficiarios indirectos (a través de los proyectos de las iniciativas ganadoras)")</f>
        <v>Para la Subsecretaría de Cultura Ciudadana el concepto de cultura ambiental se refiere a la forma en la que los ciudadanos y ciudadanas nos relacionamos con el ambiente y todas las formas de vida y elementos que lo componen. Se parte de tres principios de trabajo: 1) reconocer las otras formas de vida con las que compartimos hábitat (Bogotá); 2) reconocernos como parte de un mismo sistema; 3) adoptar una perspectiva de "circularidad" en nuestros procesos y acciones humanas. La línea de trabajo del ámbito de cultura ambiental se centra en: primero, reconocer los elementos que componen el ambiente; segundo, valorar el rol fundamental de cada uno de esos elementos; por último, invitar a comportamientos proambientales de cuidado (por ejemplo: separación de residuos, ahorro de energía, ahorro de agua, entre otros). En ese sentido, el Ámbito de Cultura Ambiental trabaja en diversas líneas temáticas: 
1. Calidad del aire: para la cual se formuló el enfoque de cultura ciudadana del Proyecto Zonas Urbanas por un Mejor Aire (ZUMA). Este proyecto iniciará su implementación a partir del 2022. Así mismo, en la última medición de factores culturales del Observatorio y Gestión del conocimiento Cultural se formularon preguntas orientadas a entender el relacionamiento de la ciudadanía con la calidad del aire. Estos serán los insumos clave para la apuesta de cultura ciudadana en temas de calidad del aire en los próximos años. 
2. Reconocimiento y valoración de la biodiversidad: en esta temática se han venido realizando una serie de conversaciones ciudadanas (Encuentro Todo Bien) para cambiar la narrativa de complejidad y regaño que existe alrededor de las conversaciones sobre cuidado y valoración de la biodiversidad. Estos espacios contaron con la participación de más de 2.000 personas durante el 2021. 
3. Cuidado del espacio público en condiciones de salubridad: una apuesta del equipo de cultura ambiental es entender el espacio público como parte del ambiente. Es por esto que desde este ámbito se trabaja en la estrategia de cuidado del espacio público. Para esta temática se trabajó el tema de baños públicos y se contó con una acción de cultura ciudadana que invitaba a reconocer y cuidar los baños públicos y el espacio público de la ciudad. En esta acción participaron de forma presencial más de 31.000 personas y se logró un cambio de comportamiento: un aumento de 21% en el número de personas que reconocen y utilizan los baños públicos que participaron de esta acción. 
4. Gestión integral y sostenible de residuos: orientadas a la diversidad de comportamientos humanos que aportan a la adopción de un enfoque de economía circular: reducir consumo, reparar objetos, reutilizar objetos, separar nuestros residuos y reciclarlos. La acción más importante en este sentido fue la Beca La basura no es basura, que contó con 8 iniciativas ganadoras y un alcance de más de 11.000 beneficiarios indirectos (a través de los proyectos de las iniciativas ganadoras)</v>
      </c>
      <c r="N2440" s="55">
        <f ca="1">IFERROR(__xludf.DUMMYFUNCTION("""COMPUTED_VALUE"""),44927)</f>
        <v>44927</v>
      </c>
      <c r="O2440" s="25" t="str">
        <f t="shared" ca="1" si="0"/>
        <v>Secretaría Distrital de Cultura, Recreación y Deporte</v>
      </c>
      <c r="P2440" s="25" t="str">
        <f t="shared" si="2"/>
        <v/>
      </c>
      <c r="Q2440" s="25" t="str">
        <f ca="1">IFERROR(__xludf.DUMMYFUNCTION("""COMPUTED_VALUE"""),"Corto plazo")</f>
        <v>Corto plazo</v>
      </c>
      <c r="R2440" s="25"/>
      <c r="S2440" s="55"/>
      <c r="T2440" s="56"/>
      <c r="U2440" s="25"/>
      <c r="V2440" s="25"/>
      <c r="W2440" s="25"/>
      <c r="X2440" s="25"/>
      <c r="Y2440" s="25"/>
      <c r="Z2440" s="25"/>
    </row>
    <row r="2441" spans="1:26" ht="52.5" customHeight="1" x14ac:dyDescent="0.25">
      <c r="A2441" s="25" t="str">
        <f ca="1">IFERROR(__xludf.DUMMYFUNCTION("""COMPUTED_VALUE"""),"Cultu39")</f>
        <v>Cultu39</v>
      </c>
      <c r="B2441" s="25" t="str">
        <f ca="1">IFERROR(__xludf.DUMMYFUNCTION("""COMPUTED_VALUE"""),"Reunión Cultura Ciudadana")</f>
        <v>Reunión Cultura Ciudadana</v>
      </c>
      <c r="C2441" s="55">
        <f ca="1">IFERROR(__xludf.DUMMYFUNCTION("""COMPUTED_VALUE"""),44467)</f>
        <v>44467</v>
      </c>
      <c r="D2441" s="25" t="str">
        <f ca="1">IFERROR(__xludf.DUMMYFUNCTION("""COMPUTED_VALUE"""),"Cultura")</f>
        <v>Cultura</v>
      </c>
      <c r="E2441" s="25" t="str">
        <f ca="1">IFERROR(__xludf.DUMMYFUNCTION("""COMPUTED_VALUE"""),"Secretaría Distrital de Cultura, Recreación y Deporte")</f>
        <v>Secretaría Distrital de Cultura, Recreación y Deporte</v>
      </c>
      <c r="F2441" s="25" t="str">
        <f ca="1">IFERROR(__xludf.DUMMYFUNCTION("""COMPUTED_VALUE"""),"Incluir el cortometraje de línea calma en todo obra que proyecte Idartes (ejm: cinemateca-CEFE)")</f>
        <v>Incluir el cortometraje de línea calma en todo obra que proyecte Idartes (ejm: cinemateca-CEFE)</v>
      </c>
      <c r="G2441" s="25" t="str">
        <f ca="1">IFERROR(__xludf.DUMMYFUNCTION("""COMPUTED_VALUE"""),"99. Distrito")</f>
        <v>99. Distrito</v>
      </c>
      <c r="H2441" s="55">
        <f ca="1">IFERROR(__xludf.DUMMYFUNCTION("""COMPUTED_VALUE"""),44497)</f>
        <v>44497</v>
      </c>
      <c r="I2441" s="25"/>
      <c r="J2441" s="55" t="str">
        <f ca="1">IFERROR(__xludf.DUMMYFUNCTION("""COMPUTED_VALUE"""),"Alta")</f>
        <v>Alta</v>
      </c>
      <c r="K2441" s="25">
        <f ca="1">IFERROR(__xludf.DUMMYFUNCTION("""COMPUTED_VALUE"""),30)</f>
        <v>30</v>
      </c>
      <c r="L2441" s="62">
        <f ca="1">IFERROR(__xludf.DUMMYFUNCTION("""COMPUTED_VALUE"""),44790)</f>
        <v>44790</v>
      </c>
      <c r="M2441" s="25" t="str">
        <f ca="1">IFERROR(__xludf.DUMMYFUNCTION("""COMPUTED_VALUE"""),"Se ha avanzado en la articulación con IDARTES para la proyección de la miniserie Calma en fechas especiales, en este sentido se realizó la proyección de la Miniserie Calma el día del padre 19 de junio de 2022 y se generó un foro al respecto. Se está busca"&amp;"ndo llevar la Miniserie Calma y la Escuela de hombres al Cuidado a la cinemateca al parque. ")</f>
        <v xml:space="preserve">Se ha avanzado en la articulación con IDARTES para la proyección de la miniserie Calma en fechas especiales, en este sentido se realizó la proyección de la Miniserie Calma el día del padre 19 de junio de 2022 y se generó un foro al respecto. Se está buscando llevar la Miniserie Calma y la Escuela de hombres al Cuidado a la cinemateca al parque. </v>
      </c>
      <c r="N2441" s="55">
        <f ca="1">IFERROR(__xludf.DUMMYFUNCTION("""COMPUTED_VALUE"""),44790)</f>
        <v>44790</v>
      </c>
      <c r="O2441" s="25" t="str">
        <f t="shared" ca="1" si="0"/>
        <v>Secretaría Distrital de Cultura, Recreación y Deporte</v>
      </c>
      <c r="P2441" s="25" t="str">
        <f t="shared" si="2"/>
        <v/>
      </c>
      <c r="Q2441" s="25" t="str">
        <f ca="1">IFERROR(__xludf.DUMMYFUNCTION("""COMPUTED_VALUE"""),"Corto plazo")</f>
        <v>Corto plazo</v>
      </c>
      <c r="R2441" s="25"/>
      <c r="S2441" s="55"/>
      <c r="T2441" s="56"/>
      <c r="U2441" s="25"/>
      <c r="V2441" s="25"/>
      <c r="W2441" s="25"/>
      <c r="X2441" s="25"/>
      <c r="Y2441" s="25"/>
      <c r="Z2441" s="25"/>
    </row>
    <row r="2442" spans="1:26" ht="52.5" customHeight="1" x14ac:dyDescent="0.25">
      <c r="A2442" s="25" t="str">
        <f ca="1">IFERROR(__xludf.DUMMYFUNCTION("""COMPUTED_VALUE"""),"Cultu40")</f>
        <v>Cultu40</v>
      </c>
      <c r="B2442" s="25" t="str">
        <f ca="1">IFERROR(__xludf.DUMMYFUNCTION("""COMPUTED_VALUE"""),"Reunión Cultura Ciudadana")</f>
        <v>Reunión Cultura Ciudadana</v>
      </c>
      <c r="C2442" s="55">
        <f ca="1">IFERROR(__xludf.DUMMYFUNCTION("""COMPUTED_VALUE"""),44467)</f>
        <v>44467</v>
      </c>
      <c r="D2442" s="25" t="str">
        <f ca="1">IFERROR(__xludf.DUMMYFUNCTION("""COMPUTED_VALUE"""),"Cultura")</f>
        <v>Cultura</v>
      </c>
      <c r="E2442" s="25" t="str">
        <f ca="1">IFERROR(__xludf.DUMMYFUNCTION("""COMPUTED_VALUE"""),"Secretaría Distrital de Cultura, Recreación y Deporte")</f>
        <v>Secretaría Distrital de Cultura, Recreación y Deporte</v>
      </c>
      <c r="F2442" s="25" t="str">
        <f ca="1">IFERROR(__xludf.DUMMYFUNCTION("""COMPUTED_VALUE"""),"Incluir prevención de la mortalidad de los siniestros viales con Cultura Ciudadana")</f>
        <v>Incluir prevención de la mortalidad de los siniestros viales con Cultura Ciudadana</v>
      </c>
      <c r="G2442" s="25" t="str">
        <f ca="1">IFERROR(__xludf.DUMMYFUNCTION("""COMPUTED_VALUE"""),"99. Distrito")</f>
        <v>99. Distrito</v>
      </c>
      <c r="H2442" s="55">
        <f ca="1">IFERROR(__xludf.DUMMYFUNCTION("""COMPUTED_VALUE"""),44497)</f>
        <v>44497</v>
      </c>
      <c r="I2442" s="25"/>
      <c r="J2442" s="55" t="str">
        <f ca="1">IFERROR(__xludf.DUMMYFUNCTION("""COMPUTED_VALUE"""),"Alta")</f>
        <v>Alta</v>
      </c>
      <c r="K2442" s="25">
        <f ca="1">IFERROR(__xludf.DUMMYFUNCTION("""COMPUTED_VALUE"""),30)</f>
        <v>30</v>
      </c>
      <c r="L2442" s="62">
        <f ca="1">IFERROR(__xludf.DUMMYFUNCTION("""COMPUTED_VALUE"""),44790)</f>
        <v>44790</v>
      </c>
      <c r="M2442" s="25" t="str">
        <f ca="1">IFERROR(__xludf.DUMMYFUNCTION("""COMPUTED_VALUE"""),"Se avanzo en el diseño de propuestas gráficas que reemplazarán las ""estrellas negras"", dichas piezas buscan generar reflexión y sensibilización frente a estos siniestros. Posteriormente se realizaron 6 sondeos con grupos focales de familiares víctimas f"&amp;"allecidos de siniestros viales, ciudadanos y defensores de animales para tener sus observaciones y retroalimentación sobre estas propuestas gráficas.  
Se está solicitando la aprobación por parte del Ministerio de Transporte para lanzar la campaña con la"&amp;" ciudadanía,  esta aprobación esta a cargo de la Secretaría de Movilidad. 
Finalmente , la Subsecretaría de Cultura Ciudadana está estructurando la encuesta de Movilidad en la cual se están incluyendo preguntas frente a la seguridad vial que será aplicad"&amp;"a en 2023.  
")</f>
        <v xml:space="preserve">Se avanzo en el diseño de propuestas gráficas que reemplazarán las "estrellas negras", dichas piezas buscan generar reflexión y sensibilización frente a estos siniestros. Posteriormente se realizaron 6 sondeos con grupos focales de familiares víctimas fallecidos de siniestros viales, ciudadanos y defensores de animales para tener sus observaciones y retroalimentación sobre estas propuestas gráficas.  
Se está solicitando la aprobación por parte del Ministerio de Transporte para lanzar la campaña con la ciudadanía,  esta aprobación esta a cargo de la Secretaría de Movilidad. 
Finalmente , la Subsecretaría de Cultura Ciudadana está estructurando la encuesta de Movilidad en la cual se están incluyendo preguntas frente a la seguridad vial que será aplicada en 2023.  
</v>
      </c>
      <c r="N2442" s="55">
        <f ca="1">IFERROR(__xludf.DUMMYFUNCTION("""COMPUTED_VALUE"""),44790)</f>
        <v>44790</v>
      </c>
      <c r="O2442" s="25" t="str">
        <f t="shared" ca="1" si="0"/>
        <v>Secretaría Distrital de Cultura, Recreación y Deporte</v>
      </c>
      <c r="P2442" s="25" t="str">
        <f t="shared" si="2"/>
        <v/>
      </c>
      <c r="Q2442" s="25" t="str">
        <f ca="1">IFERROR(__xludf.DUMMYFUNCTION("""COMPUTED_VALUE"""),"Corto plazo")</f>
        <v>Corto plazo</v>
      </c>
      <c r="R2442" s="25"/>
      <c r="S2442" s="55"/>
      <c r="T2442" s="56"/>
      <c r="U2442" s="25"/>
      <c r="V2442" s="25"/>
      <c r="W2442" s="25"/>
      <c r="X2442" s="25"/>
      <c r="Y2442" s="25"/>
      <c r="Z2442" s="25"/>
    </row>
    <row r="2443" spans="1:26" ht="52.5" customHeight="1" x14ac:dyDescent="0.25">
      <c r="A2443" s="25" t="str">
        <f ca="1">IFERROR(__xludf.DUMMYFUNCTION("""COMPUTED_VALUE"""),"Cultu41")</f>
        <v>Cultu41</v>
      </c>
      <c r="B2443" s="25" t="str">
        <f ca="1">IFERROR(__xludf.DUMMYFUNCTION("""COMPUTED_VALUE"""),"Comité Directivo IDRD ")</f>
        <v xml:space="preserve">Comité Directivo IDRD </v>
      </c>
      <c r="C2443" s="55">
        <f ca="1">IFERROR(__xludf.DUMMYFUNCTION("""COMPUTED_VALUE"""),44466)</f>
        <v>44466</v>
      </c>
      <c r="D2443" s="25" t="str">
        <f ca="1">IFERROR(__xludf.DUMMYFUNCTION("""COMPUTED_VALUE"""),"Cultura")</f>
        <v>Cultura</v>
      </c>
      <c r="E2443" s="25" t="str">
        <f ca="1">IFERROR(__xludf.DUMMYFUNCTION("""COMPUTED_VALUE"""),"Instituto Distrital de Recreación y Deporte")</f>
        <v>Instituto Distrital de Recreación y Deporte</v>
      </c>
      <c r="F2443" s="25" t="str">
        <f ca="1">IFERROR(__xludf.DUMMYFUNCTION("""COMPUTED_VALUE"""),"Realizar rueda de negocios para buscar inversionistas o patrocinadores en el torneo de fútbol femenino")</f>
        <v>Realizar rueda de negocios para buscar inversionistas o patrocinadores en el torneo de fútbol femenino</v>
      </c>
      <c r="G2443" s="25" t="str">
        <f ca="1">IFERROR(__xludf.DUMMYFUNCTION("""COMPUTED_VALUE"""),"99. Distrito")</f>
        <v>99. Distrito</v>
      </c>
      <c r="H2443" s="55">
        <f ca="1">IFERROR(__xludf.DUMMYFUNCTION("""COMPUTED_VALUE"""),44496)</f>
        <v>44496</v>
      </c>
      <c r="I2443" s="25"/>
      <c r="J2443" s="55" t="str">
        <f ca="1">IFERROR(__xludf.DUMMYFUNCTION("""COMPUTED_VALUE"""),"Alta")</f>
        <v>Alta</v>
      </c>
      <c r="K2443" s="25">
        <f ca="1">IFERROR(__xludf.DUMMYFUNCTION("""COMPUTED_VALUE"""),30)</f>
        <v>30</v>
      </c>
      <c r="L2443" s="62">
        <f ca="1">IFERROR(__xludf.DUMMYFUNCTION("""COMPUTED_VALUE"""),44540)</f>
        <v>44540</v>
      </c>
      <c r="M2443" s="25" t="str">
        <f ca="1">IFERROR(__xludf.DUMMYFUNCTION("""COMPUTED_VALUE"""),"Se gestionaron patrocinios y logramos algunos apoyos para la fase final del torneo por parte de Decathlon. La final del torneo es el 20 de diciembre en el estadio el campín")</f>
        <v>Se gestionaron patrocinios y logramos algunos apoyos para la fase final del torneo por parte de Decathlon. La final del torneo es el 20 de diciembre en el estadio el campín</v>
      </c>
      <c r="N2443" s="55">
        <f ca="1">IFERROR(__xludf.DUMMYFUNCTION("""COMPUTED_VALUE"""),44540)</f>
        <v>44540</v>
      </c>
      <c r="O2443" s="25" t="str">
        <f t="shared" ca="1" si="0"/>
        <v>Instituto Distrital de Recreación y Deporte</v>
      </c>
      <c r="P2443" s="25" t="str">
        <f t="shared" si="2"/>
        <v/>
      </c>
      <c r="Q2443" s="25" t="str">
        <f ca="1">IFERROR(__xludf.DUMMYFUNCTION("""COMPUTED_VALUE"""),"Corto plazo")</f>
        <v>Corto plazo</v>
      </c>
      <c r="R2443" s="25"/>
      <c r="S2443" s="55"/>
      <c r="T2443" s="56"/>
      <c r="U2443" s="25"/>
      <c r="V2443" s="25"/>
      <c r="W2443" s="25"/>
      <c r="X2443" s="25"/>
      <c r="Y2443" s="25"/>
      <c r="Z2443" s="25"/>
    </row>
    <row r="2444" spans="1:26" ht="52.5" customHeight="1" x14ac:dyDescent="0.25">
      <c r="A2444" s="25" t="str">
        <f ca="1">IFERROR(__xludf.DUMMYFUNCTION("""COMPUTED_VALUE"""),"Cultu42")</f>
        <v>Cultu42</v>
      </c>
      <c r="B2444" s="25" t="str">
        <f ca="1">IFERROR(__xludf.DUMMYFUNCTION("""COMPUTED_VALUE"""),"Comité Directivo IDRD ")</f>
        <v xml:space="preserve">Comité Directivo IDRD </v>
      </c>
      <c r="C2444" s="55">
        <f ca="1">IFERROR(__xludf.DUMMYFUNCTION("""COMPUTED_VALUE"""),44466)</f>
        <v>44466</v>
      </c>
      <c r="D2444" s="25" t="str">
        <f ca="1">IFERROR(__xludf.DUMMYFUNCTION("""COMPUTED_VALUE"""),"Cultura")</f>
        <v>Cultura</v>
      </c>
      <c r="E2444" s="25" t="str">
        <f ca="1">IFERROR(__xludf.DUMMYFUNCTION("""COMPUTED_VALUE"""),"Instituto Distrital de Recreación y Deporte")</f>
        <v>Instituto Distrital de Recreación y Deporte</v>
      </c>
      <c r="F2444" s="25" t="str">
        <f ca="1">IFERROR(__xludf.DUMMYFUNCTION("""COMPUTED_VALUE"""),"Enviar tabla actualizada de reservas de ejecución, cupo de endeudamiento y presupuesto de la entidad")</f>
        <v>Enviar tabla actualizada de reservas de ejecución, cupo de endeudamiento y presupuesto de la entidad</v>
      </c>
      <c r="G2444" s="25" t="str">
        <f ca="1">IFERROR(__xludf.DUMMYFUNCTION("""COMPUTED_VALUE"""),"99. Distrito")</f>
        <v>99. Distrito</v>
      </c>
      <c r="H2444" s="55">
        <f ca="1">IFERROR(__xludf.DUMMYFUNCTION("""COMPUTED_VALUE"""),44496)</f>
        <v>44496</v>
      </c>
      <c r="I2444" s="25"/>
      <c r="J2444" s="55" t="str">
        <f ca="1">IFERROR(__xludf.DUMMYFUNCTION("""COMPUTED_VALUE"""),"Alta")</f>
        <v>Alta</v>
      </c>
      <c r="K2444" s="25">
        <f ca="1">IFERROR(__xludf.DUMMYFUNCTION("""COMPUTED_VALUE"""),30)</f>
        <v>30</v>
      </c>
      <c r="L2444" s="62">
        <f ca="1">IFERROR(__xludf.DUMMYFUNCTION("""COMPUTED_VALUE"""),44540)</f>
        <v>44540</v>
      </c>
      <c r="M2444" s="25" t="str">
        <f ca="1">IFERROR(__xludf.DUMMYFUNCTION("""COMPUTED_VALUE"""),"Correo remitido oportunamente")</f>
        <v>Correo remitido oportunamente</v>
      </c>
      <c r="N2444" s="55">
        <f ca="1">IFERROR(__xludf.DUMMYFUNCTION("""COMPUTED_VALUE"""),44540)</f>
        <v>44540</v>
      </c>
      <c r="O2444" s="25" t="str">
        <f t="shared" ca="1" si="0"/>
        <v>Instituto Distrital de Recreación y Deporte</v>
      </c>
      <c r="P2444" s="25" t="str">
        <f t="shared" si="2"/>
        <v/>
      </c>
      <c r="Q2444" s="25" t="str">
        <f ca="1">IFERROR(__xludf.DUMMYFUNCTION("""COMPUTED_VALUE"""),"Corto plazo")</f>
        <v>Corto plazo</v>
      </c>
      <c r="R2444" s="25"/>
      <c r="S2444" s="55"/>
      <c r="T2444" s="56"/>
      <c r="U2444" s="25"/>
      <c r="V2444" s="25"/>
      <c r="W2444" s="25"/>
      <c r="X2444" s="25"/>
      <c r="Y2444" s="25"/>
      <c r="Z2444" s="25"/>
    </row>
    <row r="2445" spans="1:26" ht="52.5" customHeight="1" x14ac:dyDescent="0.25">
      <c r="A2445" s="25" t="str">
        <f ca="1">IFERROR(__xludf.DUMMYFUNCTION("""COMPUTED_VALUE"""),"Cultu43")</f>
        <v>Cultu43</v>
      </c>
      <c r="B2445" s="25" t="str">
        <f ca="1">IFERROR(__xludf.DUMMYFUNCTION("""COMPUTED_VALUE"""),"Comité Directivo IDRD ")</f>
        <v xml:space="preserve">Comité Directivo IDRD </v>
      </c>
      <c r="C2445" s="55">
        <f ca="1">IFERROR(__xludf.DUMMYFUNCTION("""COMPUTED_VALUE"""),44466)</f>
        <v>44466</v>
      </c>
      <c r="D2445" s="25" t="str">
        <f ca="1">IFERROR(__xludf.DUMMYFUNCTION("""COMPUTED_VALUE"""),"Cultura")</f>
        <v>Cultura</v>
      </c>
      <c r="E2445" s="25" t="str">
        <f ca="1">IFERROR(__xludf.DUMMYFUNCTION("""COMPUTED_VALUE"""),"Instituto Distrital de Recreación y Deporte")</f>
        <v>Instituto Distrital de Recreación y Deporte</v>
      </c>
      <c r="F2445" s="25" t="str">
        <f ca="1">IFERROR(__xludf.DUMMYFUNCTION("""COMPUTED_VALUE"""),"Revisar como se puede ganar tiempo para ejecutar con anticipación los recursos asignados por rescate social")</f>
        <v>Revisar como se puede ganar tiempo para ejecutar con anticipación los recursos asignados por rescate social</v>
      </c>
      <c r="G2445" s="25" t="str">
        <f ca="1">IFERROR(__xludf.DUMMYFUNCTION("""COMPUTED_VALUE"""),"99. Distrito")</f>
        <v>99. Distrito</v>
      </c>
      <c r="H2445" s="55">
        <f ca="1">IFERROR(__xludf.DUMMYFUNCTION("""COMPUTED_VALUE"""),44496)</f>
        <v>44496</v>
      </c>
      <c r="I2445" s="25"/>
      <c r="J2445" s="55" t="str">
        <f ca="1">IFERROR(__xludf.DUMMYFUNCTION("""COMPUTED_VALUE"""),"Alta")</f>
        <v>Alta</v>
      </c>
      <c r="K2445" s="25">
        <f ca="1">IFERROR(__xludf.DUMMYFUNCTION("""COMPUTED_VALUE"""),30)</f>
        <v>30</v>
      </c>
      <c r="L2445" s="62">
        <f ca="1">IFERROR(__xludf.DUMMYFUNCTION("""COMPUTED_VALUE"""),44540)</f>
        <v>44540</v>
      </c>
      <c r="M2445" s="25" t="str">
        <f ca="1">IFERROR(__xludf.DUMMYFUNCTION("""COMPUTED_VALUE"""),"Se iniciaron los estudios de mercado y análisis presupuestal de los parques nuevos a construir con recursos de rescate social.")</f>
        <v>Se iniciaron los estudios de mercado y análisis presupuestal de los parques nuevos a construir con recursos de rescate social.</v>
      </c>
      <c r="N2445" s="55">
        <f ca="1">IFERROR(__xludf.DUMMYFUNCTION("""COMPUTED_VALUE"""),44540)</f>
        <v>44540</v>
      </c>
      <c r="O2445" s="25" t="str">
        <f t="shared" ca="1" si="0"/>
        <v>Instituto Distrital de Recreación y Deporte</v>
      </c>
      <c r="P2445" s="25" t="str">
        <f t="shared" si="2"/>
        <v/>
      </c>
      <c r="Q2445" s="25" t="str">
        <f ca="1">IFERROR(__xludf.DUMMYFUNCTION("""COMPUTED_VALUE"""),"Corto plazo")</f>
        <v>Corto plazo</v>
      </c>
      <c r="R2445" s="25"/>
      <c r="S2445" s="55"/>
      <c r="T2445" s="56"/>
      <c r="U2445" s="25"/>
      <c r="V2445" s="25"/>
      <c r="W2445" s="25"/>
      <c r="X2445" s="25"/>
      <c r="Y2445" s="25"/>
      <c r="Z2445" s="25"/>
    </row>
    <row r="2446" spans="1:26" ht="52.5" customHeight="1" x14ac:dyDescent="0.25">
      <c r="A2446" s="25" t="str">
        <f ca="1">IFERROR(__xludf.DUMMYFUNCTION("""COMPUTED_VALUE"""),"Cultu44")</f>
        <v>Cultu44</v>
      </c>
      <c r="B2446" s="25" t="str">
        <f ca="1">IFERROR(__xludf.DUMMYFUNCTION("""COMPUTED_VALUE"""),"Comité Directivo IDRD ")</f>
        <v xml:space="preserve">Comité Directivo IDRD </v>
      </c>
      <c r="C2446" s="55">
        <f ca="1">IFERROR(__xludf.DUMMYFUNCTION("""COMPUTED_VALUE"""),44466)</f>
        <v>44466</v>
      </c>
      <c r="D2446" s="25" t="str">
        <f ca="1">IFERROR(__xludf.DUMMYFUNCTION("""COMPUTED_VALUE"""),"Cultura")</f>
        <v>Cultura</v>
      </c>
      <c r="E2446" s="25" t="str">
        <f ca="1">IFERROR(__xludf.DUMMYFUNCTION("""COMPUTED_VALUE"""),"Instituto Distrital de Recreación y Deporte")</f>
        <v>Instituto Distrital de Recreación y Deporte</v>
      </c>
      <c r="F2446" s="25" t="str">
        <f ca="1">IFERROR(__xludf.DUMMYFUNCTION("""COMPUTED_VALUE"""),"Buscar estrategias para fortalecer deporte local")</f>
        <v>Buscar estrategias para fortalecer deporte local</v>
      </c>
      <c r="G2446" s="25" t="str">
        <f ca="1">IFERROR(__xludf.DUMMYFUNCTION("""COMPUTED_VALUE"""),"99. Distrito")</f>
        <v>99. Distrito</v>
      </c>
      <c r="H2446" s="55">
        <f ca="1">IFERROR(__xludf.DUMMYFUNCTION("""COMPUTED_VALUE"""),44496)</f>
        <v>44496</v>
      </c>
      <c r="I2446" s="25"/>
      <c r="J2446" s="55" t="str">
        <f ca="1">IFERROR(__xludf.DUMMYFUNCTION("""COMPUTED_VALUE"""),"Alta")</f>
        <v>Alta</v>
      </c>
      <c r="K2446" s="25">
        <f ca="1">IFERROR(__xludf.DUMMYFUNCTION("""COMPUTED_VALUE"""),30)</f>
        <v>30</v>
      </c>
      <c r="L2446" s="62">
        <f ca="1">IFERROR(__xludf.DUMMYFUNCTION("""COMPUTED_VALUE"""),44627)</f>
        <v>44627</v>
      </c>
      <c r="M2446" s="25" t="str">
        <f ca="1">IFERROR(__xludf.DUMMYFUNCTION("""COMPUTED_VALUE"""),"Se realizó el lanzamiento de ""Deporte local"" el sábado 5 de marzo en el parque de los hippies. Iniciaron las inscripciones ese mismo día y las actividades deportivas y recreativas comienzan el fin de semana del 12 de marzo.")</f>
        <v>Se realizó el lanzamiento de "Deporte local" el sábado 5 de marzo en el parque de los hippies. Iniciaron las inscripciones ese mismo día y las actividades deportivas y recreativas comienzan el fin de semana del 12 de marzo.</v>
      </c>
      <c r="N2446" s="55">
        <f ca="1">IFERROR(__xludf.DUMMYFUNCTION("""COMPUTED_VALUE"""),44627)</f>
        <v>44627</v>
      </c>
      <c r="O2446" s="25" t="str">
        <f t="shared" ca="1" si="0"/>
        <v>Instituto Distrital de Recreación y Deporte</v>
      </c>
      <c r="P2446" s="25" t="str">
        <f t="shared" si="2"/>
        <v/>
      </c>
      <c r="Q2446" s="25" t="str">
        <f ca="1">IFERROR(__xludf.DUMMYFUNCTION("""COMPUTED_VALUE"""),"Corto plazo")</f>
        <v>Corto plazo</v>
      </c>
      <c r="R2446" s="25"/>
      <c r="S2446" s="55"/>
      <c r="T2446" s="56"/>
      <c r="U2446" s="25"/>
      <c r="V2446" s="25"/>
      <c r="W2446" s="25"/>
      <c r="X2446" s="25"/>
      <c r="Y2446" s="25"/>
      <c r="Z2446" s="25"/>
    </row>
    <row r="2447" spans="1:26" ht="52.5" customHeight="1" x14ac:dyDescent="0.25">
      <c r="A2447" s="25" t="str">
        <f ca="1">IFERROR(__xludf.DUMMYFUNCTION("""COMPUTED_VALUE"""),"Cultu45")</f>
        <v>Cultu45</v>
      </c>
      <c r="B2447" s="25" t="str">
        <f ca="1">IFERROR(__xludf.DUMMYFUNCTION("""COMPUTED_VALUE"""),"Comité Directivo IDRD ")</f>
        <v xml:space="preserve">Comité Directivo IDRD </v>
      </c>
      <c r="C2447" s="55">
        <f ca="1">IFERROR(__xludf.DUMMYFUNCTION("""COMPUTED_VALUE"""),44466)</f>
        <v>44466</v>
      </c>
      <c r="D2447" s="25" t="str">
        <f ca="1">IFERROR(__xludf.DUMMYFUNCTION("""COMPUTED_VALUE"""),"Cultura")</f>
        <v>Cultura</v>
      </c>
      <c r="E2447" s="25" t="str">
        <f ca="1">IFERROR(__xludf.DUMMYFUNCTION("""COMPUTED_VALUE"""),"Instituto Distrital de Recreación y Deporte")</f>
        <v>Instituto Distrital de Recreación y Deporte</v>
      </c>
      <c r="F2447" s="25" t="str">
        <f ca="1">IFERROR(__xludf.DUMMYFUNCTION("""COMPUTED_VALUE"""),"Enviar listado concreto de restricciones de bioseguridad que afecten el adecuado desarrollo de la programación deL IDRD.")</f>
        <v>Enviar listado concreto de restricciones de bioseguridad que afecten el adecuado desarrollo de la programación deL IDRD.</v>
      </c>
      <c r="G2447" s="25" t="str">
        <f ca="1">IFERROR(__xludf.DUMMYFUNCTION("""COMPUTED_VALUE"""),"99. Distrito")</f>
        <v>99. Distrito</v>
      </c>
      <c r="H2447" s="55">
        <f ca="1">IFERROR(__xludf.DUMMYFUNCTION("""COMPUTED_VALUE"""),44496)</f>
        <v>44496</v>
      </c>
      <c r="I2447" s="25"/>
      <c r="J2447" s="55" t="str">
        <f ca="1">IFERROR(__xludf.DUMMYFUNCTION("""COMPUTED_VALUE"""),"Alta")</f>
        <v>Alta</v>
      </c>
      <c r="K2447" s="25">
        <f ca="1">IFERROR(__xludf.DUMMYFUNCTION("""COMPUTED_VALUE"""),30)</f>
        <v>30</v>
      </c>
      <c r="L2447" s="62">
        <f ca="1">IFERROR(__xludf.DUMMYFUNCTION("""COMPUTED_VALUE"""),44540)</f>
        <v>44540</v>
      </c>
      <c r="M2447" s="25" t="str">
        <f ca="1">IFERROR(__xludf.DUMMYFUNCTION("""COMPUTED_VALUE"""),"Correo remitido oportunamente")</f>
        <v>Correo remitido oportunamente</v>
      </c>
      <c r="N2447" s="55">
        <f ca="1">IFERROR(__xludf.DUMMYFUNCTION("""COMPUTED_VALUE"""),44540)</f>
        <v>44540</v>
      </c>
      <c r="O2447" s="25" t="str">
        <f t="shared" ca="1" si="0"/>
        <v>Instituto Distrital de Recreación y Deporte</v>
      </c>
      <c r="P2447" s="25" t="str">
        <f t="shared" si="2"/>
        <v/>
      </c>
      <c r="Q2447" s="25" t="str">
        <f ca="1">IFERROR(__xludf.DUMMYFUNCTION("""COMPUTED_VALUE"""),"Corto plazo")</f>
        <v>Corto plazo</v>
      </c>
      <c r="R2447" s="25"/>
      <c r="S2447" s="55"/>
      <c r="T2447" s="56"/>
      <c r="U2447" s="25"/>
      <c r="V2447" s="25"/>
      <c r="W2447" s="25"/>
      <c r="X2447" s="25"/>
      <c r="Y2447" s="25"/>
      <c r="Z2447" s="25"/>
    </row>
    <row r="2448" spans="1:26" ht="52.5" customHeight="1" x14ac:dyDescent="0.25">
      <c r="A2448" s="25" t="str">
        <f ca="1">IFERROR(__xludf.DUMMYFUNCTION("""COMPUTED_VALUE"""),"Cultu46")</f>
        <v>Cultu46</v>
      </c>
      <c r="B2448" s="25" t="str">
        <f ca="1">IFERROR(__xludf.DUMMYFUNCTION("""COMPUTED_VALUE"""),"Comité Directivo IDARTES")</f>
        <v>Comité Directivo IDARTES</v>
      </c>
      <c r="C2448" s="55">
        <f ca="1">IFERROR(__xludf.DUMMYFUNCTION("""COMPUTED_VALUE"""),44466)</f>
        <v>44466</v>
      </c>
      <c r="D2448" s="25" t="str">
        <f ca="1">IFERROR(__xludf.DUMMYFUNCTION("""COMPUTED_VALUE"""),"Cultura")</f>
        <v>Cultura</v>
      </c>
      <c r="E2448" s="25" t="str">
        <f ca="1">IFERROR(__xludf.DUMMYFUNCTION("""COMPUTED_VALUE"""),"Instituto Distrital de las Artes")</f>
        <v>Instituto Distrital de las Artes</v>
      </c>
      <c r="F2448" s="25" t="str">
        <f ca="1">IFERROR(__xludf.DUMMYFUNCTION("""COMPUTED_VALUE"""),"Enviar listado consolidado de las restricciones de bioseguridad que afectan el adecuado desarrollo de la programación de IDARTES")</f>
        <v>Enviar listado consolidado de las restricciones de bioseguridad que afectan el adecuado desarrollo de la programación de IDARTES</v>
      </c>
      <c r="G2448" s="25" t="str">
        <f ca="1">IFERROR(__xludf.DUMMYFUNCTION("""COMPUTED_VALUE"""),"99. Distrito")</f>
        <v>99. Distrito</v>
      </c>
      <c r="H2448" s="55">
        <f ca="1">IFERROR(__xludf.DUMMYFUNCTION("""COMPUTED_VALUE"""),44496)</f>
        <v>44496</v>
      </c>
      <c r="I2448" s="25"/>
      <c r="J2448" s="55" t="str">
        <f ca="1">IFERROR(__xludf.DUMMYFUNCTION("""COMPUTED_VALUE"""),"Alta")</f>
        <v>Alta</v>
      </c>
      <c r="K2448" s="25">
        <f ca="1">IFERROR(__xludf.DUMMYFUNCTION("""COMPUTED_VALUE"""),30)</f>
        <v>30</v>
      </c>
      <c r="L2448" s="62">
        <f ca="1">IFERROR(__xludf.DUMMYFUNCTION("""COMPUTED_VALUE"""),44540)</f>
        <v>44540</v>
      </c>
      <c r="M2448" s="25" t="str">
        <f ca="1">IFERROR(__xludf.DUMMYFUNCTION("""COMPUTED_VALUE"""),"Con el levantamiento de la restricción de los aforos, actualmente la disminución de públicos corresponde al requisito de ingreso con el carné de vacunas a los equipamientos o eventos masivos realizados por Idartes.")</f>
        <v>Con el levantamiento de la restricción de los aforos, actualmente la disminución de públicos corresponde al requisito de ingreso con el carné de vacunas a los equipamientos o eventos masivos realizados por Idartes.</v>
      </c>
      <c r="N2448" s="55">
        <f ca="1">IFERROR(__xludf.DUMMYFUNCTION("""COMPUTED_VALUE"""),44540)</f>
        <v>44540</v>
      </c>
      <c r="O2448" s="25" t="str">
        <f t="shared" ca="1" si="0"/>
        <v>Instituto Distrital de las Artes</v>
      </c>
      <c r="P2448" s="25" t="str">
        <f t="shared" si="2"/>
        <v/>
      </c>
      <c r="Q2448" s="25" t="str">
        <f ca="1">IFERROR(__xludf.DUMMYFUNCTION("""COMPUTED_VALUE"""),"Corto plazo")</f>
        <v>Corto plazo</v>
      </c>
      <c r="R2448" s="25"/>
      <c r="S2448" s="55"/>
      <c r="T2448" s="56"/>
      <c r="U2448" s="25"/>
      <c r="V2448" s="25"/>
      <c r="W2448" s="25"/>
      <c r="X2448" s="25"/>
      <c r="Y2448" s="25"/>
      <c r="Z2448" s="25"/>
    </row>
    <row r="2449" spans="1:26" ht="52.5" customHeight="1" x14ac:dyDescent="0.25">
      <c r="A2449" s="25" t="str">
        <f ca="1">IFERROR(__xludf.DUMMYFUNCTION("""COMPUTED_VALUE"""),"Cultu47")</f>
        <v>Cultu47</v>
      </c>
      <c r="B2449" s="25" t="str">
        <f ca="1">IFERROR(__xludf.DUMMYFUNCTION("""COMPUTED_VALUE"""),"Comité Directivo IDARTES")</f>
        <v>Comité Directivo IDARTES</v>
      </c>
      <c r="C2449" s="55">
        <f ca="1">IFERROR(__xludf.DUMMYFUNCTION("""COMPUTED_VALUE"""),44466)</f>
        <v>44466</v>
      </c>
      <c r="D2449" s="25" t="str">
        <f ca="1">IFERROR(__xludf.DUMMYFUNCTION("""COMPUTED_VALUE"""),"Cultura")</f>
        <v>Cultura</v>
      </c>
      <c r="E2449" s="25" t="str">
        <f ca="1">IFERROR(__xludf.DUMMYFUNCTION("""COMPUTED_VALUE"""),"Instituto Distrital de las Artes")</f>
        <v>Instituto Distrital de las Artes</v>
      </c>
      <c r="F2449" s="25" t="str">
        <f ca="1">IFERROR(__xludf.DUMMYFUNCTION("""COMPUTED_VALUE"""),"Presentar en noviembre del balance de estímulos y definir en que se deben centrar.  Adicionalmente, se debe presentar el consolidado de cuantos estímulos se han entregado, a quienes y como. ")</f>
        <v xml:space="preserve">Presentar en noviembre del balance de estímulos y definir en que se deben centrar.  Adicionalmente, se debe presentar el consolidado de cuantos estímulos se han entregado, a quienes y como. </v>
      </c>
      <c r="G2449" s="25" t="str">
        <f ca="1">IFERROR(__xludf.DUMMYFUNCTION("""COMPUTED_VALUE"""),"99. Distrito")</f>
        <v>99. Distrito</v>
      </c>
      <c r="H2449" s="55">
        <f ca="1">IFERROR(__xludf.DUMMYFUNCTION("""COMPUTED_VALUE"""),44496)</f>
        <v>44496</v>
      </c>
      <c r="I2449" s="25"/>
      <c r="J2449" s="55" t="str">
        <f ca="1">IFERROR(__xludf.DUMMYFUNCTION("""COMPUTED_VALUE"""),"Alta")</f>
        <v>Alta</v>
      </c>
      <c r="K2449" s="25">
        <f ca="1">IFERROR(__xludf.DUMMYFUNCTION("""COMPUTED_VALUE"""),30)</f>
        <v>30</v>
      </c>
      <c r="L2449" s="62">
        <f ca="1">IFERROR(__xludf.DUMMYFUNCTION("""COMPUTED_VALUE"""),44561)</f>
        <v>44561</v>
      </c>
      <c r="M2449" s="25" t="str">
        <f ca="1">IFERROR(__xludf.DUMMYFUNCTION("""COMPUTED_VALUE"""),"Durante la vigencia de los meses de enero a diciembre del año 2021, se entregaron 1.676 estímulos con una inversión de $19.945.441.326, distribuidos de la siguiente manera: 
- A través del Programa Distrital de Estímulos (PDE): 779 estímulos por un valor "&amp;"total de $7.521.977.705 
- Con el Programa Es Cultura Local (PECL) se entregaron 604 estímulos por un valor total de $11.008.924.995 que se distribuyeron así: 
LOCALIDAD USAQUÉN: 14 estímulos por un valor total de $432.821.396.
LOCALIDAD BOSA: 60 estímulo"&amp;"s por un valor total de $2.408.133.540.
LOCALIDAD TUNJUELITO: 102 estímulos por un valor total de $474.177.996.
LOCALIDAD ENGATIVÁ: 70 estímulos por un valor total de $972.583.536.
LOCALIDAD FONTIBÓN: 46 estímulos por un valor total de $576.711.320.
LOCAL"&amp;"IDAD KENNEDY: 54 estímulos por un valor total de $1.363.350.454.
LOCALIDAD RAFAEL URIBE URIBE: 18 estímulos por un valor total de $458.359.648.
LOCALIDAD SAN CRISTÓBAL: 35 estímulos por un valor total de $1.153.875.125.
LOCALIDAD SUBA: 42 estímulos por un"&amp;" valor total de $908.551.525.
LOCALIDAD USME: 15 estímulos por un valor total de $185.212.005.
LOCALIDAD PUENTE ARANDA: 20 estímulos por un valor total de $310.923.220.
LOCALIDAD DE CIUDAD BOLÍVAR: 81 estímulos por un valor total de $933.351.956.
LOCALIDA"&amp;"D BARRIOS UNIDOS: 33 estímulos por un valor total de $671.789.272.
LOCALIDAD ANTONIO NARIÑO: 14 estímulos por un valor total de $159.084.002.
- A través del Banco de Jurados (BJ) se designaron 293 evaluadores a quienes se les asignaron recursos por $1.414"&amp;".538.626.")</f>
        <v>Durante la vigencia de los meses de enero a diciembre del año 2021, se entregaron 1.676 estímulos con una inversión de $19.945.441.326, distribuidos de la siguiente manera: 
- A través del Programa Distrital de Estímulos (PDE): 779 estímulos por un valor total de $7.521.977.705 
- Con el Programa Es Cultura Local (PECL) se entregaron 604 estímulos por un valor total de $11.008.924.995 que se distribuyeron así: 
LOCALIDAD USAQUÉN: 14 estímulos por un valor total de $432.821.396.
LOCALIDAD BOSA: 60 estímulos por un valor total de $2.408.133.540.
LOCALIDAD TUNJUELITO: 102 estímulos por un valor total de $474.177.996.
LOCALIDAD ENGATIVÁ: 70 estímulos por un valor total de $972.583.536.
LOCALIDAD FONTIBÓN: 46 estímulos por un valor total de $576.711.320.
LOCALIDAD KENNEDY: 54 estímulos por un valor total de $1.363.350.454.
LOCALIDAD RAFAEL URIBE URIBE: 18 estímulos por un valor total de $458.359.648.
LOCALIDAD SAN CRISTÓBAL: 35 estímulos por un valor total de $1.153.875.125.
LOCALIDAD SUBA: 42 estímulos por un valor total de $908.551.525.
LOCALIDAD USME: 15 estímulos por un valor total de $185.212.005.
LOCALIDAD PUENTE ARANDA: 20 estímulos por un valor total de $310.923.220.
LOCALIDAD DE CIUDAD BOLÍVAR: 81 estímulos por un valor total de $933.351.956.
LOCALIDAD BARRIOS UNIDOS: 33 estímulos por un valor total de $671.789.272.
LOCALIDAD ANTONIO NARIÑO: 14 estímulos por un valor total de $159.084.002.
- A través del Banco de Jurados (BJ) se designaron 293 evaluadores a quienes se les asignaron recursos por $1.414.538.626.</v>
      </c>
      <c r="N2449" s="55">
        <f ca="1">IFERROR(__xludf.DUMMYFUNCTION("""COMPUTED_VALUE"""),44561)</f>
        <v>44561</v>
      </c>
      <c r="O2449" s="25" t="str">
        <f t="shared" ca="1" si="0"/>
        <v>Instituto Distrital de las Artes</v>
      </c>
      <c r="P2449" s="25" t="str">
        <f t="shared" si="2"/>
        <v/>
      </c>
      <c r="Q2449" s="25" t="str">
        <f ca="1">IFERROR(__xludf.DUMMYFUNCTION("""COMPUTED_VALUE"""),"Corto plazo")</f>
        <v>Corto plazo</v>
      </c>
      <c r="R2449" s="25"/>
      <c r="S2449" s="55"/>
      <c r="T2449" s="56"/>
      <c r="U2449" s="25"/>
      <c r="V2449" s="25"/>
      <c r="W2449" s="25"/>
      <c r="X2449" s="25"/>
      <c r="Y2449" s="25"/>
      <c r="Z2449" s="25"/>
    </row>
    <row r="2450" spans="1:26" ht="52.5" customHeight="1" x14ac:dyDescent="0.25">
      <c r="A2450" s="25" t="str">
        <f ca="1">IFERROR(__xludf.DUMMYFUNCTION("""COMPUTED_VALUE"""),"Cultu48")</f>
        <v>Cultu48</v>
      </c>
      <c r="B2450" s="25" t="str">
        <f ca="1">IFERROR(__xludf.DUMMYFUNCTION("""COMPUTED_VALUE"""),"Comité Directivo IDARTES")</f>
        <v>Comité Directivo IDARTES</v>
      </c>
      <c r="C2450" s="55">
        <f ca="1">IFERROR(__xludf.DUMMYFUNCTION("""COMPUTED_VALUE"""),44466)</f>
        <v>44466</v>
      </c>
      <c r="D2450" s="25" t="str">
        <f ca="1">IFERROR(__xludf.DUMMYFUNCTION("""COMPUTED_VALUE"""),"Cultura")</f>
        <v>Cultura</v>
      </c>
      <c r="E2450" s="25" t="str">
        <f ca="1">IFERROR(__xludf.DUMMYFUNCTION("""COMPUTED_VALUE"""),"Instituto Distrital de las Artes")</f>
        <v>Instituto Distrital de las Artes</v>
      </c>
      <c r="F2450" s="25" t="str">
        <f ca="1">IFERROR(__xludf.DUMMYFUNCTION("""COMPUTED_VALUE"""),"Incluir dentro de la programación de la cinemateca móvil a las huertas urbanas  de Mártires")</f>
        <v>Incluir dentro de la programación de la cinemateca móvil a las huertas urbanas  de Mártires</v>
      </c>
      <c r="G2450" s="25" t="str">
        <f ca="1">IFERROR(__xludf.DUMMYFUNCTION("""COMPUTED_VALUE"""),"99. Distrito")</f>
        <v>99. Distrito</v>
      </c>
      <c r="H2450" s="55">
        <f ca="1">IFERROR(__xludf.DUMMYFUNCTION("""COMPUTED_VALUE"""),44496)</f>
        <v>44496</v>
      </c>
      <c r="I2450" s="25"/>
      <c r="J2450" s="55" t="str">
        <f ca="1">IFERROR(__xludf.DUMMYFUNCTION("""COMPUTED_VALUE"""),"Alta")</f>
        <v>Alta</v>
      </c>
      <c r="K2450" s="25">
        <f ca="1">IFERROR(__xludf.DUMMYFUNCTION("""COMPUTED_VALUE"""),30)</f>
        <v>30</v>
      </c>
      <c r="L2450" s="62">
        <f ca="1">IFERROR(__xludf.DUMMYFUNCTION("""COMPUTED_VALUE"""),44540)</f>
        <v>44540</v>
      </c>
      <c r="M2450" s="25" t="str">
        <f ca="1">IFERROR(__xludf.DUMMYFUNCTION("""COMPUTED_VALUE"""),"Se incluyó en la programación de Pelis por Bogotá 2022, las huertas urbanas de Los Mártires")</f>
        <v>Se incluyó en la programación de Pelis por Bogotá 2022, las huertas urbanas de Los Mártires</v>
      </c>
      <c r="N2450" s="55">
        <f ca="1">IFERROR(__xludf.DUMMYFUNCTION("""COMPUTED_VALUE"""),44540)</f>
        <v>44540</v>
      </c>
      <c r="O2450" s="25" t="str">
        <f t="shared" ca="1" si="0"/>
        <v>Instituto Distrital de las Artes</v>
      </c>
      <c r="P2450" s="25" t="str">
        <f t="shared" si="2"/>
        <v/>
      </c>
      <c r="Q2450" s="25" t="str">
        <f ca="1">IFERROR(__xludf.DUMMYFUNCTION("""COMPUTED_VALUE"""),"Corto plazo")</f>
        <v>Corto plazo</v>
      </c>
      <c r="R2450" s="25"/>
      <c r="S2450" s="55"/>
      <c r="T2450" s="56"/>
      <c r="U2450" s="25"/>
      <c r="V2450" s="25"/>
      <c r="W2450" s="25"/>
      <c r="X2450" s="25"/>
      <c r="Y2450" s="25"/>
      <c r="Z2450" s="25"/>
    </row>
    <row r="2451" spans="1:26" ht="52.5" customHeight="1" x14ac:dyDescent="0.25">
      <c r="A2451" s="25" t="str">
        <f ca="1">IFERROR(__xludf.DUMMYFUNCTION("""COMPUTED_VALUE"""),"Cultu49")</f>
        <v>Cultu49</v>
      </c>
      <c r="B2451" s="25" t="str">
        <f ca="1">IFERROR(__xludf.DUMMYFUNCTION("""COMPUTED_VALUE"""),"Comité Directivo IDARTES")</f>
        <v>Comité Directivo IDARTES</v>
      </c>
      <c r="C2451" s="55">
        <f ca="1">IFERROR(__xludf.DUMMYFUNCTION("""COMPUTED_VALUE"""),44466)</f>
        <v>44466</v>
      </c>
      <c r="D2451" s="25" t="str">
        <f ca="1">IFERROR(__xludf.DUMMYFUNCTION("""COMPUTED_VALUE"""),"Cultura")</f>
        <v>Cultura</v>
      </c>
      <c r="E2451" s="25" t="str">
        <f ca="1">IFERROR(__xludf.DUMMYFUNCTION("""COMPUTED_VALUE"""),"Instituto Distrital de las Artes")</f>
        <v>Instituto Distrital de las Artes</v>
      </c>
      <c r="F2451" s="25" t="str">
        <f ca="1">IFERROR(__xludf.DUMMYFUNCTION("""COMPUTED_VALUE"""),"Revisar con la Secretaría de Desarrollo económico como presupuestalmente puede apoyar a IDARTES")</f>
        <v>Revisar con la Secretaría de Desarrollo económico como presupuestalmente puede apoyar a IDARTES</v>
      </c>
      <c r="G2451" s="25" t="str">
        <f ca="1">IFERROR(__xludf.DUMMYFUNCTION("""COMPUTED_VALUE"""),"99. Distrito")</f>
        <v>99. Distrito</v>
      </c>
      <c r="H2451" s="55">
        <f ca="1">IFERROR(__xludf.DUMMYFUNCTION("""COMPUTED_VALUE"""),44496)</f>
        <v>44496</v>
      </c>
      <c r="I2451" s="25"/>
      <c r="J2451" s="55" t="str">
        <f ca="1">IFERROR(__xludf.DUMMYFUNCTION("""COMPUTED_VALUE"""),"Alta")</f>
        <v>Alta</v>
      </c>
      <c r="K2451" s="25">
        <f ca="1">IFERROR(__xludf.DUMMYFUNCTION("""COMPUTED_VALUE"""),30)</f>
        <v>30</v>
      </c>
      <c r="L2451" s="62">
        <f ca="1">IFERROR(__xludf.DUMMYFUNCTION("""COMPUTED_VALUE"""),44540)</f>
        <v>44540</v>
      </c>
      <c r="M2451" s="25" t="str">
        <f ca="1">IFERROR(__xludf.DUMMYFUNCTION("""COMPUTED_VALUE"""),"No se ha realizado la reunión hasta que no se acuerde la propuesta conjunta con Alfredo Bateman")</f>
        <v>No se ha realizado la reunión hasta que no se acuerde la propuesta conjunta con Alfredo Bateman</v>
      </c>
      <c r="N2451" s="55">
        <f ca="1">IFERROR(__xludf.DUMMYFUNCTION("""COMPUTED_VALUE"""),44540)</f>
        <v>44540</v>
      </c>
      <c r="O2451" s="25" t="str">
        <f t="shared" ca="1" si="0"/>
        <v>Instituto Distrital de las Artes</v>
      </c>
      <c r="P2451" s="25" t="str">
        <f t="shared" si="2"/>
        <v/>
      </c>
      <c r="Q2451" s="25" t="str">
        <f ca="1">IFERROR(__xludf.DUMMYFUNCTION("""COMPUTED_VALUE"""),"Corto plazo")</f>
        <v>Corto plazo</v>
      </c>
      <c r="R2451" s="25"/>
      <c r="S2451" s="55"/>
      <c r="T2451" s="56"/>
      <c r="U2451" s="25"/>
      <c r="V2451" s="25"/>
      <c r="W2451" s="25"/>
      <c r="X2451" s="25"/>
      <c r="Y2451" s="25"/>
      <c r="Z2451" s="25"/>
    </row>
    <row r="2452" spans="1:26" ht="52.5" customHeight="1" x14ac:dyDescent="0.25">
      <c r="A2452" s="25" t="str">
        <f ca="1">IFERROR(__xludf.DUMMYFUNCTION("""COMPUTED_VALUE"""),"Cultu50")</f>
        <v>Cultu50</v>
      </c>
      <c r="B2452" s="25" t="str">
        <f ca="1">IFERROR(__xludf.DUMMYFUNCTION("""COMPUTED_VALUE"""),"Comité Directivo IDARTES")</f>
        <v>Comité Directivo IDARTES</v>
      </c>
      <c r="C2452" s="55">
        <f ca="1">IFERROR(__xludf.DUMMYFUNCTION("""COMPUTED_VALUE"""),44466)</f>
        <v>44466</v>
      </c>
      <c r="D2452" s="25" t="str">
        <f ca="1">IFERROR(__xludf.DUMMYFUNCTION("""COMPUTED_VALUE"""),"Cultura")</f>
        <v>Cultura</v>
      </c>
      <c r="E2452" s="25" t="str">
        <f ca="1">IFERROR(__xludf.DUMMYFUNCTION("""COMPUTED_VALUE"""),"Instituto Distrital de las Artes")</f>
        <v>Instituto Distrital de las Artes</v>
      </c>
      <c r="F2452" s="25" t="str">
        <f ca="1">IFERROR(__xludf.DUMMYFUNCTION("""COMPUTED_VALUE"""),"Revisar la posibilidad de priorizar por regalías el programa geoclick ")</f>
        <v xml:space="preserve">Revisar la posibilidad de priorizar por regalías el programa geoclick </v>
      </c>
      <c r="G2452" s="25" t="str">
        <f ca="1">IFERROR(__xludf.DUMMYFUNCTION("""COMPUTED_VALUE"""),"99. Distrito")</f>
        <v>99. Distrito</v>
      </c>
      <c r="H2452" s="55">
        <f ca="1">IFERROR(__xludf.DUMMYFUNCTION("""COMPUTED_VALUE"""),44496)</f>
        <v>44496</v>
      </c>
      <c r="I2452" s="25"/>
      <c r="J2452" s="55" t="str">
        <f ca="1">IFERROR(__xludf.DUMMYFUNCTION("""COMPUTED_VALUE"""),"Alta")</f>
        <v>Alta</v>
      </c>
      <c r="K2452" s="25">
        <f ca="1">IFERROR(__xludf.DUMMYFUNCTION("""COMPUTED_VALUE"""),30)</f>
        <v>30</v>
      </c>
      <c r="L2452" s="62">
        <f ca="1">IFERROR(__xludf.DUMMYFUNCTION("""COMPUTED_VALUE"""),44540)</f>
        <v>44540</v>
      </c>
      <c r="M2452" s="25" t="str">
        <f ca="1">IFERROR(__xludf.DUMMYFUNCTION("""COMPUTED_VALUE"""),"El 26 de marzo de 2021 se formuló y radicó el proyecto de regalias y nos encontramos a la espera de la decisión del comité de evaluación de los proyectos financiados con esta fuente")</f>
        <v>El 26 de marzo de 2021 se formuló y radicó el proyecto de regalias y nos encontramos a la espera de la decisión del comité de evaluación de los proyectos financiados con esta fuente</v>
      </c>
      <c r="N2452" s="55">
        <f ca="1">IFERROR(__xludf.DUMMYFUNCTION("""COMPUTED_VALUE"""),44540)</f>
        <v>44540</v>
      </c>
      <c r="O2452" s="25" t="str">
        <f t="shared" ca="1" si="0"/>
        <v>Instituto Distrital de las Artes</v>
      </c>
      <c r="P2452" s="25" t="str">
        <f t="shared" si="2"/>
        <v/>
      </c>
      <c r="Q2452" s="25" t="str">
        <f ca="1">IFERROR(__xludf.DUMMYFUNCTION("""COMPUTED_VALUE"""),"Corto plazo")</f>
        <v>Corto plazo</v>
      </c>
      <c r="R2452" s="25"/>
      <c r="S2452" s="55"/>
      <c r="T2452" s="56"/>
      <c r="U2452" s="25"/>
      <c r="V2452" s="25"/>
      <c r="W2452" s="25"/>
      <c r="X2452" s="25"/>
      <c r="Y2452" s="25"/>
      <c r="Z2452" s="25"/>
    </row>
    <row r="2453" spans="1:26" ht="52.5" customHeight="1" x14ac:dyDescent="0.25">
      <c r="A2453" s="25" t="str">
        <f ca="1">IFERROR(__xludf.DUMMYFUNCTION("""COMPUTED_VALUE"""),"Cultu51")</f>
        <v>Cultu51</v>
      </c>
      <c r="B2453" s="25" t="str">
        <f ca="1">IFERROR(__xludf.DUMMYFUNCTION("""COMPUTED_VALUE"""),"Comité Directivo IDARTES")</f>
        <v>Comité Directivo IDARTES</v>
      </c>
      <c r="C2453" s="55">
        <f ca="1">IFERROR(__xludf.DUMMYFUNCTION("""COMPUTED_VALUE"""),44466)</f>
        <v>44466</v>
      </c>
      <c r="D2453" s="25" t="str">
        <f ca="1">IFERROR(__xludf.DUMMYFUNCTION("""COMPUTED_VALUE"""),"Cultura")</f>
        <v>Cultura</v>
      </c>
      <c r="E2453" s="25" t="str">
        <f ca="1">IFERROR(__xludf.DUMMYFUNCTION("""COMPUTED_VALUE"""),"Instituto Distrital de las Artes")</f>
        <v>Instituto Distrital de las Artes</v>
      </c>
      <c r="F2453" s="25" t="str">
        <f ca="1">IFERROR(__xludf.DUMMYFUNCTION("""COMPUTED_VALUE"""),"Realizar reunión de articulación entre DADEP-IDARTES-IPES Gabriel Angarita y Camilo Umaña respecto a la carrera 7 con 19 y 24 y poder realizar actividades de Juntos Cuidamos Bogotá")</f>
        <v>Realizar reunión de articulación entre DADEP-IDARTES-IPES Gabriel Angarita y Camilo Umaña respecto a la carrera 7 con 19 y 24 y poder realizar actividades de Juntos Cuidamos Bogotá</v>
      </c>
      <c r="G2453" s="25" t="str">
        <f ca="1">IFERROR(__xludf.DUMMYFUNCTION("""COMPUTED_VALUE"""),"99. Distrito")</f>
        <v>99. Distrito</v>
      </c>
      <c r="H2453" s="55">
        <f ca="1">IFERROR(__xludf.DUMMYFUNCTION("""COMPUTED_VALUE"""),44496)</f>
        <v>44496</v>
      </c>
      <c r="I2453" s="25"/>
      <c r="J2453" s="55" t="str">
        <f ca="1">IFERROR(__xludf.DUMMYFUNCTION("""COMPUTED_VALUE"""),"Alta")</f>
        <v>Alta</v>
      </c>
      <c r="K2453" s="25">
        <f ca="1">IFERROR(__xludf.DUMMYFUNCTION("""COMPUTED_VALUE"""),30)</f>
        <v>30</v>
      </c>
      <c r="L2453" s="62">
        <f ca="1">IFERROR(__xludf.DUMMYFUNCTION("""COMPUTED_VALUE"""),44540)</f>
        <v>44540</v>
      </c>
      <c r="M2453" s="25" t="str">
        <f ca="1">IFERROR(__xludf.DUMMYFUNCTION("""COMPUTED_VALUE"""),"Se han desarrollado acciones de articulación con DADEP para garantizar el apoyo del equipo de Defensores del Espacio Público, con los cuales se trabaja de manera mancomunada entre los dos equipos para proteger el espacio público. EL trabajo de articulació"&amp;"n interinstitucional se mantiene de forma permanente. A la fecha se ha logrado recuperar el espacio público del sector de la empresa de teléfonos de Bogotá – ETB, después de varios meses de trabajo pedagógico con ventas informales y artistas regulados, po"&amp;"r lo que recuperar el espacio del TJEG es un proceso que debe realizarse de manera paulatina.
 Se establecieron acuerdos para recuperar el espacio público de la fachada de la Empresa de Teléfonos de Bogotá – ETB y se estableció un plan de recuperación d"&amp;"el espacio público conexo al Teatro Municipal Jorge Eliécer Gaitán. (Rad. 20213000050221 – Rad. 20213000366203 - Rad. 20213000415513)")</f>
        <v>Se han desarrollado acciones de articulación con DADEP para garantizar el apoyo del equipo de Defensores del Espacio Público, con los cuales se trabaja de manera mancomunada entre los dos equipos para proteger el espacio público. EL trabajo de articulación interinstitucional se mantiene de forma permanente. A la fecha se ha logrado recuperar el espacio público del sector de la empresa de teléfonos de Bogotá – ETB, después de varios meses de trabajo pedagógico con ventas informales y artistas regulados, por lo que recuperar el espacio del TJEG es un proceso que debe realizarse de manera paulatina.
 Se establecieron acuerdos para recuperar el espacio público de la fachada de la Empresa de Teléfonos de Bogotá – ETB y se estableció un plan de recuperación del espacio público conexo al Teatro Municipal Jorge Eliécer Gaitán. (Rad. 20213000050221 – Rad. 20213000366203 - Rad. 20213000415513)</v>
      </c>
      <c r="N2453" s="55">
        <f ca="1">IFERROR(__xludf.DUMMYFUNCTION("""COMPUTED_VALUE"""),44540)</f>
        <v>44540</v>
      </c>
      <c r="O2453" s="25" t="str">
        <f t="shared" ca="1" si="0"/>
        <v>Instituto Distrital de las Artes</v>
      </c>
      <c r="P2453" s="25" t="str">
        <f t="shared" si="2"/>
        <v/>
      </c>
      <c r="Q2453" s="25" t="str">
        <f ca="1">IFERROR(__xludf.DUMMYFUNCTION("""COMPUTED_VALUE"""),"Corto plazo")</f>
        <v>Corto plazo</v>
      </c>
      <c r="R2453" s="25"/>
      <c r="S2453" s="55"/>
      <c r="T2453" s="56"/>
      <c r="U2453" s="25"/>
      <c r="V2453" s="25"/>
      <c r="W2453" s="25"/>
      <c r="X2453" s="25"/>
      <c r="Y2453" s="25"/>
      <c r="Z2453" s="25"/>
    </row>
    <row r="2454" spans="1:26" ht="52.5" customHeight="1" x14ac:dyDescent="0.25">
      <c r="A2454" s="25" t="str">
        <f ca="1">IFERROR(__xludf.DUMMYFUNCTION("""COMPUTED_VALUE"""),"Cultu52")</f>
        <v>Cultu52</v>
      </c>
      <c r="B2454" s="25" t="str">
        <f ca="1">IFERROR(__xludf.DUMMYFUNCTION("""COMPUTED_VALUE"""),"Comité Directivo IDARTES")</f>
        <v>Comité Directivo IDARTES</v>
      </c>
      <c r="C2454" s="55">
        <f ca="1">IFERROR(__xludf.DUMMYFUNCTION("""COMPUTED_VALUE"""),44466)</f>
        <v>44466</v>
      </c>
      <c r="D2454" s="25" t="str">
        <f ca="1">IFERROR(__xludf.DUMMYFUNCTION("""COMPUTED_VALUE"""),"Cultura")</f>
        <v>Cultura</v>
      </c>
      <c r="E2454" s="25" t="str">
        <f ca="1">IFERROR(__xludf.DUMMYFUNCTION("""COMPUTED_VALUE"""),"Instituto Distrital de las Artes")</f>
        <v>Instituto Distrital de las Artes</v>
      </c>
      <c r="F2454" s="25" t="str">
        <f ca="1">IFERROR(__xludf.DUMMYFUNCTION("""COMPUTED_VALUE"""),"Revisar viabilidad del sello verde en los equipamientos distritales por buenas prácticas ecológicas y disminución de la huella de carbono")</f>
        <v>Revisar viabilidad del sello verde en los equipamientos distritales por buenas prácticas ecológicas y disminución de la huella de carbono</v>
      </c>
      <c r="G2454" s="25" t="str">
        <f ca="1">IFERROR(__xludf.DUMMYFUNCTION("""COMPUTED_VALUE"""),"99. Distrito")</f>
        <v>99. Distrito</v>
      </c>
      <c r="H2454" s="55">
        <f ca="1">IFERROR(__xludf.DUMMYFUNCTION("""COMPUTED_VALUE"""),44496)</f>
        <v>44496</v>
      </c>
      <c r="I2454" s="25"/>
      <c r="J2454" s="55" t="str">
        <f ca="1">IFERROR(__xludf.DUMMYFUNCTION("""COMPUTED_VALUE"""),"Alta")</f>
        <v>Alta</v>
      </c>
      <c r="K2454" s="25">
        <f ca="1">IFERROR(__xludf.DUMMYFUNCTION("""COMPUTED_VALUE"""),30)</f>
        <v>30</v>
      </c>
      <c r="L2454" s="62">
        <f ca="1">IFERROR(__xludf.DUMMYFUNCTION("""COMPUTED_VALUE"""),44540)</f>
        <v>44540</v>
      </c>
      <c r="M2454" s="25" t="str">
        <f ca="1">IFERROR(__xludf.DUMMYFUNCTION("""COMPUTED_VALUE"""),"Reemplazo de las luminarias halógenas por tecnología LED y sistemas de control lumínico para el Teatro Jorge Eliécer Gaitán, el Teatro al Aire Libre La Media Torta y el Escenario Móvil.
Renovación del sistema de proyección del Planetario de Bogotá, por  "&amp;"un proyector láser Griffin 4K32-RGB de última tecnología que reduce el consumo energético frente al anterior equipo.
Realización del diagnóstico de viabilidad de un proyecto solar fotovoltaico para el Planetario de Bogotá junto a la Secretaría de Ambient"&amp;"e. 
Desarrollo del Manual de Buenas Prácticas de la Comisión Fílmica de Bogotá, que cuenta con un capítulo de recomendaciones medioambientales.
Realización en 2020 y 2021 del I y II Foro Internacional Respira El Arte, con expertos en energías renovables"&amp;" de Canadá, Reino Unido, Países Bajos y Estados Unidos. 
Realización de seis mesas bimestrales  sobre arte, sustentabilidad y política pública con tomadores de decisiones del país. 
Mesa de trabajo con Fondo Acción para la constitución de un convenio de"&amp;" asociación que permita la adaptación de calculadoras ambientales para equipamientos culturales y realización de guías para equipamientos verdes y sustentables.
")</f>
        <v xml:space="preserve">Reemplazo de las luminarias halógenas por tecnología LED y sistemas de control lumínico para el Teatro Jorge Eliécer Gaitán, el Teatro al Aire Libre La Media Torta y el Escenario Móvil.
Renovación del sistema de proyección del Planetario de Bogotá, por  un proyector láser Griffin 4K32-RGB de última tecnología que reduce el consumo energético frente al anterior equipo.
Realización del diagnóstico de viabilidad de un proyecto solar fotovoltaico para el Planetario de Bogotá junto a la Secretaría de Ambiente. 
Desarrollo del Manual de Buenas Prácticas de la Comisión Fílmica de Bogotá, que cuenta con un capítulo de recomendaciones medioambientales.
Realización en 2020 y 2021 del I y II Foro Internacional Respira El Arte, con expertos en energías renovables de Canadá, Reino Unido, Países Bajos y Estados Unidos. 
Realización de seis mesas bimestrales  sobre arte, sustentabilidad y política pública con tomadores de decisiones del país. 
Mesa de trabajo con Fondo Acción para la constitución de un convenio de asociación que permita la adaptación de calculadoras ambientales para equipamientos culturales y realización de guías para equipamientos verdes y sustentables.
</v>
      </c>
      <c r="N2454" s="55">
        <f ca="1">IFERROR(__xludf.DUMMYFUNCTION("""COMPUTED_VALUE"""),44540)</f>
        <v>44540</v>
      </c>
      <c r="O2454" s="25" t="str">
        <f t="shared" ca="1" si="0"/>
        <v>Instituto Distrital de las Artes</v>
      </c>
      <c r="P2454" s="25" t="str">
        <f t="shared" si="2"/>
        <v/>
      </c>
      <c r="Q2454" s="25" t="str">
        <f ca="1">IFERROR(__xludf.DUMMYFUNCTION("""COMPUTED_VALUE"""),"Corto plazo")</f>
        <v>Corto plazo</v>
      </c>
      <c r="R2454" s="25"/>
      <c r="S2454" s="55"/>
      <c r="T2454" s="56"/>
      <c r="U2454" s="25"/>
      <c r="V2454" s="25"/>
      <c r="W2454" s="25"/>
      <c r="X2454" s="25"/>
      <c r="Y2454" s="25"/>
      <c r="Z2454" s="25"/>
    </row>
    <row r="2455" spans="1:26" ht="52.5" customHeight="1" x14ac:dyDescent="0.25">
      <c r="A2455" s="25" t="str">
        <f ca="1">IFERROR(__xludf.DUMMYFUNCTION("""COMPUTED_VALUE"""),"Cultu53")</f>
        <v>Cultu53</v>
      </c>
      <c r="B2455" s="25" t="str">
        <f ca="1">IFERROR(__xludf.DUMMYFUNCTION("""COMPUTED_VALUE"""),"Comité Directivo IDARTES")</f>
        <v>Comité Directivo IDARTES</v>
      </c>
      <c r="C2455" s="55">
        <f ca="1">IFERROR(__xludf.DUMMYFUNCTION("""COMPUTED_VALUE"""),44466)</f>
        <v>44466</v>
      </c>
      <c r="D2455" s="25" t="str">
        <f ca="1">IFERROR(__xludf.DUMMYFUNCTION("""COMPUTED_VALUE"""),"Cultura")</f>
        <v>Cultura</v>
      </c>
      <c r="E2455" s="25" t="str">
        <f ca="1">IFERROR(__xludf.DUMMYFUNCTION("""COMPUTED_VALUE"""),"Instituto Distrital de las Artes")</f>
        <v>Instituto Distrital de las Artes</v>
      </c>
      <c r="F2455" s="25" t="str">
        <f ca="1">IFERROR(__xludf.DUMMYFUNCTION("""COMPUTED_VALUE"""),"Revisar estrategia para entrega de los $ 2 mil millones al Teatro Julio Santo Domingo y la disponibilidad presupuestal de navidad")</f>
        <v>Revisar estrategia para entrega de los $ 2 mil millones al Teatro Julio Santo Domingo y la disponibilidad presupuestal de navidad</v>
      </c>
      <c r="G2455" s="25" t="str">
        <f ca="1">IFERROR(__xludf.DUMMYFUNCTION("""COMPUTED_VALUE"""),"99. Distrito")</f>
        <v>99. Distrito</v>
      </c>
      <c r="H2455" s="55">
        <f ca="1">IFERROR(__xludf.DUMMYFUNCTION("""COMPUTED_VALUE"""),44496)</f>
        <v>44496</v>
      </c>
      <c r="I2455" s="25"/>
      <c r="J2455" s="55" t="str">
        <f ca="1">IFERROR(__xludf.DUMMYFUNCTION("""COMPUTED_VALUE"""),"Alta")</f>
        <v>Alta</v>
      </c>
      <c r="K2455" s="25">
        <f ca="1">IFERROR(__xludf.DUMMYFUNCTION("""COMPUTED_VALUE"""),30)</f>
        <v>30</v>
      </c>
      <c r="L2455" s="62">
        <f ca="1">IFERROR(__xludf.DUMMYFUNCTION("""COMPUTED_VALUE"""),44540)</f>
        <v>44540</v>
      </c>
      <c r="M2455" s="25" t="str">
        <f ca="1">IFERROR(__xludf.DUMMYFUNCTION("""COMPUTED_VALUE"""),"Se adelantó traslado ptal por 878 millones de pesos para el TMSD y se tiene previsto realizar el giro la tercera semana de diciembre, en cuanto a las actividades de  Navidad a la fecha se han realizado 120 actividades .")</f>
        <v>Se adelantó traslado ptal por 878 millones de pesos para el TMSD y se tiene previsto realizar el giro la tercera semana de diciembre, en cuanto a las actividades de  Navidad a la fecha se han realizado 120 actividades .</v>
      </c>
      <c r="N2455" s="55">
        <f ca="1">IFERROR(__xludf.DUMMYFUNCTION("""COMPUTED_VALUE"""),44540)</f>
        <v>44540</v>
      </c>
      <c r="O2455" s="25" t="str">
        <f t="shared" ca="1" si="0"/>
        <v>Instituto Distrital de las Artes</v>
      </c>
      <c r="P2455" s="25" t="str">
        <f t="shared" si="2"/>
        <v/>
      </c>
      <c r="Q2455" s="25" t="str">
        <f ca="1">IFERROR(__xludf.DUMMYFUNCTION("""COMPUTED_VALUE"""),"Corto plazo")</f>
        <v>Corto plazo</v>
      </c>
      <c r="R2455" s="25"/>
      <c r="S2455" s="55"/>
      <c r="T2455" s="56"/>
      <c r="U2455" s="25"/>
      <c r="V2455" s="25"/>
      <c r="W2455" s="25"/>
      <c r="X2455" s="25"/>
      <c r="Y2455" s="25"/>
      <c r="Z2455" s="25"/>
    </row>
    <row r="2456" spans="1:26" ht="52.5" customHeight="1" x14ac:dyDescent="0.25">
      <c r="A2456" s="25" t="str">
        <f ca="1">IFERROR(__xludf.DUMMYFUNCTION("""COMPUTED_VALUE"""),"Cultu54")</f>
        <v>Cultu54</v>
      </c>
      <c r="B2456" s="25" t="str">
        <f ca="1">IFERROR(__xludf.DUMMYFUNCTION("""COMPUTED_VALUE"""),"Distritos Creativos ")</f>
        <v xml:space="preserve">Distritos Creativos </v>
      </c>
      <c r="C2456" s="55">
        <f ca="1">IFERROR(__xludf.DUMMYFUNCTION("""COMPUTED_VALUE"""),44462)</f>
        <v>44462</v>
      </c>
      <c r="D2456" s="25" t="str">
        <f ca="1">IFERROR(__xludf.DUMMYFUNCTION("""COMPUTED_VALUE"""),"Cultura")</f>
        <v>Cultura</v>
      </c>
      <c r="E2456" s="25" t="str">
        <f ca="1">IFERROR(__xludf.DUMMYFUNCTION("""COMPUTED_VALUE"""),"Secretaría Distrital de Cultura, Recreación y Deporte")</f>
        <v>Secretaría Distrital de Cultura, Recreación y Deporte</v>
      </c>
      <c r="F2456" s="25" t="str">
        <f ca="1">IFERROR(__xludf.DUMMYFUNCTION("""COMPUTED_VALUE"""),"Presentar propuestas  concretas de actividades para potenciar los de distritos creativos con responsables definidos, metas trazadoras, para dejarle a la ciudad un ecosistema armado. ")</f>
        <v xml:space="preserve">Presentar propuestas  concretas de actividades para potenciar los de distritos creativos con responsables definidos, metas trazadoras, para dejarle a la ciudad un ecosistema armado. </v>
      </c>
      <c r="G2456" s="25" t="str">
        <f ca="1">IFERROR(__xludf.DUMMYFUNCTION("""COMPUTED_VALUE"""),"99. Distrito")</f>
        <v>99. Distrito</v>
      </c>
      <c r="H2456" s="55">
        <f ca="1">IFERROR(__xludf.DUMMYFUNCTION("""COMPUTED_VALUE"""),44492)</f>
        <v>44492</v>
      </c>
      <c r="I2456" s="25"/>
      <c r="J2456" s="55" t="str">
        <f ca="1">IFERROR(__xludf.DUMMYFUNCTION("""COMPUTED_VALUE"""),"Alta")</f>
        <v>Alta</v>
      </c>
      <c r="K2456" s="25">
        <f ca="1">IFERROR(__xludf.DUMMYFUNCTION("""COMPUTED_VALUE"""),30)</f>
        <v>30</v>
      </c>
      <c r="L2456" s="62">
        <f ca="1">IFERROR(__xludf.DUMMYFUNCTION("""COMPUTED_VALUE"""),44624)</f>
        <v>44624</v>
      </c>
      <c r="M2456" s="25" t="str">
        <f ca="1">IFERROR(__xludf.DUMMYFUNCTION("""COMPUTED_VALUE"""),"En el marco de la Política Pública Distrital de Economía Cultural y Creativa se están consolidando varias estrategias con impacto territorial con el fin de generar un entorno propicio para el desarrollo cultural, social y económico de la ciudad. Asimismo,"&amp;" se estableció dentro de las acciones generadas dentro de la Estrategia de Mitigación y Reactivación Económica (EMRE), una estrategia espacial de incentivo al aparato productivo en los Distritos Creativos, donde 15 entidades de la Administración distrital"&amp;" están implementando programas y proyectos de obras públicas e infraestructura, así como iniciativas de urbanismo táctico, acupuntura urbana, intervenciones artísticas del espacio público, atracción de turismo, administración delegada y aprovechamiento ec"&amp;"onómico del espacio público (DEMOS), señalización, movilidad, entre otras. Estos esfuerzos interinstitucionales impactan 50 metas del Plan Distrital de Desarrollo y suman un total de $59.178 millones de pesos entre 2020 y 2021, dentro de los polígonos de "&amp;"San Felipe y de Candelaria/Santa Fe. En agosto de 2021, el proyecto “Red Distrital de Distritos Creativos: una estrategia con enfoque de género y derechos humanos, para la reactivación social, cultural y económica en Bogotá, como respuesta a la crisis gen"&amp;"erada por el COVID-19” fue seleccionado como beneficiario de la Convocatoria Pública de Subvenciones del Ayuntamiento de Madrid. El valor total del proyecto es de más de €416.000. 
En 2022 se está implementando la primera fase de este proyecto, que compr"&amp;"ende las siguientes actividades: I. Diagnóstico de necesidades de mujeres que lideran proyectos culturales en los Distritos Creativos. II. Programa de formación en competencias emprendedoras y empresariales dirigido a 100 mujeres que lideran proyectos cul"&amp;"turales en los Distritos Creativos. III. Financiación de proyectos detonantes y asesorías especializadas para el acompañamiento tanto en la ejecución de los recursos como en la implementación de los proyectos liderados por mujeres de los Distritos Creativ"&amp;"os. 
Durante 2021, el proyecto de inversión que lidera la consolidación de los Distritos Creativos y de la Estrategia Espacial de Incentivo al Aparato Productivo creció 306% frente al presupuesto original, pasando de $1.788 a $7.261 millones, lo cual per"&amp;"mitió atender la consolidación de Distritos Creativos simultáneamente con programas de fortalecimiento de la cadena de valor. Para 2022, este presupuesto asciende a los $8.034 millones, lo que posibilita la conformación de un equipo de trabajo especializa"&amp;"do para direccionar los esfuerzos interinstitucionales en el territorio y ampliar los recursos económicos y los beneficiarios a impactar. En 2022, la meta trazada es fortalecer el ecosistema de mínimos cinco (5 Distritos Creativos) en la ciudad. Para esto"&amp;" se diseñó un plan de acción que se está ejecutando con las siguientes actividades: I. Estímulos económicos e incentivos a la productividad a través de la formulación y ejecución de una convocatoria que incidirá en la activación económica y fortalecimient"&amp;"o a procesos productivos con enfoque cultural y creativo; la implementación de estrategias de urbanismo táctico, obras en espacio público, mercados, redes de trabajo y festivales que se desarrollan en los Distritos Creativos, así como mejoramiento de la e"&amp;"xperiencia de visita y goce de estos espacios en la ciudad. II. Consolidación de modelos de gobernanza y apropiación del territorio. III. Generación de condiciones favorables para el desarrollo de actividades sectoriales en el territorio, por medio de ges"&amp;"tión normativa. IV. Promoción de la circulación ciudadana en los territorios a través de estrategias de relacionamiento con la ciudadanía y agentes del sector, al igual que el diseño e instalación de señalética y el reconocimiento del patrimonio en los Di"&amp;"stritos Creativos. V. Gestión del conocimiento a través del mapeo y la caracterización de los Distritos Creativos para la toma de decisiones y la comunicación de estos territorios. VI. El Diseño y la implementación de una estrategia de comunicaciones aser"&amp;"tiva y efectiva de los Distritos Creativos. 
Adicionalmente se ha avanzado con Asobancaria en mesas técnicas de trabajo para identificar tanto las necesidades de financiamiento como las posibilidades de crédito de los agentes del sector cultural y creati"&amp;"vo de la ciudad, con el objetivo de disminuir las brechas de acceso a la banca comercial. Así mismo, se está trabajando con la Corporación Andina de Fomento (CAF) en el acceso a recursos de financiación, los cuales llegarán al Distrito a través de un créd"&amp;"ito del Gobierno Nacional. Desde la SCRD se elaboró una propuesta para el fortalecimiento de los Distritos Creativos y territorios culturales, a través de: acciones de posicionamiento y promoción de Distritos Creativos; señalización de estos espacios a tr"&amp;"avés de intervenciones artísticas en elementos del espacio público; identificación de nuevos distritos o territorios culturales en la zona urbana o rural de Bogotá; reactivación de los agentes localizados en estos territorios a través de la continuidad de"&amp;" programas como Es Cultura Local, Aldea Bogotá Cultural y Creativa y el proyecto Madrid; y circulación de bienes y servicios culturales en mercados, ferias y ruedas de negocio. Por otro lado, se está avanzando en agendas interinstitucionales con entidades"&amp;" como la Secretaría de Desarrollo Económico para temas como Bogotá 24 horas o Bogotá a Cielo Abierto, con UAESP, el DADEP, el IDPC, el IDT, la FUGA, alcaldías locales y agentes culturales y creativos activos en los Distritos Creativos donde se están artic"&amp;"ulando acciones concretas para la consolidación de estos entornos con vocación cultural y creativa")</f>
        <v>En el marco de la Política Pública Distrital de Economía Cultural y Creativa se están consolidando varias estrategias con impacto territorial con el fin de generar un entorno propicio para el desarrollo cultural, social y económico de la ciudad. Asimismo, se estableció dentro de las acciones generadas dentro de la Estrategia de Mitigación y Reactivación Económica (EMRE), una estrategia espacial de incentivo al aparato productivo en los Distritos Creativos, donde 15 entidades de la Administración distrital están implementando programas y proyectos de obras públicas e infraestructura, así como iniciativas de urbanismo táctico, acupuntura urbana, intervenciones artísticas del espacio público, atracción de turismo, administración delegada y aprovechamiento económico del espacio público (DEMOS), señalización, movilidad, entre otras. Estos esfuerzos interinstitucionales impactan 50 metas del Plan Distrital de Desarrollo y suman un total de $59.178 millones de pesos entre 2020 y 2021, dentro de los polígonos de San Felipe y de Candelaria/Santa Fe. En agosto de 2021, el proyecto “Red Distrital de Distritos Creativos: una estrategia con enfoque de género y derechos humanos, para la reactivación social, cultural y económica en Bogotá, como respuesta a la crisis generada por el COVID-19” fue seleccionado como beneficiario de la Convocatoria Pública de Subvenciones del Ayuntamiento de Madrid. El valor total del proyecto es de más de €416.000. 
En 2022 se está implementando la primera fase de este proyecto, que comprende las siguientes actividades: I. Diagnóstico de necesidades de mujeres que lideran proyectos culturales en los Distritos Creativos. II. Programa de formación en competencias emprendedoras y empresariales dirigido a 100 mujeres que lideran proyectos culturales en los Distritos Creativos. III. Financiación de proyectos detonantes y asesorías especializadas para el acompañamiento tanto en la ejecución de los recursos como en la implementación de los proyectos liderados por mujeres de los Distritos Creativos. 
Durante 2021, el proyecto de inversión que lidera la consolidación de los Distritos Creativos y de la Estrategia Espacial de Incentivo al Aparato Productivo creció 306% frente al presupuesto original, pasando de $1.788 a $7.261 millones, lo cual permitió atender la consolidación de Distritos Creativos simultáneamente con programas de fortalecimiento de la cadena de valor. Para 2022, este presupuesto asciende a los $8.034 millones, lo que posibilita la conformación de un equipo de trabajo especializado para direccionar los esfuerzos interinstitucionales en el territorio y ampliar los recursos económicos y los beneficiarios a impactar. En 2022, la meta trazada es fortalecer el ecosistema de mínimos cinco (5 Distritos Creativos) en la ciudad. Para esto se diseñó un plan de acción que se está ejecutando con las siguientes actividades: I. Estímulos económicos e incentivos a la productividad a través de la formulación y ejecución de una convocatoria que incidirá en la activación económica y fortalecimiento a procesos productivos con enfoque cultural y creativo; la implementación de estrategias de urbanismo táctico, obras en espacio público, mercados, redes de trabajo y festivales que se desarrollan en los Distritos Creativos, así como mejoramiento de la experiencia de visita y goce de estos espacios en la ciudad. II. Consolidación de modelos de gobernanza y apropiación del territorio. III. Generación de condiciones favorables para el desarrollo de actividades sectoriales en el territorio, por medio de gestión normativa. IV. Promoción de la circulación ciudadana en los territorios a través de estrategias de relacionamiento con la ciudadanía y agentes del sector, al igual que el diseño e instalación de señalética y el reconocimiento del patrimonio en los Distritos Creativos. V. Gestión del conocimiento a través del mapeo y la caracterización de los Distritos Creativos para la toma de decisiones y la comunicación de estos territorios. VI. El Diseño y la implementación de una estrategia de comunicaciones asertiva y efectiva de los Distritos Creativos. 
Adicionalmente se ha avanzado con Asobancaria en mesas técnicas de trabajo para identificar tanto las necesidades de financiamiento como las posibilidades de crédito de los agentes del sector cultural y creativo de la ciudad, con el objetivo de disminuir las brechas de acceso a la banca comercial. Así mismo, se está trabajando con la Corporación Andina de Fomento (CAF) en el acceso a recursos de financiación, los cuales llegarán al Distrito a través de un crédito del Gobierno Nacional. Desde la SCRD se elaboró una propuesta para el fortalecimiento de los Distritos Creativos y territorios culturales, a través de: acciones de posicionamiento y promoción de Distritos Creativos; señalización de estos espacios a través de intervenciones artísticas en elementos del espacio público; identificación de nuevos distritos o territorios culturales en la zona urbana o rural de Bogotá; reactivación de los agentes localizados en estos territorios a través de la continuidad de programas como Es Cultura Local, Aldea Bogotá Cultural y Creativa y el proyecto Madrid; y circulación de bienes y servicios culturales en mercados, ferias y ruedas de negocio. Por otro lado, se está avanzando en agendas interinstitucionales con entidades como la Secretaría de Desarrollo Económico para temas como Bogotá 24 horas o Bogotá a Cielo Abierto, con UAESP, el DADEP, el IDPC, el IDT, la FUGA, alcaldías locales y agentes culturales y creativos activos en los Distritos Creativos donde se están articulando acciones concretas para la consolidación de estos entornos con vocación cultural y creativa</v>
      </c>
      <c r="N2456" s="55">
        <f ca="1">IFERROR(__xludf.DUMMYFUNCTION("""COMPUTED_VALUE"""),44624)</f>
        <v>44624</v>
      </c>
      <c r="O2456" s="25" t="str">
        <f t="shared" ca="1" si="0"/>
        <v>Secretaría Distrital de Cultura, Recreación y Deporte</v>
      </c>
      <c r="P2456" s="25" t="str">
        <f t="shared" si="2"/>
        <v/>
      </c>
      <c r="Q2456" s="25" t="str">
        <f ca="1">IFERROR(__xludf.DUMMYFUNCTION("""COMPUTED_VALUE"""),"Corto plazo")</f>
        <v>Corto plazo</v>
      </c>
      <c r="R2456" s="25"/>
      <c r="S2456" s="55"/>
      <c r="T2456" s="56"/>
      <c r="U2456" s="25"/>
      <c r="V2456" s="25"/>
      <c r="W2456" s="25"/>
      <c r="X2456" s="25"/>
      <c r="Y2456" s="25"/>
      <c r="Z2456" s="25"/>
    </row>
    <row r="2457" spans="1:26" ht="52.5" customHeight="1" x14ac:dyDescent="0.25">
      <c r="A2457" s="25" t="str">
        <f ca="1">IFERROR(__xludf.DUMMYFUNCTION("""COMPUTED_VALUE"""),"Cultu55")</f>
        <v>Cultu55</v>
      </c>
      <c r="B2457" s="25" t="str">
        <f ca="1">IFERROR(__xludf.DUMMYFUNCTION("""COMPUTED_VALUE"""),"Distritos Creativos ")</f>
        <v xml:space="preserve">Distritos Creativos </v>
      </c>
      <c r="C2457" s="55">
        <f ca="1">IFERROR(__xludf.DUMMYFUNCTION("""COMPUTED_VALUE"""),44462)</f>
        <v>44462</v>
      </c>
      <c r="D2457" s="25" t="str">
        <f ca="1">IFERROR(__xludf.DUMMYFUNCTION("""COMPUTED_VALUE"""),"Cultura")</f>
        <v>Cultura</v>
      </c>
      <c r="E2457" s="25" t="str">
        <f ca="1">IFERROR(__xludf.DUMMYFUNCTION("""COMPUTED_VALUE"""),"Secretaría Distrital de Cultura, Recreación y Deporte")</f>
        <v>Secretaría Distrital de Cultura, Recreación y Deporte</v>
      </c>
      <c r="F2457" s="25" t="str">
        <f ca="1">IFERROR(__xludf.DUMMYFUNCTION("""COMPUTED_VALUE"""),"Incluir dentro de los beneficiarios de los créditos en convenio de agata a los artistas.")</f>
        <v>Incluir dentro de los beneficiarios de los créditos en convenio de agata a los artistas.</v>
      </c>
      <c r="G2457" s="25" t="str">
        <f ca="1">IFERROR(__xludf.DUMMYFUNCTION("""COMPUTED_VALUE"""),"99. Distrito")</f>
        <v>99. Distrito</v>
      </c>
      <c r="H2457" s="55">
        <f ca="1">IFERROR(__xludf.DUMMYFUNCTION("""COMPUTED_VALUE"""),44492)</f>
        <v>44492</v>
      </c>
      <c r="I2457" s="25"/>
      <c r="J2457" s="55" t="str">
        <f ca="1">IFERROR(__xludf.DUMMYFUNCTION("""COMPUTED_VALUE"""),"Alta")</f>
        <v>Alta</v>
      </c>
      <c r="K2457" s="25">
        <f ca="1">IFERROR(__xludf.DUMMYFUNCTION("""COMPUTED_VALUE"""),30)</f>
        <v>30</v>
      </c>
      <c r="L2457" s="62">
        <f ca="1">IFERROR(__xludf.DUMMYFUNCTION("""COMPUTED_VALUE"""),44624)</f>
        <v>44624</v>
      </c>
      <c r="M2457" s="25" t="str">
        <f ca="1">IFERROR(__xludf.DUMMYFUNCTION("""COMPUTED_VALUE"""),"Se coordinó una primera reunión con la agencia Ágata, en compañía del equipo de la Secretaría General. Sin embargo, no fue posible realizarla y quedó pendiente el reagendamiento por parte de la agencia. A la fecha, nos encontramos a la espera de que la ag"&amp;"encia fije una nueva fecha para la reunión. 
Así mismo, durante el segundo semestre de 2021, la SCRD organizó y participó en mesas técnicas de trabajo con Asobancaria, tres bancos comerciales (Bancolombia, Banco de Bogotá y BBVA), MinCultura y empresas d"&amp;"el sector cultural,  con el objetivo de identificar si los productos financieros existentes responden a las necesidades actuales de los agentes del sector cultural y creativo. El 4 de marzo de 2022 se realizó la socialización de los resultados del ejercic"&amp;"io y se plantearon tanto propuestas específicas como ejes de trabajo frente a las principales necesidades identificadas. Estas mesas continuarán desarrollándose durante el año en vigencia.  
")</f>
        <v xml:space="preserve">Se coordinó una primera reunión con la agencia Ágata, en compañía del equipo de la Secretaría General. Sin embargo, no fue posible realizarla y quedó pendiente el reagendamiento por parte de la agencia. A la fecha, nos encontramos a la espera de que la agencia fije una nueva fecha para la reunión. 
Así mismo, durante el segundo semestre de 2021, la SCRD organizó y participó en mesas técnicas de trabajo con Asobancaria, tres bancos comerciales (Bancolombia, Banco de Bogotá y BBVA), MinCultura y empresas del sector cultural,  con el objetivo de identificar si los productos financieros existentes responden a las necesidades actuales de los agentes del sector cultural y creativo. El 4 de marzo de 2022 se realizó la socialización de los resultados del ejercicio y se plantearon tanto propuestas específicas como ejes de trabajo frente a las principales necesidades identificadas. Estas mesas continuarán desarrollándose durante el año en vigencia.  
</v>
      </c>
      <c r="N2457" s="55">
        <f ca="1">IFERROR(__xludf.DUMMYFUNCTION("""COMPUTED_VALUE"""),44624)</f>
        <v>44624</v>
      </c>
      <c r="O2457" s="25" t="str">
        <f t="shared" ca="1" si="0"/>
        <v>Secretaría Distrital de Cultura, Recreación y Deporte</v>
      </c>
      <c r="P2457" s="25" t="str">
        <f t="shared" si="2"/>
        <v/>
      </c>
      <c r="Q2457" s="25" t="str">
        <f ca="1">IFERROR(__xludf.DUMMYFUNCTION("""COMPUTED_VALUE"""),"Corto plazo")</f>
        <v>Corto plazo</v>
      </c>
      <c r="R2457" s="25"/>
      <c r="S2457" s="55"/>
      <c r="T2457" s="56"/>
      <c r="U2457" s="25"/>
      <c r="V2457" s="25"/>
      <c r="W2457" s="25"/>
      <c r="X2457" s="25"/>
      <c r="Y2457" s="25"/>
      <c r="Z2457" s="25"/>
    </row>
    <row r="2458" spans="1:26" ht="52.5" customHeight="1" x14ac:dyDescent="0.25">
      <c r="A2458" s="25" t="str">
        <f ca="1">IFERROR(__xludf.DUMMYFUNCTION("""COMPUTED_VALUE"""),"Cultu56")</f>
        <v>Cultu56</v>
      </c>
      <c r="B2458" s="25" t="str">
        <f ca="1">IFERROR(__xludf.DUMMYFUNCTION("""COMPUTED_VALUE"""),"PEMP- Grandes inversores con Min Cultura")</f>
        <v>PEMP- Grandes inversores con Min Cultura</v>
      </c>
      <c r="C2458" s="55">
        <f ca="1">IFERROR(__xludf.DUMMYFUNCTION("""COMPUTED_VALUE"""),44418)</f>
        <v>44418</v>
      </c>
      <c r="D2458" s="25" t="str">
        <f ca="1">IFERROR(__xludf.DUMMYFUNCTION("""COMPUTED_VALUE"""),"Cultura")</f>
        <v>Cultura</v>
      </c>
      <c r="E2458" s="25" t="str">
        <f ca="1">IFERROR(__xludf.DUMMYFUNCTION("""COMPUTED_VALUE"""),"Instituto Distrital del Patrimonio Cultural")</f>
        <v>Instituto Distrital del Patrimonio Cultural</v>
      </c>
      <c r="F2458" s="25" t="str">
        <f ca="1">IFERROR(__xludf.DUMMYFUNCTION("""COMPUTED_VALUE"""),"Patrick y Mincultura deben hacer una carta de intención para el presidente de españa para construir centro de cultura español en Bogotá, D.C. ")</f>
        <v xml:space="preserve">Patrick y Mincultura deben hacer una carta de intención para el presidente de españa para construir centro de cultura español en Bogotá, D.C. </v>
      </c>
      <c r="G2458" s="25" t="str">
        <f ca="1">IFERROR(__xludf.DUMMYFUNCTION("""COMPUTED_VALUE"""),"99. Distrito")</f>
        <v>99. Distrito</v>
      </c>
      <c r="H2458" s="55">
        <f ca="1">IFERROR(__xludf.DUMMYFUNCTION("""COMPUTED_VALUE"""),44448)</f>
        <v>44448</v>
      </c>
      <c r="I2458" s="25"/>
      <c r="J2458" s="55" t="str">
        <f ca="1">IFERROR(__xludf.DUMMYFUNCTION("""COMPUTED_VALUE"""),"Alta")</f>
        <v>Alta</v>
      </c>
      <c r="K2458" s="25">
        <f ca="1">IFERROR(__xludf.DUMMYFUNCTION("""COMPUTED_VALUE"""),30)</f>
        <v>30</v>
      </c>
      <c r="L2458" s="62">
        <f ca="1">IFERROR(__xludf.DUMMYFUNCTION("""COMPUTED_VALUE"""),45077)</f>
        <v>45077</v>
      </c>
      <c r="M2458" s="25" t="str">
        <f ca="1">IFERROR(__xludf.DUMMYFUNCTION("""COMPUTED_VALUE"""),"Cerrado. IDPC propició una conversación inicial entre el agregado cultural de la Embajada de España, la Alcaldesa y el Ministerio de Cultura, se enviaron los borradores de cartas y las conversaciones continuaron directamente desde la oficina de relaciones"&amp;" internacionales de la Alcaldía las cuales permitieron que el pasado 3 de febrero la Alcaldesa Mayor con la secretaria de Estado de Cooperación Internacional de españa, Pilar Cancela y el  embajador de España en Colombia, Joaquín de Aristegui Laborde, anu"&amp;"nciaron que la ciudad definió un plan de trabajo para hacer realidad el Centro Cultural de España.")</f>
        <v>Cerrado. IDPC propició una conversación inicial entre el agregado cultural de la Embajada de España, la Alcaldesa y el Ministerio de Cultura, se enviaron los borradores de cartas y las conversaciones continuaron directamente desde la oficina de relaciones internacionales de la Alcaldía las cuales permitieron que el pasado 3 de febrero la Alcaldesa Mayor con la secretaria de Estado de Cooperación Internacional de españa, Pilar Cancela y el  embajador de España en Colombia, Joaquín de Aristegui Laborde, anunciaron que la ciudad definió un plan de trabajo para hacer realidad el Centro Cultural de España.</v>
      </c>
      <c r="N2458" s="55">
        <f ca="1">IFERROR(__xludf.DUMMYFUNCTION("""COMPUTED_VALUE"""),44627)</f>
        <v>44627</v>
      </c>
      <c r="O2458" s="25" t="str">
        <f t="shared" ca="1" si="0"/>
        <v>Instituto Distrital del Patrimonio Cultural</v>
      </c>
      <c r="P2458" s="25" t="str">
        <f t="shared" si="2"/>
        <v/>
      </c>
      <c r="Q2458" s="25" t="str">
        <f ca="1">IFERROR(__xludf.DUMMYFUNCTION("""COMPUTED_VALUE"""),"Corto plazo")</f>
        <v>Corto plazo</v>
      </c>
      <c r="R2458" s="25"/>
      <c r="S2458" s="55"/>
      <c r="T2458" s="56"/>
      <c r="U2458" s="25"/>
      <c r="V2458" s="25"/>
      <c r="W2458" s="25"/>
      <c r="X2458" s="25"/>
      <c r="Y2458" s="25"/>
      <c r="Z2458" s="25"/>
    </row>
    <row r="2459" spans="1:26" ht="52.5" customHeight="1" x14ac:dyDescent="0.25">
      <c r="A2459" s="25" t="str">
        <f ca="1">IFERROR(__xludf.DUMMYFUNCTION("""COMPUTED_VALUE"""),"Cultu57")</f>
        <v>Cultu57</v>
      </c>
      <c r="B2459" s="25" t="str">
        <f ca="1">IFERROR(__xludf.DUMMYFUNCTION("""COMPUTED_VALUE"""),"PEMP")</f>
        <v>PEMP</v>
      </c>
      <c r="C2459" s="55">
        <f ca="1">IFERROR(__xludf.DUMMYFUNCTION("""COMPUTED_VALUE"""),44417)</f>
        <v>44417</v>
      </c>
      <c r="D2459" s="25" t="str">
        <f ca="1">IFERROR(__xludf.DUMMYFUNCTION("""COMPUTED_VALUE"""),"Cultura")</f>
        <v>Cultura</v>
      </c>
      <c r="E2459" s="25" t="str">
        <f ca="1">IFERROR(__xludf.DUMMYFUNCTION("""COMPUTED_VALUE"""),"Instituto Distrital del Patrimonio Cultural")</f>
        <v>Instituto Distrital del Patrimonio Cultural</v>
      </c>
      <c r="F2459" s="25" t="str">
        <f ca="1">IFERROR(__xludf.DUMMYFUNCTION("""COMPUTED_VALUE"""),"Hacer unas reuniones técnicas para revisar que todo lo que necesita el Banco de la República para sus proyectos y su consolidación estén en el PEMP y si no están que se incluyan en el POT. Radiquen el licenciamiento.")</f>
        <v>Hacer unas reuniones técnicas para revisar que todo lo que necesita el Banco de la República para sus proyectos y su consolidación estén en el PEMP y si no están que se incluyan en el POT. Radiquen el licenciamiento.</v>
      </c>
      <c r="G2459" s="25" t="str">
        <f ca="1">IFERROR(__xludf.DUMMYFUNCTION("""COMPUTED_VALUE"""),"99. Distrito")</f>
        <v>99. Distrito</v>
      </c>
      <c r="H2459" s="55">
        <f ca="1">IFERROR(__xludf.DUMMYFUNCTION("""COMPUTED_VALUE"""),44447)</f>
        <v>44447</v>
      </c>
      <c r="I2459" s="25"/>
      <c r="J2459" s="55" t="str">
        <f ca="1">IFERROR(__xludf.DUMMYFUNCTION("""COMPUTED_VALUE"""),"Alta")</f>
        <v>Alta</v>
      </c>
      <c r="K2459" s="25">
        <f ca="1">IFERROR(__xludf.DUMMYFUNCTION("""COMPUTED_VALUE"""),30)</f>
        <v>30</v>
      </c>
      <c r="L2459" s="62">
        <f ca="1">IFERROR(__xludf.DUMMYFUNCTION("""COMPUTED_VALUE"""),45077)</f>
        <v>45077</v>
      </c>
      <c r="M2459" s="25" t="str">
        <f ca="1">IFERROR(__xludf.DUMMYFUNCTION("""COMPUTED_VALUE"""),"Actualmente el Banco de la República no tiene temas de licenciamiento frente al IDPC. De otra parte el PEMP CHB ya acogió la posibilidad de nuevas construcciones y ampliaciones en este sector.")</f>
        <v>Actualmente el Banco de la República no tiene temas de licenciamiento frente al IDPC. De otra parte el PEMP CHB ya acogió la posibilidad de nuevas construcciones y ampliaciones en este sector.</v>
      </c>
      <c r="N2459" s="55">
        <f ca="1">IFERROR(__xludf.DUMMYFUNCTION("""COMPUTED_VALUE"""),44927)</f>
        <v>44927</v>
      </c>
      <c r="O2459" s="25" t="str">
        <f t="shared" ca="1" si="0"/>
        <v>Instituto Distrital del Patrimonio Cultural</v>
      </c>
      <c r="P2459" s="25" t="str">
        <f t="shared" si="2"/>
        <v/>
      </c>
      <c r="Q2459" s="25" t="str">
        <f ca="1">IFERROR(__xludf.DUMMYFUNCTION("""COMPUTED_VALUE"""),"Corto plazo")</f>
        <v>Corto plazo</v>
      </c>
      <c r="R2459" s="25"/>
      <c r="S2459" s="55"/>
      <c r="T2459" s="56"/>
      <c r="U2459" s="25"/>
      <c r="V2459" s="25"/>
      <c r="W2459" s="25"/>
      <c r="X2459" s="25"/>
      <c r="Y2459" s="25"/>
      <c r="Z2459" s="25"/>
    </row>
    <row r="2460" spans="1:26" ht="52.5" customHeight="1" x14ac:dyDescent="0.25">
      <c r="A2460" s="25" t="str">
        <f ca="1">IFERROR(__xludf.DUMMYFUNCTION("""COMPUTED_VALUE"""),"Cultu58")</f>
        <v>Cultu58</v>
      </c>
      <c r="B2460" s="25" t="str">
        <f ca="1">IFERROR(__xludf.DUMMYFUNCTION("""COMPUTED_VALUE"""),"PEMP")</f>
        <v>PEMP</v>
      </c>
      <c r="C2460" s="55">
        <f ca="1">IFERROR(__xludf.DUMMYFUNCTION("""COMPUTED_VALUE"""),44417)</f>
        <v>44417</v>
      </c>
      <c r="D2460" s="25" t="str">
        <f ca="1">IFERROR(__xludf.DUMMYFUNCTION("""COMPUTED_VALUE"""),"Cultura")</f>
        <v>Cultura</v>
      </c>
      <c r="E2460" s="25" t="str">
        <f ca="1">IFERROR(__xludf.DUMMYFUNCTION("""COMPUTED_VALUE"""),"Secretaría Distrital de Cultura, Recreación y Deporte")</f>
        <v>Secretaría Distrital de Cultura, Recreación y Deporte</v>
      </c>
      <c r="F2460" s="25" t="str">
        <f ca="1">IFERROR(__xludf.DUMMYFUNCTION("""COMPUTED_VALUE"""),"Revisar si es posible incluir las intervenciones en la Luis Ángel Arango")</f>
        <v>Revisar si es posible incluir las intervenciones en la Luis Ángel Arango</v>
      </c>
      <c r="G2460" s="25" t="str">
        <f ca="1">IFERROR(__xludf.DUMMYFUNCTION("""COMPUTED_VALUE"""),"99. Distrito")</f>
        <v>99. Distrito</v>
      </c>
      <c r="H2460" s="55">
        <f ca="1">IFERROR(__xludf.DUMMYFUNCTION("""COMPUTED_VALUE"""),44447)</f>
        <v>44447</v>
      </c>
      <c r="I2460" s="25"/>
      <c r="J2460" s="55" t="str">
        <f ca="1">IFERROR(__xludf.DUMMYFUNCTION("""COMPUTED_VALUE"""),"Alta")</f>
        <v>Alta</v>
      </c>
      <c r="K2460" s="25">
        <f ca="1">IFERROR(__xludf.DUMMYFUNCTION("""COMPUTED_VALUE"""),30)</f>
        <v>30</v>
      </c>
      <c r="L2460" s="62"/>
      <c r="M2460" s="25" t="str">
        <f ca="1">IFERROR(__xludf.DUMMYFUNCTION("""COMPUTED_VALUE"""),"IDPC avanza con Banco de la República en la revisión normativa y técnica para hacer posible la intervención arquitectónica en el Banco y con Fuga para articular la intervención del Parque Santander.")</f>
        <v>IDPC avanza con Banco de la República en la revisión normativa y técnica para hacer posible la intervención arquitectónica en el Banco y con Fuga para articular la intervención del Parque Santander.</v>
      </c>
      <c r="N2460" s="55">
        <f ca="1">IFERROR(__xludf.DUMMYFUNCTION("""COMPUTED_VALUE"""),44927)</f>
        <v>44927</v>
      </c>
      <c r="O2460" s="25" t="str">
        <f t="shared" ca="1" si="0"/>
        <v>Secretaría Distrital de Cultura, Recreación y Deporte</v>
      </c>
      <c r="P2460" s="25" t="str">
        <f t="shared" si="2"/>
        <v/>
      </c>
      <c r="Q2460" s="25" t="str">
        <f ca="1">IFERROR(__xludf.DUMMYFUNCTION("""COMPUTED_VALUE"""),"Corto plazo")</f>
        <v>Corto plazo</v>
      </c>
      <c r="R2460" s="25"/>
      <c r="S2460" s="55"/>
      <c r="T2460" s="56"/>
      <c r="U2460" s="25"/>
      <c r="V2460" s="25"/>
      <c r="W2460" s="25"/>
      <c r="X2460" s="25"/>
      <c r="Y2460" s="25"/>
      <c r="Z2460" s="25"/>
    </row>
    <row r="2461" spans="1:26" ht="52.5" customHeight="1" x14ac:dyDescent="0.25">
      <c r="A2461" s="25" t="str">
        <f ca="1">IFERROR(__xludf.DUMMYFUNCTION("""COMPUTED_VALUE"""),"Cultu59")</f>
        <v>Cultu59</v>
      </c>
      <c r="B2461" s="25" t="str">
        <f ca="1">IFERROR(__xludf.DUMMYFUNCTION("""COMPUTED_VALUE"""),"PEMP")</f>
        <v>PEMP</v>
      </c>
      <c r="C2461" s="55">
        <f ca="1">IFERROR(__xludf.DUMMYFUNCTION("""COMPUTED_VALUE"""),44417)</f>
        <v>44417</v>
      </c>
      <c r="D2461" s="25" t="str">
        <f ca="1">IFERROR(__xludf.DUMMYFUNCTION("""COMPUTED_VALUE"""),"Cultura")</f>
        <v>Cultura</v>
      </c>
      <c r="E2461" s="25" t="str">
        <f ca="1">IFERROR(__xludf.DUMMYFUNCTION("""COMPUTED_VALUE"""),"Secretaría Distrital de Cultura, Recreación y Deporte")</f>
        <v>Secretaría Distrital de Cultura, Recreación y Deporte</v>
      </c>
      <c r="F2461" s="25" t="str">
        <f ca="1">IFERROR(__xludf.DUMMYFUNCTION("""COMPUTED_VALUE"""),"Reunión Renovación Urbana - Proyecto de CAN. DADEP y Catastro sobre la redefinición del espacio público. Se necesita un delegado de DADEP y Catastro para acelerar el proceso.")</f>
        <v>Reunión Renovación Urbana - Proyecto de CAN. DADEP y Catastro sobre la redefinición del espacio público. Se necesita un delegado de DADEP y Catastro para acelerar el proceso.</v>
      </c>
      <c r="G2461" s="25" t="str">
        <f ca="1">IFERROR(__xludf.DUMMYFUNCTION("""COMPUTED_VALUE"""),"99. Distrito")</f>
        <v>99. Distrito</v>
      </c>
      <c r="H2461" s="55">
        <f ca="1">IFERROR(__xludf.DUMMYFUNCTION("""COMPUTED_VALUE"""),44447)</f>
        <v>44447</v>
      </c>
      <c r="I2461" s="25"/>
      <c r="J2461" s="55" t="str">
        <f ca="1">IFERROR(__xludf.DUMMYFUNCTION("""COMPUTED_VALUE"""),"Alta")</f>
        <v>Alta</v>
      </c>
      <c r="K2461" s="25">
        <f ca="1">IFERROR(__xludf.DUMMYFUNCTION("""COMPUTED_VALUE"""),30)</f>
        <v>30</v>
      </c>
      <c r="L2461" s="62"/>
      <c r="M2461" s="25" t="str">
        <f ca="1">IFERROR(__xludf.DUMMYFUNCTION("""COMPUTED_VALUE"""),"El próximo lunes 14 de marzo se desarrollará la primera mesa de articulación interinstitucional PEMP en la que se revisarán los avances en el tema.")</f>
        <v>El próximo lunes 14 de marzo se desarrollará la primera mesa de articulación interinstitucional PEMP en la que se revisarán los avances en el tema.</v>
      </c>
      <c r="N2461" s="55">
        <f ca="1">IFERROR(__xludf.DUMMYFUNCTION("""COMPUTED_VALUE"""),44927)</f>
        <v>44927</v>
      </c>
      <c r="O2461" s="25" t="str">
        <f t="shared" ca="1" si="0"/>
        <v>Secretaría Distrital de Cultura, Recreación y Deporte</v>
      </c>
      <c r="P2461" s="25" t="str">
        <f t="shared" si="2"/>
        <v/>
      </c>
      <c r="Q2461" s="25" t="str">
        <f ca="1">IFERROR(__xludf.DUMMYFUNCTION("""COMPUTED_VALUE"""),"Corto plazo")</f>
        <v>Corto plazo</v>
      </c>
      <c r="R2461" s="25"/>
      <c r="S2461" s="55"/>
      <c r="T2461" s="56"/>
      <c r="U2461" s="25"/>
      <c r="V2461" s="25"/>
      <c r="W2461" s="25"/>
      <c r="X2461" s="25"/>
      <c r="Y2461" s="25"/>
      <c r="Z2461" s="25"/>
    </row>
    <row r="2462" spans="1:26" ht="52.5" customHeight="1" x14ac:dyDescent="0.25">
      <c r="A2462" s="25" t="str">
        <f ca="1">IFERROR(__xludf.DUMMYFUNCTION("""COMPUTED_VALUE"""),"Cultu60")</f>
        <v>Cultu60</v>
      </c>
      <c r="B2462" s="25" t="str">
        <f ca="1">IFERROR(__xludf.DUMMYFUNCTION("""COMPUTED_VALUE"""),"PEMP")</f>
        <v>PEMP</v>
      </c>
      <c r="C2462" s="55">
        <f ca="1">IFERROR(__xludf.DUMMYFUNCTION("""COMPUTED_VALUE"""),44417)</f>
        <v>44417</v>
      </c>
      <c r="D2462" s="25" t="str">
        <f ca="1">IFERROR(__xludf.DUMMYFUNCTION("""COMPUTED_VALUE"""),"Cultura")</f>
        <v>Cultura</v>
      </c>
      <c r="E2462" s="25" t="str">
        <f ca="1">IFERROR(__xludf.DUMMYFUNCTION("""COMPUTED_VALUE"""),"Secretaría Distrital de Cultura, Recreación y Deporte")</f>
        <v>Secretaría Distrital de Cultura, Recreación y Deporte</v>
      </c>
      <c r="F2462" s="25" t="str">
        <f ca="1">IFERROR(__xludf.DUMMYFUNCTION("""COMPUTED_VALUE"""),"Revisar impuestos que deba la SAE para hacer un cruce de cuentas entre el Distrito y la SAE")</f>
        <v>Revisar impuestos que deba la SAE para hacer un cruce de cuentas entre el Distrito y la SAE</v>
      </c>
      <c r="G2462" s="25" t="str">
        <f ca="1">IFERROR(__xludf.DUMMYFUNCTION("""COMPUTED_VALUE"""),"99. Distrito")</f>
        <v>99. Distrito</v>
      </c>
      <c r="H2462" s="55">
        <f ca="1">IFERROR(__xludf.DUMMYFUNCTION("""COMPUTED_VALUE"""),44447)</f>
        <v>44447</v>
      </c>
      <c r="I2462" s="25"/>
      <c r="J2462" s="55" t="str">
        <f ca="1">IFERROR(__xludf.DUMMYFUNCTION("""COMPUTED_VALUE"""),"Alta")</f>
        <v>Alta</v>
      </c>
      <c r="K2462" s="25">
        <f ca="1">IFERROR(__xludf.DUMMYFUNCTION("""COMPUTED_VALUE"""),30)</f>
        <v>30</v>
      </c>
      <c r="L2462" s="62"/>
      <c r="M2462" s="25" t="str">
        <f ca="1">IFERROR(__xludf.DUMMYFUNCTION("""COMPUTED_VALUE"""),"IDPC y Dirección de Patrimonio propiciaron una reunión con la SAE para revisar posibilidades de cruce de cuentas con la Alcaldía Mayor y no es claro aún cuál sería la ruta a seguir. El lote del parqueadero del Mambo tiene altas posibilidades de ser vendid"&amp;"o a Privados y en el caso de Villa Adelaida, en este momento la SAE cuenta con tres propuestas financieras de partes de privados los cuales deben avanzar para poder reanudar la conversación con el Distrito. Sin embargo, ERU iba a presentar una propuesta f"&amp;"inanciera directamente a la SAE.")</f>
        <v>IDPC y Dirección de Patrimonio propiciaron una reunión con la SAE para revisar posibilidades de cruce de cuentas con la Alcaldía Mayor y no es claro aún cuál sería la ruta a seguir. El lote del parqueadero del Mambo tiene altas posibilidades de ser vendido a Privados y en el caso de Villa Adelaida, en este momento la SAE cuenta con tres propuestas financieras de partes de privados los cuales deben avanzar para poder reanudar la conversación con el Distrito. Sin embargo, ERU iba a presentar una propuesta financiera directamente a la SAE.</v>
      </c>
      <c r="N2462" s="55">
        <f ca="1">IFERROR(__xludf.DUMMYFUNCTION("""COMPUTED_VALUE"""),44927)</f>
        <v>44927</v>
      </c>
      <c r="O2462" s="25" t="str">
        <f t="shared" ca="1" si="0"/>
        <v>Secretaría Distrital de Cultura, Recreación y Deporte</v>
      </c>
      <c r="P2462" s="25" t="str">
        <f t="shared" si="2"/>
        <v/>
      </c>
      <c r="Q2462" s="25" t="str">
        <f ca="1">IFERROR(__xludf.DUMMYFUNCTION("""COMPUTED_VALUE"""),"Corto plazo")</f>
        <v>Corto plazo</v>
      </c>
      <c r="R2462" s="25"/>
      <c r="S2462" s="55"/>
      <c r="T2462" s="56"/>
      <c r="U2462" s="25"/>
      <c r="V2462" s="25"/>
      <c r="W2462" s="25"/>
      <c r="X2462" s="25"/>
      <c r="Y2462" s="25"/>
      <c r="Z2462" s="25"/>
    </row>
    <row r="2463" spans="1:26" ht="52.5" customHeight="1" x14ac:dyDescent="0.25">
      <c r="A2463" s="25" t="str">
        <f ca="1">IFERROR(__xludf.DUMMYFUNCTION("""COMPUTED_VALUE"""),"Cultu61")</f>
        <v>Cultu61</v>
      </c>
      <c r="B2463" s="25" t="str">
        <f ca="1">IFERROR(__xludf.DUMMYFUNCTION("""COMPUTED_VALUE"""),"PEMP")</f>
        <v>PEMP</v>
      </c>
      <c r="C2463" s="55">
        <f ca="1">IFERROR(__xludf.DUMMYFUNCTION("""COMPUTED_VALUE"""),44417)</f>
        <v>44417</v>
      </c>
      <c r="D2463" s="25" t="str">
        <f ca="1">IFERROR(__xludf.DUMMYFUNCTION("""COMPUTED_VALUE"""),"Cultura")</f>
        <v>Cultura</v>
      </c>
      <c r="E2463" s="25" t="str">
        <f ca="1">IFERROR(__xludf.DUMMYFUNCTION("""COMPUTED_VALUE"""),"Secretaría Distrital de Cultura, Recreación y Deporte")</f>
        <v>Secretaría Distrital de Cultura, Recreación y Deporte</v>
      </c>
      <c r="F2463" s="25" t="str">
        <f ca="1">IFERROR(__xludf.DUMMYFUNCTION("""COMPUTED_VALUE"""),"Hacer una propuesta sobre qué hacer en los bienes que tiene la SAE en la zona PEMP")</f>
        <v>Hacer una propuesta sobre qué hacer en los bienes que tiene la SAE en la zona PEMP</v>
      </c>
      <c r="G2463" s="25" t="str">
        <f ca="1">IFERROR(__xludf.DUMMYFUNCTION("""COMPUTED_VALUE"""),"99. Distrito")</f>
        <v>99. Distrito</v>
      </c>
      <c r="H2463" s="55">
        <f ca="1">IFERROR(__xludf.DUMMYFUNCTION("""COMPUTED_VALUE"""),44447)</f>
        <v>44447</v>
      </c>
      <c r="I2463" s="25"/>
      <c r="J2463" s="55" t="str">
        <f ca="1">IFERROR(__xludf.DUMMYFUNCTION("""COMPUTED_VALUE"""),"Alta")</f>
        <v>Alta</v>
      </c>
      <c r="K2463" s="25">
        <f ca="1">IFERROR(__xludf.DUMMYFUNCTION("""COMPUTED_VALUE"""),30)</f>
        <v>30</v>
      </c>
      <c r="L2463" s="62"/>
      <c r="M2463" s="25" t="str">
        <f ca="1">IFERROR(__xludf.DUMMYFUNCTION("""COMPUTED_VALUE"""),"IDPC y Dirección de Patrimonio propiciaron una reunión con la SAE para revisar posibilidades de cruce de cuentas con la Alcaldía Mayor y no es claro aún cuál sería la ruta a seguir. El lote del parqueadero del Mambo tiene altas posibilidades de ser vendid"&amp;"o a Privados y en el caso de Villa Adelaida, en este momento la SAE cuenta con tres propuestas financieras de partes de privados los cuales deben avanzar para poder reanudar la conversación con el Distrito. Sin embargo, ERU iba a presentar una propuesta f"&amp;"inanciera directamente a la SAE.")</f>
        <v>IDPC y Dirección de Patrimonio propiciaron una reunión con la SAE para revisar posibilidades de cruce de cuentas con la Alcaldía Mayor y no es claro aún cuál sería la ruta a seguir. El lote del parqueadero del Mambo tiene altas posibilidades de ser vendido a Privados y en el caso de Villa Adelaida, en este momento la SAE cuenta con tres propuestas financieras de partes de privados los cuales deben avanzar para poder reanudar la conversación con el Distrito. Sin embargo, ERU iba a presentar una propuesta financiera directamente a la SAE.</v>
      </c>
      <c r="N2463" s="55">
        <f ca="1">IFERROR(__xludf.DUMMYFUNCTION("""COMPUTED_VALUE"""),44927)</f>
        <v>44927</v>
      </c>
      <c r="O2463" s="25" t="str">
        <f t="shared" ca="1" si="0"/>
        <v>Secretaría Distrital de Cultura, Recreación y Deporte</v>
      </c>
      <c r="P2463" s="25" t="str">
        <f t="shared" si="2"/>
        <v/>
      </c>
      <c r="Q2463" s="25" t="str">
        <f ca="1">IFERROR(__xludf.DUMMYFUNCTION("""COMPUTED_VALUE"""),"Corto plazo")</f>
        <v>Corto plazo</v>
      </c>
      <c r="R2463" s="25"/>
      <c r="S2463" s="55"/>
      <c r="T2463" s="56"/>
      <c r="U2463" s="25"/>
      <c r="V2463" s="25"/>
      <c r="W2463" s="25"/>
      <c r="X2463" s="25"/>
      <c r="Y2463" s="25"/>
      <c r="Z2463" s="25"/>
    </row>
    <row r="2464" spans="1:26" ht="52.5" customHeight="1" x14ac:dyDescent="0.25">
      <c r="A2464" s="25" t="str">
        <f ca="1">IFERROR(__xludf.DUMMYFUNCTION("""COMPUTED_VALUE"""),"Cultu62")</f>
        <v>Cultu62</v>
      </c>
      <c r="B2464" s="25" t="str">
        <f ca="1">IFERROR(__xludf.DUMMYFUNCTION("""COMPUTED_VALUE"""),"Revisión obras IDRD")</f>
        <v>Revisión obras IDRD</v>
      </c>
      <c r="C2464" s="55">
        <f ca="1">IFERROR(__xludf.DUMMYFUNCTION("""COMPUTED_VALUE"""),44413)</f>
        <v>44413</v>
      </c>
      <c r="D2464" s="25" t="str">
        <f ca="1">IFERROR(__xludf.DUMMYFUNCTION("""COMPUTED_VALUE"""),"Cultura")</f>
        <v>Cultura</v>
      </c>
      <c r="E2464" s="25" t="str">
        <f ca="1">IFERROR(__xludf.DUMMYFUNCTION("""COMPUTED_VALUE"""),"Instituto Distrital de Recreación y Deporte")</f>
        <v>Instituto Distrital de Recreación y Deporte</v>
      </c>
      <c r="F2464" s="25" t="str">
        <f ca="1">IFERROR(__xludf.DUMMYFUNCTION("""COMPUTED_VALUE"""),"Incluir en presupuesto del 2022 lo que falta para el CAFÉ Gibraltar")</f>
        <v>Incluir en presupuesto del 2022 lo que falta para el CAFÉ Gibraltar</v>
      </c>
      <c r="G2464" s="25" t="str">
        <f ca="1">IFERROR(__xludf.DUMMYFUNCTION("""COMPUTED_VALUE"""),"99. Distrito")</f>
        <v>99. Distrito</v>
      </c>
      <c r="H2464" s="55">
        <f ca="1">IFERROR(__xludf.DUMMYFUNCTION("""COMPUTED_VALUE"""),44443)</f>
        <v>44443</v>
      </c>
      <c r="I2464" s="25"/>
      <c r="J2464" s="55" t="str">
        <f ca="1">IFERROR(__xludf.DUMMYFUNCTION("""COMPUTED_VALUE"""),"Alta")</f>
        <v>Alta</v>
      </c>
      <c r="K2464" s="25">
        <f ca="1">IFERROR(__xludf.DUMMYFUNCTION("""COMPUTED_VALUE"""),30)</f>
        <v>30</v>
      </c>
      <c r="L2464" s="62"/>
      <c r="M2464" s="25" t="str">
        <f ca="1">IFERROR(__xludf.DUMMYFUNCTION("""COMPUTED_VALUE"""),"A la fecha tanto para el parque como para el CAFÉ Gibraltar se tiene el esquema básico y anteproyecto, así como el concepto completo de la infraestructura que se va a desarrollar en ese predio. Actualmente estamos en fase de detalles de ingeniería tanto p"&amp;"ara el Parque Gibraltar como el CAFÉ que se construirá en el lote y se tendrá el diseño completo en octubre, aunque para finales del mes de septiembre ya se contará con el presupuesto de la obra. NO se incluirá el valor de obra de dicho CEFE en el presupu"&amp;"esto 2022 del Instituto, ya que la obra no se podrá desarrollar el próximo pues el Acueducto se tomará el 2022 para realizar la desgasificación del predio, requisito necesario antes de iniciar las obras. ")</f>
        <v xml:space="preserve">A la fecha tanto para el parque como para el CAFÉ Gibraltar se tiene el esquema básico y anteproyecto, así como el concepto completo de la infraestructura que se va a desarrollar en ese predio. Actualmente estamos en fase de detalles de ingeniería tanto para el Parque Gibraltar como el CAFÉ que se construirá en el lote y se tendrá el diseño completo en octubre, aunque para finales del mes de septiembre ya se contará con el presupuesto de la obra. NO se incluirá el valor de obra de dicho CEFE en el presupuesto 2022 del Instituto, ya que la obra no se podrá desarrollar el próximo pues el Acueducto se tomará el 2022 para realizar la desgasificación del predio, requisito necesario antes de iniciar las obras. </v>
      </c>
      <c r="N2464" s="55">
        <f ca="1">IFERROR(__xludf.DUMMYFUNCTION("""COMPUTED_VALUE"""),44927)</f>
        <v>44927</v>
      </c>
      <c r="O2464" s="25" t="str">
        <f t="shared" ca="1" si="0"/>
        <v>Instituto Distrital de Recreación y Deporte</v>
      </c>
      <c r="P2464" s="25" t="str">
        <f t="shared" si="2"/>
        <v/>
      </c>
      <c r="Q2464" s="25" t="str">
        <f ca="1">IFERROR(__xludf.DUMMYFUNCTION("""COMPUTED_VALUE"""),"Corto plazo")</f>
        <v>Corto plazo</v>
      </c>
      <c r="R2464" s="25"/>
      <c r="S2464" s="55"/>
      <c r="T2464" s="56"/>
      <c r="U2464" s="25"/>
      <c r="V2464" s="25"/>
      <c r="W2464" s="25"/>
      <c r="X2464" s="25"/>
      <c r="Y2464" s="25"/>
      <c r="Z2464" s="25"/>
    </row>
    <row r="2465" spans="1:26" ht="52.5" customHeight="1" x14ac:dyDescent="0.25">
      <c r="A2465" s="25" t="str">
        <f ca="1">IFERROR(__xludf.DUMMYFUNCTION("""COMPUTED_VALUE"""),"Cultu63")</f>
        <v>Cultu63</v>
      </c>
      <c r="B2465" s="25" t="str">
        <f ca="1">IFERROR(__xludf.DUMMYFUNCTION("""COMPUTED_VALUE"""),"Kennedy")</f>
        <v>Kennedy</v>
      </c>
      <c r="C2465" s="55">
        <f ca="1">IFERROR(__xludf.DUMMYFUNCTION("""COMPUTED_VALUE"""),44406)</f>
        <v>44406</v>
      </c>
      <c r="D2465" s="25" t="str">
        <f ca="1">IFERROR(__xludf.DUMMYFUNCTION("""COMPUTED_VALUE"""),"Cultura")</f>
        <v>Cultura</v>
      </c>
      <c r="E2465" s="25" t="str">
        <f ca="1">IFERROR(__xludf.DUMMYFUNCTION("""COMPUTED_VALUE"""),"Instituto Distrital de Recreación y Deporte")</f>
        <v>Instituto Distrital de Recreación y Deporte</v>
      </c>
      <c r="F2465" s="25" t="str">
        <f ca="1">IFERROR(__xludf.DUMMYFUNCTION("""COMPUTED_VALUE"""),"El IDT tiene que unir los senderos verdes del centro de bienvenida de Monserrate con el Plan Parcial Fenicia")</f>
        <v>El IDT tiene que unir los senderos verdes del centro de bienvenida de Monserrate con el Plan Parcial Fenicia</v>
      </c>
      <c r="G2465" s="55" t="str">
        <f ca="1">IFERROR(__xludf.DUMMYFUNCTION("""COMPUTED_VALUE"""),"17. La Candelaria")</f>
        <v>17. La Candelaria</v>
      </c>
      <c r="H2465" s="55">
        <f ca="1">IFERROR(__xludf.DUMMYFUNCTION("""COMPUTED_VALUE"""),44436)</f>
        <v>44436</v>
      </c>
      <c r="I2465" s="25"/>
      <c r="J2465" s="55" t="str">
        <f ca="1">IFERROR(__xludf.DUMMYFUNCTION("""COMPUTED_VALUE"""),"Alta")</f>
        <v>Alta</v>
      </c>
      <c r="K2465" s="25">
        <f ca="1">IFERROR(__xludf.DUMMYFUNCTION("""COMPUTED_VALUE"""),30)</f>
        <v>30</v>
      </c>
      <c r="L2465" s="62">
        <f ca="1">IFERROR(__xludf.DUMMYFUNCTION("""COMPUTED_VALUE"""),44627)</f>
        <v>44627</v>
      </c>
      <c r="M2465" s="25" t="str">
        <f ca="1">IFERROR(__xludf.DUMMYFUNCTION("""COMPUTED_VALUE"""),"El proyecto continúa en revisión predial, verificación de linderos y polígonos por parte del DADEP. A su vez, se hizo una consulta sobre determinantes ambientales a la CAR con el objetivo de tener claridad sobre los predios donde se está planeando el send"&amp;"ero. Estamos a la espera de la respuesta. Desde el IDRD no tenemos conocimiento o indicaciones frente al tema del sendero del plan parcial de Fenicia. ")</f>
        <v xml:space="preserve">El proyecto continúa en revisión predial, verificación de linderos y polígonos por parte del DADEP. A su vez, se hizo una consulta sobre determinantes ambientales a la CAR con el objetivo de tener claridad sobre los predios donde se está planeando el sendero. Estamos a la espera de la respuesta. Desde el IDRD no tenemos conocimiento o indicaciones frente al tema del sendero del plan parcial de Fenicia. </v>
      </c>
      <c r="N2465" s="55">
        <f ca="1">IFERROR(__xludf.DUMMYFUNCTION("""COMPUTED_VALUE"""),44627)</f>
        <v>44627</v>
      </c>
      <c r="O2465" s="25" t="str">
        <f t="shared" ca="1" si="0"/>
        <v>Instituto Distrital de Recreación y Deporte</v>
      </c>
      <c r="P2465" s="25" t="str">
        <f t="shared" si="2"/>
        <v/>
      </c>
      <c r="Q2465" s="25" t="str">
        <f ca="1">IFERROR(__xludf.DUMMYFUNCTION("""COMPUTED_VALUE"""),"Corto plazo")</f>
        <v>Corto plazo</v>
      </c>
      <c r="R2465" s="25"/>
      <c r="S2465" s="55"/>
      <c r="T2465" s="56"/>
      <c r="U2465" s="25"/>
      <c r="V2465" s="25"/>
      <c r="W2465" s="25"/>
      <c r="X2465" s="25"/>
      <c r="Y2465" s="25"/>
      <c r="Z2465" s="25"/>
    </row>
    <row r="2466" spans="1:26" ht="52.5" customHeight="1" x14ac:dyDescent="0.25">
      <c r="A2466" s="25" t="str">
        <f ca="1">IFERROR(__xludf.DUMMYFUNCTION("""COMPUTED_VALUE"""),"Cultu64")</f>
        <v>Cultu64</v>
      </c>
      <c r="B2466" s="25" t="str">
        <f ca="1">IFERROR(__xludf.DUMMYFUNCTION("""COMPUTED_VALUE"""),"Proyecto regalías")</f>
        <v>Proyecto regalías</v>
      </c>
      <c r="C2466" s="55">
        <f ca="1">IFERROR(__xludf.DUMMYFUNCTION("""COMPUTED_VALUE"""),44403)</f>
        <v>44403</v>
      </c>
      <c r="D2466" s="25" t="str">
        <f ca="1">IFERROR(__xludf.DUMMYFUNCTION("""COMPUTED_VALUE"""),"Cultura")</f>
        <v>Cultura</v>
      </c>
      <c r="E2466" s="25" t="str">
        <f ca="1">IFERROR(__xludf.DUMMYFUNCTION("""COMPUTED_VALUE"""),"Instituto Distrital de Recreación y Deporte")</f>
        <v>Instituto Distrital de Recreación y Deporte</v>
      </c>
      <c r="F2466" s="25" t="str">
        <f ca="1">IFERROR(__xludf.DUMMYFUNCTION("""COMPUTED_VALUE"""),"IDRD avanzar formulación y gestión predial parque lineal 80")</f>
        <v>IDRD avanzar formulación y gestión predial parque lineal 80</v>
      </c>
      <c r="G2466" s="25" t="str">
        <f ca="1">IFERROR(__xludf.DUMMYFUNCTION("""COMPUTED_VALUE"""),"99. Distrito")</f>
        <v>99. Distrito</v>
      </c>
      <c r="H2466" s="55">
        <f ca="1">IFERROR(__xludf.DUMMYFUNCTION("""COMPUTED_VALUE"""),44433)</f>
        <v>44433</v>
      </c>
      <c r="I2466" s="25"/>
      <c r="J2466" s="55" t="str">
        <f ca="1">IFERROR(__xludf.DUMMYFUNCTION("""COMPUTED_VALUE"""),"Alta")</f>
        <v>Alta</v>
      </c>
      <c r="K2466" s="25">
        <f ca="1">IFERROR(__xludf.DUMMYFUNCTION("""COMPUTED_VALUE"""),30)</f>
        <v>30</v>
      </c>
      <c r="L2466" s="62">
        <f ca="1">IFERROR(__xludf.DUMMYFUNCTION("""COMPUTED_VALUE"""),44456)</f>
        <v>44456</v>
      </c>
      <c r="M2466" s="25" t="str">
        <f ca="1">IFERROR(__xludf.DUMMYFUNCTION("""COMPUTED_VALUE"""),"Se realizó visita a campo con la Caja de Vivienda Popular con el fin de establecer la cantidad de predios afectados por el diseño realizado por la Secretaria Distrital de Planeación, identificando parcial o totalmente 144 predios que mediante sentencia ju"&amp;"dicial deben ser reubicados por esta entidad.")</f>
        <v>Se realizó visita a campo con la Caja de Vivienda Popular con el fin de establecer la cantidad de predios afectados por el diseño realizado por la Secretaria Distrital de Planeación, identificando parcial o totalmente 144 predios que mediante sentencia judicial deben ser reubicados por esta entidad.</v>
      </c>
      <c r="N2466" s="55">
        <f ca="1">IFERROR(__xludf.DUMMYFUNCTION("""COMPUTED_VALUE"""),44456)</f>
        <v>44456</v>
      </c>
      <c r="O2466" s="25" t="str">
        <f t="shared" ca="1" si="0"/>
        <v>Instituto Distrital de Recreación y Deporte</v>
      </c>
      <c r="P2466" s="25" t="str">
        <f t="shared" si="2"/>
        <v/>
      </c>
      <c r="Q2466" s="25" t="str">
        <f ca="1">IFERROR(__xludf.DUMMYFUNCTION("""COMPUTED_VALUE"""),"Corto plazo")</f>
        <v>Corto plazo</v>
      </c>
      <c r="R2466" s="25"/>
      <c r="S2466" s="55"/>
      <c r="T2466" s="56"/>
      <c r="U2466" s="25"/>
      <c r="V2466" s="25"/>
      <c r="W2466" s="25"/>
      <c r="X2466" s="25"/>
      <c r="Y2466" s="25"/>
      <c r="Z2466" s="25"/>
    </row>
    <row r="2467" spans="1:26" ht="52.5" customHeight="1" x14ac:dyDescent="0.25">
      <c r="A2467" s="25" t="str">
        <f ca="1">IFERROR(__xludf.DUMMYFUNCTION("""COMPUTED_VALUE"""),"Cultu65")</f>
        <v>Cultu65</v>
      </c>
      <c r="B2467" s="25" t="str">
        <f ca="1">IFERROR(__xludf.DUMMYFUNCTION("""COMPUTED_VALUE"""),"Revisión Proyectos de Regalías")</f>
        <v>Revisión Proyectos de Regalías</v>
      </c>
      <c r="C2467" s="55">
        <f ca="1">IFERROR(__xludf.DUMMYFUNCTION("""COMPUTED_VALUE"""),44403)</f>
        <v>44403</v>
      </c>
      <c r="D2467" s="25" t="str">
        <f ca="1">IFERROR(__xludf.DUMMYFUNCTION("""COMPUTED_VALUE"""),"Cultura")</f>
        <v>Cultura</v>
      </c>
      <c r="E2467" s="25" t="str">
        <f ca="1">IFERROR(__xludf.DUMMYFUNCTION("""COMPUTED_VALUE"""),"Instituto Distrital de Recreación y Deporte")</f>
        <v>Instituto Distrital de Recreación y Deporte</v>
      </c>
      <c r="F2467" s="25" t="str">
        <f ca="1">IFERROR(__xludf.DUMMYFUNCTION("""COMPUTED_VALUE"""),"Referente al proyecto Centro Recreo Deportivo Gibraltar y  la desgasificación del inmueble: Revisar nuevamente este tema con Acueducto, Ambiente y Metro para ver soluciones alternas y cronogramas.  Adicionalmente plantear un plan b de donde se pueden obte"&amp;"ner los recursos necesarios para la construcción de este proyecto, en caso que no se pueda realizar por regalías.")</f>
        <v>Referente al proyecto Centro Recreo Deportivo Gibraltar y  la desgasificación del inmueble: Revisar nuevamente este tema con Acueducto, Ambiente y Metro para ver soluciones alternas y cronogramas.  Adicionalmente plantear un plan b de donde se pueden obtener los recursos necesarios para la construcción de este proyecto, en caso que no se pueda realizar por regalías.</v>
      </c>
      <c r="G2467" s="25" t="str">
        <f ca="1">IFERROR(__xludf.DUMMYFUNCTION("""COMPUTED_VALUE"""),"99. Distrito")</f>
        <v>99. Distrito</v>
      </c>
      <c r="H2467" s="55">
        <f ca="1">IFERROR(__xludf.DUMMYFUNCTION("""COMPUTED_VALUE"""),44433)</f>
        <v>44433</v>
      </c>
      <c r="I2467" s="25"/>
      <c r="J2467" s="55" t="str">
        <f ca="1">IFERROR(__xludf.DUMMYFUNCTION("""COMPUTED_VALUE"""),"Alta")</f>
        <v>Alta</v>
      </c>
      <c r="K2467" s="25">
        <f ca="1">IFERROR(__xludf.DUMMYFUNCTION("""COMPUTED_VALUE"""),30)</f>
        <v>30</v>
      </c>
      <c r="L2467" s="62">
        <f ca="1">IFERROR(__xludf.DUMMYFUNCTION("""COMPUTED_VALUE"""),44413)</f>
        <v>44413</v>
      </c>
      <c r="M2467" s="25" t="str">
        <f ca="1">IFERROR(__xludf.DUMMYFUNCTION("""COMPUTED_VALUE"""),"El 5 de agosto se realizó una reunión con la alcaldesa para revisar el cronograma de desgasificación del predio Gibraltar. Se espera esté listo el proceso en noviembre 2022")</f>
        <v>El 5 de agosto se realizó una reunión con la alcaldesa para revisar el cronograma de desgasificación del predio Gibraltar. Se espera esté listo el proceso en noviembre 2022</v>
      </c>
      <c r="N2467" s="55">
        <f ca="1">IFERROR(__xludf.DUMMYFUNCTION("""COMPUTED_VALUE"""),44413)</f>
        <v>44413</v>
      </c>
      <c r="O2467" s="25" t="str">
        <f t="shared" ca="1" si="0"/>
        <v>Instituto Distrital de Recreación y Deporte</v>
      </c>
      <c r="P2467" s="25" t="str">
        <f t="shared" si="2"/>
        <v/>
      </c>
      <c r="Q2467" s="25" t="str">
        <f ca="1">IFERROR(__xludf.DUMMYFUNCTION("""COMPUTED_VALUE"""),"Corto plazo")</f>
        <v>Corto plazo</v>
      </c>
      <c r="R2467" s="25"/>
      <c r="S2467" s="55"/>
      <c r="T2467" s="56"/>
      <c r="U2467" s="25"/>
      <c r="V2467" s="25"/>
      <c r="W2467" s="25"/>
      <c r="X2467" s="25"/>
      <c r="Y2467" s="25"/>
      <c r="Z2467" s="25"/>
    </row>
    <row r="2468" spans="1:26" ht="52.5" customHeight="1" x14ac:dyDescent="0.25">
      <c r="A2468" s="25" t="str">
        <f ca="1">IFERROR(__xludf.DUMMYFUNCTION("""COMPUTED_VALUE"""),"Cultu66")</f>
        <v>Cultu66</v>
      </c>
      <c r="B2468" s="25" t="str">
        <f ca="1">IFERROR(__xludf.DUMMYFUNCTION("""COMPUTED_VALUE"""),"Revisión Proyectos de Regalías")</f>
        <v>Revisión Proyectos de Regalías</v>
      </c>
      <c r="C2468" s="55">
        <f ca="1">IFERROR(__xludf.DUMMYFUNCTION("""COMPUTED_VALUE"""),44403)</f>
        <v>44403</v>
      </c>
      <c r="D2468" s="25" t="str">
        <f ca="1">IFERROR(__xludf.DUMMYFUNCTION("""COMPUTED_VALUE"""),"Cultura")</f>
        <v>Cultura</v>
      </c>
      <c r="E2468" s="25" t="str">
        <f ca="1">IFERROR(__xludf.DUMMYFUNCTION("""COMPUTED_VALUE"""),"Secretaría Distrital de Cultura, Recreación y Deporte")</f>
        <v>Secretaría Distrital de Cultura, Recreación y Deporte</v>
      </c>
      <c r="F2468" s="25" t="str">
        <f ca="1">IFERROR(__xludf.DUMMYFUNCTION("""COMPUTED_VALUE"""),"Realizar reunión con la Secretaría de la Mujer para revisar cómo complementar el proyecto que ya está realizando el IDRD con la propuesta de manzana del cuidado completa incluyendo el CEFE.")</f>
        <v>Realizar reunión con la Secretaría de la Mujer para revisar cómo complementar el proyecto que ya está realizando el IDRD con la propuesta de manzana del cuidado completa incluyendo el CEFE.</v>
      </c>
      <c r="G2468" s="25" t="str">
        <f ca="1">IFERROR(__xludf.DUMMYFUNCTION("""COMPUTED_VALUE"""),"99. Distrito")</f>
        <v>99. Distrito</v>
      </c>
      <c r="H2468" s="55">
        <f ca="1">IFERROR(__xludf.DUMMYFUNCTION("""COMPUTED_VALUE"""),44433)</f>
        <v>44433</v>
      </c>
      <c r="I2468" s="25"/>
      <c r="J2468" s="55" t="str">
        <f ca="1">IFERROR(__xludf.DUMMYFUNCTION("""COMPUTED_VALUE"""),"Alta")</f>
        <v>Alta</v>
      </c>
      <c r="K2468" s="25">
        <f ca="1">IFERROR(__xludf.DUMMYFUNCTION("""COMPUTED_VALUE"""),30)</f>
        <v>30</v>
      </c>
      <c r="L2468" s="62"/>
      <c r="M2468" s="25"/>
      <c r="N2468" s="55">
        <f ca="1">IFERROR(__xludf.DUMMYFUNCTION("""COMPUTED_VALUE"""),44927)</f>
        <v>44927</v>
      </c>
      <c r="O2468" s="25" t="str">
        <f t="shared" ca="1" si="0"/>
        <v>Secretaría Distrital de Cultura, Recreación y Deporte</v>
      </c>
      <c r="P2468" s="25" t="str">
        <f t="shared" si="2"/>
        <v/>
      </c>
      <c r="Q2468" s="25" t="str">
        <f ca="1">IFERROR(__xludf.DUMMYFUNCTION("""COMPUTED_VALUE"""),"Corto plazo")</f>
        <v>Corto plazo</v>
      </c>
      <c r="R2468" s="25"/>
      <c r="S2468" s="55"/>
      <c r="T2468" s="56"/>
      <c r="U2468" s="25"/>
      <c r="V2468" s="25"/>
      <c r="W2468" s="25"/>
      <c r="X2468" s="25"/>
      <c r="Y2468" s="25"/>
      <c r="Z2468" s="25"/>
    </row>
    <row r="2469" spans="1:26" ht="52.5" customHeight="1" x14ac:dyDescent="0.25">
      <c r="A2469" s="25" t="str">
        <f ca="1">IFERROR(__xludf.DUMMYFUNCTION("""COMPUTED_VALUE"""),"Cultu67")</f>
        <v>Cultu67</v>
      </c>
      <c r="B2469" s="25" t="str">
        <f ca="1">IFERROR(__xludf.DUMMYFUNCTION("""COMPUTED_VALUE"""),"Revisión Proyectos de Regalías")</f>
        <v>Revisión Proyectos de Regalías</v>
      </c>
      <c r="C2469" s="55">
        <f ca="1">IFERROR(__xludf.DUMMYFUNCTION("""COMPUTED_VALUE"""),44403)</f>
        <v>44403</v>
      </c>
      <c r="D2469" s="25" t="str">
        <f ca="1">IFERROR(__xludf.DUMMYFUNCTION("""COMPUTED_VALUE"""),"Cultura")</f>
        <v>Cultura</v>
      </c>
      <c r="E2469" s="25" t="str">
        <f ca="1">IFERROR(__xludf.DUMMYFUNCTION("""COMPUTED_VALUE"""),"Instituto Distrital de Recreación y Deporte")</f>
        <v>Instituto Distrital de Recreación y Deporte</v>
      </c>
      <c r="F2469" s="25" t="str">
        <f ca="1">IFERROR(__xludf.DUMMYFUNCTION("""COMPUTED_VALUE"""),"Que el idrd haga la gestión predial para retomar el proyecto del parque lineal de la 80 para retomar la viabilidad del proyecto en el 2022")</f>
        <v>Que el idrd haga la gestión predial para retomar el proyecto del parque lineal de la 80 para retomar la viabilidad del proyecto en el 2022</v>
      </c>
      <c r="G2469" s="25" t="str">
        <f ca="1">IFERROR(__xludf.DUMMYFUNCTION("""COMPUTED_VALUE"""),"99. Distrito")</f>
        <v>99. Distrito</v>
      </c>
      <c r="H2469" s="55">
        <f ca="1">IFERROR(__xludf.DUMMYFUNCTION("""COMPUTED_VALUE"""),44433)</f>
        <v>44433</v>
      </c>
      <c r="I2469" s="25"/>
      <c r="J2469" s="55" t="str">
        <f ca="1">IFERROR(__xludf.DUMMYFUNCTION("""COMPUTED_VALUE"""),"Alta")</f>
        <v>Alta</v>
      </c>
      <c r="K2469" s="25">
        <f ca="1">IFERROR(__xludf.DUMMYFUNCTION("""COMPUTED_VALUE"""),30)</f>
        <v>30</v>
      </c>
      <c r="L2469" s="62">
        <f ca="1">IFERROR(__xludf.DUMMYFUNCTION("""COMPUTED_VALUE"""),44456)</f>
        <v>44456</v>
      </c>
      <c r="M2469" s="25" t="str">
        <f ca="1">IFERROR(__xludf.DUMMYFUNCTION("""COMPUTED_VALUE"""),"Se realizó visita a campo con la Caja de Vivienda Popular con el fin de establecer la cantidad de predios afectados por el Diseño realizado por la Secretaria Distrital de Planeación, identificando parcial o totalmente 144 predios que mediante sentencia ju"&amp;"dicial deben ser reubicados por esta entidad.")</f>
        <v>Se realizó visita a campo con la Caja de Vivienda Popular con el fin de establecer la cantidad de predios afectados por el Diseño realizado por la Secretaria Distrital de Planeación, identificando parcial o totalmente 144 predios que mediante sentencia judicial deben ser reubicados por esta entidad.</v>
      </c>
      <c r="N2469" s="55">
        <f ca="1">IFERROR(__xludf.DUMMYFUNCTION("""COMPUTED_VALUE"""),44456)</f>
        <v>44456</v>
      </c>
      <c r="O2469" s="25" t="str">
        <f t="shared" ca="1" si="0"/>
        <v>Instituto Distrital de Recreación y Deporte</v>
      </c>
      <c r="P2469" s="25" t="str">
        <f t="shared" si="2"/>
        <v/>
      </c>
      <c r="Q2469" s="25" t="str">
        <f ca="1">IFERROR(__xludf.DUMMYFUNCTION("""COMPUTED_VALUE"""),"Corto plazo")</f>
        <v>Corto plazo</v>
      </c>
      <c r="R2469" s="25"/>
      <c r="S2469" s="55"/>
      <c r="T2469" s="56"/>
      <c r="U2469" s="25"/>
      <c r="V2469" s="25"/>
      <c r="W2469" s="25"/>
      <c r="X2469" s="25"/>
      <c r="Y2469" s="25"/>
      <c r="Z2469" s="25"/>
    </row>
    <row r="2470" spans="1:26" ht="52.5" customHeight="1" x14ac:dyDescent="0.25">
      <c r="A2470" s="25" t="str">
        <f ca="1">IFERROR(__xludf.DUMMYFUNCTION("""COMPUTED_VALUE"""),"Cultu68")</f>
        <v>Cultu68</v>
      </c>
      <c r="B2470" s="25" t="str">
        <f ca="1">IFERROR(__xludf.DUMMYFUNCTION("""COMPUTED_VALUE"""),"Reunión Secretario Privado")</f>
        <v>Reunión Secretario Privado</v>
      </c>
      <c r="C2470" s="55">
        <f ca="1">IFERROR(__xludf.DUMMYFUNCTION("""COMPUTED_VALUE"""),44394)</f>
        <v>44394</v>
      </c>
      <c r="D2470" s="25" t="str">
        <f ca="1">IFERROR(__xludf.DUMMYFUNCTION("""COMPUTED_VALUE"""),"Cultura")</f>
        <v>Cultura</v>
      </c>
      <c r="E2470" s="25" t="str">
        <f ca="1">IFERROR(__xludf.DUMMYFUNCTION("""COMPUTED_VALUE"""),"Instituto Distrital de Recreación y Deporte")</f>
        <v>Instituto Distrital de Recreación y Deporte</v>
      </c>
      <c r="F2470" s="25" t="str">
        <f ca="1">IFERROR(__xludf.DUMMYFUNCTION("""COMPUTED_VALUE"""),"Identificar recursos del IDRD que permitan financiar el parque Los Columbarios en la 26")</f>
        <v>Identificar recursos del IDRD que permitan financiar el parque Los Columbarios en la 26</v>
      </c>
      <c r="G2470" s="25" t="str">
        <f ca="1">IFERROR(__xludf.DUMMYFUNCTION("""COMPUTED_VALUE"""),"99. Distrito")</f>
        <v>99. Distrito</v>
      </c>
      <c r="H2470" s="55">
        <f ca="1">IFERROR(__xludf.DUMMYFUNCTION("""COMPUTED_VALUE"""),44424)</f>
        <v>44424</v>
      </c>
      <c r="I2470" s="25"/>
      <c r="J2470" s="55" t="str">
        <f ca="1">IFERROR(__xludf.DUMMYFUNCTION("""COMPUTED_VALUE"""),"Alta")</f>
        <v>Alta</v>
      </c>
      <c r="K2470" s="25">
        <f ca="1">IFERROR(__xludf.DUMMYFUNCTION("""COMPUTED_VALUE"""),30)</f>
        <v>30</v>
      </c>
      <c r="L2470" s="62">
        <f ca="1">IFERROR(__xludf.DUMMYFUNCTION("""COMPUTED_VALUE"""),44413)</f>
        <v>44413</v>
      </c>
      <c r="M2470" s="25" t="str">
        <f ca="1">IFERROR(__xludf.DUMMYFUNCTION("""COMPUTED_VALUE"""),"La única opción de recursos del IDRD es con lo que sea aprobado para cupo de endeudamiento para 2022. No obstante, la idea es usar esos recursos para proyectos que tendrán estudios y diseños listos en 2022 y que no tienen financiación para obra, así como "&amp;"para reconstrucción de parques existentes")</f>
        <v>La única opción de recursos del IDRD es con lo que sea aprobado para cupo de endeudamiento para 2022. No obstante, la idea es usar esos recursos para proyectos que tendrán estudios y diseños listos en 2022 y que no tienen financiación para obra, así como para reconstrucción de parques existentes</v>
      </c>
      <c r="N2470" s="55">
        <f ca="1">IFERROR(__xludf.DUMMYFUNCTION("""COMPUTED_VALUE"""),44413)</f>
        <v>44413</v>
      </c>
      <c r="O2470" s="25" t="str">
        <f t="shared" ca="1" si="0"/>
        <v>Instituto Distrital de Recreación y Deporte</v>
      </c>
      <c r="P2470" s="25" t="str">
        <f t="shared" si="2"/>
        <v/>
      </c>
      <c r="Q2470" s="25" t="str">
        <f ca="1">IFERROR(__xludf.DUMMYFUNCTION("""COMPUTED_VALUE"""),"Corto plazo")</f>
        <v>Corto plazo</v>
      </c>
      <c r="R2470" s="25"/>
      <c r="S2470" s="55"/>
      <c r="T2470" s="56"/>
      <c r="U2470" s="25"/>
      <c r="V2470" s="25"/>
      <c r="W2470" s="25"/>
      <c r="X2470" s="25"/>
      <c r="Y2470" s="25"/>
      <c r="Z2470" s="25"/>
    </row>
    <row r="2471" spans="1:26" ht="52.5" customHeight="1" x14ac:dyDescent="0.25">
      <c r="A2471" s="25" t="str">
        <f ca="1">IFERROR(__xludf.DUMMYFUNCTION("""COMPUTED_VALUE"""),"Cultu69")</f>
        <v>Cultu69</v>
      </c>
      <c r="B2471" s="25" t="str">
        <f ca="1">IFERROR(__xludf.DUMMYFUNCTION("""COMPUTED_VALUE"""),"Recorrido Ciudad Bolívar")</f>
        <v>Recorrido Ciudad Bolívar</v>
      </c>
      <c r="C2471" s="55">
        <f ca="1">IFERROR(__xludf.DUMMYFUNCTION("""COMPUTED_VALUE"""),44386)</f>
        <v>44386</v>
      </c>
      <c r="D2471" s="25" t="str">
        <f ca="1">IFERROR(__xludf.DUMMYFUNCTION("""COMPUTED_VALUE"""),"Cultura")</f>
        <v>Cultura</v>
      </c>
      <c r="E2471" s="25" t="str">
        <f ca="1">IFERROR(__xludf.DUMMYFUNCTION("""COMPUTED_VALUE"""),"Instituto Distrital de Recreación y Deporte")</f>
        <v>Instituto Distrital de Recreación y Deporte</v>
      </c>
      <c r="F2471" s="25" t="str">
        <f ca="1">IFERROR(__xludf.DUMMYFUNCTION("""COMPUTED_VALUE"""),"Entregar el parque Iliminaní a la comunidad")</f>
        <v>Entregar el parque Iliminaní a la comunidad</v>
      </c>
      <c r="G2471" s="55" t="str">
        <f ca="1">IFERROR(__xludf.DUMMYFUNCTION("""COMPUTED_VALUE"""),"19. Ciudad Bolívar")</f>
        <v>19. Ciudad Bolívar</v>
      </c>
      <c r="H2471" s="55">
        <f ca="1">IFERROR(__xludf.DUMMYFUNCTION("""COMPUTED_VALUE"""),44416)</f>
        <v>44416</v>
      </c>
      <c r="I2471" s="25"/>
      <c r="J2471" s="55" t="str">
        <f ca="1">IFERROR(__xludf.DUMMYFUNCTION("""COMPUTED_VALUE"""),"Alta")</f>
        <v>Alta</v>
      </c>
      <c r="K2471" s="25">
        <f ca="1">IFERROR(__xludf.DUMMYFUNCTION("""COMPUTED_VALUE"""),30)</f>
        <v>30</v>
      </c>
      <c r="L2471" s="62">
        <f ca="1">IFERROR(__xludf.DUMMYFUNCTION("""COMPUTED_VALUE"""),44413)</f>
        <v>44413</v>
      </c>
      <c r="M2471" s="25" t="str">
        <f ca="1">IFERROR(__xludf.DUMMYFUNCTION("""COMPUTED_VALUE"""),"El 1ro de agosto el Parque Mirador Ilimaní fue puesto en total funcionamiento para la ciudadanía por parte del Dadep y la CVP. El IDRD ya tiene en su posesión el parque, brindando todos los servicios necesarios para el disfrute de las personas.")</f>
        <v>El 1ro de agosto el Parque Mirador Ilimaní fue puesto en total funcionamiento para la ciudadanía por parte del Dadep y la CVP. El IDRD ya tiene en su posesión el parque, brindando todos los servicios necesarios para el disfrute de las personas.</v>
      </c>
      <c r="N2471" s="55">
        <f ca="1">IFERROR(__xludf.DUMMYFUNCTION("""COMPUTED_VALUE"""),44413)</f>
        <v>44413</v>
      </c>
      <c r="O2471" s="25" t="str">
        <f t="shared" ca="1" si="0"/>
        <v>Instituto Distrital de Recreación y Deporte</v>
      </c>
      <c r="P2471" s="25" t="str">
        <f t="shared" si="2"/>
        <v/>
      </c>
      <c r="Q2471" s="25" t="str">
        <f ca="1">IFERROR(__xludf.DUMMYFUNCTION("""COMPUTED_VALUE"""),"Corto plazo")</f>
        <v>Corto plazo</v>
      </c>
      <c r="R2471" s="25"/>
      <c r="S2471" s="55"/>
      <c r="T2471" s="56"/>
      <c r="U2471" s="25"/>
      <c r="V2471" s="25"/>
      <c r="W2471" s="25"/>
      <c r="X2471" s="25"/>
      <c r="Y2471" s="25"/>
      <c r="Z2471" s="25"/>
    </row>
    <row r="2472" spans="1:26" ht="52.5" customHeight="1" x14ac:dyDescent="0.25">
      <c r="A2472" s="25" t="str">
        <f ca="1">IFERROR(__xludf.DUMMYFUNCTION("""COMPUTED_VALUE"""),"Cultu70")</f>
        <v>Cultu70</v>
      </c>
      <c r="B2472" s="25" t="str">
        <f ca="1">IFERROR(__xludf.DUMMYFUNCTION("""COMPUTED_VALUE"""),"Lagos de torca")</f>
        <v>Lagos de torca</v>
      </c>
      <c r="C2472" s="55">
        <f ca="1">IFERROR(__xludf.DUMMYFUNCTION("""COMPUTED_VALUE"""),44383)</f>
        <v>44383</v>
      </c>
      <c r="D2472" s="25" t="str">
        <f ca="1">IFERROR(__xludf.DUMMYFUNCTION("""COMPUTED_VALUE"""),"Cultura")</f>
        <v>Cultura</v>
      </c>
      <c r="E2472" s="25" t="str">
        <f ca="1">IFERROR(__xludf.DUMMYFUNCTION("""COMPUTED_VALUE"""),"Instituto Distrital de Recreación y Deporte")</f>
        <v>Instituto Distrital de Recreación y Deporte</v>
      </c>
      <c r="F2472" s="25" t="str">
        <f ca="1">IFERROR(__xludf.DUMMYFUNCTION("""COMPUTED_VALUE"""),"El diseño de los senderos debe prever conexión con el bosque de las Mercedes")</f>
        <v>El diseño de los senderos debe prever conexión con el bosque de las Mercedes</v>
      </c>
      <c r="G2472" s="25" t="str">
        <f ca="1">IFERROR(__xludf.DUMMYFUNCTION("""COMPUTED_VALUE"""),"99. Distrito")</f>
        <v>99. Distrito</v>
      </c>
      <c r="H2472" s="55">
        <f ca="1">IFERROR(__xludf.DUMMYFUNCTION("""COMPUTED_VALUE"""),44413)</f>
        <v>44413</v>
      </c>
      <c r="I2472" s="25"/>
      <c r="J2472" s="55" t="str">
        <f ca="1">IFERROR(__xludf.DUMMYFUNCTION("""COMPUTED_VALUE"""),"Alta")</f>
        <v>Alta</v>
      </c>
      <c r="K2472" s="25">
        <f ca="1">IFERROR(__xludf.DUMMYFUNCTION("""COMPUTED_VALUE"""),30)</f>
        <v>30</v>
      </c>
      <c r="L2472" s="62">
        <f ca="1">IFERROR(__xludf.DUMMYFUNCTION("""COMPUTED_VALUE"""),44456)</f>
        <v>44456</v>
      </c>
      <c r="M2472" s="25" t="str">
        <f ca="1">IFERROR(__xludf.DUMMYFUNCTION("""COMPUTED_VALUE"""),"Actualmente NO está contemplado realizar la conexión entre el sendero cerros Conejera y el bosque las Mercedes, toda vez que del punto más cercano del sendero al bosque son 980 metros y una adquisición predial importante. En reunión de junta de Infraestru"&amp;"ctura se acordó realizar la conexión del sendero con la vía hacia Cota y la cicloruta que conduce a la 170 con Boyacá. ")</f>
        <v xml:space="preserve">Actualmente NO está contemplado realizar la conexión entre el sendero cerros Conejera y el bosque las Mercedes, toda vez que del punto más cercano del sendero al bosque son 980 metros y una adquisición predial importante. En reunión de junta de Infraestructura se acordó realizar la conexión del sendero con la vía hacia Cota y la cicloruta que conduce a la 170 con Boyacá. </v>
      </c>
      <c r="N2472" s="55">
        <f ca="1">IFERROR(__xludf.DUMMYFUNCTION("""COMPUTED_VALUE"""),44456)</f>
        <v>44456</v>
      </c>
      <c r="O2472" s="25" t="str">
        <f t="shared" ca="1" si="0"/>
        <v>Instituto Distrital de Recreación y Deporte</v>
      </c>
      <c r="P2472" s="25" t="str">
        <f t="shared" si="2"/>
        <v/>
      </c>
      <c r="Q2472" s="25" t="str">
        <f ca="1">IFERROR(__xludf.DUMMYFUNCTION("""COMPUTED_VALUE"""),"Corto plazo")</f>
        <v>Corto plazo</v>
      </c>
      <c r="R2472" s="25"/>
      <c r="S2472" s="55"/>
      <c r="T2472" s="56"/>
      <c r="U2472" s="25"/>
      <c r="V2472" s="25"/>
      <c r="W2472" s="25"/>
      <c r="X2472" s="25"/>
      <c r="Y2472" s="25"/>
      <c r="Z2472" s="25"/>
    </row>
    <row r="2473" spans="1:26" ht="52.5" customHeight="1" x14ac:dyDescent="0.25">
      <c r="A2473" s="25" t="str">
        <f ca="1">IFERROR(__xludf.DUMMYFUNCTION("""COMPUTED_VALUE"""),"Cultu71")</f>
        <v>Cultu71</v>
      </c>
      <c r="B2473" s="25" t="str">
        <f ca="1">IFERROR(__xludf.DUMMYFUNCTION("""COMPUTED_VALUE"""),"Recorrido Antonio Nariño")</f>
        <v>Recorrido Antonio Nariño</v>
      </c>
      <c r="C2473" s="55">
        <f ca="1">IFERROR(__xludf.DUMMYFUNCTION("""COMPUTED_VALUE"""),44364)</f>
        <v>44364</v>
      </c>
      <c r="D2473" s="25" t="str">
        <f ca="1">IFERROR(__xludf.DUMMYFUNCTION("""COMPUTED_VALUE"""),"Cultura")</f>
        <v>Cultura</v>
      </c>
      <c r="E2473" s="25" t="str">
        <f ca="1">IFERROR(__xludf.DUMMYFUNCTION("""COMPUTED_VALUE"""),"Secretaría Distrital de Cultura, Recreación y Deporte")</f>
        <v>Secretaría Distrital de Cultura, Recreación y Deporte</v>
      </c>
      <c r="F2473" s="25" t="str">
        <f ca="1">IFERROR(__xludf.DUMMYFUNCTION("""COMPUTED_VALUE"""),"Evaluar la posibilidad de remodelar el Teatro de Villa Mayor")</f>
        <v>Evaluar la posibilidad de remodelar el Teatro de Villa Mayor</v>
      </c>
      <c r="G2473" s="55" t="str">
        <f ca="1">IFERROR(__xludf.DUMMYFUNCTION("""COMPUTED_VALUE"""),"15. Antonio Nariño")</f>
        <v>15. Antonio Nariño</v>
      </c>
      <c r="H2473" s="55">
        <f ca="1">IFERROR(__xludf.DUMMYFUNCTION("""COMPUTED_VALUE"""),44394)</f>
        <v>44394</v>
      </c>
      <c r="I2473" s="25"/>
      <c r="J2473" s="55" t="str">
        <f ca="1">IFERROR(__xludf.DUMMYFUNCTION("""COMPUTED_VALUE"""),"Alta")</f>
        <v>Alta</v>
      </c>
      <c r="K2473" s="25">
        <f ca="1">IFERROR(__xludf.DUMMYFUNCTION("""COMPUTED_VALUE"""),30)</f>
        <v>30</v>
      </c>
      <c r="L2473" s="62">
        <f ca="1">IFERROR(__xludf.DUMMYFUNCTION("""COMPUTED_VALUE"""),44460)</f>
        <v>44460</v>
      </c>
      <c r="M2473" s="25" t="str">
        <f ca="1">IFERROR(__xludf.DUMMYFUNCTION("""COMPUTED_VALUE"""),"Actualmente para la remodelación del teatro Villa Mayor está en proceso la Licencia de construcción en la curaduría 2 de los estudios y diseños que fueron financiados por la SCRD para el mejoramiento del Teatro,  posterior a esto poder solicitar recursos "&amp;"para la construcción.(Fuente LEP priorizada por 20 mil millones). Por regalías no será posible, pues ya salió el acto administrativo por el cual se adjudicaron los recursos de esa fuente.")</f>
        <v>Actualmente para la remodelación del teatro Villa Mayor está en proceso la Licencia de construcción en la curaduría 2 de los estudios y diseños que fueron financiados por la SCRD para el mejoramiento del Teatro,  posterior a esto poder solicitar recursos para la construcción.(Fuente LEP priorizada por 20 mil millones). Por regalías no será posible, pues ya salió el acto administrativo por el cual se adjudicaron los recursos de esa fuente.</v>
      </c>
      <c r="N2473" s="55">
        <f ca="1">IFERROR(__xludf.DUMMYFUNCTION("""COMPUTED_VALUE"""),44460)</f>
        <v>44460</v>
      </c>
      <c r="O2473" s="25" t="str">
        <f t="shared" ca="1" si="0"/>
        <v>Secretaría Distrital de Cultura, Recreación y Deporte</v>
      </c>
      <c r="P2473" s="25" t="str">
        <f t="shared" si="2"/>
        <v/>
      </c>
      <c r="Q2473" s="25" t="str">
        <f ca="1">IFERROR(__xludf.DUMMYFUNCTION("""COMPUTED_VALUE"""),"Corto plazo")</f>
        <v>Corto plazo</v>
      </c>
      <c r="R2473" s="25"/>
      <c r="S2473" s="55"/>
      <c r="T2473" s="56"/>
      <c r="U2473" s="25"/>
      <c r="V2473" s="25"/>
      <c r="W2473" s="25"/>
      <c r="X2473" s="25"/>
      <c r="Y2473" s="25"/>
      <c r="Z2473" s="25"/>
    </row>
    <row r="2474" spans="1:26" ht="52.5" customHeight="1" x14ac:dyDescent="0.25">
      <c r="A2474" s="25" t="str">
        <f ca="1">IFERROR(__xludf.DUMMYFUNCTION("""COMPUTED_VALUE"""),"Cultu72")</f>
        <v>Cultu72</v>
      </c>
      <c r="B2474" s="25" t="str">
        <f ca="1">IFERROR(__xludf.DUMMYFUNCTION("""COMPUTED_VALUE"""),"Recorrido Antonio Nariño ")</f>
        <v xml:space="preserve">Recorrido Antonio Nariño </v>
      </c>
      <c r="C2474" s="55">
        <f ca="1">IFERROR(__xludf.DUMMYFUNCTION("""COMPUTED_VALUE"""),44364)</f>
        <v>44364</v>
      </c>
      <c r="D2474" s="25" t="str">
        <f ca="1">IFERROR(__xludf.DUMMYFUNCTION("""COMPUTED_VALUE"""),"Cultura")</f>
        <v>Cultura</v>
      </c>
      <c r="E2474" s="25" t="str">
        <f ca="1">IFERROR(__xludf.DUMMYFUNCTION("""COMPUTED_VALUE"""),"Instituto Distrital de Recreación y Deporte")</f>
        <v>Instituto Distrital de Recreación y Deporte</v>
      </c>
      <c r="F2474" s="25" t="str">
        <f ca="1">IFERROR(__xludf.DUMMYFUNCTION("""COMPUTED_VALUE"""),"Examinar la viabilidad de conectar el Hospital San Juan de Dios con el parque Sevilla")</f>
        <v>Examinar la viabilidad de conectar el Hospital San Juan de Dios con el parque Sevilla</v>
      </c>
      <c r="G2474" s="55" t="str">
        <f ca="1">IFERROR(__xludf.DUMMYFUNCTION("""COMPUTED_VALUE"""),"15. Antonio Nariño")</f>
        <v>15. Antonio Nariño</v>
      </c>
      <c r="H2474" s="55">
        <f ca="1">IFERROR(__xludf.DUMMYFUNCTION("""COMPUTED_VALUE"""),44394)</f>
        <v>44394</v>
      </c>
      <c r="I2474" s="25"/>
      <c r="J2474" s="55" t="str">
        <f ca="1">IFERROR(__xludf.DUMMYFUNCTION("""COMPUTED_VALUE"""),"Alta")</f>
        <v>Alta</v>
      </c>
      <c r="K2474" s="25">
        <f ca="1">IFERROR(__xludf.DUMMYFUNCTION("""COMPUTED_VALUE"""),30)</f>
        <v>30</v>
      </c>
      <c r="L2474" s="62">
        <f ca="1">IFERROR(__xludf.DUMMYFUNCTION("""COMPUTED_VALUE"""),44810)</f>
        <v>44810</v>
      </c>
      <c r="M2474" s="25" t="str">
        <f ca="1">IFERROR(__xludf.DUMMYFUNCTION("""COMPUTED_VALUE"""),"Ya se realizó el pago de la expropiación del parque Sevilla por parte del IDRD en diciembre del 2021, está pendiente la sentencia del juez para realizar la inscripción del predio en la oficina de instrumentos públicos y que entre a registro. Una vez se cu"&amp;"ente con la titularidad iniciaremos la revisión de la viabilidad.")</f>
        <v>Ya se realizó el pago de la expropiación del parque Sevilla por parte del IDRD en diciembre del 2021, está pendiente la sentencia del juez para realizar la inscripción del predio en la oficina de instrumentos públicos y que entre a registro. Una vez se cuente con la titularidad iniciaremos la revisión de la viabilidad.</v>
      </c>
      <c r="N2474" s="55">
        <f ca="1">IFERROR(__xludf.DUMMYFUNCTION("""COMPUTED_VALUE"""),44810)</f>
        <v>44810</v>
      </c>
      <c r="O2474" s="25" t="str">
        <f t="shared" ca="1" si="0"/>
        <v>Instituto Distrital de Recreación y Deporte</v>
      </c>
      <c r="P2474" s="25" t="str">
        <f t="shared" si="2"/>
        <v/>
      </c>
      <c r="Q2474" s="25" t="str">
        <f ca="1">IFERROR(__xludf.DUMMYFUNCTION("""COMPUTED_VALUE"""),"Corto plazo")</f>
        <v>Corto plazo</v>
      </c>
      <c r="R2474" s="25"/>
      <c r="S2474" s="55"/>
      <c r="T2474" s="56"/>
      <c r="U2474" s="25"/>
      <c r="V2474" s="25"/>
      <c r="W2474" s="25"/>
      <c r="X2474" s="25"/>
      <c r="Y2474" s="25"/>
      <c r="Z2474" s="25"/>
    </row>
    <row r="2475" spans="1:26" ht="52.5" customHeight="1" x14ac:dyDescent="0.25">
      <c r="A2475" s="25" t="str">
        <f ca="1">IFERROR(__xludf.DUMMYFUNCTION("""COMPUTED_VALUE"""),"Cultu73")</f>
        <v>Cultu73</v>
      </c>
      <c r="B2475" s="25" t="str">
        <f ca="1">IFERROR(__xludf.DUMMYFUNCTION("""COMPUTED_VALUE"""),"Bronx Distrito Creativo -02 de junio")</f>
        <v>Bronx Distrito Creativo -02 de junio</v>
      </c>
      <c r="C2475" s="55">
        <f ca="1">IFERROR(__xludf.DUMMYFUNCTION("""COMPUTED_VALUE"""),44349)</f>
        <v>44349</v>
      </c>
      <c r="D2475" s="25" t="str">
        <f ca="1">IFERROR(__xludf.DUMMYFUNCTION("""COMPUTED_VALUE"""),"Cultura")</f>
        <v>Cultura</v>
      </c>
      <c r="E2475" s="25" t="str">
        <f ca="1">IFERROR(__xludf.DUMMYFUNCTION("""COMPUTED_VALUE"""),"Secretaría Distrital de Cultura, Recreación y Deporte")</f>
        <v>Secretaría Distrital de Cultura, Recreación y Deporte</v>
      </c>
      <c r="F2475" s="25" t="str">
        <f ca="1">IFERROR(__xludf.DUMMYFUNCTION("""COMPUTED_VALUE"""),"Pedirle a Min Cultura que haga la maqueta del Ministerio a la escala que está la del Bronx")</f>
        <v>Pedirle a Min Cultura que haga la maqueta del Ministerio a la escala que está la del Bronx</v>
      </c>
      <c r="G2475" s="55" t="str">
        <f ca="1">IFERROR(__xludf.DUMMYFUNCTION("""COMPUTED_VALUE"""),"14. Mártires")</f>
        <v>14. Mártires</v>
      </c>
      <c r="H2475" s="55">
        <f ca="1">IFERROR(__xludf.DUMMYFUNCTION("""COMPUTED_VALUE"""),44379)</f>
        <v>44379</v>
      </c>
      <c r="I2475" s="25"/>
      <c r="J2475" s="55" t="str">
        <f ca="1">IFERROR(__xludf.DUMMYFUNCTION("""COMPUTED_VALUE"""),"Alta")</f>
        <v>Alta</v>
      </c>
      <c r="K2475" s="25">
        <f ca="1">IFERROR(__xludf.DUMMYFUNCTION("""COMPUTED_VALUE"""),30)</f>
        <v>30</v>
      </c>
      <c r="L2475" s="62">
        <f ca="1">IFERROR(__xludf.DUMMYFUNCTION("""COMPUTED_VALUE"""),44461)</f>
        <v>44461</v>
      </c>
      <c r="M2475" s="25" t="str">
        <f ca="1">IFERROR(__xludf.DUMMYFUNCTION("""COMPUTED_VALUE"""),"La maqueta de la pieza completa del Bronx Distrito Creativo se encuentra instalada en el Pabellón desde el mes de mayo")</f>
        <v>La maqueta de la pieza completa del Bronx Distrito Creativo se encuentra instalada en el Pabellón desde el mes de mayo</v>
      </c>
      <c r="N2475" s="55">
        <f ca="1">IFERROR(__xludf.DUMMYFUNCTION("""COMPUTED_VALUE"""),44461)</f>
        <v>44461</v>
      </c>
      <c r="O2475" s="25" t="str">
        <f t="shared" ca="1" si="0"/>
        <v>Secretaría Distrital de Cultura, Recreación y Deporte</v>
      </c>
      <c r="P2475" s="25" t="str">
        <f t="shared" si="2"/>
        <v/>
      </c>
      <c r="Q2475" s="25" t="str">
        <f ca="1">IFERROR(__xludf.DUMMYFUNCTION("""COMPUTED_VALUE"""),"Corto plazo")</f>
        <v>Corto plazo</v>
      </c>
      <c r="R2475" s="25"/>
      <c r="S2475" s="55"/>
      <c r="T2475" s="56"/>
      <c r="U2475" s="25"/>
      <c r="V2475" s="25"/>
      <c r="W2475" s="25"/>
      <c r="X2475" s="25"/>
      <c r="Y2475" s="25"/>
      <c r="Z2475" s="25"/>
    </row>
    <row r="2476" spans="1:26" ht="52.5" customHeight="1" x14ac:dyDescent="0.25">
      <c r="A2476" s="25" t="str">
        <f ca="1">IFERROR(__xludf.DUMMYFUNCTION("""COMPUTED_VALUE"""),"Cultu74")</f>
        <v>Cultu74</v>
      </c>
      <c r="B2476" s="25" t="str">
        <f ca="1">IFERROR(__xludf.DUMMYFUNCTION("""COMPUTED_VALUE"""),"Recorrido Plan Centro ")</f>
        <v xml:space="preserve">Recorrido Plan Centro </v>
      </c>
      <c r="C2476" s="55">
        <f ca="1">IFERROR(__xludf.DUMMYFUNCTION("""COMPUTED_VALUE"""),44294)</f>
        <v>44294</v>
      </c>
      <c r="D2476" s="25" t="str">
        <f ca="1">IFERROR(__xludf.DUMMYFUNCTION("""COMPUTED_VALUE"""),"Cultura")</f>
        <v>Cultura</v>
      </c>
      <c r="E2476" s="25" t="str">
        <f ca="1">IFERROR(__xludf.DUMMYFUNCTION("""COMPUTED_VALUE"""),"Instituto Distrital del Patrimonio Cultural")</f>
        <v>Instituto Distrital del Patrimonio Cultural</v>
      </c>
      <c r="F2476" s="25" t="str">
        <f ca="1">IFERROR(__xludf.DUMMYFUNCTION("""COMPUTED_VALUE"""),"Coordinar con el Subdirector de LGTBI y el Director del Instituto de Patrimonio Cultural -Patrick la mejora del ""muro de mujeres trans fallecidas"" que permita reivindicar la vida y experiencias de las personas trans.")</f>
        <v>Coordinar con el Subdirector de LGTBI y el Director del Instituto de Patrimonio Cultural -Patrick la mejora del "muro de mujeres trans fallecidas" que permita reivindicar la vida y experiencias de las personas trans.</v>
      </c>
      <c r="G2476" s="55" t="str">
        <f ca="1">IFERROR(__xludf.DUMMYFUNCTION("""COMPUTED_VALUE"""),"14. Mártires")</f>
        <v>14. Mártires</v>
      </c>
      <c r="H2476" s="55">
        <f ca="1">IFERROR(__xludf.DUMMYFUNCTION("""COMPUTED_VALUE"""),44324)</f>
        <v>44324</v>
      </c>
      <c r="I2476" s="25"/>
      <c r="J2476" s="55" t="str">
        <f ca="1">IFERROR(__xludf.DUMMYFUNCTION("""COMPUTED_VALUE"""),"Alta")</f>
        <v>Alta</v>
      </c>
      <c r="K2476" s="25">
        <f ca="1">IFERROR(__xludf.DUMMYFUNCTION("""COMPUTED_VALUE"""),30)</f>
        <v>30</v>
      </c>
      <c r="L2476" s="62">
        <f ca="1">IFERROR(__xludf.DUMMYFUNCTION("""COMPUTED_VALUE"""),45077)</f>
        <v>45077</v>
      </c>
      <c r="M2476" s="25" t="str">
        <f ca="1">IFERROR(__xludf.DUMMYFUNCTION("""COMPUTED_VALUE"""),"La Subdirección para Asuntos LGBTI de conformidad con el compromiso realizó las respectivas mejoras al muro de memorias Trans ubicado en el Centro de Atención a la Diversidad Sexual y de Géneros - CAIDSG Zona centro, localidad Los Mártires, barrio Santafé"&amp;". Las mejoras contemplaron nuevos marcos para las imágenes, integrando los marcos originales realizados por la población, así como la mejora física del muro sobre el cual reposan las imágenes. 
Reporte IDPC 10/12/2021: El 03/08/21 el IDPC visitó el Centr"&amp;"o de atención a la Diversidad Sexual y de Géneros, CAIDSG de Santa Fe para conocer el proyecto del muro de la memoria trans; después de esa reunión se programó un taller museográfico (25/08/21) en el Museo de Bogotá para explorar las posibilidades que ten"&amp;"dría el muro para transformar su materialidad. Sin embargo, desde la comunidad se planteó que no era pertinente transformar la propuesta en este momento porque podría generar rupturas al interior del proceso comunitario. La relación quedó abierta para que"&amp;" el Museo de Bogotá sea visitado por la organización para proponer futuras rutas de trabajo.")</f>
        <v>La Subdirección para Asuntos LGBTI de conformidad con el compromiso realizó las respectivas mejoras al muro de memorias Trans ubicado en el Centro de Atención a la Diversidad Sexual y de Géneros - CAIDSG Zona centro, localidad Los Mártires, barrio Santafé. Las mejoras contemplaron nuevos marcos para las imágenes, integrando los marcos originales realizados por la población, así como la mejora física del muro sobre el cual reposan las imágenes. 
Reporte IDPC 10/12/2021: El 03/08/21 el IDPC visitó el Centro de atención a la Diversidad Sexual y de Géneros, CAIDSG de Santa Fe para conocer el proyecto del muro de la memoria trans; después de esa reunión se programó un taller museográfico (25/08/21) en el Museo de Bogotá para explorar las posibilidades que tendría el muro para transformar su materialidad. Sin embargo, desde la comunidad se planteó que no era pertinente transformar la propuesta en este momento porque podría generar rupturas al interior del proceso comunitario. La relación quedó abierta para que el Museo de Bogotá sea visitado por la organización para proponer futuras rutas de trabajo.</v>
      </c>
      <c r="N2476" s="55">
        <f ca="1">IFERROR(__xludf.DUMMYFUNCTION("""COMPUTED_VALUE"""),44540)</f>
        <v>44540</v>
      </c>
      <c r="O2476" s="25" t="str">
        <f t="shared" ca="1" si="0"/>
        <v>Instituto Distrital del Patrimonio Cultural</v>
      </c>
      <c r="P2476" s="25" t="str">
        <f t="shared" si="2"/>
        <v/>
      </c>
      <c r="Q2476" s="25" t="str">
        <f ca="1">IFERROR(__xludf.DUMMYFUNCTION("""COMPUTED_VALUE"""),"Corto plazo")</f>
        <v>Corto plazo</v>
      </c>
      <c r="R2476" s="25"/>
      <c r="S2476" s="55"/>
      <c r="T2476" s="56"/>
      <c r="U2476" s="25"/>
      <c r="V2476" s="25"/>
      <c r="W2476" s="25"/>
      <c r="X2476" s="25"/>
      <c r="Y2476" s="25"/>
      <c r="Z2476" s="25"/>
    </row>
    <row r="2477" spans="1:26" ht="52.5" customHeight="1" x14ac:dyDescent="0.25">
      <c r="A2477" s="25" t="str">
        <f ca="1">IFERROR(__xludf.DUMMYFUNCTION("""COMPUTED_VALUE"""),"Cultu75")</f>
        <v>Cultu75</v>
      </c>
      <c r="B2477" s="25" t="str">
        <f ca="1">IFERROR(__xludf.DUMMYFUNCTION("""COMPUTED_VALUE"""),"Infraestructura - IDRD con Alcaldesa")</f>
        <v>Infraestructura - IDRD con Alcaldesa</v>
      </c>
      <c r="C2477" s="55">
        <f ca="1">IFERROR(__xludf.DUMMYFUNCTION("""COMPUTED_VALUE"""),44271)</f>
        <v>44271</v>
      </c>
      <c r="D2477" s="25" t="str">
        <f ca="1">IFERROR(__xludf.DUMMYFUNCTION("""COMPUTED_VALUE"""),"Cultura")</f>
        <v>Cultura</v>
      </c>
      <c r="E2477" s="25" t="str">
        <f ca="1">IFERROR(__xludf.DUMMYFUNCTION("""COMPUTED_VALUE"""),"Instituto Distrital de Recreación y Deporte")</f>
        <v>Instituto Distrital de Recreación y Deporte</v>
      </c>
      <c r="F2477" s="25" t="str">
        <f ca="1">IFERROR(__xludf.DUMMYFUNCTION("""COMPUTED_VALUE"""),"Construir 2 de los 3 edificios de Las Cometas ")</f>
        <v xml:space="preserve">Construir 2 de los 3 edificios de Las Cometas </v>
      </c>
      <c r="G2477" s="25" t="str">
        <f ca="1">IFERROR(__xludf.DUMMYFUNCTION("""COMPUTED_VALUE"""),"99. Distrito")</f>
        <v>99. Distrito</v>
      </c>
      <c r="H2477" s="55">
        <f ca="1">IFERROR(__xludf.DUMMYFUNCTION("""COMPUTED_VALUE"""),44301)</f>
        <v>44301</v>
      </c>
      <c r="I2477" s="25"/>
      <c r="J2477" s="55" t="str">
        <f ca="1">IFERROR(__xludf.DUMMYFUNCTION("""COMPUTED_VALUE"""),"Alta")</f>
        <v>Alta</v>
      </c>
      <c r="K2477" s="25">
        <f ca="1">IFERROR(__xludf.DUMMYFUNCTION("""COMPUTED_VALUE"""),30)</f>
        <v>30</v>
      </c>
      <c r="L2477" s="62">
        <f ca="1">IFERROR(__xludf.DUMMYFUNCTION("""COMPUTED_VALUE"""),44362)</f>
        <v>44362</v>
      </c>
      <c r="M2477" s="25" t="str">
        <f ca="1">IFERROR(__xludf.DUMMYFUNCTION("""COMPUTED_VALUE"""),"Las obras contratadas contemplan la construcción del Edificio Deportivo (canchas y piscinas) y el Edificio Cultural 2. ")</f>
        <v xml:space="preserve">Las obras contratadas contemplan la construcción del Edificio Deportivo (canchas y piscinas) y el Edificio Cultural 2. </v>
      </c>
      <c r="N2477" s="55">
        <f ca="1">IFERROR(__xludf.DUMMYFUNCTION("""COMPUTED_VALUE"""),44362)</f>
        <v>44362</v>
      </c>
      <c r="O2477" s="25" t="str">
        <f t="shared" ca="1" si="0"/>
        <v>Instituto Distrital de Recreación y Deporte</v>
      </c>
      <c r="P2477" s="25" t="str">
        <f t="shared" si="2"/>
        <v/>
      </c>
      <c r="Q2477" s="25" t="str">
        <f ca="1">IFERROR(__xludf.DUMMYFUNCTION("""COMPUTED_VALUE"""),"Corto plazo")</f>
        <v>Corto plazo</v>
      </c>
      <c r="R2477" s="25"/>
      <c r="S2477" s="55"/>
      <c r="T2477" s="56"/>
      <c r="U2477" s="25"/>
      <c r="V2477" s="25"/>
      <c r="W2477" s="25"/>
      <c r="X2477" s="25"/>
      <c r="Y2477" s="25"/>
      <c r="Z2477" s="25"/>
    </row>
    <row r="2478" spans="1:26" ht="52.5" customHeight="1" x14ac:dyDescent="0.25">
      <c r="A2478" s="25" t="str">
        <f ca="1">IFERROR(__xludf.DUMMYFUNCTION("""COMPUTED_VALUE"""),"Cultu76")</f>
        <v>Cultu76</v>
      </c>
      <c r="B2478" s="25" t="str">
        <f ca="1">IFERROR(__xludf.DUMMYFUNCTION("""COMPUTED_VALUE"""),"Infraestructura - IDRD con Alcaldesa")</f>
        <v>Infraestructura - IDRD con Alcaldesa</v>
      </c>
      <c r="C2478" s="55">
        <f ca="1">IFERROR(__xludf.DUMMYFUNCTION("""COMPUTED_VALUE"""),44271)</f>
        <v>44271</v>
      </c>
      <c r="D2478" s="25" t="str">
        <f ca="1">IFERROR(__xludf.DUMMYFUNCTION("""COMPUTED_VALUE"""),"Cultura")</f>
        <v>Cultura</v>
      </c>
      <c r="E2478" s="25" t="str">
        <f ca="1">IFERROR(__xludf.DUMMYFUNCTION("""COMPUTED_VALUE"""),"Instituto Distrital de Recreación y Deporte")</f>
        <v>Instituto Distrital de Recreación y Deporte</v>
      </c>
      <c r="F2478" s="25" t="str">
        <f ca="1">IFERROR(__xludf.DUMMYFUNCTION("""COMPUTED_VALUE"""),"Contratar la patología de la UDS 
")</f>
        <v xml:space="preserve">Contratar la patología de la UDS 
</v>
      </c>
      <c r="G2478" s="25" t="str">
        <f ca="1">IFERROR(__xludf.DUMMYFUNCTION("""COMPUTED_VALUE"""),"99. Distrito")</f>
        <v>99. Distrito</v>
      </c>
      <c r="H2478" s="55">
        <f ca="1">IFERROR(__xludf.DUMMYFUNCTION("""COMPUTED_VALUE"""),44301)</f>
        <v>44301</v>
      </c>
      <c r="I2478" s="25"/>
      <c r="J2478" s="55" t="str">
        <f ca="1">IFERROR(__xludf.DUMMYFUNCTION("""COMPUTED_VALUE"""),"Alta")</f>
        <v>Alta</v>
      </c>
      <c r="K2478" s="25">
        <f ca="1">IFERROR(__xludf.DUMMYFUNCTION("""COMPUTED_VALUE"""),30)</f>
        <v>30</v>
      </c>
      <c r="L2478" s="62">
        <f ca="1">IFERROR(__xludf.DUMMYFUNCTION("""COMPUTED_VALUE"""),44480)</f>
        <v>44480</v>
      </c>
      <c r="M2478" s="25" t="str">
        <f ca="1">IFERROR(__xludf.DUMMYFUNCTION("""COMPUTED_VALUE"""),"Los procesos de selección para la contratación de la consultoría (patología, estudios y diseños) y la interventoría, fueron declarados desiertos. 
Se realizó nuevamente la publicación de los procesos de consultoría con No. IDRD-SG-CM-031-2021 (05-08-21) "&amp;"e interventoría con No. IDRD-SG-CM-033-2021 (10-08-21) en la plataforma SECOP Y, ya se adjudicó el proceso de consultoría el 08/10/2020.")</f>
        <v>Los procesos de selección para la contratación de la consultoría (patología, estudios y diseños) y la interventoría, fueron declarados desiertos. 
Se realizó nuevamente la publicación de los procesos de consultoría con No. IDRD-SG-CM-031-2021 (05-08-21) e interventoría con No. IDRD-SG-CM-033-2021 (10-08-21) en la plataforma SECOP Y, ya se adjudicó el proceso de consultoría el 08/10/2020.</v>
      </c>
      <c r="N2478" s="55">
        <f ca="1">IFERROR(__xludf.DUMMYFUNCTION("""COMPUTED_VALUE"""),44480)</f>
        <v>44480</v>
      </c>
      <c r="O2478" s="25" t="str">
        <f t="shared" ca="1" si="0"/>
        <v>Instituto Distrital de Recreación y Deporte</v>
      </c>
      <c r="P2478" s="25" t="str">
        <f t="shared" si="2"/>
        <v/>
      </c>
      <c r="Q2478" s="25" t="str">
        <f ca="1">IFERROR(__xludf.DUMMYFUNCTION("""COMPUTED_VALUE"""),"Corto plazo")</f>
        <v>Corto plazo</v>
      </c>
      <c r="R2478" s="25"/>
      <c r="S2478" s="55"/>
      <c r="T2478" s="56"/>
      <c r="U2478" s="25"/>
      <c r="V2478" s="25"/>
      <c r="W2478" s="25"/>
      <c r="X2478" s="25"/>
      <c r="Y2478" s="25"/>
      <c r="Z2478" s="25"/>
    </row>
    <row r="2479" spans="1:26" ht="52.5" customHeight="1" x14ac:dyDescent="0.25">
      <c r="A2479" s="25" t="str">
        <f ca="1">IFERROR(__xludf.DUMMYFUNCTION("""COMPUTED_VALUE"""),"Cultu77")</f>
        <v>Cultu77</v>
      </c>
      <c r="B2479" s="25" t="str">
        <f ca="1">IFERROR(__xludf.DUMMYFUNCTION("""COMPUTED_VALUE"""),"Infraestructura - Predio Gibraltar con alcaldesa")</f>
        <v>Infraestructura - Predio Gibraltar con alcaldesa</v>
      </c>
      <c r="C2479" s="55">
        <f ca="1">IFERROR(__xludf.DUMMYFUNCTION("""COMPUTED_VALUE"""),44271)</f>
        <v>44271</v>
      </c>
      <c r="D2479" s="25" t="str">
        <f ca="1">IFERROR(__xludf.DUMMYFUNCTION("""COMPUTED_VALUE"""),"Cultura")</f>
        <v>Cultura</v>
      </c>
      <c r="E2479" s="25" t="str">
        <f ca="1">IFERROR(__xludf.DUMMYFUNCTION("""COMPUTED_VALUE"""),"Instituto Distrital de Recreación y Deporte")</f>
        <v>Instituto Distrital de Recreación y Deporte</v>
      </c>
      <c r="F2479" s="25" t="str">
        <f ca="1">IFERROR(__xludf.DUMMYFUNCTION("""COMPUTED_VALUE"""),"IDRD determinar la formulación del Plan Director (para todo el predio) de tal forma que su adopción por parte de SDP esté lista para agosto 2021.")</f>
        <v>IDRD determinar la formulación del Plan Director (para todo el predio) de tal forma que su adopción por parte de SDP esté lista para agosto 2021.</v>
      </c>
      <c r="G2479" s="25" t="str">
        <f ca="1">IFERROR(__xludf.DUMMYFUNCTION("""COMPUTED_VALUE"""),"99. Distrito")</f>
        <v>99. Distrito</v>
      </c>
      <c r="H2479" s="55">
        <f ca="1">IFERROR(__xludf.DUMMYFUNCTION("""COMPUTED_VALUE"""),44301)</f>
        <v>44301</v>
      </c>
      <c r="I2479" s="25"/>
      <c r="J2479" s="55" t="str">
        <f ca="1">IFERROR(__xludf.DUMMYFUNCTION("""COMPUTED_VALUE"""),"Alta")</f>
        <v>Alta</v>
      </c>
      <c r="K2479" s="25">
        <f ca="1">IFERROR(__xludf.DUMMYFUNCTION("""COMPUTED_VALUE"""),30)</f>
        <v>30</v>
      </c>
      <c r="L2479" s="62">
        <f ca="1">IFERROR(__xludf.DUMMYFUNCTION("""COMPUTED_VALUE"""),44480)</f>
        <v>44480</v>
      </c>
      <c r="M2479" s="25" t="str">
        <f ca="1">IFERROR(__xludf.DUMMYFUNCTION("""COMPUTED_VALUE"""),"Radicado en la SDP 20214100056161 del 9 de abril de 2021.  se remitió respuesta por parte de SDP y SDM de los análisis de movilidad, actualmente la SDP continúe con la aprobación del plan director.
La Dirección del taller del espacio público de la SDP inf"&amp;"ormó que ya se encuentra elaborando el borrador de acto administrativo. ")</f>
        <v xml:space="preserve">Radicado en la SDP 20214100056161 del 9 de abril de 2021.  se remitió respuesta por parte de SDP y SDM de los análisis de movilidad, actualmente la SDP continúe con la aprobación del plan director.
La Dirección del taller del espacio público de la SDP informó que ya se encuentra elaborando el borrador de acto administrativo. </v>
      </c>
      <c r="N2479" s="55">
        <f ca="1">IFERROR(__xludf.DUMMYFUNCTION("""COMPUTED_VALUE"""),44480)</f>
        <v>44480</v>
      </c>
      <c r="O2479" s="25" t="str">
        <f t="shared" ca="1" si="0"/>
        <v>Instituto Distrital de Recreación y Deporte</v>
      </c>
      <c r="P2479" s="25" t="str">
        <f t="shared" si="2"/>
        <v/>
      </c>
      <c r="Q2479" s="25" t="str">
        <f ca="1">IFERROR(__xludf.DUMMYFUNCTION("""COMPUTED_VALUE"""),"Corto plazo")</f>
        <v>Corto plazo</v>
      </c>
      <c r="R2479" s="25"/>
      <c r="S2479" s="55"/>
      <c r="T2479" s="56"/>
      <c r="U2479" s="25"/>
      <c r="V2479" s="25"/>
      <c r="W2479" s="25"/>
      <c r="X2479" s="25"/>
      <c r="Y2479" s="25"/>
      <c r="Z2479" s="25"/>
    </row>
    <row r="2480" spans="1:26" ht="52.5" customHeight="1" x14ac:dyDescent="0.25">
      <c r="A2480" s="25" t="str">
        <f ca="1">IFERROR(__xludf.DUMMYFUNCTION("""COMPUTED_VALUE"""),"Cultu78")</f>
        <v>Cultu78</v>
      </c>
      <c r="B2480" s="25" t="str">
        <f ca="1">IFERROR(__xludf.DUMMYFUNCTION("""COMPUTED_VALUE"""),"Infraestructura - Predio Gibraltar con alcaldesa")</f>
        <v>Infraestructura - Predio Gibraltar con alcaldesa</v>
      </c>
      <c r="C2480" s="55">
        <f ca="1">IFERROR(__xludf.DUMMYFUNCTION("""COMPUTED_VALUE"""),44271)</f>
        <v>44271</v>
      </c>
      <c r="D2480" s="25" t="str">
        <f ca="1">IFERROR(__xludf.DUMMYFUNCTION("""COMPUTED_VALUE"""),"Cultura")</f>
        <v>Cultura</v>
      </c>
      <c r="E2480" s="25" t="str">
        <f ca="1">IFERROR(__xludf.DUMMYFUNCTION("""COMPUTED_VALUE"""),"Instituto Distrital de Recreación y Deporte")</f>
        <v>Instituto Distrital de Recreación y Deporte</v>
      </c>
      <c r="F2480" s="25" t="str">
        <f ca="1">IFERROR(__xludf.DUMMYFUNCTION("""COMPUTED_VALUE"""),"IDRD debe asegurarse que el CDRC Gibraltar esté diseñado y pensado como manzana del cuidado.")</f>
        <v>IDRD debe asegurarse que el CDRC Gibraltar esté diseñado y pensado como manzana del cuidado.</v>
      </c>
      <c r="G2480" s="25" t="str">
        <f ca="1">IFERROR(__xludf.DUMMYFUNCTION("""COMPUTED_VALUE"""),"99. Distrito")</f>
        <v>99. Distrito</v>
      </c>
      <c r="H2480" s="55">
        <f ca="1">IFERROR(__xludf.DUMMYFUNCTION("""COMPUTED_VALUE"""),44301)</f>
        <v>44301</v>
      </c>
      <c r="I2480" s="25"/>
      <c r="J2480" s="55" t="str">
        <f ca="1">IFERROR(__xludf.DUMMYFUNCTION("""COMPUTED_VALUE"""),"Alta")</f>
        <v>Alta</v>
      </c>
      <c r="K2480" s="25">
        <f ca="1">IFERROR(__xludf.DUMMYFUNCTION("""COMPUTED_VALUE"""),30)</f>
        <v>30</v>
      </c>
      <c r="L2480" s="62">
        <f ca="1">IFERROR(__xludf.DUMMYFUNCTION("""COMPUTED_VALUE"""),44362)</f>
        <v>44362</v>
      </c>
      <c r="M2480" s="25" t="str">
        <f ca="1">IFERROR(__xludf.DUMMYFUNCTION("""COMPUTED_VALUE"""),"El proyecto del parque Gibraltar se encuentra actualmente en etapa de diseño, en el cual se tiene proyectado generar espacios polivalentes para fortalecer la manzana del cuidado con acciones de capacitación.")</f>
        <v>El proyecto del parque Gibraltar se encuentra actualmente en etapa de diseño, en el cual se tiene proyectado generar espacios polivalentes para fortalecer la manzana del cuidado con acciones de capacitación.</v>
      </c>
      <c r="N2480" s="55">
        <f ca="1">IFERROR(__xludf.DUMMYFUNCTION("""COMPUTED_VALUE"""),44362)</f>
        <v>44362</v>
      </c>
      <c r="O2480" s="25" t="str">
        <f t="shared" ca="1" si="0"/>
        <v>Instituto Distrital de Recreación y Deporte</v>
      </c>
      <c r="P2480" s="25" t="str">
        <f t="shared" si="2"/>
        <v/>
      </c>
      <c r="Q2480" s="25" t="str">
        <f ca="1">IFERROR(__xludf.DUMMYFUNCTION("""COMPUTED_VALUE"""),"Corto plazo")</f>
        <v>Corto plazo</v>
      </c>
      <c r="R2480" s="25"/>
      <c r="S2480" s="55"/>
      <c r="T2480" s="56"/>
      <c r="U2480" s="25"/>
      <c r="V2480" s="25"/>
      <c r="W2480" s="25"/>
      <c r="X2480" s="25"/>
      <c r="Y2480" s="25"/>
      <c r="Z2480" s="25"/>
    </row>
    <row r="2481" spans="1:26" ht="52.5" customHeight="1" x14ac:dyDescent="0.25">
      <c r="A2481" s="25" t="str">
        <f ca="1">IFERROR(__xludf.DUMMYFUNCTION("""COMPUTED_VALUE"""),"Cultu79")</f>
        <v>Cultu79</v>
      </c>
      <c r="B2481" s="25" t="str">
        <f ca="1">IFERROR(__xludf.DUMMYFUNCTION("""COMPUTED_VALUE"""),"Modelo de operación de bibliotecas públicas ")</f>
        <v xml:space="preserve">Modelo de operación de bibliotecas públicas </v>
      </c>
      <c r="C2481" s="55">
        <f ca="1">IFERROR(__xludf.DUMMYFUNCTION("""COMPUTED_VALUE"""),44260)</f>
        <v>44260</v>
      </c>
      <c r="D2481" s="25" t="str">
        <f ca="1">IFERROR(__xludf.DUMMYFUNCTION("""COMPUTED_VALUE"""),"Cultura")</f>
        <v>Cultura</v>
      </c>
      <c r="E2481" s="25" t="str">
        <f ca="1">IFERROR(__xludf.DUMMYFUNCTION("""COMPUTED_VALUE"""),"Secretaría Distrital de Cultura, Recreación y Deporte")</f>
        <v>Secretaría Distrital de Cultura, Recreación y Deporte</v>
      </c>
      <c r="F2481" s="25" t="str">
        <f ca="1">IFERROR(__xludf.DUMMYFUNCTION("""COMPUTED_VALUE"""),"Revisar si la nueva infraestructura de bibliotecas que se propone puede ser 100% móvil —se sugiere no llevar material a las JAC
")</f>
        <v xml:space="preserve">Revisar si la nueva infraestructura de bibliotecas que se propone puede ser 100% móvil —se sugiere no llevar material a las JAC
</v>
      </c>
      <c r="G2481" s="25" t="str">
        <f ca="1">IFERROR(__xludf.DUMMYFUNCTION("""COMPUTED_VALUE"""),"99. Distrito")</f>
        <v>99. Distrito</v>
      </c>
      <c r="H2481" s="55">
        <f ca="1">IFERROR(__xludf.DUMMYFUNCTION("""COMPUTED_VALUE"""),44290)</f>
        <v>44290</v>
      </c>
      <c r="I2481" s="25"/>
      <c r="J2481" s="55" t="str">
        <f ca="1">IFERROR(__xludf.DUMMYFUNCTION("""COMPUTED_VALUE"""),"Alta")</f>
        <v>Alta</v>
      </c>
      <c r="K2481" s="25">
        <f ca="1">IFERROR(__xludf.DUMMYFUNCTION("""COMPUTED_VALUE"""),30)</f>
        <v>30</v>
      </c>
      <c r="L2481" s="62">
        <f ca="1">IFERROR(__xludf.DUMMYFUNCTION("""COMPUTED_VALUE"""),44421)</f>
        <v>44421</v>
      </c>
      <c r="M2481" s="25" t="str">
        <f ca="1">IFERROR(__xludf.DUMMYFUNCTION("""COMPUTED_VALUE"""),"No se implementó la estrategia en las JAC. La infraestructura de las bibliotecas no puede ser 100% móvil, sin embargo, se fortaleció el programa de extensión bibliotecaria con dos tipos de infraestructura: La biblioteca móvil itinerante que empezó a recor"&amp;"rer la ciudad y que apoyará las actividades que se realizarán en las manzanas del cuidado y las huertas comunitarias del barrio mártires; y la creación de espacios alternativos de lectura en El Castillo de las artes, y el CAIDGS de Teusaquillo. Adicionalm"&amp;"ente, se realizó la apertura de la Biblioteca de la Participación y El Mirador para llegar a 27 bibliotecas de la Red. Finalmente se inició el proceso de incorporación de  la Biblioteca de la FUGA como parte de las  bibliotecas de Biblored. ")</f>
        <v xml:space="preserve">No se implementó la estrategia en las JAC. La infraestructura de las bibliotecas no puede ser 100% móvil, sin embargo, se fortaleció el programa de extensión bibliotecaria con dos tipos de infraestructura: La biblioteca móvil itinerante que empezó a recorrer la ciudad y que apoyará las actividades que se realizarán en las manzanas del cuidado y las huertas comunitarias del barrio mártires; y la creación de espacios alternativos de lectura en El Castillo de las artes, y el CAIDGS de Teusaquillo. Adicionalmente, se realizó la apertura de la Biblioteca de la Participación y El Mirador para llegar a 27 bibliotecas de la Red. Finalmente se inició el proceso de incorporación de  la Biblioteca de la FUGA como parte de las  bibliotecas de Biblored. </v>
      </c>
      <c r="N2481" s="55">
        <f ca="1">IFERROR(__xludf.DUMMYFUNCTION("""COMPUTED_VALUE"""),44421)</f>
        <v>44421</v>
      </c>
      <c r="O2481" s="25" t="str">
        <f t="shared" ca="1" si="0"/>
        <v>Secretaría Distrital de Cultura, Recreación y Deporte</v>
      </c>
      <c r="P2481" s="25" t="str">
        <f t="shared" si="2"/>
        <v/>
      </c>
      <c r="Q2481" s="25" t="str">
        <f ca="1">IFERROR(__xludf.DUMMYFUNCTION("""COMPUTED_VALUE"""),"Corto plazo")</f>
        <v>Corto plazo</v>
      </c>
      <c r="R2481" s="25"/>
      <c r="S2481" s="55"/>
      <c r="T2481" s="56"/>
      <c r="U2481" s="25"/>
      <c r="V2481" s="25"/>
      <c r="W2481" s="25"/>
      <c r="X2481" s="25"/>
      <c r="Y2481" s="25"/>
      <c r="Z2481" s="25"/>
    </row>
    <row r="2482" spans="1:26" ht="52.5" customHeight="1" x14ac:dyDescent="0.25">
      <c r="A2482" s="25" t="str">
        <f ca="1">IFERROR(__xludf.DUMMYFUNCTION("""COMPUTED_VALUE"""),"Cultu80")</f>
        <v>Cultu80</v>
      </c>
      <c r="B2482" s="25" t="str">
        <f ca="1">IFERROR(__xludf.DUMMYFUNCTION("""COMPUTED_VALUE"""),"Modelo de operación de bibliotecas públicas ")</f>
        <v xml:space="preserve">Modelo de operación de bibliotecas públicas </v>
      </c>
      <c r="C2482" s="55">
        <f ca="1">IFERROR(__xludf.DUMMYFUNCTION("""COMPUTED_VALUE"""),44260)</f>
        <v>44260</v>
      </c>
      <c r="D2482" s="25" t="str">
        <f ca="1">IFERROR(__xludf.DUMMYFUNCTION("""COMPUTED_VALUE"""),"Cultura")</f>
        <v>Cultura</v>
      </c>
      <c r="E2482" s="25" t="str">
        <f ca="1">IFERROR(__xludf.DUMMYFUNCTION("""COMPUTED_VALUE"""),"Secretaría Distrital de Cultura, Recreación y Deporte")</f>
        <v>Secretaría Distrital de Cultura, Recreación y Deporte</v>
      </c>
      <c r="F2482" s="25" t="str">
        <f ca="1">IFERROR(__xludf.DUMMYFUNCTION("""COMPUTED_VALUE"""),"Revisar si alguna parte del proceso de la operación misional del sistema de bibliotecas puede ser asumido por la Secretaría. 
")</f>
        <v xml:space="preserve">Revisar si alguna parte del proceso de la operación misional del sistema de bibliotecas puede ser asumido por la Secretaría. 
</v>
      </c>
      <c r="G2482" s="25" t="str">
        <f ca="1">IFERROR(__xludf.DUMMYFUNCTION("""COMPUTED_VALUE"""),"99. Distrito")</f>
        <v>99. Distrito</v>
      </c>
      <c r="H2482" s="55">
        <f ca="1">IFERROR(__xludf.DUMMYFUNCTION("""COMPUTED_VALUE"""),44290)</f>
        <v>44290</v>
      </c>
      <c r="I2482" s="25"/>
      <c r="J2482" s="55" t="str">
        <f ca="1">IFERROR(__xludf.DUMMYFUNCTION("""COMPUTED_VALUE"""),"Alta")</f>
        <v>Alta</v>
      </c>
      <c r="K2482" s="25">
        <f ca="1">IFERROR(__xludf.DUMMYFUNCTION("""COMPUTED_VALUE"""),30)</f>
        <v>30</v>
      </c>
      <c r="L2482" s="62">
        <f ca="1">IFERROR(__xludf.DUMMYFUNCTION("""COMPUTED_VALUE"""),44421)</f>
        <v>44421</v>
      </c>
      <c r="M2482" s="25" t="str">
        <f ca="1">IFERROR(__xludf.DUMMYFUNCTION("""COMPUTED_VALUE"""),"Actualmente, los líderes de las áreas misionales no se encuentran tercerizados a través de concesionarios u operadores, ellos están contratados por la SCRD. Las líneas misionales son: Programación y actividad cultura, Proyectos editoriales, Política Públi"&amp;"ca, Sistema Distrital de Bibliotecas, Formación, Coordinación de Bibliotecas, Cultura digital e innovación, Infraestructura, Comunidad y Territorio y Escuela de Lectores. Adicionalmente, la interventoría no está contratada externamente sino las labores de"&amp;" supervisión se hacen con funcionarios y contratistas que apoyan la supervisión desde la SCRD. Los operadores ejecutan los lineamientos dados por los líderes de la SCRD. ")</f>
        <v xml:space="preserve">Actualmente, los líderes de las áreas misionales no se encuentran tercerizados a través de concesionarios u operadores, ellos están contratados por la SCRD. Las líneas misionales son: Programación y actividad cultura, Proyectos editoriales, Política Pública, Sistema Distrital de Bibliotecas, Formación, Coordinación de Bibliotecas, Cultura digital e innovación, Infraestructura, Comunidad y Territorio y Escuela de Lectores. Adicionalmente, la interventoría no está contratada externamente sino las labores de supervisión se hacen con funcionarios y contratistas que apoyan la supervisión desde la SCRD. Los operadores ejecutan los lineamientos dados por los líderes de la SCRD. </v>
      </c>
      <c r="N2482" s="55">
        <f ca="1">IFERROR(__xludf.DUMMYFUNCTION("""COMPUTED_VALUE"""),44421)</f>
        <v>44421</v>
      </c>
      <c r="O2482" s="25" t="str">
        <f t="shared" ca="1" si="0"/>
        <v>Secretaría Distrital de Cultura, Recreación y Deporte</v>
      </c>
      <c r="P2482" s="25" t="str">
        <f t="shared" si="2"/>
        <v/>
      </c>
      <c r="Q2482" s="25" t="str">
        <f ca="1">IFERROR(__xludf.DUMMYFUNCTION("""COMPUTED_VALUE"""),"Corto plazo")</f>
        <v>Corto plazo</v>
      </c>
      <c r="R2482" s="25"/>
      <c r="S2482" s="55"/>
      <c r="T2482" s="56"/>
      <c r="U2482" s="25"/>
      <c r="V2482" s="25"/>
      <c r="W2482" s="25"/>
      <c r="X2482" s="25"/>
      <c r="Y2482" s="25"/>
      <c r="Z2482" s="25"/>
    </row>
    <row r="2483" spans="1:26" ht="52.5" customHeight="1" x14ac:dyDescent="0.25">
      <c r="A2483" s="25" t="str">
        <f ca="1">IFERROR(__xludf.DUMMYFUNCTION("""COMPUTED_VALUE"""),"Cultu81")</f>
        <v>Cultu81</v>
      </c>
      <c r="B2483" s="25" t="str">
        <f ca="1">IFERROR(__xludf.DUMMYFUNCTION("""COMPUTED_VALUE"""),"Modelo de operación de bibliotecas públicas ")</f>
        <v xml:space="preserve">Modelo de operación de bibliotecas públicas </v>
      </c>
      <c r="C2483" s="55">
        <f ca="1">IFERROR(__xludf.DUMMYFUNCTION("""COMPUTED_VALUE"""),44260)</f>
        <v>44260</v>
      </c>
      <c r="D2483" s="25" t="str">
        <f ca="1">IFERROR(__xludf.DUMMYFUNCTION("""COMPUTED_VALUE"""),"Cultura")</f>
        <v>Cultura</v>
      </c>
      <c r="E2483" s="25" t="str">
        <f ca="1">IFERROR(__xludf.DUMMYFUNCTION("""COMPUTED_VALUE"""),"Secretaría Distrital de Cultura, Recreación y Deporte")</f>
        <v>Secretaría Distrital de Cultura, Recreación y Deporte</v>
      </c>
      <c r="F2483" s="25" t="str">
        <f ca="1">IFERROR(__xludf.DUMMYFUNCTION("""COMPUTED_VALUE"""),"Revisar el número de contratos que se firman para la operación de las bibliotecas. Podrían ser sólo 2: uno misional y uno administrativo (Anderson + Bateman + Numpaque) 
")</f>
        <v xml:space="preserve">Revisar el número de contratos que se firman para la operación de las bibliotecas. Podrían ser sólo 2: uno misional y uno administrativo (Anderson + Bateman + Numpaque) 
</v>
      </c>
      <c r="G2483" s="25" t="str">
        <f ca="1">IFERROR(__xludf.DUMMYFUNCTION("""COMPUTED_VALUE"""),"99. Distrito")</f>
        <v>99. Distrito</v>
      </c>
      <c r="H2483" s="55">
        <f ca="1">IFERROR(__xludf.DUMMYFUNCTION("""COMPUTED_VALUE"""),44290)</f>
        <v>44290</v>
      </c>
      <c r="I2483" s="25"/>
      <c r="J2483" s="55" t="str">
        <f ca="1">IFERROR(__xludf.DUMMYFUNCTION("""COMPUTED_VALUE"""),"Alta")</f>
        <v>Alta</v>
      </c>
      <c r="K2483" s="25">
        <f ca="1">IFERROR(__xludf.DUMMYFUNCTION("""COMPUTED_VALUE"""),30)</f>
        <v>30</v>
      </c>
      <c r="L2483" s="62">
        <f ca="1">IFERROR(__xludf.DUMMYFUNCTION("""COMPUTED_VALUE"""),44421)</f>
        <v>44421</v>
      </c>
      <c r="M2483" s="25" t="str">
        <f ca="1">IFERROR(__xludf.DUMMYFUNCTION("""COMPUTED_VALUE"""),"La SCRD adelantó procesos públicos los cuales fueron adjudicados (Contrato 275 de 2021 suscrito con el Consorcio Cinde y Proyectamos S.A.S y convenio de asociación 375 de 2021 con la Asociación de Amigos de las Bibliotecas, la Cultura y la Educación Biblo"&amp;"amigos). A través de estos operadores, se garantiza la prestación del servicio público en las Bibliotecas de manera ininterrumpida, así como la materialización de diversos proyectos, planes y programas en las Bibliotecas y espacios alternativos de lectura"&amp;" (PPPs, Bibloestaciones y Bibliomóvil). El cambio en el modelo de operación (anterior Concesión atípica), ha permitido optimizar recursos incluyendo nuevos espacios (Biblioteca de la Participación, CAIDGS y Biblioteca del Mirador).  ")</f>
        <v xml:space="preserve">La SCRD adelantó procesos públicos los cuales fueron adjudicados (Contrato 275 de 2021 suscrito con el Consorcio Cinde y Proyectamos S.A.S y convenio de asociación 375 de 2021 con la Asociación de Amigos de las Bibliotecas, la Cultura y la Educación Bibloamigos). A través de estos operadores, se garantiza la prestación del servicio público en las Bibliotecas de manera ininterrumpida, así como la materialización de diversos proyectos, planes y programas en las Bibliotecas y espacios alternativos de lectura (PPPs, Bibloestaciones y Bibliomóvil). El cambio en el modelo de operación (anterior Concesión atípica), ha permitido optimizar recursos incluyendo nuevos espacios (Biblioteca de la Participación, CAIDGS y Biblioteca del Mirador).  </v>
      </c>
      <c r="N2483" s="55">
        <f ca="1">IFERROR(__xludf.DUMMYFUNCTION("""COMPUTED_VALUE"""),44421)</f>
        <v>44421</v>
      </c>
      <c r="O2483" s="25" t="str">
        <f t="shared" ca="1" si="0"/>
        <v>Secretaría Distrital de Cultura, Recreación y Deporte</v>
      </c>
      <c r="P2483" s="25" t="str">
        <f t="shared" si="2"/>
        <v/>
      </c>
      <c r="Q2483" s="25" t="str">
        <f ca="1">IFERROR(__xludf.DUMMYFUNCTION("""COMPUTED_VALUE"""),"Corto plazo")</f>
        <v>Corto plazo</v>
      </c>
      <c r="R2483" s="25"/>
      <c r="S2483" s="55"/>
      <c r="T2483" s="56"/>
      <c r="U2483" s="25"/>
      <c r="V2483" s="25"/>
      <c r="W2483" s="25"/>
      <c r="X2483" s="25"/>
      <c r="Y2483" s="25"/>
      <c r="Z2483" s="25"/>
    </row>
    <row r="2484" spans="1:26" ht="52.5" customHeight="1" x14ac:dyDescent="0.25">
      <c r="A2484" s="25" t="str">
        <f ca="1">IFERROR(__xludf.DUMMYFUNCTION("""COMPUTED_VALUE"""),"Cultu82")</f>
        <v>Cultu82</v>
      </c>
      <c r="B2484" s="25" t="str">
        <f ca="1">IFERROR(__xludf.DUMMYFUNCTION("""COMPUTED_VALUE"""),"Modelo de operación de bibliotecas públicas ")</f>
        <v xml:space="preserve">Modelo de operación de bibliotecas públicas </v>
      </c>
      <c r="C2484" s="55">
        <f ca="1">IFERROR(__xludf.DUMMYFUNCTION("""COMPUTED_VALUE"""),44260)</f>
        <v>44260</v>
      </c>
      <c r="D2484" s="25" t="str">
        <f ca="1">IFERROR(__xludf.DUMMYFUNCTION("""COMPUTED_VALUE"""),"Cultura")</f>
        <v>Cultura</v>
      </c>
      <c r="E2484" s="25" t="str">
        <f ca="1">IFERROR(__xludf.DUMMYFUNCTION("""COMPUTED_VALUE"""),"Secretaría Distrital de Cultura, Recreación y Deporte")</f>
        <v>Secretaría Distrital de Cultura, Recreación y Deporte</v>
      </c>
      <c r="F2484" s="25" t="str">
        <f ca="1">IFERROR(__xludf.DUMMYFUNCTION("""COMPUTED_VALUE"""),"Revisar si se puede incrementar la biblioteca digital de la ciudad")</f>
        <v>Revisar si se puede incrementar la biblioteca digital de la ciudad</v>
      </c>
      <c r="G2484" s="25" t="str">
        <f ca="1">IFERROR(__xludf.DUMMYFUNCTION("""COMPUTED_VALUE"""),"99. Distrito")</f>
        <v>99. Distrito</v>
      </c>
      <c r="H2484" s="55">
        <f ca="1">IFERROR(__xludf.DUMMYFUNCTION("""COMPUTED_VALUE"""),44290)</f>
        <v>44290</v>
      </c>
      <c r="I2484" s="25"/>
      <c r="J2484" s="55" t="str">
        <f ca="1">IFERROR(__xludf.DUMMYFUNCTION("""COMPUTED_VALUE"""),"Alta")</f>
        <v>Alta</v>
      </c>
      <c r="K2484" s="25">
        <f ca="1">IFERROR(__xludf.DUMMYFUNCTION("""COMPUTED_VALUE"""),30)</f>
        <v>30</v>
      </c>
      <c r="L2484" s="62">
        <f ca="1">IFERROR(__xludf.DUMMYFUNCTION("""COMPUTED_VALUE"""),44421)</f>
        <v>44421</v>
      </c>
      <c r="M2484" s="25" t="str">
        <f ca="1">IFERROR(__xludf.DUMMYFUNCTION("""COMPUTED_VALUE"""),"Desde diciembre se está implementando la estrategia ‘Lecturas en movimiento’, con la cual aumentamos la cobertura de la Biblioteca Digital de Bogotá en toda la ciudad, implementando códigos QR en Transmilenio y Transmicable y también en los puntos de aten"&amp;"ción al ciudadano SIM. Estos códigos dirigen a lecturas recomendadas e invitan a inscribirse a la Biblioteca Digital de Bogotá y a Biblored. ")</f>
        <v xml:space="preserve">Desde diciembre se está implementando la estrategia ‘Lecturas en movimiento’, con la cual aumentamos la cobertura de la Biblioteca Digital de Bogotá en toda la ciudad, implementando códigos QR en Transmilenio y Transmicable y también en los puntos de atención al ciudadano SIM. Estos códigos dirigen a lecturas recomendadas e invitan a inscribirse a la Biblioteca Digital de Bogotá y a Biblored. </v>
      </c>
      <c r="N2484" s="55">
        <f ca="1">IFERROR(__xludf.DUMMYFUNCTION("""COMPUTED_VALUE"""),44421)</f>
        <v>44421</v>
      </c>
      <c r="O2484" s="25" t="str">
        <f t="shared" ca="1" si="0"/>
        <v>Secretaría Distrital de Cultura, Recreación y Deporte</v>
      </c>
      <c r="P2484" s="25" t="str">
        <f t="shared" si="2"/>
        <v/>
      </c>
      <c r="Q2484" s="25" t="str">
        <f ca="1">IFERROR(__xludf.DUMMYFUNCTION("""COMPUTED_VALUE"""),"Corto plazo")</f>
        <v>Corto plazo</v>
      </c>
      <c r="R2484" s="25"/>
      <c r="S2484" s="55"/>
      <c r="T2484" s="56"/>
      <c r="U2484" s="25"/>
      <c r="V2484" s="25"/>
      <c r="W2484" s="25"/>
      <c r="X2484" s="25"/>
      <c r="Y2484" s="25"/>
      <c r="Z2484" s="25"/>
    </row>
    <row r="2485" spans="1:26" ht="52.5" customHeight="1" x14ac:dyDescent="0.25">
      <c r="A2485" s="25" t="str">
        <f ca="1">IFERROR(__xludf.DUMMYFUNCTION("""COMPUTED_VALUE"""),"Cultu83")</f>
        <v>Cultu83</v>
      </c>
      <c r="B2485" s="25" t="str">
        <f ca="1">IFERROR(__xludf.DUMMYFUNCTION("""COMPUTED_VALUE"""),"Infraestructura - Predio Gibraltar: determinantes ambientales y saneamiento del predio")</f>
        <v>Infraestructura - Predio Gibraltar: determinantes ambientales y saneamiento del predio</v>
      </c>
      <c r="C2485" s="55">
        <f ca="1">IFERROR(__xludf.DUMMYFUNCTION("""COMPUTED_VALUE"""),44259)</f>
        <v>44259</v>
      </c>
      <c r="D2485" s="25" t="str">
        <f ca="1">IFERROR(__xludf.DUMMYFUNCTION("""COMPUTED_VALUE"""),"Cultura")</f>
        <v>Cultura</v>
      </c>
      <c r="E2485" s="25" t="str">
        <f ca="1">IFERROR(__xludf.DUMMYFUNCTION("""COMPUTED_VALUE"""),"Instituto Distrital de Recreación y Deporte")</f>
        <v>Instituto Distrital de Recreación y Deporte</v>
      </c>
      <c r="F2485" s="25" t="str">
        <f ca="1">IFERROR(__xludf.DUMMYFUNCTION("""COMPUTED_VALUE"""),"IDRD: elaborar el cronograma completo de la gestión del predio considerando las implicaciones para el Plan Director y las obligaciones con los distintos proyectos a desarrollarse en el predio Gibraltar (por ejemplo, entrega a concesionario de la PLMB), pa"&amp;"ra presentar a la alcaldesa el martes 9 de marzo. Considerar dos opciones de cronograma:
-A: Asumiendo que las determinantes funcionan y no detienen el trámite del Plan Director (precisando que, de todas formas, el Plan Director indicará que para las fas"&amp;"es constructivas hay que remediar primero el predio)
-B: Precisar el cronograma A, especificando cuáles son los nuevos insumos/ajustes con los tiempos que hacen que se alarguen las ejecuciones de los proyectos.")</f>
        <v>IDRD: elaborar el cronograma completo de la gestión del predio considerando las implicaciones para el Plan Director y las obligaciones con los distintos proyectos a desarrollarse en el predio Gibraltar (por ejemplo, entrega a concesionario de la PLMB), para presentar a la alcaldesa el martes 9 de marzo. Considerar dos opciones de cronograma:
-A: Asumiendo que las determinantes funcionan y no detienen el trámite del Plan Director (precisando que, de todas formas, el Plan Director indicará que para las fases constructivas hay que remediar primero el predio)
-B: Precisar el cronograma A, especificando cuáles son los nuevos insumos/ajustes con los tiempos que hacen que se alarguen las ejecuciones de los proyectos.</v>
      </c>
      <c r="G2485" s="25" t="str">
        <f ca="1">IFERROR(__xludf.DUMMYFUNCTION("""COMPUTED_VALUE"""),"99. Distrito")</f>
        <v>99. Distrito</v>
      </c>
      <c r="H2485" s="55">
        <f ca="1">IFERROR(__xludf.DUMMYFUNCTION("""COMPUTED_VALUE"""),44289)</f>
        <v>44289</v>
      </c>
      <c r="I2485" s="25"/>
      <c r="J2485" s="55" t="str">
        <f ca="1">IFERROR(__xludf.DUMMYFUNCTION("""COMPUTED_VALUE"""),"Alta")</f>
        <v>Alta</v>
      </c>
      <c r="K2485" s="25">
        <f ca="1">IFERROR(__xludf.DUMMYFUNCTION("""COMPUTED_VALUE"""),30)</f>
        <v>30</v>
      </c>
      <c r="L2485" s="62">
        <f ca="1">IFERROR(__xludf.DUMMYFUNCTION("""COMPUTED_VALUE"""),44362)</f>
        <v>44362</v>
      </c>
      <c r="M2485" s="25" t="str">
        <f ca="1">IFERROR(__xludf.DUMMYFUNCTION("""COMPUTED_VALUE"""),"Se presentó el tema a la Alcaldesa y se definieron pasos a seguir y responsabilidades")</f>
        <v>Se presentó el tema a la Alcaldesa y se definieron pasos a seguir y responsabilidades</v>
      </c>
      <c r="N2485" s="55">
        <f ca="1">IFERROR(__xludf.DUMMYFUNCTION("""COMPUTED_VALUE"""),44362)</f>
        <v>44362</v>
      </c>
      <c r="O2485" s="25" t="str">
        <f t="shared" ca="1" si="0"/>
        <v>Instituto Distrital de Recreación y Deporte</v>
      </c>
      <c r="P2485" s="25" t="str">
        <f t="shared" si="2"/>
        <v/>
      </c>
      <c r="Q2485" s="25" t="str">
        <f ca="1">IFERROR(__xludf.DUMMYFUNCTION("""COMPUTED_VALUE"""),"Corto plazo")</f>
        <v>Corto plazo</v>
      </c>
      <c r="R2485" s="25"/>
      <c r="S2485" s="55"/>
      <c r="T2485" s="56"/>
      <c r="U2485" s="25"/>
      <c r="V2485" s="25"/>
      <c r="W2485" s="25"/>
      <c r="X2485" s="25"/>
      <c r="Y2485" s="25"/>
      <c r="Z2485" s="25"/>
    </row>
    <row r="2486" spans="1:26" ht="52.5" customHeight="1" x14ac:dyDescent="0.25">
      <c r="A2486" s="25" t="str">
        <f ca="1">IFERROR(__xludf.DUMMYFUNCTION("""COMPUTED_VALUE"""),"Cultu84")</f>
        <v>Cultu84</v>
      </c>
      <c r="B2486" s="25" t="str">
        <f ca="1">IFERROR(__xludf.DUMMYFUNCTION("""COMPUTED_VALUE"""),"Recorrido Ciudad Bolívar")</f>
        <v>Recorrido Ciudad Bolívar</v>
      </c>
      <c r="C2486" s="55">
        <f ca="1">IFERROR(__xludf.DUMMYFUNCTION("""COMPUTED_VALUE"""),44259)</f>
        <v>44259</v>
      </c>
      <c r="D2486" s="25" t="str">
        <f ca="1">IFERROR(__xludf.DUMMYFUNCTION("""COMPUTED_VALUE"""),"Cultura")</f>
        <v>Cultura</v>
      </c>
      <c r="E2486" s="25" t="str">
        <f ca="1">IFERROR(__xludf.DUMMYFUNCTION("""COMPUTED_VALUE"""),"Secretaría Distrital de Cultura, Recreación y Deporte")</f>
        <v>Secretaría Distrital de Cultura, Recreación y Deporte</v>
      </c>
      <c r="F2486" s="25" t="str">
        <f ca="1">IFERROR(__xludf.DUMMYFUNCTION("""COMPUTED_VALUE"""),"Incorporar las bibliotecas de la Universidad Distrital al Sistema Distrital de Bibliotecas con el fin de ampliar la oferta bibliotecaria a la ciudadanía (Sedes Ciudad Bolívar y Bosa). ")</f>
        <v xml:space="preserve">Incorporar las bibliotecas de la Universidad Distrital al Sistema Distrital de Bibliotecas con el fin de ampliar la oferta bibliotecaria a la ciudadanía (Sedes Ciudad Bolívar y Bosa). </v>
      </c>
      <c r="G2486" s="55" t="str">
        <f ca="1">IFERROR(__xludf.DUMMYFUNCTION("""COMPUTED_VALUE"""),"19. Ciudad Bolívar")</f>
        <v>19. Ciudad Bolívar</v>
      </c>
      <c r="H2486" s="55">
        <f ca="1">IFERROR(__xludf.DUMMYFUNCTION("""COMPUTED_VALUE"""),44289)</f>
        <v>44289</v>
      </c>
      <c r="I2486" s="25"/>
      <c r="J2486" s="55" t="str">
        <f ca="1">IFERROR(__xludf.DUMMYFUNCTION("""COMPUTED_VALUE"""),"Alta")</f>
        <v>Alta</v>
      </c>
      <c r="K2486" s="25">
        <f ca="1">IFERROR(__xludf.DUMMYFUNCTION("""COMPUTED_VALUE"""),30)</f>
        <v>30</v>
      </c>
      <c r="L2486" s="62">
        <f ca="1">IFERROR(__xludf.DUMMYFUNCTION("""COMPUTED_VALUE"""),44753)</f>
        <v>44753</v>
      </c>
      <c r="M2486" s="25" t="str">
        <f ca="1">IFERROR(__xludf.DUMMYFUNCTION("""COMPUTED_VALUE"""),"AVANCES A JULIO 
En el marco de las acciones conducentes a formalizar la vinculación de la Universidad Distrital al Sistema, se han realizado dos reuniones:
•        El día 13 de junio de 2022 se realizó la sensibilización del Sistema Distrital de Bibliot"&amp;"ecas y se presentó el Convenio Marco para la Articulación, se manifestó el interés por parte de la Dirección de bibliotecas en identificar de manera conjunta los aportes al Sistema, donde se resaltó la Biblioteca Centro cultural Ramón Eduardo D´ Luyz Niet"&amp;"o.
•        Se concretó reunión para el día 13 de julio de 2022 a las 3 pm con el área jurídica de la Universidad para revisión del Convenio y definición de los servicios a articular a través del Anexo específico.
Nota: El Director de la Biblioteca acaba "&amp;"de asumir su cargo en la Universidad. Bibliotecólogo. Cristian Chisaba.
PRÁCTICAS LABORALES
En la convocatoria de prácticas laborales realizada por Bibloamigos, para apoyar los proyectos de Biblored en la ciudad: 
•        Se registró la participación de "&amp;"un estudiante de la Universidad Distrital del programa de Ingeniería Catastral y Geodesta. La formalización de la práctica está en proceso de legalización. Se espera dar inicio en el mes de agosto
GESTIÓN DE CONOCIMIENTO
A través de la Biblioteca Digital "&amp;"de Bogotá, se logró:
•        El Crecimiento de recursos 1.090 recursos desde el repositorio institucional de la Universidad
OPORTUNIDADES DE DESARROLLO DEL SISTEMA 
Se señalan a continuación, las áreas que pueden ser objeto de desarrollo del Sistema con "&amp;"esta institución:
-        Servicio de acceso público a bibliotecas, especialmente desde la Biblioteca Ramón Eduardo D´ Luyz Nieto, Sede Puente Aranda
-        Integración de contenidos científicos creados por investigadores de la Universidad a la Bibliot"&amp;"eca digital de Bogotá
-        Creación de servicios de inteligencia científica para la Administración Distrital
-        Movilización, como entidades distritales adscritas a la Alcaldía Mayor, de políticas de ciencia abierta que impacten la administració"&amp;"n pública
-        Creación de agendas culturales conjuntas al servicio de la comunidad académica y de la ciudad en general
-        Desarrollo de prácticas laborales para apoyar acciones en la Red de Bibliotecas públicas de Bogotá
")</f>
        <v xml:space="preserve">AVANCES A JULIO 
En el marco de las acciones conducentes a formalizar la vinculación de la Universidad Distrital al Sistema, se han realizado dos reuniones:
•        El día 13 de junio de 2022 se realizó la sensibilización del Sistema Distrital de Bibliotecas y se presentó el Convenio Marco para la Articulación, se manifestó el interés por parte de la Dirección de bibliotecas en identificar de manera conjunta los aportes al Sistema, donde se resaltó la Biblioteca Centro cultural Ramón Eduardo D´ Luyz Nieto.
•        Se concretó reunión para el día 13 de julio de 2022 a las 3 pm con el área jurídica de la Universidad para revisión del Convenio y definición de los servicios a articular a través del Anexo específico.
Nota: El Director de la Biblioteca acaba de asumir su cargo en la Universidad. Bibliotecólogo. Cristian Chisaba.
PRÁCTICAS LABORALES
En la convocatoria de prácticas laborales realizada por Bibloamigos, para apoyar los proyectos de Biblored en la ciudad: 
•        Se registró la participación de un estudiante de la Universidad Distrital del programa de Ingeniería Catastral y Geodesta. La formalización de la práctica está en proceso de legalización. Se espera dar inicio en el mes de agosto
GESTIÓN DE CONOCIMIENTO
A través de la Biblioteca Digital de Bogotá, se logró:
•        El Crecimiento de recursos 1.090 recursos desde el repositorio institucional de la Universidad
OPORTUNIDADES DE DESARROLLO DEL SISTEMA 
Se señalan a continuación, las áreas que pueden ser objeto de desarrollo del Sistema con esta institución:
-        Servicio de acceso público a bibliotecas, especialmente desde la Biblioteca Ramón Eduardo D´ Luyz Nieto, Sede Puente Aranda
-        Integración de contenidos científicos creados por investigadores de la Universidad a la Biblioteca digital de Bogotá
-        Creación de servicios de inteligencia científica para la Administración Distrital
-        Movilización, como entidades distritales adscritas a la Alcaldía Mayor, de políticas de ciencia abierta que impacten la administración pública
-        Creación de agendas culturales conjuntas al servicio de la comunidad académica y de la ciudad en general
-        Desarrollo de prácticas laborales para apoyar acciones en la Red de Bibliotecas públicas de Bogotá
</v>
      </c>
      <c r="N2486" s="55">
        <f ca="1">IFERROR(__xludf.DUMMYFUNCTION("""COMPUTED_VALUE"""),44753)</f>
        <v>44753</v>
      </c>
      <c r="O2486" s="25" t="str">
        <f t="shared" ca="1" si="0"/>
        <v>Secretaría Distrital de Cultura, Recreación y Deporte</v>
      </c>
      <c r="P2486" s="25" t="str">
        <f t="shared" si="2"/>
        <v/>
      </c>
      <c r="Q2486" s="25" t="str">
        <f ca="1">IFERROR(__xludf.DUMMYFUNCTION("""COMPUTED_VALUE"""),"Corto plazo")</f>
        <v>Corto plazo</v>
      </c>
      <c r="R2486" s="25"/>
      <c r="S2486" s="55"/>
      <c r="T2486" s="56"/>
      <c r="U2486" s="25"/>
      <c r="V2486" s="25"/>
      <c r="W2486" s="25"/>
      <c r="X2486" s="25"/>
      <c r="Y2486" s="25"/>
      <c r="Z2486" s="25"/>
    </row>
    <row r="2487" spans="1:26" ht="52.5" customHeight="1" x14ac:dyDescent="0.25">
      <c r="A2487" s="25" t="str">
        <f ca="1">IFERROR(__xludf.DUMMYFUNCTION("""COMPUTED_VALUE"""),"Cultu85")</f>
        <v>Cultu85</v>
      </c>
      <c r="B2487" s="25" t="str">
        <f ca="1">IFERROR(__xludf.DUMMYFUNCTION("""COMPUTED_VALUE"""),"Infraestructura - Reunión Comité APP con alcaldesa")</f>
        <v>Infraestructura - Reunión Comité APP con alcaldesa</v>
      </c>
      <c r="C2487" s="55">
        <f ca="1">IFERROR(__xludf.DUMMYFUNCTION("""COMPUTED_VALUE"""),44256)</f>
        <v>44256</v>
      </c>
      <c r="D2487" s="25" t="str">
        <f ca="1">IFERROR(__xludf.DUMMYFUNCTION("""COMPUTED_VALUE"""),"Cultura")</f>
        <v>Cultura</v>
      </c>
      <c r="E2487" s="25" t="str">
        <f ca="1">IFERROR(__xludf.DUMMYFUNCTION("""COMPUTED_VALUE"""),"Instituto Distrital de Recreación y Deporte")</f>
        <v>Instituto Distrital de Recreación y Deporte</v>
      </c>
      <c r="F2487" s="25" t="str">
        <f ca="1">IFERROR(__xludf.DUMMYFUNCTION("""COMPUTED_VALUE"""),"Trabajar en la recuperación de los predios adyacentes al Campín; problemáticos para el desarrollo de la APP el Campín")</f>
        <v>Trabajar en la recuperación de los predios adyacentes al Campín; problemáticos para el desarrollo de la APP el Campín</v>
      </c>
      <c r="G2487" s="25" t="str">
        <f ca="1">IFERROR(__xludf.DUMMYFUNCTION("""COMPUTED_VALUE"""),"99. Distrito")</f>
        <v>99. Distrito</v>
      </c>
      <c r="H2487" s="55">
        <f ca="1">IFERROR(__xludf.DUMMYFUNCTION("""COMPUTED_VALUE"""),44286)</f>
        <v>44286</v>
      </c>
      <c r="I2487" s="25"/>
      <c r="J2487" s="55" t="str">
        <f ca="1">IFERROR(__xludf.DUMMYFUNCTION("""COMPUTED_VALUE"""),"Alta")</f>
        <v>Alta</v>
      </c>
      <c r="K2487" s="25">
        <f ca="1">IFERROR(__xludf.DUMMYFUNCTION("""COMPUTED_VALUE"""),30)</f>
        <v>30</v>
      </c>
      <c r="L2487" s="62">
        <f ca="1">IFERROR(__xludf.DUMMYFUNCTION("""COMPUTED_VALUE"""),44530)</f>
        <v>44530</v>
      </c>
      <c r="M2487" s="25" t="str">
        <f ca="1">IFERROR(__xludf.DUMMYFUNCTION("""COMPUTED_VALUE"""),"- Club de Tenis El Campin: El 26/10/21 se envió a la Oficina Asesora Jurídica la documentación solicitada para proceder a entablar las acciones judiciales y policivas encaminadas a obtener la restitución del bien inmueble. Previamente, y por solicitud del"&amp;" Subdirector de Parques, se realizará una reunión para dialogar con el administrador del establecimiento.
  - Club Distrital de Tenis: El 13/10/21 el IDRD recibió notificación del fallo en primera instancia de la Alcaldía Local de Teusaquillo en el cual "&amp;"se ordena la restitución del bien de uso público. 
El Club Distrital ya recibió notificación y el plazo establecido para interponer un recurso ha vencido. Se está a espera de respuesta.
  - Área de terreno ocupada por la Policía: El plazo para que MEBOG "&amp;"de respuesta al derecho de petición que envió el IDRD el 02/11/21 solicitando copia de la documentación legal relacionada con el arriendo, uso y usufructo del inmueble ocupado por el Centro de Reclutamiento de la Policía, ha vencido. Por lo anterior se re"&amp;"visará con el Subdirector la posibilidad de enviar una reiteración. 
  - Palacio del Colesterol: Se encuentra en revisión, por parte del IDRD, el documento del nuevo permiso de aprovechamiento económico, por fechas, el cual incluye como condición la entr"&amp;"ega del predio por parte de los vendedores. 
  - Caseta de vendedora informal: El 8/11/21 se desarrolló reunión con el IPES en la cual informaron se realizaron los procesos de caracterización y oferta a la vendedora y la misma no aceptó la oferta, la ent"&amp;"idad informó. EL IDRD solicitó por oficio los soportes de dicho proceso y a la fecha la entidad no ha dado respuesta. ")</f>
        <v xml:space="preserve">- Club de Tenis El Campin: El 26/10/21 se envió a la Oficina Asesora Jurídica la documentación solicitada para proceder a entablar las acciones judiciales y policivas encaminadas a obtener la restitución del bien inmueble. Previamente, y por solicitud del Subdirector de Parques, se realizará una reunión para dialogar con el administrador del establecimiento.
  - Club Distrital de Tenis: El 13/10/21 el IDRD recibió notificación del fallo en primera instancia de la Alcaldía Local de Teusaquillo en el cual se ordena la restitución del bien de uso público. 
El Club Distrital ya recibió notificación y el plazo establecido para interponer un recurso ha vencido. Se está a espera de respuesta.
  - Área de terreno ocupada por la Policía: El plazo para que MEBOG de respuesta al derecho de petición que envió el IDRD el 02/11/21 solicitando copia de la documentación legal relacionada con el arriendo, uso y usufructo del inmueble ocupado por el Centro de Reclutamiento de la Policía, ha vencido. Por lo anterior se revisará con el Subdirector la posibilidad de enviar una reiteración. 
  - Palacio del Colesterol: Se encuentra en revisión, por parte del IDRD, el documento del nuevo permiso de aprovechamiento económico, por fechas, el cual incluye como condición la entrega del predio por parte de los vendedores. 
  - Caseta de vendedora informal: El 8/11/21 se desarrolló reunión con el IPES en la cual informaron se realizaron los procesos de caracterización y oferta a la vendedora y la misma no aceptó la oferta, la entidad informó. EL IDRD solicitó por oficio los soportes de dicho proceso y a la fecha la entidad no ha dado respuesta. </v>
      </c>
      <c r="N2487" s="55">
        <f ca="1">IFERROR(__xludf.DUMMYFUNCTION("""COMPUTED_VALUE"""),44530)</f>
        <v>44530</v>
      </c>
      <c r="O2487" s="25" t="str">
        <f t="shared" ca="1" si="0"/>
        <v>Instituto Distrital de Recreación y Deporte</v>
      </c>
      <c r="P2487" s="25" t="str">
        <f t="shared" si="2"/>
        <v/>
      </c>
      <c r="Q2487" s="25" t="str">
        <f ca="1">IFERROR(__xludf.DUMMYFUNCTION("""COMPUTED_VALUE"""),"Corto plazo")</f>
        <v>Corto plazo</v>
      </c>
      <c r="R2487" s="25"/>
      <c r="S2487" s="55"/>
      <c r="T2487" s="56"/>
      <c r="U2487" s="25"/>
      <c r="V2487" s="25"/>
      <c r="W2487" s="25"/>
      <c r="X2487" s="25"/>
      <c r="Y2487" s="25"/>
      <c r="Z2487" s="25"/>
    </row>
    <row r="2488" spans="1:26" ht="52.5" customHeight="1" x14ac:dyDescent="0.25">
      <c r="A2488" s="25" t="str">
        <f ca="1">IFERROR(__xludf.DUMMYFUNCTION("""COMPUTED_VALUE"""),"Cultu86")</f>
        <v>Cultu86</v>
      </c>
      <c r="B2488" s="25" t="str">
        <f ca="1">IFERROR(__xludf.DUMMYFUNCTION("""COMPUTED_VALUE"""),"Infraestructura - Proyectos Clave de Infraestructura del IDRD y Hoja de Ruta de la URI Norte")</f>
        <v>Infraestructura - Proyectos Clave de Infraestructura del IDRD y Hoja de Ruta de la URI Norte</v>
      </c>
      <c r="C2488" s="55">
        <f ca="1">IFERROR(__xludf.DUMMYFUNCTION("""COMPUTED_VALUE"""),44245)</f>
        <v>44245</v>
      </c>
      <c r="D2488" s="25" t="str">
        <f ca="1">IFERROR(__xludf.DUMMYFUNCTION("""COMPUTED_VALUE"""),"Cultura")</f>
        <v>Cultura</v>
      </c>
      <c r="E2488" s="25" t="str">
        <f ca="1">IFERROR(__xludf.DUMMYFUNCTION("""COMPUTED_VALUE"""),"Instituto Distrital de Recreación y Deporte")</f>
        <v>Instituto Distrital de Recreación y Deporte</v>
      </c>
      <c r="F2488" s="25" t="str">
        <f ca="1">IFERROR(__xludf.DUMMYFUNCTION("""COMPUTED_VALUE"""),"PTAR Salitre Fase 2:
La secretaría de Ambiente pedía IDRD que le envíe información para llevar el tema a la sesión del Comité Directivo de la CAR del 18 de febrero.")</f>
        <v>PTAR Salitre Fase 2:
La secretaría de Ambiente pedía IDRD que le envíe información para llevar el tema a la sesión del Comité Directivo de la CAR del 18 de febrero.</v>
      </c>
      <c r="G2488" s="25" t="str">
        <f ca="1">IFERROR(__xludf.DUMMYFUNCTION("""COMPUTED_VALUE"""),"99. Distrito")</f>
        <v>99. Distrito</v>
      </c>
      <c r="H2488" s="55">
        <f ca="1">IFERROR(__xludf.DUMMYFUNCTION("""COMPUTED_VALUE"""),44275)</f>
        <v>44275</v>
      </c>
      <c r="I2488" s="25"/>
      <c r="J2488" s="55" t="str">
        <f ca="1">IFERROR(__xludf.DUMMYFUNCTION("""COMPUTED_VALUE"""),"Alta")</f>
        <v>Alta</v>
      </c>
      <c r="K2488" s="25">
        <f ca="1">IFERROR(__xludf.DUMMYFUNCTION("""COMPUTED_VALUE"""),30)</f>
        <v>30</v>
      </c>
      <c r="L2488" s="62">
        <f ca="1">IFERROR(__xludf.DUMMYFUNCTION("""COMPUTED_VALUE"""),44480)</f>
        <v>44480</v>
      </c>
      <c r="M2488" s="25" t="str">
        <f ca="1">IFERROR(__xludf.DUMMYFUNCTION("""COMPUTED_VALUE"""),"Se realizará suspensión del convenio con la CAR, ya que actualmente esta Corporación tiene inconvenientes con su contratista para la ejecución de obras afectando las pendientes para el área recreativa a cargo del IDRD ")</f>
        <v xml:space="preserve">Se realizará suspensión del convenio con la CAR, ya que actualmente esta Corporación tiene inconvenientes con su contratista para la ejecución de obras afectando las pendientes para el área recreativa a cargo del IDRD </v>
      </c>
      <c r="N2488" s="55">
        <f ca="1">IFERROR(__xludf.DUMMYFUNCTION("""COMPUTED_VALUE"""),44480)</f>
        <v>44480</v>
      </c>
      <c r="O2488" s="25" t="str">
        <f t="shared" ca="1" si="0"/>
        <v>Instituto Distrital de Recreación y Deporte</v>
      </c>
      <c r="P2488" s="25" t="str">
        <f t="shared" si="2"/>
        <v/>
      </c>
      <c r="Q2488" s="25" t="str">
        <f ca="1">IFERROR(__xludf.DUMMYFUNCTION("""COMPUTED_VALUE"""),"Corto plazo")</f>
        <v>Corto plazo</v>
      </c>
      <c r="R2488" s="25"/>
      <c r="S2488" s="55"/>
      <c r="T2488" s="56"/>
      <c r="U2488" s="25"/>
      <c r="V2488" s="25"/>
      <c r="W2488" s="25"/>
      <c r="X2488" s="25"/>
      <c r="Y2488" s="25"/>
      <c r="Z2488" s="25"/>
    </row>
    <row r="2489" spans="1:26" ht="52.5" customHeight="1" x14ac:dyDescent="0.25">
      <c r="A2489" s="25" t="str">
        <f ca="1">IFERROR(__xludf.DUMMYFUNCTION("""COMPUTED_VALUE"""),"Cultu87")</f>
        <v>Cultu87</v>
      </c>
      <c r="B2489" s="25" t="str">
        <f ca="1">IFERROR(__xludf.DUMMYFUNCTION("""COMPUTED_VALUE"""),"Infraestructura - Proyectos Clave de Infraestructura del IDRD y Hoja de Ruta de la URI Norte")</f>
        <v>Infraestructura - Proyectos Clave de Infraestructura del IDRD y Hoja de Ruta de la URI Norte</v>
      </c>
      <c r="C2489" s="55">
        <f ca="1">IFERROR(__xludf.DUMMYFUNCTION("""COMPUTED_VALUE"""),44245)</f>
        <v>44245</v>
      </c>
      <c r="D2489" s="25" t="str">
        <f ca="1">IFERROR(__xludf.DUMMYFUNCTION("""COMPUTED_VALUE"""),"Cultura")</f>
        <v>Cultura</v>
      </c>
      <c r="E2489" s="25" t="str">
        <f ca="1">IFERROR(__xludf.DUMMYFUNCTION("""COMPUTED_VALUE"""),"Instituto Distrital de Recreación y Deporte")</f>
        <v>Instituto Distrital de Recreación y Deporte</v>
      </c>
      <c r="F2489" s="25" t="str">
        <f ca="1">IFERROR(__xludf.DUMMYFUNCTION("""COMPUTED_VALUE"""),"Parque Metropolitano Timiza
Alcaldía solicita a IDRD que se analice con prioridad si la derogatoria de la resolución de corrección cartográfica expedida por SDP el año pasado les genera afectaciones los proyectos del parque PTAR Salitre y el parque vecina"&amp;"l Bilbao.
")</f>
        <v xml:space="preserve">Parque Metropolitano Timiza
Alcaldía solicita a IDRD que se analice con prioridad si la derogatoria de la resolución de corrección cartográfica expedida por SDP el año pasado les genera afectaciones los proyectos del parque PTAR Salitre y el parque vecinal Bilbao.
</v>
      </c>
      <c r="G2489" s="25" t="str">
        <f ca="1">IFERROR(__xludf.DUMMYFUNCTION("""COMPUTED_VALUE"""),"99. Distrito")</f>
        <v>99. Distrito</v>
      </c>
      <c r="H2489" s="55">
        <f ca="1">IFERROR(__xludf.DUMMYFUNCTION("""COMPUTED_VALUE"""),44275)</f>
        <v>44275</v>
      </c>
      <c r="I2489" s="25"/>
      <c r="J2489" s="55" t="str">
        <f ca="1">IFERROR(__xludf.DUMMYFUNCTION("""COMPUTED_VALUE"""),"Alta")</f>
        <v>Alta</v>
      </c>
      <c r="K2489" s="25">
        <f ca="1">IFERROR(__xludf.DUMMYFUNCTION("""COMPUTED_VALUE"""),30)</f>
        <v>30</v>
      </c>
      <c r="L2489" s="62">
        <f ca="1">IFERROR(__xludf.DUMMYFUNCTION("""COMPUTED_VALUE"""),44456)</f>
        <v>44456</v>
      </c>
      <c r="M2489" s="25" t="str">
        <f ca="1">IFERROR(__xludf.DUMMYFUNCTION("""COMPUTED_VALUE"""),"No se encontró información sobre afectación en ninguno de los tres proyectos: Parque Timiza (terminado)- Parque Ptar Salitre Fase II (sin viabilidad) y Parque Bilbao (en proceso de selección obras de construcción).")</f>
        <v>No se encontró información sobre afectación en ninguno de los tres proyectos: Parque Timiza (terminado)- Parque Ptar Salitre Fase II (sin viabilidad) y Parque Bilbao (en proceso de selección obras de construcción).</v>
      </c>
      <c r="N2489" s="55">
        <f ca="1">IFERROR(__xludf.DUMMYFUNCTION("""COMPUTED_VALUE"""),44456)</f>
        <v>44456</v>
      </c>
      <c r="O2489" s="25" t="str">
        <f t="shared" ca="1" si="0"/>
        <v>Instituto Distrital de Recreación y Deporte</v>
      </c>
      <c r="P2489" s="25" t="str">
        <f t="shared" si="2"/>
        <v/>
      </c>
      <c r="Q2489" s="25" t="str">
        <f ca="1">IFERROR(__xludf.DUMMYFUNCTION("""COMPUTED_VALUE"""),"Corto plazo")</f>
        <v>Corto plazo</v>
      </c>
      <c r="R2489" s="25"/>
      <c r="S2489" s="55"/>
      <c r="T2489" s="56"/>
      <c r="U2489" s="25"/>
      <c r="V2489" s="25"/>
      <c r="W2489" s="25"/>
      <c r="X2489" s="25"/>
      <c r="Y2489" s="25"/>
      <c r="Z2489" s="25"/>
    </row>
    <row r="2490" spans="1:26" ht="52.5" customHeight="1" x14ac:dyDescent="0.25">
      <c r="A2490" s="25" t="str">
        <f ca="1">IFERROR(__xludf.DUMMYFUNCTION("""COMPUTED_VALUE"""),"Cultu88")</f>
        <v>Cultu88</v>
      </c>
      <c r="B2490" s="25" t="str">
        <f ca="1">IFERROR(__xludf.DUMMYFUNCTION("""COMPUTED_VALUE"""),"Infraestructura - Proyectos Clave de Infraestructura del IDRD y Hoja de Ruta de la URI Norte")</f>
        <v>Infraestructura - Proyectos Clave de Infraestructura del IDRD y Hoja de Ruta de la URI Norte</v>
      </c>
      <c r="C2490" s="55">
        <f ca="1">IFERROR(__xludf.DUMMYFUNCTION("""COMPUTED_VALUE"""),44245)</f>
        <v>44245</v>
      </c>
      <c r="D2490" s="25" t="str">
        <f ca="1">IFERROR(__xludf.DUMMYFUNCTION("""COMPUTED_VALUE"""),"Cultura")</f>
        <v>Cultura</v>
      </c>
      <c r="E2490" s="25" t="str">
        <f ca="1">IFERROR(__xludf.DUMMYFUNCTION("""COMPUTED_VALUE"""),"Instituto Distrital de Recreación y Deporte")</f>
        <v>Instituto Distrital de Recreación y Deporte</v>
      </c>
      <c r="F2490" s="25" t="str">
        <f ca="1">IFERROR(__xludf.DUMMYFUNCTION("""COMPUTED_VALUE"""),"Patología UDS:
Alcaldía solicita revisar el contrato para que en septiembre se cuente con un producto que precise el valor de la obra para poder incluirlo en el presupuesto a tiempo.")</f>
        <v>Patología UDS:
Alcaldía solicita revisar el contrato para que en septiembre se cuente con un producto que precise el valor de la obra para poder incluirlo en el presupuesto a tiempo.</v>
      </c>
      <c r="G2490" s="25" t="str">
        <f ca="1">IFERROR(__xludf.DUMMYFUNCTION("""COMPUTED_VALUE"""),"99. Distrito")</f>
        <v>99. Distrito</v>
      </c>
      <c r="H2490" s="55">
        <f ca="1">IFERROR(__xludf.DUMMYFUNCTION("""COMPUTED_VALUE"""),44275)</f>
        <v>44275</v>
      </c>
      <c r="I2490" s="25"/>
      <c r="J2490" s="55" t="str">
        <f ca="1">IFERROR(__xludf.DUMMYFUNCTION("""COMPUTED_VALUE"""),"Alta")</f>
        <v>Alta</v>
      </c>
      <c r="K2490" s="25">
        <f ca="1">IFERROR(__xludf.DUMMYFUNCTION("""COMPUTED_VALUE"""),30)</f>
        <v>30</v>
      </c>
      <c r="L2490" s="62">
        <f ca="1">IFERROR(__xludf.DUMMYFUNCTION("""COMPUTED_VALUE"""),44480)</f>
        <v>44480</v>
      </c>
      <c r="M2490" s="25" t="str">
        <f ca="1">IFERROR(__xludf.DUMMYFUNCTION("""COMPUTED_VALUE"""),"Los procesos de selección para la contratación de la consultoría (patología, estudios y diseños) y la interventoría, fueron declarados desiertos. Se realizó nuevamente la publicación de los procesos de consultoría con No. IDRD-SG-CM-031-2021 (05-08-21) e "&amp;"interventoría con No. IDRD-SG-CM-033-2021 (10-08-21) en la plataforma SECOP I.  se adjudicó la el proceso el pasado 8 de octubre.
Por ser un proceso particular se hace necesario el estudio de patología para saber las afectaciones de la estructura existent"&amp;"e y con posterioridad definir un presupuesto de obra.")</f>
        <v>Los procesos de selección para la contratación de la consultoría (patología, estudios y diseños) y la interventoría, fueron declarados desiertos. Se realizó nuevamente la publicación de los procesos de consultoría con No. IDRD-SG-CM-031-2021 (05-08-21) e interventoría con No. IDRD-SG-CM-033-2021 (10-08-21) en la plataforma SECOP I.  se adjudicó la el proceso el pasado 8 de octubre.
Por ser un proceso particular se hace necesario el estudio de patología para saber las afectaciones de la estructura existente y con posterioridad definir un presupuesto de obra.</v>
      </c>
      <c r="N2490" s="55">
        <f ca="1">IFERROR(__xludf.DUMMYFUNCTION("""COMPUTED_VALUE"""),44480)</f>
        <v>44480</v>
      </c>
      <c r="O2490" s="25" t="str">
        <f t="shared" ca="1" si="0"/>
        <v>Instituto Distrital de Recreación y Deporte</v>
      </c>
      <c r="P2490" s="25" t="str">
        <f t="shared" si="2"/>
        <v/>
      </c>
      <c r="Q2490" s="25" t="str">
        <f ca="1">IFERROR(__xludf.DUMMYFUNCTION("""COMPUTED_VALUE"""),"Corto plazo")</f>
        <v>Corto plazo</v>
      </c>
      <c r="R2490" s="25"/>
      <c r="S2490" s="55"/>
      <c r="T2490" s="56"/>
      <c r="U2490" s="25"/>
      <c r="V2490" s="25"/>
      <c r="W2490" s="25"/>
      <c r="X2490" s="25"/>
      <c r="Y2490" s="25"/>
      <c r="Z2490" s="25"/>
    </row>
    <row r="2491" spans="1:26" ht="52.5" customHeight="1" x14ac:dyDescent="0.25">
      <c r="A2491" s="25" t="str">
        <f ca="1">IFERROR(__xludf.DUMMYFUNCTION("""COMPUTED_VALUE"""),"Cultu89")</f>
        <v>Cultu89</v>
      </c>
      <c r="B2491" s="25" t="str">
        <f ca="1">IFERROR(__xludf.DUMMYFUNCTION("""COMPUTED_VALUE"""),"Infraestructura - Proyectos Clave de Infraestructura del IDRD y Hoja de Ruta de la URI Norte")</f>
        <v>Infraestructura - Proyectos Clave de Infraestructura del IDRD y Hoja de Ruta de la URI Norte</v>
      </c>
      <c r="C2491" s="55">
        <f ca="1">IFERROR(__xludf.DUMMYFUNCTION("""COMPUTED_VALUE"""),44245)</f>
        <v>44245</v>
      </c>
      <c r="D2491" s="25" t="str">
        <f ca="1">IFERROR(__xludf.DUMMYFUNCTION("""COMPUTED_VALUE"""),"Cultura")</f>
        <v>Cultura</v>
      </c>
      <c r="E2491" s="25" t="str">
        <f ca="1">IFERROR(__xludf.DUMMYFUNCTION("""COMPUTED_VALUE"""),"Instituto Distrital de Recreación y Deporte")</f>
        <v>Instituto Distrital de Recreación y Deporte</v>
      </c>
      <c r="F2491" s="25" t="str">
        <f ca="1">IFERROR(__xludf.DUMMYFUNCTION("""COMPUTED_VALUE"""),"CEFE Gibraltar:
Adelantar mesas de  trabajo desde la próxima  semana  entre SDA,  EAAB, IDRD  para analizar, desde  lo  técnico  y lo jurídico, la  problemática  de  las determinantes ambientales y remediación del predio Gibraltar. En este predio se ubica"&amp;"n más equipamientos e infraestructuras del distrito entre estas algunas del metro.")</f>
        <v>CEFE Gibraltar:
Adelantar mesas de  trabajo desde la próxima  semana  entre SDA,  EAAB, IDRD  para analizar, desde  lo  técnico  y lo jurídico, la  problemática  de  las determinantes ambientales y remediación del predio Gibraltar. En este predio se ubican más equipamientos e infraestructuras del distrito entre estas algunas del metro.</v>
      </c>
      <c r="G2491" s="25" t="str">
        <f ca="1">IFERROR(__xludf.DUMMYFUNCTION("""COMPUTED_VALUE"""),"99. Distrito")</f>
        <v>99. Distrito</v>
      </c>
      <c r="H2491" s="55">
        <f ca="1">IFERROR(__xludf.DUMMYFUNCTION("""COMPUTED_VALUE"""),44275)</f>
        <v>44275</v>
      </c>
      <c r="I2491" s="25"/>
      <c r="J2491" s="55" t="str">
        <f ca="1">IFERROR(__xludf.DUMMYFUNCTION("""COMPUTED_VALUE"""),"Alta")</f>
        <v>Alta</v>
      </c>
      <c r="K2491" s="25">
        <f ca="1">IFERROR(__xludf.DUMMYFUNCTION("""COMPUTED_VALUE"""),30)</f>
        <v>30</v>
      </c>
      <c r="L2491" s="62">
        <f ca="1">IFERROR(__xludf.DUMMYFUNCTION("""COMPUTED_VALUE"""),44362)</f>
        <v>44362</v>
      </c>
      <c r="M2491" s="25" t="str">
        <f ca="1">IFERROR(__xludf.DUMMYFUNCTION("""COMPUTED_VALUE"""),"Se presentó el tema a la Alcaldesa y se definieron pasos a seguir y responsabilidades")</f>
        <v>Se presentó el tema a la Alcaldesa y se definieron pasos a seguir y responsabilidades</v>
      </c>
      <c r="N2491" s="55">
        <f ca="1">IFERROR(__xludf.DUMMYFUNCTION("""COMPUTED_VALUE"""),44362)</f>
        <v>44362</v>
      </c>
      <c r="O2491" s="25" t="str">
        <f t="shared" ca="1" si="0"/>
        <v>Instituto Distrital de Recreación y Deporte</v>
      </c>
      <c r="P2491" s="25" t="str">
        <f t="shared" si="2"/>
        <v/>
      </c>
      <c r="Q2491" s="25" t="str">
        <f ca="1">IFERROR(__xludf.DUMMYFUNCTION("""COMPUTED_VALUE"""),"Corto plazo")</f>
        <v>Corto plazo</v>
      </c>
      <c r="R2491" s="25"/>
      <c r="S2491" s="55"/>
      <c r="T2491" s="56"/>
      <c r="U2491" s="25"/>
      <c r="V2491" s="25"/>
      <c r="W2491" s="25"/>
      <c r="X2491" s="25"/>
      <c r="Y2491" s="25"/>
      <c r="Z2491" s="25"/>
    </row>
    <row r="2492" spans="1:26" ht="52.5" customHeight="1" x14ac:dyDescent="0.25">
      <c r="A2492" s="25" t="str">
        <f ca="1">IFERROR(__xludf.DUMMYFUNCTION("""COMPUTED_VALUE"""),"Cultu90")</f>
        <v>Cultu90</v>
      </c>
      <c r="B2492" s="25" t="str">
        <f ca="1">IFERROR(__xludf.DUMMYFUNCTION("""COMPUTED_VALUE"""),"Despachando: Instituto distrital de recreación y deporte - IDRD")</f>
        <v>Despachando: Instituto distrital de recreación y deporte - IDRD</v>
      </c>
      <c r="C2492" s="55">
        <f ca="1">IFERROR(__xludf.DUMMYFUNCTION("""COMPUTED_VALUE"""),44165)</f>
        <v>44165</v>
      </c>
      <c r="D2492" s="25" t="str">
        <f ca="1">IFERROR(__xludf.DUMMYFUNCTION("""COMPUTED_VALUE"""),"Cultura")</f>
        <v>Cultura</v>
      </c>
      <c r="E2492" s="25" t="str">
        <f ca="1">IFERROR(__xludf.DUMMYFUNCTION("""COMPUTED_VALUE"""),"Instituto Distrital de Recreación y Deporte")</f>
        <v>Instituto Distrital de Recreación y Deporte</v>
      </c>
      <c r="F2492" s="25" t="str">
        <f ca="1">IFERROR(__xludf.DUMMYFUNCTION("""COMPUTED_VALUE"""),"Implementar modelo de centro comercial en los parques metropolitanos: llevar comercio. También incluirlo en las dos APP grandes, El Campín y Gibraltar")</f>
        <v>Implementar modelo de centro comercial en los parques metropolitanos: llevar comercio. También incluirlo en las dos APP grandes, El Campín y Gibraltar</v>
      </c>
      <c r="G2492" s="25" t="str">
        <f ca="1">IFERROR(__xludf.DUMMYFUNCTION("""COMPUTED_VALUE"""),"99. Distrito")</f>
        <v>99. Distrito</v>
      </c>
      <c r="H2492" s="55">
        <f ca="1">IFERROR(__xludf.DUMMYFUNCTION("""COMPUTED_VALUE"""),44195)</f>
        <v>44195</v>
      </c>
      <c r="I2492" s="25"/>
      <c r="J2492" s="55" t="str">
        <f ca="1">IFERROR(__xludf.DUMMYFUNCTION("""COMPUTED_VALUE"""),"Alta")</f>
        <v>Alta</v>
      </c>
      <c r="K2492" s="25">
        <f ca="1">IFERROR(__xludf.DUMMYFUNCTION("""COMPUTED_VALUE"""),30)</f>
        <v>30</v>
      </c>
      <c r="L2492" s="62"/>
      <c r="M2492" s="25" t="str">
        <f ca="1">IFERROR(__xludf.DUMMYFUNCTION("""COMPUTED_VALUE"""),"Durante 2020 se logró realizar algunas ferias comerciales en parques con esa intención de ampliar la oferta de servicios en los parques. Esto es sólo un inicio porque se requieren modificaciones normativas para que esa oferta ampliada de servicios (comerc"&amp;"io, restaurantes, etc.) sea viable por uso del suelo.")</f>
        <v>Durante 2020 se logró realizar algunas ferias comerciales en parques con esa intención de ampliar la oferta de servicios en los parques. Esto es sólo un inicio porque se requieren modificaciones normativas para que esa oferta ampliada de servicios (comercio, restaurantes, etc.) sea viable por uso del suelo.</v>
      </c>
      <c r="N2492" s="55">
        <f ca="1">IFERROR(__xludf.DUMMYFUNCTION("""COMPUTED_VALUE"""),44927)</f>
        <v>44927</v>
      </c>
      <c r="O2492" s="25" t="str">
        <f t="shared" ca="1" si="0"/>
        <v>Instituto Distrital de Recreación y Deporte</v>
      </c>
      <c r="P2492" s="25" t="str">
        <f t="shared" si="2"/>
        <v/>
      </c>
      <c r="Q2492" s="25" t="str">
        <f ca="1">IFERROR(__xludf.DUMMYFUNCTION("""COMPUTED_VALUE"""),"Corto plazo")</f>
        <v>Corto plazo</v>
      </c>
      <c r="R2492" s="25"/>
      <c r="S2492" s="55"/>
      <c r="T2492" s="56"/>
      <c r="U2492" s="25"/>
      <c r="V2492" s="25"/>
      <c r="W2492" s="25"/>
      <c r="X2492" s="25"/>
      <c r="Y2492" s="25"/>
      <c r="Z2492" s="25"/>
    </row>
    <row r="2493" spans="1:26" ht="52.5" customHeight="1" x14ac:dyDescent="0.25">
      <c r="A2493" s="25" t="str">
        <f ca="1">IFERROR(__xludf.DUMMYFUNCTION("""COMPUTED_VALUE"""),"Cultu91")</f>
        <v>Cultu91</v>
      </c>
      <c r="B2493" s="25" t="str">
        <f ca="1">IFERROR(__xludf.DUMMYFUNCTION("""COMPUTED_VALUE"""),"Despachando: Instituto distrital de recreación y deporte - IDRD")</f>
        <v>Despachando: Instituto distrital de recreación y deporte - IDRD</v>
      </c>
      <c r="C2493" s="55">
        <f ca="1">IFERROR(__xludf.DUMMYFUNCTION("""COMPUTED_VALUE"""),44165)</f>
        <v>44165</v>
      </c>
      <c r="D2493" s="25" t="str">
        <f ca="1">IFERROR(__xludf.DUMMYFUNCTION("""COMPUTED_VALUE"""),"Cultura")</f>
        <v>Cultura</v>
      </c>
      <c r="E2493" s="25" t="str">
        <f ca="1">IFERROR(__xludf.DUMMYFUNCTION("""COMPUTED_VALUE"""),"Instituto Distrital de Recreación y Deporte")</f>
        <v>Instituto Distrital de Recreación y Deporte</v>
      </c>
      <c r="F2493" s="25" t="str">
        <f ca="1">IFERROR(__xludf.DUMMYFUNCTION("""COMPUTED_VALUE"""),"Organizar propuesta y modelo de operación con las cajas de compensación")</f>
        <v>Organizar propuesta y modelo de operación con las cajas de compensación</v>
      </c>
      <c r="G2493" s="25" t="str">
        <f ca="1">IFERROR(__xludf.DUMMYFUNCTION("""COMPUTED_VALUE"""),"99. Distrito")</f>
        <v>99. Distrito</v>
      </c>
      <c r="H2493" s="55">
        <f ca="1">IFERROR(__xludf.DUMMYFUNCTION("""COMPUTED_VALUE"""),44195)</f>
        <v>44195</v>
      </c>
      <c r="I2493" s="25"/>
      <c r="J2493" s="55" t="str">
        <f ca="1">IFERROR(__xludf.DUMMYFUNCTION("""COMPUTED_VALUE"""),"Alta")</f>
        <v>Alta</v>
      </c>
      <c r="K2493" s="25">
        <f ca="1">IFERROR(__xludf.DUMMYFUNCTION("""COMPUTED_VALUE"""),30)</f>
        <v>30</v>
      </c>
      <c r="L2493" s="62">
        <f ca="1">IFERROR(__xludf.DUMMYFUNCTION("""COMPUTED_VALUE"""),44456)</f>
        <v>44456</v>
      </c>
      <c r="M2493" s="25" t="str">
        <f ca="1">IFERROR(__xludf.DUMMYFUNCTION("""COMPUTED_VALUE"""),"2020. Diseño y desarrollo de Portafolio de servicios conjuntos entre IDRD e IDARTES, se realizó la I Feria de Servicios Artísticos, Culturales, Deportivos, Recreativos y de Actividad Física para Servidores del Distrito en julio y a partir de allí se reali"&amp;"zó seguimiento y contacto a las entidades interesadas en los servicios ofrecidos. 
2021. Se retoma comunicación con las 52 entidades distritales. Se realizó cotización de los servicios que se ajustan a sus necesidades y se han tenido varias mesas de traba"&amp;"jo en aras de cerrar negocio (SED, SDIS, IDT, FONCEP). El único negocio que se ha concretado fue con IDARTES que está en ejecución. La posibilidad de alianza con Compensar se encuentra en fase de exploración y revisión para aclarar la figura jurídica. 
Po"&amp;"rtafolio de bienestar actualizado para la vigencia 2021, incluyendo nuevas líneas de servicio ofertadas por el IDRD y ajuste de tarifas teniendo en cuenta la actual coyuntura ocasionada por la pandemia y precios del mercado. Se remitió nuevamente el porta"&amp;"folio de bienestar actualizado a las 52 entidades del distrito. Se realizaron 40 mesas de trabajo entre IDRD e IDARTES con los futuros aliados estratégicos. Se enviaron cotizaciones a la SDIS, Educación, Turismo y DASD. Con la SDIS se viene adelantando la"&amp;" etapa precontractual del convenio interadministrativo. Se vienen adelantando conversaciones con Compensar como aliado estratégico en la oferta compartida de actividades deportivas, recreación y actividad física y componentes relacionados con el fortaleci"&amp;"miento de la economía del Deporte. Compensar se encuentra realizando un estudio de viabilidad económico y jurídico para presentarlo al IDRD.
")</f>
        <v xml:space="preserve">2020. Diseño y desarrollo de Portafolio de servicios conjuntos entre IDRD e IDARTES, se realizó la I Feria de Servicios Artísticos, Culturales, Deportivos, Recreativos y de Actividad Física para Servidores del Distrito en julio y a partir de allí se realizó seguimiento y contacto a las entidades interesadas en los servicios ofrecidos. 
2021. Se retoma comunicación con las 52 entidades distritales. Se realizó cotización de los servicios que se ajustan a sus necesidades y se han tenido varias mesas de trabajo en aras de cerrar negocio (SED, SDIS, IDT, FONCEP). El único negocio que se ha concretado fue con IDARTES que está en ejecución. La posibilidad de alianza con Compensar se encuentra en fase de exploración y revisión para aclarar la figura jurídica. 
Portafolio de bienestar actualizado para la vigencia 2021, incluyendo nuevas líneas de servicio ofertadas por el IDRD y ajuste de tarifas teniendo en cuenta la actual coyuntura ocasionada por la pandemia y precios del mercado. Se remitió nuevamente el portafolio de bienestar actualizado a las 52 entidades del distrito. Se realizaron 40 mesas de trabajo entre IDRD e IDARTES con los futuros aliados estratégicos. Se enviaron cotizaciones a la SDIS, Educación, Turismo y DASD. Con la SDIS se viene adelantando la etapa precontractual del convenio interadministrativo. Se vienen adelantando conversaciones con Compensar como aliado estratégico en la oferta compartida de actividades deportivas, recreación y actividad física y componentes relacionados con el fortalecimiento de la economía del Deporte. Compensar se encuentra realizando un estudio de viabilidad económico y jurídico para presentarlo al IDRD.
</v>
      </c>
      <c r="N2493" s="55">
        <f ca="1">IFERROR(__xludf.DUMMYFUNCTION("""COMPUTED_VALUE"""),44456)</f>
        <v>44456</v>
      </c>
      <c r="O2493" s="25" t="str">
        <f t="shared" ca="1" si="0"/>
        <v>Instituto Distrital de Recreación y Deporte</v>
      </c>
      <c r="P2493" s="25" t="str">
        <f t="shared" si="2"/>
        <v/>
      </c>
      <c r="Q2493" s="25" t="str">
        <f ca="1">IFERROR(__xludf.DUMMYFUNCTION("""COMPUTED_VALUE"""),"Corto plazo")</f>
        <v>Corto plazo</v>
      </c>
      <c r="R2493" s="25"/>
      <c r="S2493" s="55"/>
      <c r="T2493" s="56"/>
      <c r="U2493" s="25"/>
      <c r="V2493" s="25"/>
      <c r="W2493" s="25"/>
      <c r="X2493" s="25"/>
      <c r="Y2493" s="25"/>
      <c r="Z2493" s="25"/>
    </row>
    <row r="2494" spans="1:26" ht="52.5" customHeight="1" x14ac:dyDescent="0.25">
      <c r="A2494" s="25" t="str">
        <f ca="1">IFERROR(__xludf.DUMMYFUNCTION("""COMPUTED_VALUE"""),"Cultu92")</f>
        <v>Cultu92</v>
      </c>
      <c r="B2494" s="25" t="str">
        <f ca="1">IFERROR(__xludf.DUMMYFUNCTION("""COMPUTED_VALUE"""),"Despachando: Instituto distrital de recreación y deporte - IDRD")</f>
        <v>Despachando: Instituto distrital de recreación y deporte - IDRD</v>
      </c>
      <c r="C2494" s="55">
        <f ca="1">IFERROR(__xludf.DUMMYFUNCTION("""COMPUTED_VALUE"""),44165)</f>
        <v>44165</v>
      </c>
      <c r="D2494" s="25" t="str">
        <f ca="1">IFERROR(__xludf.DUMMYFUNCTION("""COMPUTED_VALUE"""),"Cultura")</f>
        <v>Cultura</v>
      </c>
      <c r="E2494" s="25" t="str">
        <f ca="1">IFERROR(__xludf.DUMMYFUNCTION("""COMPUTED_VALUE"""),"Instituto Distrital de Recreación y Deporte")</f>
        <v>Instituto Distrital de Recreación y Deporte</v>
      </c>
      <c r="F2494" s="25" t="str">
        <f ca="1">IFERROR(__xludf.DUMMYFUNCTION("""COMPUTED_VALUE"""),"Poner a funcionar los campeonatos interbarriales máximo en el tercer trimestre de 2021")</f>
        <v>Poner a funcionar los campeonatos interbarriales máximo en el tercer trimestre de 2021</v>
      </c>
      <c r="G2494" s="25" t="str">
        <f ca="1">IFERROR(__xludf.DUMMYFUNCTION("""COMPUTED_VALUE"""),"99. Distrito")</f>
        <v>99. Distrito</v>
      </c>
      <c r="H2494" s="55">
        <f ca="1">IFERROR(__xludf.DUMMYFUNCTION("""COMPUTED_VALUE"""),44195)</f>
        <v>44195</v>
      </c>
      <c r="I2494" s="25"/>
      <c r="J2494" s="55" t="str">
        <f ca="1">IFERROR(__xludf.DUMMYFUNCTION("""COMPUTED_VALUE"""),"Alta")</f>
        <v>Alta</v>
      </c>
      <c r="K2494" s="25">
        <f ca="1">IFERROR(__xludf.DUMMYFUNCTION("""COMPUTED_VALUE"""),30)</f>
        <v>30</v>
      </c>
      <c r="L2494" s="62"/>
      <c r="M2494" s="25" t="str">
        <f ca="1">IFERROR(__xludf.DUMMYFUNCTION("""COMPUTED_VALUE"""),"En el 2020 dadas las condiciones que implicó la pandemia se realizaron retos individuales en las UPZ priorizadas y se llevó a cabo la final con los mejores de cada UPZ. 
 Se atendió población entre 12 y 70 años, fomentando el valor de la solidaridad, un t"&amp;"otal de 5.296 personas en los diferentes deportes.
 Los retos virtuales y presenciales se realizaron en fútbol de salón, voleibol, fútbol, baloncesto y juegos tradicionales (trompo, rana, coca).
 Las actividades se realizaron en 17 localidades, en 46 UPZ "&amp;"priorizadas más 2, entre octubre y diciembre de 2020")</f>
        <v>En el 2020 dadas las condiciones que implicó la pandemia se realizaron retos individuales en las UPZ priorizadas y se llevó a cabo la final con los mejores de cada UPZ. 
 Se atendió población entre 12 y 70 años, fomentando el valor de la solidaridad, un total de 5.296 personas en los diferentes deportes.
 Los retos virtuales y presenciales se realizaron en fútbol de salón, voleibol, fútbol, baloncesto y juegos tradicionales (trompo, rana, coca).
 Las actividades se realizaron en 17 localidades, en 46 UPZ priorizadas más 2, entre octubre y diciembre de 2020</v>
      </c>
      <c r="N2494" s="55">
        <f ca="1">IFERROR(__xludf.DUMMYFUNCTION("""COMPUTED_VALUE"""),44927)</f>
        <v>44927</v>
      </c>
      <c r="O2494" s="25" t="str">
        <f t="shared" ca="1" si="0"/>
        <v>Instituto Distrital de Recreación y Deporte</v>
      </c>
      <c r="P2494" s="25" t="str">
        <f t="shared" si="2"/>
        <v/>
      </c>
      <c r="Q2494" s="25" t="str">
        <f ca="1">IFERROR(__xludf.DUMMYFUNCTION("""COMPUTED_VALUE"""),"Corto plazo")</f>
        <v>Corto plazo</v>
      </c>
      <c r="R2494" s="25"/>
      <c r="S2494" s="55"/>
      <c r="T2494" s="56"/>
      <c r="U2494" s="25"/>
      <c r="V2494" s="25"/>
      <c r="W2494" s="25"/>
      <c r="X2494" s="25"/>
      <c r="Y2494" s="25"/>
      <c r="Z2494" s="25"/>
    </row>
    <row r="2495" spans="1:26" ht="52.5" customHeight="1" x14ac:dyDescent="0.25">
      <c r="A2495" s="25" t="str">
        <f ca="1">IFERROR(__xludf.DUMMYFUNCTION("""COMPUTED_VALUE"""),"Cultu93")</f>
        <v>Cultu93</v>
      </c>
      <c r="B2495" s="25" t="str">
        <f ca="1">IFERROR(__xludf.DUMMYFUNCTION("""COMPUTED_VALUE"""),"Parque Gibraltar")</f>
        <v>Parque Gibraltar</v>
      </c>
      <c r="C2495" s="55">
        <f ca="1">IFERROR(__xludf.DUMMYFUNCTION("""COMPUTED_VALUE"""),44126)</f>
        <v>44126</v>
      </c>
      <c r="D2495" s="25" t="str">
        <f ca="1">IFERROR(__xludf.DUMMYFUNCTION("""COMPUTED_VALUE"""),"Cultura")</f>
        <v>Cultura</v>
      </c>
      <c r="E2495" s="25" t="str">
        <f ca="1">IFERROR(__xludf.DUMMYFUNCTION("""COMPUTED_VALUE"""),"Instituto Distrital de Recreación y Deporte")</f>
        <v>Instituto Distrital de Recreación y Deporte</v>
      </c>
      <c r="F2495" s="25" t="str">
        <f ca="1">IFERROR(__xludf.DUMMYFUNCTION("""COMPUTED_VALUE"""),"Generar equipamiento deportivo no solo de alto rendimiento sino también, equipamiento deportivo para ciudadanía no deportista")</f>
        <v>Generar equipamiento deportivo no solo de alto rendimiento sino también, equipamiento deportivo para ciudadanía no deportista</v>
      </c>
      <c r="G2495" s="55" t="str">
        <f ca="1">IFERROR(__xludf.DUMMYFUNCTION("""COMPUTED_VALUE"""),"08. Kennedy")</f>
        <v>08. Kennedy</v>
      </c>
      <c r="H2495" s="55">
        <f ca="1">IFERROR(__xludf.DUMMYFUNCTION("""COMPUTED_VALUE"""),44156)</f>
        <v>44156</v>
      </c>
      <c r="I2495" s="25"/>
      <c r="J2495" s="55" t="str">
        <f ca="1">IFERROR(__xludf.DUMMYFUNCTION("""COMPUTED_VALUE"""),"Alta")</f>
        <v>Alta</v>
      </c>
      <c r="K2495" s="25">
        <f ca="1">IFERROR(__xludf.DUMMYFUNCTION("""COMPUTED_VALUE"""),30)</f>
        <v>30</v>
      </c>
      <c r="L2495" s="62">
        <f ca="1">IFERROR(__xludf.DUMMYFUNCTION("""COMPUTED_VALUE"""),44362)</f>
        <v>44362</v>
      </c>
      <c r="M2495" s="25" t="str">
        <f ca="1">IFERROR(__xludf.DUMMYFUNCTION("""COMPUTED_VALUE"""),"El Centro Deportivo Recreativo y Cultural, contempla un  área de
formación deportiva, adicionalmente el parque recreativo contempla
varias disciplinas en la cual se pueden desarrollar actividades para
ciudadanía no deportiva")</f>
        <v>El Centro Deportivo Recreativo y Cultural, contempla un  área de
formación deportiva, adicionalmente el parque recreativo contempla
varias disciplinas en la cual se pueden desarrollar actividades para
ciudadanía no deportiva</v>
      </c>
      <c r="N2495" s="55">
        <f ca="1">IFERROR(__xludf.DUMMYFUNCTION("""COMPUTED_VALUE"""),44362)</f>
        <v>44362</v>
      </c>
      <c r="O2495" s="25" t="str">
        <f t="shared" ca="1" si="0"/>
        <v>Instituto Distrital de Recreación y Deporte</v>
      </c>
      <c r="P2495" s="25" t="str">
        <f t="shared" si="2"/>
        <v/>
      </c>
      <c r="Q2495" s="25" t="str">
        <f ca="1">IFERROR(__xludf.DUMMYFUNCTION("""COMPUTED_VALUE"""),"Corto plazo")</f>
        <v>Corto plazo</v>
      </c>
      <c r="R2495" s="25"/>
      <c r="S2495" s="55"/>
      <c r="T2495" s="56"/>
      <c r="U2495" s="25"/>
      <c r="V2495" s="25"/>
      <c r="W2495" s="25"/>
      <c r="X2495" s="25"/>
      <c r="Y2495" s="25"/>
      <c r="Z2495" s="25"/>
    </row>
    <row r="2496" spans="1:26" ht="52.5" customHeight="1" x14ac:dyDescent="0.25">
      <c r="A2496" s="25" t="str">
        <f ca="1">IFERROR(__xludf.DUMMYFUNCTION("""COMPUTED_VALUE"""),"Cultu94")</f>
        <v>Cultu94</v>
      </c>
      <c r="B2496" s="25" t="str">
        <f ca="1">IFERROR(__xludf.DUMMYFUNCTION("""COMPUTED_VALUE"""),"Parque Gibraltar")</f>
        <v>Parque Gibraltar</v>
      </c>
      <c r="C2496" s="55">
        <f ca="1">IFERROR(__xludf.DUMMYFUNCTION("""COMPUTED_VALUE"""),44126)</f>
        <v>44126</v>
      </c>
      <c r="D2496" s="25" t="str">
        <f ca="1">IFERROR(__xludf.DUMMYFUNCTION("""COMPUTED_VALUE"""),"Cultura")</f>
        <v>Cultura</v>
      </c>
      <c r="E2496" s="25" t="str">
        <f ca="1">IFERROR(__xludf.DUMMYFUNCTION("""COMPUTED_VALUE"""),"Instituto Distrital de Recreación y Deporte")</f>
        <v>Instituto Distrital de Recreación y Deporte</v>
      </c>
      <c r="F2496" s="25" t="str">
        <f ca="1">IFERROR(__xludf.DUMMYFUNCTION("""COMPUTED_VALUE"""),"Reunión entre SDP, IDRD y ERU para pensar el parque dentro del sistema de Distritos, haciendo así el diseño conceptual macro del proyecto")</f>
        <v>Reunión entre SDP, IDRD y ERU para pensar el parque dentro del sistema de Distritos, haciendo así el diseño conceptual macro del proyecto</v>
      </c>
      <c r="G2496" s="55" t="str">
        <f ca="1">IFERROR(__xludf.DUMMYFUNCTION("""COMPUTED_VALUE"""),"08. Kennedy")</f>
        <v>08. Kennedy</v>
      </c>
      <c r="H2496" s="55">
        <f ca="1">IFERROR(__xludf.DUMMYFUNCTION("""COMPUTED_VALUE"""),44156)</f>
        <v>44156</v>
      </c>
      <c r="I2496" s="25"/>
      <c r="J2496" s="55" t="str">
        <f ca="1">IFERROR(__xludf.DUMMYFUNCTION("""COMPUTED_VALUE"""),"Alta")</f>
        <v>Alta</v>
      </c>
      <c r="K2496" s="25">
        <f ca="1">IFERROR(__xludf.DUMMYFUNCTION("""COMPUTED_VALUE"""),30)</f>
        <v>30</v>
      </c>
      <c r="L2496" s="62">
        <f ca="1">IFERROR(__xludf.DUMMYFUNCTION("""COMPUTED_VALUE"""),44456)</f>
        <v>44456</v>
      </c>
      <c r="M2496" s="25" t="str">
        <f ca="1">IFERROR(__xludf.DUMMYFUNCTION("""COMPUTED_VALUE"""),"El diseño del Parque Gibraltar se termina en septiembre del presente año. La reunión solicitada entre las tres entidades de realizó en  marzo  de 2021. A la fecha tanto para el parque como para el CAFÉ Gibraltar se tiene el esquema básico y anteproyecto, "&amp;"así como el concepto completo de la infraestructura que se va a desarrollar en ese predio. Actualmente, estamos en fase  de detalles de ingeniería tanto para el Parque Gibraltar como el CAFÉ que se construirá en el lote para tener el diseño completo en oc"&amp;"tubre. En cuanto a la obra, se debe esperar a que el Acueducto realice el proceso de desgasificación del predio. De acuerdo con lo informado por Acueducto, se encuentran iniciando el proceso de contratación de esta actividad,  que comenzaría hasta el prim"&amp;"er semestre del año 2022.")</f>
        <v>El diseño del Parque Gibraltar se termina en septiembre del presente año. La reunión solicitada entre las tres entidades de realizó en  marzo  de 2021. A la fecha tanto para el parque como para el CAFÉ Gibraltar se tiene el esquema básico y anteproyecto, así como el concepto completo de la infraestructura que se va a desarrollar en ese predio. Actualmente, estamos en fase  de detalles de ingeniería tanto para el Parque Gibraltar como el CAFÉ que se construirá en el lote para tener el diseño completo en octubre. En cuanto a la obra, se debe esperar a que el Acueducto realice el proceso de desgasificación del predio. De acuerdo con lo informado por Acueducto, se encuentran iniciando el proceso de contratación de esta actividad,  que comenzaría hasta el primer semestre del año 2022.</v>
      </c>
      <c r="N2496" s="55">
        <f ca="1">IFERROR(__xludf.DUMMYFUNCTION("""COMPUTED_VALUE"""),44456)</f>
        <v>44456</v>
      </c>
      <c r="O2496" s="25" t="str">
        <f t="shared" ca="1" si="0"/>
        <v>Instituto Distrital de Recreación y Deporte</v>
      </c>
      <c r="P2496" s="25" t="str">
        <f t="shared" si="2"/>
        <v/>
      </c>
      <c r="Q2496" s="25" t="str">
        <f ca="1">IFERROR(__xludf.DUMMYFUNCTION("""COMPUTED_VALUE"""),"Corto plazo")</f>
        <v>Corto plazo</v>
      </c>
      <c r="R2496" s="25"/>
      <c r="S2496" s="55"/>
      <c r="T2496" s="56"/>
      <c r="U2496" s="25"/>
      <c r="V2496" s="25"/>
      <c r="W2496" s="25"/>
      <c r="X2496" s="25"/>
      <c r="Y2496" s="25"/>
      <c r="Z2496" s="25"/>
    </row>
    <row r="2497" spans="1:26" ht="52.5" customHeight="1" x14ac:dyDescent="0.25">
      <c r="A2497" s="25" t="str">
        <f ca="1">IFERROR(__xludf.DUMMYFUNCTION("""COMPUTED_VALUE"""),"Cultu95")</f>
        <v>Cultu95</v>
      </c>
      <c r="B2497" s="25" t="str">
        <f ca="1">IFERROR(__xludf.DUMMYFUNCTION("""COMPUTED_VALUE"""),"Obras Basílica menor del Voto Nacional")</f>
        <v>Obras Basílica menor del Voto Nacional</v>
      </c>
      <c r="C2497" s="55">
        <f ca="1">IFERROR(__xludf.DUMMYFUNCTION("""COMPUTED_VALUE"""),44112)</f>
        <v>44112</v>
      </c>
      <c r="D2497" s="25" t="str">
        <f ca="1">IFERROR(__xludf.DUMMYFUNCTION("""COMPUTED_VALUE"""),"Cultura")</f>
        <v>Cultura</v>
      </c>
      <c r="E2497" s="25" t="str">
        <f ca="1">IFERROR(__xludf.DUMMYFUNCTION("""COMPUTED_VALUE"""),"Secretaría Distrital de Cultura, Recreación y Deporte")</f>
        <v>Secretaría Distrital de Cultura, Recreación y Deporte</v>
      </c>
      <c r="F2497" s="25" t="str">
        <f ca="1">IFERROR(__xludf.DUMMYFUNCTION("""COMPUTED_VALUE"""),"Programar reunión de trabajo para la articulación de los proyectos de la zona del Voto Nacional con el Metro de Bogotá (Espina de Pescado)")</f>
        <v>Programar reunión de trabajo para la articulación de los proyectos de la zona del Voto Nacional con el Metro de Bogotá (Espina de Pescado)</v>
      </c>
      <c r="G2497" s="55" t="str">
        <f ca="1">IFERROR(__xludf.DUMMYFUNCTION("""COMPUTED_VALUE"""),"14. Mártires")</f>
        <v>14. Mártires</v>
      </c>
      <c r="H2497" s="55">
        <f ca="1">IFERROR(__xludf.DUMMYFUNCTION("""COMPUTED_VALUE"""),44142)</f>
        <v>44142</v>
      </c>
      <c r="I2497" s="25"/>
      <c r="J2497" s="55" t="str">
        <f ca="1">IFERROR(__xludf.DUMMYFUNCTION("""COMPUTED_VALUE"""),"Alta")</f>
        <v>Alta</v>
      </c>
      <c r="K2497" s="25">
        <f ca="1">IFERROR(__xludf.DUMMYFUNCTION("""COMPUTED_VALUE"""),30)</f>
        <v>30</v>
      </c>
      <c r="L2497" s="62">
        <f ca="1">IFERROR(__xludf.DUMMYFUNCTION("""COMPUTED_VALUE"""),44362)</f>
        <v>44362</v>
      </c>
      <c r="M2497" s="25" t="str">
        <f ca="1">IFERROR(__xludf.DUMMYFUNCTION("""COMPUTED_VALUE"""),"La reunión entre las entidades se realizó durante los días jueves 22 y viernes 23 de octubre, llegando a unos resultados que se le presentarán a la alcaldesa el lunes 26, en la cual se mostraron los proyectos urbanísticos a tener en cuenta en las 3 estaci"&amp;"ones del metro en el centro (Calle 2, calle 10 y calle 26).  Se está gestionando reunión con la Alcaldía, SDDE y FUGA para hacer la retroalimentación con METRO.
Se determinaron las líneas que desde el PEMP - CHB deben implementarse en los diseños de estac"&amp;"iones y espacio público, estamos en espera de la próxima reunión con Metro para analizar el diseño resultante.  ")</f>
        <v xml:space="preserve">La reunión entre las entidades se realizó durante los días jueves 22 y viernes 23 de octubre, llegando a unos resultados que se le presentarán a la alcaldesa el lunes 26, en la cual se mostraron los proyectos urbanísticos a tener en cuenta en las 3 estaciones del metro en el centro (Calle 2, calle 10 y calle 26).  Se está gestionando reunión con la Alcaldía, SDDE y FUGA para hacer la retroalimentación con METRO.
Se determinaron las líneas que desde el PEMP - CHB deben implementarse en los diseños de estaciones y espacio público, estamos en espera de la próxima reunión con Metro para analizar el diseño resultante.  </v>
      </c>
      <c r="N2497" s="55">
        <f ca="1">IFERROR(__xludf.DUMMYFUNCTION("""COMPUTED_VALUE"""),44362)</f>
        <v>44362</v>
      </c>
      <c r="O2497" s="25" t="str">
        <f t="shared" ca="1" si="0"/>
        <v>Secretaría Distrital de Cultura, Recreación y Deporte</v>
      </c>
      <c r="P2497" s="25" t="str">
        <f t="shared" si="2"/>
        <v/>
      </c>
      <c r="Q2497" s="25" t="str">
        <f ca="1">IFERROR(__xludf.DUMMYFUNCTION("""COMPUTED_VALUE"""),"Corto plazo")</f>
        <v>Corto plazo</v>
      </c>
      <c r="R2497" s="25"/>
      <c r="S2497" s="55"/>
      <c r="T2497" s="56"/>
      <c r="U2497" s="25"/>
      <c r="V2497" s="25"/>
      <c r="W2497" s="25"/>
      <c r="X2497" s="25"/>
      <c r="Y2497" s="25"/>
      <c r="Z2497" s="25"/>
    </row>
    <row r="2498" spans="1:26" ht="52.5" customHeight="1" x14ac:dyDescent="0.25">
      <c r="A2498" s="25" t="str">
        <f ca="1">IFERROR(__xludf.DUMMYFUNCTION("""COMPUTED_VALUE"""),"Cultu96")</f>
        <v>Cultu96</v>
      </c>
      <c r="B2498" s="25" t="str">
        <f ca="1">IFERROR(__xludf.DUMMYFUNCTION("""COMPUTED_VALUE"""),"Reunión Ministro de Cultura ")</f>
        <v xml:space="preserve">Reunión Ministro de Cultura </v>
      </c>
      <c r="C2498" s="55">
        <f ca="1">IFERROR(__xludf.DUMMYFUNCTION("""COMPUTED_VALUE"""),44112)</f>
        <v>44112</v>
      </c>
      <c r="D2498" s="25" t="str">
        <f ca="1">IFERROR(__xludf.DUMMYFUNCTION("""COMPUTED_VALUE"""),"Cultura")</f>
        <v>Cultura</v>
      </c>
      <c r="E2498" s="25" t="str">
        <f ca="1">IFERROR(__xludf.DUMMYFUNCTION("""COMPUTED_VALUE"""),"Secretaría Distrital de Cultura, Recreación y Deporte")</f>
        <v>Secretaría Distrital de Cultura, Recreación y Deporte</v>
      </c>
      <c r="F2498" s="25" t="str">
        <f ca="1">IFERROR(__xludf.DUMMYFUNCTION("""COMPUTED_VALUE"""),"Programar evento en marzo, para la adopción del PEMP del distrito")</f>
        <v>Programar evento en marzo, para la adopción del PEMP del distrito</v>
      </c>
      <c r="G2498" s="25" t="str">
        <f ca="1">IFERROR(__xludf.DUMMYFUNCTION("""COMPUTED_VALUE"""),"99. Distrito")</f>
        <v>99. Distrito</v>
      </c>
      <c r="H2498" s="55">
        <f ca="1">IFERROR(__xludf.DUMMYFUNCTION("""COMPUTED_VALUE"""),44142)</f>
        <v>44142</v>
      </c>
      <c r="I2498" s="25"/>
      <c r="J2498" s="55" t="str">
        <f ca="1">IFERROR(__xludf.DUMMYFUNCTION("""COMPUTED_VALUE"""),"Alta")</f>
        <v>Alta</v>
      </c>
      <c r="K2498" s="25">
        <f ca="1">IFERROR(__xludf.DUMMYFUNCTION("""COMPUTED_VALUE"""),30)</f>
        <v>30</v>
      </c>
      <c r="L2498" s="62"/>
      <c r="M2498" s="25" t="str">
        <f ca="1">IFERROR(__xludf.DUMMYFUNCTION("""COMPUTED_VALUE"""),"El evento se llevó a cabo el 22 de junio de 2021")</f>
        <v>El evento se llevó a cabo el 22 de junio de 2021</v>
      </c>
      <c r="N2498" s="55">
        <f ca="1">IFERROR(__xludf.DUMMYFUNCTION("""COMPUTED_VALUE"""),44927)</f>
        <v>44927</v>
      </c>
      <c r="O2498" s="25" t="str">
        <f t="shared" ca="1" si="0"/>
        <v>Secretaría Distrital de Cultura, Recreación y Deporte</v>
      </c>
      <c r="P2498" s="25" t="str">
        <f t="shared" si="2"/>
        <v/>
      </c>
      <c r="Q2498" s="25" t="str">
        <f ca="1">IFERROR(__xludf.DUMMYFUNCTION("""COMPUTED_VALUE"""),"Corto plazo")</f>
        <v>Corto plazo</v>
      </c>
      <c r="R2498" s="25"/>
      <c r="S2498" s="55"/>
      <c r="T2498" s="56"/>
      <c r="U2498" s="25"/>
      <c r="V2498" s="25"/>
      <c r="W2498" s="25"/>
      <c r="X2498" s="25"/>
      <c r="Y2498" s="25"/>
      <c r="Z2498" s="25"/>
    </row>
    <row r="2499" spans="1:26" ht="52.5" customHeight="1" x14ac:dyDescent="0.25">
      <c r="A2499" s="25" t="str">
        <f ca="1">IFERROR(__xludf.DUMMYFUNCTION("""COMPUTED_VALUE"""),"Cultu97")</f>
        <v>Cultu97</v>
      </c>
      <c r="B2499" s="25" t="str">
        <f ca="1">IFERROR(__xludf.DUMMYFUNCTION("""COMPUTED_VALUE"""),"Zona Bronx")</f>
        <v>Zona Bronx</v>
      </c>
      <c r="C2499" s="55">
        <f ca="1">IFERROR(__xludf.DUMMYFUNCTION("""COMPUTED_VALUE"""),44112)</f>
        <v>44112</v>
      </c>
      <c r="D2499" s="25" t="str">
        <f ca="1">IFERROR(__xludf.DUMMYFUNCTION("""COMPUTED_VALUE"""),"Cultura")</f>
        <v>Cultura</v>
      </c>
      <c r="E2499" s="25" t="str">
        <f ca="1">IFERROR(__xludf.DUMMYFUNCTION("""COMPUTED_VALUE"""),"Fundación Gilberto Alzate Avendaño")</f>
        <v>Fundación Gilberto Alzate Avendaño</v>
      </c>
      <c r="F2499" s="25" t="str">
        <f ca="1">IFERROR(__xludf.DUMMYFUNCTION("""COMPUTED_VALUE"""),"Gestionar la ampliación del Comodato con el Ejército Nacional del edificio ""Antigua Facultad de Medicina de la Universidad Nacional de Colombia""")</f>
        <v>Gestionar la ampliación del Comodato con el Ejército Nacional del edificio "Antigua Facultad de Medicina de la Universidad Nacional de Colombia"</v>
      </c>
      <c r="G2499" s="55" t="str">
        <f ca="1">IFERROR(__xludf.DUMMYFUNCTION("""COMPUTED_VALUE"""),"14. Mártires")</f>
        <v>14. Mártires</v>
      </c>
      <c r="H2499" s="55">
        <f ca="1">IFERROR(__xludf.DUMMYFUNCTION("""COMPUTED_VALUE"""),44142)</f>
        <v>44142</v>
      </c>
      <c r="I2499" s="25"/>
      <c r="J2499" s="55" t="str">
        <f ca="1">IFERROR(__xludf.DUMMYFUNCTION("""COMPUTED_VALUE"""),"Alta")</f>
        <v>Alta</v>
      </c>
      <c r="K2499" s="25">
        <f ca="1">IFERROR(__xludf.DUMMYFUNCTION("""COMPUTED_VALUE"""),30)</f>
        <v>30</v>
      </c>
      <c r="L2499" s="62">
        <f ca="1">IFERROR(__xludf.DUMMYFUNCTION("""COMPUTED_VALUE"""),44362)</f>
        <v>44362</v>
      </c>
      <c r="M2499" s="25" t="str">
        <f ca="1">IFERROR(__xludf.DUMMYFUNCTION("""COMPUTED_VALUE"""),"La FUGA gestionó con el Ejército Nacional la  prórroga y modificación del comodato suscrito con el Ejército Nacional sobre el BIC ""Antigua Facultad de Medicina UN"". Para el efecto, remitió una minuta, que una vez analizada concluyó con la decisión del E"&amp;"jército Nacional de adelantar la firma de un nuevo comodato, con un plazo hasta el 31 de diciembre re de 2021 y con la ocupación del bien por el Comando de la decimotercera brigada del Ejército. Los documentos fueron remitidos en versión proyecto y están "&amp;"siendo revisados por la asesora de la decimatercera brigada. El comodato quedó firmado hasta el 26 de marzo de 2022")</f>
        <v>La FUGA gestionó con el Ejército Nacional la  prórroga y modificación del comodato suscrito con el Ejército Nacional sobre el BIC "Antigua Facultad de Medicina UN". Para el efecto, remitió una minuta, que una vez analizada concluyó con la decisión del Ejército Nacional de adelantar la firma de un nuevo comodato, con un plazo hasta el 31 de diciembre re de 2021 y con la ocupación del bien por el Comando de la decimotercera brigada del Ejército. Los documentos fueron remitidos en versión proyecto y están siendo revisados por la asesora de la decimatercera brigada. El comodato quedó firmado hasta el 26 de marzo de 2022</v>
      </c>
      <c r="N2499" s="55">
        <f ca="1">IFERROR(__xludf.DUMMYFUNCTION("""COMPUTED_VALUE"""),44362)</f>
        <v>44362</v>
      </c>
      <c r="O2499" s="25" t="str">
        <f t="shared" ca="1" si="0"/>
        <v>Fundación Gilberto Alzate Avendaño</v>
      </c>
      <c r="P2499" s="25" t="str">
        <f t="shared" si="2"/>
        <v/>
      </c>
      <c r="Q2499" s="25" t="str">
        <f ca="1">IFERROR(__xludf.DUMMYFUNCTION("""COMPUTED_VALUE"""),"Corto plazo")</f>
        <v>Corto plazo</v>
      </c>
      <c r="R2499" s="25"/>
      <c r="S2499" s="55"/>
      <c r="T2499" s="56"/>
      <c r="U2499" s="25"/>
      <c r="V2499" s="25"/>
      <c r="W2499" s="25"/>
      <c r="X2499" s="25"/>
      <c r="Y2499" s="25"/>
      <c r="Z2499" s="25"/>
    </row>
    <row r="2500" spans="1:26" ht="52.5" customHeight="1" x14ac:dyDescent="0.25">
      <c r="A2500" s="25" t="str">
        <f ca="1">IFERROR(__xludf.DUMMYFUNCTION("""COMPUTED_VALUE"""),"Cultu98")</f>
        <v>Cultu98</v>
      </c>
      <c r="B2500" s="25" t="str">
        <f ca="1">IFERROR(__xludf.DUMMYFUNCTION("""COMPUTED_VALUE"""),"Zona Bronx")</f>
        <v>Zona Bronx</v>
      </c>
      <c r="C2500" s="55">
        <f ca="1">IFERROR(__xludf.DUMMYFUNCTION("""COMPUTED_VALUE"""),44112)</f>
        <v>44112</v>
      </c>
      <c r="D2500" s="25" t="str">
        <f ca="1">IFERROR(__xludf.DUMMYFUNCTION("""COMPUTED_VALUE"""),"Cultura")</f>
        <v>Cultura</v>
      </c>
      <c r="E2500" s="25" t="str">
        <f ca="1">IFERROR(__xludf.DUMMYFUNCTION("""COMPUTED_VALUE"""),"Secretaría Distrital de Cultura, Recreación y Deporte")</f>
        <v>Secretaría Distrital de Cultura, Recreación y Deporte</v>
      </c>
      <c r="F2500" s="25" t="str">
        <f ca="1">IFERROR(__xludf.DUMMYFUNCTION("""COMPUTED_VALUE"""),"Revisar la posible construcción de la Casa de Cultura de Mártires en el predio disponible de la Secretaría de Desarrollo Económico. Lo anterior en el marco de la estructuración del modelo público - privado para el Distrito Creativo.")</f>
        <v>Revisar la posible construcción de la Casa de Cultura de Mártires en el predio disponible de la Secretaría de Desarrollo Económico. Lo anterior en el marco de la estructuración del modelo público - privado para el Distrito Creativo.</v>
      </c>
      <c r="G2500" s="55" t="str">
        <f ca="1">IFERROR(__xludf.DUMMYFUNCTION("""COMPUTED_VALUE"""),"14. Mártires")</f>
        <v>14. Mártires</v>
      </c>
      <c r="H2500" s="55">
        <f ca="1">IFERROR(__xludf.DUMMYFUNCTION("""COMPUTED_VALUE"""),44142)</f>
        <v>44142</v>
      </c>
      <c r="I2500" s="25"/>
      <c r="J2500" s="55" t="str">
        <f ca="1">IFERROR(__xludf.DUMMYFUNCTION("""COMPUTED_VALUE"""),"Alta")</f>
        <v>Alta</v>
      </c>
      <c r="K2500" s="25">
        <f ca="1">IFERROR(__xludf.DUMMYFUNCTION("""COMPUTED_VALUE"""),30)</f>
        <v>30</v>
      </c>
      <c r="L2500" s="62">
        <f ca="1">IFERROR(__xludf.DUMMYFUNCTION("""COMPUTED_VALUE"""),44362)</f>
        <v>44362</v>
      </c>
      <c r="M2500" s="25" t="str">
        <f ca="1">IFERROR(__xludf.DUMMYFUNCTION("""COMPUTED_VALUE"""),"La Dirección de Infraestructura de la SCRD conceptuó negativamente la realización de la casa de Cultura de los Mártires porque es prioritario incentivar los colectivos y organizaciones culturales en vez de construir más equipamientos. Por este motivo no s"&amp;"e realizará dicha construcción.")</f>
        <v>La Dirección de Infraestructura de la SCRD conceptuó negativamente la realización de la casa de Cultura de los Mártires porque es prioritario incentivar los colectivos y organizaciones culturales en vez de construir más equipamientos. Por este motivo no se realizará dicha construcción.</v>
      </c>
      <c r="N2500" s="55">
        <f ca="1">IFERROR(__xludf.DUMMYFUNCTION("""COMPUTED_VALUE"""),44362)</f>
        <v>44362</v>
      </c>
      <c r="O2500" s="25" t="str">
        <f t="shared" ca="1" si="0"/>
        <v>Secretaría Distrital de Cultura, Recreación y Deporte</v>
      </c>
      <c r="P2500" s="25" t="str">
        <f t="shared" si="2"/>
        <v/>
      </c>
      <c r="Q2500" s="25" t="str">
        <f ca="1">IFERROR(__xludf.DUMMYFUNCTION("""COMPUTED_VALUE"""),"Corto plazo")</f>
        <v>Corto plazo</v>
      </c>
      <c r="R2500" s="25"/>
      <c r="S2500" s="55"/>
      <c r="T2500" s="56"/>
      <c r="U2500" s="25"/>
      <c r="V2500" s="25"/>
      <c r="W2500" s="25"/>
      <c r="X2500" s="25"/>
      <c r="Y2500" s="25"/>
      <c r="Z2500" s="25"/>
    </row>
    <row r="2501" spans="1:26" ht="52.5" customHeight="1" x14ac:dyDescent="0.25">
      <c r="A2501" s="25" t="str">
        <f ca="1">IFERROR(__xludf.DUMMYFUNCTION("""COMPUTED_VALUE"""),"Cultu99")</f>
        <v>Cultu99</v>
      </c>
      <c r="B2501" s="25" t="str">
        <f ca="1">IFERROR(__xludf.DUMMYFUNCTION("""COMPUTED_VALUE"""),"Lanzamiento Semana de la Bici")</f>
        <v>Lanzamiento Semana de la Bici</v>
      </c>
      <c r="C2501" s="55">
        <f ca="1">IFERROR(__xludf.DUMMYFUNCTION("""COMPUTED_VALUE"""),44100)</f>
        <v>44100</v>
      </c>
      <c r="D2501" s="25" t="str">
        <f ca="1">IFERROR(__xludf.DUMMYFUNCTION("""COMPUTED_VALUE"""),"Cultura")</f>
        <v>Cultura</v>
      </c>
      <c r="E2501" s="25" t="str">
        <f ca="1">IFERROR(__xludf.DUMMYFUNCTION("""COMPUTED_VALUE"""),"Instituto Distrital de Recreación y Deporte")</f>
        <v>Instituto Distrital de Recreación y Deporte</v>
      </c>
      <c r="F2501" s="25" t="str">
        <f ca="1">IFERROR(__xludf.DUMMYFUNCTION("""COMPUTED_VALUE"""),"Implementar estrategia Al Trabajo en Bici en el corredor 7ma en el marco del Corredor Verde, ubicando puntos de Escuela de la Bici, empezando con el Parque de los Hippies y algunos puntos más")</f>
        <v>Implementar estrategia Al Trabajo en Bici en el corredor 7ma en el marco del Corredor Verde, ubicando puntos de Escuela de la Bici, empezando con el Parque de los Hippies y algunos puntos más</v>
      </c>
      <c r="G2501" s="55" t="str">
        <f ca="1">IFERROR(__xludf.DUMMYFUNCTION("""COMPUTED_VALUE"""),"02. Chapinero")</f>
        <v>02. Chapinero</v>
      </c>
      <c r="H2501" s="55">
        <f ca="1">IFERROR(__xludf.DUMMYFUNCTION("""COMPUTED_VALUE"""),44130)</f>
        <v>44130</v>
      </c>
      <c r="I2501" s="25"/>
      <c r="J2501" s="55" t="str">
        <f ca="1">IFERROR(__xludf.DUMMYFUNCTION("""COMPUTED_VALUE"""),"Alta")</f>
        <v>Alta</v>
      </c>
      <c r="K2501" s="25">
        <f ca="1">IFERROR(__xludf.DUMMYFUNCTION("""COMPUTED_VALUE"""),30)</f>
        <v>30</v>
      </c>
      <c r="L2501" s="62">
        <f ca="1">IFERROR(__xludf.DUMMYFUNCTION("""COMPUTED_VALUE"""),44362)</f>
        <v>44362</v>
      </c>
      <c r="M2501" s="25" t="str">
        <f ca="1">IFERROR(__xludf.DUMMYFUNCTION("""COMPUTED_VALUE"""),"La estrategia de Al Trabajo en Bici ya se está desarrollando por la calle 63 desde la carrera 112 hasta la carrera 30 y se amplió su funcionalidad desde la calle 134 a la calle 26 por la carrera 7ma, teniendo puntos de Escuela de la Bici en el parque de l"&amp;"os hippies y en el parque nacional")</f>
        <v>La estrategia de Al Trabajo en Bici ya se está desarrollando por la calle 63 desde la carrera 112 hasta la carrera 30 y se amplió su funcionalidad desde la calle 134 a la calle 26 por la carrera 7ma, teniendo puntos de Escuela de la Bici en el parque de los hippies y en el parque nacional</v>
      </c>
      <c r="N2501" s="55">
        <f ca="1">IFERROR(__xludf.DUMMYFUNCTION("""COMPUTED_VALUE"""),44362)</f>
        <v>44362</v>
      </c>
      <c r="O2501" s="25" t="str">
        <f t="shared" ca="1" si="0"/>
        <v>Instituto Distrital de Recreación y Deporte</v>
      </c>
      <c r="P2501" s="25" t="str">
        <f t="shared" si="2"/>
        <v/>
      </c>
      <c r="Q2501" s="25" t="str">
        <f ca="1">IFERROR(__xludf.DUMMYFUNCTION("""COMPUTED_VALUE"""),"Corto plazo")</f>
        <v>Corto plazo</v>
      </c>
      <c r="R2501" s="25"/>
      <c r="S2501" s="55"/>
      <c r="T2501" s="56"/>
      <c r="U2501" s="25"/>
      <c r="V2501" s="25"/>
      <c r="W2501" s="25"/>
      <c r="X2501" s="25"/>
      <c r="Y2501" s="25"/>
      <c r="Z2501" s="25"/>
    </row>
    <row r="2502" spans="1:26" ht="52.5" customHeight="1" x14ac:dyDescent="0.25">
      <c r="A2502" s="25" t="str">
        <f ca="1">IFERROR(__xludf.DUMMYFUNCTION("""COMPUTED_VALUE"""),"Cultu100")</f>
        <v>Cultu100</v>
      </c>
      <c r="B2502" s="25" t="str">
        <f ca="1">IFERROR(__xludf.DUMMYFUNCTION("""COMPUTED_VALUE"""),"Despachando: Secretaría distrital de cultura, recreación y deporte")</f>
        <v>Despachando: Secretaría distrital de cultura, recreación y deporte</v>
      </c>
      <c r="C2502" s="55">
        <f ca="1">IFERROR(__xludf.DUMMYFUNCTION("""COMPUTED_VALUE"""),44090)</f>
        <v>44090</v>
      </c>
      <c r="D2502" s="25" t="str">
        <f ca="1">IFERROR(__xludf.DUMMYFUNCTION("""COMPUTED_VALUE"""),"Cultura")</f>
        <v>Cultura</v>
      </c>
      <c r="E2502" s="25" t="str">
        <f ca="1">IFERROR(__xludf.DUMMYFUNCTION("""COMPUTED_VALUE"""),"Secretaría Distrital de Cultura, Recreación y Deporte")</f>
        <v>Secretaría Distrital de Cultura, Recreación y Deporte</v>
      </c>
      <c r="F2502" s="25" t="str">
        <f ca="1">IFERROR(__xludf.DUMMYFUNCTION("""COMPUTED_VALUE"""),"Depurar y actualizar la base de datos de gestores culturales y artistas de la ciudad.")</f>
        <v>Depurar y actualizar la base de datos de gestores culturales y artistas de la ciudad.</v>
      </c>
      <c r="G2502" s="25" t="str">
        <f ca="1">IFERROR(__xludf.DUMMYFUNCTION("""COMPUTED_VALUE"""),"99. Distrito")</f>
        <v>99. Distrito</v>
      </c>
      <c r="H2502" s="55">
        <f ca="1">IFERROR(__xludf.DUMMYFUNCTION("""COMPUTED_VALUE"""),44120)</f>
        <v>44120</v>
      </c>
      <c r="I2502" s="25"/>
      <c r="J2502" s="55" t="str">
        <f ca="1">IFERROR(__xludf.DUMMYFUNCTION("""COMPUTED_VALUE"""),"Alta")</f>
        <v>Alta</v>
      </c>
      <c r="K2502" s="25">
        <f ca="1">IFERROR(__xludf.DUMMYFUNCTION("""COMPUTED_VALUE"""),30)</f>
        <v>30</v>
      </c>
      <c r="L2502" s="62"/>
      <c r="M2502" s="25" t="str">
        <f ca="1">IFERROR(__xludf.DUMMYFUNCTION("""COMPUTED_VALUE"""),"La Secretaría Distrital de Cultural, Recreación y Deporte (SCRD), reconociendo la magnitud de la situación generada por el COVID-19 y con el objetivo de responder a las múltiples necesidades que han surgido bajo esta coyuntura, está liderando la construcc"&amp;"ión de una base de datos sectorial que permita contar con información oportuna y veraz, para que los agentes del sector puedan ser caracterizados y, a partir de ahí, accedan a programas sociales, distritales y nacionales. En este sentido, se realizó el ej"&amp;"ercicio de recolección de información a partir de registros que reposan tanto en los archivos de la SCRD como en aquellos remitidos por sus entidades adscritas. Ahora bien, estos archivos contenían diversas variables que no permitieron una consolidación h"&amp;"omogénea de la información. Resultado de lo anterior, surgió la necesidad de trabajar articuladamente con todas las entidades del sector en la construcción de una base de datos que permitiera identificar y recolectar información de los agentes del ecosist"&amp;"ema cultural y creativo afectados por el COVID-19. Para el efecto, se habilitaron dos (2) formularios en las páginas web de las entidades del sector, el primero dirigido a personas naturales y el segundo dirigido a organizaciones y/o personas jurídicas de"&amp;"l sector artístico, cultural, patrimonial, recreativo o deportivo. Los datos registrados en estos instrumentos de recolección de información han sido procesados por la SCRD, utilizados y entregados a las entidades responsables de seleccionar a los benefic"&amp;"iarios de los programas de apoyo económico dispuestos por el Gobierno nacional y distrital.
 El formulario de personas naturales permitió consolidar 18.684 registros que fueron reportados al Ministerio de Cultura. Esta entidad fue la responsable de depu"&amp;"rar la información y remitir los registros viables para la aplicación de los criterios de selección establecidos en el anexo de la Resolución 630 del 21 de abril de 2020, ""Por la cual se establecen los lineamientos para la implementación del Decreto 561 "&amp;"del 15 de abril de 2020”. Adicionalmente, la sumatoria de la información de los agentes mapeados en el formulario habilitado para personas naturales y aquella obtenida de la plataforma a través de la cual se gestiona el Permiso para Aprovechamiento Económ"&amp;"ico de Artistas en Espacio Público (PAES), permitió consolidar un total de 29.606 registro únicos que fueron enviados al Sistema Bogotá Solidaria en Casa. Posteriormente, la información registrada por las personas naturales se consolidó junto con archivos"&amp;" y registros suministrados por entidades del sector, dando como resultado una base de datos de 47.043 agentes que conforman el ecosistema.Estos registros fueron cargados en el aplicativo dispuesto por la Secretaría Distrital de Planeación (SDP), en donde "&amp;"se realiza el cruce frente a la base maestra del programa de Transferencias Monetarias-Sistema Bogotá Solidaria en Casa. 
 Con el objetivo de consolidar una matriz de información veraz, robusta y homogénea de los agentes del sector artístico, cultural, "&amp;"patrimonial, recreativo y deportivo del distrito capital, que sirva como insumo para el diseño y formulación de estrategias enfocadas en el sector, se contrató el servicio de call center cuyo propósito fue contactar a las personas que hacen parte de la ba"&amp;"se de datos para confirmar, actualizar y/o solicitar información. Una vez terminado el proceso del call center, se revisaron los registros para establecer cuáles pertenecen al sector cultura, recreación y deporte, de tal manera que la base final quede con"&amp;"formada por agentes del ecosistema. Finalmente, la base de datos contiene información de 33 variables, adicional a la aceptación del uso de datos y veracidad de la información, para 9.149 registros de personas naturales.
 • De acuerdo con el sexo de nac"&amp;"imiento, se tienen las siguientes participaciones: Mujer: 36,69%; Hombre: 63,22%; Intersexual: 0,09%.
 • Por grupos etarios, la mayor participación es Adultez con el 62,8%, seguido de Juventud con el 30,1%.
 • El 40,52% de las personas residen en barrios "&amp;"de estrato 3.
 • El 87,12% de las personas cesó su actividad productiva por la pandemia.
 • El 4,86% de las personas manifestó que es beneficiario del programa BEPS.
 Esta base fue enviada el 3 de diciembre de 2020, a la siguiente correo electrónico: ca"&amp;"rrasco@alcaldiabogota.gov.co")</f>
        <v>La Secretaría Distrital de Cultural, Recreación y Deporte (SCRD), reconociendo la magnitud de la situación generada por el COVID-19 y con el objetivo de responder a las múltiples necesidades que han surgido bajo esta coyuntura, está liderando la construcción de una base de datos sectorial que permita contar con información oportuna y veraz, para que los agentes del sector puedan ser caracterizados y, a partir de ahí, accedan a programas sociales, distritales y nacionales. En este sentido, se realizó el ejercicio de recolección de información a partir de registros que reposan tanto en los archivos de la SCRD como en aquellos remitidos por sus entidades adscritas. Ahora bien, estos archivos contenían diversas variables que no permitieron una consolidación homogénea de la información. Resultado de lo anterior, surgió la necesidad de trabajar articuladamente con todas las entidades del sector en la construcción de una base de datos que permitiera identificar y recolectar información de los agentes del ecosistema cultural y creativo afectados por el COVID-19. Para el efecto, se habilitaron dos (2) formularios en las páginas web de las entidades del sector, el primero dirigido a personas naturales y el segundo dirigido a organizaciones y/o personas jurídicas del sector artístico, cultural, patrimonial, recreativo o deportivo. Los datos registrados en estos instrumentos de recolección de información han sido procesados por la SCRD, utilizados y entregados a las entidades responsables de seleccionar a los beneficiarios de los programas de apoyo económico dispuestos por el Gobierno nacional y distrital.
 El formulario de personas naturales permitió consolidar 18.684 registros que fueron reportados al Ministerio de Cultura. Esta entidad fue la responsable de depurar la información y remitir los registros viables para la aplicación de los criterios de selección establecidos en el anexo de la Resolución 630 del 21 de abril de 2020, "Por la cual se establecen los lineamientos para la implementación del Decreto 561 del 15 de abril de 2020”. Adicionalmente, la sumatoria de la información de los agentes mapeados en el formulario habilitado para personas naturales y aquella obtenida de la plataforma a través de la cual se gestiona el Permiso para Aprovechamiento Económico de Artistas en Espacio Público (PAES), permitió consolidar un total de 29.606 registro únicos que fueron enviados al Sistema Bogotá Solidaria en Casa. Posteriormente, la información registrada por las personas naturales se consolidó junto con archivos y registros suministrados por entidades del sector, dando como resultado una base de datos de 47.043 agentes que conforman el ecosistema.Estos registros fueron cargados en el aplicativo dispuesto por la Secretaría Distrital de Planeación (SDP), en donde se realiza el cruce frente a la base maestra del programa de Transferencias Monetarias-Sistema Bogotá Solidaria en Casa. 
 Con el objetivo de consolidar una matriz de información veraz, robusta y homogénea de los agentes del sector artístico, cultural, patrimonial, recreativo y deportivo del distrito capital, que sirva como insumo para el diseño y formulación de estrategias enfocadas en el sector, se contrató el servicio de call center cuyo propósito fue contactar a las personas que hacen parte de la base de datos para confirmar, actualizar y/o solicitar información. Una vez terminado el proceso del call center, se revisaron los registros para establecer cuáles pertenecen al sector cultura, recreación y deporte, de tal manera que la base final quede conformada por agentes del ecosistema. Finalmente, la base de datos contiene información de 33 variables, adicional a la aceptación del uso de datos y veracidad de la información, para 9.149 registros de personas naturales.
 • De acuerdo con el sexo de nacimiento, se tienen las siguientes participaciones: Mujer: 36,69%; Hombre: 63,22%; Intersexual: 0,09%.
 • Por grupos etarios, la mayor participación es Adultez con el 62,8%, seguido de Juventud con el 30,1%.
 • El 40,52% de las personas residen en barrios de estrato 3.
 • El 87,12% de las personas cesó su actividad productiva por la pandemia.
 • El 4,86% de las personas manifestó que es beneficiario del programa BEPS.
 Esta base fue enviada el 3 de diciembre de 2020, a la siguiente correo electrónico: carrasco@alcaldiabogota.gov.co</v>
      </c>
      <c r="N2502" s="55">
        <f ca="1">IFERROR(__xludf.DUMMYFUNCTION("""COMPUTED_VALUE"""),44927)</f>
        <v>44927</v>
      </c>
      <c r="O2502" s="25" t="str">
        <f t="shared" ca="1" si="0"/>
        <v>Secretaría Distrital de Cultura, Recreación y Deporte</v>
      </c>
      <c r="P2502" s="25" t="str">
        <f t="shared" si="2"/>
        <v/>
      </c>
      <c r="Q2502" s="25" t="str">
        <f ca="1">IFERROR(__xludf.DUMMYFUNCTION("""COMPUTED_VALUE"""),"Corto plazo")</f>
        <v>Corto plazo</v>
      </c>
      <c r="R2502" s="25"/>
      <c r="S2502" s="55"/>
      <c r="T2502" s="56"/>
      <c r="U2502" s="25"/>
      <c r="V2502" s="25"/>
      <c r="W2502" s="25"/>
      <c r="X2502" s="25"/>
      <c r="Y2502" s="25"/>
      <c r="Z2502" s="25"/>
    </row>
    <row r="2503" spans="1:26" ht="52.5" customHeight="1" x14ac:dyDescent="0.25">
      <c r="A2503" s="25" t="str">
        <f ca="1">IFERROR(__xludf.DUMMYFUNCTION("""COMPUTED_VALUE"""),"Cultu101")</f>
        <v>Cultu101</v>
      </c>
      <c r="B2503" s="25" t="str">
        <f ca="1">IFERROR(__xludf.DUMMYFUNCTION("""COMPUTED_VALUE"""),"Despachando: Secretaría distrital de cultura, recreación y deporte")</f>
        <v>Despachando: Secretaría distrital de cultura, recreación y deporte</v>
      </c>
      <c r="C2503" s="55">
        <f ca="1">IFERROR(__xludf.DUMMYFUNCTION("""COMPUTED_VALUE"""),44090)</f>
        <v>44090</v>
      </c>
      <c r="D2503" s="25" t="str">
        <f ca="1">IFERROR(__xludf.DUMMYFUNCTION("""COMPUTED_VALUE"""),"Cultura")</f>
        <v>Cultura</v>
      </c>
      <c r="E2503" s="25" t="str">
        <f ca="1">IFERROR(__xludf.DUMMYFUNCTION("""COMPUTED_VALUE"""),"Secretaría Distrital de Cultura, Recreación y Deporte")</f>
        <v>Secretaría Distrital de Cultura, Recreación y Deporte</v>
      </c>
      <c r="F2503" s="25" t="str">
        <f ca="1">IFERROR(__xludf.DUMMYFUNCTION("""COMPUTED_VALUE"""),"Revisar como se puede ayudar a parte de una ayuda económica, en facilitar el espacio público para actividades y talleres de las escuelas de formación artística.")</f>
        <v>Revisar como se puede ayudar a parte de una ayuda económica, en facilitar el espacio público para actividades y talleres de las escuelas de formación artística.</v>
      </c>
      <c r="G2503" s="25" t="str">
        <f ca="1">IFERROR(__xludf.DUMMYFUNCTION("""COMPUTED_VALUE"""),"99. Distrito")</f>
        <v>99. Distrito</v>
      </c>
      <c r="H2503" s="55">
        <f ca="1">IFERROR(__xludf.DUMMYFUNCTION("""COMPUTED_VALUE"""),44120)</f>
        <v>44120</v>
      </c>
      <c r="I2503" s="25"/>
      <c r="J2503" s="55" t="str">
        <f ca="1">IFERROR(__xludf.DUMMYFUNCTION("""COMPUTED_VALUE"""),"Alta")</f>
        <v>Alta</v>
      </c>
      <c r="K2503" s="25">
        <f ca="1">IFERROR(__xludf.DUMMYFUNCTION("""COMPUTED_VALUE"""),30)</f>
        <v>30</v>
      </c>
      <c r="L2503" s="62"/>
      <c r="M2503" s="25" t="str">
        <f ca="1">IFERROR(__xludf.DUMMYFUNCTION("""COMPUTED_VALUE"""),"Con la expedición del Decreto 202 del 11 de septiembre de 2020, ""Por medio del cual se modifica el numeral 2 del literal F) del artículo 3 del Decreto Distrital 193 de 2020 'Por medio del cual se adoptan medidas transitorias de policía para garantizar el"&amp;" orden público en el Distrito Capital y mitigar el impacto social y económico causado por la pandemia de Coronavirus SARS-Cov-2 (COVID-19) en el periodo transitorio de nueva realidad"", en el parágrafo primero, del artículo 1, se le otorgó la competencia "&amp;"a la Secretaría Distrital de Cultura, Recreación y Deporte (SCRD) de establecer los lineamientos necesarios para la reapertura gradual, progresiva y segura de las actividades de formación artística y cultural que no son conducentes a la obtención de un di"&amp;"ploma profesional, ni de un título de licenciado o graduado. En virtud de lo anterior, la SCRD expidió la Resolución 621 del 16 de octubre de 2020, ""Por medio de la cual se adoptan los lineamientos para el manejo y control del riesgo del coronavirus COVI"&amp;"D-19 para la Reapertura Gradual, Progresiva y Segura de las actividades de formación artística, cultural y patrimonial en Bogotá que no son conducentes a la obtención de un diploma profesional ni de un título de licenciado o graduado"". En este documento,"&amp;" se establece que estas actividades se podrán realizar en la franja comprendida entre las 10:00 a.m. y las 4:00 p.m. y/o de las 7:00 p.m. a las 10:00 p.m. de lunes a sábado, con un máximo de ocupación del 25% de su población estudiantil. En este sentido, "&amp;"se da cumplimiento a la realización y desarrollo de estas actividades en los espacios tradicionales.
 Por otro lado, vale la pena resaltar que, dentro de las estrategias de mitigación y reactivación económica del sector cultural y creativo, el Programa "&amp;"Distrital de Estímulos de la Secretaría Distrital de Cultura, Recreación y Deporte ha entregado más de $34.000 millones de pesos en recursos a personas naturales, agrupaciones, colectivos y empresas del sector artístico, cultural y patrimonial. Así mismo,"&amp;" a través del programa “Es Cultura Local” el cual hace parte de la Estrategia de Mitigación y Reactivación Económica Local y tiene como objetivo apoyar, reactivar y fortalecer a las agrupaciones y microempresas del ecosistema cultural y creativo de Bogotá"&amp;" con recursos priorizados por 10 Fondos de Desarrollo Local, se entregarán más de $9.000 millones en estímulos dirigidos a proyectos de creación, producción, comercialización/distribución y circulación/exhibición de bienes y servicios culturales y creativ"&amp;"os. Adicionalmente, se pagarán $120 millones a jurados del campo artístico, cultural y/o patrimonial, y se invertirán más de $600 millones para formación en competencias emprendedoras y empresariales a los proyectos ganadores, iniciando en abril de 2021. "&amp;"Con este programa se beneficiarán 173 microempresas y 93 agrupaciones del campo cultural y creativo, con lo cual se impactará de forma positiva en el bienestar de aproximadamente 1.500 hogares y 4.700 personas.")</f>
        <v>Con la expedición del Decreto 202 del 11 de septiembre de 2020, "Por medio del cual se modifica el numeral 2 del literal F) del artículo 3 del Decreto Distrital 193 de 2020 'Por medio del cual se adoptan medidas transitorias de policía para garantizar el orden público en el Distrito Capital y mitigar el impacto social y económico causado por la pandemia de Coronavirus SARS-Cov-2 (COVID-19) en el periodo transitorio de nueva realidad", en el parágrafo primero, del artículo 1, se le otorgó la competencia a la Secretaría Distrital de Cultura, Recreación y Deporte (SCRD) de establecer los lineamientos necesarios para la reapertura gradual, progresiva y segura de las actividades de formación artística y cultural que no son conducentes a la obtención de un diploma profesional, ni de un título de licenciado o graduado. En virtud de lo anterior, la SCRD expidió la Resolución 621 del 16 de octubre de 2020, "Por medio de la cual se adoptan los lineamientos para el manejo y control del riesgo del coronavirus COVID-19 para la Reapertura Gradual, Progresiva y Segura de las actividades de formación artística, cultural y patrimonial en Bogotá que no son conducentes a la obtención de un diploma profesional ni de un título de licenciado o graduado". En este documento, se establece que estas actividades se podrán realizar en la franja comprendida entre las 10:00 a.m. y las 4:00 p.m. y/o de las 7:00 p.m. a las 10:00 p.m. de lunes a sábado, con un máximo de ocupación del 25% de su población estudiantil. En este sentido, se da cumplimiento a la realización y desarrollo de estas actividades en los espacios tradicionales.
 Por otro lado, vale la pena resaltar que, dentro de las estrategias de mitigación y reactivación económica del sector cultural y creativo, el Programa Distrital de Estímulos de la Secretaría Distrital de Cultura, Recreación y Deporte ha entregado más de $34.000 millones de pesos en recursos a personas naturales, agrupaciones, colectivos y empresas del sector artístico, cultural y patrimonial. Así mismo, a través del programa “Es Cultura Local” el cual hace parte de la Estrategia de Mitigación y Reactivación Económica Local y tiene como objetivo apoyar, reactivar y fortalecer a las agrupaciones y microempresas del ecosistema cultural y creativo de Bogotá con recursos priorizados por 10 Fondos de Desarrollo Local, se entregarán más de $9.000 millones en estímulos dirigidos a proyectos de creación, producción, comercialización/distribución y circulación/exhibición de bienes y servicios culturales y creativos. Adicionalmente, se pagarán $120 millones a jurados del campo artístico, cultural y/o patrimonial, y se invertirán más de $600 millones para formación en competencias emprendedoras y empresariales a los proyectos ganadores, iniciando en abril de 2021. Con este programa se beneficiarán 173 microempresas y 93 agrupaciones del campo cultural y creativo, con lo cual se impactará de forma positiva en el bienestar de aproximadamente 1.500 hogares y 4.700 personas.</v>
      </c>
      <c r="N2503" s="55">
        <f ca="1">IFERROR(__xludf.DUMMYFUNCTION("""COMPUTED_VALUE"""),44927)</f>
        <v>44927</v>
      </c>
      <c r="O2503" s="25" t="str">
        <f t="shared" ca="1" si="0"/>
        <v>Secretaría Distrital de Cultura, Recreación y Deporte</v>
      </c>
      <c r="P2503" s="25" t="str">
        <f t="shared" si="2"/>
        <v/>
      </c>
      <c r="Q2503" s="25" t="str">
        <f ca="1">IFERROR(__xludf.DUMMYFUNCTION("""COMPUTED_VALUE"""),"Corto plazo")</f>
        <v>Corto plazo</v>
      </c>
      <c r="R2503" s="25"/>
      <c r="S2503" s="55"/>
      <c r="T2503" s="56"/>
      <c r="U2503" s="25"/>
      <c r="V2503" s="25"/>
      <c r="W2503" s="25"/>
      <c r="X2503" s="25"/>
      <c r="Y2503" s="25"/>
      <c r="Z2503" s="25"/>
    </row>
    <row r="2504" spans="1:26" ht="52.5" customHeight="1" x14ac:dyDescent="0.25">
      <c r="A2504" s="25" t="str">
        <f ca="1">IFERROR(__xludf.DUMMYFUNCTION("""COMPUTED_VALUE"""),"Cultu102")</f>
        <v>Cultu102</v>
      </c>
      <c r="B2504" s="25" t="str">
        <f ca="1">IFERROR(__xludf.DUMMYFUNCTION("""COMPUTED_VALUE"""),"Despachando: Secretaría distrital de cultura, recreación y deporte")</f>
        <v>Despachando: Secretaría distrital de cultura, recreación y deporte</v>
      </c>
      <c r="C2504" s="55">
        <f ca="1">IFERROR(__xludf.DUMMYFUNCTION("""COMPUTED_VALUE"""),44090)</f>
        <v>44090</v>
      </c>
      <c r="D2504" s="25" t="str">
        <f ca="1">IFERROR(__xludf.DUMMYFUNCTION("""COMPUTED_VALUE"""),"Cultura")</f>
        <v>Cultura</v>
      </c>
      <c r="E2504" s="25" t="str">
        <f ca="1">IFERROR(__xludf.DUMMYFUNCTION("""COMPUTED_VALUE"""),"Secretaría Distrital de Cultura, Recreación y Deporte")</f>
        <v>Secretaría Distrital de Cultura, Recreación y Deporte</v>
      </c>
      <c r="F2504" s="25" t="str">
        <f ca="1">IFERROR(__xludf.DUMMYFUNCTION("""COMPUTED_VALUE"""),"Diseñar una estrategia para que los recursos de decoración en navidad sean utilizados apoyando a los gestores y artistas, involucrándose en las actividades de diciembre.")</f>
        <v>Diseñar una estrategia para que los recursos de decoración en navidad sean utilizados apoyando a los gestores y artistas, involucrándose en las actividades de diciembre.</v>
      </c>
      <c r="G2504" s="25" t="str">
        <f ca="1">IFERROR(__xludf.DUMMYFUNCTION("""COMPUTED_VALUE"""),"99. Distrito")</f>
        <v>99. Distrito</v>
      </c>
      <c r="H2504" s="55">
        <f ca="1">IFERROR(__xludf.DUMMYFUNCTION("""COMPUTED_VALUE"""),44120)</f>
        <v>44120</v>
      </c>
      <c r="I2504" s="25"/>
      <c r="J2504" s="55" t="str">
        <f ca="1">IFERROR(__xludf.DUMMYFUNCTION("""COMPUTED_VALUE"""),"Alta")</f>
        <v>Alta</v>
      </c>
      <c r="K2504" s="25">
        <f ca="1">IFERROR(__xludf.DUMMYFUNCTION("""COMPUTED_VALUE"""),30)</f>
        <v>30</v>
      </c>
      <c r="L2504" s="62"/>
      <c r="M2504" s="25" t="str">
        <f ca="1">IFERROR(__xludf.DUMMYFUNCTION("""COMPUTED_VALUE"""),"Se adjudicaron dos convocatorias de navidad a 130 proyectos participantes por un valor de $1.269 millones de pesos")</f>
        <v>Se adjudicaron dos convocatorias de navidad a 130 proyectos participantes por un valor de $1.269 millones de pesos</v>
      </c>
      <c r="N2504" s="55">
        <f ca="1">IFERROR(__xludf.DUMMYFUNCTION("""COMPUTED_VALUE"""),44927)</f>
        <v>44927</v>
      </c>
      <c r="O2504" s="25" t="str">
        <f t="shared" ca="1" si="0"/>
        <v>Secretaría Distrital de Cultura, Recreación y Deporte</v>
      </c>
      <c r="P2504" s="25" t="str">
        <f t="shared" si="2"/>
        <v/>
      </c>
      <c r="Q2504" s="25" t="str">
        <f ca="1">IFERROR(__xludf.DUMMYFUNCTION("""COMPUTED_VALUE"""),"Corto plazo")</f>
        <v>Corto plazo</v>
      </c>
      <c r="R2504" s="25"/>
      <c r="S2504" s="55"/>
      <c r="T2504" s="56"/>
      <c r="U2504" s="25"/>
      <c r="V2504" s="25"/>
      <c r="W2504" s="25"/>
      <c r="X2504" s="25"/>
      <c r="Y2504" s="25"/>
      <c r="Z2504" s="25"/>
    </row>
    <row r="2505" spans="1:26" ht="52.5" customHeight="1" x14ac:dyDescent="0.25">
      <c r="A2505" s="25" t="str">
        <f ca="1">IFERROR(__xludf.DUMMYFUNCTION("""COMPUTED_VALUE"""),"Cultu103")</f>
        <v>Cultu103</v>
      </c>
      <c r="B2505" s="25" t="str">
        <f ca="1">IFERROR(__xludf.DUMMYFUNCTION("""COMPUTED_VALUE"""),"Bici Recorrido Cra 7")</f>
        <v>Bici Recorrido Cra 7</v>
      </c>
      <c r="C2505" s="55">
        <f ca="1">IFERROR(__xludf.DUMMYFUNCTION("""COMPUTED_VALUE"""),44079)</f>
        <v>44079</v>
      </c>
      <c r="D2505" s="25" t="str">
        <f ca="1">IFERROR(__xludf.DUMMYFUNCTION("""COMPUTED_VALUE"""),"Cultura")</f>
        <v>Cultura</v>
      </c>
      <c r="E2505" s="25" t="str">
        <f ca="1">IFERROR(__xludf.DUMMYFUNCTION("""COMPUTED_VALUE"""),"Instituto Distrital de Recreación y Deporte")</f>
        <v>Instituto Distrital de Recreación y Deporte</v>
      </c>
      <c r="F2505" s="25" t="str">
        <f ca="1">IFERROR(__xludf.DUMMYFUNCTION("""COMPUTED_VALUE"""),"Implementar estrategia Al Trabajo en Bici, ubicando puntos de Escuela de la Bici, empezando con el Parque de los Hippies")</f>
        <v>Implementar estrategia Al Trabajo en Bici, ubicando puntos de Escuela de la Bici, empezando con el Parque de los Hippies</v>
      </c>
      <c r="G2505" s="55" t="str">
        <f ca="1">IFERROR(__xludf.DUMMYFUNCTION("""COMPUTED_VALUE"""),"02. Chapinero")</f>
        <v>02. Chapinero</v>
      </c>
      <c r="H2505" s="55">
        <f ca="1">IFERROR(__xludf.DUMMYFUNCTION("""COMPUTED_VALUE"""),44109)</f>
        <v>44109</v>
      </c>
      <c r="I2505" s="25"/>
      <c r="J2505" s="55" t="str">
        <f ca="1">IFERROR(__xludf.DUMMYFUNCTION("""COMPUTED_VALUE"""),"Alta")</f>
        <v>Alta</v>
      </c>
      <c r="K2505" s="25">
        <f ca="1">IFERROR(__xludf.DUMMYFUNCTION("""COMPUTED_VALUE"""),30)</f>
        <v>30</v>
      </c>
      <c r="L2505" s="62">
        <f ca="1">IFERROR(__xludf.DUMMYFUNCTION("""COMPUTED_VALUE"""),44362)</f>
        <v>44362</v>
      </c>
      <c r="M2505" s="25" t="str">
        <f ca="1">IFERROR(__xludf.DUMMYFUNCTION("""COMPUTED_VALUE"""),"La estrategia de Al Trabajo en Bici ya se está desarrollando por la calle 63 desde la carrera 112 hasta la carrera 30 y se amplió su funcionalidad desde la calle 134 a la calle 26 por la carrera 7ma, teniendo puntos de Escuela de la Bici en el parque de l"&amp;"os hippies y en el parque nacional")</f>
        <v>La estrategia de Al Trabajo en Bici ya se está desarrollando por la calle 63 desde la carrera 112 hasta la carrera 30 y se amplió su funcionalidad desde la calle 134 a la calle 26 por la carrera 7ma, teniendo puntos de Escuela de la Bici en el parque de los hippies y en el parque nacional</v>
      </c>
      <c r="N2505" s="55">
        <f ca="1">IFERROR(__xludf.DUMMYFUNCTION("""COMPUTED_VALUE"""),44362)</f>
        <v>44362</v>
      </c>
      <c r="O2505" s="25" t="str">
        <f t="shared" ca="1" si="0"/>
        <v>Instituto Distrital de Recreación y Deporte</v>
      </c>
      <c r="P2505" s="25" t="str">
        <f t="shared" si="2"/>
        <v/>
      </c>
      <c r="Q2505" s="25" t="str">
        <f ca="1">IFERROR(__xludf.DUMMYFUNCTION("""COMPUTED_VALUE"""),"Corto plazo")</f>
        <v>Corto plazo</v>
      </c>
      <c r="R2505" s="25"/>
      <c r="S2505" s="55"/>
      <c r="T2505" s="56"/>
      <c r="U2505" s="25"/>
      <c r="V2505" s="25"/>
      <c r="W2505" s="25"/>
      <c r="X2505" s="25"/>
      <c r="Y2505" s="25"/>
      <c r="Z2505" s="25"/>
    </row>
    <row r="2506" spans="1:26" ht="52.5" customHeight="1" x14ac:dyDescent="0.25">
      <c r="A2506" s="25" t="str">
        <f ca="1">IFERROR(__xludf.DUMMYFUNCTION("""COMPUTED_VALUE"""),"Cultu104")</f>
        <v>Cultu104</v>
      </c>
      <c r="B2506" s="25" t="str">
        <f ca="1">IFERROR(__xludf.DUMMYFUNCTION("""COMPUTED_VALUE"""),"Consejo consultivo de niñas, niños y adolescentes")</f>
        <v>Consejo consultivo de niñas, niños y adolescentes</v>
      </c>
      <c r="C2506" s="55">
        <f ca="1">IFERROR(__xludf.DUMMYFUNCTION("""COMPUTED_VALUE"""),44672)</f>
        <v>44672</v>
      </c>
      <c r="D2506" s="25" t="str">
        <f ca="1">IFERROR(__xludf.DUMMYFUNCTION("""COMPUTED_VALUE"""),"Cultura")</f>
        <v>Cultura</v>
      </c>
      <c r="E2506" s="25" t="str">
        <f ca="1">IFERROR(__xludf.DUMMYFUNCTION("""COMPUTED_VALUE"""),"Instituto Distrital de Recreación y Deporte")</f>
        <v>Instituto Distrital de Recreación y Deporte</v>
      </c>
      <c r="F2506" s="25" t="str">
        <f ca="1">IFERROR(__xludf.DUMMYFUNCTION("""COMPUTED_VALUE"""),"Crear una estrategia de horarios o de uso exclusivo de parques (por el tema de seguridad para los niños y niñas)")</f>
        <v>Crear una estrategia de horarios o de uso exclusivo de parques (por el tema de seguridad para los niños y niñas)</v>
      </c>
      <c r="G2506" s="25" t="str">
        <f ca="1">IFERROR(__xludf.DUMMYFUNCTION("""COMPUTED_VALUE"""),"99. Distrito")</f>
        <v>99. Distrito</v>
      </c>
      <c r="H2506" s="55">
        <f ca="1">IFERROR(__xludf.DUMMYFUNCTION("""COMPUTED_VALUE"""),44702)</f>
        <v>44702</v>
      </c>
      <c r="I2506" s="25"/>
      <c r="J2506" s="55" t="str">
        <f ca="1">IFERROR(__xludf.DUMMYFUNCTION("""COMPUTED_VALUE"""),"Alta")</f>
        <v>Alta</v>
      </c>
      <c r="K2506" s="25">
        <f ca="1">IFERROR(__xludf.DUMMYFUNCTION("""COMPUTED_VALUE"""),30)</f>
        <v>30</v>
      </c>
      <c r="L2506" s="62">
        <f ca="1">IFERROR(__xludf.DUMMYFUNCTION("""COMPUTED_VALUE"""),44895)</f>
        <v>44895</v>
      </c>
      <c r="M2506" s="25" t="str">
        <f ca="1">IFERROR(__xludf.DUMMYFUNCTION("""COMPUTED_VALUE"""),"La viabilidad de este requerimiento es muy baja teniendo presente que es requisito que los niños menores de edad deben permanecer al cuidado y acompañados por un adulto responsable en los escenarios públicos, haciendo énfasis que en existen algunos espaci"&amp;"os como los parques infantiles, la hora feliz o las vacaciones recreativas en donde se permite el ingreso de los niños o niñas exclusivamente, quedado bajo la supervisión del personal encargado del IDRD. Es de resaltar, que en la hora feliz, cuyos horario"&amp;"s son de 7:00 am a 9:00 am y de 2:00 pm a 4:00 pm, en escenarios que han sido priorizados por el IDRD y en los cuales se hace actividad recreativa enfocada a la formación ciudadana de niños, niñas con sus acompañantes, cuidadores (as), familias o responsa"&amp;"bles de los mismos. Programacion puede consultarse en www.idrd.gov.co -  Link: https://www.idrd.gov.co/recreacion/clases-grupales")</f>
        <v>La viabilidad de este requerimiento es muy baja teniendo presente que es requisito que los niños menores de edad deben permanecer al cuidado y acompañados por un adulto responsable en los escenarios públicos, haciendo énfasis que en existen algunos espacios como los parques infantiles, la hora feliz o las vacaciones recreativas en donde se permite el ingreso de los niños o niñas exclusivamente, quedado bajo la supervisión del personal encargado del IDRD. Es de resaltar, que en la hora feliz, cuyos horarios son de 7:00 am a 9:00 am y de 2:00 pm a 4:00 pm, en escenarios que han sido priorizados por el IDRD y en los cuales se hace actividad recreativa enfocada a la formación ciudadana de niños, niñas con sus acompañantes, cuidadores (as), familias o responsables de los mismos. Programacion puede consultarse en www.idrd.gov.co -  Link: https://www.idrd.gov.co/recreacion/clases-grupales</v>
      </c>
      <c r="N2506" s="55">
        <f ca="1">IFERROR(__xludf.DUMMYFUNCTION("""COMPUTED_VALUE"""),44895)</f>
        <v>44895</v>
      </c>
      <c r="O2506" s="25" t="str">
        <f t="shared" ca="1" si="0"/>
        <v>Instituto Distrital de Recreación y Deporte</v>
      </c>
      <c r="P2506" s="25" t="str">
        <f t="shared" si="2"/>
        <v/>
      </c>
      <c r="Q2506" s="25" t="str">
        <f ca="1">IFERROR(__xludf.DUMMYFUNCTION("""COMPUTED_VALUE"""),"Corto plazo")</f>
        <v>Corto plazo</v>
      </c>
      <c r="R2506" s="25"/>
      <c r="S2506" s="55"/>
      <c r="T2506" s="56"/>
      <c r="U2506" s="25"/>
      <c r="V2506" s="25"/>
      <c r="W2506" s="25"/>
      <c r="X2506" s="25"/>
      <c r="Y2506" s="25"/>
      <c r="Z2506" s="25"/>
    </row>
    <row r="2507" spans="1:26" ht="52.5" customHeight="1" x14ac:dyDescent="0.25">
      <c r="A2507" s="25" t="str">
        <f ca="1">IFERROR(__xludf.DUMMYFUNCTION("""COMPUTED_VALUE"""),"Cultu105")</f>
        <v>Cultu105</v>
      </c>
      <c r="B2507" s="25" t="str">
        <f ca="1">IFERROR(__xludf.DUMMYFUNCTION("""COMPUTED_VALUE"""),"Consejo consultivo de niñas, niños y adolescentes")</f>
        <v>Consejo consultivo de niñas, niños y adolescentes</v>
      </c>
      <c r="C2507" s="55">
        <f ca="1">IFERROR(__xludf.DUMMYFUNCTION("""COMPUTED_VALUE"""),44672)</f>
        <v>44672</v>
      </c>
      <c r="D2507" s="25" t="str">
        <f ca="1">IFERROR(__xludf.DUMMYFUNCTION("""COMPUTED_VALUE"""),"Cultura")</f>
        <v>Cultura</v>
      </c>
      <c r="E2507" s="25" t="str">
        <f ca="1">IFERROR(__xludf.DUMMYFUNCTION("""COMPUTED_VALUE"""),"Secretaría Distrital de Cultura, Recreación y Deporte")</f>
        <v>Secretaría Distrital de Cultura, Recreación y Deporte</v>
      </c>
      <c r="F2507" s="25" t="str">
        <f ca="1">IFERROR(__xludf.DUMMYFUNCTION("""COMPUTED_VALUE"""),"Incorporar una campaña para el Consejo Consultivo de Niñas, Niños y Adolescentes dentro de las campañas de cultura ciudadana. Esta campaña en el marco de prevención de violencias, de situaciones alrededor de los parques. Preparar una propuesta, formular l"&amp;"os mensajes y hacer focus group con el Consejo Consultivo de Niñas, Niños y Adolescentes. ")</f>
        <v xml:space="preserve">Incorporar una campaña para el Consejo Consultivo de Niñas, Niños y Adolescentes dentro de las campañas de cultura ciudadana. Esta campaña en el marco de prevención de violencias, de situaciones alrededor de los parques. Preparar una propuesta, formular los mensajes y hacer focus group con el Consejo Consultivo de Niñas, Niños y Adolescentes. </v>
      </c>
      <c r="G2507" s="25" t="str">
        <f ca="1">IFERROR(__xludf.DUMMYFUNCTION("""COMPUTED_VALUE"""),"99. Distrito")</f>
        <v>99. Distrito</v>
      </c>
      <c r="H2507" s="55">
        <f ca="1">IFERROR(__xludf.DUMMYFUNCTION("""COMPUTED_VALUE"""),44702)</f>
        <v>44702</v>
      </c>
      <c r="I2507" s="25"/>
      <c r="J2507" s="55" t="str">
        <f ca="1">IFERROR(__xludf.DUMMYFUNCTION("""COMPUTED_VALUE"""),"Alta")</f>
        <v>Alta</v>
      </c>
      <c r="K2507" s="25">
        <f ca="1">IFERROR(__xludf.DUMMYFUNCTION("""COMPUTED_VALUE"""),30)</f>
        <v>30</v>
      </c>
      <c r="L2507" s="62">
        <f ca="1">IFERROR(__xludf.DUMMYFUNCTION("""COMPUTED_VALUE"""),44906)</f>
        <v>44906</v>
      </c>
      <c r="M2507" s="25" t="str">
        <f ca="1">IFERROR(__xludf.DUMMYFUNCTION("""COMPUTED_VALUE"""),"La Secretaría de Cultura, Recreación y Deporte, a través de la Secretaria de Despacho, viene participando como miembro del Consejo Consultivo Distrital de Niños, Niñas y Adolescentes, y en el cual la Secretaría ha asumido el compromiso con la Alcaldesa.  "&amp;"La gestión del compromiso del sector está a cargo de la Subsecretaría de Cultura Ciudadana. Las acciones son: 1. Niños  niñas consultores en el diseño de un laboratorio de ciudad, en el marco de un contrato en perfeccionamiento entre Maloka y el IDU, la C"&amp;"iudad Interactiva, una sala  nueva en Maloka. 2. Apoyar la difusión de las iniciativas de cultura ciudadana desarrolladas por los niños, niñas y adolescentes de las 20 localidades.")</f>
        <v>La Secretaría de Cultura, Recreación y Deporte, a través de la Secretaria de Despacho, viene participando como miembro del Consejo Consultivo Distrital de Niños, Niñas y Adolescentes, y en el cual la Secretaría ha asumido el compromiso con la Alcaldesa.  La gestión del compromiso del sector está a cargo de la Subsecretaría de Cultura Ciudadana. Las acciones son: 1. Niños  niñas consultores en el diseño de un laboratorio de ciudad, en el marco de un contrato en perfeccionamiento entre Maloka y el IDU, la Ciudad Interactiva, una sala  nueva en Maloka. 2. Apoyar la difusión de las iniciativas de cultura ciudadana desarrolladas por los niños, niñas y adolescentes de las 20 localidades.</v>
      </c>
      <c r="N2507" s="55">
        <f ca="1">IFERROR(__xludf.DUMMYFUNCTION("""COMPUTED_VALUE"""),44906)</f>
        <v>44906</v>
      </c>
      <c r="O2507" s="25" t="str">
        <f t="shared" ca="1" si="0"/>
        <v>Secretaría Distrital de Cultura, Recreación y Deporte</v>
      </c>
      <c r="P2507" s="25" t="str">
        <f t="shared" si="2"/>
        <v/>
      </c>
      <c r="Q2507" s="25" t="str">
        <f ca="1">IFERROR(__xludf.DUMMYFUNCTION("""COMPUTED_VALUE"""),"Corto plazo")</f>
        <v>Corto plazo</v>
      </c>
      <c r="R2507" s="25"/>
      <c r="S2507" s="55"/>
      <c r="T2507" s="56"/>
      <c r="U2507" s="25"/>
      <c r="V2507" s="25"/>
      <c r="W2507" s="25"/>
      <c r="X2507" s="25"/>
      <c r="Y2507" s="25"/>
      <c r="Z2507" s="25"/>
    </row>
    <row r="2508" spans="1:26" ht="52.5" customHeight="1" x14ac:dyDescent="0.25">
      <c r="A2508" s="25" t="str">
        <f ca="1">IFERROR(__xludf.DUMMYFUNCTION("""COMPUTED_VALUE"""),"Cultu106")</f>
        <v>Cultu106</v>
      </c>
      <c r="B2508" s="25" t="str">
        <f ca="1">IFERROR(__xludf.DUMMYFUNCTION("""COMPUTED_VALUE"""),"Reunión Juegos parapanamericanos IDRD, MinDeporte")</f>
        <v>Reunión Juegos parapanamericanos IDRD, MinDeporte</v>
      </c>
      <c r="C2508" s="55">
        <f ca="1">IFERROR(__xludf.DUMMYFUNCTION("""COMPUTED_VALUE"""),44586)</f>
        <v>44586</v>
      </c>
      <c r="D2508" s="25" t="str">
        <f ca="1">IFERROR(__xludf.DUMMYFUNCTION("""COMPUTED_VALUE"""),"Cultura")</f>
        <v>Cultura</v>
      </c>
      <c r="E2508" s="25" t="str">
        <f ca="1">IFERROR(__xludf.DUMMYFUNCTION("""COMPUTED_VALUE"""),"Instituto Distrital de Recreación y Deporte")</f>
        <v>Instituto Distrital de Recreación y Deporte</v>
      </c>
      <c r="F2508" s="25" t="str">
        <f ca="1">IFERROR(__xludf.DUMMYFUNCTION("""COMPUTED_VALUE"""),"Divulgación y comunicaciones. Poner el tema en la mesa de comunicaciones y mercadeo. Buscar estrategias para que los estadios y lugares estén llenos siempre ")</f>
        <v xml:space="preserve">Divulgación y comunicaciones. Poner el tema en la mesa de comunicaciones y mercadeo. Buscar estrategias para que los estadios y lugares estén llenos siempre </v>
      </c>
      <c r="G2508" s="25" t="str">
        <f ca="1">IFERROR(__xludf.DUMMYFUNCTION("""COMPUTED_VALUE"""),"99. Distrito")</f>
        <v>99. Distrito</v>
      </c>
      <c r="H2508" s="55">
        <f ca="1">IFERROR(__xludf.DUMMYFUNCTION("""COMPUTED_VALUE"""),44616)</f>
        <v>44616</v>
      </c>
      <c r="I2508" s="25"/>
      <c r="J2508" s="55" t="str">
        <f ca="1">IFERROR(__xludf.DUMMYFUNCTION("""COMPUTED_VALUE"""),"Alta")</f>
        <v>Alta</v>
      </c>
      <c r="K2508" s="25">
        <f ca="1">IFERROR(__xludf.DUMMYFUNCTION("""COMPUTED_VALUE"""),30)</f>
        <v>30</v>
      </c>
      <c r="L2508" s="62">
        <f ca="1">IFERROR(__xludf.DUMMYFUNCTION("""COMPUTED_VALUE"""),44810)</f>
        <v>44810</v>
      </c>
      <c r="M2508" s="25" t="str">
        <f ca="1">IFERROR(__xludf.DUMMYFUNCTION("""COMPUTED_VALUE"""),"Con el apoyo del Instituto Distrital de Recreación y Deporte - IDRD se gestionó y aprobó el manual de identidad de los V Juegos Parapanamericanos Juveniles. El 3 de febrero se presentaron los juegos en mesa de mercadeo ciudad. No obstante con nueva fecha "&amp;"es necesario volver a presentar en este espacio. El 1 de septiembre el equipo de juegos presentará al IDRD y a Mindeportes el plan de comercialización de los juegos, lo que permitirá entender qué sinergias y apoyos es necesario organizar para la gestión y"&amp;" consecución de patrocinadores y apoyo de empresa privada. Una vez culmine esta reunión, se reactivará Invest In Bogotá, Cámara de Comercio y Procolombia, así como la socialización correspondiente en la DRI.")</f>
        <v>Con el apoyo del Instituto Distrital de Recreación y Deporte - IDRD se gestionó y aprobó el manual de identidad de los V Juegos Parapanamericanos Juveniles. El 3 de febrero se presentaron los juegos en mesa de mercadeo ciudad. No obstante con nueva fecha es necesario volver a presentar en este espacio. El 1 de septiembre el equipo de juegos presentará al IDRD y a Mindeportes el plan de comercialización de los juegos, lo que permitirá entender qué sinergias y apoyos es necesario organizar para la gestión y consecución de patrocinadores y apoyo de empresa privada. Una vez culmine esta reunión, se reactivará Invest In Bogotá, Cámara de Comercio y Procolombia, así como la socialización correspondiente en la DRI.</v>
      </c>
      <c r="N2508" s="55">
        <f ca="1">IFERROR(__xludf.DUMMYFUNCTION("""COMPUTED_VALUE"""),44810)</f>
        <v>44810</v>
      </c>
      <c r="O2508" s="25" t="str">
        <f t="shared" ca="1" si="0"/>
        <v>Instituto Distrital de Recreación y Deporte</v>
      </c>
      <c r="P2508" s="25" t="str">
        <f t="shared" si="2"/>
        <v/>
      </c>
      <c r="Q2508" s="25" t="str">
        <f ca="1">IFERROR(__xludf.DUMMYFUNCTION("""COMPUTED_VALUE"""),"Corto plazo")</f>
        <v>Corto plazo</v>
      </c>
      <c r="R2508" s="25"/>
      <c r="S2508" s="55"/>
      <c r="T2508" s="56"/>
      <c r="U2508" s="25"/>
      <c r="V2508" s="25"/>
      <c r="W2508" s="25"/>
      <c r="X2508" s="25"/>
      <c r="Y2508" s="25"/>
      <c r="Z2508" s="25"/>
    </row>
    <row r="2509" spans="1:26" ht="52.5" customHeight="1" x14ac:dyDescent="0.25">
      <c r="A2509" s="25" t="str">
        <f ca="1">IFERROR(__xludf.DUMMYFUNCTION("""COMPUTED_VALUE"""),"Cultu107")</f>
        <v>Cultu107</v>
      </c>
      <c r="B2509" s="25" t="str">
        <f ca="1">IFERROR(__xludf.DUMMYFUNCTION("""COMPUTED_VALUE"""),"Corredor Verde y Valorización")</f>
        <v>Corredor Verde y Valorización</v>
      </c>
      <c r="C2509" s="55">
        <f ca="1">IFERROR(__xludf.DUMMYFUNCTION("""COMPUTED_VALUE"""),44687)</f>
        <v>44687</v>
      </c>
      <c r="D2509" s="25" t="str">
        <f ca="1">IFERROR(__xludf.DUMMYFUNCTION("""COMPUTED_VALUE"""),"Cultura")</f>
        <v>Cultura</v>
      </c>
      <c r="E2509" s="25" t="str">
        <f ca="1">IFERROR(__xludf.DUMMYFUNCTION("""COMPUTED_VALUE"""),"Instituto Distrital de Recreación y Deporte")</f>
        <v>Instituto Distrital de Recreación y Deporte</v>
      </c>
      <c r="F2509" s="25" t="str">
        <f ca="1">IFERROR(__xludf.DUMMYFUNCTION("""COMPUTED_VALUE"""),"Parque Bosa Nova:
IDRD emitir concepto sobre el parque con copia al IDU y DADEP. Con esto el DADEP incorporaal inventario
")</f>
        <v xml:space="preserve">Parque Bosa Nova:
IDRD emitir concepto sobre el parque con copia al IDU y DADEP. Con esto el DADEP incorporaal inventario
</v>
      </c>
      <c r="G2509" s="25" t="str">
        <f ca="1">IFERROR(__xludf.DUMMYFUNCTION("""COMPUTED_VALUE"""),"07. Bosa")</f>
        <v>07. Bosa</v>
      </c>
      <c r="H2509" s="55">
        <f ca="1">IFERROR(__xludf.DUMMYFUNCTION("""COMPUTED_VALUE"""),44717)</f>
        <v>44717</v>
      </c>
      <c r="I2509" s="25"/>
      <c r="J2509" s="55" t="str">
        <f ca="1">IFERROR(__xludf.DUMMYFUNCTION("""COMPUTED_VALUE"""),"Alta")</f>
        <v>Alta</v>
      </c>
      <c r="K2509" s="25">
        <f ca="1">IFERROR(__xludf.DUMMYFUNCTION("""COMPUTED_VALUE"""),30)</f>
        <v>30</v>
      </c>
      <c r="L2509" s="62">
        <f ca="1">IFERROR(__xludf.DUMMYFUNCTION("""COMPUTED_VALUE"""),44895)</f>
        <v>44895</v>
      </c>
      <c r="M2509" s="25" t="str">
        <f ca="1">IFERROR(__xludf.DUMMYFUNCTION("""COMPUTED_VALUE"""),"El parque fue recibido materialmente por el DADEP, IDRD y Alcaldía Local Mediante acta 035 del 30/08/2022 ACTA DE RECIBO ESPACIO PÚBLICO GENERADO POR OBRA PUBLICA (COMPENSACIÓN POR ENDURECIMIENTO DE ZONAS VERDES Y ESPACIO PÚBLICO). 
FIRMADA POR:
-  IDU: "&amp;"ILEANA INDIRA ECHAVARRIA LOPEZ- DIRECTORA TÉCNICA DE PREDIOS (E) / JAIME AUGUSTO BERMUDEZ DIAZ - SUBDIRECTOR TECNICO DE EJECUCIÓN DEL SUBSISTEMA VIAL. 
- IDRD: ANDERSON MELO PARRA - SUBDIRECTOR TECNICO DE CONSTRUCCIONES.
- ALCALDÍA LOCAL DE BOSA: LIZETH J"&amp;"AHIRA GONZALEZ VARGAS.
- DADEP: ANGELA ROCIO DIAZ PINZON - SUBDIRECTORA DE REGISTRO INMOBILIARIO. ")</f>
        <v xml:space="preserve">El parque fue recibido materialmente por el DADEP, IDRD y Alcaldía Local Mediante acta 035 del 30/08/2022 ACTA DE RECIBO ESPACIO PÚBLICO GENERADO POR OBRA PUBLICA (COMPENSACIÓN POR ENDURECIMIENTO DE ZONAS VERDES Y ESPACIO PÚBLICO). 
FIRMADA POR:
-  IDU: ILEANA INDIRA ECHAVARRIA LOPEZ- DIRECTORA TÉCNICA DE PREDIOS (E) / JAIME AUGUSTO BERMUDEZ DIAZ - SUBDIRECTOR TECNICO DE EJECUCIÓN DEL SUBSISTEMA VIAL. 
- IDRD: ANDERSON MELO PARRA - SUBDIRECTOR TECNICO DE CONSTRUCCIONES.
- ALCALDÍA LOCAL DE BOSA: LIZETH JAHIRA GONZALEZ VARGAS.
- DADEP: ANGELA ROCIO DIAZ PINZON - SUBDIRECTORA DE REGISTRO INMOBILIARIO. </v>
      </c>
      <c r="N2509" s="55">
        <f ca="1">IFERROR(__xludf.DUMMYFUNCTION("""COMPUTED_VALUE"""),44895)</f>
        <v>44895</v>
      </c>
      <c r="O2509" s="25" t="str">
        <f t="shared" ca="1" si="0"/>
        <v>Instituto Distrital de Recreación y Deporte</v>
      </c>
      <c r="P2509" s="25" t="str">
        <f t="shared" si="2"/>
        <v/>
      </c>
      <c r="Q2509" s="25" t="str">
        <f ca="1">IFERROR(__xludf.DUMMYFUNCTION("""COMPUTED_VALUE"""),"Corto plazo")</f>
        <v>Corto plazo</v>
      </c>
      <c r="R2509" s="25"/>
      <c r="S2509" s="55"/>
      <c r="T2509" s="56"/>
      <c r="U2509" s="25"/>
      <c r="V2509" s="25"/>
      <c r="W2509" s="25"/>
      <c r="X2509" s="25"/>
      <c r="Y2509" s="25"/>
      <c r="Z2509" s="25"/>
    </row>
    <row r="2510" spans="1:26" ht="52.5" customHeight="1" x14ac:dyDescent="0.25">
      <c r="A2510" s="25" t="str">
        <f ca="1">IFERROR(__xludf.DUMMYFUNCTION("""COMPUTED_VALUE"""),"Cultu108")</f>
        <v>Cultu108</v>
      </c>
      <c r="B2510" s="25" t="str">
        <f ca="1">IFERROR(__xludf.DUMMYFUNCTION("""COMPUTED_VALUE"""),"Revisión cesiones y legalizaciones barrios")</f>
        <v>Revisión cesiones y legalizaciones barrios</v>
      </c>
      <c r="C2510" s="55">
        <f ca="1">IFERROR(__xludf.DUMMYFUNCTION("""COMPUTED_VALUE"""),44697)</f>
        <v>44697</v>
      </c>
      <c r="D2510" s="25" t="str">
        <f ca="1">IFERROR(__xludf.DUMMYFUNCTION("""COMPUTED_VALUE"""),"Cultura")</f>
        <v>Cultura</v>
      </c>
      <c r="E2510" s="25" t="str">
        <f ca="1">IFERROR(__xludf.DUMMYFUNCTION("""COMPUTED_VALUE"""),"Instituto Distrital de Recreación y Deporte")</f>
        <v>Instituto Distrital de Recreación y Deporte</v>
      </c>
      <c r="F2510" s="25" t="str">
        <f ca="1">IFERROR(__xludf.DUMMYFUNCTION("""COMPUTED_VALUE"""),"Incluir en el presupuesto de 2023 la intervención del parque Recodo Fontibón")</f>
        <v>Incluir en el presupuesto de 2023 la intervención del parque Recodo Fontibón</v>
      </c>
      <c r="G2510" s="25" t="str">
        <f ca="1">IFERROR(__xludf.DUMMYFUNCTION("""COMPUTED_VALUE"""),"09. Fontibón")</f>
        <v>09. Fontibón</v>
      </c>
      <c r="H2510" s="55">
        <f ca="1">IFERROR(__xludf.DUMMYFUNCTION("""COMPUTED_VALUE"""),44727)</f>
        <v>44727</v>
      </c>
      <c r="I2510" s="25"/>
      <c r="J2510" s="55" t="str">
        <f ca="1">IFERROR(__xludf.DUMMYFUNCTION("""COMPUTED_VALUE"""),"Alta")</f>
        <v>Alta</v>
      </c>
      <c r="K2510" s="25">
        <f ca="1">IFERROR(__xludf.DUMMYFUNCTION("""COMPUTED_VALUE"""),30)</f>
        <v>30</v>
      </c>
      <c r="L2510" s="62">
        <f ca="1">IFERROR(__xludf.DUMMYFUNCTION("""COMPUTED_VALUE"""),44895)</f>
        <v>44895</v>
      </c>
      <c r="M2510" s="25" t="str">
        <f ca="1">IFERROR(__xludf.DUMMYFUNCTION("""COMPUTED_VALUE"""),"Este parque posee una licencia aprobada como proyecto específico, cuyo radicado es IDRD 20204100103871. 
Se confirma que el urbanizador debe realizar la entrega del parque y solicitar la constancia de visita a la zona de sesión de la que trata el numeral "&amp;"6.1. del artículo 6 del Decreto 845 de 2019. 
Reporte IDRD: Se solicitaron los recursos para 2023 pero no fueron priorizados y no se cuenta en el presupuesto con recursos para realizar intervenciones.")</f>
        <v>Este parque posee una licencia aprobada como proyecto específico, cuyo radicado es IDRD 20204100103871. 
Se confirma que el urbanizador debe realizar la entrega del parque y solicitar la constancia de visita a la zona de sesión de la que trata el numeral 6.1. del artículo 6 del Decreto 845 de 2019. 
Reporte IDRD: Se solicitaron los recursos para 2023 pero no fueron priorizados y no se cuenta en el presupuesto con recursos para realizar intervenciones.</v>
      </c>
      <c r="N2510" s="55">
        <f ca="1">IFERROR(__xludf.DUMMYFUNCTION("""COMPUTED_VALUE"""),44895)</f>
        <v>44895</v>
      </c>
      <c r="O2510" s="25" t="str">
        <f t="shared" ca="1" si="0"/>
        <v>Instituto Distrital de Recreación y Deporte</v>
      </c>
      <c r="P2510" s="25" t="str">
        <f t="shared" si="2"/>
        <v/>
      </c>
      <c r="Q2510" s="25" t="str">
        <f ca="1">IFERROR(__xludf.DUMMYFUNCTION("""COMPUTED_VALUE"""),"Corto plazo")</f>
        <v>Corto plazo</v>
      </c>
      <c r="R2510" s="25"/>
      <c r="S2510" s="55"/>
      <c r="T2510" s="56"/>
      <c r="U2510" s="25"/>
      <c r="V2510" s="25"/>
      <c r="W2510" s="25"/>
      <c r="X2510" s="25"/>
      <c r="Y2510" s="25"/>
      <c r="Z2510" s="25"/>
    </row>
    <row r="2511" spans="1:26" ht="52.5" customHeight="1" x14ac:dyDescent="0.25">
      <c r="A2511" s="25" t="str">
        <f ca="1">IFERROR(__xludf.DUMMYFUNCTION("""COMPUTED_VALUE"""),"Cultu109")</f>
        <v>Cultu109</v>
      </c>
      <c r="B2511" s="25" t="str">
        <f ca="1">IFERROR(__xludf.DUMMYFUNCTION("""COMPUTED_VALUE"""),"Comisión consultiva de afros, negritudes y palenqueras")</f>
        <v>Comisión consultiva de afros, negritudes y palenqueras</v>
      </c>
      <c r="C2511" s="55">
        <f ca="1">IFERROR(__xludf.DUMMYFUNCTION("""COMPUTED_VALUE"""),44712)</f>
        <v>44712</v>
      </c>
      <c r="D2511" s="25" t="str">
        <f ca="1">IFERROR(__xludf.DUMMYFUNCTION("""COMPUTED_VALUE"""),"Cultura")</f>
        <v>Cultura</v>
      </c>
      <c r="E2511" s="25" t="str">
        <f ca="1">IFERROR(__xludf.DUMMYFUNCTION("""COMPUTED_VALUE"""),"Secretaría Distrital de Cultura, Recreación y Deporte")</f>
        <v>Secretaría Distrital de Cultura, Recreación y Deporte</v>
      </c>
      <c r="F2511" s="25" t="str">
        <f ca="1">IFERROR(__xludf.DUMMYFUNCTION("""COMPUTED_VALUE"""),"Diseñar una estrategia de transformación cultural enfocada en las comunidades afro, negras y palenqueras. 
")</f>
        <v xml:space="preserve">Diseñar una estrategia de transformación cultural enfocada en las comunidades afro, negras y palenqueras. 
</v>
      </c>
      <c r="G2511" s="25" t="str">
        <f ca="1">IFERROR(__xludf.DUMMYFUNCTION("""COMPUTED_VALUE"""),"99. Distrito")</f>
        <v>99. Distrito</v>
      </c>
      <c r="H2511" s="55">
        <f ca="1">IFERROR(__xludf.DUMMYFUNCTION("""COMPUTED_VALUE"""),44742)</f>
        <v>44742</v>
      </c>
      <c r="I2511" s="25"/>
      <c r="J2511" s="55" t="str">
        <f ca="1">IFERROR(__xludf.DUMMYFUNCTION("""COMPUTED_VALUE"""),"Alta")</f>
        <v>Alta</v>
      </c>
      <c r="K2511" s="25">
        <f ca="1">IFERROR(__xludf.DUMMYFUNCTION("""COMPUTED_VALUE"""),30)</f>
        <v>30</v>
      </c>
      <c r="L2511" s="62">
        <f ca="1">IFERROR(__xludf.DUMMYFUNCTION("""COMPUTED_VALUE"""),44790)</f>
        <v>44790</v>
      </c>
      <c r="M2511" s="25" t="str">
        <f ca="1">IFERROR(__xludf.DUMMYFUNCTION("""COMPUTED_VALUE"""),"En articulación con la Secretaria de Gobierno que tiene entre sus metas la formulación de una estrategia de Cultura Ciudadana para la prevención de la discriminación racial y la Xenofobia, la Secretaría de Cultura viene adelantando el diseño y formulación"&amp;" de la estrategia SOMOS ""Construcción cultural de equidad e igualdad en Bogotá"" que tiene por objetivo Reducir aquellos comportamientos y motivaciones culturales que reproducen la discriminación y promover la inclusión social, el  respeto a la diversida"&amp;"d y justicia social con los grupos históricamente discriminados en Bogotá"" la cual focalizará el trabajo con poblaciones Negras, Afrodescendientes y Palenqueras, así como de los sectores LGBTI y Población Migrante. Actualmente la estrategia consolidó la "&amp;"etapa de articulación y se encuentra en fase diagnóstica. ")</f>
        <v xml:space="preserve">En articulación con la Secretaria de Gobierno que tiene entre sus metas la formulación de una estrategia de Cultura Ciudadana para la prevención de la discriminación racial y la Xenofobia, la Secretaría de Cultura viene adelantando el diseño y formulación de la estrategia SOMOS "Construcción cultural de equidad e igualdad en Bogotá" que tiene por objetivo Reducir aquellos comportamientos y motivaciones culturales que reproducen la discriminación y promover la inclusión social, el  respeto a la diversidad y justicia social con los grupos históricamente discriminados en Bogotá" la cual focalizará el trabajo con poblaciones Negras, Afrodescendientes y Palenqueras, así como de los sectores LGBTI y Población Migrante. Actualmente la estrategia consolidó la etapa de articulación y se encuentra en fase diagnóstica. </v>
      </c>
      <c r="N2511" s="55">
        <f ca="1">IFERROR(__xludf.DUMMYFUNCTION("""COMPUTED_VALUE"""),44790)</f>
        <v>44790</v>
      </c>
      <c r="O2511" s="25" t="str">
        <f t="shared" ca="1" si="0"/>
        <v>Secretaría Distrital de Cultura, Recreación y Deporte</v>
      </c>
      <c r="P2511" s="25" t="str">
        <f t="shared" si="2"/>
        <v/>
      </c>
      <c r="Q2511" s="25" t="str">
        <f ca="1">IFERROR(__xludf.DUMMYFUNCTION("""COMPUTED_VALUE"""),"Corto plazo")</f>
        <v>Corto plazo</v>
      </c>
      <c r="R2511" s="25"/>
      <c r="S2511" s="55"/>
      <c r="T2511" s="56"/>
      <c r="U2511" s="25"/>
      <c r="V2511" s="25"/>
      <c r="W2511" s="25"/>
      <c r="X2511" s="25"/>
      <c r="Y2511" s="25"/>
      <c r="Z2511" s="25"/>
    </row>
    <row r="2512" spans="1:26" ht="52.5" customHeight="1" x14ac:dyDescent="0.25">
      <c r="A2512" s="25" t="str">
        <f ca="1">IFERROR(__xludf.DUMMYFUNCTION("""COMPUTED_VALUE"""),"Cultu110")</f>
        <v>Cultu110</v>
      </c>
      <c r="B2512" s="25" t="str">
        <f ca="1">IFERROR(__xludf.DUMMYFUNCTION("""COMPUTED_VALUE"""),"Comisión consultiva de afros, negritudes y palenqueras")</f>
        <v>Comisión consultiva de afros, negritudes y palenqueras</v>
      </c>
      <c r="C2512" s="55">
        <f ca="1">IFERROR(__xludf.DUMMYFUNCTION("""COMPUTED_VALUE"""),44712)</f>
        <v>44712</v>
      </c>
      <c r="D2512" s="25" t="str">
        <f ca="1">IFERROR(__xludf.DUMMYFUNCTION("""COMPUTED_VALUE"""),"Cultura")</f>
        <v>Cultura</v>
      </c>
      <c r="E2512" s="25" t="str">
        <f ca="1">IFERROR(__xludf.DUMMYFUNCTION("""COMPUTED_VALUE"""),"Secretaría Distrital de Cultura, Recreación y Deporte")</f>
        <v>Secretaría Distrital de Cultura, Recreación y Deporte</v>
      </c>
      <c r="F2512" s="25" t="str">
        <f ca="1">IFERROR(__xludf.DUMMYFUNCTION("""COMPUTED_VALUE"""),"Programar una serie de eventos culturales (similar al mes LGBTI) que tenga impacto a nivel ciudad y que incluya varias acciones afirmativas. 
Presentar al Consejo Consultivo de afros, negros y palenqueras a mediados de junio.")</f>
        <v>Programar una serie de eventos culturales (similar al mes LGBTI) que tenga impacto a nivel ciudad y que incluya varias acciones afirmativas. 
Presentar al Consejo Consultivo de afros, negros y palenqueras a mediados de junio.</v>
      </c>
      <c r="G2512" s="25" t="str">
        <f ca="1">IFERROR(__xludf.DUMMYFUNCTION("""COMPUTED_VALUE"""),"99. Distrito")</f>
        <v>99. Distrito</v>
      </c>
      <c r="H2512" s="55">
        <f ca="1">IFERROR(__xludf.DUMMYFUNCTION("""COMPUTED_VALUE"""),44742)</f>
        <v>44742</v>
      </c>
      <c r="I2512" s="25"/>
      <c r="J2512" s="55" t="str">
        <f ca="1">IFERROR(__xludf.DUMMYFUNCTION("""COMPUTED_VALUE"""),"Alta")</f>
        <v>Alta</v>
      </c>
      <c r="K2512" s="25">
        <f ca="1">IFERROR(__xludf.DUMMYFUNCTION("""COMPUTED_VALUE"""),30)</f>
        <v>30</v>
      </c>
      <c r="L2512" s="62">
        <f ca="1">IFERROR(__xludf.DUMMYFUNCTION("""COMPUTED_VALUE"""),44790)</f>
        <v>44790</v>
      </c>
      <c r="M2512" s="25" t="str">
        <f ca="1">IFERROR(__xludf.DUMMYFUNCTION("""COMPUTED_VALUE"""),"La Secretaría de Cultura avanza en la organización y programación de encuentros de carácter distrital,  los cuales están proyectados para inicar el 31 de agosto, la programación actual es:
1. SOMOS ""Foro por la construcción cultural de equidad y prevenci"&amp;"ón del racismo en Bogotá. 
2.  Evento  El Convite “Taller conversatorio sobre prácticas alimentarias y transformación cultural para la construcción de igualdad”
3.  Ruta en Plazas de mercado “Diálogos SOMOS” Para la Construcción Cultural de la Equidad e I"&amp;"gualdad en Bogotá 
4. Festival “Humor Para la Construcción Cultural de la Equidad e Igualdad en Bogotá” 
Pendiente reuniones con entidades del sector para completar programación ")</f>
        <v xml:space="preserve">La Secretaría de Cultura avanza en la organización y programación de encuentros de carácter distrital,  los cuales están proyectados para inicar el 31 de agosto, la programación actual es:
1. SOMOS "Foro por la construcción cultural de equidad y prevención del racismo en Bogotá. 
2.  Evento  El Convite “Taller conversatorio sobre prácticas alimentarias y transformación cultural para la construcción de igualdad”
3.  Ruta en Plazas de mercado “Diálogos SOMOS” Para la Construcción Cultural de la Equidad e Igualdad en Bogotá 
4. Festival “Humor Para la Construcción Cultural de la Equidad e Igualdad en Bogotá” 
Pendiente reuniones con entidades del sector para completar programación </v>
      </c>
      <c r="N2512" s="55">
        <f ca="1">IFERROR(__xludf.DUMMYFUNCTION("""COMPUTED_VALUE"""),44790)</f>
        <v>44790</v>
      </c>
      <c r="O2512" s="25" t="str">
        <f t="shared" ca="1" si="0"/>
        <v>Secretaría Distrital de Cultura, Recreación y Deporte</v>
      </c>
      <c r="P2512" s="25" t="str">
        <f t="shared" si="2"/>
        <v/>
      </c>
      <c r="Q2512" s="25" t="str">
        <f ca="1">IFERROR(__xludf.DUMMYFUNCTION("""COMPUTED_VALUE"""),"Corto plazo")</f>
        <v>Corto plazo</v>
      </c>
      <c r="R2512" s="25"/>
      <c r="S2512" s="55"/>
      <c r="T2512" s="56"/>
      <c r="U2512" s="25"/>
      <c r="V2512" s="25"/>
      <c r="W2512" s="25"/>
      <c r="X2512" s="25"/>
      <c r="Y2512" s="25"/>
      <c r="Z2512" s="25"/>
    </row>
    <row r="2513" spans="1:26" ht="52.5" customHeight="1" x14ac:dyDescent="0.25">
      <c r="A2513" s="25" t="str">
        <f ca="1">IFERROR(__xludf.DUMMYFUNCTION("""COMPUTED_VALUE"""),"Cultu111")</f>
        <v>Cultu111</v>
      </c>
      <c r="B2513" s="25" t="str">
        <f ca="1">IFERROR(__xludf.DUMMYFUNCTION("""COMPUTED_VALUE"""),"Junta de infraestructura")</f>
        <v>Junta de infraestructura</v>
      </c>
      <c r="C2513" s="55">
        <f ca="1">IFERROR(__xludf.DUMMYFUNCTION("""COMPUTED_VALUE"""),44727)</f>
        <v>44727</v>
      </c>
      <c r="D2513" s="25" t="str">
        <f ca="1">IFERROR(__xludf.DUMMYFUNCTION("""COMPUTED_VALUE"""),"Cultura")</f>
        <v>Cultura</v>
      </c>
      <c r="E2513" s="25" t="str">
        <f ca="1">IFERROR(__xludf.DUMMYFUNCTION("""COMPUTED_VALUE"""),"Instituto Distrital de Recreación y Deporte")</f>
        <v>Instituto Distrital de Recreación y Deporte</v>
      </c>
      <c r="F2513" s="25" t="str">
        <f ca="1">IFERROR(__xludf.DUMMYFUNCTION("""COMPUTED_VALUE"""),"Cambiar nombre del Centro deportivo por manzana del cuidado de Gibraltar")</f>
        <v>Cambiar nombre del Centro deportivo por manzana del cuidado de Gibraltar</v>
      </c>
      <c r="G2513" s="25" t="str">
        <f ca="1">IFERROR(__xludf.DUMMYFUNCTION("""COMPUTED_VALUE"""),"99. Distrito")</f>
        <v>99. Distrito</v>
      </c>
      <c r="H2513" s="55">
        <f ca="1">IFERROR(__xludf.DUMMYFUNCTION("""COMPUTED_VALUE"""),44757)</f>
        <v>44757</v>
      </c>
      <c r="I2513" s="25"/>
      <c r="J2513" s="55" t="str">
        <f ca="1">IFERROR(__xludf.DUMMYFUNCTION("""COMPUTED_VALUE"""),"Alta")</f>
        <v>Alta</v>
      </c>
      <c r="K2513" s="25">
        <f ca="1">IFERROR(__xludf.DUMMYFUNCTION("""COMPUTED_VALUE"""),30)</f>
        <v>30</v>
      </c>
      <c r="L2513" s="62">
        <f ca="1">IFERROR(__xludf.DUMMYFUNCTION("""COMPUTED_VALUE"""),44810)</f>
        <v>44810</v>
      </c>
      <c r="M2513" s="25" t="str">
        <f ca="1">IFERROR(__xludf.DUMMYFUNCTION("""COMPUTED_VALUE"""),"Se ajustó el nombre Manzana del cuidado Gibraltar (Centro de alto rendimiento), en los documentos relacionados con el proyecto")</f>
        <v>Se ajustó el nombre Manzana del cuidado Gibraltar (Centro de alto rendimiento), en los documentos relacionados con el proyecto</v>
      </c>
      <c r="N2513" s="55">
        <f ca="1">IFERROR(__xludf.DUMMYFUNCTION("""COMPUTED_VALUE"""),44810)</f>
        <v>44810</v>
      </c>
      <c r="O2513" s="25" t="str">
        <f t="shared" ca="1" si="0"/>
        <v>Instituto Distrital de Recreación y Deporte</v>
      </c>
      <c r="P2513" s="25" t="str">
        <f t="shared" si="2"/>
        <v/>
      </c>
      <c r="Q2513" s="25" t="str">
        <f ca="1">IFERROR(__xludf.DUMMYFUNCTION("""COMPUTED_VALUE"""),"Corto plazo")</f>
        <v>Corto plazo</v>
      </c>
      <c r="R2513" s="25"/>
      <c r="S2513" s="55"/>
      <c r="T2513" s="56"/>
      <c r="U2513" s="25"/>
      <c r="V2513" s="25"/>
      <c r="W2513" s="25"/>
      <c r="X2513" s="25"/>
      <c r="Y2513" s="25"/>
      <c r="Z2513" s="25"/>
    </row>
    <row r="2514" spans="1:26" ht="52.5" customHeight="1" x14ac:dyDescent="0.25">
      <c r="A2514" s="25" t="str">
        <f ca="1">IFERROR(__xludf.DUMMYFUNCTION("""COMPUTED_VALUE"""),"Cultu112")</f>
        <v>Cultu112</v>
      </c>
      <c r="B2514" s="25" t="str">
        <f ca="1">IFERROR(__xludf.DUMMYFUNCTION("""COMPUTED_VALUE"""),"Junta de infraestructura")</f>
        <v>Junta de infraestructura</v>
      </c>
      <c r="C2514" s="55">
        <f ca="1">IFERROR(__xludf.DUMMYFUNCTION("""COMPUTED_VALUE"""),44727)</f>
        <v>44727</v>
      </c>
      <c r="D2514" s="25" t="str">
        <f ca="1">IFERROR(__xludf.DUMMYFUNCTION("""COMPUTED_VALUE"""),"Cultura")</f>
        <v>Cultura</v>
      </c>
      <c r="E2514" s="25" t="str">
        <f ca="1">IFERROR(__xludf.DUMMYFUNCTION("""COMPUTED_VALUE"""),"Instituto Distrital de Recreación y Deporte")</f>
        <v>Instituto Distrital de Recreación y Deporte</v>
      </c>
      <c r="F2514" s="25" t="str">
        <f ca="1">IFERROR(__xludf.DUMMYFUNCTION("""COMPUTED_VALUE"""),"Definir cuánto cuesta la construcción del parque ecológico y definir su financiación")</f>
        <v>Definir cuánto cuesta la construcción del parque ecológico y definir su financiación</v>
      </c>
      <c r="G2514" s="25" t="str">
        <f ca="1">IFERROR(__xludf.DUMMYFUNCTION("""COMPUTED_VALUE"""),"99. Distrito")</f>
        <v>99. Distrito</v>
      </c>
      <c r="H2514" s="55">
        <f ca="1">IFERROR(__xludf.DUMMYFUNCTION("""COMPUTED_VALUE"""),44757)</f>
        <v>44757</v>
      </c>
      <c r="I2514" s="25"/>
      <c r="J2514" s="55" t="str">
        <f ca="1">IFERROR(__xludf.DUMMYFUNCTION("""COMPUTED_VALUE"""),"Alta")</f>
        <v>Alta</v>
      </c>
      <c r="K2514" s="25">
        <f ca="1">IFERROR(__xludf.DUMMYFUNCTION("""COMPUTED_VALUE"""),30)</f>
        <v>30</v>
      </c>
      <c r="L2514" s="62">
        <f ca="1">IFERROR(__xludf.DUMMYFUNCTION("""COMPUTED_VALUE"""),44810)</f>
        <v>44810</v>
      </c>
      <c r="M2514" s="25" t="str">
        <f ca="1">IFERROR(__xludf.DUMMYFUNCTION("""COMPUTED_VALUE"""),"La consultoría para estudios y diseños del parque ecológico Gibraltar se adjudicó el 26/07/2022, plazo de ejecución de 7 meses. En febrero del 2023 se contará con los valores definitivos de la obra.")</f>
        <v>La consultoría para estudios y diseños del parque ecológico Gibraltar se adjudicó el 26/07/2022, plazo de ejecución de 7 meses. En febrero del 2023 se contará con los valores definitivos de la obra.</v>
      </c>
      <c r="N2514" s="55">
        <f ca="1">IFERROR(__xludf.DUMMYFUNCTION("""COMPUTED_VALUE"""),44810)</f>
        <v>44810</v>
      </c>
      <c r="O2514" s="25" t="str">
        <f t="shared" ca="1" si="0"/>
        <v>Instituto Distrital de Recreación y Deporte</v>
      </c>
      <c r="P2514" s="25" t="str">
        <f t="shared" si="2"/>
        <v/>
      </c>
      <c r="Q2514" s="25" t="str">
        <f ca="1">IFERROR(__xludf.DUMMYFUNCTION("""COMPUTED_VALUE"""),"Corto plazo")</f>
        <v>Corto plazo</v>
      </c>
      <c r="R2514" s="25"/>
      <c r="S2514" s="55"/>
      <c r="T2514" s="56"/>
      <c r="U2514" s="25"/>
      <c r="V2514" s="25"/>
      <c r="W2514" s="25"/>
      <c r="X2514" s="25"/>
      <c r="Y2514" s="25"/>
      <c r="Z2514" s="25"/>
    </row>
    <row r="2515" spans="1:26" ht="52.5" customHeight="1" x14ac:dyDescent="0.25">
      <c r="A2515" s="25" t="str">
        <f ca="1">IFERROR(__xludf.DUMMYFUNCTION("""COMPUTED_VALUE"""),"Cultu113")</f>
        <v>Cultu113</v>
      </c>
      <c r="B2515" s="25"/>
      <c r="C2515" s="55"/>
      <c r="D2515" s="25" t="str">
        <f ca="1">IFERROR(__xludf.DUMMYFUNCTION("""COMPUTED_VALUE"""),"Cultura")</f>
        <v>Cultura</v>
      </c>
      <c r="E2515" s="25" t="str">
        <f ca="1">IFERROR(__xludf.DUMMYFUNCTION("""COMPUTED_VALUE"""),"Secretaría Distrital de Cultura, Recreación y Deporte")</f>
        <v>Secretaría Distrital de Cultura, Recreación y Deporte</v>
      </c>
      <c r="F2515" s="25" t="str">
        <f ca="1">IFERROR(__xludf.DUMMYFUNCTION("""COMPUTED_VALUE"""),"Eliminada")</f>
        <v>Eliminada</v>
      </c>
      <c r="G2515" s="25"/>
      <c r="H2515" s="25"/>
      <c r="I2515" s="25"/>
      <c r="J2515" s="55" t="str">
        <f ca="1">IFERROR(__xludf.DUMMYFUNCTION("""COMPUTED_VALUE"""),"Baja")</f>
        <v>Baja</v>
      </c>
      <c r="K2515" s="25" t="str">
        <f ca="1">IFERROR(__xludf.DUMMYFUNCTION("""COMPUTED_VALUE"""),"Definir fecha")</f>
        <v>Definir fecha</v>
      </c>
      <c r="L2515" s="62"/>
      <c r="M2515" s="25"/>
      <c r="N2515" s="25"/>
      <c r="O2515" s="25" t="str">
        <f t="shared" ca="1" si="0"/>
        <v>Secretaría Distrital de Cultura, Recreación y Deporte</v>
      </c>
      <c r="P2515" s="25" t="str">
        <f t="shared" si="2"/>
        <v/>
      </c>
      <c r="Q2515" s="25" t="str">
        <f ca="1">IFERROR(__xludf.DUMMYFUNCTION("""COMPUTED_VALUE"""),"Sin defenir")</f>
        <v>Sin defenir</v>
      </c>
      <c r="R2515" s="25"/>
      <c r="S2515" s="55"/>
      <c r="T2515" s="56"/>
      <c r="U2515" s="25"/>
      <c r="V2515" s="25"/>
      <c r="W2515" s="25"/>
      <c r="X2515" s="25"/>
      <c r="Y2515" s="25"/>
      <c r="Z2515" s="25"/>
    </row>
    <row r="2516" spans="1:26" ht="52.5" customHeight="1" x14ac:dyDescent="0.25">
      <c r="A2516" s="25" t="str">
        <f ca="1">IFERROR(__xludf.DUMMYFUNCTION("""COMPUTED_VALUE"""),"Cultu114")</f>
        <v>Cultu114</v>
      </c>
      <c r="B2516" s="25" t="str">
        <f ca="1">IFERROR(__xludf.DUMMYFUNCTION("""COMPUTED_VALUE"""),"Junta de infraestructura")</f>
        <v>Junta de infraestructura</v>
      </c>
      <c r="C2516" s="55">
        <f ca="1">IFERROR(__xludf.DUMMYFUNCTION("""COMPUTED_VALUE"""),44769)</f>
        <v>44769</v>
      </c>
      <c r="D2516" s="25" t="str">
        <f ca="1">IFERROR(__xludf.DUMMYFUNCTION("""COMPUTED_VALUE"""),"Cultura")</f>
        <v>Cultura</v>
      </c>
      <c r="E2516" s="25" t="str">
        <f ca="1">IFERROR(__xludf.DUMMYFUNCTION("""COMPUTED_VALUE"""),"Instituto Distrital de Recreación y Deporte")</f>
        <v>Instituto Distrital de Recreación y Deporte</v>
      </c>
      <c r="F2516" s="25" t="str">
        <f ca="1">IFERROR(__xludf.DUMMYFUNCTION("""COMPUTED_VALUE"""),"IDRD debe recibir el parque Bosanova en la av Guayacanes.")</f>
        <v>IDRD debe recibir el parque Bosanova en la av Guayacanes.</v>
      </c>
      <c r="G2516" s="25" t="str">
        <f ca="1">IFERROR(__xludf.DUMMYFUNCTION("""COMPUTED_VALUE"""),"07. Bosa")</f>
        <v>07. Bosa</v>
      </c>
      <c r="H2516" s="55">
        <f ca="1">IFERROR(__xludf.DUMMYFUNCTION("""COMPUTED_VALUE"""),44799)</f>
        <v>44799</v>
      </c>
      <c r="I2516" s="25"/>
      <c r="J2516" s="55" t="str">
        <f ca="1">IFERROR(__xludf.DUMMYFUNCTION("""COMPUTED_VALUE"""),"Alta")</f>
        <v>Alta</v>
      </c>
      <c r="K2516" s="25">
        <f ca="1">IFERROR(__xludf.DUMMYFUNCTION("""COMPUTED_VALUE"""),30)</f>
        <v>30</v>
      </c>
      <c r="L2516" s="62">
        <f ca="1">IFERROR(__xludf.DUMMYFUNCTION("""COMPUTED_VALUE"""),44810)</f>
        <v>44810</v>
      </c>
      <c r="M2516" s="25" t="str">
        <f ca="1">IFERROR(__xludf.DUMMYFUNCTION("""COMPUTED_VALUE"""),"El IDRD realizó visitas al parque el 29 de julio de 2022 y el 17 de agosto de 2022, se observó que la infraestructura recreo deportiva desarrollada en los predios se encuentra acorde con lo previsto en el proyecto del parque y presenta un buen estado.
 El"&amp;" DADEP asigna el RUPI al predio el 17 de agosto de 2022.")</f>
        <v>El IDRD realizó visitas al parque el 29 de julio de 2022 y el 17 de agosto de 2022, se observó que la infraestructura recreo deportiva desarrollada en los predios se encuentra acorde con lo previsto en el proyecto del parque y presenta un buen estado.
 El DADEP asigna el RUPI al predio el 17 de agosto de 2022.</v>
      </c>
      <c r="N2516" s="55">
        <f ca="1">IFERROR(__xludf.DUMMYFUNCTION("""COMPUTED_VALUE"""),44810)</f>
        <v>44810</v>
      </c>
      <c r="O2516" s="25" t="str">
        <f t="shared" ca="1" si="0"/>
        <v>Instituto Distrital de Recreación y Deporte</v>
      </c>
      <c r="P2516" s="25" t="str">
        <f t="shared" si="2"/>
        <v/>
      </c>
      <c r="Q2516" s="25" t="str">
        <f ca="1">IFERROR(__xludf.DUMMYFUNCTION("""COMPUTED_VALUE"""),"Corto plazo")</f>
        <v>Corto plazo</v>
      </c>
      <c r="R2516" s="25"/>
      <c r="S2516" s="55"/>
      <c r="T2516" s="56"/>
      <c r="U2516" s="25"/>
      <c r="V2516" s="25"/>
      <c r="W2516" s="25"/>
      <c r="X2516" s="25"/>
      <c r="Y2516" s="25"/>
      <c r="Z2516" s="25"/>
    </row>
    <row r="2517" spans="1:26" ht="52.5" customHeight="1" x14ac:dyDescent="0.25">
      <c r="A2517" s="25" t="str">
        <f ca="1">IFERROR(__xludf.DUMMYFUNCTION("""COMPUTED_VALUE"""),"Cultu115")</f>
        <v>Cultu115</v>
      </c>
      <c r="B2517" s="25" t="str">
        <f ca="1">IFERROR(__xludf.DUMMYFUNCTION("""COMPUTED_VALUE"""),"Reunión Idartes pintura de puentes")</f>
        <v>Reunión Idartes pintura de puentes</v>
      </c>
      <c r="C2517" s="55">
        <f ca="1">IFERROR(__xludf.DUMMYFUNCTION("""COMPUTED_VALUE"""),44789)</f>
        <v>44789</v>
      </c>
      <c r="D2517" s="25" t="str">
        <f ca="1">IFERROR(__xludf.DUMMYFUNCTION("""COMPUTED_VALUE"""),"Cultura")</f>
        <v>Cultura</v>
      </c>
      <c r="E2517" s="25" t="str">
        <f ca="1">IFERROR(__xludf.DUMMYFUNCTION("""COMPUTED_VALUE"""),"Secretaría Distrital de Cultura, Recreación y Deporte")</f>
        <v>Secretaría Distrital de Cultura, Recreación y Deporte</v>
      </c>
      <c r="F2517" s="25" t="str">
        <f ca="1">IFERROR(__xludf.DUMMYFUNCTION("""COMPUTED_VALUE"""),"Articularse la Secretaría Distrital de Cultura con Idartes con el fin de conseguir un gerente de proyecto que concrete a los privados, consiga los recursos, establezca comunicación y acción con el ministerio que se asegure la realización del proyecto. ")</f>
        <v xml:space="preserve">Articularse la Secretaría Distrital de Cultura con Idartes con el fin de conseguir un gerente de proyecto que concrete a los privados, consiga los recursos, establezca comunicación y acción con el ministerio que se asegure la realización del proyecto. </v>
      </c>
      <c r="G2517" s="25" t="str">
        <f ca="1">IFERROR(__xludf.DUMMYFUNCTION("""COMPUTED_VALUE"""),"99. Distrito")</f>
        <v>99. Distrito</v>
      </c>
      <c r="H2517" s="55">
        <f ca="1">IFERROR(__xludf.DUMMYFUNCTION("""COMPUTED_VALUE"""),44995)</f>
        <v>44995</v>
      </c>
      <c r="I2517" s="25" t="str">
        <f ca="1">IFERROR(__xludf.DUMMYFUNCTION("""COMPUTED_VALUE"""),"Delivery Unit")</f>
        <v>Delivery Unit</v>
      </c>
      <c r="J2517" s="55" t="str">
        <f ca="1">IFERROR(__xludf.DUMMYFUNCTION("""COMPUTED_VALUE"""),"Media")</f>
        <v>Media</v>
      </c>
      <c r="K2517" s="25">
        <f ca="1">IFERROR(__xludf.DUMMYFUNCTION("""COMPUTED_VALUE"""),206)</f>
        <v>206</v>
      </c>
      <c r="L2517" s="62">
        <f ca="1">IFERROR(__xludf.DUMMYFUNCTION("""COMPUTED_VALUE"""),45077)</f>
        <v>45077</v>
      </c>
      <c r="M2517" s="25" t="str">
        <f ca="1">IFERROR(__xludf.DUMMYFUNCTION("""COMPUTED_VALUE"""),"-Se requiere una persona con amplia experiencia en comercialización para superar las metas establecidas. Las personas que se han entrevistado no cumplen con el perfil requerido.
- Los candidatos opcionados han declinado la inivtación por múltiples razones"&amp;", se está buscando una persona de planta que asuma estas obliagaciones. ")</f>
        <v xml:space="preserve">-Se requiere una persona con amplia experiencia en comercialización para superar las metas establecidas. Las personas que se han entrevistado no cumplen con el perfil requerido.
- Los candidatos opcionados han declinado la inivtación por múltiples razones, se está buscando una persona de planta que asuma estas obliagaciones. </v>
      </c>
      <c r="N2517" s="25"/>
      <c r="O2517" s="25" t="str">
        <f t="shared" ca="1" si="0"/>
        <v>Secretaría Distrital de Cultura, Recreación y Deporte</v>
      </c>
      <c r="P2517" s="25" t="str">
        <f t="shared" ca="1" si="2"/>
        <v/>
      </c>
      <c r="Q2517" s="25" t="str">
        <f ca="1">IFERROR(__xludf.DUMMYFUNCTION("""COMPUTED_VALUE"""),"Largo plazo")</f>
        <v>Largo plazo</v>
      </c>
      <c r="R2517" s="25"/>
      <c r="S2517" s="55"/>
      <c r="T2517" s="56"/>
      <c r="U2517" s="25"/>
      <c r="V2517" s="25"/>
      <c r="W2517" s="25"/>
      <c r="X2517" s="25"/>
      <c r="Y2517" s="25"/>
      <c r="Z2517" s="25"/>
    </row>
    <row r="2518" spans="1:26" ht="52.5" customHeight="1" x14ac:dyDescent="0.25">
      <c r="A2518" s="25" t="str">
        <f ca="1">IFERROR(__xludf.DUMMYFUNCTION("""COMPUTED_VALUE"""),"Cultu116")</f>
        <v>Cultu116</v>
      </c>
      <c r="B2518" s="25" t="str">
        <f ca="1">IFERROR(__xludf.DUMMYFUNCTION("""COMPUTED_VALUE"""),"Reunión Idartes pintura de puentes")</f>
        <v>Reunión Idartes pintura de puentes</v>
      </c>
      <c r="C2518" s="55">
        <f ca="1">IFERROR(__xludf.DUMMYFUNCTION("""COMPUTED_VALUE"""),44789)</f>
        <v>44789</v>
      </c>
      <c r="D2518" s="25" t="str">
        <f ca="1">IFERROR(__xludf.DUMMYFUNCTION("""COMPUTED_VALUE"""),"Cultura")</f>
        <v>Cultura</v>
      </c>
      <c r="E2518" s="25" t="str">
        <f ca="1">IFERROR(__xludf.DUMMYFUNCTION("""COMPUTED_VALUE"""),"Secretaría Distrital de Cultura, Recreación y Deporte")</f>
        <v>Secretaría Distrital de Cultura, Recreación y Deporte</v>
      </c>
      <c r="F2518" s="25" t="str">
        <f ca="1">IFERROR(__xludf.DUMMYFUNCTION("""COMPUTED_VALUE"""),"Articularse la Secretaría Distrital de Cultura con Idartes para consolidar y presentar estimación de costos del proyecto de intervención de puentes para incorporarlo en el presupuesto 2023,y a su vez definir donde es más práctico para ejecutarlo (entregar"&amp;" directamente a la entidad ejecutora de la intervención y no presupuestarlo en el IDU)")</f>
        <v>Articularse la Secretaría Distrital de Cultura con Idartes para consolidar y presentar estimación de costos del proyecto de intervención de puentes para incorporarlo en el presupuesto 2023,y a su vez definir donde es más práctico para ejecutarlo (entregar directamente a la entidad ejecutora de la intervención y no presupuestarlo en el IDU)</v>
      </c>
      <c r="G2518" s="25" t="str">
        <f ca="1">IFERROR(__xludf.DUMMYFUNCTION("""COMPUTED_VALUE"""),"99. Distrito")</f>
        <v>99. Distrito</v>
      </c>
      <c r="H2518" s="55">
        <f ca="1">IFERROR(__xludf.DUMMYFUNCTION("""COMPUTED_VALUE"""),45000)</f>
        <v>45000</v>
      </c>
      <c r="I2518" s="25" t="str">
        <f ca="1">IFERROR(__xludf.DUMMYFUNCTION("""COMPUTED_VALUE"""),"Delivery Unit")</f>
        <v>Delivery Unit</v>
      </c>
      <c r="J2518" s="55" t="str">
        <f ca="1">IFERROR(__xludf.DUMMYFUNCTION("""COMPUTED_VALUE"""),"Media")</f>
        <v>Media</v>
      </c>
      <c r="K2518" s="25">
        <f ca="1">IFERROR(__xludf.DUMMYFUNCTION("""COMPUTED_VALUE"""),211)</f>
        <v>211</v>
      </c>
      <c r="L2518" s="62">
        <f ca="1">IFERROR(__xludf.DUMMYFUNCTION("""COMPUTED_VALUE"""),45034)</f>
        <v>45034</v>
      </c>
      <c r="M2518" s="25" t="str">
        <f ca="1">IFERROR(__xludf.DUMMYFUNCTION("""COMPUTED_VALUE"""),"- Se presentaron costos del proyecto y se incluyó en el presupuesto. Esto se ejecutará a través del Programa Distrital de Estímulos y el Sistema de Invitaciones Públicas de la SCRD, por otro lado se tiene previsto contratar 5 equipos de coordinación de la"&amp;"s intervenciones en los corredores.
- El 08 de ferbero se publicaron las dos convocatorias por PDE, la de Museo Abierto Bogotá y Festival de Arte Urbano y Corredores Priorizados.   ")</f>
        <v xml:space="preserve">- Se presentaron costos del proyecto y se incluyó en el presupuesto. Esto se ejecutará a través del Programa Distrital de Estímulos y el Sistema de Invitaciones Públicas de la SCRD, por otro lado se tiene previsto contratar 5 equipos de coordinación de las intervenciones en los corredores.
- El 08 de ferbero se publicaron las dos convocatorias por PDE, la de Museo Abierto Bogotá y Festival de Arte Urbano y Corredores Priorizados.   </v>
      </c>
      <c r="N2518" s="25"/>
      <c r="O2518" s="25" t="str">
        <f t="shared" ca="1" si="0"/>
        <v>Secretaría Distrital de Cultura, Recreación y Deporte</v>
      </c>
      <c r="P2518" s="25" t="str">
        <f t="shared" ca="1" si="2"/>
        <v/>
      </c>
      <c r="Q2518" s="25" t="str">
        <f ca="1">IFERROR(__xludf.DUMMYFUNCTION("""COMPUTED_VALUE"""),"Largo plazo")</f>
        <v>Largo plazo</v>
      </c>
      <c r="R2518" s="25"/>
      <c r="S2518" s="55"/>
      <c r="T2518" s="56"/>
      <c r="U2518" s="25"/>
      <c r="V2518" s="25"/>
      <c r="W2518" s="25"/>
      <c r="X2518" s="25"/>
      <c r="Y2518" s="25"/>
      <c r="Z2518" s="25"/>
    </row>
    <row r="2519" spans="1:26" ht="52.5" customHeight="1" x14ac:dyDescent="0.25">
      <c r="A2519" s="25" t="str">
        <f ca="1">IFERROR(__xludf.DUMMYFUNCTION("""COMPUTED_VALUE"""),"Cultu117")</f>
        <v>Cultu117</v>
      </c>
      <c r="B2519" s="25" t="str">
        <f ca="1">IFERROR(__xludf.DUMMYFUNCTION("""COMPUTED_VALUE"""),"Reunión Idartes pintura de puentes")</f>
        <v>Reunión Idartes pintura de puentes</v>
      </c>
      <c r="C2519" s="55">
        <f ca="1">IFERROR(__xludf.DUMMYFUNCTION("""COMPUTED_VALUE"""),44789)</f>
        <v>44789</v>
      </c>
      <c r="D2519" s="25" t="str">
        <f ca="1">IFERROR(__xludf.DUMMYFUNCTION("""COMPUTED_VALUE"""),"Cultura")</f>
        <v>Cultura</v>
      </c>
      <c r="E2519" s="25" t="str">
        <f ca="1">IFERROR(__xludf.DUMMYFUNCTION("""COMPUTED_VALUE"""),"Secretaría Distrital de Cultura, Recreación y Deporte")</f>
        <v>Secretaría Distrital de Cultura, Recreación y Deporte</v>
      </c>
      <c r="F2519" s="25" t="str">
        <f ca="1">IFERROR(__xludf.DUMMYFUNCTION("""COMPUTED_VALUE"""),"Intervenir 6 grandes ejes viales (Calle 26, Cra 10, Caracas, calle 80, Cra 13 y Cra 7) teniendo en cuenta:
1. Lanzar propuesta de arte urbano con el Gobierno Nacional que incluya temas nacionales y locales.")</f>
        <v>Intervenir 6 grandes ejes viales (Calle 26, Cra 10, Caracas, calle 80, Cra 13 y Cra 7) teniendo en cuenta:
1. Lanzar propuesta de arte urbano con el Gobierno Nacional que incluya temas nacionales y locales.</v>
      </c>
      <c r="G2519" s="25" t="str">
        <f ca="1">IFERROR(__xludf.DUMMYFUNCTION("""COMPUTED_VALUE"""),"99. Distrito")</f>
        <v>99. Distrito</v>
      </c>
      <c r="H2519" s="55">
        <f ca="1">IFERROR(__xludf.DUMMYFUNCTION("""COMPUTED_VALUE"""),45044)</f>
        <v>45044</v>
      </c>
      <c r="I2519" s="25" t="str">
        <f ca="1">IFERROR(__xludf.DUMMYFUNCTION("""COMPUTED_VALUE"""),"Delivery Unit")</f>
        <v>Delivery Unit</v>
      </c>
      <c r="J2519" s="55" t="str">
        <f ca="1">IFERROR(__xludf.DUMMYFUNCTION("""COMPUTED_VALUE"""),"Alta")</f>
        <v>Alta</v>
      </c>
      <c r="K2519" s="25">
        <f ca="1">IFERROR(__xludf.DUMMYFUNCTION("""COMPUTED_VALUE"""),255)</f>
        <v>255</v>
      </c>
      <c r="L2519" s="62">
        <f ca="1">IFERROR(__xludf.DUMMYFUNCTION("""COMPUTED_VALUE"""),45077)</f>
        <v>45077</v>
      </c>
      <c r="M2519" s="25" t="str">
        <f ca="1">IFERROR(__xludf.DUMMYFUNCTION("""COMPUTED_VALUE"""),"Se realizó reunión con Ministerio de Cultura para articular acciones, se tiene prevista nueva reunión durante el mes de febrero. Estamos atentos al envío de la información por parte del Ministerio de temáticas y partidas presupuestales para atender los re"&amp;"querimientos del Ministerio, teneindo en cuenta que ellos consideran que las intervenciones en lugares distintos a los corredores priorizados. 
- Se envió proyecto de Museo de Arte Urbano de Bogotá al Ministerio de Cultura y aún no se ha recibido por par"&amp;"te de Ministerio las temáticas y partidas presupuestales. Se esta a la espera la confirmación cde agenda de la Ministra para reunión. 
-No se ha podido avanzar en el tema, en tanto no se haga el nombramiento de la cabeza que estará a cargo del Ministerio"&amp;" de Cultura. ")</f>
        <v xml:space="preserve">Se realizó reunión con Ministerio de Cultura para articular acciones, se tiene prevista nueva reunión durante el mes de febrero. Estamos atentos al envío de la información por parte del Ministerio de temáticas y partidas presupuestales para atender los requerimientos del Ministerio, teneindo en cuenta que ellos consideran que las intervenciones en lugares distintos a los corredores priorizados. 
- Se envió proyecto de Museo de Arte Urbano de Bogotá al Ministerio de Cultura y aún no se ha recibido por parte de Ministerio las temáticas y partidas presupuestales. Se esta a la espera la confirmación cde agenda de la Ministra para reunión. 
-No se ha podido avanzar en el tema, en tanto no se haga el nombramiento de la cabeza que estará a cargo del Ministerio de Cultura. </v>
      </c>
      <c r="N2519" s="25"/>
      <c r="O2519" s="25" t="str">
        <f t="shared" ca="1" si="0"/>
        <v>Secretaría Distrital de Cultura, Recreación y Deporte</v>
      </c>
      <c r="P2519" s="25" t="str">
        <f t="shared" ca="1" si="2"/>
        <v/>
      </c>
      <c r="Q2519" s="25" t="str">
        <f ca="1">IFERROR(__xludf.DUMMYFUNCTION("""COMPUTED_VALUE"""),"Largo plazo")</f>
        <v>Largo plazo</v>
      </c>
      <c r="R2519" s="25"/>
      <c r="S2519" s="55"/>
      <c r="T2519" s="56"/>
      <c r="U2519" s="25"/>
      <c r="V2519" s="25"/>
      <c r="W2519" s="25"/>
      <c r="X2519" s="25"/>
      <c r="Y2519" s="25"/>
      <c r="Z2519" s="25"/>
    </row>
    <row r="2520" spans="1:26" ht="52.5" customHeight="1" x14ac:dyDescent="0.25">
      <c r="A2520" s="25" t="str">
        <f ca="1">IFERROR(__xludf.DUMMYFUNCTION("""COMPUTED_VALUE"""),"Cultu118")</f>
        <v>Cultu118</v>
      </c>
      <c r="B2520" s="25" t="str">
        <f ca="1">IFERROR(__xludf.DUMMYFUNCTION("""COMPUTED_VALUE"""),"Reunión Idartes pintura de puentes")</f>
        <v>Reunión Idartes pintura de puentes</v>
      </c>
      <c r="C2520" s="55">
        <f ca="1">IFERROR(__xludf.DUMMYFUNCTION("""COMPUTED_VALUE"""),44789)</f>
        <v>44789</v>
      </c>
      <c r="D2520" s="25" t="str">
        <f ca="1">IFERROR(__xludf.DUMMYFUNCTION("""COMPUTED_VALUE"""),"Cultura")</f>
        <v>Cultura</v>
      </c>
      <c r="E2520" s="25" t="str">
        <f ca="1">IFERROR(__xludf.DUMMYFUNCTION("""COMPUTED_VALUE"""),"Secretaría Distrital de Cultura, Recreación y Deporte")</f>
        <v>Secretaría Distrital de Cultura, Recreación y Deporte</v>
      </c>
      <c r="F2520" s="25" t="str">
        <f ca="1">IFERROR(__xludf.DUMMYFUNCTION("""COMPUTED_VALUE"""),"Intervenir 6 grandes ejes viales (Calle 26, Cra 10, Caracas, calle 80, Cra 13 y Cra 7) teniendo en cuenta:
2.  Realizar la convocatoria donde participen grafiteros de todas las guardias
")</f>
        <v xml:space="preserve">Intervenir 6 grandes ejes viales (Calle 26, Cra 10, Caracas, calle 80, Cra 13 y Cra 7) teniendo en cuenta:
2.  Realizar la convocatoria donde participen grafiteros de todas las guardias
</v>
      </c>
      <c r="G2520" s="25" t="str">
        <f ca="1">IFERROR(__xludf.DUMMYFUNCTION("""COMPUTED_VALUE"""),"99. Distrito")</f>
        <v>99. Distrito</v>
      </c>
      <c r="H2520" s="55">
        <f ca="1">IFERROR(__xludf.DUMMYFUNCTION("""COMPUTED_VALUE"""),45107)</f>
        <v>45107</v>
      </c>
      <c r="I2520" s="25" t="str">
        <f ca="1">IFERROR(__xludf.DUMMYFUNCTION("""COMPUTED_VALUE"""),"Delivery Unit")</f>
        <v>Delivery Unit</v>
      </c>
      <c r="J2520" s="55" t="str">
        <f ca="1">IFERROR(__xludf.DUMMYFUNCTION("""COMPUTED_VALUE"""),"Alta")</f>
        <v>Alta</v>
      </c>
      <c r="K2520" s="25">
        <f ca="1">IFERROR(__xludf.DUMMYFUNCTION("""COMPUTED_VALUE"""),318)</f>
        <v>318</v>
      </c>
      <c r="L2520" s="62">
        <f ca="1">IFERROR(__xludf.DUMMYFUNCTION("""COMPUTED_VALUE"""),45077)</f>
        <v>45077</v>
      </c>
      <c r="M2520" s="25" t="str">
        <f ca="1">IFERROR(__xludf.DUMMYFUNCTION("""COMPUTED_VALUE"""),"- Las convocatorias e invitaciones públicas están abiertas a todos las personas que conforman el sector de arte urbano y graffiti en Bogotá.
- Esta previsto que para tercera semana de marzo se lance la convocatoria Museo Abierto de Bogotá con énfasis en "&amp;"Festival Hip Hop al Parque y las invitaciones públicas para la maratón de Arte Urbano en los 06 corredores.  
- Idartes ha lanzado por Portafolio Distrital de Estímulos (https://sicon.scrd.gov.co/convocatorias/pdec?nombre=museo%20abierto%20de%20bogot%C3%"&amp;"A1) y el sistema de Invitaciones Públicas (https://invitaciones.scrd.gov.co/dashboard?q=%2Fdashboard&amp;search=museo%20abierto%20de%20bogot%C3%A1&amp;page=1) 3 convocatorias (Hip Hop al Parque, MAB en Festivales al Parque 2023 y Festivales de Arte Urbano en 6 co"&amp;"rredores priorizados) y 7 invitaciones públicas (6 maratones de arte urbano y grafiti para transformar igual número de corredores priorizados y 1 invitación sobre cambio climático y ambientes sanos para intervenir las estructuras triangulares que quedan e"&amp;"n la cl 26 con cr 45.")</f>
        <v>- Las convocatorias e invitaciones públicas están abiertas a todos las personas que conforman el sector de arte urbano y graffiti en Bogotá.
- Esta previsto que para tercera semana de marzo se lance la convocatoria Museo Abierto de Bogotá con énfasis en Festival Hip Hop al Parque y las invitaciones públicas para la maratón de Arte Urbano en los 06 corredores.  
- Idartes ha lanzado por Portafolio Distrital de Estímulos (https://sicon.scrd.gov.co/convocatorias/pdec?nombre=museo%20abierto%20de%20bogot%C3%A1) y el sistema de Invitaciones Públicas (https://invitaciones.scrd.gov.co/dashboard?q=%2Fdashboard&amp;search=museo%20abierto%20de%20bogot%C3%A1&amp;page=1) 3 convocatorias (Hip Hop al Parque, MAB en Festivales al Parque 2023 y Festivales de Arte Urbano en 6 corredores priorizados) y 7 invitaciones públicas (6 maratones de arte urbano y grafiti para transformar igual número de corredores priorizados y 1 invitación sobre cambio climático y ambientes sanos para intervenir las estructuras triangulares que quedan en la cl 26 con cr 45.</v>
      </c>
      <c r="N2520" s="25"/>
      <c r="O2520" s="25" t="str">
        <f t="shared" ca="1" si="0"/>
        <v>Secretaría Distrital de Cultura, Recreación y Deporte</v>
      </c>
      <c r="P2520" s="25" t="str">
        <f t="shared" ca="1" si="2"/>
        <v/>
      </c>
      <c r="Q2520" s="25" t="str">
        <f ca="1">IFERROR(__xludf.DUMMYFUNCTION("""COMPUTED_VALUE"""),"Largo plazo")</f>
        <v>Largo plazo</v>
      </c>
      <c r="R2520" s="25"/>
      <c r="S2520" s="55"/>
      <c r="T2520" s="56"/>
      <c r="U2520" s="25"/>
      <c r="V2520" s="25"/>
      <c r="W2520" s="25"/>
      <c r="X2520" s="25"/>
      <c r="Y2520" s="25"/>
      <c r="Z2520" s="25"/>
    </row>
    <row r="2521" spans="1:26" ht="52.5" customHeight="1" x14ac:dyDescent="0.25">
      <c r="A2521" s="25" t="str">
        <f ca="1">IFERROR(__xludf.DUMMYFUNCTION("""COMPUTED_VALUE"""),"Cultu119")</f>
        <v>Cultu119</v>
      </c>
      <c r="B2521" s="25" t="str">
        <f ca="1">IFERROR(__xludf.DUMMYFUNCTION("""COMPUTED_VALUE"""),"Reunión Idartes pintura de puentes")</f>
        <v>Reunión Idartes pintura de puentes</v>
      </c>
      <c r="C2521" s="55">
        <f ca="1">IFERROR(__xludf.DUMMYFUNCTION("""COMPUTED_VALUE"""),44789)</f>
        <v>44789</v>
      </c>
      <c r="D2521" s="25" t="str">
        <f ca="1">IFERROR(__xludf.DUMMYFUNCTION("""COMPUTED_VALUE"""),"Cultura")</f>
        <v>Cultura</v>
      </c>
      <c r="E2521" s="25" t="str">
        <f ca="1">IFERROR(__xludf.DUMMYFUNCTION("""COMPUTED_VALUE"""),"Secretaría Distrital de Cultura, Recreación y Deporte")</f>
        <v>Secretaría Distrital de Cultura, Recreación y Deporte</v>
      </c>
      <c r="F2521" s="25" t="str">
        <f ca="1">IFERROR(__xludf.DUMMYFUNCTION("""COMPUTED_VALUE"""),"Intervenir 6 grandes ejes viales (Calle 26, Cra 10, Caracas, calle 80, Cra 13 y Cra 7) teniendo en cuenta:
3. Realización de concurso donde se presenten bocetos en las convocatorias sobre esas temáticas y escogencia de ganadores. 
")</f>
        <v xml:space="preserve">Intervenir 6 grandes ejes viales (Calle 26, Cra 10, Caracas, calle 80, Cra 13 y Cra 7) teniendo en cuenta:
3. Realización de concurso donde se presenten bocetos en las convocatorias sobre esas temáticas y escogencia de ganadores. 
</v>
      </c>
      <c r="G2521" s="25" t="str">
        <f ca="1">IFERROR(__xludf.DUMMYFUNCTION("""COMPUTED_VALUE"""),"99. Distrito")</f>
        <v>99. Distrito</v>
      </c>
      <c r="H2521" s="55">
        <f ca="1">IFERROR(__xludf.DUMMYFUNCTION("""COMPUTED_VALUE"""),45107)</f>
        <v>45107</v>
      </c>
      <c r="I2521" s="25" t="str">
        <f ca="1">IFERROR(__xludf.DUMMYFUNCTION("""COMPUTED_VALUE"""),"Delivery Unit")</f>
        <v>Delivery Unit</v>
      </c>
      <c r="J2521" s="55" t="str">
        <f ca="1">IFERROR(__xludf.DUMMYFUNCTION("""COMPUTED_VALUE"""),"Alta")</f>
        <v>Alta</v>
      </c>
      <c r="K2521" s="25">
        <f ca="1">IFERROR(__xludf.DUMMYFUNCTION("""COMPUTED_VALUE"""),318)</f>
        <v>318</v>
      </c>
      <c r="L2521" s="62">
        <f ca="1">IFERROR(__xludf.DUMMYFUNCTION("""COMPUTED_VALUE"""),6692490)</f>
        <v>6692490</v>
      </c>
      <c r="M2521" s="25" t="str">
        <f ca="1">IFERROR(__xludf.DUMMYFUNCTION("""COMPUTED_VALUE"""),"-Esto es parte del proceso de convocatorias e invitaciones públicas. 
- La ejecución de los proyectos se realizará en el segundo semestre del año. Para este primer semestre se desarrolla el proceso de recepción y evaluación de propuestas. ")</f>
        <v xml:space="preserve">-Esto es parte del proceso de convocatorias e invitaciones públicas. 
- La ejecución de los proyectos se realizará en el segundo semestre del año. Para este primer semestre se desarrolla el proceso de recepción y evaluación de propuestas. </v>
      </c>
      <c r="N2521" s="25"/>
      <c r="O2521" s="25" t="str">
        <f t="shared" ca="1" si="0"/>
        <v>Secretaría Distrital de Cultura, Recreación y Deporte</v>
      </c>
      <c r="P2521" s="25" t="str">
        <f t="shared" ca="1" si="2"/>
        <v/>
      </c>
      <c r="Q2521" s="25" t="str">
        <f ca="1">IFERROR(__xludf.DUMMYFUNCTION("""COMPUTED_VALUE"""),"Largo plazo")</f>
        <v>Largo plazo</v>
      </c>
      <c r="R2521" s="25"/>
      <c r="S2521" s="55"/>
      <c r="T2521" s="56"/>
      <c r="U2521" s="25"/>
      <c r="V2521" s="25"/>
      <c r="W2521" s="25"/>
      <c r="X2521" s="25"/>
      <c r="Y2521" s="25"/>
      <c r="Z2521" s="25"/>
    </row>
    <row r="2522" spans="1:26" ht="52.5" customHeight="1" x14ac:dyDescent="0.25">
      <c r="A2522" s="25" t="str">
        <f ca="1">IFERROR(__xludf.DUMMYFUNCTION("""COMPUTED_VALUE"""),"Cultu120")</f>
        <v>Cultu120</v>
      </c>
      <c r="B2522" s="25" t="str">
        <f ca="1">IFERROR(__xludf.DUMMYFUNCTION("""COMPUTED_VALUE"""),"Reunión Idartes pintura de puentes")</f>
        <v>Reunión Idartes pintura de puentes</v>
      </c>
      <c r="C2522" s="55">
        <f ca="1">IFERROR(__xludf.DUMMYFUNCTION("""COMPUTED_VALUE"""),44789)</f>
        <v>44789</v>
      </c>
      <c r="D2522" s="25" t="str">
        <f ca="1">IFERROR(__xludf.DUMMYFUNCTION("""COMPUTED_VALUE"""),"Cultura")</f>
        <v>Cultura</v>
      </c>
      <c r="E2522" s="25" t="str">
        <f ca="1">IFERROR(__xludf.DUMMYFUNCTION("""COMPUTED_VALUE"""),"Secretaría Distrital de Cultura, Recreación y Deporte")</f>
        <v>Secretaría Distrital de Cultura, Recreación y Deporte</v>
      </c>
      <c r="F2522" s="25" t="str">
        <f ca="1">IFERROR(__xludf.DUMMYFUNCTION("""COMPUTED_VALUE"""),"La SCRD deberá articularse con IDARTES, SDDE e IPES para Intervenir 6 grandes ejes viales (Calle 26, Cra 10, Caracas, calle 80, Cra 13 y Cra 7) teniendo en cuenta:
4.      Involucrar a los privados (Ej. bancos, supermercados, personas…). 
-        Buscar "&amp;"que los medios se apropien de un eje vial (Ej. Caracol, RCN, City TV..)
-        Involucra venderos informales, iluminación, canecas de basura, en poda de árboles,
-        En el tramo de la Cra 7 hablar con la ETB para que este año hagan algo en los vidr"&amp;"ios de la fachada que siempre grafitean, un vitral o algo pintado en el vidrio.
")</f>
        <v xml:space="preserve">La SCRD deberá articularse con IDARTES, SDDE e IPES para Intervenir 6 grandes ejes viales (Calle 26, Cra 10, Caracas, calle 80, Cra 13 y Cra 7) teniendo en cuenta:
4.      Involucrar a los privados (Ej. bancos, supermercados, personas…). 
-        Buscar que los medios se apropien de un eje vial (Ej. Caracol, RCN, City TV..)
-        Involucra venderos informales, iluminación, canecas de basura, en poda de árboles,
-        En el tramo de la Cra 7 hablar con la ETB para que este año hagan algo en los vidrios de la fachada que siempre grafitean, un vitral o algo pintado en el vidrio.
</v>
      </c>
      <c r="G2522" s="25" t="str">
        <f ca="1">IFERROR(__xludf.DUMMYFUNCTION("""COMPUTED_VALUE"""),"99. Distrito")</f>
        <v>99. Distrito</v>
      </c>
      <c r="H2522" s="55">
        <f ca="1">IFERROR(__xludf.DUMMYFUNCTION("""COMPUTED_VALUE"""),45107)</f>
        <v>45107</v>
      </c>
      <c r="I2522" s="25" t="str">
        <f ca="1">IFERROR(__xludf.DUMMYFUNCTION("""COMPUTED_VALUE"""),"Delivery Unit")</f>
        <v>Delivery Unit</v>
      </c>
      <c r="J2522" s="55" t="str">
        <f ca="1">IFERROR(__xludf.DUMMYFUNCTION("""COMPUTED_VALUE"""),"Alta")</f>
        <v>Alta</v>
      </c>
      <c r="K2522" s="25">
        <f ca="1">IFERROR(__xludf.DUMMYFUNCTION("""COMPUTED_VALUE"""),318)</f>
        <v>318</v>
      </c>
      <c r="L2522" s="62">
        <f ca="1">IFERROR(__xludf.DUMMYFUNCTION("""COMPUTED_VALUE"""),45077)</f>
        <v>45077</v>
      </c>
      <c r="M2522" s="25" t="str">
        <f ca="1">IFERROR(__xludf.DUMMYFUNCTION("""COMPUTED_VALUE"""),"-Se está avanzando en el proceso de contratación de una persona que adelante la consolidación y formalización de estas alianzas. Por otro lado, se avanzó en la exploración de alianzas con otras entidades de la Administración Distrital mediante el envío de"&amp;" oficios a todas las Secretarias para indagar soibre los proyectos de intervención que tiene cada entidad sobre los corredores viales priorizados .
- La SCRD se articuló con Idartes para este proyecto y se realizó el lanzamiento en el PDE de las convocat"&amp;"orias para esta intervención. Con la ETB se realizó proyecto y se intervinieron las fachadas de los vidrios de la ETB ubicada sobre la carrera séptima. Dicha intervención fue realizada por los niños y niñas que pertenecen a los colegios de la ETB. Esta ta"&amp;"rea fue ejecutada el año pasado en el mes de noviembre. 
- Los candidatos que se han presentado han declinado la invitación por múltiples razones. Se está buscando una persona de planta que pueda atender esta obligaciones. ")</f>
        <v xml:space="preserve">-Se está avanzando en el proceso de contratación de una persona que adelante la consolidación y formalización de estas alianzas. Por otro lado, se avanzó en la exploración de alianzas con otras entidades de la Administración Distrital mediante el envío de oficios a todas las Secretarias para indagar soibre los proyectos de intervención que tiene cada entidad sobre los corredores viales priorizados .
- La SCRD se articuló con Idartes para este proyecto y se realizó el lanzamiento en el PDE de las convocatorias para esta intervención. Con la ETB se realizó proyecto y se intervinieron las fachadas de los vidrios de la ETB ubicada sobre la carrera séptima. Dicha intervención fue realizada por los niños y niñas que pertenecen a los colegios de la ETB. Esta tarea fue ejecutada el año pasado en el mes de noviembre. 
- Los candidatos que se han presentado han declinado la invitación por múltiples razones. Se está buscando una persona de planta que pueda atender esta obligaciones. </v>
      </c>
      <c r="N2522" s="25"/>
      <c r="O2522" s="25" t="str">
        <f t="shared" ca="1" si="0"/>
        <v>Secretaría Distrital de Cultura, Recreación y Deporte</v>
      </c>
      <c r="P2522" s="25" t="str">
        <f t="shared" ca="1" si="2"/>
        <v/>
      </c>
      <c r="Q2522" s="25" t="str">
        <f ca="1">IFERROR(__xludf.DUMMYFUNCTION("""COMPUTED_VALUE"""),"Largo plazo")</f>
        <v>Largo plazo</v>
      </c>
      <c r="R2522" s="25"/>
      <c r="S2522" s="55"/>
      <c r="T2522" s="56"/>
      <c r="U2522" s="25"/>
      <c r="V2522" s="25"/>
      <c r="W2522" s="25"/>
      <c r="X2522" s="25"/>
      <c r="Y2522" s="25"/>
      <c r="Z2522" s="25"/>
    </row>
    <row r="2523" spans="1:26" ht="52.5" customHeight="1" x14ac:dyDescent="0.25">
      <c r="A2523" s="25" t="str">
        <f ca="1">IFERROR(__xludf.DUMMYFUNCTION("""COMPUTED_VALUE"""),"Cultu121")</f>
        <v>Cultu121</v>
      </c>
      <c r="B2523" s="25" t="str">
        <f ca="1">IFERROR(__xludf.DUMMYFUNCTION("""COMPUTED_VALUE"""),"Reunión Idartes pintura de puentes")</f>
        <v>Reunión Idartes pintura de puentes</v>
      </c>
      <c r="C2523" s="55">
        <f ca="1">IFERROR(__xludf.DUMMYFUNCTION("""COMPUTED_VALUE"""),44789)</f>
        <v>44789</v>
      </c>
      <c r="D2523" s="25" t="str">
        <f ca="1">IFERROR(__xludf.DUMMYFUNCTION("""COMPUTED_VALUE"""),"Cultura")</f>
        <v>Cultura</v>
      </c>
      <c r="E2523" s="25" t="str">
        <f ca="1">IFERROR(__xludf.DUMMYFUNCTION("""COMPUTED_VALUE"""),"Secretaría Distrital de Cultura, Recreación y Deporte")</f>
        <v>Secretaría Distrital de Cultura, Recreación y Deporte</v>
      </c>
      <c r="F2523" s="25" t="str">
        <f ca="1">IFERROR(__xludf.DUMMYFUNCTION("""COMPUTED_VALUE"""),"La SCRD deberá articularse con IDARTES, SDDE e IPES para Intervenir 6 grandes ejes viales (Calle 26, Cra 10, Caracas, calle 80, Cra 13 y Cra 7) teniendo en cuenta:
5. Buscar que los medios de comunicación se apropien de un eje vial (Ej. Caracol, RCN, City"&amp;" TV..)
-        Involucra venderos informales, iluminación, canecas de basura, en poda de árboles,
-        En el tramo de la Cra 7 hablar con la ETB para que este año hagan algo en los vidrios de la fachada que siempre grafitean, un vitral o algo pintado"&amp;" en el vidrio.
")</f>
        <v xml:space="preserve">La SCRD deberá articularse con IDARTES, SDDE e IPES para Intervenir 6 grandes ejes viales (Calle 26, Cra 10, Caracas, calle 80, Cra 13 y Cra 7) teniendo en cuenta:
5. Buscar que los medios de comunicación se apropien de un eje vial (Ej. Caracol, RCN, City TV..)
-        Involucra venderos informales, iluminación, canecas de basura, en poda de árboles,
-        En el tramo de la Cra 7 hablar con la ETB para que este año hagan algo en los vidrios de la fachada que siempre grafitean, un vitral o algo pintado en el vidrio.
</v>
      </c>
      <c r="G2523" s="25" t="str">
        <f ca="1">IFERROR(__xludf.DUMMYFUNCTION("""COMPUTED_VALUE"""),"99. Distrito")</f>
        <v>99. Distrito</v>
      </c>
      <c r="H2523" s="55">
        <f ca="1">IFERROR(__xludf.DUMMYFUNCTION("""COMPUTED_VALUE"""),45107)</f>
        <v>45107</v>
      </c>
      <c r="I2523" s="25" t="str">
        <f ca="1">IFERROR(__xludf.DUMMYFUNCTION("""COMPUTED_VALUE"""),"Delivery Unit")</f>
        <v>Delivery Unit</v>
      </c>
      <c r="J2523" s="55" t="str">
        <f ca="1">IFERROR(__xludf.DUMMYFUNCTION("""COMPUTED_VALUE"""),"Alta")</f>
        <v>Alta</v>
      </c>
      <c r="K2523" s="25">
        <f ca="1">IFERROR(__xludf.DUMMYFUNCTION("""COMPUTED_VALUE"""),318)</f>
        <v>318</v>
      </c>
      <c r="L2523" s="62">
        <f ca="1">IFERROR(__xludf.DUMMYFUNCTION("""COMPUTED_VALUE"""),45077)</f>
        <v>45077</v>
      </c>
      <c r="M2523" s="25" t="str">
        <f ca="1">IFERROR(__xludf.DUMMYFUNCTION("""COMPUTED_VALUE"""),"- Se está avanzando en el proceso de contratación de una persona que adelante la consolidación y formalización de estas alianzas. Por otro lado, se avanzó en la exploración de alianzas con otras entidades de la Administración Distrital mediante el envío d"&amp;"e oficios a todas las Secretarias para indagar soibre los proyectos de intervención que tiene cada entidad sobre los corredores viales priorizados. 
- Una vez cumplidos los requisitos de contratación de la persona que estará a cargo de las alianzas, se i"&amp;"niciará con la formalización y puesta en marcha de las acciones.  
-  Los candidatos que se han presentado han declinado la invitación por múltiples razones. Se está buscando una persona de planta que pueda atender esta obligaciones. ")</f>
        <v xml:space="preserve">- Se está avanzando en el proceso de contratación de una persona que adelante la consolidación y formalización de estas alianzas. Por otro lado, se avanzó en la exploración de alianzas con otras entidades de la Administración Distrital mediante el envío de oficios a todas las Secretarias para indagar soibre los proyectos de intervención que tiene cada entidad sobre los corredores viales priorizados. 
- Una vez cumplidos los requisitos de contratación de la persona que estará a cargo de las alianzas, se iniciará con la formalización y puesta en marcha de las acciones.  
-  Los candidatos que se han presentado han declinado la invitación por múltiples razones. Se está buscando una persona de planta que pueda atender esta obligaciones. </v>
      </c>
      <c r="N2523" s="25"/>
      <c r="O2523" s="25" t="str">
        <f t="shared" ca="1" si="0"/>
        <v>Secretaría Distrital de Cultura, Recreación y Deporte</v>
      </c>
      <c r="P2523" s="25" t="str">
        <f t="shared" ca="1" si="2"/>
        <v/>
      </c>
      <c r="Q2523" s="25" t="str">
        <f ca="1">IFERROR(__xludf.DUMMYFUNCTION("""COMPUTED_VALUE"""),"Largo plazo")</f>
        <v>Largo plazo</v>
      </c>
      <c r="R2523" s="25"/>
      <c r="S2523" s="55"/>
      <c r="T2523" s="56"/>
      <c r="U2523" s="25"/>
      <c r="V2523" s="25"/>
      <c r="W2523" s="25"/>
      <c r="X2523" s="25"/>
      <c r="Y2523" s="25"/>
      <c r="Z2523" s="25"/>
    </row>
    <row r="2524" spans="1:26" ht="52.5" customHeight="1" x14ac:dyDescent="0.25">
      <c r="A2524" s="25" t="str">
        <f ca="1">IFERROR(__xludf.DUMMYFUNCTION("""COMPUTED_VALUE"""),"Cultu122")</f>
        <v>Cultu122</v>
      </c>
      <c r="B2524" s="25" t="str">
        <f ca="1">IFERROR(__xludf.DUMMYFUNCTION("""COMPUTED_VALUE"""),"Reunión Idartes pintura de puentes")</f>
        <v>Reunión Idartes pintura de puentes</v>
      </c>
      <c r="C2524" s="55">
        <f ca="1">IFERROR(__xludf.DUMMYFUNCTION("""COMPUTED_VALUE"""),44789)</f>
        <v>44789</v>
      </c>
      <c r="D2524" s="25" t="str">
        <f ca="1">IFERROR(__xludf.DUMMYFUNCTION("""COMPUTED_VALUE"""),"Cultura")</f>
        <v>Cultura</v>
      </c>
      <c r="E2524" s="25" t="str">
        <f ca="1">IFERROR(__xludf.DUMMYFUNCTION("""COMPUTED_VALUE"""),"Secretaría Distrital de Cultura, Recreación y Deporte")</f>
        <v>Secretaría Distrital de Cultura, Recreación y Deporte</v>
      </c>
      <c r="F2524" s="25" t="str">
        <f ca="1">IFERROR(__xludf.DUMMYFUNCTION("""COMPUTED_VALUE"""),"La SCRD deberá articularse con IDARTES, IPES y UAESP para Intervenir 6 grandes ejes viales (Calle 26, Cra 10, Caracas, calle 80, Cra 13 y Cra 7) teniendo en cuenta:
6. Involucrar a los venderos informales, la iluminación, canecas de basura  y en poda de á"&amp;"rboles,
")</f>
        <v xml:space="preserve">La SCRD deberá articularse con IDARTES, IPES y UAESP para Intervenir 6 grandes ejes viales (Calle 26, Cra 10, Caracas, calle 80, Cra 13 y Cra 7) teniendo en cuenta:
6. Involucrar a los venderos informales, la iluminación, canecas de basura  y en poda de árboles,
</v>
      </c>
      <c r="G2524" s="25" t="str">
        <f ca="1">IFERROR(__xludf.DUMMYFUNCTION("""COMPUTED_VALUE"""),"99. Distrito")</f>
        <v>99. Distrito</v>
      </c>
      <c r="H2524" s="55">
        <f ca="1">IFERROR(__xludf.DUMMYFUNCTION("""COMPUTED_VALUE"""),45107)</f>
        <v>45107</v>
      </c>
      <c r="I2524" s="25" t="str">
        <f ca="1">IFERROR(__xludf.DUMMYFUNCTION("""COMPUTED_VALUE"""),"Delivery Unit")</f>
        <v>Delivery Unit</v>
      </c>
      <c r="J2524" s="55" t="str">
        <f ca="1">IFERROR(__xludf.DUMMYFUNCTION("""COMPUTED_VALUE"""),"Alta")</f>
        <v>Alta</v>
      </c>
      <c r="K2524" s="25">
        <f ca="1">IFERROR(__xludf.DUMMYFUNCTION("""COMPUTED_VALUE"""),318)</f>
        <v>318</v>
      </c>
      <c r="L2524" s="62">
        <f ca="1">IFERROR(__xludf.DUMMYFUNCTION("""COMPUTED_VALUE"""),45077)</f>
        <v>45077</v>
      </c>
      <c r="M2524" s="25" t="str">
        <f ca="1">IFERROR(__xludf.DUMMYFUNCTION("""COMPUTED_VALUE"""),"Se está avanzando en el proceso de contratación de una persona que adelante la consolidación y formalización de estas alianzas. Por otro lado, se avanzó en la exploración de alianzas con otras entidades de la Administración Distrital mediante el envío de "&amp;"oficios a todas las Secretarias para indagar soibre los proyectos de intervención que tiene cada entidad sobre los corredores viales priorizados.  
- Se decidió que esta tarea será asumida por parte de la dirección de Arte Cultura y Patrimonio, quien ya s"&amp;"e encuentra trabajando en esta articulación. 
 - Se ha acompañado a Idartes en las mesas de trabajo en la implemetación de Museo Abierto de Bogotá, en este momento, se encuentra en ejecución el proyecto. Idartes abrió portafolio del estimulos para artista"&amp;"s de la ciudad para intervenir los ejes. ")</f>
        <v xml:space="preserve">Se está avanzando en el proceso de contratación de una persona que adelante la consolidación y formalización de estas alianzas. Por otro lado, se avanzó en la exploración de alianzas con otras entidades de la Administración Distrital mediante el envío de oficios a todas las Secretarias para indagar soibre los proyectos de intervención que tiene cada entidad sobre los corredores viales priorizados.  
- Se decidió que esta tarea será asumida por parte de la dirección de Arte Cultura y Patrimonio, quien ya se encuentra trabajando en esta articulación. 
 - Se ha acompañado a Idartes en las mesas de trabajo en la implemetación de Museo Abierto de Bogotá, en este momento, se encuentra en ejecución el proyecto. Idartes abrió portafolio del estimulos para artistas de la ciudad para intervenir los ejes. </v>
      </c>
      <c r="N2524" s="25"/>
      <c r="O2524" s="25" t="str">
        <f t="shared" ca="1" si="0"/>
        <v>Secretaría Distrital de Cultura, Recreación y Deporte</v>
      </c>
      <c r="P2524" s="25" t="str">
        <f t="shared" ca="1" si="2"/>
        <v/>
      </c>
      <c r="Q2524" s="25" t="str">
        <f ca="1">IFERROR(__xludf.DUMMYFUNCTION("""COMPUTED_VALUE"""),"Largo plazo")</f>
        <v>Largo plazo</v>
      </c>
      <c r="R2524" s="25"/>
      <c r="S2524" s="55"/>
      <c r="T2524" s="56"/>
      <c r="U2524" s="25"/>
      <c r="V2524" s="25"/>
      <c r="W2524" s="25"/>
      <c r="X2524" s="25"/>
      <c r="Y2524" s="25"/>
      <c r="Z2524" s="25"/>
    </row>
    <row r="2525" spans="1:26" ht="52.5" customHeight="1" x14ac:dyDescent="0.25">
      <c r="A2525" s="25" t="str">
        <f ca="1">IFERROR(__xludf.DUMMYFUNCTION("""COMPUTED_VALUE"""),"Cultu123")</f>
        <v>Cultu123</v>
      </c>
      <c r="B2525" s="25" t="str">
        <f ca="1">IFERROR(__xludf.DUMMYFUNCTION("""COMPUTED_VALUE"""),"Reunión Idartes pintura de puentes")</f>
        <v>Reunión Idartes pintura de puentes</v>
      </c>
      <c r="C2525" s="55">
        <f ca="1">IFERROR(__xludf.DUMMYFUNCTION("""COMPUTED_VALUE"""),44789)</f>
        <v>44789</v>
      </c>
      <c r="D2525" s="25" t="str">
        <f ca="1">IFERROR(__xludf.DUMMYFUNCTION("""COMPUTED_VALUE"""),"Cultura")</f>
        <v>Cultura</v>
      </c>
      <c r="E2525" s="25" t="str">
        <f ca="1">IFERROR(__xludf.DUMMYFUNCTION("""COMPUTED_VALUE"""),"Secretaría Distrital de Cultura, Recreación y Deporte")</f>
        <v>Secretaría Distrital de Cultura, Recreación y Deporte</v>
      </c>
      <c r="F2525" s="25" t="str">
        <f ca="1">IFERROR(__xludf.DUMMYFUNCTION("""COMPUTED_VALUE"""),"Intervenir 6 grandes ejes viales (Calle 26, Cra 10, Caracas, calle 80, Cra 13 y Cra 7) teniendo en cuenta:
7. En el tramo de la Cra 7 hablar con la ETB para que este año hagan algo en los vidrios de la fachada que siempre grafitean, un vitral o algo pinta"&amp;"do en el vidrio.")</f>
        <v>Intervenir 6 grandes ejes viales (Calle 26, Cra 10, Caracas, calle 80, Cra 13 y Cra 7) teniendo en cuenta:
7. En el tramo de la Cra 7 hablar con la ETB para que este año hagan algo en los vidrios de la fachada que siempre grafitean, un vitral o algo pintado en el vidrio.</v>
      </c>
      <c r="G2525" s="25" t="str">
        <f ca="1">IFERROR(__xludf.DUMMYFUNCTION("""COMPUTED_VALUE"""),"99. Distrito")</f>
        <v>99. Distrito</v>
      </c>
      <c r="H2525" s="55">
        <f ca="1">IFERROR(__xludf.DUMMYFUNCTION("""COMPUTED_VALUE"""),44910)</f>
        <v>44910</v>
      </c>
      <c r="I2525" s="25"/>
      <c r="J2525" s="55" t="str">
        <f ca="1">IFERROR(__xludf.DUMMYFUNCTION("""COMPUTED_VALUE"""),"Media")</f>
        <v>Media</v>
      </c>
      <c r="K2525" s="25">
        <f ca="1">IFERROR(__xludf.DUMMYFUNCTION("""COMPUTED_VALUE"""),121)</f>
        <v>121</v>
      </c>
      <c r="L2525" s="62">
        <f ca="1">IFERROR(__xludf.DUMMYFUNCTION("""COMPUTED_VALUE"""),44941)</f>
        <v>44941</v>
      </c>
      <c r="M2525" s="25" t="str">
        <f ca="1">IFERROR(__xludf.DUMMYFUNCTION("""COMPUTED_VALUE"""),"Con la idea de aportar a la mejora del entorno urbano y realzar la importancia del arte y la cultura en la Carrera Séptima de Bogotá, entre el 29 de noviembre y el 8 de diciembre de 2022, la SCRD y la Empresa de Telecomunicaciones de Bogotá - ETB, se unie"&amp;"ron para realizar una intervención artística en los ventanales del edificio central de la empresa,  ubicado en la Carrera 7ma con calle 20, donde se intervinieron 160 m2 de superficie con arte urbano. La intervención fue el resultado de un espacio de co-c"&amp;"reación con niños y niñas entre 13 y 18 años de dos colegios de la ciudad, que entregaron un boceto del cual surgió la intervención realizada por artistas urbanos de las localidades de Santa Fe y La Candelaria, de igual forma se contó con el apoyo del per"&amp;"sonal del programa Chicos Reto del Idipron.")</f>
        <v>Con la idea de aportar a la mejora del entorno urbano y realzar la importancia del arte y la cultura en la Carrera Séptima de Bogotá, entre el 29 de noviembre y el 8 de diciembre de 2022, la SCRD y la Empresa de Telecomunicaciones de Bogotá - ETB, se unieron para realizar una intervención artística en los ventanales del edificio central de la empresa,  ubicado en la Carrera 7ma con calle 20, donde se intervinieron 160 m2 de superficie con arte urbano. La intervención fue el resultado de un espacio de co-creación con niños y niñas entre 13 y 18 años de dos colegios de la ciudad, que entregaron un boceto del cual surgió la intervención realizada por artistas urbanos de las localidades de Santa Fe y La Candelaria, de igual forma se contó con el apoyo del personal del programa Chicos Reto del Idipron.</v>
      </c>
      <c r="N2525" s="55">
        <f ca="1">IFERROR(__xludf.DUMMYFUNCTION("""COMPUTED_VALUE"""),44904)</f>
        <v>44904</v>
      </c>
      <c r="O2525" s="25" t="str">
        <f t="shared" ca="1" si="0"/>
        <v>Secretaría Distrital de Cultura, Recreación y Deporte</v>
      </c>
      <c r="P2525" s="25" t="str">
        <f t="shared" si="2"/>
        <v/>
      </c>
      <c r="Q2525" s="25" t="str">
        <f ca="1">IFERROR(__xludf.DUMMYFUNCTION("""COMPUTED_VALUE"""),"Mediano plazo")</f>
        <v>Mediano plazo</v>
      </c>
      <c r="R2525" s="25"/>
      <c r="S2525" s="55"/>
      <c r="T2525" s="56"/>
      <c r="U2525" s="25"/>
      <c r="V2525" s="25"/>
      <c r="W2525" s="25"/>
      <c r="X2525" s="25"/>
      <c r="Y2525" s="25"/>
      <c r="Z2525" s="25"/>
    </row>
    <row r="2526" spans="1:26" ht="52.5" customHeight="1" x14ac:dyDescent="0.25">
      <c r="A2526" s="25" t="str">
        <f ca="1">IFERROR(__xludf.DUMMYFUNCTION("""COMPUTED_VALUE"""),"Cultu124")</f>
        <v>Cultu124</v>
      </c>
      <c r="B2526" s="25" t="str">
        <f ca="1">IFERROR(__xludf.DUMMYFUNCTION("""COMPUTED_VALUE"""),"Reunión Banco de la República")</f>
        <v>Reunión Banco de la República</v>
      </c>
      <c r="C2526" s="55">
        <f ca="1">IFERROR(__xludf.DUMMYFUNCTION("""COMPUTED_VALUE"""),44806)</f>
        <v>44806</v>
      </c>
      <c r="D2526" s="25" t="str">
        <f ca="1">IFERROR(__xludf.DUMMYFUNCTION("""COMPUTED_VALUE"""),"Cultura")</f>
        <v>Cultura</v>
      </c>
      <c r="E2526" s="25" t="str">
        <f ca="1">IFERROR(__xludf.DUMMYFUNCTION("""COMPUTED_VALUE"""),"Instituto Distrital del Patrimonio Cultural")</f>
        <v>Instituto Distrital del Patrimonio Cultural</v>
      </c>
      <c r="F2526" s="25" t="str">
        <f ca="1">IFERROR(__xludf.DUMMYFUNCTION("""COMPUTED_VALUE"""),"Hacer un demo que vincule al rosario, banrep, dian, icfes e icetex para administrar la zona que conecta parque santander, parque de los periodistas y plazoleta del rosario")</f>
        <v>Hacer un demo que vincule al rosario, banrep, dian, icfes e icetex para administrar la zona que conecta parque santander, parque de los periodistas y plazoleta del rosario</v>
      </c>
      <c r="G2526" s="25" t="str">
        <f ca="1">IFERROR(__xludf.DUMMYFUNCTION("""COMPUTED_VALUE"""),"99. Distrito")</f>
        <v>99. Distrito</v>
      </c>
      <c r="H2526" s="55">
        <f ca="1">IFERROR(__xludf.DUMMYFUNCTION("""COMPUTED_VALUE"""),44836)</f>
        <v>44836</v>
      </c>
      <c r="I2526" s="25"/>
      <c r="J2526" s="55" t="str">
        <f ca="1">IFERROR(__xludf.DUMMYFUNCTION("""COMPUTED_VALUE"""),"Alta")</f>
        <v>Alta</v>
      </c>
      <c r="K2526" s="25">
        <f ca="1">IFERROR(__xludf.DUMMYFUNCTION("""COMPUTED_VALUE"""),30)</f>
        <v>30</v>
      </c>
      <c r="L2526" s="62">
        <f ca="1">IFERROR(__xludf.DUMMYFUNCTION("""COMPUTED_VALUE"""),45077)</f>
        <v>45077</v>
      </c>
      <c r="M2526" s="25" t="str">
        <f ca="1">IFERROR(__xludf.DUMMYFUNCTION("""COMPUTED_VALUE"""),"El DEMO en el área del Parque Santander está siendo reglamentado por el DADEP con el objeto de permitir su explotación por parte de asociaciones de comerciantes legalmente constituidas. Gracias a la gestión de FUGA e IDPC conjuntamente con el BANREP se es"&amp;"tán mejorando condiciones del espacio público en el sector. Otras acciones estaban contenidas en el convenio planteado al Banco de la República que no se firmó por cuanto la Junta Directiva no lo aprob")</f>
        <v>El DEMO en el área del Parque Santander está siendo reglamentado por el DADEP con el objeto de permitir su explotación por parte de asociaciones de comerciantes legalmente constituidas. Gracias a la gestión de FUGA e IDPC conjuntamente con el BANREP se están mejorando condiciones del espacio público en el sector. Otras acciones estaban contenidas en el convenio planteado al Banco de la República que no se firmó por cuanto la Junta Directiva no lo aprob</v>
      </c>
      <c r="N2526" s="55">
        <f ca="1">IFERROR(__xludf.DUMMYFUNCTION("""COMPUTED_VALUE"""),45077)</f>
        <v>45077</v>
      </c>
      <c r="O2526" s="25" t="str">
        <f t="shared" ca="1" si="0"/>
        <v>Instituto Distrital del Patrimonio Cultural</v>
      </c>
      <c r="P2526" s="25" t="str">
        <f t="shared" si="2"/>
        <v/>
      </c>
      <c r="Q2526" s="25" t="str">
        <f ca="1">IFERROR(__xludf.DUMMYFUNCTION("""COMPUTED_VALUE"""),"Corto plazo")</f>
        <v>Corto plazo</v>
      </c>
      <c r="R2526" s="25"/>
      <c r="S2526" s="55"/>
      <c r="T2526" s="56"/>
      <c r="U2526" s="25"/>
      <c r="V2526" s="25"/>
      <c r="W2526" s="25"/>
      <c r="X2526" s="25"/>
      <c r="Y2526" s="25"/>
      <c r="Z2526" s="25"/>
    </row>
    <row r="2527" spans="1:26" ht="52.5" customHeight="1" x14ac:dyDescent="0.25">
      <c r="A2527" s="25" t="str">
        <f ca="1">IFERROR(__xludf.DUMMYFUNCTION("""COMPUTED_VALUE"""),"Cultu125")</f>
        <v>Cultu125</v>
      </c>
      <c r="B2527" s="25" t="str">
        <f ca="1">IFERROR(__xludf.DUMMYFUNCTION("""COMPUTED_VALUE"""),"Reunión Ministerio de Cultura")</f>
        <v>Reunión Ministerio de Cultura</v>
      </c>
      <c r="C2527" s="55">
        <f ca="1">IFERROR(__xludf.DUMMYFUNCTION("""COMPUTED_VALUE"""),44616)</f>
        <v>44616</v>
      </c>
      <c r="D2527" s="25" t="str">
        <f ca="1">IFERROR(__xludf.DUMMYFUNCTION("""COMPUTED_VALUE"""),"Cultura")</f>
        <v>Cultura</v>
      </c>
      <c r="E2527" s="25" t="str">
        <f ca="1">IFERROR(__xludf.DUMMYFUNCTION("""COMPUTED_VALUE"""),"Instituto Distrital del Patrimonio Cultural")</f>
        <v>Instituto Distrital del Patrimonio Cultural</v>
      </c>
      <c r="F2527" s="25" t="str">
        <f ca="1">IFERROR(__xludf.DUMMYFUNCTION("""COMPUTED_VALUE"""),"Modificar el PEMP y pasarlo al Consejo Nacional de Patrimonio Cultural para el tema de Villa Adelaida.")</f>
        <v>Modificar el PEMP y pasarlo al Consejo Nacional de Patrimonio Cultural para el tema de Villa Adelaida.</v>
      </c>
      <c r="G2527" s="25" t="str">
        <f ca="1">IFERROR(__xludf.DUMMYFUNCTION("""COMPUTED_VALUE"""),"99. Distrito")</f>
        <v>99. Distrito</v>
      </c>
      <c r="H2527" s="55">
        <f ca="1">IFERROR(__xludf.DUMMYFUNCTION("""COMPUTED_VALUE"""),44986)</f>
        <v>44986</v>
      </c>
      <c r="I2527" s="25"/>
      <c r="J2527" s="55" t="str">
        <f ca="1">IFERROR(__xludf.DUMMYFUNCTION("""COMPUTED_VALUE"""),"Baja")</f>
        <v>Baja</v>
      </c>
      <c r="K2527" s="25">
        <f ca="1">IFERROR(__xludf.DUMMYFUNCTION("""COMPUTED_VALUE"""),370)</f>
        <v>370</v>
      </c>
      <c r="L2527" s="62">
        <f ca="1">IFERROR(__xludf.DUMMYFUNCTION("""COMPUTED_VALUE"""),44941)</f>
        <v>44941</v>
      </c>
      <c r="M2527" s="25" t="str">
        <f ca="1">IFERROR(__xludf.DUMMYFUNCTION("""COMPUTED_VALUE"""),"Se aprobaron las modificaciones al PEMP-CH
Con el cambio de administración ministerio de cultura planteo no tener intenciones de tomar decisiones inmediatas sobre posibles usos compartidos del predio Villa Adelaida.")</f>
        <v>Se aprobaron las modificaciones al PEMP-CH
Con el cambio de administración ministerio de cultura planteo no tener intenciones de tomar decisiones inmediatas sobre posibles usos compartidos del predio Villa Adelaida.</v>
      </c>
      <c r="N2527" s="55">
        <f ca="1">IFERROR(__xludf.DUMMYFUNCTION("""COMPUTED_VALUE"""),44953)</f>
        <v>44953</v>
      </c>
      <c r="O2527" s="25" t="str">
        <f t="shared" ca="1" si="0"/>
        <v>Instituto Distrital del Patrimonio Cultural</v>
      </c>
      <c r="P2527" s="25" t="str">
        <f t="shared" si="2"/>
        <v/>
      </c>
      <c r="Q2527" s="25" t="str">
        <f ca="1">IFERROR(__xludf.DUMMYFUNCTION("""COMPUTED_VALUE"""),"Largo plazo")</f>
        <v>Largo plazo</v>
      </c>
      <c r="R2527" s="25"/>
      <c r="S2527" s="55"/>
      <c r="T2527" s="56"/>
      <c r="U2527" s="25"/>
      <c r="V2527" s="25"/>
      <c r="W2527" s="25"/>
      <c r="X2527" s="25"/>
      <c r="Y2527" s="25"/>
      <c r="Z2527" s="25"/>
    </row>
    <row r="2528" spans="1:26" ht="52.5" customHeight="1" x14ac:dyDescent="0.25">
      <c r="A2528" s="25" t="str">
        <f ca="1">IFERROR(__xludf.DUMMYFUNCTION("""COMPUTED_VALUE"""),"Cultu126")</f>
        <v>Cultu126</v>
      </c>
      <c r="B2528" s="25" t="str">
        <f ca="1">IFERROR(__xludf.DUMMYFUNCTION("""COMPUTED_VALUE"""),"Mesa sistema de cuidado presupuesto 2023")</f>
        <v>Mesa sistema de cuidado presupuesto 2023</v>
      </c>
      <c r="C2528" s="55">
        <f ca="1">IFERROR(__xludf.DUMMYFUNCTION("""COMPUTED_VALUE"""),44832)</f>
        <v>44832</v>
      </c>
      <c r="D2528" s="25" t="str">
        <f ca="1">IFERROR(__xludf.DUMMYFUNCTION("""COMPUTED_VALUE"""),"Cultura")</f>
        <v>Cultura</v>
      </c>
      <c r="E2528" s="25" t="str">
        <f ca="1">IFERROR(__xludf.DUMMYFUNCTION("""COMPUTED_VALUE"""),"Instituto Distrital de Recreación y Deporte")</f>
        <v>Instituto Distrital de Recreación y Deporte</v>
      </c>
      <c r="F2528" s="25" t="str">
        <f ca="1">IFERROR(__xludf.DUMMYFUNCTION("""COMPUTED_VALUE"""),"Articularse con la Secretaría Distrital de Integración Social y la Secretaria de la Mujer con el fin de definir el espacio y dejar operando las lavanderías y sala de habilidades digitales en el CEFE de San Cristóbal. ")</f>
        <v xml:space="preserve">Articularse con la Secretaría Distrital de Integración Social y la Secretaria de la Mujer con el fin de definir el espacio y dejar operando las lavanderías y sala de habilidades digitales en el CEFE de San Cristóbal. </v>
      </c>
      <c r="G2528" s="55" t="str">
        <f ca="1">IFERROR(__xludf.DUMMYFUNCTION("""COMPUTED_VALUE"""),"04. San Cristóbal")</f>
        <v>04. San Cristóbal</v>
      </c>
      <c r="H2528" s="55">
        <f ca="1">IFERROR(__xludf.DUMMYFUNCTION("""COMPUTED_VALUE"""),44910)</f>
        <v>44910</v>
      </c>
      <c r="I2528" s="25"/>
      <c r="J2528" s="55" t="str">
        <f ca="1">IFERROR(__xludf.DUMMYFUNCTION("""COMPUTED_VALUE"""),"Media")</f>
        <v>Media</v>
      </c>
      <c r="K2528" s="25">
        <f ca="1">IFERROR(__xludf.DUMMYFUNCTION("""COMPUTED_VALUE"""),78)</f>
        <v>78</v>
      </c>
      <c r="L2528" s="62">
        <f ca="1">IFERROR(__xludf.DUMMYFUNCTION("""COMPUTED_VALUE"""),44953)</f>
        <v>44953</v>
      </c>
      <c r="M2528" s="25" t="str">
        <f ca="1">IFERROR(__xludf.DUMMYFUNCTION("""COMPUTED_VALUE"""),"Las lavadoras ya están instaladas y funcionando. Las adecuaciones para el centro de habilidades están a cargo de la entidad que prestará el servicio.")</f>
        <v>Las lavadoras ya están instaladas y funcionando. Las adecuaciones para el centro de habilidades están a cargo de la entidad que prestará el servicio.</v>
      </c>
      <c r="N2528" s="55">
        <f ca="1">IFERROR(__xludf.DUMMYFUNCTION("""COMPUTED_VALUE"""),44895)</f>
        <v>44895</v>
      </c>
      <c r="O2528" s="25" t="str">
        <f t="shared" ca="1" si="0"/>
        <v>Instituto Distrital de Recreación y Deporte</v>
      </c>
      <c r="P2528" s="25" t="str">
        <f t="shared" si="2"/>
        <v/>
      </c>
      <c r="Q2528" s="25" t="str">
        <f ca="1">IFERROR(__xludf.DUMMYFUNCTION("""COMPUTED_VALUE"""),"Mediano plazo")</f>
        <v>Mediano plazo</v>
      </c>
      <c r="R2528" s="25"/>
      <c r="S2528" s="55"/>
      <c r="T2528" s="56"/>
      <c r="U2528" s="25"/>
      <c r="V2528" s="25"/>
      <c r="W2528" s="25"/>
      <c r="X2528" s="25"/>
      <c r="Y2528" s="25"/>
      <c r="Z2528" s="25"/>
    </row>
    <row r="2529" spans="1:26" ht="52.5" customHeight="1" x14ac:dyDescent="0.25">
      <c r="A2529" s="25" t="str">
        <f ca="1">IFERROR(__xludf.DUMMYFUNCTION("""COMPUTED_VALUE"""),"Cultu127")</f>
        <v>Cultu127</v>
      </c>
      <c r="B2529" s="25" t="str">
        <f ca="1">IFERROR(__xludf.DUMMYFUNCTION("""COMPUTED_VALUE"""),"Mesa sistema de cuidado presupuesto 2023")</f>
        <v>Mesa sistema de cuidado presupuesto 2023</v>
      </c>
      <c r="C2529" s="55">
        <f ca="1">IFERROR(__xludf.DUMMYFUNCTION("""COMPUTED_VALUE"""),44832)</f>
        <v>44832</v>
      </c>
      <c r="D2529" s="25" t="str">
        <f ca="1">IFERROR(__xludf.DUMMYFUNCTION("""COMPUTED_VALUE"""),"Cultura")</f>
        <v>Cultura</v>
      </c>
      <c r="E2529" s="25" t="str">
        <f ca="1">IFERROR(__xludf.DUMMYFUNCTION("""COMPUTED_VALUE"""),"Instituto Distrital de Recreación y Deporte")</f>
        <v>Instituto Distrital de Recreación y Deporte</v>
      </c>
      <c r="F2529" s="25" t="str">
        <f ca="1">IFERROR(__xludf.DUMMYFUNCTION("""COMPUTED_VALUE"""),"Para el festival del Joropo preguntar a Casanare si no se hace este año y se dejan los recursos reservados para hacerle en el 2023. ")</f>
        <v xml:space="preserve">Para el festival del Joropo preguntar a Casanare si no se hace este año y se dejan los recursos reservados para hacerle en el 2023. </v>
      </c>
      <c r="G2529" s="25" t="str">
        <f ca="1">IFERROR(__xludf.DUMMYFUNCTION("""COMPUTED_VALUE"""),"99. Distrito")</f>
        <v>99. Distrito</v>
      </c>
      <c r="H2529" s="55">
        <f ca="1">IFERROR(__xludf.DUMMYFUNCTION("""COMPUTED_VALUE"""),44862)</f>
        <v>44862</v>
      </c>
      <c r="I2529" s="25"/>
      <c r="J2529" s="55" t="str">
        <f ca="1">IFERROR(__xludf.DUMMYFUNCTION("""COMPUTED_VALUE"""),"Alta")</f>
        <v>Alta</v>
      </c>
      <c r="K2529" s="25">
        <f ca="1">IFERROR(__xludf.DUMMYFUNCTION("""COMPUTED_VALUE"""),30)</f>
        <v>30</v>
      </c>
      <c r="L2529" s="62">
        <f ca="1">IFERROR(__xludf.DUMMYFUNCTION("""COMPUTED_VALUE"""),44895)</f>
        <v>44895</v>
      </c>
      <c r="M2529" s="25" t="str">
        <f ca="1">IFERROR(__xludf.DUMMYFUNCTION("""COMPUTED_VALUE"""),"Se confirma que los días 5 y 6 de noviembre de 2022 se desarrolló el evento ""Joropo al Parque"" en la Plaza de Bolívar por parte del IDRD.
Por favor verificar el responsable de esta actividad, puesto que no se tiene dentro de los requerimientos y/o misi"&amp;"onalidad del IDRD, considerando que puede estar asignada a la Secretaría De Cultura.")</f>
        <v>Se confirma que los días 5 y 6 de noviembre de 2022 se desarrolló el evento "Joropo al Parque" en la Plaza de Bolívar por parte del IDRD.
Por favor verificar el responsable de esta actividad, puesto que no se tiene dentro de los requerimientos y/o misionalidad del IDRD, considerando que puede estar asignada a la Secretaría De Cultura.</v>
      </c>
      <c r="N2529" s="55">
        <f ca="1">IFERROR(__xludf.DUMMYFUNCTION("""COMPUTED_VALUE"""),44895)</f>
        <v>44895</v>
      </c>
      <c r="O2529" s="25" t="str">
        <f t="shared" ca="1" si="0"/>
        <v>Instituto Distrital de Recreación y Deporte</v>
      </c>
      <c r="P2529" s="25" t="str">
        <f t="shared" si="2"/>
        <v/>
      </c>
      <c r="Q2529" s="25" t="str">
        <f ca="1">IFERROR(__xludf.DUMMYFUNCTION("""COMPUTED_VALUE"""),"Corto plazo")</f>
        <v>Corto plazo</v>
      </c>
      <c r="R2529" s="25"/>
      <c r="S2529" s="55"/>
      <c r="T2529" s="56"/>
      <c r="U2529" s="25"/>
      <c r="V2529" s="25"/>
      <c r="W2529" s="25"/>
      <c r="X2529" s="25"/>
      <c r="Y2529" s="25"/>
      <c r="Z2529" s="25"/>
    </row>
    <row r="2530" spans="1:26" ht="52.5" customHeight="1" x14ac:dyDescent="0.25">
      <c r="A2530" s="25" t="str">
        <f ca="1">IFERROR(__xludf.DUMMYFUNCTION("""COMPUTED_VALUE"""),"Cultu128")</f>
        <v>Cultu128</v>
      </c>
      <c r="B2530" s="25" t="str">
        <f ca="1">IFERROR(__xludf.DUMMYFUNCTION("""COMPUTED_VALUE"""),"Mesa sistema de cuidado presupuesto 2023")</f>
        <v>Mesa sistema de cuidado presupuesto 2023</v>
      </c>
      <c r="C2530" s="55">
        <f ca="1">IFERROR(__xludf.DUMMYFUNCTION("""COMPUTED_VALUE"""),44832)</f>
        <v>44832</v>
      </c>
      <c r="D2530" s="25" t="str">
        <f ca="1">IFERROR(__xludf.DUMMYFUNCTION("""COMPUTED_VALUE"""),"Cultura")</f>
        <v>Cultura</v>
      </c>
      <c r="E2530" s="25" t="str">
        <f ca="1">IFERROR(__xludf.DUMMYFUNCTION("""COMPUTED_VALUE"""),"Instituto Distrital de las Artes")</f>
        <v>Instituto Distrital de las Artes</v>
      </c>
      <c r="F2530" s="25" t="str">
        <f ca="1">IFERROR(__xludf.DUMMYFUNCTION("""COMPUTED_VALUE"""),"Revisar si la operación de los tres nuevos teatros en el 2023 se puede hacer con la oferta del sector (OFB, por ejemplo)")</f>
        <v>Revisar si la operación de los tres nuevos teatros en el 2023 se puede hacer con la oferta del sector (OFB, por ejemplo)</v>
      </c>
      <c r="G2530" s="25" t="str">
        <f ca="1">IFERROR(__xludf.DUMMYFUNCTION("""COMPUTED_VALUE"""),"99. Distrito")</f>
        <v>99. Distrito</v>
      </c>
      <c r="H2530" s="55">
        <f ca="1">IFERROR(__xludf.DUMMYFUNCTION("""COMPUTED_VALUE"""),44862)</f>
        <v>44862</v>
      </c>
      <c r="I2530" s="25"/>
      <c r="J2530" s="55" t="str">
        <f ca="1">IFERROR(__xludf.DUMMYFUNCTION("""COMPUTED_VALUE"""),"Alta")</f>
        <v>Alta</v>
      </c>
      <c r="K2530" s="25">
        <f ca="1">IFERROR(__xludf.DUMMYFUNCTION("""COMPUTED_VALUE"""),30)</f>
        <v>30</v>
      </c>
      <c r="L2530" s="62">
        <f ca="1">IFERROR(__xludf.DUMMYFUNCTION("""COMPUTED_VALUE"""),44894)</f>
        <v>44894</v>
      </c>
      <c r="M2530" s="25" t="str">
        <f ca="1">IFERROR(__xludf.DUMMYFUNCTION("""COMPUTED_VALUE"""),"En desarrollo del convenio marco vigente con la OFB para programar a la Orquesta Filarmónica en los diferentes teatros de la ciudad incluyendo los nuevos espacios que entrarán en 2023, este convenio ha permitido tener programación de la OFB en los Teatros"&amp;" El Ensueño y el Teatro Jorge Eliécer Gaitán.
Es importante señalar que con OFB y la FUGA se tienen convenios vigentes con IDARTES para la programación de la oferta en los distintos equipamientos que están a cargo de IDARTES, sin embargo, la oferta de es"&amp;"tos convenios no es suficiente para garantizar la operación y programación de los mismos, lo que implica contar con recursos adicionales que permita a los habitantes de la ciudad contar con una programación permanente de estos nuevos escenarios.  ")</f>
        <v xml:space="preserve">En desarrollo del convenio marco vigente con la OFB para programar a la Orquesta Filarmónica en los diferentes teatros de la ciudad incluyendo los nuevos espacios que entrarán en 2023, este convenio ha permitido tener programación de la OFB en los Teatros El Ensueño y el Teatro Jorge Eliécer Gaitán.
Es importante señalar que con OFB y la FUGA se tienen convenios vigentes con IDARTES para la programación de la oferta en los distintos equipamientos que están a cargo de IDARTES, sin embargo, la oferta de estos convenios no es suficiente para garantizar la operación y programación de los mismos, lo que implica contar con recursos adicionales que permita a los habitantes de la ciudad contar con una programación permanente de estos nuevos escenarios.  </v>
      </c>
      <c r="N2530" s="55">
        <f ca="1">IFERROR(__xludf.DUMMYFUNCTION("""COMPUTED_VALUE"""),44894)</f>
        <v>44894</v>
      </c>
      <c r="O2530" s="25" t="str">
        <f t="shared" ca="1" si="0"/>
        <v>Instituto Distrital de las Artes</v>
      </c>
      <c r="P2530" s="25" t="str">
        <f t="shared" si="2"/>
        <v/>
      </c>
      <c r="Q2530" s="25" t="str">
        <f ca="1">IFERROR(__xludf.DUMMYFUNCTION("""COMPUTED_VALUE"""),"Corto plazo")</f>
        <v>Corto plazo</v>
      </c>
      <c r="R2530" s="25"/>
      <c r="S2530" s="55"/>
      <c r="T2530" s="56"/>
      <c r="U2530" s="25"/>
      <c r="V2530" s="25"/>
      <c r="W2530" s="25"/>
      <c r="X2530" s="25"/>
      <c r="Y2530" s="25"/>
      <c r="Z2530" s="25"/>
    </row>
    <row r="2531" spans="1:26" ht="52.5" customHeight="1" x14ac:dyDescent="0.25">
      <c r="A2531" s="25" t="str">
        <f ca="1">IFERROR(__xludf.DUMMYFUNCTION("""COMPUTED_VALUE"""),"Cultu129")</f>
        <v>Cultu129</v>
      </c>
      <c r="B2531" s="25" t="str">
        <f ca="1">IFERROR(__xludf.DUMMYFUNCTION("""COMPUTED_VALUE"""),"Mesa sistema de cuidado presupuesto 2023")</f>
        <v>Mesa sistema de cuidado presupuesto 2023</v>
      </c>
      <c r="C2531" s="55">
        <f ca="1">IFERROR(__xludf.DUMMYFUNCTION("""COMPUTED_VALUE"""),44832)</f>
        <v>44832</v>
      </c>
      <c r="D2531" s="25" t="str">
        <f ca="1">IFERROR(__xludf.DUMMYFUNCTION("""COMPUTED_VALUE"""),"Cultura")</f>
        <v>Cultura</v>
      </c>
      <c r="E2531" s="25" t="str">
        <f ca="1">IFERROR(__xludf.DUMMYFUNCTION("""COMPUTED_VALUE"""),"Instituto Distrital de las Artes")</f>
        <v>Instituto Distrital de las Artes</v>
      </c>
      <c r="F2531" s="25" t="str">
        <f ca="1">IFERROR(__xludf.DUMMYFUNCTION("""COMPUTED_VALUE"""),"Revisar con Ministerio de Cultura  el tema de arte urbano donde se adelanten propuestas conjuntas. ")</f>
        <v xml:space="preserve">Revisar con Ministerio de Cultura  el tema de arte urbano donde se adelanten propuestas conjuntas. </v>
      </c>
      <c r="G2531" s="25" t="str">
        <f ca="1">IFERROR(__xludf.DUMMYFUNCTION("""COMPUTED_VALUE"""),"99. Distrito")</f>
        <v>99. Distrito</v>
      </c>
      <c r="H2531" s="55">
        <f ca="1">IFERROR(__xludf.DUMMYFUNCTION("""COMPUTED_VALUE"""),44910)</f>
        <v>44910</v>
      </c>
      <c r="I2531" s="25"/>
      <c r="J2531" s="55" t="str">
        <f ca="1">IFERROR(__xludf.DUMMYFUNCTION("""COMPUTED_VALUE"""),"Media")</f>
        <v>Media</v>
      </c>
      <c r="K2531" s="25">
        <f ca="1">IFERROR(__xludf.DUMMYFUNCTION("""COMPUTED_VALUE"""),78)</f>
        <v>78</v>
      </c>
      <c r="L2531" s="62">
        <f ca="1">IFERROR(__xludf.DUMMYFUNCTION("""COMPUTED_VALUE"""),44941)</f>
        <v>44941</v>
      </c>
      <c r="M2531" s="25"/>
      <c r="N2531" s="55">
        <f ca="1">IFERROR(__xludf.DUMMYFUNCTION("""COMPUTED_VALUE"""),44894)</f>
        <v>44894</v>
      </c>
      <c r="O2531" s="25" t="str">
        <f t="shared" ca="1" si="0"/>
        <v>Instituto Distrital de las Artes</v>
      </c>
      <c r="P2531" s="25" t="str">
        <f t="shared" si="2"/>
        <v/>
      </c>
      <c r="Q2531" s="25" t="str">
        <f ca="1">IFERROR(__xludf.DUMMYFUNCTION("""COMPUTED_VALUE"""),"Mediano plazo")</f>
        <v>Mediano plazo</v>
      </c>
      <c r="R2531" s="25"/>
      <c r="S2531" s="55"/>
      <c r="T2531" s="56"/>
      <c r="U2531" s="25"/>
      <c r="V2531" s="25"/>
      <c r="W2531" s="25"/>
      <c r="X2531" s="25"/>
      <c r="Y2531" s="25"/>
      <c r="Z2531" s="25"/>
    </row>
    <row r="2532" spans="1:26" ht="52.5" customHeight="1" x14ac:dyDescent="0.25">
      <c r="A2532" s="25" t="str">
        <f ca="1">IFERROR(__xludf.DUMMYFUNCTION("""COMPUTED_VALUE"""),"Cultu130")</f>
        <v>Cultu130</v>
      </c>
      <c r="B2532" s="25" t="str">
        <f ca="1">IFERROR(__xludf.DUMMYFUNCTION("""COMPUTED_VALUE"""),"Mesa sistema de cuidado presupuesto 2023")</f>
        <v>Mesa sistema de cuidado presupuesto 2023</v>
      </c>
      <c r="C2532" s="55">
        <f ca="1">IFERROR(__xludf.DUMMYFUNCTION("""COMPUTED_VALUE"""),44832)</f>
        <v>44832</v>
      </c>
      <c r="D2532" s="25" t="str">
        <f ca="1">IFERROR(__xludf.DUMMYFUNCTION("""COMPUTED_VALUE"""),"Cultura")</f>
        <v>Cultura</v>
      </c>
      <c r="E2532" s="25" t="str">
        <f ca="1">IFERROR(__xludf.DUMMYFUNCTION("""COMPUTED_VALUE"""),"Instituto Distrital de Recreación y Deporte")</f>
        <v>Instituto Distrital de Recreación y Deporte</v>
      </c>
      <c r="F2532" s="25" t="str">
        <f ca="1">IFERROR(__xludf.DUMMYFUNCTION("""COMPUTED_VALUE"""),"Llevar a Consejo de Patrimonio la Unidad Deportiva del Salitre para ser excluido de BIC")</f>
        <v>Llevar a Consejo de Patrimonio la Unidad Deportiva del Salitre para ser excluido de BIC</v>
      </c>
      <c r="G2532" s="25" t="str">
        <f ca="1">IFERROR(__xludf.DUMMYFUNCTION("""COMPUTED_VALUE"""),"13. Teusaquillo")</f>
        <v>13. Teusaquillo</v>
      </c>
      <c r="H2532" s="55">
        <f ca="1">IFERROR(__xludf.DUMMYFUNCTION("""COMPUTED_VALUE"""),45017)</f>
        <v>45017</v>
      </c>
      <c r="I2532" s="25"/>
      <c r="J2532" s="55" t="str">
        <f ca="1">IFERROR(__xludf.DUMMYFUNCTION("""COMPUTED_VALUE"""),"Baja")</f>
        <v>Baja</v>
      </c>
      <c r="K2532" s="25">
        <f ca="1">IFERROR(__xludf.DUMMYFUNCTION("""COMPUTED_VALUE"""),185)</f>
        <v>185</v>
      </c>
      <c r="L2532" s="62">
        <f ca="1">IFERROR(__xludf.DUMMYFUNCTION("""COMPUTED_VALUE"""),44953)</f>
        <v>44953</v>
      </c>
      <c r="M2532" s="25" t="str">
        <f ca="1">IFERROR(__xludf.DUMMYFUNCTION("""COMPUTED_VALUE"""),"El concejo de patrimonio fue realizado el 14 de diciembre de 2022 y en él se aprobó la aclaración de la ficha BIC del edifico de ligas menores de la UDS, permitiendo actividades de demolición.")</f>
        <v>El concejo de patrimonio fue realizado el 14 de diciembre de 2022 y en él se aprobó la aclaración de la ficha BIC del edifico de ligas menores de la UDS, permitiendo actividades de demolición.</v>
      </c>
      <c r="N2532" s="55">
        <f ca="1">IFERROR(__xludf.DUMMYFUNCTION("""COMPUTED_VALUE"""),44895)</f>
        <v>44895</v>
      </c>
      <c r="O2532" s="25" t="str">
        <f t="shared" ca="1" si="0"/>
        <v>Instituto Distrital de Recreación y Deporte</v>
      </c>
      <c r="P2532" s="25" t="str">
        <f t="shared" si="2"/>
        <v/>
      </c>
      <c r="Q2532" s="25" t="str">
        <f ca="1">IFERROR(__xludf.DUMMYFUNCTION("""COMPUTED_VALUE"""),"Largo plazo")</f>
        <v>Largo plazo</v>
      </c>
      <c r="R2532" s="25" t="s">
        <v>79</v>
      </c>
      <c r="S2532" s="55">
        <v>44377</v>
      </c>
      <c r="T2532" s="56"/>
      <c r="U2532" s="25"/>
      <c r="V2532" s="25"/>
      <c r="W2532" s="25"/>
      <c r="X2532" s="25"/>
      <c r="Y2532" s="25"/>
      <c r="Z2532" s="25"/>
    </row>
    <row r="2533" spans="1:26" ht="52.5" customHeight="1" x14ac:dyDescent="0.25">
      <c r="A2533" s="25" t="str">
        <f ca="1">IFERROR(__xludf.DUMMYFUNCTION("""COMPUTED_VALUE"""),"Cultu131")</f>
        <v>Cultu131</v>
      </c>
      <c r="B2533" s="25" t="str">
        <f ca="1">IFERROR(__xludf.DUMMYFUNCTION("""COMPUTED_VALUE"""),"Mesa sistema de cuidado presupuesto 2023")</f>
        <v>Mesa sistema de cuidado presupuesto 2023</v>
      </c>
      <c r="C2533" s="55">
        <f ca="1">IFERROR(__xludf.DUMMYFUNCTION("""COMPUTED_VALUE"""),44832)</f>
        <v>44832</v>
      </c>
      <c r="D2533" s="25" t="str">
        <f ca="1">IFERROR(__xludf.DUMMYFUNCTION("""COMPUTED_VALUE"""),"Cultura")</f>
        <v>Cultura</v>
      </c>
      <c r="E2533" s="25" t="str">
        <f ca="1">IFERROR(__xludf.DUMMYFUNCTION("""COMPUTED_VALUE"""),"Instituto Distrital de Recreación y Deporte")</f>
        <v>Instituto Distrital de Recreación y Deporte</v>
      </c>
      <c r="F2533" s="25" t="str">
        <f ca="1">IFERROR(__xludf.DUMMYFUNCTION("""COMPUTED_VALUE"""),"Articularse con la SDA para presentar de manera conjunta el nuevo diseño del Parque Lineal Ambiental – no se hace la ciclorruta")</f>
        <v>Articularse con la SDA para presentar de manera conjunta el nuevo diseño del Parque Lineal Ambiental – no se hace la ciclorruta</v>
      </c>
      <c r="G2533" s="25" t="str">
        <f ca="1">IFERROR(__xludf.DUMMYFUNCTION("""COMPUTED_VALUE"""),"99. Distrito")</f>
        <v>99. Distrito</v>
      </c>
      <c r="H2533" s="55">
        <f ca="1">IFERROR(__xludf.DUMMYFUNCTION("""COMPUTED_VALUE"""),45017)</f>
        <v>45017</v>
      </c>
      <c r="I2533" s="25"/>
      <c r="J2533" s="55" t="str">
        <f ca="1">IFERROR(__xludf.DUMMYFUNCTION("""COMPUTED_VALUE"""),"Baja")</f>
        <v>Baja</v>
      </c>
      <c r="K2533" s="25">
        <f ca="1">IFERROR(__xludf.DUMMYFUNCTION("""COMPUTED_VALUE"""),185)</f>
        <v>185</v>
      </c>
      <c r="L2533" s="62">
        <f ca="1">IFERROR(__xludf.DUMMYFUNCTION("""COMPUTED_VALUE"""),44953)</f>
        <v>44953</v>
      </c>
      <c r="M2533" s="25" t="str">
        <f ca="1">IFERROR(__xludf.DUMMYFUNCTION("""COMPUTED_VALUE"""),"La articulación de diseño del parque linela se realizó de manera conjunta con la SDA y la comunidad aclarando en que la unidad de paisaje dos, la cual es la más cerca al humedal la Conejera, no se puede desarrollarse actividades de ciclo ruta.
Para dar c"&amp;"ontinuidad al parque en este sector, se hace necesario la articulación con el idu para realizar dicha actividad en zonas de vías bajo su administración, el idrd remitió diseños al instituto de desarrollo urbano.")</f>
        <v>La articulación de diseño del parque linela se realizó de manera conjunta con la SDA y la comunidad aclarando en que la unidad de paisaje dos, la cual es la más cerca al humedal la Conejera, no se puede desarrollarse actividades de ciclo ruta.
Para dar continuidad al parque en este sector, se hace necesario la articulación con el idu para realizar dicha actividad en zonas de vías bajo su administración, el idrd remitió diseños al instituto de desarrollo urbano.</v>
      </c>
      <c r="N2533" s="55">
        <f ca="1">IFERROR(__xludf.DUMMYFUNCTION("""COMPUTED_VALUE"""),44895)</f>
        <v>44895</v>
      </c>
      <c r="O2533" s="25" t="str">
        <f t="shared" ca="1" si="0"/>
        <v>Instituto Distrital de Recreación y Deporte</v>
      </c>
      <c r="P2533" s="25" t="str">
        <f t="shared" si="2"/>
        <v/>
      </c>
      <c r="Q2533" s="25" t="str">
        <f ca="1">IFERROR(__xludf.DUMMYFUNCTION("""COMPUTED_VALUE"""),"Largo plazo")</f>
        <v>Largo plazo</v>
      </c>
      <c r="R2533" s="25"/>
      <c r="S2533" s="55"/>
      <c r="T2533" s="56"/>
      <c r="U2533" s="25"/>
      <c r="V2533" s="25"/>
      <c r="W2533" s="25"/>
      <c r="X2533" s="25"/>
      <c r="Y2533" s="25"/>
      <c r="Z2533" s="25"/>
    </row>
    <row r="2534" spans="1:26" ht="52.5" customHeight="1" x14ac:dyDescent="0.25">
      <c r="A2534" s="25" t="str">
        <f ca="1">IFERROR(__xludf.DUMMYFUNCTION("""COMPUTED_VALUE"""),"Cultu132")</f>
        <v>Cultu132</v>
      </c>
      <c r="B2534" s="25" t="str">
        <f ca="1">IFERROR(__xludf.DUMMYFUNCTION("""COMPUTED_VALUE"""),"Mesa sistema de cuidado presupuesto 2023")</f>
        <v>Mesa sistema de cuidado presupuesto 2023</v>
      </c>
      <c r="C2534" s="55">
        <f ca="1">IFERROR(__xludf.DUMMYFUNCTION("""COMPUTED_VALUE"""),44832)</f>
        <v>44832</v>
      </c>
      <c r="D2534" s="25" t="str">
        <f ca="1">IFERROR(__xludf.DUMMYFUNCTION("""COMPUTED_VALUE"""),"Cultura")</f>
        <v>Cultura</v>
      </c>
      <c r="E2534" s="25" t="str">
        <f ca="1">IFERROR(__xludf.DUMMYFUNCTION("""COMPUTED_VALUE"""),"Secretaría Distrital de Cultura, Recreación y Deporte")</f>
        <v>Secretaría Distrital de Cultura, Recreación y Deporte</v>
      </c>
      <c r="F2534" s="25" t="str">
        <f ca="1">IFERROR(__xludf.DUMMYFUNCTION("""COMPUTED_VALUE"""),"Reunirse las Secretarías de Hacienda, Cultura y Mujer con la Ministra de Cultura para realizar un gran evento de mujeres con varios enfoques.")</f>
        <v>Reunirse las Secretarías de Hacienda, Cultura y Mujer con la Ministra de Cultura para realizar un gran evento de mujeres con varios enfoques.</v>
      </c>
      <c r="G2534" s="25" t="str">
        <f ca="1">IFERROR(__xludf.DUMMYFUNCTION("""COMPUTED_VALUE"""),"99. Distrito")</f>
        <v>99. Distrito</v>
      </c>
      <c r="H2534" s="55">
        <f ca="1">IFERROR(__xludf.DUMMYFUNCTION("""COMPUTED_VALUE"""),45107)</f>
        <v>45107</v>
      </c>
      <c r="I2534" s="25" t="str">
        <f ca="1">IFERROR(__xludf.DUMMYFUNCTION("""COMPUTED_VALUE"""),"Delivery Unit")</f>
        <v>Delivery Unit</v>
      </c>
      <c r="J2534" s="55" t="str">
        <f ca="1">IFERROR(__xludf.DUMMYFUNCTION("""COMPUTED_VALUE"""),"Media")</f>
        <v>Media</v>
      </c>
      <c r="K2534" s="25">
        <f ca="1">IFERROR(__xludf.DUMMYFUNCTION("""COMPUTED_VALUE"""),275)</f>
        <v>275</v>
      </c>
      <c r="L2534" s="62">
        <f ca="1">IFERROR(__xludf.DUMMYFUNCTION("""COMPUTED_VALUE"""),45077)</f>
        <v>45077</v>
      </c>
      <c r="M2534" s="25" t="str">
        <f ca="1">IFERROR(__xludf.DUMMYFUNCTION("""COMPUTED_VALUE"""),"Se realizó reunión con la Ministra de Cultura el pasado 19 de enero. En esta reunión estuvieron presentes Catalina Valencia, Secretaria de Cultura, Luz Amparo Medina, directora de la DDRI, Mauricio Galeano, Director de Idartes, Diego Peña, Alto Consejero "&amp;"para Paz. El propósito de la reunión fue articular acciones para la participación de mujeres con distintos enfoques en dos importantes eventos internacionales, que se realizarán en el mes de junio. Se tiene prevista una próxima reunión con fecha a concert"&amp;"ar por parte del Ministerio de Cultura. 
-Se tenía prevista reunión el pasado viernes 16 de febrero, no osbatnte, la misma fue cancelada. Adionalmente, el equipo de la SCRD se reunió con Idartes y la Alta Comisión para las Víctimas para conocer los porme"&amp;"nores, avances y necesidades del Foro Ciudades y Terriotiros de Paz. Se envió un formulario diligenciado  con los ejes temáticos de participación en la agenda del evento (10/02/2023)
- El 03 de marzo, después de la reunión en SCRD y la direcciones de rel"&amp;"aciones internacionales, se realizó contacto con Deissy Aparicio, asesora del Ministro de Cultura (E) quien se reunirá con el Ministro (E) y recibirá instrucciones sobre cómo avanzar o no en la articulación que se veían planeando.  
- A la fecha no se ha"&amp;"n concretado acciones por parte del Ministerio de Cultura, teniendo en cuenta que aún la cabeza del Ministerio se encuentra en encargo ")</f>
        <v xml:space="preserve">Se realizó reunión con la Ministra de Cultura el pasado 19 de enero. En esta reunión estuvieron presentes Catalina Valencia, Secretaria de Cultura, Luz Amparo Medina, directora de la DDRI, Mauricio Galeano, Director de Idartes, Diego Peña, Alto Consejero para Paz. El propósito de la reunión fue articular acciones para la participación de mujeres con distintos enfoques en dos importantes eventos internacionales, que se realizarán en el mes de junio. Se tiene prevista una próxima reunión con fecha a concertar por parte del Ministerio de Cultura. 
-Se tenía prevista reunión el pasado viernes 16 de febrero, no osbatnte, la misma fue cancelada. Adionalmente, el equipo de la SCRD se reunió con Idartes y la Alta Comisión para las Víctimas para conocer los pormenores, avances y necesidades del Foro Ciudades y Terriotiros de Paz. Se envió un formulario diligenciado  con los ejes temáticos de participación en la agenda del evento (10/02/2023)
- El 03 de marzo, después de la reunión en SCRD y la direcciones de relaciones internacionales, se realizó contacto con Deissy Aparicio, asesora del Ministro de Cultura (E) quien se reunirá con el Ministro (E) y recibirá instrucciones sobre cómo avanzar o no en la articulación que se veían planeando.  
- A la fecha no se han concretado acciones por parte del Ministerio de Cultura, teniendo en cuenta que aún la cabeza del Ministerio se encuentra en encargo </v>
      </c>
      <c r="N2534" s="25"/>
      <c r="O2534" s="25" t="str">
        <f t="shared" ca="1" si="0"/>
        <v>Secretaría Distrital de Cultura, Recreación y Deporte</v>
      </c>
      <c r="P2534" s="25" t="str">
        <f t="shared" ca="1" si="2"/>
        <v/>
      </c>
      <c r="Q2534" s="25" t="str">
        <f ca="1">IFERROR(__xludf.DUMMYFUNCTION("""COMPUTED_VALUE"""),"Largo plazo")</f>
        <v>Largo plazo</v>
      </c>
      <c r="R2534" s="25"/>
      <c r="S2534" s="55"/>
      <c r="T2534" s="56"/>
      <c r="U2534" s="25"/>
      <c r="V2534" s="25"/>
      <c r="W2534" s="25"/>
      <c r="X2534" s="25"/>
      <c r="Y2534" s="25"/>
      <c r="Z2534" s="25"/>
    </row>
    <row r="2535" spans="1:26" ht="52.5" customHeight="1" x14ac:dyDescent="0.25">
      <c r="A2535" s="25" t="str">
        <f ca="1">IFERROR(__xludf.DUMMYFUNCTION("""COMPUTED_VALUE"""),"Cultu133")</f>
        <v>Cultu133</v>
      </c>
      <c r="B2535" s="25" t="str">
        <f ca="1">IFERROR(__xludf.DUMMYFUNCTION("""COMPUTED_VALUE"""),"Mesa  sistema de cuidado presupuesto 2023")</f>
        <v>Mesa  sistema de cuidado presupuesto 2023</v>
      </c>
      <c r="C2535" s="55">
        <f ca="1">IFERROR(__xludf.DUMMYFUNCTION("""COMPUTED_VALUE"""),44832)</f>
        <v>44832</v>
      </c>
      <c r="D2535" s="25" t="str">
        <f ca="1">IFERROR(__xludf.DUMMYFUNCTION("""COMPUTED_VALUE"""),"Cultura")</f>
        <v>Cultura</v>
      </c>
      <c r="E2535" s="25" t="str">
        <f ca="1">IFERROR(__xludf.DUMMYFUNCTION("""COMPUTED_VALUE"""),"Canal Capital")</f>
        <v>Canal Capital</v>
      </c>
      <c r="F2535" s="25" t="str">
        <f ca="1">IFERROR(__xludf.DUMMYFUNCTION("""COMPUTED_VALUE"""),"Articularse con Smujer para realizar un programa con Canal Capital de cocina saludable en alguna manzana del cuidado. ")</f>
        <v xml:space="preserve">Articularse con Smujer para realizar un programa con Canal Capital de cocina saludable en alguna manzana del cuidado. </v>
      </c>
      <c r="G2535" s="25" t="str">
        <f ca="1">IFERROR(__xludf.DUMMYFUNCTION("""COMPUTED_VALUE"""),"99. Distrito")</f>
        <v>99. Distrito</v>
      </c>
      <c r="H2535" s="55">
        <f ca="1">IFERROR(__xludf.DUMMYFUNCTION("""COMPUTED_VALUE"""),45076)</f>
        <v>45076</v>
      </c>
      <c r="I2535" s="25" t="str">
        <f ca="1">IFERROR(__xludf.DUMMYFUNCTION("""COMPUTED_VALUE"""),"Delivery Unit")</f>
        <v>Delivery Unit</v>
      </c>
      <c r="J2535" s="55" t="str">
        <f ca="1">IFERROR(__xludf.DUMMYFUNCTION("""COMPUTED_VALUE"""),"Media")</f>
        <v>Media</v>
      </c>
      <c r="K2535" s="25">
        <f ca="1">IFERROR(__xludf.DUMMYFUNCTION("""COMPUTED_VALUE"""),244)</f>
        <v>244</v>
      </c>
      <c r="L2535" s="62">
        <f ca="1">IFERROR(__xludf.DUMMYFUNCTION("""COMPUTED_VALUE"""),45034)</f>
        <v>45034</v>
      </c>
      <c r="M2535" s="25" t="str">
        <f ca="1">IFERROR(__xludf.DUMMYFUNCTION("""COMPUTED_VALUE"""),"- Se prepara material y propuesta para presentar a S. Mujer por parte de Canal Capital, esto para determinar costos del proyecto.
- Se están realizando los ajustes en términos de presupuesto y estructura para presentar a la Secretaría de Mujer")</f>
        <v>- Se prepara material y propuesta para presentar a S. Mujer por parte de Canal Capital, esto para determinar costos del proyecto.
- Se están realizando los ajustes en términos de presupuesto y estructura para presentar a la Secretaría de Mujer</v>
      </c>
      <c r="N2535" s="25"/>
      <c r="O2535" s="25" t="str">
        <f t="shared" ca="1" si="0"/>
        <v>Canal Capital</v>
      </c>
      <c r="P2535" s="25" t="str">
        <f t="shared" ca="1" si="2"/>
        <v/>
      </c>
      <c r="Q2535" s="25" t="str">
        <f ca="1">IFERROR(__xludf.DUMMYFUNCTION("""COMPUTED_VALUE"""),"Largo plazo")</f>
        <v>Largo plazo</v>
      </c>
      <c r="R2535" s="25"/>
      <c r="S2535" s="55"/>
      <c r="T2535" s="56"/>
      <c r="U2535" s="25"/>
      <c r="V2535" s="25"/>
      <c r="W2535" s="25"/>
      <c r="X2535" s="25"/>
      <c r="Y2535" s="25"/>
      <c r="Z2535" s="25"/>
    </row>
    <row r="2536" spans="1:26" ht="52.5" customHeight="1" x14ac:dyDescent="0.25">
      <c r="A2536" s="25" t="str">
        <f ca="1">IFERROR(__xludf.DUMMYFUNCTION("""COMPUTED_VALUE"""),"Cultu134")</f>
        <v>Cultu134</v>
      </c>
      <c r="B2536" s="25" t="str">
        <f ca="1">IFERROR(__xludf.DUMMYFUNCTION("""COMPUTED_VALUE"""),"Prendida de velas")</f>
        <v>Prendida de velas</v>
      </c>
      <c r="C2536" s="55">
        <f ca="1">IFERROR(__xludf.DUMMYFUNCTION("""COMPUTED_VALUE"""),44902)</f>
        <v>44902</v>
      </c>
      <c r="D2536" s="25" t="str">
        <f ca="1">IFERROR(__xludf.DUMMYFUNCTION("""COMPUTED_VALUE"""),"Cultura")</f>
        <v>Cultura</v>
      </c>
      <c r="E2536" s="25" t="str">
        <f ca="1">IFERROR(__xludf.DUMMYFUNCTION("""COMPUTED_VALUE"""),"Instituto Distrital de las Artes")</f>
        <v>Instituto Distrital de las Artes</v>
      </c>
      <c r="F2536" s="25" t="str">
        <f ca="1">IFERROR(__xludf.DUMMYFUNCTION("""COMPUTED_VALUE"""),"Articularse con la Ministra de Cultura para revivir la Ópera rap")</f>
        <v>Articularse con la Ministra de Cultura para revivir la Ópera rap</v>
      </c>
      <c r="G2536" s="25" t="str">
        <f ca="1">IFERROR(__xludf.DUMMYFUNCTION("""COMPUTED_VALUE"""),"99. Distrito")</f>
        <v>99. Distrito</v>
      </c>
      <c r="H2536" s="55">
        <f ca="1">IFERROR(__xludf.DUMMYFUNCTION("""COMPUTED_VALUE"""),45017)</f>
        <v>45017</v>
      </c>
      <c r="I2536" s="25" t="str">
        <f ca="1">IFERROR(__xludf.DUMMYFUNCTION("""COMPUTED_VALUE"""),"Delivery Unit")</f>
        <v>Delivery Unit</v>
      </c>
      <c r="J2536" s="55" t="str">
        <f ca="1">IFERROR(__xludf.DUMMYFUNCTION("""COMPUTED_VALUE"""),"Baja")</f>
        <v>Baja</v>
      </c>
      <c r="K2536" s="25">
        <f ca="1">IFERROR(__xludf.DUMMYFUNCTION("""COMPUTED_VALUE"""),115)</f>
        <v>115</v>
      </c>
      <c r="L2536" s="62">
        <f ca="1">IFERROR(__xludf.DUMMYFUNCTION("""COMPUTED_VALUE"""),45075)</f>
        <v>45075</v>
      </c>
      <c r="M2536" s="25" t="str">
        <f ca="1">IFERROR(__xludf.DUMMYFUNCTION("""COMPUTED_VALUE"""),"- Se realizó reunión con la Ministra el 19 de enero junto con el Director de Idartes Mauricio Galeano, se agendará otra reunión con los equipos tanto del Ministerio como de Idartes para establecer cronograma y viabilidad presupuestalo del proyecto.
- Par"&amp;"a avanzar con este tema tenemos pendiente la reunión con el Ministerio de Cultura. Estamos a la espera de confirmación tenemos como fecha tentativa el viernes 03 de marzo de 2023.  
- La reunión del 3 de marzo no se realizó por cambios en el ministerio. E"&amp;"stamos a la espera de nombramiento en firme del nuevo ministro para retomar plan de trabajo para Opera Rap.")</f>
        <v>- Se realizó reunión con la Ministra el 19 de enero junto con el Director de Idartes Mauricio Galeano, se agendará otra reunión con los equipos tanto del Ministerio como de Idartes para establecer cronograma y viabilidad presupuestalo del proyecto.
- Para avanzar con este tema tenemos pendiente la reunión con el Ministerio de Cultura. Estamos a la espera de confirmación tenemos como fecha tentativa el viernes 03 de marzo de 2023.  
- La reunión del 3 de marzo no se realizó por cambios en el ministerio. Estamos a la espera de nombramiento en firme del nuevo ministro para retomar plan de trabajo para Opera Rap.</v>
      </c>
      <c r="N2536" s="25"/>
      <c r="O2536" s="25" t="str">
        <f t="shared" ca="1" si="0"/>
        <v>Instituto Distrital de las Artes</v>
      </c>
      <c r="P2536" s="25" t="str">
        <f t="shared" ca="1" si="2"/>
        <v/>
      </c>
      <c r="Q2536" s="25" t="str">
        <f ca="1">IFERROR(__xludf.DUMMYFUNCTION("""COMPUTED_VALUE"""),"Mediano plazo")</f>
        <v>Mediano plazo</v>
      </c>
      <c r="R2536" s="25"/>
      <c r="S2536" s="55"/>
      <c r="T2536" s="56"/>
      <c r="U2536" s="25"/>
      <c r="V2536" s="25"/>
      <c r="W2536" s="25"/>
      <c r="X2536" s="25"/>
      <c r="Y2536" s="25"/>
      <c r="Z2536" s="25"/>
    </row>
    <row r="2537" spans="1:26" ht="52.5" customHeight="1" x14ac:dyDescent="0.25">
      <c r="A2537" s="25" t="str">
        <f ca="1">IFERROR(__xludf.DUMMYFUNCTION("""COMPUTED_VALUE"""),"Cultu135")</f>
        <v>Cultu135</v>
      </c>
      <c r="B2537" s="25"/>
      <c r="C2537" s="55"/>
      <c r="D2537" s="25" t="str">
        <f ca="1">IFERROR(__xludf.DUMMYFUNCTION("""COMPUTED_VALUE"""),"Cultura")</f>
        <v>Cultura</v>
      </c>
      <c r="E2537" s="25" t="str">
        <f ca="1">IFERROR(__xludf.DUMMYFUNCTION("""COMPUTED_VALUE"""),"Instituto Distrital de Recreación y Deporte")</f>
        <v>Instituto Distrital de Recreación y Deporte</v>
      </c>
      <c r="F2537" s="25" t="str">
        <f ca="1">IFERROR(__xludf.DUMMYFUNCTION("""COMPUTED_VALUE"""),"Eliminada")</f>
        <v>Eliminada</v>
      </c>
      <c r="G2537" s="25"/>
      <c r="H2537" s="25"/>
      <c r="I2537" s="25"/>
      <c r="J2537" s="55" t="str">
        <f ca="1">IFERROR(__xludf.DUMMYFUNCTION("""COMPUTED_VALUE"""),"Baja")</f>
        <v>Baja</v>
      </c>
      <c r="K2537" s="25"/>
      <c r="L2537" s="62"/>
      <c r="M2537" s="25"/>
      <c r="N2537" s="25"/>
      <c r="O2537" s="25" t="str">
        <f t="shared" ca="1" si="0"/>
        <v>Instituto Distrital de Recreación y Deporte</v>
      </c>
      <c r="P2537" s="25" t="str">
        <f t="shared" si="2"/>
        <v/>
      </c>
      <c r="Q2537" s="25"/>
      <c r="R2537" s="25"/>
      <c r="S2537" s="55"/>
      <c r="T2537" s="56"/>
      <c r="U2537" s="25"/>
      <c r="V2537" s="25"/>
      <c r="W2537" s="25"/>
      <c r="X2537" s="25"/>
      <c r="Y2537" s="25"/>
      <c r="Z2537" s="25"/>
    </row>
    <row r="2538" spans="1:26" ht="52.5" customHeight="1" x14ac:dyDescent="0.25">
      <c r="A2538" s="25" t="str">
        <f ca="1">IFERROR(__xludf.DUMMYFUNCTION("""COMPUTED_VALUE"""),"Cultu136")</f>
        <v>Cultu136</v>
      </c>
      <c r="B2538" s="25"/>
      <c r="C2538" s="55"/>
      <c r="D2538" s="25" t="str">
        <f ca="1">IFERROR(__xludf.DUMMYFUNCTION("""COMPUTED_VALUE"""),"Cultura")</f>
        <v>Cultura</v>
      </c>
      <c r="E2538" s="25" t="str">
        <f ca="1">IFERROR(__xludf.DUMMYFUNCTION("""COMPUTED_VALUE"""),"Instituto Distrital de Recreación y Deporte")</f>
        <v>Instituto Distrital de Recreación y Deporte</v>
      </c>
      <c r="F2538" s="25" t="str">
        <f ca="1">IFERROR(__xludf.DUMMYFUNCTION("""COMPUTED_VALUE"""),"Eliminada")</f>
        <v>Eliminada</v>
      </c>
      <c r="G2538" s="25"/>
      <c r="H2538" s="25"/>
      <c r="I2538" s="25"/>
      <c r="J2538" s="55" t="str">
        <f ca="1">IFERROR(__xludf.DUMMYFUNCTION("""COMPUTED_VALUE"""),"Baja")</f>
        <v>Baja</v>
      </c>
      <c r="K2538" s="25"/>
      <c r="L2538" s="62"/>
      <c r="M2538" s="25"/>
      <c r="N2538" s="25"/>
      <c r="O2538" s="25" t="str">
        <f t="shared" ca="1" si="0"/>
        <v>Instituto Distrital de Recreación y Deporte</v>
      </c>
      <c r="P2538" s="25" t="str">
        <f t="shared" si="2"/>
        <v/>
      </c>
      <c r="Q2538" s="25"/>
      <c r="R2538" s="25"/>
      <c r="S2538" s="55"/>
      <c r="T2538" s="56"/>
      <c r="U2538" s="25"/>
      <c r="V2538" s="25"/>
      <c r="W2538" s="25"/>
      <c r="X2538" s="25"/>
      <c r="Y2538" s="25"/>
      <c r="Z2538" s="25"/>
    </row>
    <row r="2539" spans="1:26" ht="52.5" customHeight="1" x14ac:dyDescent="0.25">
      <c r="A2539" s="25" t="str">
        <f ca="1">IFERROR(__xludf.DUMMYFUNCTION("""COMPUTED_VALUE"""),"Cultu137")</f>
        <v>Cultu137</v>
      </c>
      <c r="B2539" s="25" t="str">
        <f ca="1">IFERROR(__xludf.DUMMYFUNCTION("""COMPUTED_VALUE"""),"Parque Bilbao")</f>
        <v>Parque Bilbao</v>
      </c>
      <c r="C2539" s="55">
        <f ca="1">IFERROR(__xludf.DUMMYFUNCTION("""COMPUTED_VALUE"""),44908)</f>
        <v>44908</v>
      </c>
      <c r="D2539" s="25" t="str">
        <f ca="1">IFERROR(__xludf.DUMMYFUNCTION("""COMPUTED_VALUE"""),"Cultura")</f>
        <v>Cultura</v>
      </c>
      <c r="E2539" s="25" t="str">
        <f ca="1">IFERROR(__xludf.DUMMYFUNCTION("""COMPUTED_VALUE"""),"Instituto Distrital de Recreación y Deporte")</f>
        <v>Instituto Distrital de Recreación y Deporte</v>
      </c>
      <c r="F2539" s="25" t="str">
        <f ca="1">IFERROR(__xludf.DUMMYFUNCTION("""COMPUTED_VALUE"""),"El IDRD y la Alcaldía Local debe enviar gimnasio nocturno en el Parque Bilbao.")</f>
        <v>El IDRD y la Alcaldía Local debe enviar gimnasio nocturno en el Parque Bilbao.</v>
      </c>
      <c r="G2539" s="25" t="str">
        <f ca="1">IFERROR(__xludf.DUMMYFUNCTION("""COMPUTED_VALUE"""),"11. Suba")</f>
        <v>11. Suba</v>
      </c>
      <c r="H2539" s="55">
        <f ca="1">IFERROR(__xludf.DUMMYFUNCTION("""COMPUTED_VALUE"""),45017)</f>
        <v>45017</v>
      </c>
      <c r="I2539" s="25" t="str">
        <f ca="1">IFERROR(__xludf.DUMMYFUNCTION("""COMPUTED_VALUE"""),"Secretaría Privada")</f>
        <v>Secretaría Privada</v>
      </c>
      <c r="J2539" s="55" t="str">
        <f ca="1">IFERROR(__xludf.DUMMYFUNCTION("""COMPUTED_VALUE"""),"Media")</f>
        <v>Media</v>
      </c>
      <c r="K2539" s="25">
        <f ca="1">IFERROR(__xludf.DUMMYFUNCTION("""COMPUTED_VALUE"""),109)</f>
        <v>109</v>
      </c>
      <c r="L2539" s="62">
        <f ca="1">IFERROR(__xludf.DUMMYFUNCTION("""COMPUTED_VALUE"""),45077)</f>
        <v>45077</v>
      </c>
      <c r="M2539" s="25" t="str">
        <f ca="1">IFERROR(__xludf.DUMMYFUNCTION("""COMPUTED_VALUE"""),"Se hicieron dos visitas al parque y se dio prioridad a la apertura de un grupo de actividad física para persona mayor los días miercoles de 8:30 a.m a 9:30 a.m., actualmente cuenta con la participación de 55 personas.
La situación de inseguridad que difi"&amp;"culta la apertura de gimnasio nocturno se mantiente, estamos en proceso de contratar instructores adicionales que permitan que sean por lo menos dos instructores los que presten el servicio simultánetamente a fin de que estén menos expuestos.")</f>
        <v>Se hicieron dos visitas al parque y se dio prioridad a la apertura de un grupo de actividad física para persona mayor los días miercoles de 8:30 a.m a 9:30 a.m., actualmente cuenta con la participación de 55 personas.
La situación de inseguridad que dificulta la apertura de gimnasio nocturno se mantiente, estamos en proceso de contratar instructores adicionales que permitan que sean por lo menos dos instructores los que presten el servicio simultánetamente a fin de que estén menos expuestos.</v>
      </c>
      <c r="N2539" s="25"/>
      <c r="O2539" s="25" t="str">
        <f t="shared" ca="1" si="0"/>
        <v>Instituto Distrital de Recreación y Deporte</v>
      </c>
      <c r="P2539" s="25" t="str">
        <f t="shared" ca="1" si="2"/>
        <v/>
      </c>
      <c r="Q2539" s="25" t="str">
        <f ca="1">IFERROR(__xludf.DUMMYFUNCTION("""COMPUTED_VALUE"""),"Mediano plazo")</f>
        <v>Mediano plazo</v>
      </c>
      <c r="R2539" s="25"/>
      <c r="S2539" s="55"/>
      <c r="T2539" s="56"/>
      <c r="U2539" s="25"/>
      <c r="V2539" s="25"/>
      <c r="W2539" s="25"/>
      <c r="X2539" s="25"/>
      <c r="Y2539" s="25"/>
      <c r="Z2539" s="25"/>
    </row>
    <row r="2540" spans="1:26" ht="52.5" customHeight="1" x14ac:dyDescent="0.25">
      <c r="A2540" s="25" t="str">
        <f ca="1">IFERROR(__xludf.DUMMYFUNCTION("""COMPUTED_VALUE"""),"Cultu138")</f>
        <v>Cultu138</v>
      </c>
      <c r="B2540" s="25" t="str">
        <f ca="1">IFERROR(__xludf.DUMMYFUNCTION("""COMPUTED_VALUE"""),"CEFE Cometas")</f>
        <v>CEFE Cometas</v>
      </c>
      <c r="C2540" s="55">
        <f ca="1">IFERROR(__xludf.DUMMYFUNCTION("""COMPUTED_VALUE"""),44910)</f>
        <v>44910</v>
      </c>
      <c r="D2540" s="25" t="str">
        <f ca="1">IFERROR(__xludf.DUMMYFUNCTION("""COMPUTED_VALUE"""),"Cultura")</f>
        <v>Cultura</v>
      </c>
      <c r="E2540" s="25" t="str">
        <f ca="1">IFERROR(__xludf.DUMMYFUNCTION("""COMPUTED_VALUE"""),"Instituto Distrital de Recreación y Deporte")</f>
        <v>Instituto Distrital de Recreación y Deporte</v>
      </c>
      <c r="F2540" s="25" t="str">
        <f ca="1">IFERROR(__xludf.DUMMYFUNCTION("""COMPUTED_VALUE"""),"El IDRD en articulación con la Secretaría de la Mujer deben revisar como vincular los CEFES al Sistema del Cuidado en conjunto con las cajas de compensación (CAFAM y COMPENSAR).")</f>
        <v>El IDRD en articulación con la Secretaría de la Mujer deben revisar como vincular los CEFES al Sistema del Cuidado en conjunto con las cajas de compensación (CAFAM y COMPENSAR).</v>
      </c>
      <c r="G2540" s="25" t="str">
        <f ca="1">IFERROR(__xludf.DUMMYFUNCTION("""COMPUTED_VALUE"""),"11. Suba")</f>
        <v>11. Suba</v>
      </c>
      <c r="H2540" s="55">
        <f ca="1">IFERROR(__xludf.DUMMYFUNCTION("""COMPUTED_VALUE"""),45017)</f>
        <v>45017</v>
      </c>
      <c r="I2540" s="25" t="str">
        <f ca="1">IFERROR(__xludf.DUMMYFUNCTION("""COMPUTED_VALUE"""),"Delivery Unit")</f>
        <v>Delivery Unit</v>
      </c>
      <c r="J2540" s="55" t="str">
        <f ca="1">IFERROR(__xludf.DUMMYFUNCTION("""COMPUTED_VALUE"""),"Alta")</f>
        <v>Alta</v>
      </c>
      <c r="K2540" s="25">
        <f ca="1">IFERROR(__xludf.DUMMYFUNCTION("""COMPUTED_VALUE"""),107)</f>
        <v>107</v>
      </c>
      <c r="L2540" s="62">
        <f ca="1">IFERROR(__xludf.DUMMYFUNCTION("""COMPUTED_VALUE"""),45077)</f>
        <v>45077</v>
      </c>
      <c r="M2540" s="25" t="str">
        <f ca="1">IFERROR(__xludf.DUMMYFUNCTION("""COMPUTED_VALUE"""),"Actualmente los CEFES de San Cristóbal y Fontanar del Río son infraestucturas ancla del sistema distrital de cuidado y se prestan servicios para cuidadoras y personas que necesitan cuidado. 
La negociación con las cajas de compensación en el marco del sis"&amp;"tema de cuidado la está liderando la secretaría de la mujer, por lo que solicitamos que esta tarea sea asignada a dicha entidad.")</f>
        <v>Actualmente los CEFES de San Cristóbal y Fontanar del Río son infraestucturas ancla del sistema distrital de cuidado y se prestan servicios para cuidadoras y personas que necesitan cuidado. 
La negociación con las cajas de compensación en el marco del sistema de cuidado la está liderando la secretaría de la mujer, por lo que solicitamos que esta tarea sea asignada a dicha entidad.</v>
      </c>
      <c r="N2540" s="25"/>
      <c r="O2540" s="25" t="str">
        <f t="shared" ca="1" si="0"/>
        <v>Instituto Distrital de Recreación y Deporte</v>
      </c>
      <c r="P2540" s="25" t="str">
        <f t="shared" ca="1" si="2"/>
        <v/>
      </c>
      <c r="Q2540" s="25" t="str">
        <f ca="1">IFERROR(__xludf.DUMMYFUNCTION("""COMPUTED_VALUE"""),"Mediano plazo")</f>
        <v>Mediano plazo</v>
      </c>
      <c r="R2540" s="25"/>
      <c r="S2540" s="55"/>
      <c r="T2540" s="56"/>
      <c r="U2540" s="25"/>
      <c r="V2540" s="25"/>
      <c r="W2540" s="25"/>
      <c r="X2540" s="25"/>
      <c r="Y2540" s="25"/>
      <c r="Z2540" s="25"/>
    </row>
    <row r="2541" spans="1:26" ht="52.5" customHeight="1" x14ac:dyDescent="0.25">
      <c r="A2541" s="25" t="str">
        <f ca="1">IFERROR(__xludf.DUMMYFUNCTION("""COMPUTED_VALUE"""),"Cultu139")</f>
        <v>Cultu139</v>
      </c>
      <c r="B2541" s="25" t="str">
        <f ca="1">IFERROR(__xludf.DUMMYFUNCTION("""COMPUTED_VALUE"""),"CEFE Cometas")</f>
        <v>CEFE Cometas</v>
      </c>
      <c r="C2541" s="55">
        <f ca="1">IFERROR(__xludf.DUMMYFUNCTION("""COMPUTED_VALUE"""),44910)</f>
        <v>44910</v>
      </c>
      <c r="D2541" s="25" t="str">
        <f ca="1">IFERROR(__xludf.DUMMYFUNCTION("""COMPUTED_VALUE"""),"Cultura")</f>
        <v>Cultura</v>
      </c>
      <c r="E2541" s="25" t="str">
        <f ca="1">IFERROR(__xludf.DUMMYFUNCTION("""COMPUTED_VALUE"""),"Instituto Distrital de Recreación y Deporte")</f>
        <v>Instituto Distrital de Recreación y Deporte</v>
      </c>
      <c r="F2541" s="25" t="str">
        <f ca="1">IFERROR(__xludf.DUMMYFUNCTION("""COMPUTED_VALUE"""),"Poner una obra de orte colgante en el puente del CEFE Cometas.")</f>
        <v>Poner una obra de orte colgante en el puente del CEFE Cometas.</v>
      </c>
      <c r="G2541" s="25" t="str">
        <f ca="1">IFERROR(__xludf.DUMMYFUNCTION("""COMPUTED_VALUE"""),"11. Suba")</f>
        <v>11. Suba</v>
      </c>
      <c r="H2541" s="55">
        <f ca="1">IFERROR(__xludf.DUMMYFUNCTION("""COMPUTED_VALUE"""),45017)</f>
        <v>45017</v>
      </c>
      <c r="I2541" s="25" t="str">
        <f ca="1">IFERROR(__xludf.DUMMYFUNCTION("""COMPUTED_VALUE"""),"Delivery Unit")</f>
        <v>Delivery Unit</v>
      </c>
      <c r="J2541" s="55" t="str">
        <f ca="1">IFERROR(__xludf.DUMMYFUNCTION("""COMPUTED_VALUE"""),"Baja")</f>
        <v>Baja</v>
      </c>
      <c r="K2541" s="25">
        <f ca="1">IFERROR(__xludf.DUMMYFUNCTION("""COMPUTED_VALUE"""),107)</f>
        <v>107</v>
      </c>
      <c r="L2541" s="62">
        <f ca="1">IFERROR(__xludf.DUMMYFUNCTION("""COMPUTED_VALUE"""),45077)</f>
        <v>45077</v>
      </c>
      <c r="M2541" s="25" t="str">
        <f ca="1">IFERROR(__xludf.DUMMYFUNCTION("""COMPUTED_VALUE"""),"La semana del 17 de mayo se dio inicio a la oferta de servicios del CEFE Cometas a la comunidad, sin embargo aún no tememos la oferta completa en operación, en este momento la prioridad es completar la oferta.")</f>
        <v>La semana del 17 de mayo se dio inicio a la oferta de servicios del CEFE Cometas a la comunidad, sin embargo aún no tememos la oferta completa en operación, en este momento la prioridad es completar la oferta.</v>
      </c>
      <c r="N2541" s="25"/>
      <c r="O2541" s="25" t="str">
        <f t="shared" ca="1" si="0"/>
        <v>Instituto Distrital de Recreación y Deporte</v>
      </c>
      <c r="P2541" s="25" t="str">
        <f t="shared" ca="1" si="2"/>
        <v/>
      </c>
      <c r="Q2541" s="25" t="str">
        <f ca="1">IFERROR(__xludf.DUMMYFUNCTION("""COMPUTED_VALUE"""),"Mediano plazo")</f>
        <v>Mediano plazo</v>
      </c>
      <c r="R2541" s="25"/>
      <c r="S2541" s="55"/>
      <c r="T2541" s="56"/>
      <c r="U2541" s="25"/>
      <c r="V2541" s="25"/>
      <c r="W2541" s="25"/>
      <c r="X2541" s="25"/>
      <c r="Y2541" s="25"/>
      <c r="Z2541" s="25"/>
    </row>
    <row r="2542" spans="1:26" ht="52.5" customHeight="1" x14ac:dyDescent="0.25">
      <c r="A2542" s="25" t="str">
        <f ca="1">IFERROR(__xludf.DUMMYFUNCTION("""COMPUTED_VALUE"""),"Cultu140")</f>
        <v>Cultu140</v>
      </c>
      <c r="B2542" s="25" t="str">
        <f ca="1">IFERROR(__xludf.DUMMYFUNCTION("""COMPUTED_VALUE"""),"Junta infraestructura- Proyectos regalías ")</f>
        <v xml:space="preserve">Junta infraestructura- Proyectos regalías </v>
      </c>
      <c r="C2542" s="55">
        <f ca="1">IFERROR(__xludf.DUMMYFUNCTION("""COMPUTED_VALUE"""),44902)</f>
        <v>44902</v>
      </c>
      <c r="D2542" s="25" t="str">
        <f ca="1">IFERROR(__xludf.DUMMYFUNCTION("""COMPUTED_VALUE"""),"Cultura")</f>
        <v>Cultura</v>
      </c>
      <c r="E2542" s="25" t="str">
        <f ca="1">IFERROR(__xludf.DUMMYFUNCTION("""COMPUTED_VALUE"""),"Instituto Distrital de Recreación y Deporte")</f>
        <v>Instituto Distrital de Recreación y Deporte</v>
      </c>
      <c r="F2542" s="25" t="str">
        <f ca="1">IFERROR(__xludf.DUMMYFUNCTION("""COMPUTED_VALUE"""),"El proyecto de la manzana del cuidado de Gibraltar debe ser financiada en su totalidad por regalías y con los recursos de cupo liberados se debe financiar la obra de la UDS el Salitre.")</f>
        <v>El proyecto de la manzana del cuidado de Gibraltar debe ser financiada en su totalidad por regalías y con los recursos de cupo liberados se debe financiar la obra de la UDS el Salitre.</v>
      </c>
      <c r="G2542" s="25" t="str">
        <f ca="1">IFERROR(__xludf.DUMMYFUNCTION("""COMPUTED_VALUE"""),"07. Bosa")</f>
        <v>07. Bosa</v>
      </c>
      <c r="H2542" s="55">
        <f ca="1">IFERROR(__xludf.DUMMYFUNCTION("""COMPUTED_VALUE"""),45017)</f>
        <v>45017</v>
      </c>
      <c r="I2542" s="25" t="str">
        <f ca="1">IFERROR(__xludf.DUMMYFUNCTION("""COMPUTED_VALUE"""),"Junta de Infraestructura")</f>
        <v>Junta de Infraestructura</v>
      </c>
      <c r="J2542" s="55" t="str">
        <f ca="1">IFERROR(__xludf.DUMMYFUNCTION("""COMPUTED_VALUE"""),"Media")</f>
        <v>Media</v>
      </c>
      <c r="K2542" s="25">
        <f ca="1">IFERROR(__xludf.DUMMYFUNCTION("""COMPUTED_VALUE"""),115)</f>
        <v>115</v>
      </c>
      <c r="L2542" s="62">
        <f ca="1">IFERROR(__xludf.DUMMYFUNCTION("""COMPUTED_VALUE"""),45076)</f>
        <v>45076</v>
      </c>
      <c r="M2542" s="25" t="str">
        <f ca="1">IFERROR(__xludf.DUMMYFUNCTION("""COMPUTED_VALUE"""),"El 16 de mayo de 2023 se remitió la validación del proyecto por la Secretaría de Cultura a la Secretaría de Planeación. El proyecto de Decreto mediante el cual se aprueban los recursos se encuentra en revisión de las áreas jurídicas de SCRD y SDP. Desde e"&amp;"l IDRD se emitió pronunciamiento el 25 de mayo mediante el radicado 20231100119721.")</f>
        <v>El 16 de mayo de 2023 se remitió la validación del proyecto por la Secretaría de Cultura a la Secretaría de Planeación. El proyecto de Decreto mediante el cual se aprueban los recursos se encuentra en revisión de las áreas jurídicas de SCRD y SDP. Desde el IDRD se emitió pronunciamiento el 25 de mayo mediante el radicado 20231100119721.</v>
      </c>
      <c r="N2542" s="25"/>
      <c r="O2542" s="25" t="str">
        <f t="shared" ca="1" si="0"/>
        <v>Instituto Distrital de Recreación y Deporte</v>
      </c>
      <c r="P2542" s="25" t="str">
        <f t="shared" ca="1" si="2"/>
        <v/>
      </c>
      <c r="Q2542" s="25" t="str">
        <f ca="1">IFERROR(__xludf.DUMMYFUNCTION("""COMPUTED_VALUE"""),"Mediano plazo")</f>
        <v>Mediano plazo</v>
      </c>
      <c r="R2542" s="25"/>
      <c r="S2542" s="55"/>
      <c r="T2542" s="56"/>
      <c r="U2542" s="25"/>
      <c r="V2542" s="25"/>
      <c r="W2542" s="25"/>
      <c r="X2542" s="25"/>
      <c r="Y2542" s="25"/>
      <c r="Z2542" s="25"/>
    </row>
    <row r="2543" spans="1:26" ht="52.5" customHeight="1" x14ac:dyDescent="0.25">
      <c r="A2543" s="25" t="str">
        <f ca="1">IFERROR(__xludf.DUMMYFUNCTION("""COMPUTED_VALUE"""),"Cultu141")</f>
        <v>Cultu141</v>
      </c>
      <c r="B2543" s="25" t="str">
        <f ca="1">IFERROR(__xludf.DUMMYFUNCTION("""COMPUTED_VALUE"""),"Reglamentación POT + AE reencuentro")</f>
        <v>Reglamentación POT + AE reencuentro</v>
      </c>
      <c r="C2543" s="55">
        <f ca="1">IFERROR(__xludf.DUMMYFUNCTION("""COMPUTED_VALUE"""),44942)</f>
        <v>44942</v>
      </c>
      <c r="D2543" s="25" t="str">
        <f ca="1">IFERROR(__xludf.DUMMYFUNCTION("""COMPUTED_VALUE"""),"Cultura")</f>
        <v>Cultura</v>
      </c>
      <c r="E2543" s="25" t="str">
        <f ca="1">IFERROR(__xludf.DUMMYFUNCTION("""COMPUTED_VALUE"""),"Instituto Distrital del Patrimonio Cultural")</f>
        <v>Instituto Distrital del Patrimonio Cultural</v>
      </c>
      <c r="F2543" s="25" t="str">
        <f ca="1">IFERROR(__xludf.DUMMYFUNCTION("""COMPUTED_VALUE"""),"Realizar seguimiento a la modificación del PEMP del Centro para viabilizar la formulación del Plan Parcial Estación Metro Calle 26 (con Alcaldesa)")</f>
        <v>Realizar seguimiento a la modificación del PEMP del Centro para viabilizar la formulación del Plan Parcial Estación Metro Calle 26 (con Alcaldesa)</v>
      </c>
      <c r="G2543" s="25" t="str">
        <f ca="1">IFERROR(__xludf.DUMMYFUNCTION("""COMPUTED_VALUE"""),"99. Distrito")</f>
        <v>99. Distrito</v>
      </c>
      <c r="H2543" s="55">
        <f ca="1">IFERROR(__xludf.DUMMYFUNCTION("""COMPUTED_VALUE"""),45000)</f>
        <v>45000</v>
      </c>
      <c r="I2543" s="25" t="str">
        <f ca="1">IFERROR(__xludf.DUMMYFUNCTION("""COMPUTED_VALUE"""),"Junta de Infraestructura")</f>
        <v>Junta de Infraestructura</v>
      </c>
      <c r="J2543" s="55" t="str">
        <f ca="1">IFERROR(__xludf.DUMMYFUNCTION("""COMPUTED_VALUE"""),"Alta")</f>
        <v>Alta</v>
      </c>
      <c r="K2543" s="25">
        <f ca="1">IFERROR(__xludf.DUMMYFUNCTION("""COMPUTED_VALUE"""),58)</f>
        <v>58</v>
      </c>
      <c r="L2543" s="62">
        <f ca="1">IFERROR(__xludf.DUMMYFUNCTION("""COMPUTED_VALUE"""),45077)</f>
        <v>45077</v>
      </c>
      <c r="M2543" s="25" t="str">
        <f ca="1">IFERROR(__xludf.DUMMYFUNCTION("""COMPUTED_VALUE"""),"Se realizó la modificación del PEMP CHB mediante Resolución 092 de 2023, donde se tomaron en consideración todas las observaciones de la ERU viabilizando la formulación del Plan parcial Estación Metro Calle 26")</f>
        <v>Se realizó la modificación del PEMP CHB mediante Resolución 092 de 2023, donde se tomaron en consideración todas las observaciones de la ERU viabilizando la formulación del Plan parcial Estación Metro Calle 26</v>
      </c>
      <c r="N2543" s="25"/>
      <c r="O2543" s="25" t="str">
        <f t="shared" ca="1" si="0"/>
        <v>Instituto Distrital del Patrimonio Cultural</v>
      </c>
      <c r="P2543" s="25" t="str">
        <f t="shared" ca="1" si="2"/>
        <v/>
      </c>
      <c r="Q2543" s="25" t="str">
        <f ca="1">IFERROR(__xludf.DUMMYFUNCTION("""COMPUTED_VALUE"""),"Corto plazo")</f>
        <v>Corto plazo</v>
      </c>
      <c r="R2543" s="25"/>
      <c r="S2543" s="55"/>
      <c r="T2543" s="56"/>
      <c r="U2543" s="25"/>
      <c r="V2543" s="25"/>
      <c r="W2543" s="25"/>
      <c r="X2543" s="25"/>
      <c r="Y2543" s="25"/>
      <c r="Z2543" s="25"/>
    </row>
    <row r="2544" spans="1:26" ht="52.5" customHeight="1" x14ac:dyDescent="0.25">
      <c r="A2544" s="25" t="str">
        <f ca="1">IFERROR(__xludf.DUMMYFUNCTION("""COMPUTED_VALUE"""),"Cultu142")</f>
        <v>Cultu142</v>
      </c>
      <c r="B2544" s="25" t="str">
        <f ca="1">IFERROR(__xludf.DUMMYFUNCTION("""COMPUTED_VALUE"""),"Ciclovía nocturna ")</f>
        <v xml:space="preserve">Ciclovía nocturna </v>
      </c>
      <c r="C2544" s="55">
        <f ca="1">IFERROR(__xludf.DUMMYFUNCTION("""COMPUTED_VALUE"""),44910)</f>
        <v>44910</v>
      </c>
      <c r="D2544" s="25" t="str">
        <f ca="1">IFERROR(__xludf.DUMMYFUNCTION("""COMPUTED_VALUE"""),"Cultura")</f>
        <v>Cultura</v>
      </c>
      <c r="E2544" s="25" t="str">
        <f ca="1">IFERROR(__xludf.DUMMYFUNCTION("""COMPUTED_VALUE"""),"Secretaría Distrital de Cultura, Recreación y Deporte")</f>
        <v>Secretaría Distrital de Cultura, Recreación y Deporte</v>
      </c>
      <c r="F2544" s="25" t="str">
        <f ca="1">IFERROR(__xludf.DUMMYFUNCTION("""COMPUTED_VALUE"""),"Los vecinos de la Plaza La Santamaría solicitan que en las bahías “parqueadero”  (no es privado) retiren las cuerdas que tienen algunas personas alrededor.")</f>
        <v>Los vecinos de la Plaza La Santamaría solicitan que en las bahías “parqueadero”  (no es privado) retiren las cuerdas que tienen algunas personas alrededor.</v>
      </c>
      <c r="G2544" s="25" t="str">
        <f ca="1">IFERROR(__xludf.DUMMYFUNCTION("""COMPUTED_VALUE"""),"03. Santa Fe")</f>
        <v>03. Santa Fe</v>
      </c>
      <c r="H2544" s="55">
        <f ca="1">IFERROR(__xludf.DUMMYFUNCTION("""COMPUTED_VALUE"""),44986)</f>
        <v>44986</v>
      </c>
      <c r="I2544" s="25" t="str">
        <f ca="1">IFERROR(__xludf.DUMMYFUNCTION("""COMPUTED_VALUE"""),"Secretaría Privada")</f>
        <v>Secretaría Privada</v>
      </c>
      <c r="J2544" s="55" t="str">
        <f ca="1">IFERROR(__xludf.DUMMYFUNCTION("""COMPUTED_VALUE"""),"Media")</f>
        <v>Media</v>
      </c>
      <c r="K2544" s="25">
        <f ca="1">IFERROR(__xludf.DUMMYFUNCTION("""COMPUTED_VALUE"""),76)</f>
        <v>76</v>
      </c>
      <c r="L2544" s="62">
        <f ca="1">IFERROR(__xludf.DUMMYFUNCTION("""COMPUTED_VALUE"""),45077)</f>
        <v>45077</v>
      </c>
      <c r="M2544" s="25" t="str">
        <f ca="1">IFERROR(__xludf.DUMMYFUNCTION("""COMPUTED_VALUE"""),"El equipo del IDPC está revisando con los vecinos del sector la solicitud y la posibilidad de llevar a cabo la intervención solicitada. ")</f>
        <v xml:space="preserve">El equipo del IDPC está revisando con los vecinos del sector la solicitud y la posibilidad de llevar a cabo la intervención solicitada. </v>
      </c>
      <c r="N2544" s="25"/>
      <c r="O2544" s="25" t="str">
        <f t="shared" ca="1" si="0"/>
        <v>Secretaría Distrital de Cultura, Recreación y Deporte</v>
      </c>
      <c r="P2544" s="25" t="str">
        <f t="shared" ca="1" si="2"/>
        <v/>
      </c>
      <c r="Q2544" s="25" t="str">
        <f ca="1">IFERROR(__xludf.DUMMYFUNCTION("""COMPUTED_VALUE"""),"Mediano plazo")</f>
        <v>Mediano plazo</v>
      </c>
      <c r="R2544" s="25"/>
      <c r="S2544" s="55"/>
      <c r="T2544" s="56"/>
      <c r="U2544" s="25"/>
      <c r="V2544" s="25"/>
      <c r="W2544" s="25"/>
      <c r="X2544" s="25"/>
      <c r="Y2544" s="25"/>
      <c r="Z2544" s="25"/>
    </row>
    <row r="2545" spans="1:26" ht="52.5" customHeight="1" x14ac:dyDescent="0.25">
      <c r="A2545" s="25" t="str">
        <f ca="1">IFERROR(__xludf.DUMMYFUNCTION("""COMPUTED_VALUE"""),"Cultu143")</f>
        <v>Cultu143</v>
      </c>
      <c r="B2545" s="25" t="str">
        <f ca="1">IFERROR(__xludf.DUMMYFUNCTION("""COMPUTED_VALUE"""),"Recorrido Puente Aranda")</f>
        <v>Recorrido Puente Aranda</v>
      </c>
      <c r="C2545" s="55">
        <f ca="1">IFERROR(__xludf.DUMMYFUNCTION("""COMPUTED_VALUE"""),44971)</f>
        <v>44971</v>
      </c>
      <c r="D2545" s="25" t="str">
        <f ca="1">IFERROR(__xludf.DUMMYFUNCTION("""COMPUTED_VALUE"""),"Cultura")</f>
        <v>Cultura</v>
      </c>
      <c r="E2545" s="25" t="str">
        <f ca="1">IFERROR(__xludf.DUMMYFUNCTION("""COMPUTED_VALUE"""),"Instituto Distrital de Recreación y Deporte")</f>
        <v>Instituto Distrital de Recreación y Deporte</v>
      </c>
      <c r="F2545" s="25" t="str">
        <f ca="1">IFERROR(__xludf.DUMMYFUNCTION("""COMPUTED_VALUE"""),"Obra parque ecológico aguaviva: Utilizar la misma señalización que se utilizó en los senderos para el parque (señalización que se hizo en conjunto con el IDT y la EAAB)")</f>
        <v>Obra parque ecológico aguaviva: Utilizar la misma señalización que se utilizó en los senderos para el parque (señalización que se hizo en conjunto con el IDT y la EAAB)</v>
      </c>
      <c r="G2545" s="25" t="str">
        <f ca="1">IFERROR(__xludf.DUMMYFUNCTION("""COMPUTED_VALUE"""),"16. Puente Aranda")</f>
        <v>16. Puente Aranda</v>
      </c>
      <c r="H2545" s="55">
        <f ca="1">IFERROR(__xludf.DUMMYFUNCTION("""COMPUTED_VALUE"""),45199)</f>
        <v>45199</v>
      </c>
      <c r="I2545" s="25" t="str">
        <f ca="1">IFERROR(__xludf.DUMMYFUNCTION("""COMPUTED_VALUE"""),"Secretaría Privada")</f>
        <v>Secretaría Privada</v>
      </c>
      <c r="J2545" s="55" t="str">
        <f ca="1">IFERROR(__xludf.DUMMYFUNCTION("""COMPUTED_VALUE"""),"Baja")</f>
        <v>Baja</v>
      </c>
      <c r="K2545" s="25">
        <f ca="1">IFERROR(__xludf.DUMMYFUNCTION("""COMPUTED_VALUE"""),228)</f>
        <v>228</v>
      </c>
      <c r="L2545" s="62">
        <f ca="1">IFERROR(__xludf.DUMMYFUNCTION("""COMPUTED_VALUE"""),45077)</f>
        <v>45077</v>
      </c>
      <c r="M2545" s="25" t="str">
        <f ca="1">IFERROR(__xludf.DUMMYFUNCTION("""COMPUTED_VALUE"""),"La obra tiene avance de ejecucion del 33% sin retraso en las actividades. Se tendrá en cuenta el diseño de la mencionada señaletica para utilizar elementos de la misma en el parque Aguaviva.")</f>
        <v>La obra tiene avance de ejecucion del 33% sin retraso en las actividades. Se tendrá en cuenta el diseño de la mencionada señaletica para utilizar elementos de la misma en el parque Aguaviva.</v>
      </c>
      <c r="N2545" s="25"/>
      <c r="O2545" s="25" t="str">
        <f t="shared" ca="1" si="0"/>
        <v>Instituto Distrital de Recreación y Deporte</v>
      </c>
      <c r="P2545" s="25" t="str">
        <f t="shared" ca="1" si="2"/>
        <v/>
      </c>
      <c r="Q2545" s="25" t="str">
        <f ca="1">IFERROR(__xludf.DUMMYFUNCTION("""COMPUTED_VALUE"""),"Largo plazo")</f>
        <v>Largo plazo</v>
      </c>
      <c r="R2545" s="25"/>
      <c r="S2545" s="55"/>
      <c r="T2545" s="56"/>
      <c r="U2545" s="25"/>
      <c r="V2545" s="25"/>
      <c r="W2545" s="25"/>
      <c r="X2545" s="25"/>
      <c r="Y2545" s="25"/>
      <c r="Z2545" s="25"/>
    </row>
    <row r="2546" spans="1:26" ht="52.5" customHeight="1" x14ac:dyDescent="0.25">
      <c r="A2546" s="25" t="str">
        <f ca="1">IFERROR(__xludf.DUMMYFUNCTION("""COMPUTED_VALUE"""),"Cultu144")</f>
        <v>Cultu144</v>
      </c>
      <c r="B2546" s="25"/>
      <c r="C2546" s="55"/>
      <c r="D2546" s="25" t="str">
        <f ca="1">IFERROR(__xludf.DUMMYFUNCTION("""COMPUTED_VALUE"""),"Cultura")</f>
        <v>Cultura</v>
      </c>
      <c r="E2546" s="25" t="str">
        <f ca="1">IFERROR(__xludf.DUMMYFUNCTION("""COMPUTED_VALUE"""),"Instituto Distrital de Recreación y Deporte")</f>
        <v>Instituto Distrital de Recreación y Deporte</v>
      </c>
      <c r="F2546" s="25" t="str">
        <f ca="1">IFERROR(__xludf.DUMMYFUNCTION("""COMPUTED_VALUE"""),"Eliminada")</f>
        <v>Eliminada</v>
      </c>
      <c r="G2546" s="25"/>
      <c r="H2546" s="25"/>
      <c r="I2546" s="25"/>
      <c r="J2546" s="55"/>
      <c r="K2546" s="25" t="str">
        <f ca="1">IFERROR(__xludf.DUMMYFUNCTION("""COMPUTED_VALUE"""),"Definir fecha")</f>
        <v>Definir fecha</v>
      </c>
      <c r="L2546" s="62"/>
      <c r="M2546" s="25"/>
      <c r="N2546" s="25"/>
      <c r="O2546" s="25" t="str">
        <f t="shared" ca="1" si="0"/>
        <v>Instituto Distrital de Recreación y Deporte</v>
      </c>
      <c r="P2546" s="25" t="str">
        <f t="shared" si="2"/>
        <v/>
      </c>
      <c r="Q2546" s="25" t="str">
        <f ca="1">IFERROR(__xludf.DUMMYFUNCTION("""COMPUTED_VALUE"""),"Sin defenir")</f>
        <v>Sin defenir</v>
      </c>
      <c r="R2546" s="25"/>
      <c r="S2546" s="55"/>
      <c r="T2546" s="56"/>
      <c r="U2546" s="25"/>
      <c r="V2546" s="25"/>
      <c r="W2546" s="25"/>
      <c r="X2546" s="25"/>
      <c r="Y2546" s="25"/>
      <c r="Z2546" s="25"/>
    </row>
    <row r="2547" spans="1:26" ht="52.5" customHeight="1" x14ac:dyDescent="0.25">
      <c r="A2547" s="25" t="str">
        <f ca="1">IFERROR(__xludf.DUMMYFUNCTION("""COMPUTED_VALUE"""),"Cultu145")</f>
        <v>Cultu145</v>
      </c>
      <c r="B2547" s="25" t="str">
        <f ca="1">IFERROR(__xludf.DUMMYFUNCTION("""COMPUTED_VALUE"""),"Junta infraestructura")</f>
        <v>Junta infraestructura</v>
      </c>
      <c r="C2547" s="55">
        <f ca="1">IFERROR(__xludf.DUMMYFUNCTION("""COMPUTED_VALUE"""),44970)</f>
        <v>44970</v>
      </c>
      <c r="D2547" s="25" t="str">
        <f ca="1">IFERROR(__xludf.DUMMYFUNCTION("""COMPUTED_VALUE"""),"Cultura")</f>
        <v>Cultura</v>
      </c>
      <c r="E2547" s="25" t="str">
        <f ca="1">IFERROR(__xludf.DUMMYFUNCTION("""COMPUTED_VALUE"""),"Secretaría Distrital de Cultura, Recreación y Deporte")</f>
        <v>Secretaría Distrital de Cultura, Recreación y Deporte</v>
      </c>
      <c r="F2547" s="25" t="str">
        <f ca="1">IFERROR(__xludf.DUMMYFUNCTION("""COMPUTED_VALUE"""),"Con los diseños definitivos del CEFE se debe avanzar en las necesidades de dotación y coordinar con las entidades que tendrán servicios para que el edificio esté dotado con el menor retraso posible al finalizar la obra.")</f>
        <v>Con los diseños definitivos del CEFE se debe avanzar en las necesidades de dotación y coordinar con las entidades que tendrán servicios para que el edificio esté dotado con el menor retraso posible al finalizar la obra.</v>
      </c>
      <c r="G2547" s="25" t="str">
        <f ca="1">IFERROR(__xludf.DUMMYFUNCTION("""COMPUTED_VALUE"""),"02. Chapinero")</f>
        <v>02. Chapinero</v>
      </c>
      <c r="H2547" s="55">
        <f ca="1">IFERROR(__xludf.DUMMYFUNCTION("""COMPUTED_VALUE"""),45108)</f>
        <v>45108</v>
      </c>
      <c r="I2547" s="25" t="str">
        <f ca="1">IFERROR(__xludf.DUMMYFUNCTION("""COMPUTED_VALUE"""),"Junta de Infraestructura")</f>
        <v>Junta de Infraestructura</v>
      </c>
      <c r="J2547" s="55" t="str">
        <f ca="1">IFERROR(__xludf.DUMMYFUNCTION("""COMPUTED_VALUE"""),"Alta")</f>
        <v>Alta</v>
      </c>
      <c r="K2547" s="25">
        <f ca="1">IFERROR(__xludf.DUMMYFUNCTION("""COMPUTED_VALUE"""),138)</f>
        <v>138</v>
      </c>
      <c r="L2547" s="62">
        <f ca="1">IFERROR(__xludf.DUMMYFUNCTION("""COMPUTED_VALUE"""),45077)</f>
        <v>45077</v>
      </c>
      <c r="M2547" s="25" t="str">
        <f ca="1">IFERROR(__xludf.DUMMYFUNCTION("""COMPUTED_VALUE"""),"- En la Junta de infraestructura del 24/03/2023, se informa que la SCRD está ajustando los balances y presupuestos con el fin de lograr optimizar los recursos y así poder instalar el máximo porcentaje de mobiliario en el marco del presente contrato.
-En "&amp;"este momento se encuentra en estudio de mercado ")</f>
        <v xml:space="preserve">- En la Junta de infraestructura del 24/03/2023, se informa que la SCRD está ajustando los balances y presupuestos con el fin de lograr optimizar los recursos y así poder instalar el máximo porcentaje de mobiliario en el marco del presente contrato.
-En este momento se encuentra en estudio de mercado </v>
      </c>
      <c r="N2547" s="25"/>
      <c r="O2547" s="25" t="str">
        <f t="shared" ca="1" si="0"/>
        <v>Secretaría Distrital de Cultura, Recreación y Deporte</v>
      </c>
      <c r="P2547" s="25" t="str">
        <f t="shared" ca="1" si="2"/>
        <v/>
      </c>
      <c r="Q2547" s="25" t="str">
        <f ca="1">IFERROR(__xludf.DUMMYFUNCTION("""COMPUTED_VALUE"""),"Mediano plazo")</f>
        <v>Mediano plazo</v>
      </c>
      <c r="R2547" s="25"/>
      <c r="S2547" s="55"/>
      <c r="T2547" s="56"/>
      <c r="U2547" s="25"/>
      <c r="V2547" s="25"/>
      <c r="W2547" s="25"/>
      <c r="X2547" s="25"/>
      <c r="Y2547" s="25"/>
      <c r="Z2547" s="25"/>
    </row>
    <row r="2548" spans="1:26" ht="52.5" customHeight="1" x14ac:dyDescent="0.25">
      <c r="A2548" s="25" t="str">
        <f ca="1">IFERROR(__xludf.DUMMYFUNCTION("""COMPUTED_VALUE"""),"Cultu146")</f>
        <v>Cultu146</v>
      </c>
      <c r="B2548" s="25" t="str">
        <f ca="1">IFERROR(__xludf.DUMMYFUNCTION("""COMPUTED_VALUE"""),"Junta infraestructura")</f>
        <v>Junta infraestructura</v>
      </c>
      <c r="C2548" s="55">
        <f ca="1">IFERROR(__xludf.DUMMYFUNCTION("""COMPUTED_VALUE"""),44970)</f>
        <v>44970</v>
      </c>
      <c r="D2548" s="25" t="str">
        <f ca="1">IFERROR(__xludf.DUMMYFUNCTION("""COMPUTED_VALUE"""),"Cultura")</f>
        <v>Cultura</v>
      </c>
      <c r="E2548" s="25" t="str">
        <f ca="1">IFERROR(__xludf.DUMMYFUNCTION("""COMPUTED_VALUE"""),"Secretaría Distrital de Cultura, Recreación y Deporte")</f>
        <v>Secretaría Distrital de Cultura, Recreación y Deporte</v>
      </c>
      <c r="F2548" s="25" t="str">
        <f ca="1">IFERROR(__xludf.DUMMYFUNCTION("""COMPUTED_VALUE"""),"Adicionar en el cerramiento del proyecto CEFE Chapinero información sobre los retrasos, adición, reprogramación y fechas de entrega.")</f>
        <v>Adicionar en el cerramiento del proyecto CEFE Chapinero información sobre los retrasos, adición, reprogramación y fechas de entrega.</v>
      </c>
      <c r="G2548" s="25" t="str">
        <f ca="1">IFERROR(__xludf.DUMMYFUNCTION("""COMPUTED_VALUE"""),"02. Chapinero")</f>
        <v>02. Chapinero</v>
      </c>
      <c r="H2548" s="55">
        <f ca="1">IFERROR(__xludf.DUMMYFUNCTION("""COMPUTED_VALUE"""),44998)</f>
        <v>44998</v>
      </c>
      <c r="I2548" s="25"/>
      <c r="J2548" s="55" t="str">
        <f ca="1">IFERROR(__xludf.DUMMYFUNCTION("""COMPUTED_VALUE"""),"Alta")</f>
        <v>Alta</v>
      </c>
      <c r="K2548" s="25">
        <f ca="1">IFERROR(__xludf.DUMMYFUNCTION("""COMPUTED_VALUE"""),28)</f>
        <v>28</v>
      </c>
      <c r="L2548" s="62">
        <f ca="1">IFERROR(__xludf.DUMMYFUNCTION("""COMPUTED_VALUE"""),45016)</f>
        <v>45016</v>
      </c>
      <c r="M2548" s="25" t="str">
        <f ca="1">IFERROR(__xludf.DUMMYFUNCTION("""COMPUTED_VALUE"""),"En la Junta de Infraestructura del 24/03/2023, se informó que teniendo en cuenta que a la fecha se encuentra instalada la valla original cuyo plazo de ejecución es de 20 meses, se propuso cambiarla con el mensaje acordado la valla está en proceso de elabo"&amp;"ración e instalación.")</f>
        <v>En la Junta de Infraestructura del 24/03/2023, se informó que teniendo en cuenta que a la fecha se encuentra instalada la valla original cuyo plazo de ejecución es de 20 meses, se propuso cambiarla con el mensaje acordado la valla está en proceso de elaboración e instalación.</v>
      </c>
      <c r="N2548" s="55">
        <f ca="1">IFERROR(__xludf.DUMMYFUNCTION("""COMPUTED_VALUE"""),45020)</f>
        <v>45020</v>
      </c>
      <c r="O2548" s="25" t="str">
        <f t="shared" ca="1" si="0"/>
        <v>Secretaría Distrital de Cultura, Recreación y Deporte</v>
      </c>
      <c r="P2548" s="25" t="str">
        <f t="shared" si="2"/>
        <v/>
      </c>
      <c r="Q2548" s="25" t="str">
        <f ca="1">IFERROR(__xludf.DUMMYFUNCTION("""COMPUTED_VALUE"""),"Corto plazo")</f>
        <v>Corto plazo</v>
      </c>
      <c r="R2548" s="25"/>
      <c r="S2548" s="55"/>
      <c r="T2548" s="56"/>
      <c r="U2548" s="25"/>
      <c r="V2548" s="25"/>
      <c r="W2548" s="25"/>
      <c r="X2548" s="25"/>
      <c r="Y2548" s="25"/>
      <c r="Z2548" s="25"/>
    </row>
    <row r="2549" spans="1:26" ht="52.5" customHeight="1" x14ac:dyDescent="0.25">
      <c r="A2549" s="25" t="str">
        <f ca="1">IFERROR(__xludf.DUMMYFUNCTION("""COMPUTED_VALUE"""),"Cultu147")</f>
        <v>Cultu147</v>
      </c>
      <c r="B2549" s="25" t="str">
        <f ca="1">IFERROR(__xludf.DUMMYFUNCTION("""COMPUTED_VALUE"""),"Junta infraestructura")</f>
        <v>Junta infraestructura</v>
      </c>
      <c r="C2549" s="55">
        <f ca="1">IFERROR(__xludf.DUMMYFUNCTION("""COMPUTED_VALUE"""),44970)</f>
        <v>44970</v>
      </c>
      <c r="D2549" s="25" t="str">
        <f ca="1">IFERROR(__xludf.DUMMYFUNCTION("""COMPUTED_VALUE"""),"Cultura")</f>
        <v>Cultura</v>
      </c>
      <c r="E2549" s="25" t="str">
        <f ca="1">IFERROR(__xludf.DUMMYFUNCTION("""COMPUTED_VALUE"""),"Instituto Distrital de Recreación y Deporte")</f>
        <v>Instituto Distrital de Recreación y Deporte</v>
      </c>
      <c r="F2549" s="25" t="str">
        <f ca="1">IFERROR(__xludf.DUMMYFUNCTION("""COMPUTED_VALUE"""),"Revisar los costos del parque aledaño a los proyectos de Gibraltar. Las entidades que están relacionadas con los proyectos (EAAB, SDA, IDRD) deben definir los lineamientos del parque recreativo e incluir este proyecto en el presupuesto 2024.")</f>
        <v>Revisar los costos del parque aledaño a los proyectos de Gibraltar. Las entidades que están relacionadas con los proyectos (EAAB, SDA, IDRD) deben definir los lineamientos del parque recreativo e incluir este proyecto en el presupuesto 2024.</v>
      </c>
      <c r="G2549" s="25" t="str">
        <f ca="1">IFERROR(__xludf.DUMMYFUNCTION("""COMPUTED_VALUE"""),"08. Kennedy")</f>
        <v>08. Kennedy</v>
      </c>
      <c r="H2549" s="55">
        <f ca="1">IFERROR(__xludf.DUMMYFUNCTION("""COMPUTED_VALUE"""),44998)</f>
        <v>44998</v>
      </c>
      <c r="I2549" s="25" t="str">
        <f ca="1">IFERROR(__xludf.DUMMYFUNCTION("""COMPUTED_VALUE"""),"Junta de Infraestructura")</f>
        <v>Junta de Infraestructura</v>
      </c>
      <c r="J2549" s="55" t="str">
        <f ca="1">IFERROR(__xludf.DUMMYFUNCTION("""COMPUTED_VALUE"""),"Alta")</f>
        <v>Alta</v>
      </c>
      <c r="K2549" s="25">
        <f ca="1">IFERROR(__xludf.DUMMYFUNCTION("""COMPUTED_VALUE"""),28)</f>
        <v>28</v>
      </c>
      <c r="L2549" s="62">
        <f ca="1">IFERROR(__xludf.DUMMYFUNCTION("""COMPUTED_VALUE"""),45077)</f>
        <v>45077</v>
      </c>
      <c r="M2549" s="25" t="str">
        <f ca="1">IFERROR(__xludf.DUMMYFUNCTION("""COMPUTED_VALUE"""),"La SDA remitió lineamientos ambientales el 30 de abril, lo que permite actualizar el presupuesto aproximado de las obras de los parques aledaños al CEFE y velódromo Gibraltar. Se trata de: parque recreodeportivo y parque ecológico. Frente al parque ecológ"&amp;"ico se está adelantando una consultoría para los diseños con un avance del 90% a corte 20 de mayo, que arrojará el presupuesto definitivo para la obra. Para el parque recreodeportivo ya se cuenta con diseños y con los lineamientos ambientales se actualiza"&amp;"rá el presupuesto, de manera preliminar se calcula que el presupuesto está alrededor de 130 mil millones. Se estima que los costos actualizados se tendrán para el mes de julio.")</f>
        <v>La SDA remitió lineamientos ambientales el 30 de abril, lo que permite actualizar el presupuesto aproximado de las obras de los parques aledaños al CEFE y velódromo Gibraltar. Se trata de: parque recreodeportivo y parque ecológico. Frente al parque ecológico se está adelantando una consultoría para los diseños con un avance del 90% a corte 20 de mayo, que arrojará el presupuesto definitivo para la obra. Para el parque recreodeportivo ya se cuenta con diseños y con los lineamientos ambientales se actualizará el presupuesto, de manera preliminar se calcula que el presupuesto está alrededor de 130 mil millones. Se estima que los costos actualizados se tendrán para el mes de julio.</v>
      </c>
      <c r="N2549" s="25"/>
      <c r="O2549" s="25" t="str">
        <f t="shared" ca="1" si="0"/>
        <v>Instituto Distrital de Recreación y Deporte</v>
      </c>
      <c r="P2549" s="25" t="str">
        <f t="shared" ca="1" si="2"/>
        <v/>
      </c>
      <c r="Q2549" s="25" t="str">
        <f ca="1">IFERROR(__xludf.DUMMYFUNCTION("""COMPUTED_VALUE"""),"Corto plazo")</f>
        <v>Corto plazo</v>
      </c>
      <c r="R2549" s="25"/>
      <c r="S2549" s="55"/>
      <c r="T2549" s="56"/>
      <c r="U2549" s="25"/>
      <c r="V2549" s="25"/>
      <c r="W2549" s="25"/>
      <c r="X2549" s="25"/>
      <c r="Y2549" s="25"/>
      <c r="Z2549" s="25"/>
    </row>
    <row r="2550" spans="1:26" ht="52.5" customHeight="1" x14ac:dyDescent="0.25">
      <c r="A2550" s="25" t="str">
        <f ca="1">IFERROR(__xludf.DUMMYFUNCTION("""COMPUTED_VALUE"""),"Cultu148")</f>
        <v>Cultu148</v>
      </c>
      <c r="B2550" s="25" t="str">
        <f ca="1">IFERROR(__xludf.DUMMYFUNCTION("""COMPUTED_VALUE"""),"Reunión Juegos parapanamericanos IDRD, MinDeporte")</f>
        <v>Reunión Juegos parapanamericanos IDRD, MinDeporte</v>
      </c>
      <c r="C2550" s="55">
        <f ca="1">IFERROR(__xludf.DUMMYFUNCTION("""COMPUTED_VALUE"""),44586)</f>
        <v>44586</v>
      </c>
      <c r="D2550" s="25" t="str">
        <f ca="1">IFERROR(__xludf.DUMMYFUNCTION("""COMPUTED_VALUE"""),"Cultura")</f>
        <v>Cultura</v>
      </c>
      <c r="E2550" s="25" t="str">
        <f ca="1">IFERROR(__xludf.DUMMYFUNCTION("""COMPUTED_VALUE"""),"Instituto Distrital de Recreación y Deporte")</f>
        <v>Instituto Distrital de Recreación y Deporte</v>
      </c>
      <c r="F2550" s="25" t="str">
        <f ca="1">IFERROR(__xludf.DUMMYFUNCTION("""COMPUTED_VALUE"""),"Divulgación y comunicaciones  para los Juegos parapanamericanos. Pensar con Henry Murrain en una campaña de comunicaciones en función de la cultura ciudadana, de emoción e inclusión. Incluir a Idartes")</f>
        <v>Divulgación y comunicaciones  para los Juegos parapanamericanos. Pensar con Henry Murrain en una campaña de comunicaciones en función de la cultura ciudadana, de emoción e inclusión. Incluir a Idartes</v>
      </c>
      <c r="G2550" s="25" t="str">
        <f ca="1">IFERROR(__xludf.DUMMYFUNCTION("""COMPUTED_VALUE"""),"99. Distrito")</f>
        <v>99. Distrito</v>
      </c>
      <c r="H2550" s="55">
        <f ca="1">IFERROR(__xludf.DUMMYFUNCTION("""COMPUTED_VALUE"""),45000)</f>
        <v>45000</v>
      </c>
      <c r="I2550" s="25" t="str">
        <f ca="1">IFERROR(__xludf.DUMMYFUNCTION("""COMPUTED_VALUE"""),"Delivery Unit")</f>
        <v>Delivery Unit</v>
      </c>
      <c r="J2550" s="55" t="str">
        <f ca="1">IFERROR(__xludf.DUMMYFUNCTION("""COMPUTED_VALUE"""),"Alta")</f>
        <v>Alta</v>
      </c>
      <c r="K2550" s="25">
        <f ca="1">IFERROR(__xludf.DUMMYFUNCTION("""COMPUTED_VALUE"""),414)</f>
        <v>414</v>
      </c>
      <c r="L2550" s="62">
        <f ca="1">IFERROR(__xludf.DUMMYFUNCTION("""COMPUTED_VALUE"""),45077)</f>
        <v>45077</v>
      </c>
      <c r="M2550" s="25" t="str">
        <f ca="1">IFERROR(__xludf.DUMMYFUNCTION("""COMPUTED_VALUE"""),"Los juegos inician el 2 de junio, ya se adelantaron las labores de divulgación corerspondientes")</f>
        <v>Los juegos inician el 2 de junio, ya se adelantaron las labores de divulgación corerspondientes</v>
      </c>
      <c r="N2550" s="25"/>
      <c r="O2550" s="25" t="str">
        <f t="shared" ca="1" si="0"/>
        <v>Instituto Distrital de Recreación y Deporte</v>
      </c>
      <c r="P2550" s="25" t="str">
        <f t="shared" ca="1" si="2"/>
        <v/>
      </c>
      <c r="Q2550" s="25" t="str">
        <f ca="1">IFERROR(__xludf.DUMMYFUNCTION("""COMPUTED_VALUE"""),"Largo plazo")</f>
        <v>Largo plazo</v>
      </c>
      <c r="R2550" s="25"/>
      <c r="S2550" s="55"/>
      <c r="T2550" s="56"/>
      <c r="U2550" s="25"/>
      <c r="V2550" s="25"/>
      <c r="W2550" s="25"/>
      <c r="X2550" s="25"/>
      <c r="Y2550" s="25"/>
      <c r="Z2550" s="25"/>
    </row>
    <row r="2551" spans="1:26" ht="52.5" customHeight="1" x14ac:dyDescent="0.25">
      <c r="A2551" s="25" t="str">
        <f ca="1">IFERROR(__xludf.DUMMYFUNCTION("""COMPUTED_VALUE"""),"Cultu149")</f>
        <v>Cultu149</v>
      </c>
      <c r="B2551" s="25" t="str">
        <f ca="1">IFERROR(__xludf.DUMMYFUNCTION("""COMPUTED_VALUE"""),"Recorrido Tunjuelito")</f>
        <v>Recorrido Tunjuelito</v>
      </c>
      <c r="C2551" s="55">
        <f ca="1">IFERROR(__xludf.DUMMYFUNCTION("""COMPUTED_VALUE"""),44992)</f>
        <v>44992</v>
      </c>
      <c r="D2551" s="25" t="str">
        <f ca="1">IFERROR(__xludf.DUMMYFUNCTION("""COMPUTED_VALUE"""),"Cultura")</f>
        <v>Cultura</v>
      </c>
      <c r="E2551" s="25" t="str">
        <f ca="1">IFERROR(__xludf.DUMMYFUNCTION("""COMPUTED_VALUE"""),"Instituto Distrital de Recreación y Deporte")</f>
        <v>Instituto Distrital de Recreación y Deporte</v>
      </c>
      <c r="F2551" s="25" t="str">
        <f ca="1">IFERROR(__xludf.DUMMYFUNCTION("""COMPUTED_VALUE"""),"Finalización de la obra de mejoramiento del parque la Araña a cargo del IDRD debe realizarse a finales del mes de mayo.")</f>
        <v>Finalización de la obra de mejoramiento del parque la Araña a cargo del IDRD debe realizarse a finales del mes de mayo.</v>
      </c>
      <c r="G2551" s="25" t="str">
        <f ca="1">IFERROR(__xludf.DUMMYFUNCTION("""COMPUTED_VALUE"""),"06. Tunjuelito")</f>
        <v>06. Tunjuelito</v>
      </c>
      <c r="H2551" s="55">
        <f ca="1">IFERROR(__xludf.DUMMYFUNCTION("""COMPUTED_VALUE"""),45076)</f>
        <v>45076</v>
      </c>
      <c r="I2551" s="25" t="str">
        <f ca="1">IFERROR(__xludf.DUMMYFUNCTION("""COMPUTED_VALUE"""),"Secretaría Privada")</f>
        <v>Secretaría Privada</v>
      </c>
      <c r="J2551" s="55" t="str">
        <f ca="1">IFERROR(__xludf.DUMMYFUNCTION("""COMPUTED_VALUE"""),"Media")</f>
        <v>Media</v>
      </c>
      <c r="K2551" s="25">
        <f ca="1">IFERROR(__xludf.DUMMYFUNCTION("""COMPUTED_VALUE"""),84)</f>
        <v>84</v>
      </c>
      <c r="L2551" s="62">
        <f ca="1">IFERROR(__xludf.DUMMYFUNCTION("""COMPUTED_VALUE"""),45077)</f>
        <v>45077</v>
      </c>
      <c r="M2551" s="25" t="str">
        <f ca="1">IFERROR(__xludf.DUMMYFUNCTION("""COMPUTED_VALUE"""),"De acuerdo con la información del área técnica este parque se denomina La Laguna código 6-003, las obras de mantenimiento tiene finalización proyectada para la segunda semana de junio.")</f>
        <v>De acuerdo con la información del área técnica este parque se denomina La Laguna código 6-003, las obras de mantenimiento tiene finalización proyectada para la segunda semana de junio.</v>
      </c>
      <c r="N2551" s="25"/>
      <c r="O2551" s="25" t="str">
        <f t="shared" ca="1" si="0"/>
        <v>Instituto Distrital de Recreación y Deporte</v>
      </c>
      <c r="P2551" s="25" t="str">
        <f t="shared" ca="1" si="2"/>
        <v/>
      </c>
      <c r="Q2551" s="25" t="str">
        <f ca="1">IFERROR(__xludf.DUMMYFUNCTION("""COMPUTED_VALUE"""),"Mediano plazo")</f>
        <v>Mediano plazo</v>
      </c>
      <c r="R2551" s="25"/>
      <c r="S2551" s="55"/>
      <c r="T2551" s="56"/>
      <c r="U2551" s="25"/>
      <c r="V2551" s="25"/>
      <c r="W2551" s="25"/>
      <c r="X2551" s="25"/>
      <c r="Y2551" s="25"/>
      <c r="Z2551" s="25"/>
    </row>
    <row r="2552" spans="1:26" ht="52.5" customHeight="1" x14ac:dyDescent="0.25">
      <c r="A2552" s="25" t="str">
        <f ca="1">IFERROR(__xludf.DUMMYFUNCTION("""COMPUTED_VALUE"""),"Cultu150")</f>
        <v>Cultu150</v>
      </c>
      <c r="B2552" s="25" t="str">
        <f ca="1">IFERROR(__xludf.DUMMYFUNCTION("""COMPUTED_VALUE"""),"Recorrido Tunjuelito")</f>
        <v>Recorrido Tunjuelito</v>
      </c>
      <c r="C2552" s="55">
        <f ca="1">IFERROR(__xludf.DUMMYFUNCTION("""COMPUTED_VALUE"""),44992)</f>
        <v>44992</v>
      </c>
      <c r="D2552" s="25" t="str">
        <f ca="1">IFERROR(__xludf.DUMMYFUNCTION("""COMPUTED_VALUE"""),"Cultura")</f>
        <v>Cultura</v>
      </c>
      <c r="E2552" s="25" t="str">
        <f ca="1">IFERROR(__xludf.DUMMYFUNCTION("""COMPUTED_VALUE"""),"Secretaría Distrital de Cultura, Recreación y Deporte")</f>
        <v>Secretaría Distrital de Cultura, Recreación y Deporte</v>
      </c>
      <c r="F2552" s="25" t="str">
        <f ca="1">IFERROR(__xludf.DUMMYFUNCTION("""COMPUTED_VALUE"""),"Finalización de obras del parque Redentor culminarán antes de mediados de marzo del 2023.")</f>
        <v>Finalización de obras del parque Redentor culminarán antes de mediados de marzo del 2023.</v>
      </c>
      <c r="G2552" s="25" t="str">
        <f ca="1">IFERROR(__xludf.DUMMYFUNCTION("""COMPUTED_VALUE"""),"06. Tunjuelito")</f>
        <v>06. Tunjuelito</v>
      </c>
      <c r="H2552" s="55">
        <f ca="1">IFERROR(__xludf.DUMMYFUNCTION("""COMPUTED_VALUE"""),45000)</f>
        <v>45000</v>
      </c>
      <c r="I2552" s="25" t="str">
        <f ca="1">IFERROR(__xludf.DUMMYFUNCTION("""COMPUTED_VALUE"""),"Secretaría Privada")</f>
        <v>Secretaría Privada</v>
      </c>
      <c r="J2552" s="55" t="str">
        <f ca="1">IFERROR(__xludf.DUMMYFUNCTION("""COMPUTED_VALUE"""),"Alta")</f>
        <v>Alta</v>
      </c>
      <c r="K2552" s="25">
        <f ca="1">IFERROR(__xludf.DUMMYFUNCTION("""COMPUTED_VALUE"""),8)</f>
        <v>8</v>
      </c>
      <c r="L2552" s="62">
        <f ca="1">IFERROR(__xludf.DUMMYFUNCTION("""COMPUTED_VALUE"""),45077)</f>
        <v>45077</v>
      </c>
      <c r="M2552" s="25" t="str">
        <f ca="1">IFERROR(__xludf.DUMMYFUNCTION("""COMPUTED_VALUE"""),"Esta tarea correponde a IDRD ")</f>
        <v xml:space="preserve">Esta tarea correponde a IDRD </v>
      </c>
      <c r="N2552" s="25"/>
      <c r="O2552" s="25" t="str">
        <f t="shared" ca="1" si="0"/>
        <v>Secretaría Distrital de Cultura, Recreación y Deporte</v>
      </c>
      <c r="P2552" s="25" t="str">
        <f t="shared" ca="1" si="2"/>
        <v/>
      </c>
      <c r="Q2552" s="25" t="str">
        <f ca="1">IFERROR(__xludf.DUMMYFUNCTION("""COMPUTED_VALUE"""),"Corto plazo")</f>
        <v>Corto plazo</v>
      </c>
      <c r="R2552" s="25"/>
      <c r="S2552" s="55"/>
      <c r="T2552" s="56"/>
      <c r="U2552" s="25"/>
      <c r="V2552" s="25"/>
      <c r="W2552" s="25"/>
      <c r="X2552" s="25"/>
      <c r="Y2552" s="25"/>
      <c r="Z2552" s="25"/>
    </row>
    <row r="2553" spans="1:26" ht="52.5" customHeight="1" x14ac:dyDescent="0.25">
      <c r="A2553" s="25" t="str">
        <f ca="1">IFERROR(__xludf.DUMMYFUNCTION("""COMPUTED_VALUE"""),"Cultu151")</f>
        <v>Cultu151</v>
      </c>
      <c r="B2553" s="25" t="str">
        <f ca="1">IFERROR(__xludf.DUMMYFUNCTION("""COMPUTED_VALUE"""),"Recorrido Tunjuelito")</f>
        <v>Recorrido Tunjuelito</v>
      </c>
      <c r="C2553" s="55">
        <f ca="1">IFERROR(__xludf.DUMMYFUNCTION("""COMPUTED_VALUE"""),44992)</f>
        <v>44992</v>
      </c>
      <c r="D2553" s="25" t="str">
        <f ca="1">IFERROR(__xludf.DUMMYFUNCTION("""COMPUTED_VALUE"""),"Cultura")</f>
        <v>Cultura</v>
      </c>
      <c r="E2553" s="25" t="str">
        <f ca="1">IFERROR(__xludf.DUMMYFUNCTION("""COMPUTED_VALUE"""),"Instituto Distrital de Recreación y Deporte")</f>
        <v>Instituto Distrital de Recreación y Deporte</v>
      </c>
      <c r="F2553" s="25" t="str">
        <f ca="1">IFERROR(__xludf.DUMMYFUNCTION("""COMPUTED_VALUE"""),"Revisión de autosuficiencia energética para el alumbrado del parque metropolitano el Tunal.")</f>
        <v>Revisión de autosuficiencia energética para el alumbrado del parque metropolitano el Tunal.</v>
      </c>
      <c r="G2553" s="25" t="str">
        <f ca="1">IFERROR(__xludf.DUMMYFUNCTION("""COMPUTED_VALUE"""),"06. Tunjuelito")</f>
        <v>06. Tunjuelito</v>
      </c>
      <c r="H2553" s="55">
        <f ca="1">IFERROR(__xludf.DUMMYFUNCTION("""COMPUTED_VALUE"""),45015)</f>
        <v>45015</v>
      </c>
      <c r="I2553" s="25" t="str">
        <f ca="1">IFERROR(__xludf.DUMMYFUNCTION("""COMPUTED_VALUE"""),"Secretaría Privada")</f>
        <v>Secretaría Privada</v>
      </c>
      <c r="J2553" s="55" t="str">
        <f ca="1">IFERROR(__xludf.DUMMYFUNCTION("""COMPUTED_VALUE"""),"Alta")</f>
        <v>Alta</v>
      </c>
      <c r="K2553" s="25">
        <f ca="1">IFERROR(__xludf.DUMMYFUNCTION("""COMPUTED_VALUE"""),23)</f>
        <v>23</v>
      </c>
      <c r="L2553" s="62">
        <f ca="1">IFERROR(__xludf.DUMMYFUNCTION("""COMPUTED_VALUE"""),45077)</f>
        <v>45077</v>
      </c>
      <c r="M2553" s="25" t="str">
        <f ca="1">IFERROR(__xludf.DUMMYFUNCTION("""COMPUTED_VALUE"""),"Se realizó visita técnica y se identificó que la situación de autosuficiencia energética tiene que ver con una problemática estructural del predio y se requieren recursos de mantenimiento con los que no se cuenta actualmente. Se priorizará esta intervenci"&amp;"ón para la formulación del presupuesto de la próxima vigencia.")</f>
        <v>Se realizó visita técnica y se identificó que la situación de autosuficiencia energética tiene que ver con una problemática estructural del predio y se requieren recursos de mantenimiento con los que no se cuenta actualmente. Se priorizará esta intervención para la formulación del presupuesto de la próxima vigencia.</v>
      </c>
      <c r="N2553" s="25"/>
      <c r="O2553" s="25" t="str">
        <f t="shared" ca="1" si="0"/>
        <v>Instituto Distrital de Recreación y Deporte</v>
      </c>
      <c r="P2553" s="25" t="str">
        <f t="shared" ca="1" si="2"/>
        <v/>
      </c>
      <c r="Q2553" s="25" t="str">
        <f ca="1">IFERROR(__xludf.DUMMYFUNCTION("""COMPUTED_VALUE"""),"Corto plazo")</f>
        <v>Corto plazo</v>
      </c>
      <c r="R2553" s="25"/>
      <c r="S2553" s="55"/>
      <c r="T2553" s="56"/>
      <c r="U2553" s="25"/>
      <c r="V2553" s="25"/>
      <c r="W2553" s="25"/>
      <c r="X2553" s="25"/>
      <c r="Y2553" s="25"/>
      <c r="Z2553" s="25"/>
    </row>
    <row r="2554" spans="1:26" ht="52.5" customHeight="1" x14ac:dyDescent="0.25">
      <c r="A2554" s="25" t="str">
        <f ca="1">IFERROR(__xludf.DUMMYFUNCTION("""COMPUTED_VALUE"""),"Cultu152")</f>
        <v>Cultu152</v>
      </c>
      <c r="B2554" s="25" t="str">
        <f ca="1">IFERROR(__xludf.DUMMYFUNCTION("""COMPUTED_VALUE"""),"Recorrido Tunjuelito")</f>
        <v>Recorrido Tunjuelito</v>
      </c>
      <c r="C2554" s="55">
        <f ca="1">IFERROR(__xludf.DUMMYFUNCTION("""COMPUTED_VALUE"""),44992)</f>
        <v>44992</v>
      </c>
      <c r="D2554" s="25" t="str">
        <f ca="1">IFERROR(__xludf.DUMMYFUNCTION("""COMPUTED_VALUE"""),"Cultura")</f>
        <v>Cultura</v>
      </c>
      <c r="E2554" s="25" t="str">
        <f ca="1">IFERROR(__xludf.DUMMYFUNCTION("""COMPUTED_VALUE"""),"Instituto Distrital de Recreación y Deporte")</f>
        <v>Instituto Distrital de Recreación y Deporte</v>
      </c>
      <c r="F2554" s="25" t="str">
        <f ca="1">IFERROR(__xludf.DUMMYFUNCTION("""COMPUTED_VALUE"""),"Ajustar luminarias de pista de patinaje del parque metropolitano el Tunal.")</f>
        <v>Ajustar luminarias de pista de patinaje del parque metropolitano el Tunal.</v>
      </c>
      <c r="G2554" s="25" t="str">
        <f ca="1">IFERROR(__xludf.DUMMYFUNCTION("""COMPUTED_VALUE"""),"06. Tunjuelito")</f>
        <v>06. Tunjuelito</v>
      </c>
      <c r="H2554" s="55">
        <f ca="1">IFERROR(__xludf.DUMMYFUNCTION("""COMPUTED_VALUE"""),45046)</f>
        <v>45046</v>
      </c>
      <c r="I2554" s="25" t="str">
        <f ca="1">IFERROR(__xludf.DUMMYFUNCTION("""COMPUTED_VALUE"""),"Secretaría Privada")</f>
        <v>Secretaría Privada</v>
      </c>
      <c r="J2554" s="55" t="str">
        <f ca="1">IFERROR(__xludf.DUMMYFUNCTION("""COMPUTED_VALUE"""),"Alta")</f>
        <v>Alta</v>
      </c>
      <c r="K2554" s="25">
        <f ca="1">IFERROR(__xludf.DUMMYFUNCTION("""COMPUTED_VALUE"""),54)</f>
        <v>54</v>
      </c>
      <c r="L2554" s="62">
        <f ca="1">IFERROR(__xludf.DUMMYFUNCTION("""COMPUTED_VALUE"""),45077)</f>
        <v>45077</v>
      </c>
      <c r="M2554" s="25" t="str">
        <f ca="1">IFERROR(__xludf.DUMMYFUNCTION("""COMPUTED_VALUE"""),"Se realizaron las revisiones técnicas correspondientes y a partir de esto se ajustaron las luminarias en la semana del 27 al 31 de marzo.")</f>
        <v>Se realizaron las revisiones técnicas correspondientes y a partir de esto se ajustaron las luminarias en la semana del 27 al 31 de marzo.</v>
      </c>
      <c r="N2554" s="55">
        <f ca="1">IFERROR(__xludf.DUMMYFUNCTION("""COMPUTED_VALUE"""),45016)</f>
        <v>45016</v>
      </c>
      <c r="O2554" s="25" t="str">
        <f t="shared" ca="1" si="0"/>
        <v>Instituto Distrital de Recreación y Deporte</v>
      </c>
      <c r="P2554" s="25" t="str">
        <f t="shared" ca="1" si="2"/>
        <v/>
      </c>
      <c r="Q2554" s="25" t="str">
        <f ca="1">IFERROR(__xludf.DUMMYFUNCTION("""COMPUTED_VALUE"""),"Corto plazo")</f>
        <v>Corto plazo</v>
      </c>
      <c r="R2554" s="25"/>
      <c r="S2554" s="55"/>
      <c r="T2554" s="56"/>
      <c r="U2554" s="25"/>
      <c r="V2554" s="25"/>
      <c r="W2554" s="25"/>
      <c r="X2554" s="25"/>
      <c r="Y2554" s="25"/>
      <c r="Z2554" s="25"/>
    </row>
    <row r="2555" spans="1:26" ht="52.5" customHeight="1" x14ac:dyDescent="0.25">
      <c r="A2555" s="25" t="str">
        <f ca="1">IFERROR(__xludf.DUMMYFUNCTION("""COMPUTED_VALUE"""),"Cultu153")</f>
        <v>Cultu153</v>
      </c>
      <c r="B2555" s="25" t="str">
        <f ca="1">IFERROR(__xludf.DUMMYFUNCTION("""COMPUTED_VALUE"""),"Recorrido Tunjuelito")</f>
        <v>Recorrido Tunjuelito</v>
      </c>
      <c r="C2555" s="55">
        <f ca="1">IFERROR(__xludf.DUMMYFUNCTION("""COMPUTED_VALUE"""),44992)</f>
        <v>44992</v>
      </c>
      <c r="D2555" s="25" t="str">
        <f ca="1">IFERROR(__xludf.DUMMYFUNCTION("""COMPUTED_VALUE"""),"Cultura")</f>
        <v>Cultura</v>
      </c>
      <c r="E2555" s="25" t="str">
        <f ca="1">IFERROR(__xludf.DUMMYFUNCTION("""COMPUTED_VALUE"""),"Instituto Distrital de Recreación y Deporte")</f>
        <v>Instituto Distrital de Recreación y Deporte</v>
      </c>
      <c r="F2555" s="25" t="str">
        <f ca="1">IFERROR(__xludf.DUMMYFUNCTION("""COMPUTED_VALUE"""),"Realizar el mejoramiento de la pista de patinaje de ruta del parque metropolitano el Tunal.")</f>
        <v>Realizar el mejoramiento de la pista de patinaje de ruta del parque metropolitano el Tunal.</v>
      </c>
      <c r="G2555" s="25" t="str">
        <f ca="1">IFERROR(__xludf.DUMMYFUNCTION("""COMPUTED_VALUE"""),"06. Tunjuelito")</f>
        <v>06. Tunjuelito</v>
      </c>
      <c r="H2555" s="55">
        <f ca="1">IFERROR(__xludf.DUMMYFUNCTION("""COMPUTED_VALUE"""),45076)</f>
        <v>45076</v>
      </c>
      <c r="I2555" s="25" t="str">
        <f ca="1">IFERROR(__xludf.DUMMYFUNCTION("""COMPUTED_VALUE"""),"Secretaría Privada")</f>
        <v>Secretaría Privada</v>
      </c>
      <c r="J2555" s="55" t="str">
        <f ca="1">IFERROR(__xludf.DUMMYFUNCTION("""COMPUTED_VALUE"""),"Media")</f>
        <v>Media</v>
      </c>
      <c r="K2555" s="25">
        <f ca="1">IFERROR(__xludf.DUMMYFUNCTION("""COMPUTED_VALUE"""),84)</f>
        <v>84</v>
      </c>
      <c r="L2555" s="62">
        <f ca="1">IFERROR(__xludf.DUMMYFUNCTION("""COMPUTED_VALUE"""),45077)</f>
        <v>45077</v>
      </c>
      <c r="M2555" s="25" t="str">
        <f ca="1">IFERROR(__xludf.DUMMYFUNCTION("""COMPUTED_VALUE"""),"De acuerdo con la visita ciudadana, la problemática tenía que ver con unas falencias en la ilunminación de la pista, aspecto que fue solucionado en la semana del 27 al 31 de marzo. ")</f>
        <v xml:space="preserve">De acuerdo con la visita ciudadana, la problemática tenía que ver con unas falencias en la ilunminación de la pista, aspecto que fue solucionado en la semana del 27 al 31 de marzo. </v>
      </c>
      <c r="N2555" s="55">
        <f ca="1">IFERROR(__xludf.DUMMYFUNCTION("""COMPUTED_VALUE"""),45016)</f>
        <v>45016</v>
      </c>
      <c r="O2555" s="25" t="str">
        <f t="shared" ca="1" si="0"/>
        <v>Instituto Distrital de Recreación y Deporte</v>
      </c>
      <c r="P2555" s="25" t="str">
        <f t="shared" ca="1" si="2"/>
        <v/>
      </c>
      <c r="Q2555" s="25" t="str">
        <f ca="1">IFERROR(__xludf.DUMMYFUNCTION("""COMPUTED_VALUE"""),"Mediano plazo")</f>
        <v>Mediano plazo</v>
      </c>
      <c r="R2555" s="25"/>
      <c r="S2555" s="55"/>
      <c r="T2555" s="56"/>
      <c r="U2555" s="25"/>
      <c r="V2555" s="25"/>
      <c r="W2555" s="25"/>
      <c r="X2555" s="25"/>
      <c r="Y2555" s="25"/>
      <c r="Z2555" s="25"/>
    </row>
    <row r="2556" spans="1:26" ht="52.5" customHeight="1" x14ac:dyDescent="0.25">
      <c r="A2556" s="25" t="str">
        <f ca="1">IFERROR(__xludf.DUMMYFUNCTION("""COMPUTED_VALUE"""),"Cultu154")</f>
        <v>Cultu154</v>
      </c>
      <c r="B2556" s="25" t="str">
        <f ca="1">IFERROR(__xludf.DUMMYFUNCTION("""COMPUTED_VALUE"""),"Recorrido Tunjuelito")</f>
        <v>Recorrido Tunjuelito</v>
      </c>
      <c r="C2556" s="55">
        <f ca="1">IFERROR(__xludf.DUMMYFUNCTION("""COMPUTED_VALUE"""),44992)</f>
        <v>44992</v>
      </c>
      <c r="D2556" s="25" t="str">
        <f ca="1">IFERROR(__xludf.DUMMYFUNCTION("""COMPUTED_VALUE"""),"Cultura")</f>
        <v>Cultura</v>
      </c>
      <c r="E2556" s="25" t="str">
        <f ca="1">IFERROR(__xludf.DUMMYFUNCTION("""COMPUTED_VALUE"""),"Instituto Distrital de Recreación y Deporte")</f>
        <v>Instituto Distrital de Recreación y Deporte</v>
      </c>
      <c r="F2556" s="25" t="str">
        <f ca="1">IFERROR(__xludf.DUMMYFUNCTION("""COMPUTED_VALUE"""),"Revisar posibilidad de parqueaderos con descuento en tarifa diaria dentro del parque metropolitano el Tunal para usuarios permanentes.")</f>
        <v>Revisar posibilidad de parqueaderos con descuento en tarifa diaria dentro del parque metropolitano el Tunal para usuarios permanentes.</v>
      </c>
      <c r="G2556" s="25" t="str">
        <f ca="1">IFERROR(__xludf.DUMMYFUNCTION("""COMPUTED_VALUE"""),"06. Tunjuelito")</f>
        <v>06. Tunjuelito</v>
      </c>
      <c r="H2556" s="55">
        <f ca="1">IFERROR(__xludf.DUMMYFUNCTION("""COMPUTED_VALUE"""),45061)</f>
        <v>45061</v>
      </c>
      <c r="I2556" s="25" t="str">
        <f ca="1">IFERROR(__xludf.DUMMYFUNCTION("""COMPUTED_VALUE"""),"Secretaría Privada")</f>
        <v>Secretaría Privada</v>
      </c>
      <c r="J2556" s="55" t="str">
        <f ca="1">IFERROR(__xludf.DUMMYFUNCTION("""COMPUTED_VALUE"""),"Media")</f>
        <v>Media</v>
      </c>
      <c r="K2556" s="25">
        <f ca="1">IFERROR(__xludf.DUMMYFUNCTION("""COMPUTED_VALUE"""),69)</f>
        <v>69</v>
      </c>
      <c r="L2556" s="62">
        <f ca="1">IFERROR(__xludf.DUMMYFUNCTION("""COMPUTED_VALUE"""),45077)</f>
        <v>45077</v>
      </c>
      <c r="M2556" s="25" t="str">
        <f ca="1">IFERROR(__xludf.DUMMYFUNCTION("""COMPUTED_VALUE"""),"Se realizó reunión con el consorcio que administra el parqueadero y se acordó la reducción de la tarifa plena del servicio de parqueo, pasando de $18.800 a $10.000 a partir de la semana del 20 al 27 de marzo")</f>
        <v>Se realizó reunión con el consorcio que administra el parqueadero y se acordó la reducción de la tarifa plena del servicio de parqueo, pasando de $18.800 a $10.000 a partir de la semana del 20 al 27 de marzo</v>
      </c>
      <c r="N2556" s="55">
        <f ca="1">IFERROR(__xludf.DUMMYFUNCTION("""COMPUTED_VALUE"""),45016)</f>
        <v>45016</v>
      </c>
      <c r="O2556" s="25" t="str">
        <f t="shared" ca="1" si="0"/>
        <v>Instituto Distrital de Recreación y Deporte</v>
      </c>
      <c r="P2556" s="25" t="str">
        <f t="shared" ca="1" si="2"/>
        <v/>
      </c>
      <c r="Q2556" s="25" t="str">
        <f ca="1">IFERROR(__xludf.DUMMYFUNCTION("""COMPUTED_VALUE"""),"Mediano plazo")</f>
        <v>Mediano plazo</v>
      </c>
      <c r="R2556" s="25"/>
      <c r="S2556" s="55"/>
      <c r="T2556" s="56"/>
      <c r="U2556" s="25"/>
      <c r="V2556" s="25"/>
      <c r="W2556" s="25"/>
      <c r="X2556" s="25"/>
      <c r="Y2556" s="25"/>
      <c r="Z2556" s="25"/>
    </row>
    <row r="2557" spans="1:26" ht="52.5" customHeight="1" x14ac:dyDescent="0.25">
      <c r="A2557" s="25" t="str">
        <f ca="1">IFERROR(__xludf.DUMMYFUNCTION("""COMPUTED_VALUE"""),"Cultu155")</f>
        <v>Cultu155</v>
      </c>
      <c r="B2557" s="25" t="str">
        <f ca="1">IFERROR(__xludf.DUMMYFUNCTION("""COMPUTED_VALUE"""),"Recorrido Tunjuelito")</f>
        <v>Recorrido Tunjuelito</v>
      </c>
      <c r="C2557" s="55">
        <f ca="1">IFERROR(__xludf.DUMMYFUNCTION("""COMPUTED_VALUE"""),44992)</f>
        <v>44992</v>
      </c>
      <c r="D2557" s="25" t="str">
        <f ca="1">IFERROR(__xludf.DUMMYFUNCTION("""COMPUTED_VALUE"""),"Cultura")</f>
        <v>Cultura</v>
      </c>
      <c r="E2557" s="25" t="str">
        <f ca="1">IFERROR(__xludf.DUMMYFUNCTION("""COMPUTED_VALUE"""),"Instituto Distrital de Recreación y Deporte")</f>
        <v>Instituto Distrital de Recreación y Deporte</v>
      </c>
      <c r="F2557" s="25" t="str">
        <f ca="1">IFERROR(__xludf.DUMMYFUNCTION("""COMPUTED_VALUE"""),"Brindar mayor oferta recreodeportiva en el CEFE Tunal para adulto mayor.")</f>
        <v>Brindar mayor oferta recreodeportiva en el CEFE Tunal para adulto mayor.</v>
      </c>
      <c r="G2557" s="25" t="str">
        <f ca="1">IFERROR(__xludf.DUMMYFUNCTION("""COMPUTED_VALUE"""),"06. Tunjuelito")</f>
        <v>06. Tunjuelito</v>
      </c>
      <c r="H2557" s="55">
        <f ca="1">IFERROR(__xludf.DUMMYFUNCTION("""COMPUTED_VALUE"""),45046)</f>
        <v>45046</v>
      </c>
      <c r="I2557" s="25" t="str">
        <f ca="1">IFERROR(__xludf.DUMMYFUNCTION("""COMPUTED_VALUE"""),"Secretaría Privada")</f>
        <v>Secretaría Privada</v>
      </c>
      <c r="J2557" s="55" t="str">
        <f ca="1">IFERROR(__xludf.DUMMYFUNCTION("""COMPUTED_VALUE"""),"Alta")</f>
        <v>Alta</v>
      </c>
      <c r="K2557" s="25">
        <f ca="1">IFERROR(__xludf.DUMMYFUNCTION("""COMPUTED_VALUE"""),54)</f>
        <v>54</v>
      </c>
      <c r="L2557" s="62">
        <f ca="1">IFERROR(__xludf.DUMMYFUNCTION("""COMPUTED_VALUE"""),45077)</f>
        <v>45077</v>
      </c>
      <c r="M2557" s="25" t="str">
        <f ca="1">IFERROR(__xludf.DUMMYFUNCTION("""COMPUTED_VALUE"""),"La segunda semana de mayo se dio apertura a dos grupos de natación para la persona mayor en los horarios martes-jueves y miércoles-viernes de 9:00 a.m a 10:30 a.m.")</f>
        <v>La segunda semana de mayo se dio apertura a dos grupos de natación para la persona mayor en los horarios martes-jueves y miércoles-viernes de 9:00 a.m a 10:30 a.m.</v>
      </c>
      <c r="N2557" s="55">
        <f ca="1">IFERROR(__xludf.DUMMYFUNCTION("""COMPUTED_VALUE"""),45077)</f>
        <v>45077</v>
      </c>
      <c r="O2557" s="25" t="str">
        <f t="shared" ca="1" si="0"/>
        <v>Instituto Distrital de Recreación y Deporte</v>
      </c>
      <c r="P2557" s="25" t="str">
        <f t="shared" ca="1" si="2"/>
        <v/>
      </c>
      <c r="Q2557" s="25" t="str">
        <f ca="1">IFERROR(__xludf.DUMMYFUNCTION("""COMPUTED_VALUE"""),"Corto plazo")</f>
        <v>Corto plazo</v>
      </c>
      <c r="R2557" s="25"/>
      <c r="S2557" s="55"/>
      <c r="T2557" s="56"/>
      <c r="U2557" s="25"/>
      <c r="V2557" s="25"/>
      <c r="W2557" s="25"/>
      <c r="X2557" s="25"/>
      <c r="Y2557" s="25"/>
      <c r="Z2557" s="25"/>
    </row>
    <row r="2558" spans="1:26" ht="52.5" customHeight="1" x14ac:dyDescent="0.25">
      <c r="A2558" s="25" t="str">
        <f ca="1">IFERROR(__xludf.DUMMYFUNCTION("""COMPUTED_VALUE"""),"Cultu156")</f>
        <v>Cultu156</v>
      </c>
      <c r="B2558" s="25" t="str">
        <f ca="1">IFERROR(__xludf.DUMMYFUNCTION("""COMPUTED_VALUE"""),"Recorrido Antonio Nariño")</f>
        <v>Recorrido Antonio Nariño</v>
      </c>
      <c r="C2558" s="55">
        <f ca="1">IFERROR(__xludf.DUMMYFUNCTION("""COMPUTED_VALUE"""),44999)</f>
        <v>44999</v>
      </c>
      <c r="D2558" s="25" t="str">
        <f ca="1">IFERROR(__xludf.DUMMYFUNCTION("""COMPUTED_VALUE"""),"Cultura")</f>
        <v>Cultura</v>
      </c>
      <c r="E2558" s="25" t="str">
        <f ca="1">IFERROR(__xludf.DUMMYFUNCTION("""COMPUTED_VALUE"""),"Instituto Distrital de las Artes")</f>
        <v>Instituto Distrital de las Artes</v>
      </c>
      <c r="F2558" s="25" t="str">
        <f ca="1">IFERROR(__xludf.DUMMYFUNCTION("""COMPUTED_VALUE"""),"Presentar el programa ""cultura local"" a los jóvenes vinculados a las casas de juventud del Distrito.")</f>
        <v>Presentar el programa "cultura local" a los jóvenes vinculados a las casas de juventud del Distrito.</v>
      </c>
      <c r="G2558" s="25" t="str">
        <f ca="1">IFERROR(__xludf.DUMMYFUNCTION("""COMPUTED_VALUE"""),"99. Distrito")</f>
        <v>99. Distrito</v>
      </c>
      <c r="H2558" s="55">
        <f ca="1">IFERROR(__xludf.DUMMYFUNCTION("""COMPUTED_VALUE"""),45031)</f>
        <v>45031</v>
      </c>
      <c r="I2558" s="25" t="str">
        <f ca="1">IFERROR(__xludf.DUMMYFUNCTION("""COMPUTED_VALUE"""),"Secretaría Privada")</f>
        <v>Secretaría Privada</v>
      </c>
      <c r="J2558" s="55" t="str">
        <f ca="1">IFERROR(__xludf.DUMMYFUNCTION("""COMPUTED_VALUE"""),"Alta")</f>
        <v>Alta</v>
      </c>
      <c r="K2558" s="25">
        <f ca="1">IFERROR(__xludf.DUMMYFUNCTION("""COMPUTED_VALUE"""),32)</f>
        <v>32</v>
      </c>
      <c r="L2558" s="62">
        <f ca="1">IFERROR(__xludf.DUMMYFUNCTION("""COMPUTED_VALUE"""),45077)</f>
        <v>45077</v>
      </c>
      <c r="M2558" s="25" t="str">
        <f ca="1">IFERROR(__xludf.DUMMYFUNCTION("""COMPUTED_VALUE"""),"Se ha realizado una (1) socialización en la Casa de la Juventud de Antonio Nariño, el día 29 de septiembre de 2022 a las 11:00 a.m. con el fin de invitar a las personas a participar en la Tercera versión del Programa Es Cultura Local. Además de la jornada"&amp;" en la Casa de la Juventud, en el 2022 hubo socializaciones virtuales y presenciales (En la Alcaldía Local de Antonio Nariño y en la Casa Luis A. Morales del Barrio Policarpa). Para un total de 11 encuentros, en el que asistió población joven de la locali"&amp;"dad. 
A la fecha, estamos en la ejecución de la tercera versión, lo cual implica que no hay oferta vigente para que las personas apliquen. Sin embargo, para la cuarta versión, se proyecta dar continuidad de socializaciones en la Casa de la Juventud. ")</f>
        <v xml:space="preserve">Se ha realizado una (1) socialización en la Casa de la Juventud de Antonio Nariño, el día 29 de septiembre de 2022 a las 11:00 a.m. con el fin de invitar a las personas a participar en la Tercera versión del Programa Es Cultura Local. Además de la jornada en la Casa de la Juventud, en el 2022 hubo socializaciones virtuales y presenciales (En la Alcaldía Local de Antonio Nariño y en la Casa Luis A. Morales del Barrio Policarpa). Para un total de 11 encuentros, en el que asistió población joven de la localidad. 
A la fecha, estamos en la ejecución de la tercera versión, lo cual implica que no hay oferta vigente para que las personas apliquen. Sin embargo, para la cuarta versión, se proyecta dar continuidad de socializaciones en la Casa de la Juventud. </v>
      </c>
      <c r="N2558" s="25"/>
      <c r="O2558" s="25" t="str">
        <f t="shared" ca="1" si="0"/>
        <v>Instituto Distrital de las Artes</v>
      </c>
      <c r="P2558" s="25" t="str">
        <f t="shared" ca="1" si="2"/>
        <v/>
      </c>
      <c r="Q2558" s="25" t="str">
        <f ca="1">IFERROR(__xludf.DUMMYFUNCTION("""COMPUTED_VALUE"""),"Corto plazo")</f>
        <v>Corto plazo</v>
      </c>
      <c r="R2558" s="25"/>
      <c r="S2558" s="55"/>
      <c r="T2558" s="56"/>
      <c r="U2558" s="25"/>
      <c r="V2558" s="25"/>
      <c r="W2558" s="25"/>
      <c r="X2558" s="25"/>
      <c r="Y2558" s="25"/>
      <c r="Z2558" s="25"/>
    </row>
    <row r="2559" spans="1:26" ht="52.5" customHeight="1" x14ac:dyDescent="0.25">
      <c r="A2559" s="25" t="str">
        <f ca="1">IFERROR(__xludf.DUMMYFUNCTION("""COMPUTED_VALUE"""),"Cultu157")</f>
        <v>Cultu157</v>
      </c>
      <c r="B2559" s="25" t="str">
        <f ca="1">IFERROR(__xludf.DUMMYFUNCTION("""COMPUTED_VALUE"""),"Recorrido Rafael Uribe Uribe")</f>
        <v>Recorrido Rafael Uribe Uribe</v>
      </c>
      <c r="C2559" s="55">
        <f ca="1">IFERROR(__xludf.DUMMYFUNCTION("""COMPUTED_VALUE"""),45006)</f>
        <v>45006</v>
      </c>
      <c r="D2559" s="25" t="str">
        <f ca="1">IFERROR(__xludf.DUMMYFUNCTION("""COMPUTED_VALUE"""),"Cultura")</f>
        <v>Cultura</v>
      </c>
      <c r="E2559" s="25" t="str">
        <f ca="1">IFERROR(__xludf.DUMMYFUNCTION("""COMPUTED_VALUE"""),"Instituto Distrital de Recreación y Deporte")</f>
        <v>Instituto Distrital de Recreación y Deporte</v>
      </c>
      <c r="F2559" s="25" t="str">
        <f ca="1">IFERROR(__xludf.DUMMYFUNCTION("""COMPUTED_VALUE"""),"Finalizar en un mes los estudios y diseños del sendero de conexión del parque Santa Lucía zona 1 y 2 en Rafael Uribe Uribe.")</f>
        <v>Finalizar en un mes los estudios y diseños del sendero de conexión del parque Santa Lucía zona 1 y 2 en Rafael Uribe Uribe.</v>
      </c>
      <c r="G2559" s="25" t="str">
        <f ca="1">IFERROR(__xludf.DUMMYFUNCTION("""COMPUTED_VALUE"""),"18. Rafael Uribe Uribe")</f>
        <v>18. Rafael Uribe Uribe</v>
      </c>
      <c r="H2559" s="55">
        <f ca="1">IFERROR(__xludf.DUMMYFUNCTION("""COMPUTED_VALUE"""),45041)</f>
        <v>45041</v>
      </c>
      <c r="I2559" s="25" t="str">
        <f ca="1">IFERROR(__xludf.DUMMYFUNCTION("""COMPUTED_VALUE"""),"Secretaría Privada")</f>
        <v>Secretaría Privada</v>
      </c>
      <c r="J2559" s="55" t="str">
        <f ca="1">IFERROR(__xludf.DUMMYFUNCTION("""COMPUTED_VALUE"""),"Alta")</f>
        <v>Alta</v>
      </c>
      <c r="K2559" s="25">
        <f ca="1">IFERROR(__xludf.DUMMYFUNCTION("""COMPUTED_VALUE"""),35)</f>
        <v>35</v>
      </c>
      <c r="L2559" s="62">
        <f ca="1">IFERROR(__xludf.DUMMYFUNCTION("""COMPUTED_VALUE"""),45077)</f>
        <v>45077</v>
      </c>
      <c r="M2559" s="25" t="str">
        <f ca="1">IFERROR(__xludf.DUMMYFUNCTION("""COMPUTED_VALUE"""),"El contrato de estudios, diseños y obra contempla unas fases de entrega, entre las cuales está la entrega del esquema básico (proyecto arquitectónico) para revisión y aprobación de la EAAB. Se recibió ese esquema básico por parte del contratista, la inter"&amp;"ventoría solicitó ajustes y el contratista está haciendo las correcciones. Se proyecta la radicación del esquema básico a la EAAB para la primera semana de junio, una vez aprobado se continúa con la elaboración los diseños a detalle.")</f>
        <v>El contrato de estudios, diseños y obra contempla unas fases de entrega, entre las cuales está la entrega del esquema básico (proyecto arquitectónico) para revisión y aprobación de la EAAB. Se recibió ese esquema básico por parte del contratista, la interventoría solicitó ajustes y el contratista está haciendo las correcciones. Se proyecta la radicación del esquema básico a la EAAB para la primera semana de junio, una vez aprobado se continúa con la elaboración los diseños a detalle.</v>
      </c>
      <c r="N2559" s="25"/>
      <c r="O2559" s="25" t="str">
        <f t="shared" ca="1" si="0"/>
        <v>Instituto Distrital de Recreación y Deporte</v>
      </c>
      <c r="P2559" s="25" t="str">
        <f t="shared" ca="1" si="2"/>
        <v/>
      </c>
      <c r="Q2559" s="25" t="str">
        <f ca="1">IFERROR(__xludf.DUMMYFUNCTION("""COMPUTED_VALUE"""),"Corto plazo")</f>
        <v>Corto plazo</v>
      </c>
      <c r="R2559" s="25"/>
      <c r="S2559" s="55"/>
      <c r="T2559" s="56"/>
      <c r="U2559" s="25"/>
      <c r="V2559" s="25"/>
      <c r="W2559" s="25"/>
      <c r="X2559" s="25"/>
      <c r="Y2559" s="25"/>
      <c r="Z2559" s="25"/>
    </row>
    <row r="2560" spans="1:26" ht="52.5" customHeight="1" x14ac:dyDescent="0.25">
      <c r="A2560" s="25" t="str">
        <f ca="1">IFERROR(__xludf.DUMMYFUNCTION("""COMPUTED_VALUE"""),"Cultu158")</f>
        <v>Cultu158</v>
      </c>
      <c r="B2560" s="25" t="str">
        <f ca="1">IFERROR(__xludf.DUMMYFUNCTION("""COMPUTED_VALUE"""),"Recorrido Rafael Uribe Uribe")</f>
        <v>Recorrido Rafael Uribe Uribe</v>
      </c>
      <c r="C2560" s="55">
        <f ca="1">IFERROR(__xludf.DUMMYFUNCTION("""COMPUTED_VALUE"""),45006)</f>
        <v>45006</v>
      </c>
      <c r="D2560" s="25" t="str">
        <f ca="1">IFERROR(__xludf.DUMMYFUNCTION("""COMPUTED_VALUE"""),"Cultura")</f>
        <v>Cultura</v>
      </c>
      <c r="E2560" s="25" t="str">
        <f ca="1">IFERROR(__xludf.DUMMYFUNCTION("""COMPUTED_VALUE"""),"Instituto Distrital de Recreación y Deporte")</f>
        <v>Instituto Distrital de Recreación y Deporte</v>
      </c>
      <c r="F2560" s="25" t="str">
        <f ca="1">IFERROR(__xludf.DUMMYFUNCTION("""COMPUTED_VALUE"""),"Finalizar la construcción del sendero de conexión del parque Santa Lucía zona 1 y 2 en 5 meses, tras el inicio de actividades del frente de obra.")</f>
        <v>Finalizar la construcción del sendero de conexión del parque Santa Lucía zona 1 y 2 en 5 meses, tras el inicio de actividades del frente de obra.</v>
      </c>
      <c r="G2560" s="25" t="str">
        <f ca="1">IFERROR(__xludf.DUMMYFUNCTION("""COMPUTED_VALUE"""),"18. Rafael Uribe Uribe")</f>
        <v>18. Rafael Uribe Uribe</v>
      </c>
      <c r="H2560" s="55">
        <f ca="1">IFERROR(__xludf.DUMMYFUNCTION("""COMPUTED_VALUE"""),45229)</f>
        <v>45229</v>
      </c>
      <c r="I2560" s="25" t="str">
        <f ca="1">IFERROR(__xludf.DUMMYFUNCTION("""COMPUTED_VALUE"""),"Secretaría Privada")</f>
        <v>Secretaría Privada</v>
      </c>
      <c r="J2560" s="55" t="str">
        <f ca="1">IFERROR(__xludf.DUMMYFUNCTION("""COMPUTED_VALUE"""),"Baja")</f>
        <v>Baja</v>
      </c>
      <c r="K2560" s="25">
        <f ca="1">IFERROR(__xludf.DUMMYFUNCTION("""COMPUTED_VALUE"""),223)</f>
        <v>223</v>
      </c>
      <c r="L2560" s="62">
        <f ca="1">IFERROR(__xludf.DUMMYFUNCTION("""COMPUTED_VALUE"""),45077)</f>
        <v>45077</v>
      </c>
      <c r="M2560" s="25" t="str">
        <f ca="1">IFERROR(__xludf.DUMMYFUNCTION("""COMPUTED_VALUE"""),"Una vez finalice la etapa de estudios y diseños, y se cuente con permisos y licencias de acometidas de EAAB, UAESP, permisos silviculturales, diseño paisajístico con JBB, entre otros, se dará incio a la fase de obra ")</f>
        <v xml:space="preserve">Una vez finalice la etapa de estudios y diseños, y se cuente con permisos y licencias de acometidas de EAAB, UAESP, permisos silviculturales, diseño paisajístico con JBB, entre otros, se dará incio a la fase de obra </v>
      </c>
      <c r="N2560" s="25"/>
      <c r="O2560" s="25" t="str">
        <f t="shared" ca="1" si="0"/>
        <v>Instituto Distrital de Recreación y Deporte</v>
      </c>
      <c r="P2560" s="25" t="str">
        <f t="shared" ca="1" si="2"/>
        <v/>
      </c>
      <c r="Q2560" s="25" t="str">
        <f ca="1">IFERROR(__xludf.DUMMYFUNCTION("""COMPUTED_VALUE"""),"Largo plazo")</f>
        <v>Largo plazo</v>
      </c>
      <c r="R2560" s="25"/>
      <c r="S2560" s="55"/>
      <c r="T2560" s="56"/>
      <c r="U2560" s="25"/>
      <c r="V2560" s="25"/>
      <c r="W2560" s="25"/>
      <c r="X2560" s="25"/>
      <c r="Y2560" s="25"/>
      <c r="Z2560" s="25"/>
    </row>
    <row r="2561" spans="1:26" ht="52.5" customHeight="1" x14ac:dyDescent="0.25">
      <c r="A2561" s="25" t="str">
        <f ca="1">IFERROR(__xludf.DUMMYFUNCTION("""COMPUTED_VALUE"""),"Cultu159")</f>
        <v>Cultu159</v>
      </c>
      <c r="B2561" s="25" t="str">
        <f ca="1">IFERROR(__xludf.DUMMYFUNCTION("""COMPUTED_VALUE"""),"Recorrido Rafael Uribe Uribe")</f>
        <v>Recorrido Rafael Uribe Uribe</v>
      </c>
      <c r="C2561" s="55">
        <f ca="1">IFERROR(__xludf.DUMMYFUNCTION("""COMPUTED_VALUE"""),45006)</f>
        <v>45006</v>
      </c>
      <c r="D2561" s="25" t="str">
        <f ca="1">IFERROR(__xludf.DUMMYFUNCTION("""COMPUTED_VALUE"""),"Cultura")</f>
        <v>Cultura</v>
      </c>
      <c r="E2561" s="25" t="str">
        <f ca="1">IFERROR(__xludf.DUMMYFUNCTION("""COMPUTED_VALUE"""),"Instituto Distrital de Recreación y Deporte")</f>
        <v>Instituto Distrital de Recreación y Deporte</v>
      </c>
      <c r="F2561" s="25" t="str">
        <f ca="1">IFERROR(__xludf.DUMMYFUNCTION("""COMPUTED_VALUE"""),"Priorizar la construcción y puesta en funcionamiento de los baños públicos del parque Santa Lucía zona 2.")</f>
        <v>Priorizar la construcción y puesta en funcionamiento de los baños públicos del parque Santa Lucía zona 2.</v>
      </c>
      <c r="G2561" s="25" t="str">
        <f ca="1">IFERROR(__xludf.DUMMYFUNCTION("""COMPUTED_VALUE"""),"18. Rafael Uribe Uribe")</f>
        <v>18. Rafael Uribe Uribe</v>
      </c>
      <c r="H2561" s="55">
        <f ca="1">IFERROR(__xludf.DUMMYFUNCTION("""COMPUTED_VALUE"""),45046)</f>
        <v>45046</v>
      </c>
      <c r="I2561" s="25" t="str">
        <f ca="1">IFERROR(__xludf.DUMMYFUNCTION("""COMPUTED_VALUE"""),"Secretaría Privada")</f>
        <v>Secretaría Privada</v>
      </c>
      <c r="J2561" s="55" t="str">
        <f ca="1">IFERROR(__xludf.DUMMYFUNCTION("""COMPUTED_VALUE"""),"Alta")</f>
        <v>Alta</v>
      </c>
      <c r="K2561" s="25">
        <f ca="1">IFERROR(__xludf.DUMMYFUNCTION("""COMPUTED_VALUE"""),40)</f>
        <v>40</v>
      </c>
      <c r="L2561" s="62">
        <f ca="1">IFERROR(__xludf.DUMMYFUNCTION("""COMPUTED_VALUE"""),45077)</f>
        <v>45077</v>
      </c>
      <c r="M2561" s="25" t="str">
        <f ca="1">IFERROR(__xludf.DUMMYFUNCTION("""COMPUTED_VALUE"""),"Los diseños y obra de la batería de baños hacen parte del contrato de estudios, diseños y obra del sendero de conexión del parque Santa Lucía zona 1 y 2. Por lo que el avance es el mismo: se recibió ese esquema básico por parte del contratista, la interve"&amp;"ntoría solicitó ajustes y el contratista está haciendo las correcciones. Se proyecta la radicación del esquema básico a la EAAB para la primera semana de junio, una vez aprobado se continúa con la elaboración los diseños a detalle y una vez se terminen lo"&amp;"s diseños y se cuente con permisos inicia la obra.")</f>
        <v>Los diseños y obra de la batería de baños hacen parte del contrato de estudios, diseños y obra del sendero de conexión del parque Santa Lucía zona 1 y 2. Por lo que el avance es el mismo: se recibió ese esquema básico por parte del contratista, la interventoría solicitó ajustes y el contratista está haciendo las correcciones. Se proyecta la radicación del esquema básico a la EAAB para la primera semana de junio, una vez aprobado se continúa con la elaboración los diseños a detalle y una vez se terminen los diseños y se cuente con permisos inicia la obra.</v>
      </c>
      <c r="N2561" s="25"/>
      <c r="O2561" s="25" t="str">
        <f t="shared" ca="1" si="0"/>
        <v>Instituto Distrital de Recreación y Deporte</v>
      </c>
      <c r="P2561" s="25" t="str">
        <f t="shared" ca="1" si="2"/>
        <v/>
      </c>
      <c r="Q2561" s="25" t="str">
        <f ca="1">IFERROR(__xludf.DUMMYFUNCTION("""COMPUTED_VALUE"""),"Corto plazo")</f>
        <v>Corto plazo</v>
      </c>
      <c r="R2561" s="25"/>
      <c r="S2561" s="55"/>
      <c r="T2561" s="56"/>
      <c r="U2561" s="25"/>
      <c r="V2561" s="25"/>
      <c r="W2561" s="25"/>
      <c r="X2561" s="25"/>
      <c r="Y2561" s="25"/>
      <c r="Z2561" s="25"/>
    </row>
    <row r="2562" spans="1:26" ht="52.5" customHeight="1" x14ac:dyDescent="0.25">
      <c r="A2562" s="25" t="str">
        <f ca="1">IFERROR(__xludf.DUMMYFUNCTION("""COMPUTED_VALUE"""),"Cultu160")</f>
        <v>Cultu160</v>
      </c>
      <c r="B2562" s="25" t="str">
        <f ca="1">IFERROR(__xludf.DUMMYFUNCTION("""COMPUTED_VALUE"""),"Recorrido Rafael Uribe Uribe")</f>
        <v>Recorrido Rafael Uribe Uribe</v>
      </c>
      <c r="C2562" s="55">
        <f ca="1">IFERROR(__xludf.DUMMYFUNCTION("""COMPUTED_VALUE"""),45006)</f>
        <v>45006</v>
      </c>
      <c r="D2562" s="25" t="str">
        <f ca="1">IFERROR(__xludf.DUMMYFUNCTION("""COMPUTED_VALUE"""),"Cultura")</f>
        <v>Cultura</v>
      </c>
      <c r="E2562" s="25" t="str">
        <f ca="1">IFERROR(__xludf.DUMMYFUNCTION("""COMPUTED_VALUE"""),"Instituto Distrital de Recreación y Deporte")</f>
        <v>Instituto Distrital de Recreación y Deporte</v>
      </c>
      <c r="F2562" s="25" t="str">
        <f ca="1">IFERROR(__xludf.DUMMYFUNCTION("""COMPUTED_VALUE"""),"Presentar en un mes en la Junta de Infraestructura los avances del proyecto de construcción de los baños públicos del parque Santa Lucía 2 y el sendero peatonal de conexión de Santa Lucía zona 1 y 2.")</f>
        <v>Presentar en un mes en la Junta de Infraestructura los avances del proyecto de construcción de los baños públicos del parque Santa Lucía 2 y el sendero peatonal de conexión de Santa Lucía zona 1 y 2.</v>
      </c>
      <c r="G2562" s="25" t="str">
        <f ca="1">IFERROR(__xludf.DUMMYFUNCTION("""COMPUTED_VALUE"""),"18. Rafael Uribe Uribe")</f>
        <v>18. Rafael Uribe Uribe</v>
      </c>
      <c r="H2562" s="55">
        <f ca="1">IFERROR(__xludf.DUMMYFUNCTION("""COMPUTED_VALUE"""),45036)</f>
        <v>45036</v>
      </c>
      <c r="I2562" s="25" t="str">
        <f ca="1">IFERROR(__xludf.DUMMYFUNCTION("""COMPUTED_VALUE"""),"Secretaría Privada")</f>
        <v>Secretaría Privada</v>
      </c>
      <c r="J2562" s="55" t="str">
        <f ca="1">IFERROR(__xludf.DUMMYFUNCTION("""COMPUTED_VALUE"""),"Alta")</f>
        <v>Alta</v>
      </c>
      <c r="K2562" s="25">
        <f ca="1">IFERROR(__xludf.DUMMYFUNCTION("""COMPUTED_VALUE"""),30)</f>
        <v>30</v>
      </c>
      <c r="L2562" s="62">
        <f ca="1">IFERROR(__xludf.DUMMYFUNCTION("""COMPUTED_VALUE"""),45077)</f>
        <v>45077</v>
      </c>
      <c r="M2562" s="25" t="str">
        <f ca="1">IFERROR(__xludf.DUMMYFUNCTION("""COMPUTED_VALUE"""),"En la última citación que tuvimos para junta de infraestructura el tema que se solició al IDRD fue los proyectos de Gibraltar. Estamos atentos a la programación de la reunión para presentar el proyecto a la junta")</f>
        <v>En la última citación que tuvimos para junta de infraestructura el tema que se solició al IDRD fue los proyectos de Gibraltar. Estamos atentos a la programación de la reunión para presentar el proyecto a la junta</v>
      </c>
      <c r="N2562" s="25"/>
      <c r="O2562" s="25" t="str">
        <f t="shared" ca="1" si="0"/>
        <v>Instituto Distrital de Recreación y Deporte</v>
      </c>
      <c r="P2562" s="25" t="str">
        <f t="shared" ca="1" si="2"/>
        <v/>
      </c>
      <c r="Q2562" s="25" t="str">
        <f ca="1">IFERROR(__xludf.DUMMYFUNCTION("""COMPUTED_VALUE"""),"Corto plazo")</f>
        <v>Corto plazo</v>
      </c>
      <c r="R2562" s="25"/>
      <c r="S2562" s="55"/>
      <c r="T2562" s="56"/>
      <c r="U2562" s="25"/>
      <c r="V2562" s="25"/>
      <c r="W2562" s="25"/>
      <c r="X2562" s="25"/>
      <c r="Y2562" s="25"/>
      <c r="Z2562" s="25"/>
    </row>
    <row r="2563" spans="1:26" ht="52.5" customHeight="1" x14ac:dyDescent="0.25">
      <c r="A2563" s="25" t="str">
        <f ca="1">IFERROR(__xludf.DUMMYFUNCTION("""COMPUTED_VALUE"""),"Cultu161")</f>
        <v>Cultu161</v>
      </c>
      <c r="B2563" s="25" t="str">
        <f ca="1">IFERROR(__xludf.DUMMYFUNCTION("""COMPUTED_VALUE"""),"Recorrido Rafael Uribe Uribe")</f>
        <v>Recorrido Rafael Uribe Uribe</v>
      </c>
      <c r="C2563" s="55">
        <f ca="1">IFERROR(__xludf.DUMMYFUNCTION("""COMPUTED_VALUE"""),45006)</f>
        <v>45006</v>
      </c>
      <c r="D2563" s="25" t="str">
        <f ca="1">IFERROR(__xludf.DUMMYFUNCTION("""COMPUTED_VALUE"""),"Cultura")</f>
        <v>Cultura</v>
      </c>
      <c r="E2563" s="25" t="str">
        <f ca="1">IFERROR(__xludf.DUMMYFUNCTION("""COMPUTED_VALUE"""),"Secretaría Distrital de Cultura, Recreación y Deporte")</f>
        <v>Secretaría Distrital de Cultura, Recreación y Deporte</v>
      </c>
      <c r="F2563" s="25" t="str">
        <f ca="1">IFERROR(__xludf.DUMMYFUNCTION("""COMPUTED_VALUE"""),"Realizar intervención en el muro de la obra de mitigación del barrio Luis López de Mesa.")</f>
        <v>Realizar intervención en el muro de la obra de mitigación del barrio Luis López de Mesa.</v>
      </c>
      <c r="G2563" s="25" t="str">
        <f ca="1">IFERROR(__xludf.DUMMYFUNCTION("""COMPUTED_VALUE"""),"18. Rafael Uribe Uribe")</f>
        <v>18. Rafael Uribe Uribe</v>
      </c>
      <c r="H2563" s="55">
        <f ca="1">IFERROR(__xludf.DUMMYFUNCTION("""COMPUTED_VALUE"""),45061)</f>
        <v>45061</v>
      </c>
      <c r="I2563" s="25" t="str">
        <f ca="1">IFERROR(__xludf.DUMMYFUNCTION("""COMPUTED_VALUE"""),"Secretaría Privada")</f>
        <v>Secretaría Privada</v>
      </c>
      <c r="J2563" s="55" t="str">
        <f ca="1">IFERROR(__xludf.DUMMYFUNCTION("""COMPUTED_VALUE"""),"Alta")</f>
        <v>Alta</v>
      </c>
      <c r="K2563" s="25">
        <f ca="1">IFERROR(__xludf.DUMMYFUNCTION("""COMPUTED_VALUE"""),55)</f>
        <v>55</v>
      </c>
      <c r="L2563" s="62">
        <f ca="1">IFERROR(__xludf.DUMMYFUNCTION("""COMPUTED_VALUE"""),45077)</f>
        <v>45077</v>
      </c>
      <c r="M2563" s="25" t="str">
        <f ca="1">IFERROR(__xludf.DUMMYFUNCTION("""COMPUTED_VALUE"""),"- Se está revisando la posibilidad de incluir en el portafolio de estímulos, teniendo en cuenta, que son los artistas que los que eligen y gestionan los muros a intervenir. ")</f>
        <v xml:space="preserve">- Se está revisando la posibilidad de incluir en el portafolio de estímulos, teniendo en cuenta, que son los artistas que los que eligen y gestionan los muros a intervenir. </v>
      </c>
      <c r="N2563" s="25"/>
      <c r="O2563" s="25" t="str">
        <f t="shared" ca="1" si="0"/>
        <v>Secretaría Distrital de Cultura, Recreación y Deporte</v>
      </c>
      <c r="P2563" s="25" t="str">
        <f t="shared" ca="1" si="2"/>
        <v/>
      </c>
      <c r="Q2563" s="25" t="str">
        <f ca="1">IFERROR(__xludf.DUMMYFUNCTION("""COMPUTED_VALUE"""),"Corto plazo")</f>
        <v>Corto plazo</v>
      </c>
      <c r="R2563" s="25"/>
      <c r="S2563" s="55"/>
      <c r="T2563" s="56"/>
      <c r="U2563" s="25"/>
      <c r="V2563" s="25"/>
      <c r="W2563" s="25"/>
      <c r="X2563" s="25"/>
      <c r="Y2563" s="25"/>
      <c r="Z2563" s="25"/>
    </row>
    <row r="2564" spans="1:26" ht="52.5" customHeight="1" x14ac:dyDescent="0.25">
      <c r="A2564" s="25" t="str">
        <f ca="1">IFERROR(__xludf.DUMMYFUNCTION("""COMPUTED_VALUE"""),"Cultu162")</f>
        <v>Cultu162</v>
      </c>
      <c r="B2564" s="25" t="str">
        <f ca="1">IFERROR(__xludf.DUMMYFUNCTION("""COMPUTED_VALUE"""),"Recorrido Rafael Uribe Uribe")</f>
        <v>Recorrido Rafael Uribe Uribe</v>
      </c>
      <c r="C2564" s="55">
        <f ca="1">IFERROR(__xludf.DUMMYFUNCTION("""COMPUTED_VALUE"""),45006)</f>
        <v>45006</v>
      </c>
      <c r="D2564" s="25" t="str">
        <f ca="1">IFERROR(__xludf.DUMMYFUNCTION("""COMPUTED_VALUE"""),"Cultura")</f>
        <v>Cultura</v>
      </c>
      <c r="E2564" s="25" t="str">
        <f ca="1">IFERROR(__xludf.DUMMYFUNCTION("""COMPUTED_VALUE"""),"Instituto Distrital de Recreación y Deporte")</f>
        <v>Instituto Distrital de Recreación y Deporte</v>
      </c>
      <c r="F2564" s="25" t="str">
        <f ca="1">IFERROR(__xludf.DUMMYFUNCTION("""COMPUTED_VALUE"""),"Realizar mantenimiento al parque el Claret.")</f>
        <v>Realizar mantenimiento al parque el Claret.</v>
      </c>
      <c r="G2564" s="25" t="str">
        <f ca="1">IFERROR(__xludf.DUMMYFUNCTION("""COMPUTED_VALUE"""),"18. Rafael Uribe Uribe")</f>
        <v>18. Rafael Uribe Uribe</v>
      </c>
      <c r="H2564" s="55">
        <f ca="1">IFERROR(__xludf.DUMMYFUNCTION("""COMPUTED_VALUE"""),45046)</f>
        <v>45046</v>
      </c>
      <c r="I2564" s="25" t="str">
        <f ca="1">IFERROR(__xludf.DUMMYFUNCTION("""COMPUTED_VALUE"""),"Secretaría Privada")</f>
        <v>Secretaría Privada</v>
      </c>
      <c r="J2564" s="55" t="str">
        <f ca="1">IFERROR(__xludf.DUMMYFUNCTION("""COMPUTED_VALUE"""),"Alta")</f>
        <v>Alta</v>
      </c>
      <c r="K2564" s="25">
        <f ca="1">IFERROR(__xludf.DUMMYFUNCTION("""COMPUTED_VALUE"""),40)</f>
        <v>40</v>
      </c>
      <c r="L2564" s="62">
        <f ca="1">IFERROR(__xludf.DUMMYFUNCTION("""COMPUTED_VALUE"""),45077)</f>
        <v>45077</v>
      </c>
      <c r="M2564" s="25" t="str">
        <f ca="1">IFERROR(__xludf.DUMMYFUNCTION("""COMPUTED_VALUE"""),"Se encuentran en ejecución las obras de mantenimiento: adecuación en zona de gimnasios de caninos, instalación de malla de cerramiento m-83 con el módulo complementario. Se proyecta su finalización la segunda semana de junio.")</f>
        <v>Se encuentran en ejecución las obras de mantenimiento: adecuación en zona de gimnasios de caninos, instalación de malla de cerramiento m-83 con el módulo complementario. Se proyecta su finalización la segunda semana de junio.</v>
      </c>
      <c r="N2564" s="25"/>
      <c r="O2564" s="25" t="str">
        <f t="shared" ca="1" si="0"/>
        <v>Instituto Distrital de Recreación y Deporte</v>
      </c>
      <c r="P2564" s="25" t="str">
        <f t="shared" ca="1" si="2"/>
        <v/>
      </c>
      <c r="Q2564" s="25" t="str">
        <f ca="1">IFERROR(__xludf.DUMMYFUNCTION("""COMPUTED_VALUE"""),"Corto plazo")</f>
        <v>Corto plazo</v>
      </c>
      <c r="R2564" s="25"/>
      <c r="S2564" s="55"/>
      <c r="T2564" s="56"/>
      <c r="U2564" s="25"/>
      <c r="V2564" s="25"/>
      <c r="W2564" s="25"/>
      <c r="X2564" s="25"/>
      <c r="Y2564" s="25"/>
      <c r="Z2564" s="25"/>
    </row>
    <row r="2565" spans="1:26" ht="52.5" customHeight="1" x14ac:dyDescent="0.25">
      <c r="A2565" s="25" t="str">
        <f ca="1">IFERROR(__xludf.DUMMYFUNCTION("""COMPUTED_VALUE"""),"Cultu163")</f>
        <v>Cultu163</v>
      </c>
      <c r="B2565" s="25" t="str">
        <f ca="1">IFERROR(__xludf.DUMMYFUNCTION("""COMPUTED_VALUE"""),"Junta de Infraestructura")</f>
        <v>Junta de Infraestructura</v>
      </c>
      <c r="C2565" s="55">
        <f ca="1">IFERROR(__xludf.DUMMYFUNCTION("""COMPUTED_VALUE"""),45009)</f>
        <v>45009</v>
      </c>
      <c r="D2565" s="25" t="str">
        <f ca="1">IFERROR(__xludf.DUMMYFUNCTION("""COMPUTED_VALUE"""),"Cultura")</f>
        <v>Cultura</v>
      </c>
      <c r="E2565" s="25" t="str">
        <f ca="1">IFERROR(__xludf.DUMMYFUNCTION("""COMPUTED_VALUE"""),"Secretaría Distrital de Cultura, Recreación y Deporte")</f>
        <v>Secretaría Distrital de Cultura, Recreación y Deporte</v>
      </c>
      <c r="F2565" s="25" t="str">
        <f ca="1">IFERROR(__xludf.DUMMYFUNCTION("""COMPUTED_VALUE"""),"Una vez se tenga clara la dotación y servicios, se debe entregar respuesta concreta de qué se entregó en concreto para el CEFE Chapinero con corte a Diciembre")</f>
        <v>Una vez se tenga clara la dotación y servicios, se debe entregar respuesta concreta de qué se entregó en concreto para el CEFE Chapinero con corte a Diciembre</v>
      </c>
      <c r="G2565" s="25" t="str">
        <f ca="1">IFERROR(__xludf.DUMMYFUNCTION("""COMPUTED_VALUE"""),"02. Chapinero")</f>
        <v>02. Chapinero</v>
      </c>
      <c r="H2565" s="55">
        <f ca="1">IFERROR(__xludf.DUMMYFUNCTION("""COMPUTED_VALUE"""),45078)</f>
        <v>45078</v>
      </c>
      <c r="I2565" s="25" t="str">
        <f ca="1">IFERROR(__xludf.DUMMYFUNCTION("""COMPUTED_VALUE"""),"Secretaría Privada")</f>
        <v>Secretaría Privada</v>
      </c>
      <c r="J2565" s="55" t="str">
        <f ca="1">IFERROR(__xludf.DUMMYFUNCTION("""COMPUTED_VALUE"""),"Media")</f>
        <v>Media</v>
      </c>
      <c r="K2565" s="25">
        <f ca="1">IFERROR(__xludf.DUMMYFUNCTION("""COMPUTED_VALUE"""),69)</f>
        <v>69</v>
      </c>
      <c r="L2565" s="62">
        <f ca="1">IFERROR(__xludf.DUMMYFUNCTION("""COMPUTED_VALUE"""),45077)</f>
        <v>45077</v>
      </c>
      <c r="M2565" s="25" t="str">
        <f ca="1">IFERROR(__xludf.DUMMYFUNCTION("""COMPUTED_VALUE"""),"- En este momento nos encontramos en la etapa de estudio de mercado por parte del administrador delegado de la dotación que se necesita comprar. ")</f>
        <v xml:space="preserve">- En este momento nos encontramos en la etapa de estudio de mercado por parte del administrador delegado de la dotación que se necesita comprar. </v>
      </c>
      <c r="N2565" s="25"/>
      <c r="O2565" s="25" t="str">
        <f t="shared" ca="1" si="0"/>
        <v>Secretaría Distrital de Cultura, Recreación y Deporte</v>
      </c>
      <c r="P2565" s="25" t="str">
        <f t="shared" ca="1" si="2"/>
        <v/>
      </c>
      <c r="Q2565" s="25" t="str">
        <f ca="1">IFERROR(__xludf.DUMMYFUNCTION("""COMPUTED_VALUE"""),"Mediano plazo")</f>
        <v>Mediano plazo</v>
      </c>
      <c r="R2565" s="25"/>
      <c r="S2565" s="55"/>
      <c r="T2565" s="56"/>
      <c r="U2565" s="25"/>
      <c r="V2565" s="25"/>
      <c r="W2565" s="25"/>
      <c r="X2565" s="25"/>
      <c r="Y2565" s="25"/>
      <c r="Z2565" s="25"/>
    </row>
    <row r="2566" spans="1:26" ht="52.5" customHeight="1" x14ac:dyDescent="0.25">
      <c r="A2566" s="25" t="str">
        <f ca="1">IFERROR(__xludf.DUMMYFUNCTION("""COMPUTED_VALUE"""),"Cultu164")</f>
        <v>Cultu164</v>
      </c>
      <c r="B2566" s="25" t="str">
        <f ca="1">IFERROR(__xludf.DUMMYFUNCTION("""COMPUTED_VALUE"""),"Consejo Local de Gobierno de Usme")</f>
        <v>Consejo Local de Gobierno de Usme</v>
      </c>
      <c r="C2566" s="55">
        <f ca="1">IFERROR(__xludf.DUMMYFUNCTION("""COMPUTED_VALUE"""),44901)</f>
        <v>44901</v>
      </c>
      <c r="D2566" s="25" t="str">
        <f ca="1">IFERROR(__xludf.DUMMYFUNCTION("""COMPUTED_VALUE"""),"Cultura")</f>
        <v>Cultura</v>
      </c>
      <c r="E2566" s="25" t="str">
        <f ca="1">IFERROR(__xludf.DUMMYFUNCTION("""COMPUTED_VALUE"""),"Instituto Distrital de Recreación y Deporte")</f>
        <v>Instituto Distrital de Recreación y Deporte</v>
      </c>
      <c r="F2566" s="25" t="str">
        <f ca="1">IFERROR(__xludf.DUMMYFUNCTION("""COMPUTED_VALUE"""),"Brindar solución por parte del IDRD sobre el caso del parque Nuevo Milenio 1 etapa, con código 05476. Presenta problemas de estabilidad con un contrato que realizó el IDRD, donde se evidencia una película de agua que no tiene desagüe")</f>
        <v>Brindar solución por parte del IDRD sobre el caso del parque Nuevo Milenio 1 etapa, con código 05476. Presenta problemas de estabilidad con un contrato que realizó el IDRD, donde se evidencia una película de agua que no tiene desagüe</v>
      </c>
      <c r="G2566" s="25" t="str">
        <f ca="1">IFERROR(__xludf.DUMMYFUNCTION("""COMPUTED_VALUE"""),"05. Usme")</f>
        <v>05. Usme</v>
      </c>
      <c r="H2566" s="55">
        <f ca="1">IFERROR(__xludf.DUMMYFUNCTION("""COMPUTED_VALUE"""),45107)</f>
        <v>45107</v>
      </c>
      <c r="I2566" s="25" t="str">
        <f ca="1">IFERROR(__xludf.DUMMYFUNCTION("""COMPUTED_VALUE"""),"Secretaría Privada")</f>
        <v>Secretaría Privada</v>
      </c>
      <c r="J2566" s="55" t="str">
        <f ca="1">IFERROR(__xludf.DUMMYFUNCTION("""COMPUTED_VALUE"""),"Baja")</f>
        <v>Baja</v>
      </c>
      <c r="K2566" s="25">
        <f ca="1">IFERROR(__xludf.DUMMYFUNCTION("""COMPUTED_VALUE"""),206)</f>
        <v>206</v>
      </c>
      <c r="L2566" s="62">
        <f ca="1">IFERROR(__xludf.DUMMYFUNCTION("""COMPUTED_VALUE"""),45077)</f>
        <v>45077</v>
      </c>
      <c r="M2566" s="25" t="str">
        <f ca="1">IFERROR(__xludf.DUMMYFUNCTION("""COMPUTED_VALUE"""),"El 21 de marzo de 2023 se realizó por parte del equipo de estabilidad de obra del IDRD la visita periódica de seguimiento a la obra ejecutada en el parque Nuevo Milenio Etapa 1 identificado con el Cod. 05-475 de la localidad de Usme y se encontró un avanz"&amp;"ado estado de deterioro por temas asociados a mantenimiento preventivo y correctivo, vandalismo y mal uso. Dado que las fallas asociadas a mantenimiento, vandalismo y mal uso, no son imputables al contratista de obra se remitió oficio el pasado 29 de marz"&amp;"o a la alcaldía local de Usme, para que se realice el mantenimiento de dicho parque.")</f>
        <v>El 21 de marzo de 2023 se realizó por parte del equipo de estabilidad de obra del IDRD la visita periódica de seguimiento a la obra ejecutada en el parque Nuevo Milenio Etapa 1 identificado con el Cod. 05-475 de la localidad de Usme y se encontró un avanzado estado de deterioro por temas asociados a mantenimiento preventivo y correctivo, vandalismo y mal uso. Dado que las fallas asociadas a mantenimiento, vandalismo y mal uso, no son imputables al contratista de obra se remitió oficio el pasado 29 de marzo a la alcaldía local de Usme, para que se realice el mantenimiento de dicho parque.</v>
      </c>
      <c r="N2566" s="25"/>
      <c r="O2566" s="25" t="str">
        <f t="shared" ca="1" si="0"/>
        <v>Instituto Distrital de Recreación y Deporte</v>
      </c>
      <c r="P2566" s="25" t="str">
        <f t="shared" ca="1" si="2"/>
        <v/>
      </c>
      <c r="Q2566" s="25" t="str">
        <f ca="1">IFERROR(__xludf.DUMMYFUNCTION("""COMPUTED_VALUE"""),"Largo plazo")</f>
        <v>Largo plazo</v>
      </c>
      <c r="R2566" s="25"/>
      <c r="S2566" s="55"/>
      <c r="T2566" s="56"/>
      <c r="U2566" s="25"/>
      <c r="V2566" s="25"/>
      <c r="W2566" s="25"/>
      <c r="X2566" s="25"/>
      <c r="Y2566" s="25"/>
      <c r="Z2566" s="25"/>
    </row>
    <row r="2567" spans="1:26" ht="52.5" customHeight="1" x14ac:dyDescent="0.25">
      <c r="A2567" s="25" t="str">
        <f ca="1">IFERROR(__xludf.DUMMYFUNCTION("""COMPUTED_VALUE"""),"Cultu165")</f>
        <v>Cultu165</v>
      </c>
      <c r="B2567" s="25" t="str">
        <f ca="1">IFERROR(__xludf.DUMMYFUNCTION("""COMPUTED_VALUE"""),"Consejo Local de Gobierno de Engativá")</f>
        <v>Consejo Local de Gobierno de Engativá</v>
      </c>
      <c r="C2567" s="55">
        <f ca="1">IFERROR(__xludf.DUMMYFUNCTION("""COMPUTED_VALUE"""),44588)</f>
        <v>44588</v>
      </c>
      <c r="D2567" s="25" t="str">
        <f ca="1">IFERROR(__xludf.DUMMYFUNCTION("""COMPUTED_VALUE"""),"Cultura")</f>
        <v>Cultura</v>
      </c>
      <c r="E2567" s="25" t="str">
        <f ca="1">IFERROR(__xludf.DUMMYFUNCTION("""COMPUTED_VALUE"""),"Secretaría Distrital de Cultura, Recreación y Deporte")</f>
        <v>Secretaría Distrital de Cultura, Recreación y Deporte</v>
      </c>
      <c r="F2567" s="25" t="str">
        <f ca="1">IFERROR(__xludf.DUMMYFUNCTION("""COMPUTED_VALUE"""),"Dividir la línea inversión de Cultura, recreación y deporte en dos: Cultura y Deporte")</f>
        <v>Dividir la línea inversión de Cultura, recreación y deporte en dos: Cultura y Deporte</v>
      </c>
      <c r="G2567" s="25" t="str">
        <f ca="1">IFERROR(__xludf.DUMMYFUNCTION("""COMPUTED_VALUE"""),"99. Distrito")</f>
        <v>99. Distrito</v>
      </c>
      <c r="H2567" s="55">
        <f ca="1">IFERROR(__xludf.DUMMYFUNCTION("""COMPUTED_VALUE"""),44926)</f>
        <v>44926</v>
      </c>
      <c r="I2567" s="25"/>
      <c r="J2567" s="55" t="str">
        <f ca="1">IFERROR(__xludf.DUMMYFUNCTION("""COMPUTED_VALUE"""),"Baja")</f>
        <v>Baja</v>
      </c>
      <c r="K2567" s="25">
        <f ca="1">IFERROR(__xludf.DUMMYFUNCTION("""COMPUTED_VALUE"""),338)</f>
        <v>338</v>
      </c>
      <c r="L2567" s="62">
        <f ca="1">IFERROR(__xludf.DUMMYFUNCTION("""COMPUTED_VALUE"""),44926)</f>
        <v>44926</v>
      </c>
      <c r="M2567" s="25" t="str">
        <f ca="1">IFERROR(__xludf.DUMMYFUNCTION("""COMPUTED_VALUE"""),"Se llevó a cabo reunión el 25 de marzo entre Secretaría de Cultura, Recreación y Deporte y el Instituto Distrital de Recreación y Deporte en la cual la Dirección de Fomento socializó el Programa Distrital de Estímulos para determinar la pertinencia jurídi"&amp;"ca y técnica de implementar los criterios de elegibilidad y viabilidad para estímulos recreo-deportivos. Como parte de los compromisos la SCRD remitió al IDRD concepto donde se da la posibilidad de ofertar convocatorias en temas recreo deportivos que cuen"&amp;"ta con la fundamentación normativa, legal y jurisprudencial de donde proviene la facultad para hacerlo. Siguiendo con los compromisos se llevó a cabo el 8 de abril una mesa de trabajo en la cual la Dirección de Asuntos Locales y Participación de la SCRD o"&amp;"rientó al IDRD en la construcción de los criterios de elegibilidad y viabilidad en lo recreo deportivo para el concepto de gasto de iniciativas a nivel local.
 En proceso:
 * Revisión y definición interna del IDRD con el área técnica su concepto de inic"&amp;"itivas de recreación y deporte, para poder definir los criterios y su coherencia con el Portafolio Distrital de Estímulos. 
 *Identificar las necesidades del IDRD y establecer población objetivo a beneficiar con estímulos en recreación y deporte. 
 *Por s"&amp;"u parte el IDRD ha solicitado a su Oficina Asesora Juridica, de acuerdo con la información suministrada por la Secretaria de Cultura Recreacion y Deporte, conceptue respecto de la viabilidad juridica de la entrega de formento en sus distintas modalidades "&amp;"para que de acuerdo con ello se pueda avanzar en el compromiso acordado. Así mismo se esta estudiando la viabilidad y las necesidades pertinentes del sector desde la Subdirección Tecnica de Recreación y Deporte 
  28 de Noviembre de 2022 
 Cumplido 
 "&amp;"Los ajustes a los criterios de elegibilifdad y viabilidad para la inclusión de las iniciativas recreodeportivas fueron publicados el 7 de Julio de 2022, quedando como opción elegible para los Fondos Locales de Inversiób la posibilidad de invertir en inici"&amp;"ativas recreodeportivas según lo estimado por la necesidad y en coherencia con los lineamientos de fomento.")</f>
        <v>Se llevó a cabo reunión el 25 de marzo entre Secretaría de Cultura, Recreación y Deporte y el Instituto Distrital de Recreación y Deporte en la cual la Dirección de Fomento socializó el Programa Distrital de Estímulos para determinar la pertinencia jurídica y técnica de implementar los criterios de elegibilidad y viabilidad para estímulos recreo-deportivos. Como parte de los compromisos la SCRD remitió al IDRD concepto donde se da la posibilidad de ofertar convocatorias en temas recreo deportivos que cuenta con la fundamentación normativa, legal y jurisprudencial de donde proviene la facultad para hacerlo. Siguiendo con los compromisos se llevó a cabo el 8 de abril una mesa de trabajo en la cual la Dirección de Asuntos Locales y Participación de la SCRD orientó al IDRD en la construcción de los criterios de elegibilidad y viabilidad en lo recreo deportivo para el concepto de gasto de iniciativas a nivel local.
 En proceso:
 * Revisión y definición interna del IDRD con el área técnica su concepto de inicitivas de recreación y deporte, para poder definir los criterios y su coherencia con el Portafolio Distrital de Estímulos. 
 *Identificar las necesidades del IDRD y establecer población objetivo a beneficiar con estímulos en recreación y deporte. 
 *Por su parte el IDRD ha solicitado a su Oficina Asesora Juridica, de acuerdo con la información suministrada por la Secretaria de Cultura Recreacion y Deporte, conceptue respecto de la viabilidad juridica de la entrega de formento en sus distintas modalidades para que de acuerdo con ello se pueda avanzar en el compromiso acordado. Así mismo se esta estudiando la viabilidad y las necesidades pertinentes del sector desde la Subdirección Tecnica de Recreación y Deporte 
  28 de Noviembre de 2022 
 Cumplido 
 Los ajustes a los criterios de elegibilifdad y viabilidad para la inclusión de las iniciativas recreodeportivas fueron publicados el 7 de Julio de 2022, quedando como opción elegible para los Fondos Locales de Inversiób la posibilidad de invertir en iniciativas recreodeportivas según lo estimado por la necesidad y en coherencia con los lineamientos de fomento.</v>
      </c>
      <c r="N2567" s="55">
        <f ca="1">IFERROR(__xludf.DUMMYFUNCTION("""COMPUTED_VALUE"""),44926)</f>
        <v>44926</v>
      </c>
      <c r="O2567" s="25" t="str">
        <f t="shared" ca="1" si="0"/>
        <v>Secretaría Distrital de Cultura, Recreación y Deporte</v>
      </c>
      <c r="P2567" s="25" t="str">
        <f t="shared" si="2"/>
        <v/>
      </c>
      <c r="Q2567" s="25" t="str">
        <f ca="1">IFERROR(__xludf.DUMMYFUNCTION("""COMPUTED_VALUE"""),"Largo plazo")</f>
        <v>Largo plazo</v>
      </c>
      <c r="R2567" s="25"/>
      <c r="S2567" s="55"/>
      <c r="T2567" s="56"/>
      <c r="U2567" s="25"/>
      <c r="V2567" s="25"/>
      <c r="W2567" s="25"/>
      <c r="X2567" s="25"/>
      <c r="Y2567" s="25"/>
      <c r="Z2567" s="25"/>
    </row>
    <row r="2568" spans="1:26" ht="52.5" customHeight="1" x14ac:dyDescent="0.25">
      <c r="A2568" s="25" t="str">
        <f ca="1">IFERROR(__xludf.DUMMYFUNCTION("""COMPUTED_VALUE"""),"Cultu166")</f>
        <v>Cultu166</v>
      </c>
      <c r="B2568" s="25" t="str">
        <f ca="1">IFERROR(__xludf.DUMMYFUNCTION("""COMPUTED_VALUE"""),"Consejo Local de Gobierno de Fontibón")</f>
        <v>Consejo Local de Gobierno de Fontibón</v>
      </c>
      <c r="C2568" s="55">
        <f ca="1">IFERROR(__xludf.DUMMYFUNCTION("""COMPUTED_VALUE"""),44609)</f>
        <v>44609</v>
      </c>
      <c r="D2568" s="25" t="str">
        <f ca="1">IFERROR(__xludf.DUMMYFUNCTION("""COMPUTED_VALUE"""),"Cultura")</f>
        <v>Cultura</v>
      </c>
      <c r="E2568" s="25" t="str">
        <f ca="1">IFERROR(__xludf.DUMMYFUNCTION("""COMPUTED_VALUE"""),"Instituto Distrital de Recreación y Deporte")</f>
        <v>Instituto Distrital de Recreación y Deporte</v>
      </c>
      <c r="F2568" s="25" t="str">
        <f ca="1">IFERROR(__xludf.DUMMYFUNCTION("""COMPUTED_VALUE"""),"Revisar la posibilidad de crear un convenio con ASOJUNTAS para la administración de los parques de la localidad. Así mismo, dar respuesta al ciudadano sobre el contrato con el IDRD para impulsar las escuelas de formación deportiva.")</f>
        <v>Revisar la posibilidad de crear un convenio con ASOJUNTAS para la administración de los parques de la localidad. Así mismo, dar respuesta al ciudadano sobre el contrato con el IDRD para impulsar las escuelas de formación deportiva.</v>
      </c>
      <c r="G2568" s="25" t="str">
        <f ca="1">IFERROR(__xludf.DUMMYFUNCTION("""COMPUTED_VALUE"""),"09. Fontibón")</f>
        <v>09. Fontibón</v>
      </c>
      <c r="H2568" s="55">
        <f ca="1">IFERROR(__xludf.DUMMYFUNCTION("""COMPUTED_VALUE"""),45077)</f>
        <v>45077</v>
      </c>
      <c r="I2568" s="25" t="str">
        <f ca="1">IFERROR(__xludf.DUMMYFUNCTION("""COMPUTED_VALUE"""),"Secretaría Privada")</f>
        <v>Secretaría Privada</v>
      </c>
      <c r="J2568" s="55" t="str">
        <f ca="1">IFERROR(__xludf.DUMMYFUNCTION("""COMPUTED_VALUE"""),"Baja")</f>
        <v>Baja</v>
      </c>
      <c r="K2568" s="25">
        <f ca="1">IFERROR(__xludf.DUMMYFUNCTION("""COMPUTED_VALUE"""),468)</f>
        <v>468</v>
      </c>
      <c r="L2568" s="62">
        <f ca="1">IFERROR(__xludf.DUMMYFUNCTION("""COMPUTED_VALUE"""),45077)</f>
        <v>45077</v>
      </c>
      <c r="M2568" s="25" t="str">
        <f ca="1">IFERROR(__xludf.DUMMYFUNCTION("""COMPUTED_VALUE"""),"De acuerdo con el compromiso, en febrero de 2022 se llevó a cabo la reunión de socialización de la figura de los convenios solidarios con Asojuntas y el IDPAC. A partir de este compromiso se logró la firma de dos convenios solidarios como parte del  proye"&amp;"cto piloto  Villa Alsacia y Salitre El Greco y se siguen estudiando las solicitudes de cerca de 10 Juntas de Acción Comunal. 
Se continua en seguimiento al resultado del piloto con la Junta de Barrio Villa Alsacia adelantado desde el IDRD. Con el profes"&amp;"ional Local de Fontibón se realizo un proceso de fortalecimiento (capacitación) a clubes y escuelas que no están reconocidos de forma virtual en los meses de agosto y septiembre de 2022. Cualquier ampliación al respecto puede ser articulada con el profesi"&amp;"onal local Jorge Andrés Melo, jorge.melo@idrd.gov.co. Celular 3132004805")</f>
        <v>De acuerdo con el compromiso, en febrero de 2022 se llevó a cabo la reunión de socialización de la figura de los convenios solidarios con Asojuntas y el IDPAC. A partir de este compromiso se logró la firma de dos convenios solidarios como parte del  proyecto piloto  Villa Alsacia y Salitre El Greco y se siguen estudiando las solicitudes de cerca de 10 Juntas de Acción Comunal. 
Se continua en seguimiento al resultado del piloto con la Junta de Barrio Villa Alsacia adelantado desde el IDRD. Con el profesional Local de Fontibón se realizo un proceso de fortalecimiento (capacitación) a clubes y escuelas que no están reconocidos de forma virtual en los meses de agosto y septiembre de 2022. Cualquier ampliación al respecto puede ser articulada con el profesional local Jorge Andrés Melo, jorge.melo@idrd.gov.co. Celular 3132004805</v>
      </c>
      <c r="N2568" s="55">
        <f ca="1">IFERROR(__xludf.DUMMYFUNCTION("""COMPUTED_VALUE"""),44620)</f>
        <v>44620</v>
      </c>
      <c r="O2568" s="25" t="str">
        <f t="shared" ca="1" si="0"/>
        <v>Instituto Distrital de Recreación y Deporte</v>
      </c>
      <c r="P2568" s="25" t="str">
        <f t="shared" ca="1" si="2"/>
        <v/>
      </c>
      <c r="Q2568" s="25" t="str">
        <f ca="1">IFERROR(__xludf.DUMMYFUNCTION("""COMPUTED_VALUE"""),"Largo plazo")</f>
        <v>Largo plazo</v>
      </c>
      <c r="R2568" s="25"/>
      <c r="S2568" s="55"/>
      <c r="T2568" s="56"/>
      <c r="U2568" s="25"/>
      <c r="V2568" s="25"/>
      <c r="W2568" s="25"/>
      <c r="X2568" s="25"/>
      <c r="Y2568" s="25"/>
      <c r="Z2568" s="25"/>
    </row>
    <row r="2569" spans="1:26" ht="52.5" customHeight="1" x14ac:dyDescent="0.25">
      <c r="A2569" s="25" t="str">
        <f ca="1">IFERROR(__xludf.DUMMYFUNCTION("""COMPUTED_VALUE"""),"Cultu167")</f>
        <v>Cultu167</v>
      </c>
      <c r="B2569" s="25" t="str">
        <f ca="1">IFERROR(__xludf.DUMMYFUNCTION("""COMPUTED_VALUE"""),"Consejo Local de Gobierno de Barrios Unidos")</f>
        <v>Consejo Local de Gobierno de Barrios Unidos</v>
      </c>
      <c r="C2569" s="55">
        <f ca="1">IFERROR(__xludf.DUMMYFUNCTION("""COMPUTED_VALUE"""),44637)</f>
        <v>44637</v>
      </c>
      <c r="D2569" s="25" t="str">
        <f ca="1">IFERROR(__xludf.DUMMYFUNCTION("""COMPUTED_VALUE"""),"Cultura")</f>
        <v>Cultura</v>
      </c>
      <c r="E2569" s="25" t="str">
        <f ca="1">IFERROR(__xludf.DUMMYFUNCTION("""COMPUTED_VALUE"""),"Instituto Distrital de Recreación y Deporte")</f>
        <v>Instituto Distrital de Recreación y Deporte</v>
      </c>
      <c r="F2569" s="25" t="str">
        <f ca="1">IFERROR(__xludf.DUMMYFUNCTION("""COMPUTED_VALUE"""),"Realizar un Juntos Cuidamos Bogotá en el Parque Alcázares")</f>
        <v>Realizar un Juntos Cuidamos Bogotá en el Parque Alcázares</v>
      </c>
      <c r="G2569" s="25" t="str">
        <f ca="1">IFERROR(__xludf.DUMMYFUNCTION("""COMPUTED_VALUE"""),"12. Barrios Unidos")</f>
        <v>12. Barrios Unidos</v>
      </c>
      <c r="H2569" s="55">
        <f ca="1">IFERROR(__xludf.DUMMYFUNCTION("""COMPUTED_VALUE"""),45077)</f>
        <v>45077</v>
      </c>
      <c r="I2569" s="25" t="str">
        <f ca="1">IFERROR(__xludf.DUMMYFUNCTION("""COMPUTED_VALUE"""),"Jefatura de Gabinete")</f>
        <v>Jefatura de Gabinete</v>
      </c>
      <c r="J2569" s="55" t="str">
        <f ca="1">IFERROR(__xludf.DUMMYFUNCTION("""COMPUTED_VALUE"""),"Baja")</f>
        <v>Baja</v>
      </c>
      <c r="K2569" s="25">
        <f ca="1">IFERROR(__xludf.DUMMYFUNCTION("""COMPUTED_VALUE"""),440)</f>
        <v>440</v>
      </c>
      <c r="L2569" s="62">
        <f ca="1">IFERROR(__xludf.DUMMYFUNCTION("""COMPUTED_VALUE"""),45076)</f>
        <v>45076</v>
      </c>
      <c r="M2569" s="25" t="str">
        <f ca="1">IFERROR(__xludf.DUMMYFUNCTION("""COMPUTED_VALUE"""),"Esta actividad no es de competencia del IDRD")</f>
        <v>Esta actividad no es de competencia del IDRD</v>
      </c>
      <c r="N2569" s="25"/>
      <c r="O2569" s="25" t="str">
        <f t="shared" ca="1" si="0"/>
        <v>Instituto Distrital de Recreación y Deporte</v>
      </c>
      <c r="P2569" s="25" t="str">
        <f t="shared" ca="1" si="2"/>
        <v/>
      </c>
      <c r="Q2569" s="25" t="str">
        <f ca="1">IFERROR(__xludf.DUMMYFUNCTION("""COMPUTED_VALUE"""),"Largo plazo")</f>
        <v>Largo plazo</v>
      </c>
      <c r="R2569" s="25"/>
      <c r="S2569" s="55"/>
      <c r="T2569" s="56"/>
      <c r="U2569" s="25"/>
      <c r="V2569" s="25"/>
      <c r="W2569" s="25"/>
      <c r="X2569" s="25"/>
      <c r="Y2569" s="25"/>
      <c r="Z2569" s="25"/>
    </row>
    <row r="2570" spans="1:26" ht="52.5" customHeight="1" x14ac:dyDescent="0.25">
      <c r="A2570" s="25" t="str">
        <f ca="1">IFERROR(__xludf.DUMMYFUNCTION("""COMPUTED_VALUE"""),"Cultu168")</f>
        <v>Cultu168</v>
      </c>
      <c r="B2570" s="25" t="str">
        <f ca="1">IFERROR(__xludf.DUMMYFUNCTION("""COMPUTED_VALUE"""),"Consejo Local de Gobierno de Barrios Unidos")</f>
        <v>Consejo Local de Gobierno de Barrios Unidos</v>
      </c>
      <c r="C2570" s="55">
        <f ca="1">IFERROR(__xludf.DUMMYFUNCTION("""COMPUTED_VALUE"""),44637)</f>
        <v>44637</v>
      </c>
      <c r="D2570" s="25" t="str">
        <f ca="1">IFERROR(__xludf.DUMMYFUNCTION("""COMPUTED_VALUE"""),"Cultura")</f>
        <v>Cultura</v>
      </c>
      <c r="E2570" s="25" t="str">
        <f ca="1">IFERROR(__xludf.DUMMYFUNCTION("""COMPUTED_VALUE"""),"Instituto Distrital de Recreación y Deporte")</f>
        <v>Instituto Distrital de Recreación y Deporte</v>
      </c>
      <c r="F2570" s="25" t="str">
        <f ca="1">IFERROR(__xludf.DUMMYFUNCTION("""COMPUTED_VALUE"""),"Mejorar la cancha de fútbol del parque J Vargas, que no sea sintética sino natural, demarcarla y promover campañas para evitar que las mascotas dañen este espacio")</f>
        <v>Mejorar la cancha de fútbol del parque J Vargas, que no sea sintética sino natural, demarcarla y promover campañas para evitar que las mascotas dañen este espacio</v>
      </c>
      <c r="G2570" s="25" t="str">
        <f ca="1">IFERROR(__xludf.DUMMYFUNCTION("""COMPUTED_VALUE"""),"12. Barrios Unidos")</f>
        <v>12. Barrios Unidos</v>
      </c>
      <c r="H2570" s="55">
        <f ca="1">IFERROR(__xludf.DUMMYFUNCTION("""COMPUTED_VALUE"""),44926)</f>
        <v>44926</v>
      </c>
      <c r="I2570" s="25"/>
      <c r="J2570" s="55" t="str">
        <f ca="1">IFERROR(__xludf.DUMMYFUNCTION("""COMPUTED_VALUE"""),"Baja")</f>
        <v>Baja</v>
      </c>
      <c r="K2570" s="25">
        <f ca="1">IFERROR(__xludf.DUMMYFUNCTION("""COMPUTED_VALUE"""),289)</f>
        <v>289</v>
      </c>
      <c r="L2570" s="62">
        <f ca="1">IFERROR(__xludf.DUMMYFUNCTION("""COMPUTED_VALUE"""),44926)</f>
        <v>44926</v>
      </c>
      <c r="M2570" s="25" t="str">
        <f ca="1">IFERROR(__xludf.DUMMYFUNCTION("""COMPUTED_VALUE"""),"Frente a la solicitud respecto de la cancha del parque J Vargas, se manifiesta por parte de la Subdirección Técnica de Parques que no es posible hacer un cambio de grama sintética a grama natural ya que a la fecha es un proceso concluido y no puede modifi"&amp;"carse de acuerdo con el trámite contractual adelantado para su creación. 
 Así mismo, se manifestó que se están realizando campañas de sensibilización de la ciudadanía para el buen uso del escenario, y que existe la señalización pertinente en cuanto a l"&amp;"os espacios en los que deben estar y no las mascotas así como del buen uso de los espacios. 
 Se ratifica la respuesta del IDRD del día 4/05/2022 respecto a la NO posibilidad de cambiar a grama sintética, finalizando el compromiso de parte del Instituto"&amp;".")</f>
        <v>Frente a la solicitud respecto de la cancha del parque J Vargas, se manifiesta por parte de la Subdirección Técnica de Parques que no es posible hacer un cambio de grama sintética a grama natural ya que a la fecha es un proceso concluido y no puede modificarse de acuerdo con el trámite contractual adelantado para su creación. 
 Así mismo, se manifestó que se están realizando campañas de sensibilización de la ciudadanía para el buen uso del escenario, y que existe la señalización pertinente en cuanto a los espacios en los que deben estar y no las mascotas así como del buen uso de los espacios. 
 Se ratifica la respuesta del IDRD del día 4/05/2022 respecto a la NO posibilidad de cambiar a grama sintética, finalizando el compromiso de parte del Instituto.</v>
      </c>
      <c r="N2570" s="55">
        <f ca="1">IFERROR(__xludf.DUMMYFUNCTION("""COMPUTED_VALUE"""),44926)</f>
        <v>44926</v>
      </c>
      <c r="O2570" s="25" t="str">
        <f t="shared" ca="1" si="0"/>
        <v>Instituto Distrital de Recreación y Deporte</v>
      </c>
      <c r="P2570" s="25" t="str">
        <f t="shared" si="2"/>
        <v/>
      </c>
      <c r="Q2570" s="25" t="str">
        <f ca="1">IFERROR(__xludf.DUMMYFUNCTION("""COMPUTED_VALUE"""),"Largo plazo")</f>
        <v>Largo plazo</v>
      </c>
      <c r="R2570" s="25"/>
      <c r="S2570" s="55"/>
      <c r="T2570" s="56"/>
      <c r="U2570" s="25"/>
      <c r="V2570" s="25"/>
      <c r="W2570" s="25"/>
      <c r="X2570" s="25"/>
      <c r="Y2570" s="25"/>
      <c r="Z2570" s="25"/>
    </row>
    <row r="2571" spans="1:26" ht="52.5" customHeight="1" x14ac:dyDescent="0.25">
      <c r="A2571" s="25" t="str">
        <f ca="1">IFERROR(__xludf.DUMMYFUNCTION("""COMPUTED_VALUE"""),"Cultu169")</f>
        <v>Cultu169</v>
      </c>
      <c r="B2571" s="25" t="str">
        <f ca="1">IFERROR(__xludf.DUMMYFUNCTION("""COMPUTED_VALUE"""),"Consejo Local de Gobierno de Barrios Unidos")</f>
        <v>Consejo Local de Gobierno de Barrios Unidos</v>
      </c>
      <c r="C2571" s="55">
        <f ca="1">IFERROR(__xludf.DUMMYFUNCTION("""COMPUTED_VALUE"""),44637)</f>
        <v>44637</v>
      </c>
      <c r="D2571" s="25" t="str">
        <f ca="1">IFERROR(__xludf.DUMMYFUNCTION("""COMPUTED_VALUE"""),"Cultura")</f>
        <v>Cultura</v>
      </c>
      <c r="E2571" s="25" t="str">
        <f ca="1">IFERROR(__xludf.DUMMYFUNCTION("""COMPUTED_VALUE"""),"Instituto Distrital de Recreación y Deporte")</f>
        <v>Instituto Distrital de Recreación y Deporte</v>
      </c>
      <c r="F2571" s="25" t="str">
        <f ca="1">IFERROR(__xludf.DUMMYFUNCTION("""COMPUTED_VALUE"""),"Explicar al ciudadano cómo operan y se administran los espacios del Centro de alto Rendimiento, porque manifiesta que no se tiene acceso a estos para el desarrollo de recreación deportiva")</f>
        <v>Explicar al ciudadano cómo operan y se administran los espacios del Centro de alto Rendimiento, porque manifiesta que no se tiene acceso a estos para el desarrollo de recreación deportiva</v>
      </c>
      <c r="G2571" s="25" t="str">
        <f ca="1">IFERROR(__xludf.DUMMYFUNCTION("""COMPUTED_VALUE"""),"12. Barrios Unidos")</f>
        <v>12. Barrios Unidos</v>
      </c>
      <c r="H2571" s="55">
        <f ca="1">IFERROR(__xludf.DUMMYFUNCTION("""COMPUTED_VALUE"""),44926)</f>
        <v>44926</v>
      </c>
      <c r="I2571" s="25"/>
      <c r="J2571" s="55" t="str">
        <f ca="1">IFERROR(__xludf.DUMMYFUNCTION("""COMPUTED_VALUE"""),"Baja")</f>
        <v>Baja</v>
      </c>
      <c r="K2571" s="25">
        <f ca="1">IFERROR(__xludf.DUMMYFUNCTION("""COMPUTED_VALUE"""),289)</f>
        <v>289</v>
      </c>
      <c r="L2571" s="62">
        <f ca="1">IFERROR(__xludf.DUMMYFUNCTION("""COMPUTED_VALUE"""),44926)</f>
        <v>44926</v>
      </c>
      <c r="M2571" s="25" t="str">
        <f ca="1">IFERROR(__xludf.DUMMYFUNCTION("""COMPUTED_VALUE"""),"Al respecto es importante señalar que desde la Subdirección Técnica de Parques se entabló comunicación con el ciudadano Sebastián Beltrán vía telefónica en la segunsda semana del mes de abril, en pro de otorgarle la información solicitada respecto de cómo"&amp;" operan y se administran los espacios del Centro de alto Rendimiento y del contrato para intervención del Coliseo (Unidad Deportiva El Salitre)")</f>
        <v>Al respecto es importante señalar que desde la Subdirección Técnica de Parques se entabló comunicación con el ciudadano Sebastián Beltrán vía telefónica en la segunsda semana del mes de abril, en pro de otorgarle la información solicitada respecto de cómo operan y se administran los espacios del Centro de alto Rendimiento y del contrato para intervención del Coliseo (Unidad Deportiva El Salitre)</v>
      </c>
      <c r="N2571" s="55">
        <f ca="1">IFERROR(__xludf.DUMMYFUNCTION("""COMPUTED_VALUE"""),44926)</f>
        <v>44926</v>
      </c>
      <c r="O2571" s="25" t="str">
        <f t="shared" ca="1" si="0"/>
        <v>Instituto Distrital de Recreación y Deporte</v>
      </c>
      <c r="P2571" s="25" t="str">
        <f t="shared" si="2"/>
        <v/>
      </c>
      <c r="Q2571" s="25" t="str">
        <f ca="1">IFERROR(__xludf.DUMMYFUNCTION("""COMPUTED_VALUE"""),"Largo plazo")</f>
        <v>Largo plazo</v>
      </c>
      <c r="R2571" s="25"/>
      <c r="S2571" s="55"/>
      <c r="T2571" s="56"/>
      <c r="U2571" s="25"/>
      <c r="V2571" s="25"/>
      <c r="W2571" s="25"/>
      <c r="X2571" s="25"/>
      <c r="Y2571" s="25"/>
      <c r="Z2571" s="25"/>
    </row>
    <row r="2572" spans="1:26" ht="52.5" customHeight="1" x14ac:dyDescent="0.25">
      <c r="A2572" s="25" t="str">
        <f ca="1">IFERROR(__xludf.DUMMYFUNCTION("""COMPUTED_VALUE"""),"Cultu170")</f>
        <v>Cultu170</v>
      </c>
      <c r="B2572" s="25" t="str">
        <f ca="1">IFERROR(__xludf.DUMMYFUNCTION("""COMPUTED_VALUE"""),"Consejo Local de Gobierno de Barrios Unidos")</f>
        <v>Consejo Local de Gobierno de Barrios Unidos</v>
      </c>
      <c r="C2572" s="55">
        <f ca="1">IFERROR(__xludf.DUMMYFUNCTION("""COMPUTED_VALUE"""),44637)</f>
        <v>44637</v>
      </c>
      <c r="D2572" s="25" t="str">
        <f ca="1">IFERROR(__xludf.DUMMYFUNCTION("""COMPUTED_VALUE"""),"Cultura")</f>
        <v>Cultura</v>
      </c>
      <c r="E2572" s="25" t="str">
        <f ca="1">IFERROR(__xludf.DUMMYFUNCTION("""COMPUTED_VALUE"""),"Instituto Distrital de Recreación y Deporte")</f>
        <v>Instituto Distrital de Recreación y Deporte</v>
      </c>
      <c r="F2572" s="25" t="str">
        <f ca="1">IFERROR(__xludf.DUMMYFUNCTION("""COMPUTED_VALUE"""),"Brindar información sobre el contrato para intervención del Coliseo (Unidad Deportiva El Salitre) porque sigue abandonado")</f>
        <v>Brindar información sobre el contrato para intervención del Coliseo (Unidad Deportiva El Salitre) porque sigue abandonado</v>
      </c>
      <c r="G2572" s="25" t="str">
        <f ca="1">IFERROR(__xludf.DUMMYFUNCTION("""COMPUTED_VALUE"""),"12. Barrios Unidos")</f>
        <v>12. Barrios Unidos</v>
      </c>
      <c r="H2572" s="55">
        <f ca="1">IFERROR(__xludf.DUMMYFUNCTION("""COMPUTED_VALUE"""),44926)</f>
        <v>44926</v>
      </c>
      <c r="I2572" s="25"/>
      <c r="J2572" s="55" t="str">
        <f ca="1">IFERROR(__xludf.DUMMYFUNCTION("""COMPUTED_VALUE"""),"Baja")</f>
        <v>Baja</v>
      </c>
      <c r="K2572" s="25">
        <f ca="1">IFERROR(__xludf.DUMMYFUNCTION("""COMPUTED_VALUE"""),289)</f>
        <v>289</v>
      </c>
      <c r="L2572" s="62">
        <f ca="1">IFERROR(__xludf.DUMMYFUNCTION("""COMPUTED_VALUE"""),44926)</f>
        <v>44926</v>
      </c>
      <c r="M2572" s="25" t="str">
        <f ca="1">IFERROR(__xludf.DUMMYFUNCTION("""COMPUTED_VALUE"""),"Al respecto es importante señalar que desde la Subdirección Técnica de Parques se entabló comunicación con el ciudadano Sebastián Beltrán vía telefónica la segunda semana de abril, en pro de otorgarle la información solicitada respecto de cómo operan y se"&amp;" administran los espacios del Centro de alto Rendimiento y del contrato para intervención del Coliseo (Unidad Deportiva El Salitre)")</f>
        <v>Al respecto es importante señalar que desde la Subdirección Técnica de Parques se entabló comunicación con el ciudadano Sebastián Beltrán vía telefónica la segunda semana de abril, en pro de otorgarle la información solicitada respecto de cómo operan y se administran los espacios del Centro de alto Rendimiento y del contrato para intervención del Coliseo (Unidad Deportiva El Salitre)</v>
      </c>
      <c r="N2572" s="55">
        <f ca="1">IFERROR(__xludf.DUMMYFUNCTION("""COMPUTED_VALUE"""),44926)</f>
        <v>44926</v>
      </c>
      <c r="O2572" s="25" t="str">
        <f t="shared" ca="1" si="0"/>
        <v>Instituto Distrital de Recreación y Deporte</v>
      </c>
      <c r="P2572" s="25" t="str">
        <f t="shared" si="2"/>
        <v/>
      </c>
      <c r="Q2572" s="25" t="str">
        <f ca="1">IFERROR(__xludf.DUMMYFUNCTION("""COMPUTED_VALUE"""),"Largo plazo")</f>
        <v>Largo plazo</v>
      </c>
      <c r="R2572" s="25"/>
      <c r="S2572" s="55"/>
      <c r="T2572" s="56"/>
      <c r="U2572" s="25"/>
      <c r="V2572" s="25"/>
      <c r="W2572" s="25"/>
      <c r="X2572" s="25"/>
      <c r="Y2572" s="25"/>
      <c r="Z2572" s="25"/>
    </row>
    <row r="2573" spans="1:26" ht="52.5" customHeight="1" x14ac:dyDescent="0.25">
      <c r="A2573" s="25" t="str">
        <f ca="1">IFERROR(__xludf.DUMMYFUNCTION("""COMPUTED_VALUE"""),"Cultu171")</f>
        <v>Cultu171</v>
      </c>
      <c r="B2573" s="25" t="str">
        <f ca="1">IFERROR(__xludf.DUMMYFUNCTION("""COMPUTED_VALUE"""),"Consejo Local de Gobierno de Usaquén")</f>
        <v>Consejo Local de Gobierno de Usaquén</v>
      </c>
      <c r="C2573" s="55">
        <f ca="1">IFERROR(__xludf.DUMMYFUNCTION("""COMPUTED_VALUE"""),44644)</f>
        <v>44644</v>
      </c>
      <c r="D2573" s="25" t="str">
        <f ca="1">IFERROR(__xludf.DUMMYFUNCTION("""COMPUTED_VALUE"""),"Cultura")</f>
        <v>Cultura</v>
      </c>
      <c r="E2573" s="25" t="str">
        <f ca="1">IFERROR(__xludf.DUMMYFUNCTION("""COMPUTED_VALUE"""),"Instituto Distrital de Recreación y Deporte")</f>
        <v>Instituto Distrital de Recreación y Deporte</v>
      </c>
      <c r="F2573" s="25" t="str">
        <f ca="1">IFERROR(__xludf.DUMMYFUNCTION("""COMPUTED_VALUE"""),"Delimitar espacios exclusivos para las mascotas en los parques de la localidad")</f>
        <v>Delimitar espacios exclusivos para las mascotas en los parques de la localidad</v>
      </c>
      <c r="G2573" s="25" t="str">
        <f ca="1">IFERROR(__xludf.DUMMYFUNCTION("""COMPUTED_VALUE"""),"01. Usaquén")</f>
        <v>01. Usaquén</v>
      </c>
      <c r="H2573" s="55">
        <f ca="1">IFERROR(__xludf.DUMMYFUNCTION("""COMPUTED_VALUE"""),45077)</f>
        <v>45077</v>
      </c>
      <c r="I2573" s="25" t="str">
        <f ca="1">IFERROR(__xludf.DUMMYFUNCTION("""COMPUTED_VALUE"""),"Secretaría Privada")</f>
        <v>Secretaría Privada</v>
      </c>
      <c r="J2573" s="55" t="str">
        <f ca="1">IFERROR(__xludf.DUMMYFUNCTION("""COMPUTED_VALUE"""),"Baja")</f>
        <v>Baja</v>
      </c>
      <c r="K2573" s="25">
        <f ca="1">IFERROR(__xludf.DUMMYFUNCTION("""COMPUTED_VALUE"""),433)</f>
        <v>433</v>
      </c>
      <c r="L2573" s="62">
        <f ca="1">IFERROR(__xludf.DUMMYFUNCTION("""COMPUTED_VALUE"""),45077)</f>
        <v>45077</v>
      </c>
      <c r="M2573" s="25" t="str">
        <f ca="1">IFERROR(__xludf.DUMMYFUNCTION("""COMPUTED_VALUE"""),"En el primer trimestre del año 2023 inició la intervención de dos parques de proximidad para incluir espacios exclusivos para mascotas, entre otras mejoras. Los parques son: Villas de Aranjuez 01-297 y Quintas de la Sabana, ambas obras están en más de un "&amp;"90% de ejecución y según programación la entrega del parque se realizará la segunda semana de junio.")</f>
        <v>En el primer trimestre del año 2023 inició la intervención de dos parques de proximidad para incluir espacios exclusivos para mascotas, entre otras mejoras. Los parques son: Villas de Aranjuez 01-297 y Quintas de la Sabana, ambas obras están en más de un 90% de ejecución y según programación la entrega del parque se realizará la segunda semana de junio.</v>
      </c>
      <c r="N2573" s="25"/>
      <c r="O2573" s="25" t="str">
        <f t="shared" ca="1" si="0"/>
        <v>Instituto Distrital de Recreación y Deporte</v>
      </c>
      <c r="P2573" s="25" t="str">
        <f t="shared" ca="1" si="2"/>
        <v/>
      </c>
      <c r="Q2573" s="25" t="str">
        <f ca="1">IFERROR(__xludf.DUMMYFUNCTION("""COMPUTED_VALUE"""),"Largo plazo")</f>
        <v>Largo plazo</v>
      </c>
      <c r="R2573" s="25"/>
      <c r="S2573" s="55"/>
      <c r="T2573" s="56"/>
      <c r="U2573" s="25"/>
      <c r="V2573" s="25"/>
      <c r="W2573" s="25"/>
      <c r="X2573" s="25"/>
      <c r="Y2573" s="25"/>
      <c r="Z2573" s="25"/>
    </row>
    <row r="2574" spans="1:26" ht="52.5" customHeight="1" x14ac:dyDescent="0.25">
      <c r="A2574" s="25" t="str">
        <f ca="1">IFERROR(__xludf.DUMMYFUNCTION("""COMPUTED_VALUE"""),"Cultu172")</f>
        <v>Cultu172</v>
      </c>
      <c r="B2574" s="25" t="str">
        <f ca="1">IFERROR(__xludf.DUMMYFUNCTION("""COMPUTED_VALUE"""),"Consejo Local de Gobierno de Puente Aranda")</f>
        <v>Consejo Local de Gobierno de Puente Aranda</v>
      </c>
      <c r="C2574" s="55">
        <f ca="1">IFERROR(__xludf.DUMMYFUNCTION("""COMPUTED_VALUE"""),44672)</f>
        <v>44672</v>
      </c>
      <c r="D2574" s="25" t="str">
        <f ca="1">IFERROR(__xludf.DUMMYFUNCTION("""COMPUTED_VALUE"""),"Cultura")</f>
        <v>Cultura</v>
      </c>
      <c r="E2574" s="25" t="str">
        <f ca="1">IFERROR(__xludf.DUMMYFUNCTION("""COMPUTED_VALUE"""),"Secretaría Distrital de Cultura, Recreación y Deporte")</f>
        <v>Secretaría Distrital de Cultura, Recreación y Deporte</v>
      </c>
      <c r="F2574" s="25" t="str">
        <f ca="1">IFERROR(__xludf.DUMMYFUNCTION("""COMPUTED_VALUE"""),"Brindar información detallada para que el ciudadano Andrés Quemba pueda participar con su proyecto Círculos Seguros en el Programa Es Cultura Local o en el programa de estímulos")</f>
        <v>Brindar información detallada para que el ciudadano Andrés Quemba pueda participar con su proyecto Círculos Seguros en el Programa Es Cultura Local o en el programa de estímulos</v>
      </c>
      <c r="G2574" s="25" t="str">
        <f ca="1">IFERROR(__xludf.DUMMYFUNCTION("""COMPUTED_VALUE"""),"16. Puente Aranda")</f>
        <v>16. Puente Aranda</v>
      </c>
      <c r="H2574" s="55">
        <f ca="1">IFERROR(__xludf.DUMMYFUNCTION("""COMPUTED_VALUE"""),44926)</f>
        <v>44926</v>
      </c>
      <c r="I2574" s="25"/>
      <c r="J2574" s="55" t="str">
        <f ca="1">IFERROR(__xludf.DUMMYFUNCTION("""COMPUTED_VALUE"""),"Baja")</f>
        <v>Baja</v>
      </c>
      <c r="K2574" s="25">
        <f ca="1">IFERROR(__xludf.DUMMYFUNCTION("""COMPUTED_VALUE"""),254)</f>
        <v>254</v>
      </c>
      <c r="L2574" s="62">
        <f ca="1">IFERROR(__xludf.DUMMYFUNCTION("""COMPUTED_VALUE"""),44926)</f>
        <v>44926</v>
      </c>
      <c r="M2574" s="25" t="str">
        <f ca="1">IFERROR(__xludf.DUMMYFUNCTION("""COMPUTED_VALUE"""),"Mediante comunicación del 28 de abril se dió respuesta a la solicitud relacionada con ""Brindar información detallada para que el ciudadano Andrés Quemba pueda participar con su proyecto Círculos Seguros en el Programa Es Cultura Local o en el programa de"&amp;" estímulo"" al ciudadano Andres Quemba García.")</f>
        <v>Mediante comunicación del 28 de abril se dió respuesta a la solicitud relacionada con "Brindar información detallada para que el ciudadano Andrés Quemba pueda participar con su proyecto Círculos Seguros en el Programa Es Cultura Local o en el programa de estímulo" al ciudadano Andres Quemba García.</v>
      </c>
      <c r="N2574" s="55">
        <f ca="1">IFERROR(__xludf.DUMMYFUNCTION("""COMPUTED_VALUE"""),44926)</f>
        <v>44926</v>
      </c>
      <c r="O2574" s="25" t="str">
        <f t="shared" ca="1" si="0"/>
        <v>Secretaría Distrital de Cultura, Recreación y Deporte</v>
      </c>
      <c r="P2574" s="25" t="str">
        <f t="shared" si="2"/>
        <v/>
      </c>
      <c r="Q2574" s="25" t="str">
        <f ca="1">IFERROR(__xludf.DUMMYFUNCTION("""COMPUTED_VALUE"""),"Largo plazo")</f>
        <v>Largo plazo</v>
      </c>
      <c r="R2574" s="25"/>
      <c r="S2574" s="55"/>
      <c r="T2574" s="56"/>
      <c r="U2574" s="25"/>
      <c r="V2574" s="25"/>
      <c r="W2574" s="25"/>
      <c r="X2574" s="25"/>
      <c r="Y2574" s="25"/>
      <c r="Z2574" s="25"/>
    </row>
    <row r="2575" spans="1:26" ht="52.5" customHeight="1" x14ac:dyDescent="0.25">
      <c r="A2575" s="25" t="str">
        <f ca="1">IFERROR(__xludf.DUMMYFUNCTION("""COMPUTED_VALUE"""),"Cultu173")</f>
        <v>Cultu173</v>
      </c>
      <c r="B2575" s="25" t="str">
        <f ca="1">IFERROR(__xludf.DUMMYFUNCTION("""COMPUTED_VALUE"""),"Consejo Local de Gobierno de Santa Fe")</f>
        <v>Consejo Local de Gobierno de Santa Fe</v>
      </c>
      <c r="C2575" s="55">
        <f ca="1">IFERROR(__xludf.DUMMYFUNCTION("""COMPUTED_VALUE"""),44693)</f>
        <v>44693</v>
      </c>
      <c r="D2575" s="25" t="str">
        <f ca="1">IFERROR(__xludf.DUMMYFUNCTION("""COMPUTED_VALUE"""),"Cultura")</f>
        <v>Cultura</v>
      </c>
      <c r="E2575" s="25" t="str">
        <f ca="1">IFERROR(__xludf.DUMMYFUNCTION("""COMPUTED_VALUE"""),"Instituto Distrital del Patrimonio Cultural")</f>
        <v>Instituto Distrital del Patrimonio Cultural</v>
      </c>
      <c r="F2575" s="25" t="str">
        <f ca="1">IFERROR(__xludf.DUMMYFUNCTION("""COMPUTED_VALUE"""),"Realizar plan terrazas en el centro de la ciudad")</f>
        <v>Realizar plan terrazas en el centro de la ciudad</v>
      </c>
      <c r="G2575" s="25" t="str">
        <f ca="1">IFERROR(__xludf.DUMMYFUNCTION("""COMPUTED_VALUE"""),"03. Santa Fe")</f>
        <v>03. Santa Fe</v>
      </c>
      <c r="H2575" s="55">
        <f ca="1">IFERROR(__xludf.DUMMYFUNCTION("""COMPUTED_VALUE"""),45169)</f>
        <v>45169</v>
      </c>
      <c r="I2575" s="25" t="str">
        <f ca="1">IFERROR(__xludf.DUMMYFUNCTION("""COMPUTED_VALUE"""),"Secretaría Privada")</f>
        <v>Secretaría Privada</v>
      </c>
      <c r="J2575" s="55" t="str">
        <f ca="1">IFERROR(__xludf.DUMMYFUNCTION("""COMPUTED_VALUE"""),"Baja")</f>
        <v>Baja</v>
      </c>
      <c r="K2575" s="25">
        <f ca="1">IFERROR(__xludf.DUMMYFUNCTION("""COMPUTED_VALUE"""),476)</f>
        <v>476</v>
      </c>
      <c r="L2575" s="62">
        <f ca="1">IFERROR(__xludf.DUMMYFUNCTION("""COMPUTED_VALUE"""),45077)</f>
        <v>45077</v>
      </c>
      <c r="M2575" s="25" t="str">
        <f ca="1">IFERROR(__xludf.DUMMYFUNCTION("""COMPUTED_VALUE"""),"Actualmente el IDPC se encuentra trabajando en articulación con HÁBITAT para el desarrollo del Plan Terrazas en el área del Centro Histórico de Bogotá, específicamente el territorio PEMP. Ya están los lineamientos listos y en proceso de identificación los"&amp;" predios de tratamiento de mejoramiento en el sector PEMP CHB que serían susceptibles de ser intervenidos mediante este programa. La retroalimentacion verbal se hizo en reunión del 12 de mayo, así como las observaciones generales .  Está pendiente de envi"&amp;"ar por escrito comentarios más precisos en materia técnica, los cuales se encuentran en revisión y comentarios por parte de la Subdirección de Protección e Intervención del Patrimonio, los cuales seran enviados el próximo 12 de junio de 2023.
")</f>
        <v xml:space="preserve">Actualmente el IDPC se encuentra trabajando en articulación con HÁBITAT para el desarrollo del Plan Terrazas en el área del Centro Histórico de Bogotá, específicamente el territorio PEMP. Ya están los lineamientos listos y en proceso de identificación los predios de tratamiento de mejoramiento en el sector PEMP CHB que serían susceptibles de ser intervenidos mediante este programa. La retroalimentacion verbal se hizo en reunión del 12 de mayo, así como las observaciones generales .  Está pendiente de enviar por escrito comentarios más precisos en materia técnica, los cuales se encuentran en revisión y comentarios por parte de la Subdirección de Protección e Intervención del Patrimonio, los cuales seran enviados el próximo 12 de junio de 2023.
</v>
      </c>
      <c r="N2575" s="25"/>
      <c r="O2575" s="25" t="str">
        <f t="shared" ca="1" si="0"/>
        <v>Instituto Distrital del Patrimonio Cultural</v>
      </c>
      <c r="P2575" s="25" t="str">
        <f t="shared" ca="1" si="2"/>
        <v/>
      </c>
      <c r="Q2575" s="25" t="str">
        <f ca="1">IFERROR(__xludf.DUMMYFUNCTION("""COMPUTED_VALUE"""),"Largo plazo")</f>
        <v>Largo plazo</v>
      </c>
      <c r="R2575" s="25"/>
      <c r="S2575" s="55"/>
      <c r="T2575" s="56"/>
      <c r="U2575" s="25"/>
      <c r="V2575" s="25"/>
      <c r="W2575" s="25"/>
      <c r="X2575" s="25"/>
      <c r="Y2575" s="25"/>
      <c r="Z2575" s="25"/>
    </row>
    <row r="2576" spans="1:26" ht="52.5" customHeight="1" x14ac:dyDescent="0.25">
      <c r="A2576" s="25" t="str">
        <f ca="1">IFERROR(__xludf.DUMMYFUNCTION("""COMPUTED_VALUE"""),"Cultu174")</f>
        <v>Cultu174</v>
      </c>
      <c r="B2576" s="25" t="str">
        <f ca="1">IFERROR(__xludf.DUMMYFUNCTION("""COMPUTED_VALUE"""),"Consejo Local de Gobierno de San Crisóbal")</f>
        <v>Consejo Local de Gobierno de San Crisóbal</v>
      </c>
      <c r="C2576" s="55">
        <f ca="1">IFERROR(__xludf.DUMMYFUNCTION("""COMPUTED_VALUE"""),44700)</f>
        <v>44700</v>
      </c>
      <c r="D2576" s="25" t="str">
        <f ca="1">IFERROR(__xludf.DUMMYFUNCTION("""COMPUTED_VALUE"""),"Cultura")</f>
        <v>Cultura</v>
      </c>
      <c r="E2576" s="25" t="str">
        <f ca="1">IFERROR(__xludf.DUMMYFUNCTION("""COMPUTED_VALUE"""),"Instituto Distrital de Recreación y Deporte")</f>
        <v>Instituto Distrital de Recreación y Deporte</v>
      </c>
      <c r="F2576" s="25" t="str">
        <f ca="1">IFERROR(__xludf.DUMMYFUNCTION("""COMPUTED_VALUE"""),"Revisar el convenio entre el Spinning Center y el CEFE de San Cristóbal, informar cuáles son los servicios que se van a cobrar y cómo se van a administrar")</f>
        <v>Revisar el convenio entre el Spinning Center y el CEFE de San Cristóbal, informar cuáles son los servicios que se van a cobrar y cómo se van a administrar</v>
      </c>
      <c r="G2576" s="25" t="str">
        <f ca="1">IFERROR(__xludf.DUMMYFUNCTION("""COMPUTED_VALUE"""),"04. San Cristóbal")</f>
        <v>04. San Cristóbal</v>
      </c>
      <c r="H2576" s="55">
        <f ca="1">IFERROR(__xludf.DUMMYFUNCTION("""COMPUTED_VALUE"""),44926)</f>
        <v>44926</v>
      </c>
      <c r="I2576" s="25"/>
      <c r="J2576" s="55" t="str">
        <f ca="1">IFERROR(__xludf.DUMMYFUNCTION("""COMPUTED_VALUE"""),"Baja")</f>
        <v>Baja</v>
      </c>
      <c r="K2576" s="25">
        <f ca="1">IFERROR(__xludf.DUMMYFUNCTION("""COMPUTED_VALUE"""),226)</f>
        <v>226</v>
      </c>
      <c r="L2576" s="62">
        <f ca="1">IFERROR(__xludf.DUMMYFUNCTION("""COMPUTED_VALUE"""),44926)</f>
        <v>44926</v>
      </c>
      <c r="M2576" s="25" t="str">
        <f ca="1">IFERROR(__xludf.DUMMYFUNCTION("""COMPUTED_VALUE"""),"Dicho proceso de entraga del Gimansio a spinning center se detuvo en meses anteriores.")</f>
        <v>Dicho proceso de entraga del Gimansio a spinning center se detuvo en meses anteriores.</v>
      </c>
      <c r="N2576" s="55">
        <f ca="1">IFERROR(__xludf.DUMMYFUNCTION("""COMPUTED_VALUE"""),44926)</f>
        <v>44926</v>
      </c>
      <c r="O2576" s="25" t="str">
        <f t="shared" ca="1" si="0"/>
        <v>Instituto Distrital de Recreación y Deporte</v>
      </c>
      <c r="P2576" s="25" t="str">
        <f t="shared" si="2"/>
        <v/>
      </c>
      <c r="Q2576" s="25" t="str">
        <f ca="1">IFERROR(__xludf.DUMMYFUNCTION("""COMPUTED_VALUE"""),"Largo plazo")</f>
        <v>Largo plazo</v>
      </c>
      <c r="R2576" s="25"/>
      <c r="S2576" s="55"/>
      <c r="T2576" s="56"/>
      <c r="U2576" s="25"/>
      <c r="V2576" s="25"/>
      <c r="W2576" s="25"/>
      <c r="X2576" s="25"/>
      <c r="Y2576" s="25"/>
      <c r="Z2576" s="25"/>
    </row>
    <row r="2577" spans="1:26" ht="52.5" customHeight="1" x14ac:dyDescent="0.25">
      <c r="A2577" s="25" t="str">
        <f ca="1">IFERROR(__xludf.DUMMYFUNCTION("""COMPUTED_VALUE"""),"Cultu175")</f>
        <v>Cultu175</v>
      </c>
      <c r="B2577" s="25" t="str">
        <f ca="1">IFERROR(__xludf.DUMMYFUNCTION("""COMPUTED_VALUE"""),"Consejo Local de Gobierno de Antonio Nariño")</f>
        <v>Consejo Local de Gobierno de Antonio Nariño</v>
      </c>
      <c r="C2577" s="55">
        <f ca="1">IFERROR(__xludf.DUMMYFUNCTION("""COMPUTED_VALUE"""),44770)</f>
        <v>44770</v>
      </c>
      <c r="D2577" s="25" t="str">
        <f ca="1">IFERROR(__xludf.DUMMYFUNCTION("""COMPUTED_VALUE"""),"Cultura")</f>
        <v>Cultura</v>
      </c>
      <c r="E2577" s="25" t="str">
        <f ca="1">IFERROR(__xludf.DUMMYFUNCTION("""COMPUTED_VALUE"""),"Instituto Distrital de Recreación y Deporte")</f>
        <v>Instituto Distrital de Recreación y Deporte</v>
      </c>
      <c r="F2577" s="25" t="str">
        <f ca="1">IFERROR(__xludf.DUMMYFUNCTION("""COMPUTED_VALUE"""),"Informar al ciudadano sobre los recursos que se han girado para el parque Sevilla y el estado actual de la inversión")</f>
        <v>Informar al ciudadano sobre los recursos que se han girado para el parque Sevilla y el estado actual de la inversión</v>
      </c>
      <c r="G2577" s="25" t="str">
        <f ca="1">IFERROR(__xludf.DUMMYFUNCTION("""COMPUTED_VALUE"""),"15. Antonio Nariño")</f>
        <v>15. Antonio Nariño</v>
      </c>
      <c r="H2577" s="55">
        <f ca="1">IFERROR(__xludf.DUMMYFUNCTION("""COMPUTED_VALUE"""),44926)</f>
        <v>44926</v>
      </c>
      <c r="I2577" s="25"/>
      <c r="J2577" s="55" t="str">
        <f ca="1">IFERROR(__xludf.DUMMYFUNCTION("""COMPUTED_VALUE"""),"Media")</f>
        <v>Media</v>
      </c>
      <c r="K2577" s="25">
        <f ca="1">IFERROR(__xludf.DUMMYFUNCTION("""COMPUTED_VALUE"""),156)</f>
        <v>156</v>
      </c>
      <c r="L2577" s="62">
        <f ca="1">IFERROR(__xludf.DUMMYFUNCTION("""COMPUTED_VALUE"""),44926)</f>
        <v>44926</v>
      </c>
      <c r="M2577" s="25" t="str">
        <f ca="1">IFERROR(__xludf.DUMMYFUNCTION("""COMPUTED_VALUE"""),"El parque Sevilla, no ha sido adquirido por parte del IDRD, quien no ha girado los recursos a la beneficiencia de Cundinamarca. En comunicación con la Directora Blanca Duran, manifestó que la entidad no cuenta con los recursos para adquirir el predio en e"&amp;"ste año.
 Desde el IDRD no se han girado recursos para dicho parque, toda vez que el mantenimeinto de los parques vecinales y de bolsillo (proximidad) están a cargo de los fondos de desarrollo local. De dicha situación se informó al ciudadano. 
 Se rati"&amp;"fica la respuesta otorgada por el IDRD anteriormente (Fecha 9/09/2022) haciendo énfasis en que es un parque de proximidad los cuales están a cargo de los Fondos de Desarrollo Local. Por ende se considera concluido el compromiso por parte del IDRD")</f>
        <v>El parque Sevilla, no ha sido adquirido por parte del IDRD, quien no ha girado los recursos a la beneficiencia de Cundinamarca. En comunicación con la Directora Blanca Duran, manifestó que la entidad no cuenta con los recursos para adquirir el predio en este año.
 Desde el IDRD no se han girado recursos para dicho parque, toda vez que el mantenimeinto de los parques vecinales y de bolsillo (proximidad) están a cargo de los fondos de desarrollo local. De dicha situación se informó al ciudadano. 
 Se ratifica la respuesta otorgada por el IDRD anteriormente (Fecha 9/09/2022) haciendo énfasis en que es un parque de proximidad los cuales están a cargo de los Fondos de Desarrollo Local. Por ende se considera concluido el compromiso por parte del IDRD</v>
      </c>
      <c r="N2577" s="55">
        <f ca="1">IFERROR(__xludf.DUMMYFUNCTION("""COMPUTED_VALUE"""),44926)</f>
        <v>44926</v>
      </c>
      <c r="O2577" s="25" t="str">
        <f t="shared" ca="1" si="0"/>
        <v>Instituto Distrital de Recreación y Deporte</v>
      </c>
      <c r="P2577" s="25" t="str">
        <f t="shared" si="2"/>
        <v/>
      </c>
      <c r="Q2577" s="25" t="str">
        <f ca="1">IFERROR(__xludf.DUMMYFUNCTION("""COMPUTED_VALUE"""),"Mediano plazo")</f>
        <v>Mediano plazo</v>
      </c>
      <c r="R2577" s="25"/>
      <c r="S2577" s="55"/>
      <c r="T2577" s="56"/>
      <c r="U2577" s="25"/>
      <c r="V2577" s="25"/>
      <c r="W2577" s="25"/>
      <c r="X2577" s="25"/>
      <c r="Y2577" s="25"/>
      <c r="Z2577" s="25"/>
    </row>
    <row r="2578" spans="1:26" ht="52.5" customHeight="1" x14ac:dyDescent="0.25">
      <c r="A2578" s="25" t="str">
        <f ca="1">IFERROR(__xludf.DUMMYFUNCTION("""COMPUTED_VALUE"""),"Cultu176")</f>
        <v>Cultu176</v>
      </c>
      <c r="B2578" s="25" t="str">
        <f ca="1">IFERROR(__xludf.DUMMYFUNCTION("""COMPUTED_VALUE"""),"Visita Castillo de las Artes")</f>
        <v>Visita Castillo de las Artes</v>
      </c>
      <c r="C2578" s="55">
        <f ca="1">IFERROR(__xludf.DUMMYFUNCTION("""COMPUTED_VALUE"""),44902)</f>
        <v>44902</v>
      </c>
      <c r="D2578" s="25" t="str">
        <f ca="1">IFERROR(__xludf.DUMMYFUNCTION("""COMPUTED_VALUE"""),"Cultura")</f>
        <v>Cultura</v>
      </c>
      <c r="E2578" s="25" t="str">
        <f ca="1">IFERROR(__xludf.DUMMYFUNCTION("""COMPUTED_VALUE"""),"Instituto Distrital de las Artes")</f>
        <v>Instituto Distrital de las Artes</v>
      </c>
      <c r="F2578" s="25" t="str">
        <f ca="1">IFERROR(__xludf.DUMMYFUNCTION("""COMPUTED_VALUE"""),"Brindar mayor dotación de libros infantiles a la biblioteca el Castillo de las Artes en la localidad de los Mártires.")</f>
        <v>Brindar mayor dotación de libros infantiles a la biblioteca el Castillo de las Artes en la localidad de los Mártires.</v>
      </c>
      <c r="G2578" s="25" t="str">
        <f ca="1">IFERROR(__xludf.DUMMYFUNCTION("""COMPUTED_VALUE"""),"14. Martires")</f>
        <v>14. Martires</v>
      </c>
      <c r="H2578" s="55">
        <f ca="1">IFERROR(__xludf.DUMMYFUNCTION("""COMPUTED_VALUE"""),45076)</f>
        <v>45076</v>
      </c>
      <c r="I2578" s="25" t="str">
        <f ca="1">IFERROR(__xludf.DUMMYFUNCTION("""COMPUTED_VALUE"""),"Delivery Unit")</f>
        <v>Delivery Unit</v>
      </c>
      <c r="J2578" s="55" t="str">
        <f ca="1">IFERROR(__xludf.DUMMYFUNCTION("""COMPUTED_VALUE"""),"Alta")</f>
        <v>Alta</v>
      </c>
      <c r="K2578" s="25">
        <f ca="1">IFERROR(__xludf.DUMMYFUNCTION("""COMPUTED_VALUE"""),174)</f>
        <v>174</v>
      </c>
      <c r="L2578" s="62">
        <f ca="1">IFERROR(__xludf.DUMMYFUNCTION("""COMPUTED_VALUE"""),45057)</f>
        <v>45057</v>
      </c>
      <c r="M2578" s="25" t="str">
        <f ca="1">IFERROR(__xludf.DUMMYFUNCTION("""COMPUTED_VALUE"""),"La biblioteca ha sido dotada con una cantidad importante de libros que beneficiarán a la comunidad que asiste al Castillo
2.800 libros de la siguiente forma:
1500 Donación biblioteca sueca Octubre 2022
1.100 Donación de personas de la comunidad academica"&amp;" 
200 Donación instituciones
Llega de forma regular se empezaron a recibir donaciones desde septiembre de 2022")</f>
        <v>La biblioteca ha sido dotada con una cantidad importante de libros que beneficiarán a la comunidad que asiste al Castillo
2.800 libros de la siguiente forma:
1500 Donación biblioteca sueca Octubre 2022
1.100 Donación de personas de la comunidad academica 
200 Donación instituciones
Llega de forma regular se empezaron a recibir donaciones desde septiembre de 2022</v>
      </c>
      <c r="N2578" s="55">
        <f ca="1">IFERROR(__xludf.DUMMYFUNCTION("""COMPUTED_VALUE"""),45065)</f>
        <v>45065</v>
      </c>
      <c r="O2578" s="25" t="str">
        <f t="shared" ca="1" si="0"/>
        <v>Instituto Distrital de las Artes</v>
      </c>
      <c r="P2578" s="25" t="str">
        <f t="shared" ca="1" si="2"/>
        <v/>
      </c>
      <c r="Q2578" s="25" t="str">
        <f ca="1">IFERROR(__xludf.DUMMYFUNCTION("""COMPUTED_VALUE"""),"Mediano plazo")</f>
        <v>Mediano plazo</v>
      </c>
      <c r="R2578" s="25"/>
      <c r="S2578" s="55"/>
      <c r="T2578" s="56"/>
      <c r="U2578" s="25"/>
      <c r="V2578" s="25"/>
      <c r="W2578" s="25"/>
      <c r="X2578" s="25"/>
      <c r="Y2578" s="25"/>
      <c r="Z2578" s="25"/>
    </row>
    <row r="2579" spans="1:26" ht="52.5" customHeight="1" x14ac:dyDescent="0.25">
      <c r="A2579" s="25" t="str">
        <f ca="1">IFERROR(__xludf.DUMMYFUNCTION("""COMPUTED_VALUE"""),"Cultu177")</f>
        <v>Cultu177</v>
      </c>
      <c r="B2579" s="25" t="str">
        <f ca="1">IFERROR(__xludf.DUMMYFUNCTION("""COMPUTED_VALUE"""),"Rendición de cuentas SDCRD")</f>
        <v>Rendición de cuentas SDCRD</v>
      </c>
      <c r="C2579" s="55">
        <f ca="1">IFERROR(__xludf.DUMMYFUNCTION("""COMPUTED_VALUE"""),44903)</f>
        <v>44903</v>
      </c>
      <c r="D2579" s="25" t="str">
        <f ca="1">IFERROR(__xludf.DUMMYFUNCTION("""COMPUTED_VALUE"""),"Cultura")</f>
        <v>Cultura</v>
      </c>
      <c r="E2579" s="25" t="str">
        <f ca="1">IFERROR(__xludf.DUMMYFUNCTION("""COMPUTED_VALUE"""),"Instituto Distrital de las Artes")</f>
        <v>Instituto Distrital de las Artes</v>
      </c>
      <c r="F2579" s="25" t="str">
        <f ca="1">IFERROR(__xludf.DUMMYFUNCTION("""COMPUTED_VALUE"""),"En articulación con IDARTES y el Ministerio de Cultura, revivir la ópera Rap.")</f>
        <v>En articulación con IDARTES y el Ministerio de Cultura, revivir la ópera Rap.</v>
      </c>
      <c r="G2579" s="25" t="str">
        <f ca="1">IFERROR(__xludf.DUMMYFUNCTION("""COMPUTED_VALUE"""),"99. Distrito")</f>
        <v>99. Distrito</v>
      </c>
      <c r="H2579" s="55">
        <f ca="1">IFERROR(__xludf.DUMMYFUNCTION("""COMPUTED_VALUE"""),45168)</f>
        <v>45168</v>
      </c>
      <c r="I2579" s="25" t="str">
        <f ca="1">IFERROR(__xludf.DUMMYFUNCTION("""COMPUTED_VALUE"""),"Delivery Unit")</f>
        <v>Delivery Unit</v>
      </c>
      <c r="J2579" s="55" t="str">
        <f ca="1">IFERROR(__xludf.DUMMYFUNCTION("""COMPUTED_VALUE"""),"Media")</f>
        <v>Media</v>
      </c>
      <c r="K2579" s="25">
        <f ca="1">IFERROR(__xludf.DUMMYFUNCTION("""COMPUTED_VALUE"""),265)</f>
        <v>265</v>
      </c>
      <c r="L2579" s="62">
        <f ca="1">IFERROR(__xludf.DUMMYFUNCTION("""COMPUTED_VALUE"""),45077)</f>
        <v>45077</v>
      </c>
      <c r="M2579" s="25" t="str">
        <f ca="1">IFERROR(__xludf.DUMMYFUNCTION("""COMPUTED_VALUE"""),"Los reportes de avnaces se encuentran en el Cultu134")</f>
        <v>Los reportes de avnaces se encuentran en el Cultu134</v>
      </c>
      <c r="N2579" s="25"/>
      <c r="O2579" s="25" t="str">
        <f t="shared" ca="1" si="0"/>
        <v>Instituto Distrital de las Artes</v>
      </c>
      <c r="P2579" s="25" t="str">
        <f t="shared" ca="1" si="2"/>
        <v/>
      </c>
      <c r="Q2579" s="25" t="str">
        <f ca="1">IFERROR(__xludf.DUMMYFUNCTION("""COMPUTED_VALUE"""),"Largo plazo")</f>
        <v>Largo plazo</v>
      </c>
      <c r="R2579" s="25"/>
      <c r="S2579" s="55"/>
      <c r="T2579" s="56"/>
      <c r="U2579" s="25"/>
      <c r="V2579" s="25"/>
      <c r="W2579" s="25"/>
      <c r="X2579" s="25"/>
      <c r="Y2579" s="25"/>
      <c r="Z2579" s="25"/>
    </row>
    <row r="2580" spans="1:26" ht="52.5" customHeight="1" x14ac:dyDescent="0.25">
      <c r="A2580" s="25" t="str">
        <f ca="1">IFERROR(__xludf.DUMMYFUNCTION("""COMPUTED_VALUE"""),"Cultu178")</f>
        <v>Cultu178</v>
      </c>
      <c r="B2580" s="25"/>
      <c r="C2580" s="55"/>
      <c r="D2580" s="25" t="str">
        <f ca="1">IFERROR(__xludf.DUMMYFUNCTION("""COMPUTED_VALUE"""),"Cultura")</f>
        <v>Cultura</v>
      </c>
      <c r="E2580" s="25" t="str">
        <f ca="1">IFERROR(__xludf.DUMMYFUNCTION("""COMPUTED_VALUE"""),"Instituto Distrital de Recreación y Deporte")</f>
        <v>Instituto Distrital de Recreación y Deporte</v>
      </c>
      <c r="F2580" s="25" t="str">
        <f ca="1">IFERROR(__xludf.DUMMYFUNCTION("""COMPUTED_VALUE"""),"Eliminada")</f>
        <v>Eliminada</v>
      </c>
      <c r="G2580" s="25"/>
      <c r="H2580" s="25"/>
      <c r="I2580" s="25"/>
      <c r="J2580" s="55" t="str">
        <f ca="1">IFERROR(__xludf.DUMMYFUNCTION("""COMPUTED_VALUE"""),"Baja")</f>
        <v>Baja</v>
      </c>
      <c r="K2580" s="25"/>
      <c r="L2580" s="62"/>
      <c r="M2580" s="25"/>
      <c r="N2580" s="25"/>
      <c r="O2580" s="25" t="str">
        <f t="shared" ca="1" si="0"/>
        <v>Instituto Distrital de Recreación y Deporte</v>
      </c>
      <c r="P2580" s="25" t="str">
        <f t="shared" si="2"/>
        <v/>
      </c>
      <c r="Q2580" s="25"/>
      <c r="R2580" s="25"/>
      <c r="S2580" s="55"/>
      <c r="T2580" s="56"/>
      <c r="U2580" s="25"/>
      <c r="V2580" s="25"/>
      <c r="W2580" s="25"/>
      <c r="X2580" s="25"/>
      <c r="Y2580" s="25"/>
      <c r="Z2580" s="25"/>
    </row>
    <row r="2581" spans="1:26" ht="52.5" customHeight="1" x14ac:dyDescent="0.25">
      <c r="A2581" s="25" t="str">
        <f ca="1">IFERROR(__xludf.DUMMYFUNCTION("""COMPUTED_VALUE"""),"Cultu179")</f>
        <v>Cultu179</v>
      </c>
      <c r="B2581" s="25" t="str">
        <f ca="1">IFERROR(__xludf.DUMMYFUNCTION("""COMPUTED_VALUE"""),"Entrega parque Bilbao")</f>
        <v>Entrega parque Bilbao</v>
      </c>
      <c r="C2581" s="55">
        <f ca="1">IFERROR(__xludf.DUMMYFUNCTION("""COMPUTED_VALUE"""),44908)</f>
        <v>44908</v>
      </c>
      <c r="D2581" s="25" t="str">
        <f ca="1">IFERROR(__xludf.DUMMYFUNCTION("""COMPUTED_VALUE"""),"Cultura")</f>
        <v>Cultura</v>
      </c>
      <c r="E2581" s="25" t="str">
        <f ca="1">IFERROR(__xludf.DUMMYFUNCTION("""COMPUTED_VALUE"""),"Instituto Distrital de Recreación y Deporte")</f>
        <v>Instituto Distrital de Recreación y Deporte</v>
      </c>
      <c r="F2581" s="25" t="str">
        <f ca="1">IFERROR(__xludf.DUMMYFUNCTION("""COMPUTED_VALUE"""),"El IDRD en articulación con la Alcaldía Local de Suba, debe realizar jornadas de gimnasio nocturno en el parque Bilbao.")</f>
        <v>El IDRD en articulación con la Alcaldía Local de Suba, debe realizar jornadas de gimnasio nocturno en el parque Bilbao.</v>
      </c>
      <c r="G2581" s="25" t="str">
        <f ca="1">IFERROR(__xludf.DUMMYFUNCTION("""COMPUTED_VALUE"""),"11. Suba")</f>
        <v>11. Suba</v>
      </c>
      <c r="H2581" s="55">
        <f ca="1">IFERROR(__xludf.DUMMYFUNCTION("""COMPUTED_VALUE"""),45046)</f>
        <v>45046</v>
      </c>
      <c r="I2581" s="25" t="str">
        <f ca="1">IFERROR(__xludf.DUMMYFUNCTION("""COMPUTED_VALUE"""),"Secretaría Privada")</f>
        <v>Secretaría Privada</v>
      </c>
      <c r="J2581" s="55" t="str">
        <f ca="1">IFERROR(__xludf.DUMMYFUNCTION("""COMPUTED_VALUE"""),"Media")</f>
        <v>Media</v>
      </c>
      <c r="K2581" s="25">
        <f ca="1">IFERROR(__xludf.DUMMYFUNCTION("""COMPUTED_VALUE"""),138)</f>
        <v>138</v>
      </c>
      <c r="L2581" s="62"/>
      <c r="M2581" s="25"/>
      <c r="N2581" s="25"/>
      <c r="O2581" s="25" t="str">
        <f t="shared" ca="1" si="0"/>
        <v>Instituto Distrital de Recreación y Deporte</v>
      </c>
      <c r="P2581" s="25" t="str">
        <f t="shared" ca="1" si="2"/>
        <v/>
      </c>
      <c r="Q2581" s="25" t="str">
        <f ca="1">IFERROR(__xludf.DUMMYFUNCTION("""COMPUTED_VALUE"""),"Mediano plazo")</f>
        <v>Mediano plazo</v>
      </c>
      <c r="R2581" s="25"/>
      <c r="S2581" s="55"/>
      <c r="T2581" s="56"/>
      <c r="U2581" s="25"/>
      <c r="V2581" s="25"/>
      <c r="W2581" s="25"/>
      <c r="X2581" s="25"/>
      <c r="Y2581" s="25"/>
      <c r="Z2581" s="25"/>
    </row>
    <row r="2582" spans="1:26" ht="52.5" customHeight="1" x14ac:dyDescent="0.25">
      <c r="A2582" s="25" t="str">
        <f ca="1">IFERROR(__xludf.DUMMYFUNCTION("""COMPUTED_VALUE"""),"Cultu180")</f>
        <v>Cultu180</v>
      </c>
      <c r="B2582" s="25" t="str">
        <f ca="1">IFERROR(__xludf.DUMMYFUNCTION("""COMPUTED_VALUE"""),"Recorrido de obras CEFE Chapinero y andenes 85")</f>
        <v>Recorrido de obras CEFE Chapinero y andenes 85</v>
      </c>
      <c r="C2582" s="55">
        <f ca="1">IFERROR(__xludf.DUMMYFUNCTION("""COMPUTED_VALUE"""),44945)</f>
        <v>44945</v>
      </c>
      <c r="D2582" s="25" t="str">
        <f ca="1">IFERROR(__xludf.DUMMYFUNCTION("""COMPUTED_VALUE"""),"Cultura")</f>
        <v>Cultura</v>
      </c>
      <c r="E2582" s="25" t="str">
        <f ca="1">IFERROR(__xludf.DUMMYFUNCTION("""COMPUTED_VALUE"""),"Secretaría Distrital de Cultura, Recreación y Deporte")</f>
        <v>Secretaría Distrital de Cultura, Recreación y Deporte</v>
      </c>
      <c r="F2582" s="25" t="str">
        <f ca="1">IFERROR(__xludf.DUMMYFUNCTION("""COMPUTED_VALUE"""),"En agosto, se debe garantizar la funcionalidad del 100% del CEFE Chapinero.")</f>
        <v>En agosto, se debe garantizar la funcionalidad del 100% del CEFE Chapinero.</v>
      </c>
      <c r="G2582" s="25" t="str">
        <f ca="1">IFERROR(__xludf.DUMMYFUNCTION("""COMPUTED_VALUE"""),"02. Chapinero")</f>
        <v>02. Chapinero</v>
      </c>
      <c r="H2582" s="55">
        <f ca="1">IFERROR(__xludf.DUMMYFUNCTION("""COMPUTED_VALUE"""),45153)</f>
        <v>45153</v>
      </c>
      <c r="I2582" s="25" t="str">
        <f ca="1">IFERROR(__xludf.DUMMYFUNCTION("""COMPUTED_VALUE"""),"Junta de Infraestructura")</f>
        <v>Junta de Infraestructura</v>
      </c>
      <c r="J2582" s="55" t="str">
        <f ca="1">IFERROR(__xludf.DUMMYFUNCTION("""COMPUTED_VALUE"""),"Baja")</f>
        <v>Baja</v>
      </c>
      <c r="K2582" s="25">
        <f ca="1">IFERROR(__xludf.DUMMYFUNCTION("""COMPUTED_VALUE"""),208)</f>
        <v>208</v>
      </c>
      <c r="L2582" s="62">
        <f ca="1">IFERROR(__xludf.DUMMYFUNCTION("""COMPUTED_VALUE"""),45077)</f>
        <v>45077</v>
      </c>
      <c r="M2582" s="25" t="str">
        <f ca="1">IFERROR(__xludf.DUMMYFUNCTION("""COMPUTED_VALUE"""),"- A la fecha el avance de obra corresponde a 42.46% ")</f>
        <v xml:space="preserve">- A la fecha el avance de obra corresponde a 42.46% </v>
      </c>
      <c r="N2582" s="25"/>
      <c r="O2582" s="25" t="str">
        <f t="shared" ca="1" si="0"/>
        <v>Secretaría Distrital de Cultura, Recreación y Deporte</v>
      </c>
      <c r="P2582" s="25" t="str">
        <f t="shared" ca="1" si="2"/>
        <v/>
      </c>
      <c r="Q2582" s="25" t="str">
        <f ca="1">IFERROR(__xludf.DUMMYFUNCTION("""COMPUTED_VALUE"""),"Largo plazo")</f>
        <v>Largo plazo</v>
      </c>
      <c r="R2582" s="25"/>
      <c r="S2582" s="55"/>
      <c r="T2582" s="56"/>
      <c r="U2582" s="25"/>
      <c r="V2582" s="25"/>
      <c r="W2582" s="25"/>
      <c r="X2582" s="25"/>
      <c r="Y2582" s="25"/>
      <c r="Z2582" s="25"/>
    </row>
    <row r="2583" spans="1:26" ht="52.5" customHeight="1" x14ac:dyDescent="0.25">
      <c r="A2583" s="25" t="str">
        <f ca="1">IFERROR(__xludf.DUMMYFUNCTION("""COMPUTED_VALUE"""),"Cultu181")</f>
        <v>Cultu181</v>
      </c>
      <c r="B2583" s="25" t="str">
        <f ca="1">IFERROR(__xludf.DUMMYFUNCTION("""COMPUTED_VALUE"""),"Lanzamiento manzana del cuidado Fontanar del Río")</f>
        <v>Lanzamiento manzana del cuidado Fontanar del Río</v>
      </c>
      <c r="C2583" s="55">
        <f ca="1">IFERROR(__xludf.DUMMYFUNCTION("""COMPUTED_VALUE"""),45014)</f>
        <v>45014</v>
      </c>
      <c r="D2583" s="25" t="str">
        <f ca="1">IFERROR(__xludf.DUMMYFUNCTION("""COMPUTED_VALUE"""),"Cultura")</f>
        <v>Cultura</v>
      </c>
      <c r="E2583" s="25" t="str">
        <f ca="1">IFERROR(__xludf.DUMMYFUNCTION("""COMPUTED_VALUE"""),"Instituto Distrital de Recreación y Deporte")</f>
        <v>Instituto Distrital de Recreación y Deporte</v>
      </c>
      <c r="F2583" s="25" t="str">
        <f ca="1">IFERROR(__xludf.DUMMYFUNCTION("""COMPUTED_VALUE"""),"Incluir y facilitar el acceso de 200 personas cuidadores y cuidadoras de la localidad de Suba, liderad@s por la vocera Dina Katherine Sátira Espitia (teléfono: 3057630676), en la oferta recreodeportiva brindada por el Centro Felicidad Fontanar del Río.")</f>
        <v>Incluir y facilitar el acceso de 200 personas cuidadores y cuidadoras de la localidad de Suba, liderad@s por la vocera Dina Katherine Sátira Espitia (teléfono: 3057630676), en la oferta recreodeportiva brindada por el Centro Felicidad Fontanar del Río.</v>
      </c>
      <c r="G2583" s="25" t="str">
        <f ca="1">IFERROR(__xludf.DUMMYFUNCTION("""COMPUTED_VALUE"""),"11. Suba")</f>
        <v>11. Suba</v>
      </c>
      <c r="H2583" s="55">
        <f ca="1">IFERROR(__xludf.DUMMYFUNCTION("""COMPUTED_VALUE"""),45046)</f>
        <v>45046</v>
      </c>
      <c r="I2583" s="25" t="str">
        <f ca="1">IFERROR(__xludf.DUMMYFUNCTION("""COMPUTED_VALUE"""),"Secretaría Privada")</f>
        <v>Secretaría Privada</v>
      </c>
      <c r="J2583" s="55" t="str">
        <f ca="1">IFERROR(__xludf.DUMMYFUNCTION("""COMPUTED_VALUE"""),"Alta")</f>
        <v>Alta</v>
      </c>
      <c r="K2583" s="25">
        <f ca="1">IFERROR(__xludf.DUMMYFUNCTION("""COMPUTED_VALUE"""),32)</f>
        <v>32</v>
      </c>
      <c r="L2583" s="62">
        <f ca="1">IFERROR(__xludf.DUMMYFUNCTION("""COMPUTED_VALUE"""),45077)</f>
        <v>45077</v>
      </c>
      <c r="M2583" s="25" t="str">
        <f ca="1">IFERROR(__xludf.DUMMYFUNCTION("""COMPUTED_VALUE"""),"A partir de la inauguración de la manzana del cuidado de Suba en el mes de abril del 2023, cuya infraestructura ancla es el CEFE Fontanar del Rio, se inició la prestación de servicios para las y los beneficiarios del sistema de cuidado.
 El grupo de per"&amp;"sonas relacionado por la señora Katherine ha participado con aproximadamente 120 cuidadoras quienes asisten a las actividades (acuafitnes, ciclo red, escuela de la bici, actividad fisica y yoga) de lunes a sabado en los diferentes horarios establecidos po"&amp;"r cada oferta. 
 Se acordó realizar reunion el día 02 de Junio del 2023 para fortelecer el proceso con este grupo .")</f>
        <v>A partir de la inauguración de la manzana del cuidado de Suba en el mes de abril del 2023, cuya infraestructura ancla es el CEFE Fontanar del Rio, se inició la prestación de servicios para las y los beneficiarios del sistema de cuidado.
 El grupo de personas relacionado por la señora Katherine ha participado con aproximadamente 120 cuidadoras quienes asisten a las actividades (acuafitnes, ciclo red, escuela de la bici, actividad fisica y yoga) de lunes a sabado en los diferentes horarios establecidos por cada oferta. 
 Se acordó realizar reunion el día 02 de Junio del 2023 para fortelecer el proceso con este grupo .</v>
      </c>
      <c r="N2583" s="55">
        <f ca="1">IFERROR(__xludf.DUMMYFUNCTION("""COMPUTED_VALUE"""),45076)</f>
        <v>45076</v>
      </c>
      <c r="O2583" s="25" t="str">
        <f t="shared" ca="1" si="0"/>
        <v>Instituto Distrital de Recreación y Deporte</v>
      </c>
      <c r="P2583" s="25" t="str">
        <f t="shared" ca="1" si="2"/>
        <v/>
      </c>
      <c r="Q2583" s="25" t="str">
        <f ca="1">IFERROR(__xludf.DUMMYFUNCTION("""COMPUTED_VALUE"""),"Corto plazo")</f>
        <v>Corto plazo</v>
      </c>
      <c r="R2583" s="25"/>
      <c r="S2583" s="55"/>
      <c r="T2583" s="56"/>
      <c r="U2583" s="25"/>
      <c r="V2583" s="25"/>
      <c r="W2583" s="25"/>
      <c r="X2583" s="25"/>
      <c r="Y2583" s="25"/>
      <c r="Z2583" s="25"/>
    </row>
    <row r="2584" spans="1:26" ht="52.5" customHeight="1" x14ac:dyDescent="0.25">
      <c r="A2584" s="25" t="str">
        <f ca="1">IFERROR(__xludf.DUMMYFUNCTION("""COMPUTED_VALUE"""),"Cultu182")</f>
        <v>Cultu182</v>
      </c>
      <c r="B2584" s="25" t="str">
        <f ca="1">IFERROR(__xludf.DUMMYFUNCTION("""COMPUTED_VALUE"""),"Recorrido Fontibón")</f>
        <v>Recorrido Fontibón</v>
      </c>
      <c r="C2584" s="55">
        <f ca="1">IFERROR(__xludf.DUMMYFUNCTION("""COMPUTED_VALUE"""),44984)</f>
        <v>44984</v>
      </c>
      <c r="D2584" s="25" t="str">
        <f ca="1">IFERROR(__xludf.DUMMYFUNCTION("""COMPUTED_VALUE"""),"Cultura")</f>
        <v>Cultura</v>
      </c>
      <c r="E2584" s="25" t="str">
        <f ca="1">IFERROR(__xludf.DUMMYFUNCTION("""COMPUTED_VALUE"""),"Instituto Distrital de Recreación y Deporte")</f>
        <v>Instituto Distrital de Recreación y Deporte</v>
      </c>
      <c r="F2584" s="25" t="str">
        <f ca="1">IFERROR(__xludf.DUMMYFUNCTION("""COMPUTED_VALUE"""),"La UAESP en articulación con el IDRD Instalarán luminarias en canchas para que puedan ser empleadas en las noches.")</f>
        <v>La UAESP en articulación con el IDRD Instalarán luminarias en canchas para que puedan ser empleadas en las noches.</v>
      </c>
      <c r="G2584" s="25" t="str">
        <f ca="1">IFERROR(__xludf.DUMMYFUNCTION("""COMPUTED_VALUE"""),"09. Fontibón")</f>
        <v>09. Fontibón</v>
      </c>
      <c r="H2584" s="55">
        <f ca="1">IFERROR(__xludf.DUMMYFUNCTION("""COMPUTED_VALUE"""),45035)</f>
        <v>45035</v>
      </c>
      <c r="I2584" s="25" t="str">
        <f ca="1">IFERROR(__xludf.DUMMYFUNCTION("""COMPUTED_VALUE"""),"Secretaría Privada")</f>
        <v>Secretaría Privada</v>
      </c>
      <c r="J2584" s="55" t="str">
        <f ca="1">IFERROR(__xludf.DUMMYFUNCTION("""COMPUTED_VALUE"""),"Alta")</f>
        <v>Alta</v>
      </c>
      <c r="K2584" s="25">
        <f ca="1">IFERROR(__xludf.DUMMYFUNCTION("""COMPUTED_VALUE"""),51)</f>
        <v>51</v>
      </c>
      <c r="L2584" s="62">
        <f ca="1">IFERROR(__xludf.DUMMYFUNCTION("""COMPUTED_VALUE"""),45077)</f>
        <v>45077</v>
      </c>
      <c r="M2584" s="25" t="str">
        <f ca="1">IFERROR(__xludf.DUMMYFUNCTION("""COMPUTED_VALUE"""),"El IDRD cosntantemente adelanta trabajos de mantenimento y energizacion de canchas, permitiendo el uso nocturno en algunas de ellas, en algunos casos estos escenarios sufren de vandalismo constante, lo que dificulta la permanencia de la iluminacion.")</f>
        <v>El IDRD cosntantemente adelanta trabajos de mantenimento y energizacion de canchas, permitiendo el uso nocturno en algunas de ellas, en algunos casos estos escenarios sufren de vandalismo constante, lo que dificulta la permanencia de la iluminacion.</v>
      </c>
      <c r="N2584" s="25"/>
      <c r="O2584" s="25" t="str">
        <f t="shared" ca="1" si="0"/>
        <v>Instituto Distrital de Recreación y Deporte</v>
      </c>
      <c r="P2584" s="25" t="str">
        <f t="shared" ca="1" si="2"/>
        <v/>
      </c>
      <c r="Q2584" s="25" t="str">
        <f ca="1">IFERROR(__xludf.DUMMYFUNCTION("""COMPUTED_VALUE"""),"Corto plazo")</f>
        <v>Corto plazo</v>
      </c>
      <c r="R2584" s="25"/>
      <c r="S2584" s="55"/>
      <c r="T2584" s="56"/>
      <c r="U2584" s="25"/>
      <c r="V2584" s="25"/>
      <c r="W2584" s="25"/>
      <c r="X2584" s="25"/>
      <c r="Y2584" s="25"/>
      <c r="Z2584" s="25"/>
    </row>
    <row r="2585" spans="1:26" ht="52.5" customHeight="1" x14ac:dyDescent="0.25">
      <c r="A2585" s="25" t="str">
        <f ca="1">IFERROR(__xludf.DUMMYFUNCTION("""COMPUTED_VALUE"""),"Cultu183")</f>
        <v>Cultu183</v>
      </c>
      <c r="B2585" s="25" t="str">
        <f ca="1">IFERROR(__xludf.DUMMYFUNCTION("""COMPUTED_VALUE"""),"Recorrido Usaquén")</f>
        <v>Recorrido Usaquén</v>
      </c>
      <c r="C2585" s="55">
        <f ca="1">IFERROR(__xludf.DUMMYFUNCTION("""COMPUTED_VALUE"""),45034)</f>
        <v>45034</v>
      </c>
      <c r="D2585" s="25" t="str">
        <f ca="1">IFERROR(__xludf.DUMMYFUNCTION("""COMPUTED_VALUE"""),"Cultura")</f>
        <v>Cultura</v>
      </c>
      <c r="E2585" s="25" t="str">
        <f ca="1">IFERROR(__xludf.DUMMYFUNCTION("""COMPUTED_VALUE"""),"Instituto Distrital de Recreación y Deporte")</f>
        <v>Instituto Distrital de Recreación y Deporte</v>
      </c>
      <c r="F2585" s="25" t="str">
        <f ca="1">IFERROR(__xludf.DUMMYFUNCTION("""COMPUTED_VALUE"""),"Brindar mantenimiento a la zona de mascotas del parque ubicado en la calle 165 con carrera 17, barrio Toberín.")</f>
        <v>Brindar mantenimiento a la zona de mascotas del parque ubicado en la calle 165 con carrera 17, barrio Toberín.</v>
      </c>
      <c r="G2585" s="25" t="str">
        <f ca="1">IFERROR(__xludf.DUMMYFUNCTION("""COMPUTED_VALUE"""),"01. Usaquén")</f>
        <v>01. Usaquén</v>
      </c>
      <c r="H2585" s="55">
        <f ca="1">IFERROR(__xludf.DUMMYFUNCTION("""COMPUTED_VALUE"""),45076)</f>
        <v>45076</v>
      </c>
      <c r="I2585" s="25" t="str">
        <f ca="1">IFERROR(__xludf.DUMMYFUNCTION("""COMPUTED_VALUE"""),"Secretaría Privada")</f>
        <v>Secretaría Privada</v>
      </c>
      <c r="J2585" s="55" t="str">
        <f ca="1">IFERROR(__xludf.DUMMYFUNCTION("""COMPUTED_VALUE"""),"Alta")</f>
        <v>Alta</v>
      </c>
      <c r="K2585" s="25">
        <f ca="1">IFERROR(__xludf.DUMMYFUNCTION("""COMPUTED_VALUE"""),42)</f>
        <v>42</v>
      </c>
      <c r="L2585" s="62">
        <f ca="1">IFERROR(__xludf.DUMMYFUNCTION("""COMPUTED_VALUE"""),45077)</f>
        <v>45077</v>
      </c>
      <c r="M2585" s="25" t="str">
        <f ca="1">IFERROR(__xludf.DUMMYFUNCTION("""COMPUTED_VALUE"""),"A partir de la dirección se ubica el parque SERVITA con cod IDRD: 01-023 de escala Zonal. Este parque administrado por el IDRD no cuenta con zona de mascotas. Les agradecemos si nos pueden compartir el contacto de la persona que hace la solicitud con el f"&amp;"in de identifcar si la intervención que requiere es competencia o no del IDRD. ")</f>
        <v xml:space="preserve">A partir de la dirección se ubica el parque SERVITA con cod IDRD: 01-023 de escala Zonal. Este parque administrado por el IDRD no cuenta con zona de mascotas. Les agradecemos si nos pueden compartir el contacto de la persona que hace la solicitud con el fin de identifcar si la intervención que requiere es competencia o no del IDRD. </v>
      </c>
      <c r="N2585" s="25"/>
      <c r="O2585" s="25" t="str">
        <f t="shared" ca="1" si="0"/>
        <v>Instituto Distrital de Recreación y Deporte</v>
      </c>
      <c r="P2585" s="25" t="str">
        <f t="shared" ca="1" si="2"/>
        <v/>
      </c>
      <c r="Q2585" s="25" t="str">
        <f ca="1">IFERROR(__xludf.DUMMYFUNCTION("""COMPUTED_VALUE"""),"Corto plazo")</f>
        <v>Corto plazo</v>
      </c>
      <c r="R2585" s="25"/>
      <c r="S2585" s="55"/>
      <c r="T2585" s="56"/>
      <c r="U2585" s="25"/>
      <c r="V2585" s="25"/>
      <c r="W2585" s="25"/>
      <c r="X2585" s="25"/>
      <c r="Y2585" s="25"/>
      <c r="Z2585" s="25"/>
    </row>
    <row r="2586" spans="1:26" ht="52.5" customHeight="1" x14ac:dyDescent="0.25">
      <c r="A2586" s="25" t="str">
        <f ca="1">IFERROR(__xludf.DUMMYFUNCTION("""COMPUTED_VALUE"""),"Cultu184")</f>
        <v>Cultu184</v>
      </c>
      <c r="B2586" s="25" t="str">
        <f ca="1">IFERROR(__xludf.DUMMYFUNCTION("""COMPUTED_VALUE"""),"Recorrido Fontibón")</f>
        <v>Recorrido Fontibón</v>
      </c>
      <c r="C2586" s="55">
        <f ca="1">IFERROR(__xludf.DUMMYFUNCTION("""COMPUTED_VALUE"""),44984)</f>
        <v>44984</v>
      </c>
      <c r="D2586" s="25" t="str">
        <f ca="1">IFERROR(__xludf.DUMMYFUNCTION("""COMPUTED_VALUE"""),"Cultura")</f>
        <v>Cultura</v>
      </c>
      <c r="E2586" s="25" t="str">
        <f ca="1">IFERROR(__xludf.DUMMYFUNCTION("""COMPUTED_VALUE"""),"Instituto Distrital de Recreación y Deporte")</f>
        <v>Instituto Distrital de Recreación y Deporte</v>
      </c>
      <c r="F2586" s="25" t="str">
        <f ca="1">IFERROR(__xludf.DUMMYFUNCTION("""COMPUTED_VALUE"""),"La UAESP junto con el IDRD debe instalar iluminación en el parque Atahualpa el Cajón, carrera 68")</f>
        <v>La UAESP junto con el IDRD debe instalar iluminación en el parque Atahualpa el Cajón, carrera 68</v>
      </c>
      <c r="G2586" s="25" t="str">
        <f ca="1">IFERROR(__xludf.DUMMYFUNCTION("""COMPUTED_VALUE"""),"09. Fontibón")</f>
        <v>09. Fontibón</v>
      </c>
      <c r="H2586" s="55">
        <f ca="1">IFERROR(__xludf.DUMMYFUNCTION("""COMPUTED_VALUE"""),45025)</f>
        <v>45025</v>
      </c>
      <c r="I2586" s="25" t="str">
        <f ca="1">IFERROR(__xludf.DUMMYFUNCTION("""COMPUTED_VALUE"""),"Secretaría Privada")</f>
        <v>Secretaría Privada</v>
      </c>
      <c r="J2586" s="55" t="str">
        <f ca="1">IFERROR(__xludf.DUMMYFUNCTION("""COMPUTED_VALUE"""),"Alta")</f>
        <v>Alta</v>
      </c>
      <c r="K2586" s="25">
        <f ca="1">IFERROR(__xludf.DUMMYFUNCTION("""COMPUTED_VALUE"""),41)</f>
        <v>41</v>
      </c>
      <c r="L2586" s="62">
        <f ca="1">IFERROR(__xludf.DUMMYFUNCTION("""COMPUTED_VALUE"""),45077)</f>
        <v>45077</v>
      </c>
      <c r="M2586" s="25" t="str">
        <f ca="1">IFERROR(__xludf.DUMMYFUNCTION("""COMPUTED_VALUE"""),"La cancha de futbol 11, ubicada en el parque el Cajon, con codigo 09-024, no cuenta con infraestructra eléctrica construida y no se cuenta con recursos que permitan priorizadar dicha intervencion. ")</f>
        <v xml:space="preserve">La cancha de futbol 11, ubicada en el parque el Cajon, con codigo 09-024, no cuenta con infraestructra eléctrica construida y no se cuenta con recursos que permitan priorizadar dicha intervencion. </v>
      </c>
      <c r="N2586" s="25"/>
      <c r="O2586" s="25" t="str">
        <f t="shared" ca="1" si="0"/>
        <v>Instituto Distrital de Recreación y Deporte</v>
      </c>
      <c r="P2586" s="25" t="str">
        <f t="shared" ca="1" si="2"/>
        <v/>
      </c>
      <c r="Q2586" s="25" t="str">
        <f ca="1">IFERROR(__xludf.DUMMYFUNCTION("""COMPUTED_VALUE"""),"Corto plazo")</f>
        <v>Corto plazo</v>
      </c>
      <c r="R2586" s="25"/>
      <c r="S2586" s="55"/>
      <c r="T2586" s="56"/>
      <c r="U2586" s="25"/>
      <c r="V2586" s="25"/>
      <c r="W2586" s="25"/>
      <c r="X2586" s="25"/>
      <c r="Y2586" s="25"/>
      <c r="Z2586" s="25"/>
    </row>
    <row r="2587" spans="1:26" ht="52.5" customHeight="1" x14ac:dyDescent="0.25">
      <c r="A2587" s="25" t="str">
        <f ca="1">IFERROR(__xludf.DUMMYFUNCTION("""COMPUTED_VALUE"""),"Cultu185")</f>
        <v>Cultu185</v>
      </c>
      <c r="B2587" s="25" t="str">
        <f ca="1">IFERROR(__xludf.DUMMYFUNCTION("""COMPUTED_VALUE"""),"Recorrido Tunjuelito")</f>
        <v>Recorrido Tunjuelito</v>
      </c>
      <c r="C2587" s="55">
        <f ca="1">IFERROR(__xludf.DUMMYFUNCTION("""COMPUTED_VALUE"""),44992)</f>
        <v>44992</v>
      </c>
      <c r="D2587" s="25" t="str">
        <f ca="1">IFERROR(__xludf.DUMMYFUNCTION("""COMPUTED_VALUE"""),"Cultura")</f>
        <v>Cultura</v>
      </c>
      <c r="E2587" s="25" t="str">
        <f ca="1">IFERROR(__xludf.DUMMYFUNCTION("""COMPUTED_VALUE"""),"Instituto Distrital de Recreación y Deporte")</f>
        <v>Instituto Distrital de Recreación y Deporte</v>
      </c>
      <c r="F2587" s="25" t="str">
        <f ca="1">IFERROR(__xludf.DUMMYFUNCTION("""COMPUTED_VALUE"""),"Poner luminarias en el parque laguneta , gestión a cargo de UAESP con IDRD.")</f>
        <v>Poner luminarias en el parque laguneta , gestión a cargo de UAESP con IDRD.</v>
      </c>
      <c r="G2587" s="25" t="str">
        <f ca="1">IFERROR(__xludf.DUMMYFUNCTION("""COMPUTED_VALUE"""),"06. Tunjuelito")</f>
        <v>06. Tunjuelito</v>
      </c>
      <c r="H2587" s="55">
        <f ca="1">IFERROR(__xludf.DUMMYFUNCTION("""COMPUTED_VALUE"""),45015)</f>
        <v>45015</v>
      </c>
      <c r="I2587" s="25" t="str">
        <f ca="1">IFERROR(__xludf.DUMMYFUNCTION("""COMPUTED_VALUE"""),"Secretaría Privada")</f>
        <v>Secretaría Privada</v>
      </c>
      <c r="J2587" s="55" t="str">
        <f ca="1">IFERROR(__xludf.DUMMYFUNCTION("""COMPUTED_VALUE"""),"Alta")</f>
        <v>Alta</v>
      </c>
      <c r="K2587" s="25">
        <f ca="1">IFERROR(__xludf.DUMMYFUNCTION("""COMPUTED_VALUE"""),23)</f>
        <v>23</v>
      </c>
      <c r="L2587" s="62">
        <f ca="1">IFERROR(__xludf.DUMMYFUNCTION("""COMPUTED_VALUE"""),45077)</f>
        <v>45077</v>
      </c>
      <c r="M2587" s="25" t="str">
        <f ca="1">IFERROR(__xludf.DUMMYFUNCTION("""COMPUTED_VALUE"""),"La cancha de futbol 8, ubicada en el parque Laguneta, código 06-005, fue construida por la alcaldia local, entidad encargada de entregar las obras de energizacion al operador de red, por esta razon el IDRD en diferentes comunicados requirio a dicha alcald"&amp;"ia la entrega de las obras, quienes en radicado 20235620103761 del 23/3/2023, indican que estan adelantando las gestiones pertinentes")</f>
        <v>La cancha de futbol 8, ubicada en el parque Laguneta, código 06-005, fue construida por la alcaldia local, entidad encargada de entregar las obras de energizacion al operador de red, por esta razon el IDRD en diferentes comunicados requirio a dicha alcaldia la entrega de las obras, quienes en radicado 20235620103761 del 23/3/2023, indican que estan adelantando las gestiones pertinentes</v>
      </c>
      <c r="N2587" s="25"/>
      <c r="O2587" s="25" t="str">
        <f t="shared" ca="1" si="0"/>
        <v>Instituto Distrital de Recreación y Deporte</v>
      </c>
      <c r="P2587" s="25" t="str">
        <f t="shared" ca="1" si="2"/>
        <v/>
      </c>
      <c r="Q2587" s="25" t="str">
        <f ca="1">IFERROR(__xludf.DUMMYFUNCTION("""COMPUTED_VALUE"""),"Corto plazo")</f>
        <v>Corto plazo</v>
      </c>
      <c r="R2587" s="25"/>
      <c r="S2587" s="55"/>
      <c r="T2587" s="56"/>
      <c r="U2587" s="25"/>
      <c r="V2587" s="25"/>
      <c r="W2587" s="25"/>
      <c r="X2587" s="25"/>
      <c r="Y2587" s="25"/>
      <c r="Z2587" s="25"/>
    </row>
    <row r="2588" spans="1:26" ht="52.5" customHeight="1" x14ac:dyDescent="0.25">
      <c r="A2588" s="25" t="str">
        <f ca="1">IFERROR(__xludf.DUMMYFUNCTION("""COMPUTED_VALUE"""),"Cultu186")</f>
        <v>Cultu186</v>
      </c>
      <c r="B2588" s="25" t="str">
        <f ca="1">IFERROR(__xludf.DUMMYFUNCTION("""COMPUTED_VALUE"""),"Recorrido Kennedy")</f>
        <v>Recorrido Kennedy</v>
      </c>
      <c r="C2588" s="55">
        <f ca="1">IFERROR(__xludf.DUMMYFUNCTION("""COMPUTED_VALUE"""),45055)</f>
        <v>45055</v>
      </c>
      <c r="D2588" s="25" t="str">
        <f ca="1">IFERROR(__xludf.DUMMYFUNCTION("""COMPUTED_VALUE"""),"Cultura")</f>
        <v>Cultura</v>
      </c>
      <c r="E2588" s="25" t="str">
        <f ca="1">IFERROR(__xludf.DUMMYFUNCTION("""COMPUTED_VALUE"""),"Secretaría Distrital de Cultura, Recreación y Deporte")</f>
        <v>Secretaría Distrital de Cultura, Recreación y Deporte</v>
      </c>
      <c r="F2588" s="25" t="str">
        <f ca="1">IFERROR(__xludf.DUMMYFUNCTION("""COMPUTED_VALUE"""),"Fortalecer la estrategia de comunicaciones y divulgación de la iniciativa distrital ""Es Cultura Local"" para garantizar mayor participación ciudadana en las actividades que deriven de ella.")</f>
        <v>Fortalecer la estrategia de comunicaciones y divulgación de la iniciativa distrital "Es Cultura Local" para garantizar mayor participación ciudadana en las actividades que deriven de ella.</v>
      </c>
      <c r="G2588" s="25" t="str">
        <f ca="1">IFERROR(__xludf.DUMMYFUNCTION("""COMPUTED_VALUE"""),"99. Distrito")</f>
        <v>99. Distrito</v>
      </c>
      <c r="H2588" s="55">
        <f ca="1">IFERROR(__xludf.DUMMYFUNCTION("""COMPUTED_VALUE"""),45076)</f>
        <v>45076</v>
      </c>
      <c r="I2588" s="25" t="str">
        <f ca="1">IFERROR(__xludf.DUMMYFUNCTION("""COMPUTED_VALUE"""),"Secretaría Privada")</f>
        <v>Secretaría Privada</v>
      </c>
      <c r="J2588" s="55" t="str">
        <f ca="1">IFERROR(__xludf.DUMMYFUNCTION("""COMPUTED_VALUE"""),"Alta")</f>
        <v>Alta</v>
      </c>
      <c r="K2588" s="25">
        <f ca="1">IFERROR(__xludf.DUMMYFUNCTION("""COMPUTED_VALUE"""),21)</f>
        <v>21</v>
      </c>
      <c r="L2588" s="62">
        <f ca="1">IFERROR(__xludf.DUMMYFUNCTION("""COMPUTED_VALUE"""),45077)</f>
        <v>45077</v>
      </c>
      <c r="M2588" s="25" t="str">
        <f ca="1">IFERROR(__xludf.DUMMYFUNCTION("""COMPUTED_VALUE"""),"- Se presentó estrategia para dar a conocer el legado de ECL . Se está en el ajuste de las piezas audiovbisuales. La última semana de junio comenzará la difución de la campaña.")</f>
        <v>- Se presentó estrategia para dar a conocer el legado de ECL . Se está en el ajuste de las piezas audiovbisuales. La última semana de junio comenzará la difución de la campaña.</v>
      </c>
      <c r="N2588" s="25"/>
      <c r="O2588" s="25" t="str">
        <f t="shared" ca="1" si="0"/>
        <v>Secretaría Distrital de Cultura, Recreación y Deporte</v>
      </c>
      <c r="P2588" s="25" t="str">
        <f t="shared" ca="1" si="2"/>
        <v/>
      </c>
      <c r="Q2588" s="25" t="str">
        <f ca="1">IFERROR(__xludf.DUMMYFUNCTION("""COMPUTED_VALUE"""),"Corto plazo")</f>
        <v>Corto plazo</v>
      </c>
      <c r="R2588" s="25"/>
      <c r="S2588" s="55"/>
      <c r="T2588" s="56"/>
      <c r="U2588" s="25"/>
      <c r="V2588" s="25"/>
      <c r="W2588" s="25"/>
      <c r="X2588" s="25"/>
      <c r="Y2588" s="25"/>
      <c r="Z2588" s="25"/>
    </row>
    <row r="2589" spans="1:26" ht="52.5" customHeight="1" x14ac:dyDescent="0.25">
      <c r="A2589" s="25" t="str">
        <f ca="1">IFERROR(__xludf.DUMMYFUNCTION("""COMPUTED_VALUE"""),"Cultu187")</f>
        <v>Cultu187</v>
      </c>
      <c r="B2589" s="25" t="str">
        <f ca="1">IFERROR(__xludf.DUMMYFUNCTION("""COMPUTED_VALUE"""),"Consejo Local de Gobierno de Bosa")</f>
        <v>Consejo Local de Gobierno de Bosa</v>
      </c>
      <c r="C2589" s="55">
        <f ca="1">IFERROR(__xludf.DUMMYFUNCTION("""COMPUTED_VALUE"""),44602)</f>
        <v>44602</v>
      </c>
      <c r="D2589" s="25" t="str">
        <f ca="1">IFERROR(__xludf.DUMMYFUNCTION("""COMPUTED_VALUE"""),"Cultura")</f>
        <v>Cultura</v>
      </c>
      <c r="E2589" s="25" t="str">
        <f ca="1">IFERROR(__xludf.DUMMYFUNCTION("""COMPUTED_VALUE"""),"Instituto Distrital de Recreación y Deporte")</f>
        <v>Instituto Distrital de Recreación y Deporte</v>
      </c>
      <c r="F2589" s="25" t="str">
        <f ca="1">IFERROR(__xludf.DUMMYFUNCTION("""COMPUTED_VALUE"""),"Revisar el tema del préstamo de los parques por parte de los administradores – Villa del Río, Naranjos, Metrovivienda y otros")</f>
        <v>Revisar el tema del préstamo de los parques por parte de los administradores – Villa del Río, Naranjos, Metrovivienda y otros</v>
      </c>
      <c r="G2589" s="25" t="str">
        <f ca="1">IFERROR(__xludf.DUMMYFUNCTION("""COMPUTED_VALUE"""),"07. Bosa")</f>
        <v>07. Bosa</v>
      </c>
      <c r="H2589" s="55">
        <f ca="1">IFERROR(__xludf.DUMMYFUNCTION("""COMPUTED_VALUE"""),45077)</f>
        <v>45077</v>
      </c>
      <c r="I2589" s="25" t="str">
        <f ca="1">IFERROR(__xludf.DUMMYFUNCTION("""COMPUTED_VALUE"""),"Secretaría Privada")</f>
        <v>Secretaría Privada</v>
      </c>
      <c r="J2589" s="55" t="str">
        <f ca="1">IFERROR(__xludf.DUMMYFUNCTION("""COMPUTED_VALUE"""),"Baja")</f>
        <v>Baja</v>
      </c>
      <c r="K2589" s="25">
        <f ca="1">IFERROR(__xludf.DUMMYFUNCTION("""COMPUTED_VALUE"""),475)</f>
        <v>475</v>
      </c>
      <c r="L2589" s="62">
        <f ca="1">IFERROR(__xludf.DUMMYFUNCTION("""COMPUTED_VALUE"""),45077)</f>
        <v>45077</v>
      </c>
      <c r="M2589" s="25" t="str">
        <f ca="1">IFERROR(__xludf.DUMMYFUNCTION("""COMPUTED_VALUE"""),"El IDRD mediante Resolucion 379 del 14 de abril de 2023,  adopto  el protocolo para aprovechamiento  economico de los espacios administrados, el cual  puede ser consultado en la pagina del IDRD (https://www.idrd.gov.co/transparencia-y-acceso-a-la-informac"&amp;"ion-publica/normograma/manual-de-aprovechamiento-economico-del), igualmente se informa que el profesional local Jhon Edison Lozada, email  john.lozada@idrd.gov.co. Cel. 3228152498 y el profesional Edgar Ortiz, email edgar.ortiz@idrd.gov.co, se encuentran "&amp;"en plena disposición para acompañar los diferentes  procesos, en el  caso que se requiera.")</f>
        <v>El IDRD mediante Resolucion 379 del 14 de abril de 2023,  adopto  el protocolo para aprovechamiento  economico de los espacios administrados, el cual  puede ser consultado en la pagina del IDRD (https://www.idrd.gov.co/transparencia-y-acceso-a-la-informacion-publica/normograma/manual-de-aprovechamiento-economico-del), igualmente se informa que el profesional local Jhon Edison Lozada, email  john.lozada@idrd.gov.co. Cel. 3228152498 y el profesional Edgar Ortiz, email edgar.ortiz@idrd.gov.co, se encuentran en plena disposición para acompañar los diferentes  procesos, en el  caso que se requiera.</v>
      </c>
      <c r="N2589" s="55">
        <f ca="1">IFERROR(__xludf.DUMMYFUNCTION("""COMPUTED_VALUE"""),45030)</f>
        <v>45030</v>
      </c>
      <c r="O2589" s="25" t="str">
        <f t="shared" ca="1" si="0"/>
        <v>Instituto Distrital de Recreación y Deporte</v>
      </c>
      <c r="P2589" s="25" t="str">
        <f t="shared" ca="1" si="2"/>
        <v/>
      </c>
      <c r="Q2589" s="25" t="str">
        <f ca="1">IFERROR(__xludf.DUMMYFUNCTION("""COMPUTED_VALUE"""),"Largo plazo")</f>
        <v>Largo plazo</v>
      </c>
      <c r="R2589" s="25"/>
      <c r="S2589" s="55"/>
      <c r="T2589" s="56"/>
      <c r="U2589" s="25"/>
      <c r="V2589" s="25"/>
      <c r="W2589" s="25"/>
      <c r="X2589" s="25"/>
      <c r="Y2589" s="25"/>
      <c r="Z2589" s="25"/>
    </row>
    <row r="2590" spans="1:26" ht="52.5" customHeight="1" x14ac:dyDescent="0.25">
      <c r="A2590" s="25" t="str">
        <f ca="1">IFERROR(__xludf.DUMMYFUNCTION("""COMPUTED_VALUE"""),"Cultu188")</f>
        <v>Cultu188</v>
      </c>
      <c r="B2590" s="25" t="str">
        <f ca="1">IFERROR(__xludf.DUMMYFUNCTION("""COMPUTED_VALUE"""),"Consejo Local de Gobierno de Suba")</f>
        <v>Consejo Local de Gobierno de Suba</v>
      </c>
      <c r="C2590" s="55">
        <f ca="1">IFERROR(__xludf.DUMMYFUNCTION("""COMPUTED_VALUE"""),44630)</f>
        <v>44630</v>
      </c>
      <c r="D2590" s="25" t="str">
        <f ca="1">IFERROR(__xludf.DUMMYFUNCTION("""COMPUTED_VALUE"""),"Cultura")</f>
        <v>Cultura</v>
      </c>
      <c r="E2590" s="25" t="str">
        <f ca="1">IFERROR(__xludf.DUMMYFUNCTION("""COMPUTED_VALUE"""),"Instituto Distrital de Recreación y Deporte")</f>
        <v>Instituto Distrital de Recreación y Deporte</v>
      </c>
      <c r="F2590" s="25" t="str">
        <f ca="1">IFERROR(__xludf.DUMMYFUNCTION("""COMPUTED_VALUE"""),"Facilitar el cupo y acceso de niños y niñas con discapacidad al uso de la piscina pública de Fontanar, ya que actualmente esta población tiene que ir desde Suba Rincón, hasta Servitá para el uso de la piscina")</f>
        <v>Facilitar el cupo y acceso de niños y niñas con discapacidad al uso de la piscina pública de Fontanar, ya que actualmente esta población tiene que ir desde Suba Rincón, hasta Servitá para el uso de la piscina</v>
      </c>
      <c r="G2590" s="25" t="str">
        <f ca="1">IFERROR(__xludf.DUMMYFUNCTION("""COMPUTED_VALUE"""),"11. Suba")</f>
        <v>11. Suba</v>
      </c>
      <c r="H2590" s="55">
        <f ca="1">IFERROR(__xludf.DUMMYFUNCTION("""COMPUTED_VALUE"""),44685)</f>
        <v>44685</v>
      </c>
      <c r="I2590" s="25"/>
      <c r="J2590" s="55" t="str">
        <f ca="1">IFERROR(__xludf.DUMMYFUNCTION("""COMPUTED_VALUE"""),"Baja")</f>
        <v>Baja</v>
      </c>
      <c r="K2590" s="25">
        <f ca="1">IFERROR(__xludf.DUMMYFUNCTION("""COMPUTED_VALUE"""),55)</f>
        <v>55</v>
      </c>
      <c r="L2590" s="62">
        <f ca="1">IFERROR(__xludf.DUMMYFUNCTION("""COMPUTED_VALUE"""),44685)</f>
        <v>44685</v>
      </c>
      <c r="M2590" s="25" t="str">
        <f ca="1">IFERROR(__xludf.DUMMYFUNCTION("""COMPUTED_VALUE"""),"Respecto de la solicitud previamente enunciada, se manifiesta por parte de la Subdirección Técnica de Parques que el acceso a niños y niñas con discapacidad al uso de la piscina pública del CEFE Fontanar se da desde los programas establecidos por la Subdi"&amp;"rección Técnica de Recreación y Deportes, por tal motivo la solictud realizada por el ciudadano es atendida en el marco del Consejo Local de Gobierno.")</f>
        <v>Respecto de la solicitud previamente enunciada, se manifiesta por parte de la Subdirección Técnica de Parques que el acceso a niños y niñas con discapacidad al uso de la piscina pública del CEFE Fontanar se da desde los programas establecidos por la Subdirección Técnica de Recreación y Deportes, por tal motivo la solictud realizada por el ciudadano es atendida en el marco del Consejo Local de Gobierno.</v>
      </c>
      <c r="N2590" s="55">
        <f ca="1">IFERROR(__xludf.DUMMYFUNCTION("""COMPUTED_VALUE"""),44926)</f>
        <v>44926</v>
      </c>
      <c r="O2590" s="25" t="str">
        <f t="shared" ca="1" si="0"/>
        <v>Instituto Distrital de Recreación y Deporte</v>
      </c>
      <c r="P2590" s="25" t="str">
        <f t="shared" si="2"/>
        <v/>
      </c>
      <c r="Q2590" s="25" t="str">
        <f ca="1">IFERROR(__xludf.DUMMYFUNCTION("""COMPUTED_VALUE"""),"Corto plazo")</f>
        <v>Corto plazo</v>
      </c>
      <c r="R2590" s="25"/>
      <c r="S2590" s="55"/>
      <c r="T2590" s="56"/>
      <c r="U2590" s="25"/>
      <c r="V2590" s="25"/>
      <c r="W2590" s="25"/>
      <c r="X2590" s="25"/>
      <c r="Y2590" s="25"/>
      <c r="Z2590" s="25"/>
    </row>
    <row r="2591" spans="1:26" ht="52.5" customHeight="1" x14ac:dyDescent="0.25">
      <c r="A2591" s="25" t="str">
        <f ca="1">IFERROR(__xludf.DUMMYFUNCTION("""COMPUTED_VALUE"""),"Cultu189")</f>
        <v>Cultu189</v>
      </c>
      <c r="B2591" s="25" t="str">
        <f ca="1">IFERROR(__xludf.DUMMYFUNCTION("""COMPUTED_VALUE"""),"Estrategia de recolección de residuos")</f>
        <v>Estrategia de recolección de residuos</v>
      </c>
      <c r="C2591" s="55">
        <f ca="1">IFERROR(__xludf.DUMMYFUNCTION("""COMPUTED_VALUE"""),44974)</f>
        <v>44974</v>
      </c>
      <c r="D2591" s="25" t="str">
        <f ca="1">IFERROR(__xludf.DUMMYFUNCTION("""COMPUTED_VALUE"""),"Cultura")</f>
        <v>Cultura</v>
      </c>
      <c r="E2591" s="25" t="str">
        <f ca="1">IFERROR(__xludf.DUMMYFUNCTION("""COMPUTED_VALUE"""),"Instituto Distrital de las Artes")</f>
        <v>Instituto Distrital de las Artes</v>
      </c>
      <c r="F2591" s="25" t="str">
        <f ca="1">IFERROR(__xludf.DUMMYFUNCTION("""COMPUTED_VALUE"""),"Priorizar la zona bajo puentes de la calle 26 de la cra 30 a la circunvalar, para realizar una estrategia de recuperación de espacio público en conjunto con la SDCRD.")</f>
        <v>Priorizar la zona bajo puentes de la calle 26 de la cra 30 a la circunvalar, para realizar una estrategia de recuperación de espacio público en conjunto con la SDCRD.</v>
      </c>
      <c r="G2591" s="25" t="str">
        <f ca="1">IFERROR(__xludf.DUMMYFUNCTION("""COMPUTED_VALUE"""),"14. Martires")</f>
        <v>14. Martires</v>
      </c>
      <c r="H2591" s="55">
        <f ca="1">IFERROR(__xludf.DUMMYFUNCTION("""COMPUTED_VALUE"""),45031)</f>
        <v>45031</v>
      </c>
      <c r="I2591" s="25" t="str">
        <f ca="1">IFERROR(__xludf.DUMMYFUNCTION("""COMPUTED_VALUE"""),"Secretaría Privada")</f>
        <v>Secretaría Privada</v>
      </c>
      <c r="J2591" s="55" t="str">
        <f ca="1">IFERROR(__xludf.DUMMYFUNCTION("""COMPUTED_VALUE"""),"Alta")</f>
        <v>Alta</v>
      </c>
      <c r="K2591" s="25">
        <f ca="1">IFERROR(__xludf.DUMMYFUNCTION("""COMPUTED_VALUE"""),57)</f>
        <v>57</v>
      </c>
      <c r="L2591" s="62">
        <f ca="1">IFERROR(__xludf.DUMMYFUNCTION("""COMPUTED_VALUE"""),45077)</f>
        <v>45077</v>
      </c>
      <c r="M2591" s="25" t="str">
        <f ca="1">IFERROR(__xludf.DUMMYFUNCTION("""COMPUTED_VALUE"""),"Frente a la recuperacion de espacio publico del puente de la calle 26 a la altura de la cafrrera 30 y la circunvalr. En el mes de myo se realizara una visita por parte de el equipo territorial de la Subdireccion de Aprovechamiento para identificar  que ac"&amp;"ciones y actores se necesitan y poder articular con las otras subdirecciones u entidades del Distrito para la recuperacion del espacio en mencion. Lo anterior teniendo en cuenta que el puente en mencion no fue incluido en la pririzacion del convenio de Ag"&amp;"uas de Bogota y en el momento no se cuentan con los recursos para un proyecto nuevo")</f>
        <v>Frente a la recuperacion de espacio publico del puente de la calle 26 a la altura de la cafrrera 30 y la circunvalr. En el mes de myo se realizara una visita por parte de el equipo territorial de la Subdireccion de Aprovechamiento para identificar  que acciones y actores se necesitan y poder articular con las otras subdirecciones u entidades del Distrito para la recuperacion del espacio en mencion. Lo anterior teniendo en cuenta que el puente en mencion no fue incluido en la pririzacion del convenio de Aguas de Bogota y en el momento no se cuentan con los recursos para un proyecto nuevo</v>
      </c>
      <c r="N2591" s="25"/>
      <c r="O2591" s="25" t="str">
        <f t="shared" ca="1" si="0"/>
        <v>Instituto Distrital de las Artes</v>
      </c>
      <c r="P2591" s="25" t="str">
        <f t="shared" ca="1" si="2"/>
        <v/>
      </c>
      <c r="Q2591" s="25" t="str">
        <f ca="1">IFERROR(__xludf.DUMMYFUNCTION("""COMPUTED_VALUE"""),"Corto plazo")</f>
        <v>Corto plazo</v>
      </c>
      <c r="R2591" s="25"/>
      <c r="S2591" s="55"/>
      <c r="T2591" s="56"/>
      <c r="U2591" s="25"/>
      <c r="V2591" s="25"/>
      <c r="W2591" s="25"/>
      <c r="X2591" s="25"/>
      <c r="Y2591" s="25"/>
      <c r="Z2591" s="25"/>
    </row>
    <row r="2592" spans="1:26" ht="52.5" customHeight="1" x14ac:dyDescent="0.25">
      <c r="A2592" s="25" t="str">
        <f ca="1">IFERROR(__xludf.DUMMYFUNCTION("""COMPUTED_VALUE"""),"Cultu190")</f>
        <v>Cultu190</v>
      </c>
      <c r="B2592" s="25"/>
      <c r="C2592" s="55"/>
      <c r="D2592" s="25" t="str">
        <f ca="1">IFERROR(__xludf.DUMMYFUNCTION("""COMPUTED_VALUE"""),"Cultura")</f>
        <v>Cultura</v>
      </c>
      <c r="E2592" s="25"/>
      <c r="F2592" s="25"/>
      <c r="G2592" s="25"/>
      <c r="H2592" s="25"/>
      <c r="I2592" s="25"/>
      <c r="J2592" s="55"/>
      <c r="K2592" s="25" t="str">
        <f ca="1">IFERROR(__xludf.DUMMYFUNCTION("""COMPUTED_VALUE"""),"Definir fecha")</f>
        <v>Definir fecha</v>
      </c>
      <c r="L2592" s="62"/>
      <c r="M2592" s="25"/>
      <c r="N2592" s="25"/>
      <c r="O2592" s="25">
        <f t="shared" si="0"/>
        <v>0</v>
      </c>
      <c r="P2592" s="25" t="str">
        <f t="shared" si="2"/>
        <v/>
      </c>
      <c r="Q2592" s="25" t="str">
        <f ca="1">IFERROR(__xludf.DUMMYFUNCTION("""COMPUTED_VALUE"""),"Sin defenir")</f>
        <v>Sin defenir</v>
      </c>
      <c r="R2592" s="25"/>
      <c r="S2592" s="55"/>
      <c r="T2592" s="56"/>
      <c r="U2592" s="25"/>
      <c r="V2592" s="25"/>
      <c r="W2592" s="25"/>
      <c r="X2592" s="25"/>
      <c r="Y2592" s="25"/>
      <c r="Z2592" s="25"/>
    </row>
    <row r="2593" spans="1:26" ht="52.5" customHeight="1" x14ac:dyDescent="0.25">
      <c r="A2593" s="25" t="str">
        <f ca="1">IFERROR(__xludf.DUMMYFUNCTION("""COMPUTED_VALUE"""),"Cultu191")</f>
        <v>Cultu191</v>
      </c>
      <c r="B2593" s="25"/>
      <c r="C2593" s="55"/>
      <c r="D2593" s="25" t="str">
        <f ca="1">IFERROR(__xludf.DUMMYFUNCTION("""COMPUTED_VALUE"""),"Cultura")</f>
        <v>Cultura</v>
      </c>
      <c r="E2593" s="25"/>
      <c r="F2593" s="25"/>
      <c r="G2593" s="25"/>
      <c r="H2593" s="25"/>
      <c r="I2593" s="25"/>
      <c r="J2593" s="55"/>
      <c r="K2593" s="25" t="str">
        <f ca="1">IFERROR(__xludf.DUMMYFUNCTION("""COMPUTED_VALUE"""),"Definir fecha")</f>
        <v>Definir fecha</v>
      </c>
      <c r="L2593" s="62"/>
      <c r="M2593" s="25"/>
      <c r="N2593" s="25"/>
      <c r="O2593" s="25">
        <f t="shared" si="0"/>
        <v>0</v>
      </c>
      <c r="P2593" s="25" t="str">
        <f t="shared" si="2"/>
        <v/>
      </c>
      <c r="Q2593" s="25" t="str">
        <f ca="1">IFERROR(__xludf.DUMMYFUNCTION("""COMPUTED_VALUE"""),"Sin defenir")</f>
        <v>Sin defenir</v>
      </c>
      <c r="R2593" s="25"/>
      <c r="S2593" s="55"/>
      <c r="T2593" s="56"/>
      <c r="U2593" s="25"/>
      <c r="V2593" s="25"/>
      <c r="W2593" s="25"/>
      <c r="X2593" s="25"/>
      <c r="Y2593" s="25"/>
      <c r="Z2593" s="25"/>
    </row>
    <row r="2594" spans="1:26" ht="52.5" customHeight="1" x14ac:dyDescent="0.25">
      <c r="A2594" s="25" t="str">
        <f ca="1">IFERROR(__xludf.DUMMYFUNCTION("""COMPUTED_VALUE"""),"Cultu192")</f>
        <v>Cultu192</v>
      </c>
      <c r="B2594" s="25"/>
      <c r="C2594" s="55"/>
      <c r="D2594" s="25" t="str">
        <f ca="1">IFERROR(__xludf.DUMMYFUNCTION("""COMPUTED_VALUE"""),"Cultura")</f>
        <v>Cultura</v>
      </c>
      <c r="E2594" s="25"/>
      <c r="F2594" s="25"/>
      <c r="G2594" s="25"/>
      <c r="H2594" s="25"/>
      <c r="I2594" s="25"/>
      <c r="J2594" s="55"/>
      <c r="K2594" s="25" t="str">
        <f ca="1">IFERROR(__xludf.DUMMYFUNCTION("""COMPUTED_VALUE"""),"Definir fecha")</f>
        <v>Definir fecha</v>
      </c>
      <c r="L2594" s="62"/>
      <c r="M2594" s="25"/>
      <c r="N2594" s="25"/>
      <c r="O2594" s="25">
        <f t="shared" si="0"/>
        <v>0</v>
      </c>
      <c r="P2594" s="25" t="str">
        <f t="shared" si="2"/>
        <v/>
      </c>
      <c r="Q2594" s="25" t="str">
        <f ca="1">IFERROR(__xludf.DUMMYFUNCTION("""COMPUTED_VALUE"""),"Sin defenir")</f>
        <v>Sin defenir</v>
      </c>
      <c r="R2594" s="25"/>
      <c r="S2594" s="55"/>
      <c r="T2594" s="56"/>
      <c r="U2594" s="25"/>
      <c r="V2594" s="25"/>
      <c r="W2594" s="25"/>
      <c r="X2594" s="25"/>
      <c r="Y2594" s="25"/>
      <c r="Z2594" s="25"/>
    </row>
    <row r="2595" spans="1:26" ht="52.5" customHeight="1" x14ac:dyDescent="0.25">
      <c r="A2595" s="25" t="str">
        <f ca="1">IFERROR(__xludf.DUMMYFUNCTION("""COMPUTED_VALUE"""),"Cultu193")</f>
        <v>Cultu193</v>
      </c>
      <c r="B2595" s="25"/>
      <c r="C2595" s="55"/>
      <c r="D2595" s="25" t="str">
        <f ca="1">IFERROR(__xludf.DUMMYFUNCTION("""COMPUTED_VALUE"""),"Cultura")</f>
        <v>Cultura</v>
      </c>
      <c r="E2595" s="25"/>
      <c r="F2595" s="25"/>
      <c r="G2595" s="25"/>
      <c r="H2595" s="25"/>
      <c r="I2595" s="25"/>
      <c r="J2595" s="55"/>
      <c r="K2595" s="25" t="str">
        <f ca="1">IFERROR(__xludf.DUMMYFUNCTION("""COMPUTED_VALUE"""),"Definir fecha")</f>
        <v>Definir fecha</v>
      </c>
      <c r="L2595" s="62"/>
      <c r="M2595" s="25"/>
      <c r="N2595" s="25"/>
      <c r="O2595" s="25">
        <f t="shared" si="0"/>
        <v>0</v>
      </c>
      <c r="P2595" s="25" t="str">
        <f t="shared" si="2"/>
        <v/>
      </c>
      <c r="Q2595" s="25" t="str">
        <f ca="1">IFERROR(__xludf.DUMMYFUNCTION("""COMPUTED_VALUE"""),"Sin defenir")</f>
        <v>Sin defenir</v>
      </c>
      <c r="R2595" s="25"/>
      <c r="S2595" s="55"/>
      <c r="T2595" s="56"/>
      <c r="U2595" s="25"/>
      <c r="V2595" s="25"/>
      <c r="W2595" s="25"/>
      <c r="X2595" s="25"/>
      <c r="Y2595" s="25"/>
      <c r="Z2595" s="25"/>
    </row>
    <row r="2596" spans="1:26" ht="52.5" customHeight="1" x14ac:dyDescent="0.25">
      <c r="A2596" s="25" t="str">
        <f ca="1">IFERROR(__xludf.DUMMYFUNCTION("""COMPUTED_VALUE"""),"Cultu194")</f>
        <v>Cultu194</v>
      </c>
      <c r="B2596" s="25"/>
      <c r="C2596" s="55"/>
      <c r="D2596" s="25" t="str">
        <f ca="1">IFERROR(__xludf.DUMMYFUNCTION("""COMPUTED_VALUE"""),"Cultura")</f>
        <v>Cultura</v>
      </c>
      <c r="E2596" s="25"/>
      <c r="F2596" s="25"/>
      <c r="G2596" s="25"/>
      <c r="H2596" s="25"/>
      <c r="I2596" s="25"/>
      <c r="J2596" s="55"/>
      <c r="K2596" s="25" t="str">
        <f ca="1">IFERROR(__xludf.DUMMYFUNCTION("""COMPUTED_VALUE"""),"Definir fecha")</f>
        <v>Definir fecha</v>
      </c>
      <c r="L2596" s="62"/>
      <c r="M2596" s="25"/>
      <c r="N2596" s="25"/>
      <c r="O2596" s="25">
        <f t="shared" si="0"/>
        <v>0</v>
      </c>
      <c r="P2596" s="25" t="str">
        <f t="shared" si="2"/>
        <v/>
      </c>
      <c r="Q2596" s="25" t="str">
        <f ca="1">IFERROR(__xludf.DUMMYFUNCTION("""COMPUTED_VALUE"""),"Sin defenir")</f>
        <v>Sin defenir</v>
      </c>
      <c r="R2596" s="25"/>
      <c r="S2596" s="55"/>
      <c r="T2596" s="56"/>
      <c r="U2596" s="25"/>
      <c r="V2596" s="25"/>
      <c r="W2596" s="25"/>
      <c r="X2596" s="25"/>
      <c r="Y2596" s="25"/>
      <c r="Z2596" s="25"/>
    </row>
    <row r="2597" spans="1:26" ht="52.5" customHeight="1" x14ac:dyDescent="0.25">
      <c r="A2597" s="25" t="str">
        <f ca="1">IFERROR(__xludf.DUMMYFUNCTION("""COMPUTED_VALUE"""),"Cultu195")</f>
        <v>Cultu195</v>
      </c>
      <c r="B2597" s="25"/>
      <c r="C2597" s="55"/>
      <c r="D2597" s="25" t="str">
        <f ca="1">IFERROR(__xludf.DUMMYFUNCTION("""COMPUTED_VALUE"""),"Cultura")</f>
        <v>Cultura</v>
      </c>
      <c r="E2597" s="25"/>
      <c r="F2597" s="25"/>
      <c r="G2597" s="25"/>
      <c r="H2597" s="25"/>
      <c r="I2597" s="25"/>
      <c r="J2597" s="55"/>
      <c r="K2597" s="25" t="str">
        <f ca="1">IFERROR(__xludf.DUMMYFUNCTION("""COMPUTED_VALUE"""),"Definir fecha")</f>
        <v>Definir fecha</v>
      </c>
      <c r="L2597" s="62"/>
      <c r="M2597" s="25"/>
      <c r="N2597" s="25"/>
      <c r="O2597" s="25">
        <f t="shared" si="0"/>
        <v>0</v>
      </c>
      <c r="P2597" s="25" t="str">
        <f t="shared" si="2"/>
        <v/>
      </c>
      <c r="Q2597" s="25" t="str">
        <f ca="1">IFERROR(__xludf.DUMMYFUNCTION("""COMPUTED_VALUE"""),"Sin defenir")</f>
        <v>Sin defenir</v>
      </c>
      <c r="R2597" s="25"/>
      <c r="S2597" s="55"/>
      <c r="T2597" s="56"/>
      <c r="U2597" s="25"/>
      <c r="V2597" s="25"/>
      <c r="W2597" s="25"/>
      <c r="X2597" s="25"/>
      <c r="Y2597" s="25"/>
      <c r="Z2597" s="25"/>
    </row>
    <row r="2598" spans="1:26" ht="52.5" customHeight="1" x14ac:dyDescent="0.25">
      <c r="A2598" s="25" t="str">
        <f ca="1">IFERROR(__xludf.DUMMYFUNCTION("""COMPUTED_VALUE"""),"Cultu196")</f>
        <v>Cultu196</v>
      </c>
      <c r="B2598" s="25"/>
      <c r="C2598" s="55"/>
      <c r="D2598" s="25" t="str">
        <f ca="1">IFERROR(__xludf.DUMMYFUNCTION("""COMPUTED_VALUE"""),"Cultura")</f>
        <v>Cultura</v>
      </c>
      <c r="E2598" s="25"/>
      <c r="F2598" s="25"/>
      <c r="G2598" s="25"/>
      <c r="H2598" s="25"/>
      <c r="I2598" s="25"/>
      <c r="J2598" s="55"/>
      <c r="K2598" s="25" t="str">
        <f ca="1">IFERROR(__xludf.DUMMYFUNCTION("""COMPUTED_VALUE"""),"Definir fecha")</f>
        <v>Definir fecha</v>
      </c>
      <c r="L2598" s="62"/>
      <c r="M2598" s="25"/>
      <c r="N2598" s="25"/>
      <c r="O2598" s="25">
        <f t="shared" si="0"/>
        <v>0</v>
      </c>
      <c r="P2598" s="25" t="str">
        <f t="shared" si="2"/>
        <v/>
      </c>
      <c r="Q2598" s="25" t="str">
        <f ca="1">IFERROR(__xludf.DUMMYFUNCTION("""COMPUTED_VALUE"""),"Sin defenir")</f>
        <v>Sin defenir</v>
      </c>
      <c r="R2598" s="25"/>
      <c r="S2598" s="55"/>
      <c r="T2598" s="56"/>
      <c r="U2598" s="25"/>
      <c r="V2598" s="25"/>
      <c r="W2598" s="25"/>
      <c r="X2598" s="25"/>
      <c r="Y2598" s="25"/>
      <c r="Z2598" s="25"/>
    </row>
    <row r="2599" spans="1:26" ht="52.5" customHeight="1" x14ac:dyDescent="0.25">
      <c r="A2599" s="25" t="str">
        <f ca="1">IFERROR(__xludf.DUMMYFUNCTION("""COMPUTED_VALUE"""),"Cultu197")</f>
        <v>Cultu197</v>
      </c>
      <c r="B2599" s="25"/>
      <c r="C2599" s="55"/>
      <c r="D2599" s="25" t="str">
        <f ca="1">IFERROR(__xludf.DUMMYFUNCTION("""COMPUTED_VALUE"""),"Cultura")</f>
        <v>Cultura</v>
      </c>
      <c r="E2599" s="25"/>
      <c r="F2599" s="25"/>
      <c r="G2599" s="25"/>
      <c r="H2599" s="25"/>
      <c r="I2599" s="25"/>
      <c r="J2599" s="55"/>
      <c r="K2599" s="25" t="str">
        <f ca="1">IFERROR(__xludf.DUMMYFUNCTION("""COMPUTED_VALUE"""),"Definir fecha")</f>
        <v>Definir fecha</v>
      </c>
      <c r="L2599" s="62"/>
      <c r="M2599" s="25"/>
      <c r="N2599" s="25"/>
      <c r="O2599" s="25">
        <f t="shared" si="0"/>
        <v>0</v>
      </c>
      <c r="P2599" s="25" t="str">
        <f t="shared" si="2"/>
        <v/>
      </c>
      <c r="Q2599" s="25" t="str">
        <f ca="1">IFERROR(__xludf.DUMMYFUNCTION("""COMPUTED_VALUE"""),"Sin defenir")</f>
        <v>Sin defenir</v>
      </c>
      <c r="R2599" s="25"/>
      <c r="S2599" s="55"/>
      <c r="T2599" s="56"/>
      <c r="U2599" s="25"/>
      <c r="V2599" s="25"/>
      <c r="W2599" s="25"/>
      <c r="X2599" s="25"/>
      <c r="Y2599" s="25"/>
      <c r="Z2599" s="25"/>
    </row>
    <row r="2600" spans="1:26" ht="52.5" customHeight="1" x14ac:dyDescent="0.25">
      <c r="A2600" s="25" t="str">
        <f ca="1">IFERROR(__xludf.DUMMYFUNCTION("""COMPUTED_VALUE"""),"Cultu198")</f>
        <v>Cultu198</v>
      </c>
      <c r="B2600" s="25"/>
      <c r="C2600" s="55"/>
      <c r="D2600" s="25" t="str">
        <f ca="1">IFERROR(__xludf.DUMMYFUNCTION("""COMPUTED_VALUE"""),"Cultura")</f>
        <v>Cultura</v>
      </c>
      <c r="E2600" s="25"/>
      <c r="F2600" s="25"/>
      <c r="G2600" s="25"/>
      <c r="H2600" s="25"/>
      <c r="I2600" s="25"/>
      <c r="J2600" s="55"/>
      <c r="K2600" s="25" t="str">
        <f ca="1">IFERROR(__xludf.DUMMYFUNCTION("""COMPUTED_VALUE"""),"Definir fecha")</f>
        <v>Definir fecha</v>
      </c>
      <c r="L2600" s="62"/>
      <c r="M2600" s="25"/>
      <c r="N2600" s="25"/>
      <c r="O2600" s="25">
        <f t="shared" si="0"/>
        <v>0</v>
      </c>
      <c r="P2600" s="25" t="str">
        <f t="shared" si="2"/>
        <v/>
      </c>
      <c r="Q2600" s="25" t="str">
        <f ca="1">IFERROR(__xludf.DUMMYFUNCTION("""COMPUTED_VALUE"""),"Sin defenir")</f>
        <v>Sin defenir</v>
      </c>
      <c r="R2600" s="25"/>
      <c r="S2600" s="55"/>
      <c r="T2600" s="56"/>
      <c r="U2600" s="25"/>
      <c r="V2600" s="25"/>
      <c r="W2600" s="25"/>
      <c r="X2600" s="25"/>
      <c r="Y2600" s="25"/>
      <c r="Z2600" s="25"/>
    </row>
    <row r="2601" spans="1:26" ht="52.5" customHeight="1" x14ac:dyDescent="0.25">
      <c r="A2601" s="25" t="str">
        <f ca="1">IFERROR(__xludf.DUMMYFUNCTION("""COMPUTED_VALUE"""),"Cultu199")</f>
        <v>Cultu199</v>
      </c>
      <c r="B2601" s="25"/>
      <c r="C2601" s="55"/>
      <c r="D2601" s="25" t="str">
        <f ca="1">IFERROR(__xludf.DUMMYFUNCTION("""COMPUTED_VALUE"""),"Cultura")</f>
        <v>Cultura</v>
      </c>
      <c r="E2601" s="25"/>
      <c r="F2601" s="25"/>
      <c r="G2601" s="25"/>
      <c r="H2601" s="25"/>
      <c r="I2601" s="25"/>
      <c r="J2601" s="55"/>
      <c r="K2601" s="25" t="str">
        <f ca="1">IFERROR(__xludf.DUMMYFUNCTION("""COMPUTED_VALUE"""),"Definir fecha")</f>
        <v>Definir fecha</v>
      </c>
      <c r="L2601" s="62"/>
      <c r="M2601" s="25"/>
      <c r="N2601" s="25"/>
      <c r="O2601" s="25">
        <f t="shared" si="0"/>
        <v>0</v>
      </c>
      <c r="P2601" s="25" t="str">
        <f t="shared" si="2"/>
        <v/>
      </c>
      <c r="Q2601" s="25" t="str">
        <f ca="1">IFERROR(__xludf.DUMMYFUNCTION("""COMPUTED_VALUE"""),"Sin defenir")</f>
        <v>Sin defenir</v>
      </c>
      <c r="R2601" s="25"/>
      <c r="S2601" s="55"/>
      <c r="T2601" s="56"/>
      <c r="U2601" s="25"/>
      <c r="V2601" s="25"/>
      <c r="W2601" s="25"/>
      <c r="X2601" s="25"/>
      <c r="Y2601" s="25"/>
      <c r="Z2601" s="25"/>
    </row>
    <row r="2602" spans="1:26" ht="52.5" customHeight="1" x14ac:dyDescent="0.25">
      <c r="A2602" s="25" t="str">
        <f ca="1">IFERROR(__xludf.DUMMYFUNCTION("""COMPUTED_VALUE"""),"Cultu200")</f>
        <v>Cultu200</v>
      </c>
      <c r="B2602" s="25"/>
      <c r="C2602" s="55"/>
      <c r="D2602" s="25" t="str">
        <f ca="1">IFERROR(__xludf.DUMMYFUNCTION("""COMPUTED_VALUE"""),"Cultura")</f>
        <v>Cultura</v>
      </c>
      <c r="E2602" s="25"/>
      <c r="F2602" s="25"/>
      <c r="G2602" s="25"/>
      <c r="H2602" s="25"/>
      <c r="I2602" s="25"/>
      <c r="J2602" s="55"/>
      <c r="K2602" s="25" t="str">
        <f ca="1">IFERROR(__xludf.DUMMYFUNCTION("""COMPUTED_VALUE"""),"Definir fecha")</f>
        <v>Definir fecha</v>
      </c>
      <c r="L2602" s="62"/>
      <c r="M2602" s="25"/>
      <c r="N2602" s="25"/>
      <c r="O2602" s="25">
        <f t="shared" si="0"/>
        <v>0</v>
      </c>
      <c r="P2602" s="25" t="str">
        <f t="shared" si="2"/>
        <v/>
      </c>
      <c r="Q2602" s="25" t="str">
        <f ca="1">IFERROR(__xludf.DUMMYFUNCTION("""COMPUTED_VALUE"""),"Sin defenir")</f>
        <v>Sin defenir</v>
      </c>
      <c r="R2602" s="25"/>
      <c r="S2602" s="55"/>
      <c r="T2602" s="56"/>
      <c r="U2602" s="25"/>
      <c r="V2602" s="25"/>
      <c r="W2602" s="25"/>
      <c r="X2602" s="25"/>
      <c r="Y2602" s="25"/>
      <c r="Z2602" s="25"/>
    </row>
    <row r="2603" spans="1:26" ht="52.5" customHeight="1" x14ac:dyDescent="0.25">
      <c r="A2603" s="25" t="str">
        <f ca="1">IFERROR(__xludf.DUMMYFUNCTION("""COMPUTED_VALUE"""),"Cultu201")</f>
        <v>Cultu201</v>
      </c>
      <c r="B2603" s="25"/>
      <c r="C2603" s="55"/>
      <c r="D2603" s="25" t="str">
        <f ca="1">IFERROR(__xludf.DUMMYFUNCTION("""COMPUTED_VALUE"""),"Cultura")</f>
        <v>Cultura</v>
      </c>
      <c r="E2603" s="25"/>
      <c r="F2603" s="25"/>
      <c r="G2603" s="25"/>
      <c r="H2603" s="25"/>
      <c r="I2603" s="25"/>
      <c r="J2603" s="55"/>
      <c r="K2603" s="25" t="str">
        <f ca="1">IFERROR(__xludf.DUMMYFUNCTION("""COMPUTED_VALUE"""),"Definir fecha")</f>
        <v>Definir fecha</v>
      </c>
      <c r="L2603" s="62"/>
      <c r="M2603" s="25"/>
      <c r="N2603" s="25"/>
      <c r="O2603" s="25">
        <f t="shared" si="0"/>
        <v>0</v>
      </c>
      <c r="P2603" s="25" t="str">
        <f t="shared" si="2"/>
        <v/>
      </c>
      <c r="Q2603" s="25" t="str">
        <f ca="1">IFERROR(__xludf.DUMMYFUNCTION("""COMPUTED_VALUE"""),"Sin defenir")</f>
        <v>Sin defenir</v>
      </c>
      <c r="R2603" s="25"/>
      <c r="S2603" s="55"/>
      <c r="T2603" s="56"/>
      <c r="U2603" s="25"/>
      <c r="V2603" s="25"/>
      <c r="W2603" s="25"/>
      <c r="X2603" s="25"/>
      <c r="Y2603" s="25"/>
      <c r="Z2603" s="25"/>
    </row>
    <row r="2604" spans="1:26" ht="52.5" customHeight="1" x14ac:dyDescent="0.25">
      <c r="A2604" s="25" t="str">
        <f ca="1">IFERROR(__xludf.DUMMYFUNCTION("""COMPUTED_VALUE"""),"Cultu202")</f>
        <v>Cultu202</v>
      </c>
      <c r="B2604" s="25"/>
      <c r="C2604" s="55"/>
      <c r="D2604" s="25" t="str">
        <f ca="1">IFERROR(__xludf.DUMMYFUNCTION("""COMPUTED_VALUE"""),"Cultura")</f>
        <v>Cultura</v>
      </c>
      <c r="E2604" s="25"/>
      <c r="F2604" s="25"/>
      <c r="G2604" s="25"/>
      <c r="H2604" s="25"/>
      <c r="I2604" s="25"/>
      <c r="J2604" s="55"/>
      <c r="K2604" s="25" t="str">
        <f ca="1">IFERROR(__xludf.DUMMYFUNCTION("""COMPUTED_VALUE"""),"Definir fecha")</f>
        <v>Definir fecha</v>
      </c>
      <c r="L2604" s="62"/>
      <c r="M2604" s="25"/>
      <c r="N2604" s="25"/>
      <c r="O2604" s="25">
        <f t="shared" si="0"/>
        <v>0</v>
      </c>
      <c r="P2604" s="25" t="str">
        <f t="shared" si="2"/>
        <v/>
      </c>
      <c r="Q2604" s="25" t="str">
        <f ca="1">IFERROR(__xludf.DUMMYFUNCTION("""COMPUTED_VALUE"""),"Sin defenir")</f>
        <v>Sin defenir</v>
      </c>
      <c r="R2604" s="25"/>
      <c r="S2604" s="55"/>
      <c r="T2604" s="56"/>
      <c r="U2604" s="25"/>
      <c r="V2604" s="25"/>
      <c r="W2604" s="25"/>
      <c r="X2604" s="25"/>
      <c r="Y2604" s="25"/>
      <c r="Z2604" s="25"/>
    </row>
    <row r="2605" spans="1:26" ht="52.5" customHeight="1" x14ac:dyDescent="0.25">
      <c r="A2605" s="25" t="str">
        <f ca="1">IFERROR(__xludf.DUMMYFUNCTION("""COMPUTED_VALUE"""),"Cultu203")</f>
        <v>Cultu203</v>
      </c>
      <c r="B2605" s="25"/>
      <c r="C2605" s="55"/>
      <c r="D2605" s="25" t="str">
        <f ca="1">IFERROR(__xludf.DUMMYFUNCTION("""COMPUTED_VALUE"""),"Cultura")</f>
        <v>Cultura</v>
      </c>
      <c r="E2605" s="25"/>
      <c r="F2605" s="25"/>
      <c r="G2605" s="25"/>
      <c r="H2605" s="25"/>
      <c r="I2605" s="25"/>
      <c r="J2605" s="55"/>
      <c r="K2605" s="25" t="str">
        <f ca="1">IFERROR(__xludf.DUMMYFUNCTION("""COMPUTED_VALUE"""),"Definir fecha")</f>
        <v>Definir fecha</v>
      </c>
      <c r="L2605" s="62"/>
      <c r="M2605" s="25"/>
      <c r="N2605" s="25"/>
      <c r="O2605" s="25">
        <f t="shared" si="0"/>
        <v>0</v>
      </c>
      <c r="P2605" s="25" t="str">
        <f t="shared" si="2"/>
        <v/>
      </c>
      <c r="Q2605" s="25" t="str">
        <f ca="1">IFERROR(__xludf.DUMMYFUNCTION("""COMPUTED_VALUE"""),"Sin defenir")</f>
        <v>Sin defenir</v>
      </c>
      <c r="R2605" s="25"/>
      <c r="S2605" s="55"/>
      <c r="T2605" s="56"/>
      <c r="U2605" s="25"/>
      <c r="V2605" s="25"/>
      <c r="W2605" s="25"/>
      <c r="X2605" s="25"/>
      <c r="Y2605" s="25"/>
      <c r="Z2605" s="25"/>
    </row>
    <row r="2606" spans="1:26" ht="52.5" customHeight="1" x14ac:dyDescent="0.25">
      <c r="A2606" s="25" t="str">
        <f ca="1">IFERROR(__xludf.DUMMYFUNCTION("""COMPUTED_VALUE"""),"Cultu204")</f>
        <v>Cultu204</v>
      </c>
      <c r="B2606" s="25"/>
      <c r="C2606" s="55"/>
      <c r="D2606" s="25" t="str">
        <f ca="1">IFERROR(__xludf.DUMMYFUNCTION("""COMPUTED_VALUE"""),"Cultura")</f>
        <v>Cultura</v>
      </c>
      <c r="E2606" s="25"/>
      <c r="F2606" s="25"/>
      <c r="G2606" s="25"/>
      <c r="H2606" s="25"/>
      <c r="I2606" s="25"/>
      <c r="J2606" s="55"/>
      <c r="K2606" s="25" t="str">
        <f ca="1">IFERROR(__xludf.DUMMYFUNCTION("""COMPUTED_VALUE"""),"Definir fecha")</f>
        <v>Definir fecha</v>
      </c>
      <c r="L2606" s="62"/>
      <c r="M2606" s="25"/>
      <c r="N2606" s="25"/>
      <c r="O2606" s="25">
        <f t="shared" si="0"/>
        <v>0</v>
      </c>
      <c r="P2606" s="25" t="str">
        <f t="shared" si="2"/>
        <v/>
      </c>
      <c r="Q2606" s="25" t="str">
        <f ca="1">IFERROR(__xludf.DUMMYFUNCTION("""COMPUTED_VALUE"""),"Sin defenir")</f>
        <v>Sin defenir</v>
      </c>
      <c r="R2606" s="25"/>
      <c r="S2606" s="55"/>
      <c r="T2606" s="56"/>
      <c r="U2606" s="25"/>
      <c r="V2606" s="25"/>
      <c r="W2606" s="25"/>
      <c r="X2606" s="25"/>
      <c r="Y2606" s="25"/>
      <c r="Z2606" s="25"/>
    </row>
    <row r="2607" spans="1:26" ht="52.5" customHeight="1" x14ac:dyDescent="0.25">
      <c r="A2607" s="25" t="str">
        <f ca="1">IFERROR(__xludf.DUMMYFUNCTION("""COMPUTED_VALUE"""),"Cultu205")</f>
        <v>Cultu205</v>
      </c>
      <c r="B2607" s="25"/>
      <c r="C2607" s="55"/>
      <c r="D2607" s="25" t="str">
        <f ca="1">IFERROR(__xludf.DUMMYFUNCTION("""COMPUTED_VALUE"""),"Cultura")</f>
        <v>Cultura</v>
      </c>
      <c r="E2607" s="25"/>
      <c r="F2607" s="25"/>
      <c r="G2607" s="25"/>
      <c r="H2607" s="25"/>
      <c r="I2607" s="25"/>
      <c r="J2607" s="55"/>
      <c r="K2607" s="25" t="str">
        <f ca="1">IFERROR(__xludf.DUMMYFUNCTION("""COMPUTED_VALUE"""),"Definir fecha")</f>
        <v>Definir fecha</v>
      </c>
      <c r="L2607" s="62"/>
      <c r="M2607" s="25"/>
      <c r="N2607" s="25"/>
      <c r="O2607" s="25">
        <f t="shared" si="0"/>
        <v>0</v>
      </c>
      <c r="P2607" s="25" t="str">
        <f t="shared" si="2"/>
        <v/>
      </c>
      <c r="Q2607" s="25" t="str">
        <f ca="1">IFERROR(__xludf.DUMMYFUNCTION("""COMPUTED_VALUE"""),"Sin defenir")</f>
        <v>Sin defenir</v>
      </c>
      <c r="R2607" s="25"/>
      <c r="S2607" s="55"/>
      <c r="T2607" s="56"/>
      <c r="U2607" s="25"/>
      <c r="V2607" s="25"/>
      <c r="W2607" s="25"/>
      <c r="X2607" s="25"/>
      <c r="Y2607" s="25"/>
      <c r="Z2607" s="25"/>
    </row>
    <row r="2608" spans="1:26" ht="52.5" customHeight="1" x14ac:dyDescent="0.25">
      <c r="A2608" s="25" t="str">
        <f ca="1">IFERROR(__xludf.DUMMYFUNCTION("""COMPUTED_VALUE"""),"Cultu206")</f>
        <v>Cultu206</v>
      </c>
      <c r="B2608" s="25"/>
      <c r="C2608" s="55"/>
      <c r="D2608" s="25" t="str">
        <f ca="1">IFERROR(__xludf.DUMMYFUNCTION("""COMPUTED_VALUE"""),"Cultura")</f>
        <v>Cultura</v>
      </c>
      <c r="E2608" s="25"/>
      <c r="F2608" s="25"/>
      <c r="G2608" s="25"/>
      <c r="H2608" s="25"/>
      <c r="I2608" s="25"/>
      <c r="J2608" s="55"/>
      <c r="K2608" s="25" t="str">
        <f ca="1">IFERROR(__xludf.DUMMYFUNCTION("""COMPUTED_VALUE"""),"Definir fecha")</f>
        <v>Definir fecha</v>
      </c>
      <c r="L2608" s="62"/>
      <c r="M2608" s="25"/>
      <c r="N2608" s="25"/>
      <c r="O2608" s="25">
        <f t="shared" si="0"/>
        <v>0</v>
      </c>
      <c r="P2608" s="25" t="str">
        <f t="shared" si="2"/>
        <v/>
      </c>
      <c r="Q2608" s="25" t="str">
        <f ca="1">IFERROR(__xludf.DUMMYFUNCTION("""COMPUTED_VALUE"""),"Sin defenir")</f>
        <v>Sin defenir</v>
      </c>
      <c r="R2608" s="25"/>
      <c r="S2608" s="55"/>
      <c r="T2608" s="56"/>
      <c r="U2608" s="25"/>
      <c r="V2608" s="25"/>
      <c r="W2608" s="25"/>
      <c r="X2608" s="25"/>
      <c r="Y2608" s="25"/>
      <c r="Z2608" s="25"/>
    </row>
    <row r="2609" spans="1:26" ht="52.5" customHeight="1" x14ac:dyDescent="0.25">
      <c r="A2609" s="25" t="str">
        <f ca="1">IFERROR(__xludf.DUMMYFUNCTION("""COMPUTED_VALUE"""),"Cultu207")</f>
        <v>Cultu207</v>
      </c>
      <c r="B2609" s="25"/>
      <c r="C2609" s="55"/>
      <c r="D2609" s="25" t="str">
        <f ca="1">IFERROR(__xludf.DUMMYFUNCTION("""COMPUTED_VALUE"""),"Cultura")</f>
        <v>Cultura</v>
      </c>
      <c r="E2609" s="25"/>
      <c r="F2609" s="25"/>
      <c r="G2609" s="25"/>
      <c r="H2609" s="25"/>
      <c r="I2609" s="25"/>
      <c r="J2609" s="55"/>
      <c r="K2609" s="25" t="str">
        <f ca="1">IFERROR(__xludf.DUMMYFUNCTION("""COMPUTED_VALUE"""),"Definir fecha")</f>
        <v>Definir fecha</v>
      </c>
      <c r="L2609" s="62"/>
      <c r="M2609" s="25"/>
      <c r="N2609" s="25"/>
      <c r="O2609" s="25">
        <f t="shared" si="0"/>
        <v>0</v>
      </c>
      <c r="P2609" s="25" t="str">
        <f t="shared" si="2"/>
        <v/>
      </c>
      <c r="Q2609" s="25" t="str">
        <f ca="1">IFERROR(__xludf.DUMMYFUNCTION("""COMPUTED_VALUE"""),"Sin defenir")</f>
        <v>Sin defenir</v>
      </c>
      <c r="R2609" s="25"/>
      <c r="S2609" s="55"/>
      <c r="T2609" s="56"/>
      <c r="U2609" s="25"/>
      <c r="V2609" s="25"/>
      <c r="W2609" s="25"/>
      <c r="X2609" s="25"/>
      <c r="Y2609" s="25"/>
      <c r="Z2609" s="25"/>
    </row>
    <row r="2610" spans="1:26" ht="52.5" customHeight="1" x14ac:dyDescent="0.25">
      <c r="A2610" s="25" t="str">
        <f ca="1">IFERROR(__xludf.DUMMYFUNCTION("""COMPUTED_VALUE"""),"Cultu208")</f>
        <v>Cultu208</v>
      </c>
      <c r="B2610" s="25"/>
      <c r="C2610" s="55"/>
      <c r="D2610" s="25" t="str">
        <f ca="1">IFERROR(__xludf.DUMMYFUNCTION("""COMPUTED_VALUE"""),"Cultura")</f>
        <v>Cultura</v>
      </c>
      <c r="E2610" s="25"/>
      <c r="F2610" s="25"/>
      <c r="G2610" s="25"/>
      <c r="H2610" s="25"/>
      <c r="I2610" s="25"/>
      <c r="J2610" s="55"/>
      <c r="K2610" s="25" t="str">
        <f ca="1">IFERROR(__xludf.DUMMYFUNCTION("""COMPUTED_VALUE"""),"Definir fecha")</f>
        <v>Definir fecha</v>
      </c>
      <c r="L2610" s="62"/>
      <c r="M2610" s="25"/>
      <c r="N2610" s="25"/>
      <c r="O2610" s="25">
        <f t="shared" si="0"/>
        <v>0</v>
      </c>
      <c r="P2610" s="25" t="str">
        <f t="shared" si="2"/>
        <v/>
      </c>
      <c r="Q2610" s="25" t="str">
        <f ca="1">IFERROR(__xludf.DUMMYFUNCTION("""COMPUTED_VALUE"""),"Sin defenir")</f>
        <v>Sin defenir</v>
      </c>
      <c r="R2610" s="25"/>
      <c r="S2610" s="55"/>
      <c r="T2610" s="56"/>
      <c r="U2610" s="25"/>
      <c r="V2610" s="25"/>
      <c r="W2610" s="25"/>
      <c r="X2610" s="25"/>
      <c r="Y2610" s="25"/>
      <c r="Z2610" s="25"/>
    </row>
    <row r="2611" spans="1:26" ht="52.5" customHeight="1" x14ac:dyDescent="0.25">
      <c r="A2611" s="25" t="str">
        <f ca="1">IFERROR(__xludf.DUMMYFUNCTION("""COMPUTED_VALUE"""),"Cultu209")</f>
        <v>Cultu209</v>
      </c>
      <c r="B2611" s="25"/>
      <c r="C2611" s="55"/>
      <c r="D2611" s="25" t="str">
        <f ca="1">IFERROR(__xludf.DUMMYFUNCTION("""COMPUTED_VALUE"""),"Cultura")</f>
        <v>Cultura</v>
      </c>
      <c r="E2611" s="25"/>
      <c r="F2611" s="25"/>
      <c r="G2611" s="25"/>
      <c r="H2611" s="25"/>
      <c r="I2611" s="25"/>
      <c r="J2611" s="55"/>
      <c r="K2611" s="25" t="str">
        <f ca="1">IFERROR(__xludf.DUMMYFUNCTION("""COMPUTED_VALUE"""),"Definir fecha")</f>
        <v>Definir fecha</v>
      </c>
      <c r="L2611" s="62"/>
      <c r="M2611" s="25"/>
      <c r="N2611" s="25"/>
      <c r="O2611" s="25">
        <f t="shared" si="0"/>
        <v>0</v>
      </c>
      <c r="P2611" s="25" t="str">
        <f t="shared" si="2"/>
        <v/>
      </c>
      <c r="Q2611" s="25" t="str">
        <f ca="1">IFERROR(__xludf.DUMMYFUNCTION("""COMPUTED_VALUE"""),"Sin defenir")</f>
        <v>Sin defenir</v>
      </c>
      <c r="R2611" s="25"/>
      <c r="S2611" s="55"/>
      <c r="T2611" s="56"/>
      <c r="U2611" s="25"/>
      <c r="V2611" s="25"/>
      <c r="W2611" s="25"/>
      <c r="X2611" s="25"/>
      <c r="Y2611" s="25"/>
      <c r="Z2611" s="25"/>
    </row>
    <row r="2612" spans="1:26" ht="52.5" customHeight="1" x14ac:dyDescent="0.25">
      <c r="A2612" s="25" t="str">
        <f ca="1">IFERROR(__xludf.DUMMYFUNCTION("""COMPUTED_VALUE"""),"Cultu210")</f>
        <v>Cultu210</v>
      </c>
      <c r="B2612" s="25"/>
      <c r="C2612" s="55"/>
      <c r="D2612" s="25" t="str">
        <f ca="1">IFERROR(__xludf.DUMMYFUNCTION("""COMPUTED_VALUE"""),"Cultura")</f>
        <v>Cultura</v>
      </c>
      <c r="E2612" s="25"/>
      <c r="F2612" s="25"/>
      <c r="G2612" s="25"/>
      <c r="H2612" s="25"/>
      <c r="I2612" s="25"/>
      <c r="J2612" s="55"/>
      <c r="K2612" s="25" t="str">
        <f ca="1">IFERROR(__xludf.DUMMYFUNCTION("""COMPUTED_VALUE"""),"Definir fecha")</f>
        <v>Definir fecha</v>
      </c>
      <c r="L2612" s="62"/>
      <c r="M2612" s="25"/>
      <c r="N2612" s="25"/>
      <c r="O2612" s="25">
        <f t="shared" si="0"/>
        <v>0</v>
      </c>
      <c r="P2612" s="25" t="str">
        <f t="shared" si="2"/>
        <v/>
      </c>
      <c r="Q2612" s="25" t="str">
        <f ca="1">IFERROR(__xludf.DUMMYFUNCTION("""COMPUTED_VALUE"""),"Sin defenir")</f>
        <v>Sin defenir</v>
      </c>
      <c r="R2612" s="25"/>
      <c r="S2612" s="55"/>
      <c r="T2612" s="56"/>
      <c r="U2612" s="25"/>
      <c r="V2612" s="25"/>
      <c r="W2612" s="25"/>
      <c r="X2612" s="25"/>
      <c r="Y2612" s="25"/>
      <c r="Z2612" s="25"/>
    </row>
    <row r="2613" spans="1:26" ht="52.5" customHeight="1" x14ac:dyDescent="0.25">
      <c r="A2613" s="25" t="str">
        <f ca="1">IFERROR(__xludf.DUMMYFUNCTION("""COMPUTED_VALUE"""),"Cultu211")</f>
        <v>Cultu211</v>
      </c>
      <c r="B2613" s="25"/>
      <c r="C2613" s="55"/>
      <c r="D2613" s="25" t="str">
        <f ca="1">IFERROR(__xludf.DUMMYFUNCTION("""COMPUTED_VALUE"""),"Cultura")</f>
        <v>Cultura</v>
      </c>
      <c r="E2613" s="25"/>
      <c r="F2613" s="25"/>
      <c r="G2613" s="25"/>
      <c r="H2613" s="25"/>
      <c r="I2613" s="25"/>
      <c r="J2613" s="55"/>
      <c r="K2613" s="25" t="str">
        <f ca="1">IFERROR(__xludf.DUMMYFUNCTION("""COMPUTED_VALUE"""),"Definir fecha")</f>
        <v>Definir fecha</v>
      </c>
      <c r="L2613" s="62"/>
      <c r="M2613" s="25"/>
      <c r="N2613" s="25"/>
      <c r="O2613" s="25">
        <f t="shared" si="0"/>
        <v>0</v>
      </c>
      <c r="P2613" s="25" t="str">
        <f t="shared" si="2"/>
        <v/>
      </c>
      <c r="Q2613" s="25" t="str">
        <f ca="1">IFERROR(__xludf.DUMMYFUNCTION("""COMPUTED_VALUE"""),"Sin defenir")</f>
        <v>Sin defenir</v>
      </c>
      <c r="R2613" s="25"/>
      <c r="S2613" s="55"/>
      <c r="T2613" s="56"/>
      <c r="U2613" s="25"/>
      <c r="V2613" s="25"/>
      <c r="W2613" s="25"/>
      <c r="X2613" s="25"/>
      <c r="Y2613" s="25"/>
      <c r="Z2613" s="25"/>
    </row>
    <row r="2614" spans="1:26" ht="52.5" customHeight="1" x14ac:dyDescent="0.25">
      <c r="A2614" s="25" t="str">
        <f ca="1">IFERROR(__xludf.DUMMYFUNCTION("""COMPUTED_VALUE"""),"Cultu212")</f>
        <v>Cultu212</v>
      </c>
      <c r="B2614" s="25"/>
      <c r="C2614" s="55"/>
      <c r="D2614" s="25" t="str">
        <f ca="1">IFERROR(__xludf.DUMMYFUNCTION("""COMPUTED_VALUE"""),"Cultura")</f>
        <v>Cultura</v>
      </c>
      <c r="E2614" s="25"/>
      <c r="F2614" s="25"/>
      <c r="G2614" s="25"/>
      <c r="H2614" s="25"/>
      <c r="I2614" s="25"/>
      <c r="J2614" s="55"/>
      <c r="K2614" s="25" t="str">
        <f ca="1">IFERROR(__xludf.DUMMYFUNCTION("""COMPUTED_VALUE"""),"Definir fecha")</f>
        <v>Definir fecha</v>
      </c>
      <c r="L2614" s="62"/>
      <c r="M2614" s="25"/>
      <c r="N2614" s="25"/>
      <c r="O2614" s="25">
        <f t="shared" si="0"/>
        <v>0</v>
      </c>
      <c r="P2614" s="25" t="str">
        <f t="shared" si="2"/>
        <v/>
      </c>
      <c r="Q2614" s="25" t="str">
        <f ca="1">IFERROR(__xludf.DUMMYFUNCTION("""COMPUTED_VALUE"""),"Sin defenir")</f>
        <v>Sin defenir</v>
      </c>
      <c r="R2614" s="25"/>
      <c r="S2614" s="55"/>
      <c r="T2614" s="56"/>
      <c r="U2614" s="25"/>
      <c r="V2614" s="25"/>
      <c r="W2614" s="25"/>
      <c r="X2614" s="25"/>
      <c r="Y2614" s="25"/>
      <c r="Z2614" s="25"/>
    </row>
    <row r="2615" spans="1:26" ht="52.5" customHeight="1" x14ac:dyDescent="0.25">
      <c r="A2615" s="25" t="str">
        <f ca="1">IFERROR(__xludf.DUMMYFUNCTION("""COMPUTED_VALUE"""),"Cultu213")</f>
        <v>Cultu213</v>
      </c>
      <c r="B2615" s="25"/>
      <c r="C2615" s="55"/>
      <c r="D2615" s="25" t="str">
        <f ca="1">IFERROR(__xludf.DUMMYFUNCTION("""COMPUTED_VALUE"""),"Cultura")</f>
        <v>Cultura</v>
      </c>
      <c r="E2615" s="25"/>
      <c r="F2615" s="25"/>
      <c r="G2615" s="25"/>
      <c r="H2615" s="25"/>
      <c r="I2615" s="25"/>
      <c r="J2615" s="55"/>
      <c r="K2615" s="25" t="str">
        <f ca="1">IFERROR(__xludf.DUMMYFUNCTION("""COMPUTED_VALUE"""),"Definir fecha")</f>
        <v>Definir fecha</v>
      </c>
      <c r="L2615" s="62"/>
      <c r="M2615" s="25"/>
      <c r="N2615" s="25"/>
      <c r="O2615" s="25">
        <f t="shared" si="0"/>
        <v>0</v>
      </c>
      <c r="P2615" s="25" t="str">
        <f t="shared" si="2"/>
        <v/>
      </c>
      <c r="Q2615" s="25" t="str">
        <f ca="1">IFERROR(__xludf.DUMMYFUNCTION("""COMPUTED_VALUE"""),"Sin defenir")</f>
        <v>Sin defenir</v>
      </c>
      <c r="R2615" s="25"/>
      <c r="S2615" s="55"/>
      <c r="T2615" s="56"/>
      <c r="U2615" s="25"/>
      <c r="V2615" s="25"/>
      <c r="W2615" s="25"/>
      <c r="X2615" s="25"/>
      <c r="Y2615" s="25"/>
      <c r="Z2615" s="25"/>
    </row>
    <row r="2616" spans="1:26" ht="52.5" customHeight="1" x14ac:dyDescent="0.25">
      <c r="A2616" s="25" t="str">
        <f ca="1">IFERROR(__xludf.DUMMYFUNCTION("""COMPUTED_VALUE"""),"Cultu214")</f>
        <v>Cultu214</v>
      </c>
      <c r="B2616" s="25"/>
      <c r="C2616" s="55"/>
      <c r="D2616" s="25" t="str">
        <f ca="1">IFERROR(__xludf.DUMMYFUNCTION("""COMPUTED_VALUE"""),"Cultura")</f>
        <v>Cultura</v>
      </c>
      <c r="E2616" s="25"/>
      <c r="F2616" s="25"/>
      <c r="G2616" s="25"/>
      <c r="H2616" s="25"/>
      <c r="I2616" s="25"/>
      <c r="J2616" s="55"/>
      <c r="K2616" s="25" t="str">
        <f ca="1">IFERROR(__xludf.DUMMYFUNCTION("""COMPUTED_VALUE"""),"Definir fecha")</f>
        <v>Definir fecha</v>
      </c>
      <c r="L2616" s="62"/>
      <c r="M2616" s="25"/>
      <c r="N2616" s="25"/>
      <c r="O2616" s="25">
        <f t="shared" si="0"/>
        <v>0</v>
      </c>
      <c r="P2616" s="25" t="str">
        <f t="shared" si="2"/>
        <v/>
      </c>
      <c r="Q2616" s="25" t="str">
        <f ca="1">IFERROR(__xludf.DUMMYFUNCTION("""COMPUTED_VALUE"""),"Sin defenir")</f>
        <v>Sin defenir</v>
      </c>
      <c r="R2616" s="25"/>
      <c r="S2616" s="55"/>
      <c r="T2616" s="56"/>
      <c r="U2616" s="25"/>
      <c r="V2616" s="25"/>
      <c r="W2616" s="25"/>
      <c r="X2616" s="25"/>
      <c r="Y2616" s="25"/>
      <c r="Z2616" s="25"/>
    </row>
    <row r="2617" spans="1:26" ht="52.5" customHeight="1" x14ac:dyDescent="0.25">
      <c r="A2617" s="25" t="str">
        <f ca="1">IFERROR(__xludf.DUMMYFUNCTION("""COMPUTED_VALUE"""),"Cultu215")</f>
        <v>Cultu215</v>
      </c>
      <c r="B2617" s="25"/>
      <c r="C2617" s="55"/>
      <c r="D2617" s="25" t="str">
        <f ca="1">IFERROR(__xludf.DUMMYFUNCTION("""COMPUTED_VALUE"""),"Cultura")</f>
        <v>Cultura</v>
      </c>
      <c r="E2617" s="25"/>
      <c r="F2617" s="25"/>
      <c r="G2617" s="25"/>
      <c r="H2617" s="25"/>
      <c r="I2617" s="25"/>
      <c r="J2617" s="55"/>
      <c r="K2617" s="25" t="str">
        <f ca="1">IFERROR(__xludf.DUMMYFUNCTION("""COMPUTED_VALUE"""),"Definir fecha")</f>
        <v>Definir fecha</v>
      </c>
      <c r="L2617" s="62"/>
      <c r="M2617" s="25"/>
      <c r="N2617" s="25"/>
      <c r="O2617" s="25">
        <f t="shared" si="0"/>
        <v>0</v>
      </c>
      <c r="P2617" s="25" t="str">
        <f t="shared" si="2"/>
        <v/>
      </c>
      <c r="Q2617" s="25" t="str">
        <f ca="1">IFERROR(__xludf.DUMMYFUNCTION("""COMPUTED_VALUE"""),"Sin defenir")</f>
        <v>Sin defenir</v>
      </c>
      <c r="R2617" s="25"/>
      <c r="S2617" s="55"/>
      <c r="T2617" s="56"/>
      <c r="U2617" s="25"/>
      <c r="V2617" s="25"/>
      <c r="W2617" s="25"/>
      <c r="X2617" s="25"/>
      <c r="Y2617" s="25"/>
      <c r="Z2617" s="25"/>
    </row>
    <row r="2618" spans="1:26" ht="52.5" customHeight="1" x14ac:dyDescent="0.25">
      <c r="A2618" s="25" t="str">
        <f ca="1">IFERROR(__xludf.DUMMYFUNCTION("""COMPUTED_VALUE"""),"Cultu216")</f>
        <v>Cultu216</v>
      </c>
      <c r="B2618" s="25"/>
      <c r="C2618" s="55"/>
      <c r="D2618" s="25" t="str">
        <f ca="1">IFERROR(__xludf.DUMMYFUNCTION("""COMPUTED_VALUE"""),"Cultura")</f>
        <v>Cultura</v>
      </c>
      <c r="E2618" s="25"/>
      <c r="F2618" s="25"/>
      <c r="G2618" s="25"/>
      <c r="H2618" s="25"/>
      <c r="I2618" s="25"/>
      <c r="J2618" s="55"/>
      <c r="K2618" s="25" t="str">
        <f ca="1">IFERROR(__xludf.DUMMYFUNCTION("""COMPUTED_VALUE"""),"Definir fecha")</f>
        <v>Definir fecha</v>
      </c>
      <c r="L2618" s="62"/>
      <c r="M2618" s="25"/>
      <c r="N2618" s="25"/>
      <c r="O2618" s="25">
        <f t="shared" si="0"/>
        <v>0</v>
      </c>
      <c r="P2618" s="25" t="str">
        <f t="shared" si="2"/>
        <v/>
      </c>
      <c r="Q2618" s="25" t="str">
        <f ca="1">IFERROR(__xludf.DUMMYFUNCTION("""COMPUTED_VALUE"""),"Sin defenir")</f>
        <v>Sin defenir</v>
      </c>
      <c r="R2618" s="25"/>
      <c r="S2618" s="55"/>
      <c r="T2618" s="56"/>
      <c r="U2618" s="25"/>
      <c r="V2618" s="25"/>
      <c r="W2618" s="25"/>
      <c r="X2618" s="25"/>
      <c r="Y2618" s="25"/>
      <c r="Z2618" s="25"/>
    </row>
    <row r="2619" spans="1:26" ht="52.5" customHeight="1" x14ac:dyDescent="0.25">
      <c r="A2619" s="25" t="str">
        <f ca="1">IFERROR(__xludf.DUMMYFUNCTION("""COMPUTED_VALUE"""),"Cultu217")</f>
        <v>Cultu217</v>
      </c>
      <c r="B2619" s="25"/>
      <c r="C2619" s="55"/>
      <c r="D2619" s="25" t="str">
        <f ca="1">IFERROR(__xludf.DUMMYFUNCTION("""COMPUTED_VALUE"""),"Cultura")</f>
        <v>Cultura</v>
      </c>
      <c r="E2619" s="25"/>
      <c r="F2619" s="25"/>
      <c r="G2619" s="25"/>
      <c r="H2619" s="25"/>
      <c r="I2619" s="25"/>
      <c r="J2619" s="55"/>
      <c r="K2619" s="25" t="str">
        <f ca="1">IFERROR(__xludf.DUMMYFUNCTION("""COMPUTED_VALUE"""),"Definir fecha")</f>
        <v>Definir fecha</v>
      </c>
      <c r="L2619" s="62"/>
      <c r="M2619" s="25"/>
      <c r="N2619" s="25"/>
      <c r="O2619" s="25">
        <f t="shared" si="0"/>
        <v>0</v>
      </c>
      <c r="P2619" s="25" t="str">
        <f t="shared" si="2"/>
        <v/>
      </c>
      <c r="Q2619" s="25" t="str">
        <f ca="1">IFERROR(__xludf.DUMMYFUNCTION("""COMPUTED_VALUE"""),"Sin defenir")</f>
        <v>Sin defenir</v>
      </c>
      <c r="R2619" s="25"/>
      <c r="S2619" s="55"/>
      <c r="T2619" s="56"/>
      <c r="U2619" s="25"/>
      <c r="V2619" s="25"/>
      <c r="W2619" s="25"/>
      <c r="X2619" s="25"/>
      <c r="Y2619" s="25"/>
      <c r="Z2619" s="25"/>
    </row>
    <row r="2620" spans="1:26" ht="52.5" customHeight="1" x14ac:dyDescent="0.25">
      <c r="A2620" s="25" t="str">
        <f ca="1">IFERROR(__xludf.DUMMYFUNCTION("""COMPUTED_VALUE"""),"Cultu218")</f>
        <v>Cultu218</v>
      </c>
      <c r="B2620" s="25"/>
      <c r="C2620" s="55"/>
      <c r="D2620" s="25" t="str">
        <f ca="1">IFERROR(__xludf.DUMMYFUNCTION("""COMPUTED_VALUE"""),"Cultura")</f>
        <v>Cultura</v>
      </c>
      <c r="E2620" s="25"/>
      <c r="F2620" s="25"/>
      <c r="G2620" s="25"/>
      <c r="H2620" s="25"/>
      <c r="I2620" s="25"/>
      <c r="J2620" s="55"/>
      <c r="K2620" s="25" t="str">
        <f ca="1">IFERROR(__xludf.DUMMYFUNCTION("""COMPUTED_VALUE"""),"Definir fecha")</f>
        <v>Definir fecha</v>
      </c>
      <c r="L2620" s="62"/>
      <c r="M2620" s="25"/>
      <c r="N2620" s="25"/>
      <c r="O2620" s="25">
        <f t="shared" si="0"/>
        <v>0</v>
      </c>
      <c r="P2620" s="25" t="str">
        <f t="shared" si="2"/>
        <v/>
      </c>
      <c r="Q2620" s="25" t="str">
        <f ca="1">IFERROR(__xludf.DUMMYFUNCTION("""COMPUTED_VALUE"""),"Sin defenir")</f>
        <v>Sin defenir</v>
      </c>
      <c r="R2620" s="25"/>
      <c r="S2620" s="55"/>
      <c r="T2620" s="56"/>
      <c r="U2620" s="25"/>
      <c r="V2620" s="25"/>
      <c r="W2620" s="25"/>
      <c r="X2620" s="25"/>
      <c r="Y2620" s="25"/>
      <c r="Z2620" s="25"/>
    </row>
    <row r="2621" spans="1:26" ht="52.5" customHeight="1" x14ac:dyDescent="0.25">
      <c r="A2621" s="25" t="str">
        <f ca="1">IFERROR(__xludf.DUMMYFUNCTION("""COMPUTED_VALUE"""),"Cultu219")</f>
        <v>Cultu219</v>
      </c>
      <c r="B2621" s="25"/>
      <c r="C2621" s="55"/>
      <c r="D2621" s="25" t="str">
        <f ca="1">IFERROR(__xludf.DUMMYFUNCTION("""COMPUTED_VALUE"""),"Cultura")</f>
        <v>Cultura</v>
      </c>
      <c r="E2621" s="25"/>
      <c r="F2621" s="25"/>
      <c r="G2621" s="25"/>
      <c r="H2621" s="25"/>
      <c r="I2621" s="25"/>
      <c r="J2621" s="55"/>
      <c r="K2621" s="25" t="str">
        <f ca="1">IFERROR(__xludf.DUMMYFUNCTION("""COMPUTED_VALUE"""),"Definir fecha")</f>
        <v>Definir fecha</v>
      </c>
      <c r="L2621" s="62"/>
      <c r="M2621" s="25"/>
      <c r="N2621" s="25"/>
      <c r="O2621" s="25">
        <f t="shared" si="0"/>
        <v>0</v>
      </c>
      <c r="P2621" s="25" t="str">
        <f t="shared" si="2"/>
        <v/>
      </c>
      <c r="Q2621" s="25" t="str">
        <f ca="1">IFERROR(__xludf.DUMMYFUNCTION("""COMPUTED_VALUE"""),"Sin defenir")</f>
        <v>Sin defenir</v>
      </c>
      <c r="R2621" s="25"/>
      <c r="S2621" s="55"/>
      <c r="T2621" s="56"/>
      <c r="U2621" s="25"/>
      <c r="V2621" s="25"/>
      <c r="W2621" s="25"/>
      <c r="X2621" s="25"/>
      <c r="Y2621" s="25"/>
      <c r="Z2621" s="25"/>
    </row>
    <row r="2622" spans="1:26" ht="52.5" customHeight="1" x14ac:dyDescent="0.25">
      <c r="A2622" s="25" t="str">
        <f ca="1">IFERROR(__xludf.DUMMYFUNCTION("""COMPUTED_VALUE"""),"Cultu220")</f>
        <v>Cultu220</v>
      </c>
      <c r="B2622" s="25"/>
      <c r="C2622" s="55"/>
      <c r="D2622" s="25" t="str">
        <f ca="1">IFERROR(__xludf.DUMMYFUNCTION("""COMPUTED_VALUE"""),"Cultura")</f>
        <v>Cultura</v>
      </c>
      <c r="E2622" s="25"/>
      <c r="F2622" s="25"/>
      <c r="G2622" s="25"/>
      <c r="H2622" s="25"/>
      <c r="I2622" s="25"/>
      <c r="J2622" s="55"/>
      <c r="K2622" s="25" t="str">
        <f ca="1">IFERROR(__xludf.DUMMYFUNCTION("""COMPUTED_VALUE"""),"Definir fecha")</f>
        <v>Definir fecha</v>
      </c>
      <c r="L2622" s="62"/>
      <c r="M2622" s="25"/>
      <c r="N2622" s="25"/>
      <c r="O2622" s="25">
        <f t="shared" si="0"/>
        <v>0</v>
      </c>
      <c r="P2622" s="25" t="str">
        <f t="shared" si="2"/>
        <v/>
      </c>
      <c r="Q2622" s="25" t="str">
        <f ca="1">IFERROR(__xludf.DUMMYFUNCTION("""COMPUTED_VALUE"""),"Sin defenir")</f>
        <v>Sin defenir</v>
      </c>
      <c r="R2622" s="25"/>
      <c r="S2622" s="55"/>
      <c r="T2622" s="56"/>
      <c r="U2622" s="25"/>
      <c r="V2622" s="25"/>
      <c r="W2622" s="25"/>
      <c r="X2622" s="25"/>
      <c r="Y2622" s="25"/>
      <c r="Z2622" s="25"/>
    </row>
    <row r="2623" spans="1:26" ht="52.5" customHeight="1" x14ac:dyDescent="0.25">
      <c r="A2623" s="25" t="str">
        <f ca="1">IFERROR(__xludf.DUMMYFUNCTION("""COMPUTED_VALUE"""),"Cultu221")</f>
        <v>Cultu221</v>
      </c>
      <c r="B2623" s="25"/>
      <c r="C2623" s="55"/>
      <c r="D2623" s="25" t="str">
        <f ca="1">IFERROR(__xludf.DUMMYFUNCTION("""COMPUTED_VALUE"""),"Cultura")</f>
        <v>Cultura</v>
      </c>
      <c r="E2623" s="25"/>
      <c r="F2623" s="25"/>
      <c r="G2623" s="25"/>
      <c r="H2623" s="25"/>
      <c r="I2623" s="25"/>
      <c r="J2623" s="55"/>
      <c r="K2623" s="25" t="str">
        <f ca="1">IFERROR(__xludf.DUMMYFUNCTION("""COMPUTED_VALUE"""),"Definir fecha")</f>
        <v>Definir fecha</v>
      </c>
      <c r="L2623" s="62"/>
      <c r="M2623" s="25"/>
      <c r="N2623" s="25"/>
      <c r="O2623" s="25">
        <f t="shared" si="0"/>
        <v>0</v>
      </c>
      <c r="P2623" s="25" t="str">
        <f t="shared" si="2"/>
        <v/>
      </c>
      <c r="Q2623" s="25" t="str">
        <f ca="1">IFERROR(__xludf.DUMMYFUNCTION("""COMPUTED_VALUE"""),"Sin defenir")</f>
        <v>Sin defenir</v>
      </c>
      <c r="R2623" s="25"/>
      <c r="S2623" s="55"/>
      <c r="T2623" s="56"/>
      <c r="U2623" s="25"/>
      <c r="V2623" s="25"/>
      <c r="W2623" s="25"/>
      <c r="X2623" s="25"/>
      <c r="Y2623" s="25"/>
      <c r="Z2623" s="25"/>
    </row>
    <row r="2624" spans="1:26" ht="52.5" customHeight="1" x14ac:dyDescent="0.25">
      <c r="A2624" s="25" t="str">
        <f ca="1">IFERROR(__xludf.DUMMYFUNCTION("""COMPUTED_VALUE"""),"Cultu222")</f>
        <v>Cultu222</v>
      </c>
      <c r="B2624" s="25"/>
      <c r="C2624" s="55"/>
      <c r="D2624" s="25" t="str">
        <f ca="1">IFERROR(__xludf.DUMMYFUNCTION("""COMPUTED_VALUE"""),"Cultura")</f>
        <v>Cultura</v>
      </c>
      <c r="E2624" s="25"/>
      <c r="F2624" s="25"/>
      <c r="G2624" s="25"/>
      <c r="H2624" s="25"/>
      <c r="I2624" s="25"/>
      <c r="J2624" s="55"/>
      <c r="K2624" s="25" t="str">
        <f ca="1">IFERROR(__xludf.DUMMYFUNCTION("""COMPUTED_VALUE"""),"Definir fecha")</f>
        <v>Definir fecha</v>
      </c>
      <c r="L2624" s="62"/>
      <c r="M2624" s="25"/>
      <c r="N2624" s="25"/>
      <c r="O2624" s="25">
        <f t="shared" si="0"/>
        <v>0</v>
      </c>
      <c r="P2624" s="25" t="str">
        <f t="shared" si="2"/>
        <v/>
      </c>
      <c r="Q2624" s="25" t="str">
        <f ca="1">IFERROR(__xludf.DUMMYFUNCTION("""COMPUTED_VALUE"""),"Sin defenir")</f>
        <v>Sin defenir</v>
      </c>
      <c r="R2624" s="25"/>
      <c r="S2624" s="55"/>
      <c r="T2624" s="56"/>
      <c r="U2624" s="25"/>
      <c r="V2624" s="25"/>
      <c r="W2624" s="25"/>
      <c r="X2624" s="25"/>
      <c r="Y2624" s="25"/>
      <c r="Z2624" s="25"/>
    </row>
    <row r="2625" spans="1:26" ht="52.5" customHeight="1" x14ac:dyDescent="0.25">
      <c r="A2625" s="25" t="str">
        <f ca="1">IFERROR(__xludf.DUMMYFUNCTION("""COMPUTED_VALUE"""),"Cultu223")</f>
        <v>Cultu223</v>
      </c>
      <c r="B2625" s="25"/>
      <c r="C2625" s="55"/>
      <c r="D2625" s="25" t="str">
        <f ca="1">IFERROR(__xludf.DUMMYFUNCTION("""COMPUTED_VALUE"""),"Cultura")</f>
        <v>Cultura</v>
      </c>
      <c r="E2625" s="25"/>
      <c r="F2625" s="25"/>
      <c r="G2625" s="25"/>
      <c r="H2625" s="25"/>
      <c r="I2625" s="25"/>
      <c r="J2625" s="55"/>
      <c r="K2625" s="25" t="str">
        <f ca="1">IFERROR(__xludf.DUMMYFUNCTION("""COMPUTED_VALUE"""),"Definir fecha")</f>
        <v>Definir fecha</v>
      </c>
      <c r="L2625" s="62"/>
      <c r="M2625" s="25"/>
      <c r="N2625" s="25"/>
      <c r="O2625" s="25">
        <f t="shared" si="0"/>
        <v>0</v>
      </c>
      <c r="P2625" s="25" t="str">
        <f t="shared" si="2"/>
        <v/>
      </c>
      <c r="Q2625" s="25" t="str">
        <f ca="1">IFERROR(__xludf.DUMMYFUNCTION("""COMPUTED_VALUE"""),"Sin defenir")</f>
        <v>Sin defenir</v>
      </c>
      <c r="R2625" s="25"/>
      <c r="S2625" s="55"/>
      <c r="T2625" s="56"/>
      <c r="U2625" s="25"/>
      <c r="V2625" s="25"/>
      <c r="W2625" s="25"/>
      <c r="X2625" s="25"/>
      <c r="Y2625" s="25"/>
      <c r="Z2625" s="25"/>
    </row>
    <row r="2626" spans="1:26" ht="52.5" customHeight="1" x14ac:dyDescent="0.25">
      <c r="A2626" s="25" t="str">
        <f ca="1">IFERROR(__xludf.DUMMYFUNCTION("""COMPUTED_VALUE"""),"Cultu224")</f>
        <v>Cultu224</v>
      </c>
      <c r="B2626" s="25"/>
      <c r="C2626" s="55"/>
      <c r="D2626" s="25" t="str">
        <f ca="1">IFERROR(__xludf.DUMMYFUNCTION("""COMPUTED_VALUE"""),"Cultura")</f>
        <v>Cultura</v>
      </c>
      <c r="E2626" s="25"/>
      <c r="F2626" s="25"/>
      <c r="G2626" s="25"/>
      <c r="H2626" s="25"/>
      <c r="I2626" s="25"/>
      <c r="J2626" s="55"/>
      <c r="K2626" s="25" t="str">
        <f ca="1">IFERROR(__xludf.DUMMYFUNCTION("""COMPUTED_VALUE"""),"Definir fecha")</f>
        <v>Definir fecha</v>
      </c>
      <c r="L2626" s="62"/>
      <c r="M2626" s="25"/>
      <c r="N2626" s="25"/>
      <c r="O2626" s="25">
        <f t="shared" si="0"/>
        <v>0</v>
      </c>
      <c r="P2626" s="25" t="str">
        <f t="shared" si="2"/>
        <v/>
      </c>
      <c r="Q2626" s="25" t="str">
        <f ca="1">IFERROR(__xludf.DUMMYFUNCTION("""COMPUTED_VALUE"""),"Sin defenir")</f>
        <v>Sin defenir</v>
      </c>
      <c r="R2626" s="25"/>
      <c r="S2626" s="55"/>
      <c r="T2626" s="56"/>
      <c r="U2626" s="25"/>
      <c r="V2626" s="25"/>
      <c r="W2626" s="25"/>
      <c r="X2626" s="25"/>
      <c r="Y2626" s="25"/>
      <c r="Z2626" s="25"/>
    </row>
    <row r="2627" spans="1:26" ht="52.5" customHeight="1" x14ac:dyDescent="0.25">
      <c r="A2627" s="25" t="str">
        <f ca="1">IFERROR(__xludf.DUMMYFUNCTION("""COMPUTED_VALUE"""),"Cultu225")</f>
        <v>Cultu225</v>
      </c>
      <c r="B2627" s="25"/>
      <c r="C2627" s="55"/>
      <c r="D2627" s="25" t="str">
        <f ca="1">IFERROR(__xludf.DUMMYFUNCTION("""COMPUTED_VALUE"""),"Cultura")</f>
        <v>Cultura</v>
      </c>
      <c r="E2627" s="25"/>
      <c r="F2627" s="25"/>
      <c r="G2627" s="25"/>
      <c r="H2627" s="25"/>
      <c r="I2627" s="25"/>
      <c r="J2627" s="55"/>
      <c r="K2627" s="25" t="str">
        <f ca="1">IFERROR(__xludf.DUMMYFUNCTION("""COMPUTED_VALUE"""),"Definir fecha")</f>
        <v>Definir fecha</v>
      </c>
      <c r="L2627" s="62"/>
      <c r="M2627" s="25"/>
      <c r="N2627" s="25"/>
      <c r="O2627" s="25">
        <f t="shared" si="0"/>
        <v>0</v>
      </c>
      <c r="P2627" s="25" t="str">
        <f t="shared" si="2"/>
        <v/>
      </c>
      <c r="Q2627" s="25" t="str">
        <f ca="1">IFERROR(__xludf.DUMMYFUNCTION("""COMPUTED_VALUE"""),"Sin defenir")</f>
        <v>Sin defenir</v>
      </c>
      <c r="R2627" s="25"/>
      <c r="S2627" s="55"/>
      <c r="T2627" s="56"/>
      <c r="U2627" s="25"/>
      <c r="V2627" s="25"/>
      <c r="W2627" s="25"/>
      <c r="X2627" s="25"/>
      <c r="Y2627" s="25"/>
      <c r="Z2627" s="25"/>
    </row>
    <row r="2628" spans="1:26" ht="52.5" customHeight="1" x14ac:dyDescent="0.25">
      <c r="A2628" s="25" t="str">
        <f ca="1">IFERROR(__xludf.DUMMYFUNCTION("""COMPUTED_VALUE"""),"Cultu226")</f>
        <v>Cultu226</v>
      </c>
      <c r="B2628" s="25"/>
      <c r="C2628" s="55"/>
      <c r="D2628" s="25" t="str">
        <f ca="1">IFERROR(__xludf.DUMMYFUNCTION("""COMPUTED_VALUE"""),"Cultura")</f>
        <v>Cultura</v>
      </c>
      <c r="E2628" s="25"/>
      <c r="F2628" s="25"/>
      <c r="G2628" s="25"/>
      <c r="H2628" s="25"/>
      <c r="I2628" s="25"/>
      <c r="J2628" s="55"/>
      <c r="K2628" s="25" t="str">
        <f ca="1">IFERROR(__xludf.DUMMYFUNCTION("""COMPUTED_VALUE"""),"Definir fecha")</f>
        <v>Definir fecha</v>
      </c>
      <c r="L2628" s="62"/>
      <c r="M2628" s="25"/>
      <c r="N2628" s="25"/>
      <c r="O2628" s="25">
        <f t="shared" si="0"/>
        <v>0</v>
      </c>
      <c r="P2628" s="25" t="str">
        <f t="shared" si="2"/>
        <v/>
      </c>
      <c r="Q2628" s="25" t="str">
        <f ca="1">IFERROR(__xludf.DUMMYFUNCTION("""COMPUTED_VALUE"""),"Sin defenir")</f>
        <v>Sin defenir</v>
      </c>
      <c r="R2628" s="25"/>
      <c r="S2628" s="55"/>
      <c r="T2628" s="56"/>
      <c r="U2628" s="25"/>
      <c r="V2628" s="25"/>
      <c r="W2628" s="25"/>
      <c r="X2628" s="25"/>
      <c r="Y2628" s="25"/>
      <c r="Z2628" s="25"/>
    </row>
    <row r="2629" spans="1:26" ht="52.5" customHeight="1" x14ac:dyDescent="0.25">
      <c r="A2629" s="25" t="str">
        <f ca="1">IFERROR(__xludf.DUMMYFUNCTION("""COMPUTED_VALUE"""),"Cultu227")</f>
        <v>Cultu227</v>
      </c>
      <c r="B2629" s="25"/>
      <c r="C2629" s="55"/>
      <c r="D2629" s="25" t="str">
        <f ca="1">IFERROR(__xludf.DUMMYFUNCTION("""COMPUTED_VALUE"""),"Cultura")</f>
        <v>Cultura</v>
      </c>
      <c r="E2629" s="25"/>
      <c r="F2629" s="25"/>
      <c r="G2629" s="25"/>
      <c r="H2629" s="25"/>
      <c r="I2629" s="25"/>
      <c r="J2629" s="55"/>
      <c r="K2629" s="25" t="str">
        <f ca="1">IFERROR(__xludf.DUMMYFUNCTION("""COMPUTED_VALUE"""),"Definir fecha")</f>
        <v>Definir fecha</v>
      </c>
      <c r="L2629" s="62"/>
      <c r="M2629" s="25"/>
      <c r="N2629" s="25"/>
      <c r="O2629" s="25">
        <f t="shared" si="0"/>
        <v>0</v>
      </c>
      <c r="P2629" s="25" t="str">
        <f t="shared" si="2"/>
        <v/>
      </c>
      <c r="Q2629" s="25" t="str">
        <f ca="1">IFERROR(__xludf.DUMMYFUNCTION("""COMPUTED_VALUE"""),"Sin defenir")</f>
        <v>Sin defenir</v>
      </c>
      <c r="R2629" s="25"/>
      <c r="S2629" s="55"/>
      <c r="T2629" s="56"/>
      <c r="U2629" s="25"/>
      <c r="V2629" s="25"/>
      <c r="W2629" s="25"/>
      <c r="X2629" s="25"/>
      <c r="Y2629" s="25"/>
      <c r="Z2629" s="25"/>
    </row>
    <row r="2630" spans="1:26" ht="52.5" customHeight="1" x14ac:dyDescent="0.25">
      <c r="A2630" s="25" t="str">
        <f ca="1">IFERROR(__xludf.DUMMYFUNCTION("""COMPUTED_VALUE"""),"Cultu228")</f>
        <v>Cultu228</v>
      </c>
      <c r="B2630" s="25"/>
      <c r="C2630" s="55"/>
      <c r="D2630" s="25" t="str">
        <f ca="1">IFERROR(__xludf.DUMMYFUNCTION("""COMPUTED_VALUE"""),"Cultura")</f>
        <v>Cultura</v>
      </c>
      <c r="E2630" s="25"/>
      <c r="F2630" s="25"/>
      <c r="G2630" s="25"/>
      <c r="H2630" s="25"/>
      <c r="I2630" s="25"/>
      <c r="J2630" s="55"/>
      <c r="K2630" s="25" t="str">
        <f ca="1">IFERROR(__xludf.DUMMYFUNCTION("""COMPUTED_VALUE"""),"Definir fecha")</f>
        <v>Definir fecha</v>
      </c>
      <c r="L2630" s="62"/>
      <c r="M2630" s="25"/>
      <c r="N2630" s="25"/>
      <c r="O2630" s="25">
        <f t="shared" si="0"/>
        <v>0</v>
      </c>
      <c r="P2630" s="25" t="str">
        <f t="shared" si="2"/>
        <v/>
      </c>
      <c r="Q2630" s="25" t="str">
        <f ca="1">IFERROR(__xludf.DUMMYFUNCTION("""COMPUTED_VALUE"""),"Sin defenir")</f>
        <v>Sin defenir</v>
      </c>
      <c r="R2630" s="25"/>
      <c r="S2630" s="55"/>
      <c r="T2630" s="56"/>
      <c r="U2630" s="25"/>
      <c r="V2630" s="25"/>
      <c r="W2630" s="25"/>
      <c r="X2630" s="25"/>
      <c r="Y2630" s="25"/>
      <c r="Z2630" s="25"/>
    </row>
    <row r="2631" spans="1:26" ht="52.5" customHeight="1" x14ac:dyDescent="0.25">
      <c r="A2631" s="25" t="str">
        <f ca="1">IFERROR(__xludf.DUMMYFUNCTION("""COMPUTED_VALUE"""),"Cultu229")</f>
        <v>Cultu229</v>
      </c>
      <c r="B2631" s="25"/>
      <c r="C2631" s="55"/>
      <c r="D2631" s="25" t="str">
        <f ca="1">IFERROR(__xludf.DUMMYFUNCTION("""COMPUTED_VALUE"""),"Cultura")</f>
        <v>Cultura</v>
      </c>
      <c r="E2631" s="25"/>
      <c r="F2631" s="25"/>
      <c r="G2631" s="25"/>
      <c r="H2631" s="25"/>
      <c r="I2631" s="25"/>
      <c r="J2631" s="55"/>
      <c r="K2631" s="25" t="str">
        <f ca="1">IFERROR(__xludf.DUMMYFUNCTION("""COMPUTED_VALUE"""),"Definir fecha")</f>
        <v>Definir fecha</v>
      </c>
      <c r="L2631" s="62"/>
      <c r="M2631" s="25"/>
      <c r="N2631" s="25"/>
      <c r="O2631" s="25">
        <f t="shared" si="0"/>
        <v>0</v>
      </c>
      <c r="P2631" s="25" t="str">
        <f t="shared" si="2"/>
        <v/>
      </c>
      <c r="Q2631" s="25" t="str">
        <f ca="1">IFERROR(__xludf.DUMMYFUNCTION("""COMPUTED_VALUE"""),"Sin defenir")</f>
        <v>Sin defenir</v>
      </c>
      <c r="R2631" s="25"/>
      <c r="S2631" s="55"/>
      <c r="T2631" s="56"/>
      <c r="U2631" s="25"/>
      <c r="V2631" s="25"/>
      <c r="W2631" s="25"/>
      <c r="X2631" s="25"/>
      <c r="Y2631" s="25"/>
      <c r="Z2631" s="25"/>
    </row>
    <row r="2632" spans="1:26" ht="52.5" customHeight="1" x14ac:dyDescent="0.25">
      <c r="A2632" s="25" t="str">
        <f ca="1">IFERROR(__xludf.DUMMYFUNCTION("""COMPUTED_VALUE"""),"Cultu230")</f>
        <v>Cultu230</v>
      </c>
      <c r="B2632" s="25"/>
      <c r="C2632" s="55"/>
      <c r="D2632" s="25" t="str">
        <f ca="1">IFERROR(__xludf.DUMMYFUNCTION("""COMPUTED_VALUE"""),"Cultura")</f>
        <v>Cultura</v>
      </c>
      <c r="E2632" s="25"/>
      <c r="F2632" s="25"/>
      <c r="G2632" s="25"/>
      <c r="H2632" s="25"/>
      <c r="I2632" s="25"/>
      <c r="J2632" s="55"/>
      <c r="K2632" s="25" t="str">
        <f ca="1">IFERROR(__xludf.DUMMYFUNCTION("""COMPUTED_VALUE"""),"Definir fecha")</f>
        <v>Definir fecha</v>
      </c>
      <c r="L2632" s="62"/>
      <c r="M2632" s="25"/>
      <c r="N2632" s="25"/>
      <c r="O2632" s="25">
        <f t="shared" si="0"/>
        <v>0</v>
      </c>
      <c r="P2632" s="25" t="str">
        <f t="shared" si="2"/>
        <v/>
      </c>
      <c r="Q2632" s="25" t="str">
        <f ca="1">IFERROR(__xludf.DUMMYFUNCTION("""COMPUTED_VALUE"""),"Sin defenir")</f>
        <v>Sin defenir</v>
      </c>
      <c r="R2632" s="25"/>
      <c r="S2632" s="55"/>
      <c r="T2632" s="56"/>
      <c r="U2632" s="25"/>
      <c r="V2632" s="25"/>
      <c r="W2632" s="25"/>
      <c r="X2632" s="25"/>
      <c r="Y2632" s="25"/>
      <c r="Z2632" s="25"/>
    </row>
    <row r="2633" spans="1:26" ht="52.5" customHeight="1" x14ac:dyDescent="0.25">
      <c r="A2633" s="25" t="str">
        <f ca="1">IFERROR(__xludf.DUMMYFUNCTION("""COMPUTED_VALUE"""),"Cultu231")</f>
        <v>Cultu231</v>
      </c>
      <c r="B2633" s="25"/>
      <c r="C2633" s="55"/>
      <c r="D2633" s="25" t="str">
        <f ca="1">IFERROR(__xludf.DUMMYFUNCTION("""COMPUTED_VALUE"""),"Cultura")</f>
        <v>Cultura</v>
      </c>
      <c r="E2633" s="25"/>
      <c r="F2633" s="25"/>
      <c r="G2633" s="25"/>
      <c r="H2633" s="25"/>
      <c r="I2633" s="25"/>
      <c r="J2633" s="55"/>
      <c r="K2633" s="25" t="str">
        <f ca="1">IFERROR(__xludf.DUMMYFUNCTION("""COMPUTED_VALUE"""),"Definir fecha")</f>
        <v>Definir fecha</v>
      </c>
      <c r="L2633" s="62"/>
      <c r="M2633" s="25"/>
      <c r="N2633" s="25"/>
      <c r="O2633" s="25">
        <f t="shared" si="0"/>
        <v>0</v>
      </c>
      <c r="P2633" s="25" t="str">
        <f t="shared" si="2"/>
        <v/>
      </c>
      <c r="Q2633" s="25" t="str">
        <f ca="1">IFERROR(__xludf.DUMMYFUNCTION("""COMPUTED_VALUE"""),"Sin defenir")</f>
        <v>Sin defenir</v>
      </c>
      <c r="R2633" s="25"/>
      <c r="S2633" s="55"/>
      <c r="T2633" s="56"/>
      <c r="U2633" s="25"/>
      <c r="V2633" s="25"/>
      <c r="W2633" s="25"/>
      <c r="X2633" s="25"/>
      <c r="Y2633" s="25"/>
      <c r="Z2633" s="25"/>
    </row>
    <row r="2634" spans="1:26" ht="52.5" customHeight="1" x14ac:dyDescent="0.25">
      <c r="A2634" s="25" t="str">
        <f ca="1">IFERROR(__xludf.DUMMYFUNCTION("""COMPUTED_VALUE"""),"Cultu232")</f>
        <v>Cultu232</v>
      </c>
      <c r="B2634" s="25"/>
      <c r="C2634" s="55"/>
      <c r="D2634" s="25" t="str">
        <f ca="1">IFERROR(__xludf.DUMMYFUNCTION("""COMPUTED_VALUE"""),"Cultura")</f>
        <v>Cultura</v>
      </c>
      <c r="E2634" s="25"/>
      <c r="F2634" s="25"/>
      <c r="G2634" s="25"/>
      <c r="H2634" s="25"/>
      <c r="I2634" s="25"/>
      <c r="J2634" s="55"/>
      <c r="K2634" s="25" t="str">
        <f ca="1">IFERROR(__xludf.DUMMYFUNCTION("""COMPUTED_VALUE"""),"Definir fecha")</f>
        <v>Definir fecha</v>
      </c>
      <c r="L2634" s="62"/>
      <c r="M2634" s="25"/>
      <c r="N2634" s="25"/>
      <c r="O2634" s="25">
        <f t="shared" si="0"/>
        <v>0</v>
      </c>
      <c r="P2634" s="25" t="str">
        <f t="shared" si="2"/>
        <v/>
      </c>
      <c r="Q2634" s="25" t="str">
        <f ca="1">IFERROR(__xludf.DUMMYFUNCTION("""COMPUTED_VALUE"""),"Sin defenir")</f>
        <v>Sin defenir</v>
      </c>
      <c r="R2634" s="25"/>
      <c r="S2634" s="55"/>
      <c r="T2634" s="56"/>
      <c r="U2634" s="25"/>
      <c r="V2634" s="25"/>
      <c r="W2634" s="25"/>
      <c r="X2634" s="25"/>
      <c r="Y2634" s="25"/>
      <c r="Z2634" s="25"/>
    </row>
    <row r="2635" spans="1:26" ht="52.5" customHeight="1" x14ac:dyDescent="0.25">
      <c r="A2635" s="25" t="str">
        <f ca="1">IFERROR(__xludf.DUMMYFUNCTION("""COMPUTED_VALUE"""),"Cultu233")</f>
        <v>Cultu233</v>
      </c>
      <c r="B2635" s="25"/>
      <c r="C2635" s="55"/>
      <c r="D2635" s="25" t="str">
        <f ca="1">IFERROR(__xludf.DUMMYFUNCTION("""COMPUTED_VALUE"""),"Cultura")</f>
        <v>Cultura</v>
      </c>
      <c r="E2635" s="25"/>
      <c r="F2635" s="25"/>
      <c r="G2635" s="25"/>
      <c r="H2635" s="25"/>
      <c r="I2635" s="25"/>
      <c r="J2635" s="55"/>
      <c r="K2635" s="25" t="str">
        <f ca="1">IFERROR(__xludf.DUMMYFUNCTION("""COMPUTED_VALUE"""),"Definir fecha")</f>
        <v>Definir fecha</v>
      </c>
      <c r="L2635" s="62"/>
      <c r="M2635" s="25"/>
      <c r="N2635" s="25"/>
      <c r="O2635" s="25">
        <f t="shared" si="0"/>
        <v>0</v>
      </c>
      <c r="P2635" s="25" t="str">
        <f t="shared" si="2"/>
        <v/>
      </c>
      <c r="Q2635" s="25" t="str">
        <f ca="1">IFERROR(__xludf.DUMMYFUNCTION("""COMPUTED_VALUE"""),"Sin defenir")</f>
        <v>Sin defenir</v>
      </c>
      <c r="R2635" s="25"/>
      <c r="S2635" s="55"/>
      <c r="T2635" s="56"/>
      <c r="U2635" s="25"/>
      <c r="V2635" s="25"/>
      <c r="W2635" s="25"/>
      <c r="X2635" s="25"/>
      <c r="Y2635" s="25"/>
      <c r="Z2635" s="25"/>
    </row>
    <row r="2636" spans="1:26" ht="52.5" customHeight="1" x14ac:dyDescent="0.25">
      <c r="A2636" s="25" t="str">
        <f ca="1">IFERROR(__xludf.DUMMYFUNCTION("""COMPUTED_VALUE"""),"Cultu234")</f>
        <v>Cultu234</v>
      </c>
      <c r="B2636" s="25"/>
      <c r="C2636" s="55"/>
      <c r="D2636" s="25" t="str">
        <f ca="1">IFERROR(__xludf.DUMMYFUNCTION("""COMPUTED_VALUE"""),"Cultura")</f>
        <v>Cultura</v>
      </c>
      <c r="E2636" s="25"/>
      <c r="F2636" s="25"/>
      <c r="G2636" s="25"/>
      <c r="H2636" s="25"/>
      <c r="I2636" s="25"/>
      <c r="J2636" s="55"/>
      <c r="K2636" s="25" t="str">
        <f ca="1">IFERROR(__xludf.DUMMYFUNCTION("""COMPUTED_VALUE"""),"Definir fecha")</f>
        <v>Definir fecha</v>
      </c>
      <c r="L2636" s="62"/>
      <c r="M2636" s="25"/>
      <c r="N2636" s="25"/>
      <c r="O2636" s="25">
        <f t="shared" si="0"/>
        <v>0</v>
      </c>
      <c r="P2636" s="25" t="str">
        <f t="shared" si="2"/>
        <v/>
      </c>
      <c r="Q2636" s="25" t="str">
        <f ca="1">IFERROR(__xludf.DUMMYFUNCTION("""COMPUTED_VALUE"""),"Sin defenir")</f>
        <v>Sin defenir</v>
      </c>
      <c r="R2636" s="25"/>
      <c r="S2636" s="55"/>
      <c r="T2636" s="56"/>
      <c r="U2636" s="25"/>
      <c r="V2636" s="25"/>
      <c r="W2636" s="25"/>
      <c r="X2636" s="25"/>
      <c r="Y2636" s="25"/>
      <c r="Z2636" s="25"/>
    </row>
    <row r="2637" spans="1:26" ht="52.5" customHeight="1" x14ac:dyDescent="0.25">
      <c r="A2637" s="25" t="str">
        <f ca="1">IFERROR(__xludf.DUMMYFUNCTION("""COMPUTED_VALUE"""),"Cultu235")</f>
        <v>Cultu235</v>
      </c>
      <c r="B2637" s="25"/>
      <c r="C2637" s="55"/>
      <c r="D2637" s="25" t="str">
        <f ca="1">IFERROR(__xludf.DUMMYFUNCTION("""COMPUTED_VALUE"""),"Cultura")</f>
        <v>Cultura</v>
      </c>
      <c r="E2637" s="25"/>
      <c r="F2637" s="25"/>
      <c r="G2637" s="25"/>
      <c r="H2637" s="25"/>
      <c r="I2637" s="25"/>
      <c r="J2637" s="55"/>
      <c r="K2637" s="25" t="str">
        <f ca="1">IFERROR(__xludf.DUMMYFUNCTION("""COMPUTED_VALUE"""),"Definir fecha")</f>
        <v>Definir fecha</v>
      </c>
      <c r="L2637" s="62"/>
      <c r="M2637" s="25"/>
      <c r="N2637" s="25"/>
      <c r="O2637" s="25">
        <f t="shared" si="0"/>
        <v>0</v>
      </c>
      <c r="P2637" s="25" t="str">
        <f t="shared" si="2"/>
        <v/>
      </c>
      <c r="Q2637" s="25" t="str">
        <f ca="1">IFERROR(__xludf.DUMMYFUNCTION("""COMPUTED_VALUE"""),"Sin defenir")</f>
        <v>Sin defenir</v>
      </c>
      <c r="R2637" s="25"/>
      <c r="S2637" s="55"/>
      <c r="T2637" s="56"/>
      <c r="U2637" s="25"/>
      <c r="V2637" s="25"/>
      <c r="W2637" s="25"/>
      <c r="X2637" s="25"/>
      <c r="Y2637" s="25"/>
      <c r="Z2637" s="25"/>
    </row>
    <row r="2638" spans="1:26" ht="52.5" customHeight="1" x14ac:dyDescent="0.25">
      <c r="A2638" s="25" t="str">
        <f ca="1">IFERROR(__xludf.DUMMYFUNCTION("""COMPUTED_VALUE"""),"Cultu236")</f>
        <v>Cultu236</v>
      </c>
      <c r="B2638" s="25"/>
      <c r="C2638" s="55"/>
      <c r="D2638" s="25" t="str">
        <f ca="1">IFERROR(__xludf.DUMMYFUNCTION("""COMPUTED_VALUE"""),"Cultura")</f>
        <v>Cultura</v>
      </c>
      <c r="E2638" s="25"/>
      <c r="F2638" s="25"/>
      <c r="G2638" s="25"/>
      <c r="H2638" s="25"/>
      <c r="I2638" s="25"/>
      <c r="J2638" s="55"/>
      <c r="K2638" s="25" t="str">
        <f ca="1">IFERROR(__xludf.DUMMYFUNCTION("""COMPUTED_VALUE"""),"Definir fecha")</f>
        <v>Definir fecha</v>
      </c>
      <c r="L2638" s="62"/>
      <c r="M2638" s="25"/>
      <c r="N2638" s="25"/>
      <c r="O2638" s="25">
        <f t="shared" si="0"/>
        <v>0</v>
      </c>
      <c r="P2638" s="25" t="str">
        <f t="shared" si="2"/>
        <v/>
      </c>
      <c r="Q2638" s="25" t="str">
        <f ca="1">IFERROR(__xludf.DUMMYFUNCTION("""COMPUTED_VALUE"""),"Sin defenir")</f>
        <v>Sin defenir</v>
      </c>
      <c r="R2638" s="25"/>
      <c r="S2638" s="55"/>
      <c r="T2638" s="56"/>
      <c r="U2638" s="25"/>
      <c r="V2638" s="25"/>
      <c r="W2638" s="25"/>
      <c r="X2638" s="25"/>
      <c r="Y2638" s="25"/>
      <c r="Z2638" s="25"/>
    </row>
    <row r="2639" spans="1:26" ht="52.5" customHeight="1" x14ac:dyDescent="0.25">
      <c r="A2639" s="25" t="str">
        <f ca="1">IFERROR(__xludf.DUMMYFUNCTION("""COMPUTED_VALUE"""),"Cultu237")</f>
        <v>Cultu237</v>
      </c>
      <c r="B2639" s="25"/>
      <c r="C2639" s="55"/>
      <c r="D2639" s="25" t="str">
        <f ca="1">IFERROR(__xludf.DUMMYFUNCTION("""COMPUTED_VALUE"""),"Cultura")</f>
        <v>Cultura</v>
      </c>
      <c r="E2639" s="25"/>
      <c r="F2639" s="25"/>
      <c r="G2639" s="25"/>
      <c r="H2639" s="25"/>
      <c r="I2639" s="25"/>
      <c r="J2639" s="55"/>
      <c r="K2639" s="25" t="str">
        <f ca="1">IFERROR(__xludf.DUMMYFUNCTION("""COMPUTED_VALUE"""),"Definir fecha")</f>
        <v>Definir fecha</v>
      </c>
      <c r="L2639" s="62"/>
      <c r="M2639" s="25"/>
      <c r="N2639" s="25"/>
      <c r="O2639" s="25">
        <f t="shared" si="0"/>
        <v>0</v>
      </c>
      <c r="P2639" s="25" t="str">
        <f t="shared" si="2"/>
        <v/>
      </c>
      <c r="Q2639" s="25" t="str">
        <f ca="1">IFERROR(__xludf.DUMMYFUNCTION("""COMPUTED_VALUE"""),"Sin defenir")</f>
        <v>Sin defenir</v>
      </c>
      <c r="R2639" s="25"/>
      <c r="S2639" s="55"/>
      <c r="T2639" s="56"/>
      <c r="U2639" s="25"/>
      <c r="V2639" s="25"/>
      <c r="W2639" s="25"/>
      <c r="X2639" s="25"/>
      <c r="Y2639" s="25"/>
      <c r="Z2639" s="25"/>
    </row>
    <row r="2640" spans="1:26" ht="52.5" customHeight="1" x14ac:dyDescent="0.25">
      <c r="A2640" s="25" t="str">
        <f ca="1">IFERROR(__xludf.DUMMYFUNCTION("""COMPUTED_VALUE"""),"Cultu238")</f>
        <v>Cultu238</v>
      </c>
      <c r="B2640" s="25"/>
      <c r="C2640" s="55"/>
      <c r="D2640" s="25" t="str">
        <f ca="1">IFERROR(__xludf.DUMMYFUNCTION("""COMPUTED_VALUE"""),"Cultura")</f>
        <v>Cultura</v>
      </c>
      <c r="E2640" s="25"/>
      <c r="F2640" s="25"/>
      <c r="G2640" s="25"/>
      <c r="H2640" s="25"/>
      <c r="I2640" s="25"/>
      <c r="J2640" s="55"/>
      <c r="K2640" s="25" t="str">
        <f ca="1">IFERROR(__xludf.DUMMYFUNCTION("""COMPUTED_VALUE"""),"Definir fecha")</f>
        <v>Definir fecha</v>
      </c>
      <c r="L2640" s="62"/>
      <c r="M2640" s="25"/>
      <c r="N2640" s="25"/>
      <c r="O2640" s="25">
        <f t="shared" si="0"/>
        <v>0</v>
      </c>
      <c r="P2640" s="25" t="str">
        <f t="shared" si="2"/>
        <v/>
      </c>
      <c r="Q2640" s="25" t="str">
        <f ca="1">IFERROR(__xludf.DUMMYFUNCTION("""COMPUTED_VALUE"""),"Sin defenir")</f>
        <v>Sin defenir</v>
      </c>
      <c r="R2640" s="25"/>
      <c r="S2640" s="55"/>
      <c r="T2640" s="56"/>
      <c r="U2640" s="25"/>
      <c r="V2640" s="25"/>
      <c r="W2640" s="25"/>
      <c r="X2640" s="25"/>
      <c r="Y2640" s="25"/>
      <c r="Z2640" s="25"/>
    </row>
    <row r="2641" spans="1:26" ht="52.5" customHeight="1" x14ac:dyDescent="0.25">
      <c r="A2641" s="25" t="str">
        <f ca="1">IFERROR(__xludf.DUMMYFUNCTION("""COMPUTED_VALUE"""),"Cultu239")</f>
        <v>Cultu239</v>
      </c>
      <c r="B2641" s="25"/>
      <c r="C2641" s="55"/>
      <c r="D2641" s="25" t="str">
        <f ca="1">IFERROR(__xludf.DUMMYFUNCTION("""COMPUTED_VALUE"""),"Cultura")</f>
        <v>Cultura</v>
      </c>
      <c r="E2641" s="25"/>
      <c r="F2641" s="25"/>
      <c r="G2641" s="25"/>
      <c r="H2641" s="25"/>
      <c r="I2641" s="25"/>
      <c r="J2641" s="55"/>
      <c r="K2641" s="25" t="str">
        <f ca="1">IFERROR(__xludf.DUMMYFUNCTION("""COMPUTED_VALUE"""),"Definir fecha")</f>
        <v>Definir fecha</v>
      </c>
      <c r="L2641" s="62"/>
      <c r="M2641" s="25"/>
      <c r="N2641" s="25"/>
      <c r="O2641" s="25">
        <f t="shared" si="0"/>
        <v>0</v>
      </c>
      <c r="P2641" s="25" t="str">
        <f t="shared" si="2"/>
        <v/>
      </c>
      <c r="Q2641" s="25" t="str">
        <f ca="1">IFERROR(__xludf.DUMMYFUNCTION("""COMPUTED_VALUE"""),"Sin defenir")</f>
        <v>Sin defenir</v>
      </c>
      <c r="R2641" s="25"/>
      <c r="S2641" s="55"/>
      <c r="T2641" s="56"/>
      <c r="U2641" s="25"/>
      <c r="V2641" s="25"/>
      <c r="W2641" s="25"/>
      <c r="X2641" s="25"/>
      <c r="Y2641" s="25"/>
      <c r="Z2641" s="25"/>
    </row>
    <row r="2642" spans="1:26" ht="52.5" customHeight="1" x14ac:dyDescent="0.25">
      <c r="A2642" s="25" t="str">
        <f ca="1">IFERROR(__xludf.DUMMYFUNCTION("""COMPUTED_VALUE"""),"Cultu240")</f>
        <v>Cultu240</v>
      </c>
      <c r="B2642" s="25"/>
      <c r="C2642" s="55"/>
      <c r="D2642" s="25" t="str">
        <f ca="1">IFERROR(__xludf.DUMMYFUNCTION("""COMPUTED_VALUE"""),"Cultura")</f>
        <v>Cultura</v>
      </c>
      <c r="E2642" s="25"/>
      <c r="F2642" s="25"/>
      <c r="G2642" s="25"/>
      <c r="H2642" s="25"/>
      <c r="I2642" s="25"/>
      <c r="J2642" s="55"/>
      <c r="K2642" s="25" t="str">
        <f ca="1">IFERROR(__xludf.DUMMYFUNCTION("""COMPUTED_VALUE"""),"Definir fecha")</f>
        <v>Definir fecha</v>
      </c>
      <c r="L2642" s="62"/>
      <c r="M2642" s="25"/>
      <c r="N2642" s="25"/>
      <c r="O2642" s="25">
        <f t="shared" si="0"/>
        <v>0</v>
      </c>
      <c r="P2642" s="25" t="str">
        <f t="shared" si="2"/>
        <v/>
      </c>
      <c r="Q2642" s="25" t="str">
        <f ca="1">IFERROR(__xludf.DUMMYFUNCTION("""COMPUTED_VALUE"""),"Sin defenir")</f>
        <v>Sin defenir</v>
      </c>
      <c r="R2642" s="25"/>
      <c r="S2642" s="55"/>
      <c r="T2642" s="56"/>
      <c r="U2642" s="25"/>
      <c r="V2642" s="25"/>
      <c r="W2642" s="25"/>
      <c r="X2642" s="25"/>
      <c r="Y2642" s="25"/>
      <c r="Z2642" s="25"/>
    </row>
    <row r="2643" spans="1:26" ht="52.5" customHeight="1" x14ac:dyDescent="0.25">
      <c r="A2643" s="25" t="str">
        <f ca="1">IFERROR(__xludf.DUMMYFUNCTION("""COMPUTED_VALUE"""),"Cultu241")</f>
        <v>Cultu241</v>
      </c>
      <c r="B2643" s="25"/>
      <c r="C2643" s="55"/>
      <c r="D2643" s="25" t="str">
        <f ca="1">IFERROR(__xludf.DUMMYFUNCTION("""COMPUTED_VALUE"""),"Cultura")</f>
        <v>Cultura</v>
      </c>
      <c r="E2643" s="25"/>
      <c r="F2643" s="25"/>
      <c r="G2643" s="25"/>
      <c r="H2643" s="25"/>
      <c r="I2643" s="25"/>
      <c r="J2643" s="55"/>
      <c r="K2643" s="25" t="str">
        <f ca="1">IFERROR(__xludf.DUMMYFUNCTION("""COMPUTED_VALUE"""),"Definir fecha")</f>
        <v>Definir fecha</v>
      </c>
      <c r="L2643" s="62"/>
      <c r="M2643" s="25"/>
      <c r="N2643" s="25"/>
      <c r="O2643" s="25">
        <f t="shared" si="0"/>
        <v>0</v>
      </c>
      <c r="P2643" s="25" t="str">
        <f t="shared" si="2"/>
        <v/>
      </c>
      <c r="Q2643" s="25" t="str">
        <f ca="1">IFERROR(__xludf.DUMMYFUNCTION("""COMPUTED_VALUE"""),"Sin defenir")</f>
        <v>Sin defenir</v>
      </c>
      <c r="R2643" s="25"/>
      <c r="S2643" s="55"/>
      <c r="T2643" s="56"/>
      <c r="U2643" s="25"/>
      <c r="V2643" s="25"/>
      <c r="W2643" s="25"/>
      <c r="X2643" s="25"/>
      <c r="Y2643" s="25"/>
      <c r="Z2643" s="25"/>
    </row>
    <row r="2644" spans="1:26" ht="52.5" customHeight="1" x14ac:dyDescent="0.25">
      <c r="A2644" s="25" t="str">
        <f ca="1">IFERROR(__xludf.DUMMYFUNCTION("""COMPUTED_VALUE"""),"Cultu242")</f>
        <v>Cultu242</v>
      </c>
      <c r="B2644" s="25"/>
      <c r="C2644" s="55"/>
      <c r="D2644" s="25" t="str">
        <f ca="1">IFERROR(__xludf.DUMMYFUNCTION("""COMPUTED_VALUE"""),"Cultura")</f>
        <v>Cultura</v>
      </c>
      <c r="E2644" s="25"/>
      <c r="F2644" s="25"/>
      <c r="G2644" s="25"/>
      <c r="H2644" s="25"/>
      <c r="I2644" s="25"/>
      <c r="J2644" s="55"/>
      <c r="K2644" s="25" t="str">
        <f ca="1">IFERROR(__xludf.DUMMYFUNCTION("""COMPUTED_VALUE"""),"Definir fecha")</f>
        <v>Definir fecha</v>
      </c>
      <c r="L2644" s="62"/>
      <c r="M2644" s="25"/>
      <c r="N2644" s="25"/>
      <c r="O2644" s="25">
        <f t="shared" si="0"/>
        <v>0</v>
      </c>
      <c r="P2644" s="25" t="str">
        <f t="shared" si="2"/>
        <v/>
      </c>
      <c r="Q2644" s="25" t="str">
        <f ca="1">IFERROR(__xludf.DUMMYFUNCTION("""COMPUTED_VALUE"""),"Sin defenir")</f>
        <v>Sin defenir</v>
      </c>
      <c r="R2644" s="25"/>
      <c r="S2644" s="55"/>
      <c r="T2644" s="56"/>
      <c r="U2644" s="25"/>
      <c r="V2644" s="25"/>
      <c r="W2644" s="25"/>
      <c r="X2644" s="25"/>
      <c r="Y2644" s="25"/>
      <c r="Z2644" s="25"/>
    </row>
    <row r="2645" spans="1:26" ht="52.5" customHeight="1" x14ac:dyDescent="0.25">
      <c r="A2645" s="25" t="str">
        <f ca="1">IFERROR(__xludf.DUMMYFUNCTION("""COMPUTED_VALUE"""),"Cultu243")</f>
        <v>Cultu243</v>
      </c>
      <c r="B2645" s="25"/>
      <c r="C2645" s="55"/>
      <c r="D2645" s="25" t="str">
        <f ca="1">IFERROR(__xludf.DUMMYFUNCTION("""COMPUTED_VALUE"""),"Cultura")</f>
        <v>Cultura</v>
      </c>
      <c r="E2645" s="25"/>
      <c r="F2645" s="25"/>
      <c r="G2645" s="25"/>
      <c r="H2645" s="25"/>
      <c r="I2645" s="25"/>
      <c r="J2645" s="55"/>
      <c r="K2645" s="25" t="str">
        <f ca="1">IFERROR(__xludf.DUMMYFUNCTION("""COMPUTED_VALUE"""),"Definir fecha")</f>
        <v>Definir fecha</v>
      </c>
      <c r="L2645" s="62"/>
      <c r="M2645" s="25"/>
      <c r="N2645" s="25"/>
      <c r="O2645" s="25">
        <f t="shared" si="0"/>
        <v>0</v>
      </c>
      <c r="P2645" s="25" t="str">
        <f t="shared" si="2"/>
        <v/>
      </c>
      <c r="Q2645" s="25" t="str">
        <f ca="1">IFERROR(__xludf.DUMMYFUNCTION("""COMPUTED_VALUE"""),"Sin defenir")</f>
        <v>Sin defenir</v>
      </c>
      <c r="R2645" s="25"/>
      <c r="S2645" s="55"/>
      <c r="T2645" s="56"/>
      <c r="U2645" s="25"/>
      <c r="V2645" s="25"/>
      <c r="W2645" s="25"/>
      <c r="X2645" s="25"/>
      <c r="Y2645" s="25"/>
      <c r="Z2645" s="25"/>
    </row>
    <row r="2646" spans="1:26" ht="52.5" customHeight="1" x14ac:dyDescent="0.25">
      <c r="A2646" s="25" t="str">
        <f ca="1">IFERROR(__xludf.DUMMYFUNCTION("""COMPUTED_VALUE"""),"Cultu244")</f>
        <v>Cultu244</v>
      </c>
      <c r="B2646" s="25"/>
      <c r="C2646" s="55"/>
      <c r="D2646" s="25" t="str">
        <f ca="1">IFERROR(__xludf.DUMMYFUNCTION("""COMPUTED_VALUE"""),"Cultura")</f>
        <v>Cultura</v>
      </c>
      <c r="E2646" s="25"/>
      <c r="F2646" s="25"/>
      <c r="G2646" s="25"/>
      <c r="H2646" s="25"/>
      <c r="I2646" s="25"/>
      <c r="J2646" s="55"/>
      <c r="K2646" s="25" t="str">
        <f ca="1">IFERROR(__xludf.DUMMYFUNCTION("""COMPUTED_VALUE"""),"Definir fecha")</f>
        <v>Definir fecha</v>
      </c>
      <c r="L2646" s="62"/>
      <c r="M2646" s="25"/>
      <c r="N2646" s="25"/>
      <c r="O2646" s="25">
        <f t="shared" si="0"/>
        <v>0</v>
      </c>
      <c r="P2646" s="25" t="str">
        <f t="shared" si="2"/>
        <v/>
      </c>
      <c r="Q2646" s="25" t="str">
        <f ca="1">IFERROR(__xludf.DUMMYFUNCTION("""COMPUTED_VALUE"""),"Sin defenir")</f>
        <v>Sin defenir</v>
      </c>
      <c r="R2646" s="25"/>
      <c r="S2646" s="55"/>
      <c r="T2646" s="56"/>
      <c r="U2646" s="25"/>
      <c r="V2646" s="25"/>
      <c r="W2646" s="25"/>
      <c r="X2646" s="25"/>
      <c r="Y2646" s="25"/>
      <c r="Z2646" s="25"/>
    </row>
    <row r="2647" spans="1:26" ht="52.5" customHeight="1" x14ac:dyDescent="0.25">
      <c r="A2647" s="25" t="str">
        <f ca="1">IFERROR(__xludf.DUMMYFUNCTION("""COMPUTED_VALUE"""),"Cultu245")</f>
        <v>Cultu245</v>
      </c>
      <c r="B2647" s="25"/>
      <c r="C2647" s="55"/>
      <c r="D2647" s="25" t="str">
        <f ca="1">IFERROR(__xludf.DUMMYFUNCTION("""COMPUTED_VALUE"""),"Cultura")</f>
        <v>Cultura</v>
      </c>
      <c r="E2647" s="25"/>
      <c r="F2647" s="25"/>
      <c r="G2647" s="25"/>
      <c r="H2647" s="25"/>
      <c r="I2647" s="25"/>
      <c r="J2647" s="55"/>
      <c r="K2647" s="25" t="str">
        <f ca="1">IFERROR(__xludf.DUMMYFUNCTION("""COMPUTED_VALUE"""),"Definir fecha")</f>
        <v>Definir fecha</v>
      </c>
      <c r="L2647" s="62"/>
      <c r="M2647" s="25"/>
      <c r="N2647" s="25"/>
      <c r="O2647" s="25">
        <f t="shared" si="0"/>
        <v>0</v>
      </c>
      <c r="P2647" s="25" t="str">
        <f t="shared" si="2"/>
        <v/>
      </c>
      <c r="Q2647" s="25" t="str">
        <f ca="1">IFERROR(__xludf.DUMMYFUNCTION("""COMPUTED_VALUE"""),"Sin defenir")</f>
        <v>Sin defenir</v>
      </c>
      <c r="R2647" s="25"/>
      <c r="S2647" s="55"/>
      <c r="T2647" s="56"/>
      <c r="U2647" s="25"/>
      <c r="V2647" s="25"/>
      <c r="W2647" s="25"/>
      <c r="X2647" s="25"/>
      <c r="Y2647" s="25"/>
      <c r="Z2647" s="25"/>
    </row>
    <row r="2648" spans="1:26" ht="52.5" customHeight="1" x14ac:dyDescent="0.25">
      <c r="A2648" s="25" t="str">
        <f ca="1">IFERROR(__xludf.DUMMYFUNCTION("""COMPUTED_VALUE"""),"Cultu246")</f>
        <v>Cultu246</v>
      </c>
      <c r="B2648" s="25"/>
      <c r="C2648" s="55"/>
      <c r="D2648" s="25" t="str">
        <f ca="1">IFERROR(__xludf.DUMMYFUNCTION("""COMPUTED_VALUE"""),"Cultura")</f>
        <v>Cultura</v>
      </c>
      <c r="E2648" s="25"/>
      <c r="F2648" s="25"/>
      <c r="G2648" s="25"/>
      <c r="H2648" s="25"/>
      <c r="I2648" s="25"/>
      <c r="J2648" s="55"/>
      <c r="K2648" s="25" t="str">
        <f ca="1">IFERROR(__xludf.DUMMYFUNCTION("""COMPUTED_VALUE"""),"Definir fecha")</f>
        <v>Definir fecha</v>
      </c>
      <c r="L2648" s="62"/>
      <c r="M2648" s="25"/>
      <c r="N2648" s="25"/>
      <c r="O2648" s="25">
        <f t="shared" si="0"/>
        <v>0</v>
      </c>
      <c r="P2648" s="25" t="str">
        <f t="shared" si="2"/>
        <v/>
      </c>
      <c r="Q2648" s="25" t="str">
        <f ca="1">IFERROR(__xludf.DUMMYFUNCTION("""COMPUTED_VALUE"""),"Sin defenir")</f>
        <v>Sin defenir</v>
      </c>
      <c r="R2648" s="25"/>
      <c r="S2648" s="55"/>
      <c r="T2648" s="56"/>
      <c r="U2648" s="25"/>
      <c r="V2648" s="25"/>
      <c r="W2648" s="25"/>
      <c r="X2648" s="25"/>
      <c r="Y2648" s="25"/>
      <c r="Z2648" s="25"/>
    </row>
    <row r="2649" spans="1:26" ht="52.5" customHeight="1" x14ac:dyDescent="0.25">
      <c r="A2649" s="25" t="str">
        <f ca="1">IFERROR(__xludf.DUMMYFUNCTION("""COMPUTED_VALUE"""),"Cultu247")</f>
        <v>Cultu247</v>
      </c>
      <c r="B2649" s="25"/>
      <c r="C2649" s="55"/>
      <c r="D2649" s="25" t="str">
        <f ca="1">IFERROR(__xludf.DUMMYFUNCTION("""COMPUTED_VALUE"""),"Cultura")</f>
        <v>Cultura</v>
      </c>
      <c r="E2649" s="25"/>
      <c r="F2649" s="25"/>
      <c r="G2649" s="25"/>
      <c r="H2649" s="25"/>
      <c r="I2649" s="25"/>
      <c r="J2649" s="55"/>
      <c r="K2649" s="25" t="str">
        <f ca="1">IFERROR(__xludf.DUMMYFUNCTION("""COMPUTED_VALUE"""),"Definir fecha")</f>
        <v>Definir fecha</v>
      </c>
      <c r="L2649" s="62"/>
      <c r="M2649" s="25"/>
      <c r="N2649" s="25"/>
      <c r="O2649" s="25">
        <f t="shared" si="0"/>
        <v>0</v>
      </c>
      <c r="P2649" s="25" t="str">
        <f t="shared" si="2"/>
        <v/>
      </c>
      <c r="Q2649" s="25" t="str">
        <f ca="1">IFERROR(__xludf.DUMMYFUNCTION("""COMPUTED_VALUE"""),"Sin defenir")</f>
        <v>Sin defenir</v>
      </c>
      <c r="R2649" s="25"/>
      <c r="S2649" s="55"/>
      <c r="T2649" s="56"/>
      <c r="U2649" s="25"/>
      <c r="V2649" s="25"/>
      <c r="W2649" s="25"/>
      <c r="X2649" s="25"/>
      <c r="Y2649" s="25"/>
      <c r="Z2649" s="25"/>
    </row>
    <row r="2650" spans="1:26" ht="52.5" customHeight="1" x14ac:dyDescent="0.25">
      <c r="A2650" s="25" t="str">
        <f ca="1">IFERROR(__xludf.DUMMYFUNCTION("""COMPUTED_VALUE"""),"Cultu248")</f>
        <v>Cultu248</v>
      </c>
      <c r="B2650" s="25"/>
      <c r="C2650" s="55"/>
      <c r="D2650" s="25" t="str">
        <f ca="1">IFERROR(__xludf.DUMMYFUNCTION("""COMPUTED_VALUE"""),"Cultura")</f>
        <v>Cultura</v>
      </c>
      <c r="E2650" s="25"/>
      <c r="F2650" s="25"/>
      <c r="G2650" s="25"/>
      <c r="H2650" s="25"/>
      <c r="I2650" s="25"/>
      <c r="J2650" s="55"/>
      <c r="K2650" s="25" t="str">
        <f ca="1">IFERROR(__xludf.DUMMYFUNCTION("""COMPUTED_VALUE"""),"Definir fecha")</f>
        <v>Definir fecha</v>
      </c>
      <c r="L2650" s="62"/>
      <c r="M2650" s="25"/>
      <c r="N2650" s="25"/>
      <c r="O2650" s="25">
        <f t="shared" si="0"/>
        <v>0</v>
      </c>
      <c r="P2650" s="25" t="str">
        <f t="shared" si="2"/>
        <v/>
      </c>
      <c r="Q2650" s="25" t="str">
        <f ca="1">IFERROR(__xludf.DUMMYFUNCTION("""COMPUTED_VALUE"""),"Sin defenir")</f>
        <v>Sin defenir</v>
      </c>
      <c r="R2650" s="25"/>
      <c r="S2650" s="55"/>
      <c r="T2650" s="56"/>
      <c r="U2650" s="25"/>
      <c r="V2650" s="25"/>
      <c r="W2650" s="25"/>
      <c r="X2650" s="25"/>
      <c r="Y2650" s="25"/>
      <c r="Z2650" s="25"/>
    </row>
    <row r="2651" spans="1:26" ht="52.5" customHeight="1" x14ac:dyDescent="0.25">
      <c r="A2651" s="25" t="str">
        <f ca="1">IFERROR(__xludf.DUMMYFUNCTION("""COMPUTED_VALUE"""),"Cultu249")</f>
        <v>Cultu249</v>
      </c>
      <c r="B2651" s="25"/>
      <c r="C2651" s="55"/>
      <c r="D2651" s="25" t="str">
        <f ca="1">IFERROR(__xludf.DUMMYFUNCTION("""COMPUTED_VALUE"""),"Cultura")</f>
        <v>Cultura</v>
      </c>
      <c r="E2651" s="25"/>
      <c r="F2651" s="25"/>
      <c r="G2651" s="25"/>
      <c r="H2651" s="25"/>
      <c r="I2651" s="25"/>
      <c r="J2651" s="55"/>
      <c r="K2651" s="25" t="str">
        <f ca="1">IFERROR(__xludf.DUMMYFUNCTION("""COMPUTED_VALUE"""),"Definir fecha")</f>
        <v>Definir fecha</v>
      </c>
      <c r="L2651" s="62"/>
      <c r="M2651" s="25"/>
      <c r="N2651" s="25"/>
      <c r="O2651" s="25">
        <f t="shared" si="0"/>
        <v>0</v>
      </c>
      <c r="P2651" s="25" t="str">
        <f t="shared" si="2"/>
        <v/>
      </c>
      <c r="Q2651" s="25" t="str">
        <f ca="1">IFERROR(__xludf.DUMMYFUNCTION("""COMPUTED_VALUE"""),"Sin defenir")</f>
        <v>Sin defenir</v>
      </c>
      <c r="R2651" s="25"/>
      <c r="S2651" s="55"/>
      <c r="T2651" s="56"/>
      <c r="U2651" s="25"/>
      <c r="V2651" s="25"/>
      <c r="W2651" s="25"/>
      <c r="X2651" s="25"/>
      <c r="Y2651" s="25"/>
      <c r="Z2651" s="25"/>
    </row>
    <row r="2652" spans="1:26" ht="52.5" customHeight="1" x14ac:dyDescent="0.25">
      <c r="A2652" s="25" t="str">
        <f ca="1">IFERROR(__xludf.DUMMYFUNCTION("""COMPUTED_VALUE"""),"Cultu250")</f>
        <v>Cultu250</v>
      </c>
      <c r="B2652" s="25"/>
      <c r="C2652" s="55"/>
      <c r="D2652" s="25" t="str">
        <f ca="1">IFERROR(__xludf.DUMMYFUNCTION("""COMPUTED_VALUE"""),"Cultura")</f>
        <v>Cultura</v>
      </c>
      <c r="E2652" s="25"/>
      <c r="F2652" s="25"/>
      <c r="G2652" s="25"/>
      <c r="H2652" s="25"/>
      <c r="I2652" s="25"/>
      <c r="J2652" s="55"/>
      <c r="K2652" s="25" t="str">
        <f ca="1">IFERROR(__xludf.DUMMYFUNCTION("""COMPUTED_VALUE"""),"Definir fecha")</f>
        <v>Definir fecha</v>
      </c>
      <c r="L2652" s="62"/>
      <c r="M2652" s="25"/>
      <c r="N2652" s="25"/>
      <c r="O2652" s="25">
        <f t="shared" si="0"/>
        <v>0</v>
      </c>
      <c r="P2652" s="25" t="str">
        <f t="shared" si="2"/>
        <v/>
      </c>
      <c r="Q2652" s="25" t="str">
        <f ca="1">IFERROR(__xludf.DUMMYFUNCTION("""COMPUTED_VALUE"""),"Sin defenir")</f>
        <v>Sin defenir</v>
      </c>
      <c r="R2652" s="25"/>
      <c r="S2652" s="55"/>
      <c r="T2652" s="56"/>
      <c r="U2652" s="25"/>
      <c r="V2652" s="25"/>
      <c r="W2652" s="25"/>
      <c r="X2652" s="25"/>
      <c r="Y2652" s="25"/>
      <c r="Z2652" s="25"/>
    </row>
    <row r="2653" spans="1:26" ht="52.5" customHeight="1" x14ac:dyDescent="0.25">
      <c r="A2653" s="25" t="str">
        <f ca="1">IFERROR(__xludf.DUMMYFUNCTION("""COMPUTED_VALUE"""),"Cultu251")</f>
        <v>Cultu251</v>
      </c>
      <c r="B2653" s="25"/>
      <c r="C2653" s="55"/>
      <c r="D2653" s="25" t="str">
        <f ca="1">IFERROR(__xludf.DUMMYFUNCTION("""COMPUTED_VALUE"""),"Cultura")</f>
        <v>Cultura</v>
      </c>
      <c r="E2653" s="25"/>
      <c r="F2653" s="25"/>
      <c r="G2653" s="25"/>
      <c r="H2653" s="25"/>
      <c r="I2653" s="25"/>
      <c r="J2653" s="55"/>
      <c r="K2653" s="25" t="str">
        <f ca="1">IFERROR(__xludf.DUMMYFUNCTION("""COMPUTED_VALUE"""),"Definir fecha")</f>
        <v>Definir fecha</v>
      </c>
      <c r="L2653" s="62"/>
      <c r="M2653" s="25"/>
      <c r="N2653" s="25"/>
      <c r="O2653" s="25">
        <f t="shared" si="0"/>
        <v>0</v>
      </c>
      <c r="P2653" s="25" t="str">
        <f t="shared" si="2"/>
        <v/>
      </c>
      <c r="Q2653" s="25" t="str">
        <f ca="1">IFERROR(__xludf.DUMMYFUNCTION("""COMPUTED_VALUE"""),"Sin defenir")</f>
        <v>Sin defenir</v>
      </c>
      <c r="R2653" s="25"/>
      <c r="S2653" s="55"/>
      <c r="T2653" s="56"/>
      <c r="U2653" s="25"/>
      <c r="V2653" s="25"/>
      <c r="W2653" s="25"/>
      <c r="X2653" s="25"/>
      <c r="Y2653" s="25"/>
      <c r="Z2653" s="25"/>
    </row>
    <row r="2654" spans="1:26" ht="52.5" customHeight="1" x14ac:dyDescent="0.25">
      <c r="A2654" s="25" t="str">
        <f ca="1">IFERROR(__xludf.DUMMYFUNCTION("""COMPUTED_VALUE"""),"Cultu252")</f>
        <v>Cultu252</v>
      </c>
      <c r="B2654" s="25"/>
      <c r="C2654" s="55"/>
      <c r="D2654" s="25" t="str">
        <f ca="1">IFERROR(__xludf.DUMMYFUNCTION("""COMPUTED_VALUE"""),"Cultura")</f>
        <v>Cultura</v>
      </c>
      <c r="E2654" s="25"/>
      <c r="F2654" s="25"/>
      <c r="G2654" s="25"/>
      <c r="H2654" s="25"/>
      <c r="I2654" s="25"/>
      <c r="J2654" s="55"/>
      <c r="K2654" s="25" t="str">
        <f ca="1">IFERROR(__xludf.DUMMYFUNCTION("""COMPUTED_VALUE"""),"Definir fecha")</f>
        <v>Definir fecha</v>
      </c>
      <c r="L2654" s="62"/>
      <c r="M2654" s="25"/>
      <c r="N2654" s="25"/>
      <c r="O2654" s="25">
        <f t="shared" si="0"/>
        <v>0</v>
      </c>
      <c r="P2654" s="25" t="str">
        <f t="shared" si="2"/>
        <v/>
      </c>
      <c r="Q2654" s="25" t="str">
        <f ca="1">IFERROR(__xludf.DUMMYFUNCTION("""COMPUTED_VALUE"""),"Sin defenir")</f>
        <v>Sin defenir</v>
      </c>
      <c r="R2654" s="25"/>
      <c r="S2654" s="55"/>
      <c r="T2654" s="56"/>
      <c r="U2654" s="25"/>
      <c r="V2654" s="25"/>
      <c r="W2654" s="25"/>
      <c r="X2654" s="25"/>
      <c r="Y2654" s="25"/>
      <c r="Z2654" s="25"/>
    </row>
    <row r="2655" spans="1:26" ht="52.5" customHeight="1" x14ac:dyDescent="0.25">
      <c r="A2655" s="25" t="str">
        <f ca="1">IFERROR(__xludf.DUMMYFUNCTION("""COMPUTED_VALUE"""),"Cultu253")</f>
        <v>Cultu253</v>
      </c>
      <c r="B2655" s="25"/>
      <c r="C2655" s="55"/>
      <c r="D2655" s="25" t="str">
        <f ca="1">IFERROR(__xludf.DUMMYFUNCTION("""COMPUTED_VALUE"""),"Cultura")</f>
        <v>Cultura</v>
      </c>
      <c r="E2655" s="25"/>
      <c r="F2655" s="25"/>
      <c r="G2655" s="25"/>
      <c r="H2655" s="25"/>
      <c r="I2655" s="25"/>
      <c r="J2655" s="55"/>
      <c r="K2655" s="25" t="str">
        <f ca="1">IFERROR(__xludf.DUMMYFUNCTION("""COMPUTED_VALUE"""),"Definir fecha")</f>
        <v>Definir fecha</v>
      </c>
      <c r="L2655" s="62"/>
      <c r="M2655" s="25"/>
      <c r="N2655" s="25"/>
      <c r="O2655" s="25">
        <f t="shared" si="0"/>
        <v>0</v>
      </c>
      <c r="P2655" s="25" t="str">
        <f t="shared" si="2"/>
        <v/>
      </c>
      <c r="Q2655" s="25" t="str">
        <f ca="1">IFERROR(__xludf.DUMMYFUNCTION("""COMPUTED_VALUE"""),"Sin defenir")</f>
        <v>Sin defenir</v>
      </c>
      <c r="R2655" s="25"/>
      <c r="S2655" s="55"/>
      <c r="T2655" s="56"/>
      <c r="U2655" s="25"/>
      <c r="V2655" s="25"/>
      <c r="W2655" s="25"/>
      <c r="X2655" s="25"/>
      <c r="Y2655" s="25"/>
      <c r="Z2655" s="25"/>
    </row>
    <row r="2656" spans="1:26" ht="52.5" customHeight="1" x14ac:dyDescent="0.25">
      <c r="A2656" s="25" t="str">
        <f ca="1">IFERROR(__xludf.DUMMYFUNCTION("""COMPUTED_VALUE"""),"Cultu254")</f>
        <v>Cultu254</v>
      </c>
      <c r="B2656" s="25"/>
      <c r="C2656" s="55"/>
      <c r="D2656" s="25" t="str">
        <f ca="1">IFERROR(__xludf.DUMMYFUNCTION("""COMPUTED_VALUE"""),"Cultura")</f>
        <v>Cultura</v>
      </c>
      <c r="E2656" s="25"/>
      <c r="F2656" s="25"/>
      <c r="G2656" s="25"/>
      <c r="H2656" s="25"/>
      <c r="I2656" s="25"/>
      <c r="J2656" s="55"/>
      <c r="K2656" s="25" t="str">
        <f ca="1">IFERROR(__xludf.DUMMYFUNCTION("""COMPUTED_VALUE"""),"Definir fecha")</f>
        <v>Definir fecha</v>
      </c>
      <c r="L2656" s="62"/>
      <c r="M2656" s="25"/>
      <c r="N2656" s="25"/>
      <c r="O2656" s="25">
        <f t="shared" si="0"/>
        <v>0</v>
      </c>
      <c r="P2656" s="25" t="str">
        <f t="shared" si="2"/>
        <v/>
      </c>
      <c r="Q2656" s="25" t="str">
        <f ca="1">IFERROR(__xludf.DUMMYFUNCTION("""COMPUTED_VALUE"""),"Sin defenir")</f>
        <v>Sin defenir</v>
      </c>
      <c r="R2656" s="25"/>
      <c r="S2656" s="55"/>
      <c r="T2656" s="56"/>
      <c r="U2656" s="25"/>
      <c r="V2656" s="25"/>
      <c r="W2656" s="25"/>
      <c r="X2656" s="25"/>
      <c r="Y2656" s="25"/>
      <c r="Z2656" s="25"/>
    </row>
    <row r="2657" spans="1:26" ht="52.5" customHeight="1" x14ac:dyDescent="0.25">
      <c r="A2657" s="25" t="str">
        <f ca="1">IFERROR(__xludf.DUMMYFUNCTION("""COMPUTED_VALUE"""),"Cultu255")</f>
        <v>Cultu255</v>
      </c>
      <c r="B2657" s="25"/>
      <c r="C2657" s="55"/>
      <c r="D2657" s="25" t="str">
        <f ca="1">IFERROR(__xludf.DUMMYFUNCTION("""COMPUTED_VALUE"""),"Cultura")</f>
        <v>Cultura</v>
      </c>
      <c r="E2657" s="25"/>
      <c r="F2657" s="25"/>
      <c r="G2657" s="25"/>
      <c r="H2657" s="25"/>
      <c r="I2657" s="25"/>
      <c r="J2657" s="55"/>
      <c r="K2657" s="25" t="str">
        <f ca="1">IFERROR(__xludf.DUMMYFUNCTION("""COMPUTED_VALUE"""),"Definir fecha")</f>
        <v>Definir fecha</v>
      </c>
      <c r="L2657" s="62"/>
      <c r="M2657" s="25"/>
      <c r="N2657" s="25"/>
      <c r="O2657" s="25">
        <f t="shared" si="0"/>
        <v>0</v>
      </c>
      <c r="P2657" s="25" t="str">
        <f t="shared" si="2"/>
        <v/>
      </c>
      <c r="Q2657" s="25" t="str">
        <f ca="1">IFERROR(__xludf.DUMMYFUNCTION("""COMPUTED_VALUE"""),"Sin defenir")</f>
        <v>Sin defenir</v>
      </c>
      <c r="R2657" s="25"/>
      <c r="S2657" s="55"/>
      <c r="T2657" s="56"/>
      <c r="U2657" s="25"/>
      <c r="V2657" s="25"/>
      <c r="W2657" s="25"/>
      <c r="X2657" s="25"/>
      <c r="Y2657" s="25"/>
      <c r="Z2657" s="25"/>
    </row>
    <row r="2658" spans="1:26" ht="52.5" customHeight="1" x14ac:dyDescent="0.25">
      <c r="A2658" s="25" t="str">
        <f ca="1">IFERROR(__xludf.DUMMYFUNCTION("""COMPUTED_VALUE"""),"Cultu256")</f>
        <v>Cultu256</v>
      </c>
      <c r="B2658" s="25"/>
      <c r="C2658" s="55"/>
      <c r="D2658" s="25" t="str">
        <f ca="1">IFERROR(__xludf.DUMMYFUNCTION("""COMPUTED_VALUE"""),"Cultura")</f>
        <v>Cultura</v>
      </c>
      <c r="E2658" s="25"/>
      <c r="F2658" s="25"/>
      <c r="G2658" s="25"/>
      <c r="H2658" s="25"/>
      <c r="I2658" s="25"/>
      <c r="J2658" s="55"/>
      <c r="K2658" s="25" t="str">
        <f ca="1">IFERROR(__xludf.DUMMYFUNCTION("""COMPUTED_VALUE"""),"Definir fecha")</f>
        <v>Definir fecha</v>
      </c>
      <c r="L2658" s="62"/>
      <c r="M2658" s="25"/>
      <c r="N2658" s="25"/>
      <c r="O2658" s="25">
        <f t="shared" si="0"/>
        <v>0</v>
      </c>
      <c r="P2658" s="25" t="str">
        <f t="shared" si="2"/>
        <v/>
      </c>
      <c r="Q2658" s="25" t="str">
        <f ca="1">IFERROR(__xludf.DUMMYFUNCTION("""COMPUTED_VALUE"""),"Sin defenir")</f>
        <v>Sin defenir</v>
      </c>
      <c r="R2658" s="25"/>
      <c r="S2658" s="55"/>
      <c r="T2658" s="56"/>
      <c r="U2658" s="25"/>
      <c r="V2658" s="25"/>
      <c r="W2658" s="25"/>
      <c r="X2658" s="25"/>
      <c r="Y2658" s="25"/>
      <c r="Z2658" s="25"/>
    </row>
    <row r="2659" spans="1:26" ht="52.5" customHeight="1" x14ac:dyDescent="0.25">
      <c r="A2659" s="25" t="str">
        <f ca="1">IFERROR(__xludf.DUMMYFUNCTION("""COMPUTED_VALUE"""),"Cultu257")</f>
        <v>Cultu257</v>
      </c>
      <c r="B2659" s="25"/>
      <c r="C2659" s="55"/>
      <c r="D2659" s="25" t="str">
        <f ca="1">IFERROR(__xludf.DUMMYFUNCTION("""COMPUTED_VALUE"""),"Cultura")</f>
        <v>Cultura</v>
      </c>
      <c r="E2659" s="25"/>
      <c r="F2659" s="25"/>
      <c r="G2659" s="25"/>
      <c r="H2659" s="25"/>
      <c r="I2659" s="25"/>
      <c r="J2659" s="55"/>
      <c r="K2659" s="25" t="str">
        <f ca="1">IFERROR(__xludf.DUMMYFUNCTION("""COMPUTED_VALUE"""),"Definir fecha")</f>
        <v>Definir fecha</v>
      </c>
      <c r="L2659" s="62"/>
      <c r="M2659" s="25"/>
      <c r="N2659" s="25"/>
      <c r="O2659" s="25">
        <f t="shared" si="0"/>
        <v>0</v>
      </c>
      <c r="P2659" s="25" t="str">
        <f t="shared" si="2"/>
        <v/>
      </c>
      <c r="Q2659" s="25" t="str">
        <f ca="1">IFERROR(__xludf.DUMMYFUNCTION("""COMPUTED_VALUE"""),"Sin defenir")</f>
        <v>Sin defenir</v>
      </c>
      <c r="R2659" s="25"/>
      <c r="S2659" s="55"/>
      <c r="T2659" s="56"/>
      <c r="U2659" s="25"/>
      <c r="V2659" s="25"/>
      <c r="W2659" s="25"/>
      <c r="X2659" s="25"/>
      <c r="Y2659" s="25"/>
      <c r="Z2659" s="25"/>
    </row>
    <row r="2660" spans="1:26" ht="52.5" customHeight="1" x14ac:dyDescent="0.25">
      <c r="A2660" s="25" t="str">
        <f ca="1">IFERROR(__xludf.DUMMYFUNCTION("""COMPUTED_VALUE"""),"Cultu258")</f>
        <v>Cultu258</v>
      </c>
      <c r="B2660" s="25"/>
      <c r="C2660" s="55"/>
      <c r="D2660" s="25" t="str">
        <f ca="1">IFERROR(__xludf.DUMMYFUNCTION("""COMPUTED_VALUE"""),"Cultura")</f>
        <v>Cultura</v>
      </c>
      <c r="E2660" s="25"/>
      <c r="F2660" s="25"/>
      <c r="G2660" s="25"/>
      <c r="H2660" s="25"/>
      <c r="I2660" s="25"/>
      <c r="J2660" s="55"/>
      <c r="K2660" s="25" t="str">
        <f ca="1">IFERROR(__xludf.DUMMYFUNCTION("""COMPUTED_VALUE"""),"Definir fecha")</f>
        <v>Definir fecha</v>
      </c>
      <c r="L2660" s="62"/>
      <c r="M2660" s="25"/>
      <c r="N2660" s="25"/>
      <c r="O2660" s="25">
        <f t="shared" si="0"/>
        <v>0</v>
      </c>
      <c r="P2660" s="25" t="str">
        <f t="shared" si="2"/>
        <v/>
      </c>
      <c r="Q2660" s="25" t="str">
        <f ca="1">IFERROR(__xludf.DUMMYFUNCTION("""COMPUTED_VALUE"""),"Sin defenir")</f>
        <v>Sin defenir</v>
      </c>
      <c r="R2660" s="25"/>
      <c r="S2660" s="55"/>
      <c r="T2660" s="56"/>
      <c r="U2660" s="25"/>
      <c r="V2660" s="25"/>
      <c r="W2660" s="25"/>
      <c r="X2660" s="25"/>
      <c r="Y2660" s="25"/>
      <c r="Z2660" s="25"/>
    </row>
    <row r="2661" spans="1:26" ht="52.5" customHeight="1" x14ac:dyDescent="0.25">
      <c r="A2661" s="25" t="str">
        <f ca="1">IFERROR(__xludf.DUMMYFUNCTION("""COMPUTED_VALUE"""),"Cultu259")</f>
        <v>Cultu259</v>
      </c>
      <c r="B2661" s="25"/>
      <c r="C2661" s="55"/>
      <c r="D2661" s="25" t="str">
        <f ca="1">IFERROR(__xludf.DUMMYFUNCTION("""COMPUTED_VALUE"""),"Cultura")</f>
        <v>Cultura</v>
      </c>
      <c r="E2661" s="25"/>
      <c r="F2661" s="25"/>
      <c r="G2661" s="25"/>
      <c r="H2661" s="25"/>
      <c r="I2661" s="25"/>
      <c r="J2661" s="55"/>
      <c r="K2661" s="25" t="str">
        <f ca="1">IFERROR(__xludf.DUMMYFUNCTION("""COMPUTED_VALUE"""),"Definir fecha")</f>
        <v>Definir fecha</v>
      </c>
      <c r="L2661" s="62"/>
      <c r="M2661" s="25"/>
      <c r="N2661" s="25"/>
      <c r="O2661" s="25">
        <f t="shared" si="0"/>
        <v>0</v>
      </c>
      <c r="P2661" s="25" t="str">
        <f t="shared" si="2"/>
        <v/>
      </c>
      <c r="Q2661" s="25" t="str">
        <f ca="1">IFERROR(__xludf.DUMMYFUNCTION("""COMPUTED_VALUE"""),"Sin defenir")</f>
        <v>Sin defenir</v>
      </c>
      <c r="R2661" s="25"/>
      <c r="S2661" s="55"/>
      <c r="T2661" s="56"/>
      <c r="U2661" s="25"/>
      <c r="V2661" s="25"/>
      <c r="W2661" s="25"/>
      <c r="X2661" s="25"/>
      <c r="Y2661" s="25"/>
      <c r="Z2661" s="25"/>
    </row>
    <row r="2662" spans="1:26" ht="52.5" customHeight="1" x14ac:dyDescent="0.25">
      <c r="A2662" s="25" t="str">
        <f ca="1">IFERROR(__xludf.DUMMYFUNCTION("""COMPUTED_VALUE"""),"Cultu260")</f>
        <v>Cultu260</v>
      </c>
      <c r="B2662" s="25"/>
      <c r="C2662" s="55"/>
      <c r="D2662" s="25" t="str">
        <f ca="1">IFERROR(__xludf.DUMMYFUNCTION("""COMPUTED_VALUE"""),"Cultura")</f>
        <v>Cultura</v>
      </c>
      <c r="E2662" s="25"/>
      <c r="F2662" s="25"/>
      <c r="G2662" s="25"/>
      <c r="H2662" s="25"/>
      <c r="I2662" s="25"/>
      <c r="J2662" s="55"/>
      <c r="K2662" s="25" t="str">
        <f ca="1">IFERROR(__xludf.DUMMYFUNCTION("""COMPUTED_VALUE"""),"Definir fecha")</f>
        <v>Definir fecha</v>
      </c>
      <c r="L2662" s="62"/>
      <c r="M2662" s="25"/>
      <c r="N2662" s="25"/>
      <c r="O2662" s="25">
        <f t="shared" si="0"/>
        <v>0</v>
      </c>
      <c r="P2662" s="25" t="str">
        <f t="shared" si="2"/>
        <v/>
      </c>
      <c r="Q2662" s="25" t="str">
        <f ca="1">IFERROR(__xludf.DUMMYFUNCTION("""COMPUTED_VALUE"""),"Sin defenir")</f>
        <v>Sin defenir</v>
      </c>
      <c r="R2662" s="25"/>
      <c r="S2662" s="55"/>
      <c r="T2662" s="56"/>
      <c r="U2662" s="25"/>
      <c r="V2662" s="25"/>
      <c r="W2662" s="25"/>
      <c r="X2662" s="25"/>
      <c r="Y2662" s="25"/>
      <c r="Z2662" s="25"/>
    </row>
    <row r="2663" spans="1:26" ht="52.5" customHeight="1" x14ac:dyDescent="0.25">
      <c r="A2663" s="25" t="str">
        <f ca="1">IFERROR(__xludf.DUMMYFUNCTION("""COMPUTED_VALUE"""),"Cultu261")</f>
        <v>Cultu261</v>
      </c>
      <c r="B2663" s="25"/>
      <c r="C2663" s="55"/>
      <c r="D2663" s="25" t="str">
        <f ca="1">IFERROR(__xludf.DUMMYFUNCTION("""COMPUTED_VALUE"""),"Cultura")</f>
        <v>Cultura</v>
      </c>
      <c r="E2663" s="25"/>
      <c r="F2663" s="25"/>
      <c r="G2663" s="25"/>
      <c r="H2663" s="25"/>
      <c r="I2663" s="25"/>
      <c r="J2663" s="55"/>
      <c r="K2663" s="25" t="str">
        <f ca="1">IFERROR(__xludf.DUMMYFUNCTION("""COMPUTED_VALUE"""),"Definir fecha")</f>
        <v>Definir fecha</v>
      </c>
      <c r="L2663" s="62"/>
      <c r="M2663" s="25"/>
      <c r="N2663" s="25"/>
      <c r="O2663" s="25">
        <f t="shared" si="0"/>
        <v>0</v>
      </c>
      <c r="P2663" s="25" t="str">
        <f t="shared" si="2"/>
        <v/>
      </c>
      <c r="Q2663" s="25" t="str">
        <f ca="1">IFERROR(__xludf.DUMMYFUNCTION("""COMPUTED_VALUE"""),"Sin defenir")</f>
        <v>Sin defenir</v>
      </c>
      <c r="R2663" s="25"/>
      <c r="S2663" s="55"/>
      <c r="T2663" s="56"/>
      <c r="U2663" s="25"/>
      <c r="V2663" s="25"/>
      <c r="W2663" s="25"/>
      <c r="X2663" s="25"/>
      <c r="Y2663" s="25"/>
      <c r="Z2663" s="25"/>
    </row>
    <row r="2664" spans="1:26" ht="52.5" customHeight="1" x14ac:dyDescent="0.25">
      <c r="A2664" s="25" t="str">
        <f ca="1">IFERROR(__xludf.DUMMYFUNCTION("""COMPUTED_VALUE"""),"Cultu262")</f>
        <v>Cultu262</v>
      </c>
      <c r="B2664" s="25"/>
      <c r="C2664" s="55"/>
      <c r="D2664" s="25" t="str">
        <f ca="1">IFERROR(__xludf.DUMMYFUNCTION("""COMPUTED_VALUE"""),"Cultura")</f>
        <v>Cultura</v>
      </c>
      <c r="E2664" s="25"/>
      <c r="F2664" s="25"/>
      <c r="G2664" s="25"/>
      <c r="H2664" s="25"/>
      <c r="I2664" s="25"/>
      <c r="J2664" s="55"/>
      <c r="K2664" s="25" t="str">
        <f ca="1">IFERROR(__xludf.DUMMYFUNCTION("""COMPUTED_VALUE"""),"Definir fecha")</f>
        <v>Definir fecha</v>
      </c>
      <c r="L2664" s="62"/>
      <c r="M2664" s="25"/>
      <c r="N2664" s="25"/>
      <c r="O2664" s="25">
        <f t="shared" si="0"/>
        <v>0</v>
      </c>
      <c r="P2664" s="25" t="str">
        <f t="shared" si="2"/>
        <v/>
      </c>
      <c r="Q2664" s="25" t="str">
        <f ca="1">IFERROR(__xludf.DUMMYFUNCTION("""COMPUTED_VALUE"""),"Sin defenir")</f>
        <v>Sin defenir</v>
      </c>
      <c r="R2664" s="25"/>
      <c r="S2664" s="55"/>
      <c r="T2664" s="56"/>
      <c r="U2664" s="25"/>
      <c r="V2664" s="25"/>
      <c r="W2664" s="25"/>
      <c r="X2664" s="25"/>
      <c r="Y2664" s="25"/>
      <c r="Z2664" s="25"/>
    </row>
    <row r="2665" spans="1:26" ht="52.5" customHeight="1" x14ac:dyDescent="0.25">
      <c r="A2665" s="25" t="str">
        <f ca="1">IFERROR(__xludf.DUMMYFUNCTION("""COMPUTED_VALUE"""),"Cultu263")</f>
        <v>Cultu263</v>
      </c>
      <c r="B2665" s="25"/>
      <c r="C2665" s="55"/>
      <c r="D2665" s="25" t="str">
        <f ca="1">IFERROR(__xludf.DUMMYFUNCTION("""COMPUTED_VALUE"""),"Cultura")</f>
        <v>Cultura</v>
      </c>
      <c r="E2665" s="25"/>
      <c r="F2665" s="25"/>
      <c r="G2665" s="25"/>
      <c r="H2665" s="25"/>
      <c r="I2665" s="25"/>
      <c r="J2665" s="55"/>
      <c r="K2665" s="25" t="str">
        <f ca="1">IFERROR(__xludf.DUMMYFUNCTION("""COMPUTED_VALUE"""),"Definir fecha")</f>
        <v>Definir fecha</v>
      </c>
      <c r="L2665" s="62"/>
      <c r="M2665" s="25"/>
      <c r="N2665" s="25"/>
      <c r="O2665" s="25">
        <f t="shared" si="0"/>
        <v>0</v>
      </c>
      <c r="P2665" s="25" t="str">
        <f t="shared" si="2"/>
        <v/>
      </c>
      <c r="Q2665" s="25" t="str">
        <f ca="1">IFERROR(__xludf.DUMMYFUNCTION("""COMPUTED_VALUE"""),"Sin defenir")</f>
        <v>Sin defenir</v>
      </c>
      <c r="R2665" s="25"/>
      <c r="S2665" s="55"/>
      <c r="T2665" s="56"/>
      <c r="U2665" s="25"/>
      <c r="V2665" s="25"/>
      <c r="W2665" s="25"/>
      <c r="X2665" s="25"/>
      <c r="Y2665" s="25"/>
      <c r="Z2665" s="25"/>
    </row>
    <row r="2666" spans="1:26" ht="52.5" customHeight="1" x14ac:dyDescent="0.25">
      <c r="A2666" s="25" t="str">
        <f ca="1">IFERROR(__xludf.DUMMYFUNCTION("""COMPUTED_VALUE"""),"Cultu264")</f>
        <v>Cultu264</v>
      </c>
      <c r="B2666" s="25"/>
      <c r="C2666" s="55"/>
      <c r="D2666" s="25" t="str">
        <f ca="1">IFERROR(__xludf.DUMMYFUNCTION("""COMPUTED_VALUE"""),"Cultura")</f>
        <v>Cultura</v>
      </c>
      <c r="E2666" s="25"/>
      <c r="F2666" s="25"/>
      <c r="G2666" s="25"/>
      <c r="H2666" s="25"/>
      <c r="I2666" s="25"/>
      <c r="J2666" s="55"/>
      <c r="K2666" s="25" t="str">
        <f ca="1">IFERROR(__xludf.DUMMYFUNCTION("""COMPUTED_VALUE"""),"Definir fecha")</f>
        <v>Definir fecha</v>
      </c>
      <c r="L2666" s="62"/>
      <c r="M2666" s="25"/>
      <c r="N2666" s="25"/>
      <c r="O2666" s="25">
        <f t="shared" si="0"/>
        <v>0</v>
      </c>
      <c r="P2666" s="25" t="str">
        <f t="shared" si="2"/>
        <v/>
      </c>
      <c r="Q2666" s="25" t="str">
        <f ca="1">IFERROR(__xludf.DUMMYFUNCTION("""COMPUTED_VALUE"""),"Sin defenir")</f>
        <v>Sin defenir</v>
      </c>
      <c r="R2666" s="25"/>
      <c r="S2666" s="55"/>
      <c r="T2666" s="56"/>
      <c r="U2666" s="25"/>
      <c r="V2666" s="25"/>
      <c r="W2666" s="25"/>
      <c r="X2666" s="25"/>
      <c r="Y2666" s="25"/>
      <c r="Z2666" s="25"/>
    </row>
    <row r="2667" spans="1:26" ht="52.5" customHeight="1" x14ac:dyDescent="0.25">
      <c r="A2667" s="25" t="str">
        <f ca="1">IFERROR(__xludf.DUMMYFUNCTION("""COMPUTED_VALUE"""),"Cultu265")</f>
        <v>Cultu265</v>
      </c>
      <c r="B2667" s="25"/>
      <c r="C2667" s="55"/>
      <c r="D2667" s="25" t="str">
        <f ca="1">IFERROR(__xludf.DUMMYFUNCTION("""COMPUTED_VALUE"""),"Cultura")</f>
        <v>Cultura</v>
      </c>
      <c r="E2667" s="25"/>
      <c r="F2667" s="25"/>
      <c r="G2667" s="25"/>
      <c r="H2667" s="25"/>
      <c r="I2667" s="25"/>
      <c r="J2667" s="55"/>
      <c r="K2667" s="25" t="str">
        <f ca="1">IFERROR(__xludf.DUMMYFUNCTION("""COMPUTED_VALUE"""),"Definir fecha")</f>
        <v>Definir fecha</v>
      </c>
      <c r="L2667" s="62"/>
      <c r="M2667" s="25"/>
      <c r="N2667" s="25"/>
      <c r="O2667" s="25">
        <f t="shared" si="0"/>
        <v>0</v>
      </c>
      <c r="P2667" s="25" t="str">
        <f t="shared" si="2"/>
        <v/>
      </c>
      <c r="Q2667" s="25" t="str">
        <f ca="1">IFERROR(__xludf.DUMMYFUNCTION("""COMPUTED_VALUE"""),"Sin defenir")</f>
        <v>Sin defenir</v>
      </c>
      <c r="R2667" s="25"/>
      <c r="S2667" s="55"/>
      <c r="T2667" s="56"/>
      <c r="U2667" s="25"/>
      <c r="V2667" s="25"/>
      <c r="W2667" s="25"/>
      <c r="X2667" s="25"/>
      <c r="Y2667" s="25"/>
      <c r="Z2667" s="25"/>
    </row>
    <row r="2668" spans="1:26" ht="52.5" customHeight="1" x14ac:dyDescent="0.25">
      <c r="A2668" s="25" t="str">
        <f ca="1">IFERROR(__xludf.DUMMYFUNCTION("""COMPUTED_VALUE"""),"Cultu266")</f>
        <v>Cultu266</v>
      </c>
      <c r="B2668" s="25"/>
      <c r="C2668" s="55"/>
      <c r="D2668" s="25" t="str">
        <f ca="1">IFERROR(__xludf.DUMMYFUNCTION("""COMPUTED_VALUE"""),"Cultura")</f>
        <v>Cultura</v>
      </c>
      <c r="E2668" s="25"/>
      <c r="F2668" s="25"/>
      <c r="G2668" s="25"/>
      <c r="H2668" s="25"/>
      <c r="I2668" s="25"/>
      <c r="J2668" s="55"/>
      <c r="K2668" s="25" t="str">
        <f ca="1">IFERROR(__xludf.DUMMYFUNCTION("""COMPUTED_VALUE"""),"Definir fecha")</f>
        <v>Definir fecha</v>
      </c>
      <c r="L2668" s="62"/>
      <c r="M2668" s="25"/>
      <c r="N2668" s="25"/>
      <c r="O2668" s="25">
        <f t="shared" si="0"/>
        <v>0</v>
      </c>
      <c r="P2668" s="25" t="str">
        <f t="shared" si="2"/>
        <v/>
      </c>
      <c r="Q2668" s="25" t="str">
        <f ca="1">IFERROR(__xludf.DUMMYFUNCTION("""COMPUTED_VALUE"""),"Sin defenir")</f>
        <v>Sin defenir</v>
      </c>
      <c r="R2668" s="25"/>
      <c r="S2668" s="55"/>
      <c r="T2668" s="56"/>
      <c r="U2668" s="25"/>
      <c r="V2668" s="25"/>
      <c r="W2668" s="25"/>
      <c r="X2668" s="25"/>
      <c r="Y2668" s="25"/>
      <c r="Z2668" s="25"/>
    </row>
    <row r="2669" spans="1:26" ht="52.5" customHeight="1" x14ac:dyDescent="0.25">
      <c r="A2669" s="25" t="str">
        <f ca="1">IFERROR(__xludf.DUMMYFUNCTION("""COMPUTED_VALUE"""),"Cultu267")</f>
        <v>Cultu267</v>
      </c>
      <c r="B2669" s="25"/>
      <c r="C2669" s="55"/>
      <c r="D2669" s="25" t="str">
        <f ca="1">IFERROR(__xludf.DUMMYFUNCTION("""COMPUTED_VALUE"""),"Cultura")</f>
        <v>Cultura</v>
      </c>
      <c r="E2669" s="25"/>
      <c r="F2669" s="25"/>
      <c r="G2669" s="25"/>
      <c r="H2669" s="25"/>
      <c r="I2669" s="25"/>
      <c r="J2669" s="55"/>
      <c r="K2669" s="25" t="str">
        <f ca="1">IFERROR(__xludf.DUMMYFUNCTION("""COMPUTED_VALUE"""),"Definir fecha")</f>
        <v>Definir fecha</v>
      </c>
      <c r="L2669" s="62"/>
      <c r="M2669" s="25"/>
      <c r="N2669" s="25"/>
      <c r="O2669" s="25">
        <f t="shared" si="0"/>
        <v>0</v>
      </c>
      <c r="P2669" s="25" t="str">
        <f t="shared" si="2"/>
        <v/>
      </c>
      <c r="Q2669" s="25" t="str">
        <f ca="1">IFERROR(__xludf.DUMMYFUNCTION("""COMPUTED_VALUE"""),"Sin defenir")</f>
        <v>Sin defenir</v>
      </c>
      <c r="R2669" s="25"/>
      <c r="S2669" s="55"/>
      <c r="T2669" s="56"/>
      <c r="U2669" s="25"/>
      <c r="V2669" s="25"/>
      <c r="W2669" s="25"/>
      <c r="X2669" s="25"/>
      <c r="Y2669" s="25"/>
      <c r="Z2669" s="25"/>
    </row>
    <row r="2670" spans="1:26" ht="52.5" customHeight="1" x14ac:dyDescent="0.25">
      <c r="A2670" s="25" t="str">
        <f ca="1">IFERROR(__xludf.DUMMYFUNCTION("""COMPUTED_VALUE"""),"Cultu268")</f>
        <v>Cultu268</v>
      </c>
      <c r="B2670" s="25"/>
      <c r="C2670" s="55"/>
      <c r="D2670" s="25" t="str">
        <f ca="1">IFERROR(__xludf.DUMMYFUNCTION("""COMPUTED_VALUE"""),"Cultura")</f>
        <v>Cultura</v>
      </c>
      <c r="E2670" s="25"/>
      <c r="F2670" s="25"/>
      <c r="G2670" s="25"/>
      <c r="H2670" s="25"/>
      <c r="I2670" s="25"/>
      <c r="J2670" s="55"/>
      <c r="K2670" s="25" t="str">
        <f ca="1">IFERROR(__xludf.DUMMYFUNCTION("""COMPUTED_VALUE"""),"Definir fecha")</f>
        <v>Definir fecha</v>
      </c>
      <c r="L2670" s="62"/>
      <c r="M2670" s="25"/>
      <c r="N2670" s="25"/>
      <c r="O2670" s="25">
        <f t="shared" si="0"/>
        <v>0</v>
      </c>
      <c r="P2670" s="25" t="str">
        <f t="shared" si="2"/>
        <v/>
      </c>
      <c r="Q2670" s="25" t="str">
        <f ca="1">IFERROR(__xludf.DUMMYFUNCTION("""COMPUTED_VALUE"""),"Sin defenir")</f>
        <v>Sin defenir</v>
      </c>
      <c r="R2670" s="25"/>
      <c r="S2670" s="55"/>
      <c r="T2670" s="56"/>
      <c r="U2670" s="25"/>
      <c r="V2670" s="25"/>
      <c r="W2670" s="25"/>
      <c r="X2670" s="25"/>
      <c r="Y2670" s="25"/>
      <c r="Z2670" s="25"/>
    </row>
    <row r="2671" spans="1:26" ht="52.5" customHeight="1" x14ac:dyDescent="0.25">
      <c r="A2671" s="25" t="str">
        <f ca="1">IFERROR(__xludf.DUMMYFUNCTION("""COMPUTED_VALUE"""),"Cultu269")</f>
        <v>Cultu269</v>
      </c>
      <c r="B2671" s="25"/>
      <c r="C2671" s="55"/>
      <c r="D2671" s="25" t="str">
        <f ca="1">IFERROR(__xludf.DUMMYFUNCTION("""COMPUTED_VALUE"""),"Cultura")</f>
        <v>Cultura</v>
      </c>
      <c r="E2671" s="25"/>
      <c r="F2671" s="25"/>
      <c r="G2671" s="25"/>
      <c r="H2671" s="25"/>
      <c r="I2671" s="25"/>
      <c r="J2671" s="55"/>
      <c r="K2671" s="25" t="str">
        <f ca="1">IFERROR(__xludf.DUMMYFUNCTION("""COMPUTED_VALUE"""),"Definir fecha")</f>
        <v>Definir fecha</v>
      </c>
      <c r="L2671" s="62"/>
      <c r="M2671" s="25"/>
      <c r="N2671" s="25"/>
      <c r="O2671" s="25">
        <f t="shared" si="0"/>
        <v>0</v>
      </c>
      <c r="P2671" s="25" t="str">
        <f t="shared" si="2"/>
        <v/>
      </c>
      <c r="Q2671" s="25" t="str">
        <f ca="1">IFERROR(__xludf.DUMMYFUNCTION("""COMPUTED_VALUE"""),"Sin defenir")</f>
        <v>Sin defenir</v>
      </c>
      <c r="R2671" s="25"/>
      <c r="S2671" s="55"/>
      <c r="T2671" s="56"/>
      <c r="U2671" s="25"/>
      <c r="V2671" s="25"/>
      <c r="W2671" s="25"/>
      <c r="X2671" s="25"/>
      <c r="Y2671" s="25"/>
      <c r="Z2671" s="25"/>
    </row>
    <row r="2672" spans="1:26" ht="52.5" customHeight="1" x14ac:dyDescent="0.25">
      <c r="A2672" s="25" t="str">
        <f ca="1">IFERROR(__xludf.DUMMYFUNCTION("""COMPUTED_VALUE"""),"Cultu270")</f>
        <v>Cultu270</v>
      </c>
      <c r="B2672" s="25"/>
      <c r="C2672" s="55"/>
      <c r="D2672" s="25" t="str">
        <f ca="1">IFERROR(__xludf.DUMMYFUNCTION("""COMPUTED_VALUE"""),"Cultura")</f>
        <v>Cultura</v>
      </c>
      <c r="E2672" s="25"/>
      <c r="F2672" s="25"/>
      <c r="G2672" s="25"/>
      <c r="H2672" s="25"/>
      <c r="I2672" s="25"/>
      <c r="J2672" s="55"/>
      <c r="K2672" s="25" t="str">
        <f ca="1">IFERROR(__xludf.DUMMYFUNCTION("""COMPUTED_VALUE"""),"Definir fecha")</f>
        <v>Definir fecha</v>
      </c>
      <c r="L2672" s="62"/>
      <c r="M2672" s="25"/>
      <c r="N2672" s="25"/>
      <c r="O2672" s="25">
        <f t="shared" si="0"/>
        <v>0</v>
      </c>
      <c r="P2672" s="25" t="str">
        <f t="shared" si="2"/>
        <v/>
      </c>
      <c r="Q2672" s="25" t="str">
        <f ca="1">IFERROR(__xludf.DUMMYFUNCTION("""COMPUTED_VALUE"""),"Sin defenir")</f>
        <v>Sin defenir</v>
      </c>
      <c r="R2672" s="25"/>
      <c r="S2672" s="55"/>
      <c r="T2672" s="56"/>
      <c r="U2672" s="25"/>
      <c r="V2672" s="25"/>
      <c r="W2672" s="25"/>
      <c r="X2672" s="25"/>
      <c r="Y2672" s="25"/>
      <c r="Z2672" s="25"/>
    </row>
    <row r="2673" spans="1:26" ht="52.5" customHeight="1" x14ac:dyDescent="0.25">
      <c r="A2673" s="25" t="str">
        <f ca="1">IFERROR(__xludf.DUMMYFUNCTION("""COMPUTED_VALUE"""),"Cultu271")</f>
        <v>Cultu271</v>
      </c>
      <c r="B2673" s="25"/>
      <c r="C2673" s="55"/>
      <c r="D2673" s="25" t="str">
        <f ca="1">IFERROR(__xludf.DUMMYFUNCTION("""COMPUTED_VALUE"""),"Cultura")</f>
        <v>Cultura</v>
      </c>
      <c r="E2673" s="25"/>
      <c r="F2673" s="25"/>
      <c r="G2673" s="25"/>
      <c r="H2673" s="25"/>
      <c r="I2673" s="25"/>
      <c r="J2673" s="55"/>
      <c r="K2673" s="25" t="str">
        <f ca="1">IFERROR(__xludf.DUMMYFUNCTION("""COMPUTED_VALUE"""),"Definir fecha")</f>
        <v>Definir fecha</v>
      </c>
      <c r="L2673" s="62"/>
      <c r="M2673" s="25"/>
      <c r="N2673" s="25"/>
      <c r="O2673" s="25">
        <f t="shared" si="0"/>
        <v>0</v>
      </c>
      <c r="P2673" s="25" t="str">
        <f t="shared" si="2"/>
        <v/>
      </c>
      <c r="Q2673" s="25" t="str">
        <f ca="1">IFERROR(__xludf.DUMMYFUNCTION("""COMPUTED_VALUE"""),"Sin defenir")</f>
        <v>Sin defenir</v>
      </c>
      <c r="R2673" s="25"/>
      <c r="S2673" s="55"/>
      <c r="T2673" s="56"/>
      <c r="U2673" s="25"/>
      <c r="V2673" s="25"/>
      <c r="W2673" s="25"/>
      <c r="X2673" s="25"/>
      <c r="Y2673" s="25"/>
      <c r="Z2673" s="25"/>
    </row>
    <row r="2674" spans="1:26" ht="52.5" customHeight="1" x14ac:dyDescent="0.25">
      <c r="A2674" s="25" t="str">
        <f ca="1">IFERROR(__xludf.DUMMYFUNCTION("""COMPUTED_VALUE"""),"Cultu272")</f>
        <v>Cultu272</v>
      </c>
      <c r="B2674" s="25"/>
      <c r="C2674" s="55"/>
      <c r="D2674" s="25" t="str">
        <f ca="1">IFERROR(__xludf.DUMMYFUNCTION("""COMPUTED_VALUE"""),"Cultura")</f>
        <v>Cultura</v>
      </c>
      <c r="E2674" s="25"/>
      <c r="F2674" s="25"/>
      <c r="G2674" s="25"/>
      <c r="H2674" s="25"/>
      <c r="I2674" s="25"/>
      <c r="J2674" s="55"/>
      <c r="K2674" s="25" t="str">
        <f ca="1">IFERROR(__xludf.DUMMYFUNCTION("""COMPUTED_VALUE"""),"Definir fecha")</f>
        <v>Definir fecha</v>
      </c>
      <c r="L2674" s="62"/>
      <c r="M2674" s="25"/>
      <c r="N2674" s="25"/>
      <c r="O2674" s="25">
        <f t="shared" si="0"/>
        <v>0</v>
      </c>
      <c r="P2674" s="25" t="str">
        <f t="shared" si="2"/>
        <v/>
      </c>
      <c r="Q2674" s="25" t="str">
        <f ca="1">IFERROR(__xludf.DUMMYFUNCTION("""COMPUTED_VALUE"""),"Sin defenir")</f>
        <v>Sin defenir</v>
      </c>
      <c r="R2674" s="25"/>
      <c r="S2674" s="55"/>
      <c r="T2674" s="56"/>
      <c r="U2674" s="25"/>
      <c r="V2674" s="25"/>
      <c r="W2674" s="25"/>
      <c r="X2674" s="25"/>
      <c r="Y2674" s="25"/>
      <c r="Z2674" s="25"/>
    </row>
    <row r="2675" spans="1:26" ht="52.5" customHeight="1" x14ac:dyDescent="0.25">
      <c r="A2675" s="25" t="str">
        <f ca="1">IFERROR(__xludf.DUMMYFUNCTION("""COMPUTED_VALUE"""),"Cultu273")</f>
        <v>Cultu273</v>
      </c>
      <c r="B2675" s="25"/>
      <c r="C2675" s="55"/>
      <c r="D2675" s="25" t="str">
        <f ca="1">IFERROR(__xludf.DUMMYFUNCTION("""COMPUTED_VALUE"""),"Cultura")</f>
        <v>Cultura</v>
      </c>
      <c r="E2675" s="25"/>
      <c r="F2675" s="25"/>
      <c r="G2675" s="25"/>
      <c r="H2675" s="25"/>
      <c r="I2675" s="25"/>
      <c r="J2675" s="55"/>
      <c r="K2675" s="25" t="str">
        <f ca="1">IFERROR(__xludf.DUMMYFUNCTION("""COMPUTED_VALUE"""),"Definir fecha")</f>
        <v>Definir fecha</v>
      </c>
      <c r="L2675" s="62"/>
      <c r="M2675" s="25"/>
      <c r="N2675" s="25"/>
      <c r="O2675" s="25">
        <f t="shared" si="0"/>
        <v>0</v>
      </c>
      <c r="P2675" s="25" t="str">
        <f t="shared" si="2"/>
        <v/>
      </c>
      <c r="Q2675" s="25" t="str">
        <f ca="1">IFERROR(__xludf.DUMMYFUNCTION("""COMPUTED_VALUE"""),"Sin defenir")</f>
        <v>Sin defenir</v>
      </c>
      <c r="R2675" s="25"/>
      <c r="S2675" s="55"/>
      <c r="T2675" s="56"/>
      <c r="U2675" s="25"/>
      <c r="V2675" s="25"/>
      <c r="W2675" s="25"/>
      <c r="X2675" s="25"/>
      <c r="Y2675" s="25"/>
      <c r="Z2675" s="25"/>
    </row>
    <row r="2676" spans="1:26" ht="52.5" customHeight="1" x14ac:dyDescent="0.25">
      <c r="A2676" s="25" t="str">
        <f ca="1">IFERROR(__xludf.DUMMYFUNCTION("""COMPUTED_VALUE"""),"Cultu274")</f>
        <v>Cultu274</v>
      </c>
      <c r="B2676" s="25"/>
      <c r="C2676" s="55"/>
      <c r="D2676" s="25" t="str">
        <f ca="1">IFERROR(__xludf.DUMMYFUNCTION("""COMPUTED_VALUE"""),"Cultura")</f>
        <v>Cultura</v>
      </c>
      <c r="E2676" s="25"/>
      <c r="F2676" s="25"/>
      <c r="G2676" s="25"/>
      <c r="H2676" s="25"/>
      <c r="I2676" s="25"/>
      <c r="J2676" s="55"/>
      <c r="K2676" s="25" t="str">
        <f ca="1">IFERROR(__xludf.DUMMYFUNCTION("""COMPUTED_VALUE"""),"Definir fecha")</f>
        <v>Definir fecha</v>
      </c>
      <c r="L2676" s="62"/>
      <c r="M2676" s="25"/>
      <c r="N2676" s="25"/>
      <c r="O2676" s="25">
        <f t="shared" si="0"/>
        <v>0</v>
      </c>
      <c r="P2676" s="25" t="str">
        <f t="shared" si="2"/>
        <v/>
      </c>
      <c r="Q2676" s="25" t="str">
        <f ca="1">IFERROR(__xludf.DUMMYFUNCTION("""COMPUTED_VALUE"""),"Sin defenir")</f>
        <v>Sin defenir</v>
      </c>
      <c r="R2676" s="25"/>
      <c r="S2676" s="55"/>
      <c r="T2676" s="56"/>
      <c r="U2676" s="25"/>
      <c r="V2676" s="25"/>
      <c r="W2676" s="25"/>
      <c r="X2676" s="25"/>
      <c r="Y2676" s="25"/>
      <c r="Z2676" s="25"/>
    </row>
    <row r="2677" spans="1:26" ht="52.5" customHeight="1" x14ac:dyDescent="0.25">
      <c r="A2677" s="25" t="str">
        <f ca="1">IFERROR(__xludf.DUMMYFUNCTION("""COMPUTED_VALUE"""),"Cultu275")</f>
        <v>Cultu275</v>
      </c>
      <c r="B2677" s="25"/>
      <c r="C2677" s="55"/>
      <c r="D2677" s="25" t="str">
        <f ca="1">IFERROR(__xludf.DUMMYFUNCTION("""COMPUTED_VALUE"""),"Cultura")</f>
        <v>Cultura</v>
      </c>
      <c r="E2677" s="25"/>
      <c r="F2677" s="25"/>
      <c r="G2677" s="25"/>
      <c r="H2677" s="25"/>
      <c r="I2677" s="25"/>
      <c r="J2677" s="55"/>
      <c r="K2677" s="25" t="str">
        <f ca="1">IFERROR(__xludf.DUMMYFUNCTION("""COMPUTED_VALUE"""),"Definir fecha")</f>
        <v>Definir fecha</v>
      </c>
      <c r="L2677" s="62"/>
      <c r="M2677" s="25"/>
      <c r="N2677" s="25"/>
      <c r="O2677" s="25">
        <f t="shared" si="0"/>
        <v>0</v>
      </c>
      <c r="P2677" s="25" t="str">
        <f t="shared" si="2"/>
        <v/>
      </c>
      <c r="Q2677" s="25" t="str">
        <f ca="1">IFERROR(__xludf.DUMMYFUNCTION("""COMPUTED_VALUE"""),"Sin defenir")</f>
        <v>Sin defenir</v>
      </c>
      <c r="R2677" s="25"/>
      <c r="S2677" s="55"/>
      <c r="T2677" s="56"/>
      <c r="U2677" s="25"/>
      <c r="V2677" s="25"/>
      <c r="W2677" s="25"/>
      <c r="X2677" s="25"/>
      <c r="Y2677" s="25"/>
      <c r="Z2677" s="25"/>
    </row>
    <row r="2678" spans="1:26" ht="52.5" customHeight="1" x14ac:dyDescent="0.25">
      <c r="A2678" s="25" t="str">
        <f ca="1">IFERROR(__xludf.DUMMYFUNCTION("""COMPUTED_VALUE"""),"Cultu276")</f>
        <v>Cultu276</v>
      </c>
      <c r="B2678" s="25"/>
      <c r="C2678" s="55"/>
      <c r="D2678" s="25" t="str">
        <f ca="1">IFERROR(__xludf.DUMMYFUNCTION("""COMPUTED_VALUE"""),"Cultura")</f>
        <v>Cultura</v>
      </c>
      <c r="E2678" s="25"/>
      <c r="F2678" s="25"/>
      <c r="G2678" s="25"/>
      <c r="H2678" s="25"/>
      <c r="I2678" s="25"/>
      <c r="J2678" s="55"/>
      <c r="K2678" s="25" t="str">
        <f ca="1">IFERROR(__xludf.DUMMYFUNCTION("""COMPUTED_VALUE"""),"Definir fecha")</f>
        <v>Definir fecha</v>
      </c>
      <c r="L2678" s="62"/>
      <c r="M2678" s="25"/>
      <c r="N2678" s="25"/>
      <c r="O2678" s="25">
        <f t="shared" si="0"/>
        <v>0</v>
      </c>
      <c r="P2678" s="25" t="str">
        <f t="shared" si="2"/>
        <v/>
      </c>
      <c r="Q2678" s="25" t="str">
        <f ca="1">IFERROR(__xludf.DUMMYFUNCTION("""COMPUTED_VALUE"""),"Sin defenir")</f>
        <v>Sin defenir</v>
      </c>
      <c r="R2678" s="25"/>
      <c r="S2678" s="55"/>
      <c r="T2678" s="56"/>
      <c r="U2678" s="25"/>
      <c r="V2678" s="25"/>
      <c r="W2678" s="25"/>
      <c r="X2678" s="25"/>
      <c r="Y2678" s="25"/>
      <c r="Z2678" s="25"/>
    </row>
    <row r="2679" spans="1:26" ht="52.5" customHeight="1" x14ac:dyDescent="0.25">
      <c r="A2679" s="25" t="str">
        <f ca="1">IFERROR(__xludf.DUMMYFUNCTION("""COMPUTED_VALUE"""),"Cultu277")</f>
        <v>Cultu277</v>
      </c>
      <c r="B2679" s="25"/>
      <c r="C2679" s="55"/>
      <c r="D2679" s="25" t="str">
        <f ca="1">IFERROR(__xludf.DUMMYFUNCTION("""COMPUTED_VALUE"""),"Cultura")</f>
        <v>Cultura</v>
      </c>
      <c r="E2679" s="25"/>
      <c r="F2679" s="25"/>
      <c r="G2679" s="25"/>
      <c r="H2679" s="25"/>
      <c r="I2679" s="25"/>
      <c r="J2679" s="55"/>
      <c r="K2679" s="25" t="str">
        <f ca="1">IFERROR(__xludf.DUMMYFUNCTION("""COMPUTED_VALUE"""),"Definir fecha")</f>
        <v>Definir fecha</v>
      </c>
      <c r="L2679" s="62"/>
      <c r="M2679" s="25"/>
      <c r="N2679" s="25"/>
      <c r="O2679" s="25">
        <f t="shared" si="0"/>
        <v>0</v>
      </c>
      <c r="P2679" s="25" t="str">
        <f t="shared" si="2"/>
        <v/>
      </c>
      <c r="Q2679" s="25" t="str">
        <f ca="1">IFERROR(__xludf.DUMMYFUNCTION("""COMPUTED_VALUE"""),"Sin defenir")</f>
        <v>Sin defenir</v>
      </c>
      <c r="R2679" s="25"/>
      <c r="S2679" s="55"/>
      <c r="T2679" s="56"/>
      <c r="U2679" s="25"/>
      <c r="V2679" s="25"/>
      <c r="W2679" s="25"/>
      <c r="X2679" s="25"/>
      <c r="Y2679" s="25"/>
      <c r="Z2679" s="25"/>
    </row>
    <row r="2680" spans="1:26" ht="52.5" customHeight="1" x14ac:dyDescent="0.25">
      <c r="A2680" s="25" t="str">
        <f ca="1">IFERROR(__xludf.DUMMYFUNCTION("""COMPUTED_VALUE"""),"Cultu278")</f>
        <v>Cultu278</v>
      </c>
      <c r="B2680" s="25"/>
      <c r="C2680" s="55"/>
      <c r="D2680" s="25" t="str">
        <f ca="1">IFERROR(__xludf.DUMMYFUNCTION("""COMPUTED_VALUE"""),"Cultura")</f>
        <v>Cultura</v>
      </c>
      <c r="E2680" s="25"/>
      <c r="F2680" s="25"/>
      <c r="G2680" s="25"/>
      <c r="H2680" s="25"/>
      <c r="I2680" s="25"/>
      <c r="J2680" s="55"/>
      <c r="K2680" s="25" t="str">
        <f ca="1">IFERROR(__xludf.DUMMYFUNCTION("""COMPUTED_VALUE"""),"Definir fecha")</f>
        <v>Definir fecha</v>
      </c>
      <c r="L2680" s="62"/>
      <c r="M2680" s="25"/>
      <c r="N2680" s="25"/>
      <c r="O2680" s="25">
        <f t="shared" si="0"/>
        <v>0</v>
      </c>
      <c r="P2680" s="25" t="str">
        <f t="shared" si="2"/>
        <v/>
      </c>
      <c r="Q2680" s="25" t="str">
        <f ca="1">IFERROR(__xludf.DUMMYFUNCTION("""COMPUTED_VALUE"""),"Sin defenir")</f>
        <v>Sin defenir</v>
      </c>
      <c r="R2680" s="25"/>
      <c r="S2680" s="55"/>
      <c r="T2680" s="56"/>
      <c r="U2680" s="25"/>
      <c r="V2680" s="25"/>
      <c r="W2680" s="25"/>
      <c r="X2680" s="25"/>
      <c r="Y2680" s="25"/>
      <c r="Z2680" s="25"/>
    </row>
    <row r="2681" spans="1:26" ht="52.5" customHeight="1" x14ac:dyDescent="0.25">
      <c r="A2681" s="25" t="str">
        <f ca="1">IFERROR(__xludf.DUMMYFUNCTION("""COMPUTED_VALUE"""),"Cultu279")</f>
        <v>Cultu279</v>
      </c>
      <c r="B2681" s="25"/>
      <c r="C2681" s="55"/>
      <c r="D2681" s="25" t="str">
        <f ca="1">IFERROR(__xludf.DUMMYFUNCTION("""COMPUTED_VALUE"""),"Cultura")</f>
        <v>Cultura</v>
      </c>
      <c r="E2681" s="25"/>
      <c r="F2681" s="25"/>
      <c r="G2681" s="25"/>
      <c r="H2681" s="25"/>
      <c r="I2681" s="25"/>
      <c r="J2681" s="55"/>
      <c r="K2681" s="25" t="str">
        <f ca="1">IFERROR(__xludf.DUMMYFUNCTION("""COMPUTED_VALUE"""),"Definir fecha")</f>
        <v>Definir fecha</v>
      </c>
      <c r="L2681" s="62"/>
      <c r="M2681" s="25"/>
      <c r="N2681" s="25"/>
      <c r="O2681" s="25">
        <f t="shared" si="0"/>
        <v>0</v>
      </c>
      <c r="P2681" s="25" t="str">
        <f t="shared" si="2"/>
        <v/>
      </c>
      <c r="Q2681" s="25" t="str">
        <f ca="1">IFERROR(__xludf.DUMMYFUNCTION("""COMPUTED_VALUE"""),"Sin defenir")</f>
        <v>Sin defenir</v>
      </c>
      <c r="R2681" s="25"/>
      <c r="S2681" s="55"/>
      <c r="T2681" s="56"/>
      <c r="U2681" s="25"/>
      <c r="V2681" s="25"/>
      <c r="W2681" s="25"/>
      <c r="X2681" s="25"/>
      <c r="Y2681" s="25"/>
      <c r="Z2681" s="25"/>
    </row>
    <row r="2682" spans="1:26" ht="52.5" customHeight="1" x14ac:dyDescent="0.25">
      <c r="A2682" s="25" t="str">
        <f ca="1">IFERROR(__xludf.DUMMYFUNCTION("""COMPUTED_VALUE"""),"Cultu280")</f>
        <v>Cultu280</v>
      </c>
      <c r="B2682" s="25"/>
      <c r="C2682" s="55"/>
      <c r="D2682" s="25" t="str">
        <f ca="1">IFERROR(__xludf.DUMMYFUNCTION("""COMPUTED_VALUE"""),"Cultura")</f>
        <v>Cultura</v>
      </c>
      <c r="E2682" s="25"/>
      <c r="F2682" s="25"/>
      <c r="G2682" s="25"/>
      <c r="H2682" s="25"/>
      <c r="I2682" s="25"/>
      <c r="J2682" s="55"/>
      <c r="K2682" s="25" t="str">
        <f ca="1">IFERROR(__xludf.DUMMYFUNCTION("""COMPUTED_VALUE"""),"Definir fecha")</f>
        <v>Definir fecha</v>
      </c>
      <c r="L2682" s="62"/>
      <c r="M2682" s="25"/>
      <c r="N2682" s="25"/>
      <c r="O2682" s="25">
        <f t="shared" si="0"/>
        <v>0</v>
      </c>
      <c r="P2682" s="25" t="str">
        <f t="shared" si="2"/>
        <v/>
      </c>
      <c r="Q2682" s="25" t="str">
        <f ca="1">IFERROR(__xludf.DUMMYFUNCTION("""COMPUTED_VALUE"""),"Sin defenir")</f>
        <v>Sin defenir</v>
      </c>
      <c r="R2682" s="25"/>
      <c r="S2682" s="55"/>
      <c r="T2682" s="56"/>
      <c r="U2682" s="25"/>
      <c r="V2682" s="25"/>
      <c r="W2682" s="25"/>
      <c r="X2682" s="25"/>
      <c r="Y2682" s="25"/>
      <c r="Z2682" s="25"/>
    </row>
    <row r="2683" spans="1:26" ht="52.5" customHeight="1" x14ac:dyDescent="0.25">
      <c r="A2683" s="25" t="str">
        <f ca="1">IFERROR(__xludf.DUMMYFUNCTION("""COMPUTED_VALUE"""),"Cultu281")</f>
        <v>Cultu281</v>
      </c>
      <c r="B2683" s="25"/>
      <c r="C2683" s="55"/>
      <c r="D2683" s="25" t="str">
        <f ca="1">IFERROR(__xludf.DUMMYFUNCTION("""COMPUTED_VALUE"""),"Cultura")</f>
        <v>Cultura</v>
      </c>
      <c r="E2683" s="25"/>
      <c r="F2683" s="25"/>
      <c r="G2683" s="25"/>
      <c r="H2683" s="25"/>
      <c r="I2683" s="25"/>
      <c r="J2683" s="55"/>
      <c r="K2683" s="25" t="str">
        <f ca="1">IFERROR(__xludf.DUMMYFUNCTION("""COMPUTED_VALUE"""),"Definir fecha")</f>
        <v>Definir fecha</v>
      </c>
      <c r="L2683" s="62"/>
      <c r="M2683" s="25"/>
      <c r="N2683" s="25"/>
      <c r="O2683" s="25">
        <f t="shared" si="0"/>
        <v>0</v>
      </c>
      <c r="P2683" s="25" t="str">
        <f t="shared" si="2"/>
        <v/>
      </c>
      <c r="Q2683" s="25" t="str">
        <f ca="1">IFERROR(__xludf.DUMMYFUNCTION("""COMPUTED_VALUE"""),"Sin defenir")</f>
        <v>Sin defenir</v>
      </c>
      <c r="R2683" s="25"/>
      <c r="S2683" s="55"/>
      <c r="T2683" s="56"/>
      <c r="U2683" s="25"/>
      <c r="V2683" s="25"/>
      <c r="W2683" s="25"/>
      <c r="X2683" s="25"/>
      <c r="Y2683" s="25"/>
      <c r="Z2683" s="25"/>
    </row>
    <row r="2684" spans="1:26" ht="52.5" customHeight="1" x14ac:dyDescent="0.25">
      <c r="A2684" s="25" t="str">
        <f ca="1">IFERROR(__xludf.DUMMYFUNCTION("""COMPUTED_VALUE"""),"Cultu282")</f>
        <v>Cultu282</v>
      </c>
      <c r="B2684" s="25"/>
      <c r="C2684" s="55"/>
      <c r="D2684" s="25" t="str">
        <f ca="1">IFERROR(__xludf.DUMMYFUNCTION("""COMPUTED_VALUE"""),"Cultura")</f>
        <v>Cultura</v>
      </c>
      <c r="E2684" s="25"/>
      <c r="F2684" s="25"/>
      <c r="G2684" s="25"/>
      <c r="H2684" s="25"/>
      <c r="I2684" s="25"/>
      <c r="J2684" s="55"/>
      <c r="K2684" s="25" t="str">
        <f ca="1">IFERROR(__xludf.DUMMYFUNCTION("""COMPUTED_VALUE"""),"Definir fecha")</f>
        <v>Definir fecha</v>
      </c>
      <c r="L2684" s="62"/>
      <c r="M2684" s="25"/>
      <c r="N2684" s="25"/>
      <c r="O2684" s="25">
        <f t="shared" si="0"/>
        <v>0</v>
      </c>
      <c r="P2684" s="25" t="str">
        <f t="shared" si="2"/>
        <v/>
      </c>
      <c r="Q2684" s="25" t="str">
        <f ca="1">IFERROR(__xludf.DUMMYFUNCTION("""COMPUTED_VALUE"""),"Sin defenir")</f>
        <v>Sin defenir</v>
      </c>
      <c r="R2684" s="25"/>
      <c r="S2684" s="55"/>
      <c r="T2684" s="56"/>
      <c r="U2684" s="25"/>
      <c r="V2684" s="25"/>
      <c r="W2684" s="25"/>
      <c r="X2684" s="25"/>
      <c r="Y2684" s="25"/>
      <c r="Z2684" s="25"/>
    </row>
    <row r="2685" spans="1:26" ht="52.5" customHeight="1" x14ac:dyDescent="0.25">
      <c r="A2685" s="25" t="str">
        <f ca="1">IFERROR(__xludf.DUMMYFUNCTION("""COMPUTED_VALUE"""),"Cultu283")</f>
        <v>Cultu283</v>
      </c>
      <c r="B2685" s="25"/>
      <c r="C2685" s="55"/>
      <c r="D2685" s="25" t="str">
        <f ca="1">IFERROR(__xludf.DUMMYFUNCTION("""COMPUTED_VALUE"""),"Cultura")</f>
        <v>Cultura</v>
      </c>
      <c r="E2685" s="25"/>
      <c r="F2685" s="25"/>
      <c r="G2685" s="25"/>
      <c r="H2685" s="25"/>
      <c r="I2685" s="25"/>
      <c r="J2685" s="55"/>
      <c r="K2685" s="25" t="str">
        <f ca="1">IFERROR(__xludf.DUMMYFUNCTION("""COMPUTED_VALUE"""),"Definir fecha")</f>
        <v>Definir fecha</v>
      </c>
      <c r="L2685" s="62"/>
      <c r="M2685" s="25"/>
      <c r="N2685" s="25"/>
      <c r="O2685" s="25">
        <f t="shared" si="0"/>
        <v>0</v>
      </c>
      <c r="P2685" s="25" t="str">
        <f t="shared" si="2"/>
        <v/>
      </c>
      <c r="Q2685" s="25" t="str">
        <f ca="1">IFERROR(__xludf.DUMMYFUNCTION("""COMPUTED_VALUE"""),"Sin defenir")</f>
        <v>Sin defenir</v>
      </c>
      <c r="R2685" s="25"/>
      <c r="S2685" s="55"/>
      <c r="T2685" s="56"/>
      <c r="U2685" s="25"/>
      <c r="V2685" s="25"/>
      <c r="W2685" s="25"/>
      <c r="X2685" s="25"/>
      <c r="Y2685" s="25"/>
      <c r="Z2685" s="25"/>
    </row>
    <row r="2686" spans="1:26" ht="52.5" customHeight="1" x14ac:dyDescent="0.25">
      <c r="A2686" s="25" t="str">
        <f ca="1">IFERROR(__xludf.DUMMYFUNCTION("""COMPUTED_VALUE"""),"Cultu284")</f>
        <v>Cultu284</v>
      </c>
      <c r="B2686" s="25"/>
      <c r="C2686" s="55"/>
      <c r="D2686" s="25" t="str">
        <f ca="1">IFERROR(__xludf.DUMMYFUNCTION("""COMPUTED_VALUE"""),"Cultura")</f>
        <v>Cultura</v>
      </c>
      <c r="E2686" s="25"/>
      <c r="F2686" s="25"/>
      <c r="G2686" s="25"/>
      <c r="H2686" s="25"/>
      <c r="I2686" s="25"/>
      <c r="J2686" s="55"/>
      <c r="K2686" s="25" t="str">
        <f ca="1">IFERROR(__xludf.DUMMYFUNCTION("""COMPUTED_VALUE"""),"Definir fecha")</f>
        <v>Definir fecha</v>
      </c>
      <c r="L2686" s="62"/>
      <c r="M2686" s="25"/>
      <c r="N2686" s="25"/>
      <c r="O2686" s="25">
        <f t="shared" si="0"/>
        <v>0</v>
      </c>
      <c r="P2686" s="25" t="str">
        <f t="shared" si="2"/>
        <v/>
      </c>
      <c r="Q2686" s="25" t="str">
        <f ca="1">IFERROR(__xludf.DUMMYFUNCTION("""COMPUTED_VALUE"""),"Sin defenir")</f>
        <v>Sin defenir</v>
      </c>
      <c r="R2686" s="25"/>
      <c r="S2686" s="55"/>
      <c r="T2686" s="56"/>
      <c r="U2686" s="25"/>
      <c r="V2686" s="25"/>
      <c r="W2686" s="25"/>
      <c r="X2686" s="25"/>
      <c r="Y2686" s="25"/>
      <c r="Z2686" s="25"/>
    </row>
    <row r="2687" spans="1:26" ht="52.5" customHeight="1" x14ac:dyDescent="0.25">
      <c r="A2687" s="25" t="str">
        <f ca="1">IFERROR(__xludf.DUMMYFUNCTION("""COMPUTED_VALUE"""),"Cultu285")</f>
        <v>Cultu285</v>
      </c>
      <c r="B2687" s="25"/>
      <c r="C2687" s="55"/>
      <c r="D2687" s="25" t="str">
        <f ca="1">IFERROR(__xludf.DUMMYFUNCTION("""COMPUTED_VALUE"""),"Cultura")</f>
        <v>Cultura</v>
      </c>
      <c r="E2687" s="25"/>
      <c r="F2687" s="25"/>
      <c r="G2687" s="25"/>
      <c r="H2687" s="25"/>
      <c r="I2687" s="25"/>
      <c r="J2687" s="55"/>
      <c r="K2687" s="25" t="str">
        <f ca="1">IFERROR(__xludf.DUMMYFUNCTION("""COMPUTED_VALUE"""),"Definir fecha")</f>
        <v>Definir fecha</v>
      </c>
      <c r="L2687" s="62"/>
      <c r="M2687" s="25"/>
      <c r="N2687" s="25"/>
      <c r="O2687" s="25">
        <f t="shared" si="0"/>
        <v>0</v>
      </c>
      <c r="P2687" s="25" t="str">
        <f t="shared" si="2"/>
        <v/>
      </c>
      <c r="Q2687" s="25" t="str">
        <f ca="1">IFERROR(__xludf.DUMMYFUNCTION("""COMPUTED_VALUE"""),"Sin defenir")</f>
        <v>Sin defenir</v>
      </c>
      <c r="R2687" s="25"/>
      <c r="S2687" s="55"/>
      <c r="T2687" s="56"/>
      <c r="U2687" s="25"/>
      <c r="V2687" s="25"/>
      <c r="W2687" s="25"/>
      <c r="X2687" s="25"/>
      <c r="Y2687" s="25"/>
      <c r="Z2687" s="25"/>
    </row>
    <row r="2688" spans="1:26" ht="52.5" customHeight="1" x14ac:dyDescent="0.25">
      <c r="A2688" s="25" t="str">
        <f ca="1">IFERROR(__xludf.DUMMYFUNCTION("""COMPUTED_VALUE"""),"Cultu286")</f>
        <v>Cultu286</v>
      </c>
      <c r="B2688" s="25"/>
      <c r="C2688" s="55"/>
      <c r="D2688" s="25" t="str">
        <f ca="1">IFERROR(__xludf.DUMMYFUNCTION("""COMPUTED_VALUE"""),"Cultura")</f>
        <v>Cultura</v>
      </c>
      <c r="E2688" s="25"/>
      <c r="F2688" s="25"/>
      <c r="G2688" s="25"/>
      <c r="H2688" s="25"/>
      <c r="I2688" s="25"/>
      <c r="J2688" s="55"/>
      <c r="K2688" s="25" t="str">
        <f ca="1">IFERROR(__xludf.DUMMYFUNCTION("""COMPUTED_VALUE"""),"Definir fecha")</f>
        <v>Definir fecha</v>
      </c>
      <c r="L2688" s="62"/>
      <c r="M2688" s="25"/>
      <c r="N2688" s="25"/>
      <c r="O2688" s="25">
        <f t="shared" si="0"/>
        <v>0</v>
      </c>
      <c r="P2688" s="25" t="str">
        <f t="shared" si="2"/>
        <v/>
      </c>
      <c r="Q2688" s="25" t="str">
        <f ca="1">IFERROR(__xludf.DUMMYFUNCTION("""COMPUTED_VALUE"""),"Sin defenir")</f>
        <v>Sin defenir</v>
      </c>
      <c r="R2688" s="25"/>
      <c r="S2688" s="55"/>
      <c r="T2688" s="56"/>
      <c r="U2688" s="25"/>
      <c r="V2688" s="25"/>
      <c r="W2688" s="25"/>
      <c r="X2688" s="25"/>
      <c r="Y2688" s="25"/>
      <c r="Z2688" s="25"/>
    </row>
    <row r="2689" spans="1:26" ht="52.5" customHeight="1" x14ac:dyDescent="0.25">
      <c r="A2689" s="25" t="str">
        <f ca="1">IFERROR(__xludf.DUMMYFUNCTION("""COMPUTED_VALUE"""),"Cultu287")</f>
        <v>Cultu287</v>
      </c>
      <c r="B2689" s="25"/>
      <c r="C2689" s="55"/>
      <c r="D2689" s="25" t="str">
        <f ca="1">IFERROR(__xludf.DUMMYFUNCTION("""COMPUTED_VALUE"""),"Cultura")</f>
        <v>Cultura</v>
      </c>
      <c r="E2689" s="25"/>
      <c r="F2689" s="25"/>
      <c r="G2689" s="25"/>
      <c r="H2689" s="25"/>
      <c r="I2689" s="25"/>
      <c r="J2689" s="55"/>
      <c r="K2689" s="25" t="str">
        <f ca="1">IFERROR(__xludf.DUMMYFUNCTION("""COMPUTED_VALUE"""),"Definir fecha")</f>
        <v>Definir fecha</v>
      </c>
      <c r="L2689" s="62"/>
      <c r="M2689" s="25"/>
      <c r="N2689" s="25"/>
      <c r="O2689" s="25">
        <f t="shared" si="0"/>
        <v>0</v>
      </c>
      <c r="P2689" s="25" t="str">
        <f t="shared" si="2"/>
        <v/>
      </c>
      <c r="Q2689" s="25" t="str">
        <f ca="1">IFERROR(__xludf.DUMMYFUNCTION("""COMPUTED_VALUE"""),"Sin defenir")</f>
        <v>Sin defenir</v>
      </c>
      <c r="R2689" s="25"/>
      <c r="S2689" s="55"/>
      <c r="T2689" s="56"/>
      <c r="U2689" s="25"/>
      <c r="V2689" s="25"/>
      <c r="W2689" s="25"/>
      <c r="X2689" s="25"/>
      <c r="Y2689" s="25"/>
      <c r="Z2689" s="25"/>
    </row>
    <row r="2690" spans="1:26" ht="52.5" customHeight="1" x14ac:dyDescent="0.25">
      <c r="A2690" s="25" t="str">
        <f ca="1">IFERROR(__xludf.DUMMYFUNCTION("""COMPUTED_VALUE"""),"Cultu288")</f>
        <v>Cultu288</v>
      </c>
      <c r="B2690" s="25"/>
      <c r="C2690" s="55"/>
      <c r="D2690" s="25" t="str">
        <f ca="1">IFERROR(__xludf.DUMMYFUNCTION("""COMPUTED_VALUE"""),"Cultura")</f>
        <v>Cultura</v>
      </c>
      <c r="E2690" s="25"/>
      <c r="F2690" s="25"/>
      <c r="G2690" s="25"/>
      <c r="H2690" s="25"/>
      <c r="I2690" s="25"/>
      <c r="J2690" s="55"/>
      <c r="K2690" s="25" t="str">
        <f ca="1">IFERROR(__xludf.DUMMYFUNCTION("""COMPUTED_VALUE"""),"Definir fecha")</f>
        <v>Definir fecha</v>
      </c>
      <c r="L2690" s="62"/>
      <c r="M2690" s="25"/>
      <c r="N2690" s="25"/>
      <c r="O2690" s="25">
        <f t="shared" si="0"/>
        <v>0</v>
      </c>
      <c r="P2690" s="25" t="str">
        <f t="shared" si="2"/>
        <v/>
      </c>
      <c r="Q2690" s="25" t="str">
        <f ca="1">IFERROR(__xludf.DUMMYFUNCTION("""COMPUTED_VALUE"""),"Sin defenir")</f>
        <v>Sin defenir</v>
      </c>
      <c r="R2690" s="25"/>
      <c r="S2690" s="55"/>
      <c r="T2690" s="56"/>
      <c r="U2690" s="25"/>
      <c r="V2690" s="25"/>
      <c r="W2690" s="25"/>
      <c r="X2690" s="25"/>
      <c r="Y2690" s="25"/>
      <c r="Z2690" s="25"/>
    </row>
    <row r="2691" spans="1:26" ht="52.5" customHeight="1" x14ac:dyDescent="0.25">
      <c r="A2691" s="25" t="str">
        <f ca="1">IFERROR(__xludf.DUMMYFUNCTION("""COMPUTED_VALUE"""),"Cultu289")</f>
        <v>Cultu289</v>
      </c>
      <c r="B2691" s="25"/>
      <c r="C2691" s="55"/>
      <c r="D2691" s="25" t="str">
        <f ca="1">IFERROR(__xludf.DUMMYFUNCTION("""COMPUTED_VALUE"""),"Cultura")</f>
        <v>Cultura</v>
      </c>
      <c r="E2691" s="25"/>
      <c r="F2691" s="25"/>
      <c r="G2691" s="25"/>
      <c r="H2691" s="25"/>
      <c r="I2691" s="25"/>
      <c r="J2691" s="55"/>
      <c r="K2691" s="25" t="str">
        <f ca="1">IFERROR(__xludf.DUMMYFUNCTION("""COMPUTED_VALUE"""),"Definir fecha")</f>
        <v>Definir fecha</v>
      </c>
      <c r="L2691" s="62"/>
      <c r="M2691" s="25"/>
      <c r="N2691" s="25"/>
      <c r="O2691" s="25">
        <f t="shared" si="0"/>
        <v>0</v>
      </c>
      <c r="P2691" s="25" t="str">
        <f t="shared" si="2"/>
        <v/>
      </c>
      <c r="Q2691" s="25" t="str">
        <f ca="1">IFERROR(__xludf.DUMMYFUNCTION("""COMPUTED_VALUE"""),"Sin defenir")</f>
        <v>Sin defenir</v>
      </c>
      <c r="R2691" s="25"/>
      <c r="S2691" s="55"/>
      <c r="T2691" s="56"/>
      <c r="U2691" s="25"/>
      <c r="V2691" s="25"/>
      <c r="W2691" s="25"/>
      <c r="X2691" s="25"/>
      <c r="Y2691" s="25"/>
      <c r="Z2691" s="25"/>
    </row>
    <row r="2692" spans="1:26" ht="52.5" customHeight="1" x14ac:dyDescent="0.25">
      <c r="A2692" s="25" t="str">
        <f ca="1">IFERROR(__xludf.DUMMYFUNCTION("""COMPUTED_VALUE"""),"Cultu290")</f>
        <v>Cultu290</v>
      </c>
      <c r="B2692" s="25"/>
      <c r="C2692" s="55"/>
      <c r="D2692" s="25" t="str">
        <f ca="1">IFERROR(__xludf.DUMMYFUNCTION("""COMPUTED_VALUE"""),"Cultura")</f>
        <v>Cultura</v>
      </c>
      <c r="E2692" s="25"/>
      <c r="F2692" s="25"/>
      <c r="G2692" s="25"/>
      <c r="H2692" s="25"/>
      <c r="I2692" s="25"/>
      <c r="J2692" s="55"/>
      <c r="K2692" s="25" t="str">
        <f ca="1">IFERROR(__xludf.DUMMYFUNCTION("""COMPUTED_VALUE"""),"Definir fecha")</f>
        <v>Definir fecha</v>
      </c>
      <c r="L2692" s="62"/>
      <c r="M2692" s="25"/>
      <c r="N2692" s="25"/>
      <c r="O2692" s="25">
        <f t="shared" si="0"/>
        <v>0</v>
      </c>
      <c r="P2692" s="25" t="str">
        <f t="shared" si="2"/>
        <v/>
      </c>
      <c r="Q2692" s="25" t="str">
        <f ca="1">IFERROR(__xludf.DUMMYFUNCTION("""COMPUTED_VALUE"""),"Sin defenir")</f>
        <v>Sin defenir</v>
      </c>
      <c r="R2692" s="25"/>
      <c r="S2692" s="55"/>
      <c r="T2692" s="56"/>
      <c r="U2692" s="25"/>
      <c r="V2692" s="25"/>
      <c r="W2692" s="25"/>
      <c r="X2692" s="25"/>
      <c r="Y2692" s="25"/>
      <c r="Z2692" s="25"/>
    </row>
    <row r="2693" spans="1:26" ht="52.5" customHeight="1" x14ac:dyDescent="0.25">
      <c r="A2693" s="25" t="str">
        <f ca="1">IFERROR(__xludf.DUMMYFUNCTION("""COMPUTED_VALUE"""),"Cultu291")</f>
        <v>Cultu291</v>
      </c>
      <c r="B2693" s="25"/>
      <c r="C2693" s="55"/>
      <c r="D2693" s="25" t="str">
        <f ca="1">IFERROR(__xludf.DUMMYFUNCTION("""COMPUTED_VALUE"""),"Cultura")</f>
        <v>Cultura</v>
      </c>
      <c r="E2693" s="25"/>
      <c r="F2693" s="25"/>
      <c r="G2693" s="25"/>
      <c r="H2693" s="25"/>
      <c r="I2693" s="25"/>
      <c r="J2693" s="55"/>
      <c r="K2693" s="25" t="str">
        <f ca="1">IFERROR(__xludf.DUMMYFUNCTION("""COMPUTED_VALUE"""),"Definir fecha")</f>
        <v>Definir fecha</v>
      </c>
      <c r="L2693" s="62"/>
      <c r="M2693" s="25"/>
      <c r="N2693" s="25"/>
      <c r="O2693" s="25">
        <f t="shared" si="0"/>
        <v>0</v>
      </c>
      <c r="P2693" s="25" t="str">
        <f t="shared" si="2"/>
        <v/>
      </c>
      <c r="Q2693" s="25" t="str">
        <f ca="1">IFERROR(__xludf.DUMMYFUNCTION("""COMPUTED_VALUE"""),"Sin defenir")</f>
        <v>Sin defenir</v>
      </c>
      <c r="R2693" s="25"/>
      <c r="S2693" s="55"/>
      <c r="T2693" s="56"/>
      <c r="U2693" s="25"/>
      <c r="V2693" s="25"/>
      <c r="W2693" s="25"/>
      <c r="X2693" s="25"/>
      <c r="Y2693" s="25"/>
      <c r="Z2693" s="25"/>
    </row>
    <row r="2694" spans="1:26" ht="52.5" customHeight="1" x14ac:dyDescent="0.25">
      <c r="A2694" s="25" t="str">
        <f ca="1">IFERROR(__xludf.DUMMYFUNCTION("""COMPUTED_VALUE"""),"Cultu292")</f>
        <v>Cultu292</v>
      </c>
      <c r="B2694" s="25"/>
      <c r="C2694" s="55"/>
      <c r="D2694" s="25" t="str">
        <f ca="1">IFERROR(__xludf.DUMMYFUNCTION("""COMPUTED_VALUE"""),"Cultura")</f>
        <v>Cultura</v>
      </c>
      <c r="E2694" s="25"/>
      <c r="F2694" s="25"/>
      <c r="G2694" s="25"/>
      <c r="H2694" s="25"/>
      <c r="I2694" s="25"/>
      <c r="J2694" s="55"/>
      <c r="K2694" s="25" t="str">
        <f ca="1">IFERROR(__xludf.DUMMYFUNCTION("""COMPUTED_VALUE"""),"Definir fecha")</f>
        <v>Definir fecha</v>
      </c>
      <c r="L2694" s="62"/>
      <c r="M2694" s="25"/>
      <c r="N2694" s="25"/>
      <c r="O2694" s="25">
        <f t="shared" si="0"/>
        <v>0</v>
      </c>
      <c r="P2694" s="25" t="str">
        <f t="shared" si="2"/>
        <v/>
      </c>
      <c r="Q2694" s="25" t="str">
        <f ca="1">IFERROR(__xludf.DUMMYFUNCTION("""COMPUTED_VALUE"""),"Sin defenir")</f>
        <v>Sin defenir</v>
      </c>
      <c r="R2694" s="25"/>
      <c r="S2694" s="55"/>
      <c r="T2694" s="56"/>
      <c r="U2694" s="25"/>
      <c r="V2694" s="25"/>
      <c r="W2694" s="25"/>
      <c r="X2694" s="25"/>
      <c r="Y2694" s="25"/>
      <c r="Z2694" s="25"/>
    </row>
    <row r="2695" spans="1:26" ht="52.5" customHeight="1" x14ac:dyDescent="0.25">
      <c r="A2695" s="25" t="str">
        <f ca="1">IFERROR(__xludf.DUMMYFUNCTION("""COMPUTED_VALUE"""),"Cultu293")</f>
        <v>Cultu293</v>
      </c>
      <c r="B2695" s="25"/>
      <c r="C2695" s="55"/>
      <c r="D2695" s="25" t="str">
        <f ca="1">IFERROR(__xludf.DUMMYFUNCTION("""COMPUTED_VALUE"""),"Cultura")</f>
        <v>Cultura</v>
      </c>
      <c r="E2695" s="25"/>
      <c r="F2695" s="25"/>
      <c r="G2695" s="25"/>
      <c r="H2695" s="25"/>
      <c r="I2695" s="25"/>
      <c r="J2695" s="55"/>
      <c r="K2695" s="25" t="str">
        <f ca="1">IFERROR(__xludf.DUMMYFUNCTION("""COMPUTED_VALUE"""),"Definir fecha")</f>
        <v>Definir fecha</v>
      </c>
      <c r="L2695" s="62"/>
      <c r="M2695" s="25"/>
      <c r="N2695" s="25"/>
      <c r="O2695" s="25">
        <f t="shared" si="0"/>
        <v>0</v>
      </c>
      <c r="P2695" s="25" t="str">
        <f t="shared" si="2"/>
        <v/>
      </c>
      <c r="Q2695" s="25" t="str">
        <f ca="1">IFERROR(__xludf.DUMMYFUNCTION("""COMPUTED_VALUE"""),"Sin defenir")</f>
        <v>Sin defenir</v>
      </c>
      <c r="R2695" s="25"/>
      <c r="S2695" s="55"/>
      <c r="T2695" s="56"/>
      <c r="U2695" s="25"/>
      <c r="V2695" s="25"/>
      <c r="W2695" s="25"/>
      <c r="X2695" s="25"/>
      <c r="Y2695" s="25"/>
      <c r="Z2695" s="25"/>
    </row>
    <row r="2696" spans="1:26" ht="52.5" customHeight="1" x14ac:dyDescent="0.25">
      <c r="A2696" s="25" t="str">
        <f ca="1">IFERROR(__xludf.DUMMYFUNCTION("""COMPUTED_VALUE"""),"Cultu294")</f>
        <v>Cultu294</v>
      </c>
      <c r="B2696" s="25"/>
      <c r="C2696" s="55"/>
      <c r="D2696" s="25" t="str">
        <f ca="1">IFERROR(__xludf.DUMMYFUNCTION("""COMPUTED_VALUE"""),"Cultura")</f>
        <v>Cultura</v>
      </c>
      <c r="E2696" s="25"/>
      <c r="F2696" s="25"/>
      <c r="G2696" s="25"/>
      <c r="H2696" s="25"/>
      <c r="I2696" s="25"/>
      <c r="J2696" s="55"/>
      <c r="K2696" s="25" t="str">
        <f ca="1">IFERROR(__xludf.DUMMYFUNCTION("""COMPUTED_VALUE"""),"Definir fecha")</f>
        <v>Definir fecha</v>
      </c>
      <c r="L2696" s="62"/>
      <c r="M2696" s="25"/>
      <c r="N2696" s="25"/>
      <c r="O2696" s="25">
        <f t="shared" si="0"/>
        <v>0</v>
      </c>
      <c r="P2696" s="25" t="str">
        <f t="shared" si="2"/>
        <v/>
      </c>
      <c r="Q2696" s="25" t="str">
        <f ca="1">IFERROR(__xludf.DUMMYFUNCTION("""COMPUTED_VALUE"""),"Sin defenir")</f>
        <v>Sin defenir</v>
      </c>
      <c r="R2696" s="25"/>
      <c r="S2696" s="55"/>
      <c r="T2696" s="56"/>
      <c r="U2696" s="25"/>
      <c r="V2696" s="25"/>
      <c r="W2696" s="25"/>
      <c r="X2696" s="25"/>
      <c r="Y2696" s="25"/>
      <c r="Z2696" s="25"/>
    </row>
    <row r="2697" spans="1:26" ht="52.5" customHeight="1" x14ac:dyDescent="0.25">
      <c r="A2697" s="25" t="str">
        <f ca="1">IFERROR(__xludf.DUMMYFUNCTION("""COMPUTED_VALUE"""),"Cultu295")</f>
        <v>Cultu295</v>
      </c>
      <c r="B2697" s="25"/>
      <c r="C2697" s="55"/>
      <c r="D2697" s="25" t="str">
        <f ca="1">IFERROR(__xludf.DUMMYFUNCTION("""COMPUTED_VALUE"""),"Cultura")</f>
        <v>Cultura</v>
      </c>
      <c r="E2697" s="25"/>
      <c r="F2697" s="25"/>
      <c r="G2697" s="25"/>
      <c r="H2697" s="25"/>
      <c r="I2697" s="25"/>
      <c r="J2697" s="55"/>
      <c r="K2697" s="25" t="str">
        <f ca="1">IFERROR(__xludf.DUMMYFUNCTION("""COMPUTED_VALUE"""),"Definir fecha")</f>
        <v>Definir fecha</v>
      </c>
      <c r="L2697" s="62"/>
      <c r="M2697" s="25"/>
      <c r="N2697" s="25"/>
      <c r="O2697" s="25">
        <f t="shared" si="0"/>
        <v>0</v>
      </c>
      <c r="P2697" s="25" t="str">
        <f t="shared" si="2"/>
        <v/>
      </c>
      <c r="Q2697" s="25" t="str">
        <f ca="1">IFERROR(__xludf.DUMMYFUNCTION("""COMPUTED_VALUE"""),"Sin defenir")</f>
        <v>Sin defenir</v>
      </c>
      <c r="R2697" s="25"/>
      <c r="S2697" s="55"/>
      <c r="T2697" s="56"/>
      <c r="U2697" s="25"/>
      <c r="V2697" s="25"/>
      <c r="W2697" s="25"/>
      <c r="X2697" s="25"/>
      <c r="Y2697" s="25"/>
      <c r="Z2697" s="25"/>
    </row>
    <row r="2698" spans="1:26" ht="52.5" customHeight="1" x14ac:dyDescent="0.25">
      <c r="A2698" s="25" t="str">
        <f ca="1">IFERROR(__xludf.DUMMYFUNCTION("""COMPUTED_VALUE"""),"Cultu296")</f>
        <v>Cultu296</v>
      </c>
      <c r="B2698" s="25"/>
      <c r="C2698" s="55"/>
      <c r="D2698" s="25" t="str">
        <f ca="1">IFERROR(__xludf.DUMMYFUNCTION("""COMPUTED_VALUE"""),"Cultura")</f>
        <v>Cultura</v>
      </c>
      <c r="E2698" s="25"/>
      <c r="F2698" s="25"/>
      <c r="G2698" s="25"/>
      <c r="H2698" s="25"/>
      <c r="I2698" s="25"/>
      <c r="J2698" s="55"/>
      <c r="K2698" s="25" t="str">
        <f ca="1">IFERROR(__xludf.DUMMYFUNCTION("""COMPUTED_VALUE"""),"Definir fecha")</f>
        <v>Definir fecha</v>
      </c>
      <c r="L2698" s="62"/>
      <c r="M2698" s="25"/>
      <c r="N2698" s="25"/>
      <c r="O2698" s="25">
        <f t="shared" si="0"/>
        <v>0</v>
      </c>
      <c r="P2698" s="25" t="str">
        <f t="shared" si="2"/>
        <v/>
      </c>
      <c r="Q2698" s="25" t="str">
        <f ca="1">IFERROR(__xludf.DUMMYFUNCTION("""COMPUTED_VALUE"""),"Sin defenir")</f>
        <v>Sin defenir</v>
      </c>
      <c r="R2698" s="25"/>
      <c r="S2698" s="55"/>
      <c r="T2698" s="56"/>
      <c r="U2698" s="25"/>
      <c r="V2698" s="25"/>
      <c r="W2698" s="25"/>
      <c r="X2698" s="25"/>
      <c r="Y2698" s="25"/>
      <c r="Z2698" s="25"/>
    </row>
    <row r="2699" spans="1:26" ht="52.5" customHeight="1" x14ac:dyDescent="0.25">
      <c r="A2699" s="25" t="str">
        <f ca="1">IFERROR(__xludf.DUMMYFUNCTION("""COMPUTED_VALUE"""),"Cultu297")</f>
        <v>Cultu297</v>
      </c>
      <c r="B2699" s="25"/>
      <c r="C2699" s="55"/>
      <c r="D2699" s="25" t="str">
        <f ca="1">IFERROR(__xludf.DUMMYFUNCTION("""COMPUTED_VALUE"""),"Cultura")</f>
        <v>Cultura</v>
      </c>
      <c r="E2699" s="25"/>
      <c r="F2699" s="25"/>
      <c r="G2699" s="25"/>
      <c r="H2699" s="25"/>
      <c r="I2699" s="25"/>
      <c r="J2699" s="55"/>
      <c r="K2699" s="25" t="str">
        <f ca="1">IFERROR(__xludf.DUMMYFUNCTION("""COMPUTED_VALUE"""),"Definir fecha")</f>
        <v>Definir fecha</v>
      </c>
      <c r="L2699" s="62"/>
      <c r="M2699" s="25"/>
      <c r="N2699" s="25"/>
      <c r="O2699" s="25">
        <f t="shared" si="0"/>
        <v>0</v>
      </c>
      <c r="P2699" s="25" t="str">
        <f t="shared" si="2"/>
        <v/>
      </c>
      <c r="Q2699" s="25" t="str">
        <f ca="1">IFERROR(__xludf.DUMMYFUNCTION("""COMPUTED_VALUE"""),"Sin defenir")</f>
        <v>Sin defenir</v>
      </c>
      <c r="R2699" s="25"/>
      <c r="S2699" s="55"/>
      <c r="T2699" s="56"/>
      <c r="U2699" s="25"/>
      <c r="V2699" s="25"/>
      <c r="W2699" s="25"/>
      <c r="X2699" s="25"/>
      <c r="Y2699" s="25"/>
      <c r="Z2699" s="25"/>
    </row>
    <row r="2700" spans="1:26" ht="52.5" customHeight="1" x14ac:dyDescent="0.25">
      <c r="A2700" s="25" t="str">
        <f ca="1">IFERROR(__xludf.DUMMYFUNCTION("""COMPUTED_VALUE"""),"Cultu298")</f>
        <v>Cultu298</v>
      </c>
      <c r="B2700" s="25"/>
      <c r="C2700" s="55"/>
      <c r="D2700" s="25" t="str">
        <f ca="1">IFERROR(__xludf.DUMMYFUNCTION("""COMPUTED_VALUE"""),"Cultura")</f>
        <v>Cultura</v>
      </c>
      <c r="E2700" s="25"/>
      <c r="F2700" s="25"/>
      <c r="G2700" s="25"/>
      <c r="H2700" s="25"/>
      <c r="I2700" s="25"/>
      <c r="J2700" s="55"/>
      <c r="K2700" s="25" t="str">
        <f ca="1">IFERROR(__xludf.DUMMYFUNCTION("""COMPUTED_VALUE"""),"Definir fecha")</f>
        <v>Definir fecha</v>
      </c>
      <c r="L2700" s="62"/>
      <c r="M2700" s="25"/>
      <c r="N2700" s="25"/>
      <c r="O2700" s="25">
        <f t="shared" si="0"/>
        <v>0</v>
      </c>
      <c r="P2700" s="25" t="str">
        <f t="shared" si="2"/>
        <v/>
      </c>
      <c r="Q2700" s="25" t="str">
        <f ca="1">IFERROR(__xludf.DUMMYFUNCTION("""COMPUTED_VALUE"""),"Sin defenir")</f>
        <v>Sin defenir</v>
      </c>
      <c r="R2700" s="25"/>
      <c r="S2700" s="55"/>
      <c r="T2700" s="56"/>
      <c r="U2700" s="25"/>
      <c r="V2700" s="25"/>
      <c r="W2700" s="25"/>
      <c r="X2700" s="25"/>
      <c r="Y2700" s="25"/>
      <c r="Z2700" s="25"/>
    </row>
    <row r="2701" spans="1:26" ht="52.5" customHeight="1" x14ac:dyDescent="0.25">
      <c r="A2701" s="25" t="str">
        <f ca="1">IFERROR(__xludf.DUMMYFUNCTION("""COMPUTED_VALUE"""),"Cultu299")</f>
        <v>Cultu299</v>
      </c>
      <c r="B2701" s="25"/>
      <c r="C2701" s="55"/>
      <c r="D2701" s="25" t="str">
        <f ca="1">IFERROR(__xludf.DUMMYFUNCTION("""COMPUTED_VALUE"""),"Cultura")</f>
        <v>Cultura</v>
      </c>
      <c r="E2701" s="25"/>
      <c r="F2701" s="25"/>
      <c r="G2701" s="25"/>
      <c r="H2701" s="25"/>
      <c r="I2701" s="25"/>
      <c r="J2701" s="55"/>
      <c r="K2701" s="25" t="str">
        <f ca="1">IFERROR(__xludf.DUMMYFUNCTION("""COMPUTED_VALUE"""),"Definir fecha")</f>
        <v>Definir fecha</v>
      </c>
      <c r="L2701" s="62"/>
      <c r="M2701" s="25"/>
      <c r="N2701" s="25"/>
      <c r="O2701" s="25">
        <f t="shared" si="0"/>
        <v>0</v>
      </c>
      <c r="P2701" s="25" t="str">
        <f t="shared" si="2"/>
        <v/>
      </c>
      <c r="Q2701" s="25" t="str">
        <f ca="1">IFERROR(__xludf.DUMMYFUNCTION("""COMPUTED_VALUE"""),"Sin defenir")</f>
        <v>Sin defenir</v>
      </c>
      <c r="R2701" s="25"/>
      <c r="S2701" s="55"/>
      <c r="T2701" s="56"/>
      <c r="U2701" s="25"/>
      <c r="V2701" s="25"/>
      <c r="W2701" s="25"/>
      <c r="X2701" s="25"/>
      <c r="Y2701" s="25"/>
      <c r="Z2701" s="25"/>
    </row>
    <row r="2702" spans="1:26" ht="52.5" customHeight="1" x14ac:dyDescent="0.25">
      <c r="A2702" s="25" t="str">
        <f ca="1">IFERROR(__xludf.DUMMYFUNCTION("""COMPUTED_VALUE"""),"Cultu300")</f>
        <v>Cultu300</v>
      </c>
      <c r="B2702" s="25"/>
      <c r="C2702" s="55"/>
      <c r="D2702" s="25" t="str">
        <f ca="1">IFERROR(__xludf.DUMMYFUNCTION("""COMPUTED_VALUE"""),"Cultura")</f>
        <v>Cultura</v>
      </c>
      <c r="E2702" s="25"/>
      <c r="F2702" s="25"/>
      <c r="G2702" s="25"/>
      <c r="H2702" s="25"/>
      <c r="I2702" s="25"/>
      <c r="J2702" s="55"/>
      <c r="K2702" s="25" t="str">
        <f ca="1">IFERROR(__xludf.DUMMYFUNCTION("""COMPUTED_VALUE"""),"Definir fecha")</f>
        <v>Definir fecha</v>
      </c>
      <c r="L2702" s="62"/>
      <c r="M2702" s="25"/>
      <c r="N2702" s="25"/>
      <c r="O2702" s="25">
        <f t="shared" si="0"/>
        <v>0</v>
      </c>
      <c r="P2702" s="25" t="str">
        <f t="shared" si="2"/>
        <v/>
      </c>
      <c r="Q2702" s="25" t="str">
        <f ca="1">IFERROR(__xludf.DUMMYFUNCTION("""COMPUTED_VALUE"""),"Sin defenir")</f>
        <v>Sin defenir</v>
      </c>
      <c r="R2702" s="25"/>
      <c r="S2702" s="55"/>
      <c r="T2702" s="56"/>
      <c r="U2702" s="25"/>
      <c r="V2702" s="25"/>
      <c r="W2702" s="25"/>
      <c r="X2702" s="25"/>
      <c r="Y2702" s="25"/>
      <c r="Z2702" s="25"/>
    </row>
    <row r="2703" spans="1:26" ht="52.5" customHeight="1" x14ac:dyDescent="0.25">
      <c r="A2703" s="25" t="str">
        <f ca="1">IFERROR(__xludf.DUMMYFUNCTION("IMPORTRANGE(""https://docs.google.com/spreadsheets/d/1SUh42QDwFP8obN0GNIj4rWfstJx5kDi_GF8-hP5_7Ug/edit#gid=330735094"",""Ambiente!A2:K301"")"),"Ambie1")</f>
        <v>Ambie1</v>
      </c>
      <c r="B2703" s="25"/>
      <c r="C2703" s="55"/>
      <c r="D2703" s="25" t="str">
        <f ca="1">IFERROR(__xludf.DUMMYFUNCTION("""COMPUTED_VALUE"""),"Ambiente")</f>
        <v>Ambiente</v>
      </c>
      <c r="E2703" s="25" t="str">
        <f ca="1">IFERROR(__xludf.DUMMYFUNCTION("""COMPUTED_VALUE"""),"Jardín Botánico José Celestino Mutis")</f>
        <v>Jardín Botánico José Celestino Mutis</v>
      </c>
      <c r="F2703" s="25" t="str">
        <f ca="1">IFERROR(__xludf.DUMMYFUNCTION("""COMPUTED_VALUE"""),"Eliminada")</f>
        <v>Eliminada</v>
      </c>
      <c r="G2703" s="25"/>
      <c r="H2703" s="25"/>
      <c r="I2703" s="25"/>
      <c r="J2703" s="55"/>
      <c r="K2703" s="25" t="str">
        <f ca="1">IFERROR(__xludf.DUMMYFUNCTION("""COMPUTED_VALUE"""),"Definir fecha")</f>
        <v>Definir fecha</v>
      </c>
      <c r="L2703" s="62" t="str">
        <f ca="1">IFERROR(__xludf.DUMMYFUNCTION("IMPORTRANGE(""https://docs.google.com/spreadsheets/d/1SUh42QDwFP8obN0GNIj4rWfstJx5kDi_GF8-hP5_7Ug/edit#gid=330735094"",""Ambiente!M2:O301"")"),"")</f>
        <v/>
      </c>
      <c r="M2703" s="25"/>
      <c r="N2703" s="25"/>
      <c r="O2703" s="25" t="str">
        <f t="shared" ca="1" si="0"/>
        <v>Jardín Botánico José Celestino Mutis</v>
      </c>
      <c r="P2703" s="25" t="str">
        <f t="shared" si="2"/>
        <v/>
      </c>
      <c r="Q2703" s="25" t="str">
        <f ca="1">IFERROR(__xludf.DUMMYFUNCTION("IMPORTRANGE(""https://docs.google.com/spreadsheets/d/1SUh42QDwFP8obN0GNIj4rWfstJx5kDi_GF8-hP5_7Ug/edit#gid=330735094"",""Ambiente!L2:L301"")"),"Sin defenir")</f>
        <v>Sin defenir</v>
      </c>
      <c r="R2703" s="25"/>
      <c r="S2703" s="55"/>
      <c r="T2703" s="56"/>
      <c r="U2703" s="25"/>
      <c r="V2703" s="25"/>
      <c r="W2703" s="25"/>
      <c r="X2703" s="25"/>
      <c r="Y2703" s="25"/>
      <c r="Z2703" s="25"/>
    </row>
    <row r="2704" spans="1:26" ht="52.5" customHeight="1" x14ac:dyDescent="0.25">
      <c r="A2704" s="25" t="str">
        <f ca="1">IFERROR(__xludf.DUMMYFUNCTION("""COMPUTED_VALUE"""),"Ambie2")</f>
        <v>Ambie2</v>
      </c>
      <c r="B2704" s="25" t="str">
        <f ca="1">IFERROR(__xludf.DUMMYFUNCTION("""COMPUTED_VALUE"""),"Reunión Ministerio de Cultura")</f>
        <v>Reunión Ministerio de Cultura</v>
      </c>
      <c r="C2704" s="55">
        <f ca="1">IFERROR(__xludf.DUMMYFUNCTION("""COMPUTED_VALUE"""),44616)</f>
        <v>44616</v>
      </c>
      <c r="D2704" s="25" t="str">
        <f ca="1">IFERROR(__xludf.DUMMYFUNCTION("""COMPUTED_VALUE"""),"Ambiente")</f>
        <v>Ambiente</v>
      </c>
      <c r="E2704" s="25" t="str">
        <f ca="1">IFERROR(__xludf.DUMMYFUNCTION("""COMPUTED_VALUE"""),"Jardín Botánico José Celestino Mutis")</f>
        <v>Jardín Botánico José Celestino Mutis</v>
      </c>
      <c r="F2704" s="25" t="str">
        <f ca="1">IFERROR(__xludf.DUMMYFUNCTION("""COMPUTED_VALUE"""),"Realizar adecuaciones en la Estación del Tren de la Sabana para la creación de un parque central evocado a las artes y a la conservación y fortalecimiento de áreas verdes y de arbolado urbano.")</f>
        <v>Realizar adecuaciones en la Estación del Tren de la Sabana para la creación de un parque central evocado a las artes y a la conservación y fortalecimiento de áreas verdes y de arbolado urbano.</v>
      </c>
      <c r="G2704" s="25" t="str">
        <f ca="1">IFERROR(__xludf.DUMMYFUNCTION("""COMPUTED_VALUE"""),"14. Martires")</f>
        <v>14. Martires</v>
      </c>
      <c r="H2704" s="55">
        <f ca="1">IFERROR(__xludf.DUMMYFUNCTION("""COMPUTED_VALUE"""),45139)</f>
        <v>45139</v>
      </c>
      <c r="I2704" s="25" t="str">
        <f ca="1">IFERROR(__xludf.DUMMYFUNCTION("""COMPUTED_VALUE"""),"Delivery Unit")</f>
        <v>Delivery Unit</v>
      </c>
      <c r="J2704" s="55" t="str">
        <f ca="1">IFERROR(__xludf.DUMMYFUNCTION("""COMPUTED_VALUE"""),"Alta")</f>
        <v>Alta</v>
      </c>
      <c r="K2704" s="25">
        <f ca="1">IFERROR(__xludf.DUMMYFUNCTION("""COMPUTED_VALUE"""),523)</f>
        <v>523</v>
      </c>
      <c r="L2704" s="62">
        <f ca="1">IFERROR(__xludf.DUMMYFUNCTION("""COMPUTED_VALUE"""),45077)</f>
        <v>45077</v>
      </c>
      <c r="M2704" s="25" t="str">
        <f ca="1">IFERROR(__xludf.DUMMYFUNCTION("""COMPUTED_VALUE"""),"A la fecha no se ha recibido viabilidad por parte del INVIAS, para realizar la implementación del Bosque Urbano, Estación de la Sabana.
Socializados los resultados de prefactibilidad del IDU sobre la modificación de la reserva víal y selección de la alter"&amp;"nativa más viable, se adelanta el ajuste de los diseños paisajísticos por el JBB en el mes de mayo para concertar los dos proyectos y presentarlos en el mismo mes al Invias y el Ministerio de Cultura relacionados con el par vial Av. Mariscal Sucre que afe"&amp;"cta el predio de la estación de las sabana a partir de la solicitud presentada por el Ministerio de Cultura, el Invias y el IDPC.  
A la fecha, la Resolución del Plan Especial de Manejo y Protección (PEMP) de la Estación de La Sabana está pendiente de fir"&amp;"ma por parte del Ministerio de Cultura, instrumento a partir del cual se brindan los lineamientos técnicos de conservación, intervención y protección de este patrimonio histórico y cultural de la ciudad. Además, INVIAS como entidad poseedora del predio no"&amp;" ha otorgado viabilidad a la propuesta de implementación del bosque urbano en la estación presentada por el JBB, al encontrarse en esta zona un par vial de la Av. Mariscal Sucre que afecta el predio de La Sabana, motivo por el cual, para el cierre del mes"&amp;" de mayo de 2023 el JBB presentará los ajustes a los diseños paisajísticos ante el Ministerio, INVÍAS y el IDPC para avanzar con el desarrollo de la tarea.")</f>
        <v>A la fecha no se ha recibido viabilidad por parte del INVIAS, para realizar la implementación del Bosque Urbano, Estación de la Sabana.
Socializados los resultados de prefactibilidad del IDU sobre la modificación de la reserva víal y selección de la alternativa más viable, se adelanta el ajuste de los diseños paisajísticos por el JBB en el mes de mayo para concertar los dos proyectos y presentarlos en el mismo mes al Invias y el Ministerio de Cultura relacionados con el par vial Av. Mariscal Sucre que afecta el predio de la estación de las sabana a partir de la solicitud presentada por el Ministerio de Cultura, el Invias y el IDPC.  
A la fecha, la Resolución del Plan Especial de Manejo y Protección (PEMP) de la Estación de La Sabana está pendiente de firma por parte del Ministerio de Cultura, instrumento a partir del cual se brindan los lineamientos técnicos de conservación, intervención y protección de este patrimonio histórico y cultural de la ciudad. Además, INVIAS como entidad poseedora del predio no ha otorgado viabilidad a la propuesta de implementación del bosque urbano en la estación presentada por el JBB, al encontrarse en esta zona un par vial de la Av. Mariscal Sucre que afecta el predio de La Sabana, motivo por el cual, para el cierre del mes de mayo de 2023 el JBB presentará los ajustes a los diseños paisajísticos ante el Ministerio, INVÍAS y el IDPC para avanzar con el desarrollo de la tarea.</v>
      </c>
      <c r="N2704" s="25"/>
      <c r="O2704" s="25" t="str">
        <f t="shared" ca="1" si="0"/>
        <v>Jardín Botánico José Celestino Mutis</v>
      </c>
      <c r="P2704" s="25" t="str">
        <f t="shared" ca="1" si="2"/>
        <v/>
      </c>
      <c r="Q2704" s="25" t="str">
        <f ca="1">IFERROR(__xludf.DUMMYFUNCTION("""COMPUTED_VALUE"""),"Largo plazo")</f>
        <v>Largo plazo</v>
      </c>
      <c r="R2704" s="25"/>
      <c r="S2704" s="55"/>
      <c r="T2704" s="56"/>
      <c r="U2704" s="25"/>
      <c r="V2704" s="25"/>
      <c r="W2704" s="25"/>
      <c r="X2704" s="25"/>
      <c r="Y2704" s="25"/>
      <c r="Z2704" s="25"/>
    </row>
    <row r="2705" spans="1:26" ht="52.5" customHeight="1" x14ac:dyDescent="0.25">
      <c r="A2705" s="25" t="str">
        <f ca="1">IFERROR(__xludf.DUMMYFUNCTION("""COMPUTED_VALUE"""),"Ambie3")</f>
        <v>Ambie3</v>
      </c>
      <c r="B2705" s="25" t="str">
        <f ca="1">IFERROR(__xludf.DUMMYFUNCTION("""COMPUTED_VALUE"""),"Mesa POT- Residentes")</f>
        <v>Mesa POT- Residentes</v>
      </c>
      <c r="C2705" s="55">
        <f ca="1">IFERROR(__xludf.DUMMYFUNCTION("""COMPUTED_VALUE"""),44613)</f>
        <v>44613</v>
      </c>
      <c r="D2705" s="25" t="str">
        <f ca="1">IFERROR(__xludf.DUMMYFUNCTION("""COMPUTED_VALUE"""),"Ambiente")</f>
        <v>Ambiente</v>
      </c>
      <c r="E2705" s="25" t="str">
        <f ca="1">IFERROR(__xludf.DUMMYFUNCTION("""COMPUTED_VALUE"""),"Secretaría Distrital de Ambiente")</f>
        <v>Secretaría Distrital de Ambiente</v>
      </c>
      <c r="F2705" s="25" t="str">
        <f ca="1">IFERROR(__xludf.DUMMYFUNCTION("""COMPUTED_VALUE"""),"Mochuelo y Quiba: 
Articulación con la Alcaldía Local y la Secretaría de Ambiente para realizar control urbanístico, cierre de canteras y ocupaciones ilegales. Avanzar en la protección la zona rural.")</f>
        <v>Mochuelo y Quiba: 
Articulación con la Alcaldía Local y la Secretaría de Ambiente para realizar control urbanístico, cierre de canteras y ocupaciones ilegales. Avanzar en la protección la zona rural.</v>
      </c>
      <c r="G2705" s="25" t="str">
        <f ca="1">IFERROR(__xludf.DUMMYFUNCTION("""COMPUTED_VALUE"""),"19. Ciudad Bolívar")</f>
        <v>19. Ciudad Bolívar</v>
      </c>
      <c r="H2705" s="55">
        <f ca="1">IFERROR(__xludf.DUMMYFUNCTION("""COMPUTED_VALUE"""),45000)</f>
        <v>45000</v>
      </c>
      <c r="I2705" s="25" t="str">
        <f ca="1">IFERROR(__xludf.DUMMYFUNCTION("""COMPUTED_VALUE"""),"Delivery Unit")</f>
        <v>Delivery Unit</v>
      </c>
      <c r="J2705" s="55" t="str">
        <f ca="1">IFERROR(__xludf.DUMMYFUNCTION("""COMPUTED_VALUE"""),"Alta")</f>
        <v>Alta</v>
      </c>
      <c r="K2705" s="25">
        <f ca="1">IFERROR(__xludf.DUMMYFUNCTION("""COMPUTED_VALUE"""),387)</f>
        <v>387</v>
      </c>
      <c r="L2705" s="62">
        <f ca="1">IFERROR(__xludf.DUMMYFUNCTION("""COMPUTED_VALUE"""),45077)</f>
        <v>45077</v>
      </c>
      <c r="M2705" s="25" t="str">
        <f ca="1">IFERROR(__xludf.DUMMYFUNCTION("""COMPUTED_VALUE"""),"El único operativo que se ha realizado (25 de febrero)  del Comando Especializado ambiental, en la localidad de Ciudad Bolívar, zona Quiba, se obtuvieron los siguientes resultados:
Entidades participantes Hábitat, Gobierno, Ambiente, Alcaldía Local, 
Car"&amp;", Carabineros, Gaula, Ejército, MNVCC, Cai Móvil.
1. Personas Sensibilizadas 240 personas  
2. Instalación de afiches informativos 210, volantes  entregados a los residentes del sector 600
3. Desmonte de publicidad de venta de lotes 52 
4. Personas at"&amp;"endidas con consultas, sobre la compra de terrenos y la condición de la zona 67.
5. Recolección de información para línea investigativa.
6. Demolición en el sector de 5 inmuebles construidos de manera ilegal.
7. Se hace entrega de planos con las caract"&amp;"erísticas de los sectores, donde no se puede construir a un frente de seguridad y red Cuidada  del sector.
8. Actividades de prevención de Gaula dando a conocer la campaña yo no pago, yo denunció 150 personas impactadas y beneficiadas.
9. Patrullaje pre"&amp;"ventivo y montado por parte de la seccional de carabineros y protección ambiental.
Debido a que no es una actividad recurrente, solicitamos el cierre de la actividad. ")</f>
        <v xml:space="preserve">El único operativo que se ha realizado (25 de febrero)  del Comando Especializado ambiental, en la localidad de Ciudad Bolívar, zona Quiba, se obtuvieron los siguientes resultados:
Entidades participantes Hábitat, Gobierno, Ambiente, Alcaldía Local, 
Car, Carabineros, Gaula, Ejército, MNVCC, Cai Móvil.
1. Personas Sensibilizadas 240 personas  
2. Instalación de afiches informativos 210, volantes  entregados a los residentes del sector 600
3. Desmonte de publicidad de venta de lotes 52 
4. Personas atendidas con consultas, sobre la compra de terrenos y la condición de la zona 67.
5. Recolección de información para línea investigativa.
6. Demolición en el sector de 5 inmuebles construidos de manera ilegal.
7. Se hace entrega de planos con las características de los sectores, donde no se puede construir a un frente de seguridad y red Cuidada  del sector.
8. Actividades de prevención de Gaula dando a conocer la campaña yo no pago, yo denunció 150 personas impactadas y beneficiadas.
9. Patrullaje preventivo y montado por parte de la seccional de carabineros y protección ambiental.
Debido a que no es una actividad recurrente, solicitamos el cierre de la actividad. </v>
      </c>
      <c r="N2705" s="55">
        <f ca="1">IFERROR(__xludf.DUMMYFUNCTION("""COMPUTED_VALUE"""),45077)</f>
        <v>45077</v>
      </c>
      <c r="O2705" s="25" t="str">
        <f t="shared" ca="1" si="0"/>
        <v>Secretaría Distrital de Ambiente</v>
      </c>
      <c r="P2705" s="25" t="str">
        <f t="shared" ca="1" si="2"/>
        <v/>
      </c>
      <c r="Q2705" s="25" t="str">
        <f ca="1">IFERROR(__xludf.DUMMYFUNCTION("""COMPUTED_VALUE"""),"Largo plazo")</f>
        <v>Largo plazo</v>
      </c>
      <c r="R2705" s="25"/>
      <c r="S2705" s="55"/>
      <c r="T2705" s="56"/>
      <c r="U2705" s="25"/>
      <c r="V2705" s="25"/>
      <c r="W2705" s="25"/>
      <c r="X2705" s="25"/>
      <c r="Y2705" s="25"/>
      <c r="Z2705" s="25"/>
    </row>
    <row r="2706" spans="1:26" ht="52.5" customHeight="1" x14ac:dyDescent="0.25">
      <c r="A2706" s="25" t="str">
        <f ca="1">IFERROR(__xludf.DUMMYFUNCTION("""COMPUTED_VALUE"""),"Ambie4")</f>
        <v>Ambie4</v>
      </c>
      <c r="B2706" s="25" t="str">
        <f ca="1">IFERROR(__xludf.DUMMYFUNCTION("""COMPUTED_VALUE"""),"Mesa POT- Residentes")</f>
        <v>Mesa POT- Residentes</v>
      </c>
      <c r="C2706" s="55">
        <f ca="1">IFERROR(__xludf.DUMMYFUNCTION("""COMPUTED_VALUE"""),44613)</f>
        <v>44613</v>
      </c>
      <c r="D2706" s="25" t="str">
        <f ca="1">IFERROR(__xludf.DUMMYFUNCTION("""COMPUTED_VALUE"""),"Ambiente")</f>
        <v>Ambiente</v>
      </c>
      <c r="E2706" s="25" t="str">
        <f ca="1">IFERROR(__xludf.DUMMYFUNCTION("""COMPUTED_VALUE"""),"Secretaría Distrital de Ambiente")</f>
        <v>Secretaría Distrital de Ambiente</v>
      </c>
      <c r="F2706" s="25" t="str">
        <f ca="1">IFERROR(__xludf.DUMMYFUNCTION("""COMPUTED_VALUE"""),"Articularse con las alcaldías locales para revisar y coordinar las acciones de reverdecimiento en Mochuelo y Quiba que se pueden ir adelantando con la comunidad y con las alcaldías locales mientras se elaboran los estudios de movilidad en los territorios.")</f>
        <v>Articularse con las alcaldías locales para revisar y coordinar las acciones de reverdecimiento en Mochuelo y Quiba que se pueden ir adelantando con la comunidad y con las alcaldías locales mientras se elaboran los estudios de movilidad en los territorios.</v>
      </c>
      <c r="G2706" s="25" t="str">
        <f ca="1">IFERROR(__xludf.DUMMYFUNCTION("""COMPUTED_VALUE"""),"19. Ciudad Bolívar")</f>
        <v>19. Ciudad Bolívar</v>
      </c>
      <c r="H2706" s="55">
        <f ca="1">IFERROR(__xludf.DUMMYFUNCTION("""COMPUTED_VALUE"""),44880)</f>
        <v>44880</v>
      </c>
      <c r="I2706" s="25" t="str">
        <f ca="1">IFERROR(__xludf.DUMMYFUNCTION("""COMPUTED_VALUE"""),"Delivery Unit")</f>
        <v>Delivery Unit</v>
      </c>
      <c r="J2706" s="55" t="str">
        <f ca="1">IFERROR(__xludf.DUMMYFUNCTION("""COMPUTED_VALUE"""),"Alta")</f>
        <v>Alta</v>
      </c>
      <c r="K2706" s="25">
        <f ca="1">IFERROR(__xludf.DUMMYFUNCTION("""COMPUTED_VALUE"""),267)</f>
        <v>267</v>
      </c>
      <c r="L2706" s="62">
        <f ca="1">IFERROR(__xludf.DUMMYFUNCTION("""COMPUTED_VALUE"""),45077)</f>
        <v>45077</v>
      </c>
      <c r="M2706" s="25" t="str">
        <f ca="1">IFERROR(__xludf.DUMMYFUNCTION("""COMPUTED_VALUE"""),"La Secretaría Distrital de Ambiente a través de la Subdirección de Ecosistemas y Ruralidad participa en los espacios del instrumento de Gestión de Mochuelo, para promover los acuerdos de Ordenamiento Ambiental de Finca (OAF)  en el territorio. En la reuni"&amp;"ón del 13 de mayo, se realizó una presentación sobre la parte productiva a cargo  de la SDDE, y la SER presenta las determinantes ambientales, la socialización del Paisaje Sostenible de Quiba en las mesas que se están llevando a cabo y la formalización de"&amp;" acuerdos de OAF. A corte de abril de 2023, se han suscrito 118 acuerdos de OAF con las familias campesinas de Mochuelo y Quiba, con el que se busca promover acciones hacia la reconversión de los sistemas productivos agropecuarios dentro de un ordenamient"&amp;"o participativo de finca con visión integral de la cuenca y énfasis ambiental. Fortaleciendo el conocimiento y buenas prácticas ambientales, con la finalidad de proteger las coberturas vegetales y nacimientos de agua.")</f>
        <v>La Secretaría Distrital de Ambiente a través de la Subdirección de Ecosistemas y Ruralidad participa en los espacios del instrumento de Gestión de Mochuelo, para promover los acuerdos de Ordenamiento Ambiental de Finca (OAF)  en el territorio. En la reunión del 13 de mayo, se realizó una presentación sobre la parte productiva a cargo  de la SDDE, y la SER presenta las determinantes ambientales, la socialización del Paisaje Sostenible de Quiba en las mesas que se están llevando a cabo y la formalización de acuerdos de OAF. A corte de abril de 2023, se han suscrito 118 acuerdos de OAF con las familias campesinas de Mochuelo y Quiba, con el que se busca promover acciones hacia la reconversión de los sistemas productivos agropecuarios dentro de un ordenamiento participativo de finca con visión integral de la cuenca y énfasis ambiental. Fortaleciendo el conocimiento y buenas prácticas ambientales, con la finalidad de proteger las coberturas vegetales y nacimientos de agua.</v>
      </c>
      <c r="N2706" s="55">
        <f ca="1">IFERROR(__xludf.DUMMYFUNCTION("""COMPUTED_VALUE"""),45077)</f>
        <v>45077</v>
      </c>
      <c r="O2706" s="25" t="str">
        <f t="shared" ca="1" si="0"/>
        <v>Secretaría Distrital de Ambiente</v>
      </c>
      <c r="P2706" s="25" t="str">
        <f t="shared" ca="1" si="2"/>
        <v/>
      </c>
      <c r="Q2706" s="25" t="str">
        <f ca="1">IFERROR(__xludf.DUMMYFUNCTION("""COMPUTED_VALUE"""),"Largo plazo")</f>
        <v>Largo plazo</v>
      </c>
      <c r="R2706" s="25"/>
      <c r="S2706" s="55"/>
      <c r="T2706" s="56"/>
      <c r="U2706" s="25"/>
      <c r="V2706" s="25"/>
      <c r="W2706" s="25"/>
      <c r="X2706" s="25"/>
      <c r="Y2706" s="25"/>
      <c r="Z2706" s="25"/>
    </row>
    <row r="2707" spans="1:26" ht="52.5" customHeight="1" x14ac:dyDescent="0.25">
      <c r="A2707" s="25" t="str">
        <f ca="1">IFERROR(__xludf.DUMMYFUNCTION("""COMPUTED_VALUE"""),"Ambie5")</f>
        <v>Ambie5</v>
      </c>
      <c r="B2707" s="25" t="str">
        <f ca="1">IFERROR(__xludf.DUMMYFUNCTION("""COMPUTED_VALUE"""),"Recorrido sendero Vivachá y Aguanoso")</f>
        <v>Recorrido sendero Vivachá y Aguanoso</v>
      </c>
      <c r="C2707" s="55">
        <f ca="1">IFERROR(__xludf.DUMMYFUNCTION("""COMPUTED_VALUE"""),44695)</f>
        <v>44695</v>
      </c>
      <c r="D2707" s="25" t="str">
        <f ca="1">IFERROR(__xludf.DUMMYFUNCTION("""COMPUTED_VALUE"""),"Ambiente")</f>
        <v>Ambiente</v>
      </c>
      <c r="E2707" s="25" t="str">
        <f ca="1">IFERROR(__xludf.DUMMYFUNCTION("""COMPUTED_VALUE"""),"Secretaría Distrital de Ambiente")</f>
        <v>Secretaría Distrital de Ambiente</v>
      </c>
      <c r="F2707" s="25" t="str">
        <f ca="1">IFERROR(__xludf.DUMMYFUNCTION("""COMPUTED_VALUE"""),"Tener un plan de los conectores ecosistémicos en el que se divide cada predio y se establecen zonas con responsabilidades de cada tramo para cada entidad específica.")</f>
        <v>Tener un plan de los conectores ecosistémicos en el que se divide cada predio y se establecen zonas con responsabilidades de cada tramo para cada entidad específica.</v>
      </c>
      <c r="G2707" s="25" t="str">
        <f ca="1">IFERROR(__xludf.DUMMYFUNCTION("""COMPUTED_VALUE"""),"99. Distrito")</f>
        <v>99. Distrito</v>
      </c>
      <c r="H2707" s="55">
        <f ca="1">IFERROR(__xludf.DUMMYFUNCTION("""COMPUTED_VALUE"""),45017)</f>
        <v>45017</v>
      </c>
      <c r="I2707" s="25"/>
      <c r="J2707" s="55" t="str">
        <f ca="1">IFERROR(__xludf.DUMMYFUNCTION("""COMPUTED_VALUE"""),"Baja")</f>
        <v>Baja</v>
      </c>
      <c r="K2707" s="25">
        <f ca="1">IFERROR(__xludf.DUMMYFUNCTION("""COMPUTED_VALUE"""),322)</f>
        <v>322</v>
      </c>
      <c r="L2707" s="62">
        <f ca="1">IFERROR(__xludf.DUMMYFUNCTION("""COMPUTED_VALUE"""),45077)</f>
        <v>45077</v>
      </c>
      <c r="M2707" s="25" t="str">
        <f ca="1">IFERROR(__xludf.DUMMYFUNCTION("""COMPUTED_VALUE"""),"El equipo de conectores ecosistémicos trabaja de manera constante en la metodología de análisis de elementos espaciales, caracterización de biodiversidad con información secundaria y modelo de conectividad para todos los conectores y nodos priorizados.")</f>
        <v>El equipo de conectores ecosistémicos trabaja de manera constante en la metodología de análisis de elementos espaciales, caracterización de biodiversidad con información secundaria y modelo de conectividad para todos los conectores y nodos priorizados.</v>
      </c>
      <c r="N2707" s="55">
        <f ca="1">IFERROR(__xludf.DUMMYFUNCTION("""COMPUTED_VALUE"""),45077)</f>
        <v>45077</v>
      </c>
      <c r="O2707" s="25" t="str">
        <f t="shared" ca="1" si="0"/>
        <v>Secretaría Distrital de Ambiente</v>
      </c>
      <c r="P2707" s="25" t="str">
        <f t="shared" si="2"/>
        <v/>
      </c>
      <c r="Q2707" s="25" t="str">
        <f ca="1">IFERROR(__xludf.DUMMYFUNCTION("""COMPUTED_VALUE"""),"Largo plazo")</f>
        <v>Largo plazo</v>
      </c>
      <c r="R2707" s="25"/>
      <c r="S2707" s="55"/>
      <c r="T2707" s="56"/>
      <c r="U2707" s="25"/>
      <c r="V2707" s="25"/>
      <c r="W2707" s="25"/>
      <c r="X2707" s="25"/>
      <c r="Y2707" s="25"/>
      <c r="Z2707" s="25"/>
    </row>
    <row r="2708" spans="1:26" ht="52.5" customHeight="1" x14ac:dyDescent="0.25">
      <c r="A2708" s="25" t="str">
        <f ca="1">IFERROR(__xludf.DUMMYFUNCTION("""COMPUTED_VALUE"""),"Ambie6")</f>
        <v>Ambie6</v>
      </c>
      <c r="B2708" s="25" t="str">
        <f ca="1">IFERROR(__xludf.DUMMYFUNCTION("""COMPUTED_VALUE"""),"Comité gestión de riesgos")</f>
        <v>Comité gestión de riesgos</v>
      </c>
      <c r="C2708" s="55">
        <f ca="1">IFERROR(__xludf.DUMMYFUNCTION("""COMPUTED_VALUE"""),44824)</f>
        <v>44824</v>
      </c>
      <c r="D2708" s="25" t="str">
        <f ca="1">IFERROR(__xludf.DUMMYFUNCTION("""COMPUTED_VALUE"""),"Ambiente")</f>
        <v>Ambiente</v>
      </c>
      <c r="E2708" s="25" t="str">
        <f ca="1">IFERROR(__xludf.DUMMYFUNCTION("""COMPUTED_VALUE"""),"Instituto Distrital de Gestión de Riesgos y Cambio Climático")</f>
        <v>Instituto Distrital de Gestión de Riesgos y Cambio Climático</v>
      </c>
      <c r="F2708" s="25" t="str">
        <f ca="1">IFERROR(__xludf.DUMMYFUNCTION("""COMPUTED_VALUE"""),"Revisar si es posible tener una estación metereológica que permita hacerle seguimiento al clima en la localidad de Sumapaz")</f>
        <v>Revisar si es posible tener una estación metereológica que permita hacerle seguimiento al clima en la localidad de Sumapaz</v>
      </c>
      <c r="G2708" s="55" t="str">
        <f ca="1">IFERROR(__xludf.DUMMYFUNCTION("""COMPUTED_VALUE"""),"20. Sumapaz")</f>
        <v>20. Sumapaz</v>
      </c>
      <c r="H2708" s="55">
        <f ca="1">IFERROR(__xludf.DUMMYFUNCTION("""COMPUTED_VALUE"""),45137)</f>
        <v>45137</v>
      </c>
      <c r="I2708" s="25" t="str">
        <f ca="1">IFERROR(__xludf.DUMMYFUNCTION("""COMPUTED_VALUE"""),"Delivery Unit")</f>
        <v>Delivery Unit</v>
      </c>
      <c r="J2708" s="55" t="str">
        <f ca="1">IFERROR(__xludf.DUMMYFUNCTION("""COMPUTED_VALUE"""),"Alta")</f>
        <v>Alta</v>
      </c>
      <c r="K2708" s="25">
        <f ca="1">IFERROR(__xludf.DUMMYFUNCTION("""COMPUTED_VALUE"""),313)</f>
        <v>313</v>
      </c>
      <c r="L2708" s="62">
        <f ca="1">IFERROR(__xludf.DUMMYFUNCTION("""COMPUTED_VALUE"""),45077)</f>
        <v>45077</v>
      </c>
      <c r="M2708" s="25" t="str">
        <f ca="1">IFERROR(__xludf.DUMMYFUNCTION("""COMPUTED_VALUE"""),"Se realizó prueba de comunicaciones con la red de estaciones actuales del IDIGER en dos ubicaciones de la localidad. La primera al inicio de la localidad en el Batallón de Infantería, y la segunda en un colegio veredal. La prueba fue exitosa.
En cuanto a "&amp;"los equipos necesarios ya se tienen en la entidad disponibles para la instalación. En cuanto al permiso de instalación con Parque Naturales está demorado, la gestión local está apoyando el proceso.")</f>
        <v>Se realizó prueba de comunicaciones con la red de estaciones actuales del IDIGER en dos ubicaciones de la localidad. La primera al inicio de la localidad en el Batallón de Infantería, y la segunda en un colegio veredal. La prueba fue exitosa.
En cuanto a los equipos necesarios ya se tienen en la entidad disponibles para la instalación. En cuanto al permiso de instalación con Parque Naturales está demorado, la gestión local está apoyando el proceso.</v>
      </c>
      <c r="N2708" s="25"/>
      <c r="O2708" s="25" t="str">
        <f t="shared" ca="1" si="0"/>
        <v>Instituto Distrital de Gestión de Riesgos y Cambio Climático</v>
      </c>
      <c r="P2708" s="25" t="str">
        <f t="shared" ca="1" si="2"/>
        <v/>
      </c>
      <c r="Q2708" s="25" t="str">
        <f ca="1">IFERROR(__xludf.DUMMYFUNCTION("""COMPUTED_VALUE"""),"Largo plazo")</f>
        <v>Largo plazo</v>
      </c>
      <c r="R2708" s="25"/>
      <c r="S2708" s="55"/>
      <c r="T2708" s="56"/>
      <c r="U2708" s="25"/>
      <c r="V2708" s="25"/>
      <c r="W2708" s="25"/>
      <c r="X2708" s="25"/>
      <c r="Y2708" s="25"/>
      <c r="Z2708" s="25"/>
    </row>
    <row r="2709" spans="1:26" ht="52.5" customHeight="1" x14ac:dyDescent="0.25">
      <c r="A2709" s="25" t="str">
        <f ca="1">IFERROR(__xludf.DUMMYFUNCTION("""COMPUTED_VALUE"""),"Ambie7")</f>
        <v>Ambie7</v>
      </c>
      <c r="B2709" s="25" t="str">
        <f ca="1">IFERROR(__xludf.DUMMYFUNCTION("""COMPUTED_VALUE"""),"Comité gestión de riesgos")</f>
        <v>Comité gestión de riesgos</v>
      </c>
      <c r="C2709" s="55">
        <f ca="1">IFERROR(__xludf.DUMMYFUNCTION("""COMPUTED_VALUE"""),44824)</f>
        <v>44824</v>
      </c>
      <c r="D2709" s="25" t="str">
        <f ca="1">IFERROR(__xludf.DUMMYFUNCTION("""COMPUTED_VALUE"""),"Ambiente")</f>
        <v>Ambiente</v>
      </c>
      <c r="E2709" s="25" t="str">
        <f ca="1">IFERROR(__xludf.DUMMYFUNCTION("""COMPUTED_VALUE"""),"Jardín Botánico José Celestino Mutis")</f>
        <v>Jardín Botánico José Celestino Mutis</v>
      </c>
      <c r="F2709" s="25" t="str">
        <f ca="1">IFERROR(__xludf.DUMMYFUNCTION("""COMPUTED_VALUE"""),"Establecer un cronograma que establezca fechas de tala de árboles.")</f>
        <v>Establecer un cronograma que establezca fechas de tala de árboles.</v>
      </c>
      <c r="G2709" s="25" t="str">
        <f ca="1">IFERROR(__xludf.DUMMYFUNCTION("""COMPUTED_VALUE"""),"99. Distrito")</f>
        <v>99. Distrito</v>
      </c>
      <c r="H2709" s="55">
        <f ca="1">IFERROR(__xludf.DUMMYFUNCTION("""COMPUTED_VALUE"""),44880)</f>
        <v>44880</v>
      </c>
      <c r="I2709" s="25"/>
      <c r="J2709" s="55" t="str">
        <f ca="1">IFERROR(__xludf.DUMMYFUNCTION("""COMPUTED_VALUE"""),"Alta")</f>
        <v>Alta</v>
      </c>
      <c r="K2709" s="25">
        <f ca="1">IFERROR(__xludf.DUMMYFUNCTION("""COMPUTED_VALUE"""),56)</f>
        <v>56</v>
      </c>
      <c r="L2709" s="62">
        <f ca="1">IFERROR(__xludf.DUMMYFUNCTION("""COMPUTED_VALUE"""),44890)</f>
        <v>44890</v>
      </c>
      <c r="M2709" s="25" t="str">
        <f ca="1">IFERROR(__xludf.DUMMYFUNCTION("""COMPUTED_VALUE"""),"Reporte del JBB: Durante la vigencia del Plan de Desarrollo se han ejecutado 169 talas en diferentes ejes de ciclorrutas de la ciudad, distribuidos así: 2020: 71 talas, 2021: 57 talas : 2022: 41 talas. 
A corte 31 de diciembre de 2022, se ejecutaron 3.51"&amp;"0 intervenciones de manejo silvicultura por gestión del riesgo, a la fecha de este reporte se han realizado 268. Se precisa que  todas las intervenciones requieren del permiso emitido por la SDA. Se atenderán acorde con la priorización que se realice acor"&amp;"de con la evaluaación del riesgo.")</f>
        <v>Reporte del JBB: Durante la vigencia del Plan de Desarrollo se han ejecutado 169 talas en diferentes ejes de ciclorrutas de la ciudad, distribuidos así: 2020: 71 talas, 2021: 57 talas : 2022: 41 talas. 
A corte 31 de diciembre de 2022, se ejecutaron 3.510 intervenciones de manejo silvicultura por gestión del riesgo, a la fecha de este reporte se han realizado 268. Se precisa que  todas las intervenciones requieren del permiso emitido por la SDA. Se atenderán acorde con la priorización que se realice acorde con la evaluaación del riesgo.</v>
      </c>
      <c r="N2709" s="55">
        <f ca="1">IFERROR(__xludf.DUMMYFUNCTION("""COMPUTED_VALUE"""),44890)</f>
        <v>44890</v>
      </c>
      <c r="O2709" s="25" t="str">
        <f t="shared" ca="1" si="0"/>
        <v>Jardín Botánico José Celestino Mutis</v>
      </c>
      <c r="P2709" s="25" t="str">
        <f t="shared" si="2"/>
        <v/>
      </c>
      <c r="Q2709" s="25" t="str">
        <f ca="1">IFERROR(__xludf.DUMMYFUNCTION("""COMPUTED_VALUE"""),"Corto plazo")</f>
        <v>Corto plazo</v>
      </c>
      <c r="R2709" s="25"/>
      <c r="S2709" s="55"/>
      <c r="T2709" s="56"/>
      <c r="U2709" s="25"/>
      <c r="V2709" s="25"/>
      <c r="W2709" s="25"/>
      <c r="X2709" s="25"/>
      <c r="Y2709" s="25"/>
      <c r="Z2709" s="25"/>
    </row>
    <row r="2710" spans="1:26" ht="52.5" customHeight="1" x14ac:dyDescent="0.25">
      <c r="A2710" s="25" t="str">
        <f ca="1">IFERROR(__xludf.DUMMYFUNCTION("""COMPUTED_VALUE"""),"Ambie8")</f>
        <v>Ambie8</v>
      </c>
      <c r="B2710" s="25" t="str">
        <f ca="1">IFERROR(__xludf.DUMMYFUNCTION("""COMPUTED_VALUE"""),"Recorrido Kennedy")</f>
        <v>Recorrido Kennedy</v>
      </c>
      <c r="C2710" s="55">
        <f ca="1">IFERROR(__xludf.DUMMYFUNCTION("""COMPUTED_VALUE"""),44581)</f>
        <v>44581</v>
      </c>
      <c r="D2710" s="25" t="str">
        <f ca="1">IFERROR(__xludf.DUMMYFUNCTION("""COMPUTED_VALUE"""),"Ambiente")</f>
        <v>Ambiente</v>
      </c>
      <c r="E2710" s="25" t="str">
        <f ca="1">IFERROR(__xludf.DUMMYFUNCTION("""COMPUTED_VALUE"""),"Secretaría Distrital de Ambiente")</f>
        <v>Secretaría Distrital de Ambiente</v>
      </c>
      <c r="F2710" s="25" t="str">
        <f ca="1">IFERROR(__xludf.DUMMYFUNCTION("""COMPUTED_VALUE"""),"Implementar el registro de animales perdidos.")</f>
        <v>Implementar el registro de animales perdidos.</v>
      </c>
      <c r="G2710" s="55" t="str">
        <f ca="1">IFERROR(__xludf.DUMMYFUNCTION("""COMPUTED_VALUE"""),"08. Kennedy")</f>
        <v>08. Kennedy</v>
      </c>
      <c r="H2710" s="55">
        <f ca="1">IFERROR(__xludf.DUMMYFUNCTION("""COMPUTED_VALUE"""),44910)</f>
        <v>44910</v>
      </c>
      <c r="I2710" s="25"/>
      <c r="J2710" s="55" t="str">
        <f ca="1">IFERROR(__xludf.DUMMYFUNCTION("""COMPUTED_VALUE"""),"Baja")</f>
        <v>Baja</v>
      </c>
      <c r="K2710" s="25">
        <f ca="1">IFERROR(__xludf.DUMMYFUNCTION("""COMPUTED_VALUE"""),329)</f>
        <v>329</v>
      </c>
      <c r="L2710" s="62">
        <f ca="1">IFERROR(__xludf.DUMMYFUNCTION("""COMPUTED_VALUE"""),44902)</f>
        <v>44902</v>
      </c>
      <c r="M2710" s="25" t="str">
        <f ca="1">IFERROR(__xludf.DUMMYFUNCTION("""COMPUTED_VALUE"""),"1. Este registro se ha llevado a cabo con la información arrojada por los reportes de animales encontrados por la ciudadanía y los cuales se encuentran identificados con microchip, dicha información se hace a través del canal oficial, los cuales son el co"&amp;"rreo electrónico institucional y la plataforma de Bogotá te Escucha “Sistema Distrital de Quejas y Soluciones SDQS”, una vez recibida la información, el instituto contacta al tenedor responsable registrado en la plataforma “ciudadano de 4 patas” asociado "&amp;"al número de microchip con el fin de que el animal pueda nuevamente retornar a su hogar.                                                                                                                                                                       "&amp;"       2. De igual forma los diferentes programas que componen la Subdirección de Atención a la Fauna solicitan al programa de identificación la información correspondiente a caninos y felinos atendidos e identificados con microchip Durante el año 2022 se"&amp;" encuentran reportados por residentes de la localidad de Kennedy dos (2) caninos y dos (2) felinos, los cuales se mencionan a continuación:                                                                                                                    "&amp;"         1. Canino Motta, microchip 978101082734065, reportado el 18-03-2022, encontrado en las Americas, Estado: Canino retornó a su hogar.                                                                                                                   "&amp;"                                                          2. Felino microchip 978101082546109, reportado el 8-03-2022, encontrado en la localidad de Kennedy, Estado: Pertenecía al grupo de animales atendido por el grupo de Captura Esteriliza y suelta (CES"&amp;").                                                                                                                                                                                                              3. Felino Manchas, microchip 978101082724709, r"&amp;"eportado el 04-10-2022, Estado: No fue posible contactar a su propietario, el animal quedo bajo custodia de quien lo encontró.                                                                                                                    4. Canino Leo"&amp;", Microchip 981020045892693, reportado el 03-11-2022, encontrado en Banderas, Estado: No fue posible contactar a su propietario, el animal quedo bajo custodia de quien lo encontró. *Logro más importante: Contactar a los tenedores de los animales que retor"&amp;"naron a su hogar Esta información se irá actualizando a medida en que a través de los canales oficiales ingresen peticiones correspondientes a caninos y/o felinos, reportados por ciudadanos de la localidad de Kennedy.               
AVANCES A 2023:
A pa"&amp;"rtir del 3 de noviembre y hasta el 31 de diciembre de 2022 el Instituto Distrital de Protección y Bienestar Animal no recibió reportes de la ciudadanía correspondientes a animales encontrados en la localidad de Kennedy.                                    "&amp;"                                                                                                
En lo corrido del año 2023 el IDPYBA a recibido 2 solicitudes anónimas correspondientes a animales encontrados con microchip en la localidad de Kennedy:     "&amp;"                                                                    
1. Canino: Kiara Hermosa, Microchip 978101083366671, el peticionario de acuerdo a la respuesta dada por el IDPYBA envió correo electrónico con su número de contacto el 9 de febrero de 2"&amp;"022, el 10 de febrero se contactó a la tenedora quien manifestó estar buscando a su animal de compañía el cual residía en la localidad de Usme.                                                                                                                "&amp;"   
2. Canino: Horus, microchip 978101083296750, peticionario a través de petición anónima informo que el canino se encontraba en Castilla, sin embargo, nunca envió su número de contacto para determinar la situación del animal.                           "&amp;"                                                                                        
*Logro más importante: Contactar al tenedor del animal que retorno a su hogar.
")</f>
        <v xml:space="preserve">1. Este registro se ha llevado a cabo con la información arrojada por los reportes de animales encontrados por la ciudadanía y los cuales se encuentran identificados con microchip, dicha información se hace a través del canal oficial, los cuales son el correo electrónico institucional y la plataforma de Bogotá te Escucha “Sistema Distrital de Quejas y Soluciones SDQS”, una vez recibida la información, el instituto contacta al tenedor responsable registrado en la plataforma “ciudadano de 4 patas” asociado al número de microchip con el fin de que el animal pueda nuevamente retornar a su hogar.                                                                                                                                                                              2. De igual forma los diferentes programas que componen la Subdirección de Atención a la Fauna solicitan al programa de identificación la información correspondiente a caninos y felinos atendidos e identificados con microchip Durante el año 2022 se encuentran reportados por residentes de la localidad de Kennedy dos (2) caninos y dos (2) felinos, los cuales se mencionan a continuación:                                                                                                                             1. Canino Motta, microchip 978101082734065, reportado el 18-03-2022, encontrado en las Americas, Estado: Canino retornó a su hogar.                                                                                                                                                                             2. Felino microchip 978101082546109, reportado el 8-03-2022, encontrado en la localidad de Kennedy, Estado: Pertenecía al grupo de animales atendido por el grupo de Captura Esteriliza y suelta (CES).                                                                                                                                                                                                              3. Felino Manchas, microchip 978101082724709, reportado el 04-10-2022, Estado: No fue posible contactar a su propietario, el animal quedo bajo custodia de quien lo encontró.                                                                                                                    4. Canino Leo, Microchip 981020045892693, reportado el 03-11-2022, encontrado en Banderas, Estado: No fue posible contactar a su propietario, el animal quedo bajo custodia de quien lo encontró. *Logro más importante: Contactar a los tenedores de los animales que retornaron a su hogar Esta información se irá actualizando a medida en que a través de los canales oficiales ingresen peticiones correspondientes a caninos y/o felinos, reportados por ciudadanos de la localidad de Kennedy.               
AVANCES A 2023:
A partir del 3 de noviembre y hasta el 31 de diciembre de 2022 el Instituto Distrital de Protección y Bienestar Animal no recibió reportes de la ciudadanía correspondientes a animales encontrados en la localidad de Kennedy.                                                                                                                                    
En lo corrido del año 2023 el IDPYBA a recibido 2 solicitudes anónimas correspondientes a animales encontrados con microchip en la localidad de Kennedy:                                                                         
1. Canino: Kiara Hermosa, Microchip 978101083366671, el peticionario de acuerdo a la respuesta dada por el IDPYBA envió correo electrónico con su número de contacto el 9 de febrero de 2022, el 10 de febrero se contactó a la tenedora quien manifestó estar buscando a su animal de compañía el cual residía en la localidad de Usme.                                                                                                                   
2. Canino: Horus, microchip 978101083296750, peticionario a través de petición anónima informo que el canino se encontraba en Castilla, sin embargo, nunca envió su número de contacto para determinar la situación del animal.                                                                                                                   
*Logro más importante: Contactar al tenedor del animal que retorno a su hogar.
</v>
      </c>
      <c r="N2710" s="55">
        <f ca="1">IFERROR(__xludf.DUMMYFUNCTION("""COMPUTED_VALUE"""),44993)</f>
        <v>44993</v>
      </c>
      <c r="O2710" s="25" t="str">
        <f t="shared" ca="1" si="0"/>
        <v>Secretaría Distrital de Ambiente</v>
      </c>
      <c r="P2710" s="25" t="str">
        <f t="shared" si="2"/>
        <v/>
      </c>
      <c r="Q2710" s="25" t="str">
        <f ca="1">IFERROR(__xludf.DUMMYFUNCTION("""COMPUTED_VALUE"""),"Largo plazo")</f>
        <v>Largo plazo</v>
      </c>
      <c r="R2710" s="25"/>
      <c r="S2710" s="55"/>
      <c r="T2710" s="56"/>
      <c r="U2710" s="25"/>
      <c r="V2710" s="25"/>
      <c r="W2710" s="25"/>
      <c r="X2710" s="25"/>
      <c r="Y2710" s="25"/>
      <c r="Z2710" s="25"/>
    </row>
    <row r="2711" spans="1:26" ht="52.5" customHeight="1" x14ac:dyDescent="0.25">
      <c r="A2711" s="25" t="str">
        <f ca="1">IFERROR(__xludf.DUMMYFUNCTION("""COMPUTED_VALUE"""),"Ambie9")</f>
        <v>Ambie9</v>
      </c>
      <c r="B2711" s="25" t="str">
        <f ca="1">IFERROR(__xludf.DUMMYFUNCTION("""COMPUTED_VALUE"""),"Conectores ecosistémicos, siembra")</f>
        <v>Conectores ecosistémicos, siembra</v>
      </c>
      <c r="C2711" s="55">
        <f ca="1">IFERROR(__xludf.DUMMYFUNCTION("""COMPUTED_VALUE"""),44695)</f>
        <v>44695</v>
      </c>
      <c r="D2711" s="25" t="str">
        <f ca="1">IFERROR(__xludf.DUMMYFUNCTION("""COMPUTED_VALUE"""),"Ambiente")</f>
        <v>Ambiente</v>
      </c>
      <c r="E2711" s="25" t="str">
        <f ca="1">IFERROR(__xludf.DUMMYFUNCTION("""COMPUTED_VALUE"""),"Instituto Distrital de Gestión de Riesgos y Cambio Climático")</f>
        <v>Instituto Distrital de Gestión de Riesgos y Cambio Climático</v>
      </c>
      <c r="F2711" s="25" t="str">
        <f ca="1">IFERROR(__xludf.DUMMYFUNCTION("""COMPUTED_VALUE"""),"Preparar respuesta para la comunidad del Delirio donde se explique la solución a los temas de riesgo y que no se les va a sacar.")</f>
        <v>Preparar respuesta para la comunidad del Delirio donde se explique la solución a los temas de riesgo y que no se les va a sacar.</v>
      </c>
      <c r="G2711" s="25" t="str">
        <f ca="1">IFERROR(__xludf.DUMMYFUNCTION("""COMPUTED_VALUE"""),"04. San Cristóbal")</f>
        <v>04. San Cristóbal</v>
      </c>
      <c r="H2711" s="55">
        <f ca="1">IFERROR(__xludf.DUMMYFUNCTION("""COMPUTED_VALUE"""),44926)</f>
        <v>44926</v>
      </c>
      <c r="I2711" s="25" t="str">
        <f ca="1">IFERROR(__xludf.DUMMYFUNCTION("""COMPUTED_VALUE"""),"Delivery Unit")</f>
        <v>Delivery Unit</v>
      </c>
      <c r="J2711" s="55" t="str">
        <f ca="1">IFERROR(__xludf.DUMMYFUNCTION("""COMPUTED_VALUE"""),"Alta")</f>
        <v>Alta</v>
      </c>
      <c r="K2711" s="25">
        <f ca="1">IFERROR(__xludf.DUMMYFUNCTION("""COMPUTED_VALUE"""),231)</f>
        <v>231</v>
      </c>
      <c r="L2711" s="62">
        <f ca="1">IFERROR(__xludf.DUMMYFUNCTION("""COMPUTED_VALUE"""),45061)</f>
        <v>45061</v>
      </c>
      <c r="M2711" s="25" t="str">
        <f ca="1">IFERROR(__xludf.DUMMYFUNCTION("""COMPUTED_VALUE"""),"Este tema se venia manejando desde la SDA, en el último reporte que encontramos se menciona que se le sugirió a la Alcaldia local presentar proyecto de mitigacion del riesgo ante el Fondiger. Sin embargo desde el IDIGER precisamos que el valor de un proye"&amp;"cto de mitigación del riesgo de la cuenca alta del río Fucha supera los recursos asignados para cubrir estos temas. No obstante, frente al compromiso el trabajo con la comunidad se realizó en su momento de manera conjunta con SDA y Alcaldia Local.")</f>
        <v>Este tema se venia manejando desde la SDA, en el último reporte que encontramos se menciona que se le sugirió a la Alcaldia local presentar proyecto de mitigacion del riesgo ante el Fondiger. Sin embargo desde el IDIGER precisamos que el valor de un proyecto de mitigación del riesgo de la cuenca alta del río Fucha supera los recursos asignados para cubrir estos temas. No obstante, frente al compromiso el trabajo con la comunidad se realizó en su momento de manera conjunta con SDA y Alcaldia Local.</v>
      </c>
      <c r="N2711" s="55">
        <f ca="1">IFERROR(__xludf.DUMMYFUNCTION("""COMPUTED_VALUE"""),45077)</f>
        <v>45077</v>
      </c>
      <c r="O2711" s="25" t="str">
        <f t="shared" ca="1" si="0"/>
        <v>Instituto Distrital de Gestión de Riesgos y Cambio Climático</v>
      </c>
      <c r="P2711" s="25" t="str">
        <f t="shared" ca="1" si="2"/>
        <v/>
      </c>
      <c r="Q2711" s="25" t="str">
        <f ca="1">IFERROR(__xludf.DUMMYFUNCTION("""COMPUTED_VALUE"""),"Largo plazo")</f>
        <v>Largo plazo</v>
      </c>
      <c r="R2711" s="25"/>
      <c r="S2711" s="55"/>
      <c r="T2711" s="56"/>
      <c r="U2711" s="25"/>
      <c r="V2711" s="25"/>
      <c r="W2711" s="25"/>
      <c r="X2711" s="25"/>
      <c r="Y2711" s="25"/>
      <c r="Z2711" s="25"/>
    </row>
    <row r="2712" spans="1:26" ht="52.5" customHeight="1" x14ac:dyDescent="0.25">
      <c r="A2712" s="25" t="str">
        <f ca="1">IFERROR(__xludf.DUMMYFUNCTION("""COMPUTED_VALUE"""),"Ambie10")</f>
        <v>Ambie10</v>
      </c>
      <c r="B2712" s="25" t="str">
        <f ca="1">IFERROR(__xludf.DUMMYFUNCTION("""COMPUTED_VALUE"""),"Parque Bilbao")</f>
        <v>Parque Bilbao</v>
      </c>
      <c r="C2712" s="55">
        <f ca="1">IFERROR(__xludf.DUMMYFUNCTION("""COMPUTED_VALUE"""),44908)</f>
        <v>44908</v>
      </c>
      <c r="D2712" s="25" t="str">
        <f ca="1">IFERROR(__xludf.DUMMYFUNCTION("""COMPUTED_VALUE"""),"Ambiente")</f>
        <v>Ambiente</v>
      </c>
      <c r="E2712" s="25" t="str">
        <f ca="1">IFERROR(__xludf.DUMMYFUNCTION("""COMPUTED_VALUE"""),"Secretaría Distrital de Ambiente")</f>
        <v>Secretaría Distrital de Ambiente</v>
      </c>
      <c r="F2712" s="25" t="str">
        <f ca="1">IFERROR(__xludf.DUMMYFUNCTION("""COMPUTED_VALUE"""),"En los senderos del parque Bilbao se deben hacer corredores ecológicos e incluir a  mujeres que reverdecen para que aporten propuestas en este parque. ")</f>
        <v xml:space="preserve">En los senderos del parque Bilbao se deben hacer corredores ecológicos e incluir a  mujeres que reverdecen para que aporten propuestas en este parque. </v>
      </c>
      <c r="G2712" s="25" t="str">
        <f ca="1">IFERROR(__xludf.DUMMYFUNCTION("""COMPUTED_VALUE"""),"11. Suba")</f>
        <v>11. Suba</v>
      </c>
      <c r="H2712" s="55">
        <f ca="1">IFERROR(__xludf.DUMMYFUNCTION("""COMPUTED_VALUE"""),45017)</f>
        <v>45017</v>
      </c>
      <c r="I2712" s="25" t="str">
        <f ca="1">IFERROR(__xludf.DUMMYFUNCTION("""COMPUTED_VALUE"""),"Secretaría Privada")</f>
        <v>Secretaría Privada</v>
      </c>
      <c r="J2712" s="55" t="str">
        <f ca="1">IFERROR(__xludf.DUMMYFUNCTION("""COMPUTED_VALUE"""),"Media")</f>
        <v>Media</v>
      </c>
      <c r="K2712" s="25">
        <f ca="1">IFERROR(__xludf.DUMMYFUNCTION("""COMPUTED_VALUE"""),109)</f>
        <v>109</v>
      </c>
      <c r="L2712" s="62">
        <f ca="1">IFERROR(__xludf.DUMMYFUNCTION("""COMPUTED_VALUE"""),45077)</f>
        <v>45077</v>
      </c>
      <c r="M2712" s="25" t="str">
        <f ca="1">IFERROR(__xludf.DUMMYFUNCTION("""COMPUTED_VALUE"""),"Para el parque Bilbao de la localidad de Suba se han realizado las siguientes acciones:
1) se  realizó contacto con el gestor de Opel de la localidad 
2) se realizó contacto con la persona de la alcaldía local de suba encargada de la mesa de residuos 
3) "&amp;"se solicitó participar en la mesa de residuos del mes de mayo a realizar el miércoles 31 
4) se realizó una revisión de las acciones realizadas el último trimestre (marzo-mayo) desde la alcaldía local en el parque Bilbao y contacto con ellos. 
5) se agend"&amp;"ó una visita al parque para el viernes 2 de junio")</f>
        <v>Para el parque Bilbao de la localidad de Suba se han realizado las siguientes acciones:
1) se  realizó contacto con el gestor de Opel de la localidad 
2) se realizó contacto con la persona de la alcaldía local de suba encargada de la mesa de residuos 
3) se solicitó participar en la mesa de residuos del mes de mayo a realizar el miércoles 31 
4) se realizó una revisión de las acciones realizadas el último trimestre (marzo-mayo) desde la alcaldía local en el parque Bilbao y contacto con ellos. 
5) se agendó una visita al parque para el viernes 2 de junio</v>
      </c>
      <c r="N2712" s="25"/>
      <c r="O2712" s="25" t="str">
        <f t="shared" ca="1" si="0"/>
        <v>Secretaría Distrital de Ambiente</v>
      </c>
      <c r="P2712" s="25" t="str">
        <f t="shared" ca="1" si="2"/>
        <v/>
      </c>
      <c r="Q2712" s="25" t="str">
        <f ca="1">IFERROR(__xludf.DUMMYFUNCTION("""COMPUTED_VALUE"""),"Mediano plazo")</f>
        <v>Mediano plazo</v>
      </c>
      <c r="R2712" s="25"/>
      <c r="S2712" s="55"/>
      <c r="T2712" s="56"/>
      <c r="U2712" s="25"/>
      <c r="V2712" s="25"/>
      <c r="W2712" s="25"/>
      <c r="X2712" s="25"/>
      <c r="Y2712" s="25"/>
      <c r="Z2712" s="25"/>
    </row>
    <row r="2713" spans="1:26" ht="52.5" customHeight="1" x14ac:dyDescent="0.25">
      <c r="A2713" s="25" t="str">
        <f ca="1">IFERROR(__xludf.DUMMYFUNCTION("""COMPUTED_VALUE"""),"Ambie11")</f>
        <v>Ambie11</v>
      </c>
      <c r="B2713" s="25"/>
      <c r="C2713" s="55"/>
      <c r="D2713" s="25" t="str">
        <f ca="1">IFERROR(__xludf.DUMMYFUNCTION("""COMPUTED_VALUE"""),"Ambiente")</f>
        <v>Ambiente</v>
      </c>
      <c r="E2713" s="25" t="str">
        <f ca="1">IFERROR(__xludf.DUMMYFUNCTION("""COMPUTED_VALUE"""),"Jardín Botánico José Celestino Mutis")</f>
        <v>Jardín Botánico José Celestino Mutis</v>
      </c>
      <c r="F2713" s="25" t="str">
        <f ca="1">IFERROR(__xludf.DUMMYFUNCTION("""COMPUTED_VALUE"""),"Eliminada")</f>
        <v>Eliminada</v>
      </c>
      <c r="G2713" s="25"/>
      <c r="H2713" s="25"/>
      <c r="I2713" s="25"/>
      <c r="J2713" s="55"/>
      <c r="K2713" s="25" t="str">
        <f ca="1">IFERROR(__xludf.DUMMYFUNCTION("""COMPUTED_VALUE"""),"Definir fecha")</f>
        <v>Definir fecha</v>
      </c>
      <c r="L2713" s="62"/>
      <c r="M2713" s="25"/>
      <c r="N2713" s="25"/>
      <c r="O2713" s="25" t="str">
        <f t="shared" ca="1" si="0"/>
        <v>Jardín Botánico José Celestino Mutis</v>
      </c>
      <c r="P2713" s="25" t="str">
        <f t="shared" si="2"/>
        <v/>
      </c>
      <c r="Q2713" s="25" t="str">
        <f ca="1">IFERROR(__xludf.DUMMYFUNCTION("""COMPUTED_VALUE"""),"Sin defenir")</f>
        <v>Sin defenir</v>
      </c>
      <c r="R2713" s="25"/>
      <c r="S2713" s="55"/>
      <c r="T2713" s="56"/>
      <c r="U2713" s="25"/>
      <c r="V2713" s="25"/>
      <c r="W2713" s="25"/>
      <c r="X2713" s="25"/>
      <c r="Y2713" s="25"/>
      <c r="Z2713" s="25"/>
    </row>
    <row r="2714" spans="1:26" ht="52.5" customHeight="1" x14ac:dyDescent="0.25">
      <c r="A2714" s="25" t="str">
        <f ca="1">IFERROR(__xludf.DUMMYFUNCTION("""COMPUTED_VALUE"""),"Ambie12")</f>
        <v>Ambie12</v>
      </c>
      <c r="B2714" s="25" t="str">
        <f ca="1">IFERROR(__xludf.DUMMYFUNCTION("""COMPUTED_VALUE"""),"Parque Bilbao")</f>
        <v>Parque Bilbao</v>
      </c>
      <c r="C2714" s="55">
        <f ca="1">IFERROR(__xludf.DUMMYFUNCTION("""COMPUTED_VALUE"""),44908)</f>
        <v>44908</v>
      </c>
      <c r="D2714" s="25" t="str">
        <f ca="1">IFERROR(__xludf.DUMMYFUNCTION("""COMPUTED_VALUE"""),"Ambiente")</f>
        <v>Ambiente</v>
      </c>
      <c r="E2714" s="25" t="str">
        <f ca="1">IFERROR(__xludf.DUMMYFUNCTION("""COMPUTED_VALUE"""),"Jardín Botánico José Celestino Mutis")</f>
        <v>Jardín Botánico José Celestino Mutis</v>
      </c>
      <c r="F2714" s="25" t="str">
        <f ca="1">IFERROR(__xludf.DUMMYFUNCTION("""COMPUTED_VALUE"""),"En el parque Bilbao el JBB debe poner una huerta entre senderos. ")</f>
        <v xml:space="preserve">En el parque Bilbao el JBB debe poner una huerta entre senderos. </v>
      </c>
      <c r="G2714" s="25" t="str">
        <f ca="1">IFERROR(__xludf.DUMMYFUNCTION("""COMPUTED_VALUE"""),"11. Suba")</f>
        <v>11. Suba</v>
      </c>
      <c r="H2714" s="55">
        <f ca="1">IFERROR(__xludf.DUMMYFUNCTION("""COMPUTED_VALUE"""),45107)</f>
        <v>45107</v>
      </c>
      <c r="I2714" s="25" t="str">
        <f ca="1">IFERROR(__xludf.DUMMYFUNCTION("""COMPUTED_VALUE"""),"Secretaría Privada")</f>
        <v>Secretaría Privada</v>
      </c>
      <c r="J2714" s="55" t="str">
        <f ca="1">IFERROR(__xludf.DUMMYFUNCTION("""COMPUTED_VALUE"""),"Media")</f>
        <v>Media</v>
      </c>
      <c r="K2714" s="25">
        <f ca="1">IFERROR(__xludf.DUMMYFUNCTION("""COMPUTED_VALUE"""),199)</f>
        <v>199</v>
      </c>
      <c r="L2714" s="62">
        <f ca="1">IFERROR(__xludf.DUMMYFUNCTION("""COMPUTED_VALUE"""),45077)</f>
        <v>45077</v>
      </c>
      <c r="M2714" s="25" t="str">
        <f ca="1">IFERROR(__xludf.DUMMYFUNCTION("""COMPUTED_VALUE"""),"
El JBB realizó visita y se contactó con la presidenta de junta acción comunal, Diana Paola Barreto (JAC Lisboa), quien manifestó no estar interesada en iniciar el proceso de la huerta, dado que en el sector se presentaron problemas por cajas inundadas y "&amp;"tuberías dañadas, por lo cual se dejan los contactos de la coordinación territorial AUPA, para que una vez subsanado el problema se realice la solicitud diretamente. Se levantara acta de lo actuado.
l JBB realizó visita y se contactó con la presidenta de "&amp;"junta acción comunal, quien manifestó no estar interesada en realizar la huerta, se levantara acta con la comunidad para soportar está decisión. 
El JBB realizó visita al Parque Bilbao, para verificar las posibles áreas de intervenciòn, no obstante, se re"&amp;"itera la observación anterior 
Para la instalación de la huerta entre senderos,  1) se debe realizar reunión con la comunidad interesada, donde se socializará el protocolo de agricultura urbana; una vez con la solicitud, el JBB oficiará a la administració"&amp;"n del Parque, es importante precisar, que el JBB realizará la evaluación de criterios técnicos agrícolas, y sociales para definir la viabilidad de la misma y contar con la comunidad interesada para que asuma el mantenimiento y custodia de la huerta.")</f>
        <v xml:space="preserve">
El JBB realizó visita y se contactó con la presidenta de junta acción comunal, Diana Paola Barreto (JAC Lisboa), quien manifestó no estar interesada en iniciar el proceso de la huerta, dado que en el sector se presentaron problemas por cajas inundadas y tuberías dañadas, por lo cual se dejan los contactos de la coordinación territorial AUPA, para que una vez subsanado el problema se realice la solicitud diretamente. Se levantara acta de lo actuado.
l JBB realizó visita y se contactó con la presidenta de junta acción comunal, quien manifestó no estar interesada en realizar la huerta, se levantara acta con la comunidad para soportar está decisión. 
El JBB realizó visita al Parque Bilbao, para verificar las posibles áreas de intervenciòn, no obstante, se reitera la observación anterior 
Para la instalación de la huerta entre senderos,  1) se debe realizar reunión con la comunidad interesada, donde se socializará el protocolo de agricultura urbana; una vez con la solicitud, el JBB oficiará a la administración del Parque, es importante precisar, que el JBB realizará la evaluación de criterios técnicos agrícolas, y sociales para definir la viabilidad de la misma y contar con la comunidad interesada para que asuma el mantenimiento y custodia de la huerta.</v>
      </c>
      <c r="N2714" s="25"/>
      <c r="O2714" s="25" t="str">
        <f t="shared" ca="1" si="0"/>
        <v>Jardín Botánico José Celestino Mutis</v>
      </c>
      <c r="P2714" s="25" t="str">
        <f t="shared" ca="1" si="2"/>
        <v/>
      </c>
      <c r="Q2714" s="25" t="str">
        <f ca="1">IFERROR(__xludf.DUMMYFUNCTION("""COMPUTED_VALUE"""),"Largo plazo")</f>
        <v>Largo plazo</v>
      </c>
      <c r="R2714" s="25"/>
      <c r="S2714" s="55"/>
      <c r="T2714" s="56"/>
      <c r="U2714" s="25"/>
      <c r="V2714" s="25"/>
      <c r="W2714" s="25"/>
      <c r="X2714" s="25"/>
      <c r="Y2714" s="25"/>
      <c r="Z2714" s="25"/>
    </row>
    <row r="2715" spans="1:26" ht="52.5" customHeight="1" x14ac:dyDescent="0.25">
      <c r="A2715" s="25" t="str">
        <f ca="1">IFERROR(__xludf.DUMMYFUNCTION("""COMPUTED_VALUE"""),"Ambie13")</f>
        <v>Ambie13</v>
      </c>
      <c r="B2715" s="25" t="str">
        <f ca="1">IFERROR(__xludf.DUMMYFUNCTION("""COMPUTED_VALUE"""),"CEFE Cometas")</f>
        <v>CEFE Cometas</v>
      </c>
      <c r="C2715" s="55">
        <f ca="1">IFERROR(__xludf.DUMMYFUNCTION("""COMPUTED_VALUE"""),44910)</f>
        <v>44910</v>
      </c>
      <c r="D2715" s="25" t="str">
        <f ca="1">IFERROR(__xludf.DUMMYFUNCTION("""COMPUTED_VALUE"""),"Ambiente")</f>
        <v>Ambiente</v>
      </c>
      <c r="E2715" s="25" t="str">
        <f ca="1">IFERROR(__xludf.DUMMYFUNCTION("""COMPUTED_VALUE"""),"Jardín Botánico José Celestino Mutis")</f>
        <v>Jardín Botánico José Celestino Mutis</v>
      </c>
      <c r="F2715" s="25" t="str">
        <f ca="1">IFERROR(__xludf.DUMMYFUNCTION("""COMPUTED_VALUE"""),"Realizar siembras en el CEFE Cometas.")</f>
        <v>Realizar siembras en el CEFE Cometas.</v>
      </c>
      <c r="G2715" s="25" t="str">
        <f ca="1">IFERROR(__xludf.DUMMYFUNCTION("""COMPUTED_VALUE"""),"11. Suba")</f>
        <v>11. Suba</v>
      </c>
      <c r="H2715" s="55">
        <f ca="1">IFERROR(__xludf.DUMMYFUNCTION("""COMPUTED_VALUE"""),45017)</f>
        <v>45017</v>
      </c>
      <c r="I2715" s="25"/>
      <c r="J2715" s="55" t="str">
        <f ca="1">IFERROR(__xludf.DUMMYFUNCTION("""COMPUTED_VALUE"""),"Media")</f>
        <v>Media</v>
      </c>
      <c r="K2715" s="25">
        <f ca="1">IFERROR(__xludf.DUMMYFUNCTION("""COMPUTED_VALUE"""),107)</f>
        <v>107</v>
      </c>
      <c r="L2715" s="62">
        <f ca="1">IFERROR(__xludf.DUMMYFUNCTION("""COMPUTED_VALUE"""),44953)</f>
        <v>44953</v>
      </c>
      <c r="M2715" s="25" t="str">
        <f ca="1">IFERROR(__xludf.DUMMYFUNCTION("""COMPUTED_VALUE"""),"El JBB  realizó la plantación en el CEFE cometas, y actualmente realiza mantenimiento de los árboles establecidos, ")</f>
        <v xml:space="preserve">El JBB  realizó la plantación en el CEFE cometas, y actualmente realiza mantenimiento de los árboles establecidos, </v>
      </c>
      <c r="N2715" s="55">
        <f ca="1">IFERROR(__xludf.DUMMYFUNCTION("""COMPUTED_VALUE"""),44998)</f>
        <v>44998</v>
      </c>
      <c r="O2715" s="25" t="str">
        <f t="shared" ca="1" si="0"/>
        <v>Jardín Botánico José Celestino Mutis</v>
      </c>
      <c r="P2715" s="25" t="str">
        <f t="shared" si="2"/>
        <v/>
      </c>
      <c r="Q2715" s="25" t="str">
        <f ca="1">IFERROR(__xludf.DUMMYFUNCTION("""COMPUTED_VALUE"""),"Mediano plazo")</f>
        <v>Mediano plazo</v>
      </c>
      <c r="R2715" s="25"/>
      <c r="S2715" s="55"/>
      <c r="T2715" s="56"/>
      <c r="U2715" s="25"/>
      <c r="V2715" s="25"/>
      <c r="W2715" s="25"/>
      <c r="X2715" s="25"/>
      <c r="Y2715" s="25"/>
      <c r="Z2715" s="25"/>
    </row>
    <row r="2716" spans="1:26" ht="52.5" customHeight="1" x14ac:dyDescent="0.25">
      <c r="A2716" s="25" t="str">
        <f ca="1">IFERROR(__xludf.DUMMYFUNCTION("""COMPUTED_VALUE"""),"Ambie14")</f>
        <v>Ambie14</v>
      </c>
      <c r="B2716" s="25" t="str">
        <f ca="1">IFERROR(__xludf.DUMMYFUNCTION("""COMPUTED_VALUE"""),"Centro de Salud Candelaria la Nueva")</f>
        <v>Centro de Salud Candelaria la Nueva</v>
      </c>
      <c r="C2716" s="55">
        <f ca="1">IFERROR(__xludf.DUMMYFUNCTION("""COMPUTED_VALUE"""),44911)</f>
        <v>44911</v>
      </c>
      <c r="D2716" s="25" t="str">
        <f ca="1">IFERROR(__xludf.DUMMYFUNCTION("""COMPUTED_VALUE"""),"Ambiente")</f>
        <v>Ambiente</v>
      </c>
      <c r="E2716" s="25" t="str">
        <f ca="1">IFERROR(__xludf.DUMMYFUNCTION("""COMPUTED_VALUE"""),"Jardín Botánico José Celestino Mutis")</f>
        <v>Jardín Botánico José Celestino Mutis</v>
      </c>
      <c r="F2716" s="25" t="str">
        <f ca="1">IFERROR(__xludf.DUMMYFUNCTION("""COMPUTED_VALUE"""),"El Jardín Botánico debe realizar siembra en el Centro de Salud Candelaria la Nueva para hacer una barrera natural que aísle el CAPS. ")</f>
        <v xml:space="preserve">El Jardín Botánico debe realizar siembra en el Centro de Salud Candelaria la Nueva para hacer una barrera natural que aísle el CAPS. </v>
      </c>
      <c r="G2716" s="25" t="str">
        <f ca="1">IFERROR(__xludf.DUMMYFUNCTION("""COMPUTED_VALUE"""),"17. La Candelaria")</f>
        <v>17. La Candelaria</v>
      </c>
      <c r="H2716" s="55">
        <f ca="1">IFERROR(__xludf.DUMMYFUNCTION("""COMPUTED_VALUE"""),45017)</f>
        <v>45017</v>
      </c>
      <c r="I2716" s="25" t="str">
        <f ca="1">IFERROR(__xludf.DUMMYFUNCTION("""COMPUTED_VALUE"""),"Secretaría Privada")</f>
        <v>Secretaría Privada</v>
      </c>
      <c r="J2716" s="55" t="str">
        <f ca="1">IFERROR(__xludf.DUMMYFUNCTION("""COMPUTED_VALUE"""),"Media")</f>
        <v>Media</v>
      </c>
      <c r="K2716" s="25">
        <f ca="1">IFERROR(__xludf.DUMMYFUNCTION("""COMPUTED_VALUE"""),106)</f>
        <v>106</v>
      </c>
      <c r="L2716" s="62">
        <f ca="1">IFERROR(__xludf.DUMMYFUNCTION("""COMPUTED_VALUE"""),45077)</f>
        <v>45077</v>
      </c>
      <c r="M2716" s="25" t="str">
        <f ca="1">IFERROR(__xludf.DUMMYFUNCTION("""COMPUTED_VALUE"""),"El JBB informa que está área se va a intervenir con la  constructora, que tiene pendiente la entrega de la zona de cesión en su totalidad, para iniciar la intervención en el área
El JBB informa en dos semanas aproximadamente, el 1 de abril de 2023, inicia"&amp;"rá la intervención, como se informó cuenta con Diseño Paisajístico.
El JBB cuenta con diseño  paisajístico en la franja de control ambiental , no obstante,  no se puede adelantar la interveción debido a que se encuentra haciendo adecuación físicas de la o"&amp;"bras, lo que impide adelantar la plantación, con el fin de evitar daños en el materia vegetal.")</f>
        <v>El JBB informa que está área se va a intervenir con la  constructora, que tiene pendiente la entrega de la zona de cesión en su totalidad, para iniciar la intervención en el área
El JBB informa en dos semanas aproximadamente, el 1 de abril de 2023, iniciará la intervención, como se informó cuenta con Diseño Paisajístico.
El JBB cuenta con diseño  paisajístico en la franja de control ambiental , no obstante,  no se puede adelantar la interveción debido a que se encuentra haciendo adecuación físicas de la obras, lo que impide adelantar la plantación, con el fin de evitar daños en el materia vegetal.</v>
      </c>
      <c r="N2716" s="25"/>
      <c r="O2716" s="25" t="str">
        <f t="shared" ca="1" si="0"/>
        <v>Jardín Botánico José Celestino Mutis</v>
      </c>
      <c r="P2716" s="25" t="str">
        <f t="shared" ca="1" si="2"/>
        <v/>
      </c>
      <c r="Q2716" s="25" t="str">
        <f ca="1">IFERROR(__xludf.DUMMYFUNCTION("""COMPUTED_VALUE"""),"Mediano plazo")</f>
        <v>Mediano plazo</v>
      </c>
      <c r="R2716" s="25"/>
      <c r="S2716" s="55"/>
      <c r="T2716" s="56"/>
      <c r="U2716" s="25"/>
      <c r="V2716" s="25"/>
      <c r="W2716" s="25"/>
      <c r="X2716" s="25"/>
      <c r="Y2716" s="25"/>
      <c r="Z2716" s="25"/>
    </row>
    <row r="2717" spans="1:26" ht="52.5" customHeight="1" x14ac:dyDescent="0.25">
      <c r="A2717" s="25" t="str">
        <f ca="1">IFERROR(__xludf.DUMMYFUNCTION("""COMPUTED_VALUE"""),"Ambie15")</f>
        <v>Ambie15</v>
      </c>
      <c r="B2717" s="25" t="str">
        <f ca="1">IFERROR(__xludf.DUMMYFUNCTION("""COMPUTED_VALUE"""),"Reunión Plan de Siembra")</f>
        <v>Reunión Plan de Siembra</v>
      </c>
      <c r="C2717" s="55" t="str">
        <f ca="1">IFERROR(__xludf.DUMMYFUNCTION("""COMPUTED_VALUE"""),"09/03/2021")</f>
        <v>09/03/2021</v>
      </c>
      <c r="D2717" s="25" t="str">
        <f ca="1">IFERROR(__xludf.DUMMYFUNCTION("""COMPUTED_VALUE"""),"Ambiente")</f>
        <v>Ambiente</v>
      </c>
      <c r="E2717" s="25" t="str">
        <f ca="1">IFERROR(__xludf.DUMMYFUNCTION("""COMPUTED_VALUE"""),"Secretaría Distrital de Ambiente")</f>
        <v>Secretaría Distrital de Ambiente</v>
      </c>
      <c r="F2717" s="25" t="str">
        <f ca="1">IFERROR(__xludf.DUMMYFUNCTION("""COMPUTED_VALUE"""),"Concretar las zonas específicas y el número de árboles a sembrar en la ciudad. Con el JBB, EAAB y SDA se está consolidando un mapa general de áreas potenciales a ser restauradas para las tres entidades, el cual se tendrá a 30 de marzo de 2021
Frente a la"&amp;"s actuaciones de la SDA, en mayo de 2021 se entregará el diseño de restauración ecológica de 200 nuevas hectáreas.
")</f>
        <v xml:space="preserve">Concretar las zonas específicas y el número de árboles a sembrar en la ciudad. Con el JBB, EAAB y SDA se está consolidando un mapa general de áreas potenciales a ser restauradas para las tres entidades, el cual se tendrá a 30 de marzo de 2021
Frente a las actuaciones de la SDA, en mayo de 2021 se entregará el diseño de restauración ecológica de 200 nuevas hectáreas.
</v>
      </c>
      <c r="G2717" s="25" t="str">
        <f ca="1">IFERROR(__xludf.DUMMYFUNCTION("""COMPUTED_VALUE"""),"99. Distrito")</f>
        <v>99. Distrito</v>
      </c>
      <c r="H2717" s="55">
        <f ca="1">IFERROR(__xludf.DUMMYFUNCTION("""COMPUTED_VALUE"""),44294)</f>
        <v>44294</v>
      </c>
      <c r="I2717" s="25" t="str">
        <f ca="1">IFERROR(__xludf.DUMMYFUNCTION("""COMPUTED_VALUE"""),"Delivery Unit")</f>
        <v>Delivery Unit</v>
      </c>
      <c r="J2717" s="55" t="str">
        <f ca="1">IFERROR(__xludf.DUMMYFUNCTION("""COMPUTED_VALUE"""),"Alta")</f>
        <v>Alta</v>
      </c>
      <c r="K2717" s="25">
        <f ca="1">IFERROR(__xludf.DUMMYFUNCTION("""COMPUTED_VALUE"""),30)</f>
        <v>30</v>
      </c>
      <c r="L2717" s="62">
        <f ca="1">IFERROR(__xludf.DUMMYFUNCTION("""COMPUTED_VALUE"""),45077)</f>
        <v>45077</v>
      </c>
      <c r="M2717" s="25" t="str">
        <f ca="1">IFERROR(__xludf.DUMMYFUNCTION("""COMPUTED_VALUE"""),"La semana del 15 al 19 de mayo se envian los polígonos propuestos a intervenir por SDA y JBB en el predio La Regadera de la EAAB para  realizar plantaciones por parte de la SDA y JBB. El 25 de mayo se realiza una reunión entre el equipo SIG de las entidad"&amp;"es para resolver dudas. Pendiente respuesta por parte de la EAAB sobre autorización de ingreso al predio. ")</f>
        <v xml:space="preserve">La semana del 15 al 19 de mayo se envian los polígonos propuestos a intervenir por SDA y JBB en el predio La Regadera de la EAAB para  realizar plantaciones por parte de la SDA y JBB. El 25 de mayo se realiza una reunión entre el equipo SIG de las entidades para resolver dudas. Pendiente respuesta por parte de la EAAB sobre autorización de ingreso al predio. </v>
      </c>
      <c r="N2717" s="55">
        <f ca="1">IFERROR(__xludf.DUMMYFUNCTION("""COMPUTED_VALUE"""),45044)</f>
        <v>45044</v>
      </c>
      <c r="O2717" s="25" t="str">
        <f t="shared" ca="1" si="0"/>
        <v>Secretaría Distrital de Ambiente</v>
      </c>
      <c r="P2717" s="25" t="str">
        <f t="shared" ca="1" si="2"/>
        <v/>
      </c>
      <c r="Q2717" s="25" t="str">
        <f ca="1">IFERROR(__xludf.DUMMYFUNCTION("""COMPUTED_VALUE"""),"Corto plazo")</f>
        <v>Corto plazo</v>
      </c>
      <c r="R2717" s="25"/>
      <c r="S2717" s="55"/>
      <c r="T2717" s="56"/>
      <c r="U2717" s="25"/>
      <c r="V2717" s="25"/>
      <c r="W2717" s="25"/>
      <c r="X2717" s="25"/>
      <c r="Y2717" s="25"/>
      <c r="Z2717" s="25"/>
    </row>
    <row r="2718" spans="1:26" ht="52.5" customHeight="1" x14ac:dyDescent="0.25">
      <c r="A2718" s="25" t="str">
        <f ca="1">IFERROR(__xludf.DUMMYFUNCTION("""COMPUTED_VALUE"""),"Ambie16")</f>
        <v>Ambie16</v>
      </c>
      <c r="B2718" s="25" t="str">
        <f ca="1">IFERROR(__xludf.DUMMYFUNCTION("""COMPUTED_VALUE"""),"Reunión Plan de Siembra")</f>
        <v>Reunión Plan de Siembra</v>
      </c>
      <c r="C2718" s="55" t="str">
        <f ca="1">IFERROR(__xludf.DUMMYFUNCTION("""COMPUTED_VALUE"""),"09/03/2021")</f>
        <v>09/03/2021</v>
      </c>
      <c r="D2718" s="25" t="str">
        <f ca="1">IFERROR(__xludf.DUMMYFUNCTION("""COMPUTED_VALUE"""),"Ambiente")</f>
        <v>Ambiente</v>
      </c>
      <c r="E2718" s="25" t="str">
        <f ca="1">IFERROR(__xludf.DUMMYFUNCTION("""COMPUTED_VALUE"""),"Jardín Botánico José Celestino Mutis")</f>
        <v>Jardín Botánico José Celestino Mutis</v>
      </c>
      <c r="F2718" s="25" t="str">
        <f ca="1">IFERROR(__xludf.DUMMYFUNCTION("""COMPUTED_VALUE"""),"Hacer el bosque urbano de Santa Helena – Suba. El IDU manifestó por escrito que ese corredor hace parte de una reserva vial, constituida por el Decreto 190 de 2004, y que a la fecha se tiene conocimiento de la titularidad de los predios que hacen parte de"&amp;"l polígono de la reserva, los cuales corresponden al IDU, DADEP y otros particulares. ")</f>
        <v xml:space="preserve">Hacer el bosque urbano de Santa Helena – Suba. El IDU manifestó por escrito que ese corredor hace parte de una reserva vial, constituida por el Decreto 190 de 2004, y que a la fecha se tiene conocimiento de la titularidad de los predios que hacen parte del polígono de la reserva, los cuales corresponden al IDU, DADEP y otros particulares. </v>
      </c>
      <c r="G2718" s="25" t="str">
        <f ca="1">IFERROR(__xludf.DUMMYFUNCTION("""COMPUTED_VALUE"""),"11. Suba")</f>
        <v>11. Suba</v>
      </c>
      <c r="H2718" s="55">
        <f ca="1">IFERROR(__xludf.DUMMYFUNCTION("""COMPUTED_VALUE"""),45199)</f>
        <v>45199</v>
      </c>
      <c r="I2718" s="25" t="str">
        <f ca="1">IFERROR(__xludf.DUMMYFUNCTION("""COMPUTED_VALUE"""),"Delivery Unit")</f>
        <v>Delivery Unit</v>
      </c>
      <c r="J2718" s="55" t="str">
        <f ca="1">IFERROR(__xludf.DUMMYFUNCTION("""COMPUTED_VALUE"""),"Alta")</f>
        <v>Alta</v>
      </c>
      <c r="K2718" s="25">
        <f ca="1">IFERROR(__xludf.DUMMYFUNCTION("""COMPUTED_VALUE"""),935)</f>
        <v>935</v>
      </c>
      <c r="L2718" s="62">
        <f ca="1">IFERROR(__xludf.DUMMYFUNCTION("""COMPUTED_VALUE"""),45077)</f>
        <v>45077</v>
      </c>
      <c r="M2718" s="25" t="str">
        <f ca="1">IFERROR(__xludf.DUMMYFUNCTION("""COMPUTED_VALUE"""),"A 31 de mayo  El JBB Informa que en reunión con la comunidad celebrada al 24 de mayo  de 2023, el IDU presentó el proyecto de puente peatonal sobre la Autonorte con Cll 143, asì mismo la SDP expuso la estregia para la modificación de la reserva vial en el"&amp;" marco de la reglamentación de las UPL. Por su parte el JBB propuso avanzar en la consolidación del Bosque Urbano, en áreas que no tienen interferencia con redes y que constituyen espacio público (parques en la escala de proximidad). El 3 de junio de 2023"&amp;", está programada la realización de la segunda mesa de cocreación del Bosque Urbano Santa Helena
El JBB en reuniòn del 12 de mayo, junto con IDU , IDRD SDA y EAAB, se concertó la evaluación del estado de los predios para la implementación del Bosque Urban"&amp;"o, pendiente la resolución de vabilidad del IDU por la antigua reserva vial 
EL JBB ha realizado plan de trabajo con la comunidad, tres reuniones para la estrategia de cocreación del Bosque Urbano y análisis predial, así como, mesas de trabajo interistit"&amp;"ucional, para el levantamiento de la reserva vial IDU, SDP, jbb YSDA. Productos concretos, el plan de trabajo  y propuesta de diseño concertada con comunidad. 
Que el área a intervenir incluye predios de IDU, IDRD Y EAAB, se remite comunicacion para defin"&amp;"ir el procedimiento de intervención a la luz de lo establecido en los artículo 130 y 135 de del decreto 555 de 2021. ")</f>
        <v xml:space="preserve">A 31 de mayo  El JBB Informa que en reunión con la comunidad celebrada al 24 de mayo  de 2023, el IDU presentó el proyecto de puente peatonal sobre la Autonorte con Cll 143, asì mismo la SDP expuso la estregia para la modificación de la reserva vial en el marco de la reglamentación de las UPL. Por su parte el JBB propuso avanzar en la consolidación del Bosque Urbano, en áreas que no tienen interferencia con redes y que constituyen espacio público (parques en la escala de proximidad). El 3 de junio de 2023, está programada la realización de la segunda mesa de cocreación del Bosque Urbano Santa Helena
El JBB en reuniòn del 12 de mayo, junto con IDU , IDRD SDA y EAAB, se concertó la evaluación del estado de los predios para la implementación del Bosque Urbano, pendiente la resolución de vabilidad del IDU por la antigua reserva vial 
EL JBB ha realizado plan de trabajo con la comunidad, tres reuniones para la estrategia de cocreación del Bosque Urbano y análisis predial, así como, mesas de trabajo interistitucional, para el levantamiento de la reserva vial IDU, SDP, jbb YSDA. Productos concretos, el plan de trabajo  y propuesta de diseño concertada con comunidad. 
Que el área a intervenir incluye predios de IDU, IDRD Y EAAB, se remite comunicacion para definir el procedimiento de intervención a la luz de lo establecido en los artículo 130 y 135 de del decreto 555 de 2021. </v>
      </c>
      <c r="N2718" s="25"/>
      <c r="O2718" s="25" t="str">
        <f t="shared" ca="1" si="0"/>
        <v>Jardín Botánico José Celestino Mutis</v>
      </c>
      <c r="P2718" s="25" t="str">
        <f t="shared" ca="1" si="2"/>
        <v/>
      </c>
      <c r="Q2718" s="25" t="str">
        <f ca="1">IFERROR(__xludf.DUMMYFUNCTION("""COMPUTED_VALUE"""),"Largo plazo")</f>
        <v>Largo plazo</v>
      </c>
      <c r="R2718" s="25"/>
      <c r="S2718" s="55"/>
      <c r="T2718" s="56"/>
      <c r="U2718" s="25"/>
      <c r="V2718" s="25"/>
      <c r="W2718" s="25"/>
      <c r="X2718" s="25"/>
      <c r="Y2718" s="25"/>
      <c r="Z2718" s="25"/>
    </row>
    <row r="2719" spans="1:26" ht="52.5" customHeight="1" x14ac:dyDescent="0.25">
      <c r="A2719" s="25" t="str">
        <f ca="1">IFERROR(__xludf.DUMMYFUNCTION("""COMPUTED_VALUE"""),"Ambie17")</f>
        <v>Ambie17</v>
      </c>
      <c r="B2719" s="25" t="str">
        <f ca="1">IFERROR(__xludf.DUMMYFUNCTION("""COMPUTED_VALUE"""),"Reunión Plan de Siembra")</f>
        <v>Reunión Plan de Siembra</v>
      </c>
      <c r="C2719" s="55" t="str">
        <f ca="1">IFERROR(__xludf.DUMMYFUNCTION("""COMPUTED_VALUE"""),"09/03/2021")</f>
        <v>09/03/2021</v>
      </c>
      <c r="D2719" s="25" t="str">
        <f ca="1">IFERROR(__xludf.DUMMYFUNCTION("""COMPUTED_VALUE"""),"Ambiente")</f>
        <v>Ambiente</v>
      </c>
      <c r="E2719" s="25" t="str">
        <f ca="1">IFERROR(__xludf.DUMMYFUNCTION("""COMPUTED_VALUE"""),"Jardín Botánico José Celestino Mutis")</f>
        <v>Jardín Botánico José Celestino Mutis</v>
      </c>
      <c r="F2719" s="25" t="str">
        <f ca="1">IFERROR(__xludf.DUMMYFUNCTION("""COMPUTED_VALUE"""),"Mejorar la campaña de comunicación y difusión en el programa de siembra de árboles. Se esta elaborando campaña y queda pendiente al cronograma de siembra de las entidades.
")</f>
        <v xml:space="preserve">Mejorar la campaña de comunicación y difusión en el programa de siembra de árboles. Se esta elaborando campaña y queda pendiente al cronograma de siembra de las entidades.
</v>
      </c>
      <c r="G2719" s="25" t="str">
        <f ca="1">IFERROR(__xludf.DUMMYFUNCTION("""COMPUTED_VALUE"""),"99. Distrito")</f>
        <v>99. Distrito</v>
      </c>
      <c r="H2719" s="55">
        <f ca="1">IFERROR(__xludf.DUMMYFUNCTION("""COMPUTED_VALUE"""),44294)</f>
        <v>44294</v>
      </c>
      <c r="I2719" s="25" t="str">
        <f ca="1">IFERROR(__xludf.DUMMYFUNCTION("""COMPUTED_VALUE"""),"Delivery Unit")</f>
        <v>Delivery Unit</v>
      </c>
      <c r="J2719" s="55" t="str">
        <f ca="1">IFERROR(__xludf.DUMMYFUNCTION("""COMPUTED_VALUE"""),"Alta")</f>
        <v>Alta</v>
      </c>
      <c r="K2719" s="25">
        <f ca="1">IFERROR(__xludf.DUMMYFUNCTION("""COMPUTED_VALUE"""),30)</f>
        <v>30</v>
      </c>
      <c r="L2719" s="62">
        <f ca="1">IFERROR(__xludf.DUMMYFUNCTION("""COMPUTED_VALUE"""),45016)</f>
        <v>45016</v>
      </c>
      <c r="M2719" s="25" t="str">
        <f ca="1">IFERROR(__xludf.DUMMYFUNCTION("""COMPUTED_VALUE"""),"Tarea ejecutada")</f>
        <v>Tarea ejecutada</v>
      </c>
      <c r="N2719" s="55">
        <f ca="1">IFERROR(__xludf.DUMMYFUNCTION("""COMPUTED_VALUE"""),45044)</f>
        <v>45044</v>
      </c>
      <c r="O2719" s="25" t="str">
        <f t="shared" ca="1" si="0"/>
        <v>Jardín Botánico José Celestino Mutis</v>
      </c>
      <c r="P2719" s="25" t="str">
        <f t="shared" ca="1" si="2"/>
        <v/>
      </c>
      <c r="Q2719" s="25" t="str">
        <f ca="1">IFERROR(__xludf.DUMMYFUNCTION("""COMPUTED_VALUE"""),"Corto plazo")</f>
        <v>Corto plazo</v>
      </c>
      <c r="R2719" s="25"/>
      <c r="S2719" s="55"/>
      <c r="T2719" s="56"/>
      <c r="U2719" s="25"/>
      <c r="V2719" s="25"/>
      <c r="W2719" s="25"/>
      <c r="X2719" s="25"/>
      <c r="Y2719" s="25"/>
      <c r="Z2719" s="25"/>
    </row>
    <row r="2720" spans="1:26" ht="52.5" customHeight="1" x14ac:dyDescent="0.25">
      <c r="A2720" s="25" t="str">
        <f ca="1">IFERROR(__xludf.DUMMYFUNCTION("""COMPUTED_VALUE"""),"Ambie18")</f>
        <v>Ambie18</v>
      </c>
      <c r="B2720" s="25" t="str">
        <f ca="1">IFERROR(__xludf.DUMMYFUNCTION("""COMPUTED_VALUE"""),"Siembra de árboles ")</f>
        <v xml:space="preserve">Siembra de árboles </v>
      </c>
      <c r="C2720" s="55" t="str">
        <f ca="1">IFERROR(__xludf.DUMMYFUNCTION("""COMPUTED_VALUE"""),"09/03/2021")</f>
        <v>09/03/2021</v>
      </c>
      <c r="D2720" s="25" t="str">
        <f ca="1">IFERROR(__xludf.DUMMYFUNCTION("""COMPUTED_VALUE"""),"Ambiente")</f>
        <v>Ambiente</v>
      </c>
      <c r="E2720" s="25" t="str">
        <f ca="1">IFERROR(__xludf.DUMMYFUNCTION("""COMPUTED_VALUE"""),"Secretaría Distrital de Ambiente")</f>
        <v>Secretaría Distrital de Ambiente</v>
      </c>
      <c r="F2720" s="25" t="str">
        <f ca="1">IFERROR(__xludf.DUMMYFUNCTION("""COMPUTED_VALUE"""),"Enviar cronograma de siembra de árboles")</f>
        <v>Enviar cronograma de siembra de árboles</v>
      </c>
      <c r="G2720" s="25" t="str">
        <f ca="1">IFERROR(__xludf.DUMMYFUNCTION("""COMPUTED_VALUE"""),"99. Distrito")</f>
        <v>99. Distrito</v>
      </c>
      <c r="H2720" s="55">
        <f ca="1">IFERROR(__xludf.DUMMYFUNCTION("""COMPUTED_VALUE"""),44294)</f>
        <v>44294</v>
      </c>
      <c r="I2720" s="25" t="str">
        <f ca="1">IFERROR(__xludf.DUMMYFUNCTION("""COMPUTED_VALUE"""),"Delivery Unit")</f>
        <v>Delivery Unit</v>
      </c>
      <c r="J2720" s="55" t="str">
        <f ca="1">IFERROR(__xludf.DUMMYFUNCTION("""COMPUTED_VALUE"""),"Alta")</f>
        <v>Alta</v>
      </c>
      <c r="K2720" s="25">
        <f ca="1">IFERROR(__xludf.DUMMYFUNCTION("""COMPUTED_VALUE"""),30)</f>
        <v>30</v>
      </c>
      <c r="L2720" s="62">
        <f ca="1">IFERROR(__xludf.DUMMYFUNCTION("""COMPUTED_VALUE"""),45016)</f>
        <v>45016</v>
      </c>
      <c r="M2720" s="25" t="str">
        <f ca="1">IFERROR(__xludf.DUMMYFUNCTION("""COMPUTED_VALUE"""),"Aún no se actualiza semaforo. Este cronograma se realizó con la información de la SDA, JBB y Acueducto.  Actualmente hay un tablero en el Centro de Gobierno donde está el avance por entidad y global, y está territorializado")</f>
        <v>Aún no se actualiza semaforo. Este cronograma se realizó con la información de la SDA, JBB y Acueducto.  Actualmente hay un tablero en el Centro de Gobierno donde está el avance por entidad y global, y está territorializado</v>
      </c>
      <c r="N2720" s="55">
        <f ca="1">IFERROR(__xludf.DUMMYFUNCTION("""COMPUTED_VALUE"""),45044)</f>
        <v>45044</v>
      </c>
      <c r="O2720" s="25" t="str">
        <f t="shared" ca="1" si="0"/>
        <v>Secretaría Distrital de Ambiente</v>
      </c>
      <c r="P2720" s="25" t="str">
        <f t="shared" ca="1" si="2"/>
        <v/>
      </c>
      <c r="Q2720" s="25" t="str">
        <f ca="1">IFERROR(__xludf.DUMMYFUNCTION("""COMPUTED_VALUE"""),"Corto plazo")</f>
        <v>Corto plazo</v>
      </c>
      <c r="R2720" s="25"/>
      <c r="S2720" s="55"/>
      <c r="T2720" s="56"/>
      <c r="U2720" s="25"/>
      <c r="V2720" s="25"/>
      <c r="W2720" s="25"/>
      <c r="X2720" s="25"/>
      <c r="Y2720" s="25"/>
      <c r="Z2720" s="25"/>
    </row>
    <row r="2721" spans="1:26" ht="52.5" customHeight="1" x14ac:dyDescent="0.25">
      <c r="A2721" s="25" t="str">
        <f ca="1">IFERROR(__xludf.DUMMYFUNCTION("""COMPUTED_VALUE"""),"Ambie19")</f>
        <v>Ambie19</v>
      </c>
      <c r="B2721" s="25" t="str">
        <f ca="1">IFERROR(__xludf.DUMMYFUNCTION("""COMPUTED_VALUE"""),"Plan de acción climática")</f>
        <v>Plan de acción climática</v>
      </c>
      <c r="C2721" s="55" t="str">
        <f ca="1">IFERROR(__xludf.DUMMYFUNCTION("""COMPUTED_VALUE"""),"04/01/2021")</f>
        <v>04/01/2021</v>
      </c>
      <c r="D2721" s="25" t="str">
        <f ca="1">IFERROR(__xludf.DUMMYFUNCTION("""COMPUTED_VALUE"""),"Ambiente")</f>
        <v>Ambiente</v>
      </c>
      <c r="E2721" s="25" t="str">
        <f ca="1">IFERROR(__xludf.DUMMYFUNCTION("""COMPUTED_VALUE"""),"Secretaría Distrital de Ambiente")</f>
        <v>Secretaría Distrital de Ambiente</v>
      </c>
      <c r="F2721" s="25" t="str">
        <f ca="1">IFERROR(__xludf.DUMMYFUNCTION("""COMPUTED_VALUE"""),"Ajustar el cuadro del plan de acción climática, de acuerdo con las recomendaciones hechas por la alcaldesa.  El cuadro del plan de acción climática fue ajustado para ser enviado a las entidades.")</f>
        <v>Ajustar el cuadro del plan de acción climática, de acuerdo con las recomendaciones hechas por la alcaldesa.  El cuadro del plan de acción climática fue ajustado para ser enviado a las entidades.</v>
      </c>
      <c r="G2721" s="25" t="str">
        <f ca="1">IFERROR(__xludf.DUMMYFUNCTION("""COMPUTED_VALUE"""),"99. Distrito")</f>
        <v>99. Distrito</v>
      </c>
      <c r="H2721" s="55">
        <f ca="1">IFERROR(__xludf.DUMMYFUNCTION("""COMPUTED_VALUE"""),44230)</f>
        <v>44230</v>
      </c>
      <c r="I2721" s="25"/>
      <c r="J2721" s="55" t="str">
        <f ca="1">IFERROR(__xludf.DUMMYFUNCTION("""COMPUTED_VALUE"""),"Alta")</f>
        <v>Alta</v>
      </c>
      <c r="K2721" s="25">
        <f ca="1">IFERROR(__xludf.DUMMYFUNCTION("""COMPUTED_VALUE"""),30)</f>
        <v>30</v>
      </c>
      <c r="L2721" s="62">
        <f ca="1">IFERROR(__xludf.DUMMYFUNCTION("""COMPUTED_VALUE"""),45016)</f>
        <v>45016</v>
      </c>
      <c r="M2721" s="25" t="str">
        <f ca="1">IFERROR(__xludf.DUMMYFUNCTION("""COMPUTED_VALUE"""),"Aún no se actualiza semaforo. El cuadro fue ajustado previamente al envío de las comunicaciones a las entidades en enero.")</f>
        <v>Aún no se actualiza semaforo. El cuadro fue ajustado previamente al envío de las comunicaciones a las entidades en enero.</v>
      </c>
      <c r="N2721" s="55">
        <f ca="1">IFERROR(__xludf.DUMMYFUNCTION("""COMPUTED_VALUE"""),45030)</f>
        <v>45030</v>
      </c>
      <c r="O2721" s="25" t="str">
        <f t="shared" ca="1" si="0"/>
        <v>Secretaría Distrital de Ambiente</v>
      </c>
      <c r="P2721" s="25" t="str">
        <f t="shared" si="2"/>
        <v/>
      </c>
      <c r="Q2721" s="25" t="str">
        <f ca="1">IFERROR(__xludf.DUMMYFUNCTION("""COMPUTED_VALUE"""),"Corto plazo")</f>
        <v>Corto plazo</v>
      </c>
      <c r="R2721" s="25"/>
      <c r="S2721" s="55"/>
      <c r="T2721" s="56"/>
      <c r="U2721" s="25"/>
      <c r="V2721" s="25"/>
      <c r="W2721" s="25"/>
      <c r="X2721" s="25"/>
      <c r="Y2721" s="25"/>
      <c r="Z2721" s="25"/>
    </row>
    <row r="2722" spans="1:26" ht="52.5" customHeight="1" x14ac:dyDescent="0.25">
      <c r="A2722" s="25" t="str">
        <f ca="1">IFERROR(__xludf.DUMMYFUNCTION("""COMPUTED_VALUE"""),"Ambie20")</f>
        <v>Ambie20</v>
      </c>
      <c r="B2722" s="25" t="str">
        <f ca="1">IFERROR(__xludf.DUMMYFUNCTION("""COMPUTED_VALUE"""),"Plan de acción climática")</f>
        <v>Plan de acción climática</v>
      </c>
      <c r="C2722" s="55" t="str">
        <f ca="1">IFERROR(__xludf.DUMMYFUNCTION("""COMPUTED_VALUE"""),"04/01/2021")</f>
        <v>04/01/2021</v>
      </c>
      <c r="D2722" s="25" t="str">
        <f ca="1">IFERROR(__xludf.DUMMYFUNCTION("""COMPUTED_VALUE"""),"Ambiente")</f>
        <v>Ambiente</v>
      </c>
      <c r="E2722" s="25" t="str">
        <f ca="1">IFERROR(__xludf.DUMMYFUNCTION("""COMPUTED_VALUE"""),"Secretaría Distrital de Ambiente")</f>
        <v>Secretaría Distrital de Ambiente</v>
      </c>
      <c r="F2722" s="25" t="str">
        <f ca="1">IFERROR(__xludf.DUMMYFUNCTION("""COMPUTED_VALUE"""),"Enviar una carta a cada entidad, al sector privado y al Gobierno Nacional, diciéndole con qué tiene que contribuir para garantizar la disminución de emisiones 
La meta debe ser: 25% menos a 2024, 50% menos a 2030 y 100% menos a 2050.")</f>
        <v>Enviar una carta a cada entidad, al sector privado y al Gobierno Nacional, diciéndole con qué tiene que contribuir para garantizar la disminución de emisiones 
La meta debe ser: 25% menos a 2024, 50% menos a 2030 y 100% menos a 2050.</v>
      </c>
      <c r="G2722" s="25" t="str">
        <f ca="1">IFERROR(__xludf.DUMMYFUNCTION("""COMPUTED_VALUE"""),"99. Distrito")</f>
        <v>99. Distrito</v>
      </c>
      <c r="H2722" s="55">
        <f ca="1">IFERROR(__xludf.DUMMYFUNCTION("""COMPUTED_VALUE"""),44230)</f>
        <v>44230</v>
      </c>
      <c r="I2722" s="25"/>
      <c r="J2722" s="55" t="str">
        <f ca="1">IFERROR(__xludf.DUMMYFUNCTION("""COMPUTED_VALUE"""),"Alta")</f>
        <v>Alta</v>
      </c>
      <c r="K2722" s="25">
        <f ca="1">IFERROR(__xludf.DUMMYFUNCTION("""COMPUTED_VALUE"""),30)</f>
        <v>30</v>
      </c>
      <c r="L2722" s="62">
        <f ca="1">IFERROR(__xludf.DUMMYFUNCTION("""COMPUTED_VALUE"""),45016)</f>
        <v>45016</v>
      </c>
      <c r="M2722" s="25" t="str">
        <f ca="1">IFERROR(__xludf.DUMMYFUNCTION("""COMPUTED_VALUE"""),"La Secretaría de Ambiente envió cartas oficiales a 17 entidades distritales en las que define las contribuciones y responsabilidades de cada una de las carteras en el cumplimiento de las metas del Plan de Acción Climática. Adicionalmente, se hicieron reun"&amp;"iones posteriores con estas entidades para la concertación de estas responsabilidades. 
Dichas cartas fueron enviadas en el mes de enero de 2020 con las acciones de mitigación y adaptación al cambio climático para revisión de los sectores y comentarios, "&amp;"así como también para realizar los cálculos de costos de su implementación; fueron enviadas las acciones responsabilidad de cada sector")</f>
        <v>La Secretaría de Ambiente envió cartas oficiales a 17 entidades distritales en las que define las contribuciones y responsabilidades de cada una de las carteras en el cumplimiento de las metas del Plan de Acción Climática. Adicionalmente, se hicieron reuniones posteriores con estas entidades para la concertación de estas responsabilidades. 
Dichas cartas fueron enviadas en el mes de enero de 2020 con las acciones de mitigación y adaptación al cambio climático para revisión de los sectores y comentarios, así como también para realizar los cálculos de costos de su implementación; fueron enviadas las acciones responsabilidad de cada sector</v>
      </c>
      <c r="N2722" s="55">
        <f ca="1">IFERROR(__xludf.DUMMYFUNCTION("""COMPUTED_VALUE"""),45030)</f>
        <v>45030</v>
      </c>
      <c r="O2722" s="25" t="str">
        <f t="shared" ca="1" si="0"/>
        <v>Secretaría Distrital de Ambiente</v>
      </c>
      <c r="P2722" s="25" t="str">
        <f t="shared" si="2"/>
        <v/>
      </c>
      <c r="Q2722" s="25" t="str">
        <f ca="1">IFERROR(__xludf.DUMMYFUNCTION("""COMPUTED_VALUE"""),"Corto plazo")</f>
        <v>Corto plazo</v>
      </c>
      <c r="R2722" s="25"/>
      <c r="S2722" s="55"/>
      <c r="T2722" s="56"/>
      <c r="U2722" s="25"/>
      <c r="V2722" s="25"/>
      <c r="W2722" s="25"/>
      <c r="X2722" s="25"/>
      <c r="Y2722" s="25"/>
      <c r="Z2722" s="25"/>
    </row>
    <row r="2723" spans="1:26" ht="52.5" customHeight="1" x14ac:dyDescent="0.25">
      <c r="A2723" s="25" t="str">
        <f ca="1">IFERROR(__xludf.DUMMYFUNCTION("""COMPUTED_VALUE"""),"Ambie21")</f>
        <v>Ambie21</v>
      </c>
      <c r="B2723" s="25" t="str">
        <f ca="1">IFERROR(__xludf.DUMMYFUNCTION("""COMPUTED_VALUE"""),"Modelo de operación Senderos ")</f>
        <v xml:space="preserve">Modelo de operación Senderos </v>
      </c>
      <c r="C2723" s="55" t="str">
        <f ca="1">IFERROR(__xludf.DUMMYFUNCTION("""COMPUTED_VALUE"""),"03/03/2021")</f>
        <v>03/03/2021</v>
      </c>
      <c r="D2723" s="25" t="str">
        <f ca="1">IFERROR(__xludf.DUMMYFUNCTION("""COMPUTED_VALUE"""),"Ambiente")</f>
        <v>Ambiente</v>
      </c>
      <c r="E2723" s="25" t="str">
        <f ca="1">IFERROR(__xludf.DUMMYFUNCTION("""COMPUTED_VALUE"""),"Secretaría Distrital de Ambiente")</f>
        <v>Secretaría Distrital de Ambiente</v>
      </c>
      <c r="F2723" s="25" t="str">
        <f ca="1">IFERROR(__xludf.DUMMYFUNCTION("""COMPUTED_VALUE"""),"Definir incentivos desde la SDA en el proceso de contratación de las comunidades de los senderos        SDA                
")</f>
        <v xml:space="preserve">Definir incentivos desde la SDA en el proceso de contratación de las comunidades de los senderos        SDA                
</v>
      </c>
      <c r="G2723" s="25" t="str">
        <f ca="1">IFERROR(__xludf.DUMMYFUNCTION("""COMPUTED_VALUE"""),"99. Distrito")</f>
        <v>99. Distrito</v>
      </c>
      <c r="H2723" s="55">
        <f ca="1">IFERROR(__xludf.DUMMYFUNCTION("""COMPUTED_VALUE"""),44288)</f>
        <v>44288</v>
      </c>
      <c r="I2723" s="25"/>
      <c r="J2723" s="55" t="str">
        <f ca="1">IFERROR(__xludf.DUMMYFUNCTION("""COMPUTED_VALUE"""),"Alta")</f>
        <v>Alta</v>
      </c>
      <c r="K2723" s="25">
        <f ca="1">IFERROR(__xludf.DUMMYFUNCTION("""COMPUTED_VALUE"""),30)</f>
        <v>30</v>
      </c>
      <c r="L2723" s="62">
        <f ca="1">IFERROR(__xludf.DUMMYFUNCTION("""COMPUTED_VALUE"""),44622)</f>
        <v>44622</v>
      </c>
      <c r="M2723" s="25" t="str">
        <f ca="1">IFERROR(__xludf.DUMMYFUNCTION("""COMPUTED_VALUE"""),"Completado. Revisar tarea con código 27")</f>
        <v>Completado. Revisar tarea con código 27</v>
      </c>
      <c r="N2723" s="55">
        <f ca="1">IFERROR(__xludf.DUMMYFUNCTION("""COMPUTED_VALUE"""),44622)</f>
        <v>44622</v>
      </c>
      <c r="O2723" s="25" t="str">
        <f t="shared" ca="1" si="0"/>
        <v>Secretaría Distrital de Ambiente</v>
      </c>
      <c r="P2723" s="25" t="str">
        <f t="shared" si="2"/>
        <v/>
      </c>
      <c r="Q2723" s="25" t="str">
        <f ca="1">IFERROR(__xludf.DUMMYFUNCTION("""COMPUTED_VALUE"""),"Corto plazo")</f>
        <v>Corto plazo</v>
      </c>
      <c r="R2723" s="25"/>
      <c r="S2723" s="55"/>
      <c r="T2723" s="56"/>
      <c r="U2723" s="25"/>
      <c r="V2723" s="25"/>
      <c r="W2723" s="25"/>
      <c r="X2723" s="25"/>
      <c r="Y2723" s="25"/>
      <c r="Z2723" s="25"/>
    </row>
    <row r="2724" spans="1:26" ht="52.5" customHeight="1" x14ac:dyDescent="0.25">
      <c r="A2724" s="25" t="str">
        <f ca="1">IFERROR(__xludf.DUMMYFUNCTION("""COMPUTED_VALUE"""),"Ambie22")</f>
        <v>Ambie22</v>
      </c>
      <c r="B2724" s="25" t="str">
        <f ca="1">IFERROR(__xludf.DUMMYFUNCTION("""COMPUTED_VALUE"""),"Modelo de operación Senderos ")</f>
        <v xml:space="preserve">Modelo de operación Senderos </v>
      </c>
      <c r="C2724" s="55" t="str">
        <f ca="1">IFERROR(__xludf.DUMMYFUNCTION("""COMPUTED_VALUE"""),"03/03/2021")</f>
        <v>03/03/2021</v>
      </c>
      <c r="D2724" s="25" t="str">
        <f ca="1">IFERROR(__xludf.DUMMYFUNCTION("""COMPUTED_VALUE"""),"Ambiente")</f>
        <v>Ambiente</v>
      </c>
      <c r="E2724" s="25" t="str">
        <f ca="1">IFERROR(__xludf.DUMMYFUNCTION("""COMPUTED_VALUE"""),"Secretaría Distrital de Ambiente")</f>
        <v>Secretaría Distrital de Ambiente</v>
      </c>
      <c r="F2724" s="25" t="str">
        <f ca="1">IFERROR(__xludf.DUMMYFUNCTION("""COMPUTED_VALUE"""),"Crear una unidad técnica ejecutora de proyectos ambientales en áreas protegidas, dentro del EAAB SDA – EAAB   
")</f>
        <v xml:space="preserve">Crear una unidad técnica ejecutora de proyectos ambientales en áreas protegidas, dentro del EAAB SDA – EAAB   
</v>
      </c>
      <c r="G2724" s="25" t="str">
        <f ca="1">IFERROR(__xludf.DUMMYFUNCTION("""COMPUTED_VALUE"""),"99. Distrito")</f>
        <v>99. Distrito</v>
      </c>
      <c r="H2724" s="55">
        <f ca="1">IFERROR(__xludf.DUMMYFUNCTION("""COMPUTED_VALUE"""),44288)</f>
        <v>44288</v>
      </c>
      <c r="I2724" s="25"/>
      <c r="J2724" s="55" t="str">
        <f ca="1">IFERROR(__xludf.DUMMYFUNCTION("""COMPUTED_VALUE"""),"Alta")</f>
        <v>Alta</v>
      </c>
      <c r="K2724" s="25">
        <f ca="1">IFERROR(__xludf.DUMMYFUNCTION("""COMPUTED_VALUE"""),30)</f>
        <v>30</v>
      </c>
      <c r="L2724" s="62"/>
      <c r="M2724" s="25" t="str">
        <f ca="1">IFERROR(__xludf.DUMMYFUNCTION("""COMPUTED_VALUE"""),"La EAAB considera improcedente la creación de esta nueva unidad, teniendo en cuenta el tema de sindicatos en la empresa.")</f>
        <v>La EAAB considera improcedente la creación de esta nueva unidad, teniendo en cuenta el tema de sindicatos en la empresa.</v>
      </c>
      <c r="N2724" s="55">
        <f ca="1">IFERROR(__xludf.DUMMYFUNCTION("""COMPUTED_VALUE"""),44927)</f>
        <v>44927</v>
      </c>
      <c r="O2724" s="25" t="str">
        <f t="shared" ca="1" si="0"/>
        <v>Secretaría Distrital de Ambiente</v>
      </c>
      <c r="P2724" s="25" t="str">
        <f t="shared" si="2"/>
        <v/>
      </c>
      <c r="Q2724" s="25" t="str">
        <f ca="1">IFERROR(__xludf.DUMMYFUNCTION("""COMPUTED_VALUE"""),"Corto plazo")</f>
        <v>Corto plazo</v>
      </c>
      <c r="R2724" s="25"/>
      <c r="S2724" s="55"/>
      <c r="T2724" s="56"/>
      <c r="U2724" s="25"/>
      <c r="V2724" s="25"/>
      <c r="W2724" s="25"/>
      <c r="X2724" s="25"/>
      <c r="Y2724" s="25"/>
      <c r="Z2724" s="25"/>
    </row>
    <row r="2725" spans="1:26" ht="52.5" customHeight="1" x14ac:dyDescent="0.25">
      <c r="A2725" s="25" t="str">
        <f ca="1">IFERROR(__xludf.DUMMYFUNCTION("""COMPUTED_VALUE"""),"Ambie23")</f>
        <v>Ambie23</v>
      </c>
      <c r="B2725" s="25" t="str">
        <f ca="1">IFERROR(__xludf.DUMMYFUNCTION("""COMPUTED_VALUE"""),"Modelo de operación Senderos ")</f>
        <v xml:space="preserve">Modelo de operación Senderos </v>
      </c>
      <c r="C2725" s="55" t="str">
        <f ca="1">IFERROR(__xludf.DUMMYFUNCTION("""COMPUTED_VALUE"""),"03/03/2021")</f>
        <v>03/03/2021</v>
      </c>
      <c r="D2725" s="25" t="str">
        <f ca="1">IFERROR(__xludf.DUMMYFUNCTION("""COMPUTED_VALUE"""),"Ambiente")</f>
        <v>Ambiente</v>
      </c>
      <c r="E2725" s="25" t="str">
        <f ca="1">IFERROR(__xludf.DUMMYFUNCTION("""COMPUTED_VALUE"""),"Secretaría Distrital de Ambiente")</f>
        <v>Secretaría Distrital de Ambiente</v>
      </c>
      <c r="F2725" s="25" t="str">
        <f ca="1">IFERROR(__xludf.DUMMYFUNCTION("""COMPUTED_VALUE"""),"Presentar un cronograma claro con los eventos clave del sector ambiente (PRIORIDAD)")</f>
        <v>Presentar un cronograma claro con los eventos clave del sector ambiente (PRIORIDAD)</v>
      </c>
      <c r="G2725" s="25" t="str">
        <f ca="1">IFERROR(__xludf.DUMMYFUNCTION("""COMPUTED_VALUE"""),"99. Distrito")</f>
        <v>99. Distrito</v>
      </c>
      <c r="H2725" s="55">
        <f ca="1">IFERROR(__xludf.DUMMYFUNCTION("""COMPUTED_VALUE"""),44288)</f>
        <v>44288</v>
      </c>
      <c r="I2725" s="25"/>
      <c r="J2725" s="55" t="str">
        <f ca="1">IFERROR(__xludf.DUMMYFUNCTION("""COMPUTED_VALUE"""),"Alta")</f>
        <v>Alta</v>
      </c>
      <c r="K2725" s="25">
        <f ca="1">IFERROR(__xludf.DUMMYFUNCTION("""COMPUTED_VALUE"""),30)</f>
        <v>30</v>
      </c>
      <c r="L2725" s="62"/>
      <c r="M2725" s="25" t="str">
        <f ca="1">IFERROR(__xludf.DUMMYFUNCTION("""COMPUTED_VALUE"""),"Ya se realizó el cronograma.  Es así que el 14 de abril fue el lanzamiento del Plan Aire, el  22 de abril fue el lanzamiento del Plan de Acción Climática  el 29 de abril fue la plantación masiva de árboles.")</f>
        <v>Ya se realizó el cronograma.  Es así que el 14 de abril fue el lanzamiento del Plan Aire, el  22 de abril fue el lanzamiento del Plan de Acción Climática  el 29 de abril fue la plantación masiva de árboles.</v>
      </c>
      <c r="N2725" s="55">
        <f ca="1">IFERROR(__xludf.DUMMYFUNCTION("""COMPUTED_VALUE"""),44927)</f>
        <v>44927</v>
      </c>
      <c r="O2725" s="25" t="str">
        <f t="shared" ca="1" si="0"/>
        <v>Secretaría Distrital de Ambiente</v>
      </c>
      <c r="P2725" s="25" t="str">
        <f t="shared" si="2"/>
        <v/>
      </c>
      <c r="Q2725" s="25" t="str">
        <f ca="1">IFERROR(__xludf.DUMMYFUNCTION("""COMPUTED_VALUE"""),"Corto plazo")</f>
        <v>Corto plazo</v>
      </c>
      <c r="R2725" s="25"/>
      <c r="S2725" s="55"/>
      <c r="T2725" s="56"/>
      <c r="U2725" s="25"/>
      <c r="V2725" s="25"/>
      <c r="W2725" s="25"/>
      <c r="X2725" s="25"/>
      <c r="Y2725" s="25"/>
      <c r="Z2725" s="25"/>
    </row>
    <row r="2726" spans="1:26" ht="52.5" customHeight="1" x14ac:dyDescent="0.25">
      <c r="A2726" s="25" t="str">
        <f ca="1">IFERROR(__xludf.DUMMYFUNCTION("""COMPUTED_VALUE"""),"Ambie24")</f>
        <v>Ambie24</v>
      </c>
      <c r="B2726" s="25" t="str">
        <f ca="1">IFERROR(__xludf.DUMMYFUNCTION("""COMPUTED_VALUE"""),"Inauguración Manzana del Cuidado Santa Fe")</f>
        <v>Inauguración Manzana del Cuidado Santa Fe</v>
      </c>
      <c r="C2726" s="55">
        <f ca="1">IFERROR(__xludf.DUMMYFUNCTION("""COMPUTED_VALUE"""),44620)</f>
        <v>44620</v>
      </c>
      <c r="D2726" s="25" t="str">
        <f ca="1">IFERROR(__xludf.DUMMYFUNCTION("""COMPUTED_VALUE"""),"Ambiente")</f>
        <v>Ambiente</v>
      </c>
      <c r="E2726" s="25" t="str">
        <f ca="1">IFERROR(__xludf.DUMMYFUNCTION("""COMPUTED_VALUE"""),"Jardín Botánico José Celestino Mutis")</f>
        <v>Jardín Botánico José Celestino Mutis</v>
      </c>
      <c r="F2726" s="25" t="str">
        <f ca="1">IFERROR(__xludf.DUMMYFUNCTION("""COMPUTED_VALUE"""),"Hacer un plan para que el excedente de las huertas del CDC las venda el IPES")</f>
        <v>Hacer un plan para que el excedente de las huertas del CDC las venda el IPES</v>
      </c>
      <c r="G2726" s="55" t="str">
        <f ca="1">IFERROR(__xludf.DUMMYFUNCTION("""COMPUTED_VALUE"""),"03. Santa Fe")</f>
        <v>03. Santa Fe</v>
      </c>
      <c r="H2726" s="55">
        <f ca="1">IFERROR(__xludf.DUMMYFUNCTION("""COMPUTED_VALUE"""),44650)</f>
        <v>44650</v>
      </c>
      <c r="I2726" s="25"/>
      <c r="J2726" s="55" t="str">
        <f ca="1">IFERROR(__xludf.DUMMYFUNCTION("""COMPUTED_VALUE"""),"Alta")</f>
        <v>Alta</v>
      </c>
      <c r="K2726" s="25">
        <f ca="1">IFERROR(__xludf.DUMMYFUNCTION("""COMPUTED_VALUE"""),30)</f>
        <v>30</v>
      </c>
      <c r="L2726" s="62">
        <f ca="1">IFERROR(__xludf.DUMMYFUNCTION("""COMPUTED_VALUE"""),44692)</f>
        <v>44692</v>
      </c>
      <c r="M2726" s="25" t="str">
        <f ca="1">IFERROR(__xludf.DUMMYFUNCTION("""COMPUTED_VALUE"""),"Los excedentes de las huertas que han sido avalados por el Jardin Botánico en su proceso de producción han sido comercialziados a través de los mercados campesinos agroecológicos, que se oganzian todos los meses con Secretaría de Desarrollo Económico ")</f>
        <v xml:space="preserve">Los excedentes de las huertas que han sido avalados por el Jardin Botánico en su proceso de producción han sido comercialziados a través de los mercados campesinos agroecológicos, que se oganzian todos los meses con Secretaría de Desarrollo Económico </v>
      </c>
      <c r="N2726" s="55">
        <f ca="1">IFERROR(__xludf.DUMMYFUNCTION("""COMPUTED_VALUE"""),44692)</f>
        <v>44692</v>
      </c>
      <c r="O2726" s="25" t="str">
        <f t="shared" ca="1" si="0"/>
        <v>Jardín Botánico José Celestino Mutis</v>
      </c>
      <c r="P2726" s="25" t="str">
        <f t="shared" si="2"/>
        <v/>
      </c>
      <c r="Q2726" s="25" t="str">
        <f ca="1">IFERROR(__xludf.DUMMYFUNCTION("""COMPUTED_VALUE"""),"Corto plazo")</f>
        <v>Corto plazo</v>
      </c>
      <c r="R2726" s="25"/>
      <c r="S2726" s="55"/>
      <c r="T2726" s="56"/>
      <c r="U2726" s="25"/>
      <c r="V2726" s="25"/>
      <c r="W2726" s="25"/>
      <c r="X2726" s="25"/>
      <c r="Y2726" s="25"/>
      <c r="Z2726" s="25"/>
    </row>
    <row r="2727" spans="1:26" ht="52.5" customHeight="1" x14ac:dyDescent="0.25">
      <c r="A2727" s="25" t="str">
        <f ca="1">IFERROR(__xludf.DUMMYFUNCTION("""COMPUTED_VALUE"""),"Ambie25")</f>
        <v>Ambie25</v>
      </c>
      <c r="B2727" s="25" t="str">
        <f ca="1">IFERROR(__xludf.DUMMYFUNCTION("""COMPUTED_VALUE"""),"Inauguración Manzana del Cuidado Santa Fe")</f>
        <v>Inauguración Manzana del Cuidado Santa Fe</v>
      </c>
      <c r="C2727" s="55">
        <f ca="1">IFERROR(__xludf.DUMMYFUNCTION("""COMPUTED_VALUE"""),44620)</f>
        <v>44620</v>
      </c>
      <c r="D2727" s="25" t="str">
        <f ca="1">IFERROR(__xludf.DUMMYFUNCTION("""COMPUTED_VALUE"""),"Ambiente")</f>
        <v>Ambiente</v>
      </c>
      <c r="E2727" s="25" t="str">
        <f ca="1">IFERROR(__xludf.DUMMYFUNCTION("""COMPUTED_VALUE"""),"Jardín Botánico José Celestino Mutis")</f>
        <v>Jardín Botánico José Celestino Mutis</v>
      </c>
      <c r="F2727" s="25" t="str">
        <f ca="1">IFERROR(__xludf.DUMMYFUNCTION("""COMPUTED_VALUE"""),"Hacer un plan de jardineria en las instalaciones del CDC")</f>
        <v>Hacer un plan de jardineria en las instalaciones del CDC</v>
      </c>
      <c r="G2727" s="55" t="str">
        <f ca="1">IFERROR(__xludf.DUMMYFUNCTION("""COMPUTED_VALUE"""),"03. Santa Fe")</f>
        <v>03. Santa Fe</v>
      </c>
      <c r="H2727" s="55">
        <f ca="1">IFERROR(__xludf.DUMMYFUNCTION("""COMPUTED_VALUE"""),44650)</f>
        <v>44650</v>
      </c>
      <c r="I2727" s="25"/>
      <c r="J2727" s="55" t="str">
        <f ca="1">IFERROR(__xludf.DUMMYFUNCTION("""COMPUTED_VALUE"""),"Alta")</f>
        <v>Alta</v>
      </c>
      <c r="K2727" s="25">
        <f ca="1">IFERROR(__xludf.DUMMYFUNCTION("""COMPUTED_VALUE"""),30)</f>
        <v>30</v>
      </c>
      <c r="L2727" s="62">
        <f ca="1">IFERROR(__xludf.DUMMYFUNCTION("""COMPUTED_VALUE"""),44692)</f>
        <v>44692</v>
      </c>
      <c r="M2727" s="25" t="str">
        <f ca="1">IFERROR(__xludf.DUMMYFUNCTION("""COMPUTED_VALUE"""),"Se realizaron las actividades de mantenimiento  en la manzana de cuidado en conjunto con el programa de mujeres que reverdecen, así: 
Apoyo en mantenimiento Huerta lavadero Fábrica de loza, Apoyo en mantenimiento CDC Lourdes - Comedor, Apoyo en mantenimie"&amp;"nto Huerta El Triunfo")</f>
        <v>Se realizaron las actividades de mantenimiento  en la manzana de cuidado en conjunto con el programa de mujeres que reverdecen, así: 
Apoyo en mantenimiento Huerta lavadero Fábrica de loza, Apoyo en mantenimiento CDC Lourdes - Comedor, Apoyo en mantenimiento Huerta El Triunfo</v>
      </c>
      <c r="N2727" s="55">
        <f ca="1">IFERROR(__xludf.DUMMYFUNCTION("""COMPUTED_VALUE"""),44692)</f>
        <v>44692</v>
      </c>
      <c r="O2727" s="25" t="str">
        <f t="shared" ca="1" si="0"/>
        <v>Jardín Botánico José Celestino Mutis</v>
      </c>
      <c r="P2727" s="25" t="str">
        <f t="shared" si="2"/>
        <v/>
      </c>
      <c r="Q2727" s="25" t="str">
        <f ca="1">IFERROR(__xludf.DUMMYFUNCTION("""COMPUTED_VALUE"""),"Corto plazo")</f>
        <v>Corto plazo</v>
      </c>
      <c r="R2727" s="25"/>
      <c r="S2727" s="55"/>
      <c r="T2727" s="56"/>
      <c r="U2727" s="25"/>
      <c r="V2727" s="25"/>
      <c r="W2727" s="25"/>
      <c r="X2727" s="25"/>
      <c r="Y2727" s="25"/>
      <c r="Z2727" s="25"/>
    </row>
    <row r="2728" spans="1:26" ht="52.5" customHeight="1" x14ac:dyDescent="0.25">
      <c r="A2728" s="25" t="str">
        <f ca="1">IFERROR(__xludf.DUMMYFUNCTION("""COMPUTED_VALUE"""),"Ambie26")</f>
        <v>Ambie26</v>
      </c>
      <c r="B2728" s="25" t="str">
        <f ca="1">IFERROR(__xludf.DUMMYFUNCTION("""COMPUTED_VALUE"""),"Inauguración Manzana del Cuidado Santa Fe")</f>
        <v>Inauguración Manzana del Cuidado Santa Fe</v>
      </c>
      <c r="C2728" s="55">
        <f ca="1">IFERROR(__xludf.DUMMYFUNCTION("""COMPUTED_VALUE"""),44620)</f>
        <v>44620</v>
      </c>
      <c r="D2728" s="25" t="str">
        <f ca="1">IFERROR(__xludf.DUMMYFUNCTION("""COMPUTED_VALUE"""),"Ambiente")</f>
        <v>Ambiente</v>
      </c>
      <c r="E2728" s="25" t="str">
        <f ca="1">IFERROR(__xludf.DUMMYFUNCTION("""COMPUTED_VALUE"""),"Jardín Botánico José Celestino Mutis")</f>
        <v>Jardín Botánico José Celestino Mutis</v>
      </c>
      <c r="F2728" s="25" t="str">
        <f ca="1">IFERROR(__xludf.DUMMYFUNCTION("""COMPUTED_VALUE"""),"Integrar los lavaderos tradicionales con el CDC, especialmente para fortalecer la huerta urbana")</f>
        <v>Integrar los lavaderos tradicionales con el CDC, especialmente para fortalecer la huerta urbana</v>
      </c>
      <c r="G2728" s="55" t="str">
        <f ca="1">IFERROR(__xludf.DUMMYFUNCTION("""COMPUTED_VALUE"""),"03. Santa Fe")</f>
        <v>03. Santa Fe</v>
      </c>
      <c r="H2728" s="55">
        <f ca="1">IFERROR(__xludf.DUMMYFUNCTION("""COMPUTED_VALUE"""),44650)</f>
        <v>44650</v>
      </c>
      <c r="I2728" s="25"/>
      <c r="J2728" s="55" t="str">
        <f ca="1">IFERROR(__xludf.DUMMYFUNCTION("""COMPUTED_VALUE"""),"Alta")</f>
        <v>Alta</v>
      </c>
      <c r="K2728" s="25">
        <f ca="1">IFERROR(__xludf.DUMMYFUNCTION("""COMPUTED_VALUE"""),30)</f>
        <v>30</v>
      </c>
      <c r="L2728" s="62">
        <f ca="1">IFERROR(__xludf.DUMMYFUNCTION("""COMPUTED_VALUE"""),44742)</f>
        <v>44742</v>
      </c>
      <c r="M2728" s="25" t="str">
        <f ca="1">IFERROR(__xludf.DUMMYFUNCTION("""COMPUTED_VALUE"""),"A través del apoyo del programa de agricultura urbana y la iniciativa de mujeres que reverdecen del JBB, se fortaleció la huerta, así como mantenimiento, adecuación, asistencia técnica,  es importante, el lavadero es comunitario, es un solo elemento.  Est"&amp;"o se realizó con entrega de insumos para la huerta y  el proceso se realizó con el apoyo de la Alcaldía Local y el DADEP. EL JBB realiza visita quincenales para verificar el avance de la huerta, y se organizará plan de trabajo. El JBB realizó visita técni"&amp;"ca para verificiar el riego, con evaluación de las bombas, en donde se concluyó que se debe adecuar la bomba con accesorios. para un sistema por goteo. ")</f>
        <v xml:space="preserve">A través del apoyo del programa de agricultura urbana y la iniciativa de mujeres que reverdecen del JBB, se fortaleció la huerta, así como mantenimiento, adecuación, asistencia técnica,  es importante, el lavadero es comunitario, es un solo elemento.  Esto se realizó con entrega de insumos para la huerta y  el proceso se realizó con el apoyo de la Alcaldía Local y el DADEP. EL JBB realiza visita quincenales para verificar el avance de la huerta, y se organizará plan de trabajo. El JBB realizó visita técnica para verificiar el riego, con evaluación de las bombas, en donde se concluyó que se debe adecuar la bomba con accesorios. para un sistema por goteo. </v>
      </c>
      <c r="N2728" s="55">
        <f ca="1">IFERROR(__xludf.DUMMYFUNCTION("""COMPUTED_VALUE"""),44742)</f>
        <v>44742</v>
      </c>
      <c r="O2728" s="25" t="str">
        <f t="shared" ca="1" si="0"/>
        <v>Jardín Botánico José Celestino Mutis</v>
      </c>
      <c r="P2728" s="25" t="str">
        <f t="shared" si="2"/>
        <v/>
      </c>
      <c r="Q2728" s="25" t="str">
        <f ca="1">IFERROR(__xludf.DUMMYFUNCTION("""COMPUTED_VALUE"""),"Corto plazo")</f>
        <v>Corto plazo</v>
      </c>
      <c r="R2728" s="25"/>
      <c r="S2728" s="55"/>
      <c r="T2728" s="56"/>
      <c r="U2728" s="25"/>
      <c r="V2728" s="25"/>
      <c r="W2728" s="25"/>
      <c r="X2728" s="25"/>
      <c r="Y2728" s="25"/>
      <c r="Z2728" s="25"/>
    </row>
    <row r="2729" spans="1:26" ht="52.5" customHeight="1" x14ac:dyDescent="0.25">
      <c r="A2729" s="25" t="str">
        <f ca="1">IFERROR(__xludf.DUMMYFUNCTION("""COMPUTED_VALUE"""),"Ambie27")</f>
        <v>Ambie27</v>
      </c>
      <c r="B2729" s="25" t="str">
        <f ca="1">IFERROR(__xludf.DUMMYFUNCTION("""COMPUTED_VALUE"""),"Comisión SIDICU")</f>
        <v>Comisión SIDICU</v>
      </c>
      <c r="C2729" s="55">
        <f ca="1">IFERROR(__xludf.DUMMYFUNCTION("""COMPUTED_VALUE"""),44620)</f>
        <v>44620</v>
      </c>
      <c r="D2729" s="25" t="str">
        <f ca="1">IFERROR(__xludf.DUMMYFUNCTION("""COMPUTED_VALUE"""),"Ambiente")</f>
        <v>Ambiente</v>
      </c>
      <c r="E2729" s="25" t="str">
        <f ca="1">IFERROR(__xludf.DUMMYFUNCTION("""COMPUTED_VALUE"""),"Secretaría Distrital de Ambiente")</f>
        <v>Secretaría Distrital de Ambiente</v>
      </c>
      <c r="F2729" s="25" t="str">
        <f ca="1">IFERROR(__xludf.DUMMYFUNCTION("""COMPUTED_VALUE"""),"Incluir en todas las super manzanas del cuidado el tema de huertas, viveros, arborización, separación de residuos y cuidado de animales")</f>
        <v>Incluir en todas las super manzanas del cuidado el tema de huertas, viveros, arborización, separación de residuos y cuidado de animales</v>
      </c>
      <c r="G2729" s="25" t="str">
        <f ca="1">IFERROR(__xludf.DUMMYFUNCTION("""COMPUTED_VALUE"""),"99. Distrito")</f>
        <v>99. Distrito</v>
      </c>
      <c r="H2729" s="55">
        <f ca="1">IFERROR(__xludf.DUMMYFUNCTION("""COMPUTED_VALUE"""),44650)</f>
        <v>44650</v>
      </c>
      <c r="I2729" s="25"/>
      <c r="J2729" s="55" t="str">
        <f ca="1">IFERROR(__xludf.DUMMYFUNCTION("""COMPUTED_VALUE"""),"Alta")</f>
        <v>Alta</v>
      </c>
      <c r="K2729" s="25">
        <f ca="1">IFERROR(__xludf.DUMMYFUNCTION("""COMPUTED_VALUE"""),30)</f>
        <v>30</v>
      </c>
      <c r="L2729" s="62">
        <f ca="1">IFERROR(__xludf.DUMMYFUNCTION("""COMPUTED_VALUE"""),44692)</f>
        <v>44692</v>
      </c>
      <c r="M2729" s="25" t="str">
        <f ca="1">IFERROR(__xludf.DUMMYFUNCTION("""COMPUTED_VALUE"""),"El Jardín Botánico de Bogotá, identificó en las 15 manzanas de cuidado, identificó acciones que se  han realizado y la programación de mantenimiento de coberturas vegetales así: CDC Simón Bolívar Usaquén (calle 165 # 7- 32) son dos huertas en las cuales l"&amp;"as mujeres de Usaquen han realizando sus prácticas y seguirán en actividades de mantenimiento, en la manzana de Bosa, el grupo de Bosa Porvenir hizo intervención de la Jardinera del Jardín Infantil el Porvenir (2.70mts x 5.40mts), en la localidad de San C"&amp;"ristóbal se ha realizado  mantenimiento de 110 árboles en el parque metropolitano de San Cristóbal .
Desde El Instituto Distrital de Proteccion y Bienestar Animal-IDPYBA  se vienen adelantando actividades en las manzanas del cuidado del Distrito. Especif"&amp;"icamente desde la Subdireccin de Atención a la Fauna desde junio del año 2022 se han venido interviendo las manzanas con dos programas para la atención de caninos y felinos de manera gratuita: Esterilizaciones quirugicas y Brigadas medicas. Por lo anterio"&amp;"r, desde el programa de esterilizaciones se programaron 14 jornadas en donde se les presto el servicio a 243 cuidadoras y cuidadores y se esterilizarón 271 animales de compañia y desde el programa de Brigadas medicas se programarón 13 jornadas en donde se"&amp;" les presto el servicio a 157 cuidadoras o cuidadores y se valorarón 247 animales de compañia.
")</f>
        <v xml:space="preserve">El Jardín Botánico de Bogotá, identificó en las 15 manzanas de cuidado, identificó acciones que se  han realizado y la programación de mantenimiento de coberturas vegetales así: CDC Simón Bolívar Usaquén (calle 165 # 7- 32) son dos huertas en las cuales las mujeres de Usaquen han realizando sus prácticas y seguirán en actividades de mantenimiento, en la manzana de Bosa, el grupo de Bosa Porvenir hizo intervención de la Jardinera del Jardín Infantil el Porvenir (2.70mts x 5.40mts), en la localidad de San Cristóbal se ha realizado  mantenimiento de 110 árboles en el parque metropolitano de San Cristóbal .
Desde El Instituto Distrital de Proteccion y Bienestar Animal-IDPYBA  se vienen adelantando actividades en las manzanas del cuidado del Distrito. Especificamente desde la Subdireccin de Atención a la Fauna desde junio del año 2022 se han venido interviendo las manzanas con dos programas para la atención de caninos y felinos de manera gratuita: Esterilizaciones quirugicas y Brigadas medicas. Por lo anterior, desde el programa de esterilizaciones se programaron 14 jornadas en donde se les presto el servicio a 243 cuidadoras y cuidadores y se esterilizarón 271 animales de compañia y desde el programa de Brigadas medicas se programarón 13 jornadas en donde se les presto el servicio a 157 cuidadoras o cuidadores y se valorarón 247 animales de compañia.
</v>
      </c>
      <c r="N2729" s="55">
        <f ca="1">IFERROR(__xludf.DUMMYFUNCTION("""COMPUTED_VALUE"""),44692)</f>
        <v>44692</v>
      </c>
      <c r="O2729" s="25" t="str">
        <f t="shared" ca="1" si="0"/>
        <v>Secretaría Distrital de Ambiente</v>
      </c>
      <c r="P2729" s="25" t="str">
        <f t="shared" si="2"/>
        <v/>
      </c>
      <c r="Q2729" s="25" t="str">
        <f ca="1">IFERROR(__xludf.DUMMYFUNCTION("""COMPUTED_VALUE"""),"Corto plazo")</f>
        <v>Corto plazo</v>
      </c>
      <c r="R2729" s="25"/>
      <c r="S2729" s="55"/>
      <c r="T2729" s="56"/>
      <c r="U2729" s="25"/>
      <c r="V2729" s="25"/>
      <c r="W2729" s="25"/>
      <c r="X2729" s="25"/>
      <c r="Y2729" s="25"/>
      <c r="Z2729" s="25"/>
    </row>
    <row r="2730" spans="1:26" ht="52.5" customHeight="1" x14ac:dyDescent="0.25">
      <c r="A2730" s="25" t="str">
        <f ca="1">IFERROR(__xludf.DUMMYFUNCTION("""COMPUTED_VALUE"""),"Ambie28")</f>
        <v>Ambie28</v>
      </c>
      <c r="B2730" s="25" t="str">
        <f ca="1">IFERROR(__xludf.DUMMYFUNCTION("""COMPUTED_VALUE"""),"Reverdecer del Sur")</f>
        <v>Reverdecer del Sur</v>
      </c>
      <c r="C2730" s="55">
        <f ca="1">IFERROR(__xludf.DUMMYFUNCTION("""COMPUTED_VALUE"""),44613)</f>
        <v>44613</v>
      </c>
      <c r="D2730" s="25" t="str">
        <f ca="1">IFERROR(__xludf.DUMMYFUNCTION("""COMPUTED_VALUE"""),"Ambiente")</f>
        <v>Ambiente</v>
      </c>
      <c r="E2730" s="25" t="str">
        <f ca="1">IFERROR(__xludf.DUMMYFUNCTION("""COMPUTED_VALUE"""),"Secretaría Distrital de Ambiente")</f>
        <v>Secretaría Distrital de Ambiente</v>
      </c>
      <c r="F2730" s="25" t="str">
        <f ca="1">IFERROR(__xludf.DUMMYFUNCTION("""COMPUTED_VALUE"""),"Reverdecer del sur:
SDA ponerse de acuerdo con ANLA respecto al instrumento ambiental para ejecutar las obras de reconformación del suelo")</f>
        <v>Reverdecer del sur:
SDA ponerse de acuerdo con ANLA respecto al instrumento ambiental para ejecutar las obras de reconformación del suelo</v>
      </c>
      <c r="G2730" s="25" t="str">
        <f ca="1">IFERROR(__xludf.DUMMYFUNCTION("""COMPUTED_VALUE"""),"99. Distrito")</f>
        <v>99. Distrito</v>
      </c>
      <c r="H2730" s="55">
        <f ca="1">IFERROR(__xludf.DUMMYFUNCTION("""COMPUTED_VALUE"""),44635)</f>
        <v>44635</v>
      </c>
      <c r="I2730" s="25"/>
      <c r="J2730" s="55" t="str">
        <f ca="1">IFERROR(__xludf.DUMMYFUNCTION("""COMPUTED_VALUE"""),"Alta")</f>
        <v>Alta</v>
      </c>
      <c r="K2730" s="25">
        <f ca="1">IFERROR(__xludf.DUMMYFUNCTION("""COMPUTED_VALUE"""),22)</f>
        <v>22</v>
      </c>
      <c r="L2730" s="62"/>
      <c r="M2730" s="25" t="str">
        <f ca="1">IFERROR(__xludf.DUMMYFUNCTION("""COMPUTED_VALUE"""),"DCA_SRHS. En el año 2022, en las instalaciones dela alcaldía mayor, se realizó reunión con los diferentes actores que concurren en este proyecto, entre los cuales se encontraba la ANLA.")</f>
        <v>DCA_SRHS. En el año 2022, en las instalaciones dela alcaldía mayor, se realizó reunión con los diferentes actores que concurren en este proyecto, entre los cuales se encontraba la ANLA.</v>
      </c>
      <c r="N2730" s="55">
        <f ca="1">IFERROR(__xludf.DUMMYFUNCTION("""COMPUTED_VALUE"""),44927)</f>
        <v>44927</v>
      </c>
      <c r="O2730" s="25" t="str">
        <f t="shared" ca="1" si="0"/>
        <v>Secretaría Distrital de Ambiente</v>
      </c>
      <c r="P2730" s="25" t="str">
        <f t="shared" si="2"/>
        <v/>
      </c>
      <c r="Q2730" s="25" t="str">
        <f ca="1">IFERROR(__xludf.DUMMYFUNCTION("""COMPUTED_VALUE"""),"Corto plazo")</f>
        <v>Corto plazo</v>
      </c>
      <c r="R2730" s="25"/>
      <c r="S2730" s="55"/>
      <c r="T2730" s="56"/>
      <c r="U2730" s="25"/>
      <c r="V2730" s="25"/>
      <c r="W2730" s="25"/>
      <c r="X2730" s="25"/>
      <c r="Y2730" s="25"/>
      <c r="Z2730" s="25"/>
    </row>
    <row r="2731" spans="1:26" ht="52.5" customHeight="1" x14ac:dyDescent="0.25">
      <c r="A2731" s="25" t="str">
        <f ca="1">IFERROR(__xludf.DUMMYFUNCTION("""COMPUTED_VALUE"""),"Ambie29")</f>
        <v>Ambie29</v>
      </c>
      <c r="B2731" s="25" t="str">
        <f ca="1">IFERROR(__xludf.DUMMYFUNCTION("""COMPUTED_VALUE"""),"Reverdecer del Sur")</f>
        <v>Reverdecer del Sur</v>
      </c>
      <c r="C2731" s="55">
        <f ca="1">IFERROR(__xludf.DUMMYFUNCTION("""COMPUTED_VALUE"""),44613)</f>
        <v>44613</v>
      </c>
      <c r="D2731" s="25" t="str">
        <f ca="1">IFERROR(__xludf.DUMMYFUNCTION("""COMPUTED_VALUE"""),"Ambiente")</f>
        <v>Ambiente</v>
      </c>
      <c r="E2731" s="25" t="str">
        <f ca="1">IFERROR(__xludf.DUMMYFUNCTION("""COMPUTED_VALUE"""),"Secretaría Distrital de Ambiente")</f>
        <v>Secretaría Distrital de Ambiente</v>
      </c>
      <c r="F2731" s="25" t="str">
        <f ca="1">IFERROR(__xludf.DUMMYFUNCTION("""COMPUTED_VALUE"""),"Reverdecer del sur:
Mochuelo: Canteras y ocupaciones expedir medidas preventivas; y realizar una visita con SDA ir con CAR y Control Urbanístico Alcaldía Local / policía")</f>
        <v>Reverdecer del sur:
Mochuelo: Canteras y ocupaciones expedir medidas preventivas; y realizar una visita con SDA ir con CAR y Control Urbanístico Alcaldía Local / policía</v>
      </c>
      <c r="G2731" s="25" t="str">
        <f ca="1">IFERROR(__xludf.DUMMYFUNCTION("""COMPUTED_VALUE"""),"19. Ciudad Bolívar")</f>
        <v>19. Ciudad Bolívar</v>
      </c>
      <c r="H2731" s="55">
        <f ca="1">IFERROR(__xludf.DUMMYFUNCTION("""COMPUTED_VALUE"""),44635)</f>
        <v>44635</v>
      </c>
      <c r="I2731" s="25"/>
      <c r="J2731" s="55" t="str">
        <f ca="1">IFERROR(__xludf.DUMMYFUNCTION("""COMPUTED_VALUE"""),"Alta")</f>
        <v>Alta</v>
      </c>
      <c r="K2731" s="25">
        <f ca="1">IFERROR(__xludf.DUMMYFUNCTION("""COMPUTED_VALUE"""),22)</f>
        <v>22</v>
      </c>
      <c r="L2731" s="62">
        <f ca="1">IFERROR(__xludf.DUMMYFUNCTION("""COMPUTED_VALUE"""),45077)</f>
        <v>45077</v>
      </c>
      <c r="M2731" s="25" t="str">
        <f ca="1">IFERROR(__xludf.DUMMYFUNCTION("""COMPUTED_VALUE"""),"DCA-SRHS. En el año 2022 se cumplió con esta tarea, acompañando operativo a actividad minera en el sector de Mochuelo, jurisdicción de la CAR. 
Se recomienda cerrar.
La CAR no impuso ninguna medida. El papel de la SDA fue de acompañamiento, toda vez que "&amp;"esta zona no es parte de su jurisdicción. El operativo se ejecutó el día 24 de marzo de 2022")</f>
        <v>DCA-SRHS. En el año 2022 se cumplió con esta tarea, acompañando operativo a actividad minera en el sector de Mochuelo, jurisdicción de la CAR. 
Se recomienda cerrar.
La CAR no impuso ninguna medida. El papel de la SDA fue de acompañamiento, toda vez que esta zona no es parte de su jurisdicción. El operativo se ejecutó el día 24 de marzo de 2022</v>
      </c>
      <c r="N2731" s="55">
        <f ca="1">IFERROR(__xludf.DUMMYFUNCTION("""COMPUTED_VALUE"""),44644)</f>
        <v>44644</v>
      </c>
      <c r="O2731" s="25" t="str">
        <f t="shared" ca="1" si="0"/>
        <v>Secretaría Distrital de Ambiente</v>
      </c>
      <c r="P2731" s="25" t="str">
        <f t="shared" si="2"/>
        <v/>
      </c>
      <c r="Q2731" s="25" t="str">
        <f ca="1">IFERROR(__xludf.DUMMYFUNCTION("""COMPUTED_VALUE"""),"Corto plazo")</f>
        <v>Corto plazo</v>
      </c>
      <c r="R2731" s="25"/>
      <c r="S2731" s="55"/>
      <c r="T2731" s="56"/>
      <c r="U2731" s="25"/>
      <c r="V2731" s="25"/>
      <c r="W2731" s="25"/>
      <c r="X2731" s="25"/>
      <c r="Y2731" s="25"/>
      <c r="Z2731" s="25"/>
    </row>
    <row r="2732" spans="1:26" ht="52.5" customHeight="1" x14ac:dyDescent="0.25">
      <c r="A2732" s="25" t="str">
        <f ca="1">IFERROR(__xludf.DUMMYFUNCTION("""COMPUTED_VALUE"""),"Ambie30")</f>
        <v>Ambie30</v>
      </c>
      <c r="B2732" s="25" t="str">
        <f ca="1">IFERROR(__xludf.DUMMYFUNCTION("""COMPUTED_VALUE"""),"Junta de infraestructura")</f>
        <v>Junta de infraestructura</v>
      </c>
      <c r="C2732" s="55">
        <f ca="1">IFERROR(__xludf.DUMMYFUNCTION("""COMPUTED_VALUE"""),44608)</f>
        <v>44608</v>
      </c>
      <c r="D2732" s="25" t="str">
        <f ca="1">IFERROR(__xludf.DUMMYFUNCTION("""COMPUTED_VALUE"""),"Ambiente")</f>
        <v>Ambiente</v>
      </c>
      <c r="E2732" s="25" t="str">
        <f ca="1">IFERROR(__xludf.DUMMYFUNCTION("""COMPUTED_VALUE"""),"Secretaría Distrital de Ambiente")</f>
        <v>Secretaría Distrital de Ambiente</v>
      </c>
      <c r="F2732" s="25" t="str">
        <f ca="1">IFERROR(__xludf.DUMMYFUNCTION("""COMPUTED_VALUE"""),"Explotación cerramientos de obra PLMB:
Presentar la hoja de ruta para viabilizar normativamente la propuesta del concesionario.
")</f>
        <v xml:space="preserve">Explotación cerramientos de obra PLMB:
Presentar la hoja de ruta para viabilizar normativamente la propuesta del concesionario.
</v>
      </c>
      <c r="G2732" s="25" t="str">
        <f ca="1">IFERROR(__xludf.DUMMYFUNCTION("""COMPUTED_VALUE"""),"99. Distrito")</f>
        <v>99. Distrito</v>
      </c>
      <c r="H2732" s="55">
        <f ca="1">IFERROR(__xludf.DUMMYFUNCTION("""COMPUTED_VALUE"""),44638)</f>
        <v>44638</v>
      </c>
      <c r="I2732" s="25"/>
      <c r="J2732" s="55" t="str">
        <f ca="1">IFERROR(__xludf.DUMMYFUNCTION("""COMPUTED_VALUE"""),"Alta")</f>
        <v>Alta</v>
      </c>
      <c r="K2732" s="25">
        <f ca="1">IFERROR(__xludf.DUMMYFUNCTION("""COMPUTED_VALUE"""),30)</f>
        <v>30</v>
      </c>
      <c r="L2732" s="62">
        <f ca="1">IFERROR(__xludf.DUMMYFUNCTION("""COMPUTED_VALUE"""),44890)</f>
        <v>44890</v>
      </c>
      <c r="M2732" s="25" t="str">
        <f ca="1">IFERROR(__xludf.DUMMYFUNCTION("""COMPUTED_VALUE"""),"De acuerdo con la modificación surtida por parte de la Secretaría Distrital de Planeación, se habilitó el cerramiento temporal como un área habilitada para la instalación de comedores. En consecuencia de lo anterior, la Secretaría Distrital de Ambiente ex"&amp;"pidió la Resolución 3872 de 2022 del 12 de septiembre de 2022 ""Por la cual se establecen las características, condiciones y requisitos para la implementación de los elementos de publicidad exterior visual tipo mogadores y carteleras locales del Distrito "&amp;"Capital y se dictan otras disposiciones""
Adicionalmente, se realizó la modificación del procedimiento interno con el fin de incluir dentro de las áreas habilitadas el cerramiento temporal para la instalación de elementos de publicidad tipo ""Mogador o c"&amp;"artelera local""")</f>
        <v>De acuerdo con la modificación surtida por parte de la Secretaría Distrital de Planeación, se habilitó el cerramiento temporal como un área habilitada para la instalación de comedores. En consecuencia de lo anterior, la Secretaría Distrital de Ambiente expidió la Resolución 3872 de 2022 del 12 de septiembre de 2022 "Por la cual se establecen las características, condiciones y requisitos para la implementación de los elementos de publicidad exterior visual tipo mogadores y carteleras locales del Distrito Capital y se dictan otras disposiciones"
Adicionalmente, se realizó la modificación del procedimiento interno con el fin de incluir dentro de las áreas habilitadas el cerramiento temporal para la instalación de elementos de publicidad tipo "Mogador o cartelera local"</v>
      </c>
      <c r="N2732" s="55">
        <f ca="1">IFERROR(__xludf.DUMMYFUNCTION("""COMPUTED_VALUE"""),44890)</f>
        <v>44890</v>
      </c>
      <c r="O2732" s="25" t="str">
        <f t="shared" ca="1" si="0"/>
        <v>Secretaría Distrital de Ambiente</v>
      </c>
      <c r="P2732" s="25" t="str">
        <f t="shared" si="2"/>
        <v/>
      </c>
      <c r="Q2732" s="25" t="str">
        <f ca="1">IFERROR(__xludf.DUMMYFUNCTION("""COMPUTED_VALUE"""),"Corto plazo")</f>
        <v>Corto plazo</v>
      </c>
      <c r="R2732" s="25"/>
      <c r="S2732" s="55"/>
      <c r="T2732" s="56"/>
      <c r="U2732" s="25"/>
      <c r="V2732" s="25"/>
      <c r="W2732" s="25"/>
      <c r="X2732" s="25"/>
      <c r="Y2732" s="25"/>
      <c r="Z2732" s="25"/>
    </row>
    <row r="2733" spans="1:26" ht="52.5" customHeight="1" x14ac:dyDescent="0.25">
      <c r="A2733" s="25" t="str">
        <f ca="1">IFERROR(__xludf.DUMMYFUNCTION("""COMPUTED_VALUE"""),"Ambie31")</f>
        <v>Ambie31</v>
      </c>
      <c r="B2733" s="25" t="str">
        <f ca="1">IFERROR(__xludf.DUMMYFUNCTION("""COMPUTED_VALUE"""),"Junta de infraestructura")</f>
        <v>Junta de infraestructura</v>
      </c>
      <c r="C2733" s="55">
        <f ca="1">IFERROR(__xludf.DUMMYFUNCTION("""COMPUTED_VALUE"""),44608)</f>
        <v>44608</v>
      </c>
      <c r="D2733" s="25" t="str">
        <f ca="1">IFERROR(__xludf.DUMMYFUNCTION("""COMPUTED_VALUE"""),"Ambiente")</f>
        <v>Ambiente</v>
      </c>
      <c r="E2733" s="25" t="str">
        <f ca="1">IFERROR(__xludf.DUMMYFUNCTION("""COMPUTED_VALUE"""),"Secretaría Distrital de Ambiente")</f>
        <v>Secretaría Distrital de Ambiente</v>
      </c>
      <c r="F2733" s="25" t="str">
        <f ca="1">IFERROR(__xludf.DUMMYFUNCTION("""COMPUTED_VALUE"""),"Apoyar en la gestión conjunta de los permisos que requieren los puentes sobre canal")</f>
        <v>Apoyar en la gestión conjunta de los permisos que requieren los puentes sobre canal</v>
      </c>
      <c r="G2733" s="25" t="str">
        <f ca="1">IFERROR(__xludf.DUMMYFUNCTION("""COMPUTED_VALUE"""),"99. Distrito")</f>
        <v>99. Distrito</v>
      </c>
      <c r="H2733" s="55">
        <f ca="1">IFERROR(__xludf.DUMMYFUNCTION("""COMPUTED_VALUE"""),44638)</f>
        <v>44638</v>
      </c>
      <c r="I2733" s="25"/>
      <c r="J2733" s="55" t="str">
        <f ca="1">IFERROR(__xludf.DUMMYFUNCTION("""COMPUTED_VALUE"""),"Alta")</f>
        <v>Alta</v>
      </c>
      <c r="K2733" s="25">
        <f ca="1">IFERROR(__xludf.DUMMYFUNCTION("""COMPUTED_VALUE"""),30)</f>
        <v>30</v>
      </c>
      <c r="L2733" s="62">
        <f ca="1">IFERROR(__xludf.DUMMYFUNCTION("""COMPUTED_VALUE"""),44890)</f>
        <v>44890</v>
      </c>
      <c r="M2733" s="25" t="str">
        <f ca="1">IFERROR(__xludf.DUMMYFUNCTION("""COMPUTED_VALUE"""),"Se deben quitar los sellamientos de Juan Amarillo cuando se publique el proceso, 31 de marzo de 2022. ")</f>
        <v xml:space="preserve">Se deben quitar los sellamientos de Juan Amarillo cuando se publique el proceso, 31 de marzo de 2022. </v>
      </c>
      <c r="N2733" s="55">
        <f ca="1">IFERROR(__xludf.DUMMYFUNCTION("""COMPUTED_VALUE"""),44890)</f>
        <v>44890</v>
      </c>
      <c r="O2733" s="25" t="str">
        <f t="shared" ca="1" si="0"/>
        <v>Secretaría Distrital de Ambiente</v>
      </c>
      <c r="P2733" s="25" t="str">
        <f t="shared" si="2"/>
        <v/>
      </c>
      <c r="Q2733" s="25" t="str">
        <f ca="1">IFERROR(__xludf.DUMMYFUNCTION("""COMPUTED_VALUE"""),"Corto plazo")</f>
        <v>Corto plazo</v>
      </c>
      <c r="R2733" s="25"/>
      <c r="S2733" s="55"/>
      <c r="T2733" s="56"/>
      <c r="U2733" s="25"/>
      <c r="V2733" s="25"/>
      <c r="W2733" s="25"/>
      <c r="X2733" s="25"/>
      <c r="Y2733" s="25"/>
      <c r="Z2733" s="25"/>
    </row>
    <row r="2734" spans="1:26" ht="52.5" customHeight="1" x14ac:dyDescent="0.25">
      <c r="A2734" s="25" t="str">
        <f ca="1">IFERROR(__xludf.DUMMYFUNCTION("""COMPUTED_VALUE"""),"Ambie32")</f>
        <v>Ambie32</v>
      </c>
      <c r="B2734" s="25" t="str">
        <f ca="1">IFERROR(__xludf.DUMMYFUNCTION("""COMPUTED_VALUE"""),"Reunión Lagos de Torca")</f>
        <v>Reunión Lagos de Torca</v>
      </c>
      <c r="C2734" s="55">
        <f ca="1">IFERROR(__xludf.DUMMYFUNCTION("""COMPUTED_VALUE"""),44587)</f>
        <v>44587</v>
      </c>
      <c r="D2734" s="25" t="str">
        <f ca="1">IFERROR(__xludf.DUMMYFUNCTION("""COMPUTED_VALUE"""),"Ambiente")</f>
        <v>Ambiente</v>
      </c>
      <c r="E2734" s="25" t="str">
        <f ca="1">IFERROR(__xludf.DUMMYFUNCTION("""COMPUTED_VALUE"""),"Secretaría Distrital de Ambiente")</f>
        <v>Secretaría Distrital de Ambiente</v>
      </c>
      <c r="F2734" s="25" t="str">
        <f ca="1">IFERROR(__xludf.DUMMYFUNCTION("""COMPUTED_VALUE"""),"Agendar una mesa con el director de la CAR para revisar los trámites de licenciamiento de Lagos de Torca")</f>
        <v>Agendar una mesa con el director de la CAR para revisar los trámites de licenciamiento de Lagos de Torca</v>
      </c>
      <c r="G2734" s="25" t="str">
        <f ca="1">IFERROR(__xludf.DUMMYFUNCTION("""COMPUTED_VALUE"""),"99. Distrito")</f>
        <v>99. Distrito</v>
      </c>
      <c r="H2734" s="55">
        <f ca="1">IFERROR(__xludf.DUMMYFUNCTION("""COMPUTED_VALUE"""),44617)</f>
        <v>44617</v>
      </c>
      <c r="I2734" s="25"/>
      <c r="J2734" s="55" t="str">
        <f ca="1">IFERROR(__xludf.DUMMYFUNCTION("""COMPUTED_VALUE"""),"Alta")</f>
        <v>Alta</v>
      </c>
      <c r="K2734" s="25">
        <f ca="1">IFERROR(__xludf.DUMMYFUNCTION("""COMPUTED_VALUE"""),30)</f>
        <v>30</v>
      </c>
      <c r="L2734" s="62">
        <f ca="1">IFERROR(__xludf.DUMMYFUNCTION("""COMPUTED_VALUE"""),44622)</f>
        <v>44622</v>
      </c>
      <c r="M2734" s="25" t="str">
        <f ca="1">IFERROR(__xludf.DUMMYFUNCTION("""COMPUTED_VALUE"""),"La reunión fue citada por la alcaldesa para el 4 de marzo de 2022.")</f>
        <v>La reunión fue citada por la alcaldesa para el 4 de marzo de 2022.</v>
      </c>
      <c r="N2734" s="55">
        <f ca="1">IFERROR(__xludf.DUMMYFUNCTION("""COMPUTED_VALUE"""),44622)</f>
        <v>44622</v>
      </c>
      <c r="O2734" s="25" t="str">
        <f t="shared" ca="1" si="0"/>
        <v>Secretaría Distrital de Ambiente</v>
      </c>
      <c r="P2734" s="25" t="str">
        <f t="shared" si="2"/>
        <v/>
      </c>
      <c r="Q2734" s="25" t="str">
        <f ca="1">IFERROR(__xludf.DUMMYFUNCTION("""COMPUTED_VALUE"""),"Corto plazo")</f>
        <v>Corto plazo</v>
      </c>
      <c r="R2734" s="25"/>
      <c r="S2734" s="55"/>
      <c r="T2734" s="56"/>
      <c r="U2734" s="25"/>
      <c r="V2734" s="25"/>
      <c r="W2734" s="25"/>
      <c r="X2734" s="25"/>
      <c r="Y2734" s="25"/>
      <c r="Z2734" s="25"/>
    </row>
    <row r="2735" spans="1:26" ht="52.5" customHeight="1" x14ac:dyDescent="0.25">
      <c r="A2735" s="25" t="str">
        <f ca="1">IFERROR(__xludf.DUMMYFUNCTION("""COMPUTED_VALUE"""),"Ambie33")</f>
        <v>Ambie33</v>
      </c>
      <c r="B2735" s="25" t="str">
        <f ca="1">IFERROR(__xludf.DUMMYFUNCTION("""COMPUTED_VALUE"""),"Recorrido Kennedy")</f>
        <v>Recorrido Kennedy</v>
      </c>
      <c r="C2735" s="55">
        <f ca="1">IFERROR(__xludf.DUMMYFUNCTION("""COMPUTED_VALUE"""),44581)</f>
        <v>44581</v>
      </c>
      <c r="D2735" s="25" t="str">
        <f ca="1">IFERROR(__xludf.DUMMYFUNCTION("""COMPUTED_VALUE"""),"Ambiente")</f>
        <v>Ambiente</v>
      </c>
      <c r="E2735" s="25" t="str">
        <f ca="1">IFERROR(__xludf.DUMMYFUNCTION("""COMPUTED_VALUE"""),"Secretaría Distrital de Ambiente")</f>
        <v>Secretaría Distrital de Ambiente</v>
      </c>
      <c r="F2735" s="25" t="str">
        <f ca="1">IFERROR(__xludf.DUMMYFUNCTION("""COMPUTED_VALUE"""),"Evaluar la posibilidad de incluir en el recibo del agua una pieza explicativa del tratamiento que se le da a los humedales en el POT")</f>
        <v>Evaluar la posibilidad de incluir en el recibo del agua una pieza explicativa del tratamiento que se le da a los humedales en el POT</v>
      </c>
      <c r="G2735" s="55" t="str">
        <f ca="1">IFERROR(__xludf.DUMMYFUNCTION("""COMPUTED_VALUE"""),"08. Kennedy")</f>
        <v>08. Kennedy</v>
      </c>
      <c r="H2735" s="55">
        <f ca="1">IFERROR(__xludf.DUMMYFUNCTION("""COMPUTED_VALUE"""),44611)</f>
        <v>44611</v>
      </c>
      <c r="I2735" s="25"/>
      <c r="J2735" s="55" t="str">
        <f ca="1">IFERROR(__xludf.DUMMYFUNCTION("""COMPUTED_VALUE"""),"Alta")</f>
        <v>Alta</v>
      </c>
      <c r="K2735" s="25">
        <f ca="1">IFERROR(__xludf.DUMMYFUNCTION("""COMPUTED_VALUE"""),30)</f>
        <v>30</v>
      </c>
      <c r="L2735" s="62">
        <f ca="1">IFERROR(__xludf.DUMMYFUNCTION("""COMPUTED_VALUE"""),44622)</f>
        <v>44622</v>
      </c>
      <c r="M2735" s="25" t="str">
        <f ca="1">IFERROR(__xludf.DUMMYFUNCTION("""COMPUTED_VALUE"""),"Desde la Secretaría de Ambiente estamos trabajando en el diseño del volante con información sobre los humedales en el POT, y averiguando con Acueducto los temas logísticos para coordinar la entrega. Ya nos informaron las especificaciones técnicas del vola"&amp;"nte y estamos en proceso de elaboración. Nos informan de Acueducto que Secretaría de Planeación también hizo la consulta para anexar a la factura un balance general de las bondades del POT.")</f>
        <v>Desde la Secretaría de Ambiente estamos trabajando en el diseño del volante con información sobre los humedales en el POT, y averiguando con Acueducto los temas logísticos para coordinar la entrega. Ya nos informaron las especificaciones técnicas del volante y estamos en proceso de elaboración. Nos informan de Acueducto que Secretaría de Planeación también hizo la consulta para anexar a la factura un balance general de las bondades del POT.</v>
      </c>
      <c r="N2735" s="55">
        <f ca="1">IFERROR(__xludf.DUMMYFUNCTION("""COMPUTED_VALUE"""),44622)</f>
        <v>44622</v>
      </c>
      <c r="O2735" s="25" t="str">
        <f t="shared" ca="1" si="0"/>
        <v>Secretaría Distrital de Ambiente</v>
      </c>
      <c r="P2735" s="25" t="str">
        <f t="shared" si="2"/>
        <v/>
      </c>
      <c r="Q2735" s="25" t="str">
        <f ca="1">IFERROR(__xludf.DUMMYFUNCTION("""COMPUTED_VALUE"""),"Corto plazo")</f>
        <v>Corto plazo</v>
      </c>
      <c r="R2735" s="25"/>
      <c r="S2735" s="55"/>
      <c r="T2735" s="56"/>
      <c r="U2735" s="25"/>
      <c r="V2735" s="25"/>
      <c r="W2735" s="25"/>
      <c r="X2735" s="25"/>
      <c r="Y2735" s="25"/>
      <c r="Z2735" s="25"/>
    </row>
    <row r="2736" spans="1:26" ht="52.5" customHeight="1" x14ac:dyDescent="0.25">
      <c r="A2736" s="25" t="str">
        <f ca="1">IFERROR(__xludf.DUMMYFUNCTION("""COMPUTED_VALUE"""),"Ambie34")</f>
        <v>Ambie34</v>
      </c>
      <c r="B2736" s="25" t="str">
        <f ca="1">IFERROR(__xludf.DUMMYFUNCTION("""COMPUTED_VALUE"""),"Comité epidemiológico ")</f>
        <v xml:space="preserve">Comité epidemiológico </v>
      </c>
      <c r="C2736" s="55">
        <f ca="1">IFERROR(__xludf.DUMMYFUNCTION("""COMPUTED_VALUE"""),44573)</f>
        <v>44573</v>
      </c>
      <c r="D2736" s="25" t="str">
        <f ca="1">IFERROR(__xludf.DUMMYFUNCTION("""COMPUTED_VALUE"""),"Ambiente")</f>
        <v>Ambiente</v>
      </c>
      <c r="E2736" s="25" t="str">
        <f ca="1">IFERROR(__xludf.DUMMYFUNCTION("""COMPUTED_VALUE"""),"Secretaría Distrital de Ambiente")</f>
        <v>Secretaría Distrital de Ambiente</v>
      </c>
      <c r="F2736" s="25" t="str">
        <f ca="1">IFERROR(__xludf.DUMMYFUNCTION("""COMPUTED_VALUE"""),"Enviar mujeres que reverdecen a los colegios")</f>
        <v>Enviar mujeres que reverdecen a los colegios</v>
      </c>
      <c r="G2736" s="25" t="str">
        <f ca="1">IFERROR(__xludf.DUMMYFUNCTION("""COMPUTED_VALUE"""),"99. Distrito")</f>
        <v>99. Distrito</v>
      </c>
      <c r="H2736" s="55">
        <f ca="1">IFERROR(__xludf.DUMMYFUNCTION("""COMPUTED_VALUE"""),44603)</f>
        <v>44603</v>
      </c>
      <c r="I2736" s="25"/>
      <c r="J2736" s="55" t="str">
        <f ca="1">IFERROR(__xludf.DUMMYFUNCTION("""COMPUTED_VALUE"""),"Alta")</f>
        <v>Alta</v>
      </c>
      <c r="K2736" s="25">
        <f ca="1">IFERROR(__xludf.DUMMYFUNCTION("""COMPUTED_VALUE"""),30)</f>
        <v>30</v>
      </c>
      <c r="L2736" s="62">
        <f ca="1">IFERROR(__xludf.DUMMYFUNCTION("""COMPUTED_VALUE"""),44890)</f>
        <v>44890</v>
      </c>
      <c r="M2736" s="25" t="str">
        <f ca="1">IFERROR(__xludf.DUMMYFUNCTION("""COMPUTED_VALUE"""),"Se realiza la gestión para vincular a las beneficiarias del programa de Mujeres que Reverdecen con la docente Esmeralda Puentes Cruz (sacsuba@gmail.com - 3103032415) del Jardín Infantil Altos del Zuque (Cll 43A Bis Sur #17 Este - 44) y la docente Norma Ra"&amp;"mirez (norma.ramírez@cedlavictoria.edu.co - 312 6258652) del Colegio La Victoria")</f>
        <v>Se realiza la gestión para vincular a las beneficiarias del programa de Mujeres que Reverdecen con la docente Esmeralda Puentes Cruz (sacsuba@gmail.com - 3103032415) del Jardín Infantil Altos del Zuque (Cll 43A Bis Sur #17 Este - 44) y la docente Norma Ramirez (norma.ramírez@cedlavictoria.edu.co - 312 6258652) del Colegio La Victoria</v>
      </c>
      <c r="N2736" s="55">
        <f ca="1">IFERROR(__xludf.DUMMYFUNCTION("""COMPUTED_VALUE"""),44890)</f>
        <v>44890</v>
      </c>
      <c r="O2736" s="25" t="str">
        <f t="shared" ca="1" si="0"/>
        <v>Secretaría Distrital de Ambiente</v>
      </c>
      <c r="P2736" s="25" t="str">
        <f t="shared" si="2"/>
        <v/>
      </c>
      <c r="Q2736" s="25" t="str">
        <f ca="1">IFERROR(__xludf.DUMMYFUNCTION("""COMPUTED_VALUE"""),"Corto plazo")</f>
        <v>Corto plazo</v>
      </c>
      <c r="R2736" s="25"/>
      <c r="S2736" s="55"/>
      <c r="T2736" s="56"/>
      <c r="U2736" s="25"/>
      <c r="V2736" s="25"/>
      <c r="W2736" s="25"/>
      <c r="X2736" s="25"/>
      <c r="Y2736" s="25"/>
      <c r="Z2736" s="25"/>
    </row>
    <row r="2737" spans="1:26" ht="52.5" customHeight="1" x14ac:dyDescent="0.25">
      <c r="A2737" s="25" t="str">
        <f ca="1">IFERROR(__xludf.DUMMYFUNCTION("""COMPUTED_VALUE"""),"Ambie35")</f>
        <v>Ambie35</v>
      </c>
      <c r="B2737" s="25" t="str">
        <f ca="1">IFERROR(__xludf.DUMMYFUNCTION("""COMPUTED_VALUE"""),"Recorrido Usme")</f>
        <v>Recorrido Usme</v>
      </c>
      <c r="C2737" s="55">
        <f ca="1">IFERROR(__xludf.DUMMYFUNCTION("""COMPUTED_VALUE"""),44558)</f>
        <v>44558</v>
      </c>
      <c r="D2737" s="25" t="str">
        <f ca="1">IFERROR(__xludf.DUMMYFUNCTION("""COMPUTED_VALUE"""),"Ambiente")</f>
        <v>Ambiente</v>
      </c>
      <c r="E2737" s="25" t="str">
        <f ca="1">IFERROR(__xludf.DUMMYFUNCTION("""COMPUTED_VALUE"""),"Instituto Distrital de Gestión de Riesgos y Cambio Climático")</f>
        <v>Instituto Distrital de Gestión de Riesgos y Cambio Climático</v>
      </c>
      <c r="F2737" s="25" t="str">
        <f ca="1">IFERROR(__xludf.DUMMYFUNCTION("""COMPUTED_VALUE"""),"Averiguar e informar en qué van los estudios y diseños de obra de mitigación en la vereda Curubital")</f>
        <v>Averiguar e informar en qué van los estudios y diseños de obra de mitigación en la vereda Curubital</v>
      </c>
      <c r="G2737" s="25" t="str">
        <f ca="1">IFERROR(__xludf.DUMMYFUNCTION("""COMPUTED_VALUE"""),"05. Usme")</f>
        <v>05. Usme</v>
      </c>
      <c r="H2737" s="55">
        <f ca="1">IFERROR(__xludf.DUMMYFUNCTION("""COMPUTED_VALUE"""),44588)</f>
        <v>44588</v>
      </c>
      <c r="I2737" s="25"/>
      <c r="J2737" s="55" t="str">
        <f ca="1">IFERROR(__xludf.DUMMYFUNCTION("""COMPUTED_VALUE"""),"Alta")</f>
        <v>Alta</v>
      </c>
      <c r="K2737" s="25">
        <f ca="1">IFERROR(__xludf.DUMMYFUNCTION("""COMPUTED_VALUE"""),30)</f>
        <v>30</v>
      </c>
      <c r="L2737" s="62"/>
      <c r="M2737" s="25" t="str">
        <f ca="1">IFERROR(__xludf.DUMMYFUNCTION("""COMPUTED_VALUE"""),"Se realizaron los estudios y diseños y esta en proceso precontractual la obra de mitigacion de riesgos.")</f>
        <v>Se realizaron los estudios y diseños y esta en proceso precontractual la obra de mitigacion de riesgos.</v>
      </c>
      <c r="N2737" s="55">
        <f ca="1">IFERROR(__xludf.DUMMYFUNCTION("""COMPUTED_VALUE"""),44927)</f>
        <v>44927</v>
      </c>
      <c r="O2737" s="25" t="str">
        <f t="shared" ca="1" si="0"/>
        <v>Instituto Distrital de Gestión de Riesgos y Cambio Climático</v>
      </c>
      <c r="P2737" s="25" t="str">
        <f t="shared" si="2"/>
        <v/>
      </c>
      <c r="Q2737" s="25" t="str">
        <f ca="1">IFERROR(__xludf.DUMMYFUNCTION("""COMPUTED_VALUE"""),"Corto plazo")</f>
        <v>Corto plazo</v>
      </c>
      <c r="R2737" s="25"/>
      <c r="S2737" s="55"/>
      <c r="T2737" s="56"/>
      <c r="U2737" s="25"/>
      <c r="V2737" s="25"/>
      <c r="W2737" s="25"/>
      <c r="X2737" s="25"/>
      <c r="Y2737" s="25"/>
      <c r="Z2737" s="25"/>
    </row>
    <row r="2738" spans="1:26" ht="52.5" customHeight="1" x14ac:dyDescent="0.25">
      <c r="A2738" s="25" t="str">
        <f ca="1">IFERROR(__xludf.DUMMYFUNCTION("""COMPUTED_VALUE"""),"Ambie36")</f>
        <v>Ambie36</v>
      </c>
      <c r="B2738" s="25" t="str">
        <f ca="1">IFERROR(__xludf.DUMMYFUNCTION("""COMPUTED_VALUE"""),"Recorrido Usme")</f>
        <v>Recorrido Usme</v>
      </c>
      <c r="C2738" s="55">
        <f ca="1">IFERROR(__xludf.DUMMYFUNCTION("""COMPUTED_VALUE"""),44558)</f>
        <v>44558</v>
      </c>
      <c r="D2738" s="25" t="str">
        <f ca="1">IFERROR(__xludf.DUMMYFUNCTION("""COMPUTED_VALUE"""),"Ambiente")</f>
        <v>Ambiente</v>
      </c>
      <c r="E2738" s="25" t="str">
        <f ca="1">IFERROR(__xludf.DUMMYFUNCTION("""COMPUTED_VALUE"""),"Instituto Distrital de Gestión de Riesgos y Cambio Climático")</f>
        <v>Instituto Distrital de Gestión de Riesgos y Cambio Climático</v>
      </c>
      <c r="F2738" s="25" t="str">
        <f ca="1">IFERROR(__xludf.DUMMYFUNCTION("""COMPUTED_VALUE"""),"Traer a Andrés del vivero Cerezo al predio de Gonzalo sánchez para hacer intercambio de conocimientos sobre la destrucción del retamo")</f>
        <v>Traer a Andrés del vivero Cerezo al predio de Gonzalo sánchez para hacer intercambio de conocimientos sobre la destrucción del retamo</v>
      </c>
      <c r="G2738" s="25" t="str">
        <f ca="1">IFERROR(__xludf.DUMMYFUNCTION("""COMPUTED_VALUE"""),"05. Usme")</f>
        <v>05. Usme</v>
      </c>
      <c r="H2738" s="55">
        <f ca="1">IFERROR(__xludf.DUMMYFUNCTION("""COMPUTED_VALUE"""),44588)</f>
        <v>44588</v>
      </c>
      <c r="I2738" s="25"/>
      <c r="J2738" s="55" t="str">
        <f ca="1">IFERROR(__xludf.DUMMYFUNCTION("""COMPUTED_VALUE"""),"Alta")</f>
        <v>Alta</v>
      </c>
      <c r="K2738" s="25">
        <f ca="1">IFERROR(__xludf.DUMMYFUNCTION("""COMPUTED_VALUE"""),30)</f>
        <v>30</v>
      </c>
      <c r="L2738" s="62">
        <f ca="1">IFERROR(__xludf.DUMMYFUNCTION("""COMPUTED_VALUE"""),44622)</f>
        <v>44622</v>
      </c>
      <c r="M2738" s="64" t="str">
        <f ca="1">IFERROR(__xludf.DUMMYFUNCTION("""COMPUTED_VALUE"""),"Teniendo en cuenta que: el vivero Cerezo es de responsabilidad de la SDA, el delegado Andrés Quintero está vinculado a esta área de producción y es importante  conocer al propietario Gonzalo Sánchez , por lo cual se solicita el enlace a la SDA, para socia"&amp;"lizar la información relacionada con el control de retamo y el manejo de residuos, los cuales son procesados en el mismo vivero, mediante el método de bio extrusión, determinado por el Decreto 684-2018.")</f>
        <v>Teniendo en cuenta que: el vivero Cerezo es de responsabilidad de la SDA, el delegado Andrés Quintero está vinculado a esta área de producción y es importante  conocer al propietario Gonzalo Sánchez , por lo cual se solicita el enlace a la SDA, para socializar la información relacionada con el control de retamo y el manejo de residuos, los cuales son procesados en el mismo vivero, mediante el método de bio extrusión, determinado por el Decreto 684-2018.</v>
      </c>
      <c r="N2738" s="55">
        <f ca="1">IFERROR(__xludf.DUMMYFUNCTION("""COMPUTED_VALUE"""),44622)</f>
        <v>44622</v>
      </c>
      <c r="O2738" s="25" t="str">
        <f t="shared" ca="1" si="0"/>
        <v>Instituto Distrital de Gestión de Riesgos y Cambio Climático</v>
      </c>
      <c r="P2738" s="25" t="str">
        <f t="shared" si="2"/>
        <v/>
      </c>
      <c r="Q2738" s="25" t="str">
        <f ca="1">IFERROR(__xludf.DUMMYFUNCTION("""COMPUTED_VALUE"""),"Corto plazo")</f>
        <v>Corto plazo</v>
      </c>
      <c r="R2738" s="25"/>
      <c r="S2738" s="55"/>
      <c r="T2738" s="56"/>
      <c r="U2738" s="25"/>
      <c r="V2738" s="25"/>
      <c r="W2738" s="25"/>
      <c r="X2738" s="25"/>
      <c r="Y2738" s="25"/>
      <c r="Z2738" s="25"/>
    </row>
    <row r="2739" spans="1:26" ht="52.5" customHeight="1" x14ac:dyDescent="0.25">
      <c r="A2739" s="25" t="str">
        <f ca="1">IFERROR(__xludf.DUMMYFUNCTION("""COMPUTED_VALUE"""),"Ambie37")</f>
        <v>Ambie37</v>
      </c>
      <c r="B2739" s="25" t="str">
        <f ca="1">IFERROR(__xludf.DUMMYFUNCTION("""COMPUTED_VALUE"""),"Junta de infraestructura - valorización")</f>
        <v>Junta de infraestructura - valorización</v>
      </c>
      <c r="C2739" s="55">
        <f ca="1">IFERROR(__xludf.DUMMYFUNCTION("""COMPUTED_VALUE"""),44512)</f>
        <v>44512</v>
      </c>
      <c r="D2739" s="25" t="str">
        <f ca="1">IFERROR(__xludf.DUMMYFUNCTION("""COMPUTED_VALUE"""),"Ambiente")</f>
        <v>Ambiente</v>
      </c>
      <c r="E2739" s="25" t="str">
        <f ca="1">IFERROR(__xludf.DUMMYFUNCTION("""COMPUTED_VALUE"""),"Jardín Botánico José Celestino Mutis")</f>
        <v>Jardín Botánico José Celestino Mutis</v>
      </c>
      <c r="F2739" s="25" t="str">
        <f ca="1">IFERROR(__xludf.DUMMYFUNCTION("""COMPUTED_VALUE"""),"Autopista Norte - Andenes y ciclorruta costado oriental entre calles 80 y 128B (priorizó para paso a obra el tramo 1:
Pendiente firma de acta de diseño Paisajístico, en poder de Richard Capote (SDA) y Nicolas del Campo (JJB)")</f>
        <v>Autopista Norte - Andenes y ciclorruta costado oriental entre calles 80 y 128B (priorizó para paso a obra el tramo 1:
Pendiente firma de acta de diseño Paisajístico, en poder de Richard Capote (SDA) y Nicolas del Campo (JJB)</v>
      </c>
      <c r="G2739" s="25" t="str">
        <f ca="1">IFERROR(__xludf.DUMMYFUNCTION("""COMPUTED_VALUE"""),"99. Distrito")</f>
        <v>99. Distrito</v>
      </c>
      <c r="H2739" s="55">
        <f ca="1">IFERROR(__xludf.DUMMYFUNCTION("""COMPUTED_VALUE"""),44542)</f>
        <v>44542</v>
      </c>
      <c r="I2739" s="25"/>
      <c r="J2739" s="55" t="str">
        <f ca="1">IFERROR(__xludf.DUMMYFUNCTION("""COMPUTED_VALUE"""),"Alta")</f>
        <v>Alta</v>
      </c>
      <c r="K2739" s="25">
        <f ca="1">IFERROR(__xludf.DUMMYFUNCTION("""COMPUTED_VALUE"""),30)</f>
        <v>30</v>
      </c>
      <c r="L2739" s="62">
        <f ca="1">IFERROR(__xludf.DUMMYFUNCTION("""COMPUTED_VALUE"""),44622)</f>
        <v>44622</v>
      </c>
      <c r="M2739" s="25" t="str">
        <f ca="1">IFERROR(__xludf.DUMMYFUNCTION("""COMPUTED_VALUE"""),"La reunión se realizó el día 11 de Noviembre de 2022,  el acta está firmada acción cumplida
Se realizó reunión con profesionales del Jardín Botánico de Bogotá, La Secretaría de Ambiente , Consorcio Autopista Norte , IDU y Consorcio Ciclorutas, en esta reu"&amp;"nión,  se revisó Aprobación del Diseño Paisajístico para el contrato de obra IDU No. 1640 de 2019 que tiene por objeto la “Estudios, Diseño y Construcción De Aceras y Ciclorutas del Costado Oriental de la Autopista Norte entre la Calle 80 y la Calle 128B "&amp;"y Obras Complementarias, En Bogotá D.C., se presentó la propuesta de diseño, las condiciones de compensación, revisando los contratos de obra asociados al proyecto en mención.")</f>
        <v>La reunión se realizó el día 11 de Noviembre de 2022,  el acta está firmada acción cumplida
Se realizó reunión con profesionales del Jardín Botánico de Bogotá, La Secretaría de Ambiente , Consorcio Autopista Norte , IDU y Consorcio Ciclorutas, en esta reunión,  se revisó Aprobación del Diseño Paisajístico para el contrato de obra IDU No. 1640 de 2019 que tiene por objeto la “Estudios, Diseño y Construcción De Aceras y Ciclorutas del Costado Oriental de la Autopista Norte entre la Calle 80 y la Calle 128B y Obras Complementarias, En Bogotá D.C., se presentó la propuesta de diseño, las condiciones de compensación, revisando los contratos de obra asociados al proyecto en mención.</v>
      </c>
      <c r="N2739" s="55">
        <f ca="1">IFERROR(__xludf.DUMMYFUNCTION("""COMPUTED_VALUE"""),44622)</f>
        <v>44622</v>
      </c>
      <c r="O2739" s="25" t="str">
        <f t="shared" ca="1" si="0"/>
        <v>Jardín Botánico José Celestino Mutis</v>
      </c>
      <c r="P2739" s="25" t="str">
        <f t="shared" si="2"/>
        <v/>
      </c>
      <c r="Q2739" s="25" t="str">
        <f ca="1">IFERROR(__xludf.DUMMYFUNCTION("""COMPUTED_VALUE"""),"Corto plazo")</f>
        <v>Corto plazo</v>
      </c>
      <c r="R2739" s="25"/>
      <c r="S2739" s="55"/>
      <c r="T2739" s="56"/>
      <c r="U2739" s="25"/>
      <c r="V2739" s="25"/>
      <c r="W2739" s="25"/>
      <c r="X2739" s="25"/>
      <c r="Y2739" s="25"/>
      <c r="Z2739" s="25"/>
    </row>
    <row r="2740" spans="1:26" ht="52.5" customHeight="1" x14ac:dyDescent="0.25">
      <c r="A2740" s="25" t="str">
        <f ca="1">IFERROR(__xludf.DUMMYFUNCTION("""COMPUTED_VALUE"""),"Ambie38")</f>
        <v>Ambie38</v>
      </c>
      <c r="B2740" s="25" t="str">
        <f ca="1">IFERROR(__xludf.DUMMYFUNCTION("""COMPUTED_VALUE"""),"Junta de infraestructura - valorización")</f>
        <v>Junta de infraestructura - valorización</v>
      </c>
      <c r="C2740" s="55">
        <f ca="1">IFERROR(__xludf.DUMMYFUNCTION("""COMPUTED_VALUE"""),44512)</f>
        <v>44512</v>
      </c>
      <c r="D2740" s="25" t="str">
        <f ca="1">IFERROR(__xludf.DUMMYFUNCTION("""COMPUTED_VALUE"""),"Ambiente")</f>
        <v>Ambiente</v>
      </c>
      <c r="E2740" s="25" t="str">
        <f ca="1">IFERROR(__xludf.DUMMYFUNCTION("""COMPUTED_VALUE"""),"Secretaría Distrital de Ambiente")</f>
        <v>Secretaría Distrital de Ambiente</v>
      </c>
      <c r="F2740" s="25" t="str">
        <f ca="1">IFERROR(__xludf.DUMMYFUNCTION("""COMPUTED_VALUE"""),"Pendiente resolución de aprovechamiento forestal para Usaquén y acta de paisajismo para Autopista Norte - Andenes y ciclorruta costado oriental entre calles 80 y 128B.")</f>
        <v>Pendiente resolución de aprovechamiento forestal para Usaquén y acta de paisajismo para Autopista Norte - Andenes y ciclorruta costado oriental entre calles 80 y 128B.</v>
      </c>
      <c r="G2740" s="25" t="str">
        <f ca="1">IFERROR(__xludf.DUMMYFUNCTION("""COMPUTED_VALUE"""),"01. Usaquén")</f>
        <v>01. Usaquén</v>
      </c>
      <c r="H2740" s="55">
        <f ca="1">IFERROR(__xludf.DUMMYFUNCTION("""COMPUTED_VALUE"""),44542)</f>
        <v>44542</v>
      </c>
      <c r="I2740" s="25"/>
      <c r="J2740" s="55" t="str">
        <f ca="1">IFERROR(__xludf.DUMMYFUNCTION("""COMPUTED_VALUE"""),"Alta")</f>
        <v>Alta</v>
      </c>
      <c r="K2740" s="25">
        <f ca="1">IFERROR(__xludf.DUMMYFUNCTION("""COMPUTED_VALUE"""),30)</f>
        <v>30</v>
      </c>
      <c r="L2740" s="62">
        <f ca="1">IFERROR(__xludf.DUMMYFUNCTION("""COMPUTED_VALUE"""),45033)</f>
        <v>45033</v>
      </c>
      <c r="M2740" s="25" t="str">
        <f ca="1">IFERROR(__xludf.DUMMYFUNCTION("""COMPUTED_VALUE"""),"El Instituto de Desarrollo Urbano emitió la resolución No. 04969 de 13/12/2021 de la localidad de Usaquén para el aprovechamiento forestal, la cual fue modificada por la resolución No. 3755 de 2022 por temas de compensación del arbolado autorizado para ta"&amp;"la. Adicionalmente, se expidió el acta de paisajismo WR 1191 de 08/11/2021.")</f>
        <v>El Instituto de Desarrollo Urbano emitió la resolución No. 04969 de 13/12/2021 de la localidad de Usaquén para el aprovechamiento forestal, la cual fue modificada por la resolución No. 3755 de 2022 por temas de compensación del arbolado autorizado para tala. Adicionalmente, se expidió el acta de paisajismo WR 1191 de 08/11/2021.</v>
      </c>
      <c r="N2740" s="55">
        <f ca="1">IFERROR(__xludf.DUMMYFUNCTION("""COMPUTED_VALUE"""),44622)</f>
        <v>44622</v>
      </c>
      <c r="O2740" s="25" t="str">
        <f t="shared" ca="1" si="0"/>
        <v>Secretaría Distrital de Ambiente</v>
      </c>
      <c r="P2740" s="25" t="str">
        <f t="shared" si="2"/>
        <v/>
      </c>
      <c r="Q2740" s="25" t="str">
        <f ca="1">IFERROR(__xludf.DUMMYFUNCTION("""COMPUTED_VALUE"""),"Corto plazo")</f>
        <v>Corto plazo</v>
      </c>
      <c r="R2740" s="25"/>
      <c r="S2740" s="55"/>
      <c r="T2740" s="56"/>
      <c r="U2740" s="25"/>
      <c r="V2740" s="25"/>
      <c r="W2740" s="25"/>
      <c r="X2740" s="25"/>
      <c r="Y2740" s="25"/>
      <c r="Z2740" s="25"/>
    </row>
    <row r="2741" spans="1:26" ht="52.5" customHeight="1" x14ac:dyDescent="0.25">
      <c r="A2741" s="25" t="str">
        <f ca="1">IFERROR(__xludf.DUMMYFUNCTION("""COMPUTED_VALUE"""),"Ambie39")</f>
        <v>Ambie39</v>
      </c>
      <c r="B2741" s="25" t="str">
        <f ca="1">IFERROR(__xludf.DUMMYFUNCTION("""COMPUTED_VALUE"""),"Junta de infraestructura - valorización")</f>
        <v>Junta de infraestructura - valorización</v>
      </c>
      <c r="C2741" s="55">
        <f ca="1">IFERROR(__xludf.DUMMYFUNCTION("""COMPUTED_VALUE"""),44512)</f>
        <v>44512</v>
      </c>
      <c r="D2741" s="25" t="str">
        <f ca="1">IFERROR(__xludf.DUMMYFUNCTION("""COMPUTED_VALUE"""),"Ambiente")</f>
        <v>Ambiente</v>
      </c>
      <c r="E2741" s="25" t="str">
        <f ca="1">IFERROR(__xludf.DUMMYFUNCTION("""COMPUTED_VALUE"""),"Secretaría Distrital de Ambiente")</f>
        <v>Secretaría Distrital de Ambiente</v>
      </c>
      <c r="F2741" s="25" t="str">
        <f ca="1">IFERROR(__xludf.DUMMYFUNCTION("""COMPUTED_VALUE"""),"Canal Córdoba entre calles 129 y 170:
indica que del permiso propuesta de Fauna se dará viabilidd que debió salir hoy o máximo el martes, del POC Canal Pasadena se señala que el 26 noviembre se tendría concepto técnico de otorgamiento, del POC Canal Cór"&amp;"doba SDA está a la espera de respuesta del IDU, una vez recibidos se definirá fecha y, respecto al permiso de publicidad exterior SDA estima notificar martes 16 de noviembre. ")</f>
        <v xml:space="preserve">Canal Córdoba entre calles 129 y 170:
indica que del permiso propuesta de Fauna se dará viabilidd que debió salir hoy o máximo el martes, del POC Canal Pasadena se señala que el 26 noviembre se tendría concepto técnico de otorgamiento, del POC Canal Córdoba SDA está a la espera de respuesta del IDU, una vez recibidos se definirá fecha y, respecto al permiso de publicidad exterior SDA estima notificar martes 16 de noviembre. </v>
      </c>
      <c r="G2741" s="25" t="str">
        <f ca="1">IFERROR(__xludf.DUMMYFUNCTION("""COMPUTED_VALUE"""),"99. Distrito")</f>
        <v>99. Distrito</v>
      </c>
      <c r="H2741" s="55">
        <f ca="1">IFERROR(__xludf.DUMMYFUNCTION("""COMPUTED_VALUE"""),44542)</f>
        <v>44542</v>
      </c>
      <c r="I2741" s="25"/>
      <c r="J2741" s="55" t="str">
        <f ca="1">IFERROR(__xludf.DUMMYFUNCTION("""COMPUTED_VALUE"""),"Alta")</f>
        <v>Alta</v>
      </c>
      <c r="K2741" s="25">
        <f ca="1">IFERROR(__xludf.DUMMYFUNCTION("""COMPUTED_VALUE"""),30)</f>
        <v>30</v>
      </c>
      <c r="L2741" s="62">
        <f ca="1">IFERROR(__xludf.DUMMYFUNCTION("""COMPUTED_VALUE"""),44622)</f>
        <v>44622</v>
      </c>
      <c r="M2741" s="25" t="str">
        <f ca="1">IFERROR(__xludf.DUMMYFUNCTION("""COMPUTED_VALUE"""),"RESOLUCIÓN No. 04186 de 09/11/2021. Mediante oficio 2021EE253735 de 22/11/2021 se viabiliza Propuesta de instalación de perchas y refugios para aves en el Corredor Ambiental Canal Córdoba.  
POC PASADENA :Mediante proceso 5080805 se expidió la resoluci"&amp;"ón no. 04756 “por la cual se otorga permiso de ocupación de cauce y se toman otras
Determinaciones”
POC CANAL CÓRDOBA; Se encuentra en evaluación técnica se tiene previsto sacar auto de inicio el 1 de marzo; concepto técnico el 8 de marzo y Resolución"&amp;" de Otorgamiento el 15 de marzo del 2022")</f>
        <v>RESOLUCIÓN No. 04186 de 09/11/2021. Mediante oficio 2021EE253735 de 22/11/2021 se viabiliza Propuesta de instalación de perchas y refugios para aves en el Corredor Ambiental Canal Córdoba.  
POC PASADENA :Mediante proceso 5080805 se expidió la resolución no. 04756 “por la cual se otorga permiso de ocupación de cauce y se toman otras
Determinaciones”
POC CANAL CÓRDOBA; Se encuentra en evaluación técnica se tiene previsto sacar auto de inicio el 1 de marzo; concepto técnico el 8 de marzo y Resolución de Otorgamiento el 15 de marzo del 2022</v>
      </c>
      <c r="N2741" s="55">
        <f ca="1">IFERROR(__xludf.DUMMYFUNCTION("""COMPUTED_VALUE"""),44622)</f>
        <v>44622</v>
      </c>
      <c r="O2741" s="25" t="str">
        <f t="shared" ca="1" si="0"/>
        <v>Secretaría Distrital de Ambiente</v>
      </c>
      <c r="P2741" s="25" t="str">
        <f t="shared" si="2"/>
        <v/>
      </c>
      <c r="Q2741" s="25" t="str">
        <f ca="1">IFERROR(__xludf.DUMMYFUNCTION("""COMPUTED_VALUE"""),"Corto plazo")</f>
        <v>Corto plazo</v>
      </c>
      <c r="R2741" s="25"/>
      <c r="S2741" s="55"/>
      <c r="T2741" s="56"/>
      <c r="U2741" s="25"/>
      <c r="V2741" s="25"/>
      <c r="W2741" s="25"/>
      <c r="X2741" s="25"/>
      <c r="Y2741" s="25"/>
      <c r="Z2741" s="25"/>
    </row>
    <row r="2742" spans="1:26" ht="52.5" customHeight="1" x14ac:dyDescent="0.25">
      <c r="A2742" s="25" t="str">
        <f ca="1">IFERROR(__xludf.DUMMYFUNCTION("""COMPUTED_VALUE"""),"Ambie40")</f>
        <v>Ambie40</v>
      </c>
      <c r="B2742" s="25" t="str">
        <f ca="1">IFERROR(__xludf.DUMMYFUNCTION("""COMPUTED_VALUE"""),"Recorrido Ciudad Bolívar")</f>
        <v>Recorrido Ciudad Bolívar</v>
      </c>
      <c r="C2742" s="55">
        <f ca="1">IFERROR(__xludf.DUMMYFUNCTION("""COMPUTED_VALUE"""),44476)</f>
        <v>44476</v>
      </c>
      <c r="D2742" s="25" t="str">
        <f ca="1">IFERROR(__xludf.DUMMYFUNCTION("""COMPUTED_VALUE"""),"Ambiente")</f>
        <v>Ambiente</v>
      </c>
      <c r="E2742" s="25" t="str">
        <f ca="1">IFERROR(__xludf.DUMMYFUNCTION("""COMPUTED_VALUE"""),"Jardín Botánico José Celestino Mutis")</f>
        <v>Jardín Botánico José Celestino Mutis</v>
      </c>
      <c r="F2742" s="25" t="str">
        <f ca="1">IFERROR(__xludf.DUMMYFUNCTION("""COMPUTED_VALUE"""),"Crear una huerta-vivero integrada turìstica en Ciudad Bolívar-El Verjón y la 134. ")</f>
        <v xml:space="preserve">Crear una huerta-vivero integrada turìstica en Ciudad Bolívar-El Verjón y la 134. </v>
      </c>
      <c r="G2742" s="25" t="str">
        <f ca="1">IFERROR(__xludf.DUMMYFUNCTION("""COMPUTED_VALUE"""),"19. Ciudad Bolívar")</f>
        <v>19. Ciudad Bolívar</v>
      </c>
      <c r="H2742" s="55">
        <f ca="1">IFERROR(__xludf.DUMMYFUNCTION("""COMPUTED_VALUE"""),44506)</f>
        <v>44506</v>
      </c>
      <c r="I2742" s="25"/>
      <c r="J2742" s="55" t="str">
        <f ca="1">IFERROR(__xludf.DUMMYFUNCTION("""COMPUTED_VALUE"""),"Alta")</f>
        <v>Alta</v>
      </c>
      <c r="K2742" s="25">
        <f ca="1">IFERROR(__xludf.DUMMYFUNCTION("""COMPUTED_VALUE"""),30)</f>
        <v>30</v>
      </c>
      <c r="L2742" s="62">
        <f ca="1">IFERROR(__xludf.DUMMYFUNCTION("""COMPUTED_VALUE"""),44622)</f>
        <v>44622</v>
      </c>
      <c r="M2742" s="25" t="str">
        <f ca="1">IFERROR(__xludf.DUMMYFUNCTION("""COMPUTED_VALUE"""),"Tarea cerrada, El JBB identificó que no existen proyectos que permitan conectar todos éstos puntos, sin embargo, a través de las rutas agroecológicas se buscará implementar un circuito que conecte las huertas con capacidad para atender turistas en las loc"&amp;"alidades de Usaquen y Chapinero, teniendo en cuenta, que la del Centro está en operación.
En evaluación de interesados para la capacitación para el establecimiento de la huerta por parte del equipo técnico del Proyecto de Agricultura Urbana.")</f>
        <v>Tarea cerrada, El JBB identificó que no existen proyectos que permitan conectar todos éstos puntos, sin embargo, a través de las rutas agroecológicas se buscará implementar un circuito que conecte las huertas con capacidad para atender turistas en las localidades de Usaquen y Chapinero, teniendo en cuenta, que la del Centro está en operación.
En evaluación de interesados para la capacitación para el establecimiento de la huerta por parte del equipo técnico del Proyecto de Agricultura Urbana.</v>
      </c>
      <c r="N2742" s="55">
        <f ca="1">IFERROR(__xludf.DUMMYFUNCTION("""COMPUTED_VALUE"""),44622)</f>
        <v>44622</v>
      </c>
      <c r="O2742" s="25" t="str">
        <f t="shared" ca="1" si="0"/>
        <v>Jardín Botánico José Celestino Mutis</v>
      </c>
      <c r="P2742" s="25" t="str">
        <f t="shared" si="2"/>
        <v/>
      </c>
      <c r="Q2742" s="25" t="str">
        <f ca="1">IFERROR(__xludf.DUMMYFUNCTION("""COMPUTED_VALUE"""),"Corto plazo")</f>
        <v>Corto plazo</v>
      </c>
      <c r="R2742" s="25"/>
      <c r="S2742" s="55"/>
      <c r="T2742" s="56"/>
      <c r="U2742" s="25"/>
      <c r="V2742" s="25"/>
      <c r="W2742" s="25"/>
      <c r="X2742" s="25"/>
      <c r="Y2742" s="25"/>
      <c r="Z2742" s="25"/>
    </row>
    <row r="2743" spans="1:26" ht="52.5" customHeight="1" x14ac:dyDescent="0.25">
      <c r="A2743" s="25" t="str">
        <f ca="1">IFERROR(__xludf.DUMMYFUNCTION("""COMPUTED_VALUE"""),"Ambie41")</f>
        <v>Ambie41</v>
      </c>
      <c r="B2743" s="25" t="str">
        <f ca="1">IFERROR(__xludf.DUMMYFUNCTION("""COMPUTED_VALUE"""),"Comité Directivo Secretaría Distrital de Ambiente ")</f>
        <v xml:space="preserve">Comité Directivo Secretaría Distrital de Ambiente </v>
      </c>
      <c r="C2743" s="55">
        <f ca="1">IFERROR(__xludf.DUMMYFUNCTION("""COMPUTED_VALUE"""),44468)</f>
        <v>44468</v>
      </c>
      <c r="D2743" s="25" t="str">
        <f ca="1">IFERROR(__xludf.DUMMYFUNCTION("""COMPUTED_VALUE"""),"Ambiente")</f>
        <v>Ambiente</v>
      </c>
      <c r="E2743" s="25" t="str">
        <f ca="1">IFERROR(__xludf.DUMMYFUNCTION("""COMPUTED_VALUE"""),"Secretaría Distrital de Ambiente")</f>
        <v>Secretaría Distrital de Ambiente</v>
      </c>
      <c r="F2743" s="25" t="str">
        <f ca="1">IFERROR(__xludf.DUMMYFUNCTION("""COMPUTED_VALUE"""),"Realizar reunión con SDA, Jardín Botánico e IDU para revisar qué vìas y obras de infraestructura que son prioritarias pueden incluir arbolado. De igual forma, crear una línea de tiempo de sembrado de árboles con la de obras de infraestructura prioritarias"&amp;". ")</f>
        <v xml:space="preserve">Realizar reunión con SDA, Jardín Botánico e IDU para revisar qué vìas y obras de infraestructura que son prioritarias pueden incluir arbolado. De igual forma, crear una línea de tiempo de sembrado de árboles con la de obras de infraestructura prioritarias. </v>
      </c>
      <c r="G2743" s="25" t="str">
        <f ca="1">IFERROR(__xludf.DUMMYFUNCTION("""COMPUTED_VALUE"""),"99. Distrito")</f>
        <v>99. Distrito</v>
      </c>
      <c r="H2743" s="55">
        <f ca="1">IFERROR(__xludf.DUMMYFUNCTION("""COMPUTED_VALUE"""),44498)</f>
        <v>44498</v>
      </c>
      <c r="I2743" s="25"/>
      <c r="J2743" s="55" t="str">
        <f ca="1">IFERROR(__xludf.DUMMYFUNCTION("""COMPUTED_VALUE"""),"Alta")</f>
        <v>Alta</v>
      </c>
      <c r="K2743" s="25">
        <f ca="1">IFERROR(__xludf.DUMMYFUNCTION("""COMPUTED_VALUE"""),30)</f>
        <v>30</v>
      </c>
      <c r="L2743" s="62">
        <f ca="1">IFERROR(__xludf.DUMMYFUNCTION("""COMPUTED_VALUE"""),44622)</f>
        <v>44622</v>
      </c>
      <c r="M2743" s="25" t="str">
        <f ca="1">IFERROR(__xludf.DUMMYFUNCTION("""COMPUTED_VALUE"""),"Se instaló una mesa técnica entre las entidades para la revisión del diseño de proyectos de infraestructuras. En el marco de las competencias del Jardín Botánico y Secretaría de Ambiente acompañan a la selección de especies  más adecuadas. Es importante p"&amp;"recisar que esta mesa ha sesionado en varias oportunidades y se han dado los lineamientos para el establecimiento  y manejo de coberturas vegetales en los nuevos proyectos de infraestructura.
Compromisos:
JBB actualmente está evaluando la redensificació"&amp;"n. JBB puede presentar la aproximación de cuáles son los ejes viales que están Re densificados, de acuerdo con el manual de coberturas.  Se considera la posibilidad de mirar tramo por tramo sobre obras existentes para identificar nuevas posibilidades de r"&amp;"e densificación.
SDA debe trabajar sobre manuales de Arbolado y coberturas.
De igual forma se considera  que en término de los elementos del espacio público, que es Ideal trabajar en la reglamentación de SUDS con espacio público.
JBB va a agendar mesa "&amp;"de taller de espacio público para abordar en ese escenario los elementos planteados.
Incorporación de lineamientos como el corredor verde la séptima, no obstante, IDU ha venido incluyendo aspectos relacionados en TR y pliegos con sus contratistas.")</f>
        <v>Se instaló una mesa técnica entre las entidades para la revisión del diseño de proyectos de infraestructuras. En el marco de las competencias del Jardín Botánico y Secretaría de Ambiente acompañan a la selección de especies  más adecuadas. Es importante precisar que esta mesa ha sesionado en varias oportunidades y se han dado los lineamientos para el establecimiento  y manejo de coberturas vegetales en los nuevos proyectos de infraestructura.
Compromisos:
JBB actualmente está evaluando la redensificación. JBB puede presentar la aproximación de cuáles son los ejes viales que están Re densificados, de acuerdo con el manual de coberturas.  Se considera la posibilidad de mirar tramo por tramo sobre obras existentes para identificar nuevas posibilidades de re densificación.
SDA debe trabajar sobre manuales de Arbolado y coberturas.
De igual forma se considera  que en término de los elementos del espacio público, que es Ideal trabajar en la reglamentación de SUDS con espacio público.
JBB va a agendar mesa de taller de espacio público para abordar en ese escenario los elementos planteados.
Incorporación de lineamientos como el corredor verde la séptima, no obstante, IDU ha venido incluyendo aspectos relacionados en TR y pliegos con sus contratistas.</v>
      </c>
      <c r="N2743" s="55">
        <f ca="1">IFERROR(__xludf.DUMMYFUNCTION("""COMPUTED_VALUE"""),44622)</f>
        <v>44622</v>
      </c>
      <c r="O2743" s="25" t="str">
        <f t="shared" ca="1" si="0"/>
        <v>Secretaría Distrital de Ambiente</v>
      </c>
      <c r="P2743" s="25" t="str">
        <f t="shared" si="2"/>
        <v/>
      </c>
      <c r="Q2743" s="25" t="str">
        <f ca="1">IFERROR(__xludf.DUMMYFUNCTION("""COMPUTED_VALUE"""),"Corto plazo")</f>
        <v>Corto plazo</v>
      </c>
      <c r="R2743" s="25"/>
      <c r="S2743" s="55"/>
      <c r="T2743" s="56"/>
      <c r="U2743" s="25"/>
      <c r="V2743" s="25"/>
      <c r="W2743" s="25"/>
      <c r="X2743" s="25"/>
      <c r="Y2743" s="25"/>
      <c r="Z2743" s="25"/>
    </row>
    <row r="2744" spans="1:26" ht="52.5" customHeight="1" x14ac:dyDescent="0.25">
      <c r="A2744" s="25" t="str">
        <f ca="1">IFERROR(__xludf.DUMMYFUNCTION("""COMPUTED_VALUE"""),"Ambie42")</f>
        <v>Ambie42</v>
      </c>
      <c r="B2744" s="25" t="str">
        <f ca="1">IFERROR(__xludf.DUMMYFUNCTION("""COMPUTED_VALUE"""),"Comité Directivo Secretaría Distrital de Ambiente ")</f>
        <v xml:space="preserve">Comité Directivo Secretaría Distrital de Ambiente </v>
      </c>
      <c r="C2744" s="55">
        <f ca="1">IFERROR(__xludf.DUMMYFUNCTION("""COMPUTED_VALUE"""),44468)</f>
        <v>44468</v>
      </c>
      <c r="D2744" s="25" t="str">
        <f ca="1">IFERROR(__xludf.DUMMYFUNCTION("""COMPUTED_VALUE"""),"Ambiente")</f>
        <v>Ambiente</v>
      </c>
      <c r="E2744" s="25" t="str">
        <f ca="1">IFERROR(__xludf.DUMMYFUNCTION("""COMPUTED_VALUE"""),"Secretaría Distrital de Ambiente")</f>
        <v>Secretaría Distrital de Ambiente</v>
      </c>
      <c r="F2744" s="25" t="str">
        <f ca="1">IFERROR(__xludf.DUMMYFUNCTION("""COMPUTED_VALUE"""),"Revisar la posibilidad que el Plan de Cambio Climático no se apruebe vía Conpes sino por decreto, y en este caso, definir fecha para la radicación del mismo.  ")</f>
        <v xml:space="preserve">Revisar la posibilidad que el Plan de Cambio Climático no se apruebe vía Conpes sino por decreto, y en este caso, definir fecha para la radicación del mismo.  </v>
      </c>
      <c r="G2744" s="25" t="str">
        <f ca="1">IFERROR(__xludf.DUMMYFUNCTION("""COMPUTED_VALUE"""),"99. Distrito")</f>
        <v>99. Distrito</v>
      </c>
      <c r="H2744" s="55">
        <f ca="1">IFERROR(__xludf.DUMMYFUNCTION("""COMPUTED_VALUE"""),44498)</f>
        <v>44498</v>
      </c>
      <c r="I2744" s="25"/>
      <c r="J2744" s="55" t="str">
        <f ca="1">IFERROR(__xludf.DUMMYFUNCTION("""COMPUTED_VALUE"""),"Alta")</f>
        <v>Alta</v>
      </c>
      <c r="K2744" s="25">
        <f ca="1">IFERROR(__xludf.DUMMYFUNCTION("""COMPUTED_VALUE"""),30)</f>
        <v>30</v>
      </c>
      <c r="L2744" s="62"/>
      <c r="M2744" s="25" t="str">
        <f ca="1">IFERROR(__xludf.DUMMYFUNCTION("""COMPUTED_VALUE"""),"El proceso de formulación y adopción del Plan de Acción Climática (PAC) se ha llevado a cabo de acuerdo con las recomendaciones y la metodología del Grupo de Liderazgo Climático C40. Así mismo, en la sesión CONPES D.C. de agosto de 2021, se tomó la decisi"&amp;"ón de aprobar este instrumento mediante el procedimiento CONPES D.C. debido su carácter estratégico y a la importancia que tiene la ciudad de contar con un instrumento que identifique y priorice las herramientas y mecanismos de mitigación y adaptación al "&amp;"cambio climático. En este sentido, el PAC será aprobado inicialmente por Decreto mientras se surte el proceso de formulación y aprobación mediante el CONPES D.C. Es decir, el PAC será aprobado y adoptado mediante Decreto y documento CONPES D.C.")</f>
        <v>El proceso de formulación y adopción del Plan de Acción Climática (PAC) se ha llevado a cabo de acuerdo con las recomendaciones y la metodología del Grupo de Liderazgo Climático C40. Así mismo, en la sesión CONPES D.C. de agosto de 2021, se tomó la decisión de aprobar este instrumento mediante el procedimiento CONPES D.C. debido su carácter estratégico y a la importancia que tiene la ciudad de contar con un instrumento que identifique y priorice las herramientas y mecanismos de mitigación y adaptación al cambio climático. En este sentido, el PAC será aprobado inicialmente por Decreto mientras se surte el proceso de formulación y aprobación mediante el CONPES D.C. Es decir, el PAC será aprobado y adoptado mediante Decreto y documento CONPES D.C.</v>
      </c>
      <c r="N2744" s="55">
        <f ca="1">IFERROR(__xludf.DUMMYFUNCTION("""COMPUTED_VALUE"""),44927)</f>
        <v>44927</v>
      </c>
      <c r="O2744" s="25" t="str">
        <f t="shared" ca="1" si="0"/>
        <v>Secretaría Distrital de Ambiente</v>
      </c>
      <c r="P2744" s="25" t="str">
        <f t="shared" si="2"/>
        <v/>
      </c>
      <c r="Q2744" s="25" t="str">
        <f ca="1">IFERROR(__xludf.DUMMYFUNCTION("""COMPUTED_VALUE"""),"Corto plazo")</f>
        <v>Corto plazo</v>
      </c>
      <c r="R2744" s="25"/>
      <c r="S2744" s="55"/>
      <c r="T2744" s="56"/>
      <c r="U2744" s="25"/>
      <c r="V2744" s="25"/>
      <c r="W2744" s="25"/>
      <c r="X2744" s="25"/>
      <c r="Y2744" s="25"/>
      <c r="Z2744" s="25"/>
    </row>
    <row r="2745" spans="1:26" ht="52.5" customHeight="1" x14ac:dyDescent="0.25">
      <c r="A2745" s="25" t="str">
        <f ca="1">IFERROR(__xludf.DUMMYFUNCTION("""COMPUTED_VALUE"""),"Ambie43")</f>
        <v>Ambie43</v>
      </c>
      <c r="B2745" s="25" t="str">
        <f ca="1">IFERROR(__xludf.DUMMYFUNCTION("""COMPUTED_VALUE"""),"Despachando frentes de seguridad")</f>
        <v>Despachando frentes de seguridad</v>
      </c>
      <c r="C2745" s="55">
        <f ca="1">IFERROR(__xludf.DUMMYFUNCTION("""COMPUTED_VALUE"""),44459)</f>
        <v>44459</v>
      </c>
      <c r="D2745" s="25" t="str">
        <f ca="1">IFERROR(__xludf.DUMMYFUNCTION("""COMPUTED_VALUE"""),"Ambiente")</f>
        <v>Ambiente</v>
      </c>
      <c r="E2745" s="25" t="str">
        <f ca="1">IFERROR(__xludf.DUMMYFUNCTION("""COMPUTED_VALUE"""),"Jardín Botánico José Celestino Mutis")</f>
        <v>Jardín Botánico José Celestino Mutis</v>
      </c>
      <c r="F2745" s="25" t="str">
        <f ca="1">IFERROR(__xludf.DUMMYFUNCTION("""COMPUTED_VALUE"""),"En la Quebrada Bolonia en la localidad de Usme llevar feria y van móvil con propuesta de servicios como huertas, justicia, Cámara de Comercio , IDPYBA")</f>
        <v>En la Quebrada Bolonia en la localidad de Usme llevar feria y van móvil con propuesta de servicios como huertas, justicia, Cámara de Comercio , IDPYBA</v>
      </c>
      <c r="G2745" s="25" t="str">
        <f ca="1">IFERROR(__xludf.DUMMYFUNCTION("""COMPUTED_VALUE"""),"05. Usme")</f>
        <v>05. Usme</v>
      </c>
      <c r="H2745" s="55">
        <f ca="1">IFERROR(__xludf.DUMMYFUNCTION("""COMPUTED_VALUE"""),44489)</f>
        <v>44489</v>
      </c>
      <c r="I2745" s="25"/>
      <c r="J2745" s="55" t="str">
        <f ca="1">IFERROR(__xludf.DUMMYFUNCTION("""COMPUTED_VALUE"""),"Alta")</f>
        <v>Alta</v>
      </c>
      <c r="K2745" s="25">
        <f ca="1">IFERROR(__xludf.DUMMYFUNCTION("""COMPUTED_VALUE"""),30)</f>
        <v>30</v>
      </c>
      <c r="L2745" s="62"/>
      <c r="M2745" s="25" t="str">
        <f ca="1">IFERROR(__xludf.DUMMYFUNCTION("""COMPUTED_VALUE"""),"La feria de servicios (que organiza la Sec General) se llevó a cabo el viernes 22 de Octubre. A esta feria asistieron las entidades distritales que normalmente hacen presencia en este tipo de eventos, además de Migración Colombia, Cámara de Comercio y Ejé"&amp;"rcito.")</f>
        <v>La feria de servicios (que organiza la Sec General) se llevó a cabo el viernes 22 de Octubre. A esta feria asistieron las entidades distritales que normalmente hacen presencia en este tipo de eventos, además de Migración Colombia, Cámara de Comercio y Ejército.</v>
      </c>
      <c r="N2745" s="55">
        <f ca="1">IFERROR(__xludf.DUMMYFUNCTION("""COMPUTED_VALUE"""),44927)</f>
        <v>44927</v>
      </c>
      <c r="O2745" s="25" t="str">
        <f t="shared" ca="1" si="0"/>
        <v>Jardín Botánico José Celestino Mutis</v>
      </c>
      <c r="P2745" s="25" t="str">
        <f t="shared" si="2"/>
        <v/>
      </c>
      <c r="Q2745" s="25" t="str">
        <f ca="1">IFERROR(__xludf.DUMMYFUNCTION("""COMPUTED_VALUE"""),"Corto plazo")</f>
        <v>Corto plazo</v>
      </c>
      <c r="R2745" s="25"/>
      <c r="S2745" s="55"/>
      <c r="T2745" s="56"/>
      <c r="U2745" s="25"/>
      <c r="V2745" s="25"/>
      <c r="W2745" s="25"/>
      <c r="X2745" s="25"/>
      <c r="Y2745" s="25"/>
      <c r="Z2745" s="25"/>
    </row>
    <row r="2746" spans="1:26" ht="52.5" customHeight="1" x14ac:dyDescent="0.25">
      <c r="A2746" s="25" t="str">
        <f ca="1">IFERROR(__xludf.DUMMYFUNCTION("""COMPUTED_VALUE"""),"Ambie44")</f>
        <v>Ambie44</v>
      </c>
      <c r="B2746" s="25" t="str">
        <f ca="1">IFERROR(__xludf.DUMMYFUNCTION("""COMPUTED_VALUE"""),"Taller Avenida Ciudad de Cali ")</f>
        <v xml:space="preserve">Taller Avenida Ciudad de Cali </v>
      </c>
      <c r="C2746" s="55">
        <f ca="1">IFERROR(__xludf.DUMMYFUNCTION("""COMPUTED_VALUE"""),44433)</f>
        <v>44433</v>
      </c>
      <c r="D2746" s="25" t="str">
        <f ca="1">IFERROR(__xludf.DUMMYFUNCTION("""COMPUTED_VALUE"""),"Ambiente")</f>
        <v>Ambiente</v>
      </c>
      <c r="E2746" s="25" t="str">
        <f ca="1">IFERROR(__xludf.DUMMYFUNCTION("""COMPUTED_VALUE"""),"Jardín Botánico José Celestino Mutis")</f>
        <v>Jardín Botánico José Celestino Mutis</v>
      </c>
      <c r="F2746" s="25" t="str">
        <f ca="1">IFERROR(__xludf.DUMMYFUNCTION("""COMPUTED_VALUE"""),"Tener un plan definido para el traslado de los árboles de la obra Avenida Ciudad de Cali, sin importar que aún no se haya generado la solicitud formal. Se debe tener por anticipado esta actividad")</f>
        <v>Tener un plan definido para el traslado de los árboles de la obra Avenida Ciudad de Cali, sin importar que aún no se haya generado la solicitud formal. Se debe tener por anticipado esta actividad</v>
      </c>
      <c r="G2746" s="25" t="str">
        <f ca="1">IFERROR(__xludf.DUMMYFUNCTION("""COMPUTED_VALUE"""),"99. Distrito")</f>
        <v>99. Distrito</v>
      </c>
      <c r="H2746" s="55">
        <f ca="1">IFERROR(__xludf.DUMMYFUNCTION("""COMPUTED_VALUE"""),44463)</f>
        <v>44463</v>
      </c>
      <c r="I2746" s="25"/>
      <c r="J2746" s="55" t="str">
        <f ca="1">IFERROR(__xludf.DUMMYFUNCTION("""COMPUTED_VALUE"""),"Alta")</f>
        <v>Alta</v>
      </c>
      <c r="K2746" s="25">
        <f ca="1">IFERROR(__xludf.DUMMYFUNCTION("""COMPUTED_VALUE"""),30)</f>
        <v>30</v>
      </c>
      <c r="L2746" s="62">
        <f ca="1">IFERROR(__xludf.DUMMYFUNCTION("""COMPUTED_VALUE"""),44622)</f>
        <v>44622</v>
      </c>
      <c r="M2746" s="25" t="str">
        <f ca="1">IFERROR(__xludf.DUMMYFUNCTION("""COMPUTED_VALUE"""),"El JBB remitió el archivo shape y KMZ de los puntos de traslado de los árboles previstos a desplazar en los cuatro tramos del proyecto Avenida Cali al correo de la funcionaria Sandra Mayerly Aguilar Perez: sandra.aguilar@idu.gov.co.")</f>
        <v>El JBB remitió el archivo shape y KMZ de los puntos de traslado de los árboles previstos a desplazar en los cuatro tramos del proyecto Avenida Cali al correo de la funcionaria Sandra Mayerly Aguilar Perez: sandra.aguilar@idu.gov.co.</v>
      </c>
      <c r="N2746" s="55">
        <f ca="1">IFERROR(__xludf.DUMMYFUNCTION("""COMPUTED_VALUE"""),44622)</f>
        <v>44622</v>
      </c>
      <c r="O2746" s="25" t="str">
        <f t="shared" ca="1" si="0"/>
        <v>Jardín Botánico José Celestino Mutis</v>
      </c>
      <c r="P2746" s="25" t="str">
        <f t="shared" si="2"/>
        <v/>
      </c>
      <c r="Q2746" s="25" t="str">
        <f ca="1">IFERROR(__xludf.DUMMYFUNCTION("""COMPUTED_VALUE"""),"Corto plazo")</f>
        <v>Corto plazo</v>
      </c>
      <c r="R2746" s="25"/>
      <c r="S2746" s="55"/>
      <c r="T2746" s="56"/>
      <c r="U2746" s="25"/>
      <c r="V2746" s="25"/>
      <c r="W2746" s="25"/>
      <c r="X2746" s="25"/>
      <c r="Y2746" s="25"/>
      <c r="Z2746" s="25"/>
    </row>
    <row r="2747" spans="1:26" ht="52.5" customHeight="1" x14ac:dyDescent="0.25">
      <c r="A2747" s="25" t="str">
        <f ca="1">IFERROR(__xludf.DUMMYFUNCTION("""COMPUTED_VALUE"""),"Ambie45")</f>
        <v>Ambie45</v>
      </c>
      <c r="B2747" s="25" t="str">
        <f ca="1">IFERROR(__xludf.DUMMYFUNCTION("""COMPUTED_VALUE"""),"Kennedy")</f>
        <v>Kennedy</v>
      </c>
      <c r="C2747" s="55">
        <f ca="1">IFERROR(__xludf.DUMMYFUNCTION("""COMPUTED_VALUE"""),44415)</f>
        <v>44415</v>
      </c>
      <c r="D2747" s="25" t="str">
        <f ca="1">IFERROR(__xludf.DUMMYFUNCTION("""COMPUTED_VALUE"""),"Ambiente")</f>
        <v>Ambiente</v>
      </c>
      <c r="E2747" s="25" t="str">
        <f ca="1">IFERROR(__xludf.DUMMYFUNCTION("""COMPUTED_VALUE"""),"Secretaría Distrital de Ambiente")</f>
        <v>Secretaría Distrital de Ambiente</v>
      </c>
      <c r="F2747" s="25" t="str">
        <f ca="1">IFERROR(__xludf.DUMMYFUNCTION("""COMPUTED_VALUE"""),"SDA debe hacer una proyección del corredor ecosistémico desde cantarrana hasta Tingua Azul")</f>
        <v>SDA debe hacer una proyección del corredor ecosistémico desde cantarrana hasta Tingua Azul</v>
      </c>
      <c r="G2747" s="25" t="str">
        <f ca="1">IFERROR(__xludf.DUMMYFUNCTION("""COMPUTED_VALUE"""),"08. Kennedy")</f>
        <v>08. Kennedy</v>
      </c>
      <c r="H2747" s="55">
        <f ca="1">IFERROR(__xludf.DUMMYFUNCTION("""COMPUTED_VALUE"""),44445)</f>
        <v>44445</v>
      </c>
      <c r="I2747" s="25"/>
      <c r="J2747" s="55" t="str">
        <f ca="1">IFERROR(__xludf.DUMMYFUNCTION("""COMPUTED_VALUE"""),"Alta")</f>
        <v>Alta</v>
      </c>
      <c r="K2747" s="25">
        <f ca="1">IFERROR(__xludf.DUMMYFUNCTION("""COMPUTED_VALUE"""),30)</f>
        <v>30</v>
      </c>
      <c r="L2747" s="62">
        <f ca="1">IFERROR(__xludf.DUMMYFUNCTION("""COMPUTED_VALUE"""),44622)</f>
        <v>44622</v>
      </c>
      <c r="M2747" s="25" t="str">
        <f ca="1">IFERROR(__xludf.DUMMYFUNCTION("""COMPUTED_VALUE"""),"Completado
En el marco del Decreto 555 de 2021, se consolidó el conector ecosistémico de la Media Luna Sur, considera áreas rurales, urbanas y periurbanas de interés ambiental en predios públicos y privados; el polígono de trabajo de este corredor tien"&amp;"e aproximadamente 7.932,86 hectáreas, en las localidades de San Cristóbal, Usme, Ciudad Bolívar, Tunjuelito, Kennedy y Bosa, incluye áreas distritales protegidas y estrategias de conservación y 187,58 hectáreas en parques distritales metropolitanos y zona"&amp;"les. El corredor de conectividad ecológica de la Media Luna Sur integra elementos de la Estructura Ecológica Principal como la Cuenca del río Tunjuelo, Cerro Seco, el PDM Entre Nubes y Quiba.
Las Entidades Distritales hemos venido articulando intervenc"&amp;"iones que inciden favorablemente en el territorio y en esta línea se pretende desde la SDA generar procesos de fortalecimiento del tejido social que mejoren la apropiación y el sentido de pertenencia de los habitantes de estos sectores de forma tal que se"&amp;" generen procesos de sostenibilidad. Para ello avanzaremos en la identificación de proyectos e iniciativas de la entidades, para realizar intervenciones integrales en territorio, iniciando en el tramo correspondiente a Tunjo-Tingua azul.")</f>
        <v>Completado
En el marco del Decreto 555 de 2021, se consolidó el conector ecosistémico de la Media Luna Sur, considera áreas rurales, urbanas y periurbanas de interés ambiental en predios públicos y privados; el polígono de trabajo de este corredor tiene aproximadamente 7.932,86 hectáreas, en las localidades de San Cristóbal, Usme, Ciudad Bolívar, Tunjuelito, Kennedy y Bosa, incluye áreas distritales protegidas y estrategias de conservación y 187,58 hectáreas en parques distritales metropolitanos y zonales. El corredor de conectividad ecológica de la Media Luna Sur integra elementos de la Estructura Ecológica Principal como la Cuenca del río Tunjuelo, Cerro Seco, el PDM Entre Nubes y Quiba.
Las Entidades Distritales hemos venido articulando intervenciones que inciden favorablemente en el territorio y en esta línea se pretende desde la SDA generar procesos de fortalecimiento del tejido social que mejoren la apropiación y el sentido de pertenencia de los habitantes de estos sectores de forma tal que se generen procesos de sostenibilidad. Para ello avanzaremos en la identificación de proyectos e iniciativas de la entidades, para realizar intervenciones integrales en territorio, iniciando en el tramo correspondiente a Tunjo-Tingua azul.</v>
      </c>
      <c r="N2747" s="55">
        <f ca="1">IFERROR(__xludf.DUMMYFUNCTION("""COMPUTED_VALUE"""),44622)</f>
        <v>44622</v>
      </c>
      <c r="O2747" s="25" t="str">
        <f t="shared" ca="1" si="0"/>
        <v>Secretaría Distrital de Ambiente</v>
      </c>
      <c r="P2747" s="25" t="str">
        <f t="shared" si="2"/>
        <v/>
      </c>
      <c r="Q2747" s="25" t="str">
        <f ca="1">IFERROR(__xludf.DUMMYFUNCTION("""COMPUTED_VALUE"""),"Corto plazo")</f>
        <v>Corto plazo</v>
      </c>
      <c r="R2747" s="25"/>
      <c r="S2747" s="55"/>
      <c r="T2747" s="56"/>
      <c r="U2747" s="25"/>
      <c r="V2747" s="25"/>
      <c r="W2747" s="25"/>
      <c r="X2747" s="25"/>
      <c r="Y2747" s="25"/>
      <c r="Z2747" s="25"/>
    </row>
    <row r="2748" spans="1:26" ht="52.5" customHeight="1" x14ac:dyDescent="0.25">
      <c r="A2748" s="25" t="str">
        <f ca="1">IFERROR(__xludf.DUMMYFUNCTION("""COMPUTED_VALUE"""),"Ambie46")</f>
        <v>Ambie46</v>
      </c>
      <c r="B2748" s="25" t="str">
        <f ca="1">IFERROR(__xludf.DUMMYFUNCTION("""COMPUTED_VALUE"""),"Kennedy")</f>
        <v>Kennedy</v>
      </c>
      <c r="C2748" s="55">
        <f ca="1">IFERROR(__xludf.DUMMYFUNCTION("""COMPUTED_VALUE"""),44406)</f>
        <v>44406</v>
      </c>
      <c r="D2748" s="25" t="str">
        <f ca="1">IFERROR(__xludf.DUMMYFUNCTION("""COMPUTED_VALUE"""),"Ambiente")</f>
        <v>Ambiente</v>
      </c>
      <c r="E2748" s="25" t="str">
        <f ca="1">IFERROR(__xludf.DUMMYFUNCTION("""COMPUTED_VALUE"""),"Secretaría Distrital de Ambiente")</f>
        <v>Secretaría Distrital de Ambiente</v>
      </c>
      <c r="F2748" s="25" t="str">
        <f ca="1">IFERROR(__xludf.DUMMYFUNCTION("""COMPUTED_VALUE"""),"SDA debe hacer una proyección del corredor ecosistémico desde cantarrana hasta Tongua Azul ")</f>
        <v xml:space="preserve">SDA debe hacer una proyección del corredor ecosistémico desde cantarrana hasta Tongua Azul </v>
      </c>
      <c r="G2748" s="25" t="str">
        <f ca="1">IFERROR(__xludf.DUMMYFUNCTION("""COMPUTED_VALUE"""),"08. Kennedy")</f>
        <v>08. Kennedy</v>
      </c>
      <c r="H2748" s="55">
        <f ca="1">IFERROR(__xludf.DUMMYFUNCTION("""COMPUTED_VALUE"""),44436)</f>
        <v>44436</v>
      </c>
      <c r="I2748" s="25"/>
      <c r="J2748" s="55" t="str">
        <f ca="1">IFERROR(__xludf.DUMMYFUNCTION("""COMPUTED_VALUE"""),"Alta")</f>
        <v>Alta</v>
      </c>
      <c r="K2748" s="25">
        <f ca="1">IFERROR(__xludf.DUMMYFUNCTION("""COMPUTED_VALUE"""),30)</f>
        <v>30</v>
      </c>
      <c r="L2748" s="62"/>
      <c r="M2748" s="25" t="str">
        <f ca="1">IFERROR(__xludf.DUMMYFUNCTION("""COMPUTED_VALUE"""),"Actualmente, este corredor se encuentra en el marco de la propuesta POT en el componente de actuaciones estratégicas y a su vez en los conectores ecosistémicos de Media Luna Sur y Corredor del Río Tunjuelo en el Modelo de Ordenamiento Territorial. 
En "&amp;"el cumplimiento de las metas del PDD, se esta trabajando la estrategia y tipologías de intervención para estos conectores, en los cuales se incluyen acciones de conservación, constitución de bosque urbanos, restauración ecológicas, entre otras. ")</f>
        <v xml:space="preserve">Actualmente, este corredor se encuentra en el marco de la propuesta POT en el componente de actuaciones estratégicas y a su vez en los conectores ecosistémicos de Media Luna Sur y Corredor del Río Tunjuelo en el Modelo de Ordenamiento Territorial. 
En el cumplimiento de las metas del PDD, se esta trabajando la estrategia y tipologías de intervención para estos conectores, en los cuales se incluyen acciones de conservación, constitución de bosque urbanos, restauración ecológicas, entre otras. </v>
      </c>
      <c r="N2748" s="55">
        <f ca="1">IFERROR(__xludf.DUMMYFUNCTION("""COMPUTED_VALUE"""),44927)</f>
        <v>44927</v>
      </c>
      <c r="O2748" s="25" t="str">
        <f t="shared" ca="1" si="0"/>
        <v>Secretaría Distrital de Ambiente</v>
      </c>
      <c r="P2748" s="25" t="str">
        <f t="shared" si="2"/>
        <v/>
      </c>
      <c r="Q2748" s="25" t="str">
        <f ca="1">IFERROR(__xludf.DUMMYFUNCTION("""COMPUTED_VALUE"""),"Corto plazo")</f>
        <v>Corto plazo</v>
      </c>
      <c r="R2748" s="25"/>
      <c r="S2748" s="55"/>
      <c r="T2748" s="56"/>
      <c r="U2748" s="25"/>
      <c r="V2748" s="25"/>
      <c r="W2748" s="25"/>
      <c r="X2748" s="25"/>
      <c r="Y2748" s="25"/>
      <c r="Z2748" s="25"/>
    </row>
    <row r="2749" spans="1:26" ht="52.5" customHeight="1" x14ac:dyDescent="0.25">
      <c r="A2749" s="25" t="str">
        <f ca="1">IFERROR(__xludf.DUMMYFUNCTION("""COMPUTED_VALUE"""),"Ambie47")</f>
        <v>Ambie47</v>
      </c>
      <c r="B2749" s="25" t="str">
        <f ca="1">IFERROR(__xludf.DUMMYFUNCTION("""COMPUTED_VALUE"""),"Reunión Acueducto")</f>
        <v>Reunión Acueducto</v>
      </c>
      <c r="C2749" s="55">
        <f ca="1">IFERROR(__xludf.DUMMYFUNCTION("""COMPUTED_VALUE"""),44406)</f>
        <v>44406</v>
      </c>
      <c r="D2749" s="25" t="str">
        <f ca="1">IFERROR(__xludf.DUMMYFUNCTION("""COMPUTED_VALUE"""),"Ambiente")</f>
        <v>Ambiente</v>
      </c>
      <c r="E2749" s="25" t="str">
        <f ca="1">IFERROR(__xludf.DUMMYFUNCTION("""COMPUTED_VALUE"""),"Secretaría Distrital de Ambiente")</f>
        <v>Secretaría Distrital de Ambiente</v>
      </c>
      <c r="F2749" s="25" t="str">
        <f ca="1">IFERROR(__xludf.DUMMYFUNCTION("""COMPUTED_VALUE"""),"Hacer un plan para que el logo de los senderos de los cerros sea similar al del Acueducto")</f>
        <v>Hacer un plan para que el logo de los senderos de los cerros sea similar al del Acueducto</v>
      </c>
      <c r="G2749" s="25" t="str">
        <f ca="1">IFERROR(__xludf.DUMMYFUNCTION("""COMPUTED_VALUE"""),"99. Distrito")</f>
        <v>99. Distrito</v>
      </c>
      <c r="H2749" s="55">
        <f ca="1">IFERROR(__xludf.DUMMYFUNCTION("""COMPUTED_VALUE"""),44436)</f>
        <v>44436</v>
      </c>
      <c r="I2749" s="25"/>
      <c r="J2749" s="55" t="str">
        <f ca="1">IFERROR(__xludf.DUMMYFUNCTION("""COMPUTED_VALUE"""),"Alta")</f>
        <v>Alta</v>
      </c>
      <c r="K2749" s="25">
        <f ca="1">IFERROR(__xludf.DUMMYFUNCTION("""COMPUTED_VALUE"""),30)</f>
        <v>30</v>
      </c>
      <c r="L2749" s="62">
        <f ca="1">IFERROR(__xludf.DUMMYFUNCTION("""COMPUTED_VALUE"""),44622)</f>
        <v>44622</v>
      </c>
      <c r="M2749" s="64" t="str">
        <f ca="1">IFERROR(__xludf.DUMMYFUNCTION("""COMPUTED_VALUE"""),"Desde Alcaldía Mayor seleccionaron una propuesta basada en el no endurecimiento y en posicionar un espacio donde se promueve el conocimiento, la apropiación, protección y la cultura ciudadana. El respeto por los ecosistemas y la biodiversidad son el eje f"&amp;"undamental de esta iniciativa. 
En este enlace puede verse el logo que se definió para los Caminos de los Cerros Orientales: https://drive.google.com/drive/folders/18_5y74oBSN3156OcvRidOIsp1oRLi-Fi?usp=sharing
Enlace de la página del acueducto donde está "&amp;"publicado. 
https://gme.acueducto.com.co/visitas/")</f>
        <v>Desde Alcaldía Mayor seleccionaron una propuesta basada en el no endurecimiento y en posicionar un espacio donde se promueve el conocimiento, la apropiación, protección y la cultura ciudadana. El respeto por los ecosistemas y la biodiversidad son el eje fundamental de esta iniciativa. 
En este enlace puede verse el logo que se definió para los Caminos de los Cerros Orientales: https://drive.google.com/drive/folders/18_5y74oBSN3156OcvRidOIsp1oRLi-Fi?usp=sharing
Enlace de la página del acueducto donde está publicado. 
https://gme.acueducto.com.co/visitas/</v>
      </c>
      <c r="N2749" s="55">
        <f ca="1">IFERROR(__xludf.DUMMYFUNCTION("""COMPUTED_VALUE"""),44622)</f>
        <v>44622</v>
      </c>
      <c r="O2749" s="25" t="str">
        <f t="shared" ca="1" si="0"/>
        <v>Secretaría Distrital de Ambiente</v>
      </c>
      <c r="P2749" s="25" t="str">
        <f t="shared" si="2"/>
        <v/>
      </c>
      <c r="Q2749" s="25" t="str">
        <f ca="1">IFERROR(__xludf.DUMMYFUNCTION("""COMPUTED_VALUE"""),"Corto plazo")</f>
        <v>Corto plazo</v>
      </c>
      <c r="R2749" s="25"/>
      <c r="S2749" s="55"/>
      <c r="T2749" s="56"/>
      <c r="U2749" s="25"/>
      <c r="V2749" s="25"/>
      <c r="W2749" s="25"/>
      <c r="X2749" s="25"/>
      <c r="Y2749" s="25"/>
      <c r="Z2749" s="25"/>
    </row>
    <row r="2750" spans="1:26" ht="52.5" customHeight="1" x14ac:dyDescent="0.25">
      <c r="A2750" s="25" t="str">
        <f ca="1">IFERROR(__xludf.DUMMYFUNCTION("""COMPUTED_VALUE"""),"Ambie48")</f>
        <v>Ambie48</v>
      </c>
      <c r="B2750" s="25" t="str">
        <f ca="1">IFERROR(__xludf.DUMMYFUNCTION("""COMPUTED_VALUE"""),"Despachando desde el Jardín Botánico José Celestino Mutis")</f>
        <v>Despachando desde el Jardín Botánico José Celestino Mutis</v>
      </c>
      <c r="C2750" s="55">
        <f ca="1">IFERROR(__xludf.DUMMYFUNCTION("""COMPUTED_VALUE"""),44393)</f>
        <v>44393</v>
      </c>
      <c r="D2750" s="25" t="str">
        <f ca="1">IFERROR(__xludf.DUMMYFUNCTION("""COMPUTED_VALUE"""),"Ambiente")</f>
        <v>Ambiente</v>
      </c>
      <c r="E2750" s="25" t="str">
        <f ca="1">IFERROR(__xludf.DUMMYFUNCTION("""COMPUTED_VALUE"""),"Jardín Botánico José Celestino Mutis")</f>
        <v>Jardín Botánico José Celestino Mutis</v>
      </c>
      <c r="F2750" s="25" t="str">
        <f ca="1">IFERROR(__xludf.DUMMYFUNCTION("""COMPUTED_VALUE"""),"Calcular para el presupuesto de 2022 y 2023 ¿cuántas mujeres sembradoras se necesitan para cumplir la siembra de un millón de árboles?")</f>
        <v>Calcular para el presupuesto de 2022 y 2023 ¿cuántas mujeres sembradoras se necesitan para cumplir la siembra de un millón de árboles?</v>
      </c>
      <c r="G2750" s="25" t="str">
        <f ca="1">IFERROR(__xludf.DUMMYFUNCTION("""COMPUTED_VALUE"""),"99. Distrito")</f>
        <v>99. Distrito</v>
      </c>
      <c r="H2750" s="55">
        <f ca="1">IFERROR(__xludf.DUMMYFUNCTION("""COMPUTED_VALUE"""),44423)</f>
        <v>44423</v>
      </c>
      <c r="I2750" s="25"/>
      <c r="J2750" s="55" t="str">
        <f ca="1">IFERROR(__xludf.DUMMYFUNCTION("""COMPUTED_VALUE"""),"Alta")</f>
        <v>Alta</v>
      </c>
      <c r="K2750" s="25">
        <f ca="1">IFERROR(__xludf.DUMMYFUNCTION("""COMPUTED_VALUE"""),30)</f>
        <v>30</v>
      </c>
      <c r="L2750" s="62">
        <f ca="1">IFERROR(__xludf.DUMMYFUNCTION("""COMPUTED_VALUE"""),44622)</f>
        <v>44622</v>
      </c>
      <c r="M2750" s="25" t="str">
        <f ca="1">IFERROR(__xludf.DUMMYFUNCTION("""COMPUTED_VALUE"""),"El Jardín botánico propone para el cumplimiento de sus metas en Bogotá reverdece, con el programa de Mujeres que reverdecen con la vinculación de 3.000 mujeres en dos convocatorias, orientado al proceso de formación y práctica en arborización, agricultura"&amp;", recuperación ecológica y producción de material Vegetal, con un presupuesto de $ 10.000.0000.0000 
Cantidad de árboles por día operario     22
Cantidad de árboles por día cuadrilla de 15     330
Cantidad de árboles por mes cuadrilla de 15     6600
Cant"&amp;"idad de cuadrillas mensuales   8
Cantidad de personal operativo total     120
Cantidad de personal técnico o profesional de campo     8
Personal profesional  coordinador de proyecto  1     
Valor mensual aproximado, considerando preparación del terreno ("&amp;"desinfestación de invasoras, trazado, ahoyado, fertilización) , epp insumos, herramientas  $ 512.731.621,55
No incluye transporte de personal, ni material vegetal      
Nota: las actividades deben se continuas, por lo menos durante 10 meses cada "&amp;"año")</f>
        <v>El Jardín botánico propone para el cumplimiento de sus metas en Bogotá reverdece, con el programa de Mujeres que reverdecen con la vinculación de 3.000 mujeres en dos convocatorias, orientado al proceso de formación y práctica en arborización, agricultura, recuperación ecológica y producción de material Vegetal, con un presupuesto de $ 10.000.0000.0000 
Cantidad de árboles por día operario     22
Cantidad de árboles por día cuadrilla de 15     330
Cantidad de árboles por mes cuadrilla de 15     6600
Cantidad de cuadrillas mensuales   8
Cantidad de personal operativo total     120
Cantidad de personal técnico o profesional de campo     8
Personal profesional  coordinador de proyecto  1     
Valor mensual aproximado, considerando preparación del terreno (desinfestación de invasoras, trazado, ahoyado, fertilización) , epp insumos, herramientas  $ 512.731.621,55
No incluye transporte de personal, ni material vegetal      
Nota: las actividades deben se continuas, por lo menos durante 10 meses cada año</v>
      </c>
      <c r="N2750" s="55">
        <f ca="1">IFERROR(__xludf.DUMMYFUNCTION("""COMPUTED_VALUE"""),44622)</f>
        <v>44622</v>
      </c>
      <c r="O2750" s="25" t="str">
        <f t="shared" ca="1" si="0"/>
        <v>Jardín Botánico José Celestino Mutis</v>
      </c>
      <c r="P2750" s="25" t="str">
        <f t="shared" si="2"/>
        <v/>
      </c>
      <c r="Q2750" s="25" t="str">
        <f ca="1">IFERROR(__xludf.DUMMYFUNCTION("""COMPUTED_VALUE"""),"Corto plazo")</f>
        <v>Corto plazo</v>
      </c>
      <c r="R2750" s="25"/>
      <c r="S2750" s="55"/>
      <c r="T2750" s="56"/>
      <c r="U2750" s="25"/>
      <c r="V2750" s="25"/>
      <c r="W2750" s="25"/>
      <c r="X2750" s="25"/>
      <c r="Y2750" s="25"/>
      <c r="Z2750" s="25"/>
    </row>
    <row r="2751" spans="1:26" ht="52.5" customHeight="1" x14ac:dyDescent="0.25">
      <c r="A2751" s="25" t="str">
        <f ca="1">IFERROR(__xludf.DUMMYFUNCTION("""COMPUTED_VALUE"""),"Ambie49")</f>
        <v>Ambie49</v>
      </c>
      <c r="B2751" s="25" t="str">
        <f ca="1">IFERROR(__xludf.DUMMYFUNCTION("""COMPUTED_VALUE"""),"Despachando desde el Jardín Botánico José Celestino Mutis")</f>
        <v>Despachando desde el Jardín Botánico José Celestino Mutis</v>
      </c>
      <c r="C2751" s="55">
        <f ca="1">IFERROR(__xludf.DUMMYFUNCTION("""COMPUTED_VALUE"""),44393)</f>
        <v>44393</v>
      </c>
      <c r="D2751" s="25" t="str">
        <f ca="1">IFERROR(__xludf.DUMMYFUNCTION("""COMPUTED_VALUE"""),"Ambiente")</f>
        <v>Ambiente</v>
      </c>
      <c r="E2751" s="25" t="str">
        <f ca="1">IFERROR(__xludf.DUMMYFUNCTION("""COMPUTED_VALUE"""),"Jardín Botánico José Celestino Mutis")</f>
        <v>Jardín Botánico José Celestino Mutis</v>
      </c>
      <c r="F2751" s="25" t="str">
        <f ca="1">IFERROR(__xludf.DUMMYFUNCTION("""COMPUTED_VALUE"""),"Coordinar entre el Jardín Botánico y Sec. de Ambiente para hacer siembra inmediata de árboles que tengan más de un metro y medio ")</f>
        <v xml:space="preserve">Coordinar entre el Jardín Botánico y Sec. de Ambiente para hacer siembra inmediata de árboles que tengan más de un metro y medio </v>
      </c>
      <c r="G2751" s="25" t="str">
        <f ca="1">IFERROR(__xludf.DUMMYFUNCTION("""COMPUTED_VALUE"""),"99. Distrito")</f>
        <v>99. Distrito</v>
      </c>
      <c r="H2751" s="55">
        <f ca="1">IFERROR(__xludf.DUMMYFUNCTION("""COMPUTED_VALUE"""),44423)</f>
        <v>44423</v>
      </c>
      <c r="I2751" s="25"/>
      <c r="J2751" s="55" t="str">
        <f ca="1">IFERROR(__xludf.DUMMYFUNCTION("""COMPUTED_VALUE"""),"Alta")</f>
        <v>Alta</v>
      </c>
      <c r="K2751" s="25">
        <f ca="1">IFERROR(__xludf.DUMMYFUNCTION("""COMPUTED_VALUE"""),30)</f>
        <v>30</v>
      </c>
      <c r="L2751" s="62">
        <f ca="1">IFERROR(__xludf.DUMMYFUNCTION("""COMPUTED_VALUE"""),44622)</f>
        <v>44622</v>
      </c>
      <c r="M2751" s="25" t="str">
        <f ca="1">IFERROR(__xludf.DUMMYFUNCTION("""COMPUTED_VALUE"""),"El JBB ha venido plantado especies en todos los proyectos con alturas que varían desde 0,8m hasta 1,50 metros y mayores, en el caso de los individuos con cirterios de recuperación ecológica las alturas varías de 0,6 m hasta 1,50, en el caso de especies na"&amp;"tivas como: Palmas, arrayanes, sietecueros, las cuales son de lento de crecimiento se han plantado desde 0,8m, en la vigencia 2022 se han plantado 55,740 individuos vegetales en área urbana y rural 
El JBB con base en el inventario del Vivero de la Florid"&amp;"a, identificará individuos con alturas superiores 1, 20 m, para establecer especies y cantidad disponible para la plantación, previo reunión entre las dos entidades. igualmente, se estableció estrategia de producción de árboles de alto porte para Megaproy"&amp;"ectos. ")</f>
        <v xml:space="preserve">El JBB ha venido plantado especies en todos los proyectos con alturas que varían desde 0,8m hasta 1,50 metros y mayores, en el caso de los individuos con cirterios de recuperación ecológica las alturas varías de 0,6 m hasta 1,50, en el caso de especies nativas como: Palmas, arrayanes, sietecueros, las cuales son de lento de crecimiento se han plantado desde 0,8m, en la vigencia 2022 se han plantado 55,740 individuos vegetales en área urbana y rural 
El JBB con base en el inventario del Vivero de la Florida, identificará individuos con alturas superiores 1, 20 m, para establecer especies y cantidad disponible para la plantación, previo reunión entre las dos entidades. igualmente, se estableció estrategia de producción de árboles de alto porte para Megaproyectos. </v>
      </c>
      <c r="N2751" s="55">
        <f ca="1">IFERROR(__xludf.DUMMYFUNCTION("""COMPUTED_VALUE"""),44622)</f>
        <v>44622</v>
      </c>
      <c r="O2751" s="25" t="str">
        <f t="shared" ca="1" si="0"/>
        <v>Jardín Botánico José Celestino Mutis</v>
      </c>
      <c r="P2751" s="25" t="str">
        <f t="shared" si="2"/>
        <v/>
      </c>
      <c r="Q2751" s="25" t="str">
        <f ca="1">IFERROR(__xludf.DUMMYFUNCTION("""COMPUTED_VALUE"""),"Corto plazo")</f>
        <v>Corto plazo</v>
      </c>
      <c r="R2751" s="25"/>
      <c r="S2751" s="55"/>
      <c r="T2751" s="56"/>
      <c r="U2751" s="25"/>
      <c r="V2751" s="25"/>
      <c r="W2751" s="25"/>
      <c r="X2751" s="25"/>
      <c r="Y2751" s="25"/>
      <c r="Z2751" s="25"/>
    </row>
    <row r="2752" spans="1:26" ht="52.5" customHeight="1" x14ac:dyDescent="0.25">
      <c r="A2752" s="25" t="str">
        <f ca="1">IFERROR(__xludf.DUMMYFUNCTION("""COMPUTED_VALUE"""),"Ambie50")</f>
        <v>Ambie50</v>
      </c>
      <c r="B2752" s="25" t="str">
        <f ca="1">IFERROR(__xludf.DUMMYFUNCTION("""COMPUTED_VALUE"""),"Despachando desde el Jardín Botánico José Celestino Mutis")</f>
        <v>Despachando desde el Jardín Botánico José Celestino Mutis</v>
      </c>
      <c r="C2752" s="55">
        <f ca="1">IFERROR(__xludf.DUMMYFUNCTION("""COMPUTED_VALUE"""),44393)</f>
        <v>44393</v>
      </c>
      <c r="D2752" s="25" t="str">
        <f ca="1">IFERROR(__xludf.DUMMYFUNCTION("""COMPUTED_VALUE"""),"Ambiente")</f>
        <v>Ambiente</v>
      </c>
      <c r="E2752" s="25" t="str">
        <f ca="1">IFERROR(__xludf.DUMMYFUNCTION("""COMPUTED_VALUE"""),"Jardín Botánico José Celestino Mutis")</f>
        <v>Jardín Botánico José Celestino Mutis</v>
      </c>
      <c r="F2752" s="25" t="str">
        <f ca="1">IFERROR(__xludf.DUMMYFUNCTION("""COMPUTED_VALUE"""),"Definir ¿Cuántas hectáreas de las que compra la UAESP se disponen para siembra en el 2022 ? Posteriormente, se debe realizar un cronograma y plan de trabajo  ")</f>
        <v xml:space="preserve">Definir ¿Cuántas hectáreas de las que compra la UAESP se disponen para siembra en el 2022 ? Posteriormente, se debe realizar un cronograma y plan de trabajo  </v>
      </c>
      <c r="G2752" s="25" t="str">
        <f ca="1">IFERROR(__xludf.DUMMYFUNCTION("""COMPUTED_VALUE"""),"99. Distrito")</f>
        <v>99. Distrito</v>
      </c>
      <c r="H2752" s="55">
        <f ca="1">IFERROR(__xludf.DUMMYFUNCTION("""COMPUTED_VALUE"""),44423)</f>
        <v>44423</v>
      </c>
      <c r="I2752" s="25"/>
      <c r="J2752" s="55" t="str">
        <f ca="1">IFERROR(__xludf.DUMMYFUNCTION("""COMPUTED_VALUE"""),"Alta")</f>
        <v>Alta</v>
      </c>
      <c r="K2752" s="25">
        <f ca="1">IFERROR(__xludf.DUMMYFUNCTION("""COMPUTED_VALUE"""),30)</f>
        <v>30</v>
      </c>
      <c r="L2752" s="62">
        <f ca="1">IFERROR(__xludf.DUMMYFUNCTION("""COMPUTED_VALUE"""),44622)</f>
        <v>44622</v>
      </c>
      <c r="M2752" s="25" t="str">
        <f ca="1">IFERROR(__xludf.DUMMYFUNCTION("""COMPUTED_VALUE"""),"En el marco del convenio interadministrativo No. 004-2021, celebrado entre la UAESP y el JBB, se proyectaron actividades de diagnóstico, diseño, plantación, georreferenciación y mantenimiento con criterios de recuperación ecológica, para restablecer las c"&amp;"oberturas vegetales en los predios La Esperanza (lotes 31 y 32) y Las Margaritas, ubicados en la localidad de Ciudad Bolívar, de propiedad de la UAESP. A la fecha, se lleva una plantación de 46.206 árboles y arbustos plantados y mantenidos por el JBB.")</f>
        <v>En el marco del convenio interadministrativo No. 004-2021, celebrado entre la UAESP y el JBB, se proyectaron actividades de diagnóstico, diseño, plantación, georreferenciación y mantenimiento con criterios de recuperación ecológica, para restablecer las coberturas vegetales en los predios La Esperanza (lotes 31 y 32) y Las Margaritas, ubicados en la localidad de Ciudad Bolívar, de propiedad de la UAESP. A la fecha, se lleva una plantación de 46.206 árboles y arbustos plantados y mantenidos por el JBB.</v>
      </c>
      <c r="N2752" s="55">
        <f ca="1">IFERROR(__xludf.DUMMYFUNCTION("""COMPUTED_VALUE"""),44622)</f>
        <v>44622</v>
      </c>
      <c r="O2752" s="25" t="str">
        <f t="shared" ca="1" si="0"/>
        <v>Jardín Botánico José Celestino Mutis</v>
      </c>
      <c r="P2752" s="25" t="str">
        <f t="shared" si="2"/>
        <v/>
      </c>
      <c r="Q2752" s="25" t="str">
        <f ca="1">IFERROR(__xludf.DUMMYFUNCTION("""COMPUTED_VALUE"""),"Corto plazo")</f>
        <v>Corto plazo</v>
      </c>
      <c r="R2752" s="25"/>
      <c r="S2752" s="55"/>
      <c r="T2752" s="56"/>
      <c r="U2752" s="25"/>
      <c r="V2752" s="25"/>
      <c r="W2752" s="25"/>
      <c r="X2752" s="25"/>
      <c r="Y2752" s="25"/>
      <c r="Z2752" s="25"/>
    </row>
    <row r="2753" spans="1:26" ht="52.5" customHeight="1" x14ac:dyDescent="0.25">
      <c r="A2753" s="25" t="str">
        <f ca="1">IFERROR(__xludf.DUMMYFUNCTION("""COMPUTED_VALUE"""),"Ambie51")</f>
        <v>Ambie51</v>
      </c>
      <c r="B2753" s="25" t="str">
        <f ca="1">IFERROR(__xludf.DUMMYFUNCTION("""COMPUTED_VALUE"""),"Recorrido Ciudad Bolívar")</f>
        <v>Recorrido Ciudad Bolívar</v>
      </c>
      <c r="C2753" s="55">
        <f ca="1">IFERROR(__xludf.DUMMYFUNCTION("""COMPUTED_VALUE"""),44386)</f>
        <v>44386</v>
      </c>
      <c r="D2753" s="25" t="str">
        <f ca="1">IFERROR(__xludf.DUMMYFUNCTION("""COMPUTED_VALUE"""),"Ambiente")</f>
        <v>Ambiente</v>
      </c>
      <c r="E2753" s="25" t="str">
        <f ca="1">IFERROR(__xludf.DUMMYFUNCTION("""COMPUTED_VALUE"""),"Jardín Botánico José Celestino Mutis")</f>
        <v>Jardín Botánico José Celestino Mutis</v>
      </c>
      <c r="F2753" s="25" t="str">
        <f ca="1">IFERROR(__xludf.DUMMYFUNCTION("""COMPUTED_VALUE"""),"Hacer una huerta urbana al lado del CAPS Manuela Beltrán")</f>
        <v>Hacer una huerta urbana al lado del CAPS Manuela Beltrán</v>
      </c>
      <c r="G2753" s="55" t="str">
        <f ca="1">IFERROR(__xludf.DUMMYFUNCTION("""COMPUTED_VALUE"""),"19. Ciudad Bolívar")</f>
        <v>19. Ciudad Bolívar</v>
      </c>
      <c r="H2753" s="55">
        <f ca="1">IFERROR(__xludf.DUMMYFUNCTION("""COMPUTED_VALUE"""),44416)</f>
        <v>44416</v>
      </c>
      <c r="I2753" s="25"/>
      <c r="J2753" s="55" t="str">
        <f ca="1">IFERROR(__xludf.DUMMYFUNCTION("""COMPUTED_VALUE"""),"Alta")</f>
        <v>Alta</v>
      </c>
      <c r="K2753" s="25">
        <f ca="1">IFERROR(__xludf.DUMMYFUNCTION("""COMPUTED_VALUE"""),30)</f>
        <v>30</v>
      </c>
      <c r="L2753" s="62">
        <f ca="1">IFERROR(__xludf.DUMMYFUNCTION("""COMPUTED_VALUE"""),44742)</f>
        <v>44742</v>
      </c>
      <c r="M2753" s="25" t="str">
        <f ca="1">IFERROR(__xludf.DUMMYFUNCTION("""COMPUTED_VALUE"""),"Acción cumplida, Se estableció una huerta institucional en el CAPS Manuela Beltran. La huerta se monto en suelo duro en 3 camas de cultivo, con riego por goteo y sembraron diferentes especies de hortalizas. En ,Lla huerta se inició el mes de mayo un proce"&amp;"so de capacitación en el curso básico de Agricultura Urbana, con personal del CAPS, actualmente se han dictado 3 módulos de capacitación.
El Jardín Botánico realizó reunión con la Red Sur, y se concertó que se realizan adecuaciones en el CAPS, y el Jardín"&amp;" Botánico apoyaría con la entrega de insumos y realizará la capacitación, para los funcionarios de la entidad, en el mes de marzo, se estima ya iniciar las labores de fortalecimiento de la huerta. 
Se programó visita para evaluar la viabilidad de interven"&amp;"ir las zonas verdes aledañas mediante procesos de arborización urbana y el establecimiento de una huerta. Se identificaron actores sociales que participarán en el diseño participativo de la propuesta. El personal de seguridad del área en construcción mani"&amp;"fiesta que las intervenciones al interior del CAPS se podrá realizar a partir del mes de diciembre aproximadamente. JBB requiere del acompañamiento y autorización por parte de la Secretaría Privada para ingresar al área en obra y determinar posibles zonas"&amp;" de intervención. ")</f>
        <v xml:space="preserve">Acción cumplida, Se estableció una huerta institucional en el CAPS Manuela Beltran. La huerta se monto en suelo duro en 3 camas de cultivo, con riego por goteo y sembraron diferentes especies de hortalizas. En ,Lla huerta se inició el mes de mayo un proceso de capacitación en el curso básico de Agricultura Urbana, con personal del CAPS, actualmente se han dictado 3 módulos de capacitación.
El Jardín Botánico realizó reunión con la Red Sur, y se concertó que se realizan adecuaciones en el CAPS, y el Jardín Botánico apoyaría con la entrega de insumos y realizará la capacitación, para los funcionarios de la entidad, en el mes de marzo, se estima ya iniciar las labores de fortalecimiento de la huerta. 
Se programó visita para evaluar la viabilidad de intervenir las zonas verdes aledañas mediante procesos de arborización urbana y el establecimiento de una huerta. Se identificaron actores sociales que participarán en el diseño participativo de la propuesta. El personal de seguridad del área en construcción manifiesta que las intervenciones al interior del CAPS se podrá realizar a partir del mes de diciembre aproximadamente. JBB requiere del acompañamiento y autorización por parte de la Secretaría Privada para ingresar al área en obra y determinar posibles zonas de intervención. </v>
      </c>
      <c r="N2753" s="55">
        <f ca="1">IFERROR(__xludf.DUMMYFUNCTION("""COMPUTED_VALUE"""),44742)</f>
        <v>44742</v>
      </c>
      <c r="O2753" s="25" t="str">
        <f t="shared" ca="1" si="0"/>
        <v>Jardín Botánico José Celestino Mutis</v>
      </c>
      <c r="P2753" s="25" t="str">
        <f t="shared" si="2"/>
        <v/>
      </c>
      <c r="Q2753" s="25" t="str">
        <f ca="1">IFERROR(__xludf.DUMMYFUNCTION("""COMPUTED_VALUE"""),"Corto plazo")</f>
        <v>Corto plazo</v>
      </c>
      <c r="R2753" s="25"/>
      <c r="S2753" s="55"/>
      <c r="T2753" s="56"/>
      <c r="U2753" s="25"/>
      <c r="V2753" s="25"/>
      <c r="W2753" s="25"/>
      <c r="X2753" s="25"/>
      <c r="Y2753" s="25"/>
      <c r="Z2753" s="25"/>
    </row>
    <row r="2754" spans="1:26" ht="52.5" customHeight="1" x14ac:dyDescent="0.25">
      <c r="A2754" s="25" t="str">
        <f ca="1">IFERROR(__xludf.DUMMYFUNCTION("""COMPUTED_VALUE"""),"Ambie52")</f>
        <v>Ambie52</v>
      </c>
      <c r="B2754" s="25" t="str">
        <f ca="1">IFERROR(__xludf.DUMMYFUNCTION("""COMPUTED_VALUE"""),"Lagos de torca")</f>
        <v>Lagos de torca</v>
      </c>
      <c r="C2754" s="55">
        <f ca="1">IFERROR(__xludf.DUMMYFUNCTION("""COMPUTED_VALUE"""),44383)</f>
        <v>44383</v>
      </c>
      <c r="D2754" s="25" t="str">
        <f ca="1">IFERROR(__xludf.DUMMYFUNCTION("""COMPUTED_VALUE"""),"Ambiente")</f>
        <v>Ambiente</v>
      </c>
      <c r="E2754" s="25" t="str">
        <f ca="1">IFERROR(__xludf.DUMMYFUNCTION("""COMPUTED_VALUE"""),"Secretaría Distrital de Ambiente")</f>
        <v>Secretaría Distrital de Ambiente</v>
      </c>
      <c r="F2754" s="25" t="str">
        <f ca="1">IFERROR(__xludf.DUMMYFUNCTION("""COMPUTED_VALUE"""),"Cuántas aulas ambientales se pueden disponer en los senderos de Lagos de Torca")</f>
        <v>Cuántas aulas ambientales se pueden disponer en los senderos de Lagos de Torca</v>
      </c>
      <c r="G2754" s="55" t="str">
        <f ca="1">IFERROR(__xludf.DUMMYFUNCTION("""COMPUTED_VALUE"""),"01. Usaquén")</f>
        <v>01. Usaquén</v>
      </c>
      <c r="H2754" s="55">
        <f ca="1">IFERROR(__xludf.DUMMYFUNCTION("""COMPUTED_VALUE"""),44413)</f>
        <v>44413</v>
      </c>
      <c r="I2754" s="25"/>
      <c r="J2754" s="55" t="str">
        <f ca="1">IFERROR(__xludf.DUMMYFUNCTION("""COMPUTED_VALUE"""),"Alta")</f>
        <v>Alta</v>
      </c>
      <c r="K2754" s="25">
        <f ca="1">IFERROR(__xludf.DUMMYFUNCTION("""COMPUTED_VALUE"""),30)</f>
        <v>30</v>
      </c>
      <c r="L2754" s="62">
        <f ca="1">IFERROR(__xludf.DUMMYFUNCTION("""COMPUTED_VALUE"""),45033)</f>
        <v>45033</v>
      </c>
      <c r="M2754" s="25" t="str">
        <f ca="1">IFERROR(__xludf.DUMMYFUNCTION("""COMPUTED_VALUE"""),"En el marco de la actualización del Plan de Manejo Ambiental “PDA” de la reserva distrital del Humedal Torca y Guaymaral, resolución conjunta No. 29 de 2023, suscrita entre la Secretaría Distrital de Ambiente y la Corporación Autónoma Regional -CAR-, se p"&amp;"royecta a largo plazo la construcción de un aula ambiental para el Humedal, la cual se ubicaría en el polígono de usos sostenibles de Guaymaral.")</f>
        <v>En el marco de la actualización del Plan de Manejo Ambiental “PDA” de la reserva distrital del Humedal Torca y Guaymaral, resolución conjunta No. 29 de 2023, suscrita entre la Secretaría Distrital de Ambiente y la Corporación Autónoma Regional -CAR-, se proyecta a largo plazo la construcción de un aula ambiental para el Humedal, la cual se ubicaría en el polígono de usos sostenibles de Guaymaral.</v>
      </c>
      <c r="N2754" s="55">
        <f ca="1">IFERROR(__xludf.DUMMYFUNCTION("""COMPUTED_VALUE"""),44927)</f>
        <v>44927</v>
      </c>
      <c r="O2754" s="25" t="str">
        <f t="shared" ca="1" si="0"/>
        <v>Secretaría Distrital de Ambiente</v>
      </c>
      <c r="P2754" s="25" t="str">
        <f t="shared" si="2"/>
        <v/>
      </c>
      <c r="Q2754" s="25" t="str">
        <f ca="1">IFERROR(__xludf.DUMMYFUNCTION("""COMPUTED_VALUE"""),"Corto plazo")</f>
        <v>Corto plazo</v>
      </c>
      <c r="R2754" s="25"/>
      <c r="S2754" s="55"/>
      <c r="T2754" s="56"/>
      <c r="U2754" s="25"/>
      <c r="V2754" s="25"/>
      <c r="W2754" s="25"/>
      <c r="X2754" s="25"/>
      <c r="Y2754" s="25"/>
      <c r="Z2754" s="25"/>
    </row>
    <row r="2755" spans="1:26" ht="52.5" customHeight="1" x14ac:dyDescent="0.25">
      <c r="A2755" s="25" t="str">
        <f ca="1">IFERROR(__xludf.DUMMYFUNCTION("""COMPUTED_VALUE"""),"Ambie53")</f>
        <v>Ambie53</v>
      </c>
      <c r="B2755" s="25" t="str">
        <f ca="1">IFERROR(__xludf.DUMMYFUNCTION("""COMPUTED_VALUE"""),"Recorrido Fontibón")</f>
        <v>Recorrido Fontibón</v>
      </c>
      <c r="C2755" s="55">
        <f ca="1">IFERROR(__xludf.DUMMYFUNCTION("""COMPUTED_VALUE"""),44373)</f>
        <v>44373</v>
      </c>
      <c r="D2755" s="25" t="str">
        <f ca="1">IFERROR(__xludf.DUMMYFUNCTION("""COMPUTED_VALUE"""),"Ambiente")</f>
        <v>Ambiente</v>
      </c>
      <c r="E2755" s="25" t="str">
        <f ca="1">IFERROR(__xludf.DUMMYFUNCTION("""COMPUTED_VALUE"""),"Jardín Botánico José Celestino Mutis")</f>
        <v>Jardín Botánico José Celestino Mutis</v>
      </c>
      <c r="F2755" s="25" t="str">
        <f ca="1">IFERROR(__xludf.DUMMYFUNCTION("""COMPUTED_VALUE"""),"Hacer una huerta Urbana en el salón comunal cabaña de la localidad de Fontibón.")</f>
        <v>Hacer una huerta Urbana en el salón comunal cabaña de la localidad de Fontibón.</v>
      </c>
      <c r="G2755" s="55" t="str">
        <f ca="1">IFERROR(__xludf.DUMMYFUNCTION("""COMPUTED_VALUE"""),"09. Fontibón")</f>
        <v>09. Fontibón</v>
      </c>
      <c r="H2755" s="55">
        <f ca="1">IFERROR(__xludf.DUMMYFUNCTION("""COMPUTED_VALUE"""),44403)</f>
        <v>44403</v>
      </c>
      <c r="I2755" s="25"/>
      <c r="J2755" s="55" t="str">
        <f ca="1">IFERROR(__xludf.DUMMYFUNCTION("""COMPUTED_VALUE"""),"Alta")</f>
        <v>Alta</v>
      </c>
      <c r="K2755" s="25">
        <f ca="1">IFERROR(__xludf.DUMMYFUNCTION("""COMPUTED_VALUE"""),30)</f>
        <v>30</v>
      </c>
      <c r="L2755" s="62">
        <f ca="1">IFERROR(__xludf.DUMMYFUNCTION("""COMPUTED_VALUE"""),44622)</f>
        <v>44622</v>
      </c>
      <c r="M2755" s="25" t="str">
        <f ca="1">IFERROR(__xludf.DUMMYFUNCTION("""COMPUTED_VALUE"""),"El JBB en reunión con la comunidad,  concluyó que debido a una intervención estructural en el salón comunal cuyo objetivo es instalar una sala de cómputo, por el momento se desiste de la implementación de la huerta por parte de la comunidad. No obstante, "&amp;"se invitó a la comunidad a buscar un espacio alterno.
Se ha trabajado en diversos espacios de replantando confianza con comunidad de la localidad y se han generado acuerdos de trabajo y acompañamiento a procesos ambientales y a la huerta del fuego, para "&amp;"orientar sobre los lineamientos propuestos para el desarrollo de los procesos de agricultura urbana.")</f>
        <v>El JBB en reunión con la comunidad,  concluyó que debido a una intervención estructural en el salón comunal cuyo objetivo es instalar una sala de cómputo, por el momento se desiste de la implementación de la huerta por parte de la comunidad. No obstante, se invitó a la comunidad a buscar un espacio alterno.
Se ha trabajado en diversos espacios de replantando confianza con comunidad de la localidad y se han generado acuerdos de trabajo y acompañamiento a procesos ambientales y a la huerta del fuego, para orientar sobre los lineamientos propuestos para el desarrollo de los procesos de agricultura urbana.</v>
      </c>
      <c r="N2755" s="55">
        <f ca="1">IFERROR(__xludf.DUMMYFUNCTION("""COMPUTED_VALUE"""),44622)</f>
        <v>44622</v>
      </c>
      <c r="O2755" s="25" t="str">
        <f t="shared" ca="1" si="0"/>
        <v>Jardín Botánico José Celestino Mutis</v>
      </c>
      <c r="P2755" s="25" t="str">
        <f t="shared" si="2"/>
        <v/>
      </c>
      <c r="Q2755" s="25" t="str">
        <f ca="1">IFERROR(__xludf.DUMMYFUNCTION("""COMPUTED_VALUE"""),"Corto plazo")</f>
        <v>Corto plazo</v>
      </c>
      <c r="R2755" s="25"/>
      <c r="S2755" s="55"/>
      <c r="T2755" s="56"/>
      <c r="U2755" s="25"/>
      <c r="V2755" s="25"/>
      <c r="W2755" s="25"/>
      <c r="X2755" s="25"/>
      <c r="Y2755" s="25"/>
      <c r="Z2755" s="25"/>
    </row>
    <row r="2756" spans="1:26" ht="52.5" customHeight="1" x14ac:dyDescent="0.25">
      <c r="A2756" s="25" t="str">
        <f ca="1">IFERROR(__xludf.DUMMYFUNCTION("""COMPUTED_VALUE"""),"Ambie54")</f>
        <v>Ambie54</v>
      </c>
      <c r="B2756" s="25" t="str">
        <f ca="1">IFERROR(__xludf.DUMMYFUNCTION("""COMPUTED_VALUE"""),"Sistema de Información para la Gestión del Arbolado Urbano de Bogotá -SIGAU")</f>
        <v>Sistema de Información para la Gestión del Arbolado Urbano de Bogotá -SIGAU</v>
      </c>
      <c r="C2756" s="55">
        <f ca="1">IFERROR(__xludf.DUMMYFUNCTION("""COMPUTED_VALUE"""),44365)</f>
        <v>44365</v>
      </c>
      <c r="D2756" s="25" t="str">
        <f ca="1">IFERROR(__xludf.DUMMYFUNCTION("""COMPUTED_VALUE"""),"Ambiente")</f>
        <v>Ambiente</v>
      </c>
      <c r="E2756" s="25" t="str">
        <f ca="1">IFERROR(__xludf.DUMMYFUNCTION("""COMPUTED_VALUE"""),"Jardín Botánico José Celestino Mutis")</f>
        <v>Jardín Botánico José Celestino Mutis</v>
      </c>
      <c r="F2756" s="25" t="str">
        <f ca="1">IFERROR(__xludf.DUMMYFUNCTION("""COMPUTED_VALUE"""),"Incluir filtro en el Sistema de Información para la Gestión del Arbolado Urbano de Bogotá -SIGAU por año. Se debe poder visualizar año a año la cantidad de plantaciones.")</f>
        <v>Incluir filtro en el Sistema de Información para la Gestión del Arbolado Urbano de Bogotá -SIGAU por año. Se debe poder visualizar año a año la cantidad de plantaciones.</v>
      </c>
      <c r="G2756" s="25" t="str">
        <f ca="1">IFERROR(__xludf.DUMMYFUNCTION("""COMPUTED_VALUE"""),"99. Distrito")</f>
        <v>99. Distrito</v>
      </c>
      <c r="H2756" s="55">
        <f ca="1">IFERROR(__xludf.DUMMYFUNCTION("""COMPUTED_VALUE"""),44395)</f>
        <v>44395</v>
      </c>
      <c r="I2756" s="25"/>
      <c r="J2756" s="55" t="str">
        <f ca="1">IFERROR(__xludf.DUMMYFUNCTION("""COMPUTED_VALUE"""),"Alta")</f>
        <v>Alta</v>
      </c>
      <c r="K2756" s="25">
        <f ca="1">IFERROR(__xludf.DUMMYFUNCTION("""COMPUTED_VALUE"""),30)</f>
        <v>30</v>
      </c>
      <c r="L2756" s="62"/>
      <c r="M2756" s="25" t="str">
        <f ca="1">IFERROR(__xludf.DUMMYFUNCTION("""COMPUTED_VALUE"""),"El filtro ya fue incluido en el SIGAU. Se puede consultar en https://jbb.maps.arcgis.com/apps/MapSeries/index.html?appid=ae3ab3570dcb4a8ab2b2acfbb9607e00")</f>
        <v>El filtro ya fue incluido en el SIGAU. Se puede consultar en https://jbb.maps.arcgis.com/apps/MapSeries/index.html?appid=ae3ab3570dcb4a8ab2b2acfbb9607e00</v>
      </c>
      <c r="N2756" s="55">
        <f ca="1">IFERROR(__xludf.DUMMYFUNCTION("""COMPUTED_VALUE"""),44927)</f>
        <v>44927</v>
      </c>
      <c r="O2756" s="25" t="str">
        <f t="shared" ca="1" si="0"/>
        <v>Jardín Botánico José Celestino Mutis</v>
      </c>
      <c r="P2756" s="25" t="str">
        <f t="shared" si="2"/>
        <v/>
      </c>
      <c r="Q2756" s="25" t="str">
        <f ca="1">IFERROR(__xludf.DUMMYFUNCTION("""COMPUTED_VALUE"""),"Corto plazo")</f>
        <v>Corto plazo</v>
      </c>
      <c r="R2756" s="25"/>
      <c r="S2756" s="55"/>
      <c r="T2756" s="56"/>
      <c r="U2756" s="25"/>
      <c r="V2756" s="25"/>
      <c r="W2756" s="25"/>
      <c r="X2756" s="25"/>
      <c r="Y2756" s="25"/>
      <c r="Z2756" s="25"/>
    </row>
    <row r="2757" spans="1:26" ht="52.5" customHeight="1" x14ac:dyDescent="0.25">
      <c r="A2757" s="25" t="str">
        <f ca="1">IFERROR(__xludf.DUMMYFUNCTION("""COMPUTED_VALUE"""),"Ambie55")</f>
        <v>Ambie55</v>
      </c>
      <c r="B2757" s="25" t="str">
        <f ca="1">IFERROR(__xludf.DUMMYFUNCTION("""COMPUTED_VALUE"""),"Senderos ancestrales")</f>
        <v>Senderos ancestrales</v>
      </c>
      <c r="C2757" s="55">
        <f ca="1">IFERROR(__xludf.DUMMYFUNCTION("""COMPUTED_VALUE"""),44316)</f>
        <v>44316</v>
      </c>
      <c r="D2757" s="25" t="str">
        <f ca="1">IFERROR(__xludf.DUMMYFUNCTION("""COMPUTED_VALUE"""),"Ambiente")</f>
        <v>Ambiente</v>
      </c>
      <c r="E2757" s="25" t="str">
        <f ca="1">IFERROR(__xludf.DUMMYFUNCTION("""COMPUTED_VALUE"""),"Secretaría Distrital de Ambiente")</f>
        <v>Secretaría Distrital de Ambiente</v>
      </c>
      <c r="F2757" s="25" t="str">
        <f ca="1">IFERROR(__xludf.DUMMYFUNCTION("""COMPUTED_VALUE"""),"Tareas a tener en cuenta para poner en funcionamiento los 10 senderos priorizados:
1. Convenios derivados después del convenio marco. 
2.  Ajustar temas operativos: seguridad con Policía y Secretaría de Seguridad
3. Definir el modelo de pasantía $500.000"&amp;" a los vigías ambientales. 
4. Definir el trabajo con desarrollo económico con esas organizaciones para apoyar a la comunidad
5. Fechas de radicación ante la CAR de los planes de recreación pasiva de los senderos")</f>
        <v>Tareas a tener en cuenta para poner en funcionamiento los 10 senderos priorizados:
1. Convenios derivados después del convenio marco. 
2.  Ajustar temas operativos: seguridad con Policía y Secretaría de Seguridad
3. Definir el modelo de pasantía $500.000 a los vigías ambientales. 
4. Definir el trabajo con desarrollo económico con esas organizaciones para apoyar a la comunidad
5. Fechas de radicación ante la CAR de los planes de recreación pasiva de los senderos</v>
      </c>
      <c r="G2757" s="25" t="str">
        <f ca="1">IFERROR(__xludf.DUMMYFUNCTION("""COMPUTED_VALUE"""),"99. Distrito")</f>
        <v>99. Distrito</v>
      </c>
      <c r="H2757" s="55">
        <f ca="1">IFERROR(__xludf.DUMMYFUNCTION("""COMPUTED_VALUE"""),44346)</f>
        <v>44346</v>
      </c>
      <c r="I2757" s="25"/>
      <c r="J2757" s="55" t="str">
        <f ca="1">IFERROR(__xludf.DUMMYFUNCTION("""COMPUTED_VALUE"""),"Alta")</f>
        <v>Alta</v>
      </c>
      <c r="K2757" s="25">
        <f ca="1">IFERROR(__xludf.DUMMYFUNCTION("""COMPUTED_VALUE"""),30)</f>
        <v>30</v>
      </c>
      <c r="L2757" s="62">
        <f ca="1">IFERROR(__xludf.DUMMYFUNCTION("""COMPUTED_VALUE"""),44890)</f>
        <v>44890</v>
      </c>
      <c r="M2757" s="25" t="str">
        <f ca="1">IFERROR(__xludf.DUMMYFUNCTION("""COMPUTED_VALUE"""),"1. Cumplido
2. La tarea va avanzando conforme a la operación en los caminos habilitados (Cerro Guadalupe-Cerro Aguanoso, San Francisco-Vicachá, Quebrada La Vieja y Santa Ana-La Aguadora).
3 y 4. Para el camino Cerro Guadalupe-Cerro Aguanoso, desde la oper"&amp;"ación por parte de la Secretaría Distrital de Ambiente, se levantó información relevante de los vendedores del Santuario de la Virgen de Guadalupe, pertenecientes a la Asociación del Santuario Guadalupe, los cuales ofrecen productos y servicios a los visi"&amp;"tantes tanto del Santuario como del Camino Cerro Guadalupe-Cerro Aguanoso.
5. Los Planes de Recreación Pasiva radicados y en revisión por parte de la CAR son: Camino del Meta (radicado el 03 de junio de 2022 con el # 20221044921), La Serranía (radicado el"&amp;" 03 de junio de 2022 con el # 20221044917), Zuque (radicado el 22 de septiembre de 2022 con el # 20221080897) y Granizo - Conexión Quebrada La Vieja y Monserrate (radicado el 14 de octubre de 2022).
Finalmente, los Planes de Recreación Pasiva de la Inter"&amp;"conexión Km 11- Vicachá y Camino Quebrada Las Delicias están en revisión.")</f>
        <v>1. Cumplido
2. La tarea va avanzando conforme a la operación en los caminos habilitados (Cerro Guadalupe-Cerro Aguanoso, San Francisco-Vicachá, Quebrada La Vieja y Santa Ana-La Aguadora).
3 y 4. Para el camino Cerro Guadalupe-Cerro Aguanoso, desde la operación por parte de la Secretaría Distrital de Ambiente, se levantó información relevante de los vendedores del Santuario de la Virgen de Guadalupe, pertenecientes a la Asociación del Santuario Guadalupe, los cuales ofrecen productos y servicios a los visitantes tanto del Santuario como del Camino Cerro Guadalupe-Cerro Aguanoso.
5. Los Planes de Recreación Pasiva radicados y en revisión por parte de la CAR son: Camino del Meta (radicado el 03 de junio de 2022 con el # 20221044921), La Serranía (radicado el 03 de junio de 2022 con el # 20221044917), Zuque (radicado el 22 de septiembre de 2022 con el # 20221080897) y Granizo - Conexión Quebrada La Vieja y Monserrate (radicado el 14 de octubre de 2022).
Finalmente, los Planes de Recreación Pasiva de la Interconexión Km 11- Vicachá y Camino Quebrada Las Delicias están en revisión.</v>
      </c>
      <c r="N2757" s="55">
        <f ca="1">IFERROR(__xludf.DUMMYFUNCTION("""COMPUTED_VALUE"""),44890)</f>
        <v>44890</v>
      </c>
      <c r="O2757" s="25" t="str">
        <f t="shared" ca="1" si="0"/>
        <v>Secretaría Distrital de Ambiente</v>
      </c>
      <c r="P2757" s="25" t="str">
        <f t="shared" si="2"/>
        <v/>
      </c>
      <c r="Q2757" s="25" t="str">
        <f ca="1">IFERROR(__xludf.DUMMYFUNCTION("""COMPUTED_VALUE"""),"Corto plazo")</f>
        <v>Corto plazo</v>
      </c>
      <c r="R2757" s="25"/>
      <c r="S2757" s="55"/>
      <c r="T2757" s="56"/>
      <c r="U2757" s="25"/>
      <c r="V2757" s="25"/>
      <c r="W2757" s="25"/>
      <c r="X2757" s="25"/>
      <c r="Y2757" s="25"/>
      <c r="Z2757" s="25"/>
    </row>
    <row r="2758" spans="1:26" ht="52.5" customHeight="1" x14ac:dyDescent="0.25">
      <c r="A2758" s="25" t="str">
        <f ca="1">IFERROR(__xludf.DUMMYFUNCTION("""COMPUTED_VALUE"""),"Ambie56")</f>
        <v>Ambie56</v>
      </c>
      <c r="B2758" s="25" t="str">
        <f ca="1">IFERROR(__xludf.DUMMYFUNCTION("""COMPUTED_VALUE"""),"Calidad del aire")</f>
        <v>Calidad del aire</v>
      </c>
      <c r="C2758" s="55">
        <f ca="1">IFERROR(__xludf.DUMMYFUNCTION("""COMPUTED_VALUE"""),44285)</f>
        <v>44285</v>
      </c>
      <c r="D2758" s="25" t="str">
        <f ca="1">IFERROR(__xludf.DUMMYFUNCTION("""COMPUTED_VALUE"""),"Ambiente")</f>
        <v>Ambiente</v>
      </c>
      <c r="E2758" s="25" t="str">
        <f ca="1">IFERROR(__xludf.DUMMYFUNCTION("""COMPUTED_VALUE"""),"Secretaría Distrital de Ambiente")</f>
        <v>Secretaría Distrital de Ambiente</v>
      </c>
      <c r="F2758" s="25" t="str">
        <f ca="1">IFERROR(__xludf.DUMMYFUNCTION("""COMPUTED_VALUE"""),"Garantizar que salga el Decreto Plan del Aire")</f>
        <v>Garantizar que salga el Decreto Plan del Aire</v>
      </c>
      <c r="G2758" s="25" t="str">
        <f ca="1">IFERROR(__xludf.DUMMYFUNCTION("""COMPUTED_VALUE"""),"99. Distrito")</f>
        <v>99. Distrito</v>
      </c>
      <c r="H2758" s="55">
        <f ca="1">IFERROR(__xludf.DUMMYFUNCTION("""COMPUTED_VALUE"""),44315)</f>
        <v>44315</v>
      </c>
      <c r="I2758" s="25"/>
      <c r="J2758" s="55" t="str">
        <f ca="1">IFERROR(__xludf.DUMMYFUNCTION("""COMPUTED_VALUE"""),"Alta")</f>
        <v>Alta</v>
      </c>
      <c r="K2758" s="25">
        <f ca="1">IFERROR(__xludf.DUMMYFUNCTION("""COMPUTED_VALUE"""),30)</f>
        <v>30</v>
      </c>
      <c r="L2758" s="62"/>
      <c r="M2758" s="25" t="str">
        <f ca="1">IFERROR(__xludf.DUMMYFUNCTION("""COMPUTED_VALUE"""),"El 7 de septiembre fue expedido el Decreto 332 ""Por medio del cual se adopta el Plan Estratégico para la Gestión Integral de la Calidad del Aire de bogotá 2030 - Plan Aire""")</f>
        <v>El 7 de septiembre fue expedido el Decreto 332 "Por medio del cual se adopta el Plan Estratégico para la Gestión Integral de la Calidad del Aire de bogotá 2030 - Plan Aire"</v>
      </c>
      <c r="N2758" s="55">
        <f ca="1">IFERROR(__xludf.DUMMYFUNCTION("""COMPUTED_VALUE"""),44927)</f>
        <v>44927</v>
      </c>
      <c r="O2758" s="25" t="str">
        <f t="shared" ca="1" si="0"/>
        <v>Secretaría Distrital de Ambiente</v>
      </c>
      <c r="P2758" s="25" t="str">
        <f t="shared" si="2"/>
        <v/>
      </c>
      <c r="Q2758" s="25" t="str">
        <f ca="1">IFERROR(__xludf.DUMMYFUNCTION("""COMPUTED_VALUE"""),"Corto plazo")</f>
        <v>Corto plazo</v>
      </c>
      <c r="R2758" s="25"/>
      <c r="S2758" s="55"/>
      <c r="T2758" s="56"/>
      <c r="U2758" s="25"/>
      <c r="V2758" s="25"/>
      <c r="W2758" s="25"/>
      <c r="X2758" s="25"/>
      <c r="Y2758" s="25"/>
      <c r="Z2758" s="25"/>
    </row>
    <row r="2759" spans="1:26" ht="52.5" customHeight="1" x14ac:dyDescent="0.25">
      <c r="A2759" s="25" t="str">
        <f ca="1">IFERROR(__xludf.DUMMYFUNCTION("""COMPUTED_VALUE"""),"Ambie57")</f>
        <v>Ambie57</v>
      </c>
      <c r="B2759" s="25" t="str">
        <f ca="1">IFERROR(__xludf.DUMMYFUNCTION("""COMPUTED_VALUE"""),"Calidad del aire")</f>
        <v>Calidad del aire</v>
      </c>
      <c r="C2759" s="55">
        <f ca="1">IFERROR(__xludf.DUMMYFUNCTION("""COMPUTED_VALUE"""),44285)</f>
        <v>44285</v>
      </c>
      <c r="D2759" s="25" t="str">
        <f ca="1">IFERROR(__xludf.DUMMYFUNCTION("""COMPUTED_VALUE"""),"Ambiente")</f>
        <v>Ambiente</v>
      </c>
      <c r="E2759" s="25" t="str">
        <f ca="1">IFERROR(__xludf.DUMMYFUNCTION("""COMPUTED_VALUE"""),"Secretaría Distrital de Ambiente")</f>
        <v>Secretaría Distrital de Ambiente</v>
      </c>
      <c r="F2759" s="25" t="str">
        <f ca="1">IFERROR(__xludf.DUMMYFUNCTION("""COMPUTED_VALUE"""),"Cambiar el instrumento IBOCA que define la forma de medición del aire")</f>
        <v>Cambiar el instrumento IBOCA que define la forma de medición del aire</v>
      </c>
      <c r="G2759" s="25" t="str">
        <f ca="1">IFERROR(__xludf.DUMMYFUNCTION("""COMPUTED_VALUE"""),"99. Distrito")</f>
        <v>99. Distrito</v>
      </c>
      <c r="H2759" s="55">
        <f ca="1">IFERROR(__xludf.DUMMYFUNCTION("""COMPUTED_VALUE"""),44315)</f>
        <v>44315</v>
      </c>
      <c r="I2759" s="25"/>
      <c r="J2759" s="55" t="str">
        <f ca="1">IFERROR(__xludf.DUMMYFUNCTION("""COMPUTED_VALUE"""),"Alta")</f>
        <v>Alta</v>
      </c>
      <c r="K2759" s="25">
        <f ca="1">IFERROR(__xludf.DUMMYFUNCTION("""COMPUTED_VALUE"""),30)</f>
        <v>30</v>
      </c>
      <c r="L2759" s="62"/>
      <c r="M2759" s="25" t="str">
        <f ca="1">IFERROR(__xludf.DUMMYFUNCTION("""COMPUTED_VALUE"""),"Se publicó para comentarios el borrador de resolución del IBOCA, se atendieron los comentarios entre los equipos de SDS y SDA. eL 21 DE Nov se firma la nueva resolución del IBOCA
Cor corte al 30 de abril se suscribió entre la Secretaría Distrital de Ambie"&amp;"nte y la Secretaría Distrital de Salud la Resolución Conjunta 868 del 15 de abril de 2021. ""Por medio de la cual se establece el nuevo Índice Bogotano de Calidad del Aire y Riesgo en Salud -IBOCA- para la gestión conjunta del riesgo de deterioro del ambi"&amp;"ente y de la salud humana"".")</f>
        <v>Se publicó para comentarios el borrador de resolución del IBOCA, se atendieron los comentarios entre los equipos de SDS y SDA. eL 21 DE Nov se firma la nueva resolución del IBOCA
Cor corte al 30 de abril se suscribió entre la Secretaría Distrital de Ambiente y la Secretaría Distrital de Salud la Resolución Conjunta 868 del 15 de abril de 2021. "Por medio de la cual se establece el nuevo Índice Bogotano de Calidad del Aire y Riesgo en Salud -IBOCA- para la gestión conjunta del riesgo de deterioro del ambiente y de la salud humana".</v>
      </c>
      <c r="N2759" s="55">
        <f ca="1">IFERROR(__xludf.DUMMYFUNCTION("""COMPUTED_VALUE"""),44927)</f>
        <v>44927</v>
      </c>
      <c r="O2759" s="25" t="str">
        <f t="shared" ca="1" si="0"/>
        <v>Secretaría Distrital de Ambiente</v>
      </c>
      <c r="P2759" s="25" t="str">
        <f t="shared" si="2"/>
        <v/>
      </c>
      <c r="Q2759" s="25" t="str">
        <f ca="1">IFERROR(__xludf.DUMMYFUNCTION("""COMPUTED_VALUE"""),"Corto plazo")</f>
        <v>Corto plazo</v>
      </c>
      <c r="R2759" s="25"/>
      <c r="S2759" s="55"/>
      <c r="T2759" s="56"/>
      <c r="U2759" s="25"/>
      <c r="V2759" s="25"/>
      <c r="W2759" s="25"/>
      <c r="X2759" s="25"/>
      <c r="Y2759" s="25"/>
      <c r="Z2759" s="25"/>
    </row>
    <row r="2760" spans="1:26" ht="52.5" customHeight="1" x14ac:dyDescent="0.25">
      <c r="A2760" s="25" t="str">
        <f ca="1">IFERROR(__xludf.DUMMYFUNCTION("""COMPUTED_VALUE"""),"Ambie58")</f>
        <v>Ambie58</v>
      </c>
      <c r="B2760" s="25" t="str">
        <f ca="1">IFERROR(__xludf.DUMMYFUNCTION("""COMPUTED_VALUE"""),"Calidad del aire")</f>
        <v>Calidad del aire</v>
      </c>
      <c r="C2760" s="55">
        <f ca="1">IFERROR(__xludf.DUMMYFUNCTION("""COMPUTED_VALUE"""),44285)</f>
        <v>44285</v>
      </c>
      <c r="D2760" s="25" t="str">
        <f ca="1">IFERROR(__xludf.DUMMYFUNCTION("""COMPUTED_VALUE"""),"Ambiente")</f>
        <v>Ambiente</v>
      </c>
      <c r="E2760" s="25" t="str">
        <f ca="1">IFERROR(__xludf.DUMMYFUNCTION("""COMPUTED_VALUE"""),"Secretaría Distrital de Ambiente")</f>
        <v>Secretaría Distrital de Ambiente</v>
      </c>
      <c r="F2760" s="25" t="str">
        <f ca="1">IFERROR(__xludf.DUMMYFUNCTION("""COMPUTED_VALUE"""),"Anunciar que no se pueden ingresar moto euro 2")</f>
        <v>Anunciar que no se pueden ingresar moto euro 2</v>
      </c>
      <c r="G2760" s="25" t="str">
        <f ca="1">IFERROR(__xludf.DUMMYFUNCTION("""COMPUTED_VALUE"""),"99. Distrito")</f>
        <v>99. Distrito</v>
      </c>
      <c r="H2760" s="55">
        <f ca="1">IFERROR(__xludf.DUMMYFUNCTION("""COMPUTED_VALUE"""),44315)</f>
        <v>44315</v>
      </c>
      <c r="I2760" s="25"/>
      <c r="J2760" s="55" t="str">
        <f ca="1">IFERROR(__xludf.DUMMYFUNCTION("""COMPUTED_VALUE"""),"Alta")</f>
        <v>Alta</v>
      </c>
      <c r="K2760" s="25">
        <f ca="1">IFERROR(__xludf.DUMMYFUNCTION("""COMPUTED_VALUE"""),30)</f>
        <v>30</v>
      </c>
      <c r="L2760" s="62"/>
      <c r="M2760" s="25" t="str">
        <f ca="1">IFERROR(__xludf.DUMMYFUNCTION("""COMPUTED_VALUE"""),"Se realizó mesa de trabajo con ensambladores y ANDI donde se trabajó en 4 temas:
-        Participación en el Plan Integral de Gestión de Calidad del Aire y recepción de compromisos generales y específicos
-        Modificación del comunicado de Motocicle"&amp;"tas Euro 3 para resolver imprecisiones. Enlace del comunicado final: https://bogota.gov.co/mi-ciudad/ambiente/certificado-de-gases-contaminantes-para-motos-nuevas-en-bogota.
-        Control y seguimiento ambiental por parte de la SDA a concesionarios de "&amp;"motocicletas y aclaración de dudas con respecto a los procedimientos.
-        Propuesta desde SDA para promoción de tecnologías Euro 3 en las vitrinas de los concesionarios.
Se realiza avance en la ejecución de visitas a concesionarios por parte de la SD"&amp;"A con el fin de revisar motocicletas Euro 2 y Euro 3.
Se realiza la revisión de información contenida en los registros del RUNT para generar una caracterización de las motos vendidas.
")</f>
        <v xml:space="preserve">Se realizó mesa de trabajo con ensambladores y ANDI donde se trabajó en 4 temas:
-        Participación en el Plan Integral de Gestión de Calidad del Aire y recepción de compromisos generales y específicos
-        Modificación del comunicado de Motocicletas Euro 3 para resolver imprecisiones. Enlace del comunicado final: https://bogota.gov.co/mi-ciudad/ambiente/certificado-de-gases-contaminantes-para-motos-nuevas-en-bogota.
-        Control y seguimiento ambiental por parte de la SDA a concesionarios de motocicletas y aclaración de dudas con respecto a los procedimientos.
-        Propuesta desde SDA para promoción de tecnologías Euro 3 en las vitrinas de los concesionarios.
Se realiza avance en la ejecución de visitas a concesionarios por parte de la SDA con el fin de revisar motocicletas Euro 2 y Euro 3.
Se realiza la revisión de información contenida en los registros del RUNT para generar una caracterización de las motos vendidas.
</v>
      </c>
      <c r="N2760" s="55">
        <f ca="1">IFERROR(__xludf.DUMMYFUNCTION("""COMPUTED_VALUE"""),44927)</f>
        <v>44927</v>
      </c>
      <c r="O2760" s="25" t="str">
        <f t="shared" ca="1" si="0"/>
        <v>Secretaría Distrital de Ambiente</v>
      </c>
      <c r="P2760" s="25" t="str">
        <f t="shared" si="2"/>
        <v/>
      </c>
      <c r="Q2760" s="25" t="str">
        <f ca="1">IFERROR(__xludf.DUMMYFUNCTION("""COMPUTED_VALUE"""),"Corto plazo")</f>
        <v>Corto plazo</v>
      </c>
      <c r="R2760" s="25"/>
      <c r="S2760" s="55"/>
      <c r="T2760" s="56"/>
      <c r="U2760" s="25"/>
      <c r="V2760" s="25"/>
      <c r="W2760" s="25"/>
      <c r="X2760" s="25"/>
      <c r="Y2760" s="25"/>
      <c r="Z2760" s="25"/>
    </row>
    <row r="2761" spans="1:26" ht="52.5" customHeight="1" x14ac:dyDescent="0.25">
      <c r="A2761" s="25" t="str">
        <f ca="1">IFERROR(__xludf.DUMMYFUNCTION("""COMPUTED_VALUE"""),"Ambie59")</f>
        <v>Ambie59</v>
      </c>
      <c r="B2761" s="25" t="str">
        <f ca="1">IFERROR(__xludf.DUMMYFUNCTION("""COMPUTED_VALUE"""),"Calidad del aire")</f>
        <v>Calidad del aire</v>
      </c>
      <c r="C2761" s="55">
        <f ca="1">IFERROR(__xludf.DUMMYFUNCTION("""COMPUTED_VALUE"""),44285)</f>
        <v>44285</v>
      </c>
      <c r="D2761" s="25" t="str">
        <f ca="1">IFERROR(__xludf.DUMMYFUNCTION("""COMPUTED_VALUE"""),"Ambiente")</f>
        <v>Ambiente</v>
      </c>
      <c r="E2761" s="25" t="str">
        <f ca="1">IFERROR(__xludf.DUMMYFUNCTION("""COMPUTED_VALUE"""),"Secretaría Distrital de Ambiente")</f>
        <v>Secretaría Distrital de Ambiente</v>
      </c>
      <c r="F2761" s="25" t="str">
        <f ca="1">IFERROR(__xludf.DUMMYFUNCTION("""COMPUTED_VALUE"""),"Crear y entregar los Kit calidad de aire de construcciones")</f>
        <v>Crear y entregar los Kit calidad de aire de construcciones</v>
      </c>
      <c r="G2761" s="25" t="str">
        <f ca="1">IFERROR(__xludf.DUMMYFUNCTION("""COMPUTED_VALUE"""),"99. Distrito")</f>
        <v>99. Distrito</v>
      </c>
      <c r="H2761" s="55">
        <f ca="1">IFERROR(__xludf.DUMMYFUNCTION("""COMPUTED_VALUE"""),44315)</f>
        <v>44315</v>
      </c>
      <c r="I2761" s="25"/>
      <c r="J2761" s="55" t="str">
        <f ca="1">IFERROR(__xludf.DUMMYFUNCTION("""COMPUTED_VALUE"""),"Alta")</f>
        <v>Alta</v>
      </c>
      <c r="K2761" s="25">
        <f ca="1">IFERROR(__xludf.DUMMYFUNCTION("""COMPUTED_VALUE"""),30)</f>
        <v>30</v>
      </c>
      <c r="L2761" s="62"/>
      <c r="M2761" s="25" t="str">
        <f ca="1">IFERROR(__xludf.DUMMYFUNCTION("""COMPUTED_VALUE"""),"Se consolidó la versión 4.0 de la cartilla. Sin embargo, se cree pertinente incluir instrucciones más precisas para cada una de las 5 medidas sugeridas a los constructores.
Se realiza la primera reunión con CAMACOL para socializar la cartilla de material "&amp;"particulado resuspendido en obras de construcción. 
Se está construyendo cronograma de actividades para la divulgación de la cartilla y la creación de la estrategia.
Se está trabajando en una estrategia de socialización de la cartilla, para liderar desde "&amp;"la Subdirección estrategias que no contemplen la impresión de material. Esta estrategia iniciará su ejecución entre abril y mayo.
A Abril 30 se realiza una modificación al KIT de construcciones en las recomendaciones para reducir la resuspensión.
•       "&amp;" Se socializa la cartilla con el coordinador de RCD de la Subdirección de control ambiental al sector público.
•        Se dialoga con comunicaciones para lograr tener una estrategia asertiva en la divulgación de este KIT de Construcciones. Se concluye qu"&amp;"e se realizará por vía electrónica, teniendo en cuenta la base de datos de la Subdirección de control ambiental al sector público, de las obras inscritas en la secretaría Distrital de Ambiente.
•        Se solicita a la subdirección de control ambiental a"&amp;"l sector público la base de datos para poder enviar la cartilla
A mayo 31 se da por terminado la cartilla de construcciones dejándolo listo para su socialización.
•        Por medio de correo electrónico se les envía el KIT a todas las obras de construcci"&amp;"ón que están inscritas en la Secretaría Distrital de Ambiente, con el fin de que ellos realicen la divulgación en sus respectivas capacitaciones de SST.
•        Se realizó la socialización del KIT de construcciones a las Alcaldías de Mártires y San Crist"&amp;"óbal en el marco de la Semana Ambiental.
•        Se realiza socialización de la cartilla de construcción a los Ing. que realizan las visitas a las obras de construcción.
")</f>
        <v xml:space="preserve">Se consolidó la versión 4.0 de la cartilla. Sin embargo, se cree pertinente incluir instrucciones más precisas para cada una de las 5 medidas sugeridas a los constructores.
Se realiza la primera reunión con CAMACOL para socializar la cartilla de material particulado resuspendido en obras de construcción. 
Se está construyendo cronograma de actividades para la divulgación de la cartilla y la creación de la estrategia.
Se está trabajando en una estrategia de socialización de la cartilla, para liderar desde la Subdirección estrategias que no contemplen la impresión de material. Esta estrategia iniciará su ejecución entre abril y mayo.
A Abril 30 se realiza una modificación al KIT de construcciones en las recomendaciones para reducir la resuspensión.
•        Se socializa la cartilla con el coordinador de RCD de la Subdirección de control ambiental al sector público.
•        Se dialoga con comunicaciones para lograr tener una estrategia asertiva en la divulgación de este KIT de Construcciones. Se concluye que se realizará por vía electrónica, teniendo en cuenta la base de datos de la Subdirección de control ambiental al sector público, de las obras inscritas en la secretaría Distrital de Ambiente.
•        Se solicita a la subdirección de control ambiental al sector público la base de datos para poder enviar la cartilla
A mayo 31 se da por terminado la cartilla de construcciones dejándolo listo para su socialización.
•        Por medio de correo electrónico se les envía el KIT a todas las obras de construcción que están inscritas en la Secretaría Distrital de Ambiente, con el fin de que ellos realicen la divulgación en sus respectivas capacitaciones de SST.
•        Se realizó la socialización del KIT de construcciones a las Alcaldías de Mártires y San Cristóbal en el marco de la Semana Ambiental.
•        Se realiza socialización de la cartilla de construcción a los Ing. que realizan las visitas a las obras de construcción.
</v>
      </c>
      <c r="N2761" s="55">
        <f ca="1">IFERROR(__xludf.DUMMYFUNCTION("""COMPUTED_VALUE"""),44927)</f>
        <v>44927</v>
      </c>
      <c r="O2761" s="25" t="str">
        <f t="shared" ca="1" si="0"/>
        <v>Secretaría Distrital de Ambiente</v>
      </c>
      <c r="P2761" s="25" t="str">
        <f t="shared" si="2"/>
        <v/>
      </c>
      <c r="Q2761" s="25" t="str">
        <f ca="1">IFERROR(__xludf.DUMMYFUNCTION("""COMPUTED_VALUE"""),"Corto plazo")</f>
        <v>Corto plazo</v>
      </c>
      <c r="R2761" s="25"/>
      <c r="S2761" s="55"/>
      <c r="T2761" s="56"/>
      <c r="U2761" s="25"/>
      <c r="V2761" s="25"/>
      <c r="W2761" s="25"/>
      <c r="X2761" s="25"/>
      <c r="Y2761" s="25"/>
      <c r="Z2761" s="25"/>
    </row>
    <row r="2762" spans="1:26" ht="52.5" customHeight="1" x14ac:dyDescent="0.25">
      <c r="A2762" s="25" t="str">
        <f ca="1">IFERROR(__xludf.DUMMYFUNCTION("""COMPUTED_VALUE"""),"Ambie60")</f>
        <v>Ambie60</v>
      </c>
      <c r="B2762" s="25" t="str">
        <f ca="1">IFERROR(__xludf.DUMMYFUNCTION("""COMPUTED_VALUE"""),"Calidad del aire")</f>
        <v>Calidad del aire</v>
      </c>
      <c r="C2762" s="55">
        <f ca="1">IFERROR(__xludf.DUMMYFUNCTION("""COMPUTED_VALUE"""),44285)</f>
        <v>44285</v>
      </c>
      <c r="D2762" s="25" t="str">
        <f ca="1">IFERROR(__xludf.DUMMYFUNCTION("""COMPUTED_VALUE"""),"Ambiente")</f>
        <v>Ambiente</v>
      </c>
      <c r="E2762" s="25" t="str">
        <f ca="1">IFERROR(__xludf.DUMMYFUNCTION("""COMPUTED_VALUE"""),"Secretaría Distrital de Ambiente")</f>
        <v>Secretaría Distrital de Ambiente</v>
      </c>
      <c r="F2762" s="25" t="str">
        <f ca="1">IFERROR(__xludf.DUMMYFUNCTION("""COMPUTED_VALUE"""),"Crear y entregar  los Kit para el distrito para el polvillo de las construcciones")</f>
        <v>Crear y entregar  los Kit para el distrito para el polvillo de las construcciones</v>
      </c>
      <c r="G2762" s="25" t="str">
        <f ca="1">IFERROR(__xludf.DUMMYFUNCTION("""COMPUTED_VALUE"""),"99. Distrito")</f>
        <v>99. Distrito</v>
      </c>
      <c r="H2762" s="55">
        <f ca="1">IFERROR(__xludf.DUMMYFUNCTION("""COMPUTED_VALUE"""),44315)</f>
        <v>44315</v>
      </c>
      <c r="I2762" s="25"/>
      <c r="J2762" s="55" t="str">
        <f ca="1">IFERROR(__xludf.DUMMYFUNCTION("""COMPUTED_VALUE"""),"Alta")</f>
        <v>Alta</v>
      </c>
      <c r="K2762" s="25">
        <f ca="1">IFERROR(__xludf.DUMMYFUNCTION("""COMPUTED_VALUE"""),30)</f>
        <v>30</v>
      </c>
      <c r="L2762" s="62"/>
      <c r="M2762" s="25" t="str">
        <f ca="1">IFERROR(__xludf.DUMMYFUNCTION("""COMPUTED_VALUE"""),"Con los resultados del diagnóstico de la zona sur occidente se está fortaleciendo las medidas a implementar en la cartilla.
Se está preparando cronograma de actividades para la divulgación de la cartilla y la creación de la estrategia
Está pendiente: Conc"&amp;"luir el diseño técnico de la cartilla, Iniciar el trabajo de diseño y diagramación
y definir el cronograma de socialización. 
A mayo 31 se da por finalizado el KIT de material particulado para el Distrito, con su respectiva diagramación para ser socializa"&amp;"da con las entidades correspondientes, y se socializa la cartilla por correo electrónico a las entidades involucradas.
")</f>
        <v xml:space="preserve">Con los resultados del diagnóstico de la zona sur occidente se está fortaleciendo las medidas a implementar en la cartilla.
Se está preparando cronograma de actividades para la divulgación de la cartilla y la creación de la estrategia
Está pendiente: Concluir el diseño técnico de la cartilla, Iniciar el trabajo de diseño y diagramación
y definir el cronograma de socialización. 
A mayo 31 se da por finalizado el KIT de material particulado para el Distrito, con su respectiva diagramación para ser socializada con las entidades correspondientes, y se socializa la cartilla por correo electrónico a las entidades involucradas.
</v>
      </c>
      <c r="N2762" s="55">
        <f ca="1">IFERROR(__xludf.DUMMYFUNCTION("""COMPUTED_VALUE"""),44927)</f>
        <v>44927</v>
      </c>
      <c r="O2762" s="25" t="str">
        <f t="shared" ca="1" si="0"/>
        <v>Secretaría Distrital de Ambiente</v>
      </c>
      <c r="P2762" s="25" t="str">
        <f t="shared" si="2"/>
        <v/>
      </c>
      <c r="Q2762" s="25" t="str">
        <f ca="1">IFERROR(__xludf.DUMMYFUNCTION("""COMPUTED_VALUE"""),"Corto plazo")</f>
        <v>Corto plazo</v>
      </c>
      <c r="R2762" s="25"/>
      <c r="S2762" s="55"/>
      <c r="T2762" s="56"/>
      <c r="U2762" s="25"/>
      <c r="V2762" s="25"/>
      <c r="W2762" s="25"/>
      <c r="X2762" s="25"/>
      <c r="Y2762" s="25"/>
      <c r="Z2762" s="25"/>
    </row>
    <row r="2763" spans="1:26" ht="52.5" customHeight="1" x14ac:dyDescent="0.25">
      <c r="A2763" s="25" t="str">
        <f ca="1">IFERROR(__xludf.DUMMYFUNCTION("""COMPUTED_VALUE"""),"Ambie61")</f>
        <v>Ambie61</v>
      </c>
      <c r="B2763" s="25" t="str">
        <f ca="1">IFERROR(__xludf.DUMMYFUNCTION("""COMPUTED_VALUE"""),"Infraestructura - Predio Gibraltar con alcaldesa")</f>
        <v>Infraestructura - Predio Gibraltar con alcaldesa</v>
      </c>
      <c r="C2763" s="55">
        <f ca="1">IFERROR(__xludf.DUMMYFUNCTION("""COMPUTED_VALUE"""),44271)</f>
        <v>44271</v>
      </c>
      <c r="D2763" s="25" t="str">
        <f ca="1">IFERROR(__xludf.DUMMYFUNCTION("""COMPUTED_VALUE"""),"Ambiente")</f>
        <v>Ambiente</v>
      </c>
      <c r="E2763" s="25" t="str">
        <f ca="1">IFERROR(__xludf.DUMMYFUNCTION("""COMPUTED_VALUE"""),"Secretaría Distrital de Ambiente")</f>
        <v>Secretaría Distrital de Ambiente</v>
      </c>
      <c r="F2763" s="25" t="str">
        <f ca="1">IFERROR(__xludf.DUMMYFUNCTION("""COMPUTED_VALUE"""),"establecer términos de referencia para la desgasificación del predio y plan de contingencia para manejo de lixiviados y residuos que sean necesario extraer en el marco de las actividades de intervención del predio")</f>
        <v>establecer términos de referencia para la desgasificación del predio y plan de contingencia para manejo de lixiviados y residuos que sean necesario extraer en el marco de las actividades de intervención del predio</v>
      </c>
      <c r="G2763" s="25" t="str">
        <f ca="1">IFERROR(__xludf.DUMMYFUNCTION("""COMPUTED_VALUE"""),"99. Distrito")</f>
        <v>99. Distrito</v>
      </c>
      <c r="H2763" s="55">
        <f ca="1">IFERROR(__xludf.DUMMYFUNCTION("""COMPUTED_VALUE"""),44301)</f>
        <v>44301</v>
      </c>
      <c r="I2763" s="25"/>
      <c r="J2763" s="55" t="str">
        <f ca="1">IFERROR(__xludf.DUMMYFUNCTION("""COMPUTED_VALUE"""),"Alta")</f>
        <v>Alta</v>
      </c>
      <c r="K2763" s="25">
        <f ca="1">IFERROR(__xludf.DUMMYFUNCTION("""COMPUTED_VALUE"""),30)</f>
        <v>30</v>
      </c>
      <c r="L2763" s="62"/>
      <c r="M2763" s="25" t="str">
        <f ca="1">IFERROR(__xludf.DUMMYFUNCTION("""COMPUTED_VALUE"""),"A través del oficio 2021EE189171 del 07/09/2021, la SDA  remite al IDRD el alcance a las determinantes ambientales adjuntando copia del concepto técnico 2021IE180570 en donde se establece una línea base del predio, los lineamientos para el plan de conting"&amp;"encia ambiental y los lineamientos técnicos para la desgasificación del predio. ")</f>
        <v xml:space="preserve">A través del oficio 2021EE189171 del 07/09/2021, la SDA  remite al IDRD el alcance a las determinantes ambientales adjuntando copia del concepto técnico 2021IE180570 en donde se establece una línea base del predio, los lineamientos para el plan de contingencia ambiental y los lineamientos técnicos para la desgasificación del predio. </v>
      </c>
      <c r="N2763" s="55">
        <f ca="1">IFERROR(__xludf.DUMMYFUNCTION("""COMPUTED_VALUE"""),44927)</f>
        <v>44927</v>
      </c>
      <c r="O2763" s="25" t="str">
        <f t="shared" ca="1" si="0"/>
        <v>Secretaría Distrital de Ambiente</v>
      </c>
      <c r="P2763" s="25" t="str">
        <f t="shared" si="2"/>
        <v/>
      </c>
      <c r="Q2763" s="25" t="str">
        <f ca="1">IFERROR(__xludf.DUMMYFUNCTION("""COMPUTED_VALUE"""),"Corto plazo")</f>
        <v>Corto plazo</v>
      </c>
      <c r="R2763" s="25"/>
      <c r="S2763" s="55"/>
      <c r="T2763" s="56"/>
      <c r="U2763" s="25"/>
      <c r="V2763" s="25"/>
      <c r="W2763" s="25"/>
      <c r="X2763" s="25"/>
      <c r="Y2763" s="25"/>
      <c r="Z2763" s="25"/>
    </row>
    <row r="2764" spans="1:26" ht="52.5" customHeight="1" x14ac:dyDescent="0.25">
      <c r="A2764" s="25" t="str">
        <f ca="1">IFERROR(__xludf.DUMMYFUNCTION("""COMPUTED_VALUE"""),"Ambie62")</f>
        <v>Ambie62</v>
      </c>
      <c r="B2764" s="25" t="str">
        <f ca="1">IFERROR(__xludf.DUMMYFUNCTION("""COMPUTED_VALUE"""),"Infraestructura - Predio Gibraltar: determinantes ambientales y saneamiento del predio")</f>
        <v>Infraestructura - Predio Gibraltar: determinantes ambientales y saneamiento del predio</v>
      </c>
      <c r="C2764" s="55">
        <f ca="1">IFERROR(__xludf.DUMMYFUNCTION("""COMPUTED_VALUE"""),44259)</f>
        <v>44259</v>
      </c>
      <c r="D2764" s="25" t="str">
        <f ca="1">IFERROR(__xludf.DUMMYFUNCTION("""COMPUTED_VALUE"""),"Ambiente")</f>
        <v>Ambiente</v>
      </c>
      <c r="E2764" s="25" t="str">
        <f ca="1">IFERROR(__xludf.DUMMYFUNCTION("""COMPUTED_VALUE"""),"Secretaría Distrital de Ambiente")</f>
        <v>Secretaría Distrital de Ambiente</v>
      </c>
      <c r="F2764" s="25" t="str">
        <f ca="1">IFERROR(__xludf.DUMMYFUNCTION("""COMPUTED_VALUE"""),"SDA:enviara EAAB las comunicaciones que hubo en su momento entre la SDA y el contratista, en las que se puede evidenciar que ellos deciden no tomar en cuenta los insumos que dio la SDA. ")</f>
        <v xml:space="preserve">SDA:enviara EAAB las comunicaciones que hubo en su momento entre la SDA y el contratista, en las que se puede evidenciar que ellos deciden no tomar en cuenta los insumos que dio la SDA. </v>
      </c>
      <c r="G2764" s="25" t="str">
        <f ca="1">IFERROR(__xludf.DUMMYFUNCTION("""COMPUTED_VALUE"""),"99. Distrito")</f>
        <v>99. Distrito</v>
      </c>
      <c r="H2764" s="55">
        <f ca="1">IFERROR(__xludf.DUMMYFUNCTION("""COMPUTED_VALUE"""),44289)</f>
        <v>44289</v>
      </c>
      <c r="I2764" s="25"/>
      <c r="J2764" s="55" t="str">
        <f ca="1">IFERROR(__xludf.DUMMYFUNCTION("""COMPUTED_VALUE"""),"Alta")</f>
        <v>Alta</v>
      </c>
      <c r="K2764" s="25">
        <f ca="1">IFERROR(__xludf.DUMMYFUNCTION("""COMPUTED_VALUE"""),30)</f>
        <v>30</v>
      </c>
      <c r="L2764" s="62"/>
      <c r="M2764" s="25" t="str">
        <f ca="1">IFERROR(__xludf.DUMMYFUNCTION("""COMPUTED_VALUE"""),"En su momento la SDA dio a conocer oportunamente las inconsistencias o inconformidades del estudio desarrollado por la EAAB, se adjunta el acta de reunión del 28/05/2019, de igual forma, se remite copia de una comunicación interna de la EAAB en donde el c"&amp;"ontratista (SIAM) les responde al interventor y al supervisor del contrato, sobre cada una de las observaciones realizadas por la SDA. Lo que demuestra que en efecto la EAAB tuvo conocimiento oportuno de las observaciones de la autoridad ambiental. 
Adem"&amp;"ás, se volvieron a enviar después de la reunión.")</f>
        <v>En su momento la SDA dio a conocer oportunamente las inconsistencias o inconformidades del estudio desarrollado por la EAAB, se adjunta el acta de reunión del 28/05/2019, de igual forma, se remite copia de una comunicación interna de la EAAB en donde el contratista (SIAM) les responde al interventor y al supervisor del contrato, sobre cada una de las observaciones realizadas por la SDA. Lo que demuestra que en efecto la EAAB tuvo conocimiento oportuno de las observaciones de la autoridad ambiental. 
Además, se volvieron a enviar después de la reunión.</v>
      </c>
      <c r="N2764" s="55">
        <f ca="1">IFERROR(__xludf.DUMMYFUNCTION("""COMPUTED_VALUE"""),44927)</f>
        <v>44927</v>
      </c>
      <c r="O2764" s="25" t="str">
        <f t="shared" ca="1" si="0"/>
        <v>Secretaría Distrital de Ambiente</v>
      </c>
      <c r="P2764" s="25" t="str">
        <f t="shared" si="2"/>
        <v/>
      </c>
      <c r="Q2764" s="25" t="str">
        <f ca="1">IFERROR(__xludf.DUMMYFUNCTION("""COMPUTED_VALUE"""),"Corto plazo")</f>
        <v>Corto plazo</v>
      </c>
      <c r="R2764" s="25"/>
      <c r="S2764" s="55"/>
      <c r="T2764" s="56"/>
      <c r="U2764" s="25"/>
      <c r="V2764" s="25"/>
      <c r="W2764" s="25"/>
      <c r="X2764" s="25"/>
      <c r="Y2764" s="25"/>
      <c r="Z2764" s="25"/>
    </row>
    <row r="2765" spans="1:26" ht="52.5" customHeight="1" x14ac:dyDescent="0.25">
      <c r="A2765" s="25" t="str">
        <f ca="1">IFERROR(__xludf.DUMMYFUNCTION("""COMPUTED_VALUE"""),"Ambie63")</f>
        <v>Ambie63</v>
      </c>
      <c r="B2765" s="25" t="str">
        <f ca="1">IFERROR(__xludf.DUMMYFUNCTION("""COMPUTED_VALUE"""),"Infraestructura - Proyectos Clave de Infraestructura del IDRD y Hoja de Ruta de la URI Norte")</f>
        <v>Infraestructura - Proyectos Clave de Infraestructura del IDRD y Hoja de Ruta de la URI Norte</v>
      </c>
      <c r="C2765" s="55">
        <f ca="1">IFERROR(__xludf.DUMMYFUNCTION("""COMPUTED_VALUE"""),44245)</f>
        <v>44245</v>
      </c>
      <c r="D2765" s="25" t="str">
        <f ca="1">IFERROR(__xludf.DUMMYFUNCTION("""COMPUTED_VALUE"""),"Ambiente")</f>
        <v>Ambiente</v>
      </c>
      <c r="E2765" s="25" t="str">
        <f ca="1">IFERROR(__xludf.DUMMYFUNCTION("""COMPUTED_VALUE"""),"Secretaría Distrital de Ambiente")</f>
        <v>Secretaría Distrital de Ambiente</v>
      </c>
      <c r="F2765" s="25" t="str">
        <f ca="1">IFERROR(__xludf.DUMMYFUNCTION("""COMPUTED_VALUE"""),"CEFE San Cristóbal:
La SDA revisará el planteamiento frente a la posibilidad de la compensación o qué opciones se puede tener")</f>
        <v>CEFE San Cristóbal:
La SDA revisará el planteamiento frente a la posibilidad de la compensación o qué opciones se puede tener</v>
      </c>
      <c r="G2765" s="25" t="str">
        <f ca="1">IFERROR(__xludf.DUMMYFUNCTION("""COMPUTED_VALUE"""),"04. San Cristóbal")</f>
        <v>04. San Cristóbal</v>
      </c>
      <c r="H2765" s="55">
        <f ca="1">IFERROR(__xludf.DUMMYFUNCTION("""COMPUTED_VALUE"""),44275)</f>
        <v>44275</v>
      </c>
      <c r="I2765" s="25"/>
      <c r="J2765" s="55" t="str">
        <f ca="1">IFERROR(__xludf.DUMMYFUNCTION("""COMPUTED_VALUE"""),"Alta")</f>
        <v>Alta</v>
      </c>
      <c r="K2765" s="25">
        <f ca="1">IFERROR(__xludf.DUMMYFUNCTION("""COMPUTED_VALUE"""),30)</f>
        <v>30</v>
      </c>
      <c r="L2765" s="62">
        <f ca="1">IFERROR(__xludf.DUMMYFUNCTION("""COMPUTED_VALUE"""),44622)</f>
        <v>44622</v>
      </c>
      <c r="M2765" s="25" t="str">
        <f ca="1">IFERROR(__xludf.DUMMYFUNCTION("""COMPUTED_VALUE"""),"Una vez surtida la notificación y comunicaciones y encontrándose en firme la Resolución 02197 del 25 de julio de 2021, por la cual se declaró la cesación, se procederá en 20 de marzo de 2022 a expedir el acto de impulso procesal correspondiente, que para "&amp;"el presente trámite corresponde al Auto de Formulación de Cargos, en el marco de la Ley 1333 de 2009. Hasta que la SDA  tenga decisión de fondo no se puede definir las medidas de compensación y restauración, ya que se vulneraría el debido proceso")</f>
        <v>Una vez surtida la notificación y comunicaciones y encontrándose en firme la Resolución 02197 del 25 de julio de 2021, por la cual se declaró la cesación, se procederá en 20 de marzo de 2022 a expedir el acto de impulso procesal correspondiente, que para el presente trámite corresponde al Auto de Formulación de Cargos, en el marco de la Ley 1333 de 2009. Hasta que la SDA  tenga decisión de fondo no se puede definir las medidas de compensación y restauración, ya que se vulneraría el debido proceso</v>
      </c>
      <c r="N2765" s="55">
        <f ca="1">IFERROR(__xludf.DUMMYFUNCTION("""COMPUTED_VALUE"""),44622)</f>
        <v>44622</v>
      </c>
      <c r="O2765" s="25" t="str">
        <f t="shared" ca="1" si="0"/>
        <v>Secretaría Distrital de Ambiente</v>
      </c>
      <c r="P2765" s="25" t="str">
        <f t="shared" si="2"/>
        <v/>
      </c>
      <c r="Q2765" s="25" t="str">
        <f ca="1">IFERROR(__xludf.DUMMYFUNCTION("""COMPUTED_VALUE"""),"Corto plazo")</f>
        <v>Corto plazo</v>
      </c>
      <c r="R2765" s="25"/>
      <c r="S2765" s="55"/>
      <c r="T2765" s="56"/>
      <c r="U2765" s="25"/>
      <c r="V2765" s="25"/>
      <c r="W2765" s="25"/>
      <c r="X2765" s="25"/>
      <c r="Y2765" s="25"/>
      <c r="Z2765" s="25"/>
    </row>
    <row r="2766" spans="1:26" ht="52.5" customHeight="1" x14ac:dyDescent="0.25">
      <c r="A2766" s="25" t="str">
        <f ca="1">IFERROR(__xludf.DUMMYFUNCTION("""COMPUTED_VALUE"""),"Ambie64")</f>
        <v>Ambie64</v>
      </c>
      <c r="B2766" s="25" t="str">
        <f ca="1">IFERROR(__xludf.DUMMYFUNCTION("""COMPUTED_VALUE"""),"Despachando desde el Jardín Botánico José Celestino Mutis")</f>
        <v>Despachando desde el Jardín Botánico José Celestino Mutis</v>
      </c>
      <c r="C2766" s="55">
        <f ca="1">IFERROR(__xludf.DUMMYFUNCTION("""COMPUTED_VALUE"""),44169)</f>
        <v>44169</v>
      </c>
      <c r="D2766" s="25" t="str">
        <f ca="1">IFERROR(__xludf.DUMMYFUNCTION("""COMPUTED_VALUE"""),"Ambiente")</f>
        <v>Ambiente</v>
      </c>
      <c r="E2766" s="25" t="str">
        <f ca="1">IFERROR(__xludf.DUMMYFUNCTION("""COMPUTED_VALUE"""),"Secretaría Distrital de Ambiente")</f>
        <v>Secretaría Distrital de Ambiente</v>
      </c>
      <c r="F2766" s="25" t="str">
        <f ca="1">IFERROR(__xludf.DUMMYFUNCTION("""COMPUTED_VALUE"""),"Decreto para trasladar al DADEP la Publicidad Exterior Visual")</f>
        <v>Decreto para trasladar al DADEP la Publicidad Exterior Visual</v>
      </c>
      <c r="G2766" s="25" t="str">
        <f ca="1">IFERROR(__xludf.DUMMYFUNCTION("""COMPUTED_VALUE"""),"99. Distrito")</f>
        <v>99. Distrito</v>
      </c>
      <c r="H2766" s="55">
        <f ca="1">IFERROR(__xludf.DUMMYFUNCTION("""COMPUTED_VALUE"""),44199)</f>
        <v>44199</v>
      </c>
      <c r="I2766" s="25"/>
      <c r="J2766" s="55" t="str">
        <f ca="1">IFERROR(__xludf.DUMMYFUNCTION("""COMPUTED_VALUE"""),"Alta")</f>
        <v>Alta</v>
      </c>
      <c r="K2766" s="25">
        <f ca="1">IFERROR(__xludf.DUMMYFUNCTION("""COMPUTED_VALUE"""),30)</f>
        <v>30</v>
      </c>
      <c r="L2766" s="62">
        <f ca="1">IFERROR(__xludf.DUMMYFUNCTION("""COMPUTED_VALUE"""),44890)</f>
        <v>44890</v>
      </c>
      <c r="M2766" s="25" t="str">
        <f ca="1">IFERROR(__xludf.DUMMYFUNCTION("""COMPUTED_VALUE"""),"El proyecto se retoma después de no tener respuesta del DADEP. Se programará reunión a nivel directivo para el mes de marzo de 2022. 
El equipo técnico deberá presentar la versión final socializada con los sectores para junio de 2022 (el 30 de junio).
21."&amp;"11.2022: Se cuenta con el borrador de Proyecto de Acuerdo conforme a comentarios realizados en reunión del 10.08.2022 de 2022. Teniendo en cuenta la reunión sostenida con DADEP el 10.08.2022, DADEP informó la imposibilidad de adelantar el proceso, por tal"&amp;" motivo desde la SDA se encontró la necesidad de iniciar con la modificación normativa de PEV a través del Proyecto de Acuerdo. Se encuentra en la elaboración del DTS del Proyecto de Acuerdo y se programará la socialización con los sectores en el mes de  "&amp;"diciembre.")</f>
        <v>El proyecto se retoma después de no tener respuesta del DADEP. Se programará reunión a nivel directivo para el mes de marzo de 2022. 
El equipo técnico deberá presentar la versión final socializada con los sectores para junio de 2022 (el 30 de junio).
21.11.2022: Se cuenta con el borrador de Proyecto de Acuerdo conforme a comentarios realizados en reunión del 10.08.2022 de 2022. Teniendo en cuenta la reunión sostenida con DADEP el 10.08.2022, DADEP informó la imposibilidad de adelantar el proceso, por tal motivo desde la SDA se encontró la necesidad de iniciar con la modificación normativa de PEV a través del Proyecto de Acuerdo. Se encuentra en la elaboración del DTS del Proyecto de Acuerdo y se programará la socialización con los sectores en el mes de  diciembre.</v>
      </c>
      <c r="N2766" s="55">
        <f ca="1">IFERROR(__xludf.DUMMYFUNCTION("""COMPUTED_VALUE"""),44890)</f>
        <v>44890</v>
      </c>
      <c r="O2766" s="25" t="str">
        <f t="shared" ca="1" si="0"/>
        <v>Secretaría Distrital de Ambiente</v>
      </c>
      <c r="P2766" s="25" t="str">
        <f t="shared" si="2"/>
        <v/>
      </c>
      <c r="Q2766" s="25" t="str">
        <f ca="1">IFERROR(__xludf.DUMMYFUNCTION("""COMPUTED_VALUE"""),"Corto plazo")</f>
        <v>Corto plazo</v>
      </c>
      <c r="R2766" s="25"/>
      <c r="S2766" s="55"/>
      <c r="T2766" s="56"/>
      <c r="U2766" s="25"/>
      <c r="V2766" s="25"/>
      <c r="W2766" s="25"/>
      <c r="X2766" s="25"/>
      <c r="Y2766" s="25"/>
      <c r="Z2766" s="25"/>
    </row>
    <row r="2767" spans="1:26" ht="52.5" customHeight="1" x14ac:dyDescent="0.25">
      <c r="A2767" s="25" t="str">
        <f ca="1">IFERROR(__xludf.DUMMYFUNCTION("""COMPUTED_VALUE"""),"Ambie65")</f>
        <v>Ambie65</v>
      </c>
      <c r="B2767" s="25" t="str">
        <f ca="1">IFERROR(__xludf.DUMMYFUNCTION("""COMPUTED_VALUE"""),"Despachando desde el Jardín Botánico José Celestino Mutis")</f>
        <v>Despachando desde el Jardín Botánico José Celestino Mutis</v>
      </c>
      <c r="C2767" s="55">
        <f ca="1">IFERROR(__xludf.DUMMYFUNCTION("""COMPUTED_VALUE"""),44169)</f>
        <v>44169</v>
      </c>
      <c r="D2767" s="25" t="str">
        <f ca="1">IFERROR(__xludf.DUMMYFUNCTION("""COMPUTED_VALUE"""),"Ambiente")</f>
        <v>Ambiente</v>
      </c>
      <c r="E2767" s="25" t="str">
        <f ca="1">IFERROR(__xludf.DUMMYFUNCTION("""COMPUTED_VALUE"""),"Secretaría Distrital de Ambiente")</f>
        <v>Secretaría Distrital de Ambiente</v>
      </c>
      <c r="F2767" s="25" t="str">
        <f ca="1">IFERROR(__xludf.DUMMYFUNCTION("""COMPUTED_VALUE"""),"Revisar con la SDA la EEP y zonas estratégicas que se puedan consolidar como bosques urbanos")</f>
        <v>Revisar con la SDA la EEP y zonas estratégicas que se puedan consolidar como bosques urbanos</v>
      </c>
      <c r="G2767" s="25" t="str">
        <f ca="1">IFERROR(__xludf.DUMMYFUNCTION("""COMPUTED_VALUE"""),"99. Distrito")</f>
        <v>99. Distrito</v>
      </c>
      <c r="H2767" s="55">
        <f ca="1">IFERROR(__xludf.DUMMYFUNCTION("""COMPUTED_VALUE"""),44199)</f>
        <v>44199</v>
      </c>
      <c r="I2767" s="25"/>
      <c r="J2767" s="55" t="str">
        <f ca="1">IFERROR(__xludf.DUMMYFUNCTION("""COMPUTED_VALUE"""),"Alta")</f>
        <v>Alta</v>
      </c>
      <c r="K2767" s="25">
        <f ca="1">IFERROR(__xludf.DUMMYFUNCTION("""COMPUTED_VALUE"""),30)</f>
        <v>30</v>
      </c>
      <c r="L2767" s="62"/>
      <c r="M2767" s="25" t="str">
        <f ca="1">IFERROR(__xludf.DUMMYFUNCTION("""COMPUTED_VALUE"""),"Dentro de la concertación de los asuntos ambientales del POT se habilitó la figura de los Bosques Urbanos como una estrategia complementaria de conservación, pero las áreas deben ser reglamentadas y definidas después del trámite en el concejo. 
Por otro "&amp;"lado, se está actualizando el manual de silvicultura para incluir los bosques urbanos, y la Secretaría Distrital de ambiente realizó aportes al proyecto de acuerdo número 179 de Bosques Urbanos el cual se encuentra archivado en espera de su siguiente radi"&amp;"cación. ")</f>
        <v xml:space="preserve">Dentro de la concertación de los asuntos ambientales del POT se habilitó la figura de los Bosques Urbanos como una estrategia complementaria de conservación, pero las áreas deben ser reglamentadas y definidas después del trámite en el concejo. 
Por otro lado, se está actualizando el manual de silvicultura para incluir los bosques urbanos, y la Secretaría Distrital de ambiente realizó aportes al proyecto de acuerdo número 179 de Bosques Urbanos el cual se encuentra archivado en espera de su siguiente radicación. </v>
      </c>
      <c r="N2767" s="55">
        <f ca="1">IFERROR(__xludf.DUMMYFUNCTION("""COMPUTED_VALUE"""),44927)</f>
        <v>44927</v>
      </c>
      <c r="O2767" s="25" t="str">
        <f t="shared" ca="1" si="0"/>
        <v>Secretaría Distrital de Ambiente</v>
      </c>
      <c r="P2767" s="25" t="str">
        <f t="shared" si="2"/>
        <v/>
      </c>
      <c r="Q2767" s="25" t="str">
        <f ca="1">IFERROR(__xludf.DUMMYFUNCTION("""COMPUTED_VALUE"""),"Corto plazo")</f>
        <v>Corto plazo</v>
      </c>
      <c r="R2767" s="25"/>
      <c r="S2767" s="55"/>
      <c r="T2767" s="56"/>
      <c r="U2767" s="25"/>
      <c r="V2767" s="25"/>
      <c r="W2767" s="25"/>
      <c r="X2767" s="25"/>
      <c r="Y2767" s="25"/>
      <c r="Z2767" s="25"/>
    </row>
    <row r="2768" spans="1:26" ht="52.5" customHeight="1" x14ac:dyDescent="0.25">
      <c r="A2768" s="25" t="str">
        <f ca="1">IFERROR(__xludf.DUMMYFUNCTION("""COMPUTED_VALUE"""),"Ambie66")</f>
        <v>Ambie66</v>
      </c>
      <c r="B2768" s="25" t="str">
        <f ca="1">IFERROR(__xludf.DUMMYFUNCTION("""COMPUTED_VALUE"""),"Despachando desde el Jardín Botánico José Celestino Mutis")</f>
        <v>Despachando desde el Jardín Botánico José Celestino Mutis</v>
      </c>
      <c r="C2768" s="55">
        <f ca="1">IFERROR(__xludf.DUMMYFUNCTION("""COMPUTED_VALUE"""),44169)</f>
        <v>44169</v>
      </c>
      <c r="D2768" s="25" t="str">
        <f ca="1">IFERROR(__xludf.DUMMYFUNCTION("""COMPUTED_VALUE"""),"Ambiente")</f>
        <v>Ambiente</v>
      </c>
      <c r="E2768" s="25" t="str">
        <f ca="1">IFERROR(__xludf.DUMMYFUNCTION("""COMPUTED_VALUE"""),"Jardín Botánico José Celestino Mutis")</f>
        <v>Jardín Botánico José Celestino Mutis</v>
      </c>
      <c r="F2768" s="25" t="str">
        <f ca="1">IFERROR(__xludf.DUMMYFUNCTION("""COMPUTED_VALUE"""),"Coordinar con el IDU, para que el CV7ma sea un piloto de jardinería vertical")</f>
        <v>Coordinar con el IDU, para que el CV7ma sea un piloto de jardinería vertical</v>
      </c>
      <c r="G2768" s="25" t="str">
        <f ca="1">IFERROR(__xludf.DUMMYFUNCTION("""COMPUTED_VALUE"""),"99. Distrito")</f>
        <v>99. Distrito</v>
      </c>
      <c r="H2768" s="55">
        <f ca="1">IFERROR(__xludf.DUMMYFUNCTION("""COMPUTED_VALUE"""),44199)</f>
        <v>44199</v>
      </c>
      <c r="I2768" s="25"/>
      <c r="J2768" s="55" t="str">
        <f ca="1">IFERROR(__xludf.DUMMYFUNCTION("""COMPUTED_VALUE"""),"Alta")</f>
        <v>Alta</v>
      </c>
      <c r="K2768" s="25">
        <f ca="1">IFERROR(__xludf.DUMMYFUNCTION("""COMPUTED_VALUE"""),30)</f>
        <v>30</v>
      </c>
      <c r="L2768" s="62"/>
      <c r="M2768" s="25" t="str">
        <f ca="1">IFERROR(__xludf.DUMMYFUNCTION("""COMPUTED_VALUE"""),"La SDA elaboró las determinantes ambientales para el proyecto de Corredor Verde de la Carrera 7 de ecourbanismo y construcción sostenible, que incluye infraestructura vegetada como la jardinería vertical.  También se han consolidado aportes al proyecto de"&amp;"sde todos los aspectos ambientales, los cuales serán remitidos en la semana del 26 al 30 de julio para consideraciones del IDU.
 Para complementar la intervención en la Carrera 7 el JBB elaboró una propuesta para la producción de árboles y arbustos para "&amp;"los proyectos estratégicos de la ciudad, como Transmilenio Avenida 68, Avenida Cali y la Troncal Verde de la Carrera 7. Esta propuesta fue remitida al IDU para la evaluación técnica y económica. ")</f>
        <v xml:space="preserve">La SDA elaboró las determinantes ambientales para el proyecto de Corredor Verde de la Carrera 7 de ecourbanismo y construcción sostenible, que incluye infraestructura vegetada como la jardinería vertical.  También se han consolidado aportes al proyecto desde todos los aspectos ambientales, los cuales serán remitidos en la semana del 26 al 30 de julio para consideraciones del IDU.
 Para complementar la intervención en la Carrera 7 el JBB elaboró una propuesta para la producción de árboles y arbustos para los proyectos estratégicos de la ciudad, como Transmilenio Avenida 68, Avenida Cali y la Troncal Verde de la Carrera 7. Esta propuesta fue remitida al IDU para la evaluación técnica y económica. </v>
      </c>
      <c r="N2768" s="55">
        <f ca="1">IFERROR(__xludf.DUMMYFUNCTION("""COMPUTED_VALUE"""),44927)</f>
        <v>44927</v>
      </c>
      <c r="O2768" s="25" t="str">
        <f t="shared" ca="1" si="0"/>
        <v>Jardín Botánico José Celestino Mutis</v>
      </c>
      <c r="P2768" s="25" t="str">
        <f t="shared" si="2"/>
        <v/>
      </c>
      <c r="Q2768" s="25" t="str">
        <f ca="1">IFERROR(__xludf.DUMMYFUNCTION("""COMPUTED_VALUE"""),"Corto plazo")</f>
        <v>Corto plazo</v>
      </c>
      <c r="R2768" s="25"/>
      <c r="S2768" s="55"/>
      <c r="T2768" s="56"/>
      <c r="U2768" s="25"/>
      <c r="V2768" s="25"/>
      <c r="W2768" s="25"/>
      <c r="X2768" s="25"/>
      <c r="Y2768" s="25"/>
      <c r="Z2768" s="25"/>
    </row>
    <row r="2769" spans="1:26" ht="52.5" customHeight="1" x14ac:dyDescent="0.25">
      <c r="A2769" s="25" t="str">
        <f ca="1">IFERROR(__xludf.DUMMYFUNCTION("""COMPUTED_VALUE"""),"Ambie67")</f>
        <v>Ambie67</v>
      </c>
      <c r="B2769" s="25" t="str">
        <f ca="1">IFERROR(__xludf.DUMMYFUNCTION("""COMPUTED_VALUE"""),"Despachando desde el Jardín Botánico José Celestino Mutis")</f>
        <v>Despachando desde el Jardín Botánico José Celestino Mutis</v>
      </c>
      <c r="C2769" s="55">
        <f ca="1">IFERROR(__xludf.DUMMYFUNCTION("""COMPUTED_VALUE"""),44169)</f>
        <v>44169</v>
      </c>
      <c r="D2769" s="25" t="str">
        <f ca="1">IFERROR(__xludf.DUMMYFUNCTION("""COMPUTED_VALUE"""),"Ambiente")</f>
        <v>Ambiente</v>
      </c>
      <c r="E2769" s="25" t="str">
        <f ca="1">IFERROR(__xludf.DUMMYFUNCTION("""COMPUTED_VALUE"""),"Jardín Botánico José Celestino Mutis")</f>
        <v>Jardín Botánico José Celestino Mutis</v>
      </c>
      <c r="F2769" s="25" t="str">
        <f ca="1">IFERROR(__xludf.DUMMYFUNCTION("""COMPUTED_VALUE"""),"Preparar una propuesta de recuperación del suelo con cobertura vegetal para el Tunjuelo")</f>
        <v>Preparar una propuesta de recuperación del suelo con cobertura vegetal para el Tunjuelo</v>
      </c>
      <c r="G2769" s="55" t="str">
        <f ca="1">IFERROR(__xludf.DUMMYFUNCTION("""COMPUTED_VALUE"""),"06. Tunjuelito")</f>
        <v>06. Tunjuelito</v>
      </c>
      <c r="H2769" s="55">
        <f ca="1">IFERROR(__xludf.DUMMYFUNCTION("""COMPUTED_VALUE"""),44199)</f>
        <v>44199</v>
      </c>
      <c r="I2769" s="25"/>
      <c r="J2769" s="55" t="str">
        <f ca="1">IFERROR(__xludf.DUMMYFUNCTION("""COMPUTED_VALUE"""),"Alta")</f>
        <v>Alta</v>
      </c>
      <c r="K2769" s="25">
        <f ca="1">IFERROR(__xludf.DUMMYFUNCTION("""COMPUTED_VALUE"""),30)</f>
        <v>30</v>
      </c>
      <c r="L2769" s="62"/>
      <c r="M2769" s="25" t="str">
        <f ca="1">IFERROR(__xludf.DUMMYFUNCTION("""COMPUTED_VALUE"""),"En coordinación con la Alcaldía Local de Kennedy e IDU adelantamos el proceso de revegetalización de la ronda hidráulica del río Tunjuelo a la altura de los frigoríficos Guadalupe. Esta actividad incluyó la plantación de cerca de 200 nuevos árboles y la r"&amp;"eubicación de árboles bloqueados desde la avenida 68 y emplazados en las zonas recuperadas para evitar la invasión del espacio público con vehículos y la descarga de residuos orgánicos en el cauce del río. ")</f>
        <v xml:space="preserve">En coordinación con la Alcaldía Local de Kennedy e IDU adelantamos el proceso de revegetalización de la ronda hidráulica del río Tunjuelo a la altura de los frigoríficos Guadalupe. Esta actividad incluyó la plantación de cerca de 200 nuevos árboles y la reubicación de árboles bloqueados desde la avenida 68 y emplazados en las zonas recuperadas para evitar la invasión del espacio público con vehículos y la descarga de residuos orgánicos en el cauce del río. </v>
      </c>
      <c r="N2769" s="55">
        <f ca="1">IFERROR(__xludf.DUMMYFUNCTION("""COMPUTED_VALUE"""),44927)</f>
        <v>44927</v>
      </c>
      <c r="O2769" s="25" t="str">
        <f t="shared" ca="1" si="0"/>
        <v>Jardín Botánico José Celestino Mutis</v>
      </c>
      <c r="P2769" s="25" t="str">
        <f t="shared" si="2"/>
        <v/>
      </c>
      <c r="Q2769" s="25" t="str">
        <f ca="1">IFERROR(__xludf.DUMMYFUNCTION("""COMPUTED_VALUE"""),"Corto plazo")</f>
        <v>Corto plazo</v>
      </c>
      <c r="R2769" s="25"/>
      <c r="S2769" s="55"/>
      <c r="T2769" s="56"/>
      <c r="U2769" s="25"/>
      <c r="V2769" s="25"/>
      <c r="W2769" s="25"/>
      <c r="X2769" s="25"/>
      <c r="Y2769" s="25"/>
      <c r="Z2769" s="25"/>
    </row>
    <row r="2770" spans="1:26" ht="52.5" customHeight="1" x14ac:dyDescent="0.25">
      <c r="A2770" s="25" t="str">
        <f ca="1">IFERROR(__xludf.DUMMYFUNCTION("""COMPUTED_VALUE"""),"Ambie68")</f>
        <v>Ambie68</v>
      </c>
      <c r="B2770" s="25" t="str">
        <f ca="1">IFERROR(__xludf.DUMMYFUNCTION("""COMPUTED_VALUE"""),"Despachando desde el Jardín Botánico José Celestino Mutis")</f>
        <v>Despachando desde el Jardín Botánico José Celestino Mutis</v>
      </c>
      <c r="C2770" s="55">
        <f ca="1">IFERROR(__xludf.DUMMYFUNCTION("""COMPUTED_VALUE"""),44169)</f>
        <v>44169</v>
      </c>
      <c r="D2770" s="25" t="str">
        <f ca="1">IFERROR(__xludf.DUMMYFUNCTION("""COMPUTED_VALUE"""),"Ambiente")</f>
        <v>Ambiente</v>
      </c>
      <c r="E2770" s="25" t="str">
        <f ca="1">IFERROR(__xludf.DUMMYFUNCTION("""COMPUTED_VALUE"""),"Jardín Botánico José Celestino Mutis")</f>
        <v>Jardín Botánico José Celestino Mutis</v>
      </c>
      <c r="F2770" s="25" t="str">
        <f ca="1">IFERROR(__xludf.DUMMYFUNCTION("""COMPUTED_VALUE"""),"Ampliar el vivero de frailejones en el batallón de alta montaña de la localidad de Sumapaz, y armar otros dos viveros en San Juan Sumapaz (centro comunitario) y Betania (Sede alcaldía local)")</f>
        <v>Ampliar el vivero de frailejones en el batallón de alta montaña de la localidad de Sumapaz, y armar otros dos viveros en San Juan Sumapaz (centro comunitario) y Betania (Sede alcaldía local)</v>
      </c>
      <c r="G2770" s="55" t="str">
        <f ca="1">IFERROR(__xludf.DUMMYFUNCTION("""COMPUTED_VALUE"""),"20. Sumapaz")</f>
        <v>20. Sumapaz</v>
      </c>
      <c r="H2770" s="55">
        <f ca="1">IFERROR(__xludf.DUMMYFUNCTION("""COMPUTED_VALUE"""),44199)</f>
        <v>44199</v>
      </c>
      <c r="I2770" s="25"/>
      <c r="J2770" s="55" t="str">
        <f ca="1">IFERROR(__xludf.DUMMYFUNCTION("""COMPUTED_VALUE"""),"Alta")</f>
        <v>Alta</v>
      </c>
      <c r="K2770" s="25">
        <f ca="1">IFERROR(__xludf.DUMMYFUNCTION("""COMPUTED_VALUE"""),30)</f>
        <v>30</v>
      </c>
      <c r="L2770" s="62">
        <f ca="1">IFERROR(__xludf.DUMMYFUNCTION("""COMPUTED_VALUE"""),44742)</f>
        <v>44742</v>
      </c>
      <c r="M2770" s="25" t="str">
        <f ca="1">IFERROR(__xludf.DUMMYFUNCTION("""COMPUTED_VALUE"""),"El JBB realizó el  Diagnóstico y Plan de Trabajo del fortalecimiento del Vivero ubicado en la vereda Betania de la Localidad de Sumapaz. Este Plan de trabajo se desarrolló en documento 35 pág. incluyendo la construcción de TALLERES TEORICO-PRÁCTICOS PARA "&amp;"EL FORTALECIMIENTO DEL VIVERO BETANIA, SUMAPAZ.  El JBB continua con el proceso de Generación de conocimiento se identificaron las especies y se colectaron las semillas de las especies: Espeletia uribei y Espeletia argéntea, especies Nativas-Endémica. Con"&amp;" respecto a la ampliación, la Brigada 13 adelantó la construcción de invernanderos con recursos del MAVD. 
Adicionalmente, El JBB ha continuado con la consolidación y organización de los viveros de: Bosques Las Mercedes de la Reserva Thomas Van der Hammen"&amp;", Ciudad Bolívar en la vereda Mochuelo Bajo, Sumapaz en la alcaldía local de Betania , En Sumapaz sector Nazareth.
Está pendiente el Verjon en la localidad de Chapinero, una vez se controle la presencia de ganado propiedad de ocupantes temporales del pred"&amp;"io del Acueducto.  
Durante la vigencia 2021, se consolidó la labor de capacitación en las instalaciones del JBB (23-24 marzo y 22 de octubre de 2021) y en las áreas de páramo, en temas de distribución espacial, conservación, propagación (tradicional e in"&amp;" vitro), sanidad vegetal y justificación de especies de este ecosistema, con énfasis en la especie Espeletia cabrerensis, con miembros delegados del Ejército de Colombia - Brigada 13, con el propósito de incrementar el conocimiento, la diversidad en las á"&amp;"reas de producción y generar material vegetal para restablecer las poblaciones. Adicionalmente, el JBB está trabajando con la Alcaldía local de Sumapaz en el fortalecimiento del VIvero en la vereda Betania y se proyecta fortalecer el vivero del Parque Cha"&amp;"que Nodos Sumapaz. 
Se han adelantado procesos de formación y reconocimiento al trabajo del Batallón, desde el enfoque de educación ambiental y de participación.")</f>
        <v>El JBB realizó el  Diagnóstico y Plan de Trabajo del fortalecimiento del Vivero ubicado en la vereda Betania de la Localidad de Sumapaz. Este Plan de trabajo se desarrolló en documento 35 pág. incluyendo la construcción de TALLERES TEORICO-PRÁCTICOS PARA EL FORTALECIMIENTO DEL VIVERO BETANIA, SUMAPAZ.  El JBB continua con el proceso de Generación de conocimiento se identificaron las especies y se colectaron las semillas de las especies: Espeletia uribei y Espeletia argéntea, especies Nativas-Endémica. Con respecto a la ampliación, la Brigada 13 adelantó la construcción de invernanderos con recursos del MAVD. 
Adicionalmente, El JBB ha continuado con la consolidación y organización de los viveros de: Bosques Las Mercedes de la Reserva Thomas Van der Hammen, Ciudad Bolívar en la vereda Mochuelo Bajo, Sumapaz en la alcaldía local de Betania , En Sumapaz sector Nazareth.
Está pendiente el Verjon en la localidad de Chapinero, una vez se controle la presencia de ganado propiedad de ocupantes temporales del predio del Acueducto.  
Durante la vigencia 2021, se consolidó la labor de capacitación en las instalaciones del JBB (23-24 marzo y 22 de octubre de 2021) y en las áreas de páramo, en temas de distribución espacial, conservación, propagación (tradicional e in vitro), sanidad vegetal y justificación de especies de este ecosistema, con énfasis en la especie Espeletia cabrerensis, con miembros delegados del Ejército de Colombia - Brigada 13, con el propósito de incrementar el conocimiento, la diversidad en las áreas de producción y generar material vegetal para restablecer las poblaciones. Adicionalmente, el JBB está trabajando con la Alcaldía local de Sumapaz en el fortalecimiento del VIvero en la vereda Betania y se proyecta fortalecer el vivero del Parque Chaque Nodos Sumapaz. 
Se han adelantado procesos de formación y reconocimiento al trabajo del Batallón, desde el enfoque de educación ambiental y de participación.</v>
      </c>
      <c r="N2770" s="55">
        <f ca="1">IFERROR(__xludf.DUMMYFUNCTION("""COMPUTED_VALUE"""),44742)</f>
        <v>44742</v>
      </c>
      <c r="O2770" s="25" t="str">
        <f t="shared" ca="1" si="0"/>
        <v>Jardín Botánico José Celestino Mutis</v>
      </c>
      <c r="P2770" s="25" t="str">
        <f t="shared" si="2"/>
        <v/>
      </c>
      <c r="Q2770" s="25" t="str">
        <f ca="1">IFERROR(__xludf.DUMMYFUNCTION("""COMPUTED_VALUE"""),"Corto plazo")</f>
        <v>Corto plazo</v>
      </c>
      <c r="R2770" s="25"/>
      <c r="S2770" s="55"/>
      <c r="T2770" s="56"/>
      <c r="U2770" s="25"/>
      <c r="V2770" s="25"/>
      <c r="W2770" s="25"/>
      <c r="X2770" s="25"/>
      <c r="Y2770" s="25"/>
      <c r="Z2770" s="25"/>
    </row>
    <row r="2771" spans="1:26" ht="52.5" customHeight="1" x14ac:dyDescent="0.25">
      <c r="A2771" s="25" t="str">
        <f ca="1">IFERROR(__xludf.DUMMYFUNCTION("""COMPUTED_VALUE"""),"Ambie69")</f>
        <v>Ambie69</v>
      </c>
      <c r="B2771" s="25" t="str">
        <f ca="1">IFERROR(__xludf.DUMMYFUNCTION("""COMPUTED_VALUE"""),"Plan Parcial 3 quebradas")</f>
        <v>Plan Parcial 3 quebradas</v>
      </c>
      <c r="C2771" s="55">
        <f ca="1">IFERROR(__xludf.DUMMYFUNCTION("""COMPUTED_VALUE"""),44128)</f>
        <v>44128</v>
      </c>
      <c r="D2771" s="25" t="str">
        <f ca="1">IFERROR(__xludf.DUMMYFUNCTION("""COMPUTED_VALUE"""),"Ambiente")</f>
        <v>Ambiente</v>
      </c>
      <c r="E2771" s="25" t="str">
        <f ca="1">IFERROR(__xludf.DUMMYFUNCTION("""COMPUTED_VALUE"""),"Instituto Distrital de Gestión de Riesgos y Cambio Climático")</f>
        <v>Instituto Distrital de Gestión de Riesgos y Cambio Climático</v>
      </c>
      <c r="F2771" s="25" t="str">
        <f ca="1">IFERROR(__xludf.DUMMYFUNCTION("""COMPUTED_VALUE"""),"Reunión de concertación para mirar la intervención sobre 3 cuerpos de agua en el PP")</f>
        <v>Reunión de concertación para mirar la intervención sobre 3 cuerpos de agua en el PP</v>
      </c>
      <c r="G2771" s="55" t="str">
        <f ca="1">IFERROR(__xludf.DUMMYFUNCTION("""COMPUTED_VALUE"""),"05. Usme")</f>
        <v>05. Usme</v>
      </c>
      <c r="H2771" s="55">
        <f ca="1">IFERROR(__xludf.DUMMYFUNCTION("""COMPUTED_VALUE"""),44158)</f>
        <v>44158</v>
      </c>
      <c r="I2771" s="25"/>
      <c r="J2771" s="55" t="str">
        <f ca="1">IFERROR(__xludf.DUMMYFUNCTION("""COMPUTED_VALUE"""),"Alta")</f>
        <v>Alta</v>
      </c>
      <c r="K2771" s="25">
        <f ca="1">IFERROR(__xludf.DUMMYFUNCTION("""COMPUTED_VALUE"""),30)</f>
        <v>30</v>
      </c>
      <c r="L2771" s="62"/>
      <c r="M2771" s="25" t="str">
        <f ca="1">IFERROR(__xludf.DUMMYFUNCTION("""COMPUTED_VALUE"""),"En reunión del 6 de noviembre, la CAR se comprometió a revisar a fondo los documentos presentados por el distrito ya que no habían estudiado los estudios sobre arborización, protección de las quebradas y la concertación ambiental. En reunión con la ERU, I"&amp;"diger y CAR se llegó a un plan para la protección de las quebradas y la continuación del plan parcial sin afectación de los cuerpos de agua")</f>
        <v>En reunión del 6 de noviembre, la CAR se comprometió a revisar a fondo los documentos presentados por el distrito ya que no habían estudiado los estudios sobre arborización, protección de las quebradas y la concertación ambiental. En reunión con la ERU, Idiger y CAR se llegó a un plan para la protección de las quebradas y la continuación del plan parcial sin afectación de los cuerpos de agua</v>
      </c>
      <c r="N2771" s="55">
        <f ca="1">IFERROR(__xludf.DUMMYFUNCTION("""COMPUTED_VALUE"""),44927)</f>
        <v>44927</v>
      </c>
      <c r="O2771" s="25" t="str">
        <f t="shared" ca="1" si="0"/>
        <v>Instituto Distrital de Gestión de Riesgos y Cambio Climático</v>
      </c>
      <c r="P2771" s="25" t="str">
        <f t="shared" si="2"/>
        <v/>
      </c>
      <c r="Q2771" s="25" t="str">
        <f ca="1">IFERROR(__xludf.DUMMYFUNCTION("""COMPUTED_VALUE"""),"Corto plazo")</f>
        <v>Corto plazo</v>
      </c>
      <c r="R2771" s="25"/>
      <c r="S2771" s="55"/>
      <c r="T2771" s="56"/>
      <c r="U2771" s="25"/>
      <c r="V2771" s="25"/>
      <c r="W2771" s="25"/>
      <c r="X2771" s="25"/>
      <c r="Y2771" s="25"/>
      <c r="Z2771" s="25"/>
    </row>
    <row r="2772" spans="1:26" ht="52.5" customHeight="1" x14ac:dyDescent="0.25">
      <c r="A2772" s="25" t="str">
        <f ca="1">IFERROR(__xludf.DUMMYFUNCTION("""COMPUTED_VALUE"""),"Ambie70")</f>
        <v>Ambie70</v>
      </c>
      <c r="B2772" s="25" t="str">
        <f ca="1">IFERROR(__xludf.DUMMYFUNCTION("""COMPUTED_VALUE"""),"Parque Gibraltar")</f>
        <v>Parque Gibraltar</v>
      </c>
      <c r="C2772" s="55">
        <f ca="1">IFERROR(__xludf.DUMMYFUNCTION("""COMPUTED_VALUE"""),44126)</f>
        <v>44126</v>
      </c>
      <c r="D2772" s="25" t="str">
        <f ca="1">IFERROR(__xludf.DUMMYFUNCTION("""COMPUTED_VALUE"""),"Ambiente")</f>
        <v>Ambiente</v>
      </c>
      <c r="E2772" s="25" t="str">
        <f ca="1">IFERROR(__xludf.DUMMYFUNCTION("""COMPUTED_VALUE"""),"Secretaría Distrital de Ambiente")</f>
        <v>Secretaría Distrital de Ambiente</v>
      </c>
      <c r="F2772" s="25" t="str">
        <f ca="1">IFERROR(__xludf.DUMMYFUNCTION("""COMPUTED_VALUE"""),"Crear sendero en el bosque que quedará en la parte posterior del parque, la que colinda con el río")</f>
        <v>Crear sendero en el bosque que quedará en la parte posterior del parque, la que colinda con el río</v>
      </c>
      <c r="G2772" s="55" t="str">
        <f ca="1">IFERROR(__xludf.DUMMYFUNCTION("""COMPUTED_VALUE"""),"08. Kennedy")</f>
        <v>08. Kennedy</v>
      </c>
      <c r="H2772" s="55">
        <f ca="1">IFERROR(__xludf.DUMMYFUNCTION("""COMPUTED_VALUE"""),44156)</f>
        <v>44156</v>
      </c>
      <c r="I2772" s="25"/>
      <c r="J2772" s="55" t="str">
        <f ca="1">IFERROR(__xludf.DUMMYFUNCTION("""COMPUTED_VALUE"""),"Alta")</f>
        <v>Alta</v>
      </c>
      <c r="K2772" s="25">
        <f ca="1">IFERROR(__xludf.DUMMYFUNCTION("""COMPUTED_VALUE"""),30)</f>
        <v>30</v>
      </c>
      <c r="L2772" s="62"/>
      <c r="M2772" s="25" t="str">
        <f ca="1">IFERROR(__xludf.DUMMYFUNCTION("""COMPUTED_VALUE"""),"En los diseños del parque se establece la creación del sendero y ciclorruta en la parte posterior del parque, donde quedará el bosque, garantizando una zona ecológica en el parque")</f>
        <v>En los diseños del parque se establece la creación del sendero y ciclorruta en la parte posterior del parque, donde quedará el bosque, garantizando una zona ecológica en el parque</v>
      </c>
      <c r="N2772" s="55">
        <f ca="1">IFERROR(__xludf.DUMMYFUNCTION("""COMPUTED_VALUE"""),44927)</f>
        <v>44927</v>
      </c>
      <c r="O2772" s="25" t="str">
        <f t="shared" ca="1" si="0"/>
        <v>Secretaría Distrital de Ambiente</v>
      </c>
      <c r="P2772" s="25" t="str">
        <f t="shared" si="2"/>
        <v/>
      </c>
      <c r="Q2772" s="25" t="str">
        <f ca="1">IFERROR(__xludf.DUMMYFUNCTION("""COMPUTED_VALUE"""),"Corto plazo")</f>
        <v>Corto plazo</v>
      </c>
      <c r="R2772" s="25"/>
      <c r="S2772" s="55"/>
      <c r="T2772" s="56"/>
      <c r="U2772" s="25"/>
      <c r="V2772" s="25"/>
      <c r="W2772" s="25"/>
      <c r="X2772" s="25"/>
      <c r="Y2772" s="25"/>
      <c r="Z2772" s="25"/>
    </row>
    <row r="2773" spans="1:26" ht="52.5" customHeight="1" x14ac:dyDescent="0.25">
      <c r="A2773" s="25" t="str">
        <f ca="1">IFERROR(__xludf.DUMMYFUNCTION("""COMPUTED_VALUE"""),"Ambie71")</f>
        <v>Ambie71</v>
      </c>
      <c r="B2773" s="25" t="str">
        <f ca="1">IFERROR(__xludf.DUMMYFUNCTION("""COMPUTED_VALUE"""),"Despachando desde la Secretaría distrital de ambiente - SDA")</f>
        <v>Despachando desde la Secretaría distrital de ambiente - SDA</v>
      </c>
      <c r="C2773" s="55">
        <f ca="1">IFERROR(__xludf.DUMMYFUNCTION("""COMPUTED_VALUE"""),44083)</f>
        <v>44083</v>
      </c>
      <c r="D2773" s="25" t="str">
        <f ca="1">IFERROR(__xludf.DUMMYFUNCTION("""COMPUTED_VALUE"""),"Ambiente")</f>
        <v>Ambiente</v>
      </c>
      <c r="E2773" s="25" t="str">
        <f ca="1">IFERROR(__xludf.DUMMYFUNCTION("""COMPUTED_VALUE"""),"Secretaría Distrital de Ambiente")</f>
        <v>Secretaría Distrital de Ambiente</v>
      </c>
      <c r="F2773" s="25" t="str">
        <f ca="1">IFERROR(__xludf.DUMMYFUNCTION("""COMPUTED_VALUE"""),"Agilizar el proyecto de decreto que permite el uso del 1% de los recursos corrientes del municipio para inversión en áreas protegidas")</f>
        <v>Agilizar el proyecto de decreto que permite el uso del 1% de los recursos corrientes del municipio para inversión en áreas protegidas</v>
      </c>
      <c r="G2773" s="25" t="str">
        <f ca="1">IFERROR(__xludf.DUMMYFUNCTION("""COMPUTED_VALUE"""),"99. Distrito")</f>
        <v>99. Distrito</v>
      </c>
      <c r="H2773" s="55">
        <f ca="1">IFERROR(__xludf.DUMMYFUNCTION("""COMPUTED_VALUE"""),44113)</f>
        <v>44113</v>
      </c>
      <c r="I2773" s="25"/>
      <c r="J2773" s="55" t="str">
        <f ca="1">IFERROR(__xludf.DUMMYFUNCTION("""COMPUTED_VALUE"""),"Alta")</f>
        <v>Alta</v>
      </c>
      <c r="K2773" s="25">
        <f ca="1">IFERROR(__xludf.DUMMYFUNCTION("""COMPUTED_VALUE"""),30)</f>
        <v>30</v>
      </c>
      <c r="L2773" s="62">
        <f ca="1">IFERROR(__xludf.DUMMYFUNCTION("""COMPUTED_VALUE"""),44622)</f>
        <v>44622</v>
      </c>
      <c r="M2773" s="25" t="str">
        <f ca="1">IFERROR(__xludf.DUMMYFUNCTION("""COMPUTED_VALUE"""),"Actualmente en revisión de la CAR.")</f>
        <v>Actualmente en revisión de la CAR.</v>
      </c>
      <c r="N2773" s="55">
        <f ca="1">IFERROR(__xludf.DUMMYFUNCTION("""COMPUTED_VALUE"""),44622)</f>
        <v>44622</v>
      </c>
      <c r="O2773" s="25" t="str">
        <f t="shared" ca="1" si="0"/>
        <v>Secretaría Distrital de Ambiente</v>
      </c>
      <c r="P2773" s="25" t="str">
        <f t="shared" si="2"/>
        <v/>
      </c>
      <c r="Q2773" s="25" t="str">
        <f ca="1">IFERROR(__xludf.DUMMYFUNCTION("""COMPUTED_VALUE"""),"Corto plazo")</f>
        <v>Corto plazo</v>
      </c>
      <c r="R2773" s="25"/>
      <c r="S2773" s="55"/>
      <c r="T2773" s="56"/>
      <c r="U2773" s="25"/>
      <c r="V2773" s="25"/>
      <c r="W2773" s="25"/>
      <c r="X2773" s="25"/>
      <c r="Y2773" s="25"/>
      <c r="Z2773" s="25"/>
    </row>
    <row r="2774" spans="1:26" ht="52.5" customHeight="1" x14ac:dyDescent="0.25">
      <c r="A2774" s="25" t="str">
        <f ca="1">IFERROR(__xludf.DUMMYFUNCTION("""COMPUTED_VALUE"""),"Ambie72")</f>
        <v>Ambie72</v>
      </c>
      <c r="B2774" s="25" t="str">
        <f ca="1">IFERROR(__xludf.DUMMYFUNCTION("""COMPUTED_VALUE"""),"Despachando desde la Secretaría distrital de ambiente - SDA")</f>
        <v>Despachando desde la Secretaría distrital de ambiente - SDA</v>
      </c>
      <c r="C2774" s="55">
        <f ca="1">IFERROR(__xludf.DUMMYFUNCTION("""COMPUTED_VALUE"""),44083)</f>
        <v>44083</v>
      </c>
      <c r="D2774" s="25" t="str">
        <f ca="1">IFERROR(__xludf.DUMMYFUNCTION("""COMPUTED_VALUE"""),"Ambiente")</f>
        <v>Ambiente</v>
      </c>
      <c r="E2774" s="25" t="str">
        <f ca="1">IFERROR(__xludf.DUMMYFUNCTION("""COMPUTED_VALUE"""),"Secretaría Distrital de Ambiente")</f>
        <v>Secretaría Distrital de Ambiente</v>
      </c>
      <c r="F2774" s="25" t="str">
        <f ca="1">IFERROR(__xludf.DUMMYFUNCTION("""COMPUTED_VALUE"""),"Tener datos precisos de calidad del aire públicos y abiertos para consulta de los ciudadanos, esa es la política de Gobierno Abierto.")</f>
        <v>Tener datos precisos de calidad del aire públicos y abiertos para consulta de los ciudadanos, esa es la política de Gobierno Abierto.</v>
      </c>
      <c r="G2774" s="25" t="str">
        <f ca="1">IFERROR(__xludf.DUMMYFUNCTION("""COMPUTED_VALUE"""),"99. Distrito")</f>
        <v>99. Distrito</v>
      </c>
      <c r="H2774" s="55">
        <f ca="1">IFERROR(__xludf.DUMMYFUNCTION("""COMPUTED_VALUE"""),44113)</f>
        <v>44113</v>
      </c>
      <c r="I2774" s="25"/>
      <c r="J2774" s="55" t="str">
        <f ca="1">IFERROR(__xludf.DUMMYFUNCTION("""COMPUTED_VALUE"""),"Alta")</f>
        <v>Alta</v>
      </c>
      <c r="K2774" s="25">
        <f ca="1">IFERROR(__xludf.DUMMYFUNCTION("""COMPUTED_VALUE"""),30)</f>
        <v>30</v>
      </c>
      <c r="L2774" s="62"/>
      <c r="M2774" s="25" t="str">
        <f ca="1">IFERROR(__xludf.DUMMYFUNCTION("""COMPUTED_VALUE"""),"En la actualidad, los datos de la Red de Monitoreo de Calidad del Aire de Bogotá - RMCAB se encuentran completamente disponibles en la plataforma OpenAQ en el link https://openaq.org/#/locations?countries=CO&amp;sources=secretaria-distrital-de-ambiente, en ti"&amp;"empo real y con la información de todas las estaciones. Gracias al desarrollo de una API (Application Programming Interface), hoy tenemos a disposición del público o de cualquier entidad los datos de la red para descarga automática y en tiempo real. Adici"&amp;"onalmente, se adelantan las gestiones pertinentes para cumplir las condiciones que tiene la política de datos abiertos del gobierno.")</f>
        <v>En la actualidad, los datos de la Red de Monitoreo de Calidad del Aire de Bogotá - RMCAB se encuentran completamente disponibles en la plataforma OpenAQ en el link https://openaq.org/#/locations?countries=CO&amp;sources=secretaria-distrital-de-ambiente, en tiempo real y con la información de todas las estaciones. Gracias al desarrollo de una API (Application Programming Interface), hoy tenemos a disposición del público o de cualquier entidad los datos de la red para descarga automática y en tiempo real. Adicionalmente, se adelantan las gestiones pertinentes para cumplir las condiciones que tiene la política de datos abiertos del gobierno.</v>
      </c>
      <c r="N2774" s="55">
        <f ca="1">IFERROR(__xludf.DUMMYFUNCTION("""COMPUTED_VALUE"""),44927)</f>
        <v>44927</v>
      </c>
      <c r="O2774" s="25" t="str">
        <f t="shared" ca="1" si="0"/>
        <v>Secretaría Distrital de Ambiente</v>
      </c>
      <c r="P2774" s="25" t="str">
        <f t="shared" si="2"/>
        <v/>
      </c>
      <c r="Q2774" s="25" t="str">
        <f ca="1">IFERROR(__xludf.DUMMYFUNCTION("""COMPUTED_VALUE"""),"Corto plazo")</f>
        <v>Corto plazo</v>
      </c>
      <c r="R2774" s="25"/>
      <c r="S2774" s="55"/>
      <c r="T2774" s="56"/>
      <c r="U2774" s="25"/>
      <c r="V2774" s="25"/>
      <c r="W2774" s="25"/>
      <c r="X2774" s="25"/>
      <c r="Y2774" s="25"/>
      <c r="Z2774" s="25"/>
    </row>
    <row r="2775" spans="1:26" ht="52.5" customHeight="1" x14ac:dyDescent="0.25">
      <c r="A2775" s="25" t="str">
        <f ca="1">IFERROR(__xludf.DUMMYFUNCTION("""COMPUTED_VALUE"""),"Ambie73")</f>
        <v>Ambie73</v>
      </c>
      <c r="B2775" s="25" t="str">
        <f ca="1">IFERROR(__xludf.DUMMYFUNCTION("""COMPUTED_VALUE"""),"Despachando desde la Secretaría distrital de ambiente - SDA")</f>
        <v>Despachando desde la Secretaría distrital de ambiente - SDA</v>
      </c>
      <c r="C2775" s="55">
        <f ca="1">IFERROR(__xludf.DUMMYFUNCTION("""COMPUTED_VALUE"""),44083)</f>
        <v>44083</v>
      </c>
      <c r="D2775" s="25" t="str">
        <f ca="1">IFERROR(__xludf.DUMMYFUNCTION("""COMPUTED_VALUE"""),"Ambiente")</f>
        <v>Ambiente</v>
      </c>
      <c r="E2775" s="25" t="str">
        <f ca="1">IFERROR(__xludf.DUMMYFUNCTION("""COMPUTED_VALUE"""),"Secretaría Distrital de Ambiente")</f>
        <v>Secretaría Distrital de Ambiente</v>
      </c>
      <c r="F2775" s="25" t="str">
        <f ca="1">IFERROR(__xludf.DUMMYFUNCTION("""COMPUTED_VALUE"""),"Tener el lineamiento de mercado de emisiones locales, dentro y fuera de Colombia.")</f>
        <v>Tener el lineamiento de mercado de emisiones locales, dentro y fuera de Colombia.</v>
      </c>
      <c r="G2775" s="25" t="str">
        <f ca="1">IFERROR(__xludf.DUMMYFUNCTION("""COMPUTED_VALUE"""),"99. Distrito")</f>
        <v>99. Distrito</v>
      </c>
      <c r="H2775" s="55">
        <f ca="1">IFERROR(__xludf.DUMMYFUNCTION("""COMPUTED_VALUE"""),44113)</f>
        <v>44113</v>
      </c>
      <c r="I2775" s="25"/>
      <c r="J2775" s="55" t="str">
        <f ca="1">IFERROR(__xludf.DUMMYFUNCTION("""COMPUTED_VALUE"""),"Alta")</f>
        <v>Alta</v>
      </c>
      <c r="K2775" s="25">
        <f ca="1">IFERROR(__xludf.DUMMYFUNCTION("""COMPUTED_VALUE"""),30)</f>
        <v>30</v>
      </c>
      <c r="L2775" s="62"/>
      <c r="M2775" s="25" t="str">
        <f ca="1">IFERROR(__xludf.DUMMYFUNCTION("""COMPUTED_VALUE"""),"Se están elaborando documentos que permitan ver el estado del arte de los mercados de emisiones en Colombia y en ciudades, como insumo para definir si es viable o no pensar en desarrollar un mercado local de emisiones.")</f>
        <v>Se están elaborando documentos que permitan ver el estado del arte de los mercados de emisiones en Colombia y en ciudades, como insumo para definir si es viable o no pensar en desarrollar un mercado local de emisiones.</v>
      </c>
      <c r="N2775" s="55">
        <f ca="1">IFERROR(__xludf.DUMMYFUNCTION("""COMPUTED_VALUE"""),44927)</f>
        <v>44927</v>
      </c>
      <c r="O2775" s="25" t="str">
        <f t="shared" ca="1" si="0"/>
        <v>Secretaría Distrital de Ambiente</v>
      </c>
      <c r="P2775" s="25" t="str">
        <f t="shared" si="2"/>
        <v/>
      </c>
      <c r="Q2775" s="25" t="str">
        <f ca="1">IFERROR(__xludf.DUMMYFUNCTION("""COMPUTED_VALUE"""),"Corto plazo")</f>
        <v>Corto plazo</v>
      </c>
      <c r="R2775" s="25"/>
      <c r="S2775" s="55"/>
      <c r="T2775" s="56"/>
      <c r="U2775" s="25"/>
      <c r="V2775" s="25"/>
      <c r="W2775" s="25"/>
      <c r="X2775" s="25"/>
      <c r="Y2775" s="25"/>
      <c r="Z2775" s="25"/>
    </row>
    <row r="2776" spans="1:26" ht="52.5" customHeight="1" x14ac:dyDescent="0.25">
      <c r="A2776" s="25" t="str">
        <f ca="1">IFERROR(__xludf.DUMMYFUNCTION("""COMPUTED_VALUE"""),"Ambie74")</f>
        <v>Ambie74</v>
      </c>
      <c r="B2776" s="25" t="str">
        <f ca="1">IFERROR(__xludf.DUMMYFUNCTION("""COMPUTED_VALUE"""),"Despachando desde la Secretaría distrital de ambiente - SDA")</f>
        <v>Despachando desde la Secretaría distrital de ambiente - SDA</v>
      </c>
      <c r="C2776" s="55">
        <f ca="1">IFERROR(__xludf.DUMMYFUNCTION("""COMPUTED_VALUE"""),44083)</f>
        <v>44083</v>
      </c>
      <c r="D2776" s="25" t="str">
        <f ca="1">IFERROR(__xludf.DUMMYFUNCTION("""COMPUTED_VALUE"""),"Ambiente")</f>
        <v>Ambiente</v>
      </c>
      <c r="E2776" s="25" t="str">
        <f ca="1">IFERROR(__xludf.DUMMYFUNCTION("""COMPUTED_VALUE"""),"Secretaría Distrital de Ambiente")</f>
        <v>Secretaría Distrital de Ambiente</v>
      </c>
      <c r="F2776" s="25" t="str">
        <f ca="1">IFERROR(__xludf.DUMMYFUNCTION("""COMPUTED_VALUE"""),"Revisar como se puede hacer algún tipo de conexión, de Tierreros a Tibanica, así sea en arbolado y entre Tibanica y la isla. Levantar cemento y hacer una franja verde en toda la avenida.")</f>
        <v>Revisar como se puede hacer algún tipo de conexión, de Tierreros a Tibanica, así sea en arbolado y entre Tibanica y la isla. Levantar cemento y hacer una franja verde en toda la avenida.</v>
      </c>
      <c r="G2776" s="25" t="str">
        <f ca="1">IFERROR(__xludf.DUMMYFUNCTION("""COMPUTED_VALUE"""),"11. Suba")</f>
        <v>11. Suba</v>
      </c>
      <c r="H2776" s="55">
        <f ca="1">IFERROR(__xludf.DUMMYFUNCTION("""COMPUTED_VALUE"""),44113)</f>
        <v>44113</v>
      </c>
      <c r="I2776" s="25"/>
      <c r="J2776" s="55" t="str">
        <f ca="1">IFERROR(__xludf.DUMMYFUNCTION("""COMPUTED_VALUE"""),"Alta")</f>
        <v>Alta</v>
      </c>
      <c r="K2776" s="25">
        <f ca="1">IFERROR(__xludf.DUMMYFUNCTION("""COMPUTED_VALUE"""),30)</f>
        <v>30</v>
      </c>
      <c r="L2776" s="62"/>
      <c r="M2776" s="25" t="str">
        <f ca="1">IFERROR(__xludf.DUMMYFUNCTION("""COMPUTED_VALUE"""),"La ""media luna del sur"" fue presentada a la alcaldesa de Bogotá en el marco de las reuniones de POT. El 21 de diciembre será presentado a la alcaldesa nuevamente.")</f>
        <v>La "media luna del sur" fue presentada a la alcaldesa de Bogotá en el marco de las reuniones de POT. El 21 de diciembre será presentado a la alcaldesa nuevamente.</v>
      </c>
      <c r="N2776" s="55">
        <f ca="1">IFERROR(__xludf.DUMMYFUNCTION("""COMPUTED_VALUE"""),44927)</f>
        <v>44927</v>
      </c>
      <c r="O2776" s="25" t="str">
        <f t="shared" ca="1" si="0"/>
        <v>Secretaría Distrital de Ambiente</v>
      </c>
      <c r="P2776" s="25" t="str">
        <f t="shared" si="2"/>
        <v/>
      </c>
      <c r="Q2776" s="25" t="str">
        <f ca="1">IFERROR(__xludf.DUMMYFUNCTION("""COMPUTED_VALUE"""),"Corto plazo")</f>
        <v>Corto plazo</v>
      </c>
      <c r="R2776" s="25"/>
      <c r="S2776" s="55"/>
      <c r="T2776" s="56"/>
      <c r="U2776" s="25"/>
      <c r="V2776" s="25"/>
      <c r="W2776" s="25"/>
      <c r="X2776" s="25"/>
      <c r="Y2776" s="25"/>
      <c r="Z2776" s="25"/>
    </row>
    <row r="2777" spans="1:26" ht="52.5" customHeight="1" x14ac:dyDescent="0.25">
      <c r="A2777" s="25" t="str">
        <f ca="1">IFERROR(__xludf.DUMMYFUNCTION("""COMPUTED_VALUE"""),"Ambie75")</f>
        <v>Ambie75</v>
      </c>
      <c r="B2777" s="25" t="str">
        <f ca="1">IFERROR(__xludf.DUMMYFUNCTION("""COMPUTED_VALUE"""),"Despachando desde la Secretaría distrital de ambiente - SDA")</f>
        <v>Despachando desde la Secretaría distrital de ambiente - SDA</v>
      </c>
      <c r="C2777" s="55">
        <f ca="1">IFERROR(__xludf.DUMMYFUNCTION("""COMPUTED_VALUE"""),44083)</f>
        <v>44083</v>
      </c>
      <c r="D2777" s="25" t="str">
        <f ca="1">IFERROR(__xludf.DUMMYFUNCTION("""COMPUTED_VALUE"""),"Ambiente")</f>
        <v>Ambiente</v>
      </c>
      <c r="E2777" s="25" t="str">
        <f ca="1">IFERROR(__xludf.DUMMYFUNCTION("""COMPUTED_VALUE"""),"Secretaría Distrital de Ambiente")</f>
        <v>Secretaría Distrital de Ambiente</v>
      </c>
      <c r="F2777" s="25" t="str">
        <f ca="1">IFERROR(__xludf.DUMMYFUNCTION("""COMPUTED_VALUE"""),"Revisar la distribución de la Reserva Thomas Van der Hammen, zonas de conservación, conexión a los corredores ecológicos y la actividad productiva.")</f>
        <v>Revisar la distribución de la Reserva Thomas Van der Hammen, zonas de conservación, conexión a los corredores ecológicos y la actividad productiva.</v>
      </c>
      <c r="G2777" s="25" t="str">
        <f ca="1">IFERROR(__xludf.DUMMYFUNCTION("""COMPUTED_VALUE"""),"11. Suba")</f>
        <v>11. Suba</v>
      </c>
      <c r="H2777" s="55">
        <f ca="1">IFERROR(__xludf.DUMMYFUNCTION("""COMPUTED_VALUE"""),44113)</f>
        <v>44113</v>
      </c>
      <c r="I2777" s="25"/>
      <c r="J2777" s="55" t="str">
        <f ca="1">IFERROR(__xludf.DUMMYFUNCTION("""COMPUTED_VALUE"""),"Alta")</f>
        <v>Alta</v>
      </c>
      <c r="K2777" s="25">
        <f ca="1">IFERROR(__xludf.DUMMYFUNCTION("""COMPUTED_VALUE"""),30)</f>
        <v>30</v>
      </c>
      <c r="L2777" s="62"/>
      <c r="M2777" s="25" t="str">
        <f ca="1">IFERROR(__xludf.DUMMYFUNCTION("""COMPUTED_VALUE"""),"Se revisó la distribución de la RTVH y se identificaron las áreas potenciales para el diseño, firma e implementación de acuerdos de conservación, partiendo del relacionamiento con los propietarios y la articulación con la Corporación Autónoma Regional de "&amp;"Cundinamarca (CAR). Así se garantizará la armonización de las actividades propuestas en cada uno de los acuerdos con los usos y objetivos de conservación de la reserva.")</f>
        <v>Se revisó la distribución de la RTVH y se identificaron las áreas potenciales para el diseño, firma e implementación de acuerdos de conservación, partiendo del relacionamiento con los propietarios y la articulación con la Corporación Autónoma Regional de Cundinamarca (CAR). Así se garantizará la armonización de las actividades propuestas en cada uno de los acuerdos con los usos y objetivos de conservación de la reserva.</v>
      </c>
      <c r="N2777" s="55">
        <f ca="1">IFERROR(__xludf.DUMMYFUNCTION("""COMPUTED_VALUE"""),44927)</f>
        <v>44927</v>
      </c>
      <c r="O2777" s="25" t="str">
        <f t="shared" ca="1" si="0"/>
        <v>Secretaría Distrital de Ambiente</v>
      </c>
      <c r="P2777" s="25" t="str">
        <f t="shared" si="2"/>
        <v/>
      </c>
      <c r="Q2777" s="25" t="str">
        <f ca="1">IFERROR(__xludf.DUMMYFUNCTION("""COMPUTED_VALUE"""),"Corto plazo")</f>
        <v>Corto plazo</v>
      </c>
      <c r="R2777" s="25"/>
      <c r="S2777" s="55"/>
      <c r="T2777" s="56"/>
      <c r="U2777" s="25"/>
      <c r="V2777" s="25"/>
      <c r="W2777" s="25"/>
      <c r="X2777" s="25"/>
      <c r="Y2777" s="25"/>
      <c r="Z2777" s="25"/>
    </row>
    <row r="2778" spans="1:26" ht="52.5" customHeight="1" x14ac:dyDescent="0.25">
      <c r="A2778" s="25" t="str">
        <f ca="1">IFERROR(__xludf.DUMMYFUNCTION("""COMPUTED_VALUE"""),"Ambie76")</f>
        <v>Ambie76</v>
      </c>
      <c r="B2778" s="25" t="str">
        <f ca="1">IFERROR(__xludf.DUMMYFUNCTION("""COMPUTED_VALUE"""),"Corredor vial 7 seguimiento")</f>
        <v>Corredor vial 7 seguimiento</v>
      </c>
      <c r="C2778" s="55">
        <f ca="1">IFERROR(__xludf.DUMMYFUNCTION("""COMPUTED_VALUE"""),44673)</f>
        <v>44673</v>
      </c>
      <c r="D2778" s="25" t="str">
        <f ca="1">IFERROR(__xludf.DUMMYFUNCTION("""COMPUTED_VALUE"""),"Ambiente")</f>
        <v>Ambiente</v>
      </c>
      <c r="E2778" s="25" t="str">
        <f ca="1">IFERROR(__xludf.DUMMYFUNCTION("""COMPUTED_VALUE"""),"Secretaría Distrital de Ambiente")</f>
        <v>Secretaría Distrital de Ambiente</v>
      </c>
      <c r="F2778" s="25" t="str">
        <f ca="1">IFERROR(__xludf.DUMMYFUNCTION("""COMPUTED_VALUE"""),"Analizar el riesgo y estado del árbol de la Calle 108 y con base en eso definir las acciones a seguir.")</f>
        <v>Analizar el riesgo y estado del árbol de la Calle 108 y con base en eso definir las acciones a seguir.</v>
      </c>
      <c r="G2778" s="25" t="str">
        <f ca="1">IFERROR(__xludf.DUMMYFUNCTION("""COMPUTED_VALUE"""),"99. Distrito")</f>
        <v>99. Distrito</v>
      </c>
      <c r="H2778" s="55">
        <f ca="1">IFERROR(__xludf.DUMMYFUNCTION("""COMPUTED_VALUE"""),44703)</f>
        <v>44703</v>
      </c>
      <c r="I2778" s="25"/>
      <c r="J2778" s="55" t="str">
        <f ca="1">IFERROR(__xludf.DUMMYFUNCTION("""COMPUTED_VALUE"""),"Alta")</f>
        <v>Alta</v>
      </c>
      <c r="K2778" s="25">
        <f ca="1">IFERROR(__xludf.DUMMYFUNCTION("""COMPUTED_VALUE"""),30)</f>
        <v>30</v>
      </c>
      <c r="L2778" s="62">
        <f ca="1">IFERROR(__xludf.DUMMYFUNCTION("""COMPUTED_VALUE"""),44742)</f>
        <v>44742</v>
      </c>
      <c r="M2778" s="25" t="str">
        <f ca="1">IFERROR(__xludf.DUMMYFUNCTION("""COMPUTED_VALUE"""),"Se realizó la evalucAión del árbol por parte de la SDA, se remitió al JBB el permiso de intervención por parte de la SDA y  fue realizada la sustitución del ejemplar el día 22 de mayo de 2022, actividad realizada en conjunto con IDIGER, Bomberos, Ejército"&amp;", Alcaldía Local, Secretaría de movilidad UAESP se realizó ritual despedida con la comunidad asistente como parte de la vinculación incluyente en el manejo de coberturas vegetales en el D.C.")</f>
        <v>Se realizó la evalucAión del árbol por parte de la SDA, se remitió al JBB el permiso de intervención por parte de la SDA y  fue realizada la sustitución del ejemplar el día 22 de mayo de 2022, actividad realizada en conjunto con IDIGER, Bomberos, Ejército, Alcaldía Local, Secretaría de movilidad UAESP se realizó ritual despedida con la comunidad asistente como parte de la vinculación incluyente en el manejo de coberturas vegetales en el D.C.</v>
      </c>
      <c r="N2778" s="55">
        <f ca="1">IFERROR(__xludf.DUMMYFUNCTION("""COMPUTED_VALUE"""),44742)</f>
        <v>44742</v>
      </c>
      <c r="O2778" s="25" t="str">
        <f t="shared" ca="1" si="0"/>
        <v>Secretaría Distrital de Ambiente</v>
      </c>
      <c r="P2778" s="25" t="str">
        <f t="shared" si="2"/>
        <v/>
      </c>
      <c r="Q2778" s="25" t="str">
        <f ca="1">IFERROR(__xludf.DUMMYFUNCTION("""COMPUTED_VALUE"""),"Corto plazo")</f>
        <v>Corto plazo</v>
      </c>
      <c r="R2778" s="25"/>
      <c r="S2778" s="55"/>
      <c r="T2778" s="56"/>
      <c r="U2778" s="25"/>
      <c r="V2778" s="25"/>
      <c r="W2778" s="25"/>
      <c r="X2778" s="25"/>
      <c r="Y2778" s="25"/>
      <c r="Z2778" s="25"/>
    </row>
    <row r="2779" spans="1:26" ht="52.5" customHeight="1" x14ac:dyDescent="0.25">
      <c r="A2779" s="25" t="str">
        <f ca="1">IFERROR(__xludf.DUMMYFUNCTION("""COMPUTED_VALUE"""),"Ambie77")</f>
        <v>Ambie77</v>
      </c>
      <c r="B2779" s="25" t="str">
        <f ca="1">IFERROR(__xludf.DUMMYFUNCTION("""COMPUTED_VALUE"""),"Recorrido Tunjuelito")</f>
        <v>Recorrido Tunjuelito</v>
      </c>
      <c r="C2779" s="55">
        <f ca="1">IFERROR(__xludf.DUMMYFUNCTION("""COMPUTED_VALUE"""),44686)</f>
        <v>44686</v>
      </c>
      <c r="D2779" s="25" t="str">
        <f ca="1">IFERROR(__xludf.DUMMYFUNCTION("""COMPUTED_VALUE"""),"Ambiente")</f>
        <v>Ambiente</v>
      </c>
      <c r="E2779" s="25" t="str">
        <f ca="1">IFERROR(__xludf.DUMMYFUNCTION("""COMPUTED_VALUE"""),"Jardín Botánico José Celestino Mutis")</f>
        <v>Jardín Botánico José Celestino Mutis</v>
      </c>
      <c r="F2779" s="25" t="str">
        <f ca="1">IFERROR(__xludf.DUMMYFUNCTION("""COMPUTED_VALUE"""),"Arborizar el nuevo paso peatonal de Meissen y mejorar iluminación.")</f>
        <v>Arborizar el nuevo paso peatonal de Meissen y mejorar iluminación.</v>
      </c>
      <c r="G2779" s="55" t="str">
        <f ca="1">IFERROR(__xludf.DUMMYFUNCTION("""COMPUTED_VALUE"""),"06. Tunjuelito")</f>
        <v>06. Tunjuelito</v>
      </c>
      <c r="H2779" s="55">
        <f ca="1">IFERROR(__xludf.DUMMYFUNCTION("""COMPUTED_VALUE"""),44716)</f>
        <v>44716</v>
      </c>
      <c r="I2779" s="25"/>
      <c r="J2779" s="55" t="str">
        <f ca="1">IFERROR(__xludf.DUMMYFUNCTION("""COMPUTED_VALUE"""),"Alta")</f>
        <v>Alta</v>
      </c>
      <c r="K2779" s="25">
        <f ca="1">IFERROR(__xludf.DUMMYFUNCTION("""COMPUTED_VALUE"""),30)</f>
        <v>30</v>
      </c>
      <c r="L2779" s="62">
        <f ca="1">IFERROR(__xludf.DUMMYFUNCTION("""COMPUTED_VALUE"""),44742)</f>
        <v>44742</v>
      </c>
      <c r="M2779" s="25" t="str">
        <f ca="1">IFERROR(__xludf.DUMMYFUNCTION("""COMPUTED_VALUE"""),"El JBB  realizó plantación de 5 individuos arbóreos de las especies Holly Liso 3 y de la especie Ligustrum 2 como respuesta a la solicitud de plantación realizada por la Unidad de Malla Vial (UMV) en la dirección en mención, se procedió a ubicar y trazar "&amp;"5 puntos debido a la interferencia con las redes eléctricas aéreas y a una malla de redes secas y húmedas en el suelo no se logró ubicar más puntos, se determinó que la UMV dispondría de los materiales, insumos, mano de Obra, trasporte y tierra, el JBB di"&amp;"spuso del material vegetal y la asesoría técnica, además de realizar el cargue y actualización SIGAU, la plantación se realizó el día 28 de Abril de 2022.
LA UAESP realizó la iluminación del paso peatonal a finales del mes de mayo de 2022.")</f>
        <v>El JBB  realizó plantación de 5 individuos arbóreos de las especies Holly Liso 3 y de la especie Ligustrum 2 como respuesta a la solicitud de plantación realizada por la Unidad de Malla Vial (UMV) en la dirección en mención, se procedió a ubicar y trazar 5 puntos debido a la interferencia con las redes eléctricas aéreas y a una malla de redes secas y húmedas en el suelo no se logró ubicar más puntos, se determinó que la UMV dispondría de los materiales, insumos, mano de Obra, trasporte y tierra, el JBB dispuso del material vegetal y la asesoría técnica, además de realizar el cargue y actualización SIGAU, la plantación se realizó el día 28 de Abril de 2022.
LA UAESP realizó la iluminación del paso peatonal a finales del mes de mayo de 2022.</v>
      </c>
      <c r="N2779" s="55">
        <f ca="1">IFERROR(__xludf.DUMMYFUNCTION("""COMPUTED_VALUE"""),44742)</f>
        <v>44742</v>
      </c>
      <c r="O2779" s="25" t="str">
        <f t="shared" ca="1" si="0"/>
        <v>Jardín Botánico José Celestino Mutis</v>
      </c>
      <c r="P2779" s="25" t="str">
        <f t="shared" si="2"/>
        <v/>
      </c>
      <c r="Q2779" s="25" t="str">
        <f ca="1">IFERROR(__xludf.DUMMYFUNCTION("""COMPUTED_VALUE"""),"Corto plazo")</f>
        <v>Corto plazo</v>
      </c>
      <c r="R2779" s="25"/>
      <c r="S2779" s="55"/>
      <c r="T2779" s="56"/>
      <c r="U2779" s="25"/>
      <c r="V2779" s="25"/>
      <c r="W2779" s="25"/>
      <c r="X2779" s="25"/>
      <c r="Y2779" s="25"/>
      <c r="Z2779" s="25"/>
    </row>
    <row r="2780" spans="1:26" ht="52.5" customHeight="1" x14ac:dyDescent="0.25">
      <c r="A2780" s="25" t="str">
        <f ca="1">IFERROR(__xludf.DUMMYFUNCTION("""COMPUTED_VALUE"""),"Ambie78")</f>
        <v>Ambie78</v>
      </c>
      <c r="B2780" s="25" t="str">
        <f ca="1">IFERROR(__xludf.DUMMYFUNCTION("""COMPUTED_VALUE"""),"Recorrido sendero Vivachá y Aguanoso")</f>
        <v>Recorrido sendero Vivachá y Aguanoso</v>
      </c>
      <c r="C2780" s="55">
        <f ca="1">IFERROR(__xludf.DUMMYFUNCTION("""COMPUTED_VALUE"""),44695)</f>
        <v>44695</v>
      </c>
      <c r="D2780" s="25" t="str">
        <f ca="1">IFERROR(__xludf.DUMMYFUNCTION("""COMPUTED_VALUE"""),"Ambiente")</f>
        <v>Ambiente</v>
      </c>
      <c r="E2780" s="25" t="str">
        <f ca="1">IFERROR(__xludf.DUMMYFUNCTION("""COMPUTED_VALUE"""),"Secretaría Distrital de Ambiente")</f>
        <v>Secretaría Distrital de Ambiente</v>
      </c>
      <c r="F2780" s="25" t="str">
        <f ca="1">IFERROR(__xludf.DUMMYFUNCTION("""COMPUTED_VALUE"""),"Tener un plan de los conectores ecosistémicos en el que se divide cada predio y se establecen zonas con responsabilidades de cada tramo para cada entidad específica.")</f>
        <v>Tener un plan de los conectores ecosistémicos en el que se divide cada predio y se establecen zonas con responsabilidades de cada tramo para cada entidad específica.</v>
      </c>
      <c r="G2780" s="25" t="str">
        <f ca="1">IFERROR(__xludf.DUMMYFUNCTION("""COMPUTED_VALUE"""),"99. Distrito")</f>
        <v>99. Distrito</v>
      </c>
      <c r="H2780" s="55">
        <f ca="1">IFERROR(__xludf.DUMMYFUNCTION("""COMPUTED_VALUE"""),44725)</f>
        <v>44725</v>
      </c>
      <c r="I2780" s="25"/>
      <c r="J2780" s="55" t="str">
        <f ca="1">IFERROR(__xludf.DUMMYFUNCTION("""COMPUTED_VALUE"""),"Alta")</f>
        <v>Alta</v>
      </c>
      <c r="K2780" s="25">
        <f ca="1">IFERROR(__xludf.DUMMYFUNCTION("""COMPUTED_VALUE"""),30)</f>
        <v>30</v>
      </c>
      <c r="L2780" s="62">
        <f ca="1">IFERROR(__xludf.DUMMYFUNCTION("""COMPUTED_VALUE"""),44890)</f>
        <v>44890</v>
      </c>
      <c r="M2780" s="25"/>
      <c r="N2780" s="55">
        <f ca="1">IFERROR(__xludf.DUMMYFUNCTION("""COMPUTED_VALUE"""),44890)</f>
        <v>44890</v>
      </c>
      <c r="O2780" s="25" t="str">
        <f t="shared" ca="1" si="0"/>
        <v>Secretaría Distrital de Ambiente</v>
      </c>
      <c r="P2780" s="25" t="str">
        <f t="shared" si="2"/>
        <v/>
      </c>
      <c r="Q2780" s="25" t="str">
        <f ca="1">IFERROR(__xludf.DUMMYFUNCTION("""COMPUTED_VALUE"""),"Corto plazo")</f>
        <v>Corto plazo</v>
      </c>
      <c r="R2780" s="25"/>
      <c r="S2780" s="55"/>
      <c r="T2780" s="56"/>
      <c r="U2780" s="25"/>
      <c r="V2780" s="25"/>
      <c r="W2780" s="25"/>
      <c r="X2780" s="25"/>
      <c r="Y2780" s="25"/>
      <c r="Z2780" s="25"/>
    </row>
    <row r="2781" spans="1:26" ht="52.5" customHeight="1" x14ac:dyDescent="0.25">
      <c r="A2781" s="25" t="str">
        <f ca="1">IFERROR(__xludf.DUMMYFUNCTION("""COMPUTED_VALUE"""),"Ambie79")</f>
        <v>Ambie79</v>
      </c>
      <c r="B2781" s="25" t="str">
        <f ca="1">IFERROR(__xludf.DUMMYFUNCTION("""COMPUTED_VALUE"""),"Modelo de residuos orgánicos")</f>
        <v>Modelo de residuos orgánicos</v>
      </c>
      <c r="C2781" s="55">
        <f ca="1">IFERROR(__xludf.DUMMYFUNCTION("""COMPUTED_VALUE"""),44782)</f>
        <v>44782</v>
      </c>
      <c r="D2781" s="25" t="str">
        <f ca="1">IFERROR(__xludf.DUMMYFUNCTION("""COMPUTED_VALUE"""),"Ambiente")</f>
        <v>Ambiente</v>
      </c>
      <c r="E2781" s="25" t="str">
        <f ca="1">IFERROR(__xludf.DUMMYFUNCTION("""COMPUTED_VALUE"""),"Secretaría Distrital de Ambiente")</f>
        <v>Secretaría Distrital de Ambiente</v>
      </c>
      <c r="F2781" s="25" t="str">
        <f ca="1">IFERROR(__xludf.DUMMYFUNCTION("""COMPUTED_VALUE"""),"Diseñar un formato estándar para que las entidades informen a las alcaldías locales sobre la publicidad a usar en cerramientos ")</f>
        <v xml:space="preserve">Diseñar un formato estándar para que las entidades informen a las alcaldías locales sobre la publicidad a usar en cerramientos </v>
      </c>
      <c r="G2781" s="25" t="str">
        <f ca="1">IFERROR(__xludf.DUMMYFUNCTION("""COMPUTED_VALUE"""),"99. Distrito")</f>
        <v>99. Distrito</v>
      </c>
      <c r="H2781" s="55">
        <f ca="1">IFERROR(__xludf.DUMMYFUNCTION("""COMPUTED_VALUE"""),44803)</f>
        <v>44803</v>
      </c>
      <c r="I2781" s="25"/>
      <c r="J2781" s="55" t="str">
        <f ca="1">IFERROR(__xludf.DUMMYFUNCTION("""COMPUTED_VALUE"""),"Alta")</f>
        <v>Alta</v>
      </c>
      <c r="K2781" s="25">
        <f ca="1">IFERROR(__xludf.DUMMYFUNCTION("""COMPUTED_VALUE"""),21)</f>
        <v>21</v>
      </c>
      <c r="L2781" s="62">
        <f ca="1">IFERROR(__xludf.DUMMYFUNCTION("""COMPUTED_VALUE"""),44890)</f>
        <v>44890</v>
      </c>
      <c r="M2781" s="25" t="str">
        <f ca="1">IFERROR(__xludf.DUMMYFUNCTION("""COMPUTED_VALUE"""),"Socialización de la normatividad de pendones de obra. 
Elaboración del formato estándar para remitir. 
Se puede cerrar el 15 de diciembre, cuando se tenga listo el formato estándar.")</f>
        <v>Socialización de la normatividad de pendones de obra. 
Elaboración del formato estándar para remitir. 
Se puede cerrar el 15 de diciembre, cuando se tenga listo el formato estándar.</v>
      </c>
      <c r="N2781" s="55">
        <f ca="1">IFERROR(__xludf.DUMMYFUNCTION("""COMPUTED_VALUE"""),44890)</f>
        <v>44890</v>
      </c>
      <c r="O2781" s="25" t="str">
        <f t="shared" ca="1" si="0"/>
        <v>Secretaría Distrital de Ambiente</v>
      </c>
      <c r="P2781" s="25" t="str">
        <f t="shared" si="2"/>
        <v/>
      </c>
      <c r="Q2781" s="25" t="str">
        <f ca="1">IFERROR(__xludf.DUMMYFUNCTION("""COMPUTED_VALUE"""),"Corto plazo")</f>
        <v>Corto plazo</v>
      </c>
      <c r="R2781" s="25"/>
      <c r="S2781" s="55"/>
      <c r="T2781" s="56"/>
      <c r="U2781" s="25"/>
      <c r="V2781" s="25"/>
      <c r="W2781" s="25"/>
      <c r="X2781" s="25"/>
      <c r="Y2781" s="25"/>
      <c r="Z2781" s="25"/>
    </row>
    <row r="2782" spans="1:26" ht="52.5" customHeight="1" x14ac:dyDescent="0.25">
      <c r="A2782" s="25" t="str">
        <f ca="1">IFERROR(__xludf.DUMMYFUNCTION("""COMPUTED_VALUE"""),"Ambie80")</f>
        <v>Ambie80</v>
      </c>
      <c r="B2782" s="25" t="str">
        <f ca="1">IFERROR(__xludf.DUMMYFUNCTION("""COMPUTED_VALUE"""),"Modelo de residuos orgánicos")</f>
        <v>Modelo de residuos orgánicos</v>
      </c>
      <c r="C2782" s="55">
        <f ca="1">IFERROR(__xludf.DUMMYFUNCTION("""COMPUTED_VALUE"""),44782)</f>
        <v>44782</v>
      </c>
      <c r="D2782" s="25" t="str">
        <f ca="1">IFERROR(__xludf.DUMMYFUNCTION("""COMPUTED_VALUE"""),"Ambiente")</f>
        <v>Ambiente</v>
      </c>
      <c r="E2782" s="25" t="str">
        <f ca="1">IFERROR(__xludf.DUMMYFUNCTION("""COMPUTED_VALUE"""),"Secretaría Distrital de Ambiente")</f>
        <v>Secretaría Distrital de Ambiente</v>
      </c>
      <c r="F2782" s="25" t="str">
        <f ca="1">IFERROR(__xludf.DUMMYFUNCTION("""COMPUTED_VALUE"""),"Presentar ante la Junta de Infraestructura Local los avances obtenidos y normatividad vigente sobre publicidad en cerramientos")</f>
        <v>Presentar ante la Junta de Infraestructura Local los avances obtenidos y normatividad vigente sobre publicidad en cerramientos</v>
      </c>
      <c r="G2782" s="25" t="str">
        <f ca="1">IFERROR(__xludf.DUMMYFUNCTION("""COMPUTED_VALUE"""),"99. Distrito")</f>
        <v>99. Distrito</v>
      </c>
      <c r="H2782" s="55">
        <f ca="1">IFERROR(__xludf.DUMMYFUNCTION("""COMPUTED_VALUE"""),44803)</f>
        <v>44803</v>
      </c>
      <c r="I2782" s="25"/>
      <c r="J2782" s="55" t="str">
        <f ca="1">IFERROR(__xludf.DUMMYFUNCTION("""COMPUTED_VALUE"""),"Alta")</f>
        <v>Alta</v>
      </c>
      <c r="K2782" s="25">
        <f ca="1">IFERROR(__xludf.DUMMYFUNCTION("""COMPUTED_VALUE"""),21)</f>
        <v>21</v>
      </c>
      <c r="L2782" s="62">
        <f ca="1">IFERROR(__xludf.DUMMYFUNCTION("""COMPUTED_VALUE"""),44890)</f>
        <v>44890</v>
      </c>
      <c r="M2782" s="25" t="str">
        <f ca="1">IFERROR(__xludf.DUMMYFUNCTION("""COMPUTED_VALUE"""),"Se socializa en el Concejo de Alcaldes Locales el 08.09.2022 los avances y procedimientos sobre publicidad en cerramientos de obra (pendones de obra)")</f>
        <v>Se socializa en el Concejo de Alcaldes Locales el 08.09.2022 los avances y procedimientos sobre publicidad en cerramientos de obra (pendones de obra)</v>
      </c>
      <c r="N2782" s="55">
        <f ca="1">IFERROR(__xludf.DUMMYFUNCTION("""COMPUTED_VALUE"""),44890)</f>
        <v>44890</v>
      </c>
      <c r="O2782" s="25" t="str">
        <f t="shared" ca="1" si="0"/>
        <v>Secretaría Distrital de Ambiente</v>
      </c>
      <c r="P2782" s="25" t="str">
        <f t="shared" si="2"/>
        <v/>
      </c>
      <c r="Q2782" s="25" t="str">
        <f ca="1">IFERROR(__xludf.DUMMYFUNCTION("""COMPUTED_VALUE"""),"Corto plazo")</f>
        <v>Corto plazo</v>
      </c>
      <c r="R2782" s="25"/>
      <c r="S2782" s="55"/>
      <c r="T2782" s="56"/>
      <c r="U2782" s="25"/>
      <c r="V2782" s="25"/>
      <c r="W2782" s="25"/>
      <c r="X2782" s="25"/>
      <c r="Y2782" s="25"/>
      <c r="Z2782" s="25"/>
    </row>
    <row r="2783" spans="1:26" ht="52.5" customHeight="1" x14ac:dyDescent="0.25">
      <c r="A2783" s="25" t="str">
        <f ca="1">IFERROR(__xludf.DUMMYFUNCTION("""COMPUTED_VALUE"""),"Ambie81")</f>
        <v>Ambie81</v>
      </c>
      <c r="B2783" s="25" t="str">
        <f ca="1">IFERROR(__xludf.DUMMYFUNCTION("""COMPUTED_VALUE"""),"Recorrido Usme")</f>
        <v>Recorrido Usme</v>
      </c>
      <c r="C2783" s="55">
        <f ca="1">IFERROR(__xludf.DUMMYFUNCTION("""COMPUTED_VALUE"""),44798)</f>
        <v>44798</v>
      </c>
      <c r="D2783" s="25" t="str">
        <f ca="1">IFERROR(__xludf.DUMMYFUNCTION("""COMPUTED_VALUE"""),"Ambiente")</f>
        <v>Ambiente</v>
      </c>
      <c r="E2783" s="25" t="str">
        <f ca="1">IFERROR(__xludf.DUMMYFUNCTION("""COMPUTED_VALUE"""),"Secretaría Distrital de Ambiente")</f>
        <v>Secretaría Distrital de Ambiente</v>
      </c>
      <c r="F2783" s="25" t="str">
        <f ca="1">IFERROR(__xludf.DUMMYFUNCTION("""COMPUTED_VALUE"""),"Reubicar los refugios y viviendas informales asentadas en las reservas forestales de Usme")</f>
        <v>Reubicar los refugios y viviendas informales asentadas en las reservas forestales de Usme</v>
      </c>
      <c r="G2783" s="25" t="str">
        <f ca="1">IFERROR(__xludf.DUMMYFUNCTION("""COMPUTED_VALUE"""),"05. Usme")</f>
        <v>05. Usme</v>
      </c>
      <c r="H2783" s="55">
        <f ca="1">IFERROR(__xludf.DUMMYFUNCTION("""COMPUTED_VALUE"""),44828)</f>
        <v>44828</v>
      </c>
      <c r="I2783" s="25"/>
      <c r="J2783" s="55" t="str">
        <f ca="1">IFERROR(__xludf.DUMMYFUNCTION("""COMPUTED_VALUE"""),"Alta")</f>
        <v>Alta</v>
      </c>
      <c r="K2783" s="25">
        <f ca="1">IFERROR(__xludf.DUMMYFUNCTION("""COMPUTED_VALUE"""),30)</f>
        <v>30</v>
      </c>
      <c r="L2783" s="62">
        <f ca="1">IFERROR(__xludf.DUMMYFUNCTION("""COMPUTED_VALUE"""),44890)</f>
        <v>44890</v>
      </c>
      <c r="M2783" s="25" t="str">
        <f ca="1">IFERROR(__xludf.DUMMYFUNCTION("""COMPUTED_VALUE"""),"En el mes de octubre la SDA suministró insumos técnicos relativos a los ajustes del concepto técnico que se viene adelantando desde la Secretaría Distrital del Hábitat en relación al plan de acción para la implementación del Programa de Atención Integral "&amp;"PAIMIS; como resultado general, se exponen los diferentes criterios a tener en cuenta según la tipología de las ocupaciones a considerar para la reubicación. Se realizaron recorridos de seguimiento y monitoreo en el sector Villa Diana en la cuchilla del G"&amp;"avilán donde se encuentra el predio de ID 71 del sector Tocaimita. Así mismo, se realizó recorrido en el polígono ""Los Puentes"" el día 05 de octubre de 2022, en conjunto con Secretaria Distrital de Hábitat, Alcaldía Local de Rafael Uribe Uribe y Secreta"&amp;"ria Distrital de Ambiente. 
Por otro lado, se mantuvo comunicación constante con las Alcaldías locales de Rafael Uribe Uribe y Usme, con quienes se está llevando a cabo mesas de trabajo técnicas para la solución articulada de vacíos o dificultades en los "&amp;"procesos de atención a las ocupaciones informales.")</f>
        <v>En el mes de octubre la SDA suministró insumos técnicos relativos a los ajustes del concepto técnico que se viene adelantando desde la Secretaría Distrital del Hábitat en relación al plan de acción para la implementación del Programa de Atención Integral PAIMIS; como resultado general, se exponen los diferentes criterios a tener en cuenta según la tipología de las ocupaciones a considerar para la reubicación. Se realizaron recorridos de seguimiento y monitoreo en el sector Villa Diana en la cuchilla del Gavilán donde se encuentra el predio de ID 71 del sector Tocaimita. Así mismo, se realizó recorrido en el polígono "Los Puentes" el día 05 de octubre de 2022, en conjunto con Secretaria Distrital de Hábitat, Alcaldía Local de Rafael Uribe Uribe y Secretaria Distrital de Ambiente. 
Por otro lado, se mantuvo comunicación constante con las Alcaldías locales de Rafael Uribe Uribe y Usme, con quienes se está llevando a cabo mesas de trabajo técnicas para la solución articulada de vacíos o dificultades en los procesos de atención a las ocupaciones informales.</v>
      </c>
      <c r="N2783" s="55">
        <f ca="1">IFERROR(__xludf.DUMMYFUNCTION("""COMPUTED_VALUE"""),44890)</f>
        <v>44890</v>
      </c>
      <c r="O2783" s="25" t="str">
        <f t="shared" ca="1" si="0"/>
        <v>Secretaría Distrital de Ambiente</v>
      </c>
      <c r="P2783" s="25" t="str">
        <f t="shared" si="2"/>
        <v/>
      </c>
      <c r="Q2783" s="25" t="str">
        <f ca="1">IFERROR(__xludf.DUMMYFUNCTION("""COMPUTED_VALUE"""),"Corto plazo")</f>
        <v>Corto plazo</v>
      </c>
      <c r="R2783" s="25"/>
      <c r="S2783" s="55"/>
      <c r="T2783" s="56"/>
      <c r="U2783" s="25"/>
      <c r="V2783" s="25"/>
      <c r="W2783" s="25"/>
      <c r="X2783" s="25"/>
      <c r="Y2783" s="25"/>
      <c r="Z2783" s="25"/>
    </row>
    <row r="2784" spans="1:26" ht="52.5" customHeight="1" x14ac:dyDescent="0.25">
      <c r="A2784" s="25" t="str">
        <f ca="1">IFERROR(__xludf.DUMMYFUNCTION("""COMPUTED_VALUE"""),"Ambie82")</f>
        <v>Ambie82</v>
      </c>
      <c r="B2784" s="25" t="str">
        <f ca="1">IFERROR(__xludf.DUMMYFUNCTION("""COMPUTED_VALUE"""),"Comité gestión de riesgos")</f>
        <v>Comité gestión de riesgos</v>
      </c>
      <c r="C2784" s="55">
        <f ca="1">IFERROR(__xludf.DUMMYFUNCTION("""COMPUTED_VALUE"""),44824)</f>
        <v>44824</v>
      </c>
      <c r="D2784" s="25" t="str">
        <f ca="1">IFERROR(__xludf.DUMMYFUNCTION("""COMPUTED_VALUE"""),"Ambiente")</f>
        <v>Ambiente</v>
      </c>
      <c r="E2784" s="25" t="str">
        <f ca="1">IFERROR(__xludf.DUMMYFUNCTION("""COMPUTED_VALUE"""),"Instituto Distrital de Gestión de Riesgos y Cambio Climático")</f>
        <v>Instituto Distrital de Gestión de Riesgos y Cambio Climático</v>
      </c>
      <c r="F2784" s="25" t="str">
        <f ca="1">IFERROR(__xludf.DUMMYFUNCTION("""COMPUTED_VALUE"""),"Presentar el monitoreo que le realiza el IDIGER al Río Bogotá y dejarlo de fácil acceso a la ciudadanía. ")</f>
        <v xml:space="preserve">Presentar el monitoreo que le realiza el IDIGER al Río Bogotá y dejarlo de fácil acceso a la ciudadanía. </v>
      </c>
      <c r="G2784" s="25" t="str">
        <f ca="1">IFERROR(__xludf.DUMMYFUNCTION("""COMPUTED_VALUE"""),"99. Distrito")</f>
        <v>99. Distrito</v>
      </c>
      <c r="H2784" s="55">
        <f ca="1">IFERROR(__xludf.DUMMYFUNCTION("""COMPUTED_VALUE"""),44854)</f>
        <v>44854</v>
      </c>
      <c r="I2784" s="25"/>
      <c r="J2784" s="55" t="str">
        <f ca="1">IFERROR(__xludf.DUMMYFUNCTION("""COMPUTED_VALUE"""),"Alta")</f>
        <v>Alta</v>
      </c>
      <c r="K2784" s="25">
        <f ca="1">IFERROR(__xludf.DUMMYFUNCTION("""COMPUTED_VALUE"""),30)</f>
        <v>30</v>
      </c>
      <c r="L2784" s="62">
        <f ca="1">IFERROR(__xludf.DUMMYFUNCTION("""COMPUTED_VALUE"""),44890)</f>
        <v>44890</v>
      </c>
      <c r="M2784" s="25" t="str">
        <f ca="1">IFERROR(__xludf.DUMMYFUNCTION("""COMPUTED_VALUE"""),"La información de los niveles del río Bogotá en tiempo real que monitorea el IDIGER es a partir de 4 estaciones hidrológicas propias y 3 estaciones de la EAAB, información que se encuentra disponible en la página web del IDIGER en el SAB:  https://app.sab"&amp;".gov.co/sab/niveles.htm, allí se puede consultar, para cada estación el borde libre de desbordamiento y la variación de los niveles en los últimos siete días, la cual está disponible las 24 horas al día durante los 7 días de la semana. Adicionalmente se c"&amp;"uenta también con el Visor de puntos críticos de monitoreo del Río Bogota, disponible en la web: https://www.idiger.gov.co/rinundacion")</f>
        <v>La información de los niveles del río Bogotá en tiempo real que monitorea el IDIGER es a partir de 4 estaciones hidrológicas propias y 3 estaciones de la EAAB, información que se encuentra disponible en la página web del IDIGER en el SAB:  https://app.sab.gov.co/sab/niveles.htm, allí se puede consultar, para cada estación el borde libre de desbordamiento y la variación de los niveles en los últimos siete días, la cual está disponible las 24 horas al día durante los 7 días de la semana. Adicionalmente se cuenta también con el Visor de puntos críticos de monitoreo del Río Bogota, disponible en la web: https://www.idiger.gov.co/rinundacion</v>
      </c>
      <c r="N2784" s="55">
        <f ca="1">IFERROR(__xludf.DUMMYFUNCTION("""COMPUTED_VALUE"""),44890)</f>
        <v>44890</v>
      </c>
      <c r="O2784" s="25" t="str">
        <f t="shared" ca="1" si="0"/>
        <v>Instituto Distrital de Gestión de Riesgos y Cambio Climático</v>
      </c>
      <c r="P2784" s="25" t="str">
        <f t="shared" si="2"/>
        <v/>
      </c>
      <c r="Q2784" s="25" t="str">
        <f ca="1">IFERROR(__xludf.DUMMYFUNCTION("""COMPUTED_VALUE"""),"Corto plazo")</f>
        <v>Corto plazo</v>
      </c>
      <c r="R2784" s="25"/>
      <c r="S2784" s="55"/>
      <c r="T2784" s="56"/>
      <c r="U2784" s="25"/>
      <c r="V2784" s="25"/>
      <c r="W2784" s="25"/>
      <c r="X2784" s="25"/>
      <c r="Y2784" s="25"/>
      <c r="Z2784" s="25"/>
    </row>
    <row r="2785" spans="1:26" ht="52.5" customHeight="1" x14ac:dyDescent="0.25">
      <c r="A2785" s="25" t="str">
        <f ca="1">IFERROR(__xludf.DUMMYFUNCTION("""COMPUTED_VALUE"""),"Ambie83")</f>
        <v>Ambie83</v>
      </c>
      <c r="B2785" s="25" t="str">
        <f ca="1">IFERROR(__xludf.DUMMYFUNCTION("""COMPUTED_VALUE"""),"Comité gestión de riesgos")</f>
        <v>Comité gestión de riesgos</v>
      </c>
      <c r="C2785" s="55">
        <f ca="1">IFERROR(__xludf.DUMMYFUNCTION("""COMPUTED_VALUE"""),44824)</f>
        <v>44824</v>
      </c>
      <c r="D2785" s="25" t="str">
        <f ca="1">IFERROR(__xludf.DUMMYFUNCTION("""COMPUTED_VALUE"""),"Ambiente")</f>
        <v>Ambiente</v>
      </c>
      <c r="E2785" s="25" t="str">
        <f ca="1">IFERROR(__xludf.DUMMYFUNCTION("""COMPUTED_VALUE"""),"Instituto Distrital de Gestión de Riesgos y Cambio Climático")</f>
        <v>Instituto Distrital de Gestión de Riesgos y Cambio Climático</v>
      </c>
      <c r="F2785" s="25" t="str">
        <f ca="1">IFERROR(__xludf.DUMMYFUNCTION("""COMPUTED_VALUE"""),"Identificar cuántas familias puedan ser reubicadas, afectadas, kits o necesiten acceder a subsidios de arriendo solidario a raíz de la segunda temporada de lluvias. En cifras con el fin de que pueda ser agregado al FONDIGER")</f>
        <v>Identificar cuántas familias puedan ser reubicadas, afectadas, kits o necesiten acceder a subsidios de arriendo solidario a raíz de la segunda temporada de lluvias. En cifras con el fin de que pueda ser agregado al FONDIGER</v>
      </c>
      <c r="G2785" s="25" t="str">
        <f ca="1">IFERROR(__xludf.DUMMYFUNCTION("""COMPUTED_VALUE"""),"99. Distrito")</f>
        <v>99. Distrito</v>
      </c>
      <c r="H2785" s="55">
        <f ca="1">IFERROR(__xludf.DUMMYFUNCTION("""COMPUTED_VALUE"""),44854)</f>
        <v>44854</v>
      </c>
      <c r="I2785" s="25"/>
      <c r="J2785" s="55" t="str">
        <f ca="1">IFERROR(__xludf.DUMMYFUNCTION("""COMPUTED_VALUE"""),"Alta")</f>
        <v>Alta</v>
      </c>
      <c r="K2785" s="25">
        <f ca="1">IFERROR(__xludf.DUMMYFUNCTION("""COMPUTED_VALUE"""),30)</f>
        <v>30</v>
      </c>
      <c r="L2785" s="62">
        <f ca="1">IFERROR(__xludf.DUMMYFUNCTION("""COMPUTED_VALUE"""),44890)</f>
        <v>44890</v>
      </c>
      <c r="M2785" s="25" t="str">
        <f ca="1">IFERROR(__xludf.DUMMYFUNCTION("""COMPUTED_VALUE"""),"Informe presentado en la sesión del Consejo Distrital para la Gestión de Riesgos y Cambio Climático del pasado 07 de octubre del 2022")</f>
        <v>Informe presentado en la sesión del Consejo Distrital para la Gestión de Riesgos y Cambio Climático del pasado 07 de octubre del 2022</v>
      </c>
      <c r="N2785" s="55">
        <f ca="1">IFERROR(__xludf.DUMMYFUNCTION("""COMPUTED_VALUE"""),44890)</f>
        <v>44890</v>
      </c>
      <c r="O2785" s="25" t="str">
        <f t="shared" ca="1" si="0"/>
        <v>Instituto Distrital de Gestión de Riesgos y Cambio Climático</v>
      </c>
      <c r="P2785" s="25" t="str">
        <f t="shared" si="2"/>
        <v/>
      </c>
      <c r="Q2785" s="25" t="str">
        <f ca="1">IFERROR(__xludf.DUMMYFUNCTION("""COMPUTED_VALUE"""),"Corto plazo")</f>
        <v>Corto plazo</v>
      </c>
      <c r="R2785" s="25"/>
      <c r="S2785" s="55"/>
      <c r="T2785" s="56"/>
      <c r="U2785" s="25"/>
      <c r="V2785" s="25"/>
      <c r="W2785" s="25"/>
      <c r="X2785" s="25"/>
      <c r="Y2785" s="25"/>
      <c r="Z2785" s="25"/>
    </row>
    <row r="2786" spans="1:26" ht="52.5" customHeight="1" x14ac:dyDescent="0.25">
      <c r="A2786" s="25" t="str">
        <f ca="1">IFERROR(__xludf.DUMMYFUNCTION("""COMPUTED_VALUE"""),"Ambie84")</f>
        <v>Ambie84</v>
      </c>
      <c r="B2786" s="25" t="str">
        <f ca="1">IFERROR(__xludf.DUMMYFUNCTION("""COMPUTED_VALUE"""),"Despachando Secretaría de Ambiente ")</f>
        <v xml:space="preserve">Despachando Secretaría de Ambiente </v>
      </c>
      <c r="C2786" s="55">
        <f ca="1">IFERROR(__xludf.DUMMYFUNCTION("""COMPUTED_VALUE"""),44831)</f>
        <v>44831</v>
      </c>
      <c r="D2786" s="25" t="str">
        <f ca="1">IFERROR(__xludf.DUMMYFUNCTION("""COMPUTED_VALUE"""),"Ambiente")</f>
        <v>Ambiente</v>
      </c>
      <c r="E2786" s="25" t="str">
        <f ca="1">IFERROR(__xludf.DUMMYFUNCTION("""COMPUTED_VALUE"""),"Secretaría Distrital de Ambiente")</f>
        <v>Secretaría Distrital de Ambiente</v>
      </c>
      <c r="F2786" s="25" t="str">
        <f ca="1">IFERROR(__xludf.DUMMYFUNCTION("""COMPUTED_VALUE"""),"Sacar un programa/campaña que incentive a los y las bogotanas a caminar los conectores ecosistémicos de la ciudad. Hay 5 de ellos. ")</f>
        <v xml:space="preserve">Sacar un programa/campaña que incentive a los y las bogotanas a caminar los conectores ecosistémicos de la ciudad. Hay 5 de ellos. </v>
      </c>
      <c r="G2786" s="25" t="str">
        <f ca="1">IFERROR(__xludf.DUMMYFUNCTION("""COMPUTED_VALUE"""),"99. Distrito")</f>
        <v>99. Distrito</v>
      </c>
      <c r="H2786" s="55">
        <f ca="1">IFERROR(__xludf.DUMMYFUNCTION("""COMPUTED_VALUE"""),44861)</f>
        <v>44861</v>
      </c>
      <c r="I2786" s="25"/>
      <c r="J2786" s="55" t="str">
        <f ca="1">IFERROR(__xludf.DUMMYFUNCTION("""COMPUTED_VALUE"""),"Alta")</f>
        <v>Alta</v>
      </c>
      <c r="K2786" s="25">
        <f ca="1">IFERROR(__xludf.DUMMYFUNCTION("""COMPUTED_VALUE"""),30)</f>
        <v>30</v>
      </c>
      <c r="L2786" s="62">
        <f ca="1">IFERROR(__xludf.DUMMYFUNCTION("""COMPUTED_VALUE"""),44890)</f>
        <v>44890</v>
      </c>
      <c r="M2786" s="25" t="str">
        <f ca="1">IFERROR(__xludf.DUMMYFUNCTION("""COMPUTED_VALUE"""),"OPEL: En el marco de sus funciones y misionalidad desarrolla caminatas ecológicas en 64 rutas para diferentes grupos poblacionales a través de gestión y demanda de manera mensual con inscripción por la página web. Estas caminatas propenden por el reconoci"&amp;"miento y la apropiación del territorio, 
Así mismo, se ejecutaron recorridos de interpretación en las aulas ambientales Parque Distrital Ecológico de Montaña Soratama, Mirador de Los Nevados, Entre Nubes y Juan Rey, así como en la Reserva Distrital de Hum"&amp;"edal Santa María del Lago Los con ciudadanía del Distrito Capital, instituciones educativas públicas y privadas, empresas, organizaciones y comunidad general.
JBB
Reporte del JBB: Entre los meses de enero y septiembre se reportaron 116 recorridos en terri"&amp;"torio como acciones de apropiación para el fortalecimiento de la gestión de la ciudadanía en sus espacios y localidades. En estas actividades se reportaron 2629 personas.
Dentro de las rutas adelantadas se encuentran: 
* La piedra del amor - ruta ambient"&amp;"al en Rafael Uribe Uribe
* Ruta de interpretación ambiental Sauzalito - con comité ambiental Asosalitre, Localidad de Fontibón.
* Recorridos de reconocimiento de coberturas vegetales en distintas localidades.
* Recorridos de identificación de árboles pote"&amp;"nciales para traslado, corredor Calle 68
* Recorrido Río Tunjuelo con Red de cuidadores. Class - Tingua Azul
Adicionalmente el Jardín Botánico participa en el convenio de caminos de los cerros orientales en el que se invita a la ciudadanía a conocer los "&amp;"caminos ancestrales con un enfoque pedagógico y de conservación. En este convenio el Jardín está a cargo de la operación del Camino Vicachá/San Francisco, con el cual adelanta un proceso de participación mediante la conformación de una red de cuidadoras y"&amp;" cuidadores y el desarrollo de acciones de apropiación.")</f>
        <v>OPEL: En el marco de sus funciones y misionalidad desarrolla caminatas ecológicas en 64 rutas para diferentes grupos poblacionales a través de gestión y demanda de manera mensual con inscripción por la página web. Estas caminatas propenden por el reconocimiento y la apropiación del territorio, 
Así mismo, se ejecutaron recorridos de interpretación en las aulas ambientales Parque Distrital Ecológico de Montaña Soratama, Mirador de Los Nevados, Entre Nubes y Juan Rey, así como en la Reserva Distrital de Humedal Santa María del Lago Los con ciudadanía del Distrito Capital, instituciones educativas públicas y privadas, empresas, organizaciones y comunidad general.
JBB
Reporte del JBB: Entre los meses de enero y septiembre se reportaron 116 recorridos en territorio como acciones de apropiación para el fortalecimiento de la gestión de la ciudadanía en sus espacios y localidades. En estas actividades se reportaron 2629 personas.
Dentro de las rutas adelantadas se encuentran: 
* La piedra del amor - ruta ambiental en Rafael Uribe Uribe
* Ruta de interpretación ambiental Sauzalito - con comité ambiental Asosalitre, Localidad de Fontibón.
* Recorridos de reconocimiento de coberturas vegetales en distintas localidades.
* Recorridos de identificación de árboles potenciales para traslado, corredor Calle 68
* Recorrido Río Tunjuelo con Red de cuidadores. Class - Tingua Azul
Adicionalmente el Jardín Botánico participa en el convenio de caminos de los cerros orientales en el que se invita a la ciudadanía a conocer los caminos ancestrales con un enfoque pedagógico y de conservación. En este convenio el Jardín está a cargo de la operación del Camino Vicachá/San Francisco, con el cual adelanta un proceso de participación mediante la conformación de una red de cuidadoras y cuidadores y el desarrollo de acciones de apropiación.</v>
      </c>
      <c r="N2786" s="55">
        <f ca="1">IFERROR(__xludf.DUMMYFUNCTION("""COMPUTED_VALUE"""),44890)</f>
        <v>44890</v>
      </c>
      <c r="O2786" s="25" t="str">
        <f t="shared" ca="1" si="0"/>
        <v>Secretaría Distrital de Ambiente</v>
      </c>
      <c r="P2786" s="25" t="str">
        <f t="shared" si="2"/>
        <v/>
      </c>
      <c r="Q2786" s="25" t="str">
        <f ca="1">IFERROR(__xludf.DUMMYFUNCTION("""COMPUTED_VALUE"""),"Corto plazo")</f>
        <v>Corto plazo</v>
      </c>
      <c r="R2786" s="25"/>
      <c r="S2786" s="55"/>
      <c r="T2786" s="56"/>
      <c r="U2786" s="25"/>
      <c r="V2786" s="25"/>
      <c r="W2786" s="25"/>
      <c r="X2786" s="25"/>
      <c r="Y2786" s="25"/>
      <c r="Z2786" s="25"/>
    </row>
    <row r="2787" spans="1:26" ht="52.5" customHeight="1" x14ac:dyDescent="0.25">
      <c r="A2787" s="25" t="str">
        <f ca="1">IFERROR(__xludf.DUMMYFUNCTION("""COMPUTED_VALUE"""),"Ambie85")</f>
        <v>Ambie85</v>
      </c>
      <c r="B2787" s="25" t="str">
        <f ca="1">IFERROR(__xludf.DUMMYFUNCTION("""COMPUTED_VALUE"""),"Despachando Secretaría de Ambiente ")</f>
        <v xml:space="preserve">Despachando Secretaría de Ambiente </v>
      </c>
      <c r="C2787" s="55">
        <f ca="1">IFERROR(__xludf.DUMMYFUNCTION("""COMPUTED_VALUE"""),44831)</f>
        <v>44831</v>
      </c>
      <c r="D2787" s="25" t="str">
        <f ca="1">IFERROR(__xludf.DUMMYFUNCTION("""COMPUTED_VALUE"""),"Ambiente")</f>
        <v>Ambiente</v>
      </c>
      <c r="E2787" s="25" t="str">
        <f ca="1">IFERROR(__xludf.DUMMYFUNCTION("""COMPUTED_VALUE"""),"Secretaría Distrital de Ambiente")</f>
        <v>Secretaría Distrital de Ambiente</v>
      </c>
      <c r="F2787" s="25" t="str">
        <f ca="1">IFERROR(__xludf.DUMMYFUNCTION("""COMPUTED_VALUE"""),"Crear una campaña de cultura de restauración de la reserva Thomas van der Hammen a 50 años que contenga jornadas de reforestación, cuidado, socialización con la ciudadanía, etc. ")</f>
        <v xml:space="preserve">Crear una campaña de cultura de restauración de la reserva Thomas van der Hammen a 50 años que contenga jornadas de reforestación, cuidado, socialización con la ciudadanía, etc. </v>
      </c>
      <c r="G2787" s="25" t="str">
        <f ca="1">IFERROR(__xludf.DUMMYFUNCTION("""COMPUTED_VALUE"""),"99. Distrito")</f>
        <v>99. Distrito</v>
      </c>
      <c r="H2787" s="55">
        <f ca="1">IFERROR(__xludf.DUMMYFUNCTION("""COMPUTED_VALUE"""),44861)</f>
        <v>44861</v>
      </c>
      <c r="I2787" s="25"/>
      <c r="J2787" s="55" t="str">
        <f ca="1">IFERROR(__xludf.DUMMYFUNCTION("""COMPUTED_VALUE"""),"Alta")</f>
        <v>Alta</v>
      </c>
      <c r="K2787" s="25">
        <f ca="1">IFERROR(__xludf.DUMMYFUNCTION("""COMPUTED_VALUE"""),30)</f>
        <v>30</v>
      </c>
      <c r="L2787" s="62">
        <f ca="1">IFERROR(__xludf.DUMMYFUNCTION("""COMPUTED_VALUE"""),44890)</f>
        <v>44890</v>
      </c>
      <c r="M2787" s="25" t="str">
        <f ca="1">IFERROR(__xludf.DUMMYFUNCTION("""COMPUTED_VALUE"""),"OPEL: Desde el equipo de educación ambiental por territorios, en el marco de la articulación con la SER y el proceso de acuerdos de conservación,  se realizó una jornada con el Colegio Alfonso Jaramillo el día 03 de Nov 2022. en la Reserva Thomas Van der "&amp;"Hammer, con estudiantes de sexto a once, trabajando temáticas de cuidado y conservación de la reserva, separación y manejo de residuos, entre otros aspectos del territorio.  
JBB
El Jardín Botánico viene implementando, mediante la articulación de sus dife"&amp;"rentes áreas misionales, el Centro de pensamiento ambiental como una estrategia de restauración ecológica, educación ambiental, cambio cultural y participación ciudadana visibilizando la importancia de la reserva como un referente ecosistémico y cultural "&amp;"de la ciudad.
En el marco de la estrategia se han realizado plantaciones con comunidad, visitas, recorridos, jornadas de diálogo y espacios de encuentro e intercambio que permitan visibilizar la reserva.
En las jornadas han participado la Universidad Di"&amp;"strital, Colegios del Sector, Grupos Ambientales de Suba, entre otros.
Para el mes de noviembre se proyecta la organización de una jornada de intercambio de experiencias para la conformación del centro de pensamiento, además se vienen desarrollando estra"&amp;"tegias de corredores de polinizadores teniendo como base los aportes de la reserva como espacio ecosistémico y de investigación ambiental.")</f>
        <v>OPEL: Desde el equipo de educación ambiental por territorios, en el marco de la articulación con la SER y el proceso de acuerdos de conservación,  se realizó una jornada con el Colegio Alfonso Jaramillo el día 03 de Nov 2022. en la Reserva Thomas Van der Hammer, con estudiantes de sexto a once, trabajando temáticas de cuidado y conservación de la reserva, separación y manejo de residuos, entre otros aspectos del territorio.  
JBB
El Jardín Botánico viene implementando, mediante la articulación de sus diferentes áreas misionales, el Centro de pensamiento ambiental como una estrategia de restauración ecológica, educación ambiental, cambio cultural y participación ciudadana visibilizando la importancia de la reserva como un referente ecosistémico y cultural de la ciudad.
En el marco de la estrategia se han realizado plantaciones con comunidad, visitas, recorridos, jornadas de diálogo y espacios de encuentro e intercambio que permitan visibilizar la reserva.
En las jornadas han participado la Universidad Distrital, Colegios del Sector, Grupos Ambientales de Suba, entre otros.
Para el mes de noviembre se proyecta la organización de una jornada de intercambio de experiencias para la conformación del centro de pensamiento, además se vienen desarrollando estrategias de corredores de polinizadores teniendo como base los aportes de la reserva como espacio ecosistémico y de investigación ambiental.</v>
      </c>
      <c r="N2787" s="55">
        <f ca="1">IFERROR(__xludf.DUMMYFUNCTION("""COMPUTED_VALUE"""),44890)</f>
        <v>44890</v>
      </c>
      <c r="O2787" s="25" t="str">
        <f t="shared" ca="1" si="0"/>
        <v>Secretaría Distrital de Ambiente</v>
      </c>
      <c r="P2787" s="25" t="str">
        <f t="shared" si="2"/>
        <v/>
      </c>
      <c r="Q2787" s="25" t="str">
        <f ca="1">IFERROR(__xludf.DUMMYFUNCTION("""COMPUTED_VALUE"""),"Corto plazo")</f>
        <v>Corto plazo</v>
      </c>
      <c r="R2787" s="25"/>
      <c r="S2787" s="55"/>
      <c r="T2787" s="56"/>
      <c r="U2787" s="25"/>
      <c r="V2787" s="25"/>
      <c r="W2787" s="25"/>
      <c r="X2787" s="25"/>
      <c r="Y2787" s="25"/>
      <c r="Z2787" s="25"/>
    </row>
    <row r="2788" spans="1:26" ht="52.5" customHeight="1" x14ac:dyDescent="0.25">
      <c r="A2788" s="25" t="str">
        <f ca="1">IFERROR(__xludf.DUMMYFUNCTION("""COMPUTED_VALUE"""),"Ambie86")</f>
        <v>Ambie86</v>
      </c>
      <c r="B2788" s="25" t="str">
        <f ca="1">IFERROR(__xludf.DUMMYFUNCTION("""COMPUTED_VALUE"""),"Recorrido Sumapaz")</f>
        <v>Recorrido Sumapaz</v>
      </c>
      <c r="C2788" s="55" t="str">
        <f ca="1">IFERROR(__xludf.DUMMYFUNCTION("""COMPUTED_VALUE"""),"04/12/2020")</f>
        <v>04/12/2020</v>
      </c>
      <c r="D2788" s="25" t="str">
        <f ca="1">IFERROR(__xludf.DUMMYFUNCTION("""COMPUTED_VALUE"""),"Ambiente")</f>
        <v>Ambiente</v>
      </c>
      <c r="E2788" s="25" t="str">
        <f ca="1">IFERROR(__xludf.DUMMYFUNCTION("""COMPUTED_VALUE"""),"Secretaría Distrital de Ambiente")</f>
        <v>Secretaría Distrital de Ambiente</v>
      </c>
      <c r="F2788" s="25" t="str">
        <f ca="1">IFERROR(__xludf.DUMMYFUNCTION("""COMPUTED_VALUE"""),"Adelantar audiencia pública delimitación del paramo ")</f>
        <v xml:space="preserve">Adelantar audiencia pública delimitación del paramo </v>
      </c>
      <c r="G2788" s="55" t="str">
        <f ca="1">IFERROR(__xludf.DUMMYFUNCTION("""COMPUTED_VALUE"""),"20. Sumapaz")</f>
        <v>20. Sumapaz</v>
      </c>
      <c r="H2788" s="55">
        <f ca="1">IFERROR(__xludf.DUMMYFUNCTION("""COMPUTED_VALUE"""),44199)</f>
        <v>44199</v>
      </c>
      <c r="I2788" s="25"/>
      <c r="J2788" s="55" t="str">
        <f ca="1">IFERROR(__xludf.DUMMYFUNCTION("""COMPUTED_VALUE"""),"Alta")</f>
        <v>Alta</v>
      </c>
      <c r="K2788" s="25">
        <f ca="1">IFERROR(__xludf.DUMMYFUNCTION("""COMPUTED_VALUE"""),30)</f>
        <v>30</v>
      </c>
      <c r="L2788" s="62"/>
      <c r="M2788" s="25"/>
      <c r="N2788" s="55">
        <f ca="1">IFERROR(__xludf.DUMMYFUNCTION("""COMPUTED_VALUE"""),44927)</f>
        <v>44927</v>
      </c>
      <c r="O2788" s="25" t="str">
        <f t="shared" ca="1" si="0"/>
        <v>Secretaría Distrital de Ambiente</v>
      </c>
      <c r="P2788" s="25" t="str">
        <f t="shared" si="2"/>
        <v/>
      </c>
      <c r="Q2788" s="25" t="str">
        <f ca="1">IFERROR(__xludf.DUMMYFUNCTION("""COMPUTED_VALUE"""),"Corto plazo")</f>
        <v>Corto plazo</v>
      </c>
      <c r="R2788" s="25"/>
      <c r="S2788" s="55"/>
      <c r="T2788" s="56"/>
      <c r="U2788" s="25"/>
      <c r="V2788" s="25"/>
      <c r="W2788" s="25"/>
      <c r="X2788" s="25"/>
      <c r="Y2788" s="25"/>
      <c r="Z2788" s="25"/>
    </row>
    <row r="2789" spans="1:26" ht="52.5" customHeight="1" x14ac:dyDescent="0.25">
      <c r="A2789" s="25" t="str">
        <f ca="1">IFERROR(__xludf.DUMMYFUNCTION("""COMPUTED_VALUE"""),"Ambie87")</f>
        <v>Ambie87</v>
      </c>
      <c r="B2789" s="25" t="str">
        <f ca="1">IFERROR(__xludf.DUMMYFUNCTION("""COMPUTED_VALUE"""),"Comité de gestión de riesgos")</f>
        <v>Comité de gestión de riesgos</v>
      </c>
      <c r="C2789" s="55">
        <f ca="1">IFERROR(__xludf.DUMMYFUNCTION("""COMPUTED_VALUE"""),44841)</f>
        <v>44841</v>
      </c>
      <c r="D2789" s="25" t="str">
        <f ca="1">IFERROR(__xludf.DUMMYFUNCTION("""COMPUTED_VALUE"""),"Ambiente")</f>
        <v>Ambiente</v>
      </c>
      <c r="E2789" s="25" t="str">
        <f ca="1">IFERROR(__xludf.DUMMYFUNCTION("""COMPUTED_VALUE"""),"Instituto Distrital de Gestión de Riesgos y Cambio Climático")</f>
        <v>Instituto Distrital de Gestión de Riesgos y Cambio Climático</v>
      </c>
      <c r="F2789" s="25" t="str">
        <f ca="1">IFERROR(__xludf.DUMMYFUNCTION("""COMPUTED_VALUE"""),"Incluir en la campaña el tema de prevención (mantenimiento, conducir con prudencia, revisión tecno mecánica ….) para reducir siniestralidad")</f>
        <v>Incluir en la campaña el tema de prevención (mantenimiento, conducir con prudencia, revisión tecno mecánica ….) para reducir siniestralidad</v>
      </c>
      <c r="G2789" s="25" t="str">
        <f ca="1">IFERROR(__xludf.DUMMYFUNCTION("""COMPUTED_VALUE"""),"99. Distrito")</f>
        <v>99. Distrito</v>
      </c>
      <c r="H2789" s="55">
        <f ca="1">IFERROR(__xludf.DUMMYFUNCTION("""COMPUTED_VALUE"""),44871)</f>
        <v>44871</v>
      </c>
      <c r="I2789" s="25"/>
      <c r="J2789" s="55" t="str">
        <f ca="1">IFERROR(__xludf.DUMMYFUNCTION("""COMPUTED_VALUE"""),"Alta")</f>
        <v>Alta</v>
      </c>
      <c r="K2789" s="25">
        <f ca="1">IFERROR(__xludf.DUMMYFUNCTION("""COMPUTED_VALUE"""),30)</f>
        <v>30</v>
      </c>
      <c r="L2789" s="62">
        <f ca="1">IFERROR(__xludf.DUMMYFUNCTION("""COMPUTED_VALUE"""),44890)</f>
        <v>44890</v>
      </c>
      <c r="M2789" s="25" t="str">
        <f ca="1">IFERROR(__xludf.DUMMYFUNCTION("""COMPUTED_VALUE"""),"Campaña de comunicaciones presentada en la sesión del Consejo Distrital para la Gestión de Riesgos y Cambio Climático del pasado 07 de octubre del 2022")</f>
        <v>Campaña de comunicaciones presentada en la sesión del Consejo Distrital para la Gestión de Riesgos y Cambio Climático del pasado 07 de octubre del 2022</v>
      </c>
      <c r="N2789" s="55">
        <f ca="1">IFERROR(__xludf.DUMMYFUNCTION("""COMPUTED_VALUE"""),44890)</f>
        <v>44890</v>
      </c>
      <c r="O2789" s="25" t="str">
        <f t="shared" ca="1" si="0"/>
        <v>Instituto Distrital de Gestión de Riesgos y Cambio Climático</v>
      </c>
      <c r="P2789" s="25" t="str">
        <f t="shared" si="2"/>
        <v/>
      </c>
      <c r="Q2789" s="25" t="str">
        <f ca="1">IFERROR(__xludf.DUMMYFUNCTION("""COMPUTED_VALUE"""),"Corto plazo")</f>
        <v>Corto plazo</v>
      </c>
      <c r="R2789" s="25"/>
      <c r="S2789" s="55"/>
      <c r="T2789" s="56"/>
      <c r="U2789" s="25"/>
      <c r="V2789" s="25"/>
      <c r="W2789" s="25"/>
      <c r="X2789" s="25"/>
      <c r="Y2789" s="25"/>
      <c r="Z2789" s="25"/>
    </row>
    <row r="2790" spans="1:26" ht="52.5" customHeight="1" x14ac:dyDescent="0.25">
      <c r="A2790" s="25" t="str">
        <f ca="1">IFERROR(__xludf.DUMMYFUNCTION("""COMPUTED_VALUE"""),"Ambie88")</f>
        <v>Ambie88</v>
      </c>
      <c r="B2790" s="25" t="str">
        <f ca="1">IFERROR(__xludf.DUMMYFUNCTION("""COMPUTED_VALUE"""),"Comité gestión de riesgos")</f>
        <v>Comité gestión de riesgos</v>
      </c>
      <c r="C2790" s="55">
        <f ca="1">IFERROR(__xludf.DUMMYFUNCTION("""COMPUTED_VALUE"""),44824)</f>
        <v>44824</v>
      </c>
      <c r="D2790" s="25" t="str">
        <f ca="1">IFERROR(__xludf.DUMMYFUNCTION("""COMPUTED_VALUE"""),"Ambiente")</f>
        <v>Ambiente</v>
      </c>
      <c r="E2790" s="25" t="str">
        <f ca="1">IFERROR(__xludf.DUMMYFUNCTION("""COMPUTED_VALUE"""),"Instituto Distrital de Gestión de Riesgos y Cambio Climático")</f>
        <v>Instituto Distrital de Gestión de Riesgos y Cambio Climático</v>
      </c>
      <c r="F2790" s="25" t="str">
        <f ca="1">IFERROR(__xludf.DUMMYFUNCTION("""COMPUTED_VALUE"""),"Enfocar la campaña de cultura ciudadana hacia la prevención de riesgos durante la segunda temporada de lluvias en Bogotá.")</f>
        <v>Enfocar la campaña de cultura ciudadana hacia la prevención de riesgos durante la segunda temporada de lluvias en Bogotá.</v>
      </c>
      <c r="G2790" s="25" t="str">
        <f ca="1">IFERROR(__xludf.DUMMYFUNCTION("""COMPUTED_VALUE"""),"99. Distrito")</f>
        <v>99. Distrito</v>
      </c>
      <c r="H2790" s="55">
        <f ca="1">IFERROR(__xludf.DUMMYFUNCTION("""COMPUTED_VALUE"""),44854)</f>
        <v>44854</v>
      </c>
      <c r="I2790" s="25"/>
      <c r="J2790" s="55" t="str">
        <f ca="1">IFERROR(__xludf.DUMMYFUNCTION("""COMPUTED_VALUE"""),"Alta")</f>
        <v>Alta</v>
      </c>
      <c r="K2790" s="25">
        <f ca="1">IFERROR(__xludf.DUMMYFUNCTION("""COMPUTED_VALUE"""),30)</f>
        <v>30</v>
      </c>
      <c r="L2790" s="62">
        <f ca="1">IFERROR(__xludf.DUMMYFUNCTION("""COMPUTED_VALUE"""),44890)</f>
        <v>44890</v>
      </c>
      <c r="M2790" s="25" t="str">
        <f ca="1">IFERROR(__xludf.DUMMYFUNCTION("""COMPUTED_VALUE"""),"Durante noviembre, la Secretaría de Ambiente ha publicado constantemente mensajes sobre cuidado del arbolado e identificación de árboles en riesgo. También, la entidad ha apoyado la sinergia de ""Segunda temporada de lluvias"", liderada por el Idiger,  el"&amp;" cubrimiento diario al Puesto de Mando Unificado (PMU) instalado en la vía a La Calera, manteniendo informada a la ciudadanía sobre el estado de la emergencia. 
Por otro lado, continuamente se comparte el reporte de lluvias del Idiger, se comunica en tie"&amp;"mpo real cuando hay algún riesgo en humedales o senderos, para evitar emergencias, y se le enseña e invita a la ciudadanía a usar el Sistema de Alerta de Bogotá. 
Por último, durante la emergencia de La Calera, las redes sociales de la Secretaría de Ambi"&amp;"ente sirvieron como un canal más de la Administración distrital para difundir la información correspondiente, razón por la cual las ruedas de prensa desde PMU siempre fueron transmitidas por la página de Facebook “Ambiente Bogotá” y publicadas en el Twitt"&amp;"er de la entidad. 
IDIGER
Campaña de comunicaciones presentada en la sesión del Consejo Distrital para la Gestión de Riesgos y Cambio Climático del pasado 07 de octubre del 2022")</f>
        <v>Durante noviembre, la Secretaría de Ambiente ha publicado constantemente mensajes sobre cuidado del arbolado e identificación de árboles en riesgo. También, la entidad ha apoyado la sinergia de "Segunda temporada de lluvias", liderada por el Idiger,  el cubrimiento diario al Puesto de Mando Unificado (PMU) instalado en la vía a La Calera, manteniendo informada a la ciudadanía sobre el estado de la emergencia. 
Por otro lado, continuamente se comparte el reporte de lluvias del Idiger, se comunica en tiempo real cuando hay algún riesgo en humedales o senderos, para evitar emergencias, y se le enseña e invita a la ciudadanía a usar el Sistema de Alerta de Bogotá. 
Por último, durante la emergencia de La Calera, las redes sociales de la Secretaría de Ambiente sirvieron como un canal más de la Administración distrital para difundir la información correspondiente, razón por la cual las ruedas de prensa desde PMU siempre fueron transmitidas por la página de Facebook “Ambiente Bogotá” y publicadas en el Twitter de la entidad. 
IDIGER
Campaña de comunicaciones presentada en la sesión del Consejo Distrital para la Gestión de Riesgos y Cambio Climático del pasado 07 de octubre del 2022</v>
      </c>
      <c r="N2790" s="55">
        <f ca="1">IFERROR(__xludf.DUMMYFUNCTION("""COMPUTED_VALUE"""),44890)</f>
        <v>44890</v>
      </c>
      <c r="O2790" s="25" t="str">
        <f t="shared" ca="1" si="0"/>
        <v>Instituto Distrital de Gestión de Riesgos y Cambio Climático</v>
      </c>
      <c r="P2790" s="25" t="str">
        <f t="shared" si="2"/>
        <v/>
      </c>
      <c r="Q2790" s="25" t="str">
        <f ca="1">IFERROR(__xludf.DUMMYFUNCTION("""COMPUTED_VALUE"""),"Corto plazo")</f>
        <v>Corto plazo</v>
      </c>
      <c r="R2790" s="25"/>
      <c r="S2790" s="55"/>
      <c r="T2790" s="56"/>
      <c r="U2790" s="25"/>
      <c r="V2790" s="25"/>
      <c r="W2790" s="25"/>
      <c r="X2790" s="25"/>
      <c r="Y2790" s="25"/>
      <c r="Z2790" s="25"/>
    </row>
    <row r="2791" spans="1:26" ht="52.5" customHeight="1" x14ac:dyDescent="0.25">
      <c r="A2791" s="25" t="str">
        <f ca="1">IFERROR(__xludf.DUMMYFUNCTION("""COMPUTED_VALUE"""),"Ambie89")</f>
        <v>Ambie89</v>
      </c>
      <c r="B2791" s="25" t="str">
        <f ca="1">IFERROR(__xludf.DUMMYFUNCTION("""COMPUTED_VALUE"""),"Conectores ecosistémicos, siembra")</f>
        <v>Conectores ecosistémicos, siembra</v>
      </c>
      <c r="C2791" s="55">
        <f ca="1">IFERROR(__xludf.DUMMYFUNCTION("""COMPUTED_VALUE"""),44695)</f>
        <v>44695</v>
      </c>
      <c r="D2791" s="25" t="str">
        <f ca="1">IFERROR(__xludf.DUMMYFUNCTION("""COMPUTED_VALUE"""),"Ambiente")</f>
        <v>Ambiente</v>
      </c>
      <c r="E2791" s="25" t="str">
        <f ca="1">IFERROR(__xludf.DUMMYFUNCTION("""COMPUTED_VALUE"""),"Secretaría Distrital de Ambiente")</f>
        <v>Secretaría Distrital de Ambiente</v>
      </c>
      <c r="F2791" s="25" t="str">
        <f ca="1">IFERROR(__xludf.DUMMYFUNCTION("""COMPUTED_VALUE"""),"Cronograma de siembra mes por mes 2022")</f>
        <v>Cronograma de siembra mes por mes 2022</v>
      </c>
      <c r="G2791" s="25" t="str">
        <f ca="1">IFERROR(__xludf.DUMMYFUNCTION("""COMPUTED_VALUE"""),"99. Distrito")</f>
        <v>99. Distrito</v>
      </c>
      <c r="H2791" s="55">
        <f ca="1">IFERROR(__xludf.DUMMYFUNCTION("""COMPUTED_VALUE"""),44725)</f>
        <v>44725</v>
      </c>
      <c r="I2791" s="25"/>
      <c r="J2791" s="55" t="str">
        <f ca="1">IFERROR(__xludf.DUMMYFUNCTION("""COMPUTED_VALUE"""),"Alta")</f>
        <v>Alta</v>
      </c>
      <c r="K2791" s="25">
        <f ca="1">IFERROR(__xludf.DUMMYFUNCTION("""COMPUTED_VALUE"""),30)</f>
        <v>30</v>
      </c>
      <c r="L2791" s="62"/>
      <c r="M2791" s="25"/>
      <c r="N2791" s="55">
        <f ca="1">IFERROR(__xludf.DUMMYFUNCTION("""COMPUTED_VALUE"""),44927)</f>
        <v>44927</v>
      </c>
      <c r="O2791" s="25" t="str">
        <f t="shared" ca="1" si="0"/>
        <v>Secretaría Distrital de Ambiente</v>
      </c>
      <c r="P2791" s="25" t="str">
        <f t="shared" si="2"/>
        <v/>
      </c>
      <c r="Q2791" s="25" t="str">
        <f ca="1">IFERROR(__xludf.DUMMYFUNCTION("""COMPUTED_VALUE"""),"Corto plazo")</f>
        <v>Corto plazo</v>
      </c>
      <c r="R2791" s="25"/>
      <c r="S2791" s="55"/>
      <c r="T2791" s="56"/>
      <c r="U2791" s="25"/>
      <c r="V2791" s="25"/>
      <c r="W2791" s="25"/>
      <c r="X2791" s="25"/>
      <c r="Y2791" s="25"/>
      <c r="Z2791" s="25"/>
    </row>
    <row r="2792" spans="1:26" ht="52.5" customHeight="1" x14ac:dyDescent="0.25">
      <c r="A2792" s="25" t="str">
        <f ca="1">IFERROR(__xludf.DUMMYFUNCTION("""COMPUTED_VALUE"""),"Ambie90")</f>
        <v>Ambie90</v>
      </c>
      <c r="B2792" s="25" t="str">
        <f ca="1">IFERROR(__xludf.DUMMYFUNCTION("""COMPUTED_VALUE"""),"Conectores ecosistémicos, siembra")</f>
        <v>Conectores ecosistémicos, siembra</v>
      </c>
      <c r="C2792" s="55">
        <f ca="1">IFERROR(__xludf.DUMMYFUNCTION("""COMPUTED_VALUE"""),44695)</f>
        <v>44695</v>
      </c>
      <c r="D2792" s="25" t="str">
        <f ca="1">IFERROR(__xludf.DUMMYFUNCTION("""COMPUTED_VALUE"""),"Ambiente")</f>
        <v>Ambiente</v>
      </c>
      <c r="E2792" s="25" t="str">
        <f ca="1">IFERROR(__xludf.DUMMYFUNCTION("""COMPUTED_VALUE"""),"Secretaría Distrital de Ambiente")</f>
        <v>Secretaría Distrital de Ambiente</v>
      </c>
      <c r="F2792" s="25" t="str">
        <f ca="1">IFERROR(__xludf.DUMMYFUNCTION("""COMPUTED_VALUE"""),"Coordinar con alcaldías locales. Que las alcaldías locales traigan la propuesta y el JBB le diga si sí o si no.")</f>
        <v>Coordinar con alcaldías locales. Que las alcaldías locales traigan la propuesta y el JBB le diga si sí o si no.</v>
      </c>
      <c r="G2792" s="25" t="str">
        <f ca="1">IFERROR(__xludf.DUMMYFUNCTION("""COMPUTED_VALUE"""),"99. Distrito")</f>
        <v>99. Distrito</v>
      </c>
      <c r="H2792" s="55">
        <f ca="1">IFERROR(__xludf.DUMMYFUNCTION("""COMPUTED_VALUE"""),44725)</f>
        <v>44725</v>
      </c>
      <c r="I2792" s="25"/>
      <c r="J2792" s="55" t="str">
        <f ca="1">IFERROR(__xludf.DUMMYFUNCTION("""COMPUTED_VALUE"""),"Alta")</f>
        <v>Alta</v>
      </c>
      <c r="K2792" s="25">
        <f ca="1">IFERROR(__xludf.DUMMYFUNCTION("""COMPUTED_VALUE"""),30)</f>
        <v>30</v>
      </c>
      <c r="L2792" s="62"/>
      <c r="M2792" s="25"/>
      <c r="N2792" s="55">
        <f ca="1">IFERROR(__xludf.DUMMYFUNCTION("""COMPUTED_VALUE"""),44927)</f>
        <v>44927</v>
      </c>
      <c r="O2792" s="25" t="str">
        <f t="shared" ca="1" si="0"/>
        <v>Secretaría Distrital de Ambiente</v>
      </c>
      <c r="P2792" s="25" t="str">
        <f t="shared" si="2"/>
        <v/>
      </c>
      <c r="Q2792" s="25" t="str">
        <f ca="1">IFERROR(__xludf.DUMMYFUNCTION("""COMPUTED_VALUE"""),"Corto plazo")</f>
        <v>Corto plazo</v>
      </c>
      <c r="R2792" s="25"/>
      <c r="S2792" s="55"/>
      <c r="T2792" s="56"/>
      <c r="U2792" s="25"/>
      <c r="V2792" s="25"/>
      <c r="W2792" s="25"/>
      <c r="X2792" s="25"/>
      <c r="Y2792" s="25"/>
      <c r="Z2792" s="25"/>
    </row>
    <row r="2793" spans="1:26" ht="52.5" customHeight="1" x14ac:dyDescent="0.25">
      <c r="A2793" s="25" t="str">
        <f ca="1">IFERROR(__xludf.DUMMYFUNCTION("""COMPUTED_VALUE"""),"Ambie91")</f>
        <v>Ambie91</v>
      </c>
      <c r="B2793" s="25" t="str">
        <f ca="1">IFERROR(__xludf.DUMMYFUNCTION("""COMPUTED_VALUE"""),"Revisión Ola Invernal")</f>
        <v>Revisión Ola Invernal</v>
      </c>
      <c r="C2793" s="55">
        <f ca="1">IFERROR(__xludf.DUMMYFUNCTION("""COMPUTED_VALUE"""),44945)</f>
        <v>44945</v>
      </c>
      <c r="D2793" s="25" t="str">
        <f ca="1">IFERROR(__xludf.DUMMYFUNCTION("""COMPUTED_VALUE"""),"Ambiente")</f>
        <v>Ambiente</v>
      </c>
      <c r="E2793" s="25" t="str">
        <f ca="1">IFERROR(__xludf.DUMMYFUNCTION("""COMPUTED_VALUE"""),"Instituto Distrital de Gestión de Riesgos y Cambio Climático")</f>
        <v>Instituto Distrital de Gestión de Riesgos y Cambio Climático</v>
      </c>
      <c r="F2793" s="25" t="str">
        <f ca="1">IFERROR(__xludf.DUMMYFUNCTION("""COMPUTED_VALUE"""),"Quitar la caja de Claro en el sector de San Luis (vía la Calera) con la Alcaldía de Chapinero, ya que obstaculiza la quebrada. Entidades que intervienen: IDIGER, Alcaldía Local y Aguas de Bogotá")</f>
        <v>Quitar la caja de Claro en el sector de San Luis (vía la Calera) con la Alcaldía de Chapinero, ya que obstaculiza la quebrada. Entidades que intervienen: IDIGER, Alcaldía Local y Aguas de Bogotá</v>
      </c>
      <c r="G2793" s="25" t="str">
        <f ca="1">IFERROR(__xludf.DUMMYFUNCTION("""COMPUTED_VALUE"""),"02. Chapinero")</f>
        <v>02. Chapinero</v>
      </c>
      <c r="H2793" s="55">
        <f ca="1">IFERROR(__xludf.DUMMYFUNCTION("""COMPUTED_VALUE"""),44972)</f>
        <v>44972</v>
      </c>
      <c r="I2793" s="25"/>
      <c r="J2793" s="55" t="str">
        <f ca="1">IFERROR(__xludf.DUMMYFUNCTION("""COMPUTED_VALUE"""),"Alta")</f>
        <v>Alta</v>
      </c>
      <c r="K2793" s="25">
        <f ca="1">IFERROR(__xludf.DUMMYFUNCTION("""COMPUTED_VALUE"""),27)</f>
        <v>27</v>
      </c>
      <c r="L2793" s="62">
        <f ca="1">IFERROR(__xludf.DUMMYFUNCTION("""COMPUTED_VALUE"""),44995)</f>
        <v>44995</v>
      </c>
      <c r="M2793" s="25" t="str">
        <f ca="1">IFERROR(__xludf.DUMMYFUNCTION("""COMPUTED_VALUE"""),"Se realizó el retiro de la caja en el sector de San Luis, con el fin de evitar la obstaculizacion de la quebrada.")</f>
        <v>Se realizó el retiro de la caja en el sector de San Luis, con el fin de evitar la obstaculizacion de la quebrada.</v>
      </c>
      <c r="N2793" s="55">
        <f ca="1">IFERROR(__xludf.DUMMYFUNCTION("""COMPUTED_VALUE"""),44967)</f>
        <v>44967</v>
      </c>
      <c r="O2793" s="25" t="str">
        <f t="shared" ca="1" si="0"/>
        <v>Instituto Distrital de Gestión de Riesgos y Cambio Climático</v>
      </c>
      <c r="P2793" s="25" t="str">
        <f t="shared" si="2"/>
        <v/>
      </c>
      <c r="Q2793" s="25" t="str">
        <f ca="1">IFERROR(__xludf.DUMMYFUNCTION("""COMPUTED_VALUE"""),"Corto plazo")</f>
        <v>Corto plazo</v>
      </c>
      <c r="R2793" s="25"/>
      <c r="S2793" s="55"/>
      <c r="T2793" s="56"/>
      <c r="U2793" s="25"/>
      <c r="V2793" s="25"/>
      <c r="W2793" s="25"/>
      <c r="X2793" s="25"/>
      <c r="Y2793" s="25"/>
      <c r="Z2793" s="25"/>
    </row>
    <row r="2794" spans="1:26" ht="52.5" customHeight="1" x14ac:dyDescent="0.25">
      <c r="A2794" s="25" t="str">
        <f ca="1">IFERROR(__xludf.DUMMYFUNCTION("""COMPUTED_VALUE"""),"Ambie92")</f>
        <v>Ambie92</v>
      </c>
      <c r="B2794" s="25" t="str">
        <f ca="1">IFERROR(__xludf.DUMMYFUNCTION("""COMPUTED_VALUE"""),"Revisión Ola Invernal")</f>
        <v>Revisión Ola Invernal</v>
      </c>
      <c r="C2794" s="55">
        <f ca="1">IFERROR(__xludf.DUMMYFUNCTION("""COMPUTED_VALUE"""),44945)</f>
        <v>44945</v>
      </c>
      <c r="D2794" s="25" t="str">
        <f ca="1">IFERROR(__xludf.DUMMYFUNCTION("""COMPUTED_VALUE"""),"Ambiente")</f>
        <v>Ambiente</v>
      </c>
      <c r="E2794" s="25" t="str">
        <f ca="1">IFERROR(__xludf.DUMMYFUNCTION("""COMPUTED_VALUE"""),"Instituto Distrital de Gestión de Riesgos y Cambio Climático")</f>
        <v>Instituto Distrital de Gestión de Riesgos y Cambio Climático</v>
      </c>
      <c r="F2794" s="25" t="str">
        <f ca="1">IFERROR(__xludf.DUMMYFUNCTION("""COMPUTED_VALUE"""),"En el informe a los organismos de control mencionar que por lluvias hay identificadas dos fallas que se están profundizando y pueden ser graves: 
 Fallas en cerros orientales (mencionar los 3 puntos críticos que son una zona: paraíso, 22 y el verjón), se "&amp;"están monitoreando, se va a mantener y usar la calamidad, se va a hacer monitoreo, estudios, y las acciones de la canalización de las aguas. 
 También colocar lo que explicó el acueducto en la reunión.")</f>
        <v>En el informe a los organismos de control mencionar que por lluvias hay identificadas dos fallas que se están profundizando y pueden ser graves: 
 Fallas en cerros orientales (mencionar los 3 puntos críticos que son una zona: paraíso, 22 y el verjón), se están monitoreando, se va a mantener y usar la calamidad, se va a hacer monitoreo, estudios, y las acciones de la canalización de las aguas. 
 También colocar lo que explicó el acueducto en la reunión.</v>
      </c>
      <c r="G2794" s="25" t="str">
        <f ca="1">IFERROR(__xludf.DUMMYFUNCTION("""COMPUTED_VALUE"""),"99. Distrito")</f>
        <v>99. Distrito</v>
      </c>
      <c r="H2794" s="55">
        <f ca="1">IFERROR(__xludf.DUMMYFUNCTION("""COMPUTED_VALUE"""),44985)</f>
        <v>44985</v>
      </c>
      <c r="I2794" s="25"/>
      <c r="J2794" s="55" t="str">
        <f ca="1">IFERROR(__xludf.DUMMYFUNCTION("""COMPUTED_VALUE"""),"Alta")</f>
        <v>Alta</v>
      </c>
      <c r="K2794" s="25">
        <f ca="1">IFERROR(__xludf.DUMMYFUNCTION("""COMPUTED_VALUE"""),40)</f>
        <v>40</v>
      </c>
      <c r="L2794" s="62">
        <f ca="1">IFERROR(__xludf.DUMMYFUNCTION("""COMPUTED_VALUE"""),44995)</f>
        <v>44995</v>
      </c>
      <c r="M2794" s="25" t="str">
        <f ca="1">IFERROR(__xludf.DUMMYFUNCTION("""COMPUTED_VALUE"""),"Para las respuestas requeridas por los entes de control, se ha indicado que se han realizado las visitas técnicas de reconocimiento y evaluación de viviendas e infraestructura afectadas por los movimientos en masa que han ocurrido en los puntos criticos a"&amp;"sociados a los efectos de las lluvias, como Paraíso y El Verjón, incrementadas por efectos del fenómeno de la niña; mediante los Diagnósticos Técnicos (DI-18408 y DI-18202 respectivamente) se han emitido las recomendaciones a los responsables en función d"&amp;"e lo identificado, etre otras, adelantar estudios detallados de riesgo, con el fin de identificar la superficie de falla en los taludes y laderas asociadas a los movimientos en masa, así como los elementos que inciden en la estabilidad de cada sector, con"&amp;" el fin de verificar si se trata de problemas locales o superficiales o si tienen una mayor afectación, para poder definir las medidas de reducción de riesgo. Asimismo, se han dado las recomendaciones de seguimiento y monitoreo a la entidades que conforma"&amp;"n el SDGRD para poder mirar la evolución de los mismos y de igual manera poder intervenir mediante obras de emergencia.")</f>
        <v>Para las respuestas requeridas por los entes de control, se ha indicado que se han realizado las visitas técnicas de reconocimiento y evaluación de viviendas e infraestructura afectadas por los movimientos en masa que han ocurrido en los puntos criticos asociados a los efectos de las lluvias, como Paraíso y El Verjón, incrementadas por efectos del fenómeno de la niña; mediante los Diagnósticos Técnicos (DI-18408 y DI-18202 respectivamente) se han emitido las recomendaciones a los responsables en función de lo identificado, etre otras, adelantar estudios detallados de riesgo, con el fin de identificar la superficie de falla en los taludes y laderas asociadas a los movimientos en masa, así como los elementos que inciden en la estabilidad de cada sector, con el fin de verificar si se trata de problemas locales o superficiales o si tienen una mayor afectación, para poder definir las medidas de reducción de riesgo. Asimismo, se han dado las recomendaciones de seguimiento y monitoreo a la entidades que conforman el SDGRD para poder mirar la evolución de los mismos y de igual manera poder intervenir mediante obras de emergencia.</v>
      </c>
      <c r="N2794" s="55">
        <f ca="1">IFERROR(__xludf.DUMMYFUNCTION("""COMPUTED_VALUE"""),44985)</f>
        <v>44985</v>
      </c>
      <c r="O2794" s="25" t="str">
        <f t="shared" ca="1" si="0"/>
        <v>Instituto Distrital de Gestión de Riesgos y Cambio Climático</v>
      </c>
      <c r="P2794" s="25" t="str">
        <f t="shared" si="2"/>
        <v/>
      </c>
      <c r="Q2794" s="25" t="str">
        <f ca="1">IFERROR(__xludf.DUMMYFUNCTION("""COMPUTED_VALUE"""),"Corto plazo")</f>
        <v>Corto plazo</v>
      </c>
      <c r="R2794" s="25"/>
      <c r="S2794" s="55"/>
      <c r="T2794" s="56"/>
      <c r="U2794" s="25"/>
      <c r="V2794" s="25"/>
      <c r="W2794" s="25"/>
      <c r="X2794" s="25"/>
      <c r="Y2794" s="25"/>
      <c r="Z2794" s="25"/>
    </row>
    <row r="2795" spans="1:26" ht="52.5" customHeight="1" x14ac:dyDescent="0.25">
      <c r="A2795" s="25" t="str">
        <f ca="1">IFERROR(__xludf.DUMMYFUNCTION("""COMPUTED_VALUE"""),"Ambie93")</f>
        <v>Ambie93</v>
      </c>
      <c r="B2795" s="25" t="str">
        <f ca="1">IFERROR(__xludf.DUMMYFUNCTION("""COMPUTED_VALUE"""),"Decisiones - Decreto de Cambio Climático")</f>
        <v>Decisiones - Decreto de Cambio Climático</v>
      </c>
      <c r="C2795" s="55">
        <f ca="1">IFERROR(__xludf.DUMMYFUNCTION("""COMPUTED_VALUE"""),44945)</f>
        <v>44945</v>
      </c>
      <c r="D2795" s="25" t="str">
        <f ca="1">IFERROR(__xludf.DUMMYFUNCTION("""COMPUTED_VALUE"""),"Ambiente")</f>
        <v>Ambiente</v>
      </c>
      <c r="E2795" s="25" t="str">
        <f ca="1">IFERROR(__xludf.DUMMYFUNCTION("""COMPUTED_VALUE"""),"Secretaría Distrital de Ambiente")</f>
        <v>Secretaría Distrital de Ambiente</v>
      </c>
      <c r="F2795" s="25" t="str">
        <f ca="1">IFERROR(__xludf.DUMMYFUNCTION("""COMPUTED_VALUE"""),"Revisar el alcance del presupuesto de carbono (que las metas solo se definan para lo que es competencia de la alcaldía y no responder por toda la ciudad)")</f>
        <v>Revisar el alcance del presupuesto de carbono (que las metas solo se definan para lo que es competencia de la alcaldía y no responder por toda la ciudad)</v>
      </c>
      <c r="G2795" s="25" t="str">
        <f ca="1">IFERROR(__xludf.DUMMYFUNCTION("""COMPUTED_VALUE"""),"99. Distrito")</f>
        <v>99. Distrito</v>
      </c>
      <c r="H2795" s="55">
        <f ca="1">IFERROR(__xludf.DUMMYFUNCTION("""COMPUTED_VALUE"""),45015)</f>
        <v>45015</v>
      </c>
      <c r="I2795" s="25" t="str">
        <f ca="1">IFERROR(__xludf.DUMMYFUNCTION("""COMPUTED_VALUE"""),"Delivery Unit")</f>
        <v>Delivery Unit</v>
      </c>
      <c r="J2795" s="55" t="str">
        <f ca="1">IFERROR(__xludf.DUMMYFUNCTION("""COMPUTED_VALUE"""),"Media")</f>
        <v>Media</v>
      </c>
      <c r="K2795" s="25">
        <f ca="1">IFERROR(__xludf.DUMMYFUNCTION("""COMPUTED_VALUE"""),70)</f>
        <v>70</v>
      </c>
      <c r="L2795" s="62">
        <f ca="1">IFERROR(__xludf.DUMMYFUNCTION("""COMPUTED_VALUE"""),45077)</f>
        <v>45077</v>
      </c>
      <c r="M2795" s="25" t="str">
        <f ca="1">IFERROR(__xludf.DUMMYFUNCTION("""COMPUTED_VALUE"""),"Actualmente se cuenta con una nueva versión de Decreto de presupuesto de carbono incluyendo nuevas instrucciones de la alcaldesa. nos encontramos atentos a la agenda de la alcaldesa para presentarle esta version la cual esta terminando su revisión por par"&amp;"te de la Secretaria de ambiente.")</f>
        <v>Actualmente se cuenta con una nueva versión de Decreto de presupuesto de carbono incluyendo nuevas instrucciones de la alcaldesa. nos encontramos atentos a la agenda de la alcaldesa para presentarle esta version la cual esta terminando su revisión por parte de la Secretaria de ambiente.</v>
      </c>
      <c r="N2795" s="25"/>
      <c r="O2795" s="25" t="str">
        <f t="shared" ca="1" si="0"/>
        <v>Secretaría Distrital de Ambiente</v>
      </c>
      <c r="P2795" s="25" t="str">
        <f t="shared" ca="1" si="2"/>
        <v/>
      </c>
      <c r="Q2795" s="25" t="str">
        <f ca="1">IFERROR(__xludf.DUMMYFUNCTION("""COMPUTED_VALUE"""),"Mediano plazo")</f>
        <v>Mediano plazo</v>
      </c>
      <c r="R2795" s="25"/>
      <c r="S2795" s="55"/>
      <c r="T2795" s="56"/>
      <c r="U2795" s="25"/>
      <c r="V2795" s="25"/>
      <c r="W2795" s="25"/>
      <c r="X2795" s="25"/>
      <c r="Y2795" s="25"/>
      <c r="Z2795" s="25"/>
    </row>
    <row r="2796" spans="1:26" ht="52.5" customHeight="1" x14ac:dyDescent="0.25">
      <c r="A2796" s="25" t="str">
        <f ca="1">IFERROR(__xludf.DUMMYFUNCTION("""COMPUTED_VALUE"""),"Ambie94")</f>
        <v>Ambie94</v>
      </c>
      <c r="B2796" s="25" t="str">
        <f ca="1">IFERROR(__xludf.DUMMYFUNCTION("""COMPUTED_VALUE"""),"Visita a zona de reserva campesina - Sumapaz")</f>
        <v>Visita a zona de reserva campesina - Sumapaz</v>
      </c>
      <c r="C2796" s="55">
        <f ca="1">IFERROR(__xludf.DUMMYFUNCTION("""COMPUTED_VALUE"""),44961)</f>
        <v>44961</v>
      </c>
      <c r="D2796" s="25" t="str">
        <f ca="1">IFERROR(__xludf.DUMMYFUNCTION("""COMPUTED_VALUE"""),"Ambiente")</f>
        <v>Ambiente</v>
      </c>
      <c r="E2796" s="25" t="str">
        <f ca="1">IFERROR(__xludf.DUMMYFUNCTION("""COMPUTED_VALUE"""),"Secretaría Distrital de Ambiente")</f>
        <v>Secretaría Distrital de Ambiente</v>
      </c>
      <c r="F2796" s="25" t="str">
        <f ca="1">IFERROR(__xludf.DUMMYFUNCTION("""COMPUTED_VALUE"""),"Secretaría de Ambiente y Secretaría de Planeación deben tener un referente en Sumapaz para las tareas que se vienen en el marco de la Zona de Reserva Campesina")</f>
        <v>Secretaría de Ambiente y Secretaría de Planeación deben tener un referente en Sumapaz para las tareas que se vienen en el marco de la Zona de Reserva Campesina</v>
      </c>
      <c r="G2796" s="25" t="str">
        <f ca="1">IFERROR(__xludf.DUMMYFUNCTION("""COMPUTED_VALUE"""),"20. Sumapaz")</f>
        <v>20. Sumapaz</v>
      </c>
      <c r="H2796" s="55">
        <f ca="1">IFERROR(__xludf.DUMMYFUNCTION("""COMPUTED_VALUE"""),44985)</f>
        <v>44985</v>
      </c>
      <c r="I2796" s="25"/>
      <c r="J2796" s="55" t="str">
        <f ca="1">IFERROR(__xludf.DUMMYFUNCTION("""COMPUTED_VALUE"""),"Alta")</f>
        <v>Alta</v>
      </c>
      <c r="K2796" s="25">
        <f ca="1">IFERROR(__xludf.DUMMYFUNCTION("""COMPUTED_VALUE"""),24)</f>
        <v>24</v>
      </c>
      <c r="L2796" s="62">
        <f ca="1">IFERROR(__xludf.DUMMYFUNCTION("""COMPUTED_VALUE"""),44987)</f>
        <v>44987</v>
      </c>
      <c r="M2796" s="25" t="str">
        <f ca="1">IFERROR(__xludf.DUMMYFUNCTION("""COMPUTED_VALUE"""),"La secretaría de ambiente posee un referente para sumapaz, designado para ser enlace en el tema con esta zona.
Albers Andrey Ardila. Cel 3133968322 
sumapaz@ambientebogota.gov.co
Jannier Robledo, líder de la cuenca Sumapaz desde la Subdirección de ecosist"&amp;"emas y Ruralidad.
cel. 3148797564")</f>
        <v>La secretaría de ambiente posee un referente para sumapaz, designado para ser enlace en el tema con esta zona.
Albers Andrey Ardila. Cel 3133968322 
sumapaz@ambientebogota.gov.co
Jannier Robledo, líder de la cuenca Sumapaz desde la Subdirección de ecosistemas y Ruralidad.
cel. 3148797564</v>
      </c>
      <c r="N2796" s="55">
        <f ca="1">IFERROR(__xludf.DUMMYFUNCTION("""COMPUTED_VALUE"""),44998)</f>
        <v>44998</v>
      </c>
      <c r="O2796" s="25" t="str">
        <f t="shared" ca="1" si="0"/>
        <v>Secretaría Distrital de Ambiente</v>
      </c>
      <c r="P2796" s="25" t="str">
        <f t="shared" si="2"/>
        <v/>
      </c>
      <c r="Q2796" s="25" t="str">
        <f ca="1">IFERROR(__xludf.DUMMYFUNCTION("""COMPUTED_VALUE"""),"Corto plazo")</f>
        <v>Corto plazo</v>
      </c>
      <c r="R2796" s="25"/>
      <c r="S2796" s="55"/>
      <c r="T2796" s="56"/>
      <c r="U2796" s="25"/>
      <c r="V2796" s="25"/>
      <c r="W2796" s="25"/>
      <c r="X2796" s="25"/>
      <c r="Y2796" s="25"/>
      <c r="Z2796" s="25"/>
    </row>
    <row r="2797" spans="1:26" ht="52.5" customHeight="1" x14ac:dyDescent="0.25">
      <c r="A2797" s="25" t="str">
        <f ca="1">IFERROR(__xludf.DUMMYFUNCTION("""COMPUTED_VALUE"""),"Ambie95")</f>
        <v>Ambie95</v>
      </c>
      <c r="B2797" s="25"/>
      <c r="C2797" s="55"/>
      <c r="D2797" s="25" t="str">
        <f ca="1">IFERROR(__xludf.DUMMYFUNCTION("""COMPUTED_VALUE"""),"Ambiente")</f>
        <v>Ambiente</v>
      </c>
      <c r="E2797" s="25" t="str">
        <f ca="1">IFERROR(__xludf.DUMMYFUNCTION("""COMPUTED_VALUE"""),"Secretaría Distrital de Ambiente")</f>
        <v>Secretaría Distrital de Ambiente</v>
      </c>
      <c r="F2797" s="25"/>
      <c r="G2797" s="25"/>
      <c r="H2797" s="25"/>
      <c r="I2797" s="25"/>
      <c r="J2797" s="55"/>
      <c r="K2797" s="25" t="str">
        <f ca="1">IFERROR(__xludf.DUMMYFUNCTION("""COMPUTED_VALUE"""),"Definir fecha")</f>
        <v>Definir fecha</v>
      </c>
      <c r="L2797" s="62"/>
      <c r="M2797" s="25"/>
      <c r="N2797" s="25"/>
      <c r="O2797" s="25" t="str">
        <f t="shared" ca="1" si="0"/>
        <v>Secretaría Distrital de Ambiente</v>
      </c>
      <c r="P2797" s="25" t="str">
        <f t="shared" si="2"/>
        <v/>
      </c>
      <c r="Q2797" s="25" t="str">
        <f ca="1">IFERROR(__xludf.DUMMYFUNCTION("""COMPUTED_VALUE"""),"Sin defenir")</f>
        <v>Sin defenir</v>
      </c>
      <c r="R2797" s="25"/>
      <c r="S2797" s="55"/>
      <c r="T2797" s="56"/>
      <c r="U2797" s="25"/>
      <c r="V2797" s="25"/>
      <c r="W2797" s="25"/>
      <c r="X2797" s="25"/>
      <c r="Y2797" s="25"/>
      <c r="Z2797" s="25"/>
    </row>
    <row r="2798" spans="1:26" ht="52.5" customHeight="1" x14ac:dyDescent="0.25">
      <c r="A2798" s="25" t="str">
        <f ca="1">IFERROR(__xludf.DUMMYFUNCTION("""COMPUTED_VALUE"""),"Ambie96")</f>
        <v>Ambie96</v>
      </c>
      <c r="B2798" s="25"/>
      <c r="C2798" s="55"/>
      <c r="D2798" s="25" t="str">
        <f ca="1">IFERROR(__xludf.DUMMYFUNCTION("""COMPUTED_VALUE"""),"Ambiente")</f>
        <v>Ambiente</v>
      </c>
      <c r="E2798" s="25" t="str">
        <f ca="1">IFERROR(__xludf.DUMMYFUNCTION("""COMPUTED_VALUE"""),"Secretaría Distrital de Ambiente")</f>
        <v>Secretaría Distrital de Ambiente</v>
      </c>
      <c r="F2798" s="25"/>
      <c r="G2798" s="25"/>
      <c r="H2798" s="25"/>
      <c r="I2798" s="25"/>
      <c r="J2798" s="55"/>
      <c r="K2798" s="25" t="str">
        <f ca="1">IFERROR(__xludf.DUMMYFUNCTION("""COMPUTED_VALUE"""),"Definir fecha")</f>
        <v>Definir fecha</v>
      </c>
      <c r="L2798" s="62"/>
      <c r="M2798" s="25"/>
      <c r="N2798" s="25"/>
      <c r="O2798" s="25" t="str">
        <f t="shared" ca="1" si="0"/>
        <v>Secretaría Distrital de Ambiente</v>
      </c>
      <c r="P2798" s="25" t="str">
        <f t="shared" si="2"/>
        <v/>
      </c>
      <c r="Q2798" s="25" t="str">
        <f ca="1">IFERROR(__xludf.DUMMYFUNCTION("""COMPUTED_VALUE"""),"Sin defenir")</f>
        <v>Sin defenir</v>
      </c>
      <c r="R2798" s="25"/>
      <c r="S2798" s="55"/>
      <c r="T2798" s="56"/>
      <c r="U2798" s="25"/>
      <c r="V2798" s="25"/>
      <c r="W2798" s="25"/>
      <c r="X2798" s="25"/>
      <c r="Y2798" s="25"/>
      <c r="Z2798" s="25"/>
    </row>
    <row r="2799" spans="1:26" ht="52.5" customHeight="1" x14ac:dyDescent="0.25">
      <c r="A2799" s="25" t="str">
        <f ca="1">IFERROR(__xludf.DUMMYFUNCTION("""COMPUTED_VALUE"""),"Ambie97")</f>
        <v>Ambie97</v>
      </c>
      <c r="B2799" s="25"/>
      <c r="C2799" s="55"/>
      <c r="D2799" s="25" t="str">
        <f ca="1">IFERROR(__xludf.DUMMYFUNCTION("""COMPUTED_VALUE"""),"Ambiente")</f>
        <v>Ambiente</v>
      </c>
      <c r="E2799" s="25" t="str">
        <f ca="1">IFERROR(__xludf.DUMMYFUNCTION("""COMPUTED_VALUE"""),"Secretaría Distrital de Ambiente")</f>
        <v>Secretaría Distrital de Ambiente</v>
      </c>
      <c r="F2799" s="25"/>
      <c r="G2799" s="25"/>
      <c r="H2799" s="25"/>
      <c r="I2799" s="25"/>
      <c r="J2799" s="55"/>
      <c r="K2799" s="25" t="str">
        <f ca="1">IFERROR(__xludf.DUMMYFUNCTION("""COMPUTED_VALUE"""),"Definir fecha")</f>
        <v>Definir fecha</v>
      </c>
      <c r="L2799" s="62"/>
      <c r="M2799" s="25"/>
      <c r="N2799" s="25"/>
      <c r="O2799" s="25" t="str">
        <f t="shared" ca="1" si="0"/>
        <v>Secretaría Distrital de Ambiente</v>
      </c>
      <c r="P2799" s="25" t="str">
        <f t="shared" si="2"/>
        <v/>
      </c>
      <c r="Q2799" s="25" t="str">
        <f ca="1">IFERROR(__xludf.DUMMYFUNCTION("""COMPUTED_VALUE"""),"Sin defenir")</f>
        <v>Sin defenir</v>
      </c>
      <c r="R2799" s="25"/>
      <c r="S2799" s="55"/>
      <c r="T2799" s="56"/>
      <c r="U2799" s="25"/>
      <c r="V2799" s="25"/>
      <c r="W2799" s="25"/>
      <c r="X2799" s="25"/>
      <c r="Y2799" s="25"/>
      <c r="Z2799" s="25"/>
    </row>
    <row r="2800" spans="1:26" ht="52.5" customHeight="1" x14ac:dyDescent="0.25">
      <c r="A2800" s="25" t="str">
        <f ca="1">IFERROR(__xludf.DUMMYFUNCTION("""COMPUTED_VALUE"""),"Ambie98")</f>
        <v>Ambie98</v>
      </c>
      <c r="B2800" s="25" t="str">
        <f ca="1">IFERROR(__xludf.DUMMYFUNCTION("""COMPUTED_VALUE"""),"Entrega de instalaciones de MEBOG")</f>
        <v>Entrega de instalaciones de MEBOG</v>
      </c>
      <c r="C2800" s="55">
        <f ca="1">IFERROR(__xludf.DUMMYFUNCTION("""COMPUTED_VALUE"""),44914)</f>
        <v>44914</v>
      </c>
      <c r="D2800" s="25" t="str">
        <f ca="1">IFERROR(__xludf.DUMMYFUNCTION("""COMPUTED_VALUE"""),"Ambiente")</f>
        <v>Ambiente</v>
      </c>
      <c r="E2800" s="25" t="str">
        <f ca="1">IFERROR(__xludf.DUMMYFUNCTION("""COMPUTED_VALUE"""),"Jardín Botánico José Celestino Mutis")</f>
        <v>Jardín Botánico José Celestino Mutis</v>
      </c>
      <c r="F2800" s="25" t="str">
        <f ca="1">IFERROR(__xludf.DUMMYFUNCTION("""COMPUTED_VALUE"""),"Se solicita que la directora de la UAESP gestione una ruta de reverdecimiento alrededor de todo el comando.")</f>
        <v>Se solicita que la directora de la UAESP gestione una ruta de reverdecimiento alrededor de todo el comando.</v>
      </c>
      <c r="G2800" s="25" t="str">
        <f ca="1">IFERROR(__xludf.DUMMYFUNCTION("""COMPUTED_VALUE"""),"99. Distrito")</f>
        <v>99. Distrito</v>
      </c>
      <c r="H2800" s="55">
        <f ca="1">IFERROR(__xludf.DUMMYFUNCTION("""COMPUTED_VALUE"""),45017)</f>
        <v>45017</v>
      </c>
      <c r="I2800" s="25" t="str">
        <f ca="1">IFERROR(__xludf.DUMMYFUNCTION("""COMPUTED_VALUE"""),"Junta de Infraestructura")</f>
        <v>Junta de Infraestructura</v>
      </c>
      <c r="J2800" s="55" t="str">
        <f ca="1">IFERROR(__xludf.DUMMYFUNCTION("""COMPUTED_VALUE"""),"Media")</f>
        <v>Media</v>
      </c>
      <c r="K2800" s="25">
        <f ca="1">IFERROR(__xludf.DUMMYFUNCTION("""COMPUTED_VALUE"""),103)</f>
        <v>103</v>
      </c>
      <c r="L2800" s="62">
        <f ca="1">IFERROR(__xludf.DUMMYFUNCTION("""COMPUTED_VALUE"""),45051)</f>
        <v>45051</v>
      </c>
      <c r="M2800" s="25" t="str">
        <f ca="1">IFERROR(__xludf.DUMMYFUNCTION("""COMPUTED_VALUE"""),"A corte 5 de mayo de 2023,  seinforma que el JBB realizó visita  en el mes de abril ,a la nueva estación, no permitieron el ingreso , se requiere un contacto para autorización ingreso para determinar la viabilidad de implementar el diseño paisajístico en "&amp;"el área perimetral, se concertará con la comunidad y la institución,
Para enero de 2023 se realizó la jornada de limpieza y recolección de elementos alrededor con el operador asignado.")</f>
        <v>A corte 5 de mayo de 2023,  seinforma que el JBB realizó visita  en el mes de abril ,a la nueva estación, no permitieron el ingreso , se requiere un contacto para autorización ingreso para determinar la viabilidad de implementar el diseño paisajístico en el área perimetral, se concertará con la comunidad y la institución,
Para enero de 2023 se realizó la jornada de limpieza y recolección de elementos alrededor con el operador asignado.</v>
      </c>
      <c r="N2800" s="25"/>
      <c r="O2800" s="25" t="str">
        <f t="shared" ca="1" si="0"/>
        <v>Jardín Botánico José Celestino Mutis</v>
      </c>
      <c r="P2800" s="25" t="str">
        <f t="shared" ca="1" si="2"/>
        <v/>
      </c>
      <c r="Q2800" s="25" t="str">
        <f ca="1">IFERROR(__xludf.DUMMYFUNCTION("""COMPUTED_VALUE"""),"Mediano plazo")</f>
        <v>Mediano plazo</v>
      </c>
      <c r="R2800" s="25"/>
      <c r="S2800" s="55"/>
      <c r="T2800" s="56"/>
      <c r="U2800" s="25"/>
      <c r="V2800" s="25"/>
      <c r="W2800" s="25"/>
      <c r="X2800" s="25"/>
      <c r="Y2800" s="25"/>
      <c r="Z2800" s="25"/>
    </row>
    <row r="2801" spans="1:26" ht="52.5" customHeight="1" x14ac:dyDescent="0.25">
      <c r="A2801" s="25" t="str">
        <f ca="1">IFERROR(__xludf.DUMMYFUNCTION("""COMPUTED_VALUE"""),"Ambie99")</f>
        <v>Ambie99</v>
      </c>
      <c r="B2801" s="25" t="str">
        <f ca="1">IFERROR(__xludf.DUMMYFUNCTION("""COMPUTED_VALUE"""),"Recorrido Tunjuelito")</f>
        <v>Recorrido Tunjuelito</v>
      </c>
      <c r="C2801" s="55">
        <f ca="1">IFERROR(__xludf.DUMMYFUNCTION("""COMPUTED_VALUE"""),44992)</f>
        <v>44992</v>
      </c>
      <c r="D2801" s="25" t="str">
        <f ca="1">IFERROR(__xludf.DUMMYFUNCTION("""COMPUTED_VALUE"""),"Ambiente")</f>
        <v>Ambiente</v>
      </c>
      <c r="E2801" s="25" t="str">
        <f ca="1">IFERROR(__xludf.DUMMYFUNCTION("""COMPUTED_VALUE"""),"Secretaría Distrital de Ambiente")</f>
        <v>Secretaría Distrital de Ambiente</v>
      </c>
      <c r="F2801" s="25" t="str">
        <f ca="1">IFERROR(__xludf.DUMMYFUNCTION("""COMPUTED_VALUE"""),"Realizar operativos periódicos de calidad del aire en el sector de la Sevillana y San benito.")</f>
        <v>Realizar operativos periódicos de calidad del aire en el sector de la Sevillana y San benito.</v>
      </c>
      <c r="G2801" s="25" t="str">
        <f ca="1">IFERROR(__xludf.DUMMYFUNCTION("""COMPUTED_VALUE"""),"06. Tunjuelito")</f>
        <v>06. Tunjuelito</v>
      </c>
      <c r="H2801" s="55">
        <f ca="1">IFERROR(__xludf.DUMMYFUNCTION("""COMPUTED_VALUE"""),45076)</f>
        <v>45076</v>
      </c>
      <c r="I2801" s="25" t="str">
        <f ca="1">IFERROR(__xludf.DUMMYFUNCTION("""COMPUTED_VALUE"""),"Secretaría Privada")</f>
        <v>Secretaría Privada</v>
      </c>
      <c r="J2801" s="55" t="str">
        <f ca="1">IFERROR(__xludf.DUMMYFUNCTION("""COMPUTED_VALUE"""),"Media")</f>
        <v>Media</v>
      </c>
      <c r="K2801" s="25">
        <f ca="1">IFERROR(__xludf.DUMMYFUNCTION("""COMPUTED_VALUE"""),84)</f>
        <v>84</v>
      </c>
      <c r="L2801" s="62">
        <f ca="1">IFERROR(__xludf.DUMMYFUNCTION("""COMPUTED_VALUE"""),45078)</f>
        <v>45078</v>
      </c>
      <c r="M2801" s="25" t="str">
        <f ca="1">IFERROR(__xludf.DUMMYFUNCTION("""COMPUTED_VALUE"""),"Fuentes móviles
Para el año 2023 se tiene presupuestado realizar 100 operativos en via en la localidad de Tunjuelito, en lo corrido del año, se han realizado 38 operativos. De igual forma, se han realizado 4 operativos del Programa de Autorregulación.
* D"&amp;"e los 38 operativos en vía, 11 se realizaron entre el 1° de Mayo al 31 de Mayo.
Fuentes Fijas
Desde el año 2020 a la fecha el grupo de control a Fuentes Fijas de la SDA ha realizado 217 visitas de inspección, vigilancia y control; ha realizado 16 operati"&amp;"vos con el acompañamiento de entidades cómo Alcaldía Local, Secretaria de Gobierno, Policía Ambiental, entre otras; ha materializado 4 medidas preventivas de suspensión de actividades; cómo resultado de estas acciones ha emitido un total de 252 actuacione"&amp;"s técnicas para la localidad. 
En lo que corresponde al año 2023 se continuará con las acciones de control correspondiente a los permisos de emisiones atmosféricas, atención a quejas y radicados presentados por la ciudadanía, así como visitas/operativos"&amp;" de control para determinar el cumplimiento normativo en materia de emisiones atmosféricas.")</f>
        <v>Fuentes móviles
Para el año 2023 se tiene presupuestado realizar 100 operativos en via en la localidad de Tunjuelito, en lo corrido del año, se han realizado 38 operativos. De igual forma, se han realizado 4 operativos del Programa de Autorregulación.
* De los 38 operativos en vía, 11 se realizaron entre el 1° de Mayo al 31 de Mayo.
Fuentes Fijas
Desde el año 2020 a la fecha el grupo de control a Fuentes Fijas de la SDA ha realizado 217 visitas de inspección, vigilancia y control; ha realizado 16 operativos con el acompañamiento de entidades cómo Alcaldía Local, Secretaria de Gobierno, Policía Ambiental, entre otras; ha materializado 4 medidas preventivas de suspensión de actividades; cómo resultado de estas acciones ha emitido un total de 252 actuaciones técnicas para la localidad. 
En lo que corresponde al año 2023 se continuará con las acciones de control correspondiente a los permisos de emisiones atmosféricas, atención a quejas y radicados presentados por la ciudadanía, así como visitas/operativos de control para determinar el cumplimiento normativo en materia de emisiones atmosféricas.</v>
      </c>
      <c r="N2801" s="55">
        <f ca="1">IFERROR(__xludf.DUMMYFUNCTION("""COMPUTED_VALUE"""),45065)</f>
        <v>45065</v>
      </c>
      <c r="O2801" s="25" t="str">
        <f t="shared" ca="1" si="0"/>
        <v>Secretaría Distrital de Ambiente</v>
      </c>
      <c r="P2801" s="25" t="str">
        <f t="shared" ca="1" si="2"/>
        <v/>
      </c>
      <c r="Q2801" s="25" t="str">
        <f ca="1">IFERROR(__xludf.DUMMYFUNCTION("""COMPUTED_VALUE"""),"Mediano plazo")</f>
        <v>Mediano plazo</v>
      </c>
      <c r="R2801" s="25"/>
      <c r="S2801" s="55"/>
      <c r="T2801" s="56"/>
      <c r="U2801" s="25"/>
      <c r="V2801" s="25"/>
      <c r="W2801" s="25"/>
      <c r="X2801" s="25"/>
      <c r="Y2801" s="25"/>
      <c r="Z2801" s="25"/>
    </row>
    <row r="2802" spans="1:26" ht="52.5" customHeight="1" x14ac:dyDescent="0.25">
      <c r="A2802" s="25" t="str">
        <f ca="1">IFERROR(__xludf.DUMMYFUNCTION("""COMPUTED_VALUE"""),"Ambie100")</f>
        <v>Ambie100</v>
      </c>
      <c r="B2802" s="25" t="str">
        <f ca="1">IFERROR(__xludf.DUMMYFUNCTION("""COMPUTED_VALUE"""),"Recorrido Tunjuelito")</f>
        <v>Recorrido Tunjuelito</v>
      </c>
      <c r="C2802" s="55">
        <f ca="1">IFERROR(__xludf.DUMMYFUNCTION("""COMPUTED_VALUE"""),44992)</f>
        <v>44992</v>
      </c>
      <c r="D2802" s="25" t="str">
        <f ca="1">IFERROR(__xludf.DUMMYFUNCTION("""COMPUTED_VALUE"""),"Ambiente")</f>
        <v>Ambiente</v>
      </c>
      <c r="E2802" s="25" t="str">
        <f ca="1">IFERROR(__xludf.DUMMYFUNCTION("""COMPUTED_VALUE"""),"Secretaría Distrital de Ambiente")</f>
        <v>Secretaría Distrital de Ambiente</v>
      </c>
      <c r="F2802" s="25" t="str">
        <f ca="1">IFERROR(__xludf.DUMMYFUNCTION("""COMPUTED_VALUE"""),"Instalar sensores de calidad del aire de bajo costo a lo largo de la localidad.")</f>
        <v>Instalar sensores de calidad del aire de bajo costo a lo largo de la localidad.</v>
      </c>
      <c r="G2802" s="25" t="str">
        <f ca="1">IFERROR(__xludf.DUMMYFUNCTION("""COMPUTED_VALUE"""),"06. Tunjuelito")</f>
        <v>06. Tunjuelito</v>
      </c>
      <c r="H2802" s="55">
        <f ca="1">IFERROR(__xludf.DUMMYFUNCTION("""COMPUTED_VALUE"""),45076)</f>
        <v>45076</v>
      </c>
      <c r="I2802" s="25" t="str">
        <f ca="1">IFERROR(__xludf.DUMMYFUNCTION("""COMPUTED_VALUE"""),"Secretaría Privada")</f>
        <v>Secretaría Privada</v>
      </c>
      <c r="J2802" s="55" t="str">
        <f ca="1">IFERROR(__xludf.DUMMYFUNCTION("""COMPUTED_VALUE"""),"Media")</f>
        <v>Media</v>
      </c>
      <c r="K2802" s="25">
        <f ca="1">IFERROR(__xludf.DUMMYFUNCTION("""COMPUTED_VALUE"""),84)</f>
        <v>84</v>
      </c>
      <c r="L2802" s="62">
        <f ca="1">IFERROR(__xludf.DUMMYFUNCTION("""COMPUTED_VALUE"""),45078)</f>
        <v>45078</v>
      </c>
      <c r="M2802" s="25" t="str">
        <f ca="1">IFERROR(__xludf.DUMMYFUNCTION("""COMPUTED_VALUE"""),"La Red Colaborativa de microsensores cuenta con 3 puntos de monitoreo en la localidad de Tunjuelito
Jardín El Carmen: Carrera 28 # 48A - 17 sur
Cemex: Avenida Boyacá # 72 Sur -04
Incolcar: Diagonal 49 Sur#60-26")</f>
        <v>La Red Colaborativa de microsensores cuenta con 3 puntos de monitoreo en la localidad de Tunjuelito
Jardín El Carmen: Carrera 28 # 48A - 17 sur
Cemex: Avenida Boyacá # 72 Sur -04
Incolcar: Diagonal 49 Sur#60-26</v>
      </c>
      <c r="N2802" s="55">
        <f ca="1">IFERROR(__xludf.DUMMYFUNCTION("""COMPUTED_VALUE"""),45065)</f>
        <v>45065</v>
      </c>
      <c r="O2802" s="25" t="str">
        <f t="shared" ca="1" si="0"/>
        <v>Secretaría Distrital de Ambiente</v>
      </c>
      <c r="P2802" s="25" t="str">
        <f t="shared" ca="1" si="2"/>
        <v/>
      </c>
      <c r="Q2802" s="25" t="str">
        <f ca="1">IFERROR(__xludf.DUMMYFUNCTION("""COMPUTED_VALUE"""),"Mediano plazo")</f>
        <v>Mediano plazo</v>
      </c>
      <c r="R2802" s="25"/>
      <c r="S2802" s="55"/>
      <c r="T2802" s="56"/>
      <c r="U2802" s="25"/>
      <c r="V2802" s="25"/>
      <c r="W2802" s="25"/>
      <c r="X2802" s="25"/>
      <c r="Y2802" s="25"/>
      <c r="Z2802" s="25"/>
    </row>
    <row r="2803" spans="1:26" ht="52.5" customHeight="1" x14ac:dyDescent="0.25">
      <c r="A2803" s="25" t="str">
        <f ca="1">IFERROR(__xludf.DUMMYFUNCTION("""COMPUTED_VALUE"""),"Ambie101")</f>
        <v>Ambie101</v>
      </c>
      <c r="B2803" s="25" t="str">
        <f ca="1">IFERROR(__xludf.DUMMYFUNCTION("""COMPUTED_VALUE"""),"Recorrido Tunjuelito")</f>
        <v>Recorrido Tunjuelito</v>
      </c>
      <c r="C2803" s="55">
        <f ca="1">IFERROR(__xludf.DUMMYFUNCTION("""COMPUTED_VALUE"""),44992)</f>
        <v>44992</v>
      </c>
      <c r="D2803" s="25" t="str">
        <f ca="1">IFERROR(__xludf.DUMMYFUNCTION("""COMPUTED_VALUE"""),"Ambiente")</f>
        <v>Ambiente</v>
      </c>
      <c r="E2803" s="25" t="str">
        <f ca="1">IFERROR(__xludf.DUMMYFUNCTION("""COMPUTED_VALUE"""),"Secretaría Distrital de Ambiente")</f>
        <v>Secretaría Distrital de Ambiente</v>
      </c>
      <c r="F2803" s="25" t="str">
        <f ca="1">IFERROR(__xludf.DUMMYFUNCTION("""COMPUTED_VALUE"""),"Garantizar el reverdecimiento del corredor turístico Tunjuelo Chiguaza, donde interactuan las localidades de San Cristóbal, Tunjuelito y Ciudad Bolivar.")</f>
        <v>Garantizar el reverdecimiento del corredor turístico Tunjuelo Chiguaza, donde interactuan las localidades de San Cristóbal, Tunjuelito y Ciudad Bolivar.</v>
      </c>
      <c r="G2803" s="25" t="str">
        <f ca="1">IFERROR(__xludf.DUMMYFUNCTION("""COMPUTED_VALUE"""),"06. Tunjuelito")</f>
        <v>06. Tunjuelito</v>
      </c>
      <c r="H2803" s="55">
        <f ca="1">IFERROR(__xludf.DUMMYFUNCTION("""COMPUTED_VALUE"""),45107)</f>
        <v>45107</v>
      </c>
      <c r="I2803" s="25" t="str">
        <f ca="1">IFERROR(__xludf.DUMMYFUNCTION("""COMPUTED_VALUE"""),"Secretaría Privada")</f>
        <v>Secretaría Privada</v>
      </c>
      <c r="J2803" s="55" t="str">
        <f ca="1">IFERROR(__xludf.DUMMYFUNCTION("""COMPUTED_VALUE"""),"Media")</f>
        <v>Media</v>
      </c>
      <c r="K2803" s="25">
        <f ca="1">IFERROR(__xludf.DUMMYFUNCTION("""COMPUTED_VALUE"""),115)</f>
        <v>115</v>
      </c>
      <c r="L2803" s="62">
        <f ca="1">IFERROR(__xludf.DUMMYFUNCTION("""COMPUTED_VALUE"""),45077)</f>
        <v>45077</v>
      </c>
      <c r="M2803" s="25" t="str">
        <f ca="1">IFERROR(__xludf.DUMMYFUNCTION("""COMPUTED_VALUE"""),"Dicha área comprende desde el Parque Ecológico Distrital de Montaña Entrenubes, hasta el área de la Reserva Distrital de Humedal del Tunjo, cubriendo las localidades de Tunjuelito, San Cristobal y Ciudad Bolivar.  
Desde la SDA y teniendo en cuenta que e"&amp;"sta área hace parte del conector ecosistémico Media Luna del Sur se están han desarrollado acciones para el reverdecimiento de dicha área a través del Nodo Tunjo – Tingua Azul, en esta área se viene trabajando de manera mancomunada entre las entidades dis"&amp;"tritales y las comunidades a través de la estrategia de conectores ecosistémicos con tres líneas de trabajo: 
1.        Fortalecimiento de la gobernanza multinivel a través de la articulación con las alcaldías locales de Tunjuelito, Ciudad Bolívar, Kenned"&amp;"y, Bosa y con entidades distritales como EAAB, JBB, UAESP, SSCJ y la SDA, como resultado se construyó un plan de trabajo interinstitucional con 15 acciones y 5 priorizadas para el año 2023. Asimismo, se realizan de jornadas  bimensuales de mantenimiento y"&amp;" limpieza sobre la ronda del río  
2.        Participación ciudadana y fomento de espacios de cocreación para el manejo del área con la comunidad, a través de la realización de 13 reuniones  con alrededor de 130 participantes en las que se han realizado i"&amp;"dentificación de tensionantes, ejercicios de ciencia ciudadana, acuerdos sobre la realización de acciones ambientales
3.        Educación Ambiental a través de ejercicios de señalética con la instalación de 17 vallas, una de las cuales una se está constru"&amp;"yendo con la comunidad muisca de Bosa. 
4.        Construcción de modelo de conectividad del conector Media Luna Sur, que permite la identificación de áreas importantes para promover los flujos de biodiversidad del área, y sirve como insumo para la formul"&amp;"ación de acciones para el reverdecimiento de la ciudad. 
")</f>
        <v xml:space="preserve">Dicha área comprende desde el Parque Ecológico Distrital de Montaña Entrenubes, hasta el área de la Reserva Distrital de Humedal del Tunjo, cubriendo las localidades de Tunjuelito, San Cristobal y Ciudad Bolivar.  
Desde la SDA y teniendo en cuenta que esta área hace parte del conector ecosistémico Media Luna del Sur se están han desarrollado acciones para el reverdecimiento de dicha área a través del Nodo Tunjo – Tingua Azul, en esta área se viene trabajando de manera mancomunada entre las entidades distritales y las comunidades a través de la estrategia de conectores ecosistémicos con tres líneas de trabajo: 
1.        Fortalecimiento de la gobernanza multinivel a través de la articulación con las alcaldías locales de Tunjuelito, Ciudad Bolívar, Kennedy, Bosa y con entidades distritales como EAAB, JBB, UAESP, SSCJ y la SDA, como resultado se construyó un plan de trabajo interinstitucional con 15 acciones y 5 priorizadas para el año 2023. Asimismo, se realizan de jornadas  bimensuales de mantenimiento y limpieza sobre la ronda del río  
2.        Participación ciudadana y fomento de espacios de cocreación para el manejo del área con la comunidad, a través de la realización de 13 reuniones  con alrededor de 130 participantes en las que se han realizado identificación de tensionantes, ejercicios de ciencia ciudadana, acuerdos sobre la realización de acciones ambientales
3.        Educación Ambiental a través de ejercicios de señalética con la instalación de 17 vallas, una de las cuales una se está construyendo con la comunidad muisca de Bosa. 
4.        Construcción de modelo de conectividad del conector Media Luna Sur, que permite la identificación de áreas importantes para promover los flujos de biodiversidad del área, y sirve como insumo para la formulación de acciones para el reverdecimiento de la ciudad. 
</v>
      </c>
      <c r="N2803" s="25"/>
      <c r="O2803" s="25" t="str">
        <f t="shared" ca="1" si="0"/>
        <v>Secretaría Distrital de Ambiente</v>
      </c>
      <c r="P2803" s="25" t="str">
        <f t="shared" ca="1" si="2"/>
        <v/>
      </c>
      <c r="Q2803" s="25" t="str">
        <f ca="1">IFERROR(__xludf.DUMMYFUNCTION("""COMPUTED_VALUE"""),"Mediano plazo")</f>
        <v>Mediano plazo</v>
      </c>
      <c r="R2803" s="25"/>
      <c r="S2803" s="55"/>
      <c r="T2803" s="56"/>
      <c r="U2803" s="25"/>
      <c r="V2803" s="25"/>
      <c r="W2803" s="25"/>
      <c r="X2803" s="25"/>
      <c r="Y2803" s="25"/>
      <c r="Z2803" s="25"/>
    </row>
    <row r="2804" spans="1:26" ht="52.5" customHeight="1" x14ac:dyDescent="0.25">
      <c r="A2804" s="25" t="str">
        <f ca="1">IFERROR(__xludf.DUMMYFUNCTION("""COMPUTED_VALUE"""),"Ambie102")</f>
        <v>Ambie102</v>
      </c>
      <c r="B2804" s="25" t="str">
        <f ca="1">IFERROR(__xludf.DUMMYFUNCTION("""COMPUTED_VALUE"""),"Recorrido Tunjuelito")</f>
        <v>Recorrido Tunjuelito</v>
      </c>
      <c r="C2804" s="55">
        <f ca="1">IFERROR(__xludf.DUMMYFUNCTION("""COMPUTED_VALUE"""),44992)</f>
        <v>44992</v>
      </c>
      <c r="D2804" s="25" t="str">
        <f ca="1">IFERROR(__xludf.DUMMYFUNCTION("""COMPUTED_VALUE"""),"Ambiente")</f>
        <v>Ambiente</v>
      </c>
      <c r="E2804" s="25" t="str">
        <f ca="1">IFERROR(__xludf.DUMMYFUNCTION("""COMPUTED_VALUE"""),"Secretaría Distrital de Ambiente")</f>
        <v>Secretaría Distrital de Ambiente</v>
      </c>
      <c r="F2804" s="25" t="str">
        <f ca="1">IFERROR(__xludf.DUMMYFUNCTION("""COMPUTED_VALUE"""),"Agilizar plan de acción y primeras inversiones de ZUMA en el marco del POT")</f>
        <v>Agilizar plan de acción y primeras inversiones de ZUMA en el marco del POT</v>
      </c>
      <c r="G2804" s="25" t="str">
        <f ca="1">IFERROR(__xludf.DUMMYFUNCTION("""COMPUTED_VALUE"""),"06. Tunjuelito")</f>
        <v>06. Tunjuelito</v>
      </c>
      <c r="H2804" s="55">
        <f ca="1">IFERROR(__xludf.DUMMYFUNCTION("""COMPUTED_VALUE"""),45076)</f>
        <v>45076</v>
      </c>
      <c r="I2804" s="25" t="str">
        <f ca="1">IFERROR(__xludf.DUMMYFUNCTION("""COMPUTED_VALUE"""),"Secretaría Privada")</f>
        <v>Secretaría Privada</v>
      </c>
      <c r="J2804" s="55" t="str">
        <f ca="1">IFERROR(__xludf.DUMMYFUNCTION("""COMPUTED_VALUE"""),"Media")</f>
        <v>Media</v>
      </c>
      <c r="K2804" s="25">
        <f ca="1">IFERROR(__xludf.DUMMYFUNCTION("""COMPUTED_VALUE"""),84)</f>
        <v>84</v>
      </c>
      <c r="L2804" s="62">
        <f ca="1">IFERROR(__xludf.DUMMYFUNCTION("""COMPUTED_VALUE"""),45078)</f>
        <v>45078</v>
      </c>
      <c r="M2804" s="25" t="str">
        <f ca="1">IFERROR(__xludf.DUMMYFUNCTION("""COMPUTED_VALUE"""),"En el marco de la reglamentación del artículo 120 del POT, resultaron 14 ZUMA priorizadas dentro de las cuales se encuentra una en la localidad de Tunjuelito. De manera inicial, bajo el plan de acción establecido, este año se dará inicio a la implementaci"&amp;"ón de la ZUMA Apogeo, localizada en Bosa. Para esta ZUMA, se viene adelantando la caracterización/diagnóstico, definición de medidas por implentar, plan de acción y plan de monitoreo, en cooperación con C40. Por su parte, en el corto plazo no se tiene con"&amp;"templado dar inicio con la implementación de la ZUMA Tunjuelito. El 18 de abril se participó en la comisión 3ra de la Junta Administrativa Local de Tunjuelito para presentar los insumos de las ZUMA e iniciar articulación con la SDP en torno a la formulaci"&amp;"ón de las UPL Tunjuelito y Arborizadora e incidencia con la ZUMA Carvajal.")</f>
        <v>En el marco de la reglamentación del artículo 120 del POT, resultaron 14 ZUMA priorizadas dentro de las cuales se encuentra una en la localidad de Tunjuelito. De manera inicial, bajo el plan de acción establecido, este año se dará inicio a la implementación de la ZUMA Apogeo, localizada en Bosa. Para esta ZUMA, se viene adelantando la caracterización/diagnóstico, definición de medidas por implentar, plan de acción y plan de monitoreo, en cooperación con C40. Por su parte, en el corto plazo no se tiene contemplado dar inicio con la implementación de la ZUMA Tunjuelito. El 18 de abril se participó en la comisión 3ra de la Junta Administrativa Local de Tunjuelito para presentar los insumos de las ZUMA e iniciar articulación con la SDP en torno a la formulación de las UPL Tunjuelito y Arborizadora e incidencia con la ZUMA Carvajal.</v>
      </c>
      <c r="N2804" s="25"/>
      <c r="O2804" s="25" t="str">
        <f t="shared" ca="1" si="0"/>
        <v>Secretaría Distrital de Ambiente</v>
      </c>
      <c r="P2804" s="25" t="str">
        <f t="shared" ca="1" si="2"/>
        <v/>
      </c>
      <c r="Q2804" s="25" t="str">
        <f ca="1">IFERROR(__xludf.DUMMYFUNCTION("""COMPUTED_VALUE"""),"Mediano plazo")</f>
        <v>Mediano plazo</v>
      </c>
      <c r="R2804" s="25"/>
      <c r="S2804" s="55"/>
      <c r="T2804" s="56"/>
      <c r="U2804" s="25"/>
      <c r="V2804" s="25"/>
      <c r="W2804" s="25"/>
      <c r="X2804" s="25"/>
      <c r="Y2804" s="25"/>
      <c r="Z2804" s="25"/>
    </row>
    <row r="2805" spans="1:26" ht="52.5" customHeight="1" x14ac:dyDescent="0.25">
      <c r="A2805" s="25" t="str">
        <f ca="1">IFERROR(__xludf.DUMMYFUNCTION("""COMPUTED_VALUE"""),"Ambie103")</f>
        <v>Ambie103</v>
      </c>
      <c r="B2805" s="25"/>
      <c r="C2805" s="55"/>
      <c r="D2805" s="25" t="str">
        <f ca="1">IFERROR(__xludf.DUMMYFUNCTION("""COMPUTED_VALUE"""),"Ambiente")</f>
        <v>Ambiente</v>
      </c>
      <c r="E2805" s="25" t="str">
        <f ca="1">IFERROR(__xludf.DUMMYFUNCTION("""COMPUTED_VALUE"""),"Secretaría Distrital de Ambiente")</f>
        <v>Secretaría Distrital de Ambiente</v>
      </c>
      <c r="F2805" s="25" t="str">
        <f ca="1">IFERROR(__xludf.DUMMYFUNCTION("""COMPUTED_VALUE"""),"Eliminada")</f>
        <v>Eliminada</v>
      </c>
      <c r="G2805" s="25"/>
      <c r="H2805" s="25"/>
      <c r="I2805" s="25"/>
      <c r="J2805" s="55"/>
      <c r="K2805" s="25" t="str">
        <f ca="1">IFERROR(__xludf.DUMMYFUNCTION("""COMPUTED_VALUE"""),"Definir fecha")</f>
        <v>Definir fecha</v>
      </c>
      <c r="L2805" s="62"/>
      <c r="M2805" s="25"/>
      <c r="N2805" s="25"/>
      <c r="O2805" s="25" t="str">
        <f t="shared" ca="1" si="0"/>
        <v>Secretaría Distrital de Ambiente</v>
      </c>
      <c r="P2805" s="25" t="str">
        <f t="shared" si="2"/>
        <v/>
      </c>
      <c r="Q2805" s="25" t="str">
        <f ca="1">IFERROR(__xludf.DUMMYFUNCTION("""COMPUTED_VALUE"""),"Sin defenir")</f>
        <v>Sin defenir</v>
      </c>
      <c r="R2805" s="25"/>
      <c r="S2805" s="55"/>
      <c r="T2805" s="56"/>
      <c r="U2805" s="25"/>
      <c r="V2805" s="25"/>
      <c r="W2805" s="25"/>
      <c r="X2805" s="25"/>
      <c r="Y2805" s="25"/>
      <c r="Z2805" s="25"/>
    </row>
    <row r="2806" spans="1:26" ht="52.5" customHeight="1" x14ac:dyDescent="0.25">
      <c r="A2806" s="25" t="str">
        <f ca="1">IFERROR(__xludf.DUMMYFUNCTION("""COMPUTED_VALUE"""),"Ambie104")</f>
        <v>Ambie104</v>
      </c>
      <c r="B2806" s="25"/>
      <c r="C2806" s="55"/>
      <c r="D2806" s="25" t="str">
        <f ca="1">IFERROR(__xludf.DUMMYFUNCTION("""COMPUTED_VALUE"""),"Ambiente")</f>
        <v>Ambiente</v>
      </c>
      <c r="E2806" s="25" t="str">
        <f ca="1">IFERROR(__xludf.DUMMYFUNCTION("""COMPUTED_VALUE"""),"Secretaría Distrital de Ambiente")</f>
        <v>Secretaría Distrital de Ambiente</v>
      </c>
      <c r="F2806" s="25" t="str">
        <f ca="1">IFERROR(__xludf.DUMMYFUNCTION("""COMPUTED_VALUE"""),"Eliminada")</f>
        <v>Eliminada</v>
      </c>
      <c r="G2806" s="25"/>
      <c r="H2806" s="25"/>
      <c r="I2806" s="25"/>
      <c r="J2806" s="55"/>
      <c r="K2806" s="25" t="str">
        <f ca="1">IFERROR(__xludf.DUMMYFUNCTION("""COMPUTED_VALUE"""),"Definir fecha")</f>
        <v>Definir fecha</v>
      </c>
      <c r="L2806" s="62"/>
      <c r="M2806" s="25"/>
      <c r="N2806" s="25"/>
      <c r="O2806" s="25" t="str">
        <f t="shared" ca="1" si="0"/>
        <v>Secretaría Distrital de Ambiente</v>
      </c>
      <c r="P2806" s="25" t="str">
        <f t="shared" si="2"/>
        <v/>
      </c>
      <c r="Q2806" s="25" t="str">
        <f ca="1">IFERROR(__xludf.DUMMYFUNCTION("""COMPUTED_VALUE"""),"Sin defenir")</f>
        <v>Sin defenir</v>
      </c>
      <c r="R2806" s="25"/>
      <c r="S2806" s="55"/>
      <c r="T2806" s="56"/>
      <c r="U2806" s="25"/>
      <c r="V2806" s="25"/>
      <c r="W2806" s="25"/>
      <c r="X2806" s="25"/>
      <c r="Y2806" s="25"/>
      <c r="Z2806" s="25"/>
    </row>
    <row r="2807" spans="1:26" ht="52.5" customHeight="1" x14ac:dyDescent="0.25">
      <c r="A2807" s="25" t="str">
        <f ca="1">IFERROR(__xludf.DUMMYFUNCTION("""COMPUTED_VALUE"""),"Ambie105")</f>
        <v>Ambie105</v>
      </c>
      <c r="B2807" s="25"/>
      <c r="C2807" s="55"/>
      <c r="D2807" s="25" t="str">
        <f ca="1">IFERROR(__xludf.DUMMYFUNCTION("""COMPUTED_VALUE"""),"Ambiente")</f>
        <v>Ambiente</v>
      </c>
      <c r="E2807" s="25" t="str">
        <f ca="1">IFERROR(__xludf.DUMMYFUNCTION("""COMPUTED_VALUE"""),"Secretaría Distrital de Ambiente")</f>
        <v>Secretaría Distrital de Ambiente</v>
      </c>
      <c r="F2807" s="25" t="str">
        <f ca="1">IFERROR(__xludf.DUMMYFUNCTION("""COMPUTED_VALUE"""),"Eliminada")</f>
        <v>Eliminada</v>
      </c>
      <c r="G2807" s="25"/>
      <c r="H2807" s="25"/>
      <c r="I2807" s="25"/>
      <c r="J2807" s="55"/>
      <c r="K2807" s="25" t="str">
        <f ca="1">IFERROR(__xludf.DUMMYFUNCTION("""COMPUTED_VALUE"""),"Definir fecha")</f>
        <v>Definir fecha</v>
      </c>
      <c r="L2807" s="62"/>
      <c r="M2807" s="25"/>
      <c r="N2807" s="25"/>
      <c r="O2807" s="25" t="str">
        <f t="shared" ca="1" si="0"/>
        <v>Secretaría Distrital de Ambiente</v>
      </c>
      <c r="P2807" s="25" t="str">
        <f t="shared" si="2"/>
        <v/>
      </c>
      <c r="Q2807" s="25" t="str">
        <f ca="1">IFERROR(__xludf.DUMMYFUNCTION("""COMPUTED_VALUE"""),"Sin defenir")</f>
        <v>Sin defenir</v>
      </c>
      <c r="R2807" s="25"/>
      <c r="S2807" s="55"/>
      <c r="T2807" s="56"/>
      <c r="U2807" s="25"/>
      <c r="V2807" s="25"/>
      <c r="W2807" s="25"/>
      <c r="X2807" s="25"/>
      <c r="Y2807" s="25"/>
      <c r="Z2807" s="25"/>
    </row>
    <row r="2808" spans="1:26" ht="52.5" customHeight="1" x14ac:dyDescent="0.25">
      <c r="A2808" s="25" t="str">
        <f ca="1">IFERROR(__xludf.DUMMYFUNCTION("""COMPUTED_VALUE"""),"Ambie106")</f>
        <v>Ambie106</v>
      </c>
      <c r="B2808" s="25" t="str">
        <f ca="1">IFERROR(__xludf.DUMMYFUNCTION("""COMPUTED_VALUE"""),"Recorrido Rafael Uribe Uribe")</f>
        <v>Recorrido Rafael Uribe Uribe</v>
      </c>
      <c r="C2808" s="55">
        <f ca="1">IFERROR(__xludf.DUMMYFUNCTION("""COMPUTED_VALUE"""),45006)</f>
        <v>45006</v>
      </c>
      <c r="D2808" s="25" t="str">
        <f ca="1">IFERROR(__xludf.DUMMYFUNCTION("""COMPUTED_VALUE"""),"Ambiente")</f>
        <v>Ambiente</v>
      </c>
      <c r="E2808" s="25" t="str">
        <f ca="1">IFERROR(__xludf.DUMMYFUNCTION("""COMPUTED_VALUE"""),"Jardín Botánico José Celestino Mutis")</f>
        <v>Jardín Botánico José Celestino Mutis</v>
      </c>
      <c r="F2808" s="25" t="str">
        <f ca="1">IFERROR(__xludf.DUMMYFUNCTION("""COMPUTED_VALUE"""),"Destinar el lote del IDRD ubicado junto al parque Santa Lucía zona 2 y al colegio Cafam Santa Lucía en la localidad de Rafael Uribe Uribe para siembra de bosque urbano, y el borde de este predio emplearlo para uso de huerta comunitaria.")</f>
        <v>Destinar el lote del IDRD ubicado junto al parque Santa Lucía zona 2 y al colegio Cafam Santa Lucía en la localidad de Rafael Uribe Uribe para siembra de bosque urbano, y el borde de este predio emplearlo para uso de huerta comunitaria.</v>
      </c>
      <c r="G2808" s="25" t="str">
        <f ca="1">IFERROR(__xludf.DUMMYFUNCTION("""COMPUTED_VALUE"""),"18. Rafael Uribe Uribe")</f>
        <v>18. Rafael Uribe Uribe</v>
      </c>
      <c r="H2808" s="55">
        <f ca="1">IFERROR(__xludf.DUMMYFUNCTION("""COMPUTED_VALUE"""),45061)</f>
        <v>45061</v>
      </c>
      <c r="I2808" s="25" t="str">
        <f ca="1">IFERROR(__xludf.DUMMYFUNCTION("""COMPUTED_VALUE"""),"Secretaría Privada")</f>
        <v>Secretaría Privada</v>
      </c>
      <c r="J2808" s="55" t="str">
        <f ca="1">IFERROR(__xludf.DUMMYFUNCTION("""COMPUTED_VALUE"""),"Alta")</f>
        <v>Alta</v>
      </c>
      <c r="K2808" s="25">
        <f ca="1">IFERROR(__xludf.DUMMYFUNCTION("""COMPUTED_VALUE"""),55)</f>
        <v>55</v>
      </c>
      <c r="L2808" s="62">
        <f ca="1">IFERROR(__xludf.DUMMYFUNCTION("""COMPUTED_VALUE"""),45077)</f>
        <v>45077</v>
      </c>
      <c r="M2808" s="25" t="str">
        <f ca="1">IFERROR(__xludf.DUMMYFUNCTION("""COMPUTED_VALUE"""),"Consultado el IDRD por el JBB, comunica que no es posible la intervención debido a que el parque aún se encuentra en garantia")</f>
        <v>Consultado el IDRD por el JBB, comunica que no es posible la intervención debido a que el parque aún se encuentra en garantia</v>
      </c>
      <c r="N2808" s="25"/>
      <c r="O2808" s="25" t="str">
        <f t="shared" ca="1" si="0"/>
        <v>Jardín Botánico José Celestino Mutis</v>
      </c>
      <c r="P2808" s="25" t="str">
        <f t="shared" ca="1" si="2"/>
        <v/>
      </c>
      <c r="Q2808" s="25" t="str">
        <f ca="1">IFERROR(__xludf.DUMMYFUNCTION("""COMPUTED_VALUE"""),"Corto plazo")</f>
        <v>Corto plazo</v>
      </c>
      <c r="R2808" s="25"/>
      <c r="S2808" s="55"/>
      <c r="T2808" s="56"/>
      <c r="U2808" s="25"/>
      <c r="V2808" s="25"/>
      <c r="W2808" s="25"/>
      <c r="X2808" s="25"/>
      <c r="Y2808" s="25"/>
      <c r="Z2808" s="25"/>
    </row>
    <row r="2809" spans="1:26" ht="52.5" customHeight="1" x14ac:dyDescent="0.25">
      <c r="A2809" s="25" t="str">
        <f ca="1">IFERROR(__xludf.DUMMYFUNCTION("""COMPUTED_VALUE"""),"Ambie107")</f>
        <v>Ambie107</v>
      </c>
      <c r="B2809" s="25" t="str">
        <f ca="1">IFERROR(__xludf.DUMMYFUNCTION("""COMPUTED_VALUE"""),"Recorrido Rafael Uribe Uribe")</f>
        <v>Recorrido Rafael Uribe Uribe</v>
      </c>
      <c r="C2809" s="55">
        <f ca="1">IFERROR(__xludf.DUMMYFUNCTION("""COMPUTED_VALUE"""),45006)</f>
        <v>45006</v>
      </c>
      <c r="D2809" s="25" t="str">
        <f ca="1">IFERROR(__xludf.DUMMYFUNCTION("""COMPUTED_VALUE"""),"Ambiente")</f>
        <v>Ambiente</v>
      </c>
      <c r="E2809" s="25" t="str">
        <f ca="1">IFERROR(__xludf.DUMMYFUNCTION("""COMPUTED_VALUE"""),"Instituto Distrital de Gestión de Riesgos y Cambio Climático")</f>
        <v>Instituto Distrital de Gestión de Riesgos y Cambio Climático</v>
      </c>
      <c r="F2809" s="25" t="str">
        <f ca="1">IFERROR(__xludf.DUMMYFUNCTION("""COMPUTED_VALUE"""),"Revisar el estado de riesgo ante posibles deslizamientos en el sector el Rosal, la Paz, la Alameda y Cerranía en la localidad de Rafael Uribe Uribe.")</f>
        <v>Revisar el estado de riesgo ante posibles deslizamientos en el sector el Rosal, la Paz, la Alameda y Cerranía en la localidad de Rafael Uribe Uribe.</v>
      </c>
      <c r="G2809" s="25" t="str">
        <f ca="1">IFERROR(__xludf.DUMMYFUNCTION("""COMPUTED_VALUE"""),"18. Rafael Uribe Uribe")</f>
        <v>18. Rafael Uribe Uribe</v>
      </c>
      <c r="H2809" s="55">
        <f ca="1">IFERROR(__xludf.DUMMYFUNCTION("""COMPUTED_VALUE"""),45026)</f>
        <v>45026</v>
      </c>
      <c r="I2809" s="25" t="str">
        <f ca="1">IFERROR(__xludf.DUMMYFUNCTION("""COMPUTED_VALUE"""),"Secretaría Privada")</f>
        <v>Secretaría Privada</v>
      </c>
      <c r="J2809" s="55" t="str">
        <f ca="1">IFERROR(__xludf.DUMMYFUNCTION("""COMPUTED_VALUE"""),"Alta")</f>
        <v>Alta</v>
      </c>
      <c r="K2809" s="25">
        <f ca="1">IFERROR(__xludf.DUMMYFUNCTION("""COMPUTED_VALUE"""),20)</f>
        <v>20</v>
      </c>
      <c r="L2809" s="62">
        <f ca="1">IFERROR(__xludf.DUMMYFUNCTION("""COMPUTED_VALUE"""),45061)</f>
        <v>45061</v>
      </c>
      <c r="M2809" s="66" t="str">
        <f ca="1">IFERROR(__xludf.DUMMYFUNCTION("""COMPUTED_VALUE"""),"Se realizó la recopilación de Diagnósticos Técnicos emitidos para las zonas de La Paz, La Alameda y Serranías, desde el año 2019, en los sectores que presenten riesgo por movimiento en masa. Se anexan las salidas de los documentos: https://drive.google.co"&amp;"m/drive/folders/1L8HTuJoz2kjMzONpkAHhU_4QQBVAQeD3?usp=sharing")</f>
        <v>Se realizó la recopilación de Diagnósticos Técnicos emitidos para las zonas de La Paz, La Alameda y Serranías, desde el año 2019, en los sectores que presenten riesgo por movimiento en masa. Se anexan las salidas de los documentos: https://drive.google.com/drive/folders/1L8HTuJoz2kjMzONpkAHhU_4QQBVAQeD3?usp=sharing</v>
      </c>
      <c r="N2809" s="55">
        <f ca="1">IFERROR(__xludf.DUMMYFUNCTION("""COMPUTED_VALUE"""),45026)</f>
        <v>45026</v>
      </c>
      <c r="O2809" s="25" t="str">
        <f t="shared" ca="1" si="0"/>
        <v>Instituto Distrital de Gestión de Riesgos y Cambio Climático</v>
      </c>
      <c r="P2809" s="25" t="str">
        <f t="shared" ca="1" si="2"/>
        <v/>
      </c>
      <c r="Q2809" s="25" t="str">
        <f ca="1">IFERROR(__xludf.DUMMYFUNCTION("""COMPUTED_VALUE"""),"Corto plazo")</f>
        <v>Corto plazo</v>
      </c>
      <c r="R2809" s="25"/>
      <c r="S2809" s="55"/>
      <c r="T2809" s="56"/>
      <c r="U2809" s="25"/>
      <c r="V2809" s="25"/>
      <c r="W2809" s="25"/>
      <c r="X2809" s="25"/>
      <c r="Y2809" s="25"/>
      <c r="Z2809" s="25"/>
    </row>
    <row r="2810" spans="1:26" ht="52.5" customHeight="1" x14ac:dyDescent="0.25">
      <c r="A2810" s="25" t="str">
        <f ca="1">IFERROR(__xludf.DUMMYFUNCTION("""COMPUTED_VALUE"""),"Ambie108")</f>
        <v>Ambie108</v>
      </c>
      <c r="B2810" s="25" t="str">
        <f ca="1">IFERROR(__xludf.DUMMYFUNCTION("""COMPUTED_VALUE"""),"Recorrido Rafael Uribe Uribe")</f>
        <v>Recorrido Rafael Uribe Uribe</v>
      </c>
      <c r="C2810" s="55">
        <f ca="1">IFERROR(__xludf.DUMMYFUNCTION("""COMPUTED_VALUE"""),45006)</f>
        <v>45006</v>
      </c>
      <c r="D2810" s="25" t="str">
        <f ca="1">IFERROR(__xludf.DUMMYFUNCTION("""COMPUTED_VALUE"""),"Ambiente")</f>
        <v>Ambiente</v>
      </c>
      <c r="E2810" s="25" t="str">
        <f ca="1">IFERROR(__xludf.DUMMYFUNCTION("""COMPUTED_VALUE"""),"Instituto Distrital de Gestión de Riesgos y Cambio Climático")</f>
        <v>Instituto Distrital de Gestión de Riesgos y Cambio Climático</v>
      </c>
      <c r="F2810" s="25" t="str">
        <f ca="1">IFERROR(__xludf.DUMMYFUNCTION("""COMPUTED_VALUE"""),"Evaluar capacidad presupuestal de FONDIGER para destinar recursos a las localidades de Rafael Uribe Uribe y San Cristóbal.")</f>
        <v>Evaluar capacidad presupuestal de FONDIGER para destinar recursos a las localidades de Rafael Uribe Uribe y San Cristóbal.</v>
      </c>
      <c r="G2810" s="25" t="str">
        <f ca="1">IFERROR(__xludf.DUMMYFUNCTION("""COMPUTED_VALUE"""),"99. Distrito")</f>
        <v>99. Distrito</v>
      </c>
      <c r="H2810" s="55">
        <f ca="1">IFERROR(__xludf.DUMMYFUNCTION("""COMPUTED_VALUE"""),45031)</f>
        <v>45031</v>
      </c>
      <c r="I2810" s="25" t="str">
        <f ca="1">IFERROR(__xludf.DUMMYFUNCTION("""COMPUTED_VALUE"""),"Secretaría Privada")</f>
        <v>Secretaría Privada</v>
      </c>
      <c r="J2810" s="55" t="str">
        <f ca="1">IFERROR(__xludf.DUMMYFUNCTION("""COMPUTED_VALUE"""),"Alta")</f>
        <v>Alta</v>
      </c>
      <c r="K2810" s="25">
        <f ca="1">IFERROR(__xludf.DUMMYFUNCTION("""COMPUTED_VALUE"""),25)</f>
        <v>25</v>
      </c>
      <c r="L2810" s="62">
        <f ca="1">IFERROR(__xludf.DUMMYFUNCTION("""COMPUTED_VALUE"""),45077)</f>
        <v>45077</v>
      </c>
      <c r="M2810" s="25" t="str">
        <f ca="1">IFERROR(__xludf.DUMMYFUNCTION("""COMPUTED_VALUE"""),"En atención a la solicitud de la Alcaldesa, se realizó la financiación de la obra de mitigación en el sector El Portal en la Localidad de Rafael Uribe Uribe, y en la Localidad de San Cristóbal no hay proyectos viables para obras de mitigación de riesgos p"&amp;"orque no se cuenta con estudios y diseños de los sitios.")</f>
        <v>En atención a la solicitud de la Alcaldesa, se realizó la financiación de la obra de mitigación en el sector El Portal en la Localidad de Rafael Uribe Uribe, y en la Localidad de San Cristóbal no hay proyectos viables para obras de mitigación de riesgos porque no se cuenta con estudios y diseños de los sitios.</v>
      </c>
      <c r="N2810" s="25"/>
      <c r="O2810" s="25" t="str">
        <f t="shared" ca="1" si="0"/>
        <v>Instituto Distrital de Gestión de Riesgos y Cambio Climático</v>
      </c>
      <c r="P2810" s="25" t="str">
        <f t="shared" ca="1" si="2"/>
        <v/>
      </c>
      <c r="Q2810" s="25" t="str">
        <f ca="1">IFERROR(__xludf.DUMMYFUNCTION("""COMPUTED_VALUE"""),"Corto plazo")</f>
        <v>Corto plazo</v>
      </c>
      <c r="R2810" s="25"/>
      <c r="S2810" s="55"/>
      <c r="T2810" s="56"/>
      <c r="U2810" s="25"/>
      <c r="V2810" s="25"/>
      <c r="W2810" s="25"/>
      <c r="X2810" s="25"/>
      <c r="Y2810" s="25"/>
      <c r="Z2810" s="25"/>
    </row>
    <row r="2811" spans="1:26" ht="52.5" customHeight="1" x14ac:dyDescent="0.25">
      <c r="A2811" s="25" t="str">
        <f ca="1">IFERROR(__xludf.DUMMYFUNCTION("""COMPUTED_VALUE"""),"Ambie109")</f>
        <v>Ambie109</v>
      </c>
      <c r="B2811" s="25" t="str">
        <f ca="1">IFERROR(__xludf.DUMMYFUNCTION("""COMPUTED_VALUE"""),"Comité de Gestión del Riesgo")</f>
        <v>Comité de Gestión del Riesgo</v>
      </c>
      <c r="C2811" s="55">
        <f ca="1">IFERROR(__xludf.DUMMYFUNCTION("""COMPUTED_VALUE"""),45002)</f>
        <v>45002</v>
      </c>
      <c r="D2811" s="25" t="str">
        <f ca="1">IFERROR(__xludf.DUMMYFUNCTION("""COMPUTED_VALUE"""),"Ambiente")</f>
        <v>Ambiente</v>
      </c>
      <c r="E2811" s="25" t="str">
        <f ca="1">IFERROR(__xludf.DUMMYFUNCTION("""COMPUTED_VALUE"""),"Jardín Botánico José Celestino Mutis")</f>
        <v>Jardín Botánico José Celestino Mutis</v>
      </c>
      <c r="F2811" s="25" t="str">
        <f ca="1">IFERROR(__xludf.DUMMYFUNCTION("""COMPUTED_VALUE"""),"En la vía La Calera - localidad de Chapinero, y entre el Parque Nacional y Monserrate hacer la poda sobre la circunvalar.")</f>
        <v>En la vía La Calera - localidad de Chapinero, y entre el Parque Nacional y Monserrate hacer la poda sobre la circunvalar.</v>
      </c>
      <c r="G2811" s="25" t="str">
        <f ca="1">IFERROR(__xludf.DUMMYFUNCTION("""COMPUTED_VALUE"""),"99. Distrito")</f>
        <v>99. Distrito</v>
      </c>
      <c r="H2811" s="55">
        <f ca="1">IFERROR(__xludf.DUMMYFUNCTION("""COMPUTED_VALUE"""),45046)</f>
        <v>45046</v>
      </c>
      <c r="I2811" s="25"/>
      <c r="J2811" s="55" t="str">
        <f ca="1">IFERROR(__xludf.DUMMYFUNCTION("""COMPUTED_VALUE"""),"Alta")</f>
        <v>Alta</v>
      </c>
      <c r="K2811" s="25">
        <f ca="1">IFERROR(__xludf.DUMMYFUNCTION("""COMPUTED_VALUE"""),44)</f>
        <v>44</v>
      </c>
      <c r="L2811" s="62">
        <f ca="1">IFERROR(__xludf.DUMMYFUNCTION("""COMPUTED_VALUE"""),45031)</f>
        <v>45031</v>
      </c>
      <c r="M2811" s="25" t="str">
        <f ca="1">IFERROR(__xludf.DUMMYFUNCTION("""COMPUTED_VALUE"""),"El JBB realizó  el apoyó a la Empresa de Acueductoy Alcantarillado de Bogotá con las  podas desde la Universidad Distrital hasta el Parque nacional,está actividad se cumplió desde el 30 de marzo de 2023")</f>
        <v>El JBB realizó  el apoyó a la Empresa de Acueductoy Alcantarillado de Bogotá con las  podas desde la Universidad Distrital hasta el Parque nacional,está actividad se cumplió desde el 30 de marzo de 2023</v>
      </c>
      <c r="N2811" s="55">
        <f ca="1">IFERROR(__xludf.DUMMYFUNCTION("""COMPUTED_VALUE"""),45030)</f>
        <v>45030</v>
      </c>
      <c r="O2811" s="25" t="str">
        <f t="shared" ca="1" si="0"/>
        <v>Jardín Botánico José Celestino Mutis</v>
      </c>
      <c r="P2811" s="25" t="str">
        <f t="shared" si="2"/>
        <v/>
      </c>
      <c r="Q2811" s="25" t="str">
        <f ca="1">IFERROR(__xludf.DUMMYFUNCTION("""COMPUTED_VALUE"""),"Corto plazo")</f>
        <v>Corto plazo</v>
      </c>
      <c r="R2811" s="25"/>
      <c r="S2811" s="55"/>
      <c r="T2811" s="56"/>
      <c r="U2811" s="25"/>
      <c r="V2811" s="25"/>
      <c r="W2811" s="25"/>
      <c r="X2811" s="25"/>
      <c r="Y2811" s="25"/>
      <c r="Z2811" s="25"/>
    </row>
    <row r="2812" spans="1:26" ht="52.5" customHeight="1" x14ac:dyDescent="0.25">
      <c r="A2812" s="25" t="str">
        <f ca="1">IFERROR(__xludf.DUMMYFUNCTION("""COMPUTED_VALUE"""),"Ambie110")</f>
        <v>Ambie110</v>
      </c>
      <c r="B2812" s="25" t="str">
        <f ca="1">IFERROR(__xludf.DUMMYFUNCTION("""COMPUTED_VALUE"""),"Junta de Infraestructura")</f>
        <v>Junta de Infraestructura</v>
      </c>
      <c r="C2812" s="55">
        <f ca="1">IFERROR(__xludf.DUMMYFUNCTION("""COMPUTED_VALUE"""),45009)</f>
        <v>45009</v>
      </c>
      <c r="D2812" s="25" t="str">
        <f ca="1">IFERROR(__xludf.DUMMYFUNCTION("""COMPUTED_VALUE"""),"Ambiente")</f>
        <v>Ambiente</v>
      </c>
      <c r="E2812" s="25" t="str">
        <f ca="1">IFERROR(__xludf.DUMMYFUNCTION("""COMPUTED_VALUE"""),"Secretaría Distrital de Ambiente")</f>
        <v>Secretaría Distrital de Ambiente</v>
      </c>
      <c r="F2812" s="25" t="str">
        <f ca="1">IFERROR(__xludf.DUMMYFUNCTION("""COMPUTED_VALUE"""),"Entregar el concepto ambiental SDA - Proyecto Gibraltar")</f>
        <v>Entregar el concepto ambiental SDA - Proyecto Gibraltar</v>
      </c>
      <c r="G2812" s="25" t="str">
        <f ca="1">IFERROR(__xludf.DUMMYFUNCTION("""COMPUTED_VALUE"""),"07. Bosa")</f>
        <v>07. Bosa</v>
      </c>
      <c r="H2812" s="55">
        <f ca="1">IFERROR(__xludf.DUMMYFUNCTION("""COMPUTED_VALUE"""),45138)</f>
        <v>45138</v>
      </c>
      <c r="I2812" s="25" t="str">
        <f ca="1">IFERROR(__xludf.DUMMYFUNCTION("""COMPUTED_VALUE"""),"Junta de Infraestructura")</f>
        <v>Junta de Infraestructura</v>
      </c>
      <c r="J2812" s="55" t="str">
        <f ca="1">IFERROR(__xludf.DUMMYFUNCTION("""COMPUTED_VALUE"""),"Alta")</f>
        <v>Alta</v>
      </c>
      <c r="K2812" s="25">
        <f ca="1">IFERROR(__xludf.DUMMYFUNCTION("""COMPUTED_VALUE"""),129)</f>
        <v>129</v>
      </c>
      <c r="L2812" s="62">
        <f ca="1">IFERROR(__xludf.DUMMYFUNCTION("""COMPUTED_VALUE"""),45077)</f>
        <v>45077</v>
      </c>
      <c r="M2812" s="25" t="str">
        <f ca="1">IFERROR(__xludf.DUMMYFUNCTION("""COMPUTED_VALUE"""),"Desde la SSFFS se genera requerimiento mediante oficio 2023EE68074 del 2023-03-29 al IDRD a la documentacion allegada para los permisos de interenvencion silvicultural para proyecto Parque Metropolitano Porvenir Gibraltar. una vez allegada la informacion "&amp;"en los terminos se continuara el tramite.
Para el tramite de permisos de intervencion silvicultural se requiere que se allegue la informacion requerida. se tiene maximo mes para allegar la misma desde que reciben la comunicacion.
La SDA mediante el oficio"&amp;" N°2023EE68074 del 2023-03-29 informó al IDRD sobre la documentación requerida para otorgar los permisos de intervención silvicultural para dar continuidad al proyecto Parque Metropolitano Porvenir Gibraltar. Una vez los documentos sean allegados a la SDA"&amp;" en los términos solicitados, se continuará con el trámite de expedición de concepto.
En espera de radicado de alcance para continuidad del tramite, Una vez los documentos sean allegados a la SDA en los términos solicitados, se continuará con el trámite d"&amp;"e expedición de concepto.")</f>
        <v>Desde la SSFFS se genera requerimiento mediante oficio 2023EE68074 del 2023-03-29 al IDRD a la documentacion allegada para los permisos de interenvencion silvicultural para proyecto Parque Metropolitano Porvenir Gibraltar. una vez allegada la informacion en los terminos se continuara el tramite.
Para el tramite de permisos de intervencion silvicultural se requiere que se allegue la informacion requerida. se tiene maximo mes para allegar la misma desde que reciben la comunicacion.
La SDA mediante el oficio N°2023EE68074 del 2023-03-29 informó al IDRD sobre la documentación requerida para otorgar los permisos de intervención silvicultural para dar continuidad al proyecto Parque Metropolitano Porvenir Gibraltar. Una vez los documentos sean allegados a la SDA en los términos solicitados, se continuará con el trámite de expedición de concepto.
En espera de radicado de alcance para continuidad del tramite, Una vez los documentos sean allegados a la SDA en los términos solicitados, se continuará con el trámite de expedición de concepto.</v>
      </c>
      <c r="N2812" s="25"/>
      <c r="O2812" s="25" t="str">
        <f t="shared" ca="1" si="0"/>
        <v>Secretaría Distrital de Ambiente</v>
      </c>
      <c r="P2812" s="25" t="str">
        <f t="shared" ca="1" si="2"/>
        <v/>
      </c>
      <c r="Q2812" s="25" t="str">
        <f ca="1">IFERROR(__xludf.DUMMYFUNCTION("""COMPUTED_VALUE"""),"Mediano plazo")</f>
        <v>Mediano plazo</v>
      </c>
      <c r="R2812" s="25"/>
      <c r="S2812" s="55"/>
      <c r="T2812" s="56"/>
      <c r="U2812" s="25"/>
      <c r="V2812" s="25"/>
      <c r="W2812" s="25"/>
      <c r="X2812" s="25"/>
      <c r="Y2812" s="25"/>
      <c r="Z2812" s="25"/>
    </row>
    <row r="2813" spans="1:26" ht="52.5" customHeight="1" x14ac:dyDescent="0.25">
      <c r="A2813" s="25" t="str">
        <f ca="1">IFERROR(__xludf.DUMMYFUNCTION("""COMPUTED_VALUE"""),"Ambie111")</f>
        <v>Ambie111</v>
      </c>
      <c r="B2813" s="25" t="str">
        <f ca="1">IFERROR(__xludf.DUMMYFUNCTION("""COMPUTED_VALUE"""),"Consejo Local de Gobierno de Fontibón")</f>
        <v>Consejo Local de Gobierno de Fontibón</v>
      </c>
      <c r="C2813" s="55">
        <f ca="1">IFERROR(__xludf.DUMMYFUNCTION("""COMPUTED_VALUE"""),44609)</f>
        <v>44609</v>
      </c>
      <c r="D2813" s="25" t="str">
        <f ca="1">IFERROR(__xludf.DUMMYFUNCTION("""COMPUTED_VALUE"""),"Ambiente")</f>
        <v>Ambiente</v>
      </c>
      <c r="E2813" s="25" t="str">
        <f ca="1">IFERROR(__xludf.DUMMYFUNCTION("""COMPUTED_VALUE"""),"Secretaría Distrital de Ambiente")</f>
        <v>Secretaría Distrital de Ambiente</v>
      </c>
      <c r="F2813" s="25" t="str">
        <f ca="1">IFERROR(__xludf.DUMMYFUNCTION("""COMPUTED_VALUE"""),"Revisar el problema con la empresa Empacor, que está afectando la calidad de vida de la comunidad del conjunto residencial reservas de Fontibón (problemas con malos olores y ruidos que genera la industria)")</f>
        <v>Revisar el problema con la empresa Empacor, que está afectando la calidad de vida de la comunidad del conjunto residencial reservas de Fontibón (problemas con malos olores y ruidos que genera la industria)</v>
      </c>
      <c r="G2813" s="25" t="str">
        <f ca="1">IFERROR(__xludf.DUMMYFUNCTION("""COMPUTED_VALUE"""),"09. Fontibón")</f>
        <v>09. Fontibón</v>
      </c>
      <c r="H2813" s="55">
        <f ca="1">IFERROR(__xludf.DUMMYFUNCTION("""COMPUTED_VALUE"""),45107)</f>
        <v>45107</v>
      </c>
      <c r="I2813" s="25" t="str">
        <f ca="1">IFERROR(__xludf.DUMMYFUNCTION("""COMPUTED_VALUE"""),"Secretaría Privada")</f>
        <v>Secretaría Privada</v>
      </c>
      <c r="J2813" s="55" t="str">
        <f ca="1">IFERROR(__xludf.DUMMYFUNCTION("""COMPUTED_VALUE"""),"Baja")</f>
        <v>Baja</v>
      </c>
      <c r="K2813" s="25">
        <f ca="1">IFERROR(__xludf.DUMMYFUNCTION("""COMPUTED_VALUE"""),498)</f>
        <v>498</v>
      </c>
      <c r="L2813" s="62">
        <f ca="1">IFERROR(__xludf.DUMMYFUNCTION("""COMPUTED_VALUE"""),45077)</f>
        <v>45077</v>
      </c>
      <c r="M2813" s="25" t="str">
        <f ca="1">IFERROR(__xludf.DUMMYFUNCTION("""COMPUTED_VALUE"""),"La autoridad ambiental competente es la CAR según la Acción Popular del Meandro del Say. La Secretaría de Ambiente llevó la denuncia a esta entidad y se trató en la reunión con la alcaldesa y el director de la CAR el 4 de marzo de 2022. 
 Asimismo, dura"&amp;"nte la mesa de trabajo del humedal Meandro del Say se hizo la socialización de las acciones de la acción popular y la Personera del Municipio de Mosquera se comprometió a hacer una mesa de trabajo con la Alcaldía Local de Fontibón, la Alcaldía de Mosquera"&amp;" y la CAR para poder ver las acciones que se deben implementar.")</f>
        <v>La autoridad ambiental competente es la CAR según la Acción Popular del Meandro del Say. La Secretaría de Ambiente llevó la denuncia a esta entidad y se trató en la reunión con la alcaldesa y el director de la CAR el 4 de marzo de 2022. 
 Asimismo, durante la mesa de trabajo del humedal Meandro del Say se hizo la socialización de las acciones de la acción popular y la Personera del Municipio de Mosquera se comprometió a hacer una mesa de trabajo con la Alcaldía Local de Fontibón, la Alcaldía de Mosquera y la CAR para poder ver las acciones que se deben implementar.</v>
      </c>
      <c r="N2813" s="25"/>
      <c r="O2813" s="25" t="str">
        <f t="shared" ca="1" si="0"/>
        <v>Secretaría Distrital de Ambiente</v>
      </c>
      <c r="P2813" s="25" t="str">
        <f t="shared" ca="1" si="2"/>
        <v/>
      </c>
      <c r="Q2813" s="25" t="str">
        <f ca="1">IFERROR(__xludf.DUMMYFUNCTION("""COMPUTED_VALUE"""),"Largo plazo")</f>
        <v>Largo plazo</v>
      </c>
      <c r="R2813" s="25"/>
      <c r="S2813" s="55"/>
      <c r="T2813" s="56"/>
      <c r="U2813" s="25"/>
      <c r="V2813" s="25"/>
      <c r="W2813" s="25"/>
      <c r="X2813" s="25"/>
      <c r="Y2813" s="25"/>
      <c r="Z2813" s="25"/>
    </row>
    <row r="2814" spans="1:26" ht="52.5" customHeight="1" x14ac:dyDescent="0.25">
      <c r="A2814" s="25" t="str">
        <f ca="1">IFERROR(__xludf.DUMMYFUNCTION("""COMPUTED_VALUE"""),"Ambie112")</f>
        <v>Ambie112</v>
      </c>
      <c r="B2814" s="25" t="str">
        <f ca="1">IFERROR(__xludf.DUMMYFUNCTION("""COMPUTED_VALUE"""),"Consejo Local de Gobierno de Fontibón")</f>
        <v>Consejo Local de Gobierno de Fontibón</v>
      </c>
      <c r="C2814" s="55">
        <f ca="1">IFERROR(__xludf.DUMMYFUNCTION("""COMPUTED_VALUE"""),44609)</f>
        <v>44609</v>
      </c>
      <c r="D2814" s="25" t="str">
        <f ca="1">IFERROR(__xludf.DUMMYFUNCTION("""COMPUTED_VALUE"""),"Ambiente")</f>
        <v>Ambiente</v>
      </c>
      <c r="E2814" s="25" t="str">
        <f ca="1">IFERROR(__xludf.DUMMYFUNCTION("""COMPUTED_VALUE"""),"Secretaría Distrital de Ambiente")</f>
        <v>Secretaría Distrital de Ambiente</v>
      </c>
      <c r="F2814" s="25" t="str">
        <f ca="1">IFERROR(__xludf.DUMMYFUNCTION("""COMPUTED_VALUE"""),"Revisar qué solución se puede dar a las problemáticas (malos olores) generadas por el matadero San Martín (Av. Cali con calle 13) a sectores como Hayuelos, La Felicidad y Ciudadela El Tintal.")</f>
        <v>Revisar qué solución se puede dar a las problemáticas (malos olores) generadas por el matadero San Martín (Av. Cali con calle 13) a sectores como Hayuelos, La Felicidad y Ciudadela El Tintal.</v>
      </c>
      <c r="G2814" s="25" t="str">
        <f ca="1">IFERROR(__xludf.DUMMYFUNCTION("""COMPUTED_VALUE"""),"09. Fontibón")</f>
        <v>09. Fontibón</v>
      </c>
      <c r="H2814" s="55">
        <f ca="1">IFERROR(__xludf.DUMMYFUNCTION("""COMPUTED_VALUE"""),45077)</f>
        <v>45077</v>
      </c>
      <c r="I2814" s="25" t="str">
        <f ca="1">IFERROR(__xludf.DUMMYFUNCTION("""COMPUTED_VALUE"""),"Secretaría Privada")</f>
        <v>Secretaría Privada</v>
      </c>
      <c r="J2814" s="55" t="str">
        <f ca="1">IFERROR(__xludf.DUMMYFUNCTION("""COMPUTED_VALUE"""),"Baja")</f>
        <v>Baja</v>
      </c>
      <c r="K2814" s="25">
        <f ca="1">IFERROR(__xludf.DUMMYFUNCTION("""COMPUTED_VALUE"""),468)</f>
        <v>468</v>
      </c>
      <c r="L2814" s="62">
        <f ca="1">IFERROR(__xludf.DUMMYFUNCTION("""COMPUTED_VALUE"""),45077)</f>
        <v>45077</v>
      </c>
      <c r="M2814" s="25" t="str">
        <f ca="1">IFERROR(__xludf.DUMMYFUNCTION("""COMPUTED_VALUE"""),"Las acciones son competencia de la CAR. Las preocupaciones se trasladaron al Director en reunión sostenida con la Alcaldesa Mayor el 4/03/22.")</f>
        <v>Las acciones son competencia de la CAR. Las preocupaciones se trasladaron al Director en reunión sostenida con la Alcaldesa Mayor el 4/03/22.</v>
      </c>
      <c r="N2814" s="25"/>
      <c r="O2814" s="25" t="str">
        <f t="shared" ca="1" si="0"/>
        <v>Secretaría Distrital de Ambiente</v>
      </c>
      <c r="P2814" s="25" t="str">
        <f t="shared" ca="1" si="2"/>
        <v/>
      </c>
      <c r="Q2814" s="25" t="str">
        <f ca="1">IFERROR(__xludf.DUMMYFUNCTION("""COMPUTED_VALUE"""),"Largo plazo")</f>
        <v>Largo plazo</v>
      </c>
      <c r="R2814" s="25"/>
      <c r="S2814" s="55"/>
      <c r="T2814" s="56"/>
      <c r="U2814" s="25"/>
      <c r="V2814" s="25"/>
      <c r="W2814" s="25"/>
      <c r="X2814" s="25"/>
      <c r="Y2814" s="25"/>
      <c r="Z2814" s="25"/>
    </row>
    <row r="2815" spans="1:26" ht="52.5" customHeight="1" x14ac:dyDescent="0.25">
      <c r="A2815" s="25" t="str">
        <f ca="1">IFERROR(__xludf.DUMMYFUNCTION("""COMPUTED_VALUE"""),"Ambie113")</f>
        <v>Ambie113</v>
      </c>
      <c r="B2815" s="25" t="str">
        <f ca="1">IFERROR(__xludf.DUMMYFUNCTION("""COMPUTED_VALUE"""),"Consejo Local de Gobierno de Puente Aranda")</f>
        <v>Consejo Local de Gobierno de Puente Aranda</v>
      </c>
      <c r="C2815" s="55">
        <f ca="1">IFERROR(__xludf.DUMMYFUNCTION("""COMPUTED_VALUE"""),44672)</f>
        <v>44672</v>
      </c>
      <c r="D2815" s="25" t="str">
        <f ca="1">IFERROR(__xludf.DUMMYFUNCTION("""COMPUTED_VALUE"""),"Ambiente")</f>
        <v>Ambiente</v>
      </c>
      <c r="E2815" s="25" t="str">
        <f ca="1">IFERROR(__xludf.DUMMYFUNCTION("""COMPUTED_VALUE"""),"Jardín Botánico José Celestino Mutis")</f>
        <v>Jardín Botánico José Celestino Mutis</v>
      </c>
      <c r="F2815" s="25" t="str">
        <f ca="1">IFERROR(__xludf.DUMMYFUNCTION("""COMPUTED_VALUE"""),"Intervenir los árboles que están en riesgo de caída en los siguientes puntos: Carrera 52 A con diagonal 16 (un árbol) y la Calle 18 y 18 A entre las carreras 52 A y 52 B (dos árboles)")</f>
        <v>Intervenir los árboles que están en riesgo de caída en los siguientes puntos: Carrera 52 A con diagonal 16 (un árbol) y la Calle 18 y 18 A entre las carreras 52 A y 52 B (dos árboles)</v>
      </c>
      <c r="G2815" s="25" t="str">
        <f ca="1">IFERROR(__xludf.DUMMYFUNCTION("""COMPUTED_VALUE"""),"16. Puente Aranda")</f>
        <v>16. Puente Aranda</v>
      </c>
      <c r="H2815" s="55">
        <f ca="1">IFERROR(__xludf.DUMMYFUNCTION("""COMPUTED_VALUE"""),45077)</f>
        <v>45077</v>
      </c>
      <c r="I2815" s="25" t="str">
        <f ca="1">IFERROR(__xludf.DUMMYFUNCTION("""COMPUTED_VALUE"""),"Secretaría Privada")</f>
        <v>Secretaría Privada</v>
      </c>
      <c r="J2815" s="55" t="str">
        <f ca="1">IFERROR(__xludf.DUMMYFUNCTION("""COMPUTED_VALUE"""),"Baja")</f>
        <v>Baja</v>
      </c>
      <c r="K2815" s="25">
        <f ca="1">IFERROR(__xludf.DUMMYFUNCTION("""COMPUTED_VALUE"""),405)</f>
        <v>405</v>
      </c>
      <c r="L2815" s="62">
        <f ca="1">IFERROR(__xludf.DUMMYFUNCTION("""COMPUTED_VALUE"""),45077)</f>
        <v>45077</v>
      </c>
      <c r="M2815" s="25" t="str">
        <f ca="1">IFERROR(__xludf.DUMMYFUNCTION("""COMPUTED_VALUE"""),"El 22 de abril de 2022 se realizó una visita a la Calle 18 A sur # 52 A – 45, y la Carrera 51 # 1 – 05, Parques Torremolinos I y Parque Jazmín II sector respectivamente, donde se identificaron varios árboles que requieren manejo silvicultural. Por consigu"&amp;"iente se emitieron los siguientes conceptos técnicos de manejo silvicultural de arbolado urbano y de atención a emergencias silviculturales: 
 • SSFFS 05556 DE 2022 – Autorizado JBB: Tala de un (1) árbol de la especie Acacia Bracatinga. Tratamiento int"&amp;"egral de tres (3) Roble y Tratamiento integral de un (1) Sauco. Radicado el 25 de mayo de 2022.
 • SSFFS 05577 DE 2022 - Autorizado UAESP el 22 de abril de 2022: se autorizó mediante acta de visita JAMR-20221290-040A la poda por emergencia de un (1) árbol"&amp;" de la especie Eucalipto común; se emitió respectivo Concepto Técnico de Emergencia.
 • SSFFS 05558 DE 2022 – Autorizado CODENSA el 22 de abril de 2022: poda de estabilidad de un (1) Caucho común, y Poda de mejoramiento de estructura de dos (2) Caucho com"&amp;"ún y dos (2) Pino Pátula.")</f>
        <v>El 22 de abril de 2022 se realizó una visita a la Calle 18 A sur # 52 A – 45, y la Carrera 51 # 1 – 05, Parques Torremolinos I y Parque Jazmín II sector respectivamente, donde se identificaron varios árboles que requieren manejo silvicultural. Por consiguiente se emitieron los siguientes conceptos técnicos de manejo silvicultural de arbolado urbano y de atención a emergencias silviculturales: 
 • SSFFS 05556 DE 2022 – Autorizado JBB: Tala de un (1) árbol de la especie Acacia Bracatinga. Tratamiento integral de tres (3) Roble y Tratamiento integral de un (1) Sauco. Radicado el 25 de mayo de 2022.
 • SSFFS 05577 DE 2022 - Autorizado UAESP el 22 de abril de 2022: se autorizó mediante acta de visita JAMR-20221290-040A la poda por emergencia de un (1) árbol de la especie Eucalipto común; se emitió respectivo Concepto Técnico de Emergencia.
 • SSFFS 05558 DE 2022 – Autorizado CODENSA el 22 de abril de 2022: poda de estabilidad de un (1) Caucho común, y Poda de mejoramiento de estructura de dos (2) Caucho común y dos (2) Pino Pátula.</v>
      </c>
      <c r="N2815" s="55">
        <f ca="1">IFERROR(__xludf.DUMMYFUNCTION("""COMPUTED_VALUE"""),45065)</f>
        <v>45065</v>
      </c>
      <c r="O2815" s="25" t="str">
        <f t="shared" ca="1" si="0"/>
        <v>Jardín Botánico José Celestino Mutis</v>
      </c>
      <c r="P2815" s="25" t="str">
        <f t="shared" ca="1" si="2"/>
        <v/>
      </c>
      <c r="Q2815" s="25" t="str">
        <f ca="1">IFERROR(__xludf.DUMMYFUNCTION("""COMPUTED_VALUE"""),"Largo plazo")</f>
        <v>Largo plazo</v>
      </c>
      <c r="R2815" s="25"/>
      <c r="S2815" s="55"/>
      <c r="T2815" s="56"/>
      <c r="U2815" s="25"/>
      <c r="V2815" s="25"/>
      <c r="W2815" s="25"/>
      <c r="X2815" s="25"/>
      <c r="Y2815" s="25"/>
      <c r="Z2815" s="25"/>
    </row>
    <row r="2816" spans="1:26" ht="52.5" customHeight="1" x14ac:dyDescent="0.25">
      <c r="A2816" s="25" t="str">
        <f ca="1">IFERROR(__xludf.DUMMYFUNCTION("""COMPUTED_VALUE"""),"Ambie114")</f>
        <v>Ambie114</v>
      </c>
      <c r="B2816" s="25" t="str">
        <f ca="1">IFERROR(__xludf.DUMMYFUNCTION("""COMPUTED_VALUE"""),"Consejo Local de Gobierno de Puente Aranda")</f>
        <v>Consejo Local de Gobierno de Puente Aranda</v>
      </c>
      <c r="C2816" s="55">
        <f ca="1">IFERROR(__xludf.DUMMYFUNCTION("""COMPUTED_VALUE"""),44672)</f>
        <v>44672</v>
      </c>
      <c r="D2816" s="25" t="str">
        <f ca="1">IFERROR(__xludf.DUMMYFUNCTION("""COMPUTED_VALUE"""),"Ambiente")</f>
        <v>Ambiente</v>
      </c>
      <c r="E2816" s="25" t="str">
        <f ca="1">IFERROR(__xludf.DUMMYFUNCTION("""COMPUTED_VALUE"""),"Secretaría Distrital de Ambiente")</f>
        <v>Secretaría Distrital de Ambiente</v>
      </c>
      <c r="F2816" s="25" t="str">
        <f ca="1">IFERROR(__xludf.DUMMYFUNCTION("""COMPUTED_VALUE"""),"Coordinar con la ciudadana Blanca Marroquín los puntos de afectación de los árboles que por su altura tapan las luminarias")</f>
        <v>Coordinar con la ciudadana Blanca Marroquín los puntos de afectación de los árboles que por su altura tapan las luminarias</v>
      </c>
      <c r="G2816" s="25" t="str">
        <f ca="1">IFERROR(__xludf.DUMMYFUNCTION("""COMPUTED_VALUE"""),"16. Puente Aranda")</f>
        <v>16. Puente Aranda</v>
      </c>
      <c r="H2816" s="55">
        <f ca="1">IFERROR(__xludf.DUMMYFUNCTION("""COMPUTED_VALUE"""),44926)</f>
        <v>44926</v>
      </c>
      <c r="I2816" s="25"/>
      <c r="J2816" s="55" t="str">
        <f ca="1">IFERROR(__xludf.DUMMYFUNCTION("""COMPUTED_VALUE"""),"Baja")</f>
        <v>Baja</v>
      </c>
      <c r="K2816" s="25">
        <f ca="1">IFERROR(__xludf.DUMMYFUNCTION("""COMPUTED_VALUE"""),254)</f>
        <v>254</v>
      </c>
      <c r="L2816" s="62">
        <f ca="1">IFERROR(__xludf.DUMMYFUNCTION("""COMPUTED_VALUE"""),44926)</f>
        <v>44926</v>
      </c>
      <c r="M2816" s="25" t="str">
        <f ca="1">IFERROR(__xludf.DUMMYFUNCTION("""COMPUTED_VALUE"""),"Por parte de la UAESP se recibió el reporte de la Sra. Marroquín y se identificaron 4 árboles entre las calles 1 y 5 de la Transversal 51a. Ya se surtió la poda en dos de ellos por riesgo con cableado eléctrico.")</f>
        <v>Por parte de la UAESP se recibió el reporte de la Sra. Marroquín y se identificaron 4 árboles entre las calles 1 y 5 de la Transversal 51a. Ya se surtió la poda en dos de ellos por riesgo con cableado eléctrico.</v>
      </c>
      <c r="N2816" s="55">
        <f ca="1">IFERROR(__xludf.DUMMYFUNCTION("""COMPUTED_VALUE"""),44926)</f>
        <v>44926</v>
      </c>
      <c r="O2816" s="25" t="str">
        <f t="shared" ca="1" si="0"/>
        <v>Secretaría Distrital de Ambiente</v>
      </c>
      <c r="P2816" s="25" t="str">
        <f t="shared" si="2"/>
        <v/>
      </c>
      <c r="Q2816" s="25" t="str">
        <f ca="1">IFERROR(__xludf.DUMMYFUNCTION("""COMPUTED_VALUE"""),"Largo plazo")</f>
        <v>Largo plazo</v>
      </c>
      <c r="R2816" s="25"/>
      <c r="S2816" s="55"/>
      <c r="T2816" s="56"/>
      <c r="U2816" s="25"/>
      <c r="V2816" s="25"/>
      <c r="W2816" s="25"/>
      <c r="X2816" s="25"/>
      <c r="Y2816" s="25"/>
      <c r="Z2816" s="25"/>
    </row>
    <row r="2817" spans="1:26" ht="52.5" customHeight="1" x14ac:dyDescent="0.25">
      <c r="A2817" s="25" t="str">
        <f ca="1">IFERROR(__xludf.DUMMYFUNCTION("""COMPUTED_VALUE"""),"Ambie115")</f>
        <v>Ambie115</v>
      </c>
      <c r="B2817" s="25" t="str">
        <f ca="1">IFERROR(__xludf.DUMMYFUNCTION("""COMPUTED_VALUE"""),"Consejo Local de Gobierno de Tunjuelito")</f>
        <v>Consejo Local de Gobierno de Tunjuelito</v>
      </c>
      <c r="C2817" s="55">
        <f ca="1">IFERROR(__xludf.DUMMYFUNCTION("""COMPUTED_VALUE"""),44686)</f>
        <v>44686</v>
      </c>
      <c r="D2817" s="25" t="str">
        <f ca="1">IFERROR(__xludf.DUMMYFUNCTION("""COMPUTED_VALUE"""),"Ambiente")</f>
        <v>Ambiente</v>
      </c>
      <c r="E2817" s="25" t="str">
        <f ca="1">IFERROR(__xludf.DUMMYFUNCTION("""COMPUTED_VALUE"""),"Secretaría Distrital de Ambiente")</f>
        <v>Secretaría Distrital de Ambiente</v>
      </c>
      <c r="F2817" s="25" t="str">
        <f ca="1">IFERROR(__xludf.DUMMYFUNCTION("""COMPUTED_VALUE"""),"Informar al ciudadano sobre las intervenciones previstas en el POT al Humedal del Tunjo y al parque lineal del Río Tunjuelito")</f>
        <v>Informar al ciudadano sobre las intervenciones previstas en el POT al Humedal del Tunjo y al parque lineal del Río Tunjuelito</v>
      </c>
      <c r="G2817" s="25" t="str">
        <f ca="1">IFERROR(__xludf.DUMMYFUNCTION("""COMPUTED_VALUE"""),"06. Tunjuelito")</f>
        <v>06. Tunjuelito</v>
      </c>
      <c r="H2817" s="55">
        <f ca="1">IFERROR(__xludf.DUMMYFUNCTION("""COMPUTED_VALUE"""),44784)</f>
        <v>44784</v>
      </c>
      <c r="I2817" s="25"/>
      <c r="J2817" s="55" t="str">
        <f ca="1">IFERROR(__xludf.DUMMYFUNCTION("""COMPUTED_VALUE"""),"Media")</f>
        <v>Media</v>
      </c>
      <c r="K2817" s="25">
        <f ca="1">IFERROR(__xludf.DUMMYFUNCTION("""COMPUTED_VALUE"""),98)</f>
        <v>98</v>
      </c>
      <c r="L2817" s="62">
        <f ca="1">IFERROR(__xludf.DUMMYFUNCTION("""COMPUTED_VALUE"""),44926)</f>
        <v>44926</v>
      </c>
      <c r="M2817" s="25" t="str">
        <f ca="1">IFERROR(__xludf.DUMMYFUNCTION("""COMPUTED_VALUE"""),"La Secretaría de Ambiente se comunicó telefónicamente con el ciudadano, quien menciona que las inquietudes que tenía fueron resueltas en Consejo Local y manifiesta que no tiene dudas adicionales. Se indica que si llega a requerir información adicional, pu"&amp;"ede comunicarse con la entidad a través de los medios dispuestos para ello y con números de contacto directos que le fueron brindados.")</f>
        <v>La Secretaría de Ambiente se comunicó telefónicamente con el ciudadano, quien menciona que las inquietudes que tenía fueron resueltas en Consejo Local y manifiesta que no tiene dudas adicionales. Se indica que si llega a requerir información adicional, puede comunicarse con la entidad a través de los medios dispuestos para ello y con números de contacto directos que le fueron brindados.</v>
      </c>
      <c r="N2817" s="55">
        <f ca="1">IFERROR(__xludf.DUMMYFUNCTION("""COMPUTED_VALUE"""),44926)</f>
        <v>44926</v>
      </c>
      <c r="O2817" s="25" t="str">
        <f t="shared" ca="1" si="0"/>
        <v>Secretaría Distrital de Ambiente</v>
      </c>
      <c r="P2817" s="25" t="str">
        <f t="shared" si="2"/>
        <v/>
      </c>
      <c r="Q2817" s="25" t="str">
        <f ca="1">IFERROR(__xludf.DUMMYFUNCTION("""COMPUTED_VALUE"""),"Mediano plazo")</f>
        <v>Mediano plazo</v>
      </c>
      <c r="R2817" s="25"/>
      <c r="S2817" s="55"/>
      <c r="T2817" s="56"/>
      <c r="U2817" s="25"/>
      <c r="V2817" s="25"/>
      <c r="W2817" s="25"/>
      <c r="X2817" s="25"/>
      <c r="Y2817" s="25"/>
      <c r="Z2817" s="25"/>
    </row>
    <row r="2818" spans="1:26" ht="52.5" customHeight="1" x14ac:dyDescent="0.25">
      <c r="A2818" s="25" t="str">
        <f ca="1">IFERROR(__xludf.DUMMYFUNCTION("""COMPUTED_VALUE"""),"Ambie116")</f>
        <v>Ambie116</v>
      </c>
      <c r="B2818" s="25" t="str">
        <f ca="1">IFERROR(__xludf.DUMMYFUNCTION("""COMPUTED_VALUE"""),"Consejo Local de Gobierno de Santa Fe")</f>
        <v>Consejo Local de Gobierno de Santa Fe</v>
      </c>
      <c r="C2818" s="55">
        <f ca="1">IFERROR(__xludf.DUMMYFUNCTION("""COMPUTED_VALUE"""),44693)</f>
        <v>44693</v>
      </c>
      <c r="D2818" s="25" t="str">
        <f ca="1">IFERROR(__xludf.DUMMYFUNCTION("""COMPUTED_VALUE"""),"Ambiente")</f>
        <v>Ambiente</v>
      </c>
      <c r="E2818" s="25" t="str">
        <f ca="1">IFERROR(__xludf.DUMMYFUNCTION("""COMPUTED_VALUE"""),"Secretaría Distrital de Ambiente")</f>
        <v>Secretaría Distrital de Ambiente</v>
      </c>
      <c r="F2818" s="25" t="str">
        <f ca="1">IFERROR(__xludf.DUMMYFUNCTION("""COMPUTED_VALUE"""),"Intervenir los árboles de la vereda Fátima que están en riesgo de caer")</f>
        <v>Intervenir los árboles de la vereda Fátima que están en riesgo de caer</v>
      </c>
      <c r="G2818" s="25" t="str">
        <f ca="1">IFERROR(__xludf.DUMMYFUNCTION("""COMPUTED_VALUE"""),"03. Santa Fe")</f>
        <v>03. Santa Fe</v>
      </c>
      <c r="H2818" s="55">
        <f ca="1">IFERROR(__xludf.DUMMYFUNCTION("""COMPUTED_VALUE"""),45107)</f>
        <v>45107</v>
      </c>
      <c r="I2818" s="25" t="str">
        <f ca="1">IFERROR(__xludf.DUMMYFUNCTION("""COMPUTED_VALUE"""),"Secretaría Privada")</f>
        <v>Secretaría Privada</v>
      </c>
      <c r="J2818" s="55" t="str">
        <f ca="1">IFERROR(__xludf.DUMMYFUNCTION("""COMPUTED_VALUE"""),"Baja")</f>
        <v>Baja</v>
      </c>
      <c r="K2818" s="25">
        <f ca="1">IFERROR(__xludf.DUMMYFUNCTION("""COMPUTED_VALUE"""),414)</f>
        <v>414</v>
      </c>
      <c r="L2818" s="62">
        <f ca="1">IFERROR(__xludf.DUMMYFUNCTION("""COMPUTED_VALUE"""),45077)</f>
        <v>45077</v>
      </c>
      <c r="M2818" s="25" t="str">
        <f ca="1">IFERROR(__xludf.DUMMYFUNCTION("""COMPUTED_VALUE"""),"La ciudadadana manifestó ser la propietaria del predio donde se presento el evento de volcamiento de un (1) ejemplar de la especie Eucalipto. Su predio se encuentra ubicado en el Km 2 vía Choachí y se puede ingresar por las vías que comunica hacía el inst"&amp;"ituto Roosevelt o el Instituto Humboldt. Se solicitó a la CAR, que es la autoridad competente, para que realizaran el tratamiento silvicultural pertinente. De esta forma, el 19 de mayo la CAR realizó el trozado y acopio de los residuos vegetales generados"&amp;" por el volcamiento del árbol anteriormente relacionado y se marcaron otros árboles que posiblemente pueden representar un riesgo. 
 La CAR debe volver a realizar una visita o pronunciarse sobre los árboles marcados.")</f>
        <v>La ciudadadana manifestó ser la propietaria del predio donde se presento el evento de volcamiento de un (1) ejemplar de la especie Eucalipto. Su predio se encuentra ubicado en el Km 2 vía Choachí y se puede ingresar por las vías que comunica hacía el instituto Roosevelt o el Instituto Humboldt. Se solicitó a la CAR, que es la autoridad competente, para que realizaran el tratamiento silvicultural pertinente. De esta forma, el 19 de mayo la CAR realizó el trozado y acopio de los residuos vegetales generados por el volcamiento del árbol anteriormente relacionado y se marcaron otros árboles que posiblemente pueden representar un riesgo. 
 La CAR debe volver a realizar una visita o pronunciarse sobre los árboles marcados.</v>
      </c>
      <c r="N2818" s="55">
        <f ca="1">IFERROR(__xludf.DUMMYFUNCTION("""COMPUTED_VALUE"""),45065)</f>
        <v>45065</v>
      </c>
      <c r="O2818" s="25" t="str">
        <f t="shared" ca="1" si="0"/>
        <v>Secretaría Distrital de Ambiente</v>
      </c>
      <c r="P2818" s="25" t="str">
        <f t="shared" ca="1" si="2"/>
        <v/>
      </c>
      <c r="Q2818" s="25" t="str">
        <f ca="1">IFERROR(__xludf.DUMMYFUNCTION("""COMPUTED_VALUE"""),"Largo plazo")</f>
        <v>Largo plazo</v>
      </c>
      <c r="R2818" s="25"/>
      <c r="S2818" s="55"/>
      <c r="T2818" s="56"/>
      <c r="U2818" s="25"/>
      <c r="V2818" s="25"/>
      <c r="W2818" s="25"/>
      <c r="X2818" s="25"/>
      <c r="Y2818" s="25"/>
      <c r="Z2818" s="25"/>
    </row>
    <row r="2819" spans="1:26" ht="52.5" customHeight="1" x14ac:dyDescent="0.25">
      <c r="A2819" s="25" t="str">
        <f ca="1">IFERROR(__xludf.DUMMYFUNCTION("""COMPUTED_VALUE"""),"Ambie117")</f>
        <v>Ambie117</v>
      </c>
      <c r="B2819" s="25" t="str">
        <f ca="1">IFERROR(__xludf.DUMMYFUNCTION("""COMPUTED_VALUE"""),"Consejo Local de Gobierno de San Crisóbal")</f>
        <v>Consejo Local de Gobierno de San Crisóbal</v>
      </c>
      <c r="C2819" s="55">
        <f ca="1">IFERROR(__xludf.DUMMYFUNCTION("""COMPUTED_VALUE"""),44700)</f>
        <v>44700</v>
      </c>
      <c r="D2819" s="25" t="str">
        <f ca="1">IFERROR(__xludf.DUMMYFUNCTION("""COMPUTED_VALUE"""),"Ambiente")</f>
        <v>Ambiente</v>
      </c>
      <c r="E2819" s="25" t="str">
        <f ca="1">IFERROR(__xludf.DUMMYFUNCTION("""COMPUTED_VALUE"""),"Secretaría Distrital de Ambiente")</f>
        <v>Secretaría Distrital de Ambiente</v>
      </c>
      <c r="F2819" s="25" t="str">
        <f ca="1">IFERROR(__xludf.DUMMYFUNCTION("""COMPUTED_VALUE"""),"Revisar la tala de árboles que se está realizando en la franja de adecuación pública y prioritaria de San Gerónimo, entre el barrio Manantial y Aguas Claras.")</f>
        <v>Revisar la tala de árboles que se está realizando en la franja de adecuación pública y prioritaria de San Gerónimo, entre el barrio Manantial y Aguas Claras.</v>
      </c>
      <c r="G2819" s="25" t="str">
        <f ca="1">IFERROR(__xludf.DUMMYFUNCTION("""COMPUTED_VALUE"""),"04. San Cristóbal")</f>
        <v>04. San Cristóbal</v>
      </c>
      <c r="H2819" s="55">
        <f ca="1">IFERROR(__xludf.DUMMYFUNCTION("""COMPUTED_VALUE"""),44926)</f>
        <v>44926</v>
      </c>
      <c r="I2819" s="25"/>
      <c r="J2819" s="55" t="str">
        <f ca="1">IFERROR(__xludf.DUMMYFUNCTION("""COMPUTED_VALUE"""),"Baja")</f>
        <v>Baja</v>
      </c>
      <c r="K2819" s="25">
        <f ca="1">IFERROR(__xludf.DUMMYFUNCTION("""COMPUTED_VALUE"""),226)</f>
        <v>226</v>
      </c>
      <c r="L2819" s="62">
        <f ca="1">IFERROR(__xludf.DUMMYFUNCTION("""COMPUTED_VALUE"""),44926)</f>
        <v>44926</v>
      </c>
      <c r="M2819" s="25" t="str">
        <f ca="1">IFERROR(__xludf.DUMMYFUNCTION("""COMPUTED_VALUE"""),"En el radicado se adjuntaron las coordenadas e imágenes de la localización de las presuntas intervenciones ilegales, las cuales están fuera de la jurisdicción de la SDA corroborada por la cartografía generada. Esto se corroboró también con una visita por "&amp;"los ingenieros de la SDA. La SDA dio traslado de la denuncia a la CAR por ser de su competencia")</f>
        <v>En el radicado se adjuntaron las coordenadas e imágenes de la localización de las presuntas intervenciones ilegales, las cuales están fuera de la jurisdicción de la SDA corroborada por la cartografía generada. Esto se corroboró también con una visita por los ingenieros de la SDA. La SDA dio traslado de la denuncia a la CAR por ser de su competencia</v>
      </c>
      <c r="N2819" s="55">
        <f ca="1">IFERROR(__xludf.DUMMYFUNCTION("""COMPUTED_VALUE"""),44926)</f>
        <v>44926</v>
      </c>
      <c r="O2819" s="25" t="str">
        <f t="shared" ca="1" si="0"/>
        <v>Secretaría Distrital de Ambiente</v>
      </c>
      <c r="P2819" s="25" t="str">
        <f t="shared" si="2"/>
        <v/>
      </c>
      <c r="Q2819" s="25" t="str">
        <f ca="1">IFERROR(__xludf.DUMMYFUNCTION("""COMPUTED_VALUE"""),"Largo plazo")</f>
        <v>Largo plazo</v>
      </c>
      <c r="R2819" s="25"/>
      <c r="S2819" s="55"/>
      <c r="T2819" s="56"/>
      <c r="U2819" s="25"/>
      <c r="V2819" s="25"/>
      <c r="W2819" s="25"/>
      <c r="X2819" s="25"/>
      <c r="Y2819" s="25"/>
      <c r="Z2819" s="25"/>
    </row>
    <row r="2820" spans="1:26" ht="52.5" customHeight="1" x14ac:dyDescent="0.25">
      <c r="A2820" s="25" t="str">
        <f ca="1">IFERROR(__xludf.DUMMYFUNCTION("""COMPUTED_VALUE"""),"Ambie118")</f>
        <v>Ambie118</v>
      </c>
      <c r="B2820" s="25" t="str">
        <f ca="1">IFERROR(__xludf.DUMMYFUNCTION("""COMPUTED_VALUE"""),"Consejo Local de Gobierno de San Crisóbal")</f>
        <v>Consejo Local de Gobierno de San Crisóbal</v>
      </c>
      <c r="C2820" s="55">
        <f ca="1">IFERROR(__xludf.DUMMYFUNCTION("""COMPUTED_VALUE"""),44700)</f>
        <v>44700</v>
      </c>
      <c r="D2820" s="25" t="str">
        <f ca="1">IFERROR(__xludf.DUMMYFUNCTION("""COMPUTED_VALUE"""),"Ambiente")</f>
        <v>Ambiente</v>
      </c>
      <c r="E2820" s="25" t="str">
        <f ca="1">IFERROR(__xludf.DUMMYFUNCTION("""COMPUTED_VALUE"""),"Instituto Distrital de Gestión de Riesgos y Cambio Climático")</f>
        <v>Instituto Distrital de Gestión de Riesgos y Cambio Climático</v>
      </c>
      <c r="F2820" s="25" t="str">
        <f ca="1">IFERROR(__xludf.DUMMYFUNCTION("""COMPUTED_VALUE"""),"Revisar la situación de la población que se encuentra en la zona de riesgo de la ronda de la quebrada de Los Verenjones")</f>
        <v>Revisar la situación de la población que se encuentra en la zona de riesgo de la ronda de la quebrada de Los Verenjones</v>
      </c>
      <c r="G2820" s="25" t="str">
        <f ca="1">IFERROR(__xludf.DUMMYFUNCTION("""COMPUTED_VALUE"""),"04. San Cristóbal")</f>
        <v>04. San Cristóbal</v>
      </c>
      <c r="H2820" s="55">
        <f ca="1">IFERROR(__xludf.DUMMYFUNCTION("""COMPUTED_VALUE"""),45107)</f>
        <v>45107</v>
      </c>
      <c r="I2820" s="25" t="str">
        <f ca="1">IFERROR(__xludf.DUMMYFUNCTION("""COMPUTED_VALUE"""),"Secretaría Privada")</f>
        <v>Secretaría Privada</v>
      </c>
      <c r="J2820" s="55" t="str">
        <f ca="1">IFERROR(__xludf.DUMMYFUNCTION("""COMPUTED_VALUE"""),"Baja")</f>
        <v>Baja</v>
      </c>
      <c r="K2820" s="25">
        <f ca="1">IFERROR(__xludf.DUMMYFUNCTION("""COMPUTED_VALUE"""),407)</f>
        <v>407</v>
      </c>
      <c r="L2820" s="62">
        <f ca="1">IFERROR(__xludf.DUMMYFUNCTION("""COMPUTED_VALUE"""),45077)</f>
        <v>45077</v>
      </c>
      <c r="M2820" s="25" t="str">
        <f ca="1">IFERROR(__xludf.DUMMYFUNCTION("""COMPUTED_VALUE"""),"Se llevó a cabo reunion con la comunidad en donde el Director General realizó la socialización de los Diagnosticos y Conceptos Técnicos emitidos por el IDIGER, en la cual se informó que para el sector de Villa de la Paz, se ratificaban las recomendaciones"&amp;" emitidas en el Concepto y Diagnósticos Técnicos, dado que las condiciones de riesgo no presentan modificaciones. Adicionalmente  la entidad está cumpliendo con la Acción Popular, de acuerdo con las órdenes impartidas por el Juez.")</f>
        <v>Se llevó a cabo reunion con la comunidad en donde el Director General realizó la socialización de los Diagnosticos y Conceptos Técnicos emitidos por el IDIGER, en la cual se informó que para el sector de Villa de la Paz, se ratificaban las recomendaciones emitidas en el Concepto y Diagnósticos Técnicos, dado que las condiciones de riesgo no presentan modificaciones. Adicionalmente  la entidad está cumpliendo con la Acción Popular, de acuerdo con las órdenes impartidas por el Juez.</v>
      </c>
      <c r="N2820" s="25"/>
      <c r="O2820" s="25" t="str">
        <f t="shared" ca="1" si="0"/>
        <v>Instituto Distrital de Gestión de Riesgos y Cambio Climático</v>
      </c>
      <c r="P2820" s="25" t="str">
        <f t="shared" ca="1" si="2"/>
        <v/>
      </c>
      <c r="Q2820" s="25" t="str">
        <f ca="1">IFERROR(__xludf.DUMMYFUNCTION("""COMPUTED_VALUE"""),"Largo plazo")</f>
        <v>Largo plazo</v>
      </c>
      <c r="R2820" s="25"/>
      <c r="S2820" s="55"/>
      <c r="T2820" s="56"/>
      <c r="U2820" s="25"/>
      <c r="V2820" s="25"/>
      <c r="W2820" s="25"/>
      <c r="X2820" s="25"/>
      <c r="Y2820" s="25"/>
      <c r="Z2820" s="25"/>
    </row>
    <row r="2821" spans="1:26" ht="52.5" customHeight="1" x14ac:dyDescent="0.25">
      <c r="A2821" s="25" t="str">
        <f ca="1">IFERROR(__xludf.DUMMYFUNCTION("""COMPUTED_VALUE"""),"Ambie119")</f>
        <v>Ambie119</v>
      </c>
      <c r="B2821" s="25" t="str">
        <f ca="1">IFERROR(__xludf.DUMMYFUNCTION("""COMPUTED_VALUE"""),"Consejo Local de Giobierno de Rafael uribe Uribe")</f>
        <v>Consejo Local de Giobierno de Rafael uribe Uribe</v>
      </c>
      <c r="C2821" s="55">
        <f ca="1">IFERROR(__xludf.DUMMYFUNCTION("""COMPUTED_VALUE"""),44714)</f>
        <v>44714</v>
      </c>
      <c r="D2821" s="25" t="str">
        <f ca="1">IFERROR(__xludf.DUMMYFUNCTION("""COMPUTED_VALUE"""),"Ambiente")</f>
        <v>Ambiente</v>
      </c>
      <c r="E2821" s="25" t="str">
        <f ca="1">IFERROR(__xludf.DUMMYFUNCTION("""COMPUTED_VALUE"""),"Jardín Botánico José Celestino Mutis")</f>
        <v>Jardín Botánico José Celestino Mutis</v>
      </c>
      <c r="F2821" s="25" t="str">
        <f ca="1">IFERROR(__xludf.DUMMYFUNCTION("""COMPUTED_VALUE"""),"Revisar las denuncias relacionadas con que el material, insumos y herramientas que entregan para el proyecto de huertas urbanas en la localidad no es el idóneo para el desarrollo del mismo")</f>
        <v>Revisar las denuncias relacionadas con que el material, insumos y herramientas que entregan para el proyecto de huertas urbanas en la localidad no es el idóneo para el desarrollo del mismo</v>
      </c>
      <c r="G2821" s="25" t="str">
        <f ca="1">IFERROR(__xludf.DUMMYFUNCTION("""COMPUTED_VALUE"""),"18. Rafael Uribe Uribe")</f>
        <v>18. Rafael Uribe Uribe</v>
      </c>
      <c r="H2821" s="55">
        <f ca="1">IFERROR(__xludf.DUMMYFUNCTION("""COMPUTED_VALUE"""),44926)</f>
        <v>44926</v>
      </c>
      <c r="I2821" s="25"/>
      <c r="J2821" s="55" t="str">
        <f ca="1">IFERROR(__xludf.DUMMYFUNCTION("""COMPUTED_VALUE"""),"Baja")</f>
        <v>Baja</v>
      </c>
      <c r="K2821" s="25">
        <f ca="1">IFERROR(__xludf.DUMMYFUNCTION("""COMPUTED_VALUE"""),212)</f>
        <v>212</v>
      </c>
      <c r="L2821" s="62">
        <f ca="1">IFERROR(__xludf.DUMMYFUNCTION("""COMPUTED_VALUE"""),44926)</f>
        <v>44926</v>
      </c>
      <c r="M2821" s="25" t="str">
        <f ca="1">IFERROR(__xludf.DUMMYFUNCTION("""COMPUTED_VALUE"""),"El JBB recibió esta observación en visita de campo directamente realizada al señor Miltón Moreno, aclarando que la entidad prepara, organiza y entrega el compost producido en las instalaciones de la entidad y cuya composición química y física es verificad"&amp;"o en laboratorio certificado. El JBB ajustó procedimientos internos para registrar en formatos físicos y digitales la entrega de insumos y herrramientas que confirmen su adecuado estado. Se realizó visita a la huerta por parte del Subdirector Técnico, con"&amp;"stando que en la fecha de la visita no tenia implementado un proyecto productivo por lo cual se invitó a presentar la huerta al protocolo de agricultura urbana para que pueda recibir la colaboración, insumos y herramientas del JBB o de la alcaldia local. "&amp;"El 02/06/22 se remitió via email al correo a matiuxxx21@gmail.com el protocolo para su revisión y aplicación.")</f>
        <v>El JBB recibió esta observación en visita de campo directamente realizada al señor Miltón Moreno, aclarando que la entidad prepara, organiza y entrega el compost producido en las instalaciones de la entidad y cuya composición química y física es verificado en laboratorio certificado. El JBB ajustó procedimientos internos para registrar en formatos físicos y digitales la entrega de insumos y herrramientas que confirmen su adecuado estado. Se realizó visita a la huerta por parte del Subdirector Técnico, constando que en la fecha de la visita no tenia implementado un proyecto productivo por lo cual se invitó a presentar la huerta al protocolo de agricultura urbana para que pueda recibir la colaboración, insumos y herramientas del JBB o de la alcaldia local. El 02/06/22 se remitió via email al correo a matiuxxx21@gmail.com el protocolo para su revisión y aplicación.</v>
      </c>
      <c r="N2821" s="55">
        <f ca="1">IFERROR(__xludf.DUMMYFUNCTION("""COMPUTED_VALUE"""),44926)</f>
        <v>44926</v>
      </c>
      <c r="O2821" s="25" t="str">
        <f t="shared" ca="1" si="0"/>
        <v>Jardín Botánico José Celestino Mutis</v>
      </c>
      <c r="P2821" s="25" t="str">
        <f t="shared" si="2"/>
        <v/>
      </c>
      <c r="Q2821" s="25" t="str">
        <f ca="1">IFERROR(__xludf.DUMMYFUNCTION("""COMPUTED_VALUE"""),"Largo plazo")</f>
        <v>Largo plazo</v>
      </c>
      <c r="R2821" s="25"/>
      <c r="S2821" s="55"/>
      <c r="T2821" s="56"/>
      <c r="U2821" s="25"/>
      <c r="V2821" s="25"/>
      <c r="W2821" s="25"/>
      <c r="X2821" s="25"/>
      <c r="Y2821" s="25"/>
      <c r="Z2821" s="25"/>
    </row>
    <row r="2822" spans="1:26" ht="52.5" customHeight="1" x14ac:dyDescent="0.25">
      <c r="A2822" s="25" t="str">
        <f ca="1">IFERROR(__xludf.DUMMYFUNCTION("""COMPUTED_VALUE"""),"Ambie120")</f>
        <v>Ambie120</v>
      </c>
      <c r="B2822" s="25" t="str">
        <f ca="1">IFERROR(__xludf.DUMMYFUNCTION("""COMPUTED_VALUE"""),"Consejo Local de Gobierno de Antonio Nariño")</f>
        <v>Consejo Local de Gobierno de Antonio Nariño</v>
      </c>
      <c r="C2822" s="55">
        <f ca="1">IFERROR(__xludf.DUMMYFUNCTION("""COMPUTED_VALUE"""),44770)</f>
        <v>44770</v>
      </c>
      <c r="D2822" s="25" t="str">
        <f ca="1">IFERROR(__xludf.DUMMYFUNCTION("""COMPUTED_VALUE"""),"Ambiente")</f>
        <v>Ambiente</v>
      </c>
      <c r="E2822" s="25" t="str">
        <f ca="1">IFERROR(__xludf.DUMMYFUNCTION("""COMPUTED_VALUE"""),"Jardín Botánico José Celestino Mutis")</f>
        <v>Jardín Botánico José Celestino Mutis</v>
      </c>
      <c r="F2822" s="25" t="str">
        <f ca="1">IFERROR(__xludf.DUMMYFUNCTION("""COMPUTED_VALUE"""),"Realizar intervención en la Carrera 10 hasta la calle 11 sur donde hay un árbol que se le están saliendo las raíces y ha provocado accidentes")</f>
        <v>Realizar intervención en la Carrera 10 hasta la calle 11 sur donde hay un árbol que se le están saliendo las raíces y ha provocado accidentes</v>
      </c>
      <c r="G2822" s="25" t="str">
        <f ca="1">IFERROR(__xludf.DUMMYFUNCTION("""COMPUTED_VALUE"""),"15. Antonio Nariño")</f>
        <v>15. Antonio Nariño</v>
      </c>
      <c r="H2822" s="55">
        <f ca="1">IFERROR(__xludf.DUMMYFUNCTION("""COMPUTED_VALUE"""),45077)</f>
        <v>45077</v>
      </c>
      <c r="I2822" s="25" t="str">
        <f ca="1">IFERROR(__xludf.DUMMYFUNCTION("""COMPUTED_VALUE"""),"Secretaría Privada")</f>
        <v>Secretaría Privada</v>
      </c>
      <c r="J2822" s="55" t="str">
        <f ca="1">IFERROR(__xludf.DUMMYFUNCTION("""COMPUTED_VALUE"""),"Baja")</f>
        <v>Baja</v>
      </c>
      <c r="K2822" s="25">
        <f ca="1">IFERROR(__xludf.DUMMYFUNCTION("""COMPUTED_VALUE"""),307)</f>
        <v>307</v>
      </c>
      <c r="L2822" s="62">
        <f ca="1">IFERROR(__xludf.DUMMYFUNCTION("""COMPUTED_VALUE"""),45077)</f>
        <v>45077</v>
      </c>
      <c r="M2822" s="25" t="str">
        <f ca="1">IFERROR(__xludf.DUMMYFUNCTION("""COMPUTED_VALUE"""),"El JBB realizó visita a la zona, encontrándo que ya se había intervenido la zona, por la empresa metro y no hay individuos vegetales en la zona, por lo tanto se solicita dar por cerrada esta actividad
El Jardín informa que el día 5 de mayo de 2023, se pro"&amp;"grama la visita diagnóstico del ejemplar en mención, no obstante, se evidenciará si requiere concepto técnico de manejo silvilcultural por parte de la autoridad ambiental
El Jardìn Botánico de Bogotá en el mes de noviembre ha orientado sus esfuerzos para "&amp;"atender las emergencias en la vía La Calera, razón por la cual, el equipo de arbolado adulto realizará visita a finalizar el mes de diciembre, para verificar la situación descrita. 
  Competencia Jardín Botánico")</f>
        <v>El JBB realizó visita a la zona, encontrándo que ya se había intervenido la zona, por la empresa metro y no hay individuos vegetales en la zona, por lo tanto se solicita dar por cerrada esta actividad
El Jardín informa que el día 5 de mayo de 2023, se programa la visita diagnóstico del ejemplar en mención, no obstante, se evidenciará si requiere concepto técnico de manejo silvilcultural por parte de la autoridad ambiental
El Jardìn Botánico de Bogotá en el mes de noviembre ha orientado sus esfuerzos para atender las emergencias en la vía La Calera, razón por la cual, el equipo de arbolado adulto realizará visita a finalizar el mes de diciembre, para verificar la situación descrita. 
  Competencia Jardín Botánico</v>
      </c>
      <c r="N2822" s="25"/>
      <c r="O2822" s="25" t="str">
        <f t="shared" ca="1" si="0"/>
        <v>Jardín Botánico José Celestino Mutis</v>
      </c>
      <c r="P2822" s="25" t="str">
        <f t="shared" ca="1" si="2"/>
        <v/>
      </c>
      <c r="Q2822" s="25" t="str">
        <f ca="1">IFERROR(__xludf.DUMMYFUNCTION("""COMPUTED_VALUE"""),"Largo plazo")</f>
        <v>Largo plazo</v>
      </c>
      <c r="R2822" s="25"/>
      <c r="S2822" s="55"/>
      <c r="T2822" s="56"/>
      <c r="U2822" s="25"/>
      <c r="V2822" s="25"/>
      <c r="W2822" s="25"/>
      <c r="X2822" s="25"/>
      <c r="Y2822" s="25"/>
      <c r="Z2822" s="25"/>
    </row>
    <row r="2823" spans="1:26" ht="52.5" customHeight="1" x14ac:dyDescent="0.25">
      <c r="A2823" s="25" t="str">
        <f ca="1">IFERROR(__xludf.DUMMYFUNCTION("""COMPUTED_VALUE"""),"Ambie121")</f>
        <v>Ambie121</v>
      </c>
      <c r="B2823" s="25" t="str">
        <f ca="1">IFERROR(__xludf.DUMMYFUNCTION("""COMPUTED_VALUE"""),"Entrega parque Bilbao")</f>
        <v>Entrega parque Bilbao</v>
      </c>
      <c r="C2823" s="55">
        <f ca="1">IFERROR(__xludf.DUMMYFUNCTION("""COMPUTED_VALUE"""),44908)</f>
        <v>44908</v>
      </c>
      <c r="D2823" s="25" t="str">
        <f ca="1">IFERROR(__xludf.DUMMYFUNCTION("""COMPUTED_VALUE"""),"Ambiente")</f>
        <v>Ambiente</v>
      </c>
      <c r="E2823" s="25" t="str">
        <f ca="1">IFERROR(__xludf.DUMMYFUNCTION("""COMPUTED_VALUE"""),"Secretaría Distrital de Ambiente")</f>
        <v>Secretaría Distrital de Ambiente</v>
      </c>
      <c r="F2823" s="25" t="str">
        <f ca="1">IFERROR(__xludf.DUMMYFUNCTION("""COMPUTED_VALUE"""),"En los senderos del parque Bilbao, localidad Suba, hacer corredores ecológicos.")</f>
        <v>En los senderos del parque Bilbao, localidad Suba, hacer corredores ecológicos.</v>
      </c>
      <c r="G2823" s="25" t="str">
        <f ca="1">IFERROR(__xludf.DUMMYFUNCTION("""COMPUTED_VALUE"""),"11. Suba")</f>
        <v>11. Suba</v>
      </c>
      <c r="H2823" s="55">
        <f ca="1">IFERROR(__xludf.DUMMYFUNCTION("""COMPUTED_VALUE"""),45107)</f>
        <v>45107</v>
      </c>
      <c r="I2823" s="25" t="str">
        <f ca="1">IFERROR(__xludf.DUMMYFUNCTION("""COMPUTED_VALUE"""),"Secretaría Privada")</f>
        <v>Secretaría Privada</v>
      </c>
      <c r="J2823" s="55" t="str">
        <f ca="1">IFERROR(__xludf.DUMMYFUNCTION("""COMPUTED_VALUE"""),"Baja")</f>
        <v>Baja</v>
      </c>
      <c r="K2823" s="25">
        <f ca="1">IFERROR(__xludf.DUMMYFUNCTION("""COMPUTED_VALUE"""),199)</f>
        <v>199</v>
      </c>
      <c r="L2823" s="62">
        <f ca="1">IFERROR(__xludf.DUMMYFUNCTION("""COMPUTED_VALUE"""),45077)</f>
        <v>45077</v>
      </c>
      <c r="M2823" s="25" t="str">
        <f ca="1">IFERROR(__xludf.DUMMYFUNCTION("""COMPUTED_VALUE"""),"Con el grupo social se plantea trabajar con la comunidad una estrategia de manejo de residuos sólidos.  ")</f>
        <v xml:space="preserve">Con el grupo social se plantea trabajar con la comunidad una estrategia de manejo de residuos sólidos.  </v>
      </c>
      <c r="N2823" s="25"/>
      <c r="O2823" s="25" t="str">
        <f t="shared" ca="1" si="0"/>
        <v>Secretaría Distrital de Ambiente</v>
      </c>
      <c r="P2823" s="25" t="str">
        <f t="shared" ca="1" si="2"/>
        <v/>
      </c>
      <c r="Q2823" s="25" t="str">
        <f ca="1">IFERROR(__xludf.DUMMYFUNCTION("""COMPUTED_VALUE"""),"Largo plazo")</f>
        <v>Largo plazo</v>
      </c>
      <c r="R2823" s="25"/>
      <c r="S2823" s="55"/>
      <c r="T2823" s="56"/>
      <c r="U2823" s="25"/>
      <c r="V2823" s="25"/>
      <c r="W2823" s="25"/>
      <c r="X2823" s="25"/>
      <c r="Y2823" s="25"/>
      <c r="Z2823" s="25"/>
    </row>
    <row r="2824" spans="1:26" ht="52.5" customHeight="1" x14ac:dyDescent="0.25">
      <c r="A2824" s="25" t="str">
        <f ca="1">IFERROR(__xludf.DUMMYFUNCTION("""COMPUTED_VALUE"""),"Ambie122")</f>
        <v>Ambie122</v>
      </c>
      <c r="B2824" s="25"/>
      <c r="C2824" s="55"/>
      <c r="D2824" s="25" t="str">
        <f ca="1">IFERROR(__xludf.DUMMYFUNCTION("""COMPUTED_VALUE"""),"Ambiente")</f>
        <v>Ambiente</v>
      </c>
      <c r="E2824" s="25" t="str">
        <f ca="1">IFERROR(__xludf.DUMMYFUNCTION("""COMPUTED_VALUE"""),"Jardín Botánico José Celestino Mutis")</f>
        <v>Jardín Botánico José Celestino Mutis</v>
      </c>
      <c r="F2824" s="25" t="str">
        <f ca="1">IFERROR(__xludf.DUMMYFUNCTION("""COMPUTED_VALUE"""),"Eliminada")</f>
        <v>Eliminada</v>
      </c>
      <c r="G2824" s="25"/>
      <c r="H2824" s="25"/>
      <c r="I2824" s="25"/>
      <c r="J2824" s="55"/>
      <c r="K2824" s="25" t="str">
        <f ca="1">IFERROR(__xludf.DUMMYFUNCTION("""COMPUTED_VALUE"""),"Definir fecha")</f>
        <v>Definir fecha</v>
      </c>
      <c r="L2824" s="62"/>
      <c r="M2824" s="25"/>
      <c r="N2824" s="25"/>
      <c r="O2824" s="25" t="str">
        <f t="shared" ca="1" si="0"/>
        <v>Jardín Botánico José Celestino Mutis</v>
      </c>
      <c r="P2824" s="25" t="str">
        <f t="shared" si="2"/>
        <v/>
      </c>
      <c r="Q2824" s="25" t="str">
        <f ca="1">IFERROR(__xludf.DUMMYFUNCTION("""COMPUTED_VALUE"""),"Sin defenir")</f>
        <v>Sin defenir</v>
      </c>
      <c r="R2824" s="25"/>
      <c r="S2824" s="55"/>
      <c r="T2824" s="56"/>
      <c r="U2824" s="25"/>
      <c r="V2824" s="25"/>
      <c r="W2824" s="25"/>
      <c r="X2824" s="25"/>
      <c r="Y2824" s="25"/>
      <c r="Z2824" s="25"/>
    </row>
    <row r="2825" spans="1:26" ht="52.5" customHeight="1" x14ac:dyDescent="0.25">
      <c r="A2825" s="25" t="str">
        <f ca="1">IFERROR(__xludf.DUMMYFUNCTION("""COMPUTED_VALUE"""),"Ambie123")</f>
        <v>Ambie123</v>
      </c>
      <c r="B2825" s="25"/>
      <c r="C2825" s="55"/>
      <c r="D2825" s="25" t="str">
        <f ca="1">IFERROR(__xludf.DUMMYFUNCTION("""COMPUTED_VALUE"""),"Ambiente")</f>
        <v>Ambiente</v>
      </c>
      <c r="E2825" s="25" t="str">
        <f ca="1">IFERROR(__xludf.DUMMYFUNCTION("""COMPUTED_VALUE"""),"Jardín Botánico José Celestino Mutis")</f>
        <v>Jardín Botánico José Celestino Mutis</v>
      </c>
      <c r="F2825" s="25" t="str">
        <f ca="1">IFERROR(__xludf.DUMMYFUNCTION("""COMPUTED_VALUE"""),"Eliminada")</f>
        <v>Eliminada</v>
      </c>
      <c r="G2825" s="25"/>
      <c r="H2825" s="25"/>
      <c r="I2825" s="25"/>
      <c r="J2825" s="55"/>
      <c r="K2825" s="25" t="str">
        <f ca="1">IFERROR(__xludf.DUMMYFUNCTION("""COMPUTED_VALUE"""),"Definir fecha")</f>
        <v>Definir fecha</v>
      </c>
      <c r="L2825" s="62"/>
      <c r="M2825" s="25"/>
      <c r="N2825" s="25"/>
      <c r="O2825" s="25" t="str">
        <f t="shared" ca="1" si="0"/>
        <v>Jardín Botánico José Celestino Mutis</v>
      </c>
      <c r="P2825" s="25" t="str">
        <f t="shared" si="2"/>
        <v/>
      </c>
      <c r="Q2825" s="25" t="str">
        <f ca="1">IFERROR(__xludf.DUMMYFUNCTION("""COMPUTED_VALUE"""),"Sin defenir")</f>
        <v>Sin defenir</v>
      </c>
      <c r="R2825" s="25"/>
      <c r="S2825" s="55"/>
      <c r="T2825" s="56"/>
      <c r="U2825" s="25"/>
      <c r="V2825" s="25"/>
      <c r="W2825" s="25"/>
      <c r="X2825" s="25"/>
      <c r="Y2825" s="25"/>
      <c r="Z2825" s="25"/>
    </row>
    <row r="2826" spans="1:26" ht="52.5" customHeight="1" x14ac:dyDescent="0.25">
      <c r="A2826" s="25" t="str">
        <f ca="1">IFERROR(__xludf.DUMMYFUNCTION("""COMPUTED_VALUE"""),"Ambie124")</f>
        <v>Ambie124</v>
      </c>
      <c r="B2826" s="25"/>
      <c r="C2826" s="55"/>
      <c r="D2826" s="25" t="str">
        <f ca="1">IFERROR(__xludf.DUMMYFUNCTION("""COMPUTED_VALUE"""),"Ambiente")</f>
        <v>Ambiente</v>
      </c>
      <c r="E2826" s="25" t="str">
        <f ca="1">IFERROR(__xludf.DUMMYFUNCTION("""COMPUTED_VALUE"""),"Jardín Botánico José Celestino Mutis")</f>
        <v>Jardín Botánico José Celestino Mutis</v>
      </c>
      <c r="F2826" s="25" t="str">
        <f ca="1">IFERROR(__xludf.DUMMYFUNCTION("""COMPUTED_VALUE"""),"Eliminada")</f>
        <v>Eliminada</v>
      </c>
      <c r="G2826" s="25"/>
      <c r="H2826" s="25"/>
      <c r="I2826" s="25"/>
      <c r="J2826" s="55"/>
      <c r="K2826" s="25" t="str">
        <f ca="1">IFERROR(__xludf.DUMMYFUNCTION("""COMPUTED_VALUE"""),"Definir fecha")</f>
        <v>Definir fecha</v>
      </c>
      <c r="L2826" s="62"/>
      <c r="M2826" s="25"/>
      <c r="N2826" s="25"/>
      <c r="O2826" s="25" t="str">
        <f t="shared" ca="1" si="0"/>
        <v>Jardín Botánico José Celestino Mutis</v>
      </c>
      <c r="P2826" s="25" t="str">
        <f t="shared" si="2"/>
        <v/>
      </c>
      <c r="Q2826" s="25" t="str">
        <f ca="1">IFERROR(__xludf.DUMMYFUNCTION("""COMPUTED_VALUE"""),"Sin defenir")</f>
        <v>Sin defenir</v>
      </c>
      <c r="R2826" s="25"/>
      <c r="S2826" s="55"/>
      <c r="T2826" s="56"/>
      <c r="U2826" s="25"/>
      <c r="V2826" s="25"/>
      <c r="W2826" s="25"/>
      <c r="X2826" s="25"/>
      <c r="Y2826" s="25"/>
      <c r="Z2826" s="25"/>
    </row>
    <row r="2827" spans="1:26" ht="52.5" customHeight="1" x14ac:dyDescent="0.25">
      <c r="A2827" s="25" t="str">
        <f ca="1">IFERROR(__xludf.DUMMYFUNCTION("""COMPUTED_VALUE"""),"Ambie125")</f>
        <v>Ambie125</v>
      </c>
      <c r="B2827" s="25" t="str">
        <f ca="1">IFERROR(__xludf.DUMMYFUNCTION("""COMPUTED_VALUE"""),"Recorrido Sumapaz")</f>
        <v>Recorrido Sumapaz</v>
      </c>
      <c r="C2827" s="55">
        <f ca="1">IFERROR(__xludf.DUMMYFUNCTION("""COMPUTED_VALUE"""),44961)</f>
        <v>44961</v>
      </c>
      <c r="D2827" s="25" t="str">
        <f ca="1">IFERROR(__xludf.DUMMYFUNCTION("""COMPUTED_VALUE"""),"Ambiente")</f>
        <v>Ambiente</v>
      </c>
      <c r="E2827" s="25" t="str">
        <f ca="1">IFERROR(__xludf.DUMMYFUNCTION("""COMPUTED_VALUE"""),"Secretaría Distrital de Ambiente")</f>
        <v>Secretaría Distrital de Ambiente</v>
      </c>
      <c r="F2827" s="25" t="str">
        <f ca="1">IFERROR(__xludf.DUMMYFUNCTION("""COMPUTED_VALUE"""),"La SDA debe disponer de referentes territoriales en la localidad de Sumapaz para atender las tareas que se requieran en el marco de la Zona de Reserva Campesina.")</f>
        <v>La SDA debe disponer de referentes territoriales en la localidad de Sumapaz para atender las tareas que se requieran en el marco de la Zona de Reserva Campesina.</v>
      </c>
      <c r="G2827" s="25" t="str">
        <f ca="1">IFERROR(__xludf.DUMMYFUNCTION("""COMPUTED_VALUE"""),"20. Sumapaz")</f>
        <v>20. Sumapaz</v>
      </c>
      <c r="H2827" s="55">
        <f ca="1">IFERROR(__xludf.DUMMYFUNCTION("""COMPUTED_VALUE"""),45061)</f>
        <v>45061</v>
      </c>
      <c r="I2827" s="25"/>
      <c r="J2827" s="55" t="str">
        <f ca="1">IFERROR(__xludf.DUMMYFUNCTION("""COMPUTED_VALUE"""),"Media")</f>
        <v>Media</v>
      </c>
      <c r="K2827" s="25">
        <f ca="1">IFERROR(__xludf.DUMMYFUNCTION("""COMPUTED_VALUE"""),100)</f>
        <v>100</v>
      </c>
      <c r="L2827" s="62">
        <f ca="1">IFERROR(__xludf.DUMMYFUNCTION("""COMPUTED_VALUE"""),45036)</f>
        <v>45036</v>
      </c>
      <c r="M2827" s="25" t="str">
        <f ca="1">IFERROR(__xludf.DUMMYFUNCTION("""COMPUTED_VALUE"""),"Se cierra esta tarea porque la gestión realizada ya había sido reportada en la tarea Ambie94")</f>
        <v>Se cierra esta tarea porque la gestión realizada ya había sido reportada en la tarea Ambie94</v>
      </c>
      <c r="N2827" s="55">
        <f ca="1">IFERROR(__xludf.DUMMYFUNCTION("""COMPUTED_VALUE"""),45037)</f>
        <v>45037</v>
      </c>
      <c r="O2827" s="25" t="str">
        <f t="shared" ca="1" si="0"/>
        <v>Secretaría Distrital de Ambiente</v>
      </c>
      <c r="P2827" s="25" t="str">
        <f t="shared" si="2"/>
        <v/>
      </c>
      <c r="Q2827" s="25" t="str">
        <f ca="1">IFERROR(__xludf.DUMMYFUNCTION("""COMPUTED_VALUE"""),"Mediano plazo")</f>
        <v>Mediano plazo</v>
      </c>
      <c r="R2827" s="25"/>
      <c r="S2827" s="55"/>
      <c r="T2827" s="56"/>
      <c r="U2827" s="25"/>
      <c r="V2827" s="25"/>
      <c r="W2827" s="25"/>
      <c r="X2827" s="25"/>
      <c r="Y2827" s="25"/>
      <c r="Z2827" s="25"/>
    </row>
    <row r="2828" spans="1:26" ht="52.5" customHeight="1" x14ac:dyDescent="0.25">
      <c r="A2828" s="25" t="str">
        <f ca="1">IFERROR(__xludf.DUMMYFUNCTION("""COMPUTED_VALUE"""),"Ambie126")</f>
        <v>Ambie126</v>
      </c>
      <c r="B2828" s="25"/>
      <c r="C2828" s="55"/>
      <c r="D2828" s="25" t="str">
        <f ca="1">IFERROR(__xludf.DUMMYFUNCTION("""COMPUTED_VALUE"""),"Ambiente")</f>
        <v>Ambiente</v>
      </c>
      <c r="E2828" s="25" t="str">
        <f ca="1">IFERROR(__xludf.DUMMYFUNCTION("""COMPUTED_VALUE"""),"Secretaría Distrital de Ambiente")</f>
        <v>Secretaría Distrital de Ambiente</v>
      </c>
      <c r="F2828" s="25" t="str">
        <f ca="1">IFERROR(__xludf.DUMMYFUNCTION("""COMPUTED_VALUE"""),"Eliminada")</f>
        <v>Eliminada</v>
      </c>
      <c r="G2828" s="25"/>
      <c r="H2828" s="25"/>
      <c r="I2828" s="25"/>
      <c r="J2828" s="55"/>
      <c r="K2828" s="25" t="str">
        <f ca="1">IFERROR(__xludf.DUMMYFUNCTION("""COMPUTED_VALUE"""),"Definir fecha")</f>
        <v>Definir fecha</v>
      </c>
      <c r="L2828" s="62"/>
      <c r="M2828" s="25"/>
      <c r="N2828" s="25"/>
      <c r="O2828" s="25" t="str">
        <f t="shared" ca="1" si="0"/>
        <v>Secretaría Distrital de Ambiente</v>
      </c>
      <c r="P2828" s="25" t="str">
        <f t="shared" si="2"/>
        <v/>
      </c>
      <c r="Q2828" s="25" t="str">
        <f ca="1">IFERROR(__xludf.DUMMYFUNCTION("""COMPUTED_VALUE"""),"Sin defenir")</f>
        <v>Sin defenir</v>
      </c>
      <c r="R2828" s="25"/>
      <c r="S2828" s="55"/>
      <c r="T2828" s="56"/>
      <c r="U2828" s="25"/>
      <c r="V2828" s="25"/>
      <c r="W2828" s="25"/>
      <c r="X2828" s="25"/>
      <c r="Y2828" s="25"/>
      <c r="Z2828" s="25"/>
    </row>
    <row r="2829" spans="1:26" ht="52.5" customHeight="1" x14ac:dyDescent="0.25">
      <c r="A2829" s="25" t="str">
        <f ca="1">IFERROR(__xludf.DUMMYFUNCTION("""COMPUTED_VALUE"""),"Ambie127")</f>
        <v>Ambie127</v>
      </c>
      <c r="B2829" s="25" t="str">
        <f ca="1">IFERROR(__xludf.DUMMYFUNCTION("""COMPUTED_VALUE"""),"Recorrido San Cristóbal")</f>
        <v>Recorrido San Cristóbal</v>
      </c>
      <c r="C2829" s="55">
        <f ca="1">IFERROR(__xludf.DUMMYFUNCTION("""COMPUTED_VALUE"""),45026)</f>
        <v>45026</v>
      </c>
      <c r="D2829" s="25" t="str">
        <f ca="1">IFERROR(__xludf.DUMMYFUNCTION("""COMPUTED_VALUE"""),"Ambiente")</f>
        <v>Ambiente</v>
      </c>
      <c r="E2829" s="25" t="str">
        <f ca="1">IFERROR(__xludf.DUMMYFUNCTION("""COMPUTED_VALUE"""),"Instituto Distrital de Gestión de Riesgos y Cambio Climático")</f>
        <v>Instituto Distrital de Gestión de Riesgos y Cambio Climático</v>
      </c>
      <c r="F2829" s="25" t="str">
        <f ca="1">IFERROR(__xludf.DUMMYFUNCTION("""COMPUTED_VALUE"""),"actualizar el concepto técnico sobre nivel de riesgo en el sector Guacamayas I y II.")</f>
        <v>actualizar el concepto técnico sobre nivel de riesgo en el sector Guacamayas I y II.</v>
      </c>
      <c r="G2829" s="25" t="str">
        <f ca="1">IFERROR(__xludf.DUMMYFUNCTION("""COMPUTED_VALUE"""),"04. San Cristóbal")</f>
        <v>04. San Cristóbal</v>
      </c>
      <c r="H2829" s="55">
        <f ca="1">IFERROR(__xludf.DUMMYFUNCTION("""COMPUTED_VALUE"""),45046)</f>
        <v>45046</v>
      </c>
      <c r="I2829" s="25" t="str">
        <f ca="1">IFERROR(__xludf.DUMMYFUNCTION("""COMPUTED_VALUE"""),"Secretaría Privada")</f>
        <v>Secretaría Privada</v>
      </c>
      <c r="J2829" s="55" t="str">
        <f ca="1">IFERROR(__xludf.DUMMYFUNCTION("""COMPUTED_VALUE"""),"Alta")</f>
        <v>Alta</v>
      </c>
      <c r="K2829" s="25">
        <f ca="1">IFERROR(__xludf.DUMMYFUNCTION("""COMPUTED_VALUE"""),20)</f>
        <v>20</v>
      </c>
      <c r="L2829" s="62">
        <f ca="1">IFERROR(__xludf.DUMMYFUNCTION("""COMPUTED_VALUE"""),45061)</f>
        <v>45061</v>
      </c>
      <c r="M2829" s="25" t="str">
        <f ca="1">IFERROR(__xludf.DUMMYFUNCTION("""COMPUTED_VALUE"""),"En reunión del 04 de mayo del 2023 a la que asistió la comunidad que habita el desarrollo Malvinas, se explicó por parte del IDIGER de la no pertinencia de abordar la actualización del CT-4165 de 2005, pues el mencionado concepto sigue vigente y no hay ca"&amp;"mbios físicos significativos. No obstante, las zonas que se pretenden revisar e incluir en reasentamiento son nuevas ocupaciones que se encuentran en áreas de cesión de otros desarrollos como Guacamayas y San Martín de Loba. Cimunicacion oficial como evid"&amp;"encia el RO-137093")</f>
        <v>En reunión del 04 de mayo del 2023 a la que asistió la comunidad que habita el desarrollo Malvinas, se explicó por parte del IDIGER de la no pertinencia de abordar la actualización del CT-4165 de 2005, pues el mencionado concepto sigue vigente y no hay cambios físicos significativos. No obstante, las zonas que se pretenden revisar e incluir en reasentamiento son nuevas ocupaciones que se encuentran en áreas de cesión de otros desarrollos como Guacamayas y San Martín de Loba. Cimunicacion oficial como evidencia el RO-137093</v>
      </c>
      <c r="N2829" s="55">
        <f ca="1">IFERROR(__xludf.DUMMYFUNCTION("""COMPUTED_VALUE"""),45058)</f>
        <v>45058</v>
      </c>
      <c r="O2829" s="25" t="str">
        <f t="shared" ca="1" si="0"/>
        <v>Instituto Distrital de Gestión de Riesgos y Cambio Climático</v>
      </c>
      <c r="P2829" s="25" t="str">
        <f t="shared" ca="1" si="2"/>
        <v/>
      </c>
      <c r="Q2829" s="25" t="str">
        <f ca="1">IFERROR(__xludf.DUMMYFUNCTION("""COMPUTED_VALUE"""),"Corto plazo")</f>
        <v>Corto plazo</v>
      </c>
      <c r="R2829" s="25"/>
      <c r="S2829" s="55"/>
      <c r="T2829" s="56"/>
      <c r="U2829" s="25"/>
      <c r="V2829" s="25"/>
      <c r="W2829" s="25"/>
      <c r="X2829" s="25"/>
      <c r="Y2829" s="25"/>
      <c r="Z2829" s="25"/>
    </row>
    <row r="2830" spans="1:26" ht="52.5" customHeight="1" x14ac:dyDescent="0.25">
      <c r="A2830" s="25" t="str">
        <f ca="1">IFERROR(__xludf.DUMMYFUNCTION("""COMPUTED_VALUE"""),"Ambie128")</f>
        <v>Ambie128</v>
      </c>
      <c r="B2830" s="25" t="str">
        <f ca="1">IFERROR(__xludf.DUMMYFUNCTION("""COMPUTED_VALUE"""),"Consejo Local de Gobierno de Bosa")</f>
        <v>Consejo Local de Gobierno de Bosa</v>
      </c>
      <c r="C2830" s="55">
        <f ca="1">IFERROR(__xludf.DUMMYFUNCTION("""COMPUTED_VALUE"""),44602)</f>
        <v>44602</v>
      </c>
      <c r="D2830" s="25" t="str">
        <f ca="1">IFERROR(__xludf.DUMMYFUNCTION("""COMPUTED_VALUE"""),"Ambiente")</f>
        <v>Ambiente</v>
      </c>
      <c r="E2830" s="25" t="str">
        <f ca="1">IFERROR(__xludf.DUMMYFUNCTION("""COMPUTED_VALUE"""),"Instituto Distrital de Gestión de Riesgos y Cambio Climático")</f>
        <v>Instituto Distrital de Gestión de Riesgos y Cambio Climático</v>
      </c>
      <c r="F2830" s="25" t="str">
        <f ca="1">IFERROR(__xludf.DUMMYFUNCTION("""COMPUTED_VALUE"""),"Revisar la posibilidad de reubicar a la población para mitigar el riesgo de deslizamiento y lograr las intervenciones de mejora en el barrio San José")</f>
        <v>Revisar la posibilidad de reubicar a la población para mitigar el riesgo de deslizamiento y lograr las intervenciones de mejora en el barrio San José</v>
      </c>
      <c r="G2830" s="25" t="str">
        <f ca="1">IFERROR(__xludf.DUMMYFUNCTION("""COMPUTED_VALUE"""),"07. Bosa")</f>
        <v>07. Bosa</v>
      </c>
      <c r="H2830" s="55">
        <f ca="1">IFERROR(__xludf.DUMMYFUNCTION("""COMPUTED_VALUE"""),44686)</f>
        <v>44686</v>
      </c>
      <c r="I2830" s="25"/>
      <c r="J2830" s="55" t="str">
        <f ca="1">IFERROR(__xludf.DUMMYFUNCTION("""COMPUTED_VALUE"""),"Media")</f>
        <v>Media</v>
      </c>
      <c r="K2830" s="25">
        <f ca="1">IFERROR(__xludf.DUMMYFUNCTION("""COMPUTED_VALUE"""),84)</f>
        <v>84</v>
      </c>
      <c r="L2830" s="62">
        <f ca="1">IFERROR(__xludf.DUMMYFUNCTION("""COMPUTED_VALUE"""),44686)</f>
        <v>44686</v>
      </c>
      <c r="M2830" s="25" t="str">
        <f ca="1">IFERROR(__xludf.DUMMYFUNCTION("""COMPUTED_VALUE"""),"Por parte del IDIGER se han desarrollado acciones de: 1) Monitoreo al río Tunjuelo y del Vallado San José 2) Instalación de motobomba para el bombeo de aguas del vallado al río, 3) Asistencia a las reuniones convocadas por la comunidad, 4) Acompañamiento "&amp;"a la atención de emergencias en temporadas de lluvia. Por parte de la Alcaldía Local se celebró convenio con EAAB para la rehabilitación, mitigación y prevención de los cuerpos de agua, así como la restauración preservación, control, rehabilitación ecológ"&amp;"ica y paisajística en las zonas de ronda y/o cuerpos de agua de la Localidad de Bosa.
 Sin embargo, el Desarrollo San José II Sector se encuentra en zona de amenaza alta por inundación por su ubicación topográfica por lo cual no es viable su legalizació"&amp;"n y por lo tanto la adecuación para la habilitabilidad por parte de la comunidad.
 El trámite de legalización del barrio se encuentra negado por la SDHT por lo tanto no es viable y adicional no se realizan reubicaciones por parte de la enitdad.")</f>
        <v>Por parte del IDIGER se han desarrollado acciones de: 1) Monitoreo al río Tunjuelo y del Vallado San José 2) Instalación de motobomba para el bombeo de aguas del vallado al río, 3) Asistencia a las reuniones convocadas por la comunidad, 4) Acompañamiento a la atención de emergencias en temporadas de lluvia. Por parte de la Alcaldía Local se celebró convenio con EAAB para la rehabilitación, mitigación y prevención de los cuerpos de agua, así como la restauración preservación, control, rehabilitación ecológica y paisajística en las zonas de ronda y/o cuerpos de agua de la Localidad de Bosa.
 Sin embargo, el Desarrollo San José II Sector se encuentra en zona de amenaza alta por inundación por su ubicación topográfica por lo cual no es viable su legalización y por lo tanto la adecuación para la habilitabilidad por parte de la comunidad.
 El trámite de legalización del barrio se encuentra negado por la SDHT por lo tanto no es viable y adicional no se realizan reubicaciones por parte de la enitdad.</v>
      </c>
      <c r="N2830" s="55">
        <f ca="1">IFERROR(__xludf.DUMMYFUNCTION("""COMPUTED_VALUE"""),44926)</f>
        <v>44926</v>
      </c>
      <c r="O2830" s="25" t="str">
        <f t="shared" ca="1" si="0"/>
        <v>Instituto Distrital de Gestión de Riesgos y Cambio Climático</v>
      </c>
      <c r="P2830" s="25" t="str">
        <f t="shared" si="2"/>
        <v/>
      </c>
      <c r="Q2830" s="25" t="str">
        <f ca="1">IFERROR(__xludf.DUMMYFUNCTION("""COMPUTED_VALUE"""),"Mediano plazo")</f>
        <v>Mediano plazo</v>
      </c>
      <c r="R2830" s="25"/>
      <c r="S2830" s="55"/>
      <c r="T2830" s="56"/>
      <c r="U2830" s="25"/>
      <c r="V2830" s="25"/>
      <c r="W2830" s="25"/>
      <c r="X2830" s="25"/>
      <c r="Y2830" s="25"/>
      <c r="Z2830" s="25"/>
    </row>
    <row r="2831" spans="1:26" ht="52.5" customHeight="1" x14ac:dyDescent="0.25">
      <c r="A2831" s="25" t="str">
        <f ca="1">IFERROR(__xludf.DUMMYFUNCTION("""COMPUTED_VALUE"""),"Ambie129")</f>
        <v>Ambie129</v>
      </c>
      <c r="B2831" s="25" t="str">
        <f ca="1">IFERROR(__xludf.DUMMYFUNCTION("""COMPUTED_VALUE"""),"Consejo Local de Gobierno de Suba")</f>
        <v>Consejo Local de Gobierno de Suba</v>
      </c>
      <c r="C2831" s="55">
        <f ca="1">IFERROR(__xludf.DUMMYFUNCTION("""COMPUTED_VALUE"""),44630)</f>
        <v>44630</v>
      </c>
      <c r="D2831" s="25" t="str">
        <f ca="1">IFERROR(__xludf.DUMMYFUNCTION("""COMPUTED_VALUE"""),"Ambiente")</f>
        <v>Ambiente</v>
      </c>
      <c r="E2831" s="25" t="str">
        <f ca="1">IFERROR(__xludf.DUMMYFUNCTION("""COMPUTED_VALUE"""),"Secretaría Distrital de Ambiente")</f>
        <v>Secretaría Distrital de Ambiente</v>
      </c>
      <c r="F2831" s="25" t="str">
        <f ca="1">IFERROR(__xludf.DUMMYFUNCTION("""COMPUTED_VALUE"""),"Consultar con la CAR la denuncia que hace la ciudadana Melba Castrillón sobre posible tala de árboles con un permiso falso en áreas de uso múltiple Bogotá - Suba Bilbao")</f>
        <v>Consultar con la CAR la denuncia que hace la ciudadana Melba Castrillón sobre posible tala de árboles con un permiso falso en áreas de uso múltiple Bogotá - Suba Bilbao</v>
      </c>
      <c r="G2831" s="25" t="str">
        <f ca="1">IFERROR(__xludf.DUMMYFUNCTION("""COMPUTED_VALUE"""),"11. Suba")</f>
        <v>11. Suba</v>
      </c>
      <c r="H2831" s="55">
        <f ca="1">IFERROR(__xludf.DUMMYFUNCTION("""COMPUTED_VALUE"""),44707)</f>
        <v>44707</v>
      </c>
      <c r="I2831" s="25"/>
      <c r="J2831" s="55" t="str">
        <f ca="1">IFERROR(__xludf.DUMMYFUNCTION("""COMPUTED_VALUE"""),"Media")</f>
        <v>Media</v>
      </c>
      <c r="K2831" s="25">
        <f ca="1">IFERROR(__xludf.DUMMYFUNCTION("""COMPUTED_VALUE"""),77)</f>
        <v>77</v>
      </c>
      <c r="L2831" s="62">
        <f ca="1">IFERROR(__xludf.DUMMYFUNCTION("""COMPUTED_VALUE"""),44707)</f>
        <v>44707</v>
      </c>
      <c r="M2831" s="25" t="str">
        <f ca="1">IFERROR(__xludf.DUMMYFUNCTION("""COMPUTED_VALUE"""),"Luego de verificar en el módulo de procesos y procedimientos de la SDA, se pudo comprobar que para el lugar no se ha emitido concepto técnico por medio del cual se haya autorizado la ejecución de las actividades silviculturales descritas. Por lo cual, se "&amp;"generó un concepto técnico asociado al proceso Forest 5416123 para que la Dirección de Control Ambiental analice si es jurídica y técnicamente viable iniciar un proceso sancionatorio ambiental. 
 La Secretaría de Ambiente continuará con el trámite y en "&amp;"el momento en que la Dirección de Control Ambiental emita el auto de inicio correspondiente.")</f>
        <v>Luego de verificar en el módulo de procesos y procedimientos de la SDA, se pudo comprobar que para el lugar no se ha emitido concepto técnico por medio del cual se haya autorizado la ejecución de las actividades silviculturales descritas. Por lo cual, se generó un concepto técnico asociado al proceso Forest 5416123 para que la Dirección de Control Ambiental analice si es jurídica y técnicamente viable iniciar un proceso sancionatorio ambiental. 
 La Secretaría de Ambiente continuará con el trámite y en el momento en que la Dirección de Control Ambiental emita el auto de inicio correspondiente.</v>
      </c>
      <c r="N2831" s="55">
        <f ca="1">IFERROR(__xludf.DUMMYFUNCTION("""COMPUTED_VALUE"""),44926)</f>
        <v>44926</v>
      </c>
      <c r="O2831" s="25" t="str">
        <f t="shared" ca="1" si="0"/>
        <v>Secretaría Distrital de Ambiente</v>
      </c>
      <c r="P2831" s="25" t="str">
        <f t="shared" si="2"/>
        <v/>
      </c>
      <c r="Q2831" s="25" t="str">
        <f ca="1">IFERROR(__xludf.DUMMYFUNCTION("""COMPUTED_VALUE"""),"Mediano plazo")</f>
        <v>Mediano plazo</v>
      </c>
      <c r="R2831" s="25"/>
      <c r="S2831" s="55"/>
      <c r="T2831" s="56"/>
      <c r="U2831" s="25"/>
      <c r="V2831" s="25"/>
      <c r="W2831" s="25"/>
      <c r="X2831" s="25"/>
      <c r="Y2831" s="25"/>
      <c r="Z2831" s="25"/>
    </row>
    <row r="2832" spans="1:26" ht="52.5" customHeight="1" x14ac:dyDescent="0.25">
      <c r="A2832" s="25" t="str">
        <f ca="1">IFERROR(__xludf.DUMMYFUNCTION("""COMPUTED_VALUE"""),"Ambie130")</f>
        <v>Ambie130</v>
      </c>
      <c r="B2832" s="25" t="str">
        <f ca="1">IFERROR(__xludf.DUMMYFUNCTION("""COMPUTED_VALUE"""),"Consejo Local de Gobierno de Chapinero")</f>
        <v>Consejo Local de Gobierno de Chapinero</v>
      </c>
      <c r="C2832" s="55">
        <f ca="1">IFERROR(__xludf.DUMMYFUNCTION("""COMPUTED_VALUE"""),44623)</f>
        <v>44623</v>
      </c>
      <c r="D2832" s="25" t="str">
        <f ca="1">IFERROR(__xludf.DUMMYFUNCTION("""COMPUTED_VALUE"""),"Ambiente")</f>
        <v>Ambiente</v>
      </c>
      <c r="E2832" s="25" t="str">
        <f ca="1">IFERROR(__xludf.DUMMYFUNCTION("""COMPUTED_VALUE"""),"Secretaría Distrital de Ambiente")</f>
        <v>Secretaría Distrital de Ambiente</v>
      </c>
      <c r="F2832" s="25" t="str">
        <f ca="1">IFERROR(__xludf.DUMMYFUNCTION("""COMPUTED_VALUE"""),"Realizar una mesa de trabajo con la comunidad de El verjón para tratar temas como la regulación de los usos de las propiedades y viviendas, antiguas a la sentencia de cerros, entre otras dificultades que se tienen en la vereda en relación con el Plan de M"&amp;"anejo Ambiental")</f>
        <v>Realizar una mesa de trabajo con la comunidad de El verjón para tratar temas como la regulación de los usos de las propiedades y viviendas, antiguas a la sentencia de cerros, entre otras dificultades que se tienen en la vereda en relación con el Plan de Manejo Ambiental</v>
      </c>
      <c r="G2832" s="25" t="str">
        <f ca="1">IFERROR(__xludf.DUMMYFUNCTION("""COMPUTED_VALUE"""),"02. Chapinero")</f>
        <v>02. Chapinero</v>
      </c>
      <c r="H2832" s="55">
        <f ca="1">IFERROR(__xludf.DUMMYFUNCTION("""COMPUTED_VALUE"""),45077)</f>
        <v>45077</v>
      </c>
      <c r="I2832" s="25" t="str">
        <f ca="1">IFERROR(__xludf.DUMMYFUNCTION("""COMPUTED_VALUE"""),"Secretaría Privada")</f>
        <v>Secretaría Privada</v>
      </c>
      <c r="J2832" s="55" t="str">
        <f ca="1">IFERROR(__xludf.DUMMYFUNCTION("""COMPUTED_VALUE"""),"Media")</f>
        <v>Media</v>
      </c>
      <c r="K2832" s="25">
        <f ca="1">IFERROR(__xludf.DUMMYFUNCTION("""COMPUTED_VALUE"""),454)</f>
        <v>454</v>
      </c>
      <c r="L2832" s="62">
        <f ca="1">IFERROR(__xludf.DUMMYFUNCTION("""COMPUTED_VALUE"""),45077)</f>
        <v>45077</v>
      </c>
      <c r="M2832" s="25" t="str">
        <f ca="1">IFERROR(__xludf.DUMMYFUNCTION("""COMPUTED_VALUE"""),"Desde la última semana de abril de 2022 se está esperando la respuesta de la CAR para llevar a cabo la reunión, ya que gran parte de las inquietudes de la comunidad son de competencia de su jurisdicción.")</f>
        <v>Desde la última semana de abril de 2022 se está esperando la respuesta de la CAR para llevar a cabo la reunión, ya que gran parte de las inquietudes de la comunidad son de competencia de su jurisdicción.</v>
      </c>
      <c r="N2832" s="25"/>
      <c r="O2832" s="25" t="str">
        <f t="shared" ca="1" si="0"/>
        <v>Secretaría Distrital de Ambiente</v>
      </c>
      <c r="P2832" s="25" t="str">
        <f t="shared" ca="1" si="2"/>
        <v/>
      </c>
      <c r="Q2832" s="25" t="str">
        <f ca="1">IFERROR(__xludf.DUMMYFUNCTION("""COMPUTED_VALUE"""),"Largo plazo")</f>
        <v>Largo plazo</v>
      </c>
      <c r="R2832" s="25"/>
      <c r="S2832" s="55"/>
      <c r="T2832" s="56"/>
      <c r="U2832" s="25"/>
      <c r="V2832" s="25"/>
      <c r="W2832" s="25"/>
      <c r="X2832" s="25"/>
      <c r="Y2832" s="25"/>
      <c r="Z2832" s="25"/>
    </row>
    <row r="2833" spans="1:26" ht="52.5" customHeight="1" x14ac:dyDescent="0.25">
      <c r="A2833" s="25" t="str">
        <f ca="1">IFERROR(__xludf.DUMMYFUNCTION("""COMPUTED_VALUE"""),"Ambie131")</f>
        <v>Ambie131</v>
      </c>
      <c r="B2833" s="25" t="str">
        <f ca="1">IFERROR(__xludf.DUMMYFUNCTION("""COMPUTED_VALUE"""),"Consejo Local de Gobierno de Chapinero")</f>
        <v>Consejo Local de Gobierno de Chapinero</v>
      </c>
      <c r="C2833" s="55">
        <f ca="1">IFERROR(__xludf.DUMMYFUNCTION("""COMPUTED_VALUE"""),44623)</f>
        <v>44623</v>
      </c>
      <c r="D2833" s="25" t="str">
        <f ca="1">IFERROR(__xludf.DUMMYFUNCTION("""COMPUTED_VALUE"""),"Ambiente")</f>
        <v>Ambiente</v>
      </c>
      <c r="E2833" s="25" t="str">
        <f ca="1">IFERROR(__xludf.DUMMYFUNCTION("""COMPUTED_VALUE"""),"Secretaría Distrital de Ambiente")</f>
        <v>Secretaría Distrital de Ambiente</v>
      </c>
      <c r="F2833" s="25" t="str">
        <f ca="1">IFERROR(__xludf.DUMMYFUNCTION("""COMPUTED_VALUE"""),"Revisar opciones con la Secretaría de Ambiente sobre el apoyo del sendero horizontes de las Moyas (predio privado) y si es posible que la CAR apruebe el plan de restauración realizado por la fundación.")</f>
        <v>Revisar opciones con la Secretaría de Ambiente sobre el apoyo del sendero horizontes de las Moyas (predio privado) y si es posible que la CAR apruebe el plan de restauración realizado por la fundación.</v>
      </c>
      <c r="G2833" s="25" t="str">
        <f ca="1">IFERROR(__xludf.DUMMYFUNCTION("""COMPUTED_VALUE"""),"02. Chapinero")</f>
        <v>02. Chapinero</v>
      </c>
      <c r="H2833" s="55">
        <f ca="1">IFERROR(__xludf.DUMMYFUNCTION("""COMPUTED_VALUE"""),45107)</f>
        <v>45107</v>
      </c>
      <c r="I2833" s="25" t="str">
        <f ca="1">IFERROR(__xludf.DUMMYFUNCTION("""COMPUTED_VALUE"""),"Secretaría Privada")</f>
        <v>Secretaría Privada</v>
      </c>
      <c r="J2833" s="55" t="str">
        <f ca="1">IFERROR(__xludf.DUMMYFUNCTION("""COMPUTED_VALUE"""),"Media")</f>
        <v>Media</v>
      </c>
      <c r="K2833" s="25">
        <f ca="1">IFERROR(__xludf.DUMMYFUNCTION("""COMPUTED_VALUE"""),484)</f>
        <v>484</v>
      </c>
      <c r="L2833" s="62">
        <f ca="1">IFERROR(__xludf.DUMMYFUNCTION("""COMPUTED_VALUE"""),45077)</f>
        <v>45077</v>
      </c>
      <c r="M2833" s="25" t="str">
        <f ca="1">IFERROR(__xludf.DUMMYFUNCTION("""COMPUTED_VALUE"""),"Happy Live, quienes buscan seguir operando el Sendero Las Moyas, enviaron el documento borrador del plan de recreación pasiva para revisión preliminar por parte de la CAR.
La Car realizó comentarios para ajustar el documento, los cuales fueron enviados "&amp;"al operador del sendero Happy Live. Hasta el momento el operador no ha enviado la información adicional que fue solicitada.")</f>
        <v>Happy Live, quienes buscan seguir operando el Sendero Las Moyas, enviaron el documento borrador del plan de recreación pasiva para revisión preliminar por parte de la CAR.
La Car realizó comentarios para ajustar el documento, los cuales fueron enviados al operador del sendero Happy Live. Hasta el momento el operador no ha enviado la información adicional que fue solicitada.</v>
      </c>
      <c r="N2833" s="25"/>
      <c r="O2833" s="25" t="str">
        <f t="shared" ca="1" si="0"/>
        <v>Secretaría Distrital de Ambiente</v>
      </c>
      <c r="P2833" s="25" t="str">
        <f t="shared" ca="1" si="2"/>
        <v/>
      </c>
      <c r="Q2833" s="25" t="str">
        <f ca="1">IFERROR(__xludf.DUMMYFUNCTION("""COMPUTED_VALUE"""),"Largo plazo")</f>
        <v>Largo plazo</v>
      </c>
      <c r="R2833" s="25"/>
      <c r="S2833" s="55"/>
      <c r="T2833" s="56"/>
      <c r="U2833" s="25"/>
      <c r="V2833" s="25"/>
      <c r="W2833" s="25"/>
      <c r="X2833" s="25"/>
      <c r="Y2833" s="25"/>
      <c r="Z2833" s="25"/>
    </row>
    <row r="2834" spans="1:26" ht="52.5" customHeight="1" x14ac:dyDescent="0.25">
      <c r="A2834" s="25" t="str">
        <f ca="1">IFERROR(__xludf.DUMMYFUNCTION("""COMPUTED_VALUE"""),"Ambie132")</f>
        <v>Ambie132</v>
      </c>
      <c r="B2834" s="25" t="str">
        <f ca="1">IFERROR(__xludf.DUMMYFUNCTION("""COMPUTED_VALUE"""),"Consejo Local de Gobierno de Chapinero")</f>
        <v>Consejo Local de Gobierno de Chapinero</v>
      </c>
      <c r="C2834" s="55">
        <f ca="1">IFERROR(__xludf.DUMMYFUNCTION("""COMPUTED_VALUE"""),44623)</f>
        <v>44623</v>
      </c>
      <c r="D2834" s="25" t="str">
        <f ca="1">IFERROR(__xludf.DUMMYFUNCTION("""COMPUTED_VALUE"""),"Ambiente")</f>
        <v>Ambiente</v>
      </c>
      <c r="E2834" s="25" t="str">
        <f ca="1">IFERROR(__xludf.DUMMYFUNCTION("""COMPUTED_VALUE"""),"Jardín Botánico José Celestino Mutis")</f>
        <v>Jardín Botánico José Celestino Mutis</v>
      </c>
      <c r="F2834" s="25" t="str">
        <f ca="1">IFERROR(__xludf.DUMMYFUNCTION("""COMPUTED_VALUE"""),"Dar respuesta al ciudadano sobre los temas relacionados con los árboles del separador de la calle 94")</f>
        <v>Dar respuesta al ciudadano sobre los temas relacionados con los árboles del separador de la calle 94</v>
      </c>
      <c r="G2834" s="25" t="str">
        <f ca="1">IFERROR(__xludf.DUMMYFUNCTION("""COMPUTED_VALUE"""),"02. Chapinero")</f>
        <v>02. Chapinero</v>
      </c>
      <c r="H2834" s="55">
        <f ca="1">IFERROR(__xludf.DUMMYFUNCTION("""COMPUTED_VALUE"""),45138)</f>
        <v>45138</v>
      </c>
      <c r="I2834" s="25" t="str">
        <f ca="1">IFERROR(__xludf.DUMMYFUNCTION("""COMPUTED_VALUE"""),"Secretaría Privada")</f>
        <v>Secretaría Privada</v>
      </c>
      <c r="J2834" s="55" t="str">
        <f ca="1">IFERROR(__xludf.DUMMYFUNCTION("""COMPUTED_VALUE"""),"Media")</f>
        <v>Media</v>
      </c>
      <c r="K2834" s="25">
        <f ca="1">IFERROR(__xludf.DUMMYFUNCTION("""COMPUTED_VALUE"""),515)</f>
        <v>515</v>
      </c>
      <c r="L2834" s="62">
        <f ca="1">IFERROR(__xludf.DUMMYFUNCTION("""COMPUTED_VALUE"""),45046)</f>
        <v>45046</v>
      </c>
      <c r="M2834" s="25" t="str">
        <f ca="1">IFERROR(__xludf.DUMMYFUNCTION("""COMPUTED_VALUE"""),"Esta actividad ya se había reportado en la vigencia anterior, se le dio respuesta al ciudadano, 
El Jardín Botánico realizó visita de inspección encontrando que el señor Rafael Romero plantó dos árboles, los cuales quedaron mal ubicados y deben ser retira"&amp;"dos.")</f>
        <v>Esta actividad ya se había reportado en la vigencia anterior, se le dio respuesta al ciudadano, 
El Jardín Botánico realizó visita de inspección encontrando que el señor Rafael Romero plantó dos árboles, los cuales quedaron mal ubicados y deben ser retirados.</v>
      </c>
      <c r="N2834" s="25"/>
      <c r="O2834" s="25" t="str">
        <f t="shared" ca="1" si="0"/>
        <v>Jardín Botánico José Celestino Mutis</v>
      </c>
      <c r="P2834" s="25" t="str">
        <f t="shared" ca="1" si="2"/>
        <v/>
      </c>
      <c r="Q2834" s="25" t="str">
        <f ca="1">IFERROR(__xludf.DUMMYFUNCTION("""COMPUTED_VALUE"""),"Largo plazo")</f>
        <v>Largo plazo</v>
      </c>
      <c r="R2834" s="25"/>
      <c r="S2834" s="55"/>
      <c r="T2834" s="56"/>
      <c r="U2834" s="25"/>
      <c r="V2834" s="25"/>
      <c r="W2834" s="25"/>
      <c r="X2834" s="25"/>
      <c r="Y2834" s="25"/>
      <c r="Z2834" s="25"/>
    </row>
    <row r="2835" spans="1:26" ht="52.5" customHeight="1" x14ac:dyDescent="0.25">
      <c r="A2835" s="25" t="str">
        <f ca="1">IFERROR(__xludf.DUMMYFUNCTION("""COMPUTED_VALUE"""),"Ambie133")</f>
        <v>Ambie133</v>
      </c>
      <c r="B2835" s="25" t="str">
        <f ca="1">IFERROR(__xludf.DUMMYFUNCTION("""COMPUTED_VALUE"""),"Recorrido Engativá")</f>
        <v>Recorrido Engativá</v>
      </c>
      <c r="C2835" s="55">
        <f ca="1">IFERROR(__xludf.DUMMYFUNCTION("""COMPUTED_VALUE"""),45048)</f>
        <v>45048</v>
      </c>
      <c r="D2835" s="25" t="str">
        <f ca="1">IFERROR(__xludf.DUMMYFUNCTION("""COMPUTED_VALUE"""),"Ambiente")</f>
        <v>Ambiente</v>
      </c>
      <c r="E2835" s="25" t="str">
        <f ca="1">IFERROR(__xludf.DUMMYFUNCTION("""COMPUTED_VALUE"""),"Secretaría Distrital de Ambiente")</f>
        <v>Secretaría Distrital de Ambiente</v>
      </c>
      <c r="F2835" s="25" t="str">
        <f ca="1">IFERROR(__xludf.DUMMYFUNCTION("""COMPUTED_VALUE"""),"Revisar la posibilidad de brindar viabilidad técnica a la SED para disponer en las partes altas de las fachadas de los nuevos IED del Distrito , los nombres de los colegios junto con la frase ""La educación en primer lugar"".")</f>
        <v>Revisar la posibilidad de brindar viabilidad técnica a la SED para disponer en las partes altas de las fachadas de los nuevos IED del Distrito , los nombres de los colegios junto con la frase "La educación en primer lugar".</v>
      </c>
      <c r="G2835" s="25" t="str">
        <f ca="1">IFERROR(__xludf.DUMMYFUNCTION("""COMPUTED_VALUE"""),"10. Engativá")</f>
        <v>10. Engativá</v>
      </c>
      <c r="H2835" s="55">
        <f ca="1">IFERROR(__xludf.DUMMYFUNCTION("""COMPUTED_VALUE"""),45076)</f>
        <v>45076</v>
      </c>
      <c r="I2835" s="25" t="str">
        <f ca="1">IFERROR(__xludf.DUMMYFUNCTION("""COMPUTED_VALUE"""),"Delivery Unit")</f>
        <v>Delivery Unit</v>
      </c>
      <c r="J2835" s="55" t="str">
        <f ca="1">IFERROR(__xludf.DUMMYFUNCTION("""COMPUTED_VALUE"""),"Alta")</f>
        <v>Alta</v>
      </c>
      <c r="K2835" s="25">
        <f ca="1">IFERROR(__xludf.DUMMYFUNCTION("""COMPUTED_VALUE"""),28)</f>
        <v>28</v>
      </c>
      <c r="L2835" s="62">
        <f ca="1">IFERROR(__xludf.DUMMYFUNCTION("""COMPUTED_VALUE"""),45077)</f>
        <v>45077</v>
      </c>
      <c r="M2835" s="25" t="str">
        <f ca="1">IFERROR(__xludf.DUMMYFUNCTION("""COMPUTED_VALUE"""),"Para dar cumplimiento a esta solicitud en primera medida se sugiere realizar una mesa de trabajo con el fin de establecer las condiciones técnicas de cada fachada e indicar el procedimiento correspondiente. 
Se debe contemplar que para instalar el nombre "&amp;"del edificio en el último nivel o parte alta de las fachadas, el edificio debe contar con 5 o más pisos para que sea registrado como nombre del mismo. Podrá contar con el nombre del colegio + la frase ""la educación en primer lugar"". 
Si no se cuenta con"&amp;" 5 o más pisos, se debe instalar el elemento sin superar el antepecho del segundo piso (es decir, sin superar el espacio entre el primer piso y la placa del segundo piso)
En cualquier caso se requiere contar con el registro previo del elemento de publicid"&amp;"ad exterior visual
Se debe contemplar que se requiere un periodo de 2 meses para dar evaluar las solicitudes y generar el acto administrativo correspondiente, por lo cual, la fecha de cumplimiento final al 30-05-2023 no es factible.")</f>
        <v>Para dar cumplimiento a esta solicitud en primera medida se sugiere realizar una mesa de trabajo con el fin de establecer las condiciones técnicas de cada fachada e indicar el procedimiento correspondiente. 
Se debe contemplar que para instalar el nombre del edificio en el último nivel o parte alta de las fachadas, el edificio debe contar con 5 o más pisos para que sea registrado como nombre del mismo. Podrá contar con el nombre del colegio + la frase "la educación en primer lugar". 
Si no se cuenta con 5 o más pisos, se debe instalar el elemento sin superar el antepecho del segundo piso (es decir, sin superar el espacio entre el primer piso y la placa del segundo piso)
En cualquier caso se requiere contar con el registro previo del elemento de publicidad exterior visual
Se debe contemplar que se requiere un periodo de 2 meses para dar evaluar las solicitudes y generar el acto administrativo correspondiente, por lo cual, la fecha de cumplimiento final al 30-05-2023 no es factible.</v>
      </c>
      <c r="N2835" s="25"/>
      <c r="O2835" s="25" t="str">
        <f t="shared" ca="1" si="0"/>
        <v>Secretaría Distrital de Ambiente</v>
      </c>
      <c r="P2835" s="25" t="str">
        <f t="shared" ca="1" si="2"/>
        <v/>
      </c>
      <c r="Q2835" s="25" t="str">
        <f ca="1">IFERROR(__xludf.DUMMYFUNCTION("""COMPUTED_VALUE"""),"Corto plazo")</f>
        <v>Corto plazo</v>
      </c>
      <c r="R2835" s="25"/>
      <c r="S2835" s="55"/>
      <c r="T2835" s="56"/>
      <c r="U2835" s="25"/>
      <c r="V2835" s="25"/>
      <c r="W2835" s="25"/>
      <c r="X2835" s="25"/>
      <c r="Y2835" s="25"/>
      <c r="Z2835" s="25"/>
    </row>
    <row r="2836" spans="1:26" ht="52.5" customHeight="1" x14ac:dyDescent="0.25">
      <c r="A2836" s="25" t="str">
        <f ca="1">IFERROR(__xludf.DUMMYFUNCTION("""COMPUTED_VALUE"""),"Ambie134")</f>
        <v>Ambie134</v>
      </c>
      <c r="B2836" s="25" t="str">
        <f ca="1">IFERROR(__xludf.DUMMYFUNCTION("""COMPUTED_VALUE"""),"Recorrido Engativá")</f>
        <v>Recorrido Engativá</v>
      </c>
      <c r="C2836" s="55">
        <f ca="1">IFERROR(__xludf.DUMMYFUNCTION("""COMPUTED_VALUE"""),45048)</f>
        <v>45048</v>
      </c>
      <c r="D2836" s="25" t="str">
        <f ca="1">IFERROR(__xludf.DUMMYFUNCTION("""COMPUTED_VALUE"""),"Ambiente")</f>
        <v>Ambiente</v>
      </c>
      <c r="E2836" s="25" t="str">
        <f ca="1">IFERROR(__xludf.DUMMYFUNCTION("""COMPUTED_VALUE"""),"Jardín Botánico José Celestino Mutis")</f>
        <v>Jardín Botánico José Celestino Mutis</v>
      </c>
      <c r="F2836" s="25" t="str">
        <f ca="1">IFERROR(__xludf.DUMMYFUNCTION("""COMPUTED_VALUE"""),"Realizar un cerramiento verde y un reverdecimiento al interior en el IED Lucila Rubio.")</f>
        <v>Realizar un cerramiento verde y un reverdecimiento al interior en el IED Lucila Rubio.</v>
      </c>
      <c r="G2836" s="25" t="str">
        <f ca="1">IFERROR(__xludf.DUMMYFUNCTION("""COMPUTED_VALUE"""),"10. Engativá")</f>
        <v>10. Engativá</v>
      </c>
      <c r="H2836" s="55">
        <f ca="1">IFERROR(__xludf.DUMMYFUNCTION("""COMPUTED_VALUE"""),45092)</f>
        <v>45092</v>
      </c>
      <c r="I2836" s="25" t="str">
        <f ca="1">IFERROR(__xludf.DUMMYFUNCTION("""COMPUTED_VALUE"""),"Secretaría Privada")</f>
        <v>Secretaría Privada</v>
      </c>
      <c r="J2836" s="55" t="str">
        <f ca="1">IFERROR(__xludf.DUMMYFUNCTION("""COMPUTED_VALUE"""),"Alta")</f>
        <v>Alta</v>
      </c>
      <c r="K2836" s="25">
        <f ca="1">IFERROR(__xludf.DUMMYFUNCTION("""COMPUTED_VALUE"""),44)</f>
        <v>44</v>
      </c>
      <c r="L2836" s="62">
        <f ca="1">IFERROR(__xludf.DUMMYFUNCTION("""COMPUTED_VALUE"""),45077)</f>
        <v>45077</v>
      </c>
      <c r="M2836" s="25" t="str">
        <f ca="1">IFERROR(__xludf.DUMMYFUNCTION("""COMPUTED_VALUE"""),"Se El JBB progamó visita de asistencia técnica por parte de un profesional del proyecto de agricultura urbana, para la semana comprendida entre el 5 y 10 de junio del presente.
El JBB no realiza encerramiento verdes, no está comtemplado en el manual de co"&amp;"berturas vegetales, es importante señalar en el 531 de 2010, se estableció la eliminación de Setos para recuperación de espacio público.  No obstante, el JBB realizará visita de diagnóstico para evaluar si es posible establecer individuos vegetales.")</f>
        <v>Se El JBB progamó visita de asistencia técnica por parte de un profesional del proyecto de agricultura urbana, para la semana comprendida entre el 5 y 10 de junio del presente.
El JBB no realiza encerramiento verdes, no está comtemplado en el manual de coberturas vegetales, es importante señalar en el 531 de 2010, se estableció la eliminación de Setos para recuperación de espacio público.  No obstante, el JBB realizará visita de diagnóstico para evaluar si es posible establecer individuos vegetales.</v>
      </c>
      <c r="N2836" s="25"/>
      <c r="O2836" s="25" t="str">
        <f t="shared" ca="1" si="0"/>
        <v>Jardín Botánico José Celestino Mutis</v>
      </c>
      <c r="P2836" s="25" t="str">
        <f t="shared" ca="1" si="2"/>
        <v/>
      </c>
      <c r="Q2836" s="25" t="str">
        <f ca="1">IFERROR(__xludf.DUMMYFUNCTION("""COMPUTED_VALUE"""),"Corto plazo")</f>
        <v>Corto plazo</v>
      </c>
      <c r="R2836" s="25"/>
      <c r="S2836" s="55"/>
      <c r="T2836" s="56"/>
      <c r="U2836" s="25"/>
      <c r="V2836" s="25"/>
      <c r="W2836" s="25"/>
      <c r="X2836" s="25"/>
      <c r="Y2836" s="25"/>
      <c r="Z2836" s="25"/>
    </row>
    <row r="2837" spans="1:26" ht="52.5" customHeight="1" x14ac:dyDescent="0.25">
      <c r="A2837" s="25" t="str">
        <f ca="1">IFERROR(__xludf.DUMMYFUNCTION("""COMPUTED_VALUE"""),"Ambie135")</f>
        <v>Ambie135</v>
      </c>
      <c r="B2837" s="25" t="str">
        <f ca="1">IFERROR(__xludf.DUMMYFUNCTION("""COMPUTED_VALUE"""),"Recorrido Engativá")</f>
        <v>Recorrido Engativá</v>
      </c>
      <c r="C2837" s="55">
        <f ca="1">IFERROR(__xludf.DUMMYFUNCTION("""COMPUTED_VALUE"""),45048)</f>
        <v>45048</v>
      </c>
      <c r="D2837" s="25" t="str">
        <f ca="1">IFERROR(__xludf.DUMMYFUNCTION("""COMPUTED_VALUE"""),"Ambiente")</f>
        <v>Ambiente</v>
      </c>
      <c r="E2837" s="25" t="str">
        <f ca="1">IFERROR(__xludf.DUMMYFUNCTION("""COMPUTED_VALUE"""),"Jardín Botánico José Celestino Mutis")</f>
        <v>Jardín Botánico José Celestino Mutis</v>
      </c>
      <c r="F2837" s="25" t="str">
        <f ca="1">IFERROR(__xludf.DUMMYFUNCTION("""COMPUTED_VALUE"""),"Brindar asistencia técnica a la huerta de la casa Respiro.")</f>
        <v>Brindar asistencia técnica a la huerta de la casa Respiro.</v>
      </c>
      <c r="G2837" s="25" t="str">
        <f ca="1">IFERROR(__xludf.DUMMYFUNCTION("""COMPUTED_VALUE"""),"10. Engativá")</f>
        <v>10. Engativá</v>
      </c>
      <c r="H2837" s="55">
        <f ca="1">IFERROR(__xludf.DUMMYFUNCTION("""COMPUTED_VALUE"""),45076)</f>
        <v>45076</v>
      </c>
      <c r="I2837" s="25" t="str">
        <f ca="1">IFERROR(__xludf.DUMMYFUNCTION("""COMPUTED_VALUE"""),"Delivery Unit")</f>
        <v>Delivery Unit</v>
      </c>
      <c r="J2837" s="55" t="str">
        <f ca="1">IFERROR(__xludf.DUMMYFUNCTION("""COMPUTED_VALUE"""),"Alta")</f>
        <v>Alta</v>
      </c>
      <c r="K2837" s="25">
        <f ca="1">IFERROR(__xludf.DUMMYFUNCTION("""COMPUTED_VALUE"""),28)</f>
        <v>28</v>
      </c>
      <c r="L2837" s="62">
        <f ca="1">IFERROR(__xludf.DUMMYFUNCTION("""COMPUTED_VALUE"""),45077)</f>
        <v>45077</v>
      </c>
      <c r="M2837" s="25" t="str">
        <f ca="1">IFERROR(__xludf.DUMMYFUNCTION("""COMPUTED_VALUE"""),"- Se contacto a los miembros de la comunidad el 14 de mayo, se invitaron al proceso de capacitación en empredimientos (Metodología DYME) los días 18 y 19 de mayo en el CESA.
- Se inició el proceso de capacitación en Agricultura el día 26 de mayo del prese"&amp;"nte.
- Se realizó la asistencia técnica a la huerta el 1 de junio del presente.
- Se realizará el fortalecimiento a la Huerta con entrega de insumos el 30 de junio de 2023.
El JBB incluira en el mes de Mayo, la visita a la casa respiro, para determinar sí"&amp;" requiere fortalecimiento de insumos e  impartir asistencia técnica en l ahuerta")</f>
        <v>- Se contacto a los miembros de la comunidad el 14 de mayo, se invitaron al proceso de capacitación en empredimientos (Metodología DYME) los días 18 y 19 de mayo en el CESA.
- Se inició el proceso de capacitación en Agricultura el día 26 de mayo del presente.
- Se realizó la asistencia técnica a la huerta el 1 de junio del presente.
- Se realizará el fortalecimiento a la Huerta con entrega de insumos el 30 de junio de 2023.
El JBB incluira en el mes de Mayo, la visita a la casa respiro, para determinar sí requiere fortalecimiento de insumos e  impartir asistencia técnica en l ahuerta</v>
      </c>
      <c r="N2837" s="25"/>
      <c r="O2837" s="25" t="str">
        <f t="shared" ca="1" si="0"/>
        <v>Jardín Botánico José Celestino Mutis</v>
      </c>
      <c r="P2837" s="25" t="str">
        <f t="shared" ca="1" si="2"/>
        <v/>
      </c>
      <c r="Q2837" s="25" t="str">
        <f ca="1">IFERROR(__xludf.DUMMYFUNCTION("""COMPUTED_VALUE"""),"Corto plazo")</f>
        <v>Corto plazo</v>
      </c>
      <c r="R2837" s="25"/>
      <c r="S2837" s="55"/>
      <c r="T2837" s="56"/>
      <c r="U2837" s="25"/>
      <c r="V2837" s="25"/>
      <c r="W2837" s="25"/>
      <c r="X2837" s="25"/>
      <c r="Y2837" s="25"/>
      <c r="Z2837" s="25"/>
    </row>
    <row r="2838" spans="1:26" ht="52.5" customHeight="1" x14ac:dyDescent="0.25">
      <c r="A2838" s="25" t="str">
        <f ca="1">IFERROR(__xludf.DUMMYFUNCTION("""COMPUTED_VALUE"""),"Ambie136")</f>
        <v>Ambie136</v>
      </c>
      <c r="B2838" s="25" t="str">
        <f ca="1">IFERROR(__xludf.DUMMYFUNCTION("""COMPUTED_VALUE"""),"Recorrido Engativá")</f>
        <v>Recorrido Engativá</v>
      </c>
      <c r="C2838" s="55">
        <f ca="1">IFERROR(__xludf.DUMMYFUNCTION("""COMPUTED_VALUE"""),45048)</f>
        <v>45048</v>
      </c>
      <c r="D2838" s="25" t="str">
        <f ca="1">IFERROR(__xludf.DUMMYFUNCTION("""COMPUTED_VALUE"""),"Ambiente")</f>
        <v>Ambiente</v>
      </c>
      <c r="E2838" s="25" t="str">
        <f ca="1">IFERROR(__xludf.DUMMYFUNCTION("""COMPUTED_VALUE"""),"Secretaría Distrital de Ambiente")</f>
        <v>Secretaría Distrital de Ambiente</v>
      </c>
      <c r="F2838" s="25" t="str">
        <f ca="1">IFERROR(__xludf.DUMMYFUNCTION("""COMPUTED_VALUE"""),"Limpiar el retamo espinoso de los predios de la ALO norte.")</f>
        <v>Limpiar el retamo espinoso de los predios de la ALO norte.</v>
      </c>
      <c r="G2838" s="25" t="str">
        <f ca="1">IFERROR(__xludf.DUMMYFUNCTION("""COMPUTED_VALUE"""),"10. Engativá")</f>
        <v>10. Engativá</v>
      </c>
      <c r="H2838" s="55">
        <f ca="1">IFERROR(__xludf.DUMMYFUNCTION("""COMPUTED_VALUE"""),45061)</f>
        <v>45061</v>
      </c>
      <c r="I2838" s="25" t="str">
        <f ca="1">IFERROR(__xludf.DUMMYFUNCTION("""COMPUTED_VALUE"""),"Secretaría Privada")</f>
        <v>Secretaría Privada</v>
      </c>
      <c r="J2838" s="55" t="str">
        <f ca="1">IFERROR(__xludf.DUMMYFUNCTION("""COMPUTED_VALUE"""),"Alta")</f>
        <v>Alta</v>
      </c>
      <c r="K2838" s="25">
        <f ca="1">IFERROR(__xludf.DUMMYFUNCTION("""COMPUTED_VALUE"""),13)</f>
        <v>13</v>
      </c>
      <c r="L2838" s="62">
        <f ca="1">IFERROR(__xludf.DUMMYFUNCTION("""COMPUTED_VALUE"""),45062)</f>
        <v>45062</v>
      </c>
      <c r="M2838" s="25" t="str">
        <f ca="1">IFERROR(__xludf.DUMMYFUNCTION("""COMPUTED_VALUE"""),"La erradicación del retamo No requiere permiso de la SDA y debe realizarla los propietarios, poseedores o tenedores de los predios.
Deben atender los lineamientos de la Res. 684 de 2018 del MADS.")</f>
        <v>La erradicación del retamo No requiere permiso de la SDA y debe realizarla los propietarios, poseedores o tenedores de los predios.
Deben atender los lineamientos de la Res. 684 de 2018 del MADS.</v>
      </c>
      <c r="N2838" s="25"/>
      <c r="O2838" s="25" t="str">
        <f t="shared" ca="1" si="0"/>
        <v>Secretaría Distrital de Ambiente</v>
      </c>
      <c r="P2838" s="25" t="str">
        <f t="shared" ca="1" si="2"/>
        <v/>
      </c>
      <c r="Q2838" s="25" t="str">
        <f ca="1">IFERROR(__xludf.DUMMYFUNCTION("""COMPUTED_VALUE"""),"Corto plazo")</f>
        <v>Corto plazo</v>
      </c>
      <c r="R2838" s="25"/>
      <c r="S2838" s="55"/>
      <c r="T2838" s="56"/>
      <c r="U2838" s="25"/>
      <c r="V2838" s="25"/>
      <c r="W2838" s="25"/>
      <c r="X2838" s="25"/>
      <c r="Y2838" s="25"/>
      <c r="Z2838" s="25"/>
    </row>
    <row r="2839" spans="1:26" ht="52.5" customHeight="1" x14ac:dyDescent="0.25">
      <c r="A2839" s="25" t="str">
        <f ca="1">IFERROR(__xludf.DUMMYFUNCTION("""COMPUTED_VALUE"""),"Ambie137")</f>
        <v>Ambie137</v>
      </c>
      <c r="B2839" s="25" t="str">
        <f ca="1">IFERROR(__xludf.DUMMYFUNCTION("""COMPUTED_VALUE"""),"Seguimiento reglamentación POT")</f>
        <v>Seguimiento reglamentación POT</v>
      </c>
      <c r="C2839" s="55">
        <f ca="1">IFERROR(__xludf.DUMMYFUNCTION("""COMPUTED_VALUE"""),45051)</f>
        <v>45051</v>
      </c>
      <c r="D2839" s="25" t="str">
        <f ca="1">IFERROR(__xludf.DUMMYFUNCTION("""COMPUTED_VALUE"""),"Ambiente")</f>
        <v>Ambiente</v>
      </c>
      <c r="E2839" s="25" t="str">
        <f ca="1">IFERROR(__xludf.DUMMYFUNCTION("""COMPUTED_VALUE"""),"Secretaría Distrital de Ambiente")</f>
        <v>Secretaría Distrital de Ambiente</v>
      </c>
      <c r="F2839" s="25" t="str">
        <f ca="1">IFERROR(__xludf.DUMMYFUNCTION("""COMPUTED_VALUE"""),"Incluir dentro del decreto un artículo que permita articular los derechos de construcción con el suelo de las actuaciones estratégicas")</f>
        <v>Incluir dentro del decreto un artículo que permita articular los derechos de construcción con el suelo de las actuaciones estratégicas</v>
      </c>
      <c r="G2839" s="25" t="str">
        <f ca="1">IFERROR(__xludf.DUMMYFUNCTION("""COMPUTED_VALUE"""),"99. Distrito")</f>
        <v>99. Distrito</v>
      </c>
      <c r="H2839" s="55">
        <f ca="1">IFERROR(__xludf.DUMMYFUNCTION("""COMPUTED_VALUE"""),45077)</f>
        <v>45077</v>
      </c>
      <c r="I2839" s="25" t="str">
        <f ca="1">IFERROR(__xludf.DUMMYFUNCTION("""COMPUTED_VALUE"""),"Junta de Infraestructura")</f>
        <v>Junta de Infraestructura</v>
      </c>
      <c r="J2839" s="55" t="str">
        <f ca="1">IFERROR(__xludf.DUMMYFUNCTION("""COMPUTED_VALUE"""),"Alta")</f>
        <v>Alta</v>
      </c>
      <c r="K2839" s="25">
        <f ca="1">IFERROR(__xludf.DUMMYFUNCTION("""COMPUTED_VALUE"""),26)</f>
        <v>26</v>
      </c>
      <c r="L2839" s="62"/>
      <c r="M2839" s="25"/>
      <c r="N2839" s="25"/>
      <c r="O2839" s="25" t="str">
        <f t="shared" ca="1" si="0"/>
        <v>Secretaría Distrital de Ambiente</v>
      </c>
      <c r="P2839" s="25" t="str">
        <f t="shared" ca="1" si="2"/>
        <v/>
      </c>
      <c r="Q2839" s="25" t="str">
        <f ca="1">IFERROR(__xludf.DUMMYFUNCTION("""COMPUTED_VALUE"""),"Corto plazo")</f>
        <v>Corto plazo</v>
      </c>
      <c r="R2839" s="25"/>
      <c r="S2839" s="55"/>
      <c r="T2839" s="56"/>
      <c r="U2839" s="25"/>
      <c r="V2839" s="25"/>
      <c r="W2839" s="25"/>
      <c r="X2839" s="25"/>
      <c r="Y2839" s="25"/>
      <c r="Z2839" s="25"/>
    </row>
    <row r="2840" spans="1:26" ht="52.5" customHeight="1" x14ac:dyDescent="0.25">
      <c r="A2840" s="25" t="str">
        <f ca="1">IFERROR(__xludf.DUMMYFUNCTION("""COMPUTED_VALUE"""),"Ambie138")</f>
        <v>Ambie138</v>
      </c>
      <c r="B2840" s="25" t="str">
        <f ca="1">IFERROR(__xludf.DUMMYFUNCTION("""COMPUTED_VALUE"""),"Seguimiento reglamentación POT")</f>
        <v>Seguimiento reglamentación POT</v>
      </c>
      <c r="C2840" s="55">
        <f ca="1">IFERROR(__xludf.DUMMYFUNCTION("""COMPUTED_VALUE"""),45051)</f>
        <v>45051</v>
      </c>
      <c r="D2840" s="25" t="str">
        <f ca="1">IFERROR(__xludf.DUMMYFUNCTION("""COMPUTED_VALUE"""),"Ambiente")</f>
        <v>Ambiente</v>
      </c>
      <c r="E2840" s="25" t="str">
        <f ca="1">IFERROR(__xludf.DUMMYFUNCTION("""COMPUTED_VALUE"""),"Secretaría Distrital de Ambiente")</f>
        <v>Secretaría Distrital de Ambiente</v>
      </c>
      <c r="F2840" s="25" t="str">
        <f ca="1">IFERROR(__xludf.DUMMYFUNCTION("""COMPUTED_VALUE"""),"Definir entre la SJD y SDA cuál será la entidad que emitirá el certificado de construcción y desarrollo")</f>
        <v>Definir entre la SJD y SDA cuál será la entidad que emitirá el certificado de construcción y desarrollo</v>
      </c>
      <c r="G2840" s="25" t="str">
        <f ca="1">IFERROR(__xludf.DUMMYFUNCTION("""COMPUTED_VALUE"""),"99. Distrito")</f>
        <v>99. Distrito</v>
      </c>
      <c r="H2840" s="55">
        <f ca="1">IFERROR(__xludf.DUMMYFUNCTION("""COMPUTED_VALUE"""),45077)</f>
        <v>45077</v>
      </c>
      <c r="I2840" s="25" t="str">
        <f ca="1">IFERROR(__xludf.DUMMYFUNCTION("""COMPUTED_VALUE"""),"Junta de Infraestructura")</f>
        <v>Junta de Infraestructura</v>
      </c>
      <c r="J2840" s="55" t="str">
        <f ca="1">IFERROR(__xludf.DUMMYFUNCTION("""COMPUTED_VALUE"""),"Media")</f>
        <v>Media</v>
      </c>
      <c r="K2840" s="25">
        <f ca="1">IFERROR(__xludf.DUMMYFUNCTION("""COMPUTED_VALUE"""),26)</f>
        <v>26</v>
      </c>
      <c r="L2840" s="62"/>
      <c r="M2840" s="25"/>
      <c r="N2840" s="25"/>
      <c r="O2840" s="25" t="str">
        <f t="shared" ca="1" si="0"/>
        <v>Secretaría Distrital de Ambiente</v>
      </c>
      <c r="P2840" s="25" t="str">
        <f t="shared" ca="1" si="2"/>
        <v/>
      </c>
      <c r="Q2840" s="25" t="str">
        <f ca="1">IFERROR(__xludf.DUMMYFUNCTION("""COMPUTED_VALUE"""),"Corto plazo")</f>
        <v>Corto plazo</v>
      </c>
      <c r="R2840" s="25"/>
      <c r="S2840" s="55"/>
      <c r="T2840" s="56"/>
      <c r="U2840" s="25"/>
      <c r="V2840" s="25"/>
      <c r="W2840" s="25"/>
      <c r="X2840" s="25"/>
      <c r="Y2840" s="25"/>
      <c r="Z2840" s="25"/>
    </row>
    <row r="2841" spans="1:26" ht="52.5" customHeight="1" x14ac:dyDescent="0.25">
      <c r="A2841" s="25" t="str">
        <f ca="1">IFERROR(__xludf.DUMMYFUNCTION("""COMPUTED_VALUE"""),"Ambie139")</f>
        <v>Ambie139</v>
      </c>
      <c r="B2841" s="25"/>
      <c r="C2841" s="55"/>
      <c r="D2841" s="25" t="str">
        <f ca="1">IFERROR(__xludf.DUMMYFUNCTION("""COMPUTED_VALUE"""),"Ambiente")</f>
        <v>Ambiente</v>
      </c>
      <c r="E2841" s="25"/>
      <c r="F2841" s="25"/>
      <c r="G2841" s="25"/>
      <c r="H2841" s="25"/>
      <c r="I2841" s="25"/>
      <c r="J2841" s="55"/>
      <c r="K2841" s="25" t="str">
        <f ca="1">IFERROR(__xludf.DUMMYFUNCTION("""COMPUTED_VALUE"""),"Definir fecha")</f>
        <v>Definir fecha</v>
      </c>
      <c r="L2841" s="62"/>
      <c r="M2841" s="25"/>
      <c r="N2841" s="25"/>
      <c r="O2841" s="25">
        <f t="shared" si="0"/>
        <v>0</v>
      </c>
      <c r="P2841" s="25" t="str">
        <f t="shared" si="2"/>
        <v/>
      </c>
      <c r="Q2841" s="25" t="str">
        <f ca="1">IFERROR(__xludf.DUMMYFUNCTION("""COMPUTED_VALUE"""),"Sin defenir")</f>
        <v>Sin defenir</v>
      </c>
      <c r="R2841" s="25"/>
      <c r="S2841" s="55"/>
      <c r="T2841" s="56"/>
      <c r="U2841" s="25"/>
      <c r="V2841" s="25"/>
      <c r="W2841" s="25"/>
      <c r="X2841" s="25"/>
      <c r="Y2841" s="25"/>
      <c r="Z2841" s="25"/>
    </row>
    <row r="2842" spans="1:26" ht="52.5" customHeight="1" x14ac:dyDescent="0.25">
      <c r="A2842" s="25" t="str">
        <f ca="1">IFERROR(__xludf.DUMMYFUNCTION("""COMPUTED_VALUE"""),"Ambie140")</f>
        <v>Ambie140</v>
      </c>
      <c r="B2842" s="25"/>
      <c r="C2842" s="55"/>
      <c r="D2842" s="25" t="str">
        <f ca="1">IFERROR(__xludf.DUMMYFUNCTION("""COMPUTED_VALUE"""),"Ambiente")</f>
        <v>Ambiente</v>
      </c>
      <c r="E2842" s="25"/>
      <c r="F2842" s="25"/>
      <c r="G2842" s="25"/>
      <c r="H2842" s="25"/>
      <c r="I2842" s="25"/>
      <c r="J2842" s="55"/>
      <c r="K2842" s="25" t="str">
        <f ca="1">IFERROR(__xludf.DUMMYFUNCTION("""COMPUTED_VALUE"""),"Definir fecha")</f>
        <v>Definir fecha</v>
      </c>
      <c r="L2842" s="62"/>
      <c r="M2842" s="25"/>
      <c r="N2842" s="25"/>
      <c r="O2842" s="25">
        <f t="shared" si="0"/>
        <v>0</v>
      </c>
      <c r="P2842" s="25" t="str">
        <f t="shared" si="2"/>
        <v/>
      </c>
      <c r="Q2842" s="25" t="str">
        <f ca="1">IFERROR(__xludf.DUMMYFUNCTION("""COMPUTED_VALUE"""),"Sin defenir")</f>
        <v>Sin defenir</v>
      </c>
      <c r="R2842" s="25"/>
      <c r="S2842" s="55"/>
      <c r="T2842" s="56"/>
      <c r="U2842" s="25"/>
      <c r="V2842" s="25"/>
      <c r="W2842" s="25"/>
      <c r="X2842" s="25"/>
      <c r="Y2842" s="25"/>
      <c r="Z2842" s="25"/>
    </row>
    <row r="2843" spans="1:26" ht="52.5" customHeight="1" x14ac:dyDescent="0.25">
      <c r="A2843" s="25" t="str">
        <f ca="1">IFERROR(__xludf.DUMMYFUNCTION("""COMPUTED_VALUE"""),"Ambie141")</f>
        <v>Ambie141</v>
      </c>
      <c r="B2843" s="25"/>
      <c r="C2843" s="55"/>
      <c r="D2843" s="25" t="str">
        <f ca="1">IFERROR(__xludf.DUMMYFUNCTION("""COMPUTED_VALUE"""),"Ambiente")</f>
        <v>Ambiente</v>
      </c>
      <c r="E2843" s="25"/>
      <c r="F2843" s="25"/>
      <c r="G2843" s="25"/>
      <c r="H2843" s="25"/>
      <c r="I2843" s="25"/>
      <c r="J2843" s="55"/>
      <c r="K2843" s="25" t="str">
        <f ca="1">IFERROR(__xludf.DUMMYFUNCTION("""COMPUTED_VALUE"""),"Definir fecha")</f>
        <v>Definir fecha</v>
      </c>
      <c r="L2843" s="62"/>
      <c r="M2843" s="25"/>
      <c r="N2843" s="25"/>
      <c r="O2843" s="25">
        <f t="shared" si="0"/>
        <v>0</v>
      </c>
      <c r="P2843" s="25" t="str">
        <f t="shared" si="2"/>
        <v/>
      </c>
      <c r="Q2843" s="25" t="str">
        <f ca="1">IFERROR(__xludf.DUMMYFUNCTION("""COMPUTED_VALUE"""),"Sin defenir")</f>
        <v>Sin defenir</v>
      </c>
      <c r="R2843" s="25"/>
      <c r="S2843" s="55"/>
      <c r="T2843" s="56"/>
      <c r="U2843" s="25"/>
      <c r="V2843" s="25"/>
      <c r="W2843" s="25"/>
      <c r="X2843" s="25"/>
      <c r="Y2843" s="25"/>
      <c r="Z2843" s="25"/>
    </row>
    <row r="2844" spans="1:26" ht="52.5" customHeight="1" x14ac:dyDescent="0.25">
      <c r="A2844" s="25" t="str">
        <f ca="1">IFERROR(__xludf.DUMMYFUNCTION("""COMPUTED_VALUE"""),"Ambie142")</f>
        <v>Ambie142</v>
      </c>
      <c r="B2844" s="25"/>
      <c r="C2844" s="55"/>
      <c r="D2844" s="25" t="str">
        <f ca="1">IFERROR(__xludf.DUMMYFUNCTION("""COMPUTED_VALUE"""),"Ambiente")</f>
        <v>Ambiente</v>
      </c>
      <c r="E2844" s="25"/>
      <c r="F2844" s="25"/>
      <c r="G2844" s="25"/>
      <c r="H2844" s="25"/>
      <c r="I2844" s="25"/>
      <c r="J2844" s="55"/>
      <c r="K2844" s="25" t="str">
        <f ca="1">IFERROR(__xludf.DUMMYFUNCTION("""COMPUTED_VALUE"""),"Definir fecha")</f>
        <v>Definir fecha</v>
      </c>
      <c r="L2844" s="62"/>
      <c r="M2844" s="25"/>
      <c r="N2844" s="25"/>
      <c r="O2844" s="25">
        <f t="shared" si="0"/>
        <v>0</v>
      </c>
      <c r="P2844" s="25" t="str">
        <f t="shared" si="2"/>
        <v/>
      </c>
      <c r="Q2844" s="25" t="str">
        <f ca="1">IFERROR(__xludf.DUMMYFUNCTION("""COMPUTED_VALUE"""),"Sin defenir")</f>
        <v>Sin defenir</v>
      </c>
      <c r="R2844" s="25"/>
      <c r="S2844" s="55"/>
      <c r="T2844" s="56"/>
      <c r="U2844" s="25"/>
      <c r="V2844" s="25"/>
      <c r="W2844" s="25"/>
      <c r="X2844" s="25"/>
      <c r="Y2844" s="25"/>
      <c r="Z2844" s="25"/>
    </row>
    <row r="2845" spans="1:26" ht="52.5" customHeight="1" x14ac:dyDescent="0.25">
      <c r="A2845" s="25" t="str">
        <f ca="1">IFERROR(__xludf.DUMMYFUNCTION("""COMPUTED_VALUE"""),"Ambie143")</f>
        <v>Ambie143</v>
      </c>
      <c r="B2845" s="25"/>
      <c r="C2845" s="55"/>
      <c r="D2845" s="25" t="str">
        <f ca="1">IFERROR(__xludf.DUMMYFUNCTION("""COMPUTED_VALUE"""),"Ambiente")</f>
        <v>Ambiente</v>
      </c>
      <c r="E2845" s="25"/>
      <c r="F2845" s="25"/>
      <c r="G2845" s="25"/>
      <c r="H2845" s="25"/>
      <c r="I2845" s="25"/>
      <c r="J2845" s="55"/>
      <c r="K2845" s="25" t="str">
        <f ca="1">IFERROR(__xludf.DUMMYFUNCTION("""COMPUTED_VALUE"""),"Definir fecha")</f>
        <v>Definir fecha</v>
      </c>
      <c r="L2845" s="62"/>
      <c r="M2845" s="25"/>
      <c r="N2845" s="25"/>
      <c r="O2845" s="25">
        <f t="shared" si="0"/>
        <v>0</v>
      </c>
      <c r="P2845" s="25" t="str">
        <f t="shared" si="2"/>
        <v/>
      </c>
      <c r="Q2845" s="25" t="str">
        <f ca="1">IFERROR(__xludf.DUMMYFUNCTION("""COMPUTED_VALUE"""),"Sin defenir")</f>
        <v>Sin defenir</v>
      </c>
      <c r="R2845" s="25"/>
      <c r="S2845" s="55"/>
      <c r="T2845" s="56"/>
      <c r="U2845" s="25"/>
      <c r="V2845" s="25"/>
      <c r="W2845" s="25"/>
      <c r="X2845" s="25"/>
      <c r="Y2845" s="25"/>
      <c r="Z2845" s="25"/>
    </row>
    <row r="2846" spans="1:26" ht="52.5" customHeight="1" x14ac:dyDescent="0.25">
      <c r="A2846" s="25" t="str">
        <f ca="1">IFERROR(__xludf.DUMMYFUNCTION("""COMPUTED_VALUE"""),"Ambie144")</f>
        <v>Ambie144</v>
      </c>
      <c r="B2846" s="25"/>
      <c r="C2846" s="55"/>
      <c r="D2846" s="25" t="str">
        <f ca="1">IFERROR(__xludf.DUMMYFUNCTION("""COMPUTED_VALUE"""),"Ambiente")</f>
        <v>Ambiente</v>
      </c>
      <c r="E2846" s="25"/>
      <c r="F2846" s="25"/>
      <c r="G2846" s="25"/>
      <c r="H2846" s="25"/>
      <c r="I2846" s="25"/>
      <c r="J2846" s="55"/>
      <c r="K2846" s="25" t="str">
        <f ca="1">IFERROR(__xludf.DUMMYFUNCTION("""COMPUTED_VALUE"""),"Definir fecha")</f>
        <v>Definir fecha</v>
      </c>
      <c r="L2846" s="62"/>
      <c r="M2846" s="25"/>
      <c r="N2846" s="25"/>
      <c r="O2846" s="25">
        <f t="shared" si="0"/>
        <v>0</v>
      </c>
      <c r="P2846" s="25" t="str">
        <f t="shared" si="2"/>
        <v/>
      </c>
      <c r="Q2846" s="25" t="str">
        <f ca="1">IFERROR(__xludf.DUMMYFUNCTION("""COMPUTED_VALUE"""),"Sin defenir")</f>
        <v>Sin defenir</v>
      </c>
      <c r="R2846" s="25"/>
      <c r="S2846" s="55"/>
      <c r="T2846" s="56"/>
      <c r="U2846" s="25"/>
      <c r="V2846" s="25"/>
      <c r="W2846" s="25"/>
      <c r="X2846" s="25"/>
      <c r="Y2846" s="25"/>
      <c r="Z2846" s="25"/>
    </row>
    <row r="2847" spans="1:26" ht="52.5" customHeight="1" x14ac:dyDescent="0.25">
      <c r="A2847" s="25" t="str">
        <f ca="1">IFERROR(__xludf.DUMMYFUNCTION("""COMPUTED_VALUE"""),"Ambie145")</f>
        <v>Ambie145</v>
      </c>
      <c r="B2847" s="25"/>
      <c r="C2847" s="55"/>
      <c r="D2847" s="25" t="str">
        <f ca="1">IFERROR(__xludf.DUMMYFUNCTION("""COMPUTED_VALUE"""),"Ambiente")</f>
        <v>Ambiente</v>
      </c>
      <c r="E2847" s="25"/>
      <c r="F2847" s="25"/>
      <c r="G2847" s="25"/>
      <c r="H2847" s="25"/>
      <c r="I2847" s="25"/>
      <c r="J2847" s="55"/>
      <c r="K2847" s="25" t="str">
        <f ca="1">IFERROR(__xludf.DUMMYFUNCTION("""COMPUTED_VALUE"""),"Definir fecha")</f>
        <v>Definir fecha</v>
      </c>
      <c r="L2847" s="62"/>
      <c r="M2847" s="25"/>
      <c r="N2847" s="25"/>
      <c r="O2847" s="25">
        <f t="shared" si="0"/>
        <v>0</v>
      </c>
      <c r="P2847" s="25" t="str">
        <f t="shared" si="2"/>
        <v/>
      </c>
      <c r="Q2847" s="25" t="str">
        <f ca="1">IFERROR(__xludf.DUMMYFUNCTION("""COMPUTED_VALUE"""),"Sin defenir")</f>
        <v>Sin defenir</v>
      </c>
      <c r="R2847" s="25"/>
      <c r="S2847" s="55"/>
      <c r="T2847" s="56"/>
      <c r="U2847" s="25"/>
      <c r="V2847" s="25"/>
      <c r="W2847" s="25"/>
      <c r="X2847" s="25"/>
      <c r="Y2847" s="25"/>
      <c r="Z2847" s="25"/>
    </row>
    <row r="2848" spans="1:26" ht="52.5" customHeight="1" x14ac:dyDescent="0.25">
      <c r="A2848" s="25" t="str">
        <f ca="1">IFERROR(__xludf.DUMMYFUNCTION("""COMPUTED_VALUE"""),"Ambie146")</f>
        <v>Ambie146</v>
      </c>
      <c r="B2848" s="25"/>
      <c r="C2848" s="55"/>
      <c r="D2848" s="25" t="str">
        <f ca="1">IFERROR(__xludf.DUMMYFUNCTION("""COMPUTED_VALUE"""),"Ambiente")</f>
        <v>Ambiente</v>
      </c>
      <c r="E2848" s="25"/>
      <c r="F2848" s="25"/>
      <c r="G2848" s="25"/>
      <c r="H2848" s="25"/>
      <c r="I2848" s="25"/>
      <c r="J2848" s="55"/>
      <c r="K2848" s="25" t="str">
        <f ca="1">IFERROR(__xludf.DUMMYFUNCTION("""COMPUTED_VALUE"""),"Definir fecha")</f>
        <v>Definir fecha</v>
      </c>
      <c r="L2848" s="62"/>
      <c r="M2848" s="25"/>
      <c r="N2848" s="25"/>
      <c r="O2848" s="25">
        <f t="shared" si="0"/>
        <v>0</v>
      </c>
      <c r="P2848" s="25" t="str">
        <f t="shared" si="2"/>
        <v/>
      </c>
      <c r="Q2848" s="25" t="str">
        <f ca="1">IFERROR(__xludf.DUMMYFUNCTION("""COMPUTED_VALUE"""),"Sin defenir")</f>
        <v>Sin defenir</v>
      </c>
      <c r="R2848" s="25"/>
      <c r="S2848" s="55"/>
      <c r="T2848" s="56"/>
      <c r="U2848" s="25"/>
      <c r="V2848" s="25"/>
      <c r="W2848" s="25"/>
      <c r="X2848" s="25"/>
      <c r="Y2848" s="25"/>
      <c r="Z2848" s="25"/>
    </row>
    <row r="2849" spans="1:26" ht="52.5" customHeight="1" x14ac:dyDescent="0.25">
      <c r="A2849" s="25" t="str">
        <f ca="1">IFERROR(__xludf.DUMMYFUNCTION("""COMPUTED_VALUE"""),"Ambie147")</f>
        <v>Ambie147</v>
      </c>
      <c r="B2849" s="25"/>
      <c r="C2849" s="55"/>
      <c r="D2849" s="25" t="str">
        <f ca="1">IFERROR(__xludf.DUMMYFUNCTION("""COMPUTED_VALUE"""),"Ambiente")</f>
        <v>Ambiente</v>
      </c>
      <c r="E2849" s="25"/>
      <c r="F2849" s="25"/>
      <c r="G2849" s="25"/>
      <c r="H2849" s="25"/>
      <c r="I2849" s="25"/>
      <c r="J2849" s="55"/>
      <c r="K2849" s="25" t="str">
        <f ca="1">IFERROR(__xludf.DUMMYFUNCTION("""COMPUTED_VALUE"""),"Definir fecha")</f>
        <v>Definir fecha</v>
      </c>
      <c r="L2849" s="62"/>
      <c r="M2849" s="25"/>
      <c r="N2849" s="25"/>
      <c r="O2849" s="25">
        <f t="shared" si="0"/>
        <v>0</v>
      </c>
      <c r="P2849" s="25" t="str">
        <f t="shared" si="2"/>
        <v/>
      </c>
      <c r="Q2849" s="25" t="str">
        <f ca="1">IFERROR(__xludf.DUMMYFUNCTION("""COMPUTED_VALUE"""),"Sin defenir")</f>
        <v>Sin defenir</v>
      </c>
      <c r="R2849" s="25"/>
      <c r="S2849" s="55"/>
      <c r="T2849" s="56"/>
      <c r="U2849" s="25"/>
      <c r="V2849" s="25"/>
      <c r="W2849" s="25"/>
      <c r="X2849" s="25"/>
      <c r="Y2849" s="25"/>
      <c r="Z2849" s="25"/>
    </row>
    <row r="2850" spans="1:26" ht="52.5" customHeight="1" x14ac:dyDescent="0.25">
      <c r="A2850" s="25" t="str">
        <f ca="1">IFERROR(__xludf.DUMMYFUNCTION("""COMPUTED_VALUE"""),"Ambie148")</f>
        <v>Ambie148</v>
      </c>
      <c r="B2850" s="25"/>
      <c r="C2850" s="55"/>
      <c r="D2850" s="25" t="str">
        <f ca="1">IFERROR(__xludf.DUMMYFUNCTION("""COMPUTED_VALUE"""),"Ambiente")</f>
        <v>Ambiente</v>
      </c>
      <c r="E2850" s="25"/>
      <c r="F2850" s="25"/>
      <c r="G2850" s="25"/>
      <c r="H2850" s="25"/>
      <c r="I2850" s="25"/>
      <c r="J2850" s="55"/>
      <c r="K2850" s="25" t="str">
        <f ca="1">IFERROR(__xludf.DUMMYFUNCTION("""COMPUTED_VALUE"""),"Definir fecha")</f>
        <v>Definir fecha</v>
      </c>
      <c r="L2850" s="62"/>
      <c r="M2850" s="25"/>
      <c r="N2850" s="25"/>
      <c r="O2850" s="25">
        <f t="shared" si="0"/>
        <v>0</v>
      </c>
      <c r="P2850" s="25" t="str">
        <f t="shared" si="2"/>
        <v/>
      </c>
      <c r="Q2850" s="25" t="str">
        <f ca="1">IFERROR(__xludf.DUMMYFUNCTION("""COMPUTED_VALUE"""),"Sin defenir")</f>
        <v>Sin defenir</v>
      </c>
      <c r="R2850" s="25"/>
      <c r="S2850" s="55"/>
      <c r="T2850" s="56"/>
      <c r="U2850" s="25"/>
      <c r="V2850" s="25"/>
      <c r="W2850" s="25"/>
      <c r="X2850" s="25"/>
      <c r="Y2850" s="25"/>
      <c r="Z2850" s="25"/>
    </row>
    <row r="2851" spans="1:26" ht="52.5" customHeight="1" x14ac:dyDescent="0.25">
      <c r="A2851" s="25" t="str">
        <f ca="1">IFERROR(__xludf.DUMMYFUNCTION("""COMPUTED_VALUE"""),"Ambie149")</f>
        <v>Ambie149</v>
      </c>
      <c r="B2851" s="25"/>
      <c r="C2851" s="55"/>
      <c r="D2851" s="25" t="str">
        <f ca="1">IFERROR(__xludf.DUMMYFUNCTION("""COMPUTED_VALUE"""),"Ambiente")</f>
        <v>Ambiente</v>
      </c>
      <c r="E2851" s="25"/>
      <c r="F2851" s="25"/>
      <c r="G2851" s="25"/>
      <c r="H2851" s="25"/>
      <c r="I2851" s="25"/>
      <c r="J2851" s="55"/>
      <c r="K2851" s="25" t="str">
        <f ca="1">IFERROR(__xludf.DUMMYFUNCTION("""COMPUTED_VALUE"""),"Definir fecha")</f>
        <v>Definir fecha</v>
      </c>
      <c r="L2851" s="62"/>
      <c r="M2851" s="25"/>
      <c r="N2851" s="25"/>
      <c r="O2851" s="25">
        <f t="shared" si="0"/>
        <v>0</v>
      </c>
      <c r="P2851" s="25" t="str">
        <f t="shared" si="2"/>
        <v/>
      </c>
      <c r="Q2851" s="25" t="str">
        <f ca="1">IFERROR(__xludf.DUMMYFUNCTION("""COMPUTED_VALUE"""),"Sin defenir")</f>
        <v>Sin defenir</v>
      </c>
      <c r="R2851" s="25"/>
      <c r="S2851" s="55"/>
      <c r="T2851" s="56"/>
      <c r="U2851" s="25"/>
      <c r="V2851" s="25"/>
      <c r="W2851" s="25"/>
      <c r="X2851" s="25"/>
      <c r="Y2851" s="25"/>
      <c r="Z2851" s="25"/>
    </row>
    <row r="2852" spans="1:26" ht="52.5" customHeight="1" x14ac:dyDescent="0.25">
      <c r="A2852" s="25" t="str">
        <f ca="1">IFERROR(__xludf.DUMMYFUNCTION("""COMPUTED_VALUE"""),"Ambie150")</f>
        <v>Ambie150</v>
      </c>
      <c r="B2852" s="25"/>
      <c r="C2852" s="55"/>
      <c r="D2852" s="25" t="str">
        <f ca="1">IFERROR(__xludf.DUMMYFUNCTION("""COMPUTED_VALUE"""),"Ambiente")</f>
        <v>Ambiente</v>
      </c>
      <c r="E2852" s="25"/>
      <c r="F2852" s="25"/>
      <c r="G2852" s="25"/>
      <c r="H2852" s="25"/>
      <c r="I2852" s="25"/>
      <c r="J2852" s="55"/>
      <c r="K2852" s="25" t="str">
        <f ca="1">IFERROR(__xludf.DUMMYFUNCTION("""COMPUTED_VALUE"""),"Definir fecha")</f>
        <v>Definir fecha</v>
      </c>
      <c r="L2852" s="62"/>
      <c r="M2852" s="25"/>
      <c r="N2852" s="25"/>
      <c r="O2852" s="25">
        <f t="shared" si="0"/>
        <v>0</v>
      </c>
      <c r="P2852" s="25" t="str">
        <f t="shared" si="2"/>
        <v/>
      </c>
      <c r="Q2852" s="25" t="str">
        <f ca="1">IFERROR(__xludf.DUMMYFUNCTION("""COMPUTED_VALUE"""),"Sin defenir")</f>
        <v>Sin defenir</v>
      </c>
      <c r="R2852" s="25"/>
      <c r="S2852" s="55"/>
      <c r="T2852" s="56"/>
      <c r="U2852" s="25"/>
      <c r="V2852" s="25"/>
      <c r="W2852" s="25"/>
      <c r="X2852" s="25"/>
      <c r="Y2852" s="25"/>
      <c r="Z2852" s="25"/>
    </row>
    <row r="2853" spans="1:26" ht="52.5" customHeight="1" x14ac:dyDescent="0.25">
      <c r="A2853" s="25" t="str">
        <f ca="1">IFERROR(__xludf.DUMMYFUNCTION("""COMPUTED_VALUE"""),"Ambie151")</f>
        <v>Ambie151</v>
      </c>
      <c r="B2853" s="25"/>
      <c r="C2853" s="55"/>
      <c r="D2853" s="25" t="str">
        <f ca="1">IFERROR(__xludf.DUMMYFUNCTION("""COMPUTED_VALUE"""),"Ambiente")</f>
        <v>Ambiente</v>
      </c>
      <c r="E2853" s="25"/>
      <c r="F2853" s="25"/>
      <c r="G2853" s="25"/>
      <c r="H2853" s="25"/>
      <c r="I2853" s="25"/>
      <c r="J2853" s="55"/>
      <c r="K2853" s="25" t="str">
        <f ca="1">IFERROR(__xludf.DUMMYFUNCTION("""COMPUTED_VALUE"""),"Definir fecha")</f>
        <v>Definir fecha</v>
      </c>
      <c r="L2853" s="62"/>
      <c r="M2853" s="25"/>
      <c r="N2853" s="25"/>
      <c r="O2853" s="25">
        <f t="shared" si="0"/>
        <v>0</v>
      </c>
      <c r="P2853" s="25" t="str">
        <f t="shared" si="2"/>
        <v/>
      </c>
      <c r="Q2853" s="25" t="str">
        <f ca="1">IFERROR(__xludf.DUMMYFUNCTION("""COMPUTED_VALUE"""),"Sin defenir")</f>
        <v>Sin defenir</v>
      </c>
      <c r="R2853" s="25"/>
      <c r="S2853" s="55"/>
      <c r="T2853" s="56"/>
      <c r="U2853" s="25"/>
      <c r="V2853" s="25"/>
      <c r="W2853" s="25"/>
      <c r="X2853" s="25"/>
      <c r="Y2853" s="25"/>
      <c r="Z2853" s="25"/>
    </row>
    <row r="2854" spans="1:26" ht="52.5" customHeight="1" x14ac:dyDescent="0.25">
      <c r="A2854" s="25" t="str">
        <f ca="1">IFERROR(__xludf.DUMMYFUNCTION("""COMPUTED_VALUE"""),"Ambie152")</f>
        <v>Ambie152</v>
      </c>
      <c r="B2854" s="25"/>
      <c r="C2854" s="55"/>
      <c r="D2854" s="25" t="str">
        <f ca="1">IFERROR(__xludf.DUMMYFUNCTION("""COMPUTED_VALUE"""),"Ambiente")</f>
        <v>Ambiente</v>
      </c>
      <c r="E2854" s="25"/>
      <c r="F2854" s="25"/>
      <c r="G2854" s="25"/>
      <c r="H2854" s="25"/>
      <c r="I2854" s="25"/>
      <c r="J2854" s="55"/>
      <c r="K2854" s="25" t="str">
        <f ca="1">IFERROR(__xludf.DUMMYFUNCTION("""COMPUTED_VALUE"""),"Definir fecha")</f>
        <v>Definir fecha</v>
      </c>
      <c r="L2854" s="62"/>
      <c r="M2854" s="25"/>
      <c r="N2854" s="25"/>
      <c r="O2854" s="25">
        <f t="shared" si="0"/>
        <v>0</v>
      </c>
      <c r="P2854" s="25" t="str">
        <f t="shared" si="2"/>
        <v/>
      </c>
      <c r="Q2854" s="25" t="str">
        <f ca="1">IFERROR(__xludf.DUMMYFUNCTION("""COMPUTED_VALUE"""),"Sin defenir")</f>
        <v>Sin defenir</v>
      </c>
      <c r="R2854" s="25"/>
      <c r="S2854" s="55"/>
      <c r="T2854" s="56"/>
      <c r="U2854" s="25"/>
      <c r="V2854" s="25"/>
      <c r="W2854" s="25"/>
      <c r="X2854" s="25"/>
      <c r="Y2854" s="25"/>
      <c r="Z2854" s="25"/>
    </row>
    <row r="2855" spans="1:26" ht="52.5" customHeight="1" x14ac:dyDescent="0.25">
      <c r="A2855" s="25" t="str">
        <f ca="1">IFERROR(__xludf.DUMMYFUNCTION("""COMPUTED_VALUE"""),"Ambie153")</f>
        <v>Ambie153</v>
      </c>
      <c r="B2855" s="25"/>
      <c r="C2855" s="55"/>
      <c r="D2855" s="25" t="str">
        <f ca="1">IFERROR(__xludf.DUMMYFUNCTION("""COMPUTED_VALUE"""),"Ambiente")</f>
        <v>Ambiente</v>
      </c>
      <c r="E2855" s="25"/>
      <c r="F2855" s="25"/>
      <c r="G2855" s="25"/>
      <c r="H2855" s="25"/>
      <c r="I2855" s="25"/>
      <c r="J2855" s="55"/>
      <c r="K2855" s="25" t="str">
        <f ca="1">IFERROR(__xludf.DUMMYFUNCTION("""COMPUTED_VALUE"""),"Definir fecha")</f>
        <v>Definir fecha</v>
      </c>
      <c r="L2855" s="62"/>
      <c r="M2855" s="25"/>
      <c r="N2855" s="25"/>
      <c r="O2855" s="25">
        <f t="shared" si="0"/>
        <v>0</v>
      </c>
      <c r="P2855" s="25" t="str">
        <f t="shared" si="2"/>
        <v/>
      </c>
      <c r="Q2855" s="25" t="str">
        <f ca="1">IFERROR(__xludf.DUMMYFUNCTION("""COMPUTED_VALUE"""),"Sin defenir")</f>
        <v>Sin defenir</v>
      </c>
      <c r="R2855" s="25"/>
      <c r="S2855" s="55"/>
      <c r="T2855" s="56"/>
      <c r="U2855" s="25"/>
      <c r="V2855" s="25"/>
      <c r="W2855" s="25"/>
      <c r="X2855" s="25"/>
      <c r="Y2855" s="25"/>
      <c r="Z2855" s="25"/>
    </row>
    <row r="2856" spans="1:26" ht="52.5" customHeight="1" x14ac:dyDescent="0.25">
      <c r="A2856" s="25" t="str">
        <f ca="1">IFERROR(__xludf.DUMMYFUNCTION("""COMPUTED_VALUE"""),"Ambie154")</f>
        <v>Ambie154</v>
      </c>
      <c r="B2856" s="25"/>
      <c r="C2856" s="55"/>
      <c r="D2856" s="25" t="str">
        <f ca="1">IFERROR(__xludf.DUMMYFUNCTION("""COMPUTED_VALUE"""),"Ambiente")</f>
        <v>Ambiente</v>
      </c>
      <c r="E2856" s="25"/>
      <c r="F2856" s="25"/>
      <c r="G2856" s="25"/>
      <c r="H2856" s="25"/>
      <c r="I2856" s="25"/>
      <c r="J2856" s="55"/>
      <c r="K2856" s="25" t="str">
        <f ca="1">IFERROR(__xludf.DUMMYFUNCTION("""COMPUTED_VALUE"""),"Definir fecha")</f>
        <v>Definir fecha</v>
      </c>
      <c r="L2856" s="62"/>
      <c r="M2856" s="25"/>
      <c r="N2856" s="25"/>
      <c r="O2856" s="25">
        <f t="shared" si="0"/>
        <v>0</v>
      </c>
      <c r="P2856" s="25" t="str">
        <f t="shared" si="2"/>
        <v/>
      </c>
      <c r="Q2856" s="25" t="str">
        <f ca="1">IFERROR(__xludf.DUMMYFUNCTION("""COMPUTED_VALUE"""),"Sin defenir")</f>
        <v>Sin defenir</v>
      </c>
      <c r="R2856" s="25"/>
      <c r="S2856" s="55"/>
      <c r="T2856" s="56"/>
      <c r="U2856" s="25"/>
      <c r="V2856" s="25"/>
      <c r="W2856" s="25"/>
      <c r="X2856" s="25"/>
      <c r="Y2856" s="25"/>
      <c r="Z2856" s="25"/>
    </row>
    <row r="2857" spans="1:26" ht="52.5" customHeight="1" x14ac:dyDescent="0.25">
      <c r="A2857" s="25" t="str">
        <f ca="1">IFERROR(__xludf.DUMMYFUNCTION("""COMPUTED_VALUE"""),"Ambie155")</f>
        <v>Ambie155</v>
      </c>
      <c r="B2857" s="25"/>
      <c r="C2857" s="55"/>
      <c r="D2857" s="25" t="str">
        <f ca="1">IFERROR(__xludf.DUMMYFUNCTION("""COMPUTED_VALUE"""),"Ambiente")</f>
        <v>Ambiente</v>
      </c>
      <c r="E2857" s="25"/>
      <c r="F2857" s="25"/>
      <c r="G2857" s="25"/>
      <c r="H2857" s="25"/>
      <c r="I2857" s="25"/>
      <c r="J2857" s="55"/>
      <c r="K2857" s="25" t="str">
        <f ca="1">IFERROR(__xludf.DUMMYFUNCTION("""COMPUTED_VALUE"""),"Definir fecha")</f>
        <v>Definir fecha</v>
      </c>
      <c r="L2857" s="62"/>
      <c r="M2857" s="25"/>
      <c r="N2857" s="25"/>
      <c r="O2857" s="25">
        <f t="shared" si="0"/>
        <v>0</v>
      </c>
      <c r="P2857" s="25" t="str">
        <f t="shared" si="2"/>
        <v/>
      </c>
      <c r="Q2857" s="25" t="str">
        <f ca="1">IFERROR(__xludf.DUMMYFUNCTION("""COMPUTED_VALUE"""),"Sin defenir")</f>
        <v>Sin defenir</v>
      </c>
      <c r="R2857" s="25"/>
      <c r="S2857" s="55"/>
      <c r="T2857" s="56"/>
      <c r="U2857" s="25"/>
      <c r="V2857" s="25"/>
      <c r="W2857" s="25"/>
      <c r="X2857" s="25"/>
      <c r="Y2857" s="25"/>
      <c r="Z2857" s="25"/>
    </row>
    <row r="2858" spans="1:26" ht="52.5" customHeight="1" x14ac:dyDescent="0.25">
      <c r="A2858" s="25" t="str">
        <f ca="1">IFERROR(__xludf.DUMMYFUNCTION("""COMPUTED_VALUE"""),"Ambie156")</f>
        <v>Ambie156</v>
      </c>
      <c r="B2858" s="25"/>
      <c r="C2858" s="55"/>
      <c r="D2858" s="25" t="str">
        <f ca="1">IFERROR(__xludf.DUMMYFUNCTION("""COMPUTED_VALUE"""),"Ambiente")</f>
        <v>Ambiente</v>
      </c>
      <c r="E2858" s="25"/>
      <c r="F2858" s="25"/>
      <c r="G2858" s="25"/>
      <c r="H2858" s="25"/>
      <c r="I2858" s="25"/>
      <c r="J2858" s="55"/>
      <c r="K2858" s="25" t="str">
        <f ca="1">IFERROR(__xludf.DUMMYFUNCTION("""COMPUTED_VALUE"""),"Definir fecha")</f>
        <v>Definir fecha</v>
      </c>
      <c r="L2858" s="62"/>
      <c r="M2858" s="25"/>
      <c r="N2858" s="25"/>
      <c r="O2858" s="25">
        <f t="shared" si="0"/>
        <v>0</v>
      </c>
      <c r="P2858" s="25" t="str">
        <f t="shared" si="2"/>
        <v/>
      </c>
      <c r="Q2858" s="25" t="str">
        <f ca="1">IFERROR(__xludf.DUMMYFUNCTION("""COMPUTED_VALUE"""),"Sin defenir")</f>
        <v>Sin defenir</v>
      </c>
      <c r="R2858" s="25"/>
      <c r="S2858" s="55"/>
      <c r="T2858" s="56"/>
      <c r="U2858" s="25"/>
      <c r="V2858" s="25"/>
      <c r="W2858" s="25"/>
      <c r="X2858" s="25"/>
      <c r="Y2858" s="25"/>
      <c r="Z2858" s="25"/>
    </row>
    <row r="2859" spans="1:26" ht="52.5" customHeight="1" x14ac:dyDescent="0.25">
      <c r="A2859" s="25" t="str">
        <f ca="1">IFERROR(__xludf.DUMMYFUNCTION("""COMPUTED_VALUE"""),"Ambie157")</f>
        <v>Ambie157</v>
      </c>
      <c r="B2859" s="25"/>
      <c r="C2859" s="55"/>
      <c r="D2859" s="25" t="str">
        <f ca="1">IFERROR(__xludf.DUMMYFUNCTION("""COMPUTED_VALUE"""),"Ambiente")</f>
        <v>Ambiente</v>
      </c>
      <c r="E2859" s="25"/>
      <c r="F2859" s="25"/>
      <c r="G2859" s="25"/>
      <c r="H2859" s="25"/>
      <c r="I2859" s="25"/>
      <c r="J2859" s="55"/>
      <c r="K2859" s="25" t="str">
        <f ca="1">IFERROR(__xludf.DUMMYFUNCTION("""COMPUTED_VALUE"""),"Definir fecha")</f>
        <v>Definir fecha</v>
      </c>
      <c r="L2859" s="62"/>
      <c r="M2859" s="25"/>
      <c r="N2859" s="25"/>
      <c r="O2859" s="25">
        <f t="shared" si="0"/>
        <v>0</v>
      </c>
      <c r="P2859" s="25" t="str">
        <f t="shared" si="2"/>
        <v/>
      </c>
      <c r="Q2859" s="25" t="str">
        <f ca="1">IFERROR(__xludf.DUMMYFUNCTION("""COMPUTED_VALUE"""),"Sin defenir")</f>
        <v>Sin defenir</v>
      </c>
      <c r="R2859" s="25"/>
      <c r="S2859" s="55"/>
      <c r="T2859" s="56"/>
      <c r="U2859" s="25"/>
      <c r="V2859" s="25"/>
      <c r="W2859" s="25"/>
      <c r="X2859" s="25"/>
      <c r="Y2859" s="25"/>
      <c r="Z2859" s="25"/>
    </row>
    <row r="2860" spans="1:26" ht="52.5" customHeight="1" x14ac:dyDescent="0.25">
      <c r="A2860" s="25" t="str">
        <f ca="1">IFERROR(__xludf.DUMMYFUNCTION("""COMPUTED_VALUE"""),"Ambie158")</f>
        <v>Ambie158</v>
      </c>
      <c r="B2860" s="25"/>
      <c r="C2860" s="55"/>
      <c r="D2860" s="25" t="str">
        <f ca="1">IFERROR(__xludf.DUMMYFUNCTION("""COMPUTED_VALUE"""),"Ambiente")</f>
        <v>Ambiente</v>
      </c>
      <c r="E2860" s="25"/>
      <c r="F2860" s="25"/>
      <c r="G2860" s="25"/>
      <c r="H2860" s="25"/>
      <c r="I2860" s="25"/>
      <c r="J2860" s="55"/>
      <c r="K2860" s="25" t="str">
        <f ca="1">IFERROR(__xludf.DUMMYFUNCTION("""COMPUTED_VALUE"""),"Definir fecha")</f>
        <v>Definir fecha</v>
      </c>
      <c r="L2860" s="62"/>
      <c r="M2860" s="25"/>
      <c r="N2860" s="25"/>
      <c r="O2860" s="25">
        <f t="shared" si="0"/>
        <v>0</v>
      </c>
      <c r="P2860" s="25" t="str">
        <f t="shared" si="2"/>
        <v/>
      </c>
      <c r="Q2860" s="25" t="str">
        <f ca="1">IFERROR(__xludf.DUMMYFUNCTION("""COMPUTED_VALUE"""),"Sin defenir")</f>
        <v>Sin defenir</v>
      </c>
      <c r="R2860" s="25"/>
      <c r="S2860" s="55"/>
      <c r="T2860" s="56"/>
      <c r="U2860" s="25"/>
      <c r="V2860" s="25"/>
      <c r="W2860" s="25"/>
      <c r="X2860" s="25"/>
      <c r="Y2860" s="25"/>
      <c r="Z2860" s="25"/>
    </row>
    <row r="2861" spans="1:26" ht="52.5" customHeight="1" x14ac:dyDescent="0.25">
      <c r="A2861" s="25" t="str">
        <f ca="1">IFERROR(__xludf.DUMMYFUNCTION("""COMPUTED_VALUE"""),"Ambie159")</f>
        <v>Ambie159</v>
      </c>
      <c r="B2861" s="25"/>
      <c r="C2861" s="55"/>
      <c r="D2861" s="25" t="str">
        <f ca="1">IFERROR(__xludf.DUMMYFUNCTION("""COMPUTED_VALUE"""),"Ambiente")</f>
        <v>Ambiente</v>
      </c>
      <c r="E2861" s="25"/>
      <c r="F2861" s="25"/>
      <c r="G2861" s="25"/>
      <c r="H2861" s="25"/>
      <c r="I2861" s="25"/>
      <c r="J2861" s="55"/>
      <c r="K2861" s="25" t="str">
        <f ca="1">IFERROR(__xludf.DUMMYFUNCTION("""COMPUTED_VALUE"""),"Definir fecha")</f>
        <v>Definir fecha</v>
      </c>
      <c r="L2861" s="62"/>
      <c r="M2861" s="25"/>
      <c r="N2861" s="25"/>
      <c r="O2861" s="25">
        <f t="shared" si="0"/>
        <v>0</v>
      </c>
      <c r="P2861" s="25" t="str">
        <f t="shared" si="2"/>
        <v/>
      </c>
      <c r="Q2861" s="25" t="str">
        <f ca="1">IFERROR(__xludf.DUMMYFUNCTION("""COMPUTED_VALUE"""),"Sin defenir")</f>
        <v>Sin defenir</v>
      </c>
      <c r="R2861" s="25"/>
      <c r="S2861" s="55"/>
      <c r="T2861" s="56"/>
      <c r="U2861" s="25"/>
      <c r="V2861" s="25"/>
      <c r="W2861" s="25"/>
      <c r="X2861" s="25"/>
      <c r="Y2861" s="25"/>
      <c r="Z2861" s="25"/>
    </row>
    <row r="2862" spans="1:26" ht="52.5" customHeight="1" x14ac:dyDescent="0.25">
      <c r="A2862" s="25" t="str">
        <f ca="1">IFERROR(__xludf.DUMMYFUNCTION("""COMPUTED_VALUE"""),"Ambie160")</f>
        <v>Ambie160</v>
      </c>
      <c r="B2862" s="25"/>
      <c r="C2862" s="55"/>
      <c r="D2862" s="25" t="str">
        <f ca="1">IFERROR(__xludf.DUMMYFUNCTION("""COMPUTED_VALUE"""),"Ambiente")</f>
        <v>Ambiente</v>
      </c>
      <c r="E2862" s="25"/>
      <c r="F2862" s="25"/>
      <c r="G2862" s="25"/>
      <c r="H2862" s="25"/>
      <c r="I2862" s="25"/>
      <c r="J2862" s="55"/>
      <c r="K2862" s="25" t="str">
        <f ca="1">IFERROR(__xludf.DUMMYFUNCTION("""COMPUTED_VALUE"""),"Definir fecha")</f>
        <v>Definir fecha</v>
      </c>
      <c r="L2862" s="62"/>
      <c r="M2862" s="25"/>
      <c r="N2862" s="25"/>
      <c r="O2862" s="25">
        <f t="shared" si="0"/>
        <v>0</v>
      </c>
      <c r="P2862" s="25" t="str">
        <f t="shared" si="2"/>
        <v/>
      </c>
      <c r="Q2862" s="25" t="str">
        <f ca="1">IFERROR(__xludf.DUMMYFUNCTION("""COMPUTED_VALUE"""),"Sin defenir")</f>
        <v>Sin defenir</v>
      </c>
      <c r="R2862" s="25"/>
      <c r="S2862" s="55"/>
      <c r="T2862" s="56"/>
      <c r="U2862" s="25"/>
      <c r="V2862" s="25"/>
      <c r="W2862" s="25"/>
      <c r="X2862" s="25"/>
      <c r="Y2862" s="25"/>
      <c r="Z2862" s="25"/>
    </row>
    <row r="2863" spans="1:26" ht="52.5" customHeight="1" x14ac:dyDescent="0.25">
      <c r="A2863" s="25" t="str">
        <f ca="1">IFERROR(__xludf.DUMMYFUNCTION("""COMPUTED_VALUE"""),"Ambie161")</f>
        <v>Ambie161</v>
      </c>
      <c r="B2863" s="25"/>
      <c r="C2863" s="55"/>
      <c r="D2863" s="25" t="str">
        <f ca="1">IFERROR(__xludf.DUMMYFUNCTION("""COMPUTED_VALUE"""),"Ambiente")</f>
        <v>Ambiente</v>
      </c>
      <c r="E2863" s="25"/>
      <c r="F2863" s="25"/>
      <c r="G2863" s="25"/>
      <c r="H2863" s="25"/>
      <c r="I2863" s="25"/>
      <c r="J2863" s="55"/>
      <c r="K2863" s="25" t="str">
        <f ca="1">IFERROR(__xludf.DUMMYFUNCTION("""COMPUTED_VALUE"""),"Definir fecha")</f>
        <v>Definir fecha</v>
      </c>
      <c r="L2863" s="62"/>
      <c r="M2863" s="25"/>
      <c r="N2863" s="25"/>
      <c r="O2863" s="25">
        <f t="shared" si="0"/>
        <v>0</v>
      </c>
      <c r="P2863" s="25" t="str">
        <f t="shared" si="2"/>
        <v/>
      </c>
      <c r="Q2863" s="25" t="str">
        <f ca="1">IFERROR(__xludf.DUMMYFUNCTION("""COMPUTED_VALUE"""),"Sin defenir")</f>
        <v>Sin defenir</v>
      </c>
      <c r="R2863" s="25"/>
      <c r="S2863" s="55"/>
      <c r="T2863" s="56"/>
      <c r="U2863" s="25"/>
      <c r="V2863" s="25"/>
      <c r="W2863" s="25"/>
      <c r="X2863" s="25"/>
      <c r="Y2863" s="25"/>
      <c r="Z2863" s="25"/>
    </row>
    <row r="2864" spans="1:26" ht="52.5" customHeight="1" x14ac:dyDescent="0.25">
      <c r="A2864" s="25" t="str">
        <f ca="1">IFERROR(__xludf.DUMMYFUNCTION("""COMPUTED_VALUE"""),"Ambie162")</f>
        <v>Ambie162</v>
      </c>
      <c r="B2864" s="25"/>
      <c r="C2864" s="55"/>
      <c r="D2864" s="25" t="str">
        <f ca="1">IFERROR(__xludf.DUMMYFUNCTION("""COMPUTED_VALUE"""),"Ambiente")</f>
        <v>Ambiente</v>
      </c>
      <c r="E2864" s="25"/>
      <c r="F2864" s="25"/>
      <c r="G2864" s="25"/>
      <c r="H2864" s="25"/>
      <c r="I2864" s="25"/>
      <c r="J2864" s="55"/>
      <c r="K2864" s="25" t="str">
        <f ca="1">IFERROR(__xludf.DUMMYFUNCTION("""COMPUTED_VALUE"""),"Definir fecha")</f>
        <v>Definir fecha</v>
      </c>
      <c r="L2864" s="62"/>
      <c r="M2864" s="25"/>
      <c r="N2864" s="25"/>
      <c r="O2864" s="25">
        <f t="shared" si="0"/>
        <v>0</v>
      </c>
      <c r="P2864" s="25" t="str">
        <f t="shared" si="2"/>
        <v/>
      </c>
      <c r="Q2864" s="25" t="str">
        <f ca="1">IFERROR(__xludf.DUMMYFUNCTION("""COMPUTED_VALUE"""),"Sin defenir")</f>
        <v>Sin defenir</v>
      </c>
      <c r="R2864" s="25"/>
      <c r="S2864" s="55"/>
      <c r="T2864" s="56"/>
      <c r="U2864" s="25"/>
      <c r="V2864" s="25"/>
      <c r="W2864" s="25"/>
      <c r="X2864" s="25"/>
      <c r="Y2864" s="25"/>
      <c r="Z2864" s="25"/>
    </row>
    <row r="2865" spans="1:26" ht="52.5" customHeight="1" x14ac:dyDescent="0.25">
      <c r="A2865" s="25" t="str">
        <f ca="1">IFERROR(__xludf.DUMMYFUNCTION("""COMPUTED_VALUE"""),"Ambie163")</f>
        <v>Ambie163</v>
      </c>
      <c r="B2865" s="25"/>
      <c r="C2865" s="55"/>
      <c r="D2865" s="25" t="str">
        <f ca="1">IFERROR(__xludf.DUMMYFUNCTION("""COMPUTED_VALUE"""),"Ambiente")</f>
        <v>Ambiente</v>
      </c>
      <c r="E2865" s="25"/>
      <c r="F2865" s="25"/>
      <c r="G2865" s="25"/>
      <c r="H2865" s="25"/>
      <c r="I2865" s="25"/>
      <c r="J2865" s="55"/>
      <c r="K2865" s="25" t="str">
        <f ca="1">IFERROR(__xludf.DUMMYFUNCTION("""COMPUTED_VALUE"""),"Definir fecha")</f>
        <v>Definir fecha</v>
      </c>
      <c r="L2865" s="62"/>
      <c r="M2865" s="25"/>
      <c r="N2865" s="25"/>
      <c r="O2865" s="25">
        <f t="shared" si="0"/>
        <v>0</v>
      </c>
      <c r="P2865" s="25" t="str">
        <f t="shared" si="2"/>
        <v/>
      </c>
      <c r="Q2865" s="25" t="str">
        <f ca="1">IFERROR(__xludf.DUMMYFUNCTION("""COMPUTED_VALUE"""),"Sin defenir")</f>
        <v>Sin defenir</v>
      </c>
      <c r="R2865" s="25"/>
      <c r="S2865" s="55"/>
      <c r="T2865" s="56"/>
      <c r="U2865" s="25"/>
      <c r="V2865" s="25"/>
      <c r="W2865" s="25"/>
      <c r="X2865" s="25"/>
      <c r="Y2865" s="25"/>
      <c r="Z2865" s="25"/>
    </row>
    <row r="2866" spans="1:26" ht="52.5" customHeight="1" x14ac:dyDescent="0.25">
      <c r="A2866" s="25" t="str">
        <f ca="1">IFERROR(__xludf.DUMMYFUNCTION("""COMPUTED_VALUE"""),"Ambie164")</f>
        <v>Ambie164</v>
      </c>
      <c r="B2866" s="25"/>
      <c r="C2866" s="55"/>
      <c r="D2866" s="25" t="str">
        <f ca="1">IFERROR(__xludf.DUMMYFUNCTION("""COMPUTED_VALUE"""),"Ambiente")</f>
        <v>Ambiente</v>
      </c>
      <c r="E2866" s="25"/>
      <c r="F2866" s="25"/>
      <c r="G2866" s="25"/>
      <c r="H2866" s="25"/>
      <c r="I2866" s="25"/>
      <c r="J2866" s="55"/>
      <c r="K2866" s="25" t="str">
        <f ca="1">IFERROR(__xludf.DUMMYFUNCTION("""COMPUTED_VALUE"""),"Definir fecha")</f>
        <v>Definir fecha</v>
      </c>
      <c r="L2866" s="62"/>
      <c r="M2866" s="25"/>
      <c r="N2866" s="25"/>
      <c r="O2866" s="25">
        <f t="shared" si="0"/>
        <v>0</v>
      </c>
      <c r="P2866" s="25" t="str">
        <f t="shared" si="2"/>
        <v/>
      </c>
      <c r="Q2866" s="25" t="str">
        <f ca="1">IFERROR(__xludf.DUMMYFUNCTION("""COMPUTED_VALUE"""),"Sin defenir")</f>
        <v>Sin defenir</v>
      </c>
      <c r="R2866" s="25"/>
      <c r="S2866" s="55"/>
      <c r="T2866" s="56"/>
      <c r="U2866" s="25"/>
      <c r="V2866" s="25"/>
      <c r="W2866" s="25"/>
      <c r="X2866" s="25"/>
      <c r="Y2866" s="25"/>
      <c r="Z2866" s="25"/>
    </row>
    <row r="2867" spans="1:26" ht="52.5" customHeight="1" x14ac:dyDescent="0.25">
      <c r="A2867" s="25" t="str">
        <f ca="1">IFERROR(__xludf.DUMMYFUNCTION("""COMPUTED_VALUE"""),"Ambie165")</f>
        <v>Ambie165</v>
      </c>
      <c r="B2867" s="25"/>
      <c r="C2867" s="55"/>
      <c r="D2867" s="25" t="str">
        <f ca="1">IFERROR(__xludf.DUMMYFUNCTION("""COMPUTED_VALUE"""),"Ambiente")</f>
        <v>Ambiente</v>
      </c>
      <c r="E2867" s="25"/>
      <c r="F2867" s="25"/>
      <c r="G2867" s="25"/>
      <c r="H2867" s="25"/>
      <c r="I2867" s="25"/>
      <c r="J2867" s="55"/>
      <c r="K2867" s="25" t="str">
        <f ca="1">IFERROR(__xludf.DUMMYFUNCTION("""COMPUTED_VALUE"""),"Definir fecha")</f>
        <v>Definir fecha</v>
      </c>
      <c r="L2867" s="62"/>
      <c r="M2867" s="25"/>
      <c r="N2867" s="25"/>
      <c r="O2867" s="25">
        <f t="shared" si="0"/>
        <v>0</v>
      </c>
      <c r="P2867" s="25" t="str">
        <f t="shared" si="2"/>
        <v/>
      </c>
      <c r="Q2867" s="25" t="str">
        <f ca="1">IFERROR(__xludf.DUMMYFUNCTION("""COMPUTED_VALUE"""),"Sin defenir")</f>
        <v>Sin defenir</v>
      </c>
      <c r="R2867" s="25"/>
      <c r="S2867" s="55"/>
      <c r="T2867" s="56"/>
      <c r="U2867" s="25"/>
      <c r="V2867" s="25"/>
      <c r="W2867" s="25"/>
      <c r="X2867" s="25"/>
      <c r="Y2867" s="25"/>
      <c r="Z2867" s="25"/>
    </row>
    <row r="2868" spans="1:26" ht="52.5" customHeight="1" x14ac:dyDescent="0.25">
      <c r="A2868" s="25" t="str">
        <f ca="1">IFERROR(__xludf.DUMMYFUNCTION("""COMPUTED_VALUE"""),"Ambie166")</f>
        <v>Ambie166</v>
      </c>
      <c r="B2868" s="25"/>
      <c r="C2868" s="55"/>
      <c r="D2868" s="25" t="str">
        <f ca="1">IFERROR(__xludf.DUMMYFUNCTION("""COMPUTED_VALUE"""),"Ambiente")</f>
        <v>Ambiente</v>
      </c>
      <c r="E2868" s="25"/>
      <c r="F2868" s="25"/>
      <c r="G2868" s="25"/>
      <c r="H2868" s="25"/>
      <c r="I2868" s="25"/>
      <c r="J2868" s="55"/>
      <c r="K2868" s="25" t="str">
        <f ca="1">IFERROR(__xludf.DUMMYFUNCTION("""COMPUTED_VALUE"""),"Definir fecha")</f>
        <v>Definir fecha</v>
      </c>
      <c r="L2868" s="62"/>
      <c r="M2868" s="25"/>
      <c r="N2868" s="25"/>
      <c r="O2868" s="25">
        <f t="shared" si="0"/>
        <v>0</v>
      </c>
      <c r="P2868" s="25" t="str">
        <f t="shared" si="2"/>
        <v/>
      </c>
      <c r="Q2868" s="25" t="str">
        <f ca="1">IFERROR(__xludf.DUMMYFUNCTION("""COMPUTED_VALUE"""),"Sin defenir")</f>
        <v>Sin defenir</v>
      </c>
      <c r="R2868" s="25"/>
      <c r="S2868" s="55"/>
      <c r="T2868" s="56"/>
      <c r="U2868" s="25"/>
      <c r="V2868" s="25"/>
      <c r="W2868" s="25"/>
      <c r="X2868" s="25"/>
      <c r="Y2868" s="25"/>
      <c r="Z2868" s="25"/>
    </row>
    <row r="2869" spans="1:26" ht="52.5" customHeight="1" x14ac:dyDescent="0.25">
      <c r="A2869" s="25" t="str">
        <f ca="1">IFERROR(__xludf.DUMMYFUNCTION("""COMPUTED_VALUE"""),"Ambie167")</f>
        <v>Ambie167</v>
      </c>
      <c r="B2869" s="25"/>
      <c r="C2869" s="55"/>
      <c r="D2869" s="25" t="str">
        <f ca="1">IFERROR(__xludf.DUMMYFUNCTION("""COMPUTED_VALUE"""),"Ambiente")</f>
        <v>Ambiente</v>
      </c>
      <c r="E2869" s="25"/>
      <c r="F2869" s="25"/>
      <c r="G2869" s="25"/>
      <c r="H2869" s="25"/>
      <c r="I2869" s="25"/>
      <c r="J2869" s="55"/>
      <c r="K2869" s="25" t="str">
        <f ca="1">IFERROR(__xludf.DUMMYFUNCTION("""COMPUTED_VALUE"""),"Definir fecha")</f>
        <v>Definir fecha</v>
      </c>
      <c r="L2869" s="62"/>
      <c r="M2869" s="25"/>
      <c r="N2869" s="25"/>
      <c r="O2869" s="25">
        <f t="shared" si="0"/>
        <v>0</v>
      </c>
      <c r="P2869" s="25" t="str">
        <f t="shared" si="2"/>
        <v/>
      </c>
      <c r="Q2869" s="25" t="str">
        <f ca="1">IFERROR(__xludf.DUMMYFUNCTION("""COMPUTED_VALUE"""),"Sin defenir")</f>
        <v>Sin defenir</v>
      </c>
      <c r="R2869" s="25"/>
      <c r="S2869" s="55"/>
      <c r="T2869" s="56"/>
      <c r="U2869" s="25"/>
      <c r="V2869" s="25"/>
      <c r="W2869" s="25"/>
      <c r="X2869" s="25"/>
      <c r="Y2869" s="25"/>
      <c r="Z2869" s="25"/>
    </row>
    <row r="2870" spans="1:26" ht="52.5" customHeight="1" x14ac:dyDescent="0.25">
      <c r="A2870" s="25" t="str">
        <f ca="1">IFERROR(__xludf.DUMMYFUNCTION("""COMPUTED_VALUE"""),"Ambie168")</f>
        <v>Ambie168</v>
      </c>
      <c r="B2870" s="25"/>
      <c r="C2870" s="55"/>
      <c r="D2870" s="25" t="str">
        <f ca="1">IFERROR(__xludf.DUMMYFUNCTION("""COMPUTED_VALUE"""),"Ambiente")</f>
        <v>Ambiente</v>
      </c>
      <c r="E2870" s="25"/>
      <c r="F2870" s="25"/>
      <c r="G2870" s="25"/>
      <c r="H2870" s="25"/>
      <c r="I2870" s="25"/>
      <c r="J2870" s="55"/>
      <c r="K2870" s="25" t="str">
        <f ca="1">IFERROR(__xludf.DUMMYFUNCTION("""COMPUTED_VALUE"""),"Definir fecha")</f>
        <v>Definir fecha</v>
      </c>
      <c r="L2870" s="62"/>
      <c r="M2870" s="25"/>
      <c r="N2870" s="25"/>
      <c r="O2870" s="25">
        <f t="shared" si="0"/>
        <v>0</v>
      </c>
      <c r="P2870" s="25" t="str">
        <f t="shared" si="2"/>
        <v/>
      </c>
      <c r="Q2870" s="25" t="str">
        <f ca="1">IFERROR(__xludf.DUMMYFUNCTION("""COMPUTED_VALUE"""),"Sin defenir")</f>
        <v>Sin defenir</v>
      </c>
      <c r="R2870" s="25"/>
      <c r="S2870" s="55"/>
      <c r="T2870" s="56"/>
      <c r="U2870" s="25"/>
      <c r="V2870" s="25"/>
      <c r="W2870" s="25"/>
      <c r="X2870" s="25"/>
      <c r="Y2870" s="25"/>
      <c r="Z2870" s="25"/>
    </row>
    <row r="2871" spans="1:26" ht="52.5" customHeight="1" x14ac:dyDescent="0.25">
      <c r="A2871" s="25" t="str">
        <f ca="1">IFERROR(__xludf.DUMMYFUNCTION("""COMPUTED_VALUE"""),"Ambie169")</f>
        <v>Ambie169</v>
      </c>
      <c r="B2871" s="25"/>
      <c r="C2871" s="55"/>
      <c r="D2871" s="25" t="str">
        <f ca="1">IFERROR(__xludf.DUMMYFUNCTION("""COMPUTED_VALUE"""),"Ambiente")</f>
        <v>Ambiente</v>
      </c>
      <c r="E2871" s="25"/>
      <c r="F2871" s="25"/>
      <c r="G2871" s="25"/>
      <c r="H2871" s="25"/>
      <c r="I2871" s="25"/>
      <c r="J2871" s="55"/>
      <c r="K2871" s="25" t="str">
        <f ca="1">IFERROR(__xludf.DUMMYFUNCTION("""COMPUTED_VALUE"""),"Definir fecha")</f>
        <v>Definir fecha</v>
      </c>
      <c r="L2871" s="62"/>
      <c r="M2871" s="25"/>
      <c r="N2871" s="25"/>
      <c r="O2871" s="25">
        <f t="shared" si="0"/>
        <v>0</v>
      </c>
      <c r="P2871" s="25" t="str">
        <f t="shared" si="2"/>
        <v/>
      </c>
      <c r="Q2871" s="25" t="str">
        <f ca="1">IFERROR(__xludf.DUMMYFUNCTION("""COMPUTED_VALUE"""),"Sin defenir")</f>
        <v>Sin defenir</v>
      </c>
      <c r="R2871" s="25"/>
      <c r="S2871" s="55"/>
      <c r="T2871" s="56"/>
      <c r="U2871" s="25"/>
      <c r="V2871" s="25"/>
      <c r="W2871" s="25"/>
      <c r="X2871" s="25"/>
      <c r="Y2871" s="25"/>
      <c r="Z2871" s="25"/>
    </row>
    <row r="2872" spans="1:26" ht="52.5" customHeight="1" x14ac:dyDescent="0.25">
      <c r="A2872" s="25" t="str">
        <f ca="1">IFERROR(__xludf.DUMMYFUNCTION("""COMPUTED_VALUE"""),"Ambie170")</f>
        <v>Ambie170</v>
      </c>
      <c r="B2872" s="25"/>
      <c r="C2872" s="55"/>
      <c r="D2872" s="25" t="str">
        <f ca="1">IFERROR(__xludf.DUMMYFUNCTION("""COMPUTED_VALUE"""),"Ambiente")</f>
        <v>Ambiente</v>
      </c>
      <c r="E2872" s="25"/>
      <c r="F2872" s="25"/>
      <c r="G2872" s="25"/>
      <c r="H2872" s="25"/>
      <c r="I2872" s="25"/>
      <c r="J2872" s="55"/>
      <c r="K2872" s="25" t="str">
        <f ca="1">IFERROR(__xludf.DUMMYFUNCTION("""COMPUTED_VALUE"""),"Definir fecha")</f>
        <v>Definir fecha</v>
      </c>
      <c r="L2872" s="62"/>
      <c r="M2872" s="25"/>
      <c r="N2872" s="25"/>
      <c r="O2872" s="25">
        <f t="shared" si="0"/>
        <v>0</v>
      </c>
      <c r="P2872" s="25" t="str">
        <f t="shared" si="2"/>
        <v/>
      </c>
      <c r="Q2872" s="25" t="str">
        <f ca="1">IFERROR(__xludf.DUMMYFUNCTION("""COMPUTED_VALUE"""),"Sin defenir")</f>
        <v>Sin defenir</v>
      </c>
      <c r="R2872" s="25"/>
      <c r="S2872" s="55"/>
      <c r="T2872" s="56"/>
      <c r="U2872" s="25"/>
      <c r="V2872" s="25"/>
      <c r="W2872" s="25"/>
      <c r="X2872" s="25"/>
      <c r="Y2872" s="25"/>
      <c r="Z2872" s="25"/>
    </row>
    <row r="2873" spans="1:26" ht="52.5" customHeight="1" x14ac:dyDescent="0.25">
      <c r="A2873" s="25" t="str">
        <f ca="1">IFERROR(__xludf.DUMMYFUNCTION("""COMPUTED_VALUE"""),"Ambie171")</f>
        <v>Ambie171</v>
      </c>
      <c r="B2873" s="25"/>
      <c r="C2873" s="55"/>
      <c r="D2873" s="25" t="str">
        <f ca="1">IFERROR(__xludf.DUMMYFUNCTION("""COMPUTED_VALUE"""),"Ambiente")</f>
        <v>Ambiente</v>
      </c>
      <c r="E2873" s="25"/>
      <c r="F2873" s="25"/>
      <c r="G2873" s="25"/>
      <c r="H2873" s="25"/>
      <c r="I2873" s="25"/>
      <c r="J2873" s="55"/>
      <c r="K2873" s="25" t="str">
        <f ca="1">IFERROR(__xludf.DUMMYFUNCTION("""COMPUTED_VALUE"""),"Definir fecha")</f>
        <v>Definir fecha</v>
      </c>
      <c r="L2873" s="62"/>
      <c r="M2873" s="25"/>
      <c r="N2873" s="25"/>
      <c r="O2873" s="25">
        <f t="shared" si="0"/>
        <v>0</v>
      </c>
      <c r="P2873" s="25" t="str">
        <f t="shared" si="2"/>
        <v/>
      </c>
      <c r="Q2873" s="25" t="str">
        <f ca="1">IFERROR(__xludf.DUMMYFUNCTION("""COMPUTED_VALUE"""),"Sin defenir")</f>
        <v>Sin defenir</v>
      </c>
      <c r="R2873" s="25"/>
      <c r="S2873" s="55"/>
      <c r="T2873" s="56"/>
      <c r="U2873" s="25"/>
      <c r="V2873" s="25"/>
      <c r="W2873" s="25"/>
      <c r="X2873" s="25"/>
      <c r="Y2873" s="25"/>
      <c r="Z2873" s="25"/>
    </row>
    <row r="2874" spans="1:26" ht="52.5" customHeight="1" x14ac:dyDescent="0.25">
      <c r="A2874" s="25" t="str">
        <f ca="1">IFERROR(__xludf.DUMMYFUNCTION("""COMPUTED_VALUE"""),"Ambie172")</f>
        <v>Ambie172</v>
      </c>
      <c r="B2874" s="25"/>
      <c r="C2874" s="55"/>
      <c r="D2874" s="25" t="str">
        <f ca="1">IFERROR(__xludf.DUMMYFUNCTION("""COMPUTED_VALUE"""),"Ambiente")</f>
        <v>Ambiente</v>
      </c>
      <c r="E2874" s="25"/>
      <c r="F2874" s="25"/>
      <c r="G2874" s="25"/>
      <c r="H2874" s="25"/>
      <c r="I2874" s="25"/>
      <c r="J2874" s="55"/>
      <c r="K2874" s="25" t="str">
        <f ca="1">IFERROR(__xludf.DUMMYFUNCTION("""COMPUTED_VALUE"""),"Definir fecha")</f>
        <v>Definir fecha</v>
      </c>
      <c r="L2874" s="62"/>
      <c r="M2874" s="25"/>
      <c r="N2874" s="25"/>
      <c r="O2874" s="25">
        <f t="shared" si="0"/>
        <v>0</v>
      </c>
      <c r="P2874" s="25" t="str">
        <f t="shared" si="2"/>
        <v/>
      </c>
      <c r="Q2874" s="25" t="str">
        <f ca="1">IFERROR(__xludf.DUMMYFUNCTION("""COMPUTED_VALUE"""),"Sin defenir")</f>
        <v>Sin defenir</v>
      </c>
      <c r="R2874" s="25"/>
      <c r="S2874" s="55"/>
      <c r="T2874" s="56"/>
      <c r="U2874" s="25"/>
      <c r="V2874" s="25"/>
      <c r="W2874" s="25"/>
      <c r="X2874" s="25"/>
      <c r="Y2874" s="25"/>
      <c r="Z2874" s="25"/>
    </row>
    <row r="2875" spans="1:26" ht="52.5" customHeight="1" x14ac:dyDescent="0.25">
      <c r="A2875" s="25" t="str">
        <f ca="1">IFERROR(__xludf.DUMMYFUNCTION("""COMPUTED_VALUE"""),"Ambie173")</f>
        <v>Ambie173</v>
      </c>
      <c r="B2875" s="25"/>
      <c r="C2875" s="55"/>
      <c r="D2875" s="25" t="str">
        <f ca="1">IFERROR(__xludf.DUMMYFUNCTION("""COMPUTED_VALUE"""),"Ambiente")</f>
        <v>Ambiente</v>
      </c>
      <c r="E2875" s="25"/>
      <c r="F2875" s="25"/>
      <c r="G2875" s="25"/>
      <c r="H2875" s="25"/>
      <c r="I2875" s="25"/>
      <c r="J2875" s="55"/>
      <c r="K2875" s="25" t="str">
        <f ca="1">IFERROR(__xludf.DUMMYFUNCTION("""COMPUTED_VALUE"""),"Definir fecha")</f>
        <v>Definir fecha</v>
      </c>
      <c r="L2875" s="62"/>
      <c r="M2875" s="25"/>
      <c r="N2875" s="25"/>
      <c r="O2875" s="25">
        <f t="shared" si="0"/>
        <v>0</v>
      </c>
      <c r="P2875" s="25" t="str">
        <f t="shared" si="2"/>
        <v/>
      </c>
      <c r="Q2875" s="25" t="str">
        <f ca="1">IFERROR(__xludf.DUMMYFUNCTION("""COMPUTED_VALUE"""),"Sin defenir")</f>
        <v>Sin defenir</v>
      </c>
      <c r="R2875" s="25"/>
      <c r="S2875" s="55"/>
      <c r="T2875" s="56"/>
      <c r="U2875" s="25"/>
      <c r="V2875" s="25"/>
      <c r="W2875" s="25"/>
      <c r="X2875" s="25"/>
      <c r="Y2875" s="25"/>
      <c r="Z2875" s="25"/>
    </row>
    <row r="2876" spans="1:26" ht="52.5" customHeight="1" x14ac:dyDescent="0.25">
      <c r="A2876" s="25" t="str">
        <f ca="1">IFERROR(__xludf.DUMMYFUNCTION("""COMPUTED_VALUE"""),"Ambie174")</f>
        <v>Ambie174</v>
      </c>
      <c r="B2876" s="25"/>
      <c r="C2876" s="55"/>
      <c r="D2876" s="25" t="str">
        <f ca="1">IFERROR(__xludf.DUMMYFUNCTION("""COMPUTED_VALUE"""),"Ambiente")</f>
        <v>Ambiente</v>
      </c>
      <c r="E2876" s="25"/>
      <c r="F2876" s="25"/>
      <c r="G2876" s="25"/>
      <c r="H2876" s="25"/>
      <c r="I2876" s="25"/>
      <c r="J2876" s="55"/>
      <c r="K2876" s="25" t="str">
        <f ca="1">IFERROR(__xludf.DUMMYFUNCTION("""COMPUTED_VALUE"""),"Definir fecha")</f>
        <v>Definir fecha</v>
      </c>
      <c r="L2876" s="62"/>
      <c r="M2876" s="25"/>
      <c r="N2876" s="25"/>
      <c r="O2876" s="25">
        <f t="shared" si="0"/>
        <v>0</v>
      </c>
      <c r="P2876" s="25" t="str">
        <f t="shared" si="2"/>
        <v/>
      </c>
      <c r="Q2876" s="25" t="str">
        <f ca="1">IFERROR(__xludf.DUMMYFUNCTION("""COMPUTED_VALUE"""),"Sin defenir")</f>
        <v>Sin defenir</v>
      </c>
      <c r="R2876" s="25"/>
      <c r="S2876" s="55"/>
      <c r="T2876" s="56"/>
      <c r="U2876" s="25"/>
      <c r="V2876" s="25"/>
      <c r="W2876" s="25"/>
      <c r="X2876" s="25"/>
      <c r="Y2876" s="25"/>
      <c r="Z2876" s="25"/>
    </row>
    <row r="2877" spans="1:26" ht="52.5" customHeight="1" x14ac:dyDescent="0.25">
      <c r="A2877" s="25" t="str">
        <f ca="1">IFERROR(__xludf.DUMMYFUNCTION("""COMPUTED_VALUE"""),"Ambie175")</f>
        <v>Ambie175</v>
      </c>
      <c r="B2877" s="25"/>
      <c r="C2877" s="55"/>
      <c r="D2877" s="25" t="str">
        <f ca="1">IFERROR(__xludf.DUMMYFUNCTION("""COMPUTED_VALUE"""),"Ambiente")</f>
        <v>Ambiente</v>
      </c>
      <c r="E2877" s="25"/>
      <c r="F2877" s="25"/>
      <c r="G2877" s="25"/>
      <c r="H2877" s="25"/>
      <c r="I2877" s="25"/>
      <c r="J2877" s="55"/>
      <c r="K2877" s="25" t="str">
        <f ca="1">IFERROR(__xludf.DUMMYFUNCTION("""COMPUTED_VALUE"""),"Definir fecha")</f>
        <v>Definir fecha</v>
      </c>
      <c r="L2877" s="62"/>
      <c r="M2877" s="25"/>
      <c r="N2877" s="25"/>
      <c r="O2877" s="25">
        <f t="shared" si="0"/>
        <v>0</v>
      </c>
      <c r="P2877" s="25" t="str">
        <f t="shared" si="2"/>
        <v/>
      </c>
      <c r="Q2877" s="25" t="str">
        <f ca="1">IFERROR(__xludf.DUMMYFUNCTION("""COMPUTED_VALUE"""),"Sin defenir")</f>
        <v>Sin defenir</v>
      </c>
      <c r="R2877" s="25"/>
      <c r="S2877" s="55"/>
      <c r="T2877" s="56"/>
      <c r="U2877" s="25"/>
      <c r="V2877" s="25"/>
      <c r="W2877" s="25"/>
      <c r="X2877" s="25"/>
      <c r="Y2877" s="25"/>
      <c r="Z2877" s="25"/>
    </row>
    <row r="2878" spans="1:26" ht="52.5" customHeight="1" x14ac:dyDescent="0.25">
      <c r="A2878" s="25" t="str">
        <f ca="1">IFERROR(__xludf.DUMMYFUNCTION("""COMPUTED_VALUE"""),"Ambie176")</f>
        <v>Ambie176</v>
      </c>
      <c r="B2878" s="25"/>
      <c r="C2878" s="55"/>
      <c r="D2878" s="25" t="str">
        <f ca="1">IFERROR(__xludf.DUMMYFUNCTION("""COMPUTED_VALUE"""),"Ambiente")</f>
        <v>Ambiente</v>
      </c>
      <c r="E2878" s="25"/>
      <c r="F2878" s="25"/>
      <c r="G2878" s="25"/>
      <c r="H2878" s="25"/>
      <c r="I2878" s="25"/>
      <c r="J2878" s="55"/>
      <c r="K2878" s="25" t="str">
        <f ca="1">IFERROR(__xludf.DUMMYFUNCTION("""COMPUTED_VALUE"""),"Definir fecha")</f>
        <v>Definir fecha</v>
      </c>
      <c r="L2878" s="62"/>
      <c r="M2878" s="25"/>
      <c r="N2878" s="25"/>
      <c r="O2878" s="25">
        <f t="shared" si="0"/>
        <v>0</v>
      </c>
      <c r="P2878" s="25" t="str">
        <f t="shared" si="2"/>
        <v/>
      </c>
      <c r="Q2878" s="25" t="str">
        <f ca="1">IFERROR(__xludf.DUMMYFUNCTION("""COMPUTED_VALUE"""),"Sin defenir")</f>
        <v>Sin defenir</v>
      </c>
      <c r="R2878" s="25"/>
      <c r="S2878" s="55"/>
      <c r="T2878" s="56"/>
      <c r="U2878" s="25"/>
      <c r="V2878" s="25"/>
      <c r="W2878" s="25"/>
      <c r="X2878" s="25"/>
      <c r="Y2878" s="25"/>
      <c r="Z2878" s="25"/>
    </row>
    <row r="2879" spans="1:26" ht="52.5" customHeight="1" x14ac:dyDescent="0.25">
      <c r="A2879" s="25" t="str">
        <f ca="1">IFERROR(__xludf.DUMMYFUNCTION("""COMPUTED_VALUE"""),"Ambie177")</f>
        <v>Ambie177</v>
      </c>
      <c r="B2879" s="25"/>
      <c r="C2879" s="55"/>
      <c r="D2879" s="25" t="str">
        <f ca="1">IFERROR(__xludf.DUMMYFUNCTION("""COMPUTED_VALUE"""),"Ambiente")</f>
        <v>Ambiente</v>
      </c>
      <c r="E2879" s="25"/>
      <c r="F2879" s="25"/>
      <c r="G2879" s="25"/>
      <c r="H2879" s="25"/>
      <c r="I2879" s="25"/>
      <c r="J2879" s="55"/>
      <c r="K2879" s="25" t="str">
        <f ca="1">IFERROR(__xludf.DUMMYFUNCTION("""COMPUTED_VALUE"""),"Definir fecha")</f>
        <v>Definir fecha</v>
      </c>
      <c r="L2879" s="62"/>
      <c r="M2879" s="25"/>
      <c r="N2879" s="25"/>
      <c r="O2879" s="25">
        <f t="shared" si="0"/>
        <v>0</v>
      </c>
      <c r="P2879" s="25" t="str">
        <f t="shared" si="2"/>
        <v/>
      </c>
      <c r="Q2879" s="25" t="str">
        <f ca="1">IFERROR(__xludf.DUMMYFUNCTION("""COMPUTED_VALUE"""),"Sin defenir")</f>
        <v>Sin defenir</v>
      </c>
      <c r="R2879" s="25"/>
      <c r="S2879" s="55"/>
      <c r="T2879" s="56"/>
      <c r="U2879" s="25"/>
      <c r="V2879" s="25"/>
      <c r="W2879" s="25"/>
      <c r="X2879" s="25"/>
      <c r="Y2879" s="25"/>
      <c r="Z2879" s="25"/>
    </row>
    <row r="2880" spans="1:26" ht="52.5" customHeight="1" x14ac:dyDescent="0.25">
      <c r="A2880" s="25" t="str">
        <f ca="1">IFERROR(__xludf.DUMMYFUNCTION("""COMPUTED_VALUE"""),"Ambie178")</f>
        <v>Ambie178</v>
      </c>
      <c r="B2880" s="25"/>
      <c r="C2880" s="55"/>
      <c r="D2880" s="25" t="str">
        <f ca="1">IFERROR(__xludf.DUMMYFUNCTION("""COMPUTED_VALUE"""),"Ambiente")</f>
        <v>Ambiente</v>
      </c>
      <c r="E2880" s="25"/>
      <c r="F2880" s="25"/>
      <c r="G2880" s="25"/>
      <c r="H2880" s="25"/>
      <c r="I2880" s="25"/>
      <c r="J2880" s="55"/>
      <c r="K2880" s="25" t="str">
        <f ca="1">IFERROR(__xludf.DUMMYFUNCTION("""COMPUTED_VALUE"""),"Definir fecha")</f>
        <v>Definir fecha</v>
      </c>
      <c r="L2880" s="62"/>
      <c r="M2880" s="25"/>
      <c r="N2880" s="25"/>
      <c r="O2880" s="25">
        <f t="shared" si="0"/>
        <v>0</v>
      </c>
      <c r="P2880" s="25" t="str">
        <f t="shared" si="2"/>
        <v/>
      </c>
      <c r="Q2880" s="25" t="str">
        <f ca="1">IFERROR(__xludf.DUMMYFUNCTION("""COMPUTED_VALUE"""),"Sin defenir")</f>
        <v>Sin defenir</v>
      </c>
      <c r="R2880" s="25"/>
      <c r="S2880" s="55"/>
      <c r="T2880" s="56"/>
      <c r="U2880" s="25"/>
      <c r="V2880" s="25"/>
      <c r="W2880" s="25"/>
      <c r="X2880" s="25"/>
      <c r="Y2880" s="25"/>
      <c r="Z2880" s="25"/>
    </row>
    <row r="2881" spans="1:26" ht="52.5" customHeight="1" x14ac:dyDescent="0.25">
      <c r="A2881" s="25" t="str">
        <f ca="1">IFERROR(__xludf.DUMMYFUNCTION("""COMPUTED_VALUE"""),"Ambie179")</f>
        <v>Ambie179</v>
      </c>
      <c r="B2881" s="25"/>
      <c r="C2881" s="55"/>
      <c r="D2881" s="25" t="str">
        <f ca="1">IFERROR(__xludf.DUMMYFUNCTION("""COMPUTED_VALUE"""),"Ambiente")</f>
        <v>Ambiente</v>
      </c>
      <c r="E2881" s="25"/>
      <c r="F2881" s="25"/>
      <c r="G2881" s="25"/>
      <c r="H2881" s="25"/>
      <c r="I2881" s="25"/>
      <c r="J2881" s="55"/>
      <c r="K2881" s="25" t="str">
        <f ca="1">IFERROR(__xludf.DUMMYFUNCTION("""COMPUTED_VALUE"""),"Definir fecha")</f>
        <v>Definir fecha</v>
      </c>
      <c r="L2881" s="62"/>
      <c r="M2881" s="25"/>
      <c r="N2881" s="25"/>
      <c r="O2881" s="25">
        <f t="shared" si="0"/>
        <v>0</v>
      </c>
      <c r="P2881" s="25" t="str">
        <f t="shared" si="2"/>
        <v/>
      </c>
      <c r="Q2881" s="25" t="str">
        <f ca="1">IFERROR(__xludf.DUMMYFUNCTION("""COMPUTED_VALUE"""),"Sin defenir")</f>
        <v>Sin defenir</v>
      </c>
      <c r="R2881" s="25"/>
      <c r="S2881" s="55"/>
      <c r="T2881" s="56"/>
      <c r="U2881" s="25"/>
      <c r="V2881" s="25"/>
      <c r="W2881" s="25"/>
      <c r="X2881" s="25"/>
      <c r="Y2881" s="25"/>
      <c r="Z2881" s="25"/>
    </row>
    <row r="2882" spans="1:26" ht="52.5" customHeight="1" x14ac:dyDescent="0.25">
      <c r="A2882" s="25" t="str">
        <f ca="1">IFERROR(__xludf.DUMMYFUNCTION("""COMPUTED_VALUE"""),"Ambie180")</f>
        <v>Ambie180</v>
      </c>
      <c r="B2882" s="25"/>
      <c r="C2882" s="55"/>
      <c r="D2882" s="25" t="str">
        <f ca="1">IFERROR(__xludf.DUMMYFUNCTION("""COMPUTED_VALUE"""),"Ambiente")</f>
        <v>Ambiente</v>
      </c>
      <c r="E2882" s="25"/>
      <c r="F2882" s="25"/>
      <c r="G2882" s="25"/>
      <c r="H2882" s="25"/>
      <c r="I2882" s="25"/>
      <c r="J2882" s="55"/>
      <c r="K2882" s="25" t="str">
        <f ca="1">IFERROR(__xludf.DUMMYFUNCTION("""COMPUTED_VALUE"""),"Definir fecha")</f>
        <v>Definir fecha</v>
      </c>
      <c r="L2882" s="62"/>
      <c r="M2882" s="25"/>
      <c r="N2882" s="25"/>
      <c r="O2882" s="25">
        <f t="shared" si="0"/>
        <v>0</v>
      </c>
      <c r="P2882" s="25" t="str">
        <f t="shared" si="2"/>
        <v/>
      </c>
      <c r="Q2882" s="25" t="str">
        <f ca="1">IFERROR(__xludf.DUMMYFUNCTION("""COMPUTED_VALUE"""),"Sin defenir")</f>
        <v>Sin defenir</v>
      </c>
      <c r="R2882" s="25"/>
      <c r="S2882" s="55"/>
      <c r="T2882" s="56"/>
      <c r="U2882" s="25"/>
      <c r="V2882" s="25"/>
      <c r="W2882" s="25"/>
      <c r="X2882" s="25"/>
      <c r="Y2882" s="25"/>
      <c r="Z2882" s="25"/>
    </row>
    <row r="2883" spans="1:26" ht="52.5" customHeight="1" x14ac:dyDescent="0.25">
      <c r="A2883" s="25" t="str">
        <f ca="1">IFERROR(__xludf.DUMMYFUNCTION("""COMPUTED_VALUE"""),"Ambie181")</f>
        <v>Ambie181</v>
      </c>
      <c r="B2883" s="25"/>
      <c r="C2883" s="55"/>
      <c r="D2883" s="25" t="str">
        <f ca="1">IFERROR(__xludf.DUMMYFUNCTION("""COMPUTED_VALUE"""),"Ambiente")</f>
        <v>Ambiente</v>
      </c>
      <c r="E2883" s="25"/>
      <c r="F2883" s="25"/>
      <c r="G2883" s="25"/>
      <c r="H2883" s="25"/>
      <c r="I2883" s="25"/>
      <c r="J2883" s="55"/>
      <c r="K2883" s="25" t="str">
        <f ca="1">IFERROR(__xludf.DUMMYFUNCTION("""COMPUTED_VALUE"""),"Definir fecha")</f>
        <v>Definir fecha</v>
      </c>
      <c r="L2883" s="62"/>
      <c r="M2883" s="25"/>
      <c r="N2883" s="25"/>
      <c r="O2883" s="25">
        <f t="shared" si="0"/>
        <v>0</v>
      </c>
      <c r="P2883" s="25" t="str">
        <f t="shared" si="2"/>
        <v/>
      </c>
      <c r="Q2883" s="25" t="str">
        <f ca="1">IFERROR(__xludf.DUMMYFUNCTION("""COMPUTED_VALUE"""),"Sin defenir")</f>
        <v>Sin defenir</v>
      </c>
      <c r="R2883" s="25"/>
      <c r="S2883" s="55"/>
      <c r="T2883" s="56"/>
      <c r="U2883" s="25"/>
      <c r="V2883" s="25"/>
      <c r="W2883" s="25"/>
      <c r="X2883" s="25"/>
      <c r="Y2883" s="25"/>
      <c r="Z2883" s="25"/>
    </row>
    <row r="2884" spans="1:26" ht="52.5" customHeight="1" x14ac:dyDescent="0.25">
      <c r="A2884" s="25" t="str">
        <f ca="1">IFERROR(__xludf.DUMMYFUNCTION("""COMPUTED_VALUE"""),"Ambie182")</f>
        <v>Ambie182</v>
      </c>
      <c r="B2884" s="25"/>
      <c r="C2884" s="55"/>
      <c r="D2884" s="25" t="str">
        <f ca="1">IFERROR(__xludf.DUMMYFUNCTION("""COMPUTED_VALUE"""),"Ambiente")</f>
        <v>Ambiente</v>
      </c>
      <c r="E2884" s="25"/>
      <c r="F2884" s="25"/>
      <c r="G2884" s="25"/>
      <c r="H2884" s="25"/>
      <c r="I2884" s="25"/>
      <c r="J2884" s="55"/>
      <c r="K2884" s="25" t="str">
        <f ca="1">IFERROR(__xludf.DUMMYFUNCTION("""COMPUTED_VALUE"""),"Definir fecha")</f>
        <v>Definir fecha</v>
      </c>
      <c r="L2884" s="62"/>
      <c r="M2884" s="25"/>
      <c r="N2884" s="25"/>
      <c r="O2884" s="25">
        <f t="shared" si="0"/>
        <v>0</v>
      </c>
      <c r="P2884" s="25" t="str">
        <f t="shared" si="2"/>
        <v/>
      </c>
      <c r="Q2884" s="25" t="str">
        <f ca="1">IFERROR(__xludf.DUMMYFUNCTION("""COMPUTED_VALUE"""),"Sin defenir")</f>
        <v>Sin defenir</v>
      </c>
      <c r="R2884" s="25"/>
      <c r="S2884" s="55"/>
      <c r="T2884" s="56"/>
      <c r="U2884" s="25"/>
      <c r="V2884" s="25"/>
      <c r="W2884" s="25"/>
      <c r="X2884" s="25"/>
      <c r="Y2884" s="25"/>
      <c r="Z2884" s="25"/>
    </row>
    <row r="2885" spans="1:26" ht="52.5" customHeight="1" x14ac:dyDescent="0.25">
      <c r="A2885" s="25" t="str">
        <f ca="1">IFERROR(__xludf.DUMMYFUNCTION("""COMPUTED_VALUE"""),"Ambie183")</f>
        <v>Ambie183</v>
      </c>
      <c r="B2885" s="25"/>
      <c r="C2885" s="55"/>
      <c r="D2885" s="25" t="str">
        <f ca="1">IFERROR(__xludf.DUMMYFUNCTION("""COMPUTED_VALUE"""),"Ambiente")</f>
        <v>Ambiente</v>
      </c>
      <c r="E2885" s="25"/>
      <c r="F2885" s="25"/>
      <c r="G2885" s="25"/>
      <c r="H2885" s="25"/>
      <c r="I2885" s="25"/>
      <c r="J2885" s="55"/>
      <c r="K2885" s="25" t="str">
        <f ca="1">IFERROR(__xludf.DUMMYFUNCTION("""COMPUTED_VALUE"""),"Definir fecha")</f>
        <v>Definir fecha</v>
      </c>
      <c r="L2885" s="62"/>
      <c r="M2885" s="25"/>
      <c r="N2885" s="25"/>
      <c r="O2885" s="25">
        <f t="shared" si="0"/>
        <v>0</v>
      </c>
      <c r="P2885" s="25" t="str">
        <f t="shared" si="2"/>
        <v/>
      </c>
      <c r="Q2885" s="25" t="str">
        <f ca="1">IFERROR(__xludf.DUMMYFUNCTION("""COMPUTED_VALUE"""),"Sin defenir")</f>
        <v>Sin defenir</v>
      </c>
      <c r="R2885" s="25"/>
      <c r="S2885" s="55"/>
      <c r="T2885" s="56"/>
      <c r="U2885" s="25"/>
      <c r="V2885" s="25"/>
      <c r="W2885" s="25"/>
      <c r="X2885" s="25"/>
      <c r="Y2885" s="25"/>
      <c r="Z2885" s="25"/>
    </row>
    <row r="2886" spans="1:26" ht="52.5" customHeight="1" x14ac:dyDescent="0.25">
      <c r="A2886" s="25" t="str">
        <f ca="1">IFERROR(__xludf.DUMMYFUNCTION("""COMPUTED_VALUE"""),"Ambie184")</f>
        <v>Ambie184</v>
      </c>
      <c r="B2886" s="25"/>
      <c r="C2886" s="55"/>
      <c r="D2886" s="25" t="str">
        <f ca="1">IFERROR(__xludf.DUMMYFUNCTION("""COMPUTED_VALUE"""),"Ambiente")</f>
        <v>Ambiente</v>
      </c>
      <c r="E2886" s="25"/>
      <c r="F2886" s="25"/>
      <c r="G2886" s="25"/>
      <c r="H2886" s="25"/>
      <c r="I2886" s="25"/>
      <c r="J2886" s="55"/>
      <c r="K2886" s="25" t="str">
        <f ca="1">IFERROR(__xludf.DUMMYFUNCTION("""COMPUTED_VALUE"""),"Definir fecha")</f>
        <v>Definir fecha</v>
      </c>
      <c r="L2886" s="62"/>
      <c r="M2886" s="25"/>
      <c r="N2886" s="25"/>
      <c r="O2886" s="25">
        <f t="shared" si="0"/>
        <v>0</v>
      </c>
      <c r="P2886" s="25" t="str">
        <f t="shared" si="2"/>
        <v/>
      </c>
      <c r="Q2886" s="25" t="str">
        <f ca="1">IFERROR(__xludf.DUMMYFUNCTION("""COMPUTED_VALUE"""),"Sin defenir")</f>
        <v>Sin defenir</v>
      </c>
      <c r="R2886" s="25"/>
      <c r="S2886" s="55"/>
      <c r="T2886" s="56"/>
      <c r="U2886" s="25"/>
      <c r="V2886" s="25"/>
      <c r="W2886" s="25"/>
      <c r="X2886" s="25"/>
      <c r="Y2886" s="25"/>
      <c r="Z2886" s="25"/>
    </row>
    <row r="2887" spans="1:26" ht="52.5" customHeight="1" x14ac:dyDescent="0.25">
      <c r="A2887" s="25" t="str">
        <f ca="1">IFERROR(__xludf.DUMMYFUNCTION("""COMPUTED_VALUE"""),"Ambie185")</f>
        <v>Ambie185</v>
      </c>
      <c r="B2887" s="25"/>
      <c r="C2887" s="55"/>
      <c r="D2887" s="25" t="str">
        <f ca="1">IFERROR(__xludf.DUMMYFUNCTION("""COMPUTED_VALUE"""),"Ambiente")</f>
        <v>Ambiente</v>
      </c>
      <c r="E2887" s="25"/>
      <c r="F2887" s="25"/>
      <c r="G2887" s="25"/>
      <c r="H2887" s="25"/>
      <c r="I2887" s="25"/>
      <c r="J2887" s="55"/>
      <c r="K2887" s="25" t="str">
        <f ca="1">IFERROR(__xludf.DUMMYFUNCTION("""COMPUTED_VALUE"""),"Definir fecha")</f>
        <v>Definir fecha</v>
      </c>
      <c r="L2887" s="62"/>
      <c r="M2887" s="25"/>
      <c r="N2887" s="25"/>
      <c r="O2887" s="25">
        <f t="shared" si="0"/>
        <v>0</v>
      </c>
      <c r="P2887" s="25" t="str">
        <f t="shared" si="2"/>
        <v/>
      </c>
      <c r="Q2887" s="25" t="str">
        <f ca="1">IFERROR(__xludf.DUMMYFUNCTION("""COMPUTED_VALUE"""),"Sin defenir")</f>
        <v>Sin defenir</v>
      </c>
      <c r="R2887" s="25"/>
      <c r="S2887" s="55"/>
      <c r="T2887" s="56"/>
      <c r="U2887" s="25"/>
      <c r="V2887" s="25"/>
      <c r="W2887" s="25"/>
      <c r="X2887" s="25"/>
      <c r="Y2887" s="25"/>
      <c r="Z2887" s="25"/>
    </row>
    <row r="2888" spans="1:26" ht="52.5" customHeight="1" x14ac:dyDescent="0.25">
      <c r="A2888" s="25" t="str">
        <f ca="1">IFERROR(__xludf.DUMMYFUNCTION("""COMPUTED_VALUE"""),"Ambie186")</f>
        <v>Ambie186</v>
      </c>
      <c r="B2888" s="25"/>
      <c r="C2888" s="55"/>
      <c r="D2888" s="25" t="str">
        <f ca="1">IFERROR(__xludf.DUMMYFUNCTION("""COMPUTED_VALUE"""),"Ambiente")</f>
        <v>Ambiente</v>
      </c>
      <c r="E2888" s="25"/>
      <c r="F2888" s="25"/>
      <c r="G2888" s="25"/>
      <c r="H2888" s="25"/>
      <c r="I2888" s="25"/>
      <c r="J2888" s="55"/>
      <c r="K2888" s="25" t="str">
        <f ca="1">IFERROR(__xludf.DUMMYFUNCTION("""COMPUTED_VALUE"""),"Definir fecha")</f>
        <v>Definir fecha</v>
      </c>
      <c r="L2888" s="62"/>
      <c r="M2888" s="25"/>
      <c r="N2888" s="25"/>
      <c r="O2888" s="25">
        <f t="shared" si="0"/>
        <v>0</v>
      </c>
      <c r="P2888" s="25" t="str">
        <f t="shared" si="2"/>
        <v/>
      </c>
      <c r="Q2888" s="25" t="str">
        <f ca="1">IFERROR(__xludf.DUMMYFUNCTION("""COMPUTED_VALUE"""),"Sin defenir")</f>
        <v>Sin defenir</v>
      </c>
      <c r="R2888" s="25"/>
      <c r="S2888" s="55"/>
      <c r="T2888" s="56"/>
      <c r="U2888" s="25"/>
      <c r="V2888" s="25"/>
      <c r="W2888" s="25"/>
      <c r="X2888" s="25"/>
      <c r="Y2888" s="25"/>
      <c r="Z2888" s="25"/>
    </row>
    <row r="2889" spans="1:26" ht="52.5" customHeight="1" x14ac:dyDescent="0.25">
      <c r="A2889" s="25" t="str">
        <f ca="1">IFERROR(__xludf.DUMMYFUNCTION("""COMPUTED_VALUE"""),"Ambie187")</f>
        <v>Ambie187</v>
      </c>
      <c r="B2889" s="25"/>
      <c r="C2889" s="55"/>
      <c r="D2889" s="25" t="str">
        <f ca="1">IFERROR(__xludf.DUMMYFUNCTION("""COMPUTED_VALUE"""),"Ambiente")</f>
        <v>Ambiente</v>
      </c>
      <c r="E2889" s="25"/>
      <c r="F2889" s="25"/>
      <c r="G2889" s="25"/>
      <c r="H2889" s="25"/>
      <c r="I2889" s="25"/>
      <c r="J2889" s="55"/>
      <c r="K2889" s="25" t="str">
        <f ca="1">IFERROR(__xludf.DUMMYFUNCTION("""COMPUTED_VALUE"""),"Definir fecha")</f>
        <v>Definir fecha</v>
      </c>
      <c r="L2889" s="62"/>
      <c r="M2889" s="25"/>
      <c r="N2889" s="25"/>
      <c r="O2889" s="25">
        <f t="shared" si="0"/>
        <v>0</v>
      </c>
      <c r="P2889" s="25" t="str">
        <f t="shared" si="2"/>
        <v/>
      </c>
      <c r="Q2889" s="25" t="str">
        <f ca="1">IFERROR(__xludf.DUMMYFUNCTION("""COMPUTED_VALUE"""),"Sin defenir")</f>
        <v>Sin defenir</v>
      </c>
      <c r="R2889" s="25"/>
      <c r="S2889" s="55"/>
      <c r="T2889" s="56"/>
      <c r="U2889" s="25"/>
      <c r="V2889" s="25"/>
      <c r="W2889" s="25"/>
      <c r="X2889" s="25"/>
      <c r="Y2889" s="25"/>
      <c r="Z2889" s="25"/>
    </row>
    <row r="2890" spans="1:26" ht="52.5" customHeight="1" x14ac:dyDescent="0.25">
      <c r="A2890" s="25" t="str">
        <f ca="1">IFERROR(__xludf.DUMMYFUNCTION("""COMPUTED_VALUE"""),"Ambie188")</f>
        <v>Ambie188</v>
      </c>
      <c r="B2890" s="25"/>
      <c r="C2890" s="55"/>
      <c r="D2890" s="25" t="str">
        <f ca="1">IFERROR(__xludf.DUMMYFUNCTION("""COMPUTED_VALUE"""),"Ambiente")</f>
        <v>Ambiente</v>
      </c>
      <c r="E2890" s="25"/>
      <c r="F2890" s="25"/>
      <c r="G2890" s="25"/>
      <c r="H2890" s="25"/>
      <c r="I2890" s="25"/>
      <c r="J2890" s="55"/>
      <c r="K2890" s="25" t="str">
        <f ca="1">IFERROR(__xludf.DUMMYFUNCTION("""COMPUTED_VALUE"""),"Definir fecha")</f>
        <v>Definir fecha</v>
      </c>
      <c r="L2890" s="62"/>
      <c r="M2890" s="25"/>
      <c r="N2890" s="25"/>
      <c r="O2890" s="25">
        <f t="shared" si="0"/>
        <v>0</v>
      </c>
      <c r="P2890" s="25" t="str">
        <f t="shared" si="2"/>
        <v/>
      </c>
      <c r="Q2890" s="25" t="str">
        <f ca="1">IFERROR(__xludf.DUMMYFUNCTION("""COMPUTED_VALUE"""),"Sin defenir")</f>
        <v>Sin defenir</v>
      </c>
      <c r="R2890" s="25"/>
      <c r="S2890" s="55"/>
      <c r="T2890" s="56"/>
      <c r="U2890" s="25"/>
      <c r="V2890" s="25"/>
      <c r="W2890" s="25"/>
      <c r="X2890" s="25"/>
      <c r="Y2890" s="25"/>
      <c r="Z2890" s="25"/>
    </row>
    <row r="2891" spans="1:26" ht="52.5" customHeight="1" x14ac:dyDescent="0.25">
      <c r="A2891" s="25" t="str">
        <f ca="1">IFERROR(__xludf.DUMMYFUNCTION("""COMPUTED_VALUE"""),"Ambie189")</f>
        <v>Ambie189</v>
      </c>
      <c r="B2891" s="25"/>
      <c r="C2891" s="55"/>
      <c r="D2891" s="25" t="str">
        <f ca="1">IFERROR(__xludf.DUMMYFUNCTION("""COMPUTED_VALUE"""),"Ambiente")</f>
        <v>Ambiente</v>
      </c>
      <c r="E2891" s="25"/>
      <c r="F2891" s="25"/>
      <c r="G2891" s="25"/>
      <c r="H2891" s="25"/>
      <c r="I2891" s="25"/>
      <c r="J2891" s="55"/>
      <c r="K2891" s="25" t="str">
        <f ca="1">IFERROR(__xludf.DUMMYFUNCTION("""COMPUTED_VALUE"""),"Definir fecha")</f>
        <v>Definir fecha</v>
      </c>
      <c r="L2891" s="62"/>
      <c r="M2891" s="25"/>
      <c r="N2891" s="25"/>
      <c r="O2891" s="25">
        <f t="shared" si="0"/>
        <v>0</v>
      </c>
      <c r="P2891" s="25" t="str">
        <f t="shared" si="2"/>
        <v/>
      </c>
      <c r="Q2891" s="25" t="str">
        <f ca="1">IFERROR(__xludf.DUMMYFUNCTION("""COMPUTED_VALUE"""),"Sin defenir")</f>
        <v>Sin defenir</v>
      </c>
      <c r="R2891" s="25"/>
      <c r="S2891" s="55"/>
      <c r="T2891" s="56"/>
      <c r="U2891" s="25"/>
      <c r="V2891" s="25"/>
      <c r="W2891" s="25"/>
      <c r="X2891" s="25"/>
      <c r="Y2891" s="25"/>
      <c r="Z2891" s="25"/>
    </row>
    <row r="2892" spans="1:26" ht="52.5" customHeight="1" x14ac:dyDescent="0.25">
      <c r="A2892" s="25" t="str">
        <f ca="1">IFERROR(__xludf.DUMMYFUNCTION("""COMPUTED_VALUE"""),"Ambie190")</f>
        <v>Ambie190</v>
      </c>
      <c r="B2892" s="25"/>
      <c r="C2892" s="55"/>
      <c r="D2892" s="25" t="str">
        <f ca="1">IFERROR(__xludf.DUMMYFUNCTION("""COMPUTED_VALUE"""),"Ambiente")</f>
        <v>Ambiente</v>
      </c>
      <c r="E2892" s="25"/>
      <c r="F2892" s="25"/>
      <c r="G2892" s="25"/>
      <c r="H2892" s="25"/>
      <c r="I2892" s="25"/>
      <c r="J2892" s="55"/>
      <c r="K2892" s="25" t="str">
        <f ca="1">IFERROR(__xludf.DUMMYFUNCTION("""COMPUTED_VALUE"""),"Definir fecha")</f>
        <v>Definir fecha</v>
      </c>
      <c r="L2892" s="62"/>
      <c r="M2892" s="25"/>
      <c r="N2892" s="25"/>
      <c r="O2892" s="25">
        <f t="shared" si="0"/>
        <v>0</v>
      </c>
      <c r="P2892" s="25" t="str">
        <f t="shared" si="2"/>
        <v/>
      </c>
      <c r="Q2892" s="25" t="str">
        <f ca="1">IFERROR(__xludf.DUMMYFUNCTION("""COMPUTED_VALUE"""),"Sin defenir")</f>
        <v>Sin defenir</v>
      </c>
      <c r="R2892" s="25"/>
      <c r="S2892" s="55"/>
      <c r="T2892" s="56"/>
      <c r="U2892" s="25"/>
      <c r="V2892" s="25"/>
      <c r="W2892" s="25"/>
      <c r="X2892" s="25"/>
      <c r="Y2892" s="25"/>
      <c r="Z2892" s="25"/>
    </row>
    <row r="2893" spans="1:26" ht="52.5" customHeight="1" x14ac:dyDescent="0.25">
      <c r="A2893" s="25" t="str">
        <f ca="1">IFERROR(__xludf.DUMMYFUNCTION("""COMPUTED_VALUE"""),"Ambie191")</f>
        <v>Ambie191</v>
      </c>
      <c r="B2893" s="25"/>
      <c r="C2893" s="55"/>
      <c r="D2893" s="25" t="str">
        <f ca="1">IFERROR(__xludf.DUMMYFUNCTION("""COMPUTED_VALUE"""),"Ambiente")</f>
        <v>Ambiente</v>
      </c>
      <c r="E2893" s="25"/>
      <c r="F2893" s="25"/>
      <c r="G2893" s="25"/>
      <c r="H2893" s="25"/>
      <c r="I2893" s="25"/>
      <c r="J2893" s="55"/>
      <c r="K2893" s="25" t="str">
        <f ca="1">IFERROR(__xludf.DUMMYFUNCTION("""COMPUTED_VALUE"""),"Definir fecha")</f>
        <v>Definir fecha</v>
      </c>
      <c r="L2893" s="62"/>
      <c r="M2893" s="25"/>
      <c r="N2893" s="25"/>
      <c r="O2893" s="25">
        <f t="shared" si="0"/>
        <v>0</v>
      </c>
      <c r="P2893" s="25" t="str">
        <f t="shared" si="2"/>
        <v/>
      </c>
      <c r="Q2893" s="25" t="str">
        <f ca="1">IFERROR(__xludf.DUMMYFUNCTION("""COMPUTED_VALUE"""),"Sin defenir")</f>
        <v>Sin defenir</v>
      </c>
      <c r="R2893" s="25"/>
      <c r="S2893" s="55"/>
      <c r="T2893" s="56"/>
      <c r="U2893" s="25"/>
      <c r="V2893" s="25"/>
      <c r="W2893" s="25"/>
      <c r="X2893" s="25"/>
      <c r="Y2893" s="25"/>
      <c r="Z2893" s="25"/>
    </row>
    <row r="2894" spans="1:26" ht="52.5" customHeight="1" x14ac:dyDescent="0.25">
      <c r="A2894" s="25" t="str">
        <f ca="1">IFERROR(__xludf.DUMMYFUNCTION("""COMPUTED_VALUE"""),"Ambie192")</f>
        <v>Ambie192</v>
      </c>
      <c r="B2894" s="25"/>
      <c r="C2894" s="55"/>
      <c r="D2894" s="25" t="str">
        <f ca="1">IFERROR(__xludf.DUMMYFUNCTION("""COMPUTED_VALUE"""),"Ambiente")</f>
        <v>Ambiente</v>
      </c>
      <c r="E2894" s="25"/>
      <c r="F2894" s="25"/>
      <c r="G2894" s="25"/>
      <c r="H2894" s="25"/>
      <c r="I2894" s="25"/>
      <c r="J2894" s="55"/>
      <c r="K2894" s="25" t="str">
        <f ca="1">IFERROR(__xludf.DUMMYFUNCTION("""COMPUTED_VALUE"""),"Definir fecha")</f>
        <v>Definir fecha</v>
      </c>
      <c r="L2894" s="62"/>
      <c r="M2894" s="25"/>
      <c r="N2894" s="25"/>
      <c r="O2894" s="25">
        <f t="shared" si="0"/>
        <v>0</v>
      </c>
      <c r="P2894" s="25" t="str">
        <f t="shared" si="2"/>
        <v/>
      </c>
      <c r="Q2894" s="25" t="str">
        <f ca="1">IFERROR(__xludf.DUMMYFUNCTION("""COMPUTED_VALUE"""),"Sin defenir")</f>
        <v>Sin defenir</v>
      </c>
      <c r="R2894" s="25"/>
      <c r="S2894" s="55"/>
      <c r="T2894" s="56"/>
      <c r="U2894" s="25"/>
      <c r="V2894" s="25"/>
      <c r="W2894" s="25"/>
      <c r="X2894" s="25"/>
      <c r="Y2894" s="25"/>
      <c r="Z2894" s="25"/>
    </row>
    <row r="2895" spans="1:26" ht="52.5" customHeight="1" x14ac:dyDescent="0.25">
      <c r="A2895" s="25" t="str">
        <f ca="1">IFERROR(__xludf.DUMMYFUNCTION("""COMPUTED_VALUE"""),"Ambie193")</f>
        <v>Ambie193</v>
      </c>
      <c r="B2895" s="25"/>
      <c r="C2895" s="55"/>
      <c r="D2895" s="25" t="str">
        <f ca="1">IFERROR(__xludf.DUMMYFUNCTION("""COMPUTED_VALUE"""),"Ambiente")</f>
        <v>Ambiente</v>
      </c>
      <c r="E2895" s="25"/>
      <c r="F2895" s="25"/>
      <c r="G2895" s="25"/>
      <c r="H2895" s="25"/>
      <c r="I2895" s="25"/>
      <c r="J2895" s="55"/>
      <c r="K2895" s="25" t="str">
        <f ca="1">IFERROR(__xludf.DUMMYFUNCTION("""COMPUTED_VALUE"""),"Definir fecha")</f>
        <v>Definir fecha</v>
      </c>
      <c r="L2895" s="62"/>
      <c r="M2895" s="25"/>
      <c r="N2895" s="25"/>
      <c r="O2895" s="25">
        <f t="shared" si="0"/>
        <v>0</v>
      </c>
      <c r="P2895" s="25" t="str">
        <f t="shared" si="2"/>
        <v/>
      </c>
      <c r="Q2895" s="25" t="str">
        <f ca="1">IFERROR(__xludf.DUMMYFUNCTION("""COMPUTED_VALUE"""),"Sin defenir")</f>
        <v>Sin defenir</v>
      </c>
      <c r="R2895" s="25"/>
      <c r="S2895" s="55"/>
      <c r="T2895" s="56"/>
      <c r="U2895" s="25"/>
      <c r="V2895" s="25"/>
      <c r="W2895" s="25"/>
      <c r="X2895" s="25"/>
      <c r="Y2895" s="25"/>
      <c r="Z2895" s="25"/>
    </row>
    <row r="2896" spans="1:26" ht="52.5" customHeight="1" x14ac:dyDescent="0.25">
      <c r="A2896" s="25" t="str">
        <f ca="1">IFERROR(__xludf.DUMMYFUNCTION("""COMPUTED_VALUE"""),"Ambie194")</f>
        <v>Ambie194</v>
      </c>
      <c r="B2896" s="25"/>
      <c r="C2896" s="55"/>
      <c r="D2896" s="25" t="str">
        <f ca="1">IFERROR(__xludf.DUMMYFUNCTION("""COMPUTED_VALUE"""),"Ambiente")</f>
        <v>Ambiente</v>
      </c>
      <c r="E2896" s="25"/>
      <c r="F2896" s="25"/>
      <c r="G2896" s="25"/>
      <c r="H2896" s="25"/>
      <c r="I2896" s="25"/>
      <c r="J2896" s="55"/>
      <c r="K2896" s="25" t="str">
        <f ca="1">IFERROR(__xludf.DUMMYFUNCTION("""COMPUTED_VALUE"""),"Definir fecha")</f>
        <v>Definir fecha</v>
      </c>
      <c r="L2896" s="62"/>
      <c r="M2896" s="25"/>
      <c r="N2896" s="25"/>
      <c r="O2896" s="25">
        <f t="shared" si="0"/>
        <v>0</v>
      </c>
      <c r="P2896" s="25" t="str">
        <f t="shared" si="2"/>
        <v/>
      </c>
      <c r="Q2896" s="25" t="str">
        <f ca="1">IFERROR(__xludf.DUMMYFUNCTION("""COMPUTED_VALUE"""),"Sin defenir")</f>
        <v>Sin defenir</v>
      </c>
      <c r="R2896" s="25"/>
      <c r="S2896" s="55"/>
      <c r="T2896" s="56"/>
      <c r="U2896" s="25"/>
      <c r="V2896" s="25"/>
      <c r="W2896" s="25"/>
      <c r="X2896" s="25"/>
      <c r="Y2896" s="25"/>
      <c r="Z2896" s="25"/>
    </row>
    <row r="2897" spans="1:26" ht="52.5" customHeight="1" x14ac:dyDescent="0.25">
      <c r="A2897" s="25" t="str">
        <f ca="1">IFERROR(__xludf.DUMMYFUNCTION("""COMPUTED_VALUE"""),"Ambie195")</f>
        <v>Ambie195</v>
      </c>
      <c r="B2897" s="25"/>
      <c r="C2897" s="55"/>
      <c r="D2897" s="25" t="str">
        <f ca="1">IFERROR(__xludf.DUMMYFUNCTION("""COMPUTED_VALUE"""),"Ambiente")</f>
        <v>Ambiente</v>
      </c>
      <c r="E2897" s="25"/>
      <c r="F2897" s="25"/>
      <c r="G2897" s="25"/>
      <c r="H2897" s="25"/>
      <c r="I2897" s="25"/>
      <c r="J2897" s="55"/>
      <c r="K2897" s="25" t="str">
        <f ca="1">IFERROR(__xludf.DUMMYFUNCTION("""COMPUTED_VALUE"""),"Definir fecha")</f>
        <v>Definir fecha</v>
      </c>
      <c r="L2897" s="62"/>
      <c r="M2897" s="25"/>
      <c r="N2897" s="25"/>
      <c r="O2897" s="25">
        <f t="shared" si="0"/>
        <v>0</v>
      </c>
      <c r="P2897" s="25" t="str">
        <f t="shared" si="2"/>
        <v/>
      </c>
      <c r="Q2897" s="25" t="str">
        <f ca="1">IFERROR(__xludf.DUMMYFUNCTION("""COMPUTED_VALUE"""),"Sin defenir")</f>
        <v>Sin defenir</v>
      </c>
      <c r="R2897" s="25"/>
      <c r="S2897" s="55"/>
      <c r="T2897" s="56"/>
      <c r="U2897" s="25"/>
      <c r="V2897" s="25"/>
      <c r="W2897" s="25"/>
      <c r="X2897" s="25"/>
      <c r="Y2897" s="25"/>
      <c r="Z2897" s="25"/>
    </row>
    <row r="2898" spans="1:26" ht="52.5" customHeight="1" x14ac:dyDescent="0.25">
      <c r="A2898" s="25" t="str">
        <f ca="1">IFERROR(__xludf.DUMMYFUNCTION("""COMPUTED_VALUE"""),"Ambie196")</f>
        <v>Ambie196</v>
      </c>
      <c r="B2898" s="25"/>
      <c r="C2898" s="55"/>
      <c r="D2898" s="25" t="str">
        <f ca="1">IFERROR(__xludf.DUMMYFUNCTION("""COMPUTED_VALUE"""),"Ambiente")</f>
        <v>Ambiente</v>
      </c>
      <c r="E2898" s="25"/>
      <c r="F2898" s="25"/>
      <c r="G2898" s="25"/>
      <c r="H2898" s="25"/>
      <c r="I2898" s="25"/>
      <c r="J2898" s="55"/>
      <c r="K2898" s="25" t="str">
        <f ca="1">IFERROR(__xludf.DUMMYFUNCTION("""COMPUTED_VALUE"""),"Definir fecha")</f>
        <v>Definir fecha</v>
      </c>
      <c r="L2898" s="62"/>
      <c r="M2898" s="25"/>
      <c r="N2898" s="25"/>
      <c r="O2898" s="25">
        <f t="shared" si="0"/>
        <v>0</v>
      </c>
      <c r="P2898" s="25" t="str">
        <f t="shared" si="2"/>
        <v/>
      </c>
      <c r="Q2898" s="25" t="str">
        <f ca="1">IFERROR(__xludf.DUMMYFUNCTION("""COMPUTED_VALUE"""),"Sin defenir")</f>
        <v>Sin defenir</v>
      </c>
      <c r="R2898" s="25"/>
      <c r="S2898" s="55"/>
      <c r="T2898" s="56"/>
      <c r="U2898" s="25"/>
      <c r="V2898" s="25"/>
      <c r="W2898" s="25"/>
      <c r="X2898" s="25"/>
      <c r="Y2898" s="25"/>
      <c r="Z2898" s="25"/>
    </row>
    <row r="2899" spans="1:26" ht="52.5" customHeight="1" x14ac:dyDescent="0.25">
      <c r="A2899" s="25" t="str">
        <f ca="1">IFERROR(__xludf.DUMMYFUNCTION("""COMPUTED_VALUE"""),"Ambie197")</f>
        <v>Ambie197</v>
      </c>
      <c r="B2899" s="25"/>
      <c r="C2899" s="55"/>
      <c r="D2899" s="25" t="str">
        <f ca="1">IFERROR(__xludf.DUMMYFUNCTION("""COMPUTED_VALUE"""),"Ambiente")</f>
        <v>Ambiente</v>
      </c>
      <c r="E2899" s="25"/>
      <c r="F2899" s="25"/>
      <c r="G2899" s="25"/>
      <c r="H2899" s="25"/>
      <c r="I2899" s="25"/>
      <c r="J2899" s="55"/>
      <c r="K2899" s="25" t="str">
        <f ca="1">IFERROR(__xludf.DUMMYFUNCTION("""COMPUTED_VALUE"""),"Definir fecha")</f>
        <v>Definir fecha</v>
      </c>
      <c r="L2899" s="62"/>
      <c r="M2899" s="25"/>
      <c r="N2899" s="25"/>
      <c r="O2899" s="25">
        <f t="shared" si="0"/>
        <v>0</v>
      </c>
      <c r="P2899" s="25" t="str">
        <f t="shared" si="2"/>
        <v/>
      </c>
      <c r="Q2899" s="25" t="str">
        <f ca="1">IFERROR(__xludf.DUMMYFUNCTION("""COMPUTED_VALUE"""),"Sin defenir")</f>
        <v>Sin defenir</v>
      </c>
      <c r="R2899" s="25"/>
      <c r="S2899" s="55"/>
      <c r="T2899" s="56"/>
      <c r="U2899" s="25"/>
      <c r="V2899" s="25"/>
      <c r="W2899" s="25"/>
      <c r="X2899" s="25"/>
      <c r="Y2899" s="25"/>
      <c r="Z2899" s="25"/>
    </row>
    <row r="2900" spans="1:26" ht="52.5" customHeight="1" x14ac:dyDescent="0.25">
      <c r="A2900" s="25" t="str">
        <f ca="1">IFERROR(__xludf.DUMMYFUNCTION("""COMPUTED_VALUE"""),"Ambie198")</f>
        <v>Ambie198</v>
      </c>
      <c r="B2900" s="25"/>
      <c r="C2900" s="55"/>
      <c r="D2900" s="25" t="str">
        <f ca="1">IFERROR(__xludf.DUMMYFUNCTION("""COMPUTED_VALUE"""),"Ambiente")</f>
        <v>Ambiente</v>
      </c>
      <c r="E2900" s="25"/>
      <c r="F2900" s="25"/>
      <c r="G2900" s="25"/>
      <c r="H2900" s="25"/>
      <c r="I2900" s="25"/>
      <c r="J2900" s="55"/>
      <c r="K2900" s="25" t="str">
        <f ca="1">IFERROR(__xludf.DUMMYFUNCTION("""COMPUTED_VALUE"""),"Definir fecha")</f>
        <v>Definir fecha</v>
      </c>
      <c r="L2900" s="62"/>
      <c r="M2900" s="25"/>
      <c r="N2900" s="25"/>
      <c r="O2900" s="25">
        <f t="shared" si="0"/>
        <v>0</v>
      </c>
      <c r="P2900" s="25" t="str">
        <f t="shared" si="2"/>
        <v/>
      </c>
      <c r="Q2900" s="25" t="str">
        <f ca="1">IFERROR(__xludf.DUMMYFUNCTION("""COMPUTED_VALUE"""),"Sin defenir")</f>
        <v>Sin defenir</v>
      </c>
      <c r="R2900" s="25"/>
      <c r="S2900" s="55"/>
      <c r="T2900" s="56"/>
      <c r="U2900" s="25"/>
      <c r="V2900" s="25"/>
      <c r="W2900" s="25"/>
      <c r="X2900" s="25"/>
      <c r="Y2900" s="25"/>
      <c r="Z2900" s="25"/>
    </row>
    <row r="2901" spans="1:26" ht="52.5" customHeight="1" x14ac:dyDescent="0.25">
      <c r="A2901" s="25" t="str">
        <f ca="1">IFERROR(__xludf.DUMMYFUNCTION("""COMPUTED_VALUE"""),"Ambie199")</f>
        <v>Ambie199</v>
      </c>
      <c r="B2901" s="25"/>
      <c r="C2901" s="55"/>
      <c r="D2901" s="25" t="str">
        <f ca="1">IFERROR(__xludf.DUMMYFUNCTION("""COMPUTED_VALUE"""),"Ambiente")</f>
        <v>Ambiente</v>
      </c>
      <c r="E2901" s="25"/>
      <c r="F2901" s="25"/>
      <c r="G2901" s="25"/>
      <c r="H2901" s="25"/>
      <c r="I2901" s="25"/>
      <c r="J2901" s="55"/>
      <c r="K2901" s="25" t="str">
        <f ca="1">IFERROR(__xludf.DUMMYFUNCTION("""COMPUTED_VALUE"""),"Definir fecha")</f>
        <v>Definir fecha</v>
      </c>
      <c r="L2901" s="62"/>
      <c r="M2901" s="25"/>
      <c r="N2901" s="25"/>
      <c r="O2901" s="25">
        <f t="shared" si="0"/>
        <v>0</v>
      </c>
      <c r="P2901" s="25" t="str">
        <f t="shared" si="2"/>
        <v/>
      </c>
      <c r="Q2901" s="25" t="str">
        <f ca="1">IFERROR(__xludf.DUMMYFUNCTION("""COMPUTED_VALUE"""),"Sin defenir")</f>
        <v>Sin defenir</v>
      </c>
      <c r="R2901" s="25"/>
      <c r="S2901" s="55"/>
      <c r="T2901" s="56"/>
      <c r="U2901" s="25"/>
      <c r="V2901" s="25"/>
      <c r="W2901" s="25"/>
      <c r="X2901" s="25"/>
      <c r="Y2901" s="25"/>
      <c r="Z2901" s="25"/>
    </row>
    <row r="2902" spans="1:26" ht="52.5" customHeight="1" x14ac:dyDescent="0.25">
      <c r="A2902" s="25" t="str">
        <f ca="1">IFERROR(__xludf.DUMMYFUNCTION("""COMPUTED_VALUE"""),"Ambie200")</f>
        <v>Ambie200</v>
      </c>
      <c r="B2902" s="25"/>
      <c r="C2902" s="55"/>
      <c r="D2902" s="25" t="str">
        <f ca="1">IFERROR(__xludf.DUMMYFUNCTION("""COMPUTED_VALUE"""),"Ambiente")</f>
        <v>Ambiente</v>
      </c>
      <c r="E2902" s="25"/>
      <c r="F2902" s="25"/>
      <c r="G2902" s="25"/>
      <c r="H2902" s="25"/>
      <c r="I2902" s="25"/>
      <c r="J2902" s="55"/>
      <c r="K2902" s="25" t="str">
        <f ca="1">IFERROR(__xludf.DUMMYFUNCTION("""COMPUTED_VALUE"""),"Definir fecha")</f>
        <v>Definir fecha</v>
      </c>
      <c r="L2902" s="62"/>
      <c r="M2902" s="25"/>
      <c r="N2902" s="25"/>
      <c r="O2902" s="25">
        <f t="shared" si="0"/>
        <v>0</v>
      </c>
      <c r="P2902" s="25" t="str">
        <f t="shared" si="2"/>
        <v/>
      </c>
      <c r="Q2902" s="25" t="str">
        <f ca="1">IFERROR(__xludf.DUMMYFUNCTION("""COMPUTED_VALUE"""),"Sin defenir")</f>
        <v>Sin defenir</v>
      </c>
      <c r="R2902" s="25"/>
      <c r="S2902" s="55"/>
      <c r="T2902" s="56"/>
      <c r="U2902" s="25"/>
      <c r="V2902" s="25"/>
      <c r="W2902" s="25"/>
      <c r="X2902" s="25"/>
      <c r="Y2902" s="25"/>
      <c r="Z2902" s="25"/>
    </row>
    <row r="2903" spans="1:26" ht="52.5" customHeight="1" x14ac:dyDescent="0.25">
      <c r="A2903" s="25" t="str">
        <f ca="1">IFERROR(__xludf.DUMMYFUNCTION("""COMPUTED_VALUE"""),"Ambie201")</f>
        <v>Ambie201</v>
      </c>
      <c r="B2903" s="25"/>
      <c r="C2903" s="55"/>
      <c r="D2903" s="25" t="str">
        <f ca="1">IFERROR(__xludf.DUMMYFUNCTION("""COMPUTED_VALUE"""),"Ambiente")</f>
        <v>Ambiente</v>
      </c>
      <c r="E2903" s="25"/>
      <c r="F2903" s="25"/>
      <c r="G2903" s="25"/>
      <c r="H2903" s="25"/>
      <c r="I2903" s="25"/>
      <c r="J2903" s="55"/>
      <c r="K2903" s="25" t="str">
        <f ca="1">IFERROR(__xludf.DUMMYFUNCTION("""COMPUTED_VALUE"""),"Definir fecha")</f>
        <v>Definir fecha</v>
      </c>
      <c r="L2903" s="62"/>
      <c r="M2903" s="25"/>
      <c r="N2903" s="25"/>
      <c r="O2903" s="25">
        <f t="shared" si="0"/>
        <v>0</v>
      </c>
      <c r="P2903" s="25" t="str">
        <f t="shared" si="2"/>
        <v/>
      </c>
      <c r="Q2903" s="25" t="str">
        <f ca="1">IFERROR(__xludf.DUMMYFUNCTION("""COMPUTED_VALUE"""),"Sin defenir")</f>
        <v>Sin defenir</v>
      </c>
      <c r="R2903" s="25"/>
      <c r="S2903" s="55"/>
      <c r="T2903" s="56"/>
      <c r="U2903" s="25"/>
      <c r="V2903" s="25"/>
      <c r="W2903" s="25"/>
      <c r="X2903" s="25"/>
      <c r="Y2903" s="25"/>
      <c r="Z2903" s="25"/>
    </row>
    <row r="2904" spans="1:26" ht="52.5" customHeight="1" x14ac:dyDescent="0.25">
      <c r="A2904" s="25" t="str">
        <f ca="1">IFERROR(__xludf.DUMMYFUNCTION("""COMPUTED_VALUE"""),"Ambie202")</f>
        <v>Ambie202</v>
      </c>
      <c r="B2904" s="25"/>
      <c r="C2904" s="55"/>
      <c r="D2904" s="25" t="str">
        <f ca="1">IFERROR(__xludf.DUMMYFUNCTION("""COMPUTED_VALUE"""),"Ambiente")</f>
        <v>Ambiente</v>
      </c>
      <c r="E2904" s="25"/>
      <c r="F2904" s="25"/>
      <c r="G2904" s="25"/>
      <c r="H2904" s="25"/>
      <c r="I2904" s="25"/>
      <c r="J2904" s="55"/>
      <c r="K2904" s="25" t="str">
        <f ca="1">IFERROR(__xludf.DUMMYFUNCTION("""COMPUTED_VALUE"""),"Definir fecha")</f>
        <v>Definir fecha</v>
      </c>
      <c r="L2904" s="62"/>
      <c r="M2904" s="25"/>
      <c r="N2904" s="25"/>
      <c r="O2904" s="25">
        <f t="shared" si="0"/>
        <v>0</v>
      </c>
      <c r="P2904" s="25" t="str">
        <f t="shared" si="2"/>
        <v/>
      </c>
      <c r="Q2904" s="25" t="str">
        <f ca="1">IFERROR(__xludf.DUMMYFUNCTION("""COMPUTED_VALUE"""),"Sin defenir")</f>
        <v>Sin defenir</v>
      </c>
      <c r="R2904" s="25"/>
      <c r="S2904" s="55"/>
      <c r="T2904" s="56"/>
      <c r="U2904" s="25"/>
      <c r="V2904" s="25"/>
      <c r="W2904" s="25"/>
      <c r="X2904" s="25"/>
      <c r="Y2904" s="25"/>
      <c r="Z2904" s="25"/>
    </row>
    <row r="2905" spans="1:26" ht="52.5" customHeight="1" x14ac:dyDescent="0.25">
      <c r="A2905" s="25" t="str">
        <f ca="1">IFERROR(__xludf.DUMMYFUNCTION("""COMPUTED_VALUE"""),"Ambie203")</f>
        <v>Ambie203</v>
      </c>
      <c r="B2905" s="25"/>
      <c r="C2905" s="55"/>
      <c r="D2905" s="25" t="str">
        <f ca="1">IFERROR(__xludf.DUMMYFUNCTION("""COMPUTED_VALUE"""),"Ambiente")</f>
        <v>Ambiente</v>
      </c>
      <c r="E2905" s="25"/>
      <c r="F2905" s="25"/>
      <c r="G2905" s="25"/>
      <c r="H2905" s="25"/>
      <c r="I2905" s="25"/>
      <c r="J2905" s="55"/>
      <c r="K2905" s="25" t="str">
        <f ca="1">IFERROR(__xludf.DUMMYFUNCTION("""COMPUTED_VALUE"""),"Definir fecha")</f>
        <v>Definir fecha</v>
      </c>
      <c r="L2905" s="62"/>
      <c r="M2905" s="25"/>
      <c r="N2905" s="25"/>
      <c r="O2905" s="25">
        <f t="shared" si="0"/>
        <v>0</v>
      </c>
      <c r="P2905" s="25" t="str">
        <f t="shared" si="2"/>
        <v/>
      </c>
      <c r="Q2905" s="25" t="str">
        <f ca="1">IFERROR(__xludf.DUMMYFUNCTION("""COMPUTED_VALUE"""),"Sin defenir")</f>
        <v>Sin defenir</v>
      </c>
      <c r="R2905" s="25"/>
      <c r="S2905" s="55"/>
      <c r="T2905" s="56"/>
      <c r="U2905" s="25"/>
      <c r="V2905" s="25"/>
      <c r="W2905" s="25"/>
      <c r="X2905" s="25"/>
      <c r="Y2905" s="25"/>
      <c r="Z2905" s="25"/>
    </row>
    <row r="2906" spans="1:26" ht="52.5" customHeight="1" x14ac:dyDescent="0.25">
      <c r="A2906" s="25" t="str">
        <f ca="1">IFERROR(__xludf.DUMMYFUNCTION("""COMPUTED_VALUE"""),"Ambie204")</f>
        <v>Ambie204</v>
      </c>
      <c r="B2906" s="25"/>
      <c r="C2906" s="55"/>
      <c r="D2906" s="25" t="str">
        <f ca="1">IFERROR(__xludf.DUMMYFUNCTION("""COMPUTED_VALUE"""),"Ambiente")</f>
        <v>Ambiente</v>
      </c>
      <c r="E2906" s="25"/>
      <c r="F2906" s="25"/>
      <c r="G2906" s="25"/>
      <c r="H2906" s="25"/>
      <c r="I2906" s="25"/>
      <c r="J2906" s="55"/>
      <c r="K2906" s="25" t="str">
        <f ca="1">IFERROR(__xludf.DUMMYFUNCTION("""COMPUTED_VALUE"""),"Definir fecha")</f>
        <v>Definir fecha</v>
      </c>
      <c r="L2906" s="62"/>
      <c r="M2906" s="25"/>
      <c r="N2906" s="25"/>
      <c r="O2906" s="25">
        <f t="shared" si="0"/>
        <v>0</v>
      </c>
      <c r="P2906" s="25" t="str">
        <f t="shared" si="2"/>
        <v/>
      </c>
      <c r="Q2906" s="25" t="str">
        <f ca="1">IFERROR(__xludf.DUMMYFUNCTION("""COMPUTED_VALUE"""),"Sin defenir")</f>
        <v>Sin defenir</v>
      </c>
      <c r="R2906" s="25"/>
      <c r="S2906" s="55"/>
      <c r="T2906" s="56"/>
      <c r="U2906" s="25"/>
      <c r="V2906" s="25"/>
      <c r="W2906" s="25"/>
      <c r="X2906" s="25"/>
      <c r="Y2906" s="25"/>
      <c r="Z2906" s="25"/>
    </row>
    <row r="2907" spans="1:26" ht="52.5" customHeight="1" x14ac:dyDescent="0.25">
      <c r="A2907" s="25" t="str">
        <f ca="1">IFERROR(__xludf.DUMMYFUNCTION("""COMPUTED_VALUE"""),"Ambie205")</f>
        <v>Ambie205</v>
      </c>
      <c r="B2907" s="25"/>
      <c r="C2907" s="55"/>
      <c r="D2907" s="25" t="str">
        <f ca="1">IFERROR(__xludf.DUMMYFUNCTION("""COMPUTED_VALUE"""),"Ambiente")</f>
        <v>Ambiente</v>
      </c>
      <c r="E2907" s="25"/>
      <c r="F2907" s="25"/>
      <c r="G2907" s="25"/>
      <c r="H2907" s="25"/>
      <c r="I2907" s="25"/>
      <c r="J2907" s="55"/>
      <c r="K2907" s="25" t="str">
        <f ca="1">IFERROR(__xludf.DUMMYFUNCTION("""COMPUTED_VALUE"""),"Definir fecha")</f>
        <v>Definir fecha</v>
      </c>
      <c r="L2907" s="62"/>
      <c r="M2907" s="25"/>
      <c r="N2907" s="25"/>
      <c r="O2907" s="25">
        <f t="shared" si="0"/>
        <v>0</v>
      </c>
      <c r="P2907" s="25" t="str">
        <f t="shared" si="2"/>
        <v/>
      </c>
      <c r="Q2907" s="25" t="str">
        <f ca="1">IFERROR(__xludf.DUMMYFUNCTION("""COMPUTED_VALUE"""),"Sin defenir")</f>
        <v>Sin defenir</v>
      </c>
      <c r="R2907" s="25"/>
      <c r="S2907" s="55"/>
      <c r="T2907" s="56"/>
      <c r="U2907" s="25"/>
      <c r="V2907" s="25"/>
      <c r="W2907" s="25"/>
      <c r="X2907" s="25"/>
      <c r="Y2907" s="25"/>
      <c r="Z2907" s="25"/>
    </row>
    <row r="2908" spans="1:26" ht="52.5" customHeight="1" x14ac:dyDescent="0.25">
      <c r="A2908" s="25" t="str">
        <f ca="1">IFERROR(__xludf.DUMMYFUNCTION("""COMPUTED_VALUE"""),"Ambie206")</f>
        <v>Ambie206</v>
      </c>
      <c r="B2908" s="25"/>
      <c r="C2908" s="55"/>
      <c r="D2908" s="25" t="str">
        <f ca="1">IFERROR(__xludf.DUMMYFUNCTION("""COMPUTED_VALUE"""),"Ambiente")</f>
        <v>Ambiente</v>
      </c>
      <c r="E2908" s="25"/>
      <c r="F2908" s="25"/>
      <c r="G2908" s="25"/>
      <c r="H2908" s="25"/>
      <c r="I2908" s="25"/>
      <c r="J2908" s="55"/>
      <c r="K2908" s="25" t="str">
        <f ca="1">IFERROR(__xludf.DUMMYFUNCTION("""COMPUTED_VALUE"""),"Definir fecha")</f>
        <v>Definir fecha</v>
      </c>
      <c r="L2908" s="62"/>
      <c r="M2908" s="25"/>
      <c r="N2908" s="25"/>
      <c r="O2908" s="25">
        <f t="shared" si="0"/>
        <v>0</v>
      </c>
      <c r="P2908" s="25" t="str">
        <f t="shared" si="2"/>
        <v/>
      </c>
      <c r="Q2908" s="25" t="str">
        <f ca="1">IFERROR(__xludf.DUMMYFUNCTION("""COMPUTED_VALUE"""),"Sin defenir")</f>
        <v>Sin defenir</v>
      </c>
      <c r="R2908" s="25"/>
      <c r="S2908" s="55"/>
      <c r="T2908" s="56"/>
      <c r="U2908" s="25"/>
      <c r="V2908" s="25"/>
      <c r="W2908" s="25"/>
      <c r="X2908" s="25"/>
      <c r="Y2908" s="25"/>
      <c r="Z2908" s="25"/>
    </row>
    <row r="2909" spans="1:26" ht="52.5" customHeight="1" x14ac:dyDescent="0.25">
      <c r="A2909" s="25" t="str">
        <f ca="1">IFERROR(__xludf.DUMMYFUNCTION("""COMPUTED_VALUE"""),"Ambie207")</f>
        <v>Ambie207</v>
      </c>
      <c r="B2909" s="25"/>
      <c r="C2909" s="55"/>
      <c r="D2909" s="25" t="str">
        <f ca="1">IFERROR(__xludf.DUMMYFUNCTION("""COMPUTED_VALUE"""),"Ambiente")</f>
        <v>Ambiente</v>
      </c>
      <c r="E2909" s="25"/>
      <c r="F2909" s="25"/>
      <c r="G2909" s="25"/>
      <c r="H2909" s="25"/>
      <c r="I2909" s="25"/>
      <c r="J2909" s="55"/>
      <c r="K2909" s="25" t="str">
        <f ca="1">IFERROR(__xludf.DUMMYFUNCTION("""COMPUTED_VALUE"""),"Definir fecha")</f>
        <v>Definir fecha</v>
      </c>
      <c r="L2909" s="62"/>
      <c r="M2909" s="25"/>
      <c r="N2909" s="25"/>
      <c r="O2909" s="25">
        <f t="shared" si="0"/>
        <v>0</v>
      </c>
      <c r="P2909" s="25" t="str">
        <f t="shared" si="2"/>
        <v/>
      </c>
      <c r="Q2909" s="25" t="str">
        <f ca="1">IFERROR(__xludf.DUMMYFUNCTION("""COMPUTED_VALUE"""),"Sin defenir")</f>
        <v>Sin defenir</v>
      </c>
      <c r="R2909" s="25"/>
      <c r="S2909" s="55"/>
      <c r="T2909" s="56"/>
      <c r="U2909" s="25"/>
      <c r="V2909" s="25"/>
      <c r="W2909" s="25"/>
      <c r="X2909" s="25"/>
      <c r="Y2909" s="25"/>
      <c r="Z2909" s="25"/>
    </row>
    <row r="2910" spans="1:26" ht="52.5" customHeight="1" x14ac:dyDescent="0.25">
      <c r="A2910" s="25" t="str">
        <f ca="1">IFERROR(__xludf.DUMMYFUNCTION("""COMPUTED_VALUE"""),"Ambie208")</f>
        <v>Ambie208</v>
      </c>
      <c r="B2910" s="25"/>
      <c r="C2910" s="55"/>
      <c r="D2910" s="25" t="str">
        <f ca="1">IFERROR(__xludf.DUMMYFUNCTION("""COMPUTED_VALUE"""),"Ambiente")</f>
        <v>Ambiente</v>
      </c>
      <c r="E2910" s="25"/>
      <c r="F2910" s="25"/>
      <c r="G2910" s="25"/>
      <c r="H2910" s="25"/>
      <c r="I2910" s="25"/>
      <c r="J2910" s="55"/>
      <c r="K2910" s="25" t="str">
        <f ca="1">IFERROR(__xludf.DUMMYFUNCTION("""COMPUTED_VALUE"""),"Definir fecha")</f>
        <v>Definir fecha</v>
      </c>
      <c r="L2910" s="62"/>
      <c r="M2910" s="25"/>
      <c r="N2910" s="25"/>
      <c r="O2910" s="25">
        <f t="shared" si="0"/>
        <v>0</v>
      </c>
      <c r="P2910" s="25" t="str">
        <f t="shared" si="2"/>
        <v/>
      </c>
      <c r="Q2910" s="25" t="str">
        <f ca="1">IFERROR(__xludf.DUMMYFUNCTION("""COMPUTED_VALUE"""),"Sin defenir")</f>
        <v>Sin defenir</v>
      </c>
      <c r="R2910" s="25"/>
      <c r="S2910" s="55"/>
      <c r="T2910" s="56"/>
      <c r="U2910" s="25"/>
      <c r="V2910" s="25"/>
      <c r="W2910" s="25"/>
      <c r="X2910" s="25"/>
      <c r="Y2910" s="25"/>
      <c r="Z2910" s="25"/>
    </row>
    <row r="2911" spans="1:26" ht="52.5" customHeight="1" x14ac:dyDescent="0.25">
      <c r="A2911" s="25" t="str">
        <f ca="1">IFERROR(__xludf.DUMMYFUNCTION("""COMPUTED_VALUE"""),"Ambie209")</f>
        <v>Ambie209</v>
      </c>
      <c r="B2911" s="25"/>
      <c r="C2911" s="55"/>
      <c r="D2911" s="25" t="str">
        <f ca="1">IFERROR(__xludf.DUMMYFUNCTION("""COMPUTED_VALUE"""),"Ambiente")</f>
        <v>Ambiente</v>
      </c>
      <c r="E2911" s="25"/>
      <c r="F2911" s="25"/>
      <c r="G2911" s="25"/>
      <c r="H2911" s="25"/>
      <c r="I2911" s="25"/>
      <c r="J2911" s="55"/>
      <c r="K2911" s="25" t="str">
        <f ca="1">IFERROR(__xludf.DUMMYFUNCTION("""COMPUTED_VALUE"""),"Definir fecha")</f>
        <v>Definir fecha</v>
      </c>
      <c r="L2911" s="62"/>
      <c r="M2911" s="25"/>
      <c r="N2911" s="25"/>
      <c r="O2911" s="25">
        <f t="shared" si="0"/>
        <v>0</v>
      </c>
      <c r="P2911" s="25" t="str">
        <f t="shared" si="2"/>
        <v/>
      </c>
      <c r="Q2911" s="25" t="str">
        <f ca="1">IFERROR(__xludf.DUMMYFUNCTION("""COMPUTED_VALUE"""),"Sin defenir")</f>
        <v>Sin defenir</v>
      </c>
      <c r="R2911" s="25"/>
      <c r="S2911" s="55"/>
      <c r="T2911" s="56"/>
      <c r="U2911" s="25"/>
      <c r="V2911" s="25"/>
      <c r="W2911" s="25"/>
      <c r="X2911" s="25"/>
      <c r="Y2911" s="25"/>
      <c r="Z2911" s="25"/>
    </row>
    <row r="2912" spans="1:26" ht="52.5" customHeight="1" x14ac:dyDescent="0.25">
      <c r="A2912" s="25" t="str">
        <f ca="1">IFERROR(__xludf.DUMMYFUNCTION("""COMPUTED_VALUE"""),"Ambie210")</f>
        <v>Ambie210</v>
      </c>
      <c r="B2912" s="25"/>
      <c r="C2912" s="55"/>
      <c r="D2912" s="25" t="str">
        <f ca="1">IFERROR(__xludf.DUMMYFUNCTION("""COMPUTED_VALUE"""),"Ambiente")</f>
        <v>Ambiente</v>
      </c>
      <c r="E2912" s="25"/>
      <c r="F2912" s="25"/>
      <c r="G2912" s="25"/>
      <c r="H2912" s="25"/>
      <c r="I2912" s="25"/>
      <c r="J2912" s="55"/>
      <c r="K2912" s="25" t="str">
        <f ca="1">IFERROR(__xludf.DUMMYFUNCTION("""COMPUTED_VALUE"""),"Definir fecha")</f>
        <v>Definir fecha</v>
      </c>
      <c r="L2912" s="62"/>
      <c r="M2912" s="25"/>
      <c r="N2912" s="25"/>
      <c r="O2912" s="25">
        <f t="shared" si="0"/>
        <v>0</v>
      </c>
      <c r="P2912" s="25" t="str">
        <f t="shared" si="2"/>
        <v/>
      </c>
      <c r="Q2912" s="25" t="str">
        <f ca="1">IFERROR(__xludf.DUMMYFUNCTION("""COMPUTED_VALUE"""),"Sin defenir")</f>
        <v>Sin defenir</v>
      </c>
      <c r="R2912" s="25"/>
      <c r="S2912" s="55"/>
      <c r="T2912" s="56"/>
      <c r="U2912" s="25"/>
      <c r="V2912" s="25"/>
      <c r="W2912" s="25"/>
      <c r="X2912" s="25"/>
      <c r="Y2912" s="25"/>
      <c r="Z2912" s="25"/>
    </row>
    <row r="2913" spans="1:26" ht="52.5" customHeight="1" x14ac:dyDescent="0.25">
      <c r="A2913" s="25" t="str">
        <f ca="1">IFERROR(__xludf.DUMMYFUNCTION("""COMPUTED_VALUE"""),"Ambie211")</f>
        <v>Ambie211</v>
      </c>
      <c r="B2913" s="25"/>
      <c r="C2913" s="55"/>
      <c r="D2913" s="25" t="str">
        <f ca="1">IFERROR(__xludf.DUMMYFUNCTION("""COMPUTED_VALUE"""),"Ambiente")</f>
        <v>Ambiente</v>
      </c>
      <c r="E2913" s="25"/>
      <c r="F2913" s="25"/>
      <c r="G2913" s="25"/>
      <c r="H2913" s="25"/>
      <c r="I2913" s="25"/>
      <c r="J2913" s="55"/>
      <c r="K2913" s="25" t="str">
        <f ca="1">IFERROR(__xludf.DUMMYFUNCTION("""COMPUTED_VALUE"""),"Definir fecha")</f>
        <v>Definir fecha</v>
      </c>
      <c r="L2913" s="62"/>
      <c r="M2913" s="25"/>
      <c r="N2913" s="25"/>
      <c r="O2913" s="25">
        <f t="shared" si="0"/>
        <v>0</v>
      </c>
      <c r="P2913" s="25" t="str">
        <f t="shared" si="2"/>
        <v/>
      </c>
      <c r="Q2913" s="25" t="str">
        <f ca="1">IFERROR(__xludf.DUMMYFUNCTION("""COMPUTED_VALUE"""),"Sin defenir")</f>
        <v>Sin defenir</v>
      </c>
      <c r="R2913" s="25"/>
      <c r="S2913" s="55"/>
      <c r="T2913" s="56"/>
      <c r="U2913" s="25"/>
      <c r="V2913" s="25"/>
      <c r="W2913" s="25"/>
      <c r="X2913" s="25"/>
      <c r="Y2913" s="25"/>
      <c r="Z2913" s="25"/>
    </row>
    <row r="2914" spans="1:26" ht="52.5" customHeight="1" x14ac:dyDescent="0.25">
      <c r="A2914" s="25" t="str">
        <f ca="1">IFERROR(__xludf.DUMMYFUNCTION("""COMPUTED_VALUE"""),"Ambie212")</f>
        <v>Ambie212</v>
      </c>
      <c r="B2914" s="25"/>
      <c r="C2914" s="55"/>
      <c r="D2914" s="25" t="str">
        <f ca="1">IFERROR(__xludf.DUMMYFUNCTION("""COMPUTED_VALUE"""),"Ambiente")</f>
        <v>Ambiente</v>
      </c>
      <c r="E2914" s="25"/>
      <c r="F2914" s="25"/>
      <c r="G2914" s="25"/>
      <c r="H2914" s="25"/>
      <c r="I2914" s="25"/>
      <c r="J2914" s="55"/>
      <c r="K2914" s="25" t="str">
        <f ca="1">IFERROR(__xludf.DUMMYFUNCTION("""COMPUTED_VALUE"""),"Definir fecha")</f>
        <v>Definir fecha</v>
      </c>
      <c r="L2914" s="62"/>
      <c r="M2914" s="25"/>
      <c r="N2914" s="25"/>
      <c r="O2914" s="25">
        <f t="shared" si="0"/>
        <v>0</v>
      </c>
      <c r="P2914" s="25" t="str">
        <f t="shared" si="2"/>
        <v/>
      </c>
      <c r="Q2914" s="25" t="str">
        <f ca="1">IFERROR(__xludf.DUMMYFUNCTION("""COMPUTED_VALUE"""),"Sin defenir")</f>
        <v>Sin defenir</v>
      </c>
      <c r="R2914" s="25"/>
      <c r="S2914" s="55"/>
      <c r="T2914" s="56"/>
      <c r="U2914" s="25"/>
      <c r="V2914" s="25"/>
      <c r="W2914" s="25"/>
      <c r="X2914" s="25"/>
      <c r="Y2914" s="25"/>
      <c r="Z2914" s="25"/>
    </row>
    <row r="2915" spans="1:26" ht="52.5" customHeight="1" x14ac:dyDescent="0.25">
      <c r="A2915" s="25" t="str">
        <f ca="1">IFERROR(__xludf.DUMMYFUNCTION("""COMPUTED_VALUE"""),"Ambie213")</f>
        <v>Ambie213</v>
      </c>
      <c r="B2915" s="25"/>
      <c r="C2915" s="55"/>
      <c r="D2915" s="25" t="str">
        <f ca="1">IFERROR(__xludf.DUMMYFUNCTION("""COMPUTED_VALUE"""),"Ambiente")</f>
        <v>Ambiente</v>
      </c>
      <c r="E2915" s="25"/>
      <c r="F2915" s="25"/>
      <c r="G2915" s="25"/>
      <c r="H2915" s="25"/>
      <c r="I2915" s="25"/>
      <c r="J2915" s="55"/>
      <c r="K2915" s="25" t="str">
        <f ca="1">IFERROR(__xludf.DUMMYFUNCTION("""COMPUTED_VALUE"""),"Definir fecha")</f>
        <v>Definir fecha</v>
      </c>
      <c r="L2915" s="62"/>
      <c r="M2915" s="25"/>
      <c r="N2915" s="25"/>
      <c r="O2915" s="25">
        <f t="shared" si="0"/>
        <v>0</v>
      </c>
      <c r="P2915" s="25" t="str">
        <f t="shared" si="2"/>
        <v/>
      </c>
      <c r="Q2915" s="25" t="str">
        <f ca="1">IFERROR(__xludf.DUMMYFUNCTION("""COMPUTED_VALUE"""),"Sin defenir")</f>
        <v>Sin defenir</v>
      </c>
      <c r="R2915" s="25"/>
      <c r="S2915" s="55"/>
      <c r="T2915" s="56"/>
      <c r="U2915" s="25"/>
      <c r="V2915" s="25"/>
      <c r="W2915" s="25"/>
      <c r="X2915" s="25"/>
      <c r="Y2915" s="25"/>
      <c r="Z2915" s="25"/>
    </row>
    <row r="2916" spans="1:26" ht="52.5" customHeight="1" x14ac:dyDescent="0.25">
      <c r="A2916" s="25" t="str">
        <f ca="1">IFERROR(__xludf.DUMMYFUNCTION("""COMPUTED_VALUE"""),"Ambie214")</f>
        <v>Ambie214</v>
      </c>
      <c r="B2916" s="25"/>
      <c r="C2916" s="55"/>
      <c r="D2916" s="25" t="str">
        <f ca="1">IFERROR(__xludf.DUMMYFUNCTION("""COMPUTED_VALUE"""),"Ambiente")</f>
        <v>Ambiente</v>
      </c>
      <c r="E2916" s="25"/>
      <c r="F2916" s="25"/>
      <c r="G2916" s="25"/>
      <c r="H2916" s="25"/>
      <c r="I2916" s="25"/>
      <c r="J2916" s="55"/>
      <c r="K2916" s="25" t="str">
        <f ca="1">IFERROR(__xludf.DUMMYFUNCTION("""COMPUTED_VALUE"""),"Definir fecha")</f>
        <v>Definir fecha</v>
      </c>
      <c r="L2916" s="62"/>
      <c r="M2916" s="25"/>
      <c r="N2916" s="25"/>
      <c r="O2916" s="25">
        <f t="shared" si="0"/>
        <v>0</v>
      </c>
      <c r="P2916" s="25" t="str">
        <f t="shared" si="2"/>
        <v/>
      </c>
      <c r="Q2916" s="25" t="str">
        <f ca="1">IFERROR(__xludf.DUMMYFUNCTION("""COMPUTED_VALUE"""),"Sin defenir")</f>
        <v>Sin defenir</v>
      </c>
      <c r="R2916" s="25"/>
      <c r="S2916" s="55"/>
      <c r="T2916" s="56"/>
      <c r="U2916" s="25"/>
      <c r="V2916" s="25"/>
      <c r="W2916" s="25"/>
      <c r="X2916" s="25"/>
      <c r="Y2916" s="25"/>
      <c r="Z2916" s="25"/>
    </row>
    <row r="2917" spans="1:26" ht="52.5" customHeight="1" x14ac:dyDescent="0.25">
      <c r="A2917" s="25" t="str">
        <f ca="1">IFERROR(__xludf.DUMMYFUNCTION("""COMPUTED_VALUE"""),"Ambie215")</f>
        <v>Ambie215</v>
      </c>
      <c r="B2917" s="25"/>
      <c r="C2917" s="55"/>
      <c r="D2917" s="25" t="str">
        <f ca="1">IFERROR(__xludf.DUMMYFUNCTION("""COMPUTED_VALUE"""),"Ambiente")</f>
        <v>Ambiente</v>
      </c>
      <c r="E2917" s="25"/>
      <c r="F2917" s="25"/>
      <c r="G2917" s="25"/>
      <c r="H2917" s="25"/>
      <c r="I2917" s="25"/>
      <c r="J2917" s="55"/>
      <c r="K2917" s="25" t="str">
        <f ca="1">IFERROR(__xludf.DUMMYFUNCTION("""COMPUTED_VALUE"""),"Definir fecha")</f>
        <v>Definir fecha</v>
      </c>
      <c r="L2917" s="62"/>
      <c r="M2917" s="25"/>
      <c r="N2917" s="25"/>
      <c r="O2917" s="25">
        <f t="shared" si="0"/>
        <v>0</v>
      </c>
      <c r="P2917" s="25" t="str">
        <f t="shared" si="2"/>
        <v/>
      </c>
      <c r="Q2917" s="25" t="str">
        <f ca="1">IFERROR(__xludf.DUMMYFUNCTION("""COMPUTED_VALUE"""),"Sin defenir")</f>
        <v>Sin defenir</v>
      </c>
      <c r="R2917" s="25"/>
      <c r="S2917" s="55"/>
      <c r="T2917" s="56"/>
      <c r="U2917" s="25"/>
      <c r="V2917" s="25"/>
      <c r="W2917" s="25"/>
      <c r="X2917" s="25"/>
      <c r="Y2917" s="25"/>
      <c r="Z2917" s="25"/>
    </row>
    <row r="2918" spans="1:26" ht="52.5" customHeight="1" x14ac:dyDescent="0.25">
      <c r="A2918" s="25" t="str">
        <f ca="1">IFERROR(__xludf.DUMMYFUNCTION("""COMPUTED_VALUE"""),"Ambie216")</f>
        <v>Ambie216</v>
      </c>
      <c r="B2918" s="25"/>
      <c r="C2918" s="55"/>
      <c r="D2918" s="25" t="str">
        <f ca="1">IFERROR(__xludf.DUMMYFUNCTION("""COMPUTED_VALUE"""),"Ambiente")</f>
        <v>Ambiente</v>
      </c>
      <c r="E2918" s="25"/>
      <c r="F2918" s="25"/>
      <c r="G2918" s="25"/>
      <c r="H2918" s="25"/>
      <c r="I2918" s="25"/>
      <c r="J2918" s="55"/>
      <c r="K2918" s="25" t="str">
        <f ca="1">IFERROR(__xludf.DUMMYFUNCTION("""COMPUTED_VALUE"""),"Definir fecha")</f>
        <v>Definir fecha</v>
      </c>
      <c r="L2918" s="62"/>
      <c r="M2918" s="25"/>
      <c r="N2918" s="25"/>
      <c r="O2918" s="25">
        <f t="shared" si="0"/>
        <v>0</v>
      </c>
      <c r="P2918" s="25" t="str">
        <f t="shared" si="2"/>
        <v/>
      </c>
      <c r="Q2918" s="25" t="str">
        <f ca="1">IFERROR(__xludf.DUMMYFUNCTION("""COMPUTED_VALUE"""),"Sin defenir")</f>
        <v>Sin defenir</v>
      </c>
      <c r="R2918" s="25"/>
      <c r="S2918" s="55"/>
      <c r="T2918" s="56"/>
      <c r="U2918" s="25"/>
      <c r="V2918" s="25"/>
      <c r="W2918" s="25"/>
      <c r="X2918" s="25"/>
      <c r="Y2918" s="25"/>
      <c r="Z2918" s="25"/>
    </row>
    <row r="2919" spans="1:26" ht="52.5" customHeight="1" x14ac:dyDescent="0.25">
      <c r="A2919" s="25" t="str">
        <f ca="1">IFERROR(__xludf.DUMMYFUNCTION("""COMPUTED_VALUE"""),"Ambie217")</f>
        <v>Ambie217</v>
      </c>
      <c r="B2919" s="25"/>
      <c r="C2919" s="55"/>
      <c r="D2919" s="25" t="str">
        <f ca="1">IFERROR(__xludf.DUMMYFUNCTION("""COMPUTED_VALUE"""),"Ambiente")</f>
        <v>Ambiente</v>
      </c>
      <c r="E2919" s="25"/>
      <c r="F2919" s="25"/>
      <c r="G2919" s="25"/>
      <c r="H2919" s="25"/>
      <c r="I2919" s="25"/>
      <c r="J2919" s="55"/>
      <c r="K2919" s="25" t="str">
        <f ca="1">IFERROR(__xludf.DUMMYFUNCTION("""COMPUTED_VALUE"""),"Definir fecha")</f>
        <v>Definir fecha</v>
      </c>
      <c r="L2919" s="62"/>
      <c r="M2919" s="25"/>
      <c r="N2919" s="25"/>
      <c r="O2919" s="25">
        <f t="shared" si="0"/>
        <v>0</v>
      </c>
      <c r="P2919" s="25" t="str">
        <f t="shared" si="2"/>
        <v/>
      </c>
      <c r="Q2919" s="25" t="str">
        <f ca="1">IFERROR(__xludf.DUMMYFUNCTION("""COMPUTED_VALUE"""),"Sin defenir")</f>
        <v>Sin defenir</v>
      </c>
      <c r="R2919" s="25"/>
      <c r="S2919" s="55"/>
      <c r="T2919" s="56"/>
      <c r="U2919" s="25"/>
      <c r="V2919" s="25"/>
      <c r="W2919" s="25"/>
      <c r="X2919" s="25"/>
      <c r="Y2919" s="25"/>
      <c r="Z2919" s="25"/>
    </row>
    <row r="2920" spans="1:26" ht="52.5" customHeight="1" x14ac:dyDescent="0.25">
      <c r="A2920" s="25" t="str">
        <f ca="1">IFERROR(__xludf.DUMMYFUNCTION("""COMPUTED_VALUE"""),"Ambie218")</f>
        <v>Ambie218</v>
      </c>
      <c r="B2920" s="25"/>
      <c r="C2920" s="55"/>
      <c r="D2920" s="25" t="str">
        <f ca="1">IFERROR(__xludf.DUMMYFUNCTION("""COMPUTED_VALUE"""),"Ambiente")</f>
        <v>Ambiente</v>
      </c>
      <c r="E2920" s="25"/>
      <c r="F2920" s="25"/>
      <c r="G2920" s="25"/>
      <c r="H2920" s="25"/>
      <c r="I2920" s="25"/>
      <c r="J2920" s="55"/>
      <c r="K2920" s="25" t="str">
        <f ca="1">IFERROR(__xludf.DUMMYFUNCTION("""COMPUTED_VALUE"""),"Definir fecha")</f>
        <v>Definir fecha</v>
      </c>
      <c r="L2920" s="62"/>
      <c r="M2920" s="25"/>
      <c r="N2920" s="25"/>
      <c r="O2920" s="25">
        <f t="shared" si="0"/>
        <v>0</v>
      </c>
      <c r="P2920" s="25" t="str">
        <f t="shared" si="2"/>
        <v/>
      </c>
      <c r="Q2920" s="25" t="str">
        <f ca="1">IFERROR(__xludf.DUMMYFUNCTION("""COMPUTED_VALUE"""),"Sin defenir")</f>
        <v>Sin defenir</v>
      </c>
      <c r="R2920" s="25"/>
      <c r="S2920" s="55"/>
      <c r="T2920" s="56"/>
      <c r="U2920" s="25"/>
      <c r="V2920" s="25"/>
      <c r="W2920" s="25"/>
      <c r="X2920" s="25"/>
      <c r="Y2920" s="25"/>
      <c r="Z2920" s="25"/>
    </row>
    <row r="2921" spans="1:26" ht="52.5" customHeight="1" x14ac:dyDescent="0.25">
      <c r="A2921" s="25" t="str">
        <f ca="1">IFERROR(__xludf.DUMMYFUNCTION("""COMPUTED_VALUE"""),"Ambie219")</f>
        <v>Ambie219</v>
      </c>
      <c r="B2921" s="25"/>
      <c r="C2921" s="55"/>
      <c r="D2921" s="25" t="str">
        <f ca="1">IFERROR(__xludf.DUMMYFUNCTION("""COMPUTED_VALUE"""),"Ambiente")</f>
        <v>Ambiente</v>
      </c>
      <c r="E2921" s="25"/>
      <c r="F2921" s="25"/>
      <c r="G2921" s="25"/>
      <c r="H2921" s="25"/>
      <c r="I2921" s="25"/>
      <c r="J2921" s="55"/>
      <c r="K2921" s="25" t="str">
        <f ca="1">IFERROR(__xludf.DUMMYFUNCTION("""COMPUTED_VALUE"""),"Definir fecha")</f>
        <v>Definir fecha</v>
      </c>
      <c r="L2921" s="62"/>
      <c r="M2921" s="25"/>
      <c r="N2921" s="25"/>
      <c r="O2921" s="25">
        <f t="shared" si="0"/>
        <v>0</v>
      </c>
      <c r="P2921" s="25" t="str">
        <f t="shared" si="2"/>
        <v/>
      </c>
      <c r="Q2921" s="25" t="str">
        <f ca="1">IFERROR(__xludf.DUMMYFUNCTION("""COMPUTED_VALUE"""),"Sin defenir")</f>
        <v>Sin defenir</v>
      </c>
      <c r="R2921" s="25"/>
      <c r="S2921" s="55"/>
      <c r="T2921" s="56"/>
      <c r="U2921" s="25"/>
      <c r="V2921" s="25"/>
      <c r="W2921" s="25"/>
      <c r="X2921" s="25"/>
      <c r="Y2921" s="25"/>
      <c r="Z2921" s="25"/>
    </row>
    <row r="2922" spans="1:26" ht="52.5" customHeight="1" x14ac:dyDescent="0.25">
      <c r="A2922" s="25" t="str">
        <f ca="1">IFERROR(__xludf.DUMMYFUNCTION("""COMPUTED_VALUE"""),"Ambie220")</f>
        <v>Ambie220</v>
      </c>
      <c r="B2922" s="25"/>
      <c r="C2922" s="55"/>
      <c r="D2922" s="25" t="str">
        <f ca="1">IFERROR(__xludf.DUMMYFUNCTION("""COMPUTED_VALUE"""),"Ambiente")</f>
        <v>Ambiente</v>
      </c>
      <c r="E2922" s="25"/>
      <c r="F2922" s="25"/>
      <c r="G2922" s="25"/>
      <c r="H2922" s="25"/>
      <c r="I2922" s="25"/>
      <c r="J2922" s="55"/>
      <c r="K2922" s="25" t="str">
        <f ca="1">IFERROR(__xludf.DUMMYFUNCTION("""COMPUTED_VALUE"""),"Definir fecha")</f>
        <v>Definir fecha</v>
      </c>
      <c r="L2922" s="62"/>
      <c r="M2922" s="25"/>
      <c r="N2922" s="25"/>
      <c r="O2922" s="25">
        <f t="shared" si="0"/>
        <v>0</v>
      </c>
      <c r="P2922" s="25" t="str">
        <f t="shared" si="2"/>
        <v/>
      </c>
      <c r="Q2922" s="25" t="str">
        <f ca="1">IFERROR(__xludf.DUMMYFUNCTION("""COMPUTED_VALUE"""),"Sin defenir")</f>
        <v>Sin defenir</v>
      </c>
      <c r="R2922" s="25"/>
      <c r="S2922" s="55"/>
      <c r="T2922" s="56"/>
      <c r="U2922" s="25"/>
      <c r="V2922" s="25"/>
      <c r="W2922" s="25"/>
      <c r="X2922" s="25"/>
      <c r="Y2922" s="25"/>
      <c r="Z2922" s="25"/>
    </row>
    <row r="2923" spans="1:26" ht="52.5" customHeight="1" x14ac:dyDescent="0.25">
      <c r="A2923" s="25" t="str">
        <f ca="1">IFERROR(__xludf.DUMMYFUNCTION("""COMPUTED_VALUE"""),"Ambie221")</f>
        <v>Ambie221</v>
      </c>
      <c r="B2923" s="25"/>
      <c r="C2923" s="55"/>
      <c r="D2923" s="25" t="str">
        <f ca="1">IFERROR(__xludf.DUMMYFUNCTION("""COMPUTED_VALUE"""),"Ambiente")</f>
        <v>Ambiente</v>
      </c>
      <c r="E2923" s="25"/>
      <c r="F2923" s="25"/>
      <c r="G2923" s="25"/>
      <c r="H2923" s="25"/>
      <c r="I2923" s="25"/>
      <c r="J2923" s="55"/>
      <c r="K2923" s="25" t="str">
        <f ca="1">IFERROR(__xludf.DUMMYFUNCTION("""COMPUTED_VALUE"""),"Definir fecha")</f>
        <v>Definir fecha</v>
      </c>
      <c r="L2923" s="62"/>
      <c r="M2923" s="25"/>
      <c r="N2923" s="25"/>
      <c r="O2923" s="25">
        <f t="shared" si="0"/>
        <v>0</v>
      </c>
      <c r="P2923" s="25" t="str">
        <f t="shared" si="2"/>
        <v/>
      </c>
      <c r="Q2923" s="25" t="str">
        <f ca="1">IFERROR(__xludf.DUMMYFUNCTION("""COMPUTED_VALUE"""),"Sin defenir")</f>
        <v>Sin defenir</v>
      </c>
      <c r="R2923" s="25"/>
      <c r="S2923" s="55"/>
      <c r="T2923" s="56"/>
      <c r="U2923" s="25"/>
      <c r="V2923" s="25"/>
      <c r="W2923" s="25"/>
      <c r="X2923" s="25"/>
      <c r="Y2923" s="25"/>
      <c r="Z2923" s="25"/>
    </row>
    <row r="2924" spans="1:26" ht="52.5" customHeight="1" x14ac:dyDescent="0.25">
      <c r="A2924" s="25" t="str">
        <f ca="1">IFERROR(__xludf.DUMMYFUNCTION("""COMPUTED_VALUE"""),"Ambie222")</f>
        <v>Ambie222</v>
      </c>
      <c r="B2924" s="25"/>
      <c r="C2924" s="55"/>
      <c r="D2924" s="25" t="str">
        <f ca="1">IFERROR(__xludf.DUMMYFUNCTION("""COMPUTED_VALUE"""),"Ambiente")</f>
        <v>Ambiente</v>
      </c>
      <c r="E2924" s="25"/>
      <c r="F2924" s="25"/>
      <c r="G2924" s="25"/>
      <c r="H2924" s="25"/>
      <c r="I2924" s="25"/>
      <c r="J2924" s="55"/>
      <c r="K2924" s="25" t="str">
        <f ca="1">IFERROR(__xludf.DUMMYFUNCTION("""COMPUTED_VALUE"""),"Definir fecha")</f>
        <v>Definir fecha</v>
      </c>
      <c r="L2924" s="62"/>
      <c r="M2924" s="25"/>
      <c r="N2924" s="25"/>
      <c r="O2924" s="25">
        <f t="shared" si="0"/>
        <v>0</v>
      </c>
      <c r="P2924" s="25" t="str">
        <f t="shared" si="2"/>
        <v/>
      </c>
      <c r="Q2924" s="25" t="str">
        <f ca="1">IFERROR(__xludf.DUMMYFUNCTION("""COMPUTED_VALUE"""),"Sin defenir")</f>
        <v>Sin defenir</v>
      </c>
      <c r="R2924" s="25"/>
      <c r="S2924" s="55"/>
      <c r="T2924" s="56"/>
      <c r="U2924" s="25"/>
      <c r="V2924" s="25"/>
      <c r="W2924" s="25"/>
      <c r="X2924" s="25"/>
      <c r="Y2924" s="25"/>
      <c r="Z2924" s="25"/>
    </row>
    <row r="2925" spans="1:26" ht="52.5" customHeight="1" x14ac:dyDescent="0.25">
      <c r="A2925" s="25" t="str">
        <f ca="1">IFERROR(__xludf.DUMMYFUNCTION("""COMPUTED_VALUE"""),"Ambie223")</f>
        <v>Ambie223</v>
      </c>
      <c r="B2925" s="25"/>
      <c r="C2925" s="55"/>
      <c r="D2925" s="25" t="str">
        <f ca="1">IFERROR(__xludf.DUMMYFUNCTION("""COMPUTED_VALUE"""),"Ambiente")</f>
        <v>Ambiente</v>
      </c>
      <c r="E2925" s="25"/>
      <c r="F2925" s="25"/>
      <c r="G2925" s="25"/>
      <c r="H2925" s="25"/>
      <c r="I2925" s="25"/>
      <c r="J2925" s="55"/>
      <c r="K2925" s="25" t="str">
        <f ca="1">IFERROR(__xludf.DUMMYFUNCTION("""COMPUTED_VALUE"""),"Definir fecha")</f>
        <v>Definir fecha</v>
      </c>
      <c r="L2925" s="62"/>
      <c r="M2925" s="25"/>
      <c r="N2925" s="25"/>
      <c r="O2925" s="25">
        <f t="shared" si="0"/>
        <v>0</v>
      </c>
      <c r="P2925" s="25" t="str">
        <f t="shared" si="2"/>
        <v/>
      </c>
      <c r="Q2925" s="25" t="str">
        <f ca="1">IFERROR(__xludf.DUMMYFUNCTION("""COMPUTED_VALUE"""),"Sin defenir")</f>
        <v>Sin defenir</v>
      </c>
      <c r="R2925" s="25"/>
      <c r="S2925" s="55"/>
      <c r="T2925" s="56"/>
      <c r="U2925" s="25"/>
      <c r="V2925" s="25"/>
      <c r="W2925" s="25"/>
      <c r="X2925" s="25"/>
      <c r="Y2925" s="25"/>
      <c r="Z2925" s="25"/>
    </row>
    <row r="2926" spans="1:26" ht="52.5" customHeight="1" x14ac:dyDescent="0.25">
      <c r="A2926" s="25" t="str">
        <f ca="1">IFERROR(__xludf.DUMMYFUNCTION("""COMPUTED_VALUE"""),"Ambie224")</f>
        <v>Ambie224</v>
      </c>
      <c r="B2926" s="25"/>
      <c r="C2926" s="55"/>
      <c r="D2926" s="25" t="str">
        <f ca="1">IFERROR(__xludf.DUMMYFUNCTION("""COMPUTED_VALUE"""),"Ambiente")</f>
        <v>Ambiente</v>
      </c>
      <c r="E2926" s="25"/>
      <c r="F2926" s="25"/>
      <c r="G2926" s="25"/>
      <c r="H2926" s="25"/>
      <c r="I2926" s="25"/>
      <c r="J2926" s="55"/>
      <c r="K2926" s="25" t="str">
        <f ca="1">IFERROR(__xludf.DUMMYFUNCTION("""COMPUTED_VALUE"""),"Definir fecha")</f>
        <v>Definir fecha</v>
      </c>
      <c r="L2926" s="62"/>
      <c r="M2926" s="25"/>
      <c r="N2926" s="25"/>
      <c r="O2926" s="25">
        <f t="shared" si="0"/>
        <v>0</v>
      </c>
      <c r="P2926" s="25" t="str">
        <f t="shared" si="2"/>
        <v/>
      </c>
      <c r="Q2926" s="25" t="str">
        <f ca="1">IFERROR(__xludf.DUMMYFUNCTION("""COMPUTED_VALUE"""),"Sin defenir")</f>
        <v>Sin defenir</v>
      </c>
      <c r="R2926" s="25"/>
      <c r="S2926" s="55"/>
      <c r="T2926" s="56"/>
      <c r="U2926" s="25"/>
      <c r="V2926" s="25"/>
      <c r="W2926" s="25"/>
      <c r="X2926" s="25"/>
      <c r="Y2926" s="25"/>
      <c r="Z2926" s="25"/>
    </row>
    <row r="2927" spans="1:26" ht="52.5" customHeight="1" x14ac:dyDescent="0.25">
      <c r="A2927" s="25" t="str">
        <f ca="1">IFERROR(__xludf.DUMMYFUNCTION("""COMPUTED_VALUE"""),"Ambie225")</f>
        <v>Ambie225</v>
      </c>
      <c r="B2927" s="25"/>
      <c r="C2927" s="55"/>
      <c r="D2927" s="25" t="str">
        <f ca="1">IFERROR(__xludf.DUMMYFUNCTION("""COMPUTED_VALUE"""),"Ambiente")</f>
        <v>Ambiente</v>
      </c>
      <c r="E2927" s="25"/>
      <c r="F2927" s="25"/>
      <c r="G2927" s="25"/>
      <c r="H2927" s="25"/>
      <c r="I2927" s="25"/>
      <c r="J2927" s="55"/>
      <c r="K2927" s="25" t="str">
        <f ca="1">IFERROR(__xludf.DUMMYFUNCTION("""COMPUTED_VALUE"""),"Definir fecha")</f>
        <v>Definir fecha</v>
      </c>
      <c r="L2927" s="62"/>
      <c r="M2927" s="25"/>
      <c r="N2927" s="25"/>
      <c r="O2927" s="25">
        <f t="shared" si="0"/>
        <v>0</v>
      </c>
      <c r="P2927" s="25" t="str">
        <f t="shared" si="2"/>
        <v/>
      </c>
      <c r="Q2927" s="25" t="str">
        <f ca="1">IFERROR(__xludf.DUMMYFUNCTION("""COMPUTED_VALUE"""),"Sin defenir")</f>
        <v>Sin defenir</v>
      </c>
      <c r="R2927" s="25"/>
      <c r="S2927" s="55"/>
      <c r="T2927" s="56"/>
      <c r="U2927" s="25"/>
      <c r="V2927" s="25"/>
      <c r="W2927" s="25"/>
      <c r="X2927" s="25"/>
      <c r="Y2927" s="25"/>
      <c r="Z2927" s="25"/>
    </row>
    <row r="2928" spans="1:26" ht="52.5" customHeight="1" x14ac:dyDescent="0.25">
      <c r="A2928" s="25" t="str">
        <f ca="1">IFERROR(__xludf.DUMMYFUNCTION("""COMPUTED_VALUE"""),"Ambie226")</f>
        <v>Ambie226</v>
      </c>
      <c r="B2928" s="25"/>
      <c r="C2928" s="55"/>
      <c r="D2928" s="25" t="str">
        <f ca="1">IFERROR(__xludf.DUMMYFUNCTION("""COMPUTED_VALUE"""),"Ambiente")</f>
        <v>Ambiente</v>
      </c>
      <c r="E2928" s="25"/>
      <c r="F2928" s="25"/>
      <c r="G2928" s="25"/>
      <c r="H2928" s="25"/>
      <c r="I2928" s="25"/>
      <c r="J2928" s="55"/>
      <c r="K2928" s="25" t="str">
        <f ca="1">IFERROR(__xludf.DUMMYFUNCTION("""COMPUTED_VALUE"""),"Definir fecha")</f>
        <v>Definir fecha</v>
      </c>
      <c r="L2928" s="62"/>
      <c r="M2928" s="25"/>
      <c r="N2928" s="25"/>
      <c r="O2928" s="25">
        <f t="shared" si="0"/>
        <v>0</v>
      </c>
      <c r="P2928" s="25" t="str">
        <f t="shared" si="2"/>
        <v/>
      </c>
      <c r="Q2928" s="25" t="str">
        <f ca="1">IFERROR(__xludf.DUMMYFUNCTION("""COMPUTED_VALUE"""),"Sin defenir")</f>
        <v>Sin defenir</v>
      </c>
      <c r="R2928" s="25"/>
      <c r="S2928" s="55"/>
      <c r="T2928" s="56"/>
      <c r="U2928" s="25"/>
      <c r="V2928" s="25"/>
      <c r="W2928" s="25"/>
      <c r="X2928" s="25"/>
      <c r="Y2928" s="25"/>
      <c r="Z2928" s="25"/>
    </row>
    <row r="2929" spans="1:26" ht="52.5" customHeight="1" x14ac:dyDescent="0.25">
      <c r="A2929" s="25" t="str">
        <f ca="1">IFERROR(__xludf.DUMMYFUNCTION("""COMPUTED_VALUE"""),"Ambie227")</f>
        <v>Ambie227</v>
      </c>
      <c r="B2929" s="25"/>
      <c r="C2929" s="55"/>
      <c r="D2929" s="25" t="str">
        <f ca="1">IFERROR(__xludf.DUMMYFUNCTION("""COMPUTED_VALUE"""),"Ambiente")</f>
        <v>Ambiente</v>
      </c>
      <c r="E2929" s="25"/>
      <c r="F2929" s="25"/>
      <c r="G2929" s="25"/>
      <c r="H2929" s="25"/>
      <c r="I2929" s="25"/>
      <c r="J2929" s="55"/>
      <c r="K2929" s="25" t="str">
        <f ca="1">IFERROR(__xludf.DUMMYFUNCTION("""COMPUTED_VALUE"""),"Definir fecha")</f>
        <v>Definir fecha</v>
      </c>
      <c r="L2929" s="62"/>
      <c r="M2929" s="25"/>
      <c r="N2929" s="25"/>
      <c r="O2929" s="25">
        <f t="shared" si="0"/>
        <v>0</v>
      </c>
      <c r="P2929" s="25" t="str">
        <f t="shared" si="2"/>
        <v/>
      </c>
      <c r="Q2929" s="25" t="str">
        <f ca="1">IFERROR(__xludf.DUMMYFUNCTION("""COMPUTED_VALUE"""),"Sin defenir")</f>
        <v>Sin defenir</v>
      </c>
      <c r="R2929" s="25"/>
      <c r="S2929" s="55"/>
      <c r="T2929" s="56"/>
      <c r="U2929" s="25"/>
      <c r="V2929" s="25"/>
      <c r="W2929" s="25"/>
      <c r="X2929" s="25"/>
      <c r="Y2929" s="25"/>
      <c r="Z2929" s="25"/>
    </row>
    <row r="2930" spans="1:26" ht="52.5" customHeight="1" x14ac:dyDescent="0.25">
      <c r="A2930" s="25" t="str">
        <f ca="1">IFERROR(__xludf.DUMMYFUNCTION("""COMPUTED_VALUE"""),"Ambie228")</f>
        <v>Ambie228</v>
      </c>
      <c r="B2930" s="25"/>
      <c r="C2930" s="55"/>
      <c r="D2930" s="25" t="str">
        <f ca="1">IFERROR(__xludf.DUMMYFUNCTION("""COMPUTED_VALUE"""),"Ambiente")</f>
        <v>Ambiente</v>
      </c>
      <c r="E2930" s="25"/>
      <c r="F2930" s="25"/>
      <c r="G2930" s="25"/>
      <c r="H2930" s="25"/>
      <c r="I2930" s="25"/>
      <c r="J2930" s="55"/>
      <c r="K2930" s="25" t="str">
        <f ca="1">IFERROR(__xludf.DUMMYFUNCTION("""COMPUTED_VALUE"""),"Definir fecha")</f>
        <v>Definir fecha</v>
      </c>
      <c r="L2930" s="62"/>
      <c r="M2930" s="25"/>
      <c r="N2930" s="25"/>
      <c r="O2930" s="25">
        <f t="shared" si="0"/>
        <v>0</v>
      </c>
      <c r="P2930" s="25" t="str">
        <f t="shared" si="2"/>
        <v/>
      </c>
      <c r="Q2930" s="25" t="str">
        <f ca="1">IFERROR(__xludf.DUMMYFUNCTION("""COMPUTED_VALUE"""),"Sin defenir")</f>
        <v>Sin defenir</v>
      </c>
      <c r="R2930" s="25"/>
      <c r="S2930" s="55"/>
      <c r="T2930" s="56"/>
      <c r="U2930" s="25"/>
      <c r="V2930" s="25"/>
      <c r="W2930" s="25"/>
      <c r="X2930" s="25"/>
      <c r="Y2930" s="25"/>
      <c r="Z2930" s="25"/>
    </row>
    <row r="2931" spans="1:26" ht="52.5" customHeight="1" x14ac:dyDescent="0.25">
      <c r="A2931" s="25" t="str">
        <f ca="1">IFERROR(__xludf.DUMMYFUNCTION("""COMPUTED_VALUE"""),"Ambie229")</f>
        <v>Ambie229</v>
      </c>
      <c r="B2931" s="25"/>
      <c r="C2931" s="55"/>
      <c r="D2931" s="25" t="str">
        <f ca="1">IFERROR(__xludf.DUMMYFUNCTION("""COMPUTED_VALUE"""),"Ambiente")</f>
        <v>Ambiente</v>
      </c>
      <c r="E2931" s="25"/>
      <c r="F2931" s="25"/>
      <c r="G2931" s="25"/>
      <c r="H2931" s="25"/>
      <c r="I2931" s="25"/>
      <c r="J2931" s="55"/>
      <c r="K2931" s="25" t="str">
        <f ca="1">IFERROR(__xludf.DUMMYFUNCTION("""COMPUTED_VALUE"""),"Definir fecha")</f>
        <v>Definir fecha</v>
      </c>
      <c r="L2931" s="62"/>
      <c r="M2931" s="25"/>
      <c r="N2931" s="25"/>
      <c r="O2931" s="25">
        <f t="shared" si="0"/>
        <v>0</v>
      </c>
      <c r="P2931" s="25" t="str">
        <f t="shared" si="2"/>
        <v/>
      </c>
      <c r="Q2931" s="25" t="str">
        <f ca="1">IFERROR(__xludf.DUMMYFUNCTION("""COMPUTED_VALUE"""),"Sin defenir")</f>
        <v>Sin defenir</v>
      </c>
      <c r="R2931" s="25"/>
      <c r="S2931" s="55"/>
      <c r="T2931" s="56"/>
      <c r="U2931" s="25"/>
      <c r="V2931" s="25"/>
      <c r="W2931" s="25"/>
      <c r="X2931" s="25"/>
      <c r="Y2931" s="25"/>
      <c r="Z2931" s="25"/>
    </row>
    <row r="2932" spans="1:26" ht="52.5" customHeight="1" x14ac:dyDescent="0.25">
      <c r="A2932" s="25" t="str">
        <f ca="1">IFERROR(__xludf.DUMMYFUNCTION("""COMPUTED_VALUE"""),"Ambie230")</f>
        <v>Ambie230</v>
      </c>
      <c r="B2932" s="25"/>
      <c r="C2932" s="55"/>
      <c r="D2932" s="25" t="str">
        <f ca="1">IFERROR(__xludf.DUMMYFUNCTION("""COMPUTED_VALUE"""),"Ambiente")</f>
        <v>Ambiente</v>
      </c>
      <c r="E2932" s="25"/>
      <c r="F2932" s="25"/>
      <c r="G2932" s="25"/>
      <c r="H2932" s="25"/>
      <c r="I2932" s="25"/>
      <c r="J2932" s="55"/>
      <c r="K2932" s="25" t="str">
        <f ca="1">IFERROR(__xludf.DUMMYFUNCTION("""COMPUTED_VALUE"""),"Definir fecha")</f>
        <v>Definir fecha</v>
      </c>
      <c r="L2932" s="62"/>
      <c r="M2932" s="25"/>
      <c r="N2932" s="25"/>
      <c r="O2932" s="25">
        <f t="shared" si="0"/>
        <v>0</v>
      </c>
      <c r="P2932" s="25" t="str">
        <f t="shared" si="2"/>
        <v/>
      </c>
      <c r="Q2932" s="25" t="str">
        <f ca="1">IFERROR(__xludf.DUMMYFUNCTION("""COMPUTED_VALUE"""),"Sin defenir")</f>
        <v>Sin defenir</v>
      </c>
      <c r="R2932" s="25"/>
      <c r="S2932" s="55"/>
      <c r="T2932" s="56"/>
      <c r="U2932" s="25"/>
      <c r="V2932" s="25"/>
      <c r="W2932" s="25"/>
      <c r="X2932" s="25"/>
      <c r="Y2932" s="25"/>
      <c r="Z2932" s="25"/>
    </row>
    <row r="2933" spans="1:26" ht="52.5" customHeight="1" x14ac:dyDescent="0.25">
      <c r="A2933" s="25" t="str">
        <f ca="1">IFERROR(__xludf.DUMMYFUNCTION("""COMPUTED_VALUE"""),"Ambie231")</f>
        <v>Ambie231</v>
      </c>
      <c r="B2933" s="25"/>
      <c r="C2933" s="55"/>
      <c r="D2933" s="25" t="str">
        <f ca="1">IFERROR(__xludf.DUMMYFUNCTION("""COMPUTED_VALUE"""),"Ambiente")</f>
        <v>Ambiente</v>
      </c>
      <c r="E2933" s="25"/>
      <c r="F2933" s="25"/>
      <c r="G2933" s="25"/>
      <c r="H2933" s="25"/>
      <c r="I2933" s="25"/>
      <c r="J2933" s="55"/>
      <c r="K2933" s="25" t="str">
        <f ca="1">IFERROR(__xludf.DUMMYFUNCTION("""COMPUTED_VALUE"""),"Definir fecha")</f>
        <v>Definir fecha</v>
      </c>
      <c r="L2933" s="62"/>
      <c r="M2933" s="25"/>
      <c r="N2933" s="25"/>
      <c r="O2933" s="25">
        <f t="shared" si="0"/>
        <v>0</v>
      </c>
      <c r="P2933" s="25" t="str">
        <f t="shared" si="2"/>
        <v/>
      </c>
      <c r="Q2933" s="25" t="str">
        <f ca="1">IFERROR(__xludf.DUMMYFUNCTION("""COMPUTED_VALUE"""),"Sin defenir")</f>
        <v>Sin defenir</v>
      </c>
      <c r="R2933" s="25"/>
      <c r="S2933" s="55"/>
      <c r="T2933" s="56"/>
      <c r="U2933" s="25"/>
      <c r="V2933" s="25"/>
      <c r="W2933" s="25"/>
      <c r="X2933" s="25"/>
      <c r="Y2933" s="25"/>
      <c r="Z2933" s="25"/>
    </row>
    <row r="2934" spans="1:26" ht="52.5" customHeight="1" x14ac:dyDescent="0.25">
      <c r="A2934" s="25" t="str">
        <f ca="1">IFERROR(__xludf.DUMMYFUNCTION("""COMPUTED_VALUE"""),"Ambie232")</f>
        <v>Ambie232</v>
      </c>
      <c r="B2934" s="25"/>
      <c r="C2934" s="55"/>
      <c r="D2934" s="25" t="str">
        <f ca="1">IFERROR(__xludf.DUMMYFUNCTION("""COMPUTED_VALUE"""),"Ambiente")</f>
        <v>Ambiente</v>
      </c>
      <c r="E2934" s="25"/>
      <c r="F2934" s="25"/>
      <c r="G2934" s="25"/>
      <c r="H2934" s="25"/>
      <c r="I2934" s="25"/>
      <c r="J2934" s="55"/>
      <c r="K2934" s="25" t="str">
        <f ca="1">IFERROR(__xludf.DUMMYFUNCTION("""COMPUTED_VALUE"""),"Definir fecha")</f>
        <v>Definir fecha</v>
      </c>
      <c r="L2934" s="62"/>
      <c r="M2934" s="25"/>
      <c r="N2934" s="25"/>
      <c r="O2934" s="25">
        <f t="shared" si="0"/>
        <v>0</v>
      </c>
      <c r="P2934" s="25" t="str">
        <f t="shared" si="2"/>
        <v/>
      </c>
      <c r="Q2934" s="25" t="str">
        <f ca="1">IFERROR(__xludf.DUMMYFUNCTION("""COMPUTED_VALUE"""),"Sin defenir")</f>
        <v>Sin defenir</v>
      </c>
      <c r="R2934" s="25"/>
      <c r="S2934" s="55"/>
      <c r="T2934" s="56"/>
      <c r="U2934" s="25"/>
      <c r="V2934" s="25"/>
      <c r="W2934" s="25"/>
      <c r="X2934" s="25"/>
      <c r="Y2934" s="25"/>
      <c r="Z2934" s="25"/>
    </row>
    <row r="2935" spans="1:26" ht="52.5" customHeight="1" x14ac:dyDescent="0.25">
      <c r="A2935" s="25" t="str">
        <f ca="1">IFERROR(__xludf.DUMMYFUNCTION("""COMPUTED_VALUE"""),"Ambie233")</f>
        <v>Ambie233</v>
      </c>
      <c r="B2935" s="25"/>
      <c r="C2935" s="55"/>
      <c r="D2935" s="25" t="str">
        <f ca="1">IFERROR(__xludf.DUMMYFUNCTION("""COMPUTED_VALUE"""),"Ambiente")</f>
        <v>Ambiente</v>
      </c>
      <c r="E2935" s="25"/>
      <c r="F2935" s="25"/>
      <c r="G2935" s="25"/>
      <c r="H2935" s="25"/>
      <c r="I2935" s="25"/>
      <c r="J2935" s="55"/>
      <c r="K2935" s="25" t="str">
        <f ca="1">IFERROR(__xludf.DUMMYFUNCTION("""COMPUTED_VALUE"""),"Definir fecha")</f>
        <v>Definir fecha</v>
      </c>
      <c r="L2935" s="62"/>
      <c r="M2935" s="25"/>
      <c r="N2935" s="25"/>
      <c r="O2935" s="25">
        <f t="shared" si="0"/>
        <v>0</v>
      </c>
      <c r="P2935" s="25" t="str">
        <f t="shared" si="2"/>
        <v/>
      </c>
      <c r="Q2935" s="25" t="str">
        <f ca="1">IFERROR(__xludf.DUMMYFUNCTION("""COMPUTED_VALUE"""),"Sin defenir")</f>
        <v>Sin defenir</v>
      </c>
      <c r="R2935" s="25"/>
      <c r="S2935" s="55"/>
      <c r="T2935" s="56"/>
      <c r="U2935" s="25"/>
      <c r="V2935" s="25"/>
      <c r="W2935" s="25"/>
      <c r="X2935" s="25"/>
      <c r="Y2935" s="25"/>
      <c r="Z2935" s="25"/>
    </row>
    <row r="2936" spans="1:26" ht="52.5" customHeight="1" x14ac:dyDescent="0.25">
      <c r="A2936" s="25" t="str">
        <f ca="1">IFERROR(__xludf.DUMMYFUNCTION("""COMPUTED_VALUE"""),"Ambie234")</f>
        <v>Ambie234</v>
      </c>
      <c r="B2936" s="25"/>
      <c r="C2936" s="55"/>
      <c r="D2936" s="25" t="str">
        <f ca="1">IFERROR(__xludf.DUMMYFUNCTION("""COMPUTED_VALUE"""),"Ambiente")</f>
        <v>Ambiente</v>
      </c>
      <c r="E2936" s="25"/>
      <c r="F2936" s="25"/>
      <c r="G2936" s="25"/>
      <c r="H2936" s="25"/>
      <c r="I2936" s="25"/>
      <c r="J2936" s="55"/>
      <c r="K2936" s="25" t="str">
        <f ca="1">IFERROR(__xludf.DUMMYFUNCTION("""COMPUTED_VALUE"""),"Definir fecha")</f>
        <v>Definir fecha</v>
      </c>
      <c r="L2936" s="62"/>
      <c r="M2936" s="25"/>
      <c r="N2936" s="25"/>
      <c r="O2936" s="25">
        <f t="shared" si="0"/>
        <v>0</v>
      </c>
      <c r="P2936" s="25" t="str">
        <f t="shared" si="2"/>
        <v/>
      </c>
      <c r="Q2936" s="25" t="str">
        <f ca="1">IFERROR(__xludf.DUMMYFUNCTION("""COMPUTED_VALUE"""),"Sin defenir")</f>
        <v>Sin defenir</v>
      </c>
      <c r="R2936" s="25"/>
      <c r="S2936" s="55"/>
      <c r="T2936" s="56"/>
      <c r="U2936" s="25"/>
      <c r="V2936" s="25"/>
      <c r="W2936" s="25"/>
      <c r="X2936" s="25"/>
      <c r="Y2936" s="25"/>
      <c r="Z2936" s="25"/>
    </row>
    <row r="2937" spans="1:26" ht="52.5" customHeight="1" x14ac:dyDescent="0.25">
      <c r="A2937" s="25" t="str">
        <f ca="1">IFERROR(__xludf.DUMMYFUNCTION("""COMPUTED_VALUE"""),"Ambie235")</f>
        <v>Ambie235</v>
      </c>
      <c r="B2937" s="25"/>
      <c r="C2937" s="55"/>
      <c r="D2937" s="25" t="str">
        <f ca="1">IFERROR(__xludf.DUMMYFUNCTION("""COMPUTED_VALUE"""),"Ambiente")</f>
        <v>Ambiente</v>
      </c>
      <c r="E2937" s="25"/>
      <c r="F2937" s="25"/>
      <c r="G2937" s="25"/>
      <c r="H2937" s="25"/>
      <c r="I2937" s="25"/>
      <c r="J2937" s="55"/>
      <c r="K2937" s="25" t="str">
        <f ca="1">IFERROR(__xludf.DUMMYFUNCTION("""COMPUTED_VALUE"""),"Definir fecha")</f>
        <v>Definir fecha</v>
      </c>
      <c r="L2937" s="62"/>
      <c r="M2937" s="25"/>
      <c r="N2937" s="25"/>
      <c r="O2937" s="25">
        <f t="shared" si="0"/>
        <v>0</v>
      </c>
      <c r="P2937" s="25" t="str">
        <f t="shared" si="2"/>
        <v/>
      </c>
      <c r="Q2937" s="25" t="str">
        <f ca="1">IFERROR(__xludf.DUMMYFUNCTION("""COMPUTED_VALUE"""),"Sin defenir")</f>
        <v>Sin defenir</v>
      </c>
      <c r="R2937" s="25"/>
      <c r="S2937" s="55"/>
      <c r="T2937" s="56"/>
      <c r="U2937" s="25"/>
      <c r="V2937" s="25"/>
      <c r="W2937" s="25"/>
      <c r="X2937" s="25"/>
      <c r="Y2937" s="25"/>
      <c r="Z2937" s="25"/>
    </row>
    <row r="2938" spans="1:26" ht="52.5" customHeight="1" x14ac:dyDescent="0.25">
      <c r="A2938" s="25" t="str">
        <f ca="1">IFERROR(__xludf.DUMMYFUNCTION("""COMPUTED_VALUE"""),"Ambie236")</f>
        <v>Ambie236</v>
      </c>
      <c r="B2938" s="25"/>
      <c r="C2938" s="55"/>
      <c r="D2938" s="25" t="str">
        <f ca="1">IFERROR(__xludf.DUMMYFUNCTION("""COMPUTED_VALUE"""),"Ambiente")</f>
        <v>Ambiente</v>
      </c>
      <c r="E2938" s="25"/>
      <c r="F2938" s="25"/>
      <c r="G2938" s="25"/>
      <c r="H2938" s="25"/>
      <c r="I2938" s="25"/>
      <c r="J2938" s="55"/>
      <c r="K2938" s="25" t="str">
        <f ca="1">IFERROR(__xludf.DUMMYFUNCTION("""COMPUTED_VALUE"""),"Definir fecha")</f>
        <v>Definir fecha</v>
      </c>
      <c r="L2938" s="62"/>
      <c r="M2938" s="25"/>
      <c r="N2938" s="25"/>
      <c r="O2938" s="25">
        <f t="shared" si="0"/>
        <v>0</v>
      </c>
      <c r="P2938" s="25" t="str">
        <f t="shared" si="2"/>
        <v/>
      </c>
      <c r="Q2938" s="25" t="str">
        <f ca="1">IFERROR(__xludf.DUMMYFUNCTION("""COMPUTED_VALUE"""),"Sin defenir")</f>
        <v>Sin defenir</v>
      </c>
      <c r="R2938" s="25"/>
      <c r="S2938" s="55"/>
      <c r="T2938" s="56"/>
      <c r="U2938" s="25"/>
      <c r="V2938" s="25"/>
      <c r="W2938" s="25"/>
      <c r="X2938" s="25"/>
      <c r="Y2938" s="25"/>
      <c r="Z2938" s="25"/>
    </row>
    <row r="2939" spans="1:26" ht="52.5" customHeight="1" x14ac:dyDescent="0.25">
      <c r="A2939" s="25" t="str">
        <f ca="1">IFERROR(__xludf.DUMMYFUNCTION("""COMPUTED_VALUE"""),"Ambie237")</f>
        <v>Ambie237</v>
      </c>
      <c r="B2939" s="25"/>
      <c r="C2939" s="55"/>
      <c r="D2939" s="25" t="str">
        <f ca="1">IFERROR(__xludf.DUMMYFUNCTION("""COMPUTED_VALUE"""),"Ambiente")</f>
        <v>Ambiente</v>
      </c>
      <c r="E2939" s="25"/>
      <c r="F2939" s="25"/>
      <c r="G2939" s="25"/>
      <c r="H2939" s="25"/>
      <c r="I2939" s="25"/>
      <c r="J2939" s="55"/>
      <c r="K2939" s="25" t="str">
        <f ca="1">IFERROR(__xludf.DUMMYFUNCTION("""COMPUTED_VALUE"""),"Definir fecha")</f>
        <v>Definir fecha</v>
      </c>
      <c r="L2939" s="62"/>
      <c r="M2939" s="25"/>
      <c r="N2939" s="25"/>
      <c r="O2939" s="25">
        <f t="shared" si="0"/>
        <v>0</v>
      </c>
      <c r="P2939" s="25" t="str">
        <f t="shared" si="2"/>
        <v/>
      </c>
      <c r="Q2939" s="25" t="str">
        <f ca="1">IFERROR(__xludf.DUMMYFUNCTION("""COMPUTED_VALUE"""),"Sin defenir")</f>
        <v>Sin defenir</v>
      </c>
      <c r="R2939" s="25"/>
      <c r="S2939" s="55"/>
      <c r="T2939" s="56"/>
      <c r="U2939" s="25"/>
      <c r="V2939" s="25"/>
      <c r="W2939" s="25"/>
      <c r="X2939" s="25"/>
      <c r="Y2939" s="25"/>
      <c r="Z2939" s="25"/>
    </row>
    <row r="2940" spans="1:26" ht="52.5" customHeight="1" x14ac:dyDescent="0.25">
      <c r="A2940" s="25" t="str">
        <f ca="1">IFERROR(__xludf.DUMMYFUNCTION("""COMPUTED_VALUE"""),"Ambie238")</f>
        <v>Ambie238</v>
      </c>
      <c r="B2940" s="25"/>
      <c r="C2940" s="55"/>
      <c r="D2940" s="25" t="str">
        <f ca="1">IFERROR(__xludf.DUMMYFUNCTION("""COMPUTED_VALUE"""),"Ambiente")</f>
        <v>Ambiente</v>
      </c>
      <c r="E2940" s="25"/>
      <c r="F2940" s="25"/>
      <c r="G2940" s="25"/>
      <c r="H2940" s="25"/>
      <c r="I2940" s="25"/>
      <c r="J2940" s="55"/>
      <c r="K2940" s="25" t="str">
        <f ca="1">IFERROR(__xludf.DUMMYFUNCTION("""COMPUTED_VALUE"""),"Definir fecha")</f>
        <v>Definir fecha</v>
      </c>
      <c r="L2940" s="62"/>
      <c r="M2940" s="25"/>
      <c r="N2940" s="25"/>
      <c r="O2940" s="25">
        <f t="shared" si="0"/>
        <v>0</v>
      </c>
      <c r="P2940" s="25" t="str">
        <f t="shared" si="2"/>
        <v/>
      </c>
      <c r="Q2940" s="25" t="str">
        <f ca="1">IFERROR(__xludf.DUMMYFUNCTION("""COMPUTED_VALUE"""),"Sin defenir")</f>
        <v>Sin defenir</v>
      </c>
      <c r="R2940" s="25"/>
      <c r="S2940" s="55"/>
      <c r="T2940" s="56"/>
      <c r="U2940" s="25"/>
      <c r="V2940" s="25"/>
      <c r="W2940" s="25"/>
      <c r="X2940" s="25"/>
      <c r="Y2940" s="25"/>
      <c r="Z2940" s="25"/>
    </row>
    <row r="2941" spans="1:26" ht="52.5" customHeight="1" x14ac:dyDescent="0.25">
      <c r="A2941" s="25" t="str">
        <f ca="1">IFERROR(__xludf.DUMMYFUNCTION("""COMPUTED_VALUE"""),"Ambie239")</f>
        <v>Ambie239</v>
      </c>
      <c r="B2941" s="25"/>
      <c r="C2941" s="55"/>
      <c r="D2941" s="25" t="str">
        <f ca="1">IFERROR(__xludf.DUMMYFUNCTION("""COMPUTED_VALUE"""),"Ambiente")</f>
        <v>Ambiente</v>
      </c>
      <c r="E2941" s="25"/>
      <c r="F2941" s="25"/>
      <c r="G2941" s="25"/>
      <c r="H2941" s="25"/>
      <c r="I2941" s="25"/>
      <c r="J2941" s="55"/>
      <c r="K2941" s="25" t="str">
        <f ca="1">IFERROR(__xludf.DUMMYFUNCTION("""COMPUTED_VALUE"""),"Definir fecha")</f>
        <v>Definir fecha</v>
      </c>
      <c r="L2941" s="62"/>
      <c r="M2941" s="25"/>
      <c r="N2941" s="25"/>
      <c r="O2941" s="25">
        <f t="shared" si="0"/>
        <v>0</v>
      </c>
      <c r="P2941" s="25" t="str">
        <f t="shared" si="2"/>
        <v/>
      </c>
      <c r="Q2941" s="25" t="str">
        <f ca="1">IFERROR(__xludf.DUMMYFUNCTION("""COMPUTED_VALUE"""),"Sin defenir")</f>
        <v>Sin defenir</v>
      </c>
      <c r="R2941" s="25"/>
      <c r="S2941" s="55"/>
      <c r="T2941" s="56"/>
      <c r="U2941" s="25"/>
      <c r="V2941" s="25"/>
      <c r="W2941" s="25"/>
      <c r="X2941" s="25"/>
      <c r="Y2941" s="25"/>
      <c r="Z2941" s="25"/>
    </row>
    <row r="2942" spans="1:26" ht="52.5" customHeight="1" x14ac:dyDescent="0.25">
      <c r="A2942" s="25" t="str">
        <f ca="1">IFERROR(__xludf.DUMMYFUNCTION("""COMPUTED_VALUE"""),"Ambie240")</f>
        <v>Ambie240</v>
      </c>
      <c r="B2942" s="25"/>
      <c r="C2942" s="55"/>
      <c r="D2942" s="25" t="str">
        <f ca="1">IFERROR(__xludf.DUMMYFUNCTION("""COMPUTED_VALUE"""),"Ambiente")</f>
        <v>Ambiente</v>
      </c>
      <c r="E2942" s="25"/>
      <c r="F2942" s="25"/>
      <c r="G2942" s="25"/>
      <c r="H2942" s="25"/>
      <c r="I2942" s="25"/>
      <c r="J2942" s="55"/>
      <c r="K2942" s="25" t="str">
        <f ca="1">IFERROR(__xludf.DUMMYFUNCTION("""COMPUTED_VALUE"""),"Definir fecha")</f>
        <v>Definir fecha</v>
      </c>
      <c r="L2942" s="62"/>
      <c r="M2942" s="25"/>
      <c r="N2942" s="25"/>
      <c r="O2942" s="25">
        <f t="shared" si="0"/>
        <v>0</v>
      </c>
      <c r="P2942" s="25" t="str">
        <f t="shared" si="2"/>
        <v/>
      </c>
      <c r="Q2942" s="25" t="str">
        <f ca="1">IFERROR(__xludf.DUMMYFUNCTION("""COMPUTED_VALUE"""),"Sin defenir")</f>
        <v>Sin defenir</v>
      </c>
      <c r="R2942" s="25"/>
      <c r="S2942" s="55"/>
      <c r="T2942" s="56"/>
      <c r="U2942" s="25"/>
      <c r="V2942" s="25"/>
      <c r="W2942" s="25"/>
      <c r="X2942" s="25"/>
      <c r="Y2942" s="25"/>
      <c r="Z2942" s="25"/>
    </row>
    <row r="2943" spans="1:26" ht="52.5" customHeight="1" x14ac:dyDescent="0.25">
      <c r="A2943" s="25" t="str">
        <f ca="1">IFERROR(__xludf.DUMMYFUNCTION("""COMPUTED_VALUE"""),"Ambie241")</f>
        <v>Ambie241</v>
      </c>
      <c r="B2943" s="25"/>
      <c r="C2943" s="55"/>
      <c r="D2943" s="25" t="str">
        <f ca="1">IFERROR(__xludf.DUMMYFUNCTION("""COMPUTED_VALUE"""),"Ambiente")</f>
        <v>Ambiente</v>
      </c>
      <c r="E2943" s="25"/>
      <c r="F2943" s="25"/>
      <c r="G2943" s="25"/>
      <c r="H2943" s="25"/>
      <c r="I2943" s="25"/>
      <c r="J2943" s="55"/>
      <c r="K2943" s="25" t="str">
        <f ca="1">IFERROR(__xludf.DUMMYFUNCTION("""COMPUTED_VALUE"""),"Definir fecha")</f>
        <v>Definir fecha</v>
      </c>
      <c r="L2943" s="62"/>
      <c r="M2943" s="25"/>
      <c r="N2943" s="25"/>
      <c r="O2943" s="25">
        <f t="shared" si="0"/>
        <v>0</v>
      </c>
      <c r="P2943" s="25" t="str">
        <f t="shared" si="2"/>
        <v/>
      </c>
      <c r="Q2943" s="25" t="str">
        <f ca="1">IFERROR(__xludf.DUMMYFUNCTION("""COMPUTED_VALUE"""),"Sin defenir")</f>
        <v>Sin defenir</v>
      </c>
      <c r="R2943" s="25"/>
      <c r="S2943" s="55"/>
      <c r="T2943" s="56"/>
      <c r="U2943" s="25"/>
      <c r="V2943" s="25"/>
      <c r="W2943" s="25"/>
      <c r="X2943" s="25"/>
      <c r="Y2943" s="25"/>
      <c r="Z2943" s="25"/>
    </row>
    <row r="2944" spans="1:26" ht="52.5" customHeight="1" x14ac:dyDescent="0.25">
      <c r="A2944" s="25" t="str">
        <f ca="1">IFERROR(__xludf.DUMMYFUNCTION("""COMPUTED_VALUE"""),"Ambie242")</f>
        <v>Ambie242</v>
      </c>
      <c r="B2944" s="25"/>
      <c r="C2944" s="55"/>
      <c r="D2944" s="25" t="str">
        <f ca="1">IFERROR(__xludf.DUMMYFUNCTION("""COMPUTED_VALUE"""),"Ambiente")</f>
        <v>Ambiente</v>
      </c>
      <c r="E2944" s="25"/>
      <c r="F2944" s="25"/>
      <c r="G2944" s="25"/>
      <c r="H2944" s="25"/>
      <c r="I2944" s="25"/>
      <c r="J2944" s="55"/>
      <c r="K2944" s="25" t="str">
        <f ca="1">IFERROR(__xludf.DUMMYFUNCTION("""COMPUTED_VALUE"""),"Definir fecha")</f>
        <v>Definir fecha</v>
      </c>
      <c r="L2944" s="62"/>
      <c r="M2944" s="25"/>
      <c r="N2944" s="25"/>
      <c r="O2944" s="25">
        <f t="shared" si="0"/>
        <v>0</v>
      </c>
      <c r="P2944" s="25" t="str">
        <f t="shared" si="2"/>
        <v/>
      </c>
      <c r="Q2944" s="25" t="str">
        <f ca="1">IFERROR(__xludf.DUMMYFUNCTION("""COMPUTED_VALUE"""),"Sin defenir")</f>
        <v>Sin defenir</v>
      </c>
      <c r="R2944" s="25"/>
      <c r="S2944" s="55"/>
      <c r="T2944" s="56"/>
      <c r="U2944" s="25"/>
      <c r="V2944" s="25"/>
      <c r="W2944" s="25"/>
      <c r="X2944" s="25"/>
      <c r="Y2944" s="25"/>
      <c r="Z2944" s="25"/>
    </row>
    <row r="2945" spans="1:26" ht="52.5" customHeight="1" x14ac:dyDescent="0.25">
      <c r="A2945" s="25" t="str">
        <f ca="1">IFERROR(__xludf.DUMMYFUNCTION("""COMPUTED_VALUE"""),"Ambie243")</f>
        <v>Ambie243</v>
      </c>
      <c r="B2945" s="25"/>
      <c r="C2945" s="55"/>
      <c r="D2945" s="25" t="str">
        <f ca="1">IFERROR(__xludf.DUMMYFUNCTION("""COMPUTED_VALUE"""),"Ambiente")</f>
        <v>Ambiente</v>
      </c>
      <c r="E2945" s="25"/>
      <c r="F2945" s="25"/>
      <c r="G2945" s="25"/>
      <c r="H2945" s="25"/>
      <c r="I2945" s="25"/>
      <c r="J2945" s="55"/>
      <c r="K2945" s="25" t="str">
        <f ca="1">IFERROR(__xludf.DUMMYFUNCTION("""COMPUTED_VALUE"""),"Definir fecha")</f>
        <v>Definir fecha</v>
      </c>
      <c r="L2945" s="62"/>
      <c r="M2945" s="25"/>
      <c r="N2945" s="25"/>
      <c r="O2945" s="25">
        <f t="shared" si="0"/>
        <v>0</v>
      </c>
      <c r="P2945" s="25" t="str">
        <f t="shared" si="2"/>
        <v/>
      </c>
      <c r="Q2945" s="25" t="str">
        <f ca="1">IFERROR(__xludf.DUMMYFUNCTION("""COMPUTED_VALUE"""),"Sin defenir")</f>
        <v>Sin defenir</v>
      </c>
      <c r="R2945" s="25"/>
      <c r="S2945" s="55"/>
      <c r="T2945" s="56"/>
      <c r="U2945" s="25"/>
      <c r="V2945" s="25"/>
      <c r="W2945" s="25"/>
      <c r="X2945" s="25"/>
      <c r="Y2945" s="25"/>
      <c r="Z2945" s="25"/>
    </row>
    <row r="2946" spans="1:26" ht="52.5" customHeight="1" x14ac:dyDescent="0.25">
      <c r="A2946" s="25" t="str">
        <f ca="1">IFERROR(__xludf.DUMMYFUNCTION("""COMPUTED_VALUE"""),"Ambie244")</f>
        <v>Ambie244</v>
      </c>
      <c r="B2946" s="25"/>
      <c r="C2946" s="55"/>
      <c r="D2946" s="25" t="str">
        <f ca="1">IFERROR(__xludf.DUMMYFUNCTION("""COMPUTED_VALUE"""),"Ambiente")</f>
        <v>Ambiente</v>
      </c>
      <c r="E2946" s="25"/>
      <c r="F2946" s="25"/>
      <c r="G2946" s="25"/>
      <c r="H2946" s="25"/>
      <c r="I2946" s="25"/>
      <c r="J2946" s="55"/>
      <c r="K2946" s="25" t="str">
        <f ca="1">IFERROR(__xludf.DUMMYFUNCTION("""COMPUTED_VALUE"""),"Definir fecha")</f>
        <v>Definir fecha</v>
      </c>
      <c r="L2946" s="62"/>
      <c r="M2946" s="25"/>
      <c r="N2946" s="25"/>
      <c r="O2946" s="25">
        <f t="shared" si="0"/>
        <v>0</v>
      </c>
      <c r="P2946" s="25" t="str">
        <f t="shared" si="2"/>
        <v/>
      </c>
      <c r="Q2946" s="25" t="str">
        <f ca="1">IFERROR(__xludf.DUMMYFUNCTION("""COMPUTED_VALUE"""),"Sin defenir")</f>
        <v>Sin defenir</v>
      </c>
      <c r="R2946" s="25"/>
      <c r="S2946" s="55"/>
      <c r="T2946" s="56"/>
      <c r="U2946" s="25"/>
      <c r="V2946" s="25"/>
      <c r="W2946" s="25"/>
      <c r="X2946" s="25"/>
      <c r="Y2946" s="25"/>
      <c r="Z2946" s="25"/>
    </row>
    <row r="2947" spans="1:26" ht="52.5" customHeight="1" x14ac:dyDescent="0.25">
      <c r="A2947" s="25" t="str">
        <f ca="1">IFERROR(__xludf.DUMMYFUNCTION("""COMPUTED_VALUE"""),"Ambie245")</f>
        <v>Ambie245</v>
      </c>
      <c r="B2947" s="25"/>
      <c r="C2947" s="55"/>
      <c r="D2947" s="25" t="str">
        <f ca="1">IFERROR(__xludf.DUMMYFUNCTION("""COMPUTED_VALUE"""),"Ambiente")</f>
        <v>Ambiente</v>
      </c>
      <c r="E2947" s="25"/>
      <c r="F2947" s="25"/>
      <c r="G2947" s="25"/>
      <c r="H2947" s="25"/>
      <c r="I2947" s="25"/>
      <c r="J2947" s="55"/>
      <c r="K2947" s="25" t="str">
        <f ca="1">IFERROR(__xludf.DUMMYFUNCTION("""COMPUTED_VALUE"""),"Definir fecha")</f>
        <v>Definir fecha</v>
      </c>
      <c r="L2947" s="62"/>
      <c r="M2947" s="25"/>
      <c r="N2947" s="25"/>
      <c r="O2947" s="25">
        <f t="shared" si="0"/>
        <v>0</v>
      </c>
      <c r="P2947" s="25" t="str">
        <f t="shared" si="2"/>
        <v/>
      </c>
      <c r="Q2947" s="25" t="str">
        <f ca="1">IFERROR(__xludf.DUMMYFUNCTION("""COMPUTED_VALUE"""),"Sin defenir")</f>
        <v>Sin defenir</v>
      </c>
      <c r="R2947" s="25"/>
      <c r="S2947" s="55"/>
      <c r="T2947" s="56"/>
      <c r="U2947" s="25"/>
      <c r="V2947" s="25"/>
      <c r="W2947" s="25"/>
      <c r="X2947" s="25"/>
      <c r="Y2947" s="25"/>
      <c r="Z2947" s="25"/>
    </row>
    <row r="2948" spans="1:26" ht="52.5" customHeight="1" x14ac:dyDescent="0.25">
      <c r="A2948" s="25" t="str">
        <f ca="1">IFERROR(__xludf.DUMMYFUNCTION("""COMPUTED_VALUE"""),"Ambie246")</f>
        <v>Ambie246</v>
      </c>
      <c r="B2948" s="25"/>
      <c r="C2948" s="55"/>
      <c r="D2948" s="25" t="str">
        <f ca="1">IFERROR(__xludf.DUMMYFUNCTION("""COMPUTED_VALUE"""),"Ambiente")</f>
        <v>Ambiente</v>
      </c>
      <c r="E2948" s="25"/>
      <c r="F2948" s="25"/>
      <c r="G2948" s="25"/>
      <c r="H2948" s="25"/>
      <c r="I2948" s="25"/>
      <c r="J2948" s="55"/>
      <c r="K2948" s="25" t="str">
        <f ca="1">IFERROR(__xludf.DUMMYFUNCTION("""COMPUTED_VALUE"""),"Definir fecha")</f>
        <v>Definir fecha</v>
      </c>
      <c r="L2948" s="62"/>
      <c r="M2948" s="25"/>
      <c r="N2948" s="25"/>
      <c r="O2948" s="25">
        <f t="shared" si="0"/>
        <v>0</v>
      </c>
      <c r="P2948" s="25" t="str">
        <f t="shared" si="2"/>
        <v/>
      </c>
      <c r="Q2948" s="25" t="str">
        <f ca="1">IFERROR(__xludf.DUMMYFUNCTION("""COMPUTED_VALUE"""),"Sin defenir")</f>
        <v>Sin defenir</v>
      </c>
      <c r="R2948" s="25"/>
      <c r="S2948" s="55"/>
      <c r="T2948" s="56"/>
      <c r="U2948" s="25"/>
      <c r="V2948" s="25"/>
      <c r="W2948" s="25"/>
      <c r="X2948" s="25"/>
      <c r="Y2948" s="25"/>
      <c r="Z2948" s="25"/>
    </row>
    <row r="2949" spans="1:26" ht="52.5" customHeight="1" x14ac:dyDescent="0.25">
      <c r="A2949" s="25" t="str">
        <f ca="1">IFERROR(__xludf.DUMMYFUNCTION("""COMPUTED_VALUE"""),"Ambie247")</f>
        <v>Ambie247</v>
      </c>
      <c r="B2949" s="25"/>
      <c r="C2949" s="55"/>
      <c r="D2949" s="25" t="str">
        <f ca="1">IFERROR(__xludf.DUMMYFUNCTION("""COMPUTED_VALUE"""),"Ambiente")</f>
        <v>Ambiente</v>
      </c>
      <c r="E2949" s="25"/>
      <c r="F2949" s="25"/>
      <c r="G2949" s="25"/>
      <c r="H2949" s="25"/>
      <c r="I2949" s="25"/>
      <c r="J2949" s="55"/>
      <c r="K2949" s="25" t="str">
        <f ca="1">IFERROR(__xludf.DUMMYFUNCTION("""COMPUTED_VALUE"""),"Definir fecha")</f>
        <v>Definir fecha</v>
      </c>
      <c r="L2949" s="62"/>
      <c r="M2949" s="25"/>
      <c r="N2949" s="25"/>
      <c r="O2949" s="25">
        <f t="shared" si="0"/>
        <v>0</v>
      </c>
      <c r="P2949" s="25" t="str">
        <f t="shared" si="2"/>
        <v/>
      </c>
      <c r="Q2949" s="25" t="str">
        <f ca="1">IFERROR(__xludf.DUMMYFUNCTION("""COMPUTED_VALUE"""),"Sin defenir")</f>
        <v>Sin defenir</v>
      </c>
      <c r="R2949" s="25"/>
      <c r="S2949" s="55"/>
      <c r="T2949" s="56"/>
      <c r="U2949" s="25"/>
      <c r="V2949" s="25"/>
      <c r="W2949" s="25"/>
      <c r="X2949" s="25"/>
      <c r="Y2949" s="25"/>
      <c r="Z2949" s="25"/>
    </row>
    <row r="2950" spans="1:26" ht="52.5" customHeight="1" x14ac:dyDescent="0.25">
      <c r="A2950" s="25" t="str">
        <f ca="1">IFERROR(__xludf.DUMMYFUNCTION("""COMPUTED_VALUE"""),"Ambie248")</f>
        <v>Ambie248</v>
      </c>
      <c r="B2950" s="25"/>
      <c r="C2950" s="55"/>
      <c r="D2950" s="25" t="str">
        <f ca="1">IFERROR(__xludf.DUMMYFUNCTION("""COMPUTED_VALUE"""),"Ambiente")</f>
        <v>Ambiente</v>
      </c>
      <c r="E2950" s="25"/>
      <c r="F2950" s="25"/>
      <c r="G2950" s="25"/>
      <c r="H2950" s="25"/>
      <c r="I2950" s="25"/>
      <c r="J2950" s="55"/>
      <c r="K2950" s="25" t="str">
        <f ca="1">IFERROR(__xludf.DUMMYFUNCTION("""COMPUTED_VALUE"""),"Definir fecha")</f>
        <v>Definir fecha</v>
      </c>
      <c r="L2950" s="62"/>
      <c r="M2950" s="25"/>
      <c r="N2950" s="25"/>
      <c r="O2950" s="25">
        <f t="shared" si="0"/>
        <v>0</v>
      </c>
      <c r="P2950" s="25" t="str">
        <f t="shared" si="2"/>
        <v/>
      </c>
      <c r="Q2950" s="25" t="str">
        <f ca="1">IFERROR(__xludf.DUMMYFUNCTION("""COMPUTED_VALUE"""),"Sin defenir")</f>
        <v>Sin defenir</v>
      </c>
      <c r="R2950" s="25"/>
      <c r="S2950" s="55"/>
      <c r="T2950" s="56"/>
      <c r="U2950" s="25"/>
      <c r="V2950" s="25"/>
      <c r="W2950" s="25"/>
      <c r="X2950" s="25"/>
      <c r="Y2950" s="25"/>
      <c r="Z2950" s="25"/>
    </row>
    <row r="2951" spans="1:26" ht="52.5" customHeight="1" x14ac:dyDescent="0.25">
      <c r="A2951" s="25" t="str">
        <f ca="1">IFERROR(__xludf.DUMMYFUNCTION("""COMPUTED_VALUE"""),"Ambie249")</f>
        <v>Ambie249</v>
      </c>
      <c r="B2951" s="25"/>
      <c r="C2951" s="55"/>
      <c r="D2951" s="25" t="str">
        <f ca="1">IFERROR(__xludf.DUMMYFUNCTION("""COMPUTED_VALUE"""),"Ambiente")</f>
        <v>Ambiente</v>
      </c>
      <c r="E2951" s="25"/>
      <c r="F2951" s="25"/>
      <c r="G2951" s="25"/>
      <c r="H2951" s="25"/>
      <c r="I2951" s="25"/>
      <c r="J2951" s="55"/>
      <c r="K2951" s="25" t="str">
        <f ca="1">IFERROR(__xludf.DUMMYFUNCTION("""COMPUTED_VALUE"""),"Definir fecha")</f>
        <v>Definir fecha</v>
      </c>
      <c r="L2951" s="62"/>
      <c r="M2951" s="25"/>
      <c r="N2951" s="25"/>
      <c r="O2951" s="25">
        <f t="shared" si="0"/>
        <v>0</v>
      </c>
      <c r="P2951" s="25" t="str">
        <f t="shared" si="2"/>
        <v/>
      </c>
      <c r="Q2951" s="25" t="str">
        <f ca="1">IFERROR(__xludf.DUMMYFUNCTION("""COMPUTED_VALUE"""),"Sin defenir")</f>
        <v>Sin defenir</v>
      </c>
      <c r="R2951" s="25"/>
      <c r="S2951" s="55"/>
      <c r="T2951" s="56"/>
      <c r="U2951" s="25"/>
      <c r="V2951" s="25"/>
      <c r="W2951" s="25"/>
      <c r="X2951" s="25"/>
      <c r="Y2951" s="25"/>
      <c r="Z2951" s="25"/>
    </row>
    <row r="2952" spans="1:26" ht="52.5" customHeight="1" x14ac:dyDescent="0.25">
      <c r="A2952" s="25" t="str">
        <f ca="1">IFERROR(__xludf.DUMMYFUNCTION("""COMPUTED_VALUE"""),"Ambie250")</f>
        <v>Ambie250</v>
      </c>
      <c r="B2952" s="25"/>
      <c r="C2952" s="55"/>
      <c r="D2952" s="25" t="str">
        <f ca="1">IFERROR(__xludf.DUMMYFUNCTION("""COMPUTED_VALUE"""),"Ambiente")</f>
        <v>Ambiente</v>
      </c>
      <c r="E2952" s="25"/>
      <c r="F2952" s="25"/>
      <c r="G2952" s="25"/>
      <c r="H2952" s="25"/>
      <c r="I2952" s="25"/>
      <c r="J2952" s="55"/>
      <c r="K2952" s="25" t="str">
        <f ca="1">IFERROR(__xludf.DUMMYFUNCTION("""COMPUTED_VALUE"""),"Definir fecha")</f>
        <v>Definir fecha</v>
      </c>
      <c r="L2952" s="62"/>
      <c r="M2952" s="25"/>
      <c r="N2952" s="25"/>
      <c r="O2952" s="25">
        <f t="shared" si="0"/>
        <v>0</v>
      </c>
      <c r="P2952" s="25" t="str">
        <f t="shared" si="2"/>
        <v/>
      </c>
      <c r="Q2952" s="25" t="str">
        <f ca="1">IFERROR(__xludf.DUMMYFUNCTION("""COMPUTED_VALUE"""),"Sin defenir")</f>
        <v>Sin defenir</v>
      </c>
      <c r="R2952" s="25"/>
      <c r="S2952" s="55"/>
      <c r="T2952" s="56"/>
      <c r="U2952" s="25"/>
      <c r="V2952" s="25"/>
      <c r="W2952" s="25"/>
      <c r="X2952" s="25"/>
      <c r="Y2952" s="25"/>
      <c r="Z2952" s="25"/>
    </row>
    <row r="2953" spans="1:26" ht="52.5" customHeight="1" x14ac:dyDescent="0.25">
      <c r="A2953" s="25" t="str">
        <f ca="1">IFERROR(__xludf.DUMMYFUNCTION("""COMPUTED_VALUE"""),"Ambie251")</f>
        <v>Ambie251</v>
      </c>
      <c r="B2953" s="25"/>
      <c r="C2953" s="55"/>
      <c r="D2953" s="25" t="str">
        <f ca="1">IFERROR(__xludf.DUMMYFUNCTION("""COMPUTED_VALUE"""),"Ambiente")</f>
        <v>Ambiente</v>
      </c>
      <c r="E2953" s="25"/>
      <c r="F2953" s="25"/>
      <c r="G2953" s="25"/>
      <c r="H2953" s="25"/>
      <c r="I2953" s="25"/>
      <c r="J2953" s="55"/>
      <c r="K2953" s="25" t="str">
        <f ca="1">IFERROR(__xludf.DUMMYFUNCTION("""COMPUTED_VALUE"""),"Definir fecha")</f>
        <v>Definir fecha</v>
      </c>
      <c r="L2953" s="62"/>
      <c r="M2953" s="25"/>
      <c r="N2953" s="25"/>
      <c r="O2953" s="25">
        <f t="shared" si="0"/>
        <v>0</v>
      </c>
      <c r="P2953" s="25" t="str">
        <f t="shared" si="2"/>
        <v/>
      </c>
      <c r="Q2953" s="25" t="str">
        <f ca="1">IFERROR(__xludf.DUMMYFUNCTION("""COMPUTED_VALUE"""),"Sin defenir")</f>
        <v>Sin defenir</v>
      </c>
      <c r="R2953" s="25"/>
      <c r="S2953" s="55"/>
      <c r="T2953" s="56"/>
      <c r="U2953" s="25"/>
      <c r="V2953" s="25"/>
      <c r="W2953" s="25"/>
      <c r="X2953" s="25"/>
      <c r="Y2953" s="25"/>
      <c r="Z2953" s="25"/>
    </row>
    <row r="2954" spans="1:26" ht="52.5" customHeight="1" x14ac:dyDescent="0.25">
      <c r="A2954" s="25" t="str">
        <f ca="1">IFERROR(__xludf.DUMMYFUNCTION("""COMPUTED_VALUE"""),"Ambie252")</f>
        <v>Ambie252</v>
      </c>
      <c r="B2954" s="25"/>
      <c r="C2954" s="55"/>
      <c r="D2954" s="25" t="str">
        <f ca="1">IFERROR(__xludf.DUMMYFUNCTION("""COMPUTED_VALUE"""),"Ambiente")</f>
        <v>Ambiente</v>
      </c>
      <c r="E2954" s="25"/>
      <c r="F2954" s="25"/>
      <c r="G2954" s="25"/>
      <c r="H2954" s="25"/>
      <c r="I2954" s="25"/>
      <c r="J2954" s="55"/>
      <c r="K2954" s="25" t="str">
        <f ca="1">IFERROR(__xludf.DUMMYFUNCTION("""COMPUTED_VALUE"""),"Definir fecha")</f>
        <v>Definir fecha</v>
      </c>
      <c r="L2954" s="62"/>
      <c r="M2954" s="25"/>
      <c r="N2954" s="25"/>
      <c r="O2954" s="25">
        <f t="shared" si="0"/>
        <v>0</v>
      </c>
      <c r="P2954" s="25" t="str">
        <f t="shared" si="2"/>
        <v/>
      </c>
      <c r="Q2954" s="25" t="str">
        <f ca="1">IFERROR(__xludf.DUMMYFUNCTION("""COMPUTED_VALUE"""),"Sin defenir")</f>
        <v>Sin defenir</v>
      </c>
      <c r="R2954" s="25"/>
      <c r="S2954" s="55"/>
      <c r="T2954" s="56"/>
      <c r="U2954" s="25"/>
      <c r="V2954" s="25"/>
      <c r="W2954" s="25"/>
      <c r="X2954" s="25"/>
      <c r="Y2954" s="25"/>
      <c r="Z2954" s="25"/>
    </row>
    <row r="2955" spans="1:26" ht="52.5" customHeight="1" x14ac:dyDescent="0.25">
      <c r="A2955" s="25" t="str">
        <f ca="1">IFERROR(__xludf.DUMMYFUNCTION("""COMPUTED_VALUE"""),"Ambie253")</f>
        <v>Ambie253</v>
      </c>
      <c r="B2955" s="25"/>
      <c r="C2955" s="55"/>
      <c r="D2955" s="25" t="str">
        <f ca="1">IFERROR(__xludf.DUMMYFUNCTION("""COMPUTED_VALUE"""),"Ambiente")</f>
        <v>Ambiente</v>
      </c>
      <c r="E2955" s="25"/>
      <c r="F2955" s="25"/>
      <c r="G2955" s="25"/>
      <c r="H2955" s="25"/>
      <c r="I2955" s="25"/>
      <c r="J2955" s="55"/>
      <c r="K2955" s="25" t="str">
        <f ca="1">IFERROR(__xludf.DUMMYFUNCTION("""COMPUTED_VALUE"""),"Definir fecha")</f>
        <v>Definir fecha</v>
      </c>
      <c r="L2955" s="62"/>
      <c r="M2955" s="25"/>
      <c r="N2955" s="25"/>
      <c r="O2955" s="25">
        <f t="shared" si="0"/>
        <v>0</v>
      </c>
      <c r="P2955" s="25" t="str">
        <f t="shared" si="2"/>
        <v/>
      </c>
      <c r="Q2955" s="25" t="str">
        <f ca="1">IFERROR(__xludf.DUMMYFUNCTION("""COMPUTED_VALUE"""),"Sin defenir")</f>
        <v>Sin defenir</v>
      </c>
      <c r="R2955" s="25"/>
      <c r="S2955" s="55"/>
      <c r="T2955" s="56"/>
      <c r="U2955" s="25"/>
      <c r="V2955" s="25"/>
      <c r="W2955" s="25"/>
      <c r="X2955" s="25"/>
      <c r="Y2955" s="25"/>
      <c r="Z2955" s="25"/>
    </row>
    <row r="2956" spans="1:26" ht="52.5" customHeight="1" x14ac:dyDescent="0.25">
      <c r="A2956" s="25" t="str">
        <f ca="1">IFERROR(__xludf.DUMMYFUNCTION("""COMPUTED_VALUE"""),"Ambie254")</f>
        <v>Ambie254</v>
      </c>
      <c r="B2956" s="25"/>
      <c r="C2956" s="55"/>
      <c r="D2956" s="25" t="str">
        <f ca="1">IFERROR(__xludf.DUMMYFUNCTION("""COMPUTED_VALUE"""),"Ambiente")</f>
        <v>Ambiente</v>
      </c>
      <c r="E2956" s="25"/>
      <c r="F2956" s="25"/>
      <c r="G2956" s="25"/>
      <c r="H2956" s="25"/>
      <c r="I2956" s="25"/>
      <c r="J2956" s="55"/>
      <c r="K2956" s="25" t="str">
        <f ca="1">IFERROR(__xludf.DUMMYFUNCTION("""COMPUTED_VALUE"""),"Definir fecha")</f>
        <v>Definir fecha</v>
      </c>
      <c r="L2956" s="62"/>
      <c r="M2956" s="25"/>
      <c r="N2956" s="25"/>
      <c r="O2956" s="25">
        <f t="shared" si="0"/>
        <v>0</v>
      </c>
      <c r="P2956" s="25" t="str">
        <f t="shared" si="2"/>
        <v/>
      </c>
      <c r="Q2956" s="25" t="str">
        <f ca="1">IFERROR(__xludf.DUMMYFUNCTION("""COMPUTED_VALUE"""),"Sin defenir")</f>
        <v>Sin defenir</v>
      </c>
      <c r="R2956" s="25"/>
      <c r="S2956" s="55"/>
      <c r="T2956" s="56"/>
      <c r="U2956" s="25"/>
      <c r="V2956" s="25"/>
      <c r="W2956" s="25"/>
      <c r="X2956" s="25"/>
      <c r="Y2956" s="25"/>
      <c r="Z2956" s="25"/>
    </row>
    <row r="2957" spans="1:26" ht="52.5" customHeight="1" x14ac:dyDescent="0.25">
      <c r="A2957" s="25" t="str">
        <f ca="1">IFERROR(__xludf.DUMMYFUNCTION("""COMPUTED_VALUE"""),"Ambie255")</f>
        <v>Ambie255</v>
      </c>
      <c r="B2957" s="25"/>
      <c r="C2957" s="55"/>
      <c r="D2957" s="25" t="str">
        <f ca="1">IFERROR(__xludf.DUMMYFUNCTION("""COMPUTED_VALUE"""),"Ambiente")</f>
        <v>Ambiente</v>
      </c>
      <c r="E2957" s="25"/>
      <c r="F2957" s="25"/>
      <c r="G2957" s="25"/>
      <c r="H2957" s="25"/>
      <c r="I2957" s="25"/>
      <c r="J2957" s="55"/>
      <c r="K2957" s="25" t="str">
        <f ca="1">IFERROR(__xludf.DUMMYFUNCTION("""COMPUTED_VALUE"""),"Definir fecha")</f>
        <v>Definir fecha</v>
      </c>
      <c r="L2957" s="62"/>
      <c r="M2957" s="25"/>
      <c r="N2957" s="25"/>
      <c r="O2957" s="25">
        <f t="shared" si="0"/>
        <v>0</v>
      </c>
      <c r="P2957" s="25" t="str">
        <f t="shared" si="2"/>
        <v/>
      </c>
      <c r="Q2957" s="25" t="str">
        <f ca="1">IFERROR(__xludf.DUMMYFUNCTION("""COMPUTED_VALUE"""),"Sin defenir")</f>
        <v>Sin defenir</v>
      </c>
      <c r="R2957" s="25"/>
      <c r="S2957" s="55"/>
      <c r="T2957" s="56"/>
      <c r="U2957" s="25"/>
      <c r="V2957" s="25"/>
      <c r="W2957" s="25"/>
      <c r="X2957" s="25"/>
      <c r="Y2957" s="25"/>
      <c r="Z2957" s="25"/>
    </row>
    <row r="2958" spans="1:26" ht="52.5" customHeight="1" x14ac:dyDescent="0.25">
      <c r="A2958" s="25" t="str">
        <f ca="1">IFERROR(__xludf.DUMMYFUNCTION("""COMPUTED_VALUE"""),"Ambie256")</f>
        <v>Ambie256</v>
      </c>
      <c r="B2958" s="25"/>
      <c r="C2958" s="55"/>
      <c r="D2958" s="25" t="str">
        <f ca="1">IFERROR(__xludf.DUMMYFUNCTION("""COMPUTED_VALUE"""),"Ambiente")</f>
        <v>Ambiente</v>
      </c>
      <c r="E2958" s="25"/>
      <c r="F2958" s="25"/>
      <c r="G2958" s="25"/>
      <c r="H2958" s="25"/>
      <c r="I2958" s="25"/>
      <c r="J2958" s="55"/>
      <c r="K2958" s="25" t="str">
        <f ca="1">IFERROR(__xludf.DUMMYFUNCTION("""COMPUTED_VALUE"""),"Definir fecha")</f>
        <v>Definir fecha</v>
      </c>
      <c r="L2958" s="62"/>
      <c r="M2958" s="25"/>
      <c r="N2958" s="25"/>
      <c r="O2958" s="25">
        <f t="shared" si="0"/>
        <v>0</v>
      </c>
      <c r="P2958" s="25" t="str">
        <f t="shared" si="2"/>
        <v/>
      </c>
      <c r="Q2958" s="25" t="str">
        <f ca="1">IFERROR(__xludf.DUMMYFUNCTION("""COMPUTED_VALUE"""),"Sin defenir")</f>
        <v>Sin defenir</v>
      </c>
      <c r="R2958" s="25"/>
      <c r="S2958" s="55"/>
      <c r="T2958" s="56"/>
      <c r="U2958" s="25"/>
      <c r="V2958" s="25"/>
      <c r="W2958" s="25"/>
      <c r="X2958" s="25"/>
      <c r="Y2958" s="25"/>
      <c r="Z2958" s="25"/>
    </row>
    <row r="2959" spans="1:26" ht="52.5" customHeight="1" x14ac:dyDescent="0.25">
      <c r="A2959" s="25" t="str">
        <f ca="1">IFERROR(__xludf.DUMMYFUNCTION("""COMPUTED_VALUE"""),"Ambie257")</f>
        <v>Ambie257</v>
      </c>
      <c r="B2959" s="25"/>
      <c r="C2959" s="55"/>
      <c r="D2959" s="25" t="str">
        <f ca="1">IFERROR(__xludf.DUMMYFUNCTION("""COMPUTED_VALUE"""),"Ambiente")</f>
        <v>Ambiente</v>
      </c>
      <c r="E2959" s="25"/>
      <c r="F2959" s="25"/>
      <c r="G2959" s="25"/>
      <c r="H2959" s="25"/>
      <c r="I2959" s="25"/>
      <c r="J2959" s="55"/>
      <c r="K2959" s="25" t="str">
        <f ca="1">IFERROR(__xludf.DUMMYFUNCTION("""COMPUTED_VALUE"""),"Definir fecha")</f>
        <v>Definir fecha</v>
      </c>
      <c r="L2959" s="62"/>
      <c r="M2959" s="25"/>
      <c r="N2959" s="25"/>
      <c r="O2959" s="25">
        <f t="shared" si="0"/>
        <v>0</v>
      </c>
      <c r="P2959" s="25" t="str">
        <f t="shared" si="2"/>
        <v/>
      </c>
      <c r="Q2959" s="25" t="str">
        <f ca="1">IFERROR(__xludf.DUMMYFUNCTION("""COMPUTED_VALUE"""),"Sin defenir")</f>
        <v>Sin defenir</v>
      </c>
      <c r="R2959" s="25"/>
      <c r="S2959" s="55"/>
      <c r="T2959" s="56"/>
      <c r="U2959" s="25"/>
      <c r="V2959" s="25"/>
      <c r="W2959" s="25"/>
      <c r="X2959" s="25"/>
      <c r="Y2959" s="25"/>
      <c r="Z2959" s="25"/>
    </row>
    <row r="2960" spans="1:26" ht="52.5" customHeight="1" x14ac:dyDescent="0.25">
      <c r="A2960" s="25" t="str">
        <f ca="1">IFERROR(__xludf.DUMMYFUNCTION("""COMPUTED_VALUE"""),"Ambie258")</f>
        <v>Ambie258</v>
      </c>
      <c r="B2960" s="25"/>
      <c r="C2960" s="55"/>
      <c r="D2960" s="25" t="str">
        <f ca="1">IFERROR(__xludf.DUMMYFUNCTION("""COMPUTED_VALUE"""),"Ambiente")</f>
        <v>Ambiente</v>
      </c>
      <c r="E2960" s="25"/>
      <c r="F2960" s="25"/>
      <c r="G2960" s="25"/>
      <c r="H2960" s="25"/>
      <c r="I2960" s="25"/>
      <c r="J2960" s="55"/>
      <c r="K2960" s="25" t="str">
        <f ca="1">IFERROR(__xludf.DUMMYFUNCTION("""COMPUTED_VALUE"""),"Definir fecha")</f>
        <v>Definir fecha</v>
      </c>
      <c r="L2960" s="62"/>
      <c r="M2960" s="25"/>
      <c r="N2960" s="25"/>
      <c r="O2960" s="25">
        <f t="shared" si="0"/>
        <v>0</v>
      </c>
      <c r="P2960" s="25" t="str">
        <f t="shared" si="2"/>
        <v/>
      </c>
      <c r="Q2960" s="25" t="str">
        <f ca="1">IFERROR(__xludf.DUMMYFUNCTION("""COMPUTED_VALUE"""),"Sin defenir")</f>
        <v>Sin defenir</v>
      </c>
      <c r="R2960" s="25"/>
      <c r="S2960" s="55"/>
      <c r="T2960" s="56"/>
      <c r="U2960" s="25"/>
      <c r="V2960" s="25"/>
      <c r="W2960" s="25"/>
      <c r="X2960" s="25"/>
      <c r="Y2960" s="25"/>
      <c r="Z2960" s="25"/>
    </row>
    <row r="2961" spans="1:26" ht="52.5" customHeight="1" x14ac:dyDescent="0.25">
      <c r="A2961" s="25" t="str">
        <f ca="1">IFERROR(__xludf.DUMMYFUNCTION("""COMPUTED_VALUE"""),"Ambie259")</f>
        <v>Ambie259</v>
      </c>
      <c r="B2961" s="25"/>
      <c r="C2961" s="55"/>
      <c r="D2961" s="25" t="str">
        <f ca="1">IFERROR(__xludf.DUMMYFUNCTION("""COMPUTED_VALUE"""),"Ambiente")</f>
        <v>Ambiente</v>
      </c>
      <c r="E2961" s="25"/>
      <c r="F2961" s="25"/>
      <c r="G2961" s="25"/>
      <c r="H2961" s="25"/>
      <c r="I2961" s="25"/>
      <c r="J2961" s="55"/>
      <c r="K2961" s="25" t="str">
        <f ca="1">IFERROR(__xludf.DUMMYFUNCTION("""COMPUTED_VALUE"""),"Definir fecha")</f>
        <v>Definir fecha</v>
      </c>
      <c r="L2961" s="62"/>
      <c r="M2961" s="25"/>
      <c r="N2961" s="25"/>
      <c r="O2961" s="25">
        <f t="shared" si="0"/>
        <v>0</v>
      </c>
      <c r="P2961" s="25" t="str">
        <f t="shared" si="2"/>
        <v/>
      </c>
      <c r="Q2961" s="25" t="str">
        <f ca="1">IFERROR(__xludf.DUMMYFUNCTION("""COMPUTED_VALUE"""),"Sin defenir")</f>
        <v>Sin defenir</v>
      </c>
      <c r="R2961" s="25"/>
      <c r="S2961" s="55"/>
      <c r="T2961" s="56"/>
      <c r="U2961" s="25"/>
      <c r="V2961" s="25"/>
      <c r="W2961" s="25"/>
      <c r="X2961" s="25"/>
      <c r="Y2961" s="25"/>
      <c r="Z2961" s="25"/>
    </row>
    <row r="2962" spans="1:26" ht="52.5" customHeight="1" x14ac:dyDescent="0.25">
      <c r="A2962" s="25" t="str">
        <f ca="1">IFERROR(__xludf.DUMMYFUNCTION("""COMPUTED_VALUE"""),"Ambie260")</f>
        <v>Ambie260</v>
      </c>
      <c r="B2962" s="25"/>
      <c r="C2962" s="55"/>
      <c r="D2962" s="25" t="str">
        <f ca="1">IFERROR(__xludf.DUMMYFUNCTION("""COMPUTED_VALUE"""),"Ambiente")</f>
        <v>Ambiente</v>
      </c>
      <c r="E2962" s="25"/>
      <c r="F2962" s="25"/>
      <c r="G2962" s="25"/>
      <c r="H2962" s="25"/>
      <c r="I2962" s="25"/>
      <c r="J2962" s="55"/>
      <c r="K2962" s="25" t="str">
        <f ca="1">IFERROR(__xludf.DUMMYFUNCTION("""COMPUTED_VALUE"""),"Definir fecha")</f>
        <v>Definir fecha</v>
      </c>
      <c r="L2962" s="62"/>
      <c r="M2962" s="25"/>
      <c r="N2962" s="25"/>
      <c r="O2962" s="25">
        <f t="shared" si="0"/>
        <v>0</v>
      </c>
      <c r="P2962" s="25" t="str">
        <f t="shared" si="2"/>
        <v/>
      </c>
      <c r="Q2962" s="25" t="str">
        <f ca="1">IFERROR(__xludf.DUMMYFUNCTION("""COMPUTED_VALUE"""),"Sin defenir")</f>
        <v>Sin defenir</v>
      </c>
      <c r="R2962" s="25"/>
      <c r="S2962" s="55"/>
      <c r="T2962" s="56"/>
      <c r="U2962" s="25"/>
      <c r="V2962" s="25"/>
      <c r="W2962" s="25"/>
      <c r="X2962" s="25"/>
      <c r="Y2962" s="25"/>
      <c r="Z2962" s="25"/>
    </row>
    <row r="2963" spans="1:26" ht="52.5" customHeight="1" x14ac:dyDescent="0.25">
      <c r="A2963" s="25" t="str">
        <f ca="1">IFERROR(__xludf.DUMMYFUNCTION("""COMPUTED_VALUE"""),"Ambie261")</f>
        <v>Ambie261</v>
      </c>
      <c r="B2963" s="25"/>
      <c r="C2963" s="55"/>
      <c r="D2963" s="25" t="str">
        <f ca="1">IFERROR(__xludf.DUMMYFUNCTION("""COMPUTED_VALUE"""),"Ambiente")</f>
        <v>Ambiente</v>
      </c>
      <c r="E2963" s="25"/>
      <c r="F2963" s="25"/>
      <c r="G2963" s="25"/>
      <c r="H2963" s="25"/>
      <c r="I2963" s="25"/>
      <c r="J2963" s="55"/>
      <c r="K2963" s="25" t="str">
        <f ca="1">IFERROR(__xludf.DUMMYFUNCTION("""COMPUTED_VALUE"""),"Definir fecha")</f>
        <v>Definir fecha</v>
      </c>
      <c r="L2963" s="62"/>
      <c r="M2963" s="25"/>
      <c r="N2963" s="25"/>
      <c r="O2963" s="25">
        <f t="shared" si="0"/>
        <v>0</v>
      </c>
      <c r="P2963" s="25" t="str">
        <f t="shared" si="2"/>
        <v/>
      </c>
      <c r="Q2963" s="25" t="str">
        <f ca="1">IFERROR(__xludf.DUMMYFUNCTION("""COMPUTED_VALUE"""),"Sin defenir")</f>
        <v>Sin defenir</v>
      </c>
      <c r="R2963" s="25"/>
      <c r="S2963" s="55"/>
      <c r="T2963" s="56"/>
      <c r="U2963" s="25"/>
      <c r="V2963" s="25"/>
      <c r="W2963" s="25"/>
      <c r="X2963" s="25"/>
      <c r="Y2963" s="25"/>
      <c r="Z2963" s="25"/>
    </row>
    <row r="2964" spans="1:26" ht="52.5" customHeight="1" x14ac:dyDescent="0.25">
      <c r="A2964" s="25" t="str">
        <f ca="1">IFERROR(__xludf.DUMMYFUNCTION("""COMPUTED_VALUE"""),"Ambie262")</f>
        <v>Ambie262</v>
      </c>
      <c r="B2964" s="25"/>
      <c r="C2964" s="55"/>
      <c r="D2964" s="25" t="str">
        <f ca="1">IFERROR(__xludf.DUMMYFUNCTION("""COMPUTED_VALUE"""),"Ambiente")</f>
        <v>Ambiente</v>
      </c>
      <c r="E2964" s="25"/>
      <c r="F2964" s="25"/>
      <c r="G2964" s="25"/>
      <c r="H2964" s="25"/>
      <c r="I2964" s="25"/>
      <c r="J2964" s="55"/>
      <c r="K2964" s="25" t="str">
        <f ca="1">IFERROR(__xludf.DUMMYFUNCTION("""COMPUTED_VALUE"""),"Definir fecha")</f>
        <v>Definir fecha</v>
      </c>
      <c r="L2964" s="62"/>
      <c r="M2964" s="25"/>
      <c r="N2964" s="25"/>
      <c r="O2964" s="25">
        <f t="shared" si="0"/>
        <v>0</v>
      </c>
      <c r="P2964" s="25" t="str">
        <f t="shared" si="2"/>
        <v/>
      </c>
      <c r="Q2964" s="25" t="str">
        <f ca="1">IFERROR(__xludf.DUMMYFUNCTION("""COMPUTED_VALUE"""),"Sin defenir")</f>
        <v>Sin defenir</v>
      </c>
      <c r="R2964" s="25"/>
      <c r="S2964" s="55"/>
      <c r="T2964" s="56"/>
      <c r="U2964" s="25"/>
      <c r="V2964" s="25"/>
      <c r="W2964" s="25"/>
      <c r="X2964" s="25"/>
      <c r="Y2964" s="25"/>
      <c r="Z2964" s="25"/>
    </row>
    <row r="2965" spans="1:26" ht="52.5" customHeight="1" x14ac:dyDescent="0.25">
      <c r="A2965" s="25" t="str">
        <f ca="1">IFERROR(__xludf.DUMMYFUNCTION("""COMPUTED_VALUE"""),"Ambie263")</f>
        <v>Ambie263</v>
      </c>
      <c r="B2965" s="25"/>
      <c r="C2965" s="55"/>
      <c r="D2965" s="25" t="str">
        <f ca="1">IFERROR(__xludf.DUMMYFUNCTION("""COMPUTED_VALUE"""),"Ambiente")</f>
        <v>Ambiente</v>
      </c>
      <c r="E2965" s="25"/>
      <c r="F2965" s="25"/>
      <c r="G2965" s="25"/>
      <c r="H2965" s="25"/>
      <c r="I2965" s="25"/>
      <c r="J2965" s="55"/>
      <c r="K2965" s="25" t="str">
        <f ca="1">IFERROR(__xludf.DUMMYFUNCTION("""COMPUTED_VALUE"""),"Definir fecha")</f>
        <v>Definir fecha</v>
      </c>
      <c r="L2965" s="62"/>
      <c r="M2965" s="25"/>
      <c r="N2965" s="25"/>
      <c r="O2965" s="25">
        <f t="shared" si="0"/>
        <v>0</v>
      </c>
      <c r="P2965" s="25" t="str">
        <f t="shared" si="2"/>
        <v/>
      </c>
      <c r="Q2965" s="25" t="str">
        <f ca="1">IFERROR(__xludf.DUMMYFUNCTION("""COMPUTED_VALUE"""),"Sin defenir")</f>
        <v>Sin defenir</v>
      </c>
      <c r="R2965" s="25"/>
      <c r="S2965" s="55"/>
      <c r="T2965" s="56"/>
      <c r="U2965" s="25"/>
      <c r="V2965" s="25"/>
      <c r="W2965" s="25"/>
      <c r="X2965" s="25"/>
      <c r="Y2965" s="25"/>
      <c r="Z2965" s="25"/>
    </row>
    <row r="2966" spans="1:26" ht="52.5" customHeight="1" x14ac:dyDescent="0.25">
      <c r="A2966" s="25" t="str">
        <f ca="1">IFERROR(__xludf.DUMMYFUNCTION("""COMPUTED_VALUE"""),"Ambie264")</f>
        <v>Ambie264</v>
      </c>
      <c r="B2966" s="25"/>
      <c r="C2966" s="55"/>
      <c r="D2966" s="25" t="str">
        <f ca="1">IFERROR(__xludf.DUMMYFUNCTION("""COMPUTED_VALUE"""),"Ambiente")</f>
        <v>Ambiente</v>
      </c>
      <c r="E2966" s="25"/>
      <c r="F2966" s="25"/>
      <c r="G2966" s="25"/>
      <c r="H2966" s="25"/>
      <c r="I2966" s="25"/>
      <c r="J2966" s="55"/>
      <c r="K2966" s="25" t="str">
        <f ca="1">IFERROR(__xludf.DUMMYFUNCTION("""COMPUTED_VALUE"""),"Definir fecha")</f>
        <v>Definir fecha</v>
      </c>
      <c r="L2966" s="62"/>
      <c r="M2966" s="25"/>
      <c r="N2966" s="25"/>
      <c r="O2966" s="25">
        <f t="shared" si="0"/>
        <v>0</v>
      </c>
      <c r="P2966" s="25" t="str">
        <f t="shared" si="2"/>
        <v/>
      </c>
      <c r="Q2966" s="25" t="str">
        <f ca="1">IFERROR(__xludf.DUMMYFUNCTION("""COMPUTED_VALUE"""),"Sin defenir")</f>
        <v>Sin defenir</v>
      </c>
      <c r="R2966" s="25"/>
      <c r="S2966" s="55"/>
      <c r="T2966" s="56"/>
      <c r="U2966" s="25"/>
      <c r="V2966" s="25"/>
      <c r="W2966" s="25"/>
      <c r="X2966" s="25"/>
      <c r="Y2966" s="25"/>
      <c r="Z2966" s="25"/>
    </row>
    <row r="2967" spans="1:26" ht="52.5" customHeight="1" x14ac:dyDescent="0.25">
      <c r="A2967" s="25" t="str">
        <f ca="1">IFERROR(__xludf.DUMMYFUNCTION("""COMPUTED_VALUE"""),"Ambie265")</f>
        <v>Ambie265</v>
      </c>
      <c r="B2967" s="25"/>
      <c r="C2967" s="55"/>
      <c r="D2967" s="25" t="str">
        <f ca="1">IFERROR(__xludf.DUMMYFUNCTION("""COMPUTED_VALUE"""),"Ambiente")</f>
        <v>Ambiente</v>
      </c>
      <c r="E2967" s="25"/>
      <c r="F2967" s="25"/>
      <c r="G2967" s="25"/>
      <c r="H2967" s="25"/>
      <c r="I2967" s="25"/>
      <c r="J2967" s="55"/>
      <c r="K2967" s="25" t="str">
        <f ca="1">IFERROR(__xludf.DUMMYFUNCTION("""COMPUTED_VALUE"""),"Definir fecha")</f>
        <v>Definir fecha</v>
      </c>
      <c r="L2967" s="62"/>
      <c r="M2967" s="25"/>
      <c r="N2967" s="25"/>
      <c r="O2967" s="25">
        <f t="shared" si="0"/>
        <v>0</v>
      </c>
      <c r="P2967" s="25" t="str">
        <f t="shared" si="2"/>
        <v/>
      </c>
      <c r="Q2967" s="25" t="str">
        <f ca="1">IFERROR(__xludf.DUMMYFUNCTION("""COMPUTED_VALUE"""),"Sin defenir")</f>
        <v>Sin defenir</v>
      </c>
      <c r="R2967" s="25"/>
      <c r="S2967" s="55"/>
      <c r="T2967" s="56"/>
      <c r="U2967" s="25"/>
      <c r="V2967" s="25"/>
      <c r="W2967" s="25"/>
      <c r="X2967" s="25"/>
      <c r="Y2967" s="25"/>
      <c r="Z2967" s="25"/>
    </row>
    <row r="2968" spans="1:26" ht="52.5" customHeight="1" x14ac:dyDescent="0.25">
      <c r="A2968" s="25" t="str">
        <f ca="1">IFERROR(__xludf.DUMMYFUNCTION("""COMPUTED_VALUE"""),"Ambie266")</f>
        <v>Ambie266</v>
      </c>
      <c r="B2968" s="25"/>
      <c r="C2968" s="55"/>
      <c r="D2968" s="25" t="str">
        <f ca="1">IFERROR(__xludf.DUMMYFUNCTION("""COMPUTED_VALUE"""),"Ambiente")</f>
        <v>Ambiente</v>
      </c>
      <c r="E2968" s="25"/>
      <c r="F2968" s="25"/>
      <c r="G2968" s="25"/>
      <c r="H2968" s="25"/>
      <c r="I2968" s="25"/>
      <c r="J2968" s="55"/>
      <c r="K2968" s="25" t="str">
        <f ca="1">IFERROR(__xludf.DUMMYFUNCTION("""COMPUTED_VALUE"""),"Definir fecha")</f>
        <v>Definir fecha</v>
      </c>
      <c r="L2968" s="62"/>
      <c r="M2968" s="25"/>
      <c r="N2968" s="25"/>
      <c r="O2968" s="25">
        <f t="shared" si="0"/>
        <v>0</v>
      </c>
      <c r="P2968" s="25" t="str">
        <f t="shared" si="2"/>
        <v/>
      </c>
      <c r="Q2968" s="25" t="str">
        <f ca="1">IFERROR(__xludf.DUMMYFUNCTION("""COMPUTED_VALUE"""),"Sin defenir")</f>
        <v>Sin defenir</v>
      </c>
      <c r="R2968" s="25"/>
      <c r="S2968" s="55"/>
      <c r="T2968" s="56"/>
      <c r="U2968" s="25"/>
      <c r="V2968" s="25"/>
      <c r="W2968" s="25"/>
      <c r="X2968" s="25"/>
      <c r="Y2968" s="25"/>
      <c r="Z2968" s="25"/>
    </row>
    <row r="2969" spans="1:26" ht="52.5" customHeight="1" x14ac:dyDescent="0.25">
      <c r="A2969" s="25" t="str">
        <f ca="1">IFERROR(__xludf.DUMMYFUNCTION("""COMPUTED_VALUE"""),"Ambie267")</f>
        <v>Ambie267</v>
      </c>
      <c r="B2969" s="25"/>
      <c r="C2969" s="55"/>
      <c r="D2969" s="25" t="str">
        <f ca="1">IFERROR(__xludf.DUMMYFUNCTION("""COMPUTED_VALUE"""),"Ambiente")</f>
        <v>Ambiente</v>
      </c>
      <c r="E2969" s="25"/>
      <c r="F2969" s="25"/>
      <c r="G2969" s="25"/>
      <c r="H2969" s="25"/>
      <c r="I2969" s="25"/>
      <c r="J2969" s="55"/>
      <c r="K2969" s="25" t="str">
        <f ca="1">IFERROR(__xludf.DUMMYFUNCTION("""COMPUTED_VALUE"""),"Definir fecha")</f>
        <v>Definir fecha</v>
      </c>
      <c r="L2969" s="62"/>
      <c r="M2969" s="25"/>
      <c r="N2969" s="25"/>
      <c r="O2969" s="25">
        <f t="shared" si="0"/>
        <v>0</v>
      </c>
      <c r="P2969" s="25" t="str">
        <f t="shared" si="2"/>
        <v/>
      </c>
      <c r="Q2969" s="25" t="str">
        <f ca="1">IFERROR(__xludf.DUMMYFUNCTION("""COMPUTED_VALUE"""),"Sin defenir")</f>
        <v>Sin defenir</v>
      </c>
      <c r="R2969" s="25"/>
      <c r="S2969" s="55"/>
      <c r="T2969" s="56"/>
      <c r="U2969" s="25"/>
      <c r="V2969" s="25"/>
      <c r="W2969" s="25"/>
      <c r="X2969" s="25"/>
      <c r="Y2969" s="25"/>
      <c r="Z2969" s="25"/>
    </row>
    <row r="2970" spans="1:26" ht="52.5" customHeight="1" x14ac:dyDescent="0.25">
      <c r="A2970" s="25" t="str">
        <f ca="1">IFERROR(__xludf.DUMMYFUNCTION("""COMPUTED_VALUE"""),"Ambie268")</f>
        <v>Ambie268</v>
      </c>
      <c r="B2970" s="25"/>
      <c r="C2970" s="55"/>
      <c r="D2970" s="25" t="str">
        <f ca="1">IFERROR(__xludf.DUMMYFUNCTION("""COMPUTED_VALUE"""),"Ambiente")</f>
        <v>Ambiente</v>
      </c>
      <c r="E2970" s="25"/>
      <c r="F2970" s="25"/>
      <c r="G2970" s="25"/>
      <c r="H2970" s="25"/>
      <c r="I2970" s="25"/>
      <c r="J2970" s="55"/>
      <c r="K2970" s="25" t="str">
        <f ca="1">IFERROR(__xludf.DUMMYFUNCTION("""COMPUTED_VALUE"""),"Definir fecha")</f>
        <v>Definir fecha</v>
      </c>
      <c r="L2970" s="62"/>
      <c r="M2970" s="25"/>
      <c r="N2970" s="25"/>
      <c r="O2970" s="25">
        <f t="shared" si="0"/>
        <v>0</v>
      </c>
      <c r="P2970" s="25" t="str">
        <f t="shared" si="2"/>
        <v/>
      </c>
      <c r="Q2970" s="25" t="str">
        <f ca="1">IFERROR(__xludf.DUMMYFUNCTION("""COMPUTED_VALUE"""),"Sin defenir")</f>
        <v>Sin defenir</v>
      </c>
      <c r="R2970" s="25"/>
      <c r="S2970" s="55"/>
      <c r="T2970" s="56"/>
      <c r="U2970" s="25"/>
      <c r="V2970" s="25"/>
      <c r="W2970" s="25"/>
      <c r="X2970" s="25"/>
      <c r="Y2970" s="25"/>
      <c r="Z2970" s="25"/>
    </row>
    <row r="2971" spans="1:26" ht="52.5" customHeight="1" x14ac:dyDescent="0.25">
      <c r="A2971" s="25" t="str">
        <f ca="1">IFERROR(__xludf.DUMMYFUNCTION("""COMPUTED_VALUE"""),"Ambie269")</f>
        <v>Ambie269</v>
      </c>
      <c r="B2971" s="25"/>
      <c r="C2971" s="55"/>
      <c r="D2971" s="25" t="str">
        <f ca="1">IFERROR(__xludf.DUMMYFUNCTION("""COMPUTED_VALUE"""),"Ambiente")</f>
        <v>Ambiente</v>
      </c>
      <c r="E2971" s="25"/>
      <c r="F2971" s="25"/>
      <c r="G2971" s="25"/>
      <c r="H2971" s="25"/>
      <c r="I2971" s="25"/>
      <c r="J2971" s="55"/>
      <c r="K2971" s="25" t="str">
        <f ca="1">IFERROR(__xludf.DUMMYFUNCTION("""COMPUTED_VALUE"""),"Definir fecha")</f>
        <v>Definir fecha</v>
      </c>
      <c r="L2971" s="62"/>
      <c r="M2971" s="25"/>
      <c r="N2971" s="25"/>
      <c r="O2971" s="25">
        <f t="shared" si="0"/>
        <v>0</v>
      </c>
      <c r="P2971" s="25" t="str">
        <f t="shared" si="2"/>
        <v/>
      </c>
      <c r="Q2971" s="25" t="str">
        <f ca="1">IFERROR(__xludf.DUMMYFUNCTION("""COMPUTED_VALUE"""),"Sin defenir")</f>
        <v>Sin defenir</v>
      </c>
      <c r="R2971" s="25"/>
      <c r="S2971" s="55"/>
      <c r="T2971" s="56"/>
      <c r="U2971" s="25"/>
      <c r="V2971" s="25"/>
      <c r="W2971" s="25"/>
      <c r="X2971" s="25"/>
      <c r="Y2971" s="25"/>
      <c r="Z2971" s="25"/>
    </row>
    <row r="2972" spans="1:26" ht="52.5" customHeight="1" x14ac:dyDescent="0.25">
      <c r="A2972" s="25" t="str">
        <f ca="1">IFERROR(__xludf.DUMMYFUNCTION("""COMPUTED_VALUE"""),"Ambie270")</f>
        <v>Ambie270</v>
      </c>
      <c r="B2972" s="25"/>
      <c r="C2972" s="55"/>
      <c r="D2972" s="25" t="str">
        <f ca="1">IFERROR(__xludf.DUMMYFUNCTION("""COMPUTED_VALUE"""),"Ambiente")</f>
        <v>Ambiente</v>
      </c>
      <c r="E2972" s="25"/>
      <c r="F2972" s="25"/>
      <c r="G2972" s="25"/>
      <c r="H2972" s="25"/>
      <c r="I2972" s="25"/>
      <c r="J2972" s="55"/>
      <c r="K2972" s="25" t="str">
        <f ca="1">IFERROR(__xludf.DUMMYFUNCTION("""COMPUTED_VALUE"""),"Definir fecha")</f>
        <v>Definir fecha</v>
      </c>
      <c r="L2972" s="62"/>
      <c r="M2972" s="25"/>
      <c r="N2972" s="25"/>
      <c r="O2972" s="25">
        <f t="shared" si="0"/>
        <v>0</v>
      </c>
      <c r="P2972" s="25" t="str">
        <f t="shared" si="2"/>
        <v/>
      </c>
      <c r="Q2972" s="25" t="str">
        <f ca="1">IFERROR(__xludf.DUMMYFUNCTION("""COMPUTED_VALUE"""),"Sin defenir")</f>
        <v>Sin defenir</v>
      </c>
      <c r="R2972" s="25"/>
      <c r="S2972" s="55"/>
      <c r="T2972" s="56"/>
      <c r="U2972" s="25"/>
      <c r="V2972" s="25"/>
      <c r="W2972" s="25"/>
      <c r="X2972" s="25"/>
      <c r="Y2972" s="25"/>
      <c r="Z2972" s="25"/>
    </row>
    <row r="2973" spans="1:26" ht="52.5" customHeight="1" x14ac:dyDescent="0.25">
      <c r="A2973" s="25" t="str">
        <f ca="1">IFERROR(__xludf.DUMMYFUNCTION("""COMPUTED_VALUE"""),"Ambie271")</f>
        <v>Ambie271</v>
      </c>
      <c r="B2973" s="25"/>
      <c r="C2973" s="55"/>
      <c r="D2973" s="25" t="str">
        <f ca="1">IFERROR(__xludf.DUMMYFUNCTION("""COMPUTED_VALUE"""),"Ambiente")</f>
        <v>Ambiente</v>
      </c>
      <c r="E2973" s="25"/>
      <c r="F2973" s="25"/>
      <c r="G2973" s="25"/>
      <c r="H2973" s="25"/>
      <c r="I2973" s="25"/>
      <c r="J2973" s="55"/>
      <c r="K2973" s="25" t="str">
        <f ca="1">IFERROR(__xludf.DUMMYFUNCTION("""COMPUTED_VALUE"""),"Definir fecha")</f>
        <v>Definir fecha</v>
      </c>
      <c r="L2973" s="62"/>
      <c r="M2973" s="25"/>
      <c r="N2973" s="25"/>
      <c r="O2973" s="25">
        <f t="shared" si="0"/>
        <v>0</v>
      </c>
      <c r="P2973" s="25" t="str">
        <f t="shared" si="2"/>
        <v/>
      </c>
      <c r="Q2973" s="25" t="str">
        <f ca="1">IFERROR(__xludf.DUMMYFUNCTION("""COMPUTED_VALUE"""),"Sin defenir")</f>
        <v>Sin defenir</v>
      </c>
      <c r="R2973" s="25"/>
      <c r="S2973" s="55"/>
      <c r="T2973" s="56"/>
      <c r="U2973" s="25"/>
      <c r="V2973" s="25"/>
      <c r="W2973" s="25"/>
      <c r="X2973" s="25"/>
      <c r="Y2973" s="25"/>
      <c r="Z2973" s="25"/>
    </row>
    <row r="2974" spans="1:26" ht="52.5" customHeight="1" x14ac:dyDescent="0.25">
      <c r="A2974" s="25" t="str">
        <f ca="1">IFERROR(__xludf.DUMMYFUNCTION("""COMPUTED_VALUE"""),"Ambie272")</f>
        <v>Ambie272</v>
      </c>
      <c r="B2974" s="25"/>
      <c r="C2974" s="55"/>
      <c r="D2974" s="25" t="str">
        <f ca="1">IFERROR(__xludf.DUMMYFUNCTION("""COMPUTED_VALUE"""),"Ambiente")</f>
        <v>Ambiente</v>
      </c>
      <c r="E2974" s="25"/>
      <c r="F2974" s="25"/>
      <c r="G2974" s="25"/>
      <c r="H2974" s="25"/>
      <c r="I2974" s="25"/>
      <c r="J2974" s="55"/>
      <c r="K2974" s="25" t="str">
        <f ca="1">IFERROR(__xludf.DUMMYFUNCTION("""COMPUTED_VALUE"""),"Definir fecha")</f>
        <v>Definir fecha</v>
      </c>
      <c r="L2974" s="62"/>
      <c r="M2974" s="25"/>
      <c r="N2974" s="25"/>
      <c r="O2974" s="25">
        <f t="shared" si="0"/>
        <v>0</v>
      </c>
      <c r="P2974" s="25" t="str">
        <f t="shared" si="2"/>
        <v/>
      </c>
      <c r="Q2974" s="25" t="str">
        <f ca="1">IFERROR(__xludf.DUMMYFUNCTION("""COMPUTED_VALUE"""),"Sin defenir")</f>
        <v>Sin defenir</v>
      </c>
      <c r="R2974" s="25"/>
      <c r="S2974" s="55"/>
      <c r="T2974" s="56"/>
      <c r="U2974" s="25"/>
      <c r="V2974" s="25"/>
      <c r="W2974" s="25"/>
      <c r="X2974" s="25"/>
      <c r="Y2974" s="25"/>
      <c r="Z2974" s="25"/>
    </row>
    <row r="2975" spans="1:26" ht="52.5" customHeight="1" x14ac:dyDescent="0.25">
      <c r="A2975" s="25" t="str">
        <f ca="1">IFERROR(__xludf.DUMMYFUNCTION("""COMPUTED_VALUE"""),"Ambie273")</f>
        <v>Ambie273</v>
      </c>
      <c r="B2975" s="25"/>
      <c r="C2975" s="55"/>
      <c r="D2975" s="25" t="str">
        <f ca="1">IFERROR(__xludf.DUMMYFUNCTION("""COMPUTED_VALUE"""),"Ambiente")</f>
        <v>Ambiente</v>
      </c>
      <c r="E2975" s="25"/>
      <c r="F2975" s="25"/>
      <c r="G2975" s="25"/>
      <c r="H2975" s="25"/>
      <c r="I2975" s="25"/>
      <c r="J2975" s="55"/>
      <c r="K2975" s="25" t="str">
        <f ca="1">IFERROR(__xludf.DUMMYFUNCTION("""COMPUTED_VALUE"""),"Definir fecha")</f>
        <v>Definir fecha</v>
      </c>
      <c r="L2975" s="62"/>
      <c r="M2975" s="25"/>
      <c r="N2975" s="25"/>
      <c r="O2975" s="25">
        <f t="shared" si="0"/>
        <v>0</v>
      </c>
      <c r="P2975" s="25" t="str">
        <f t="shared" si="2"/>
        <v/>
      </c>
      <c r="Q2975" s="25" t="str">
        <f ca="1">IFERROR(__xludf.DUMMYFUNCTION("""COMPUTED_VALUE"""),"Sin defenir")</f>
        <v>Sin defenir</v>
      </c>
      <c r="R2975" s="25"/>
      <c r="S2975" s="55"/>
      <c r="T2975" s="56"/>
      <c r="U2975" s="25"/>
      <c r="V2975" s="25"/>
      <c r="W2975" s="25"/>
      <c r="X2975" s="25"/>
      <c r="Y2975" s="25"/>
      <c r="Z2975" s="25"/>
    </row>
    <row r="2976" spans="1:26" ht="52.5" customHeight="1" x14ac:dyDescent="0.25">
      <c r="A2976" s="25" t="str">
        <f ca="1">IFERROR(__xludf.DUMMYFUNCTION("""COMPUTED_VALUE"""),"Ambie274")</f>
        <v>Ambie274</v>
      </c>
      <c r="B2976" s="25"/>
      <c r="C2976" s="55"/>
      <c r="D2976" s="25" t="str">
        <f ca="1">IFERROR(__xludf.DUMMYFUNCTION("""COMPUTED_VALUE"""),"Ambiente")</f>
        <v>Ambiente</v>
      </c>
      <c r="E2976" s="25"/>
      <c r="F2976" s="25"/>
      <c r="G2976" s="25"/>
      <c r="H2976" s="25"/>
      <c r="I2976" s="25"/>
      <c r="J2976" s="55"/>
      <c r="K2976" s="25" t="str">
        <f ca="1">IFERROR(__xludf.DUMMYFUNCTION("""COMPUTED_VALUE"""),"Definir fecha")</f>
        <v>Definir fecha</v>
      </c>
      <c r="L2976" s="62"/>
      <c r="M2976" s="25"/>
      <c r="N2976" s="25"/>
      <c r="O2976" s="25">
        <f t="shared" si="0"/>
        <v>0</v>
      </c>
      <c r="P2976" s="25" t="str">
        <f t="shared" si="2"/>
        <v/>
      </c>
      <c r="Q2976" s="25" t="str">
        <f ca="1">IFERROR(__xludf.DUMMYFUNCTION("""COMPUTED_VALUE"""),"Sin defenir")</f>
        <v>Sin defenir</v>
      </c>
      <c r="R2976" s="25"/>
      <c r="S2976" s="55"/>
      <c r="T2976" s="56"/>
      <c r="U2976" s="25"/>
      <c r="V2976" s="25"/>
      <c r="W2976" s="25"/>
      <c r="X2976" s="25"/>
      <c r="Y2976" s="25"/>
      <c r="Z2976" s="25"/>
    </row>
    <row r="2977" spans="1:26" ht="52.5" customHeight="1" x14ac:dyDescent="0.25">
      <c r="A2977" s="25" t="str">
        <f ca="1">IFERROR(__xludf.DUMMYFUNCTION("""COMPUTED_VALUE"""),"Ambie275")</f>
        <v>Ambie275</v>
      </c>
      <c r="B2977" s="25"/>
      <c r="C2977" s="55"/>
      <c r="D2977" s="25" t="str">
        <f ca="1">IFERROR(__xludf.DUMMYFUNCTION("""COMPUTED_VALUE"""),"Ambiente")</f>
        <v>Ambiente</v>
      </c>
      <c r="E2977" s="25"/>
      <c r="F2977" s="25"/>
      <c r="G2977" s="25"/>
      <c r="H2977" s="25"/>
      <c r="I2977" s="25"/>
      <c r="J2977" s="55"/>
      <c r="K2977" s="25" t="str">
        <f ca="1">IFERROR(__xludf.DUMMYFUNCTION("""COMPUTED_VALUE"""),"Definir fecha")</f>
        <v>Definir fecha</v>
      </c>
      <c r="L2977" s="62"/>
      <c r="M2977" s="25"/>
      <c r="N2977" s="25"/>
      <c r="O2977" s="25">
        <f t="shared" si="0"/>
        <v>0</v>
      </c>
      <c r="P2977" s="25" t="str">
        <f t="shared" si="2"/>
        <v/>
      </c>
      <c r="Q2977" s="25" t="str">
        <f ca="1">IFERROR(__xludf.DUMMYFUNCTION("""COMPUTED_VALUE"""),"Sin defenir")</f>
        <v>Sin defenir</v>
      </c>
      <c r="R2977" s="25"/>
      <c r="S2977" s="55"/>
      <c r="T2977" s="56"/>
      <c r="U2977" s="25"/>
      <c r="V2977" s="25"/>
      <c r="W2977" s="25"/>
      <c r="X2977" s="25"/>
      <c r="Y2977" s="25"/>
      <c r="Z2977" s="25"/>
    </row>
    <row r="2978" spans="1:26" ht="52.5" customHeight="1" x14ac:dyDescent="0.25">
      <c r="A2978" s="25" t="str">
        <f ca="1">IFERROR(__xludf.DUMMYFUNCTION("""COMPUTED_VALUE"""),"Ambie276")</f>
        <v>Ambie276</v>
      </c>
      <c r="B2978" s="25"/>
      <c r="C2978" s="55"/>
      <c r="D2978" s="25" t="str">
        <f ca="1">IFERROR(__xludf.DUMMYFUNCTION("""COMPUTED_VALUE"""),"Ambiente")</f>
        <v>Ambiente</v>
      </c>
      <c r="E2978" s="25"/>
      <c r="F2978" s="25"/>
      <c r="G2978" s="25"/>
      <c r="H2978" s="25"/>
      <c r="I2978" s="25"/>
      <c r="J2978" s="55"/>
      <c r="K2978" s="25" t="str">
        <f ca="1">IFERROR(__xludf.DUMMYFUNCTION("""COMPUTED_VALUE"""),"Definir fecha")</f>
        <v>Definir fecha</v>
      </c>
      <c r="L2978" s="62"/>
      <c r="M2978" s="25"/>
      <c r="N2978" s="25"/>
      <c r="O2978" s="25">
        <f t="shared" si="0"/>
        <v>0</v>
      </c>
      <c r="P2978" s="25" t="str">
        <f t="shared" si="2"/>
        <v/>
      </c>
      <c r="Q2978" s="25" t="str">
        <f ca="1">IFERROR(__xludf.DUMMYFUNCTION("""COMPUTED_VALUE"""),"Sin defenir")</f>
        <v>Sin defenir</v>
      </c>
      <c r="R2978" s="25"/>
      <c r="S2978" s="55"/>
      <c r="T2978" s="56"/>
      <c r="U2978" s="25"/>
      <c r="V2978" s="25"/>
      <c r="W2978" s="25"/>
      <c r="X2978" s="25"/>
      <c r="Y2978" s="25"/>
      <c r="Z2978" s="25"/>
    </row>
    <row r="2979" spans="1:26" ht="52.5" customHeight="1" x14ac:dyDescent="0.25">
      <c r="A2979" s="25" t="str">
        <f ca="1">IFERROR(__xludf.DUMMYFUNCTION("""COMPUTED_VALUE"""),"Ambie277")</f>
        <v>Ambie277</v>
      </c>
      <c r="B2979" s="25"/>
      <c r="C2979" s="55"/>
      <c r="D2979" s="25" t="str">
        <f ca="1">IFERROR(__xludf.DUMMYFUNCTION("""COMPUTED_VALUE"""),"Ambiente")</f>
        <v>Ambiente</v>
      </c>
      <c r="E2979" s="25"/>
      <c r="F2979" s="25"/>
      <c r="G2979" s="25"/>
      <c r="H2979" s="25"/>
      <c r="I2979" s="25"/>
      <c r="J2979" s="55"/>
      <c r="K2979" s="25" t="str">
        <f ca="1">IFERROR(__xludf.DUMMYFUNCTION("""COMPUTED_VALUE"""),"Definir fecha")</f>
        <v>Definir fecha</v>
      </c>
      <c r="L2979" s="62"/>
      <c r="M2979" s="25"/>
      <c r="N2979" s="25"/>
      <c r="O2979" s="25">
        <f t="shared" si="0"/>
        <v>0</v>
      </c>
      <c r="P2979" s="25" t="str">
        <f t="shared" si="2"/>
        <v/>
      </c>
      <c r="Q2979" s="25" t="str">
        <f ca="1">IFERROR(__xludf.DUMMYFUNCTION("""COMPUTED_VALUE"""),"Sin defenir")</f>
        <v>Sin defenir</v>
      </c>
      <c r="R2979" s="25"/>
      <c r="S2979" s="55"/>
      <c r="T2979" s="56"/>
      <c r="U2979" s="25"/>
      <c r="V2979" s="25"/>
      <c r="W2979" s="25"/>
      <c r="X2979" s="25"/>
      <c r="Y2979" s="25"/>
      <c r="Z2979" s="25"/>
    </row>
    <row r="2980" spans="1:26" ht="52.5" customHeight="1" x14ac:dyDescent="0.25">
      <c r="A2980" s="25" t="str">
        <f ca="1">IFERROR(__xludf.DUMMYFUNCTION("""COMPUTED_VALUE"""),"Ambie278")</f>
        <v>Ambie278</v>
      </c>
      <c r="B2980" s="25"/>
      <c r="C2980" s="55"/>
      <c r="D2980" s="25" t="str">
        <f ca="1">IFERROR(__xludf.DUMMYFUNCTION("""COMPUTED_VALUE"""),"Ambiente")</f>
        <v>Ambiente</v>
      </c>
      <c r="E2980" s="25"/>
      <c r="F2980" s="25"/>
      <c r="G2980" s="25"/>
      <c r="H2980" s="25"/>
      <c r="I2980" s="25"/>
      <c r="J2980" s="55"/>
      <c r="K2980" s="25" t="str">
        <f ca="1">IFERROR(__xludf.DUMMYFUNCTION("""COMPUTED_VALUE"""),"Definir fecha")</f>
        <v>Definir fecha</v>
      </c>
      <c r="L2980" s="62"/>
      <c r="M2980" s="25"/>
      <c r="N2980" s="25"/>
      <c r="O2980" s="25">
        <f t="shared" si="0"/>
        <v>0</v>
      </c>
      <c r="P2980" s="25" t="str">
        <f t="shared" si="2"/>
        <v/>
      </c>
      <c r="Q2980" s="25" t="str">
        <f ca="1">IFERROR(__xludf.DUMMYFUNCTION("""COMPUTED_VALUE"""),"Sin defenir")</f>
        <v>Sin defenir</v>
      </c>
      <c r="R2980" s="25"/>
      <c r="S2980" s="55"/>
      <c r="T2980" s="56"/>
      <c r="U2980" s="25"/>
      <c r="V2980" s="25"/>
      <c r="W2980" s="25"/>
      <c r="X2980" s="25"/>
      <c r="Y2980" s="25"/>
      <c r="Z2980" s="25"/>
    </row>
    <row r="2981" spans="1:26" ht="52.5" customHeight="1" x14ac:dyDescent="0.25">
      <c r="A2981" s="25" t="str">
        <f ca="1">IFERROR(__xludf.DUMMYFUNCTION("""COMPUTED_VALUE"""),"Ambie279")</f>
        <v>Ambie279</v>
      </c>
      <c r="B2981" s="25"/>
      <c r="C2981" s="55"/>
      <c r="D2981" s="25" t="str">
        <f ca="1">IFERROR(__xludf.DUMMYFUNCTION("""COMPUTED_VALUE"""),"Ambiente")</f>
        <v>Ambiente</v>
      </c>
      <c r="E2981" s="25"/>
      <c r="F2981" s="25"/>
      <c r="G2981" s="25"/>
      <c r="H2981" s="25"/>
      <c r="I2981" s="25"/>
      <c r="J2981" s="55"/>
      <c r="K2981" s="25" t="str">
        <f ca="1">IFERROR(__xludf.DUMMYFUNCTION("""COMPUTED_VALUE"""),"Definir fecha")</f>
        <v>Definir fecha</v>
      </c>
      <c r="L2981" s="62"/>
      <c r="M2981" s="25"/>
      <c r="N2981" s="25"/>
      <c r="O2981" s="25">
        <f t="shared" si="0"/>
        <v>0</v>
      </c>
      <c r="P2981" s="25" t="str">
        <f t="shared" si="2"/>
        <v/>
      </c>
      <c r="Q2981" s="25" t="str">
        <f ca="1">IFERROR(__xludf.DUMMYFUNCTION("""COMPUTED_VALUE"""),"Sin defenir")</f>
        <v>Sin defenir</v>
      </c>
      <c r="R2981" s="25"/>
      <c r="S2981" s="55"/>
      <c r="T2981" s="56"/>
      <c r="U2981" s="25"/>
      <c r="V2981" s="25"/>
      <c r="W2981" s="25"/>
      <c r="X2981" s="25"/>
      <c r="Y2981" s="25"/>
      <c r="Z2981" s="25"/>
    </row>
    <row r="2982" spans="1:26" ht="52.5" customHeight="1" x14ac:dyDescent="0.25">
      <c r="A2982" s="25" t="str">
        <f ca="1">IFERROR(__xludf.DUMMYFUNCTION("""COMPUTED_VALUE"""),"Ambie280")</f>
        <v>Ambie280</v>
      </c>
      <c r="B2982" s="25"/>
      <c r="C2982" s="55"/>
      <c r="D2982" s="25" t="str">
        <f ca="1">IFERROR(__xludf.DUMMYFUNCTION("""COMPUTED_VALUE"""),"Ambiente")</f>
        <v>Ambiente</v>
      </c>
      <c r="E2982" s="25"/>
      <c r="F2982" s="25"/>
      <c r="G2982" s="25"/>
      <c r="H2982" s="25"/>
      <c r="I2982" s="25"/>
      <c r="J2982" s="55"/>
      <c r="K2982" s="25" t="str">
        <f ca="1">IFERROR(__xludf.DUMMYFUNCTION("""COMPUTED_VALUE"""),"Definir fecha")</f>
        <v>Definir fecha</v>
      </c>
      <c r="L2982" s="62"/>
      <c r="M2982" s="25"/>
      <c r="N2982" s="25"/>
      <c r="O2982" s="25">
        <f t="shared" si="0"/>
        <v>0</v>
      </c>
      <c r="P2982" s="25" t="str">
        <f t="shared" si="2"/>
        <v/>
      </c>
      <c r="Q2982" s="25" t="str">
        <f ca="1">IFERROR(__xludf.DUMMYFUNCTION("""COMPUTED_VALUE"""),"Sin defenir")</f>
        <v>Sin defenir</v>
      </c>
      <c r="R2982" s="25"/>
      <c r="S2982" s="55"/>
      <c r="T2982" s="56"/>
      <c r="U2982" s="25"/>
      <c r="V2982" s="25"/>
      <c r="W2982" s="25"/>
      <c r="X2982" s="25"/>
      <c r="Y2982" s="25"/>
      <c r="Z2982" s="25"/>
    </row>
    <row r="2983" spans="1:26" ht="52.5" customHeight="1" x14ac:dyDescent="0.25">
      <c r="A2983" s="25" t="str">
        <f ca="1">IFERROR(__xludf.DUMMYFUNCTION("""COMPUTED_VALUE"""),"Ambie281")</f>
        <v>Ambie281</v>
      </c>
      <c r="B2983" s="25"/>
      <c r="C2983" s="55"/>
      <c r="D2983" s="25" t="str">
        <f ca="1">IFERROR(__xludf.DUMMYFUNCTION("""COMPUTED_VALUE"""),"Ambiente")</f>
        <v>Ambiente</v>
      </c>
      <c r="E2983" s="25"/>
      <c r="F2983" s="25"/>
      <c r="G2983" s="25"/>
      <c r="H2983" s="25"/>
      <c r="I2983" s="25"/>
      <c r="J2983" s="55"/>
      <c r="K2983" s="25" t="str">
        <f ca="1">IFERROR(__xludf.DUMMYFUNCTION("""COMPUTED_VALUE"""),"Definir fecha")</f>
        <v>Definir fecha</v>
      </c>
      <c r="L2983" s="62"/>
      <c r="M2983" s="25"/>
      <c r="N2983" s="25"/>
      <c r="O2983" s="25">
        <f t="shared" si="0"/>
        <v>0</v>
      </c>
      <c r="P2983" s="25" t="str">
        <f t="shared" si="2"/>
        <v/>
      </c>
      <c r="Q2983" s="25" t="str">
        <f ca="1">IFERROR(__xludf.DUMMYFUNCTION("""COMPUTED_VALUE"""),"Sin defenir")</f>
        <v>Sin defenir</v>
      </c>
      <c r="R2983" s="25"/>
      <c r="S2983" s="55"/>
      <c r="T2983" s="56"/>
      <c r="U2983" s="25"/>
      <c r="V2983" s="25"/>
      <c r="W2983" s="25"/>
      <c r="X2983" s="25"/>
      <c r="Y2983" s="25"/>
      <c r="Z2983" s="25"/>
    </row>
    <row r="2984" spans="1:26" ht="52.5" customHeight="1" x14ac:dyDescent="0.25">
      <c r="A2984" s="25" t="str">
        <f ca="1">IFERROR(__xludf.DUMMYFUNCTION("""COMPUTED_VALUE"""),"Ambie282")</f>
        <v>Ambie282</v>
      </c>
      <c r="B2984" s="25"/>
      <c r="C2984" s="55"/>
      <c r="D2984" s="25" t="str">
        <f ca="1">IFERROR(__xludf.DUMMYFUNCTION("""COMPUTED_VALUE"""),"Ambiente")</f>
        <v>Ambiente</v>
      </c>
      <c r="E2984" s="25"/>
      <c r="F2984" s="25"/>
      <c r="G2984" s="25"/>
      <c r="H2984" s="25"/>
      <c r="I2984" s="25"/>
      <c r="J2984" s="55"/>
      <c r="K2984" s="25" t="str">
        <f ca="1">IFERROR(__xludf.DUMMYFUNCTION("""COMPUTED_VALUE"""),"Definir fecha")</f>
        <v>Definir fecha</v>
      </c>
      <c r="L2984" s="62"/>
      <c r="M2984" s="25"/>
      <c r="N2984" s="25"/>
      <c r="O2984" s="25">
        <f t="shared" si="0"/>
        <v>0</v>
      </c>
      <c r="P2984" s="25" t="str">
        <f t="shared" si="2"/>
        <v/>
      </c>
      <c r="Q2984" s="25" t="str">
        <f ca="1">IFERROR(__xludf.DUMMYFUNCTION("""COMPUTED_VALUE"""),"Sin defenir")</f>
        <v>Sin defenir</v>
      </c>
      <c r="R2984" s="25"/>
      <c r="S2984" s="55"/>
      <c r="T2984" s="56"/>
      <c r="U2984" s="25"/>
      <c r="V2984" s="25"/>
      <c r="W2984" s="25"/>
      <c r="X2984" s="25"/>
      <c r="Y2984" s="25"/>
      <c r="Z2984" s="25"/>
    </row>
    <row r="2985" spans="1:26" ht="52.5" customHeight="1" x14ac:dyDescent="0.25">
      <c r="A2985" s="25" t="str">
        <f ca="1">IFERROR(__xludf.DUMMYFUNCTION("""COMPUTED_VALUE"""),"Ambie283")</f>
        <v>Ambie283</v>
      </c>
      <c r="B2985" s="25"/>
      <c r="C2985" s="55"/>
      <c r="D2985" s="25" t="str">
        <f ca="1">IFERROR(__xludf.DUMMYFUNCTION("""COMPUTED_VALUE"""),"Ambiente")</f>
        <v>Ambiente</v>
      </c>
      <c r="E2985" s="25"/>
      <c r="F2985" s="25"/>
      <c r="G2985" s="25"/>
      <c r="H2985" s="25"/>
      <c r="I2985" s="25"/>
      <c r="J2985" s="55"/>
      <c r="K2985" s="25" t="str">
        <f ca="1">IFERROR(__xludf.DUMMYFUNCTION("""COMPUTED_VALUE"""),"Definir fecha")</f>
        <v>Definir fecha</v>
      </c>
      <c r="L2985" s="62"/>
      <c r="M2985" s="25"/>
      <c r="N2985" s="25"/>
      <c r="O2985" s="25">
        <f t="shared" si="0"/>
        <v>0</v>
      </c>
      <c r="P2985" s="25" t="str">
        <f t="shared" si="2"/>
        <v/>
      </c>
      <c r="Q2985" s="25" t="str">
        <f ca="1">IFERROR(__xludf.DUMMYFUNCTION("""COMPUTED_VALUE"""),"Sin defenir")</f>
        <v>Sin defenir</v>
      </c>
      <c r="R2985" s="25"/>
      <c r="S2985" s="55"/>
      <c r="T2985" s="56"/>
      <c r="U2985" s="25"/>
      <c r="V2985" s="25"/>
      <c r="W2985" s="25"/>
      <c r="X2985" s="25"/>
      <c r="Y2985" s="25"/>
      <c r="Z2985" s="25"/>
    </row>
    <row r="2986" spans="1:26" ht="52.5" customHeight="1" x14ac:dyDescent="0.25">
      <c r="A2986" s="25" t="str">
        <f ca="1">IFERROR(__xludf.DUMMYFUNCTION("""COMPUTED_VALUE"""),"Ambie284")</f>
        <v>Ambie284</v>
      </c>
      <c r="B2986" s="25"/>
      <c r="C2986" s="55"/>
      <c r="D2986" s="25" t="str">
        <f ca="1">IFERROR(__xludf.DUMMYFUNCTION("""COMPUTED_VALUE"""),"Ambiente")</f>
        <v>Ambiente</v>
      </c>
      <c r="E2986" s="25"/>
      <c r="F2986" s="25"/>
      <c r="G2986" s="25"/>
      <c r="H2986" s="25"/>
      <c r="I2986" s="25"/>
      <c r="J2986" s="55"/>
      <c r="K2986" s="25" t="str">
        <f ca="1">IFERROR(__xludf.DUMMYFUNCTION("""COMPUTED_VALUE"""),"Definir fecha")</f>
        <v>Definir fecha</v>
      </c>
      <c r="L2986" s="62"/>
      <c r="M2986" s="25"/>
      <c r="N2986" s="25"/>
      <c r="O2986" s="25">
        <f t="shared" si="0"/>
        <v>0</v>
      </c>
      <c r="P2986" s="25" t="str">
        <f t="shared" si="2"/>
        <v/>
      </c>
      <c r="Q2986" s="25" t="str">
        <f ca="1">IFERROR(__xludf.DUMMYFUNCTION("""COMPUTED_VALUE"""),"Sin defenir")</f>
        <v>Sin defenir</v>
      </c>
      <c r="R2986" s="25"/>
      <c r="S2986" s="55"/>
      <c r="T2986" s="56"/>
      <c r="U2986" s="25"/>
      <c r="V2986" s="25"/>
      <c r="W2986" s="25"/>
      <c r="X2986" s="25"/>
      <c r="Y2986" s="25"/>
      <c r="Z2986" s="25"/>
    </row>
    <row r="2987" spans="1:26" ht="52.5" customHeight="1" x14ac:dyDescent="0.25">
      <c r="A2987" s="25" t="str">
        <f ca="1">IFERROR(__xludf.DUMMYFUNCTION("""COMPUTED_VALUE"""),"Ambie285")</f>
        <v>Ambie285</v>
      </c>
      <c r="B2987" s="25"/>
      <c r="C2987" s="55"/>
      <c r="D2987" s="25" t="str">
        <f ca="1">IFERROR(__xludf.DUMMYFUNCTION("""COMPUTED_VALUE"""),"Ambiente")</f>
        <v>Ambiente</v>
      </c>
      <c r="E2987" s="25"/>
      <c r="F2987" s="25"/>
      <c r="G2987" s="25"/>
      <c r="H2987" s="25"/>
      <c r="I2987" s="25"/>
      <c r="J2987" s="55"/>
      <c r="K2987" s="25" t="str">
        <f ca="1">IFERROR(__xludf.DUMMYFUNCTION("""COMPUTED_VALUE"""),"Definir fecha")</f>
        <v>Definir fecha</v>
      </c>
      <c r="L2987" s="62"/>
      <c r="M2987" s="25"/>
      <c r="N2987" s="25"/>
      <c r="O2987" s="25">
        <f t="shared" si="0"/>
        <v>0</v>
      </c>
      <c r="P2987" s="25" t="str">
        <f t="shared" si="2"/>
        <v/>
      </c>
      <c r="Q2987" s="25" t="str">
        <f ca="1">IFERROR(__xludf.DUMMYFUNCTION("""COMPUTED_VALUE"""),"Sin defenir")</f>
        <v>Sin defenir</v>
      </c>
      <c r="R2987" s="25"/>
      <c r="S2987" s="55"/>
      <c r="T2987" s="56"/>
      <c r="U2987" s="25"/>
      <c r="V2987" s="25"/>
      <c r="W2987" s="25"/>
      <c r="X2987" s="25"/>
      <c r="Y2987" s="25"/>
      <c r="Z2987" s="25"/>
    </row>
    <row r="2988" spans="1:26" ht="52.5" customHeight="1" x14ac:dyDescent="0.25">
      <c r="A2988" s="25" t="str">
        <f ca="1">IFERROR(__xludf.DUMMYFUNCTION("""COMPUTED_VALUE"""),"Ambie286")</f>
        <v>Ambie286</v>
      </c>
      <c r="B2988" s="25"/>
      <c r="C2988" s="55"/>
      <c r="D2988" s="25" t="str">
        <f ca="1">IFERROR(__xludf.DUMMYFUNCTION("""COMPUTED_VALUE"""),"Ambiente")</f>
        <v>Ambiente</v>
      </c>
      <c r="E2988" s="25"/>
      <c r="F2988" s="25"/>
      <c r="G2988" s="25"/>
      <c r="H2988" s="25"/>
      <c r="I2988" s="25"/>
      <c r="J2988" s="55"/>
      <c r="K2988" s="25" t="str">
        <f ca="1">IFERROR(__xludf.DUMMYFUNCTION("""COMPUTED_VALUE"""),"Definir fecha")</f>
        <v>Definir fecha</v>
      </c>
      <c r="L2988" s="62"/>
      <c r="M2988" s="25"/>
      <c r="N2988" s="25"/>
      <c r="O2988" s="25">
        <f t="shared" si="0"/>
        <v>0</v>
      </c>
      <c r="P2988" s="25" t="str">
        <f t="shared" si="2"/>
        <v/>
      </c>
      <c r="Q2988" s="25" t="str">
        <f ca="1">IFERROR(__xludf.DUMMYFUNCTION("""COMPUTED_VALUE"""),"Sin defenir")</f>
        <v>Sin defenir</v>
      </c>
      <c r="R2988" s="25"/>
      <c r="S2988" s="55"/>
      <c r="T2988" s="56"/>
      <c r="U2988" s="25"/>
      <c r="V2988" s="25"/>
      <c r="W2988" s="25"/>
      <c r="X2988" s="25"/>
      <c r="Y2988" s="25"/>
      <c r="Z2988" s="25"/>
    </row>
    <row r="2989" spans="1:26" ht="52.5" customHeight="1" x14ac:dyDescent="0.25">
      <c r="A2989" s="25" t="str">
        <f ca="1">IFERROR(__xludf.DUMMYFUNCTION("""COMPUTED_VALUE"""),"Ambie287")</f>
        <v>Ambie287</v>
      </c>
      <c r="B2989" s="25"/>
      <c r="C2989" s="55"/>
      <c r="D2989" s="25" t="str">
        <f ca="1">IFERROR(__xludf.DUMMYFUNCTION("""COMPUTED_VALUE"""),"Ambiente")</f>
        <v>Ambiente</v>
      </c>
      <c r="E2989" s="25"/>
      <c r="F2989" s="25"/>
      <c r="G2989" s="25"/>
      <c r="H2989" s="25"/>
      <c r="I2989" s="25"/>
      <c r="J2989" s="55"/>
      <c r="K2989" s="25" t="str">
        <f ca="1">IFERROR(__xludf.DUMMYFUNCTION("""COMPUTED_VALUE"""),"Definir fecha")</f>
        <v>Definir fecha</v>
      </c>
      <c r="L2989" s="62"/>
      <c r="M2989" s="25"/>
      <c r="N2989" s="25"/>
      <c r="O2989" s="25">
        <f t="shared" si="0"/>
        <v>0</v>
      </c>
      <c r="P2989" s="25" t="str">
        <f t="shared" si="2"/>
        <v/>
      </c>
      <c r="Q2989" s="25" t="str">
        <f ca="1">IFERROR(__xludf.DUMMYFUNCTION("""COMPUTED_VALUE"""),"Sin defenir")</f>
        <v>Sin defenir</v>
      </c>
      <c r="R2989" s="25"/>
      <c r="S2989" s="55"/>
      <c r="T2989" s="56"/>
      <c r="U2989" s="25"/>
      <c r="V2989" s="25"/>
      <c r="W2989" s="25"/>
      <c r="X2989" s="25"/>
      <c r="Y2989" s="25"/>
      <c r="Z2989" s="25"/>
    </row>
    <row r="2990" spans="1:26" ht="52.5" customHeight="1" x14ac:dyDescent="0.25">
      <c r="A2990" s="25" t="str">
        <f ca="1">IFERROR(__xludf.DUMMYFUNCTION("""COMPUTED_VALUE"""),"Ambie288")</f>
        <v>Ambie288</v>
      </c>
      <c r="B2990" s="25"/>
      <c r="C2990" s="55"/>
      <c r="D2990" s="25" t="str">
        <f ca="1">IFERROR(__xludf.DUMMYFUNCTION("""COMPUTED_VALUE"""),"Ambiente")</f>
        <v>Ambiente</v>
      </c>
      <c r="E2990" s="25"/>
      <c r="F2990" s="25"/>
      <c r="G2990" s="25"/>
      <c r="H2990" s="25"/>
      <c r="I2990" s="25"/>
      <c r="J2990" s="55"/>
      <c r="K2990" s="25" t="str">
        <f ca="1">IFERROR(__xludf.DUMMYFUNCTION("""COMPUTED_VALUE"""),"Definir fecha")</f>
        <v>Definir fecha</v>
      </c>
      <c r="L2990" s="62"/>
      <c r="M2990" s="25"/>
      <c r="N2990" s="25"/>
      <c r="O2990" s="25">
        <f t="shared" si="0"/>
        <v>0</v>
      </c>
      <c r="P2990" s="25" t="str">
        <f t="shared" si="2"/>
        <v/>
      </c>
      <c r="Q2990" s="25" t="str">
        <f ca="1">IFERROR(__xludf.DUMMYFUNCTION("""COMPUTED_VALUE"""),"Sin defenir")</f>
        <v>Sin defenir</v>
      </c>
      <c r="R2990" s="25"/>
      <c r="S2990" s="55"/>
      <c r="T2990" s="56"/>
      <c r="U2990" s="25"/>
      <c r="V2990" s="25"/>
      <c r="W2990" s="25"/>
      <c r="X2990" s="25"/>
      <c r="Y2990" s="25"/>
      <c r="Z2990" s="25"/>
    </row>
    <row r="2991" spans="1:26" ht="52.5" customHeight="1" x14ac:dyDescent="0.25">
      <c r="A2991" s="25" t="str">
        <f ca="1">IFERROR(__xludf.DUMMYFUNCTION("""COMPUTED_VALUE"""),"Ambie289")</f>
        <v>Ambie289</v>
      </c>
      <c r="B2991" s="25"/>
      <c r="C2991" s="55"/>
      <c r="D2991" s="25" t="str">
        <f ca="1">IFERROR(__xludf.DUMMYFUNCTION("""COMPUTED_VALUE"""),"Ambiente")</f>
        <v>Ambiente</v>
      </c>
      <c r="E2991" s="25"/>
      <c r="F2991" s="25"/>
      <c r="G2991" s="25"/>
      <c r="H2991" s="25"/>
      <c r="I2991" s="25"/>
      <c r="J2991" s="55"/>
      <c r="K2991" s="25" t="str">
        <f ca="1">IFERROR(__xludf.DUMMYFUNCTION("""COMPUTED_VALUE"""),"Definir fecha")</f>
        <v>Definir fecha</v>
      </c>
      <c r="L2991" s="62"/>
      <c r="M2991" s="25"/>
      <c r="N2991" s="25"/>
      <c r="O2991" s="25">
        <f t="shared" si="0"/>
        <v>0</v>
      </c>
      <c r="P2991" s="25" t="str">
        <f t="shared" si="2"/>
        <v/>
      </c>
      <c r="Q2991" s="25" t="str">
        <f ca="1">IFERROR(__xludf.DUMMYFUNCTION("""COMPUTED_VALUE"""),"Sin defenir")</f>
        <v>Sin defenir</v>
      </c>
      <c r="R2991" s="25"/>
      <c r="S2991" s="55"/>
      <c r="T2991" s="56"/>
      <c r="U2991" s="25"/>
      <c r="V2991" s="25"/>
      <c r="W2991" s="25"/>
      <c r="X2991" s="25"/>
      <c r="Y2991" s="25"/>
      <c r="Z2991" s="25"/>
    </row>
    <row r="2992" spans="1:26" ht="52.5" customHeight="1" x14ac:dyDescent="0.25">
      <c r="A2992" s="25" t="str">
        <f ca="1">IFERROR(__xludf.DUMMYFUNCTION("""COMPUTED_VALUE"""),"Ambie290")</f>
        <v>Ambie290</v>
      </c>
      <c r="B2992" s="25"/>
      <c r="C2992" s="55"/>
      <c r="D2992" s="25" t="str">
        <f ca="1">IFERROR(__xludf.DUMMYFUNCTION("""COMPUTED_VALUE"""),"Ambiente")</f>
        <v>Ambiente</v>
      </c>
      <c r="E2992" s="25"/>
      <c r="F2992" s="25"/>
      <c r="G2992" s="25"/>
      <c r="H2992" s="25"/>
      <c r="I2992" s="25"/>
      <c r="J2992" s="55"/>
      <c r="K2992" s="25" t="str">
        <f ca="1">IFERROR(__xludf.DUMMYFUNCTION("""COMPUTED_VALUE"""),"Definir fecha")</f>
        <v>Definir fecha</v>
      </c>
      <c r="L2992" s="62"/>
      <c r="M2992" s="25"/>
      <c r="N2992" s="25"/>
      <c r="O2992" s="25">
        <f t="shared" si="0"/>
        <v>0</v>
      </c>
      <c r="P2992" s="25" t="str">
        <f t="shared" si="2"/>
        <v/>
      </c>
      <c r="Q2992" s="25" t="str">
        <f ca="1">IFERROR(__xludf.DUMMYFUNCTION("""COMPUTED_VALUE"""),"Sin defenir")</f>
        <v>Sin defenir</v>
      </c>
      <c r="R2992" s="25"/>
      <c r="S2992" s="55"/>
      <c r="T2992" s="56"/>
      <c r="U2992" s="25"/>
      <c r="V2992" s="25"/>
      <c r="W2992" s="25"/>
      <c r="X2992" s="25"/>
      <c r="Y2992" s="25"/>
      <c r="Z2992" s="25"/>
    </row>
    <row r="2993" spans="1:26" ht="52.5" customHeight="1" x14ac:dyDescent="0.25">
      <c r="A2993" s="25" t="str">
        <f ca="1">IFERROR(__xludf.DUMMYFUNCTION("""COMPUTED_VALUE"""),"Ambie291")</f>
        <v>Ambie291</v>
      </c>
      <c r="B2993" s="25"/>
      <c r="C2993" s="55"/>
      <c r="D2993" s="25" t="str">
        <f ca="1">IFERROR(__xludf.DUMMYFUNCTION("""COMPUTED_VALUE"""),"Ambiente")</f>
        <v>Ambiente</v>
      </c>
      <c r="E2993" s="25"/>
      <c r="F2993" s="25"/>
      <c r="G2993" s="25"/>
      <c r="H2993" s="25"/>
      <c r="I2993" s="25"/>
      <c r="J2993" s="55"/>
      <c r="K2993" s="25" t="str">
        <f ca="1">IFERROR(__xludf.DUMMYFUNCTION("""COMPUTED_VALUE"""),"Definir fecha")</f>
        <v>Definir fecha</v>
      </c>
      <c r="L2993" s="62"/>
      <c r="M2993" s="25"/>
      <c r="N2993" s="25"/>
      <c r="O2993" s="25">
        <f t="shared" si="0"/>
        <v>0</v>
      </c>
      <c r="P2993" s="25" t="str">
        <f t="shared" si="2"/>
        <v/>
      </c>
      <c r="Q2993" s="25" t="str">
        <f ca="1">IFERROR(__xludf.DUMMYFUNCTION("""COMPUTED_VALUE"""),"Sin defenir")</f>
        <v>Sin defenir</v>
      </c>
      <c r="R2993" s="25"/>
      <c r="S2993" s="55"/>
      <c r="T2993" s="56"/>
      <c r="U2993" s="25"/>
      <c r="V2993" s="25"/>
      <c r="W2993" s="25"/>
      <c r="X2993" s="25"/>
      <c r="Y2993" s="25"/>
      <c r="Z2993" s="25"/>
    </row>
    <row r="2994" spans="1:26" ht="52.5" customHeight="1" x14ac:dyDescent="0.25">
      <c r="A2994" s="25" t="str">
        <f ca="1">IFERROR(__xludf.DUMMYFUNCTION("""COMPUTED_VALUE"""),"Ambie292")</f>
        <v>Ambie292</v>
      </c>
      <c r="B2994" s="25"/>
      <c r="C2994" s="55"/>
      <c r="D2994" s="25" t="str">
        <f ca="1">IFERROR(__xludf.DUMMYFUNCTION("""COMPUTED_VALUE"""),"Ambiente")</f>
        <v>Ambiente</v>
      </c>
      <c r="E2994" s="25"/>
      <c r="F2994" s="25"/>
      <c r="G2994" s="25"/>
      <c r="H2994" s="25"/>
      <c r="I2994" s="25"/>
      <c r="J2994" s="55"/>
      <c r="K2994" s="25" t="str">
        <f ca="1">IFERROR(__xludf.DUMMYFUNCTION("""COMPUTED_VALUE"""),"Definir fecha")</f>
        <v>Definir fecha</v>
      </c>
      <c r="L2994" s="62"/>
      <c r="M2994" s="25"/>
      <c r="N2994" s="25"/>
      <c r="O2994" s="25">
        <f t="shared" si="0"/>
        <v>0</v>
      </c>
      <c r="P2994" s="25" t="str">
        <f t="shared" si="2"/>
        <v/>
      </c>
      <c r="Q2994" s="25" t="str">
        <f ca="1">IFERROR(__xludf.DUMMYFUNCTION("""COMPUTED_VALUE"""),"Sin defenir")</f>
        <v>Sin defenir</v>
      </c>
      <c r="R2994" s="25"/>
      <c r="S2994" s="55"/>
      <c r="T2994" s="56"/>
      <c r="U2994" s="25"/>
      <c r="V2994" s="25"/>
      <c r="W2994" s="25"/>
      <c r="X2994" s="25"/>
      <c r="Y2994" s="25"/>
      <c r="Z2994" s="25"/>
    </row>
    <row r="2995" spans="1:26" ht="52.5" customHeight="1" x14ac:dyDescent="0.25">
      <c r="A2995" s="25" t="str">
        <f ca="1">IFERROR(__xludf.DUMMYFUNCTION("""COMPUTED_VALUE"""),"Ambie293")</f>
        <v>Ambie293</v>
      </c>
      <c r="B2995" s="25"/>
      <c r="C2995" s="55"/>
      <c r="D2995" s="25" t="str">
        <f ca="1">IFERROR(__xludf.DUMMYFUNCTION("""COMPUTED_VALUE"""),"Ambiente")</f>
        <v>Ambiente</v>
      </c>
      <c r="E2995" s="25"/>
      <c r="F2995" s="25"/>
      <c r="G2995" s="25"/>
      <c r="H2995" s="25"/>
      <c r="I2995" s="25"/>
      <c r="J2995" s="55"/>
      <c r="K2995" s="25" t="str">
        <f ca="1">IFERROR(__xludf.DUMMYFUNCTION("""COMPUTED_VALUE"""),"Definir fecha")</f>
        <v>Definir fecha</v>
      </c>
      <c r="L2995" s="62"/>
      <c r="M2995" s="25"/>
      <c r="N2995" s="25"/>
      <c r="O2995" s="25">
        <f t="shared" si="0"/>
        <v>0</v>
      </c>
      <c r="P2995" s="25" t="str">
        <f t="shared" si="2"/>
        <v/>
      </c>
      <c r="Q2995" s="25" t="str">
        <f ca="1">IFERROR(__xludf.DUMMYFUNCTION("""COMPUTED_VALUE"""),"Sin defenir")</f>
        <v>Sin defenir</v>
      </c>
      <c r="R2995" s="25"/>
      <c r="S2995" s="55"/>
      <c r="T2995" s="56"/>
      <c r="U2995" s="25"/>
      <c r="V2995" s="25"/>
      <c r="W2995" s="25"/>
      <c r="X2995" s="25"/>
      <c r="Y2995" s="25"/>
      <c r="Z2995" s="25"/>
    </row>
    <row r="2996" spans="1:26" ht="52.5" customHeight="1" x14ac:dyDescent="0.25">
      <c r="A2996" s="25" t="str">
        <f ca="1">IFERROR(__xludf.DUMMYFUNCTION("""COMPUTED_VALUE"""),"Ambie294")</f>
        <v>Ambie294</v>
      </c>
      <c r="B2996" s="25"/>
      <c r="C2996" s="55"/>
      <c r="D2996" s="25" t="str">
        <f ca="1">IFERROR(__xludf.DUMMYFUNCTION("""COMPUTED_VALUE"""),"Ambiente")</f>
        <v>Ambiente</v>
      </c>
      <c r="E2996" s="25"/>
      <c r="F2996" s="25"/>
      <c r="G2996" s="25"/>
      <c r="H2996" s="25"/>
      <c r="I2996" s="25"/>
      <c r="J2996" s="55"/>
      <c r="K2996" s="25" t="str">
        <f ca="1">IFERROR(__xludf.DUMMYFUNCTION("""COMPUTED_VALUE"""),"Definir fecha")</f>
        <v>Definir fecha</v>
      </c>
      <c r="L2996" s="62"/>
      <c r="M2996" s="25"/>
      <c r="N2996" s="25"/>
      <c r="O2996" s="25">
        <f t="shared" si="0"/>
        <v>0</v>
      </c>
      <c r="P2996" s="25" t="str">
        <f t="shared" si="2"/>
        <v/>
      </c>
      <c r="Q2996" s="25" t="str">
        <f ca="1">IFERROR(__xludf.DUMMYFUNCTION("""COMPUTED_VALUE"""),"Sin defenir")</f>
        <v>Sin defenir</v>
      </c>
      <c r="R2996" s="25"/>
      <c r="S2996" s="55"/>
      <c r="T2996" s="56"/>
      <c r="U2996" s="25"/>
      <c r="V2996" s="25"/>
      <c r="W2996" s="25"/>
      <c r="X2996" s="25"/>
      <c r="Y2996" s="25"/>
      <c r="Z2996" s="25"/>
    </row>
    <row r="2997" spans="1:26" ht="52.5" customHeight="1" x14ac:dyDescent="0.25">
      <c r="A2997" s="25" t="str">
        <f ca="1">IFERROR(__xludf.DUMMYFUNCTION("""COMPUTED_VALUE"""),"Ambie295")</f>
        <v>Ambie295</v>
      </c>
      <c r="B2997" s="25"/>
      <c r="C2997" s="55"/>
      <c r="D2997" s="25" t="str">
        <f ca="1">IFERROR(__xludf.DUMMYFUNCTION("""COMPUTED_VALUE"""),"Ambiente")</f>
        <v>Ambiente</v>
      </c>
      <c r="E2997" s="25"/>
      <c r="F2997" s="25"/>
      <c r="G2997" s="25"/>
      <c r="H2997" s="25"/>
      <c r="I2997" s="25"/>
      <c r="J2997" s="55"/>
      <c r="K2997" s="25" t="str">
        <f ca="1">IFERROR(__xludf.DUMMYFUNCTION("""COMPUTED_VALUE"""),"Definir fecha")</f>
        <v>Definir fecha</v>
      </c>
      <c r="L2997" s="62"/>
      <c r="M2997" s="25"/>
      <c r="N2997" s="25"/>
      <c r="O2997" s="25">
        <f t="shared" si="0"/>
        <v>0</v>
      </c>
      <c r="P2997" s="25" t="str">
        <f t="shared" si="2"/>
        <v/>
      </c>
      <c r="Q2997" s="25" t="str">
        <f ca="1">IFERROR(__xludf.DUMMYFUNCTION("""COMPUTED_VALUE"""),"Sin defenir")</f>
        <v>Sin defenir</v>
      </c>
      <c r="R2997" s="25"/>
      <c r="S2997" s="55"/>
      <c r="T2997" s="56"/>
      <c r="U2997" s="25"/>
      <c r="V2997" s="25"/>
      <c r="W2997" s="25"/>
      <c r="X2997" s="25"/>
      <c r="Y2997" s="25"/>
      <c r="Z2997" s="25"/>
    </row>
    <row r="2998" spans="1:26" ht="52.5" customHeight="1" x14ac:dyDescent="0.25">
      <c r="A2998" s="25" t="str">
        <f ca="1">IFERROR(__xludf.DUMMYFUNCTION("""COMPUTED_VALUE"""),"Ambie296")</f>
        <v>Ambie296</v>
      </c>
      <c r="B2998" s="25"/>
      <c r="C2998" s="55"/>
      <c r="D2998" s="25" t="str">
        <f ca="1">IFERROR(__xludf.DUMMYFUNCTION("""COMPUTED_VALUE"""),"Ambiente")</f>
        <v>Ambiente</v>
      </c>
      <c r="E2998" s="25"/>
      <c r="F2998" s="25"/>
      <c r="G2998" s="25"/>
      <c r="H2998" s="25"/>
      <c r="I2998" s="25"/>
      <c r="J2998" s="55"/>
      <c r="K2998" s="25" t="str">
        <f ca="1">IFERROR(__xludf.DUMMYFUNCTION("""COMPUTED_VALUE"""),"Definir fecha")</f>
        <v>Definir fecha</v>
      </c>
      <c r="L2998" s="62"/>
      <c r="M2998" s="25"/>
      <c r="N2998" s="25"/>
      <c r="O2998" s="25">
        <f t="shared" si="0"/>
        <v>0</v>
      </c>
      <c r="P2998" s="25" t="str">
        <f t="shared" si="2"/>
        <v/>
      </c>
      <c r="Q2998" s="25" t="str">
        <f ca="1">IFERROR(__xludf.DUMMYFUNCTION("""COMPUTED_VALUE"""),"Sin defenir")</f>
        <v>Sin defenir</v>
      </c>
      <c r="R2998" s="25"/>
      <c r="S2998" s="55"/>
      <c r="T2998" s="56"/>
      <c r="U2998" s="25"/>
      <c r="V2998" s="25"/>
      <c r="W2998" s="25"/>
      <c r="X2998" s="25"/>
      <c r="Y2998" s="25"/>
      <c r="Z2998" s="25"/>
    </row>
    <row r="2999" spans="1:26" ht="52.5" customHeight="1" x14ac:dyDescent="0.25">
      <c r="A2999" s="25" t="str">
        <f ca="1">IFERROR(__xludf.DUMMYFUNCTION("""COMPUTED_VALUE"""),"Ambie297")</f>
        <v>Ambie297</v>
      </c>
      <c r="B2999" s="25"/>
      <c r="C2999" s="55"/>
      <c r="D2999" s="25" t="str">
        <f ca="1">IFERROR(__xludf.DUMMYFUNCTION("""COMPUTED_VALUE"""),"Ambiente")</f>
        <v>Ambiente</v>
      </c>
      <c r="E2999" s="25"/>
      <c r="F2999" s="25"/>
      <c r="G2999" s="25"/>
      <c r="H2999" s="25"/>
      <c r="I2999" s="25"/>
      <c r="J2999" s="55"/>
      <c r="K2999" s="25" t="str">
        <f ca="1">IFERROR(__xludf.DUMMYFUNCTION("""COMPUTED_VALUE"""),"Definir fecha")</f>
        <v>Definir fecha</v>
      </c>
      <c r="L2999" s="62"/>
      <c r="M2999" s="25"/>
      <c r="N2999" s="25"/>
      <c r="O2999" s="25">
        <f t="shared" si="0"/>
        <v>0</v>
      </c>
      <c r="P2999" s="25" t="str">
        <f t="shared" si="2"/>
        <v/>
      </c>
      <c r="Q2999" s="25" t="str">
        <f ca="1">IFERROR(__xludf.DUMMYFUNCTION("""COMPUTED_VALUE"""),"Sin defenir")</f>
        <v>Sin defenir</v>
      </c>
      <c r="R2999" s="25"/>
      <c r="S2999" s="55"/>
      <c r="T2999" s="56"/>
      <c r="U2999" s="25"/>
      <c r="V2999" s="25"/>
      <c r="W2999" s="25"/>
      <c r="X2999" s="25"/>
      <c r="Y2999" s="25"/>
      <c r="Z2999" s="25"/>
    </row>
    <row r="3000" spans="1:26" ht="52.5" customHeight="1" x14ac:dyDescent="0.25">
      <c r="A3000" s="25" t="str">
        <f ca="1">IFERROR(__xludf.DUMMYFUNCTION("""COMPUTED_VALUE"""),"Ambie298")</f>
        <v>Ambie298</v>
      </c>
      <c r="B3000" s="25"/>
      <c r="C3000" s="55"/>
      <c r="D3000" s="25" t="str">
        <f ca="1">IFERROR(__xludf.DUMMYFUNCTION("""COMPUTED_VALUE"""),"Ambiente")</f>
        <v>Ambiente</v>
      </c>
      <c r="E3000" s="25"/>
      <c r="F3000" s="25"/>
      <c r="G3000" s="25"/>
      <c r="H3000" s="25"/>
      <c r="I3000" s="25"/>
      <c r="J3000" s="55"/>
      <c r="K3000" s="25" t="str">
        <f ca="1">IFERROR(__xludf.DUMMYFUNCTION("""COMPUTED_VALUE"""),"Definir fecha")</f>
        <v>Definir fecha</v>
      </c>
      <c r="L3000" s="62"/>
      <c r="M3000" s="25"/>
      <c r="N3000" s="25"/>
      <c r="O3000" s="25">
        <f t="shared" si="0"/>
        <v>0</v>
      </c>
      <c r="P3000" s="25" t="str">
        <f t="shared" si="2"/>
        <v/>
      </c>
      <c r="Q3000" s="25" t="str">
        <f ca="1">IFERROR(__xludf.DUMMYFUNCTION("""COMPUTED_VALUE"""),"Sin defenir")</f>
        <v>Sin defenir</v>
      </c>
      <c r="R3000" s="25"/>
      <c r="S3000" s="55"/>
      <c r="T3000" s="56"/>
      <c r="U3000" s="25"/>
      <c r="V3000" s="25"/>
      <c r="W3000" s="25"/>
      <c r="X3000" s="25"/>
      <c r="Y3000" s="25"/>
      <c r="Z3000" s="25"/>
    </row>
    <row r="3001" spans="1:26" ht="52.5" customHeight="1" x14ac:dyDescent="0.25">
      <c r="A3001" s="25" t="str">
        <f ca="1">IFERROR(__xludf.DUMMYFUNCTION("""COMPUTED_VALUE"""),"Ambie299")</f>
        <v>Ambie299</v>
      </c>
      <c r="B3001" s="25"/>
      <c r="C3001" s="55"/>
      <c r="D3001" s="25" t="str">
        <f ca="1">IFERROR(__xludf.DUMMYFUNCTION("""COMPUTED_VALUE"""),"Ambiente")</f>
        <v>Ambiente</v>
      </c>
      <c r="E3001" s="25"/>
      <c r="F3001" s="25"/>
      <c r="G3001" s="25"/>
      <c r="H3001" s="25"/>
      <c r="I3001" s="25"/>
      <c r="J3001" s="55"/>
      <c r="K3001" s="25" t="str">
        <f ca="1">IFERROR(__xludf.DUMMYFUNCTION("""COMPUTED_VALUE"""),"Definir fecha")</f>
        <v>Definir fecha</v>
      </c>
      <c r="L3001" s="62"/>
      <c r="M3001" s="25"/>
      <c r="N3001" s="25"/>
      <c r="O3001" s="25">
        <f t="shared" si="0"/>
        <v>0</v>
      </c>
      <c r="P3001" s="25" t="str">
        <f t="shared" si="2"/>
        <v/>
      </c>
      <c r="Q3001" s="25" t="str">
        <f ca="1">IFERROR(__xludf.DUMMYFUNCTION("""COMPUTED_VALUE"""),"Sin defenir")</f>
        <v>Sin defenir</v>
      </c>
      <c r="R3001" s="25"/>
      <c r="S3001" s="55"/>
      <c r="T3001" s="56"/>
      <c r="U3001" s="25"/>
      <c r="V3001" s="25"/>
      <c r="W3001" s="25"/>
      <c r="X3001" s="25"/>
      <c r="Y3001" s="25"/>
      <c r="Z3001" s="25"/>
    </row>
    <row r="3002" spans="1:26" ht="52.5" customHeight="1" x14ac:dyDescent="0.25">
      <c r="A3002" s="25" t="str">
        <f ca="1">IFERROR(__xludf.DUMMYFUNCTION("""COMPUTED_VALUE"""),"Ambie300")</f>
        <v>Ambie300</v>
      </c>
      <c r="B3002" s="25"/>
      <c r="C3002" s="55"/>
      <c r="D3002" s="25" t="str">
        <f ca="1">IFERROR(__xludf.DUMMYFUNCTION("""COMPUTED_VALUE"""),"Ambiente")</f>
        <v>Ambiente</v>
      </c>
      <c r="E3002" s="25"/>
      <c r="F3002" s="25"/>
      <c r="G3002" s="25"/>
      <c r="H3002" s="25"/>
      <c r="I3002" s="25"/>
      <c r="J3002" s="55"/>
      <c r="K3002" s="25" t="str">
        <f ca="1">IFERROR(__xludf.DUMMYFUNCTION("""COMPUTED_VALUE"""),"Definir fecha")</f>
        <v>Definir fecha</v>
      </c>
      <c r="L3002" s="62"/>
      <c r="M3002" s="25"/>
      <c r="N3002" s="25"/>
      <c r="O3002" s="25">
        <f t="shared" si="0"/>
        <v>0</v>
      </c>
      <c r="P3002" s="25" t="str">
        <f t="shared" si="2"/>
        <v/>
      </c>
      <c r="Q3002" s="25" t="str">
        <f ca="1">IFERROR(__xludf.DUMMYFUNCTION("""COMPUTED_VALUE"""),"Sin defenir")</f>
        <v>Sin defenir</v>
      </c>
      <c r="R3002" s="25"/>
      <c r="S3002" s="55"/>
      <c r="T3002" s="56"/>
      <c r="U3002" s="25"/>
      <c r="V3002" s="25"/>
      <c r="W3002" s="25"/>
      <c r="X3002" s="25"/>
      <c r="Y3002" s="25"/>
      <c r="Z3002" s="25"/>
    </row>
    <row r="3003" spans="1:26" ht="52.5" customHeight="1" x14ac:dyDescent="0.25">
      <c r="A3003" s="25" t="str">
        <f ca="1">IFERROR(__xludf.DUMMYFUNCTION("IMPORTRANGE(""https://docs.google.com/spreadsheets/d/1SUh42QDwFP8obN0GNIj4rWfstJx5kDi_GF8-hP5_7Ug/edit#gid=330735094"",""Gestión Pública!A2:K301"")"),"Gesti1")</f>
        <v>Gesti1</v>
      </c>
      <c r="B3003" s="25" t="str">
        <f ca="1">IFERROR(__xludf.DUMMYFUNCTION("""COMPUTED_VALUE"""),"Despachando: Secretaría general")</f>
        <v>Despachando: Secretaría general</v>
      </c>
      <c r="C3003" s="55">
        <f ca="1">IFERROR(__xludf.DUMMYFUNCTION("""COMPUTED_VALUE"""),44132)</f>
        <v>44132</v>
      </c>
      <c r="D3003" s="25" t="str">
        <f ca="1">IFERROR(__xludf.DUMMYFUNCTION("""COMPUTED_VALUE"""),"Gestión_Pública")</f>
        <v>Gestión_Pública</v>
      </c>
      <c r="E3003" s="25" t="str">
        <f ca="1">IFERROR(__xludf.DUMMYFUNCTION("""COMPUTED_VALUE"""),"Secretaría General")</f>
        <v>Secretaría General</v>
      </c>
      <c r="F3003" s="25" t="str">
        <f ca="1">IFERROR(__xludf.DUMMYFUNCTION("""COMPUTED_VALUE"""),"Revisar la gestión documental de los procesos de toma de decisiones de las entidades públicas")</f>
        <v>Revisar la gestión documental de los procesos de toma de decisiones de las entidades públicas</v>
      </c>
      <c r="G3003" s="25" t="str">
        <f ca="1">IFERROR(__xludf.DUMMYFUNCTION("""COMPUTED_VALUE"""),"99. Distrito")</f>
        <v>99. Distrito</v>
      </c>
      <c r="H3003" s="55">
        <f ca="1">IFERROR(__xludf.DUMMYFUNCTION("""COMPUTED_VALUE"""),44484)</f>
        <v>44484</v>
      </c>
      <c r="I3003" s="25"/>
      <c r="J3003" s="55" t="str">
        <f ca="1">IFERROR(__xludf.DUMMYFUNCTION("""COMPUTED_VALUE"""),"Baja")</f>
        <v>Baja</v>
      </c>
      <c r="K3003" s="25">
        <f ca="1">IFERROR(__xludf.DUMMYFUNCTION("""COMPUTED_VALUE"""),352)</f>
        <v>352</v>
      </c>
      <c r="L3003" s="62">
        <f ca="1">IFERROR(__xludf.DUMMYFUNCTION("IMPORTRANGE(""https://docs.google.com/spreadsheets/d/1SUh42QDwFP8obN0GNIj4rWfstJx5kDi_GF8-hP5_7Ug/edit#gid=330735094"",""Gestión Pública!M2:O301"")"),44757)</f>
        <v>44757</v>
      </c>
      <c r="M3003" s="25" t="str">
        <f ca="1">IFERROR(__xludf.DUMMYFUNCTION("""COMPUTED_VALUE"""),"En cuanto a la tarea ""Revisar la gestión documental de los procesos de toma de decisiones de las entidades públicas"" se avanzó en:
Se elaboró el documento ""Caso de éxito en la toma de decisiones - Conformación banco de hojas de vida Jefes de control i"&amp;"nterno de la administración pública
Bogotá, D.C."" 
Avance: 100%. ")</f>
        <v xml:space="preserve">En cuanto a la tarea "Revisar la gestión documental de los procesos de toma de decisiones de las entidades públicas" se avanzó en:
Se elaboró el documento "Caso de éxito en la toma de decisiones - Conformación banco de hojas de vida Jefes de control interno de la administración pública
Bogotá, D.C." 
Avance: 100%. </v>
      </c>
      <c r="N3003" s="55">
        <f ca="1">IFERROR(__xludf.DUMMYFUNCTION("""COMPUTED_VALUE"""),44757)</f>
        <v>44757</v>
      </c>
      <c r="O3003" s="25" t="str">
        <f t="shared" ca="1" si="0"/>
        <v>Secretaría General</v>
      </c>
      <c r="P3003" s="25" t="str">
        <f t="shared" si="2"/>
        <v/>
      </c>
      <c r="Q3003" s="25" t="str">
        <f ca="1">IFERROR(__xludf.DUMMYFUNCTION("IMPORTRANGE(""https://docs.google.com/spreadsheets/d/1SUh42QDwFP8obN0GNIj4rWfstJx5kDi_GF8-hP5_7Ug/edit#gid=330735094"",""Gestión Pública!L2:L301"")"),"Largo plazo")</f>
        <v>Largo plazo</v>
      </c>
      <c r="R3003" s="25"/>
      <c r="S3003" s="55"/>
      <c r="T3003" s="56"/>
      <c r="U3003" s="25"/>
      <c r="V3003" s="25"/>
      <c r="W3003" s="25"/>
      <c r="X3003" s="25"/>
      <c r="Y3003" s="25"/>
      <c r="Z3003" s="25"/>
    </row>
    <row r="3004" spans="1:26" ht="52.5" customHeight="1" x14ac:dyDescent="0.25">
      <c r="A3004" s="25" t="str">
        <f ca="1">IFERROR(__xludf.DUMMYFUNCTION("""COMPUTED_VALUE"""),"Gesti2")</f>
        <v>Gesti2</v>
      </c>
      <c r="B3004" s="25" t="str">
        <f ca="1">IFERROR(__xludf.DUMMYFUNCTION("""COMPUTED_VALUE"""),"Despachando: Secretaría general")</f>
        <v>Despachando: Secretaría general</v>
      </c>
      <c r="C3004" s="55">
        <f ca="1">IFERROR(__xludf.DUMMYFUNCTION("""COMPUTED_VALUE"""),44132)</f>
        <v>44132</v>
      </c>
      <c r="D3004" s="25" t="str">
        <f ca="1">IFERROR(__xludf.DUMMYFUNCTION("""COMPUTED_VALUE"""),"Gestión_Pública")</f>
        <v>Gestión_Pública</v>
      </c>
      <c r="E3004" s="25" t="str">
        <f ca="1">IFERROR(__xludf.DUMMYFUNCTION("""COMPUTED_VALUE"""),"Secretaría General")</f>
        <v>Secretaría General</v>
      </c>
      <c r="F3004" s="25" t="str">
        <f ca="1">IFERROR(__xludf.DUMMYFUNCTION("""COMPUTED_VALUE"""),"Incluir datos de la pandemia en la plataforma de gobierno abierto")</f>
        <v>Incluir datos de la pandemia en la plataforma de gobierno abierto</v>
      </c>
      <c r="G3004" s="25" t="str">
        <f ca="1">IFERROR(__xludf.DUMMYFUNCTION("""COMPUTED_VALUE"""),"99. Distrito")</f>
        <v>99. Distrito</v>
      </c>
      <c r="H3004" s="55">
        <f ca="1">IFERROR(__xludf.DUMMYFUNCTION("""COMPUTED_VALUE"""),44162)</f>
        <v>44162</v>
      </c>
      <c r="I3004" s="25"/>
      <c r="J3004" s="55" t="str">
        <f ca="1">IFERROR(__xludf.DUMMYFUNCTION("""COMPUTED_VALUE"""),"Alta")</f>
        <v>Alta</v>
      </c>
      <c r="K3004" s="25">
        <f ca="1">IFERROR(__xludf.DUMMYFUNCTION("""COMPUTED_VALUE"""),30)</f>
        <v>30</v>
      </c>
      <c r="L3004" s="62">
        <f ca="1">IFERROR(__xludf.DUMMYFUNCTION("""COMPUTED_VALUE"""),44385)</f>
        <v>44385</v>
      </c>
      <c r="M3004" s="25" t="str">
        <f ca="1">IFERROR(__xludf.DUMMYFUNCTION("""COMPUTED_VALUE"""),"En la página de Bogotá Cuidadora y en la Aplicación Gobierno Abierto Bogotá - GAB se encuentra integrado un enlace que direcciona a la página de SALUDATA, en la cual se puede tener acceso a toda la información y datos relacionados con el COVID-19.")</f>
        <v>En la página de Bogotá Cuidadora y en la Aplicación Gobierno Abierto Bogotá - GAB se encuentra integrado un enlace que direcciona a la página de SALUDATA, en la cual se puede tener acceso a toda la información y datos relacionados con el COVID-19.</v>
      </c>
      <c r="N3004" s="55">
        <f ca="1">IFERROR(__xludf.DUMMYFUNCTION("""COMPUTED_VALUE"""),44385)</f>
        <v>44385</v>
      </c>
      <c r="O3004" s="25" t="str">
        <f t="shared" ca="1" si="0"/>
        <v>Secretaría General</v>
      </c>
      <c r="P3004" s="25" t="str">
        <f t="shared" si="2"/>
        <v/>
      </c>
      <c r="Q3004" s="25" t="str">
        <f ca="1">IFERROR(__xludf.DUMMYFUNCTION("""COMPUTED_VALUE"""),"Corto plazo")</f>
        <v>Corto plazo</v>
      </c>
      <c r="R3004" s="25"/>
      <c r="S3004" s="55"/>
      <c r="T3004" s="56"/>
      <c r="U3004" s="25"/>
      <c r="V3004" s="25"/>
      <c r="W3004" s="25"/>
      <c r="X3004" s="25"/>
      <c r="Y3004" s="25"/>
      <c r="Z3004" s="25"/>
    </row>
    <row r="3005" spans="1:26" ht="52.5" customHeight="1" x14ac:dyDescent="0.25">
      <c r="A3005" s="25" t="str">
        <f ca="1">IFERROR(__xludf.DUMMYFUNCTION("""COMPUTED_VALUE"""),"Gesti3")</f>
        <v>Gesti3</v>
      </c>
      <c r="B3005" s="25" t="str">
        <f ca="1">IFERROR(__xludf.DUMMYFUNCTION("""COMPUTED_VALUE"""),"Recorrido Sumapaz")</f>
        <v>Recorrido Sumapaz</v>
      </c>
      <c r="C3005" s="55">
        <f ca="1">IFERROR(__xludf.DUMMYFUNCTION("""COMPUTED_VALUE"""),44162)</f>
        <v>44162</v>
      </c>
      <c r="D3005" s="25" t="str">
        <f ca="1">IFERROR(__xludf.DUMMYFUNCTION("""COMPUTED_VALUE"""),"Gestión_Pública")</f>
        <v>Gestión_Pública</v>
      </c>
      <c r="E3005" s="25" t="str">
        <f ca="1">IFERROR(__xludf.DUMMYFUNCTION("""COMPUTED_VALUE"""),"Alta Consejería para los Derechos de las Víctimas")</f>
        <v>Alta Consejería para los Derechos de las Víctimas</v>
      </c>
      <c r="F3005" s="25" t="str">
        <f ca="1">IFERROR(__xludf.DUMMYFUNCTION("""COMPUTED_VALUE"""),"Adelantar el censo de unidades agropecuarias")</f>
        <v>Adelantar el censo de unidades agropecuarias</v>
      </c>
      <c r="G3005" s="55" t="str">
        <f ca="1">IFERROR(__xludf.DUMMYFUNCTION("""COMPUTED_VALUE"""),"20. Sumapaz")</f>
        <v>20. Sumapaz</v>
      </c>
      <c r="H3005" s="55">
        <f ca="1">IFERROR(__xludf.DUMMYFUNCTION("""COMPUTED_VALUE"""),44192)</f>
        <v>44192</v>
      </c>
      <c r="I3005" s="25"/>
      <c r="J3005" s="55" t="str">
        <f ca="1">IFERROR(__xludf.DUMMYFUNCTION("""COMPUTED_VALUE"""),"Alta")</f>
        <v>Alta</v>
      </c>
      <c r="K3005" s="25">
        <f ca="1">IFERROR(__xludf.DUMMYFUNCTION("""COMPUTED_VALUE"""),30)</f>
        <v>30</v>
      </c>
      <c r="L3005" s="62">
        <f ca="1">IFERROR(__xludf.DUMMYFUNCTION("""COMPUTED_VALUE"""),44362)</f>
        <v>44362</v>
      </c>
      <c r="M3005" s="25" t="str">
        <f ca="1">IFERROR(__xludf.DUMMYFUNCTION("""COMPUTED_VALUE"""),"La consejería de víctimas y Sec Desarrollo Económico realizaron reunión el miércoles 9 de diciembre para coordinar el censo de unidades agropecuarias, el cual se comenzaron a realizar a partir del 21 de diciembre de 2020.")</f>
        <v>La consejería de víctimas y Sec Desarrollo Económico realizaron reunión el miércoles 9 de diciembre para coordinar el censo de unidades agropecuarias, el cual se comenzaron a realizar a partir del 21 de diciembre de 2020.</v>
      </c>
      <c r="N3005" s="55">
        <f ca="1">IFERROR(__xludf.DUMMYFUNCTION("""COMPUTED_VALUE"""),44362)</f>
        <v>44362</v>
      </c>
      <c r="O3005" s="25" t="str">
        <f t="shared" ca="1" si="0"/>
        <v>Alta Consejería para los Derechos de las Víctimas</v>
      </c>
      <c r="P3005" s="25" t="str">
        <f t="shared" si="2"/>
        <v/>
      </c>
      <c r="Q3005" s="25" t="str">
        <f ca="1">IFERROR(__xludf.DUMMYFUNCTION("""COMPUTED_VALUE"""),"Corto plazo")</f>
        <v>Corto plazo</v>
      </c>
      <c r="R3005" s="25"/>
      <c r="S3005" s="55"/>
      <c r="T3005" s="56"/>
      <c r="U3005" s="25"/>
      <c r="V3005" s="25"/>
      <c r="W3005" s="25"/>
      <c r="X3005" s="25"/>
      <c r="Y3005" s="25"/>
      <c r="Z3005" s="25"/>
    </row>
    <row r="3006" spans="1:26" ht="52.5" customHeight="1" x14ac:dyDescent="0.25">
      <c r="A3006" s="25" t="str">
        <f ca="1">IFERROR(__xludf.DUMMYFUNCTION("""COMPUTED_VALUE"""),"Gesti4")</f>
        <v>Gesti4</v>
      </c>
      <c r="B3006" s="25" t="str">
        <f ca="1">IFERROR(__xludf.DUMMYFUNCTION("""COMPUTED_VALUE"""),"Plataforma Gobierno Abierto de Bogotá GAB")</f>
        <v>Plataforma Gobierno Abierto de Bogotá GAB</v>
      </c>
      <c r="C3006" s="55">
        <f ca="1">IFERROR(__xludf.DUMMYFUNCTION("""COMPUTED_VALUE"""),44260)</f>
        <v>44260</v>
      </c>
      <c r="D3006" s="25" t="str">
        <f ca="1">IFERROR(__xludf.DUMMYFUNCTION("""COMPUTED_VALUE"""),"Gestión_Pública")</f>
        <v>Gestión_Pública</v>
      </c>
      <c r="E3006" s="25" t="str">
        <f ca="1">IFERROR(__xludf.DUMMYFUNCTION("""COMPUTED_VALUE"""),"Secretaría General")</f>
        <v>Secretaría General</v>
      </c>
      <c r="F3006" s="25" t="str">
        <f ca="1">IFERROR(__xludf.DUMMYFUNCTION("""COMPUTED_VALUE"""),"Direccionamiento del sitio desde portal Bogotá (Así Vamos) - Así va el plan")</f>
        <v>Direccionamiento del sitio desde portal Bogotá (Así Vamos) - Así va el plan</v>
      </c>
      <c r="G3006" s="25" t="str">
        <f ca="1">IFERROR(__xludf.DUMMYFUNCTION("""COMPUTED_VALUE"""),"99. Distrito")</f>
        <v>99. Distrito</v>
      </c>
      <c r="H3006" s="55">
        <f ca="1">IFERROR(__xludf.DUMMYFUNCTION("""COMPUTED_VALUE"""),44290)</f>
        <v>44290</v>
      </c>
      <c r="I3006" s="25"/>
      <c r="J3006" s="55" t="str">
        <f ca="1">IFERROR(__xludf.DUMMYFUNCTION("""COMPUTED_VALUE"""),"Alta")</f>
        <v>Alta</v>
      </c>
      <c r="K3006" s="25">
        <f ca="1">IFERROR(__xludf.DUMMYFUNCTION("""COMPUTED_VALUE"""),30)</f>
        <v>30</v>
      </c>
      <c r="L3006" s="62"/>
      <c r="M3006" s="64" t="str">
        <f ca="1">IFERROR(__xludf.DUMMYFUNCTION("""COMPUTED_VALUE"""),"Se realizó la tarea, se encuentra en el link:  https://bogota.gov.co/asi-vamos/contratos-y-obras")</f>
        <v>Se realizó la tarea, se encuentra en el link:  https://bogota.gov.co/asi-vamos/contratos-y-obras</v>
      </c>
      <c r="N3006" s="55">
        <f ca="1">IFERROR(__xludf.DUMMYFUNCTION("""COMPUTED_VALUE"""),44927)</f>
        <v>44927</v>
      </c>
      <c r="O3006" s="25" t="str">
        <f t="shared" ca="1" si="0"/>
        <v>Secretaría General</v>
      </c>
      <c r="P3006" s="25" t="str">
        <f t="shared" si="2"/>
        <v/>
      </c>
      <c r="Q3006" s="25" t="str">
        <f ca="1">IFERROR(__xludf.DUMMYFUNCTION("""COMPUTED_VALUE"""),"Corto plazo")</f>
        <v>Corto plazo</v>
      </c>
      <c r="R3006" s="25"/>
      <c r="S3006" s="55"/>
      <c r="T3006" s="56"/>
      <c r="U3006" s="25"/>
      <c r="V3006" s="25"/>
      <c r="W3006" s="25"/>
      <c r="X3006" s="25"/>
      <c r="Y3006" s="25"/>
      <c r="Z3006" s="25"/>
    </row>
    <row r="3007" spans="1:26" ht="52.5" customHeight="1" x14ac:dyDescent="0.25">
      <c r="A3007" s="25" t="str">
        <f ca="1">IFERROR(__xludf.DUMMYFUNCTION("""COMPUTED_VALUE"""),"Gesti5")</f>
        <v>Gesti5</v>
      </c>
      <c r="B3007" s="25" t="str">
        <f ca="1">IFERROR(__xludf.DUMMYFUNCTION("""COMPUTED_VALUE"""),"Plataforma Gobierno Abierto de Bogotá GAB")</f>
        <v>Plataforma Gobierno Abierto de Bogotá GAB</v>
      </c>
      <c r="C3007" s="55">
        <f ca="1">IFERROR(__xludf.DUMMYFUNCTION("""COMPUTED_VALUE"""),44260)</f>
        <v>44260</v>
      </c>
      <c r="D3007" s="25" t="str">
        <f ca="1">IFERROR(__xludf.DUMMYFUNCTION("""COMPUTED_VALUE"""),"Gestión_Pública")</f>
        <v>Gestión_Pública</v>
      </c>
      <c r="E3007" s="25" t="str">
        <f ca="1">IFERROR(__xludf.DUMMYFUNCTION("""COMPUTED_VALUE"""),"Secretaría General")</f>
        <v>Secretaría General</v>
      </c>
      <c r="F3007" s="25" t="str">
        <f ca="1">IFERROR(__xludf.DUMMYFUNCTION("""COMPUTED_VALUE"""),"Cargado contratación a la vista")</f>
        <v>Cargado contratación a la vista</v>
      </c>
      <c r="G3007" s="25" t="str">
        <f ca="1">IFERROR(__xludf.DUMMYFUNCTION("""COMPUTED_VALUE"""),"99. Distrito")</f>
        <v>99. Distrito</v>
      </c>
      <c r="H3007" s="55">
        <f ca="1">IFERROR(__xludf.DUMMYFUNCTION("""COMPUTED_VALUE"""),44290)</f>
        <v>44290</v>
      </c>
      <c r="I3007" s="25"/>
      <c r="J3007" s="55" t="str">
        <f ca="1">IFERROR(__xludf.DUMMYFUNCTION("""COMPUTED_VALUE"""),"Alta")</f>
        <v>Alta</v>
      </c>
      <c r="K3007" s="25">
        <f ca="1">IFERROR(__xludf.DUMMYFUNCTION("""COMPUTED_VALUE"""),30)</f>
        <v>30</v>
      </c>
      <c r="L3007" s="62"/>
      <c r="M3007" s="64" t="str">
        <f ca="1">IFERROR(__xludf.DUMMYFUNCTION("""COMPUTED_VALUE"""),"Se realizó la tarea, se encuentra en el link: https://bogota.gov.co/asi-va-el-plan/sectores.php")</f>
        <v>Se realizó la tarea, se encuentra en el link: https://bogota.gov.co/asi-va-el-plan/sectores.php</v>
      </c>
      <c r="N3007" s="55">
        <f ca="1">IFERROR(__xludf.DUMMYFUNCTION("""COMPUTED_VALUE"""),44927)</f>
        <v>44927</v>
      </c>
      <c r="O3007" s="25" t="str">
        <f t="shared" ca="1" si="0"/>
        <v>Secretaría General</v>
      </c>
      <c r="P3007" s="25" t="str">
        <f t="shared" si="2"/>
        <v/>
      </c>
      <c r="Q3007" s="25" t="str">
        <f ca="1">IFERROR(__xludf.DUMMYFUNCTION("""COMPUTED_VALUE"""),"Corto plazo")</f>
        <v>Corto plazo</v>
      </c>
      <c r="R3007" s="25"/>
      <c r="S3007" s="55"/>
      <c r="T3007" s="56"/>
      <c r="U3007" s="25"/>
      <c r="V3007" s="25"/>
      <c r="W3007" s="25"/>
      <c r="X3007" s="25"/>
      <c r="Y3007" s="25"/>
      <c r="Z3007" s="25"/>
    </row>
    <row r="3008" spans="1:26" ht="52.5" customHeight="1" x14ac:dyDescent="0.25">
      <c r="A3008" s="25" t="str">
        <f ca="1">IFERROR(__xludf.DUMMYFUNCTION("""COMPUTED_VALUE"""),"Gesti6")</f>
        <v>Gesti6</v>
      </c>
      <c r="B3008" s="25" t="str">
        <f ca="1">IFERROR(__xludf.DUMMYFUNCTION("""COMPUTED_VALUE"""),"Plataforma Gobierno Abierto de Bogotá GAB")</f>
        <v>Plataforma Gobierno Abierto de Bogotá GAB</v>
      </c>
      <c r="C3008" s="55">
        <f ca="1">IFERROR(__xludf.DUMMYFUNCTION("""COMPUTED_VALUE"""),44260)</f>
        <v>44260</v>
      </c>
      <c r="D3008" s="25" t="str">
        <f ca="1">IFERROR(__xludf.DUMMYFUNCTION("""COMPUTED_VALUE"""),"Gestión_Pública")</f>
        <v>Gestión_Pública</v>
      </c>
      <c r="E3008" s="25" t="str">
        <f ca="1">IFERROR(__xludf.DUMMYFUNCTION("""COMPUTED_VALUE"""),"Secretaría General")</f>
        <v>Secretaría General</v>
      </c>
      <c r="F3008" s="25" t="str">
        <f ca="1">IFERROR(__xludf.DUMMYFUNCTION("""COMPUTED_VALUE"""),"información cargada en productivo:
 Indicadores - solo agregados - Así va el plan")</f>
        <v>información cargada en productivo:
 Indicadores - solo agregados - Así va el plan</v>
      </c>
      <c r="G3008" s="25" t="str">
        <f ca="1">IFERROR(__xludf.DUMMYFUNCTION("""COMPUTED_VALUE"""),"99. Distrito")</f>
        <v>99. Distrito</v>
      </c>
      <c r="H3008" s="55">
        <f ca="1">IFERROR(__xludf.DUMMYFUNCTION("""COMPUTED_VALUE"""),44290)</f>
        <v>44290</v>
      </c>
      <c r="I3008" s="25"/>
      <c r="J3008" s="55" t="str">
        <f ca="1">IFERROR(__xludf.DUMMYFUNCTION("""COMPUTED_VALUE"""),"Alta")</f>
        <v>Alta</v>
      </c>
      <c r="K3008" s="25">
        <f ca="1">IFERROR(__xludf.DUMMYFUNCTION("""COMPUTED_VALUE"""),30)</f>
        <v>30</v>
      </c>
      <c r="L3008" s="62"/>
      <c r="M3008" s="64" t="str">
        <f ca="1">IFERROR(__xludf.DUMMYFUNCTION("""COMPUTED_VALUE"""),"Se realizó la tarea, se encuentra en el link: https://bogota.gov.co/asi-va-el-plan/propositos.php")</f>
        <v>Se realizó la tarea, se encuentra en el link: https://bogota.gov.co/asi-va-el-plan/propositos.php</v>
      </c>
      <c r="N3008" s="55">
        <f ca="1">IFERROR(__xludf.DUMMYFUNCTION("""COMPUTED_VALUE"""),44927)</f>
        <v>44927</v>
      </c>
      <c r="O3008" s="25" t="str">
        <f t="shared" ca="1" si="0"/>
        <v>Secretaría General</v>
      </c>
      <c r="P3008" s="25" t="str">
        <f t="shared" si="2"/>
        <v/>
      </c>
      <c r="Q3008" s="25" t="str">
        <f ca="1">IFERROR(__xludf.DUMMYFUNCTION("""COMPUTED_VALUE"""),"Corto plazo")</f>
        <v>Corto plazo</v>
      </c>
      <c r="R3008" s="25"/>
      <c r="S3008" s="55"/>
      <c r="T3008" s="56"/>
      <c r="U3008" s="25"/>
      <c r="V3008" s="25"/>
      <c r="W3008" s="25"/>
      <c r="X3008" s="25"/>
      <c r="Y3008" s="25"/>
      <c r="Z3008" s="25"/>
    </row>
    <row r="3009" spans="1:26" ht="52.5" customHeight="1" x14ac:dyDescent="0.25">
      <c r="A3009" s="25" t="str">
        <f ca="1">IFERROR(__xludf.DUMMYFUNCTION("""COMPUTED_VALUE"""),"Gesti7")</f>
        <v>Gesti7</v>
      </c>
      <c r="B3009" s="25" t="str">
        <f ca="1">IFERROR(__xludf.DUMMYFUNCTION("""COMPUTED_VALUE"""),"Plataforma Gobierno Abierto de Bogotá GAB")</f>
        <v>Plataforma Gobierno Abierto de Bogotá GAB</v>
      </c>
      <c r="C3009" s="55">
        <f ca="1">IFERROR(__xludf.DUMMYFUNCTION("""COMPUTED_VALUE"""),44260)</f>
        <v>44260</v>
      </c>
      <c r="D3009" s="25" t="str">
        <f ca="1">IFERROR(__xludf.DUMMYFUNCTION("""COMPUTED_VALUE"""),"Gestión_Pública")</f>
        <v>Gestión_Pública</v>
      </c>
      <c r="E3009" s="25" t="str">
        <f ca="1">IFERROR(__xludf.DUMMYFUNCTION("""COMPUTED_VALUE"""),"Secretaría General")</f>
        <v>Secretaría General</v>
      </c>
      <c r="F3009" s="25" t="str">
        <f ca="1">IFERROR(__xludf.DUMMYFUNCTION("""COMPUTED_VALUE"""),"Información cualitativa de logros de ciudad (con base en documento de rendición de cuentas) - Así va el plan")</f>
        <v>Información cualitativa de logros de ciudad (con base en documento de rendición de cuentas) - Así va el plan</v>
      </c>
      <c r="G3009" s="25" t="str">
        <f ca="1">IFERROR(__xludf.DUMMYFUNCTION("""COMPUTED_VALUE"""),"99. Distrito")</f>
        <v>99. Distrito</v>
      </c>
      <c r="H3009" s="55">
        <f ca="1">IFERROR(__xludf.DUMMYFUNCTION("""COMPUTED_VALUE"""),44290)</f>
        <v>44290</v>
      </c>
      <c r="I3009" s="25"/>
      <c r="J3009" s="55" t="str">
        <f ca="1">IFERROR(__xludf.DUMMYFUNCTION("""COMPUTED_VALUE"""),"Alta")</f>
        <v>Alta</v>
      </c>
      <c r="K3009" s="25">
        <f ca="1">IFERROR(__xludf.DUMMYFUNCTION("""COMPUTED_VALUE"""),30)</f>
        <v>30</v>
      </c>
      <c r="L3009" s="62"/>
      <c r="M3009" s="64" t="str">
        <f ca="1">IFERROR(__xludf.DUMMYFUNCTION("""COMPUTED_VALUE"""),"Se realizó la tarea, se encuentra en el link: https://gobiernoabiertobogota.gov.co/#/gab/alcaldesa")</f>
        <v>Se realizó la tarea, se encuentra en el link: https://gobiernoabiertobogota.gov.co/#/gab/alcaldesa</v>
      </c>
      <c r="N3009" s="55">
        <f ca="1">IFERROR(__xludf.DUMMYFUNCTION("""COMPUTED_VALUE"""),44927)</f>
        <v>44927</v>
      </c>
      <c r="O3009" s="25" t="str">
        <f t="shared" ca="1" si="0"/>
        <v>Secretaría General</v>
      </c>
      <c r="P3009" s="25" t="str">
        <f t="shared" si="2"/>
        <v/>
      </c>
      <c r="Q3009" s="25" t="str">
        <f ca="1">IFERROR(__xludf.DUMMYFUNCTION("""COMPUTED_VALUE"""),"Corto plazo")</f>
        <v>Corto plazo</v>
      </c>
      <c r="R3009" s="25"/>
      <c r="S3009" s="55"/>
      <c r="T3009" s="56"/>
      <c r="U3009" s="25"/>
      <c r="V3009" s="25"/>
      <c r="W3009" s="25"/>
      <c r="X3009" s="25"/>
      <c r="Y3009" s="25"/>
      <c r="Z3009" s="25"/>
    </row>
    <row r="3010" spans="1:26" ht="52.5" customHeight="1" x14ac:dyDescent="0.25">
      <c r="A3010" s="25" t="str">
        <f ca="1">IFERROR(__xludf.DUMMYFUNCTION("""COMPUTED_VALUE"""),"Gesti8")</f>
        <v>Gesti8</v>
      </c>
      <c r="B3010" s="25" t="str">
        <f ca="1">IFERROR(__xludf.DUMMYFUNCTION("""COMPUTED_VALUE"""),"Plataforma Gobierno Abierto de Bogotá GAB")</f>
        <v>Plataforma Gobierno Abierto de Bogotá GAB</v>
      </c>
      <c r="C3010" s="55">
        <f ca="1">IFERROR(__xludf.DUMMYFUNCTION("""COMPUTED_VALUE"""),44260)</f>
        <v>44260</v>
      </c>
      <c r="D3010" s="25" t="str">
        <f ca="1">IFERROR(__xludf.DUMMYFUNCTION("""COMPUTED_VALUE"""),"Gestión_Pública")</f>
        <v>Gestión_Pública</v>
      </c>
      <c r="E3010" s="25" t="str">
        <f ca="1">IFERROR(__xludf.DUMMYFUNCTION("""COMPUTED_VALUE"""),"Secretaría General")</f>
        <v>Secretaría General</v>
      </c>
      <c r="F3010" s="25" t="str">
        <f ca="1">IFERROR(__xludf.DUMMYFUNCTION("""COMPUTED_VALUE"""),"La alcaldesa y GAB")</f>
        <v>La alcaldesa y GAB</v>
      </c>
      <c r="G3010" s="25" t="str">
        <f ca="1">IFERROR(__xludf.DUMMYFUNCTION("""COMPUTED_VALUE"""),"99. Distrito")</f>
        <v>99. Distrito</v>
      </c>
      <c r="H3010" s="55">
        <f ca="1">IFERROR(__xludf.DUMMYFUNCTION("""COMPUTED_VALUE"""),44290)</f>
        <v>44290</v>
      </c>
      <c r="I3010" s="25"/>
      <c r="J3010" s="55" t="str">
        <f ca="1">IFERROR(__xludf.DUMMYFUNCTION("""COMPUTED_VALUE"""),"Alta")</f>
        <v>Alta</v>
      </c>
      <c r="K3010" s="25">
        <f ca="1">IFERROR(__xludf.DUMMYFUNCTION("""COMPUTED_VALUE"""),30)</f>
        <v>30</v>
      </c>
      <c r="L3010" s="62"/>
      <c r="M3010" s="64" t="str">
        <f ca="1">IFERROR(__xludf.DUMMYFUNCTION("""COMPUTED_VALUE"""),"Se realizó la tarea, se encuentra en el link: https://gobiernoabiertobogota.gov.co/#/participacion")</f>
        <v>Se realizó la tarea, se encuentra en el link: https://gobiernoabiertobogota.gov.co/#/participacion</v>
      </c>
      <c r="N3010" s="55">
        <f ca="1">IFERROR(__xludf.DUMMYFUNCTION("""COMPUTED_VALUE"""),44927)</f>
        <v>44927</v>
      </c>
      <c r="O3010" s="25" t="str">
        <f t="shared" ca="1" si="0"/>
        <v>Secretaría General</v>
      </c>
      <c r="P3010" s="25" t="str">
        <f t="shared" si="2"/>
        <v/>
      </c>
      <c r="Q3010" s="25" t="str">
        <f ca="1">IFERROR(__xludf.DUMMYFUNCTION("""COMPUTED_VALUE"""),"Corto plazo")</f>
        <v>Corto plazo</v>
      </c>
      <c r="R3010" s="25"/>
      <c r="S3010" s="55"/>
      <c r="T3010" s="56"/>
      <c r="U3010" s="25"/>
      <c r="V3010" s="25"/>
      <c r="W3010" s="25"/>
      <c r="X3010" s="25"/>
      <c r="Y3010" s="25"/>
      <c r="Z3010" s="25"/>
    </row>
    <row r="3011" spans="1:26" ht="52.5" customHeight="1" x14ac:dyDescent="0.25">
      <c r="A3011" s="25" t="str">
        <f ca="1">IFERROR(__xludf.DUMMYFUNCTION("""COMPUTED_VALUE"""),"Gesti9")</f>
        <v>Gesti9</v>
      </c>
      <c r="B3011" s="25" t="str">
        <f ca="1">IFERROR(__xludf.DUMMYFUNCTION("""COMPUTED_VALUE"""),"Plataforma Gobierno Abierto de Bogotá GAB")</f>
        <v>Plataforma Gobierno Abierto de Bogotá GAB</v>
      </c>
      <c r="C3011" s="55">
        <f ca="1">IFERROR(__xludf.DUMMYFUNCTION("""COMPUTED_VALUE"""),44260)</f>
        <v>44260</v>
      </c>
      <c r="D3011" s="25" t="str">
        <f ca="1">IFERROR(__xludf.DUMMYFUNCTION("""COMPUTED_VALUE"""),"Gestión_Pública")</f>
        <v>Gestión_Pública</v>
      </c>
      <c r="E3011" s="25" t="str">
        <f ca="1">IFERROR(__xludf.DUMMYFUNCTION("""COMPUTED_VALUE"""),"Secretaría General")</f>
        <v>Secretaría General</v>
      </c>
      <c r="F3011" s="25" t="str">
        <f ca="1">IFERROR(__xludf.DUMMYFUNCTION("""COMPUTED_VALUE"""),"Contenedor participación")</f>
        <v>Contenedor participación</v>
      </c>
      <c r="G3011" s="25" t="str">
        <f ca="1">IFERROR(__xludf.DUMMYFUNCTION("""COMPUTED_VALUE"""),"99. Distrito")</f>
        <v>99. Distrito</v>
      </c>
      <c r="H3011" s="55">
        <f ca="1">IFERROR(__xludf.DUMMYFUNCTION("""COMPUTED_VALUE"""),44290)</f>
        <v>44290</v>
      </c>
      <c r="I3011" s="25"/>
      <c r="J3011" s="55" t="str">
        <f ca="1">IFERROR(__xludf.DUMMYFUNCTION("""COMPUTED_VALUE"""),"Alta")</f>
        <v>Alta</v>
      </c>
      <c r="K3011" s="25">
        <f ca="1">IFERROR(__xludf.DUMMYFUNCTION("""COMPUTED_VALUE"""),30)</f>
        <v>30</v>
      </c>
      <c r="L3011" s="62"/>
      <c r="M3011" s="25" t="str">
        <f ca="1">IFERROR(__xludf.DUMMYFUNCTION("""COMPUTED_VALUE"""),"Tercera semana de junio. Se revisaron resultados del taller con la Secretaria Margarita. Se pidió ajustar lineamiento y ya hay una versión ajustada. Es necesario hacer un taller con ciudadanos (grupos de interés) para obtener insumos definitivos. 
 Por "&amp;"solicitud de la secretaria general, Margarita Barraquer, se mueve esta fecha de la tarea, toda vez que los directivos de las entidades y sus equipos han hecho varias observaciones de fondo en el ejercicio y se están realizando jornadas masivas y particula"&amp;"res de capacitación para avanzar en la tarea. Se mueve para el día 14/05/2021 - Las agendas se irán publicando en tanto se vayan recibiendo.
 24/05/2021: Se han estado adelantando actividades encaminadas a mejorar el lineamiento. 
 La última semana de"&amp;" mayo se hizo un taller de entendimiento con entidades y se debe desarrollar otro espacio similar con ciudadanos. La idea es que lo recolectado en estos espacios sirva de insumo para afinar el documento y que el mismo pueda estar listo y en manos de las e"&amp;"ntidades a finales de junio. De cómo quede y los tiempos que se definan en el documento se desprende el tiempo de implementación. A espera de fecha de finalización.")</f>
        <v>Tercera semana de junio. Se revisaron resultados del taller con la Secretaria Margarita. Se pidió ajustar lineamiento y ya hay una versión ajustada. Es necesario hacer un taller con ciudadanos (grupos de interés) para obtener insumos definitivos. 
 Por solicitud de la secretaria general, Margarita Barraquer, se mueve esta fecha de la tarea, toda vez que los directivos de las entidades y sus equipos han hecho varias observaciones de fondo en el ejercicio y se están realizando jornadas masivas y particulares de capacitación para avanzar en la tarea. Se mueve para el día 14/05/2021 - Las agendas se irán publicando en tanto se vayan recibiendo.
 24/05/2021: Se han estado adelantando actividades encaminadas a mejorar el lineamiento. 
 La última semana de mayo se hizo un taller de entendimiento con entidades y se debe desarrollar otro espacio similar con ciudadanos. La idea es que lo recolectado en estos espacios sirva de insumo para afinar el documento y que el mismo pueda estar listo y en manos de las entidades a finales de junio. De cómo quede y los tiempos que se definan en el documento se desprende el tiempo de implementación. A espera de fecha de finalización.</v>
      </c>
      <c r="N3011" s="55">
        <f ca="1">IFERROR(__xludf.DUMMYFUNCTION("""COMPUTED_VALUE"""),44927)</f>
        <v>44927</v>
      </c>
      <c r="O3011" s="25" t="str">
        <f t="shared" ca="1" si="0"/>
        <v>Secretaría General</v>
      </c>
      <c r="P3011" s="25" t="str">
        <f t="shared" si="2"/>
        <v/>
      </c>
      <c r="Q3011" s="25" t="str">
        <f ca="1">IFERROR(__xludf.DUMMYFUNCTION("""COMPUTED_VALUE"""),"Corto plazo")</f>
        <v>Corto plazo</v>
      </c>
      <c r="R3011" s="25"/>
      <c r="S3011" s="55"/>
      <c r="T3011" s="56"/>
      <c r="U3011" s="25"/>
      <c r="V3011" s="25"/>
      <c r="W3011" s="25"/>
      <c r="X3011" s="25"/>
      <c r="Y3011" s="25"/>
      <c r="Z3011" s="25"/>
    </row>
    <row r="3012" spans="1:26" ht="52.5" customHeight="1" x14ac:dyDescent="0.25">
      <c r="A3012" s="25" t="str">
        <f ca="1">IFERROR(__xludf.DUMMYFUNCTION("""COMPUTED_VALUE"""),"Gesti10")</f>
        <v>Gesti10</v>
      </c>
      <c r="B3012" s="25" t="str">
        <f ca="1">IFERROR(__xludf.DUMMYFUNCTION("""COMPUTED_VALUE"""),"Plataforma Gobierno Abierto de Bogotá GAB")</f>
        <v>Plataforma Gobierno Abierto de Bogotá GAB</v>
      </c>
      <c r="C3012" s="55">
        <f ca="1">IFERROR(__xludf.DUMMYFUNCTION("""COMPUTED_VALUE"""),44260)</f>
        <v>44260</v>
      </c>
      <c r="D3012" s="25" t="str">
        <f ca="1">IFERROR(__xludf.DUMMYFUNCTION("""COMPUTED_VALUE"""),"Gestión_Pública")</f>
        <v>Gestión_Pública</v>
      </c>
      <c r="E3012" s="25" t="str">
        <f ca="1">IFERROR(__xludf.DUMMYFUNCTION("""COMPUTED_VALUE"""),"Secretaría General")</f>
        <v>Secretaría General</v>
      </c>
      <c r="F3012" s="25" t="str">
        <f ca="1">IFERROR(__xludf.DUMMYFUNCTION("""COMPUTED_VALUE"""),"Recepción de 100% de agendas.")</f>
        <v>Recepción de 100% de agendas.</v>
      </c>
      <c r="G3012" s="25" t="str">
        <f ca="1">IFERROR(__xludf.DUMMYFUNCTION("""COMPUTED_VALUE"""),"99. Distrito")</f>
        <v>99. Distrito</v>
      </c>
      <c r="H3012" s="55">
        <f ca="1">IFERROR(__xludf.DUMMYFUNCTION("""COMPUTED_VALUE"""),44290)</f>
        <v>44290</v>
      </c>
      <c r="I3012" s="25"/>
      <c r="J3012" s="55" t="str">
        <f ca="1">IFERROR(__xludf.DUMMYFUNCTION("""COMPUTED_VALUE"""),"Alta")</f>
        <v>Alta</v>
      </c>
      <c r="K3012" s="25">
        <f ca="1">IFERROR(__xludf.DUMMYFUNCTION("""COMPUTED_VALUE"""),30)</f>
        <v>30</v>
      </c>
      <c r="L3012" s="62">
        <f ca="1">IFERROR(__xludf.DUMMYFUNCTION("""COMPUTED_VALUE"""),44861)</f>
        <v>44861</v>
      </c>
      <c r="M3012" s="25" t="str">
        <f ca="1">IFERROR(__xludf.DUMMYFUNCTION("""COMPUTED_VALUE"""),"Avance: 92% 
En cuanto a la tarea ""Recepción de 100% de agendas, durante la quincena se avanzó en la atención de solicitudes de las entidades y actualización de agendas en productivo. 
Se relaciona la evidencia a continuación con corte del 27/10/2022:"&amp;" 
* https://gobiernoabiertobogota.gov.co/transparencia/agendas
* https://alcaldiabogota-my.sharepoint.com/:x:/g/personal/acescobarb_alcaldiabogota_gov_co/EfwRXWr9GGVPjkt1jZCEZTUBhB4YHi3zufEby8h07ZfAfQ?e=05ytBQ
")</f>
        <v xml:space="preserve">Avance: 92% 
En cuanto a la tarea "Recepción de 100% de agendas, durante la quincena se avanzó en la atención de solicitudes de las entidades y actualización de agendas en productivo. 
Se relaciona la evidencia a continuación con corte del 27/10/2022: 
* https://gobiernoabiertobogota.gov.co/transparencia/agendas
* https://alcaldiabogota-my.sharepoint.com/:x:/g/personal/acescobarb_alcaldiabogota_gov_co/EfwRXWr9GGVPjkt1jZCEZTUBhB4YHi3zufEby8h07ZfAfQ?e=05ytBQ
</v>
      </c>
      <c r="N3012" s="55">
        <f ca="1">IFERROR(__xludf.DUMMYFUNCTION("""COMPUTED_VALUE"""),44861)</f>
        <v>44861</v>
      </c>
      <c r="O3012" s="25" t="str">
        <f t="shared" ca="1" si="0"/>
        <v>Secretaría General</v>
      </c>
      <c r="P3012" s="25" t="str">
        <f t="shared" si="2"/>
        <v/>
      </c>
      <c r="Q3012" s="25" t="str">
        <f ca="1">IFERROR(__xludf.DUMMYFUNCTION("""COMPUTED_VALUE"""),"Corto plazo")</f>
        <v>Corto plazo</v>
      </c>
      <c r="R3012" s="25"/>
      <c r="S3012" s="55"/>
      <c r="T3012" s="56"/>
      <c r="U3012" s="25"/>
      <c r="V3012" s="25"/>
      <c r="W3012" s="25"/>
      <c r="X3012" s="25"/>
      <c r="Y3012" s="25"/>
      <c r="Z3012" s="25"/>
    </row>
    <row r="3013" spans="1:26" ht="52.5" customHeight="1" x14ac:dyDescent="0.25">
      <c r="A3013" s="25" t="str">
        <f ca="1">IFERROR(__xludf.DUMMYFUNCTION("""COMPUTED_VALUE"""),"Gesti11")</f>
        <v>Gesti11</v>
      </c>
      <c r="B3013" s="25" t="str">
        <f ca="1">IFERROR(__xludf.DUMMYFUNCTION("""COMPUTED_VALUE"""),"Plataforma Gobierno Abierto de Bogotá GAB")</f>
        <v>Plataforma Gobierno Abierto de Bogotá GAB</v>
      </c>
      <c r="C3013" s="55">
        <f ca="1">IFERROR(__xludf.DUMMYFUNCTION("""COMPUTED_VALUE"""),44260)</f>
        <v>44260</v>
      </c>
      <c r="D3013" s="25" t="str">
        <f ca="1">IFERROR(__xludf.DUMMYFUNCTION("""COMPUTED_VALUE"""),"Gestión_Pública")</f>
        <v>Gestión_Pública</v>
      </c>
      <c r="E3013" s="25" t="str">
        <f ca="1">IFERROR(__xludf.DUMMYFUNCTION("""COMPUTED_VALUE"""),"Secretaría General")</f>
        <v>Secretaría General</v>
      </c>
      <c r="F3013" s="25" t="str">
        <f ca="1">IFERROR(__xludf.DUMMYFUNCTION("""COMPUTED_VALUE"""),"Agendas en productivo en GAB")</f>
        <v>Agendas en productivo en GAB</v>
      </c>
      <c r="G3013" s="25" t="str">
        <f ca="1">IFERROR(__xludf.DUMMYFUNCTION("""COMPUTED_VALUE"""),"99. Distrito")</f>
        <v>99. Distrito</v>
      </c>
      <c r="H3013" s="55">
        <f ca="1">IFERROR(__xludf.DUMMYFUNCTION("""COMPUTED_VALUE"""),44290)</f>
        <v>44290</v>
      </c>
      <c r="I3013" s="25"/>
      <c r="J3013" s="55" t="str">
        <f ca="1">IFERROR(__xludf.DUMMYFUNCTION("""COMPUTED_VALUE"""),"Alta")</f>
        <v>Alta</v>
      </c>
      <c r="K3013" s="25">
        <f ca="1">IFERROR(__xludf.DUMMYFUNCTION("""COMPUTED_VALUE"""),30)</f>
        <v>30</v>
      </c>
      <c r="L3013" s="62">
        <f ca="1">IFERROR(__xludf.DUMMYFUNCTION("""COMPUTED_VALUE"""),44861)</f>
        <v>44861</v>
      </c>
      <c r="M3013" s="25" t="str">
        <f ca="1">IFERROR(__xludf.DUMMYFUNCTION("""COMPUTED_VALUE"""),"Avance: 90%
En cuanto a la tarea ""Agendas en productivo en GAB” durante la quincena se avanzó en la atención de solicitudes de las entidades y actualización de agendas en productivo. 
Se relaciona la evidencia a continuación con corte del 27/10/2022: 
"&amp;"* https://gobiernoabiertobogota.gov.co/transparencia/agendas
* https://alcaldiabogota-my.sharepoint.com/:x:/g/personal/acescobarb_alcaldiabogota_gov_co/EfwRXWr9GGVPjkt1jZCEZTUBhB4YHi3zufEby8h07ZfAfQ?e=05ytBQ
")</f>
        <v xml:space="preserve">Avance: 90%
En cuanto a la tarea "Agendas en productivo en GAB” durante la quincena se avanzó en la atención de solicitudes de las entidades y actualización de agendas en productivo. 
Se relaciona la evidencia a continuación con corte del 27/10/2022: 
* https://gobiernoabiertobogota.gov.co/transparencia/agendas
* https://alcaldiabogota-my.sharepoint.com/:x:/g/personal/acescobarb_alcaldiabogota_gov_co/EfwRXWr9GGVPjkt1jZCEZTUBhB4YHi3zufEby8h07ZfAfQ?e=05ytBQ
</v>
      </c>
      <c r="N3013" s="55">
        <f ca="1">IFERROR(__xludf.DUMMYFUNCTION("""COMPUTED_VALUE"""),44861)</f>
        <v>44861</v>
      </c>
      <c r="O3013" s="25" t="str">
        <f t="shared" ca="1" si="0"/>
        <v>Secretaría General</v>
      </c>
      <c r="P3013" s="25" t="str">
        <f t="shared" si="2"/>
        <v/>
      </c>
      <c r="Q3013" s="25" t="str">
        <f ca="1">IFERROR(__xludf.DUMMYFUNCTION("""COMPUTED_VALUE"""),"Corto plazo")</f>
        <v>Corto plazo</v>
      </c>
      <c r="R3013" s="25"/>
      <c r="S3013" s="55"/>
      <c r="T3013" s="56"/>
      <c r="U3013" s="25"/>
      <c r="V3013" s="25"/>
      <c r="W3013" s="25"/>
      <c r="X3013" s="25"/>
      <c r="Y3013" s="25"/>
      <c r="Z3013" s="25"/>
    </row>
    <row r="3014" spans="1:26" ht="52.5" customHeight="1" x14ac:dyDescent="0.25">
      <c r="A3014" s="25" t="str">
        <f ca="1">IFERROR(__xludf.DUMMYFUNCTION("""COMPUTED_VALUE"""),"Gesti12")</f>
        <v>Gesti12</v>
      </c>
      <c r="B3014" s="25" t="str">
        <f ca="1">IFERROR(__xludf.DUMMYFUNCTION("""COMPUTED_VALUE"""),"Plataforma Gobierno Abierto de Bogotá GAB")</f>
        <v>Plataforma Gobierno Abierto de Bogotá GAB</v>
      </c>
      <c r="C3014" s="55">
        <f ca="1">IFERROR(__xludf.DUMMYFUNCTION("""COMPUTED_VALUE"""),44260)</f>
        <v>44260</v>
      </c>
      <c r="D3014" s="25" t="str">
        <f ca="1">IFERROR(__xludf.DUMMYFUNCTION("""COMPUTED_VALUE"""),"Gestión_Pública")</f>
        <v>Gestión_Pública</v>
      </c>
      <c r="E3014" s="25" t="str">
        <f ca="1">IFERROR(__xludf.DUMMYFUNCTION("""COMPUTED_VALUE"""),"Secretaría General")</f>
        <v>Secretaría General</v>
      </c>
      <c r="F3014" s="25" t="str">
        <f ca="1">IFERROR(__xludf.DUMMYFUNCTION("""COMPUTED_VALUE"""),"Desarrollo e implementación OJO A LA OBRA 2.0")</f>
        <v>Desarrollo e implementación OJO A LA OBRA 2.0</v>
      </c>
      <c r="G3014" s="25" t="str">
        <f ca="1">IFERROR(__xludf.DUMMYFUNCTION("""COMPUTED_VALUE"""),"99. Distrito")</f>
        <v>99. Distrito</v>
      </c>
      <c r="H3014" s="55">
        <f ca="1">IFERROR(__xludf.DUMMYFUNCTION("""COMPUTED_VALUE"""),44290)</f>
        <v>44290</v>
      </c>
      <c r="I3014" s="25"/>
      <c r="J3014" s="55" t="str">
        <f ca="1">IFERROR(__xludf.DUMMYFUNCTION("""COMPUTED_VALUE"""),"Alta")</f>
        <v>Alta</v>
      </c>
      <c r="K3014" s="25">
        <f ca="1">IFERROR(__xludf.DUMMYFUNCTION("""COMPUTED_VALUE"""),30)</f>
        <v>30</v>
      </c>
      <c r="L3014" s="62"/>
      <c r="M3014" s="25" t="str">
        <f ca="1">IFERROR(__xludf.DUMMYFUNCTION("""COMPUTED_VALUE"""),"No se ha definido el flujo, se realizó una reunión de articulación entre movilidad y SuperCade y con base en las necesidades levantadas Super Cade hará una propuesta antes del 02/07/2021 y en la misma semana Movilidad hará la suya con el propósito de defi"&amp;"nir la ruta de acción, una vez definido el tiempo de implementación es de máximo 2 meses.")</f>
        <v>No se ha definido el flujo, se realizó una reunión de articulación entre movilidad y SuperCade y con base en las necesidades levantadas Super Cade hará una propuesta antes del 02/07/2021 y en la misma semana Movilidad hará la suya con el propósito de definir la ruta de acción, una vez definido el tiempo de implementación es de máximo 2 meses.</v>
      </c>
      <c r="N3014" s="55">
        <f ca="1">IFERROR(__xludf.DUMMYFUNCTION("""COMPUTED_VALUE"""),44927)</f>
        <v>44927</v>
      </c>
      <c r="O3014" s="25" t="str">
        <f t="shared" ca="1" si="0"/>
        <v>Secretaría General</v>
      </c>
      <c r="P3014" s="25" t="str">
        <f t="shared" si="2"/>
        <v/>
      </c>
      <c r="Q3014" s="25" t="str">
        <f ca="1">IFERROR(__xludf.DUMMYFUNCTION("""COMPUTED_VALUE"""),"Corto plazo")</f>
        <v>Corto plazo</v>
      </c>
      <c r="R3014" s="25"/>
      <c r="S3014" s="55"/>
      <c r="T3014" s="56"/>
      <c r="U3014" s="25"/>
      <c r="V3014" s="25"/>
      <c r="W3014" s="25"/>
      <c r="X3014" s="25"/>
      <c r="Y3014" s="25"/>
      <c r="Z3014" s="25"/>
    </row>
    <row r="3015" spans="1:26" ht="52.5" customHeight="1" x14ac:dyDescent="0.25">
      <c r="A3015" s="25" t="str">
        <f ca="1">IFERROR(__xludf.DUMMYFUNCTION("""COMPUTED_VALUE"""),"Gesti13")</f>
        <v>Gesti13</v>
      </c>
      <c r="B3015" s="25" t="str">
        <f ca="1">IFERROR(__xludf.DUMMYFUNCTION("""COMPUTED_VALUE"""),"Consejo de Seguridad del 13 de abril ")</f>
        <v xml:space="preserve">Consejo de Seguridad del 13 de abril </v>
      </c>
      <c r="C3015" s="55">
        <f ca="1">IFERROR(__xludf.DUMMYFUNCTION("""COMPUTED_VALUE"""),44308)</f>
        <v>44308</v>
      </c>
      <c r="D3015" s="25" t="str">
        <f ca="1">IFERROR(__xludf.DUMMYFUNCTION("""COMPUTED_VALUE"""),"Gestión_Pública")</f>
        <v>Gestión_Pública</v>
      </c>
      <c r="E3015" s="25" t="str">
        <f ca="1">IFERROR(__xludf.DUMMYFUNCTION("""COMPUTED_VALUE"""),"Secretaría General")</f>
        <v>Secretaría General</v>
      </c>
      <c r="F3015" s="25" t="str">
        <f ca="1">IFERROR(__xludf.DUMMYFUNCTION("""COMPUTED_VALUE"""),"Definir los puntos de acopio de la estrategia una pinta por Bogotá")</f>
        <v>Definir los puntos de acopio de la estrategia una pinta por Bogotá</v>
      </c>
      <c r="G3015" s="25" t="str">
        <f ca="1">IFERROR(__xludf.DUMMYFUNCTION("""COMPUTED_VALUE"""),"99. Distrito")</f>
        <v>99. Distrito</v>
      </c>
      <c r="H3015" s="55">
        <f ca="1">IFERROR(__xludf.DUMMYFUNCTION("""COMPUTED_VALUE"""),44338)</f>
        <v>44338</v>
      </c>
      <c r="I3015" s="25"/>
      <c r="J3015" s="55" t="str">
        <f ca="1">IFERROR(__xludf.DUMMYFUNCTION("""COMPUTED_VALUE"""),"Alta")</f>
        <v>Alta</v>
      </c>
      <c r="K3015" s="25">
        <f ca="1">IFERROR(__xludf.DUMMYFUNCTION("""COMPUTED_VALUE"""),30)</f>
        <v>30</v>
      </c>
      <c r="L3015" s="62">
        <f ca="1">IFERROR(__xludf.DUMMYFUNCTION("""COMPUTED_VALUE"""),44362)</f>
        <v>44362</v>
      </c>
      <c r="M3015" s="25" t="str">
        <f ca="1">IFERROR(__xludf.DUMMYFUNCTION("""COMPUTED_VALUE"""),"La ropatón se llevará a cabo entre el 24 y el 28 de mayo en todas las entidades de distrito. Cada secretaría establece un punto de acopio e IDIPRON pasa a recoger la ropa que haya sido donada. ")</f>
        <v xml:space="preserve">La ropatón se llevará a cabo entre el 24 y el 28 de mayo en todas las entidades de distrito. Cada secretaría establece un punto de acopio e IDIPRON pasa a recoger la ropa que haya sido donada. </v>
      </c>
      <c r="N3015" s="55">
        <f ca="1">IFERROR(__xludf.DUMMYFUNCTION("""COMPUTED_VALUE"""),44362)</f>
        <v>44362</v>
      </c>
      <c r="O3015" s="25" t="str">
        <f t="shared" ca="1" si="0"/>
        <v>Secretaría General</v>
      </c>
      <c r="P3015" s="25" t="str">
        <f t="shared" si="2"/>
        <v/>
      </c>
      <c r="Q3015" s="25" t="str">
        <f ca="1">IFERROR(__xludf.DUMMYFUNCTION("""COMPUTED_VALUE"""),"Corto plazo")</f>
        <v>Corto plazo</v>
      </c>
      <c r="R3015" s="25"/>
      <c r="S3015" s="55"/>
      <c r="T3015" s="56"/>
      <c r="U3015" s="25"/>
      <c r="V3015" s="25"/>
      <c r="W3015" s="25"/>
      <c r="X3015" s="25"/>
      <c r="Y3015" s="25"/>
      <c r="Z3015" s="25"/>
    </row>
    <row r="3016" spans="1:26" ht="52.5" customHeight="1" x14ac:dyDescent="0.25">
      <c r="A3016" s="25" t="str">
        <f ca="1">IFERROR(__xludf.DUMMYFUNCTION("""COMPUTED_VALUE"""),"Gesti14")</f>
        <v>Gesti14</v>
      </c>
      <c r="B3016" s="25" t="str">
        <f ca="1">IFERROR(__xludf.DUMMYFUNCTION("""COMPUTED_VALUE"""),"Reuniones Sinergia - Comisión TD - Historia Clínica Electrónica Unificada")</f>
        <v>Reuniones Sinergia - Comisión TD - Historia Clínica Electrónica Unificada</v>
      </c>
      <c r="C3016" s="55">
        <f ca="1">IFERROR(__xludf.DUMMYFUNCTION("""COMPUTED_VALUE"""),44335)</f>
        <v>44335</v>
      </c>
      <c r="D3016" s="25" t="str">
        <f ca="1">IFERROR(__xludf.DUMMYFUNCTION("""COMPUTED_VALUE"""),"Gestión_Pública")</f>
        <v>Gestión_Pública</v>
      </c>
      <c r="E3016" s="25" t="str">
        <f ca="1">IFERROR(__xludf.DUMMYFUNCTION("""COMPUTED_VALUE"""),"Secretaría General")</f>
        <v>Secretaría General</v>
      </c>
      <c r="F3016" s="25" t="str">
        <f ca="1">IFERROR(__xludf.DUMMYFUNCTION("""COMPUTED_VALUE"""),"Completar a diciembre de 2021 el 80% de intercambio recíproco de información de la Historia Clínica entre las subredes de servicios de salud del distrito.")</f>
        <v>Completar a diciembre de 2021 el 80% de intercambio recíproco de información de la Historia Clínica entre las subredes de servicios de salud del distrito.</v>
      </c>
      <c r="G3016" s="25" t="str">
        <f ca="1">IFERROR(__xludf.DUMMYFUNCTION("""COMPUTED_VALUE"""),"99. Distrito")</f>
        <v>99. Distrito</v>
      </c>
      <c r="H3016" s="55">
        <f ca="1">IFERROR(__xludf.DUMMYFUNCTION("""COMPUTED_VALUE"""),44561)</f>
        <v>44561</v>
      </c>
      <c r="I3016" s="25"/>
      <c r="J3016" s="55" t="str">
        <f ca="1">IFERROR(__xludf.DUMMYFUNCTION("""COMPUTED_VALUE"""),"Baja")</f>
        <v>Baja</v>
      </c>
      <c r="K3016" s="25">
        <f ca="1">IFERROR(__xludf.DUMMYFUNCTION("""COMPUTED_VALUE"""),226)</f>
        <v>226</v>
      </c>
      <c r="L3016" s="62">
        <f ca="1">IFERROR(__xludf.DUMMYFUNCTION("""COMPUTED_VALUE"""),44385)</f>
        <v>44385</v>
      </c>
      <c r="M3016" s="25" t="str">
        <f ca="1">IFERROR(__xludf.DUMMYFUNCTION("""COMPUTED_VALUE"""),"Tarea cumplida. 87% avance en el intercambio recíproco. Sistemas de Información Hospitalario - HIS actualizados y disponibles en las 4 subredes de servicios de salud intercambiando información a través de la plataforma de Bogotá Salud Digital.")</f>
        <v>Tarea cumplida. 87% avance en el intercambio recíproco. Sistemas de Información Hospitalario - HIS actualizados y disponibles en las 4 subredes de servicios de salud intercambiando información a través de la plataforma de Bogotá Salud Digital.</v>
      </c>
      <c r="N3016" s="55">
        <f ca="1">IFERROR(__xludf.DUMMYFUNCTION("""COMPUTED_VALUE"""),44385)</f>
        <v>44385</v>
      </c>
      <c r="O3016" s="25" t="str">
        <f t="shared" ca="1" si="0"/>
        <v>Secretaría General</v>
      </c>
      <c r="P3016" s="25" t="str">
        <f t="shared" si="2"/>
        <v/>
      </c>
      <c r="Q3016" s="25" t="str">
        <f ca="1">IFERROR(__xludf.DUMMYFUNCTION("""COMPUTED_VALUE"""),"Largo plazo")</f>
        <v>Largo plazo</v>
      </c>
      <c r="R3016" s="25"/>
      <c r="S3016" s="55"/>
      <c r="T3016" s="56"/>
      <c r="U3016" s="25"/>
      <c r="V3016" s="25"/>
      <c r="W3016" s="25"/>
      <c r="X3016" s="25"/>
      <c r="Y3016" s="25"/>
      <c r="Z3016" s="25"/>
    </row>
    <row r="3017" spans="1:26" ht="52.5" customHeight="1" x14ac:dyDescent="0.25">
      <c r="A3017" s="25" t="str">
        <f ca="1">IFERROR(__xludf.DUMMYFUNCTION("""COMPUTED_VALUE"""),"Gesti15")</f>
        <v>Gesti15</v>
      </c>
      <c r="B3017" s="25" t="str">
        <f ca="1">IFERROR(__xludf.DUMMYFUNCTION("""COMPUTED_VALUE"""),"Reuniones Sinergia - Comisión TD - Plataforma Gobierno Abierto de Bogotá GAB")</f>
        <v>Reuniones Sinergia - Comisión TD - Plataforma Gobierno Abierto de Bogotá GAB</v>
      </c>
      <c r="C3017" s="55">
        <f ca="1">IFERROR(__xludf.DUMMYFUNCTION("""COMPUTED_VALUE"""),44335)</f>
        <v>44335</v>
      </c>
      <c r="D3017" s="25" t="str">
        <f ca="1">IFERROR(__xludf.DUMMYFUNCTION("""COMPUTED_VALUE"""),"Gestión_Pública")</f>
        <v>Gestión_Pública</v>
      </c>
      <c r="E3017" s="25" t="str">
        <f ca="1">IFERROR(__xludf.DUMMYFUNCTION("""COMPUTED_VALUE"""),"Secretaría General")</f>
        <v>Secretaría General</v>
      </c>
      <c r="F3017" s="25" t="str">
        <f ca="1">IFERROR(__xludf.DUMMYFUNCTION("""COMPUTED_VALUE"""),"Desarrollo e implementación OJO A LA OBRA 2.0")</f>
        <v>Desarrollo e implementación OJO A LA OBRA 2.0</v>
      </c>
      <c r="G3017" s="25" t="str">
        <f ca="1">IFERROR(__xludf.DUMMYFUNCTION("""COMPUTED_VALUE"""),"99. Distrito")</f>
        <v>99. Distrito</v>
      </c>
      <c r="H3017" s="55">
        <f ca="1">IFERROR(__xludf.DUMMYFUNCTION("""COMPUTED_VALUE"""),44348)</f>
        <v>44348</v>
      </c>
      <c r="I3017" s="25"/>
      <c r="J3017" s="55" t="str">
        <f ca="1">IFERROR(__xludf.DUMMYFUNCTION("""COMPUTED_VALUE"""),"Alta")</f>
        <v>Alta</v>
      </c>
      <c r="K3017" s="25">
        <f ca="1">IFERROR(__xludf.DUMMYFUNCTION("""COMPUTED_VALUE"""),13)</f>
        <v>13</v>
      </c>
      <c r="L3017" s="62">
        <f ca="1">IFERROR(__xludf.DUMMYFUNCTION("""COMPUTED_VALUE"""),44425)</f>
        <v>44425</v>
      </c>
      <c r="M3017" s="25" t="str">
        <f ca="1">IFERROR(__xludf.DUMMYFUNCTION("""COMPUTED_VALUE"""),"100% realizada. 
 Ya se encuentra el nuevo desarrollo en productivo, disponible en: https://mapas.bogota.gov.co/ (botón ojo a la obra)")</f>
        <v>100% realizada. 
 Ya se encuentra el nuevo desarrollo en productivo, disponible en: https://mapas.bogota.gov.co/ (botón ojo a la obra)</v>
      </c>
      <c r="N3017" s="55">
        <f ca="1">IFERROR(__xludf.DUMMYFUNCTION("""COMPUTED_VALUE"""),44425)</f>
        <v>44425</v>
      </c>
      <c r="O3017" s="25" t="str">
        <f t="shared" ca="1" si="0"/>
        <v>Secretaría General</v>
      </c>
      <c r="P3017" s="25" t="str">
        <f t="shared" si="2"/>
        <v/>
      </c>
      <c r="Q3017" s="25" t="str">
        <f ca="1">IFERROR(__xludf.DUMMYFUNCTION("""COMPUTED_VALUE"""),"Corto plazo")</f>
        <v>Corto plazo</v>
      </c>
      <c r="R3017" s="25"/>
      <c r="S3017" s="55"/>
      <c r="T3017" s="56"/>
      <c r="U3017" s="25"/>
      <c r="V3017" s="25"/>
      <c r="W3017" s="25"/>
      <c r="X3017" s="25"/>
      <c r="Y3017" s="25"/>
      <c r="Z3017" s="25"/>
    </row>
    <row r="3018" spans="1:26" ht="52.5" customHeight="1" x14ac:dyDescent="0.25">
      <c r="A3018" s="25" t="str">
        <f ca="1">IFERROR(__xludf.DUMMYFUNCTION("""COMPUTED_VALUE"""),"Gesti16")</f>
        <v>Gesti16</v>
      </c>
      <c r="B3018" s="25" t="str">
        <f ca="1">IFERROR(__xludf.DUMMYFUNCTION("""COMPUTED_VALUE"""),"Reuniones Sinergia - Comisión TD - SuperCADE 2.0")</f>
        <v>Reuniones Sinergia - Comisión TD - SuperCADE 2.0</v>
      </c>
      <c r="C3018" s="55">
        <f ca="1">IFERROR(__xludf.DUMMYFUNCTION("""COMPUTED_VALUE"""),44335)</f>
        <v>44335</v>
      </c>
      <c r="D3018" s="25" t="str">
        <f ca="1">IFERROR(__xludf.DUMMYFUNCTION("""COMPUTED_VALUE"""),"Gestión_Pública")</f>
        <v>Gestión_Pública</v>
      </c>
      <c r="E3018" s="25" t="str">
        <f ca="1">IFERROR(__xludf.DUMMYFUNCTION("""COMPUTED_VALUE"""),"Secretaría General")</f>
        <v>Secretaría General</v>
      </c>
      <c r="F3018" s="25" t="str">
        <f ca="1">IFERROR(__xludf.DUMMYFUNCTION("""COMPUTED_VALUE"""),"Integración con SUIT (Sistema único de información de trámites) de la Digitalización de los 100 trámites y OPA´s del Distrito ya digitalizados en SuperCade Virtual.")</f>
        <v>Integración con SUIT (Sistema único de información de trámites) de la Digitalización de los 100 trámites y OPA´s del Distrito ya digitalizados en SuperCade Virtual.</v>
      </c>
      <c r="G3018" s="25" t="str">
        <f ca="1">IFERROR(__xludf.DUMMYFUNCTION("""COMPUTED_VALUE"""),"99. Distrito")</f>
        <v>99. Distrito</v>
      </c>
      <c r="H3018" s="55">
        <f ca="1">IFERROR(__xludf.DUMMYFUNCTION("""COMPUTED_VALUE"""),44713)</f>
        <v>44713</v>
      </c>
      <c r="I3018" s="25"/>
      <c r="J3018" s="55" t="str">
        <f ca="1">IFERROR(__xludf.DUMMYFUNCTION("""COMPUTED_VALUE"""),"Baja")</f>
        <v>Baja</v>
      </c>
      <c r="K3018" s="25">
        <f ca="1">IFERROR(__xludf.DUMMYFUNCTION("""COMPUTED_VALUE"""),378)</f>
        <v>378</v>
      </c>
      <c r="L3018" s="62">
        <f ca="1">IFERROR(__xludf.DUMMYFUNCTION("""COMPUTED_VALUE"""),44861)</f>
        <v>44861</v>
      </c>
      <c r="M3018" s="25" t="str">
        <f ca="1">IFERROR(__xludf.DUMMYFUNCTION("""COMPUTED_VALUE"""),"Avance: se mantiene el reporte de mayo, avance 10%.  
Se suscribió el compromiso de confidencialidad entre el Departamento Administrativo de la Función Publica - DAFP y la Secretaría General de la Alcaldía Mayor de Bogotá, en el marco del Convenio Interad"&amp;"ministrativo Nro. 4211000-995-2020.  Teniendo en cuenta que el compromiso de confidencialidad se firmó por las dos partes, se realizaron dos reuniones (19 y 22 de agosto), con el propósito de avanzar con la integración SUIT y Guía de trámites y servicios "&amp;"del Distrito Capital en el marco del convenio.
Como compromisos, se acordó que Función Pública tramitaría y enviaría las credenciales para el acceso a las vistas de los tramites de las entidades distritales y nacionales vinculadas a la guía de trámites"&amp;" y servicios. Función Pública indica ""estamos en el escalamiento de la autorización con la Subdirección de la entidad que es el área que tiene asignado el convenio con el distrito desde la supervisión.""
Posterior a esto, se establecerá el plan de tra"&amp;"bajo para la integración de la Guía de Trámites y Servicios con SUIT 3.0.")</f>
        <v>Avance: se mantiene el reporte de mayo, avance 10%.  
Se suscribió el compromiso de confidencialidad entre el Departamento Administrativo de la Función Publica - DAFP y la Secretaría General de la Alcaldía Mayor de Bogotá, en el marco del Convenio Interadministrativo Nro. 4211000-995-2020.  Teniendo en cuenta que el compromiso de confidencialidad se firmó por las dos partes, se realizaron dos reuniones (19 y 22 de agosto), con el propósito de avanzar con la integración SUIT y Guía de trámites y servicios del Distrito Capital en el marco del convenio.
Como compromisos, se acordó que Función Pública tramitaría y enviaría las credenciales para el acceso a las vistas de los tramites de las entidades distritales y nacionales vinculadas a la guía de trámites y servicios. Función Pública indica "estamos en el escalamiento de la autorización con la Subdirección de la entidad que es el área que tiene asignado el convenio con el distrito desde la supervisión."
Posterior a esto, se establecerá el plan de trabajo para la integración de la Guía de Trámites y Servicios con SUIT 3.0.</v>
      </c>
      <c r="N3018" s="55">
        <f ca="1">IFERROR(__xludf.DUMMYFUNCTION("""COMPUTED_VALUE"""),44861)</f>
        <v>44861</v>
      </c>
      <c r="O3018" s="25" t="str">
        <f t="shared" ca="1" si="0"/>
        <v>Secretaría General</v>
      </c>
      <c r="P3018" s="25" t="str">
        <f t="shared" si="2"/>
        <v/>
      </c>
      <c r="Q3018" s="25" t="str">
        <f ca="1">IFERROR(__xludf.DUMMYFUNCTION("""COMPUTED_VALUE"""),"Largo plazo")</f>
        <v>Largo plazo</v>
      </c>
      <c r="R3018" s="25"/>
      <c r="S3018" s="55"/>
      <c r="T3018" s="56"/>
      <c r="U3018" s="25"/>
      <c r="V3018" s="25"/>
      <c r="W3018" s="25"/>
      <c r="X3018" s="25"/>
      <c r="Y3018" s="25"/>
      <c r="Z3018" s="25"/>
    </row>
    <row r="3019" spans="1:26" ht="52.5" customHeight="1" x14ac:dyDescent="0.25">
      <c r="A3019" s="25" t="str">
        <f ca="1">IFERROR(__xludf.DUMMYFUNCTION("""COMPUTED_VALUE"""),"Gesti17")</f>
        <v>Gesti17</v>
      </c>
      <c r="B3019" s="25" t="str">
        <f ca="1">IFERROR(__xludf.DUMMYFUNCTION("""COMPUTED_VALUE"""),"Reuniones Sinergia - Comisión TD - SuperCADE 2.0")</f>
        <v>Reuniones Sinergia - Comisión TD - SuperCADE 2.0</v>
      </c>
      <c r="C3019" s="55">
        <f ca="1">IFERROR(__xludf.DUMMYFUNCTION("""COMPUTED_VALUE"""),44335)</f>
        <v>44335</v>
      </c>
      <c r="D3019" s="25" t="str">
        <f ca="1">IFERROR(__xludf.DUMMYFUNCTION("""COMPUTED_VALUE"""),"Gestión_Pública")</f>
        <v>Gestión_Pública</v>
      </c>
      <c r="E3019" s="25" t="str">
        <f ca="1">IFERROR(__xludf.DUMMYFUNCTION("""COMPUTED_VALUE"""),"Secretaría General")</f>
        <v>Secretaría General</v>
      </c>
      <c r="F3019" s="25" t="str">
        <f ca="1">IFERROR(__xludf.DUMMYFUNCTION("""COMPUTED_VALUE"""),"Estrategia de comunicaciones informando la Digitalización de trámites.")</f>
        <v>Estrategia de comunicaciones informando la Digitalización de trámites.</v>
      </c>
      <c r="G3019" s="25" t="str">
        <f ca="1">IFERROR(__xludf.DUMMYFUNCTION("""COMPUTED_VALUE"""),"99. Distrito")</f>
        <v>99. Distrito</v>
      </c>
      <c r="H3019" s="55">
        <f ca="1">IFERROR(__xludf.DUMMYFUNCTION("""COMPUTED_VALUE"""),44713)</f>
        <v>44713</v>
      </c>
      <c r="I3019" s="25"/>
      <c r="J3019" s="55" t="str">
        <f ca="1">IFERROR(__xludf.DUMMYFUNCTION("""COMPUTED_VALUE"""),"Baja")</f>
        <v>Baja</v>
      </c>
      <c r="K3019" s="25">
        <f ca="1">IFERROR(__xludf.DUMMYFUNCTION("""COMPUTED_VALUE"""),378)</f>
        <v>378</v>
      </c>
      <c r="L3019" s="62">
        <f ca="1">IFERROR(__xludf.DUMMYFUNCTION("""COMPUTED_VALUE"""),44861)</f>
        <v>44861</v>
      </c>
      <c r="M3019" s="25" t="str">
        <f ca="1">IFERROR(__xludf.DUMMYFUNCTION("""COMPUTED_VALUE"""),"Esta tarea depende del cumplimiento de la tarea 909.
Se procedió a convocar reunión con el Departamento Administrativo de la Función Pública - DAFP, con el fin de estimar esfuerzos y generar el cronograma de trabajo para la implementación de la Integració"&amp;"n entre el Sistema único de Información de Trámites -SUIT y la Guía de Trámites y Servicios del Distrito Capital.
27/10/2022: Se está a la espera que el Departamento Administrativo de la Función Pública (DAFP) asigne una VPN (Red privada virtual) para te"&amp;"ner acceso a las vistas del SUIT y poder traer la información. ")</f>
        <v xml:space="preserve">Esta tarea depende del cumplimiento de la tarea 909.
Se procedió a convocar reunión con el Departamento Administrativo de la Función Pública - DAFP, con el fin de estimar esfuerzos y generar el cronograma de trabajo para la implementación de la Integración entre el Sistema único de Información de Trámites -SUIT y la Guía de Trámites y Servicios del Distrito Capital.
27/10/2022: Se está a la espera que el Departamento Administrativo de la Función Pública (DAFP) asigne una VPN (Red privada virtual) para tener acceso a las vistas del SUIT y poder traer la información. </v>
      </c>
      <c r="N3019" s="55">
        <f ca="1">IFERROR(__xludf.DUMMYFUNCTION("""COMPUTED_VALUE"""),44861)</f>
        <v>44861</v>
      </c>
      <c r="O3019" s="25" t="str">
        <f t="shared" ca="1" si="0"/>
        <v>Secretaría General</v>
      </c>
      <c r="P3019" s="25" t="str">
        <f t="shared" si="2"/>
        <v/>
      </c>
      <c r="Q3019" s="25" t="str">
        <f ca="1">IFERROR(__xludf.DUMMYFUNCTION("""COMPUTED_VALUE"""),"Largo plazo")</f>
        <v>Largo plazo</v>
      </c>
      <c r="R3019" s="25"/>
      <c r="S3019" s="55"/>
      <c r="T3019" s="56"/>
      <c r="U3019" s="25"/>
      <c r="V3019" s="25"/>
      <c r="W3019" s="25"/>
      <c r="X3019" s="25"/>
      <c r="Y3019" s="25"/>
      <c r="Z3019" s="25"/>
    </row>
    <row r="3020" spans="1:26" ht="52.5" customHeight="1" x14ac:dyDescent="0.25">
      <c r="A3020" s="25" t="str">
        <f ca="1">IFERROR(__xludf.DUMMYFUNCTION("""COMPUTED_VALUE"""),"Gesti18")</f>
        <v>Gesti18</v>
      </c>
      <c r="B3020" s="25" t="str">
        <f ca="1">IFERROR(__xludf.DUMMYFUNCTION("""COMPUTED_VALUE"""),"Reuniones Sinergia - Comisión TD - SuperCADE 2.0")</f>
        <v>Reuniones Sinergia - Comisión TD - SuperCADE 2.0</v>
      </c>
      <c r="C3020" s="55">
        <f ca="1">IFERROR(__xludf.DUMMYFUNCTION("""COMPUTED_VALUE"""),44335)</f>
        <v>44335</v>
      </c>
      <c r="D3020" s="25" t="str">
        <f ca="1">IFERROR(__xludf.DUMMYFUNCTION("""COMPUTED_VALUE"""),"Gestión_Pública")</f>
        <v>Gestión_Pública</v>
      </c>
      <c r="E3020" s="25" t="str">
        <f ca="1">IFERROR(__xludf.DUMMYFUNCTION("""COMPUTED_VALUE"""),"Secretaría General")</f>
        <v>Secretaría General</v>
      </c>
      <c r="F3020" s="25" t="str">
        <f ca="1">IFERROR(__xludf.DUMMYFUNCTION("""COMPUTED_VALUE"""),"Segunda funcionalidad del Reporte de alertas priorizadas por peticiones – Reporta por tu comunidad.")</f>
        <v>Segunda funcionalidad del Reporte de alertas priorizadas por peticiones – Reporta por tu comunidad.</v>
      </c>
      <c r="G3020" s="25" t="str">
        <f ca="1">IFERROR(__xludf.DUMMYFUNCTION("""COMPUTED_VALUE"""),"99. Distrito")</f>
        <v>99. Distrito</v>
      </c>
      <c r="H3020" s="55">
        <f ca="1">IFERROR(__xludf.DUMMYFUNCTION("""COMPUTED_VALUE"""),44713)</f>
        <v>44713</v>
      </c>
      <c r="I3020" s="25"/>
      <c r="J3020" s="55" t="str">
        <f ca="1">IFERROR(__xludf.DUMMYFUNCTION("""COMPUTED_VALUE"""),"Baja")</f>
        <v>Baja</v>
      </c>
      <c r="K3020" s="25">
        <f ca="1">IFERROR(__xludf.DUMMYFUNCTION("""COMPUTED_VALUE"""),378)</f>
        <v>378</v>
      </c>
      <c r="L3020" s="62">
        <f ca="1">IFERROR(__xludf.DUMMYFUNCTION("""COMPUTED_VALUE"""),44861)</f>
        <v>44861</v>
      </c>
      <c r="M3020" s="25" t="str">
        <f ca="1">IFERROR(__xludf.DUMMYFUNCTION("""COMPUTED_VALUE"""),"Avance:  se mantiene el avance de 75%. 
Fecha estimada de cumplimiento: 15/11/2022
En cuanto a la segunda funcionalidad del Reporte de alertas priorizadas por peticiones – Reporta por tu comunidad, se avanzó en la generación de la solución para hacer prue"&amp;"bas sobre desarrollos móviles APK, de acuerdo con el compromiso y con esta versión de pruebas se harán las revisiones respectivas para salir a producción. 
Se mantiene el avance.  Se continúa con la revisión de los desarrollos  móviles APK entregado.
")</f>
        <v xml:space="preserve">Avance:  se mantiene el avance de 75%. 
Fecha estimada de cumplimiento: 15/11/2022
En cuanto a la segunda funcionalidad del Reporte de alertas priorizadas por peticiones – Reporta por tu comunidad, se avanzó en la generación de la solución para hacer pruebas sobre desarrollos móviles APK, de acuerdo con el compromiso y con esta versión de pruebas se harán las revisiones respectivas para salir a producción. 
Se mantiene el avance.  Se continúa con la revisión de los desarrollos  móviles APK entregado.
</v>
      </c>
      <c r="N3020" s="55">
        <f ca="1">IFERROR(__xludf.DUMMYFUNCTION("""COMPUTED_VALUE"""),44861)</f>
        <v>44861</v>
      </c>
      <c r="O3020" s="25" t="str">
        <f t="shared" ca="1" si="0"/>
        <v>Secretaría General</v>
      </c>
      <c r="P3020" s="25" t="str">
        <f t="shared" si="2"/>
        <v/>
      </c>
      <c r="Q3020" s="25" t="str">
        <f ca="1">IFERROR(__xludf.DUMMYFUNCTION("""COMPUTED_VALUE"""),"Largo plazo")</f>
        <v>Largo plazo</v>
      </c>
      <c r="R3020" s="25"/>
      <c r="S3020" s="55"/>
      <c r="T3020" s="56"/>
      <c r="U3020" s="25"/>
      <c r="V3020" s="25"/>
      <c r="W3020" s="25"/>
      <c r="X3020" s="25"/>
      <c r="Y3020" s="25"/>
      <c r="Z3020" s="25"/>
    </row>
    <row r="3021" spans="1:26" ht="52.5" customHeight="1" x14ac:dyDescent="0.25">
      <c r="A3021" s="25" t="str">
        <f ca="1">IFERROR(__xludf.DUMMYFUNCTION("""COMPUTED_VALUE"""),"Gesti19")</f>
        <v>Gesti19</v>
      </c>
      <c r="B3021" s="25" t="str">
        <f ca="1">IFERROR(__xludf.DUMMYFUNCTION("""COMPUTED_VALUE"""),"Reuniones Sinergia - Comisión TD - SuperCADE 2.0")</f>
        <v>Reuniones Sinergia - Comisión TD - SuperCADE 2.0</v>
      </c>
      <c r="C3021" s="55">
        <f ca="1">IFERROR(__xludf.DUMMYFUNCTION("""COMPUTED_VALUE"""),44335)</f>
        <v>44335</v>
      </c>
      <c r="D3021" s="25" t="str">
        <f ca="1">IFERROR(__xludf.DUMMYFUNCTION("""COMPUTED_VALUE"""),"Gestión_Pública")</f>
        <v>Gestión_Pública</v>
      </c>
      <c r="E3021" s="25" t="str">
        <f ca="1">IFERROR(__xludf.DUMMYFUNCTION("""COMPUTED_VALUE"""),"Secretaría General")</f>
        <v>Secretaría General</v>
      </c>
      <c r="F3021" s="25" t="str">
        <f ca="1">IFERROR(__xludf.DUMMYFUNCTION("""COMPUTED_VALUE"""),"Nuevos atajos Bogotá Te Escucha – Caso Movilidad")</f>
        <v>Nuevos atajos Bogotá Te Escucha – Caso Movilidad</v>
      </c>
      <c r="G3021" s="25" t="str">
        <f ca="1">IFERROR(__xludf.DUMMYFUNCTION("""COMPUTED_VALUE"""),"99. Distrito")</f>
        <v>99. Distrito</v>
      </c>
      <c r="H3021" s="55">
        <f ca="1">IFERROR(__xludf.DUMMYFUNCTION("""COMPUTED_VALUE"""),44377)</f>
        <v>44377</v>
      </c>
      <c r="I3021" s="25"/>
      <c r="J3021" s="55" t="str">
        <f ca="1">IFERROR(__xludf.DUMMYFUNCTION("""COMPUTED_VALUE"""),"Alta")</f>
        <v>Alta</v>
      </c>
      <c r="K3021" s="25">
        <f ca="1">IFERROR(__xludf.DUMMYFUNCTION("""COMPUTED_VALUE"""),42)</f>
        <v>42</v>
      </c>
      <c r="L3021" s="62">
        <f ca="1">IFERROR(__xludf.DUMMYFUNCTION("""COMPUTED_VALUE"""),44499)</f>
        <v>44499</v>
      </c>
      <c r="M3021" s="25" t="str">
        <f ca="1">IFERROR(__xludf.DUMMYFUNCTION("""COMPUTED_VALUE"""),"Se modificó el home de Gobierno Abierto de Bogotá para dar mayor visibilidad al reporte de huecos. La aplicación actualizada ya esta publicada.
")</f>
        <v xml:space="preserve">Se modificó el home de Gobierno Abierto de Bogotá para dar mayor visibilidad al reporte de huecos. La aplicación actualizada ya esta publicada.
</v>
      </c>
      <c r="N3021" s="55">
        <f ca="1">IFERROR(__xludf.DUMMYFUNCTION("""COMPUTED_VALUE"""),44499)</f>
        <v>44499</v>
      </c>
      <c r="O3021" s="25" t="str">
        <f t="shared" ca="1" si="0"/>
        <v>Secretaría General</v>
      </c>
      <c r="P3021" s="25" t="str">
        <f t="shared" si="2"/>
        <v/>
      </c>
      <c r="Q3021" s="25" t="str">
        <f ca="1">IFERROR(__xludf.DUMMYFUNCTION("""COMPUTED_VALUE"""),"Corto plazo")</f>
        <v>Corto plazo</v>
      </c>
      <c r="R3021" s="25"/>
      <c r="S3021" s="55"/>
      <c r="T3021" s="56"/>
      <c r="U3021" s="25"/>
      <c r="V3021" s="25"/>
      <c r="W3021" s="25"/>
      <c r="X3021" s="25"/>
      <c r="Y3021" s="25"/>
      <c r="Z3021" s="25"/>
    </row>
    <row r="3022" spans="1:26" ht="52.5" customHeight="1" x14ac:dyDescent="0.25">
      <c r="A3022" s="25" t="str">
        <f ca="1">IFERROR(__xludf.DUMMYFUNCTION("""COMPUTED_VALUE"""),"Gesti20")</f>
        <v>Gesti20</v>
      </c>
      <c r="B3022" s="25" t="str">
        <f ca="1">IFERROR(__xludf.DUMMYFUNCTION("""COMPUTED_VALUE"""),"Reuniones Sinergia - Comisión TD - SuperCADE 2.0")</f>
        <v>Reuniones Sinergia - Comisión TD - SuperCADE 2.0</v>
      </c>
      <c r="C3022" s="55">
        <f ca="1">IFERROR(__xludf.DUMMYFUNCTION("""COMPUTED_VALUE"""),44335)</f>
        <v>44335</v>
      </c>
      <c r="D3022" s="25" t="str">
        <f ca="1">IFERROR(__xludf.DUMMYFUNCTION("""COMPUTED_VALUE"""),"Gestión_Pública")</f>
        <v>Gestión_Pública</v>
      </c>
      <c r="E3022" s="25" t="str">
        <f ca="1">IFERROR(__xludf.DUMMYFUNCTION("""COMPUTED_VALUE"""),"Secretaría General")</f>
        <v>Secretaría General</v>
      </c>
      <c r="F3022" s="25" t="str">
        <f ca="1">IFERROR(__xludf.DUMMYFUNCTION("""COMPUTED_VALUE"""),"Implementación del Chatbot para SUPERCADE")</f>
        <v>Implementación del Chatbot para SUPERCADE</v>
      </c>
      <c r="G3022" s="25" t="str">
        <f ca="1">IFERROR(__xludf.DUMMYFUNCTION("""COMPUTED_VALUE"""),"99. Distrito")</f>
        <v>99. Distrito</v>
      </c>
      <c r="H3022" s="55">
        <f ca="1">IFERROR(__xludf.DUMMYFUNCTION("""COMPUTED_VALUE"""),44531)</f>
        <v>44531</v>
      </c>
      <c r="I3022" s="25"/>
      <c r="J3022" s="55" t="str">
        <f ca="1">IFERROR(__xludf.DUMMYFUNCTION("""COMPUTED_VALUE"""),"Baja")</f>
        <v>Baja</v>
      </c>
      <c r="K3022" s="25">
        <f ca="1">IFERROR(__xludf.DUMMYFUNCTION("""COMPUTED_VALUE"""),196)</f>
        <v>196</v>
      </c>
      <c r="L3022" s="62">
        <f ca="1">IFERROR(__xludf.DUMMYFUNCTION("""COMPUTED_VALUE"""),44712)</f>
        <v>44712</v>
      </c>
      <c r="M3022" s="64" t="str">
        <f ca="1">IFERROR(__xludf.DUMMYFUNCTION("""COMPUTED_VALUE"""),"En cuanto a la implementación del Chatbot para SUPERCADE:
Se puso en productivo la versión Whatsapp de Chatico. Se obtuvó la insignia verde de META (antiguamente Facebook) y la acreditación de la cuenta bajo el número 57 314 3764314. Se pude consultar en "&amp;"la página web de Gobierno Abierto: https://gobiernoabiertobogota.gov.co/#/home")</f>
        <v>En cuanto a la implementación del Chatbot para SUPERCADE:
Se puso en productivo la versión Whatsapp de Chatico. Se obtuvó la insignia verde de META (antiguamente Facebook) y la acreditación de la cuenta bajo el número 57 314 3764314. Se pude consultar en la página web de Gobierno Abierto: https://gobiernoabiertobogota.gov.co/#/home</v>
      </c>
      <c r="N3022" s="55">
        <f ca="1">IFERROR(__xludf.DUMMYFUNCTION("""COMPUTED_VALUE"""),44712)</f>
        <v>44712</v>
      </c>
      <c r="O3022" s="25" t="str">
        <f t="shared" ca="1" si="0"/>
        <v>Secretaría General</v>
      </c>
      <c r="P3022" s="25" t="str">
        <f t="shared" si="2"/>
        <v/>
      </c>
      <c r="Q3022" s="25" t="str">
        <f ca="1">IFERROR(__xludf.DUMMYFUNCTION("""COMPUTED_VALUE"""),"Largo plazo")</f>
        <v>Largo plazo</v>
      </c>
      <c r="R3022" s="25"/>
      <c r="S3022" s="55"/>
      <c r="T3022" s="56"/>
      <c r="U3022" s="25"/>
      <c r="V3022" s="25"/>
      <c r="W3022" s="25"/>
      <c r="X3022" s="25"/>
      <c r="Y3022" s="25"/>
      <c r="Z3022" s="25"/>
    </row>
    <row r="3023" spans="1:26" ht="52.5" customHeight="1" x14ac:dyDescent="0.25">
      <c r="A3023" s="25" t="str">
        <f ca="1">IFERROR(__xludf.DUMMYFUNCTION("""COMPUTED_VALUE"""),"Gesti21")</f>
        <v>Gesti21</v>
      </c>
      <c r="B3023" s="25" t="str">
        <f ca="1">IFERROR(__xludf.DUMMYFUNCTION("""COMPUTED_VALUE"""),"Reuniones Sinergia - Comisión TD - SuperCADE 2.0")</f>
        <v>Reuniones Sinergia - Comisión TD - SuperCADE 2.0</v>
      </c>
      <c r="C3023" s="55">
        <f ca="1">IFERROR(__xludf.DUMMYFUNCTION("""COMPUTED_VALUE"""),44335)</f>
        <v>44335</v>
      </c>
      <c r="D3023" s="25" t="str">
        <f ca="1">IFERROR(__xludf.DUMMYFUNCTION("""COMPUTED_VALUE"""),"Gestión_Pública")</f>
        <v>Gestión_Pública</v>
      </c>
      <c r="E3023" s="25" t="str">
        <f ca="1">IFERROR(__xludf.DUMMYFUNCTION("""COMPUTED_VALUE"""),"Secretaría General")</f>
        <v>Secretaría General</v>
      </c>
      <c r="F3023" s="25" t="str">
        <f ca="1">IFERROR(__xludf.DUMMYFUNCTION("""COMPUTED_VALUE"""),"Desarrollo y puesta en producción de la Bandeja de Peticiones – Notificaciones e historial de solicitudes.")</f>
        <v>Desarrollo y puesta en producción de la Bandeja de Peticiones – Notificaciones e historial de solicitudes.</v>
      </c>
      <c r="G3023" s="25" t="str">
        <f ca="1">IFERROR(__xludf.DUMMYFUNCTION("""COMPUTED_VALUE"""),"99. Distrito")</f>
        <v>99. Distrito</v>
      </c>
      <c r="H3023" s="55">
        <f ca="1">IFERROR(__xludf.DUMMYFUNCTION("""COMPUTED_VALUE"""),44589)</f>
        <v>44589</v>
      </c>
      <c r="I3023" s="25"/>
      <c r="J3023" s="55" t="str">
        <f ca="1">IFERROR(__xludf.DUMMYFUNCTION("""COMPUTED_VALUE"""),"Baja")</f>
        <v>Baja</v>
      </c>
      <c r="K3023" s="25">
        <f ca="1">IFERROR(__xludf.DUMMYFUNCTION("""COMPUTED_VALUE"""),254)</f>
        <v>254</v>
      </c>
      <c r="L3023" s="62">
        <f ca="1">IFERROR(__xludf.DUMMYFUNCTION("""COMPUTED_VALUE"""),44861)</f>
        <v>44861</v>
      </c>
      <c r="M3023" s="25" t="str">
        <f ca="1">IFERROR(__xludf.DUMMYFUNCTION("""COMPUTED_VALUE"""),"Avance: 75% 
Fecha estimada de cumplimiento: 15/11/2022
En cuanto al desarrollo y puesta en producción de la Bandeja de Peticiones – Notificaciones e historial de solicitudes, se avanzó en la generación de la solución para hacer pruebas sobre desarrollos "&amp;"móviles APK, de acuerdo con el compromiso y con esta versión de pruebas se harán las revisiones respectivas para salir a producción.")</f>
        <v>Avance: 75% 
Fecha estimada de cumplimiento: 15/11/2022
En cuanto al desarrollo y puesta en producción de la Bandeja de Peticiones – Notificaciones e historial de solicitudes, se avanzó en la generación de la solución para hacer pruebas sobre desarrollos móviles APK, de acuerdo con el compromiso y con esta versión de pruebas se harán las revisiones respectivas para salir a producción.</v>
      </c>
      <c r="N3023" s="55">
        <f ca="1">IFERROR(__xludf.DUMMYFUNCTION("""COMPUTED_VALUE"""),44861)</f>
        <v>44861</v>
      </c>
      <c r="O3023" s="25" t="str">
        <f t="shared" ca="1" si="0"/>
        <v>Secretaría General</v>
      </c>
      <c r="P3023" s="25" t="str">
        <f t="shared" si="2"/>
        <v/>
      </c>
      <c r="Q3023" s="25" t="str">
        <f ca="1">IFERROR(__xludf.DUMMYFUNCTION("""COMPUTED_VALUE"""),"Largo plazo")</f>
        <v>Largo plazo</v>
      </c>
      <c r="R3023" s="25"/>
      <c r="S3023" s="55"/>
      <c r="T3023" s="56"/>
      <c r="U3023" s="25"/>
      <c r="V3023" s="25"/>
      <c r="W3023" s="25"/>
      <c r="X3023" s="25"/>
      <c r="Y3023" s="25"/>
      <c r="Z3023" s="25"/>
    </row>
    <row r="3024" spans="1:26" ht="52.5" customHeight="1" x14ac:dyDescent="0.25">
      <c r="A3024" s="25" t="str">
        <f ca="1">IFERROR(__xludf.DUMMYFUNCTION("""COMPUTED_VALUE"""),"Gesti22")</f>
        <v>Gesti22</v>
      </c>
      <c r="B3024" s="25" t="str">
        <f ca="1">IFERROR(__xludf.DUMMYFUNCTION("""COMPUTED_VALUE"""),"Reuniones Sinergia - Comisión TD - SuperCADE 2.0")</f>
        <v>Reuniones Sinergia - Comisión TD - SuperCADE 2.0</v>
      </c>
      <c r="C3024" s="55">
        <f ca="1">IFERROR(__xludf.DUMMYFUNCTION("""COMPUTED_VALUE"""),44335)</f>
        <v>44335</v>
      </c>
      <c r="D3024" s="25" t="str">
        <f ca="1">IFERROR(__xludf.DUMMYFUNCTION("""COMPUTED_VALUE"""),"Gestión_Pública")</f>
        <v>Gestión_Pública</v>
      </c>
      <c r="E3024" s="25" t="str">
        <f ca="1">IFERROR(__xludf.DUMMYFUNCTION("""COMPUTED_VALUE"""),"Secretaría General")</f>
        <v>Secretaría General</v>
      </c>
      <c r="F3024" s="25" t="str">
        <f ca="1">IFERROR(__xludf.DUMMYFUNCTION("""COMPUTED_VALUE"""),"Habilitar el botón del servicio de reserva de cancha sintéticas IDRD en el SuperCade Virtual.")</f>
        <v>Habilitar el botón del servicio de reserva de cancha sintéticas IDRD en el SuperCade Virtual.</v>
      </c>
      <c r="G3024" s="25" t="str">
        <f ca="1">IFERROR(__xludf.DUMMYFUNCTION("""COMPUTED_VALUE"""),"99. Distrito")</f>
        <v>99. Distrito</v>
      </c>
      <c r="H3024" s="55">
        <f ca="1">IFERROR(__xludf.DUMMYFUNCTION("""COMPUTED_VALUE"""),44408)</f>
        <v>44408</v>
      </c>
      <c r="I3024" s="25"/>
      <c r="J3024" s="55" t="str">
        <f ca="1">IFERROR(__xludf.DUMMYFUNCTION("""COMPUTED_VALUE"""),"Media")</f>
        <v>Media</v>
      </c>
      <c r="K3024" s="25">
        <f ca="1">IFERROR(__xludf.DUMMYFUNCTION("""COMPUTED_VALUE"""),73)</f>
        <v>73</v>
      </c>
      <c r="L3024" s="62">
        <f ca="1">IFERROR(__xludf.DUMMYFUNCTION("""COMPUTED_VALUE"""),44425)</f>
        <v>44425</v>
      </c>
      <c r="M3024" s="25" t="str">
        <f ca="1">IFERROR(__xludf.DUMMYFUNCTION("""COMPUTED_VALUE"""),"El botón que redirecciona a la aplicación de reserva de canchas sintéticas del IDRD se incluyó satisfactoriamente en el home de SuperCADE Virtual y ya está disponible en las versiones de la aplicación de GAB para dispositivos Android ( 12 de agosto), huaw"&amp;"ei (5 de agosto) y iOS (5 de agosto)")</f>
        <v>El botón que redirecciona a la aplicación de reserva de canchas sintéticas del IDRD se incluyó satisfactoriamente en el home de SuperCADE Virtual y ya está disponible en las versiones de la aplicación de GAB para dispositivos Android ( 12 de agosto), huawei (5 de agosto) y iOS (5 de agosto)</v>
      </c>
      <c r="N3024" s="55">
        <f ca="1">IFERROR(__xludf.DUMMYFUNCTION("""COMPUTED_VALUE"""),44425)</f>
        <v>44425</v>
      </c>
      <c r="O3024" s="25" t="str">
        <f t="shared" ca="1" si="0"/>
        <v>Secretaría General</v>
      </c>
      <c r="P3024" s="25" t="str">
        <f t="shared" si="2"/>
        <v/>
      </c>
      <c r="Q3024" s="25" t="str">
        <f ca="1">IFERROR(__xludf.DUMMYFUNCTION("""COMPUTED_VALUE"""),"Mediano plazo")</f>
        <v>Mediano plazo</v>
      </c>
      <c r="R3024" s="25"/>
      <c r="S3024" s="55"/>
      <c r="T3024" s="56"/>
      <c r="U3024" s="25"/>
      <c r="V3024" s="25"/>
      <c r="W3024" s="25"/>
      <c r="X3024" s="25"/>
      <c r="Y3024" s="25"/>
      <c r="Z3024" s="25"/>
    </row>
    <row r="3025" spans="1:26" ht="52.5" customHeight="1" x14ac:dyDescent="0.25">
      <c r="A3025" s="25" t="str">
        <f ca="1">IFERROR(__xludf.DUMMYFUNCTION("""COMPUTED_VALUE"""),"Gesti23")</f>
        <v>Gesti23</v>
      </c>
      <c r="B3025" s="25" t="str">
        <f ca="1">IFERROR(__xludf.DUMMYFUNCTION("""COMPUTED_VALUE"""),"Alianzas para Ofrecer Créditos a Negocios Informales y Población Vulnerable")</f>
        <v>Alianzas para Ofrecer Créditos a Negocios Informales y Población Vulnerable</v>
      </c>
      <c r="C3025" s="55">
        <f ca="1">IFERROR(__xludf.DUMMYFUNCTION("""COMPUTED_VALUE"""),44336)</f>
        <v>44336</v>
      </c>
      <c r="D3025" s="25" t="str">
        <f ca="1">IFERROR(__xludf.DUMMYFUNCTION("""COMPUTED_VALUE"""),"Gestión_Pública")</f>
        <v>Gestión_Pública</v>
      </c>
      <c r="E3025" s="25" t="str">
        <f ca="1">IFERROR(__xludf.DUMMYFUNCTION("""COMPUTED_VALUE"""),"Secretaría General")</f>
        <v>Secretaría General</v>
      </c>
      <c r="F3025" s="25" t="str">
        <f ca="1">IFERROR(__xludf.DUMMYFUNCTION("""COMPUTED_VALUE"""),"Acuerdo de confidencialidad suscritos con potenciales aliados para explorar modelo de negocio y productos.")</f>
        <v>Acuerdo de confidencialidad suscritos con potenciales aliados para explorar modelo de negocio y productos.</v>
      </c>
      <c r="G3025" s="25" t="str">
        <f ca="1">IFERROR(__xludf.DUMMYFUNCTION("""COMPUTED_VALUE"""),"99. Distrito")</f>
        <v>99. Distrito</v>
      </c>
      <c r="H3025" s="55">
        <f ca="1">IFERROR(__xludf.DUMMYFUNCTION("""COMPUTED_VALUE"""),44366)</f>
        <v>44366</v>
      </c>
      <c r="I3025" s="25"/>
      <c r="J3025" s="55" t="str">
        <f ca="1">IFERROR(__xludf.DUMMYFUNCTION("""COMPUTED_VALUE"""),"Alta")</f>
        <v>Alta</v>
      </c>
      <c r="K3025" s="25">
        <f ca="1">IFERROR(__xludf.DUMMYFUNCTION("""COMPUTED_VALUE"""),30)</f>
        <v>30</v>
      </c>
      <c r="L3025" s="62">
        <f ca="1">IFERROR(__xludf.DUMMYFUNCTION("""COMPUTED_VALUE"""),44425)</f>
        <v>44425</v>
      </c>
      <c r="M3025" s="25" t="str">
        <f ca="1">IFERROR(__xludf.DUMMYFUNCTION("""COMPUTED_VALUE"""),"Se celebraron acuerdos con: SDDE, IPES, ETB, Acueducto, SDIS en el Marco del contrato entre Ágata y SDDE.")</f>
        <v>Se celebraron acuerdos con: SDDE, IPES, ETB, Acueducto, SDIS en el Marco del contrato entre Ágata y SDDE.</v>
      </c>
      <c r="N3025" s="55">
        <f ca="1">IFERROR(__xludf.DUMMYFUNCTION("""COMPUTED_VALUE"""),44425)</f>
        <v>44425</v>
      </c>
      <c r="O3025" s="25" t="str">
        <f t="shared" ca="1" si="0"/>
        <v>Secretaría General</v>
      </c>
      <c r="P3025" s="25" t="str">
        <f t="shared" si="2"/>
        <v/>
      </c>
      <c r="Q3025" s="25" t="str">
        <f ca="1">IFERROR(__xludf.DUMMYFUNCTION("""COMPUTED_VALUE"""),"Corto plazo")</f>
        <v>Corto plazo</v>
      </c>
      <c r="R3025" s="25"/>
      <c r="S3025" s="55"/>
      <c r="T3025" s="56"/>
      <c r="U3025" s="25"/>
      <c r="V3025" s="25"/>
      <c r="W3025" s="25"/>
      <c r="X3025" s="25"/>
      <c r="Y3025" s="25"/>
      <c r="Z3025" s="25"/>
    </row>
    <row r="3026" spans="1:26" ht="52.5" customHeight="1" x14ac:dyDescent="0.25">
      <c r="A3026" s="25" t="str">
        <f ca="1">IFERROR(__xludf.DUMMYFUNCTION("""COMPUTED_VALUE"""),"Gesti24")</f>
        <v>Gesti24</v>
      </c>
      <c r="B3026" s="25" t="str">
        <f ca="1">IFERROR(__xludf.DUMMYFUNCTION("""COMPUTED_VALUE"""),"Alianzas para Ofrecer Créditos a Negocios Informales y Población Vulnerable")</f>
        <v>Alianzas para Ofrecer Créditos a Negocios Informales y Población Vulnerable</v>
      </c>
      <c r="C3026" s="55">
        <f ca="1">IFERROR(__xludf.DUMMYFUNCTION("""COMPUTED_VALUE"""),44336)</f>
        <v>44336</v>
      </c>
      <c r="D3026" s="25" t="str">
        <f ca="1">IFERROR(__xludf.DUMMYFUNCTION("""COMPUTED_VALUE"""),"Gestión_Pública")</f>
        <v>Gestión_Pública</v>
      </c>
      <c r="E3026" s="25" t="str">
        <f ca="1">IFERROR(__xludf.DUMMYFUNCTION("""COMPUTED_VALUE"""),"Secretaría General")</f>
        <v>Secretaría General</v>
      </c>
      <c r="F3026" s="25" t="str">
        <f ca="1">IFERROR(__xludf.DUMMYFUNCTION("""COMPUTED_VALUE"""),"App GAB - Actualización de términos y condiciones")</f>
        <v>App GAB - Actualización de términos y condiciones</v>
      </c>
      <c r="G3026" s="25" t="str">
        <f ca="1">IFERROR(__xludf.DUMMYFUNCTION("""COMPUTED_VALUE"""),"99. Distrito")</f>
        <v>99. Distrito</v>
      </c>
      <c r="H3026" s="55">
        <f ca="1">IFERROR(__xludf.DUMMYFUNCTION("""COMPUTED_VALUE"""),44366)</f>
        <v>44366</v>
      </c>
      <c r="I3026" s="25"/>
      <c r="J3026" s="55" t="str">
        <f ca="1">IFERROR(__xludf.DUMMYFUNCTION("""COMPUTED_VALUE"""),"Alta")</f>
        <v>Alta</v>
      </c>
      <c r="K3026" s="25">
        <f ca="1">IFERROR(__xludf.DUMMYFUNCTION("""COMPUTED_VALUE"""),30)</f>
        <v>30</v>
      </c>
      <c r="L3026" s="62">
        <f ca="1">IFERROR(__xludf.DUMMYFUNCTION("""COMPUTED_VALUE"""),44681)</f>
        <v>44681</v>
      </c>
      <c r="M3026" s="64" t="str">
        <f ca="1">IFERROR(__xludf.DUMMYFUNCTION("""COMPUTED_VALUE"""),"La política fue publicada en Bogotá Cuidadora y en Gobierno Abierto Bogotá https://bogota.gov.co/bogota-cuidadora/#/termsandconditions")</f>
        <v>La política fue publicada en Bogotá Cuidadora y en Gobierno Abierto Bogotá https://bogota.gov.co/bogota-cuidadora/#/termsandconditions</v>
      </c>
      <c r="N3026" s="55">
        <f ca="1">IFERROR(__xludf.DUMMYFUNCTION("""COMPUTED_VALUE"""),44681)</f>
        <v>44681</v>
      </c>
      <c r="O3026" s="25" t="str">
        <f t="shared" ca="1" si="0"/>
        <v>Secretaría General</v>
      </c>
      <c r="P3026" s="25" t="str">
        <f t="shared" si="2"/>
        <v/>
      </c>
      <c r="Q3026" s="25" t="str">
        <f ca="1">IFERROR(__xludf.DUMMYFUNCTION("""COMPUTED_VALUE"""),"Corto plazo")</f>
        <v>Corto plazo</v>
      </c>
      <c r="R3026" s="25"/>
      <c r="S3026" s="55"/>
      <c r="T3026" s="56"/>
      <c r="U3026" s="25"/>
      <c r="V3026" s="25"/>
      <c r="W3026" s="25"/>
      <c r="X3026" s="25"/>
      <c r="Y3026" s="25"/>
      <c r="Z3026" s="25"/>
    </row>
    <row r="3027" spans="1:26" ht="52.5" customHeight="1" x14ac:dyDescent="0.25">
      <c r="A3027" s="25" t="str">
        <f ca="1">IFERROR(__xludf.DUMMYFUNCTION("""COMPUTED_VALUE"""),"Gesti25")</f>
        <v>Gesti25</v>
      </c>
      <c r="B3027" s="25" t="str">
        <f ca="1">IFERROR(__xludf.DUMMYFUNCTION("""COMPUTED_VALUE"""),"Alianzas para Ofrecer Créditos a Negocios Informales y Población Vulnerable")</f>
        <v>Alianzas para Ofrecer Créditos a Negocios Informales y Población Vulnerable</v>
      </c>
      <c r="C3027" s="55">
        <f ca="1">IFERROR(__xludf.DUMMYFUNCTION("""COMPUTED_VALUE"""),44336)</f>
        <v>44336</v>
      </c>
      <c r="D3027" s="25" t="str">
        <f ca="1">IFERROR(__xludf.DUMMYFUNCTION("""COMPUTED_VALUE"""),"Gestión_Pública")</f>
        <v>Gestión_Pública</v>
      </c>
      <c r="E3027" s="25" t="str">
        <f ca="1">IFERROR(__xludf.DUMMYFUNCTION("""COMPUTED_VALUE"""),"Secretaría General")</f>
        <v>Secretaría General</v>
      </c>
      <c r="F3027" s="25" t="str">
        <f ca="1">IFERROR(__xludf.DUMMYFUNCTION("""COMPUTED_VALUE"""),"App GAB - Integración de pago con ETB")</f>
        <v>App GAB - Integración de pago con ETB</v>
      </c>
      <c r="G3027" s="25" t="str">
        <f ca="1">IFERROR(__xludf.DUMMYFUNCTION("""COMPUTED_VALUE"""),"99. Distrito")</f>
        <v>99. Distrito</v>
      </c>
      <c r="H3027" s="55">
        <f ca="1">IFERROR(__xludf.DUMMYFUNCTION("""COMPUTED_VALUE"""),44366)</f>
        <v>44366</v>
      </c>
      <c r="I3027" s="25"/>
      <c r="J3027" s="55" t="str">
        <f ca="1">IFERROR(__xludf.DUMMYFUNCTION("""COMPUTED_VALUE"""),"Alta")</f>
        <v>Alta</v>
      </c>
      <c r="K3027" s="25">
        <f ca="1">IFERROR(__xludf.DUMMYFUNCTION("""COMPUTED_VALUE"""),30)</f>
        <v>30</v>
      </c>
      <c r="L3027" s="62">
        <f ca="1">IFERROR(__xludf.DUMMYFUNCTION("""COMPUTED_VALUE"""),44425)</f>
        <v>44425</v>
      </c>
      <c r="M3027" s="25" t="str">
        <f ca="1">IFERROR(__xludf.DUMMYFUNCTION("""COMPUTED_VALUE""")," Ya se puede desde GAB pagar ETB")</f>
        <v xml:space="preserve"> Ya se puede desde GAB pagar ETB</v>
      </c>
      <c r="N3027" s="55">
        <f ca="1">IFERROR(__xludf.DUMMYFUNCTION("""COMPUTED_VALUE"""),44425)</f>
        <v>44425</v>
      </c>
      <c r="O3027" s="25" t="str">
        <f t="shared" ca="1" si="0"/>
        <v>Secretaría General</v>
      </c>
      <c r="P3027" s="25" t="str">
        <f t="shared" si="2"/>
        <v/>
      </c>
      <c r="Q3027" s="25" t="str">
        <f ca="1">IFERROR(__xludf.DUMMYFUNCTION("""COMPUTED_VALUE"""),"Corto plazo")</f>
        <v>Corto plazo</v>
      </c>
      <c r="R3027" s="25"/>
      <c r="S3027" s="55"/>
      <c r="T3027" s="56"/>
      <c r="U3027" s="25"/>
      <c r="V3027" s="25"/>
      <c r="W3027" s="25"/>
      <c r="X3027" s="25"/>
      <c r="Y3027" s="25"/>
      <c r="Z3027" s="25"/>
    </row>
    <row r="3028" spans="1:26" ht="52.5" customHeight="1" x14ac:dyDescent="0.25">
      <c r="A3028" s="25" t="str">
        <f ca="1">IFERROR(__xludf.DUMMYFUNCTION("""COMPUTED_VALUE"""),"Gesti26")</f>
        <v>Gesti26</v>
      </c>
      <c r="B3028" s="25" t="str">
        <f ca="1">IFERROR(__xludf.DUMMYFUNCTION("""COMPUTED_VALUE"""),"Alianzas para Ofrecer Créditos a Negocios Informales y Población Vulnerable")</f>
        <v>Alianzas para Ofrecer Créditos a Negocios Informales y Población Vulnerable</v>
      </c>
      <c r="C3028" s="55">
        <f ca="1">IFERROR(__xludf.DUMMYFUNCTION("""COMPUTED_VALUE"""),44336)</f>
        <v>44336</v>
      </c>
      <c r="D3028" s="25" t="str">
        <f ca="1">IFERROR(__xludf.DUMMYFUNCTION("""COMPUTED_VALUE"""),"Gestión_Pública")</f>
        <v>Gestión_Pública</v>
      </c>
      <c r="E3028" s="25" t="str">
        <f ca="1">IFERROR(__xludf.DUMMYFUNCTION("""COMPUTED_VALUE"""),"Secretaría General")</f>
        <v>Secretaría General</v>
      </c>
      <c r="F3028" s="25" t="str">
        <f ca="1">IFERROR(__xludf.DUMMYFUNCTION("""COMPUTED_VALUE"""),"App GAB - Integraciones con EAAB E.S.P., ENEL, VANTI, IDRD y Secretaría Distrital de Movilidad")</f>
        <v>App GAB - Integraciones con EAAB E.S.P., ENEL, VANTI, IDRD y Secretaría Distrital de Movilidad</v>
      </c>
      <c r="G3028" s="25" t="str">
        <f ca="1">IFERROR(__xludf.DUMMYFUNCTION("""COMPUTED_VALUE"""),"99. Distrito")</f>
        <v>99. Distrito</v>
      </c>
      <c r="H3028" s="55">
        <f ca="1">IFERROR(__xludf.DUMMYFUNCTION("""COMPUTED_VALUE"""),44366)</f>
        <v>44366</v>
      </c>
      <c r="I3028" s="25"/>
      <c r="J3028" s="55" t="str">
        <f ca="1">IFERROR(__xludf.DUMMYFUNCTION("""COMPUTED_VALUE"""),"Alta")</f>
        <v>Alta</v>
      </c>
      <c r="K3028" s="25">
        <f ca="1">IFERROR(__xludf.DUMMYFUNCTION("""COMPUTED_VALUE"""),30)</f>
        <v>30</v>
      </c>
      <c r="L3028" s="62">
        <f ca="1">IFERROR(__xludf.DUMMYFUNCTION("""COMPUTED_VALUE"""),44773)</f>
        <v>44773</v>
      </c>
      <c r="M3028" s="64" t="str">
        <f ca="1">IFERROR(__xludf.DUMMYFUNCTION("""COMPUTED_VALUE"""),"Avance: 100%. Se solicita cierre de tarea por parte de la dependencia. 
Fecha estimada de terminación: 30/07/2022*
Frente App GAB - Integraciones con EAAB E.S.P., ENEL, VANTI, IDRD y Secretaría Distrital de Movilidad, se avanzó, en el sitio que quedó en p"&amp;"roductivo y se realizó la campaña en medios y publicación en los siguientes enlaces: 
https://www.eltiempo.com/bogota/zonas-de-parqueo-en-bogota-asi-puede-proponer-calles-para-la-iniciativa-692564
https://prontonoticias.com/ciudadanos-podran-reportar-cal"&amp;"les-para-la-implementacionde-las-zonas-de-parqueo-pago/ 
https://www.rcnradio.com/bogota/bogotanos-podran-proponer-calles-para-que-implementen-zonas-de-parqueo-pago?utm_source=dlvr.it&amp;utm_medium=twitter 
https://www.lafm.com.co/bogota/asi-podra-proponer"&amp;"-calles-para-implementar-zonas-de-parqueo-pago?t=1659542055")</f>
        <v>Avance: 100%. Se solicita cierre de tarea por parte de la dependencia. 
Fecha estimada de terminación: 30/07/2022*
Frente App GAB - Integraciones con EAAB E.S.P., ENEL, VANTI, IDRD y Secretaría Distrital de Movilidad, se avanzó, en el sitio que quedó en productivo y se realizó la campaña en medios y publicación en los siguientes enlaces: 
https://www.eltiempo.com/bogota/zonas-de-parqueo-en-bogota-asi-puede-proponer-calles-para-la-iniciativa-692564
https://prontonoticias.com/ciudadanos-podran-reportar-calles-para-la-implementacionde-las-zonas-de-parqueo-pago/ 
https://www.rcnradio.com/bogota/bogotanos-podran-proponer-calles-para-que-implementen-zonas-de-parqueo-pago?utm_source=dlvr.it&amp;utm_medium=twitter 
https://www.lafm.com.co/bogota/asi-podra-proponer-calles-para-implementar-zonas-de-parqueo-pago?t=1659542055</v>
      </c>
      <c r="N3028" s="55">
        <f ca="1">IFERROR(__xludf.DUMMYFUNCTION("""COMPUTED_VALUE"""),44773)</f>
        <v>44773</v>
      </c>
      <c r="O3028" s="25" t="str">
        <f t="shared" ca="1" si="0"/>
        <v>Secretaría General</v>
      </c>
      <c r="P3028" s="25" t="str">
        <f t="shared" si="2"/>
        <v/>
      </c>
      <c r="Q3028" s="25" t="str">
        <f ca="1">IFERROR(__xludf.DUMMYFUNCTION("""COMPUTED_VALUE"""),"Corto plazo")</f>
        <v>Corto plazo</v>
      </c>
      <c r="R3028" s="25"/>
      <c r="S3028" s="55"/>
      <c r="T3028" s="56"/>
      <c r="U3028" s="25"/>
      <c r="V3028" s="25"/>
      <c r="W3028" s="25"/>
      <c r="X3028" s="25"/>
      <c r="Y3028" s="25"/>
      <c r="Z3028" s="25"/>
    </row>
    <row r="3029" spans="1:26" ht="52.5" customHeight="1" x14ac:dyDescent="0.25">
      <c r="A3029" s="25" t="str">
        <f ca="1">IFERROR(__xludf.DUMMYFUNCTION("""COMPUTED_VALUE"""),"Gesti27")</f>
        <v>Gesti27</v>
      </c>
      <c r="B3029" s="25" t="str">
        <f ca="1">IFERROR(__xludf.DUMMYFUNCTION("""COMPUTED_VALUE"""),"Alianzas para Ofrecer Créditos a Negocios Informales y Población Vulnerable")</f>
        <v>Alianzas para Ofrecer Créditos a Negocios Informales y Población Vulnerable</v>
      </c>
      <c r="C3029" s="55">
        <f ca="1">IFERROR(__xludf.DUMMYFUNCTION("""COMPUTED_VALUE"""),44336)</f>
        <v>44336</v>
      </c>
      <c r="D3029" s="25" t="str">
        <f ca="1">IFERROR(__xludf.DUMMYFUNCTION("""COMPUTED_VALUE"""),"Gestión_Pública")</f>
        <v>Gestión_Pública</v>
      </c>
      <c r="E3029" s="25" t="str">
        <f ca="1">IFERROR(__xludf.DUMMYFUNCTION("""COMPUTED_VALUE"""),"Secretaría General")</f>
        <v>Secretaría General</v>
      </c>
      <c r="F3029" s="25" t="str">
        <f ca="1">IFERROR(__xludf.DUMMYFUNCTION("""COMPUTED_VALUE"""),"Articulación de los avances que ya tiene la Secretaría Distrital del Hábitat con Davivienda para crédito de vivienda.")</f>
        <v>Articulación de los avances que ya tiene la Secretaría Distrital del Hábitat con Davivienda para crédito de vivienda.</v>
      </c>
      <c r="G3029" s="25" t="str">
        <f ca="1">IFERROR(__xludf.DUMMYFUNCTION("""COMPUTED_VALUE"""),"99. Distrito")</f>
        <v>99. Distrito</v>
      </c>
      <c r="H3029" s="55">
        <f ca="1">IFERROR(__xludf.DUMMYFUNCTION("""COMPUTED_VALUE"""),44366)</f>
        <v>44366</v>
      </c>
      <c r="I3029" s="25"/>
      <c r="J3029" s="55" t="str">
        <f ca="1">IFERROR(__xludf.DUMMYFUNCTION("""COMPUTED_VALUE"""),"Alta")</f>
        <v>Alta</v>
      </c>
      <c r="K3029" s="25">
        <f ca="1">IFERROR(__xludf.DUMMYFUNCTION("""COMPUTED_VALUE"""),30)</f>
        <v>30</v>
      </c>
      <c r="L3029" s="62">
        <f ca="1">IFERROR(__xludf.DUMMYFUNCTION("""COMPUTED_VALUE"""),44849)</f>
        <v>44849</v>
      </c>
      <c r="M3029" s="25" t="str">
        <f ca="1">IFERROR(__xludf.DUMMYFUNCTION("""COMPUTED_VALUE"""),"Avance: 0%
La dependencia solicitó el cierre. 
Actualmente esta actividad se encuentra en proceso de revisión por el Equipo del Delivery Unit, en atención al reporte de cierre solicitado desde ágata, en el que se ha venido señalando lo siguiente: ""Se rea"&amp;"lizó sesión de trabajo entre el equipo de la Secretaría Distrital de Hábitat, Davivienda y la Agencia Analítica de Datos, en la que se discutió la posible articulación en el marco del Programa ""Plan Terrazas""; sin embargo, la conclusión es que el progra"&amp;"ma ""terrazas"" debe avanzar más para hacerlo viable financieramente para Davivienda. Teniendo en cuenta lo anterior, se considera que no se puede avanzar en la relación con la Secretaría Distrital del Hábitat"". Como parte de la revisión de los argumento"&amp;"s, se sostuvo reunión el pasado jueves 22 de septiembre entre ágata y el Delivery.
")</f>
        <v xml:space="preserve">Avance: 0%
La dependencia solicitó el cierre. 
Actualmente esta actividad se encuentra en proceso de revisión por el Equipo del Delivery Unit, en atención al reporte de cierre solicitado desde ágata, en el que se ha venido señalando lo siguiente: "Se realizó sesión de trabajo entre el equipo de la Secretaría Distrital de Hábitat, Davivienda y la Agencia Analítica de Datos, en la que se discutió la posible articulación en el marco del Programa "Plan Terrazas"; sin embargo, la conclusión es que el programa "terrazas" debe avanzar más para hacerlo viable financieramente para Davivienda. Teniendo en cuenta lo anterior, se considera que no se puede avanzar en la relación con la Secretaría Distrital del Hábitat". Como parte de la revisión de los argumentos, se sostuvo reunión el pasado jueves 22 de septiembre entre ágata y el Delivery.
</v>
      </c>
      <c r="N3029" s="55">
        <f ca="1">IFERROR(__xludf.DUMMYFUNCTION("""COMPUTED_VALUE"""),44849)</f>
        <v>44849</v>
      </c>
      <c r="O3029" s="25" t="str">
        <f t="shared" ca="1" si="0"/>
        <v>Secretaría General</v>
      </c>
      <c r="P3029" s="25" t="str">
        <f t="shared" si="2"/>
        <v/>
      </c>
      <c r="Q3029" s="25" t="str">
        <f ca="1">IFERROR(__xludf.DUMMYFUNCTION("""COMPUTED_VALUE"""),"Corto plazo")</f>
        <v>Corto plazo</v>
      </c>
      <c r="R3029" s="25"/>
      <c r="S3029" s="55"/>
      <c r="T3029" s="56"/>
      <c r="U3029" s="25"/>
      <c r="V3029" s="25"/>
      <c r="W3029" s="25"/>
      <c r="X3029" s="25"/>
      <c r="Y3029" s="25"/>
      <c r="Z3029" s="25"/>
    </row>
    <row r="3030" spans="1:26" ht="52.5" customHeight="1" x14ac:dyDescent="0.25">
      <c r="A3030" s="25" t="str">
        <f ca="1">IFERROR(__xludf.DUMMYFUNCTION("""COMPUTED_VALUE"""),"Gesti28")</f>
        <v>Gesti28</v>
      </c>
      <c r="B3030" s="25" t="str">
        <f ca="1">IFERROR(__xludf.DUMMYFUNCTION("""COMPUTED_VALUE"""),"Alianzas para Ofrecer Créditos a Negocios Informales y Población Vulnerable")</f>
        <v>Alianzas para Ofrecer Créditos a Negocios Informales y Población Vulnerable</v>
      </c>
      <c r="C3030" s="55">
        <f ca="1">IFERROR(__xludf.DUMMYFUNCTION("""COMPUTED_VALUE"""),44336)</f>
        <v>44336</v>
      </c>
      <c r="D3030" s="25" t="str">
        <f ca="1">IFERROR(__xludf.DUMMYFUNCTION("""COMPUTED_VALUE"""),"Gestión_Pública")</f>
        <v>Gestión_Pública</v>
      </c>
      <c r="E3030" s="25" t="str">
        <f ca="1">IFERROR(__xludf.DUMMYFUNCTION("""COMPUTED_VALUE"""),"Secretaría General")</f>
        <v>Secretaría General</v>
      </c>
      <c r="F3030" s="25" t="str">
        <f ca="1">IFERROR(__xludf.DUMMYFUNCTION("""COMPUTED_VALUE"""),"Inventario de datos por culminar")</f>
        <v>Inventario de datos por culminar</v>
      </c>
      <c r="G3030" s="25" t="str">
        <f ca="1">IFERROR(__xludf.DUMMYFUNCTION("""COMPUTED_VALUE"""),"99. Distrito")</f>
        <v>99. Distrito</v>
      </c>
      <c r="H3030" s="55">
        <f ca="1">IFERROR(__xludf.DUMMYFUNCTION("""COMPUTED_VALUE"""),44366)</f>
        <v>44366</v>
      </c>
      <c r="I3030" s="25"/>
      <c r="J3030" s="55" t="str">
        <f ca="1">IFERROR(__xludf.DUMMYFUNCTION("""COMPUTED_VALUE"""),"Alta")</f>
        <v>Alta</v>
      </c>
      <c r="K3030" s="25">
        <f ca="1">IFERROR(__xludf.DUMMYFUNCTION("""COMPUTED_VALUE"""),30)</f>
        <v>30</v>
      </c>
      <c r="L3030" s="62">
        <f ca="1">IFERROR(__xludf.DUMMYFUNCTION("""COMPUTED_VALUE"""),44439)</f>
        <v>44439</v>
      </c>
      <c r="M3030" s="25" t="str">
        <f ca="1">IFERROR(__xludf.DUMMYFUNCTION("""COMPUTED_VALUE"""),"100% Realizado. Se tiene un inventario ejecutivo con los datos que pueden servir para hacer un scoring distrital.")</f>
        <v>100% Realizado. Se tiene un inventario ejecutivo con los datos que pueden servir para hacer un scoring distrital.</v>
      </c>
      <c r="N3030" s="55">
        <f ca="1">IFERROR(__xludf.DUMMYFUNCTION("""COMPUTED_VALUE"""),44439)</f>
        <v>44439</v>
      </c>
      <c r="O3030" s="25" t="str">
        <f t="shared" ca="1" si="0"/>
        <v>Secretaría General</v>
      </c>
      <c r="P3030" s="25" t="str">
        <f t="shared" si="2"/>
        <v/>
      </c>
      <c r="Q3030" s="25" t="str">
        <f ca="1">IFERROR(__xludf.DUMMYFUNCTION("""COMPUTED_VALUE"""),"Corto plazo")</f>
        <v>Corto plazo</v>
      </c>
      <c r="R3030" s="25"/>
      <c r="S3030" s="55"/>
      <c r="T3030" s="56"/>
      <c r="U3030" s="25"/>
      <c r="V3030" s="25"/>
      <c r="W3030" s="25"/>
      <c r="X3030" s="25"/>
      <c r="Y3030" s="25"/>
      <c r="Z3030" s="25"/>
    </row>
    <row r="3031" spans="1:26" ht="52.5" customHeight="1" x14ac:dyDescent="0.25">
      <c r="A3031" s="25" t="str">
        <f ca="1">IFERROR(__xludf.DUMMYFUNCTION("""COMPUTED_VALUE"""),"Gesti29")</f>
        <v>Gesti29</v>
      </c>
      <c r="B3031" s="25" t="str">
        <f ca="1">IFERROR(__xludf.DUMMYFUNCTION("""COMPUTED_VALUE"""),"Alianzas para Ofrecer Créditos a Negocios Informales y Población Vulnerable")</f>
        <v>Alianzas para Ofrecer Créditos a Negocios Informales y Población Vulnerable</v>
      </c>
      <c r="C3031" s="55">
        <f ca="1">IFERROR(__xludf.DUMMYFUNCTION("""COMPUTED_VALUE"""),44336)</f>
        <v>44336</v>
      </c>
      <c r="D3031" s="25" t="str">
        <f ca="1">IFERROR(__xludf.DUMMYFUNCTION("""COMPUTED_VALUE"""),"Gestión_Pública")</f>
        <v>Gestión_Pública</v>
      </c>
      <c r="E3031" s="25" t="str">
        <f ca="1">IFERROR(__xludf.DUMMYFUNCTION("""COMPUTED_VALUE"""),"Secretaría General")</f>
        <v>Secretaría General</v>
      </c>
      <c r="F3031" s="25" t="str">
        <f ca="1">IFERROR(__xludf.DUMMYFUNCTION("""COMPUTED_VALUE"""),"Llevar la iniciativa al EMRE de julio para revisar articulación con Tropa Económica")</f>
        <v>Llevar la iniciativa al EMRE de julio para revisar articulación con Tropa Económica</v>
      </c>
      <c r="G3031" s="25" t="str">
        <f ca="1">IFERROR(__xludf.DUMMYFUNCTION("""COMPUTED_VALUE"""),"99. Distrito")</f>
        <v>99. Distrito</v>
      </c>
      <c r="H3031" s="55">
        <f ca="1">IFERROR(__xludf.DUMMYFUNCTION("""COMPUTED_VALUE"""),44366)</f>
        <v>44366</v>
      </c>
      <c r="I3031" s="25"/>
      <c r="J3031" s="55" t="str">
        <f ca="1">IFERROR(__xludf.DUMMYFUNCTION("""COMPUTED_VALUE"""),"Alta")</f>
        <v>Alta</v>
      </c>
      <c r="K3031" s="25">
        <f ca="1">IFERROR(__xludf.DUMMYFUNCTION("""COMPUTED_VALUE"""),30)</f>
        <v>30</v>
      </c>
      <c r="L3031" s="62">
        <f ca="1">IFERROR(__xludf.DUMMYFUNCTION("""COMPUTED_VALUE"""),44484)</f>
        <v>44484</v>
      </c>
      <c r="M3031" s="25" t="str">
        <f ca="1">IFERROR(__xludf.DUMMYFUNCTION("""COMPUTED_VALUE"""),"El día 13 de octubre se llevó a cabo una reunión para evidenciar el estado actual de las tablets del equipo de tropa económica y de las preguntas y el enfoque que se debe incluir en su momento en la tropa económica. Se hace el enlace y queda trabajo conju"&amp;"nto con tropa como conclusión. - Cerrrado")</f>
        <v>El día 13 de octubre se llevó a cabo una reunión para evidenciar el estado actual de las tablets del equipo de tropa económica y de las preguntas y el enfoque que se debe incluir en su momento en la tropa económica. Se hace el enlace y queda trabajo conjunto con tropa como conclusión. - Cerrrado</v>
      </c>
      <c r="N3031" s="55">
        <f ca="1">IFERROR(__xludf.DUMMYFUNCTION("""COMPUTED_VALUE"""),44484)</f>
        <v>44484</v>
      </c>
      <c r="O3031" s="25" t="str">
        <f t="shared" ca="1" si="0"/>
        <v>Secretaría General</v>
      </c>
      <c r="P3031" s="25" t="str">
        <f t="shared" si="2"/>
        <v/>
      </c>
      <c r="Q3031" s="25" t="str">
        <f ca="1">IFERROR(__xludf.DUMMYFUNCTION("""COMPUTED_VALUE"""),"Corto plazo")</f>
        <v>Corto plazo</v>
      </c>
      <c r="R3031" s="25"/>
      <c r="S3031" s="55"/>
      <c r="T3031" s="56"/>
      <c r="U3031" s="25"/>
      <c r="V3031" s="25"/>
      <c r="W3031" s="25"/>
      <c r="X3031" s="25"/>
      <c r="Y3031" s="25"/>
      <c r="Z3031" s="25"/>
    </row>
    <row r="3032" spans="1:26" ht="52.5" customHeight="1" x14ac:dyDescent="0.25">
      <c r="A3032" s="25" t="str">
        <f ca="1">IFERROR(__xludf.DUMMYFUNCTION("""COMPUTED_VALUE"""),"Gesti30")</f>
        <v>Gesti30</v>
      </c>
      <c r="B3032" s="25" t="str">
        <f ca="1">IFERROR(__xludf.DUMMYFUNCTION("""COMPUTED_VALUE"""),"Alianzas para Ofrecer Créditos a Negocios Informales y Población Vulnerable")</f>
        <v>Alianzas para Ofrecer Créditos a Negocios Informales y Población Vulnerable</v>
      </c>
      <c r="C3032" s="55">
        <f ca="1">IFERROR(__xludf.DUMMYFUNCTION("""COMPUTED_VALUE"""),44336)</f>
        <v>44336</v>
      </c>
      <c r="D3032" s="25" t="str">
        <f ca="1">IFERROR(__xludf.DUMMYFUNCTION("""COMPUTED_VALUE"""),"Gestión_Pública")</f>
        <v>Gestión_Pública</v>
      </c>
      <c r="E3032" s="25" t="str">
        <f ca="1">IFERROR(__xludf.DUMMYFUNCTION("""COMPUTED_VALUE"""),"Secretaría General")</f>
        <v>Secretaría General</v>
      </c>
      <c r="F3032" s="25" t="str">
        <f ca="1">IFERROR(__xludf.DUMMYFUNCTION("""COMPUTED_VALUE"""),"Modelo y acuerdos de intercambio de datos con entidades")</f>
        <v>Modelo y acuerdos de intercambio de datos con entidades</v>
      </c>
      <c r="G3032" s="25" t="str">
        <f ca="1">IFERROR(__xludf.DUMMYFUNCTION("""COMPUTED_VALUE"""),"99. Distrito")</f>
        <v>99. Distrito</v>
      </c>
      <c r="H3032" s="55">
        <f ca="1">IFERROR(__xludf.DUMMYFUNCTION("""COMPUTED_VALUE"""),44366)</f>
        <v>44366</v>
      </c>
      <c r="I3032" s="25"/>
      <c r="J3032" s="55" t="str">
        <f ca="1">IFERROR(__xludf.DUMMYFUNCTION("""COMPUTED_VALUE"""),"Alta")</f>
        <v>Alta</v>
      </c>
      <c r="K3032" s="25">
        <f ca="1">IFERROR(__xludf.DUMMYFUNCTION("""COMPUTED_VALUE"""),30)</f>
        <v>30</v>
      </c>
      <c r="L3032" s="62">
        <f ca="1">IFERROR(__xludf.DUMMYFUNCTION("""COMPUTED_VALUE"""),44727)</f>
        <v>44727</v>
      </c>
      <c r="M3032" s="25" t="str">
        <f ca="1">IFERROR(__xludf.DUMMYFUNCTION("""COMPUTED_VALUE"""),"Se firmó Acuerdo de Intercambio de Datos entre Ágata y la  la Empresa de Acueducto y Alcantarillado de Bogotá - EAAB, el pasado lunes 6 de junio del 2022.")</f>
        <v>Se firmó Acuerdo de Intercambio de Datos entre Ágata y la  la Empresa de Acueducto y Alcantarillado de Bogotá - EAAB, el pasado lunes 6 de junio del 2022.</v>
      </c>
      <c r="N3032" s="55">
        <f ca="1">IFERROR(__xludf.DUMMYFUNCTION("""COMPUTED_VALUE"""),44727)</f>
        <v>44727</v>
      </c>
      <c r="O3032" s="25" t="str">
        <f t="shared" ca="1" si="0"/>
        <v>Secretaría General</v>
      </c>
      <c r="P3032" s="25" t="str">
        <f t="shared" si="2"/>
        <v/>
      </c>
      <c r="Q3032" s="25" t="str">
        <f ca="1">IFERROR(__xludf.DUMMYFUNCTION("""COMPUTED_VALUE"""),"Corto plazo")</f>
        <v>Corto plazo</v>
      </c>
      <c r="R3032" s="25"/>
      <c r="S3032" s="55"/>
      <c r="T3032" s="56"/>
      <c r="U3032" s="25"/>
      <c r="V3032" s="25"/>
      <c r="W3032" s="25"/>
      <c r="X3032" s="25"/>
      <c r="Y3032" s="25"/>
      <c r="Z3032" s="25"/>
    </row>
    <row r="3033" spans="1:26" ht="52.5" customHeight="1" x14ac:dyDescent="0.25">
      <c r="A3033" s="25" t="str">
        <f ca="1">IFERROR(__xludf.DUMMYFUNCTION("""COMPUTED_VALUE"""),"Gesti31")</f>
        <v>Gesti31</v>
      </c>
      <c r="B3033" s="25" t="str">
        <f ca="1">IFERROR(__xludf.DUMMYFUNCTION("""COMPUTED_VALUE"""),"Alianzas para Ofrecer Créditos a Negocios Informales y Población Vulnerable")</f>
        <v>Alianzas para Ofrecer Créditos a Negocios Informales y Población Vulnerable</v>
      </c>
      <c r="C3033" s="55">
        <f ca="1">IFERROR(__xludf.DUMMYFUNCTION("""COMPUTED_VALUE"""),44336)</f>
        <v>44336</v>
      </c>
      <c r="D3033" s="25" t="str">
        <f ca="1">IFERROR(__xludf.DUMMYFUNCTION("""COMPUTED_VALUE"""),"Gestión_Pública")</f>
        <v>Gestión_Pública</v>
      </c>
      <c r="E3033" s="25" t="str">
        <f ca="1">IFERROR(__xludf.DUMMYFUNCTION("""COMPUTED_VALUE"""),"Secretaría General")</f>
        <v>Secretaría General</v>
      </c>
      <c r="F3033" s="25" t="str">
        <f ca="1">IFERROR(__xludf.DUMMYFUNCTION("""COMPUTED_VALUE"""),"Tercera aproximación con ENEL para revisar oportunidades de trabajo conjunto para el tema específico de créditos.")</f>
        <v>Tercera aproximación con ENEL para revisar oportunidades de trabajo conjunto para el tema específico de créditos.</v>
      </c>
      <c r="G3033" s="25" t="str">
        <f ca="1">IFERROR(__xludf.DUMMYFUNCTION("""COMPUTED_VALUE"""),"99. Distrito")</f>
        <v>99. Distrito</v>
      </c>
      <c r="H3033" s="55">
        <f ca="1">IFERROR(__xludf.DUMMYFUNCTION("""COMPUTED_VALUE"""),44366)</f>
        <v>44366</v>
      </c>
      <c r="I3033" s="25"/>
      <c r="J3033" s="55" t="str">
        <f ca="1">IFERROR(__xludf.DUMMYFUNCTION("""COMPUTED_VALUE"""),"Alta")</f>
        <v>Alta</v>
      </c>
      <c r="K3033" s="25">
        <f ca="1">IFERROR(__xludf.DUMMYFUNCTION("""COMPUTED_VALUE"""),30)</f>
        <v>30</v>
      </c>
      <c r="L3033" s="62">
        <f ca="1">IFERROR(__xludf.DUMMYFUNCTION("""COMPUTED_VALUE"""),44439)</f>
        <v>44439</v>
      </c>
      <c r="M3033" s="25" t="str">
        <f ca="1">IFERROR(__xludf.DUMMYFUNCTION("""COMPUTED_VALUE"""),"Se realizó el 100% . Sin embargo, se está pendiente respuesta por parte de ENEL")</f>
        <v>Se realizó el 100% . Sin embargo, se está pendiente respuesta por parte de ENEL</v>
      </c>
      <c r="N3033" s="55">
        <f ca="1">IFERROR(__xludf.DUMMYFUNCTION("""COMPUTED_VALUE"""),44439)</f>
        <v>44439</v>
      </c>
      <c r="O3033" s="25" t="str">
        <f t="shared" ca="1" si="0"/>
        <v>Secretaría General</v>
      </c>
      <c r="P3033" s="25" t="str">
        <f t="shared" si="2"/>
        <v/>
      </c>
      <c r="Q3033" s="25" t="str">
        <f ca="1">IFERROR(__xludf.DUMMYFUNCTION("""COMPUTED_VALUE"""),"Corto plazo")</f>
        <v>Corto plazo</v>
      </c>
      <c r="R3033" s="25"/>
      <c r="S3033" s="55"/>
      <c r="T3033" s="56"/>
      <c r="U3033" s="25"/>
      <c r="V3033" s="25"/>
      <c r="W3033" s="25"/>
      <c r="X3033" s="25"/>
      <c r="Y3033" s="25"/>
      <c r="Z3033" s="25"/>
    </row>
    <row r="3034" spans="1:26" ht="52.5" customHeight="1" x14ac:dyDescent="0.25">
      <c r="A3034" s="25" t="str">
        <f ca="1">IFERROR(__xludf.DUMMYFUNCTION("""COMPUTED_VALUE"""),"Gesti32")</f>
        <v>Gesti32</v>
      </c>
      <c r="B3034" s="25" t="str">
        <f ca="1">IFERROR(__xludf.DUMMYFUNCTION("""COMPUTED_VALUE"""),"Reunión con SED")</f>
        <v>Reunión con SED</v>
      </c>
      <c r="C3034" s="55">
        <f ca="1">IFERROR(__xludf.DUMMYFUNCTION("""COMPUTED_VALUE"""),44341)</f>
        <v>44341</v>
      </c>
      <c r="D3034" s="25" t="str">
        <f ca="1">IFERROR(__xludf.DUMMYFUNCTION("""COMPUTED_VALUE"""),"Gestión_Pública")</f>
        <v>Gestión_Pública</v>
      </c>
      <c r="E3034" s="25" t="str">
        <f ca="1">IFERROR(__xludf.DUMMYFUNCTION("""COMPUTED_VALUE"""),"Secretaría General")</f>
        <v>Secretaría General</v>
      </c>
      <c r="F3034" s="25" t="str">
        <f ca="1">IFERROR(__xludf.DUMMYFUNCTION("""COMPUTED_VALUE"""),"Crear en la página web del Portal Bogotá, el consolidado de la oferta educativa en el Distrito.")</f>
        <v>Crear en la página web del Portal Bogotá, el consolidado de la oferta educativa en el Distrito.</v>
      </c>
      <c r="G3034" s="25" t="str">
        <f ca="1">IFERROR(__xludf.DUMMYFUNCTION("""COMPUTED_VALUE"""),"99. Distrito")</f>
        <v>99. Distrito</v>
      </c>
      <c r="H3034" s="55">
        <f ca="1">IFERROR(__xludf.DUMMYFUNCTION("""COMPUTED_VALUE"""),44392)</f>
        <v>44392</v>
      </c>
      <c r="I3034" s="25"/>
      <c r="J3034" s="55" t="str">
        <f ca="1">IFERROR(__xludf.DUMMYFUNCTION("""COMPUTED_VALUE"""),"Alta")</f>
        <v>Alta</v>
      </c>
      <c r="K3034" s="25">
        <f ca="1">IFERROR(__xludf.DUMMYFUNCTION("""COMPUTED_VALUE"""),51)</f>
        <v>51</v>
      </c>
      <c r="L3034" s="62">
        <f ca="1">IFERROR(__xludf.DUMMYFUNCTION("""COMPUTED_VALUE"""),44425)</f>
        <v>44425</v>
      </c>
      <c r="M3034" s="25" t="str">
        <f ca="1">IFERROR(__xludf.DUMMYFUNCTION("""COMPUTED_VALUE"""),"A la fecha, la Oficina Consejería de Comunicaciones reporta que el 15/07/2021 finalizó el compromiso adquirido ""Crear en la página web del Portal Bogotá, el consolidado de la oferta educativa en el Distrito"", está implementación, compone el despliegue o"&amp;"rganizado de las diferentes ofertas de formación de las entidades y la importación todos los lunes de las ofertas de formación que cargan las entidades.
 Registrando que se han importado 162 ofertas de formación de todas las entidades en https://bogota.go"&amp;"v.co/que-hacer/formacion
 Es importante mencionar que la Secretaria Privada, está realizando el seguimiento de las entidades que aún faltan por por cargar información.")</f>
        <v>A la fecha, la Oficina Consejería de Comunicaciones reporta que el 15/07/2021 finalizó el compromiso adquirido "Crear en la página web del Portal Bogotá, el consolidado de la oferta educativa en el Distrito", está implementación, compone el despliegue organizado de las diferentes ofertas de formación de las entidades y la importación todos los lunes de las ofertas de formación que cargan las entidades.
 Registrando que se han importado 162 ofertas de formación de todas las entidades en https://bogota.gov.co/que-hacer/formacion
 Es importante mencionar que la Secretaria Privada, está realizando el seguimiento de las entidades que aún faltan por por cargar información.</v>
      </c>
      <c r="N3034" s="55">
        <f ca="1">IFERROR(__xludf.DUMMYFUNCTION("""COMPUTED_VALUE"""),44425)</f>
        <v>44425</v>
      </c>
      <c r="O3034" s="25" t="str">
        <f t="shared" ca="1" si="0"/>
        <v>Secretaría General</v>
      </c>
      <c r="P3034" s="25" t="str">
        <f t="shared" si="2"/>
        <v/>
      </c>
      <c r="Q3034" s="25" t="str">
        <f ca="1">IFERROR(__xludf.DUMMYFUNCTION("""COMPUTED_VALUE"""),"Corto plazo")</f>
        <v>Corto plazo</v>
      </c>
      <c r="R3034" s="25"/>
      <c r="S3034" s="55"/>
      <c r="T3034" s="56"/>
      <c r="U3034" s="25"/>
      <c r="V3034" s="25"/>
      <c r="W3034" s="25"/>
      <c r="X3034" s="25"/>
      <c r="Y3034" s="25"/>
      <c r="Z3034" s="25"/>
    </row>
    <row r="3035" spans="1:26" ht="52.5" customHeight="1" x14ac:dyDescent="0.25">
      <c r="A3035" s="25" t="str">
        <f ca="1">IFERROR(__xludf.DUMMYFUNCTION("""COMPUTED_VALUE"""),"Gesti33")</f>
        <v>Gesti33</v>
      </c>
      <c r="B3035" s="25" t="str">
        <f ca="1">IFERROR(__xludf.DUMMYFUNCTION("""COMPUTED_VALUE"""),"Consejo Consultivo LGBTI")</f>
        <v>Consejo Consultivo LGBTI</v>
      </c>
      <c r="C3035" s="55">
        <f ca="1">IFERROR(__xludf.DUMMYFUNCTION("""COMPUTED_VALUE"""),44362)</f>
        <v>44362</v>
      </c>
      <c r="D3035" s="25" t="str">
        <f ca="1">IFERROR(__xludf.DUMMYFUNCTION("""COMPUTED_VALUE"""),"Gestión_Pública")</f>
        <v>Gestión_Pública</v>
      </c>
      <c r="E3035" s="25" t="str">
        <f ca="1">IFERROR(__xludf.DUMMYFUNCTION("""COMPUTED_VALUE"""),"Secretaría General")</f>
        <v>Secretaría General</v>
      </c>
      <c r="F3035" s="25" t="str">
        <f ca="1">IFERROR(__xludf.DUMMYFUNCTION("""COMPUTED_VALUE"""),"Organizar un Gran encuentro internacional de experiencias LGBTI, posiblemente en el mes de junio para que sea después del encuentro local y el nacional. Encuentro de experiencias local en junio y el nacional en octubre. Evento local: Pedirle a Victory que"&amp;" ayude a organizar el evento Stands de organizaciones para saber qué hacen Invitar personalidades para que hagan llamativo el evento")</f>
        <v>Organizar un Gran encuentro internacional de experiencias LGBTI, posiblemente en el mes de junio para que sea después del encuentro local y el nacional. Encuentro de experiencias local en junio y el nacional en octubre. Evento local: Pedirle a Victory que ayude a organizar el evento Stands de organizaciones para saber qué hacen Invitar personalidades para que hagan llamativo el evento</v>
      </c>
      <c r="G3035" s="25" t="str">
        <f ca="1">IFERROR(__xludf.DUMMYFUNCTION("""COMPUTED_VALUE"""),"99. Distrito")</f>
        <v>99. Distrito</v>
      </c>
      <c r="H3035" s="55">
        <f ca="1">IFERROR(__xludf.DUMMYFUNCTION("""COMPUTED_VALUE"""),45220)</f>
        <v>45220</v>
      </c>
      <c r="I3035" s="25"/>
      <c r="J3035" s="55" t="str">
        <f ca="1">IFERROR(__xludf.DUMMYFUNCTION("""COMPUTED_VALUE"""),"Baja")</f>
        <v>Baja</v>
      </c>
      <c r="K3035" s="25">
        <f ca="1">IFERROR(__xludf.DUMMYFUNCTION("""COMPUTED_VALUE"""),858)</f>
        <v>858</v>
      </c>
      <c r="L3035" s="62">
        <f ca="1">IFERROR(__xludf.DUMMYFUNCTION("""COMPUTED_VALUE"""),44499)</f>
        <v>44499</v>
      </c>
      <c r="M3035" s="25" t="str">
        <f ca="1">IFERROR(__xludf.DUMMYFUNCTION("""COMPUTED_VALUE"""),"TAREA FINALIZADA 23 DE OCTUBRE: La V versión del Encuentro de Liderazgos Políticos LGBTI de las Américas culminó con éxito el pasado 23 de octubre. La última jornada del encuentro, organizada por la Alcaldía de Bogotá bajo el liderazgo de la Dirección de "&amp;"Diversidad Sexual de la Secretaría de Planeación y de la Dirección de Relaciones Internacionales, contó con la participación de conferencistas internacionales durante la plenaria Lecciones aprendidas durante la pandemia – Gobiernos locales de la región, c"&amp;"omo Cássio Rodrigo de Oliveira Silva, Coordinador de Políticas Públicas LGBTI de São Paulo, Brasil.
 Su participación estuvo acompañada por la Dirección de Relaciones Internacionales, con el fin de generar durante esa plenaria, un espacio de intercambio"&amp;" que visibilizara experiencias y aprendizajes internacionales y regionales sobre gobernabilidad y democracia desde el nivel local, en tiempos de pandemia.
 La jornada también incluía la participación de la alcaldesa Claudia López, a través de un convers"&amp;"atorio con El Espectador, sobre lo que implica ser gobernante durante la pandemia, sin embargo, por motivos de agenda, su participación fue cancelada.")</f>
        <v>TAREA FINALIZADA 23 DE OCTUBRE: La V versión del Encuentro de Liderazgos Políticos LGBTI de las Américas culminó con éxito el pasado 23 de octubre. La última jornada del encuentro, organizada por la Alcaldía de Bogotá bajo el liderazgo de la Dirección de Diversidad Sexual de la Secretaría de Planeación y de la Dirección de Relaciones Internacionales, contó con la participación de conferencistas internacionales durante la plenaria Lecciones aprendidas durante la pandemia – Gobiernos locales de la región, como Cássio Rodrigo de Oliveira Silva, Coordinador de Políticas Públicas LGBTI de São Paulo, Brasil.
 Su participación estuvo acompañada por la Dirección de Relaciones Internacionales, con el fin de generar durante esa plenaria, un espacio de intercambio que visibilizara experiencias y aprendizajes internacionales y regionales sobre gobernabilidad y democracia desde el nivel local, en tiempos de pandemia.
 La jornada también incluía la participación de la alcaldesa Claudia López, a través de un conversatorio con El Espectador, sobre lo que implica ser gobernante durante la pandemia, sin embargo, por motivos de agenda, su participación fue cancelada.</v>
      </c>
      <c r="N3035" s="55">
        <f ca="1">IFERROR(__xludf.DUMMYFUNCTION("""COMPUTED_VALUE"""),44499)</f>
        <v>44499</v>
      </c>
      <c r="O3035" s="25" t="str">
        <f t="shared" ca="1" si="0"/>
        <v>Secretaría General</v>
      </c>
      <c r="P3035" s="25" t="str">
        <f t="shared" si="2"/>
        <v/>
      </c>
      <c r="Q3035" s="25" t="str">
        <f ca="1">IFERROR(__xludf.DUMMYFUNCTION("""COMPUTED_VALUE"""),"Largo plazo")</f>
        <v>Largo plazo</v>
      </c>
      <c r="R3035" s="25"/>
      <c r="S3035" s="55"/>
      <c r="T3035" s="56"/>
      <c r="U3035" s="25"/>
      <c r="V3035" s="25"/>
      <c r="W3035" s="25"/>
      <c r="X3035" s="25"/>
      <c r="Y3035" s="25"/>
      <c r="Z3035" s="25"/>
    </row>
    <row r="3036" spans="1:26" ht="52.5" customHeight="1" x14ac:dyDescent="0.25">
      <c r="A3036" s="25" t="str">
        <f ca="1">IFERROR(__xludf.DUMMYFUNCTION("""COMPUTED_VALUE"""),"Gesti34")</f>
        <v>Gesti34</v>
      </c>
      <c r="B3036" s="25" t="str">
        <f ca="1">IFERROR(__xludf.DUMMYFUNCTION("""COMPUTED_VALUE"""),"Consejo Consultivo LGBTI")</f>
        <v>Consejo Consultivo LGBTI</v>
      </c>
      <c r="C3036" s="55">
        <f ca="1">IFERROR(__xludf.DUMMYFUNCTION("""COMPUTED_VALUE"""),44362)</f>
        <v>44362</v>
      </c>
      <c r="D3036" s="25" t="str">
        <f ca="1">IFERROR(__xludf.DUMMYFUNCTION("""COMPUTED_VALUE"""),"Gestión_Pública")</f>
        <v>Gestión_Pública</v>
      </c>
      <c r="E3036" s="25" t="str">
        <f ca="1">IFERROR(__xludf.DUMMYFUNCTION("""COMPUTED_VALUE"""),"Secretaría General")</f>
        <v>Secretaría General</v>
      </c>
      <c r="F3036" s="25" t="str">
        <f ca="1">IFERROR(__xludf.DUMMYFUNCTION("""COMPUTED_VALUE"""),"Organizar la cedulación de las personas Trans (aprox 2,000) ")</f>
        <v xml:space="preserve">Organizar la cedulación de las personas Trans (aprox 2,000) </v>
      </c>
      <c r="G3036" s="25" t="str">
        <f ca="1">IFERROR(__xludf.DUMMYFUNCTION("""COMPUTED_VALUE"""),"99. Distrito")</f>
        <v>99. Distrito</v>
      </c>
      <c r="H3036" s="55">
        <f ca="1">IFERROR(__xludf.DUMMYFUNCTION("""COMPUTED_VALUE"""),44392)</f>
        <v>44392</v>
      </c>
      <c r="I3036" s="25"/>
      <c r="J3036" s="55" t="str">
        <f ca="1">IFERROR(__xludf.DUMMYFUNCTION("""COMPUTED_VALUE"""),"Alta")</f>
        <v>Alta</v>
      </c>
      <c r="K3036" s="25">
        <f ca="1">IFERROR(__xludf.DUMMYFUNCTION("""COMPUTED_VALUE"""),30)</f>
        <v>30</v>
      </c>
      <c r="L3036" s="62">
        <f ca="1">IFERROR(__xludf.DUMMYFUNCTION("""COMPUTED_VALUE"""),44540)</f>
        <v>44540</v>
      </c>
      <c r="M3036" s="25" t="str">
        <f ca="1">IFERROR(__xludf.DUMMYFUNCTION("""COMPUTED_VALUE"""),"En el nuevo plan de acción quedaron 2040 procesos de cedulación acompañados por SDIS durante los 12 años siguientes. Con esto daríamos cumplimiento al compromiso establecido y se formaliza a través del CONPES de la PP LGBTI.")</f>
        <v>En el nuevo plan de acción quedaron 2040 procesos de cedulación acompañados por SDIS durante los 12 años siguientes. Con esto daríamos cumplimiento al compromiso establecido y se formaliza a través del CONPES de la PP LGBTI.</v>
      </c>
      <c r="N3036" s="55">
        <f ca="1">IFERROR(__xludf.DUMMYFUNCTION("""COMPUTED_VALUE"""),44540)</f>
        <v>44540</v>
      </c>
      <c r="O3036" s="25" t="str">
        <f t="shared" ca="1" si="0"/>
        <v>Secretaría General</v>
      </c>
      <c r="P3036" s="25" t="str">
        <f t="shared" si="2"/>
        <v/>
      </c>
      <c r="Q3036" s="25" t="str">
        <f ca="1">IFERROR(__xludf.DUMMYFUNCTION("""COMPUTED_VALUE"""),"Corto plazo")</f>
        <v>Corto plazo</v>
      </c>
      <c r="R3036" s="25"/>
      <c r="S3036" s="55"/>
      <c r="T3036" s="56"/>
      <c r="U3036" s="25"/>
      <c r="V3036" s="25"/>
      <c r="W3036" s="25"/>
      <c r="X3036" s="25"/>
      <c r="Y3036" s="25"/>
      <c r="Z3036" s="25"/>
    </row>
    <row r="3037" spans="1:26" ht="52.5" customHeight="1" x14ac:dyDescent="0.25">
      <c r="A3037" s="25" t="str">
        <f ca="1">IFERROR(__xludf.DUMMYFUNCTION("""COMPUTED_VALUE"""),"Gesti35")</f>
        <v>Gesti35</v>
      </c>
      <c r="B3037" s="25" t="str">
        <f ca="1">IFERROR(__xludf.DUMMYFUNCTION("""COMPUTED_VALUE"""),"Reunión Registraduría ")</f>
        <v xml:space="preserve">Reunión Registraduría </v>
      </c>
      <c r="C3037" s="55">
        <f ca="1">IFERROR(__xludf.DUMMYFUNCTION("""COMPUTED_VALUE"""),44377)</f>
        <v>44377</v>
      </c>
      <c r="D3037" s="25" t="str">
        <f ca="1">IFERROR(__xludf.DUMMYFUNCTION("""COMPUTED_VALUE"""),"Gestión_Pública")</f>
        <v>Gestión_Pública</v>
      </c>
      <c r="E3037" s="25" t="str">
        <f ca="1">IFERROR(__xludf.DUMMYFUNCTION("""COMPUTED_VALUE"""),"Secretaría General")</f>
        <v>Secretaría General</v>
      </c>
      <c r="F3037" s="25" t="str">
        <f ca="1">IFERROR(__xludf.DUMMYFUNCTION("""COMPUTED_VALUE"""),"Concretar los convenios entre la Sec. General y la Registraduría")</f>
        <v>Concretar los convenios entre la Sec. General y la Registraduría</v>
      </c>
      <c r="G3037" s="25" t="str">
        <f ca="1">IFERROR(__xludf.DUMMYFUNCTION("""COMPUTED_VALUE"""),"99. Distrito")</f>
        <v>99. Distrito</v>
      </c>
      <c r="H3037" s="55">
        <f ca="1">IFERROR(__xludf.DUMMYFUNCTION("""COMPUTED_VALUE"""),44407)</f>
        <v>44407</v>
      </c>
      <c r="I3037" s="25"/>
      <c r="J3037" s="55" t="str">
        <f ca="1">IFERROR(__xludf.DUMMYFUNCTION("""COMPUTED_VALUE"""),"Alta")</f>
        <v>Alta</v>
      </c>
      <c r="K3037" s="25">
        <f ca="1">IFERROR(__xludf.DUMMYFUNCTION("""COMPUTED_VALUE"""),30)</f>
        <v>30</v>
      </c>
      <c r="L3037" s="62">
        <f ca="1">IFERROR(__xludf.DUMMYFUNCTION("""COMPUTED_VALUE"""),44385)</f>
        <v>44385</v>
      </c>
      <c r="M3037" s="25" t="str">
        <f ca="1">IFERROR(__xludf.DUMMYFUNCTION("""COMPUTED_VALUE"""),"Tarea cumplida. El 27 de abril se suscribió el Convenio No. 761 de 2021 con la Registraduría Nacional del Estado Civil con el objeto de ""Aunar esfuerzos para garantizar la orientación o información o prestación de servicios o realización de trámites que "&amp;"ofrece La Registraduría Nacional del Estado Civil en forma oportuna, eficiente y eficaz a la ciudadanía que hace uso de los canales de atención de la Red CADE.""")</f>
        <v>Tarea cumplida. El 27 de abril se suscribió el Convenio No. 761 de 2021 con la Registraduría Nacional del Estado Civil con el objeto de "Aunar esfuerzos para garantizar la orientación o información o prestación de servicios o realización de trámites que ofrece La Registraduría Nacional del Estado Civil en forma oportuna, eficiente y eficaz a la ciudadanía que hace uso de los canales de atención de la Red CADE."</v>
      </c>
      <c r="N3037" s="55">
        <f ca="1">IFERROR(__xludf.DUMMYFUNCTION("""COMPUTED_VALUE"""),44385)</f>
        <v>44385</v>
      </c>
      <c r="O3037" s="25" t="str">
        <f t="shared" ca="1" si="0"/>
        <v>Secretaría General</v>
      </c>
      <c r="P3037" s="25" t="str">
        <f t="shared" si="2"/>
        <v/>
      </c>
      <c r="Q3037" s="25" t="str">
        <f ca="1">IFERROR(__xludf.DUMMYFUNCTION("""COMPUTED_VALUE"""),"Corto plazo")</f>
        <v>Corto plazo</v>
      </c>
      <c r="R3037" s="25"/>
      <c r="S3037" s="55"/>
      <c r="T3037" s="56"/>
      <c r="U3037" s="25"/>
      <c r="V3037" s="25"/>
      <c r="W3037" s="25"/>
      <c r="X3037" s="25"/>
      <c r="Y3037" s="25"/>
      <c r="Z3037" s="25"/>
    </row>
    <row r="3038" spans="1:26" ht="52.5" customHeight="1" x14ac:dyDescent="0.25">
      <c r="A3038" s="25" t="str">
        <f ca="1">IFERROR(__xludf.DUMMYFUNCTION("""COMPUTED_VALUE"""),"Gesti36")</f>
        <v>Gesti36</v>
      </c>
      <c r="B3038" s="25" t="str">
        <f ca="1">IFERROR(__xludf.DUMMYFUNCTION("""COMPUTED_VALUE"""),"Comité de Justicia Transicional")</f>
        <v>Comité de Justicia Transicional</v>
      </c>
      <c r="C3038" s="55">
        <f ca="1">IFERROR(__xludf.DUMMYFUNCTION("""COMPUTED_VALUE"""),44383)</f>
        <v>44383</v>
      </c>
      <c r="D3038" s="25" t="str">
        <f ca="1">IFERROR(__xludf.DUMMYFUNCTION("""COMPUTED_VALUE"""),"Gestión_Pública")</f>
        <v>Gestión_Pública</v>
      </c>
      <c r="E3038" s="25" t="str">
        <f ca="1">IFERROR(__xludf.DUMMYFUNCTION("""COMPUTED_VALUE"""),"Secretaría General")</f>
        <v>Secretaría General</v>
      </c>
      <c r="F3038" s="25" t="str">
        <f ca="1">IFERROR(__xludf.DUMMYFUNCTION("""COMPUTED_VALUE"""),"Realizar una reunión entre la mesa Distrital de Víctimas, la Alta Consejería y la Sec. de Habitat para que les expliquen la oferta de vivienda para las víctimas")</f>
        <v>Realizar una reunión entre la mesa Distrital de Víctimas, la Alta Consejería y la Sec. de Habitat para que les expliquen la oferta de vivienda para las víctimas</v>
      </c>
      <c r="G3038" s="25" t="str">
        <f ca="1">IFERROR(__xludf.DUMMYFUNCTION("""COMPUTED_VALUE"""),"99. Distrito")</f>
        <v>99. Distrito</v>
      </c>
      <c r="H3038" s="55">
        <f ca="1">IFERROR(__xludf.DUMMYFUNCTION("""COMPUTED_VALUE"""),44413)</f>
        <v>44413</v>
      </c>
      <c r="I3038" s="25"/>
      <c r="J3038" s="55" t="str">
        <f ca="1">IFERROR(__xludf.DUMMYFUNCTION("""COMPUTED_VALUE"""),"Alta")</f>
        <v>Alta</v>
      </c>
      <c r="K3038" s="25">
        <f ca="1">IFERROR(__xludf.DUMMYFUNCTION("""COMPUTED_VALUE"""),30)</f>
        <v>30</v>
      </c>
      <c r="L3038" s="62">
        <f ca="1">IFERROR(__xludf.DUMMYFUNCTION("""COMPUTED_VALUE"""),44412)</f>
        <v>44412</v>
      </c>
      <c r="M3038" s="25" t="str">
        <f ca="1">IFERROR(__xludf.DUMMYFUNCTION("""COMPUTED_VALUE"""),"Se realizó reunión presencial el día 4/08/2021 en donde la Secretaria Distrital de Hábitat socializar la oferta de servicios a la comunidad víctima del conflicto armado a los delegados de la Mesa Distrital de Víctimas. Producto de este espacio se desarrol"&amp;"ló una jornada con el objetivo de socializar a población víctima del conflicto armado de las Mesas de Enfoque Diferencial y Mesa Distrital, la oferta de subsidios de vivienda, ruta de acceso y beneficios, esto se realizó en un espacio autónomo de la Secre"&amp;"taría Distrital de Hábitat, es decir, fuera de las sesiones ordinarias de las mesas de participación.
 Avance 100%")</f>
        <v>Se realizó reunión presencial el día 4/08/2021 en donde la Secretaria Distrital de Hábitat socializar la oferta de servicios a la comunidad víctima del conflicto armado a los delegados de la Mesa Distrital de Víctimas. Producto de este espacio se desarrolló una jornada con el objetivo de socializar a población víctima del conflicto armado de las Mesas de Enfoque Diferencial y Mesa Distrital, la oferta de subsidios de vivienda, ruta de acceso y beneficios, esto se realizó en un espacio autónomo de la Secretaría Distrital de Hábitat, es decir, fuera de las sesiones ordinarias de las mesas de participación.
 Avance 100%</v>
      </c>
      <c r="N3038" s="55">
        <f ca="1">IFERROR(__xludf.DUMMYFUNCTION("""COMPUTED_VALUE"""),44412)</f>
        <v>44412</v>
      </c>
      <c r="O3038" s="25" t="str">
        <f t="shared" ca="1" si="0"/>
        <v>Secretaría General</v>
      </c>
      <c r="P3038" s="25" t="str">
        <f t="shared" si="2"/>
        <v/>
      </c>
      <c r="Q3038" s="25" t="str">
        <f ca="1">IFERROR(__xludf.DUMMYFUNCTION("""COMPUTED_VALUE"""),"Corto plazo")</f>
        <v>Corto plazo</v>
      </c>
      <c r="R3038" s="25"/>
      <c r="S3038" s="55"/>
      <c r="T3038" s="56"/>
      <c r="U3038" s="25"/>
      <c r="V3038" s="25"/>
      <c r="W3038" s="25"/>
      <c r="X3038" s="25"/>
      <c r="Y3038" s="25"/>
      <c r="Z3038" s="25"/>
    </row>
    <row r="3039" spans="1:26" ht="52.5" customHeight="1" x14ac:dyDescent="0.25">
      <c r="A3039" s="25" t="str">
        <f ca="1">IFERROR(__xludf.DUMMYFUNCTION("""COMPUTED_VALUE"""),"Gesti37")</f>
        <v>Gesti37</v>
      </c>
      <c r="B3039" s="25" t="str">
        <f ca="1">IFERROR(__xludf.DUMMYFUNCTION("""COMPUTED_VALUE"""),"Recorrido Kennedy")</f>
        <v>Recorrido Kennedy</v>
      </c>
      <c r="C3039" s="55">
        <f ca="1">IFERROR(__xludf.DUMMYFUNCTION("""COMPUTED_VALUE"""),44387)</f>
        <v>44387</v>
      </c>
      <c r="D3039" s="25" t="str">
        <f ca="1">IFERROR(__xludf.DUMMYFUNCTION("""COMPUTED_VALUE"""),"Gestión_Pública")</f>
        <v>Gestión_Pública</v>
      </c>
      <c r="E3039" s="25" t="str">
        <f ca="1">IFERROR(__xludf.DUMMYFUNCTION("""COMPUTED_VALUE"""),"Alta Consejería para los Derechos de las Víctimas")</f>
        <v>Alta Consejería para los Derechos de las Víctimas</v>
      </c>
      <c r="F3039" s="25" t="str">
        <f ca="1">IFERROR(__xludf.DUMMYFUNCTION("""COMPUTED_VALUE"""),"Hacer un plan de expansión de los Museo urbano de la memoria - Alta Consejería de Paz, Víctimas y Reconciliación")</f>
        <v>Hacer un plan de expansión de los Museo urbano de la memoria - Alta Consejería de Paz, Víctimas y Reconciliación</v>
      </c>
      <c r="G3039" s="25" t="str">
        <f ca="1">IFERROR(__xludf.DUMMYFUNCTION("""COMPUTED_VALUE"""),"99. Distrito")</f>
        <v>99. Distrito</v>
      </c>
      <c r="H3039" s="55">
        <f ca="1">IFERROR(__xludf.DUMMYFUNCTION("""COMPUTED_VALUE"""),44417)</f>
        <v>44417</v>
      </c>
      <c r="I3039" s="25"/>
      <c r="J3039" s="55" t="str">
        <f ca="1">IFERROR(__xludf.DUMMYFUNCTION("""COMPUTED_VALUE"""),"Alta")</f>
        <v>Alta</v>
      </c>
      <c r="K3039" s="25">
        <f ca="1">IFERROR(__xludf.DUMMYFUNCTION("""COMPUTED_VALUE"""),30)</f>
        <v>30</v>
      </c>
      <c r="L3039" s="62">
        <f ca="1">IFERROR(__xludf.DUMMYFUNCTION("""COMPUTED_VALUE"""),44696)</f>
        <v>44696</v>
      </c>
      <c r="M3039" s="25" t="str">
        <f ca="1">IFERROR(__xludf.DUMMYFUNCTION("""COMPUTED_VALUE"""),"Se realizó revisión y aprobación del informe Expansión de los Museos Urbanos de la Memoria en Bogotá por parte del Alto Consejero de Paz Victimas y Reconciliación, el cual resume la gestión realizada  con las comunidades y artistas urbanos de diferentes l"&amp;"ocalidades de Bogotá por la Alta Consejería durante los años 2020 y 2021, promoviendo la reflexión en torno a los hechos victimizantes que se han vivido a lo largo y ancho del país.    
Avance 100%
")</f>
        <v xml:space="preserve">Se realizó revisión y aprobación del informe Expansión de los Museos Urbanos de la Memoria en Bogotá por parte del Alto Consejero de Paz Victimas y Reconciliación, el cual resume la gestión realizada  con las comunidades y artistas urbanos de diferentes localidades de Bogotá por la Alta Consejería durante los años 2020 y 2021, promoviendo la reflexión en torno a los hechos victimizantes que se han vivido a lo largo y ancho del país.    
Avance 100%
</v>
      </c>
      <c r="N3039" s="55">
        <f ca="1">IFERROR(__xludf.DUMMYFUNCTION("""COMPUTED_VALUE"""),44696)</f>
        <v>44696</v>
      </c>
      <c r="O3039" s="25" t="str">
        <f t="shared" ca="1" si="0"/>
        <v>Alta Consejería para los Derechos de las Víctimas</v>
      </c>
      <c r="P3039" s="25" t="str">
        <f t="shared" si="2"/>
        <v/>
      </c>
      <c r="Q3039" s="25" t="str">
        <f ca="1">IFERROR(__xludf.DUMMYFUNCTION("""COMPUTED_VALUE"""),"Corto plazo")</f>
        <v>Corto plazo</v>
      </c>
      <c r="R3039" s="25"/>
      <c r="S3039" s="55"/>
      <c r="T3039" s="56"/>
      <c r="U3039" s="25"/>
      <c r="V3039" s="25"/>
      <c r="W3039" s="25"/>
      <c r="X3039" s="25"/>
      <c r="Y3039" s="25"/>
      <c r="Z3039" s="25"/>
    </row>
    <row r="3040" spans="1:26" ht="52.5" customHeight="1" x14ac:dyDescent="0.25">
      <c r="A3040" s="25" t="str">
        <f ca="1">IFERROR(__xludf.DUMMYFUNCTION("""COMPUTED_VALUE"""),"Gesti38")</f>
        <v>Gesti38</v>
      </c>
      <c r="B3040" s="25" t="str">
        <f ca="1">IFERROR(__xludf.DUMMYFUNCTION("""COMPUTED_VALUE"""),"Consejo Consultivo LGBTI")</f>
        <v>Consejo Consultivo LGBTI</v>
      </c>
      <c r="C3040" s="55">
        <f ca="1">IFERROR(__xludf.DUMMYFUNCTION("""COMPUTED_VALUE"""),44398)</f>
        <v>44398</v>
      </c>
      <c r="D3040" s="25" t="str">
        <f ca="1">IFERROR(__xludf.DUMMYFUNCTION("""COMPUTED_VALUE"""),"Gestión_Pública")</f>
        <v>Gestión_Pública</v>
      </c>
      <c r="E3040" s="25" t="str">
        <f ca="1">IFERROR(__xludf.DUMMYFUNCTION("""COMPUTED_VALUE"""),"Secretaría General")</f>
        <v>Secretaría General</v>
      </c>
      <c r="F3040" s="25" t="str">
        <f ca="1">IFERROR(__xludf.DUMMYFUNCTION("""COMPUTED_VALUE"""),"Revisar si es posible poner el servicio en línea de traslado de registros civil de la población LGBTI . En la actualidad este servicio se presta únicamente en el Supercade de la calle 13")</f>
        <v>Revisar si es posible poner el servicio en línea de traslado de registros civil de la población LGBTI . En la actualidad este servicio se presta únicamente en el Supercade de la calle 13</v>
      </c>
      <c r="G3040" s="25" t="str">
        <f ca="1">IFERROR(__xludf.DUMMYFUNCTION("""COMPUTED_VALUE"""),"99. Distrito")</f>
        <v>99. Distrito</v>
      </c>
      <c r="H3040" s="55">
        <f ca="1">IFERROR(__xludf.DUMMYFUNCTION("""COMPUTED_VALUE"""),44428)</f>
        <v>44428</v>
      </c>
      <c r="I3040" s="25"/>
      <c r="J3040" s="55" t="str">
        <f ca="1">IFERROR(__xludf.DUMMYFUNCTION("""COMPUTED_VALUE"""),"Alta")</f>
        <v>Alta</v>
      </c>
      <c r="K3040" s="25">
        <f ca="1">IFERROR(__xludf.DUMMYFUNCTION("""COMPUTED_VALUE"""),30)</f>
        <v>30</v>
      </c>
      <c r="L3040" s="62">
        <f ca="1">IFERROR(__xludf.DUMMYFUNCTION("""COMPUTED_VALUE"""),44861)</f>
        <v>44861</v>
      </c>
      <c r="M3040" s="25" t="str">
        <f ca="1">IFERROR(__xludf.DUMMYFUNCTION("""COMPUTED_VALUE"""),"
27/10/2022: Se solicitó la modificación de convenio interadministrativo publicado y en ejecución")</f>
        <v xml:space="preserve">
27/10/2022: Se solicitó la modificación de convenio interadministrativo publicado y en ejecución</v>
      </c>
      <c r="N3040" s="55">
        <f ca="1">IFERROR(__xludf.DUMMYFUNCTION("""COMPUTED_VALUE"""),44861)</f>
        <v>44861</v>
      </c>
      <c r="O3040" s="25" t="str">
        <f t="shared" ca="1" si="0"/>
        <v>Secretaría General</v>
      </c>
      <c r="P3040" s="25" t="str">
        <f t="shared" si="2"/>
        <v/>
      </c>
      <c r="Q3040" s="25" t="str">
        <f ca="1">IFERROR(__xludf.DUMMYFUNCTION("""COMPUTED_VALUE"""),"Corto plazo")</f>
        <v>Corto plazo</v>
      </c>
      <c r="R3040" s="25"/>
      <c r="S3040" s="55"/>
      <c r="T3040" s="56"/>
      <c r="U3040" s="25"/>
      <c r="V3040" s="25"/>
      <c r="W3040" s="25"/>
      <c r="X3040" s="25"/>
      <c r="Y3040" s="25"/>
      <c r="Z3040" s="25"/>
    </row>
    <row r="3041" spans="1:26" ht="52.5" customHeight="1" x14ac:dyDescent="0.25">
      <c r="A3041" s="25" t="str">
        <f ca="1">IFERROR(__xludf.DUMMYFUNCTION("""COMPUTED_VALUE"""),"Gesti39")</f>
        <v>Gesti39</v>
      </c>
      <c r="B3041" s="25" t="str">
        <f ca="1">IFERROR(__xludf.DUMMYFUNCTION("""COMPUTED_VALUE"""),"Reunión con comunicaciones")</f>
        <v>Reunión con comunicaciones</v>
      </c>
      <c r="C3041" s="55">
        <f ca="1">IFERROR(__xludf.DUMMYFUNCTION("""COMPUTED_VALUE"""),44404)</f>
        <v>44404</v>
      </c>
      <c r="D3041" s="25" t="str">
        <f ca="1">IFERROR(__xludf.DUMMYFUNCTION("""COMPUTED_VALUE"""),"Gestión_Pública")</f>
        <v>Gestión_Pública</v>
      </c>
      <c r="E3041" s="25" t="str">
        <f ca="1">IFERROR(__xludf.DUMMYFUNCTION("""COMPUTED_VALUE"""),"Secretaría General")</f>
        <v>Secretaría General</v>
      </c>
      <c r="F3041" s="25" t="str">
        <f ca="1">IFERROR(__xludf.DUMMYFUNCTION("""COMPUTED_VALUE"""),"Sacar el Top 5 de las entidades con mayor alcance de sus cuentas en redes sociales")</f>
        <v>Sacar el Top 5 de las entidades con mayor alcance de sus cuentas en redes sociales</v>
      </c>
      <c r="G3041" s="25" t="str">
        <f ca="1">IFERROR(__xludf.DUMMYFUNCTION("""COMPUTED_VALUE"""),"99. Distrito")</f>
        <v>99. Distrito</v>
      </c>
      <c r="H3041" s="55">
        <f ca="1">IFERROR(__xludf.DUMMYFUNCTION("""COMPUTED_VALUE"""),44434)</f>
        <v>44434</v>
      </c>
      <c r="I3041" s="25"/>
      <c r="J3041" s="55" t="str">
        <f ca="1">IFERROR(__xludf.DUMMYFUNCTION("""COMPUTED_VALUE"""),"Alta")</f>
        <v>Alta</v>
      </c>
      <c r="K3041" s="25">
        <f ca="1">IFERROR(__xludf.DUMMYFUNCTION("""COMPUTED_VALUE"""),30)</f>
        <v>30</v>
      </c>
      <c r="L3041" s="62">
        <f ca="1">IFERROR(__xludf.DUMMYFUNCTION("""COMPUTED_VALUE"""),44620)</f>
        <v>44620</v>
      </c>
      <c r="M3041" s="25" t="str">
        <f ca="1">IFERROR(__xludf.DUMMYFUNCTION("""COMPUTED_VALUE"""),"28/02/2022: La Oficina Consejería de Comunicaciones consolidó en una presentación el top 5 de las entidades con mayor tráfico en  su página web, y un listado con el top 5 de entidades con mayor alcance en redes sociales.
Se generaron los archivos: 1. TOP "&amp;"5 TRÁFICO PORTALES DISTRITO. 2. TOP 5 ALCANCE REDES SOCIALES DISTRITO.")</f>
        <v>28/02/2022: La Oficina Consejería de Comunicaciones consolidó en una presentación el top 5 de las entidades con mayor tráfico en  su página web, y un listado con el top 5 de entidades con mayor alcance en redes sociales.
Se generaron los archivos: 1. TOP 5 TRÁFICO PORTALES DISTRITO. 2. TOP 5 ALCANCE REDES SOCIALES DISTRITO.</v>
      </c>
      <c r="N3041" s="55">
        <f ca="1">IFERROR(__xludf.DUMMYFUNCTION("""COMPUTED_VALUE"""),44620)</f>
        <v>44620</v>
      </c>
      <c r="O3041" s="25" t="str">
        <f t="shared" ca="1" si="0"/>
        <v>Secretaría General</v>
      </c>
      <c r="P3041" s="25" t="str">
        <f t="shared" si="2"/>
        <v/>
      </c>
      <c r="Q3041" s="25" t="str">
        <f ca="1">IFERROR(__xludf.DUMMYFUNCTION("""COMPUTED_VALUE"""),"Corto plazo")</f>
        <v>Corto plazo</v>
      </c>
      <c r="R3041" s="25"/>
      <c r="S3041" s="55"/>
      <c r="T3041" s="56"/>
      <c r="U3041" s="25"/>
      <c r="V3041" s="25"/>
      <c r="W3041" s="25"/>
      <c r="X3041" s="25"/>
      <c r="Y3041" s="25"/>
      <c r="Z3041" s="25"/>
    </row>
    <row r="3042" spans="1:26" ht="52.5" customHeight="1" x14ac:dyDescent="0.25">
      <c r="A3042" s="25" t="str">
        <f ca="1">IFERROR(__xludf.DUMMYFUNCTION("""COMPUTED_VALUE"""),"Gesti40")</f>
        <v>Gesti40</v>
      </c>
      <c r="B3042" s="25" t="str">
        <f ca="1">IFERROR(__xludf.DUMMYFUNCTION("""COMPUTED_VALUE"""),"Reunión con comunicaciones")</f>
        <v>Reunión con comunicaciones</v>
      </c>
      <c r="C3042" s="55">
        <f ca="1">IFERROR(__xludf.DUMMYFUNCTION("""COMPUTED_VALUE"""),44404)</f>
        <v>44404</v>
      </c>
      <c r="D3042" s="25" t="str">
        <f ca="1">IFERROR(__xludf.DUMMYFUNCTION("""COMPUTED_VALUE"""),"Gestión_Pública")</f>
        <v>Gestión_Pública</v>
      </c>
      <c r="E3042" s="25" t="str">
        <f ca="1">IFERROR(__xludf.DUMMYFUNCTION("""COMPUTED_VALUE"""),"Secretaría General")</f>
        <v>Secretaría General</v>
      </c>
      <c r="F3042" s="25" t="str">
        <f ca="1">IFERROR(__xludf.DUMMYFUNCTION("""COMPUTED_VALUE"""),"Acumular las bases de datos de las entidades")</f>
        <v>Acumular las bases de datos de las entidades</v>
      </c>
      <c r="G3042" s="25" t="str">
        <f ca="1">IFERROR(__xludf.DUMMYFUNCTION("""COMPUTED_VALUE"""),"99. Distrito")</f>
        <v>99. Distrito</v>
      </c>
      <c r="H3042" s="55">
        <f ca="1">IFERROR(__xludf.DUMMYFUNCTION("""COMPUTED_VALUE"""),44434)</f>
        <v>44434</v>
      </c>
      <c r="I3042" s="25"/>
      <c r="J3042" s="55" t="str">
        <f ca="1">IFERROR(__xludf.DUMMYFUNCTION("""COMPUTED_VALUE"""),"Alta")</f>
        <v>Alta</v>
      </c>
      <c r="K3042" s="25">
        <f ca="1">IFERROR(__xludf.DUMMYFUNCTION("""COMPUTED_VALUE"""),30)</f>
        <v>30</v>
      </c>
      <c r="L3042" s="62">
        <f ca="1">IFERROR(__xludf.DUMMYFUNCTION("""COMPUTED_VALUE"""),44620)</f>
        <v>44620</v>
      </c>
      <c r="M3042" s="25" t="str">
        <f ca="1">IFERROR(__xludf.DUMMYFUNCTION("""COMPUTED_VALUE"""),"28/02/2022: la Oficina Consejería de Comunicaciones consolidó la Base de Datos de Jefes de Comunicación del Distrito.
1. BD - Jefes de comunicaciones del distrito")</f>
        <v>28/02/2022: la Oficina Consejería de Comunicaciones consolidó la Base de Datos de Jefes de Comunicación del Distrito.
1. BD - Jefes de comunicaciones del distrito</v>
      </c>
      <c r="N3042" s="55">
        <f ca="1">IFERROR(__xludf.DUMMYFUNCTION("""COMPUTED_VALUE"""),44620)</f>
        <v>44620</v>
      </c>
      <c r="O3042" s="25" t="str">
        <f t="shared" ca="1" si="0"/>
        <v>Secretaría General</v>
      </c>
      <c r="P3042" s="25" t="str">
        <f t="shared" si="2"/>
        <v/>
      </c>
      <c r="Q3042" s="25" t="str">
        <f ca="1">IFERROR(__xludf.DUMMYFUNCTION("""COMPUTED_VALUE"""),"Corto plazo")</f>
        <v>Corto plazo</v>
      </c>
      <c r="R3042" s="25"/>
      <c r="S3042" s="55"/>
      <c r="T3042" s="56"/>
      <c r="U3042" s="25"/>
      <c r="V3042" s="25"/>
      <c r="W3042" s="25"/>
      <c r="X3042" s="25"/>
      <c r="Y3042" s="25"/>
      <c r="Z3042" s="25"/>
    </row>
    <row r="3043" spans="1:26" ht="52.5" customHeight="1" x14ac:dyDescent="0.25">
      <c r="A3043" s="25" t="str">
        <f ca="1">IFERROR(__xludf.DUMMYFUNCTION("""COMPUTED_VALUE"""),"Gesti41")</f>
        <v>Gesti41</v>
      </c>
      <c r="B3043" s="25" t="str">
        <f ca="1">IFERROR(__xludf.DUMMYFUNCTION("""COMPUTED_VALUE"""),"Reunión BID")</f>
        <v>Reunión BID</v>
      </c>
      <c r="C3043" s="55">
        <f ca="1">IFERROR(__xludf.DUMMYFUNCTION("""COMPUTED_VALUE"""),44410)</f>
        <v>44410</v>
      </c>
      <c r="D3043" s="25" t="str">
        <f ca="1">IFERROR(__xludf.DUMMYFUNCTION("""COMPUTED_VALUE"""),"Gestión_Pública")</f>
        <v>Gestión_Pública</v>
      </c>
      <c r="E3043" s="25" t="str">
        <f ca="1">IFERROR(__xludf.DUMMYFUNCTION("""COMPUTED_VALUE"""),"Secretaría General")</f>
        <v>Secretaría General</v>
      </c>
      <c r="F3043" s="25" t="str">
        <f ca="1">IFERROR(__xludf.DUMMYFUNCTION("""COMPUTED_VALUE"""),"Hacer un plan con recursos definidos para programas con el BID: mujeres migrantes, validación de títulos, sistema distrital de cuidado,")</f>
        <v>Hacer un plan con recursos definidos para programas con el BID: mujeres migrantes, validación de títulos, sistema distrital de cuidado,</v>
      </c>
      <c r="G3043" s="25" t="str">
        <f ca="1">IFERROR(__xludf.DUMMYFUNCTION("""COMPUTED_VALUE"""),"99. Distrito")</f>
        <v>99. Distrito</v>
      </c>
      <c r="H3043" s="55">
        <f ca="1">IFERROR(__xludf.DUMMYFUNCTION("""COMPUTED_VALUE"""),44440)</f>
        <v>44440</v>
      </c>
      <c r="I3043" s="25"/>
      <c r="J3043" s="55" t="str">
        <f ca="1">IFERROR(__xludf.DUMMYFUNCTION("""COMPUTED_VALUE"""),"Alta")</f>
        <v>Alta</v>
      </c>
      <c r="K3043" s="25">
        <f ca="1">IFERROR(__xludf.DUMMYFUNCTION("""COMPUTED_VALUE"""),30)</f>
        <v>30</v>
      </c>
      <c r="L3043" s="62">
        <f ca="1">IFERROR(__xludf.DUMMYFUNCTION("""COMPUTED_VALUE"""),44712)</f>
        <v>44712</v>
      </c>
      <c r="M3043" s="25" t="str">
        <f ca="1">IFERROR(__xludf.DUMMYFUNCTION("""COMPUTED_VALUE"""),"Durante este periodo se realizaron las siguientes acciones:
1.-Pilotaje y recolección de información - mapeo diagnóstico:
1.Grupos focales:
-Casa de todas (Karen SDMujer, Directora, Gestoras sociales) 
-Funcionario/as de la SDMujer y otras entidades adscr"&amp;"itas al SIDICU 
-Concejo consultivo de mujeres
2. Entrevistas individuales:
- Referente de discapacidad – SIDICU (Pendiente contacto SDMujer)
-Mujeres Lideresas en la Localidad
-Alcaldía Local de los Mártires
2.- Reunión de reconocimiento de la Localidad "&amp;"–con SDMujer
1.Participación en ferias de servicios para identificación de población meta
2.Necesidades identificadas: distintivos y material de difusión (volantes, folletos, afiches, etc.
3.- Se establecieron herramientas de seguimiento del Piloto
")</f>
        <v xml:space="preserve">Durante este periodo se realizaron las siguientes acciones:
1.-Pilotaje y recolección de información - mapeo diagnóstico:
1.Grupos focales:
-Casa de todas (Karen SDMujer, Directora, Gestoras sociales) 
-Funcionario/as de la SDMujer y otras entidades adscritas al SIDICU 
-Concejo consultivo de mujeres
2. Entrevistas individuales:
- Referente de discapacidad – SIDICU (Pendiente contacto SDMujer)
-Mujeres Lideresas en la Localidad
-Alcaldía Local de los Mártires
2.- Reunión de reconocimiento de la Localidad –con SDMujer
1.Participación en ferias de servicios para identificación de población meta
2.Necesidades identificadas: distintivos y material de difusión (volantes, folletos, afiches, etc.
3.- Se establecieron herramientas de seguimiento del Piloto
</v>
      </c>
      <c r="N3043" s="55">
        <f ca="1">IFERROR(__xludf.DUMMYFUNCTION("""COMPUTED_VALUE"""),44712)</f>
        <v>44712</v>
      </c>
      <c r="O3043" s="25" t="str">
        <f t="shared" ca="1" si="0"/>
        <v>Secretaría General</v>
      </c>
      <c r="P3043" s="25" t="str">
        <f t="shared" si="2"/>
        <v/>
      </c>
      <c r="Q3043" s="25" t="str">
        <f ca="1">IFERROR(__xludf.DUMMYFUNCTION("""COMPUTED_VALUE"""),"Corto plazo")</f>
        <v>Corto plazo</v>
      </c>
      <c r="R3043" s="25"/>
      <c r="S3043" s="55"/>
      <c r="T3043" s="56"/>
      <c r="U3043" s="25"/>
      <c r="V3043" s="25"/>
      <c r="W3043" s="25"/>
      <c r="X3043" s="25"/>
      <c r="Y3043" s="25"/>
      <c r="Z3043" s="25"/>
    </row>
    <row r="3044" spans="1:26" ht="52.5" customHeight="1" x14ac:dyDescent="0.25">
      <c r="A3044" s="25" t="str">
        <f ca="1">IFERROR(__xludf.DUMMYFUNCTION("""COMPUTED_VALUE"""),"Gesti42")</f>
        <v>Gesti42</v>
      </c>
      <c r="B3044" s="25" t="str">
        <f ca="1">IFERROR(__xludf.DUMMYFUNCTION("""COMPUTED_VALUE"""),"Reunión Navidad")</f>
        <v>Reunión Navidad</v>
      </c>
      <c r="C3044" s="55">
        <f ca="1">IFERROR(__xludf.DUMMYFUNCTION("""COMPUTED_VALUE"""),44426)</f>
        <v>44426</v>
      </c>
      <c r="D3044" s="25" t="str">
        <f ca="1">IFERROR(__xludf.DUMMYFUNCTION("""COMPUTED_VALUE"""),"Gestión_Pública")</f>
        <v>Gestión_Pública</v>
      </c>
      <c r="E3044" s="25" t="str">
        <f ca="1">IFERROR(__xludf.DUMMYFUNCTION("""COMPUTED_VALUE"""),"Secretaría General")</f>
        <v>Secretaría General</v>
      </c>
      <c r="F3044" s="25" t="str">
        <f ca="1">IFERROR(__xludf.DUMMYFUNCTION("""COMPUTED_VALUE"""),"Iniciar la navidad desde el 27 de noviembre donde todos los fines existan actividades realizadas por las entidades. Verificar cronograma de actividades")</f>
        <v>Iniciar la navidad desde el 27 de noviembre donde todos los fines existan actividades realizadas por las entidades. Verificar cronograma de actividades</v>
      </c>
      <c r="G3044" s="25" t="str">
        <f ca="1">IFERROR(__xludf.DUMMYFUNCTION("""COMPUTED_VALUE"""),"99. Distrito")</f>
        <v>99. Distrito</v>
      </c>
      <c r="H3044" s="55">
        <f ca="1">IFERROR(__xludf.DUMMYFUNCTION("""COMPUTED_VALUE"""),44456)</f>
        <v>44456</v>
      </c>
      <c r="I3044" s="25"/>
      <c r="J3044" s="55" t="str">
        <f ca="1">IFERROR(__xludf.DUMMYFUNCTION("""COMPUTED_VALUE"""),"Alta")</f>
        <v>Alta</v>
      </c>
      <c r="K3044" s="25">
        <f ca="1">IFERROR(__xludf.DUMMYFUNCTION("""COMPUTED_VALUE"""),30)</f>
        <v>30</v>
      </c>
      <c r="L3044" s="62">
        <f ca="1">IFERROR(__xludf.DUMMYFUNCTION("""COMPUTED_VALUE"""),44530)</f>
        <v>44530</v>
      </c>
      <c r="M3044" s="25" t="str">
        <f ca="1">IFERROR(__xludf.DUMMYFUNCTION("""COMPUTED_VALUE"""),"Se realizó evento de encendido de la iluminación el pasado 27 de noviembre de 2021. Igualmente, se consolidó la agenda de ciudad de la navidad que cuenta con eventos de entidades del distrito.  
")</f>
        <v xml:space="preserve">Se realizó evento de encendido de la iluminación el pasado 27 de noviembre de 2021. Igualmente, se consolidó la agenda de ciudad de la navidad que cuenta con eventos de entidades del distrito.  
</v>
      </c>
      <c r="N3044" s="55">
        <f ca="1">IFERROR(__xludf.DUMMYFUNCTION("""COMPUTED_VALUE"""),44530)</f>
        <v>44530</v>
      </c>
      <c r="O3044" s="25" t="str">
        <f t="shared" ca="1" si="0"/>
        <v>Secretaría General</v>
      </c>
      <c r="P3044" s="25" t="str">
        <f t="shared" si="2"/>
        <v/>
      </c>
      <c r="Q3044" s="25" t="str">
        <f ca="1">IFERROR(__xludf.DUMMYFUNCTION("""COMPUTED_VALUE"""),"Corto plazo")</f>
        <v>Corto plazo</v>
      </c>
      <c r="R3044" s="25"/>
      <c r="S3044" s="55"/>
      <c r="T3044" s="56"/>
      <c r="U3044" s="25"/>
      <c r="V3044" s="25"/>
      <c r="W3044" s="25"/>
      <c r="X3044" s="25"/>
      <c r="Y3044" s="25"/>
      <c r="Z3044" s="25"/>
    </row>
    <row r="3045" spans="1:26" ht="52.5" customHeight="1" x14ac:dyDescent="0.25">
      <c r="A3045" s="25" t="str">
        <f ca="1">IFERROR(__xludf.DUMMYFUNCTION("""COMPUTED_VALUE"""),"Gesti43")</f>
        <v>Gesti43</v>
      </c>
      <c r="B3045" s="25" t="str">
        <f ca="1">IFERROR(__xludf.DUMMYFUNCTION("""COMPUTED_VALUE"""),"Reunión Navidad")</f>
        <v>Reunión Navidad</v>
      </c>
      <c r="C3045" s="55">
        <f ca="1">IFERROR(__xludf.DUMMYFUNCTION("""COMPUTED_VALUE"""),44426)</f>
        <v>44426</v>
      </c>
      <c r="D3045" s="25" t="str">
        <f ca="1">IFERROR(__xludf.DUMMYFUNCTION("""COMPUTED_VALUE"""),"Gestión_Pública")</f>
        <v>Gestión_Pública</v>
      </c>
      <c r="E3045" s="25" t="str">
        <f ca="1">IFERROR(__xludf.DUMMYFUNCTION("""COMPUTED_VALUE"""),"Secretaría General")</f>
        <v>Secretaría General</v>
      </c>
      <c r="F3045" s="25" t="str">
        <f ca="1">IFERROR(__xludf.DUMMYFUNCTION("""COMPUTED_VALUE"""),"El 5 de diciembre en el marco de la navidad, después de las elecciones realizar un concierto de jóvenes por la navidad")</f>
        <v>El 5 de diciembre en el marco de la navidad, después de las elecciones realizar un concierto de jóvenes por la navidad</v>
      </c>
      <c r="G3045" s="25" t="str">
        <f ca="1">IFERROR(__xludf.DUMMYFUNCTION("""COMPUTED_VALUE"""),"99. Distrito")</f>
        <v>99. Distrito</v>
      </c>
      <c r="H3045" s="55">
        <f ca="1">IFERROR(__xludf.DUMMYFUNCTION("""COMPUTED_VALUE"""),44456)</f>
        <v>44456</v>
      </c>
      <c r="I3045" s="25"/>
      <c r="J3045" s="55" t="str">
        <f ca="1">IFERROR(__xludf.DUMMYFUNCTION("""COMPUTED_VALUE"""),"Alta")</f>
        <v>Alta</v>
      </c>
      <c r="K3045" s="25">
        <f ca="1">IFERROR(__xludf.DUMMYFUNCTION("""COMPUTED_VALUE"""),30)</f>
        <v>30</v>
      </c>
      <c r="L3045" s="62">
        <f ca="1">IFERROR(__xludf.DUMMYFUNCTION("""COMPUTED_VALUE"""),44530)</f>
        <v>44530</v>
      </c>
      <c r="M3045" s="25" t="str">
        <f ca="1">IFERROR(__xludf.DUMMYFUNCTION("""COMPUTED_VALUE"""),"Se realizará concierto en la Plaza de Bolívar después de las elecciones de los consejos de juventud.
")</f>
        <v xml:space="preserve">Se realizará concierto en la Plaza de Bolívar después de las elecciones de los consejos de juventud.
</v>
      </c>
      <c r="N3045" s="55">
        <f ca="1">IFERROR(__xludf.DUMMYFUNCTION("""COMPUTED_VALUE"""),44530)</f>
        <v>44530</v>
      </c>
      <c r="O3045" s="25" t="str">
        <f t="shared" ca="1" si="0"/>
        <v>Secretaría General</v>
      </c>
      <c r="P3045" s="25" t="str">
        <f t="shared" si="2"/>
        <v/>
      </c>
      <c r="Q3045" s="25" t="str">
        <f ca="1">IFERROR(__xludf.DUMMYFUNCTION("""COMPUTED_VALUE"""),"Corto plazo")</f>
        <v>Corto plazo</v>
      </c>
      <c r="R3045" s="25"/>
      <c r="S3045" s="55"/>
      <c r="T3045" s="56"/>
      <c r="U3045" s="25"/>
      <c r="V3045" s="25"/>
      <c r="W3045" s="25"/>
      <c r="X3045" s="25"/>
      <c r="Y3045" s="25"/>
      <c r="Z3045" s="25"/>
    </row>
    <row r="3046" spans="1:26" ht="52.5" customHeight="1" x14ac:dyDescent="0.25">
      <c r="A3046" s="25" t="str">
        <f ca="1">IFERROR(__xludf.DUMMYFUNCTION("""COMPUTED_VALUE"""),"Gesti44")</f>
        <v>Gesti44</v>
      </c>
      <c r="B3046" s="25" t="str">
        <f ca="1">IFERROR(__xludf.DUMMYFUNCTION("""COMPUTED_VALUE"""),"Reunión Navidad")</f>
        <v>Reunión Navidad</v>
      </c>
      <c r="C3046" s="55">
        <f ca="1">IFERROR(__xludf.DUMMYFUNCTION("""COMPUTED_VALUE"""),44426)</f>
        <v>44426</v>
      </c>
      <c r="D3046" s="25" t="str">
        <f ca="1">IFERROR(__xludf.DUMMYFUNCTION("""COMPUTED_VALUE"""),"Gestión_Pública")</f>
        <v>Gestión_Pública</v>
      </c>
      <c r="E3046" s="25" t="str">
        <f ca="1">IFERROR(__xludf.DUMMYFUNCTION("""COMPUTED_VALUE"""),"Secretaría General")</f>
        <v>Secretaría General</v>
      </c>
      <c r="F3046" s="25" t="str">
        <f ca="1">IFERROR(__xludf.DUMMYFUNCTION("""COMPUTED_VALUE"""),"Sacar adelante durante la navidad la jornada 24/7, que incluya comercios abiertos, refuerzo en medidas de seguridad y horario de transporte.")</f>
        <v>Sacar adelante durante la navidad la jornada 24/7, que incluya comercios abiertos, refuerzo en medidas de seguridad y horario de transporte.</v>
      </c>
      <c r="G3046" s="25" t="str">
        <f ca="1">IFERROR(__xludf.DUMMYFUNCTION("""COMPUTED_VALUE"""),"99. Distrito")</f>
        <v>99. Distrito</v>
      </c>
      <c r="H3046" s="55">
        <f ca="1">IFERROR(__xludf.DUMMYFUNCTION("""COMPUTED_VALUE"""),44456)</f>
        <v>44456</v>
      </c>
      <c r="I3046" s="25"/>
      <c r="J3046" s="55" t="str">
        <f ca="1">IFERROR(__xludf.DUMMYFUNCTION("""COMPUTED_VALUE"""),"Alta")</f>
        <v>Alta</v>
      </c>
      <c r="K3046" s="25">
        <f ca="1">IFERROR(__xludf.DUMMYFUNCTION("""COMPUTED_VALUE"""),30)</f>
        <v>30</v>
      </c>
      <c r="L3046" s="62">
        <f ca="1">IFERROR(__xludf.DUMMYFUNCTION("""COMPUTED_VALUE"""),44530)</f>
        <v>44530</v>
      </c>
      <c r="M3046" s="25" t="str">
        <f ca="1">IFERROR(__xludf.DUMMYFUNCTION("""COMPUTED_VALUE"""),"La Secretaría de Desarrollo Económico ejecutará la estrategia de Bogotá 24/7 durante la temporada navideña. Dentro de la ruta de iluminación habrá ferias de emprendimientos en zonas que hacen parte de esta estrategia.
")</f>
        <v xml:space="preserve">La Secretaría de Desarrollo Económico ejecutará la estrategia de Bogotá 24/7 durante la temporada navideña. Dentro de la ruta de iluminación habrá ferias de emprendimientos en zonas que hacen parte de esta estrategia.
</v>
      </c>
      <c r="N3046" s="55">
        <f ca="1">IFERROR(__xludf.DUMMYFUNCTION("""COMPUTED_VALUE"""),44530)</f>
        <v>44530</v>
      </c>
      <c r="O3046" s="25" t="str">
        <f t="shared" ca="1" si="0"/>
        <v>Secretaría General</v>
      </c>
      <c r="P3046" s="25" t="str">
        <f t="shared" si="2"/>
        <v/>
      </c>
      <c r="Q3046" s="25" t="str">
        <f ca="1">IFERROR(__xludf.DUMMYFUNCTION("""COMPUTED_VALUE"""),"Corto plazo")</f>
        <v>Corto plazo</v>
      </c>
      <c r="R3046" s="25"/>
      <c r="S3046" s="55"/>
      <c r="T3046" s="56"/>
      <c r="U3046" s="25"/>
      <c r="V3046" s="25"/>
      <c r="W3046" s="25"/>
      <c r="X3046" s="25"/>
      <c r="Y3046" s="25"/>
      <c r="Z3046" s="25"/>
    </row>
    <row r="3047" spans="1:26" ht="52.5" customHeight="1" x14ac:dyDescent="0.25">
      <c r="A3047" s="25" t="str">
        <f ca="1">IFERROR(__xludf.DUMMYFUNCTION("""COMPUTED_VALUE"""),"Gesti45")</f>
        <v>Gesti45</v>
      </c>
      <c r="B3047" s="25" t="str">
        <f ca="1">IFERROR(__xludf.DUMMYFUNCTION("""COMPUTED_VALUE"""),"Reunión Navidad")</f>
        <v>Reunión Navidad</v>
      </c>
      <c r="C3047" s="55">
        <f ca="1">IFERROR(__xludf.DUMMYFUNCTION("""COMPUTED_VALUE"""),44426)</f>
        <v>44426</v>
      </c>
      <c r="D3047" s="25" t="str">
        <f ca="1">IFERROR(__xludf.DUMMYFUNCTION("""COMPUTED_VALUE"""),"Gestión_Pública")</f>
        <v>Gestión_Pública</v>
      </c>
      <c r="E3047" s="25" t="str">
        <f ca="1">IFERROR(__xludf.DUMMYFUNCTION("""COMPUTED_VALUE"""),"Secretaría General")</f>
        <v>Secretaría General</v>
      </c>
      <c r="F3047" s="25" t="str">
        <f ca="1">IFERROR(__xludf.DUMMYFUNCTION("""COMPUTED_VALUE"""),"El jueves 23 de septiembre presentar dos propuestas concretas y robustas de navidad. Temática y parrilla de posibles actividades")</f>
        <v>El jueves 23 de septiembre presentar dos propuestas concretas y robustas de navidad. Temática y parrilla de posibles actividades</v>
      </c>
      <c r="G3047" s="25" t="str">
        <f ca="1">IFERROR(__xludf.DUMMYFUNCTION("""COMPUTED_VALUE"""),"99. Distrito")</f>
        <v>99. Distrito</v>
      </c>
      <c r="H3047" s="55">
        <f ca="1">IFERROR(__xludf.DUMMYFUNCTION("""COMPUTED_VALUE"""),44456)</f>
        <v>44456</v>
      </c>
      <c r="I3047" s="25"/>
      <c r="J3047" s="55" t="str">
        <f ca="1">IFERROR(__xludf.DUMMYFUNCTION("""COMPUTED_VALUE"""),"Alta")</f>
        <v>Alta</v>
      </c>
      <c r="K3047" s="25">
        <f ca="1">IFERROR(__xludf.DUMMYFUNCTION("""COMPUTED_VALUE"""),30)</f>
        <v>30</v>
      </c>
      <c r="L3047" s="62">
        <f ca="1">IFERROR(__xludf.DUMMYFUNCTION("""COMPUTED_VALUE"""),44469)</f>
        <v>44469</v>
      </c>
      <c r="M3047" s="25" t="str">
        <f ca="1">IFERROR(__xludf.DUMMYFUNCTION("""COMPUTED_VALUE"""),"Las actividades de navidad se encuentran incluidas en la sábana de eventos compartida por la Oficina Consejería de Comunicaciones.
 El concierto de la juventud y los otros grandes eventos que hacen parte de los hitos y grandes momentos de la temporada nav"&amp;"ideña, serán organizados en los comités de seguimiento al proyecto que se citarán a partir del 15 de octubre, una vez se haga el cierre financiero del proyecto general.")</f>
        <v>Las actividades de navidad se encuentran incluidas en la sábana de eventos compartida por la Oficina Consejería de Comunicaciones.
 El concierto de la juventud y los otros grandes eventos que hacen parte de los hitos y grandes momentos de la temporada navideña, serán organizados en los comités de seguimiento al proyecto que se citarán a partir del 15 de octubre, una vez se haga el cierre financiero del proyecto general.</v>
      </c>
      <c r="N3047" s="55">
        <f ca="1">IFERROR(__xludf.DUMMYFUNCTION("""COMPUTED_VALUE"""),44469)</f>
        <v>44469</v>
      </c>
      <c r="O3047" s="25" t="str">
        <f t="shared" ca="1" si="0"/>
        <v>Secretaría General</v>
      </c>
      <c r="P3047" s="25" t="str">
        <f t="shared" si="2"/>
        <v/>
      </c>
      <c r="Q3047" s="25" t="str">
        <f ca="1">IFERROR(__xludf.DUMMYFUNCTION("""COMPUTED_VALUE"""),"Corto plazo")</f>
        <v>Corto plazo</v>
      </c>
      <c r="R3047" s="25"/>
      <c r="S3047" s="55"/>
      <c r="T3047" s="56"/>
      <c r="U3047" s="25"/>
      <c r="V3047" s="25"/>
      <c r="W3047" s="25"/>
      <c r="X3047" s="25"/>
      <c r="Y3047" s="25"/>
      <c r="Z3047" s="25"/>
    </row>
    <row r="3048" spans="1:26" ht="52.5" customHeight="1" x14ac:dyDescent="0.25">
      <c r="A3048" s="25" t="str">
        <f ca="1">IFERROR(__xludf.DUMMYFUNCTION("""COMPUTED_VALUE"""),"Gesti46")</f>
        <v>Gesti46</v>
      </c>
      <c r="B3048" s="25" t="str">
        <f ca="1">IFERROR(__xludf.DUMMYFUNCTION("""COMPUTED_VALUE"""),"Despachando frentes de seguridad")</f>
        <v>Despachando frentes de seguridad</v>
      </c>
      <c r="C3048" s="55">
        <f ca="1">IFERROR(__xludf.DUMMYFUNCTION("""COMPUTED_VALUE"""),44459)</f>
        <v>44459</v>
      </c>
      <c r="D3048" s="25" t="str">
        <f ca="1">IFERROR(__xludf.DUMMYFUNCTION("""COMPUTED_VALUE"""),"Gestión_Pública")</f>
        <v>Gestión_Pública</v>
      </c>
      <c r="E3048" s="25" t="str">
        <f ca="1">IFERROR(__xludf.DUMMYFUNCTION("""COMPUTED_VALUE"""),"Alta Consejería para las TIC")</f>
        <v>Alta Consejería para las TIC</v>
      </c>
      <c r="F3048" s="25" t="str">
        <f ca="1">IFERROR(__xludf.DUMMYFUNCTION("""COMPUTED_VALUE"""),"Entregar un computador para la señora en la localidad del Bosa donde se pueda almacenar la información de las cámaras de seguridad ")</f>
        <v xml:space="preserve">Entregar un computador para la señora en la localidad del Bosa donde se pueda almacenar la información de las cámaras de seguridad </v>
      </c>
      <c r="G3048" s="25" t="str">
        <f ca="1">IFERROR(__xludf.DUMMYFUNCTION("""COMPUTED_VALUE"""),"99. Distrito")</f>
        <v>99. Distrito</v>
      </c>
      <c r="H3048" s="55">
        <f ca="1">IFERROR(__xludf.DUMMYFUNCTION("""COMPUTED_VALUE"""),44489)</f>
        <v>44489</v>
      </c>
      <c r="I3048" s="25"/>
      <c r="J3048" s="55" t="str">
        <f ca="1">IFERROR(__xludf.DUMMYFUNCTION("""COMPUTED_VALUE"""),"Alta")</f>
        <v>Alta</v>
      </c>
      <c r="K3048" s="25">
        <f ca="1">IFERROR(__xludf.DUMMYFUNCTION("""COMPUTED_VALUE"""),30)</f>
        <v>30</v>
      </c>
      <c r="L3048" s="62">
        <f ca="1">IFERROR(__xludf.DUMMYFUNCTION("""COMPUTED_VALUE"""),44515)</f>
        <v>44515</v>
      </c>
      <c r="M3048" s="25" t="str">
        <f ca="1">IFERROR(__xludf.DUMMYFUNCTION("""COMPUTED_VALUE"""),"Ya se realizó la entrega del computador en articulación entre la Alta Consejería para las TICS y la ETB.")</f>
        <v>Ya se realizó la entrega del computador en articulación entre la Alta Consejería para las TICS y la ETB.</v>
      </c>
      <c r="N3048" s="55">
        <f ca="1">IFERROR(__xludf.DUMMYFUNCTION("""COMPUTED_VALUE"""),44515)</f>
        <v>44515</v>
      </c>
      <c r="O3048" s="25" t="str">
        <f t="shared" ca="1" si="0"/>
        <v>Alta Consejería para las TIC</v>
      </c>
      <c r="P3048" s="25" t="str">
        <f t="shared" si="2"/>
        <v/>
      </c>
      <c r="Q3048" s="25" t="str">
        <f ca="1">IFERROR(__xludf.DUMMYFUNCTION("""COMPUTED_VALUE"""),"Corto plazo")</f>
        <v>Corto plazo</v>
      </c>
      <c r="R3048" s="25"/>
      <c r="S3048" s="55"/>
      <c r="T3048" s="56"/>
      <c r="U3048" s="25"/>
      <c r="V3048" s="25"/>
      <c r="W3048" s="25"/>
      <c r="X3048" s="25"/>
      <c r="Y3048" s="25"/>
      <c r="Z3048" s="25"/>
    </row>
    <row r="3049" spans="1:26" ht="52.5" customHeight="1" x14ac:dyDescent="0.25">
      <c r="A3049" s="25" t="str">
        <f ca="1">IFERROR(__xludf.DUMMYFUNCTION("""COMPUTED_VALUE"""),"Gesti47")</f>
        <v>Gesti47</v>
      </c>
      <c r="B3049" s="25" t="str">
        <f ca="1">IFERROR(__xludf.DUMMYFUNCTION("""COMPUTED_VALUE"""),"Plan Navidad, iluminación y Bogotá 24 horas")</f>
        <v>Plan Navidad, iluminación y Bogotá 24 horas</v>
      </c>
      <c r="C3049" s="55">
        <f ca="1">IFERROR(__xludf.DUMMYFUNCTION("""COMPUTED_VALUE"""),44463)</f>
        <v>44463</v>
      </c>
      <c r="D3049" s="25" t="str">
        <f ca="1">IFERROR(__xludf.DUMMYFUNCTION("""COMPUTED_VALUE"""),"Gestión_Pública")</f>
        <v>Gestión_Pública</v>
      </c>
      <c r="E3049" s="25" t="str">
        <f ca="1">IFERROR(__xludf.DUMMYFUNCTION("""COMPUTED_VALUE"""),"Secretaría General")</f>
        <v>Secretaría General</v>
      </c>
      <c r="F3049" s="25" t="str">
        <f ca="1">IFERROR(__xludf.DUMMYFUNCTION("""COMPUTED_VALUE"""),"Analizar fecha de ciclovía nocturna y la posibilidad que sea el domingo 12 de diciembre todo el día")</f>
        <v>Analizar fecha de ciclovía nocturna y la posibilidad que sea el domingo 12 de diciembre todo el día</v>
      </c>
      <c r="G3049" s="25" t="str">
        <f ca="1">IFERROR(__xludf.DUMMYFUNCTION("""COMPUTED_VALUE"""),"99. Distrito")</f>
        <v>99. Distrito</v>
      </c>
      <c r="H3049" s="55">
        <f ca="1">IFERROR(__xludf.DUMMYFUNCTION("""COMPUTED_VALUE"""),44493)</f>
        <v>44493</v>
      </c>
      <c r="I3049" s="25"/>
      <c r="J3049" s="55" t="str">
        <f ca="1">IFERROR(__xludf.DUMMYFUNCTION("""COMPUTED_VALUE"""),"Alta")</f>
        <v>Alta</v>
      </c>
      <c r="K3049" s="25">
        <f ca="1">IFERROR(__xludf.DUMMYFUNCTION("""COMPUTED_VALUE"""),30)</f>
        <v>30</v>
      </c>
      <c r="L3049" s="62">
        <f ca="1">IFERROR(__xludf.DUMMYFUNCTION("""COMPUTED_VALUE"""),44530)</f>
        <v>44530</v>
      </c>
      <c r="M3049" s="25" t="str">
        <f ca="1">IFERROR(__xludf.DUMMYFUNCTION("""COMPUTED_VALUE"""),"La ciclovía nocturna quedó programada para el 9 de diciembre, según lo informado por el IDRD.Se debe cerrar esta tarea.")</f>
        <v>La ciclovía nocturna quedó programada para el 9 de diciembre, según lo informado por el IDRD.Se debe cerrar esta tarea.</v>
      </c>
      <c r="N3049" s="55">
        <f ca="1">IFERROR(__xludf.DUMMYFUNCTION("""COMPUTED_VALUE"""),44530)</f>
        <v>44530</v>
      </c>
      <c r="O3049" s="25" t="str">
        <f t="shared" ca="1" si="0"/>
        <v>Secretaría General</v>
      </c>
      <c r="P3049" s="25" t="str">
        <f t="shared" si="2"/>
        <v/>
      </c>
      <c r="Q3049" s="25" t="str">
        <f ca="1">IFERROR(__xludf.DUMMYFUNCTION("""COMPUTED_VALUE"""),"Corto plazo")</f>
        <v>Corto plazo</v>
      </c>
      <c r="R3049" s="25"/>
      <c r="S3049" s="55"/>
      <c r="T3049" s="56"/>
      <c r="U3049" s="25"/>
      <c r="V3049" s="25"/>
      <c r="W3049" s="25"/>
      <c r="X3049" s="25"/>
      <c r="Y3049" s="25"/>
      <c r="Z3049" s="25"/>
    </row>
    <row r="3050" spans="1:26" ht="52.5" customHeight="1" x14ac:dyDescent="0.25">
      <c r="A3050" s="25" t="str">
        <f ca="1">IFERROR(__xludf.DUMMYFUNCTION("""COMPUTED_VALUE"""),"Gesti48")</f>
        <v>Gesti48</v>
      </c>
      <c r="B3050" s="25" t="str">
        <f ca="1">IFERROR(__xludf.DUMMYFUNCTION("""COMPUTED_VALUE"""),"Plan Navidad, iluminación y Bogotá 24 horas")</f>
        <v>Plan Navidad, iluminación y Bogotá 24 horas</v>
      </c>
      <c r="C3050" s="55">
        <f ca="1">IFERROR(__xludf.DUMMYFUNCTION("""COMPUTED_VALUE"""),44463)</f>
        <v>44463</v>
      </c>
      <c r="D3050" s="25" t="str">
        <f ca="1">IFERROR(__xludf.DUMMYFUNCTION("""COMPUTED_VALUE"""),"Gestión_Pública")</f>
        <v>Gestión_Pública</v>
      </c>
      <c r="E3050" s="25" t="str">
        <f ca="1">IFERROR(__xludf.DUMMYFUNCTION("""COMPUTED_VALUE"""),"Secretaría General")</f>
        <v>Secretaría General</v>
      </c>
      <c r="F3050" s="25" t="str">
        <f ca="1">IFERROR(__xludf.DUMMYFUNCTION("""COMPUTED_VALUE"""),"Incluir concepto de Bogotá reverdece en la navidad")</f>
        <v>Incluir concepto de Bogotá reverdece en la navidad</v>
      </c>
      <c r="G3050" s="25" t="str">
        <f ca="1">IFERROR(__xludf.DUMMYFUNCTION("""COMPUTED_VALUE"""),"99. Distrito")</f>
        <v>99. Distrito</v>
      </c>
      <c r="H3050" s="55">
        <f ca="1">IFERROR(__xludf.DUMMYFUNCTION("""COMPUTED_VALUE"""),44493)</f>
        <v>44493</v>
      </c>
      <c r="I3050" s="25"/>
      <c r="J3050" s="55" t="str">
        <f ca="1">IFERROR(__xludf.DUMMYFUNCTION("""COMPUTED_VALUE"""),"Alta")</f>
        <v>Alta</v>
      </c>
      <c r="K3050" s="25">
        <f ca="1">IFERROR(__xludf.DUMMYFUNCTION("""COMPUTED_VALUE"""),30)</f>
        <v>30</v>
      </c>
      <c r="L3050" s="62">
        <f ca="1">IFERROR(__xludf.DUMMYFUNCTION("""COMPUTED_VALUE"""),44469)</f>
        <v>44469</v>
      </c>
      <c r="M3050" s="25" t="str">
        <f ca="1">IFERROR(__xludf.DUMMYFUNCTION("""COMPUTED_VALUE"""),"Se incluirá el concepto de navidad reverdece como parte del proyecto de navidad. Se coordinará con las demás entidades en el desarrollo de los comités de seguimiento a la navidad que se realizarán a partir del 15 de octubre, una vez se realice el cierre f"&amp;"inanciero del proyecto general.")</f>
        <v>Se incluirá el concepto de navidad reverdece como parte del proyecto de navidad. Se coordinará con las demás entidades en el desarrollo de los comités de seguimiento a la navidad que se realizarán a partir del 15 de octubre, una vez se realice el cierre financiero del proyecto general.</v>
      </c>
      <c r="N3050" s="55">
        <f ca="1">IFERROR(__xludf.DUMMYFUNCTION("""COMPUTED_VALUE"""),44469)</f>
        <v>44469</v>
      </c>
      <c r="O3050" s="25" t="str">
        <f t="shared" ca="1" si="0"/>
        <v>Secretaría General</v>
      </c>
      <c r="P3050" s="25" t="str">
        <f t="shared" si="2"/>
        <v/>
      </c>
      <c r="Q3050" s="25" t="str">
        <f ca="1">IFERROR(__xludf.DUMMYFUNCTION("""COMPUTED_VALUE"""),"Corto plazo")</f>
        <v>Corto plazo</v>
      </c>
      <c r="R3050" s="25"/>
      <c r="S3050" s="55"/>
      <c r="T3050" s="56"/>
      <c r="U3050" s="25"/>
      <c r="V3050" s="25"/>
      <c r="W3050" s="25"/>
      <c r="X3050" s="25"/>
      <c r="Y3050" s="25"/>
      <c r="Z3050" s="25"/>
    </row>
    <row r="3051" spans="1:26" ht="52.5" customHeight="1" x14ac:dyDescent="0.25">
      <c r="A3051" s="25" t="str">
        <f ca="1">IFERROR(__xludf.DUMMYFUNCTION("""COMPUTED_VALUE"""),"Gesti49")</f>
        <v>Gesti49</v>
      </c>
      <c r="B3051" s="25" t="str">
        <f ca="1">IFERROR(__xludf.DUMMYFUNCTION("""COMPUTED_VALUE"""),"Plan Navidad, iluminación y Bogotá 24 horas")</f>
        <v>Plan Navidad, iluminación y Bogotá 24 horas</v>
      </c>
      <c r="C3051" s="55">
        <f ca="1">IFERROR(__xludf.DUMMYFUNCTION("""COMPUTED_VALUE"""),44463)</f>
        <v>44463</v>
      </c>
      <c r="D3051" s="25" t="str">
        <f ca="1">IFERROR(__xludf.DUMMYFUNCTION("""COMPUTED_VALUE"""),"Gestión_Pública")</f>
        <v>Gestión_Pública</v>
      </c>
      <c r="E3051" s="25" t="str">
        <f ca="1">IFERROR(__xludf.DUMMYFUNCTION("""COMPUTED_VALUE"""),"Secretaría General")</f>
        <v>Secretaría General</v>
      </c>
      <c r="F3051" s="25" t="str">
        <f ca="1">IFERROR(__xludf.DUMMYFUNCTION("""COMPUTED_VALUE"""),"Incluir propuesta de conciertos con emisoras. Inicialmente: Tropicana y Olìmpica. ")</f>
        <v xml:space="preserve">Incluir propuesta de conciertos con emisoras. Inicialmente: Tropicana y Olìmpica. </v>
      </c>
      <c r="G3051" s="25" t="str">
        <f ca="1">IFERROR(__xludf.DUMMYFUNCTION("""COMPUTED_VALUE"""),"99. Distrito")</f>
        <v>99. Distrito</v>
      </c>
      <c r="H3051" s="55">
        <f ca="1">IFERROR(__xludf.DUMMYFUNCTION("""COMPUTED_VALUE"""),44493)</f>
        <v>44493</v>
      </c>
      <c r="I3051" s="25"/>
      <c r="J3051" s="55" t="str">
        <f ca="1">IFERROR(__xludf.DUMMYFUNCTION("""COMPUTED_VALUE"""),"Alta")</f>
        <v>Alta</v>
      </c>
      <c r="K3051" s="25">
        <f ca="1">IFERROR(__xludf.DUMMYFUNCTION("""COMPUTED_VALUE"""),30)</f>
        <v>30</v>
      </c>
      <c r="L3051" s="62">
        <f ca="1">IFERROR(__xludf.DUMMYFUNCTION("""COMPUTED_VALUE"""),44530)</f>
        <v>44530</v>
      </c>
      <c r="M3051" s="25" t="str">
        <f ca="1">IFERROR(__xludf.DUMMYFUNCTION("""COMPUTED_VALUE"""),"Se realizó negociación con Olímipa Estereo para el concierto inaugural de la navidad que se realizó el 27 de noviembre del año en curso. Así mismo, en la agenda de ciudad de navidad el IDRD incluyó actividades que cuentan con el apoyo de emisoras. 
")</f>
        <v xml:space="preserve">Se realizó negociación con Olímipa Estereo para el concierto inaugural de la navidad que se realizó el 27 de noviembre del año en curso. Así mismo, en la agenda de ciudad de navidad el IDRD incluyó actividades que cuentan con el apoyo de emisoras. 
</v>
      </c>
      <c r="N3051" s="55">
        <f ca="1">IFERROR(__xludf.DUMMYFUNCTION("""COMPUTED_VALUE"""),44530)</f>
        <v>44530</v>
      </c>
      <c r="O3051" s="25" t="str">
        <f t="shared" ca="1" si="0"/>
        <v>Secretaría General</v>
      </c>
      <c r="P3051" s="25" t="str">
        <f t="shared" si="2"/>
        <v/>
      </c>
      <c r="Q3051" s="25" t="str">
        <f ca="1">IFERROR(__xludf.DUMMYFUNCTION("""COMPUTED_VALUE"""),"Corto plazo")</f>
        <v>Corto plazo</v>
      </c>
      <c r="R3051" s="25"/>
      <c r="S3051" s="55"/>
      <c r="T3051" s="56"/>
      <c r="U3051" s="25"/>
      <c r="V3051" s="25"/>
      <c r="W3051" s="25"/>
      <c r="X3051" s="25"/>
      <c r="Y3051" s="25"/>
      <c r="Z3051" s="25"/>
    </row>
    <row r="3052" spans="1:26" ht="52.5" customHeight="1" x14ac:dyDescent="0.25">
      <c r="A3052" s="25" t="str">
        <f ca="1">IFERROR(__xludf.DUMMYFUNCTION("""COMPUTED_VALUE"""),"Gesti50")</f>
        <v>Gesti50</v>
      </c>
      <c r="B3052" s="25" t="str">
        <f ca="1">IFERROR(__xludf.DUMMYFUNCTION("""COMPUTED_VALUE"""),"Almuerzo representante PNUD")</f>
        <v>Almuerzo representante PNUD</v>
      </c>
      <c r="C3052" s="55">
        <f ca="1">IFERROR(__xludf.DUMMYFUNCTION("""COMPUTED_VALUE"""),44476)</f>
        <v>44476</v>
      </c>
      <c r="D3052" s="25" t="str">
        <f ca="1">IFERROR(__xludf.DUMMYFUNCTION("""COMPUTED_VALUE"""),"Gestión_Pública")</f>
        <v>Gestión_Pública</v>
      </c>
      <c r="E3052" s="25" t="str">
        <f ca="1">IFERROR(__xludf.DUMMYFUNCTION("""COMPUTED_VALUE"""),"Secretaría General")</f>
        <v>Secretaría General</v>
      </c>
      <c r="F3052" s="25" t="str">
        <f ca="1">IFERROR(__xludf.DUMMYFUNCTION("""COMPUTED_VALUE"""),"Presentar el informe final del seguimiento a los ODS por parte de los consultores internacionales (Juan Sebastián)")</f>
        <v>Presentar el informe final del seguimiento a los ODS por parte de los consultores internacionales (Juan Sebastián)</v>
      </c>
      <c r="G3052" s="25" t="str">
        <f ca="1">IFERROR(__xludf.DUMMYFUNCTION("""COMPUTED_VALUE"""),"99. Distrito")</f>
        <v>99. Distrito</v>
      </c>
      <c r="H3052" s="55">
        <f ca="1">IFERROR(__xludf.DUMMYFUNCTION("""COMPUTED_VALUE"""),44506)</f>
        <v>44506</v>
      </c>
      <c r="I3052" s="25"/>
      <c r="J3052" s="55" t="str">
        <f ca="1">IFERROR(__xludf.DUMMYFUNCTION("""COMPUTED_VALUE"""),"Alta")</f>
        <v>Alta</v>
      </c>
      <c r="K3052" s="25">
        <f ca="1">IFERROR(__xludf.DUMMYFUNCTION("""COMPUTED_VALUE"""),30)</f>
        <v>30</v>
      </c>
      <c r="L3052" s="62">
        <f ca="1">IFERROR(__xludf.DUMMYFUNCTION("""COMPUTED_VALUE"""),44530)</f>
        <v>44530</v>
      </c>
      <c r="M3052" s="25" t="str">
        <f ca="1">IFERROR(__xludf.DUMMYFUNCTION("""COMPUTED_VALUE"""),"Se desistió de la presentación del informe por lo que la tarea se cerró.")</f>
        <v>Se desistió de la presentación del informe por lo que la tarea se cerró.</v>
      </c>
      <c r="N3052" s="55">
        <f ca="1">IFERROR(__xludf.DUMMYFUNCTION("""COMPUTED_VALUE"""),44530)</f>
        <v>44530</v>
      </c>
      <c r="O3052" s="25" t="str">
        <f t="shared" ca="1" si="0"/>
        <v>Secretaría General</v>
      </c>
      <c r="P3052" s="25" t="str">
        <f t="shared" si="2"/>
        <v/>
      </c>
      <c r="Q3052" s="25" t="str">
        <f ca="1">IFERROR(__xludf.DUMMYFUNCTION("""COMPUTED_VALUE"""),"Corto plazo")</f>
        <v>Corto plazo</v>
      </c>
      <c r="R3052" s="25"/>
      <c r="S3052" s="55"/>
      <c r="T3052" s="56"/>
      <c r="U3052" s="25"/>
      <c r="V3052" s="25"/>
      <c r="W3052" s="25"/>
      <c r="X3052" s="25"/>
      <c r="Y3052" s="25"/>
      <c r="Z3052" s="25"/>
    </row>
    <row r="3053" spans="1:26" ht="52.5" customHeight="1" x14ac:dyDescent="0.25">
      <c r="A3053" s="25" t="str">
        <f ca="1">IFERROR(__xludf.DUMMYFUNCTION("""COMPUTED_VALUE"""),"Gesti51")</f>
        <v>Gesti51</v>
      </c>
      <c r="B3053" s="25" t="str">
        <f ca="1">IFERROR(__xludf.DUMMYFUNCTION("""COMPUTED_VALUE"""),"Consejo de Gobierno ampliado")</f>
        <v>Consejo de Gobierno ampliado</v>
      </c>
      <c r="C3053" s="55">
        <f ca="1">IFERROR(__xludf.DUMMYFUNCTION("""COMPUTED_VALUE"""),44544)</f>
        <v>44544</v>
      </c>
      <c r="D3053" s="25" t="str">
        <f ca="1">IFERROR(__xludf.DUMMYFUNCTION("""COMPUTED_VALUE"""),"Gestión_Pública")</f>
        <v>Gestión_Pública</v>
      </c>
      <c r="E3053" s="25" t="str">
        <f ca="1">IFERROR(__xludf.DUMMYFUNCTION("""COMPUTED_VALUE"""),"Secretaría General")</f>
        <v>Secretaría General</v>
      </c>
      <c r="F3053" s="25" t="str">
        <f ca="1">IFERROR(__xludf.DUMMYFUNCTION("""COMPUTED_VALUE"""),"Crear la figura jurídica (convenio de interoperabilidad)de datos entre la Veeduría Distrital y Ágata que corresponde al Sistema Integral de Monitoreo de control preventivo distrital.")</f>
        <v>Crear la figura jurídica (convenio de interoperabilidad)de datos entre la Veeduría Distrital y Ágata que corresponde al Sistema Integral de Monitoreo de control preventivo distrital.</v>
      </c>
      <c r="G3053" s="25" t="str">
        <f ca="1">IFERROR(__xludf.DUMMYFUNCTION("""COMPUTED_VALUE"""),"99. Distrito")</f>
        <v>99. Distrito</v>
      </c>
      <c r="H3053" s="55">
        <f ca="1">IFERROR(__xludf.DUMMYFUNCTION("""COMPUTED_VALUE"""),44561)</f>
        <v>44561</v>
      </c>
      <c r="I3053" s="25"/>
      <c r="J3053" s="55" t="str">
        <f ca="1">IFERROR(__xludf.DUMMYFUNCTION("""COMPUTED_VALUE"""),"Alta")</f>
        <v>Alta</v>
      </c>
      <c r="K3053" s="25">
        <f ca="1">IFERROR(__xludf.DUMMYFUNCTION("""COMPUTED_VALUE"""),17)</f>
        <v>17</v>
      </c>
      <c r="L3053" s="62">
        <f ca="1">IFERROR(__xludf.DUMMYFUNCTION("""COMPUTED_VALUE"""),44681)</f>
        <v>44681</v>
      </c>
      <c r="M3053" s="25" t="str">
        <f ca="1">IFERROR(__xludf.DUMMYFUNCTION("""COMPUTED_VALUE"""),"Tras el análisis jurídico, no es posible firmar un acuerdo de intercambio de datos entre Ágata y la Veeduría porque imposibilitaria cualquier relación comercial posterior, pues los organismos de control podrían suponer que el acceso a esos datos fue el qu"&amp;"e lo generó dándole una ventaja a Ágata sobre otras empresas del sector.")</f>
        <v>Tras el análisis jurídico, no es posible firmar un acuerdo de intercambio de datos entre Ágata y la Veeduría porque imposibilitaria cualquier relación comercial posterior, pues los organismos de control podrían suponer que el acceso a esos datos fue el que lo generó dándole una ventaja a Ágata sobre otras empresas del sector.</v>
      </c>
      <c r="N3053" s="55">
        <f ca="1">IFERROR(__xludf.DUMMYFUNCTION("""COMPUTED_VALUE"""),44561)</f>
        <v>44561</v>
      </c>
      <c r="O3053" s="25" t="str">
        <f t="shared" ca="1" si="0"/>
        <v>Secretaría General</v>
      </c>
      <c r="P3053" s="25" t="str">
        <f t="shared" si="2"/>
        <v/>
      </c>
      <c r="Q3053" s="25" t="str">
        <f ca="1">IFERROR(__xludf.DUMMYFUNCTION("""COMPUTED_VALUE"""),"Corto plazo")</f>
        <v>Corto plazo</v>
      </c>
      <c r="R3053" s="25"/>
      <c r="S3053" s="55"/>
      <c r="T3053" s="56"/>
      <c r="U3053" s="25"/>
      <c r="V3053" s="25"/>
      <c r="W3053" s="25"/>
      <c r="X3053" s="25"/>
      <c r="Y3053" s="25"/>
      <c r="Z3053" s="25"/>
    </row>
    <row r="3054" spans="1:26" ht="52.5" customHeight="1" x14ac:dyDescent="0.25">
      <c r="A3054" s="25" t="str">
        <f ca="1">IFERROR(__xludf.DUMMYFUNCTION("""COMPUTED_VALUE"""),"Gesti52")</f>
        <v>Gesti52</v>
      </c>
      <c r="B3054" s="25" t="str">
        <f ca="1">IFERROR(__xludf.DUMMYFUNCTION("""COMPUTED_VALUE"""),"Consejo de Gobierno ampliado")</f>
        <v>Consejo de Gobierno ampliado</v>
      </c>
      <c r="C3054" s="55">
        <f ca="1">IFERROR(__xludf.DUMMYFUNCTION("""COMPUTED_VALUE"""),44544)</f>
        <v>44544</v>
      </c>
      <c r="D3054" s="25" t="str">
        <f ca="1">IFERROR(__xludf.DUMMYFUNCTION("""COMPUTED_VALUE"""),"Gestión_Pública")</f>
        <v>Gestión_Pública</v>
      </c>
      <c r="E3054" s="25" t="str">
        <f ca="1">IFERROR(__xludf.DUMMYFUNCTION("""COMPUTED_VALUE"""),"Secretaría General")</f>
        <v>Secretaría General</v>
      </c>
      <c r="F3054" s="25" t="str">
        <f ca="1">IFERROR(__xludf.DUMMYFUNCTION("""COMPUTED_VALUE"""),"Se debe crear en equipo que recaude dinero desde el mes de enero de 2022 para la navidad.")</f>
        <v>Se debe crear en equipo que recaude dinero desde el mes de enero de 2022 para la navidad.</v>
      </c>
      <c r="G3054" s="25" t="str">
        <f ca="1">IFERROR(__xludf.DUMMYFUNCTION("""COMPUTED_VALUE"""),"99. Distrito")</f>
        <v>99. Distrito</v>
      </c>
      <c r="H3054" s="55">
        <f ca="1">IFERROR(__xludf.DUMMYFUNCTION("""COMPUTED_VALUE"""),44574)</f>
        <v>44574</v>
      </c>
      <c r="I3054" s="25"/>
      <c r="J3054" s="55" t="str">
        <f ca="1">IFERROR(__xludf.DUMMYFUNCTION("""COMPUTED_VALUE"""),"Alta")</f>
        <v>Alta</v>
      </c>
      <c r="K3054" s="25">
        <f ca="1">IFERROR(__xludf.DUMMYFUNCTION("""COMPUTED_VALUE"""),30)</f>
        <v>30</v>
      </c>
      <c r="L3054" s="62">
        <f ca="1">IFERROR(__xludf.DUMMYFUNCTION("""COMPUTED_VALUE"""),44712)</f>
        <v>44712</v>
      </c>
      <c r="M3054" s="25" t="str">
        <f ca="1">IFERROR(__xludf.DUMMYFUNCTION("""COMPUTED_VALUE"""),"A la fecha se confirman los siguientes recursos para la navidad:
- 6.500 millones de la Secretaría General para la ruta de iluminación 2022
- 2.000 millones de los fondos de desarrollo local para la ruta de iluminación 2022.
Por otro lado, se están realiz"&amp;"ando mesas de trabajo con la Secretaría de Desarrollo Económico con el fin de costear el valor de las ferias de emprendimiento que se realizarán en el marco de la ruta de iluminación.
Se espera que la tarea de consecución de recursos totales para la navi"&amp;"dad culmine en el mes de agosto, una vez se hayan suscrito los convenios para los traslados presupuestales y las contrataciones requeridas para la ejecución del proyecto Navidad 2022.
Avance reportada desde la Oficina Consejería de Comunicaciones: 100%")</f>
        <v>A la fecha se confirman los siguientes recursos para la navidad:
- 6.500 millones de la Secretaría General para la ruta de iluminación 2022
- 2.000 millones de los fondos de desarrollo local para la ruta de iluminación 2022.
Por otro lado, se están realizando mesas de trabajo con la Secretaría de Desarrollo Económico con el fin de costear el valor de las ferias de emprendimiento que se realizarán en el marco de la ruta de iluminación.
Se espera que la tarea de consecución de recursos totales para la navidad culmine en el mes de agosto, una vez se hayan suscrito los convenios para los traslados presupuestales y las contrataciones requeridas para la ejecución del proyecto Navidad 2022.
Avance reportada desde la Oficina Consejería de Comunicaciones: 100%</v>
      </c>
      <c r="N3054" s="55">
        <f ca="1">IFERROR(__xludf.DUMMYFUNCTION("""COMPUTED_VALUE"""),44712)</f>
        <v>44712</v>
      </c>
      <c r="O3054" s="25" t="str">
        <f t="shared" ca="1" si="0"/>
        <v>Secretaría General</v>
      </c>
      <c r="P3054" s="25" t="str">
        <f t="shared" si="2"/>
        <v/>
      </c>
      <c r="Q3054" s="25" t="str">
        <f ca="1">IFERROR(__xludf.DUMMYFUNCTION("""COMPUTED_VALUE"""),"Corto plazo")</f>
        <v>Corto plazo</v>
      </c>
      <c r="R3054" s="25"/>
      <c r="S3054" s="55"/>
      <c r="T3054" s="56"/>
      <c r="U3054" s="25"/>
      <c r="V3054" s="25"/>
      <c r="W3054" s="25"/>
      <c r="X3054" s="25"/>
      <c r="Y3054" s="25"/>
      <c r="Z3054" s="25"/>
    </row>
    <row r="3055" spans="1:26" ht="52.5" customHeight="1" x14ac:dyDescent="0.25">
      <c r="A3055" s="25" t="str">
        <f ca="1">IFERROR(__xludf.DUMMYFUNCTION("""COMPUTED_VALUE"""),"Gesti53")</f>
        <v>Gesti53</v>
      </c>
      <c r="B3055" s="25" t="str">
        <f ca="1">IFERROR(__xludf.DUMMYFUNCTION("""COMPUTED_VALUE"""),"PMU Emberas")</f>
        <v>PMU Emberas</v>
      </c>
      <c r="C3055" s="55">
        <f ca="1">IFERROR(__xludf.DUMMYFUNCTION("""COMPUTED_VALUE"""),44589)</f>
        <v>44589</v>
      </c>
      <c r="D3055" s="25" t="str">
        <f ca="1">IFERROR(__xludf.DUMMYFUNCTION("""COMPUTED_VALUE"""),"Gestión_Pública")</f>
        <v>Gestión_Pública</v>
      </c>
      <c r="E3055" s="25" t="str">
        <f ca="1">IFERROR(__xludf.DUMMYFUNCTION("""COMPUTED_VALUE"""),"Alta Consejería para los Derechos de las Víctimas")</f>
        <v>Alta Consejería para los Derechos de las Víctimas</v>
      </c>
      <c r="F3055" s="25" t="str">
        <f ca="1">IFERROR(__xludf.DUMMYFUNCTION("""COMPUTED_VALUE"""),"En conjunto con la Secretaria Distrital de Gobierno redactar documento dirigido a la Fiscalía General informando los hechos considerados irregulares por parte de personas que se denominan voceros de la vía de hecho en el Parque Nacional denunciando una ev"&amp;"entual suplantación de autoridades indígenas. ")</f>
        <v xml:space="preserve">En conjunto con la Secretaria Distrital de Gobierno redactar documento dirigido a la Fiscalía General informando los hechos considerados irregulares por parte de personas que se denominan voceros de la vía de hecho en el Parque Nacional denunciando una eventual suplantación de autoridades indígenas. </v>
      </c>
      <c r="G3055" s="25" t="str">
        <f ca="1">IFERROR(__xludf.DUMMYFUNCTION("""COMPUTED_VALUE"""),"99. Distrito")</f>
        <v>99. Distrito</v>
      </c>
      <c r="H3055" s="55">
        <f ca="1">IFERROR(__xludf.DUMMYFUNCTION("""COMPUTED_VALUE"""),44619)</f>
        <v>44619</v>
      </c>
      <c r="I3055" s="25"/>
      <c r="J3055" s="55" t="str">
        <f ca="1">IFERROR(__xludf.DUMMYFUNCTION("""COMPUTED_VALUE"""),"Alta")</f>
        <v>Alta</v>
      </c>
      <c r="K3055" s="25">
        <f ca="1">IFERROR(__xludf.DUMMYFUNCTION("""COMPUTED_VALUE"""),30)</f>
        <v>30</v>
      </c>
      <c r="L3055" s="62">
        <f ca="1">IFERROR(__xludf.DUMMYFUNCTION("""COMPUTED_VALUE"""),44620)</f>
        <v>44620</v>
      </c>
      <c r="M3055" s="25" t="str">
        <f ca="1">IFERROR(__xludf.DUMMYFUNCTION("""COMPUTED_VALUE"""),"El pasado 31 de enero de 2022, se radicó ante la Fiscalía General de la Nación, una comunicación donde se dan a conocer las presuntas actuaciones irregulares de los representantes y voceros del proceso organizativo “Autoridades Indígenas Bakatá”. Avance 1"&amp;"00%")</f>
        <v>El pasado 31 de enero de 2022, se radicó ante la Fiscalía General de la Nación, una comunicación donde se dan a conocer las presuntas actuaciones irregulares de los representantes y voceros del proceso organizativo “Autoridades Indígenas Bakatá”. Avance 100%</v>
      </c>
      <c r="N3055" s="55">
        <f ca="1">IFERROR(__xludf.DUMMYFUNCTION("""COMPUTED_VALUE"""),44620)</f>
        <v>44620</v>
      </c>
      <c r="O3055" s="25" t="str">
        <f t="shared" ca="1" si="0"/>
        <v>Alta Consejería para los Derechos de las Víctimas</v>
      </c>
      <c r="P3055" s="25" t="str">
        <f t="shared" si="2"/>
        <v/>
      </c>
      <c r="Q3055" s="25" t="str">
        <f ca="1">IFERROR(__xludf.DUMMYFUNCTION("""COMPUTED_VALUE"""),"Corto plazo")</f>
        <v>Corto plazo</v>
      </c>
      <c r="R3055" s="25"/>
      <c r="S3055" s="55"/>
      <c r="T3055" s="56"/>
      <c r="U3055" s="25"/>
      <c r="V3055" s="25"/>
      <c r="W3055" s="25"/>
      <c r="X3055" s="25"/>
      <c r="Y3055" s="25"/>
      <c r="Z3055" s="25"/>
    </row>
    <row r="3056" spans="1:26" ht="52.5" customHeight="1" x14ac:dyDescent="0.25">
      <c r="A3056" s="25" t="str">
        <f ca="1">IFERROR(__xludf.DUMMYFUNCTION("""COMPUTED_VALUE"""),"Gesti54")</f>
        <v>Gesti54</v>
      </c>
      <c r="B3056" s="25" t="str">
        <f ca="1">IFERROR(__xludf.DUMMYFUNCTION("""COMPUTED_VALUE"""),"PMU Emberas")</f>
        <v>PMU Emberas</v>
      </c>
      <c r="C3056" s="55">
        <f ca="1">IFERROR(__xludf.DUMMYFUNCTION("""COMPUTED_VALUE"""),44589)</f>
        <v>44589</v>
      </c>
      <c r="D3056" s="25" t="str">
        <f ca="1">IFERROR(__xludf.DUMMYFUNCTION("""COMPUTED_VALUE"""),"Gestión_Pública")</f>
        <v>Gestión_Pública</v>
      </c>
      <c r="E3056" s="25" t="str">
        <f ca="1">IFERROR(__xludf.DUMMYFUNCTION("""COMPUTED_VALUE"""),"Alta Consejería para los Derechos de las Víctimas")</f>
        <v>Alta Consejería para los Derechos de las Víctimas</v>
      </c>
      <c r="F3056" s="25" t="str">
        <f ca="1">IFERROR(__xludf.DUMMYFUNCTION("""COMPUTED_VALUE"""),"Precisar el instrumento de caracterización 
Gobierno y la Alta Consejería coordina la caracterización con el ICBF y la Unidad de Víctimas en un día. 
")</f>
        <v xml:space="preserve">Precisar el instrumento de caracterización 
Gobierno y la Alta Consejería coordina la caracterización con el ICBF y la Unidad de Víctimas en un día. 
</v>
      </c>
      <c r="G3056" s="25" t="str">
        <f ca="1">IFERROR(__xludf.DUMMYFUNCTION("""COMPUTED_VALUE"""),"99. Distrito")</f>
        <v>99. Distrito</v>
      </c>
      <c r="H3056" s="55">
        <f ca="1">IFERROR(__xludf.DUMMYFUNCTION("""COMPUTED_VALUE"""),44619)</f>
        <v>44619</v>
      </c>
      <c r="I3056" s="25"/>
      <c r="J3056" s="55" t="str">
        <f ca="1">IFERROR(__xludf.DUMMYFUNCTION("""COMPUTED_VALUE"""),"Alta")</f>
        <v>Alta</v>
      </c>
      <c r="K3056" s="25">
        <f ca="1">IFERROR(__xludf.DUMMYFUNCTION("""COMPUTED_VALUE"""),30)</f>
        <v>30</v>
      </c>
      <c r="L3056" s="62">
        <f ca="1">IFERROR(__xludf.DUMMYFUNCTION("""COMPUTED_VALUE"""),44620)</f>
        <v>44620</v>
      </c>
      <c r="M3056" s="25" t="str">
        <f ca="1">IFERROR(__xludf.DUMMYFUNCTION("""COMPUTED_VALUE"""),"28/02/2022:  Se realizó la precisión del instrumento de caracterización en coordinación con lCBF y la UARIV. El instrumento se aprobó y fue llevado al operativo de caracterización el 31 de enero de 2022.  Avance: 100%
")</f>
        <v xml:space="preserve">28/02/2022:  Se realizó la precisión del instrumento de caracterización en coordinación con lCBF y la UARIV. El instrumento se aprobó y fue llevado al operativo de caracterización el 31 de enero de 2022.  Avance: 100%
</v>
      </c>
      <c r="N3056" s="55">
        <f ca="1">IFERROR(__xludf.DUMMYFUNCTION("""COMPUTED_VALUE"""),44620)</f>
        <v>44620</v>
      </c>
      <c r="O3056" s="25" t="str">
        <f t="shared" ca="1" si="0"/>
        <v>Alta Consejería para los Derechos de las Víctimas</v>
      </c>
      <c r="P3056" s="25" t="str">
        <f t="shared" si="2"/>
        <v/>
      </c>
      <c r="Q3056" s="25" t="str">
        <f ca="1">IFERROR(__xludf.DUMMYFUNCTION("""COMPUTED_VALUE"""),"Corto plazo")</f>
        <v>Corto plazo</v>
      </c>
      <c r="R3056" s="25"/>
      <c r="S3056" s="55"/>
      <c r="T3056" s="56"/>
      <c r="U3056" s="25"/>
      <c r="V3056" s="25"/>
      <c r="W3056" s="25"/>
      <c r="X3056" s="25"/>
      <c r="Y3056" s="25"/>
      <c r="Z3056" s="25"/>
    </row>
    <row r="3057" spans="1:26" ht="52.5" customHeight="1" x14ac:dyDescent="0.25">
      <c r="A3057" s="25" t="str">
        <f ca="1">IFERROR(__xludf.DUMMYFUNCTION("""COMPUTED_VALUE"""),"Gesti55")</f>
        <v>Gesti55</v>
      </c>
      <c r="B3057" s="25" t="str">
        <f ca="1">IFERROR(__xludf.DUMMYFUNCTION("""COMPUTED_VALUE"""),"PMU Emberas")</f>
        <v>PMU Emberas</v>
      </c>
      <c r="C3057" s="55">
        <f ca="1">IFERROR(__xludf.DUMMYFUNCTION("""COMPUTED_VALUE"""),44589)</f>
        <v>44589</v>
      </c>
      <c r="D3057" s="25" t="str">
        <f ca="1">IFERROR(__xludf.DUMMYFUNCTION("""COMPUTED_VALUE"""),"Gestión_Pública")</f>
        <v>Gestión_Pública</v>
      </c>
      <c r="E3057" s="25" t="str">
        <f ca="1">IFERROR(__xludf.DUMMYFUNCTION("""COMPUTED_VALUE"""),"Alta Consejería para los Derechos de las Víctimas")</f>
        <v>Alta Consejería para los Derechos de las Víctimas</v>
      </c>
      <c r="F3057" s="25" t="str">
        <f ca="1">IFERROR(__xludf.DUMMYFUNCTION("""COMPUTED_VALUE"""),"Hacer una reunión las autoridades de los resguardos para presentarles la caracterización y coordinar el retorno.  
El consejero de la Paz debe estar en la reunión 
")</f>
        <v xml:space="preserve">Hacer una reunión las autoridades de los resguardos para presentarles la caracterización y coordinar el retorno.  
El consejero de la Paz debe estar en la reunión 
</v>
      </c>
      <c r="G3057" s="25" t="str">
        <f ca="1">IFERROR(__xludf.DUMMYFUNCTION("""COMPUTED_VALUE"""),"99. Distrito")</f>
        <v>99. Distrito</v>
      </c>
      <c r="H3057" s="55">
        <f ca="1">IFERROR(__xludf.DUMMYFUNCTION("""COMPUTED_VALUE"""),44619)</f>
        <v>44619</v>
      </c>
      <c r="I3057" s="25"/>
      <c r="J3057" s="55" t="str">
        <f ca="1">IFERROR(__xludf.DUMMYFUNCTION("""COMPUTED_VALUE"""),"Alta")</f>
        <v>Alta</v>
      </c>
      <c r="K3057" s="25">
        <f ca="1">IFERROR(__xludf.DUMMYFUNCTION("""COMPUTED_VALUE"""),30)</f>
        <v>30</v>
      </c>
      <c r="L3057" s="62">
        <f ca="1">IFERROR(__xludf.DUMMYFUNCTION("""COMPUTED_VALUE"""),44620)</f>
        <v>44620</v>
      </c>
      <c r="M3057" s="25" t="str">
        <f ca="1">IFERROR(__xludf.DUMMYFUNCTION("""COMPUTED_VALUE"""),"28/02/2022: el 8 de febrero de 2022 se realizó la reunión con las autoridades de los resguardos indigenas. A esta reunión asistió el Alto Consejero de paz Víctimas y Reconciliaición y el Viceministro del Interior. Avance: 100%")</f>
        <v>28/02/2022: el 8 de febrero de 2022 se realizó la reunión con las autoridades de los resguardos indigenas. A esta reunión asistió el Alto Consejero de paz Víctimas y Reconciliaición y el Viceministro del Interior. Avance: 100%</v>
      </c>
      <c r="N3057" s="55">
        <f ca="1">IFERROR(__xludf.DUMMYFUNCTION("""COMPUTED_VALUE"""),44620)</f>
        <v>44620</v>
      </c>
      <c r="O3057" s="25" t="str">
        <f t="shared" ca="1" si="0"/>
        <v>Alta Consejería para los Derechos de las Víctimas</v>
      </c>
      <c r="P3057" s="25" t="str">
        <f t="shared" si="2"/>
        <v/>
      </c>
      <c r="Q3057" s="25" t="str">
        <f ca="1">IFERROR(__xludf.DUMMYFUNCTION("""COMPUTED_VALUE"""),"Corto plazo")</f>
        <v>Corto plazo</v>
      </c>
      <c r="R3057" s="25"/>
      <c r="S3057" s="55"/>
      <c r="T3057" s="56"/>
      <c r="U3057" s="25"/>
      <c r="V3057" s="25"/>
      <c r="W3057" s="25"/>
      <c r="X3057" s="25"/>
      <c r="Y3057" s="25"/>
      <c r="Z3057" s="25"/>
    </row>
    <row r="3058" spans="1:26" ht="52.5" customHeight="1" x14ac:dyDescent="0.25">
      <c r="A3058" s="25" t="str">
        <f ca="1">IFERROR(__xludf.DUMMYFUNCTION("""COMPUTED_VALUE"""),"Gesti56")</f>
        <v>Gesti56</v>
      </c>
      <c r="B3058" s="25" t="str">
        <f ca="1">IFERROR(__xludf.DUMMYFUNCTION("""COMPUTED_VALUE"""),"PMU Emberas")</f>
        <v>PMU Emberas</v>
      </c>
      <c r="C3058" s="55">
        <f ca="1">IFERROR(__xludf.DUMMYFUNCTION("""COMPUTED_VALUE"""),44589)</f>
        <v>44589</v>
      </c>
      <c r="D3058" s="25" t="str">
        <f ca="1">IFERROR(__xludf.DUMMYFUNCTION("""COMPUTED_VALUE"""),"Gestión_Pública")</f>
        <v>Gestión_Pública</v>
      </c>
      <c r="E3058" s="25" t="str">
        <f ca="1">IFERROR(__xludf.DUMMYFUNCTION("""COMPUTED_VALUE"""),"Alta Consejería para los Derechos de las Víctimas")</f>
        <v>Alta Consejería para los Derechos de las Víctimas</v>
      </c>
      <c r="F3058" s="25" t="str">
        <f ca="1">IFERROR(__xludf.DUMMYFUNCTION("""COMPUTED_VALUE"""),"Hacer el lunes 7 de febrero una reunión que convoca Min Interior para revisar los resultados de la caracterización. 
 Sec. Gobierno, Alta Consejería, Min Interior, Min Defensa, Alcaldes y Gobernadores,")</f>
        <v>Hacer el lunes 7 de febrero una reunión que convoca Min Interior para revisar los resultados de la caracterización. 
 Sec. Gobierno, Alta Consejería, Min Interior, Min Defensa, Alcaldes y Gobernadores,</v>
      </c>
      <c r="G3058" s="25" t="str">
        <f ca="1">IFERROR(__xludf.DUMMYFUNCTION("""COMPUTED_VALUE"""),"99. Distrito")</f>
        <v>99. Distrito</v>
      </c>
      <c r="H3058" s="55">
        <f ca="1">IFERROR(__xludf.DUMMYFUNCTION("""COMPUTED_VALUE"""),44599)</f>
        <v>44599</v>
      </c>
      <c r="I3058" s="25"/>
      <c r="J3058" s="55" t="str">
        <f ca="1">IFERROR(__xludf.DUMMYFUNCTION("""COMPUTED_VALUE"""),"Alta")</f>
        <v>Alta</v>
      </c>
      <c r="K3058" s="25">
        <f ca="1">IFERROR(__xludf.DUMMYFUNCTION("""COMPUTED_VALUE"""),10)</f>
        <v>10</v>
      </c>
      <c r="L3058" s="62">
        <f ca="1">IFERROR(__xludf.DUMMYFUNCTION("""COMPUTED_VALUE"""),44620)</f>
        <v>44620</v>
      </c>
      <c r="M3058" s="25" t="str">
        <f ca="1">IFERROR(__xludf.DUMMYFUNCTION("""COMPUTED_VALUE"""),"28/02/2022: Teniendo en cuenta que el operativo de caracterización del 3 de febrero de 2022 no se pudo llevar a cabo por las agresiones de la comunidad al equipo del Distrito. En consecuencia, la reunión del 7 de febrero no se adelantó debido a que no se "&amp;"contaba con los resultados de la caracterización de la población. Por lo anterior, la Alta Consejería de Paz determinó que esta tarea no se va a realizar en el marco del plan de acción definido en el mes de febrero.")</f>
        <v>28/02/2022: Teniendo en cuenta que el operativo de caracterización del 3 de febrero de 2022 no se pudo llevar a cabo por las agresiones de la comunidad al equipo del Distrito. En consecuencia, la reunión del 7 de febrero no se adelantó debido a que no se contaba con los resultados de la caracterización de la población. Por lo anterior, la Alta Consejería de Paz determinó que esta tarea no se va a realizar en el marco del plan de acción definido en el mes de febrero.</v>
      </c>
      <c r="N3058" s="55">
        <f ca="1">IFERROR(__xludf.DUMMYFUNCTION("""COMPUTED_VALUE"""),44620)</f>
        <v>44620</v>
      </c>
      <c r="O3058" s="25" t="str">
        <f t="shared" ca="1" si="0"/>
        <v>Alta Consejería para los Derechos de las Víctimas</v>
      </c>
      <c r="P3058" s="25" t="str">
        <f t="shared" si="2"/>
        <v/>
      </c>
      <c r="Q3058" s="25" t="str">
        <f ca="1">IFERROR(__xludf.DUMMYFUNCTION("""COMPUTED_VALUE"""),"Corto plazo")</f>
        <v>Corto plazo</v>
      </c>
      <c r="R3058" s="25"/>
      <c r="S3058" s="55"/>
      <c r="T3058" s="56"/>
      <c r="U3058" s="25"/>
      <c r="V3058" s="25"/>
      <c r="W3058" s="25"/>
      <c r="X3058" s="25"/>
      <c r="Y3058" s="25"/>
      <c r="Z3058" s="25"/>
    </row>
    <row r="3059" spans="1:26" ht="52.5" customHeight="1" x14ac:dyDescent="0.25">
      <c r="A3059" s="25" t="str">
        <f ca="1">IFERROR(__xludf.DUMMYFUNCTION("""COMPUTED_VALUE"""),"Gesti57")</f>
        <v>Gesti57</v>
      </c>
      <c r="B3059" s="25" t="str">
        <f ca="1">IFERROR(__xludf.DUMMYFUNCTION("""COMPUTED_VALUE"""),"PMU Emberas")</f>
        <v>PMU Emberas</v>
      </c>
      <c r="C3059" s="55">
        <f ca="1">IFERROR(__xludf.DUMMYFUNCTION("""COMPUTED_VALUE"""),44589)</f>
        <v>44589</v>
      </c>
      <c r="D3059" s="25" t="str">
        <f ca="1">IFERROR(__xludf.DUMMYFUNCTION("""COMPUTED_VALUE"""),"Gestión_Pública")</f>
        <v>Gestión_Pública</v>
      </c>
      <c r="E3059" s="25" t="str">
        <f ca="1">IFERROR(__xludf.DUMMYFUNCTION("""COMPUTED_VALUE"""),"Alta Consejería para los Derechos de las Víctimas")</f>
        <v>Alta Consejería para los Derechos de las Víctimas</v>
      </c>
      <c r="F3059" s="25" t="str">
        <f ca="1">IFERROR(__xludf.DUMMYFUNCTION("""COMPUTED_VALUE"""),"Se cita PMU lunes 31 de enero 8 am para definir la logística de la caracterización")</f>
        <v>Se cita PMU lunes 31 de enero 8 am para definir la logística de la caracterización</v>
      </c>
      <c r="G3059" s="25" t="str">
        <f ca="1">IFERROR(__xludf.DUMMYFUNCTION("""COMPUTED_VALUE"""),"99. Distrito")</f>
        <v>99. Distrito</v>
      </c>
      <c r="H3059" s="55">
        <f ca="1">IFERROR(__xludf.DUMMYFUNCTION("""COMPUTED_VALUE"""),44619)</f>
        <v>44619</v>
      </c>
      <c r="I3059" s="25"/>
      <c r="J3059" s="55" t="str">
        <f ca="1">IFERROR(__xludf.DUMMYFUNCTION("""COMPUTED_VALUE"""),"Alta")</f>
        <v>Alta</v>
      </c>
      <c r="K3059" s="25">
        <f ca="1">IFERROR(__xludf.DUMMYFUNCTION("""COMPUTED_VALUE"""),30)</f>
        <v>30</v>
      </c>
      <c r="L3059" s="62">
        <f ca="1">IFERROR(__xludf.DUMMYFUNCTION("""COMPUTED_VALUE"""),44620)</f>
        <v>44620</v>
      </c>
      <c r="M3059" s="25" t="str">
        <f ca="1">IFERROR(__xludf.DUMMYFUNCTION("""COMPUTED_VALUE"""),"28/02/2022: el 31 de enero se llevó a cabo el PMU en donde se definió la logistica del proceso de caracterización de la población Embera en el Parque Nacional.
Avance: 100%")</f>
        <v>28/02/2022: el 31 de enero se llevó a cabo el PMU en donde se definió la logistica del proceso de caracterización de la población Embera en el Parque Nacional.
Avance: 100%</v>
      </c>
      <c r="N3059" s="55">
        <f ca="1">IFERROR(__xludf.DUMMYFUNCTION("""COMPUTED_VALUE"""),44620)</f>
        <v>44620</v>
      </c>
      <c r="O3059" s="25" t="str">
        <f t="shared" ca="1" si="0"/>
        <v>Alta Consejería para los Derechos de las Víctimas</v>
      </c>
      <c r="P3059" s="25" t="str">
        <f t="shared" si="2"/>
        <v/>
      </c>
      <c r="Q3059" s="25" t="str">
        <f ca="1">IFERROR(__xludf.DUMMYFUNCTION("""COMPUTED_VALUE"""),"Corto plazo")</f>
        <v>Corto plazo</v>
      </c>
      <c r="R3059" s="25"/>
      <c r="S3059" s="55"/>
      <c r="T3059" s="56"/>
      <c r="U3059" s="25"/>
      <c r="V3059" s="25"/>
      <c r="W3059" s="25"/>
      <c r="X3059" s="25"/>
      <c r="Y3059" s="25"/>
      <c r="Z3059" s="25"/>
    </row>
    <row r="3060" spans="1:26" ht="52.5" customHeight="1" x14ac:dyDescent="0.25">
      <c r="A3060" s="25" t="str">
        <f ca="1">IFERROR(__xludf.DUMMYFUNCTION("""COMPUTED_VALUE"""),"Gesti58")</f>
        <v>Gesti58</v>
      </c>
      <c r="B3060" s="25" t="str">
        <f ca="1">IFERROR(__xludf.DUMMYFUNCTION("""COMPUTED_VALUE"""),"Recorrido Bosa")</f>
        <v>Recorrido Bosa</v>
      </c>
      <c r="C3060" s="55">
        <f ca="1">IFERROR(__xludf.DUMMYFUNCTION("""COMPUTED_VALUE"""),44602)</f>
        <v>44602</v>
      </c>
      <c r="D3060" s="25" t="str">
        <f ca="1">IFERROR(__xludf.DUMMYFUNCTION("""COMPUTED_VALUE"""),"Gestión_Pública")</f>
        <v>Gestión_Pública</v>
      </c>
      <c r="E3060" s="25" t="str">
        <f ca="1">IFERROR(__xludf.DUMMYFUNCTION("""COMPUTED_VALUE"""),"Secretaría General")</f>
        <v>Secretaría General</v>
      </c>
      <c r="F3060" s="25" t="str">
        <f ca="1">IFERROR(__xludf.DUMMYFUNCTION("""COMPUTED_VALUE"""),"Cambiar la entrada del CADE patio bonito para que sea por la calle")</f>
        <v>Cambiar la entrada del CADE patio bonito para que sea por la calle</v>
      </c>
      <c r="G3060" s="55" t="str">
        <f ca="1">IFERROR(__xludf.DUMMYFUNCTION("""COMPUTED_VALUE"""),"07. Bosa")</f>
        <v>07. Bosa</v>
      </c>
      <c r="H3060" s="55">
        <f ca="1">IFERROR(__xludf.DUMMYFUNCTION("""COMPUTED_VALUE"""),44632)</f>
        <v>44632</v>
      </c>
      <c r="I3060" s="25"/>
      <c r="J3060" s="55" t="str">
        <f ca="1">IFERROR(__xludf.DUMMYFUNCTION("""COMPUTED_VALUE"""),"Alta")</f>
        <v>Alta</v>
      </c>
      <c r="K3060" s="25">
        <f ca="1">IFERROR(__xludf.DUMMYFUNCTION("""COMPUTED_VALUE"""),30)</f>
        <v>30</v>
      </c>
      <c r="L3060" s="62">
        <f ca="1">IFERROR(__xludf.DUMMYFUNCTION("""COMPUTED_VALUE"""),44681)</f>
        <v>44681</v>
      </c>
      <c r="M3060" s="25" t="str">
        <f ca="1">IFERROR(__xludf.DUMMYFUNCTION("""COMPUTED_VALUE"""),"Se cuenta con registro fotográfico de la habilitación de la entrada por la calle 5. ""25/03/2022 Habilitación puerta Cade Patio Bonito sobre la calle 5: Se habilitó esta entrada, en mayo se dará inicio a las adecuaciones de la zona dura externa del Cade P"&amp;"atio Bonito, para el mejoramiento de andenes internos y zonas de circulación.
Se cuenta con registro fotográfico de la habilitación de la entrada por la calle 5. """)</f>
        <v>Se cuenta con registro fotográfico de la habilitación de la entrada por la calle 5. "25/03/2022 Habilitación puerta Cade Patio Bonito sobre la calle 5: Se habilitó esta entrada, en mayo se dará inicio a las adecuaciones de la zona dura externa del Cade Patio Bonito, para el mejoramiento de andenes internos y zonas de circulación.
Se cuenta con registro fotográfico de la habilitación de la entrada por la calle 5. "</v>
      </c>
      <c r="N3060" s="55">
        <f ca="1">IFERROR(__xludf.DUMMYFUNCTION("""COMPUTED_VALUE"""),44681)</f>
        <v>44681</v>
      </c>
      <c r="O3060" s="25" t="str">
        <f t="shared" ca="1" si="0"/>
        <v>Secretaría General</v>
      </c>
      <c r="P3060" s="25" t="str">
        <f t="shared" si="2"/>
        <v/>
      </c>
      <c r="Q3060" s="25" t="str">
        <f ca="1">IFERROR(__xludf.DUMMYFUNCTION("""COMPUTED_VALUE"""),"Corto plazo")</f>
        <v>Corto plazo</v>
      </c>
      <c r="R3060" s="25"/>
      <c r="S3060" s="55"/>
      <c r="T3060" s="56"/>
      <c r="U3060" s="25"/>
      <c r="V3060" s="25"/>
      <c r="W3060" s="25"/>
      <c r="X3060" s="25"/>
      <c r="Y3060" s="25"/>
      <c r="Z3060" s="25"/>
    </row>
    <row r="3061" spans="1:26" ht="52.5" customHeight="1" x14ac:dyDescent="0.25">
      <c r="A3061" s="25" t="str">
        <f ca="1">IFERROR(__xludf.DUMMYFUNCTION("""COMPUTED_VALUE"""),"Gesti59")</f>
        <v>Gesti59</v>
      </c>
      <c r="B3061" s="25" t="str">
        <f ca="1">IFERROR(__xludf.DUMMYFUNCTION("""COMPUTED_VALUE"""),"Datos abiertos de Bogotá y tablero de frentes de obra")</f>
        <v>Datos abiertos de Bogotá y tablero de frentes de obra</v>
      </c>
      <c r="C3061" s="55">
        <f ca="1">IFERROR(__xludf.DUMMYFUNCTION("""COMPUTED_VALUE"""),44610)</f>
        <v>44610</v>
      </c>
      <c r="D3061" s="25" t="str">
        <f ca="1">IFERROR(__xludf.DUMMYFUNCTION("""COMPUTED_VALUE"""),"Gestión_Pública")</f>
        <v>Gestión_Pública</v>
      </c>
      <c r="E3061" s="25" t="str">
        <f ca="1">IFERROR(__xludf.DUMMYFUNCTION("""COMPUTED_VALUE"""),"Secretaría General")</f>
        <v>Secretaría General</v>
      </c>
      <c r="F3061" s="25" t="str">
        <f ca="1">IFERROR(__xludf.DUMMYFUNCTION("""COMPUTED_VALUE"""),"Presentar y contar masivamente los portales y observatorios de Bogotá.")</f>
        <v>Presentar y contar masivamente los portales y observatorios de Bogotá.</v>
      </c>
      <c r="G3061" s="25" t="str">
        <f ca="1">IFERROR(__xludf.DUMMYFUNCTION("""COMPUTED_VALUE"""),"99. Distrito")</f>
        <v>99. Distrito</v>
      </c>
      <c r="H3061" s="55">
        <f ca="1">IFERROR(__xludf.DUMMYFUNCTION("""COMPUTED_VALUE"""),44640)</f>
        <v>44640</v>
      </c>
      <c r="I3061" s="25"/>
      <c r="J3061" s="55" t="str">
        <f ca="1">IFERROR(__xludf.DUMMYFUNCTION("""COMPUTED_VALUE"""),"Alta")</f>
        <v>Alta</v>
      </c>
      <c r="K3061" s="25">
        <f ca="1">IFERROR(__xludf.DUMMYFUNCTION("""COMPUTED_VALUE"""),30)</f>
        <v>30</v>
      </c>
      <c r="L3061" s="62">
        <f ca="1">IFERROR(__xludf.DUMMYFUNCTION("""COMPUTED_VALUE"""),44712)</f>
        <v>44712</v>
      </c>
      <c r="M3061" s="25" t="str">
        <f ca="1">IFERROR(__xludf.DUMMYFUNCTION("""COMPUTED_VALUE"""),"En cuanto a la tarea de presentar y contar masivamente los portales y observatorios de Bogotá. se avanzó en:
. Tablero de obras actualizado a 30/04/2022 el cual tiene como fin hacer seguimiento a las obras públicas realizadas en la ciudad.
https://bogota"&amp;".gov.co/asi-vamos/seguimiento-a-las-obras.
. Tablero de intervención vial actualizado a 27/05/2022,, el cual tiene como propósito dar a conocer el estado de las intervenciones viales en la Ciudad.
Avance reportado: 100%")</f>
        <v>En cuanto a la tarea de presentar y contar masivamente los portales y observatorios de Bogotá. se avanzó en:
. Tablero de obras actualizado a 30/04/2022 el cual tiene como fin hacer seguimiento a las obras públicas realizadas en la ciudad.
https://bogota.gov.co/asi-vamos/seguimiento-a-las-obras.
. Tablero de intervención vial actualizado a 27/05/2022,, el cual tiene como propósito dar a conocer el estado de las intervenciones viales en la Ciudad.
Avance reportado: 100%</v>
      </c>
      <c r="N3061" s="55">
        <f ca="1">IFERROR(__xludf.DUMMYFUNCTION("""COMPUTED_VALUE"""),44712)</f>
        <v>44712</v>
      </c>
      <c r="O3061" s="25" t="str">
        <f t="shared" ca="1" si="0"/>
        <v>Secretaría General</v>
      </c>
      <c r="P3061" s="25" t="str">
        <f t="shared" si="2"/>
        <v/>
      </c>
      <c r="Q3061" s="25" t="str">
        <f ca="1">IFERROR(__xludf.DUMMYFUNCTION("""COMPUTED_VALUE"""),"Corto plazo")</f>
        <v>Corto plazo</v>
      </c>
      <c r="R3061" s="25"/>
      <c r="S3061" s="55"/>
      <c r="T3061" s="56"/>
      <c r="U3061" s="25"/>
      <c r="V3061" s="25"/>
      <c r="W3061" s="25"/>
      <c r="X3061" s="25"/>
      <c r="Y3061" s="25"/>
      <c r="Z3061" s="25"/>
    </row>
    <row r="3062" spans="1:26" ht="52.5" customHeight="1" x14ac:dyDescent="0.25">
      <c r="A3062" s="25" t="str">
        <f ca="1">IFERROR(__xludf.DUMMYFUNCTION("""COMPUTED_VALUE"""),"Gesti60")</f>
        <v>Gesti60</v>
      </c>
      <c r="B3062" s="25" t="str">
        <f ca="1">IFERROR(__xludf.DUMMYFUNCTION("""COMPUTED_VALUE"""),"Datos abiertos de Bogotá y tablero de frentes de obra")</f>
        <v>Datos abiertos de Bogotá y tablero de frentes de obra</v>
      </c>
      <c r="C3062" s="55">
        <f ca="1">IFERROR(__xludf.DUMMYFUNCTION("""COMPUTED_VALUE"""),44610)</f>
        <v>44610</v>
      </c>
      <c r="D3062" s="25" t="str">
        <f ca="1">IFERROR(__xludf.DUMMYFUNCTION("""COMPUTED_VALUE"""),"Gestión_Pública")</f>
        <v>Gestión_Pública</v>
      </c>
      <c r="E3062" s="25" t="str">
        <f ca="1">IFERROR(__xludf.DUMMYFUNCTION("""COMPUTED_VALUE"""),"Secretaría General")</f>
        <v>Secretaría General</v>
      </c>
      <c r="F3062" s="25" t="str">
        <f ca="1">IFERROR(__xludf.DUMMYFUNCTION("""COMPUTED_VALUE"""),"Hacerle seguimiento a TransmiApp para que funcione de una vez.")</f>
        <v>Hacerle seguimiento a TransmiApp para que funcione de una vez.</v>
      </c>
      <c r="G3062" s="25" t="str">
        <f ca="1">IFERROR(__xludf.DUMMYFUNCTION("""COMPUTED_VALUE"""),"99. Distrito")</f>
        <v>99. Distrito</v>
      </c>
      <c r="H3062" s="55">
        <f ca="1">IFERROR(__xludf.DUMMYFUNCTION("""COMPUTED_VALUE"""),44640)</f>
        <v>44640</v>
      </c>
      <c r="I3062" s="25"/>
      <c r="J3062" s="55" t="str">
        <f ca="1">IFERROR(__xludf.DUMMYFUNCTION("""COMPUTED_VALUE"""),"Alta")</f>
        <v>Alta</v>
      </c>
      <c r="K3062" s="25">
        <f ca="1">IFERROR(__xludf.DUMMYFUNCTION("""COMPUTED_VALUE"""),30)</f>
        <v>30</v>
      </c>
      <c r="L3062" s="62">
        <f ca="1">IFERROR(__xludf.DUMMYFUNCTION("""COMPUTED_VALUE"""),44712)</f>
        <v>44712</v>
      </c>
      <c r="M3062" s="25" t="str">
        <f ca="1">IFERROR(__xludf.DUMMYFUNCTION("""COMPUTED_VALUE"""),"En cuanto al avance la tarea hacerle seguimiento a TransmiApp:
. Se realizó seguimiento y análisis técnico de la APP de transmileno.
. Se tuvo una reunión con transmilenio y se entregó el diagnóstico y las acciones de mejora. 
. Se sugiere cerrar la tare"&amp;"a, por cuanto la labor de Alta Consejería ya terminó. depende de Transmilenio el abordaje 
Avance: 100%")</f>
        <v>En cuanto al avance la tarea hacerle seguimiento a TransmiApp:
. Se realizó seguimiento y análisis técnico de la APP de transmileno.
. Se tuvo una reunión con transmilenio y se entregó el diagnóstico y las acciones de mejora. 
. Se sugiere cerrar la tarea, por cuanto la labor de Alta Consejería ya terminó. depende de Transmilenio el abordaje 
Avance: 100%</v>
      </c>
      <c r="N3062" s="55">
        <f ca="1">IFERROR(__xludf.DUMMYFUNCTION("""COMPUTED_VALUE"""),44712)</f>
        <v>44712</v>
      </c>
      <c r="O3062" s="25" t="str">
        <f t="shared" ca="1" si="0"/>
        <v>Secretaría General</v>
      </c>
      <c r="P3062" s="25" t="str">
        <f t="shared" si="2"/>
        <v/>
      </c>
      <c r="Q3062" s="25" t="str">
        <f ca="1">IFERROR(__xludf.DUMMYFUNCTION("""COMPUTED_VALUE"""),"Corto plazo")</f>
        <v>Corto plazo</v>
      </c>
      <c r="R3062" s="25"/>
      <c r="S3062" s="55"/>
      <c r="T3062" s="56"/>
      <c r="U3062" s="25"/>
      <c r="V3062" s="25"/>
      <c r="W3062" s="25"/>
      <c r="X3062" s="25"/>
      <c r="Y3062" s="25"/>
      <c r="Z3062" s="25"/>
    </row>
    <row r="3063" spans="1:26" ht="52.5" customHeight="1" x14ac:dyDescent="0.25">
      <c r="A3063" s="25" t="str">
        <f ca="1">IFERROR(__xludf.DUMMYFUNCTION("""COMPUTED_VALUE"""),"Gesti61")</f>
        <v>Gesti61</v>
      </c>
      <c r="B3063" s="25" t="str">
        <f ca="1">IFERROR(__xludf.DUMMYFUNCTION("""COMPUTED_VALUE"""),"Reunión Migración ")</f>
        <v xml:space="preserve">Reunión Migración </v>
      </c>
      <c r="C3063" s="55">
        <f ca="1">IFERROR(__xludf.DUMMYFUNCTION("""COMPUTED_VALUE"""),44634)</f>
        <v>44634</v>
      </c>
      <c r="D3063" s="25" t="str">
        <f ca="1">IFERROR(__xludf.DUMMYFUNCTION("""COMPUTED_VALUE"""),"Gestión_Pública")</f>
        <v>Gestión_Pública</v>
      </c>
      <c r="E3063" s="25" t="str">
        <f ca="1">IFERROR(__xludf.DUMMYFUNCTION("""COMPUTED_VALUE"""),"Alta Consejería para Asuntos Migratorios")</f>
        <v>Alta Consejería para Asuntos Migratorios</v>
      </c>
      <c r="F3063" s="25" t="str">
        <f ca="1">IFERROR(__xludf.DUMMYFUNCTION("""COMPUTED_VALUE"""),"Terminar el módulo de migraciones en Centro Gobierno y darlo a conocer al público.")</f>
        <v>Terminar el módulo de migraciones en Centro Gobierno y darlo a conocer al público.</v>
      </c>
      <c r="G3063" s="25" t="str">
        <f ca="1">IFERROR(__xludf.DUMMYFUNCTION("""COMPUTED_VALUE"""),"99. Distrito")</f>
        <v>99. Distrito</v>
      </c>
      <c r="H3063" s="55">
        <f ca="1">IFERROR(__xludf.DUMMYFUNCTION("""COMPUTED_VALUE"""),45135)</f>
        <v>45135</v>
      </c>
      <c r="I3063" s="25" t="str">
        <f ca="1">IFERROR(__xludf.DUMMYFUNCTION("""COMPUTED_VALUE"""),"Delivery Unit")</f>
        <v>Delivery Unit</v>
      </c>
      <c r="J3063" s="55" t="str">
        <f ca="1">IFERROR(__xludf.DUMMYFUNCTION("""COMPUTED_VALUE"""),"Baja")</f>
        <v>Baja</v>
      </c>
      <c r="K3063" s="25">
        <f ca="1">IFERROR(__xludf.DUMMYFUNCTION("""COMPUTED_VALUE"""),501)</f>
        <v>501</v>
      </c>
      <c r="L3063" s="62">
        <f ca="1">IFERROR(__xludf.DUMMYFUNCTION("""COMPUTED_VALUE"""),45077)</f>
        <v>45077</v>
      </c>
      <c r="M3063" s="25" t="str">
        <f ca="1">IFERROR(__xludf.DUMMYFUNCTION("""COMPUTED_VALUE"""),"Avance: 90% 
En cuanto a la tarea ""Terminar el módulo de migraciones en Centro de Gobierno y darlo conocer al público"", la información se encuentra en un Power BI en el Centro de Gobierno, se avanzó en la socialización del módulo de migraciones en la úl"&amp;"tima reunión de las Unidades Técnicas de Apoyo (UTAS) de la Comisión Intersectorial de Flujos Migratorios Mixtos, se informó sobre el contenido del módulo de migraciones y se informó a la Secretaría Técnica de la Comisión sobre este módulo.")</f>
        <v>Avance: 90% 
En cuanto a la tarea "Terminar el módulo de migraciones en Centro de Gobierno y darlo conocer al público", la información se encuentra en un Power BI en el Centro de Gobierno, se avanzó en la socialización del módulo de migraciones en la última reunión de las Unidades Técnicas de Apoyo (UTAS) de la Comisión Intersectorial de Flujos Migratorios Mixtos, se informó sobre el contenido del módulo de migraciones y se informó a la Secretaría Técnica de la Comisión sobre este módulo.</v>
      </c>
      <c r="N3063" s="25"/>
      <c r="O3063" s="25" t="str">
        <f t="shared" ca="1" si="0"/>
        <v>Alta Consejería para Asuntos Migratorios</v>
      </c>
      <c r="P3063" s="25" t="str">
        <f t="shared" ca="1" si="2"/>
        <v/>
      </c>
      <c r="Q3063" s="25" t="str">
        <f ca="1">IFERROR(__xludf.DUMMYFUNCTION("""COMPUTED_VALUE"""),"Largo plazo")</f>
        <v>Largo plazo</v>
      </c>
      <c r="R3063" s="25"/>
      <c r="S3063" s="55"/>
      <c r="T3063" s="56"/>
      <c r="U3063" s="25"/>
      <c r="V3063" s="25"/>
      <c r="W3063" s="25"/>
      <c r="X3063" s="25"/>
      <c r="Y3063" s="25"/>
      <c r="Z3063" s="25"/>
    </row>
    <row r="3064" spans="1:26" ht="52.5" customHeight="1" x14ac:dyDescent="0.25">
      <c r="A3064" s="25" t="str">
        <f ca="1">IFERROR(__xludf.DUMMYFUNCTION("""COMPUTED_VALUE"""),"Gesti62")</f>
        <v>Gesti62</v>
      </c>
      <c r="B3064" s="25" t="str">
        <f ca="1">IFERROR(__xludf.DUMMYFUNCTION("""COMPUTED_VALUE"""),"Reunión Migración ")</f>
        <v xml:space="preserve">Reunión Migración </v>
      </c>
      <c r="C3064" s="55">
        <f ca="1">IFERROR(__xludf.DUMMYFUNCTION("""COMPUTED_VALUE"""),44634)</f>
        <v>44634</v>
      </c>
      <c r="D3064" s="25" t="str">
        <f ca="1">IFERROR(__xludf.DUMMYFUNCTION("""COMPUTED_VALUE"""),"Gestión_Pública")</f>
        <v>Gestión_Pública</v>
      </c>
      <c r="E3064" s="25" t="str">
        <f ca="1">IFERROR(__xludf.DUMMYFUNCTION("""COMPUTED_VALUE"""),"Alta Consejería para Asuntos Migratorios")</f>
        <v>Alta Consejería para Asuntos Migratorios</v>
      </c>
      <c r="F3064" s="25" t="str">
        <f ca="1">IFERROR(__xludf.DUMMYFUNCTION("""COMPUTED_VALUE"""),"Confirmar montos de cuanto se está destinando por parte del distrito para la atención e integración de los migrantes en Bogotá.")</f>
        <v>Confirmar montos de cuanto se está destinando por parte del distrito para la atención e integración de los migrantes en Bogotá.</v>
      </c>
      <c r="G3064" s="25" t="str">
        <f ca="1">IFERROR(__xludf.DUMMYFUNCTION("""COMPUTED_VALUE"""),"99. Distrito")</f>
        <v>99. Distrito</v>
      </c>
      <c r="H3064" s="55">
        <f ca="1">IFERROR(__xludf.DUMMYFUNCTION("""COMPUTED_VALUE"""),44680)</f>
        <v>44680</v>
      </c>
      <c r="I3064" s="25"/>
      <c r="J3064" s="55" t="str">
        <f ca="1">IFERROR(__xludf.DUMMYFUNCTION("""COMPUTED_VALUE"""),"Alta")</f>
        <v>Alta</v>
      </c>
      <c r="K3064" s="25">
        <f ca="1">IFERROR(__xludf.DUMMYFUNCTION("""COMPUTED_VALUE"""),46)</f>
        <v>46</v>
      </c>
      <c r="L3064" s="62">
        <f ca="1">IFERROR(__xludf.DUMMYFUNCTION("""COMPUTED_VALUE"""),44712)</f>
        <v>44712</v>
      </c>
      <c r="M3064" s="25" t="str">
        <f ca="1">IFERROR(__xludf.DUMMYFUNCTION("""COMPUTED_VALUE"""),"A 22 de mayo y con motivo de una solicitud de la Contraloría, se obtuvo una confirmación de los montos invertidos por la Alcaldía Mayor de Bogotá, especialmente distribuidos en las 6 Secretarías que abordan el tema (Salud, Educación, Cultura, Desarrollo E"&amp;"conómico, Integración Social, Mujer) en la atención a población migrante. 
Avance: 100%")</f>
        <v>A 22 de mayo y con motivo de una solicitud de la Contraloría, se obtuvo una confirmación de los montos invertidos por la Alcaldía Mayor de Bogotá, especialmente distribuidos en las 6 Secretarías que abordan el tema (Salud, Educación, Cultura, Desarrollo Económico, Integración Social, Mujer) en la atención a población migrante. 
Avance: 100%</v>
      </c>
      <c r="N3064" s="55">
        <f ca="1">IFERROR(__xludf.DUMMYFUNCTION("""COMPUTED_VALUE"""),44712)</f>
        <v>44712</v>
      </c>
      <c r="O3064" s="25" t="str">
        <f t="shared" ca="1" si="0"/>
        <v>Alta Consejería para Asuntos Migratorios</v>
      </c>
      <c r="P3064" s="25" t="str">
        <f t="shared" si="2"/>
        <v/>
      </c>
      <c r="Q3064" s="25" t="str">
        <f ca="1">IFERROR(__xludf.DUMMYFUNCTION("""COMPUTED_VALUE"""),"Corto plazo")</f>
        <v>Corto plazo</v>
      </c>
      <c r="R3064" s="25"/>
      <c r="S3064" s="55"/>
      <c r="T3064" s="56"/>
      <c r="U3064" s="25"/>
      <c r="V3064" s="25"/>
      <c r="W3064" s="25"/>
      <c r="X3064" s="25"/>
      <c r="Y3064" s="25"/>
      <c r="Z3064" s="25"/>
    </row>
    <row r="3065" spans="1:26" ht="52.5" customHeight="1" x14ac:dyDescent="0.25">
      <c r="A3065" s="25" t="str">
        <f ca="1">IFERROR(__xludf.DUMMYFUNCTION("""COMPUTED_VALUE"""),"Gesti63")</f>
        <v>Gesti63</v>
      </c>
      <c r="B3065" s="25" t="str">
        <f ca="1">IFERROR(__xludf.DUMMYFUNCTION("""COMPUTED_VALUE"""),"Reunión Migración ")</f>
        <v xml:space="preserve">Reunión Migración </v>
      </c>
      <c r="C3065" s="55">
        <f ca="1">IFERROR(__xludf.DUMMYFUNCTION("""COMPUTED_VALUE"""),44634)</f>
        <v>44634</v>
      </c>
      <c r="D3065" s="25" t="str">
        <f ca="1">IFERROR(__xludf.DUMMYFUNCTION("""COMPUTED_VALUE"""),"Gestión_Pública")</f>
        <v>Gestión_Pública</v>
      </c>
      <c r="E3065" s="25" t="str">
        <f ca="1">IFERROR(__xludf.DUMMYFUNCTION("""COMPUTED_VALUE"""),"Alta Consejería para Asuntos Migratorios")</f>
        <v>Alta Consejería para Asuntos Migratorios</v>
      </c>
      <c r="F3065" s="25" t="str">
        <f ca="1">IFERROR(__xludf.DUMMYFUNCTION("""COMPUTED_VALUE"""),"Proponer un nuevo enfoque de acogida e inclusión para colombianos, migrantes e inversores extranjeros, “nuevos bogotanos”.")</f>
        <v>Proponer un nuevo enfoque de acogida e inclusión para colombianos, migrantes e inversores extranjeros, “nuevos bogotanos”.</v>
      </c>
      <c r="G3065" s="25" t="str">
        <f ca="1">IFERROR(__xludf.DUMMYFUNCTION("""COMPUTED_VALUE"""),"99. Distrito")</f>
        <v>99. Distrito</v>
      </c>
      <c r="H3065" s="55">
        <f ca="1">IFERROR(__xludf.DUMMYFUNCTION("""COMPUTED_VALUE"""),44680)</f>
        <v>44680</v>
      </c>
      <c r="I3065" s="25"/>
      <c r="J3065" s="55" t="str">
        <f ca="1">IFERROR(__xludf.DUMMYFUNCTION("""COMPUTED_VALUE"""),"Alta")</f>
        <v>Alta</v>
      </c>
      <c r="K3065" s="25">
        <f ca="1">IFERROR(__xludf.DUMMYFUNCTION("""COMPUTED_VALUE"""),46)</f>
        <v>46</v>
      </c>
      <c r="L3065" s="62">
        <f ca="1">IFERROR(__xludf.DUMMYFUNCTION("""COMPUTED_VALUE"""),44804)</f>
        <v>44804</v>
      </c>
      <c r="M3065" s="25" t="str">
        <f ca="1">IFERROR(__xludf.DUMMYFUNCTION("""COMPUTED_VALUE"""),"Avance: se mantiene el avance 100%
Fecha estimada de terminación: 31/8/2022.
La Alcaldesa lanzó la Estrategia INTEGRATE-SUPERCADES el 31 de agosto 2022 en los supercades de SUBA, CAD y Engativá para atención integral e integración de los ""Nuevos Bogotan"&amp;"os"".
Enlaces soporte: 
https://bogota.gov.co/mi-ciudad/gestion-publica/distrito-fortalece-los-servicios-para-los-nuevos-bogotanos-y-bogotanas
https://www.elespectador.com/bogota/integrate-la-estrategia-distrital-para-atencion-de-refugiados-migrantes-noti"&amp;"cias-bogota-hoy/
")</f>
        <v xml:space="preserve">Avance: se mantiene el avance 100%
Fecha estimada de terminación: 31/8/2022.
La Alcaldesa lanzó la Estrategia INTEGRATE-SUPERCADES el 31 de agosto 2022 en los supercades de SUBA, CAD y Engativá para atención integral e integración de los "Nuevos Bogotanos".
Enlaces soporte: 
https://bogota.gov.co/mi-ciudad/gestion-publica/distrito-fortalece-los-servicios-para-los-nuevos-bogotanos-y-bogotanas
https://www.elespectador.com/bogota/integrate-la-estrategia-distrital-para-atencion-de-refugiados-migrantes-noticias-bogota-hoy/
</v>
      </c>
      <c r="N3065" s="55">
        <f ca="1">IFERROR(__xludf.DUMMYFUNCTION("""COMPUTED_VALUE"""),44804)</f>
        <v>44804</v>
      </c>
      <c r="O3065" s="25" t="str">
        <f t="shared" ca="1" si="0"/>
        <v>Alta Consejería para Asuntos Migratorios</v>
      </c>
      <c r="P3065" s="25" t="str">
        <f t="shared" si="2"/>
        <v/>
      </c>
      <c r="Q3065" s="25" t="str">
        <f ca="1">IFERROR(__xludf.DUMMYFUNCTION("""COMPUTED_VALUE"""),"Corto plazo")</f>
        <v>Corto plazo</v>
      </c>
      <c r="R3065" s="25"/>
      <c r="S3065" s="55"/>
      <c r="T3065" s="56"/>
      <c r="U3065" s="25"/>
      <c r="V3065" s="25"/>
      <c r="W3065" s="25"/>
      <c r="X3065" s="25"/>
      <c r="Y3065" s="25"/>
      <c r="Z3065" s="25"/>
    </row>
    <row r="3066" spans="1:26" ht="52.5" customHeight="1" x14ac:dyDescent="0.25">
      <c r="A3066" s="25" t="str">
        <f ca="1">IFERROR(__xludf.DUMMYFUNCTION("""COMPUTED_VALUE"""),"Gesti64")</f>
        <v>Gesti64</v>
      </c>
      <c r="B3066" s="25" t="str">
        <f ca="1">IFERROR(__xludf.DUMMYFUNCTION("""COMPUTED_VALUE"""),"Reunión Migración ")</f>
        <v xml:space="preserve">Reunión Migración </v>
      </c>
      <c r="C3066" s="55">
        <f ca="1">IFERROR(__xludf.DUMMYFUNCTION("""COMPUTED_VALUE"""),44634)</f>
        <v>44634</v>
      </c>
      <c r="D3066" s="25" t="str">
        <f ca="1">IFERROR(__xludf.DUMMYFUNCTION("""COMPUTED_VALUE"""),"Gestión_Pública")</f>
        <v>Gestión_Pública</v>
      </c>
      <c r="E3066" s="25" t="str">
        <f ca="1">IFERROR(__xludf.DUMMYFUNCTION("""COMPUTED_VALUE"""),"Alta Consejería para Asuntos Migratorios")</f>
        <v>Alta Consejería para Asuntos Migratorios</v>
      </c>
      <c r="F3066" s="25" t="str">
        <f ca="1">IFERROR(__xludf.DUMMYFUNCTION("""COMPUTED_VALUE"""),"Diseñar y poner en marcha una campaña de comunicaciones para los “Nuevos Bogotanos”.")</f>
        <v>Diseñar y poner en marcha una campaña de comunicaciones para los “Nuevos Bogotanos”.</v>
      </c>
      <c r="G3066" s="25" t="str">
        <f ca="1">IFERROR(__xludf.DUMMYFUNCTION("""COMPUTED_VALUE"""),"99. Distrito")</f>
        <v>99. Distrito</v>
      </c>
      <c r="H3066" s="55">
        <f ca="1">IFERROR(__xludf.DUMMYFUNCTION("""COMPUTED_VALUE"""),45105)</f>
        <v>45105</v>
      </c>
      <c r="I3066" s="25" t="str">
        <f ca="1">IFERROR(__xludf.DUMMYFUNCTION("""COMPUTED_VALUE"""),"Delivery Unit")</f>
        <v>Delivery Unit</v>
      </c>
      <c r="J3066" s="55" t="str">
        <f ca="1">IFERROR(__xludf.DUMMYFUNCTION("""COMPUTED_VALUE"""),"Baja")</f>
        <v>Baja</v>
      </c>
      <c r="K3066" s="25">
        <f ca="1">IFERROR(__xludf.DUMMYFUNCTION("""COMPUTED_VALUE"""),471)</f>
        <v>471</v>
      </c>
      <c r="L3066" s="62">
        <f ca="1">IFERROR(__xludf.DUMMYFUNCTION("""COMPUTED_VALUE"""),45077)</f>
        <v>45077</v>
      </c>
      <c r="M3066" s="25" t="str">
        <f ca="1">IFERROR(__xludf.DUMMYFUNCTION("""COMPUTED_VALUE"""),"Avance: 80%
En cuanto a la tarea Diseñar y poner en marcha una campaña de comunicaciones para los “Nuevos Bogotanos”, el Equipo de Asuntos Migratorios ha posicionado la nueva narrativa de los nuevos bogotanos en los espacios que ha asistido: en la reunión"&amp;" de las Unidades Técnicas de Apoyo (UTAS) de la Comisión Intersectorial realizada el 26 de mayo, en la reunión de la presentación  del informe presentado por Global Opportunity Youth Network (GOYN), donde se recomendó utilizar la narrativa de los nuevos b"&amp;"ogotanos y finalmente en la intervención durante la presentación del Informe: ""Migrants, Refugees and Societies"" realizado el 17 de mayo en la Universidad del Rosario, donde la Alcaldesa posicionó nuevamente la narrativa de los nuevos bogotanos.")</f>
        <v>Avance: 80%
En cuanto a la tarea Diseñar y poner en marcha una campaña de comunicaciones para los “Nuevos Bogotanos”, el Equipo de Asuntos Migratorios ha posicionado la nueva narrativa de los nuevos bogotanos en los espacios que ha asistido: en la reunión de las Unidades Técnicas de Apoyo (UTAS) de la Comisión Intersectorial realizada el 26 de mayo, en la reunión de la presentación  del informe presentado por Global Opportunity Youth Network (GOYN), donde se recomendó utilizar la narrativa de los nuevos bogotanos y finalmente en la intervención durante la presentación del Informe: "Migrants, Refugees and Societies" realizado el 17 de mayo en la Universidad del Rosario, donde la Alcaldesa posicionó nuevamente la narrativa de los nuevos bogotanos.</v>
      </c>
      <c r="N3066" s="25"/>
      <c r="O3066" s="25" t="str">
        <f t="shared" ca="1" si="0"/>
        <v>Alta Consejería para Asuntos Migratorios</v>
      </c>
      <c r="P3066" s="25" t="str">
        <f t="shared" ca="1" si="2"/>
        <v/>
      </c>
      <c r="Q3066" s="25" t="str">
        <f ca="1">IFERROR(__xludf.DUMMYFUNCTION("""COMPUTED_VALUE"""),"Largo plazo")</f>
        <v>Largo plazo</v>
      </c>
      <c r="R3066" s="25"/>
      <c r="S3066" s="55"/>
      <c r="T3066" s="56"/>
      <c r="U3066" s="25"/>
      <c r="V3066" s="25"/>
      <c r="W3066" s="25"/>
      <c r="X3066" s="25"/>
      <c r="Y3066" s="25"/>
      <c r="Z3066" s="25"/>
    </row>
    <row r="3067" spans="1:26" ht="52.5" customHeight="1" x14ac:dyDescent="0.25">
      <c r="A3067" s="25" t="str">
        <f ca="1">IFERROR(__xludf.DUMMYFUNCTION("""COMPUTED_VALUE"""),"Gesti65")</f>
        <v>Gesti65</v>
      </c>
      <c r="B3067" s="25" t="str">
        <f ca="1">IFERROR(__xludf.DUMMYFUNCTION("""COMPUTED_VALUE"""),"Despachando Gestión Pública ")</f>
        <v xml:space="preserve">Despachando Gestión Pública </v>
      </c>
      <c r="C3067" s="55">
        <f ca="1">IFERROR(__xludf.DUMMYFUNCTION("""COMPUTED_VALUE"""),44645)</f>
        <v>44645</v>
      </c>
      <c r="D3067" s="25" t="str">
        <f ca="1">IFERROR(__xludf.DUMMYFUNCTION("""COMPUTED_VALUE"""),"Gestión_Pública")</f>
        <v>Gestión_Pública</v>
      </c>
      <c r="E3067" s="25" t="str">
        <f ca="1">IFERROR(__xludf.DUMMYFUNCTION("""COMPUTED_VALUE"""),"Secretaría General")</f>
        <v>Secretaría General</v>
      </c>
      <c r="F3067" s="25" t="str">
        <f ca="1">IFERROR(__xludf.DUMMYFUNCTION("""COMPUTED_VALUE"""),"Lograr que toda la oferta de servicios del Distrito Capital quede enlazada a la página web de la Alcaldía Mayor de Bogotá, con el objetivo de lograr un mayor alcance y facilitar la búsqueda por parte de la ciudadanía.")</f>
        <v>Lograr que toda la oferta de servicios del Distrito Capital quede enlazada a la página web de la Alcaldía Mayor de Bogotá, con el objetivo de lograr un mayor alcance y facilitar la búsqueda por parte de la ciudadanía.</v>
      </c>
      <c r="G3067" s="25" t="str">
        <f ca="1">IFERROR(__xludf.DUMMYFUNCTION("""COMPUTED_VALUE"""),"99. Distrito")</f>
        <v>99. Distrito</v>
      </c>
      <c r="H3067" s="55">
        <f ca="1">IFERROR(__xludf.DUMMYFUNCTION("""COMPUTED_VALUE"""),44675)</f>
        <v>44675</v>
      </c>
      <c r="I3067" s="25"/>
      <c r="J3067" s="55" t="str">
        <f ca="1">IFERROR(__xludf.DUMMYFUNCTION("""COMPUTED_VALUE"""),"Alta")</f>
        <v>Alta</v>
      </c>
      <c r="K3067" s="25">
        <f ca="1">IFERROR(__xludf.DUMMYFUNCTION("""COMPUTED_VALUE"""),30)</f>
        <v>30</v>
      </c>
      <c r="L3067" s="62">
        <f ca="1">IFERROR(__xludf.DUMMYFUNCTION("""COMPUTED_VALUE"""),44804)</f>
        <v>44804</v>
      </c>
      <c r="M3067" s="25" t="str">
        <f ca="1">IFERROR(__xludf.DUMMYFUNCTION("""COMPUTED_VALUE"""),"Avance: 100% la dependencia reporta cumplimiento de la tarea
En cuanto a la tarea ""Lograr que toda la oferta de servicios del Distrito Capital quede enlazada a la página web de la Alcaldía Mayor de Bogotá, con el objetivo de lograr un mayor alcance y fa"&amp;"cilitar la búsqueda por parte de la ciudadanía"", se reporta el cumplimiento de la 100%, toda vez que desde la parte técnica se logró la migración de Guía de Trámites, la creación del Portal de Oportunidades y la de creación de Agenda Cultural en la págin"&amp;"a del portal Bogotá.
Portal Bogotá ya cuenta con 5 micrositios que consolidan diferentes ofertas: Portal de la Oportunidades, Agenda Cultura,Oferta Educativa, Vacunación y Guía de Trámites/Servicios. Esos micrositios se han venido optimizando y su conten"&amp;"ido se mantiene actualizado. Aquí los links:
https://bogota.gov.co/servicios/oportunidades-y-apoyos
https://bogota.gov.co/que-hacer/agenda-cultural
https://bogota.gov.co/que-hacer/formacion
https://bogota.gov.co/servicios/guia-de-tramites-y-servicios
http"&amp;"s://bogota.gov.co/vacunacion-covid-19/
")</f>
        <v xml:space="preserve">Avance: 100% la dependencia reporta cumplimiento de la tarea
En cuanto a la tarea "Lograr que toda la oferta de servicios del Distrito Capital quede enlazada a la página web de la Alcaldía Mayor de Bogotá, con el objetivo de lograr un mayor alcance y facilitar la búsqueda por parte de la ciudadanía", se reporta el cumplimiento de la 100%, toda vez que desde la parte técnica se logró la migración de Guía de Trámites, la creación del Portal de Oportunidades y la de creación de Agenda Cultural en la página del portal Bogotá.
Portal Bogotá ya cuenta con 5 micrositios que consolidan diferentes ofertas: Portal de la Oportunidades, Agenda Cultura,Oferta Educativa, Vacunación y Guía de Trámites/Servicios. Esos micrositios se han venido optimizando y su contenido se mantiene actualizado. Aquí los links:
https://bogota.gov.co/servicios/oportunidades-y-apoyos
https://bogota.gov.co/que-hacer/agenda-cultural
https://bogota.gov.co/que-hacer/formacion
https://bogota.gov.co/servicios/guia-de-tramites-y-servicios
https://bogota.gov.co/vacunacion-covid-19/
</v>
      </c>
      <c r="N3067" s="55">
        <f ca="1">IFERROR(__xludf.DUMMYFUNCTION("""COMPUTED_VALUE"""),44804)</f>
        <v>44804</v>
      </c>
      <c r="O3067" s="25" t="str">
        <f t="shared" ca="1" si="0"/>
        <v>Secretaría General</v>
      </c>
      <c r="P3067" s="25" t="str">
        <f t="shared" si="2"/>
        <v/>
      </c>
      <c r="Q3067" s="25" t="str">
        <f ca="1">IFERROR(__xludf.DUMMYFUNCTION("""COMPUTED_VALUE"""),"Corto plazo")</f>
        <v>Corto plazo</v>
      </c>
      <c r="R3067" s="25"/>
      <c r="S3067" s="55"/>
      <c r="T3067" s="56"/>
      <c r="U3067" s="25"/>
      <c r="V3067" s="25"/>
      <c r="W3067" s="25"/>
      <c r="X3067" s="25"/>
      <c r="Y3067" s="25"/>
      <c r="Z3067" s="25"/>
    </row>
    <row r="3068" spans="1:26" ht="52.5" customHeight="1" x14ac:dyDescent="0.25">
      <c r="A3068" s="25" t="str">
        <f ca="1">IFERROR(__xludf.DUMMYFUNCTION("""COMPUTED_VALUE"""),"Gesti66")</f>
        <v>Gesti66</v>
      </c>
      <c r="B3068" s="25" t="str">
        <f ca="1">IFERROR(__xludf.DUMMYFUNCTION("""COMPUTED_VALUE"""),"Despachando Gestión Pública ")</f>
        <v xml:space="preserve">Despachando Gestión Pública </v>
      </c>
      <c r="C3068" s="55">
        <f ca="1">IFERROR(__xludf.DUMMYFUNCTION("""COMPUTED_VALUE"""),44645)</f>
        <v>44645</v>
      </c>
      <c r="D3068" s="25" t="str">
        <f ca="1">IFERROR(__xludf.DUMMYFUNCTION("""COMPUTED_VALUE"""),"Gestión_Pública")</f>
        <v>Gestión_Pública</v>
      </c>
      <c r="E3068" s="25" t="str">
        <f ca="1">IFERROR(__xludf.DUMMYFUNCTION("""COMPUTED_VALUE"""),"Secretaría General")</f>
        <v>Secretaría General</v>
      </c>
      <c r="F3068" s="25" t="str">
        <f ca="1">IFERROR(__xludf.DUMMYFUNCTION("""COMPUTED_VALUE"""),"Garantizar que la Donaton “Bogotá Solidaria en Casa”, haga parte de la colección digital del proyecto Bogotá historia común 2.0.")</f>
        <v>Garantizar que la Donaton “Bogotá Solidaria en Casa”, haga parte de la colección digital del proyecto Bogotá historia común 2.0.</v>
      </c>
      <c r="G3068" s="25" t="str">
        <f ca="1">IFERROR(__xludf.DUMMYFUNCTION("""COMPUTED_VALUE"""),"99. Distrito")</f>
        <v>99. Distrito</v>
      </c>
      <c r="H3068" s="55">
        <f ca="1">IFERROR(__xludf.DUMMYFUNCTION("""COMPUTED_VALUE"""),44675)</f>
        <v>44675</v>
      </c>
      <c r="I3068" s="25"/>
      <c r="J3068" s="55" t="str">
        <f ca="1">IFERROR(__xludf.DUMMYFUNCTION("""COMPUTED_VALUE"""),"Alta")</f>
        <v>Alta</v>
      </c>
      <c r="K3068" s="25">
        <f ca="1">IFERROR(__xludf.DUMMYFUNCTION("""COMPUTED_VALUE"""),30)</f>
        <v>30</v>
      </c>
      <c r="L3068" s="62">
        <f ca="1">IFERROR(__xludf.DUMMYFUNCTION("""COMPUTED_VALUE"""),44813)</f>
        <v>44813</v>
      </c>
      <c r="M3068" s="25" t="str">
        <f ca="1">IFERROR(__xludf.DUMMYFUNCTION("""COMPUTED_VALUE"""),"En cuanto a la tarea de garantizar que la Donatón “Bogotá Solidaria en Casa”, haga parte de la colección digital del proyecto Bogotá historia común 2.0. se avanzó en:
""...En reunión efectuada entre la Secretaría de Integración Social y la Dirección Dist"&amp;"rital de Archivo de Bogotá, se pudo identificar que la estrategia Bogotá solidaria fue principalmente de origen institucional y de carácter asistencial, por lo que los soportes que documentan su implementación no se corresponden con el tipo de documentaci"&amp;"ón eminentemente comunitaria y de memoria local que busca recuperar y organizar el proyecto Bogotá historia común 2.0, del Archivo de Bogotá. Adicionalmente, el archivo de Bogotá propuso organizar un conjunto documental que dé cuenta de los principales hi"&amp;"tos de la administración de la alcaldesa López, que se va a organizar a partir de una actividad prevista para el año 2023, en el marco de la celebración de los 20 años del Archivo de Bogotá (DDAB) y que sería el ARCHI-FEST.
Por lo anterior, no es procede"&amp;"nte continuar con el reporte dado que como se evidencia en la información reportada el 10/08/2022 se concluyó que la información de la Donatón Bogotá Solidaria, es información institucional y no corresponde con el proyecto que busca identificar documentac"&amp;"ión de origen comunitario que se cuenta de las historias barriales...""")</f>
        <v>En cuanto a la tarea de garantizar que la Donatón “Bogotá Solidaria en Casa”, haga parte de la colección digital del proyecto Bogotá historia común 2.0. se avanzó en:
"...En reunión efectuada entre la Secretaría de Integración Social y la Dirección Distrital de Archivo de Bogotá, se pudo identificar que la estrategia Bogotá solidaria fue principalmente de origen institucional y de carácter asistencial, por lo que los soportes que documentan su implementación no se corresponden con el tipo de documentación eminentemente comunitaria y de memoria local que busca recuperar y organizar el proyecto Bogotá historia común 2.0, del Archivo de Bogotá. Adicionalmente, el archivo de Bogotá propuso organizar un conjunto documental que dé cuenta de los principales hitos de la administración de la alcaldesa López, que se va a organizar a partir de una actividad prevista para el año 2023, en el marco de la celebración de los 20 años del Archivo de Bogotá (DDAB) y que sería el ARCHI-FEST.
Por lo anterior, no es procedente continuar con el reporte dado que como se evidencia en la información reportada el 10/08/2022 se concluyó que la información de la Donatón Bogotá Solidaria, es información institucional y no corresponde con el proyecto que busca identificar documentación de origen comunitario que se cuenta de las historias barriales..."</v>
      </c>
      <c r="N3068" s="55">
        <f ca="1">IFERROR(__xludf.DUMMYFUNCTION("""COMPUTED_VALUE"""),44813)</f>
        <v>44813</v>
      </c>
      <c r="O3068" s="25" t="str">
        <f t="shared" ca="1" si="0"/>
        <v>Secretaría General</v>
      </c>
      <c r="P3068" s="25" t="str">
        <f t="shared" si="2"/>
        <v/>
      </c>
      <c r="Q3068" s="25" t="str">
        <f ca="1">IFERROR(__xludf.DUMMYFUNCTION("""COMPUTED_VALUE"""),"Corto plazo")</f>
        <v>Corto plazo</v>
      </c>
      <c r="R3068" s="25"/>
      <c r="S3068" s="55"/>
      <c r="T3068" s="56"/>
      <c r="U3068" s="25"/>
      <c r="V3068" s="25"/>
      <c r="W3068" s="25"/>
      <c r="X3068" s="25"/>
      <c r="Y3068" s="25"/>
      <c r="Z3068" s="25"/>
    </row>
    <row r="3069" spans="1:26" ht="52.5" customHeight="1" x14ac:dyDescent="0.25">
      <c r="A3069" s="25" t="str">
        <f ca="1">IFERROR(__xludf.DUMMYFUNCTION("""COMPUTED_VALUE"""),"Gesti67")</f>
        <v>Gesti67</v>
      </c>
      <c r="B3069" s="25" t="str">
        <f ca="1">IFERROR(__xludf.DUMMYFUNCTION("""COMPUTED_VALUE"""),"Instalación Comisión Intersectorial para flujos migratorios mixtos")</f>
        <v>Instalación Comisión Intersectorial para flujos migratorios mixtos</v>
      </c>
      <c r="C3069" s="55">
        <f ca="1">IFERROR(__xludf.DUMMYFUNCTION("""COMPUTED_VALUE"""),44649)</f>
        <v>44649</v>
      </c>
      <c r="D3069" s="25" t="str">
        <f ca="1">IFERROR(__xludf.DUMMYFUNCTION("""COMPUTED_VALUE"""),"Gestión_Pública")</f>
        <v>Gestión_Pública</v>
      </c>
      <c r="E3069" s="25" t="str">
        <f ca="1">IFERROR(__xludf.DUMMYFUNCTION("""COMPUTED_VALUE"""),"Alta Consejería para Asuntos Migratorios")</f>
        <v>Alta Consejería para Asuntos Migratorios</v>
      </c>
      <c r="F3069" s="25" t="str">
        <f ca="1">IFERROR(__xludf.DUMMYFUNCTION("""COMPUTED_VALUE"""),"Incluir en el Portal de las Oportunidades del Distrito la información y servicios a los que tienen acceso los “nuevos bogotanos” al igual que otros documentos para extranjeros en todos los sistemas de las diferentes entidades del Distrito.")</f>
        <v>Incluir en el Portal de las Oportunidades del Distrito la información y servicios a los que tienen acceso los “nuevos bogotanos” al igual que otros documentos para extranjeros en todos los sistemas de las diferentes entidades del Distrito.</v>
      </c>
      <c r="G3069" s="25" t="str">
        <f ca="1">IFERROR(__xludf.DUMMYFUNCTION("""COMPUTED_VALUE"""),"99. Distrito")</f>
        <v>99. Distrito</v>
      </c>
      <c r="H3069" s="55">
        <f ca="1">IFERROR(__xludf.DUMMYFUNCTION("""COMPUTED_VALUE"""),45135)</f>
        <v>45135</v>
      </c>
      <c r="I3069" s="25" t="str">
        <f ca="1">IFERROR(__xludf.DUMMYFUNCTION("""COMPUTED_VALUE"""),"Delivery Unit")</f>
        <v>Delivery Unit</v>
      </c>
      <c r="J3069" s="55" t="str">
        <f ca="1">IFERROR(__xludf.DUMMYFUNCTION("""COMPUTED_VALUE"""),"Baja")</f>
        <v>Baja</v>
      </c>
      <c r="K3069" s="25">
        <f ca="1">IFERROR(__xludf.DUMMYFUNCTION("""COMPUTED_VALUE"""),486)</f>
        <v>486</v>
      </c>
      <c r="L3069" s="62">
        <f ca="1">IFERROR(__xludf.DUMMYFUNCTION("""COMPUTED_VALUE"""),45077)</f>
        <v>45077</v>
      </c>
      <c r="M3069" s="25" t="str">
        <f ca="1">IFERROR(__xludf.DUMMYFUNCTION("""COMPUTED_VALUE"""),"Avance: 75%
En cuanto a la tarea ""Incluir en el Portal de las Oportunidades del Distrito la información y servicios a los que tienen acceso los Nuevos Bogotanos"", la Secretaría de Integración Social construyó un portafolio de servicios que ofrece cada e"&amp;"ntidad distrital para ser incluida en el portal de las Oportunidades del Distrito. ")</f>
        <v xml:space="preserve">Avance: 75%
En cuanto a la tarea "Incluir en el Portal de las Oportunidades del Distrito la información y servicios a los que tienen acceso los Nuevos Bogotanos", la Secretaría de Integración Social construyó un portafolio de servicios que ofrece cada entidad distrital para ser incluida en el portal de las Oportunidades del Distrito. </v>
      </c>
      <c r="N3069" s="25"/>
      <c r="O3069" s="25" t="str">
        <f t="shared" ca="1" si="0"/>
        <v>Alta Consejería para Asuntos Migratorios</v>
      </c>
      <c r="P3069" s="25" t="str">
        <f t="shared" ca="1" si="2"/>
        <v/>
      </c>
      <c r="Q3069" s="25" t="str">
        <f ca="1">IFERROR(__xludf.DUMMYFUNCTION("""COMPUTED_VALUE"""),"Largo plazo")</f>
        <v>Largo plazo</v>
      </c>
      <c r="R3069" s="25"/>
      <c r="S3069" s="55"/>
      <c r="T3069" s="56"/>
      <c r="U3069" s="25"/>
      <c r="V3069" s="25"/>
      <c r="W3069" s="25"/>
      <c r="X3069" s="25"/>
      <c r="Y3069" s="25"/>
      <c r="Z3069" s="25"/>
    </row>
    <row r="3070" spans="1:26" ht="52.5" customHeight="1" x14ac:dyDescent="0.25">
      <c r="A3070" s="25" t="str">
        <f ca="1">IFERROR(__xludf.DUMMYFUNCTION("""COMPUTED_VALUE"""),"Gesti68")</f>
        <v>Gesti68</v>
      </c>
      <c r="B3070" s="25" t="str">
        <f ca="1">IFERROR(__xludf.DUMMYFUNCTION("""COMPUTED_VALUE"""),"Comité de Justicia Transicional")</f>
        <v>Comité de Justicia Transicional</v>
      </c>
      <c r="C3070" s="55">
        <f ca="1">IFERROR(__xludf.DUMMYFUNCTION("""COMPUTED_VALUE"""),44725)</f>
        <v>44725</v>
      </c>
      <c r="D3070" s="25" t="str">
        <f ca="1">IFERROR(__xludf.DUMMYFUNCTION("""COMPUTED_VALUE"""),"Gestión_Pública")</f>
        <v>Gestión_Pública</v>
      </c>
      <c r="E3070" s="25" t="str">
        <f ca="1">IFERROR(__xludf.DUMMYFUNCTION("""COMPUTED_VALUE"""),"Alta Consejería para los Derechos de las Víctimas")</f>
        <v>Alta Consejería para los Derechos de las Víctimas</v>
      </c>
      <c r="F3070" s="25" t="str">
        <f ca="1">IFERROR(__xludf.DUMMYFUNCTION("""COMPUTED_VALUE"""),"Solicitar a la Unidad para las Víctimas que confirme por escrito la fecha exacta en la que realizará los giros de la ayuda humanitaria a las personas afectadas por el atentado terrorista en la localidad de Ciudad Bolívar, teniendo en cuenta que los hechos"&amp;" ocurrieron el pasado 26 de marzo de 2022 y se había previsto realizar los giros en un tiempo no mayor a dos semanas. Adicionalmente, se solicita informar el uno a una de las personas que, de acuerdo con las declaraciones dadas por la Unidad para la Vícti"&amp;"mas, no tienen la documentación completa para recibir el giro.")</f>
        <v>Solicitar a la Unidad para las Víctimas que confirme por escrito la fecha exacta en la que realizará los giros de la ayuda humanitaria a las personas afectadas por el atentado terrorista en la localidad de Ciudad Bolívar, teniendo en cuenta que los hechos ocurrieron el pasado 26 de marzo de 2022 y se había previsto realizar los giros en un tiempo no mayor a dos semanas. Adicionalmente, se solicita informar el uno a una de las personas que, de acuerdo con las declaraciones dadas por la Unidad para la Víctimas, no tienen la documentación completa para recibir el giro.</v>
      </c>
      <c r="G3070" s="25" t="str">
        <f ca="1">IFERROR(__xludf.DUMMYFUNCTION("""COMPUTED_VALUE"""),"19. Ciudad Bolívar")</f>
        <v>19. Ciudad Bolívar</v>
      </c>
      <c r="H3070" s="55">
        <f ca="1">IFERROR(__xludf.DUMMYFUNCTION("""COMPUTED_VALUE"""),44755)</f>
        <v>44755</v>
      </c>
      <c r="I3070" s="25"/>
      <c r="J3070" s="55" t="str">
        <f ca="1">IFERROR(__xludf.DUMMYFUNCTION("""COMPUTED_VALUE"""),"Alta")</f>
        <v>Alta</v>
      </c>
      <c r="K3070" s="25">
        <f ca="1">IFERROR(__xludf.DUMMYFUNCTION("""COMPUTED_VALUE"""),30)</f>
        <v>30</v>
      </c>
      <c r="L3070" s="62">
        <f ca="1">IFERROR(__xludf.DUMMYFUNCTION("""COMPUTED_VALUE"""),44861)</f>
        <v>44861</v>
      </c>
      <c r="M3070" s="25" t="str">
        <f ca="1">IFERROR(__xludf.DUMMYFUNCTION("""COMPUTED_VALUE"""),"Avance: 90%. 
Respuesta UARIV Radicado SIGA 1-2022-24241 del 23/8/2022                                                                                                                                                                                        "&amp;"                                                                                                                       7/06/2022. La Unidad para las Víctimas realizó la colocación de 220 giros por valor de $222.000.000, de los cuales han sido cobrados 173"&amp;" giros por valor de $173.000.000. Así mismo, se recibe archivo en Excel en el que se detalla el estado de cada uno de los giros por persona.")</f>
        <v>Avance: 90%. 
Respuesta UARIV Radicado SIGA 1-2022-24241 del 23/8/2022                                                                                                                                                                                                                                                                                                               7/06/2022. La Unidad para las Víctimas realizó la colocación de 220 giros por valor de $222.000.000, de los cuales han sido cobrados 173 giros por valor de $173.000.000. Así mismo, se recibe archivo en Excel en el que se detalla el estado de cada uno de los giros por persona.</v>
      </c>
      <c r="N3070" s="55">
        <f ca="1">IFERROR(__xludf.DUMMYFUNCTION("""COMPUTED_VALUE"""),44861)</f>
        <v>44861</v>
      </c>
      <c r="O3070" s="25" t="str">
        <f t="shared" ca="1" si="0"/>
        <v>Alta Consejería para los Derechos de las Víctimas</v>
      </c>
      <c r="P3070" s="25" t="str">
        <f t="shared" si="2"/>
        <v/>
      </c>
      <c r="Q3070" s="25" t="str">
        <f ca="1">IFERROR(__xludf.DUMMYFUNCTION("""COMPUTED_VALUE"""),"Corto plazo")</f>
        <v>Corto plazo</v>
      </c>
      <c r="R3070" s="25"/>
      <c r="S3070" s="55"/>
      <c r="T3070" s="56"/>
      <c r="U3070" s="25"/>
      <c r="V3070" s="25"/>
      <c r="W3070" s="25"/>
      <c r="X3070" s="25"/>
      <c r="Y3070" s="25"/>
      <c r="Z3070" s="25"/>
    </row>
    <row r="3071" spans="1:26" ht="52.5" customHeight="1" x14ac:dyDescent="0.25">
      <c r="A3071" s="25" t="str">
        <f ca="1">IFERROR(__xludf.DUMMYFUNCTION("""COMPUTED_VALUE"""),"Gesti69")</f>
        <v>Gesti69</v>
      </c>
      <c r="B3071" s="25" t="str">
        <f ca="1">IFERROR(__xludf.DUMMYFUNCTION("""COMPUTED_VALUE"""),"Comité de Justicia Transicional")</f>
        <v>Comité de Justicia Transicional</v>
      </c>
      <c r="C3071" s="55">
        <f ca="1">IFERROR(__xludf.DUMMYFUNCTION("""COMPUTED_VALUE"""),44725)</f>
        <v>44725</v>
      </c>
      <c r="D3071" s="25" t="str">
        <f ca="1">IFERROR(__xludf.DUMMYFUNCTION("""COMPUTED_VALUE"""),"Gestión_Pública")</f>
        <v>Gestión_Pública</v>
      </c>
      <c r="E3071" s="25" t="str">
        <f ca="1">IFERROR(__xludf.DUMMYFUNCTION("""COMPUTED_VALUE"""),"Alta Consejería para los Derechos de las Víctimas")</f>
        <v>Alta Consejería para los Derechos de las Víctimas</v>
      </c>
      <c r="F3071" s="25" t="str">
        <f ca="1">IFERROR(__xludf.DUMMYFUNCTION("""COMPUTED_VALUE"""),"Se solicita a la Secretaría Técnica del CDJT escalar requerimiento al Ministerio de Defensa actual y al entrante, solicitando la actualización de la Directiva 026 de 2014 y todas las normas derivadas que regulan el concepto de seguridad, de acuerdo con la"&amp;"s nuevas dinámicas del conflicto armado.")</f>
        <v>Se solicita a la Secretaría Técnica del CDJT escalar requerimiento al Ministerio de Defensa actual y al entrante, solicitando la actualización de la Directiva 026 de 2014 y todas las normas derivadas que regulan el concepto de seguridad, de acuerdo con las nuevas dinámicas del conflicto armado.</v>
      </c>
      <c r="G3071" s="25" t="str">
        <f ca="1">IFERROR(__xludf.DUMMYFUNCTION("""COMPUTED_VALUE"""),"99. Distrito")</f>
        <v>99. Distrito</v>
      </c>
      <c r="H3071" s="55">
        <f ca="1">IFERROR(__xludf.DUMMYFUNCTION("""COMPUTED_VALUE"""),44755)</f>
        <v>44755</v>
      </c>
      <c r="I3071" s="25"/>
      <c r="J3071" s="55" t="str">
        <f ca="1">IFERROR(__xludf.DUMMYFUNCTION("""COMPUTED_VALUE"""),"Alta")</f>
        <v>Alta</v>
      </c>
      <c r="K3071" s="25">
        <f ca="1">IFERROR(__xludf.DUMMYFUNCTION("""COMPUTED_VALUE"""),30)</f>
        <v>30</v>
      </c>
      <c r="L3071" s="62">
        <f ca="1">IFERROR(__xludf.DUMMYFUNCTION("""COMPUTED_VALUE"""),44893)</f>
        <v>44893</v>
      </c>
      <c r="M3071" s="25" t="str">
        <f ca="1">IFERROR(__xludf.DUMMYFUNCTION("""COMPUTED_VALUE"""),"Avance: 100%
Nota: Se solicita revisar el cierre de la tarea con base en la evidencia de reunión aportada por la Oficina de Alta Consejería de Paz, víctimas y reconciliación. 
Se sostuvo reunión el 23 de noviembre en las instalaciones del Ministerio de D"&amp;"efensa. Se abordaron las solicitudes escaladas en el marco del Comité Distrital de Justicia Transicional CDJT del 13 de junio relacionadas con la actualización de las directivas ministeriales relacionadas con el concepto de seguridad. 
De esta manera, se"&amp;" estableció el siguiente plan de trabajo:
• Realizar una Mesa Técnica con el Ministerio de Defensa, el Alto Comisionado de Paz, Fuerza Pública y las diferentes entidades distritales cuya misionalidad guarda relación con la favorabilidad o no del concepto "&amp;"de seguridad. Se definió la fecha del 6 de diciembre para su realización. 
• Realizar una reunión con las y los delegados de las víctimas al Comité Distrital de Justicia Transicional, la Dirección de DDHH y DIH del MinDefensa y la Alta Consejería de Paz "&amp;"el día 12 de diciembre.
• Realizar reunión con la Comisión Distrital de Bogotá del Ministerio Público para la Justicia Transicional, la Dirección de DDHH y DIH del MinDefensa y la Alta Consejería de Paz el día13 de diciembre.
La totalidad de compromisos"&amp;" se encuentran en al acta de la reunión. 
En esta reunión participaron: la Directora de Derechos Humanos y Derecho Internacional Humanitario del Ministerio de Defensa; el Alto consejero de Paz, Víctimas y Reconciliación; el Equipo de Prevención y Protecc"&amp;"ión y el Equipo Coordinación SDARIV de la Alta Consejería de Paz. ")</f>
        <v xml:space="preserve">Avance: 100%
Nota: Se solicita revisar el cierre de la tarea con base en la evidencia de reunión aportada por la Oficina de Alta Consejería de Paz, víctimas y reconciliación. 
Se sostuvo reunión el 23 de noviembre en las instalaciones del Ministerio de Defensa. Se abordaron las solicitudes escaladas en el marco del Comité Distrital de Justicia Transicional CDJT del 13 de junio relacionadas con la actualización de las directivas ministeriales relacionadas con el concepto de seguridad. 
De esta manera, se estableció el siguiente plan de trabajo:
• Realizar una Mesa Técnica con el Ministerio de Defensa, el Alto Comisionado de Paz, Fuerza Pública y las diferentes entidades distritales cuya misionalidad guarda relación con la favorabilidad o no del concepto de seguridad. Se definió la fecha del 6 de diciembre para su realización. 
• Realizar una reunión con las y los delegados de las víctimas al Comité Distrital de Justicia Transicional, la Dirección de DDHH y DIH del MinDefensa y la Alta Consejería de Paz el día 12 de diciembre.
• Realizar reunión con la Comisión Distrital de Bogotá del Ministerio Público para la Justicia Transicional, la Dirección de DDHH y DIH del MinDefensa y la Alta Consejería de Paz el día13 de diciembre.
La totalidad de compromisos se encuentran en al acta de la reunión. 
En esta reunión participaron: la Directora de Derechos Humanos y Derecho Internacional Humanitario del Ministerio de Defensa; el Alto consejero de Paz, Víctimas y Reconciliación; el Equipo de Prevención y Protección y el Equipo Coordinación SDARIV de la Alta Consejería de Paz. </v>
      </c>
      <c r="N3071" s="55">
        <f ca="1">IFERROR(__xludf.DUMMYFUNCTION("""COMPUTED_VALUE"""),44893)</f>
        <v>44893</v>
      </c>
      <c r="O3071" s="25" t="str">
        <f t="shared" ca="1" si="0"/>
        <v>Alta Consejería para los Derechos de las Víctimas</v>
      </c>
      <c r="P3071" s="25" t="str">
        <f t="shared" si="2"/>
        <v/>
      </c>
      <c r="Q3071" s="25" t="str">
        <f ca="1">IFERROR(__xludf.DUMMYFUNCTION("""COMPUTED_VALUE"""),"Corto plazo")</f>
        <v>Corto plazo</v>
      </c>
      <c r="R3071" s="25"/>
      <c r="S3071" s="55"/>
      <c r="T3071" s="56"/>
      <c r="U3071" s="25"/>
      <c r="V3071" s="25"/>
      <c r="W3071" s="25"/>
      <c r="X3071" s="25"/>
      <c r="Y3071" s="25"/>
      <c r="Z3071" s="25"/>
    </row>
    <row r="3072" spans="1:26" ht="52.5" customHeight="1" x14ac:dyDescent="0.25">
      <c r="A3072" s="25" t="str">
        <f ca="1">IFERROR(__xludf.DUMMYFUNCTION("""COMPUTED_VALUE"""),"Gesti70")</f>
        <v>Gesti70</v>
      </c>
      <c r="B3072" s="25" t="str">
        <f ca="1">IFERROR(__xludf.DUMMYFUNCTION("""COMPUTED_VALUE"""),"Reunión Proyecto estratégico Programas de Desarrollo con Enfoque Territorial")</f>
        <v>Reunión Proyecto estratégico Programas de Desarrollo con Enfoque Territorial</v>
      </c>
      <c r="C3072" s="55">
        <f ca="1">IFERROR(__xludf.DUMMYFUNCTION("""COMPUTED_VALUE"""),44775)</f>
        <v>44775</v>
      </c>
      <c r="D3072" s="25" t="str">
        <f ca="1">IFERROR(__xludf.DUMMYFUNCTION("""COMPUTED_VALUE"""),"Gestión_Pública")</f>
        <v>Gestión_Pública</v>
      </c>
      <c r="E3072" s="25" t="str">
        <f ca="1">IFERROR(__xludf.DUMMYFUNCTION("""COMPUTED_VALUE"""),"Alta Consejería para los Derechos de las Víctimas")</f>
        <v>Alta Consejería para los Derechos de las Víctimas</v>
      </c>
      <c r="F3072" s="25" t="str">
        <f ca="1">IFERROR(__xludf.DUMMYFUNCTION("""COMPUTED_VALUE"""),"Teniendo en cuenta los proyectos priorizados en la etapa de planeación participativa de los PDET, la Alta Consejería de Paz, Víctimas y Reconciliación postular los proyectos a los que haya lugar a través de los presupuestos participativos. ")</f>
        <v xml:space="preserve">Teniendo en cuenta los proyectos priorizados en la etapa de planeación participativa de los PDET, la Alta Consejería de Paz, Víctimas y Reconciliación postular los proyectos a los que haya lugar a través de los presupuestos participativos. </v>
      </c>
      <c r="G3072" s="25" t="str">
        <f ca="1">IFERROR(__xludf.DUMMYFUNCTION("""COMPUTED_VALUE"""),"99. Distrito")</f>
        <v>99. Distrito</v>
      </c>
      <c r="H3072" s="55">
        <f ca="1">IFERROR(__xludf.DUMMYFUNCTION("""COMPUTED_VALUE"""),44805)</f>
        <v>44805</v>
      </c>
      <c r="I3072" s="25"/>
      <c r="J3072" s="55" t="str">
        <f ca="1">IFERROR(__xludf.DUMMYFUNCTION("""COMPUTED_VALUE"""),"Alta")</f>
        <v>Alta</v>
      </c>
      <c r="K3072" s="25">
        <f ca="1">IFERROR(__xludf.DUMMYFUNCTION("""COMPUTED_VALUE"""),30)</f>
        <v>30</v>
      </c>
      <c r="L3072" s="62">
        <f ca="1">IFERROR(__xludf.DUMMYFUNCTION("""COMPUTED_VALUE"""),44861)</f>
        <v>44861</v>
      </c>
      <c r="M3072" s="25" t="str">
        <f ca="1">IFERROR(__xludf.DUMMYFUNCTION("""COMPUTED_VALUE"""),"Avance: 100%
Se logró brindar apoyo a las Alcaldías de Bosa, Ciudad Bolívar y Sumapaz en el acompañamiento de los laboratorios cívicos, en los que se postularon las propuestas con los siguientes resultados: 
* BOSA: realizados 12 laboratorios cívicos."&amp;" Se identifican a la fecha 33 iniciativas con metas trabajadas en laboratorios. 
Del total de iniciativas cargadas a la plataforma de PPs y sujetas a votación, se identificaron 16 propuestas aprobadas por los sectores que impactarían las iniciativas del "&amp;"PDET.
* CIUDAD BOLIVAR: realizados 11 laboratorios cívicos. 27 iniciativas a la fecha con metas propuestas en Laboratorios cívicos.
Del total de iniciativas cargadas a la plataforma de PPs y sujetas a votación, se identificaron 55 propuestas aprobadas"&amp;" por los sectores que impactarían las iniciativas del PDET.
Para estas dos localidades se llevaron a cabo reuniones con las Alcaldías Locales para promover las iniciativas identificadas en los puntos de votación presencial, y en las jornadas de socializa"&amp;"ción de las propuestas con la comunidad.
* SUMAPAZ: realizada una asamblea temática con relación al concepto de gasto de Memoria, Paz y Reconciliación. Producto de este encuentro, se formuló una iniciativa.")</f>
        <v>Avance: 100%
Se logró brindar apoyo a las Alcaldías de Bosa, Ciudad Bolívar y Sumapaz en el acompañamiento de los laboratorios cívicos, en los que se postularon las propuestas con los siguientes resultados: 
* BOSA: realizados 12 laboratorios cívicos. Se identifican a la fecha 33 iniciativas con metas trabajadas en laboratorios. 
Del total de iniciativas cargadas a la plataforma de PPs y sujetas a votación, se identificaron 16 propuestas aprobadas por los sectores que impactarían las iniciativas del PDET.
* CIUDAD BOLIVAR: realizados 11 laboratorios cívicos. 27 iniciativas a la fecha con metas propuestas en Laboratorios cívicos.
Del total de iniciativas cargadas a la plataforma de PPs y sujetas a votación, se identificaron 55 propuestas aprobadas por los sectores que impactarían las iniciativas del PDET.
Para estas dos localidades se llevaron a cabo reuniones con las Alcaldías Locales para promover las iniciativas identificadas en los puntos de votación presencial, y en las jornadas de socialización de las propuestas con la comunidad.
* SUMAPAZ: realizada una asamblea temática con relación al concepto de gasto de Memoria, Paz y Reconciliación. Producto de este encuentro, se formuló una iniciativa.</v>
      </c>
      <c r="N3072" s="55">
        <f ca="1">IFERROR(__xludf.DUMMYFUNCTION("""COMPUTED_VALUE"""),44861)</f>
        <v>44861</v>
      </c>
      <c r="O3072" s="25" t="str">
        <f t="shared" ca="1" si="0"/>
        <v>Alta Consejería para los Derechos de las Víctimas</v>
      </c>
      <c r="P3072" s="25" t="str">
        <f t="shared" si="2"/>
        <v/>
      </c>
      <c r="Q3072" s="25" t="str">
        <f ca="1">IFERROR(__xludf.DUMMYFUNCTION("""COMPUTED_VALUE"""),"Corto plazo")</f>
        <v>Corto plazo</v>
      </c>
      <c r="R3072" s="25"/>
      <c r="S3072" s="55"/>
      <c r="T3072" s="56"/>
      <c r="U3072" s="25"/>
      <c r="V3072" s="25"/>
      <c r="W3072" s="25"/>
      <c r="X3072" s="25"/>
      <c r="Y3072" s="25"/>
      <c r="Z3072" s="25"/>
    </row>
    <row r="3073" spans="1:26" ht="52.5" customHeight="1" x14ac:dyDescent="0.25">
      <c r="A3073" s="25" t="str">
        <f ca="1">IFERROR(__xludf.DUMMYFUNCTION("""COMPUTED_VALUE"""),"Gesti71")</f>
        <v>Gesti71</v>
      </c>
      <c r="B3073" s="25" t="str">
        <f ca="1">IFERROR(__xludf.DUMMYFUNCTION("""COMPUTED_VALUE"""),"Proyecto estratégico Programas de Desarrollo con Enfoque Territorial: 
")</f>
        <v xml:space="preserve">Proyecto estratégico Programas de Desarrollo con Enfoque Territorial: 
</v>
      </c>
      <c r="C3073" s="55">
        <f ca="1">IFERROR(__xludf.DUMMYFUNCTION("""COMPUTED_VALUE"""),44775)</f>
        <v>44775</v>
      </c>
      <c r="D3073" s="25" t="str">
        <f ca="1">IFERROR(__xludf.DUMMYFUNCTION("""COMPUTED_VALUE"""),"Gestión_Pública")</f>
        <v>Gestión_Pública</v>
      </c>
      <c r="E3073" s="25" t="str">
        <f ca="1">IFERROR(__xludf.DUMMYFUNCTION("""COMPUTED_VALUE"""),"Alta Consejería para los Derechos de las Víctimas")</f>
        <v>Alta Consejería para los Derechos de las Víctimas</v>
      </c>
      <c r="F3073" s="25" t="str">
        <f ca="1">IFERROR(__xludf.DUMMYFUNCTION("""COMPUTED_VALUE"""),"Diseñar plan de trabajo con acciones conjuntas de divulgación (incluída cátedras en colegios) de cara al informe final de la Comisión de la verdad en el marco del acuerdo de paz para el 2023.")</f>
        <v>Diseñar plan de trabajo con acciones conjuntas de divulgación (incluída cátedras en colegios) de cara al informe final de la Comisión de la verdad en el marco del acuerdo de paz para el 2023.</v>
      </c>
      <c r="G3073" s="25" t="str">
        <f ca="1">IFERROR(__xludf.DUMMYFUNCTION("""COMPUTED_VALUE"""),"99. Distrito")</f>
        <v>99. Distrito</v>
      </c>
      <c r="H3073" s="55">
        <f ca="1">IFERROR(__xludf.DUMMYFUNCTION("""COMPUTED_VALUE"""),44805)</f>
        <v>44805</v>
      </c>
      <c r="I3073" s="25"/>
      <c r="J3073" s="55" t="str">
        <f ca="1">IFERROR(__xludf.DUMMYFUNCTION("""COMPUTED_VALUE"""),"Alta")</f>
        <v>Alta</v>
      </c>
      <c r="K3073" s="25">
        <f ca="1">IFERROR(__xludf.DUMMYFUNCTION("""COMPUTED_VALUE"""),30)</f>
        <v>30</v>
      </c>
      <c r="L3073" s="62">
        <f ca="1">IFERROR(__xludf.DUMMYFUNCTION("""COMPUTED_VALUE"""),44861)</f>
        <v>44861</v>
      </c>
      <c r="M3073" s="25" t="str">
        <f ca="1">IFERROR(__xludf.DUMMYFUNCTION("""COMPUTED_VALUE"""),"Avance: 40% octubre
Fecha estimada de cumplimiento: 31/12/2022
La actividad fue modificada en el mes de septiembre; a corte 12 de octubre no se presentan avances, no hay dificultad, solo que los tiempos de reajuste e implementación de esta se reporta pos"&amp;"terior a la fecha de corte solicitada.
Avance: 
El 18 de octubre se asiste a espacio con los jóvenes de red de jóvenes y consejos de juventudes, esto ante solicitud de la secretaría de gobierno, donde la secretaria de educación y Dirección de Paz y reconc"&amp;"iliación de la ACPVR para analiza retos frente a las metodologías y participación de los jóvenes en la acciones y estrategias de divulgación del Informe de la CEV.
De otra parte, a corte 10 de diciembre se realizará la propuesta de diseño del Diseño del p"&amp;"lan de trabajo con acciones conjuntas de divulgación frente a la estrategia de territorialización del Informe de la CEV para el 2023.")</f>
        <v>Avance: 40% octubre
Fecha estimada de cumplimiento: 31/12/2022
La actividad fue modificada en el mes de septiembre; a corte 12 de octubre no se presentan avances, no hay dificultad, solo que los tiempos de reajuste e implementación de esta se reporta posterior a la fecha de corte solicitada.
Avance: 
El 18 de octubre se asiste a espacio con los jóvenes de red de jóvenes y consejos de juventudes, esto ante solicitud de la secretaría de gobierno, donde la secretaria de educación y Dirección de Paz y reconciliación de la ACPVR para analiza retos frente a las metodologías y participación de los jóvenes en la acciones y estrategias de divulgación del Informe de la CEV.
De otra parte, a corte 10 de diciembre se realizará la propuesta de diseño del Diseño del plan de trabajo con acciones conjuntas de divulgación frente a la estrategia de territorialización del Informe de la CEV para el 2023.</v>
      </c>
      <c r="N3073" s="55">
        <f ca="1">IFERROR(__xludf.DUMMYFUNCTION("""COMPUTED_VALUE"""),44861)</f>
        <v>44861</v>
      </c>
      <c r="O3073" s="25" t="str">
        <f t="shared" ca="1" si="0"/>
        <v>Alta Consejería para los Derechos de las Víctimas</v>
      </c>
      <c r="P3073" s="25" t="str">
        <f t="shared" si="2"/>
        <v/>
      </c>
      <c r="Q3073" s="25" t="str">
        <f ca="1">IFERROR(__xludf.DUMMYFUNCTION("""COMPUTED_VALUE"""),"Corto plazo")</f>
        <v>Corto plazo</v>
      </c>
      <c r="R3073" s="25"/>
      <c r="S3073" s="55"/>
      <c r="T3073" s="56"/>
      <c r="U3073" s="25"/>
      <c r="V3073" s="25"/>
      <c r="W3073" s="25"/>
      <c r="X3073" s="25"/>
      <c r="Y3073" s="25"/>
      <c r="Z3073" s="25"/>
    </row>
    <row r="3074" spans="1:26" ht="52.5" customHeight="1" x14ac:dyDescent="0.25">
      <c r="A3074" s="25" t="str">
        <f ca="1">IFERROR(__xludf.DUMMYFUNCTION("""COMPUTED_VALUE"""),"Gesti72")</f>
        <v>Gesti72</v>
      </c>
      <c r="B3074" s="25" t="str">
        <f ca="1">IFERROR(__xludf.DUMMYFUNCTION("""COMPUTED_VALUE"""),"Reunión Proyecto estratégico Programas de Desarrollo con Enfoque Territorial")</f>
        <v>Reunión Proyecto estratégico Programas de Desarrollo con Enfoque Territorial</v>
      </c>
      <c r="C3074" s="55">
        <f ca="1">IFERROR(__xludf.DUMMYFUNCTION("""COMPUTED_VALUE"""),44775)</f>
        <v>44775</v>
      </c>
      <c r="D3074" s="25" t="str">
        <f ca="1">IFERROR(__xludf.DUMMYFUNCTION("""COMPUTED_VALUE"""),"Gestión_Pública")</f>
        <v>Gestión_Pública</v>
      </c>
      <c r="E3074" s="25" t="str">
        <f ca="1">IFERROR(__xludf.DUMMYFUNCTION("""COMPUTED_VALUE"""),"Secretaría General")</f>
        <v>Secretaría General</v>
      </c>
      <c r="F3074" s="25" t="str">
        <f ca="1">IFERROR(__xludf.DUMMYFUNCTION("""COMPUTED_VALUE"""),"La Secretaría General debe incluir un marcador o categoría en la plataforma talento no palanca, para víctimas y reincorporados.")</f>
        <v>La Secretaría General debe incluir un marcador o categoría en la plataforma talento no palanca, para víctimas y reincorporados.</v>
      </c>
      <c r="G3074" s="25" t="str">
        <f ca="1">IFERROR(__xludf.DUMMYFUNCTION("""COMPUTED_VALUE"""),"99. Distrito")</f>
        <v>99. Distrito</v>
      </c>
      <c r="H3074" s="55">
        <f ca="1">IFERROR(__xludf.DUMMYFUNCTION("""COMPUTED_VALUE"""),44805)</f>
        <v>44805</v>
      </c>
      <c r="I3074" s="25"/>
      <c r="J3074" s="55" t="str">
        <f ca="1">IFERROR(__xludf.DUMMYFUNCTION("""COMPUTED_VALUE"""),"Alta")</f>
        <v>Alta</v>
      </c>
      <c r="K3074" s="25">
        <f ca="1">IFERROR(__xludf.DUMMYFUNCTION("""COMPUTED_VALUE"""),30)</f>
        <v>30</v>
      </c>
      <c r="L3074" s="62">
        <f ca="1">IFERROR(__xludf.DUMMYFUNCTION("""COMPUTED_VALUE"""),44798)</f>
        <v>44798</v>
      </c>
      <c r="M3074" s="25" t="str">
        <f ca="1">IFERROR(__xludf.DUMMYFUNCTION("""COMPUTED_VALUE"""),"Avance: 100%
Desde el Despacho se articuló el ajuste en la plataforma talento no palanca, para en adelante, poder identificar dentro de los registros de la plataforma a las personas autoreconocidas como víctimas y/o desmovilizados. La variable fue incorpo"&amp;"rada. 
")</f>
        <v xml:space="preserve">Avance: 100%
Desde el Despacho se articuló el ajuste en la plataforma talento no palanca, para en adelante, poder identificar dentro de los registros de la plataforma a las personas autoreconocidas como víctimas y/o desmovilizados. La variable fue incorporada. 
</v>
      </c>
      <c r="N3074" s="55">
        <f ca="1">IFERROR(__xludf.DUMMYFUNCTION("""COMPUTED_VALUE"""),44798)</f>
        <v>44798</v>
      </c>
      <c r="O3074" s="25" t="str">
        <f t="shared" ca="1" si="0"/>
        <v>Secretaría General</v>
      </c>
      <c r="P3074" s="25" t="str">
        <f t="shared" si="2"/>
        <v/>
      </c>
      <c r="Q3074" s="25" t="str">
        <f ca="1">IFERROR(__xludf.DUMMYFUNCTION("""COMPUTED_VALUE"""),"Corto plazo")</f>
        <v>Corto plazo</v>
      </c>
      <c r="R3074" s="25"/>
      <c r="S3074" s="55"/>
      <c r="T3074" s="56"/>
      <c r="U3074" s="25"/>
      <c r="V3074" s="25"/>
      <c r="W3074" s="25"/>
      <c r="X3074" s="25"/>
      <c r="Y3074" s="25"/>
      <c r="Z3074" s="25"/>
    </row>
    <row r="3075" spans="1:26" ht="52.5" customHeight="1" x14ac:dyDescent="0.25">
      <c r="A3075" s="25" t="str">
        <f ca="1">IFERROR(__xludf.DUMMYFUNCTION("""COMPUTED_VALUE"""),"Gesti73")</f>
        <v>Gesti73</v>
      </c>
      <c r="B3075" s="25" t="str">
        <f ca="1">IFERROR(__xludf.DUMMYFUNCTION("""COMPUTED_VALUE"""),"Comisión Intersectorial de Migrantes")</f>
        <v>Comisión Intersectorial de Migrantes</v>
      </c>
      <c r="C3075" s="55">
        <f ca="1">IFERROR(__xludf.DUMMYFUNCTION("""COMPUTED_VALUE"""),44775)</f>
        <v>44775</v>
      </c>
      <c r="D3075" s="25" t="str">
        <f ca="1">IFERROR(__xludf.DUMMYFUNCTION("""COMPUTED_VALUE"""),"Gestión_Pública")</f>
        <v>Gestión_Pública</v>
      </c>
      <c r="E3075" s="25" t="str">
        <f ca="1">IFERROR(__xludf.DUMMYFUNCTION("""COMPUTED_VALUE"""),"Alta Consejería para Asuntos Migratorios")</f>
        <v>Alta Consejería para Asuntos Migratorios</v>
      </c>
      <c r="F3075" s="25" t="str">
        <f ca="1">IFERROR(__xludf.DUMMYFUNCTION("""COMPUTED_VALUE"""),"Trabajar para derrumbar la barrera de regularización para lograr la integración de los “nuevos bogotanos” con apoyo del nuevo gobierno nacional.")</f>
        <v>Trabajar para derrumbar la barrera de regularización para lograr la integración de los “nuevos bogotanos” con apoyo del nuevo gobierno nacional.</v>
      </c>
      <c r="G3075" s="25" t="str">
        <f ca="1">IFERROR(__xludf.DUMMYFUNCTION("""COMPUTED_VALUE"""),"99. Distrito")</f>
        <v>99. Distrito</v>
      </c>
      <c r="H3075" s="55">
        <f ca="1">IFERROR(__xludf.DUMMYFUNCTION("""COMPUTED_VALUE"""),45135)</f>
        <v>45135</v>
      </c>
      <c r="I3075" s="25" t="str">
        <f ca="1">IFERROR(__xludf.DUMMYFUNCTION("""COMPUTED_VALUE"""),"Delivery Unit")</f>
        <v>Delivery Unit</v>
      </c>
      <c r="J3075" s="55" t="str">
        <f ca="1">IFERROR(__xludf.DUMMYFUNCTION("""COMPUTED_VALUE"""),"Baja")</f>
        <v>Baja</v>
      </c>
      <c r="K3075" s="25">
        <f ca="1">IFERROR(__xludf.DUMMYFUNCTION("""COMPUTED_VALUE"""),360)</f>
        <v>360</v>
      </c>
      <c r="L3075" s="62">
        <f ca="1">IFERROR(__xludf.DUMMYFUNCTION("""COMPUTED_VALUE"""),45077)</f>
        <v>45077</v>
      </c>
      <c r="M3075" s="25" t="str">
        <f ca="1">IFERROR(__xludf.DUMMYFUNCTION("""COMPUTED_VALUE"""),"Avance: 85%
Frente a la tarea ""Derrumbar la barrera de regularización para lograr la integración de los Nuevos Bogotanos con apoyo del nuevo Gobierno Nacional"", se realizó una feria de servicios el día 31 de mayo en el CEDID de Kennedy con la participac"&amp;"ión de Migración Colombia, donde se entregaron 70 permisos de protección temporal (PPT) y se atendieron incidencias y se tomaron biométricos. Se atendieron aproximadamente 300 personas. 
")</f>
        <v xml:space="preserve">Avance: 85%
Frente a la tarea "Derrumbar la barrera de regularización para lograr la integración de los Nuevos Bogotanos con apoyo del nuevo Gobierno Nacional", se realizó una feria de servicios el día 31 de mayo en el CEDID de Kennedy con la participación de Migración Colombia, donde se entregaron 70 permisos de protección temporal (PPT) y se atendieron incidencias y se tomaron biométricos. Se atendieron aproximadamente 300 personas. 
</v>
      </c>
      <c r="N3075" s="25"/>
      <c r="O3075" s="25" t="str">
        <f t="shared" ca="1" si="0"/>
        <v>Alta Consejería para Asuntos Migratorios</v>
      </c>
      <c r="P3075" s="25" t="str">
        <f t="shared" ca="1" si="2"/>
        <v/>
      </c>
      <c r="Q3075" s="25" t="str">
        <f ca="1">IFERROR(__xludf.DUMMYFUNCTION("""COMPUTED_VALUE"""),"Largo plazo")</f>
        <v>Largo plazo</v>
      </c>
      <c r="R3075" s="25"/>
      <c r="S3075" s="55"/>
      <c r="T3075" s="56"/>
      <c r="U3075" s="25"/>
      <c r="V3075" s="25"/>
      <c r="W3075" s="25"/>
      <c r="X3075" s="25"/>
      <c r="Y3075" s="25"/>
      <c r="Z3075" s="25"/>
    </row>
    <row r="3076" spans="1:26" ht="52.5" customHeight="1" x14ac:dyDescent="0.25">
      <c r="A3076" s="25" t="str">
        <f ca="1">IFERROR(__xludf.DUMMYFUNCTION("""COMPUTED_VALUE"""),"Gesti74")</f>
        <v>Gesti74</v>
      </c>
      <c r="B3076" s="25" t="str">
        <f ca="1">IFERROR(__xludf.DUMMYFUNCTION("""COMPUTED_VALUE"""),"Comisión Intersectorial de Migrantes")</f>
        <v>Comisión Intersectorial de Migrantes</v>
      </c>
      <c r="C3076" s="55">
        <f ca="1">IFERROR(__xludf.DUMMYFUNCTION("""COMPUTED_VALUE"""),44775)</f>
        <v>44775</v>
      </c>
      <c r="D3076" s="25" t="str">
        <f ca="1">IFERROR(__xludf.DUMMYFUNCTION("""COMPUTED_VALUE"""),"Gestión_Pública")</f>
        <v>Gestión_Pública</v>
      </c>
      <c r="E3076" s="25" t="str">
        <f ca="1">IFERROR(__xludf.DUMMYFUNCTION("""COMPUTED_VALUE"""),"Alta Consejería para Asuntos Migratorios")</f>
        <v>Alta Consejería para Asuntos Migratorios</v>
      </c>
      <c r="F3076" s="25" t="str">
        <f ca="1">IFERROR(__xludf.DUMMYFUNCTION("""COMPUTED_VALUE"""),"Realizar eventos culturales de integración para los “Nuevos bogotanos” y los bogotanos. Ejemplo: “Joropo al parque”, Festival “Panas y Parces”")</f>
        <v>Realizar eventos culturales de integración para los “Nuevos bogotanos” y los bogotanos. Ejemplo: “Joropo al parque”, Festival “Panas y Parces”</v>
      </c>
      <c r="G3076" s="25" t="str">
        <f ca="1">IFERROR(__xludf.DUMMYFUNCTION("""COMPUTED_VALUE"""),"99. Distrito")</f>
        <v>99. Distrito</v>
      </c>
      <c r="H3076" s="55">
        <f ca="1">IFERROR(__xludf.DUMMYFUNCTION("""COMPUTED_VALUE"""),44805)</f>
        <v>44805</v>
      </c>
      <c r="I3076" s="25"/>
      <c r="J3076" s="55" t="str">
        <f ca="1">IFERROR(__xludf.DUMMYFUNCTION("""COMPUTED_VALUE"""),"Alta")</f>
        <v>Alta</v>
      </c>
      <c r="K3076" s="25">
        <f ca="1">IFERROR(__xludf.DUMMYFUNCTION("""COMPUTED_VALUE"""),30)</f>
        <v>30</v>
      </c>
      <c r="L3076" s="62">
        <f ca="1">IFERROR(__xludf.DUMMYFUNCTION("""COMPUTED_VALUE"""),44875)</f>
        <v>44875</v>
      </c>
      <c r="M3076" s="25" t="str">
        <f ca="1">IFERROR(__xludf.DUMMYFUNCTION("""COMPUTED_VALUE"""),"Avance: 100%. Se solicita cierre.
Fecha estimada de cumplimiento: 1/11/2022
Se realizó el Festival de Panas y Parces el día 22 de octubre en 3 localidades (Suba, Kennedy y Tunjuelito). 
""...Con #JoropoAlParque por primera vez la ciudad se realizó un fin"&amp;" de semana lleno de baile en el #Llanódromo y música con la cultura llanera, donde alrededor de 17 mil personas hicieron parte de esta primera edición y conocieron historias, vivencias, formas de vida, la relación y el amor por la naturaleza, que se ve re"&amp;"flejada en cada una de las letras musicales del joropo..."" Fuente IDARTES")</f>
        <v>Avance: 100%. Se solicita cierre.
Fecha estimada de cumplimiento: 1/11/2022
Se realizó el Festival de Panas y Parces el día 22 de octubre en 3 localidades (Suba, Kennedy y Tunjuelito). 
"...Con #JoropoAlParque por primera vez la ciudad se realizó un fin de semana lleno de baile en el #Llanódromo y música con la cultura llanera, donde alrededor de 17 mil personas hicieron parte de esta primera edición y conocieron historias, vivencias, formas de vida, la relación y el amor por la naturaleza, que se ve reflejada en cada una de las letras musicales del joropo..." Fuente IDARTES</v>
      </c>
      <c r="N3076" s="55">
        <f ca="1">IFERROR(__xludf.DUMMYFUNCTION("""COMPUTED_VALUE"""),44875)</f>
        <v>44875</v>
      </c>
      <c r="O3076" s="25" t="str">
        <f t="shared" ca="1" si="0"/>
        <v>Alta Consejería para Asuntos Migratorios</v>
      </c>
      <c r="P3076" s="25" t="str">
        <f t="shared" si="2"/>
        <v/>
      </c>
      <c r="Q3076" s="25" t="str">
        <f ca="1">IFERROR(__xludf.DUMMYFUNCTION("""COMPUTED_VALUE"""),"Corto plazo")</f>
        <v>Corto plazo</v>
      </c>
      <c r="R3076" s="25"/>
      <c r="S3076" s="55"/>
      <c r="T3076" s="56"/>
      <c r="U3076" s="25"/>
      <c r="V3076" s="25"/>
      <c r="W3076" s="25"/>
      <c r="X3076" s="25"/>
      <c r="Y3076" s="25"/>
      <c r="Z3076" s="25"/>
    </row>
    <row r="3077" spans="1:26" ht="52.5" customHeight="1" x14ac:dyDescent="0.25">
      <c r="A3077" s="25" t="str">
        <f ca="1">IFERROR(__xludf.DUMMYFUNCTION("""COMPUTED_VALUE"""),"Gesti75")</f>
        <v>Gesti75</v>
      </c>
      <c r="B3077" s="25" t="str">
        <f ca="1">IFERROR(__xludf.DUMMYFUNCTION("""COMPUTED_VALUE"""),"Comisión Intersectorial de Migrantes")</f>
        <v>Comisión Intersectorial de Migrantes</v>
      </c>
      <c r="C3077" s="55">
        <f ca="1">IFERROR(__xludf.DUMMYFUNCTION("""COMPUTED_VALUE"""),44775)</f>
        <v>44775</v>
      </c>
      <c r="D3077" s="25" t="str">
        <f ca="1">IFERROR(__xludf.DUMMYFUNCTION("""COMPUTED_VALUE"""),"Gestión_Pública")</f>
        <v>Gestión_Pública</v>
      </c>
      <c r="E3077" s="25" t="str">
        <f ca="1">IFERROR(__xludf.DUMMYFUNCTION("""COMPUTED_VALUE"""),"Alta Consejería para Asuntos Migratorios")</f>
        <v>Alta Consejería para Asuntos Migratorios</v>
      </c>
      <c r="F3077" s="25" t="str">
        <f ca="1">IFERROR(__xludf.DUMMYFUNCTION("""COMPUTED_VALUE"""),"Derribar barrera para que los niños, niñas y adolescentes migrantes reciban su título de bachillerato independientemente de su estatus migratorio y/o acceso al PPT.")</f>
        <v>Derribar barrera para que los niños, niñas y adolescentes migrantes reciban su título de bachillerato independientemente de su estatus migratorio y/o acceso al PPT.</v>
      </c>
      <c r="G3077" s="25" t="str">
        <f ca="1">IFERROR(__xludf.DUMMYFUNCTION("""COMPUTED_VALUE"""),"99. Distrito")</f>
        <v>99. Distrito</v>
      </c>
      <c r="H3077" s="55">
        <f ca="1">IFERROR(__xludf.DUMMYFUNCTION("""COMPUTED_VALUE"""),44958)</f>
        <v>44958</v>
      </c>
      <c r="I3077" s="25"/>
      <c r="J3077" s="55" t="str">
        <f ca="1">IFERROR(__xludf.DUMMYFUNCTION("""COMPUTED_VALUE"""),"Baja")</f>
        <v>Baja</v>
      </c>
      <c r="K3077" s="25">
        <f ca="1">IFERROR(__xludf.DUMMYFUNCTION("""COMPUTED_VALUE"""),183)</f>
        <v>183</v>
      </c>
      <c r="L3077" s="62">
        <f ca="1">IFERROR(__xludf.DUMMYFUNCTION("""COMPUTED_VALUE"""),44909)</f>
        <v>44909</v>
      </c>
      <c r="M3077" s="25" t="str">
        <f ca="1">IFERROR(__xludf.DUMMYFUNCTION("""COMPUTED_VALUE"""),"Fecha estimada de terminación (actualizada): 1/2/2023
El 17, 18 y 19 de noviembre 2022 se realizó la Macro Jornada de PPT a la Escuela en el SuperCADE Social. El evento contó con 6 secretarías distritales y se atendieron más de 2.800 personas.
De los 2."&amp;"949 estudiantes nuevos bogotanos de grado 11 que la Secretaría de Educación había informado que no tenía su Permiso por Protección Temporal (PPT), confirmaron por parte de  Migración Colombia que 206 PPT ya fueron entregados a través de las Jornadas de PP"&amp;"T a la Escuela, 609 NNA registraron su información biométrica (2da fase del  Estatuto de Protección) y 609 casos fueron priorizados para impresión y entrega del PPT. Todavía hay 1377 NNA que no han realizado su inscripción al Estatuto (ETPV). Se aporta co"&amp;"rreo de Migración Colombia-
En este momento hay 58.956 Niños, Niñas, Adolescentes-NNA nuevos bogotanos matriculados en los colegios de Bogotá, según reporte de la Secretaría de Educación. 
El pasado viernes 25 de noviembre 2022 la Secretaría recibió por"&amp;" parte del Ministerio de Educación Nacional el lineamiento de graduar a todos los NNA con cualquier documento de identidad presentado, por lo cual se fomentará en el 2023 la graduación de los NNA migrantes. Se anexa comunicación del Miniterio de Educación"&amp;".")</f>
        <v>Fecha estimada de terminación (actualizada): 1/2/2023
El 17, 18 y 19 de noviembre 2022 se realizó la Macro Jornada de PPT a la Escuela en el SuperCADE Social. El evento contó con 6 secretarías distritales y se atendieron más de 2.800 personas.
De los 2.949 estudiantes nuevos bogotanos de grado 11 que la Secretaría de Educación había informado que no tenía su Permiso por Protección Temporal (PPT), confirmaron por parte de  Migración Colombia que 206 PPT ya fueron entregados a través de las Jornadas de PPT a la Escuela, 609 NNA registraron su información biométrica (2da fase del  Estatuto de Protección) y 609 casos fueron priorizados para impresión y entrega del PPT. Todavía hay 1377 NNA que no han realizado su inscripción al Estatuto (ETPV). Se aporta correo de Migración Colombia-
En este momento hay 58.956 Niños, Niñas, Adolescentes-NNA nuevos bogotanos matriculados en los colegios de Bogotá, según reporte de la Secretaría de Educación. 
El pasado viernes 25 de noviembre 2022 la Secretaría recibió por parte del Ministerio de Educación Nacional el lineamiento de graduar a todos los NNA con cualquier documento de identidad presentado, por lo cual se fomentará en el 2023 la graduación de los NNA migrantes. Se anexa comunicación del Miniterio de Educación.</v>
      </c>
      <c r="N3077" s="55">
        <f ca="1">IFERROR(__xludf.DUMMYFUNCTION("""COMPUTED_VALUE"""),44909)</f>
        <v>44909</v>
      </c>
      <c r="O3077" s="25" t="str">
        <f t="shared" ca="1" si="0"/>
        <v>Alta Consejería para Asuntos Migratorios</v>
      </c>
      <c r="P3077" s="25" t="str">
        <f t="shared" si="2"/>
        <v/>
      </c>
      <c r="Q3077" s="25" t="str">
        <f ca="1">IFERROR(__xludf.DUMMYFUNCTION("""COMPUTED_VALUE"""),"Largo plazo")</f>
        <v>Largo plazo</v>
      </c>
      <c r="R3077" s="25"/>
      <c r="S3077" s="55"/>
      <c r="T3077" s="56"/>
      <c r="U3077" s="25"/>
      <c r="V3077" s="25"/>
      <c r="W3077" s="25"/>
      <c r="X3077" s="25"/>
      <c r="Y3077" s="25"/>
      <c r="Z3077" s="25"/>
    </row>
    <row r="3078" spans="1:26" ht="52.5" customHeight="1" x14ac:dyDescent="0.25">
      <c r="A3078" s="25" t="str">
        <f ca="1">IFERROR(__xludf.DUMMYFUNCTION("""COMPUTED_VALUE"""),"Gesti76")</f>
        <v>Gesti76</v>
      </c>
      <c r="B3078" s="25" t="str">
        <f ca="1">IFERROR(__xludf.DUMMYFUNCTION("""COMPUTED_VALUE"""),"Comisión Intersectorial de Migrantes")</f>
        <v>Comisión Intersectorial de Migrantes</v>
      </c>
      <c r="C3078" s="55">
        <f ca="1">IFERROR(__xludf.DUMMYFUNCTION("""COMPUTED_VALUE"""),44775)</f>
        <v>44775</v>
      </c>
      <c r="D3078" s="25" t="str">
        <f ca="1">IFERROR(__xludf.DUMMYFUNCTION("""COMPUTED_VALUE"""),"Gestión_Pública")</f>
        <v>Gestión_Pública</v>
      </c>
      <c r="E3078" s="25" t="str">
        <f ca="1">IFERROR(__xludf.DUMMYFUNCTION("""COMPUTED_VALUE"""),"Alta Consejería para Asuntos Migratorios")</f>
        <v>Alta Consejería para Asuntos Migratorios</v>
      </c>
      <c r="F3078" s="25" t="str">
        <f ca="1">IFERROR(__xludf.DUMMYFUNCTION("""COMPUTED_VALUE"""),"Crear y poner en marcha estrategias que logren derribar las barreras que tienen los “nuevos bogotanos” para empleo y emprendimiento.")</f>
        <v>Crear y poner en marcha estrategias que logren derribar las barreras que tienen los “nuevos bogotanos” para empleo y emprendimiento.</v>
      </c>
      <c r="G3078" s="25" t="str">
        <f ca="1">IFERROR(__xludf.DUMMYFUNCTION("""COMPUTED_VALUE"""),"99. Distrito")</f>
        <v>99. Distrito</v>
      </c>
      <c r="H3078" s="55">
        <f ca="1">IFERROR(__xludf.DUMMYFUNCTION("""COMPUTED_VALUE"""),45169)</f>
        <v>45169</v>
      </c>
      <c r="I3078" s="25" t="str">
        <f ca="1">IFERROR(__xludf.DUMMYFUNCTION("""COMPUTED_VALUE"""),"Delivery Unit")</f>
        <v>Delivery Unit</v>
      </c>
      <c r="J3078" s="55" t="str">
        <f ca="1">IFERROR(__xludf.DUMMYFUNCTION("""COMPUTED_VALUE"""),"Baja")</f>
        <v>Baja</v>
      </c>
      <c r="K3078" s="25">
        <f ca="1">IFERROR(__xludf.DUMMYFUNCTION("""COMPUTED_VALUE"""),394)</f>
        <v>394</v>
      </c>
      <c r="L3078" s="62">
        <f ca="1">IFERROR(__xludf.DUMMYFUNCTION("""COMPUTED_VALUE"""),45077)</f>
        <v>45077</v>
      </c>
      <c r="M3078" s="25" t="str">
        <f ca="1">IFERROR(__xludf.DUMMYFUNCTION("""COMPUTED_VALUE"""),"Avance: 90%
Frente a la tarea de crear y poner en marcha estrategias que logren derribar las barreras que tienen los “nuevos bogotanos” para empleo y emprendimiento, el 31 de mayo, el Equipo de Asuntos Migratorios y la Secretaría de Desarrollo Económico a"&amp;"poyó una feria de emprendimiento en la localidad de Kennedy, donde se registraron 75 personas con impulso local para apoyar los emprendimientos y 37 personas en la Agencia Distrital de Empleo. Adicionalmente, ya está abierto el formulario para conocer el "&amp;"ecosistema de emprendimientos de los nuevos bogotanos en el Distrito")</f>
        <v>Avance: 90%
Frente a la tarea de crear y poner en marcha estrategias que logren derribar las barreras que tienen los “nuevos bogotanos” para empleo y emprendimiento, el 31 de mayo, el Equipo de Asuntos Migratorios y la Secretaría de Desarrollo Económico apoyó una feria de emprendimiento en la localidad de Kennedy, donde se registraron 75 personas con impulso local para apoyar los emprendimientos y 37 personas en la Agencia Distrital de Empleo. Adicionalmente, ya está abierto el formulario para conocer el ecosistema de emprendimientos de los nuevos bogotanos en el Distrito</v>
      </c>
      <c r="N3078" s="25"/>
      <c r="O3078" s="25" t="str">
        <f t="shared" ca="1" si="0"/>
        <v>Alta Consejería para Asuntos Migratorios</v>
      </c>
      <c r="P3078" s="25" t="str">
        <f t="shared" ca="1" si="2"/>
        <v/>
      </c>
      <c r="Q3078" s="25" t="str">
        <f ca="1">IFERROR(__xludf.DUMMYFUNCTION("""COMPUTED_VALUE"""),"Largo plazo")</f>
        <v>Largo plazo</v>
      </c>
      <c r="R3078" s="25"/>
      <c r="S3078" s="55"/>
      <c r="T3078" s="56"/>
      <c r="U3078" s="25"/>
      <c r="V3078" s="25"/>
      <c r="W3078" s="25"/>
      <c r="X3078" s="25"/>
      <c r="Y3078" s="25"/>
      <c r="Z3078" s="25"/>
    </row>
    <row r="3079" spans="1:26" ht="52.5" customHeight="1" x14ac:dyDescent="0.25">
      <c r="A3079" s="25" t="str">
        <f ca="1">IFERROR(__xludf.DUMMYFUNCTION("""COMPUTED_VALUE"""),"Gesti77")</f>
        <v>Gesti77</v>
      </c>
      <c r="B3079" s="25" t="str">
        <f ca="1">IFERROR(__xludf.DUMMYFUNCTION("""COMPUTED_VALUE"""),"Consejo Consultivo LGBTI")</f>
        <v>Consejo Consultivo LGBTI</v>
      </c>
      <c r="C3079" s="55">
        <f ca="1">IFERROR(__xludf.DUMMYFUNCTION("""COMPUTED_VALUE"""),44698)</f>
        <v>44698</v>
      </c>
      <c r="D3079" s="25" t="str">
        <f ca="1">IFERROR(__xludf.DUMMYFUNCTION("""COMPUTED_VALUE"""),"Gestión_Pública")</f>
        <v>Gestión_Pública</v>
      </c>
      <c r="E3079" s="25" t="str">
        <f ca="1">IFERROR(__xludf.DUMMYFUNCTION("""COMPUTED_VALUE"""),"Secretaría General")</f>
        <v>Secretaría General</v>
      </c>
      <c r="F3079" s="25" t="str">
        <f ca="1">IFERROR(__xludf.DUMMYFUNCTION("""COMPUTED_VALUE"""),"Revisar si es legalmente posible ofrecer protección social reforzada a personas con VIH que trabajan en el Distrito.")</f>
        <v>Revisar si es legalmente posible ofrecer protección social reforzada a personas con VIH que trabajan en el Distrito.</v>
      </c>
      <c r="G3079" s="25" t="str">
        <f ca="1">IFERROR(__xludf.DUMMYFUNCTION("""COMPUTED_VALUE"""),"99. Distrito")</f>
        <v>99. Distrito</v>
      </c>
      <c r="H3079" s="55">
        <f ca="1">IFERROR(__xludf.DUMMYFUNCTION("""COMPUTED_VALUE"""),44834)</f>
        <v>44834</v>
      </c>
      <c r="I3079" s="25"/>
      <c r="J3079" s="55" t="str">
        <f ca="1">IFERROR(__xludf.DUMMYFUNCTION("""COMPUTED_VALUE"""),"Media")</f>
        <v>Media</v>
      </c>
      <c r="K3079" s="25">
        <f ca="1">IFERROR(__xludf.DUMMYFUNCTION("""COMPUTED_VALUE"""),136)</f>
        <v>136</v>
      </c>
      <c r="L3079" s="62">
        <f ca="1">IFERROR(__xludf.DUMMYFUNCTION("""COMPUTED_VALUE"""),44946)</f>
        <v>44946</v>
      </c>
      <c r="M3079" s="25" t="str">
        <f ca="1">IFERROR(__xludf.DUMMYFUNCTION("""COMPUTED_VALUE"""),"100%, se solicita cierre
Con relación a la tarea “Revisar si es legalmente posible ofrecer protección social reforzada a personas con VIH que trabajan en el Distrito”, la Secretaría General dio respuesta en el marco de sus competencias a la Secretaría Di"&amp;"strital de Planeación mediante concepto  con radicado 2-2022-28543 del 30 de septiembre de 2022, en el que señaló que, el derecho a la estabilidad laboral u ocupacional reforzada de los trabajadores (…), sin importar el tipo de vinculación, también se pre"&amp;"dica en circunstancias de debilidad manifiesta por razones de salud que habilitan tal protección cuando: 
(i) Se establezca que el trabajador tiene un estado de salud que le impide o dificulta sustancialmente el desempeño de sus labores en circunstancias"&amp;" regulares, pues no cualquier afectación resulta suficiente para considerarlo sujeto de especial protección constitucional; 
(ii) Se acredite que el estado de debilidad manifiesta fue conocido por el empleador en un momento previo al despido y, finalmente"&amp;", 
(iii) No exista una justificación suficiente para la desvinculación, de manera que sea claro que el mismo tiene origen en una discriminación. 
(…) No obstante ello, tratándose de personas que son portadores de VIH y enfermos de SIDA la protección por "&amp;"razones de salud ha tenido especiales variaciones o matices en la línea jurisprudencial mencionada haciéndola aún más garantista, en virtud a posibles situaciones de discriminación social y laboral que no pude ser aceptada en un Estado Social de Derecho, "&amp;"la cual se destaca, en esencia, inicialmente desde la sentencia SU-256 de 1995 y recientemente en las sentencias T-267 de 2020 y T-121 de 2021, aplicable tanto en las relaciones laborales como contractuales por prestación de servicios.
Nota: en el concep"&amp;"to emitido (documento adjunto – T_1027_Rad_Sgral_2-2022-28543) se presenta la interpretación que surge en conjunto de las sentencias proferidas por la Corte para las personas que son portadoras de VIH o enfermos de SIDA, los cuales serían aplicables para "&amp;"las entidades distritales.  
")</f>
        <v xml:space="preserve">100%, se solicita cierre
Con relación a la tarea “Revisar si es legalmente posible ofrecer protección social reforzada a personas con VIH que trabajan en el Distrito”, la Secretaría General dio respuesta en el marco de sus competencias a la Secretaría Distrital de Planeación mediante concepto  con radicado 2-2022-28543 del 30 de septiembre de 2022, en el que señaló que, el derecho a la estabilidad laboral u ocupacional reforzada de los trabajadores (…), sin importar el tipo de vinculación, también se predica en circunstancias de debilidad manifiesta por razones de salud que habilitan tal protección cuando: 
(i) Se establezca que el trabajador tiene un estado de salud que le impide o dificulta sustancialmente el desempeño de sus labores en circunstancias regulares, pues no cualquier afectación resulta suficiente para considerarlo sujeto de especial protección constitucional; 
(ii) Se acredite que el estado de debilidad manifiesta fue conocido por el empleador en un momento previo al despido y, finalmente, 
(iii) No exista una justificación suficiente para la desvinculación, de manera que sea claro que el mismo tiene origen en una discriminación. 
(…) No obstante ello, tratándose de personas que son portadores de VIH y enfermos de SIDA la protección por razones de salud ha tenido especiales variaciones o matices en la línea jurisprudencial mencionada haciéndola aún más garantista, en virtud a posibles situaciones de discriminación social y laboral que no pude ser aceptada en un Estado Social de Derecho, la cual se destaca, en esencia, inicialmente desde la sentencia SU-256 de 1995 y recientemente en las sentencias T-267 de 2020 y T-121 de 2021, aplicable tanto en las relaciones laborales como contractuales por prestación de servicios.
Nota: en el concepto emitido (documento adjunto – T_1027_Rad_Sgral_2-2022-28543) se presenta la interpretación que surge en conjunto de las sentencias proferidas por la Corte para las personas que son portadoras de VIH o enfermos de SIDA, los cuales serían aplicables para las entidades distritales.  
</v>
      </c>
      <c r="N3079" s="55">
        <f ca="1">IFERROR(__xludf.DUMMYFUNCTION("""COMPUTED_VALUE"""),44946)</f>
        <v>44946</v>
      </c>
      <c r="O3079" s="25" t="str">
        <f t="shared" ca="1" si="0"/>
        <v>Secretaría General</v>
      </c>
      <c r="P3079" s="25" t="str">
        <f t="shared" si="2"/>
        <v/>
      </c>
      <c r="Q3079" s="25" t="str">
        <f ca="1">IFERROR(__xludf.DUMMYFUNCTION("""COMPUTED_VALUE"""),"Mediano plazo")</f>
        <v>Mediano plazo</v>
      </c>
      <c r="R3079" s="25"/>
      <c r="S3079" s="55"/>
      <c r="T3079" s="56"/>
      <c r="U3079" s="25"/>
      <c r="V3079" s="25"/>
      <c r="W3079" s="25"/>
      <c r="X3079" s="25"/>
      <c r="Y3079" s="25"/>
      <c r="Z3079" s="25"/>
    </row>
    <row r="3080" spans="1:26" ht="52.5" customHeight="1" x14ac:dyDescent="0.25">
      <c r="A3080" s="25" t="str">
        <f ca="1">IFERROR(__xludf.DUMMYFUNCTION("""COMPUTED_VALUE"""),"Gesti78")</f>
        <v>Gesti78</v>
      </c>
      <c r="B3080" s="25" t="str">
        <f ca="1">IFERROR(__xludf.DUMMYFUNCTION("""COMPUTED_VALUE"""),"CEFE Cometas")</f>
        <v>CEFE Cometas</v>
      </c>
      <c r="C3080" s="55">
        <f ca="1">IFERROR(__xludf.DUMMYFUNCTION("""COMPUTED_VALUE"""),44910)</f>
        <v>44910</v>
      </c>
      <c r="D3080" s="25" t="str">
        <f ca="1">IFERROR(__xludf.DUMMYFUNCTION("""COMPUTED_VALUE"""),"Gestión_Pública")</f>
        <v>Gestión_Pública</v>
      </c>
      <c r="E3080" s="25" t="str">
        <f ca="1">IFERROR(__xludf.DUMMYFUNCTION("""COMPUTED_VALUE"""),"Secretaría General")</f>
        <v>Secretaría General</v>
      </c>
      <c r="F3080" s="25" t="str">
        <f ca="1">IFERROR(__xludf.DUMMYFUNCTION("""COMPUTED_VALUE"""),"Solicitar a Luz Amparo-DRI que se vinculen las embajadas para que doten con libros y computadors de la biblioteca CEFE. ")</f>
        <v xml:space="preserve">Solicitar a Luz Amparo-DRI que se vinculen las embajadas para que doten con libros y computadors de la biblioteca CEFE. </v>
      </c>
      <c r="G3080" s="25" t="str">
        <f ca="1">IFERROR(__xludf.DUMMYFUNCTION("""COMPUTED_VALUE"""),"11. Suba")</f>
        <v>11. Suba</v>
      </c>
      <c r="H3080" s="55">
        <f ca="1">IFERROR(__xludf.DUMMYFUNCTION("""COMPUTED_VALUE"""),45138)</f>
        <v>45138</v>
      </c>
      <c r="I3080" s="25" t="str">
        <f ca="1">IFERROR(__xludf.DUMMYFUNCTION("""COMPUTED_VALUE"""),"Delivery Unit")</f>
        <v>Delivery Unit</v>
      </c>
      <c r="J3080" s="55" t="str">
        <f ca="1">IFERROR(__xludf.DUMMYFUNCTION("""COMPUTED_VALUE"""),"Baja")</f>
        <v>Baja</v>
      </c>
      <c r="K3080" s="25">
        <f ca="1">IFERROR(__xludf.DUMMYFUNCTION("""COMPUTED_VALUE"""),228)</f>
        <v>228</v>
      </c>
      <c r="L3080" s="62">
        <f ca="1">IFERROR(__xludf.DUMMYFUNCTION("""COMPUTED_VALUE"""),45077)</f>
        <v>45077</v>
      </c>
      <c r="M3080" s="25" t="str">
        <f ca="1">IFERROR(__xludf.DUMMYFUNCTION("""COMPUTED_VALUE"""),"Avance: 40% (pasó del 20% al 40%)
Se avanzó con la revisión y validación de los requerimientos identificados por la SCRD / Dirección de Lectura y Bibliotecas, correspondientes a 22 ítems de equipos tecnológicos para la Biblioteca del CEFE Cometas.")</f>
        <v>Avance: 40% (pasó del 20% al 40%)
Se avanzó con la revisión y validación de los requerimientos identificados por la SCRD / Dirección de Lectura y Bibliotecas, correspondientes a 22 ítems de equipos tecnológicos para la Biblioteca del CEFE Cometas.</v>
      </c>
      <c r="N3080" s="25"/>
      <c r="O3080" s="25" t="str">
        <f t="shared" ca="1" si="0"/>
        <v>Secretaría General</v>
      </c>
      <c r="P3080" s="25" t="str">
        <f t="shared" ca="1" si="2"/>
        <v/>
      </c>
      <c r="Q3080" s="25" t="str">
        <f ca="1">IFERROR(__xludf.DUMMYFUNCTION("""COMPUTED_VALUE"""),"Largo plazo")</f>
        <v>Largo plazo</v>
      </c>
      <c r="R3080" s="25"/>
      <c r="S3080" s="55"/>
      <c r="T3080" s="56"/>
      <c r="U3080" s="25"/>
      <c r="V3080" s="25"/>
      <c r="W3080" s="25"/>
      <c r="X3080" s="25"/>
      <c r="Y3080" s="25"/>
      <c r="Z3080" s="25"/>
    </row>
    <row r="3081" spans="1:26" ht="52.5" customHeight="1" x14ac:dyDescent="0.25">
      <c r="A3081" s="25" t="str">
        <f ca="1">IFERROR(__xludf.DUMMYFUNCTION("""COMPUTED_VALUE"""),"Gesti79")</f>
        <v>Gesti79</v>
      </c>
      <c r="B3081" s="25" t="str">
        <f ca="1">IFERROR(__xludf.DUMMYFUNCTION("""COMPUTED_VALUE"""),"AGATA - revisión proyectos prioritarios")</f>
        <v>AGATA - revisión proyectos prioritarios</v>
      </c>
      <c r="C3081" s="55">
        <f ca="1">IFERROR(__xludf.DUMMYFUNCTION("""COMPUTED_VALUE"""),44944)</f>
        <v>44944</v>
      </c>
      <c r="D3081" s="25" t="str">
        <f ca="1">IFERROR(__xludf.DUMMYFUNCTION("""COMPUTED_VALUE"""),"Gestión_Pública")</f>
        <v>Gestión_Pública</v>
      </c>
      <c r="E3081" s="25" t="str">
        <f ca="1">IFERROR(__xludf.DUMMYFUNCTION("""COMPUTED_VALUE"""),"Ágata")</f>
        <v>Ágata</v>
      </c>
      <c r="F3081" s="25" t="str">
        <f ca="1">IFERROR(__xludf.DUMMYFUNCTION("""COMPUTED_VALUE"""),"Realizar un convenio para intercambio de información entre ágata y todas las entidades el distrito")</f>
        <v>Realizar un convenio para intercambio de información entre ágata y todas las entidades el distrito</v>
      </c>
      <c r="G3081" s="25" t="str">
        <f ca="1">IFERROR(__xludf.DUMMYFUNCTION("""COMPUTED_VALUE"""),"99. Distrito")</f>
        <v>99. Distrito</v>
      </c>
      <c r="H3081" s="55">
        <f ca="1">IFERROR(__xludf.DUMMYFUNCTION("""COMPUTED_VALUE"""),45105)</f>
        <v>45105</v>
      </c>
      <c r="I3081" s="25" t="str">
        <f ca="1">IFERROR(__xludf.DUMMYFUNCTION("""COMPUTED_VALUE"""),"Delivery Unit")</f>
        <v>Delivery Unit</v>
      </c>
      <c r="J3081" s="55" t="str">
        <f ca="1">IFERROR(__xludf.DUMMYFUNCTION("""COMPUTED_VALUE"""),"Media")</f>
        <v>Media</v>
      </c>
      <c r="K3081" s="25">
        <f ca="1">IFERROR(__xludf.DUMMYFUNCTION("""COMPUTED_VALUE"""),161)</f>
        <v>161</v>
      </c>
      <c r="L3081" s="62">
        <f ca="1">IFERROR(__xludf.DUMMYFUNCTION("""COMPUTED_VALUE"""),45077)</f>
        <v>45077</v>
      </c>
      <c r="M3081" s="25" t="str">
        <f ca="1">IFERROR(__xludf.DUMMYFUNCTION("""COMPUTED_VALUE"""),"Avance: 90% (5/6/2023)
Firmados acuerdos con:
Instituto para Economía Social
Empresa de Telecomunicaciones de Bogotá S.A. ESP - ETB
Secretaría Distrital de Integración Social
Secretaría Distrital De Desarrollo Económico
Unidad Administrativa Especial de"&amp;" Catastro
Empresa de Acueducto y Alcantarillado de Bogotá S.A. ESP
Secretaría Distrital de Planeación
Secretaría de Educación
Capital Salud
")</f>
        <v xml:space="preserve">Avance: 90% (5/6/2023)
Firmados acuerdos con:
Instituto para Economía Social
Empresa de Telecomunicaciones de Bogotá S.A. ESP - ETB
Secretaría Distrital de Integración Social
Secretaría Distrital De Desarrollo Económico
Unidad Administrativa Especial de Catastro
Empresa de Acueducto y Alcantarillado de Bogotá S.A. ESP
Secretaría Distrital de Planeación
Secretaría de Educación
Capital Salud
</v>
      </c>
      <c r="N3081" s="25"/>
      <c r="O3081" s="25" t="str">
        <f t="shared" ca="1" si="0"/>
        <v>Ágata</v>
      </c>
      <c r="P3081" s="25" t="str">
        <f t="shared" ca="1" si="2"/>
        <v/>
      </c>
      <c r="Q3081" s="25" t="str">
        <f ca="1">IFERROR(__xludf.DUMMYFUNCTION("""COMPUTED_VALUE"""),"Mediano plazo")</f>
        <v>Mediano plazo</v>
      </c>
      <c r="R3081" s="25"/>
      <c r="S3081" s="55"/>
      <c r="T3081" s="56"/>
      <c r="U3081" s="25"/>
      <c r="V3081" s="25"/>
      <c r="W3081" s="25"/>
      <c r="X3081" s="25"/>
      <c r="Y3081" s="25"/>
      <c r="Z3081" s="25"/>
    </row>
    <row r="3082" spans="1:26" ht="52.5" customHeight="1" x14ac:dyDescent="0.25">
      <c r="A3082" s="25" t="str">
        <f ca="1">IFERROR(__xludf.DUMMYFUNCTION("""COMPUTED_VALUE"""),"Gesti80")</f>
        <v>Gesti80</v>
      </c>
      <c r="B3082" s="25" t="str">
        <f ca="1">IFERROR(__xludf.DUMMYFUNCTION("""COMPUTED_VALUE"""),"Presidente SAE - Articulación Bogotá")</f>
        <v>Presidente SAE - Articulación Bogotá</v>
      </c>
      <c r="C3082" s="55">
        <f ca="1">IFERROR(__xludf.DUMMYFUNCTION("""COMPUTED_VALUE"""),44950)</f>
        <v>44950</v>
      </c>
      <c r="D3082" s="25" t="str">
        <f ca="1">IFERROR(__xludf.DUMMYFUNCTION("""COMPUTED_VALUE"""),"Gestión_Pública")</f>
        <v>Gestión_Pública</v>
      </c>
      <c r="E3082" s="25" t="str">
        <f ca="1">IFERROR(__xludf.DUMMYFUNCTION("""COMPUTED_VALUE"""),"Alta Consejería para los Derechos de las Víctimas")</f>
        <v>Alta Consejería para los Derechos de las Víctimas</v>
      </c>
      <c r="F3082" s="25" t="str">
        <f ca="1">IFERROR(__xludf.DUMMYFUNCTION("""COMPUTED_VALUE"""),"Revisar predios de la SAE para usar con la población Embera.")</f>
        <v>Revisar predios de la SAE para usar con la población Embera.</v>
      </c>
      <c r="G3082" s="25" t="str">
        <f ca="1">IFERROR(__xludf.DUMMYFUNCTION("""COMPUTED_VALUE"""),"99. Distrito")</f>
        <v>99. Distrito</v>
      </c>
      <c r="H3082" s="55">
        <f ca="1">IFERROR(__xludf.DUMMYFUNCTION("""COMPUTED_VALUE"""),45016)</f>
        <v>45016</v>
      </c>
      <c r="I3082" s="25"/>
      <c r="J3082" s="55" t="str">
        <f ca="1">IFERROR(__xludf.DUMMYFUNCTION("""COMPUTED_VALUE"""),"Media")</f>
        <v>Media</v>
      </c>
      <c r="K3082" s="25">
        <f ca="1">IFERROR(__xludf.DUMMYFUNCTION("""COMPUTED_VALUE"""),66)</f>
        <v>66</v>
      </c>
      <c r="L3082" s="62">
        <f ca="1">IFERROR(__xludf.DUMMYFUNCTION("""COMPUTED_VALUE"""),45016)</f>
        <v>45016</v>
      </c>
      <c r="M3082" s="25" t="str">
        <f ca="1">IFERROR(__xludf.DUMMYFUNCTION("""COMPUTED_VALUE"""),"Avance: 100% (pasó de 90 a 100%)
Fecha estimada de cumplimiento: 31/3/2023
Frente a los compromisos con la población Embera, se remitió oficio No. 9-2023-5878 a la Sociedad de Activos Especiales SAE  solicitando el inventario de bienes de la ciudad de Bo"&amp;"gotá.
Se recibió por correo electrónico la respuesta de la SAE, a través del cual se remite información relacionada con el inventario de algunos bienes (predios) de la entidad. 
Se realizó la revisión de los inmuebles presentados por la SAE ninguno cump"&amp;"le con las condiciones técnicas y de seguridad además no cuentan con la capacidad dotacional necesaria para albergar a la población Emberá.")</f>
        <v>Avance: 100% (pasó de 90 a 100%)
Fecha estimada de cumplimiento: 31/3/2023
Frente a los compromisos con la población Embera, se remitió oficio No. 9-2023-5878 a la Sociedad de Activos Especiales SAE  solicitando el inventario de bienes de la ciudad de Bogotá.
Se recibió por correo electrónico la respuesta de la SAE, a través del cual se remite información relacionada con el inventario de algunos bienes (predios) de la entidad. 
Se realizó la revisión de los inmuebles presentados por la SAE ninguno cumple con las condiciones técnicas y de seguridad además no cuentan con la capacidad dotacional necesaria para albergar a la población Emberá.</v>
      </c>
      <c r="N3082" s="55">
        <f ca="1">IFERROR(__xludf.DUMMYFUNCTION("""COMPUTED_VALUE"""),45016)</f>
        <v>45016</v>
      </c>
      <c r="O3082" s="25" t="str">
        <f t="shared" ca="1" si="0"/>
        <v>Alta Consejería para los Derechos de las Víctimas</v>
      </c>
      <c r="P3082" s="25" t="str">
        <f t="shared" si="2"/>
        <v/>
      </c>
      <c r="Q3082" s="25" t="str">
        <f ca="1">IFERROR(__xludf.DUMMYFUNCTION("""COMPUTED_VALUE"""),"Mediano plazo")</f>
        <v>Mediano plazo</v>
      </c>
      <c r="R3082" s="25"/>
      <c r="S3082" s="55"/>
      <c r="T3082" s="56"/>
      <c r="U3082" s="25"/>
      <c r="V3082" s="25"/>
      <c r="W3082" s="25"/>
      <c r="X3082" s="25"/>
      <c r="Y3082" s="25"/>
      <c r="Z3082" s="25"/>
    </row>
    <row r="3083" spans="1:26" ht="52.5" customHeight="1" x14ac:dyDescent="0.25">
      <c r="A3083" s="25" t="str">
        <f ca="1">IFERROR(__xludf.DUMMYFUNCTION("""COMPUTED_VALUE"""),"Gesti81")</f>
        <v>Gesti81</v>
      </c>
      <c r="B3083" s="25" t="str">
        <f ca="1">IFERROR(__xludf.DUMMYFUNCTION("""COMPUTED_VALUE"""),"Consejo de Gobierno")</f>
        <v>Consejo de Gobierno</v>
      </c>
      <c r="C3083" s="55">
        <f ca="1">IFERROR(__xludf.DUMMYFUNCTION("""COMPUTED_VALUE"""),44956)</f>
        <v>44956</v>
      </c>
      <c r="D3083" s="25" t="str">
        <f ca="1">IFERROR(__xludf.DUMMYFUNCTION("""COMPUTED_VALUE"""),"Gestión_Pública")</f>
        <v>Gestión_Pública</v>
      </c>
      <c r="E3083" s="25" t="str">
        <f ca="1">IFERROR(__xludf.DUMMYFUNCTION("""COMPUTED_VALUE"""),"Secretaría General")</f>
        <v>Secretaría General</v>
      </c>
      <c r="F3083" s="25" t="str">
        <f ca="1">IFERROR(__xludf.DUMMYFUNCTION("""COMPUTED_VALUE"""),"Comunicaciones debe realizar la consolidación de las piezas de comunicaciones para la rendición de cuentas - 3 de marzo")</f>
        <v>Comunicaciones debe realizar la consolidación de las piezas de comunicaciones para la rendición de cuentas - 3 de marzo</v>
      </c>
      <c r="G3083" s="25" t="str">
        <f ca="1">IFERROR(__xludf.DUMMYFUNCTION("""COMPUTED_VALUE"""),"99. Distrito")</f>
        <v>99. Distrito</v>
      </c>
      <c r="H3083" s="55">
        <f ca="1">IFERROR(__xludf.DUMMYFUNCTION("""COMPUTED_VALUE"""),44988)</f>
        <v>44988</v>
      </c>
      <c r="I3083" s="25"/>
      <c r="J3083" s="55" t="str">
        <f ca="1">IFERROR(__xludf.DUMMYFUNCTION("""COMPUTED_VALUE"""),"Alta")</f>
        <v>Alta</v>
      </c>
      <c r="K3083" s="25">
        <f ca="1">IFERROR(__xludf.DUMMYFUNCTION("""COMPUTED_VALUE"""),32)</f>
        <v>32</v>
      </c>
      <c r="L3083" s="62">
        <f ca="1">IFERROR(__xludf.DUMMYFUNCTION("""COMPUTED_VALUE"""),45016)</f>
        <v>45016</v>
      </c>
      <c r="M3083" s="25" t="str">
        <f ca="1">IFERROR(__xludf.DUMMYFUNCTION("""COMPUTED_VALUE"""),"Avance: 100% (pasó de 70% a 100%)
Se reporta cumplida la tarea, teniendo en cuenta que todos los sectores ya remitieron a la Oficina Consejería de Comunicaciones los videos para Rendición de Cuentas.
Lineamientos para la generación de piezas comunicacio"&amp;"nales.
Tema de Narrativa - Rendición de Cuentas. 15%
Ejes de la Rendición. 15%
Insumos - Piezas Audiovisuales. 10%
Reuniones de revisión y retroalimentación: 30%
Recepción de Videos para Rendición de Cuentas: 30%")</f>
        <v>Avance: 100% (pasó de 70% a 100%)
Se reporta cumplida la tarea, teniendo en cuenta que todos los sectores ya remitieron a la Oficina Consejería de Comunicaciones los videos para Rendición de Cuentas.
Lineamientos para la generación de piezas comunicacionales.
Tema de Narrativa - Rendición de Cuentas. 15%
Ejes de la Rendición. 15%
Insumos - Piezas Audiovisuales. 10%
Reuniones de revisión y retroalimentación: 30%
Recepción de Videos para Rendición de Cuentas: 30%</v>
      </c>
      <c r="N3083" s="55">
        <f ca="1">IFERROR(__xludf.DUMMYFUNCTION("""COMPUTED_VALUE"""),45000)</f>
        <v>45000</v>
      </c>
      <c r="O3083" s="25" t="str">
        <f t="shared" ca="1" si="0"/>
        <v>Secretaría General</v>
      </c>
      <c r="P3083" s="25" t="str">
        <f t="shared" si="2"/>
        <v/>
      </c>
      <c r="Q3083" s="25" t="str">
        <f ca="1">IFERROR(__xludf.DUMMYFUNCTION("""COMPUTED_VALUE"""),"Corto plazo")</f>
        <v>Corto plazo</v>
      </c>
      <c r="R3083" s="25"/>
      <c r="S3083" s="55"/>
      <c r="T3083" s="56"/>
      <c r="U3083" s="25"/>
      <c r="V3083" s="25"/>
      <c r="W3083" s="25"/>
      <c r="X3083" s="25"/>
      <c r="Y3083" s="25"/>
      <c r="Z3083" s="25"/>
    </row>
    <row r="3084" spans="1:26" ht="52.5" customHeight="1" x14ac:dyDescent="0.25">
      <c r="A3084" s="25" t="str">
        <f ca="1">IFERROR(__xludf.DUMMYFUNCTION("""COMPUTED_VALUE"""),"Gesti82")</f>
        <v>Gesti82</v>
      </c>
      <c r="B3084" s="25"/>
      <c r="C3084" s="55"/>
      <c r="D3084" s="25" t="str">
        <f ca="1">IFERROR(__xludf.DUMMYFUNCTION("""COMPUTED_VALUE"""),"Gestión_Pública")</f>
        <v>Gestión_Pública</v>
      </c>
      <c r="E3084" s="25" t="str">
        <f ca="1">IFERROR(__xludf.DUMMYFUNCTION("""COMPUTED_VALUE"""),"Secretaría General")</f>
        <v>Secretaría General</v>
      </c>
      <c r="F3084" s="25" t="str">
        <f ca="1">IFERROR(__xludf.DUMMYFUNCTION("""COMPUTED_VALUE"""),"Eliminada")</f>
        <v>Eliminada</v>
      </c>
      <c r="G3084" s="25"/>
      <c r="H3084" s="25"/>
      <c r="I3084" s="25"/>
      <c r="J3084" s="55"/>
      <c r="K3084" s="25" t="str">
        <f ca="1">IFERROR(__xludf.DUMMYFUNCTION("""COMPUTED_VALUE"""),"Definir fecha")</f>
        <v>Definir fecha</v>
      </c>
      <c r="L3084" s="62"/>
      <c r="M3084" s="25"/>
      <c r="N3084" s="25"/>
      <c r="O3084" s="25" t="str">
        <f t="shared" ca="1" si="0"/>
        <v>Secretaría General</v>
      </c>
      <c r="P3084" s="25" t="str">
        <f t="shared" si="2"/>
        <v/>
      </c>
      <c r="Q3084" s="25" t="str">
        <f ca="1">IFERROR(__xludf.DUMMYFUNCTION("""COMPUTED_VALUE"""),"Sin defenir")</f>
        <v>Sin defenir</v>
      </c>
      <c r="R3084" s="25"/>
      <c r="S3084" s="55"/>
      <c r="T3084" s="56"/>
      <c r="U3084" s="25"/>
      <c r="V3084" s="25"/>
      <c r="W3084" s="25"/>
      <c r="X3084" s="25"/>
      <c r="Y3084" s="25"/>
      <c r="Z3084" s="25"/>
    </row>
    <row r="3085" spans="1:26" ht="52.5" customHeight="1" x14ac:dyDescent="0.25">
      <c r="A3085" s="25" t="str">
        <f ca="1">IFERROR(__xludf.DUMMYFUNCTION("""COMPUTED_VALUE"""),"Gesti83")</f>
        <v>Gesti83</v>
      </c>
      <c r="B3085" s="25" t="str">
        <f ca="1">IFERROR(__xludf.DUMMYFUNCTION("""COMPUTED_VALUE"""),"Recorrido Tunjuelito")</f>
        <v>Recorrido Tunjuelito</v>
      </c>
      <c r="C3085" s="55">
        <f ca="1">IFERROR(__xludf.DUMMYFUNCTION("""COMPUTED_VALUE"""),44992)</f>
        <v>44992</v>
      </c>
      <c r="D3085" s="25" t="str">
        <f ca="1">IFERROR(__xludf.DUMMYFUNCTION("""COMPUTED_VALUE"""),"Gestión_Pública")</f>
        <v>Gestión_Pública</v>
      </c>
      <c r="E3085" s="25" t="str">
        <f ca="1">IFERROR(__xludf.DUMMYFUNCTION("""COMPUTED_VALUE"""),"Secretaría General")</f>
        <v>Secretaría General</v>
      </c>
      <c r="F3085" s="25" t="str">
        <f ca="1">IFERROR(__xludf.DUMMYFUNCTION("""COMPUTED_VALUE"""),"La Oficína Alta Consejería de Comunicaciones realizará crónica sobre la visita de Pablo VI a Bogotá y su visita especial a una familia en Tunjuelito. Alcaldía Local brindará apoyo en la busqueda de la familia.")</f>
        <v>La Oficína Alta Consejería de Comunicaciones realizará crónica sobre la visita de Pablo VI a Bogotá y su visita especial a una familia en Tunjuelito. Alcaldía Local brindará apoyo en la busqueda de la familia.</v>
      </c>
      <c r="G3085" s="25" t="str">
        <f ca="1">IFERROR(__xludf.DUMMYFUNCTION("""COMPUTED_VALUE"""),"06. Tunjuelito")</f>
        <v>06. Tunjuelito</v>
      </c>
      <c r="H3085" s="55">
        <f ca="1">IFERROR(__xludf.DUMMYFUNCTION("""COMPUTED_VALUE"""),45015)</f>
        <v>45015</v>
      </c>
      <c r="I3085" s="25"/>
      <c r="J3085" s="55" t="str">
        <f ca="1">IFERROR(__xludf.DUMMYFUNCTION("""COMPUTED_VALUE"""),"Alta")</f>
        <v>Alta</v>
      </c>
      <c r="K3085" s="25">
        <f ca="1">IFERROR(__xludf.DUMMYFUNCTION("""COMPUTED_VALUE"""),23)</f>
        <v>23</v>
      </c>
      <c r="L3085" s="62">
        <f ca="1">IFERROR(__xludf.DUMMYFUNCTION("""COMPUTED_VALUE"""),45031)</f>
        <v>45031</v>
      </c>
      <c r="M3085" s="25" t="str">
        <f ca="1">IFERROR(__xludf.DUMMYFUNCTION("""COMPUTED_VALUE"""),"Avance: 0% 
La Oficina Consejería de Comunicaciones determinó que no se realizará la crónica, teniendo en cuenta que no tiene mayor impacto dentro de la estrategia comunicacional establecida para la presente vigencia.")</f>
        <v>Avance: 0% 
La Oficina Consejería de Comunicaciones determinó que no se realizará la crónica, teniendo en cuenta que no tiene mayor impacto dentro de la estrategia comunicacional establecida para la presente vigencia.</v>
      </c>
      <c r="N3085" s="55">
        <f ca="1">IFERROR(__xludf.DUMMYFUNCTION("""COMPUTED_VALUE"""),45031)</f>
        <v>45031</v>
      </c>
      <c r="O3085" s="25" t="str">
        <f t="shared" ca="1" si="0"/>
        <v>Secretaría General</v>
      </c>
      <c r="P3085" s="25" t="str">
        <f t="shared" si="2"/>
        <v/>
      </c>
      <c r="Q3085" s="25" t="str">
        <f ca="1">IFERROR(__xludf.DUMMYFUNCTION("""COMPUTED_VALUE"""),"Corto plazo")</f>
        <v>Corto plazo</v>
      </c>
      <c r="R3085" s="25"/>
      <c r="S3085" s="55"/>
      <c r="T3085" s="56"/>
      <c r="U3085" s="25"/>
      <c r="V3085" s="25"/>
      <c r="W3085" s="25"/>
      <c r="X3085" s="25"/>
      <c r="Y3085" s="25"/>
      <c r="Z3085" s="25"/>
    </row>
    <row r="3086" spans="1:26" ht="52.5" customHeight="1" x14ac:dyDescent="0.25">
      <c r="A3086" s="25" t="str">
        <f ca="1">IFERROR(__xludf.DUMMYFUNCTION("""COMPUTED_VALUE"""),"Gesti84")</f>
        <v>Gesti84</v>
      </c>
      <c r="B3086" s="25" t="str">
        <f ca="1">IFERROR(__xludf.DUMMYFUNCTION("""COMPUTED_VALUE"""),"Consejo Local de Gobierno de Ciudad Bolívar")</f>
        <v>Consejo Local de Gobierno de Ciudad Bolívar</v>
      </c>
      <c r="C3086" s="55">
        <f ca="1">IFERROR(__xludf.DUMMYFUNCTION("""COMPUTED_VALUE"""),44595)</f>
        <v>44595</v>
      </c>
      <c r="D3086" s="25" t="str">
        <f ca="1">IFERROR(__xludf.DUMMYFUNCTION("""COMPUTED_VALUE"""),"Gestión_Pública")</f>
        <v>Gestión_Pública</v>
      </c>
      <c r="E3086" s="25" t="str">
        <f ca="1">IFERROR(__xludf.DUMMYFUNCTION("""COMPUTED_VALUE"""),"Secretaría General")</f>
        <v>Secretaría General</v>
      </c>
      <c r="F3086" s="25" t="str">
        <f ca="1">IFERROR(__xludf.DUMMYFUNCTION("""COMPUTED_VALUE"""),"Reestablecer el pago de servicios públicos en La Plataforma Lucero (CADE)")</f>
        <v>Reestablecer el pago de servicios públicos en La Plataforma Lucero (CADE)</v>
      </c>
      <c r="G3086" s="25" t="str">
        <f ca="1">IFERROR(__xludf.DUMMYFUNCTION("""COMPUTED_VALUE"""),"19. Ciudad Bolívar")</f>
        <v>19. Ciudad Bolívar</v>
      </c>
      <c r="H3086" s="55">
        <f ca="1">IFERROR(__xludf.DUMMYFUNCTION("""COMPUTED_VALUE"""),44705)</f>
        <v>44705</v>
      </c>
      <c r="I3086" s="25"/>
      <c r="J3086" s="55" t="str">
        <f ca="1">IFERROR(__xludf.DUMMYFUNCTION("""COMPUTED_VALUE"""),"Media")</f>
        <v>Media</v>
      </c>
      <c r="K3086" s="25">
        <f ca="1">IFERROR(__xludf.DUMMYFUNCTION("""COMPUTED_VALUE"""),110)</f>
        <v>110</v>
      </c>
      <c r="L3086" s="62">
        <f ca="1">IFERROR(__xludf.DUMMYFUNCTION("""COMPUTED_VALUE"""),44705)</f>
        <v>44705</v>
      </c>
      <c r="M3086" s="25" t="str">
        <f ca="1">IFERROR(__xludf.DUMMYFUNCTION("""COMPUTED_VALUE"""),"El 24 de mayo se inició operación de recaudo a través del operador REVAL en el CADE Lucero.")</f>
        <v>El 24 de mayo se inició operación de recaudo a través del operador REVAL en el CADE Lucero.</v>
      </c>
      <c r="N3086" s="55">
        <f ca="1">IFERROR(__xludf.DUMMYFUNCTION("""COMPUTED_VALUE"""),44926)</f>
        <v>44926</v>
      </c>
      <c r="O3086" s="25" t="str">
        <f t="shared" ca="1" si="0"/>
        <v>Secretaría General</v>
      </c>
      <c r="P3086" s="25" t="str">
        <f t="shared" si="2"/>
        <v/>
      </c>
      <c r="Q3086" s="25" t="str">
        <f ca="1">IFERROR(__xludf.DUMMYFUNCTION("""COMPUTED_VALUE"""),"Mediano plazo")</f>
        <v>Mediano plazo</v>
      </c>
      <c r="R3086" s="25"/>
      <c r="S3086" s="55"/>
      <c r="T3086" s="56"/>
      <c r="U3086" s="25"/>
      <c r="V3086" s="25"/>
      <c r="W3086" s="25"/>
      <c r="X3086" s="25"/>
      <c r="Y3086" s="25"/>
      <c r="Z3086" s="25"/>
    </row>
    <row r="3087" spans="1:26" ht="52.5" customHeight="1" x14ac:dyDescent="0.25">
      <c r="A3087" s="25" t="str">
        <f ca="1">IFERROR(__xludf.DUMMYFUNCTION("""COMPUTED_VALUE"""),"Gesti85")</f>
        <v>Gesti85</v>
      </c>
      <c r="B3087" s="25" t="str">
        <f ca="1">IFERROR(__xludf.DUMMYFUNCTION("""COMPUTED_VALUE"""),"Consejo Local de Gobierno de San Crisóbal")</f>
        <v>Consejo Local de Gobierno de San Crisóbal</v>
      </c>
      <c r="C3087" s="55">
        <f ca="1">IFERROR(__xludf.DUMMYFUNCTION("""COMPUTED_VALUE"""),44700)</f>
        <v>44700</v>
      </c>
      <c r="D3087" s="25" t="str">
        <f ca="1">IFERROR(__xludf.DUMMYFUNCTION("""COMPUTED_VALUE"""),"Gestión_Pública")</f>
        <v>Gestión_Pública</v>
      </c>
      <c r="E3087" s="25" t="str">
        <f ca="1">IFERROR(__xludf.DUMMYFUNCTION("""COMPUTED_VALUE"""),"Alta Consejería para los Derechos de las Víctimas")</f>
        <v>Alta Consejería para los Derechos de las Víctimas</v>
      </c>
      <c r="F3087" s="25" t="str">
        <f ca="1">IFERROR(__xludf.DUMMYFUNCTION("""COMPUTED_VALUE"""),"Revisar las amenazas a líderes y lideresas del conflicto armado en el barrio Santa Rosa e integrantes de la Mesa Local de Víctimas y la posibilidad de brindar las ayudas de emergencia requeridas")</f>
        <v>Revisar las amenazas a líderes y lideresas del conflicto armado en el barrio Santa Rosa e integrantes de la Mesa Local de Víctimas y la posibilidad de brindar las ayudas de emergencia requeridas</v>
      </c>
      <c r="G3087" s="25" t="str">
        <f ca="1">IFERROR(__xludf.DUMMYFUNCTION("""COMPUTED_VALUE"""),"04. San Cristóbal")</f>
        <v>04. San Cristóbal</v>
      </c>
      <c r="H3087" s="55">
        <f ca="1">IFERROR(__xludf.DUMMYFUNCTION("""COMPUTED_VALUE"""),44707)</f>
        <v>44707</v>
      </c>
      <c r="I3087" s="25"/>
      <c r="J3087" s="55" t="str">
        <f ca="1">IFERROR(__xludf.DUMMYFUNCTION("""COMPUTED_VALUE"""),"Alta")</f>
        <v>Alta</v>
      </c>
      <c r="K3087" s="25">
        <f ca="1">IFERROR(__xludf.DUMMYFUNCTION("""COMPUTED_VALUE"""),7)</f>
        <v>7</v>
      </c>
      <c r="L3087" s="62">
        <f ca="1">IFERROR(__xludf.DUMMYFUNCTION("""COMPUTED_VALUE"""),44707)</f>
        <v>44707</v>
      </c>
      <c r="M3087" s="25" t="str">
        <f ca="1">IFERROR(__xludf.DUMMYFUNCTION("""COMPUTED_VALUE"""),"La Alta Consejería de Paz, Víctimas, y Reconciliación adelantó la gestión de contacto con los tres (3) integrantes de la Mesa Local de Victimas referenciadas por la solicitante. Como resultado, se encontró que: Uno de los integrantes manifestó presentar p"&amp;"roblemas de inseguridad y amenazas en la localidad debido a su ejercicio como líder social y defensora de derechos humanos. No obstante, informó que ya presentó solicitud a la Secretaría de Gobierno y a la UNP, por lo anterior, no requiere intervención po"&amp;"r parte de esta Consejería (en el 2022 se le han otorgado 1 asistencia de vivienda – arriendo) y 2 de redención de alimentación y aseo). 
 Otro de los integrantes de la Mesa Local de Victimas referenciado al ser contactado, informó que realizó trámites "&amp;"ante la Unidad para las Víctimas y que recibió ayuda a través del Centro de Encuentro Rafael Uribe Uribe y que por tanto, actualmente no requiere nada más por pare de la ACPVR.
 Finalmente, se intentó contactar al tercer integrante de la Mesa Local de V"&amp;"ictimas referenciado, y los datos de contacto suministrados son erróneos, por lo tanto, en el marco de la mesa la ACPVR intentará establecer contacto con la persona.")</f>
        <v>La Alta Consejería de Paz, Víctimas, y Reconciliación adelantó la gestión de contacto con los tres (3) integrantes de la Mesa Local de Victimas referenciadas por la solicitante. Como resultado, se encontró que: Uno de los integrantes manifestó presentar problemas de inseguridad y amenazas en la localidad debido a su ejercicio como líder social y defensora de derechos humanos. No obstante, informó que ya presentó solicitud a la Secretaría de Gobierno y a la UNP, por lo anterior, no requiere intervención por parte de esta Consejería (en el 2022 se le han otorgado 1 asistencia de vivienda – arriendo) y 2 de redención de alimentación y aseo). 
 Otro de los integrantes de la Mesa Local de Victimas referenciado al ser contactado, informó que realizó trámites ante la Unidad para las Víctimas y que recibió ayuda a través del Centro de Encuentro Rafael Uribe Uribe y que por tanto, actualmente no requiere nada más por pare de la ACPVR.
 Finalmente, se intentó contactar al tercer integrante de la Mesa Local de Victimas referenciado, y los datos de contacto suministrados son erróneos, por lo tanto, en el marco de la mesa la ACPVR intentará establecer contacto con la persona.</v>
      </c>
      <c r="N3087" s="55">
        <f ca="1">IFERROR(__xludf.DUMMYFUNCTION("""COMPUTED_VALUE"""),44926)</f>
        <v>44926</v>
      </c>
      <c r="O3087" s="25" t="str">
        <f t="shared" ca="1" si="0"/>
        <v>Alta Consejería para los Derechos de las Víctimas</v>
      </c>
      <c r="P3087" s="25" t="str">
        <f t="shared" si="2"/>
        <v/>
      </c>
      <c r="Q3087" s="25" t="str">
        <f ca="1">IFERROR(__xludf.DUMMYFUNCTION("""COMPUTED_VALUE"""),"Corto plazo")</f>
        <v>Corto plazo</v>
      </c>
      <c r="R3087" s="25"/>
      <c r="S3087" s="55"/>
      <c r="T3087" s="56"/>
      <c r="U3087" s="25"/>
      <c r="V3087" s="25"/>
      <c r="W3087" s="25"/>
      <c r="X3087" s="25"/>
      <c r="Y3087" s="25"/>
      <c r="Z3087" s="25"/>
    </row>
    <row r="3088" spans="1:26" ht="52.5" customHeight="1" x14ac:dyDescent="0.25">
      <c r="A3088" s="25" t="str">
        <f ca="1">IFERROR(__xludf.DUMMYFUNCTION("""COMPUTED_VALUE"""),"Gesti86")</f>
        <v>Gesti86</v>
      </c>
      <c r="B3088" s="25"/>
      <c r="C3088" s="55"/>
      <c r="D3088" s="25" t="str">
        <f ca="1">IFERROR(__xludf.DUMMYFUNCTION("""COMPUTED_VALUE"""),"Gestión_Pública")</f>
        <v>Gestión_Pública</v>
      </c>
      <c r="E3088" s="25" t="str">
        <f ca="1">IFERROR(__xludf.DUMMYFUNCTION("""COMPUTED_VALUE"""),"Secretaría General")</f>
        <v>Secretaría General</v>
      </c>
      <c r="F3088" s="25" t="str">
        <f ca="1">IFERROR(__xludf.DUMMYFUNCTION("""COMPUTED_VALUE"""),"Eliminada")</f>
        <v>Eliminada</v>
      </c>
      <c r="G3088" s="25"/>
      <c r="H3088" s="25"/>
      <c r="I3088" s="25"/>
      <c r="J3088" s="55"/>
      <c r="K3088" s="25" t="str">
        <f ca="1">IFERROR(__xludf.DUMMYFUNCTION("""COMPUTED_VALUE"""),"Definir fecha")</f>
        <v>Definir fecha</v>
      </c>
      <c r="L3088" s="62"/>
      <c r="M3088" s="25"/>
      <c r="N3088" s="25"/>
      <c r="O3088" s="25" t="str">
        <f t="shared" ca="1" si="0"/>
        <v>Secretaría General</v>
      </c>
      <c r="P3088" s="25" t="str">
        <f t="shared" si="2"/>
        <v/>
      </c>
      <c r="Q3088" s="25" t="str">
        <f ca="1">IFERROR(__xludf.DUMMYFUNCTION("""COMPUTED_VALUE"""),"Sin defenir")</f>
        <v>Sin defenir</v>
      </c>
      <c r="R3088" s="25"/>
      <c r="S3088" s="55"/>
      <c r="T3088" s="56"/>
      <c r="U3088" s="25"/>
      <c r="V3088" s="25"/>
      <c r="W3088" s="25"/>
      <c r="X3088" s="25"/>
      <c r="Y3088" s="25"/>
      <c r="Z3088" s="25"/>
    </row>
    <row r="3089" spans="1:26" ht="52.5" customHeight="1" x14ac:dyDescent="0.25">
      <c r="A3089" s="25" t="str">
        <f ca="1">IFERROR(__xludf.DUMMYFUNCTION("""COMPUTED_VALUE"""),"Gesti87")</f>
        <v>Gesti87</v>
      </c>
      <c r="B3089" s="25"/>
      <c r="C3089" s="55"/>
      <c r="D3089" s="25" t="str">
        <f ca="1">IFERROR(__xludf.DUMMYFUNCTION("""COMPUTED_VALUE"""),"Gestión_Pública")</f>
        <v>Gestión_Pública</v>
      </c>
      <c r="E3089" s="25" t="str">
        <f ca="1">IFERROR(__xludf.DUMMYFUNCTION("""COMPUTED_VALUE"""),"Ágata")</f>
        <v>Ágata</v>
      </c>
      <c r="F3089" s="25" t="str">
        <f ca="1">IFERROR(__xludf.DUMMYFUNCTION("""COMPUTED_VALUE"""),"Eliminada")</f>
        <v>Eliminada</v>
      </c>
      <c r="G3089" s="25"/>
      <c r="H3089" s="25"/>
      <c r="I3089" s="25"/>
      <c r="J3089" s="55"/>
      <c r="K3089" s="25" t="str">
        <f ca="1">IFERROR(__xludf.DUMMYFUNCTION("""COMPUTED_VALUE"""),"Definir fecha")</f>
        <v>Definir fecha</v>
      </c>
      <c r="L3089" s="62"/>
      <c r="M3089" s="25"/>
      <c r="N3089" s="25"/>
      <c r="O3089" s="25" t="str">
        <f t="shared" ca="1" si="0"/>
        <v>Ágata</v>
      </c>
      <c r="P3089" s="25" t="str">
        <f t="shared" si="2"/>
        <v/>
      </c>
      <c r="Q3089" s="25" t="str">
        <f ca="1">IFERROR(__xludf.DUMMYFUNCTION("""COMPUTED_VALUE"""),"Sin defenir")</f>
        <v>Sin defenir</v>
      </c>
      <c r="R3089" s="25"/>
      <c r="S3089" s="55"/>
      <c r="T3089" s="56"/>
      <c r="U3089" s="25"/>
      <c r="V3089" s="25"/>
      <c r="W3089" s="25"/>
      <c r="X3089" s="25"/>
      <c r="Y3089" s="25"/>
      <c r="Z3089" s="25"/>
    </row>
    <row r="3090" spans="1:26" ht="52.5" customHeight="1" x14ac:dyDescent="0.25">
      <c r="A3090" s="25" t="str">
        <f ca="1">IFERROR(__xludf.DUMMYFUNCTION("""COMPUTED_VALUE"""),"Gesti88")</f>
        <v>Gesti88</v>
      </c>
      <c r="B3090" s="25"/>
      <c r="C3090" s="55"/>
      <c r="D3090" s="25" t="str">
        <f ca="1">IFERROR(__xludf.DUMMYFUNCTION("""COMPUTED_VALUE"""),"Gestión_Pública")</f>
        <v>Gestión_Pública</v>
      </c>
      <c r="E3090" s="25"/>
      <c r="F3090" s="25"/>
      <c r="G3090" s="25"/>
      <c r="H3090" s="25"/>
      <c r="I3090" s="25"/>
      <c r="J3090" s="55"/>
      <c r="K3090" s="25" t="str">
        <f ca="1">IFERROR(__xludf.DUMMYFUNCTION("""COMPUTED_VALUE"""),"Definir fecha")</f>
        <v>Definir fecha</v>
      </c>
      <c r="L3090" s="62"/>
      <c r="M3090" s="25"/>
      <c r="N3090" s="25"/>
      <c r="O3090" s="25">
        <f t="shared" si="0"/>
        <v>0</v>
      </c>
      <c r="P3090" s="25" t="str">
        <f t="shared" si="2"/>
        <v/>
      </c>
      <c r="Q3090" s="25" t="str">
        <f ca="1">IFERROR(__xludf.DUMMYFUNCTION("""COMPUTED_VALUE"""),"Sin defenir")</f>
        <v>Sin defenir</v>
      </c>
      <c r="R3090" s="25"/>
      <c r="S3090" s="55"/>
      <c r="T3090" s="56"/>
      <c r="U3090" s="25"/>
      <c r="V3090" s="25"/>
      <c r="W3090" s="25"/>
      <c r="X3090" s="25"/>
      <c r="Y3090" s="25"/>
      <c r="Z3090" s="25"/>
    </row>
    <row r="3091" spans="1:26" ht="52.5" customHeight="1" x14ac:dyDescent="0.25">
      <c r="A3091" s="25" t="str">
        <f ca="1">IFERROR(__xludf.DUMMYFUNCTION("""COMPUTED_VALUE"""),"Gesti89")</f>
        <v>Gesti89</v>
      </c>
      <c r="B3091" s="25"/>
      <c r="C3091" s="55"/>
      <c r="D3091" s="25" t="str">
        <f ca="1">IFERROR(__xludf.DUMMYFUNCTION("""COMPUTED_VALUE"""),"Gestión_Pública")</f>
        <v>Gestión_Pública</v>
      </c>
      <c r="E3091" s="25"/>
      <c r="F3091" s="25"/>
      <c r="G3091" s="25"/>
      <c r="H3091" s="25"/>
      <c r="I3091" s="25"/>
      <c r="J3091" s="55"/>
      <c r="K3091" s="25" t="str">
        <f ca="1">IFERROR(__xludf.DUMMYFUNCTION("""COMPUTED_VALUE"""),"Definir fecha")</f>
        <v>Definir fecha</v>
      </c>
      <c r="L3091" s="62"/>
      <c r="M3091" s="25"/>
      <c r="N3091" s="25"/>
      <c r="O3091" s="25">
        <f t="shared" si="0"/>
        <v>0</v>
      </c>
      <c r="P3091" s="25" t="str">
        <f t="shared" si="2"/>
        <v/>
      </c>
      <c r="Q3091" s="25" t="str">
        <f ca="1">IFERROR(__xludf.DUMMYFUNCTION("""COMPUTED_VALUE"""),"Sin defenir")</f>
        <v>Sin defenir</v>
      </c>
      <c r="R3091" s="25"/>
      <c r="S3091" s="55"/>
      <c r="T3091" s="56"/>
      <c r="U3091" s="25"/>
      <c r="V3091" s="25"/>
      <c r="W3091" s="25"/>
      <c r="X3091" s="25"/>
      <c r="Y3091" s="25"/>
      <c r="Z3091" s="25"/>
    </row>
    <row r="3092" spans="1:26" ht="52.5" customHeight="1" x14ac:dyDescent="0.25">
      <c r="A3092" s="25" t="str">
        <f ca="1">IFERROR(__xludf.DUMMYFUNCTION("""COMPUTED_VALUE"""),"Gesti90")</f>
        <v>Gesti90</v>
      </c>
      <c r="B3092" s="25"/>
      <c r="C3092" s="55"/>
      <c r="D3092" s="25" t="str">
        <f ca="1">IFERROR(__xludf.DUMMYFUNCTION("""COMPUTED_VALUE"""),"Gestión_Pública")</f>
        <v>Gestión_Pública</v>
      </c>
      <c r="E3092" s="25"/>
      <c r="F3092" s="25"/>
      <c r="G3092" s="25"/>
      <c r="H3092" s="25"/>
      <c r="I3092" s="25"/>
      <c r="J3092" s="55"/>
      <c r="K3092" s="25" t="str">
        <f ca="1">IFERROR(__xludf.DUMMYFUNCTION("""COMPUTED_VALUE"""),"Definir fecha")</f>
        <v>Definir fecha</v>
      </c>
      <c r="L3092" s="62"/>
      <c r="M3092" s="25"/>
      <c r="N3092" s="25"/>
      <c r="O3092" s="25">
        <f t="shared" si="0"/>
        <v>0</v>
      </c>
      <c r="P3092" s="25" t="str">
        <f t="shared" si="2"/>
        <v/>
      </c>
      <c r="Q3092" s="25" t="str">
        <f ca="1">IFERROR(__xludf.DUMMYFUNCTION("""COMPUTED_VALUE"""),"Sin defenir")</f>
        <v>Sin defenir</v>
      </c>
      <c r="R3092" s="25"/>
      <c r="S3092" s="55"/>
      <c r="T3092" s="56"/>
      <c r="U3092" s="25"/>
      <c r="V3092" s="25"/>
      <c r="W3092" s="25"/>
      <c r="X3092" s="25"/>
      <c r="Y3092" s="25"/>
      <c r="Z3092" s="25"/>
    </row>
    <row r="3093" spans="1:26" ht="52.5" customHeight="1" x14ac:dyDescent="0.25">
      <c r="A3093" s="25" t="str">
        <f ca="1">IFERROR(__xludf.DUMMYFUNCTION("""COMPUTED_VALUE"""),"Gesti91")</f>
        <v>Gesti91</v>
      </c>
      <c r="B3093" s="25"/>
      <c r="C3093" s="55"/>
      <c r="D3093" s="25" t="str">
        <f ca="1">IFERROR(__xludf.DUMMYFUNCTION("""COMPUTED_VALUE"""),"Gestión_Pública")</f>
        <v>Gestión_Pública</v>
      </c>
      <c r="E3093" s="25"/>
      <c r="F3093" s="25"/>
      <c r="G3093" s="25"/>
      <c r="H3093" s="25"/>
      <c r="I3093" s="25"/>
      <c r="J3093" s="55"/>
      <c r="K3093" s="25" t="str">
        <f ca="1">IFERROR(__xludf.DUMMYFUNCTION("""COMPUTED_VALUE"""),"Definir fecha")</f>
        <v>Definir fecha</v>
      </c>
      <c r="L3093" s="62"/>
      <c r="M3093" s="25"/>
      <c r="N3093" s="25"/>
      <c r="O3093" s="25">
        <f t="shared" si="0"/>
        <v>0</v>
      </c>
      <c r="P3093" s="25" t="str">
        <f t="shared" si="2"/>
        <v/>
      </c>
      <c r="Q3093" s="25" t="str">
        <f ca="1">IFERROR(__xludf.DUMMYFUNCTION("""COMPUTED_VALUE"""),"Sin defenir")</f>
        <v>Sin defenir</v>
      </c>
      <c r="R3093" s="25"/>
      <c r="S3093" s="55"/>
      <c r="T3093" s="56"/>
      <c r="U3093" s="25"/>
      <c r="V3093" s="25"/>
      <c r="W3093" s="25"/>
      <c r="X3093" s="25"/>
      <c r="Y3093" s="25"/>
      <c r="Z3093" s="25"/>
    </row>
    <row r="3094" spans="1:26" ht="52.5" customHeight="1" x14ac:dyDescent="0.25">
      <c r="A3094" s="25" t="str">
        <f ca="1">IFERROR(__xludf.DUMMYFUNCTION("""COMPUTED_VALUE"""),"Gesti92")</f>
        <v>Gesti92</v>
      </c>
      <c r="B3094" s="25"/>
      <c r="C3094" s="55"/>
      <c r="D3094" s="25" t="str">
        <f ca="1">IFERROR(__xludf.DUMMYFUNCTION("""COMPUTED_VALUE"""),"Gestión_Pública")</f>
        <v>Gestión_Pública</v>
      </c>
      <c r="E3094" s="25"/>
      <c r="F3094" s="25"/>
      <c r="G3094" s="25"/>
      <c r="H3094" s="25"/>
      <c r="I3094" s="25"/>
      <c r="J3094" s="55"/>
      <c r="K3094" s="25" t="str">
        <f ca="1">IFERROR(__xludf.DUMMYFUNCTION("""COMPUTED_VALUE"""),"Definir fecha")</f>
        <v>Definir fecha</v>
      </c>
      <c r="L3094" s="62"/>
      <c r="M3094" s="25"/>
      <c r="N3094" s="25"/>
      <c r="O3094" s="25">
        <f t="shared" si="0"/>
        <v>0</v>
      </c>
      <c r="P3094" s="25" t="str">
        <f t="shared" si="2"/>
        <v/>
      </c>
      <c r="Q3094" s="25" t="str">
        <f ca="1">IFERROR(__xludf.DUMMYFUNCTION("""COMPUTED_VALUE"""),"Sin defenir")</f>
        <v>Sin defenir</v>
      </c>
      <c r="R3094" s="25"/>
      <c r="S3094" s="55"/>
      <c r="T3094" s="56"/>
      <c r="U3094" s="25"/>
      <c r="V3094" s="25"/>
      <c r="W3094" s="25"/>
      <c r="X3094" s="25"/>
      <c r="Y3094" s="25"/>
      <c r="Z3094" s="25"/>
    </row>
    <row r="3095" spans="1:26" ht="52.5" customHeight="1" x14ac:dyDescent="0.25">
      <c r="A3095" s="25" t="str">
        <f ca="1">IFERROR(__xludf.DUMMYFUNCTION("""COMPUTED_VALUE"""),"Gesti93")</f>
        <v>Gesti93</v>
      </c>
      <c r="B3095" s="25"/>
      <c r="C3095" s="55"/>
      <c r="D3095" s="25" t="str">
        <f ca="1">IFERROR(__xludf.DUMMYFUNCTION("""COMPUTED_VALUE"""),"Gestión_Pública")</f>
        <v>Gestión_Pública</v>
      </c>
      <c r="E3095" s="25"/>
      <c r="F3095" s="25"/>
      <c r="G3095" s="25"/>
      <c r="H3095" s="25"/>
      <c r="I3095" s="25"/>
      <c r="J3095" s="55"/>
      <c r="K3095" s="25" t="str">
        <f ca="1">IFERROR(__xludf.DUMMYFUNCTION("""COMPUTED_VALUE"""),"Definir fecha")</f>
        <v>Definir fecha</v>
      </c>
      <c r="L3095" s="62"/>
      <c r="M3095" s="25"/>
      <c r="N3095" s="25"/>
      <c r="O3095" s="25">
        <f t="shared" si="0"/>
        <v>0</v>
      </c>
      <c r="P3095" s="25" t="str">
        <f t="shared" si="2"/>
        <v/>
      </c>
      <c r="Q3095" s="25" t="str">
        <f ca="1">IFERROR(__xludf.DUMMYFUNCTION("""COMPUTED_VALUE"""),"Sin defenir")</f>
        <v>Sin defenir</v>
      </c>
      <c r="R3095" s="25"/>
      <c r="S3095" s="55"/>
      <c r="T3095" s="56"/>
      <c r="U3095" s="25"/>
      <c r="V3095" s="25"/>
      <c r="W3095" s="25"/>
      <c r="X3095" s="25"/>
      <c r="Y3095" s="25"/>
      <c r="Z3095" s="25"/>
    </row>
    <row r="3096" spans="1:26" ht="52.5" customHeight="1" x14ac:dyDescent="0.25">
      <c r="A3096" s="25" t="str">
        <f ca="1">IFERROR(__xludf.DUMMYFUNCTION("""COMPUTED_VALUE"""),"Gesti94")</f>
        <v>Gesti94</v>
      </c>
      <c r="B3096" s="25"/>
      <c r="C3096" s="55"/>
      <c r="D3096" s="25" t="str">
        <f ca="1">IFERROR(__xludf.DUMMYFUNCTION("""COMPUTED_VALUE"""),"Gestión_Pública")</f>
        <v>Gestión_Pública</v>
      </c>
      <c r="E3096" s="25"/>
      <c r="F3096" s="25"/>
      <c r="G3096" s="25"/>
      <c r="H3096" s="25"/>
      <c r="I3096" s="25"/>
      <c r="J3096" s="55"/>
      <c r="K3096" s="25" t="str">
        <f ca="1">IFERROR(__xludf.DUMMYFUNCTION("""COMPUTED_VALUE"""),"Definir fecha")</f>
        <v>Definir fecha</v>
      </c>
      <c r="L3096" s="62"/>
      <c r="M3096" s="25"/>
      <c r="N3096" s="25"/>
      <c r="O3096" s="25">
        <f t="shared" si="0"/>
        <v>0</v>
      </c>
      <c r="P3096" s="25" t="str">
        <f t="shared" si="2"/>
        <v/>
      </c>
      <c r="Q3096" s="25" t="str">
        <f ca="1">IFERROR(__xludf.DUMMYFUNCTION("""COMPUTED_VALUE"""),"Sin defenir")</f>
        <v>Sin defenir</v>
      </c>
      <c r="R3096" s="25"/>
      <c r="S3096" s="55"/>
      <c r="T3096" s="56"/>
      <c r="U3096" s="25"/>
      <c r="V3096" s="25"/>
      <c r="W3096" s="25"/>
      <c r="X3096" s="25"/>
      <c r="Y3096" s="25"/>
      <c r="Z3096" s="25"/>
    </row>
    <row r="3097" spans="1:26" ht="52.5" customHeight="1" x14ac:dyDescent="0.25">
      <c r="A3097" s="25" t="str">
        <f ca="1">IFERROR(__xludf.DUMMYFUNCTION("""COMPUTED_VALUE"""),"Gesti95")</f>
        <v>Gesti95</v>
      </c>
      <c r="B3097" s="25"/>
      <c r="C3097" s="55"/>
      <c r="D3097" s="25" t="str">
        <f ca="1">IFERROR(__xludf.DUMMYFUNCTION("""COMPUTED_VALUE"""),"Gestión_Pública")</f>
        <v>Gestión_Pública</v>
      </c>
      <c r="E3097" s="25"/>
      <c r="F3097" s="25"/>
      <c r="G3097" s="25"/>
      <c r="H3097" s="25"/>
      <c r="I3097" s="25"/>
      <c r="J3097" s="55"/>
      <c r="K3097" s="25" t="str">
        <f ca="1">IFERROR(__xludf.DUMMYFUNCTION("""COMPUTED_VALUE"""),"Definir fecha")</f>
        <v>Definir fecha</v>
      </c>
      <c r="L3097" s="62"/>
      <c r="M3097" s="25"/>
      <c r="N3097" s="25"/>
      <c r="O3097" s="25">
        <f t="shared" si="0"/>
        <v>0</v>
      </c>
      <c r="P3097" s="25" t="str">
        <f t="shared" si="2"/>
        <v/>
      </c>
      <c r="Q3097" s="25" t="str">
        <f ca="1">IFERROR(__xludf.DUMMYFUNCTION("""COMPUTED_VALUE"""),"Sin defenir")</f>
        <v>Sin defenir</v>
      </c>
      <c r="R3097" s="25"/>
      <c r="S3097" s="55"/>
      <c r="T3097" s="56"/>
      <c r="U3097" s="25"/>
      <c r="V3097" s="25"/>
      <c r="W3097" s="25"/>
      <c r="X3097" s="25"/>
      <c r="Y3097" s="25"/>
      <c r="Z3097" s="25"/>
    </row>
    <row r="3098" spans="1:26" ht="52.5" customHeight="1" x14ac:dyDescent="0.25">
      <c r="A3098" s="25" t="str">
        <f ca="1">IFERROR(__xludf.DUMMYFUNCTION("""COMPUTED_VALUE"""),"Gesti96")</f>
        <v>Gesti96</v>
      </c>
      <c r="B3098" s="25"/>
      <c r="C3098" s="55"/>
      <c r="D3098" s="25" t="str">
        <f ca="1">IFERROR(__xludf.DUMMYFUNCTION("""COMPUTED_VALUE"""),"Gestión_Pública")</f>
        <v>Gestión_Pública</v>
      </c>
      <c r="E3098" s="25"/>
      <c r="F3098" s="25"/>
      <c r="G3098" s="25"/>
      <c r="H3098" s="25"/>
      <c r="I3098" s="25"/>
      <c r="J3098" s="55"/>
      <c r="K3098" s="25" t="str">
        <f ca="1">IFERROR(__xludf.DUMMYFUNCTION("""COMPUTED_VALUE"""),"Definir fecha")</f>
        <v>Definir fecha</v>
      </c>
      <c r="L3098" s="62"/>
      <c r="M3098" s="25"/>
      <c r="N3098" s="25"/>
      <c r="O3098" s="25">
        <f t="shared" si="0"/>
        <v>0</v>
      </c>
      <c r="P3098" s="25" t="str">
        <f t="shared" si="2"/>
        <v/>
      </c>
      <c r="Q3098" s="25" t="str">
        <f ca="1">IFERROR(__xludf.DUMMYFUNCTION("""COMPUTED_VALUE"""),"Sin defenir")</f>
        <v>Sin defenir</v>
      </c>
      <c r="R3098" s="25"/>
      <c r="S3098" s="55"/>
      <c r="T3098" s="56"/>
      <c r="U3098" s="25"/>
      <c r="V3098" s="25"/>
      <c r="W3098" s="25"/>
      <c r="X3098" s="25"/>
      <c r="Y3098" s="25"/>
      <c r="Z3098" s="25"/>
    </row>
    <row r="3099" spans="1:26" ht="52.5" customHeight="1" x14ac:dyDescent="0.25">
      <c r="A3099" s="25" t="str">
        <f ca="1">IFERROR(__xludf.DUMMYFUNCTION("""COMPUTED_VALUE"""),"Gesti97")</f>
        <v>Gesti97</v>
      </c>
      <c r="B3099" s="25"/>
      <c r="C3099" s="55"/>
      <c r="D3099" s="25" t="str">
        <f ca="1">IFERROR(__xludf.DUMMYFUNCTION("""COMPUTED_VALUE"""),"Gestión_Pública")</f>
        <v>Gestión_Pública</v>
      </c>
      <c r="E3099" s="25"/>
      <c r="F3099" s="25"/>
      <c r="G3099" s="25"/>
      <c r="H3099" s="25"/>
      <c r="I3099" s="25"/>
      <c r="J3099" s="55"/>
      <c r="K3099" s="25" t="str">
        <f ca="1">IFERROR(__xludf.DUMMYFUNCTION("""COMPUTED_VALUE"""),"Definir fecha")</f>
        <v>Definir fecha</v>
      </c>
      <c r="L3099" s="62"/>
      <c r="M3099" s="25"/>
      <c r="N3099" s="25"/>
      <c r="O3099" s="25">
        <f t="shared" si="0"/>
        <v>0</v>
      </c>
      <c r="P3099" s="25" t="str">
        <f t="shared" si="2"/>
        <v/>
      </c>
      <c r="Q3099" s="25" t="str">
        <f ca="1">IFERROR(__xludf.DUMMYFUNCTION("""COMPUTED_VALUE"""),"Sin defenir")</f>
        <v>Sin defenir</v>
      </c>
      <c r="R3099" s="25"/>
      <c r="S3099" s="55"/>
      <c r="T3099" s="56"/>
      <c r="U3099" s="25"/>
      <c r="V3099" s="25"/>
      <c r="W3099" s="25"/>
      <c r="X3099" s="25"/>
      <c r="Y3099" s="25"/>
      <c r="Z3099" s="25"/>
    </row>
    <row r="3100" spans="1:26" ht="52.5" customHeight="1" x14ac:dyDescent="0.25">
      <c r="A3100" s="25" t="str">
        <f ca="1">IFERROR(__xludf.DUMMYFUNCTION("""COMPUTED_VALUE"""),"Gesti98")</f>
        <v>Gesti98</v>
      </c>
      <c r="B3100" s="25"/>
      <c r="C3100" s="55"/>
      <c r="D3100" s="25" t="str">
        <f ca="1">IFERROR(__xludf.DUMMYFUNCTION("""COMPUTED_VALUE"""),"Gestión_Pública")</f>
        <v>Gestión_Pública</v>
      </c>
      <c r="E3100" s="25"/>
      <c r="F3100" s="25"/>
      <c r="G3100" s="25"/>
      <c r="H3100" s="25"/>
      <c r="I3100" s="25"/>
      <c r="J3100" s="55"/>
      <c r="K3100" s="25" t="str">
        <f ca="1">IFERROR(__xludf.DUMMYFUNCTION("""COMPUTED_VALUE"""),"Definir fecha")</f>
        <v>Definir fecha</v>
      </c>
      <c r="L3100" s="62"/>
      <c r="M3100" s="25"/>
      <c r="N3100" s="25"/>
      <c r="O3100" s="25">
        <f t="shared" si="0"/>
        <v>0</v>
      </c>
      <c r="P3100" s="25" t="str">
        <f t="shared" si="2"/>
        <v/>
      </c>
      <c r="Q3100" s="25" t="str">
        <f ca="1">IFERROR(__xludf.DUMMYFUNCTION("""COMPUTED_VALUE"""),"Sin defenir")</f>
        <v>Sin defenir</v>
      </c>
      <c r="R3100" s="25"/>
      <c r="S3100" s="55"/>
      <c r="T3100" s="56"/>
      <c r="U3100" s="25"/>
      <c r="V3100" s="25"/>
      <c r="W3100" s="25"/>
      <c r="X3100" s="25"/>
      <c r="Y3100" s="25"/>
      <c r="Z3100" s="25"/>
    </row>
    <row r="3101" spans="1:26" ht="52.5" customHeight="1" x14ac:dyDescent="0.25">
      <c r="A3101" s="25" t="str">
        <f ca="1">IFERROR(__xludf.DUMMYFUNCTION("""COMPUTED_VALUE"""),"Gesti99")</f>
        <v>Gesti99</v>
      </c>
      <c r="B3101" s="25"/>
      <c r="C3101" s="55"/>
      <c r="D3101" s="25" t="str">
        <f ca="1">IFERROR(__xludf.DUMMYFUNCTION("""COMPUTED_VALUE"""),"Gestión_Pública")</f>
        <v>Gestión_Pública</v>
      </c>
      <c r="E3101" s="25"/>
      <c r="F3101" s="25"/>
      <c r="G3101" s="25"/>
      <c r="H3101" s="25"/>
      <c r="I3101" s="25"/>
      <c r="J3101" s="55"/>
      <c r="K3101" s="25" t="str">
        <f ca="1">IFERROR(__xludf.DUMMYFUNCTION("""COMPUTED_VALUE"""),"Definir fecha")</f>
        <v>Definir fecha</v>
      </c>
      <c r="L3101" s="62"/>
      <c r="M3101" s="25"/>
      <c r="N3101" s="25"/>
      <c r="O3101" s="25">
        <f t="shared" si="0"/>
        <v>0</v>
      </c>
      <c r="P3101" s="25" t="str">
        <f t="shared" si="2"/>
        <v/>
      </c>
      <c r="Q3101" s="25" t="str">
        <f ca="1">IFERROR(__xludf.DUMMYFUNCTION("""COMPUTED_VALUE"""),"Sin defenir")</f>
        <v>Sin defenir</v>
      </c>
      <c r="R3101" s="25"/>
      <c r="S3101" s="55"/>
      <c r="T3101" s="56"/>
      <c r="U3101" s="25"/>
      <c r="V3101" s="25"/>
      <c r="W3101" s="25"/>
      <c r="X3101" s="25"/>
      <c r="Y3101" s="25"/>
      <c r="Z3101" s="25"/>
    </row>
    <row r="3102" spans="1:26" ht="52.5" customHeight="1" x14ac:dyDescent="0.25">
      <c r="A3102" s="25" t="str">
        <f ca="1">IFERROR(__xludf.DUMMYFUNCTION("""COMPUTED_VALUE"""),"Gesti100")</f>
        <v>Gesti100</v>
      </c>
      <c r="B3102" s="25"/>
      <c r="C3102" s="55"/>
      <c r="D3102" s="25" t="str">
        <f ca="1">IFERROR(__xludf.DUMMYFUNCTION("""COMPUTED_VALUE"""),"Gestión_Pública")</f>
        <v>Gestión_Pública</v>
      </c>
      <c r="E3102" s="25"/>
      <c r="F3102" s="25"/>
      <c r="G3102" s="25"/>
      <c r="H3102" s="25"/>
      <c r="I3102" s="25"/>
      <c r="J3102" s="55"/>
      <c r="K3102" s="25" t="str">
        <f ca="1">IFERROR(__xludf.DUMMYFUNCTION("""COMPUTED_VALUE"""),"Definir fecha")</f>
        <v>Definir fecha</v>
      </c>
      <c r="L3102" s="62"/>
      <c r="M3102" s="25"/>
      <c r="N3102" s="25"/>
      <c r="O3102" s="25">
        <f t="shared" si="0"/>
        <v>0</v>
      </c>
      <c r="P3102" s="25" t="str">
        <f t="shared" si="2"/>
        <v/>
      </c>
      <c r="Q3102" s="25" t="str">
        <f ca="1">IFERROR(__xludf.DUMMYFUNCTION("""COMPUTED_VALUE"""),"Sin defenir")</f>
        <v>Sin defenir</v>
      </c>
      <c r="R3102" s="25"/>
      <c r="S3102" s="55"/>
      <c r="T3102" s="56"/>
      <c r="U3102" s="25"/>
      <c r="V3102" s="25"/>
      <c r="W3102" s="25"/>
      <c r="X3102" s="25"/>
      <c r="Y3102" s="25"/>
      <c r="Z3102" s="25"/>
    </row>
    <row r="3103" spans="1:26" ht="52.5" customHeight="1" x14ac:dyDescent="0.25">
      <c r="A3103" s="25" t="str">
        <f ca="1">IFERROR(__xludf.DUMMYFUNCTION("""COMPUTED_VALUE"""),"Gesti101")</f>
        <v>Gesti101</v>
      </c>
      <c r="B3103" s="25"/>
      <c r="C3103" s="55"/>
      <c r="D3103" s="25" t="str">
        <f ca="1">IFERROR(__xludf.DUMMYFUNCTION("""COMPUTED_VALUE"""),"Gestión_Pública")</f>
        <v>Gestión_Pública</v>
      </c>
      <c r="E3103" s="25"/>
      <c r="F3103" s="25"/>
      <c r="G3103" s="25"/>
      <c r="H3103" s="25"/>
      <c r="I3103" s="25"/>
      <c r="J3103" s="55"/>
      <c r="K3103" s="25" t="str">
        <f ca="1">IFERROR(__xludf.DUMMYFUNCTION("""COMPUTED_VALUE"""),"Definir fecha")</f>
        <v>Definir fecha</v>
      </c>
      <c r="L3103" s="62"/>
      <c r="M3103" s="25"/>
      <c r="N3103" s="25"/>
      <c r="O3103" s="25">
        <f t="shared" si="0"/>
        <v>0</v>
      </c>
      <c r="P3103" s="25" t="str">
        <f t="shared" si="2"/>
        <v/>
      </c>
      <c r="Q3103" s="25" t="str">
        <f ca="1">IFERROR(__xludf.DUMMYFUNCTION("""COMPUTED_VALUE"""),"Sin defenir")</f>
        <v>Sin defenir</v>
      </c>
      <c r="R3103" s="25"/>
      <c r="S3103" s="55"/>
      <c r="T3103" s="56"/>
      <c r="U3103" s="25"/>
      <c r="V3103" s="25"/>
      <c r="W3103" s="25"/>
      <c r="X3103" s="25"/>
      <c r="Y3103" s="25"/>
      <c r="Z3103" s="25"/>
    </row>
    <row r="3104" spans="1:26" ht="52.5" customHeight="1" x14ac:dyDescent="0.25">
      <c r="A3104" s="25" t="str">
        <f ca="1">IFERROR(__xludf.DUMMYFUNCTION("""COMPUTED_VALUE"""),"Gesti102")</f>
        <v>Gesti102</v>
      </c>
      <c r="B3104" s="25"/>
      <c r="C3104" s="55"/>
      <c r="D3104" s="25" t="str">
        <f ca="1">IFERROR(__xludf.DUMMYFUNCTION("""COMPUTED_VALUE"""),"Gestión_Pública")</f>
        <v>Gestión_Pública</v>
      </c>
      <c r="E3104" s="25"/>
      <c r="F3104" s="25"/>
      <c r="G3104" s="25"/>
      <c r="H3104" s="25"/>
      <c r="I3104" s="25"/>
      <c r="J3104" s="55"/>
      <c r="K3104" s="25" t="str">
        <f ca="1">IFERROR(__xludf.DUMMYFUNCTION("""COMPUTED_VALUE"""),"Definir fecha")</f>
        <v>Definir fecha</v>
      </c>
      <c r="L3104" s="62"/>
      <c r="M3104" s="25"/>
      <c r="N3104" s="25"/>
      <c r="O3104" s="25">
        <f t="shared" si="0"/>
        <v>0</v>
      </c>
      <c r="P3104" s="25" t="str">
        <f t="shared" si="2"/>
        <v/>
      </c>
      <c r="Q3104" s="25" t="str">
        <f ca="1">IFERROR(__xludf.DUMMYFUNCTION("""COMPUTED_VALUE"""),"Sin defenir")</f>
        <v>Sin defenir</v>
      </c>
      <c r="R3104" s="25"/>
      <c r="S3104" s="55"/>
      <c r="T3104" s="56"/>
      <c r="U3104" s="25"/>
      <c r="V3104" s="25"/>
      <c r="W3104" s="25"/>
      <c r="X3104" s="25"/>
      <c r="Y3104" s="25"/>
      <c r="Z3104" s="25"/>
    </row>
    <row r="3105" spans="1:26" ht="52.5" customHeight="1" x14ac:dyDescent="0.25">
      <c r="A3105" s="25" t="str">
        <f ca="1">IFERROR(__xludf.DUMMYFUNCTION("""COMPUTED_VALUE"""),"Gesti103")</f>
        <v>Gesti103</v>
      </c>
      <c r="B3105" s="25"/>
      <c r="C3105" s="55"/>
      <c r="D3105" s="25" t="str">
        <f ca="1">IFERROR(__xludf.DUMMYFUNCTION("""COMPUTED_VALUE"""),"Gestión_Pública")</f>
        <v>Gestión_Pública</v>
      </c>
      <c r="E3105" s="25"/>
      <c r="F3105" s="25"/>
      <c r="G3105" s="25"/>
      <c r="H3105" s="25"/>
      <c r="I3105" s="25"/>
      <c r="J3105" s="55"/>
      <c r="K3105" s="25" t="str">
        <f ca="1">IFERROR(__xludf.DUMMYFUNCTION("""COMPUTED_VALUE"""),"Definir fecha")</f>
        <v>Definir fecha</v>
      </c>
      <c r="L3105" s="62"/>
      <c r="M3105" s="25"/>
      <c r="N3105" s="25"/>
      <c r="O3105" s="25">
        <f t="shared" si="0"/>
        <v>0</v>
      </c>
      <c r="P3105" s="25" t="str">
        <f t="shared" si="2"/>
        <v/>
      </c>
      <c r="Q3105" s="25" t="str">
        <f ca="1">IFERROR(__xludf.DUMMYFUNCTION("""COMPUTED_VALUE"""),"Sin defenir")</f>
        <v>Sin defenir</v>
      </c>
      <c r="R3105" s="25"/>
      <c r="S3105" s="55"/>
      <c r="T3105" s="56"/>
      <c r="U3105" s="25"/>
      <c r="V3105" s="25"/>
      <c r="W3105" s="25"/>
      <c r="X3105" s="25"/>
      <c r="Y3105" s="25"/>
      <c r="Z3105" s="25"/>
    </row>
    <row r="3106" spans="1:26" ht="52.5" customHeight="1" x14ac:dyDescent="0.25">
      <c r="A3106" s="25" t="str">
        <f ca="1">IFERROR(__xludf.DUMMYFUNCTION("""COMPUTED_VALUE"""),"Gesti104")</f>
        <v>Gesti104</v>
      </c>
      <c r="B3106" s="25"/>
      <c r="C3106" s="55"/>
      <c r="D3106" s="25" t="str">
        <f ca="1">IFERROR(__xludf.DUMMYFUNCTION("""COMPUTED_VALUE"""),"Gestión_Pública")</f>
        <v>Gestión_Pública</v>
      </c>
      <c r="E3106" s="25"/>
      <c r="F3106" s="25"/>
      <c r="G3106" s="25"/>
      <c r="H3106" s="25"/>
      <c r="I3106" s="25"/>
      <c r="J3106" s="55"/>
      <c r="K3106" s="25" t="str">
        <f ca="1">IFERROR(__xludf.DUMMYFUNCTION("""COMPUTED_VALUE"""),"Definir fecha")</f>
        <v>Definir fecha</v>
      </c>
      <c r="L3106" s="62"/>
      <c r="M3106" s="25"/>
      <c r="N3106" s="25"/>
      <c r="O3106" s="25">
        <f t="shared" si="0"/>
        <v>0</v>
      </c>
      <c r="P3106" s="25" t="str">
        <f t="shared" si="2"/>
        <v/>
      </c>
      <c r="Q3106" s="25" t="str">
        <f ca="1">IFERROR(__xludf.DUMMYFUNCTION("""COMPUTED_VALUE"""),"Sin defenir")</f>
        <v>Sin defenir</v>
      </c>
      <c r="R3106" s="25"/>
      <c r="S3106" s="55"/>
      <c r="T3106" s="56"/>
      <c r="U3106" s="25"/>
      <c r="V3106" s="25"/>
      <c r="W3106" s="25"/>
      <c r="X3106" s="25"/>
      <c r="Y3106" s="25"/>
      <c r="Z3106" s="25"/>
    </row>
    <row r="3107" spans="1:26" ht="52.5" customHeight="1" x14ac:dyDescent="0.25">
      <c r="A3107" s="25" t="str">
        <f ca="1">IFERROR(__xludf.DUMMYFUNCTION("""COMPUTED_VALUE"""),"Gesti105")</f>
        <v>Gesti105</v>
      </c>
      <c r="B3107" s="25"/>
      <c r="C3107" s="55"/>
      <c r="D3107" s="25" t="str">
        <f ca="1">IFERROR(__xludf.DUMMYFUNCTION("""COMPUTED_VALUE"""),"Gestión_Pública")</f>
        <v>Gestión_Pública</v>
      </c>
      <c r="E3107" s="25"/>
      <c r="F3107" s="25"/>
      <c r="G3107" s="25"/>
      <c r="H3107" s="25"/>
      <c r="I3107" s="25"/>
      <c r="J3107" s="55"/>
      <c r="K3107" s="25" t="str">
        <f ca="1">IFERROR(__xludf.DUMMYFUNCTION("""COMPUTED_VALUE"""),"Definir fecha")</f>
        <v>Definir fecha</v>
      </c>
      <c r="L3107" s="62"/>
      <c r="M3107" s="25"/>
      <c r="N3107" s="25"/>
      <c r="O3107" s="25">
        <f t="shared" si="0"/>
        <v>0</v>
      </c>
      <c r="P3107" s="25" t="str">
        <f t="shared" si="2"/>
        <v/>
      </c>
      <c r="Q3107" s="25" t="str">
        <f ca="1">IFERROR(__xludf.DUMMYFUNCTION("""COMPUTED_VALUE"""),"Sin defenir")</f>
        <v>Sin defenir</v>
      </c>
      <c r="R3107" s="25"/>
      <c r="S3107" s="55"/>
      <c r="T3107" s="56"/>
      <c r="U3107" s="25"/>
      <c r="V3107" s="25"/>
      <c r="W3107" s="25"/>
      <c r="X3107" s="25"/>
      <c r="Y3107" s="25"/>
      <c r="Z3107" s="25"/>
    </row>
    <row r="3108" spans="1:26" ht="52.5" customHeight="1" x14ac:dyDescent="0.25">
      <c r="A3108" s="25" t="str">
        <f ca="1">IFERROR(__xludf.DUMMYFUNCTION("""COMPUTED_VALUE"""),"Gesti106")</f>
        <v>Gesti106</v>
      </c>
      <c r="B3108" s="25"/>
      <c r="C3108" s="55"/>
      <c r="D3108" s="25" t="str">
        <f ca="1">IFERROR(__xludf.DUMMYFUNCTION("""COMPUTED_VALUE"""),"Gestión_Pública")</f>
        <v>Gestión_Pública</v>
      </c>
      <c r="E3108" s="25"/>
      <c r="F3108" s="25"/>
      <c r="G3108" s="25"/>
      <c r="H3108" s="25"/>
      <c r="I3108" s="25"/>
      <c r="J3108" s="55"/>
      <c r="K3108" s="25" t="str">
        <f ca="1">IFERROR(__xludf.DUMMYFUNCTION("""COMPUTED_VALUE"""),"Definir fecha")</f>
        <v>Definir fecha</v>
      </c>
      <c r="L3108" s="62"/>
      <c r="M3108" s="25"/>
      <c r="N3108" s="25"/>
      <c r="O3108" s="25">
        <f t="shared" si="0"/>
        <v>0</v>
      </c>
      <c r="P3108" s="25" t="str">
        <f t="shared" si="2"/>
        <v/>
      </c>
      <c r="Q3108" s="25" t="str">
        <f ca="1">IFERROR(__xludf.DUMMYFUNCTION("""COMPUTED_VALUE"""),"Sin defenir")</f>
        <v>Sin defenir</v>
      </c>
      <c r="R3108" s="25"/>
      <c r="S3108" s="55"/>
      <c r="T3108" s="56"/>
      <c r="U3108" s="25"/>
      <c r="V3108" s="25"/>
      <c r="W3108" s="25"/>
      <c r="X3108" s="25"/>
      <c r="Y3108" s="25"/>
      <c r="Z3108" s="25"/>
    </row>
    <row r="3109" spans="1:26" ht="52.5" customHeight="1" x14ac:dyDescent="0.25">
      <c r="A3109" s="25" t="str">
        <f ca="1">IFERROR(__xludf.DUMMYFUNCTION("""COMPUTED_VALUE"""),"Gesti107")</f>
        <v>Gesti107</v>
      </c>
      <c r="B3109" s="25"/>
      <c r="C3109" s="55"/>
      <c r="D3109" s="25" t="str">
        <f ca="1">IFERROR(__xludf.DUMMYFUNCTION("""COMPUTED_VALUE"""),"Gestión_Pública")</f>
        <v>Gestión_Pública</v>
      </c>
      <c r="E3109" s="25"/>
      <c r="F3109" s="25"/>
      <c r="G3109" s="25"/>
      <c r="H3109" s="25"/>
      <c r="I3109" s="25"/>
      <c r="J3109" s="55"/>
      <c r="K3109" s="25" t="str">
        <f ca="1">IFERROR(__xludf.DUMMYFUNCTION("""COMPUTED_VALUE"""),"Definir fecha")</f>
        <v>Definir fecha</v>
      </c>
      <c r="L3109" s="62"/>
      <c r="M3109" s="25"/>
      <c r="N3109" s="25"/>
      <c r="O3109" s="25">
        <f t="shared" si="0"/>
        <v>0</v>
      </c>
      <c r="P3109" s="25" t="str">
        <f t="shared" si="2"/>
        <v/>
      </c>
      <c r="Q3109" s="25" t="str">
        <f ca="1">IFERROR(__xludf.DUMMYFUNCTION("""COMPUTED_VALUE"""),"Sin defenir")</f>
        <v>Sin defenir</v>
      </c>
      <c r="R3109" s="25"/>
      <c r="S3109" s="55"/>
      <c r="T3109" s="56"/>
      <c r="U3109" s="25"/>
      <c r="V3109" s="25"/>
      <c r="W3109" s="25"/>
      <c r="X3109" s="25"/>
      <c r="Y3109" s="25"/>
      <c r="Z3109" s="25"/>
    </row>
    <row r="3110" spans="1:26" ht="52.5" customHeight="1" x14ac:dyDescent="0.25">
      <c r="A3110" s="25" t="str">
        <f ca="1">IFERROR(__xludf.DUMMYFUNCTION("""COMPUTED_VALUE"""),"Gesti108")</f>
        <v>Gesti108</v>
      </c>
      <c r="B3110" s="25"/>
      <c r="C3110" s="55"/>
      <c r="D3110" s="25" t="str">
        <f ca="1">IFERROR(__xludf.DUMMYFUNCTION("""COMPUTED_VALUE"""),"Gestión_Pública")</f>
        <v>Gestión_Pública</v>
      </c>
      <c r="E3110" s="25"/>
      <c r="F3110" s="25"/>
      <c r="G3110" s="25"/>
      <c r="H3110" s="25"/>
      <c r="I3110" s="25"/>
      <c r="J3110" s="55"/>
      <c r="K3110" s="25" t="str">
        <f ca="1">IFERROR(__xludf.DUMMYFUNCTION("""COMPUTED_VALUE"""),"Definir fecha")</f>
        <v>Definir fecha</v>
      </c>
      <c r="L3110" s="62"/>
      <c r="M3110" s="25"/>
      <c r="N3110" s="25"/>
      <c r="O3110" s="25">
        <f t="shared" si="0"/>
        <v>0</v>
      </c>
      <c r="P3110" s="25" t="str">
        <f t="shared" si="2"/>
        <v/>
      </c>
      <c r="Q3110" s="25" t="str">
        <f ca="1">IFERROR(__xludf.DUMMYFUNCTION("""COMPUTED_VALUE"""),"Sin defenir")</f>
        <v>Sin defenir</v>
      </c>
      <c r="R3110" s="25"/>
      <c r="S3110" s="55"/>
      <c r="T3110" s="56"/>
      <c r="U3110" s="25"/>
      <c r="V3110" s="25"/>
      <c r="W3110" s="25"/>
      <c r="X3110" s="25"/>
      <c r="Y3110" s="25"/>
      <c r="Z3110" s="25"/>
    </row>
    <row r="3111" spans="1:26" ht="52.5" customHeight="1" x14ac:dyDescent="0.25">
      <c r="A3111" s="25" t="str">
        <f ca="1">IFERROR(__xludf.DUMMYFUNCTION("""COMPUTED_VALUE"""),"Gesti109")</f>
        <v>Gesti109</v>
      </c>
      <c r="B3111" s="25"/>
      <c r="C3111" s="55"/>
      <c r="D3111" s="25" t="str">
        <f ca="1">IFERROR(__xludf.DUMMYFUNCTION("""COMPUTED_VALUE"""),"Gestión_Pública")</f>
        <v>Gestión_Pública</v>
      </c>
      <c r="E3111" s="25"/>
      <c r="F3111" s="25"/>
      <c r="G3111" s="25"/>
      <c r="H3111" s="25"/>
      <c r="I3111" s="25"/>
      <c r="J3111" s="55"/>
      <c r="K3111" s="25" t="str">
        <f ca="1">IFERROR(__xludf.DUMMYFUNCTION("""COMPUTED_VALUE"""),"Definir fecha")</f>
        <v>Definir fecha</v>
      </c>
      <c r="L3111" s="62"/>
      <c r="M3111" s="25"/>
      <c r="N3111" s="25"/>
      <c r="O3111" s="25">
        <f t="shared" si="0"/>
        <v>0</v>
      </c>
      <c r="P3111" s="25" t="str">
        <f t="shared" si="2"/>
        <v/>
      </c>
      <c r="Q3111" s="25" t="str">
        <f ca="1">IFERROR(__xludf.DUMMYFUNCTION("""COMPUTED_VALUE"""),"Sin defenir")</f>
        <v>Sin defenir</v>
      </c>
      <c r="R3111" s="25"/>
      <c r="S3111" s="55"/>
      <c r="T3111" s="56"/>
      <c r="U3111" s="25"/>
      <c r="V3111" s="25"/>
      <c r="W3111" s="25"/>
      <c r="X3111" s="25"/>
      <c r="Y3111" s="25"/>
      <c r="Z3111" s="25"/>
    </row>
    <row r="3112" spans="1:26" ht="52.5" customHeight="1" x14ac:dyDescent="0.25">
      <c r="A3112" s="25" t="str">
        <f ca="1">IFERROR(__xludf.DUMMYFUNCTION("""COMPUTED_VALUE"""),"Gesti110")</f>
        <v>Gesti110</v>
      </c>
      <c r="B3112" s="25"/>
      <c r="C3112" s="55"/>
      <c r="D3112" s="25" t="str">
        <f ca="1">IFERROR(__xludf.DUMMYFUNCTION("""COMPUTED_VALUE"""),"Gestión_Pública")</f>
        <v>Gestión_Pública</v>
      </c>
      <c r="E3112" s="25"/>
      <c r="F3112" s="25"/>
      <c r="G3112" s="25"/>
      <c r="H3112" s="25"/>
      <c r="I3112" s="25"/>
      <c r="J3112" s="55"/>
      <c r="K3112" s="25" t="str">
        <f ca="1">IFERROR(__xludf.DUMMYFUNCTION("""COMPUTED_VALUE"""),"Definir fecha")</f>
        <v>Definir fecha</v>
      </c>
      <c r="L3112" s="62"/>
      <c r="M3112" s="25"/>
      <c r="N3112" s="25"/>
      <c r="O3112" s="25">
        <f t="shared" si="0"/>
        <v>0</v>
      </c>
      <c r="P3112" s="25" t="str">
        <f t="shared" si="2"/>
        <v/>
      </c>
      <c r="Q3112" s="25" t="str">
        <f ca="1">IFERROR(__xludf.DUMMYFUNCTION("""COMPUTED_VALUE"""),"Sin defenir")</f>
        <v>Sin defenir</v>
      </c>
      <c r="R3112" s="25"/>
      <c r="S3112" s="55"/>
      <c r="T3112" s="56"/>
      <c r="U3112" s="25"/>
      <c r="V3112" s="25"/>
      <c r="W3112" s="25"/>
      <c r="X3112" s="25"/>
      <c r="Y3112" s="25"/>
      <c r="Z3112" s="25"/>
    </row>
    <row r="3113" spans="1:26" ht="52.5" customHeight="1" x14ac:dyDescent="0.25">
      <c r="A3113" s="25" t="str">
        <f ca="1">IFERROR(__xludf.DUMMYFUNCTION("""COMPUTED_VALUE"""),"Gesti111")</f>
        <v>Gesti111</v>
      </c>
      <c r="B3113" s="25"/>
      <c r="C3113" s="55"/>
      <c r="D3113" s="25" t="str">
        <f ca="1">IFERROR(__xludf.DUMMYFUNCTION("""COMPUTED_VALUE"""),"Gestión_Pública")</f>
        <v>Gestión_Pública</v>
      </c>
      <c r="E3113" s="25"/>
      <c r="F3113" s="25"/>
      <c r="G3113" s="25"/>
      <c r="H3113" s="25"/>
      <c r="I3113" s="25"/>
      <c r="J3113" s="55"/>
      <c r="K3113" s="25" t="str">
        <f ca="1">IFERROR(__xludf.DUMMYFUNCTION("""COMPUTED_VALUE"""),"Definir fecha")</f>
        <v>Definir fecha</v>
      </c>
      <c r="L3113" s="62"/>
      <c r="M3113" s="25"/>
      <c r="N3113" s="25"/>
      <c r="O3113" s="25">
        <f t="shared" si="0"/>
        <v>0</v>
      </c>
      <c r="P3113" s="25" t="str">
        <f t="shared" si="2"/>
        <v/>
      </c>
      <c r="Q3113" s="25" t="str">
        <f ca="1">IFERROR(__xludf.DUMMYFUNCTION("""COMPUTED_VALUE"""),"Sin defenir")</f>
        <v>Sin defenir</v>
      </c>
      <c r="R3113" s="25"/>
      <c r="S3113" s="55"/>
      <c r="T3113" s="56"/>
      <c r="U3113" s="25"/>
      <c r="V3113" s="25"/>
      <c r="W3113" s="25"/>
      <c r="X3113" s="25"/>
      <c r="Y3113" s="25"/>
      <c r="Z3113" s="25"/>
    </row>
    <row r="3114" spans="1:26" ht="52.5" customHeight="1" x14ac:dyDescent="0.25">
      <c r="A3114" s="25" t="str">
        <f ca="1">IFERROR(__xludf.DUMMYFUNCTION("""COMPUTED_VALUE"""),"Gesti112")</f>
        <v>Gesti112</v>
      </c>
      <c r="B3114" s="25"/>
      <c r="C3114" s="55"/>
      <c r="D3114" s="25" t="str">
        <f ca="1">IFERROR(__xludf.DUMMYFUNCTION("""COMPUTED_VALUE"""),"Gestión_Pública")</f>
        <v>Gestión_Pública</v>
      </c>
      <c r="E3114" s="25"/>
      <c r="F3114" s="25"/>
      <c r="G3114" s="25"/>
      <c r="H3114" s="25"/>
      <c r="I3114" s="25"/>
      <c r="J3114" s="55"/>
      <c r="K3114" s="25" t="str">
        <f ca="1">IFERROR(__xludf.DUMMYFUNCTION("""COMPUTED_VALUE"""),"Definir fecha")</f>
        <v>Definir fecha</v>
      </c>
      <c r="L3114" s="62"/>
      <c r="M3114" s="25"/>
      <c r="N3114" s="25"/>
      <c r="O3114" s="25">
        <f t="shared" si="0"/>
        <v>0</v>
      </c>
      <c r="P3114" s="25" t="str">
        <f t="shared" si="2"/>
        <v/>
      </c>
      <c r="Q3114" s="25" t="str">
        <f ca="1">IFERROR(__xludf.DUMMYFUNCTION("""COMPUTED_VALUE"""),"Sin defenir")</f>
        <v>Sin defenir</v>
      </c>
      <c r="R3114" s="25"/>
      <c r="S3114" s="55"/>
      <c r="T3114" s="56"/>
      <c r="U3114" s="25"/>
      <c r="V3114" s="25"/>
      <c r="W3114" s="25"/>
      <c r="X3114" s="25"/>
      <c r="Y3114" s="25"/>
      <c r="Z3114" s="25"/>
    </row>
    <row r="3115" spans="1:26" ht="52.5" customHeight="1" x14ac:dyDescent="0.25">
      <c r="A3115" s="25" t="str">
        <f ca="1">IFERROR(__xludf.DUMMYFUNCTION("""COMPUTED_VALUE"""),"Gesti113")</f>
        <v>Gesti113</v>
      </c>
      <c r="B3115" s="25"/>
      <c r="C3115" s="55"/>
      <c r="D3115" s="25" t="str">
        <f ca="1">IFERROR(__xludf.DUMMYFUNCTION("""COMPUTED_VALUE"""),"Gestión_Pública")</f>
        <v>Gestión_Pública</v>
      </c>
      <c r="E3115" s="25"/>
      <c r="F3115" s="25"/>
      <c r="G3115" s="25"/>
      <c r="H3115" s="25"/>
      <c r="I3115" s="25"/>
      <c r="J3115" s="55"/>
      <c r="K3115" s="25" t="str">
        <f ca="1">IFERROR(__xludf.DUMMYFUNCTION("""COMPUTED_VALUE"""),"Definir fecha")</f>
        <v>Definir fecha</v>
      </c>
      <c r="L3115" s="62"/>
      <c r="M3115" s="25"/>
      <c r="N3115" s="25"/>
      <c r="O3115" s="25">
        <f t="shared" si="0"/>
        <v>0</v>
      </c>
      <c r="P3115" s="25" t="str">
        <f t="shared" si="2"/>
        <v/>
      </c>
      <c r="Q3115" s="25" t="str">
        <f ca="1">IFERROR(__xludf.DUMMYFUNCTION("""COMPUTED_VALUE"""),"Sin defenir")</f>
        <v>Sin defenir</v>
      </c>
      <c r="R3115" s="25"/>
      <c r="S3115" s="55"/>
      <c r="T3115" s="56"/>
      <c r="U3115" s="25"/>
      <c r="V3115" s="25"/>
      <c r="W3115" s="25"/>
      <c r="X3115" s="25"/>
      <c r="Y3115" s="25"/>
      <c r="Z3115" s="25"/>
    </row>
    <row r="3116" spans="1:26" ht="52.5" customHeight="1" x14ac:dyDescent="0.25">
      <c r="A3116" s="25" t="str">
        <f ca="1">IFERROR(__xludf.DUMMYFUNCTION("""COMPUTED_VALUE"""),"Gesti114")</f>
        <v>Gesti114</v>
      </c>
      <c r="B3116" s="25"/>
      <c r="C3116" s="55"/>
      <c r="D3116" s="25" t="str">
        <f ca="1">IFERROR(__xludf.DUMMYFUNCTION("""COMPUTED_VALUE"""),"Gestión_Pública")</f>
        <v>Gestión_Pública</v>
      </c>
      <c r="E3116" s="25"/>
      <c r="F3116" s="25"/>
      <c r="G3116" s="25"/>
      <c r="H3116" s="25"/>
      <c r="I3116" s="25"/>
      <c r="J3116" s="55"/>
      <c r="K3116" s="25" t="str">
        <f ca="1">IFERROR(__xludf.DUMMYFUNCTION("""COMPUTED_VALUE"""),"Definir fecha")</f>
        <v>Definir fecha</v>
      </c>
      <c r="L3116" s="62"/>
      <c r="M3116" s="25"/>
      <c r="N3116" s="25"/>
      <c r="O3116" s="25">
        <f t="shared" si="0"/>
        <v>0</v>
      </c>
      <c r="P3116" s="25" t="str">
        <f t="shared" si="2"/>
        <v/>
      </c>
      <c r="Q3116" s="25" t="str">
        <f ca="1">IFERROR(__xludf.DUMMYFUNCTION("""COMPUTED_VALUE"""),"Sin defenir")</f>
        <v>Sin defenir</v>
      </c>
      <c r="R3116" s="25"/>
      <c r="S3116" s="55"/>
      <c r="T3116" s="56"/>
      <c r="U3116" s="25"/>
      <c r="V3116" s="25"/>
      <c r="W3116" s="25"/>
      <c r="X3116" s="25"/>
      <c r="Y3116" s="25"/>
      <c r="Z3116" s="25"/>
    </row>
    <row r="3117" spans="1:26" ht="52.5" customHeight="1" x14ac:dyDescent="0.25">
      <c r="A3117" s="25" t="str">
        <f ca="1">IFERROR(__xludf.DUMMYFUNCTION("""COMPUTED_VALUE"""),"Gesti115")</f>
        <v>Gesti115</v>
      </c>
      <c r="B3117" s="25"/>
      <c r="C3117" s="55"/>
      <c r="D3117" s="25" t="str">
        <f ca="1">IFERROR(__xludf.DUMMYFUNCTION("""COMPUTED_VALUE"""),"Gestión_Pública")</f>
        <v>Gestión_Pública</v>
      </c>
      <c r="E3117" s="25"/>
      <c r="F3117" s="25"/>
      <c r="G3117" s="25"/>
      <c r="H3117" s="25"/>
      <c r="I3117" s="25"/>
      <c r="J3117" s="55"/>
      <c r="K3117" s="25" t="str">
        <f ca="1">IFERROR(__xludf.DUMMYFUNCTION("""COMPUTED_VALUE"""),"Definir fecha")</f>
        <v>Definir fecha</v>
      </c>
      <c r="L3117" s="62"/>
      <c r="M3117" s="25"/>
      <c r="N3117" s="25"/>
      <c r="O3117" s="25">
        <f t="shared" si="0"/>
        <v>0</v>
      </c>
      <c r="P3117" s="25" t="str">
        <f t="shared" si="2"/>
        <v/>
      </c>
      <c r="Q3117" s="25" t="str">
        <f ca="1">IFERROR(__xludf.DUMMYFUNCTION("""COMPUTED_VALUE"""),"Sin defenir")</f>
        <v>Sin defenir</v>
      </c>
      <c r="R3117" s="25"/>
      <c r="S3117" s="55"/>
      <c r="T3117" s="56"/>
      <c r="U3117" s="25"/>
      <c r="V3117" s="25"/>
      <c r="W3117" s="25"/>
      <c r="X3117" s="25"/>
      <c r="Y3117" s="25"/>
      <c r="Z3117" s="25"/>
    </row>
    <row r="3118" spans="1:26" ht="52.5" customHeight="1" x14ac:dyDescent="0.25">
      <c r="A3118" s="25" t="str">
        <f ca="1">IFERROR(__xludf.DUMMYFUNCTION("""COMPUTED_VALUE"""),"Gesti116")</f>
        <v>Gesti116</v>
      </c>
      <c r="B3118" s="25"/>
      <c r="C3118" s="55"/>
      <c r="D3118" s="25" t="str">
        <f ca="1">IFERROR(__xludf.DUMMYFUNCTION("""COMPUTED_VALUE"""),"Gestión_Pública")</f>
        <v>Gestión_Pública</v>
      </c>
      <c r="E3118" s="25"/>
      <c r="F3118" s="25"/>
      <c r="G3118" s="25"/>
      <c r="H3118" s="25"/>
      <c r="I3118" s="25"/>
      <c r="J3118" s="55"/>
      <c r="K3118" s="25" t="str">
        <f ca="1">IFERROR(__xludf.DUMMYFUNCTION("""COMPUTED_VALUE"""),"Definir fecha")</f>
        <v>Definir fecha</v>
      </c>
      <c r="L3118" s="62"/>
      <c r="M3118" s="25"/>
      <c r="N3118" s="25"/>
      <c r="O3118" s="25">
        <f t="shared" si="0"/>
        <v>0</v>
      </c>
      <c r="P3118" s="25" t="str">
        <f t="shared" si="2"/>
        <v/>
      </c>
      <c r="Q3118" s="25" t="str">
        <f ca="1">IFERROR(__xludf.DUMMYFUNCTION("""COMPUTED_VALUE"""),"Sin defenir")</f>
        <v>Sin defenir</v>
      </c>
      <c r="R3118" s="25"/>
      <c r="S3118" s="55"/>
      <c r="T3118" s="56"/>
      <c r="U3118" s="25"/>
      <c r="V3118" s="25"/>
      <c r="W3118" s="25"/>
      <c r="X3118" s="25"/>
      <c r="Y3118" s="25"/>
      <c r="Z3118" s="25"/>
    </row>
    <row r="3119" spans="1:26" ht="52.5" customHeight="1" x14ac:dyDescent="0.25">
      <c r="A3119" s="25" t="str">
        <f ca="1">IFERROR(__xludf.DUMMYFUNCTION("""COMPUTED_VALUE"""),"Gesti117")</f>
        <v>Gesti117</v>
      </c>
      <c r="B3119" s="25"/>
      <c r="C3119" s="55"/>
      <c r="D3119" s="25" t="str">
        <f ca="1">IFERROR(__xludf.DUMMYFUNCTION("""COMPUTED_VALUE"""),"Gestión_Pública")</f>
        <v>Gestión_Pública</v>
      </c>
      <c r="E3119" s="25"/>
      <c r="F3119" s="25"/>
      <c r="G3119" s="25"/>
      <c r="H3119" s="25"/>
      <c r="I3119" s="25"/>
      <c r="J3119" s="55"/>
      <c r="K3119" s="25" t="str">
        <f ca="1">IFERROR(__xludf.DUMMYFUNCTION("""COMPUTED_VALUE"""),"Definir fecha")</f>
        <v>Definir fecha</v>
      </c>
      <c r="L3119" s="62"/>
      <c r="M3119" s="25"/>
      <c r="N3119" s="25"/>
      <c r="O3119" s="25">
        <f t="shared" si="0"/>
        <v>0</v>
      </c>
      <c r="P3119" s="25" t="str">
        <f t="shared" si="2"/>
        <v/>
      </c>
      <c r="Q3119" s="25" t="str">
        <f ca="1">IFERROR(__xludf.DUMMYFUNCTION("""COMPUTED_VALUE"""),"Sin defenir")</f>
        <v>Sin defenir</v>
      </c>
      <c r="R3119" s="25"/>
      <c r="S3119" s="55"/>
      <c r="T3119" s="56"/>
      <c r="U3119" s="25"/>
      <c r="V3119" s="25"/>
      <c r="W3119" s="25"/>
      <c r="X3119" s="25"/>
      <c r="Y3119" s="25"/>
      <c r="Z3119" s="25"/>
    </row>
    <row r="3120" spans="1:26" ht="52.5" customHeight="1" x14ac:dyDescent="0.25">
      <c r="A3120" s="25" t="str">
        <f ca="1">IFERROR(__xludf.DUMMYFUNCTION("""COMPUTED_VALUE"""),"Gesti118")</f>
        <v>Gesti118</v>
      </c>
      <c r="B3120" s="25"/>
      <c r="C3120" s="55"/>
      <c r="D3120" s="25" t="str">
        <f ca="1">IFERROR(__xludf.DUMMYFUNCTION("""COMPUTED_VALUE"""),"Gestión_Pública")</f>
        <v>Gestión_Pública</v>
      </c>
      <c r="E3120" s="25"/>
      <c r="F3120" s="25"/>
      <c r="G3120" s="25"/>
      <c r="H3120" s="25"/>
      <c r="I3120" s="25"/>
      <c r="J3120" s="55"/>
      <c r="K3120" s="25" t="str">
        <f ca="1">IFERROR(__xludf.DUMMYFUNCTION("""COMPUTED_VALUE"""),"Definir fecha")</f>
        <v>Definir fecha</v>
      </c>
      <c r="L3120" s="62"/>
      <c r="M3120" s="25"/>
      <c r="N3120" s="25"/>
      <c r="O3120" s="25">
        <f t="shared" si="0"/>
        <v>0</v>
      </c>
      <c r="P3120" s="25" t="str">
        <f t="shared" si="2"/>
        <v/>
      </c>
      <c r="Q3120" s="25" t="str">
        <f ca="1">IFERROR(__xludf.DUMMYFUNCTION("""COMPUTED_VALUE"""),"Sin defenir")</f>
        <v>Sin defenir</v>
      </c>
      <c r="R3120" s="25"/>
      <c r="S3120" s="55"/>
      <c r="T3120" s="56"/>
      <c r="U3120" s="25"/>
      <c r="V3120" s="25"/>
      <c r="W3120" s="25"/>
      <c r="X3120" s="25"/>
      <c r="Y3120" s="25"/>
      <c r="Z3120" s="25"/>
    </row>
    <row r="3121" spans="1:26" ht="52.5" customHeight="1" x14ac:dyDescent="0.25">
      <c r="A3121" s="25" t="str">
        <f ca="1">IFERROR(__xludf.DUMMYFUNCTION("""COMPUTED_VALUE"""),"Gesti119")</f>
        <v>Gesti119</v>
      </c>
      <c r="B3121" s="25"/>
      <c r="C3121" s="55"/>
      <c r="D3121" s="25" t="str">
        <f ca="1">IFERROR(__xludf.DUMMYFUNCTION("""COMPUTED_VALUE"""),"Gestión_Pública")</f>
        <v>Gestión_Pública</v>
      </c>
      <c r="E3121" s="25"/>
      <c r="F3121" s="25"/>
      <c r="G3121" s="25"/>
      <c r="H3121" s="25"/>
      <c r="I3121" s="25"/>
      <c r="J3121" s="55"/>
      <c r="K3121" s="25" t="str">
        <f ca="1">IFERROR(__xludf.DUMMYFUNCTION("""COMPUTED_VALUE"""),"Definir fecha")</f>
        <v>Definir fecha</v>
      </c>
      <c r="L3121" s="62"/>
      <c r="M3121" s="25"/>
      <c r="N3121" s="25"/>
      <c r="O3121" s="25">
        <f t="shared" si="0"/>
        <v>0</v>
      </c>
      <c r="P3121" s="25" t="str">
        <f t="shared" si="2"/>
        <v/>
      </c>
      <c r="Q3121" s="25" t="str">
        <f ca="1">IFERROR(__xludf.DUMMYFUNCTION("""COMPUTED_VALUE"""),"Sin defenir")</f>
        <v>Sin defenir</v>
      </c>
      <c r="R3121" s="25"/>
      <c r="S3121" s="55"/>
      <c r="T3121" s="56"/>
      <c r="U3121" s="25"/>
      <c r="V3121" s="25"/>
      <c r="W3121" s="25"/>
      <c r="X3121" s="25"/>
      <c r="Y3121" s="25"/>
      <c r="Z3121" s="25"/>
    </row>
    <row r="3122" spans="1:26" ht="52.5" customHeight="1" x14ac:dyDescent="0.25">
      <c r="A3122" s="25" t="str">
        <f ca="1">IFERROR(__xludf.DUMMYFUNCTION("""COMPUTED_VALUE"""),"Gesti120")</f>
        <v>Gesti120</v>
      </c>
      <c r="B3122" s="25"/>
      <c r="C3122" s="55"/>
      <c r="D3122" s="25" t="str">
        <f ca="1">IFERROR(__xludf.DUMMYFUNCTION("""COMPUTED_VALUE"""),"Gestión_Pública")</f>
        <v>Gestión_Pública</v>
      </c>
      <c r="E3122" s="25"/>
      <c r="F3122" s="25"/>
      <c r="G3122" s="25"/>
      <c r="H3122" s="25"/>
      <c r="I3122" s="25"/>
      <c r="J3122" s="55"/>
      <c r="K3122" s="25" t="str">
        <f ca="1">IFERROR(__xludf.DUMMYFUNCTION("""COMPUTED_VALUE"""),"Definir fecha")</f>
        <v>Definir fecha</v>
      </c>
      <c r="L3122" s="62"/>
      <c r="M3122" s="25"/>
      <c r="N3122" s="25"/>
      <c r="O3122" s="25">
        <f t="shared" si="0"/>
        <v>0</v>
      </c>
      <c r="P3122" s="25" t="str">
        <f t="shared" si="2"/>
        <v/>
      </c>
      <c r="Q3122" s="25" t="str">
        <f ca="1">IFERROR(__xludf.DUMMYFUNCTION("""COMPUTED_VALUE"""),"Sin defenir")</f>
        <v>Sin defenir</v>
      </c>
      <c r="R3122" s="25"/>
      <c r="S3122" s="55"/>
      <c r="T3122" s="56"/>
      <c r="U3122" s="25"/>
      <c r="V3122" s="25"/>
      <c r="W3122" s="25"/>
      <c r="X3122" s="25"/>
      <c r="Y3122" s="25"/>
      <c r="Z3122" s="25"/>
    </row>
    <row r="3123" spans="1:26" ht="52.5" customHeight="1" x14ac:dyDescent="0.25">
      <c r="A3123" s="25" t="str">
        <f ca="1">IFERROR(__xludf.DUMMYFUNCTION("""COMPUTED_VALUE"""),"Gesti121")</f>
        <v>Gesti121</v>
      </c>
      <c r="B3123" s="25"/>
      <c r="C3123" s="55"/>
      <c r="D3123" s="25" t="str">
        <f ca="1">IFERROR(__xludf.DUMMYFUNCTION("""COMPUTED_VALUE"""),"Gestión_Pública")</f>
        <v>Gestión_Pública</v>
      </c>
      <c r="E3123" s="25"/>
      <c r="F3123" s="25"/>
      <c r="G3123" s="25"/>
      <c r="H3123" s="25"/>
      <c r="I3123" s="25"/>
      <c r="J3123" s="55"/>
      <c r="K3123" s="25" t="str">
        <f ca="1">IFERROR(__xludf.DUMMYFUNCTION("""COMPUTED_VALUE"""),"Definir fecha")</f>
        <v>Definir fecha</v>
      </c>
      <c r="L3123" s="62"/>
      <c r="M3123" s="25"/>
      <c r="N3123" s="25"/>
      <c r="O3123" s="25">
        <f t="shared" si="0"/>
        <v>0</v>
      </c>
      <c r="P3123" s="25" t="str">
        <f t="shared" si="2"/>
        <v/>
      </c>
      <c r="Q3123" s="25" t="str">
        <f ca="1">IFERROR(__xludf.DUMMYFUNCTION("""COMPUTED_VALUE"""),"Sin defenir")</f>
        <v>Sin defenir</v>
      </c>
      <c r="R3123" s="25"/>
      <c r="S3123" s="55"/>
      <c r="T3123" s="56"/>
      <c r="U3123" s="25"/>
      <c r="V3123" s="25"/>
      <c r="W3123" s="25"/>
      <c r="X3123" s="25"/>
      <c r="Y3123" s="25"/>
      <c r="Z3123" s="25"/>
    </row>
    <row r="3124" spans="1:26" ht="52.5" customHeight="1" x14ac:dyDescent="0.25">
      <c r="A3124" s="25" t="str">
        <f ca="1">IFERROR(__xludf.DUMMYFUNCTION("""COMPUTED_VALUE"""),"Gesti122")</f>
        <v>Gesti122</v>
      </c>
      <c r="B3124" s="25"/>
      <c r="C3124" s="55"/>
      <c r="D3124" s="25" t="str">
        <f ca="1">IFERROR(__xludf.DUMMYFUNCTION("""COMPUTED_VALUE"""),"Gestión_Pública")</f>
        <v>Gestión_Pública</v>
      </c>
      <c r="E3124" s="25"/>
      <c r="F3124" s="25"/>
      <c r="G3124" s="25"/>
      <c r="H3124" s="25"/>
      <c r="I3124" s="25"/>
      <c r="J3124" s="55"/>
      <c r="K3124" s="25" t="str">
        <f ca="1">IFERROR(__xludf.DUMMYFUNCTION("""COMPUTED_VALUE"""),"Definir fecha")</f>
        <v>Definir fecha</v>
      </c>
      <c r="L3124" s="62"/>
      <c r="M3124" s="25"/>
      <c r="N3124" s="25"/>
      <c r="O3124" s="25">
        <f t="shared" si="0"/>
        <v>0</v>
      </c>
      <c r="P3124" s="25" t="str">
        <f t="shared" si="2"/>
        <v/>
      </c>
      <c r="Q3124" s="25" t="str">
        <f ca="1">IFERROR(__xludf.DUMMYFUNCTION("""COMPUTED_VALUE"""),"Sin defenir")</f>
        <v>Sin defenir</v>
      </c>
      <c r="R3124" s="25"/>
      <c r="S3124" s="55"/>
      <c r="T3124" s="56"/>
      <c r="U3124" s="25"/>
      <c r="V3124" s="25"/>
      <c r="W3124" s="25"/>
      <c r="X3124" s="25"/>
      <c r="Y3124" s="25"/>
      <c r="Z3124" s="25"/>
    </row>
    <row r="3125" spans="1:26" ht="52.5" customHeight="1" x14ac:dyDescent="0.25">
      <c r="A3125" s="25" t="str">
        <f ca="1">IFERROR(__xludf.DUMMYFUNCTION("""COMPUTED_VALUE"""),"Gesti123")</f>
        <v>Gesti123</v>
      </c>
      <c r="B3125" s="25"/>
      <c r="C3125" s="55"/>
      <c r="D3125" s="25" t="str">
        <f ca="1">IFERROR(__xludf.DUMMYFUNCTION("""COMPUTED_VALUE"""),"Gestión_Pública")</f>
        <v>Gestión_Pública</v>
      </c>
      <c r="E3125" s="25"/>
      <c r="F3125" s="25"/>
      <c r="G3125" s="25"/>
      <c r="H3125" s="25"/>
      <c r="I3125" s="25"/>
      <c r="J3125" s="55"/>
      <c r="K3125" s="25" t="str">
        <f ca="1">IFERROR(__xludf.DUMMYFUNCTION("""COMPUTED_VALUE"""),"Definir fecha")</f>
        <v>Definir fecha</v>
      </c>
      <c r="L3125" s="62"/>
      <c r="M3125" s="25"/>
      <c r="N3125" s="25"/>
      <c r="O3125" s="25">
        <f t="shared" si="0"/>
        <v>0</v>
      </c>
      <c r="P3125" s="25" t="str">
        <f t="shared" si="2"/>
        <v/>
      </c>
      <c r="Q3125" s="25" t="str">
        <f ca="1">IFERROR(__xludf.DUMMYFUNCTION("""COMPUTED_VALUE"""),"Sin defenir")</f>
        <v>Sin defenir</v>
      </c>
      <c r="R3125" s="25"/>
      <c r="S3125" s="55"/>
      <c r="T3125" s="56"/>
      <c r="U3125" s="25"/>
      <c r="V3125" s="25"/>
      <c r="W3125" s="25"/>
      <c r="X3125" s="25"/>
      <c r="Y3125" s="25"/>
      <c r="Z3125" s="25"/>
    </row>
    <row r="3126" spans="1:26" ht="52.5" customHeight="1" x14ac:dyDescent="0.25">
      <c r="A3126" s="25" t="str">
        <f ca="1">IFERROR(__xludf.DUMMYFUNCTION("""COMPUTED_VALUE"""),"Gesti124")</f>
        <v>Gesti124</v>
      </c>
      <c r="B3126" s="25"/>
      <c r="C3126" s="55"/>
      <c r="D3126" s="25" t="str">
        <f ca="1">IFERROR(__xludf.DUMMYFUNCTION("""COMPUTED_VALUE"""),"Gestión_Pública")</f>
        <v>Gestión_Pública</v>
      </c>
      <c r="E3126" s="25"/>
      <c r="F3126" s="25"/>
      <c r="G3126" s="25"/>
      <c r="H3126" s="25"/>
      <c r="I3126" s="25"/>
      <c r="J3126" s="55"/>
      <c r="K3126" s="25" t="str">
        <f ca="1">IFERROR(__xludf.DUMMYFUNCTION("""COMPUTED_VALUE"""),"Definir fecha")</f>
        <v>Definir fecha</v>
      </c>
      <c r="L3126" s="62"/>
      <c r="M3126" s="25"/>
      <c r="N3126" s="25"/>
      <c r="O3126" s="25">
        <f t="shared" si="0"/>
        <v>0</v>
      </c>
      <c r="P3126" s="25" t="str">
        <f t="shared" si="2"/>
        <v/>
      </c>
      <c r="Q3126" s="25" t="str">
        <f ca="1">IFERROR(__xludf.DUMMYFUNCTION("""COMPUTED_VALUE"""),"Sin defenir")</f>
        <v>Sin defenir</v>
      </c>
      <c r="R3126" s="25"/>
      <c r="S3126" s="55"/>
      <c r="T3126" s="56"/>
      <c r="U3126" s="25"/>
      <c r="V3126" s="25"/>
      <c r="W3126" s="25"/>
      <c r="X3126" s="25"/>
      <c r="Y3126" s="25"/>
      <c r="Z3126" s="25"/>
    </row>
    <row r="3127" spans="1:26" ht="52.5" customHeight="1" x14ac:dyDescent="0.25">
      <c r="A3127" s="25" t="str">
        <f ca="1">IFERROR(__xludf.DUMMYFUNCTION("""COMPUTED_VALUE"""),"Gesti125")</f>
        <v>Gesti125</v>
      </c>
      <c r="B3127" s="25"/>
      <c r="C3127" s="55"/>
      <c r="D3127" s="25" t="str">
        <f ca="1">IFERROR(__xludf.DUMMYFUNCTION("""COMPUTED_VALUE"""),"Gestión_Pública")</f>
        <v>Gestión_Pública</v>
      </c>
      <c r="E3127" s="25"/>
      <c r="F3127" s="25"/>
      <c r="G3127" s="25"/>
      <c r="H3127" s="25"/>
      <c r="I3127" s="25"/>
      <c r="J3127" s="55"/>
      <c r="K3127" s="25" t="str">
        <f ca="1">IFERROR(__xludf.DUMMYFUNCTION("""COMPUTED_VALUE"""),"Definir fecha")</f>
        <v>Definir fecha</v>
      </c>
      <c r="L3127" s="62"/>
      <c r="M3127" s="25"/>
      <c r="N3127" s="25"/>
      <c r="O3127" s="25">
        <f t="shared" si="0"/>
        <v>0</v>
      </c>
      <c r="P3127" s="25" t="str">
        <f t="shared" si="2"/>
        <v/>
      </c>
      <c r="Q3127" s="25" t="str">
        <f ca="1">IFERROR(__xludf.DUMMYFUNCTION("""COMPUTED_VALUE"""),"Sin defenir")</f>
        <v>Sin defenir</v>
      </c>
      <c r="R3127" s="25"/>
      <c r="S3127" s="55"/>
      <c r="T3127" s="56"/>
      <c r="U3127" s="25"/>
      <c r="V3127" s="25"/>
      <c r="W3127" s="25"/>
      <c r="X3127" s="25"/>
      <c r="Y3127" s="25"/>
      <c r="Z3127" s="25"/>
    </row>
    <row r="3128" spans="1:26" ht="52.5" customHeight="1" x14ac:dyDescent="0.25">
      <c r="A3128" s="25" t="str">
        <f ca="1">IFERROR(__xludf.DUMMYFUNCTION("""COMPUTED_VALUE"""),"Gesti126")</f>
        <v>Gesti126</v>
      </c>
      <c r="B3128" s="25"/>
      <c r="C3128" s="55"/>
      <c r="D3128" s="25" t="str">
        <f ca="1">IFERROR(__xludf.DUMMYFUNCTION("""COMPUTED_VALUE"""),"Gestión_Pública")</f>
        <v>Gestión_Pública</v>
      </c>
      <c r="E3128" s="25"/>
      <c r="F3128" s="25"/>
      <c r="G3128" s="25"/>
      <c r="H3128" s="25"/>
      <c r="I3128" s="25"/>
      <c r="J3128" s="55"/>
      <c r="K3128" s="25" t="str">
        <f ca="1">IFERROR(__xludf.DUMMYFUNCTION("""COMPUTED_VALUE"""),"Definir fecha")</f>
        <v>Definir fecha</v>
      </c>
      <c r="L3128" s="62"/>
      <c r="M3128" s="25"/>
      <c r="N3128" s="25"/>
      <c r="O3128" s="25">
        <f t="shared" si="0"/>
        <v>0</v>
      </c>
      <c r="P3128" s="25" t="str">
        <f t="shared" si="2"/>
        <v/>
      </c>
      <c r="Q3128" s="25" t="str">
        <f ca="1">IFERROR(__xludf.DUMMYFUNCTION("""COMPUTED_VALUE"""),"Sin defenir")</f>
        <v>Sin defenir</v>
      </c>
      <c r="R3128" s="25"/>
      <c r="S3128" s="55"/>
      <c r="T3128" s="56"/>
      <c r="U3128" s="25"/>
      <c r="V3128" s="25"/>
      <c r="W3128" s="25"/>
      <c r="X3128" s="25"/>
      <c r="Y3128" s="25"/>
      <c r="Z3128" s="25"/>
    </row>
    <row r="3129" spans="1:26" ht="52.5" customHeight="1" x14ac:dyDescent="0.25">
      <c r="A3129" s="25" t="str">
        <f ca="1">IFERROR(__xludf.DUMMYFUNCTION("""COMPUTED_VALUE"""),"Gesti127")</f>
        <v>Gesti127</v>
      </c>
      <c r="B3129" s="25"/>
      <c r="C3129" s="55"/>
      <c r="D3129" s="25" t="str">
        <f ca="1">IFERROR(__xludf.DUMMYFUNCTION("""COMPUTED_VALUE"""),"Gestión_Pública")</f>
        <v>Gestión_Pública</v>
      </c>
      <c r="E3129" s="25"/>
      <c r="F3129" s="25"/>
      <c r="G3129" s="25"/>
      <c r="H3129" s="25"/>
      <c r="I3129" s="25"/>
      <c r="J3129" s="55"/>
      <c r="K3129" s="25" t="str">
        <f ca="1">IFERROR(__xludf.DUMMYFUNCTION("""COMPUTED_VALUE"""),"Definir fecha")</f>
        <v>Definir fecha</v>
      </c>
      <c r="L3129" s="62"/>
      <c r="M3129" s="25"/>
      <c r="N3129" s="25"/>
      <c r="O3129" s="25">
        <f t="shared" si="0"/>
        <v>0</v>
      </c>
      <c r="P3129" s="25" t="str">
        <f t="shared" si="2"/>
        <v/>
      </c>
      <c r="Q3129" s="25" t="str">
        <f ca="1">IFERROR(__xludf.DUMMYFUNCTION("""COMPUTED_VALUE"""),"Sin defenir")</f>
        <v>Sin defenir</v>
      </c>
      <c r="R3129" s="25"/>
      <c r="S3129" s="55"/>
      <c r="T3129" s="56"/>
      <c r="U3129" s="25"/>
      <c r="V3129" s="25"/>
      <c r="W3129" s="25"/>
      <c r="X3129" s="25"/>
      <c r="Y3129" s="25"/>
      <c r="Z3129" s="25"/>
    </row>
    <row r="3130" spans="1:26" ht="52.5" customHeight="1" x14ac:dyDescent="0.25">
      <c r="A3130" s="25" t="str">
        <f ca="1">IFERROR(__xludf.DUMMYFUNCTION("""COMPUTED_VALUE"""),"Gesti128")</f>
        <v>Gesti128</v>
      </c>
      <c r="B3130" s="25"/>
      <c r="C3130" s="55"/>
      <c r="D3130" s="25" t="str">
        <f ca="1">IFERROR(__xludf.DUMMYFUNCTION("""COMPUTED_VALUE"""),"Gestión_Pública")</f>
        <v>Gestión_Pública</v>
      </c>
      <c r="E3130" s="25"/>
      <c r="F3130" s="25"/>
      <c r="G3130" s="25"/>
      <c r="H3130" s="25"/>
      <c r="I3130" s="25"/>
      <c r="J3130" s="55"/>
      <c r="K3130" s="25" t="str">
        <f ca="1">IFERROR(__xludf.DUMMYFUNCTION("""COMPUTED_VALUE"""),"Definir fecha")</f>
        <v>Definir fecha</v>
      </c>
      <c r="L3130" s="62"/>
      <c r="M3130" s="25"/>
      <c r="N3130" s="25"/>
      <c r="O3130" s="25">
        <f t="shared" si="0"/>
        <v>0</v>
      </c>
      <c r="P3130" s="25" t="str">
        <f t="shared" si="2"/>
        <v/>
      </c>
      <c r="Q3130" s="25" t="str">
        <f ca="1">IFERROR(__xludf.DUMMYFUNCTION("""COMPUTED_VALUE"""),"Sin defenir")</f>
        <v>Sin defenir</v>
      </c>
      <c r="R3130" s="25"/>
      <c r="S3130" s="55"/>
      <c r="T3130" s="56"/>
      <c r="U3130" s="25"/>
      <c r="V3130" s="25"/>
      <c r="W3130" s="25"/>
      <c r="X3130" s="25"/>
      <c r="Y3130" s="25"/>
      <c r="Z3130" s="25"/>
    </row>
    <row r="3131" spans="1:26" ht="52.5" customHeight="1" x14ac:dyDescent="0.25">
      <c r="A3131" s="25" t="str">
        <f ca="1">IFERROR(__xludf.DUMMYFUNCTION("""COMPUTED_VALUE"""),"Gesti129")</f>
        <v>Gesti129</v>
      </c>
      <c r="B3131" s="25"/>
      <c r="C3131" s="55"/>
      <c r="D3131" s="25" t="str">
        <f ca="1">IFERROR(__xludf.DUMMYFUNCTION("""COMPUTED_VALUE"""),"Gestión_Pública")</f>
        <v>Gestión_Pública</v>
      </c>
      <c r="E3131" s="25"/>
      <c r="F3131" s="25"/>
      <c r="G3131" s="25"/>
      <c r="H3131" s="25"/>
      <c r="I3131" s="25"/>
      <c r="J3131" s="55"/>
      <c r="K3131" s="25" t="str">
        <f ca="1">IFERROR(__xludf.DUMMYFUNCTION("""COMPUTED_VALUE"""),"Definir fecha")</f>
        <v>Definir fecha</v>
      </c>
      <c r="L3131" s="62"/>
      <c r="M3131" s="25"/>
      <c r="N3131" s="25"/>
      <c r="O3131" s="25">
        <f t="shared" si="0"/>
        <v>0</v>
      </c>
      <c r="P3131" s="25" t="str">
        <f t="shared" si="2"/>
        <v/>
      </c>
      <c r="Q3131" s="25" t="str">
        <f ca="1">IFERROR(__xludf.DUMMYFUNCTION("""COMPUTED_VALUE"""),"Sin defenir")</f>
        <v>Sin defenir</v>
      </c>
      <c r="R3131" s="25"/>
      <c r="S3131" s="55"/>
      <c r="T3131" s="56"/>
      <c r="U3131" s="25"/>
      <c r="V3131" s="25"/>
      <c r="W3131" s="25"/>
      <c r="X3131" s="25"/>
      <c r="Y3131" s="25"/>
      <c r="Z3131" s="25"/>
    </row>
    <row r="3132" spans="1:26" ht="52.5" customHeight="1" x14ac:dyDescent="0.25">
      <c r="A3132" s="25" t="str">
        <f ca="1">IFERROR(__xludf.DUMMYFUNCTION("""COMPUTED_VALUE"""),"Gesti130")</f>
        <v>Gesti130</v>
      </c>
      <c r="B3132" s="25"/>
      <c r="C3132" s="55"/>
      <c r="D3132" s="25" t="str">
        <f ca="1">IFERROR(__xludf.DUMMYFUNCTION("""COMPUTED_VALUE"""),"Gestión_Pública")</f>
        <v>Gestión_Pública</v>
      </c>
      <c r="E3132" s="25"/>
      <c r="F3132" s="25"/>
      <c r="G3132" s="25"/>
      <c r="H3132" s="25"/>
      <c r="I3132" s="25"/>
      <c r="J3132" s="55"/>
      <c r="K3132" s="25" t="str">
        <f ca="1">IFERROR(__xludf.DUMMYFUNCTION("""COMPUTED_VALUE"""),"Definir fecha")</f>
        <v>Definir fecha</v>
      </c>
      <c r="L3132" s="62"/>
      <c r="M3132" s="25"/>
      <c r="N3132" s="25"/>
      <c r="O3132" s="25">
        <f t="shared" si="0"/>
        <v>0</v>
      </c>
      <c r="P3132" s="25" t="str">
        <f t="shared" si="2"/>
        <v/>
      </c>
      <c r="Q3132" s="25" t="str">
        <f ca="1">IFERROR(__xludf.DUMMYFUNCTION("""COMPUTED_VALUE"""),"Sin defenir")</f>
        <v>Sin defenir</v>
      </c>
      <c r="R3132" s="25"/>
      <c r="S3132" s="55"/>
      <c r="T3132" s="56"/>
      <c r="U3132" s="25"/>
      <c r="V3132" s="25"/>
      <c r="W3132" s="25"/>
      <c r="X3132" s="25"/>
      <c r="Y3132" s="25"/>
      <c r="Z3132" s="25"/>
    </row>
    <row r="3133" spans="1:26" ht="52.5" customHeight="1" x14ac:dyDescent="0.25">
      <c r="A3133" s="25" t="str">
        <f ca="1">IFERROR(__xludf.DUMMYFUNCTION("""COMPUTED_VALUE"""),"Gesti131")</f>
        <v>Gesti131</v>
      </c>
      <c r="B3133" s="25"/>
      <c r="C3133" s="55"/>
      <c r="D3133" s="25" t="str">
        <f ca="1">IFERROR(__xludf.DUMMYFUNCTION("""COMPUTED_VALUE"""),"Gestión_Pública")</f>
        <v>Gestión_Pública</v>
      </c>
      <c r="E3133" s="25"/>
      <c r="F3133" s="25"/>
      <c r="G3133" s="25"/>
      <c r="H3133" s="25"/>
      <c r="I3133" s="25"/>
      <c r="J3133" s="55"/>
      <c r="K3133" s="25" t="str">
        <f ca="1">IFERROR(__xludf.DUMMYFUNCTION("""COMPUTED_VALUE"""),"Definir fecha")</f>
        <v>Definir fecha</v>
      </c>
      <c r="L3133" s="62"/>
      <c r="M3133" s="25"/>
      <c r="N3133" s="25"/>
      <c r="O3133" s="25">
        <f t="shared" si="0"/>
        <v>0</v>
      </c>
      <c r="P3133" s="25" t="str">
        <f t="shared" si="2"/>
        <v/>
      </c>
      <c r="Q3133" s="25" t="str">
        <f ca="1">IFERROR(__xludf.DUMMYFUNCTION("""COMPUTED_VALUE"""),"Sin defenir")</f>
        <v>Sin defenir</v>
      </c>
      <c r="R3133" s="25"/>
      <c r="S3133" s="55"/>
      <c r="T3133" s="56"/>
      <c r="U3133" s="25"/>
      <c r="V3133" s="25"/>
      <c r="W3133" s="25"/>
      <c r="X3133" s="25"/>
      <c r="Y3133" s="25"/>
      <c r="Z3133" s="25"/>
    </row>
    <row r="3134" spans="1:26" ht="52.5" customHeight="1" x14ac:dyDescent="0.25">
      <c r="A3134" s="25" t="str">
        <f ca="1">IFERROR(__xludf.DUMMYFUNCTION("""COMPUTED_VALUE"""),"Gesti132")</f>
        <v>Gesti132</v>
      </c>
      <c r="B3134" s="25"/>
      <c r="C3134" s="55"/>
      <c r="D3134" s="25" t="str">
        <f ca="1">IFERROR(__xludf.DUMMYFUNCTION("""COMPUTED_VALUE"""),"Gestión_Pública")</f>
        <v>Gestión_Pública</v>
      </c>
      <c r="E3134" s="25"/>
      <c r="F3134" s="25"/>
      <c r="G3134" s="25"/>
      <c r="H3134" s="25"/>
      <c r="I3134" s="25"/>
      <c r="J3134" s="55"/>
      <c r="K3134" s="25" t="str">
        <f ca="1">IFERROR(__xludf.DUMMYFUNCTION("""COMPUTED_VALUE"""),"Definir fecha")</f>
        <v>Definir fecha</v>
      </c>
      <c r="L3134" s="62"/>
      <c r="M3134" s="25"/>
      <c r="N3134" s="25"/>
      <c r="O3134" s="25">
        <f t="shared" si="0"/>
        <v>0</v>
      </c>
      <c r="P3134" s="25" t="str">
        <f t="shared" si="2"/>
        <v/>
      </c>
      <c r="Q3134" s="25" t="str">
        <f ca="1">IFERROR(__xludf.DUMMYFUNCTION("""COMPUTED_VALUE"""),"Sin defenir")</f>
        <v>Sin defenir</v>
      </c>
      <c r="R3134" s="25"/>
      <c r="S3134" s="55"/>
      <c r="T3134" s="56"/>
      <c r="U3134" s="25"/>
      <c r="V3134" s="25"/>
      <c r="W3134" s="25"/>
      <c r="X3134" s="25"/>
      <c r="Y3134" s="25"/>
      <c r="Z3134" s="25"/>
    </row>
    <row r="3135" spans="1:26" ht="52.5" customHeight="1" x14ac:dyDescent="0.25">
      <c r="A3135" s="25" t="str">
        <f ca="1">IFERROR(__xludf.DUMMYFUNCTION("""COMPUTED_VALUE"""),"Gesti133")</f>
        <v>Gesti133</v>
      </c>
      <c r="B3135" s="25"/>
      <c r="C3135" s="55"/>
      <c r="D3135" s="25" t="str">
        <f ca="1">IFERROR(__xludf.DUMMYFUNCTION("""COMPUTED_VALUE"""),"Gestión_Pública")</f>
        <v>Gestión_Pública</v>
      </c>
      <c r="E3135" s="25"/>
      <c r="F3135" s="25"/>
      <c r="G3135" s="25"/>
      <c r="H3135" s="25"/>
      <c r="I3135" s="25"/>
      <c r="J3135" s="55"/>
      <c r="K3135" s="25" t="str">
        <f ca="1">IFERROR(__xludf.DUMMYFUNCTION("""COMPUTED_VALUE"""),"Definir fecha")</f>
        <v>Definir fecha</v>
      </c>
      <c r="L3135" s="62"/>
      <c r="M3135" s="25"/>
      <c r="N3135" s="25"/>
      <c r="O3135" s="25">
        <f t="shared" si="0"/>
        <v>0</v>
      </c>
      <c r="P3135" s="25" t="str">
        <f t="shared" si="2"/>
        <v/>
      </c>
      <c r="Q3135" s="25" t="str">
        <f ca="1">IFERROR(__xludf.DUMMYFUNCTION("""COMPUTED_VALUE"""),"Sin defenir")</f>
        <v>Sin defenir</v>
      </c>
      <c r="R3135" s="25"/>
      <c r="S3135" s="55"/>
      <c r="T3135" s="56"/>
      <c r="U3135" s="25"/>
      <c r="V3135" s="25"/>
      <c r="W3135" s="25"/>
      <c r="X3135" s="25"/>
      <c r="Y3135" s="25"/>
      <c r="Z3135" s="25"/>
    </row>
    <row r="3136" spans="1:26" ht="52.5" customHeight="1" x14ac:dyDescent="0.25">
      <c r="A3136" s="25" t="str">
        <f ca="1">IFERROR(__xludf.DUMMYFUNCTION("""COMPUTED_VALUE"""),"Gesti134")</f>
        <v>Gesti134</v>
      </c>
      <c r="B3136" s="25"/>
      <c r="C3136" s="55"/>
      <c r="D3136" s="25" t="str">
        <f ca="1">IFERROR(__xludf.DUMMYFUNCTION("""COMPUTED_VALUE"""),"Gestión_Pública")</f>
        <v>Gestión_Pública</v>
      </c>
      <c r="E3136" s="25"/>
      <c r="F3136" s="25"/>
      <c r="G3136" s="25"/>
      <c r="H3136" s="25"/>
      <c r="I3136" s="25"/>
      <c r="J3136" s="55"/>
      <c r="K3136" s="25" t="str">
        <f ca="1">IFERROR(__xludf.DUMMYFUNCTION("""COMPUTED_VALUE"""),"Definir fecha")</f>
        <v>Definir fecha</v>
      </c>
      <c r="L3136" s="62"/>
      <c r="M3136" s="25"/>
      <c r="N3136" s="25"/>
      <c r="O3136" s="25">
        <f t="shared" si="0"/>
        <v>0</v>
      </c>
      <c r="P3136" s="25" t="str">
        <f t="shared" si="2"/>
        <v/>
      </c>
      <c r="Q3136" s="25" t="str">
        <f ca="1">IFERROR(__xludf.DUMMYFUNCTION("""COMPUTED_VALUE"""),"Sin defenir")</f>
        <v>Sin defenir</v>
      </c>
      <c r="R3136" s="25"/>
      <c r="S3136" s="55"/>
      <c r="T3136" s="56"/>
      <c r="U3136" s="25"/>
      <c r="V3136" s="25"/>
      <c r="W3136" s="25"/>
      <c r="X3136" s="25"/>
      <c r="Y3136" s="25"/>
      <c r="Z3136" s="25"/>
    </row>
    <row r="3137" spans="1:26" ht="52.5" customHeight="1" x14ac:dyDescent="0.25">
      <c r="A3137" s="25" t="str">
        <f ca="1">IFERROR(__xludf.DUMMYFUNCTION("""COMPUTED_VALUE"""),"Gesti135")</f>
        <v>Gesti135</v>
      </c>
      <c r="B3137" s="25"/>
      <c r="C3137" s="55"/>
      <c r="D3137" s="25" t="str">
        <f ca="1">IFERROR(__xludf.DUMMYFUNCTION("""COMPUTED_VALUE"""),"Gestión_Pública")</f>
        <v>Gestión_Pública</v>
      </c>
      <c r="E3137" s="25"/>
      <c r="F3137" s="25"/>
      <c r="G3137" s="25"/>
      <c r="H3137" s="25"/>
      <c r="I3137" s="25"/>
      <c r="J3137" s="55"/>
      <c r="K3137" s="25" t="str">
        <f ca="1">IFERROR(__xludf.DUMMYFUNCTION("""COMPUTED_VALUE"""),"Definir fecha")</f>
        <v>Definir fecha</v>
      </c>
      <c r="L3137" s="62"/>
      <c r="M3137" s="25"/>
      <c r="N3137" s="25"/>
      <c r="O3137" s="25">
        <f t="shared" si="0"/>
        <v>0</v>
      </c>
      <c r="P3137" s="25" t="str">
        <f t="shared" si="2"/>
        <v/>
      </c>
      <c r="Q3137" s="25" t="str">
        <f ca="1">IFERROR(__xludf.DUMMYFUNCTION("""COMPUTED_VALUE"""),"Sin defenir")</f>
        <v>Sin defenir</v>
      </c>
      <c r="R3137" s="25"/>
      <c r="S3137" s="55"/>
      <c r="T3137" s="56"/>
      <c r="U3137" s="25"/>
      <c r="V3137" s="25"/>
      <c r="W3137" s="25"/>
      <c r="X3137" s="25"/>
      <c r="Y3137" s="25"/>
      <c r="Z3137" s="25"/>
    </row>
    <row r="3138" spans="1:26" ht="52.5" customHeight="1" x14ac:dyDescent="0.25">
      <c r="A3138" s="25" t="str">
        <f ca="1">IFERROR(__xludf.DUMMYFUNCTION("""COMPUTED_VALUE"""),"Gesti136")</f>
        <v>Gesti136</v>
      </c>
      <c r="B3138" s="25"/>
      <c r="C3138" s="55"/>
      <c r="D3138" s="25" t="str">
        <f ca="1">IFERROR(__xludf.DUMMYFUNCTION("""COMPUTED_VALUE"""),"Gestión_Pública")</f>
        <v>Gestión_Pública</v>
      </c>
      <c r="E3138" s="25"/>
      <c r="F3138" s="25"/>
      <c r="G3138" s="25"/>
      <c r="H3138" s="25"/>
      <c r="I3138" s="25"/>
      <c r="J3138" s="55"/>
      <c r="K3138" s="25" t="str">
        <f ca="1">IFERROR(__xludf.DUMMYFUNCTION("""COMPUTED_VALUE"""),"Definir fecha")</f>
        <v>Definir fecha</v>
      </c>
      <c r="L3138" s="62"/>
      <c r="M3138" s="25"/>
      <c r="N3138" s="25"/>
      <c r="O3138" s="25">
        <f t="shared" si="0"/>
        <v>0</v>
      </c>
      <c r="P3138" s="25" t="str">
        <f t="shared" si="2"/>
        <v/>
      </c>
      <c r="Q3138" s="25" t="str">
        <f ca="1">IFERROR(__xludf.DUMMYFUNCTION("""COMPUTED_VALUE"""),"Sin defenir")</f>
        <v>Sin defenir</v>
      </c>
      <c r="R3138" s="25"/>
      <c r="S3138" s="55"/>
      <c r="T3138" s="56"/>
      <c r="U3138" s="25"/>
      <c r="V3138" s="25"/>
      <c r="W3138" s="25"/>
      <c r="X3138" s="25"/>
      <c r="Y3138" s="25"/>
      <c r="Z3138" s="25"/>
    </row>
    <row r="3139" spans="1:26" ht="52.5" customHeight="1" x14ac:dyDescent="0.25">
      <c r="A3139" s="25" t="str">
        <f ca="1">IFERROR(__xludf.DUMMYFUNCTION("""COMPUTED_VALUE"""),"Gesti137")</f>
        <v>Gesti137</v>
      </c>
      <c r="B3139" s="25"/>
      <c r="C3139" s="55"/>
      <c r="D3139" s="25" t="str">
        <f ca="1">IFERROR(__xludf.DUMMYFUNCTION("""COMPUTED_VALUE"""),"Gestión_Pública")</f>
        <v>Gestión_Pública</v>
      </c>
      <c r="E3139" s="25"/>
      <c r="F3139" s="25"/>
      <c r="G3139" s="25"/>
      <c r="H3139" s="25"/>
      <c r="I3139" s="25"/>
      <c r="J3139" s="55"/>
      <c r="K3139" s="25" t="str">
        <f ca="1">IFERROR(__xludf.DUMMYFUNCTION("""COMPUTED_VALUE"""),"Definir fecha")</f>
        <v>Definir fecha</v>
      </c>
      <c r="L3139" s="62"/>
      <c r="M3139" s="25"/>
      <c r="N3139" s="25"/>
      <c r="O3139" s="25">
        <f t="shared" si="0"/>
        <v>0</v>
      </c>
      <c r="P3139" s="25" t="str">
        <f t="shared" si="2"/>
        <v/>
      </c>
      <c r="Q3139" s="25" t="str">
        <f ca="1">IFERROR(__xludf.DUMMYFUNCTION("""COMPUTED_VALUE"""),"Sin defenir")</f>
        <v>Sin defenir</v>
      </c>
      <c r="R3139" s="25"/>
      <c r="S3139" s="55"/>
      <c r="T3139" s="56"/>
      <c r="U3139" s="25"/>
      <c r="V3139" s="25"/>
      <c r="W3139" s="25"/>
      <c r="X3139" s="25"/>
      <c r="Y3139" s="25"/>
      <c r="Z3139" s="25"/>
    </row>
    <row r="3140" spans="1:26" ht="52.5" customHeight="1" x14ac:dyDescent="0.25">
      <c r="A3140" s="25" t="str">
        <f ca="1">IFERROR(__xludf.DUMMYFUNCTION("""COMPUTED_VALUE"""),"Gesti138")</f>
        <v>Gesti138</v>
      </c>
      <c r="B3140" s="25"/>
      <c r="C3140" s="55"/>
      <c r="D3140" s="25" t="str">
        <f ca="1">IFERROR(__xludf.DUMMYFUNCTION("""COMPUTED_VALUE"""),"Gestión_Pública")</f>
        <v>Gestión_Pública</v>
      </c>
      <c r="E3140" s="25"/>
      <c r="F3140" s="25"/>
      <c r="G3140" s="25"/>
      <c r="H3140" s="25"/>
      <c r="I3140" s="25"/>
      <c r="J3140" s="55"/>
      <c r="K3140" s="25" t="str">
        <f ca="1">IFERROR(__xludf.DUMMYFUNCTION("""COMPUTED_VALUE"""),"Definir fecha")</f>
        <v>Definir fecha</v>
      </c>
      <c r="L3140" s="62"/>
      <c r="M3140" s="25"/>
      <c r="N3140" s="25"/>
      <c r="O3140" s="25">
        <f t="shared" si="0"/>
        <v>0</v>
      </c>
      <c r="P3140" s="25" t="str">
        <f t="shared" si="2"/>
        <v/>
      </c>
      <c r="Q3140" s="25" t="str">
        <f ca="1">IFERROR(__xludf.DUMMYFUNCTION("""COMPUTED_VALUE"""),"Sin defenir")</f>
        <v>Sin defenir</v>
      </c>
      <c r="R3140" s="25"/>
      <c r="S3140" s="55"/>
      <c r="T3140" s="56"/>
      <c r="U3140" s="25"/>
      <c r="V3140" s="25"/>
      <c r="W3140" s="25"/>
      <c r="X3140" s="25"/>
      <c r="Y3140" s="25"/>
      <c r="Z3140" s="25"/>
    </row>
    <row r="3141" spans="1:26" ht="52.5" customHeight="1" x14ac:dyDescent="0.25">
      <c r="A3141" s="25" t="str">
        <f ca="1">IFERROR(__xludf.DUMMYFUNCTION("""COMPUTED_VALUE"""),"Gesti139")</f>
        <v>Gesti139</v>
      </c>
      <c r="B3141" s="25"/>
      <c r="C3141" s="55"/>
      <c r="D3141" s="25" t="str">
        <f ca="1">IFERROR(__xludf.DUMMYFUNCTION("""COMPUTED_VALUE"""),"Gestión_Pública")</f>
        <v>Gestión_Pública</v>
      </c>
      <c r="E3141" s="25"/>
      <c r="F3141" s="25"/>
      <c r="G3141" s="25"/>
      <c r="H3141" s="25"/>
      <c r="I3141" s="25"/>
      <c r="J3141" s="55"/>
      <c r="K3141" s="25" t="str">
        <f ca="1">IFERROR(__xludf.DUMMYFUNCTION("""COMPUTED_VALUE"""),"Definir fecha")</f>
        <v>Definir fecha</v>
      </c>
      <c r="L3141" s="62"/>
      <c r="M3141" s="25"/>
      <c r="N3141" s="25"/>
      <c r="O3141" s="25">
        <f t="shared" si="0"/>
        <v>0</v>
      </c>
      <c r="P3141" s="25" t="str">
        <f t="shared" si="2"/>
        <v/>
      </c>
      <c r="Q3141" s="25" t="str">
        <f ca="1">IFERROR(__xludf.DUMMYFUNCTION("""COMPUTED_VALUE"""),"Sin defenir")</f>
        <v>Sin defenir</v>
      </c>
      <c r="R3141" s="25"/>
      <c r="S3141" s="55"/>
      <c r="T3141" s="56"/>
      <c r="U3141" s="25"/>
      <c r="V3141" s="25"/>
      <c r="W3141" s="25"/>
      <c r="X3141" s="25"/>
      <c r="Y3141" s="25"/>
      <c r="Z3141" s="25"/>
    </row>
    <row r="3142" spans="1:26" ht="52.5" customHeight="1" x14ac:dyDescent="0.25">
      <c r="A3142" s="25" t="str">
        <f ca="1">IFERROR(__xludf.DUMMYFUNCTION("""COMPUTED_VALUE"""),"Gesti140")</f>
        <v>Gesti140</v>
      </c>
      <c r="B3142" s="25"/>
      <c r="C3142" s="55"/>
      <c r="D3142" s="25" t="str">
        <f ca="1">IFERROR(__xludf.DUMMYFUNCTION("""COMPUTED_VALUE"""),"Gestión_Pública")</f>
        <v>Gestión_Pública</v>
      </c>
      <c r="E3142" s="25"/>
      <c r="F3142" s="25"/>
      <c r="G3142" s="25"/>
      <c r="H3142" s="25"/>
      <c r="I3142" s="25"/>
      <c r="J3142" s="55"/>
      <c r="K3142" s="25" t="str">
        <f ca="1">IFERROR(__xludf.DUMMYFUNCTION("""COMPUTED_VALUE"""),"Definir fecha")</f>
        <v>Definir fecha</v>
      </c>
      <c r="L3142" s="62"/>
      <c r="M3142" s="25"/>
      <c r="N3142" s="25"/>
      <c r="O3142" s="25">
        <f t="shared" si="0"/>
        <v>0</v>
      </c>
      <c r="P3142" s="25" t="str">
        <f t="shared" si="2"/>
        <v/>
      </c>
      <c r="Q3142" s="25" t="str">
        <f ca="1">IFERROR(__xludf.DUMMYFUNCTION("""COMPUTED_VALUE"""),"Sin defenir")</f>
        <v>Sin defenir</v>
      </c>
      <c r="R3142" s="25"/>
      <c r="S3142" s="55"/>
      <c r="T3142" s="56"/>
      <c r="U3142" s="25"/>
      <c r="V3142" s="25"/>
      <c r="W3142" s="25"/>
      <c r="X3142" s="25"/>
      <c r="Y3142" s="25"/>
      <c r="Z3142" s="25"/>
    </row>
    <row r="3143" spans="1:26" ht="52.5" customHeight="1" x14ac:dyDescent="0.25">
      <c r="A3143" s="25" t="str">
        <f ca="1">IFERROR(__xludf.DUMMYFUNCTION("""COMPUTED_VALUE"""),"Gesti141")</f>
        <v>Gesti141</v>
      </c>
      <c r="B3143" s="25"/>
      <c r="C3143" s="55"/>
      <c r="D3143" s="25" t="str">
        <f ca="1">IFERROR(__xludf.DUMMYFUNCTION("""COMPUTED_VALUE"""),"Gestión_Pública")</f>
        <v>Gestión_Pública</v>
      </c>
      <c r="E3143" s="25"/>
      <c r="F3143" s="25"/>
      <c r="G3143" s="25"/>
      <c r="H3143" s="25"/>
      <c r="I3143" s="25"/>
      <c r="J3143" s="55"/>
      <c r="K3143" s="25" t="str">
        <f ca="1">IFERROR(__xludf.DUMMYFUNCTION("""COMPUTED_VALUE"""),"Definir fecha")</f>
        <v>Definir fecha</v>
      </c>
      <c r="L3143" s="62"/>
      <c r="M3143" s="25"/>
      <c r="N3143" s="25"/>
      <c r="O3143" s="25">
        <f t="shared" si="0"/>
        <v>0</v>
      </c>
      <c r="P3143" s="25" t="str">
        <f t="shared" si="2"/>
        <v/>
      </c>
      <c r="Q3143" s="25" t="str">
        <f ca="1">IFERROR(__xludf.DUMMYFUNCTION("""COMPUTED_VALUE"""),"Sin defenir")</f>
        <v>Sin defenir</v>
      </c>
      <c r="R3143" s="25"/>
      <c r="S3143" s="55"/>
      <c r="T3143" s="56"/>
      <c r="U3143" s="25"/>
      <c r="V3143" s="25"/>
      <c r="W3143" s="25"/>
      <c r="X3143" s="25"/>
      <c r="Y3143" s="25"/>
      <c r="Z3143" s="25"/>
    </row>
    <row r="3144" spans="1:26" ht="52.5" customHeight="1" x14ac:dyDescent="0.25">
      <c r="A3144" s="25" t="str">
        <f ca="1">IFERROR(__xludf.DUMMYFUNCTION("""COMPUTED_VALUE"""),"Gesti142")</f>
        <v>Gesti142</v>
      </c>
      <c r="B3144" s="25"/>
      <c r="C3144" s="55"/>
      <c r="D3144" s="25" t="str">
        <f ca="1">IFERROR(__xludf.DUMMYFUNCTION("""COMPUTED_VALUE"""),"Gestión_Pública")</f>
        <v>Gestión_Pública</v>
      </c>
      <c r="E3144" s="25"/>
      <c r="F3144" s="25"/>
      <c r="G3144" s="25"/>
      <c r="H3144" s="25"/>
      <c r="I3144" s="25"/>
      <c r="J3144" s="55"/>
      <c r="K3144" s="25" t="str">
        <f ca="1">IFERROR(__xludf.DUMMYFUNCTION("""COMPUTED_VALUE"""),"Definir fecha")</f>
        <v>Definir fecha</v>
      </c>
      <c r="L3144" s="62"/>
      <c r="M3144" s="25"/>
      <c r="N3144" s="25"/>
      <c r="O3144" s="25">
        <f t="shared" si="0"/>
        <v>0</v>
      </c>
      <c r="P3144" s="25" t="str">
        <f t="shared" si="2"/>
        <v/>
      </c>
      <c r="Q3144" s="25" t="str">
        <f ca="1">IFERROR(__xludf.DUMMYFUNCTION("""COMPUTED_VALUE"""),"Sin defenir")</f>
        <v>Sin defenir</v>
      </c>
      <c r="R3144" s="25"/>
      <c r="S3144" s="55"/>
      <c r="T3144" s="56"/>
      <c r="U3144" s="25"/>
      <c r="V3144" s="25"/>
      <c r="W3144" s="25"/>
      <c r="X3144" s="25"/>
      <c r="Y3144" s="25"/>
      <c r="Z3144" s="25"/>
    </row>
    <row r="3145" spans="1:26" ht="52.5" customHeight="1" x14ac:dyDescent="0.25">
      <c r="A3145" s="25" t="str">
        <f ca="1">IFERROR(__xludf.DUMMYFUNCTION("""COMPUTED_VALUE"""),"Gesti143")</f>
        <v>Gesti143</v>
      </c>
      <c r="B3145" s="25"/>
      <c r="C3145" s="55"/>
      <c r="D3145" s="25" t="str">
        <f ca="1">IFERROR(__xludf.DUMMYFUNCTION("""COMPUTED_VALUE"""),"Gestión_Pública")</f>
        <v>Gestión_Pública</v>
      </c>
      <c r="E3145" s="25"/>
      <c r="F3145" s="25"/>
      <c r="G3145" s="25"/>
      <c r="H3145" s="25"/>
      <c r="I3145" s="25"/>
      <c r="J3145" s="55"/>
      <c r="K3145" s="25" t="str">
        <f ca="1">IFERROR(__xludf.DUMMYFUNCTION("""COMPUTED_VALUE"""),"Definir fecha")</f>
        <v>Definir fecha</v>
      </c>
      <c r="L3145" s="62"/>
      <c r="M3145" s="25"/>
      <c r="N3145" s="25"/>
      <c r="O3145" s="25">
        <f t="shared" si="0"/>
        <v>0</v>
      </c>
      <c r="P3145" s="25" t="str">
        <f t="shared" si="2"/>
        <v/>
      </c>
      <c r="Q3145" s="25" t="str">
        <f ca="1">IFERROR(__xludf.DUMMYFUNCTION("""COMPUTED_VALUE"""),"Sin defenir")</f>
        <v>Sin defenir</v>
      </c>
      <c r="R3145" s="25"/>
      <c r="S3145" s="55"/>
      <c r="T3145" s="56"/>
      <c r="U3145" s="25"/>
      <c r="V3145" s="25"/>
      <c r="W3145" s="25"/>
      <c r="X3145" s="25"/>
      <c r="Y3145" s="25"/>
      <c r="Z3145" s="25"/>
    </row>
    <row r="3146" spans="1:26" ht="52.5" customHeight="1" x14ac:dyDescent="0.25">
      <c r="A3146" s="25" t="str">
        <f ca="1">IFERROR(__xludf.DUMMYFUNCTION("""COMPUTED_VALUE"""),"Gesti144")</f>
        <v>Gesti144</v>
      </c>
      <c r="B3146" s="25"/>
      <c r="C3146" s="55"/>
      <c r="D3146" s="25" t="str">
        <f ca="1">IFERROR(__xludf.DUMMYFUNCTION("""COMPUTED_VALUE"""),"Gestión_Pública")</f>
        <v>Gestión_Pública</v>
      </c>
      <c r="E3146" s="25"/>
      <c r="F3146" s="25"/>
      <c r="G3146" s="25"/>
      <c r="H3146" s="25"/>
      <c r="I3146" s="25"/>
      <c r="J3146" s="55"/>
      <c r="K3146" s="25" t="str">
        <f ca="1">IFERROR(__xludf.DUMMYFUNCTION("""COMPUTED_VALUE"""),"Definir fecha")</f>
        <v>Definir fecha</v>
      </c>
      <c r="L3146" s="62"/>
      <c r="M3146" s="25"/>
      <c r="N3146" s="25"/>
      <c r="O3146" s="25">
        <f t="shared" si="0"/>
        <v>0</v>
      </c>
      <c r="P3146" s="25" t="str">
        <f t="shared" si="2"/>
        <v/>
      </c>
      <c r="Q3146" s="25" t="str">
        <f ca="1">IFERROR(__xludf.DUMMYFUNCTION("""COMPUTED_VALUE"""),"Sin defenir")</f>
        <v>Sin defenir</v>
      </c>
      <c r="R3146" s="25"/>
      <c r="S3146" s="55"/>
      <c r="T3146" s="56"/>
      <c r="U3146" s="25"/>
      <c r="V3146" s="25"/>
      <c r="W3146" s="25"/>
      <c r="X3146" s="25"/>
      <c r="Y3146" s="25"/>
      <c r="Z3146" s="25"/>
    </row>
    <row r="3147" spans="1:26" ht="52.5" customHeight="1" x14ac:dyDescent="0.25">
      <c r="A3147" s="25" t="str">
        <f ca="1">IFERROR(__xludf.DUMMYFUNCTION("""COMPUTED_VALUE"""),"Gesti145")</f>
        <v>Gesti145</v>
      </c>
      <c r="B3147" s="25"/>
      <c r="C3147" s="55"/>
      <c r="D3147" s="25" t="str">
        <f ca="1">IFERROR(__xludf.DUMMYFUNCTION("""COMPUTED_VALUE"""),"Gestión_Pública")</f>
        <v>Gestión_Pública</v>
      </c>
      <c r="E3147" s="25"/>
      <c r="F3147" s="25"/>
      <c r="G3147" s="25"/>
      <c r="H3147" s="25"/>
      <c r="I3147" s="25"/>
      <c r="J3147" s="55"/>
      <c r="K3147" s="25" t="str">
        <f ca="1">IFERROR(__xludf.DUMMYFUNCTION("""COMPUTED_VALUE"""),"Definir fecha")</f>
        <v>Definir fecha</v>
      </c>
      <c r="L3147" s="62"/>
      <c r="M3147" s="25"/>
      <c r="N3147" s="25"/>
      <c r="O3147" s="25">
        <f t="shared" si="0"/>
        <v>0</v>
      </c>
      <c r="P3147" s="25" t="str">
        <f t="shared" si="2"/>
        <v/>
      </c>
      <c r="Q3147" s="25" t="str">
        <f ca="1">IFERROR(__xludf.DUMMYFUNCTION("""COMPUTED_VALUE"""),"Sin defenir")</f>
        <v>Sin defenir</v>
      </c>
      <c r="R3147" s="25"/>
      <c r="S3147" s="55"/>
      <c r="T3147" s="56"/>
      <c r="U3147" s="25"/>
      <c r="V3147" s="25"/>
      <c r="W3147" s="25"/>
      <c r="X3147" s="25"/>
      <c r="Y3147" s="25"/>
      <c r="Z3147" s="25"/>
    </row>
    <row r="3148" spans="1:26" ht="52.5" customHeight="1" x14ac:dyDescent="0.25">
      <c r="A3148" s="25" t="str">
        <f ca="1">IFERROR(__xludf.DUMMYFUNCTION("""COMPUTED_VALUE"""),"Gesti146")</f>
        <v>Gesti146</v>
      </c>
      <c r="B3148" s="25"/>
      <c r="C3148" s="55"/>
      <c r="D3148" s="25" t="str">
        <f ca="1">IFERROR(__xludf.DUMMYFUNCTION("""COMPUTED_VALUE"""),"Gestión_Pública")</f>
        <v>Gestión_Pública</v>
      </c>
      <c r="E3148" s="25"/>
      <c r="F3148" s="25"/>
      <c r="G3148" s="25"/>
      <c r="H3148" s="25"/>
      <c r="I3148" s="25"/>
      <c r="J3148" s="55"/>
      <c r="K3148" s="25" t="str">
        <f ca="1">IFERROR(__xludf.DUMMYFUNCTION("""COMPUTED_VALUE"""),"Definir fecha")</f>
        <v>Definir fecha</v>
      </c>
      <c r="L3148" s="62"/>
      <c r="M3148" s="25"/>
      <c r="N3148" s="25"/>
      <c r="O3148" s="25">
        <f t="shared" si="0"/>
        <v>0</v>
      </c>
      <c r="P3148" s="25" t="str">
        <f t="shared" si="2"/>
        <v/>
      </c>
      <c r="Q3148" s="25" t="str">
        <f ca="1">IFERROR(__xludf.DUMMYFUNCTION("""COMPUTED_VALUE"""),"Sin defenir")</f>
        <v>Sin defenir</v>
      </c>
      <c r="R3148" s="25"/>
      <c r="S3148" s="55"/>
      <c r="T3148" s="56"/>
      <c r="U3148" s="25"/>
      <c r="V3148" s="25"/>
      <c r="W3148" s="25"/>
      <c r="X3148" s="25"/>
      <c r="Y3148" s="25"/>
      <c r="Z3148" s="25"/>
    </row>
    <row r="3149" spans="1:26" ht="52.5" customHeight="1" x14ac:dyDescent="0.25">
      <c r="A3149" s="25" t="str">
        <f ca="1">IFERROR(__xludf.DUMMYFUNCTION("""COMPUTED_VALUE"""),"Gesti147")</f>
        <v>Gesti147</v>
      </c>
      <c r="B3149" s="25"/>
      <c r="C3149" s="55"/>
      <c r="D3149" s="25" t="str">
        <f ca="1">IFERROR(__xludf.DUMMYFUNCTION("""COMPUTED_VALUE"""),"Gestión_Pública")</f>
        <v>Gestión_Pública</v>
      </c>
      <c r="E3149" s="25"/>
      <c r="F3149" s="25"/>
      <c r="G3149" s="25"/>
      <c r="H3149" s="25"/>
      <c r="I3149" s="25"/>
      <c r="J3149" s="55"/>
      <c r="K3149" s="25" t="str">
        <f ca="1">IFERROR(__xludf.DUMMYFUNCTION("""COMPUTED_VALUE"""),"Definir fecha")</f>
        <v>Definir fecha</v>
      </c>
      <c r="L3149" s="62"/>
      <c r="M3149" s="25"/>
      <c r="N3149" s="25"/>
      <c r="O3149" s="25">
        <f t="shared" si="0"/>
        <v>0</v>
      </c>
      <c r="P3149" s="25" t="str">
        <f t="shared" si="2"/>
        <v/>
      </c>
      <c r="Q3149" s="25" t="str">
        <f ca="1">IFERROR(__xludf.DUMMYFUNCTION("""COMPUTED_VALUE"""),"Sin defenir")</f>
        <v>Sin defenir</v>
      </c>
      <c r="R3149" s="25"/>
      <c r="S3149" s="55"/>
      <c r="T3149" s="56"/>
      <c r="U3149" s="25"/>
      <c r="V3149" s="25"/>
      <c r="W3149" s="25"/>
      <c r="X3149" s="25"/>
      <c r="Y3149" s="25"/>
      <c r="Z3149" s="25"/>
    </row>
    <row r="3150" spans="1:26" ht="52.5" customHeight="1" x14ac:dyDescent="0.25">
      <c r="A3150" s="25" t="str">
        <f ca="1">IFERROR(__xludf.DUMMYFUNCTION("""COMPUTED_VALUE"""),"Gesti148")</f>
        <v>Gesti148</v>
      </c>
      <c r="B3150" s="25"/>
      <c r="C3150" s="55"/>
      <c r="D3150" s="25" t="str">
        <f ca="1">IFERROR(__xludf.DUMMYFUNCTION("""COMPUTED_VALUE"""),"Gestión_Pública")</f>
        <v>Gestión_Pública</v>
      </c>
      <c r="E3150" s="25"/>
      <c r="F3150" s="25"/>
      <c r="G3150" s="25"/>
      <c r="H3150" s="25"/>
      <c r="I3150" s="25"/>
      <c r="J3150" s="55"/>
      <c r="K3150" s="25" t="str">
        <f ca="1">IFERROR(__xludf.DUMMYFUNCTION("""COMPUTED_VALUE"""),"Definir fecha")</f>
        <v>Definir fecha</v>
      </c>
      <c r="L3150" s="62"/>
      <c r="M3150" s="25"/>
      <c r="N3150" s="25"/>
      <c r="O3150" s="25">
        <f t="shared" si="0"/>
        <v>0</v>
      </c>
      <c r="P3150" s="25" t="str">
        <f t="shared" si="2"/>
        <v/>
      </c>
      <c r="Q3150" s="25" t="str">
        <f ca="1">IFERROR(__xludf.DUMMYFUNCTION("""COMPUTED_VALUE"""),"Sin defenir")</f>
        <v>Sin defenir</v>
      </c>
      <c r="R3150" s="25"/>
      <c r="S3150" s="55"/>
      <c r="T3150" s="56"/>
      <c r="U3150" s="25"/>
      <c r="V3150" s="25"/>
      <c r="W3150" s="25"/>
      <c r="X3150" s="25"/>
      <c r="Y3150" s="25"/>
      <c r="Z3150" s="25"/>
    </row>
    <row r="3151" spans="1:26" ht="52.5" customHeight="1" x14ac:dyDescent="0.25">
      <c r="A3151" s="25" t="str">
        <f ca="1">IFERROR(__xludf.DUMMYFUNCTION("""COMPUTED_VALUE"""),"Gesti149")</f>
        <v>Gesti149</v>
      </c>
      <c r="B3151" s="25"/>
      <c r="C3151" s="55"/>
      <c r="D3151" s="25" t="str">
        <f ca="1">IFERROR(__xludf.DUMMYFUNCTION("""COMPUTED_VALUE"""),"Gestión_Pública")</f>
        <v>Gestión_Pública</v>
      </c>
      <c r="E3151" s="25"/>
      <c r="F3151" s="25"/>
      <c r="G3151" s="25"/>
      <c r="H3151" s="25"/>
      <c r="I3151" s="25"/>
      <c r="J3151" s="55"/>
      <c r="K3151" s="25" t="str">
        <f ca="1">IFERROR(__xludf.DUMMYFUNCTION("""COMPUTED_VALUE"""),"Definir fecha")</f>
        <v>Definir fecha</v>
      </c>
      <c r="L3151" s="62"/>
      <c r="M3151" s="25"/>
      <c r="N3151" s="25"/>
      <c r="O3151" s="25">
        <f t="shared" si="0"/>
        <v>0</v>
      </c>
      <c r="P3151" s="25" t="str">
        <f t="shared" si="2"/>
        <v/>
      </c>
      <c r="Q3151" s="25" t="str">
        <f ca="1">IFERROR(__xludf.DUMMYFUNCTION("""COMPUTED_VALUE"""),"Sin defenir")</f>
        <v>Sin defenir</v>
      </c>
      <c r="R3151" s="25"/>
      <c r="S3151" s="55"/>
      <c r="T3151" s="56"/>
      <c r="U3151" s="25"/>
      <c r="V3151" s="25"/>
      <c r="W3151" s="25"/>
      <c r="X3151" s="25"/>
      <c r="Y3151" s="25"/>
      <c r="Z3151" s="25"/>
    </row>
    <row r="3152" spans="1:26" ht="52.5" customHeight="1" x14ac:dyDescent="0.25">
      <c r="A3152" s="25" t="str">
        <f ca="1">IFERROR(__xludf.DUMMYFUNCTION("""COMPUTED_VALUE"""),"Gesti150")</f>
        <v>Gesti150</v>
      </c>
      <c r="B3152" s="25"/>
      <c r="C3152" s="55"/>
      <c r="D3152" s="25" t="str">
        <f ca="1">IFERROR(__xludf.DUMMYFUNCTION("""COMPUTED_VALUE"""),"Gestión_Pública")</f>
        <v>Gestión_Pública</v>
      </c>
      <c r="E3152" s="25"/>
      <c r="F3152" s="25"/>
      <c r="G3152" s="25"/>
      <c r="H3152" s="25"/>
      <c r="I3152" s="25"/>
      <c r="J3152" s="55"/>
      <c r="K3152" s="25" t="str">
        <f ca="1">IFERROR(__xludf.DUMMYFUNCTION("""COMPUTED_VALUE"""),"Definir fecha")</f>
        <v>Definir fecha</v>
      </c>
      <c r="L3152" s="62"/>
      <c r="M3152" s="25"/>
      <c r="N3152" s="25"/>
      <c r="O3152" s="25">
        <f t="shared" si="0"/>
        <v>0</v>
      </c>
      <c r="P3152" s="25" t="str">
        <f t="shared" si="2"/>
        <v/>
      </c>
      <c r="Q3152" s="25" t="str">
        <f ca="1">IFERROR(__xludf.DUMMYFUNCTION("""COMPUTED_VALUE"""),"Sin defenir")</f>
        <v>Sin defenir</v>
      </c>
      <c r="R3152" s="25"/>
      <c r="S3152" s="55"/>
      <c r="T3152" s="56"/>
      <c r="U3152" s="25"/>
      <c r="V3152" s="25"/>
      <c r="W3152" s="25"/>
      <c r="X3152" s="25"/>
      <c r="Y3152" s="25"/>
      <c r="Z3152" s="25"/>
    </row>
    <row r="3153" spans="1:26" ht="52.5" customHeight="1" x14ac:dyDescent="0.25">
      <c r="A3153" s="25" t="str">
        <f ca="1">IFERROR(__xludf.DUMMYFUNCTION("""COMPUTED_VALUE"""),"Gesti151")</f>
        <v>Gesti151</v>
      </c>
      <c r="B3153" s="25"/>
      <c r="C3153" s="55"/>
      <c r="D3153" s="25" t="str">
        <f ca="1">IFERROR(__xludf.DUMMYFUNCTION("""COMPUTED_VALUE"""),"Gestión_Pública")</f>
        <v>Gestión_Pública</v>
      </c>
      <c r="E3153" s="25"/>
      <c r="F3153" s="25"/>
      <c r="G3153" s="25"/>
      <c r="H3153" s="25"/>
      <c r="I3153" s="25"/>
      <c r="J3153" s="55"/>
      <c r="K3153" s="25" t="str">
        <f ca="1">IFERROR(__xludf.DUMMYFUNCTION("""COMPUTED_VALUE"""),"Definir fecha")</f>
        <v>Definir fecha</v>
      </c>
      <c r="L3153" s="62"/>
      <c r="M3153" s="25"/>
      <c r="N3153" s="25"/>
      <c r="O3153" s="25">
        <f t="shared" si="0"/>
        <v>0</v>
      </c>
      <c r="P3153" s="25" t="str">
        <f t="shared" si="2"/>
        <v/>
      </c>
      <c r="Q3153" s="25" t="str">
        <f ca="1">IFERROR(__xludf.DUMMYFUNCTION("""COMPUTED_VALUE"""),"Sin defenir")</f>
        <v>Sin defenir</v>
      </c>
      <c r="R3153" s="25"/>
      <c r="S3153" s="55"/>
      <c r="T3153" s="56"/>
      <c r="U3153" s="25"/>
      <c r="V3153" s="25"/>
      <c r="W3153" s="25"/>
      <c r="X3153" s="25"/>
      <c r="Y3153" s="25"/>
      <c r="Z3153" s="25"/>
    </row>
    <row r="3154" spans="1:26" ht="52.5" customHeight="1" x14ac:dyDescent="0.25">
      <c r="A3154" s="25" t="str">
        <f ca="1">IFERROR(__xludf.DUMMYFUNCTION("""COMPUTED_VALUE"""),"Gesti152")</f>
        <v>Gesti152</v>
      </c>
      <c r="B3154" s="25"/>
      <c r="C3154" s="55"/>
      <c r="D3154" s="25" t="str">
        <f ca="1">IFERROR(__xludf.DUMMYFUNCTION("""COMPUTED_VALUE"""),"Gestión_Pública")</f>
        <v>Gestión_Pública</v>
      </c>
      <c r="E3154" s="25"/>
      <c r="F3154" s="25"/>
      <c r="G3154" s="25"/>
      <c r="H3154" s="25"/>
      <c r="I3154" s="25"/>
      <c r="J3154" s="55"/>
      <c r="K3154" s="25" t="str">
        <f ca="1">IFERROR(__xludf.DUMMYFUNCTION("""COMPUTED_VALUE"""),"Definir fecha")</f>
        <v>Definir fecha</v>
      </c>
      <c r="L3154" s="62"/>
      <c r="M3154" s="25"/>
      <c r="N3154" s="25"/>
      <c r="O3154" s="25">
        <f t="shared" si="0"/>
        <v>0</v>
      </c>
      <c r="P3154" s="25" t="str">
        <f t="shared" si="2"/>
        <v/>
      </c>
      <c r="Q3154" s="25" t="str">
        <f ca="1">IFERROR(__xludf.DUMMYFUNCTION("""COMPUTED_VALUE"""),"Sin defenir")</f>
        <v>Sin defenir</v>
      </c>
      <c r="R3154" s="25"/>
      <c r="S3154" s="55"/>
      <c r="T3154" s="56"/>
      <c r="U3154" s="25"/>
      <c r="V3154" s="25"/>
      <c r="W3154" s="25"/>
      <c r="X3154" s="25"/>
      <c r="Y3154" s="25"/>
      <c r="Z3154" s="25"/>
    </row>
    <row r="3155" spans="1:26" ht="52.5" customHeight="1" x14ac:dyDescent="0.25">
      <c r="A3155" s="25" t="str">
        <f ca="1">IFERROR(__xludf.DUMMYFUNCTION("""COMPUTED_VALUE"""),"Gesti153")</f>
        <v>Gesti153</v>
      </c>
      <c r="B3155" s="25"/>
      <c r="C3155" s="55"/>
      <c r="D3155" s="25" t="str">
        <f ca="1">IFERROR(__xludf.DUMMYFUNCTION("""COMPUTED_VALUE"""),"Gestión_Pública")</f>
        <v>Gestión_Pública</v>
      </c>
      <c r="E3155" s="25"/>
      <c r="F3155" s="25"/>
      <c r="G3155" s="25"/>
      <c r="H3155" s="25"/>
      <c r="I3155" s="25"/>
      <c r="J3155" s="55"/>
      <c r="K3155" s="25" t="str">
        <f ca="1">IFERROR(__xludf.DUMMYFUNCTION("""COMPUTED_VALUE"""),"Definir fecha")</f>
        <v>Definir fecha</v>
      </c>
      <c r="L3155" s="62"/>
      <c r="M3155" s="25"/>
      <c r="N3155" s="25"/>
      <c r="O3155" s="25">
        <f t="shared" si="0"/>
        <v>0</v>
      </c>
      <c r="P3155" s="25" t="str">
        <f t="shared" si="2"/>
        <v/>
      </c>
      <c r="Q3155" s="25" t="str">
        <f ca="1">IFERROR(__xludf.DUMMYFUNCTION("""COMPUTED_VALUE"""),"Sin defenir")</f>
        <v>Sin defenir</v>
      </c>
      <c r="R3155" s="25"/>
      <c r="S3155" s="55"/>
      <c r="T3155" s="56"/>
      <c r="U3155" s="25"/>
      <c r="V3155" s="25"/>
      <c r="W3155" s="25"/>
      <c r="X3155" s="25"/>
      <c r="Y3155" s="25"/>
      <c r="Z3155" s="25"/>
    </row>
    <row r="3156" spans="1:26" ht="52.5" customHeight="1" x14ac:dyDescent="0.25">
      <c r="A3156" s="25" t="str">
        <f ca="1">IFERROR(__xludf.DUMMYFUNCTION("""COMPUTED_VALUE"""),"Gesti154")</f>
        <v>Gesti154</v>
      </c>
      <c r="B3156" s="25"/>
      <c r="C3156" s="55"/>
      <c r="D3156" s="25" t="str">
        <f ca="1">IFERROR(__xludf.DUMMYFUNCTION("""COMPUTED_VALUE"""),"Gestión_Pública")</f>
        <v>Gestión_Pública</v>
      </c>
      <c r="E3156" s="25"/>
      <c r="F3156" s="25"/>
      <c r="G3156" s="25"/>
      <c r="H3156" s="25"/>
      <c r="I3156" s="25"/>
      <c r="J3156" s="55"/>
      <c r="K3156" s="25" t="str">
        <f ca="1">IFERROR(__xludf.DUMMYFUNCTION("""COMPUTED_VALUE"""),"Definir fecha")</f>
        <v>Definir fecha</v>
      </c>
      <c r="L3156" s="62"/>
      <c r="M3156" s="25"/>
      <c r="N3156" s="25"/>
      <c r="O3156" s="25">
        <f t="shared" si="0"/>
        <v>0</v>
      </c>
      <c r="P3156" s="25" t="str">
        <f t="shared" si="2"/>
        <v/>
      </c>
      <c r="Q3156" s="25" t="str">
        <f ca="1">IFERROR(__xludf.DUMMYFUNCTION("""COMPUTED_VALUE"""),"Sin defenir")</f>
        <v>Sin defenir</v>
      </c>
      <c r="R3156" s="25"/>
      <c r="S3156" s="55"/>
      <c r="T3156" s="56"/>
      <c r="U3156" s="25"/>
      <c r="V3156" s="25"/>
      <c r="W3156" s="25"/>
      <c r="X3156" s="25"/>
      <c r="Y3156" s="25"/>
      <c r="Z3156" s="25"/>
    </row>
    <row r="3157" spans="1:26" ht="52.5" customHeight="1" x14ac:dyDescent="0.25">
      <c r="A3157" s="25" t="str">
        <f ca="1">IFERROR(__xludf.DUMMYFUNCTION("""COMPUTED_VALUE"""),"Gesti155")</f>
        <v>Gesti155</v>
      </c>
      <c r="B3157" s="25"/>
      <c r="C3157" s="55"/>
      <c r="D3157" s="25" t="str">
        <f ca="1">IFERROR(__xludf.DUMMYFUNCTION("""COMPUTED_VALUE"""),"Gestión_Pública")</f>
        <v>Gestión_Pública</v>
      </c>
      <c r="E3157" s="25"/>
      <c r="F3157" s="25"/>
      <c r="G3157" s="25"/>
      <c r="H3157" s="25"/>
      <c r="I3157" s="25"/>
      <c r="J3157" s="55"/>
      <c r="K3157" s="25" t="str">
        <f ca="1">IFERROR(__xludf.DUMMYFUNCTION("""COMPUTED_VALUE"""),"Definir fecha")</f>
        <v>Definir fecha</v>
      </c>
      <c r="L3157" s="62"/>
      <c r="M3157" s="25"/>
      <c r="N3157" s="25"/>
      <c r="O3157" s="25">
        <f t="shared" si="0"/>
        <v>0</v>
      </c>
      <c r="P3157" s="25" t="str">
        <f t="shared" si="2"/>
        <v/>
      </c>
      <c r="Q3157" s="25" t="str">
        <f ca="1">IFERROR(__xludf.DUMMYFUNCTION("""COMPUTED_VALUE"""),"Sin defenir")</f>
        <v>Sin defenir</v>
      </c>
      <c r="R3157" s="25"/>
      <c r="S3157" s="55"/>
      <c r="T3157" s="56"/>
      <c r="U3157" s="25"/>
      <c r="V3157" s="25"/>
      <c r="W3157" s="25"/>
      <c r="X3157" s="25"/>
      <c r="Y3157" s="25"/>
      <c r="Z3157" s="25"/>
    </row>
    <row r="3158" spans="1:26" ht="52.5" customHeight="1" x14ac:dyDescent="0.25">
      <c r="A3158" s="25" t="str">
        <f ca="1">IFERROR(__xludf.DUMMYFUNCTION("""COMPUTED_VALUE"""),"Gesti156")</f>
        <v>Gesti156</v>
      </c>
      <c r="B3158" s="25"/>
      <c r="C3158" s="55"/>
      <c r="D3158" s="25" t="str">
        <f ca="1">IFERROR(__xludf.DUMMYFUNCTION("""COMPUTED_VALUE"""),"Gestión_Pública")</f>
        <v>Gestión_Pública</v>
      </c>
      <c r="E3158" s="25"/>
      <c r="F3158" s="25"/>
      <c r="G3158" s="25"/>
      <c r="H3158" s="25"/>
      <c r="I3158" s="25"/>
      <c r="J3158" s="55"/>
      <c r="K3158" s="25" t="str">
        <f ca="1">IFERROR(__xludf.DUMMYFUNCTION("""COMPUTED_VALUE"""),"Definir fecha")</f>
        <v>Definir fecha</v>
      </c>
      <c r="L3158" s="62"/>
      <c r="M3158" s="25"/>
      <c r="N3158" s="25"/>
      <c r="O3158" s="25">
        <f t="shared" si="0"/>
        <v>0</v>
      </c>
      <c r="P3158" s="25" t="str">
        <f t="shared" si="2"/>
        <v/>
      </c>
      <c r="Q3158" s="25" t="str">
        <f ca="1">IFERROR(__xludf.DUMMYFUNCTION("""COMPUTED_VALUE"""),"Sin defenir")</f>
        <v>Sin defenir</v>
      </c>
      <c r="R3158" s="25"/>
      <c r="S3158" s="55"/>
      <c r="T3158" s="56"/>
      <c r="U3158" s="25"/>
      <c r="V3158" s="25"/>
      <c r="W3158" s="25"/>
      <c r="X3158" s="25"/>
      <c r="Y3158" s="25"/>
      <c r="Z3158" s="25"/>
    </row>
    <row r="3159" spans="1:26" ht="52.5" customHeight="1" x14ac:dyDescent="0.25">
      <c r="A3159" s="25" t="str">
        <f ca="1">IFERROR(__xludf.DUMMYFUNCTION("""COMPUTED_VALUE"""),"Gesti157")</f>
        <v>Gesti157</v>
      </c>
      <c r="B3159" s="25"/>
      <c r="C3159" s="55"/>
      <c r="D3159" s="25" t="str">
        <f ca="1">IFERROR(__xludf.DUMMYFUNCTION("""COMPUTED_VALUE"""),"Gestión_Pública")</f>
        <v>Gestión_Pública</v>
      </c>
      <c r="E3159" s="25"/>
      <c r="F3159" s="25"/>
      <c r="G3159" s="25"/>
      <c r="H3159" s="25"/>
      <c r="I3159" s="25"/>
      <c r="J3159" s="55"/>
      <c r="K3159" s="25" t="str">
        <f ca="1">IFERROR(__xludf.DUMMYFUNCTION("""COMPUTED_VALUE"""),"Definir fecha")</f>
        <v>Definir fecha</v>
      </c>
      <c r="L3159" s="62"/>
      <c r="M3159" s="25"/>
      <c r="N3159" s="25"/>
      <c r="O3159" s="25">
        <f t="shared" si="0"/>
        <v>0</v>
      </c>
      <c r="P3159" s="25" t="str">
        <f t="shared" si="2"/>
        <v/>
      </c>
      <c r="Q3159" s="25" t="str">
        <f ca="1">IFERROR(__xludf.DUMMYFUNCTION("""COMPUTED_VALUE"""),"Sin defenir")</f>
        <v>Sin defenir</v>
      </c>
      <c r="R3159" s="25"/>
      <c r="S3159" s="55"/>
      <c r="T3159" s="56"/>
      <c r="U3159" s="25"/>
      <c r="V3159" s="25"/>
      <c r="W3159" s="25"/>
      <c r="X3159" s="25"/>
      <c r="Y3159" s="25"/>
      <c r="Z3159" s="25"/>
    </row>
    <row r="3160" spans="1:26" ht="52.5" customHeight="1" x14ac:dyDescent="0.25">
      <c r="A3160" s="25" t="str">
        <f ca="1">IFERROR(__xludf.DUMMYFUNCTION("""COMPUTED_VALUE"""),"Gesti158")</f>
        <v>Gesti158</v>
      </c>
      <c r="B3160" s="25"/>
      <c r="C3160" s="55"/>
      <c r="D3160" s="25" t="str">
        <f ca="1">IFERROR(__xludf.DUMMYFUNCTION("""COMPUTED_VALUE"""),"Gestión_Pública")</f>
        <v>Gestión_Pública</v>
      </c>
      <c r="E3160" s="25"/>
      <c r="F3160" s="25"/>
      <c r="G3160" s="25"/>
      <c r="H3160" s="25"/>
      <c r="I3160" s="25"/>
      <c r="J3160" s="55"/>
      <c r="K3160" s="25" t="str">
        <f ca="1">IFERROR(__xludf.DUMMYFUNCTION("""COMPUTED_VALUE"""),"Definir fecha")</f>
        <v>Definir fecha</v>
      </c>
      <c r="L3160" s="62"/>
      <c r="M3160" s="25"/>
      <c r="N3160" s="25"/>
      <c r="O3160" s="25">
        <f t="shared" si="0"/>
        <v>0</v>
      </c>
      <c r="P3160" s="25" t="str">
        <f t="shared" si="2"/>
        <v/>
      </c>
      <c r="Q3160" s="25" t="str">
        <f ca="1">IFERROR(__xludf.DUMMYFUNCTION("""COMPUTED_VALUE"""),"Sin defenir")</f>
        <v>Sin defenir</v>
      </c>
      <c r="R3160" s="25"/>
      <c r="S3160" s="55"/>
      <c r="T3160" s="56"/>
      <c r="U3160" s="25"/>
      <c r="V3160" s="25"/>
      <c r="W3160" s="25"/>
      <c r="X3160" s="25"/>
      <c r="Y3160" s="25"/>
      <c r="Z3160" s="25"/>
    </row>
    <row r="3161" spans="1:26" ht="52.5" customHeight="1" x14ac:dyDescent="0.25">
      <c r="A3161" s="25" t="str">
        <f ca="1">IFERROR(__xludf.DUMMYFUNCTION("""COMPUTED_VALUE"""),"Gesti159")</f>
        <v>Gesti159</v>
      </c>
      <c r="B3161" s="25"/>
      <c r="C3161" s="55"/>
      <c r="D3161" s="25" t="str">
        <f ca="1">IFERROR(__xludf.DUMMYFUNCTION("""COMPUTED_VALUE"""),"Gestión_Pública")</f>
        <v>Gestión_Pública</v>
      </c>
      <c r="E3161" s="25"/>
      <c r="F3161" s="25"/>
      <c r="G3161" s="25"/>
      <c r="H3161" s="25"/>
      <c r="I3161" s="25"/>
      <c r="J3161" s="55"/>
      <c r="K3161" s="25" t="str">
        <f ca="1">IFERROR(__xludf.DUMMYFUNCTION("""COMPUTED_VALUE"""),"Definir fecha")</f>
        <v>Definir fecha</v>
      </c>
      <c r="L3161" s="62"/>
      <c r="M3161" s="25"/>
      <c r="N3161" s="25"/>
      <c r="O3161" s="25">
        <f t="shared" si="0"/>
        <v>0</v>
      </c>
      <c r="P3161" s="25" t="str">
        <f t="shared" si="2"/>
        <v/>
      </c>
      <c r="Q3161" s="25" t="str">
        <f ca="1">IFERROR(__xludf.DUMMYFUNCTION("""COMPUTED_VALUE"""),"Sin defenir")</f>
        <v>Sin defenir</v>
      </c>
      <c r="R3161" s="25"/>
      <c r="S3161" s="55"/>
      <c r="T3161" s="56"/>
      <c r="U3161" s="25"/>
      <c r="V3161" s="25"/>
      <c r="W3161" s="25"/>
      <c r="X3161" s="25"/>
      <c r="Y3161" s="25"/>
      <c r="Z3161" s="25"/>
    </row>
    <row r="3162" spans="1:26" ht="52.5" customHeight="1" x14ac:dyDescent="0.25">
      <c r="A3162" s="25" t="str">
        <f ca="1">IFERROR(__xludf.DUMMYFUNCTION("""COMPUTED_VALUE"""),"Gesti160")</f>
        <v>Gesti160</v>
      </c>
      <c r="B3162" s="25"/>
      <c r="C3162" s="55"/>
      <c r="D3162" s="25" t="str">
        <f ca="1">IFERROR(__xludf.DUMMYFUNCTION("""COMPUTED_VALUE"""),"Gestión_Pública")</f>
        <v>Gestión_Pública</v>
      </c>
      <c r="E3162" s="25"/>
      <c r="F3162" s="25"/>
      <c r="G3162" s="25"/>
      <c r="H3162" s="25"/>
      <c r="I3162" s="25"/>
      <c r="J3162" s="55"/>
      <c r="K3162" s="25" t="str">
        <f ca="1">IFERROR(__xludf.DUMMYFUNCTION("""COMPUTED_VALUE"""),"Definir fecha")</f>
        <v>Definir fecha</v>
      </c>
      <c r="L3162" s="62"/>
      <c r="M3162" s="25"/>
      <c r="N3162" s="25"/>
      <c r="O3162" s="25">
        <f t="shared" si="0"/>
        <v>0</v>
      </c>
      <c r="P3162" s="25" t="str">
        <f t="shared" si="2"/>
        <v/>
      </c>
      <c r="Q3162" s="25" t="str">
        <f ca="1">IFERROR(__xludf.DUMMYFUNCTION("""COMPUTED_VALUE"""),"Sin defenir")</f>
        <v>Sin defenir</v>
      </c>
      <c r="R3162" s="25"/>
      <c r="S3162" s="55"/>
      <c r="T3162" s="56"/>
      <c r="U3162" s="25"/>
      <c r="V3162" s="25"/>
      <c r="W3162" s="25"/>
      <c r="X3162" s="25"/>
      <c r="Y3162" s="25"/>
      <c r="Z3162" s="25"/>
    </row>
    <row r="3163" spans="1:26" ht="52.5" customHeight="1" x14ac:dyDescent="0.25">
      <c r="A3163" s="25" t="str">
        <f ca="1">IFERROR(__xludf.DUMMYFUNCTION("""COMPUTED_VALUE"""),"Gesti161")</f>
        <v>Gesti161</v>
      </c>
      <c r="B3163" s="25"/>
      <c r="C3163" s="55"/>
      <c r="D3163" s="25" t="str">
        <f ca="1">IFERROR(__xludf.DUMMYFUNCTION("""COMPUTED_VALUE"""),"Gestión_Pública")</f>
        <v>Gestión_Pública</v>
      </c>
      <c r="E3163" s="25"/>
      <c r="F3163" s="25"/>
      <c r="G3163" s="25"/>
      <c r="H3163" s="25"/>
      <c r="I3163" s="25"/>
      <c r="J3163" s="55"/>
      <c r="K3163" s="25" t="str">
        <f ca="1">IFERROR(__xludf.DUMMYFUNCTION("""COMPUTED_VALUE"""),"Definir fecha")</f>
        <v>Definir fecha</v>
      </c>
      <c r="L3163" s="62"/>
      <c r="M3163" s="25"/>
      <c r="N3163" s="25"/>
      <c r="O3163" s="25">
        <f t="shared" si="0"/>
        <v>0</v>
      </c>
      <c r="P3163" s="25" t="str">
        <f t="shared" si="2"/>
        <v/>
      </c>
      <c r="Q3163" s="25" t="str">
        <f ca="1">IFERROR(__xludf.DUMMYFUNCTION("""COMPUTED_VALUE"""),"Sin defenir")</f>
        <v>Sin defenir</v>
      </c>
      <c r="R3163" s="25"/>
      <c r="S3163" s="55"/>
      <c r="T3163" s="56"/>
      <c r="U3163" s="25"/>
      <c r="V3163" s="25"/>
      <c r="W3163" s="25"/>
      <c r="X3163" s="25"/>
      <c r="Y3163" s="25"/>
      <c r="Z3163" s="25"/>
    </row>
    <row r="3164" spans="1:26" ht="52.5" customHeight="1" x14ac:dyDescent="0.25">
      <c r="A3164" s="25" t="str">
        <f ca="1">IFERROR(__xludf.DUMMYFUNCTION("""COMPUTED_VALUE"""),"Gesti162")</f>
        <v>Gesti162</v>
      </c>
      <c r="B3164" s="25"/>
      <c r="C3164" s="55"/>
      <c r="D3164" s="25" t="str">
        <f ca="1">IFERROR(__xludf.DUMMYFUNCTION("""COMPUTED_VALUE"""),"Gestión_Pública")</f>
        <v>Gestión_Pública</v>
      </c>
      <c r="E3164" s="25"/>
      <c r="F3164" s="25"/>
      <c r="G3164" s="25"/>
      <c r="H3164" s="25"/>
      <c r="I3164" s="25"/>
      <c r="J3164" s="55"/>
      <c r="K3164" s="25" t="str">
        <f ca="1">IFERROR(__xludf.DUMMYFUNCTION("""COMPUTED_VALUE"""),"Definir fecha")</f>
        <v>Definir fecha</v>
      </c>
      <c r="L3164" s="62"/>
      <c r="M3164" s="25"/>
      <c r="N3164" s="25"/>
      <c r="O3164" s="25">
        <f t="shared" si="0"/>
        <v>0</v>
      </c>
      <c r="P3164" s="25" t="str">
        <f t="shared" si="2"/>
        <v/>
      </c>
      <c r="Q3164" s="25" t="str">
        <f ca="1">IFERROR(__xludf.DUMMYFUNCTION("""COMPUTED_VALUE"""),"Sin defenir")</f>
        <v>Sin defenir</v>
      </c>
      <c r="R3164" s="25"/>
      <c r="S3164" s="55"/>
      <c r="T3164" s="56"/>
      <c r="U3164" s="25"/>
      <c r="V3164" s="25"/>
      <c r="W3164" s="25"/>
      <c r="X3164" s="25"/>
      <c r="Y3164" s="25"/>
      <c r="Z3164" s="25"/>
    </row>
    <row r="3165" spans="1:26" ht="52.5" customHeight="1" x14ac:dyDescent="0.25">
      <c r="A3165" s="25" t="str">
        <f ca="1">IFERROR(__xludf.DUMMYFUNCTION("""COMPUTED_VALUE"""),"Gesti163")</f>
        <v>Gesti163</v>
      </c>
      <c r="B3165" s="25"/>
      <c r="C3165" s="55"/>
      <c r="D3165" s="25" t="str">
        <f ca="1">IFERROR(__xludf.DUMMYFUNCTION("""COMPUTED_VALUE"""),"Gestión_Pública")</f>
        <v>Gestión_Pública</v>
      </c>
      <c r="E3165" s="25"/>
      <c r="F3165" s="25"/>
      <c r="G3165" s="25"/>
      <c r="H3165" s="25"/>
      <c r="I3165" s="25"/>
      <c r="J3165" s="55"/>
      <c r="K3165" s="25" t="str">
        <f ca="1">IFERROR(__xludf.DUMMYFUNCTION("""COMPUTED_VALUE"""),"Definir fecha")</f>
        <v>Definir fecha</v>
      </c>
      <c r="L3165" s="62"/>
      <c r="M3165" s="25"/>
      <c r="N3165" s="25"/>
      <c r="O3165" s="25">
        <f t="shared" si="0"/>
        <v>0</v>
      </c>
      <c r="P3165" s="25" t="str">
        <f t="shared" si="2"/>
        <v/>
      </c>
      <c r="Q3165" s="25" t="str">
        <f ca="1">IFERROR(__xludf.DUMMYFUNCTION("""COMPUTED_VALUE"""),"Sin defenir")</f>
        <v>Sin defenir</v>
      </c>
      <c r="R3165" s="25"/>
      <c r="S3165" s="55"/>
      <c r="T3165" s="56"/>
      <c r="U3165" s="25"/>
      <c r="V3165" s="25"/>
      <c r="W3165" s="25"/>
      <c r="X3165" s="25"/>
      <c r="Y3165" s="25"/>
      <c r="Z3165" s="25"/>
    </row>
    <row r="3166" spans="1:26" ht="52.5" customHeight="1" x14ac:dyDescent="0.25">
      <c r="A3166" s="25" t="str">
        <f ca="1">IFERROR(__xludf.DUMMYFUNCTION("""COMPUTED_VALUE"""),"Gesti164")</f>
        <v>Gesti164</v>
      </c>
      <c r="B3166" s="25"/>
      <c r="C3166" s="55"/>
      <c r="D3166" s="25" t="str">
        <f ca="1">IFERROR(__xludf.DUMMYFUNCTION("""COMPUTED_VALUE"""),"Gestión_Pública")</f>
        <v>Gestión_Pública</v>
      </c>
      <c r="E3166" s="25"/>
      <c r="F3166" s="25"/>
      <c r="G3166" s="25"/>
      <c r="H3166" s="25"/>
      <c r="I3166" s="25"/>
      <c r="J3166" s="55"/>
      <c r="K3166" s="25" t="str">
        <f ca="1">IFERROR(__xludf.DUMMYFUNCTION("""COMPUTED_VALUE"""),"Definir fecha")</f>
        <v>Definir fecha</v>
      </c>
      <c r="L3166" s="62"/>
      <c r="M3166" s="25"/>
      <c r="N3166" s="25"/>
      <c r="O3166" s="25">
        <f t="shared" si="0"/>
        <v>0</v>
      </c>
      <c r="P3166" s="25" t="str">
        <f t="shared" si="2"/>
        <v/>
      </c>
      <c r="Q3166" s="25" t="str">
        <f ca="1">IFERROR(__xludf.DUMMYFUNCTION("""COMPUTED_VALUE"""),"Sin defenir")</f>
        <v>Sin defenir</v>
      </c>
      <c r="R3166" s="25"/>
      <c r="S3166" s="55"/>
      <c r="T3166" s="56"/>
      <c r="U3166" s="25"/>
      <c r="V3166" s="25"/>
      <c r="W3166" s="25"/>
      <c r="X3166" s="25"/>
      <c r="Y3166" s="25"/>
      <c r="Z3166" s="25"/>
    </row>
    <row r="3167" spans="1:26" ht="52.5" customHeight="1" x14ac:dyDescent="0.25">
      <c r="A3167" s="25" t="str">
        <f ca="1">IFERROR(__xludf.DUMMYFUNCTION("""COMPUTED_VALUE"""),"Gesti165")</f>
        <v>Gesti165</v>
      </c>
      <c r="B3167" s="25"/>
      <c r="C3167" s="55"/>
      <c r="D3167" s="25" t="str">
        <f ca="1">IFERROR(__xludf.DUMMYFUNCTION("""COMPUTED_VALUE"""),"Gestión_Pública")</f>
        <v>Gestión_Pública</v>
      </c>
      <c r="E3167" s="25"/>
      <c r="F3167" s="25"/>
      <c r="G3167" s="25"/>
      <c r="H3167" s="25"/>
      <c r="I3167" s="25"/>
      <c r="J3167" s="55"/>
      <c r="K3167" s="25" t="str">
        <f ca="1">IFERROR(__xludf.DUMMYFUNCTION("""COMPUTED_VALUE"""),"Definir fecha")</f>
        <v>Definir fecha</v>
      </c>
      <c r="L3167" s="62"/>
      <c r="M3167" s="25"/>
      <c r="N3167" s="25"/>
      <c r="O3167" s="25">
        <f t="shared" si="0"/>
        <v>0</v>
      </c>
      <c r="P3167" s="25" t="str">
        <f t="shared" si="2"/>
        <v/>
      </c>
      <c r="Q3167" s="25" t="str">
        <f ca="1">IFERROR(__xludf.DUMMYFUNCTION("""COMPUTED_VALUE"""),"Sin defenir")</f>
        <v>Sin defenir</v>
      </c>
      <c r="R3167" s="25"/>
      <c r="S3167" s="55"/>
      <c r="T3167" s="56"/>
      <c r="U3167" s="25"/>
      <c r="V3167" s="25"/>
      <c r="W3167" s="25"/>
      <c r="X3167" s="25"/>
      <c r="Y3167" s="25"/>
      <c r="Z3167" s="25"/>
    </row>
    <row r="3168" spans="1:26" ht="52.5" customHeight="1" x14ac:dyDescent="0.25">
      <c r="A3168" s="25" t="str">
        <f ca="1">IFERROR(__xludf.DUMMYFUNCTION("""COMPUTED_VALUE"""),"Gesti166")</f>
        <v>Gesti166</v>
      </c>
      <c r="B3168" s="25"/>
      <c r="C3168" s="55"/>
      <c r="D3168" s="25" t="str">
        <f ca="1">IFERROR(__xludf.DUMMYFUNCTION("""COMPUTED_VALUE"""),"Gestión_Pública")</f>
        <v>Gestión_Pública</v>
      </c>
      <c r="E3168" s="25"/>
      <c r="F3168" s="25"/>
      <c r="G3168" s="25"/>
      <c r="H3168" s="25"/>
      <c r="I3168" s="25"/>
      <c r="J3168" s="55"/>
      <c r="K3168" s="25" t="str">
        <f ca="1">IFERROR(__xludf.DUMMYFUNCTION("""COMPUTED_VALUE"""),"Definir fecha")</f>
        <v>Definir fecha</v>
      </c>
      <c r="L3168" s="62"/>
      <c r="M3168" s="25"/>
      <c r="N3168" s="25"/>
      <c r="O3168" s="25">
        <f t="shared" si="0"/>
        <v>0</v>
      </c>
      <c r="P3168" s="25" t="str">
        <f t="shared" si="2"/>
        <v/>
      </c>
      <c r="Q3168" s="25" t="str">
        <f ca="1">IFERROR(__xludf.DUMMYFUNCTION("""COMPUTED_VALUE"""),"Sin defenir")</f>
        <v>Sin defenir</v>
      </c>
      <c r="R3168" s="25"/>
      <c r="S3168" s="55"/>
      <c r="T3168" s="56"/>
      <c r="U3168" s="25"/>
      <c r="V3168" s="25"/>
      <c r="W3168" s="25"/>
      <c r="X3168" s="25"/>
      <c r="Y3168" s="25"/>
      <c r="Z3168" s="25"/>
    </row>
    <row r="3169" spans="1:26" ht="52.5" customHeight="1" x14ac:dyDescent="0.25">
      <c r="A3169" s="25" t="str">
        <f ca="1">IFERROR(__xludf.DUMMYFUNCTION("""COMPUTED_VALUE"""),"Gesti167")</f>
        <v>Gesti167</v>
      </c>
      <c r="B3169" s="25"/>
      <c r="C3169" s="55"/>
      <c r="D3169" s="25" t="str">
        <f ca="1">IFERROR(__xludf.DUMMYFUNCTION("""COMPUTED_VALUE"""),"Gestión_Pública")</f>
        <v>Gestión_Pública</v>
      </c>
      <c r="E3169" s="25"/>
      <c r="F3169" s="25"/>
      <c r="G3169" s="25"/>
      <c r="H3169" s="25"/>
      <c r="I3169" s="25"/>
      <c r="J3169" s="55"/>
      <c r="K3169" s="25" t="str">
        <f ca="1">IFERROR(__xludf.DUMMYFUNCTION("""COMPUTED_VALUE"""),"Definir fecha")</f>
        <v>Definir fecha</v>
      </c>
      <c r="L3169" s="62"/>
      <c r="M3169" s="25"/>
      <c r="N3169" s="25"/>
      <c r="O3169" s="25">
        <f t="shared" si="0"/>
        <v>0</v>
      </c>
      <c r="P3169" s="25" t="str">
        <f t="shared" si="2"/>
        <v/>
      </c>
      <c r="Q3169" s="25" t="str">
        <f ca="1">IFERROR(__xludf.DUMMYFUNCTION("""COMPUTED_VALUE"""),"Sin defenir")</f>
        <v>Sin defenir</v>
      </c>
      <c r="R3169" s="25"/>
      <c r="S3169" s="55"/>
      <c r="T3169" s="56"/>
      <c r="U3169" s="25"/>
      <c r="V3169" s="25"/>
      <c r="W3169" s="25"/>
      <c r="X3169" s="25"/>
      <c r="Y3169" s="25"/>
      <c r="Z3169" s="25"/>
    </row>
    <row r="3170" spans="1:26" ht="52.5" customHeight="1" x14ac:dyDescent="0.25">
      <c r="A3170" s="25" t="str">
        <f ca="1">IFERROR(__xludf.DUMMYFUNCTION("""COMPUTED_VALUE"""),"Gesti168")</f>
        <v>Gesti168</v>
      </c>
      <c r="B3170" s="25"/>
      <c r="C3170" s="55"/>
      <c r="D3170" s="25" t="str">
        <f ca="1">IFERROR(__xludf.DUMMYFUNCTION("""COMPUTED_VALUE"""),"Gestión_Pública")</f>
        <v>Gestión_Pública</v>
      </c>
      <c r="E3170" s="25"/>
      <c r="F3170" s="25"/>
      <c r="G3170" s="25"/>
      <c r="H3170" s="25"/>
      <c r="I3170" s="25"/>
      <c r="J3170" s="55"/>
      <c r="K3170" s="25" t="str">
        <f ca="1">IFERROR(__xludf.DUMMYFUNCTION("""COMPUTED_VALUE"""),"Definir fecha")</f>
        <v>Definir fecha</v>
      </c>
      <c r="L3170" s="62"/>
      <c r="M3170" s="25"/>
      <c r="N3170" s="25"/>
      <c r="O3170" s="25">
        <f t="shared" si="0"/>
        <v>0</v>
      </c>
      <c r="P3170" s="25" t="str">
        <f t="shared" si="2"/>
        <v/>
      </c>
      <c r="Q3170" s="25" t="str">
        <f ca="1">IFERROR(__xludf.DUMMYFUNCTION("""COMPUTED_VALUE"""),"Sin defenir")</f>
        <v>Sin defenir</v>
      </c>
      <c r="R3170" s="25"/>
      <c r="S3170" s="55"/>
      <c r="T3170" s="56"/>
      <c r="U3170" s="25"/>
      <c r="V3170" s="25"/>
      <c r="W3170" s="25"/>
      <c r="X3170" s="25"/>
      <c r="Y3170" s="25"/>
      <c r="Z3170" s="25"/>
    </row>
    <row r="3171" spans="1:26" ht="52.5" customHeight="1" x14ac:dyDescent="0.25">
      <c r="A3171" s="25" t="str">
        <f ca="1">IFERROR(__xludf.DUMMYFUNCTION("""COMPUTED_VALUE"""),"Gesti169")</f>
        <v>Gesti169</v>
      </c>
      <c r="B3171" s="25"/>
      <c r="C3171" s="55"/>
      <c r="D3171" s="25" t="str">
        <f ca="1">IFERROR(__xludf.DUMMYFUNCTION("""COMPUTED_VALUE"""),"Gestión_Pública")</f>
        <v>Gestión_Pública</v>
      </c>
      <c r="E3171" s="25"/>
      <c r="F3171" s="25"/>
      <c r="G3171" s="25"/>
      <c r="H3171" s="25"/>
      <c r="I3171" s="25"/>
      <c r="J3171" s="55"/>
      <c r="K3171" s="25" t="str">
        <f ca="1">IFERROR(__xludf.DUMMYFUNCTION("""COMPUTED_VALUE"""),"Definir fecha")</f>
        <v>Definir fecha</v>
      </c>
      <c r="L3171" s="62"/>
      <c r="M3171" s="25"/>
      <c r="N3171" s="25"/>
      <c r="O3171" s="25">
        <f t="shared" si="0"/>
        <v>0</v>
      </c>
      <c r="P3171" s="25" t="str">
        <f t="shared" si="2"/>
        <v/>
      </c>
      <c r="Q3171" s="25" t="str">
        <f ca="1">IFERROR(__xludf.DUMMYFUNCTION("""COMPUTED_VALUE"""),"Sin defenir")</f>
        <v>Sin defenir</v>
      </c>
      <c r="R3171" s="25"/>
      <c r="S3171" s="55"/>
      <c r="T3171" s="56"/>
      <c r="U3171" s="25"/>
      <c r="V3171" s="25"/>
      <c r="W3171" s="25"/>
      <c r="X3171" s="25"/>
      <c r="Y3171" s="25"/>
      <c r="Z3171" s="25"/>
    </row>
    <row r="3172" spans="1:26" ht="52.5" customHeight="1" x14ac:dyDescent="0.25">
      <c r="A3172" s="25" t="str">
        <f ca="1">IFERROR(__xludf.DUMMYFUNCTION("""COMPUTED_VALUE"""),"Gesti170")</f>
        <v>Gesti170</v>
      </c>
      <c r="B3172" s="25"/>
      <c r="C3172" s="55"/>
      <c r="D3172" s="25" t="str">
        <f ca="1">IFERROR(__xludf.DUMMYFUNCTION("""COMPUTED_VALUE"""),"Gestión_Pública")</f>
        <v>Gestión_Pública</v>
      </c>
      <c r="E3172" s="25"/>
      <c r="F3172" s="25"/>
      <c r="G3172" s="25"/>
      <c r="H3172" s="25"/>
      <c r="I3172" s="25"/>
      <c r="J3172" s="55"/>
      <c r="K3172" s="25" t="str">
        <f ca="1">IFERROR(__xludf.DUMMYFUNCTION("""COMPUTED_VALUE"""),"Definir fecha")</f>
        <v>Definir fecha</v>
      </c>
      <c r="L3172" s="62"/>
      <c r="M3172" s="25"/>
      <c r="N3172" s="25"/>
      <c r="O3172" s="25">
        <f t="shared" si="0"/>
        <v>0</v>
      </c>
      <c r="P3172" s="25" t="str">
        <f t="shared" si="2"/>
        <v/>
      </c>
      <c r="Q3172" s="25" t="str">
        <f ca="1">IFERROR(__xludf.DUMMYFUNCTION("""COMPUTED_VALUE"""),"Sin defenir")</f>
        <v>Sin defenir</v>
      </c>
      <c r="R3172" s="25"/>
      <c r="S3172" s="55"/>
      <c r="T3172" s="56"/>
      <c r="U3172" s="25"/>
      <c r="V3172" s="25"/>
      <c r="W3172" s="25"/>
      <c r="X3172" s="25"/>
      <c r="Y3172" s="25"/>
      <c r="Z3172" s="25"/>
    </row>
    <row r="3173" spans="1:26" ht="52.5" customHeight="1" x14ac:dyDescent="0.25">
      <c r="A3173" s="25" t="str">
        <f ca="1">IFERROR(__xludf.DUMMYFUNCTION("""COMPUTED_VALUE"""),"Gesti171")</f>
        <v>Gesti171</v>
      </c>
      <c r="B3173" s="25"/>
      <c r="C3173" s="55"/>
      <c r="D3173" s="25" t="str">
        <f ca="1">IFERROR(__xludf.DUMMYFUNCTION("""COMPUTED_VALUE"""),"Gestión_Pública")</f>
        <v>Gestión_Pública</v>
      </c>
      <c r="E3173" s="25"/>
      <c r="F3173" s="25"/>
      <c r="G3173" s="25"/>
      <c r="H3173" s="25"/>
      <c r="I3173" s="25"/>
      <c r="J3173" s="55"/>
      <c r="K3173" s="25" t="str">
        <f ca="1">IFERROR(__xludf.DUMMYFUNCTION("""COMPUTED_VALUE"""),"Definir fecha")</f>
        <v>Definir fecha</v>
      </c>
      <c r="L3173" s="62"/>
      <c r="M3173" s="25"/>
      <c r="N3173" s="25"/>
      <c r="O3173" s="25">
        <f t="shared" si="0"/>
        <v>0</v>
      </c>
      <c r="P3173" s="25" t="str">
        <f t="shared" si="2"/>
        <v/>
      </c>
      <c r="Q3173" s="25" t="str">
        <f ca="1">IFERROR(__xludf.DUMMYFUNCTION("""COMPUTED_VALUE"""),"Sin defenir")</f>
        <v>Sin defenir</v>
      </c>
      <c r="R3173" s="25"/>
      <c r="S3173" s="55"/>
      <c r="T3173" s="56"/>
      <c r="U3173" s="25"/>
      <c r="V3173" s="25"/>
      <c r="W3173" s="25"/>
      <c r="X3173" s="25"/>
      <c r="Y3173" s="25"/>
      <c r="Z3173" s="25"/>
    </row>
    <row r="3174" spans="1:26" ht="52.5" customHeight="1" x14ac:dyDescent="0.25">
      <c r="A3174" s="25" t="str">
        <f ca="1">IFERROR(__xludf.DUMMYFUNCTION("""COMPUTED_VALUE"""),"Gesti172")</f>
        <v>Gesti172</v>
      </c>
      <c r="B3174" s="25"/>
      <c r="C3174" s="55"/>
      <c r="D3174" s="25" t="str">
        <f ca="1">IFERROR(__xludf.DUMMYFUNCTION("""COMPUTED_VALUE"""),"Gestión_Pública")</f>
        <v>Gestión_Pública</v>
      </c>
      <c r="E3174" s="25"/>
      <c r="F3174" s="25"/>
      <c r="G3174" s="25"/>
      <c r="H3174" s="25"/>
      <c r="I3174" s="25"/>
      <c r="J3174" s="55"/>
      <c r="K3174" s="25" t="str">
        <f ca="1">IFERROR(__xludf.DUMMYFUNCTION("""COMPUTED_VALUE"""),"Definir fecha")</f>
        <v>Definir fecha</v>
      </c>
      <c r="L3174" s="62"/>
      <c r="M3174" s="25"/>
      <c r="N3174" s="25"/>
      <c r="O3174" s="25">
        <f t="shared" si="0"/>
        <v>0</v>
      </c>
      <c r="P3174" s="25" t="str">
        <f t="shared" si="2"/>
        <v/>
      </c>
      <c r="Q3174" s="25" t="str">
        <f ca="1">IFERROR(__xludf.DUMMYFUNCTION("""COMPUTED_VALUE"""),"Sin defenir")</f>
        <v>Sin defenir</v>
      </c>
      <c r="R3174" s="25"/>
      <c r="S3174" s="55"/>
      <c r="T3174" s="56"/>
      <c r="U3174" s="25"/>
      <c r="V3174" s="25"/>
      <c r="W3174" s="25"/>
      <c r="X3174" s="25"/>
      <c r="Y3174" s="25"/>
      <c r="Z3174" s="25"/>
    </row>
    <row r="3175" spans="1:26" ht="52.5" customHeight="1" x14ac:dyDescent="0.25">
      <c r="A3175" s="25" t="str">
        <f ca="1">IFERROR(__xludf.DUMMYFUNCTION("""COMPUTED_VALUE"""),"Gesti173")</f>
        <v>Gesti173</v>
      </c>
      <c r="B3175" s="25"/>
      <c r="C3175" s="55"/>
      <c r="D3175" s="25" t="str">
        <f ca="1">IFERROR(__xludf.DUMMYFUNCTION("""COMPUTED_VALUE"""),"Gestión_Pública")</f>
        <v>Gestión_Pública</v>
      </c>
      <c r="E3175" s="25"/>
      <c r="F3175" s="25"/>
      <c r="G3175" s="25"/>
      <c r="H3175" s="25"/>
      <c r="I3175" s="25"/>
      <c r="J3175" s="55"/>
      <c r="K3175" s="25" t="str">
        <f ca="1">IFERROR(__xludf.DUMMYFUNCTION("""COMPUTED_VALUE"""),"Definir fecha")</f>
        <v>Definir fecha</v>
      </c>
      <c r="L3175" s="62"/>
      <c r="M3175" s="25"/>
      <c r="N3175" s="25"/>
      <c r="O3175" s="25">
        <f t="shared" si="0"/>
        <v>0</v>
      </c>
      <c r="P3175" s="25" t="str">
        <f t="shared" si="2"/>
        <v/>
      </c>
      <c r="Q3175" s="25" t="str">
        <f ca="1">IFERROR(__xludf.DUMMYFUNCTION("""COMPUTED_VALUE"""),"Sin defenir")</f>
        <v>Sin defenir</v>
      </c>
      <c r="R3175" s="25"/>
      <c r="S3175" s="55"/>
      <c r="T3175" s="56"/>
      <c r="U3175" s="25"/>
      <c r="V3175" s="25"/>
      <c r="W3175" s="25"/>
      <c r="X3175" s="25"/>
      <c r="Y3175" s="25"/>
      <c r="Z3175" s="25"/>
    </row>
    <row r="3176" spans="1:26" ht="52.5" customHeight="1" x14ac:dyDescent="0.25">
      <c r="A3176" s="25" t="str">
        <f ca="1">IFERROR(__xludf.DUMMYFUNCTION("""COMPUTED_VALUE"""),"Gesti174")</f>
        <v>Gesti174</v>
      </c>
      <c r="B3176" s="25"/>
      <c r="C3176" s="55"/>
      <c r="D3176" s="25" t="str">
        <f ca="1">IFERROR(__xludf.DUMMYFUNCTION("""COMPUTED_VALUE"""),"Gestión_Pública")</f>
        <v>Gestión_Pública</v>
      </c>
      <c r="E3176" s="25"/>
      <c r="F3176" s="25"/>
      <c r="G3176" s="25"/>
      <c r="H3176" s="25"/>
      <c r="I3176" s="25"/>
      <c r="J3176" s="55"/>
      <c r="K3176" s="25" t="str">
        <f ca="1">IFERROR(__xludf.DUMMYFUNCTION("""COMPUTED_VALUE"""),"Definir fecha")</f>
        <v>Definir fecha</v>
      </c>
      <c r="L3176" s="62"/>
      <c r="M3176" s="25"/>
      <c r="N3176" s="25"/>
      <c r="O3176" s="25">
        <f t="shared" si="0"/>
        <v>0</v>
      </c>
      <c r="P3176" s="25" t="str">
        <f t="shared" si="2"/>
        <v/>
      </c>
      <c r="Q3176" s="25" t="str">
        <f ca="1">IFERROR(__xludf.DUMMYFUNCTION("""COMPUTED_VALUE"""),"Sin defenir")</f>
        <v>Sin defenir</v>
      </c>
      <c r="R3176" s="25"/>
      <c r="S3176" s="55"/>
      <c r="T3176" s="56"/>
      <c r="U3176" s="25"/>
      <c r="V3176" s="25"/>
      <c r="W3176" s="25"/>
      <c r="X3176" s="25"/>
      <c r="Y3176" s="25"/>
      <c r="Z3176" s="25"/>
    </row>
    <row r="3177" spans="1:26" ht="52.5" customHeight="1" x14ac:dyDescent="0.25">
      <c r="A3177" s="25" t="str">
        <f ca="1">IFERROR(__xludf.DUMMYFUNCTION("""COMPUTED_VALUE"""),"Gesti175")</f>
        <v>Gesti175</v>
      </c>
      <c r="B3177" s="25"/>
      <c r="C3177" s="55"/>
      <c r="D3177" s="25" t="str">
        <f ca="1">IFERROR(__xludf.DUMMYFUNCTION("""COMPUTED_VALUE"""),"Gestión_Pública")</f>
        <v>Gestión_Pública</v>
      </c>
      <c r="E3177" s="25"/>
      <c r="F3177" s="25"/>
      <c r="G3177" s="25"/>
      <c r="H3177" s="25"/>
      <c r="I3177" s="25"/>
      <c r="J3177" s="55"/>
      <c r="K3177" s="25" t="str">
        <f ca="1">IFERROR(__xludf.DUMMYFUNCTION("""COMPUTED_VALUE"""),"Definir fecha")</f>
        <v>Definir fecha</v>
      </c>
      <c r="L3177" s="62"/>
      <c r="M3177" s="25"/>
      <c r="N3177" s="25"/>
      <c r="O3177" s="25">
        <f t="shared" si="0"/>
        <v>0</v>
      </c>
      <c r="P3177" s="25" t="str">
        <f t="shared" si="2"/>
        <v/>
      </c>
      <c r="Q3177" s="25" t="str">
        <f ca="1">IFERROR(__xludf.DUMMYFUNCTION("""COMPUTED_VALUE"""),"Sin defenir")</f>
        <v>Sin defenir</v>
      </c>
      <c r="R3177" s="25"/>
      <c r="S3177" s="55"/>
      <c r="T3177" s="56"/>
      <c r="U3177" s="25"/>
      <c r="V3177" s="25"/>
      <c r="W3177" s="25"/>
      <c r="X3177" s="25"/>
      <c r="Y3177" s="25"/>
      <c r="Z3177" s="25"/>
    </row>
    <row r="3178" spans="1:26" ht="52.5" customHeight="1" x14ac:dyDescent="0.25">
      <c r="A3178" s="25" t="str">
        <f ca="1">IFERROR(__xludf.DUMMYFUNCTION("""COMPUTED_VALUE"""),"Gesti176")</f>
        <v>Gesti176</v>
      </c>
      <c r="B3178" s="25"/>
      <c r="C3178" s="55"/>
      <c r="D3178" s="25" t="str">
        <f ca="1">IFERROR(__xludf.DUMMYFUNCTION("""COMPUTED_VALUE"""),"Gestión_Pública")</f>
        <v>Gestión_Pública</v>
      </c>
      <c r="E3178" s="25"/>
      <c r="F3178" s="25"/>
      <c r="G3178" s="25"/>
      <c r="H3178" s="25"/>
      <c r="I3178" s="25"/>
      <c r="J3178" s="55"/>
      <c r="K3178" s="25" t="str">
        <f ca="1">IFERROR(__xludf.DUMMYFUNCTION("""COMPUTED_VALUE"""),"Definir fecha")</f>
        <v>Definir fecha</v>
      </c>
      <c r="L3178" s="62"/>
      <c r="M3178" s="25"/>
      <c r="N3178" s="25"/>
      <c r="O3178" s="25">
        <f t="shared" si="0"/>
        <v>0</v>
      </c>
      <c r="P3178" s="25" t="str">
        <f t="shared" si="2"/>
        <v/>
      </c>
      <c r="Q3178" s="25" t="str">
        <f ca="1">IFERROR(__xludf.DUMMYFUNCTION("""COMPUTED_VALUE"""),"Sin defenir")</f>
        <v>Sin defenir</v>
      </c>
      <c r="R3178" s="25"/>
      <c r="S3178" s="55"/>
      <c r="T3178" s="56"/>
      <c r="U3178" s="25"/>
      <c r="V3178" s="25"/>
      <c r="W3178" s="25"/>
      <c r="X3178" s="25"/>
      <c r="Y3178" s="25"/>
      <c r="Z3178" s="25"/>
    </row>
    <row r="3179" spans="1:26" ht="52.5" customHeight="1" x14ac:dyDescent="0.25">
      <c r="A3179" s="25" t="str">
        <f ca="1">IFERROR(__xludf.DUMMYFUNCTION("""COMPUTED_VALUE"""),"Gesti177")</f>
        <v>Gesti177</v>
      </c>
      <c r="B3179" s="25"/>
      <c r="C3179" s="55"/>
      <c r="D3179" s="25" t="str">
        <f ca="1">IFERROR(__xludf.DUMMYFUNCTION("""COMPUTED_VALUE"""),"Gestión_Pública")</f>
        <v>Gestión_Pública</v>
      </c>
      <c r="E3179" s="25"/>
      <c r="F3179" s="25"/>
      <c r="G3179" s="25"/>
      <c r="H3179" s="25"/>
      <c r="I3179" s="25"/>
      <c r="J3179" s="55"/>
      <c r="K3179" s="25" t="str">
        <f ca="1">IFERROR(__xludf.DUMMYFUNCTION("""COMPUTED_VALUE"""),"Definir fecha")</f>
        <v>Definir fecha</v>
      </c>
      <c r="L3179" s="62"/>
      <c r="M3179" s="25"/>
      <c r="N3179" s="25"/>
      <c r="O3179" s="25">
        <f t="shared" si="0"/>
        <v>0</v>
      </c>
      <c r="P3179" s="25" t="str">
        <f t="shared" si="2"/>
        <v/>
      </c>
      <c r="Q3179" s="25" t="str">
        <f ca="1">IFERROR(__xludf.DUMMYFUNCTION("""COMPUTED_VALUE"""),"Sin defenir")</f>
        <v>Sin defenir</v>
      </c>
      <c r="R3179" s="25"/>
      <c r="S3179" s="55"/>
      <c r="T3179" s="56"/>
      <c r="U3179" s="25"/>
      <c r="V3179" s="25"/>
      <c r="W3179" s="25"/>
      <c r="X3179" s="25"/>
      <c r="Y3179" s="25"/>
      <c r="Z3179" s="25"/>
    </row>
    <row r="3180" spans="1:26" ht="52.5" customHeight="1" x14ac:dyDescent="0.25">
      <c r="A3180" s="25" t="str">
        <f ca="1">IFERROR(__xludf.DUMMYFUNCTION("""COMPUTED_VALUE"""),"Gesti178")</f>
        <v>Gesti178</v>
      </c>
      <c r="B3180" s="25"/>
      <c r="C3180" s="55"/>
      <c r="D3180" s="25" t="str">
        <f ca="1">IFERROR(__xludf.DUMMYFUNCTION("""COMPUTED_VALUE"""),"Gestión_Pública")</f>
        <v>Gestión_Pública</v>
      </c>
      <c r="E3180" s="25"/>
      <c r="F3180" s="25"/>
      <c r="G3180" s="25"/>
      <c r="H3180" s="25"/>
      <c r="I3180" s="25"/>
      <c r="J3180" s="55"/>
      <c r="K3180" s="25" t="str">
        <f ca="1">IFERROR(__xludf.DUMMYFUNCTION("""COMPUTED_VALUE"""),"Definir fecha")</f>
        <v>Definir fecha</v>
      </c>
      <c r="L3180" s="62"/>
      <c r="M3180" s="25"/>
      <c r="N3180" s="25"/>
      <c r="O3180" s="25">
        <f t="shared" si="0"/>
        <v>0</v>
      </c>
      <c r="P3180" s="25" t="str">
        <f t="shared" si="2"/>
        <v/>
      </c>
      <c r="Q3180" s="25" t="str">
        <f ca="1">IFERROR(__xludf.DUMMYFUNCTION("""COMPUTED_VALUE"""),"Sin defenir")</f>
        <v>Sin defenir</v>
      </c>
      <c r="R3180" s="25"/>
      <c r="S3180" s="55"/>
      <c r="T3180" s="56"/>
      <c r="U3180" s="25"/>
      <c r="V3180" s="25"/>
      <c r="W3180" s="25"/>
      <c r="X3180" s="25"/>
      <c r="Y3180" s="25"/>
      <c r="Z3180" s="25"/>
    </row>
    <row r="3181" spans="1:26" ht="52.5" customHeight="1" x14ac:dyDescent="0.25">
      <c r="A3181" s="25" t="str">
        <f ca="1">IFERROR(__xludf.DUMMYFUNCTION("""COMPUTED_VALUE"""),"Gesti179")</f>
        <v>Gesti179</v>
      </c>
      <c r="B3181" s="25"/>
      <c r="C3181" s="55"/>
      <c r="D3181" s="25" t="str">
        <f ca="1">IFERROR(__xludf.DUMMYFUNCTION("""COMPUTED_VALUE"""),"Gestión_Pública")</f>
        <v>Gestión_Pública</v>
      </c>
      <c r="E3181" s="25"/>
      <c r="F3181" s="25"/>
      <c r="G3181" s="25"/>
      <c r="H3181" s="25"/>
      <c r="I3181" s="25"/>
      <c r="J3181" s="55"/>
      <c r="K3181" s="25" t="str">
        <f ca="1">IFERROR(__xludf.DUMMYFUNCTION("""COMPUTED_VALUE"""),"Definir fecha")</f>
        <v>Definir fecha</v>
      </c>
      <c r="L3181" s="62"/>
      <c r="M3181" s="25"/>
      <c r="N3181" s="25"/>
      <c r="O3181" s="25">
        <f t="shared" si="0"/>
        <v>0</v>
      </c>
      <c r="P3181" s="25" t="str">
        <f t="shared" si="2"/>
        <v/>
      </c>
      <c r="Q3181" s="25" t="str">
        <f ca="1">IFERROR(__xludf.DUMMYFUNCTION("""COMPUTED_VALUE"""),"Sin defenir")</f>
        <v>Sin defenir</v>
      </c>
      <c r="R3181" s="25"/>
      <c r="S3181" s="55"/>
      <c r="T3181" s="56"/>
      <c r="U3181" s="25"/>
      <c r="V3181" s="25"/>
      <c r="W3181" s="25"/>
      <c r="X3181" s="25"/>
      <c r="Y3181" s="25"/>
      <c r="Z3181" s="25"/>
    </row>
    <row r="3182" spans="1:26" ht="52.5" customHeight="1" x14ac:dyDescent="0.25">
      <c r="A3182" s="25" t="str">
        <f ca="1">IFERROR(__xludf.DUMMYFUNCTION("""COMPUTED_VALUE"""),"Gesti180")</f>
        <v>Gesti180</v>
      </c>
      <c r="B3182" s="25"/>
      <c r="C3182" s="55"/>
      <c r="D3182" s="25" t="str">
        <f ca="1">IFERROR(__xludf.DUMMYFUNCTION("""COMPUTED_VALUE"""),"Gestión_Pública")</f>
        <v>Gestión_Pública</v>
      </c>
      <c r="E3182" s="25"/>
      <c r="F3182" s="25"/>
      <c r="G3182" s="25"/>
      <c r="H3182" s="25"/>
      <c r="I3182" s="25"/>
      <c r="J3182" s="55"/>
      <c r="K3182" s="25" t="str">
        <f ca="1">IFERROR(__xludf.DUMMYFUNCTION("""COMPUTED_VALUE"""),"Definir fecha")</f>
        <v>Definir fecha</v>
      </c>
      <c r="L3182" s="62"/>
      <c r="M3182" s="25"/>
      <c r="N3182" s="25"/>
      <c r="O3182" s="25">
        <f t="shared" si="0"/>
        <v>0</v>
      </c>
      <c r="P3182" s="25" t="str">
        <f t="shared" si="2"/>
        <v/>
      </c>
      <c r="Q3182" s="25" t="str">
        <f ca="1">IFERROR(__xludf.DUMMYFUNCTION("""COMPUTED_VALUE"""),"Sin defenir")</f>
        <v>Sin defenir</v>
      </c>
      <c r="R3182" s="25"/>
      <c r="S3182" s="55"/>
      <c r="T3182" s="56"/>
      <c r="U3182" s="25"/>
      <c r="V3182" s="25"/>
      <c r="W3182" s="25"/>
      <c r="X3182" s="25"/>
      <c r="Y3182" s="25"/>
      <c r="Z3182" s="25"/>
    </row>
    <row r="3183" spans="1:26" ht="52.5" customHeight="1" x14ac:dyDescent="0.25">
      <c r="A3183" s="25" t="str">
        <f ca="1">IFERROR(__xludf.DUMMYFUNCTION("""COMPUTED_VALUE"""),"Gesti181")</f>
        <v>Gesti181</v>
      </c>
      <c r="B3183" s="25"/>
      <c r="C3183" s="55"/>
      <c r="D3183" s="25" t="str">
        <f ca="1">IFERROR(__xludf.DUMMYFUNCTION("""COMPUTED_VALUE"""),"Gestión_Pública")</f>
        <v>Gestión_Pública</v>
      </c>
      <c r="E3183" s="25"/>
      <c r="F3183" s="25"/>
      <c r="G3183" s="25"/>
      <c r="H3183" s="25"/>
      <c r="I3183" s="25"/>
      <c r="J3183" s="55"/>
      <c r="K3183" s="25" t="str">
        <f ca="1">IFERROR(__xludf.DUMMYFUNCTION("""COMPUTED_VALUE"""),"Definir fecha")</f>
        <v>Definir fecha</v>
      </c>
      <c r="L3183" s="62"/>
      <c r="M3183" s="25"/>
      <c r="N3183" s="25"/>
      <c r="O3183" s="25">
        <f t="shared" si="0"/>
        <v>0</v>
      </c>
      <c r="P3183" s="25" t="str">
        <f t="shared" si="2"/>
        <v/>
      </c>
      <c r="Q3183" s="25" t="str">
        <f ca="1">IFERROR(__xludf.DUMMYFUNCTION("""COMPUTED_VALUE"""),"Sin defenir")</f>
        <v>Sin defenir</v>
      </c>
      <c r="R3183" s="25"/>
      <c r="S3183" s="55"/>
      <c r="T3183" s="56"/>
      <c r="U3183" s="25"/>
      <c r="V3183" s="25"/>
      <c r="W3183" s="25"/>
      <c r="X3183" s="25"/>
      <c r="Y3183" s="25"/>
      <c r="Z3183" s="25"/>
    </row>
    <row r="3184" spans="1:26" ht="52.5" customHeight="1" x14ac:dyDescent="0.25">
      <c r="A3184" s="25" t="str">
        <f ca="1">IFERROR(__xludf.DUMMYFUNCTION("""COMPUTED_VALUE"""),"Gesti182")</f>
        <v>Gesti182</v>
      </c>
      <c r="B3184" s="25"/>
      <c r="C3184" s="55"/>
      <c r="D3184" s="25" t="str">
        <f ca="1">IFERROR(__xludf.DUMMYFUNCTION("""COMPUTED_VALUE"""),"Gestión_Pública")</f>
        <v>Gestión_Pública</v>
      </c>
      <c r="E3184" s="25"/>
      <c r="F3184" s="25"/>
      <c r="G3184" s="25"/>
      <c r="H3184" s="25"/>
      <c r="I3184" s="25"/>
      <c r="J3184" s="55"/>
      <c r="K3184" s="25" t="str">
        <f ca="1">IFERROR(__xludf.DUMMYFUNCTION("""COMPUTED_VALUE"""),"Definir fecha")</f>
        <v>Definir fecha</v>
      </c>
      <c r="L3184" s="62"/>
      <c r="M3184" s="25"/>
      <c r="N3184" s="25"/>
      <c r="O3184" s="25">
        <f t="shared" si="0"/>
        <v>0</v>
      </c>
      <c r="P3184" s="25" t="str">
        <f t="shared" si="2"/>
        <v/>
      </c>
      <c r="Q3184" s="25" t="str">
        <f ca="1">IFERROR(__xludf.DUMMYFUNCTION("""COMPUTED_VALUE"""),"Sin defenir")</f>
        <v>Sin defenir</v>
      </c>
      <c r="R3184" s="25"/>
      <c r="S3184" s="55"/>
      <c r="T3184" s="56"/>
      <c r="U3184" s="25"/>
      <c r="V3184" s="25"/>
      <c r="W3184" s="25"/>
      <c r="X3184" s="25"/>
      <c r="Y3184" s="25"/>
      <c r="Z3184" s="25"/>
    </row>
    <row r="3185" spans="1:26" ht="52.5" customHeight="1" x14ac:dyDescent="0.25">
      <c r="A3185" s="25" t="str">
        <f ca="1">IFERROR(__xludf.DUMMYFUNCTION("""COMPUTED_VALUE"""),"Gesti183")</f>
        <v>Gesti183</v>
      </c>
      <c r="B3185" s="25"/>
      <c r="C3185" s="55"/>
      <c r="D3185" s="25" t="str">
        <f ca="1">IFERROR(__xludf.DUMMYFUNCTION("""COMPUTED_VALUE"""),"Gestión_Pública")</f>
        <v>Gestión_Pública</v>
      </c>
      <c r="E3185" s="25"/>
      <c r="F3185" s="25"/>
      <c r="G3185" s="25"/>
      <c r="H3185" s="25"/>
      <c r="I3185" s="25"/>
      <c r="J3185" s="55"/>
      <c r="K3185" s="25" t="str">
        <f ca="1">IFERROR(__xludf.DUMMYFUNCTION("""COMPUTED_VALUE"""),"Definir fecha")</f>
        <v>Definir fecha</v>
      </c>
      <c r="L3185" s="62"/>
      <c r="M3185" s="25"/>
      <c r="N3185" s="25"/>
      <c r="O3185" s="25">
        <f t="shared" si="0"/>
        <v>0</v>
      </c>
      <c r="P3185" s="25" t="str">
        <f t="shared" si="2"/>
        <v/>
      </c>
      <c r="Q3185" s="25" t="str">
        <f ca="1">IFERROR(__xludf.DUMMYFUNCTION("""COMPUTED_VALUE"""),"Sin defenir")</f>
        <v>Sin defenir</v>
      </c>
      <c r="R3185" s="25"/>
      <c r="S3185" s="55"/>
      <c r="T3185" s="56"/>
      <c r="U3185" s="25"/>
      <c r="V3185" s="25"/>
      <c r="W3185" s="25"/>
      <c r="X3185" s="25"/>
      <c r="Y3185" s="25"/>
      <c r="Z3185" s="25"/>
    </row>
    <row r="3186" spans="1:26" ht="52.5" customHeight="1" x14ac:dyDescent="0.25">
      <c r="A3186" s="25" t="str">
        <f ca="1">IFERROR(__xludf.DUMMYFUNCTION("""COMPUTED_VALUE"""),"Gesti184")</f>
        <v>Gesti184</v>
      </c>
      <c r="B3186" s="25"/>
      <c r="C3186" s="55"/>
      <c r="D3186" s="25" t="str">
        <f ca="1">IFERROR(__xludf.DUMMYFUNCTION("""COMPUTED_VALUE"""),"Gestión_Pública")</f>
        <v>Gestión_Pública</v>
      </c>
      <c r="E3186" s="25"/>
      <c r="F3186" s="25"/>
      <c r="G3186" s="25"/>
      <c r="H3186" s="25"/>
      <c r="I3186" s="25"/>
      <c r="J3186" s="55"/>
      <c r="K3186" s="25" t="str">
        <f ca="1">IFERROR(__xludf.DUMMYFUNCTION("""COMPUTED_VALUE"""),"Definir fecha")</f>
        <v>Definir fecha</v>
      </c>
      <c r="L3186" s="62"/>
      <c r="M3186" s="25"/>
      <c r="N3186" s="25"/>
      <c r="O3186" s="25">
        <f t="shared" si="0"/>
        <v>0</v>
      </c>
      <c r="P3186" s="25" t="str">
        <f t="shared" si="2"/>
        <v/>
      </c>
      <c r="Q3186" s="25" t="str">
        <f ca="1">IFERROR(__xludf.DUMMYFUNCTION("""COMPUTED_VALUE"""),"Sin defenir")</f>
        <v>Sin defenir</v>
      </c>
      <c r="R3186" s="25"/>
      <c r="S3186" s="55"/>
      <c r="T3186" s="56"/>
      <c r="U3186" s="25"/>
      <c r="V3186" s="25"/>
      <c r="W3186" s="25"/>
      <c r="X3186" s="25"/>
      <c r="Y3186" s="25"/>
      <c r="Z3186" s="25"/>
    </row>
    <row r="3187" spans="1:26" ht="52.5" customHeight="1" x14ac:dyDescent="0.25">
      <c r="A3187" s="25" t="str">
        <f ca="1">IFERROR(__xludf.DUMMYFUNCTION("""COMPUTED_VALUE"""),"Gesti185")</f>
        <v>Gesti185</v>
      </c>
      <c r="B3187" s="25"/>
      <c r="C3187" s="55"/>
      <c r="D3187" s="25" t="str">
        <f ca="1">IFERROR(__xludf.DUMMYFUNCTION("""COMPUTED_VALUE"""),"Gestión_Pública")</f>
        <v>Gestión_Pública</v>
      </c>
      <c r="E3187" s="25"/>
      <c r="F3187" s="25"/>
      <c r="G3187" s="25"/>
      <c r="H3187" s="25"/>
      <c r="I3187" s="25"/>
      <c r="J3187" s="55"/>
      <c r="K3187" s="25" t="str">
        <f ca="1">IFERROR(__xludf.DUMMYFUNCTION("""COMPUTED_VALUE"""),"Definir fecha")</f>
        <v>Definir fecha</v>
      </c>
      <c r="L3187" s="62"/>
      <c r="M3187" s="25"/>
      <c r="N3187" s="25"/>
      <c r="O3187" s="25">
        <f t="shared" si="0"/>
        <v>0</v>
      </c>
      <c r="P3187" s="25" t="str">
        <f t="shared" si="2"/>
        <v/>
      </c>
      <c r="Q3187" s="25" t="str">
        <f ca="1">IFERROR(__xludf.DUMMYFUNCTION("""COMPUTED_VALUE"""),"Sin defenir")</f>
        <v>Sin defenir</v>
      </c>
      <c r="R3187" s="25"/>
      <c r="S3187" s="55"/>
      <c r="T3187" s="56"/>
      <c r="U3187" s="25"/>
      <c r="V3187" s="25"/>
      <c r="W3187" s="25"/>
      <c r="X3187" s="25"/>
      <c r="Y3187" s="25"/>
      <c r="Z3187" s="25"/>
    </row>
    <row r="3188" spans="1:26" ht="52.5" customHeight="1" x14ac:dyDescent="0.25">
      <c r="A3188" s="25" t="str">
        <f ca="1">IFERROR(__xludf.DUMMYFUNCTION("""COMPUTED_VALUE"""),"Gesti186")</f>
        <v>Gesti186</v>
      </c>
      <c r="B3188" s="25"/>
      <c r="C3188" s="55"/>
      <c r="D3188" s="25" t="str">
        <f ca="1">IFERROR(__xludf.DUMMYFUNCTION("""COMPUTED_VALUE"""),"Gestión_Pública")</f>
        <v>Gestión_Pública</v>
      </c>
      <c r="E3188" s="25"/>
      <c r="F3188" s="25"/>
      <c r="G3188" s="25"/>
      <c r="H3188" s="25"/>
      <c r="I3188" s="25"/>
      <c r="J3188" s="55"/>
      <c r="K3188" s="25" t="str">
        <f ca="1">IFERROR(__xludf.DUMMYFUNCTION("""COMPUTED_VALUE"""),"Definir fecha")</f>
        <v>Definir fecha</v>
      </c>
      <c r="L3188" s="62"/>
      <c r="M3188" s="25"/>
      <c r="N3188" s="25"/>
      <c r="O3188" s="25">
        <f t="shared" si="0"/>
        <v>0</v>
      </c>
      <c r="P3188" s="25" t="str">
        <f t="shared" si="2"/>
        <v/>
      </c>
      <c r="Q3188" s="25" t="str">
        <f ca="1">IFERROR(__xludf.DUMMYFUNCTION("""COMPUTED_VALUE"""),"Sin defenir")</f>
        <v>Sin defenir</v>
      </c>
      <c r="R3188" s="25"/>
      <c r="S3188" s="55"/>
      <c r="T3188" s="56"/>
      <c r="U3188" s="25"/>
      <c r="V3188" s="25"/>
      <c r="W3188" s="25"/>
      <c r="X3188" s="25"/>
      <c r="Y3188" s="25"/>
      <c r="Z3188" s="25"/>
    </row>
    <row r="3189" spans="1:26" ht="52.5" customHeight="1" x14ac:dyDescent="0.25">
      <c r="A3189" s="25" t="str">
        <f ca="1">IFERROR(__xludf.DUMMYFUNCTION("""COMPUTED_VALUE"""),"Gesti187")</f>
        <v>Gesti187</v>
      </c>
      <c r="B3189" s="25"/>
      <c r="C3189" s="55"/>
      <c r="D3189" s="25" t="str">
        <f ca="1">IFERROR(__xludf.DUMMYFUNCTION("""COMPUTED_VALUE"""),"Gestión_Pública")</f>
        <v>Gestión_Pública</v>
      </c>
      <c r="E3189" s="25"/>
      <c r="F3189" s="25"/>
      <c r="G3189" s="25"/>
      <c r="H3189" s="25"/>
      <c r="I3189" s="25"/>
      <c r="J3189" s="55"/>
      <c r="K3189" s="25" t="str">
        <f ca="1">IFERROR(__xludf.DUMMYFUNCTION("""COMPUTED_VALUE"""),"Definir fecha")</f>
        <v>Definir fecha</v>
      </c>
      <c r="L3189" s="62"/>
      <c r="M3189" s="25"/>
      <c r="N3189" s="25"/>
      <c r="O3189" s="25">
        <f t="shared" si="0"/>
        <v>0</v>
      </c>
      <c r="P3189" s="25" t="str">
        <f t="shared" si="2"/>
        <v/>
      </c>
      <c r="Q3189" s="25" t="str">
        <f ca="1">IFERROR(__xludf.DUMMYFUNCTION("""COMPUTED_VALUE"""),"Sin defenir")</f>
        <v>Sin defenir</v>
      </c>
      <c r="R3189" s="25"/>
      <c r="S3189" s="55"/>
      <c r="T3189" s="56"/>
      <c r="U3189" s="25"/>
      <c r="V3189" s="25"/>
      <c r="W3189" s="25"/>
      <c r="X3189" s="25"/>
      <c r="Y3189" s="25"/>
      <c r="Z3189" s="25"/>
    </row>
    <row r="3190" spans="1:26" ht="52.5" customHeight="1" x14ac:dyDescent="0.25">
      <c r="A3190" s="25" t="str">
        <f ca="1">IFERROR(__xludf.DUMMYFUNCTION("""COMPUTED_VALUE"""),"Gesti188")</f>
        <v>Gesti188</v>
      </c>
      <c r="B3190" s="25"/>
      <c r="C3190" s="55"/>
      <c r="D3190" s="25" t="str">
        <f ca="1">IFERROR(__xludf.DUMMYFUNCTION("""COMPUTED_VALUE"""),"Gestión_Pública")</f>
        <v>Gestión_Pública</v>
      </c>
      <c r="E3190" s="25"/>
      <c r="F3190" s="25"/>
      <c r="G3190" s="25"/>
      <c r="H3190" s="25"/>
      <c r="I3190" s="25"/>
      <c r="J3190" s="55"/>
      <c r="K3190" s="25" t="str">
        <f ca="1">IFERROR(__xludf.DUMMYFUNCTION("""COMPUTED_VALUE"""),"Definir fecha")</f>
        <v>Definir fecha</v>
      </c>
      <c r="L3190" s="62"/>
      <c r="M3190" s="25"/>
      <c r="N3190" s="25"/>
      <c r="O3190" s="25">
        <f t="shared" si="0"/>
        <v>0</v>
      </c>
      <c r="P3190" s="25" t="str">
        <f t="shared" si="2"/>
        <v/>
      </c>
      <c r="Q3190" s="25" t="str">
        <f ca="1">IFERROR(__xludf.DUMMYFUNCTION("""COMPUTED_VALUE"""),"Sin defenir")</f>
        <v>Sin defenir</v>
      </c>
      <c r="R3190" s="25"/>
      <c r="S3190" s="55"/>
      <c r="T3190" s="56"/>
      <c r="U3190" s="25"/>
      <c r="V3190" s="25"/>
      <c r="W3190" s="25"/>
      <c r="X3190" s="25"/>
      <c r="Y3190" s="25"/>
      <c r="Z3190" s="25"/>
    </row>
    <row r="3191" spans="1:26" ht="52.5" customHeight="1" x14ac:dyDescent="0.25">
      <c r="A3191" s="25" t="str">
        <f ca="1">IFERROR(__xludf.DUMMYFUNCTION("""COMPUTED_VALUE"""),"Gesti189")</f>
        <v>Gesti189</v>
      </c>
      <c r="B3191" s="25"/>
      <c r="C3191" s="55"/>
      <c r="D3191" s="25" t="str">
        <f ca="1">IFERROR(__xludf.DUMMYFUNCTION("""COMPUTED_VALUE"""),"Gestión_Pública")</f>
        <v>Gestión_Pública</v>
      </c>
      <c r="E3191" s="25"/>
      <c r="F3191" s="25"/>
      <c r="G3191" s="25"/>
      <c r="H3191" s="25"/>
      <c r="I3191" s="25"/>
      <c r="J3191" s="55"/>
      <c r="K3191" s="25" t="str">
        <f ca="1">IFERROR(__xludf.DUMMYFUNCTION("""COMPUTED_VALUE"""),"Definir fecha")</f>
        <v>Definir fecha</v>
      </c>
      <c r="L3191" s="62"/>
      <c r="M3191" s="25"/>
      <c r="N3191" s="25"/>
      <c r="O3191" s="25">
        <f t="shared" si="0"/>
        <v>0</v>
      </c>
      <c r="P3191" s="25" t="str">
        <f t="shared" si="2"/>
        <v/>
      </c>
      <c r="Q3191" s="25" t="str">
        <f ca="1">IFERROR(__xludf.DUMMYFUNCTION("""COMPUTED_VALUE"""),"Sin defenir")</f>
        <v>Sin defenir</v>
      </c>
      <c r="R3191" s="25"/>
      <c r="S3191" s="55"/>
      <c r="T3191" s="56"/>
      <c r="U3191" s="25"/>
      <c r="V3191" s="25"/>
      <c r="W3191" s="25"/>
      <c r="X3191" s="25"/>
      <c r="Y3191" s="25"/>
      <c r="Z3191" s="25"/>
    </row>
    <row r="3192" spans="1:26" ht="52.5" customHeight="1" x14ac:dyDescent="0.25">
      <c r="A3192" s="25" t="str">
        <f ca="1">IFERROR(__xludf.DUMMYFUNCTION("""COMPUTED_VALUE"""),"Gesti190")</f>
        <v>Gesti190</v>
      </c>
      <c r="B3192" s="25"/>
      <c r="C3192" s="55"/>
      <c r="D3192" s="25" t="str">
        <f ca="1">IFERROR(__xludf.DUMMYFUNCTION("""COMPUTED_VALUE"""),"Gestión_Pública")</f>
        <v>Gestión_Pública</v>
      </c>
      <c r="E3192" s="25"/>
      <c r="F3192" s="25"/>
      <c r="G3192" s="25"/>
      <c r="H3192" s="25"/>
      <c r="I3192" s="25"/>
      <c r="J3192" s="55"/>
      <c r="K3192" s="25" t="str">
        <f ca="1">IFERROR(__xludf.DUMMYFUNCTION("""COMPUTED_VALUE"""),"Definir fecha")</f>
        <v>Definir fecha</v>
      </c>
      <c r="L3192" s="62"/>
      <c r="M3192" s="25"/>
      <c r="N3192" s="25"/>
      <c r="O3192" s="25">
        <f t="shared" si="0"/>
        <v>0</v>
      </c>
      <c r="P3192" s="25" t="str">
        <f t="shared" si="2"/>
        <v/>
      </c>
      <c r="Q3192" s="25" t="str">
        <f ca="1">IFERROR(__xludf.DUMMYFUNCTION("""COMPUTED_VALUE"""),"Sin defenir")</f>
        <v>Sin defenir</v>
      </c>
      <c r="R3192" s="25"/>
      <c r="S3192" s="55"/>
      <c r="T3192" s="56"/>
      <c r="U3192" s="25"/>
      <c r="V3192" s="25"/>
      <c r="W3192" s="25"/>
      <c r="X3192" s="25"/>
      <c r="Y3192" s="25"/>
      <c r="Z3192" s="25"/>
    </row>
    <row r="3193" spans="1:26" ht="52.5" customHeight="1" x14ac:dyDescent="0.25">
      <c r="A3193" s="25" t="str">
        <f ca="1">IFERROR(__xludf.DUMMYFUNCTION("""COMPUTED_VALUE"""),"Gesti191")</f>
        <v>Gesti191</v>
      </c>
      <c r="B3193" s="25"/>
      <c r="C3193" s="55"/>
      <c r="D3193" s="25" t="str">
        <f ca="1">IFERROR(__xludf.DUMMYFUNCTION("""COMPUTED_VALUE"""),"Gestión_Pública")</f>
        <v>Gestión_Pública</v>
      </c>
      <c r="E3193" s="25"/>
      <c r="F3193" s="25"/>
      <c r="G3193" s="25"/>
      <c r="H3193" s="25"/>
      <c r="I3193" s="25"/>
      <c r="J3193" s="55"/>
      <c r="K3193" s="25" t="str">
        <f ca="1">IFERROR(__xludf.DUMMYFUNCTION("""COMPUTED_VALUE"""),"Definir fecha")</f>
        <v>Definir fecha</v>
      </c>
      <c r="L3193" s="62"/>
      <c r="M3193" s="25"/>
      <c r="N3193" s="25"/>
      <c r="O3193" s="25">
        <f t="shared" si="0"/>
        <v>0</v>
      </c>
      <c r="P3193" s="25" t="str">
        <f t="shared" si="2"/>
        <v/>
      </c>
      <c r="Q3193" s="25" t="str">
        <f ca="1">IFERROR(__xludf.DUMMYFUNCTION("""COMPUTED_VALUE"""),"Sin defenir")</f>
        <v>Sin defenir</v>
      </c>
      <c r="R3193" s="25"/>
      <c r="S3193" s="55"/>
      <c r="T3193" s="56"/>
      <c r="U3193" s="25"/>
      <c r="V3193" s="25"/>
      <c r="W3193" s="25"/>
      <c r="X3193" s="25"/>
      <c r="Y3193" s="25"/>
      <c r="Z3193" s="25"/>
    </row>
    <row r="3194" spans="1:26" ht="52.5" customHeight="1" x14ac:dyDescent="0.25">
      <c r="A3194" s="25" t="str">
        <f ca="1">IFERROR(__xludf.DUMMYFUNCTION("""COMPUTED_VALUE"""),"Gesti192")</f>
        <v>Gesti192</v>
      </c>
      <c r="B3194" s="25"/>
      <c r="C3194" s="55"/>
      <c r="D3194" s="25" t="str">
        <f ca="1">IFERROR(__xludf.DUMMYFUNCTION("""COMPUTED_VALUE"""),"Gestión_Pública")</f>
        <v>Gestión_Pública</v>
      </c>
      <c r="E3194" s="25"/>
      <c r="F3194" s="25"/>
      <c r="G3194" s="25"/>
      <c r="H3194" s="25"/>
      <c r="I3194" s="25"/>
      <c r="J3194" s="55"/>
      <c r="K3194" s="25" t="str">
        <f ca="1">IFERROR(__xludf.DUMMYFUNCTION("""COMPUTED_VALUE"""),"Definir fecha")</f>
        <v>Definir fecha</v>
      </c>
      <c r="L3194" s="62"/>
      <c r="M3194" s="25"/>
      <c r="N3194" s="25"/>
      <c r="O3194" s="25">
        <f t="shared" si="0"/>
        <v>0</v>
      </c>
      <c r="P3194" s="25" t="str">
        <f t="shared" si="2"/>
        <v/>
      </c>
      <c r="Q3194" s="25" t="str">
        <f ca="1">IFERROR(__xludf.DUMMYFUNCTION("""COMPUTED_VALUE"""),"Sin defenir")</f>
        <v>Sin defenir</v>
      </c>
      <c r="R3194" s="25"/>
      <c r="S3194" s="55"/>
      <c r="T3194" s="56"/>
      <c r="U3194" s="25"/>
      <c r="V3194" s="25"/>
      <c r="W3194" s="25"/>
      <c r="X3194" s="25"/>
      <c r="Y3194" s="25"/>
      <c r="Z3194" s="25"/>
    </row>
    <row r="3195" spans="1:26" ht="52.5" customHeight="1" x14ac:dyDescent="0.25">
      <c r="A3195" s="25" t="str">
        <f ca="1">IFERROR(__xludf.DUMMYFUNCTION("""COMPUTED_VALUE"""),"Gesti193")</f>
        <v>Gesti193</v>
      </c>
      <c r="B3195" s="25"/>
      <c r="C3195" s="55"/>
      <c r="D3195" s="25" t="str">
        <f ca="1">IFERROR(__xludf.DUMMYFUNCTION("""COMPUTED_VALUE"""),"Gestión_Pública")</f>
        <v>Gestión_Pública</v>
      </c>
      <c r="E3195" s="25"/>
      <c r="F3195" s="25"/>
      <c r="G3195" s="25"/>
      <c r="H3195" s="25"/>
      <c r="I3195" s="25"/>
      <c r="J3195" s="55"/>
      <c r="K3195" s="25" t="str">
        <f ca="1">IFERROR(__xludf.DUMMYFUNCTION("""COMPUTED_VALUE"""),"Definir fecha")</f>
        <v>Definir fecha</v>
      </c>
      <c r="L3195" s="62"/>
      <c r="M3195" s="25"/>
      <c r="N3195" s="25"/>
      <c r="O3195" s="25">
        <f t="shared" si="0"/>
        <v>0</v>
      </c>
      <c r="P3195" s="25" t="str">
        <f t="shared" si="2"/>
        <v/>
      </c>
      <c r="Q3195" s="25" t="str">
        <f ca="1">IFERROR(__xludf.DUMMYFUNCTION("""COMPUTED_VALUE"""),"Sin defenir")</f>
        <v>Sin defenir</v>
      </c>
      <c r="R3195" s="25"/>
      <c r="S3195" s="55"/>
      <c r="T3195" s="56"/>
      <c r="U3195" s="25"/>
      <c r="V3195" s="25"/>
      <c r="W3195" s="25"/>
      <c r="X3195" s="25"/>
      <c r="Y3195" s="25"/>
      <c r="Z3195" s="25"/>
    </row>
    <row r="3196" spans="1:26" ht="52.5" customHeight="1" x14ac:dyDescent="0.25">
      <c r="A3196" s="25" t="str">
        <f ca="1">IFERROR(__xludf.DUMMYFUNCTION("""COMPUTED_VALUE"""),"Gesti194")</f>
        <v>Gesti194</v>
      </c>
      <c r="B3196" s="25"/>
      <c r="C3196" s="55"/>
      <c r="D3196" s="25" t="str">
        <f ca="1">IFERROR(__xludf.DUMMYFUNCTION("""COMPUTED_VALUE"""),"Gestión_Pública")</f>
        <v>Gestión_Pública</v>
      </c>
      <c r="E3196" s="25"/>
      <c r="F3196" s="25"/>
      <c r="G3196" s="25"/>
      <c r="H3196" s="25"/>
      <c r="I3196" s="25"/>
      <c r="J3196" s="55"/>
      <c r="K3196" s="25" t="str">
        <f ca="1">IFERROR(__xludf.DUMMYFUNCTION("""COMPUTED_VALUE"""),"Definir fecha")</f>
        <v>Definir fecha</v>
      </c>
      <c r="L3196" s="62"/>
      <c r="M3196" s="25"/>
      <c r="N3196" s="25"/>
      <c r="O3196" s="25">
        <f t="shared" si="0"/>
        <v>0</v>
      </c>
      <c r="P3196" s="25" t="str">
        <f t="shared" si="2"/>
        <v/>
      </c>
      <c r="Q3196" s="25" t="str">
        <f ca="1">IFERROR(__xludf.DUMMYFUNCTION("""COMPUTED_VALUE"""),"Sin defenir")</f>
        <v>Sin defenir</v>
      </c>
      <c r="R3196" s="25"/>
      <c r="S3196" s="55"/>
      <c r="T3196" s="56"/>
      <c r="U3196" s="25"/>
      <c r="V3196" s="25"/>
      <c r="W3196" s="25"/>
      <c r="X3196" s="25"/>
      <c r="Y3196" s="25"/>
      <c r="Z3196" s="25"/>
    </row>
    <row r="3197" spans="1:26" ht="52.5" customHeight="1" x14ac:dyDescent="0.25">
      <c r="A3197" s="25" t="str">
        <f ca="1">IFERROR(__xludf.DUMMYFUNCTION("""COMPUTED_VALUE"""),"Gesti195")</f>
        <v>Gesti195</v>
      </c>
      <c r="B3197" s="25"/>
      <c r="C3197" s="55"/>
      <c r="D3197" s="25" t="str">
        <f ca="1">IFERROR(__xludf.DUMMYFUNCTION("""COMPUTED_VALUE"""),"Gestión_Pública")</f>
        <v>Gestión_Pública</v>
      </c>
      <c r="E3197" s="25"/>
      <c r="F3197" s="25"/>
      <c r="G3197" s="25"/>
      <c r="H3197" s="25"/>
      <c r="I3197" s="25"/>
      <c r="J3197" s="55"/>
      <c r="K3197" s="25" t="str">
        <f ca="1">IFERROR(__xludf.DUMMYFUNCTION("""COMPUTED_VALUE"""),"Definir fecha")</f>
        <v>Definir fecha</v>
      </c>
      <c r="L3197" s="62"/>
      <c r="M3197" s="25"/>
      <c r="N3197" s="25"/>
      <c r="O3197" s="25">
        <f t="shared" si="0"/>
        <v>0</v>
      </c>
      <c r="P3197" s="25" t="str">
        <f t="shared" si="2"/>
        <v/>
      </c>
      <c r="Q3197" s="25" t="str">
        <f ca="1">IFERROR(__xludf.DUMMYFUNCTION("""COMPUTED_VALUE"""),"Sin defenir")</f>
        <v>Sin defenir</v>
      </c>
      <c r="R3197" s="25"/>
      <c r="S3197" s="55"/>
      <c r="T3197" s="56"/>
      <c r="U3197" s="25"/>
      <c r="V3197" s="25"/>
      <c r="W3197" s="25"/>
      <c r="X3197" s="25"/>
      <c r="Y3197" s="25"/>
      <c r="Z3197" s="25"/>
    </row>
    <row r="3198" spans="1:26" ht="52.5" customHeight="1" x14ac:dyDescent="0.25">
      <c r="A3198" s="25" t="str">
        <f ca="1">IFERROR(__xludf.DUMMYFUNCTION("""COMPUTED_VALUE"""),"Gesti196")</f>
        <v>Gesti196</v>
      </c>
      <c r="B3198" s="25"/>
      <c r="C3198" s="55"/>
      <c r="D3198" s="25" t="str">
        <f ca="1">IFERROR(__xludf.DUMMYFUNCTION("""COMPUTED_VALUE"""),"Gestión_Pública")</f>
        <v>Gestión_Pública</v>
      </c>
      <c r="E3198" s="25"/>
      <c r="F3198" s="25"/>
      <c r="G3198" s="25"/>
      <c r="H3198" s="25"/>
      <c r="I3198" s="25"/>
      <c r="J3198" s="55"/>
      <c r="K3198" s="25" t="str">
        <f ca="1">IFERROR(__xludf.DUMMYFUNCTION("""COMPUTED_VALUE"""),"Definir fecha")</f>
        <v>Definir fecha</v>
      </c>
      <c r="L3198" s="62"/>
      <c r="M3198" s="25"/>
      <c r="N3198" s="25"/>
      <c r="O3198" s="25">
        <f t="shared" si="0"/>
        <v>0</v>
      </c>
      <c r="P3198" s="25" t="str">
        <f t="shared" si="2"/>
        <v/>
      </c>
      <c r="Q3198" s="25" t="str">
        <f ca="1">IFERROR(__xludf.DUMMYFUNCTION("""COMPUTED_VALUE"""),"Sin defenir")</f>
        <v>Sin defenir</v>
      </c>
      <c r="R3198" s="25"/>
      <c r="S3198" s="55"/>
      <c r="T3198" s="56"/>
      <c r="U3198" s="25"/>
      <c r="V3198" s="25"/>
      <c r="W3198" s="25"/>
      <c r="X3198" s="25"/>
      <c r="Y3198" s="25"/>
      <c r="Z3198" s="25"/>
    </row>
    <row r="3199" spans="1:26" ht="52.5" customHeight="1" x14ac:dyDescent="0.25">
      <c r="A3199" s="25" t="str">
        <f ca="1">IFERROR(__xludf.DUMMYFUNCTION("""COMPUTED_VALUE"""),"Gesti197")</f>
        <v>Gesti197</v>
      </c>
      <c r="B3199" s="25"/>
      <c r="C3199" s="55"/>
      <c r="D3199" s="25" t="str">
        <f ca="1">IFERROR(__xludf.DUMMYFUNCTION("""COMPUTED_VALUE"""),"Gestión_Pública")</f>
        <v>Gestión_Pública</v>
      </c>
      <c r="E3199" s="25"/>
      <c r="F3199" s="25"/>
      <c r="G3199" s="25"/>
      <c r="H3199" s="25"/>
      <c r="I3199" s="25"/>
      <c r="J3199" s="55"/>
      <c r="K3199" s="25" t="str">
        <f ca="1">IFERROR(__xludf.DUMMYFUNCTION("""COMPUTED_VALUE"""),"Definir fecha")</f>
        <v>Definir fecha</v>
      </c>
      <c r="L3199" s="62"/>
      <c r="M3199" s="25"/>
      <c r="N3199" s="25"/>
      <c r="O3199" s="25">
        <f t="shared" si="0"/>
        <v>0</v>
      </c>
      <c r="P3199" s="25" t="str">
        <f t="shared" si="2"/>
        <v/>
      </c>
      <c r="Q3199" s="25" t="str">
        <f ca="1">IFERROR(__xludf.DUMMYFUNCTION("""COMPUTED_VALUE"""),"Sin defenir")</f>
        <v>Sin defenir</v>
      </c>
      <c r="R3199" s="25"/>
      <c r="S3199" s="55"/>
      <c r="T3199" s="56"/>
      <c r="U3199" s="25"/>
      <c r="V3199" s="25"/>
      <c r="W3199" s="25"/>
      <c r="X3199" s="25"/>
      <c r="Y3199" s="25"/>
      <c r="Z3199" s="25"/>
    </row>
    <row r="3200" spans="1:26" ht="52.5" customHeight="1" x14ac:dyDescent="0.25">
      <c r="A3200" s="25" t="str">
        <f ca="1">IFERROR(__xludf.DUMMYFUNCTION("""COMPUTED_VALUE"""),"Gesti198")</f>
        <v>Gesti198</v>
      </c>
      <c r="B3200" s="25"/>
      <c r="C3200" s="55"/>
      <c r="D3200" s="25" t="str">
        <f ca="1">IFERROR(__xludf.DUMMYFUNCTION("""COMPUTED_VALUE"""),"Gestión_Pública")</f>
        <v>Gestión_Pública</v>
      </c>
      <c r="E3200" s="25"/>
      <c r="F3200" s="25"/>
      <c r="G3200" s="25"/>
      <c r="H3200" s="25"/>
      <c r="I3200" s="25"/>
      <c r="J3200" s="55"/>
      <c r="K3200" s="25" t="str">
        <f ca="1">IFERROR(__xludf.DUMMYFUNCTION("""COMPUTED_VALUE"""),"Definir fecha")</f>
        <v>Definir fecha</v>
      </c>
      <c r="L3200" s="62"/>
      <c r="M3200" s="25"/>
      <c r="N3200" s="25"/>
      <c r="O3200" s="25">
        <f t="shared" si="0"/>
        <v>0</v>
      </c>
      <c r="P3200" s="25" t="str">
        <f t="shared" si="2"/>
        <v/>
      </c>
      <c r="Q3200" s="25" t="str">
        <f ca="1">IFERROR(__xludf.DUMMYFUNCTION("""COMPUTED_VALUE"""),"Sin defenir")</f>
        <v>Sin defenir</v>
      </c>
      <c r="R3200" s="25"/>
      <c r="S3200" s="55"/>
      <c r="T3200" s="56"/>
      <c r="U3200" s="25"/>
      <c r="V3200" s="25"/>
      <c r="W3200" s="25"/>
      <c r="X3200" s="25"/>
      <c r="Y3200" s="25"/>
      <c r="Z3200" s="25"/>
    </row>
    <row r="3201" spans="1:26" ht="52.5" customHeight="1" x14ac:dyDescent="0.25">
      <c r="A3201" s="25" t="str">
        <f ca="1">IFERROR(__xludf.DUMMYFUNCTION("""COMPUTED_VALUE"""),"Gesti199")</f>
        <v>Gesti199</v>
      </c>
      <c r="B3201" s="25"/>
      <c r="C3201" s="55"/>
      <c r="D3201" s="25" t="str">
        <f ca="1">IFERROR(__xludf.DUMMYFUNCTION("""COMPUTED_VALUE"""),"Gestión_Pública")</f>
        <v>Gestión_Pública</v>
      </c>
      <c r="E3201" s="25"/>
      <c r="F3201" s="25"/>
      <c r="G3201" s="25"/>
      <c r="H3201" s="25"/>
      <c r="I3201" s="25"/>
      <c r="J3201" s="55"/>
      <c r="K3201" s="25" t="str">
        <f ca="1">IFERROR(__xludf.DUMMYFUNCTION("""COMPUTED_VALUE"""),"Definir fecha")</f>
        <v>Definir fecha</v>
      </c>
      <c r="L3201" s="62"/>
      <c r="M3201" s="25"/>
      <c r="N3201" s="25"/>
      <c r="O3201" s="25">
        <f t="shared" si="0"/>
        <v>0</v>
      </c>
      <c r="P3201" s="25" t="str">
        <f t="shared" si="2"/>
        <v/>
      </c>
      <c r="Q3201" s="25" t="str">
        <f ca="1">IFERROR(__xludf.DUMMYFUNCTION("""COMPUTED_VALUE"""),"Sin defenir")</f>
        <v>Sin defenir</v>
      </c>
      <c r="R3201" s="25"/>
      <c r="S3201" s="55"/>
      <c r="T3201" s="56"/>
      <c r="U3201" s="25"/>
      <c r="V3201" s="25"/>
      <c r="W3201" s="25"/>
      <c r="X3201" s="25"/>
      <c r="Y3201" s="25"/>
      <c r="Z3201" s="25"/>
    </row>
    <row r="3202" spans="1:26" ht="52.5" customHeight="1" x14ac:dyDescent="0.25">
      <c r="A3202" s="25" t="str">
        <f ca="1">IFERROR(__xludf.DUMMYFUNCTION("""COMPUTED_VALUE"""),"Gesti200")</f>
        <v>Gesti200</v>
      </c>
      <c r="B3202" s="25"/>
      <c r="C3202" s="55"/>
      <c r="D3202" s="25" t="str">
        <f ca="1">IFERROR(__xludf.DUMMYFUNCTION("""COMPUTED_VALUE"""),"Gestión_Pública")</f>
        <v>Gestión_Pública</v>
      </c>
      <c r="E3202" s="25"/>
      <c r="F3202" s="25"/>
      <c r="G3202" s="25"/>
      <c r="H3202" s="25"/>
      <c r="I3202" s="25"/>
      <c r="J3202" s="55"/>
      <c r="K3202" s="25" t="str">
        <f ca="1">IFERROR(__xludf.DUMMYFUNCTION("""COMPUTED_VALUE"""),"Definir fecha")</f>
        <v>Definir fecha</v>
      </c>
      <c r="L3202" s="62"/>
      <c r="M3202" s="25"/>
      <c r="N3202" s="25"/>
      <c r="O3202" s="25">
        <f t="shared" si="0"/>
        <v>0</v>
      </c>
      <c r="P3202" s="25" t="str">
        <f t="shared" si="2"/>
        <v/>
      </c>
      <c r="Q3202" s="25" t="str">
        <f ca="1">IFERROR(__xludf.DUMMYFUNCTION("""COMPUTED_VALUE"""),"Sin defenir")</f>
        <v>Sin defenir</v>
      </c>
      <c r="R3202" s="25"/>
      <c r="S3202" s="55"/>
      <c r="T3202" s="56"/>
      <c r="U3202" s="25"/>
      <c r="V3202" s="25"/>
      <c r="W3202" s="25"/>
      <c r="X3202" s="25"/>
      <c r="Y3202" s="25"/>
      <c r="Z3202" s="25"/>
    </row>
    <row r="3203" spans="1:26" ht="52.5" customHeight="1" x14ac:dyDescent="0.25">
      <c r="A3203" s="25" t="str">
        <f ca="1">IFERROR(__xludf.DUMMYFUNCTION("""COMPUTED_VALUE"""),"Gesti201")</f>
        <v>Gesti201</v>
      </c>
      <c r="B3203" s="25"/>
      <c r="C3203" s="55"/>
      <c r="D3203" s="25" t="str">
        <f ca="1">IFERROR(__xludf.DUMMYFUNCTION("""COMPUTED_VALUE"""),"Gestión_Pública")</f>
        <v>Gestión_Pública</v>
      </c>
      <c r="E3203" s="25"/>
      <c r="F3203" s="25"/>
      <c r="G3203" s="25"/>
      <c r="H3203" s="25"/>
      <c r="I3203" s="25"/>
      <c r="J3203" s="55"/>
      <c r="K3203" s="25" t="str">
        <f ca="1">IFERROR(__xludf.DUMMYFUNCTION("""COMPUTED_VALUE"""),"Definir fecha")</f>
        <v>Definir fecha</v>
      </c>
      <c r="L3203" s="62"/>
      <c r="M3203" s="25"/>
      <c r="N3203" s="25"/>
      <c r="O3203" s="25">
        <f t="shared" si="0"/>
        <v>0</v>
      </c>
      <c r="P3203" s="25" t="str">
        <f t="shared" si="2"/>
        <v/>
      </c>
      <c r="Q3203" s="25" t="str">
        <f ca="1">IFERROR(__xludf.DUMMYFUNCTION("""COMPUTED_VALUE"""),"Sin defenir")</f>
        <v>Sin defenir</v>
      </c>
      <c r="R3203" s="25"/>
      <c r="S3203" s="55"/>
      <c r="T3203" s="56"/>
      <c r="U3203" s="25"/>
      <c r="V3203" s="25"/>
      <c r="W3203" s="25"/>
      <c r="X3203" s="25"/>
      <c r="Y3203" s="25"/>
      <c r="Z3203" s="25"/>
    </row>
    <row r="3204" spans="1:26" ht="52.5" customHeight="1" x14ac:dyDescent="0.25">
      <c r="A3204" s="25" t="str">
        <f ca="1">IFERROR(__xludf.DUMMYFUNCTION("""COMPUTED_VALUE"""),"Gesti202")</f>
        <v>Gesti202</v>
      </c>
      <c r="B3204" s="25"/>
      <c r="C3204" s="55"/>
      <c r="D3204" s="25" t="str">
        <f ca="1">IFERROR(__xludf.DUMMYFUNCTION("""COMPUTED_VALUE"""),"Gestión_Pública")</f>
        <v>Gestión_Pública</v>
      </c>
      <c r="E3204" s="25"/>
      <c r="F3204" s="25"/>
      <c r="G3204" s="25"/>
      <c r="H3204" s="25"/>
      <c r="I3204" s="25"/>
      <c r="J3204" s="55"/>
      <c r="K3204" s="25" t="str">
        <f ca="1">IFERROR(__xludf.DUMMYFUNCTION("""COMPUTED_VALUE"""),"Definir fecha")</f>
        <v>Definir fecha</v>
      </c>
      <c r="L3204" s="62"/>
      <c r="M3204" s="25"/>
      <c r="N3204" s="25"/>
      <c r="O3204" s="25">
        <f t="shared" si="0"/>
        <v>0</v>
      </c>
      <c r="P3204" s="25" t="str">
        <f t="shared" si="2"/>
        <v/>
      </c>
      <c r="Q3204" s="25" t="str">
        <f ca="1">IFERROR(__xludf.DUMMYFUNCTION("""COMPUTED_VALUE"""),"Sin defenir")</f>
        <v>Sin defenir</v>
      </c>
      <c r="R3204" s="25"/>
      <c r="S3204" s="55"/>
      <c r="T3204" s="56"/>
      <c r="U3204" s="25"/>
      <c r="V3204" s="25"/>
      <c r="W3204" s="25"/>
      <c r="X3204" s="25"/>
      <c r="Y3204" s="25"/>
      <c r="Z3204" s="25"/>
    </row>
    <row r="3205" spans="1:26" ht="52.5" customHeight="1" x14ac:dyDescent="0.25">
      <c r="A3205" s="25" t="str">
        <f ca="1">IFERROR(__xludf.DUMMYFUNCTION("""COMPUTED_VALUE"""),"Gesti203")</f>
        <v>Gesti203</v>
      </c>
      <c r="B3205" s="25"/>
      <c r="C3205" s="55"/>
      <c r="D3205" s="25" t="str">
        <f ca="1">IFERROR(__xludf.DUMMYFUNCTION("""COMPUTED_VALUE"""),"Gestión_Pública")</f>
        <v>Gestión_Pública</v>
      </c>
      <c r="E3205" s="25"/>
      <c r="F3205" s="25"/>
      <c r="G3205" s="25"/>
      <c r="H3205" s="25"/>
      <c r="I3205" s="25"/>
      <c r="J3205" s="55"/>
      <c r="K3205" s="25" t="str">
        <f ca="1">IFERROR(__xludf.DUMMYFUNCTION("""COMPUTED_VALUE"""),"Definir fecha")</f>
        <v>Definir fecha</v>
      </c>
      <c r="L3205" s="62"/>
      <c r="M3205" s="25"/>
      <c r="N3205" s="25"/>
      <c r="O3205" s="25">
        <f t="shared" si="0"/>
        <v>0</v>
      </c>
      <c r="P3205" s="25" t="str">
        <f t="shared" si="2"/>
        <v/>
      </c>
      <c r="Q3205" s="25" t="str">
        <f ca="1">IFERROR(__xludf.DUMMYFUNCTION("""COMPUTED_VALUE"""),"Sin defenir")</f>
        <v>Sin defenir</v>
      </c>
      <c r="R3205" s="25"/>
      <c r="S3205" s="55"/>
      <c r="T3205" s="56"/>
      <c r="U3205" s="25"/>
      <c r="V3205" s="25"/>
      <c r="W3205" s="25"/>
      <c r="X3205" s="25"/>
      <c r="Y3205" s="25"/>
      <c r="Z3205" s="25"/>
    </row>
    <row r="3206" spans="1:26" ht="52.5" customHeight="1" x14ac:dyDescent="0.25">
      <c r="A3206" s="25" t="str">
        <f ca="1">IFERROR(__xludf.DUMMYFUNCTION("""COMPUTED_VALUE"""),"Gesti204")</f>
        <v>Gesti204</v>
      </c>
      <c r="B3206" s="25"/>
      <c r="C3206" s="55"/>
      <c r="D3206" s="25" t="str">
        <f ca="1">IFERROR(__xludf.DUMMYFUNCTION("""COMPUTED_VALUE"""),"Gestión_Pública")</f>
        <v>Gestión_Pública</v>
      </c>
      <c r="E3206" s="25"/>
      <c r="F3206" s="25"/>
      <c r="G3206" s="25"/>
      <c r="H3206" s="25"/>
      <c r="I3206" s="25"/>
      <c r="J3206" s="55"/>
      <c r="K3206" s="25" t="str">
        <f ca="1">IFERROR(__xludf.DUMMYFUNCTION("""COMPUTED_VALUE"""),"Definir fecha")</f>
        <v>Definir fecha</v>
      </c>
      <c r="L3206" s="62"/>
      <c r="M3206" s="25"/>
      <c r="N3206" s="25"/>
      <c r="O3206" s="25">
        <f t="shared" si="0"/>
        <v>0</v>
      </c>
      <c r="P3206" s="25" t="str">
        <f t="shared" si="2"/>
        <v/>
      </c>
      <c r="Q3206" s="25" t="str">
        <f ca="1">IFERROR(__xludf.DUMMYFUNCTION("""COMPUTED_VALUE"""),"Sin defenir")</f>
        <v>Sin defenir</v>
      </c>
      <c r="R3206" s="25"/>
      <c r="S3206" s="55"/>
      <c r="T3206" s="56"/>
      <c r="U3206" s="25"/>
      <c r="V3206" s="25"/>
      <c r="W3206" s="25"/>
      <c r="X3206" s="25"/>
      <c r="Y3206" s="25"/>
      <c r="Z3206" s="25"/>
    </row>
    <row r="3207" spans="1:26" ht="52.5" customHeight="1" x14ac:dyDescent="0.25">
      <c r="A3207" s="25" t="str">
        <f ca="1">IFERROR(__xludf.DUMMYFUNCTION("""COMPUTED_VALUE"""),"Gesti205")</f>
        <v>Gesti205</v>
      </c>
      <c r="B3207" s="25"/>
      <c r="C3207" s="55"/>
      <c r="D3207" s="25" t="str">
        <f ca="1">IFERROR(__xludf.DUMMYFUNCTION("""COMPUTED_VALUE"""),"Gestión_Pública")</f>
        <v>Gestión_Pública</v>
      </c>
      <c r="E3207" s="25"/>
      <c r="F3207" s="25"/>
      <c r="G3207" s="25"/>
      <c r="H3207" s="25"/>
      <c r="I3207" s="25"/>
      <c r="J3207" s="55"/>
      <c r="K3207" s="25" t="str">
        <f ca="1">IFERROR(__xludf.DUMMYFUNCTION("""COMPUTED_VALUE"""),"Definir fecha")</f>
        <v>Definir fecha</v>
      </c>
      <c r="L3207" s="62"/>
      <c r="M3207" s="25"/>
      <c r="N3207" s="25"/>
      <c r="O3207" s="25">
        <f t="shared" si="0"/>
        <v>0</v>
      </c>
      <c r="P3207" s="25" t="str">
        <f t="shared" si="2"/>
        <v/>
      </c>
      <c r="Q3207" s="25" t="str">
        <f ca="1">IFERROR(__xludf.DUMMYFUNCTION("""COMPUTED_VALUE"""),"Sin defenir")</f>
        <v>Sin defenir</v>
      </c>
      <c r="R3207" s="25"/>
      <c r="S3207" s="55"/>
      <c r="T3207" s="56"/>
      <c r="U3207" s="25"/>
      <c r="V3207" s="25"/>
      <c r="W3207" s="25"/>
      <c r="X3207" s="25"/>
      <c r="Y3207" s="25"/>
      <c r="Z3207" s="25"/>
    </row>
    <row r="3208" spans="1:26" ht="52.5" customHeight="1" x14ac:dyDescent="0.25">
      <c r="A3208" s="25" t="str">
        <f ca="1">IFERROR(__xludf.DUMMYFUNCTION("""COMPUTED_VALUE"""),"Gesti206")</f>
        <v>Gesti206</v>
      </c>
      <c r="B3208" s="25"/>
      <c r="C3208" s="55"/>
      <c r="D3208" s="25" t="str">
        <f ca="1">IFERROR(__xludf.DUMMYFUNCTION("""COMPUTED_VALUE"""),"Gestión_Pública")</f>
        <v>Gestión_Pública</v>
      </c>
      <c r="E3208" s="25"/>
      <c r="F3208" s="25"/>
      <c r="G3208" s="25"/>
      <c r="H3208" s="25"/>
      <c r="I3208" s="25"/>
      <c r="J3208" s="55"/>
      <c r="K3208" s="25" t="str">
        <f ca="1">IFERROR(__xludf.DUMMYFUNCTION("""COMPUTED_VALUE"""),"Definir fecha")</f>
        <v>Definir fecha</v>
      </c>
      <c r="L3208" s="62"/>
      <c r="M3208" s="25"/>
      <c r="N3208" s="25"/>
      <c r="O3208" s="25">
        <f t="shared" si="0"/>
        <v>0</v>
      </c>
      <c r="P3208" s="25" t="str">
        <f t="shared" si="2"/>
        <v/>
      </c>
      <c r="Q3208" s="25" t="str">
        <f ca="1">IFERROR(__xludf.DUMMYFUNCTION("""COMPUTED_VALUE"""),"Sin defenir")</f>
        <v>Sin defenir</v>
      </c>
      <c r="R3208" s="25"/>
      <c r="S3208" s="55"/>
      <c r="T3208" s="56"/>
      <c r="U3208" s="25"/>
      <c r="V3208" s="25"/>
      <c r="W3208" s="25"/>
      <c r="X3208" s="25"/>
      <c r="Y3208" s="25"/>
      <c r="Z3208" s="25"/>
    </row>
    <row r="3209" spans="1:26" ht="52.5" customHeight="1" x14ac:dyDescent="0.25">
      <c r="A3209" s="25" t="str">
        <f ca="1">IFERROR(__xludf.DUMMYFUNCTION("""COMPUTED_VALUE"""),"Gesti207")</f>
        <v>Gesti207</v>
      </c>
      <c r="B3209" s="25"/>
      <c r="C3209" s="55"/>
      <c r="D3209" s="25" t="str">
        <f ca="1">IFERROR(__xludf.DUMMYFUNCTION("""COMPUTED_VALUE"""),"Gestión_Pública")</f>
        <v>Gestión_Pública</v>
      </c>
      <c r="E3209" s="25"/>
      <c r="F3209" s="25"/>
      <c r="G3209" s="25"/>
      <c r="H3209" s="25"/>
      <c r="I3209" s="25"/>
      <c r="J3209" s="55"/>
      <c r="K3209" s="25" t="str">
        <f ca="1">IFERROR(__xludf.DUMMYFUNCTION("""COMPUTED_VALUE"""),"Definir fecha")</f>
        <v>Definir fecha</v>
      </c>
      <c r="L3209" s="62"/>
      <c r="M3209" s="25"/>
      <c r="N3209" s="25"/>
      <c r="O3209" s="25">
        <f t="shared" si="0"/>
        <v>0</v>
      </c>
      <c r="P3209" s="25" t="str">
        <f t="shared" si="2"/>
        <v/>
      </c>
      <c r="Q3209" s="25" t="str">
        <f ca="1">IFERROR(__xludf.DUMMYFUNCTION("""COMPUTED_VALUE"""),"Sin defenir")</f>
        <v>Sin defenir</v>
      </c>
      <c r="R3209" s="25"/>
      <c r="S3209" s="55"/>
      <c r="T3209" s="56"/>
      <c r="U3209" s="25"/>
      <c r="V3209" s="25"/>
      <c r="W3209" s="25"/>
      <c r="X3209" s="25"/>
      <c r="Y3209" s="25"/>
      <c r="Z3209" s="25"/>
    </row>
    <row r="3210" spans="1:26" ht="52.5" customHeight="1" x14ac:dyDescent="0.25">
      <c r="A3210" s="25" t="str">
        <f ca="1">IFERROR(__xludf.DUMMYFUNCTION("""COMPUTED_VALUE"""),"Gesti208")</f>
        <v>Gesti208</v>
      </c>
      <c r="B3210" s="25"/>
      <c r="C3210" s="55"/>
      <c r="D3210" s="25" t="str">
        <f ca="1">IFERROR(__xludf.DUMMYFUNCTION("""COMPUTED_VALUE"""),"Gestión_Pública")</f>
        <v>Gestión_Pública</v>
      </c>
      <c r="E3210" s="25"/>
      <c r="F3210" s="25"/>
      <c r="G3210" s="25"/>
      <c r="H3210" s="25"/>
      <c r="I3210" s="25"/>
      <c r="J3210" s="55"/>
      <c r="K3210" s="25" t="str">
        <f ca="1">IFERROR(__xludf.DUMMYFUNCTION("""COMPUTED_VALUE"""),"Definir fecha")</f>
        <v>Definir fecha</v>
      </c>
      <c r="L3210" s="62"/>
      <c r="M3210" s="25"/>
      <c r="N3210" s="25"/>
      <c r="O3210" s="25">
        <f t="shared" si="0"/>
        <v>0</v>
      </c>
      <c r="P3210" s="25" t="str">
        <f t="shared" si="2"/>
        <v/>
      </c>
      <c r="Q3210" s="25" t="str">
        <f ca="1">IFERROR(__xludf.DUMMYFUNCTION("""COMPUTED_VALUE"""),"Sin defenir")</f>
        <v>Sin defenir</v>
      </c>
      <c r="R3210" s="25"/>
      <c r="S3210" s="55"/>
      <c r="T3210" s="56"/>
      <c r="U3210" s="25"/>
      <c r="V3210" s="25"/>
      <c r="W3210" s="25"/>
      <c r="X3210" s="25"/>
      <c r="Y3210" s="25"/>
      <c r="Z3210" s="25"/>
    </row>
    <row r="3211" spans="1:26" ht="52.5" customHeight="1" x14ac:dyDescent="0.25">
      <c r="A3211" s="25" t="str">
        <f ca="1">IFERROR(__xludf.DUMMYFUNCTION("""COMPUTED_VALUE"""),"Gesti209")</f>
        <v>Gesti209</v>
      </c>
      <c r="B3211" s="25"/>
      <c r="C3211" s="55"/>
      <c r="D3211" s="25" t="str">
        <f ca="1">IFERROR(__xludf.DUMMYFUNCTION("""COMPUTED_VALUE"""),"Gestión_Pública")</f>
        <v>Gestión_Pública</v>
      </c>
      <c r="E3211" s="25"/>
      <c r="F3211" s="25"/>
      <c r="G3211" s="25"/>
      <c r="H3211" s="25"/>
      <c r="I3211" s="25"/>
      <c r="J3211" s="55"/>
      <c r="K3211" s="25" t="str">
        <f ca="1">IFERROR(__xludf.DUMMYFUNCTION("""COMPUTED_VALUE"""),"Definir fecha")</f>
        <v>Definir fecha</v>
      </c>
      <c r="L3211" s="62"/>
      <c r="M3211" s="25"/>
      <c r="N3211" s="25"/>
      <c r="O3211" s="25">
        <f t="shared" si="0"/>
        <v>0</v>
      </c>
      <c r="P3211" s="25" t="str">
        <f t="shared" si="2"/>
        <v/>
      </c>
      <c r="Q3211" s="25" t="str">
        <f ca="1">IFERROR(__xludf.DUMMYFUNCTION("""COMPUTED_VALUE"""),"Sin defenir")</f>
        <v>Sin defenir</v>
      </c>
      <c r="R3211" s="25"/>
      <c r="S3211" s="55"/>
      <c r="T3211" s="56"/>
      <c r="U3211" s="25"/>
      <c r="V3211" s="25"/>
      <c r="W3211" s="25"/>
      <c r="X3211" s="25"/>
      <c r="Y3211" s="25"/>
      <c r="Z3211" s="25"/>
    </row>
    <row r="3212" spans="1:26" ht="52.5" customHeight="1" x14ac:dyDescent="0.25">
      <c r="A3212" s="25" t="str">
        <f ca="1">IFERROR(__xludf.DUMMYFUNCTION("""COMPUTED_VALUE"""),"Gesti210")</f>
        <v>Gesti210</v>
      </c>
      <c r="B3212" s="25"/>
      <c r="C3212" s="55"/>
      <c r="D3212" s="25" t="str">
        <f ca="1">IFERROR(__xludf.DUMMYFUNCTION("""COMPUTED_VALUE"""),"Gestión_Pública")</f>
        <v>Gestión_Pública</v>
      </c>
      <c r="E3212" s="25"/>
      <c r="F3212" s="25"/>
      <c r="G3212" s="25"/>
      <c r="H3212" s="25"/>
      <c r="I3212" s="25"/>
      <c r="J3212" s="55"/>
      <c r="K3212" s="25" t="str">
        <f ca="1">IFERROR(__xludf.DUMMYFUNCTION("""COMPUTED_VALUE"""),"Definir fecha")</f>
        <v>Definir fecha</v>
      </c>
      <c r="L3212" s="62"/>
      <c r="M3212" s="25"/>
      <c r="N3212" s="25"/>
      <c r="O3212" s="25">
        <f t="shared" si="0"/>
        <v>0</v>
      </c>
      <c r="P3212" s="25" t="str">
        <f t="shared" si="2"/>
        <v/>
      </c>
      <c r="Q3212" s="25" t="str">
        <f ca="1">IFERROR(__xludf.DUMMYFUNCTION("""COMPUTED_VALUE"""),"Sin defenir")</f>
        <v>Sin defenir</v>
      </c>
      <c r="R3212" s="25"/>
      <c r="S3212" s="55"/>
      <c r="T3212" s="56"/>
      <c r="U3212" s="25"/>
      <c r="V3212" s="25"/>
      <c r="W3212" s="25"/>
      <c r="X3212" s="25"/>
      <c r="Y3212" s="25"/>
      <c r="Z3212" s="25"/>
    </row>
    <row r="3213" spans="1:26" ht="52.5" customHeight="1" x14ac:dyDescent="0.25">
      <c r="A3213" s="25" t="str">
        <f ca="1">IFERROR(__xludf.DUMMYFUNCTION("""COMPUTED_VALUE"""),"Gesti211")</f>
        <v>Gesti211</v>
      </c>
      <c r="B3213" s="25"/>
      <c r="C3213" s="55"/>
      <c r="D3213" s="25" t="str">
        <f ca="1">IFERROR(__xludf.DUMMYFUNCTION("""COMPUTED_VALUE"""),"Gestión_Pública")</f>
        <v>Gestión_Pública</v>
      </c>
      <c r="E3213" s="25"/>
      <c r="F3213" s="25"/>
      <c r="G3213" s="25"/>
      <c r="H3213" s="25"/>
      <c r="I3213" s="25"/>
      <c r="J3213" s="55"/>
      <c r="K3213" s="25" t="str">
        <f ca="1">IFERROR(__xludf.DUMMYFUNCTION("""COMPUTED_VALUE"""),"Definir fecha")</f>
        <v>Definir fecha</v>
      </c>
      <c r="L3213" s="62"/>
      <c r="M3213" s="25"/>
      <c r="N3213" s="25"/>
      <c r="O3213" s="25">
        <f t="shared" si="0"/>
        <v>0</v>
      </c>
      <c r="P3213" s="25" t="str">
        <f t="shared" si="2"/>
        <v/>
      </c>
      <c r="Q3213" s="25" t="str">
        <f ca="1">IFERROR(__xludf.DUMMYFUNCTION("""COMPUTED_VALUE"""),"Sin defenir")</f>
        <v>Sin defenir</v>
      </c>
      <c r="R3213" s="25"/>
      <c r="S3213" s="55"/>
      <c r="T3213" s="56"/>
      <c r="U3213" s="25"/>
      <c r="V3213" s="25"/>
      <c r="W3213" s="25"/>
      <c r="X3213" s="25"/>
      <c r="Y3213" s="25"/>
      <c r="Z3213" s="25"/>
    </row>
    <row r="3214" spans="1:26" ht="52.5" customHeight="1" x14ac:dyDescent="0.25">
      <c r="A3214" s="25" t="str">
        <f ca="1">IFERROR(__xludf.DUMMYFUNCTION("""COMPUTED_VALUE"""),"Gesti212")</f>
        <v>Gesti212</v>
      </c>
      <c r="B3214" s="25"/>
      <c r="C3214" s="55"/>
      <c r="D3214" s="25" t="str">
        <f ca="1">IFERROR(__xludf.DUMMYFUNCTION("""COMPUTED_VALUE"""),"Gestión_Pública")</f>
        <v>Gestión_Pública</v>
      </c>
      <c r="E3214" s="25"/>
      <c r="F3214" s="25"/>
      <c r="G3214" s="25"/>
      <c r="H3214" s="25"/>
      <c r="I3214" s="25"/>
      <c r="J3214" s="55"/>
      <c r="K3214" s="25" t="str">
        <f ca="1">IFERROR(__xludf.DUMMYFUNCTION("""COMPUTED_VALUE"""),"Definir fecha")</f>
        <v>Definir fecha</v>
      </c>
      <c r="L3214" s="62"/>
      <c r="M3214" s="25"/>
      <c r="N3214" s="25"/>
      <c r="O3214" s="25">
        <f t="shared" si="0"/>
        <v>0</v>
      </c>
      <c r="P3214" s="25" t="str">
        <f t="shared" si="2"/>
        <v/>
      </c>
      <c r="Q3214" s="25" t="str">
        <f ca="1">IFERROR(__xludf.DUMMYFUNCTION("""COMPUTED_VALUE"""),"Sin defenir")</f>
        <v>Sin defenir</v>
      </c>
      <c r="R3214" s="25"/>
      <c r="S3214" s="55"/>
      <c r="T3214" s="56"/>
      <c r="U3214" s="25"/>
      <c r="V3214" s="25"/>
      <c r="W3214" s="25"/>
      <c r="X3214" s="25"/>
      <c r="Y3214" s="25"/>
      <c r="Z3214" s="25"/>
    </row>
    <row r="3215" spans="1:26" ht="52.5" customHeight="1" x14ac:dyDescent="0.25">
      <c r="A3215" s="25" t="str">
        <f ca="1">IFERROR(__xludf.DUMMYFUNCTION("""COMPUTED_VALUE"""),"Gesti213")</f>
        <v>Gesti213</v>
      </c>
      <c r="B3215" s="25"/>
      <c r="C3215" s="55"/>
      <c r="D3215" s="25" t="str">
        <f ca="1">IFERROR(__xludf.DUMMYFUNCTION("""COMPUTED_VALUE"""),"Gestión_Pública")</f>
        <v>Gestión_Pública</v>
      </c>
      <c r="E3215" s="25"/>
      <c r="F3215" s="25"/>
      <c r="G3215" s="25"/>
      <c r="H3215" s="25"/>
      <c r="I3215" s="25"/>
      <c r="J3215" s="55"/>
      <c r="K3215" s="25" t="str">
        <f ca="1">IFERROR(__xludf.DUMMYFUNCTION("""COMPUTED_VALUE"""),"Definir fecha")</f>
        <v>Definir fecha</v>
      </c>
      <c r="L3215" s="62"/>
      <c r="M3215" s="25"/>
      <c r="N3215" s="25"/>
      <c r="O3215" s="25">
        <f t="shared" si="0"/>
        <v>0</v>
      </c>
      <c r="P3215" s="25" t="str">
        <f t="shared" si="2"/>
        <v/>
      </c>
      <c r="Q3215" s="25" t="str">
        <f ca="1">IFERROR(__xludf.DUMMYFUNCTION("""COMPUTED_VALUE"""),"Sin defenir")</f>
        <v>Sin defenir</v>
      </c>
      <c r="R3215" s="25"/>
      <c r="S3215" s="55"/>
      <c r="T3215" s="56"/>
      <c r="U3215" s="25"/>
      <c r="V3215" s="25"/>
      <c r="W3215" s="25"/>
      <c r="X3215" s="25"/>
      <c r="Y3215" s="25"/>
      <c r="Z3215" s="25"/>
    </row>
    <row r="3216" spans="1:26" ht="52.5" customHeight="1" x14ac:dyDescent="0.25">
      <c r="A3216" s="25" t="str">
        <f ca="1">IFERROR(__xludf.DUMMYFUNCTION("""COMPUTED_VALUE"""),"Gesti214")</f>
        <v>Gesti214</v>
      </c>
      <c r="B3216" s="25"/>
      <c r="C3216" s="55"/>
      <c r="D3216" s="25" t="str">
        <f ca="1">IFERROR(__xludf.DUMMYFUNCTION("""COMPUTED_VALUE"""),"Gestión_Pública")</f>
        <v>Gestión_Pública</v>
      </c>
      <c r="E3216" s="25"/>
      <c r="F3216" s="25"/>
      <c r="G3216" s="25"/>
      <c r="H3216" s="25"/>
      <c r="I3216" s="25"/>
      <c r="J3216" s="55"/>
      <c r="K3216" s="25" t="str">
        <f ca="1">IFERROR(__xludf.DUMMYFUNCTION("""COMPUTED_VALUE"""),"Definir fecha")</f>
        <v>Definir fecha</v>
      </c>
      <c r="L3216" s="62"/>
      <c r="M3216" s="25"/>
      <c r="N3216" s="25"/>
      <c r="O3216" s="25">
        <f t="shared" si="0"/>
        <v>0</v>
      </c>
      <c r="P3216" s="25" t="str">
        <f t="shared" si="2"/>
        <v/>
      </c>
      <c r="Q3216" s="25" t="str">
        <f ca="1">IFERROR(__xludf.DUMMYFUNCTION("""COMPUTED_VALUE"""),"Sin defenir")</f>
        <v>Sin defenir</v>
      </c>
      <c r="R3216" s="25"/>
      <c r="S3216" s="55"/>
      <c r="T3216" s="56"/>
      <c r="U3216" s="25"/>
      <c r="V3216" s="25"/>
      <c r="W3216" s="25"/>
      <c r="X3216" s="25"/>
      <c r="Y3216" s="25"/>
      <c r="Z3216" s="25"/>
    </row>
    <row r="3217" spans="1:26" ht="52.5" customHeight="1" x14ac:dyDescent="0.25">
      <c r="A3217" s="25" t="str">
        <f ca="1">IFERROR(__xludf.DUMMYFUNCTION("""COMPUTED_VALUE"""),"Gesti215")</f>
        <v>Gesti215</v>
      </c>
      <c r="B3217" s="25"/>
      <c r="C3217" s="55"/>
      <c r="D3217" s="25" t="str">
        <f ca="1">IFERROR(__xludf.DUMMYFUNCTION("""COMPUTED_VALUE"""),"Gestión_Pública")</f>
        <v>Gestión_Pública</v>
      </c>
      <c r="E3217" s="25"/>
      <c r="F3217" s="25"/>
      <c r="G3217" s="25"/>
      <c r="H3217" s="25"/>
      <c r="I3217" s="25"/>
      <c r="J3217" s="55"/>
      <c r="K3217" s="25" t="str">
        <f ca="1">IFERROR(__xludf.DUMMYFUNCTION("""COMPUTED_VALUE"""),"Definir fecha")</f>
        <v>Definir fecha</v>
      </c>
      <c r="L3217" s="62"/>
      <c r="M3217" s="25"/>
      <c r="N3217" s="25"/>
      <c r="O3217" s="25">
        <f t="shared" si="0"/>
        <v>0</v>
      </c>
      <c r="P3217" s="25" t="str">
        <f t="shared" si="2"/>
        <v/>
      </c>
      <c r="Q3217" s="25" t="str">
        <f ca="1">IFERROR(__xludf.DUMMYFUNCTION("""COMPUTED_VALUE"""),"Sin defenir")</f>
        <v>Sin defenir</v>
      </c>
      <c r="R3217" s="25"/>
      <c r="S3217" s="55"/>
      <c r="T3217" s="56"/>
      <c r="U3217" s="25"/>
      <c r="V3217" s="25"/>
      <c r="W3217" s="25"/>
      <c r="X3217" s="25"/>
      <c r="Y3217" s="25"/>
      <c r="Z3217" s="25"/>
    </row>
    <row r="3218" spans="1:26" ht="52.5" customHeight="1" x14ac:dyDescent="0.25">
      <c r="A3218" s="25" t="str">
        <f ca="1">IFERROR(__xludf.DUMMYFUNCTION("""COMPUTED_VALUE"""),"Gesti216")</f>
        <v>Gesti216</v>
      </c>
      <c r="B3218" s="25"/>
      <c r="C3218" s="55"/>
      <c r="D3218" s="25" t="str">
        <f ca="1">IFERROR(__xludf.DUMMYFUNCTION("""COMPUTED_VALUE"""),"Gestión_Pública")</f>
        <v>Gestión_Pública</v>
      </c>
      <c r="E3218" s="25"/>
      <c r="F3218" s="25"/>
      <c r="G3218" s="25"/>
      <c r="H3218" s="25"/>
      <c r="I3218" s="25"/>
      <c r="J3218" s="55"/>
      <c r="K3218" s="25" t="str">
        <f ca="1">IFERROR(__xludf.DUMMYFUNCTION("""COMPUTED_VALUE"""),"Definir fecha")</f>
        <v>Definir fecha</v>
      </c>
      <c r="L3218" s="62"/>
      <c r="M3218" s="25"/>
      <c r="N3218" s="25"/>
      <c r="O3218" s="25">
        <f t="shared" si="0"/>
        <v>0</v>
      </c>
      <c r="P3218" s="25" t="str">
        <f t="shared" si="2"/>
        <v/>
      </c>
      <c r="Q3218" s="25" t="str">
        <f ca="1">IFERROR(__xludf.DUMMYFUNCTION("""COMPUTED_VALUE"""),"Sin defenir")</f>
        <v>Sin defenir</v>
      </c>
      <c r="R3218" s="25"/>
      <c r="S3218" s="55"/>
      <c r="T3218" s="56"/>
      <c r="U3218" s="25"/>
      <c r="V3218" s="25"/>
      <c r="W3218" s="25"/>
      <c r="X3218" s="25"/>
      <c r="Y3218" s="25"/>
      <c r="Z3218" s="25"/>
    </row>
    <row r="3219" spans="1:26" ht="52.5" customHeight="1" x14ac:dyDescent="0.25">
      <c r="A3219" s="25" t="str">
        <f ca="1">IFERROR(__xludf.DUMMYFUNCTION("""COMPUTED_VALUE"""),"Gesti217")</f>
        <v>Gesti217</v>
      </c>
      <c r="B3219" s="25"/>
      <c r="C3219" s="55"/>
      <c r="D3219" s="25" t="str">
        <f ca="1">IFERROR(__xludf.DUMMYFUNCTION("""COMPUTED_VALUE"""),"Gestión_Pública")</f>
        <v>Gestión_Pública</v>
      </c>
      <c r="E3219" s="25"/>
      <c r="F3219" s="25"/>
      <c r="G3219" s="25"/>
      <c r="H3219" s="25"/>
      <c r="I3219" s="25"/>
      <c r="J3219" s="55"/>
      <c r="K3219" s="25" t="str">
        <f ca="1">IFERROR(__xludf.DUMMYFUNCTION("""COMPUTED_VALUE"""),"Definir fecha")</f>
        <v>Definir fecha</v>
      </c>
      <c r="L3219" s="62"/>
      <c r="M3219" s="25"/>
      <c r="N3219" s="25"/>
      <c r="O3219" s="25">
        <f t="shared" si="0"/>
        <v>0</v>
      </c>
      <c r="P3219" s="25" t="str">
        <f t="shared" si="2"/>
        <v/>
      </c>
      <c r="Q3219" s="25" t="str">
        <f ca="1">IFERROR(__xludf.DUMMYFUNCTION("""COMPUTED_VALUE"""),"Sin defenir")</f>
        <v>Sin defenir</v>
      </c>
      <c r="R3219" s="25"/>
      <c r="S3219" s="55"/>
      <c r="T3219" s="56"/>
      <c r="U3219" s="25"/>
      <c r="V3219" s="25"/>
      <c r="W3219" s="25"/>
      <c r="X3219" s="25"/>
      <c r="Y3219" s="25"/>
      <c r="Z3219" s="25"/>
    </row>
    <row r="3220" spans="1:26" ht="52.5" customHeight="1" x14ac:dyDescent="0.25">
      <c r="A3220" s="25" t="str">
        <f ca="1">IFERROR(__xludf.DUMMYFUNCTION("""COMPUTED_VALUE"""),"Gesti218")</f>
        <v>Gesti218</v>
      </c>
      <c r="B3220" s="25"/>
      <c r="C3220" s="55"/>
      <c r="D3220" s="25" t="str">
        <f ca="1">IFERROR(__xludf.DUMMYFUNCTION("""COMPUTED_VALUE"""),"Gestión_Pública")</f>
        <v>Gestión_Pública</v>
      </c>
      <c r="E3220" s="25"/>
      <c r="F3220" s="25"/>
      <c r="G3220" s="25"/>
      <c r="H3220" s="25"/>
      <c r="I3220" s="25"/>
      <c r="J3220" s="55"/>
      <c r="K3220" s="25" t="str">
        <f ca="1">IFERROR(__xludf.DUMMYFUNCTION("""COMPUTED_VALUE"""),"Definir fecha")</f>
        <v>Definir fecha</v>
      </c>
      <c r="L3220" s="62"/>
      <c r="M3220" s="25"/>
      <c r="N3220" s="25"/>
      <c r="O3220" s="25">
        <f t="shared" si="0"/>
        <v>0</v>
      </c>
      <c r="P3220" s="25" t="str">
        <f t="shared" si="2"/>
        <v/>
      </c>
      <c r="Q3220" s="25" t="str">
        <f ca="1">IFERROR(__xludf.DUMMYFUNCTION("""COMPUTED_VALUE"""),"Sin defenir")</f>
        <v>Sin defenir</v>
      </c>
      <c r="R3220" s="25"/>
      <c r="S3220" s="55"/>
      <c r="T3220" s="56"/>
      <c r="U3220" s="25"/>
      <c r="V3220" s="25"/>
      <c r="W3220" s="25"/>
      <c r="X3220" s="25"/>
      <c r="Y3220" s="25"/>
      <c r="Z3220" s="25"/>
    </row>
    <row r="3221" spans="1:26" ht="52.5" customHeight="1" x14ac:dyDescent="0.25">
      <c r="A3221" s="25" t="str">
        <f ca="1">IFERROR(__xludf.DUMMYFUNCTION("""COMPUTED_VALUE"""),"Gesti219")</f>
        <v>Gesti219</v>
      </c>
      <c r="B3221" s="25"/>
      <c r="C3221" s="55"/>
      <c r="D3221" s="25" t="str">
        <f ca="1">IFERROR(__xludf.DUMMYFUNCTION("""COMPUTED_VALUE"""),"Gestión_Pública")</f>
        <v>Gestión_Pública</v>
      </c>
      <c r="E3221" s="25"/>
      <c r="F3221" s="25"/>
      <c r="G3221" s="25"/>
      <c r="H3221" s="25"/>
      <c r="I3221" s="25"/>
      <c r="J3221" s="55"/>
      <c r="K3221" s="25" t="str">
        <f ca="1">IFERROR(__xludf.DUMMYFUNCTION("""COMPUTED_VALUE"""),"Definir fecha")</f>
        <v>Definir fecha</v>
      </c>
      <c r="L3221" s="62"/>
      <c r="M3221" s="25"/>
      <c r="N3221" s="25"/>
      <c r="O3221" s="25">
        <f t="shared" si="0"/>
        <v>0</v>
      </c>
      <c r="P3221" s="25" t="str">
        <f t="shared" si="2"/>
        <v/>
      </c>
      <c r="Q3221" s="25" t="str">
        <f ca="1">IFERROR(__xludf.DUMMYFUNCTION("""COMPUTED_VALUE"""),"Sin defenir")</f>
        <v>Sin defenir</v>
      </c>
      <c r="R3221" s="25"/>
      <c r="S3221" s="55"/>
      <c r="T3221" s="56"/>
      <c r="U3221" s="25"/>
      <c r="V3221" s="25"/>
      <c r="W3221" s="25"/>
      <c r="X3221" s="25"/>
      <c r="Y3221" s="25"/>
      <c r="Z3221" s="25"/>
    </row>
    <row r="3222" spans="1:26" ht="52.5" customHeight="1" x14ac:dyDescent="0.25">
      <c r="A3222" s="25" t="str">
        <f ca="1">IFERROR(__xludf.DUMMYFUNCTION("""COMPUTED_VALUE"""),"Gesti220")</f>
        <v>Gesti220</v>
      </c>
      <c r="B3222" s="25"/>
      <c r="C3222" s="55"/>
      <c r="D3222" s="25" t="str">
        <f ca="1">IFERROR(__xludf.DUMMYFUNCTION("""COMPUTED_VALUE"""),"Gestión_Pública")</f>
        <v>Gestión_Pública</v>
      </c>
      <c r="E3222" s="25"/>
      <c r="F3222" s="25"/>
      <c r="G3222" s="25"/>
      <c r="H3222" s="25"/>
      <c r="I3222" s="25"/>
      <c r="J3222" s="55"/>
      <c r="K3222" s="25" t="str">
        <f ca="1">IFERROR(__xludf.DUMMYFUNCTION("""COMPUTED_VALUE"""),"Definir fecha")</f>
        <v>Definir fecha</v>
      </c>
      <c r="L3222" s="62"/>
      <c r="M3222" s="25"/>
      <c r="N3222" s="25"/>
      <c r="O3222" s="25">
        <f t="shared" si="0"/>
        <v>0</v>
      </c>
      <c r="P3222" s="25" t="str">
        <f t="shared" si="2"/>
        <v/>
      </c>
      <c r="Q3222" s="25" t="str">
        <f ca="1">IFERROR(__xludf.DUMMYFUNCTION("""COMPUTED_VALUE"""),"Sin defenir")</f>
        <v>Sin defenir</v>
      </c>
      <c r="R3222" s="25"/>
      <c r="S3222" s="55"/>
      <c r="T3222" s="56"/>
      <c r="U3222" s="25"/>
      <c r="V3222" s="25"/>
      <c r="W3222" s="25"/>
      <c r="X3222" s="25"/>
      <c r="Y3222" s="25"/>
      <c r="Z3222" s="25"/>
    </row>
    <row r="3223" spans="1:26" ht="52.5" customHeight="1" x14ac:dyDescent="0.25">
      <c r="A3223" s="25" t="str">
        <f ca="1">IFERROR(__xludf.DUMMYFUNCTION("""COMPUTED_VALUE"""),"Gesti221")</f>
        <v>Gesti221</v>
      </c>
      <c r="B3223" s="25"/>
      <c r="C3223" s="55"/>
      <c r="D3223" s="25" t="str">
        <f ca="1">IFERROR(__xludf.DUMMYFUNCTION("""COMPUTED_VALUE"""),"Gestión_Pública")</f>
        <v>Gestión_Pública</v>
      </c>
      <c r="E3223" s="25"/>
      <c r="F3223" s="25"/>
      <c r="G3223" s="25"/>
      <c r="H3223" s="25"/>
      <c r="I3223" s="25"/>
      <c r="J3223" s="55"/>
      <c r="K3223" s="25" t="str">
        <f ca="1">IFERROR(__xludf.DUMMYFUNCTION("""COMPUTED_VALUE"""),"Definir fecha")</f>
        <v>Definir fecha</v>
      </c>
      <c r="L3223" s="62"/>
      <c r="M3223" s="25"/>
      <c r="N3223" s="25"/>
      <c r="O3223" s="25">
        <f t="shared" si="0"/>
        <v>0</v>
      </c>
      <c r="P3223" s="25" t="str">
        <f t="shared" si="2"/>
        <v/>
      </c>
      <c r="Q3223" s="25" t="str">
        <f ca="1">IFERROR(__xludf.DUMMYFUNCTION("""COMPUTED_VALUE"""),"Sin defenir")</f>
        <v>Sin defenir</v>
      </c>
      <c r="R3223" s="25"/>
      <c r="S3223" s="55"/>
      <c r="T3223" s="56"/>
      <c r="U3223" s="25"/>
      <c r="V3223" s="25"/>
      <c r="W3223" s="25"/>
      <c r="X3223" s="25"/>
      <c r="Y3223" s="25"/>
      <c r="Z3223" s="25"/>
    </row>
    <row r="3224" spans="1:26" ht="52.5" customHeight="1" x14ac:dyDescent="0.25">
      <c r="A3224" s="25" t="str">
        <f ca="1">IFERROR(__xludf.DUMMYFUNCTION("""COMPUTED_VALUE"""),"Gesti222")</f>
        <v>Gesti222</v>
      </c>
      <c r="B3224" s="25"/>
      <c r="C3224" s="55"/>
      <c r="D3224" s="25" t="str">
        <f ca="1">IFERROR(__xludf.DUMMYFUNCTION("""COMPUTED_VALUE"""),"Gestión_Pública")</f>
        <v>Gestión_Pública</v>
      </c>
      <c r="E3224" s="25"/>
      <c r="F3224" s="25"/>
      <c r="G3224" s="25"/>
      <c r="H3224" s="25"/>
      <c r="I3224" s="25"/>
      <c r="J3224" s="55"/>
      <c r="K3224" s="25" t="str">
        <f ca="1">IFERROR(__xludf.DUMMYFUNCTION("""COMPUTED_VALUE"""),"Definir fecha")</f>
        <v>Definir fecha</v>
      </c>
      <c r="L3224" s="62"/>
      <c r="M3224" s="25"/>
      <c r="N3224" s="25"/>
      <c r="O3224" s="25">
        <f t="shared" si="0"/>
        <v>0</v>
      </c>
      <c r="P3224" s="25" t="str">
        <f t="shared" si="2"/>
        <v/>
      </c>
      <c r="Q3224" s="25" t="str">
        <f ca="1">IFERROR(__xludf.DUMMYFUNCTION("""COMPUTED_VALUE"""),"Sin defenir")</f>
        <v>Sin defenir</v>
      </c>
      <c r="R3224" s="25"/>
      <c r="S3224" s="55"/>
      <c r="T3224" s="56"/>
      <c r="U3224" s="25"/>
      <c r="V3224" s="25"/>
      <c r="W3224" s="25"/>
      <c r="X3224" s="25"/>
      <c r="Y3224" s="25"/>
      <c r="Z3224" s="25"/>
    </row>
    <row r="3225" spans="1:26" ht="52.5" customHeight="1" x14ac:dyDescent="0.25">
      <c r="A3225" s="25" t="str">
        <f ca="1">IFERROR(__xludf.DUMMYFUNCTION("""COMPUTED_VALUE"""),"Gesti223")</f>
        <v>Gesti223</v>
      </c>
      <c r="B3225" s="25"/>
      <c r="C3225" s="55"/>
      <c r="D3225" s="25" t="str">
        <f ca="1">IFERROR(__xludf.DUMMYFUNCTION("""COMPUTED_VALUE"""),"Gestión_Pública")</f>
        <v>Gestión_Pública</v>
      </c>
      <c r="E3225" s="25"/>
      <c r="F3225" s="25"/>
      <c r="G3225" s="25"/>
      <c r="H3225" s="25"/>
      <c r="I3225" s="25"/>
      <c r="J3225" s="55"/>
      <c r="K3225" s="25" t="str">
        <f ca="1">IFERROR(__xludf.DUMMYFUNCTION("""COMPUTED_VALUE"""),"Definir fecha")</f>
        <v>Definir fecha</v>
      </c>
      <c r="L3225" s="62"/>
      <c r="M3225" s="25"/>
      <c r="N3225" s="25"/>
      <c r="O3225" s="25">
        <f t="shared" si="0"/>
        <v>0</v>
      </c>
      <c r="P3225" s="25" t="str">
        <f t="shared" si="2"/>
        <v/>
      </c>
      <c r="Q3225" s="25" t="str">
        <f ca="1">IFERROR(__xludf.DUMMYFUNCTION("""COMPUTED_VALUE"""),"Sin defenir")</f>
        <v>Sin defenir</v>
      </c>
      <c r="R3225" s="25"/>
      <c r="S3225" s="55"/>
      <c r="T3225" s="56"/>
      <c r="U3225" s="25"/>
      <c r="V3225" s="25"/>
      <c r="W3225" s="25"/>
      <c r="X3225" s="25"/>
      <c r="Y3225" s="25"/>
      <c r="Z3225" s="25"/>
    </row>
    <row r="3226" spans="1:26" ht="52.5" customHeight="1" x14ac:dyDescent="0.25">
      <c r="A3226" s="25" t="str">
        <f ca="1">IFERROR(__xludf.DUMMYFUNCTION("""COMPUTED_VALUE"""),"Gesti224")</f>
        <v>Gesti224</v>
      </c>
      <c r="B3226" s="25"/>
      <c r="C3226" s="55"/>
      <c r="D3226" s="25" t="str">
        <f ca="1">IFERROR(__xludf.DUMMYFUNCTION("""COMPUTED_VALUE"""),"Gestión_Pública")</f>
        <v>Gestión_Pública</v>
      </c>
      <c r="E3226" s="25"/>
      <c r="F3226" s="25"/>
      <c r="G3226" s="25"/>
      <c r="H3226" s="25"/>
      <c r="I3226" s="25"/>
      <c r="J3226" s="55"/>
      <c r="K3226" s="25" t="str">
        <f ca="1">IFERROR(__xludf.DUMMYFUNCTION("""COMPUTED_VALUE"""),"Definir fecha")</f>
        <v>Definir fecha</v>
      </c>
      <c r="L3226" s="62"/>
      <c r="M3226" s="25"/>
      <c r="N3226" s="25"/>
      <c r="O3226" s="25">
        <f t="shared" si="0"/>
        <v>0</v>
      </c>
      <c r="P3226" s="25" t="str">
        <f t="shared" si="2"/>
        <v/>
      </c>
      <c r="Q3226" s="25" t="str">
        <f ca="1">IFERROR(__xludf.DUMMYFUNCTION("""COMPUTED_VALUE"""),"Sin defenir")</f>
        <v>Sin defenir</v>
      </c>
      <c r="R3226" s="25"/>
      <c r="S3226" s="55"/>
      <c r="T3226" s="56"/>
      <c r="U3226" s="25"/>
      <c r="V3226" s="25"/>
      <c r="W3226" s="25"/>
      <c r="X3226" s="25"/>
      <c r="Y3226" s="25"/>
      <c r="Z3226" s="25"/>
    </row>
    <row r="3227" spans="1:26" ht="52.5" customHeight="1" x14ac:dyDescent="0.25">
      <c r="A3227" s="25" t="str">
        <f ca="1">IFERROR(__xludf.DUMMYFUNCTION("""COMPUTED_VALUE"""),"Gesti225")</f>
        <v>Gesti225</v>
      </c>
      <c r="B3227" s="25"/>
      <c r="C3227" s="55"/>
      <c r="D3227" s="25" t="str">
        <f ca="1">IFERROR(__xludf.DUMMYFUNCTION("""COMPUTED_VALUE"""),"Gestión_Pública")</f>
        <v>Gestión_Pública</v>
      </c>
      <c r="E3227" s="25"/>
      <c r="F3227" s="25"/>
      <c r="G3227" s="25"/>
      <c r="H3227" s="25"/>
      <c r="I3227" s="25"/>
      <c r="J3227" s="55"/>
      <c r="K3227" s="25" t="str">
        <f ca="1">IFERROR(__xludf.DUMMYFUNCTION("""COMPUTED_VALUE"""),"Definir fecha")</f>
        <v>Definir fecha</v>
      </c>
      <c r="L3227" s="62"/>
      <c r="M3227" s="25"/>
      <c r="N3227" s="25"/>
      <c r="O3227" s="25">
        <f t="shared" si="0"/>
        <v>0</v>
      </c>
      <c r="P3227" s="25" t="str">
        <f t="shared" si="2"/>
        <v/>
      </c>
      <c r="Q3227" s="25" t="str">
        <f ca="1">IFERROR(__xludf.DUMMYFUNCTION("""COMPUTED_VALUE"""),"Sin defenir")</f>
        <v>Sin defenir</v>
      </c>
      <c r="R3227" s="25"/>
      <c r="S3227" s="55"/>
      <c r="T3227" s="56"/>
      <c r="U3227" s="25"/>
      <c r="V3227" s="25"/>
      <c r="W3227" s="25"/>
      <c r="X3227" s="25"/>
      <c r="Y3227" s="25"/>
      <c r="Z3227" s="25"/>
    </row>
    <row r="3228" spans="1:26" ht="52.5" customHeight="1" x14ac:dyDescent="0.25">
      <c r="A3228" s="25" t="str">
        <f ca="1">IFERROR(__xludf.DUMMYFUNCTION("""COMPUTED_VALUE"""),"Gesti226")</f>
        <v>Gesti226</v>
      </c>
      <c r="B3228" s="25"/>
      <c r="C3228" s="55"/>
      <c r="D3228" s="25" t="str">
        <f ca="1">IFERROR(__xludf.DUMMYFUNCTION("""COMPUTED_VALUE"""),"Gestión_Pública")</f>
        <v>Gestión_Pública</v>
      </c>
      <c r="E3228" s="25"/>
      <c r="F3228" s="25"/>
      <c r="G3228" s="25"/>
      <c r="H3228" s="25"/>
      <c r="I3228" s="25"/>
      <c r="J3228" s="55"/>
      <c r="K3228" s="25" t="str">
        <f ca="1">IFERROR(__xludf.DUMMYFUNCTION("""COMPUTED_VALUE"""),"Definir fecha")</f>
        <v>Definir fecha</v>
      </c>
      <c r="L3228" s="62"/>
      <c r="M3228" s="25"/>
      <c r="N3228" s="25"/>
      <c r="O3228" s="25">
        <f t="shared" si="0"/>
        <v>0</v>
      </c>
      <c r="P3228" s="25" t="str">
        <f t="shared" si="2"/>
        <v/>
      </c>
      <c r="Q3228" s="25" t="str">
        <f ca="1">IFERROR(__xludf.DUMMYFUNCTION("""COMPUTED_VALUE"""),"Sin defenir")</f>
        <v>Sin defenir</v>
      </c>
      <c r="R3228" s="25"/>
      <c r="S3228" s="55"/>
      <c r="T3228" s="56"/>
      <c r="U3228" s="25"/>
      <c r="V3228" s="25"/>
      <c r="W3228" s="25"/>
      <c r="X3228" s="25"/>
      <c r="Y3228" s="25"/>
      <c r="Z3228" s="25"/>
    </row>
    <row r="3229" spans="1:26" ht="52.5" customHeight="1" x14ac:dyDescent="0.25">
      <c r="A3229" s="25" t="str">
        <f ca="1">IFERROR(__xludf.DUMMYFUNCTION("""COMPUTED_VALUE"""),"Gesti227")</f>
        <v>Gesti227</v>
      </c>
      <c r="B3229" s="25"/>
      <c r="C3229" s="55"/>
      <c r="D3229" s="25" t="str">
        <f ca="1">IFERROR(__xludf.DUMMYFUNCTION("""COMPUTED_VALUE"""),"Gestión_Pública")</f>
        <v>Gestión_Pública</v>
      </c>
      <c r="E3229" s="25"/>
      <c r="F3229" s="25"/>
      <c r="G3229" s="25"/>
      <c r="H3229" s="25"/>
      <c r="I3229" s="25"/>
      <c r="J3229" s="55"/>
      <c r="K3229" s="25" t="str">
        <f ca="1">IFERROR(__xludf.DUMMYFUNCTION("""COMPUTED_VALUE"""),"Definir fecha")</f>
        <v>Definir fecha</v>
      </c>
      <c r="L3229" s="62"/>
      <c r="M3229" s="25"/>
      <c r="N3229" s="25"/>
      <c r="O3229" s="25">
        <f t="shared" si="0"/>
        <v>0</v>
      </c>
      <c r="P3229" s="25" t="str">
        <f t="shared" si="2"/>
        <v/>
      </c>
      <c r="Q3229" s="25" t="str">
        <f ca="1">IFERROR(__xludf.DUMMYFUNCTION("""COMPUTED_VALUE"""),"Sin defenir")</f>
        <v>Sin defenir</v>
      </c>
      <c r="R3229" s="25"/>
      <c r="S3229" s="55"/>
      <c r="T3229" s="56"/>
      <c r="U3229" s="25"/>
      <c r="V3229" s="25"/>
      <c r="W3229" s="25"/>
      <c r="X3229" s="25"/>
      <c r="Y3229" s="25"/>
      <c r="Z3229" s="25"/>
    </row>
    <row r="3230" spans="1:26" ht="52.5" customHeight="1" x14ac:dyDescent="0.25">
      <c r="A3230" s="25" t="str">
        <f ca="1">IFERROR(__xludf.DUMMYFUNCTION("""COMPUTED_VALUE"""),"Gesti228")</f>
        <v>Gesti228</v>
      </c>
      <c r="B3230" s="25"/>
      <c r="C3230" s="55"/>
      <c r="D3230" s="25" t="str">
        <f ca="1">IFERROR(__xludf.DUMMYFUNCTION("""COMPUTED_VALUE"""),"Gestión_Pública")</f>
        <v>Gestión_Pública</v>
      </c>
      <c r="E3230" s="25"/>
      <c r="F3230" s="25"/>
      <c r="G3230" s="25"/>
      <c r="H3230" s="25"/>
      <c r="I3230" s="25"/>
      <c r="J3230" s="55"/>
      <c r="K3230" s="25" t="str">
        <f ca="1">IFERROR(__xludf.DUMMYFUNCTION("""COMPUTED_VALUE"""),"Definir fecha")</f>
        <v>Definir fecha</v>
      </c>
      <c r="L3230" s="62"/>
      <c r="M3230" s="25"/>
      <c r="N3230" s="25"/>
      <c r="O3230" s="25">
        <f t="shared" si="0"/>
        <v>0</v>
      </c>
      <c r="P3230" s="25" t="str">
        <f t="shared" si="2"/>
        <v/>
      </c>
      <c r="Q3230" s="25" t="str">
        <f ca="1">IFERROR(__xludf.DUMMYFUNCTION("""COMPUTED_VALUE"""),"Sin defenir")</f>
        <v>Sin defenir</v>
      </c>
      <c r="R3230" s="25"/>
      <c r="S3230" s="55"/>
      <c r="T3230" s="56"/>
      <c r="U3230" s="25"/>
      <c r="V3230" s="25"/>
      <c r="W3230" s="25"/>
      <c r="X3230" s="25"/>
      <c r="Y3230" s="25"/>
      <c r="Z3230" s="25"/>
    </row>
    <row r="3231" spans="1:26" ht="52.5" customHeight="1" x14ac:dyDescent="0.25">
      <c r="A3231" s="25" t="str">
        <f ca="1">IFERROR(__xludf.DUMMYFUNCTION("""COMPUTED_VALUE"""),"Gesti229")</f>
        <v>Gesti229</v>
      </c>
      <c r="B3231" s="25"/>
      <c r="C3231" s="55"/>
      <c r="D3231" s="25" t="str">
        <f ca="1">IFERROR(__xludf.DUMMYFUNCTION("""COMPUTED_VALUE"""),"Gestión_Pública")</f>
        <v>Gestión_Pública</v>
      </c>
      <c r="E3231" s="25"/>
      <c r="F3231" s="25"/>
      <c r="G3231" s="25"/>
      <c r="H3231" s="25"/>
      <c r="I3231" s="25"/>
      <c r="J3231" s="55"/>
      <c r="K3231" s="25" t="str">
        <f ca="1">IFERROR(__xludf.DUMMYFUNCTION("""COMPUTED_VALUE"""),"Definir fecha")</f>
        <v>Definir fecha</v>
      </c>
      <c r="L3231" s="62"/>
      <c r="M3231" s="25"/>
      <c r="N3231" s="25"/>
      <c r="O3231" s="25">
        <f t="shared" si="0"/>
        <v>0</v>
      </c>
      <c r="P3231" s="25" t="str">
        <f t="shared" si="2"/>
        <v/>
      </c>
      <c r="Q3231" s="25" t="str">
        <f ca="1">IFERROR(__xludf.DUMMYFUNCTION("""COMPUTED_VALUE"""),"Sin defenir")</f>
        <v>Sin defenir</v>
      </c>
      <c r="R3231" s="25"/>
      <c r="S3231" s="55"/>
      <c r="T3231" s="56"/>
      <c r="U3231" s="25"/>
      <c r="V3231" s="25"/>
      <c r="W3231" s="25"/>
      <c r="X3231" s="25"/>
      <c r="Y3231" s="25"/>
      <c r="Z3231" s="25"/>
    </row>
    <row r="3232" spans="1:26" ht="52.5" customHeight="1" x14ac:dyDescent="0.25">
      <c r="A3232" s="25" t="str">
        <f ca="1">IFERROR(__xludf.DUMMYFUNCTION("""COMPUTED_VALUE"""),"Gesti230")</f>
        <v>Gesti230</v>
      </c>
      <c r="B3232" s="25"/>
      <c r="C3232" s="55"/>
      <c r="D3232" s="25" t="str">
        <f ca="1">IFERROR(__xludf.DUMMYFUNCTION("""COMPUTED_VALUE"""),"Gestión_Pública")</f>
        <v>Gestión_Pública</v>
      </c>
      <c r="E3232" s="25"/>
      <c r="F3232" s="25"/>
      <c r="G3232" s="25"/>
      <c r="H3232" s="25"/>
      <c r="I3232" s="25"/>
      <c r="J3232" s="55"/>
      <c r="K3232" s="25" t="str">
        <f ca="1">IFERROR(__xludf.DUMMYFUNCTION("""COMPUTED_VALUE"""),"Definir fecha")</f>
        <v>Definir fecha</v>
      </c>
      <c r="L3232" s="62"/>
      <c r="M3232" s="25"/>
      <c r="N3232" s="25"/>
      <c r="O3232" s="25">
        <f t="shared" si="0"/>
        <v>0</v>
      </c>
      <c r="P3232" s="25" t="str">
        <f t="shared" si="2"/>
        <v/>
      </c>
      <c r="Q3232" s="25" t="str">
        <f ca="1">IFERROR(__xludf.DUMMYFUNCTION("""COMPUTED_VALUE"""),"Sin defenir")</f>
        <v>Sin defenir</v>
      </c>
      <c r="R3232" s="25"/>
      <c r="S3232" s="55"/>
      <c r="T3232" s="56"/>
      <c r="U3232" s="25"/>
      <c r="V3232" s="25"/>
      <c r="W3232" s="25"/>
      <c r="X3232" s="25"/>
      <c r="Y3232" s="25"/>
      <c r="Z3232" s="25"/>
    </row>
    <row r="3233" spans="1:26" ht="52.5" customHeight="1" x14ac:dyDescent="0.25">
      <c r="A3233" s="25" t="str">
        <f ca="1">IFERROR(__xludf.DUMMYFUNCTION("""COMPUTED_VALUE"""),"Gesti231")</f>
        <v>Gesti231</v>
      </c>
      <c r="B3233" s="25"/>
      <c r="C3233" s="55"/>
      <c r="D3233" s="25" t="str">
        <f ca="1">IFERROR(__xludf.DUMMYFUNCTION("""COMPUTED_VALUE"""),"Gestión_Pública")</f>
        <v>Gestión_Pública</v>
      </c>
      <c r="E3233" s="25"/>
      <c r="F3233" s="25"/>
      <c r="G3233" s="25"/>
      <c r="H3233" s="25"/>
      <c r="I3233" s="25"/>
      <c r="J3233" s="55"/>
      <c r="K3233" s="25" t="str">
        <f ca="1">IFERROR(__xludf.DUMMYFUNCTION("""COMPUTED_VALUE"""),"Definir fecha")</f>
        <v>Definir fecha</v>
      </c>
      <c r="L3233" s="62"/>
      <c r="M3233" s="25"/>
      <c r="N3233" s="25"/>
      <c r="O3233" s="25">
        <f t="shared" si="0"/>
        <v>0</v>
      </c>
      <c r="P3233" s="25" t="str">
        <f t="shared" si="2"/>
        <v/>
      </c>
      <c r="Q3233" s="25" t="str">
        <f ca="1">IFERROR(__xludf.DUMMYFUNCTION("""COMPUTED_VALUE"""),"Sin defenir")</f>
        <v>Sin defenir</v>
      </c>
      <c r="R3233" s="25"/>
      <c r="S3233" s="55"/>
      <c r="T3233" s="56"/>
      <c r="U3233" s="25"/>
      <c r="V3233" s="25"/>
      <c r="W3233" s="25"/>
      <c r="X3233" s="25"/>
      <c r="Y3233" s="25"/>
      <c r="Z3233" s="25"/>
    </row>
    <row r="3234" spans="1:26" ht="52.5" customHeight="1" x14ac:dyDescent="0.25">
      <c r="A3234" s="25" t="str">
        <f ca="1">IFERROR(__xludf.DUMMYFUNCTION("""COMPUTED_VALUE"""),"Gesti232")</f>
        <v>Gesti232</v>
      </c>
      <c r="B3234" s="25"/>
      <c r="C3234" s="55"/>
      <c r="D3234" s="25" t="str">
        <f ca="1">IFERROR(__xludf.DUMMYFUNCTION("""COMPUTED_VALUE"""),"Gestión_Pública")</f>
        <v>Gestión_Pública</v>
      </c>
      <c r="E3234" s="25"/>
      <c r="F3234" s="25"/>
      <c r="G3234" s="25"/>
      <c r="H3234" s="25"/>
      <c r="I3234" s="25"/>
      <c r="J3234" s="55"/>
      <c r="K3234" s="25" t="str">
        <f ca="1">IFERROR(__xludf.DUMMYFUNCTION("""COMPUTED_VALUE"""),"Definir fecha")</f>
        <v>Definir fecha</v>
      </c>
      <c r="L3234" s="62"/>
      <c r="M3234" s="25"/>
      <c r="N3234" s="25"/>
      <c r="O3234" s="25">
        <f t="shared" si="0"/>
        <v>0</v>
      </c>
      <c r="P3234" s="25" t="str">
        <f t="shared" si="2"/>
        <v/>
      </c>
      <c r="Q3234" s="25" t="str">
        <f ca="1">IFERROR(__xludf.DUMMYFUNCTION("""COMPUTED_VALUE"""),"Sin defenir")</f>
        <v>Sin defenir</v>
      </c>
      <c r="R3234" s="25"/>
      <c r="S3234" s="55"/>
      <c r="T3234" s="56"/>
      <c r="U3234" s="25"/>
      <c r="V3234" s="25"/>
      <c r="W3234" s="25"/>
      <c r="X3234" s="25"/>
      <c r="Y3234" s="25"/>
      <c r="Z3234" s="25"/>
    </row>
    <row r="3235" spans="1:26" ht="52.5" customHeight="1" x14ac:dyDescent="0.25">
      <c r="A3235" s="25" t="str">
        <f ca="1">IFERROR(__xludf.DUMMYFUNCTION("""COMPUTED_VALUE"""),"Gesti233")</f>
        <v>Gesti233</v>
      </c>
      <c r="B3235" s="25"/>
      <c r="C3235" s="55"/>
      <c r="D3235" s="25" t="str">
        <f ca="1">IFERROR(__xludf.DUMMYFUNCTION("""COMPUTED_VALUE"""),"Gestión_Pública")</f>
        <v>Gestión_Pública</v>
      </c>
      <c r="E3235" s="25"/>
      <c r="F3235" s="25"/>
      <c r="G3235" s="25"/>
      <c r="H3235" s="25"/>
      <c r="I3235" s="25"/>
      <c r="J3235" s="55"/>
      <c r="K3235" s="25" t="str">
        <f ca="1">IFERROR(__xludf.DUMMYFUNCTION("""COMPUTED_VALUE"""),"Definir fecha")</f>
        <v>Definir fecha</v>
      </c>
      <c r="L3235" s="62"/>
      <c r="M3235" s="25"/>
      <c r="N3235" s="25"/>
      <c r="O3235" s="25">
        <f t="shared" si="0"/>
        <v>0</v>
      </c>
      <c r="P3235" s="25" t="str">
        <f t="shared" si="2"/>
        <v/>
      </c>
      <c r="Q3235" s="25" t="str">
        <f ca="1">IFERROR(__xludf.DUMMYFUNCTION("""COMPUTED_VALUE"""),"Sin defenir")</f>
        <v>Sin defenir</v>
      </c>
      <c r="R3235" s="25"/>
      <c r="S3235" s="55"/>
      <c r="T3235" s="56"/>
      <c r="U3235" s="25"/>
      <c r="V3235" s="25"/>
      <c r="W3235" s="25"/>
      <c r="X3235" s="25"/>
      <c r="Y3235" s="25"/>
      <c r="Z3235" s="25"/>
    </row>
    <row r="3236" spans="1:26" ht="52.5" customHeight="1" x14ac:dyDescent="0.25">
      <c r="A3236" s="25" t="str">
        <f ca="1">IFERROR(__xludf.DUMMYFUNCTION("""COMPUTED_VALUE"""),"Gesti234")</f>
        <v>Gesti234</v>
      </c>
      <c r="B3236" s="25"/>
      <c r="C3236" s="55"/>
      <c r="D3236" s="25" t="str">
        <f ca="1">IFERROR(__xludf.DUMMYFUNCTION("""COMPUTED_VALUE"""),"Gestión_Pública")</f>
        <v>Gestión_Pública</v>
      </c>
      <c r="E3236" s="25"/>
      <c r="F3236" s="25"/>
      <c r="G3236" s="25"/>
      <c r="H3236" s="25"/>
      <c r="I3236" s="25"/>
      <c r="J3236" s="55"/>
      <c r="K3236" s="25" t="str">
        <f ca="1">IFERROR(__xludf.DUMMYFUNCTION("""COMPUTED_VALUE"""),"Definir fecha")</f>
        <v>Definir fecha</v>
      </c>
      <c r="L3236" s="62"/>
      <c r="M3236" s="25"/>
      <c r="N3236" s="25"/>
      <c r="O3236" s="25">
        <f t="shared" si="0"/>
        <v>0</v>
      </c>
      <c r="P3236" s="25" t="str">
        <f t="shared" si="2"/>
        <v/>
      </c>
      <c r="Q3236" s="25" t="str">
        <f ca="1">IFERROR(__xludf.DUMMYFUNCTION("""COMPUTED_VALUE"""),"Sin defenir")</f>
        <v>Sin defenir</v>
      </c>
      <c r="R3236" s="25"/>
      <c r="S3236" s="55"/>
      <c r="T3236" s="56"/>
      <c r="U3236" s="25"/>
      <c r="V3236" s="25"/>
      <c r="W3236" s="25"/>
      <c r="X3236" s="25"/>
      <c r="Y3236" s="25"/>
      <c r="Z3236" s="25"/>
    </row>
    <row r="3237" spans="1:26" ht="52.5" customHeight="1" x14ac:dyDescent="0.25">
      <c r="A3237" s="25" t="str">
        <f ca="1">IFERROR(__xludf.DUMMYFUNCTION("""COMPUTED_VALUE"""),"Gesti235")</f>
        <v>Gesti235</v>
      </c>
      <c r="B3237" s="25"/>
      <c r="C3237" s="55"/>
      <c r="D3237" s="25" t="str">
        <f ca="1">IFERROR(__xludf.DUMMYFUNCTION("""COMPUTED_VALUE"""),"Gestión_Pública")</f>
        <v>Gestión_Pública</v>
      </c>
      <c r="E3237" s="25"/>
      <c r="F3237" s="25"/>
      <c r="G3237" s="25"/>
      <c r="H3237" s="25"/>
      <c r="I3237" s="25"/>
      <c r="J3237" s="55"/>
      <c r="K3237" s="25" t="str">
        <f ca="1">IFERROR(__xludf.DUMMYFUNCTION("""COMPUTED_VALUE"""),"Definir fecha")</f>
        <v>Definir fecha</v>
      </c>
      <c r="L3237" s="62"/>
      <c r="M3237" s="25"/>
      <c r="N3237" s="25"/>
      <c r="O3237" s="25">
        <f t="shared" si="0"/>
        <v>0</v>
      </c>
      <c r="P3237" s="25" t="str">
        <f t="shared" si="2"/>
        <v/>
      </c>
      <c r="Q3237" s="25" t="str">
        <f ca="1">IFERROR(__xludf.DUMMYFUNCTION("""COMPUTED_VALUE"""),"Sin defenir")</f>
        <v>Sin defenir</v>
      </c>
      <c r="R3237" s="25"/>
      <c r="S3237" s="55"/>
      <c r="T3237" s="56"/>
      <c r="U3237" s="25"/>
      <c r="V3237" s="25"/>
      <c r="W3237" s="25"/>
      <c r="X3237" s="25"/>
      <c r="Y3237" s="25"/>
      <c r="Z3237" s="25"/>
    </row>
    <row r="3238" spans="1:26" ht="52.5" customHeight="1" x14ac:dyDescent="0.25">
      <c r="A3238" s="25" t="str">
        <f ca="1">IFERROR(__xludf.DUMMYFUNCTION("""COMPUTED_VALUE"""),"Gesti236")</f>
        <v>Gesti236</v>
      </c>
      <c r="B3238" s="25"/>
      <c r="C3238" s="55"/>
      <c r="D3238" s="25" t="str">
        <f ca="1">IFERROR(__xludf.DUMMYFUNCTION("""COMPUTED_VALUE"""),"Gestión_Pública")</f>
        <v>Gestión_Pública</v>
      </c>
      <c r="E3238" s="25"/>
      <c r="F3238" s="25"/>
      <c r="G3238" s="25"/>
      <c r="H3238" s="25"/>
      <c r="I3238" s="25"/>
      <c r="J3238" s="55"/>
      <c r="K3238" s="25" t="str">
        <f ca="1">IFERROR(__xludf.DUMMYFUNCTION("""COMPUTED_VALUE"""),"Definir fecha")</f>
        <v>Definir fecha</v>
      </c>
      <c r="L3238" s="62"/>
      <c r="M3238" s="25"/>
      <c r="N3238" s="25"/>
      <c r="O3238" s="25">
        <f t="shared" si="0"/>
        <v>0</v>
      </c>
      <c r="P3238" s="25" t="str">
        <f t="shared" si="2"/>
        <v/>
      </c>
      <c r="Q3238" s="25" t="str">
        <f ca="1">IFERROR(__xludf.DUMMYFUNCTION("""COMPUTED_VALUE"""),"Sin defenir")</f>
        <v>Sin defenir</v>
      </c>
      <c r="R3238" s="25"/>
      <c r="S3238" s="55"/>
      <c r="T3238" s="56"/>
      <c r="U3238" s="25"/>
      <c r="V3238" s="25"/>
      <c r="W3238" s="25"/>
      <c r="X3238" s="25"/>
      <c r="Y3238" s="25"/>
      <c r="Z3238" s="25"/>
    </row>
    <row r="3239" spans="1:26" ht="52.5" customHeight="1" x14ac:dyDescent="0.25">
      <c r="A3239" s="25" t="str">
        <f ca="1">IFERROR(__xludf.DUMMYFUNCTION("""COMPUTED_VALUE"""),"Gesti237")</f>
        <v>Gesti237</v>
      </c>
      <c r="B3239" s="25"/>
      <c r="C3239" s="55"/>
      <c r="D3239" s="25" t="str">
        <f ca="1">IFERROR(__xludf.DUMMYFUNCTION("""COMPUTED_VALUE"""),"Gestión_Pública")</f>
        <v>Gestión_Pública</v>
      </c>
      <c r="E3239" s="25"/>
      <c r="F3239" s="25"/>
      <c r="G3239" s="25"/>
      <c r="H3239" s="25"/>
      <c r="I3239" s="25"/>
      <c r="J3239" s="55"/>
      <c r="K3239" s="25" t="str">
        <f ca="1">IFERROR(__xludf.DUMMYFUNCTION("""COMPUTED_VALUE"""),"Definir fecha")</f>
        <v>Definir fecha</v>
      </c>
      <c r="L3239" s="62"/>
      <c r="M3239" s="25"/>
      <c r="N3239" s="25"/>
      <c r="O3239" s="25">
        <f t="shared" si="0"/>
        <v>0</v>
      </c>
      <c r="P3239" s="25" t="str">
        <f t="shared" si="2"/>
        <v/>
      </c>
      <c r="Q3239" s="25" t="str">
        <f ca="1">IFERROR(__xludf.DUMMYFUNCTION("""COMPUTED_VALUE"""),"Sin defenir")</f>
        <v>Sin defenir</v>
      </c>
      <c r="R3239" s="25"/>
      <c r="S3239" s="55"/>
      <c r="T3239" s="56"/>
      <c r="U3239" s="25"/>
      <c r="V3239" s="25"/>
      <c r="W3239" s="25"/>
      <c r="X3239" s="25"/>
      <c r="Y3239" s="25"/>
      <c r="Z3239" s="25"/>
    </row>
    <row r="3240" spans="1:26" ht="52.5" customHeight="1" x14ac:dyDescent="0.25">
      <c r="A3240" s="25" t="str">
        <f ca="1">IFERROR(__xludf.DUMMYFUNCTION("""COMPUTED_VALUE"""),"Gesti238")</f>
        <v>Gesti238</v>
      </c>
      <c r="B3240" s="25"/>
      <c r="C3240" s="55"/>
      <c r="D3240" s="25" t="str">
        <f ca="1">IFERROR(__xludf.DUMMYFUNCTION("""COMPUTED_VALUE"""),"Gestión_Pública")</f>
        <v>Gestión_Pública</v>
      </c>
      <c r="E3240" s="25"/>
      <c r="F3240" s="25"/>
      <c r="G3240" s="25"/>
      <c r="H3240" s="25"/>
      <c r="I3240" s="25"/>
      <c r="J3240" s="55"/>
      <c r="K3240" s="25" t="str">
        <f ca="1">IFERROR(__xludf.DUMMYFUNCTION("""COMPUTED_VALUE"""),"Definir fecha")</f>
        <v>Definir fecha</v>
      </c>
      <c r="L3240" s="62"/>
      <c r="M3240" s="25"/>
      <c r="N3240" s="25"/>
      <c r="O3240" s="25">
        <f t="shared" si="0"/>
        <v>0</v>
      </c>
      <c r="P3240" s="25" t="str">
        <f t="shared" si="2"/>
        <v/>
      </c>
      <c r="Q3240" s="25" t="str">
        <f ca="1">IFERROR(__xludf.DUMMYFUNCTION("""COMPUTED_VALUE"""),"Sin defenir")</f>
        <v>Sin defenir</v>
      </c>
      <c r="R3240" s="25"/>
      <c r="S3240" s="55"/>
      <c r="T3240" s="56"/>
      <c r="U3240" s="25"/>
      <c r="V3240" s="25"/>
      <c r="W3240" s="25"/>
      <c r="X3240" s="25"/>
      <c r="Y3240" s="25"/>
      <c r="Z3240" s="25"/>
    </row>
    <row r="3241" spans="1:26" ht="52.5" customHeight="1" x14ac:dyDescent="0.25">
      <c r="A3241" s="25" t="str">
        <f ca="1">IFERROR(__xludf.DUMMYFUNCTION("""COMPUTED_VALUE"""),"Gesti239")</f>
        <v>Gesti239</v>
      </c>
      <c r="B3241" s="25"/>
      <c r="C3241" s="55"/>
      <c r="D3241" s="25" t="str">
        <f ca="1">IFERROR(__xludf.DUMMYFUNCTION("""COMPUTED_VALUE"""),"Gestión_Pública")</f>
        <v>Gestión_Pública</v>
      </c>
      <c r="E3241" s="25"/>
      <c r="F3241" s="25"/>
      <c r="G3241" s="25"/>
      <c r="H3241" s="25"/>
      <c r="I3241" s="25"/>
      <c r="J3241" s="55"/>
      <c r="K3241" s="25" t="str">
        <f ca="1">IFERROR(__xludf.DUMMYFUNCTION("""COMPUTED_VALUE"""),"Definir fecha")</f>
        <v>Definir fecha</v>
      </c>
      <c r="L3241" s="62"/>
      <c r="M3241" s="25"/>
      <c r="N3241" s="25"/>
      <c r="O3241" s="25">
        <f t="shared" si="0"/>
        <v>0</v>
      </c>
      <c r="P3241" s="25" t="str">
        <f t="shared" si="2"/>
        <v/>
      </c>
      <c r="Q3241" s="25" t="str">
        <f ca="1">IFERROR(__xludf.DUMMYFUNCTION("""COMPUTED_VALUE"""),"Sin defenir")</f>
        <v>Sin defenir</v>
      </c>
      <c r="R3241" s="25"/>
      <c r="S3241" s="55"/>
      <c r="T3241" s="56"/>
      <c r="U3241" s="25"/>
      <c r="V3241" s="25"/>
      <c r="W3241" s="25"/>
      <c r="X3241" s="25"/>
      <c r="Y3241" s="25"/>
      <c r="Z3241" s="25"/>
    </row>
    <row r="3242" spans="1:26" ht="52.5" customHeight="1" x14ac:dyDescent="0.25">
      <c r="A3242" s="25" t="str">
        <f ca="1">IFERROR(__xludf.DUMMYFUNCTION("""COMPUTED_VALUE"""),"Gesti240")</f>
        <v>Gesti240</v>
      </c>
      <c r="B3242" s="25"/>
      <c r="C3242" s="55"/>
      <c r="D3242" s="25" t="str">
        <f ca="1">IFERROR(__xludf.DUMMYFUNCTION("""COMPUTED_VALUE"""),"Gestión_Pública")</f>
        <v>Gestión_Pública</v>
      </c>
      <c r="E3242" s="25"/>
      <c r="F3242" s="25"/>
      <c r="G3242" s="25"/>
      <c r="H3242" s="25"/>
      <c r="I3242" s="25"/>
      <c r="J3242" s="55"/>
      <c r="K3242" s="25" t="str">
        <f ca="1">IFERROR(__xludf.DUMMYFUNCTION("""COMPUTED_VALUE"""),"Definir fecha")</f>
        <v>Definir fecha</v>
      </c>
      <c r="L3242" s="62"/>
      <c r="M3242" s="25"/>
      <c r="N3242" s="25"/>
      <c r="O3242" s="25">
        <f t="shared" si="0"/>
        <v>0</v>
      </c>
      <c r="P3242" s="25" t="str">
        <f t="shared" si="2"/>
        <v/>
      </c>
      <c r="Q3242" s="25" t="str">
        <f ca="1">IFERROR(__xludf.DUMMYFUNCTION("""COMPUTED_VALUE"""),"Sin defenir")</f>
        <v>Sin defenir</v>
      </c>
      <c r="R3242" s="25"/>
      <c r="S3242" s="55"/>
      <c r="T3242" s="56"/>
      <c r="U3242" s="25"/>
      <c r="V3242" s="25"/>
      <c r="W3242" s="25"/>
      <c r="X3242" s="25"/>
      <c r="Y3242" s="25"/>
      <c r="Z3242" s="25"/>
    </row>
    <row r="3243" spans="1:26" ht="52.5" customHeight="1" x14ac:dyDescent="0.25">
      <c r="A3243" s="25" t="str">
        <f ca="1">IFERROR(__xludf.DUMMYFUNCTION("""COMPUTED_VALUE"""),"Gesti241")</f>
        <v>Gesti241</v>
      </c>
      <c r="B3243" s="25"/>
      <c r="C3243" s="55"/>
      <c r="D3243" s="25" t="str">
        <f ca="1">IFERROR(__xludf.DUMMYFUNCTION("""COMPUTED_VALUE"""),"Gestión_Pública")</f>
        <v>Gestión_Pública</v>
      </c>
      <c r="E3243" s="25"/>
      <c r="F3243" s="25"/>
      <c r="G3243" s="25"/>
      <c r="H3243" s="25"/>
      <c r="I3243" s="25"/>
      <c r="J3243" s="55"/>
      <c r="K3243" s="25" t="str">
        <f ca="1">IFERROR(__xludf.DUMMYFUNCTION("""COMPUTED_VALUE"""),"Definir fecha")</f>
        <v>Definir fecha</v>
      </c>
      <c r="L3243" s="62"/>
      <c r="M3243" s="25"/>
      <c r="N3243" s="25"/>
      <c r="O3243" s="25">
        <f t="shared" si="0"/>
        <v>0</v>
      </c>
      <c r="P3243" s="25" t="str">
        <f t="shared" si="2"/>
        <v/>
      </c>
      <c r="Q3243" s="25" t="str">
        <f ca="1">IFERROR(__xludf.DUMMYFUNCTION("""COMPUTED_VALUE"""),"Sin defenir")</f>
        <v>Sin defenir</v>
      </c>
      <c r="R3243" s="25"/>
      <c r="S3243" s="55"/>
      <c r="T3243" s="56"/>
      <c r="U3243" s="25"/>
      <c r="V3243" s="25"/>
      <c r="W3243" s="25"/>
      <c r="X3243" s="25"/>
      <c r="Y3243" s="25"/>
      <c r="Z3243" s="25"/>
    </row>
    <row r="3244" spans="1:26" ht="52.5" customHeight="1" x14ac:dyDescent="0.25">
      <c r="A3244" s="25" t="str">
        <f ca="1">IFERROR(__xludf.DUMMYFUNCTION("""COMPUTED_VALUE"""),"Gesti242")</f>
        <v>Gesti242</v>
      </c>
      <c r="B3244" s="25"/>
      <c r="C3244" s="55"/>
      <c r="D3244" s="25" t="str">
        <f ca="1">IFERROR(__xludf.DUMMYFUNCTION("""COMPUTED_VALUE"""),"Gestión_Pública")</f>
        <v>Gestión_Pública</v>
      </c>
      <c r="E3244" s="25"/>
      <c r="F3244" s="25"/>
      <c r="G3244" s="25"/>
      <c r="H3244" s="25"/>
      <c r="I3244" s="25"/>
      <c r="J3244" s="55"/>
      <c r="K3244" s="25" t="str">
        <f ca="1">IFERROR(__xludf.DUMMYFUNCTION("""COMPUTED_VALUE"""),"Definir fecha")</f>
        <v>Definir fecha</v>
      </c>
      <c r="L3244" s="62"/>
      <c r="M3244" s="25"/>
      <c r="N3244" s="25"/>
      <c r="O3244" s="25">
        <f t="shared" si="0"/>
        <v>0</v>
      </c>
      <c r="P3244" s="25" t="str">
        <f t="shared" si="2"/>
        <v/>
      </c>
      <c r="Q3244" s="25" t="str">
        <f ca="1">IFERROR(__xludf.DUMMYFUNCTION("""COMPUTED_VALUE"""),"Sin defenir")</f>
        <v>Sin defenir</v>
      </c>
      <c r="R3244" s="25"/>
      <c r="S3244" s="55"/>
      <c r="T3244" s="56"/>
      <c r="U3244" s="25"/>
      <c r="V3244" s="25"/>
      <c r="W3244" s="25"/>
      <c r="X3244" s="25"/>
      <c r="Y3244" s="25"/>
      <c r="Z3244" s="25"/>
    </row>
    <row r="3245" spans="1:26" ht="52.5" customHeight="1" x14ac:dyDescent="0.25">
      <c r="A3245" s="25" t="str">
        <f ca="1">IFERROR(__xludf.DUMMYFUNCTION("""COMPUTED_VALUE"""),"Gesti243")</f>
        <v>Gesti243</v>
      </c>
      <c r="B3245" s="25"/>
      <c r="C3245" s="55"/>
      <c r="D3245" s="25" t="str">
        <f ca="1">IFERROR(__xludf.DUMMYFUNCTION("""COMPUTED_VALUE"""),"Gestión_Pública")</f>
        <v>Gestión_Pública</v>
      </c>
      <c r="E3245" s="25"/>
      <c r="F3245" s="25"/>
      <c r="G3245" s="25"/>
      <c r="H3245" s="25"/>
      <c r="I3245" s="25"/>
      <c r="J3245" s="55"/>
      <c r="K3245" s="25" t="str">
        <f ca="1">IFERROR(__xludf.DUMMYFUNCTION("""COMPUTED_VALUE"""),"Definir fecha")</f>
        <v>Definir fecha</v>
      </c>
      <c r="L3245" s="62"/>
      <c r="M3245" s="25"/>
      <c r="N3245" s="25"/>
      <c r="O3245" s="25">
        <f t="shared" si="0"/>
        <v>0</v>
      </c>
      <c r="P3245" s="25" t="str">
        <f t="shared" si="2"/>
        <v/>
      </c>
      <c r="Q3245" s="25" t="str">
        <f ca="1">IFERROR(__xludf.DUMMYFUNCTION("""COMPUTED_VALUE"""),"Sin defenir")</f>
        <v>Sin defenir</v>
      </c>
      <c r="R3245" s="25"/>
      <c r="S3245" s="55"/>
      <c r="T3245" s="56"/>
      <c r="U3245" s="25"/>
      <c r="V3245" s="25"/>
      <c r="W3245" s="25"/>
      <c r="X3245" s="25"/>
      <c r="Y3245" s="25"/>
      <c r="Z3245" s="25"/>
    </row>
    <row r="3246" spans="1:26" ht="52.5" customHeight="1" x14ac:dyDescent="0.25">
      <c r="A3246" s="25" t="str">
        <f ca="1">IFERROR(__xludf.DUMMYFUNCTION("""COMPUTED_VALUE"""),"Gesti244")</f>
        <v>Gesti244</v>
      </c>
      <c r="B3246" s="25"/>
      <c r="C3246" s="55"/>
      <c r="D3246" s="25" t="str">
        <f ca="1">IFERROR(__xludf.DUMMYFUNCTION("""COMPUTED_VALUE"""),"Gestión_Pública")</f>
        <v>Gestión_Pública</v>
      </c>
      <c r="E3246" s="25"/>
      <c r="F3246" s="25"/>
      <c r="G3246" s="25"/>
      <c r="H3246" s="25"/>
      <c r="I3246" s="25"/>
      <c r="J3246" s="55"/>
      <c r="K3246" s="25" t="str">
        <f ca="1">IFERROR(__xludf.DUMMYFUNCTION("""COMPUTED_VALUE"""),"Definir fecha")</f>
        <v>Definir fecha</v>
      </c>
      <c r="L3246" s="62"/>
      <c r="M3246" s="25"/>
      <c r="N3246" s="25"/>
      <c r="O3246" s="25">
        <f t="shared" si="0"/>
        <v>0</v>
      </c>
      <c r="P3246" s="25" t="str">
        <f t="shared" si="2"/>
        <v/>
      </c>
      <c r="Q3246" s="25" t="str">
        <f ca="1">IFERROR(__xludf.DUMMYFUNCTION("""COMPUTED_VALUE"""),"Sin defenir")</f>
        <v>Sin defenir</v>
      </c>
      <c r="R3246" s="25"/>
      <c r="S3246" s="55"/>
      <c r="T3246" s="56"/>
      <c r="U3246" s="25"/>
      <c r="V3246" s="25"/>
      <c r="W3246" s="25"/>
      <c r="X3246" s="25"/>
      <c r="Y3246" s="25"/>
      <c r="Z3246" s="25"/>
    </row>
    <row r="3247" spans="1:26" ht="52.5" customHeight="1" x14ac:dyDescent="0.25">
      <c r="A3247" s="25" t="str">
        <f ca="1">IFERROR(__xludf.DUMMYFUNCTION("""COMPUTED_VALUE"""),"Gesti245")</f>
        <v>Gesti245</v>
      </c>
      <c r="B3247" s="25"/>
      <c r="C3247" s="55"/>
      <c r="D3247" s="25" t="str">
        <f ca="1">IFERROR(__xludf.DUMMYFUNCTION("""COMPUTED_VALUE"""),"Gestión_Pública")</f>
        <v>Gestión_Pública</v>
      </c>
      <c r="E3247" s="25"/>
      <c r="F3247" s="25"/>
      <c r="G3247" s="25"/>
      <c r="H3247" s="25"/>
      <c r="I3247" s="25"/>
      <c r="J3247" s="55"/>
      <c r="K3247" s="25" t="str">
        <f ca="1">IFERROR(__xludf.DUMMYFUNCTION("""COMPUTED_VALUE"""),"Definir fecha")</f>
        <v>Definir fecha</v>
      </c>
      <c r="L3247" s="62"/>
      <c r="M3247" s="25"/>
      <c r="N3247" s="25"/>
      <c r="O3247" s="25">
        <f t="shared" si="0"/>
        <v>0</v>
      </c>
      <c r="P3247" s="25" t="str">
        <f t="shared" si="2"/>
        <v/>
      </c>
      <c r="Q3247" s="25" t="str">
        <f ca="1">IFERROR(__xludf.DUMMYFUNCTION("""COMPUTED_VALUE"""),"Sin defenir")</f>
        <v>Sin defenir</v>
      </c>
      <c r="R3247" s="25"/>
      <c r="S3247" s="55"/>
      <c r="T3247" s="56"/>
      <c r="U3247" s="25"/>
      <c r="V3247" s="25"/>
      <c r="W3247" s="25"/>
      <c r="X3247" s="25"/>
      <c r="Y3247" s="25"/>
      <c r="Z3247" s="25"/>
    </row>
    <row r="3248" spans="1:26" ht="52.5" customHeight="1" x14ac:dyDescent="0.25">
      <c r="A3248" s="25" t="str">
        <f ca="1">IFERROR(__xludf.DUMMYFUNCTION("""COMPUTED_VALUE"""),"Gesti246")</f>
        <v>Gesti246</v>
      </c>
      <c r="B3248" s="25"/>
      <c r="C3248" s="55"/>
      <c r="D3248" s="25" t="str">
        <f ca="1">IFERROR(__xludf.DUMMYFUNCTION("""COMPUTED_VALUE"""),"Gestión_Pública")</f>
        <v>Gestión_Pública</v>
      </c>
      <c r="E3248" s="25"/>
      <c r="F3248" s="25"/>
      <c r="G3248" s="25"/>
      <c r="H3248" s="25"/>
      <c r="I3248" s="25"/>
      <c r="J3248" s="55"/>
      <c r="K3248" s="25" t="str">
        <f ca="1">IFERROR(__xludf.DUMMYFUNCTION("""COMPUTED_VALUE"""),"Definir fecha")</f>
        <v>Definir fecha</v>
      </c>
      <c r="L3248" s="62"/>
      <c r="M3248" s="25"/>
      <c r="N3248" s="25"/>
      <c r="O3248" s="25">
        <f t="shared" si="0"/>
        <v>0</v>
      </c>
      <c r="P3248" s="25" t="str">
        <f t="shared" si="2"/>
        <v/>
      </c>
      <c r="Q3248" s="25" t="str">
        <f ca="1">IFERROR(__xludf.DUMMYFUNCTION("""COMPUTED_VALUE"""),"Sin defenir")</f>
        <v>Sin defenir</v>
      </c>
      <c r="R3248" s="25"/>
      <c r="S3248" s="55"/>
      <c r="T3248" s="56"/>
      <c r="U3248" s="25"/>
      <c r="V3248" s="25"/>
      <c r="W3248" s="25"/>
      <c r="X3248" s="25"/>
      <c r="Y3248" s="25"/>
      <c r="Z3248" s="25"/>
    </row>
    <row r="3249" spans="1:26" ht="52.5" customHeight="1" x14ac:dyDescent="0.25">
      <c r="A3249" s="25" t="str">
        <f ca="1">IFERROR(__xludf.DUMMYFUNCTION("""COMPUTED_VALUE"""),"Gesti247")</f>
        <v>Gesti247</v>
      </c>
      <c r="B3249" s="25"/>
      <c r="C3249" s="55"/>
      <c r="D3249" s="25" t="str">
        <f ca="1">IFERROR(__xludf.DUMMYFUNCTION("""COMPUTED_VALUE"""),"Gestión_Pública")</f>
        <v>Gestión_Pública</v>
      </c>
      <c r="E3249" s="25"/>
      <c r="F3249" s="25"/>
      <c r="G3249" s="25"/>
      <c r="H3249" s="25"/>
      <c r="I3249" s="25"/>
      <c r="J3249" s="55"/>
      <c r="K3249" s="25" t="str">
        <f ca="1">IFERROR(__xludf.DUMMYFUNCTION("""COMPUTED_VALUE"""),"Definir fecha")</f>
        <v>Definir fecha</v>
      </c>
      <c r="L3249" s="62"/>
      <c r="M3249" s="25"/>
      <c r="N3249" s="25"/>
      <c r="O3249" s="25">
        <f t="shared" si="0"/>
        <v>0</v>
      </c>
      <c r="P3249" s="25" t="str">
        <f t="shared" si="2"/>
        <v/>
      </c>
      <c r="Q3249" s="25" t="str">
        <f ca="1">IFERROR(__xludf.DUMMYFUNCTION("""COMPUTED_VALUE"""),"Sin defenir")</f>
        <v>Sin defenir</v>
      </c>
      <c r="R3249" s="25"/>
      <c r="S3249" s="55"/>
      <c r="T3249" s="56"/>
      <c r="U3249" s="25"/>
      <c r="V3249" s="25"/>
      <c r="W3249" s="25"/>
      <c r="X3249" s="25"/>
      <c r="Y3249" s="25"/>
      <c r="Z3249" s="25"/>
    </row>
    <row r="3250" spans="1:26" ht="52.5" customHeight="1" x14ac:dyDescent="0.25">
      <c r="A3250" s="25" t="str">
        <f ca="1">IFERROR(__xludf.DUMMYFUNCTION("""COMPUTED_VALUE"""),"Gesti248")</f>
        <v>Gesti248</v>
      </c>
      <c r="B3250" s="25"/>
      <c r="C3250" s="55"/>
      <c r="D3250" s="25" t="str">
        <f ca="1">IFERROR(__xludf.DUMMYFUNCTION("""COMPUTED_VALUE"""),"Gestión_Pública")</f>
        <v>Gestión_Pública</v>
      </c>
      <c r="E3250" s="25"/>
      <c r="F3250" s="25"/>
      <c r="G3250" s="25"/>
      <c r="H3250" s="25"/>
      <c r="I3250" s="25"/>
      <c r="J3250" s="55"/>
      <c r="K3250" s="25" t="str">
        <f ca="1">IFERROR(__xludf.DUMMYFUNCTION("""COMPUTED_VALUE"""),"Definir fecha")</f>
        <v>Definir fecha</v>
      </c>
      <c r="L3250" s="62"/>
      <c r="M3250" s="25"/>
      <c r="N3250" s="25"/>
      <c r="O3250" s="25">
        <f t="shared" si="0"/>
        <v>0</v>
      </c>
      <c r="P3250" s="25" t="str">
        <f t="shared" si="2"/>
        <v/>
      </c>
      <c r="Q3250" s="25" t="str">
        <f ca="1">IFERROR(__xludf.DUMMYFUNCTION("""COMPUTED_VALUE"""),"Sin defenir")</f>
        <v>Sin defenir</v>
      </c>
      <c r="R3250" s="25"/>
      <c r="S3250" s="55"/>
      <c r="T3250" s="56"/>
      <c r="U3250" s="25"/>
      <c r="V3250" s="25"/>
      <c r="W3250" s="25"/>
      <c r="X3250" s="25"/>
      <c r="Y3250" s="25"/>
      <c r="Z3250" s="25"/>
    </row>
    <row r="3251" spans="1:26" ht="52.5" customHeight="1" x14ac:dyDescent="0.25">
      <c r="A3251" s="25" t="str">
        <f ca="1">IFERROR(__xludf.DUMMYFUNCTION("""COMPUTED_VALUE"""),"Gesti249")</f>
        <v>Gesti249</v>
      </c>
      <c r="B3251" s="25"/>
      <c r="C3251" s="55"/>
      <c r="D3251" s="25" t="str">
        <f ca="1">IFERROR(__xludf.DUMMYFUNCTION("""COMPUTED_VALUE"""),"Gestión_Pública")</f>
        <v>Gestión_Pública</v>
      </c>
      <c r="E3251" s="25"/>
      <c r="F3251" s="25"/>
      <c r="G3251" s="25"/>
      <c r="H3251" s="25"/>
      <c r="I3251" s="25"/>
      <c r="J3251" s="55"/>
      <c r="K3251" s="25" t="str">
        <f ca="1">IFERROR(__xludf.DUMMYFUNCTION("""COMPUTED_VALUE"""),"Definir fecha")</f>
        <v>Definir fecha</v>
      </c>
      <c r="L3251" s="62"/>
      <c r="M3251" s="25"/>
      <c r="N3251" s="25"/>
      <c r="O3251" s="25">
        <f t="shared" si="0"/>
        <v>0</v>
      </c>
      <c r="P3251" s="25" t="str">
        <f t="shared" si="2"/>
        <v/>
      </c>
      <c r="Q3251" s="25" t="str">
        <f ca="1">IFERROR(__xludf.DUMMYFUNCTION("""COMPUTED_VALUE"""),"Sin defenir")</f>
        <v>Sin defenir</v>
      </c>
      <c r="R3251" s="25"/>
      <c r="S3251" s="55"/>
      <c r="T3251" s="56"/>
      <c r="U3251" s="25"/>
      <c r="V3251" s="25"/>
      <c r="W3251" s="25"/>
      <c r="X3251" s="25"/>
      <c r="Y3251" s="25"/>
      <c r="Z3251" s="25"/>
    </row>
    <row r="3252" spans="1:26" ht="52.5" customHeight="1" x14ac:dyDescent="0.25">
      <c r="A3252" s="25" t="str">
        <f ca="1">IFERROR(__xludf.DUMMYFUNCTION("""COMPUTED_VALUE"""),"Gesti250")</f>
        <v>Gesti250</v>
      </c>
      <c r="B3252" s="25"/>
      <c r="C3252" s="55"/>
      <c r="D3252" s="25" t="str">
        <f ca="1">IFERROR(__xludf.DUMMYFUNCTION("""COMPUTED_VALUE"""),"Gestión_Pública")</f>
        <v>Gestión_Pública</v>
      </c>
      <c r="E3252" s="25"/>
      <c r="F3252" s="25"/>
      <c r="G3252" s="25"/>
      <c r="H3252" s="25"/>
      <c r="I3252" s="25"/>
      <c r="J3252" s="55"/>
      <c r="K3252" s="25" t="str">
        <f ca="1">IFERROR(__xludf.DUMMYFUNCTION("""COMPUTED_VALUE"""),"Definir fecha")</f>
        <v>Definir fecha</v>
      </c>
      <c r="L3252" s="62"/>
      <c r="M3252" s="25"/>
      <c r="N3252" s="25"/>
      <c r="O3252" s="25">
        <f t="shared" si="0"/>
        <v>0</v>
      </c>
      <c r="P3252" s="25" t="str">
        <f t="shared" si="2"/>
        <v/>
      </c>
      <c r="Q3252" s="25" t="str">
        <f ca="1">IFERROR(__xludf.DUMMYFUNCTION("""COMPUTED_VALUE"""),"Sin defenir")</f>
        <v>Sin defenir</v>
      </c>
      <c r="R3252" s="25"/>
      <c r="S3252" s="55"/>
      <c r="T3252" s="56"/>
      <c r="U3252" s="25"/>
      <c r="V3252" s="25"/>
      <c r="W3252" s="25"/>
      <c r="X3252" s="25"/>
      <c r="Y3252" s="25"/>
      <c r="Z3252" s="25"/>
    </row>
    <row r="3253" spans="1:26" ht="52.5" customHeight="1" x14ac:dyDescent="0.25">
      <c r="A3253" s="25" t="str">
        <f ca="1">IFERROR(__xludf.DUMMYFUNCTION("""COMPUTED_VALUE"""),"Gesti251")</f>
        <v>Gesti251</v>
      </c>
      <c r="B3253" s="25"/>
      <c r="C3253" s="55"/>
      <c r="D3253" s="25" t="str">
        <f ca="1">IFERROR(__xludf.DUMMYFUNCTION("""COMPUTED_VALUE"""),"Gestión_Pública")</f>
        <v>Gestión_Pública</v>
      </c>
      <c r="E3253" s="25"/>
      <c r="F3253" s="25"/>
      <c r="G3253" s="25"/>
      <c r="H3253" s="25"/>
      <c r="I3253" s="25"/>
      <c r="J3253" s="55"/>
      <c r="K3253" s="25" t="str">
        <f ca="1">IFERROR(__xludf.DUMMYFUNCTION("""COMPUTED_VALUE"""),"Definir fecha")</f>
        <v>Definir fecha</v>
      </c>
      <c r="L3253" s="62"/>
      <c r="M3253" s="25"/>
      <c r="N3253" s="25"/>
      <c r="O3253" s="25">
        <f t="shared" si="0"/>
        <v>0</v>
      </c>
      <c r="P3253" s="25" t="str">
        <f t="shared" si="2"/>
        <v/>
      </c>
      <c r="Q3253" s="25" t="str">
        <f ca="1">IFERROR(__xludf.DUMMYFUNCTION("""COMPUTED_VALUE"""),"Sin defenir")</f>
        <v>Sin defenir</v>
      </c>
      <c r="R3253" s="25"/>
      <c r="S3253" s="55"/>
      <c r="T3253" s="56"/>
      <c r="U3253" s="25"/>
      <c r="V3253" s="25"/>
      <c r="W3253" s="25"/>
      <c r="X3253" s="25"/>
      <c r="Y3253" s="25"/>
      <c r="Z3253" s="25"/>
    </row>
    <row r="3254" spans="1:26" ht="52.5" customHeight="1" x14ac:dyDescent="0.25">
      <c r="A3254" s="25" t="str">
        <f ca="1">IFERROR(__xludf.DUMMYFUNCTION("""COMPUTED_VALUE"""),"Gesti252")</f>
        <v>Gesti252</v>
      </c>
      <c r="B3254" s="25"/>
      <c r="C3254" s="55"/>
      <c r="D3254" s="25" t="str">
        <f ca="1">IFERROR(__xludf.DUMMYFUNCTION("""COMPUTED_VALUE"""),"Gestión_Pública")</f>
        <v>Gestión_Pública</v>
      </c>
      <c r="E3254" s="25"/>
      <c r="F3254" s="25"/>
      <c r="G3254" s="25"/>
      <c r="H3254" s="25"/>
      <c r="I3254" s="25"/>
      <c r="J3254" s="55"/>
      <c r="K3254" s="25" t="str">
        <f ca="1">IFERROR(__xludf.DUMMYFUNCTION("""COMPUTED_VALUE"""),"Definir fecha")</f>
        <v>Definir fecha</v>
      </c>
      <c r="L3254" s="62"/>
      <c r="M3254" s="25"/>
      <c r="N3254" s="25"/>
      <c r="O3254" s="25">
        <f t="shared" si="0"/>
        <v>0</v>
      </c>
      <c r="P3254" s="25" t="str">
        <f t="shared" si="2"/>
        <v/>
      </c>
      <c r="Q3254" s="25" t="str">
        <f ca="1">IFERROR(__xludf.DUMMYFUNCTION("""COMPUTED_VALUE"""),"Sin defenir")</f>
        <v>Sin defenir</v>
      </c>
      <c r="R3254" s="25"/>
      <c r="S3254" s="55"/>
      <c r="T3254" s="56"/>
      <c r="U3254" s="25"/>
      <c r="V3254" s="25"/>
      <c r="W3254" s="25"/>
      <c r="X3254" s="25"/>
      <c r="Y3254" s="25"/>
      <c r="Z3254" s="25"/>
    </row>
    <row r="3255" spans="1:26" ht="52.5" customHeight="1" x14ac:dyDescent="0.25">
      <c r="A3255" s="25" t="str">
        <f ca="1">IFERROR(__xludf.DUMMYFUNCTION("""COMPUTED_VALUE"""),"Gesti253")</f>
        <v>Gesti253</v>
      </c>
      <c r="B3255" s="25"/>
      <c r="C3255" s="55"/>
      <c r="D3255" s="25" t="str">
        <f ca="1">IFERROR(__xludf.DUMMYFUNCTION("""COMPUTED_VALUE"""),"Gestión_Pública")</f>
        <v>Gestión_Pública</v>
      </c>
      <c r="E3255" s="25"/>
      <c r="F3255" s="25"/>
      <c r="G3255" s="25"/>
      <c r="H3255" s="25"/>
      <c r="I3255" s="25"/>
      <c r="J3255" s="55"/>
      <c r="K3255" s="25" t="str">
        <f ca="1">IFERROR(__xludf.DUMMYFUNCTION("""COMPUTED_VALUE"""),"Definir fecha")</f>
        <v>Definir fecha</v>
      </c>
      <c r="L3255" s="62"/>
      <c r="M3255" s="25"/>
      <c r="N3255" s="25"/>
      <c r="O3255" s="25">
        <f t="shared" si="0"/>
        <v>0</v>
      </c>
      <c r="P3255" s="25" t="str">
        <f t="shared" si="2"/>
        <v/>
      </c>
      <c r="Q3255" s="25" t="str">
        <f ca="1">IFERROR(__xludf.DUMMYFUNCTION("""COMPUTED_VALUE"""),"Sin defenir")</f>
        <v>Sin defenir</v>
      </c>
      <c r="R3255" s="25"/>
      <c r="S3255" s="55"/>
      <c r="T3255" s="56"/>
      <c r="U3255" s="25"/>
      <c r="V3255" s="25"/>
      <c r="W3255" s="25"/>
      <c r="X3255" s="25"/>
      <c r="Y3255" s="25"/>
      <c r="Z3255" s="25"/>
    </row>
    <row r="3256" spans="1:26" ht="52.5" customHeight="1" x14ac:dyDescent="0.25">
      <c r="A3256" s="25" t="str">
        <f ca="1">IFERROR(__xludf.DUMMYFUNCTION("""COMPUTED_VALUE"""),"Gesti254")</f>
        <v>Gesti254</v>
      </c>
      <c r="B3256" s="25"/>
      <c r="C3256" s="55"/>
      <c r="D3256" s="25" t="str">
        <f ca="1">IFERROR(__xludf.DUMMYFUNCTION("""COMPUTED_VALUE"""),"Gestión_Pública")</f>
        <v>Gestión_Pública</v>
      </c>
      <c r="E3256" s="25"/>
      <c r="F3256" s="25"/>
      <c r="G3256" s="25"/>
      <c r="H3256" s="25"/>
      <c r="I3256" s="25"/>
      <c r="J3256" s="55"/>
      <c r="K3256" s="25" t="str">
        <f ca="1">IFERROR(__xludf.DUMMYFUNCTION("""COMPUTED_VALUE"""),"Definir fecha")</f>
        <v>Definir fecha</v>
      </c>
      <c r="L3256" s="62"/>
      <c r="M3256" s="25"/>
      <c r="N3256" s="25"/>
      <c r="O3256" s="25">
        <f t="shared" si="0"/>
        <v>0</v>
      </c>
      <c r="P3256" s="25" t="str">
        <f t="shared" si="2"/>
        <v/>
      </c>
      <c r="Q3256" s="25" t="str">
        <f ca="1">IFERROR(__xludf.DUMMYFUNCTION("""COMPUTED_VALUE"""),"Sin defenir")</f>
        <v>Sin defenir</v>
      </c>
      <c r="R3256" s="25"/>
      <c r="S3256" s="55"/>
      <c r="T3256" s="56"/>
      <c r="U3256" s="25"/>
      <c r="V3256" s="25"/>
      <c r="W3256" s="25"/>
      <c r="X3256" s="25"/>
      <c r="Y3256" s="25"/>
      <c r="Z3256" s="25"/>
    </row>
    <row r="3257" spans="1:26" ht="52.5" customHeight="1" x14ac:dyDescent="0.25">
      <c r="A3257" s="25" t="str">
        <f ca="1">IFERROR(__xludf.DUMMYFUNCTION("""COMPUTED_VALUE"""),"Gesti255")</f>
        <v>Gesti255</v>
      </c>
      <c r="B3257" s="25"/>
      <c r="C3257" s="55"/>
      <c r="D3257" s="25" t="str">
        <f ca="1">IFERROR(__xludf.DUMMYFUNCTION("""COMPUTED_VALUE"""),"Gestión_Pública")</f>
        <v>Gestión_Pública</v>
      </c>
      <c r="E3257" s="25"/>
      <c r="F3257" s="25"/>
      <c r="G3257" s="25"/>
      <c r="H3257" s="25"/>
      <c r="I3257" s="25"/>
      <c r="J3257" s="55"/>
      <c r="K3257" s="25" t="str">
        <f ca="1">IFERROR(__xludf.DUMMYFUNCTION("""COMPUTED_VALUE"""),"Definir fecha")</f>
        <v>Definir fecha</v>
      </c>
      <c r="L3257" s="62"/>
      <c r="M3257" s="25"/>
      <c r="N3257" s="25"/>
      <c r="O3257" s="25">
        <f t="shared" si="0"/>
        <v>0</v>
      </c>
      <c r="P3257" s="25" t="str">
        <f t="shared" si="2"/>
        <v/>
      </c>
      <c r="Q3257" s="25" t="str">
        <f ca="1">IFERROR(__xludf.DUMMYFUNCTION("""COMPUTED_VALUE"""),"Sin defenir")</f>
        <v>Sin defenir</v>
      </c>
      <c r="R3257" s="25"/>
      <c r="S3257" s="55"/>
      <c r="T3257" s="56"/>
      <c r="U3257" s="25"/>
      <c r="V3257" s="25"/>
      <c r="W3257" s="25"/>
      <c r="X3257" s="25"/>
      <c r="Y3257" s="25"/>
      <c r="Z3257" s="25"/>
    </row>
    <row r="3258" spans="1:26" ht="52.5" customHeight="1" x14ac:dyDescent="0.25">
      <c r="A3258" s="25" t="str">
        <f ca="1">IFERROR(__xludf.DUMMYFUNCTION("""COMPUTED_VALUE"""),"Gesti256")</f>
        <v>Gesti256</v>
      </c>
      <c r="B3258" s="25"/>
      <c r="C3258" s="55"/>
      <c r="D3258" s="25" t="str">
        <f ca="1">IFERROR(__xludf.DUMMYFUNCTION("""COMPUTED_VALUE"""),"Gestión_Pública")</f>
        <v>Gestión_Pública</v>
      </c>
      <c r="E3258" s="25"/>
      <c r="F3258" s="25"/>
      <c r="G3258" s="25"/>
      <c r="H3258" s="25"/>
      <c r="I3258" s="25"/>
      <c r="J3258" s="55"/>
      <c r="K3258" s="25" t="str">
        <f ca="1">IFERROR(__xludf.DUMMYFUNCTION("""COMPUTED_VALUE"""),"Definir fecha")</f>
        <v>Definir fecha</v>
      </c>
      <c r="L3258" s="62"/>
      <c r="M3258" s="25"/>
      <c r="N3258" s="25"/>
      <c r="O3258" s="25">
        <f t="shared" si="0"/>
        <v>0</v>
      </c>
      <c r="P3258" s="25" t="str">
        <f t="shared" si="2"/>
        <v/>
      </c>
      <c r="Q3258" s="25" t="str">
        <f ca="1">IFERROR(__xludf.DUMMYFUNCTION("""COMPUTED_VALUE"""),"Sin defenir")</f>
        <v>Sin defenir</v>
      </c>
      <c r="R3258" s="25"/>
      <c r="S3258" s="55"/>
      <c r="T3258" s="56"/>
      <c r="U3258" s="25"/>
      <c r="V3258" s="25"/>
      <c r="W3258" s="25"/>
      <c r="X3258" s="25"/>
      <c r="Y3258" s="25"/>
      <c r="Z3258" s="25"/>
    </row>
    <row r="3259" spans="1:26" ht="52.5" customHeight="1" x14ac:dyDescent="0.25">
      <c r="A3259" s="25" t="str">
        <f ca="1">IFERROR(__xludf.DUMMYFUNCTION("""COMPUTED_VALUE"""),"Gesti257")</f>
        <v>Gesti257</v>
      </c>
      <c r="B3259" s="25"/>
      <c r="C3259" s="55"/>
      <c r="D3259" s="25" t="str">
        <f ca="1">IFERROR(__xludf.DUMMYFUNCTION("""COMPUTED_VALUE"""),"Gestión_Pública")</f>
        <v>Gestión_Pública</v>
      </c>
      <c r="E3259" s="25"/>
      <c r="F3259" s="25"/>
      <c r="G3259" s="25"/>
      <c r="H3259" s="25"/>
      <c r="I3259" s="25"/>
      <c r="J3259" s="55"/>
      <c r="K3259" s="25" t="str">
        <f ca="1">IFERROR(__xludf.DUMMYFUNCTION("""COMPUTED_VALUE"""),"Definir fecha")</f>
        <v>Definir fecha</v>
      </c>
      <c r="L3259" s="62"/>
      <c r="M3259" s="25"/>
      <c r="N3259" s="25"/>
      <c r="O3259" s="25">
        <f t="shared" si="0"/>
        <v>0</v>
      </c>
      <c r="P3259" s="25" t="str">
        <f t="shared" si="2"/>
        <v/>
      </c>
      <c r="Q3259" s="25" t="str">
        <f ca="1">IFERROR(__xludf.DUMMYFUNCTION("""COMPUTED_VALUE"""),"Sin defenir")</f>
        <v>Sin defenir</v>
      </c>
      <c r="R3259" s="25"/>
      <c r="S3259" s="55"/>
      <c r="T3259" s="56"/>
      <c r="U3259" s="25"/>
      <c r="V3259" s="25"/>
      <c r="W3259" s="25"/>
      <c r="X3259" s="25"/>
      <c r="Y3259" s="25"/>
      <c r="Z3259" s="25"/>
    </row>
    <row r="3260" spans="1:26" ht="52.5" customHeight="1" x14ac:dyDescent="0.25">
      <c r="A3260" s="25" t="str">
        <f ca="1">IFERROR(__xludf.DUMMYFUNCTION("""COMPUTED_VALUE"""),"Gesti258")</f>
        <v>Gesti258</v>
      </c>
      <c r="B3260" s="25"/>
      <c r="C3260" s="55"/>
      <c r="D3260" s="25" t="str">
        <f ca="1">IFERROR(__xludf.DUMMYFUNCTION("""COMPUTED_VALUE"""),"Gestión_Pública")</f>
        <v>Gestión_Pública</v>
      </c>
      <c r="E3260" s="25"/>
      <c r="F3260" s="25"/>
      <c r="G3260" s="25"/>
      <c r="H3260" s="25"/>
      <c r="I3260" s="25"/>
      <c r="J3260" s="55"/>
      <c r="K3260" s="25" t="str">
        <f ca="1">IFERROR(__xludf.DUMMYFUNCTION("""COMPUTED_VALUE"""),"Definir fecha")</f>
        <v>Definir fecha</v>
      </c>
      <c r="L3260" s="62"/>
      <c r="M3260" s="25"/>
      <c r="N3260" s="25"/>
      <c r="O3260" s="25">
        <f t="shared" si="0"/>
        <v>0</v>
      </c>
      <c r="P3260" s="25" t="str">
        <f t="shared" si="2"/>
        <v/>
      </c>
      <c r="Q3260" s="25" t="str">
        <f ca="1">IFERROR(__xludf.DUMMYFUNCTION("""COMPUTED_VALUE"""),"Sin defenir")</f>
        <v>Sin defenir</v>
      </c>
      <c r="R3260" s="25"/>
      <c r="S3260" s="55"/>
      <c r="T3260" s="56"/>
      <c r="U3260" s="25"/>
      <c r="V3260" s="25"/>
      <c r="W3260" s="25"/>
      <c r="X3260" s="25"/>
      <c r="Y3260" s="25"/>
      <c r="Z3260" s="25"/>
    </row>
    <row r="3261" spans="1:26" ht="52.5" customHeight="1" x14ac:dyDescent="0.25">
      <c r="A3261" s="25" t="str">
        <f ca="1">IFERROR(__xludf.DUMMYFUNCTION("""COMPUTED_VALUE"""),"Gesti259")</f>
        <v>Gesti259</v>
      </c>
      <c r="B3261" s="25"/>
      <c r="C3261" s="55"/>
      <c r="D3261" s="25" t="str">
        <f ca="1">IFERROR(__xludf.DUMMYFUNCTION("""COMPUTED_VALUE"""),"Gestión_Pública")</f>
        <v>Gestión_Pública</v>
      </c>
      <c r="E3261" s="25"/>
      <c r="F3261" s="25"/>
      <c r="G3261" s="25"/>
      <c r="H3261" s="25"/>
      <c r="I3261" s="25"/>
      <c r="J3261" s="55"/>
      <c r="K3261" s="25" t="str">
        <f ca="1">IFERROR(__xludf.DUMMYFUNCTION("""COMPUTED_VALUE"""),"Definir fecha")</f>
        <v>Definir fecha</v>
      </c>
      <c r="L3261" s="62"/>
      <c r="M3261" s="25"/>
      <c r="N3261" s="25"/>
      <c r="O3261" s="25">
        <f t="shared" si="0"/>
        <v>0</v>
      </c>
      <c r="P3261" s="25" t="str">
        <f t="shared" si="2"/>
        <v/>
      </c>
      <c r="Q3261" s="25" t="str">
        <f ca="1">IFERROR(__xludf.DUMMYFUNCTION("""COMPUTED_VALUE"""),"Sin defenir")</f>
        <v>Sin defenir</v>
      </c>
      <c r="R3261" s="25"/>
      <c r="S3261" s="55"/>
      <c r="T3261" s="56"/>
      <c r="U3261" s="25"/>
      <c r="V3261" s="25"/>
      <c r="W3261" s="25"/>
      <c r="X3261" s="25"/>
      <c r="Y3261" s="25"/>
      <c r="Z3261" s="25"/>
    </row>
    <row r="3262" spans="1:26" ht="52.5" customHeight="1" x14ac:dyDescent="0.25">
      <c r="A3262" s="25" t="str">
        <f ca="1">IFERROR(__xludf.DUMMYFUNCTION("""COMPUTED_VALUE"""),"Gesti260")</f>
        <v>Gesti260</v>
      </c>
      <c r="B3262" s="25"/>
      <c r="C3262" s="55"/>
      <c r="D3262" s="25" t="str">
        <f ca="1">IFERROR(__xludf.DUMMYFUNCTION("""COMPUTED_VALUE"""),"Gestión_Pública")</f>
        <v>Gestión_Pública</v>
      </c>
      <c r="E3262" s="25"/>
      <c r="F3262" s="25"/>
      <c r="G3262" s="25"/>
      <c r="H3262" s="25"/>
      <c r="I3262" s="25"/>
      <c r="J3262" s="55"/>
      <c r="K3262" s="25" t="str">
        <f ca="1">IFERROR(__xludf.DUMMYFUNCTION("""COMPUTED_VALUE"""),"Definir fecha")</f>
        <v>Definir fecha</v>
      </c>
      <c r="L3262" s="62"/>
      <c r="M3262" s="25"/>
      <c r="N3262" s="25"/>
      <c r="O3262" s="25">
        <f t="shared" si="0"/>
        <v>0</v>
      </c>
      <c r="P3262" s="25" t="str">
        <f t="shared" si="2"/>
        <v/>
      </c>
      <c r="Q3262" s="25" t="str">
        <f ca="1">IFERROR(__xludf.DUMMYFUNCTION("""COMPUTED_VALUE"""),"Sin defenir")</f>
        <v>Sin defenir</v>
      </c>
      <c r="R3262" s="25"/>
      <c r="S3262" s="55"/>
      <c r="T3262" s="56"/>
      <c r="U3262" s="25"/>
      <c r="V3262" s="25"/>
      <c r="W3262" s="25"/>
      <c r="X3262" s="25"/>
      <c r="Y3262" s="25"/>
      <c r="Z3262" s="25"/>
    </row>
    <row r="3263" spans="1:26" ht="52.5" customHeight="1" x14ac:dyDescent="0.25">
      <c r="A3263" s="25" t="str">
        <f ca="1">IFERROR(__xludf.DUMMYFUNCTION("""COMPUTED_VALUE"""),"Gesti261")</f>
        <v>Gesti261</v>
      </c>
      <c r="B3263" s="25"/>
      <c r="C3263" s="55"/>
      <c r="D3263" s="25" t="str">
        <f ca="1">IFERROR(__xludf.DUMMYFUNCTION("""COMPUTED_VALUE"""),"Gestión_Pública")</f>
        <v>Gestión_Pública</v>
      </c>
      <c r="E3263" s="25"/>
      <c r="F3263" s="25"/>
      <c r="G3263" s="25"/>
      <c r="H3263" s="25"/>
      <c r="I3263" s="25"/>
      <c r="J3263" s="55"/>
      <c r="K3263" s="25" t="str">
        <f ca="1">IFERROR(__xludf.DUMMYFUNCTION("""COMPUTED_VALUE"""),"Definir fecha")</f>
        <v>Definir fecha</v>
      </c>
      <c r="L3263" s="62"/>
      <c r="M3263" s="25"/>
      <c r="N3263" s="25"/>
      <c r="O3263" s="25">
        <f t="shared" si="0"/>
        <v>0</v>
      </c>
      <c r="P3263" s="25" t="str">
        <f t="shared" si="2"/>
        <v/>
      </c>
      <c r="Q3263" s="25" t="str">
        <f ca="1">IFERROR(__xludf.DUMMYFUNCTION("""COMPUTED_VALUE"""),"Sin defenir")</f>
        <v>Sin defenir</v>
      </c>
      <c r="R3263" s="25"/>
      <c r="S3263" s="55"/>
      <c r="T3263" s="56"/>
      <c r="U3263" s="25"/>
      <c r="V3263" s="25"/>
      <c r="W3263" s="25"/>
      <c r="X3263" s="25"/>
      <c r="Y3263" s="25"/>
      <c r="Z3263" s="25"/>
    </row>
    <row r="3264" spans="1:26" ht="52.5" customHeight="1" x14ac:dyDescent="0.25">
      <c r="A3264" s="25" t="str">
        <f ca="1">IFERROR(__xludf.DUMMYFUNCTION("""COMPUTED_VALUE"""),"Gesti262")</f>
        <v>Gesti262</v>
      </c>
      <c r="B3264" s="25"/>
      <c r="C3264" s="55"/>
      <c r="D3264" s="25" t="str">
        <f ca="1">IFERROR(__xludf.DUMMYFUNCTION("""COMPUTED_VALUE"""),"Gestión_Pública")</f>
        <v>Gestión_Pública</v>
      </c>
      <c r="E3264" s="25"/>
      <c r="F3264" s="25"/>
      <c r="G3264" s="25"/>
      <c r="H3264" s="25"/>
      <c r="I3264" s="25"/>
      <c r="J3264" s="55"/>
      <c r="K3264" s="25" t="str">
        <f ca="1">IFERROR(__xludf.DUMMYFUNCTION("""COMPUTED_VALUE"""),"Definir fecha")</f>
        <v>Definir fecha</v>
      </c>
      <c r="L3264" s="62"/>
      <c r="M3264" s="25"/>
      <c r="N3264" s="25"/>
      <c r="O3264" s="25">
        <f t="shared" si="0"/>
        <v>0</v>
      </c>
      <c r="P3264" s="25" t="str">
        <f t="shared" si="2"/>
        <v/>
      </c>
      <c r="Q3264" s="25" t="str">
        <f ca="1">IFERROR(__xludf.DUMMYFUNCTION("""COMPUTED_VALUE"""),"Sin defenir")</f>
        <v>Sin defenir</v>
      </c>
      <c r="R3264" s="25"/>
      <c r="S3264" s="55"/>
      <c r="T3264" s="56"/>
      <c r="U3264" s="25"/>
      <c r="V3264" s="25"/>
      <c r="W3264" s="25"/>
      <c r="X3264" s="25"/>
      <c r="Y3264" s="25"/>
      <c r="Z3264" s="25"/>
    </row>
    <row r="3265" spans="1:26" ht="52.5" customHeight="1" x14ac:dyDescent="0.25">
      <c r="A3265" s="25" t="str">
        <f ca="1">IFERROR(__xludf.DUMMYFUNCTION("""COMPUTED_VALUE"""),"Gesti263")</f>
        <v>Gesti263</v>
      </c>
      <c r="B3265" s="25"/>
      <c r="C3265" s="55"/>
      <c r="D3265" s="25" t="str">
        <f ca="1">IFERROR(__xludf.DUMMYFUNCTION("""COMPUTED_VALUE"""),"Gestión_Pública")</f>
        <v>Gestión_Pública</v>
      </c>
      <c r="E3265" s="25"/>
      <c r="F3265" s="25"/>
      <c r="G3265" s="25"/>
      <c r="H3265" s="25"/>
      <c r="I3265" s="25"/>
      <c r="J3265" s="55"/>
      <c r="K3265" s="25" t="str">
        <f ca="1">IFERROR(__xludf.DUMMYFUNCTION("""COMPUTED_VALUE"""),"Definir fecha")</f>
        <v>Definir fecha</v>
      </c>
      <c r="L3265" s="62"/>
      <c r="M3265" s="25"/>
      <c r="N3265" s="25"/>
      <c r="O3265" s="25">
        <f t="shared" si="0"/>
        <v>0</v>
      </c>
      <c r="P3265" s="25" t="str">
        <f t="shared" si="2"/>
        <v/>
      </c>
      <c r="Q3265" s="25" t="str">
        <f ca="1">IFERROR(__xludf.DUMMYFUNCTION("""COMPUTED_VALUE"""),"Sin defenir")</f>
        <v>Sin defenir</v>
      </c>
      <c r="R3265" s="25"/>
      <c r="S3265" s="55"/>
      <c r="T3265" s="56"/>
      <c r="U3265" s="25"/>
      <c r="V3265" s="25"/>
      <c r="W3265" s="25"/>
      <c r="X3265" s="25"/>
      <c r="Y3265" s="25"/>
      <c r="Z3265" s="25"/>
    </row>
    <row r="3266" spans="1:26" ht="52.5" customHeight="1" x14ac:dyDescent="0.25">
      <c r="A3266" s="25" t="str">
        <f ca="1">IFERROR(__xludf.DUMMYFUNCTION("""COMPUTED_VALUE"""),"Gesti264")</f>
        <v>Gesti264</v>
      </c>
      <c r="B3266" s="25"/>
      <c r="C3266" s="55"/>
      <c r="D3266" s="25" t="str">
        <f ca="1">IFERROR(__xludf.DUMMYFUNCTION("""COMPUTED_VALUE"""),"Gestión_Pública")</f>
        <v>Gestión_Pública</v>
      </c>
      <c r="E3266" s="25"/>
      <c r="F3266" s="25"/>
      <c r="G3266" s="25"/>
      <c r="H3266" s="25"/>
      <c r="I3266" s="25"/>
      <c r="J3266" s="55"/>
      <c r="K3266" s="25" t="str">
        <f ca="1">IFERROR(__xludf.DUMMYFUNCTION("""COMPUTED_VALUE"""),"Definir fecha")</f>
        <v>Definir fecha</v>
      </c>
      <c r="L3266" s="62"/>
      <c r="M3266" s="25"/>
      <c r="N3266" s="25"/>
      <c r="O3266" s="25">
        <f t="shared" si="0"/>
        <v>0</v>
      </c>
      <c r="P3266" s="25" t="str">
        <f t="shared" si="2"/>
        <v/>
      </c>
      <c r="Q3266" s="25" t="str">
        <f ca="1">IFERROR(__xludf.DUMMYFUNCTION("""COMPUTED_VALUE"""),"Sin defenir")</f>
        <v>Sin defenir</v>
      </c>
      <c r="R3266" s="25"/>
      <c r="S3266" s="55"/>
      <c r="T3266" s="56"/>
      <c r="U3266" s="25"/>
      <c r="V3266" s="25"/>
      <c r="W3266" s="25"/>
      <c r="X3266" s="25"/>
      <c r="Y3266" s="25"/>
      <c r="Z3266" s="25"/>
    </row>
    <row r="3267" spans="1:26" ht="52.5" customHeight="1" x14ac:dyDescent="0.25">
      <c r="A3267" s="25" t="str">
        <f ca="1">IFERROR(__xludf.DUMMYFUNCTION("""COMPUTED_VALUE"""),"Gesti265")</f>
        <v>Gesti265</v>
      </c>
      <c r="B3267" s="25"/>
      <c r="C3267" s="55"/>
      <c r="D3267" s="25" t="str">
        <f ca="1">IFERROR(__xludf.DUMMYFUNCTION("""COMPUTED_VALUE"""),"Gestión_Pública")</f>
        <v>Gestión_Pública</v>
      </c>
      <c r="E3267" s="25"/>
      <c r="F3267" s="25"/>
      <c r="G3267" s="25"/>
      <c r="H3267" s="25"/>
      <c r="I3267" s="25"/>
      <c r="J3267" s="55"/>
      <c r="K3267" s="25" t="str">
        <f ca="1">IFERROR(__xludf.DUMMYFUNCTION("""COMPUTED_VALUE"""),"Definir fecha")</f>
        <v>Definir fecha</v>
      </c>
      <c r="L3267" s="62"/>
      <c r="M3267" s="25"/>
      <c r="N3267" s="25"/>
      <c r="O3267" s="25">
        <f t="shared" si="0"/>
        <v>0</v>
      </c>
      <c r="P3267" s="25" t="str">
        <f t="shared" si="2"/>
        <v/>
      </c>
      <c r="Q3267" s="25" t="str">
        <f ca="1">IFERROR(__xludf.DUMMYFUNCTION("""COMPUTED_VALUE"""),"Sin defenir")</f>
        <v>Sin defenir</v>
      </c>
      <c r="R3267" s="25"/>
      <c r="S3267" s="55"/>
      <c r="T3267" s="56"/>
      <c r="U3267" s="25"/>
      <c r="V3267" s="25"/>
      <c r="W3267" s="25"/>
      <c r="X3267" s="25"/>
      <c r="Y3267" s="25"/>
      <c r="Z3267" s="25"/>
    </row>
    <row r="3268" spans="1:26" ht="52.5" customHeight="1" x14ac:dyDescent="0.25">
      <c r="A3268" s="25" t="str">
        <f ca="1">IFERROR(__xludf.DUMMYFUNCTION("""COMPUTED_VALUE"""),"Gesti266")</f>
        <v>Gesti266</v>
      </c>
      <c r="B3268" s="25"/>
      <c r="C3268" s="55"/>
      <c r="D3268" s="25" t="str">
        <f ca="1">IFERROR(__xludf.DUMMYFUNCTION("""COMPUTED_VALUE"""),"Gestión_Pública")</f>
        <v>Gestión_Pública</v>
      </c>
      <c r="E3268" s="25"/>
      <c r="F3268" s="25"/>
      <c r="G3268" s="25"/>
      <c r="H3268" s="25"/>
      <c r="I3268" s="25"/>
      <c r="J3268" s="55"/>
      <c r="K3268" s="25" t="str">
        <f ca="1">IFERROR(__xludf.DUMMYFUNCTION("""COMPUTED_VALUE"""),"Definir fecha")</f>
        <v>Definir fecha</v>
      </c>
      <c r="L3268" s="62"/>
      <c r="M3268" s="25"/>
      <c r="N3268" s="25"/>
      <c r="O3268" s="25">
        <f t="shared" si="0"/>
        <v>0</v>
      </c>
      <c r="P3268" s="25" t="str">
        <f t="shared" si="2"/>
        <v/>
      </c>
      <c r="Q3268" s="25" t="str">
        <f ca="1">IFERROR(__xludf.DUMMYFUNCTION("""COMPUTED_VALUE"""),"Sin defenir")</f>
        <v>Sin defenir</v>
      </c>
      <c r="R3268" s="25"/>
      <c r="S3268" s="55"/>
      <c r="T3268" s="56"/>
      <c r="U3268" s="25"/>
      <c r="V3268" s="25"/>
      <c r="W3268" s="25"/>
      <c r="X3268" s="25"/>
      <c r="Y3268" s="25"/>
      <c r="Z3268" s="25"/>
    </row>
    <row r="3269" spans="1:26" ht="52.5" customHeight="1" x14ac:dyDescent="0.25">
      <c r="A3269" s="25" t="str">
        <f ca="1">IFERROR(__xludf.DUMMYFUNCTION("""COMPUTED_VALUE"""),"Gesti267")</f>
        <v>Gesti267</v>
      </c>
      <c r="B3269" s="25"/>
      <c r="C3269" s="55"/>
      <c r="D3269" s="25" t="str">
        <f ca="1">IFERROR(__xludf.DUMMYFUNCTION("""COMPUTED_VALUE"""),"Gestión_Pública")</f>
        <v>Gestión_Pública</v>
      </c>
      <c r="E3269" s="25"/>
      <c r="F3269" s="25"/>
      <c r="G3269" s="25"/>
      <c r="H3269" s="25"/>
      <c r="I3269" s="25"/>
      <c r="J3269" s="55"/>
      <c r="K3269" s="25" t="str">
        <f ca="1">IFERROR(__xludf.DUMMYFUNCTION("""COMPUTED_VALUE"""),"Definir fecha")</f>
        <v>Definir fecha</v>
      </c>
      <c r="L3269" s="62"/>
      <c r="M3269" s="25"/>
      <c r="N3269" s="25"/>
      <c r="O3269" s="25">
        <f t="shared" si="0"/>
        <v>0</v>
      </c>
      <c r="P3269" s="25" t="str">
        <f t="shared" si="2"/>
        <v/>
      </c>
      <c r="Q3269" s="25" t="str">
        <f ca="1">IFERROR(__xludf.DUMMYFUNCTION("""COMPUTED_VALUE"""),"Sin defenir")</f>
        <v>Sin defenir</v>
      </c>
      <c r="R3269" s="25"/>
      <c r="S3269" s="55"/>
      <c r="T3269" s="56"/>
      <c r="U3269" s="25"/>
      <c r="V3269" s="25"/>
      <c r="W3269" s="25"/>
      <c r="X3269" s="25"/>
      <c r="Y3269" s="25"/>
      <c r="Z3269" s="25"/>
    </row>
    <row r="3270" spans="1:26" ht="52.5" customHeight="1" x14ac:dyDescent="0.25">
      <c r="A3270" s="25" t="str">
        <f ca="1">IFERROR(__xludf.DUMMYFUNCTION("""COMPUTED_VALUE"""),"Gesti268")</f>
        <v>Gesti268</v>
      </c>
      <c r="B3270" s="25"/>
      <c r="C3270" s="55"/>
      <c r="D3270" s="25" t="str">
        <f ca="1">IFERROR(__xludf.DUMMYFUNCTION("""COMPUTED_VALUE"""),"Gestión_Pública")</f>
        <v>Gestión_Pública</v>
      </c>
      <c r="E3270" s="25"/>
      <c r="F3270" s="25"/>
      <c r="G3270" s="25"/>
      <c r="H3270" s="25"/>
      <c r="I3270" s="25"/>
      <c r="J3270" s="55"/>
      <c r="K3270" s="25" t="str">
        <f ca="1">IFERROR(__xludf.DUMMYFUNCTION("""COMPUTED_VALUE"""),"Definir fecha")</f>
        <v>Definir fecha</v>
      </c>
      <c r="L3270" s="62"/>
      <c r="M3270" s="25"/>
      <c r="N3270" s="25"/>
      <c r="O3270" s="25">
        <f t="shared" si="0"/>
        <v>0</v>
      </c>
      <c r="P3270" s="25" t="str">
        <f t="shared" si="2"/>
        <v/>
      </c>
      <c r="Q3270" s="25" t="str">
        <f ca="1">IFERROR(__xludf.DUMMYFUNCTION("""COMPUTED_VALUE"""),"Sin defenir")</f>
        <v>Sin defenir</v>
      </c>
      <c r="R3270" s="25"/>
      <c r="S3270" s="55"/>
      <c r="T3270" s="56"/>
      <c r="U3270" s="25"/>
      <c r="V3270" s="25"/>
      <c r="W3270" s="25"/>
      <c r="X3270" s="25"/>
      <c r="Y3270" s="25"/>
      <c r="Z3270" s="25"/>
    </row>
    <row r="3271" spans="1:26" ht="52.5" customHeight="1" x14ac:dyDescent="0.25">
      <c r="A3271" s="25" t="str">
        <f ca="1">IFERROR(__xludf.DUMMYFUNCTION("""COMPUTED_VALUE"""),"Gesti269")</f>
        <v>Gesti269</v>
      </c>
      <c r="B3271" s="25"/>
      <c r="C3271" s="55"/>
      <c r="D3271" s="25" t="str">
        <f ca="1">IFERROR(__xludf.DUMMYFUNCTION("""COMPUTED_VALUE"""),"Gestión_Pública")</f>
        <v>Gestión_Pública</v>
      </c>
      <c r="E3271" s="25"/>
      <c r="F3271" s="25"/>
      <c r="G3271" s="25"/>
      <c r="H3271" s="25"/>
      <c r="I3271" s="25"/>
      <c r="J3271" s="55"/>
      <c r="K3271" s="25" t="str">
        <f ca="1">IFERROR(__xludf.DUMMYFUNCTION("""COMPUTED_VALUE"""),"Definir fecha")</f>
        <v>Definir fecha</v>
      </c>
      <c r="L3271" s="62"/>
      <c r="M3271" s="25"/>
      <c r="N3271" s="25"/>
      <c r="O3271" s="25">
        <f t="shared" si="0"/>
        <v>0</v>
      </c>
      <c r="P3271" s="25" t="str">
        <f t="shared" si="2"/>
        <v/>
      </c>
      <c r="Q3271" s="25" t="str">
        <f ca="1">IFERROR(__xludf.DUMMYFUNCTION("""COMPUTED_VALUE"""),"Sin defenir")</f>
        <v>Sin defenir</v>
      </c>
      <c r="R3271" s="25"/>
      <c r="S3271" s="55"/>
      <c r="T3271" s="56"/>
      <c r="U3271" s="25"/>
      <c r="V3271" s="25"/>
      <c r="W3271" s="25"/>
      <c r="X3271" s="25"/>
      <c r="Y3271" s="25"/>
      <c r="Z3271" s="25"/>
    </row>
    <row r="3272" spans="1:26" ht="52.5" customHeight="1" x14ac:dyDescent="0.25">
      <c r="A3272" s="25" t="str">
        <f ca="1">IFERROR(__xludf.DUMMYFUNCTION("""COMPUTED_VALUE"""),"Gesti270")</f>
        <v>Gesti270</v>
      </c>
      <c r="B3272" s="25"/>
      <c r="C3272" s="55"/>
      <c r="D3272" s="25" t="str">
        <f ca="1">IFERROR(__xludf.DUMMYFUNCTION("""COMPUTED_VALUE"""),"Gestión_Pública")</f>
        <v>Gestión_Pública</v>
      </c>
      <c r="E3272" s="25"/>
      <c r="F3272" s="25"/>
      <c r="G3272" s="25"/>
      <c r="H3272" s="25"/>
      <c r="I3272" s="25"/>
      <c r="J3272" s="55"/>
      <c r="K3272" s="25" t="str">
        <f ca="1">IFERROR(__xludf.DUMMYFUNCTION("""COMPUTED_VALUE"""),"Definir fecha")</f>
        <v>Definir fecha</v>
      </c>
      <c r="L3272" s="62"/>
      <c r="M3272" s="25"/>
      <c r="N3272" s="25"/>
      <c r="O3272" s="25">
        <f t="shared" si="0"/>
        <v>0</v>
      </c>
      <c r="P3272" s="25" t="str">
        <f t="shared" si="2"/>
        <v/>
      </c>
      <c r="Q3272" s="25" t="str">
        <f ca="1">IFERROR(__xludf.DUMMYFUNCTION("""COMPUTED_VALUE"""),"Sin defenir")</f>
        <v>Sin defenir</v>
      </c>
      <c r="R3272" s="25"/>
      <c r="S3272" s="55"/>
      <c r="T3272" s="56"/>
      <c r="U3272" s="25"/>
      <c r="V3272" s="25"/>
      <c r="W3272" s="25"/>
      <c r="X3272" s="25"/>
      <c r="Y3272" s="25"/>
      <c r="Z3272" s="25"/>
    </row>
    <row r="3273" spans="1:26" ht="52.5" customHeight="1" x14ac:dyDescent="0.25">
      <c r="A3273" s="25" t="str">
        <f ca="1">IFERROR(__xludf.DUMMYFUNCTION("""COMPUTED_VALUE"""),"Gesti271")</f>
        <v>Gesti271</v>
      </c>
      <c r="B3273" s="25"/>
      <c r="C3273" s="55"/>
      <c r="D3273" s="25" t="str">
        <f ca="1">IFERROR(__xludf.DUMMYFUNCTION("""COMPUTED_VALUE"""),"Gestión_Pública")</f>
        <v>Gestión_Pública</v>
      </c>
      <c r="E3273" s="25"/>
      <c r="F3273" s="25"/>
      <c r="G3273" s="25"/>
      <c r="H3273" s="25"/>
      <c r="I3273" s="25"/>
      <c r="J3273" s="55"/>
      <c r="K3273" s="25" t="str">
        <f ca="1">IFERROR(__xludf.DUMMYFUNCTION("""COMPUTED_VALUE"""),"Definir fecha")</f>
        <v>Definir fecha</v>
      </c>
      <c r="L3273" s="62"/>
      <c r="M3273" s="25"/>
      <c r="N3273" s="25"/>
      <c r="O3273" s="25">
        <f t="shared" si="0"/>
        <v>0</v>
      </c>
      <c r="P3273" s="25" t="str">
        <f t="shared" si="2"/>
        <v/>
      </c>
      <c r="Q3273" s="25" t="str">
        <f ca="1">IFERROR(__xludf.DUMMYFUNCTION("""COMPUTED_VALUE"""),"Sin defenir")</f>
        <v>Sin defenir</v>
      </c>
      <c r="R3273" s="25"/>
      <c r="S3273" s="55"/>
      <c r="T3273" s="56"/>
      <c r="U3273" s="25"/>
      <c r="V3273" s="25"/>
      <c r="W3273" s="25"/>
      <c r="X3273" s="25"/>
      <c r="Y3273" s="25"/>
      <c r="Z3273" s="25"/>
    </row>
    <row r="3274" spans="1:26" ht="52.5" customHeight="1" x14ac:dyDescent="0.25">
      <c r="A3274" s="25" t="str">
        <f ca="1">IFERROR(__xludf.DUMMYFUNCTION("""COMPUTED_VALUE"""),"Gesti272")</f>
        <v>Gesti272</v>
      </c>
      <c r="B3274" s="25"/>
      <c r="C3274" s="55"/>
      <c r="D3274" s="25" t="str">
        <f ca="1">IFERROR(__xludf.DUMMYFUNCTION("""COMPUTED_VALUE"""),"Gestión_Pública")</f>
        <v>Gestión_Pública</v>
      </c>
      <c r="E3274" s="25"/>
      <c r="F3274" s="25"/>
      <c r="G3274" s="25"/>
      <c r="H3274" s="25"/>
      <c r="I3274" s="25"/>
      <c r="J3274" s="55"/>
      <c r="K3274" s="25" t="str">
        <f ca="1">IFERROR(__xludf.DUMMYFUNCTION("""COMPUTED_VALUE"""),"Definir fecha")</f>
        <v>Definir fecha</v>
      </c>
      <c r="L3274" s="62"/>
      <c r="M3274" s="25"/>
      <c r="N3274" s="25"/>
      <c r="O3274" s="25">
        <f t="shared" si="0"/>
        <v>0</v>
      </c>
      <c r="P3274" s="25" t="str">
        <f t="shared" si="2"/>
        <v/>
      </c>
      <c r="Q3274" s="25" t="str">
        <f ca="1">IFERROR(__xludf.DUMMYFUNCTION("""COMPUTED_VALUE"""),"Sin defenir")</f>
        <v>Sin defenir</v>
      </c>
      <c r="R3274" s="25"/>
      <c r="S3274" s="55"/>
      <c r="T3274" s="56"/>
      <c r="U3274" s="25"/>
      <c r="V3274" s="25"/>
      <c r="W3274" s="25"/>
      <c r="X3274" s="25"/>
      <c r="Y3274" s="25"/>
      <c r="Z3274" s="25"/>
    </row>
    <row r="3275" spans="1:26" ht="52.5" customHeight="1" x14ac:dyDescent="0.25">
      <c r="A3275" s="25" t="str">
        <f ca="1">IFERROR(__xludf.DUMMYFUNCTION("""COMPUTED_VALUE"""),"Gesti273")</f>
        <v>Gesti273</v>
      </c>
      <c r="B3275" s="25"/>
      <c r="C3275" s="55"/>
      <c r="D3275" s="25" t="str">
        <f ca="1">IFERROR(__xludf.DUMMYFUNCTION("""COMPUTED_VALUE"""),"Gestión_Pública")</f>
        <v>Gestión_Pública</v>
      </c>
      <c r="E3275" s="25"/>
      <c r="F3275" s="25"/>
      <c r="G3275" s="25"/>
      <c r="H3275" s="25"/>
      <c r="I3275" s="25"/>
      <c r="J3275" s="55"/>
      <c r="K3275" s="25" t="str">
        <f ca="1">IFERROR(__xludf.DUMMYFUNCTION("""COMPUTED_VALUE"""),"Definir fecha")</f>
        <v>Definir fecha</v>
      </c>
      <c r="L3275" s="62"/>
      <c r="M3275" s="25"/>
      <c r="N3275" s="25"/>
      <c r="O3275" s="25">
        <f t="shared" si="0"/>
        <v>0</v>
      </c>
      <c r="P3275" s="25" t="str">
        <f t="shared" si="2"/>
        <v/>
      </c>
      <c r="Q3275" s="25" t="str">
        <f ca="1">IFERROR(__xludf.DUMMYFUNCTION("""COMPUTED_VALUE"""),"Sin defenir")</f>
        <v>Sin defenir</v>
      </c>
      <c r="R3275" s="25"/>
      <c r="S3275" s="55"/>
      <c r="T3275" s="56"/>
      <c r="U3275" s="25"/>
      <c r="V3275" s="25"/>
      <c r="W3275" s="25"/>
      <c r="X3275" s="25"/>
      <c r="Y3275" s="25"/>
      <c r="Z3275" s="25"/>
    </row>
    <row r="3276" spans="1:26" ht="52.5" customHeight="1" x14ac:dyDescent="0.25">
      <c r="A3276" s="25" t="str">
        <f ca="1">IFERROR(__xludf.DUMMYFUNCTION("""COMPUTED_VALUE"""),"Gesti274")</f>
        <v>Gesti274</v>
      </c>
      <c r="B3276" s="25"/>
      <c r="C3276" s="55"/>
      <c r="D3276" s="25" t="str">
        <f ca="1">IFERROR(__xludf.DUMMYFUNCTION("""COMPUTED_VALUE"""),"Gestión_Pública")</f>
        <v>Gestión_Pública</v>
      </c>
      <c r="E3276" s="25"/>
      <c r="F3276" s="25"/>
      <c r="G3276" s="25"/>
      <c r="H3276" s="25"/>
      <c r="I3276" s="25"/>
      <c r="J3276" s="55"/>
      <c r="K3276" s="25" t="str">
        <f ca="1">IFERROR(__xludf.DUMMYFUNCTION("""COMPUTED_VALUE"""),"Definir fecha")</f>
        <v>Definir fecha</v>
      </c>
      <c r="L3276" s="62"/>
      <c r="M3276" s="25"/>
      <c r="N3276" s="25"/>
      <c r="O3276" s="25">
        <f t="shared" si="0"/>
        <v>0</v>
      </c>
      <c r="P3276" s="25" t="str">
        <f t="shared" si="2"/>
        <v/>
      </c>
      <c r="Q3276" s="25" t="str">
        <f ca="1">IFERROR(__xludf.DUMMYFUNCTION("""COMPUTED_VALUE"""),"Sin defenir")</f>
        <v>Sin defenir</v>
      </c>
      <c r="R3276" s="25"/>
      <c r="S3276" s="55"/>
      <c r="T3276" s="56"/>
      <c r="U3276" s="25"/>
      <c r="V3276" s="25"/>
      <c r="W3276" s="25"/>
      <c r="X3276" s="25"/>
      <c r="Y3276" s="25"/>
      <c r="Z3276" s="25"/>
    </row>
    <row r="3277" spans="1:26" ht="52.5" customHeight="1" x14ac:dyDescent="0.25">
      <c r="A3277" s="25" t="str">
        <f ca="1">IFERROR(__xludf.DUMMYFUNCTION("""COMPUTED_VALUE"""),"Gesti275")</f>
        <v>Gesti275</v>
      </c>
      <c r="B3277" s="25"/>
      <c r="C3277" s="55"/>
      <c r="D3277" s="25" t="str">
        <f ca="1">IFERROR(__xludf.DUMMYFUNCTION("""COMPUTED_VALUE"""),"Gestión_Pública")</f>
        <v>Gestión_Pública</v>
      </c>
      <c r="E3277" s="25"/>
      <c r="F3277" s="25"/>
      <c r="G3277" s="25"/>
      <c r="H3277" s="25"/>
      <c r="I3277" s="25"/>
      <c r="J3277" s="55"/>
      <c r="K3277" s="25" t="str">
        <f ca="1">IFERROR(__xludf.DUMMYFUNCTION("""COMPUTED_VALUE"""),"Definir fecha")</f>
        <v>Definir fecha</v>
      </c>
      <c r="L3277" s="62"/>
      <c r="M3277" s="25"/>
      <c r="N3277" s="25"/>
      <c r="O3277" s="25">
        <f t="shared" si="0"/>
        <v>0</v>
      </c>
      <c r="P3277" s="25" t="str">
        <f t="shared" si="2"/>
        <v/>
      </c>
      <c r="Q3277" s="25" t="str">
        <f ca="1">IFERROR(__xludf.DUMMYFUNCTION("""COMPUTED_VALUE"""),"Sin defenir")</f>
        <v>Sin defenir</v>
      </c>
      <c r="R3277" s="25"/>
      <c r="S3277" s="55"/>
      <c r="T3277" s="56"/>
      <c r="U3277" s="25"/>
      <c r="V3277" s="25"/>
      <c r="W3277" s="25"/>
      <c r="X3277" s="25"/>
      <c r="Y3277" s="25"/>
      <c r="Z3277" s="25"/>
    </row>
    <row r="3278" spans="1:26" ht="52.5" customHeight="1" x14ac:dyDescent="0.25">
      <c r="A3278" s="25" t="str">
        <f ca="1">IFERROR(__xludf.DUMMYFUNCTION("""COMPUTED_VALUE"""),"Gesti276")</f>
        <v>Gesti276</v>
      </c>
      <c r="B3278" s="25"/>
      <c r="C3278" s="55"/>
      <c r="D3278" s="25" t="str">
        <f ca="1">IFERROR(__xludf.DUMMYFUNCTION("""COMPUTED_VALUE"""),"Gestión_Pública")</f>
        <v>Gestión_Pública</v>
      </c>
      <c r="E3278" s="25"/>
      <c r="F3278" s="25"/>
      <c r="G3278" s="25"/>
      <c r="H3278" s="25"/>
      <c r="I3278" s="25"/>
      <c r="J3278" s="55"/>
      <c r="K3278" s="25" t="str">
        <f ca="1">IFERROR(__xludf.DUMMYFUNCTION("""COMPUTED_VALUE"""),"Definir fecha")</f>
        <v>Definir fecha</v>
      </c>
      <c r="L3278" s="62"/>
      <c r="M3278" s="25"/>
      <c r="N3278" s="25"/>
      <c r="O3278" s="25">
        <f t="shared" si="0"/>
        <v>0</v>
      </c>
      <c r="P3278" s="25" t="str">
        <f t="shared" si="2"/>
        <v/>
      </c>
      <c r="Q3278" s="25" t="str">
        <f ca="1">IFERROR(__xludf.DUMMYFUNCTION("""COMPUTED_VALUE"""),"Sin defenir")</f>
        <v>Sin defenir</v>
      </c>
      <c r="R3278" s="25"/>
      <c r="S3278" s="55"/>
      <c r="T3278" s="56"/>
      <c r="U3278" s="25"/>
      <c r="V3278" s="25"/>
      <c r="W3278" s="25"/>
      <c r="X3278" s="25"/>
      <c r="Y3278" s="25"/>
      <c r="Z3278" s="25"/>
    </row>
    <row r="3279" spans="1:26" ht="52.5" customHeight="1" x14ac:dyDescent="0.25">
      <c r="A3279" s="25" t="str">
        <f ca="1">IFERROR(__xludf.DUMMYFUNCTION("""COMPUTED_VALUE"""),"Gesti277")</f>
        <v>Gesti277</v>
      </c>
      <c r="B3279" s="25"/>
      <c r="C3279" s="55"/>
      <c r="D3279" s="25" t="str">
        <f ca="1">IFERROR(__xludf.DUMMYFUNCTION("""COMPUTED_VALUE"""),"Gestión_Pública")</f>
        <v>Gestión_Pública</v>
      </c>
      <c r="E3279" s="25"/>
      <c r="F3279" s="25"/>
      <c r="G3279" s="25"/>
      <c r="H3279" s="25"/>
      <c r="I3279" s="25"/>
      <c r="J3279" s="55"/>
      <c r="K3279" s="25" t="str">
        <f ca="1">IFERROR(__xludf.DUMMYFUNCTION("""COMPUTED_VALUE"""),"Definir fecha")</f>
        <v>Definir fecha</v>
      </c>
      <c r="L3279" s="62"/>
      <c r="M3279" s="25"/>
      <c r="N3279" s="25"/>
      <c r="O3279" s="25">
        <f t="shared" si="0"/>
        <v>0</v>
      </c>
      <c r="P3279" s="25" t="str">
        <f t="shared" si="2"/>
        <v/>
      </c>
      <c r="Q3279" s="25" t="str">
        <f ca="1">IFERROR(__xludf.DUMMYFUNCTION("""COMPUTED_VALUE"""),"Sin defenir")</f>
        <v>Sin defenir</v>
      </c>
      <c r="R3279" s="25"/>
      <c r="S3279" s="55"/>
      <c r="T3279" s="56"/>
      <c r="U3279" s="25"/>
      <c r="V3279" s="25"/>
      <c r="W3279" s="25"/>
      <c r="X3279" s="25"/>
      <c r="Y3279" s="25"/>
      <c r="Z3279" s="25"/>
    </row>
    <row r="3280" spans="1:26" ht="52.5" customHeight="1" x14ac:dyDescent="0.25">
      <c r="A3280" s="25" t="str">
        <f ca="1">IFERROR(__xludf.DUMMYFUNCTION("""COMPUTED_VALUE"""),"Gesti278")</f>
        <v>Gesti278</v>
      </c>
      <c r="B3280" s="25"/>
      <c r="C3280" s="55"/>
      <c r="D3280" s="25" t="str">
        <f ca="1">IFERROR(__xludf.DUMMYFUNCTION("""COMPUTED_VALUE"""),"Gestión_Pública")</f>
        <v>Gestión_Pública</v>
      </c>
      <c r="E3280" s="25"/>
      <c r="F3280" s="25"/>
      <c r="G3280" s="25"/>
      <c r="H3280" s="25"/>
      <c r="I3280" s="25"/>
      <c r="J3280" s="55"/>
      <c r="K3280" s="25" t="str">
        <f ca="1">IFERROR(__xludf.DUMMYFUNCTION("""COMPUTED_VALUE"""),"Definir fecha")</f>
        <v>Definir fecha</v>
      </c>
      <c r="L3280" s="62"/>
      <c r="M3280" s="25"/>
      <c r="N3280" s="25"/>
      <c r="O3280" s="25">
        <f t="shared" si="0"/>
        <v>0</v>
      </c>
      <c r="P3280" s="25" t="str">
        <f t="shared" si="2"/>
        <v/>
      </c>
      <c r="Q3280" s="25" t="str">
        <f ca="1">IFERROR(__xludf.DUMMYFUNCTION("""COMPUTED_VALUE"""),"Sin defenir")</f>
        <v>Sin defenir</v>
      </c>
      <c r="R3280" s="25"/>
      <c r="S3280" s="55"/>
      <c r="T3280" s="56"/>
      <c r="U3280" s="25"/>
      <c r="V3280" s="25"/>
      <c r="W3280" s="25"/>
      <c r="X3280" s="25"/>
      <c r="Y3280" s="25"/>
      <c r="Z3280" s="25"/>
    </row>
    <row r="3281" spans="1:26" ht="52.5" customHeight="1" x14ac:dyDescent="0.25">
      <c r="A3281" s="25" t="str">
        <f ca="1">IFERROR(__xludf.DUMMYFUNCTION("""COMPUTED_VALUE"""),"Gesti279")</f>
        <v>Gesti279</v>
      </c>
      <c r="B3281" s="25"/>
      <c r="C3281" s="55"/>
      <c r="D3281" s="25" t="str">
        <f ca="1">IFERROR(__xludf.DUMMYFUNCTION("""COMPUTED_VALUE"""),"Gestión_Pública")</f>
        <v>Gestión_Pública</v>
      </c>
      <c r="E3281" s="25"/>
      <c r="F3281" s="25"/>
      <c r="G3281" s="25"/>
      <c r="H3281" s="25"/>
      <c r="I3281" s="25"/>
      <c r="J3281" s="55"/>
      <c r="K3281" s="25" t="str">
        <f ca="1">IFERROR(__xludf.DUMMYFUNCTION("""COMPUTED_VALUE"""),"Definir fecha")</f>
        <v>Definir fecha</v>
      </c>
      <c r="L3281" s="62"/>
      <c r="M3281" s="25"/>
      <c r="N3281" s="25"/>
      <c r="O3281" s="25">
        <f t="shared" si="0"/>
        <v>0</v>
      </c>
      <c r="P3281" s="25" t="str">
        <f t="shared" si="2"/>
        <v/>
      </c>
      <c r="Q3281" s="25" t="str">
        <f ca="1">IFERROR(__xludf.DUMMYFUNCTION("""COMPUTED_VALUE"""),"Sin defenir")</f>
        <v>Sin defenir</v>
      </c>
      <c r="R3281" s="25"/>
      <c r="S3281" s="55"/>
      <c r="T3281" s="56"/>
      <c r="U3281" s="25"/>
      <c r="V3281" s="25"/>
      <c r="W3281" s="25"/>
      <c r="X3281" s="25"/>
      <c r="Y3281" s="25"/>
      <c r="Z3281" s="25"/>
    </row>
    <row r="3282" spans="1:26" ht="52.5" customHeight="1" x14ac:dyDescent="0.25">
      <c r="A3282" s="25" t="str">
        <f ca="1">IFERROR(__xludf.DUMMYFUNCTION("""COMPUTED_VALUE"""),"Gesti280")</f>
        <v>Gesti280</v>
      </c>
      <c r="B3282" s="25"/>
      <c r="C3282" s="55"/>
      <c r="D3282" s="25" t="str">
        <f ca="1">IFERROR(__xludf.DUMMYFUNCTION("""COMPUTED_VALUE"""),"Gestión_Pública")</f>
        <v>Gestión_Pública</v>
      </c>
      <c r="E3282" s="25"/>
      <c r="F3282" s="25"/>
      <c r="G3282" s="25"/>
      <c r="H3282" s="25"/>
      <c r="I3282" s="25"/>
      <c r="J3282" s="55"/>
      <c r="K3282" s="25" t="str">
        <f ca="1">IFERROR(__xludf.DUMMYFUNCTION("""COMPUTED_VALUE"""),"Definir fecha")</f>
        <v>Definir fecha</v>
      </c>
      <c r="L3282" s="62"/>
      <c r="M3282" s="25"/>
      <c r="N3282" s="25"/>
      <c r="O3282" s="25">
        <f t="shared" si="0"/>
        <v>0</v>
      </c>
      <c r="P3282" s="25" t="str">
        <f t="shared" si="2"/>
        <v/>
      </c>
      <c r="Q3282" s="25" t="str">
        <f ca="1">IFERROR(__xludf.DUMMYFUNCTION("""COMPUTED_VALUE"""),"Sin defenir")</f>
        <v>Sin defenir</v>
      </c>
      <c r="R3282" s="25"/>
      <c r="S3282" s="55"/>
      <c r="T3282" s="56"/>
      <c r="U3282" s="25"/>
      <c r="V3282" s="25"/>
      <c r="W3282" s="25"/>
      <c r="X3282" s="25"/>
      <c r="Y3282" s="25"/>
      <c r="Z3282" s="25"/>
    </row>
    <row r="3283" spans="1:26" ht="52.5" customHeight="1" x14ac:dyDescent="0.25">
      <c r="A3283" s="25" t="str">
        <f ca="1">IFERROR(__xludf.DUMMYFUNCTION("""COMPUTED_VALUE"""),"Gesti281")</f>
        <v>Gesti281</v>
      </c>
      <c r="B3283" s="25"/>
      <c r="C3283" s="55"/>
      <c r="D3283" s="25" t="str">
        <f ca="1">IFERROR(__xludf.DUMMYFUNCTION("""COMPUTED_VALUE"""),"Gestión_Pública")</f>
        <v>Gestión_Pública</v>
      </c>
      <c r="E3283" s="25"/>
      <c r="F3283" s="25"/>
      <c r="G3283" s="25"/>
      <c r="H3283" s="25"/>
      <c r="I3283" s="25"/>
      <c r="J3283" s="55"/>
      <c r="K3283" s="25" t="str">
        <f ca="1">IFERROR(__xludf.DUMMYFUNCTION("""COMPUTED_VALUE"""),"Definir fecha")</f>
        <v>Definir fecha</v>
      </c>
      <c r="L3283" s="62"/>
      <c r="M3283" s="25"/>
      <c r="N3283" s="25"/>
      <c r="O3283" s="25">
        <f t="shared" si="0"/>
        <v>0</v>
      </c>
      <c r="P3283" s="25" t="str">
        <f t="shared" si="2"/>
        <v/>
      </c>
      <c r="Q3283" s="25" t="str">
        <f ca="1">IFERROR(__xludf.DUMMYFUNCTION("""COMPUTED_VALUE"""),"Sin defenir")</f>
        <v>Sin defenir</v>
      </c>
      <c r="R3283" s="25"/>
      <c r="S3283" s="55"/>
      <c r="T3283" s="56"/>
      <c r="U3283" s="25"/>
      <c r="V3283" s="25"/>
      <c r="W3283" s="25"/>
      <c r="X3283" s="25"/>
      <c r="Y3283" s="25"/>
      <c r="Z3283" s="25"/>
    </row>
    <row r="3284" spans="1:26" ht="52.5" customHeight="1" x14ac:dyDescent="0.25">
      <c r="A3284" s="25" t="str">
        <f ca="1">IFERROR(__xludf.DUMMYFUNCTION("""COMPUTED_VALUE"""),"Gesti282")</f>
        <v>Gesti282</v>
      </c>
      <c r="B3284" s="25"/>
      <c r="C3284" s="55"/>
      <c r="D3284" s="25" t="str">
        <f ca="1">IFERROR(__xludf.DUMMYFUNCTION("""COMPUTED_VALUE"""),"Gestión_Pública")</f>
        <v>Gestión_Pública</v>
      </c>
      <c r="E3284" s="25"/>
      <c r="F3284" s="25"/>
      <c r="G3284" s="25"/>
      <c r="H3284" s="25"/>
      <c r="I3284" s="25"/>
      <c r="J3284" s="55"/>
      <c r="K3284" s="25" t="str">
        <f ca="1">IFERROR(__xludf.DUMMYFUNCTION("""COMPUTED_VALUE"""),"Definir fecha")</f>
        <v>Definir fecha</v>
      </c>
      <c r="L3284" s="62"/>
      <c r="M3284" s="25"/>
      <c r="N3284" s="25"/>
      <c r="O3284" s="25">
        <f t="shared" si="0"/>
        <v>0</v>
      </c>
      <c r="P3284" s="25" t="str">
        <f t="shared" si="2"/>
        <v/>
      </c>
      <c r="Q3284" s="25" t="str">
        <f ca="1">IFERROR(__xludf.DUMMYFUNCTION("""COMPUTED_VALUE"""),"Sin defenir")</f>
        <v>Sin defenir</v>
      </c>
      <c r="R3284" s="25"/>
      <c r="S3284" s="55"/>
      <c r="T3284" s="56"/>
      <c r="U3284" s="25"/>
      <c r="V3284" s="25"/>
      <c r="W3284" s="25"/>
      <c r="X3284" s="25"/>
      <c r="Y3284" s="25"/>
      <c r="Z3284" s="25"/>
    </row>
    <row r="3285" spans="1:26" ht="52.5" customHeight="1" x14ac:dyDescent="0.25">
      <c r="A3285" s="25" t="str">
        <f ca="1">IFERROR(__xludf.DUMMYFUNCTION("""COMPUTED_VALUE"""),"Gesti283")</f>
        <v>Gesti283</v>
      </c>
      <c r="B3285" s="25"/>
      <c r="C3285" s="55"/>
      <c r="D3285" s="25" t="str">
        <f ca="1">IFERROR(__xludf.DUMMYFUNCTION("""COMPUTED_VALUE"""),"Gestión_Pública")</f>
        <v>Gestión_Pública</v>
      </c>
      <c r="E3285" s="25"/>
      <c r="F3285" s="25"/>
      <c r="G3285" s="25"/>
      <c r="H3285" s="25"/>
      <c r="I3285" s="25"/>
      <c r="J3285" s="55"/>
      <c r="K3285" s="25" t="str">
        <f ca="1">IFERROR(__xludf.DUMMYFUNCTION("""COMPUTED_VALUE"""),"Definir fecha")</f>
        <v>Definir fecha</v>
      </c>
      <c r="L3285" s="62"/>
      <c r="M3285" s="25"/>
      <c r="N3285" s="25"/>
      <c r="O3285" s="25">
        <f t="shared" si="0"/>
        <v>0</v>
      </c>
      <c r="P3285" s="25" t="str">
        <f t="shared" si="2"/>
        <v/>
      </c>
      <c r="Q3285" s="25" t="str">
        <f ca="1">IFERROR(__xludf.DUMMYFUNCTION("""COMPUTED_VALUE"""),"Sin defenir")</f>
        <v>Sin defenir</v>
      </c>
      <c r="R3285" s="25"/>
      <c r="S3285" s="55"/>
      <c r="T3285" s="56"/>
      <c r="U3285" s="25"/>
      <c r="V3285" s="25"/>
      <c r="W3285" s="25"/>
      <c r="X3285" s="25"/>
      <c r="Y3285" s="25"/>
      <c r="Z3285" s="25"/>
    </row>
    <row r="3286" spans="1:26" ht="52.5" customHeight="1" x14ac:dyDescent="0.25">
      <c r="A3286" s="25" t="str">
        <f ca="1">IFERROR(__xludf.DUMMYFUNCTION("""COMPUTED_VALUE"""),"Gesti284")</f>
        <v>Gesti284</v>
      </c>
      <c r="B3286" s="25"/>
      <c r="C3286" s="55"/>
      <c r="D3286" s="25" t="str">
        <f ca="1">IFERROR(__xludf.DUMMYFUNCTION("""COMPUTED_VALUE"""),"Gestión_Pública")</f>
        <v>Gestión_Pública</v>
      </c>
      <c r="E3286" s="25"/>
      <c r="F3286" s="25"/>
      <c r="G3286" s="25"/>
      <c r="H3286" s="25"/>
      <c r="I3286" s="25"/>
      <c r="J3286" s="55"/>
      <c r="K3286" s="25" t="str">
        <f ca="1">IFERROR(__xludf.DUMMYFUNCTION("""COMPUTED_VALUE"""),"Definir fecha")</f>
        <v>Definir fecha</v>
      </c>
      <c r="L3286" s="62"/>
      <c r="M3286" s="25"/>
      <c r="N3286" s="25"/>
      <c r="O3286" s="25">
        <f t="shared" si="0"/>
        <v>0</v>
      </c>
      <c r="P3286" s="25" t="str">
        <f t="shared" si="2"/>
        <v/>
      </c>
      <c r="Q3286" s="25" t="str">
        <f ca="1">IFERROR(__xludf.DUMMYFUNCTION("""COMPUTED_VALUE"""),"Sin defenir")</f>
        <v>Sin defenir</v>
      </c>
      <c r="R3286" s="25"/>
      <c r="S3286" s="55"/>
      <c r="T3286" s="56"/>
      <c r="U3286" s="25"/>
      <c r="V3286" s="25"/>
      <c r="W3286" s="25"/>
      <c r="X3286" s="25"/>
      <c r="Y3286" s="25"/>
      <c r="Z3286" s="25"/>
    </row>
    <row r="3287" spans="1:26" ht="52.5" customHeight="1" x14ac:dyDescent="0.25">
      <c r="A3287" s="25" t="str">
        <f ca="1">IFERROR(__xludf.DUMMYFUNCTION("""COMPUTED_VALUE"""),"Gesti285")</f>
        <v>Gesti285</v>
      </c>
      <c r="B3287" s="25"/>
      <c r="C3287" s="55"/>
      <c r="D3287" s="25" t="str">
        <f ca="1">IFERROR(__xludf.DUMMYFUNCTION("""COMPUTED_VALUE"""),"Gestión_Pública")</f>
        <v>Gestión_Pública</v>
      </c>
      <c r="E3287" s="25"/>
      <c r="F3287" s="25"/>
      <c r="G3287" s="25"/>
      <c r="H3287" s="25"/>
      <c r="I3287" s="25"/>
      <c r="J3287" s="55"/>
      <c r="K3287" s="25" t="str">
        <f ca="1">IFERROR(__xludf.DUMMYFUNCTION("""COMPUTED_VALUE"""),"Definir fecha")</f>
        <v>Definir fecha</v>
      </c>
      <c r="L3287" s="62"/>
      <c r="M3287" s="25"/>
      <c r="N3287" s="25"/>
      <c r="O3287" s="25">
        <f t="shared" si="0"/>
        <v>0</v>
      </c>
      <c r="P3287" s="25" t="str">
        <f t="shared" si="2"/>
        <v/>
      </c>
      <c r="Q3287" s="25" t="str">
        <f ca="1">IFERROR(__xludf.DUMMYFUNCTION("""COMPUTED_VALUE"""),"Sin defenir")</f>
        <v>Sin defenir</v>
      </c>
      <c r="R3287" s="25"/>
      <c r="S3287" s="55"/>
      <c r="T3287" s="56"/>
      <c r="U3287" s="25"/>
      <c r="V3287" s="25"/>
      <c r="W3287" s="25"/>
      <c r="X3287" s="25"/>
      <c r="Y3287" s="25"/>
      <c r="Z3287" s="25"/>
    </row>
    <row r="3288" spans="1:26" ht="52.5" customHeight="1" x14ac:dyDescent="0.25">
      <c r="A3288" s="25" t="str">
        <f ca="1">IFERROR(__xludf.DUMMYFUNCTION("""COMPUTED_VALUE"""),"Gesti286")</f>
        <v>Gesti286</v>
      </c>
      <c r="B3288" s="25"/>
      <c r="C3288" s="55"/>
      <c r="D3288" s="25" t="str">
        <f ca="1">IFERROR(__xludf.DUMMYFUNCTION("""COMPUTED_VALUE"""),"Gestión_Pública")</f>
        <v>Gestión_Pública</v>
      </c>
      <c r="E3288" s="25"/>
      <c r="F3288" s="25"/>
      <c r="G3288" s="25"/>
      <c r="H3288" s="25"/>
      <c r="I3288" s="25"/>
      <c r="J3288" s="55"/>
      <c r="K3288" s="25" t="str">
        <f ca="1">IFERROR(__xludf.DUMMYFUNCTION("""COMPUTED_VALUE"""),"Definir fecha")</f>
        <v>Definir fecha</v>
      </c>
      <c r="L3288" s="62"/>
      <c r="M3288" s="25"/>
      <c r="N3288" s="25"/>
      <c r="O3288" s="25">
        <f t="shared" si="0"/>
        <v>0</v>
      </c>
      <c r="P3288" s="25" t="str">
        <f t="shared" si="2"/>
        <v/>
      </c>
      <c r="Q3288" s="25" t="str">
        <f ca="1">IFERROR(__xludf.DUMMYFUNCTION("""COMPUTED_VALUE"""),"Sin defenir")</f>
        <v>Sin defenir</v>
      </c>
      <c r="R3288" s="25"/>
      <c r="S3288" s="55"/>
      <c r="T3288" s="56"/>
      <c r="U3288" s="25"/>
      <c r="V3288" s="25"/>
      <c r="W3288" s="25"/>
      <c r="X3288" s="25"/>
      <c r="Y3288" s="25"/>
      <c r="Z3288" s="25"/>
    </row>
    <row r="3289" spans="1:26" ht="52.5" customHeight="1" x14ac:dyDescent="0.25">
      <c r="A3289" s="25" t="str">
        <f ca="1">IFERROR(__xludf.DUMMYFUNCTION("""COMPUTED_VALUE"""),"Gesti287")</f>
        <v>Gesti287</v>
      </c>
      <c r="B3289" s="25"/>
      <c r="C3289" s="55"/>
      <c r="D3289" s="25" t="str">
        <f ca="1">IFERROR(__xludf.DUMMYFUNCTION("""COMPUTED_VALUE"""),"Gestión_Pública")</f>
        <v>Gestión_Pública</v>
      </c>
      <c r="E3289" s="25"/>
      <c r="F3289" s="25"/>
      <c r="G3289" s="25"/>
      <c r="H3289" s="25"/>
      <c r="I3289" s="25"/>
      <c r="J3289" s="55"/>
      <c r="K3289" s="25" t="str">
        <f ca="1">IFERROR(__xludf.DUMMYFUNCTION("""COMPUTED_VALUE"""),"Definir fecha")</f>
        <v>Definir fecha</v>
      </c>
      <c r="L3289" s="62"/>
      <c r="M3289" s="25"/>
      <c r="N3289" s="25"/>
      <c r="O3289" s="25">
        <f t="shared" si="0"/>
        <v>0</v>
      </c>
      <c r="P3289" s="25" t="str">
        <f t="shared" si="2"/>
        <v/>
      </c>
      <c r="Q3289" s="25" t="str">
        <f ca="1">IFERROR(__xludf.DUMMYFUNCTION("""COMPUTED_VALUE"""),"Sin defenir")</f>
        <v>Sin defenir</v>
      </c>
      <c r="R3289" s="25"/>
      <c r="S3289" s="55"/>
      <c r="T3289" s="56"/>
      <c r="U3289" s="25"/>
      <c r="V3289" s="25"/>
      <c r="W3289" s="25"/>
      <c r="X3289" s="25"/>
      <c r="Y3289" s="25"/>
      <c r="Z3289" s="25"/>
    </row>
    <row r="3290" spans="1:26" ht="52.5" customHeight="1" x14ac:dyDescent="0.25">
      <c r="A3290" s="25" t="str">
        <f ca="1">IFERROR(__xludf.DUMMYFUNCTION("""COMPUTED_VALUE"""),"Gesti288")</f>
        <v>Gesti288</v>
      </c>
      <c r="B3290" s="25"/>
      <c r="C3290" s="55"/>
      <c r="D3290" s="25" t="str">
        <f ca="1">IFERROR(__xludf.DUMMYFUNCTION("""COMPUTED_VALUE"""),"Gestión_Pública")</f>
        <v>Gestión_Pública</v>
      </c>
      <c r="E3290" s="25"/>
      <c r="F3290" s="25"/>
      <c r="G3290" s="25"/>
      <c r="H3290" s="25"/>
      <c r="I3290" s="25"/>
      <c r="J3290" s="55"/>
      <c r="K3290" s="25" t="str">
        <f ca="1">IFERROR(__xludf.DUMMYFUNCTION("""COMPUTED_VALUE"""),"Definir fecha")</f>
        <v>Definir fecha</v>
      </c>
      <c r="L3290" s="62"/>
      <c r="M3290" s="25"/>
      <c r="N3290" s="25"/>
      <c r="O3290" s="25">
        <f t="shared" si="0"/>
        <v>0</v>
      </c>
      <c r="P3290" s="25" t="str">
        <f t="shared" si="2"/>
        <v/>
      </c>
      <c r="Q3290" s="25" t="str">
        <f ca="1">IFERROR(__xludf.DUMMYFUNCTION("""COMPUTED_VALUE"""),"Sin defenir")</f>
        <v>Sin defenir</v>
      </c>
      <c r="R3290" s="25"/>
      <c r="S3290" s="55"/>
      <c r="T3290" s="56"/>
      <c r="U3290" s="25"/>
      <c r="V3290" s="25"/>
      <c r="W3290" s="25"/>
      <c r="X3290" s="25"/>
      <c r="Y3290" s="25"/>
      <c r="Z3290" s="25"/>
    </row>
    <row r="3291" spans="1:26" ht="52.5" customHeight="1" x14ac:dyDescent="0.25">
      <c r="A3291" s="25" t="str">
        <f ca="1">IFERROR(__xludf.DUMMYFUNCTION("""COMPUTED_VALUE"""),"Gesti289")</f>
        <v>Gesti289</v>
      </c>
      <c r="B3291" s="25"/>
      <c r="C3291" s="55"/>
      <c r="D3291" s="25" t="str">
        <f ca="1">IFERROR(__xludf.DUMMYFUNCTION("""COMPUTED_VALUE"""),"Gestión_Pública")</f>
        <v>Gestión_Pública</v>
      </c>
      <c r="E3291" s="25"/>
      <c r="F3291" s="25"/>
      <c r="G3291" s="25"/>
      <c r="H3291" s="25"/>
      <c r="I3291" s="25"/>
      <c r="J3291" s="55"/>
      <c r="K3291" s="25" t="str">
        <f ca="1">IFERROR(__xludf.DUMMYFUNCTION("""COMPUTED_VALUE"""),"Definir fecha")</f>
        <v>Definir fecha</v>
      </c>
      <c r="L3291" s="62"/>
      <c r="M3291" s="25"/>
      <c r="N3291" s="25"/>
      <c r="O3291" s="25">
        <f t="shared" si="0"/>
        <v>0</v>
      </c>
      <c r="P3291" s="25" t="str">
        <f t="shared" si="2"/>
        <v/>
      </c>
      <c r="Q3291" s="25" t="str">
        <f ca="1">IFERROR(__xludf.DUMMYFUNCTION("""COMPUTED_VALUE"""),"Sin defenir")</f>
        <v>Sin defenir</v>
      </c>
      <c r="R3291" s="25"/>
      <c r="S3291" s="55"/>
      <c r="T3291" s="56"/>
      <c r="U3291" s="25"/>
      <c r="V3291" s="25"/>
      <c r="W3291" s="25"/>
      <c r="X3291" s="25"/>
      <c r="Y3291" s="25"/>
      <c r="Z3291" s="25"/>
    </row>
    <row r="3292" spans="1:26" ht="52.5" customHeight="1" x14ac:dyDescent="0.25">
      <c r="A3292" s="25" t="str">
        <f ca="1">IFERROR(__xludf.DUMMYFUNCTION("""COMPUTED_VALUE"""),"Gesti290")</f>
        <v>Gesti290</v>
      </c>
      <c r="B3292" s="25"/>
      <c r="C3292" s="55"/>
      <c r="D3292" s="25" t="str">
        <f ca="1">IFERROR(__xludf.DUMMYFUNCTION("""COMPUTED_VALUE"""),"Gestión_Pública")</f>
        <v>Gestión_Pública</v>
      </c>
      <c r="E3292" s="25"/>
      <c r="F3292" s="25"/>
      <c r="G3292" s="25"/>
      <c r="H3292" s="25"/>
      <c r="I3292" s="25"/>
      <c r="J3292" s="55"/>
      <c r="K3292" s="25" t="str">
        <f ca="1">IFERROR(__xludf.DUMMYFUNCTION("""COMPUTED_VALUE"""),"Definir fecha")</f>
        <v>Definir fecha</v>
      </c>
      <c r="L3292" s="62"/>
      <c r="M3292" s="25"/>
      <c r="N3292" s="25"/>
      <c r="O3292" s="25">
        <f t="shared" si="0"/>
        <v>0</v>
      </c>
      <c r="P3292" s="25" t="str">
        <f t="shared" si="2"/>
        <v/>
      </c>
      <c r="Q3292" s="25" t="str">
        <f ca="1">IFERROR(__xludf.DUMMYFUNCTION("""COMPUTED_VALUE"""),"Sin defenir")</f>
        <v>Sin defenir</v>
      </c>
      <c r="R3292" s="25"/>
      <c r="S3292" s="55"/>
      <c r="T3292" s="56"/>
      <c r="U3292" s="25"/>
      <c r="V3292" s="25"/>
      <c r="W3292" s="25"/>
      <c r="X3292" s="25"/>
      <c r="Y3292" s="25"/>
      <c r="Z3292" s="25"/>
    </row>
    <row r="3293" spans="1:26" ht="52.5" customHeight="1" x14ac:dyDescent="0.25">
      <c r="A3293" s="25" t="str">
        <f ca="1">IFERROR(__xludf.DUMMYFUNCTION("""COMPUTED_VALUE"""),"Gesti291")</f>
        <v>Gesti291</v>
      </c>
      <c r="B3293" s="25"/>
      <c r="C3293" s="55"/>
      <c r="D3293" s="25" t="str">
        <f ca="1">IFERROR(__xludf.DUMMYFUNCTION("""COMPUTED_VALUE"""),"Gestión_Pública")</f>
        <v>Gestión_Pública</v>
      </c>
      <c r="E3293" s="25"/>
      <c r="F3293" s="25"/>
      <c r="G3293" s="25"/>
      <c r="H3293" s="25"/>
      <c r="I3293" s="25"/>
      <c r="J3293" s="55"/>
      <c r="K3293" s="25" t="str">
        <f ca="1">IFERROR(__xludf.DUMMYFUNCTION("""COMPUTED_VALUE"""),"Definir fecha")</f>
        <v>Definir fecha</v>
      </c>
      <c r="L3293" s="62"/>
      <c r="M3293" s="25"/>
      <c r="N3293" s="25"/>
      <c r="O3293" s="25">
        <f t="shared" si="0"/>
        <v>0</v>
      </c>
      <c r="P3293" s="25" t="str">
        <f t="shared" si="2"/>
        <v/>
      </c>
      <c r="Q3293" s="25" t="str">
        <f ca="1">IFERROR(__xludf.DUMMYFUNCTION("""COMPUTED_VALUE"""),"Sin defenir")</f>
        <v>Sin defenir</v>
      </c>
      <c r="R3293" s="25"/>
      <c r="S3293" s="55"/>
      <c r="T3293" s="56"/>
      <c r="U3293" s="25"/>
      <c r="V3293" s="25"/>
      <c r="W3293" s="25"/>
      <c r="X3293" s="25"/>
      <c r="Y3293" s="25"/>
      <c r="Z3293" s="25"/>
    </row>
    <row r="3294" spans="1:26" ht="52.5" customHeight="1" x14ac:dyDescent="0.25">
      <c r="A3294" s="25" t="str">
        <f ca="1">IFERROR(__xludf.DUMMYFUNCTION("""COMPUTED_VALUE"""),"Gesti292")</f>
        <v>Gesti292</v>
      </c>
      <c r="B3294" s="25"/>
      <c r="C3294" s="55"/>
      <c r="D3294" s="25" t="str">
        <f ca="1">IFERROR(__xludf.DUMMYFUNCTION("""COMPUTED_VALUE"""),"Gestión_Pública")</f>
        <v>Gestión_Pública</v>
      </c>
      <c r="E3294" s="25"/>
      <c r="F3294" s="25"/>
      <c r="G3294" s="25"/>
      <c r="H3294" s="25"/>
      <c r="I3294" s="25"/>
      <c r="J3294" s="55"/>
      <c r="K3294" s="25" t="str">
        <f ca="1">IFERROR(__xludf.DUMMYFUNCTION("""COMPUTED_VALUE"""),"Definir fecha")</f>
        <v>Definir fecha</v>
      </c>
      <c r="L3294" s="62"/>
      <c r="M3294" s="25"/>
      <c r="N3294" s="25"/>
      <c r="O3294" s="25">
        <f t="shared" si="0"/>
        <v>0</v>
      </c>
      <c r="P3294" s="25" t="str">
        <f t="shared" si="2"/>
        <v/>
      </c>
      <c r="Q3294" s="25" t="str">
        <f ca="1">IFERROR(__xludf.DUMMYFUNCTION("""COMPUTED_VALUE"""),"Sin defenir")</f>
        <v>Sin defenir</v>
      </c>
      <c r="R3294" s="25"/>
      <c r="S3294" s="55"/>
      <c r="T3294" s="56"/>
      <c r="U3294" s="25"/>
      <c r="V3294" s="25"/>
      <c r="W3294" s="25"/>
      <c r="X3294" s="25"/>
      <c r="Y3294" s="25"/>
      <c r="Z3294" s="25"/>
    </row>
    <row r="3295" spans="1:26" ht="52.5" customHeight="1" x14ac:dyDescent="0.25">
      <c r="A3295" s="25" t="str">
        <f ca="1">IFERROR(__xludf.DUMMYFUNCTION("""COMPUTED_VALUE"""),"Gesti293")</f>
        <v>Gesti293</v>
      </c>
      <c r="B3295" s="25"/>
      <c r="C3295" s="55"/>
      <c r="D3295" s="25" t="str">
        <f ca="1">IFERROR(__xludf.DUMMYFUNCTION("""COMPUTED_VALUE"""),"Gestión_Pública")</f>
        <v>Gestión_Pública</v>
      </c>
      <c r="E3295" s="25"/>
      <c r="F3295" s="25"/>
      <c r="G3295" s="25"/>
      <c r="H3295" s="25"/>
      <c r="I3295" s="25"/>
      <c r="J3295" s="55"/>
      <c r="K3295" s="25" t="str">
        <f ca="1">IFERROR(__xludf.DUMMYFUNCTION("""COMPUTED_VALUE"""),"Definir fecha")</f>
        <v>Definir fecha</v>
      </c>
      <c r="L3295" s="62"/>
      <c r="M3295" s="25"/>
      <c r="N3295" s="25"/>
      <c r="O3295" s="25">
        <f t="shared" si="0"/>
        <v>0</v>
      </c>
      <c r="P3295" s="25" t="str">
        <f t="shared" si="2"/>
        <v/>
      </c>
      <c r="Q3295" s="25" t="str">
        <f ca="1">IFERROR(__xludf.DUMMYFUNCTION("""COMPUTED_VALUE"""),"Sin defenir")</f>
        <v>Sin defenir</v>
      </c>
      <c r="R3295" s="25"/>
      <c r="S3295" s="55"/>
      <c r="T3295" s="56"/>
      <c r="U3295" s="25"/>
      <c r="V3295" s="25"/>
      <c r="W3295" s="25"/>
      <c r="X3295" s="25"/>
      <c r="Y3295" s="25"/>
      <c r="Z3295" s="25"/>
    </row>
    <row r="3296" spans="1:26" ht="52.5" customHeight="1" x14ac:dyDescent="0.25">
      <c r="A3296" s="25" t="str">
        <f ca="1">IFERROR(__xludf.DUMMYFUNCTION("""COMPUTED_VALUE"""),"Gesti294")</f>
        <v>Gesti294</v>
      </c>
      <c r="B3296" s="25"/>
      <c r="C3296" s="55"/>
      <c r="D3296" s="25" t="str">
        <f ca="1">IFERROR(__xludf.DUMMYFUNCTION("""COMPUTED_VALUE"""),"Gestión_Pública")</f>
        <v>Gestión_Pública</v>
      </c>
      <c r="E3296" s="25"/>
      <c r="F3296" s="25"/>
      <c r="G3296" s="25"/>
      <c r="H3296" s="25"/>
      <c r="I3296" s="25"/>
      <c r="J3296" s="55"/>
      <c r="K3296" s="25" t="str">
        <f ca="1">IFERROR(__xludf.DUMMYFUNCTION("""COMPUTED_VALUE"""),"Definir fecha")</f>
        <v>Definir fecha</v>
      </c>
      <c r="L3296" s="62"/>
      <c r="M3296" s="25"/>
      <c r="N3296" s="25"/>
      <c r="O3296" s="25">
        <f t="shared" si="0"/>
        <v>0</v>
      </c>
      <c r="P3296" s="25" t="str">
        <f t="shared" si="2"/>
        <v/>
      </c>
      <c r="Q3296" s="25" t="str">
        <f ca="1">IFERROR(__xludf.DUMMYFUNCTION("""COMPUTED_VALUE"""),"Sin defenir")</f>
        <v>Sin defenir</v>
      </c>
      <c r="R3296" s="25"/>
      <c r="S3296" s="55"/>
      <c r="T3296" s="56"/>
      <c r="U3296" s="25"/>
      <c r="V3296" s="25"/>
      <c r="W3296" s="25"/>
      <c r="X3296" s="25"/>
      <c r="Y3296" s="25"/>
      <c r="Z3296" s="25"/>
    </row>
    <row r="3297" spans="1:26" ht="52.5" customHeight="1" x14ac:dyDescent="0.25">
      <c r="A3297" s="25" t="str">
        <f ca="1">IFERROR(__xludf.DUMMYFUNCTION("""COMPUTED_VALUE"""),"Gesti295")</f>
        <v>Gesti295</v>
      </c>
      <c r="B3297" s="25"/>
      <c r="C3297" s="55"/>
      <c r="D3297" s="25" t="str">
        <f ca="1">IFERROR(__xludf.DUMMYFUNCTION("""COMPUTED_VALUE"""),"Gestión_Pública")</f>
        <v>Gestión_Pública</v>
      </c>
      <c r="E3297" s="25"/>
      <c r="F3297" s="25"/>
      <c r="G3297" s="25"/>
      <c r="H3297" s="25"/>
      <c r="I3297" s="25"/>
      <c r="J3297" s="55"/>
      <c r="K3297" s="25" t="str">
        <f ca="1">IFERROR(__xludf.DUMMYFUNCTION("""COMPUTED_VALUE"""),"Definir fecha")</f>
        <v>Definir fecha</v>
      </c>
      <c r="L3297" s="62"/>
      <c r="M3297" s="25"/>
      <c r="N3297" s="25"/>
      <c r="O3297" s="25">
        <f t="shared" si="0"/>
        <v>0</v>
      </c>
      <c r="P3297" s="25" t="str">
        <f t="shared" si="2"/>
        <v/>
      </c>
      <c r="Q3297" s="25" t="str">
        <f ca="1">IFERROR(__xludf.DUMMYFUNCTION("""COMPUTED_VALUE"""),"Sin defenir")</f>
        <v>Sin defenir</v>
      </c>
      <c r="R3297" s="25"/>
      <c r="S3297" s="55"/>
      <c r="T3297" s="56"/>
      <c r="U3297" s="25"/>
      <c r="V3297" s="25"/>
      <c r="W3297" s="25"/>
      <c r="X3297" s="25"/>
      <c r="Y3297" s="25"/>
      <c r="Z3297" s="25"/>
    </row>
    <row r="3298" spans="1:26" ht="52.5" customHeight="1" x14ac:dyDescent="0.25">
      <c r="A3298" s="25" t="str">
        <f ca="1">IFERROR(__xludf.DUMMYFUNCTION("""COMPUTED_VALUE"""),"Gesti296")</f>
        <v>Gesti296</v>
      </c>
      <c r="B3298" s="25"/>
      <c r="C3298" s="55"/>
      <c r="D3298" s="25" t="str">
        <f ca="1">IFERROR(__xludf.DUMMYFUNCTION("""COMPUTED_VALUE"""),"Gestión_Pública")</f>
        <v>Gestión_Pública</v>
      </c>
      <c r="E3298" s="25"/>
      <c r="F3298" s="25"/>
      <c r="G3298" s="25"/>
      <c r="H3298" s="25"/>
      <c r="I3298" s="25"/>
      <c r="J3298" s="55"/>
      <c r="K3298" s="25" t="str">
        <f ca="1">IFERROR(__xludf.DUMMYFUNCTION("""COMPUTED_VALUE"""),"Definir fecha")</f>
        <v>Definir fecha</v>
      </c>
      <c r="L3298" s="62"/>
      <c r="M3298" s="25"/>
      <c r="N3298" s="25"/>
      <c r="O3298" s="25">
        <f t="shared" si="0"/>
        <v>0</v>
      </c>
      <c r="P3298" s="25" t="str">
        <f t="shared" si="2"/>
        <v/>
      </c>
      <c r="Q3298" s="25" t="str">
        <f ca="1">IFERROR(__xludf.DUMMYFUNCTION("""COMPUTED_VALUE"""),"Sin defenir")</f>
        <v>Sin defenir</v>
      </c>
      <c r="R3298" s="25"/>
      <c r="S3298" s="55"/>
      <c r="T3298" s="56"/>
      <c r="U3298" s="25"/>
      <c r="V3298" s="25"/>
      <c r="W3298" s="25"/>
      <c r="X3298" s="25"/>
      <c r="Y3298" s="25"/>
      <c r="Z3298" s="25"/>
    </row>
    <row r="3299" spans="1:26" ht="52.5" customHeight="1" x14ac:dyDescent="0.25">
      <c r="A3299" s="25" t="str">
        <f ca="1">IFERROR(__xludf.DUMMYFUNCTION("""COMPUTED_VALUE"""),"Gesti297")</f>
        <v>Gesti297</v>
      </c>
      <c r="B3299" s="25"/>
      <c r="C3299" s="55"/>
      <c r="D3299" s="25" t="str">
        <f ca="1">IFERROR(__xludf.DUMMYFUNCTION("""COMPUTED_VALUE"""),"Gestión_Pública")</f>
        <v>Gestión_Pública</v>
      </c>
      <c r="E3299" s="25"/>
      <c r="F3299" s="25"/>
      <c r="G3299" s="25"/>
      <c r="H3299" s="25"/>
      <c r="I3299" s="25"/>
      <c r="J3299" s="55"/>
      <c r="K3299" s="25" t="str">
        <f ca="1">IFERROR(__xludf.DUMMYFUNCTION("""COMPUTED_VALUE"""),"Definir fecha")</f>
        <v>Definir fecha</v>
      </c>
      <c r="L3299" s="62"/>
      <c r="M3299" s="25"/>
      <c r="N3299" s="25"/>
      <c r="O3299" s="25">
        <f t="shared" si="0"/>
        <v>0</v>
      </c>
      <c r="P3299" s="25" t="str">
        <f t="shared" si="2"/>
        <v/>
      </c>
      <c r="Q3299" s="25" t="str">
        <f ca="1">IFERROR(__xludf.DUMMYFUNCTION("""COMPUTED_VALUE"""),"Sin defenir")</f>
        <v>Sin defenir</v>
      </c>
      <c r="R3299" s="25"/>
      <c r="S3299" s="55"/>
      <c r="T3299" s="56"/>
      <c r="U3299" s="25"/>
      <c r="V3299" s="25"/>
      <c r="W3299" s="25"/>
      <c r="X3299" s="25"/>
      <c r="Y3299" s="25"/>
      <c r="Z3299" s="25"/>
    </row>
    <row r="3300" spans="1:26" ht="52.5" customHeight="1" x14ac:dyDescent="0.25">
      <c r="A3300" s="25" t="str">
        <f ca="1">IFERROR(__xludf.DUMMYFUNCTION("""COMPUTED_VALUE"""),"Gesti298")</f>
        <v>Gesti298</v>
      </c>
      <c r="B3300" s="25"/>
      <c r="C3300" s="55"/>
      <c r="D3300" s="25" t="str">
        <f ca="1">IFERROR(__xludf.DUMMYFUNCTION("""COMPUTED_VALUE"""),"Gestión_Pública")</f>
        <v>Gestión_Pública</v>
      </c>
      <c r="E3300" s="25"/>
      <c r="F3300" s="25"/>
      <c r="G3300" s="25"/>
      <c r="H3300" s="25"/>
      <c r="I3300" s="25"/>
      <c r="J3300" s="55"/>
      <c r="K3300" s="25" t="str">
        <f ca="1">IFERROR(__xludf.DUMMYFUNCTION("""COMPUTED_VALUE"""),"Definir fecha")</f>
        <v>Definir fecha</v>
      </c>
      <c r="L3300" s="62"/>
      <c r="M3300" s="25"/>
      <c r="N3300" s="25"/>
      <c r="O3300" s="25">
        <f t="shared" si="0"/>
        <v>0</v>
      </c>
      <c r="P3300" s="25" t="str">
        <f t="shared" si="2"/>
        <v/>
      </c>
      <c r="Q3300" s="25" t="str">
        <f ca="1">IFERROR(__xludf.DUMMYFUNCTION("""COMPUTED_VALUE"""),"Sin defenir")</f>
        <v>Sin defenir</v>
      </c>
      <c r="R3300" s="25"/>
      <c r="S3300" s="55"/>
      <c r="T3300" s="56"/>
      <c r="U3300" s="25"/>
      <c r="V3300" s="25"/>
      <c r="W3300" s="25"/>
      <c r="X3300" s="25"/>
      <c r="Y3300" s="25"/>
      <c r="Z3300" s="25"/>
    </row>
    <row r="3301" spans="1:26" ht="52.5" customHeight="1" x14ac:dyDescent="0.25">
      <c r="A3301" s="25" t="str">
        <f ca="1">IFERROR(__xludf.DUMMYFUNCTION("""COMPUTED_VALUE"""),"Gesti299")</f>
        <v>Gesti299</v>
      </c>
      <c r="B3301" s="25"/>
      <c r="C3301" s="55"/>
      <c r="D3301" s="25" t="str">
        <f ca="1">IFERROR(__xludf.DUMMYFUNCTION("""COMPUTED_VALUE"""),"Gestión_Pública")</f>
        <v>Gestión_Pública</v>
      </c>
      <c r="E3301" s="25"/>
      <c r="F3301" s="25"/>
      <c r="G3301" s="25"/>
      <c r="H3301" s="25"/>
      <c r="I3301" s="25"/>
      <c r="J3301" s="55"/>
      <c r="K3301" s="25" t="str">
        <f ca="1">IFERROR(__xludf.DUMMYFUNCTION("""COMPUTED_VALUE"""),"Definir fecha")</f>
        <v>Definir fecha</v>
      </c>
      <c r="L3301" s="62"/>
      <c r="M3301" s="25"/>
      <c r="N3301" s="25"/>
      <c r="O3301" s="25">
        <f t="shared" si="0"/>
        <v>0</v>
      </c>
      <c r="P3301" s="25" t="str">
        <f t="shared" si="2"/>
        <v/>
      </c>
      <c r="Q3301" s="25" t="str">
        <f ca="1">IFERROR(__xludf.DUMMYFUNCTION("""COMPUTED_VALUE"""),"Sin defenir")</f>
        <v>Sin defenir</v>
      </c>
      <c r="R3301" s="25"/>
      <c r="S3301" s="55"/>
      <c r="T3301" s="56"/>
      <c r="U3301" s="25"/>
      <c r="V3301" s="25"/>
      <c r="W3301" s="25"/>
      <c r="X3301" s="25"/>
      <c r="Y3301" s="25"/>
      <c r="Z3301" s="25"/>
    </row>
    <row r="3302" spans="1:26" ht="52.5" customHeight="1" x14ac:dyDescent="0.25">
      <c r="A3302" s="25" t="str">
        <f ca="1">IFERROR(__xludf.DUMMYFUNCTION("""COMPUTED_VALUE"""),"Gesti300")</f>
        <v>Gesti300</v>
      </c>
      <c r="B3302" s="25"/>
      <c r="C3302" s="55"/>
      <c r="D3302" s="25" t="str">
        <f ca="1">IFERROR(__xludf.DUMMYFUNCTION("""COMPUTED_VALUE"""),"Gestión_Pública")</f>
        <v>Gestión_Pública</v>
      </c>
      <c r="E3302" s="25"/>
      <c r="F3302" s="25"/>
      <c r="G3302" s="25"/>
      <c r="H3302" s="25"/>
      <c r="I3302" s="25"/>
      <c r="J3302" s="55"/>
      <c r="K3302" s="25" t="str">
        <f ca="1">IFERROR(__xludf.DUMMYFUNCTION("""COMPUTED_VALUE"""),"Definir fecha")</f>
        <v>Definir fecha</v>
      </c>
      <c r="L3302" s="62"/>
      <c r="M3302" s="25"/>
      <c r="N3302" s="25"/>
      <c r="O3302" s="25">
        <f t="shared" si="0"/>
        <v>0</v>
      </c>
      <c r="P3302" s="25" t="str">
        <f t="shared" si="2"/>
        <v/>
      </c>
      <c r="Q3302" s="25" t="str">
        <f ca="1">IFERROR(__xludf.DUMMYFUNCTION("""COMPUTED_VALUE"""),"Sin defenir")</f>
        <v>Sin defenir</v>
      </c>
      <c r="R3302" s="25"/>
      <c r="S3302" s="55"/>
      <c r="T3302" s="56"/>
      <c r="U3302" s="25"/>
      <c r="V3302" s="25"/>
      <c r="W3302" s="25"/>
      <c r="X3302" s="25"/>
      <c r="Y3302" s="25"/>
      <c r="Z3302" s="25"/>
    </row>
    <row r="3303" spans="1:26" ht="52.5" customHeight="1" x14ac:dyDescent="0.25">
      <c r="A3303" s="25" t="str">
        <f ca="1">IFERROR(__xludf.DUMMYFUNCTION("IMPORTRANGE(""https://docs.google.com/spreadsheets/d/1SUh42QDwFP8obN0GNIj4rWfstJx5kDi_GF8-hP5_7Ug/edit#gid=330735094"",""'Secretaría Privada '!A2:K301"")"),"#REF!")</f>
        <v>#REF!</v>
      </c>
      <c r="B3303" s="25"/>
      <c r="C3303" s="55"/>
      <c r="D3303" s="25"/>
      <c r="E3303" s="25"/>
      <c r="F3303" s="25"/>
      <c r="G3303" s="25"/>
      <c r="H3303" s="25"/>
      <c r="I3303" s="25"/>
      <c r="J3303" s="55"/>
      <c r="K3303" s="25"/>
      <c r="L3303" s="62" t="str">
        <f ca="1">IFERROR(__xludf.DUMMYFUNCTION("IMPORTRANGE(""https://docs.google.com/spreadsheets/d/1SUh42QDwFP8obN0GNIj4rWfstJx5kDi_GF8-hP5_7Ug/edit#gid=330735094"",""'Secretaría Privada '!L2:N301"")"),"#REF!")</f>
        <v>#REF!</v>
      </c>
      <c r="M3303" s="25"/>
      <c r="N3303" s="25"/>
      <c r="O3303" s="25">
        <f t="shared" si="0"/>
        <v>0</v>
      </c>
      <c r="P3303" s="25" t="str">
        <f t="shared" si="2"/>
        <v/>
      </c>
      <c r="Q3303" s="25" t="str">
        <f ca="1">IFERROR(__xludf.DUMMYFUNCTION("IMPORTRANGE(""https://docs.google.com/spreadsheets/d/1SUh42QDwFP8obN0GNIj4rWfstJx5kDi_GF8-hP5_7Ug/edit#gid=330735094"",""'Secretaría Privada '!O2:O301"")"),"#REF!")</f>
        <v>#REF!</v>
      </c>
      <c r="R3303" s="25"/>
      <c r="S3303" s="55"/>
      <c r="T3303" s="56"/>
      <c r="U3303" s="25"/>
      <c r="V3303" s="25"/>
      <c r="W3303" s="25"/>
      <c r="X3303" s="25"/>
      <c r="Y3303" s="25"/>
      <c r="Z3303" s="25"/>
    </row>
    <row r="3304" spans="1:26" ht="52.5" customHeight="1" x14ac:dyDescent="0.25">
      <c r="A3304" s="25"/>
      <c r="B3304" s="25"/>
      <c r="C3304" s="55"/>
      <c r="D3304" s="25"/>
      <c r="E3304" s="25"/>
      <c r="F3304" s="25"/>
      <c r="G3304" s="25"/>
      <c r="H3304" s="25"/>
      <c r="I3304" s="25"/>
      <c r="J3304" s="55"/>
      <c r="K3304" s="25"/>
      <c r="L3304" s="62"/>
      <c r="M3304" s="25"/>
      <c r="N3304" s="25"/>
      <c r="O3304" s="25">
        <f t="shared" si="0"/>
        <v>0</v>
      </c>
      <c r="P3304" s="25" t="str">
        <f t="shared" si="2"/>
        <v/>
      </c>
      <c r="Q3304" s="25"/>
      <c r="R3304" s="25"/>
      <c r="S3304" s="55"/>
      <c r="T3304" s="56"/>
      <c r="U3304" s="25"/>
      <c r="V3304" s="25"/>
      <c r="W3304" s="25"/>
      <c r="X3304" s="25"/>
      <c r="Y3304" s="25"/>
      <c r="Z3304" s="25"/>
    </row>
    <row r="3305" spans="1:26" ht="52.5" customHeight="1" x14ac:dyDescent="0.25">
      <c r="A3305" s="25"/>
      <c r="B3305" s="25"/>
      <c r="C3305" s="55"/>
      <c r="D3305" s="25"/>
      <c r="E3305" s="25"/>
      <c r="F3305" s="25"/>
      <c r="G3305" s="25"/>
      <c r="H3305" s="25"/>
      <c r="I3305" s="25"/>
      <c r="J3305" s="55"/>
      <c r="K3305" s="25"/>
      <c r="L3305" s="62"/>
      <c r="M3305" s="25"/>
      <c r="N3305" s="25"/>
      <c r="O3305" s="25">
        <f t="shared" si="0"/>
        <v>0</v>
      </c>
      <c r="P3305" s="25" t="str">
        <f t="shared" si="2"/>
        <v/>
      </c>
      <c r="Q3305" s="25"/>
      <c r="R3305" s="25"/>
      <c r="S3305" s="55"/>
      <c r="T3305" s="56"/>
      <c r="U3305" s="25"/>
      <c r="V3305" s="25"/>
      <c r="W3305" s="25"/>
      <c r="X3305" s="25"/>
      <c r="Y3305" s="25"/>
      <c r="Z3305" s="25"/>
    </row>
    <row r="3306" spans="1:26" ht="52.5" customHeight="1" x14ac:dyDescent="0.25">
      <c r="A3306" s="25"/>
      <c r="B3306" s="25"/>
      <c r="C3306" s="55"/>
      <c r="D3306" s="25"/>
      <c r="E3306" s="25"/>
      <c r="F3306" s="25"/>
      <c r="G3306" s="25"/>
      <c r="H3306" s="25"/>
      <c r="I3306" s="25"/>
      <c r="J3306" s="55"/>
      <c r="K3306" s="25"/>
      <c r="L3306" s="62"/>
      <c r="M3306" s="25"/>
      <c r="N3306" s="25"/>
      <c r="O3306" s="25">
        <f t="shared" si="0"/>
        <v>0</v>
      </c>
      <c r="P3306" s="25" t="str">
        <f t="shared" si="2"/>
        <v/>
      </c>
      <c r="Q3306" s="25"/>
      <c r="R3306" s="25"/>
      <c r="S3306" s="55"/>
      <c r="T3306" s="56"/>
      <c r="U3306" s="25"/>
      <c r="V3306" s="25"/>
      <c r="W3306" s="25"/>
      <c r="X3306" s="25"/>
      <c r="Y3306" s="25"/>
      <c r="Z3306" s="25"/>
    </row>
    <row r="3307" spans="1:26" ht="52.5" customHeight="1" x14ac:dyDescent="0.25">
      <c r="A3307" s="25"/>
      <c r="B3307" s="25"/>
      <c r="C3307" s="55"/>
      <c r="D3307" s="25"/>
      <c r="E3307" s="25"/>
      <c r="F3307" s="25"/>
      <c r="G3307" s="25"/>
      <c r="H3307" s="25"/>
      <c r="I3307" s="25"/>
      <c r="J3307" s="55"/>
      <c r="K3307" s="25"/>
      <c r="L3307" s="62"/>
      <c r="M3307" s="25"/>
      <c r="N3307" s="25"/>
      <c r="O3307" s="25">
        <f t="shared" si="0"/>
        <v>0</v>
      </c>
      <c r="P3307" s="25" t="str">
        <f t="shared" si="2"/>
        <v/>
      </c>
      <c r="Q3307" s="25"/>
      <c r="R3307" s="25"/>
      <c r="S3307" s="55"/>
      <c r="T3307" s="56"/>
      <c r="U3307" s="25"/>
      <c r="V3307" s="25"/>
      <c r="W3307" s="25"/>
      <c r="X3307" s="25"/>
      <c r="Y3307" s="25"/>
      <c r="Z3307" s="25"/>
    </row>
    <row r="3308" spans="1:26" ht="52.5" customHeight="1" x14ac:dyDescent="0.25">
      <c r="A3308" s="25"/>
      <c r="B3308" s="25"/>
      <c r="C3308" s="55"/>
      <c r="D3308" s="25"/>
      <c r="E3308" s="25"/>
      <c r="F3308" s="25"/>
      <c r="G3308" s="25"/>
      <c r="H3308" s="25"/>
      <c r="I3308" s="25"/>
      <c r="J3308" s="55"/>
      <c r="K3308" s="25"/>
      <c r="L3308" s="62"/>
      <c r="M3308" s="25"/>
      <c r="N3308" s="25"/>
      <c r="O3308" s="25">
        <f t="shared" si="0"/>
        <v>0</v>
      </c>
      <c r="P3308" s="25" t="str">
        <f t="shared" si="2"/>
        <v/>
      </c>
      <c r="Q3308" s="25"/>
      <c r="R3308" s="25"/>
      <c r="S3308" s="55"/>
      <c r="T3308" s="56"/>
      <c r="U3308" s="25"/>
      <c r="V3308" s="25"/>
      <c r="W3308" s="25"/>
      <c r="X3308" s="25"/>
      <c r="Y3308" s="25"/>
      <c r="Z3308" s="25"/>
    </row>
    <row r="3309" spans="1:26" ht="52.5" customHeight="1" x14ac:dyDescent="0.25">
      <c r="A3309" s="25"/>
      <c r="B3309" s="25"/>
      <c r="C3309" s="55"/>
      <c r="D3309" s="25"/>
      <c r="E3309" s="25"/>
      <c r="F3309" s="25"/>
      <c r="G3309" s="25"/>
      <c r="H3309" s="25"/>
      <c r="I3309" s="25"/>
      <c r="J3309" s="55"/>
      <c r="K3309" s="25"/>
      <c r="L3309" s="62"/>
      <c r="M3309" s="25"/>
      <c r="N3309" s="25"/>
      <c r="O3309" s="25">
        <f t="shared" si="0"/>
        <v>0</v>
      </c>
      <c r="P3309" s="25" t="str">
        <f t="shared" si="2"/>
        <v/>
      </c>
      <c r="Q3309" s="25"/>
      <c r="R3309" s="25"/>
      <c r="S3309" s="55"/>
      <c r="T3309" s="56"/>
      <c r="U3309" s="25"/>
      <c r="V3309" s="25"/>
      <c r="W3309" s="25"/>
      <c r="X3309" s="25"/>
      <c r="Y3309" s="25"/>
      <c r="Z3309" s="25"/>
    </row>
    <row r="3310" spans="1:26" ht="52.5" customHeight="1" x14ac:dyDescent="0.25">
      <c r="A3310" s="25"/>
      <c r="B3310" s="25"/>
      <c r="C3310" s="55"/>
      <c r="D3310" s="25"/>
      <c r="E3310" s="25"/>
      <c r="F3310" s="25"/>
      <c r="G3310" s="25"/>
      <c r="H3310" s="25"/>
      <c r="I3310" s="25"/>
      <c r="J3310" s="55"/>
      <c r="K3310" s="25"/>
      <c r="L3310" s="62"/>
      <c r="M3310" s="25"/>
      <c r="N3310" s="25"/>
      <c r="O3310" s="25">
        <f t="shared" si="0"/>
        <v>0</v>
      </c>
      <c r="P3310" s="25" t="str">
        <f t="shared" si="2"/>
        <v/>
      </c>
      <c r="Q3310" s="25"/>
      <c r="R3310" s="25"/>
      <c r="S3310" s="55"/>
      <c r="T3310" s="56"/>
      <c r="U3310" s="25"/>
      <c r="V3310" s="25"/>
      <c r="W3310" s="25"/>
      <c r="X3310" s="25"/>
      <c r="Y3310" s="25"/>
      <c r="Z3310" s="25"/>
    </row>
    <row r="3311" spans="1:26" ht="52.5" customHeight="1" x14ac:dyDescent="0.25">
      <c r="A3311" s="25"/>
      <c r="B3311" s="25"/>
      <c r="C3311" s="55"/>
      <c r="D3311" s="25"/>
      <c r="E3311" s="25"/>
      <c r="F3311" s="25"/>
      <c r="G3311" s="25"/>
      <c r="H3311" s="25"/>
      <c r="I3311" s="25"/>
      <c r="J3311" s="55"/>
      <c r="K3311" s="25"/>
      <c r="L3311" s="62"/>
      <c r="M3311" s="25"/>
      <c r="N3311" s="25"/>
      <c r="O3311" s="25">
        <f t="shared" si="0"/>
        <v>0</v>
      </c>
      <c r="P3311" s="25" t="str">
        <f t="shared" si="2"/>
        <v/>
      </c>
      <c r="Q3311" s="25"/>
      <c r="R3311" s="25"/>
      <c r="S3311" s="55"/>
      <c r="T3311" s="56"/>
      <c r="U3311" s="25"/>
      <c r="V3311" s="25"/>
      <c r="W3311" s="25"/>
      <c r="X3311" s="25"/>
      <c r="Y3311" s="25"/>
      <c r="Z3311" s="25"/>
    </row>
    <row r="3312" spans="1:26" ht="52.5" customHeight="1" x14ac:dyDescent="0.25">
      <c r="A3312" s="25"/>
      <c r="B3312" s="25"/>
      <c r="C3312" s="55"/>
      <c r="D3312" s="25"/>
      <c r="E3312" s="25"/>
      <c r="F3312" s="25"/>
      <c r="G3312" s="25"/>
      <c r="H3312" s="25"/>
      <c r="I3312" s="25"/>
      <c r="J3312" s="55"/>
      <c r="K3312" s="25"/>
      <c r="L3312" s="62"/>
      <c r="M3312" s="25"/>
      <c r="N3312" s="25"/>
      <c r="O3312" s="25">
        <f t="shared" si="0"/>
        <v>0</v>
      </c>
      <c r="P3312" s="25" t="str">
        <f t="shared" si="2"/>
        <v/>
      </c>
      <c r="Q3312" s="25"/>
      <c r="R3312" s="25"/>
      <c r="S3312" s="55"/>
      <c r="T3312" s="56"/>
      <c r="U3312" s="25"/>
      <c r="V3312" s="25"/>
      <c r="W3312" s="25"/>
      <c r="X3312" s="25"/>
      <c r="Y3312" s="25"/>
      <c r="Z3312" s="25"/>
    </row>
    <row r="3313" spans="1:26" ht="52.5" customHeight="1" x14ac:dyDescent="0.25">
      <c r="A3313" s="25"/>
      <c r="B3313" s="25"/>
      <c r="C3313" s="55"/>
      <c r="D3313" s="25"/>
      <c r="E3313" s="25"/>
      <c r="F3313" s="25"/>
      <c r="G3313" s="25"/>
      <c r="H3313" s="25"/>
      <c r="I3313" s="25"/>
      <c r="J3313" s="55"/>
      <c r="K3313" s="25"/>
      <c r="L3313" s="62"/>
      <c r="M3313" s="25"/>
      <c r="N3313" s="25"/>
      <c r="O3313" s="25">
        <f t="shared" si="0"/>
        <v>0</v>
      </c>
      <c r="P3313" s="25" t="str">
        <f t="shared" si="2"/>
        <v/>
      </c>
      <c r="Q3313" s="25"/>
      <c r="R3313" s="25"/>
      <c r="S3313" s="55"/>
      <c r="T3313" s="56"/>
      <c r="U3313" s="25"/>
      <c r="V3313" s="25"/>
      <c r="W3313" s="25"/>
      <c r="X3313" s="25"/>
      <c r="Y3313" s="25"/>
      <c r="Z3313" s="25"/>
    </row>
    <row r="3314" spans="1:26" ht="52.5" customHeight="1" x14ac:dyDescent="0.25">
      <c r="A3314" s="25"/>
      <c r="B3314" s="25"/>
      <c r="C3314" s="55"/>
      <c r="D3314" s="25"/>
      <c r="E3314" s="25"/>
      <c r="F3314" s="25"/>
      <c r="G3314" s="25"/>
      <c r="H3314" s="25"/>
      <c r="I3314" s="25"/>
      <c r="J3314" s="55"/>
      <c r="K3314" s="25"/>
      <c r="L3314" s="62"/>
      <c r="M3314" s="25"/>
      <c r="N3314" s="25"/>
      <c r="O3314" s="25">
        <f t="shared" si="0"/>
        <v>0</v>
      </c>
      <c r="P3314" s="25" t="str">
        <f t="shared" si="2"/>
        <v/>
      </c>
      <c r="Q3314" s="25"/>
      <c r="R3314" s="25"/>
      <c r="S3314" s="55"/>
      <c r="T3314" s="56"/>
      <c r="U3314" s="25"/>
      <c r="V3314" s="25"/>
      <c r="W3314" s="25"/>
      <c r="X3314" s="25"/>
      <c r="Y3314" s="25"/>
      <c r="Z3314" s="25"/>
    </row>
    <row r="3315" spans="1:26" ht="52.5" customHeight="1" x14ac:dyDescent="0.25">
      <c r="A3315" s="25"/>
      <c r="B3315" s="25"/>
      <c r="C3315" s="55"/>
      <c r="D3315" s="25"/>
      <c r="E3315" s="25"/>
      <c r="F3315" s="25"/>
      <c r="G3315" s="25"/>
      <c r="H3315" s="25"/>
      <c r="I3315" s="25"/>
      <c r="J3315" s="55"/>
      <c r="K3315" s="25"/>
      <c r="L3315" s="62"/>
      <c r="M3315" s="25"/>
      <c r="N3315" s="25"/>
      <c r="O3315" s="25">
        <f t="shared" si="0"/>
        <v>0</v>
      </c>
      <c r="P3315" s="25" t="str">
        <f t="shared" si="2"/>
        <v/>
      </c>
      <c r="Q3315" s="25"/>
      <c r="R3315" s="25"/>
      <c r="S3315" s="55"/>
      <c r="T3315" s="56"/>
      <c r="U3315" s="25"/>
      <c r="V3315" s="25"/>
      <c r="W3315" s="25"/>
      <c r="X3315" s="25"/>
      <c r="Y3315" s="25"/>
      <c r="Z3315" s="25"/>
    </row>
    <row r="3316" spans="1:26" ht="52.5" customHeight="1" x14ac:dyDescent="0.25">
      <c r="A3316" s="25"/>
      <c r="B3316" s="25"/>
      <c r="C3316" s="55"/>
      <c r="D3316" s="25"/>
      <c r="E3316" s="25"/>
      <c r="F3316" s="25"/>
      <c r="G3316" s="25"/>
      <c r="H3316" s="25"/>
      <c r="I3316" s="25"/>
      <c r="J3316" s="55"/>
      <c r="K3316" s="25"/>
      <c r="L3316" s="62"/>
      <c r="M3316" s="25"/>
      <c r="N3316" s="25"/>
      <c r="O3316" s="25">
        <f t="shared" si="0"/>
        <v>0</v>
      </c>
      <c r="P3316" s="25" t="str">
        <f t="shared" si="2"/>
        <v/>
      </c>
      <c r="Q3316" s="25"/>
      <c r="R3316" s="25"/>
      <c r="S3316" s="55"/>
      <c r="T3316" s="56"/>
      <c r="U3316" s="25"/>
      <c r="V3316" s="25"/>
      <c r="W3316" s="25"/>
      <c r="X3316" s="25"/>
      <c r="Y3316" s="25"/>
      <c r="Z3316" s="25"/>
    </row>
    <row r="3317" spans="1:26" ht="52.5" customHeight="1" x14ac:dyDescent="0.25">
      <c r="A3317" s="25"/>
      <c r="B3317" s="25"/>
      <c r="C3317" s="55"/>
      <c r="D3317" s="25"/>
      <c r="E3317" s="25"/>
      <c r="F3317" s="25"/>
      <c r="G3317" s="25"/>
      <c r="H3317" s="25"/>
      <c r="I3317" s="25"/>
      <c r="J3317" s="55"/>
      <c r="K3317" s="25"/>
      <c r="L3317" s="62"/>
      <c r="M3317" s="25"/>
      <c r="N3317" s="25"/>
      <c r="O3317" s="25">
        <f t="shared" si="0"/>
        <v>0</v>
      </c>
      <c r="P3317" s="25" t="str">
        <f t="shared" si="2"/>
        <v/>
      </c>
      <c r="Q3317" s="25"/>
      <c r="R3317" s="25"/>
      <c r="S3317" s="55"/>
      <c r="T3317" s="56"/>
      <c r="U3317" s="25"/>
      <c r="V3317" s="25"/>
      <c r="W3317" s="25"/>
      <c r="X3317" s="25"/>
      <c r="Y3317" s="25"/>
      <c r="Z3317" s="25"/>
    </row>
    <row r="3318" spans="1:26" ht="52.5" customHeight="1" x14ac:dyDescent="0.25">
      <c r="A3318" s="25"/>
      <c r="B3318" s="25"/>
      <c r="C3318" s="55"/>
      <c r="D3318" s="25"/>
      <c r="E3318" s="25"/>
      <c r="F3318" s="25"/>
      <c r="G3318" s="25"/>
      <c r="H3318" s="25"/>
      <c r="I3318" s="25"/>
      <c r="J3318" s="55"/>
      <c r="K3318" s="25"/>
      <c r="L3318" s="62"/>
      <c r="M3318" s="25"/>
      <c r="N3318" s="25"/>
      <c r="O3318" s="25">
        <f t="shared" si="0"/>
        <v>0</v>
      </c>
      <c r="P3318" s="25" t="str">
        <f t="shared" si="2"/>
        <v/>
      </c>
      <c r="Q3318" s="25"/>
      <c r="R3318" s="25"/>
      <c r="S3318" s="55"/>
      <c r="T3318" s="56"/>
      <c r="U3318" s="25"/>
      <c r="V3318" s="25"/>
      <c r="W3318" s="25"/>
      <c r="X3318" s="25"/>
      <c r="Y3318" s="25"/>
      <c r="Z3318" s="25"/>
    </row>
    <row r="3319" spans="1:26" ht="52.5" customHeight="1" x14ac:dyDescent="0.25">
      <c r="A3319" s="25"/>
      <c r="B3319" s="25"/>
      <c r="C3319" s="55"/>
      <c r="D3319" s="25"/>
      <c r="E3319" s="25"/>
      <c r="F3319" s="25"/>
      <c r="G3319" s="25"/>
      <c r="H3319" s="25"/>
      <c r="I3319" s="25"/>
      <c r="J3319" s="55"/>
      <c r="K3319" s="25"/>
      <c r="L3319" s="62"/>
      <c r="M3319" s="25"/>
      <c r="N3319" s="25"/>
      <c r="O3319" s="25">
        <f t="shared" si="0"/>
        <v>0</v>
      </c>
      <c r="P3319" s="25" t="str">
        <f t="shared" si="2"/>
        <v/>
      </c>
      <c r="Q3319" s="25"/>
      <c r="R3319" s="25"/>
      <c r="S3319" s="55"/>
      <c r="T3319" s="56"/>
      <c r="U3319" s="25"/>
      <c r="V3319" s="25"/>
      <c r="W3319" s="25"/>
      <c r="X3319" s="25"/>
      <c r="Y3319" s="25"/>
      <c r="Z3319" s="25"/>
    </row>
    <row r="3320" spans="1:26" ht="52.5" customHeight="1" x14ac:dyDescent="0.25">
      <c r="A3320" s="25"/>
      <c r="B3320" s="25"/>
      <c r="C3320" s="55"/>
      <c r="D3320" s="25"/>
      <c r="E3320" s="25"/>
      <c r="F3320" s="25"/>
      <c r="G3320" s="25"/>
      <c r="H3320" s="25"/>
      <c r="I3320" s="25"/>
      <c r="J3320" s="55"/>
      <c r="K3320" s="25"/>
      <c r="L3320" s="62"/>
      <c r="M3320" s="25"/>
      <c r="N3320" s="25"/>
      <c r="O3320" s="25">
        <f t="shared" si="0"/>
        <v>0</v>
      </c>
      <c r="P3320" s="25" t="str">
        <f t="shared" si="2"/>
        <v/>
      </c>
      <c r="Q3320" s="25"/>
      <c r="R3320" s="25"/>
      <c r="S3320" s="55"/>
      <c r="T3320" s="56"/>
      <c r="U3320" s="25"/>
      <c r="V3320" s="25"/>
      <c r="W3320" s="25"/>
      <c r="X3320" s="25"/>
      <c r="Y3320" s="25"/>
      <c r="Z3320" s="25"/>
    </row>
    <row r="3321" spans="1:26" ht="52.5" customHeight="1" x14ac:dyDescent="0.25">
      <c r="A3321" s="25"/>
      <c r="B3321" s="25"/>
      <c r="C3321" s="55"/>
      <c r="D3321" s="25"/>
      <c r="E3321" s="25"/>
      <c r="F3321" s="25"/>
      <c r="G3321" s="25"/>
      <c r="H3321" s="25"/>
      <c r="I3321" s="25"/>
      <c r="J3321" s="55"/>
      <c r="K3321" s="25"/>
      <c r="L3321" s="62"/>
      <c r="M3321" s="25"/>
      <c r="N3321" s="25"/>
      <c r="O3321" s="25">
        <f t="shared" si="0"/>
        <v>0</v>
      </c>
      <c r="P3321" s="25" t="str">
        <f t="shared" si="2"/>
        <v/>
      </c>
      <c r="Q3321" s="25"/>
      <c r="R3321" s="25"/>
      <c r="S3321" s="55"/>
      <c r="T3321" s="56"/>
      <c r="U3321" s="25"/>
      <c r="V3321" s="25"/>
      <c r="W3321" s="25"/>
      <c r="X3321" s="25"/>
      <c r="Y3321" s="25"/>
      <c r="Z3321" s="25"/>
    </row>
    <row r="3322" spans="1:26" ht="52.5" customHeight="1" x14ac:dyDescent="0.25">
      <c r="A3322" s="25"/>
      <c r="B3322" s="25"/>
      <c r="C3322" s="55"/>
      <c r="D3322" s="25"/>
      <c r="E3322" s="25"/>
      <c r="F3322" s="25"/>
      <c r="G3322" s="25"/>
      <c r="H3322" s="25"/>
      <c r="I3322" s="25"/>
      <c r="J3322" s="55"/>
      <c r="K3322" s="25"/>
      <c r="L3322" s="62"/>
      <c r="M3322" s="25"/>
      <c r="N3322" s="25"/>
      <c r="O3322" s="25">
        <f t="shared" si="0"/>
        <v>0</v>
      </c>
      <c r="P3322" s="25" t="str">
        <f t="shared" si="2"/>
        <v/>
      </c>
      <c r="Q3322" s="25"/>
      <c r="R3322" s="25"/>
      <c r="S3322" s="55"/>
      <c r="T3322" s="56"/>
      <c r="U3322" s="25"/>
      <c r="V3322" s="25"/>
      <c r="W3322" s="25"/>
      <c r="X3322" s="25"/>
      <c r="Y3322" s="25"/>
      <c r="Z3322" s="25"/>
    </row>
    <row r="3323" spans="1:26" ht="52.5" customHeight="1" x14ac:dyDescent="0.25">
      <c r="A3323" s="25"/>
      <c r="B3323" s="25"/>
      <c r="C3323" s="55"/>
      <c r="D3323" s="25"/>
      <c r="E3323" s="25"/>
      <c r="F3323" s="25"/>
      <c r="G3323" s="25"/>
      <c r="H3323" s="25"/>
      <c r="I3323" s="25"/>
      <c r="J3323" s="55"/>
      <c r="K3323" s="25"/>
      <c r="L3323" s="62"/>
      <c r="M3323" s="25"/>
      <c r="N3323" s="25"/>
      <c r="O3323" s="25">
        <f t="shared" si="0"/>
        <v>0</v>
      </c>
      <c r="P3323" s="25" t="str">
        <f t="shared" si="2"/>
        <v/>
      </c>
      <c r="Q3323" s="25"/>
      <c r="R3323" s="25"/>
      <c r="S3323" s="55"/>
      <c r="T3323" s="56"/>
      <c r="U3323" s="25"/>
      <c r="V3323" s="25"/>
      <c r="W3323" s="25"/>
      <c r="X3323" s="25"/>
      <c r="Y3323" s="25"/>
      <c r="Z3323" s="25"/>
    </row>
    <row r="3324" spans="1:26" ht="52.5" customHeight="1" x14ac:dyDescent="0.25">
      <c r="A3324" s="25"/>
      <c r="B3324" s="25"/>
      <c r="C3324" s="55"/>
      <c r="D3324" s="25"/>
      <c r="E3324" s="25"/>
      <c r="F3324" s="25"/>
      <c r="G3324" s="25"/>
      <c r="H3324" s="25"/>
      <c r="I3324" s="25"/>
      <c r="J3324" s="55"/>
      <c r="K3324" s="25"/>
      <c r="L3324" s="62"/>
      <c r="M3324" s="25"/>
      <c r="N3324" s="25"/>
      <c r="O3324" s="25">
        <f t="shared" si="0"/>
        <v>0</v>
      </c>
      <c r="P3324" s="25" t="str">
        <f t="shared" si="2"/>
        <v/>
      </c>
      <c r="Q3324" s="25"/>
      <c r="R3324" s="25"/>
      <c r="S3324" s="55"/>
      <c r="T3324" s="56"/>
      <c r="U3324" s="25"/>
      <c r="V3324" s="25"/>
      <c r="W3324" s="25"/>
      <c r="X3324" s="25"/>
      <c r="Y3324" s="25"/>
      <c r="Z3324" s="25"/>
    </row>
    <row r="3325" spans="1:26" ht="52.5" customHeight="1" x14ac:dyDescent="0.25">
      <c r="A3325" s="25"/>
      <c r="B3325" s="25"/>
      <c r="C3325" s="55"/>
      <c r="D3325" s="25"/>
      <c r="E3325" s="25"/>
      <c r="F3325" s="25"/>
      <c r="G3325" s="25"/>
      <c r="H3325" s="25"/>
      <c r="I3325" s="25"/>
      <c r="J3325" s="55"/>
      <c r="K3325" s="25"/>
      <c r="L3325" s="62"/>
      <c r="M3325" s="25"/>
      <c r="N3325" s="25"/>
      <c r="O3325" s="25">
        <f t="shared" si="0"/>
        <v>0</v>
      </c>
      <c r="P3325" s="25" t="str">
        <f t="shared" si="2"/>
        <v/>
      </c>
      <c r="Q3325" s="25"/>
      <c r="R3325" s="25"/>
      <c r="S3325" s="55"/>
      <c r="T3325" s="56"/>
      <c r="U3325" s="25"/>
      <c r="V3325" s="25"/>
      <c r="W3325" s="25"/>
      <c r="X3325" s="25"/>
      <c r="Y3325" s="25"/>
      <c r="Z3325" s="25"/>
    </row>
    <row r="3326" spans="1:26" ht="52.5" customHeight="1" x14ac:dyDescent="0.25">
      <c r="A3326" s="25"/>
      <c r="B3326" s="25"/>
      <c r="C3326" s="55"/>
      <c r="D3326" s="25"/>
      <c r="E3326" s="25"/>
      <c r="F3326" s="25"/>
      <c r="G3326" s="25"/>
      <c r="H3326" s="25"/>
      <c r="I3326" s="25"/>
      <c r="J3326" s="55"/>
      <c r="K3326" s="25"/>
      <c r="L3326" s="62"/>
      <c r="M3326" s="25"/>
      <c r="N3326" s="25"/>
      <c r="O3326" s="25">
        <f t="shared" si="0"/>
        <v>0</v>
      </c>
      <c r="P3326" s="25" t="str">
        <f t="shared" si="2"/>
        <v/>
      </c>
      <c r="Q3326" s="25"/>
      <c r="R3326" s="25"/>
      <c r="S3326" s="55"/>
      <c r="T3326" s="56"/>
      <c r="U3326" s="25"/>
      <c r="V3326" s="25"/>
      <c r="W3326" s="25"/>
      <c r="X3326" s="25"/>
      <c r="Y3326" s="25"/>
      <c r="Z3326" s="25"/>
    </row>
    <row r="3327" spans="1:26" ht="52.5" customHeight="1" x14ac:dyDescent="0.25">
      <c r="A3327" s="25"/>
      <c r="B3327" s="25"/>
      <c r="C3327" s="55"/>
      <c r="D3327" s="25"/>
      <c r="E3327" s="25"/>
      <c r="F3327" s="25"/>
      <c r="G3327" s="25"/>
      <c r="H3327" s="25"/>
      <c r="I3327" s="25"/>
      <c r="J3327" s="55"/>
      <c r="K3327" s="25"/>
      <c r="L3327" s="62"/>
      <c r="M3327" s="25"/>
      <c r="N3327" s="25"/>
      <c r="O3327" s="25">
        <f t="shared" si="0"/>
        <v>0</v>
      </c>
      <c r="P3327" s="25" t="str">
        <f t="shared" si="2"/>
        <v/>
      </c>
      <c r="Q3327" s="25"/>
      <c r="R3327" s="25"/>
      <c r="S3327" s="55"/>
      <c r="T3327" s="56"/>
      <c r="U3327" s="25"/>
      <c r="V3327" s="25"/>
      <c r="W3327" s="25"/>
      <c r="X3327" s="25"/>
      <c r="Y3327" s="25"/>
      <c r="Z3327" s="25"/>
    </row>
    <row r="3328" spans="1:26" ht="52.5" customHeight="1" x14ac:dyDescent="0.25">
      <c r="A3328" s="25"/>
      <c r="B3328" s="25"/>
      <c r="C3328" s="55"/>
      <c r="D3328" s="25"/>
      <c r="E3328" s="25"/>
      <c r="F3328" s="25"/>
      <c r="G3328" s="25"/>
      <c r="H3328" s="25"/>
      <c r="I3328" s="25"/>
      <c r="J3328" s="55"/>
      <c r="K3328" s="25"/>
      <c r="L3328" s="62"/>
      <c r="M3328" s="25"/>
      <c r="N3328" s="25"/>
      <c r="O3328" s="25">
        <f t="shared" si="0"/>
        <v>0</v>
      </c>
      <c r="P3328" s="25" t="str">
        <f t="shared" si="2"/>
        <v/>
      </c>
      <c r="Q3328" s="25"/>
      <c r="R3328" s="25"/>
      <c r="S3328" s="55"/>
      <c r="T3328" s="56"/>
      <c r="U3328" s="25"/>
      <c r="V3328" s="25"/>
      <c r="W3328" s="25"/>
      <c r="X3328" s="25"/>
      <c r="Y3328" s="25"/>
      <c r="Z3328" s="25"/>
    </row>
    <row r="3329" spans="1:26" ht="52.5" customHeight="1" x14ac:dyDescent="0.25">
      <c r="A3329" s="25"/>
      <c r="B3329" s="25"/>
      <c r="C3329" s="55"/>
      <c r="D3329" s="25"/>
      <c r="E3329" s="25"/>
      <c r="F3329" s="25"/>
      <c r="G3329" s="25"/>
      <c r="H3329" s="25"/>
      <c r="I3329" s="25"/>
      <c r="J3329" s="55"/>
      <c r="K3329" s="25"/>
      <c r="L3329" s="62"/>
      <c r="M3329" s="25"/>
      <c r="N3329" s="25"/>
      <c r="O3329" s="25">
        <f t="shared" si="0"/>
        <v>0</v>
      </c>
      <c r="P3329" s="25" t="str">
        <f t="shared" si="2"/>
        <v/>
      </c>
      <c r="Q3329" s="25"/>
      <c r="R3329" s="25"/>
      <c r="S3329" s="55"/>
      <c r="T3329" s="56"/>
      <c r="U3329" s="25"/>
      <c r="V3329" s="25"/>
      <c r="W3329" s="25"/>
      <c r="X3329" s="25"/>
      <c r="Y3329" s="25"/>
      <c r="Z3329" s="25"/>
    </row>
    <row r="3330" spans="1:26" ht="52.5" customHeight="1" x14ac:dyDescent="0.25">
      <c r="A3330" s="25"/>
      <c r="B3330" s="25"/>
      <c r="C3330" s="55"/>
      <c r="D3330" s="25"/>
      <c r="E3330" s="25"/>
      <c r="F3330" s="25"/>
      <c r="G3330" s="25"/>
      <c r="H3330" s="25"/>
      <c r="I3330" s="25"/>
      <c r="J3330" s="55"/>
      <c r="K3330" s="25"/>
      <c r="L3330" s="62"/>
      <c r="M3330" s="25"/>
      <c r="N3330" s="25"/>
      <c r="O3330" s="25">
        <f t="shared" si="0"/>
        <v>0</v>
      </c>
      <c r="P3330" s="25" t="str">
        <f t="shared" si="2"/>
        <v/>
      </c>
      <c r="Q3330" s="25"/>
      <c r="R3330" s="25"/>
      <c r="S3330" s="55"/>
      <c r="T3330" s="56"/>
      <c r="U3330" s="25"/>
      <c r="V3330" s="25"/>
      <c r="W3330" s="25"/>
      <c r="X3330" s="25"/>
      <c r="Y3330" s="25"/>
      <c r="Z3330" s="25"/>
    </row>
    <row r="3331" spans="1:26" ht="52.5" customHeight="1" x14ac:dyDescent="0.25">
      <c r="A3331" s="25"/>
      <c r="B3331" s="25"/>
      <c r="C3331" s="55"/>
      <c r="D3331" s="25"/>
      <c r="E3331" s="25"/>
      <c r="F3331" s="25"/>
      <c r="G3331" s="25"/>
      <c r="H3331" s="25"/>
      <c r="I3331" s="25"/>
      <c r="J3331" s="55"/>
      <c r="K3331" s="25"/>
      <c r="L3331" s="62"/>
      <c r="M3331" s="25"/>
      <c r="N3331" s="25"/>
      <c r="O3331" s="25">
        <f t="shared" si="0"/>
        <v>0</v>
      </c>
      <c r="P3331" s="25" t="str">
        <f t="shared" si="2"/>
        <v/>
      </c>
      <c r="Q3331" s="25"/>
      <c r="R3331" s="25"/>
      <c r="S3331" s="55"/>
      <c r="T3331" s="56"/>
      <c r="U3331" s="25"/>
      <c r="V3331" s="25"/>
      <c r="W3331" s="25"/>
      <c r="X3331" s="25"/>
      <c r="Y3331" s="25"/>
      <c r="Z3331" s="25"/>
    </row>
    <row r="3332" spans="1:26" ht="52.5" customHeight="1" x14ac:dyDescent="0.25">
      <c r="A3332" s="25"/>
      <c r="B3332" s="25"/>
      <c r="C3332" s="55"/>
      <c r="D3332" s="25"/>
      <c r="E3332" s="25"/>
      <c r="F3332" s="25"/>
      <c r="G3332" s="25"/>
      <c r="H3332" s="25"/>
      <c r="I3332" s="25"/>
      <c r="J3332" s="55"/>
      <c r="K3332" s="25"/>
      <c r="L3332" s="62"/>
      <c r="M3332" s="25"/>
      <c r="N3332" s="25"/>
      <c r="O3332" s="25">
        <f t="shared" si="0"/>
        <v>0</v>
      </c>
      <c r="P3332" s="25" t="str">
        <f t="shared" si="2"/>
        <v/>
      </c>
      <c r="Q3332" s="25"/>
      <c r="R3332" s="25"/>
      <c r="S3332" s="55"/>
      <c r="T3332" s="56"/>
      <c r="U3332" s="25"/>
      <c r="V3332" s="25"/>
      <c r="W3332" s="25"/>
      <c r="X3332" s="25"/>
      <c r="Y3332" s="25"/>
      <c r="Z3332" s="25"/>
    </row>
    <row r="3333" spans="1:26" ht="52.5" customHeight="1" x14ac:dyDescent="0.25">
      <c r="A3333" s="25"/>
      <c r="B3333" s="25"/>
      <c r="C3333" s="55"/>
      <c r="D3333" s="25"/>
      <c r="E3333" s="25"/>
      <c r="F3333" s="25"/>
      <c r="G3333" s="25"/>
      <c r="H3333" s="25"/>
      <c r="I3333" s="25"/>
      <c r="J3333" s="55"/>
      <c r="K3333" s="25"/>
      <c r="L3333" s="62"/>
      <c r="M3333" s="25"/>
      <c r="N3333" s="25"/>
      <c r="O3333" s="25">
        <f t="shared" si="0"/>
        <v>0</v>
      </c>
      <c r="P3333" s="25" t="str">
        <f t="shared" si="2"/>
        <v/>
      </c>
      <c r="Q3333" s="25"/>
      <c r="R3333" s="25"/>
      <c r="S3333" s="55"/>
      <c r="T3333" s="56"/>
      <c r="U3333" s="25"/>
      <c r="V3333" s="25"/>
      <c r="W3333" s="25"/>
      <c r="X3333" s="25"/>
      <c r="Y3333" s="25"/>
      <c r="Z3333" s="25"/>
    </row>
    <row r="3334" spans="1:26" ht="52.5" customHeight="1" x14ac:dyDescent="0.25">
      <c r="A3334" s="25"/>
      <c r="B3334" s="25"/>
      <c r="C3334" s="55"/>
      <c r="D3334" s="25"/>
      <c r="E3334" s="25"/>
      <c r="F3334" s="25"/>
      <c r="G3334" s="25"/>
      <c r="H3334" s="25"/>
      <c r="I3334" s="25"/>
      <c r="J3334" s="55"/>
      <c r="K3334" s="25"/>
      <c r="L3334" s="62"/>
      <c r="M3334" s="25"/>
      <c r="N3334" s="25"/>
      <c r="O3334" s="25">
        <f t="shared" si="0"/>
        <v>0</v>
      </c>
      <c r="P3334" s="25" t="str">
        <f t="shared" si="2"/>
        <v/>
      </c>
      <c r="Q3334" s="25"/>
      <c r="R3334" s="25"/>
      <c r="S3334" s="55"/>
      <c r="T3334" s="56"/>
      <c r="U3334" s="25"/>
      <c r="V3334" s="25"/>
      <c r="W3334" s="25"/>
      <c r="X3334" s="25"/>
      <c r="Y3334" s="25"/>
      <c r="Z3334" s="25"/>
    </row>
    <row r="3335" spans="1:26" ht="52.5" customHeight="1" x14ac:dyDescent="0.25">
      <c r="A3335" s="25"/>
      <c r="B3335" s="25"/>
      <c r="C3335" s="55"/>
      <c r="D3335" s="25"/>
      <c r="E3335" s="25"/>
      <c r="F3335" s="25"/>
      <c r="G3335" s="25"/>
      <c r="H3335" s="25"/>
      <c r="I3335" s="25"/>
      <c r="J3335" s="55"/>
      <c r="K3335" s="25"/>
      <c r="L3335" s="62"/>
      <c r="M3335" s="25"/>
      <c r="N3335" s="25"/>
      <c r="O3335" s="25">
        <f t="shared" si="0"/>
        <v>0</v>
      </c>
      <c r="P3335" s="25" t="str">
        <f t="shared" si="2"/>
        <v/>
      </c>
      <c r="Q3335" s="25"/>
      <c r="R3335" s="25"/>
      <c r="S3335" s="55"/>
      <c r="T3335" s="56"/>
      <c r="U3335" s="25"/>
      <c r="V3335" s="25"/>
      <c r="W3335" s="25"/>
      <c r="X3335" s="25"/>
      <c r="Y3335" s="25"/>
      <c r="Z3335" s="25"/>
    </row>
    <row r="3336" spans="1:26" ht="52.5" customHeight="1" x14ac:dyDescent="0.25">
      <c r="A3336" s="25"/>
      <c r="B3336" s="25"/>
      <c r="C3336" s="55"/>
      <c r="D3336" s="25"/>
      <c r="E3336" s="25"/>
      <c r="F3336" s="25"/>
      <c r="G3336" s="25"/>
      <c r="H3336" s="25"/>
      <c r="I3336" s="25"/>
      <c r="J3336" s="55"/>
      <c r="K3336" s="25"/>
      <c r="L3336" s="62"/>
      <c r="M3336" s="25"/>
      <c r="N3336" s="25"/>
      <c r="O3336" s="25">
        <f t="shared" si="0"/>
        <v>0</v>
      </c>
      <c r="P3336" s="25" t="str">
        <f t="shared" si="2"/>
        <v/>
      </c>
      <c r="Q3336" s="25"/>
      <c r="R3336" s="25"/>
      <c r="S3336" s="55"/>
      <c r="T3336" s="56"/>
      <c r="U3336" s="25"/>
      <c r="V3336" s="25"/>
      <c r="W3336" s="25"/>
      <c r="X3336" s="25"/>
      <c r="Y3336" s="25"/>
      <c r="Z3336" s="25"/>
    </row>
    <row r="3337" spans="1:26" ht="52.5" customHeight="1" x14ac:dyDescent="0.25">
      <c r="A3337" s="25"/>
      <c r="B3337" s="25"/>
      <c r="C3337" s="55"/>
      <c r="D3337" s="25"/>
      <c r="E3337" s="25"/>
      <c r="F3337" s="25"/>
      <c r="G3337" s="25"/>
      <c r="H3337" s="25"/>
      <c r="I3337" s="25"/>
      <c r="J3337" s="55"/>
      <c r="K3337" s="25"/>
      <c r="L3337" s="62"/>
      <c r="M3337" s="25"/>
      <c r="N3337" s="25"/>
      <c r="O3337" s="25">
        <f t="shared" si="0"/>
        <v>0</v>
      </c>
      <c r="P3337" s="25" t="str">
        <f t="shared" si="2"/>
        <v/>
      </c>
      <c r="Q3337" s="25"/>
      <c r="R3337" s="25"/>
      <c r="S3337" s="55"/>
      <c r="T3337" s="56"/>
      <c r="U3337" s="25"/>
      <c r="V3337" s="25"/>
      <c r="W3337" s="25"/>
      <c r="X3337" s="25"/>
      <c r="Y3337" s="25"/>
      <c r="Z3337" s="25"/>
    </row>
    <row r="3338" spans="1:26" ht="52.5" customHeight="1" x14ac:dyDescent="0.25">
      <c r="A3338" s="25"/>
      <c r="B3338" s="25"/>
      <c r="C3338" s="55"/>
      <c r="D3338" s="25"/>
      <c r="E3338" s="25"/>
      <c r="F3338" s="25"/>
      <c r="G3338" s="25"/>
      <c r="H3338" s="25"/>
      <c r="I3338" s="25"/>
      <c r="J3338" s="55"/>
      <c r="K3338" s="25"/>
      <c r="L3338" s="62"/>
      <c r="M3338" s="25"/>
      <c r="N3338" s="25"/>
      <c r="O3338" s="25">
        <f t="shared" si="0"/>
        <v>0</v>
      </c>
      <c r="P3338" s="25" t="str">
        <f t="shared" si="2"/>
        <v/>
      </c>
      <c r="Q3338" s="25"/>
      <c r="R3338" s="25"/>
      <c r="S3338" s="55"/>
      <c r="T3338" s="56"/>
      <c r="U3338" s="25"/>
      <c r="V3338" s="25"/>
      <c r="W3338" s="25"/>
      <c r="X3338" s="25"/>
      <c r="Y3338" s="25"/>
      <c r="Z3338" s="25"/>
    </row>
    <row r="3339" spans="1:26" ht="52.5" customHeight="1" x14ac:dyDescent="0.25">
      <c r="A3339" s="25"/>
      <c r="B3339" s="25"/>
      <c r="C3339" s="55"/>
      <c r="D3339" s="25"/>
      <c r="E3339" s="25"/>
      <c r="F3339" s="25"/>
      <c r="G3339" s="25"/>
      <c r="H3339" s="25"/>
      <c r="I3339" s="25"/>
      <c r="J3339" s="55"/>
      <c r="K3339" s="25"/>
      <c r="L3339" s="62"/>
      <c r="M3339" s="25"/>
      <c r="N3339" s="25"/>
      <c r="O3339" s="25">
        <f t="shared" si="0"/>
        <v>0</v>
      </c>
      <c r="P3339" s="25" t="str">
        <f t="shared" si="2"/>
        <v/>
      </c>
      <c r="Q3339" s="25"/>
      <c r="R3339" s="25"/>
      <c r="S3339" s="55"/>
      <c r="T3339" s="56"/>
      <c r="U3339" s="25"/>
      <c r="V3339" s="25"/>
      <c r="W3339" s="25"/>
      <c r="X3339" s="25"/>
      <c r="Y3339" s="25"/>
      <c r="Z3339" s="25"/>
    </row>
    <row r="3340" spans="1:26" ht="52.5" customHeight="1" x14ac:dyDescent="0.25">
      <c r="A3340" s="25"/>
      <c r="B3340" s="25"/>
      <c r="C3340" s="55"/>
      <c r="D3340" s="25"/>
      <c r="E3340" s="25"/>
      <c r="F3340" s="25"/>
      <c r="G3340" s="25"/>
      <c r="H3340" s="25"/>
      <c r="I3340" s="25"/>
      <c r="J3340" s="55"/>
      <c r="K3340" s="25"/>
      <c r="L3340" s="62"/>
      <c r="M3340" s="25"/>
      <c r="N3340" s="25"/>
      <c r="O3340" s="25">
        <f t="shared" si="0"/>
        <v>0</v>
      </c>
      <c r="P3340" s="25" t="str">
        <f t="shared" si="2"/>
        <v/>
      </c>
      <c r="Q3340" s="25"/>
      <c r="R3340" s="25"/>
      <c r="S3340" s="55"/>
      <c r="T3340" s="56"/>
      <c r="U3340" s="25"/>
      <c r="V3340" s="25"/>
      <c r="W3340" s="25"/>
      <c r="X3340" s="25"/>
      <c r="Y3340" s="25"/>
      <c r="Z3340" s="25"/>
    </row>
    <row r="3341" spans="1:26" ht="52.5" customHeight="1" x14ac:dyDescent="0.25">
      <c r="A3341" s="25"/>
      <c r="B3341" s="25"/>
      <c r="C3341" s="55"/>
      <c r="D3341" s="25"/>
      <c r="E3341" s="25"/>
      <c r="F3341" s="25"/>
      <c r="G3341" s="25"/>
      <c r="H3341" s="25"/>
      <c r="I3341" s="25"/>
      <c r="J3341" s="55"/>
      <c r="K3341" s="25"/>
      <c r="L3341" s="62"/>
      <c r="M3341" s="25"/>
      <c r="N3341" s="25"/>
      <c r="O3341" s="25">
        <f t="shared" si="0"/>
        <v>0</v>
      </c>
      <c r="P3341" s="25" t="str">
        <f t="shared" si="2"/>
        <v/>
      </c>
      <c r="Q3341" s="25"/>
      <c r="R3341" s="25"/>
      <c r="S3341" s="55"/>
      <c r="T3341" s="56"/>
      <c r="U3341" s="25"/>
      <c r="V3341" s="25"/>
      <c r="W3341" s="25"/>
      <c r="X3341" s="25"/>
      <c r="Y3341" s="25"/>
      <c r="Z3341" s="25"/>
    </row>
    <row r="3342" spans="1:26" ht="52.5" customHeight="1" x14ac:dyDescent="0.25">
      <c r="A3342" s="25"/>
      <c r="B3342" s="25"/>
      <c r="C3342" s="55"/>
      <c r="D3342" s="25"/>
      <c r="E3342" s="25"/>
      <c r="F3342" s="25"/>
      <c r="G3342" s="25"/>
      <c r="H3342" s="25"/>
      <c r="I3342" s="25"/>
      <c r="J3342" s="55"/>
      <c r="K3342" s="25"/>
      <c r="L3342" s="62"/>
      <c r="M3342" s="25"/>
      <c r="N3342" s="25"/>
      <c r="O3342" s="25">
        <f t="shared" si="0"/>
        <v>0</v>
      </c>
      <c r="P3342" s="25" t="str">
        <f t="shared" si="2"/>
        <v/>
      </c>
      <c r="Q3342" s="25"/>
      <c r="R3342" s="25"/>
      <c r="S3342" s="55"/>
      <c r="T3342" s="56"/>
      <c r="U3342" s="25"/>
      <c r="V3342" s="25"/>
      <c r="W3342" s="25"/>
      <c r="X3342" s="25"/>
      <c r="Y3342" s="25"/>
      <c r="Z3342" s="25"/>
    </row>
    <row r="3343" spans="1:26" ht="52.5" customHeight="1" x14ac:dyDescent="0.25">
      <c r="A3343" s="25"/>
      <c r="B3343" s="25"/>
      <c r="C3343" s="55"/>
      <c r="D3343" s="25"/>
      <c r="E3343" s="25"/>
      <c r="F3343" s="25"/>
      <c r="G3343" s="25"/>
      <c r="H3343" s="25"/>
      <c r="I3343" s="25"/>
      <c r="J3343" s="55"/>
      <c r="K3343" s="25"/>
      <c r="L3343" s="62"/>
      <c r="M3343" s="25"/>
      <c r="N3343" s="25"/>
      <c r="O3343" s="25">
        <f t="shared" si="0"/>
        <v>0</v>
      </c>
      <c r="P3343" s="25" t="str">
        <f t="shared" si="2"/>
        <v/>
      </c>
      <c r="Q3343" s="25"/>
      <c r="R3343" s="25"/>
      <c r="S3343" s="55"/>
      <c r="T3343" s="56"/>
      <c r="U3343" s="25"/>
      <c r="V3343" s="25"/>
      <c r="W3343" s="25"/>
      <c r="X3343" s="25"/>
      <c r="Y3343" s="25"/>
      <c r="Z3343" s="25"/>
    </row>
    <row r="3344" spans="1:26" ht="52.5" customHeight="1" x14ac:dyDescent="0.25">
      <c r="A3344" s="25"/>
      <c r="B3344" s="25"/>
      <c r="C3344" s="55"/>
      <c r="D3344" s="25"/>
      <c r="E3344" s="25"/>
      <c r="F3344" s="25"/>
      <c r="G3344" s="25"/>
      <c r="H3344" s="25"/>
      <c r="I3344" s="25"/>
      <c r="J3344" s="55"/>
      <c r="K3344" s="25"/>
      <c r="L3344" s="62"/>
      <c r="M3344" s="25"/>
      <c r="N3344" s="25"/>
      <c r="O3344" s="25">
        <f t="shared" si="0"/>
        <v>0</v>
      </c>
      <c r="P3344" s="25" t="str">
        <f t="shared" si="2"/>
        <v/>
      </c>
      <c r="Q3344" s="25"/>
      <c r="R3344" s="25"/>
      <c r="S3344" s="55"/>
      <c r="T3344" s="56"/>
      <c r="U3344" s="25"/>
      <c r="V3344" s="25"/>
      <c r="W3344" s="25"/>
      <c r="X3344" s="25"/>
      <c r="Y3344" s="25"/>
      <c r="Z3344" s="25"/>
    </row>
    <row r="3345" spans="1:26" ht="52.5" customHeight="1" x14ac:dyDescent="0.25">
      <c r="A3345" s="25"/>
      <c r="B3345" s="25"/>
      <c r="C3345" s="55"/>
      <c r="D3345" s="25"/>
      <c r="E3345" s="25"/>
      <c r="F3345" s="25"/>
      <c r="G3345" s="25"/>
      <c r="H3345" s="25"/>
      <c r="I3345" s="25"/>
      <c r="J3345" s="55"/>
      <c r="K3345" s="25"/>
      <c r="L3345" s="62"/>
      <c r="M3345" s="25"/>
      <c r="N3345" s="25"/>
      <c r="O3345" s="25">
        <f t="shared" si="0"/>
        <v>0</v>
      </c>
      <c r="P3345" s="25" t="str">
        <f t="shared" si="2"/>
        <v/>
      </c>
      <c r="Q3345" s="25"/>
      <c r="R3345" s="25"/>
      <c r="S3345" s="55"/>
      <c r="T3345" s="56"/>
      <c r="U3345" s="25"/>
      <c r="V3345" s="25"/>
      <c r="W3345" s="25"/>
      <c r="X3345" s="25"/>
      <c r="Y3345" s="25"/>
      <c r="Z3345" s="25"/>
    </row>
    <row r="3346" spans="1:26" ht="52.5" customHeight="1" x14ac:dyDescent="0.25">
      <c r="A3346" s="25"/>
      <c r="B3346" s="25"/>
      <c r="C3346" s="55"/>
      <c r="D3346" s="25"/>
      <c r="E3346" s="25"/>
      <c r="F3346" s="25"/>
      <c r="G3346" s="25"/>
      <c r="H3346" s="25"/>
      <c r="I3346" s="25"/>
      <c r="J3346" s="55"/>
      <c r="K3346" s="25"/>
      <c r="L3346" s="62"/>
      <c r="M3346" s="25"/>
      <c r="N3346" s="25"/>
      <c r="O3346" s="25">
        <f t="shared" si="0"/>
        <v>0</v>
      </c>
      <c r="P3346" s="25" t="str">
        <f t="shared" si="2"/>
        <v/>
      </c>
      <c r="Q3346" s="25"/>
      <c r="R3346" s="25"/>
      <c r="S3346" s="55"/>
      <c r="T3346" s="56"/>
      <c r="U3346" s="25"/>
      <c r="V3346" s="25"/>
      <c r="W3346" s="25"/>
      <c r="X3346" s="25"/>
      <c r="Y3346" s="25"/>
      <c r="Z3346" s="25"/>
    </row>
    <row r="3347" spans="1:26" ht="52.5" customHeight="1" x14ac:dyDescent="0.25">
      <c r="A3347" s="25"/>
      <c r="B3347" s="25"/>
      <c r="C3347" s="55"/>
      <c r="D3347" s="25"/>
      <c r="E3347" s="25"/>
      <c r="F3347" s="25"/>
      <c r="G3347" s="25"/>
      <c r="H3347" s="25"/>
      <c r="I3347" s="25"/>
      <c r="J3347" s="55"/>
      <c r="K3347" s="25"/>
      <c r="L3347" s="62"/>
      <c r="M3347" s="25"/>
      <c r="N3347" s="25"/>
      <c r="O3347" s="25">
        <f t="shared" si="0"/>
        <v>0</v>
      </c>
      <c r="P3347" s="25" t="str">
        <f t="shared" si="2"/>
        <v/>
      </c>
      <c r="Q3347" s="25"/>
      <c r="R3347" s="25"/>
      <c r="S3347" s="55"/>
      <c r="T3347" s="56"/>
      <c r="U3347" s="25"/>
      <c r="V3347" s="25"/>
      <c r="W3347" s="25"/>
      <c r="X3347" s="25"/>
      <c r="Y3347" s="25"/>
      <c r="Z3347" s="25"/>
    </row>
    <row r="3348" spans="1:26" ht="52.5" customHeight="1" x14ac:dyDescent="0.25">
      <c r="A3348" s="25"/>
      <c r="B3348" s="25"/>
      <c r="C3348" s="55"/>
      <c r="D3348" s="25"/>
      <c r="E3348" s="25"/>
      <c r="F3348" s="25"/>
      <c r="G3348" s="25"/>
      <c r="H3348" s="25"/>
      <c r="I3348" s="25"/>
      <c r="J3348" s="55"/>
      <c r="K3348" s="25"/>
      <c r="L3348" s="62"/>
      <c r="M3348" s="25"/>
      <c r="N3348" s="25"/>
      <c r="O3348" s="25">
        <f t="shared" si="0"/>
        <v>0</v>
      </c>
      <c r="P3348" s="25" t="str">
        <f t="shared" si="2"/>
        <v/>
      </c>
      <c r="Q3348" s="25"/>
      <c r="R3348" s="25"/>
      <c r="S3348" s="55"/>
      <c r="T3348" s="56"/>
      <c r="U3348" s="25"/>
      <c r="V3348" s="25"/>
      <c r="W3348" s="25"/>
      <c r="X3348" s="25"/>
      <c r="Y3348" s="25"/>
      <c r="Z3348" s="25"/>
    </row>
    <row r="3349" spans="1:26" ht="52.5" customHeight="1" x14ac:dyDescent="0.25">
      <c r="A3349" s="25"/>
      <c r="B3349" s="25"/>
      <c r="C3349" s="55"/>
      <c r="D3349" s="25"/>
      <c r="E3349" s="25"/>
      <c r="F3349" s="25"/>
      <c r="G3349" s="25"/>
      <c r="H3349" s="25"/>
      <c r="I3349" s="25"/>
      <c r="J3349" s="55"/>
      <c r="K3349" s="25"/>
      <c r="L3349" s="62"/>
      <c r="M3349" s="25"/>
      <c r="N3349" s="25"/>
      <c r="O3349" s="25">
        <f t="shared" si="0"/>
        <v>0</v>
      </c>
      <c r="P3349" s="25" t="str">
        <f t="shared" si="2"/>
        <v/>
      </c>
      <c r="Q3349" s="25"/>
      <c r="R3349" s="25"/>
      <c r="S3349" s="55"/>
      <c r="T3349" s="56"/>
      <c r="U3349" s="25"/>
      <c r="V3349" s="25"/>
      <c r="W3349" s="25"/>
      <c r="X3349" s="25"/>
      <c r="Y3349" s="25"/>
      <c r="Z3349" s="25"/>
    </row>
    <row r="3350" spans="1:26" ht="52.5" customHeight="1" x14ac:dyDescent="0.25">
      <c r="A3350" s="25"/>
      <c r="B3350" s="25"/>
      <c r="C3350" s="55"/>
      <c r="D3350" s="25"/>
      <c r="E3350" s="25"/>
      <c r="F3350" s="25"/>
      <c r="G3350" s="25"/>
      <c r="H3350" s="25"/>
      <c r="I3350" s="25"/>
      <c r="J3350" s="55"/>
      <c r="K3350" s="25"/>
      <c r="L3350" s="62"/>
      <c r="M3350" s="25"/>
      <c r="N3350" s="25"/>
      <c r="O3350" s="25">
        <f t="shared" si="0"/>
        <v>0</v>
      </c>
      <c r="P3350" s="25" t="str">
        <f t="shared" si="2"/>
        <v/>
      </c>
      <c r="Q3350" s="25"/>
      <c r="R3350" s="25"/>
      <c r="S3350" s="55"/>
      <c r="T3350" s="56"/>
      <c r="U3350" s="25"/>
      <c r="V3350" s="25"/>
      <c r="W3350" s="25"/>
      <c r="X3350" s="25"/>
      <c r="Y3350" s="25"/>
      <c r="Z3350" s="25"/>
    </row>
    <row r="3351" spans="1:26" ht="52.5" customHeight="1" x14ac:dyDescent="0.25">
      <c r="A3351" s="25"/>
      <c r="B3351" s="25"/>
      <c r="C3351" s="55"/>
      <c r="D3351" s="25"/>
      <c r="E3351" s="25"/>
      <c r="F3351" s="25"/>
      <c r="G3351" s="25"/>
      <c r="H3351" s="25"/>
      <c r="I3351" s="25"/>
      <c r="J3351" s="55"/>
      <c r="K3351" s="25"/>
      <c r="L3351" s="62"/>
      <c r="M3351" s="25"/>
      <c r="N3351" s="25"/>
      <c r="O3351" s="25">
        <f t="shared" si="0"/>
        <v>0</v>
      </c>
      <c r="P3351" s="25" t="str">
        <f t="shared" si="2"/>
        <v/>
      </c>
      <c r="Q3351" s="25"/>
      <c r="R3351" s="25"/>
      <c r="S3351" s="55"/>
      <c r="T3351" s="56"/>
      <c r="U3351" s="25"/>
      <c r="V3351" s="25"/>
      <c r="W3351" s="25"/>
      <c r="X3351" s="25"/>
      <c r="Y3351" s="25"/>
      <c r="Z3351" s="25"/>
    </row>
    <row r="3352" spans="1:26" ht="52.5" customHeight="1" x14ac:dyDescent="0.25">
      <c r="A3352" s="25"/>
      <c r="B3352" s="25"/>
      <c r="C3352" s="55"/>
      <c r="D3352" s="25"/>
      <c r="E3352" s="25"/>
      <c r="F3352" s="25"/>
      <c r="G3352" s="25"/>
      <c r="H3352" s="25"/>
      <c r="I3352" s="25"/>
      <c r="J3352" s="55"/>
      <c r="K3352" s="25"/>
      <c r="L3352" s="62"/>
      <c r="M3352" s="25"/>
      <c r="N3352" s="25"/>
      <c r="O3352" s="25">
        <f t="shared" si="0"/>
        <v>0</v>
      </c>
      <c r="P3352" s="25" t="str">
        <f t="shared" si="2"/>
        <v/>
      </c>
      <c r="Q3352" s="25"/>
      <c r="R3352" s="25"/>
      <c r="S3352" s="55"/>
      <c r="T3352" s="56"/>
      <c r="U3352" s="25"/>
      <c r="V3352" s="25"/>
      <c r="W3352" s="25"/>
      <c r="X3352" s="25"/>
      <c r="Y3352" s="25"/>
      <c r="Z3352" s="25"/>
    </row>
    <row r="3353" spans="1:26" ht="52.5" customHeight="1" x14ac:dyDescent="0.25">
      <c r="A3353" s="25"/>
      <c r="B3353" s="25"/>
      <c r="C3353" s="55"/>
      <c r="D3353" s="25"/>
      <c r="E3353" s="25"/>
      <c r="F3353" s="25"/>
      <c r="G3353" s="25"/>
      <c r="H3353" s="25"/>
      <c r="I3353" s="25"/>
      <c r="J3353" s="55"/>
      <c r="K3353" s="25"/>
      <c r="L3353" s="62"/>
      <c r="M3353" s="25"/>
      <c r="N3353" s="25"/>
      <c r="O3353" s="25">
        <f t="shared" si="0"/>
        <v>0</v>
      </c>
      <c r="P3353" s="25" t="str">
        <f t="shared" si="2"/>
        <v/>
      </c>
      <c r="Q3353" s="25"/>
      <c r="R3353" s="25"/>
      <c r="S3353" s="55"/>
      <c r="T3353" s="56"/>
      <c r="U3353" s="25"/>
      <c r="V3353" s="25"/>
      <c r="W3353" s="25"/>
      <c r="X3353" s="25"/>
      <c r="Y3353" s="25"/>
      <c r="Z3353" s="25"/>
    </row>
    <row r="3354" spans="1:26" ht="52.5" customHeight="1" x14ac:dyDescent="0.25">
      <c r="A3354" s="25"/>
      <c r="B3354" s="25"/>
      <c r="C3354" s="55"/>
      <c r="D3354" s="25"/>
      <c r="E3354" s="25"/>
      <c r="F3354" s="25"/>
      <c r="G3354" s="25"/>
      <c r="H3354" s="25"/>
      <c r="I3354" s="25"/>
      <c r="J3354" s="55"/>
      <c r="K3354" s="25"/>
      <c r="L3354" s="62"/>
      <c r="M3354" s="25"/>
      <c r="N3354" s="25"/>
      <c r="O3354" s="25">
        <f t="shared" si="0"/>
        <v>0</v>
      </c>
      <c r="P3354" s="25" t="str">
        <f t="shared" si="2"/>
        <v/>
      </c>
      <c r="Q3354" s="25"/>
      <c r="R3354" s="25"/>
      <c r="S3354" s="55"/>
      <c r="T3354" s="56"/>
      <c r="U3354" s="25"/>
      <c r="V3354" s="25"/>
      <c r="W3354" s="25"/>
      <c r="X3354" s="25"/>
      <c r="Y3354" s="25"/>
      <c r="Z3354" s="25"/>
    </row>
    <row r="3355" spans="1:26" ht="52.5" customHeight="1" x14ac:dyDescent="0.25">
      <c r="A3355" s="25"/>
      <c r="B3355" s="25"/>
      <c r="C3355" s="55"/>
      <c r="D3355" s="25"/>
      <c r="E3355" s="25"/>
      <c r="F3355" s="25"/>
      <c r="G3355" s="25"/>
      <c r="H3355" s="25"/>
      <c r="I3355" s="25"/>
      <c r="J3355" s="55"/>
      <c r="K3355" s="25"/>
      <c r="L3355" s="62"/>
      <c r="M3355" s="25"/>
      <c r="N3355" s="25"/>
      <c r="O3355" s="25">
        <f t="shared" si="0"/>
        <v>0</v>
      </c>
      <c r="P3355" s="25" t="str">
        <f t="shared" si="2"/>
        <v/>
      </c>
      <c r="Q3355" s="25"/>
      <c r="R3355" s="25"/>
      <c r="S3355" s="55"/>
      <c r="T3355" s="56"/>
      <c r="U3355" s="25"/>
      <c r="V3355" s="25"/>
      <c r="W3355" s="25"/>
      <c r="X3355" s="25"/>
      <c r="Y3355" s="25"/>
      <c r="Z3355" s="25"/>
    </row>
    <row r="3356" spans="1:26" ht="52.5" customHeight="1" x14ac:dyDescent="0.25">
      <c r="A3356" s="25"/>
      <c r="B3356" s="25"/>
      <c r="C3356" s="55"/>
      <c r="D3356" s="25"/>
      <c r="E3356" s="25"/>
      <c r="F3356" s="25"/>
      <c r="G3356" s="25"/>
      <c r="H3356" s="25"/>
      <c r="I3356" s="25"/>
      <c r="J3356" s="55"/>
      <c r="K3356" s="25"/>
      <c r="L3356" s="62"/>
      <c r="M3356" s="25"/>
      <c r="N3356" s="25"/>
      <c r="O3356" s="25">
        <f t="shared" si="0"/>
        <v>0</v>
      </c>
      <c r="P3356" s="25" t="str">
        <f t="shared" si="2"/>
        <v/>
      </c>
      <c r="Q3356" s="25"/>
      <c r="R3356" s="25"/>
      <c r="S3356" s="55"/>
      <c r="T3356" s="56"/>
      <c r="U3356" s="25"/>
      <c r="V3356" s="25"/>
      <c r="W3356" s="25"/>
      <c r="X3356" s="25"/>
      <c r="Y3356" s="25"/>
      <c r="Z3356" s="25"/>
    </row>
    <row r="3357" spans="1:26" ht="52.5" customHeight="1" x14ac:dyDescent="0.25">
      <c r="A3357" s="25"/>
      <c r="B3357" s="25"/>
      <c r="C3357" s="55"/>
      <c r="D3357" s="25"/>
      <c r="E3357" s="25"/>
      <c r="F3357" s="25"/>
      <c r="G3357" s="25"/>
      <c r="H3357" s="25"/>
      <c r="I3357" s="25"/>
      <c r="J3357" s="55"/>
      <c r="K3357" s="25"/>
      <c r="L3357" s="62"/>
      <c r="M3357" s="25"/>
      <c r="N3357" s="25"/>
      <c r="O3357" s="25">
        <f t="shared" si="0"/>
        <v>0</v>
      </c>
      <c r="P3357" s="25" t="str">
        <f t="shared" si="2"/>
        <v/>
      </c>
      <c r="Q3357" s="25"/>
      <c r="R3357" s="25"/>
      <c r="S3357" s="55"/>
      <c r="T3357" s="56"/>
      <c r="U3357" s="25"/>
      <c r="V3357" s="25"/>
      <c r="W3357" s="25"/>
      <c r="X3357" s="25"/>
      <c r="Y3357" s="25"/>
      <c r="Z3357" s="25"/>
    </row>
    <row r="3358" spans="1:26" ht="52.5" customHeight="1" x14ac:dyDescent="0.25">
      <c r="A3358" s="25"/>
      <c r="B3358" s="25"/>
      <c r="C3358" s="55"/>
      <c r="D3358" s="25"/>
      <c r="E3358" s="25"/>
      <c r="F3358" s="25"/>
      <c r="G3358" s="25"/>
      <c r="H3358" s="25"/>
      <c r="I3358" s="25"/>
      <c r="J3358" s="55"/>
      <c r="K3358" s="25"/>
      <c r="L3358" s="62"/>
      <c r="M3358" s="25"/>
      <c r="N3358" s="25"/>
      <c r="O3358" s="25">
        <f t="shared" si="0"/>
        <v>0</v>
      </c>
      <c r="P3358" s="25" t="str">
        <f t="shared" si="2"/>
        <v/>
      </c>
      <c r="Q3358" s="25"/>
      <c r="R3358" s="25"/>
      <c r="S3358" s="55"/>
      <c r="T3358" s="56"/>
      <c r="U3358" s="25"/>
      <c r="V3358" s="25"/>
      <c r="W3358" s="25"/>
      <c r="X3358" s="25"/>
      <c r="Y3358" s="25"/>
      <c r="Z3358" s="25"/>
    </row>
    <row r="3359" spans="1:26" ht="52.5" customHeight="1" x14ac:dyDescent="0.25">
      <c r="A3359" s="25"/>
      <c r="B3359" s="25"/>
      <c r="C3359" s="55"/>
      <c r="D3359" s="25"/>
      <c r="E3359" s="25"/>
      <c r="F3359" s="25"/>
      <c r="G3359" s="25"/>
      <c r="H3359" s="25"/>
      <c r="I3359" s="25"/>
      <c r="J3359" s="55"/>
      <c r="K3359" s="25"/>
      <c r="L3359" s="62"/>
      <c r="M3359" s="25"/>
      <c r="N3359" s="25"/>
      <c r="O3359" s="25">
        <f t="shared" si="0"/>
        <v>0</v>
      </c>
      <c r="P3359" s="25" t="str">
        <f t="shared" si="2"/>
        <v/>
      </c>
      <c r="Q3359" s="25"/>
      <c r="R3359" s="25"/>
      <c r="S3359" s="55"/>
      <c r="T3359" s="56"/>
      <c r="U3359" s="25"/>
      <c r="V3359" s="25"/>
      <c r="W3359" s="25"/>
      <c r="X3359" s="25"/>
      <c r="Y3359" s="25"/>
      <c r="Z3359" s="25"/>
    </row>
    <row r="3360" spans="1:26" ht="52.5" customHeight="1" x14ac:dyDescent="0.25">
      <c r="A3360" s="25"/>
      <c r="B3360" s="25"/>
      <c r="C3360" s="55"/>
      <c r="D3360" s="25"/>
      <c r="E3360" s="25"/>
      <c r="F3360" s="25"/>
      <c r="G3360" s="25"/>
      <c r="H3360" s="25"/>
      <c r="I3360" s="25"/>
      <c r="J3360" s="55"/>
      <c r="K3360" s="25"/>
      <c r="L3360" s="62"/>
      <c r="M3360" s="25"/>
      <c r="N3360" s="25"/>
      <c r="O3360" s="25">
        <f t="shared" si="0"/>
        <v>0</v>
      </c>
      <c r="P3360" s="25" t="str">
        <f t="shared" si="2"/>
        <v/>
      </c>
      <c r="Q3360" s="25"/>
      <c r="R3360" s="25"/>
      <c r="S3360" s="55"/>
      <c r="T3360" s="56"/>
      <c r="U3360" s="25"/>
      <c r="V3360" s="25"/>
      <c r="W3360" s="25"/>
      <c r="X3360" s="25"/>
      <c r="Y3360" s="25"/>
      <c r="Z3360" s="25"/>
    </row>
    <row r="3361" spans="1:26" ht="52.5" customHeight="1" x14ac:dyDescent="0.25">
      <c r="A3361" s="25"/>
      <c r="B3361" s="25"/>
      <c r="C3361" s="55"/>
      <c r="D3361" s="25"/>
      <c r="E3361" s="25"/>
      <c r="F3361" s="25"/>
      <c r="G3361" s="25"/>
      <c r="H3361" s="25"/>
      <c r="I3361" s="25"/>
      <c r="J3361" s="55"/>
      <c r="K3361" s="25"/>
      <c r="L3361" s="62"/>
      <c r="M3361" s="25"/>
      <c r="N3361" s="25"/>
      <c r="O3361" s="25">
        <f t="shared" si="0"/>
        <v>0</v>
      </c>
      <c r="P3361" s="25" t="str">
        <f t="shared" si="2"/>
        <v/>
      </c>
      <c r="Q3361" s="25"/>
      <c r="R3361" s="25"/>
      <c r="S3361" s="55"/>
      <c r="T3361" s="56"/>
      <c r="U3361" s="25"/>
      <c r="V3361" s="25"/>
      <c r="W3361" s="25"/>
      <c r="X3361" s="25"/>
      <c r="Y3361" s="25"/>
      <c r="Z3361" s="25"/>
    </row>
    <row r="3362" spans="1:26" ht="52.5" customHeight="1" x14ac:dyDescent="0.25">
      <c r="A3362" s="25"/>
      <c r="B3362" s="25"/>
      <c r="C3362" s="55"/>
      <c r="D3362" s="25"/>
      <c r="E3362" s="25"/>
      <c r="F3362" s="25"/>
      <c r="G3362" s="25"/>
      <c r="H3362" s="25"/>
      <c r="I3362" s="25"/>
      <c r="J3362" s="55"/>
      <c r="K3362" s="25"/>
      <c r="L3362" s="62"/>
      <c r="M3362" s="25"/>
      <c r="N3362" s="25"/>
      <c r="O3362" s="25">
        <f t="shared" si="0"/>
        <v>0</v>
      </c>
      <c r="P3362" s="25" t="str">
        <f t="shared" si="2"/>
        <v/>
      </c>
      <c r="Q3362" s="25"/>
      <c r="R3362" s="25"/>
      <c r="S3362" s="55"/>
      <c r="T3362" s="56"/>
      <c r="U3362" s="25"/>
      <c r="V3362" s="25"/>
      <c r="W3362" s="25"/>
      <c r="X3362" s="25"/>
      <c r="Y3362" s="25"/>
      <c r="Z3362" s="25"/>
    </row>
    <row r="3363" spans="1:26" ht="52.5" customHeight="1" x14ac:dyDescent="0.25">
      <c r="A3363" s="25"/>
      <c r="B3363" s="25"/>
      <c r="C3363" s="55"/>
      <c r="D3363" s="25"/>
      <c r="E3363" s="25"/>
      <c r="F3363" s="25"/>
      <c r="G3363" s="25"/>
      <c r="H3363" s="25"/>
      <c r="I3363" s="25"/>
      <c r="J3363" s="55"/>
      <c r="K3363" s="25"/>
      <c r="L3363" s="62"/>
      <c r="M3363" s="25"/>
      <c r="N3363" s="25"/>
      <c r="O3363" s="25">
        <f t="shared" si="0"/>
        <v>0</v>
      </c>
      <c r="P3363" s="25" t="str">
        <f t="shared" si="2"/>
        <v/>
      </c>
      <c r="Q3363" s="25"/>
      <c r="R3363" s="25"/>
      <c r="S3363" s="55"/>
      <c r="T3363" s="56"/>
      <c r="U3363" s="25"/>
      <c r="V3363" s="25"/>
      <c r="W3363" s="25"/>
      <c r="X3363" s="25"/>
      <c r="Y3363" s="25"/>
      <c r="Z3363" s="25"/>
    </row>
    <row r="3364" spans="1:26" ht="52.5" customHeight="1" x14ac:dyDescent="0.25">
      <c r="A3364" s="25"/>
      <c r="B3364" s="25"/>
      <c r="C3364" s="55"/>
      <c r="D3364" s="25"/>
      <c r="E3364" s="25"/>
      <c r="F3364" s="25"/>
      <c r="G3364" s="25"/>
      <c r="H3364" s="25"/>
      <c r="I3364" s="25"/>
      <c r="J3364" s="55"/>
      <c r="K3364" s="25"/>
      <c r="L3364" s="62"/>
      <c r="M3364" s="25"/>
      <c r="N3364" s="25"/>
      <c r="O3364" s="25">
        <f t="shared" si="0"/>
        <v>0</v>
      </c>
      <c r="P3364" s="25" t="str">
        <f t="shared" si="2"/>
        <v/>
      </c>
      <c r="Q3364" s="25"/>
      <c r="R3364" s="25"/>
      <c r="S3364" s="55"/>
      <c r="T3364" s="56"/>
      <c r="U3364" s="25"/>
      <c r="V3364" s="25"/>
      <c r="W3364" s="25"/>
      <c r="X3364" s="25"/>
      <c r="Y3364" s="25"/>
      <c r="Z3364" s="25"/>
    </row>
    <row r="3365" spans="1:26" ht="52.5" customHeight="1" x14ac:dyDescent="0.25">
      <c r="A3365" s="25"/>
      <c r="B3365" s="25"/>
      <c r="C3365" s="55"/>
      <c r="D3365" s="25"/>
      <c r="E3365" s="25"/>
      <c r="F3365" s="25"/>
      <c r="G3365" s="25"/>
      <c r="H3365" s="25"/>
      <c r="I3365" s="25"/>
      <c r="J3365" s="55"/>
      <c r="K3365" s="25"/>
      <c r="L3365" s="62"/>
      <c r="M3365" s="25"/>
      <c r="N3365" s="25"/>
      <c r="O3365" s="25">
        <f t="shared" si="0"/>
        <v>0</v>
      </c>
      <c r="P3365" s="25" t="str">
        <f t="shared" si="2"/>
        <v/>
      </c>
      <c r="Q3365" s="25"/>
      <c r="R3365" s="25"/>
      <c r="S3365" s="55"/>
      <c r="T3365" s="56"/>
      <c r="U3365" s="25"/>
      <c r="V3365" s="25"/>
      <c r="W3365" s="25"/>
      <c r="X3365" s="25"/>
      <c r="Y3365" s="25"/>
      <c r="Z3365" s="25"/>
    </row>
    <row r="3366" spans="1:26" ht="52.5" customHeight="1" x14ac:dyDescent="0.25">
      <c r="A3366" s="25"/>
      <c r="B3366" s="25"/>
      <c r="C3366" s="55"/>
      <c r="D3366" s="25"/>
      <c r="E3366" s="25"/>
      <c r="F3366" s="25"/>
      <c r="G3366" s="25"/>
      <c r="H3366" s="25"/>
      <c r="I3366" s="25"/>
      <c r="J3366" s="55"/>
      <c r="K3366" s="25"/>
      <c r="L3366" s="62"/>
      <c r="M3366" s="25"/>
      <c r="N3366" s="25"/>
      <c r="O3366" s="25">
        <f t="shared" si="0"/>
        <v>0</v>
      </c>
      <c r="P3366" s="25" t="str">
        <f t="shared" si="2"/>
        <v/>
      </c>
      <c r="Q3366" s="25"/>
      <c r="R3366" s="25"/>
      <c r="S3366" s="55"/>
      <c r="T3366" s="56"/>
      <c r="U3366" s="25"/>
      <c r="V3366" s="25"/>
      <c r="W3366" s="25"/>
      <c r="X3366" s="25"/>
      <c r="Y3366" s="25"/>
      <c r="Z3366" s="25"/>
    </row>
    <row r="3367" spans="1:26" ht="52.5" customHeight="1" x14ac:dyDescent="0.25">
      <c r="A3367" s="25"/>
      <c r="B3367" s="25"/>
      <c r="C3367" s="55"/>
      <c r="D3367" s="25"/>
      <c r="E3367" s="25"/>
      <c r="F3367" s="25"/>
      <c r="G3367" s="25"/>
      <c r="H3367" s="25"/>
      <c r="I3367" s="25"/>
      <c r="J3367" s="55"/>
      <c r="K3367" s="25"/>
      <c r="L3367" s="62"/>
      <c r="M3367" s="25"/>
      <c r="N3367" s="25"/>
      <c r="O3367" s="25">
        <f t="shared" si="0"/>
        <v>0</v>
      </c>
      <c r="P3367" s="25" t="str">
        <f t="shared" si="2"/>
        <v/>
      </c>
      <c r="Q3367" s="25"/>
      <c r="R3367" s="25"/>
      <c r="S3367" s="55"/>
      <c r="T3367" s="56"/>
      <c r="U3367" s="25"/>
      <c r="V3367" s="25"/>
      <c r="W3367" s="25"/>
      <c r="X3367" s="25"/>
      <c r="Y3367" s="25"/>
      <c r="Z3367" s="25"/>
    </row>
    <row r="3368" spans="1:26" ht="52.5" customHeight="1" x14ac:dyDescent="0.25">
      <c r="A3368" s="25"/>
      <c r="B3368" s="25"/>
      <c r="C3368" s="55"/>
      <c r="D3368" s="25"/>
      <c r="E3368" s="25"/>
      <c r="F3368" s="25"/>
      <c r="G3368" s="25"/>
      <c r="H3368" s="25"/>
      <c r="I3368" s="25"/>
      <c r="J3368" s="55"/>
      <c r="K3368" s="25"/>
      <c r="L3368" s="62"/>
      <c r="M3368" s="25"/>
      <c r="N3368" s="25"/>
      <c r="O3368" s="25">
        <f t="shared" si="0"/>
        <v>0</v>
      </c>
      <c r="P3368" s="25" t="str">
        <f t="shared" si="2"/>
        <v/>
      </c>
      <c r="Q3368" s="25"/>
      <c r="R3368" s="25"/>
      <c r="S3368" s="55"/>
      <c r="T3368" s="56"/>
      <c r="U3368" s="25"/>
      <c r="V3368" s="25"/>
      <c r="W3368" s="25"/>
      <c r="X3368" s="25"/>
      <c r="Y3368" s="25"/>
      <c r="Z3368" s="25"/>
    </row>
    <row r="3369" spans="1:26" ht="52.5" customHeight="1" x14ac:dyDescent="0.25">
      <c r="A3369" s="25"/>
      <c r="B3369" s="25"/>
      <c r="C3369" s="55"/>
      <c r="D3369" s="25"/>
      <c r="E3369" s="25"/>
      <c r="F3369" s="25"/>
      <c r="G3369" s="25"/>
      <c r="H3369" s="25"/>
      <c r="I3369" s="25"/>
      <c r="J3369" s="55"/>
      <c r="K3369" s="25"/>
      <c r="L3369" s="62"/>
      <c r="M3369" s="25"/>
      <c r="N3369" s="25"/>
      <c r="O3369" s="25">
        <f t="shared" si="0"/>
        <v>0</v>
      </c>
      <c r="P3369" s="25" t="str">
        <f t="shared" si="2"/>
        <v/>
      </c>
      <c r="Q3369" s="25"/>
      <c r="R3369" s="25"/>
      <c r="S3369" s="55"/>
      <c r="T3369" s="56"/>
      <c r="U3369" s="25"/>
      <c r="V3369" s="25"/>
      <c r="W3369" s="25"/>
      <c r="X3369" s="25"/>
      <c r="Y3369" s="25"/>
      <c r="Z3369" s="25"/>
    </row>
    <row r="3370" spans="1:26" ht="52.5" customHeight="1" x14ac:dyDescent="0.25">
      <c r="A3370" s="25"/>
      <c r="B3370" s="25"/>
      <c r="C3370" s="55"/>
      <c r="D3370" s="25"/>
      <c r="E3370" s="25"/>
      <c r="F3370" s="25"/>
      <c r="G3370" s="25"/>
      <c r="H3370" s="25"/>
      <c r="I3370" s="25"/>
      <c r="J3370" s="55"/>
      <c r="K3370" s="25"/>
      <c r="L3370" s="62"/>
      <c r="M3370" s="25"/>
      <c r="N3370" s="25"/>
      <c r="O3370" s="25">
        <f t="shared" si="0"/>
        <v>0</v>
      </c>
      <c r="P3370" s="25" t="str">
        <f t="shared" si="2"/>
        <v/>
      </c>
      <c r="Q3370" s="25"/>
      <c r="R3370" s="25"/>
      <c r="S3370" s="55"/>
      <c r="T3370" s="56"/>
      <c r="U3370" s="25"/>
      <c r="V3370" s="25"/>
      <c r="W3370" s="25"/>
      <c r="X3370" s="25"/>
      <c r="Y3370" s="25"/>
      <c r="Z3370" s="25"/>
    </row>
    <row r="3371" spans="1:26" ht="52.5" customHeight="1" x14ac:dyDescent="0.25">
      <c r="A3371" s="25"/>
      <c r="B3371" s="25"/>
      <c r="C3371" s="55"/>
      <c r="D3371" s="25"/>
      <c r="E3371" s="25"/>
      <c r="F3371" s="25"/>
      <c r="G3371" s="25"/>
      <c r="H3371" s="25"/>
      <c r="I3371" s="25"/>
      <c r="J3371" s="55"/>
      <c r="K3371" s="25"/>
      <c r="L3371" s="62"/>
      <c r="M3371" s="25"/>
      <c r="N3371" s="25"/>
      <c r="O3371" s="25">
        <f t="shared" si="0"/>
        <v>0</v>
      </c>
      <c r="P3371" s="25" t="str">
        <f t="shared" si="2"/>
        <v/>
      </c>
      <c r="Q3371" s="25"/>
      <c r="R3371" s="25"/>
      <c r="S3371" s="55"/>
      <c r="T3371" s="56"/>
      <c r="U3371" s="25"/>
      <c r="V3371" s="25"/>
      <c r="W3371" s="25"/>
      <c r="X3371" s="25"/>
      <c r="Y3371" s="25"/>
      <c r="Z3371" s="25"/>
    </row>
    <row r="3372" spans="1:26" ht="52.5" customHeight="1" x14ac:dyDescent="0.25">
      <c r="A3372" s="25"/>
      <c r="B3372" s="25"/>
      <c r="C3372" s="55"/>
      <c r="D3372" s="25"/>
      <c r="E3372" s="25"/>
      <c r="F3372" s="25"/>
      <c r="G3372" s="25"/>
      <c r="H3372" s="25"/>
      <c r="I3372" s="25"/>
      <c r="J3372" s="55"/>
      <c r="K3372" s="25"/>
      <c r="L3372" s="62"/>
      <c r="M3372" s="25"/>
      <c r="N3372" s="25"/>
      <c r="O3372" s="25">
        <f t="shared" si="0"/>
        <v>0</v>
      </c>
      <c r="P3372" s="25" t="str">
        <f t="shared" si="2"/>
        <v/>
      </c>
      <c r="Q3372" s="25"/>
      <c r="R3372" s="25"/>
      <c r="S3372" s="55"/>
      <c r="T3372" s="56"/>
      <c r="U3372" s="25"/>
      <c r="V3372" s="25"/>
      <c r="W3372" s="25"/>
      <c r="X3372" s="25"/>
      <c r="Y3372" s="25"/>
      <c r="Z3372" s="25"/>
    </row>
    <row r="3373" spans="1:26" ht="52.5" customHeight="1" x14ac:dyDescent="0.25">
      <c r="A3373" s="25"/>
      <c r="B3373" s="25"/>
      <c r="C3373" s="55"/>
      <c r="D3373" s="25"/>
      <c r="E3373" s="25"/>
      <c r="F3373" s="25"/>
      <c r="G3373" s="25"/>
      <c r="H3373" s="25"/>
      <c r="I3373" s="25"/>
      <c r="J3373" s="55"/>
      <c r="K3373" s="25"/>
      <c r="L3373" s="62"/>
      <c r="M3373" s="25"/>
      <c r="N3373" s="25"/>
      <c r="O3373" s="25">
        <f t="shared" si="0"/>
        <v>0</v>
      </c>
      <c r="P3373" s="25" t="str">
        <f t="shared" si="2"/>
        <v/>
      </c>
      <c r="Q3373" s="25"/>
      <c r="R3373" s="25"/>
      <c r="S3373" s="55"/>
      <c r="T3373" s="56"/>
      <c r="U3373" s="25"/>
      <c r="V3373" s="25"/>
      <c r="W3373" s="25"/>
      <c r="X3373" s="25"/>
      <c r="Y3373" s="25"/>
      <c r="Z3373" s="25"/>
    </row>
    <row r="3374" spans="1:26" ht="52.5" customHeight="1" x14ac:dyDescent="0.25">
      <c r="A3374" s="25"/>
      <c r="B3374" s="25"/>
      <c r="C3374" s="55"/>
      <c r="D3374" s="25"/>
      <c r="E3374" s="25"/>
      <c r="F3374" s="25"/>
      <c r="G3374" s="25"/>
      <c r="H3374" s="25"/>
      <c r="I3374" s="25"/>
      <c r="J3374" s="55"/>
      <c r="K3374" s="25"/>
      <c r="L3374" s="62"/>
      <c r="M3374" s="25"/>
      <c r="N3374" s="25"/>
      <c r="O3374" s="25">
        <f t="shared" si="0"/>
        <v>0</v>
      </c>
      <c r="P3374" s="25" t="str">
        <f t="shared" si="2"/>
        <v/>
      </c>
      <c r="Q3374" s="25"/>
      <c r="R3374" s="25"/>
      <c r="S3374" s="55"/>
      <c r="T3374" s="56"/>
      <c r="U3374" s="25"/>
      <c r="V3374" s="25"/>
      <c r="W3374" s="25"/>
      <c r="X3374" s="25"/>
      <c r="Y3374" s="25"/>
      <c r="Z3374" s="25"/>
    </row>
    <row r="3375" spans="1:26" ht="52.5" customHeight="1" x14ac:dyDescent="0.25">
      <c r="A3375" s="25"/>
      <c r="B3375" s="25"/>
      <c r="C3375" s="55"/>
      <c r="D3375" s="25"/>
      <c r="E3375" s="25"/>
      <c r="F3375" s="25"/>
      <c r="G3375" s="25"/>
      <c r="H3375" s="25"/>
      <c r="I3375" s="25"/>
      <c r="J3375" s="55"/>
      <c r="K3375" s="25"/>
      <c r="L3375" s="62"/>
      <c r="M3375" s="25"/>
      <c r="N3375" s="25"/>
      <c r="O3375" s="25">
        <f t="shared" si="0"/>
        <v>0</v>
      </c>
      <c r="P3375" s="25" t="str">
        <f t="shared" si="2"/>
        <v/>
      </c>
      <c r="Q3375" s="25"/>
      <c r="R3375" s="25"/>
      <c r="S3375" s="55"/>
      <c r="T3375" s="56"/>
      <c r="U3375" s="25"/>
      <c r="V3375" s="25"/>
      <c r="W3375" s="25"/>
      <c r="X3375" s="25"/>
      <c r="Y3375" s="25"/>
      <c r="Z3375" s="25"/>
    </row>
    <row r="3376" spans="1:26" ht="52.5" customHeight="1" x14ac:dyDescent="0.25">
      <c r="A3376" s="25"/>
      <c r="B3376" s="25"/>
      <c r="C3376" s="55"/>
      <c r="D3376" s="25"/>
      <c r="E3376" s="25"/>
      <c r="F3376" s="25"/>
      <c r="G3376" s="25"/>
      <c r="H3376" s="25"/>
      <c r="I3376" s="25"/>
      <c r="J3376" s="55"/>
      <c r="K3376" s="25"/>
      <c r="L3376" s="62"/>
      <c r="M3376" s="25"/>
      <c r="N3376" s="25"/>
      <c r="O3376" s="25">
        <f t="shared" si="0"/>
        <v>0</v>
      </c>
      <c r="P3376" s="25" t="str">
        <f t="shared" si="2"/>
        <v/>
      </c>
      <c r="Q3376" s="25"/>
      <c r="R3376" s="25"/>
      <c r="S3376" s="55"/>
      <c r="T3376" s="56"/>
      <c r="U3376" s="25"/>
      <c r="V3376" s="25"/>
      <c r="W3376" s="25"/>
      <c r="X3376" s="25"/>
      <c r="Y3376" s="25"/>
      <c r="Z3376" s="25"/>
    </row>
    <row r="3377" spans="1:26" ht="52.5" customHeight="1" x14ac:dyDescent="0.25">
      <c r="A3377" s="25"/>
      <c r="B3377" s="25"/>
      <c r="C3377" s="55"/>
      <c r="D3377" s="25"/>
      <c r="E3377" s="25"/>
      <c r="F3377" s="25"/>
      <c r="G3377" s="25"/>
      <c r="H3377" s="25"/>
      <c r="I3377" s="25"/>
      <c r="J3377" s="55"/>
      <c r="K3377" s="25"/>
      <c r="L3377" s="62"/>
      <c r="M3377" s="25"/>
      <c r="N3377" s="25"/>
      <c r="O3377" s="25">
        <f t="shared" si="0"/>
        <v>0</v>
      </c>
      <c r="P3377" s="25" t="str">
        <f t="shared" si="2"/>
        <v/>
      </c>
      <c r="Q3377" s="25"/>
      <c r="R3377" s="25"/>
      <c r="S3377" s="55"/>
      <c r="T3377" s="56"/>
      <c r="U3377" s="25"/>
      <c r="V3377" s="25"/>
      <c r="W3377" s="25"/>
      <c r="X3377" s="25"/>
      <c r="Y3377" s="25"/>
      <c r="Z3377" s="25"/>
    </row>
    <row r="3378" spans="1:26" ht="52.5" customHeight="1" x14ac:dyDescent="0.25">
      <c r="A3378" s="25"/>
      <c r="B3378" s="25"/>
      <c r="C3378" s="55"/>
      <c r="D3378" s="25"/>
      <c r="E3378" s="25"/>
      <c r="F3378" s="25"/>
      <c r="G3378" s="25"/>
      <c r="H3378" s="25"/>
      <c r="I3378" s="25"/>
      <c r="J3378" s="55"/>
      <c r="K3378" s="25"/>
      <c r="L3378" s="62"/>
      <c r="M3378" s="25"/>
      <c r="N3378" s="25"/>
      <c r="O3378" s="25">
        <f t="shared" si="0"/>
        <v>0</v>
      </c>
      <c r="P3378" s="25" t="str">
        <f t="shared" si="2"/>
        <v/>
      </c>
      <c r="Q3378" s="25"/>
      <c r="R3378" s="25"/>
      <c r="S3378" s="55"/>
      <c r="T3378" s="56"/>
      <c r="U3378" s="25"/>
      <c r="V3378" s="25"/>
      <c r="W3378" s="25"/>
      <c r="X3378" s="25"/>
      <c r="Y3378" s="25"/>
      <c r="Z3378" s="25"/>
    </row>
    <row r="3379" spans="1:26" ht="52.5" customHeight="1" x14ac:dyDescent="0.25">
      <c r="A3379" s="25"/>
      <c r="B3379" s="25"/>
      <c r="C3379" s="55"/>
      <c r="D3379" s="25"/>
      <c r="E3379" s="25"/>
      <c r="F3379" s="25"/>
      <c r="G3379" s="25"/>
      <c r="H3379" s="25"/>
      <c r="I3379" s="25"/>
      <c r="J3379" s="55"/>
      <c r="K3379" s="25"/>
      <c r="L3379" s="62"/>
      <c r="M3379" s="25"/>
      <c r="N3379" s="25"/>
      <c r="O3379" s="25">
        <f t="shared" si="0"/>
        <v>0</v>
      </c>
      <c r="P3379" s="25" t="str">
        <f t="shared" si="2"/>
        <v/>
      </c>
      <c r="Q3379" s="25"/>
      <c r="R3379" s="25"/>
      <c r="S3379" s="55"/>
      <c r="T3379" s="56"/>
      <c r="U3379" s="25"/>
      <c r="V3379" s="25"/>
      <c r="W3379" s="25"/>
      <c r="X3379" s="25"/>
      <c r="Y3379" s="25"/>
      <c r="Z3379" s="25"/>
    </row>
    <row r="3380" spans="1:26" ht="52.5" customHeight="1" x14ac:dyDescent="0.25">
      <c r="A3380" s="25"/>
      <c r="B3380" s="25"/>
      <c r="C3380" s="55"/>
      <c r="D3380" s="25"/>
      <c r="E3380" s="25"/>
      <c r="F3380" s="25"/>
      <c r="G3380" s="25"/>
      <c r="H3380" s="25"/>
      <c r="I3380" s="25"/>
      <c r="J3380" s="55"/>
      <c r="K3380" s="25"/>
      <c r="L3380" s="62"/>
      <c r="M3380" s="25"/>
      <c r="N3380" s="25"/>
      <c r="O3380" s="25">
        <f t="shared" si="0"/>
        <v>0</v>
      </c>
      <c r="P3380" s="25" t="str">
        <f t="shared" si="2"/>
        <v/>
      </c>
      <c r="Q3380" s="25"/>
      <c r="R3380" s="25"/>
      <c r="S3380" s="55"/>
      <c r="T3380" s="56"/>
      <c r="U3380" s="25"/>
      <c r="V3380" s="25"/>
      <c r="W3380" s="25"/>
      <c r="X3380" s="25"/>
      <c r="Y3380" s="25"/>
      <c r="Z3380" s="25"/>
    </row>
    <row r="3381" spans="1:26" ht="52.5" customHeight="1" x14ac:dyDescent="0.25">
      <c r="A3381" s="25"/>
      <c r="B3381" s="25"/>
      <c r="C3381" s="55"/>
      <c r="D3381" s="25"/>
      <c r="E3381" s="25"/>
      <c r="F3381" s="25"/>
      <c r="G3381" s="25"/>
      <c r="H3381" s="25"/>
      <c r="I3381" s="25"/>
      <c r="J3381" s="55"/>
      <c r="K3381" s="25"/>
      <c r="L3381" s="62"/>
      <c r="M3381" s="25"/>
      <c r="N3381" s="25"/>
      <c r="O3381" s="25">
        <f t="shared" si="0"/>
        <v>0</v>
      </c>
      <c r="P3381" s="25" t="str">
        <f t="shared" si="2"/>
        <v/>
      </c>
      <c r="Q3381" s="25"/>
      <c r="R3381" s="25"/>
      <c r="S3381" s="55"/>
      <c r="T3381" s="56"/>
      <c r="U3381" s="25"/>
      <c r="V3381" s="25"/>
      <c r="W3381" s="25"/>
      <c r="X3381" s="25"/>
      <c r="Y3381" s="25"/>
      <c r="Z3381" s="25"/>
    </row>
    <row r="3382" spans="1:26" ht="52.5" customHeight="1" x14ac:dyDescent="0.25">
      <c r="A3382" s="25"/>
      <c r="B3382" s="25"/>
      <c r="C3382" s="55"/>
      <c r="D3382" s="25"/>
      <c r="E3382" s="25"/>
      <c r="F3382" s="25"/>
      <c r="G3382" s="25"/>
      <c r="H3382" s="25"/>
      <c r="I3382" s="25"/>
      <c r="J3382" s="55"/>
      <c r="K3382" s="25"/>
      <c r="L3382" s="62"/>
      <c r="M3382" s="25"/>
      <c r="N3382" s="25"/>
      <c r="O3382" s="25">
        <f t="shared" si="0"/>
        <v>0</v>
      </c>
      <c r="P3382" s="25" t="str">
        <f t="shared" si="2"/>
        <v/>
      </c>
      <c r="Q3382" s="25"/>
      <c r="R3382" s="25"/>
      <c r="S3382" s="55"/>
      <c r="T3382" s="56"/>
      <c r="U3382" s="25"/>
      <c r="V3382" s="25"/>
      <c r="W3382" s="25"/>
      <c r="X3382" s="25"/>
      <c r="Y3382" s="25"/>
      <c r="Z3382" s="25"/>
    </row>
    <row r="3383" spans="1:26" ht="52.5" customHeight="1" x14ac:dyDescent="0.25">
      <c r="A3383" s="25"/>
      <c r="B3383" s="25"/>
      <c r="C3383" s="55"/>
      <c r="D3383" s="25"/>
      <c r="E3383" s="25"/>
      <c r="F3383" s="25"/>
      <c r="G3383" s="25"/>
      <c r="H3383" s="25"/>
      <c r="I3383" s="25"/>
      <c r="J3383" s="55"/>
      <c r="K3383" s="25"/>
      <c r="L3383" s="62"/>
      <c r="M3383" s="25"/>
      <c r="N3383" s="25"/>
      <c r="O3383" s="25">
        <f t="shared" si="0"/>
        <v>0</v>
      </c>
      <c r="P3383" s="25" t="str">
        <f t="shared" si="2"/>
        <v/>
      </c>
      <c r="Q3383" s="25"/>
      <c r="R3383" s="25"/>
      <c r="S3383" s="55"/>
      <c r="T3383" s="56"/>
      <c r="U3383" s="25"/>
      <c r="V3383" s="25"/>
      <c r="W3383" s="25"/>
      <c r="X3383" s="25"/>
      <c r="Y3383" s="25"/>
      <c r="Z3383" s="25"/>
    </row>
    <row r="3384" spans="1:26" ht="52.5" customHeight="1" x14ac:dyDescent="0.25">
      <c r="A3384" s="25"/>
      <c r="B3384" s="25"/>
      <c r="C3384" s="55"/>
      <c r="D3384" s="25"/>
      <c r="E3384" s="25"/>
      <c r="F3384" s="25"/>
      <c r="G3384" s="25"/>
      <c r="H3384" s="25"/>
      <c r="I3384" s="25"/>
      <c r="J3384" s="55"/>
      <c r="K3384" s="25"/>
      <c r="L3384" s="62"/>
      <c r="M3384" s="25"/>
      <c r="N3384" s="25"/>
      <c r="O3384" s="25">
        <f t="shared" si="0"/>
        <v>0</v>
      </c>
      <c r="P3384" s="25" t="str">
        <f t="shared" si="2"/>
        <v/>
      </c>
      <c r="Q3384" s="25"/>
      <c r="R3384" s="25"/>
      <c r="S3384" s="55"/>
      <c r="T3384" s="56"/>
      <c r="U3384" s="25"/>
      <c r="V3384" s="25"/>
      <c r="W3384" s="25"/>
      <c r="X3384" s="25"/>
      <c r="Y3384" s="25"/>
      <c r="Z3384" s="25"/>
    </row>
    <row r="3385" spans="1:26" ht="52.5" customHeight="1" x14ac:dyDescent="0.25">
      <c r="A3385" s="25"/>
      <c r="B3385" s="25"/>
      <c r="C3385" s="55"/>
      <c r="D3385" s="25"/>
      <c r="E3385" s="25"/>
      <c r="F3385" s="25"/>
      <c r="G3385" s="25"/>
      <c r="H3385" s="25"/>
      <c r="I3385" s="25"/>
      <c r="J3385" s="55"/>
      <c r="K3385" s="25"/>
      <c r="L3385" s="62"/>
      <c r="M3385" s="25"/>
      <c r="N3385" s="25"/>
      <c r="O3385" s="25">
        <f t="shared" si="0"/>
        <v>0</v>
      </c>
      <c r="P3385" s="25" t="str">
        <f t="shared" si="2"/>
        <v/>
      </c>
      <c r="Q3385" s="25"/>
      <c r="R3385" s="25"/>
      <c r="S3385" s="55"/>
      <c r="T3385" s="56"/>
      <c r="U3385" s="25"/>
      <c r="V3385" s="25"/>
      <c r="W3385" s="25"/>
      <c r="X3385" s="25"/>
      <c r="Y3385" s="25"/>
      <c r="Z3385" s="25"/>
    </row>
    <row r="3386" spans="1:26" ht="52.5" customHeight="1" x14ac:dyDescent="0.25">
      <c r="A3386" s="25"/>
      <c r="B3386" s="25"/>
      <c r="C3386" s="55"/>
      <c r="D3386" s="25"/>
      <c r="E3386" s="25"/>
      <c r="F3386" s="25"/>
      <c r="G3386" s="25"/>
      <c r="H3386" s="25"/>
      <c r="I3386" s="25"/>
      <c r="J3386" s="55"/>
      <c r="K3386" s="25"/>
      <c r="L3386" s="62"/>
      <c r="M3386" s="25"/>
      <c r="N3386" s="25"/>
      <c r="O3386" s="25">
        <f t="shared" si="0"/>
        <v>0</v>
      </c>
      <c r="P3386" s="25" t="str">
        <f t="shared" si="2"/>
        <v/>
      </c>
      <c r="Q3386" s="25"/>
      <c r="R3386" s="25"/>
      <c r="S3386" s="55"/>
      <c r="T3386" s="56"/>
      <c r="U3386" s="25"/>
      <c r="V3386" s="25"/>
      <c r="W3386" s="25"/>
      <c r="X3386" s="25"/>
      <c r="Y3386" s="25"/>
      <c r="Z3386" s="25"/>
    </row>
    <row r="3387" spans="1:26" ht="52.5" customHeight="1" x14ac:dyDescent="0.25">
      <c r="A3387" s="25"/>
      <c r="B3387" s="25"/>
      <c r="C3387" s="55"/>
      <c r="D3387" s="25"/>
      <c r="E3387" s="25"/>
      <c r="F3387" s="25"/>
      <c r="G3387" s="25"/>
      <c r="H3387" s="25"/>
      <c r="I3387" s="25"/>
      <c r="J3387" s="55"/>
      <c r="K3387" s="25"/>
      <c r="L3387" s="62"/>
      <c r="M3387" s="25"/>
      <c r="N3387" s="25"/>
      <c r="O3387" s="25">
        <f t="shared" si="0"/>
        <v>0</v>
      </c>
      <c r="P3387" s="25" t="str">
        <f t="shared" si="2"/>
        <v/>
      </c>
      <c r="Q3387" s="25"/>
      <c r="R3387" s="25"/>
      <c r="S3387" s="55"/>
      <c r="T3387" s="56"/>
      <c r="U3387" s="25"/>
      <c r="V3387" s="25"/>
      <c r="W3387" s="25"/>
      <c r="X3387" s="25"/>
      <c r="Y3387" s="25"/>
      <c r="Z3387" s="25"/>
    </row>
    <row r="3388" spans="1:26" ht="52.5" customHeight="1" x14ac:dyDescent="0.25">
      <c r="A3388" s="25"/>
      <c r="B3388" s="25"/>
      <c r="C3388" s="55"/>
      <c r="D3388" s="25"/>
      <c r="E3388" s="25"/>
      <c r="F3388" s="25"/>
      <c r="G3388" s="25"/>
      <c r="H3388" s="25"/>
      <c r="I3388" s="25"/>
      <c r="J3388" s="55"/>
      <c r="K3388" s="25"/>
      <c r="L3388" s="62"/>
      <c r="M3388" s="25"/>
      <c r="N3388" s="25"/>
      <c r="O3388" s="25">
        <f t="shared" si="0"/>
        <v>0</v>
      </c>
      <c r="P3388" s="25" t="str">
        <f t="shared" si="2"/>
        <v/>
      </c>
      <c r="Q3388" s="25"/>
      <c r="R3388" s="25"/>
      <c r="S3388" s="55"/>
      <c r="T3388" s="56"/>
      <c r="U3388" s="25"/>
      <c r="V3388" s="25"/>
      <c r="W3388" s="25"/>
      <c r="X3388" s="25"/>
      <c r="Y3388" s="25"/>
      <c r="Z3388" s="25"/>
    </row>
    <row r="3389" spans="1:26" ht="52.5" customHeight="1" x14ac:dyDescent="0.25">
      <c r="A3389" s="25"/>
      <c r="B3389" s="25"/>
      <c r="C3389" s="55"/>
      <c r="D3389" s="25"/>
      <c r="E3389" s="25"/>
      <c r="F3389" s="25"/>
      <c r="G3389" s="25"/>
      <c r="H3389" s="25"/>
      <c r="I3389" s="25"/>
      <c r="J3389" s="55"/>
      <c r="K3389" s="25"/>
      <c r="L3389" s="62"/>
      <c r="M3389" s="25"/>
      <c r="N3389" s="25"/>
      <c r="O3389" s="25">
        <f t="shared" si="0"/>
        <v>0</v>
      </c>
      <c r="P3389" s="25" t="str">
        <f t="shared" si="2"/>
        <v/>
      </c>
      <c r="Q3389" s="25"/>
      <c r="R3389" s="25"/>
      <c r="S3389" s="55"/>
      <c r="T3389" s="56"/>
      <c r="U3389" s="25"/>
      <c r="V3389" s="25"/>
      <c r="W3389" s="25"/>
      <c r="X3389" s="25"/>
      <c r="Y3389" s="25"/>
      <c r="Z3389" s="25"/>
    </row>
    <row r="3390" spans="1:26" ht="52.5" customHeight="1" x14ac:dyDescent="0.25">
      <c r="A3390" s="25"/>
      <c r="B3390" s="25"/>
      <c r="C3390" s="55"/>
      <c r="D3390" s="25"/>
      <c r="E3390" s="25"/>
      <c r="F3390" s="25"/>
      <c r="G3390" s="25"/>
      <c r="H3390" s="25"/>
      <c r="I3390" s="25"/>
      <c r="J3390" s="55"/>
      <c r="K3390" s="25"/>
      <c r="L3390" s="62"/>
      <c r="M3390" s="25"/>
      <c r="N3390" s="25"/>
      <c r="O3390" s="25">
        <f t="shared" si="0"/>
        <v>0</v>
      </c>
      <c r="P3390" s="25" t="str">
        <f t="shared" si="2"/>
        <v/>
      </c>
      <c r="Q3390" s="25"/>
      <c r="R3390" s="25"/>
      <c r="S3390" s="55"/>
      <c r="T3390" s="56"/>
      <c r="U3390" s="25"/>
      <c r="V3390" s="25"/>
      <c r="W3390" s="25"/>
      <c r="X3390" s="25"/>
      <c r="Y3390" s="25"/>
      <c r="Z3390" s="25"/>
    </row>
    <row r="3391" spans="1:26" ht="52.5" customHeight="1" x14ac:dyDescent="0.25">
      <c r="A3391" s="25"/>
      <c r="B3391" s="25"/>
      <c r="C3391" s="55"/>
      <c r="D3391" s="25"/>
      <c r="E3391" s="25"/>
      <c r="F3391" s="25"/>
      <c r="G3391" s="25"/>
      <c r="H3391" s="25"/>
      <c r="I3391" s="25"/>
      <c r="J3391" s="55"/>
      <c r="K3391" s="25"/>
      <c r="L3391" s="62"/>
      <c r="M3391" s="25"/>
      <c r="N3391" s="25"/>
      <c r="O3391" s="25">
        <f t="shared" si="0"/>
        <v>0</v>
      </c>
      <c r="P3391" s="25" t="str">
        <f t="shared" si="2"/>
        <v/>
      </c>
      <c r="Q3391" s="25"/>
      <c r="R3391" s="25"/>
      <c r="S3391" s="55"/>
      <c r="T3391" s="56"/>
      <c r="U3391" s="25"/>
      <c r="V3391" s="25"/>
      <c r="W3391" s="25"/>
      <c r="X3391" s="25"/>
      <c r="Y3391" s="25"/>
      <c r="Z3391" s="25"/>
    </row>
    <row r="3392" spans="1:26" ht="52.5" customHeight="1" x14ac:dyDescent="0.25">
      <c r="A3392" s="25"/>
      <c r="B3392" s="25"/>
      <c r="C3392" s="55"/>
      <c r="D3392" s="25"/>
      <c r="E3392" s="25"/>
      <c r="F3392" s="25"/>
      <c r="G3392" s="25"/>
      <c r="H3392" s="25"/>
      <c r="I3392" s="25"/>
      <c r="J3392" s="55"/>
      <c r="K3392" s="25"/>
      <c r="L3392" s="62"/>
      <c r="M3392" s="25"/>
      <c r="N3392" s="25"/>
      <c r="O3392" s="25">
        <f t="shared" si="0"/>
        <v>0</v>
      </c>
      <c r="P3392" s="25" t="str">
        <f t="shared" si="2"/>
        <v/>
      </c>
      <c r="Q3392" s="25"/>
      <c r="R3392" s="25"/>
      <c r="S3392" s="55"/>
      <c r="T3392" s="56"/>
      <c r="U3392" s="25"/>
      <c r="V3392" s="25"/>
      <c r="W3392" s="25"/>
      <c r="X3392" s="25"/>
      <c r="Y3392" s="25"/>
      <c r="Z3392" s="25"/>
    </row>
    <row r="3393" spans="1:26" ht="52.5" customHeight="1" x14ac:dyDescent="0.25">
      <c r="A3393" s="25"/>
      <c r="B3393" s="25"/>
      <c r="C3393" s="55"/>
      <c r="D3393" s="25"/>
      <c r="E3393" s="25"/>
      <c r="F3393" s="25"/>
      <c r="G3393" s="25"/>
      <c r="H3393" s="25"/>
      <c r="I3393" s="25"/>
      <c r="J3393" s="55"/>
      <c r="K3393" s="25"/>
      <c r="L3393" s="62"/>
      <c r="M3393" s="25"/>
      <c r="N3393" s="25"/>
      <c r="O3393" s="25">
        <f t="shared" si="0"/>
        <v>0</v>
      </c>
      <c r="P3393" s="25" t="str">
        <f t="shared" si="2"/>
        <v/>
      </c>
      <c r="Q3393" s="25"/>
      <c r="R3393" s="25"/>
      <c r="S3393" s="55"/>
      <c r="T3393" s="56"/>
      <c r="U3393" s="25"/>
      <c r="V3393" s="25"/>
      <c r="W3393" s="25"/>
      <c r="X3393" s="25"/>
      <c r="Y3393" s="25"/>
      <c r="Z3393" s="25"/>
    </row>
    <row r="3394" spans="1:26" ht="52.5" customHeight="1" x14ac:dyDescent="0.25">
      <c r="A3394" s="25"/>
      <c r="B3394" s="25"/>
      <c r="C3394" s="55"/>
      <c r="D3394" s="25"/>
      <c r="E3394" s="25"/>
      <c r="F3394" s="25"/>
      <c r="G3394" s="25"/>
      <c r="H3394" s="25"/>
      <c r="I3394" s="25"/>
      <c r="J3394" s="55"/>
      <c r="K3394" s="25"/>
      <c r="L3394" s="62"/>
      <c r="M3394" s="25"/>
      <c r="N3394" s="25"/>
      <c r="O3394" s="25">
        <f t="shared" si="0"/>
        <v>0</v>
      </c>
      <c r="P3394" s="25" t="str">
        <f t="shared" si="2"/>
        <v/>
      </c>
      <c r="Q3394" s="25"/>
      <c r="R3394" s="25"/>
      <c r="S3394" s="55"/>
      <c r="T3394" s="56"/>
      <c r="U3394" s="25"/>
      <c r="V3394" s="25"/>
      <c r="W3394" s="25"/>
      <c r="X3394" s="25"/>
      <c r="Y3394" s="25"/>
      <c r="Z3394" s="25"/>
    </row>
    <row r="3395" spans="1:26" ht="52.5" customHeight="1" x14ac:dyDescent="0.25">
      <c r="A3395" s="25"/>
      <c r="B3395" s="25"/>
      <c r="C3395" s="55"/>
      <c r="D3395" s="25"/>
      <c r="E3395" s="25"/>
      <c r="F3395" s="25"/>
      <c r="G3395" s="25"/>
      <c r="H3395" s="25"/>
      <c r="I3395" s="25"/>
      <c r="J3395" s="55"/>
      <c r="K3395" s="25"/>
      <c r="L3395" s="62"/>
      <c r="M3395" s="25"/>
      <c r="N3395" s="25"/>
      <c r="O3395" s="25">
        <f t="shared" si="0"/>
        <v>0</v>
      </c>
      <c r="P3395" s="25" t="str">
        <f t="shared" si="2"/>
        <v/>
      </c>
      <c r="Q3395" s="25"/>
      <c r="R3395" s="25"/>
      <c r="S3395" s="55"/>
      <c r="T3395" s="56"/>
      <c r="U3395" s="25"/>
      <c r="V3395" s="25"/>
      <c r="W3395" s="25"/>
      <c r="X3395" s="25"/>
      <c r="Y3395" s="25"/>
      <c r="Z3395" s="25"/>
    </row>
    <row r="3396" spans="1:26" ht="52.5" customHeight="1" x14ac:dyDescent="0.25">
      <c r="A3396" s="25"/>
      <c r="B3396" s="25"/>
      <c r="C3396" s="55"/>
      <c r="D3396" s="25"/>
      <c r="E3396" s="25"/>
      <c r="F3396" s="25"/>
      <c r="G3396" s="25"/>
      <c r="H3396" s="25"/>
      <c r="I3396" s="25"/>
      <c r="J3396" s="55"/>
      <c r="K3396" s="25"/>
      <c r="L3396" s="62"/>
      <c r="M3396" s="25"/>
      <c r="N3396" s="25"/>
      <c r="O3396" s="25">
        <f t="shared" si="0"/>
        <v>0</v>
      </c>
      <c r="P3396" s="25" t="str">
        <f t="shared" si="2"/>
        <v/>
      </c>
      <c r="Q3396" s="25"/>
      <c r="R3396" s="25"/>
      <c r="S3396" s="55"/>
      <c r="T3396" s="56"/>
      <c r="U3396" s="25"/>
      <c r="V3396" s="25"/>
      <c r="W3396" s="25"/>
      <c r="X3396" s="25"/>
      <c r="Y3396" s="25"/>
      <c r="Z3396" s="25"/>
    </row>
    <row r="3397" spans="1:26" ht="52.5" customHeight="1" x14ac:dyDescent="0.25">
      <c r="A3397" s="25"/>
      <c r="B3397" s="25"/>
      <c r="C3397" s="55"/>
      <c r="D3397" s="25"/>
      <c r="E3397" s="25"/>
      <c r="F3397" s="25"/>
      <c r="G3397" s="25"/>
      <c r="H3397" s="25"/>
      <c r="I3397" s="25"/>
      <c r="J3397" s="55"/>
      <c r="K3397" s="25"/>
      <c r="L3397" s="62"/>
      <c r="M3397" s="25"/>
      <c r="N3397" s="25"/>
      <c r="O3397" s="25">
        <f t="shared" si="0"/>
        <v>0</v>
      </c>
      <c r="P3397" s="25" t="str">
        <f t="shared" si="2"/>
        <v/>
      </c>
      <c r="Q3397" s="25"/>
      <c r="R3397" s="25"/>
      <c r="S3397" s="55"/>
      <c r="T3397" s="56"/>
      <c r="U3397" s="25"/>
      <c r="V3397" s="25"/>
      <c r="W3397" s="25"/>
      <c r="X3397" s="25"/>
      <c r="Y3397" s="25"/>
      <c r="Z3397" s="25"/>
    </row>
    <row r="3398" spans="1:26" ht="52.5" customHeight="1" x14ac:dyDescent="0.25">
      <c r="A3398" s="25"/>
      <c r="B3398" s="25"/>
      <c r="C3398" s="55"/>
      <c r="D3398" s="25"/>
      <c r="E3398" s="25"/>
      <c r="F3398" s="25"/>
      <c r="G3398" s="25"/>
      <c r="H3398" s="25"/>
      <c r="I3398" s="25"/>
      <c r="J3398" s="55"/>
      <c r="K3398" s="25"/>
      <c r="L3398" s="62"/>
      <c r="M3398" s="25"/>
      <c r="N3398" s="25"/>
      <c r="O3398" s="25">
        <f t="shared" si="0"/>
        <v>0</v>
      </c>
      <c r="P3398" s="25" t="str">
        <f t="shared" si="2"/>
        <v/>
      </c>
      <c r="Q3398" s="25"/>
      <c r="R3398" s="25"/>
      <c r="S3398" s="55"/>
      <c r="T3398" s="56"/>
      <c r="U3398" s="25"/>
      <c r="V3398" s="25"/>
      <c r="W3398" s="25"/>
      <c r="X3398" s="25"/>
      <c r="Y3398" s="25"/>
      <c r="Z3398" s="25"/>
    </row>
    <row r="3399" spans="1:26" ht="52.5" customHeight="1" x14ac:dyDescent="0.25">
      <c r="A3399" s="25"/>
      <c r="B3399" s="25"/>
      <c r="C3399" s="55"/>
      <c r="D3399" s="25"/>
      <c r="E3399" s="25"/>
      <c r="F3399" s="25"/>
      <c r="G3399" s="25"/>
      <c r="H3399" s="25"/>
      <c r="I3399" s="25"/>
      <c r="J3399" s="55"/>
      <c r="K3399" s="25"/>
      <c r="L3399" s="62"/>
      <c r="M3399" s="25"/>
      <c r="N3399" s="25"/>
      <c r="O3399" s="25">
        <f t="shared" si="0"/>
        <v>0</v>
      </c>
      <c r="P3399" s="25" t="str">
        <f t="shared" si="2"/>
        <v/>
      </c>
      <c r="Q3399" s="25"/>
      <c r="R3399" s="25"/>
      <c r="S3399" s="55"/>
      <c r="T3399" s="56"/>
      <c r="U3399" s="25"/>
      <c r="V3399" s="25"/>
      <c r="W3399" s="25"/>
      <c r="X3399" s="25"/>
      <c r="Y3399" s="25"/>
      <c r="Z3399" s="25"/>
    </row>
    <row r="3400" spans="1:26" ht="52.5" customHeight="1" x14ac:dyDescent="0.25">
      <c r="A3400" s="25"/>
      <c r="B3400" s="25"/>
      <c r="C3400" s="55"/>
      <c r="D3400" s="25"/>
      <c r="E3400" s="25"/>
      <c r="F3400" s="25"/>
      <c r="G3400" s="25"/>
      <c r="H3400" s="25"/>
      <c r="I3400" s="25"/>
      <c r="J3400" s="55"/>
      <c r="K3400" s="25"/>
      <c r="L3400" s="62"/>
      <c r="M3400" s="25"/>
      <c r="N3400" s="25"/>
      <c r="O3400" s="25">
        <f t="shared" si="0"/>
        <v>0</v>
      </c>
      <c r="P3400" s="25" t="str">
        <f t="shared" si="2"/>
        <v/>
      </c>
      <c r="Q3400" s="25"/>
      <c r="R3400" s="25"/>
      <c r="S3400" s="55"/>
      <c r="T3400" s="56"/>
      <c r="U3400" s="25"/>
      <c r="V3400" s="25"/>
      <c r="W3400" s="25"/>
      <c r="X3400" s="25"/>
      <c r="Y3400" s="25"/>
      <c r="Z3400" s="25"/>
    </row>
    <row r="3401" spans="1:26" ht="52.5" customHeight="1" x14ac:dyDescent="0.25">
      <c r="A3401" s="25"/>
      <c r="B3401" s="25"/>
      <c r="C3401" s="55"/>
      <c r="D3401" s="25"/>
      <c r="E3401" s="25"/>
      <c r="F3401" s="25"/>
      <c r="G3401" s="25"/>
      <c r="H3401" s="25"/>
      <c r="I3401" s="25"/>
      <c r="J3401" s="55"/>
      <c r="K3401" s="25"/>
      <c r="L3401" s="62"/>
      <c r="M3401" s="25"/>
      <c r="N3401" s="25"/>
      <c r="O3401" s="25">
        <f t="shared" si="0"/>
        <v>0</v>
      </c>
      <c r="P3401" s="25" t="str">
        <f t="shared" si="2"/>
        <v/>
      </c>
      <c r="Q3401" s="25"/>
      <c r="R3401" s="25"/>
      <c r="S3401" s="55"/>
      <c r="T3401" s="56"/>
      <c r="U3401" s="25"/>
      <c r="V3401" s="25"/>
      <c r="W3401" s="25"/>
      <c r="X3401" s="25"/>
      <c r="Y3401" s="25"/>
      <c r="Z3401" s="25"/>
    </row>
    <row r="3402" spans="1:26" ht="52.5" customHeight="1" x14ac:dyDescent="0.25">
      <c r="A3402" s="25"/>
      <c r="B3402" s="25"/>
      <c r="C3402" s="55"/>
      <c r="D3402" s="25"/>
      <c r="E3402" s="25"/>
      <c r="F3402" s="25"/>
      <c r="G3402" s="25"/>
      <c r="H3402" s="25"/>
      <c r="I3402" s="25"/>
      <c r="J3402" s="55"/>
      <c r="K3402" s="25"/>
      <c r="L3402" s="62"/>
      <c r="M3402" s="25"/>
      <c r="N3402" s="25"/>
      <c r="O3402" s="25">
        <f t="shared" si="0"/>
        <v>0</v>
      </c>
      <c r="P3402" s="25" t="str">
        <f t="shared" si="2"/>
        <v/>
      </c>
      <c r="Q3402" s="25"/>
      <c r="R3402" s="25"/>
      <c r="S3402" s="55"/>
      <c r="T3402" s="56"/>
      <c r="U3402" s="25"/>
      <c r="V3402" s="25"/>
      <c r="W3402" s="25"/>
      <c r="X3402" s="25"/>
      <c r="Y3402" s="25"/>
      <c r="Z3402" s="25"/>
    </row>
    <row r="3403" spans="1:26" ht="52.5" customHeight="1" x14ac:dyDescent="0.25">
      <c r="A3403" s="25"/>
      <c r="B3403" s="25"/>
      <c r="C3403" s="55"/>
      <c r="D3403" s="25"/>
      <c r="E3403" s="25"/>
      <c r="F3403" s="25"/>
      <c r="G3403" s="25"/>
      <c r="H3403" s="25"/>
      <c r="I3403" s="25"/>
      <c r="J3403" s="55"/>
      <c r="K3403" s="25"/>
      <c r="L3403" s="62"/>
      <c r="M3403" s="25"/>
      <c r="N3403" s="25"/>
      <c r="O3403" s="25">
        <f t="shared" si="0"/>
        <v>0</v>
      </c>
      <c r="P3403" s="25" t="str">
        <f t="shared" si="2"/>
        <v/>
      </c>
      <c r="Q3403" s="25"/>
      <c r="R3403" s="25"/>
      <c r="S3403" s="55"/>
      <c r="T3403" s="56"/>
      <c r="U3403" s="25"/>
      <c r="V3403" s="25"/>
      <c r="W3403" s="25"/>
      <c r="X3403" s="25"/>
      <c r="Y3403" s="25"/>
      <c r="Z3403" s="25"/>
    </row>
    <row r="3404" spans="1:26" ht="52.5" customHeight="1" x14ac:dyDescent="0.25">
      <c r="A3404" s="25"/>
      <c r="B3404" s="25"/>
      <c r="C3404" s="55"/>
      <c r="D3404" s="25"/>
      <c r="E3404" s="25"/>
      <c r="F3404" s="25"/>
      <c r="G3404" s="25"/>
      <c r="H3404" s="25"/>
      <c r="I3404" s="25"/>
      <c r="J3404" s="55"/>
      <c r="K3404" s="25"/>
      <c r="L3404" s="62"/>
      <c r="M3404" s="25"/>
      <c r="N3404" s="25"/>
      <c r="O3404" s="25">
        <f t="shared" si="0"/>
        <v>0</v>
      </c>
      <c r="P3404" s="25" t="str">
        <f t="shared" si="2"/>
        <v/>
      </c>
      <c r="Q3404" s="25"/>
      <c r="R3404" s="25"/>
      <c r="S3404" s="55"/>
      <c r="T3404" s="56"/>
      <c r="U3404" s="25"/>
      <c r="V3404" s="25"/>
      <c r="W3404" s="25"/>
      <c r="X3404" s="25"/>
      <c r="Y3404" s="25"/>
      <c r="Z3404" s="25"/>
    </row>
    <row r="3405" spans="1:26" ht="52.5" customHeight="1" x14ac:dyDescent="0.25">
      <c r="A3405" s="25"/>
      <c r="B3405" s="25"/>
      <c r="C3405" s="55"/>
      <c r="D3405" s="25"/>
      <c r="E3405" s="25"/>
      <c r="F3405" s="25"/>
      <c r="G3405" s="25"/>
      <c r="H3405" s="25"/>
      <c r="I3405" s="25"/>
      <c r="J3405" s="55"/>
      <c r="K3405" s="25"/>
      <c r="L3405" s="62"/>
      <c r="M3405" s="25"/>
      <c r="N3405" s="25"/>
      <c r="O3405" s="25">
        <f t="shared" si="0"/>
        <v>0</v>
      </c>
      <c r="P3405" s="25" t="str">
        <f t="shared" si="2"/>
        <v/>
      </c>
      <c r="Q3405" s="25"/>
      <c r="R3405" s="25"/>
      <c r="S3405" s="55"/>
      <c r="T3405" s="56"/>
      <c r="U3405" s="25"/>
      <c r="V3405" s="25"/>
      <c r="W3405" s="25"/>
      <c r="X3405" s="25"/>
      <c r="Y3405" s="25"/>
      <c r="Z3405" s="25"/>
    </row>
    <row r="3406" spans="1:26" ht="52.5" customHeight="1" x14ac:dyDescent="0.25">
      <c r="A3406" s="25"/>
      <c r="B3406" s="25"/>
      <c r="C3406" s="55"/>
      <c r="D3406" s="25"/>
      <c r="E3406" s="25"/>
      <c r="F3406" s="25"/>
      <c r="G3406" s="25"/>
      <c r="H3406" s="25"/>
      <c r="I3406" s="25"/>
      <c r="J3406" s="55"/>
      <c r="K3406" s="25"/>
      <c r="L3406" s="62"/>
      <c r="M3406" s="25"/>
      <c r="N3406" s="25"/>
      <c r="O3406" s="25">
        <f t="shared" si="0"/>
        <v>0</v>
      </c>
      <c r="P3406" s="25" t="str">
        <f t="shared" si="2"/>
        <v/>
      </c>
      <c r="Q3406" s="25"/>
      <c r="R3406" s="25"/>
      <c r="S3406" s="55"/>
      <c r="T3406" s="56"/>
      <c r="U3406" s="25"/>
      <c r="V3406" s="25"/>
      <c r="W3406" s="25"/>
      <c r="X3406" s="25"/>
      <c r="Y3406" s="25"/>
      <c r="Z3406" s="25"/>
    </row>
    <row r="3407" spans="1:26" ht="52.5" customHeight="1" x14ac:dyDescent="0.25">
      <c r="A3407" s="25"/>
      <c r="B3407" s="25"/>
      <c r="C3407" s="55"/>
      <c r="D3407" s="25"/>
      <c r="E3407" s="25"/>
      <c r="F3407" s="25"/>
      <c r="G3407" s="25"/>
      <c r="H3407" s="25"/>
      <c r="I3407" s="25"/>
      <c r="J3407" s="55"/>
      <c r="K3407" s="25"/>
      <c r="L3407" s="62"/>
      <c r="M3407" s="25"/>
      <c r="N3407" s="25"/>
      <c r="O3407" s="25">
        <f t="shared" si="0"/>
        <v>0</v>
      </c>
      <c r="P3407" s="25" t="str">
        <f t="shared" si="2"/>
        <v/>
      </c>
      <c r="Q3407" s="25"/>
      <c r="R3407" s="25"/>
      <c r="S3407" s="55"/>
      <c r="T3407" s="56"/>
      <c r="U3407" s="25"/>
      <c r="V3407" s="25"/>
      <c r="W3407" s="25"/>
      <c r="X3407" s="25"/>
      <c r="Y3407" s="25"/>
      <c r="Z3407" s="25"/>
    </row>
    <row r="3408" spans="1:26" ht="52.5" customHeight="1" x14ac:dyDescent="0.25">
      <c r="A3408" s="25"/>
      <c r="B3408" s="25"/>
      <c r="C3408" s="55"/>
      <c r="D3408" s="25"/>
      <c r="E3408" s="25"/>
      <c r="F3408" s="25"/>
      <c r="G3408" s="25"/>
      <c r="H3408" s="25"/>
      <c r="I3408" s="25"/>
      <c r="J3408" s="55"/>
      <c r="K3408" s="25"/>
      <c r="L3408" s="62"/>
      <c r="M3408" s="25"/>
      <c r="N3408" s="25"/>
      <c r="O3408" s="25">
        <f t="shared" si="0"/>
        <v>0</v>
      </c>
      <c r="P3408" s="25" t="str">
        <f t="shared" si="2"/>
        <v/>
      </c>
      <c r="Q3408" s="25"/>
      <c r="R3408" s="25"/>
      <c r="S3408" s="55"/>
      <c r="T3408" s="56"/>
      <c r="U3408" s="25"/>
      <c r="V3408" s="25"/>
      <c r="W3408" s="25"/>
      <c r="X3408" s="25"/>
      <c r="Y3408" s="25"/>
      <c r="Z3408" s="25"/>
    </row>
    <row r="3409" spans="1:26" ht="52.5" customHeight="1" x14ac:dyDescent="0.25">
      <c r="A3409" s="25"/>
      <c r="B3409" s="25"/>
      <c r="C3409" s="55"/>
      <c r="D3409" s="25"/>
      <c r="E3409" s="25"/>
      <c r="F3409" s="25"/>
      <c r="G3409" s="25"/>
      <c r="H3409" s="25"/>
      <c r="I3409" s="25"/>
      <c r="J3409" s="55"/>
      <c r="K3409" s="25"/>
      <c r="L3409" s="62"/>
      <c r="M3409" s="25"/>
      <c r="N3409" s="25"/>
      <c r="O3409" s="25">
        <f t="shared" si="0"/>
        <v>0</v>
      </c>
      <c r="P3409" s="25" t="str">
        <f t="shared" si="2"/>
        <v/>
      </c>
      <c r="Q3409" s="25"/>
      <c r="R3409" s="25"/>
      <c r="S3409" s="55"/>
      <c r="T3409" s="56"/>
      <c r="U3409" s="25"/>
      <c r="V3409" s="25"/>
      <c r="W3409" s="25"/>
      <c r="X3409" s="25"/>
      <c r="Y3409" s="25"/>
      <c r="Z3409" s="25"/>
    </row>
    <row r="3410" spans="1:26" ht="52.5" customHeight="1" x14ac:dyDescent="0.25">
      <c r="A3410" s="25"/>
      <c r="B3410" s="25"/>
      <c r="C3410" s="55"/>
      <c r="D3410" s="25"/>
      <c r="E3410" s="25"/>
      <c r="F3410" s="25"/>
      <c r="G3410" s="25"/>
      <c r="H3410" s="25"/>
      <c r="I3410" s="25"/>
      <c r="J3410" s="55"/>
      <c r="K3410" s="25"/>
      <c r="L3410" s="62"/>
      <c r="M3410" s="25"/>
      <c r="N3410" s="25"/>
      <c r="O3410" s="25">
        <f t="shared" si="0"/>
        <v>0</v>
      </c>
      <c r="P3410" s="25" t="str">
        <f t="shared" si="2"/>
        <v/>
      </c>
      <c r="Q3410" s="25"/>
      <c r="R3410" s="25"/>
      <c r="S3410" s="55"/>
      <c r="T3410" s="56"/>
      <c r="U3410" s="25"/>
      <c r="V3410" s="25"/>
      <c r="W3410" s="25"/>
      <c r="X3410" s="25"/>
      <c r="Y3410" s="25"/>
      <c r="Z3410" s="25"/>
    </row>
    <row r="3411" spans="1:26" ht="52.5" customHeight="1" x14ac:dyDescent="0.25">
      <c r="A3411" s="25"/>
      <c r="B3411" s="25"/>
      <c r="C3411" s="55"/>
      <c r="D3411" s="25"/>
      <c r="E3411" s="25"/>
      <c r="F3411" s="25"/>
      <c r="G3411" s="25"/>
      <c r="H3411" s="25"/>
      <c r="I3411" s="25"/>
      <c r="J3411" s="55"/>
      <c r="K3411" s="25"/>
      <c r="L3411" s="62"/>
      <c r="M3411" s="25"/>
      <c r="N3411" s="25"/>
      <c r="O3411" s="25">
        <f t="shared" si="0"/>
        <v>0</v>
      </c>
      <c r="P3411" s="25" t="str">
        <f t="shared" si="2"/>
        <v/>
      </c>
      <c r="Q3411" s="25"/>
      <c r="R3411" s="25"/>
      <c r="S3411" s="55"/>
      <c r="T3411" s="56"/>
      <c r="U3411" s="25"/>
      <c r="V3411" s="25"/>
      <c r="W3411" s="25"/>
      <c r="X3411" s="25"/>
      <c r="Y3411" s="25"/>
      <c r="Z3411" s="25"/>
    </row>
    <row r="3412" spans="1:26" ht="52.5" customHeight="1" x14ac:dyDescent="0.25">
      <c r="A3412" s="25"/>
      <c r="B3412" s="25"/>
      <c r="C3412" s="55"/>
      <c r="D3412" s="25"/>
      <c r="E3412" s="25"/>
      <c r="F3412" s="25"/>
      <c r="G3412" s="25"/>
      <c r="H3412" s="25"/>
      <c r="I3412" s="25"/>
      <c r="J3412" s="55"/>
      <c r="K3412" s="25"/>
      <c r="L3412" s="62"/>
      <c r="M3412" s="25"/>
      <c r="N3412" s="25"/>
      <c r="O3412" s="25">
        <f t="shared" si="0"/>
        <v>0</v>
      </c>
      <c r="P3412" s="25" t="str">
        <f t="shared" si="2"/>
        <v/>
      </c>
      <c r="Q3412" s="25"/>
      <c r="R3412" s="25"/>
      <c r="S3412" s="55"/>
      <c r="T3412" s="56"/>
      <c r="U3412" s="25"/>
      <c r="V3412" s="25"/>
      <c r="W3412" s="25"/>
      <c r="X3412" s="25"/>
      <c r="Y3412" s="25"/>
      <c r="Z3412" s="25"/>
    </row>
    <row r="3413" spans="1:26" ht="52.5" customHeight="1" x14ac:dyDescent="0.25">
      <c r="A3413" s="25"/>
      <c r="B3413" s="25"/>
      <c r="C3413" s="55"/>
      <c r="D3413" s="25"/>
      <c r="E3413" s="25"/>
      <c r="F3413" s="25"/>
      <c r="G3413" s="25"/>
      <c r="H3413" s="25"/>
      <c r="I3413" s="25"/>
      <c r="J3413" s="55"/>
      <c r="K3413" s="25"/>
      <c r="L3413" s="62"/>
      <c r="M3413" s="25"/>
      <c r="N3413" s="25"/>
      <c r="O3413" s="25">
        <f t="shared" si="0"/>
        <v>0</v>
      </c>
      <c r="P3413" s="25" t="str">
        <f t="shared" si="2"/>
        <v/>
      </c>
      <c r="Q3413" s="25"/>
      <c r="R3413" s="25"/>
      <c r="S3413" s="55"/>
      <c r="T3413" s="56"/>
      <c r="U3413" s="25"/>
      <c r="V3413" s="25"/>
      <c r="W3413" s="25"/>
      <c r="X3413" s="25"/>
      <c r="Y3413" s="25"/>
      <c r="Z3413" s="25"/>
    </row>
    <row r="3414" spans="1:26" ht="52.5" customHeight="1" x14ac:dyDescent="0.25">
      <c r="A3414" s="25"/>
      <c r="B3414" s="25"/>
      <c r="C3414" s="55"/>
      <c r="D3414" s="25"/>
      <c r="E3414" s="25"/>
      <c r="F3414" s="25"/>
      <c r="G3414" s="25"/>
      <c r="H3414" s="25"/>
      <c r="I3414" s="25"/>
      <c r="J3414" s="55"/>
      <c r="K3414" s="25"/>
      <c r="L3414" s="62"/>
      <c r="M3414" s="25"/>
      <c r="N3414" s="25"/>
      <c r="O3414" s="25">
        <f t="shared" si="0"/>
        <v>0</v>
      </c>
      <c r="P3414" s="25" t="str">
        <f t="shared" si="2"/>
        <v/>
      </c>
      <c r="Q3414" s="25"/>
      <c r="R3414" s="25"/>
      <c r="S3414" s="55"/>
      <c r="T3414" s="56"/>
      <c r="U3414" s="25"/>
      <c r="V3414" s="25"/>
      <c r="W3414" s="25"/>
      <c r="X3414" s="25"/>
      <c r="Y3414" s="25"/>
      <c r="Z3414" s="25"/>
    </row>
    <row r="3415" spans="1:26" ht="52.5" customHeight="1" x14ac:dyDescent="0.25">
      <c r="A3415" s="25"/>
      <c r="B3415" s="25"/>
      <c r="C3415" s="55"/>
      <c r="D3415" s="25"/>
      <c r="E3415" s="25"/>
      <c r="F3415" s="25"/>
      <c r="G3415" s="25"/>
      <c r="H3415" s="25"/>
      <c r="I3415" s="25"/>
      <c r="J3415" s="55"/>
      <c r="K3415" s="25"/>
      <c r="L3415" s="62"/>
      <c r="M3415" s="25"/>
      <c r="N3415" s="25"/>
      <c r="O3415" s="25">
        <f t="shared" si="0"/>
        <v>0</v>
      </c>
      <c r="P3415" s="25" t="str">
        <f t="shared" si="2"/>
        <v/>
      </c>
      <c r="Q3415" s="25"/>
      <c r="R3415" s="25"/>
      <c r="S3415" s="55"/>
      <c r="T3415" s="56"/>
      <c r="U3415" s="25"/>
      <c r="V3415" s="25"/>
      <c r="W3415" s="25"/>
      <c r="X3415" s="25"/>
      <c r="Y3415" s="25"/>
      <c r="Z3415" s="25"/>
    </row>
    <row r="3416" spans="1:26" ht="52.5" customHeight="1" x14ac:dyDescent="0.25">
      <c r="A3416" s="25"/>
      <c r="B3416" s="25"/>
      <c r="C3416" s="55"/>
      <c r="D3416" s="25"/>
      <c r="E3416" s="25"/>
      <c r="F3416" s="25"/>
      <c r="G3416" s="25"/>
      <c r="H3416" s="25"/>
      <c r="I3416" s="25"/>
      <c r="J3416" s="55"/>
      <c r="K3416" s="25"/>
      <c r="L3416" s="62"/>
      <c r="M3416" s="25"/>
      <c r="N3416" s="25"/>
      <c r="O3416" s="25">
        <f t="shared" si="0"/>
        <v>0</v>
      </c>
      <c r="P3416" s="25" t="str">
        <f t="shared" si="2"/>
        <v/>
      </c>
      <c r="Q3416" s="25"/>
      <c r="R3416" s="25"/>
      <c r="S3416" s="55"/>
      <c r="T3416" s="56"/>
      <c r="U3416" s="25"/>
      <c r="V3416" s="25"/>
      <c r="W3416" s="25"/>
      <c r="X3416" s="25"/>
      <c r="Y3416" s="25"/>
      <c r="Z3416" s="25"/>
    </row>
    <row r="3417" spans="1:26" ht="52.5" customHeight="1" x14ac:dyDescent="0.25">
      <c r="A3417" s="25"/>
      <c r="B3417" s="25"/>
      <c r="C3417" s="55"/>
      <c r="D3417" s="25"/>
      <c r="E3417" s="25"/>
      <c r="F3417" s="25"/>
      <c r="G3417" s="25"/>
      <c r="H3417" s="25"/>
      <c r="I3417" s="25"/>
      <c r="J3417" s="55"/>
      <c r="K3417" s="25"/>
      <c r="L3417" s="62"/>
      <c r="M3417" s="25"/>
      <c r="N3417" s="25"/>
      <c r="O3417" s="25">
        <f t="shared" si="0"/>
        <v>0</v>
      </c>
      <c r="P3417" s="25" t="str">
        <f t="shared" si="2"/>
        <v/>
      </c>
      <c r="Q3417" s="25"/>
      <c r="R3417" s="25"/>
      <c r="S3417" s="55"/>
      <c r="T3417" s="56"/>
      <c r="U3417" s="25"/>
      <c r="V3417" s="25"/>
      <c r="W3417" s="25"/>
      <c r="X3417" s="25"/>
      <c r="Y3417" s="25"/>
      <c r="Z3417" s="25"/>
    </row>
    <row r="3418" spans="1:26" ht="52.5" customHeight="1" x14ac:dyDescent="0.25">
      <c r="A3418" s="25"/>
      <c r="B3418" s="25"/>
      <c r="C3418" s="55"/>
      <c r="D3418" s="25"/>
      <c r="E3418" s="25"/>
      <c r="F3418" s="25"/>
      <c r="G3418" s="25"/>
      <c r="H3418" s="25"/>
      <c r="I3418" s="25"/>
      <c r="J3418" s="55"/>
      <c r="K3418" s="25"/>
      <c r="L3418" s="62"/>
      <c r="M3418" s="25"/>
      <c r="N3418" s="25"/>
      <c r="O3418" s="25">
        <f t="shared" si="0"/>
        <v>0</v>
      </c>
      <c r="P3418" s="25" t="str">
        <f t="shared" si="2"/>
        <v/>
      </c>
      <c r="Q3418" s="25"/>
      <c r="R3418" s="25"/>
      <c r="S3418" s="55"/>
      <c r="T3418" s="56"/>
      <c r="U3418" s="25"/>
      <c r="V3418" s="25"/>
      <c r="W3418" s="25"/>
      <c r="X3418" s="25"/>
      <c r="Y3418" s="25"/>
      <c r="Z3418" s="25"/>
    </row>
    <row r="3419" spans="1:26" ht="52.5" customHeight="1" x14ac:dyDescent="0.25">
      <c r="A3419" s="25"/>
      <c r="B3419" s="25"/>
      <c r="C3419" s="55"/>
      <c r="D3419" s="25"/>
      <c r="E3419" s="25"/>
      <c r="F3419" s="25"/>
      <c r="G3419" s="25"/>
      <c r="H3419" s="25"/>
      <c r="I3419" s="25"/>
      <c r="J3419" s="55"/>
      <c r="K3419" s="25"/>
      <c r="L3419" s="62"/>
      <c r="M3419" s="25"/>
      <c r="N3419" s="25"/>
      <c r="O3419" s="25">
        <f t="shared" si="0"/>
        <v>0</v>
      </c>
      <c r="P3419" s="25" t="str">
        <f t="shared" si="2"/>
        <v/>
      </c>
      <c r="Q3419" s="25"/>
      <c r="R3419" s="25"/>
      <c r="S3419" s="55"/>
      <c r="T3419" s="56"/>
      <c r="U3419" s="25"/>
      <c r="V3419" s="25"/>
      <c r="W3419" s="25"/>
      <c r="X3419" s="25"/>
      <c r="Y3419" s="25"/>
      <c r="Z3419" s="25"/>
    </row>
    <row r="3420" spans="1:26" ht="52.5" customHeight="1" x14ac:dyDescent="0.25">
      <c r="A3420" s="25"/>
      <c r="B3420" s="25"/>
      <c r="C3420" s="55"/>
      <c r="D3420" s="25"/>
      <c r="E3420" s="25"/>
      <c r="F3420" s="25"/>
      <c r="G3420" s="25"/>
      <c r="H3420" s="25"/>
      <c r="I3420" s="25"/>
      <c r="J3420" s="55"/>
      <c r="K3420" s="25"/>
      <c r="L3420" s="62"/>
      <c r="M3420" s="25"/>
      <c r="N3420" s="25"/>
      <c r="O3420" s="25">
        <f t="shared" si="0"/>
        <v>0</v>
      </c>
      <c r="P3420" s="25" t="str">
        <f t="shared" si="2"/>
        <v/>
      </c>
      <c r="Q3420" s="25"/>
      <c r="R3420" s="25"/>
      <c r="S3420" s="55"/>
      <c r="T3420" s="56"/>
      <c r="U3420" s="25"/>
      <c r="V3420" s="25"/>
      <c r="W3420" s="25"/>
      <c r="X3420" s="25"/>
      <c r="Y3420" s="25"/>
      <c r="Z3420" s="25"/>
    </row>
    <row r="3421" spans="1:26" ht="52.5" customHeight="1" x14ac:dyDescent="0.25">
      <c r="A3421" s="25"/>
      <c r="B3421" s="25"/>
      <c r="C3421" s="55"/>
      <c r="D3421" s="25"/>
      <c r="E3421" s="25"/>
      <c r="F3421" s="25"/>
      <c r="G3421" s="25"/>
      <c r="H3421" s="25"/>
      <c r="I3421" s="25"/>
      <c r="J3421" s="55"/>
      <c r="K3421" s="25"/>
      <c r="L3421" s="62"/>
      <c r="M3421" s="25"/>
      <c r="N3421" s="25"/>
      <c r="O3421" s="25">
        <f t="shared" si="0"/>
        <v>0</v>
      </c>
      <c r="P3421" s="25" t="str">
        <f t="shared" si="2"/>
        <v/>
      </c>
      <c r="Q3421" s="25"/>
      <c r="R3421" s="25"/>
      <c r="S3421" s="55"/>
      <c r="T3421" s="56"/>
      <c r="U3421" s="25"/>
      <c r="V3421" s="25"/>
      <c r="W3421" s="25"/>
      <c r="X3421" s="25"/>
      <c r="Y3421" s="25"/>
      <c r="Z3421" s="25"/>
    </row>
    <row r="3422" spans="1:26" ht="52.5" customHeight="1" x14ac:dyDescent="0.25">
      <c r="A3422" s="25"/>
      <c r="B3422" s="25"/>
      <c r="C3422" s="55"/>
      <c r="D3422" s="25"/>
      <c r="E3422" s="25"/>
      <c r="F3422" s="25"/>
      <c r="G3422" s="25"/>
      <c r="H3422" s="25"/>
      <c r="I3422" s="25"/>
      <c r="J3422" s="55"/>
      <c r="K3422" s="25"/>
      <c r="L3422" s="62"/>
      <c r="M3422" s="25"/>
      <c r="N3422" s="25"/>
      <c r="O3422" s="25">
        <f t="shared" si="0"/>
        <v>0</v>
      </c>
      <c r="P3422" s="25" t="str">
        <f t="shared" si="2"/>
        <v/>
      </c>
      <c r="Q3422" s="25"/>
      <c r="R3422" s="25"/>
      <c r="S3422" s="55"/>
      <c r="T3422" s="56"/>
      <c r="U3422" s="25"/>
      <c r="V3422" s="25"/>
      <c r="W3422" s="25"/>
      <c r="X3422" s="25"/>
      <c r="Y3422" s="25"/>
      <c r="Z3422" s="25"/>
    </row>
    <row r="3423" spans="1:26" ht="52.5" customHeight="1" x14ac:dyDescent="0.25">
      <c r="A3423" s="25"/>
      <c r="B3423" s="25"/>
      <c r="C3423" s="55"/>
      <c r="D3423" s="25"/>
      <c r="E3423" s="25"/>
      <c r="F3423" s="25"/>
      <c r="G3423" s="25"/>
      <c r="H3423" s="25"/>
      <c r="I3423" s="25"/>
      <c r="J3423" s="55"/>
      <c r="K3423" s="25"/>
      <c r="L3423" s="62"/>
      <c r="M3423" s="25"/>
      <c r="N3423" s="25"/>
      <c r="O3423" s="25">
        <f t="shared" si="0"/>
        <v>0</v>
      </c>
      <c r="P3423" s="25" t="str">
        <f t="shared" si="2"/>
        <v/>
      </c>
      <c r="Q3423" s="25"/>
      <c r="R3423" s="25"/>
      <c r="S3423" s="55"/>
      <c r="T3423" s="56"/>
      <c r="U3423" s="25"/>
      <c r="V3423" s="25"/>
      <c r="W3423" s="25"/>
      <c r="X3423" s="25"/>
      <c r="Y3423" s="25"/>
      <c r="Z3423" s="25"/>
    </row>
    <row r="3424" spans="1:26" ht="52.5" customHeight="1" x14ac:dyDescent="0.25">
      <c r="A3424" s="25"/>
      <c r="B3424" s="25"/>
      <c r="C3424" s="55"/>
      <c r="D3424" s="25"/>
      <c r="E3424" s="25"/>
      <c r="F3424" s="25"/>
      <c r="G3424" s="25"/>
      <c r="H3424" s="25"/>
      <c r="I3424" s="25"/>
      <c r="J3424" s="55"/>
      <c r="K3424" s="25"/>
      <c r="L3424" s="62"/>
      <c r="M3424" s="25"/>
      <c r="N3424" s="25"/>
      <c r="O3424" s="25">
        <f t="shared" si="0"/>
        <v>0</v>
      </c>
      <c r="P3424" s="25" t="str">
        <f t="shared" si="2"/>
        <v/>
      </c>
      <c r="Q3424" s="25"/>
      <c r="R3424" s="25"/>
      <c r="S3424" s="55"/>
      <c r="T3424" s="56"/>
      <c r="U3424" s="25"/>
      <c r="V3424" s="25"/>
      <c r="W3424" s="25"/>
      <c r="X3424" s="25"/>
      <c r="Y3424" s="25"/>
      <c r="Z3424" s="25"/>
    </row>
    <row r="3425" spans="1:26" ht="52.5" customHeight="1" x14ac:dyDescent="0.25">
      <c r="A3425" s="25"/>
      <c r="B3425" s="25"/>
      <c r="C3425" s="55"/>
      <c r="D3425" s="25"/>
      <c r="E3425" s="25"/>
      <c r="F3425" s="25"/>
      <c r="G3425" s="25"/>
      <c r="H3425" s="25"/>
      <c r="I3425" s="25"/>
      <c r="J3425" s="55"/>
      <c r="K3425" s="25"/>
      <c r="L3425" s="62"/>
      <c r="M3425" s="25"/>
      <c r="N3425" s="25"/>
      <c r="O3425" s="25">
        <f t="shared" si="0"/>
        <v>0</v>
      </c>
      <c r="P3425" s="25" t="str">
        <f t="shared" si="2"/>
        <v/>
      </c>
      <c r="Q3425" s="25"/>
      <c r="R3425" s="25"/>
      <c r="S3425" s="55"/>
      <c r="T3425" s="56"/>
      <c r="U3425" s="25"/>
      <c r="V3425" s="25"/>
      <c r="W3425" s="25"/>
      <c r="X3425" s="25"/>
      <c r="Y3425" s="25"/>
      <c r="Z3425" s="25"/>
    </row>
    <row r="3426" spans="1:26" ht="52.5" customHeight="1" x14ac:dyDescent="0.25">
      <c r="A3426" s="25"/>
      <c r="B3426" s="25"/>
      <c r="C3426" s="55"/>
      <c r="D3426" s="25"/>
      <c r="E3426" s="25"/>
      <c r="F3426" s="25"/>
      <c r="G3426" s="25"/>
      <c r="H3426" s="25"/>
      <c r="I3426" s="25"/>
      <c r="J3426" s="55"/>
      <c r="K3426" s="25"/>
      <c r="L3426" s="62"/>
      <c r="M3426" s="25"/>
      <c r="N3426" s="25"/>
      <c r="O3426" s="25">
        <f t="shared" si="0"/>
        <v>0</v>
      </c>
      <c r="P3426" s="25" t="str">
        <f t="shared" si="2"/>
        <v/>
      </c>
      <c r="Q3426" s="25"/>
      <c r="R3426" s="25"/>
      <c r="S3426" s="55"/>
      <c r="T3426" s="56"/>
      <c r="U3426" s="25"/>
      <c r="V3426" s="25"/>
      <c r="W3426" s="25"/>
      <c r="X3426" s="25"/>
      <c r="Y3426" s="25"/>
      <c r="Z3426" s="25"/>
    </row>
    <row r="3427" spans="1:26" ht="52.5" customHeight="1" x14ac:dyDescent="0.25">
      <c r="A3427" s="25"/>
      <c r="B3427" s="25"/>
      <c r="C3427" s="55"/>
      <c r="D3427" s="25"/>
      <c r="E3427" s="25"/>
      <c r="F3427" s="25"/>
      <c r="G3427" s="25"/>
      <c r="H3427" s="25"/>
      <c r="I3427" s="25"/>
      <c r="J3427" s="55"/>
      <c r="K3427" s="25"/>
      <c r="L3427" s="62"/>
      <c r="M3427" s="25"/>
      <c r="N3427" s="25"/>
      <c r="O3427" s="25">
        <f t="shared" si="0"/>
        <v>0</v>
      </c>
      <c r="P3427" s="25" t="str">
        <f t="shared" si="2"/>
        <v/>
      </c>
      <c r="Q3427" s="25"/>
      <c r="R3427" s="25"/>
      <c r="S3427" s="55"/>
      <c r="T3427" s="56"/>
      <c r="U3427" s="25"/>
      <c r="V3427" s="25"/>
      <c r="W3427" s="25"/>
      <c r="X3427" s="25"/>
      <c r="Y3427" s="25"/>
      <c r="Z3427" s="25"/>
    </row>
    <row r="3428" spans="1:26" ht="52.5" customHeight="1" x14ac:dyDescent="0.25">
      <c r="A3428" s="25"/>
      <c r="B3428" s="25"/>
      <c r="C3428" s="55"/>
      <c r="D3428" s="25"/>
      <c r="E3428" s="25"/>
      <c r="F3428" s="25"/>
      <c r="G3428" s="25"/>
      <c r="H3428" s="25"/>
      <c r="I3428" s="25"/>
      <c r="J3428" s="55"/>
      <c r="K3428" s="25"/>
      <c r="L3428" s="62"/>
      <c r="M3428" s="25"/>
      <c r="N3428" s="25"/>
      <c r="O3428" s="25">
        <f t="shared" si="0"/>
        <v>0</v>
      </c>
      <c r="P3428" s="25" t="str">
        <f t="shared" si="2"/>
        <v/>
      </c>
      <c r="Q3428" s="25"/>
      <c r="R3428" s="25"/>
      <c r="S3428" s="55"/>
      <c r="T3428" s="56"/>
      <c r="U3428" s="25"/>
      <c r="V3428" s="25"/>
      <c r="W3428" s="25"/>
      <c r="X3428" s="25"/>
      <c r="Y3428" s="25"/>
      <c r="Z3428" s="25"/>
    </row>
    <row r="3429" spans="1:26" ht="52.5" customHeight="1" x14ac:dyDescent="0.25">
      <c r="A3429" s="25"/>
      <c r="B3429" s="25"/>
      <c r="C3429" s="55"/>
      <c r="D3429" s="25"/>
      <c r="E3429" s="25"/>
      <c r="F3429" s="25"/>
      <c r="G3429" s="25"/>
      <c r="H3429" s="25"/>
      <c r="I3429" s="25"/>
      <c r="J3429" s="55"/>
      <c r="K3429" s="25"/>
      <c r="L3429" s="62"/>
      <c r="M3429" s="25"/>
      <c r="N3429" s="25"/>
      <c r="O3429" s="25">
        <f t="shared" si="0"/>
        <v>0</v>
      </c>
      <c r="P3429" s="25" t="str">
        <f t="shared" si="2"/>
        <v/>
      </c>
      <c r="Q3429" s="25"/>
      <c r="R3429" s="25"/>
      <c r="S3429" s="55"/>
      <c r="T3429" s="56"/>
      <c r="U3429" s="25"/>
      <c r="V3429" s="25"/>
      <c r="W3429" s="25"/>
      <c r="X3429" s="25"/>
      <c r="Y3429" s="25"/>
      <c r="Z3429" s="25"/>
    </row>
    <row r="3430" spans="1:26" ht="52.5" customHeight="1" x14ac:dyDescent="0.25">
      <c r="A3430" s="25"/>
      <c r="B3430" s="25"/>
      <c r="C3430" s="55"/>
      <c r="D3430" s="25"/>
      <c r="E3430" s="25"/>
      <c r="F3430" s="25"/>
      <c r="G3430" s="25"/>
      <c r="H3430" s="25"/>
      <c r="I3430" s="25"/>
      <c r="J3430" s="55"/>
      <c r="K3430" s="25"/>
      <c r="L3430" s="62"/>
      <c r="M3430" s="25"/>
      <c r="N3430" s="25"/>
      <c r="O3430" s="25">
        <f t="shared" si="0"/>
        <v>0</v>
      </c>
      <c r="P3430" s="25" t="str">
        <f t="shared" si="2"/>
        <v/>
      </c>
      <c r="Q3430" s="25"/>
      <c r="R3430" s="25"/>
      <c r="S3430" s="55"/>
      <c r="T3430" s="56"/>
      <c r="U3430" s="25"/>
      <c r="V3430" s="25"/>
      <c r="W3430" s="25"/>
      <c r="X3430" s="25"/>
      <c r="Y3430" s="25"/>
      <c r="Z3430" s="25"/>
    </row>
    <row r="3431" spans="1:26" ht="52.5" customHeight="1" x14ac:dyDescent="0.25">
      <c r="A3431" s="25"/>
      <c r="B3431" s="25"/>
      <c r="C3431" s="55"/>
      <c r="D3431" s="25"/>
      <c r="E3431" s="25"/>
      <c r="F3431" s="25"/>
      <c r="G3431" s="25"/>
      <c r="H3431" s="25"/>
      <c r="I3431" s="25"/>
      <c r="J3431" s="55"/>
      <c r="K3431" s="25"/>
      <c r="L3431" s="62"/>
      <c r="M3431" s="25"/>
      <c r="N3431" s="25"/>
      <c r="O3431" s="25">
        <f t="shared" si="0"/>
        <v>0</v>
      </c>
      <c r="P3431" s="25" t="str">
        <f t="shared" si="2"/>
        <v/>
      </c>
      <c r="Q3431" s="25"/>
      <c r="R3431" s="25"/>
      <c r="S3431" s="55"/>
      <c r="T3431" s="56"/>
      <c r="U3431" s="25"/>
      <c r="V3431" s="25"/>
      <c r="W3431" s="25"/>
      <c r="X3431" s="25"/>
      <c r="Y3431" s="25"/>
      <c r="Z3431" s="25"/>
    </row>
    <row r="3432" spans="1:26" ht="52.5" customHeight="1" x14ac:dyDescent="0.25">
      <c r="A3432" s="25"/>
      <c r="B3432" s="25"/>
      <c r="C3432" s="55"/>
      <c r="D3432" s="25"/>
      <c r="E3432" s="25"/>
      <c r="F3432" s="25"/>
      <c r="G3432" s="25"/>
      <c r="H3432" s="25"/>
      <c r="I3432" s="25"/>
      <c r="J3432" s="55"/>
      <c r="K3432" s="25"/>
      <c r="L3432" s="62"/>
      <c r="M3432" s="25"/>
      <c r="N3432" s="25"/>
      <c r="O3432" s="25">
        <f t="shared" si="0"/>
        <v>0</v>
      </c>
      <c r="P3432" s="25" t="str">
        <f t="shared" si="2"/>
        <v/>
      </c>
      <c r="Q3432" s="25"/>
      <c r="R3432" s="25"/>
      <c r="S3432" s="55"/>
      <c r="T3432" s="56"/>
      <c r="U3432" s="25"/>
      <c r="V3432" s="25"/>
      <c r="W3432" s="25"/>
      <c r="X3432" s="25"/>
      <c r="Y3432" s="25"/>
      <c r="Z3432" s="25"/>
    </row>
    <row r="3433" spans="1:26" ht="52.5" customHeight="1" x14ac:dyDescent="0.25">
      <c r="A3433" s="25"/>
      <c r="B3433" s="25"/>
      <c r="C3433" s="55"/>
      <c r="D3433" s="25"/>
      <c r="E3433" s="25"/>
      <c r="F3433" s="25"/>
      <c r="G3433" s="25"/>
      <c r="H3433" s="25"/>
      <c r="I3433" s="25"/>
      <c r="J3433" s="55"/>
      <c r="K3433" s="25"/>
      <c r="L3433" s="62"/>
      <c r="M3433" s="25"/>
      <c r="N3433" s="25"/>
      <c r="O3433" s="25">
        <f t="shared" si="0"/>
        <v>0</v>
      </c>
      <c r="P3433" s="25" t="str">
        <f t="shared" si="2"/>
        <v/>
      </c>
      <c r="Q3433" s="25"/>
      <c r="R3433" s="25"/>
      <c r="S3433" s="55"/>
      <c r="T3433" s="56"/>
      <c r="U3433" s="25"/>
      <c r="V3433" s="25"/>
      <c r="W3433" s="25"/>
      <c r="X3433" s="25"/>
      <c r="Y3433" s="25"/>
      <c r="Z3433" s="25"/>
    </row>
    <row r="3434" spans="1:26" ht="52.5" customHeight="1" x14ac:dyDescent="0.25">
      <c r="A3434" s="25"/>
      <c r="B3434" s="25"/>
      <c r="C3434" s="55"/>
      <c r="D3434" s="25"/>
      <c r="E3434" s="25"/>
      <c r="F3434" s="25"/>
      <c r="G3434" s="25"/>
      <c r="H3434" s="25"/>
      <c r="I3434" s="25"/>
      <c r="J3434" s="55"/>
      <c r="K3434" s="25"/>
      <c r="L3434" s="62"/>
      <c r="M3434" s="25"/>
      <c r="N3434" s="25"/>
      <c r="O3434" s="25">
        <f t="shared" si="0"/>
        <v>0</v>
      </c>
      <c r="P3434" s="25" t="str">
        <f t="shared" si="2"/>
        <v/>
      </c>
      <c r="Q3434" s="25"/>
      <c r="R3434" s="25"/>
      <c r="S3434" s="55"/>
      <c r="T3434" s="56"/>
      <c r="U3434" s="25"/>
      <c r="V3434" s="25"/>
      <c r="W3434" s="25"/>
      <c r="X3434" s="25"/>
      <c r="Y3434" s="25"/>
      <c r="Z3434" s="25"/>
    </row>
    <row r="3435" spans="1:26" ht="52.5" customHeight="1" x14ac:dyDescent="0.25">
      <c r="A3435" s="25"/>
      <c r="B3435" s="25"/>
      <c r="C3435" s="55"/>
      <c r="D3435" s="25"/>
      <c r="E3435" s="25"/>
      <c r="F3435" s="25"/>
      <c r="G3435" s="25"/>
      <c r="H3435" s="25"/>
      <c r="I3435" s="25"/>
      <c r="J3435" s="55"/>
      <c r="K3435" s="25"/>
      <c r="L3435" s="62"/>
      <c r="M3435" s="25"/>
      <c r="N3435" s="25"/>
      <c r="O3435" s="25">
        <f t="shared" si="0"/>
        <v>0</v>
      </c>
      <c r="P3435" s="25" t="str">
        <f t="shared" si="2"/>
        <v/>
      </c>
      <c r="Q3435" s="25"/>
      <c r="R3435" s="25"/>
      <c r="S3435" s="55"/>
      <c r="T3435" s="56"/>
      <c r="U3435" s="25"/>
      <c r="V3435" s="25"/>
      <c r="W3435" s="25"/>
      <c r="X3435" s="25"/>
      <c r="Y3435" s="25"/>
      <c r="Z3435" s="25"/>
    </row>
    <row r="3436" spans="1:26" ht="52.5" customHeight="1" x14ac:dyDescent="0.25">
      <c r="A3436" s="25"/>
      <c r="B3436" s="25"/>
      <c r="C3436" s="55"/>
      <c r="D3436" s="25"/>
      <c r="E3436" s="25"/>
      <c r="F3436" s="25"/>
      <c r="G3436" s="25"/>
      <c r="H3436" s="25"/>
      <c r="I3436" s="25"/>
      <c r="J3436" s="55"/>
      <c r="K3436" s="25"/>
      <c r="L3436" s="62"/>
      <c r="M3436" s="25"/>
      <c r="N3436" s="25"/>
      <c r="O3436" s="25">
        <f t="shared" si="0"/>
        <v>0</v>
      </c>
      <c r="P3436" s="25" t="str">
        <f t="shared" si="2"/>
        <v/>
      </c>
      <c r="Q3436" s="25"/>
      <c r="R3436" s="25"/>
      <c r="S3436" s="55"/>
      <c r="T3436" s="56"/>
      <c r="U3436" s="25"/>
      <c r="V3436" s="25"/>
      <c r="W3436" s="25"/>
      <c r="X3436" s="25"/>
      <c r="Y3436" s="25"/>
      <c r="Z3436" s="25"/>
    </row>
    <row r="3437" spans="1:26" ht="52.5" customHeight="1" x14ac:dyDescent="0.25">
      <c r="A3437" s="25"/>
      <c r="B3437" s="25"/>
      <c r="C3437" s="55"/>
      <c r="D3437" s="25"/>
      <c r="E3437" s="25"/>
      <c r="F3437" s="25"/>
      <c r="G3437" s="25"/>
      <c r="H3437" s="25"/>
      <c r="I3437" s="25"/>
      <c r="J3437" s="55"/>
      <c r="K3437" s="25"/>
      <c r="L3437" s="62"/>
      <c r="M3437" s="25"/>
      <c r="N3437" s="25"/>
      <c r="O3437" s="25">
        <f t="shared" si="0"/>
        <v>0</v>
      </c>
      <c r="P3437" s="25" t="str">
        <f t="shared" si="2"/>
        <v/>
      </c>
      <c r="Q3437" s="25"/>
      <c r="R3437" s="25"/>
      <c r="S3437" s="55"/>
      <c r="T3437" s="56"/>
      <c r="U3437" s="25"/>
      <c r="V3437" s="25"/>
      <c r="W3437" s="25"/>
      <c r="X3437" s="25"/>
      <c r="Y3437" s="25"/>
      <c r="Z3437" s="25"/>
    </row>
    <row r="3438" spans="1:26" ht="52.5" customHeight="1" x14ac:dyDescent="0.25">
      <c r="A3438" s="25"/>
      <c r="B3438" s="25"/>
      <c r="C3438" s="55"/>
      <c r="D3438" s="25"/>
      <c r="E3438" s="25"/>
      <c r="F3438" s="25"/>
      <c r="G3438" s="25"/>
      <c r="H3438" s="25"/>
      <c r="I3438" s="25"/>
      <c r="J3438" s="55"/>
      <c r="K3438" s="25"/>
      <c r="L3438" s="62"/>
      <c r="M3438" s="25"/>
      <c r="N3438" s="25"/>
      <c r="O3438" s="25">
        <f t="shared" si="0"/>
        <v>0</v>
      </c>
      <c r="P3438" s="25" t="str">
        <f t="shared" si="2"/>
        <v/>
      </c>
      <c r="Q3438" s="25"/>
      <c r="R3438" s="25"/>
      <c r="S3438" s="55"/>
      <c r="T3438" s="56"/>
      <c r="U3438" s="25"/>
      <c r="V3438" s="25"/>
      <c r="W3438" s="25"/>
      <c r="X3438" s="25"/>
      <c r="Y3438" s="25"/>
      <c r="Z3438" s="25"/>
    </row>
    <row r="3439" spans="1:26" ht="52.5" customHeight="1" x14ac:dyDescent="0.25">
      <c r="A3439" s="25"/>
      <c r="B3439" s="25"/>
      <c r="C3439" s="55"/>
      <c r="D3439" s="25"/>
      <c r="E3439" s="25"/>
      <c r="F3439" s="25"/>
      <c r="G3439" s="25"/>
      <c r="H3439" s="25"/>
      <c r="I3439" s="25"/>
      <c r="J3439" s="55"/>
      <c r="K3439" s="25"/>
      <c r="L3439" s="62"/>
      <c r="M3439" s="25"/>
      <c r="N3439" s="25"/>
      <c r="O3439" s="25">
        <f t="shared" si="0"/>
        <v>0</v>
      </c>
      <c r="P3439" s="25" t="str">
        <f t="shared" si="2"/>
        <v/>
      </c>
      <c r="Q3439" s="25"/>
      <c r="R3439" s="25"/>
      <c r="S3439" s="55"/>
      <c r="T3439" s="56"/>
      <c r="U3439" s="25"/>
      <c r="V3439" s="25"/>
      <c r="W3439" s="25"/>
      <c r="X3439" s="25"/>
      <c r="Y3439" s="25"/>
      <c r="Z3439" s="25"/>
    </row>
    <row r="3440" spans="1:26" ht="52.5" customHeight="1" x14ac:dyDescent="0.25">
      <c r="A3440" s="25"/>
      <c r="B3440" s="25"/>
      <c r="C3440" s="55"/>
      <c r="D3440" s="25"/>
      <c r="E3440" s="25"/>
      <c r="F3440" s="25"/>
      <c r="G3440" s="25"/>
      <c r="H3440" s="25"/>
      <c r="I3440" s="25"/>
      <c r="J3440" s="55"/>
      <c r="K3440" s="25"/>
      <c r="L3440" s="62"/>
      <c r="M3440" s="25"/>
      <c r="N3440" s="25"/>
      <c r="O3440" s="25">
        <f t="shared" si="0"/>
        <v>0</v>
      </c>
      <c r="P3440" s="25" t="str">
        <f t="shared" si="2"/>
        <v/>
      </c>
      <c r="Q3440" s="25"/>
      <c r="R3440" s="25"/>
      <c r="S3440" s="55"/>
      <c r="T3440" s="56"/>
      <c r="U3440" s="25"/>
      <c r="V3440" s="25"/>
      <c r="W3440" s="25"/>
      <c r="X3440" s="25"/>
      <c r="Y3440" s="25"/>
      <c r="Z3440" s="25"/>
    </row>
    <row r="3441" spans="1:26" ht="52.5" customHeight="1" x14ac:dyDescent="0.25">
      <c r="A3441" s="25"/>
      <c r="B3441" s="25"/>
      <c r="C3441" s="55"/>
      <c r="D3441" s="25"/>
      <c r="E3441" s="25"/>
      <c r="F3441" s="25"/>
      <c r="G3441" s="25"/>
      <c r="H3441" s="25"/>
      <c r="I3441" s="25"/>
      <c r="J3441" s="55"/>
      <c r="K3441" s="25"/>
      <c r="L3441" s="62"/>
      <c r="M3441" s="25"/>
      <c r="N3441" s="25"/>
      <c r="O3441" s="25">
        <f t="shared" si="0"/>
        <v>0</v>
      </c>
      <c r="P3441" s="25" t="str">
        <f t="shared" si="2"/>
        <v/>
      </c>
      <c r="Q3441" s="25"/>
      <c r="R3441" s="25"/>
      <c r="S3441" s="55"/>
      <c r="T3441" s="56"/>
      <c r="U3441" s="25"/>
      <c r="V3441" s="25"/>
      <c r="W3441" s="25"/>
      <c r="X3441" s="25"/>
      <c r="Y3441" s="25"/>
      <c r="Z3441" s="25"/>
    </row>
    <row r="3442" spans="1:26" ht="52.5" customHeight="1" x14ac:dyDescent="0.25">
      <c r="A3442" s="25"/>
      <c r="B3442" s="25"/>
      <c r="C3442" s="55"/>
      <c r="D3442" s="25"/>
      <c r="E3442" s="25"/>
      <c r="F3442" s="25"/>
      <c r="G3442" s="25"/>
      <c r="H3442" s="25"/>
      <c r="I3442" s="25"/>
      <c r="J3442" s="55"/>
      <c r="K3442" s="25"/>
      <c r="L3442" s="62"/>
      <c r="M3442" s="25"/>
      <c r="N3442" s="25"/>
      <c r="O3442" s="25">
        <f t="shared" si="0"/>
        <v>0</v>
      </c>
      <c r="P3442" s="25" t="str">
        <f t="shared" si="2"/>
        <v/>
      </c>
      <c r="Q3442" s="25"/>
      <c r="R3442" s="25"/>
      <c r="S3442" s="55"/>
      <c r="T3442" s="56"/>
      <c r="U3442" s="25"/>
      <c r="V3442" s="25"/>
      <c r="W3442" s="25"/>
      <c r="X3442" s="25"/>
      <c r="Y3442" s="25"/>
      <c r="Z3442" s="25"/>
    </row>
    <row r="3443" spans="1:26" ht="52.5" customHeight="1" x14ac:dyDescent="0.25">
      <c r="A3443" s="25"/>
      <c r="B3443" s="25"/>
      <c r="C3443" s="55"/>
      <c r="D3443" s="25"/>
      <c r="E3443" s="25"/>
      <c r="F3443" s="25"/>
      <c r="G3443" s="25"/>
      <c r="H3443" s="25"/>
      <c r="I3443" s="25"/>
      <c r="J3443" s="55"/>
      <c r="K3443" s="25"/>
      <c r="L3443" s="62"/>
      <c r="M3443" s="25"/>
      <c r="N3443" s="25"/>
      <c r="O3443" s="25">
        <f t="shared" si="0"/>
        <v>0</v>
      </c>
      <c r="P3443" s="25" t="str">
        <f t="shared" si="2"/>
        <v/>
      </c>
      <c r="Q3443" s="25"/>
      <c r="R3443" s="25"/>
      <c r="S3443" s="55"/>
      <c r="T3443" s="56"/>
      <c r="U3443" s="25"/>
      <c r="V3443" s="25"/>
      <c r="W3443" s="25"/>
      <c r="X3443" s="25"/>
      <c r="Y3443" s="25"/>
      <c r="Z3443" s="25"/>
    </row>
    <row r="3444" spans="1:26" ht="52.5" customHeight="1" x14ac:dyDescent="0.25">
      <c r="A3444" s="25"/>
      <c r="B3444" s="25"/>
      <c r="C3444" s="55"/>
      <c r="D3444" s="25"/>
      <c r="E3444" s="25"/>
      <c r="F3444" s="25"/>
      <c r="G3444" s="25"/>
      <c r="H3444" s="25"/>
      <c r="I3444" s="25"/>
      <c r="J3444" s="55"/>
      <c r="K3444" s="25"/>
      <c r="L3444" s="62"/>
      <c r="M3444" s="25"/>
      <c r="N3444" s="25"/>
      <c r="O3444" s="25">
        <f t="shared" si="0"/>
        <v>0</v>
      </c>
      <c r="P3444" s="25" t="str">
        <f t="shared" si="2"/>
        <v/>
      </c>
      <c r="Q3444" s="25"/>
      <c r="R3444" s="25"/>
      <c r="S3444" s="55"/>
      <c r="T3444" s="56"/>
      <c r="U3444" s="25"/>
      <c r="V3444" s="25"/>
      <c r="W3444" s="25"/>
      <c r="X3444" s="25"/>
      <c r="Y3444" s="25"/>
      <c r="Z3444" s="25"/>
    </row>
    <row r="3445" spans="1:26" ht="52.5" customHeight="1" x14ac:dyDescent="0.25">
      <c r="A3445" s="25"/>
      <c r="B3445" s="25"/>
      <c r="C3445" s="55"/>
      <c r="D3445" s="25"/>
      <c r="E3445" s="25"/>
      <c r="F3445" s="25"/>
      <c r="G3445" s="25"/>
      <c r="H3445" s="25"/>
      <c r="I3445" s="25"/>
      <c r="J3445" s="55"/>
      <c r="K3445" s="25"/>
      <c r="L3445" s="62"/>
      <c r="M3445" s="25"/>
      <c r="N3445" s="25"/>
      <c r="O3445" s="25">
        <f t="shared" si="0"/>
        <v>0</v>
      </c>
      <c r="P3445" s="25" t="str">
        <f t="shared" si="2"/>
        <v/>
      </c>
      <c r="Q3445" s="25"/>
      <c r="R3445" s="25"/>
      <c r="S3445" s="55"/>
      <c r="T3445" s="56"/>
      <c r="U3445" s="25"/>
      <c r="V3445" s="25"/>
      <c r="W3445" s="25"/>
      <c r="X3445" s="25"/>
      <c r="Y3445" s="25"/>
      <c r="Z3445" s="25"/>
    </row>
    <row r="3446" spans="1:26" ht="52.5" customHeight="1" x14ac:dyDescent="0.25">
      <c r="A3446" s="25"/>
      <c r="B3446" s="25"/>
      <c r="C3446" s="55"/>
      <c r="D3446" s="25"/>
      <c r="E3446" s="25"/>
      <c r="F3446" s="25"/>
      <c r="G3446" s="25"/>
      <c r="H3446" s="25"/>
      <c r="I3446" s="25"/>
      <c r="J3446" s="55"/>
      <c r="K3446" s="25"/>
      <c r="L3446" s="62"/>
      <c r="M3446" s="25"/>
      <c r="N3446" s="25"/>
      <c r="O3446" s="25">
        <f t="shared" si="0"/>
        <v>0</v>
      </c>
      <c r="P3446" s="25" t="str">
        <f t="shared" si="2"/>
        <v/>
      </c>
      <c r="Q3446" s="25"/>
      <c r="R3446" s="25"/>
      <c r="S3446" s="55"/>
      <c r="T3446" s="56"/>
      <c r="U3446" s="25"/>
      <c r="V3446" s="25"/>
      <c r="W3446" s="25"/>
      <c r="X3446" s="25"/>
      <c r="Y3446" s="25"/>
      <c r="Z3446" s="25"/>
    </row>
    <row r="3447" spans="1:26" ht="52.5" customHeight="1" x14ac:dyDescent="0.25">
      <c r="A3447" s="25"/>
      <c r="B3447" s="25"/>
      <c r="C3447" s="55"/>
      <c r="D3447" s="25"/>
      <c r="E3447" s="25"/>
      <c r="F3447" s="25"/>
      <c r="G3447" s="25"/>
      <c r="H3447" s="25"/>
      <c r="I3447" s="25"/>
      <c r="J3447" s="55"/>
      <c r="K3447" s="25"/>
      <c r="L3447" s="62"/>
      <c r="M3447" s="25"/>
      <c r="N3447" s="25"/>
      <c r="O3447" s="25">
        <f t="shared" si="0"/>
        <v>0</v>
      </c>
      <c r="P3447" s="25" t="str">
        <f t="shared" si="2"/>
        <v/>
      </c>
      <c r="Q3447" s="25"/>
      <c r="R3447" s="25"/>
      <c r="S3447" s="55"/>
      <c r="T3447" s="56"/>
      <c r="U3447" s="25"/>
      <c r="V3447" s="25"/>
      <c r="W3447" s="25"/>
      <c r="X3447" s="25"/>
      <c r="Y3447" s="25"/>
      <c r="Z3447" s="25"/>
    </row>
    <row r="3448" spans="1:26" ht="52.5" customHeight="1" x14ac:dyDescent="0.25">
      <c r="A3448" s="25"/>
      <c r="B3448" s="25"/>
      <c r="C3448" s="55"/>
      <c r="D3448" s="25"/>
      <c r="E3448" s="25"/>
      <c r="F3448" s="25"/>
      <c r="G3448" s="25"/>
      <c r="H3448" s="25"/>
      <c r="I3448" s="25"/>
      <c r="J3448" s="55"/>
      <c r="K3448" s="25"/>
      <c r="L3448" s="62"/>
      <c r="M3448" s="25"/>
      <c r="N3448" s="25"/>
      <c r="O3448" s="25">
        <f t="shared" si="0"/>
        <v>0</v>
      </c>
      <c r="P3448" s="25" t="str">
        <f t="shared" si="2"/>
        <v/>
      </c>
      <c r="Q3448" s="25"/>
      <c r="R3448" s="25"/>
      <c r="S3448" s="55"/>
      <c r="T3448" s="56"/>
      <c r="U3448" s="25"/>
      <c r="V3448" s="25"/>
      <c r="W3448" s="25"/>
      <c r="X3448" s="25"/>
      <c r="Y3448" s="25"/>
      <c r="Z3448" s="25"/>
    </row>
    <row r="3449" spans="1:26" ht="52.5" customHeight="1" x14ac:dyDescent="0.25">
      <c r="A3449" s="25"/>
      <c r="B3449" s="25"/>
      <c r="C3449" s="55"/>
      <c r="D3449" s="25"/>
      <c r="E3449" s="25"/>
      <c r="F3449" s="25"/>
      <c r="G3449" s="25"/>
      <c r="H3449" s="25"/>
      <c r="I3449" s="25"/>
      <c r="J3449" s="55"/>
      <c r="K3449" s="25"/>
      <c r="L3449" s="62"/>
      <c r="M3449" s="25"/>
      <c r="N3449" s="25"/>
      <c r="O3449" s="25">
        <f t="shared" si="0"/>
        <v>0</v>
      </c>
      <c r="P3449" s="25" t="str">
        <f t="shared" si="2"/>
        <v/>
      </c>
      <c r="Q3449" s="25"/>
      <c r="R3449" s="25"/>
      <c r="S3449" s="55"/>
      <c r="T3449" s="56"/>
      <c r="U3449" s="25"/>
      <c r="V3449" s="25"/>
      <c r="W3449" s="25"/>
      <c r="X3449" s="25"/>
      <c r="Y3449" s="25"/>
      <c r="Z3449" s="25"/>
    </row>
    <row r="3450" spans="1:26" ht="52.5" customHeight="1" x14ac:dyDescent="0.25">
      <c r="A3450" s="25"/>
      <c r="B3450" s="25"/>
      <c r="C3450" s="55"/>
      <c r="D3450" s="25"/>
      <c r="E3450" s="25"/>
      <c r="F3450" s="25"/>
      <c r="G3450" s="25"/>
      <c r="H3450" s="25"/>
      <c r="I3450" s="25"/>
      <c r="J3450" s="55"/>
      <c r="K3450" s="25"/>
      <c r="L3450" s="62"/>
      <c r="M3450" s="25"/>
      <c r="N3450" s="25"/>
      <c r="O3450" s="25">
        <f t="shared" si="0"/>
        <v>0</v>
      </c>
      <c r="P3450" s="25" t="str">
        <f t="shared" si="2"/>
        <v/>
      </c>
      <c r="Q3450" s="25"/>
      <c r="R3450" s="25"/>
      <c r="S3450" s="55"/>
      <c r="T3450" s="56"/>
      <c r="U3450" s="25"/>
      <c r="V3450" s="25"/>
      <c r="W3450" s="25"/>
      <c r="X3450" s="25"/>
      <c r="Y3450" s="25"/>
      <c r="Z3450" s="25"/>
    </row>
    <row r="3451" spans="1:26" ht="52.5" customHeight="1" x14ac:dyDescent="0.25">
      <c r="A3451" s="25"/>
      <c r="B3451" s="25"/>
      <c r="C3451" s="55"/>
      <c r="D3451" s="25"/>
      <c r="E3451" s="25"/>
      <c r="F3451" s="25"/>
      <c r="G3451" s="25"/>
      <c r="H3451" s="25"/>
      <c r="I3451" s="25"/>
      <c r="J3451" s="55"/>
      <c r="K3451" s="25"/>
      <c r="L3451" s="62"/>
      <c r="M3451" s="25"/>
      <c r="N3451" s="25"/>
      <c r="O3451" s="25">
        <f t="shared" si="0"/>
        <v>0</v>
      </c>
      <c r="P3451" s="25" t="str">
        <f t="shared" si="2"/>
        <v/>
      </c>
      <c r="Q3451" s="25"/>
      <c r="R3451" s="25"/>
      <c r="S3451" s="55"/>
      <c r="T3451" s="56"/>
      <c r="U3451" s="25"/>
      <c r="V3451" s="25"/>
      <c r="W3451" s="25"/>
      <c r="X3451" s="25"/>
      <c r="Y3451" s="25"/>
      <c r="Z3451" s="25"/>
    </row>
    <row r="3452" spans="1:26" ht="52.5" customHeight="1" x14ac:dyDescent="0.25">
      <c r="A3452" s="25"/>
      <c r="B3452" s="25"/>
      <c r="C3452" s="55"/>
      <c r="D3452" s="25"/>
      <c r="E3452" s="25"/>
      <c r="F3452" s="25"/>
      <c r="G3452" s="25"/>
      <c r="H3452" s="25"/>
      <c r="I3452" s="25"/>
      <c r="J3452" s="55"/>
      <c r="K3452" s="25"/>
      <c r="L3452" s="62"/>
      <c r="M3452" s="25"/>
      <c r="N3452" s="25"/>
      <c r="O3452" s="25">
        <f t="shared" si="0"/>
        <v>0</v>
      </c>
      <c r="P3452" s="25" t="str">
        <f t="shared" si="2"/>
        <v/>
      </c>
      <c r="Q3452" s="25"/>
      <c r="R3452" s="25"/>
      <c r="S3452" s="55"/>
      <c r="T3452" s="56"/>
      <c r="U3452" s="25"/>
      <c r="V3452" s="25"/>
      <c r="W3452" s="25"/>
      <c r="X3452" s="25"/>
      <c r="Y3452" s="25"/>
      <c r="Z3452" s="25"/>
    </row>
    <row r="3453" spans="1:26" ht="52.5" customHeight="1" x14ac:dyDescent="0.25">
      <c r="A3453" s="25"/>
      <c r="B3453" s="25"/>
      <c r="C3453" s="55"/>
      <c r="D3453" s="25"/>
      <c r="E3453" s="25"/>
      <c r="F3453" s="25"/>
      <c r="G3453" s="25"/>
      <c r="H3453" s="25"/>
      <c r="I3453" s="25"/>
      <c r="J3453" s="55"/>
      <c r="K3453" s="25"/>
      <c r="L3453" s="62"/>
      <c r="M3453" s="25"/>
      <c r="N3453" s="25"/>
      <c r="O3453" s="25">
        <f t="shared" si="0"/>
        <v>0</v>
      </c>
      <c r="P3453" s="25" t="str">
        <f t="shared" si="2"/>
        <v/>
      </c>
      <c r="Q3453" s="25"/>
      <c r="R3453" s="25"/>
      <c r="S3453" s="55"/>
      <c r="T3453" s="56"/>
      <c r="U3453" s="25"/>
      <c r="V3453" s="25"/>
      <c r="W3453" s="25"/>
      <c r="X3453" s="25"/>
      <c r="Y3453" s="25"/>
      <c r="Z3453" s="25"/>
    </row>
    <row r="3454" spans="1:26" ht="52.5" customHeight="1" x14ac:dyDescent="0.25">
      <c r="A3454" s="25"/>
      <c r="B3454" s="25"/>
      <c r="C3454" s="55"/>
      <c r="D3454" s="25"/>
      <c r="E3454" s="25"/>
      <c r="F3454" s="25"/>
      <c r="G3454" s="25"/>
      <c r="H3454" s="25"/>
      <c r="I3454" s="25"/>
      <c r="J3454" s="55"/>
      <c r="K3454" s="25"/>
      <c r="L3454" s="62"/>
      <c r="M3454" s="25"/>
      <c r="N3454" s="25"/>
      <c r="O3454" s="25">
        <f t="shared" si="0"/>
        <v>0</v>
      </c>
      <c r="P3454" s="25" t="str">
        <f t="shared" si="2"/>
        <v/>
      </c>
      <c r="Q3454" s="25"/>
      <c r="R3454" s="25"/>
      <c r="S3454" s="55"/>
      <c r="T3454" s="56"/>
      <c r="U3454" s="25"/>
      <c r="V3454" s="25"/>
      <c r="W3454" s="25"/>
      <c r="X3454" s="25"/>
      <c r="Y3454" s="25"/>
      <c r="Z3454" s="25"/>
    </row>
    <row r="3455" spans="1:26" ht="52.5" customHeight="1" x14ac:dyDescent="0.25">
      <c r="A3455" s="25"/>
      <c r="B3455" s="25"/>
      <c r="C3455" s="55"/>
      <c r="D3455" s="25"/>
      <c r="E3455" s="25"/>
      <c r="F3455" s="25"/>
      <c r="G3455" s="25"/>
      <c r="H3455" s="25"/>
      <c r="I3455" s="25"/>
      <c r="J3455" s="55"/>
      <c r="K3455" s="25"/>
      <c r="L3455" s="62"/>
      <c r="M3455" s="25"/>
      <c r="N3455" s="25"/>
      <c r="O3455" s="25">
        <f t="shared" si="0"/>
        <v>0</v>
      </c>
      <c r="P3455" s="25" t="str">
        <f t="shared" si="2"/>
        <v/>
      </c>
      <c r="Q3455" s="25"/>
      <c r="R3455" s="25"/>
      <c r="S3455" s="55"/>
      <c r="T3455" s="56"/>
      <c r="U3455" s="25"/>
      <c r="V3455" s="25"/>
      <c r="W3455" s="25"/>
      <c r="X3455" s="25"/>
      <c r="Y3455" s="25"/>
      <c r="Z3455" s="25"/>
    </row>
    <row r="3456" spans="1:26" ht="52.5" customHeight="1" x14ac:dyDescent="0.25">
      <c r="A3456" s="25"/>
      <c r="B3456" s="25"/>
      <c r="C3456" s="55"/>
      <c r="D3456" s="25"/>
      <c r="E3456" s="25"/>
      <c r="F3456" s="25"/>
      <c r="G3456" s="25"/>
      <c r="H3456" s="25"/>
      <c r="I3456" s="25"/>
      <c r="J3456" s="55"/>
      <c r="K3456" s="25"/>
      <c r="L3456" s="62"/>
      <c r="M3456" s="25"/>
      <c r="N3456" s="25"/>
      <c r="O3456" s="25">
        <f t="shared" si="0"/>
        <v>0</v>
      </c>
      <c r="P3456" s="25" t="str">
        <f t="shared" si="2"/>
        <v/>
      </c>
      <c r="Q3456" s="25"/>
      <c r="R3456" s="25"/>
      <c r="S3456" s="55"/>
      <c r="T3456" s="56"/>
      <c r="U3456" s="25"/>
      <c r="V3456" s="25"/>
      <c r="W3456" s="25"/>
      <c r="X3456" s="25"/>
      <c r="Y3456" s="25"/>
      <c r="Z3456" s="25"/>
    </row>
    <row r="3457" spans="1:26" ht="52.5" customHeight="1" x14ac:dyDescent="0.25">
      <c r="A3457" s="25"/>
      <c r="B3457" s="25"/>
      <c r="C3457" s="55"/>
      <c r="D3457" s="25"/>
      <c r="E3457" s="25"/>
      <c r="F3457" s="25"/>
      <c r="G3457" s="25"/>
      <c r="H3457" s="25"/>
      <c r="I3457" s="25"/>
      <c r="J3457" s="55"/>
      <c r="K3457" s="25"/>
      <c r="L3457" s="62"/>
      <c r="M3457" s="25"/>
      <c r="N3457" s="25"/>
      <c r="O3457" s="25">
        <f t="shared" si="0"/>
        <v>0</v>
      </c>
      <c r="P3457" s="25" t="str">
        <f t="shared" si="2"/>
        <v/>
      </c>
      <c r="Q3457" s="25"/>
      <c r="R3457" s="25"/>
      <c r="S3457" s="55"/>
      <c r="T3457" s="56"/>
      <c r="U3457" s="25"/>
      <c r="V3457" s="25"/>
      <c r="W3457" s="25"/>
      <c r="X3457" s="25"/>
      <c r="Y3457" s="25"/>
      <c r="Z3457" s="25"/>
    </row>
    <row r="3458" spans="1:26" ht="52.5" customHeight="1" x14ac:dyDescent="0.25">
      <c r="A3458" s="25"/>
      <c r="B3458" s="25"/>
      <c r="C3458" s="55"/>
      <c r="D3458" s="25"/>
      <c r="E3458" s="25"/>
      <c r="F3458" s="25"/>
      <c r="G3458" s="25"/>
      <c r="H3458" s="25"/>
      <c r="I3458" s="25"/>
      <c r="J3458" s="55"/>
      <c r="K3458" s="25"/>
      <c r="L3458" s="62"/>
      <c r="M3458" s="25"/>
      <c r="N3458" s="25"/>
      <c r="O3458" s="25">
        <f t="shared" si="0"/>
        <v>0</v>
      </c>
      <c r="P3458" s="25" t="str">
        <f t="shared" si="2"/>
        <v/>
      </c>
      <c r="Q3458" s="25"/>
      <c r="R3458" s="25"/>
      <c r="S3458" s="55"/>
      <c r="T3458" s="56"/>
      <c r="U3458" s="25"/>
      <c r="V3458" s="25"/>
      <c r="W3458" s="25"/>
      <c r="X3458" s="25"/>
      <c r="Y3458" s="25"/>
      <c r="Z3458" s="25"/>
    </row>
    <row r="3459" spans="1:26" ht="52.5" customHeight="1" x14ac:dyDescent="0.25">
      <c r="A3459" s="25"/>
      <c r="B3459" s="25"/>
      <c r="C3459" s="55"/>
      <c r="D3459" s="25"/>
      <c r="E3459" s="25"/>
      <c r="F3459" s="25"/>
      <c r="G3459" s="25"/>
      <c r="H3459" s="25"/>
      <c r="I3459" s="25"/>
      <c r="J3459" s="55"/>
      <c r="K3459" s="25"/>
      <c r="L3459" s="62"/>
      <c r="M3459" s="25"/>
      <c r="N3459" s="25"/>
      <c r="O3459" s="25">
        <f t="shared" si="0"/>
        <v>0</v>
      </c>
      <c r="P3459" s="25" t="str">
        <f t="shared" si="2"/>
        <v/>
      </c>
      <c r="Q3459" s="25"/>
      <c r="R3459" s="25"/>
      <c r="S3459" s="55"/>
      <c r="T3459" s="56"/>
      <c r="U3459" s="25"/>
      <c r="V3459" s="25"/>
      <c r="W3459" s="25"/>
      <c r="X3459" s="25"/>
      <c r="Y3459" s="25"/>
      <c r="Z3459" s="25"/>
    </row>
    <row r="3460" spans="1:26" ht="52.5" customHeight="1" x14ac:dyDescent="0.25">
      <c r="A3460" s="25"/>
      <c r="B3460" s="25"/>
      <c r="C3460" s="55"/>
      <c r="D3460" s="25"/>
      <c r="E3460" s="25"/>
      <c r="F3460" s="25"/>
      <c r="G3460" s="25"/>
      <c r="H3460" s="25"/>
      <c r="I3460" s="25"/>
      <c r="J3460" s="55"/>
      <c r="K3460" s="25"/>
      <c r="L3460" s="62"/>
      <c r="M3460" s="25"/>
      <c r="N3460" s="25"/>
      <c r="O3460" s="25">
        <f t="shared" si="0"/>
        <v>0</v>
      </c>
      <c r="P3460" s="25" t="str">
        <f t="shared" si="2"/>
        <v/>
      </c>
      <c r="Q3460" s="25"/>
      <c r="R3460" s="25"/>
      <c r="S3460" s="55"/>
      <c r="T3460" s="56"/>
      <c r="U3460" s="25"/>
      <c r="V3460" s="25"/>
      <c r="W3460" s="25"/>
      <c r="X3460" s="25"/>
      <c r="Y3460" s="25"/>
      <c r="Z3460" s="25"/>
    </row>
    <row r="3461" spans="1:26" ht="52.5" customHeight="1" x14ac:dyDescent="0.25">
      <c r="A3461" s="25"/>
      <c r="B3461" s="25"/>
      <c r="C3461" s="55"/>
      <c r="D3461" s="25"/>
      <c r="E3461" s="25"/>
      <c r="F3461" s="25"/>
      <c r="G3461" s="25"/>
      <c r="H3461" s="25"/>
      <c r="I3461" s="25"/>
      <c r="J3461" s="55"/>
      <c r="K3461" s="25"/>
      <c r="L3461" s="62"/>
      <c r="M3461" s="25"/>
      <c r="N3461" s="25"/>
      <c r="O3461" s="25">
        <f t="shared" si="0"/>
        <v>0</v>
      </c>
      <c r="P3461" s="25" t="str">
        <f t="shared" si="2"/>
        <v/>
      </c>
      <c r="Q3461" s="25"/>
      <c r="R3461" s="25"/>
      <c r="S3461" s="55"/>
      <c r="T3461" s="56"/>
      <c r="U3461" s="25"/>
      <c r="V3461" s="25"/>
      <c r="W3461" s="25"/>
      <c r="X3461" s="25"/>
      <c r="Y3461" s="25"/>
      <c r="Z3461" s="25"/>
    </row>
    <row r="3462" spans="1:26" ht="52.5" customHeight="1" x14ac:dyDescent="0.25">
      <c r="A3462" s="25"/>
      <c r="B3462" s="25"/>
      <c r="C3462" s="55"/>
      <c r="D3462" s="25"/>
      <c r="E3462" s="25"/>
      <c r="F3462" s="25"/>
      <c r="G3462" s="25"/>
      <c r="H3462" s="25"/>
      <c r="I3462" s="25"/>
      <c r="J3462" s="55"/>
      <c r="K3462" s="25"/>
      <c r="L3462" s="62"/>
      <c r="M3462" s="25"/>
      <c r="N3462" s="25"/>
      <c r="O3462" s="25">
        <f t="shared" si="0"/>
        <v>0</v>
      </c>
      <c r="P3462" s="25" t="str">
        <f t="shared" si="2"/>
        <v/>
      </c>
      <c r="Q3462" s="25"/>
      <c r="R3462" s="25"/>
      <c r="S3462" s="55"/>
      <c r="T3462" s="56"/>
      <c r="U3462" s="25"/>
      <c r="V3462" s="25"/>
      <c r="W3462" s="25"/>
      <c r="X3462" s="25"/>
      <c r="Y3462" s="25"/>
      <c r="Z3462" s="25"/>
    </row>
    <row r="3463" spans="1:26" ht="52.5" customHeight="1" x14ac:dyDescent="0.25">
      <c r="A3463" s="25"/>
      <c r="B3463" s="25"/>
      <c r="C3463" s="55"/>
      <c r="D3463" s="25"/>
      <c r="E3463" s="25"/>
      <c r="F3463" s="25"/>
      <c r="G3463" s="25"/>
      <c r="H3463" s="25"/>
      <c r="I3463" s="25"/>
      <c r="J3463" s="55"/>
      <c r="K3463" s="25"/>
      <c r="L3463" s="62"/>
      <c r="M3463" s="25"/>
      <c r="N3463" s="25"/>
      <c r="O3463" s="25">
        <f t="shared" si="0"/>
        <v>0</v>
      </c>
      <c r="P3463" s="25" t="str">
        <f t="shared" si="2"/>
        <v/>
      </c>
      <c r="Q3463" s="25"/>
      <c r="R3463" s="25"/>
      <c r="S3463" s="55"/>
      <c r="T3463" s="56"/>
      <c r="U3463" s="25"/>
      <c r="V3463" s="25"/>
      <c r="W3463" s="25"/>
      <c r="X3463" s="25"/>
      <c r="Y3463" s="25"/>
      <c r="Z3463" s="25"/>
    </row>
    <row r="3464" spans="1:26" ht="52.5" customHeight="1" x14ac:dyDescent="0.25">
      <c r="A3464" s="25"/>
      <c r="B3464" s="25"/>
      <c r="C3464" s="55"/>
      <c r="D3464" s="25"/>
      <c r="E3464" s="25"/>
      <c r="F3464" s="25"/>
      <c r="G3464" s="25"/>
      <c r="H3464" s="25"/>
      <c r="I3464" s="25"/>
      <c r="J3464" s="55"/>
      <c r="K3464" s="25"/>
      <c r="L3464" s="62"/>
      <c r="M3464" s="25"/>
      <c r="N3464" s="25"/>
      <c r="O3464" s="25">
        <f t="shared" si="0"/>
        <v>0</v>
      </c>
      <c r="P3464" s="25" t="str">
        <f t="shared" si="2"/>
        <v/>
      </c>
      <c r="Q3464" s="25"/>
      <c r="R3464" s="25"/>
      <c r="S3464" s="55"/>
      <c r="T3464" s="56"/>
      <c r="U3464" s="25"/>
      <c r="V3464" s="25"/>
      <c r="W3464" s="25"/>
      <c r="X3464" s="25"/>
      <c r="Y3464" s="25"/>
      <c r="Z3464" s="25"/>
    </row>
    <row r="3465" spans="1:26" ht="52.5" customHeight="1" x14ac:dyDescent="0.25">
      <c r="A3465" s="25"/>
      <c r="B3465" s="25"/>
      <c r="C3465" s="55"/>
      <c r="D3465" s="25"/>
      <c r="E3465" s="25"/>
      <c r="F3465" s="25"/>
      <c r="G3465" s="25"/>
      <c r="H3465" s="25"/>
      <c r="I3465" s="25"/>
      <c r="J3465" s="55"/>
      <c r="K3465" s="25"/>
      <c r="L3465" s="62"/>
      <c r="M3465" s="25"/>
      <c r="N3465" s="25"/>
      <c r="O3465" s="25">
        <f t="shared" si="0"/>
        <v>0</v>
      </c>
      <c r="P3465" s="25" t="str">
        <f t="shared" si="2"/>
        <v/>
      </c>
      <c r="Q3465" s="25"/>
      <c r="R3465" s="25"/>
      <c r="S3465" s="55"/>
      <c r="T3465" s="56"/>
      <c r="U3465" s="25"/>
      <c r="V3465" s="25"/>
      <c r="W3465" s="25"/>
      <c r="X3465" s="25"/>
      <c r="Y3465" s="25"/>
      <c r="Z3465" s="25"/>
    </row>
    <row r="3466" spans="1:26" ht="52.5" customHeight="1" x14ac:dyDescent="0.25">
      <c r="A3466" s="25"/>
      <c r="B3466" s="25"/>
      <c r="C3466" s="55"/>
      <c r="D3466" s="25"/>
      <c r="E3466" s="25"/>
      <c r="F3466" s="25"/>
      <c r="G3466" s="25"/>
      <c r="H3466" s="25"/>
      <c r="I3466" s="25"/>
      <c r="J3466" s="55"/>
      <c r="K3466" s="25"/>
      <c r="L3466" s="62"/>
      <c r="M3466" s="25"/>
      <c r="N3466" s="25"/>
      <c r="O3466" s="25">
        <f t="shared" si="0"/>
        <v>0</v>
      </c>
      <c r="P3466" s="25" t="str">
        <f t="shared" si="2"/>
        <v/>
      </c>
      <c r="Q3466" s="25"/>
      <c r="R3466" s="25"/>
      <c r="S3466" s="55"/>
      <c r="T3466" s="56"/>
      <c r="U3466" s="25"/>
      <c r="V3466" s="25"/>
      <c r="W3466" s="25"/>
      <c r="X3466" s="25"/>
      <c r="Y3466" s="25"/>
      <c r="Z3466" s="25"/>
    </row>
    <row r="3467" spans="1:26" ht="52.5" customHeight="1" x14ac:dyDescent="0.25">
      <c r="A3467" s="25"/>
      <c r="B3467" s="25"/>
      <c r="C3467" s="55"/>
      <c r="D3467" s="25"/>
      <c r="E3467" s="25"/>
      <c r="F3467" s="25"/>
      <c r="G3467" s="25"/>
      <c r="H3467" s="25"/>
      <c r="I3467" s="25"/>
      <c r="J3467" s="55"/>
      <c r="K3467" s="25"/>
      <c r="L3467" s="62"/>
      <c r="M3467" s="25"/>
      <c r="N3467" s="25"/>
      <c r="O3467" s="25">
        <f t="shared" si="0"/>
        <v>0</v>
      </c>
      <c r="P3467" s="25" t="str">
        <f t="shared" si="2"/>
        <v/>
      </c>
      <c r="Q3467" s="25"/>
      <c r="R3467" s="25"/>
      <c r="S3467" s="55"/>
      <c r="T3467" s="56"/>
      <c r="U3467" s="25"/>
      <c r="V3467" s="25"/>
      <c r="W3467" s="25"/>
      <c r="X3467" s="25"/>
      <c r="Y3467" s="25"/>
      <c r="Z3467" s="25"/>
    </row>
    <row r="3468" spans="1:26" ht="52.5" customHeight="1" x14ac:dyDescent="0.25">
      <c r="A3468" s="25"/>
      <c r="B3468" s="25"/>
      <c r="C3468" s="55"/>
      <c r="D3468" s="25"/>
      <c r="E3468" s="25"/>
      <c r="F3468" s="25"/>
      <c r="G3468" s="25"/>
      <c r="H3468" s="25"/>
      <c r="I3468" s="25"/>
      <c r="J3468" s="55"/>
      <c r="K3468" s="25"/>
      <c r="L3468" s="62"/>
      <c r="M3468" s="25"/>
      <c r="N3468" s="25"/>
      <c r="O3468" s="25">
        <f t="shared" si="0"/>
        <v>0</v>
      </c>
      <c r="P3468" s="25" t="str">
        <f t="shared" si="2"/>
        <v/>
      </c>
      <c r="Q3468" s="25"/>
      <c r="R3468" s="25"/>
      <c r="S3468" s="55"/>
      <c r="T3468" s="56"/>
      <c r="U3468" s="25"/>
      <c r="V3468" s="25"/>
      <c r="W3468" s="25"/>
      <c r="X3468" s="25"/>
      <c r="Y3468" s="25"/>
      <c r="Z3468" s="25"/>
    </row>
    <row r="3469" spans="1:26" ht="52.5" customHeight="1" x14ac:dyDescent="0.25">
      <c r="A3469" s="25"/>
      <c r="B3469" s="25"/>
      <c r="C3469" s="55"/>
      <c r="D3469" s="25"/>
      <c r="E3469" s="25"/>
      <c r="F3469" s="25"/>
      <c r="G3469" s="25"/>
      <c r="H3469" s="25"/>
      <c r="I3469" s="25"/>
      <c r="J3469" s="55"/>
      <c r="K3469" s="25"/>
      <c r="L3469" s="62"/>
      <c r="M3469" s="25"/>
      <c r="N3469" s="25"/>
      <c r="O3469" s="25">
        <f t="shared" si="0"/>
        <v>0</v>
      </c>
      <c r="P3469" s="25" t="str">
        <f t="shared" si="2"/>
        <v/>
      </c>
      <c r="Q3469" s="25"/>
      <c r="R3469" s="25"/>
      <c r="S3469" s="55"/>
      <c r="T3469" s="56"/>
      <c r="U3469" s="25"/>
      <c r="V3469" s="25"/>
      <c r="W3469" s="25"/>
      <c r="X3469" s="25"/>
      <c r="Y3469" s="25"/>
      <c r="Z3469" s="25"/>
    </row>
    <row r="3470" spans="1:26" ht="52.5" customHeight="1" x14ac:dyDescent="0.25">
      <c r="A3470" s="25"/>
      <c r="B3470" s="25"/>
      <c r="C3470" s="55"/>
      <c r="D3470" s="25"/>
      <c r="E3470" s="25"/>
      <c r="F3470" s="25"/>
      <c r="G3470" s="25"/>
      <c r="H3470" s="25"/>
      <c r="I3470" s="25"/>
      <c r="J3470" s="55"/>
      <c r="K3470" s="25"/>
      <c r="L3470" s="62"/>
      <c r="M3470" s="25"/>
      <c r="N3470" s="25"/>
      <c r="O3470" s="25">
        <f t="shared" si="0"/>
        <v>0</v>
      </c>
      <c r="P3470" s="25" t="str">
        <f t="shared" si="2"/>
        <v/>
      </c>
      <c r="Q3470" s="25"/>
      <c r="R3470" s="25"/>
      <c r="S3470" s="55"/>
      <c r="T3470" s="56"/>
      <c r="U3470" s="25"/>
      <c r="V3470" s="25"/>
      <c r="W3470" s="25"/>
      <c r="X3470" s="25"/>
      <c r="Y3470" s="25"/>
      <c r="Z3470" s="25"/>
    </row>
    <row r="3471" spans="1:26" ht="52.5" customHeight="1" x14ac:dyDescent="0.25">
      <c r="A3471" s="25"/>
      <c r="B3471" s="25"/>
      <c r="C3471" s="55"/>
      <c r="D3471" s="25"/>
      <c r="E3471" s="25"/>
      <c r="F3471" s="25"/>
      <c r="G3471" s="25"/>
      <c r="H3471" s="25"/>
      <c r="I3471" s="25"/>
      <c r="J3471" s="55"/>
      <c r="K3471" s="25"/>
      <c r="L3471" s="62"/>
      <c r="M3471" s="25"/>
      <c r="N3471" s="25"/>
      <c r="O3471" s="25">
        <f t="shared" si="0"/>
        <v>0</v>
      </c>
      <c r="P3471" s="25" t="str">
        <f t="shared" si="2"/>
        <v/>
      </c>
      <c r="Q3471" s="25"/>
      <c r="R3471" s="25"/>
      <c r="S3471" s="55"/>
      <c r="T3471" s="56"/>
      <c r="U3471" s="25"/>
      <c r="V3471" s="25"/>
      <c r="W3471" s="25"/>
      <c r="X3471" s="25"/>
      <c r="Y3471" s="25"/>
      <c r="Z3471" s="25"/>
    </row>
    <row r="3472" spans="1:26" ht="52.5" customHeight="1" x14ac:dyDescent="0.25">
      <c r="A3472" s="25"/>
      <c r="B3472" s="25"/>
      <c r="C3472" s="55"/>
      <c r="D3472" s="25"/>
      <c r="E3472" s="25"/>
      <c r="F3472" s="25"/>
      <c r="G3472" s="25"/>
      <c r="H3472" s="25"/>
      <c r="I3472" s="25"/>
      <c r="J3472" s="55"/>
      <c r="K3472" s="25"/>
      <c r="L3472" s="62"/>
      <c r="M3472" s="25"/>
      <c r="N3472" s="25"/>
      <c r="O3472" s="25">
        <f t="shared" si="0"/>
        <v>0</v>
      </c>
      <c r="P3472" s="25" t="str">
        <f t="shared" si="2"/>
        <v/>
      </c>
      <c r="Q3472" s="25"/>
      <c r="R3472" s="25"/>
      <c r="S3472" s="55"/>
      <c r="T3472" s="56"/>
      <c r="U3472" s="25"/>
      <c r="V3472" s="25"/>
      <c r="W3472" s="25"/>
      <c r="X3472" s="25"/>
      <c r="Y3472" s="25"/>
      <c r="Z3472" s="25"/>
    </row>
    <row r="3473" spans="1:26" ht="52.5" customHeight="1" x14ac:dyDescent="0.25">
      <c r="A3473" s="25"/>
      <c r="B3473" s="25"/>
      <c r="C3473" s="55"/>
      <c r="D3473" s="25"/>
      <c r="E3473" s="25"/>
      <c r="F3473" s="25"/>
      <c r="G3473" s="25"/>
      <c r="H3473" s="25"/>
      <c r="I3473" s="25"/>
      <c r="J3473" s="55"/>
      <c r="K3473" s="25"/>
      <c r="L3473" s="62"/>
      <c r="M3473" s="25"/>
      <c r="N3473" s="25"/>
      <c r="O3473" s="25">
        <f t="shared" si="0"/>
        <v>0</v>
      </c>
      <c r="P3473" s="25" t="str">
        <f t="shared" si="2"/>
        <v/>
      </c>
      <c r="Q3473" s="25"/>
      <c r="R3473" s="25"/>
      <c r="S3473" s="55"/>
      <c r="T3473" s="56"/>
      <c r="U3473" s="25"/>
      <c r="V3473" s="25"/>
      <c r="W3473" s="25"/>
      <c r="X3473" s="25"/>
      <c r="Y3473" s="25"/>
      <c r="Z3473" s="25"/>
    </row>
    <row r="3474" spans="1:26" ht="52.5" customHeight="1" x14ac:dyDescent="0.25">
      <c r="A3474" s="25"/>
      <c r="B3474" s="25"/>
      <c r="C3474" s="55"/>
      <c r="D3474" s="25"/>
      <c r="E3474" s="25"/>
      <c r="F3474" s="25"/>
      <c r="G3474" s="25"/>
      <c r="H3474" s="25"/>
      <c r="I3474" s="25"/>
      <c r="J3474" s="55"/>
      <c r="K3474" s="25"/>
      <c r="L3474" s="62"/>
      <c r="M3474" s="25"/>
      <c r="N3474" s="25"/>
      <c r="O3474" s="25">
        <f t="shared" si="0"/>
        <v>0</v>
      </c>
      <c r="P3474" s="25" t="str">
        <f t="shared" si="2"/>
        <v/>
      </c>
      <c r="Q3474" s="25"/>
      <c r="R3474" s="25"/>
      <c r="S3474" s="55"/>
      <c r="T3474" s="56"/>
      <c r="U3474" s="25"/>
      <c r="V3474" s="25"/>
      <c r="W3474" s="25"/>
      <c r="X3474" s="25"/>
      <c r="Y3474" s="25"/>
      <c r="Z3474" s="25"/>
    </row>
    <row r="3475" spans="1:26" ht="52.5" customHeight="1" x14ac:dyDescent="0.25">
      <c r="A3475" s="25"/>
      <c r="B3475" s="25"/>
      <c r="C3475" s="55"/>
      <c r="D3475" s="25"/>
      <c r="E3475" s="25"/>
      <c r="F3475" s="25"/>
      <c r="G3475" s="25"/>
      <c r="H3475" s="25"/>
      <c r="I3475" s="25"/>
      <c r="J3475" s="55"/>
      <c r="K3475" s="25"/>
      <c r="L3475" s="62"/>
      <c r="M3475" s="25"/>
      <c r="N3475" s="25"/>
      <c r="O3475" s="25">
        <f t="shared" si="0"/>
        <v>0</v>
      </c>
      <c r="P3475" s="25" t="str">
        <f t="shared" si="2"/>
        <v/>
      </c>
      <c r="Q3475" s="25"/>
      <c r="R3475" s="25"/>
      <c r="S3475" s="55"/>
      <c r="T3475" s="56"/>
      <c r="U3475" s="25"/>
      <c r="V3475" s="25"/>
      <c r="W3475" s="25"/>
      <c r="X3475" s="25"/>
      <c r="Y3475" s="25"/>
      <c r="Z3475" s="25"/>
    </row>
    <row r="3476" spans="1:26" ht="52.5" customHeight="1" x14ac:dyDescent="0.25">
      <c r="A3476" s="25"/>
      <c r="B3476" s="25"/>
      <c r="C3476" s="55"/>
      <c r="D3476" s="25"/>
      <c r="E3476" s="25"/>
      <c r="F3476" s="25"/>
      <c r="G3476" s="25"/>
      <c r="H3476" s="25"/>
      <c r="I3476" s="25"/>
      <c r="J3476" s="55"/>
      <c r="K3476" s="25"/>
      <c r="L3476" s="62"/>
      <c r="M3476" s="25"/>
      <c r="N3476" s="25"/>
      <c r="O3476" s="25">
        <f t="shared" si="0"/>
        <v>0</v>
      </c>
      <c r="P3476" s="25" t="str">
        <f t="shared" si="2"/>
        <v/>
      </c>
      <c r="Q3476" s="25"/>
      <c r="R3476" s="25"/>
      <c r="S3476" s="55"/>
      <c r="T3476" s="56"/>
      <c r="U3476" s="25"/>
      <c r="V3476" s="25"/>
      <c r="W3476" s="25"/>
      <c r="X3476" s="25"/>
      <c r="Y3476" s="25"/>
      <c r="Z3476" s="25"/>
    </row>
    <row r="3477" spans="1:26" ht="52.5" customHeight="1" x14ac:dyDescent="0.25">
      <c r="A3477" s="25"/>
      <c r="B3477" s="25"/>
      <c r="C3477" s="55"/>
      <c r="D3477" s="25"/>
      <c r="E3477" s="25"/>
      <c r="F3477" s="25"/>
      <c r="G3477" s="25"/>
      <c r="H3477" s="25"/>
      <c r="I3477" s="25"/>
      <c r="J3477" s="55"/>
      <c r="K3477" s="25"/>
      <c r="L3477" s="62"/>
      <c r="M3477" s="25"/>
      <c r="N3477" s="25"/>
      <c r="O3477" s="25">
        <f t="shared" si="0"/>
        <v>0</v>
      </c>
      <c r="P3477" s="25" t="str">
        <f t="shared" si="2"/>
        <v/>
      </c>
      <c r="Q3477" s="25"/>
      <c r="R3477" s="25"/>
      <c r="S3477" s="55"/>
      <c r="T3477" s="56"/>
      <c r="U3477" s="25"/>
      <c r="V3477" s="25"/>
      <c r="W3477" s="25"/>
      <c r="X3477" s="25"/>
      <c r="Y3477" s="25"/>
      <c r="Z3477" s="25"/>
    </row>
    <row r="3478" spans="1:26" ht="52.5" customHeight="1" x14ac:dyDescent="0.25">
      <c r="A3478" s="25"/>
      <c r="B3478" s="25"/>
      <c r="C3478" s="55"/>
      <c r="D3478" s="25"/>
      <c r="E3478" s="25"/>
      <c r="F3478" s="25"/>
      <c r="G3478" s="25"/>
      <c r="H3478" s="25"/>
      <c r="I3478" s="25"/>
      <c r="J3478" s="55"/>
      <c r="K3478" s="25"/>
      <c r="L3478" s="62"/>
      <c r="M3478" s="25"/>
      <c r="N3478" s="25"/>
      <c r="O3478" s="25">
        <f t="shared" si="0"/>
        <v>0</v>
      </c>
      <c r="P3478" s="25" t="str">
        <f t="shared" si="2"/>
        <v/>
      </c>
      <c r="Q3478" s="25"/>
      <c r="R3478" s="25"/>
      <c r="S3478" s="55"/>
      <c r="T3478" s="56"/>
      <c r="U3478" s="25"/>
      <c r="V3478" s="25"/>
      <c r="W3478" s="25"/>
      <c r="X3478" s="25"/>
      <c r="Y3478" s="25"/>
      <c r="Z3478" s="25"/>
    </row>
    <row r="3479" spans="1:26" ht="52.5" customHeight="1" x14ac:dyDescent="0.25">
      <c r="A3479" s="25"/>
      <c r="B3479" s="25"/>
      <c r="C3479" s="55"/>
      <c r="D3479" s="25"/>
      <c r="E3479" s="25"/>
      <c r="F3479" s="25"/>
      <c r="G3479" s="25"/>
      <c r="H3479" s="25"/>
      <c r="I3479" s="25"/>
      <c r="J3479" s="55"/>
      <c r="K3479" s="25"/>
      <c r="L3479" s="62"/>
      <c r="M3479" s="25"/>
      <c r="N3479" s="25"/>
      <c r="O3479" s="25">
        <f t="shared" si="0"/>
        <v>0</v>
      </c>
      <c r="P3479" s="25" t="str">
        <f t="shared" si="2"/>
        <v/>
      </c>
      <c r="Q3479" s="25"/>
      <c r="R3479" s="25"/>
      <c r="S3479" s="55"/>
      <c r="T3479" s="56"/>
      <c r="U3479" s="25"/>
      <c r="V3479" s="25"/>
      <c r="W3479" s="25"/>
      <c r="X3479" s="25"/>
      <c r="Y3479" s="25"/>
      <c r="Z3479" s="25"/>
    </row>
    <row r="3480" spans="1:26" ht="52.5" customHeight="1" x14ac:dyDescent="0.25">
      <c r="A3480" s="25"/>
      <c r="B3480" s="25"/>
      <c r="C3480" s="55"/>
      <c r="D3480" s="25"/>
      <c r="E3480" s="25"/>
      <c r="F3480" s="25"/>
      <c r="G3480" s="25"/>
      <c r="H3480" s="25"/>
      <c r="I3480" s="25"/>
      <c r="J3480" s="55"/>
      <c r="K3480" s="25"/>
      <c r="L3480" s="62"/>
      <c r="M3480" s="25"/>
      <c r="N3480" s="25"/>
      <c r="O3480" s="25">
        <f t="shared" si="0"/>
        <v>0</v>
      </c>
      <c r="P3480" s="25" t="str">
        <f t="shared" si="2"/>
        <v/>
      </c>
      <c r="Q3480" s="25"/>
      <c r="R3480" s="25"/>
      <c r="S3480" s="55"/>
      <c r="T3480" s="56"/>
      <c r="U3480" s="25"/>
      <c r="V3480" s="25"/>
      <c r="W3480" s="25"/>
      <c r="X3480" s="25"/>
      <c r="Y3480" s="25"/>
      <c r="Z3480" s="25"/>
    </row>
    <row r="3481" spans="1:26" ht="52.5" customHeight="1" x14ac:dyDescent="0.25">
      <c r="A3481" s="25"/>
      <c r="B3481" s="25"/>
      <c r="C3481" s="55"/>
      <c r="D3481" s="25"/>
      <c r="E3481" s="25"/>
      <c r="F3481" s="25"/>
      <c r="G3481" s="25"/>
      <c r="H3481" s="25"/>
      <c r="I3481" s="25"/>
      <c r="J3481" s="55"/>
      <c r="K3481" s="25"/>
      <c r="L3481" s="62"/>
      <c r="M3481" s="25"/>
      <c r="N3481" s="25"/>
      <c r="O3481" s="25">
        <f t="shared" si="0"/>
        <v>0</v>
      </c>
      <c r="P3481" s="25" t="str">
        <f t="shared" si="2"/>
        <v/>
      </c>
      <c r="Q3481" s="25"/>
      <c r="R3481" s="25"/>
      <c r="S3481" s="55"/>
      <c r="T3481" s="56"/>
      <c r="U3481" s="25"/>
      <c r="V3481" s="25"/>
      <c r="W3481" s="25"/>
      <c r="X3481" s="25"/>
      <c r="Y3481" s="25"/>
      <c r="Z3481" s="25"/>
    </row>
    <row r="3482" spans="1:26" ht="52.5" customHeight="1" x14ac:dyDescent="0.25">
      <c r="A3482" s="25"/>
      <c r="B3482" s="25"/>
      <c r="C3482" s="55"/>
      <c r="D3482" s="25"/>
      <c r="E3482" s="25"/>
      <c r="F3482" s="25"/>
      <c r="G3482" s="25"/>
      <c r="H3482" s="25"/>
      <c r="I3482" s="25"/>
      <c r="J3482" s="55"/>
      <c r="K3482" s="25"/>
      <c r="L3482" s="62"/>
      <c r="M3482" s="25"/>
      <c r="N3482" s="25"/>
      <c r="O3482" s="25">
        <f t="shared" si="0"/>
        <v>0</v>
      </c>
      <c r="P3482" s="25" t="str">
        <f t="shared" si="2"/>
        <v/>
      </c>
      <c r="Q3482" s="25"/>
      <c r="R3482" s="25"/>
      <c r="S3482" s="55"/>
      <c r="T3482" s="56"/>
      <c r="U3482" s="25"/>
      <c r="V3482" s="25"/>
      <c r="W3482" s="25"/>
      <c r="X3482" s="25"/>
      <c r="Y3482" s="25"/>
      <c r="Z3482" s="25"/>
    </row>
    <row r="3483" spans="1:26" ht="52.5" customHeight="1" x14ac:dyDescent="0.25">
      <c r="A3483" s="25"/>
      <c r="B3483" s="25"/>
      <c r="C3483" s="55"/>
      <c r="D3483" s="25"/>
      <c r="E3483" s="25"/>
      <c r="F3483" s="25"/>
      <c r="G3483" s="25"/>
      <c r="H3483" s="25"/>
      <c r="I3483" s="25"/>
      <c r="J3483" s="55"/>
      <c r="K3483" s="25"/>
      <c r="L3483" s="62"/>
      <c r="M3483" s="25"/>
      <c r="N3483" s="25"/>
      <c r="O3483" s="25">
        <f t="shared" si="0"/>
        <v>0</v>
      </c>
      <c r="P3483" s="25" t="str">
        <f t="shared" si="2"/>
        <v/>
      </c>
      <c r="Q3483" s="25"/>
      <c r="R3483" s="25"/>
      <c r="S3483" s="55"/>
      <c r="T3483" s="56"/>
      <c r="U3483" s="25"/>
      <c r="V3483" s="25"/>
      <c r="W3483" s="25"/>
      <c r="X3483" s="25"/>
      <c r="Y3483" s="25"/>
      <c r="Z3483" s="25"/>
    </row>
    <row r="3484" spans="1:26" ht="52.5" customHeight="1" x14ac:dyDescent="0.25">
      <c r="A3484" s="25"/>
      <c r="B3484" s="25"/>
      <c r="C3484" s="55"/>
      <c r="D3484" s="25"/>
      <c r="E3484" s="25"/>
      <c r="F3484" s="25"/>
      <c r="G3484" s="25"/>
      <c r="H3484" s="25"/>
      <c r="I3484" s="25"/>
      <c r="J3484" s="55"/>
      <c r="K3484" s="25"/>
      <c r="L3484" s="62"/>
      <c r="M3484" s="25"/>
      <c r="N3484" s="25"/>
      <c r="O3484" s="25">
        <f t="shared" si="0"/>
        <v>0</v>
      </c>
      <c r="P3484" s="25" t="str">
        <f t="shared" si="2"/>
        <v/>
      </c>
      <c r="Q3484" s="25"/>
      <c r="R3484" s="25"/>
      <c r="S3484" s="55"/>
      <c r="T3484" s="56"/>
      <c r="U3484" s="25"/>
      <c r="V3484" s="25"/>
      <c r="W3484" s="25"/>
      <c r="X3484" s="25"/>
      <c r="Y3484" s="25"/>
      <c r="Z3484" s="25"/>
    </row>
    <row r="3485" spans="1:26" ht="52.5" customHeight="1" x14ac:dyDescent="0.25">
      <c r="A3485" s="25"/>
      <c r="B3485" s="25"/>
      <c r="C3485" s="55"/>
      <c r="D3485" s="25"/>
      <c r="E3485" s="25"/>
      <c r="F3485" s="25"/>
      <c r="G3485" s="25"/>
      <c r="H3485" s="25"/>
      <c r="I3485" s="25"/>
      <c r="J3485" s="55"/>
      <c r="K3485" s="25"/>
      <c r="L3485" s="62"/>
      <c r="M3485" s="25"/>
      <c r="N3485" s="25"/>
      <c r="O3485" s="25">
        <f t="shared" si="0"/>
        <v>0</v>
      </c>
      <c r="P3485" s="25" t="str">
        <f t="shared" si="2"/>
        <v/>
      </c>
      <c r="Q3485" s="25"/>
      <c r="R3485" s="25"/>
      <c r="S3485" s="55"/>
      <c r="T3485" s="56"/>
      <c r="U3485" s="25"/>
      <c r="V3485" s="25"/>
      <c r="W3485" s="25"/>
      <c r="X3485" s="25"/>
      <c r="Y3485" s="25"/>
      <c r="Z3485" s="25"/>
    </row>
    <row r="3486" spans="1:26" ht="52.5" customHeight="1" x14ac:dyDescent="0.25">
      <c r="A3486" s="25"/>
      <c r="B3486" s="25"/>
      <c r="C3486" s="55"/>
      <c r="D3486" s="25"/>
      <c r="E3486" s="25"/>
      <c r="F3486" s="25"/>
      <c r="G3486" s="25"/>
      <c r="H3486" s="25"/>
      <c r="I3486" s="25"/>
      <c r="J3486" s="55"/>
      <c r="K3486" s="25"/>
      <c r="L3486" s="62"/>
      <c r="M3486" s="25"/>
      <c r="N3486" s="25"/>
      <c r="O3486" s="25">
        <f t="shared" si="0"/>
        <v>0</v>
      </c>
      <c r="P3486" s="25" t="str">
        <f t="shared" si="2"/>
        <v/>
      </c>
      <c r="Q3486" s="25"/>
      <c r="R3486" s="25"/>
      <c r="S3486" s="55"/>
      <c r="T3486" s="56"/>
      <c r="U3486" s="25"/>
      <c r="V3486" s="25"/>
      <c r="W3486" s="25"/>
      <c r="X3486" s="25"/>
      <c r="Y3486" s="25"/>
      <c r="Z3486" s="25"/>
    </row>
    <row r="3487" spans="1:26" ht="52.5" customHeight="1" x14ac:dyDescent="0.25">
      <c r="A3487" s="25"/>
      <c r="B3487" s="25"/>
      <c r="C3487" s="55"/>
      <c r="D3487" s="25"/>
      <c r="E3487" s="25"/>
      <c r="F3487" s="25"/>
      <c r="G3487" s="25"/>
      <c r="H3487" s="25"/>
      <c r="I3487" s="25"/>
      <c r="J3487" s="55"/>
      <c r="K3487" s="25"/>
      <c r="L3487" s="62"/>
      <c r="M3487" s="25"/>
      <c r="N3487" s="25"/>
      <c r="O3487" s="25">
        <f t="shared" si="0"/>
        <v>0</v>
      </c>
      <c r="P3487" s="25" t="str">
        <f t="shared" si="2"/>
        <v/>
      </c>
      <c r="Q3487" s="25"/>
      <c r="R3487" s="25"/>
      <c r="S3487" s="55"/>
      <c r="T3487" s="56"/>
      <c r="U3487" s="25"/>
      <c r="V3487" s="25"/>
      <c r="W3487" s="25"/>
      <c r="X3487" s="25"/>
      <c r="Y3487" s="25"/>
      <c r="Z3487" s="25"/>
    </row>
    <row r="3488" spans="1:26" ht="52.5" customHeight="1" x14ac:dyDescent="0.25">
      <c r="A3488" s="25"/>
      <c r="B3488" s="25"/>
      <c r="C3488" s="55"/>
      <c r="D3488" s="25"/>
      <c r="E3488" s="25"/>
      <c r="F3488" s="25"/>
      <c r="G3488" s="25"/>
      <c r="H3488" s="25"/>
      <c r="I3488" s="25"/>
      <c r="J3488" s="55"/>
      <c r="K3488" s="25"/>
      <c r="L3488" s="62"/>
      <c r="M3488" s="25"/>
      <c r="N3488" s="25"/>
      <c r="O3488" s="25">
        <f t="shared" si="0"/>
        <v>0</v>
      </c>
      <c r="P3488" s="25" t="str">
        <f t="shared" si="2"/>
        <v/>
      </c>
      <c r="Q3488" s="25"/>
      <c r="R3488" s="25"/>
      <c r="S3488" s="55"/>
      <c r="T3488" s="56"/>
      <c r="U3488" s="25"/>
      <c r="V3488" s="25"/>
      <c r="W3488" s="25"/>
      <c r="X3488" s="25"/>
      <c r="Y3488" s="25"/>
      <c r="Z3488" s="25"/>
    </row>
    <row r="3489" spans="1:26" ht="52.5" customHeight="1" x14ac:dyDescent="0.25">
      <c r="A3489" s="25"/>
      <c r="B3489" s="25"/>
      <c r="C3489" s="55"/>
      <c r="D3489" s="25"/>
      <c r="E3489" s="25"/>
      <c r="F3489" s="25"/>
      <c r="G3489" s="25"/>
      <c r="H3489" s="25"/>
      <c r="I3489" s="25"/>
      <c r="J3489" s="55"/>
      <c r="K3489" s="25"/>
      <c r="L3489" s="62"/>
      <c r="M3489" s="25"/>
      <c r="N3489" s="25"/>
      <c r="O3489" s="25">
        <f t="shared" si="0"/>
        <v>0</v>
      </c>
      <c r="P3489" s="25" t="str">
        <f t="shared" si="2"/>
        <v/>
      </c>
      <c r="Q3489" s="25"/>
      <c r="R3489" s="25"/>
      <c r="S3489" s="55"/>
      <c r="T3489" s="56"/>
      <c r="U3489" s="25"/>
      <c r="V3489" s="25"/>
      <c r="W3489" s="25"/>
      <c r="X3489" s="25"/>
      <c r="Y3489" s="25"/>
      <c r="Z3489" s="25"/>
    </row>
    <row r="3490" spans="1:26" ht="52.5" customHeight="1" x14ac:dyDescent="0.25">
      <c r="A3490" s="25"/>
      <c r="B3490" s="25"/>
      <c r="C3490" s="55"/>
      <c r="D3490" s="25"/>
      <c r="E3490" s="25"/>
      <c r="F3490" s="25"/>
      <c r="G3490" s="25"/>
      <c r="H3490" s="25"/>
      <c r="I3490" s="25"/>
      <c r="J3490" s="55"/>
      <c r="K3490" s="25"/>
      <c r="L3490" s="62"/>
      <c r="M3490" s="25"/>
      <c r="N3490" s="25"/>
      <c r="O3490" s="25">
        <f t="shared" si="0"/>
        <v>0</v>
      </c>
      <c r="P3490" s="25" t="str">
        <f t="shared" si="2"/>
        <v/>
      </c>
      <c r="Q3490" s="25"/>
      <c r="R3490" s="25"/>
      <c r="S3490" s="55"/>
      <c r="T3490" s="56"/>
      <c r="U3490" s="25"/>
      <c r="V3490" s="25"/>
      <c r="W3490" s="25"/>
      <c r="X3490" s="25"/>
      <c r="Y3490" s="25"/>
      <c r="Z3490" s="25"/>
    </row>
    <row r="3491" spans="1:26" ht="52.5" customHeight="1" x14ac:dyDescent="0.25">
      <c r="A3491" s="25"/>
      <c r="B3491" s="25"/>
      <c r="C3491" s="55"/>
      <c r="D3491" s="25"/>
      <c r="E3491" s="25"/>
      <c r="F3491" s="25"/>
      <c r="G3491" s="25"/>
      <c r="H3491" s="25"/>
      <c r="I3491" s="25"/>
      <c r="J3491" s="55"/>
      <c r="K3491" s="25"/>
      <c r="L3491" s="62"/>
      <c r="M3491" s="25"/>
      <c r="N3491" s="25"/>
      <c r="O3491" s="25">
        <f t="shared" si="0"/>
        <v>0</v>
      </c>
      <c r="P3491" s="25" t="str">
        <f t="shared" si="2"/>
        <v/>
      </c>
      <c r="Q3491" s="25"/>
      <c r="R3491" s="25"/>
      <c r="S3491" s="55"/>
      <c r="T3491" s="56"/>
      <c r="U3491" s="25"/>
      <c r="V3491" s="25"/>
      <c r="W3491" s="25"/>
      <c r="X3491" s="25"/>
      <c r="Y3491" s="25"/>
      <c r="Z3491" s="25"/>
    </row>
    <row r="3492" spans="1:26" ht="52.5" customHeight="1" x14ac:dyDescent="0.25">
      <c r="A3492" s="25"/>
      <c r="B3492" s="25"/>
      <c r="C3492" s="55"/>
      <c r="D3492" s="25"/>
      <c r="E3492" s="25"/>
      <c r="F3492" s="25"/>
      <c r="G3492" s="25"/>
      <c r="H3492" s="25"/>
      <c r="I3492" s="25"/>
      <c r="J3492" s="55"/>
      <c r="K3492" s="25"/>
      <c r="L3492" s="62"/>
      <c r="M3492" s="25"/>
      <c r="N3492" s="25"/>
      <c r="O3492" s="25">
        <f t="shared" si="0"/>
        <v>0</v>
      </c>
      <c r="P3492" s="25" t="str">
        <f t="shared" si="2"/>
        <v/>
      </c>
      <c r="Q3492" s="25"/>
      <c r="R3492" s="25"/>
      <c r="S3492" s="55"/>
      <c r="T3492" s="56"/>
      <c r="U3492" s="25"/>
      <c r="V3492" s="25"/>
      <c r="W3492" s="25"/>
      <c r="X3492" s="25"/>
      <c r="Y3492" s="25"/>
      <c r="Z3492" s="25"/>
    </row>
    <row r="3493" spans="1:26" ht="52.5" customHeight="1" x14ac:dyDescent="0.25">
      <c r="A3493" s="25"/>
      <c r="B3493" s="25"/>
      <c r="C3493" s="55"/>
      <c r="D3493" s="25"/>
      <c r="E3493" s="25"/>
      <c r="F3493" s="25"/>
      <c r="G3493" s="25"/>
      <c r="H3493" s="25"/>
      <c r="I3493" s="25"/>
      <c r="J3493" s="55"/>
      <c r="K3493" s="25"/>
      <c r="L3493" s="62"/>
      <c r="M3493" s="25"/>
      <c r="N3493" s="25"/>
      <c r="O3493" s="25">
        <f t="shared" si="0"/>
        <v>0</v>
      </c>
      <c r="P3493" s="25" t="str">
        <f t="shared" si="2"/>
        <v/>
      </c>
      <c r="Q3493" s="25"/>
      <c r="R3493" s="25"/>
      <c r="S3493" s="55"/>
      <c r="T3493" s="56"/>
      <c r="U3493" s="25"/>
      <c r="V3493" s="25"/>
      <c r="W3493" s="25"/>
      <c r="X3493" s="25"/>
      <c r="Y3493" s="25"/>
      <c r="Z3493" s="25"/>
    </row>
    <row r="3494" spans="1:26" ht="52.5" customHeight="1" x14ac:dyDescent="0.25">
      <c r="A3494" s="25"/>
      <c r="B3494" s="25"/>
      <c r="C3494" s="55"/>
      <c r="D3494" s="25"/>
      <c r="E3494" s="25"/>
      <c r="F3494" s="25"/>
      <c r="G3494" s="25"/>
      <c r="H3494" s="25"/>
      <c r="I3494" s="25"/>
      <c r="J3494" s="55"/>
      <c r="K3494" s="25"/>
      <c r="L3494" s="62"/>
      <c r="M3494" s="25"/>
      <c r="N3494" s="25"/>
      <c r="O3494" s="25">
        <f t="shared" si="0"/>
        <v>0</v>
      </c>
      <c r="P3494" s="25" t="str">
        <f t="shared" si="2"/>
        <v/>
      </c>
      <c r="Q3494" s="25"/>
      <c r="R3494" s="25"/>
      <c r="S3494" s="55"/>
      <c r="T3494" s="56"/>
      <c r="U3494" s="25"/>
      <c r="V3494" s="25"/>
      <c r="W3494" s="25"/>
      <c r="X3494" s="25"/>
      <c r="Y3494" s="25"/>
      <c r="Z3494" s="25"/>
    </row>
    <row r="3495" spans="1:26" ht="52.5" customHeight="1" x14ac:dyDescent="0.25">
      <c r="A3495" s="25"/>
      <c r="B3495" s="25"/>
      <c r="C3495" s="55"/>
      <c r="D3495" s="25"/>
      <c r="E3495" s="25"/>
      <c r="F3495" s="25"/>
      <c r="G3495" s="25"/>
      <c r="H3495" s="25"/>
      <c r="I3495" s="25"/>
      <c r="J3495" s="55"/>
      <c r="K3495" s="25"/>
      <c r="L3495" s="62"/>
      <c r="M3495" s="25"/>
      <c r="N3495" s="25"/>
      <c r="O3495" s="25">
        <f t="shared" si="0"/>
        <v>0</v>
      </c>
      <c r="P3495" s="25" t="str">
        <f t="shared" si="2"/>
        <v/>
      </c>
      <c r="Q3495" s="25"/>
      <c r="R3495" s="25"/>
      <c r="S3495" s="55"/>
      <c r="T3495" s="56"/>
      <c r="U3495" s="25"/>
      <c r="V3495" s="25"/>
      <c r="W3495" s="25"/>
      <c r="X3495" s="25"/>
      <c r="Y3495" s="25"/>
      <c r="Z3495" s="25"/>
    </row>
    <row r="3496" spans="1:26" ht="52.5" customHeight="1" x14ac:dyDescent="0.25">
      <c r="A3496" s="25"/>
      <c r="B3496" s="25"/>
      <c r="C3496" s="55"/>
      <c r="D3496" s="25"/>
      <c r="E3496" s="25"/>
      <c r="F3496" s="25"/>
      <c r="G3496" s="25"/>
      <c r="H3496" s="25"/>
      <c r="I3496" s="25"/>
      <c r="J3496" s="55"/>
      <c r="K3496" s="25"/>
      <c r="L3496" s="62"/>
      <c r="M3496" s="25"/>
      <c r="N3496" s="25"/>
      <c r="O3496" s="25">
        <f t="shared" si="0"/>
        <v>0</v>
      </c>
      <c r="P3496" s="25" t="str">
        <f t="shared" si="2"/>
        <v/>
      </c>
      <c r="Q3496" s="25"/>
      <c r="R3496" s="25"/>
      <c r="S3496" s="55"/>
      <c r="T3496" s="56"/>
      <c r="U3496" s="25"/>
      <c r="V3496" s="25"/>
      <c r="W3496" s="25"/>
      <c r="X3496" s="25"/>
      <c r="Y3496" s="25"/>
      <c r="Z3496" s="25"/>
    </row>
    <row r="3497" spans="1:26" ht="52.5" customHeight="1" x14ac:dyDescent="0.25">
      <c r="A3497" s="25"/>
      <c r="B3497" s="25"/>
      <c r="C3497" s="55"/>
      <c r="D3497" s="25"/>
      <c r="E3497" s="25"/>
      <c r="F3497" s="25"/>
      <c r="G3497" s="25"/>
      <c r="H3497" s="25"/>
      <c r="I3497" s="25"/>
      <c r="J3497" s="55"/>
      <c r="K3497" s="25"/>
      <c r="L3497" s="62"/>
      <c r="M3497" s="25"/>
      <c r="N3497" s="25"/>
      <c r="O3497" s="25">
        <f t="shared" si="0"/>
        <v>0</v>
      </c>
      <c r="P3497" s="25" t="str">
        <f t="shared" si="2"/>
        <v/>
      </c>
      <c r="Q3497" s="25"/>
      <c r="R3497" s="25"/>
      <c r="S3497" s="55"/>
      <c r="T3497" s="56"/>
      <c r="U3497" s="25"/>
      <c r="V3497" s="25"/>
      <c r="W3497" s="25"/>
      <c r="X3497" s="25"/>
      <c r="Y3497" s="25"/>
      <c r="Z3497" s="25"/>
    </row>
    <row r="3498" spans="1:26" ht="52.5" customHeight="1" x14ac:dyDescent="0.25">
      <c r="A3498" s="25"/>
      <c r="B3498" s="25"/>
      <c r="C3498" s="55"/>
      <c r="D3498" s="25"/>
      <c r="E3498" s="25"/>
      <c r="F3498" s="25"/>
      <c r="G3498" s="25"/>
      <c r="H3498" s="25"/>
      <c r="I3498" s="25"/>
      <c r="J3498" s="55"/>
      <c r="K3498" s="25"/>
      <c r="L3498" s="62"/>
      <c r="M3498" s="25"/>
      <c r="N3498" s="25"/>
      <c r="O3498" s="25">
        <f t="shared" si="0"/>
        <v>0</v>
      </c>
      <c r="P3498" s="25" t="str">
        <f t="shared" si="2"/>
        <v/>
      </c>
      <c r="Q3498" s="25"/>
      <c r="R3498" s="25"/>
      <c r="S3498" s="55"/>
      <c r="T3498" s="56"/>
      <c r="U3498" s="25"/>
      <c r="V3498" s="25"/>
      <c r="W3498" s="25"/>
      <c r="X3498" s="25"/>
      <c r="Y3498" s="25"/>
      <c r="Z3498" s="25"/>
    </row>
    <row r="3499" spans="1:26" ht="52.5" customHeight="1" x14ac:dyDescent="0.25">
      <c r="A3499" s="25"/>
      <c r="B3499" s="25"/>
      <c r="C3499" s="55"/>
      <c r="D3499" s="25"/>
      <c r="E3499" s="25"/>
      <c r="F3499" s="25"/>
      <c r="G3499" s="25"/>
      <c r="H3499" s="25"/>
      <c r="I3499" s="25"/>
      <c r="J3499" s="55"/>
      <c r="K3499" s="25"/>
      <c r="L3499" s="62"/>
      <c r="M3499" s="25"/>
      <c r="N3499" s="25"/>
      <c r="O3499" s="25">
        <f t="shared" si="0"/>
        <v>0</v>
      </c>
      <c r="P3499" s="25" t="str">
        <f t="shared" si="2"/>
        <v/>
      </c>
      <c r="Q3499" s="25"/>
      <c r="R3499" s="25"/>
      <c r="S3499" s="55"/>
      <c r="T3499" s="56"/>
      <c r="U3499" s="25"/>
      <c r="V3499" s="25"/>
      <c r="W3499" s="25"/>
      <c r="X3499" s="25"/>
      <c r="Y3499" s="25"/>
      <c r="Z3499" s="25"/>
    </row>
    <row r="3500" spans="1:26" ht="52.5" customHeight="1" x14ac:dyDescent="0.25">
      <c r="A3500" s="25"/>
      <c r="B3500" s="25"/>
      <c r="C3500" s="55"/>
      <c r="D3500" s="25"/>
      <c r="E3500" s="25"/>
      <c r="F3500" s="25"/>
      <c r="G3500" s="25"/>
      <c r="H3500" s="25"/>
      <c r="I3500" s="25"/>
      <c r="J3500" s="55"/>
      <c r="K3500" s="25"/>
      <c r="L3500" s="62"/>
      <c r="M3500" s="25"/>
      <c r="N3500" s="25"/>
      <c r="O3500" s="25">
        <f t="shared" si="0"/>
        <v>0</v>
      </c>
      <c r="P3500" s="25" t="str">
        <f t="shared" si="2"/>
        <v/>
      </c>
      <c r="Q3500" s="25"/>
      <c r="R3500" s="25"/>
      <c r="S3500" s="55"/>
      <c r="T3500" s="56"/>
      <c r="U3500" s="25"/>
      <c r="V3500" s="25"/>
      <c r="W3500" s="25"/>
      <c r="X3500" s="25"/>
      <c r="Y3500" s="25"/>
      <c r="Z3500" s="25"/>
    </row>
    <row r="3501" spans="1:26" ht="52.5" customHeight="1" x14ac:dyDescent="0.25">
      <c r="A3501" s="25"/>
      <c r="B3501" s="25"/>
      <c r="C3501" s="55"/>
      <c r="D3501" s="25"/>
      <c r="E3501" s="25"/>
      <c r="F3501" s="25"/>
      <c r="G3501" s="25"/>
      <c r="H3501" s="25"/>
      <c r="I3501" s="25"/>
      <c r="J3501" s="55"/>
      <c r="K3501" s="25"/>
      <c r="L3501" s="62"/>
      <c r="M3501" s="25"/>
      <c r="N3501" s="25"/>
      <c r="O3501" s="25">
        <f t="shared" si="0"/>
        <v>0</v>
      </c>
      <c r="P3501" s="25" t="str">
        <f t="shared" si="2"/>
        <v/>
      </c>
      <c r="Q3501" s="25"/>
      <c r="R3501" s="25"/>
      <c r="S3501" s="55"/>
      <c r="T3501" s="56"/>
      <c r="U3501" s="25"/>
      <c r="V3501" s="25"/>
      <c r="W3501" s="25"/>
      <c r="X3501" s="25"/>
      <c r="Y3501" s="25"/>
      <c r="Z3501" s="25"/>
    </row>
    <row r="3502" spans="1:26" ht="52.5" customHeight="1" x14ac:dyDescent="0.25">
      <c r="A3502" s="25"/>
      <c r="B3502" s="25"/>
      <c r="C3502" s="55"/>
      <c r="D3502" s="25"/>
      <c r="E3502" s="25"/>
      <c r="F3502" s="25"/>
      <c r="G3502" s="25"/>
      <c r="H3502" s="25"/>
      <c r="I3502" s="25"/>
      <c r="J3502" s="55"/>
      <c r="K3502" s="25"/>
      <c r="L3502" s="62"/>
      <c r="M3502" s="25"/>
      <c r="N3502" s="25"/>
      <c r="O3502" s="25">
        <f t="shared" si="0"/>
        <v>0</v>
      </c>
      <c r="P3502" s="25" t="str">
        <f t="shared" si="2"/>
        <v/>
      </c>
      <c r="Q3502" s="25"/>
      <c r="R3502" s="25"/>
      <c r="S3502" s="55"/>
      <c r="T3502" s="56"/>
      <c r="U3502" s="25"/>
      <c r="V3502" s="25"/>
      <c r="W3502" s="25"/>
      <c r="X3502" s="25"/>
      <c r="Y3502" s="25"/>
      <c r="Z3502" s="25"/>
    </row>
    <row r="3503" spans="1:26" ht="52.5" customHeight="1" x14ac:dyDescent="0.25">
      <c r="A3503" s="25"/>
      <c r="B3503" s="25"/>
      <c r="C3503" s="55"/>
      <c r="D3503" s="25"/>
      <c r="E3503" s="25"/>
      <c r="F3503" s="25"/>
      <c r="G3503" s="25"/>
      <c r="H3503" s="25"/>
      <c r="I3503" s="25"/>
      <c r="J3503" s="55"/>
      <c r="K3503" s="25"/>
      <c r="L3503" s="62"/>
      <c r="M3503" s="25"/>
      <c r="N3503" s="25"/>
      <c r="O3503" s="25">
        <f t="shared" si="0"/>
        <v>0</v>
      </c>
      <c r="P3503" s="25" t="str">
        <f t="shared" si="2"/>
        <v/>
      </c>
      <c r="Q3503" s="25"/>
      <c r="R3503" s="25"/>
      <c r="S3503" s="55"/>
      <c r="T3503" s="56"/>
      <c r="U3503" s="25"/>
      <c r="V3503" s="25"/>
      <c r="W3503" s="25"/>
      <c r="X3503" s="25"/>
      <c r="Y3503" s="25"/>
      <c r="Z3503" s="25"/>
    </row>
    <row r="3504" spans="1:26" ht="52.5" customHeight="1" x14ac:dyDescent="0.25">
      <c r="A3504" s="25"/>
      <c r="B3504" s="25"/>
      <c r="C3504" s="55"/>
      <c r="D3504" s="25"/>
      <c r="E3504" s="25"/>
      <c r="F3504" s="25"/>
      <c r="G3504" s="25"/>
      <c r="H3504" s="25"/>
      <c r="I3504" s="25"/>
      <c r="J3504" s="55"/>
      <c r="K3504" s="25"/>
      <c r="L3504" s="62"/>
      <c r="M3504" s="25"/>
      <c r="N3504" s="25"/>
      <c r="O3504" s="25">
        <f t="shared" si="0"/>
        <v>0</v>
      </c>
      <c r="P3504" s="25" t="str">
        <f t="shared" si="2"/>
        <v/>
      </c>
      <c r="Q3504" s="25"/>
      <c r="R3504" s="25"/>
      <c r="S3504" s="55"/>
      <c r="T3504" s="56"/>
      <c r="U3504" s="25"/>
      <c r="V3504" s="25"/>
      <c r="W3504" s="25"/>
      <c r="X3504" s="25"/>
      <c r="Y3504" s="25"/>
      <c r="Z3504" s="25"/>
    </row>
    <row r="3505" spans="1:26" ht="52.5" customHeight="1" x14ac:dyDescent="0.25">
      <c r="A3505" s="25"/>
      <c r="B3505" s="25"/>
      <c r="C3505" s="55"/>
      <c r="D3505" s="25"/>
      <c r="E3505" s="25"/>
      <c r="F3505" s="25"/>
      <c r="G3505" s="25"/>
      <c r="H3505" s="25"/>
      <c r="I3505" s="25"/>
      <c r="J3505" s="55"/>
      <c r="K3505" s="25"/>
      <c r="L3505" s="62"/>
      <c r="M3505" s="25"/>
      <c r="N3505" s="25"/>
      <c r="O3505" s="25">
        <f t="shared" si="0"/>
        <v>0</v>
      </c>
      <c r="P3505" s="25" t="str">
        <f t="shared" si="2"/>
        <v/>
      </c>
      <c r="Q3505" s="25"/>
      <c r="R3505" s="25"/>
      <c r="S3505" s="55"/>
      <c r="T3505" s="56"/>
      <c r="U3505" s="25"/>
      <c r="V3505" s="25"/>
      <c r="W3505" s="25"/>
      <c r="X3505" s="25"/>
      <c r="Y3505" s="25"/>
      <c r="Z3505" s="25"/>
    </row>
    <row r="3506" spans="1:26" ht="52.5" customHeight="1" x14ac:dyDescent="0.25">
      <c r="A3506" s="25"/>
      <c r="B3506" s="25"/>
      <c r="C3506" s="55"/>
      <c r="D3506" s="25"/>
      <c r="E3506" s="25"/>
      <c r="F3506" s="25"/>
      <c r="G3506" s="25"/>
      <c r="H3506" s="25"/>
      <c r="I3506" s="25"/>
      <c r="J3506" s="55"/>
      <c r="K3506" s="25"/>
      <c r="L3506" s="62"/>
      <c r="M3506" s="25"/>
      <c r="N3506" s="25"/>
      <c r="O3506" s="25">
        <f t="shared" si="0"/>
        <v>0</v>
      </c>
      <c r="P3506" s="25" t="str">
        <f t="shared" si="2"/>
        <v/>
      </c>
      <c r="Q3506" s="25"/>
      <c r="R3506" s="25"/>
      <c r="S3506" s="55"/>
      <c r="T3506" s="56"/>
      <c r="U3506" s="25"/>
      <c r="V3506" s="25"/>
      <c r="W3506" s="25"/>
      <c r="X3506" s="25"/>
      <c r="Y3506" s="25"/>
      <c r="Z3506" s="25"/>
    </row>
    <row r="3507" spans="1:26" ht="52.5" customHeight="1" x14ac:dyDescent="0.25">
      <c r="A3507" s="25"/>
      <c r="B3507" s="25"/>
      <c r="C3507" s="55"/>
      <c r="D3507" s="25"/>
      <c r="E3507" s="25"/>
      <c r="F3507" s="25"/>
      <c r="G3507" s="25"/>
      <c r="H3507" s="25"/>
      <c r="I3507" s="25"/>
      <c r="J3507" s="55"/>
      <c r="K3507" s="25"/>
      <c r="L3507" s="62"/>
      <c r="M3507" s="25"/>
      <c r="N3507" s="25"/>
      <c r="O3507" s="25">
        <f t="shared" si="0"/>
        <v>0</v>
      </c>
      <c r="P3507" s="25" t="str">
        <f t="shared" si="2"/>
        <v/>
      </c>
      <c r="Q3507" s="25"/>
      <c r="R3507" s="25"/>
      <c r="S3507" s="55"/>
      <c r="T3507" s="56"/>
      <c r="U3507" s="25"/>
      <c r="V3507" s="25"/>
      <c r="W3507" s="25"/>
      <c r="X3507" s="25"/>
      <c r="Y3507" s="25"/>
      <c r="Z3507" s="25"/>
    </row>
    <row r="3508" spans="1:26" ht="52.5" customHeight="1" x14ac:dyDescent="0.25">
      <c r="A3508" s="25"/>
      <c r="B3508" s="25"/>
      <c r="C3508" s="55"/>
      <c r="D3508" s="25"/>
      <c r="E3508" s="25"/>
      <c r="F3508" s="25"/>
      <c r="G3508" s="25"/>
      <c r="H3508" s="25"/>
      <c r="I3508" s="25"/>
      <c r="J3508" s="55"/>
      <c r="K3508" s="25"/>
      <c r="L3508" s="62"/>
      <c r="M3508" s="25"/>
      <c r="N3508" s="25"/>
      <c r="O3508" s="25">
        <f t="shared" si="0"/>
        <v>0</v>
      </c>
      <c r="P3508" s="25" t="str">
        <f t="shared" si="2"/>
        <v/>
      </c>
      <c r="Q3508" s="25"/>
      <c r="R3508" s="25"/>
      <c r="S3508" s="55"/>
      <c r="T3508" s="56"/>
      <c r="U3508" s="25"/>
      <c r="V3508" s="25"/>
      <c r="W3508" s="25"/>
      <c r="X3508" s="25"/>
      <c r="Y3508" s="25"/>
      <c r="Z3508" s="25"/>
    </row>
    <row r="3509" spans="1:26" ht="52.5" customHeight="1" x14ac:dyDescent="0.25">
      <c r="A3509" s="25"/>
      <c r="B3509" s="25"/>
      <c r="C3509" s="55"/>
      <c r="D3509" s="25"/>
      <c r="E3509" s="25"/>
      <c r="F3509" s="25"/>
      <c r="G3509" s="25"/>
      <c r="H3509" s="25"/>
      <c r="I3509" s="25"/>
      <c r="J3509" s="55"/>
      <c r="K3509" s="25"/>
      <c r="L3509" s="62"/>
      <c r="M3509" s="25"/>
      <c r="N3509" s="25"/>
      <c r="O3509" s="25">
        <f t="shared" si="0"/>
        <v>0</v>
      </c>
      <c r="P3509" s="25" t="str">
        <f t="shared" si="2"/>
        <v/>
      </c>
      <c r="Q3509" s="25"/>
      <c r="R3509" s="25"/>
      <c r="S3509" s="55"/>
      <c r="T3509" s="56"/>
      <c r="U3509" s="25"/>
      <c r="V3509" s="25"/>
      <c r="W3509" s="25"/>
      <c r="X3509" s="25"/>
      <c r="Y3509" s="25"/>
      <c r="Z3509" s="25"/>
    </row>
    <row r="3510" spans="1:26" ht="52.5" customHeight="1" x14ac:dyDescent="0.25">
      <c r="A3510" s="25"/>
      <c r="B3510" s="25"/>
      <c r="C3510" s="55"/>
      <c r="D3510" s="25"/>
      <c r="E3510" s="25"/>
      <c r="F3510" s="25"/>
      <c r="G3510" s="25"/>
      <c r="H3510" s="25"/>
      <c r="I3510" s="25"/>
      <c r="J3510" s="55"/>
      <c r="K3510" s="25"/>
      <c r="L3510" s="62"/>
      <c r="M3510" s="25"/>
      <c r="N3510" s="25"/>
      <c r="O3510" s="25">
        <f t="shared" si="0"/>
        <v>0</v>
      </c>
      <c r="P3510" s="25" t="str">
        <f t="shared" si="2"/>
        <v/>
      </c>
      <c r="Q3510" s="25"/>
      <c r="R3510" s="25"/>
      <c r="S3510" s="55"/>
      <c r="T3510" s="56"/>
      <c r="U3510" s="25"/>
      <c r="V3510" s="25"/>
      <c r="W3510" s="25"/>
      <c r="X3510" s="25"/>
      <c r="Y3510" s="25"/>
      <c r="Z3510" s="25"/>
    </row>
    <row r="3511" spans="1:26" ht="52.5" customHeight="1" x14ac:dyDescent="0.25">
      <c r="A3511" s="25"/>
      <c r="B3511" s="25"/>
      <c r="C3511" s="55"/>
      <c r="D3511" s="25"/>
      <c r="E3511" s="25"/>
      <c r="F3511" s="25"/>
      <c r="G3511" s="25"/>
      <c r="H3511" s="25"/>
      <c r="I3511" s="25"/>
      <c r="J3511" s="55"/>
      <c r="K3511" s="25"/>
      <c r="L3511" s="62"/>
      <c r="M3511" s="25"/>
      <c r="N3511" s="25"/>
      <c r="O3511" s="25">
        <f t="shared" si="0"/>
        <v>0</v>
      </c>
      <c r="P3511" s="25" t="str">
        <f t="shared" si="2"/>
        <v/>
      </c>
      <c r="Q3511" s="25"/>
      <c r="R3511" s="25"/>
      <c r="S3511" s="55"/>
      <c r="T3511" s="56"/>
      <c r="U3511" s="25"/>
      <c r="V3511" s="25"/>
      <c r="W3511" s="25"/>
      <c r="X3511" s="25"/>
      <c r="Y3511" s="25"/>
      <c r="Z3511" s="25"/>
    </row>
    <row r="3512" spans="1:26" ht="52.5" customHeight="1" x14ac:dyDescent="0.25">
      <c r="A3512" s="25"/>
      <c r="B3512" s="25"/>
      <c r="C3512" s="55"/>
      <c r="D3512" s="25"/>
      <c r="E3512" s="25"/>
      <c r="F3512" s="25"/>
      <c r="G3512" s="25"/>
      <c r="H3512" s="25"/>
      <c r="I3512" s="25"/>
      <c r="J3512" s="55"/>
      <c r="K3512" s="25"/>
      <c r="L3512" s="62"/>
      <c r="M3512" s="25"/>
      <c r="N3512" s="25"/>
      <c r="O3512" s="25">
        <f t="shared" si="0"/>
        <v>0</v>
      </c>
      <c r="P3512" s="25" t="str">
        <f t="shared" si="2"/>
        <v/>
      </c>
      <c r="Q3512" s="25"/>
      <c r="R3512" s="25"/>
      <c r="S3512" s="55"/>
      <c r="T3512" s="56"/>
      <c r="U3512" s="25"/>
      <c r="V3512" s="25"/>
      <c r="W3512" s="25"/>
      <c r="X3512" s="25"/>
      <c r="Y3512" s="25"/>
      <c r="Z3512" s="25"/>
    </row>
    <row r="3513" spans="1:26" ht="52.5" customHeight="1" x14ac:dyDescent="0.25">
      <c r="A3513" s="25"/>
      <c r="B3513" s="25"/>
      <c r="C3513" s="55"/>
      <c r="D3513" s="25"/>
      <c r="E3513" s="25"/>
      <c r="F3513" s="25"/>
      <c r="G3513" s="25"/>
      <c r="H3513" s="25"/>
      <c r="I3513" s="25"/>
      <c r="J3513" s="55"/>
      <c r="K3513" s="25"/>
      <c r="L3513" s="62"/>
      <c r="M3513" s="25"/>
      <c r="N3513" s="25"/>
      <c r="O3513" s="25">
        <f t="shared" si="0"/>
        <v>0</v>
      </c>
      <c r="P3513" s="25" t="str">
        <f t="shared" si="2"/>
        <v/>
      </c>
      <c r="Q3513" s="25"/>
      <c r="R3513" s="25"/>
      <c r="S3513" s="55"/>
      <c r="T3513" s="56"/>
      <c r="U3513" s="25"/>
      <c r="V3513" s="25"/>
      <c r="W3513" s="25"/>
      <c r="X3513" s="25"/>
      <c r="Y3513" s="25"/>
      <c r="Z3513" s="25"/>
    </row>
    <row r="3514" spans="1:26" ht="52.5" customHeight="1" x14ac:dyDescent="0.25">
      <c r="A3514" s="25"/>
      <c r="B3514" s="25"/>
      <c r="C3514" s="55"/>
      <c r="D3514" s="25"/>
      <c r="E3514" s="25"/>
      <c r="F3514" s="25"/>
      <c r="G3514" s="25"/>
      <c r="H3514" s="25"/>
      <c r="I3514" s="25"/>
      <c r="J3514" s="55"/>
      <c r="K3514" s="25"/>
      <c r="L3514" s="62"/>
      <c r="M3514" s="25"/>
      <c r="N3514" s="25"/>
      <c r="O3514" s="25">
        <f t="shared" si="0"/>
        <v>0</v>
      </c>
      <c r="P3514" s="25" t="str">
        <f t="shared" si="2"/>
        <v/>
      </c>
      <c r="Q3514" s="25"/>
      <c r="R3514" s="25"/>
      <c r="S3514" s="55"/>
      <c r="T3514" s="56"/>
      <c r="U3514" s="25"/>
      <c r="V3514" s="25"/>
      <c r="W3514" s="25"/>
      <c r="X3514" s="25"/>
      <c r="Y3514" s="25"/>
      <c r="Z3514" s="25"/>
    </row>
    <row r="3515" spans="1:26" ht="52.5" customHeight="1" x14ac:dyDescent="0.25">
      <c r="A3515" s="25"/>
      <c r="B3515" s="25"/>
      <c r="C3515" s="55"/>
      <c r="D3515" s="25"/>
      <c r="E3515" s="25"/>
      <c r="F3515" s="25"/>
      <c r="G3515" s="25"/>
      <c r="H3515" s="25"/>
      <c r="I3515" s="25"/>
      <c r="J3515" s="55"/>
      <c r="K3515" s="25"/>
      <c r="L3515" s="62"/>
      <c r="M3515" s="25"/>
      <c r="N3515" s="25"/>
      <c r="O3515" s="25">
        <f t="shared" si="0"/>
        <v>0</v>
      </c>
      <c r="P3515" s="25" t="str">
        <f t="shared" si="2"/>
        <v/>
      </c>
      <c r="Q3515" s="25"/>
      <c r="R3515" s="25"/>
      <c r="S3515" s="55"/>
      <c r="T3515" s="56"/>
      <c r="U3515" s="25"/>
      <c r="V3515" s="25"/>
      <c r="W3515" s="25"/>
      <c r="X3515" s="25"/>
      <c r="Y3515" s="25"/>
      <c r="Z3515" s="25"/>
    </row>
    <row r="3516" spans="1:26" ht="52.5" customHeight="1" x14ac:dyDescent="0.25">
      <c r="A3516" s="25"/>
      <c r="B3516" s="25"/>
      <c r="C3516" s="55"/>
      <c r="D3516" s="25"/>
      <c r="E3516" s="25"/>
      <c r="F3516" s="25"/>
      <c r="G3516" s="25"/>
      <c r="H3516" s="25"/>
      <c r="I3516" s="25"/>
      <c r="J3516" s="55"/>
      <c r="K3516" s="25"/>
      <c r="L3516" s="62"/>
      <c r="M3516" s="25"/>
      <c r="N3516" s="25"/>
      <c r="O3516" s="25">
        <f t="shared" si="0"/>
        <v>0</v>
      </c>
      <c r="P3516" s="25" t="str">
        <f t="shared" si="2"/>
        <v/>
      </c>
      <c r="Q3516" s="25"/>
      <c r="R3516" s="25"/>
      <c r="S3516" s="55"/>
      <c r="T3516" s="56"/>
      <c r="U3516" s="25"/>
      <c r="V3516" s="25"/>
      <c r="W3516" s="25"/>
      <c r="X3516" s="25"/>
      <c r="Y3516" s="25"/>
      <c r="Z3516" s="25"/>
    </row>
    <row r="3517" spans="1:26" ht="52.5" customHeight="1" x14ac:dyDescent="0.25">
      <c r="A3517" s="25"/>
      <c r="B3517" s="25"/>
      <c r="C3517" s="55"/>
      <c r="D3517" s="25"/>
      <c r="E3517" s="25"/>
      <c r="F3517" s="25"/>
      <c r="G3517" s="25"/>
      <c r="H3517" s="25"/>
      <c r="I3517" s="25"/>
      <c r="J3517" s="55"/>
      <c r="K3517" s="25"/>
      <c r="L3517" s="62"/>
      <c r="M3517" s="25"/>
      <c r="N3517" s="25"/>
      <c r="O3517" s="25">
        <f t="shared" si="0"/>
        <v>0</v>
      </c>
      <c r="P3517" s="25" t="str">
        <f t="shared" si="2"/>
        <v/>
      </c>
      <c r="Q3517" s="25"/>
      <c r="R3517" s="25"/>
      <c r="S3517" s="55"/>
      <c r="T3517" s="56"/>
      <c r="U3517" s="25"/>
      <c r="V3517" s="25"/>
      <c r="W3517" s="25"/>
      <c r="X3517" s="25"/>
      <c r="Y3517" s="25"/>
      <c r="Z3517" s="25"/>
    </row>
    <row r="3518" spans="1:26" ht="52.5" customHeight="1" x14ac:dyDescent="0.25">
      <c r="A3518" s="25"/>
      <c r="B3518" s="25"/>
      <c r="C3518" s="55"/>
      <c r="D3518" s="25"/>
      <c r="E3518" s="25"/>
      <c r="F3518" s="25"/>
      <c r="G3518" s="25"/>
      <c r="H3518" s="25"/>
      <c r="I3518" s="25"/>
      <c r="J3518" s="55"/>
      <c r="K3518" s="25"/>
      <c r="L3518" s="62"/>
      <c r="M3518" s="25"/>
      <c r="N3518" s="25"/>
      <c r="O3518" s="25">
        <f t="shared" si="0"/>
        <v>0</v>
      </c>
      <c r="P3518" s="25" t="str">
        <f t="shared" si="2"/>
        <v/>
      </c>
      <c r="Q3518" s="25"/>
      <c r="R3518" s="25"/>
      <c r="S3518" s="55"/>
      <c r="T3518" s="56"/>
      <c r="U3518" s="25"/>
      <c r="V3518" s="25"/>
      <c r="W3518" s="25"/>
      <c r="X3518" s="25"/>
      <c r="Y3518" s="25"/>
      <c r="Z3518" s="25"/>
    </row>
    <row r="3519" spans="1:26" ht="52.5" customHeight="1" x14ac:dyDescent="0.25">
      <c r="A3519" s="25"/>
      <c r="B3519" s="25"/>
      <c r="C3519" s="55"/>
      <c r="D3519" s="25"/>
      <c r="E3519" s="25"/>
      <c r="F3519" s="25"/>
      <c r="G3519" s="25"/>
      <c r="H3519" s="25"/>
      <c r="I3519" s="25"/>
      <c r="J3519" s="55"/>
      <c r="K3519" s="25"/>
      <c r="L3519" s="62"/>
      <c r="M3519" s="25"/>
      <c r="N3519" s="25"/>
      <c r="O3519" s="25">
        <f t="shared" si="0"/>
        <v>0</v>
      </c>
      <c r="P3519" s="25" t="str">
        <f t="shared" si="2"/>
        <v/>
      </c>
      <c r="Q3519" s="25"/>
      <c r="R3519" s="25"/>
      <c r="S3519" s="55"/>
      <c r="T3519" s="56"/>
      <c r="U3519" s="25"/>
      <c r="V3519" s="25"/>
      <c r="W3519" s="25"/>
      <c r="X3519" s="25"/>
      <c r="Y3519" s="25"/>
      <c r="Z3519" s="25"/>
    </row>
    <row r="3520" spans="1:26" ht="52.5" customHeight="1" x14ac:dyDescent="0.25">
      <c r="A3520" s="25"/>
      <c r="B3520" s="25"/>
      <c r="C3520" s="55"/>
      <c r="D3520" s="25"/>
      <c r="E3520" s="25"/>
      <c r="F3520" s="25"/>
      <c r="G3520" s="25"/>
      <c r="H3520" s="25"/>
      <c r="I3520" s="25"/>
      <c r="J3520" s="55"/>
      <c r="K3520" s="25"/>
      <c r="L3520" s="62"/>
      <c r="M3520" s="25"/>
      <c r="N3520" s="25"/>
      <c r="O3520" s="25">
        <f t="shared" si="0"/>
        <v>0</v>
      </c>
      <c r="P3520" s="25" t="str">
        <f t="shared" si="2"/>
        <v/>
      </c>
      <c r="Q3520" s="25"/>
      <c r="R3520" s="25"/>
      <c r="S3520" s="55"/>
      <c r="T3520" s="56"/>
      <c r="U3520" s="25"/>
      <c r="V3520" s="25"/>
      <c r="W3520" s="25"/>
      <c r="X3520" s="25"/>
      <c r="Y3520" s="25"/>
      <c r="Z3520" s="25"/>
    </row>
    <row r="3521" spans="1:26" ht="52.5" customHeight="1" x14ac:dyDescent="0.25">
      <c r="A3521" s="25"/>
      <c r="B3521" s="25"/>
      <c r="C3521" s="55"/>
      <c r="D3521" s="25"/>
      <c r="E3521" s="25"/>
      <c r="F3521" s="25"/>
      <c r="G3521" s="25"/>
      <c r="H3521" s="25"/>
      <c r="I3521" s="25"/>
      <c r="J3521" s="55"/>
      <c r="K3521" s="25"/>
      <c r="L3521" s="62"/>
      <c r="M3521" s="25"/>
      <c r="N3521" s="25"/>
      <c r="O3521" s="25">
        <f t="shared" si="0"/>
        <v>0</v>
      </c>
      <c r="P3521" s="25" t="str">
        <f t="shared" si="2"/>
        <v/>
      </c>
      <c r="Q3521" s="25"/>
      <c r="R3521" s="25"/>
      <c r="S3521" s="55"/>
      <c r="T3521" s="56"/>
      <c r="U3521" s="25"/>
      <c r="V3521" s="25"/>
      <c r="W3521" s="25"/>
      <c r="X3521" s="25"/>
      <c r="Y3521" s="25"/>
      <c r="Z3521" s="25"/>
    </row>
    <row r="3522" spans="1:26" ht="52.5" customHeight="1" x14ac:dyDescent="0.25">
      <c r="A3522" s="25"/>
      <c r="B3522" s="25"/>
      <c r="C3522" s="55"/>
      <c r="D3522" s="25"/>
      <c r="E3522" s="25"/>
      <c r="F3522" s="25"/>
      <c r="G3522" s="25"/>
      <c r="H3522" s="25"/>
      <c r="I3522" s="25"/>
      <c r="J3522" s="55"/>
      <c r="K3522" s="25"/>
      <c r="L3522" s="62"/>
      <c r="M3522" s="25"/>
      <c r="N3522" s="25"/>
      <c r="O3522" s="25">
        <f t="shared" si="0"/>
        <v>0</v>
      </c>
      <c r="P3522" s="25" t="str">
        <f t="shared" si="2"/>
        <v/>
      </c>
      <c r="Q3522" s="25"/>
      <c r="R3522" s="25"/>
      <c r="S3522" s="55"/>
      <c r="T3522" s="56"/>
      <c r="U3522" s="25"/>
      <c r="V3522" s="25"/>
      <c r="W3522" s="25"/>
      <c r="X3522" s="25"/>
      <c r="Y3522" s="25"/>
      <c r="Z3522" s="25"/>
    </row>
    <row r="3523" spans="1:26" ht="52.5" customHeight="1" x14ac:dyDescent="0.25">
      <c r="A3523" s="25"/>
      <c r="B3523" s="25"/>
      <c r="C3523" s="55"/>
      <c r="D3523" s="25"/>
      <c r="E3523" s="25"/>
      <c r="F3523" s="25"/>
      <c r="G3523" s="25"/>
      <c r="H3523" s="25"/>
      <c r="I3523" s="25"/>
      <c r="J3523" s="55"/>
      <c r="K3523" s="25"/>
      <c r="L3523" s="62"/>
      <c r="M3523" s="25"/>
      <c r="N3523" s="25"/>
      <c r="O3523" s="25">
        <f t="shared" si="0"/>
        <v>0</v>
      </c>
      <c r="P3523" s="25" t="str">
        <f t="shared" si="2"/>
        <v/>
      </c>
      <c r="Q3523" s="25"/>
      <c r="R3523" s="25"/>
      <c r="S3523" s="55"/>
      <c r="T3523" s="56"/>
      <c r="U3523" s="25"/>
      <c r="V3523" s="25"/>
      <c r="W3523" s="25"/>
      <c r="X3523" s="25"/>
      <c r="Y3523" s="25"/>
      <c r="Z3523" s="25"/>
    </row>
    <row r="3524" spans="1:26" ht="52.5" customHeight="1" x14ac:dyDescent="0.25">
      <c r="A3524" s="25"/>
      <c r="B3524" s="25"/>
      <c r="C3524" s="55"/>
      <c r="D3524" s="25"/>
      <c r="E3524" s="25"/>
      <c r="F3524" s="25"/>
      <c r="G3524" s="25"/>
      <c r="H3524" s="25"/>
      <c r="I3524" s="25"/>
      <c r="J3524" s="55"/>
      <c r="K3524" s="25"/>
      <c r="L3524" s="62"/>
      <c r="M3524" s="25"/>
      <c r="N3524" s="25"/>
      <c r="O3524" s="25">
        <f t="shared" si="0"/>
        <v>0</v>
      </c>
      <c r="P3524" s="25" t="str">
        <f t="shared" si="2"/>
        <v/>
      </c>
      <c r="Q3524" s="25"/>
      <c r="R3524" s="25"/>
      <c r="S3524" s="55"/>
      <c r="T3524" s="56"/>
      <c r="U3524" s="25"/>
      <c r="V3524" s="25"/>
      <c r="W3524" s="25"/>
      <c r="X3524" s="25"/>
      <c r="Y3524" s="25"/>
      <c r="Z3524" s="25"/>
    </row>
    <row r="3525" spans="1:26" ht="52.5" customHeight="1" x14ac:dyDescent="0.25">
      <c r="A3525" s="25"/>
      <c r="B3525" s="25"/>
      <c r="C3525" s="55"/>
      <c r="D3525" s="25"/>
      <c r="E3525" s="25"/>
      <c r="F3525" s="25"/>
      <c r="G3525" s="25"/>
      <c r="H3525" s="25"/>
      <c r="I3525" s="25"/>
      <c r="J3525" s="55"/>
      <c r="K3525" s="25"/>
      <c r="L3525" s="62"/>
      <c r="M3525" s="25"/>
      <c r="N3525" s="25"/>
      <c r="O3525" s="25">
        <f t="shared" si="0"/>
        <v>0</v>
      </c>
      <c r="P3525" s="25" t="str">
        <f t="shared" si="2"/>
        <v/>
      </c>
      <c r="Q3525" s="25"/>
      <c r="R3525" s="25"/>
      <c r="S3525" s="55"/>
      <c r="T3525" s="56"/>
      <c r="U3525" s="25"/>
      <c r="V3525" s="25"/>
      <c r="W3525" s="25"/>
      <c r="X3525" s="25"/>
      <c r="Y3525" s="25"/>
      <c r="Z3525" s="25"/>
    </row>
    <row r="3526" spans="1:26" ht="52.5" customHeight="1" x14ac:dyDescent="0.25">
      <c r="A3526" s="25"/>
      <c r="B3526" s="25"/>
      <c r="C3526" s="55"/>
      <c r="D3526" s="25"/>
      <c r="E3526" s="25"/>
      <c r="F3526" s="25"/>
      <c r="G3526" s="25"/>
      <c r="H3526" s="25"/>
      <c r="I3526" s="25"/>
      <c r="J3526" s="55"/>
      <c r="K3526" s="25"/>
      <c r="L3526" s="62"/>
      <c r="M3526" s="25"/>
      <c r="N3526" s="25"/>
      <c r="O3526" s="25">
        <f t="shared" si="0"/>
        <v>0</v>
      </c>
      <c r="P3526" s="25" t="str">
        <f t="shared" si="2"/>
        <v/>
      </c>
      <c r="Q3526" s="25"/>
      <c r="R3526" s="25"/>
      <c r="S3526" s="55"/>
      <c r="T3526" s="56"/>
      <c r="U3526" s="25"/>
      <c r="V3526" s="25"/>
      <c r="W3526" s="25"/>
      <c r="X3526" s="25"/>
      <c r="Y3526" s="25"/>
      <c r="Z3526" s="25"/>
    </row>
    <row r="3527" spans="1:26" ht="52.5" customHeight="1" x14ac:dyDescent="0.25">
      <c r="A3527" s="25"/>
      <c r="B3527" s="25"/>
      <c r="C3527" s="55"/>
      <c r="D3527" s="25"/>
      <c r="E3527" s="25"/>
      <c r="F3527" s="25"/>
      <c r="G3527" s="25"/>
      <c r="H3527" s="25"/>
      <c r="I3527" s="25"/>
      <c r="J3527" s="55"/>
      <c r="K3527" s="25"/>
      <c r="L3527" s="62"/>
      <c r="M3527" s="25"/>
      <c r="N3527" s="25"/>
      <c r="O3527" s="25">
        <f t="shared" si="0"/>
        <v>0</v>
      </c>
      <c r="P3527" s="25" t="str">
        <f t="shared" si="2"/>
        <v/>
      </c>
      <c r="Q3527" s="25"/>
      <c r="R3527" s="25"/>
      <c r="S3527" s="55"/>
      <c r="T3527" s="56"/>
      <c r="U3527" s="25"/>
      <c r="V3527" s="25"/>
      <c r="W3527" s="25"/>
      <c r="X3527" s="25"/>
      <c r="Y3527" s="25"/>
      <c r="Z3527" s="25"/>
    </row>
    <row r="3528" spans="1:26" ht="52.5" customHeight="1" x14ac:dyDescent="0.25">
      <c r="A3528" s="25"/>
      <c r="B3528" s="25"/>
      <c r="C3528" s="55"/>
      <c r="D3528" s="25"/>
      <c r="E3528" s="25"/>
      <c r="F3528" s="25"/>
      <c r="G3528" s="25"/>
      <c r="H3528" s="25"/>
      <c r="I3528" s="25"/>
      <c r="J3528" s="55"/>
      <c r="K3528" s="25"/>
      <c r="L3528" s="62"/>
      <c r="M3528" s="25"/>
      <c r="N3528" s="25"/>
      <c r="O3528" s="25">
        <f t="shared" si="0"/>
        <v>0</v>
      </c>
      <c r="P3528" s="25" t="str">
        <f t="shared" si="2"/>
        <v/>
      </c>
      <c r="Q3528" s="25"/>
      <c r="R3528" s="25"/>
      <c r="S3528" s="55"/>
      <c r="T3528" s="56"/>
      <c r="U3528" s="25"/>
      <c r="V3528" s="25"/>
      <c r="W3528" s="25"/>
      <c r="X3528" s="25"/>
      <c r="Y3528" s="25"/>
      <c r="Z3528" s="25"/>
    </row>
    <row r="3529" spans="1:26" ht="52.5" customHeight="1" x14ac:dyDescent="0.25">
      <c r="A3529" s="25"/>
      <c r="B3529" s="25"/>
      <c r="C3529" s="55"/>
      <c r="D3529" s="25"/>
      <c r="E3529" s="25"/>
      <c r="F3529" s="25"/>
      <c r="G3529" s="25"/>
      <c r="H3529" s="25"/>
      <c r="I3529" s="25"/>
      <c r="J3529" s="55"/>
      <c r="K3529" s="25"/>
      <c r="L3529" s="62"/>
      <c r="M3529" s="25"/>
      <c r="N3529" s="25"/>
      <c r="O3529" s="25">
        <f t="shared" si="0"/>
        <v>0</v>
      </c>
      <c r="P3529" s="25" t="str">
        <f t="shared" si="2"/>
        <v/>
      </c>
      <c r="Q3529" s="25"/>
      <c r="R3529" s="25"/>
      <c r="S3529" s="55"/>
      <c r="T3529" s="56"/>
      <c r="U3529" s="25"/>
      <c r="V3529" s="25"/>
      <c r="W3529" s="25"/>
      <c r="X3529" s="25"/>
      <c r="Y3529" s="25"/>
      <c r="Z3529" s="25"/>
    </row>
    <row r="3530" spans="1:26" ht="52.5" customHeight="1" x14ac:dyDescent="0.25">
      <c r="A3530" s="25"/>
      <c r="B3530" s="25"/>
      <c r="C3530" s="55"/>
      <c r="D3530" s="25"/>
      <c r="E3530" s="25"/>
      <c r="F3530" s="25"/>
      <c r="G3530" s="25"/>
      <c r="H3530" s="25"/>
      <c r="I3530" s="25"/>
      <c r="J3530" s="55"/>
      <c r="K3530" s="25"/>
      <c r="L3530" s="62"/>
      <c r="M3530" s="25"/>
      <c r="N3530" s="25"/>
      <c r="O3530" s="25">
        <f t="shared" si="0"/>
        <v>0</v>
      </c>
      <c r="P3530" s="25" t="str">
        <f t="shared" si="2"/>
        <v/>
      </c>
      <c r="Q3530" s="25"/>
      <c r="R3530" s="25"/>
      <c r="S3530" s="55"/>
      <c r="T3530" s="56"/>
      <c r="U3530" s="25"/>
      <c r="V3530" s="25"/>
      <c r="W3530" s="25"/>
      <c r="X3530" s="25"/>
      <c r="Y3530" s="25"/>
      <c r="Z3530" s="25"/>
    </row>
    <row r="3531" spans="1:26" ht="52.5" customHeight="1" x14ac:dyDescent="0.25">
      <c r="A3531" s="25"/>
      <c r="B3531" s="25"/>
      <c r="C3531" s="55"/>
      <c r="D3531" s="25"/>
      <c r="E3531" s="25"/>
      <c r="F3531" s="25"/>
      <c r="G3531" s="25"/>
      <c r="H3531" s="25"/>
      <c r="I3531" s="25"/>
      <c r="J3531" s="55"/>
      <c r="K3531" s="25"/>
      <c r="L3531" s="62"/>
      <c r="M3531" s="25"/>
      <c r="N3531" s="25"/>
      <c r="O3531" s="25">
        <f t="shared" si="0"/>
        <v>0</v>
      </c>
      <c r="P3531" s="25" t="str">
        <f t="shared" si="2"/>
        <v/>
      </c>
      <c r="Q3531" s="25"/>
      <c r="R3531" s="25"/>
      <c r="S3531" s="55"/>
      <c r="T3531" s="56"/>
      <c r="U3531" s="25"/>
      <c r="V3531" s="25"/>
      <c r="W3531" s="25"/>
      <c r="X3531" s="25"/>
      <c r="Y3531" s="25"/>
      <c r="Z3531" s="25"/>
    </row>
    <row r="3532" spans="1:26" ht="52.5" customHeight="1" x14ac:dyDescent="0.25">
      <c r="A3532" s="25"/>
      <c r="B3532" s="25"/>
      <c r="C3532" s="55"/>
      <c r="D3532" s="25"/>
      <c r="E3532" s="25"/>
      <c r="F3532" s="25"/>
      <c r="G3532" s="25"/>
      <c r="H3532" s="25"/>
      <c r="I3532" s="25"/>
      <c r="J3532" s="55"/>
      <c r="K3532" s="25"/>
      <c r="L3532" s="62"/>
      <c r="M3532" s="25"/>
      <c r="N3532" s="25"/>
      <c r="O3532" s="25">
        <f t="shared" si="0"/>
        <v>0</v>
      </c>
      <c r="P3532" s="25" t="str">
        <f t="shared" si="2"/>
        <v/>
      </c>
      <c r="Q3532" s="25"/>
      <c r="R3532" s="25"/>
      <c r="S3532" s="55"/>
      <c r="T3532" s="56"/>
      <c r="U3532" s="25"/>
      <c r="V3532" s="25"/>
      <c r="W3532" s="25"/>
      <c r="X3532" s="25"/>
      <c r="Y3532" s="25"/>
      <c r="Z3532" s="25"/>
    </row>
    <row r="3533" spans="1:26" ht="52.5" customHeight="1" x14ac:dyDescent="0.25">
      <c r="A3533" s="25"/>
      <c r="B3533" s="25"/>
      <c r="C3533" s="55"/>
      <c r="D3533" s="25"/>
      <c r="E3533" s="25"/>
      <c r="F3533" s="25"/>
      <c r="G3533" s="25"/>
      <c r="H3533" s="25"/>
      <c r="I3533" s="25"/>
      <c r="J3533" s="55"/>
      <c r="K3533" s="25"/>
      <c r="L3533" s="62"/>
      <c r="M3533" s="25"/>
      <c r="N3533" s="25"/>
      <c r="O3533" s="25">
        <f t="shared" si="0"/>
        <v>0</v>
      </c>
      <c r="P3533" s="25" t="str">
        <f t="shared" si="2"/>
        <v/>
      </c>
      <c r="Q3533" s="25"/>
      <c r="R3533" s="25"/>
      <c r="S3533" s="55"/>
      <c r="T3533" s="56"/>
      <c r="U3533" s="25"/>
      <c r="V3533" s="25"/>
      <c r="W3533" s="25"/>
      <c r="X3533" s="25"/>
      <c r="Y3533" s="25"/>
      <c r="Z3533" s="25"/>
    </row>
    <row r="3534" spans="1:26" ht="52.5" customHeight="1" x14ac:dyDescent="0.25">
      <c r="A3534" s="25"/>
      <c r="B3534" s="25"/>
      <c r="C3534" s="55"/>
      <c r="D3534" s="25"/>
      <c r="E3534" s="25"/>
      <c r="F3534" s="25"/>
      <c r="G3534" s="25"/>
      <c r="H3534" s="25"/>
      <c r="I3534" s="25"/>
      <c r="J3534" s="55"/>
      <c r="K3534" s="25"/>
      <c r="L3534" s="62"/>
      <c r="M3534" s="25"/>
      <c r="N3534" s="25"/>
      <c r="O3534" s="25">
        <f t="shared" si="0"/>
        <v>0</v>
      </c>
      <c r="P3534" s="25" t="str">
        <f t="shared" si="2"/>
        <v/>
      </c>
      <c r="Q3534" s="25"/>
      <c r="R3534" s="25"/>
      <c r="S3534" s="55"/>
      <c r="T3534" s="56"/>
      <c r="U3534" s="25"/>
      <c r="V3534" s="25"/>
      <c r="W3534" s="25"/>
      <c r="X3534" s="25"/>
      <c r="Y3534" s="25"/>
      <c r="Z3534" s="25"/>
    </row>
    <row r="3535" spans="1:26" ht="52.5" customHeight="1" x14ac:dyDescent="0.25">
      <c r="A3535" s="25"/>
      <c r="B3535" s="25"/>
      <c r="C3535" s="55"/>
      <c r="D3535" s="25"/>
      <c r="E3535" s="25"/>
      <c r="F3535" s="25"/>
      <c r="G3535" s="25"/>
      <c r="H3535" s="25"/>
      <c r="I3535" s="25"/>
      <c r="J3535" s="55"/>
      <c r="K3535" s="25"/>
      <c r="L3535" s="62"/>
      <c r="M3535" s="25"/>
      <c r="N3535" s="25"/>
      <c r="O3535" s="25">
        <f t="shared" si="0"/>
        <v>0</v>
      </c>
      <c r="P3535" s="25" t="str">
        <f t="shared" si="2"/>
        <v/>
      </c>
      <c r="Q3535" s="25"/>
      <c r="R3535" s="25"/>
      <c r="S3535" s="55"/>
      <c r="T3535" s="56"/>
      <c r="U3535" s="25"/>
      <c r="V3535" s="25"/>
      <c r="W3535" s="25"/>
      <c r="X3535" s="25"/>
      <c r="Y3535" s="25"/>
      <c r="Z3535" s="25"/>
    </row>
    <row r="3536" spans="1:26" ht="52.5" customHeight="1" x14ac:dyDescent="0.25">
      <c r="A3536" s="25"/>
      <c r="B3536" s="25"/>
      <c r="C3536" s="55"/>
      <c r="D3536" s="25"/>
      <c r="E3536" s="25"/>
      <c r="F3536" s="25"/>
      <c r="G3536" s="25"/>
      <c r="H3536" s="25"/>
      <c r="I3536" s="25"/>
      <c r="J3536" s="55"/>
      <c r="K3536" s="25"/>
      <c r="L3536" s="62"/>
      <c r="M3536" s="25"/>
      <c r="N3536" s="25"/>
      <c r="O3536" s="25">
        <f t="shared" si="0"/>
        <v>0</v>
      </c>
      <c r="P3536" s="25" t="str">
        <f t="shared" si="2"/>
        <v/>
      </c>
      <c r="Q3536" s="25"/>
      <c r="R3536" s="25"/>
      <c r="S3536" s="55"/>
      <c r="T3536" s="56"/>
      <c r="U3536" s="25"/>
      <c r="V3536" s="25"/>
      <c r="W3536" s="25"/>
      <c r="X3536" s="25"/>
      <c r="Y3536" s="25"/>
      <c r="Z3536" s="25"/>
    </row>
    <row r="3537" spans="1:26" ht="52.5" customHeight="1" x14ac:dyDescent="0.25">
      <c r="A3537" s="25"/>
      <c r="B3537" s="25"/>
      <c r="C3537" s="55"/>
      <c r="D3537" s="25"/>
      <c r="E3537" s="25"/>
      <c r="F3537" s="25"/>
      <c r="G3537" s="25"/>
      <c r="H3537" s="25"/>
      <c r="I3537" s="25"/>
      <c r="J3537" s="55"/>
      <c r="K3537" s="25"/>
      <c r="L3537" s="62"/>
      <c r="M3537" s="25"/>
      <c r="N3537" s="25"/>
      <c r="O3537" s="25">
        <f t="shared" si="0"/>
        <v>0</v>
      </c>
      <c r="P3537" s="25" t="str">
        <f t="shared" si="2"/>
        <v/>
      </c>
      <c r="Q3537" s="25"/>
      <c r="R3537" s="25"/>
      <c r="S3537" s="55"/>
      <c r="T3537" s="56"/>
      <c r="U3537" s="25"/>
      <c r="V3537" s="25"/>
      <c r="W3537" s="25"/>
      <c r="X3537" s="25"/>
      <c r="Y3537" s="25"/>
      <c r="Z3537" s="25"/>
    </row>
    <row r="3538" spans="1:26" ht="52.5" customHeight="1" x14ac:dyDescent="0.25">
      <c r="A3538" s="25"/>
      <c r="B3538" s="25"/>
      <c r="C3538" s="55"/>
      <c r="D3538" s="25"/>
      <c r="E3538" s="25"/>
      <c r="F3538" s="25"/>
      <c r="G3538" s="25"/>
      <c r="H3538" s="25"/>
      <c r="I3538" s="25"/>
      <c r="J3538" s="55"/>
      <c r="K3538" s="25"/>
      <c r="L3538" s="62"/>
      <c r="M3538" s="25"/>
      <c r="N3538" s="25"/>
      <c r="O3538" s="25">
        <f t="shared" si="0"/>
        <v>0</v>
      </c>
      <c r="P3538" s="25" t="str">
        <f t="shared" si="2"/>
        <v/>
      </c>
      <c r="Q3538" s="25"/>
      <c r="R3538" s="25"/>
      <c r="S3538" s="55"/>
      <c r="T3538" s="56"/>
      <c r="U3538" s="25"/>
      <c r="V3538" s="25"/>
      <c r="W3538" s="25"/>
      <c r="X3538" s="25"/>
      <c r="Y3538" s="25"/>
      <c r="Z3538" s="25"/>
    </row>
    <row r="3539" spans="1:26" ht="52.5" customHeight="1" x14ac:dyDescent="0.25">
      <c r="A3539" s="25"/>
      <c r="B3539" s="25"/>
      <c r="C3539" s="55"/>
      <c r="D3539" s="25"/>
      <c r="E3539" s="25"/>
      <c r="F3539" s="25"/>
      <c r="G3539" s="25"/>
      <c r="H3539" s="25"/>
      <c r="I3539" s="25"/>
      <c r="J3539" s="55"/>
      <c r="K3539" s="25"/>
      <c r="L3539" s="62"/>
      <c r="M3539" s="25"/>
      <c r="N3539" s="25"/>
      <c r="O3539" s="25">
        <f t="shared" si="0"/>
        <v>0</v>
      </c>
      <c r="P3539" s="25" t="str">
        <f t="shared" si="2"/>
        <v/>
      </c>
      <c r="Q3539" s="25"/>
      <c r="R3539" s="25"/>
      <c r="S3539" s="55"/>
      <c r="T3539" s="56"/>
      <c r="U3539" s="25"/>
      <c r="V3539" s="25"/>
      <c r="W3539" s="25"/>
      <c r="X3539" s="25"/>
      <c r="Y3539" s="25"/>
      <c r="Z3539" s="25"/>
    </row>
    <row r="3540" spans="1:26" ht="52.5" customHeight="1" x14ac:dyDescent="0.25">
      <c r="A3540" s="25"/>
      <c r="B3540" s="25"/>
      <c r="C3540" s="55"/>
      <c r="D3540" s="25"/>
      <c r="E3540" s="25"/>
      <c r="F3540" s="25"/>
      <c r="G3540" s="25"/>
      <c r="H3540" s="25"/>
      <c r="I3540" s="25"/>
      <c r="J3540" s="55"/>
      <c r="K3540" s="25"/>
      <c r="L3540" s="62"/>
      <c r="M3540" s="25"/>
      <c r="N3540" s="25"/>
      <c r="O3540" s="25">
        <f t="shared" si="0"/>
        <v>0</v>
      </c>
      <c r="P3540" s="25" t="str">
        <f t="shared" si="2"/>
        <v/>
      </c>
      <c r="Q3540" s="25"/>
      <c r="R3540" s="25"/>
      <c r="S3540" s="55"/>
      <c r="T3540" s="56"/>
      <c r="U3540" s="25"/>
      <c r="V3540" s="25"/>
      <c r="W3540" s="25"/>
      <c r="X3540" s="25"/>
      <c r="Y3540" s="25"/>
      <c r="Z3540" s="25"/>
    </row>
    <row r="3541" spans="1:26" ht="52.5" customHeight="1" x14ac:dyDescent="0.25">
      <c r="A3541" s="25"/>
      <c r="B3541" s="25"/>
      <c r="C3541" s="55"/>
      <c r="D3541" s="25"/>
      <c r="E3541" s="25"/>
      <c r="F3541" s="25"/>
      <c r="G3541" s="25"/>
      <c r="H3541" s="25"/>
      <c r="I3541" s="25"/>
      <c r="J3541" s="55"/>
      <c r="K3541" s="25"/>
      <c r="L3541" s="62"/>
      <c r="M3541" s="25"/>
      <c r="N3541" s="25"/>
      <c r="O3541" s="25">
        <f t="shared" si="0"/>
        <v>0</v>
      </c>
      <c r="P3541" s="25" t="str">
        <f t="shared" si="2"/>
        <v/>
      </c>
      <c r="Q3541" s="25"/>
      <c r="R3541" s="25"/>
      <c r="S3541" s="55"/>
      <c r="T3541" s="56"/>
      <c r="U3541" s="25"/>
      <c r="V3541" s="25"/>
      <c r="W3541" s="25"/>
      <c r="X3541" s="25"/>
      <c r="Y3541" s="25"/>
      <c r="Z3541" s="25"/>
    </row>
    <row r="3542" spans="1:26" ht="52.5" customHeight="1" x14ac:dyDescent="0.25">
      <c r="A3542" s="25"/>
      <c r="B3542" s="25"/>
      <c r="C3542" s="55"/>
      <c r="D3542" s="25"/>
      <c r="E3542" s="25"/>
      <c r="F3542" s="25"/>
      <c r="G3542" s="25"/>
      <c r="H3542" s="25"/>
      <c r="I3542" s="25"/>
      <c r="J3542" s="55"/>
      <c r="K3542" s="25"/>
      <c r="L3542" s="62"/>
      <c r="M3542" s="25"/>
      <c r="N3542" s="25"/>
      <c r="O3542" s="25">
        <f t="shared" si="0"/>
        <v>0</v>
      </c>
      <c r="P3542" s="25" t="str">
        <f t="shared" si="2"/>
        <v/>
      </c>
      <c r="Q3542" s="25"/>
      <c r="R3542" s="25"/>
      <c r="S3542" s="55"/>
      <c r="T3542" s="56"/>
      <c r="U3542" s="25"/>
      <c r="V3542" s="25"/>
      <c r="W3542" s="25"/>
      <c r="X3542" s="25"/>
      <c r="Y3542" s="25"/>
      <c r="Z3542" s="25"/>
    </row>
    <row r="3543" spans="1:26" ht="52.5" customHeight="1" x14ac:dyDescent="0.25">
      <c r="A3543" s="25"/>
      <c r="B3543" s="25"/>
      <c r="C3543" s="55"/>
      <c r="D3543" s="25"/>
      <c r="E3543" s="25"/>
      <c r="F3543" s="25"/>
      <c r="G3543" s="25"/>
      <c r="H3543" s="25"/>
      <c r="I3543" s="25"/>
      <c r="J3543" s="55"/>
      <c r="K3543" s="25"/>
      <c r="L3543" s="62"/>
      <c r="M3543" s="25"/>
      <c r="N3543" s="25"/>
      <c r="O3543" s="25">
        <f t="shared" si="0"/>
        <v>0</v>
      </c>
      <c r="P3543" s="25" t="str">
        <f t="shared" si="2"/>
        <v/>
      </c>
      <c r="Q3543" s="25"/>
      <c r="R3543" s="25"/>
      <c r="S3543" s="55"/>
      <c r="T3543" s="56"/>
      <c r="U3543" s="25"/>
      <c r="V3543" s="25"/>
      <c r="W3543" s="25"/>
      <c r="X3543" s="25"/>
      <c r="Y3543" s="25"/>
      <c r="Z3543" s="25"/>
    </row>
    <row r="3544" spans="1:26" ht="52.5" customHeight="1" x14ac:dyDescent="0.25">
      <c r="A3544" s="25"/>
      <c r="B3544" s="25"/>
      <c r="C3544" s="55"/>
      <c r="D3544" s="25"/>
      <c r="E3544" s="25"/>
      <c r="F3544" s="25"/>
      <c r="G3544" s="25"/>
      <c r="H3544" s="25"/>
      <c r="I3544" s="25"/>
      <c r="J3544" s="55"/>
      <c r="K3544" s="25"/>
      <c r="L3544" s="62"/>
      <c r="M3544" s="25"/>
      <c r="N3544" s="25"/>
      <c r="O3544" s="25">
        <f t="shared" si="0"/>
        <v>0</v>
      </c>
      <c r="P3544" s="25" t="str">
        <f t="shared" si="2"/>
        <v/>
      </c>
      <c r="Q3544" s="25"/>
      <c r="R3544" s="25"/>
      <c r="S3544" s="55"/>
      <c r="T3544" s="56"/>
      <c r="U3544" s="25"/>
      <c r="V3544" s="25"/>
      <c r="W3544" s="25"/>
      <c r="X3544" s="25"/>
      <c r="Y3544" s="25"/>
      <c r="Z3544" s="25"/>
    </row>
    <row r="3545" spans="1:26" ht="52.5" customHeight="1" x14ac:dyDescent="0.25">
      <c r="A3545" s="25"/>
      <c r="B3545" s="25"/>
      <c r="C3545" s="55"/>
      <c r="D3545" s="25"/>
      <c r="E3545" s="25"/>
      <c r="F3545" s="25"/>
      <c r="G3545" s="25"/>
      <c r="H3545" s="25"/>
      <c r="I3545" s="25"/>
      <c r="J3545" s="55"/>
      <c r="K3545" s="25"/>
      <c r="L3545" s="62"/>
      <c r="M3545" s="25"/>
      <c r="N3545" s="25"/>
      <c r="O3545" s="25">
        <f t="shared" si="0"/>
        <v>0</v>
      </c>
      <c r="P3545" s="25" t="str">
        <f t="shared" si="2"/>
        <v/>
      </c>
      <c r="Q3545" s="25"/>
      <c r="R3545" s="25"/>
      <c r="S3545" s="55"/>
      <c r="T3545" s="56"/>
      <c r="U3545" s="25"/>
      <c r="V3545" s="25"/>
      <c r="W3545" s="25"/>
      <c r="X3545" s="25"/>
      <c r="Y3545" s="25"/>
      <c r="Z3545" s="25"/>
    </row>
    <row r="3546" spans="1:26" ht="52.5" customHeight="1" x14ac:dyDescent="0.25">
      <c r="A3546" s="25"/>
      <c r="B3546" s="25"/>
      <c r="C3546" s="55"/>
      <c r="D3546" s="25"/>
      <c r="E3546" s="25"/>
      <c r="F3546" s="25"/>
      <c r="G3546" s="25"/>
      <c r="H3546" s="25"/>
      <c r="I3546" s="25"/>
      <c r="J3546" s="55"/>
      <c r="K3546" s="25"/>
      <c r="L3546" s="62"/>
      <c r="M3546" s="25"/>
      <c r="N3546" s="25"/>
      <c r="O3546" s="25">
        <f t="shared" si="0"/>
        <v>0</v>
      </c>
      <c r="P3546" s="25" t="str">
        <f t="shared" si="2"/>
        <v/>
      </c>
      <c r="Q3546" s="25"/>
      <c r="R3546" s="25"/>
      <c r="S3546" s="55"/>
      <c r="T3546" s="56"/>
      <c r="U3546" s="25"/>
      <c r="V3546" s="25"/>
      <c r="W3546" s="25"/>
      <c r="X3546" s="25"/>
      <c r="Y3546" s="25"/>
      <c r="Z3546" s="25"/>
    </row>
    <row r="3547" spans="1:26" ht="52.5" customHeight="1" x14ac:dyDescent="0.25">
      <c r="A3547" s="25"/>
      <c r="B3547" s="25"/>
      <c r="C3547" s="55"/>
      <c r="D3547" s="25"/>
      <c r="E3547" s="25"/>
      <c r="F3547" s="25"/>
      <c r="G3547" s="25"/>
      <c r="H3547" s="25"/>
      <c r="I3547" s="25"/>
      <c r="J3547" s="55"/>
      <c r="K3547" s="25"/>
      <c r="L3547" s="62"/>
      <c r="M3547" s="25"/>
      <c r="N3547" s="25"/>
      <c r="O3547" s="25">
        <f t="shared" si="0"/>
        <v>0</v>
      </c>
      <c r="P3547" s="25" t="str">
        <f t="shared" si="2"/>
        <v/>
      </c>
      <c r="Q3547" s="25"/>
      <c r="R3547" s="25"/>
      <c r="S3547" s="55"/>
      <c r="T3547" s="56"/>
      <c r="U3547" s="25"/>
      <c r="V3547" s="25"/>
      <c r="W3547" s="25"/>
      <c r="X3547" s="25"/>
      <c r="Y3547" s="25"/>
      <c r="Z3547" s="25"/>
    </row>
    <row r="3548" spans="1:26" ht="52.5" customHeight="1" x14ac:dyDescent="0.25">
      <c r="A3548" s="25"/>
      <c r="B3548" s="25"/>
      <c r="C3548" s="55"/>
      <c r="D3548" s="25"/>
      <c r="E3548" s="25"/>
      <c r="F3548" s="25"/>
      <c r="G3548" s="25"/>
      <c r="H3548" s="25"/>
      <c r="I3548" s="25"/>
      <c r="J3548" s="55"/>
      <c r="K3548" s="25"/>
      <c r="L3548" s="62"/>
      <c r="M3548" s="25"/>
      <c r="N3548" s="25"/>
      <c r="O3548" s="25">
        <f t="shared" si="0"/>
        <v>0</v>
      </c>
      <c r="P3548" s="25" t="str">
        <f t="shared" si="2"/>
        <v/>
      </c>
      <c r="Q3548" s="25"/>
      <c r="R3548" s="25"/>
      <c r="S3548" s="55"/>
      <c r="T3548" s="56"/>
      <c r="U3548" s="25"/>
      <c r="V3548" s="25"/>
      <c r="W3548" s="25"/>
      <c r="X3548" s="25"/>
      <c r="Y3548" s="25"/>
      <c r="Z3548" s="25"/>
    </row>
    <row r="3549" spans="1:26" ht="52.5" customHeight="1" x14ac:dyDescent="0.25">
      <c r="A3549" s="25"/>
      <c r="B3549" s="25"/>
      <c r="C3549" s="55"/>
      <c r="D3549" s="25"/>
      <c r="E3549" s="25"/>
      <c r="F3549" s="25"/>
      <c r="G3549" s="25"/>
      <c r="H3549" s="25"/>
      <c r="I3549" s="25"/>
      <c r="J3549" s="55"/>
      <c r="K3549" s="25"/>
      <c r="L3549" s="62"/>
      <c r="M3549" s="25"/>
      <c r="N3549" s="25"/>
      <c r="O3549" s="25">
        <f t="shared" si="0"/>
        <v>0</v>
      </c>
      <c r="P3549" s="25" t="str">
        <f t="shared" si="2"/>
        <v/>
      </c>
      <c r="Q3549" s="25"/>
      <c r="R3549" s="25"/>
      <c r="S3549" s="55"/>
      <c r="T3549" s="56"/>
      <c r="U3549" s="25"/>
      <c r="V3549" s="25"/>
      <c r="W3549" s="25"/>
      <c r="X3549" s="25"/>
      <c r="Y3549" s="25"/>
      <c r="Z3549" s="25"/>
    </row>
    <row r="3550" spans="1:26" ht="52.5" customHeight="1" x14ac:dyDescent="0.25">
      <c r="A3550" s="25"/>
      <c r="B3550" s="25"/>
      <c r="C3550" s="55"/>
      <c r="D3550" s="25"/>
      <c r="E3550" s="25"/>
      <c r="F3550" s="25"/>
      <c r="G3550" s="25"/>
      <c r="H3550" s="25"/>
      <c r="I3550" s="25"/>
      <c r="J3550" s="55"/>
      <c r="K3550" s="25"/>
      <c r="L3550" s="62"/>
      <c r="M3550" s="25"/>
      <c r="N3550" s="25"/>
      <c r="O3550" s="25">
        <f t="shared" si="0"/>
        <v>0</v>
      </c>
      <c r="P3550" s="25" t="str">
        <f t="shared" si="2"/>
        <v/>
      </c>
      <c r="Q3550" s="25"/>
      <c r="R3550" s="25"/>
      <c r="S3550" s="55"/>
      <c r="T3550" s="56"/>
      <c r="U3550" s="25"/>
      <c r="V3550" s="25"/>
      <c r="W3550" s="25"/>
      <c r="X3550" s="25"/>
      <c r="Y3550" s="25"/>
      <c r="Z3550" s="25"/>
    </row>
    <row r="3551" spans="1:26" ht="52.5" customHeight="1" x14ac:dyDescent="0.25">
      <c r="A3551" s="25"/>
      <c r="B3551" s="25"/>
      <c r="C3551" s="55"/>
      <c r="D3551" s="25"/>
      <c r="E3551" s="25"/>
      <c r="F3551" s="25"/>
      <c r="G3551" s="25"/>
      <c r="H3551" s="25"/>
      <c r="I3551" s="25"/>
      <c r="J3551" s="55"/>
      <c r="K3551" s="25"/>
      <c r="L3551" s="62"/>
      <c r="M3551" s="25"/>
      <c r="N3551" s="25"/>
      <c r="O3551" s="25">
        <f t="shared" si="0"/>
        <v>0</v>
      </c>
      <c r="P3551" s="25" t="str">
        <f t="shared" si="2"/>
        <v/>
      </c>
      <c r="Q3551" s="25"/>
      <c r="R3551" s="25"/>
      <c r="S3551" s="55"/>
      <c r="T3551" s="56"/>
      <c r="U3551" s="25"/>
      <c r="V3551" s="25"/>
      <c r="W3551" s="25"/>
      <c r="X3551" s="25"/>
      <c r="Y3551" s="25"/>
      <c r="Z3551" s="25"/>
    </row>
    <row r="3552" spans="1:26" ht="52.5" customHeight="1" x14ac:dyDescent="0.25">
      <c r="A3552" s="25"/>
      <c r="B3552" s="25"/>
      <c r="C3552" s="55"/>
      <c r="D3552" s="25"/>
      <c r="E3552" s="25"/>
      <c r="F3552" s="25"/>
      <c r="G3552" s="25"/>
      <c r="H3552" s="25"/>
      <c r="I3552" s="25"/>
      <c r="J3552" s="55"/>
      <c r="K3552" s="25"/>
      <c r="L3552" s="62"/>
      <c r="M3552" s="25"/>
      <c r="N3552" s="25"/>
      <c r="O3552" s="25">
        <f t="shared" si="0"/>
        <v>0</v>
      </c>
      <c r="P3552" s="25" t="str">
        <f t="shared" si="2"/>
        <v/>
      </c>
      <c r="Q3552" s="25"/>
      <c r="R3552" s="25"/>
      <c r="S3552" s="55"/>
      <c r="T3552" s="56"/>
      <c r="U3552" s="25"/>
      <c r="V3552" s="25"/>
      <c r="W3552" s="25"/>
      <c r="X3552" s="25"/>
      <c r="Y3552" s="25"/>
      <c r="Z3552" s="25"/>
    </row>
    <row r="3553" spans="1:26" ht="52.5" customHeight="1" x14ac:dyDescent="0.25">
      <c r="A3553" s="25"/>
      <c r="B3553" s="25"/>
      <c r="C3553" s="55"/>
      <c r="D3553" s="25"/>
      <c r="E3553" s="25"/>
      <c r="F3553" s="25"/>
      <c r="G3553" s="25"/>
      <c r="H3553" s="25"/>
      <c r="I3553" s="25"/>
      <c r="J3553" s="55"/>
      <c r="K3553" s="25"/>
      <c r="L3553" s="62"/>
      <c r="M3553" s="25"/>
      <c r="N3553" s="25"/>
      <c r="O3553" s="25">
        <f t="shared" si="0"/>
        <v>0</v>
      </c>
      <c r="P3553" s="25" t="str">
        <f t="shared" si="2"/>
        <v/>
      </c>
      <c r="Q3553" s="25"/>
      <c r="R3553" s="25"/>
      <c r="S3553" s="55"/>
      <c r="T3553" s="56"/>
      <c r="U3553" s="25"/>
      <c r="V3553" s="25"/>
      <c r="W3553" s="25"/>
      <c r="X3553" s="25"/>
      <c r="Y3553" s="25"/>
      <c r="Z3553" s="25"/>
    </row>
    <row r="3554" spans="1:26" ht="52.5" customHeight="1" x14ac:dyDescent="0.25">
      <c r="A3554" s="25"/>
      <c r="B3554" s="25"/>
      <c r="C3554" s="55"/>
      <c r="D3554" s="25"/>
      <c r="E3554" s="25"/>
      <c r="F3554" s="25"/>
      <c r="G3554" s="25"/>
      <c r="H3554" s="25"/>
      <c r="I3554" s="25"/>
      <c r="J3554" s="55"/>
      <c r="K3554" s="25"/>
      <c r="L3554" s="62"/>
      <c r="M3554" s="25"/>
      <c r="N3554" s="25"/>
      <c r="O3554" s="25">
        <f t="shared" si="0"/>
        <v>0</v>
      </c>
      <c r="P3554" s="25" t="str">
        <f t="shared" si="2"/>
        <v/>
      </c>
      <c r="Q3554" s="25"/>
      <c r="R3554" s="25"/>
      <c r="S3554" s="55"/>
      <c r="T3554" s="56"/>
      <c r="U3554" s="25"/>
      <c r="V3554" s="25"/>
      <c r="W3554" s="25"/>
      <c r="X3554" s="25"/>
      <c r="Y3554" s="25"/>
      <c r="Z3554" s="25"/>
    </row>
    <row r="3555" spans="1:26" ht="52.5" customHeight="1" x14ac:dyDescent="0.25">
      <c r="A3555" s="25"/>
      <c r="B3555" s="25"/>
      <c r="C3555" s="55"/>
      <c r="D3555" s="25"/>
      <c r="E3555" s="25"/>
      <c r="F3555" s="25"/>
      <c r="G3555" s="25"/>
      <c r="H3555" s="25"/>
      <c r="I3555" s="25"/>
      <c r="J3555" s="55"/>
      <c r="K3555" s="25"/>
      <c r="L3555" s="62"/>
      <c r="M3555" s="25"/>
      <c r="N3555" s="25"/>
      <c r="O3555" s="25">
        <f t="shared" si="0"/>
        <v>0</v>
      </c>
      <c r="P3555" s="25" t="str">
        <f t="shared" si="2"/>
        <v/>
      </c>
      <c r="Q3555" s="25"/>
      <c r="R3555" s="25"/>
      <c r="S3555" s="55"/>
      <c r="T3555" s="56"/>
      <c r="U3555" s="25"/>
      <c r="V3555" s="25"/>
      <c r="W3555" s="25"/>
      <c r="X3555" s="25"/>
      <c r="Y3555" s="25"/>
      <c r="Z3555" s="25"/>
    </row>
    <row r="3556" spans="1:26" ht="52.5" customHeight="1" x14ac:dyDescent="0.25">
      <c r="A3556" s="25"/>
      <c r="B3556" s="25"/>
      <c r="C3556" s="55"/>
      <c r="D3556" s="25"/>
      <c r="E3556" s="25"/>
      <c r="F3556" s="25"/>
      <c r="G3556" s="25"/>
      <c r="H3556" s="25"/>
      <c r="I3556" s="25"/>
      <c r="J3556" s="55"/>
      <c r="K3556" s="25"/>
      <c r="L3556" s="62"/>
      <c r="M3556" s="25"/>
      <c r="N3556" s="25"/>
      <c r="O3556" s="25">
        <f t="shared" si="0"/>
        <v>0</v>
      </c>
      <c r="P3556" s="25" t="str">
        <f t="shared" si="2"/>
        <v/>
      </c>
      <c r="Q3556" s="25"/>
      <c r="R3556" s="25"/>
      <c r="S3556" s="55"/>
      <c r="T3556" s="56"/>
      <c r="U3556" s="25"/>
      <c r="V3556" s="25"/>
      <c r="W3556" s="25"/>
      <c r="X3556" s="25"/>
      <c r="Y3556" s="25"/>
      <c r="Z3556" s="25"/>
    </row>
    <row r="3557" spans="1:26" ht="52.5" customHeight="1" x14ac:dyDescent="0.25">
      <c r="A3557" s="25"/>
      <c r="B3557" s="25"/>
      <c r="C3557" s="55"/>
      <c r="D3557" s="25"/>
      <c r="E3557" s="25"/>
      <c r="F3557" s="25"/>
      <c r="G3557" s="25"/>
      <c r="H3557" s="25"/>
      <c r="I3557" s="25"/>
      <c r="J3557" s="55"/>
      <c r="K3557" s="25"/>
      <c r="L3557" s="62"/>
      <c r="M3557" s="25"/>
      <c r="N3557" s="25"/>
      <c r="O3557" s="25">
        <f t="shared" si="0"/>
        <v>0</v>
      </c>
      <c r="P3557" s="25" t="str">
        <f t="shared" si="2"/>
        <v/>
      </c>
      <c r="Q3557" s="25"/>
      <c r="R3557" s="25"/>
      <c r="S3557" s="55"/>
      <c r="T3557" s="56"/>
      <c r="U3557" s="25"/>
      <c r="V3557" s="25"/>
      <c r="W3557" s="25"/>
      <c r="X3557" s="25"/>
      <c r="Y3557" s="25"/>
      <c r="Z3557" s="25"/>
    </row>
    <row r="3558" spans="1:26" ht="52.5" customHeight="1" x14ac:dyDescent="0.25">
      <c r="A3558" s="25"/>
      <c r="B3558" s="25"/>
      <c r="C3558" s="55"/>
      <c r="D3558" s="25"/>
      <c r="E3558" s="25"/>
      <c r="F3558" s="25"/>
      <c r="G3558" s="25"/>
      <c r="H3558" s="25"/>
      <c r="I3558" s="25"/>
      <c r="J3558" s="55"/>
      <c r="K3558" s="25"/>
      <c r="L3558" s="62"/>
      <c r="M3558" s="25"/>
      <c r="N3558" s="25"/>
      <c r="O3558" s="25">
        <f t="shared" si="0"/>
        <v>0</v>
      </c>
      <c r="P3558" s="25" t="str">
        <f t="shared" si="2"/>
        <v/>
      </c>
      <c r="Q3558" s="25"/>
      <c r="R3558" s="25"/>
      <c r="S3558" s="55"/>
      <c r="T3558" s="56"/>
      <c r="U3558" s="25"/>
      <c r="V3558" s="25"/>
      <c r="W3558" s="25"/>
      <c r="X3558" s="25"/>
      <c r="Y3558" s="25"/>
      <c r="Z3558" s="25"/>
    </row>
    <row r="3559" spans="1:26" ht="52.5" customHeight="1" x14ac:dyDescent="0.25">
      <c r="A3559" s="25"/>
      <c r="B3559" s="25"/>
      <c r="C3559" s="55"/>
      <c r="D3559" s="25"/>
      <c r="E3559" s="25"/>
      <c r="F3559" s="25"/>
      <c r="G3559" s="25"/>
      <c r="H3559" s="25"/>
      <c r="I3559" s="25"/>
      <c r="J3559" s="55"/>
      <c r="K3559" s="25"/>
      <c r="L3559" s="62"/>
      <c r="M3559" s="25"/>
      <c r="N3559" s="25"/>
      <c r="O3559" s="25">
        <f t="shared" si="0"/>
        <v>0</v>
      </c>
      <c r="P3559" s="25" t="str">
        <f t="shared" si="2"/>
        <v/>
      </c>
      <c r="Q3559" s="25"/>
      <c r="R3559" s="25"/>
      <c r="S3559" s="55"/>
      <c r="T3559" s="56"/>
      <c r="U3559" s="25"/>
      <c r="V3559" s="25"/>
      <c r="W3559" s="25"/>
      <c r="X3559" s="25"/>
      <c r="Y3559" s="25"/>
      <c r="Z3559" s="25"/>
    </row>
    <row r="3560" spans="1:26" ht="52.5" customHeight="1" x14ac:dyDescent="0.25">
      <c r="A3560" s="25"/>
      <c r="B3560" s="25"/>
      <c r="C3560" s="55"/>
      <c r="D3560" s="25"/>
      <c r="E3560" s="25"/>
      <c r="F3560" s="25"/>
      <c r="G3560" s="25"/>
      <c r="H3560" s="25"/>
      <c r="I3560" s="25"/>
      <c r="J3560" s="55"/>
      <c r="K3560" s="25"/>
      <c r="L3560" s="62"/>
      <c r="M3560" s="25"/>
      <c r="N3560" s="25"/>
      <c r="O3560" s="25">
        <f t="shared" si="0"/>
        <v>0</v>
      </c>
      <c r="P3560" s="25" t="str">
        <f t="shared" si="2"/>
        <v/>
      </c>
      <c r="Q3560" s="25"/>
      <c r="R3560" s="25"/>
      <c r="S3560" s="55"/>
      <c r="T3560" s="56"/>
      <c r="U3560" s="25"/>
      <c r="V3560" s="25"/>
      <c r="W3560" s="25"/>
      <c r="X3560" s="25"/>
      <c r="Y3560" s="25"/>
      <c r="Z3560" s="25"/>
    </row>
    <row r="3561" spans="1:26" ht="52.5" customHeight="1" x14ac:dyDescent="0.25">
      <c r="A3561" s="25"/>
      <c r="B3561" s="25"/>
      <c r="C3561" s="55"/>
      <c r="D3561" s="25"/>
      <c r="E3561" s="25"/>
      <c r="F3561" s="25"/>
      <c r="G3561" s="25"/>
      <c r="H3561" s="25"/>
      <c r="I3561" s="25"/>
      <c r="J3561" s="55"/>
      <c r="K3561" s="25"/>
      <c r="L3561" s="62"/>
      <c r="M3561" s="25"/>
      <c r="N3561" s="25"/>
      <c r="O3561" s="25">
        <f t="shared" si="0"/>
        <v>0</v>
      </c>
      <c r="P3561" s="25" t="str">
        <f t="shared" si="2"/>
        <v/>
      </c>
      <c r="Q3561" s="25"/>
      <c r="R3561" s="25"/>
      <c r="S3561" s="55"/>
      <c r="T3561" s="56"/>
      <c r="U3561" s="25"/>
      <c r="V3561" s="25"/>
      <c r="W3561" s="25"/>
      <c r="X3561" s="25"/>
      <c r="Y3561" s="25"/>
      <c r="Z3561" s="25"/>
    </row>
    <row r="3562" spans="1:26" ht="52.5" customHeight="1" x14ac:dyDescent="0.25">
      <c r="A3562" s="25"/>
      <c r="B3562" s="25"/>
      <c r="C3562" s="55"/>
      <c r="D3562" s="25"/>
      <c r="E3562" s="25"/>
      <c r="F3562" s="25"/>
      <c r="G3562" s="25"/>
      <c r="H3562" s="25"/>
      <c r="I3562" s="25"/>
      <c r="J3562" s="55"/>
      <c r="K3562" s="25"/>
      <c r="L3562" s="62"/>
      <c r="M3562" s="25"/>
      <c r="N3562" s="25"/>
      <c r="O3562" s="25">
        <f t="shared" si="0"/>
        <v>0</v>
      </c>
      <c r="P3562" s="25" t="str">
        <f t="shared" si="2"/>
        <v/>
      </c>
      <c r="Q3562" s="25"/>
      <c r="R3562" s="25"/>
      <c r="S3562" s="55"/>
      <c r="T3562" s="56"/>
      <c r="U3562" s="25"/>
      <c r="V3562" s="25"/>
      <c r="W3562" s="25"/>
      <c r="X3562" s="25"/>
      <c r="Y3562" s="25"/>
      <c r="Z3562" s="25"/>
    </row>
    <row r="3563" spans="1:26" ht="52.5" customHeight="1" x14ac:dyDescent="0.25">
      <c r="A3563" s="25"/>
      <c r="B3563" s="25"/>
      <c r="C3563" s="55"/>
      <c r="D3563" s="25"/>
      <c r="E3563" s="25"/>
      <c r="F3563" s="25"/>
      <c r="G3563" s="25"/>
      <c r="H3563" s="25"/>
      <c r="I3563" s="25"/>
      <c r="J3563" s="55"/>
      <c r="K3563" s="25"/>
      <c r="L3563" s="62"/>
      <c r="M3563" s="25"/>
      <c r="N3563" s="25"/>
      <c r="O3563" s="25">
        <f t="shared" si="0"/>
        <v>0</v>
      </c>
      <c r="P3563" s="25" t="str">
        <f t="shared" si="2"/>
        <v/>
      </c>
      <c r="Q3563" s="25"/>
      <c r="R3563" s="25"/>
      <c r="S3563" s="55"/>
      <c r="T3563" s="56"/>
      <c r="U3563" s="25"/>
      <c r="V3563" s="25"/>
      <c r="W3563" s="25"/>
      <c r="X3563" s="25"/>
      <c r="Y3563" s="25"/>
      <c r="Z3563" s="25"/>
    </row>
    <row r="3564" spans="1:26" ht="52.5" customHeight="1" x14ac:dyDescent="0.25">
      <c r="A3564" s="25"/>
      <c r="B3564" s="25"/>
      <c r="C3564" s="55"/>
      <c r="D3564" s="25"/>
      <c r="E3564" s="25"/>
      <c r="F3564" s="25"/>
      <c r="G3564" s="25"/>
      <c r="H3564" s="25"/>
      <c r="I3564" s="25"/>
      <c r="J3564" s="55"/>
      <c r="K3564" s="25"/>
      <c r="L3564" s="62"/>
      <c r="M3564" s="25"/>
      <c r="N3564" s="25"/>
      <c r="O3564" s="25">
        <f t="shared" si="0"/>
        <v>0</v>
      </c>
      <c r="P3564" s="25" t="str">
        <f t="shared" si="2"/>
        <v/>
      </c>
      <c r="Q3564" s="25"/>
      <c r="R3564" s="25"/>
      <c r="S3564" s="55"/>
      <c r="T3564" s="56"/>
      <c r="U3564" s="25"/>
      <c r="V3564" s="25"/>
      <c r="W3564" s="25"/>
      <c r="X3564" s="25"/>
      <c r="Y3564" s="25"/>
      <c r="Z3564" s="25"/>
    </row>
    <row r="3565" spans="1:26" ht="52.5" customHeight="1" x14ac:dyDescent="0.25">
      <c r="A3565" s="25"/>
      <c r="B3565" s="25"/>
      <c r="C3565" s="55"/>
      <c r="D3565" s="25"/>
      <c r="E3565" s="25"/>
      <c r="F3565" s="25"/>
      <c r="G3565" s="25"/>
      <c r="H3565" s="25"/>
      <c r="I3565" s="25"/>
      <c r="J3565" s="55"/>
      <c r="K3565" s="25"/>
      <c r="L3565" s="62"/>
      <c r="M3565" s="25"/>
      <c r="N3565" s="25"/>
      <c r="O3565" s="25">
        <f t="shared" si="0"/>
        <v>0</v>
      </c>
      <c r="P3565" s="25" t="str">
        <f t="shared" si="2"/>
        <v/>
      </c>
      <c r="Q3565" s="25"/>
      <c r="R3565" s="25"/>
      <c r="S3565" s="55"/>
      <c r="T3565" s="56"/>
      <c r="U3565" s="25"/>
      <c r="V3565" s="25"/>
      <c r="W3565" s="25"/>
      <c r="X3565" s="25"/>
      <c r="Y3565" s="25"/>
      <c r="Z3565" s="25"/>
    </row>
    <row r="3566" spans="1:26" ht="52.5" customHeight="1" x14ac:dyDescent="0.25">
      <c r="A3566" s="25"/>
      <c r="B3566" s="25"/>
      <c r="C3566" s="55"/>
      <c r="D3566" s="25"/>
      <c r="E3566" s="25"/>
      <c r="F3566" s="25"/>
      <c r="G3566" s="25"/>
      <c r="H3566" s="25"/>
      <c r="I3566" s="25"/>
      <c r="J3566" s="55"/>
      <c r="K3566" s="25"/>
      <c r="L3566" s="62"/>
      <c r="M3566" s="25"/>
      <c r="N3566" s="25"/>
      <c r="O3566" s="25">
        <f t="shared" si="0"/>
        <v>0</v>
      </c>
      <c r="P3566" s="25" t="str">
        <f t="shared" si="2"/>
        <v/>
      </c>
      <c r="Q3566" s="25"/>
      <c r="R3566" s="25"/>
      <c r="S3566" s="55"/>
      <c r="T3566" s="56"/>
      <c r="U3566" s="25"/>
      <c r="V3566" s="25"/>
      <c r="W3566" s="25"/>
      <c r="X3566" s="25"/>
      <c r="Y3566" s="25"/>
      <c r="Z3566" s="25"/>
    </row>
    <row r="3567" spans="1:26" ht="52.5" customHeight="1" x14ac:dyDescent="0.25">
      <c r="A3567" s="25"/>
      <c r="B3567" s="25"/>
      <c r="C3567" s="55"/>
      <c r="D3567" s="25"/>
      <c r="E3567" s="25"/>
      <c r="F3567" s="25"/>
      <c r="G3567" s="25"/>
      <c r="H3567" s="25"/>
      <c r="I3567" s="25"/>
      <c r="J3567" s="55"/>
      <c r="K3567" s="25"/>
      <c r="L3567" s="62"/>
      <c r="M3567" s="25"/>
      <c r="N3567" s="25"/>
      <c r="O3567" s="25">
        <f t="shared" si="0"/>
        <v>0</v>
      </c>
      <c r="P3567" s="25" t="str">
        <f t="shared" si="2"/>
        <v/>
      </c>
      <c r="Q3567" s="25"/>
      <c r="R3567" s="25"/>
      <c r="S3567" s="55"/>
      <c r="T3567" s="56"/>
      <c r="U3567" s="25"/>
      <c r="V3567" s="25"/>
      <c r="W3567" s="25"/>
      <c r="X3567" s="25"/>
      <c r="Y3567" s="25"/>
      <c r="Z3567" s="25"/>
    </row>
    <row r="3568" spans="1:26" ht="52.5" customHeight="1" x14ac:dyDescent="0.25">
      <c r="A3568" s="25"/>
      <c r="B3568" s="25"/>
      <c r="C3568" s="55"/>
      <c r="D3568" s="25"/>
      <c r="E3568" s="25"/>
      <c r="F3568" s="25"/>
      <c r="G3568" s="25"/>
      <c r="H3568" s="25"/>
      <c r="I3568" s="25"/>
      <c r="J3568" s="55"/>
      <c r="K3568" s="25"/>
      <c r="L3568" s="62"/>
      <c r="M3568" s="25"/>
      <c r="N3568" s="25"/>
      <c r="O3568" s="25">
        <f t="shared" si="0"/>
        <v>0</v>
      </c>
      <c r="P3568" s="25" t="str">
        <f t="shared" si="2"/>
        <v/>
      </c>
      <c r="Q3568" s="25"/>
      <c r="R3568" s="25"/>
      <c r="S3568" s="55"/>
      <c r="T3568" s="56"/>
      <c r="U3568" s="25"/>
      <c r="V3568" s="25"/>
      <c r="W3568" s="25"/>
      <c r="X3568" s="25"/>
      <c r="Y3568" s="25"/>
      <c r="Z3568" s="25"/>
    </row>
    <row r="3569" spans="1:26" ht="52.5" customHeight="1" x14ac:dyDescent="0.25">
      <c r="A3569" s="25"/>
      <c r="B3569" s="25"/>
      <c r="C3569" s="55"/>
      <c r="D3569" s="25"/>
      <c r="E3569" s="25"/>
      <c r="F3569" s="25"/>
      <c r="G3569" s="25"/>
      <c r="H3569" s="25"/>
      <c r="I3569" s="25"/>
      <c r="J3569" s="55"/>
      <c r="K3569" s="25"/>
      <c r="L3569" s="62"/>
      <c r="M3569" s="25"/>
      <c r="N3569" s="25"/>
      <c r="O3569" s="25">
        <f t="shared" si="0"/>
        <v>0</v>
      </c>
      <c r="P3569" s="25" t="str">
        <f t="shared" si="2"/>
        <v/>
      </c>
      <c r="Q3569" s="25"/>
      <c r="R3569" s="25"/>
      <c r="S3569" s="55"/>
      <c r="T3569" s="56"/>
      <c r="U3569" s="25"/>
      <c r="V3569" s="25"/>
      <c r="W3569" s="25"/>
      <c r="X3569" s="25"/>
      <c r="Y3569" s="25"/>
      <c r="Z3569" s="25"/>
    </row>
    <row r="3570" spans="1:26" ht="52.5" customHeight="1" x14ac:dyDescent="0.25">
      <c r="A3570" s="25"/>
      <c r="B3570" s="25"/>
      <c r="C3570" s="55"/>
      <c r="D3570" s="25"/>
      <c r="E3570" s="25"/>
      <c r="F3570" s="25"/>
      <c r="G3570" s="25"/>
      <c r="H3570" s="25"/>
      <c r="I3570" s="25"/>
      <c r="J3570" s="55"/>
      <c r="K3570" s="25"/>
      <c r="L3570" s="62"/>
      <c r="M3570" s="25"/>
      <c r="N3570" s="25"/>
      <c r="O3570" s="25">
        <f t="shared" si="0"/>
        <v>0</v>
      </c>
      <c r="P3570" s="25" t="str">
        <f t="shared" si="2"/>
        <v/>
      </c>
      <c r="Q3570" s="25"/>
      <c r="R3570" s="25"/>
      <c r="S3570" s="55"/>
      <c r="T3570" s="56"/>
      <c r="U3570" s="25"/>
      <c r="V3570" s="25"/>
      <c r="W3570" s="25"/>
      <c r="X3570" s="25"/>
      <c r="Y3570" s="25"/>
      <c r="Z3570" s="25"/>
    </row>
    <row r="3571" spans="1:26" ht="52.5" customHeight="1" x14ac:dyDescent="0.25">
      <c r="A3571" s="25"/>
      <c r="B3571" s="25"/>
      <c r="C3571" s="55"/>
      <c r="D3571" s="25"/>
      <c r="E3571" s="25"/>
      <c r="F3571" s="25"/>
      <c r="G3571" s="25"/>
      <c r="H3571" s="25"/>
      <c r="I3571" s="25"/>
      <c r="J3571" s="55"/>
      <c r="K3571" s="25"/>
      <c r="L3571" s="62"/>
      <c r="M3571" s="25"/>
      <c r="N3571" s="25"/>
      <c r="O3571" s="25">
        <f t="shared" si="0"/>
        <v>0</v>
      </c>
      <c r="P3571" s="25" t="str">
        <f t="shared" si="2"/>
        <v/>
      </c>
      <c r="Q3571" s="25"/>
      <c r="R3571" s="25"/>
      <c r="S3571" s="55"/>
      <c r="T3571" s="56"/>
      <c r="U3571" s="25"/>
      <c r="V3571" s="25"/>
      <c r="W3571" s="25"/>
      <c r="X3571" s="25"/>
      <c r="Y3571" s="25"/>
      <c r="Z3571" s="25"/>
    </row>
    <row r="3572" spans="1:26" ht="52.5" customHeight="1" x14ac:dyDescent="0.25">
      <c r="A3572" s="25"/>
      <c r="B3572" s="25"/>
      <c r="C3572" s="55"/>
      <c r="D3572" s="25"/>
      <c r="E3572" s="25"/>
      <c r="F3572" s="25"/>
      <c r="G3572" s="25"/>
      <c r="H3572" s="25"/>
      <c r="I3572" s="25"/>
      <c r="J3572" s="55"/>
      <c r="K3572" s="25"/>
      <c r="L3572" s="62"/>
      <c r="M3572" s="25"/>
      <c r="N3572" s="25"/>
      <c r="O3572" s="25">
        <f t="shared" si="0"/>
        <v>0</v>
      </c>
      <c r="P3572" s="25" t="str">
        <f t="shared" si="2"/>
        <v/>
      </c>
      <c r="Q3572" s="25"/>
      <c r="R3572" s="25"/>
      <c r="S3572" s="55"/>
      <c r="T3572" s="56"/>
      <c r="U3572" s="25"/>
      <c r="V3572" s="25"/>
      <c r="W3572" s="25"/>
      <c r="X3572" s="25"/>
      <c r="Y3572" s="25"/>
      <c r="Z3572" s="25"/>
    </row>
    <row r="3573" spans="1:26" ht="52.5" customHeight="1" x14ac:dyDescent="0.25">
      <c r="A3573" s="25"/>
      <c r="B3573" s="25"/>
      <c r="C3573" s="55"/>
      <c r="D3573" s="25"/>
      <c r="E3573" s="25"/>
      <c r="F3573" s="25"/>
      <c r="G3573" s="25"/>
      <c r="H3573" s="25"/>
      <c r="I3573" s="25"/>
      <c r="J3573" s="55"/>
      <c r="K3573" s="25"/>
      <c r="L3573" s="62"/>
      <c r="M3573" s="25"/>
      <c r="N3573" s="25"/>
      <c r="O3573" s="25">
        <f t="shared" si="0"/>
        <v>0</v>
      </c>
      <c r="P3573" s="25" t="str">
        <f t="shared" si="2"/>
        <v/>
      </c>
      <c r="Q3573" s="25"/>
      <c r="R3573" s="25"/>
      <c r="S3573" s="55"/>
      <c r="T3573" s="56"/>
      <c r="U3573" s="25"/>
      <c r="V3573" s="25"/>
      <c r="W3573" s="25"/>
      <c r="X3573" s="25"/>
      <c r="Y3573" s="25"/>
      <c r="Z3573" s="25"/>
    </row>
    <row r="3574" spans="1:26" ht="52.5" customHeight="1" x14ac:dyDescent="0.25">
      <c r="A3574" s="25"/>
      <c r="B3574" s="25"/>
      <c r="C3574" s="55"/>
      <c r="D3574" s="25"/>
      <c r="E3574" s="25"/>
      <c r="F3574" s="25"/>
      <c r="G3574" s="25"/>
      <c r="H3574" s="25"/>
      <c r="I3574" s="25"/>
      <c r="J3574" s="55"/>
      <c r="K3574" s="25"/>
      <c r="L3574" s="62"/>
      <c r="M3574" s="25"/>
      <c r="N3574" s="25"/>
      <c r="O3574" s="25">
        <f t="shared" si="0"/>
        <v>0</v>
      </c>
      <c r="P3574" s="25" t="str">
        <f t="shared" si="2"/>
        <v/>
      </c>
      <c r="Q3574" s="25"/>
      <c r="R3574" s="25"/>
      <c r="S3574" s="55"/>
      <c r="T3574" s="56"/>
      <c r="U3574" s="25"/>
      <c r="V3574" s="25"/>
      <c r="W3574" s="25"/>
      <c r="X3574" s="25"/>
      <c r="Y3574" s="25"/>
      <c r="Z3574" s="25"/>
    </row>
    <row r="3575" spans="1:26" ht="52.5" customHeight="1" x14ac:dyDescent="0.25">
      <c r="A3575" s="25"/>
      <c r="B3575" s="25"/>
      <c r="C3575" s="55"/>
      <c r="D3575" s="25"/>
      <c r="E3575" s="25"/>
      <c r="F3575" s="25"/>
      <c r="G3575" s="25"/>
      <c r="H3575" s="25"/>
      <c r="I3575" s="25"/>
      <c r="J3575" s="55"/>
      <c r="K3575" s="25"/>
      <c r="L3575" s="62"/>
      <c r="M3575" s="25"/>
      <c r="N3575" s="25"/>
      <c r="O3575" s="25">
        <f t="shared" si="0"/>
        <v>0</v>
      </c>
      <c r="P3575" s="25" t="str">
        <f t="shared" si="2"/>
        <v/>
      </c>
      <c r="Q3575" s="25"/>
      <c r="R3575" s="25"/>
      <c r="S3575" s="55"/>
      <c r="T3575" s="56"/>
      <c r="U3575" s="25"/>
      <c r="V3575" s="25"/>
      <c r="W3575" s="25"/>
      <c r="X3575" s="25"/>
      <c r="Y3575" s="25"/>
      <c r="Z3575" s="25"/>
    </row>
    <row r="3576" spans="1:26" ht="52.5" customHeight="1" x14ac:dyDescent="0.25">
      <c r="A3576" s="25"/>
      <c r="B3576" s="25"/>
      <c r="C3576" s="55"/>
      <c r="D3576" s="25"/>
      <c r="E3576" s="25"/>
      <c r="F3576" s="25"/>
      <c r="G3576" s="25"/>
      <c r="H3576" s="25"/>
      <c r="I3576" s="25"/>
      <c r="J3576" s="55"/>
      <c r="K3576" s="25"/>
      <c r="L3576" s="62"/>
      <c r="M3576" s="25"/>
      <c r="N3576" s="25"/>
      <c r="O3576" s="25">
        <f t="shared" si="0"/>
        <v>0</v>
      </c>
      <c r="P3576" s="25" t="str">
        <f t="shared" si="2"/>
        <v/>
      </c>
      <c r="Q3576" s="25"/>
      <c r="R3576" s="25"/>
      <c r="S3576" s="55"/>
      <c r="T3576" s="56"/>
      <c r="U3576" s="25"/>
      <c r="V3576" s="25"/>
      <c r="W3576" s="25"/>
      <c r="X3576" s="25"/>
      <c r="Y3576" s="25"/>
      <c r="Z3576" s="25"/>
    </row>
    <row r="3577" spans="1:26" ht="52.5" customHeight="1" x14ac:dyDescent="0.25">
      <c r="A3577" s="25"/>
      <c r="B3577" s="25"/>
      <c r="C3577" s="55"/>
      <c r="D3577" s="25"/>
      <c r="E3577" s="25"/>
      <c r="F3577" s="25"/>
      <c r="G3577" s="25"/>
      <c r="H3577" s="25"/>
      <c r="I3577" s="25"/>
      <c r="J3577" s="55"/>
      <c r="K3577" s="25"/>
      <c r="L3577" s="62"/>
      <c r="M3577" s="25"/>
      <c r="N3577" s="25"/>
      <c r="O3577" s="25">
        <f t="shared" si="0"/>
        <v>0</v>
      </c>
      <c r="P3577" s="25" t="str">
        <f t="shared" si="2"/>
        <v/>
      </c>
      <c r="Q3577" s="25"/>
      <c r="R3577" s="25"/>
      <c r="S3577" s="55"/>
      <c r="T3577" s="56"/>
      <c r="U3577" s="25"/>
      <c r="V3577" s="25"/>
      <c r="W3577" s="25"/>
      <c r="X3577" s="25"/>
      <c r="Y3577" s="25"/>
      <c r="Z3577" s="25"/>
    </row>
    <row r="3578" spans="1:26" ht="52.5" customHeight="1" x14ac:dyDescent="0.25">
      <c r="A3578" s="25"/>
      <c r="B3578" s="25"/>
      <c r="C3578" s="55"/>
      <c r="D3578" s="25"/>
      <c r="E3578" s="25"/>
      <c r="F3578" s="25"/>
      <c r="G3578" s="25"/>
      <c r="H3578" s="25"/>
      <c r="I3578" s="25"/>
      <c r="J3578" s="55"/>
      <c r="K3578" s="25"/>
      <c r="L3578" s="62"/>
      <c r="M3578" s="25"/>
      <c r="N3578" s="25"/>
      <c r="O3578" s="25">
        <f t="shared" si="0"/>
        <v>0</v>
      </c>
      <c r="P3578" s="25" t="str">
        <f t="shared" si="2"/>
        <v/>
      </c>
      <c r="Q3578" s="25"/>
      <c r="R3578" s="25"/>
      <c r="S3578" s="55"/>
      <c r="T3578" s="56"/>
      <c r="U3578" s="25"/>
      <c r="V3578" s="25"/>
      <c r="W3578" s="25"/>
      <c r="X3578" s="25"/>
      <c r="Y3578" s="25"/>
      <c r="Z3578" s="25"/>
    </row>
    <row r="3579" spans="1:26" ht="52.5" customHeight="1" x14ac:dyDescent="0.25">
      <c r="A3579" s="25"/>
      <c r="B3579" s="25"/>
      <c r="C3579" s="55"/>
      <c r="D3579" s="25"/>
      <c r="E3579" s="25"/>
      <c r="F3579" s="25"/>
      <c r="G3579" s="25"/>
      <c r="H3579" s="25"/>
      <c r="I3579" s="25"/>
      <c r="J3579" s="55"/>
      <c r="K3579" s="25"/>
      <c r="L3579" s="62"/>
      <c r="M3579" s="25"/>
      <c r="N3579" s="25"/>
      <c r="O3579" s="25">
        <f t="shared" si="0"/>
        <v>0</v>
      </c>
      <c r="P3579" s="25" t="str">
        <f t="shared" si="2"/>
        <v/>
      </c>
      <c r="Q3579" s="25"/>
      <c r="R3579" s="25"/>
      <c r="S3579" s="55"/>
      <c r="T3579" s="56"/>
      <c r="U3579" s="25"/>
      <c r="V3579" s="25"/>
      <c r="W3579" s="25"/>
      <c r="X3579" s="25"/>
      <c r="Y3579" s="25"/>
      <c r="Z3579" s="25"/>
    </row>
    <row r="3580" spans="1:26" ht="52.5" customHeight="1" x14ac:dyDescent="0.25">
      <c r="A3580" s="25"/>
      <c r="B3580" s="25"/>
      <c r="C3580" s="55"/>
      <c r="D3580" s="25"/>
      <c r="E3580" s="25"/>
      <c r="F3580" s="25"/>
      <c r="G3580" s="25"/>
      <c r="H3580" s="25"/>
      <c r="I3580" s="25"/>
      <c r="J3580" s="55"/>
      <c r="K3580" s="25"/>
      <c r="L3580" s="62"/>
      <c r="M3580" s="25"/>
      <c r="N3580" s="25"/>
      <c r="O3580" s="25">
        <f t="shared" si="0"/>
        <v>0</v>
      </c>
      <c r="P3580" s="25" t="str">
        <f t="shared" si="2"/>
        <v/>
      </c>
      <c r="Q3580" s="25"/>
      <c r="R3580" s="25"/>
      <c r="S3580" s="55"/>
      <c r="T3580" s="56"/>
      <c r="U3580" s="25"/>
      <c r="V3580" s="25"/>
      <c r="W3580" s="25"/>
      <c r="X3580" s="25"/>
      <c r="Y3580" s="25"/>
      <c r="Z3580" s="25"/>
    </row>
    <row r="3581" spans="1:26" ht="52.5" customHeight="1" x14ac:dyDescent="0.25">
      <c r="A3581" s="25"/>
      <c r="B3581" s="25"/>
      <c r="C3581" s="55"/>
      <c r="D3581" s="25"/>
      <c r="E3581" s="25"/>
      <c r="F3581" s="25"/>
      <c r="G3581" s="25"/>
      <c r="H3581" s="25"/>
      <c r="I3581" s="25"/>
      <c r="J3581" s="55"/>
      <c r="K3581" s="25"/>
      <c r="L3581" s="62"/>
      <c r="M3581" s="25"/>
      <c r="N3581" s="25"/>
      <c r="O3581" s="25">
        <f t="shared" si="0"/>
        <v>0</v>
      </c>
      <c r="P3581" s="25" t="str">
        <f t="shared" si="2"/>
        <v/>
      </c>
      <c r="Q3581" s="25"/>
      <c r="R3581" s="25"/>
      <c r="S3581" s="55"/>
      <c r="T3581" s="56"/>
      <c r="U3581" s="25"/>
      <c r="V3581" s="25"/>
      <c r="W3581" s="25"/>
      <c r="X3581" s="25"/>
      <c r="Y3581" s="25"/>
      <c r="Z3581" s="25"/>
    </row>
    <row r="3582" spans="1:26" ht="52.5" customHeight="1" x14ac:dyDescent="0.25">
      <c r="A3582" s="25"/>
      <c r="B3582" s="25"/>
      <c r="C3582" s="55"/>
      <c r="D3582" s="25"/>
      <c r="E3582" s="25"/>
      <c r="F3582" s="25"/>
      <c r="G3582" s="25"/>
      <c r="H3582" s="25"/>
      <c r="I3582" s="25"/>
      <c r="J3582" s="55"/>
      <c r="K3582" s="25"/>
      <c r="L3582" s="62"/>
      <c r="M3582" s="25"/>
      <c r="N3582" s="25"/>
      <c r="O3582" s="25">
        <f t="shared" si="0"/>
        <v>0</v>
      </c>
      <c r="P3582" s="25" t="str">
        <f t="shared" si="2"/>
        <v/>
      </c>
      <c r="Q3582" s="25"/>
      <c r="R3582" s="25"/>
      <c r="S3582" s="55"/>
      <c r="T3582" s="56"/>
      <c r="U3582" s="25"/>
      <c r="V3582" s="25"/>
      <c r="W3582" s="25"/>
      <c r="X3582" s="25"/>
      <c r="Y3582" s="25"/>
      <c r="Z3582" s="25"/>
    </row>
    <row r="3583" spans="1:26" ht="52.5" customHeight="1" x14ac:dyDescent="0.25">
      <c r="A3583" s="25"/>
      <c r="B3583" s="25"/>
      <c r="C3583" s="55"/>
      <c r="D3583" s="25"/>
      <c r="E3583" s="25"/>
      <c r="F3583" s="25"/>
      <c r="G3583" s="25"/>
      <c r="H3583" s="25"/>
      <c r="I3583" s="25"/>
      <c r="J3583" s="55"/>
      <c r="K3583" s="25"/>
      <c r="L3583" s="62"/>
      <c r="M3583" s="25"/>
      <c r="N3583" s="25"/>
      <c r="O3583" s="25">
        <f t="shared" si="0"/>
        <v>0</v>
      </c>
      <c r="P3583" s="25" t="str">
        <f t="shared" si="2"/>
        <v/>
      </c>
      <c r="Q3583" s="25"/>
      <c r="R3583" s="25"/>
      <c r="S3583" s="55"/>
      <c r="T3583" s="56"/>
      <c r="U3583" s="25"/>
      <c r="V3583" s="25"/>
      <c r="W3583" s="25"/>
      <c r="X3583" s="25"/>
      <c r="Y3583" s="25"/>
      <c r="Z3583" s="25"/>
    </row>
    <row r="3584" spans="1:26" ht="52.5" customHeight="1" x14ac:dyDescent="0.25">
      <c r="A3584" s="25"/>
      <c r="B3584" s="25"/>
      <c r="C3584" s="55"/>
      <c r="D3584" s="25"/>
      <c r="E3584" s="25"/>
      <c r="F3584" s="25"/>
      <c r="G3584" s="25"/>
      <c r="H3584" s="25"/>
      <c r="I3584" s="25"/>
      <c r="J3584" s="55"/>
      <c r="K3584" s="25"/>
      <c r="L3584" s="62"/>
      <c r="M3584" s="25"/>
      <c r="N3584" s="25"/>
      <c r="O3584" s="25">
        <f t="shared" si="0"/>
        <v>0</v>
      </c>
      <c r="P3584" s="25" t="str">
        <f t="shared" si="2"/>
        <v/>
      </c>
      <c r="Q3584" s="25"/>
      <c r="R3584" s="25"/>
      <c r="S3584" s="55"/>
      <c r="T3584" s="56"/>
      <c r="U3584" s="25"/>
      <c r="V3584" s="25"/>
      <c r="W3584" s="25"/>
      <c r="X3584" s="25"/>
      <c r="Y3584" s="25"/>
      <c r="Z3584" s="25"/>
    </row>
    <row r="3585" spans="1:26" ht="52.5" customHeight="1" x14ac:dyDescent="0.25">
      <c r="A3585" s="25"/>
      <c r="B3585" s="25"/>
      <c r="C3585" s="55"/>
      <c r="D3585" s="25"/>
      <c r="E3585" s="25"/>
      <c r="F3585" s="25"/>
      <c r="G3585" s="25"/>
      <c r="H3585" s="25"/>
      <c r="I3585" s="25"/>
      <c r="J3585" s="55"/>
      <c r="K3585" s="25"/>
      <c r="L3585" s="62"/>
      <c r="M3585" s="25"/>
      <c r="N3585" s="25"/>
      <c r="O3585" s="25">
        <f t="shared" si="0"/>
        <v>0</v>
      </c>
      <c r="P3585" s="25" t="str">
        <f t="shared" si="2"/>
        <v/>
      </c>
      <c r="Q3585" s="25"/>
      <c r="R3585" s="25"/>
      <c r="S3585" s="55"/>
      <c r="T3585" s="56"/>
      <c r="U3585" s="25"/>
      <c r="V3585" s="25"/>
      <c r="W3585" s="25"/>
      <c r="X3585" s="25"/>
      <c r="Y3585" s="25"/>
      <c r="Z3585" s="25"/>
    </row>
    <row r="3586" spans="1:26" ht="52.5" customHeight="1" x14ac:dyDescent="0.25">
      <c r="A3586" s="25"/>
      <c r="B3586" s="25"/>
      <c r="C3586" s="55"/>
      <c r="D3586" s="25"/>
      <c r="E3586" s="25"/>
      <c r="F3586" s="25"/>
      <c r="G3586" s="25"/>
      <c r="H3586" s="25"/>
      <c r="I3586" s="25"/>
      <c r="J3586" s="55"/>
      <c r="K3586" s="25"/>
      <c r="L3586" s="62"/>
      <c r="M3586" s="25"/>
      <c r="N3586" s="25"/>
      <c r="O3586" s="25">
        <f t="shared" si="0"/>
        <v>0</v>
      </c>
      <c r="P3586" s="25" t="str">
        <f t="shared" si="2"/>
        <v/>
      </c>
      <c r="Q3586" s="25"/>
      <c r="R3586" s="25"/>
      <c r="S3586" s="55"/>
      <c r="T3586" s="56"/>
      <c r="U3586" s="25"/>
      <c r="V3586" s="25"/>
      <c r="W3586" s="25"/>
      <c r="X3586" s="25"/>
      <c r="Y3586" s="25"/>
      <c r="Z3586" s="25"/>
    </row>
    <row r="3587" spans="1:26" ht="52.5" customHeight="1" x14ac:dyDescent="0.25">
      <c r="A3587" s="25"/>
      <c r="B3587" s="25"/>
      <c r="C3587" s="55"/>
      <c r="D3587" s="25"/>
      <c r="E3587" s="25"/>
      <c r="F3587" s="25"/>
      <c r="G3587" s="25"/>
      <c r="H3587" s="25"/>
      <c r="I3587" s="25"/>
      <c r="J3587" s="55"/>
      <c r="K3587" s="25"/>
      <c r="L3587" s="62"/>
      <c r="M3587" s="25"/>
      <c r="N3587" s="25"/>
      <c r="O3587" s="25">
        <f t="shared" si="0"/>
        <v>0</v>
      </c>
      <c r="P3587" s="25" t="str">
        <f t="shared" si="2"/>
        <v/>
      </c>
      <c r="Q3587" s="25"/>
      <c r="R3587" s="25"/>
      <c r="S3587" s="55"/>
      <c r="T3587" s="56"/>
      <c r="U3587" s="25"/>
      <c r="V3587" s="25"/>
      <c r="W3587" s="25"/>
      <c r="X3587" s="25"/>
      <c r="Y3587" s="25"/>
      <c r="Z3587" s="25"/>
    </row>
    <row r="3588" spans="1:26" ht="52.5" customHeight="1" x14ac:dyDescent="0.25">
      <c r="A3588" s="25"/>
      <c r="B3588" s="25"/>
      <c r="C3588" s="55"/>
      <c r="D3588" s="25"/>
      <c r="E3588" s="25"/>
      <c r="F3588" s="25"/>
      <c r="G3588" s="25"/>
      <c r="H3588" s="25"/>
      <c r="I3588" s="25"/>
      <c r="J3588" s="55"/>
      <c r="K3588" s="25"/>
      <c r="L3588" s="62"/>
      <c r="M3588" s="25"/>
      <c r="N3588" s="25"/>
      <c r="O3588" s="25">
        <f t="shared" si="0"/>
        <v>0</v>
      </c>
      <c r="P3588" s="25" t="str">
        <f t="shared" si="2"/>
        <v/>
      </c>
      <c r="Q3588" s="25"/>
      <c r="R3588" s="25"/>
      <c r="S3588" s="55"/>
      <c r="T3588" s="56"/>
      <c r="U3588" s="25"/>
      <c r="V3588" s="25"/>
      <c r="W3588" s="25"/>
      <c r="X3588" s="25"/>
      <c r="Y3588" s="25"/>
      <c r="Z3588" s="25"/>
    </row>
    <row r="3589" spans="1:26" ht="52.5" customHeight="1" x14ac:dyDescent="0.25">
      <c r="A3589" s="25"/>
      <c r="B3589" s="25"/>
      <c r="C3589" s="55"/>
      <c r="D3589" s="25"/>
      <c r="E3589" s="25"/>
      <c r="F3589" s="25"/>
      <c r="G3589" s="25"/>
      <c r="H3589" s="25"/>
      <c r="I3589" s="25"/>
      <c r="J3589" s="55"/>
      <c r="K3589" s="25"/>
      <c r="L3589" s="62"/>
      <c r="M3589" s="25"/>
      <c r="N3589" s="25"/>
      <c r="O3589" s="25">
        <f t="shared" si="0"/>
        <v>0</v>
      </c>
      <c r="P3589" s="25" t="str">
        <f t="shared" si="2"/>
        <v/>
      </c>
      <c r="Q3589" s="25"/>
      <c r="R3589" s="25"/>
      <c r="S3589" s="55"/>
      <c r="T3589" s="56"/>
      <c r="U3589" s="25"/>
      <c r="V3589" s="25"/>
      <c r="W3589" s="25"/>
      <c r="X3589" s="25"/>
      <c r="Y3589" s="25"/>
      <c r="Z3589" s="25"/>
    </row>
    <row r="3590" spans="1:26" ht="52.5" customHeight="1" x14ac:dyDescent="0.25">
      <c r="A3590" s="25"/>
      <c r="B3590" s="25"/>
      <c r="C3590" s="55"/>
      <c r="D3590" s="25"/>
      <c r="E3590" s="25"/>
      <c r="F3590" s="25"/>
      <c r="G3590" s="25"/>
      <c r="H3590" s="25"/>
      <c r="I3590" s="25"/>
      <c r="J3590" s="55"/>
      <c r="K3590" s="25"/>
      <c r="L3590" s="62"/>
      <c r="M3590" s="25"/>
      <c r="N3590" s="25"/>
      <c r="O3590" s="25">
        <f t="shared" si="0"/>
        <v>0</v>
      </c>
      <c r="P3590" s="25" t="str">
        <f t="shared" si="2"/>
        <v/>
      </c>
      <c r="Q3590" s="25"/>
      <c r="R3590" s="25"/>
      <c r="S3590" s="55"/>
      <c r="T3590" s="56"/>
      <c r="U3590" s="25"/>
      <c r="V3590" s="25"/>
      <c r="W3590" s="25"/>
      <c r="X3590" s="25"/>
      <c r="Y3590" s="25"/>
      <c r="Z3590" s="25"/>
    </row>
    <row r="3591" spans="1:26" ht="52.5" customHeight="1" x14ac:dyDescent="0.25">
      <c r="A3591" s="25"/>
      <c r="B3591" s="25"/>
      <c r="C3591" s="55"/>
      <c r="D3591" s="25"/>
      <c r="E3591" s="25"/>
      <c r="F3591" s="25"/>
      <c r="G3591" s="25"/>
      <c r="H3591" s="25"/>
      <c r="I3591" s="25"/>
      <c r="J3591" s="55"/>
      <c r="K3591" s="25"/>
      <c r="L3591" s="62"/>
      <c r="M3591" s="25"/>
      <c r="N3591" s="25"/>
      <c r="O3591" s="25">
        <f t="shared" si="0"/>
        <v>0</v>
      </c>
      <c r="P3591" s="25" t="str">
        <f t="shared" si="2"/>
        <v/>
      </c>
      <c r="Q3591" s="25"/>
      <c r="R3591" s="25"/>
      <c r="S3591" s="55"/>
      <c r="T3591" s="56"/>
      <c r="U3591" s="25"/>
      <c r="V3591" s="25"/>
      <c r="W3591" s="25"/>
      <c r="X3591" s="25"/>
      <c r="Y3591" s="25"/>
      <c r="Z3591" s="25"/>
    </row>
    <row r="3592" spans="1:26" ht="52.5" customHeight="1" x14ac:dyDescent="0.25">
      <c r="A3592" s="25"/>
      <c r="B3592" s="25"/>
      <c r="C3592" s="55"/>
      <c r="D3592" s="25"/>
      <c r="E3592" s="25"/>
      <c r="F3592" s="25"/>
      <c r="G3592" s="25"/>
      <c r="H3592" s="25"/>
      <c r="I3592" s="25"/>
      <c r="J3592" s="55"/>
      <c r="K3592" s="25"/>
      <c r="L3592" s="62"/>
      <c r="M3592" s="25"/>
      <c r="N3592" s="25"/>
      <c r="O3592" s="25">
        <f t="shared" si="0"/>
        <v>0</v>
      </c>
      <c r="P3592" s="25" t="str">
        <f t="shared" si="2"/>
        <v/>
      </c>
      <c r="Q3592" s="25"/>
      <c r="R3592" s="25"/>
      <c r="S3592" s="55"/>
      <c r="T3592" s="56"/>
      <c r="U3592" s="25"/>
      <c r="V3592" s="25"/>
      <c r="W3592" s="25"/>
      <c r="X3592" s="25"/>
      <c r="Y3592" s="25"/>
      <c r="Z3592" s="25"/>
    </row>
    <row r="3593" spans="1:26" ht="52.5" customHeight="1" x14ac:dyDescent="0.25">
      <c r="A3593" s="25"/>
      <c r="B3593" s="25"/>
      <c r="C3593" s="55"/>
      <c r="D3593" s="25"/>
      <c r="E3593" s="25"/>
      <c r="F3593" s="25"/>
      <c r="G3593" s="25"/>
      <c r="H3593" s="25"/>
      <c r="I3593" s="25"/>
      <c r="J3593" s="55"/>
      <c r="K3593" s="25"/>
      <c r="L3593" s="62"/>
      <c r="M3593" s="25"/>
      <c r="N3593" s="25"/>
      <c r="O3593" s="25">
        <f t="shared" si="0"/>
        <v>0</v>
      </c>
      <c r="P3593" s="25" t="str">
        <f t="shared" si="2"/>
        <v/>
      </c>
      <c r="Q3593" s="25"/>
      <c r="R3593" s="25"/>
      <c r="S3593" s="55"/>
      <c r="T3593" s="56"/>
      <c r="U3593" s="25"/>
      <c r="V3593" s="25"/>
      <c r="W3593" s="25"/>
      <c r="X3593" s="25"/>
      <c r="Y3593" s="25"/>
      <c r="Z3593" s="25"/>
    </row>
    <row r="3594" spans="1:26" ht="52.5" customHeight="1" x14ac:dyDescent="0.25">
      <c r="A3594" s="25"/>
      <c r="B3594" s="25"/>
      <c r="C3594" s="55"/>
      <c r="D3594" s="25"/>
      <c r="E3594" s="25"/>
      <c r="F3594" s="25"/>
      <c r="G3594" s="25"/>
      <c r="H3594" s="25"/>
      <c r="I3594" s="25"/>
      <c r="J3594" s="55"/>
      <c r="K3594" s="25"/>
      <c r="L3594" s="62"/>
      <c r="M3594" s="25"/>
      <c r="N3594" s="25"/>
      <c r="O3594" s="25">
        <f t="shared" si="0"/>
        <v>0</v>
      </c>
      <c r="P3594" s="25" t="str">
        <f t="shared" si="2"/>
        <v/>
      </c>
      <c r="Q3594" s="25"/>
      <c r="R3594" s="25"/>
      <c r="S3594" s="55"/>
      <c r="T3594" s="56"/>
      <c r="U3594" s="25"/>
      <c r="V3594" s="25"/>
      <c r="W3594" s="25"/>
      <c r="X3594" s="25"/>
      <c r="Y3594" s="25"/>
      <c r="Z3594" s="25"/>
    </row>
    <row r="3595" spans="1:26" ht="52.5" customHeight="1" x14ac:dyDescent="0.25">
      <c r="A3595" s="25"/>
      <c r="B3595" s="25"/>
      <c r="C3595" s="55"/>
      <c r="D3595" s="25"/>
      <c r="E3595" s="25"/>
      <c r="F3595" s="25"/>
      <c r="G3595" s="25"/>
      <c r="H3595" s="25"/>
      <c r="I3595" s="25"/>
      <c r="J3595" s="55"/>
      <c r="K3595" s="25"/>
      <c r="L3595" s="62"/>
      <c r="M3595" s="25"/>
      <c r="N3595" s="25"/>
      <c r="O3595" s="25">
        <f t="shared" si="0"/>
        <v>0</v>
      </c>
      <c r="P3595" s="25" t="str">
        <f t="shared" si="2"/>
        <v/>
      </c>
      <c r="Q3595" s="25"/>
      <c r="R3595" s="25"/>
      <c r="S3595" s="55"/>
      <c r="T3595" s="56"/>
      <c r="U3595" s="25"/>
      <c r="V3595" s="25"/>
      <c r="W3595" s="25"/>
      <c r="X3595" s="25"/>
      <c r="Y3595" s="25"/>
      <c r="Z3595" s="25"/>
    </row>
    <row r="3596" spans="1:26" ht="52.5" customHeight="1" x14ac:dyDescent="0.25">
      <c r="A3596" s="25"/>
      <c r="B3596" s="25"/>
      <c r="C3596" s="55"/>
      <c r="D3596" s="25"/>
      <c r="E3596" s="25"/>
      <c r="F3596" s="25"/>
      <c r="G3596" s="25"/>
      <c r="H3596" s="25"/>
      <c r="I3596" s="25"/>
      <c r="J3596" s="55"/>
      <c r="K3596" s="25"/>
      <c r="L3596" s="62"/>
      <c r="M3596" s="25"/>
      <c r="N3596" s="25"/>
      <c r="O3596" s="25">
        <f t="shared" si="0"/>
        <v>0</v>
      </c>
      <c r="P3596" s="25" t="str">
        <f t="shared" si="2"/>
        <v/>
      </c>
      <c r="Q3596" s="25"/>
      <c r="R3596" s="25"/>
      <c r="S3596" s="55"/>
      <c r="T3596" s="56"/>
      <c r="U3596" s="25"/>
      <c r="V3596" s="25"/>
      <c r="W3596" s="25"/>
      <c r="X3596" s="25"/>
      <c r="Y3596" s="25"/>
      <c r="Z3596" s="25"/>
    </row>
    <row r="3597" spans="1:26" ht="52.5" customHeight="1" x14ac:dyDescent="0.25">
      <c r="A3597" s="25"/>
      <c r="B3597" s="25"/>
      <c r="C3597" s="55"/>
      <c r="D3597" s="25"/>
      <c r="E3597" s="25"/>
      <c r="F3597" s="25"/>
      <c r="G3597" s="25"/>
      <c r="H3597" s="25"/>
      <c r="I3597" s="25"/>
      <c r="J3597" s="55"/>
      <c r="K3597" s="25"/>
      <c r="L3597" s="62"/>
      <c r="M3597" s="25"/>
      <c r="N3597" s="25"/>
      <c r="O3597" s="25">
        <f t="shared" si="0"/>
        <v>0</v>
      </c>
      <c r="P3597" s="25" t="str">
        <f t="shared" si="2"/>
        <v/>
      </c>
      <c r="Q3597" s="25"/>
      <c r="R3597" s="25"/>
      <c r="S3597" s="55"/>
      <c r="T3597" s="56"/>
      <c r="U3597" s="25"/>
      <c r="V3597" s="25"/>
      <c r="W3597" s="25"/>
      <c r="X3597" s="25"/>
      <c r="Y3597" s="25"/>
      <c r="Z3597" s="25"/>
    </row>
    <row r="3598" spans="1:26" ht="52.5" customHeight="1" x14ac:dyDescent="0.25">
      <c r="A3598" s="25"/>
      <c r="B3598" s="25"/>
      <c r="C3598" s="55"/>
      <c r="D3598" s="25"/>
      <c r="E3598" s="25"/>
      <c r="F3598" s="25"/>
      <c r="G3598" s="25"/>
      <c r="H3598" s="25"/>
      <c r="I3598" s="25"/>
      <c r="J3598" s="55"/>
      <c r="K3598" s="25"/>
      <c r="L3598" s="62"/>
      <c r="M3598" s="25"/>
      <c r="N3598" s="25"/>
      <c r="O3598" s="25">
        <f t="shared" si="0"/>
        <v>0</v>
      </c>
      <c r="P3598" s="25" t="str">
        <f t="shared" si="2"/>
        <v/>
      </c>
      <c r="Q3598" s="25"/>
      <c r="R3598" s="25"/>
      <c r="S3598" s="55"/>
      <c r="T3598" s="56"/>
      <c r="U3598" s="25"/>
      <c r="V3598" s="25"/>
      <c r="W3598" s="25"/>
      <c r="X3598" s="25"/>
      <c r="Y3598" s="25"/>
      <c r="Z3598" s="25"/>
    </row>
    <row r="3599" spans="1:26" ht="52.5" customHeight="1" x14ac:dyDescent="0.25">
      <c r="A3599" s="25"/>
      <c r="B3599" s="25"/>
      <c r="C3599" s="55"/>
      <c r="D3599" s="25"/>
      <c r="E3599" s="25"/>
      <c r="F3599" s="25"/>
      <c r="G3599" s="25"/>
      <c r="H3599" s="25"/>
      <c r="I3599" s="25"/>
      <c r="J3599" s="55"/>
      <c r="K3599" s="25"/>
      <c r="L3599" s="62"/>
      <c r="M3599" s="25"/>
      <c r="N3599" s="25"/>
      <c r="O3599" s="25">
        <f t="shared" si="0"/>
        <v>0</v>
      </c>
      <c r="P3599" s="25" t="str">
        <f t="shared" si="2"/>
        <v/>
      </c>
      <c r="Q3599" s="25"/>
      <c r="R3599" s="25"/>
      <c r="S3599" s="55"/>
      <c r="T3599" s="56"/>
      <c r="U3599" s="25"/>
      <c r="V3599" s="25"/>
      <c r="W3599" s="25"/>
      <c r="X3599" s="25"/>
      <c r="Y3599" s="25"/>
      <c r="Z3599" s="25"/>
    </row>
    <row r="3600" spans="1:26" ht="52.5" customHeight="1" x14ac:dyDescent="0.25">
      <c r="A3600" s="25"/>
      <c r="B3600" s="25"/>
      <c r="C3600" s="55"/>
      <c r="D3600" s="25"/>
      <c r="E3600" s="25"/>
      <c r="F3600" s="25"/>
      <c r="G3600" s="25"/>
      <c r="H3600" s="25"/>
      <c r="I3600" s="25"/>
      <c r="J3600" s="55"/>
      <c r="K3600" s="25"/>
      <c r="L3600" s="62"/>
      <c r="M3600" s="25"/>
      <c r="N3600" s="25"/>
      <c r="O3600" s="25">
        <f t="shared" si="0"/>
        <v>0</v>
      </c>
      <c r="P3600" s="25" t="str">
        <f t="shared" si="2"/>
        <v/>
      </c>
      <c r="Q3600" s="25"/>
      <c r="R3600" s="25"/>
      <c r="S3600" s="55"/>
      <c r="T3600" s="56"/>
      <c r="U3600" s="25"/>
      <c r="V3600" s="25"/>
      <c r="W3600" s="25"/>
      <c r="X3600" s="25"/>
      <c r="Y3600" s="25"/>
      <c r="Z3600" s="25"/>
    </row>
    <row r="3601" spans="1:26" ht="52.5" customHeight="1" x14ac:dyDescent="0.25">
      <c r="A3601" s="25"/>
      <c r="B3601" s="25"/>
      <c r="C3601" s="55"/>
      <c r="D3601" s="25"/>
      <c r="E3601" s="25"/>
      <c r="F3601" s="25"/>
      <c r="G3601" s="25"/>
      <c r="H3601" s="25"/>
      <c r="I3601" s="25"/>
      <c r="J3601" s="55"/>
      <c r="K3601" s="25"/>
      <c r="L3601" s="62"/>
      <c r="M3601" s="25"/>
      <c r="N3601" s="25"/>
      <c r="O3601" s="25">
        <f t="shared" si="0"/>
        <v>0</v>
      </c>
      <c r="P3601" s="25" t="str">
        <f t="shared" si="2"/>
        <v/>
      </c>
      <c r="Q3601" s="25"/>
      <c r="R3601" s="25"/>
      <c r="S3601" s="55"/>
      <c r="T3601" s="56"/>
      <c r="U3601" s="25"/>
      <c r="V3601" s="25"/>
      <c r="W3601" s="25"/>
      <c r="X3601" s="25"/>
      <c r="Y3601" s="25"/>
      <c r="Z3601" s="25"/>
    </row>
    <row r="3602" spans="1:26" ht="52.5" customHeight="1" x14ac:dyDescent="0.25">
      <c r="A3602" s="25"/>
      <c r="B3602" s="25"/>
      <c r="C3602" s="55"/>
      <c r="D3602" s="25"/>
      <c r="E3602" s="25"/>
      <c r="F3602" s="25"/>
      <c r="G3602" s="25"/>
      <c r="H3602" s="25"/>
      <c r="I3602" s="25"/>
      <c r="J3602" s="55"/>
      <c r="K3602" s="25"/>
      <c r="L3602" s="62"/>
      <c r="M3602" s="25"/>
      <c r="N3602" s="25"/>
      <c r="O3602" s="25">
        <f t="shared" si="0"/>
        <v>0</v>
      </c>
      <c r="P3602" s="25" t="str">
        <f t="shared" si="2"/>
        <v/>
      </c>
      <c r="Q3602" s="25"/>
      <c r="R3602" s="25"/>
      <c r="S3602" s="55"/>
      <c r="T3602" s="56"/>
      <c r="U3602" s="25"/>
      <c r="V3602" s="25"/>
      <c r="W3602" s="25"/>
      <c r="X3602" s="25"/>
      <c r="Y3602" s="25"/>
      <c r="Z3602" s="25"/>
    </row>
    <row r="3603" spans="1:26" ht="52.5" customHeight="1" x14ac:dyDescent="0.25">
      <c r="A3603" s="25" t="str">
        <f ca="1">IFERROR(__xludf.DUMMYFUNCTION("IMPORTRANGE(""https://docs.google.com/spreadsheets/d/1SUh42QDwFP8obN0GNIj4rWfstJx5kDi_GF8-hP5_7Ug/edit#gid=330735094"",""Planeación!A2:K301"")"),"Plane1")</f>
        <v>Plane1</v>
      </c>
      <c r="B3603" s="25" t="str">
        <f ca="1">IFERROR(__xludf.DUMMYFUNCTION("""COMPUTED_VALUE"""),"Seguimiento CAD ")</f>
        <v xml:space="preserve">Seguimiento CAD </v>
      </c>
      <c r="C3603" s="55" t="str">
        <f ca="1">IFERROR(__xludf.DUMMYFUNCTION("""COMPUTED_VALUE"""),"31/03/2021")</f>
        <v>31/03/2021</v>
      </c>
      <c r="D3603" s="25" t="str">
        <f ca="1">IFERROR(__xludf.DUMMYFUNCTION("""COMPUTED_VALUE"""),"Planeación")</f>
        <v>Planeación</v>
      </c>
      <c r="E3603" s="25" t="str">
        <f ca="1">IFERROR(__xludf.DUMMYFUNCTION("""COMPUTED_VALUE"""),"Secretaría Distrital de Planeación")</f>
        <v>Secretaría Distrital de Planeación</v>
      </c>
      <c r="F3603" s="25" t="str">
        <f ca="1">IFERROR(__xludf.DUMMYFUNCTION("""COMPUTED_VALUE"""),"Agendar reunión antes de la radicación del proyecto San Juan de Dios, con Copasa, Galia, Secretaría de Salud, Embajador de España y ERU para hacer seguimiento a San Juan de Dios.")</f>
        <v>Agendar reunión antes de la radicación del proyecto San Juan de Dios, con Copasa, Galia, Secretaría de Salud, Embajador de España y ERU para hacer seguimiento a San Juan de Dios.</v>
      </c>
      <c r="G3603" s="25" t="str">
        <f ca="1">IFERROR(__xludf.DUMMYFUNCTION("""COMPUTED_VALUE"""),"99. Distrito")</f>
        <v>99. Distrito</v>
      </c>
      <c r="H3603" s="55">
        <f ca="1">IFERROR(__xludf.DUMMYFUNCTION("""COMPUTED_VALUE"""),44316)</f>
        <v>44316</v>
      </c>
      <c r="I3603" s="25"/>
      <c r="J3603" s="55" t="str">
        <f ca="1">IFERROR(__xludf.DUMMYFUNCTION("""COMPUTED_VALUE"""),"Alta")</f>
        <v>Alta</v>
      </c>
      <c r="K3603" s="25">
        <f ca="1">IFERROR(__xludf.DUMMYFUNCTION("""COMPUTED_VALUE"""),30)</f>
        <v>30</v>
      </c>
      <c r="L3603" s="62"/>
      <c r="M3603" s="25"/>
      <c r="N3603" s="25"/>
      <c r="O3603" s="25" t="str">
        <f t="shared" ca="1" si="0"/>
        <v>Secretaría Distrital de Planeación</v>
      </c>
      <c r="P3603" s="25" t="str">
        <f t="shared" si="2"/>
        <v/>
      </c>
      <c r="Q3603" s="25"/>
      <c r="R3603" s="25"/>
      <c r="S3603" s="55"/>
      <c r="T3603" s="56"/>
      <c r="U3603" s="25"/>
      <c r="V3603" s="25"/>
      <c r="W3603" s="25"/>
      <c r="X3603" s="25"/>
      <c r="Y3603" s="25"/>
      <c r="Z3603" s="25"/>
    </row>
    <row r="3604" spans="1:26" ht="52.5" customHeight="1" x14ac:dyDescent="0.25">
      <c r="A3604" s="25" t="str">
        <f ca="1">IFERROR(__xludf.DUMMYFUNCTION("""COMPUTED_VALUE"""),"Plane2")</f>
        <v>Plane2</v>
      </c>
      <c r="B3604" s="25" t="str">
        <f ca="1">IFERROR(__xludf.DUMMYFUNCTION("""COMPUTED_VALUE"""),"Seguimiento CAD ")</f>
        <v xml:space="preserve">Seguimiento CAD </v>
      </c>
      <c r="C3604" s="55" t="str">
        <f ca="1">IFERROR(__xludf.DUMMYFUNCTION("""COMPUTED_VALUE"""),"31/03/2021")</f>
        <v>31/03/2021</v>
      </c>
      <c r="D3604" s="25" t="str">
        <f ca="1">IFERROR(__xludf.DUMMYFUNCTION("""COMPUTED_VALUE"""),"Planeación")</f>
        <v>Planeación</v>
      </c>
      <c r="E3604" s="25" t="str">
        <f ca="1">IFERROR(__xludf.DUMMYFUNCTION("""COMPUTED_VALUE"""),"Secretaría Distrital de Planeación")</f>
        <v>Secretaría Distrital de Planeación</v>
      </c>
      <c r="F3604" s="25" t="str">
        <f ca="1">IFERROR(__xludf.DUMMYFUNCTION("""COMPUTED_VALUE"""),"El 31 de marzo se radica el proyecto al Ministerio de Cultura del San Juan de Dios")</f>
        <v>El 31 de marzo se radica el proyecto al Ministerio de Cultura del San Juan de Dios</v>
      </c>
      <c r="G3604" s="25" t="str">
        <f ca="1">IFERROR(__xludf.DUMMYFUNCTION("""COMPUTED_VALUE"""),"99. Distrito")</f>
        <v>99. Distrito</v>
      </c>
      <c r="H3604" s="55">
        <f ca="1">IFERROR(__xludf.DUMMYFUNCTION("""COMPUTED_VALUE"""),44316)</f>
        <v>44316</v>
      </c>
      <c r="I3604" s="25"/>
      <c r="J3604" s="55" t="str">
        <f ca="1">IFERROR(__xludf.DUMMYFUNCTION("""COMPUTED_VALUE"""),"Alta")</f>
        <v>Alta</v>
      </c>
      <c r="K3604" s="25">
        <f ca="1">IFERROR(__xludf.DUMMYFUNCTION("""COMPUTED_VALUE"""),30)</f>
        <v>30</v>
      </c>
      <c r="L3604" s="62"/>
      <c r="M3604" s="25"/>
      <c r="N3604" s="25"/>
      <c r="O3604" s="25" t="str">
        <f t="shared" ca="1" si="0"/>
        <v>Secretaría Distrital de Planeación</v>
      </c>
      <c r="P3604" s="25" t="str">
        <f t="shared" si="2"/>
        <v/>
      </c>
      <c r="Q3604" s="25"/>
      <c r="R3604" s="25"/>
      <c r="S3604" s="55"/>
      <c r="T3604" s="56"/>
      <c r="U3604" s="25"/>
      <c r="V3604" s="25"/>
      <c r="W3604" s="25"/>
      <c r="X3604" s="25"/>
      <c r="Y3604" s="25"/>
      <c r="Z3604" s="25"/>
    </row>
    <row r="3605" spans="1:26" ht="52.5" customHeight="1" x14ac:dyDescent="0.25">
      <c r="A3605" s="25" t="str">
        <f ca="1">IFERROR(__xludf.DUMMYFUNCTION("""COMPUTED_VALUE"""),"Plane3")</f>
        <v>Plane3</v>
      </c>
      <c r="B3605" s="25" t="str">
        <f ca="1">IFERROR(__xludf.DUMMYFUNCTION("""COMPUTED_VALUE"""),"EMRE Estrategia de Pobreza ")</f>
        <v xml:space="preserve">EMRE Estrategia de Pobreza </v>
      </c>
      <c r="C3605" s="55" t="str">
        <f ca="1">IFERROR(__xludf.DUMMYFUNCTION("""COMPUTED_VALUE"""),"31/03/2021")</f>
        <v>31/03/2021</v>
      </c>
      <c r="D3605" s="25" t="str">
        <f ca="1">IFERROR(__xludf.DUMMYFUNCTION("""COMPUTED_VALUE"""),"Planeación")</f>
        <v>Planeación</v>
      </c>
      <c r="E3605" s="25" t="str">
        <f ca="1">IFERROR(__xludf.DUMMYFUNCTION("""COMPUTED_VALUE"""),"Secretaría Distrital de Planeación")</f>
        <v>Secretaría Distrital de Planeación</v>
      </c>
      <c r="F3605" s="25" t="str">
        <f ca="1">IFERROR(__xludf.DUMMYFUNCTION("""COMPUTED_VALUE"""),"Calcular las coberturas adicionales en inclusión social en el eslabón de las personas que están en riesgo de indigencia.
Para el caso de Educación, calcular la necesidad de cobertura considerando que la demanda puede subir por la búsqueda activa. ")</f>
        <v xml:space="preserve">Calcular las coberturas adicionales en inclusión social en el eslabón de las personas que están en riesgo de indigencia.
Para el caso de Educación, calcular la necesidad de cobertura considerando que la demanda puede subir por la búsqueda activa. </v>
      </c>
      <c r="G3605" s="25" t="str">
        <f ca="1">IFERROR(__xludf.DUMMYFUNCTION("""COMPUTED_VALUE"""),"99. Distrito")</f>
        <v>99. Distrito</v>
      </c>
      <c r="H3605" s="55">
        <f ca="1">IFERROR(__xludf.DUMMYFUNCTION("""COMPUTED_VALUE"""),44316)</f>
        <v>44316</v>
      </c>
      <c r="I3605" s="25"/>
      <c r="J3605" s="55" t="str">
        <f ca="1">IFERROR(__xludf.DUMMYFUNCTION("""COMPUTED_VALUE"""),"Alta")</f>
        <v>Alta</v>
      </c>
      <c r="K3605" s="25">
        <f ca="1">IFERROR(__xludf.DUMMYFUNCTION("""COMPUTED_VALUE"""),30)</f>
        <v>30</v>
      </c>
      <c r="L3605" s="62"/>
      <c r="M3605" s="25"/>
      <c r="N3605" s="25"/>
      <c r="O3605" s="25" t="str">
        <f t="shared" ca="1" si="0"/>
        <v>Secretaría Distrital de Planeación</v>
      </c>
      <c r="P3605" s="25" t="str">
        <f t="shared" si="2"/>
        <v/>
      </c>
      <c r="Q3605" s="25"/>
      <c r="R3605" s="25"/>
      <c r="S3605" s="55"/>
      <c r="T3605" s="56"/>
      <c r="U3605" s="25"/>
      <c r="V3605" s="25"/>
      <c r="W3605" s="25"/>
      <c r="X3605" s="25"/>
      <c r="Y3605" s="25"/>
      <c r="Z3605" s="25"/>
    </row>
    <row r="3606" spans="1:26" ht="52.5" customHeight="1" x14ac:dyDescent="0.25">
      <c r="A3606" s="25" t="str">
        <f ca="1">IFERROR(__xludf.DUMMYFUNCTION("""COMPUTED_VALUE"""),"Plane4")</f>
        <v>Plane4</v>
      </c>
      <c r="B3606" s="25" t="str">
        <f ca="1">IFERROR(__xludf.DUMMYFUNCTION("""COMPUTED_VALUE"""),"Reunión seguimiento POT ")</f>
        <v xml:space="preserve">Reunión seguimiento POT </v>
      </c>
      <c r="C3606" s="55" t="str">
        <f ca="1">IFERROR(__xludf.DUMMYFUNCTION("""COMPUTED_VALUE"""),"26/03/2021")</f>
        <v>26/03/2021</v>
      </c>
      <c r="D3606" s="25" t="str">
        <f ca="1">IFERROR(__xludf.DUMMYFUNCTION("""COMPUTED_VALUE"""),"Planeación")</f>
        <v>Planeación</v>
      </c>
      <c r="E3606" s="25" t="str">
        <f ca="1">IFERROR(__xludf.DUMMYFUNCTION("""COMPUTED_VALUE"""),"Secretaría Distrital de Planeación")</f>
        <v>Secretaría Distrital de Planeación</v>
      </c>
      <c r="F3606" s="25" t="str">
        <f ca="1">IFERROR(__xludf.DUMMYFUNCTION("""COMPUTED_VALUE"""),"Dejar solo dos planes maestros: Servicios Públicos y Movilidad 
")</f>
        <v xml:space="preserve">Dejar solo dos planes maestros: Servicios Públicos y Movilidad 
</v>
      </c>
      <c r="G3606" s="25" t="str">
        <f ca="1">IFERROR(__xludf.DUMMYFUNCTION("""COMPUTED_VALUE"""),"99. Distrito")</f>
        <v>99. Distrito</v>
      </c>
      <c r="H3606" s="55">
        <f ca="1">IFERROR(__xludf.DUMMYFUNCTION("""COMPUTED_VALUE"""),44311)</f>
        <v>44311</v>
      </c>
      <c r="I3606" s="25"/>
      <c r="J3606" s="55" t="str">
        <f ca="1">IFERROR(__xludf.DUMMYFUNCTION("""COMPUTED_VALUE"""),"Alta")</f>
        <v>Alta</v>
      </c>
      <c r="K3606" s="25">
        <f ca="1">IFERROR(__xludf.DUMMYFUNCTION("""COMPUTED_VALUE"""),30)</f>
        <v>30</v>
      </c>
      <c r="L3606" s="62"/>
      <c r="M3606" s="25"/>
      <c r="N3606" s="25"/>
      <c r="O3606" s="25" t="str">
        <f t="shared" ca="1" si="0"/>
        <v>Secretaría Distrital de Planeación</v>
      </c>
      <c r="P3606" s="25" t="str">
        <f t="shared" si="2"/>
        <v/>
      </c>
      <c r="Q3606" s="25"/>
      <c r="R3606" s="25"/>
      <c r="S3606" s="55"/>
      <c r="T3606" s="56"/>
      <c r="U3606" s="25"/>
      <c r="V3606" s="25"/>
      <c r="W3606" s="25"/>
      <c r="X3606" s="25"/>
      <c r="Y3606" s="25"/>
      <c r="Z3606" s="25"/>
    </row>
    <row r="3607" spans="1:26" ht="52.5" customHeight="1" x14ac:dyDescent="0.25">
      <c r="A3607" s="25" t="str">
        <f ca="1">IFERROR(__xludf.DUMMYFUNCTION("""COMPUTED_VALUE"""),"Plane5")</f>
        <v>Plane5</v>
      </c>
      <c r="B3607" s="25" t="str">
        <f ca="1">IFERROR(__xludf.DUMMYFUNCTION("""COMPUTED_VALUE"""),"Reunión seguimiento POT ")</f>
        <v xml:space="preserve">Reunión seguimiento POT </v>
      </c>
      <c r="C3607" s="55" t="str">
        <f ca="1">IFERROR(__xludf.DUMMYFUNCTION("""COMPUTED_VALUE"""),"26/03/2021")</f>
        <v>26/03/2021</v>
      </c>
      <c r="D3607" s="25" t="str">
        <f ca="1">IFERROR(__xludf.DUMMYFUNCTION("""COMPUTED_VALUE"""),"Planeación")</f>
        <v>Planeación</v>
      </c>
      <c r="E3607" s="25" t="str">
        <f ca="1">IFERROR(__xludf.DUMMYFUNCTION("""COMPUTED_VALUE"""),"Secretaría Distrital de Planeación")</f>
        <v>Secretaría Distrital de Planeación</v>
      </c>
      <c r="F3607" s="25" t="str">
        <f ca="1">IFERROR(__xludf.DUMMYFUNCTION("""COMPUTED_VALUE"""),"Hacer modelación/ estimación de cambio de redes, estimaciones de planes parciales: para definir fuentes de financiación")</f>
        <v>Hacer modelación/ estimación de cambio de redes, estimaciones de planes parciales: para definir fuentes de financiación</v>
      </c>
      <c r="G3607" s="25" t="str">
        <f ca="1">IFERROR(__xludf.DUMMYFUNCTION("""COMPUTED_VALUE"""),"99. Distrito")</f>
        <v>99. Distrito</v>
      </c>
      <c r="H3607" s="55">
        <f ca="1">IFERROR(__xludf.DUMMYFUNCTION("""COMPUTED_VALUE"""),44311)</f>
        <v>44311</v>
      </c>
      <c r="I3607" s="25"/>
      <c r="J3607" s="55" t="str">
        <f ca="1">IFERROR(__xludf.DUMMYFUNCTION("""COMPUTED_VALUE"""),"Alta")</f>
        <v>Alta</v>
      </c>
      <c r="K3607" s="25">
        <f ca="1">IFERROR(__xludf.DUMMYFUNCTION("""COMPUTED_VALUE"""),30)</f>
        <v>30</v>
      </c>
      <c r="L3607" s="62"/>
      <c r="M3607" s="25"/>
      <c r="N3607" s="25"/>
      <c r="O3607" s="25" t="str">
        <f t="shared" ca="1" si="0"/>
        <v>Secretaría Distrital de Planeación</v>
      </c>
      <c r="P3607" s="25" t="str">
        <f t="shared" si="2"/>
        <v/>
      </c>
      <c r="Q3607" s="25"/>
      <c r="R3607" s="25"/>
      <c r="S3607" s="55"/>
      <c r="T3607" s="56"/>
      <c r="U3607" s="25"/>
      <c r="V3607" s="25"/>
      <c r="W3607" s="25"/>
      <c r="X3607" s="25"/>
      <c r="Y3607" s="25"/>
      <c r="Z3607" s="25"/>
    </row>
    <row r="3608" spans="1:26" ht="52.5" customHeight="1" x14ac:dyDescent="0.25">
      <c r="A3608" s="25" t="str">
        <f ca="1">IFERROR(__xludf.DUMMYFUNCTION("""COMPUTED_VALUE"""),"Plane6")</f>
        <v>Plane6</v>
      </c>
      <c r="B3608" s="25" t="str">
        <f ca="1">IFERROR(__xludf.DUMMYFUNCTION("""COMPUTED_VALUE"""),"CONFIS")</f>
        <v>CONFIS</v>
      </c>
      <c r="C3608" s="55" t="str">
        <f ca="1">IFERROR(__xludf.DUMMYFUNCTION("""COMPUTED_VALUE"""),"22/04/2021")</f>
        <v>22/04/2021</v>
      </c>
      <c r="D3608" s="25" t="str">
        <f ca="1">IFERROR(__xludf.DUMMYFUNCTION("""COMPUTED_VALUE"""),"Planeación")</f>
        <v>Planeación</v>
      </c>
      <c r="E3608" s="25" t="str">
        <f ca="1">IFERROR(__xludf.DUMMYFUNCTION("""COMPUTED_VALUE"""),"Secretaría Distrital de Planeación")</f>
        <v>Secretaría Distrital de Planeación</v>
      </c>
      <c r="F3608" s="25" t="str">
        <f ca="1">IFERROR(__xludf.DUMMYFUNCTION("""COMPUTED_VALUE"""),"1. Destinar los excedentes financieros de IDPAC al proceso participativo del POT")</f>
        <v>1. Destinar los excedentes financieros de IDPAC al proceso participativo del POT</v>
      </c>
      <c r="G3608" s="25" t="str">
        <f ca="1">IFERROR(__xludf.DUMMYFUNCTION("""COMPUTED_VALUE"""),"99. Distrito")</f>
        <v>99. Distrito</v>
      </c>
      <c r="H3608" s="55">
        <f ca="1">IFERROR(__xludf.DUMMYFUNCTION("""COMPUTED_VALUE"""),44338)</f>
        <v>44338</v>
      </c>
      <c r="I3608" s="25"/>
      <c r="J3608" s="55" t="str">
        <f ca="1">IFERROR(__xludf.DUMMYFUNCTION("""COMPUTED_VALUE"""),"Alta")</f>
        <v>Alta</v>
      </c>
      <c r="K3608" s="25">
        <f ca="1">IFERROR(__xludf.DUMMYFUNCTION("""COMPUTED_VALUE"""),30)</f>
        <v>30</v>
      </c>
      <c r="L3608" s="62"/>
      <c r="M3608" s="25"/>
      <c r="N3608" s="25"/>
      <c r="O3608" s="25" t="str">
        <f t="shared" ca="1" si="0"/>
        <v>Secretaría Distrital de Planeación</v>
      </c>
      <c r="P3608" s="25" t="str">
        <f t="shared" si="2"/>
        <v/>
      </c>
      <c r="Q3608" s="25"/>
      <c r="R3608" s="25"/>
      <c r="S3608" s="55"/>
      <c r="T3608" s="56"/>
      <c r="U3608" s="25"/>
      <c r="V3608" s="25"/>
      <c r="W3608" s="25"/>
      <c r="X3608" s="25"/>
      <c r="Y3608" s="25"/>
      <c r="Z3608" s="25"/>
    </row>
    <row r="3609" spans="1:26" ht="52.5" customHeight="1" x14ac:dyDescent="0.25">
      <c r="A3609" s="25" t="str">
        <f ca="1">IFERROR(__xludf.DUMMYFUNCTION("""COMPUTED_VALUE"""),"Plane7")</f>
        <v>Plane7</v>
      </c>
      <c r="B3609" s="25" t="str">
        <f ca="1">IFERROR(__xludf.DUMMYFUNCTION("""COMPUTED_VALUE"""),"Consejos Locales de Gobierno")</f>
        <v>Consejos Locales de Gobierno</v>
      </c>
      <c r="C3609" s="55" t="str">
        <f ca="1">IFERROR(__xludf.DUMMYFUNCTION("""COMPUTED_VALUE"""),"22/04/2021")</f>
        <v>22/04/2021</v>
      </c>
      <c r="D3609" s="25" t="str">
        <f ca="1">IFERROR(__xludf.DUMMYFUNCTION("""COMPUTED_VALUE"""),"Planeación")</f>
        <v>Planeación</v>
      </c>
      <c r="E3609" s="25" t="str">
        <f ca="1">IFERROR(__xludf.DUMMYFUNCTION("""COMPUTED_VALUE"""),"Secretaría Distrital de Planeación")</f>
        <v>Secretaría Distrital de Planeación</v>
      </c>
      <c r="F3609" s="25" t="str">
        <f ca="1">IFERROR(__xludf.DUMMYFUNCTION("""COMPUTED_VALUE"""),"Revisar las consecuencias jurídicas de incumplir acuerdo hecho con comunidades indígenas en El Edén. Si no tiene consecuencias, incluir como zona de mejoramiento en el POT")</f>
        <v>Revisar las consecuencias jurídicas de incumplir acuerdo hecho con comunidades indígenas en El Edén. Si no tiene consecuencias, incluir como zona de mejoramiento en el POT</v>
      </c>
      <c r="G3609" s="25" t="str">
        <f ca="1">IFERROR(__xludf.DUMMYFUNCTION("""COMPUTED_VALUE"""),"99. Distrito")</f>
        <v>99. Distrito</v>
      </c>
      <c r="H3609" s="55">
        <f ca="1">IFERROR(__xludf.DUMMYFUNCTION("""COMPUTED_VALUE"""),44338)</f>
        <v>44338</v>
      </c>
      <c r="I3609" s="25"/>
      <c r="J3609" s="55" t="str">
        <f ca="1">IFERROR(__xludf.DUMMYFUNCTION("""COMPUTED_VALUE"""),"Alta")</f>
        <v>Alta</v>
      </c>
      <c r="K3609" s="25">
        <f ca="1">IFERROR(__xludf.DUMMYFUNCTION("""COMPUTED_VALUE"""),30)</f>
        <v>30</v>
      </c>
      <c r="L3609" s="62"/>
      <c r="M3609" s="25"/>
      <c r="N3609" s="25"/>
      <c r="O3609" s="25" t="str">
        <f t="shared" ca="1" si="0"/>
        <v>Secretaría Distrital de Planeación</v>
      </c>
      <c r="P3609" s="25" t="str">
        <f t="shared" si="2"/>
        <v/>
      </c>
      <c r="Q3609" s="25"/>
      <c r="R3609" s="25"/>
      <c r="S3609" s="55"/>
      <c r="T3609" s="56"/>
      <c r="U3609" s="25"/>
      <c r="V3609" s="25"/>
      <c r="W3609" s="25"/>
      <c r="X3609" s="25"/>
      <c r="Y3609" s="25"/>
      <c r="Z3609" s="25"/>
    </row>
    <row r="3610" spans="1:26" ht="52.5" customHeight="1" x14ac:dyDescent="0.25">
      <c r="A3610" s="25" t="str">
        <f ca="1">IFERROR(__xludf.DUMMYFUNCTION("""COMPUTED_VALUE"""),"Plane8")</f>
        <v>Plane8</v>
      </c>
      <c r="B3610" s="25" t="str">
        <f ca="1">IFERROR(__xludf.DUMMYFUNCTION("""COMPUTED_VALUE"""),"Reunión POT  Abril 09 de 2021")</f>
        <v>Reunión POT  Abril 09 de 2021</v>
      </c>
      <c r="C3610" s="55" t="str">
        <f ca="1">IFERROR(__xludf.DUMMYFUNCTION("""COMPUTED_VALUE"""),"15/04/2021")</f>
        <v>15/04/2021</v>
      </c>
      <c r="D3610" s="25" t="str">
        <f ca="1">IFERROR(__xludf.DUMMYFUNCTION("""COMPUTED_VALUE"""),"Planeación")</f>
        <v>Planeación</v>
      </c>
      <c r="E3610" s="25" t="str">
        <f ca="1">IFERROR(__xludf.DUMMYFUNCTION("""COMPUTED_VALUE"""),"Secretaría Distrital de Planeación")</f>
        <v>Secretaría Distrital de Planeación</v>
      </c>
      <c r="F3610" s="25" t="str">
        <f ca="1">IFERROR(__xludf.DUMMYFUNCTION("""COMPUTED_VALUE"""),"
Estimar costos de la Av. Bosa .  
Presentar estimación de cual sería la gestión predial. 
Extensión de Av Bosa hasta la Santafé.  
  ")</f>
        <v xml:space="preserve">
Estimar costos de la Av. Bosa .  
Presentar estimación de cual sería la gestión predial. 
Extensión de Av Bosa hasta la Santafé.  
  </v>
      </c>
      <c r="G3610" s="25" t="str">
        <f ca="1">IFERROR(__xludf.DUMMYFUNCTION("""COMPUTED_VALUE"""),"99. Distrito")</f>
        <v>99. Distrito</v>
      </c>
      <c r="H3610" s="55">
        <f ca="1">IFERROR(__xludf.DUMMYFUNCTION("""COMPUTED_VALUE"""),44331)</f>
        <v>44331</v>
      </c>
      <c r="I3610" s="25"/>
      <c r="J3610" s="55" t="str">
        <f ca="1">IFERROR(__xludf.DUMMYFUNCTION("""COMPUTED_VALUE"""),"Alta")</f>
        <v>Alta</v>
      </c>
      <c r="K3610" s="25">
        <f ca="1">IFERROR(__xludf.DUMMYFUNCTION("""COMPUTED_VALUE"""),30)</f>
        <v>30</v>
      </c>
      <c r="L3610" s="62"/>
      <c r="M3610" s="25"/>
      <c r="N3610" s="25"/>
      <c r="O3610" s="25" t="str">
        <f t="shared" ca="1" si="0"/>
        <v>Secretaría Distrital de Planeación</v>
      </c>
      <c r="P3610" s="25" t="str">
        <f t="shared" si="2"/>
        <v/>
      </c>
      <c r="Q3610" s="25"/>
      <c r="R3610" s="25"/>
      <c r="S3610" s="55"/>
      <c r="T3610" s="56"/>
      <c r="U3610" s="25"/>
      <c r="V3610" s="25"/>
      <c r="W3610" s="25"/>
      <c r="X3610" s="25"/>
      <c r="Y3610" s="25"/>
      <c r="Z3610" s="25"/>
    </row>
    <row r="3611" spans="1:26" ht="52.5" customHeight="1" x14ac:dyDescent="0.25">
      <c r="A3611" s="25" t="str">
        <f ca="1">IFERROR(__xludf.DUMMYFUNCTION("""COMPUTED_VALUE"""),"Plane9")</f>
        <v>Plane9</v>
      </c>
      <c r="B3611" s="25" t="str">
        <f ca="1">IFERROR(__xludf.DUMMYFUNCTION("""COMPUTED_VALUE"""),"Reunión POT  Abril 09 de 2021")</f>
        <v>Reunión POT  Abril 09 de 2021</v>
      </c>
      <c r="C3611" s="55" t="str">
        <f ca="1">IFERROR(__xludf.DUMMYFUNCTION("""COMPUTED_VALUE"""),"15/04/2021")</f>
        <v>15/04/2021</v>
      </c>
      <c r="D3611" s="25" t="str">
        <f ca="1">IFERROR(__xludf.DUMMYFUNCTION("""COMPUTED_VALUE"""),"Planeación")</f>
        <v>Planeación</v>
      </c>
      <c r="E3611" s="25" t="str">
        <f ca="1">IFERROR(__xludf.DUMMYFUNCTION("""COMPUTED_VALUE"""),"Secretaría Distrital de Planeación")</f>
        <v>Secretaría Distrital de Planeación</v>
      </c>
      <c r="F3611" s="25" t="str">
        <f ca="1">IFERROR(__xludf.DUMMYFUNCTION("""COMPUTED_VALUE"""),"Definir qué se va a hacer en el sector del Polo")</f>
        <v>Definir qué se va a hacer en el sector del Polo</v>
      </c>
      <c r="G3611" s="25" t="str">
        <f ca="1">IFERROR(__xludf.DUMMYFUNCTION("""COMPUTED_VALUE"""),"99. Distrito")</f>
        <v>99. Distrito</v>
      </c>
      <c r="H3611" s="55">
        <f ca="1">IFERROR(__xludf.DUMMYFUNCTION("""COMPUTED_VALUE"""),44331)</f>
        <v>44331</v>
      </c>
      <c r="I3611" s="25"/>
      <c r="J3611" s="55" t="str">
        <f ca="1">IFERROR(__xludf.DUMMYFUNCTION("""COMPUTED_VALUE"""),"Alta")</f>
        <v>Alta</v>
      </c>
      <c r="K3611" s="25">
        <f ca="1">IFERROR(__xludf.DUMMYFUNCTION("""COMPUTED_VALUE"""),30)</f>
        <v>30</v>
      </c>
      <c r="L3611" s="62"/>
      <c r="M3611" s="25"/>
      <c r="N3611" s="25"/>
      <c r="O3611" s="25" t="str">
        <f t="shared" ca="1" si="0"/>
        <v>Secretaría Distrital de Planeación</v>
      </c>
      <c r="P3611" s="25" t="str">
        <f t="shared" si="2"/>
        <v/>
      </c>
      <c r="Q3611" s="25"/>
      <c r="R3611" s="25"/>
      <c r="S3611" s="55"/>
      <c r="T3611" s="56"/>
      <c r="U3611" s="25"/>
      <c r="V3611" s="25"/>
      <c r="W3611" s="25"/>
      <c r="X3611" s="25"/>
      <c r="Y3611" s="25"/>
      <c r="Z3611" s="25"/>
    </row>
    <row r="3612" spans="1:26" ht="52.5" customHeight="1" x14ac:dyDescent="0.25">
      <c r="A3612" s="25" t="str">
        <f ca="1">IFERROR(__xludf.DUMMYFUNCTION("""COMPUTED_VALUE"""),"Plane10")</f>
        <v>Plane10</v>
      </c>
      <c r="B3612" s="25" t="str">
        <f ca="1">IFERROR(__xludf.DUMMYFUNCTION("""COMPUTED_VALUE"""),"Reunión POT  Abril 09 de 2021")</f>
        <v>Reunión POT  Abril 09 de 2021</v>
      </c>
      <c r="C3612" s="55" t="str">
        <f ca="1">IFERROR(__xludf.DUMMYFUNCTION("""COMPUTED_VALUE"""),"15/04/2021")</f>
        <v>15/04/2021</v>
      </c>
      <c r="D3612" s="25" t="str">
        <f ca="1">IFERROR(__xludf.DUMMYFUNCTION("""COMPUTED_VALUE"""),"Planeación")</f>
        <v>Planeación</v>
      </c>
      <c r="E3612" s="25" t="str">
        <f ca="1">IFERROR(__xludf.DUMMYFUNCTION("""COMPUTED_VALUE"""),"Secretaría Distrital de Planeación")</f>
        <v>Secretaría Distrital de Planeación</v>
      </c>
      <c r="F3612" s="25" t="str">
        <f ca="1">IFERROR(__xludf.DUMMYFUNCTION("""COMPUTED_VALUE"""),"Hacer el trazado de la reserva vial para extender la Av. Boyacá para que salga a la Auto Norte y se conecte con la troncal de los Andes.  ")</f>
        <v xml:space="preserve">Hacer el trazado de la reserva vial para extender la Av. Boyacá para que salga a la Auto Norte y se conecte con la troncal de los Andes.  </v>
      </c>
      <c r="G3612" s="25" t="str">
        <f ca="1">IFERROR(__xludf.DUMMYFUNCTION("""COMPUTED_VALUE"""),"99. Distrito")</f>
        <v>99. Distrito</v>
      </c>
      <c r="H3612" s="55">
        <f ca="1">IFERROR(__xludf.DUMMYFUNCTION("""COMPUTED_VALUE"""),44331)</f>
        <v>44331</v>
      </c>
      <c r="I3612" s="25"/>
      <c r="J3612" s="55" t="str">
        <f ca="1">IFERROR(__xludf.DUMMYFUNCTION("""COMPUTED_VALUE"""),"Alta")</f>
        <v>Alta</v>
      </c>
      <c r="K3612" s="25">
        <f ca="1">IFERROR(__xludf.DUMMYFUNCTION("""COMPUTED_VALUE"""),30)</f>
        <v>30</v>
      </c>
      <c r="L3612" s="62"/>
      <c r="M3612" s="25"/>
      <c r="N3612" s="25"/>
      <c r="O3612" s="25" t="str">
        <f t="shared" ca="1" si="0"/>
        <v>Secretaría Distrital de Planeación</v>
      </c>
      <c r="P3612" s="25" t="str">
        <f t="shared" si="2"/>
        <v/>
      </c>
      <c r="Q3612" s="25"/>
      <c r="R3612" s="25"/>
      <c r="S3612" s="55"/>
      <c r="T3612" s="56"/>
      <c r="U3612" s="25"/>
      <c r="V3612" s="25"/>
      <c r="W3612" s="25"/>
      <c r="X3612" s="25"/>
      <c r="Y3612" s="25"/>
      <c r="Z3612" s="25"/>
    </row>
    <row r="3613" spans="1:26" ht="52.5" customHeight="1" x14ac:dyDescent="0.25">
      <c r="A3613" s="25" t="str">
        <f ca="1">IFERROR(__xludf.DUMMYFUNCTION("""COMPUTED_VALUE"""),"Plane11")</f>
        <v>Plane11</v>
      </c>
      <c r="B3613" s="25" t="str">
        <f ca="1">IFERROR(__xludf.DUMMYFUNCTION("""COMPUTED_VALUE"""),"Reunión POT  Abril 09 de 2021")</f>
        <v>Reunión POT  Abril 09 de 2021</v>
      </c>
      <c r="C3613" s="55" t="str">
        <f ca="1">IFERROR(__xludf.DUMMYFUNCTION("""COMPUTED_VALUE"""),"15/04/2021")</f>
        <v>15/04/2021</v>
      </c>
      <c r="D3613" s="25" t="str">
        <f ca="1">IFERROR(__xludf.DUMMYFUNCTION("""COMPUTED_VALUE"""),"Planeación")</f>
        <v>Planeación</v>
      </c>
      <c r="E3613" s="25" t="str">
        <f ca="1">IFERROR(__xludf.DUMMYFUNCTION("""COMPUTED_VALUE"""),"Secretaría Distrital de Planeación")</f>
        <v>Secretaría Distrital de Planeación</v>
      </c>
      <c r="F3613" s="25" t="str">
        <f ca="1">IFERROR(__xludf.DUMMYFUNCTION("""COMPUTED_VALUE"""),"Incluir en lo contratado con el FDN para Regiotram del sur para incluir el metro cable de Cerro Seco ")</f>
        <v xml:space="preserve">Incluir en lo contratado con el FDN para Regiotram del sur para incluir el metro cable de Cerro Seco </v>
      </c>
      <c r="G3613" s="25" t="str">
        <f ca="1">IFERROR(__xludf.DUMMYFUNCTION("""COMPUTED_VALUE"""),"99. Distrito")</f>
        <v>99. Distrito</v>
      </c>
      <c r="H3613" s="55">
        <f ca="1">IFERROR(__xludf.DUMMYFUNCTION("""COMPUTED_VALUE"""),44331)</f>
        <v>44331</v>
      </c>
      <c r="I3613" s="25"/>
      <c r="J3613" s="55" t="str">
        <f ca="1">IFERROR(__xludf.DUMMYFUNCTION("""COMPUTED_VALUE"""),"Alta")</f>
        <v>Alta</v>
      </c>
      <c r="K3613" s="25">
        <f ca="1">IFERROR(__xludf.DUMMYFUNCTION("""COMPUTED_VALUE"""),30)</f>
        <v>30</v>
      </c>
      <c r="L3613" s="62"/>
      <c r="M3613" s="25"/>
      <c r="N3613" s="25"/>
      <c r="O3613" s="25" t="str">
        <f t="shared" ca="1" si="0"/>
        <v>Secretaría Distrital de Planeación</v>
      </c>
      <c r="P3613" s="25" t="str">
        <f t="shared" si="2"/>
        <v/>
      </c>
      <c r="Q3613" s="25"/>
      <c r="R3613" s="25"/>
      <c r="S3613" s="55"/>
      <c r="T3613" s="56"/>
      <c r="U3613" s="25"/>
      <c r="V3613" s="25"/>
      <c r="W3613" s="25"/>
      <c r="X3613" s="25"/>
      <c r="Y3613" s="25"/>
      <c r="Z3613" s="25"/>
    </row>
    <row r="3614" spans="1:26" ht="52.5" customHeight="1" x14ac:dyDescent="0.25">
      <c r="A3614" s="25" t="str">
        <f ca="1">IFERROR(__xludf.DUMMYFUNCTION("""COMPUTED_VALUE"""),"Plane12")</f>
        <v>Plane12</v>
      </c>
      <c r="B3614" s="25" t="str">
        <f ca="1">IFERROR(__xludf.DUMMYFUNCTION("""COMPUTED_VALUE"""),"Reunión POT  Abril 09 de 2021")</f>
        <v>Reunión POT  Abril 09 de 2021</v>
      </c>
      <c r="C3614" s="55" t="str">
        <f ca="1">IFERROR(__xludf.DUMMYFUNCTION("""COMPUTED_VALUE"""),"15/04/2021")</f>
        <v>15/04/2021</v>
      </c>
      <c r="D3614" s="25" t="str">
        <f ca="1">IFERROR(__xludf.DUMMYFUNCTION("""COMPUTED_VALUE"""),"Planeación")</f>
        <v>Planeación</v>
      </c>
      <c r="E3614" s="25" t="str">
        <f ca="1">IFERROR(__xludf.DUMMYFUNCTION("""COMPUTED_VALUE"""),"Secretaría Distrital de Planeación")</f>
        <v>Secretaría Distrital de Planeación</v>
      </c>
      <c r="F3614" s="25" t="str">
        <f ca="1">IFERROR(__xludf.DUMMYFUNCTION("""COMPUTED_VALUE"""),"Revisar el detalle del mejoramiento de la vía de Tres Esquinas, Sierra Morena hasta la Av. Villavicencio")</f>
        <v>Revisar el detalle del mejoramiento de la vía de Tres Esquinas, Sierra Morena hasta la Av. Villavicencio</v>
      </c>
      <c r="G3614" s="25" t="str">
        <f ca="1">IFERROR(__xludf.DUMMYFUNCTION("""COMPUTED_VALUE"""),"99. Distrito")</f>
        <v>99. Distrito</v>
      </c>
      <c r="H3614" s="55">
        <f ca="1">IFERROR(__xludf.DUMMYFUNCTION("""COMPUTED_VALUE"""),44331)</f>
        <v>44331</v>
      </c>
      <c r="I3614" s="25"/>
      <c r="J3614" s="55" t="str">
        <f ca="1">IFERROR(__xludf.DUMMYFUNCTION("""COMPUTED_VALUE"""),"Alta")</f>
        <v>Alta</v>
      </c>
      <c r="K3614" s="25">
        <f ca="1">IFERROR(__xludf.DUMMYFUNCTION("""COMPUTED_VALUE"""),30)</f>
        <v>30</v>
      </c>
      <c r="L3614" s="62"/>
      <c r="M3614" s="25"/>
      <c r="N3614" s="25"/>
      <c r="O3614" s="25" t="str">
        <f t="shared" ca="1" si="0"/>
        <v>Secretaría Distrital de Planeación</v>
      </c>
      <c r="P3614" s="25" t="str">
        <f t="shared" si="2"/>
        <v/>
      </c>
      <c r="Q3614" s="25"/>
      <c r="R3614" s="25"/>
      <c r="S3614" s="55"/>
      <c r="T3614" s="56"/>
      <c r="U3614" s="25"/>
      <c r="V3614" s="25"/>
      <c r="W3614" s="25"/>
      <c r="X3614" s="25"/>
      <c r="Y3614" s="25"/>
      <c r="Z3614" s="25"/>
    </row>
    <row r="3615" spans="1:26" ht="52.5" customHeight="1" x14ac:dyDescent="0.25">
      <c r="A3615" s="25" t="str">
        <f ca="1">IFERROR(__xludf.DUMMYFUNCTION("""COMPUTED_VALUE"""),"Plane13")</f>
        <v>Plane13</v>
      </c>
      <c r="B3615" s="25" t="str">
        <f ca="1">IFERROR(__xludf.DUMMYFUNCTION("""COMPUTED_VALUE"""),"Reunión POT Marzo 26 de 2021")</f>
        <v>Reunión POT Marzo 26 de 2021</v>
      </c>
      <c r="C3615" s="55" t="str">
        <f ca="1">IFERROR(__xludf.DUMMYFUNCTION("""COMPUTED_VALUE"""),"15/04/2021")</f>
        <v>15/04/2021</v>
      </c>
      <c r="D3615" s="25" t="str">
        <f ca="1">IFERROR(__xludf.DUMMYFUNCTION("""COMPUTED_VALUE"""),"Planeación")</f>
        <v>Planeación</v>
      </c>
      <c r="E3615" s="25" t="str">
        <f ca="1">IFERROR(__xludf.DUMMYFUNCTION("""COMPUTED_VALUE"""),"Secretaría Distrital de Planeación")</f>
        <v>Secretaría Distrital de Planeación</v>
      </c>
      <c r="F3615" s="25" t="str">
        <f ca="1">IFERROR(__xludf.DUMMYFUNCTION("""COMPUTED_VALUE"""),"Hacer el periódico del POT y concretar canales de distribución")</f>
        <v>Hacer el periódico del POT y concretar canales de distribución</v>
      </c>
      <c r="G3615" s="25" t="str">
        <f ca="1">IFERROR(__xludf.DUMMYFUNCTION("""COMPUTED_VALUE"""),"99. Distrito")</f>
        <v>99. Distrito</v>
      </c>
      <c r="H3615" s="55">
        <f ca="1">IFERROR(__xludf.DUMMYFUNCTION("""COMPUTED_VALUE"""),44331)</f>
        <v>44331</v>
      </c>
      <c r="I3615" s="25"/>
      <c r="J3615" s="55" t="str">
        <f ca="1">IFERROR(__xludf.DUMMYFUNCTION("""COMPUTED_VALUE"""),"Alta")</f>
        <v>Alta</v>
      </c>
      <c r="K3615" s="25">
        <f ca="1">IFERROR(__xludf.DUMMYFUNCTION("""COMPUTED_VALUE"""),30)</f>
        <v>30</v>
      </c>
      <c r="L3615" s="62"/>
      <c r="M3615" s="25"/>
      <c r="N3615" s="25"/>
      <c r="O3615" s="25" t="str">
        <f t="shared" ca="1" si="0"/>
        <v>Secretaría Distrital de Planeación</v>
      </c>
      <c r="P3615" s="25" t="str">
        <f t="shared" si="2"/>
        <v/>
      </c>
      <c r="Q3615" s="25"/>
      <c r="R3615" s="25"/>
      <c r="S3615" s="55"/>
      <c r="T3615" s="56"/>
      <c r="U3615" s="25"/>
      <c r="V3615" s="25"/>
      <c r="W3615" s="25"/>
      <c r="X3615" s="25"/>
      <c r="Y3615" s="25"/>
      <c r="Z3615" s="25"/>
    </row>
    <row r="3616" spans="1:26" ht="52.5" customHeight="1" x14ac:dyDescent="0.25">
      <c r="A3616" s="25" t="str">
        <f ca="1">IFERROR(__xludf.DUMMYFUNCTION("""COMPUTED_VALUE"""),"Plane14")</f>
        <v>Plane14</v>
      </c>
      <c r="B3616" s="25" t="str">
        <f ca="1">IFERROR(__xludf.DUMMYFUNCTION("""COMPUTED_VALUE"""),"Reunión POT Marzo 26 de 2021")</f>
        <v>Reunión POT Marzo 26 de 2021</v>
      </c>
      <c r="C3616" s="55" t="str">
        <f ca="1">IFERROR(__xludf.DUMMYFUNCTION("""COMPUTED_VALUE"""),"15/04/2021")</f>
        <v>15/04/2021</v>
      </c>
      <c r="D3616" s="25" t="str">
        <f ca="1">IFERROR(__xludf.DUMMYFUNCTION("""COMPUTED_VALUE"""),"Planeación")</f>
        <v>Planeación</v>
      </c>
      <c r="E3616" s="25" t="str">
        <f ca="1">IFERROR(__xludf.DUMMYFUNCTION("""COMPUTED_VALUE"""),"Secretaría Distrital de Planeación")</f>
        <v>Secretaría Distrital de Planeación</v>
      </c>
      <c r="F3616" s="25" t="str">
        <f ca="1">IFERROR(__xludf.DUMMYFUNCTION("""COMPUTED_VALUE"""),"Hacer un mapa que maximice las modalidades de la revitalización sobre las otras modalidades de renovación  ")</f>
        <v xml:space="preserve">Hacer un mapa que maximice las modalidades de la revitalización sobre las otras modalidades de renovación  </v>
      </c>
      <c r="G3616" s="25" t="str">
        <f ca="1">IFERROR(__xludf.DUMMYFUNCTION("""COMPUTED_VALUE"""),"99. Distrito")</f>
        <v>99. Distrito</v>
      </c>
      <c r="H3616" s="55">
        <f ca="1">IFERROR(__xludf.DUMMYFUNCTION("""COMPUTED_VALUE"""),44331)</f>
        <v>44331</v>
      </c>
      <c r="I3616" s="25"/>
      <c r="J3616" s="55" t="str">
        <f ca="1">IFERROR(__xludf.DUMMYFUNCTION("""COMPUTED_VALUE"""),"Alta")</f>
        <v>Alta</v>
      </c>
      <c r="K3616" s="25">
        <f ca="1">IFERROR(__xludf.DUMMYFUNCTION("""COMPUTED_VALUE"""),30)</f>
        <v>30</v>
      </c>
      <c r="L3616" s="62"/>
      <c r="M3616" s="25"/>
      <c r="N3616" s="25"/>
      <c r="O3616" s="25" t="str">
        <f t="shared" ca="1" si="0"/>
        <v>Secretaría Distrital de Planeación</v>
      </c>
      <c r="P3616" s="25" t="str">
        <f t="shared" si="2"/>
        <v/>
      </c>
      <c r="Q3616" s="25"/>
      <c r="R3616" s="25"/>
      <c r="S3616" s="55"/>
      <c r="T3616" s="56"/>
      <c r="U3616" s="25"/>
      <c r="V3616" s="25"/>
      <c r="W3616" s="25"/>
      <c r="X3616" s="25"/>
      <c r="Y3616" s="25"/>
      <c r="Z3616" s="25"/>
    </row>
    <row r="3617" spans="1:26" ht="52.5" customHeight="1" x14ac:dyDescent="0.25">
      <c r="A3617" s="25" t="str">
        <f ca="1">IFERROR(__xludf.DUMMYFUNCTION("""COMPUTED_VALUE"""),"Plane15")</f>
        <v>Plane15</v>
      </c>
      <c r="B3617" s="25" t="str">
        <f ca="1">IFERROR(__xludf.DUMMYFUNCTION("""COMPUTED_VALUE"""),"Reunión POT Marzo 26 de 2021")</f>
        <v>Reunión POT Marzo 26 de 2021</v>
      </c>
      <c r="C3617" s="55" t="str">
        <f ca="1">IFERROR(__xludf.DUMMYFUNCTION("""COMPUTED_VALUE"""),"15/04/2021")</f>
        <v>15/04/2021</v>
      </c>
      <c r="D3617" s="25" t="str">
        <f ca="1">IFERROR(__xludf.DUMMYFUNCTION("""COMPUTED_VALUE"""),"Planeación")</f>
        <v>Planeación</v>
      </c>
      <c r="E3617" s="25" t="str">
        <f ca="1">IFERROR(__xludf.DUMMYFUNCTION("""COMPUTED_VALUE"""),"Secretaría Distrital de Planeación")</f>
        <v>Secretaría Distrital de Planeación</v>
      </c>
      <c r="F3617" s="25" t="str">
        <f ca="1">IFERROR(__xludf.DUMMYFUNCTION("""COMPUTED_VALUE"""),"Hacer una propuesta para desplazar hornos crematorios en las zonas urbanas  ")</f>
        <v xml:space="preserve">Hacer una propuesta para desplazar hornos crematorios en las zonas urbanas  </v>
      </c>
      <c r="G3617" s="25" t="str">
        <f ca="1">IFERROR(__xludf.DUMMYFUNCTION("""COMPUTED_VALUE"""),"99. Distrito")</f>
        <v>99. Distrito</v>
      </c>
      <c r="H3617" s="55">
        <f ca="1">IFERROR(__xludf.DUMMYFUNCTION("""COMPUTED_VALUE"""),44331)</f>
        <v>44331</v>
      </c>
      <c r="I3617" s="25"/>
      <c r="J3617" s="55" t="str">
        <f ca="1">IFERROR(__xludf.DUMMYFUNCTION("""COMPUTED_VALUE"""),"Alta")</f>
        <v>Alta</v>
      </c>
      <c r="K3617" s="25">
        <f ca="1">IFERROR(__xludf.DUMMYFUNCTION("""COMPUTED_VALUE"""),30)</f>
        <v>30</v>
      </c>
      <c r="L3617" s="62"/>
      <c r="M3617" s="25"/>
      <c r="N3617" s="25"/>
      <c r="O3617" s="25" t="str">
        <f t="shared" ca="1" si="0"/>
        <v>Secretaría Distrital de Planeación</v>
      </c>
      <c r="P3617" s="25" t="str">
        <f t="shared" si="2"/>
        <v/>
      </c>
      <c r="Q3617" s="25"/>
      <c r="R3617" s="25"/>
      <c r="S3617" s="55"/>
      <c r="T3617" s="56"/>
      <c r="U3617" s="25"/>
      <c r="V3617" s="25"/>
      <c r="W3617" s="25"/>
      <c r="X3617" s="25"/>
      <c r="Y3617" s="25"/>
      <c r="Z3617" s="25"/>
    </row>
    <row r="3618" spans="1:26" ht="52.5" customHeight="1" x14ac:dyDescent="0.25">
      <c r="A3618" s="25" t="str">
        <f ca="1">IFERROR(__xludf.DUMMYFUNCTION("""COMPUTED_VALUE"""),"Plane16")</f>
        <v>Plane16</v>
      </c>
      <c r="B3618" s="25" t="str">
        <f ca="1">IFERROR(__xludf.DUMMYFUNCTION("""COMPUTED_VALUE"""),"Reunión POT Marzo 26 de 2021")</f>
        <v>Reunión POT Marzo 26 de 2021</v>
      </c>
      <c r="C3618" s="55" t="str">
        <f ca="1">IFERROR(__xludf.DUMMYFUNCTION("""COMPUTED_VALUE"""),"15/04/2021")</f>
        <v>15/04/2021</v>
      </c>
      <c r="D3618" s="25" t="str">
        <f ca="1">IFERROR(__xludf.DUMMYFUNCTION("""COMPUTED_VALUE"""),"Planeación")</f>
        <v>Planeación</v>
      </c>
      <c r="E3618" s="25" t="str">
        <f ca="1">IFERROR(__xludf.DUMMYFUNCTION("""COMPUTED_VALUE"""),"Secretaría Distrital de Planeación")</f>
        <v>Secretaría Distrital de Planeación</v>
      </c>
      <c r="F3618" s="25" t="str">
        <f ca="1">IFERROR(__xludf.DUMMYFUNCTION("""COMPUTED_VALUE"""),"Los trazados de la Av. C. de Cali y la ALO deben quedar estipulados como suelo rural.  ")</f>
        <v xml:space="preserve">Los trazados de la Av. C. de Cali y la ALO deben quedar estipulados como suelo rural.  </v>
      </c>
      <c r="G3618" s="25" t="str">
        <f ca="1">IFERROR(__xludf.DUMMYFUNCTION("""COMPUTED_VALUE"""),"99. Distrito")</f>
        <v>99. Distrito</v>
      </c>
      <c r="H3618" s="55">
        <f ca="1">IFERROR(__xludf.DUMMYFUNCTION("""COMPUTED_VALUE"""),44331)</f>
        <v>44331</v>
      </c>
      <c r="I3618" s="25"/>
      <c r="J3618" s="55" t="str">
        <f ca="1">IFERROR(__xludf.DUMMYFUNCTION("""COMPUTED_VALUE"""),"Alta")</f>
        <v>Alta</v>
      </c>
      <c r="K3618" s="25">
        <f ca="1">IFERROR(__xludf.DUMMYFUNCTION("""COMPUTED_VALUE"""),30)</f>
        <v>30</v>
      </c>
      <c r="L3618" s="62"/>
      <c r="M3618" s="25"/>
      <c r="N3618" s="25"/>
      <c r="O3618" s="25" t="str">
        <f t="shared" ca="1" si="0"/>
        <v>Secretaría Distrital de Planeación</v>
      </c>
      <c r="P3618" s="25" t="str">
        <f t="shared" si="2"/>
        <v/>
      </c>
      <c r="Q3618" s="25"/>
      <c r="R3618" s="25"/>
      <c r="S3618" s="55"/>
      <c r="T3618" s="56"/>
      <c r="U3618" s="25"/>
      <c r="V3618" s="25"/>
      <c r="W3618" s="25"/>
      <c r="X3618" s="25"/>
      <c r="Y3618" s="25"/>
      <c r="Z3618" s="25"/>
    </row>
    <row r="3619" spans="1:26" ht="52.5" customHeight="1" x14ac:dyDescent="0.25">
      <c r="A3619" s="25" t="str">
        <f ca="1">IFERROR(__xludf.DUMMYFUNCTION("""COMPUTED_VALUE"""),"Plane17")</f>
        <v>Plane17</v>
      </c>
      <c r="B3619" s="25" t="str">
        <f ca="1">IFERROR(__xludf.DUMMYFUNCTION("""COMPUTED_VALUE"""),"Reunión POT Marzo 26 de 2021")</f>
        <v>Reunión POT Marzo 26 de 2021</v>
      </c>
      <c r="C3619" s="55" t="str">
        <f ca="1">IFERROR(__xludf.DUMMYFUNCTION("""COMPUTED_VALUE"""),"15/04/2021")</f>
        <v>15/04/2021</v>
      </c>
      <c r="D3619" s="25" t="str">
        <f ca="1">IFERROR(__xludf.DUMMYFUNCTION("""COMPUTED_VALUE"""),"Planeación")</f>
        <v>Planeación</v>
      </c>
      <c r="E3619" s="25" t="str">
        <f ca="1">IFERROR(__xludf.DUMMYFUNCTION("""COMPUTED_VALUE"""),"Secretaría Distrital de Planeación")</f>
        <v>Secretaría Distrital de Planeación</v>
      </c>
      <c r="F3619" s="25" t="str">
        <f ca="1">IFERROR(__xludf.DUMMYFUNCTION("""COMPUTED_VALUE"""),"Mostrar mapas y estrategias por Distritos.")</f>
        <v>Mostrar mapas y estrategias por Distritos.</v>
      </c>
      <c r="G3619" s="25" t="str">
        <f ca="1">IFERROR(__xludf.DUMMYFUNCTION("""COMPUTED_VALUE"""),"99. Distrito")</f>
        <v>99. Distrito</v>
      </c>
      <c r="H3619" s="55">
        <f ca="1">IFERROR(__xludf.DUMMYFUNCTION("""COMPUTED_VALUE"""),44331)</f>
        <v>44331</v>
      </c>
      <c r="I3619" s="25"/>
      <c r="J3619" s="55" t="str">
        <f ca="1">IFERROR(__xludf.DUMMYFUNCTION("""COMPUTED_VALUE"""),"Alta")</f>
        <v>Alta</v>
      </c>
      <c r="K3619" s="25">
        <f ca="1">IFERROR(__xludf.DUMMYFUNCTION("""COMPUTED_VALUE"""),30)</f>
        <v>30</v>
      </c>
      <c r="L3619" s="62"/>
      <c r="M3619" s="25"/>
      <c r="N3619" s="25"/>
      <c r="O3619" s="25" t="str">
        <f t="shared" ca="1" si="0"/>
        <v>Secretaría Distrital de Planeación</v>
      </c>
      <c r="P3619" s="25" t="str">
        <f t="shared" si="2"/>
        <v/>
      </c>
      <c r="Q3619" s="25"/>
      <c r="R3619" s="25"/>
      <c r="S3619" s="55"/>
      <c r="T3619" s="56"/>
      <c r="U3619" s="25"/>
      <c r="V3619" s="25"/>
      <c r="W3619" s="25"/>
      <c r="X3619" s="25"/>
      <c r="Y3619" s="25"/>
      <c r="Z3619" s="25"/>
    </row>
    <row r="3620" spans="1:26" ht="52.5" customHeight="1" x14ac:dyDescent="0.25">
      <c r="A3620" s="25" t="str">
        <f ca="1">IFERROR(__xludf.DUMMYFUNCTION("""COMPUTED_VALUE"""),"Plane18")</f>
        <v>Plane18</v>
      </c>
      <c r="B3620" s="25" t="str">
        <f ca="1">IFERROR(__xludf.DUMMYFUNCTION("""COMPUTED_VALUE"""),"Reunión POT Marzo 26 de 2021")</f>
        <v>Reunión POT Marzo 26 de 2021</v>
      </c>
      <c r="C3620" s="55" t="str">
        <f ca="1">IFERROR(__xludf.DUMMYFUNCTION("""COMPUTED_VALUE"""),"15/04/2021")</f>
        <v>15/04/2021</v>
      </c>
      <c r="D3620" s="25" t="str">
        <f ca="1">IFERROR(__xludf.DUMMYFUNCTION("""COMPUTED_VALUE"""),"Planeación")</f>
        <v>Planeación</v>
      </c>
      <c r="E3620" s="25" t="str">
        <f ca="1">IFERROR(__xludf.DUMMYFUNCTION("""COMPUTED_VALUE"""),"Secretaría Distrital de Planeación")</f>
        <v>Secretaría Distrital de Planeación</v>
      </c>
      <c r="F3620" s="25" t="str">
        <f ca="1">IFERROR(__xludf.DUMMYFUNCTION("""COMPUTED_VALUE"""),"Revisar las dos propuestas de distritos con Luis Ernesto y Patrick Morales ")</f>
        <v xml:space="preserve">Revisar las dos propuestas de distritos con Luis Ernesto y Patrick Morales </v>
      </c>
      <c r="G3620" s="25" t="str">
        <f ca="1">IFERROR(__xludf.DUMMYFUNCTION("""COMPUTED_VALUE"""),"99. Distrito")</f>
        <v>99. Distrito</v>
      </c>
      <c r="H3620" s="55">
        <f ca="1">IFERROR(__xludf.DUMMYFUNCTION("""COMPUTED_VALUE"""),44331)</f>
        <v>44331</v>
      </c>
      <c r="I3620" s="25"/>
      <c r="J3620" s="55" t="str">
        <f ca="1">IFERROR(__xludf.DUMMYFUNCTION("""COMPUTED_VALUE"""),"Alta")</f>
        <v>Alta</v>
      </c>
      <c r="K3620" s="25">
        <f ca="1">IFERROR(__xludf.DUMMYFUNCTION("""COMPUTED_VALUE"""),30)</f>
        <v>30</v>
      </c>
      <c r="L3620" s="62"/>
      <c r="M3620" s="25"/>
      <c r="N3620" s="25"/>
      <c r="O3620" s="25" t="str">
        <f t="shared" ca="1" si="0"/>
        <v>Secretaría Distrital de Planeación</v>
      </c>
      <c r="P3620" s="25" t="str">
        <f t="shared" si="2"/>
        <v/>
      </c>
      <c r="Q3620" s="25"/>
      <c r="R3620" s="25"/>
      <c r="S3620" s="55"/>
      <c r="T3620" s="56"/>
      <c r="U3620" s="25"/>
      <c r="V3620" s="25"/>
      <c r="W3620" s="25"/>
      <c r="X3620" s="25"/>
      <c r="Y3620" s="25"/>
      <c r="Z3620" s="25"/>
    </row>
    <row r="3621" spans="1:26" ht="52.5" customHeight="1" x14ac:dyDescent="0.25">
      <c r="A3621" s="25" t="str">
        <f ca="1">IFERROR(__xludf.DUMMYFUNCTION("""COMPUTED_VALUE"""),"Plane19")</f>
        <v>Plane19</v>
      </c>
      <c r="B3621" s="25" t="str">
        <f ca="1">IFERROR(__xludf.DUMMYFUNCTION("""COMPUTED_VALUE"""),"Reunión POT Marzo 26 de 2021")</f>
        <v>Reunión POT Marzo 26 de 2021</v>
      </c>
      <c r="C3621" s="55" t="str">
        <f ca="1">IFERROR(__xludf.DUMMYFUNCTION("""COMPUTED_VALUE"""),"15/04/2021")</f>
        <v>15/04/2021</v>
      </c>
      <c r="D3621" s="25" t="str">
        <f ca="1">IFERROR(__xludf.DUMMYFUNCTION("""COMPUTED_VALUE"""),"Planeación")</f>
        <v>Planeación</v>
      </c>
      <c r="E3621" s="25" t="str">
        <f ca="1">IFERROR(__xludf.DUMMYFUNCTION("""COMPUTED_VALUE"""),"Secretaría Distrital de Planeación")</f>
        <v>Secretaría Distrital de Planeación</v>
      </c>
      <c r="F3621" s="25" t="str">
        <f ca="1">IFERROR(__xludf.DUMMYFUNCTION("""COMPUTED_VALUE"""),"Toda la estrategia de comunicación debe ir enfocada en los 4 ejes.  ")</f>
        <v xml:space="preserve">Toda la estrategia de comunicación debe ir enfocada en los 4 ejes.  </v>
      </c>
      <c r="G3621" s="25" t="str">
        <f ca="1">IFERROR(__xludf.DUMMYFUNCTION("""COMPUTED_VALUE"""),"99. Distrito")</f>
        <v>99. Distrito</v>
      </c>
      <c r="H3621" s="55">
        <f ca="1">IFERROR(__xludf.DUMMYFUNCTION("""COMPUTED_VALUE"""),44331)</f>
        <v>44331</v>
      </c>
      <c r="I3621" s="25"/>
      <c r="J3621" s="55" t="str">
        <f ca="1">IFERROR(__xludf.DUMMYFUNCTION("""COMPUTED_VALUE"""),"Alta")</f>
        <v>Alta</v>
      </c>
      <c r="K3621" s="25">
        <f ca="1">IFERROR(__xludf.DUMMYFUNCTION("""COMPUTED_VALUE"""),30)</f>
        <v>30</v>
      </c>
      <c r="L3621" s="62"/>
      <c r="M3621" s="25"/>
      <c r="N3621" s="25"/>
      <c r="O3621" s="25" t="str">
        <f t="shared" ca="1" si="0"/>
        <v>Secretaría Distrital de Planeación</v>
      </c>
      <c r="P3621" s="25" t="str">
        <f t="shared" si="2"/>
        <v/>
      </c>
      <c r="Q3621" s="25"/>
      <c r="R3621" s="25"/>
      <c r="S3621" s="55"/>
      <c r="T3621" s="56"/>
      <c r="U3621" s="25"/>
      <c r="V3621" s="25"/>
      <c r="W3621" s="25"/>
      <c r="X3621" s="25"/>
      <c r="Y3621" s="25"/>
      <c r="Z3621" s="25"/>
    </row>
    <row r="3622" spans="1:26" ht="52.5" customHeight="1" x14ac:dyDescent="0.25">
      <c r="A3622" s="25" t="str">
        <f ca="1">IFERROR(__xludf.DUMMYFUNCTION("""COMPUTED_VALUE"""),"Plane20")</f>
        <v>Plane20</v>
      </c>
      <c r="B3622" s="25" t="str">
        <f ca="1">IFERROR(__xludf.DUMMYFUNCTION("""COMPUTED_VALUE"""),"Reunión seguimiento POT ")</f>
        <v xml:space="preserve">Reunión seguimiento POT </v>
      </c>
      <c r="C3622" s="55" t="str">
        <f ca="1">IFERROR(__xludf.DUMMYFUNCTION("""COMPUTED_VALUE"""),"15/04/2021")</f>
        <v>15/04/2021</v>
      </c>
      <c r="D3622" s="25" t="str">
        <f ca="1">IFERROR(__xludf.DUMMYFUNCTION("""COMPUTED_VALUE"""),"Planeación")</f>
        <v>Planeación</v>
      </c>
      <c r="E3622" s="25" t="str">
        <f ca="1">IFERROR(__xludf.DUMMYFUNCTION("""COMPUTED_VALUE"""),"Secretaría Distrital de Planeación")</f>
        <v>Secretaría Distrital de Planeación</v>
      </c>
      <c r="F3622" s="25" t="str">
        <f ca="1">IFERROR(__xludf.DUMMYFUNCTION("""COMPUTED_VALUE"""),"Dejar en la cartografía sistema vial igual al del conpes de movilidad
")</f>
        <v xml:space="preserve">Dejar en la cartografía sistema vial igual al del conpes de movilidad
</v>
      </c>
      <c r="G3622" s="25" t="str">
        <f ca="1">IFERROR(__xludf.DUMMYFUNCTION("""COMPUTED_VALUE"""),"99. Distrito")</f>
        <v>99. Distrito</v>
      </c>
      <c r="H3622" s="55">
        <f ca="1">IFERROR(__xludf.DUMMYFUNCTION("""COMPUTED_VALUE"""),44331)</f>
        <v>44331</v>
      </c>
      <c r="I3622" s="25"/>
      <c r="J3622" s="55" t="str">
        <f ca="1">IFERROR(__xludf.DUMMYFUNCTION("""COMPUTED_VALUE"""),"Alta")</f>
        <v>Alta</v>
      </c>
      <c r="K3622" s="25">
        <f ca="1">IFERROR(__xludf.DUMMYFUNCTION("""COMPUTED_VALUE"""),30)</f>
        <v>30</v>
      </c>
      <c r="L3622" s="62"/>
      <c r="M3622" s="25"/>
      <c r="N3622" s="25"/>
      <c r="O3622" s="25" t="str">
        <f t="shared" ca="1" si="0"/>
        <v>Secretaría Distrital de Planeación</v>
      </c>
      <c r="P3622" s="25" t="str">
        <f t="shared" si="2"/>
        <v/>
      </c>
      <c r="Q3622" s="25"/>
      <c r="R3622" s="25"/>
      <c r="S3622" s="55"/>
      <c r="T3622" s="56"/>
      <c r="U3622" s="25"/>
      <c r="V3622" s="25"/>
      <c r="W3622" s="25"/>
      <c r="X3622" s="25"/>
      <c r="Y3622" s="25"/>
      <c r="Z3622" s="25"/>
    </row>
    <row r="3623" spans="1:26" ht="52.5" customHeight="1" x14ac:dyDescent="0.25">
      <c r="A3623" s="25" t="str">
        <f ca="1">IFERROR(__xludf.DUMMYFUNCTION("""COMPUTED_VALUE"""),"Plane21")</f>
        <v>Plane21</v>
      </c>
      <c r="B3623" s="25" t="str">
        <f ca="1">IFERROR(__xludf.DUMMYFUNCTION("""COMPUTED_VALUE"""),"Reunión seguimiento POT ")</f>
        <v xml:space="preserve">Reunión seguimiento POT </v>
      </c>
      <c r="C3623" s="55" t="str">
        <f ca="1">IFERROR(__xludf.DUMMYFUNCTION("""COMPUTED_VALUE"""),"15/04/2021")</f>
        <v>15/04/2021</v>
      </c>
      <c r="D3623" s="25" t="str">
        <f ca="1">IFERROR(__xludf.DUMMYFUNCTION("""COMPUTED_VALUE"""),"Planeación")</f>
        <v>Planeación</v>
      </c>
      <c r="E3623" s="25" t="str">
        <f ca="1">IFERROR(__xludf.DUMMYFUNCTION("""COMPUTED_VALUE"""),"Secretaría Distrital de Planeación")</f>
        <v>Secretaría Distrital de Planeación</v>
      </c>
      <c r="F3623" s="25" t="str">
        <f ca="1">IFERROR(__xludf.DUMMYFUNCTION("""COMPUTED_VALUE"""),"Revisar trazado regiotram sur y dejar priorizadas troncales: Cali, ALO, 16, 65. Mantener la priorización de las demás vías troncales
")</f>
        <v xml:space="preserve">Revisar trazado regiotram sur y dejar priorizadas troncales: Cali, ALO, 16, 65. Mantener la priorización de las demás vías troncales
</v>
      </c>
      <c r="G3623" s="25" t="str">
        <f ca="1">IFERROR(__xludf.DUMMYFUNCTION("""COMPUTED_VALUE"""),"99. Distrito")</f>
        <v>99. Distrito</v>
      </c>
      <c r="H3623" s="55">
        <f ca="1">IFERROR(__xludf.DUMMYFUNCTION("""COMPUTED_VALUE"""),44331)</f>
        <v>44331</v>
      </c>
      <c r="I3623" s="25"/>
      <c r="J3623" s="55" t="str">
        <f ca="1">IFERROR(__xludf.DUMMYFUNCTION("""COMPUTED_VALUE"""),"Alta")</f>
        <v>Alta</v>
      </c>
      <c r="K3623" s="25">
        <f ca="1">IFERROR(__xludf.DUMMYFUNCTION("""COMPUTED_VALUE"""),30)</f>
        <v>30</v>
      </c>
      <c r="L3623" s="62"/>
      <c r="M3623" s="25"/>
      <c r="N3623" s="25"/>
      <c r="O3623" s="25" t="str">
        <f t="shared" ca="1" si="0"/>
        <v>Secretaría Distrital de Planeación</v>
      </c>
      <c r="P3623" s="25" t="str">
        <f t="shared" si="2"/>
        <v/>
      </c>
      <c r="Q3623" s="25"/>
      <c r="R3623" s="25"/>
      <c r="S3623" s="55"/>
      <c r="T3623" s="56"/>
      <c r="U3623" s="25"/>
      <c r="V3623" s="25"/>
      <c r="W3623" s="25"/>
      <c r="X3623" s="25"/>
      <c r="Y3623" s="25"/>
      <c r="Z3623" s="25"/>
    </row>
    <row r="3624" spans="1:26" ht="52.5" customHeight="1" x14ac:dyDescent="0.25">
      <c r="A3624" s="25" t="str">
        <f ca="1">IFERROR(__xludf.DUMMYFUNCTION("""COMPUTED_VALUE"""),"Plane22")</f>
        <v>Plane22</v>
      </c>
      <c r="B3624" s="25" t="str">
        <f ca="1">IFERROR(__xludf.DUMMYFUNCTION("""COMPUTED_VALUE"""),"Modelo de ocupación territorial ")</f>
        <v xml:space="preserve">Modelo de ocupación territorial </v>
      </c>
      <c r="C3624" s="55" t="str">
        <f ca="1">IFERROR(__xludf.DUMMYFUNCTION("""COMPUTED_VALUE"""),"12/11/2020")</f>
        <v>12/11/2020</v>
      </c>
      <c r="D3624" s="25" t="str">
        <f ca="1">IFERROR(__xludf.DUMMYFUNCTION("""COMPUTED_VALUE"""),"Planeación")</f>
        <v>Planeación</v>
      </c>
      <c r="E3624" s="25" t="str">
        <f ca="1">IFERROR(__xludf.DUMMYFUNCTION("""COMPUTED_VALUE"""),"Secretaría Distrital de Planeación")</f>
        <v>Secretaría Distrital de Planeación</v>
      </c>
      <c r="F3624" s="25" t="str">
        <f ca="1">IFERROR(__xludf.DUMMYFUNCTION("""COMPUTED_VALUE"""),"Incluir en el POT cuatro usos del suelo: mejoramiento, revitalización, desarrollo, cierres mineros
")</f>
        <v xml:space="preserve">Incluir en el POT cuatro usos del suelo: mejoramiento, revitalización, desarrollo, cierres mineros
</v>
      </c>
      <c r="G3624" s="25" t="str">
        <f ca="1">IFERROR(__xludf.DUMMYFUNCTION("""COMPUTED_VALUE"""),"99. Distrito")</f>
        <v>99. Distrito</v>
      </c>
      <c r="H3624" s="55">
        <f ca="1">IFERROR(__xludf.DUMMYFUNCTION("""COMPUTED_VALUE"""),44177)</f>
        <v>44177</v>
      </c>
      <c r="I3624" s="25"/>
      <c r="J3624" s="55" t="str">
        <f ca="1">IFERROR(__xludf.DUMMYFUNCTION("""COMPUTED_VALUE"""),"Alta")</f>
        <v>Alta</v>
      </c>
      <c r="K3624" s="25">
        <f ca="1">IFERROR(__xludf.DUMMYFUNCTION("""COMPUTED_VALUE"""),30)</f>
        <v>30</v>
      </c>
      <c r="L3624" s="62"/>
      <c r="M3624" s="25"/>
      <c r="N3624" s="25"/>
      <c r="O3624" s="25" t="str">
        <f t="shared" ca="1" si="0"/>
        <v>Secretaría Distrital de Planeación</v>
      </c>
      <c r="P3624" s="25" t="str">
        <f t="shared" si="2"/>
        <v/>
      </c>
      <c r="Q3624" s="25"/>
      <c r="R3624" s="25"/>
      <c r="S3624" s="55"/>
      <c r="T3624" s="56"/>
      <c r="U3624" s="25"/>
      <c r="V3624" s="25"/>
      <c r="W3624" s="25"/>
      <c r="X3624" s="25"/>
      <c r="Y3624" s="25"/>
      <c r="Z3624" s="25"/>
    </row>
    <row r="3625" spans="1:26" ht="52.5" customHeight="1" x14ac:dyDescent="0.25">
      <c r="A3625" s="25" t="str">
        <f ca="1">IFERROR(__xludf.DUMMYFUNCTION("""COMPUTED_VALUE"""),"Plane23")</f>
        <v>Plane23</v>
      </c>
      <c r="B3625" s="25" t="str">
        <f ca="1">IFERROR(__xludf.DUMMYFUNCTION("""COMPUTED_VALUE"""),"Modelo de ocupación territorial ")</f>
        <v xml:space="preserve">Modelo de ocupación territorial </v>
      </c>
      <c r="C3625" s="55" t="str">
        <f ca="1">IFERROR(__xludf.DUMMYFUNCTION("""COMPUTED_VALUE"""),"12/11/2020")</f>
        <v>12/11/2020</v>
      </c>
      <c r="D3625" s="25" t="str">
        <f ca="1">IFERROR(__xludf.DUMMYFUNCTION("""COMPUTED_VALUE"""),"Planeación")</f>
        <v>Planeación</v>
      </c>
      <c r="E3625" s="25" t="str">
        <f ca="1">IFERROR(__xludf.DUMMYFUNCTION("""COMPUTED_VALUE"""),"Secretaría Distrital de Planeación")</f>
        <v>Secretaría Distrital de Planeación</v>
      </c>
      <c r="F3625" s="25" t="str">
        <f ca="1">IFERROR(__xludf.DUMMYFUNCTION("""COMPUTED_VALUE"""),"Pendiente la tarea sobre usos de suelo. Eso se definirá con la propuesta de POT que se estima esté en Mayo. Se aplaza para seguimiento.")</f>
        <v>Pendiente la tarea sobre usos de suelo. Eso se definirá con la propuesta de POT que se estima esté en Mayo. Se aplaza para seguimiento.</v>
      </c>
      <c r="G3625" s="25" t="str">
        <f ca="1">IFERROR(__xludf.DUMMYFUNCTION("""COMPUTED_VALUE"""),"99. Distrito")</f>
        <v>99. Distrito</v>
      </c>
      <c r="H3625" s="55">
        <f ca="1">IFERROR(__xludf.DUMMYFUNCTION("""COMPUTED_VALUE"""),44177)</f>
        <v>44177</v>
      </c>
      <c r="I3625" s="25"/>
      <c r="J3625" s="55" t="str">
        <f ca="1">IFERROR(__xludf.DUMMYFUNCTION("""COMPUTED_VALUE"""),"Alta")</f>
        <v>Alta</v>
      </c>
      <c r="K3625" s="25">
        <f ca="1">IFERROR(__xludf.DUMMYFUNCTION("""COMPUTED_VALUE"""),30)</f>
        <v>30</v>
      </c>
      <c r="L3625" s="62"/>
      <c r="M3625" s="25"/>
      <c r="N3625" s="25"/>
      <c r="O3625" s="25" t="str">
        <f t="shared" ca="1" si="0"/>
        <v>Secretaría Distrital de Planeación</v>
      </c>
      <c r="P3625" s="25" t="str">
        <f t="shared" si="2"/>
        <v/>
      </c>
      <c r="Q3625" s="25"/>
      <c r="R3625" s="25"/>
      <c r="S3625" s="55"/>
      <c r="T3625" s="56"/>
      <c r="U3625" s="25"/>
      <c r="V3625" s="25"/>
      <c r="W3625" s="25"/>
      <c r="X3625" s="25"/>
      <c r="Y3625" s="25"/>
      <c r="Z3625" s="25"/>
    </row>
    <row r="3626" spans="1:26" ht="52.5" customHeight="1" x14ac:dyDescent="0.25">
      <c r="A3626" s="25" t="str">
        <f ca="1">IFERROR(__xludf.DUMMYFUNCTION("""COMPUTED_VALUE"""),"Plane24")</f>
        <v>Plane24</v>
      </c>
      <c r="B3626" s="25" t="str">
        <f ca="1">IFERROR(__xludf.DUMMYFUNCTION("""COMPUTED_VALUE"""),"POT, Chía, Cota, Calera ")</f>
        <v xml:space="preserve">POT, Chía, Cota, Calera </v>
      </c>
      <c r="C3626" s="55" t="str">
        <f ca="1">IFERROR(__xludf.DUMMYFUNCTION("""COMPUTED_VALUE"""),"12/11/2020")</f>
        <v>12/11/2020</v>
      </c>
      <c r="D3626" s="25" t="str">
        <f ca="1">IFERROR(__xludf.DUMMYFUNCTION("""COMPUTED_VALUE"""),"Planeación")</f>
        <v>Planeación</v>
      </c>
      <c r="E3626" s="25" t="str">
        <f ca="1">IFERROR(__xludf.DUMMYFUNCTION("""COMPUTED_VALUE"""),"Secretaría Distrital de Planeación")</f>
        <v>Secretaría Distrital de Planeación</v>
      </c>
      <c r="F3626" s="25" t="str">
        <f ca="1">IFERROR(__xludf.DUMMYFUNCTION("""COMPUTED_VALUE"""),"Hacer una reunión con el alcalde de Cota para revisar la ubicación del Patio Taller de la Fase II de la primera línea del Metro. 
")</f>
        <v xml:space="preserve">Hacer una reunión con el alcalde de Cota para revisar la ubicación del Patio Taller de la Fase II de la primera línea del Metro. 
</v>
      </c>
      <c r="G3626" s="25" t="str">
        <f ca="1">IFERROR(__xludf.DUMMYFUNCTION("""COMPUTED_VALUE"""),"99. Distrito")</f>
        <v>99. Distrito</v>
      </c>
      <c r="H3626" s="55">
        <f ca="1">IFERROR(__xludf.DUMMYFUNCTION("""COMPUTED_VALUE"""),44177)</f>
        <v>44177</v>
      </c>
      <c r="I3626" s="25"/>
      <c r="J3626" s="55" t="str">
        <f ca="1">IFERROR(__xludf.DUMMYFUNCTION("""COMPUTED_VALUE"""),"Alta")</f>
        <v>Alta</v>
      </c>
      <c r="K3626" s="25">
        <f ca="1">IFERROR(__xludf.DUMMYFUNCTION("""COMPUTED_VALUE"""),30)</f>
        <v>30</v>
      </c>
      <c r="L3626" s="62"/>
      <c r="M3626" s="25"/>
      <c r="N3626" s="25"/>
      <c r="O3626" s="25" t="str">
        <f t="shared" ca="1" si="0"/>
        <v>Secretaría Distrital de Planeación</v>
      </c>
      <c r="P3626" s="25" t="str">
        <f t="shared" si="2"/>
        <v/>
      </c>
      <c r="Q3626" s="25"/>
      <c r="R3626" s="25"/>
      <c r="S3626" s="55"/>
      <c r="T3626" s="56"/>
      <c r="U3626" s="25"/>
      <c r="V3626" s="25"/>
      <c r="W3626" s="25"/>
      <c r="X3626" s="25"/>
      <c r="Y3626" s="25"/>
      <c r="Z3626" s="25"/>
    </row>
    <row r="3627" spans="1:26" ht="52.5" customHeight="1" x14ac:dyDescent="0.25">
      <c r="A3627" s="25" t="str">
        <f ca="1">IFERROR(__xludf.DUMMYFUNCTION("""COMPUTED_VALUE"""),"Plane25")</f>
        <v>Plane25</v>
      </c>
      <c r="B3627" s="25" t="str">
        <f ca="1">IFERROR(__xludf.DUMMYFUNCTION("""COMPUTED_VALUE"""),"Reunión concertación POTs Gobernación ")</f>
        <v xml:space="preserve">Reunión concertación POTs Gobernación </v>
      </c>
      <c r="C3627" s="55" t="str">
        <f ca="1">IFERROR(__xludf.DUMMYFUNCTION("""COMPUTED_VALUE"""),"12/11/2020")</f>
        <v>12/11/2020</v>
      </c>
      <c r="D3627" s="25" t="str">
        <f ca="1">IFERROR(__xludf.DUMMYFUNCTION("""COMPUTED_VALUE"""),"Planeación")</f>
        <v>Planeación</v>
      </c>
      <c r="E3627" s="25" t="str">
        <f ca="1">IFERROR(__xludf.DUMMYFUNCTION("""COMPUTED_VALUE"""),"Secretaría Distrital de Planeación")</f>
        <v>Secretaría Distrital de Planeación</v>
      </c>
      <c r="F3627" s="25" t="str">
        <f ca="1">IFERROR(__xludf.DUMMYFUNCTION("""COMPUTED_VALUE"""),"Revisar si en la Agencia de tierras regional, de la Región Metropolitana tenga como función exigir entrega de infraestructura y equipamientos que deben construir privados en la región.")</f>
        <v>Revisar si en la Agencia de tierras regional, de la Región Metropolitana tenga como función exigir entrega de infraestructura y equipamientos que deben construir privados en la región.</v>
      </c>
      <c r="G3627" s="25" t="str">
        <f ca="1">IFERROR(__xludf.DUMMYFUNCTION("""COMPUTED_VALUE"""),"99. Distrito")</f>
        <v>99. Distrito</v>
      </c>
      <c r="H3627" s="55">
        <f ca="1">IFERROR(__xludf.DUMMYFUNCTION("""COMPUTED_VALUE"""),44177)</f>
        <v>44177</v>
      </c>
      <c r="I3627" s="25"/>
      <c r="J3627" s="55" t="str">
        <f ca="1">IFERROR(__xludf.DUMMYFUNCTION("""COMPUTED_VALUE"""),"Alta")</f>
        <v>Alta</v>
      </c>
      <c r="K3627" s="25">
        <f ca="1">IFERROR(__xludf.DUMMYFUNCTION("""COMPUTED_VALUE"""),30)</f>
        <v>30</v>
      </c>
      <c r="L3627" s="62"/>
      <c r="M3627" s="25"/>
      <c r="N3627" s="25"/>
      <c r="O3627" s="25" t="str">
        <f t="shared" ca="1" si="0"/>
        <v>Secretaría Distrital de Planeación</v>
      </c>
      <c r="P3627" s="25" t="str">
        <f t="shared" si="2"/>
        <v/>
      </c>
      <c r="Q3627" s="25"/>
      <c r="R3627" s="25"/>
      <c r="S3627" s="55"/>
      <c r="T3627" s="56"/>
      <c r="U3627" s="25"/>
      <c r="V3627" s="25"/>
      <c r="W3627" s="25"/>
      <c r="X3627" s="25"/>
      <c r="Y3627" s="25"/>
      <c r="Z3627" s="25"/>
    </row>
    <row r="3628" spans="1:26" ht="52.5" customHeight="1" x14ac:dyDescent="0.25">
      <c r="A3628" s="25" t="str">
        <f ca="1">IFERROR(__xludf.DUMMYFUNCTION("""COMPUTED_VALUE"""),"Plane26")</f>
        <v>Plane26</v>
      </c>
      <c r="B3628" s="25" t="str">
        <f ca="1">IFERROR(__xludf.DUMMYFUNCTION("""COMPUTED_VALUE"""),"Reunión Planes Parciales ")</f>
        <v xml:space="preserve">Reunión Planes Parciales </v>
      </c>
      <c r="C3628" s="55" t="str">
        <f ca="1">IFERROR(__xludf.DUMMYFUNCTION("""COMPUTED_VALUE"""),"12/11/2020")</f>
        <v>12/11/2020</v>
      </c>
      <c r="D3628" s="25" t="str">
        <f ca="1">IFERROR(__xludf.DUMMYFUNCTION("""COMPUTED_VALUE"""),"Planeación")</f>
        <v>Planeación</v>
      </c>
      <c r="E3628" s="25" t="str">
        <f ca="1">IFERROR(__xludf.DUMMYFUNCTION("""COMPUTED_VALUE"""),"Secretaría Distrital de Planeación")</f>
        <v>Secretaría Distrital de Planeación</v>
      </c>
      <c r="F3628" s="25" t="str">
        <f ca="1">IFERROR(__xludf.DUMMYFUNCTION("""COMPUTED_VALUE"""),"Definir la implementación de la resolución y como afecta Bosa 37 y Corso
1. Idiger envío análisis del proyecto a SDP el viernes pasado.
2. Hoy se tiene reunión hábitat y SDP para tomar decisiones (5 pm) 
3. SDP solicitará concepto a Idiger
")</f>
        <v xml:space="preserve">Definir la implementación de la resolución y como afecta Bosa 37 y Corso
1. Idiger envío análisis del proyecto a SDP el viernes pasado.
2. Hoy se tiene reunión hábitat y SDP para tomar decisiones (5 pm) 
3. SDP solicitará concepto a Idiger
</v>
      </c>
      <c r="G3628" s="25" t="str">
        <f ca="1">IFERROR(__xludf.DUMMYFUNCTION("""COMPUTED_VALUE"""),"99. Distrito")</f>
        <v>99. Distrito</v>
      </c>
      <c r="H3628" s="55">
        <f ca="1">IFERROR(__xludf.DUMMYFUNCTION("""COMPUTED_VALUE"""),44177)</f>
        <v>44177</v>
      </c>
      <c r="I3628" s="25"/>
      <c r="J3628" s="55" t="str">
        <f ca="1">IFERROR(__xludf.DUMMYFUNCTION("""COMPUTED_VALUE"""),"Alta")</f>
        <v>Alta</v>
      </c>
      <c r="K3628" s="25">
        <f ca="1">IFERROR(__xludf.DUMMYFUNCTION("""COMPUTED_VALUE"""),30)</f>
        <v>30</v>
      </c>
      <c r="L3628" s="62"/>
      <c r="M3628" s="25"/>
      <c r="N3628" s="25"/>
      <c r="O3628" s="25" t="str">
        <f t="shared" ca="1" si="0"/>
        <v>Secretaría Distrital de Planeación</v>
      </c>
      <c r="P3628" s="25" t="str">
        <f t="shared" si="2"/>
        <v/>
      </c>
      <c r="Q3628" s="25"/>
      <c r="R3628" s="25"/>
      <c r="S3628" s="55"/>
      <c r="T3628" s="56"/>
      <c r="U3628" s="25"/>
      <c r="V3628" s="25"/>
      <c r="W3628" s="25"/>
      <c r="X3628" s="25"/>
      <c r="Y3628" s="25"/>
      <c r="Z3628" s="25"/>
    </row>
    <row r="3629" spans="1:26" ht="52.5" customHeight="1" x14ac:dyDescent="0.25">
      <c r="A3629" s="25" t="str">
        <f ca="1">IFERROR(__xludf.DUMMYFUNCTION("""COMPUTED_VALUE"""),"Plane27")</f>
        <v>Plane27</v>
      </c>
      <c r="B3629" s="25" t="str">
        <f ca="1">IFERROR(__xludf.DUMMYFUNCTION("""COMPUTED_VALUE"""),"Reunión POT")</f>
        <v>Reunión POT</v>
      </c>
      <c r="C3629" s="55" t="str">
        <f ca="1">IFERROR(__xludf.DUMMYFUNCTION("""COMPUTED_VALUE"""),"12/11/2020")</f>
        <v>12/11/2020</v>
      </c>
      <c r="D3629" s="25" t="str">
        <f ca="1">IFERROR(__xludf.DUMMYFUNCTION("""COMPUTED_VALUE"""),"Planeación")</f>
        <v>Planeación</v>
      </c>
      <c r="E3629" s="25" t="str">
        <f ca="1">IFERROR(__xludf.DUMMYFUNCTION("""COMPUTED_VALUE"""),"Secretaría Distrital de Planeación")</f>
        <v>Secretaría Distrital de Planeación</v>
      </c>
      <c r="F3629" s="25" t="str">
        <f ca="1">IFERROR(__xludf.DUMMYFUNCTION("""COMPUTED_VALUE"""),"Coordinar que hagan match objetivos y proyectos en la estructura general del POT")</f>
        <v>Coordinar que hagan match objetivos y proyectos en la estructura general del POT</v>
      </c>
      <c r="G3629" s="25" t="str">
        <f ca="1">IFERROR(__xludf.DUMMYFUNCTION("""COMPUTED_VALUE"""),"99. Distrito")</f>
        <v>99. Distrito</v>
      </c>
      <c r="H3629" s="55">
        <f ca="1">IFERROR(__xludf.DUMMYFUNCTION("""COMPUTED_VALUE"""),44177)</f>
        <v>44177</v>
      </c>
      <c r="I3629" s="25"/>
      <c r="J3629" s="55" t="str">
        <f ca="1">IFERROR(__xludf.DUMMYFUNCTION("""COMPUTED_VALUE"""),"Alta")</f>
        <v>Alta</v>
      </c>
      <c r="K3629" s="25">
        <f ca="1">IFERROR(__xludf.DUMMYFUNCTION("""COMPUTED_VALUE"""),30)</f>
        <v>30</v>
      </c>
      <c r="L3629" s="62"/>
      <c r="M3629" s="25"/>
      <c r="N3629" s="25"/>
      <c r="O3629" s="25" t="str">
        <f t="shared" ca="1" si="0"/>
        <v>Secretaría Distrital de Planeación</v>
      </c>
      <c r="P3629" s="25" t="str">
        <f t="shared" si="2"/>
        <v/>
      </c>
      <c r="Q3629" s="25"/>
      <c r="R3629" s="25"/>
      <c r="S3629" s="55"/>
      <c r="T3629" s="56"/>
      <c r="U3629" s="25"/>
      <c r="V3629" s="25"/>
      <c r="W3629" s="25"/>
      <c r="X3629" s="25"/>
      <c r="Y3629" s="25"/>
      <c r="Z3629" s="25"/>
    </row>
    <row r="3630" spans="1:26" ht="52.5" customHeight="1" x14ac:dyDescent="0.25">
      <c r="A3630" s="25" t="str">
        <f ca="1">IFERROR(__xludf.DUMMYFUNCTION("""COMPUTED_VALUE"""),"Plane28")</f>
        <v>Plane28</v>
      </c>
      <c r="B3630" s="25" t="str">
        <f ca="1">IFERROR(__xludf.DUMMYFUNCTION("""COMPUTED_VALUE"""),"Reunión POT")</f>
        <v>Reunión POT</v>
      </c>
      <c r="C3630" s="55" t="str">
        <f ca="1">IFERROR(__xludf.DUMMYFUNCTION("""COMPUTED_VALUE"""),"12/11/2020")</f>
        <v>12/11/2020</v>
      </c>
      <c r="D3630" s="25" t="str">
        <f ca="1">IFERROR(__xludf.DUMMYFUNCTION("""COMPUTED_VALUE"""),"Planeación")</f>
        <v>Planeación</v>
      </c>
      <c r="E3630" s="25" t="str">
        <f ca="1">IFERROR(__xludf.DUMMYFUNCTION("""COMPUTED_VALUE"""),"Secretaría Distrital de Planeación")</f>
        <v>Secretaría Distrital de Planeación</v>
      </c>
      <c r="F3630" s="25" t="str">
        <f ca="1">IFERROR(__xludf.DUMMYFUNCTION("""COMPUTED_VALUE"""),"Incluir en el POT un capítulo con fuentes de financiación e instrumentos")</f>
        <v>Incluir en el POT un capítulo con fuentes de financiación e instrumentos</v>
      </c>
      <c r="G3630" s="25" t="str">
        <f ca="1">IFERROR(__xludf.DUMMYFUNCTION("""COMPUTED_VALUE"""),"99. Distrito")</f>
        <v>99. Distrito</v>
      </c>
      <c r="H3630" s="55">
        <f ca="1">IFERROR(__xludf.DUMMYFUNCTION("""COMPUTED_VALUE"""),44177)</f>
        <v>44177</v>
      </c>
      <c r="I3630" s="25"/>
      <c r="J3630" s="55" t="str">
        <f ca="1">IFERROR(__xludf.DUMMYFUNCTION("""COMPUTED_VALUE"""),"Alta")</f>
        <v>Alta</v>
      </c>
      <c r="K3630" s="25">
        <f ca="1">IFERROR(__xludf.DUMMYFUNCTION("""COMPUTED_VALUE"""),30)</f>
        <v>30</v>
      </c>
      <c r="L3630" s="62"/>
      <c r="M3630" s="25"/>
      <c r="N3630" s="25"/>
      <c r="O3630" s="25" t="str">
        <f t="shared" ca="1" si="0"/>
        <v>Secretaría Distrital de Planeación</v>
      </c>
      <c r="P3630" s="25" t="str">
        <f t="shared" si="2"/>
        <v/>
      </c>
      <c r="Q3630" s="25"/>
      <c r="R3630" s="25"/>
      <c r="S3630" s="55"/>
      <c r="T3630" s="56"/>
      <c r="U3630" s="25"/>
      <c r="V3630" s="25"/>
      <c r="W3630" s="25"/>
      <c r="X3630" s="25"/>
      <c r="Y3630" s="25"/>
      <c r="Z3630" s="25"/>
    </row>
    <row r="3631" spans="1:26" ht="52.5" customHeight="1" x14ac:dyDescent="0.25">
      <c r="A3631" s="25" t="str">
        <f ca="1">IFERROR(__xludf.DUMMYFUNCTION("""COMPUTED_VALUE"""),"Plane29")</f>
        <v>Plane29</v>
      </c>
      <c r="B3631" s="25" t="str">
        <f ca="1">IFERROR(__xludf.DUMMYFUNCTION("""COMPUTED_VALUE"""),"Reunión POT")</f>
        <v>Reunión POT</v>
      </c>
      <c r="C3631" s="55" t="str">
        <f ca="1">IFERROR(__xludf.DUMMYFUNCTION("""COMPUTED_VALUE"""),"12/11/2020")</f>
        <v>12/11/2020</v>
      </c>
      <c r="D3631" s="25" t="str">
        <f ca="1">IFERROR(__xludf.DUMMYFUNCTION("""COMPUTED_VALUE"""),"Planeación")</f>
        <v>Planeación</v>
      </c>
      <c r="E3631" s="25" t="str">
        <f ca="1">IFERROR(__xludf.DUMMYFUNCTION("""COMPUTED_VALUE"""),"Secretaría Distrital de Planeación")</f>
        <v>Secretaría Distrital de Planeación</v>
      </c>
      <c r="F3631" s="25" t="str">
        <f ca="1">IFERROR(__xludf.DUMMYFUNCTION("""COMPUTED_VALUE"""),"Traducir el cuadro de volúmenes de lluvia en probabilidad de ocurrencia")</f>
        <v>Traducir el cuadro de volúmenes de lluvia en probabilidad de ocurrencia</v>
      </c>
      <c r="G3631" s="25" t="str">
        <f ca="1">IFERROR(__xludf.DUMMYFUNCTION("""COMPUTED_VALUE"""),"99. Distrito")</f>
        <v>99. Distrito</v>
      </c>
      <c r="H3631" s="55">
        <f ca="1">IFERROR(__xludf.DUMMYFUNCTION("""COMPUTED_VALUE"""),44177)</f>
        <v>44177</v>
      </c>
      <c r="I3631" s="25"/>
      <c r="J3631" s="55" t="str">
        <f ca="1">IFERROR(__xludf.DUMMYFUNCTION("""COMPUTED_VALUE"""),"Alta")</f>
        <v>Alta</v>
      </c>
      <c r="K3631" s="25">
        <f ca="1">IFERROR(__xludf.DUMMYFUNCTION("""COMPUTED_VALUE"""),30)</f>
        <v>30</v>
      </c>
      <c r="L3631" s="62"/>
      <c r="M3631" s="25"/>
      <c r="N3631" s="25"/>
      <c r="O3631" s="25" t="str">
        <f t="shared" ca="1" si="0"/>
        <v>Secretaría Distrital de Planeación</v>
      </c>
      <c r="P3631" s="25" t="str">
        <f t="shared" si="2"/>
        <v/>
      </c>
      <c r="Q3631" s="25"/>
      <c r="R3631" s="25"/>
      <c r="S3631" s="55"/>
      <c r="T3631" s="56"/>
      <c r="U3631" s="25"/>
      <c r="V3631" s="25"/>
      <c r="W3631" s="25"/>
      <c r="X3631" s="25"/>
      <c r="Y3631" s="25"/>
      <c r="Z3631" s="25"/>
    </row>
    <row r="3632" spans="1:26" ht="52.5" customHeight="1" x14ac:dyDescent="0.25">
      <c r="A3632" s="25" t="str">
        <f ca="1">IFERROR(__xludf.DUMMYFUNCTION("""COMPUTED_VALUE"""),"Plane30")</f>
        <v>Plane30</v>
      </c>
      <c r="B3632" s="25" t="str">
        <f ca="1">IFERROR(__xludf.DUMMYFUNCTION("""COMPUTED_VALUE"""),"Reunión POT")</f>
        <v>Reunión POT</v>
      </c>
      <c r="C3632" s="55" t="str">
        <f ca="1">IFERROR(__xludf.DUMMYFUNCTION("""COMPUTED_VALUE"""),"12/11/2020")</f>
        <v>12/11/2020</v>
      </c>
      <c r="D3632" s="25" t="str">
        <f ca="1">IFERROR(__xludf.DUMMYFUNCTION("""COMPUTED_VALUE"""),"Planeación")</f>
        <v>Planeación</v>
      </c>
      <c r="E3632" s="25" t="str">
        <f ca="1">IFERROR(__xludf.DUMMYFUNCTION("""COMPUTED_VALUE"""),"Secretaría Distrital de Planeación")</f>
        <v>Secretaría Distrital de Planeación</v>
      </c>
      <c r="F3632" s="25" t="str">
        <f ca="1">IFERROR(__xludf.DUMMYFUNCTION("""COMPUTED_VALUE"""),"Calcular los costos de consolidar el anillo de la EEP, con tiempo, hectáreas y multiplicados anual de siembra y tala (de los últimos 10 años) ")</f>
        <v xml:space="preserve">Calcular los costos de consolidar el anillo de la EEP, con tiempo, hectáreas y multiplicados anual de siembra y tala (de los últimos 10 años) </v>
      </c>
      <c r="G3632" s="25" t="str">
        <f ca="1">IFERROR(__xludf.DUMMYFUNCTION("""COMPUTED_VALUE"""),"99. Distrito")</f>
        <v>99. Distrito</v>
      </c>
      <c r="H3632" s="55">
        <f ca="1">IFERROR(__xludf.DUMMYFUNCTION("""COMPUTED_VALUE"""),44177)</f>
        <v>44177</v>
      </c>
      <c r="I3632" s="25"/>
      <c r="J3632" s="55" t="str">
        <f ca="1">IFERROR(__xludf.DUMMYFUNCTION("""COMPUTED_VALUE"""),"Alta")</f>
        <v>Alta</v>
      </c>
      <c r="K3632" s="25">
        <f ca="1">IFERROR(__xludf.DUMMYFUNCTION("""COMPUTED_VALUE"""),30)</f>
        <v>30</v>
      </c>
      <c r="L3632" s="62"/>
      <c r="M3632" s="25"/>
      <c r="N3632" s="25"/>
      <c r="O3632" s="25" t="str">
        <f t="shared" ca="1" si="0"/>
        <v>Secretaría Distrital de Planeación</v>
      </c>
      <c r="P3632" s="25" t="str">
        <f t="shared" si="2"/>
        <v/>
      </c>
      <c r="Q3632" s="25"/>
      <c r="R3632" s="25"/>
      <c r="S3632" s="55"/>
      <c r="T3632" s="56"/>
      <c r="U3632" s="25"/>
      <c r="V3632" s="25"/>
      <c r="W3632" s="25"/>
      <c r="X3632" s="25"/>
      <c r="Y3632" s="25"/>
      <c r="Z3632" s="25"/>
    </row>
    <row r="3633" spans="1:26" ht="52.5" customHeight="1" x14ac:dyDescent="0.25">
      <c r="A3633" s="25" t="str">
        <f ca="1">IFERROR(__xludf.DUMMYFUNCTION("""COMPUTED_VALUE"""),"Plane31")</f>
        <v>Plane31</v>
      </c>
      <c r="B3633" s="25" t="str">
        <f ca="1">IFERROR(__xludf.DUMMYFUNCTION("""COMPUTED_VALUE"""),"Reunión POT")</f>
        <v>Reunión POT</v>
      </c>
      <c r="C3633" s="55" t="str">
        <f ca="1">IFERROR(__xludf.DUMMYFUNCTION("""COMPUTED_VALUE"""),"12/11/2020")</f>
        <v>12/11/2020</v>
      </c>
      <c r="D3633" s="25" t="str">
        <f ca="1">IFERROR(__xludf.DUMMYFUNCTION("""COMPUTED_VALUE"""),"Planeación")</f>
        <v>Planeación</v>
      </c>
      <c r="E3633" s="25" t="str">
        <f ca="1">IFERROR(__xludf.DUMMYFUNCTION("""COMPUTED_VALUE"""),"Secretaría Distrital de Planeación")</f>
        <v>Secretaría Distrital de Planeación</v>
      </c>
      <c r="F3633" s="25" t="str">
        <f ca="1">IFERROR(__xludf.DUMMYFUNCTION("""COMPUTED_VALUE"""),"Precisar qué son sistemas y qué son operaciones estratégicas en la estructura del POT")</f>
        <v>Precisar qué son sistemas y qué son operaciones estratégicas en la estructura del POT</v>
      </c>
      <c r="G3633" s="25" t="str">
        <f ca="1">IFERROR(__xludf.DUMMYFUNCTION("""COMPUTED_VALUE"""),"99. Distrito")</f>
        <v>99. Distrito</v>
      </c>
      <c r="H3633" s="55">
        <f ca="1">IFERROR(__xludf.DUMMYFUNCTION("""COMPUTED_VALUE"""),44177)</f>
        <v>44177</v>
      </c>
      <c r="I3633" s="25"/>
      <c r="J3633" s="55" t="str">
        <f ca="1">IFERROR(__xludf.DUMMYFUNCTION("""COMPUTED_VALUE"""),"Alta")</f>
        <v>Alta</v>
      </c>
      <c r="K3633" s="25">
        <f ca="1">IFERROR(__xludf.DUMMYFUNCTION("""COMPUTED_VALUE"""),30)</f>
        <v>30</v>
      </c>
      <c r="L3633" s="62"/>
      <c r="M3633" s="25"/>
      <c r="N3633" s="25"/>
      <c r="O3633" s="25" t="str">
        <f t="shared" ca="1" si="0"/>
        <v>Secretaría Distrital de Planeación</v>
      </c>
      <c r="P3633" s="25" t="str">
        <f t="shared" si="2"/>
        <v/>
      </c>
      <c r="Q3633" s="25"/>
      <c r="R3633" s="25"/>
      <c r="S3633" s="55"/>
      <c r="T3633" s="56"/>
      <c r="U3633" s="25"/>
      <c r="V3633" s="25"/>
      <c r="W3633" s="25"/>
      <c r="X3633" s="25"/>
      <c r="Y3633" s="25"/>
      <c r="Z3633" s="25"/>
    </row>
    <row r="3634" spans="1:26" ht="52.5" customHeight="1" x14ac:dyDescent="0.25">
      <c r="A3634" s="25" t="str">
        <f ca="1">IFERROR(__xludf.DUMMYFUNCTION("""COMPUTED_VALUE"""),"Plane32")</f>
        <v>Plane32</v>
      </c>
      <c r="B3634" s="25" t="str">
        <f ca="1">IFERROR(__xludf.DUMMYFUNCTION("""COMPUTED_VALUE"""),"Reunión POT")</f>
        <v>Reunión POT</v>
      </c>
      <c r="C3634" s="55" t="str">
        <f ca="1">IFERROR(__xludf.DUMMYFUNCTION("""COMPUTED_VALUE"""),"12/11/2020")</f>
        <v>12/11/2020</v>
      </c>
      <c r="D3634" s="25" t="str">
        <f ca="1">IFERROR(__xludf.DUMMYFUNCTION("""COMPUTED_VALUE"""),"Planeación")</f>
        <v>Planeación</v>
      </c>
      <c r="E3634" s="25" t="str">
        <f ca="1">IFERROR(__xludf.DUMMYFUNCTION("""COMPUTED_VALUE"""),"Secretaría Distrital de Planeación")</f>
        <v>Secretaría Distrital de Planeación</v>
      </c>
      <c r="F3634" s="25" t="str">
        <f ca="1">IFERROR(__xludf.DUMMYFUNCTION("""COMPUTED_VALUE"""),"Organizar el proceso participativo en dos dimensiones: visión macro de ciudad; y normativa.")</f>
        <v>Organizar el proceso participativo en dos dimensiones: visión macro de ciudad; y normativa.</v>
      </c>
      <c r="G3634" s="25" t="str">
        <f ca="1">IFERROR(__xludf.DUMMYFUNCTION("""COMPUTED_VALUE"""),"99. Distrito")</f>
        <v>99. Distrito</v>
      </c>
      <c r="H3634" s="55">
        <f ca="1">IFERROR(__xludf.DUMMYFUNCTION("""COMPUTED_VALUE"""),44177)</f>
        <v>44177</v>
      </c>
      <c r="I3634" s="25"/>
      <c r="J3634" s="55" t="str">
        <f ca="1">IFERROR(__xludf.DUMMYFUNCTION("""COMPUTED_VALUE"""),"Alta")</f>
        <v>Alta</v>
      </c>
      <c r="K3634" s="25">
        <f ca="1">IFERROR(__xludf.DUMMYFUNCTION("""COMPUTED_VALUE"""),30)</f>
        <v>30</v>
      </c>
      <c r="L3634" s="62"/>
      <c r="M3634" s="25"/>
      <c r="N3634" s="25"/>
      <c r="O3634" s="25" t="str">
        <f t="shared" ca="1" si="0"/>
        <v>Secretaría Distrital de Planeación</v>
      </c>
      <c r="P3634" s="25" t="str">
        <f t="shared" si="2"/>
        <v/>
      </c>
      <c r="Q3634" s="25"/>
      <c r="R3634" s="25"/>
      <c r="S3634" s="55"/>
      <c r="T3634" s="56"/>
      <c r="U3634" s="25"/>
      <c r="V3634" s="25"/>
      <c r="W3634" s="25"/>
      <c r="X3634" s="25"/>
      <c r="Y3634" s="25"/>
      <c r="Z3634" s="25"/>
    </row>
    <row r="3635" spans="1:26" ht="52.5" customHeight="1" x14ac:dyDescent="0.25">
      <c r="A3635" s="25" t="str">
        <f ca="1">IFERROR(__xludf.DUMMYFUNCTION("""COMPUTED_VALUE"""),"Plane33")</f>
        <v>Plane33</v>
      </c>
      <c r="B3635" s="25" t="str">
        <f ca="1">IFERROR(__xludf.DUMMYFUNCTION("""COMPUTED_VALUE"""),"Reunión POT ")</f>
        <v xml:space="preserve">Reunión POT </v>
      </c>
      <c r="C3635" s="55" t="str">
        <f ca="1">IFERROR(__xludf.DUMMYFUNCTION("""COMPUTED_VALUE"""),"12/11/2020")</f>
        <v>12/11/2020</v>
      </c>
      <c r="D3635" s="25" t="str">
        <f ca="1">IFERROR(__xludf.DUMMYFUNCTION("""COMPUTED_VALUE"""),"Planeación")</f>
        <v>Planeación</v>
      </c>
      <c r="E3635" s="25" t="str">
        <f ca="1">IFERROR(__xludf.DUMMYFUNCTION("""COMPUTED_VALUE"""),"Secretaría Distrital de Planeación")</f>
        <v>Secretaría Distrital de Planeación</v>
      </c>
      <c r="F3635" s="25" t="str">
        <f ca="1">IFERROR(__xludf.DUMMYFUNCTION("""COMPUTED_VALUE"""),"Revisar clasificación y usos del suelo en la muelita de suelo en tibabuyes ")</f>
        <v xml:space="preserve">Revisar clasificación y usos del suelo en la muelita de suelo en tibabuyes </v>
      </c>
      <c r="G3635" s="25" t="str">
        <f ca="1">IFERROR(__xludf.DUMMYFUNCTION("""COMPUTED_VALUE"""),"99. Distrito")</f>
        <v>99. Distrito</v>
      </c>
      <c r="H3635" s="55">
        <f ca="1">IFERROR(__xludf.DUMMYFUNCTION("""COMPUTED_VALUE"""),44177)</f>
        <v>44177</v>
      </c>
      <c r="I3635" s="25"/>
      <c r="J3635" s="55" t="str">
        <f ca="1">IFERROR(__xludf.DUMMYFUNCTION("""COMPUTED_VALUE"""),"Alta")</f>
        <v>Alta</v>
      </c>
      <c r="K3635" s="25">
        <f ca="1">IFERROR(__xludf.DUMMYFUNCTION("""COMPUTED_VALUE"""),30)</f>
        <v>30</v>
      </c>
      <c r="L3635" s="62"/>
      <c r="M3635" s="25"/>
      <c r="N3635" s="25"/>
      <c r="O3635" s="25" t="str">
        <f t="shared" ca="1" si="0"/>
        <v>Secretaría Distrital de Planeación</v>
      </c>
      <c r="P3635" s="25" t="str">
        <f t="shared" si="2"/>
        <v/>
      </c>
      <c r="Q3635" s="25"/>
      <c r="R3635" s="25"/>
      <c r="S3635" s="55"/>
      <c r="T3635" s="56"/>
      <c r="U3635" s="25"/>
      <c r="V3635" s="25"/>
      <c r="W3635" s="25"/>
      <c r="X3635" s="25"/>
      <c r="Y3635" s="25"/>
      <c r="Z3635" s="25"/>
    </row>
    <row r="3636" spans="1:26" ht="52.5" customHeight="1" x14ac:dyDescent="0.25">
      <c r="A3636" s="25" t="str">
        <f ca="1">IFERROR(__xludf.DUMMYFUNCTION("""COMPUTED_VALUE"""),"Plane34")</f>
        <v>Plane34</v>
      </c>
      <c r="B3636" s="25" t="str">
        <f ca="1">IFERROR(__xludf.DUMMYFUNCTION("""COMPUTED_VALUE"""),"Reunión POT ")</f>
        <v xml:space="preserve">Reunión POT </v>
      </c>
      <c r="C3636" s="55" t="str">
        <f ca="1">IFERROR(__xludf.DUMMYFUNCTION("""COMPUTED_VALUE"""),"12/11/2020")</f>
        <v>12/11/2020</v>
      </c>
      <c r="D3636" s="25" t="str">
        <f ca="1">IFERROR(__xludf.DUMMYFUNCTION("""COMPUTED_VALUE"""),"Planeación")</f>
        <v>Planeación</v>
      </c>
      <c r="E3636" s="25" t="str">
        <f ca="1">IFERROR(__xludf.DUMMYFUNCTION("""COMPUTED_VALUE"""),"Secretaría Distrital de Planeación")</f>
        <v>Secretaría Distrital de Planeación</v>
      </c>
      <c r="F3636" s="25" t="str">
        <f ca="1">IFERROR(__xludf.DUMMYFUNCTION("""COMPUTED_VALUE"""),"Dejar el suelo de los senderos ecológicos como urbano de uso restringido 
")</f>
        <v xml:space="preserve">Dejar el suelo de los senderos ecológicos como urbano de uso restringido 
</v>
      </c>
      <c r="G3636" s="25" t="str">
        <f ca="1">IFERROR(__xludf.DUMMYFUNCTION("""COMPUTED_VALUE"""),"99. Distrito")</f>
        <v>99. Distrito</v>
      </c>
      <c r="H3636" s="55">
        <f ca="1">IFERROR(__xludf.DUMMYFUNCTION("""COMPUTED_VALUE"""),44177)</f>
        <v>44177</v>
      </c>
      <c r="I3636" s="25"/>
      <c r="J3636" s="55" t="str">
        <f ca="1">IFERROR(__xludf.DUMMYFUNCTION("""COMPUTED_VALUE"""),"Alta")</f>
        <v>Alta</v>
      </c>
      <c r="K3636" s="25">
        <f ca="1">IFERROR(__xludf.DUMMYFUNCTION("""COMPUTED_VALUE"""),30)</f>
        <v>30</v>
      </c>
      <c r="L3636" s="62"/>
      <c r="M3636" s="25"/>
      <c r="N3636" s="25"/>
      <c r="O3636" s="25" t="str">
        <f t="shared" ca="1" si="0"/>
        <v>Secretaría Distrital de Planeación</v>
      </c>
      <c r="P3636" s="25" t="str">
        <f t="shared" si="2"/>
        <v/>
      </c>
      <c r="Q3636" s="25"/>
      <c r="R3636" s="25"/>
      <c r="S3636" s="55"/>
      <c r="T3636" s="56"/>
      <c r="U3636" s="25"/>
      <c r="V3636" s="25"/>
      <c r="W3636" s="25"/>
      <c r="X3636" s="25"/>
      <c r="Y3636" s="25"/>
      <c r="Z3636" s="25"/>
    </row>
    <row r="3637" spans="1:26" ht="52.5" customHeight="1" x14ac:dyDescent="0.25">
      <c r="A3637" s="25" t="str">
        <f ca="1">IFERROR(__xludf.DUMMYFUNCTION("""COMPUTED_VALUE"""),"Plane35")</f>
        <v>Plane35</v>
      </c>
      <c r="B3637" s="25" t="str">
        <f ca="1">IFERROR(__xludf.DUMMYFUNCTION("""COMPUTED_VALUE"""),"Reunión POT ")</f>
        <v xml:space="preserve">Reunión POT </v>
      </c>
      <c r="C3637" s="55" t="str">
        <f ca="1">IFERROR(__xludf.DUMMYFUNCTION("""COMPUTED_VALUE"""),"12/11/2020")</f>
        <v>12/11/2020</v>
      </c>
      <c r="D3637" s="25" t="str">
        <f ca="1">IFERROR(__xludf.DUMMYFUNCTION("""COMPUTED_VALUE"""),"Planeación")</f>
        <v>Planeación</v>
      </c>
      <c r="E3637" s="25" t="str">
        <f ca="1">IFERROR(__xludf.DUMMYFUNCTION("""COMPUTED_VALUE"""),"Secretaría Distrital de Planeación")</f>
        <v>Secretaría Distrital de Planeación</v>
      </c>
      <c r="F3637" s="25" t="str">
        <f ca="1">IFERROR(__xludf.DUMMYFUNCTION("""COMPUTED_VALUE"""),"Preparar propuesta sobre cómo quisiéramos que fuera el borde del Río del lado de los municipios de la región (utilizar como ejercicio inicial el hecho por la ERU) 
")</f>
        <v xml:space="preserve">Preparar propuesta sobre cómo quisiéramos que fuera el borde del Río del lado de los municipios de la región (utilizar como ejercicio inicial el hecho por la ERU) 
</v>
      </c>
      <c r="G3637" s="25" t="str">
        <f ca="1">IFERROR(__xludf.DUMMYFUNCTION("""COMPUTED_VALUE"""),"99. Distrito")</f>
        <v>99. Distrito</v>
      </c>
      <c r="H3637" s="55">
        <f ca="1">IFERROR(__xludf.DUMMYFUNCTION("""COMPUTED_VALUE"""),44177)</f>
        <v>44177</v>
      </c>
      <c r="I3637" s="25"/>
      <c r="J3637" s="55" t="str">
        <f ca="1">IFERROR(__xludf.DUMMYFUNCTION("""COMPUTED_VALUE"""),"Alta")</f>
        <v>Alta</v>
      </c>
      <c r="K3637" s="25">
        <f ca="1">IFERROR(__xludf.DUMMYFUNCTION("""COMPUTED_VALUE"""),30)</f>
        <v>30</v>
      </c>
      <c r="L3637" s="62"/>
      <c r="M3637" s="25"/>
      <c r="N3637" s="25"/>
      <c r="O3637" s="25" t="str">
        <f t="shared" ca="1" si="0"/>
        <v>Secretaría Distrital de Planeación</v>
      </c>
      <c r="P3637" s="25" t="str">
        <f t="shared" si="2"/>
        <v/>
      </c>
      <c r="Q3637" s="25"/>
      <c r="R3637" s="25"/>
      <c r="S3637" s="55"/>
      <c r="T3637" s="56"/>
      <c r="U3637" s="25"/>
      <c r="V3637" s="25"/>
      <c r="W3637" s="25"/>
      <c r="X3637" s="25"/>
      <c r="Y3637" s="25"/>
      <c r="Z3637" s="25"/>
    </row>
    <row r="3638" spans="1:26" ht="52.5" customHeight="1" x14ac:dyDescent="0.25">
      <c r="A3638" s="25" t="str">
        <f ca="1">IFERROR(__xludf.DUMMYFUNCTION("""COMPUTED_VALUE"""),"Plane36")</f>
        <v>Plane36</v>
      </c>
      <c r="B3638" s="25" t="str">
        <f ca="1">IFERROR(__xludf.DUMMYFUNCTION("""COMPUTED_VALUE"""),"Mesa POT- Residentes")</f>
        <v>Mesa POT- Residentes</v>
      </c>
      <c r="C3638" s="55">
        <f ca="1">IFERROR(__xludf.DUMMYFUNCTION("""COMPUTED_VALUE"""),44613)</f>
        <v>44613</v>
      </c>
      <c r="D3638" s="25" t="str">
        <f ca="1">IFERROR(__xludf.DUMMYFUNCTION("""COMPUTED_VALUE"""),"Planeación")</f>
        <v>Planeación</v>
      </c>
      <c r="E3638" s="25" t="str">
        <f ca="1">IFERROR(__xludf.DUMMYFUNCTION("""COMPUTED_VALUE"""),"Secretaría Distrital de Planeación")</f>
        <v>Secretaría Distrital de Planeación</v>
      </c>
      <c r="F3638" s="25" t="str">
        <f ca="1">IFERROR(__xludf.DUMMYFUNCTION("""COMPUTED_VALUE"""),"La reglamentación de las UPL debe de iniciar en marzo 2022 (posterior a las elecciones). Se debe entregar el cronograma completo para esta reglamentación.")</f>
        <v>La reglamentación de las UPL debe de iniciar en marzo 2022 (posterior a las elecciones). Se debe entregar el cronograma completo para esta reglamentación.</v>
      </c>
      <c r="G3638" s="25" t="str">
        <f ca="1">IFERROR(__xludf.DUMMYFUNCTION("""COMPUTED_VALUE"""),"99. Distrito")</f>
        <v>99. Distrito</v>
      </c>
      <c r="H3638" s="55">
        <f ca="1">IFERROR(__xludf.DUMMYFUNCTION("""COMPUTED_VALUE"""),44643)</f>
        <v>44643</v>
      </c>
      <c r="I3638" s="25"/>
      <c r="J3638" s="55" t="str">
        <f ca="1">IFERROR(__xludf.DUMMYFUNCTION("""COMPUTED_VALUE"""),"Alta")</f>
        <v>Alta</v>
      </c>
      <c r="K3638" s="25">
        <f ca="1">IFERROR(__xludf.DUMMYFUNCTION("""COMPUTED_VALUE"""),30)</f>
        <v>30</v>
      </c>
      <c r="L3638" s="62"/>
      <c r="M3638" s="25"/>
      <c r="N3638" s="25"/>
      <c r="O3638" s="25" t="str">
        <f t="shared" ca="1" si="0"/>
        <v>Secretaría Distrital de Planeación</v>
      </c>
      <c r="P3638" s="25" t="str">
        <f t="shared" si="2"/>
        <v/>
      </c>
      <c r="Q3638" s="25"/>
      <c r="R3638" s="25"/>
      <c r="S3638" s="55"/>
      <c r="T3638" s="56"/>
      <c r="U3638" s="25"/>
      <c r="V3638" s="25"/>
      <c r="W3638" s="25"/>
      <c r="X3638" s="25"/>
      <c r="Y3638" s="25"/>
      <c r="Z3638" s="25"/>
    </row>
    <row r="3639" spans="1:26" ht="52.5" customHeight="1" x14ac:dyDescent="0.25">
      <c r="A3639" s="25" t="str">
        <f ca="1">IFERROR(__xludf.DUMMYFUNCTION("""COMPUTED_VALUE"""),"Plane37")</f>
        <v>Plane37</v>
      </c>
      <c r="B3639" s="25" t="str">
        <f ca="1">IFERROR(__xludf.DUMMYFUNCTION("""COMPUTED_VALUE"""),"Reverdecer del Sur")</f>
        <v>Reverdecer del Sur</v>
      </c>
      <c r="C3639" s="55">
        <f ca="1">IFERROR(__xludf.DUMMYFUNCTION("""COMPUTED_VALUE"""),44613)</f>
        <v>44613</v>
      </c>
      <c r="D3639" s="25" t="str">
        <f ca="1">IFERROR(__xludf.DUMMYFUNCTION("""COMPUTED_VALUE"""),"Planeación")</f>
        <v>Planeación</v>
      </c>
      <c r="E3639" s="25" t="str">
        <f ca="1">IFERROR(__xludf.DUMMYFUNCTION("""COMPUTED_VALUE"""),"Secretaría Distrital de Planeación")</f>
        <v>Secretaría Distrital de Planeación</v>
      </c>
      <c r="F3639" s="25" t="str">
        <f ca="1">IFERROR(__xludf.DUMMYFUNCTION("""COMPUTED_VALUE"""),"Se requiere contar con un cronograma detallado por acto administrativo POT (Elaboración, publicación de observaciones, mesa, ajuste de observaciones, publicación definitiva y adopción).")</f>
        <v>Se requiere contar con un cronograma detallado por acto administrativo POT (Elaboración, publicación de observaciones, mesa, ajuste de observaciones, publicación definitiva y adopción).</v>
      </c>
      <c r="G3639" s="25" t="str">
        <f ca="1">IFERROR(__xludf.DUMMYFUNCTION("""COMPUTED_VALUE"""),"99. Distrito")</f>
        <v>99. Distrito</v>
      </c>
      <c r="H3639" s="55">
        <f ca="1">IFERROR(__xludf.DUMMYFUNCTION("""COMPUTED_VALUE"""),44623)</f>
        <v>44623</v>
      </c>
      <c r="I3639" s="25"/>
      <c r="J3639" s="55" t="str">
        <f ca="1">IFERROR(__xludf.DUMMYFUNCTION("""COMPUTED_VALUE"""),"Alta")</f>
        <v>Alta</v>
      </c>
      <c r="K3639" s="25">
        <f ca="1">IFERROR(__xludf.DUMMYFUNCTION("""COMPUTED_VALUE"""),10)</f>
        <v>10</v>
      </c>
      <c r="L3639" s="62"/>
      <c r="M3639" s="25"/>
      <c r="N3639" s="25"/>
      <c r="O3639" s="25" t="str">
        <f t="shared" ca="1" si="0"/>
        <v>Secretaría Distrital de Planeación</v>
      </c>
      <c r="P3639" s="25" t="str">
        <f t="shared" si="2"/>
        <v/>
      </c>
      <c r="Q3639" s="25"/>
      <c r="R3639" s="25"/>
      <c r="S3639" s="55"/>
      <c r="T3639" s="56"/>
      <c r="U3639" s="25"/>
      <c r="V3639" s="25"/>
      <c r="W3639" s="25"/>
      <c r="X3639" s="25"/>
      <c r="Y3639" s="25"/>
      <c r="Z3639" s="25"/>
    </row>
    <row r="3640" spans="1:26" ht="52.5" customHeight="1" x14ac:dyDescent="0.25">
      <c r="A3640" s="25" t="str">
        <f ca="1">IFERROR(__xludf.DUMMYFUNCTION("""COMPUTED_VALUE"""),"Plane38")</f>
        <v>Plane38</v>
      </c>
      <c r="B3640" s="25" t="str">
        <f ca="1">IFERROR(__xludf.DUMMYFUNCTION("""COMPUTED_VALUE"""),"Reverdecer del Sur")</f>
        <v>Reverdecer del Sur</v>
      </c>
      <c r="C3640" s="55">
        <f ca="1">IFERROR(__xludf.DUMMYFUNCTION("""COMPUTED_VALUE"""),44613)</f>
        <v>44613</v>
      </c>
      <c r="D3640" s="25" t="str">
        <f ca="1">IFERROR(__xludf.DUMMYFUNCTION("""COMPUTED_VALUE"""),"Planeación")</f>
        <v>Planeación</v>
      </c>
      <c r="E3640" s="25" t="str">
        <f ca="1">IFERROR(__xludf.DUMMYFUNCTION("""COMPUTED_VALUE"""),"Secretaría Distrital de Planeación")</f>
        <v>Secretaría Distrital de Planeación</v>
      </c>
      <c r="F3640" s="25" t="str">
        <f ca="1">IFERROR(__xludf.DUMMYFUNCTION("""COMPUTED_VALUE"""),"Expedición del primer acto administrativo de Viviendas (áreas).")</f>
        <v>Expedición del primer acto administrativo de Viviendas (áreas).</v>
      </c>
      <c r="G3640" s="25" t="str">
        <f ca="1">IFERROR(__xludf.DUMMYFUNCTION("""COMPUTED_VALUE"""),"99. Distrito")</f>
        <v>99. Distrito</v>
      </c>
      <c r="H3640" s="55">
        <f ca="1">IFERROR(__xludf.DUMMYFUNCTION("""COMPUTED_VALUE"""),44617)</f>
        <v>44617</v>
      </c>
      <c r="I3640" s="25"/>
      <c r="J3640" s="55" t="str">
        <f ca="1">IFERROR(__xludf.DUMMYFUNCTION("""COMPUTED_VALUE"""),"Alta")</f>
        <v>Alta</v>
      </c>
      <c r="K3640" s="25">
        <f ca="1">IFERROR(__xludf.DUMMYFUNCTION("""COMPUTED_VALUE"""),4)</f>
        <v>4</v>
      </c>
      <c r="L3640" s="62"/>
      <c r="M3640" s="25"/>
      <c r="N3640" s="25"/>
      <c r="O3640" s="25" t="str">
        <f t="shared" ca="1" si="0"/>
        <v>Secretaría Distrital de Planeación</v>
      </c>
      <c r="P3640" s="25" t="str">
        <f t="shared" si="2"/>
        <v/>
      </c>
      <c r="Q3640" s="25"/>
      <c r="R3640" s="25"/>
      <c r="S3640" s="55"/>
      <c r="T3640" s="56"/>
      <c r="U3640" s="25"/>
      <c r="V3640" s="25"/>
      <c r="W3640" s="25"/>
      <c r="X3640" s="25"/>
      <c r="Y3640" s="25"/>
      <c r="Z3640" s="25"/>
    </row>
    <row r="3641" spans="1:26" ht="52.5" customHeight="1" x14ac:dyDescent="0.25">
      <c r="A3641" s="25" t="str">
        <f ca="1">IFERROR(__xludf.DUMMYFUNCTION("""COMPUTED_VALUE"""),"Plane39")</f>
        <v>Plane39</v>
      </c>
      <c r="B3641" s="25" t="str">
        <f ca="1">IFERROR(__xludf.DUMMYFUNCTION("""COMPUTED_VALUE"""),"Junta de infraestructura")</f>
        <v>Junta de infraestructura</v>
      </c>
      <c r="C3641" s="55">
        <f ca="1">IFERROR(__xludf.DUMMYFUNCTION("""COMPUTED_VALUE"""),44608)</f>
        <v>44608</v>
      </c>
      <c r="D3641" s="25" t="str">
        <f ca="1">IFERROR(__xludf.DUMMYFUNCTION("""COMPUTED_VALUE"""),"Planeación")</f>
        <v>Planeación</v>
      </c>
      <c r="E3641" s="25" t="str">
        <f ca="1">IFERROR(__xludf.DUMMYFUNCTION("""COMPUTED_VALUE"""),"Secretaría Distrital de Planeación")</f>
        <v>Secretaría Distrital de Planeación</v>
      </c>
      <c r="F3641" s="25" t="str">
        <f ca="1">IFERROR(__xludf.DUMMYFUNCTION("""COMPUTED_VALUE"""),"Intercambiador Calle 80:
Programar Junta de APP para decidir sobre el CIM de la 80
")</f>
        <v xml:space="preserve">Intercambiador Calle 80:
Programar Junta de APP para decidir sobre el CIM de la 80
</v>
      </c>
      <c r="G3641" s="25" t="str">
        <f ca="1">IFERROR(__xludf.DUMMYFUNCTION("""COMPUTED_VALUE"""),"99. Distrito")</f>
        <v>99. Distrito</v>
      </c>
      <c r="H3641" s="55">
        <f ca="1">IFERROR(__xludf.DUMMYFUNCTION("""COMPUTED_VALUE"""),44638)</f>
        <v>44638</v>
      </c>
      <c r="I3641" s="25"/>
      <c r="J3641" s="55" t="str">
        <f ca="1">IFERROR(__xludf.DUMMYFUNCTION("""COMPUTED_VALUE"""),"Alta")</f>
        <v>Alta</v>
      </c>
      <c r="K3641" s="25">
        <f ca="1">IFERROR(__xludf.DUMMYFUNCTION("""COMPUTED_VALUE"""),30)</f>
        <v>30</v>
      </c>
      <c r="L3641" s="62"/>
      <c r="M3641" s="25"/>
      <c r="N3641" s="25"/>
      <c r="O3641" s="25" t="str">
        <f t="shared" ca="1" si="0"/>
        <v>Secretaría Distrital de Planeación</v>
      </c>
      <c r="P3641" s="25" t="str">
        <f t="shared" si="2"/>
        <v/>
      </c>
      <c r="Q3641" s="25"/>
      <c r="R3641" s="25"/>
      <c r="S3641" s="55"/>
      <c r="T3641" s="56"/>
      <c r="U3641" s="25"/>
      <c r="V3641" s="25"/>
      <c r="W3641" s="25"/>
      <c r="X3641" s="25"/>
      <c r="Y3641" s="25"/>
      <c r="Z3641" s="25"/>
    </row>
    <row r="3642" spans="1:26" ht="52.5" customHeight="1" x14ac:dyDescent="0.25">
      <c r="A3642" s="25" t="str">
        <f ca="1">IFERROR(__xludf.DUMMYFUNCTION("""COMPUTED_VALUE"""),"Plane40")</f>
        <v>Plane40</v>
      </c>
      <c r="B3642" s="25" t="str">
        <f ca="1">IFERROR(__xludf.DUMMYFUNCTION("""COMPUTED_VALUE"""),"Cierre misión TER/IDOM CV7")</f>
        <v>Cierre misión TER/IDOM CV7</v>
      </c>
      <c r="C3642" s="55">
        <f ca="1">IFERROR(__xludf.DUMMYFUNCTION("""COMPUTED_VALUE"""),44608)</f>
        <v>44608</v>
      </c>
      <c r="D3642" s="25" t="str">
        <f ca="1">IFERROR(__xludf.DUMMYFUNCTION("""COMPUTED_VALUE"""),"Planeación")</f>
        <v>Planeación</v>
      </c>
      <c r="E3642" s="25" t="str">
        <f ca="1">IFERROR(__xludf.DUMMYFUNCTION("""COMPUTED_VALUE"""),"Secretaría Distrital de Planeación")</f>
        <v>Secretaría Distrital de Planeación</v>
      </c>
      <c r="F3642" s="25" t="str">
        <f ca="1">IFERROR(__xludf.DUMMYFUNCTION("""COMPUTED_VALUE"""),"Incluir en el manual de espacio público un capítulo que incluya los lineamientos para el espacio público de corredores verdes de alta capacidad, tomando como partida la consultoría de IDOM.")</f>
        <v>Incluir en el manual de espacio público un capítulo que incluya los lineamientos para el espacio público de corredores verdes de alta capacidad, tomando como partida la consultoría de IDOM.</v>
      </c>
      <c r="G3642" s="25" t="str">
        <f ca="1">IFERROR(__xludf.DUMMYFUNCTION("""COMPUTED_VALUE"""),"99. Distrito")</f>
        <v>99. Distrito</v>
      </c>
      <c r="H3642" s="55">
        <f ca="1">IFERROR(__xludf.DUMMYFUNCTION("""COMPUTED_VALUE"""),44910)</f>
        <v>44910</v>
      </c>
      <c r="I3642" s="25"/>
      <c r="J3642" s="55" t="str">
        <f ca="1">IFERROR(__xludf.DUMMYFUNCTION("""COMPUTED_VALUE"""),"Baja")</f>
        <v>Baja</v>
      </c>
      <c r="K3642" s="25">
        <f ca="1">IFERROR(__xludf.DUMMYFUNCTION("""COMPUTED_VALUE"""),302)</f>
        <v>302</v>
      </c>
      <c r="L3642" s="62"/>
      <c r="M3642" s="25"/>
      <c r="N3642" s="25"/>
      <c r="O3642" s="25" t="str">
        <f t="shared" ca="1" si="0"/>
        <v>Secretaría Distrital de Planeación</v>
      </c>
      <c r="P3642" s="25" t="str">
        <f t="shared" si="2"/>
        <v/>
      </c>
      <c r="Q3642" s="25"/>
      <c r="R3642" s="25"/>
      <c r="S3642" s="55"/>
      <c r="T3642" s="56"/>
      <c r="U3642" s="25"/>
      <c r="V3642" s="25"/>
      <c r="W3642" s="25"/>
      <c r="X3642" s="25"/>
      <c r="Y3642" s="25"/>
      <c r="Z3642" s="25"/>
    </row>
    <row r="3643" spans="1:26" ht="52.5" customHeight="1" x14ac:dyDescent="0.25">
      <c r="A3643" s="25" t="str">
        <f ca="1">IFERROR(__xludf.DUMMYFUNCTION("""COMPUTED_VALUE"""),"Plane41")</f>
        <v>Plane41</v>
      </c>
      <c r="B3643" s="25" t="str">
        <f ca="1">IFERROR(__xludf.DUMMYFUNCTION("""COMPUTED_VALUE"""),"Reunión Lagos de Torca")</f>
        <v>Reunión Lagos de Torca</v>
      </c>
      <c r="C3643" s="55">
        <f ca="1">IFERROR(__xludf.DUMMYFUNCTION("""COMPUTED_VALUE"""),44587)</f>
        <v>44587</v>
      </c>
      <c r="D3643" s="25" t="str">
        <f ca="1">IFERROR(__xludf.DUMMYFUNCTION("""COMPUTED_VALUE"""),"Planeación")</f>
        <v>Planeación</v>
      </c>
      <c r="E3643" s="25" t="str">
        <f ca="1">IFERROR(__xludf.DUMMYFUNCTION("""COMPUTED_VALUE"""),"Secretaría Distrital de Planeación")</f>
        <v>Secretaría Distrital de Planeación</v>
      </c>
      <c r="F3643" s="25" t="str">
        <f ca="1">IFERROR(__xludf.DUMMYFUNCTION("""COMPUTED_VALUE"""),"Hacer un plan piloto para la reglamentación de la UPL Lagos de Torca")</f>
        <v>Hacer un plan piloto para la reglamentación de la UPL Lagos de Torca</v>
      </c>
      <c r="G3643" s="25" t="str">
        <f ca="1">IFERROR(__xludf.DUMMYFUNCTION("""COMPUTED_VALUE"""),"99. Distrito")</f>
        <v>99. Distrito</v>
      </c>
      <c r="H3643" s="55">
        <f ca="1">IFERROR(__xludf.DUMMYFUNCTION("""COMPUTED_VALUE"""),44617)</f>
        <v>44617</v>
      </c>
      <c r="I3643" s="25"/>
      <c r="J3643" s="55" t="str">
        <f ca="1">IFERROR(__xludf.DUMMYFUNCTION("""COMPUTED_VALUE"""),"Alta")</f>
        <v>Alta</v>
      </c>
      <c r="K3643" s="25">
        <f ca="1">IFERROR(__xludf.DUMMYFUNCTION("""COMPUTED_VALUE"""),30)</f>
        <v>30</v>
      </c>
      <c r="L3643" s="62"/>
      <c r="M3643" s="25"/>
      <c r="N3643" s="25"/>
      <c r="O3643" s="25" t="str">
        <f t="shared" ca="1" si="0"/>
        <v>Secretaría Distrital de Planeación</v>
      </c>
      <c r="P3643" s="25" t="str">
        <f t="shared" si="2"/>
        <v/>
      </c>
      <c r="Q3643" s="25"/>
      <c r="R3643" s="25"/>
      <c r="S3643" s="55"/>
      <c r="T3643" s="56"/>
      <c r="U3643" s="25"/>
      <c r="V3643" s="25"/>
      <c r="W3643" s="25"/>
      <c r="X3643" s="25"/>
      <c r="Y3643" s="25"/>
      <c r="Z3643" s="25"/>
    </row>
    <row r="3644" spans="1:26" ht="52.5" customHeight="1" x14ac:dyDescent="0.25">
      <c r="A3644" s="25" t="str">
        <f ca="1">IFERROR(__xludf.DUMMYFUNCTION("""COMPUTED_VALUE"""),"Plane42")</f>
        <v>Plane42</v>
      </c>
      <c r="B3644" s="25" t="str">
        <f ca="1">IFERROR(__xludf.DUMMYFUNCTION("""COMPUTED_VALUE"""),"Reunión Lagos de Torca")</f>
        <v>Reunión Lagos de Torca</v>
      </c>
      <c r="C3644" s="55">
        <f ca="1">IFERROR(__xludf.DUMMYFUNCTION("""COMPUTED_VALUE"""),44587)</f>
        <v>44587</v>
      </c>
      <c r="D3644" s="25" t="str">
        <f ca="1">IFERROR(__xludf.DUMMYFUNCTION("""COMPUTED_VALUE"""),"Planeación")</f>
        <v>Planeación</v>
      </c>
      <c r="E3644" s="25" t="str">
        <f ca="1">IFERROR(__xludf.DUMMYFUNCTION("""COMPUTED_VALUE"""),"Secretaría Distrital de Planeación")</f>
        <v>Secretaría Distrital de Planeación</v>
      </c>
      <c r="F3644" s="25" t="str">
        <f ca="1">IFERROR(__xludf.DUMMYFUNCTION("""COMPUTED_VALUE"""),"Hacer un plan piloto de construcción de cargas urbanísticas, especialmente el Hospital Simón Bolívar")</f>
        <v>Hacer un plan piloto de construcción de cargas urbanísticas, especialmente el Hospital Simón Bolívar</v>
      </c>
      <c r="G3644" s="25" t="str">
        <f ca="1">IFERROR(__xludf.DUMMYFUNCTION("""COMPUTED_VALUE"""),"99. Distrito")</f>
        <v>99. Distrito</v>
      </c>
      <c r="H3644" s="55">
        <f ca="1">IFERROR(__xludf.DUMMYFUNCTION("""COMPUTED_VALUE"""),45078)</f>
        <v>45078</v>
      </c>
      <c r="I3644" s="25" t="str">
        <f ca="1">IFERROR(__xludf.DUMMYFUNCTION("""COMPUTED_VALUE"""),"Junta de Infraestructura")</f>
        <v>Junta de Infraestructura</v>
      </c>
      <c r="J3644" s="55" t="str">
        <f ca="1">IFERROR(__xludf.DUMMYFUNCTION("""COMPUTED_VALUE"""),"Baja")</f>
        <v>Baja</v>
      </c>
      <c r="K3644" s="25">
        <f ca="1">IFERROR(__xludf.DUMMYFUNCTION("""COMPUTED_VALUE"""),491)</f>
        <v>491</v>
      </c>
      <c r="L3644" s="62"/>
      <c r="M3644" s="25"/>
      <c r="N3644" s="25"/>
      <c r="O3644" s="25" t="str">
        <f t="shared" ca="1" si="0"/>
        <v>Secretaría Distrital de Planeación</v>
      </c>
      <c r="P3644" s="25" t="str">
        <f t="shared" ca="1" si="2"/>
        <v/>
      </c>
      <c r="Q3644" s="25"/>
      <c r="R3644" s="25"/>
      <c r="S3644" s="55"/>
      <c r="T3644" s="56"/>
      <c r="U3644" s="25"/>
      <c r="V3644" s="25"/>
      <c r="W3644" s="25"/>
      <c r="X3644" s="25"/>
      <c r="Y3644" s="25"/>
      <c r="Z3644" s="25"/>
    </row>
    <row r="3645" spans="1:26" ht="52.5" customHeight="1" x14ac:dyDescent="0.25">
      <c r="A3645" s="25" t="str">
        <f ca="1">IFERROR(__xludf.DUMMYFUNCTION("""COMPUTED_VALUE"""),"Plane43")</f>
        <v>Plane43</v>
      </c>
      <c r="B3645" s="25" t="str">
        <f ca="1">IFERROR(__xludf.DUMMYFUNCTION("""COMPUTED_VALUE"""),"Junta Invest in Bogotá")</f>
        <v>Junta Invest in Bogotá</v>
      </c>
      <c r="C3645" s="55">
        <f ca="1">IFERROR(__xludf.DUMMYFUNCTION("""COMPUTED_VALUE"""),44580)</f>
        <v>44580</v>
      </c>
      <c r="D3645" s="25" t="str">
        <f ca="1">IFERROR(__xludf.DUMMYFUNCTION("""COMPUTED_VALUE"""),"Planeación")</f>
        <v>Planeación</v>
      </c>
      <c r="E3645" s="25" t="str">
        <f ca="1">IFERROR(__xludf.DUMMYFUNCTION("""COMPUTED_VALUE"""),"Secretaría Distrital de Planeación")</f>
        <v>Secretaría Distrital de Planeación</v>
      </c>
      <c r="F3645" s="25" t="str">
        <f ca="1">IFERROR(__xludf.DUMMYFUNCTION("""COMPUTED_VALUE"""),"Realizar varios eventos masivos con los empresarios para socializar el POT")</f>
        <v>Realizar varios eventos masivos con los empresarios para socializar el POT</v>
      </c>
      <c r="G3645" s="25" t="str">
        <f ca="1">IFERROR(__xludf.DUMMYFUNCTION("""COMPUTED_VALUE"""),"99. Distrito")</f>
        <v>99. Distrito</v>
      </c>
      <c r="H3645" s="55">
        <f ca="1">IFERROR(__xludf.DUMMYFUNCTION("""COMPUTED_VALUE"""),44610)</f>
        <v>44610</v>
      </c>
      <c r="I3645" s="25"/>
      <c r="J3645" s="55" t="str">
        <f ca="1">IFERROR(__xludf.DUMMYFUNCTION("""COMPUTED_VALUE"""),"Alta")</f>
        <v>Alta</v>
      </c>
      <c r="K3645" s="25">
        <f ca="1">IFERROR(__xludf.DUMMYFUNCTION("""COMPUTED_VALUE"""),30)</f>
        <v>30</v>
      </c>
      <c r="L3645" s="62"/>
      <c r="M3645" s="25"/>
      <c r="N3645" s="25"/>
      <c r="O3645" s="25" t="str">
        <f t="shared" ca="1" si="0"/>
        <v>Secretaría Distrital de Planeación</v>
      </c>
      <c r="P3645" s="25" t="str">
        <f t="shared" si="2"/>
        <v/>
      </c>
      <c r="Q3645" s="25"/>
      <c r="R3645" s="25"/>
      <c r="S3645" s="55"/>
      <c r="T3645" s="56"/>
      <c r="U3645" s="25"/>
      <c r="V3645" s="25"/>
      <c r="W3645" s="25"/>
      <c r="X3645" s="25"/>
      <c r="Y3645" s="25"/>
      <c r="Z3645" s="25"/>
    </row>
    <row r="3646" spans="1:26" ht="52.5" customHeight="1" x14ac:dyDescent="0.25">
      <c r="A3646" s="25" t="str">
        <f ca="1">IFERROR(__xludf.DUMMYFUNCTION("""COMPUTED_VALUE"""),"Plane44")</f>
        <v>Plane44</v>
      </c>
      <c r="B3646" s="25" t="str">
        <f ca="1">IFERROR(__xludf.DUMMYFUNCTION("""COMPUTED_VALUE"""),"Actuación estratégica Ciudadela del Cuidado")</f>
        <v>Actuación estratégica Ciudadela del Cuidado</v>
      </c>
      <c r="C3646" s="55">
        <f ca="1">IFERROR(__xludf.DUMMYFUNCTION("""COMPUTED_VALUE"""),44573)</f>
        <v>44573</v>
      </c>
      <c r="D3646" s="25" t="str">
        <f ca="1">IFERROR(__xludf.DUMMYFUNCTION("""COMPUTED_VALUE"""),"Planeación")</f>
        <v>Planeación</v>
      </c>
      <c r="E3646" s="25" t="str">
        <f ca="1">IFERROR(__xludf.DUMMYFUNCTION("""COMPUTED_VALUE"""),"Secretaría Distrital de Planeación")</f>
        <v>Secretaría Distrital de Planeación</v>
      </c>
      <c r="F3646" s="25" t="str">
        <f ca="1">IFERROR(__xludf.DUMMYFUNCTION("""COMPUTED_VALUE"""),"Revisar delimitación de proyecto urbanístico de actuación estratégica e indicar si están de acuerdo o no.")</f>
        <v>Revisar delimitación de proyecto urbanístico de actuación estratégica e indicar si están de acuerdo o no.</v>
      </c>
      <c r="G3646" s="25" t="str">
        <f ca="1">IFERROR(__xludf.DUMMYFUNCTION("""COMPUTED_VALUE"""),"99. Distrito")</f>
        <v>99. Distrito</v>
      </c>
      <c r="H3646" s="55">
        <f ca="1">IFERROR(__xludf.DUMMYFUNCTION("""COMPUTED_VALUE"""),44603)</f>
        <v>44603</v>
      </c>
      <c r="I3646" s="25"/>
      <c r="J3646" s="55" t="str">
        <f ca="1">IFERROR(__xludf.DUMMYFUNCTION("""COMPUTED_VALUE"""),"Alta")</f>
        <v>Alta</v>
      </c>
      <c r="K3646" s="25">
        <f ca="1">IFERROR(__xludf.DUMMYFUNCTION("""COMPUTED_VALUE"""),30)</f>
        <v>30</v>
      </c>
      <c r="L3646" s="62"/>
      <c r="M3646" s="25"/>
      <c r="N3646" s="25"/>
      <c r="O3646" s="25" t="str">
        <f t="shared" ca="1" si="0"/>
        <v>Secretaría Distrital de Planeación</v>
      </c>
      <c r="P3646" s="25" t="str">
        <f t="shared" si="2"/>
        <v/>
      </c>
      <c r="Q3646" s="25"/>
      <c r="R3646" s="25"/>
      <c r="S3646" s="55"/>
      <c r="T3646" s="56"/>
      <c r="U3646" s="25"/>
      <c r="V3646" s="25"/>
      <c r="W3646" s="25"/>
      <c r="X3646" s="25"/>
      <c r="Y3646" s="25"/>
      <c r="Z3646" s="25"/>
    </row>
    <row r="3647" spans="1:26" ht="52.5" customHeight="1" x14ac:dyDescent="0.25">
      <c r="A3647" s="25" t="str">
        <f ca="1">IFERROR(__xludf.DUMMYFUNCTION("""COMPUTED_VALUE"""),"Plane45")</f>
        <v>Plane45</v>
      </c>
      <c r="B3647" s="25" t="str">
        <f ca="1">IFERROR(__xludf.DUMMYFUNCTION("""COMPUTED_VALUE"""),"Almuerzo representante PNUD")</f>
        <v>Almuerzo representante PNUD</v>
      </c>
      <c r="C3647" s="55">
        <f ca="1">IFERROR(__xludf.DUMMYFUNCTION("""COMPUTED_VALUE"""),44476)</f>
        <v>44476</v>
      </c>
      <c r="D3647" s="25" t="str">
        <f ca="1">IFERROR(__xludf.DUMMYFUNCTION("""COMPUTED_VALUE"""),"Planeación")</f>
        <v>Planeación</v>
      </c>
      <c r="E3647" s="25" t="str">
        <f ca="1">IFERROR(__xludf.DUMMYFUNCTION("""COMPUTED_VALUE"""),"Secretaría Distrital de Planeación")</f>
        <v>Secretaría Distrital de Planeación</v>
      </c>
      <c r="F3647" s="25" t="str">
        <f ca="1">IFERROR(__xludf.DUMMYFUNCTION("""COMPUTED_VALUE"""),"Presentar a los consultores internacionales del PNUD el impacto de los programas a disminuir pobreza  en el marco de los ODS ")</f>
        <v xml:space="preserve">Presentar a los consultores internacionales del PNUD el impacto de los programas a disminuir pobreza  en el marco de los ODS </v>
      </c>
      <c r="G3647" s="25" t="str">
        <f ca="1">IFERROR(__xludf.DUMMYFUNCTION("""COMPUTED_VALUE"""),"99. Distrito")</f>
        <v>99. Distrito</v>
      </c>
      <c r="H3647" s="55">
        <f ca="1">IFERROR(__xludf.DUMMYFUNCTION("""COMPUTED_VALUE"""),44506)</f>
        <v>44506</v>
      </c>
      <c r="I3647" s="25"/>
      <c r="J3647" s="55" t="str">
        <f ca="1">IFERROR(__xludf.DUMMYFUNCTION("""COMPUTED_VALUE"""),"Alta")</f>
        <v>Alta</v>
      </c>
      <c r="K3647" s="25">
        <f ca="1">IFERROR(__xludf.DUMMYFUNCTION("""COMPUTED_VALUE"""),30)</f>
        <v>30</v>
      </c>
      <c r="L3647" s="62"/>
      <c r="M3647" s="25"/>
      <c r="N3647" s="25"/>
      <c r="O3647" s="25" t="str">
        <f t="shared" ca="1" si="0"/>
        <v>Secretaría Distrital de Planeación</v>
      </c>
      <c r="P3647" s="25" t="str">
        <f t="shared" si="2"/>
        <v/>
      </c>
      <c r="Q3647" s="25"/>
      <c r="R3647" s="25"/>
      <c r="S3647" s="55"/>
      <c r="T3647" s="56"/>
      <c r="U3647" s="25"/>
      <c r="V3647" s="25"/>
      <c r="W3647" s="25"/>
      <c r="X3647" s="25"/>
      <c r="Y3647" s="25"/>
      <c r="Z3647" s="25"/>
    </row>
    <row r="3648" spans="1:26" ht="52.5" customHeight="1" x14ac:dyDescent="0.25">
      <c r="A3648" s="25" t="str">
        <f ca="1">IFERROR(__xludf.DUMMYFUNCTION("""COMPUTED_VALUE"""),"Plane46")</f>
        <v>Plane46</v>
      </c>
      <c r="B3648" s="25" t="str">
        <f ca="1">IFERROR(__xludf.DUMMYFUNCTION("""COMPUTED_VALUE"""),"Reunión pobreza multidimensional ")</f>
        <v xml:space="preserve">Reunión pobreza multidimensional </v>
      </c>
      <c r="C3648" s="55">
        <f ca="1">IFERROR(__xludf.DUMMYFUNCTION("""COMPUTED_VALUE"""),44459)</f>
        <v>44459</v>
      </c>
      <c r="D3648" s="25" t="str">
        <f ca="1">IFERROR(__xludf.DUMMYFUNCTION("""COMPUTED_VALUE"""),"Planeación")</f>
        <v>Planeación</v>
      </c>
      <c r="E3648" s="25" t="str">
        <f ca="1">IFERROR(__xludf.DUMMYFUNCTION("""COMPUTED_VALUE"""),"Secretaría Distrital de Planeación")</f>
        <v>Secretaría Distrital de Planeación</v>
      </c>
      <c r="F3648" s="25" t="str">
        <f ca="1">IFERROR(__xludf.DUMMYFUNCTION("""COMPUTED_VALUE"""),"Sacar una presentación que diga de manera clara los cambios que se deben solicitar al DNP referentes al SISBEN.")</f>
        <v>Sacar una presentación que diga de manera clara los cambios que se deben solicitar al DNP referentes al SISBEN.</v>
      </c>
      <c r="G3648" s="25" t="str">
        <f ca="1">IFERROR(__xludf.DUMMYFUNCTION("""COMPUTED_VALUE"""),"99. Distrito")</f>
        <v>99. Distrito</v>
      </c>
      <c r="H3648" s="55">
        <f ca="1">IFERROR(__xludf.DUMMYFUNCTION("""COMPUTED_VALUE"""),44489)</f>
        <v>44489</v>
      </c>
      <c r="I3648" s="25"/>
      <c r="J3648" s="55" t="str">
        <f ca="1">IFERROR(__xludf.DUMMYFUNCTION("""COMPUTED_VALUE"""),"Alta")</f>
        <v>Alta</v>
      </c>
      <c r="K3648" s="25">
        <f ca="1">IFERROR(__xludf.DUMMYFUNCTION("""COMPUTED_VALUE"""),30)</f>
        <v>30</v>
      </c>
      <c r="L3648" s="62"/>
      <c r="M3648" s="25"/>
      <c r="N3648" s="25"/>
      <c r="O3648" s="25" t="str">
        <f t="shared" ca="1" si="0"/>
        <v>Secretaría Distrital de Planeación</v>
      </c>
      <c r="P3648" s="25" t="str">
        <f t="shared" si="2"/>
        <v/>
      </c>
      <c r="Q3648" s="25"/>
      <c r="R3648" s="25"/>
      <c r="S3648" s="55"/>
      <c r="T3648" s="56"/>
      <c r="U3648" s="25"/>
      <c r="V3648" s="25"/>
      <c r="W3648" s="25"/>
      <c r="X3648" s="25"/>
      <c r="Y3648" s="25"/>
      <c r="Z3648" s="25"/>
    </row>
    <row r="3649" spans="1:26" ht="52.5" customHeight="1" x14ac:dyDescent="0.25">
      <c r="A3649" s="25" t="str">
        <f ca="1">IFERROR(__xludf.DUMMYFUNCTION("""COMPUTED_VALUE"""),"Plane47")</f>
        <v>Plane47</v>
      </c>
      <c r="B3649" s="25" t="str">
        <f ca="1">IFERROR(__xludf.DUMMYFUNCTION("""COMPUTED_VALUE"""),"Reunión pobreza multidimensional ")</f>
        <v xml:space="preserve">Reunión pobreza multidimensional </v>
      </c>
      <c r="C3649" s="55">
        <f ca="1">IFERROR(__xludf.DUMMYFUNCTION("""COMPUTED_VALUE"""),44459)</f>
        <v>44459</v>
      </c>
      <c r="D3649" s="25" t="str">
        <f ca="1">IFERROR(__xludf.DUMMYFUNCTION("""COMPUTED_VALUE"""),"Planeación")</f>
        <v>Planeación</v>
      </c>
      <c r="E3649" s="25" t="str">
        <f ca="1">IFERROR(__xludf.DUMMYFUNCTION("""COMPUTED_VALUE"""),"Secretaría Distrital de Planeación")</f>
        <v>Secretaría Distrital de Planeación</v>
      </c>
      <c r="F3649" s="25" t="str">
        <f ca="1">IFERROR(__xludf.DUMMYFUNCTION("""COMPUTED_VALUE"""),"Asegurarse de estar los $2mil millones para las encuentas del sisben ")</f>
        <v xml:space="preserve">Asegurarse de estar los $2mil millones para las encuentas del sisben </v>
      </c>
      <c r="G3649" s="25" t="str">
        <f ca="1">IFERROR(__xludf.DUMMYFUNCTION("""COMPUTED_VALUE"""),"99. Distrito")</f>
        <v>99. Distrito</v>
      </c>
      <c r="H3649" s="55">
        <f ca="1">IFERROR(__xludf.DUMMYFUNCTION("""COMPUTED_VALUE"""),44489)</f>
        <v>44489</v>
      </c>
      <c r="I3649" s="25"/>
      <c r="J3649" s="55" t="str">
        <f ca="1">IFERROR(__xludf.DUMMYFUNCTION("""COMPUTED_VALUE"""),"Alta")</f>
        <v>Alta</v>
      </c>
      <c r="K3649" s="25">
        <f ca="1">IFERROR(__xludf.DUMMYFUNCTION("""COMPUTED_VALUE"""),30)</f>
        <v>30</v>
      </c>
      <c r="L3649" s="62"/>
      <c r="M3649" s="25"/>
      <c r="N3649" s="25"/>
      <c r="O3649" s="25" t="str">
        <f t="shared" ca="1" si="0"/>
        <v>Secretaría Distrital de Planeación</v>
      </c>
      <c r="P3649" s="25" t="str">
        <f t="shared" si="2"/>
        <v/>
      </c>
      <c r="Q3649" s="25"/>
      <c r="R3649" s="25"/>
      <c r="S3649" s="55"/>
      <c r="T3649" s="56"/>
      <c r="U3649" s="25"/>
      <c r="V3649" s="25"/>
      <c r="W3649" s="25"/>
      <c r="X3649" s="25"/>
      <c r="Y3649" s="25"/>
      <c r="Z3649" s="25"/>
    </row>
    <row r="3650" spans="1:26" ht="52.5" customHeight="1" x14ac:dyDescent="0.25">
      <c r="A3650" s="25" t="str">
        <f ca="1">IFERROR(__xludf.DUMMYFUNCTION("""COMPUTED_VALUE"""),"Plane48")</f>
        <v>Plane48</v>
      </c>
      <c r="B3650" s="25" t="str">
        <f ca="1">IFERROR(__xludf.DUMMYFUNCTION("""COMPUTED_VALUE"""),"Avances tareas Consejos Consultivos, Política Pública y Migrantes. ")</f>
        <v xml:space="preserve">Avances tareas Consejos Consultivos, Política Pública y Migrantes. </v>
      </c>
      <c r="C3650" s="55">
        <f ca="1">IFERROR(__xludf.DUMMYFUNCTION("""COMPUTED_VALUE"""),44446)</f>
        <v>44446</v>
      </c>
      <c r="D3650" s="25" t="str">
        <f ca="1">IFERROR(__xludf.DUMMYFUNCTION("""COMPUTED_VALUE"""),"Planeación")</f>
        <v>Planeación</v>
      </c>
      <c r="E3650" s="25" t="str">
        <f ca="1">IFERROR(__xludf.DUMMYFUNCTION("""COMPUTED_VALUE"""),"Secretaría Distrital de Planeación")</f>
        <v>Secretaría Distrital de Planeación</v>
      </c>
      <c r="F3650" s="25" t="str">
        <f ca="1">IFERROR(__xludf.DUMMYFUNCTION("""COMPUTED_VALUE"""),"Presentar en que etapa va cada Política Pública de las seleccionadas a ser incluídas en el CONPES. Este estado debe incluir cronograma.  ")</f>
        <v xml:space="preserve">Presentar en que etapa va cada Política Pública de las seleccionadas a ser incluídas en el CONPES. Este estado debe incluir cronograma.  </v>
      </c>
      <c r="G3650" s="25" t="str">
        <f ca="1">IFERROR(__xludf.DUMMYFUNCTION("""COMPUTED_VALUE"""),"99. Distrito")</f>
        <v>99. Distrito</v>
      </c>
      <c r="H3650" s="55">
        <f ca="1">IFERROR(__xludf.DUMMYFUNCTION("""COMPUTED_VALUE"""),44476)</f>
        <v>44476</v>
      </c>
      <c r="I3650" s="25"/>
      <c r="J3650" s="55" t="str">
        <f ca="1">IFERROR(__xludf.DUMMYFUNCTION("""COMPUTED_VALUE"""),"Alta")</f>
        <v>Alta</v>
      </c>
      <c r="K3650" s="25">
        <f ca="1">IFERROR(__xludf.DUMMYFUNCTION("""COMPUTED_VALUE"""),30)</f>
        <v>30</v>
      </c>
      <c r="L3650" s="62"/>
      <c r="M3650" s="25"/>
      <c r="N3650" s="25"/>
      <c r="O3650" s="25" t="str">
        <f t="shared" ca="1" si="0"/>
        <v>Secretaría Distrital de Planeación</v>
      </c>
      <c r="P3650" s="25" t="str">
        <f t="shared" si="2"/>
        <v/>
      </c>
      <c r="Q3650" s="25"/>
      <c r="R3650" s="25"/>
      <c r="S3650" s="55"/>
      <c r="T3650" s="56"/>
      <c r="U3650" s="25"/>
      <c r="V3650" s="25"/>
      <c r="W3650" s="25"/>
      <c r="X3650" s="25"/>
      <c r="Y3650" s="25"/>
      <c r="Z3650" s="25"/>
    </row>
    <row r="3651" spans="1:26" ht="52.5" customHeight="1" x14ac:dyDescent="0.25">
      <c r="A3651" s="25" t="str">
        <f ca="1">IFERROR(__xludf.DUMMYFUNCTION("""COMPUTED_VALUE"""),"Plane49")</f>
        <v>Plane49</v>
      </c>
      <c r="B3651" s="25" t="str">
        <f ca="1">IFERROR(__xludf.DUMMYFUNCTION("""COMPUTED_VALUE"""),"Actualización estimaciones de pobreza ")</f>
        <v xml:space="preserve">Actualización estimaciones de pobreza </v>
      </c>
      <c r="C3651" s="55">
        <f ca="1">IFERROR(__xludf.DUMMYFUNCTION("""COMPUTED_VALUE"""),44445)</f>
        <v>44445</v>
      </c>
      <c r="D3651" s="25" t="str">
        <f ca="1">IFERROR(__xludf.DUMMYFUNCTION("""COMPUTED_VALUE"""),"Planeación")</f>
        <v>Planeación</v>
      </c>
      <c r="E3651" s="25" t="str">
        <f ca="1">IFERROR(__xludf.DUMMYFUNCTION("""COMPUTED_VALUE"""),"Secretaría Distrital de Planeación")</f>
        <v>Secretaría Distrital de Planeación</v>
      </c>
      <c r="F3651" s="25" t="str">
        <f ca="1">IFERROR(__xludf.DUMMYFUNCTION("""COMPUTED_VALUE"""),"Definir cuál de los modelos presentados de Bogotá Solidaria genera una mayor disminución de la pobreza con los recursos que ya están asignados. ")</f>
        <v xml:space="preserve">Definir cuál de los modelos presentados de Bogotá Solidaria genera una mayor disminución de la pobreza con los recursos que ya están asignados. </v>
      </c>
      <c r="G3651" s="25" t="str">
        <f ca="1">IFERROR(__xludf.DUMMYFUNCTION("""COMPUTED_VALUE"""),"99. Distrito")</f>
        <v>99. Distrito</v>
      </c>
      <c r="H3651" s="55">
        <f ca="1">IFERROR(__xludf.DUMMYFUNCTION("""COMPUTED_VALUE"""),44475)</f>
        <v>44475</v>
      </c>
      <c r="I3651" s="25"/>
      <c r="J3651" s="55" t="str">
        <f ca="1">IFERROR(__xludf.DUMMYFUNCTION("""COMPUTED_VALUE"""),"Alta")</f>
        <v>Alta</v>
      </c>
      <c r="K3651" s="25">
        <f ca="1">IFERROR(__xludf.DUMMYFUNCTION("""COMPUTED_VALUE"""),30)</f>
        <v>30</v>
      </c>
      <c r="L3651" s="62"/>
      <c r="M3651" s="25"/>
      <c r="N3651" s="25"/>
      <c r="O3651" s="25" t="str">
        <f t="shared" ca="1" si="0"/>
        <v>Secretaría Distrital de Planeación</v>
      </c>
      <c r="P3651" s="25" t="str">
        <f t="shared" si="2"/>
        <v/>
      </c>
      <c r="Q3651" s="25"/>
      <c r="R3651" s="25"/>
      <c r="S3651" s="55"/>
      <c r="T3651" s="56"/>
      <c r="U3651" s="25"/>
      <c r="V3651" s="25"/>
      <c r="W3651" s="25"/>
      <c r="X3651" s="25"/>
      <c r="Y3651" s="25"/>
      <c r="Z3651" s="25"/>
    </row>
    <row r="3652" spans="1:26" ht="52.5" customHeight="1" x14ac:dyDescent="0.25">
      <c r="A3652" s="25" t="str">
        <f ca="1">IFERROR(__xludf.DUMMYFUNCTION("""COMPUTED_VALUE"""),"Plane50")</f>
        <v>Plane50</v>
      </c>
      <c r="B3652" s="25" t="str">
        <f ca="1">IFERROR(__xludf.DUMMYFUNCTION("""COMPUTED_VALUE"""),"Actualización estimaciones de pobreza ")</f>
        <v xml:space="preserve">Actualización estimaciones de pobreza </v>
      </c>
      <c r="C3652" s="55">
        <f ca="1">IFERROR(__xludf.DUMMYFUNCTION("""COMPUTED_VALUE"""),44445)</f>
        <v>44445</v>
      </c>
      <c r="D3652" s="25" t="str">
        <f ca="1">IFERROR(__xludf.DUMMYFUNCTION("""COMPUTED_VALUE"""),"Planeación")</f>
        <v>Planeación</v>
      </c>
      <c r="E3652" s="25" t="str">
        <f ca="1">IFERROR(__xludf.DUMMYFUNCTION("""COMPUTED_VALUE"""),"Secretaría Distrital de Planeación")</f>
        <v>Secretaría Distrital de Planeación</v>
      </c>
      <c r="F3652" s="25" t="str">
        <f ca="1">IFERROR(__xludf.DUMMYFUNCTION("""COMPUTED_VALUE"""),"Definir fecha desde cuando va ser obligatorio el SISBEN IV para hacer más eficiente el gasto ")</f>
        <v xml:space="preserve">Definir fecha desde cuando va ser obligatorio el SISBEN IV para hacer más eficiente el gasto </v>
      </c>
      <c r="G3652" s="25" t="str">
        <f ca="1">IFERROR(__xludf.DUMMYFUNCTION("""COMPUTED_VALUE"""),"99. Distrito")</f>
        <v>99. Distrito</v>
      </c>
      <c r="H3652" s="55">
        <f ca="1">IFERROR(__xludf.DUMMYFUNCTION("""COMPUTED_VALUE"""),44475)</f>
        <v>44475</v>
      </c>
      <c r="I3652" s="25"/>
      <c r="J3652" s="55" t="str">
        <f ca="1">IFERROR(__xludf.DUMMYFUNCTION("""COMPUTED_VALUE"""),"Alta")</f>
        <v>Alta</v>
      </c>
      <c r="K3652" s="25">
        <f ca="1">IFERROR(__xludf.DUMMYFUNCTION("""COMPUTED_VALUE"""),30)</f>
        <v>30</v>
      </c>
      <c r="L3652" s="62"/>
      <c r="M3652" s="25"/>
      <c r="N3652" s="25"/>
      <c r="O3652" s="25" t="str">
        <f t="shared" ca="1" si="0"/>
        <v>Secretaría Distrital de Planeación</v>
      </c>
      <c r="P3652" s="25" t="str">
        <f t="shared" si="2"/>
        <v/>
      </c>
      <c r="Q3652" s="25"/>
      <c r="R3652" s="25"/>
      <c r="S3652" s="55"/>
      <c r="T3652" s="56"/>
      <c r="U3652" s="25"/>
      <c r="V3652" s="25"/>
      <c r="W3652" s="25"/>
      <c r="X3652" s="25"/>
      <c r="Y3652" s="25"/>
      <c r="Z3652" s="25"/>
    </row>
    <row r="3653" spans="1:26" ht="52.5" customHeight="1" x14ac:dyDescent="0.25">
      <c r="A3653" s="25" t="str">
        <f ca="1">IFERROR(__xludf.DUMMYFUNCTION("""COMPUTED_VALUE"""),"Plane51")</f>
        <v>Plane51</v>
      </c>
      <c r="B3653" s="25" t="str">
        <f ca="1">IFERROR(__xludf.DUMMYFUNCTION("""COMPUTED_VALUE"""),"Reunión modelos urbanísticos - POT")</f>
        <v>Reunión modelos urbanísticos - POT</v>
      </c>
      <c r="C3653" s="55">
        <f ca="1">IFERROR(__xludf.DUMMYFUNCTION("""COMPUTED_VALUE"""),44425)</f>
        <v>44425</v>
      </c>
      <c r="D3653" s="25" t="str">
        <f ca="1">IFERROR(__xludf.DUMMYFUNCTION("""COMPUTED_VALUE"""),"Planeación")</f>
        <v>Planeación</v>
      </c>
      <c r="E3653" s="25" t="str">
        <f ca="1">IFERROR(__xludf.DUMMYFUNCTION("""COMPUTED_VALUE"""),"Secretaría Distrital de Planeación")</f>
        <v>Secretaría Distrital de Planeación</v>
      </c>
      <c r="F3653" s="25" t="str">
        <f ca="1">IFERROR(__xludf.DUMMYFUNCTION("""COMPUTED_VALUE"""),"Realizar una reunión con Camacol y las firmas constructoras para revisar y contrastar los modelos urbanísticos presentados versus la oferta y demanda de los proyectos. ")</f>
        <v xml:space="preserve">Realizar una reunión con Camacol y las firmas constructoras para revisar y contrastar los modelos urbanísticos presentados versus la oferta y demanda de los proyectos. </v>
      </c>
      <c r="G3653" s="25" t="str">
        <f ca="1">IFERROR(__xludf.DUMMYFUNCTION("""COMPUTED_VALUE"""),"99. Distrito")</f>
        <v>99. Distrito</v>
      </c>
      <c r="H3653" s="55">
        <f ca="1">IFERROR(__xludf.DUMMYFUNCTION("""COMPUTED_VALUE"""),44455)</f>
        <v>44455</v>
      </c>
      <c r="I3653" s="25"/>
      <c r="J3653" s="55" t="str">
        <f ca="1">IFERROR(__xludf.DUMMYFUNCTION("""COMPUTED_VALUE"""),"Alta")</f>
        <v>Alta</v>
      </c>
      <c r="K3653" s="25">
        <f ca="1">IFERROR(__xludf.DUMMYFUNCTION("""COMPUTED_VALUE"""),30)</f>
        <v>30</v>
      </c>
      <c r="L3653" s="62"/>
      <c r="M3653" s="25"/>
      <c r="N3653" s="25"/>
      <c r="O3653" s="25" t="str">
        <f t="shared" ca="1" si="0"/>
        <v>Secretaría Distrital de Planeación</v>
      </c>
      <c r="P3653" s="25" t="str">
        <f t="shared" si="2"/>
        <v/>
      </c>
      <c r="Q3653" s="25"/>
      <c r="R3653" s="25"/>
      <c r="S3653" s="55"/>
      <c r="T3653" s="56"/>
      <c r="U3653" s="25"/>
      <c r="V3653" s="25"/>
      <c r="W3653" s="25"/>
      <c r="X3653" s="25"/>
      <c r="Y3653" s="25"/>
      <c r="Z3653" s="25"/>
    </row>
    <row r="3654" spans="1:26" ht="52.5" customHeight="1" x14ac:dyDescent="0.25">
      <c r="A3654" s="25" t="str">
        <f ca="1">IFERROR(__xludf.DUMMYFUNCTION("""COMPUTED_VALUE"""),"Plane52")</f>
        <v>Plane52</v>
      </c>
      <c r="B3654" s="25" t="str">
        <f ca="1">IFERROR(__xludf.DUMMYFUNCTION("""COMPUTED_VALUE"""),"Reunión modelos urbanísticos - POT")</f>
        <v>Reunión modelos urbanísticos - POT</v>
      </c>
      <c r="C3654" s="55">
        <f ca="1">IFERROR(__xludf.DUMMYFUNCTION("""COMPUTED_VALUE"""),44425)</f>
        <v>44425</v>
      </c>
      <c r="D3654" s="25" t="str">
        <f ca="1">IFERROR(__xludf.DUMMYFUNCTION("""COMPUTED_VALUE"""),"Planeación")</f>
        <v>Planeación</v>
      </c>
      <c r="E3654" s="25" t="str">
        <f ca="1">IFERROR(__xludf.DUMMYFUNCTION("""COMPUTED_VALUE"""),"Secretaría Distrital de Planeación")</f>
        <v>Secretaría Distrital de Planeación</v>
      </c>
      <c r="F3654" s="25" t="str">
        <f ca="1">IFERROR(__xludf.DUMMYFUNCTION("""COMPUTED_VALUE"""),"Una vez recibido el concepto positivo referente al POT (26 de agosto), el 30 del mismo mes debe estar el texto definitivo para poder realizar la revisión detallada  para radicar en el plazo pactado. ")</f>
        <v xml:space="preserve">Una vez recibido el concepto positivo referente al POT (26 de agosto), el 30 del mismo mes debe estar el texto definitivo para poder realizar la revisión detallada  para radicar en el plazo pactado. </v>
      </c>
      <c r="G3654" s="25" t="str">
        <f ca="1">IFERROR(__xludf.DUMMYFUNCTION("""COMPUTED_VALUE"""),"99. Distrito")</f>
        <v>99. Distrito</v>
      </c>
      <c r="H3654" s="55">
        <f ca="1">IFERROR(__xludf.DUMMYFUNCTION("""COMPUTED_VALUE"""),44455)</f>
        <v>44455</v>
      </c>
      <c r="I3654" s="25"/>
      <c r="J3654" s="55" t="str">
        <f ca="1">IFERROR(__xludf.DUMMYFUNCTION("""COMPUTED_VALUE"""),"Alta")</f>
        <v>Alta</v>
      </c>
      <c r="K3654" s="25">
        <f ca="1">IFERROR(__xludf.DUMMYFUNCTION("""COMPUTED_VALUE"""),30)</f>
        <v>30</v>
      </c>
      <c r="L3654" s="62"/>
      <c r="M3654" s="25"/>
      <c r="N3654" s="25"/>
      <c r="O3654" s="25" t="str">
        <f t="shared" ca="1" si="0"/>
        <v>Secretaría Distrital de Planeación</v>
      </c>
      <c r="P3654" s="25" t="str">
        <f t="shared" si="2"/>
        <v/>
      </c>
      <c r="Q3654" s="25"/>
      <c r="R3654" s="25"/>
      <c r="S3654" s="55"/>
      <c r="T3654" s="56"/>
      <c r="U3654" s="25"/>
      <c r="V3654" s="25"/>
      <c r="W3654" s="25"/>
      <c r="X3654" s="25"/>
      <c r="Y3654" s="25"/>
      <c r="Z3654" s="25"/>
    </row>
    <row r="3655" spans="1:26" ht="52.5" customHeight="1" x14ac:dyDescent="0.25">
      <c r="A3655" s="25" t="str">
        <f ca="1">IFERROR(__xludf.DUMMYFUNCTION("""COMPUTED_VALUE"""),"Plane53")</f>
        <v>Plane53</v>
      </c>
      <c r="B3655" s="25" t="str">
        <f ca="1">IFERROR(__xludf.DUMMYFUNCTION("""COMPUTED_VALUE"""),"Reunión modelos urbanísticos - POT")</f>
        <v>Reunión modelos urbanísticos - POT</v>
      </c>
      <c r="C3655" s="55">
        <f ca="1">IFERROR(__xludf.DUMMYFUNCTION("""COMPUTED_VALUE"""),44425)</f>
        <v>44425</v>
      </c>
      <c r="D3655" s="25" t="str">
        <f ca="1">IFERROR(__xludf.DUMMYFUNCTION("""COMPUTED_VALUE"""),"Planeación")</f>
        <v>Planeación</v>
      </c>
      <c r="E3655" s="25" t="str">
        <f ca="1">IFERROR(__xludf.DUMMYFUNCTION("""COMPUTED_VALUE"""),"Secretaría Distrital de Planeación")</f>
        <v>Secretaría Distrital de Planeación</v>
      </c>
      <c r="F3655" s="25" t="str">
        <f ca="1">IFERROR(__xludf.DUMMYFUNCTION("""COMPUTED_VALUE"""),"Enviar el articulado completo del texto del POT con los posibles conflictos de manera detallada y concisa para tomar decisiones ")</f>
        <v xml:space="preserve">Enviar el articulado completo del texto del POT con los posibles conflictos de manera detallada y concisa para tomar decisiones </v>
      </c>
      <c r="G3655" s="25" t="str">
        <f ca="1">IFERROR(__xludf.DUMMYFUNCTION("""COMPUTED_VALUE"""),"99. Distrito")</f>
        <v>99. Distrito</v>
      </c>
      <c r="H3655" s="55">
        <f ca="1">IFERROR(__xludf.DUMMYFUNCTION("""COMPUTED_VALUE"""),44431)</f>
        <v>44431</v>
      </c>
      <c r="I3655" s="25"/>
      <c r="J3655" s="55" t="str">
        <f ca="1">IFERROR(__xludf.DUMMYFUNCTION("""COMPUTED_VALUE"""),"Alta")</f>
        <v>Alta</v>
      </c>
      <c r="K3655" s="25">
        <f ca="1">IFERROR(__xludf.DUMMYFUNCTION("""COMPUTED_VALUE"""),6)</f>
        <v>6</v>
      </c>
      <c r="L3655" s="62"/>
      <c r="M3655" s="25"/>
      <c r="N3655" s="25"/>
      <c r="O3655" s="25" t="str">
        <f t="shared" ca="1" si="0"/>
        <v>Secretaría Distrital de Planeación</v>
      </c>
      <c r="P3655" s="25" t="str">
        <f t="shared" si="2"/>
        <v/>
      </c>
      <c r="Q3655" s="25"/>
      <c r="R3655" s="25"/>
      <c r="S3655" s="55"/>
      <c r="T3655" s="56"/>
      <c r="U3655" s="25"/>
      <c r="V3655" s="25"/>
      <c r="W3655" s="25"/>
      <c r="X3655" s="25"/>
      <c r="Y3655" s="25"/>
      <c r="Z3655" s="25"/>
    </row>
    <row r="3656" spans="1:26" ht="52.5" customHeight="1" x14ac:dyDescent="0.25">
      <c r="A3656" s="25" t="str">
        <f ca="1">IFERROR(__xludf.DUMMYFUNCTION("""COMPUTED_VALUE"""),"Plane54")</f>
        <v>Plane54</v>
      </c>
      <c r="B3656" s="25" t="str">
        <f ca="1">IFERROR(__xludf.DUMMYFUNCTION("""COMPUTED_VALUE"""),"Reunión modelos urbanísticos - POT")</f>
        <v>Reunión modelos urbanísticos - POT</v>
      </c>
      <c r="C3656" s="55">
        <f ca="1">IFERROR(__xludf.DUMMYFUNCTION("""COMPUTED_VALUE"""),44425)</f>
        <v>44425</v>
      </c>
      <c r="D3656" s="25" t="str">
        <f ca="1">IFERROR(__xludf.DUMMYFUNCTION("""COMPUTED_VALUE"""),"Planeación")</f>
        <v>Planeación</v>
      </c>
      <c r="E3656" s="25" t="str">
        <f ca="1">IFERROR(__xludf.DUMMYFUNCTION("""COMPUTED_VALUE"""),"Secretaría Distrital de Planeación")</f>
        <v>Secretaría Distrital de Planeación</v>
      </c>
      <c r="F3656" s="25" t="str">
        <f ca="1">IFERROR(__xludf.DUMMYFUNCTION("""COMPUTED_VALUE"""),"Asegurarse que el concepto del CTPD del POT sea positivo")</f>
        <v>Asegurarse que el concepto del CTPD del POT sea positivo</v>
      </c>
      <c r="G3656" s="25" t="str">
        <f ca="1">IFERROR(__xludf.DUMMYFUNCTION("""COMPUTED_VALUE"""),"99. Distrito")</f>
        <v>99. Distrito</v>
      </c>
      <c r="H3656" s="55">
        <f ca="1">IFERROR(__xludf.DUMMYFUNCTION("""COMPUTED_VALUE"""),44455)</f>
        <v>44455</v>
      </c>
      <c r="I3656" s="25"/>
      <c r="J3656" s="55" t="str">
        <f ca="1">IFERROR(__xludf.DUMMYFUNCTION("""COMPUTED_VALUE"""),"Alta")</f>
        <v>Alta</v>
      </c>
      <c r="K3656" s="25">
        <f ca="1">IFERROR(__xludf.DUMMYFUNCTION("""COMPUTED_VALUE"""),30)</f>
        <v>30</v>
      </c>
      <c r="L3656" s="62"/>
      <c r="M3656" s="25"/>
      <c r="N3656" s="25"/>
      <c r="O3656" s="25" t="str">
        <f t="shared" ca="1" si="0"/>
        <v>Secretaría Distrital de Planeación</v>
      </c>
      <c r="P3656" s="25" t="str">
        <f t="shared" si="2"/>
        <v/>
      </c>
      <c r="Q3656" s="25"/>
      <c r="R3656" s="25"/>
      <c r="S3656" s="55"/>
      <c r="T3656" s="56"/>
      <c r="U3656" s="25"/>
      <c r="V3656" s="25"/>
      <c r="W3656" s="25"/>
      <c r="X3656" s="25"/>
      <c r="Y3656" s="25"/>
      <c r="Z3656" s="25"/>
    </row>
    <row r="3657" spans="1:26" ht="52.5" customHeight="1" x14ac:dyDescent="0.25">
      <c r="A3657" s="25" t="str">
        <f ca="1">IFERROR(__xludf.DUMMYFUNCTION("""COMPUTED_VALUE"""),"Plane55")</f>
        <v>Plane55</v>
      </c>
      <c r="B3657" s="25" t="str">
        <f ca="1">IFERROR(__xludf.DUMMYFUNCTION("""COMPUTED_VALUE"""),"Reunión modelos urbanísticos - POT")</f>
        <v>Reunión modelos urbanísticos - POT</v>
      </c>
      <c r="C3657" s="55">
        <f ca="1">IFERROR(__xludf.DUMMYFUNCTION("""COMPUTED_VALUE"""),44425)</f>
        <v>44425</v>
      </c>
      <c r="D3657" s="25" t="str">
        <f ca="1">IFERROR(__xludf.DUMMYFUNCTION("""COMPUTED_VALUE"""),"Planeación")</f>
        <v>Planeación</v>
      </c>
      <c r="E3657" s="25" t="str">
        <f ca="1">IFERROR(__xludf.DUMMYFUNCTION("""COMPUTED_VALUE"""),"Secretaría Distrital de Planeación")</f>
        <v>Secretaría Distrital de Planeación</v>
      </c>
      <c r="F3657" s="25" t="str">
        <f ca="1">IFERROR(__xludf.DUMMYFUNCTION("""COMPUTED_VALUE"""),"Realizar reunión con el alcalde de Sumapaz para revisar el tema del POT")</f>
        <v>Realizar reunión con el alcalde de Sumapaz para revisar el tema del POT</v>
      </c>
      <c r="G3657" s="25" t="str">
        <f ca="1">IFERROR(__xludf.DUMMYFUNCTION("""COMPUTED_VALUE"""),"99. Distrito")</f>
        <v>99. Distrito</v>
      </c>
      <c r="H3657" s="55">
        <f ca="1">IFERROR(__xludf.DUMMYFUNCTION("""COMPUTED_VALUE"""),44455)</f>
        <v>44455</v>
      </c>
      <c r="I3657" s="25"/>
      <c r="J3657" s="55" t="str">
        <f ca="1">IFERROR(__xludf.DUMMYFUNCTION("""COMPUTED_VALUE"""),"Alta")</f>
        <v>Alta</v>
      </c>
      <c r="K3657" s="25">
        <f ca="1">IFERROR(__xludf.DUMMYFUNCTION("""COMPUTED_VALUE"""),30)</f>
        <v>30</v>
      </c>
      <c r="L3657" s="62"/>
      <c r="M3657" s="25"/>
      <c r="N3657" s="25"/>
      <c r="O3657" s="25" t="str">
        <f t="shared" ca="1" si="0"/>
        <v>Secretaría Distrital de Planeación</v>
      </c>
      <c r="P3657" s="25" t="str">
        <f t="shared" si="2"/>
        <v/>
      </c>
      <c r="Q3657" s="25"/>
      <c r="R3657" s="25"/>
      <c r="S3657" s="55"/>
      <c r="T3657" s="56"/>
      <c r="U3657" s="25"/>
      <c r="V3657" s="25"/>
      <c r="W3657" s="25"/>
      <c r="X3657" s="25"/>
      <c r="Y3657" s="25"/>
      <c r="Z3657" s="25"/>
    </row>
    <row r="3658" spans="1:26" ht="52.5" customHeight="1" x14ac:dyDescent="0.25">
      <c r="A3658" s="25" t="str">
        <f ca="1">IFERROR(__xludf.DUMMYFUNCTION("""COMPUTED_VALUE"""),"Plane56")</f>
        <v>Plane56</v>
      </c>
      <c r="B3658" s="25" t="str">
        <f ca="1">IFERROR(__xludf.DUMMYFUNCTION("""COMPUTED_VALUE"""),"PEMP- Grandes inversores con Min Cultura")</f>
        <v>PEMP- Grandes inversores con Min Cultura</v>
      </c>
      <c r="C3658" s="55">
        <f ca="1">IFERROR(__xludf.DUMMYFUNCTION("""COMPUTED_VALUE"""),44418)</f>
        <v>44418</v>
      </c>
      <c r="D3658" s="25" t="str">
        <f ca="1">IFERROR(__xludf.DUMMYFUNCTION("""COMPUTED_VALUE"""),"Planeación")</f>
        <v>Planeación</v>
      </c>
      <c r="E3658" s="25" t="str">
        <f ca="1">IFERROR(__xludf.DUMMYFUNCTION("""COMPUTED_VALUE"""),"Secretaría Distrital de Planeación")</f>
        <v>Secretaría Distrital de Planeación</v>
      </c>
      <c r="F3658" s="25" t="str">
        <f ca="1">IFERROR(__xludf.DUMMYFUNCTION("""COMPUTED_VALUE"""),"Hacer reuniones técnicas para revisar que todo lo que necesita el Banco de la República para sus proyectos y su consolidacion estén en el PEMP y si no está, incluirlo en el POT - IDP /SDP")</f>
        <v>Hacer reuniones técnicas para revisar que todo lo que necesita el Banco de la República para sus proyectos y su consolidacion estén en el PEMP y si no está, incluirlo en el POT - IDP /SDP</v>
      </c>
      <c r="G3658" s="25" t="str">
        <f ca="1">IFERROR(__xludf.DUMMYFUNCTION("""COMPUTED_VALUE"""),"99. Distrito")</f>
        <v>99. Distrito</v>
      </c>
      <c r="H3658" s="55">
        <f ca="1">IFERROR(__xludf.DUMMYFUNCTION("""COMPUTED_VALUE"""),44448)</f>
        <v>44448</v>
      </c>
      <c r="I3658" s="25"/>
      <c r="J3658" s="55" t="str">
        <f ca="1">IFERROR(__xludf.DUMMYFUNCTION("""COMPUTED_VALUE"""),"Alta")</f>
        <v>Alta</v>
      </c>
      <c r="K3658" s="25">
        <f ca="1">IFERROR(__xludf.DUMMYFUNCTION("""COMPUTED_VALUE"""),30)</f>
        <v>30</v>
      </c>
      <c r="L3658" s="62"/>
      <c r="M3658" s="25"/>
      <c r="N3658" s="25"/>
      <c r="O3658" s="25" t="str">
        <f t="shared" ca="1" si="0"/>
        <v>Secretaría Distrital de Planeación</v>
      </c>
      <c r="P3658" s="25" t="str">
        <f t="shared" si="2"/>
        <v/>
      </c>
      <c r="Q3658" s="25"/>
      <c r="R3658" s="25"/>
      <c r="S3658" s="55"/>
      <c r="T3658" s="56"/>
      <c r="U3658" s="25"/>
      <c r="V3658" s="25"/>
      <c r="W3658" s="25"/>
      <c r="X3658" s="25"/>
      <c r="Y3658" s="25"/>
      <c r="Z3658" s="25"/>
    </row>
    <row r="3659" spans="1:26" ht="52.5" customHeight="1" x14ac:dyDescent="0.25">
      <c r="A3659" s="25" t="str">
        <f ca="1">IFERROR(__xludf.DUMMYFUNCTION("""COMPUTED_VALUE"""),"Plane57")</f>
        <v>Plane57</v>
      </c>
      <c r="B3659" s="25" t="str">
        <f ca="1">IFERROR(__xludf.DUMMYFUNCTION("""COMPUTED_VALUE"""),"PEMP")</f>
        <v>PEMP</v>
      </c>
      <c r="C3659" s="55">
        <f ca="1">IFERROR(__xludf.DUMMYFUNCTION("""COMPUTED_VALUE"""),44417)</f>
        <v>44417</v>
      </c>
      <c r="D3659" s="25" t="str">
        <f ca="1">IFERROR(__xludf.DUMMYFUNCTION("""COMPUTED_VALUE"""),"Planeación")</f>
        <v>Planeación</v>
      </c>
      <c r="E3659" s="25" t="str">
        <f ca="1">IFERROR(__xludf.DUMMYFUNCTION("""COMPUTED_VALUE"""),"Secretaría Distrital de Planeación")</f>
        <v>Secretaría Distrital de Planeación</v>
      </c>
      <c r="F3659" s="25" t="str">
        <f ca="1">IFERROR(__xludf.DUMMYFUNCTION("""COMPUTED_VALUE"""),"Averiguar en qué va el trámite de licenciamiento de la manzana 6 o 4 del proyecto de Ministerios - Sec. de Planeación")</f>
        <v>Averiguar en qué va el trámite de licenciamiento de la manzana 6 o 4 del proyecto de Ministerios - Sec. de Planeación</v>
      </c>
      <c r="G3659" s="25" t="str">
        <f ca="1">IFERROR(__xludf.DUMMYFUNCTION("""COMPUTED_VALUE"""),"99. Distrito")</f>
        <v>99. Distrito</v>
      </c>
      <c r="H3659" s="55">
        <f ca="1">IFERROR(__xludf.DUMMYFUNCTION("""COMPUTED_VALUE"""),44447)</f>
        <v>44447</v>
      </c>
      <c r="I3659" s="25"/>
      <c r="J3659" s="55" t="str">
        <f ca="1">IFERROR(__xludf.DUMMYFUNCTION("""COMPUTED_VALUE"""),"Alta")</f>
        <v>Alta</v>
      </c>
      <c r="K3659" s="25">
        <f ca="1">IFERROR(__xludf.DUMMYFUNCTION("""COMPUTED_VALUE"""),30)</f>
        <v>30</v>
      </c>
      <c r="L3659" s="62"/>
      <c r="M3659" s="25"/>
      <c r="N3659" s="25"/>
      <c r="O3659" s="25" t="str">
        <f t="shared" ca="1" si="0"/>
        <v>Secretaría Distrital de Planeación</v>
      </c>
      <c r="P3659" s="25" t="str">
        <f t="shared" si="2"/>
        <v/>
      </c>
      <c r="Q3659" s="25"/>
      <c r="R3659" s="25"/>
      <c r="S3659" s="55"/>
      <c r="T3659" s="56"/>
      <c r="U3659" s="25"/>
      <c r="V3659" s="25"/>
      <c r="W3659" s="25"/>
      <c r="X3659" s="25"/>
      <c r="Y3659" s="25"/>
      <c r="Z3659" s="25"/>
    </row>
    <row r="3660" spans="1:26" ht="52.5" customHeight="1" x14ac:dyDescent="0.25">
      <c r="A3660" s="25" t="str">
        <f ca="1">IFERROR(__xludf.DUMMYFUNCTION("""COMPUTED_VALUE"""),"Plane58")</f>
        <v>Plane58</v>
      </c>
      <c r="B3660" s="25" t="str">
        <f ca="1">IFERROR(__xludf.DUMMYFUNCTION("""COMPUTED_VALUE"""),"Proyecto Regalías")</f>
        <v>Proyecto Regalías</v>
      </c>
      <c r="C3660" s="55">
        <f ca="1">IFERROR(__xludf.DUMMYFUNCTION("""COMPUTED_VALUE"""),44403)</f>
        <v>44403</v>
      </c>
      <c r="D3660" s="25" t="str">
        <f ca="1">IFERROR(__xludf.DUMMYFUNCTION("""COMPUTED_VALUE"""),"Planeación")</f>
        <v>Planeación</v>
      </c>
      <c r="E3660" s="25" t="str">
        <f ca="1">IFERROR(__xludf.DUMMYFUNCTION("""COMPUTED_VALUE"""),"Secretaría Distrital de Planeación")</f>
        <v>Secretaría Distrital de Planeación</v>
      </c>
      <c r="F3660" s="25" t="str">
        <f ca="1">IFERROR(__xludf.DUMMYFUNCTION("""COMPUTED_VALUE"""),"Todas las bolsas de tecnología antes del 6 de agosto en regalías")</f>
        <v>Todas las bolsas de tecnología antes del 6 de agosto en regalías</v>
      </c>
      <c r="G3660" s="25" t="str">
        <f ca="1">IFERROR(__xludf.DUMMYFUNCTION("""COMPUTED_VALUE"""),"99. Distrito")</f>
        <v>99. Distrito</v>
      </c>
      <c r="H3660" s="55">
        <f ca="1">IFERROR(__xludf.DUMMYFUNCTION("""COMPUTED_VALUE"""),44414)</f>
        <v>44414</v>
      </c>
      <c r="I3660" s="25"/>
      <c r="J3660" s="55" t="str">
        <f ca="1">IFERROR(__xludf.DUMMYFUNCTION("""COMPUTED_VALUE"""),"Alta")</f>
        <v>Alta</v>
      </c>
      <c r="K3660" s="25">
        <f ca="1">IFERROR(__xludf.DUMMYFUNCTION("""COMPUTED_VALUE"""),11)</f>
        <v>11</v>
      </c>
      <c r="L3660" s="62"/>
      <c r="M3660" s="25"/>
      <c r="N3660" s="25"/>
      <c r="O3660" s="25" t="str">
        <f t="shared" ca="1" si="0"/>
        <v>Secretaría Distrital de Planeación</v>
      </c>
      <c r="P3660" s="25" t="str">
        <f t="shared" si="2"/>
        <v/>
      </c>
      <c r="Q3660" s="25"/>
      <c r="R3660" s="25"/>
      <c r="S3660" s="55"/>
      <c r="T3660" s="56"/>
      <c r="U3660" s="25"/>
      <c r="V3660" s="25"/>
      <c r="W3660" s="25"/>
      <c r="X3660" s="25"/>
      <c r="Y3660" s="25"/>
      <c r="Z3660" s="25"/>
    </row>
    <row r="3661" spans="1:26" ht="52.5" customHeight="1" x14ac:dyDescent="0.25">
      <c r="A3661" s="25" t="str">
        <f ca="1">IFERROR(__xludf.DUMMYFUNCTION("""COMPUTED_VALUE"""),"Plane59")</f>
        <v>Plane59</v>
      </c>
      <c r="B3661" s="25" t="str">
        <f ca="1">IFERROR(__xludf.DUMMYFUNCTION("""COMPUTED_VALUE"""),"Reunión POT -Escenarios Marco Fiscal")</f>
        <v>Reunión POT -Escenarios Marco Fiscal</v>
      </c>
      <c r="C3661" s="55">
        <f ca="1">IFERROR(__xludf.DUMMYFUNCTION("""COMPUTED_VALUE"""),44400)</f>
        <v>44400</v>
      </c>
      <c r="D3661" s="25" t="str">
        <f ca="1">IFERROR(__xludf.DUMMYFUNCTION("""COMPUTED_VALUE"""),"Planeación")</f>
        <v>Planeación</v>
      </c>
      <c r="E3661" s="25" t="str">
        <f ca="1">IFERROR(__xludf.DUMMYFUNCTION("""COMPUTED_VALUE"""),"Secretaría Distrital de Planeación")</f>
        <v>Secretaría Distrital de Planeación</v>
      </c>
      <c r="F3661" s="25" t="str">
        <f ca="1">IFERROR(__xludf.DUMMYFUNCTION("""COMPUTED_VALUE"""),"Revisar nuevamente el marco fiscal de corto y mediano plano. Este debe contener:
1. Metodología clara y concreta que defina un orden de prioridades de acuerdo al PDD (Sistema Distrital del Cuidado/Equipamentos) y la financiación del metro de Suba y Engati"&amp;"vá.
2. La articulación entre programas, subprogramas, objetivos y recursos asociados.
3. Revisar cómo involucrar más activamente a la figura de las Asociaciones Público Privada -APP como por ejemplo en el nuevo hospital de Bosa, proyectos de cable, Hospit"&amp;"al de Torca y de Suba. ")</f>
        <v xml:space="preserve">Revisar nuevamente el marco fiscal de corto y mediano plano. Este debe contener:
1. Metodología clara y concreta que defina un orden de prioridades de acuerdo al PDD (Sistema Distrital del Cuidado/Equipamentos) y la financiación del metro de Suba y Engativá.
2. La articulación entre programas, subprogramas, objetivos y recursos asociados.
3. Revisar cómo involucrar más activamente a la figura de las Asociaciones Público Privada -APP como por ejemplo en el nuevo hospital de Bosa, proyectos de cable, Hospital de Torca y de Suba. </v>
      </c>
      <c r="G3661" s="25" t="str">
        <f ca="1">IFERROR(__xludf.DUMMYFUNCTION("""COMPUTED_VALUE"""),"99. Distrito")</f>
        <v>99. Distrito</v>
      </c>
      <c r="H3661" s="55">
        <f ca="1">IFERROR(__xludf.DUMMYFUNCTION("""COMPUTED_VALUE"""),44430)</f>
        <v>44430</v>
      </c>
      <c r="I3661" s="25"/>
      <c r="J3661" s="55" t="str">
        <f ca="1">IFERROR(__xludf.DUMMYFUNCTION("""COMPUTED_VALUE"""),"Alta")</f>
        <v>Alta</v>
      </c>
      <c r="K3661" s="25">
        <f ca="1">IFERROR(__xludf.DUMMYFUNCTION("""COMPUTED_VALUE"""),30)</f>
        <v>30</v>
      </c>
      <c r="L3661" s="62"/>
      <c r="M3661" s="25"/>
      <c r="N3661" s="25"/>
      <c r="O3661" s="25" t="str">
        <f t="shared" ca="1" si="0"/>
        <v>Secretaría Distrital de Planeación</v>
      </c>
      <c r="P3661" s="25" t="str">
        <f t="shared" si="2"/>
        <v/>
      </c>
      <c r="Q3661" s="25"/>
      <c r="R3661" s="25"/>
      <c r="S3661" s="55"/>
      <c r="T3661" s="56"/>
      <c r="U3661" s="25"/>
      <c r="V3661" s="25"/>
      <c r="W3661" s="25"/>
      <c r="X3661" s="25"/>
      <c r="Y3661" s="25"/>
      <c r="Z3661" s="25"/>
    </row>
    <row r="3662" spans="1:26" ht="52.5" customHeight="1" x14ac:dyDescent="0.25">
      <c r="A3662" s="25" t="str">
        <f ca="1">IFERROR(__xludf.DUMMYFUNCTION("""COMPUTED_VALUE"""),"Plane60")</f>
        <v>Plane60</v>
      </c>
      <c r="B3662" s="25" t="str">
        <f ca="1">IFERROR(__xludf.DUMMYFUNCTION("""COMPUTED_VALUE"""),"Reunión POT -Escenarios Marco Fiscal")</f>
        <v>Reunión POT -Escenarios Marco Fiscal</v>
      </c>
      <c r="C3662" s="55">
        <f ca="1">IFERROR(__xludf.DUMMYFUNCTION("""COMPUTED_VALUE"""),44400)</f>
        <v>44400</v>
      </c>
      <c r="D3662" s="25" t="str">
        <f ca="1">IFERROR(__xludf.DUMMYFUNCTION("""COMPUTED_VALUE"""),"Planeación")</f>
        <v>Planeación</v>
      </c>
      <c r="E3662" s="25" t="str">
        <f ca="1">IFERROR(__xludf.DUMMYFUNCTION("""COMPUTED_VALUE"""),"Secretaría Distrital de Planeación")</f>
        <v>Secretaría Distrital de Planeación</v>
      </c>
      <c r="F3662" s="25" t="str">
        <f ca="1">IFERROR(__xludf.DUMMYFUNCTION("""COMPUTED_VALUE"""),"Dentro de las metas que están en el corto plazo deben incluir las contenidas dentro del PDD")</f>
        <v>Dentro de las metas que están en el corto plazo deben incluir las contenidas dentro del PDD</v>
      </c>
      <c r="G3662" s="25" t="str">
        <f ca="1">IFERROR(__xludf.DUMMYFUNCTION("""COMPUTED_VALUE"""),"99. Distrito")</f>
        <v>99. Distrito</v>
      </c>
      <c r="H3662" s="55">
        <f ca="1">IFERROR(__xludf.DUMMYFUNCTION("""COMPUTED_VALUE"""),44430)</f>
        <v>44430</v>
      </c>
      <c r="I3662" s="25"/>
      <c r="J3662" s="55" t="str">
        <f ca="1">IFERROR(__xludf.DUMMYFUNCTION("""COMPUTED_VALUE"""),"Alta")</f>
        <v>Alta</v>
      </c>
      <c r="K3662" s="25">
        <f ca="1">IFERROR(__xludf.DUMMYFUNCTION("""COMPUTED_VALUE"""),30)</f>
        <v>30</v>
      </c>
      <c r="L3662" s="62"/>
      <c r="M3662" s="25"/>
      <c r="N3662" s="25"/>
      <c r="O3662" s="25" t="str">
        <f t="shared" ca="1" si="0"/>
        <v>Secretaría Distrital de Planeación</v>
      </c>
      <c r="P3662" s="25" t="str">
        <f t="shared" si="2"/>
        <v/>
      </c>
      <c r="Q3662" s="25"/>
      <c r="R3662" s="25"/>
      <c r="S3662" s="55"/>
      <c r="T3662" s="56"/>
      <c r="U3662" s="25"/>
      <c r="V3662" s="25"/>
      <c r="W3662" s="25"/>
      <c r="X3662" s="25"/>
      <c r="Y3662" s="25"/>
      <c r="Z3662" s="25"/>
    </row>
    <row r="3663" spans="1:26" ht="52.5" customHeight="1" x14ac:dyDescent="0.25">
      <c r="A3663" s="25" t="str">
        <f ca="1">IFERROR(__xludf.DUMMYFUNCTION("""COMPUTED_VALUE"""),"Plane61")</f>
        <v>Plane61</v>
      </c>
      <c r="B3663" s="25" t="str">
        <f ca="1">IFERROR(__xludf.DUMMYFUNCTION("""COMPUTED_VALUE"""),"Reunión POT -Escenarios Marco Fiscal")</f>
        <v>Reunión POT -Escenarios Marco Fiscal</v>
      </c>
      <c r="C3663" s="55">
        <f ca="1">IFERROR(__xludf.DUMMYFUNCTION("""COMPUTED_VALUE"""),44400)</f>
        <v>44400</v>
      </c>
      <c r="D3663" s="25" t="str">
        <f ca="1">IFERROR(__xludf.DUMMYFUNCTION("""COMPUTED_VALUE"""),"Planeación")</f>
        <v>Planeación</v>
      </c>
      <c r="E3663" s="25" t="str">
        <f ca="1">IFERROR(__xludf.DUMMYFUNCTION("""COMPUTED_VALUE"""),"Secretaría Distrital de Planeación")</f>
        <v>Secretaría Distrital de Planeación</v>
      </c>
      <c r="F3663" s="25" t="str">
        <f ca="1">IFERROR(__xludf.DUMMYFUNCTION("""COMPUTED_VALUE"""),"Revisar las tiempos establecidos en el marco fiscal de mediano plazo, donde los cortos, mediano y largo plazo sean coherentes")</f>
        <v>Revisar las tiempos establecidos en el marco fiscal de mediano plazo, donde los cortos, mediano y largo plazo sean coherentes</v>
      </c>
      <c r="G3663" s="25" t="str">
        <f ca="1">IFERROR(__xludf.DUMMYFUNCTION("""COMPUTED_VALUE"""),"99. Distrito")</f>
        <v>99. Distrito</v>
      </c>
      <c r="H3663" s="55">
        <f ca="1">IFERROR(__xludf.DUMMYFUNCTION("""COMPUTED_VALUE"""),44430)</f>
        <v>44430</v>
      </c>
      <c r="I3663" s="25"/>
      <c r="J3663" s="55" t="str">
        <f ca="1">IFERROR(__xludf.DUMMYFUNCTION("""COMPUTED_VALUE"""),"Alta")</f>
        <v>Alta</v>
      </c>
      <c r="K3663" s="25">
        <f ca="1">IFERROR(__xludf.DUMMYFUNCTION("""COMPUTED_VALUE"""),30)</f>
        <v>30</v>
      </c>
      <c r="L3663" s="62"/>
      <c r="M3663" s="25"/>
      <c r="N3663" s="25"/>
      <c r="O3663" s="25" t="str">
        <f t="shared" ca="1" si="0"/>
        <v>Secretaría Distrital de Planeación</v>
      </c>
      <c r="P3663" s="25" t="str">
        <f t="shared" si="2"/>
        <v/>
      </c>
      <c r="Q3663" s="25"/>
      <c r="R3663" s="25"/>
      <c r="S3663" s="55"/>
      <c r="T3663" s="56"/>
      <c r="U3663" s="25"/>
      <c r="V3663" s="25"/>
      <c r="W3663" s="25"/>
      <c r="X3663" s="25"/>
      <c r="Y3663" s="25"/>
      <c r="Z3663" s="25"/>
    </row>
    <row r="3664" spans="1:26" ht="52.5" customHeight="1" x14ac:dyDescent="0.25">
      <c r="A3664" s="25" t="str">
        <f ca="1">IFERROR(__xludf.DUMMYFUNCTION("""COMPUTED_VALUE"""),"Plane62")</f>
        <v>Plane62</v>
      </c>
      <c r="B3664" s="25" t="str">
        <f ca="1">IFERROR(__xludf.DUMMYFUNCTION("""COMPUTED_VALUE"""),"Consejo Consultivo LGBTI ")</f>
        <v xml:space="preserve">Consejo Consultivo LGBTI </v>
      </c>
      <c r="C3664" s="55">
        <f ca="1">IFERROR(__xludf.DUMMYFUNCTION("""COMPUTED_VALUE"""),44398)</f>
        <v>44398</v>
      </c>
      <c r="D3664" s="25" t="str">
        <f ca="1">IFERROR(__xludf.DUMMYFUNCTION("""COMPUTED_VALUE"""),"Planeación")</f>
        <v>Planeación</v>
      </c>
      <c r="E3664" s="25" t="str">
        <f ca="1">IFERROR(__xludf.DUMMYFUNCTION("""COMPUTED_VALUE"""),"Secretaría Distrital de Planeación")</f>
        <v>Secretaría Distrital de Planeación</v>
      </c>
      <c r="F3664" s="25" t="str">
        <f ca="1">IFERROR(__xludf.DUMMYFUNCTION("""COMPUTED_VALUE"""),"Hacer una reunión con la Dirección de Diversidad Sexual con los Trans hombres donde se identifiquen las necesidades específicas de este grupo poblacional y qué estrategias se pueden generar en materia de educación, empleabilidad y emprendimiento. ")</f>
        <v xml:space="preserve">Hacer una reunión con la Dirección de Diversidad Sexual con los Trans hombres donde se identifiquen las necesidades específicas de este grupo poblacional y qué estrategias se pueden generar en materia de educación, empleabilidad y emprendimiento. </v>
      </c>
      <c r="G3664" s="25" t="str">
        <f ca="1">IFERROR(__xludf.DUMMYFUNCTION("""COMPUTED_VALUE"""),"99. Distrito")</f>
        <v>99. Distrito</v>
      </c>
      <c r="H3664" s="55">
        <f ca="1">IFERROR(__xludf.DUMMYFUNCTION("""COMPUTED_VALUE"""),44428)</f>
        <v>44428</v>
      </c>
      <c r="I3664" s="25"/>
      <c r="J3664" s="55" t="str">
        <f ca="1">IFERROR(__xludf.DUMMYFUNCTION("""COMPUTED_VALUE"""),"Alta")</f>
        <v>Alta</v>
      </c>
      <c r="K3664" s="25">
        <f ca="1">IFERROR(__xludf.DUMMYFUNCTION("""COMPUTED_VALUE"""),30)</f>
        <v>30</v>
      </c>
      <c r="L3664" s="62"/>
      <c r="M3664" s="25"/>
      <c r="N3664" s="25"/>
      <c r="O3664" s="25" t="str">
        <f t="shared" ca="1" si="0"/>
        <v>Secretaría Distrital de Planeación</v>
      </c>
      <c r="P3664" s="25" t="str">
        <f t="shared" si="2"/>
        <v/>
      </c>
      <c r="Q3664" s="25"/>
      <c r="R3664" s="25"/>
      <c r="S3664" s="55"/>
      <c r="T3664" s="56"/>
      <c r="U3664" s="25"/>
      <c r="V3664" s="25"/>
      <c r="W3664" s="25"/>
      <c r="X3664" s="25"/>
      <c r="Y3664" s="25"/>
      <c r="Z3664" s="25"/>
    </row>
    <row r="3665" spans="1:26" ht="52.5" customHeight="1" x14ac:dyDescent="0.25">
      <c r="A3665" s="25" t="str">
        <f ca="1">IFERROR(__xludf.DUMMYFUNCTION("""COMPUTED_VALUE"""),"Plane63")</f>
        <v>Plane63</v>
      </c>
      <c r="B3665" s="25" t="str">
        <f ca="1">IFERROR(__xludf.DUMMYFUNCTION("""COMPUTED_VALUE"""),"Consejo Consultivo LGBTI ")</f>
        <v xml:space="preserve">Consejo Consultivo LGBTI </v>
      </c>
      <c r="C3665" s="55">
        <f ca="1">IFERROR(__xludf.DUMMYFUNCTION("""COMPUTED_VALUE"""),44398)</f>
        <v>44398</v>
      </c>
      <c r="D3665" s="25" t="str">
        <f ca="1">IFERROR(__xludf.DUMMYFUNCTION("""COMPUTED_VALUE"""),"Planeación")</f>
        <v>Planeación</v>
      </c>
      <c r="E3665" s="25" t="str">
        <f ca="1">IFERROR(__xludf.DUMMYFUNCTION("""COMPUTED_VALUE"""),"Secretaría Distrital de Planeación")</f>
        <v>Secretaría Distrital de Planeación</v>
      </c>
      <c r="F3665" s="25" t="str">
        <f ca="1">IFERROR(__xludf.DUMMYFUNCTION("""COMPUTED_VALUE"""),"Incluir las cifras de manera discriminada de la población grupo LGBTI en la estrategia Talento y no Palanca como parte del acta del Consejo Consultivo LGBTI.")</f>
        <v>Incluir las cifras de manera discriminada de la población grupo LGBTI en la estrategia Talento y no Palanca como parte del acta del Consejo Consultivo LGBTI.</v>
      </c>
      <c r="G3665" s="25" t="str">
        <f ca="1">IFERROR(__xludf.DUMMYFUNCTION("""COMPUTED_VALUE"""),"99. Distrito")</f>
        <v>99. Distrito</v>
      </c>
      <c r="H3665" s="55">
        <f ca="1">IFERROR(__xludf.DUMMYFUNCTION("""COMPUTED_VALUE"""),44428)</f>
        <v>44428</v>
      </c>
      <c r="I3665" s="25"/>
      <c r="J3665" s="55" t="str">
        <f ca="1">IFERROR(__xludf.DUMMYFUNCTION("""COMPUTED_VALUE"""),"Alta")</f>
        <v>Alta</v>
      </c>
      <c r="K3665" s="25">
        <f ca="1">IFERROR(__xludf.DUMMYFUNCTION("""COMPUTED_VALUE"""),30)</f>
        <v>30</v>
      </c>
      <c r="L3665" s="62"/>
      <c r="M3665" s="25"/>
      <c r="N3665" s="25"/>
      <c r="O3665" s="25" t="str">
        <f t="shared" ca="1" si="0"/>
        <v>Secretaría Distrital de Planeación</v>
      </c>
      <c r="P3665" s="25" t="str">
        <f t="shared" si="2"/>
        <v/>
      </c>
      <c r="Q3665" s="25"/>
      <c r="R3665" s="25"/>
      <c r="S3665" s="55"/>
      <c r="T3665" s="56"/>
      <c r="U3665" s="25"/>
      <c r="V3665" s="25"/>
      <c r="W3665" s="25"/>
      <c r="X3665" s="25"/>
      <c r="Y3665" s="25"/>
      <c r="Z3665" s="25"/>
    </row>
    <row r="3666" spans="1:26" ht="52.5" customHeight="1" x14ac:dyDescent="0.25">
      <c r="A3666" s="25" t="str">
        <f ca="1">IFERROR(__xludf.DUMMYFUNCTION("""COMPUTED_VALUE"""),"Plane64")</f>
        <v>Plane64</v>
      </c>
      <c r="B3666" s="25" t="str">
        <f ca="1">IFERROR(__xludf.DUMMYFUNCTION("""COMPUTED_VALUE"""),"Consejo Consultivo LGBTI ")</f>
        <v xml:space="preserve">Consejo Consultivo LGBTI </v>
      </c>
      <c r="C3666" s="55">
        <f ca="1">IFERROR(__xludf.DUMMYFUNCTION("""COMPUTED_VALUE"""),44398)</f>
        <v>44398</v>
      </c>
      <c r="D3666" s="25" t="str">
        <f ca="1">IFERROR(__xludf.DUMMYFUNCTION("""COMPUTED_VALUE"""),"Planeación")</f>
        <v>Planeación</v>
      </c>
      <c r="E3666" s="25" t="str">
        <f ca="1">IFERROR(__xludf.DUMMYFUNCTION("""COMPUTED_VALUE"""),"Secretaría Distrital de Planeación")</f>
        <v>Secretaría Distrital de Planeación</v>
      </c>
      <c r="F3666" s="25" t="str">
        <f ca="1">IFERROR(__xludf.DUMMYFUNCTION("""COMPUTED_VALUE"""),"Definir como prioridades reunión al Concejo donde se pida una actualización de la Política Pública LGTBI. ¿Que se debe incluir? y ¿qué cambios se deben realizar?")</f>
        <v>Definir como prioridades reunión al Concejo donde se pida una actualización de la Política Pública LGTBI. ¿Que se debe incluir? y ¿qué cambios se deben realizar?</v>
      </c>
      <c r="G3666" s="25" t="str">
        <f ca="1">IFERROR(__xludf.DUMMYFUNCTION("""COMPUTED_VALUE"""),"99. Distrito")</f>
        <v>99. Distrito</v>
      </c>
      <c r="H3666" s="55">
        <f ca="1">IFERROR(__xludf.DUMMYFUNCTION("""COMPUTED_VALUE"""),44428)</f>
        <v>44428</v>
      </c>
      <c r="I3666" s="25"/>
      <c r="J3666" s="55" t="str">
        <f ca="1">IFERROR(__xludf.DUMMYFUNCTION("""COMPUTED_VALUE"""),"Alta")</f>
        <v>Alta</v>
      </c>
      <c r="K3666" s="25">
        <f ca="1">IFERROR(__xludf.DUMMYFUNCTION("""COMPUTED_VALUE"""),30)</f>
        <v>30</v>
      </c>
      <c r="L3666" s="62"/>
      <c r="M3666" s="25"/>
      <c r="N3666" s="25"/>
      <c r="O3666" s="25" t="str">
        <f t="shared" ca="1" si="0"/>
        <v>Secretaría Distrital de Planeación</v>
      </c>
      <c r="P3666" s="25" t="str">
        <f t="shared" si="2"/>
        <v/>
      </c>
      <c r="Q3666" s="25"/>
      <c r="R3666" s="25"/>
      <c r="S3666" s="55"/>
      <c r="T3666" s="56"/>
      <c r="U3666" s="25"/>
      <c r="V3666" s="25"/>
      <c r="W3666" s="25"/>
      <c r="X3666" s="25"/>
      <c r="Y3666" s="25"/>
      <c r="Z3666" s="25"/>
    </row>
    <row r="3667" spans="1:26" ht="52.5" customHeight="1" x14ac:dyDescent="0.25">
      <c r="A3667" s="25" t="str">
        <f ca="1">IFERROR(__xludf.DUMMYFUNCTION("""COMPUTED_VALUE"""),"Plane65")</f>
        <v>Plane65</v>
      </c>
      <c r="B3667" s="25" t="str">
        <f ca="1">IFERROR(__xludf.DUMMYFUNCTION("""COMPUTED_VALUE"""),"Ciudadela Judicial")</f>
        <v>Ciudadela Judicial</v>
      </c>
      <c r="C3667" s="55">
        <f ca="1">IFERROR(__xludf.DUMMYFUNCTION("""COMPUTED_VALUE"""),44396)</f>
        <v>44396</v>
      </c>
      <c r="D3667" s="25" t="str">
        <f ca="1">IFERROR(__xludf.DUMMYFUNCTION("""COMPUTED_VALUE"""),"Planeación")</f>
        <v>Planeación</v>
      </c>
      <c r="E3667" s="25" t="str">
        <f ca="1">IFERROR(__xludf.DUMMYFUNCTION("""COMPUTED_VALUE"""),"Secretaría Distrital de Planeación")</f>
        <v>Secretaría Distrital de Planeación</v>
      </c>
      <c r="F3667" s="25" t="str">
        <f ca="1">IFERROR(__xludf.DUMMYFUNCTION("""COMPUTED_VALUE""")," Que el Consejo Superior de la Judicatura radique el proyecto de ciudadela judicial ante la SDP y plan de implantación ")</f>
        <v xml:space="preserve"> Que el Consejo Superior de la Judicatura radique el proyecto de ciudadela judicial ante la SDP y plan de implantación </v>
      </c>
      <c r="G3667" s="25" t="str">
        <f ca="1">IFERROR(__xludf.DUMMYFUNCTION("""COMPUTED_VALUE"""),"99. Distrito")</f>
        <v>99. Distrito</v>
      </c>
      <c r="H3667" s="55">
        <f ca="1">IFERROR(__xludf.DUMMYFUNCTION("""COMPUTED_VALUE"""),44426)</f>
        <v>44426</v>
      </c>
      <c r="I3667" s="25"/>
      <c r="J3667" s="55" t="str">
        <f ca="1">IFERROR(__xludf.DUMMYFUNCTION("""COMPUTED_VALUE"""),"Alta")</f>
        <v>Alta</v>
      </c>
      <c r="K3667" s="25">
        <f ca="1">IFERROR(__xludf.DUMMYFUNCTION("""COMPUTED_VALUE"""),30)</f>
        <v>30</v>
      </c>
      <c r="L3667" s="62"/>
      <c r="M3667" s="25"/>
      <c r="N3667" s="25"/>
      <c r="O3667" s="25" t="str">
        <f t="shared" ca="1" si="0"/>
        <v>Secretaría Distrital de Planeación</v>
      </c>
      <c r="P3667" s="25" t="str">
        <f t="shared" si="2"/>
        <v/>
      </c>
      <c r="Q3667" s="25"/>
      <c r="R3667" s="25"/>
      <c r="S3667" s="55"/>
      <c r="T3667" s="56"/>
      <c r="U3667" s="25"/>
      <c r="V3667" s="25"/>
      <c r="W3667" s="25"/>
      <c r="X3667" s="25"/>
      <c r="Y3667" s="25"/>
      <c r="Z3667" s="25"/>
    </row>
    <row r="3668" spans="1:26" ht="52.5" customHeight="1" x14ac:dyDescent="0.25">
      <c r="A3668" s="25" t="str">
        <f ca="1">IFERROR(__xludf.DUMMYFUNCTION("""COMPUTED_VALUE"""),"Plane66")</f>
        <v>Plane66</v>
      </c>
      <c r="B3668" s="25" t="str">
        <f ca="1">IFERROR(__xludf.DUMMYFUNCTION("""COMPUTED_VALUE"""),"Reunión Universidad de los Andes ")</f>
        <v xml:space="preserve">Reunión Universidad de los Andes </v>
      </c>
      <c r="C3668" s="55">
        <f ca="1">IFERROR(__xludf.DUMMYFUNCTION("""COMPUTED_VALUE"""),44384)</f>
        <v>44384</v>
      </c>
      <c r="D3668" s="25" t="str">
        <f ca="1">IFERROR(__xludf.DUMMYFUNCTION("""COMPUTED_VALUE"""),"Planeación")</f>
        <v>Planeación</v>
      </c>
      <c r="E3668" s="25" t="str">
        <f ca="1">IFERROR(__xludf.DUMMYFUNCTION("""COMPUTED_VALUE"""),"Secretaría Distrital de Planeación")</f>
        <v>Secretaría Distrital de Planeación</v>
      </c>
      <c r="F3668" s="25" t="str">
        <f ca="1">IFERROR(__xludf.DUMMYFUNCTION("""COMPUTED_VALUE"""),"Visita al plan parcial Fenicia y presentarle el proyecto del cable del centro al Decano de la Facultad de Arquitectura")</f>
        <v>Visita al plan parcial Fenicia y presentarle el proyecto del cable del centro al Decano de la Facultad de Arquitectura</v>
      </c>
      <c r="G3668" s="25" t="str">
        <f ca="1">IFERROR(__xludf.DUMMYFUNCTION("""COMPUTED_VALUE"""),"99. Distrito")</f>
        <v>99. Distrito</v>
      </c>
      <c r="H3668" s="55">
        <f ca="1">IFERROR(__xludf.DUMMYFUNCTION("""COMPUTED_VALUE"""),44414)</f>
        <v>44414</v>
      </c>
      <c r="I3668" s="25"/>
      <c r="J3668" s="55" t="str">
        <f ca="1">IFERROR(__xludf.DUMMYFUNCTION("""COMPUTED_VALUE"""),"Alta")</f>
        <v>Alta</v>
      </c>
      <c r="K3668" s="25">
        <f ca="1">IFERROR(__xludf.DUMMYFUNCTION("""COMPUTED_VALUE"""),30)</f>
        <v>30</v>
      </c>
      <c r="L3668" s="62"/>
      <c r="M3668" s="25"/>
      <c r="N3668" s="25"/>
      <c r="O3668" s="25" t="str">
        <f t="shared" ca="1" si="0"/>
        <v>Secretaría Distrital de Planeación</v>
      </c>
      <c r="P3668" s="25" t="str">
        <f t="shared" si="2"/>
        <v/>
      </c>
      <c r="Q3668" s="25"/>
      <c r="R3668" s="25"/>
      <c r="S3668" s="55"/>
      <c r="T3668" s="56"/>
      <c r="U3668" s="25"/>
      <c r="V3668" s="25"/>
      <c r="W3668" s="25"/>
      <c r="X3668" s="25"/>
      <c r="Y3668" s="25"/>
      <c r="Z3668" s="25"/>
    </row>
    <row r="3669" spans="1:26" ht="52.5" customHeight="1" x14ac:dyDescent="0.25">
      <c r="A3669" s="25" t="str">
        <f ca="1">IFERROR(__xludf.DUMMYFUNCTION("""COMPUTED_VALUE"""),"Plane67")</f>
        <v>Plane67</v>
      </c>
      <c r="B3669" s="25" t="str">
        <f ca="1">IFERROR(__xludf.DUMMYFUNCTION("""COMPUTED_VALUE"""),"Reunión Universidad de los Andes ")</f>
        <v xml:space="preserve">Reunión Universidad de los Andes </v>
      </c>
      <c r="C3669" s="55">
        <f ca="1">IFERROR(__xludf.DUMMYFUNCTION("""COMPUTED_VALUE"""),44384)</f>
        <v>44384</v>
      </c>
      <c r="D3669" s="25" t="str">
        <f ca="1">IFERROR(__xludf.DUMMYFUNCTION("""COMPUTED_VALUE"""),"Planeación")</f>
        <v>Planeación</v>
      </c>
      <c r="E3669" s="25" t="str">
        <f ca="1">IFERROR(__xludf.DUMMYFUNCTION("""COMPUTED_VALUE"""),"Secretaría Distrital de Planeación")</f>
        <v>Secretaría Distrital de Planeación</v>
      </c>
      <c r="F3669" s="25" t="str">
        <f ca="1">IFERROR(__xludf.DUMMYFUNCTION("""COMPUTED_VALUE"""),"Hacer un plan para incluir en los equipamientos sociales una manzana del cuidado en el plan parcial de Fenicia. Adicionalmente, la Sec. de Habitat debe revisar cómo se aprovechan los 12 mil metros cuadrados de equipamientos.")</f>
        <v>Hacer un plan para incluir en los equipamientos sociales una manzana del cuidado en el plan parcial de Fenicia. Adicionalmente, la Sec. de Habitat debe revisar cómo se aprovechan los 12 mil metros cuadrados de equipamientos.</v>
      </c>
      <c r="G3669" s="25" t="str">
        <f ca="1">IFERROR(__xludf.DUMMYFUNCTION("""COMPUTED_VALUE"""),"99. Distrito")</f>
        <v>99. Distrito</v>
      </c>
      <c r="H3669" s="55">
        <f ca="1">IFERROR(__xludf.DUMMYFUNCTION("""COMPUTED_VALUE"""),44414)</f>
        <v>44414</v>
      </c>
      <c r="I3669" s="25"/>
      <c r="J3669" s="55" t="str">
        <f ca="1">IFERROR(__xludf.DUMMYFUNCTION("""COMPUTED_VALUE"""),"Alta")</f>
        <v>Alta</v>
      </c>
      <c r="K3669" s="25">
        <f ca="1">IFERROR(__xludf.DUMMYFUNCTION("""COMPUTED_VALUE"""),30)</f>
        <v>30</v>
      </c>
      <c r="L3669" s="62"/>
      <c r="M3669" s="25"/>
      <c r="N3669" s="25"/>
      <c r="O3669" s="25" t="str">
        <f t="shared" ca="1" si="0"/>
        <v>Secretaría Distrital de Planeación</v>
      </c>
      <c r="P3669" s="25" t="str">
        <f t="shared" si="2"/>
        <v/>
      </c>
      <c r="Q3669" s="25"/>
      <c r="R3669" s="25"/>
      <c r="S3669" s="55"/>
      <c r="T3669" s="56"/>
      <c r="U3669" s="25"/>
      <c r="V3669" s="25"/>
      <c r="W3669" s="25"/>
      <c r="X3669" s="25"/>
      <c r="Y3669" s="25"/>
      <c r="Z3669" s="25"/>
    </row>
    <row r="3670" spans="1:26" ht="52.5" customHeight="1" x14ac:dyDescent="0.25">
      <c r="A3670" s="25" t="str">
        <f ca="1">IFERROR(__xludf.DUMMYFUNCTION("""COMPUTED_VALUE"""),"Plane68")</f>
        <v>Plane68</v>
      </c>
      <c r="B3670" s="25" t="str">
        <f ca="1">IFERROR(__xludf.DUMMYFUNCTION("""COMPUTED_VALUE"""),"POT Hábitat")</f>
        <v>POT Hábitat</v>
      </c>
      <c r="C3670" s="55">
        <f ca="1">IFERROR(__xludf.DUMMYFUNCTION("""COMPUTED_VALUE"""),44379)</f>
        <v>44379</v>
      </c>
      <c r="D3670" s="25" t="str">
        <f ca="1">IFERROR(__xludf.DUMMYFUNCTION("""COMPUTED_VALUE"""),"Planeación")</f>
        <v>Planeación</v>
      </c>
      <c r="E3670" s="25" t="str">
        <f ca="1">IFERROR(__xludf.DUMMYFUNCTION("""COMPUTED_VALUE"""),"Secretaría Distrital de Planeación")</f>
        <v>Secretaría Distrital de Planeación</v>
      </c>
      <c r="F3670" s="25" t="str">
        <f ca="1">IFERROR(__xludf.DUMMYFUNCTION("""COMPUTED_VALUE"""),"Reevaluar la forma en que se puedan dejar las cargas urbanísticas VIP conmutable a que se subsidien la tarifa de los usuarios. Esto en el marco que alrededor de las estaciones la prioridad es capturar valorar para subsidiar la tarifa.")</f>
        <v>Reevaluar la forma en que se puedan dejar las cargas urbanísticas VIP conmutable a que se subsidien la tarifa de los usuarios. Esto en el marco que alrededor de las estaciones la prioridad es capturar valorar para subsidiar la tarifa.</v>
      </c>
      <c r="G3670" s="25" t="str">
        <f ca="1">IFERROR(__xludf.DUMMYFUNCTION("""COMPUTED_VALUE"""),"99. Distrito")</f>
        <v>99. Distrito</v>
      </c>
      <c r="H3670" s="55">
        <f ca="1">IFERROR(__xludf.DUMMYFUNCTION("""COMPUTED_VALUE"""),44409)</f>
        <v>44409</v>
      </c>
      <c r="I3670" s="25"/>
      <c r="J3670" s="55" t="str">
        <f ca="1">IFERROR(__xludf.DUMMYFUNCTION("""COMPUTED_VALUE"""),"Alta")</f>
        <v>Alta</v>
      </c>
      <c r="K3670" s="25">
        <f ca="1">IFERROR(__xludf.DUMMYFUNCTION("""COMPUTED_VALUE"""),30)</f>
        <v>30</v>
      </c>
      <c r="L3670" s="62"/>
      <c r="M3670" s="25"/>
      <c r="N3670" s="25"/>
      <c r="O3670" s="25" t="str">
        <f t="shared" ca="1" si="0"/>
        <v>Secretaría Distrital de Planeación</v>
      </c>
      <c r="P3670" s="25" t="str">
        <f t="shared" si="2"/>
        <v/>
      </c>
      <c r="Q3670" s="25"/>
      <c r="R3670" s="25"/>
      <c r="S3670" s="55"/>
      <c r="T3670" s="56"/>
      <c r="U3670" s="25"/>
      <c r="V3670" s="25"/>
      <c r="W3670" s="25"/>
      <c r="X3670" s="25"/>
      <c r="Y3670" s="25"/>
      <c r="Z3670" s="25"/>
    </row>
    <row r="3671" spans="1:26" ht="52.5" customHeight="1" x14ac:dyDescent="0.25">
      <c r="A3671" s="25" t="str">
        <f ca="1">IFERROR(__xludf.DUMMYFUNCTION("""COMPUTED_VALUE"""),"Plane69")</f>
        <v>Plane69</v>
      </c>
      <c r="B3671" s="25" t="str">
        <f ca="1">IFERROR(__xludf.DUMMYFUNCTION("""COMPUTED_VALUE"""),"POT Hábitat")</f>
        <v>POT Hábitat</v>
      </c>
      <c r="C3671" s="55">
        <f ca="1">IFERROR(__xludf.DUMMYFUNCTION("""COMPUTED_VALUE"""),44379)</f>
        <v>44379</v>
      </c>
      <c r="D3671" s="25" t="str">
        <f ca="1">IFERROR(__xludf.DUMMYFUNCTION("""COMPUTED_VALUE"""),"Planeación")</f>
        <v>Planeación</v>
      </c>
      <c r="E3671" s="25" t="str">
        <f ca="1">IFERROR(__xludf.DUMMYFUNCTION("""COMPUTED_VALUE"""),"Secretaría Distrital de Planeación")</f>
        <v>Secretaría Distrital de Planeación</v>
      </c>
      <c r="F3671" s="25" t="str">
        <f ca="1">IFERROR(__xludf.DUMMYFUNCTION("""COMPUTED_VALUE"""),"Presentar propuesta puntual para Vitalia/calle 153/ Av. Salitre que defina si se deben dejar como reserva vial, parque urbano o propuesta intermedia sostenible.")</f>
        <v>Presentar propuesta puntual para Vitalia/calle 153/ Av. Salitre que defina si se deben dejar como reserva vial, parque urbano o propuesta intermedia sostenible.</v>
      </c>
      <c r="G3671" s="25" t="str">
        <f ca="1">IFERROR(__xludf.DUMMYFUNCTION("""COMPUTED_VALUE"""),"99. Distrito")</f>
        <v>99. Distrito</v>
      </c>
      <c r="H3671" s="55">
        <f ca="1">IFERROR(__xludf.DUMMYFUNCTION("""COMPUTED_VALUE"""),44409)</f>
        <v>44409</v>
      </c>
      <c r="I3671" s="25"/>
      <c r="J3671" s="55" t="str">
        <f ca="1">IFERROR(__xludf.DUMMYFUNCTION("""COMPUTED_VALUE"""),"Alta")</f>
        <v>Alta</v>
      </c>
      <c r="K3671" s="25">
        <f ca="1">IFERROR(__xludf.DUMMYFUNCTION("""COMPUTED_VALUE"""),30)</f>
        <v>30</v>
      </c>
      <c r="L3671" s="62"/>
      <c r="M3671" s="25"/>
      <c r="N3671" s="25"/>
      <c r="O3671" s="25" t="str">
        <f t="shared" ca="1" si="0"/>
        <v>Secretaría Distrital de Planeación</v>
      </c>
      <c r="P3671" s="25" t="str">
        <f t="shared" si="2"/>
        <v/>
      </c>
      <c r="Q3671" s="25"/>
      <c r="R3671" s="25"/>
      <c r="S3671" s="55"/>
      <c r="T3671" s="56"/>
      <c r="U3671" s="25"/>
      <c r="V3671" s="25"/>
      <c r="W3671" s="25"/>
      <c r="X3671" s="25"/>
      <c r="Y3671" s="25"/>
      <c r="Z3671" s="25"/>
    </row>
    <row r="3672" spans="1:26" ht="52.5" customHeight="1" x14ac:dyDescent="0.25">
      <c r="A3672" s="25" t="str">
        <f ca="1">IFERROR(__xludf.DUMMYFUNCTION("""COMPUTED_VALUE"""),"Plane70")</f>
        <v>Plane70</v>
      </c>
      <c r="B3672" s="25" t="str">
        <f ca="1">IFERROR(__xludf.DUMMYFUNCTION("""COMPUTED_VALUE"""),"POT Hábitat")</f>
        <v>POT Hábitat</v>
      </c>
      <c r="C3672" s="55">
        <f ca="1">IFERROR(__xludf.DUMMYFUNCTION("""COMPUTED_VALUE"""),44379)</f>
        <v>44379</v>
      </c>
      <c r="D3672" s="25" t="str">
        <f ca="1">IFERROR(__xludf.DUMMYFUNCTION("""COMPUTED_VALUE"""),"Planeación")</f>
        <v>Planeación</v>
      </c>
      <c r="E3672" s="25" t="str">
        <f ca="1">IFERROR(__xludf.DUMMYFUNCTION("""COMPUTED_VALUE"""),"Secretaría Distrital de Planeación")</f>
        <v>Secretaría Distrital de Planeación</v>
      </c>
      <c r="F3672" s="25" t="str">
        <f ca="1">IFERROR(__xludf.DUMMYFUNCTION("""COMPUTED_VALUE"""),"Que quede explícito en el POT:
 1. Reglamentación para hornos crematorios ya instalados. Es importante que se les permita a los públicos que se reubiquen pero con las mismas normas tecnológicas.
 2. Reglas claras y especificación de zonas para nuevos horn"&amp;"os crematorios.")</f>
        <v>Que quede explícito en el POT:
 1. Reglamentación para hornos crematorios ya instalados. Es importante que se les permita a los públicos que se reubiquen pero con las mismas normas tecnológicas.
 2. Reglas claras y especificación de zonas para nuevos hornos crematorios.</v>
      </c>
      <c r="G3672" s="25" t="str">
        <f ca="1">IFERROR(__xludf.DUMMYFUNCTION("""COMPUTED_VALUE"""),"99. Distrito")</f>
        <v>99. Distrito</v>
      </c>
      <c r="H3672" s="55">
        <f ca="1">IFERROR(__xludf.DUMMYFUNCTION("""COMPUTED_VALUE"""),44409)</f>
        <v>44409</v>
      </c>
      <c r="I3672" s="25"/>
      <c r="J3672" s="55" t="str">
        <f ca="1">IFERROR(__xludf.DUMMYFUNCTION("""COMPUTED_VALUE"""),"Alta")</f>
        <v>Alta</v>
      </c>
      <c r="K3672" s="25">
        <f ca="1">IFERROR(__xludf.DUMMYFUNCTION("""COMPUTED_VALUE"""),30)</f>
        <v>30</v>
      </c>
      <c r="L3672" s="62"/>
      <c r="M3672" s="25"/>
      <c r="N3672" s="25"/>
      <c r="O3672" s="25" t="str">
        <f t="shared" ca="1" si="0"/>
        <v>Secretaría Distrital de Planeación</v>
      </c>
      <c r="P3672" s="25" t="str">
        <f t="shared" si="2"/>
        <v/>
      </c>
      <c r="Q3672" s="25"/>
      <c r="R3672" s="25"/>
      <c r="S3672" s="55"/>
      <c r="T3672" s="56"/>
      <c r="U3672" s="25"/>
      <c r="V3672" s="25"/>
      <c r="W3672" s="25"/>
      <c r="X3672" s="25"/>
      <c r="Y3672" s="25"/>
      <c r="Z3672" s="25"/>
    </row>
    <row r="3673" spans="1:26" ht="52.5" customHeight="1" x14ac:dyDescent="0.25">
      <c r="A3673" s="25" t="str">
        <f ca="1">IFERROR(__xludf.DUMMYFUNCTION("""COMPUTED_VALUE"""),"Plane71")</f>
        <v>Plane71</v>
      </c>
      <c r="B3673" s="25" t="str">
        <f ca="1">IFERROR(__xludf.DUMMYFUNCTION("""COMPUTED_VALUE"""),"POT Hábitat")</f>
        <v>POT Hábitat</v>
      </c>
      <c r="C3673" s="55">
        <f ca="1">IFERROR(__xludf.DUMMYFUNCTION("""COMPUTED_VALUE"""),44379)</f>
        <v>44379</v>
      </c>
      <c r="D3673" s="25" t="str">
        <f ca="1">IFERROR(__xludf.DUMMYFUNCTION("""COMPUTED_VALUE"""),"Planeación")</f>
        <v>Planeación</v>
      </c>
      <c r="E3673" s="25" t="str">
        <f ca="1">IFERROR(__xludf.DUMMYFUNCTION("""COMPUTED_VALUE"""),"Secretaría Distrital de Planeación")</f>
        <v>Secretaría Distrital de Planeación</v>
      </c>
      <c r="F3673" s="25" t="str">
        <f ca="1">IFERROR(__xludf.DUMMYFUNCTION("""COMPUTED_VALUE"""),"Redactar artículo para que quede explícito en el POT la posibilidad de usos temporales de predios. Es decir, que si un predio tiene una especificación de uso, este puede ser usado temporalmente para otro fin.")</f>
        <v>Redactar artículo para que quede explícito en el POT la posibilidad de usos temporales de predios. Es decir, que si un predio tiene una especificación de uso, este puede ser usado temporalmente para otro fin.</v>
      </c>
      <c r="G3673" s="25" t="str">
        <f ca="1">IFERROR(__xludf.DUMMYFUNCTION("""COMPUTED_VALUE"""),"99. Distrito")</f>
        <v>99. Distrito</v>
      </c>
      <c r="H3673" s="55">
        <f ca="1">IFERROR(__xludf.DUMMYFUNCTION("""COMPUTED_VALUE"""),44409)</f>
        <v>44409</v>
      </c>
      <c r="I3673" s="25"/>
      <c r="J3673" s="55" t="str">
        <f ca="1">IFERROR(__xludf.DUMMYFUNCTION("""COMPUTED_VALUE"""),"Alta")</f>
        <v>Alta</v>
      </c>
      <c r="K3673" s="25">
        <f ca="1">IFERROR(__xludf.DUMMYFUNCTION("""COMPUTED_VALUE"""),30)</f>
        <v>30</v>
      </c>
      <c r="L3673" s="62"/>
      <c r="M3673" s="25"/>
      <c r="N3673" s="25"/>
      <c r="O3673" s="25" t="str">
        <f t="shared" ca="1" si="0"/>
        <v>Secretaría Distrital de Planeación</v>
      </c>
      <c r="P3673" s="25" t="str">
        <f t="shared" si="2"/>
        <v/>
      </c>
      <c r="Q3673" s="25"/>
      <c r="R3673" s="25"/>
      <c r="S3673" s="55"/>
      <c r="T3673" s="56"/>
      <c r="U3673" s="25"/>
      <c r="V3673" s="25"/>
      <c r="W3673" s="25"/>
      <c r="X3673" s="25"/>
      <c r="Y3673" s="25"/>
      <c r="Z3673" s="25"/>
    </row>
    <row r="3674" spans="1:26" ht="52.5" customHeight="1" x14ac:dyDescent="0.25">
      <c r="A3674" s="25" t="str">
        <f ca="1">IFERROR(__xludf.DUMMYFUNCTION("""COMPUTED_VALUE"""),"Plane72")</f>
        <v>Plane72</v>
      </c>
      <c r="B3674" s="25" t="str">
        <f ca="1">IFERROR(__xludf.DUMMYFUNCTION("""COMPUTED_VALUE"""),"POT Hábitat")</f>
        <v>POT Hábitat</v>
      </c>
      <c r="C3674" s="55">
        <f ca="1">IFERROR(__xludf.DUMMYFUNCTION("""COMPUTED_VALUE"""),44379)</f>
        <v>44379</v>
      </c>
      <c r="D3674" s="25" t="str">
        <f ca="1">IFERROR(__xludf.DUMMYFUNCTION("""COMPUTED_VALUE"""),"Planeación")</f>
        <v>Planeación</v>
      </c>
      <c r="E3674" s="25" t="str">
        <f ca="1">IFERROR(__xludf.DUMMYFUNCTION("""COMPUTED_VALUE"""),"Secretaría Distrital de Planeación")</f>
        <v>Secretaría Distrital de Planeación</v>
      </c>
      <c r="F3674" s="25" t="str">
        <f ca="1">IFERROR(__xludf.DUMMYFUNCTION("""COMPUTED_VALUE"""),"Habilitar para bodegaje aproximadamente 3 zonas donde se localicen las bodegas de reciclaje similar a la zona de Maria Paz . Es importante definir la localización para los privados y públicos.")</f>
        <v>Habilitar para bodegaje aproximadamente 3 zonas donde se localicen las bodegas de reciclaje similar a la zona de Maria Paz . Es importante definir la localización para los privados y públicos.</v>
      </c>
      <c r="G3674" s="25" t="str">
        <f ca="1">IFERROR(__xludf.DUMMYFUNCTION("""COMPUTED_VALUE"""),"99. Distrito")</f>
        <v>99. Distrito</v>
      </c>
      <c r="H3674" s="55">
        <f ca="1">IFERROR(__xludf.DUMMYFUNCTION("""COMPUTED_VALUE"""),44409)</f>
        <v>44409</v>
      </c>
      <c r="I3674" s="25"/>
      <c r="J3674" s="55" t="str">
        <f ca="1">IFERROR(__xludf.DUMMYFUNCTION("""COMPUTED_VALUE"""),"Alta")</f>
        <v>Alta</v>
      </c>
      <c r="K3674" s="25">
        <f ca="1">IFERROR(__xludf.DUMMYFUNCTION("""COMPUTED_VALUE"""),30)</f>
        <v>30</v>
      </c>
      <c r="L3674" s="62"/>
      <c r="M3674" s="25"/>
      <c r="N3674" s="25"/>
      <c r="O3674" s="25" t="str">
        <f t="shared" ca="1" si="0"/>
        <v>Secretaría Distrital de Planeación</v>
      </c>
      <c r="P3674" s="25" t="str">
        <f t="shared" si="2"/>
        <v/>
      </c>
      <c r="Q3674" s="25"/>
      <c r="R3674" s="25"/>
      <c r="S3674" s="55"/>
      <c r="T3674" s="56"/>
      <c r="U3674" s="25"/>
      <c r="V3674" s="25"/>
      <c r="W3674" s="25"/>
      <c r="X3674" s="25"/>
      <c r="Y3674" s="25"/>
      <c r="Z3674" s="25"/>
    </row>
    <row r="3675" spans="1:26" ht="52.5" customHeight="1" x14ac:dyDescent="0.25">
      <c r="A3675" s="25" t="str">
        <f ca="1">IFERROR(__xludf.DUMMYFUNCTION("""COMPUTED_VALUE"""),"Plane73")</f>
        <v>Plane73</v>
      </c>
      <c r="B3675" s="25" t="str">
        <f ca="1">IFERROR(__xludf.DUMMYFUNCTION("""COMPUTED_VALUE"""),"POT Hábitat")</f>
        <v>POT Hábitat</v>
      </c>
      <c r="C3675" s="55">
        <f ca="1">IFERROR(__xludf.DUMMYFUNCTION("""COMPUTED_VALUE"""),44379)</f>
        <v>44379</v>
      </c>
      <c r="D3675" s="25" t="str">
        <f ca="1">IFERROR(__xludf.DUMMYFUNCTION("""COMPUTED_VALUE"""),"Planeación")</f>
        <v>Planeación</v>
      </c>
      <c r="E3675" s="25" t="str">
        <f ca="1">IFERROR(__xludf.DUMMYFUNCTION("""COMPUTED_VALUE"""),"Secretaría Distrital de Planeación")</f>
        <v>Secretaría Distrital de Planeación</v>
      </c>
      <c r="F3675" s="25" t="str">
        <f ca="1">IFERROR(__xludf.DUMMYFUNCTION("""COMPUTED_VALUE"""),"La curaduría pública se debe reconocer en artículo 551- 552  del POT")</f>
        <v>La curaduría pública se debe reconocer en artículo 551- 552  del POT</v>
      </c>
      <c r="G3675" s="25" t="str">
        <f ca="1">IFERROR(__xludf.DUMMYFUNCTION("""COMPUTED_VALUE"""),"99. Distrito")</f>
        <v>99. Distrito</v>
      </c>
      <c r="H3675" s="55">
        <f ca="1">IFERROR(__xludf.DUMMYFUNCTION("""COMPUTED_VALUE"""),44409)</f>
        <v>44409</v>
      </c>
      <c r="I3675" s="25"/>
      <c r="J3675" s="55" t="str">
        <f ca="1">IFERROR(__xludf.DUMMYFUNCTION("""COMPUTED_VALUE"""),"Alta")</f>
        <v>Alta</v>
      </c>
      <c r="K3675" s="25">
        <f ca="1">IFERROR(__xludf.DUMMYFUNCTION("""COMPUTED_VALUE"""),30)</f>
        <v>30</v>
      </c>
      <c r="L3675" s="62"/>
      <c r="M3675" s="25"/>
      <c r="N3675" s="25"/>
      <c r="O3675" s="25" t="str">
        <f t="shared" ca="1" si="0"/>
        <v>Secretaría Distrital de Planeación</v>
      </c>
      <c r="P3675" s="25" t="str">
        <f t="shared" si="2"/>
        <v/>
      </c>
      <c r="Q3675" s="25"/>
      <c r="R3675" s="25"/>
      <c r="S3675" s="55"/>
      <c r="T3675" s="56"/>
      <c r="U3675" s="25"/>
      <c r="V3675" s="25"/>
      <c r="W3675" s="25"/>
      <c r="X3675" s="25"/>
      <c r="Y3675" s="25"/>
      <c r="Z3675" s="25"/>
    </row>
    <row r="3676" spans="1:26" ht="52.5" customHeight="1" x14ac:dyDescent="0.25">
      <c r="A3676" s="25" t="str">
        <f ca="1">IFERROR(__xludf.DUMMYFUNCTION("""COMPUTED_VALUE"""),"Plane74")</f>
        <v>Plane74</v>
      </c>
      <c r="B3676" s="25" t="str">
        <f ca="1">IFERROR(__xludf.DUMMYFUNCTION("""COMPUTED_VALUE"""),"POT Hábitat")</f>
        <v>POT Hábitat</v>
      </c>
      <c r="C3676" s="55">
        <f ca="1">IFERROR(__xludf.DUMMYFUNCTION("""COMPUTED_VALUE"""),44379)</f>
        <v>44379</v>
      </c>
      <c r="D3676" s="25" t="str">
        <f ca="1">IFERROR(__xludf.DUMMYFUNCTION("""COMPUTED_VALUE"""),"Planeación")</f>
        <v>Planeación</v>
      </c>
      <c r="E3676" s="25" t="str">
        <f ca="1">IFERROR(__xludf.DUMMYFUNCTION("""COMPUTED_VALUE"""),"Secretaría Distrital de Planeación")</f>
        <v>Secretaría Distrital de Planeación</v>
      </c>
      <c r="F3676" s="25" t="str">
        <f ca="1">IFERROR(__xludf.DUMMYFUNCTION("""COMPUTED_VALUE"""),"Distribución de captura de valor de corredores metro: 
 - pagar la carga de la renovación de las redes (hacer acueducto y alcantarillado) (Cuando no se vaya a hacer renovación de las redes al hacer traslado)
 - Pagar la tarifa de metro 
 - dos tipos de an"&amp;"illos: en el más externo, pagar equipamientos y espacio público")</f>
        <v>Distribución de captura de valor de corredores metro: 
 - pagar la carga de la renovación de las redes (hacer acueducto y alcantarillado) (Cuando no se vaya a hacer renovación de las redes al hacer traslado)
 - Pagar la tarifa de metro 
 - dos tipos de anillos: en el más externo, pagar equipamientos y espacio público</v>
      </c>
      <c r="G3676" s="25" t="str">
        <f ca="1">IFERROR(__xludf.DUMMYFUNCTION("""COMPUTED_VALUE"""),"99. Distrito")</f>
        <v>99. Distrito</v>
      </c>
      <c r="H3676" s="55">
        <f ca="1">IFERROR(__xludf.DUMMYFUNCTION("""COMPUTED_VALUE"""),44409)</f>
        <v>44409</v>
      </c>
      <c r="I3676" s="25"/>
      <c r="J3676" s="55" t="str">
        <f ca="1">IFERROR(__xludf.DUMMYFUNCTION("""COMPUTED_VALUE"""),"Alta")</f>
        <v>Alta</v>
      </c>
      <c r="K3676" s="25">
        <f ca="1">IFERROR(__xludf.DUMMYFUNCTION("""COMPUTED_VALUE"""),30)</f>
        <v>30</v>
      </c>
      <c r="L3676" s="62"/>
      <c r="M3676" s="25"/>
      <c r="N3676" s="25"/>
      <c r="O3676" s="25" t="str">
        <f t="shared" ca="1" si="0"/>
        <v>Secretaría Distrital de Planeación</v>
      </c>
      <c r="P3676" s="25" t="str">
        <f t="shared" si="2"/>
        <v/>
      </c>
      <c r="Q3676" s="25"/>
      <c r="R3676" s="25"/>
      <c r="S3676" s="55"/>
      <c r="T3676" s="56"/>
      <c r="U3676" s="25"/>
      <c r="V3676" s="25"/>
      <c r="W3676" s="25"/>
      <c r="X3676" s="25"/>
      <c r="Y3676" s="25"/>
      <c r="Z3676" s="25"/>
    </row>
    <row r="3677" spans="1:26" ht="52.5" customHeight="1" x14ac:dyDescent="0.25">
      <c r="A3677" s="25" t="str">
        <f ca="1">IFERROR(__xludf.DUMMYFUNCTION("""COMPUTED_VALUE"""),"Plane75")</f>
        <v>Plane75</v>
      </c>
      <c r="B3677" s="25" t="str">
        <f ca="1">IFERROR(__xludf.DUMMYFUNCTION("""COMPUTED_VALUE"""),"Reunión ANLA y Promotores Lagos de Tunjuelo ")</f>
        <v xml:space="preserve">Reunión ANLA y Promotores Lagos de Tunjuelo </v>
      </c>
      <c r="C3677" s="55">
        <f ca="1">IFERROR(__xludf.DUMMYFUNCTION("""COMPUTED_VALUE"""),44377)</f>
        <v>44377</v>
      </c>
      <c r="D3677" s="25" t="str">
        <f ca="1">IFERROR(__xludf.DUMMYFUNCTION("""COMPUTED_VALUE"""),"Planeación")</f>
        <v>Planeación</v>
      </c>
      <c r="E3677" s="25" t="str">
        <f ca="1">IFERROR(__xludf.DUMMYFUNCTION("""COMPUTED_VALUE"""),"Secretaría Distrital de Planeación")</f>
        <v>Secretaría Distrital de Planeación</v>
      </c>
      <c r="F3677" s="25" t="str">
        <f ca="1">IFERROR(__xludf.DUMMYFUNCTION("""COMPUTED_VALUE"""),"Incluir un artículo en el POT para definir una actuación estratégica de Reverdecer del Sur coordinado con ANLA y actores estratégicos.")</f>
        <v>Incluir un artículo en el POT para definir una actuación estratégica de Reverdecer del Sur coordinado con ANLA y actores estratégicos.</v>
      </c>
      <c r="G3677" s="25" t="str">
        <f ca="1">IFERROR(__xludf.DUMMYFUNCTION("""COMPUTED_VALUE"""),"99. Distrito")</f>
        <v>99. Distrito</v>
      </c>
      <c r="H3677" s="55">
        <f ca="1">IFERROR(__xludf.DUMMYFUNCTION("""COMPUTED_VALUE"""),44407)</f>
        <v>44407</v>
      </c>
      <c r="I3677" s="25"/>
      <c r="J3677" s="55" t="str">
        <f ca="1">IFERROR(__xludf.DUMMYFUNCTION("""COMPUTED_VALUE"""),"Alta")</f>
        <v>Alta</v>
      </c>
      <c r="K3677" s="25">
        <f ca="1">IFERROR(__xludf.DUMMYFUNCTION("""COMPUTED_VALUE"""),30)</f>
        <v>30</v>
      </c>
      <c r="L3677" s="62"/>
      <c r="M3677" s="25"/>
      <c r="N3677" s="25"/>
      <c r="O3677" s="25" t="str">
        <f t="shared" ca="1" si="0"/>
        <v>Secretaría Distrital de Planeación</v>
      </c>
      <c r="P3677" s="25" t="str">
        <f t="shared" si="2"/>
        <v/>
      </c>
      <c r="Q3677" s="25"/>
      <c r="R3677" s="25"/>
      <c r="S3677" s="55"/>
      <c r="T3677" s="56"/>
      <c r="U3677" s="25"/>
      <c r="V3677" s="25"/>
      <c r="W3677" s="25"/>
      <c r="X3677" s="25"/>
      <c r="Y3677" s="25"/>
      <c r="Z3677" s="25"/>
    </row>
    <row r="3678" spans="1:26" ht="52.5" customHeight="1" x14ac:dyDescent="0.25">
      <c r="A3678" s="25" t="str">
        <f ca="1">IFERROR(__xludf.DUMMYFUNCTION("""COMPUTED_VALUE"""),"Plane76")</f>
        <v>Plane76</v>
      </c>
      <c r="B3678" s="25" t="str">
        <f ca="1">IFERROR(__xludf.DUMMYFUNCTION("""COMPUTED_VALUE"""),"Reunión ANLA y Promotores Lagos de Tunjuelo ")</f>
        <v xml:space="preserve">Reunión ANLA y Promotores Lagos de Tunjuelo </v>
      </c>
      <c r="C3678" s="55">
        <f ca="1">IFERROR(__xludf.DUMMYFUNCTION("""COMPUTED_VALUE"""),44377)</f>
        <v>44377</v>
      </c>
      <c r="D3678" s="25" t="str">
        <f ca="1">IFERROR(__xludf.DUMMYFUNCTION("""COMPUTED_VALUE"""),"Planeación")</f>
        <v>Planeación</v>
      </c>
      <c r="E3678" s="25" t="str">
        <f ca="1">IFERROR(__xludf.DUMMYFUNCTION("""COMPUTED_VALUE"""),"Secretaría Distrital de Planeación")</f>
        <v>Secretaría Distrital de Planeación</v>
      </c>
      <c r="F3678" s="25" t="str">
        <f ca="1">IFERROR(__xludf.DUMMYFUNCTION("""COMPUTED_VALUE"""),"Incluir un artículo en el POT respecto al Batallón del Ejército adaptado únicamente para este proyecto. No se incluyen otros Batallones.")</f>
        <v>Incluir un artículo en el POT respecto al Batallón del Ejército adaptado únicamente para este proyecto. No se incluyen otros Batallones.</v>
      </c>
      <c r="G3678" s="25" t="str">
        <f ca="1">IFERROR(__xludf.DUMMYFUNCTION("""COMPUTED_VALUE"""),"99. Distrito")</f>
        <v>99. Distrito</v>
      </c>
      <c r="H3678" s="55">
        <f ca="1">IFERROR(__xludf.DUMMYFUNCTION("""COMPUTED_VALUE"""),44407)</f>
        <v>44407</v>
      </c>
      <c r="I3678" s="25"/>
      <c r="J3678" s="55" t="str">
        <f ca="1">IFERROR(__xludf.DUMMYFUNCTION("""COMPUTED_VALUE"""),"Alta")</f>
        <v>Alta</v>
      </c>
      <c r="K3678" s="25">
        <f ca="1">IFERROR(__xludf.DUMMYFUNCTION("""COMPUTED_VALUE"""),30)</f>
        <v>30</v>
      </c>
      <c r="L3678" s="62"/>
      <c r="M3678" s="25"/>
      <c r="N3678" s="25"/>
      <c r="O3678" s="25" t="str">
        <f t="shared" ca="1" si="0"/>
        <v>Secretaría Distrital de Planeación</v>
      </c>
      <c r="P3678" s="25" t="str">
        <f t="shared" si="2"/>
        <v/>
      </c>
      <c r="Q3678" s="25"/>
      <c r="R3678" s="25"/>
      <c r="S3678" s="55"/>
      <c r="T3678" s="56"/>
      <c r="U3678" s="25"/>
      <c r="V3678" s="25"/>
      <c r="W3678" s="25"/>
      <c r="X3678" s="25"/>
      <c r="Y3678" s="25"/>
      <c r="Z3678" s="25"/>
    </row>
    <row r="3679" spans="1:26" ht="52.5" customHeight="1" x14ac:dyDescent="0.25">
      <c r="A3679" s="25" t="str">
        <f ca="1">IFERROR(__xludf.DUMMYFUNCTION("""COMPUTED_VALUE"""),"Plane77")</f>
        <v>Plane77</v>
      </c>
      <c r="B3679" s="25" t="str">
        <f ca="1">IFERROR(__xludf.DUMMYFUNCTION("""COMPUTED_VALUE"""),"Recorrido Antonio Nariño ")</f>
        <v xml:space="preserve">Recorrido Antonio Nariño </v>
      </c>
      <c r="C3679" s="55">
        <f ca="1">IFERROR(__xludf.DUMMYFUNCTION("""COMPUTED_VALUE"""),44364)</f>
        <v>44364</v>
      </c>
      <c r="D3679" s="25" t="str">
        <f ca="1">IFERROR(__xludf.DUMMYFUNCTION("""COMPUTED_VALUE"""),"Planeación")</f>
        <v>Planeación</v>
      </c>
      <c r="E3679" s="25" t="str">
        <f ca="1">IFERROR(__xludf.DUMMYFUNCTION("""COMPUTED_VALUE"""),"Secretaría Distrital de Planeación")</f>
        <v>Secretaría Distrital de Planeación</v>
      </c>
      <c r="F3679" s="25" t="str">
        <f ca="1">IFERROR(__xludf.DUMMYFUNCTION("""COMPUTED_VALUE"""),"Informar a los ediles como va quedar el barrio San Antonio de Fragua en el POT")</f>
        <v>Informar a los ediles como va quedar el barrio San Antonio de Fragua en el POT</v>
      </c>
      <c r="G3679" s="25" t="str">
        <f ca="1">IFERROR(__xludf.DUMMYFUNCTION("""COMPUTED_VALUE"""),"15. Antonio Nariño")</f>
        <v>15. Antonio Nariño</v>
      </c>
      <c r="H3679" s="55">
        <f ca="1">IFERROR(__xludf.DUMMYFUNCTION("""COMPUTED_VALUE"""),44394)</f>
        <v>44394</v>
      </c>
      <c r="I3679" s="25"/>
      <c r="J3679" s="55" t="str">
        <f ca="1">IFERROR(__xludf.DUMMYFUNCTION("""COMPUTED_VALUE"""),"Alta")</f>
        <v>Alta</v>
      </c>
      <c r="K3679" s="25">
        <f ca="1">IFERROR(__xludf.DUMMYFUNCTION("""COMPUTED_VALUE"""),30)</f>
        <v>30</v>
      </c>
      <c r="L3679" s="62"/>
      <c r="M3679" s="25"/>
      <c r="N3679" s="25"/>
      <c r="O3679" s="25" t="str">
        <f t="shared" ca="1" si="0"/>
        <v>Secretaría Distrital de Planeación</v>
      </c>
      <c r="P3679" s="25" t="str">
        <f t="shared" si="2"/>
        <v/>
      </c>
      <c r="Q3679" s="25"/>
      <c r="R3679" s="25"/>
      <c r="S3679" s="55"/>
      <c r="T3679" s="56"/>
      <c r="U3679" s="25"/>
      <c r="V3679" s="25"/>
      <c r="W3679" s="25"/>
      <c r="X3679" s="25"/>
      <c r="Y3679" s="25"/>
      <c r="Z3679" s="25"/>
    </row>
    <row r="3680" spans="1:26" ht="52.5" customHeight="1" x14ac:dyDescent="0.25">
      <c r="A3680" s="25" t="str">
        <f ca="1">IFERROR(__xludf.DUMMYFUNCTION("""COMPUTED_VALUE"""),"Plane78")</f>
        <v>Plane78</v>
      </c>
      <c r="B3680" s="25" t="str">
        <f ca="1">IFERROR(__xludf.DUMMYFUNCTION("""COMPUTED_VALUE"""),"Consejo Consultivo LGBTI ")</f>
        <v xml:space="preserve">Consejo Consultivo LGBTI </v>
      </c>
      <c r="C3680" s="55">
        <f ca="1">IFERROR(__xludf.DUMMYFUNCTION("""COMPUTED_VALUE"""),44362)</f>
        <v>44362</v>
      </c>
      <c r="D3680" s="25" t="str">
        <f ca="1">IFERROR(__xludf.DUMMYFUNCTION("""COMPUTED_VALUE"""),"Planeación")</f>
        <v>Planeación</v>
      </c>
      <c r="E3680" s="25" t="str">
        <f ca="1">IFERROR(__xludf.DUMMYFUNCTION("""COMPUTED_VALUE"""),"Secretaría Distrital de Planeación")</f>
        <v>Secretaría Distrital de Planeación</v>
      </c>
      <c r="F3680" s="25" t="str">
        <f ca="1">IFERROR(__xludf.DUMMYFUNCTION("""COMPUTED_VALUE"""),"Proponer en Asocapitales que los datos de delitos de alto impacto incluyan todas las categorías de género ")</f>
        <v xml:space="preserve">Proponer en Asocapitales que los datos de delitos de alto impacto incluyan todas las categorías de género </v>
      </c>
      <c r="G3680" s="25" t="str">
        <f ca="1">IFERROR(__xludf.DUMMYFUNCTION("""COMPUTED_VALUE"""),"99. Distrito")</f>
        <v>99. Distrito</v>
      </c>
      <c r="H3680" s="55">
        <f ca="1">IFERROR(__xludf.DUMMYFUNCTION("""COMPUTED_VALUE"""),44392)</f>
        <v>44392</v>
      </c>
      <c r="I3680" s="25"/>
      <c r="J3680" s="55" t="str">
        <f ca="1">IFERROR(__xludf.DUMMYFUNCTION("""COMPUTED_VALUE"""),"Alta")</f>
        <v>Alta</v>
      </c>
      <c r="K3680" s="25">
        <f ca="1">IFERROR(__xludf.DUMMYFUNCTION("""COMPUTED_VALUE"""),30)</f>
        <v>30</v>
      </c>
      <c r="L3680" s="62"/>
      <c r="M3680" s="25"/>
      <c r="N3680" s="25"/>
      <c r="O3680" s="25" t="str">
        <f t="shared" ca="1" si="0"/>
        <v>Secretaría Distrital de Planeación</v>
      </c>
      <c r="P3680" s="25" t="str">
        <f t="shared" si="2"/>
        <v/>
      </c>
      <c r="Q3680" s="25"/>
      <c r="R3680" s="25"/>
      <c r="S3680" s="55"/>
      <c r="T3680" s="56"/>
      <c r="U3680" s="25"/>
      <c r="V3680" s="25"/>
      <c r="W3680" s="25"/>
      <c r="X3680" s="25"/>
      <c r="Y3680" s="25"/>
      <c r="Z3680" s="25"/>
    </row>
    <row r="3681" spans="1:26" ht="52.5" customHeight="1" x14ac:dyDescent="0.25">
      <c r="A3681" s="25" t="str">
        <f ca="1">IFERROR(__xludf.DUMMYFUNCTION("""COMPUTED_VALUE"""),"Plane79")</f>
        <v>Plane79</v>
      </c>
      <c r="B3681" s="25" t="str">
        <f ca="1">IFERROR(__xludf.DUMMYFUNCTION("""COMPUTED_VALUE"""),"Consejo Consultivo LGBTI ")</f>
        <v xml:space="preserve">Consejo Consultivo LGBTI </v>
      </c>
      <c r="C3681" s="55">
        <f ca="1">IFERROR(__xludf.DUMMYFUNCTION("""COMPUTED_VALUE"""),44362)</f>
        <v>44362</v>
      </c>
      <c r="D3681" s="25" t="str">
        <f ca="1">IFERROR(__xludf.DUMMYFUNCTION("""COMPUTED_VALUE"""),"Planeación")</f>
        <v>Planeación</v>
      </c>
      <c r="E3681" s="25" t="str">
        <f ca="1">IFERROR(__xludf.DUMMYFUNCTION("""COMPUTED_VALUE"""),"Secretaría Distrital de Planeación")</f>
        <v>Secretaría Distrital de Planeación</v>
      </c>
      <c r="F3681" s="25" t="str">
        <f ca="1">IFERROR(__xludf.DUMMYFUNCTION("""COMPUTED_VALUE"""),"Hacer una reunión para revisar el enfoque de diversidad en el barrismo. Invitar a Consejeros LGBTI. ")</f>
        <v xml:space="preserve">Hacer una reunión para revisar el enfoque de diversidad en el barrismo. Invitar a Consejeros LGBTI. </v>
      </c>
      <c r="G3681" s="25" t="str">
        <f ca="1">IFERROR(__xludf.DUMMYFUNCTION("""COMPUTED_VALUE"""),"99. Distrito")</f>
        <v>99. Distrito</v>
      </c>
      <c r="H3681" s="55">
        <f ca="1">IFERROR(__xludf.DUMMYFUNCTION("""COMPUTED_VALUE"""),44392)</f>
        <v>44392</v>
      </c>
      <c r="I3681" s="25"/>
      <c r="J3681" s="55" t="str">
        <f ca="1">IFERROR(__xludf.DUMMYFUNCTION("""COMPUTED_VALUE"""),"Alta")</f>
        <v>Alta</v>
      </c>
      <c r="K3681" s="25">
        <f ca="1">IFERROR(__xludf.DUMMYFUNCTION("""COMPUTED_VALUE"""),30)</f>
        <v>30</v>
      </c>
      <c r="L3681" s="62"/>
      <c r="M3681" s="25"/>
      <c r="N3681" s="25"/>
      <c r="O3681" s="25" t="str">
        <f t="shared" ca="1" si="0"/>
        <v>Secretaría Distrital de Planeación</v>
      </c>
      <c r="P3681" s="25" t="str">
        <f t="shared" si="2"/>
        <v/>
      </c>
      <c r="Q3681" s="25"/>
      <c r="R3681" s="25"/>
      <c r="S3681" s="55"/>
      <c r="T3681" s="56"/>
      <c r="U3681" s="25"/>
      <c r="V3681" s="25"/>
      <c r="W3681" s="25"/>
      <c r="X3681" s="25"/>
      <c r="Y3681" s="25"/>
      <c r="Z3681" s="25"/>
    </row>
    <row r="3682" spans="1:26" ht="52.5" customHeight="1" x14ac:dyDescent="0.25">
      <c r="A3682" s="25" t="str">
        <f ca="1">IFERROR(__xludf.DUMMYFUNCTION("""COMPUTED_VALUE"""),"Plane80")</f>
        <v>Plane80</v>
      </c>
      <c r="B3682" s="25" t="str">
        <f ca="1">IFERROR(__xludf.DUMMYFUNCTION("""COMPUTED_VALUE"""),"Consejo Consultivo LGBTI ")</f>
        <v xml:space="preserve">Consejo Consultivo LGBTI </v>
      </c>
      <c r="C3682" s="55">
        <f ca="1">IFERROR(__xludf.DUMMYFUNCTION("""COMPUTED_VALUE"""),44362)</f>
        <v>44362</v>
      </c>
      <c r="D3682" s="25" t="str">
        <f ca="1">IFERROR(__xludf.DUMMYFUNCTION("""COMPUTED_VALUE"""),"Planeación")</f>
        <v>Planeación</v>
      </c>
      <c r="E3682" s="25" t="str">
        <f ca="1">IFERROR(__xludf.DUMMYFUNCTION("""COMPUTED_VALUE"""),"Secretaría Distrital de Planeación")</f>
        <v>Secretaría Distrital de Planeación</v>
      </c>
      <c r="F3682" s="25" t="str">
        <f ca="1">IFERROR(__xludf.DUMMYFUNCTION("""COMPUTED_VALUE"""),"Radicar el Proyecto de Acuerdo de Ley de la unidad contra la discriminación. Fecha: Julio")</f>
        <v>Radicar el Proyecto de Acuerdo de Ley de la unidad contra la discriminación. Fecha: Julio</v>
      </c>
      <c r="G3682" s="25" t="str">
        <f ca="1">IFERROR(__xludf.DUMMYFUNCTION("""COMPUTED_VALUE"""),"99. Distrito")</f>
        <v>99. Distrito</v>
      </c>
      <c r="H3682" s="55">
        <f ca="1">IFERROR(__xludf.DUMMYFUNCTION("""COMPUTED_VALUE"""),44392)</f>
        <v>44392</v>
      </c>
      <c r="I3682" s="25"/>
      <c r="J3682" s="55" t="str">
        <f ca="1">IFERROR(__xludf.DUMMYFUNCTION("""COMPUTED_VALUE"""),"Alta")</f>
        <v>Alta</v>
      </c>
      <c r="K3682" s="25">
        <f ca="1">IFERROR(__xludf.DUMMYFUNCTION("""COMPUTED_VALUE"""),30)</f>
        <v>30</v>
      </c>
      <c r="L3682" s="62"/>
      <c r="M3682" s="25"/>
      <c r="N3682" s="25"/>
      <c r="O3682" s="25" t="str">
        <f t="shared" ca="1" si="0"/>
        <v>Secretaría Distrital de Planeación</v>
      </c>
      <c r="P3682" s="25" t="str">
        <f t="shared" si="2"/>
        <v/>
      </c>
      <c r="Q3682" s="25"/>
      <c r="R3682" s="25"/>
      <c r="S3682" s="55"/>
      <c r="T3682" s="56"/>
      <c r="U3682" s="25"/>
      <c r="V3682" s="25"/>
      <c r="W3682" s="25"/>
      <c r="X3682" s="25"/>
      <c r="Y3682" s="25"/>
      <c r="Z3682" s="25"/>
    </row>
    <row r="3683" spans="1:26" ht="52.5" customHeight="1" x14ac:dyDescent="0.25">
      <c r="A3683" s="25" t="str">
        <f ca="1">IFERROR(__xludf.DUMMYFUNCTION("""COMPUTED_VALUE"""),"Plane81")</f>
        <v>Plane81</v>
      </c>
      <c r="B3683" s="25" t="str">
        <f ca="1">IFERROR(__xludf.DUMMYFUNCTION("""COMPUTED_VALUE"""),"Consejo Consultivo LGBTI")</f>
        <v>Consejo Consultivo LGBTI</v>
      </c>
      <c r="C3683" s="55">
        <f ca="1">IFERROR(__xludf.DUMMYFUNCTION("""COMPUTED_VALUE"""),44362)</f>
        <v>44362</v>
      </c>
      <c r="D3683" s="25" t="str">
        <f ca="1">IFERROR(__xludf.DUMMYFUNCTION("""COMPUTED_VALUE"""),"Planeación")</f>
        <v>Planeación</v>
      </c>
      <c r="E3683" s="25" t="str">
        <f ca="1">IFERROR(__xludf.DUMMYFUNCTION("""COMPUTED_VALUE"""),"Secretaría Distrital de Planeación")</f>
        <v>Secretaría Distrital de Planeación</v>
      </c>
      <c r="F3683" s="25" t="str">
        <f ca="1">IFERROR(__xludf.DUMMYFUNCTION("""COMPUTED_VALUE"""),"Buscar un predio sin uso para la instalación de un CAIDSG en Kennedy y Engativá (contemplar predios cerca de Metro) Hablar con la Alcaldesa Local de Kennedy para que ayude en esta tarea. ")</f>
        <v xml:space="preserve">Buscar un predio sin uso para la instalación de un CAIDSG en Kennedy y Engativá (contemplar predios cerca de Metro) Hablar con la Alcaldesa Local de Kennedy para que ayude en esta tarea. </v>
      </c>
      <c r="G3683" s="25" t="str">
        <f ca="1">IFERROR(__xludf.DUMMYFUNCTION("""COMPUTED_VALUE"""),"99. Distrito")</f>
        <v>99. Distrito</v>
      </c>
      <c r="H3683" s="55">
        <f ca="1">IFERROR(__xludf.DUMMYFUNCTION("""COMPUTED_VALUE"""),44392)</f>
        <v>44392</v>
      </c>
      <c r="I3683" s="25"/>
      <c r="J3683" s="55" t="str">
        <f ca="1">IFERROR(__xludf.DUMMYFUNCTION("""COMPUTED_VALUE"""),"Alta")</f>
        <v>Alta</v>
      </c>
      <c r="K3683" s="25">
        <f ca="1">IFERROR(__xludf.DUMMYFUNCTION("""COMPUTED_VALUE"""),30)</f>
        <v>30</v>
      </c>
      <c r="L3683" s="62"/>
      <c r="M3683" s="25"/>
      <c r="N3683" s="25"/>
      <c r="O3683" s="25" t="str">
        <f t="shared" ca="1" si="0"/>
        <v>Secretaría Distrital de Planeación</v>
      </c>
      <c r="P3683" s="25" t="str">
        <f t="shared" si="2"/>
        <v/>
      </c>
      <c r="Q3683" s="25"/>
      <c r="R3683" s="25"/>
      <c r="S3683" s="55"/>
      <c r="T3683" s="56"/>
      <c r="U3683" s="25"/>
      <c r="V3683" s="25"/>
      <c r="W3683" s="25"/>
      <c r="X3683" s="25"/>
      <c r="Y3683" s="25"/>
      <c r="Z3683" s="25"/>
    </row>
    <row r="3684" spans="1:26" ht="52.5" customHeight="1" x14ac:dyDescent="0.25">
      <c r="A3684" s="25" t="str">
        <f ca="1">IFERROR(__xludf.DUMMYFUNCTION("""COMPUTED_VALUE"""),"Plane82")</f>
        <v>Plane82</v>
      </c>
      <c r="B3684" s="25" t="str">
        <f ca="1">IFERROR(__xludf.DUMMYFUNCTION("""COMPUTED_VALUE"""),"Estrategia pobreza e ingreso mínimo")</f>
        <v>Estrategia pobreza e ingreso mínimo</v>
      </c>
      <c r="C3684" s="55">
        <f ca="1">IFERROR(__xludf.DUMMYFUNCTION("""COMPUTED_VALUE"""),44305)</f>
        <v>44305</v>
      </c>
      <c r="D3684" s="25" t="str">
        <f ca="1">IFERROR(__xludf.DUMMYFUNCTION("""COMPUTED_VALUE"""),"Planeación")</f>
        <v>Planeación</v>
      </c>
      <c r="E3684" s="25" t="str">
        <f ca="1">IFERROR(__xludf.DUMMYFUNCTION("""COMPUTED_VALUE"""),"Secretaría Distrital de Planeación")</f>
        <v>Secretaría Distrital de Planeación</v>
      </c>
      <c r="F3684" s="25" t="str">
        <f ca="1">IFERROR(__xludf.DUMMYFUNCTION("""COMPUTED_VALUE"""),"Calcular cuál es el nuevo monto que se requiere para atender pobreza extrema, dadas las transferencias de la Nación.  Revisar cuantas encuestas no tienen datos de SISBEN IV.")</f>
        <v>Calcular cuál es el nuevo monto que se requiere para atender pobreza extrema, dadas las transferencias de la Nación.  Revisar cuantas encuestas no tienen datos de SISBEN IV.</v>
      </c>
      <c r="G3684" s="25" t="str">
        <f ca="1">IFERROR(__xludf.DUMMYFUNCTION("""COMPUTED_VALUE"""),"99. Distrito")</f>
        <v>99. Distrito</v>
      </c>
      <c r="H3684" s="55">
        <f ca="1">IFERROR(__xludf.DUMMYFUNCTION("""COMPUTED_VALUE"""),44335)</f>
        <v>44335</v>
      </c>
      <c r="I3684" s="25"/>
      <c r="J3684" s="55" t="str">
        <f ca="1">IFERROR(__xludf.DUMMYFUNCTION("""COMPUTED_VALUE"""),"Alta")</f>
        <v>Alta</v>
      </c>
      <c r="K3684" s="25">
        <f ca="1">IFERROR(__xludf.DUMMYFUNCTION("""COMPUTED_VALUE"""),30)</f>
        <v>30</v>
      </c>
      <c r="L3684" s="62"/>
      <c r="M3684" s="25"/>
      <c r="N3684" s="25"/>
      <c r="O3684" s="25" t="str">
        <f t="shared" ca="1" si="0"/>
        <v>Secretaría Distrital de Planeación</v>
      </c>
      <c r="P3684" s="25" t="str">
        <f t="shared" si="2"/>
        <v/>
      </c>
      <c r="Q3684" s="25"/>
      <c r="R3684" s="25"/>
      <c r="S3684" s="55"/>
      <c r="T3684" s="56"/>
      <c r="U3684" s="25"/>
      <c r="V3684" s="25"/>
      <c r="W3684" s="25"/>
      <c r="X3684" s="25"/>
      <c r="Y3684" s="25"/>
      <c r="Z3684" s="25"/>
    </row>
    <row r="3685" spans="1:26" ht="52.5" customHeight="1" x14ac:dyDescent="0.25">
      <c r="A3685" s="25" t="str">
        <f ca="1">IFERROR(__xludf.DUMMYFUNCTION("""COMPUTED_VALUE"""),"Plane83")</f>
        <v>Plane83</v>
      </c>
      <c r="B3685" s="25" t="str">
        <f ca="1">IFERROR(__xludf.DUMMYFUNCTION("""COMPUTED_VALUE"""),"Estrategia pobreza e ingreso mínimo")</f>
        <v>Estrategia pobreza e ingreso mínimo</v>
      </c>
      <c r="C3685" s="55">
        <f ca="1">IFERROR(__xludf.DUMMYFUNCTION("""COMPUTED_VALUE"""),44305)</f>
        <v>44305</v>
      </c>
      <c r="D3685" s="25" t="str">
        <f ca="1">IFERROR(__xludf.DUMMYFUNCTION("""COMPUTED_VALUE"""),"Planeación")</f>
        <v>Planeación</v>
      </c>
      <c r="E3685" s="25" t="str">
        <f ca="1">IFERROR(__xludf.DUMMYFUNCTION("""COMPUTED_VALUE"""),"Secretaría Distrital de Planeación")</f>
        <v>Secretaría Distrital de Planeación</v>
      </c>
      <c r="F3685" s="25" t="str">
        <f ca="1">IFERROR(__xludf.DUMMYFUNCTION("""COMPUTED_VALUE"""),"Después de hacer encuestas pendientes de Sisben IV, sacar costeo de atender a todo Sisben IV A y B con 240 mil pesos de transferencia.  (Esto debe estar listo en mayo por si se necesita llevar presupuesto al Concejo en julio)")</f>
        <v>Después de hacer encuestas pendientes de Sisben IV, sacar costeo de atender a todo Sisben IV A y B con 240 mil pesos de transferencia.  (Esto debe estar listo en mayo por si se necesita llevar presupuesto al Concejo en julio)</v>
      </c>
      <c r="G3685" s="25" t="str">
        <f ca="1">IFERROR(__xludf.DUMMYFUNCTION("""COMPUTED_VALUE"""),"99. Distrito")</f>
        <v>99. Distrito</v>
      </c>
      <c r="H3685" s="55">
        <f ca="1">IFERROR(__xludf.DUMMYFUNCTION("""COMPUTED_VALUE"""),44335)</f>
        <v>44335</v>
      </c>
      <c r="I3685" s="25"/>
      <c r="J3685" s="55" t="str">
        <f ca="1">IFERROR(__xludf.DUMMYFUNCTION("""COMPUTED_VALUE"""),"Alta")</f>
        <v>Alta</v>
      </c>
      <c r="K3685" s="25">
        <f ca="1">IFERROR(__xludf.DUMMYFUNCTION("""COMPUTED_VALUE"""),30)</f>
        <v>30</v>
      </c>
      <c r="L3685" s="62"/>
      <c r="M3685" s="25"/>
      <c r="N3685" s="25"/>
      <c r="O3685" s="25" t="str">
        <f t="shared" ca="1" si="0"/>
        <v>Secretaría Distrital de Planeación</v>
      </c>
      <c r="P3685" s="25" t="str">
        <f t="shared" si="2"/>
        <v/>
      </c>
      <c r="Q3685" s="25"/>
      <c r="R3685" s="25"/>
      <c r="S3685" s="55"/>
      <c r="T3685" s="56"/>
      <c r="U3685" s="25"/>
      <c r="V3685" s="25"/>
      <c r="W3685" s="25"/>
      <c r="X3685" s="25"/>
      <c r="Y3685" s="25"/>
      <c r="Z3685" s="25"/>
    </row>
    <row r="3686" spans="1:26" ht="52.5" customHeight="1" x14ac:dyDescent="0.25">
      <c r="A3686" s="25" t="str">
        <f ca="1">IFERROR(__xludf.DUMMYFUNCTION("""COMPUTED_VALUE"""),"Plane84")</f>
        <v>Plane84</v>
      </c>
      <c r="B3686" s="25" t="str">
        <f ca="1">IFERROR(__xludf.DUMMYFUNCTION("""COMPUTED_VALUE"""),"Reunión POT marzo 26")</f>
        <v>Reunión POT marzo 26</v>
      </c>
      <c r="C3686" s="55">
        <f ca="1">IFERROR(__xludf.DUMMYFUNCTION("""COMPUTED_VALUE"""),44281)</f>
        <v>44281</v>
      </c>
      <c r="D3686" s="25" t="str">
        <f ca="1">IFERROR(__xludf.DUMMYFUNCTION("""COMPUTED_VALUE"""),"Planeación")</f>
        <v>Planeación</v>
      </c>
      <c r="E3686" s="25" t="str">
        <f ca="1">IFERROR(__xludf.DUMMYFUNCTION("""COMPUTED_VALUE"""),"Secretaría Distrital de Planeación")</f>
        <v>Secretaría Distrital de Planeación</v>
      </c>
      <c r="F3686" s="25" t="str">
        <f ca="1">IFERROR(__xludf.DUMMYFUNCTION("""COMPUTED_VALUE"""),"Definir el trazado de la Circunvalar del Sur y mostrarlo en la próxima reunión ")</f>
        <v xml:space="preserve">Definir el trazado de la Circunvalar del Sur y mostrarlo en la próxima reunión </v>
      </c>
      <c r="G3686" s="25" t="str">
        <f ca="1">IFERROR(__xludf.DUMMYFUNCTION("""COMPUTED_VALUE"""),"99. Distrito")</f>
        <v>99. Distrito</v>
      </c>
      <c r="H3686" s="55">
        <f ca="1">IFERROR(__xludf.DUMMYFUNCTION("""COMPUTED_VALUE"""),44311)</f>
        <v>44311</v>
      </c>
      <c r="I3686" s="25"/>
      <c r="J3686" s="55" t="str">
        <f ca="1">IFERROR(__xludf.DUMMYFUNCTION("""COMPUTED_VALUE"""),"Alta")</f>
        <v>Alta</v>
      </c>
      <c r="K3686" s="25">
        <f ca="1">IFERROR(__xludf.DUMMYFUNCTION("""COMPUTED_VALUE"""),30)</f>
        <v>30</v>
      </c>
      <c r="L3686" s="62"/>
      <c r="M3686" s="25"/>
      <c r="N3686" s="25"/>
      <c r="O3686" s="25" t="str">
        <f t="shared" ca="1" si="0"/>
        <v>Secretaría Distrital de Planeación</v>
      </c>
      <c r="P3686" s="25" t="str">
        <f t="shared" si="2"/>
        <v/>
      </c>
      <c r="Q3686" s="25"/>
      <c r="R3686" s="25"/>
      <c r="S3686" s="55"/>
      <c r="T3686" s="56"/>
      <c r="U3686" s="25"/>
      <c r="V3686" s="25"/>
      <c r="W3686" s="25"/>
      <c r="X3686" s="25"/>
      <c r="Y3686" s="25"/>
      <c r="Z3686" s="25"/>
    </row>
    <row r="3687" spans="1:26" ht="52.5" customHeight="1" x14ac:dyDescent="0.25">
      <c r="A3687" s="25" t="str">
        <f ca="1">IFERROR(__xludf.DUMMYFUNCTION("""COMPUTED_VALUE"""),"Plane85")</f>
        <v>Plane85</v>
      </c>
      <c r="B3687" s="25" t="str">
        <f ca="1">IFERROR(__xludf.DUMMYFUNCTION("""COMPUTED_VALUE"""),"Reunión POT marzo 26")</f>
        <v>Reunión POT marzo 26</v>
      </c>
      <c r="C3687" s="55">
        <f ca="1">IFERROR(__xludf.DUMMYFUNCTION("""COMPUTED_VALUE"""),44281)</f>
        <v>44281</v>
      </c>
      <c r="D3687" s="25" t="str">
        <f ca="1">IFERROR(__xludf.DUMMYFUNCTION("""COMPUTED_VALUE"""),"Planeación")</f>
        <v>Planeación</v>
      </c>
      <c r="E3687" s="25" t="str">
        <f ca="1">IFERROR(__xludf.DUMMYFUNCTION("""COMPUTED_VALUE"""),"Secretaría Distrital de Planeación")</f>
        <v>Secretaría Distrital de Planeación</v>
      </c>
      <c r="F3687" s="25" t="str">
        <f ca="1">IFERROR(__xludf.DUMMYFUNCTION("""COMPUTED_VALUE"""),"Evaluar un cierre minero y proponer un proyecto de desarrollo en la zona de cerro seco y por el trazado de la Circunvalar del Sur")</f>
        <v>Evaluar un cierre minero y proponer un proyecto de desarrollo en la zona de cerro seco y por el trazado de la Circunvalar del Sur</v>
      </c>
      <c r="G3687" s="25" t="str">
        <f ca="1">IFERROR(__xludf.DUMMYFUNCTION("""COMPUTED_VALUE"""),"99. Distrito")</f>
        <v>99. Distrito</v>
      </c>
      <c r="H3687" s="55">
        <f ca="1">IFERROR(__xludf.DUMMYFUNCTION("""COMPUTED_VALUE"""),44311)</f>
        <v>44311</v>
      </c>
      <c r="I3687" s="25"/>
      <c r="J3687" s="55" t="str">
        <f ca="1">IFERROR(__xludf.DUMMYFUNCTION("""COMPUTED_VALUE"""),"Alta")</f>
        <v>Alta</v>
      </c>
      <c r="K3687" s="25">
        <f ca="1">IFERROR(__xludf.DUMMYFUNCTION("""COMPUTED_VALUE"""),30)</f>
        <v>30</v>
      </c>
      <c r="L3687" s="62"/>
      <c r="M3687" s="25"/>
      <c r="N3687" s="25"/>
      <c r="O3687" s="25" t="str">
        <f t="shared" ca="1" si="0"/>
        <v>Secretaría Distrital de Planeación</v>
      </c>
      <c r="P3687" s="25" t="str">
        <f t="shared" si="2"/>
        <v/>
      </c>
      <c r="Q3687" s="25"/>
      <c r="R3687" s="25"/>
      <c r="S3687" s="55"/>
      <c r="T3687" s="56"/>
      <c r="U3687" s="25"/>
      <c r="V3687" s="25"/>
      <c r="W3687" s="25"/>
      <c r="X3687" s="25"/>
      <c r="Y3687" s="25"/>
      <c r="Z3687" s="25"/>
    </row>
    <row r="3688" spans="1:26" ht="52.5" customHeight="1" x14ac:dyDescent="0.25">
      <c r="A3688" s="25" t="str">
        <f ca="1">IFERROR(__xludf.DUMMYFUNCTION("""COMPUTED_VALUE"""),"Plane86")</f>
        <v>Plane86</v>
      </c>
      <c r="B3688" s="25" t="str">
        <f ca="1">IFERROR(__xludf.DUMMYFUNCTION("""COMPUTED_VALUE"""),"Infraestructura - Reunión Comité APP con alcaldesa")</f>
        <v>Infraestructura - Reunión Comité APP con alcaldesa</v>
      </c>
      <c r="C3688" s="55">
        <f ca="1">IFERROR(__xludf.DUMMYFUNCTION("""COMPUTED_VALUE"""),44256)</f>
        <v>44256</v>
      </c>
      <c r="D3688" s="25" t="str">
        <f ca="1">IFERROR(__xludf.DUMMYFUNCTION("""COMPUTED_VALUE"""),"Planeación")</f>
        <v>Planeación</v>
      </c>
      <c r="E3688" s="25" t="str">
        <f ca="1">IFERROR(__xludf.DUMMYFUNCTION("""COMPUTED_VALUE"""),"Secretaría Distrital de Planeación")</f>
        <v>Secretaría Distrital de Planeación</v>
      </c>
      <c r="F3688" s="25" t="str">
        <f ca="1">IFERROR(__xludf.DUMMYFUNCTION("""COMPUTED_VALUE"""),"Incluir en el próximo confis destinación de los excedentes financieros de los FDL")</f>
        <v>Incluir en el próximo confis destinación de los excedentes financieros de los FDL</v>
      </c>
      <c r="G3688" s="25" t="str">
        <f ca="1">IFERROR(__xludf.DUMMYFUNCTION("""COMPUTED_VALUE"""),"99. Distrito")</f>
        <v>99. Distrito</v>
      </c>
      <c r="H3688" s="55">
        <f ca="1">IFERROR(__xludf.DUMMYFUNCTION("""COMPUTED_VALUE"""),44286)</f>
        <v>44286</v>
      </c>
      <c r="I3688" s="25"/>
      <c r="J3688" s="55" t="str">
        <f ca="1">IFERROR(__xludf.DUMMYFUNCTION("""COMPUTED_VALUE"""),"Alta")</f>
        <v>Alta</v>
      </c>
      <c r="K3688" s="25">
        <f ca="1">IFERROR(__xludf.DUMMYFUNCTION("""COMPUTED_VALUE"""),30)</f>
        <v>30</v>
      </c>
      <c r="L3688" s="62"/>
      <c r="M3688" s="25"/>
      <c r="N3688" s="25"/>
      <c r="O3688" s="25" t="str">
        <f t="shared" ca="1" si="0"/>
        <v>Secretaría Distrital de Planeación</v>
      </c>
      <c r="P3688" s="25" t="str">
        <f t="shared" si="2"/>
        <v/>
      </c>
      <c r="Q3688" s="25"/>
      <c r="R3688" s="25"/>
      <c r="S3688" s="55"/>
      <c r="T3688" s="56"/>
      <c r="U3688" s="25"/>
      <c r="V3688" s="25"/>
      <c r="W3688" s="25"/>
      <c r="X3688" s="25"/>
      <c r="Y3688" s="25"/>
      <c r="Z3688" s="25"/>
    </row>
    <row r="3689" spans="1:26" ht="52.5" customHeight="1" x14ac:dyDescent="0.25">
      <c r="A3689" s="25" t="str">
        <f ca="1">IFERROR(__xludf.DUMMYFUNCTION("""COMPUTED_VALUE"""),"Plane87")</f>
        <v>Plane87</v>
      </c>
      <c r="B3689" s="25" t="str">
        <f ca="1">IFERROR(__xludf.DUMMYFUNCTION("""COMPUTED_VALUE"""),"Planes Parciales")</f>
        <v>Planes Parciales</v>
      </c>
      <c r="C3689" s="55">
        <f ca="1">IFERROR(__xludf.DUMMYFUNCTION("""COMPUTED_VALUE"""),44242)</f>
        <v>44242</v>
      </c>
      <c r="D3689" s="25" t="str">
        <f ca="1">IFERROR(__xludf.DUMMYFUNCTION("""COMPUTED_VALUE"""),"Planeación")</f>
        <v>Planeación</v>
      </c>
      <c r="E3689" s="25" t="str">
        <f ca="1">IFERROR(__xludf.DUMMYFUNCTION("""COMPUTED_VALUE"""),"Secretaría Distrital de Planeación")</f>
        <v>Secretaría Distrital de Planeación</v>
      </c>
      <c r="F3689" s="25" t="str">
        <f ca="1">IFERROR(__xludf.DUMMYFUNCTION("""COMPUTED_VALUE"""),"Acordar una transición y procedimientos para la legalización urbanística. (Reglamentación de un nuevo procedimiento rápido y sencillo)")</f>
        <v>Acordar una transición y procedimientos para la legalización urbanística. (Reglamentación de un nuevo procedimiento rápido y sencillo)</v>
      </c>
      <c r="G3689" s="25" t="str">
        <f ca="1">IFERROR(__xludf.DUMMYFUNCTION("""COMPUTED_VALUE"""),"99. Distrito")</f>
        <v>99. Distrito</v>
      </c>
      <c r="H3689" s="55">
        <f ca="1">IFERROR(__xludf.DUMMYFUNCTION("""COMPUTED_VALUE"""),45061)</f>
        <v>45061</v>
      </c>
      <c r="I3689" s="25" t="str">
        <f ca="1">IFERROR(__xludf.DUMMYFUNCTION("""COMPUTED_VALUE"""),"Junta de Infraestructura")</f>
        <v>Junta de Infraestructura</v>
      </c>
      <c r="J3689" s="55" t="str">
        <f ca="1">IFERROR(__xludf.DUMMYFUNCTION("""COMPUTED_VALUE"""),"Baja")</f>
        <v>Baja</v>
      </c>
      <c r="K3689" s="25">
        <f ca="1">IFERROR(__xludf.DUMMYFUNCTION("""COMPUTED_VALUE"""),819)</f>
        <v>819</v>
      </c>
      <c r="L3689" s="62"/>
      <c r="M3689" s="25"/>
      <c r="N3689" s="25"/>
      <c r="O3689" s="25" t="str">
        <f t="shared" ca="1" si="0"/>
        <v>Secretaría Distrital de Planeación</v>
      </c>
      <c r="P3689" s="25" t="str">
        <f t="shared" ca="1" si="2"/>
        <v/>
      </c>
      <c r="Q3689" s="25"/>
      <c r="R3689" s="25"/>
      <c r="S3689" s="55"/>
      <c r="T3689" s="56"/>
      <c r="U3689" s="25"/>
      <c r="V3689" s="25"/>
      <c r="W3689" s="25"/>
      <c r="X3689" s="25"/>
      <c r="Y3689" s="25"/>
      <c r="Z3689" s="25"/>
    </row>
    <row r="3690" spans="1:26" ht="52.5" customHeight="1" x14ac:dyDescent="0.25">
      <c r="A3690" s="25" t="str">
        <f ca="1">IFERROR(__xludf.DUMMYFUNCTION("""COMPUTED_VALUE"""),"Plane88")</f>
        <v>Plane88</v>
      </c>
      <c r="B3690" s="25" t="str">
        <f ca="1">IFERROR(__xludf.DUMMYFUNCTION("""COMPUTED_VALUE"""),"Planes Parciales")</f>
        <v>Planes Parciales</v>
      </c>
      <c r="C3690" s="55">
        <f ca="1">IFERROR(__xludf.DUMMYFUNCTION("""COMPUTED_VALUE"""),44242)</f>
        <v>44242</v>
      </c>
      <c r="D3690" s="25" t="str">
        <f ca="1">IFERROR(__xludf.DUMMYFUNCTION("""COMPUTED_VALUE"""),"Planeación")</f>
        <v>Planeación</v>
      </c>
      <c r="E3690" s="25" t="str">
        <f ca="1">IFERROR(__xludf.DUMMYFUNCTION("""COMPUTED_VALUE"""),"Secretaría Distrital de Planeación")</f>
        <v>Secretaría Distrital de Planeación</v>
      </c>
      <c r="F3690" s="25" t="str">
        <f ca="1">IFERROR(__xludf.DUMMYFUNCTION("""COMPUTED_VALUE"""),"Realizar un plan de legalización en la zona de Bosa San Bernardino y la vuelta al mundo.")</f>
        <v>Realizar un plan de legalización en la zona de Bosa San Bernardino y la vuelta al mundo.</v>
      </c>
      <c r="G3690" s="25" t="str">
        <f ca="1">IFERROR(__xludf.DUMMYFUNCTION("""COMPUTED_VALUE"""),"99. Distrito")</f>
        <v>99. Distrito</v>
      </c>
      <c r="H3690" s="55">
        <f ca="1">IFERROR(__xludf.DUMMYFUNCTION("""COMPUTED_VALUE"""),45015)</f>
        <v>45015</v>
      </c>
      <c r="I3690" s="25" t="str">
        <f ca="1">IFERROR(__xludf.DUMMYFUNCTION("""COMPUTED_VALUE"""),"Junta de Infraestructura")</f>
        <v>Junta de Infraestructura</v>
      </c>
      <c r="J3690" s="55" t="str">
        <f ca="1">IFERROR(__xludf.DUMMYFUNCTION("""COMPUTED_VALUE"""),"Baja")</f>
        <v>Baja</v>
      </c>
      <c r="K3690" s="25">
        <f ca="1">IFERROR(__xludf.DUMMYFUNCTION("""COMPUTED_VALUE"""),773)</f>
        <v>773</v>
      </c>
      <c r="L3690" s="62"/>
      <c r="M3690" s="25"/>
      <c r="N3690" s="25"/>
      <c r="O3690" s="25" t="str">
        <f t="shared" ca="1" si="0"/>
        <v>Secretaría Distrital de Planeación</v>
      </c>
      <c r="P3690" s="25" t="str">
        <f t="shared" ca="1" si="2"/>
        <v/>
      </c>
      <c r="Q3690" s="25"/>
      <c r="R3690" s="25"/>
      <c r="S3690" s="55"/>
      <c r="T3690" s="56"/>
      <c r="U3690" s="25"/>
      <c r="V3690" s="25"/>
      <c r="W3690" s="25"/>
      <c r="X3690" s="25"/>
      <c r="Y3690" s="25"/>
      <c r="Z3690" s="25"/>
    </row>
    <row r="3691" spans="1:26" ht="52.5" customHeight="1" x14ac:dyDescent="0.25">
      <c r="A3691" s="25" t="str">
        <f ca="1">IFERROR(__xludf.DUMMYFUNCTION("""COMPUTED_VALUE"""),"Plane89")</f>
        <v>Plane89</v>
      </c>
      <c r="B3691" s="25" t="str">
        <f ca="1">IFERROR(__xludf.DUMMYFUNCTION("""COMPUTED_VALUE"""),"Infraestructura- Proyecto Regalías  con Alcaldesa")</f>
        <v>Infraestructura- Proyecto Regalías  con Alcaldesa</v>
      </c>
      <c r="C3691" s="55">
        <f ca="1">IFERROR(__xludf.DUMMYFUNCTION("""COMPUTED_VALUE"""),44235)</f>
        <v>44235</v>
      </c>
      <c r="D3691" s="25" t="str">
        <f ca="1">IFERROR(__xludf.DUMMYFUNCTION("""COMPUTED_VALUE"""),"Planeación")</f>
        <v>Planeación</v>
      </c>
      <c r="E3691" s="25" t="str">
        <f ca="1">IFERROR(__xludf.DUMMYFUNCTION("""COMPUTED_VALUE"""),"Secretaría Distrital de Planeación")</f>
        <v>Secretaría Distrital de Planeación</v>
      </c>
      <c r="F3691" s="25" t="str">
        <f ca="1">IFERROR(__xludf.DUMMYFUNCTION("""COMPUTED_VALUE"""),"Entidades formuladoras que requieran presenta proyectos de acá a junio deben solicitar a SDP cuanto antes, el concepto de concordancia con el PDD.
1. La solicitud deberá indicar que la entidad se encuentra formulando el proyecto con ficha BPIN y que solic"&amp;"ita certificación de concordancia de proyecto con PDD.
")</f>
        <v xml:space="preserve">Entidades formuladoras que requieran presenta proyectos de acá a junio deben solicitar a SDP cuanto antes, el concepto de concordancia con el PDD.
1. La solicitud deberá indicar que la entidad se encuentra formulando el proyecto con ficha BPIN y que solicita certificación de concordancia de proyecto con PDD.
</v>
      </c>
      <c r="G3691" s="25" t="str">
        <f ca="1">IFERROR(__xludf.DUMMYFUNCTION("""COMPUTED_VALUE"""),"99. Distrito")</f>
        <v>99. Distrito</v>
      </c>
      <c r="H3691" s="55">
        <f ca="1">IFERROR(__xludf.DUMMYFUNCTION("""COMPUTED_VALUE"""),44265)</f>
        <v>44265</v>
      </c>
      <c r="I3691" s="25"/>
      <c r="J3691" s="55" t="str">
        <f ca="1">IFERROR(__xludf.DUMMYFUNCTION("""COMPUTED_VALUE"""),"Alta")</f>
        <v>Alta</v>
      </c>
      <c r="K3691" s="25">
        <f ca="1">IFERROR(__xludf.DUMMYFUNCTION("""COMPUTED_VALUE"""),30)</f>
        <v>30</v>
      </c>
      <c r="L3691" s="62"/>
      <c r="M3691" s="25"/>
      <c r="N3691" s="25"/>
      <c r="O3691" s="25" t="str">
        <f t="shared" ca="1" si="0"/>
        <v>Secretaría Distrital de Planeación</v>
      </c>
      <c r="P3691" s="25" t="str">
        <f t="shared" si="2"/>
        <v/>
      </c>
      <c r="Q3691" s="25"/>
      <c r="R3691" s="25"/>
      <c r="S3691" s="55"/>
      <c r="T3691" s="56"/>
      <c r="U3691" s="25"/>
      <c r="V3691" s="25"/>
      <c r="W3691" s="25"/>
      <c r="X3691" s="25"/>
      <c r="Y3691" s="25"/>
      <c r="Z3691" s="25"/>
    </row>
    <row r="3692" spans="1:26" ht="52.5" customHeight="1" x14ac:dyDescent="0.25">
      <c r="A3692" s="25" t="str">
        <f ca="1">IFERROR(__xludf.DUMMYFUNCTION("""COMPUTED_VALUE"""),"Plane90")</f>
        <v>Plane90</v>
      </c>
      <c r="B3692" s="25" t="str">
        <f ca="1">IFERROR(__xludf.DUMMYFUNCTION("""COMPUTED_VALUE"""),"Innobog (modificación planes parciales)")</f>
        <v>Innobog (modificación planes parciales)</v>
      </c>
      <c r="C3692" s="55">
        <f ca="1">IFERROR(__xludf.DUMMYFUNCTION("""COMPUTED_VALUE"""),44235)</f>
        <v>44235</v>
      </c>
      <c r="D3692" s="25" t="str">
        <f ca="1">IFERROR(__xludf.DUMMYFUNCTION("""COMPUTED_VALUE"""),"Planeación")</f>
        <v>Planeación</v>
      </c>
      <c r="E3692" s="25" t="str">
        <f ca="1">IFERROR(__xludf.DUMMYFUNCTION("""COMPUTED_VALUE"""),"Secretaría Distrital de Planeación")</f>
        <v>Secretaría Distrital de Planeación</v>
      </c>
      <c r="F3692" s="25" t="str">
        <f ca="1">IFERROR(__xludf.DUMMYFUNCTION("""COMPUTED_VALUE"""),"Radicar ante planeación modificación Planes Parciales 
El promotor solicitó suspensión de términos en SDP y se estima que sea en 3 meses la radicación.")</f>
        <v>Radicar ante planeación modificación Planes Parciales 
El promotor solicitó suspensión de términos en SDP y se estima que sea en 3 meses la radicación.</v>
      </c>
      <c r="G3692" s="25" t="str">
        <f ca="1">IFERROR(__xludf.DUMMYFUNCTION("""COMPUTED_VALUE"""),"99. Distrito")</f>
        <v>99. Distrito</v>
      </c>
      <c r="H3692" s="55">
        <f ca="1">IFERROR(__xludf.DUMMYFUNCTION("""COMPUTED_VALUE"""),44265)</f>
        <v>44265</v>
      </c>
      <c r="I3692" s="25"/>
      <c r="J3692" s="55" t="str">
        <f ca="1">IFERROR(__xludf.DUMMYFUNCTION("""COMPUTED_VALUE"""),"Alta")</f>
        <v>Alta</v>
      </c>
      <c r="K3692" s="25">
        <f ca="1">IFERROR(__xludf.DUMMYFUNCTION("""COMPUTED_VALUE"""),30)</f>
        <v>30</v>
      </c>
      <c r="L3692" s="62"/>
      <c r="M3692" s="25"/>
      <c r="N3692" s="25"/>
      <c r="O3692" s="25" t="str">
        <f t="shared" ca="1" si="0"/>
        <v>Secretaría Distrital de Planeación</v>
      </c>
      <c r="P3692" s="25" t="str">
        <f t="shared" si="2"/>
        <v/>
      </c>
      <c r="Q3692" s="25"/>
      <c r="R3692" s="25"/>
      <c r="S3692" s="55"/>
      <c r="T3692" s="56"/>
      <c r="U3692" s="25"/>
      <c r="V3692" s="25"/>
      <c r="W3692" s="25"/>
      <c r="X3692" s="25"/>
      <c r="Y3692" s="25"/>
      <c r="Z3692" s="25"/>
    </row>
    <row r="3693" spans="1:26" ht="52.5" customHeight="1" x14ac:dyDescent="0.25">
      <c r="A3693" s="25" t="str">
        <f ca="1">IFERROR(__xludf.DUMMYFUNCTION("""COMPUTED_VALUE"""),"Plane91")</f>
        <v>Plane91</v>
      </c>
      <c r="B3693" s="25" t="str">
        <f ca="1">IFERROR(__xludf.DUMMYFUNCTION("""COMPUTED_VALUE"""),"Modelo de ocupación territorial ")</f>
        <v xml:space="preserve">Modelo de ocupación territorial </v>
      </c>
      <c r="C3693" s="55">
        <f ca="1">IFERROR(__xludf.DUMMYFUNCTION("""COMPUTED_VALUE"""),44235)</f>
        <v>44235</v>
      </c>
      <c r="D3693" s="25" t="str">
        <f ca="1">IFERROR(__xludf.DUMMYFUNCTION("""COMPUTED_VALUE"""),"Planeación")</f>
        <v>Planeación</v>
      </c>
      <c r="E3693" s="25" t="str">
        <f ca="1">IFERROR(__xludf.DUMMYFUNCTION("""COMPUTED_VALUE"""),"Secretaría Distrital de Planeación")</f>
        <v>Secretaría Distrital de Planeación</v>
      </c>
      <c r="F3693" s="25" t="str">
        <f ca="1">IFERROR(__xludf.DUMMYFUNCTION("""COMPUTED_VALUE"""),"Incluir en el POT cuatro usos del suelo: mejoramiento, revitalización, desarrollo, cierres mineros
Pendiente la tarea sobre usos de suelo. Eso se definirá con la propuesta de POT que se estima esté en Mayo. Se aplaza para seguimiento.")</f>
        <v>Incluir en el POT cuatro usos del suelo: mejoramiento, revitalización, desarrollo, cierres mineros
Pendiente la tarea sobre usos de suelo. Eso se definirá con la propuesta de POT que se estima esté en Mayo. Se aplaza para seguimiento.</v>
      </c>
      <c r="G3693" s="25" t="str">
        <f ca="1">IFERROR(__xludf.DUMMYFUNCTION("""COMPUTED_VALUE"""),"99. Distrito")</f>
        <v>99. Distrito</v>
      </c>
      <c r="H3693" s="55">
        <f ca="1">IFERROR(__xludf.DUMMYFUNCTION("""COMPUTED_VALUE"""),44265)</f>
        <v>44265</v>
      </c>
      <c r="I3693" s="25"/>
      <c r="J3693" s="55" t="str">
        <f ca="1">IFERROR(__xludf.DUMMYFUNCTION("""COMPUTED_VALUE"""),"Alta")</f>
        <v>Alta</v>
      </c>
      <c r="K3693" s="25">
        <f ca="1">IFERROR(__xludf.DUMMYFUNCTION("""COMPUTED_VALUE"""),30)</f>
        <v>30</v>
      </c>
      <c r="L3693" s="62"/>
      <c r="M3693" s="25"/>
      <c r="N3693" s="25"/>
      <c r="O3693" s="25" t="str">
        <f t="shared" ca="1" si="0"/>
        <v>Secretaría Distrital de Planeación</v>
      </c>
      <c r="P3693" s="25" t="str">
        <f t="shared" si="2"/>
        <v/>
      </c>
      <c r="Q3693" s="25"/>
      <c r="R3693" s="25"/>
      <c r="S3693" s="55"/>
      <c r="T3693" s="56"/>
      <c r="U3693" s="25"/>
      <c r="V3693" s="25"/>
      <c r="W3693" s="25"/>
      <c r="X3693" s="25"/>
      <c r="Y3693" s="25"/>
      <c r="Z3693" s="25"/>
    </row>
    <row r="3694" spans="1:26" ht="52.5" customHeight="1" x14ac:dyDescent="0.25">
      <c r="A3694" s="25" t="str">
        <f ca="1">IFERROR(__xludf.DUMMYFUNCTION("""COMPUTED_VALUE"""),"Plane92")</f>
        <v>Plane92</v>
      </c>
      <c r="B3694" s="25" t="str">
        <f ca="1">IFERROR(__xludf.DUMMYFUNCTION("""COMPUTED_VALUE"""),"Infraestructura- Proyecto Regalías ")</f>
        <v xml:space="preserve">Infraestructura- Proyecto Regalías </v>
      </c>
      <c r="C3694" s="55">
        <f ca="1">IFERROR(__xludf.DUMMYFUNCTION("""COMPUTED_VALUE"""),44224)</f>
        <v>44224</v>
      </c>
      <c r="D3694" s="25" t="str">
        <f ca="1">IFERROR(__xludf.DUMMYFUNCTION("""COMPUTED_VALUE"""),"Planeación")</f>
        <v>Planeación</v>
      </c>
      <c r="E3694" s="25" t="str">
        <f ca="1">IFERROR(__xludf.DUMMYFUNCTION("""COMPUTED_VALUE"""),"Secretaría Distrital de Planeación")</f>
        <v>Secretaría Distrital de Planeación</v>
      </c>
      <c r="F3694" s="25" t="str">
        <f ca="1">IFERROR(__xludf.DUMMYFUNCTION("""COMPUTED_VALUE"""),"Entidades formuladoras que requieran presenta proyectos de acá a junio deben solicitar a SDP cuanto antes, el concepto de concordancia con el PDD.
La solicitud deberá indicar que la entidad se encuentra formulando el proyecto con ficha BPIN y que solicita"&amp;" certificación de concordancia de proyecto con PDD.
")</f>
        <v xml:space="preserve">Entidades formuladoras que requieran presenta proyectos de acá a junio deben solicitar a SDP cuanto antes, el concepto de concordancia con el PDD.
La solicitud deberá indicar que la entidad se encuentra formulando el proyecto con ficha BPIN y que solicita certificación de concordancia de proyecto con PDD.
</v>
      </c>
      <c r="G3694" s="25" t="str">
        <f ca="1">IFERROR(__xludf.DUMMYFUNCTION("""COMPUTED_VALUE"""),"99. Distrito")</f>
        <v>99. Distrito</v>
      </c>
      <c r="H3694" s="55">
        <f ca="1">IFERROR(__xludf.DUMMYFUNCTION("""COMPUTED_VALUE"""),44254)</f>
        <v>44254</v>
      </c>
      <c r="I3694" s="25"/>
      <c r="J3694" s="55" t="str">
        <f ca="1">IFERROR(__xludf.DUMMYFUNCTION("""COMPUTED_VALUE"""),"Alta")</f>
        <v>Alta</v>
      </c>
      <c r="K3694" s="25">
        <f ca="1">IFERROR(__xludf.DUMMYFUNCTION("""COMPUTED_VALUE"""),30)</f>
        <v>30</v>
      </c>
      <c r="L3694" s="62"/>
      <c r="M3694" s="25"/>
      <c r="N3694" s="25"/>
      <c r="O3694" s="25" t="str">
        <f t="shared" ca="1" si="0"/>
        <v>Secretaría Distrital de Planeación</v>
      </c>
      <c r="P3694" s="25" t="str">
        <f t="shared" si="2"/>
        <v/>
      </c>
      <c r="Q3694" s="25"/>
      <c r="R3694" s="25"/>
      <c r="S3694" s="55"/>
      <c r="T3694" s="56"/>
      <c r="U3694" s="25"/>
      <c r="V3694" s="25"/>
      <c r="W3694" s="25"/>
      <c r="X3694" s="25"/>
      <c r="Y3694" s="25"/>
      <c r="Z3694" s="25"/>
    </row>
    <row r="3695" spans="1:26" ht="52.5" customHeight="1" x14ac:dyDescent="0.25">
      <c r="A3695" s="25" t="str">
        <f ca="1">IFERROR(__xludf.DUMMYFUNCTION("""COMPUTED_VALUE"""),"Plane93")</f>
        <v>Plane93</v>
      </c>
      <c r="B3695" s="25" t="str">
        <f ca="1">IFERROR(__xludf.DUMMYFUNCTION("""COMPUTED_VALUE"""),"Infraestructura- Proyecto Regalías ")</f>
        <v xml:space="preserve">Infraestructura- Proyecto Regalías </v>
      </c>
      <c r="C3695" s="55">
        <f ca="1">IFERROR(__xludf.DUMMYFUNCTION("""COMPUTED_VALUE"""),44224)</f>
        <v>44224</v>
      </c>
      <c r="D3695" s="25" t="str">
        <f ca="1">IFERROR(__xludf.DUMMYFUNCTION("""COMPUTED_VALUE"""),"Planeación")</f>
        <v>Planeación</v>
      </c>
      <c r="E3695" s="25" t="str">
        <f ca="1">IFERROR(__xludf.DUMMYFUNCTION("""COMPUTED_VALUE"""),"Secretaría Distrital de Planeación")</f>
        <v>Secretaría Distrital de Planeación</v>
      </c>
      <c r="F3695" s="25" t="str">
        <f ca="1">IFERROR(__xludf.DUMMYFUNCTION("""COMPUTED_VALUE"""),"SDP: avanzar en la elaboración de la resolución que debe firmar la alcaldesa
para revisarla con la Secretaría Jurídica. Desde la alcaldía se coordinará para
que la Secretaría Jurídica designe a una persona para participar en esta revisión.")</f>
        <v>SDP: avanzar en la elaboración de la resolución que debe firmar la alcaldesa
para revisarla con la Secretaría Jurídica. Desde la alcaldía se coordinará para
que la Secretaría Jurídica designe a una persona para participar en esta revisión.</v>
      </c>
      <c r="G3695" s="25" t="str">
        <f ca="1">IFERROR(__xludf.DUMMYFUNCTION("""COMPUTED_VALUE"""),"99. Distrito")</f>
        <v>99. Distrito</v>
      </c>
      <c r="H3695" s="55">
        <f ca="1">IFERROR(__xludf.DUMMYFUNCTION("""COMPUTED_VALUE"""),44254)</f>
        <v>44254</v>
      </c>
      <c r="I3695" s="25"/>
      <c r="J3695" s="55" t="str">
        <f ca="1">IFERROR(__xludf.DUMMYFUNCTION("""COMPUTED_VALUE"""),"Alta")</f>
        <v>Alta</v>
      </c>
      <c r="K3695" s="25">
        <f ca="1">IFERROR(__xludf.DUMMYFUNCTION("""COMPUTED_VALUE"""),30)</f>
        <v>30</v>
      </c>
      <c r="L3695" s="62"/>
      <c r="M3695" s="25"/>
      <c r="N3695" s="25"/>
      <c r="O3695" s="25" t="str">
        <f t="shared" ca="1" si="0"/>
        <v>Secretaría Distrital de Planeación</v>
      </c>
      <c r="P3695" s="25" t="str">
        <f t="shared" si="2"/>
        <v/>
      </c>
      <c r="Q3695" s="25"/>
      <c r="R3695" s="25"/>
      <c r="S3695" s="55"/>
      <c r="T3695" s="56"/>
      <c r="U3695" s="25"/>
      <c r="V3695" s="25"/>
      <c r="W3695" s="25"/>
      <c r="X3695" s="25"/>
      <c r="Y3695" s="25"/>
      <c r="Z3695" s="25"/>
    </row>
    <row r="3696" spans="1:26" ht="52.5" customHeight="1" x14ac:dyDescent="0.25">
      <c r="A3696" s="25" t="str">
        <f ca="1">IFERROR(__xludf.DUMMYFUNCTION("""COMPUTED_VALUE"""),"Plane94")</f>
        <v>Plane94</v>
      </c>
      <c r="B3696" s="25" t="str">
        <f ca="1">IFERROR(__xludf.DUMMYFUNCTION("""COMPUTED_VALUE"""),"Despachando: Secretaría Distrital de planeación")</f>
        <v>Despachando: Secretaría Distrital de planeación</v>
      </c>
      <c r="C3696" s="55">
        <f ca="1">IFERROR(__xludf.DUMMYFUNCTION("""COMPUTED_VALUE"""),44097)</f>
        <v>44097</v>
      </c>
      <c r="D3696" s="25" t="str">
        <f ca="1">IFERROR(__xludf.DUMMYFUNCTION("""COMPUTED_VALUE"""),"Planeación")</f>
        <v>Planeación</v>
      </c>
      <c r="E3696" s="25" t="str">
        <f ca="1">IFERROR(__xludf.DUMMYFUNCTION("""COMPUTED_VALUE"""),"Secretaría Distrital de Planeación")</f>
        <v>Secretaría Distrital de Planeación</v>
      </c>
      <c r="F3696" s="25" t="str">
        <f ca="1">IFERROR(__xludf.DUMMYFUNCTION("""COMPUTED_VALUE"""),"Revisar, simplificar y estandarizar la norma y los manuales para la construcción de andenes en la ciudad")</f>
        <v>Revisar, simplificar y estandarizar la norma y los manuales para la construcción de andenes en la ciudad</v>
      </c>
      <c r="G3696" s="25" t="str">
        <f ca="1">IFERROR(__xludf.DUMMYFUNCTION("""COMPUTED_VALUE"""),"99. Distrito")</f>
        <v>99. Distrito</v>
      </c>
      <c r="H3696" s="55">
        <f ca="1">IFERROR(__xludf.DUMMYFUNCTION("""COMPUTED_VALUE"""),44127)</f>
        <v>44127</v>
      </c>
      <c r="I3696" s="25"/>
      <c r="J3696" s="55" t="str">
        <f ca="1">IFERROR(__xludf.DUMMYFUNCTION("""COMPUTED_VALUE"""),"Alta")</f>
        <v>Alta</v>
      </c>
      <c r="K3696" s="25">
        <f ca="1">IFERROR(__xludf.DUMMYFUNCTION("""COMPUTED_VALUE"""),30)</f>
        <v>30</v>
      </c>
      <c r="L3696" s="62"/>
      <c r="M3696" s="25"/>
      <c r="N3696" s="25"/>
      <c r="O3696" s="25" t="str">
        <f t="shared" ca="1" si="0"/>
        <v>Secretaría Distrital de Planeación</v>
      </c>
      <c r="P3696" s="25" t="str">
        <f t="shared" si="2"/>
        <v/>
      </c>
      <c r="Q3696" s="25"/>
      <c r="R3696" s="25"/>
      <c r="S3696" s="55"/>
      <c r="T3696" s="56"/>
      <c r="U3696" s="25"/>
      <c r="V3696" s="25"/>
      <c r="W3696" s="25"/>
      <c r="X3696" s="25"/>
      <c r="Y3696" s="25"/>
      <c r="Z3696" s="25"/>
    </row>
    <row r="3697" spans="1:26" ht="52.5" customHeight="1" x14ac:dyDescent="0.25">
      <c r="A3697" s="25" t="str">
        <f ca="1">IFERROR(__xludf.DUMMYFUNCTION("""COMPUTED_VALUE"""),"Plane95")</f>
        <v>Plane95</v>
      </c>
      <c r="B3697" s="25" t="str">
        <f ca="1">IFERROR(__xludf.DUMMYFUNCTION("""COMPUTED_VALUE"""),"Despachando: Secretaría Distrital de planeación")</f>
        <v>Despachando: Secretaría Distrital de planeación</v>
      </c>
      <c r="C3697" s="55">
        <f ca="1">IFERROR(__xludf.DUMMYFUNCTION("""COMPUTED_VALUE"""),44097)</f>
        <v>44097</v>
      </c>
      <c r="D3697" s="25" t="str">
        <f ca="1">IFERROR(__xludf.DUMMYFUNCTION("""COMPUTED_VALUE"""),"Planeación")</f>
        <v>Planeación</v>
      </c>
      <c r="E3697" s="25" t="str">
        <f ca="1">IFERROR(__xludf.DUMMYFUNCTION("""COMPUTED_VALUE"""),"Secretaría Distrital de Planeación")</f>
        <v>Secretaría Distrital de Planeación</v>
      </c>
      <c r="F3697" s="25" t="str">
        <f ca="1">IFERROR(__xludf.DUMMYFUNCTION("""COMPUTED_VALUE"""),"Incluir dentro de las operaciones estratégicas del POT, el manejo de residuos de la región metropolitana")</f>
        <v>Incluir dentro de las operaciones estratégicas del POT, el manejo de residuos de la región metropolitana</v>
      </c>
      <c r="G3697" s="25" t="str">
        <f ca="1">IFERROR(__xludf.DUMMYFUNCTION("""COMPUTED_VALUE"""),"99. Distrito")</f>
        <v>99. Distrito</v>
      </c>
      <c r="H3697" s="55">
        <f ca="1">IFERROR(__xludf.DUMMYFUNCTION("""COMPUTED_VALUE"""),44127)</f>
        <v>44127</v>
      </c>
      <c r="I3697" s="25"/>
      <c r="J3697" s="55" t="str">
        <f ca="1">IFERROR(__xludf.DUMMYFUNCTION("""COMPUTED_VALUE"""),"Alta")</f>
        <v>Alta</v>
      </c>
      <c r="K3697" s="25">
        <f ca="1">IFERROR(__xludf.DUMMYFUNCTION("""COMPUTED_VALUE"""),30)</f>
        <v>30</v>
      </c>
      <c r="L3697" s="62"/>
      <c r="M3697" s="25"/>
      <c r="N3697" s="25"/>
      <c r="O3697" s="25" t="str">
        <f t="shared" ca="1" si="0"/>
        <v>Secretaría Distrital de Planeación</v>
      </c>
      <c r="P3697" s="25" t="str">
        <f t="shared" si="2"/>
        <v/>
      </c>
      <c r="Q3697" s="25"/>
      <c r="R3697" s="25"/>
      <c r="S3697" s="55"/>
      <c r="T3697" s="56"/>
      <c r="U3697" s="25"/>
      <c r="V3697" s="25"/>
      <c r="W3697" s="25"/>
      <c r="X3697" s="25"/>
      <c r="Y3697" s="25"/>
      <c r="Z3697" s="25"/>
    </row>
    <row r="3698" spans="1:26" ht="52.5" customHeight="1" x14ac:dyDescent="0.25">
      <c r="A3698" s="25" t="str">
        <f ca="1">IFERROR(__xludf.DUMMYFUNCTION("""COMPUTED_VALUE"""),"Plane96")</f>
        <v>Plane96</v>
      </c>
      <c r="B3698" s="25" t="str">
        <f ca="1">IFERROR(__xludf.DUMMYFUNCTION("""COMPUTED_VALUE"""),"Despachando: Secretaría Distrital de planeación")</f>
        <v>Despachando: Secretaría Distrital de planeación</v>
      </c>
      <c r="C3698" s="55">
        <f ca="1">IFERROR(__xludf.DUMMYFUNCTION("""COMPUTED_VALUE"""),44097)</f>
        <v>44097</v>
      </c>
      <c r="D3698" s="25" t="str">
        <f ca="1">IFERROR(__xludf.DUMMYFUNCTION("""COMPUTED_VALUE"""),"Planeación")</f>
        <v>Planeación</v>
      </c>
      <c r="E3698" s="25" t="str">
        <f ca="1">IFERROR(__xludf.DUMMYFUNCTION("""COMPUTED_VALUE"""),"Secretaría Distrital de Planeación")</f>
        <v>Secretaría Distrital de Planeación</v>
      </c>
      <c r="F3698" s="25" t="str">
        <f ca="1">IFERROR(__xludf.DUMMYFUNCTION("""COMPUTED_VALUE"""),"Finalizar el 4 ciclo de giros de BSC en octubre")</f>
        <v>Finalizar el 4 ciclo de giros de BSC en octubre</v>
      </c>
      <c r="G3698" s="25" t="str">
        <f ca="1">IFERROR(__xludf.DUMMYFUNCTION("""COMPUTED_VALUE"""),"99. Distrito")</f>
        <v>99. Distrito</v>
      </c>
      <c r="H3698" s="55">
        <f ca="1">IFERROR(__xludf.DUMMYFUNCTION("""COMPUTED_VALUE"""),44127)</f>
        <v>44127</v>
      </c>
      <c r="I3698" s="25"/>
      <c r="J3698" s="55" t="str">
        <f ca="1">IFERROR(__xludf.DUMMYFUNCTION("""COMPUTED_VALUE"""),"Alta")</f>
        <v>Alta</v>
      </c>
      <c r="K3698" s="25">
        <f ca="1">IFERROR(__xludf.DUMMYFUNCTION("""COMPUTED_VALUE"""),30)</f>
        <v>30</v>
      </c>
      <c r="L3698" s="62"/>
      <c r="M3698" s="25"/>
      <c r="N3698" s="25"/>
      <c r="O3698" s="25" t="str">
        <f t="shared" ca="1" si="0"/>
        <v>Secretaría Distrital de Planeación</v>
      </c>
      <c r="P3698" s="25" t="str">
        <f t="shared" si="2"/>
        <v/>
      </c>
      <c r="Q3698" s="25"/>
      <c r="R3698" s="25"/>
      <c r="S3698" s="55"/>
      <c r="T3698" s="56"/>
      <c r="U3698" s="25"/>
      <c r="V3698" s="25"/>
      <c r="W3698" s="25"/>
      <c r="X3698" s="25"/>
      <c r="Y3698" s="25"/>
      <c r="Z3698" s="25"/>
    </row>
    <row r="3699" spans="1:26" ht="52.5" customHeight="1" x14ac:dyDescent="0.25">
      <c r="A3699" s="25" t="str">
        <f ca="1">IFERROR(__xludf.DUMMYFUNCTION("""COMPUTED_VALUE"""),"Plane97")</f>
        <v>Plane97</v>
      </c>
      <c r="B3699" s="25" t="str">
        <f ca="1">IFERROR(__xludf.DUMMYFUNCTION("""COMPUTED_VALUE"""),"Despachando: Secretaría Distrital de planeación")</f>
        <v>Despachando: Secretaría Distrital de planeación</v>
      </c>
      <c r="C3699" s="55">
        <f ca="1">IFERROR(__xludf.DUMMYFUNCTION("""COMPUTED_VALUE"""),44097)</f>
        <v>44097</v>
      </c>
      <c r="D3699" s="25" t="str">
        <f ca="1">IFERROR(__xludf.DUMMYFUNCTION("""COMPUTED_VALUE"""),"Planeación")</f>
        <v>Planeación</v>
      </c>
      <c r="E3699" s="25" t="str">
        <f ca="1">IFERROR(__xludf.DUMMYFUNCTION("""COMPUTED_VALUE"""),"Secretaría Distrital de Planeación")</f>
        <v>Secretaría Distrital de Planeación</v>
      </c>
      <c r="F3699" s="25" t="str">
        <f ca="1">IFERROR(__xludf.DUMMYFUNCTION("""COMPUTED_VALUE"""),"Programar el 5 ciclo de giros de BSC en diciembre")</f>
        <v>Programar el 5 ciclo de giros de BSC en diciembre</v>
      </c>
      <c r="G3699" s="25" t="str">
        <f ca="1">IFERROR(__xludf.DUMMYFUNCTION("""COMPUTED_VALUE"""),"99. Distrito")</f>
        <v>99. Distrito</v>
      </c>
      <c r="H3699" s="55">
        <f ca="1">IFERROR(__xludf.DUMMYFUNCTION("""COMPUTED_VALUE"""),44127)</f>
        <v>44127</v>
      </c>
      <c r="I3699" s="25"/>
      <c r="J3699" s="55" t="str">
        <f ca="1">IFERROR(__xludf.DUMMYFUNCTION("""COMPUTED_VALUE"""),"Alta")</f>
        <v>Alta</v>
      </c>
      <c r="K3699" s="25">
        <f ca="1">IFERROR(__xludf.DUMMYFUNCTION("""COMPUTED_VALUE"""),30)</f>
        <v>30</v>
      </c>
      <c r="L3699" s="62"/>
      <c r="M3699" s="25"/>
      <c r="N3699" s="25"/>
      <c r="O3699" s="25" t="str">
        <f t="shared" ca="1" si="0"/>
        <v>Secretaría Distrital de Planeación</v>
      </c>
      <c r="P3699" s="25" t="str">
        <f t="shared" si="2"/>
        <v/>
      </c>
      <c r="Q3699" s="25"/>
      <c r="R3699" s="25"/>
      <c r="S3699" s="55"/>
      <c r="T3699" s="56"/>
      <c r="U3699" s="25"/>
      <c r="V3699" s="25"/>
      <c r="W3699" s="25"/>
      <c r="X3699" s="25"/>
      <c r="Y3699" s="25"/>
      <c r="Z3699" s="25"/>
    </row>
    <row r="3700" spans="1:26" ht="52.5" customHeight="1" x14ac:dyDescent="0.25">
      <c r="A3700" s="25" t="str">
        <f ca="1">IFERROR(__xludf.DUMMYFUNCTION("""COMPUTED_VALUE"""),"Plane98")</f>
        <v>Plane98</v>
      </c>
      <c r="B3700" s="25" t="str">
        <f ca="1">IFERROR(__xludf.DUMMYFUNCTION("""COMPUTED_VALUE"""),"Corredor vial 7 seguimiento")</f>
        <v>Corredor vial 7 seguimiento</v>
      </c>
      <c r="C3700" s="55">
        <f ca="1">IFERROR(__xludf.DUMMYFUNCTION("""COMPUTED_VALUE"""),44673)</f>
        <v>44673</v>
      </c>
      <c r="D3700" s="25" t="str">
        <f ca="1">IFERROR(__xludf.DUMMYFUNCTION("""COMPUTED_VALUE"""),"Planeación")</f>
        <v>Planeación</v>
      </c>
      <c r="E3700" s="25" t="str">
        <f ca="1">IFERROR(__xludf.DUMMYFUNCTION("""COMPUTED_VALUE"""),"Secretaría Distrital de Planeación")</f>
        <v>Secretaría Distrital de Planeación</v>
      </c>
      <c r="F3700" s="25" t="str">
        <f ca="1">IFERROR(__xludf.DUMMYFUNCTION("""COMPUTED_VALUE"""),"Realizar el análisis a nivel de UPL para definir la destinación de las áreas remanentes.")</f>
        <v>Realizar el análisis a nivel de UPL para definir la destinación de las áreas remanentes.</v>
      </c>
      <c r="G3700" s="25" t="str">
        <f ca="1">IFERROR(__xludf.DUMMYFUNCTION("""COMPUTED_VALUE"""),"99. Distrito")</f>
        <v>99. Distrito</v>
      </c>
      <c r="H3700" s="55">
        <f ca="1">IFERROR(__xludf.DUMMYFUNCTION("""COMPUTED_VALUE"""),45146)</f>
        <v>45146</v>
      </c>
      <c r="I3700" s="25" t="str">
        <f ca="1">IFERROR(__xludf.DUMMYFUNCTION("""COMPUTED_VALUE"""),"Junta de Infraestructura")</f>
        <v>Junta de Infraestructura</v>
      </c>
      <c r="J3700" s="55" t="str">
        <f ca="1">IFERROR(__xludf.DUMMYFUNCTION("""COMPUTED_VALUE"""),"Baja")</f>
        <v>Baja</v>
      </c>
      <c r="K3700" s="25">
        <f ca="1">IFERROR(__xludf.DUMMYFUNCTION("""COMPUTED_VALUE"""),473)</f>
        <v>473</v>
      </c>
      <c r="L3700" s="62"/>
      <c r="M3700" s="25"/>
      <c r="N3700" s="25"/>
      <c r="O3700" s="25" t="str">
        <f t="shared" ca="1" si="0"/>
        <v>Secretaría Distrital de Planeación</v>
      </c>
      <c r="P3700" s="25" t="str">
        <f t="shared" ca="1" si="2"/>
        <v/>
      </c>
      <c r="Q3700" s="25"/>
      <c r="R3700" s="25"/>
      <c r="S3700" s="55"/>
      <c r="T3700" s="56"/>
      <c r="U3700" s="25"/>
      <c r="V3700" s="25"/>
      <c r="W3700" s="25"/>
      <c r="X3700" s="25"/>
      <c r="Y3700" s="25"/>
      <c r="Z3700" s="25"/>
    </row>
    <row r="3701" spans="1:26" ht="52.5" customHeight="1" x14ac:dyDescent="0.25">
      <c r="A3701" s="25" t="str">
        <f ca="1">IFERROR(__xludf.DUMMYFUNCTION("""COMPUTED_VALUE"""),"Plane99")</f>
        <v>Plane99</v>
      </c>
      <c r="B3701" s="25" t="str">
        <f ca="1">IFERROR(__xludf.DUMMYFUNCTION("""COMPUTED_VALUE"""),"Consejo Consultivo LGBTI")</f>
        <v>Consejo Consultivo LGBTI</v>
      </c>
      <c r="C3701" s="55">
        <f ca="1">IFERROR(__xludf.DUMMYFUNCTION("""COMPUTED_VALUE"""),44698)</f>
        <v>44698</v>
      </c>
      <c r="D3701" s="25" t="str">
        <f ca="1">IFERROR(__xludf.DUMMYFUNCTION("""COMPUTED_VALUE"""),"Planeación")</f>
        <v>Planeación</v>
      </c>
      <c r="E3701" s="25" t="str">
        <f ca="1">IFERROR(__xludf.DUMMYFUNCTION("""COMPUTED_VALUE"""),"Secretaría Distrital de Planeación")</f>
        <v>Secretaría Distrital de Planeación</v>
      </c>
      <c r="F3701" s="25" t="str">
        <f ca="1">IFERROR(__xludf.DUMMYFUNCTION("""COMPUTED_VALUE"""),"Formulación y ejecución, en coordinación con la Dirección de Diversidad Sexual de una estrategia (ferias, volantes, códigos QR, en lugares de circulación y permanencia de las personas de los sectores LGBTI) ")</f>
        <v xml:space="preserve">Formulación y ejecución, en coordinación con la Dirección de Diversidad Sexual de una estrategia (ferias, volantes, códigos QR, en lugares de circulación y permanencia de las personas de los sectores LGBTI) </v>
      </c>
      <c r="G3701" s="25" t="str">
        <f ca="1">IFERROR(__xludf.DUMMYFUNCTION("""COMPUTED_VALUE"""),"99. Distrito")</f>
        <v>99. Distrito</v>
      </c>
      <c r="H3701" s="55">
        <f ca="1">IFERROR(__xludf.DUMMYFUNCTION("""COMPUTED_VALUE"""),44728)</f>
        <v>44728</v>
      </c>
      <c r="I3701" s="25"/>
      <c r="J3701" s="55" t="str">
        <f ca="1">IFERROR(__xludf.DUMMYFUNCTION("""COMPUTED_VALUE"""),"Alta")</f>
        <v>Alta</v>
      </c>
      <c r="K3701" s="25">
        <f ca="1">IFERROR(__xludf.DUMMYFUNCTION("""COMPUTED_VALUE"""),30)</f>
        <v>30</v>
      </c>
      <c r="L3701" s="62"/>
      <c r="M3701" s="25"/>
      <c r="N3701" s="25"/>
      <c r="O3701" s="25" t="str">
        <f t="shared" ca="1" si="0"/>
        <v>Secretaría Distrital de Planeación</v>
      </c>
      <c r="P3701" s="25" t="str">
        <f t="shared" si="2"/>
        <v/>
      </c>
      <c r="Q3701" s="25"/>
      <c r="R3701" s="25"/>
      <c r="S3701" s="55"/>
      <c r="T3701" s="56"/>
      <c r="U3701" s="25"/>
      <c r="V3701" s="25"/>
      <c r="W3701" s="25"/>
      <c r="X3701" s="25"/>
      <c r="Y3701" s="25"/>
      <c r="Z3701" s="25"/>
    </row>
    <row r="3702" spans="1:26" ht="52.5" customHeight="1" x14ac:dyDescent="0.25">
      <c r="A3702" s="25" t="str">
        <f ca="1">IFERROR(__xludf.DUMMYFUNCTION("""COMPUTED_VALUE"""),"Plane100")</f>
        <v>Plane100</v>
      </c>
      <c r="B3702" s="25" t="str">
        <f ca="1">IFERROR(__xludf.DUMMYFUNCTION("""COMPUTED_VALUE"""),"Consejo Consultivo LGBTI")</f>
        <v>Consejo Consultivo LGBTI</v>
      </c>
      <c r="C3702" s="55">
        <f ca="1">IFERROR(__xludf.DUMMYFUNCTION("""COMPUTED_VALUE"""),44698)</f>
        <v>44698</v>
      </c>
      <c r="D3702" s="25" t="str">
        <f ca="1">IFERROR(__xludf.DUMMYFUNCTION("""COMPUTED_VALUE"""),"Planeación")</f>
        <v>Planeación</v>
      </c>
      <c r="E3702" s="25" t="str">
        <f ca="1">IFERROR(__xludf.DUMMYFUNCTION("""COMPUTED_VALUE"""),"Secretaría Distrital de Planeación")</f>
        <v>Secretaría Distrital de Planeación</v>
      </c>
      <c r="F3702" s="25" t="str">
        <f ca="1">IFERROR(__xludf.DUMMYFUNCTION("""COMPUTED_VALUE"""),"Realizar una investigación del estado socioeconómico de las personas de los sectores. Caracterización focalizada.")</f>
        <v>Realizar una investigación del estado socioeconómico de las personas de los sectores. Caracterización focalizada.</v>
      </c>
      <c r="G3702" s="25" t="str">
        <f ca="1">IFERROR(__xludf.DUMMYFUNCTION("""COMPUTED_VALUE"""),"99. Distrito")</f>
        <v>99. Distrito</v>
      </c>
      <c r="H3702" s="55">
        <f ca="1">IFERROR(__xludf.DUMMYFUNCTION("""COMPUTED_VALUE"""),44728)</f>
        <v>44728</v>
      </c>
      <c r="I3702" s="25"/>
      <c r="J3702" s="55" t="str">
        <f ca="1">IFERROR(__xludf.DUMMYFUNCTION("""COMPUTED_VALUE"""),"Alta")</f>
        <v>Alta</v>
      </c>
      <c r="K3702" s="25">
        <f ca="1">IFERROR(__xludf.DUMMYFUNCTION("""COMPUTED_VALUE"""),30)</f>
        <v>30</v>
      </c>
      <c r="L3702" s="62"/>
      <c r="M3702" s="25"/>
      <c r="N3702" s="25"/>
      <c r="O3702" s="25" t="str">
        <f t="shared" ca="1" si="0"/>
        <v>Secretaría Distrital de Planeación</v>
      </c>
      <c r="P3702" s="25" t="str">
        <f t="shared" si="2"/>
        <v/>
      </c>
      <c r="Q3702" s="25"/>
      <c r="R3702" s="25"/>
      <c r="S3702" s="55"/>
      <c r="T3702" s="56"/>
      <c r="U3702" s="25"/>
      <c r="V3702" s="25"/>
      <c r="W3702" s="25"/>
      <c r="X3702" s="25"/>
      <c r="Y3702" s="25"/>
      <c r="Z3702" s="25"/>
    </row>
    <row r="3703" spans="1:26" ht="52.5" customHeight="1" x14ac:dyDescent="0.25">
      <c r="A3703" s="25" t="str">
        <f ca="1">IFERROR(__xludf.DUMMYFUNCTION("""COMPUTED_VALUE"""),"Plane101")</f>
        <v>Plane101</v>
      </c>
      <c r="B3703" s="25" t="str">
        <f ca="1">IFERROR(__xludf.DUMMYFUNCTION("""COMPUTED_VALUE"""),"Consejo Consultivo LGBTI")</f>
        <v>Consejo Consultivo LGBTI</v>
      </c>
      <c r="C3703" s="55">
        <f ca="1">IFERROR(__xludf.DUMMYFUNCTION("""COMPUTED_VALUE"""),44698)</f>
        <v>44698</v>
      </c>
      <c r="D3703" s="25" t="str">
        <f ca="1">IFERROR(__xludf.DUMMYFUNCTION("""COMPUTED_VALUE"""),"Planeación")</f>
        <v>Planeación</v>
      </c>
      <c r="E3703" s="25" t="str">
        <f ca="1">IFERROR(__xludf.DUMMYFUNCTION("""COMPUTED_VALUE"""),"Secretaría Distrital de Planeación")</f>
        <v>Secretaría Distrital de Planeación</v>
      </c>
      <c r="F3703" s="25" t="str">
        <f ca="1">IFERROR(__xludf.DUMMYFUNCTION("""COMPUTED_VALUE"""),"Para el próximo Consejo Consultivo LGBTI se debe revisar ejecución de las metas establecidas para programas ofertados para grupos LGBTI.  Así mismo, debe haber ejecución de mínimo 50%.")</f>
        <v>Para el próximo Consejo Consultivo LGBTI se debe revisar ejecución de las metas establecidas para programas ofertados para grupos LGBTI.  Así mismo, debe haber ejecución de mínimo 50%.</v>
      </c>
      <c r="G3703" s="25" t="str">
        <f ca="1">IFERROR(__xludf.DUMMYFUNCTION("""COMPUTED_VALUE"""),"99. Distrito")</f>
        <v>99. Distrito</v>
      </c>
      <c r="H3703" s="55">
        <f ca="1">IFERROR(__xludf.DUMMYFUNCTION("""COMPUTED_VALUE"""),44926)</f>
        <v>44926</v>
      </c>
      <c r="I3703" s="25"/>
      <c r="J3703" s="55" t="str">
        <f ca="1">IFERROR(__xludf.DUMMYFUNCTION("""COMPUTED_VALUE"""),"Baja")</f>
        <v>Baja</v>
      </c>
      <c r="K3703" s="25">
        <f ca="1">IFERROR(__xludf.DUMMYFUNCTION("""COMPUTED_VALUE"""),228)</f>
        <v>228</v>
      </c>
      <c r="L3703" s="62"/>
      <c r="M3703" s="25"/>
      <c r="N3703" s="25"/>
      <c r="O3703" s="25" t="str">
        <f t="shared" ca="1" si="0"/>
        <v>Secretaría Distrital de Planeación</v>
      </c>
      <c r="P3703" s="25" t="str">
        <f t="shared" si="2"/>
        <v/>
      </c>
      <c r="Q3703" s="25"/>
      <c r="R3703" s="25"/>
      <c r="S3703" s="55"/>
      <c r="T3703" s="56"/>
      <c r="U3703" s="25"/>
      <c r="V3703" s="25"/>
      <c r="W3703" s="25"/>
      <c r="X3703" s="25"/>
      <c r="Y3703" s="25"/>
      <c r="Z3703" s="25"/>
    </row>
    <row r="3704" spans="1:26" ht="52.5" customHeight="1" x14ac:dyDescent="0.25">
      <c r="A3704" s="25" t="str">
        <f ca="1">IFERROR(__xludf.DUMMYFUNCTION("""COMPUTED_VALUE"""),"Plane102")</f>
        <v>Plane102</v>
      </c>
      <c r="B3704" s="25" t="str">
        <f ca="1">IFERROR(__xludf.DUMMYFUNCTION("""COMPUTED_VALUE"""),"Presentación resultados de pobreza")</f>
        <v>Presentación resultados de pobreza</v>
      </c>
      <c r="C3704" s="55">
        <f ca="1">IFERROR(__xludf.DUMMYFUNCTION("""COMPUTED_VALUE"""),44707)</f>
        <v>44707</v>
      </c>
      <c r="D3704" s="25" t="str">
        <f ca="1">IFERROR(__xludf.DUMMYFUNCTION("""COMPUTED_VALUE"""),"Planeación")</f>
        <v>Planeación</v>
      </c>
      <c r="E3704" s="25" t="str">
        <f ca="1">IFERROR(__xludf.DUMMYFUNCTION("""COMPUTED_VALUE"""),"Secretaría Distrital de Planeación")</f>
        <v>Secretaría Distrital de Planeación</v>
      </c>
      <c r="F3704" s="25" t="str">
        <f ca="1">IFERROR(__xludf.DUMMYFUNCTION("""COMPUTED_VALUE"""),"A partir de septiembre, el grupo de Sisben III sacarlo de la focalización y mantener los recursos; mantener sisben IV.")</f>
        <v>A partir de septiembre, el grupo de Sisben III sacarlo de la focalización y mantener los recursos; mantener sisben IV.</v>
      </c>
      <c r="G3704" s="25" t="str">
        <f ca="1">IFERROR(__xludf.DUMMYFUNCTION("""COMPUTED_VALUE"""),"99. Distrito")</f>
        <v>99. Distrito</v>
      </c>
      <c r="H3704" s="55">
        <f ca="1">IFERROR(__xludf.DUMMYFUNCTION("""COMPUTED_VALUE"""),44737)</f>
        <v>44737</v>
      </c>
      <c r="I3704" s="25"/>
      <c r="J3704" s="55" t="str">
        <f ca="1">IFERROR(__xludf.DUMMYFUNCTION("""COMPUTED_VALUE"""),"Alta")</f>
        <v>Alta</v>
      </c>
      <c r="K3704" s="25">
        <f ca="1">IFERROR(__xludf.DUMMYFUNCTION("""COMPUTED_VALUE"""),30)</f>
        <v>30</v>
      </c>
      <c r="L3704" s="62"/>
      <c r="M3704" s="25"/>
      <c r="N3704" s="25"/>
      <c r="O3704" s="25" t="str">
        <f t="shared" ca="1" si="0"/>
        <v>Secretaría Distrital de Planeación</v>
      </c>
      <c r="P3704" s="25" t="str">
        <f t="shared" si="2"/>
        <v/>
      </c>
      <c r="Q3704" s="25"/>
      <c r="R3704" s="25"/>
      <c r="S3704" s="55"/>
      <c r="T3704" s="56"/>
      <c r="U3704" s="25"/>
      <c r="V3704" s="25"/>
      <c r="W3704" s="25"/>
      <c r="X3704" s="25"/>
      <c r="Y3704" s="25"/>
      <c r="Z3704" s="25"/>
    </row>
    <row r="3705" spans="1:26" ht="52.5" customHeight="1" x14ac:dyDescent="0.25">
      <c r="A3705" s="25" t="str">
        <f ca="1">IFERROR(__xludf.DUMMYFUNCTION("""COMPUTED_VALUE"""),"Plane103")</f>
        <v>Plane103</v>
      </c>
      <c r="B3705" s="25" t="str">
        <f ca="1">IFERROR(__xludf.DUMMYFUNCTION("""COMPUTED_VALUE"""),"Presentación resultados de pobreza")</f>
        <v>Presentación resultados de pobreza</v>
      </c>
      <c r="C3705" s="55">
        <f ca="1">IFERROR(__xludf.DUMMYFUNCTION("""COMPUTED_VALUE"""),44707)</f>
        <v>44707</v>
      </c>
      <c r="D3705" s="25" t="str">
        <f ca="1">IFERROR(__xludf.DUMMYFUNCTION("""COMPUTED_VALUE"""),"Planeación")</f>
        <v>Planeación</v>
      </c>
      <c r="E3705" s="25" t="str">
        <f ca="1">IFERROR(__xludf.DUMMYFUNCTION("""COMPUTED_VALUE"""),"Secretaría Distrital de Planeación")</f>
        <v>Secretaría Distrital de Planeación</v>
      </c>
      <c r="F3705" s="25" t="str">
        <f ca="1">IFERROR(__xludf.DUMMYFUNCTION("""COMPUTED_VALUE"""),"El grupo C4 y C5 sacarlos de la priorización como a Sisben III. Si los tenemos identificados, revisar cómo hacerles una oferta especial de emprendimiento, de impulso local, de empleo joven, etc.")</f>
        <v>El grupo C4 y C5 sacarlos de la priorización como a Sisben III. Si los tenemos identificados, revisar cómo hacerles una oferta especial de emprendimiento, de impulso local, de empleo joven, etc.</v>
      </c>
      <c r="G3705" s="25" t="str">
        <f ca="1">IFERROR(__xludf.DUMMYFUNCTION("""COMPUTED_VALUE"""),"99. Distrito")</f>
        <v>99. Distrito</v>
      </c>
      <c r="H3705" s="55">
        <f ca="1">IFERROR(__xludf.DUMMYFUNCTION("""COMPUTED_VALUE"""),44737)</f>
        <v>44737</v>
      </c>
      <c r="I3705" s="25"/>
      <c r="J3705" s="55" t="str">
        <f ca="1">IFERROR(__xludf.DUMMYFUNCTION("""COMPUTED_VALUE"""),"Alta")</f>
        <v>Alta</v>
      </c>
      <c r="K3705" s="25">
        <f ca="1">IFERROR(__xludf.DUMMYFUNCTION("""COMPUTED_VALUE"""),30)</f>
        <v>30</v>
      </c>
      <c r="L3705" s="62"/>
      <c r="M3705" s="25"/>
      <c r="N3705" s="25"/>
      <c r="O3705" s="25" t="str">
        <f t="shared" ca="1" si="0"/>
        <v>Secretaría Distrital de Planeación</v>
      </c>
      <c r="P3705" s="25" t="str">
        <f t="shared" si="2"/>
        <v/>
      </c>
      <c r="Q3705" s="25"/>
      <c r="R3705" s="25"/>
      <c r="S3705" s="55"/>
      <c r="T3705" s="56"/>
      <c r="U3705" s="25"/>
      <c r="V3705" s="25"/>
      <c r="W3705" s="25"/>
      <c r="X3705" s="25"/>
      <c r="Y3705" s="25"/>
      <c r="Z3705" s="25"/>
    </row>
    <row r="3706" spans="1:26" ht="52.5" customHeight="1" x14ac:dyDescent="0.25">
      <c r="A3706" s="25" t="str">
        <f ca="1">IFERROR(__xludf.DUMMYFUNCTION("""COMPUTED_VALUE"""),"Plane104")</f>
        <v>Plane104</v>
      </c>
      <c r="B3706" s="25" t="str">
        <f ca="1">IFERROR(__xludf.DUMMYFUNCTION("""COMPUTED_VALUE"""),"Presentación resultados de pobreza")</f>
        <v>Presentación resultados de pobreza</v>
      </c>
      <c r="C3706" s="55">
        <f ca="1">IFERROR(__xludf.DUMMYFUNCTION("""COMPUTED_VALUE"""),44707)</f>
        <v>44707</v>
      </c>
      <c r="D3706" s="25" t="str">
        <f ca="1">IFERROR(__xludf.DUMMYFUNCTION("""COMPUTED_VALUE"""),"Planeación")</f>
        <v>Planeación</v>
      </c>
      <c r="E3706" s="25" t="str">
        <f ca="1">IFERROR(__xludf.DUMMYFUNCTION("""COMPUTED_VALUE"""),"Secretaría Distrital de Planeación")</f>
        <v>Secretaría Distrital de Planeación</v>
      </c>
      <c r="F3706" s="25" t="str">
        <f ca="1">IFERROR(__xludf.DUMMYFUNCTION("""COMPUTED_VALUE"""),"Respecto a los hogares que están por fuera de la identificación de programas sociales:
Identificar y priorizar los hogares de adulto mayor que vive solo, hogares de mujer cabeza de familia migrante y hogares cabeza de mujer. Esto para entregarles tarjetas"&amp;" monedero con los recursos que queda de sisben III, C4 y C5. Debo garantizar que estas personas se bancaricen (debería ser máximo 3 meses en el proceso que se sisbenicen y bancaricen).")</f>
        <v>Respecto a los hogares que están por fuera de la identificación de programas sociales:
Identificar y priorizar los hogares de adulto mayor que vive solo, hogares de mujer cabeza de familia migrante y hogares cabeza de mujer. Esto para entregarles tarjetas monedero con los recursos que queda de sisben III, C4 y C5. Debo garantizar que estas personas se bancaricen (debería ser máximo 3 meses en el proceso que se sisbenicen y bancaricen).</v>
      </c>
      <c r="G3706" s="25" t="str">
        <f ca="1">IFERROR(__xludf.DUMMYFUNCTION("""COMPUTED_VALUE"""),"99. Distrito")</f>
        <v>99. Distrito</v>
      </c>
      <c r="H3706" s="55">
        <f ca="1">IFERROR(__xludf.DUMMYFUNCTION("""COMPUTED_VALUE"""),44906)</f>
        <v>44906</v>
      </c>
      <c r="I3706" s="25"/>
      <c r="J3706" s="55" t="str">
        <f ca="1">IFERROR(__xludf.DUMMYFUNCTION("""COMPUTED_VALUE"""),"Baja")</f>
        <v>Baja</v>
      </c>
      <c r="K3706" s="25">
        <f ca="1">IFERROR(__xludf.DUMMYFUNCTION("""COMPUTED_VALUE"""),199)</f>
        <v>199</v>
      </c>
      <c r="L3706" s="62"/>
      <c r="M3706" s="25"/>
      <c r="N3706" s="25"/>
      <c r="O3706" s="25" t="str">
        <f t="shared" ca="1" si="0"/>
        <v>Secretaría Distrital de Planeación</v>
      </c>
      <c r="P3706" s="25" t="str">
        <f t="shared" si="2"/>
        <v/>
      </c>
      <c r="Q3706" s="25"/>
      <c r="R3706" s="25"/>
      <c r="S3706" s="55"/>
      <c r="T3706" s="56"/>
      <c r="U3706" s="25"/>
      <c r="V3706" s="25"/>
      <c r="W3706" s="25"/>
      <c r="X3706" s="25"/>
      <c r="Y3706" s="25"/>
      <c r="Z3706" s="25"/>
    </row>
    <row r="3707" spans="1:26" ht="52.5" customHeight="1" x14ac:dyDescent="0.25">
      <c r="A3707" s="25" t="str">
        <f ca="1">IFERROR(__xludf.DUMMYFUNCTION("""COMPUTED_VALUE"""),"Plane105")</f>
        <v>Plane105</v>
      </c>
      <c r="B3707" s="25" t="str">
        <f ca="1">IFERROR(__xludf.DUMMYFUNCTION("""COMPUTED_VALUE"""),"Presentación resultados de pobreza")</f>
        <v>Presentación resultados de pobreza</v>
      </c>
      <c r="C3707" s="55">
        <f ca="1">IFERROR(__xludf.DUMMYFUNCTION("""COMPUTED_VALUE"""),44707)</f>
        <v>44707</v>
      </c>
      <c r="D3707" s="25" t="str">
        <f ca="1">IFERROR(__xludf.DUMMYFUNCTION("""COMPUTED_VALUE"""),"Planeación")</f>
        <v>Planeación</v>
      </c>
      <c r="E3707" s="25" t="str">
        <f ca="1">IFERROR(__xludf.DUMMYFUNCTION("""COMPUTED_VALUE"""),"Secretaría Distrital de Planeación")</f>
        <v>Secretaría Distrital de Planeación</v>
      </c>
      <c r="F3707" s="25" t="str">
        <f ca="1">IFERROR(__xludf.DUMMYFUNCTION("""COMPUTED_VALUE"""),"Identificar y focalizar los hogares (930mil) que están en inseguridad alimentaria e independientemente del SISBEN, incluirlos para TMC. Cruzar estos hogares con los que están en TMC para ver cuáles no están y bancarizarlos. A los primeros que debe ir las "&amp;"tarjetas monedero debería ser estos hogares.")</f>
        <v>Identificar y focalizar los hogares (930mil) que están en inseguridad alimentaria e independientemente del SISBEN, incluirlos para TMC. Cruzar estos hogares con los que están en TMC para ver cuáles no están y bancarizarlos. A los primeros que debe ir las tarjetas monedero debería ser estos hogares.</v>
      </c>
      <c r="G3707" s="25" t="str">
        <f ca="1">IFERROR(__xludf.DUMMYFUNCTION("""COMPUTED_VALUE"""),"99. Distrito")</f>
        <v>99. Distrito</v>
      </c>
      <c r="H3707" s="55">
        <f ca="1">IFERROR(__xludf.DUMMYFUNCTION("""COMPUTED_VALUE"""),44926)</f>
        <v>44926</v>
      </c>
      <c r="I3707" s="25"/>
      <c r="J3707" s="55" t="str">
        <f ca="1">IFERROR(__xludf.DUMMYFUNCTION("""COMPUTED_VALUE"""),"Baja")</f>
        <v>Baja</v>
      </c>
      <c r="K3707" s="25">
        <f ca="1">IFERROR(__xludf.DUMMYFUNCTION("""COMPUTED_VALUE"""),219)</f>
        <v>219</v>
      </c>
      <c r="L3707" s="62"/>
      <c r="M3707" s="25"/>
      <c r="N3707" s="25"/>
      <c r="O3707" s="25" t="str">
        <f t="shared" ca="1" si="0"/>
        <v>Secretaría Distrital de Planeación</v>
      </c>
      <c r="P3707" s="25" t="str">
        <f t="shared" si="2"/>
        <v/>
      </c>
      <c r="Q3707" s="25"/>
      <c r="R3707" s="25"/>
      <c r="S3707" s="55"/>
      <c r="T3707" s="56"/>
      <c r="U3707" s="25"/>
      <c r="V3707" s="25"/>
      <c r="W3707" s="25"/>
      <c r="X3707" s="25"/>
      <c r="Y3707" s="25"/>
      <c r="Z3707" s="25"/>
    </row>
    <row r="3708" spans="1:26" ht="52.5" customHeight="1" x14ac:dyDescent="0.25">
      <c r="A3708" s="25" t="str">
        <f ca="1">IFERROR(__xludf.DUMMYFUNCTION("""COMPUTED_VALUE"""),"Plane106")</f>
        <v>Plane106</v>
      </c>
      <c r="B3708" s="25" t="str">
        <f ca="1">IFERROR(__xludf.DUMMYFUNCTION("""COMPUTED_VALUE"""),"Revisión cesiones y legalizaciones barrios")</f>
        <v>Revisión cesiones y legalizaciones barrios</v>
      </c>
      <c r="C3708" s="55">
        <f ca="1">IFERROR(__xludf.DUMMYFUNCTION("""COMPUTED_VALUE"""),44697)</f>
        <v>44697</v>
      </c>
      <c r="D3708" s="25" t="str">
        <f ca="1">IFERROR(__xludf.DUMMYFUNCTION("""COMPUTED_VALUE"""),"Planeación")</f>
        <v>Planeación</v>
      </c>
      <c r="E3708" s="25" t="str">
        <f ca="1">IFERROR(__xludf.DUMMYFUNCTION("""COMPUTED_VALUE"""),"Secretaría Distrital de Planeación")</f>
        <v>Secretaría Distrital de Planeación</v>
      </c>
      <c r="F3708" s="25" t="str">
        <f ca="1">IFERROR(__xludf.DUMMYFUNCTION("""COMPUTED_VALUE"""),"Realizar modificación del decreto 845 de 2019")</f>
        <v>Realizar modificación del decreto 845 de 2019</v>
      </c>
      <c r="G3708" s="25" t="str">
        <f ca="1">IFERROR(__xludf.DUMMYFUNCTION("""COMPUTED_VALUE"""),"99. Distrito")</f>
        <v>99. Distrito</v>
      </c>
      <c r="H3708" s="55">
        <f ca="1">IFERROR(__xludf.DUMMYFUNCTION("""COMPUTED_VALUE"""),44972)</f>
        <v>44972</v>
      </c>
      <c r="I3708" s="25"/>
      <c r="J3708" s="55" t="str">
        <f ca="1">IFERROR(__xludf.DUMMYFUNCTION("""COMPUTED_VALUE"""),"Baja")</f>
        <v>Baja</v>
      </c>
      <c r="K3708" s="25">
        <f ca="1">IFERROR(__xludf.DUMMYFUNCTION("""COMPUTED_VALUE"""),275)</f>
        <v>275</v>
      </c>
      <c r="L3708" s="62"/>
      <c r="M3708" s="25"/>
      <c r="N3708" s="25"/>
      <c r="O3708" s="25" t="str">
        <f t="shared" ca="1" si="0"/>
        <v>Secretaría Distrital de Planeación</v>
      </c>
      <c r="P3708" s="25" t="str">
        <f t="shared" si="2"/>
        <v/>
      </c>
      <c r="Q3708" s="25"/>
      <c r="R3708" s="25"/>
      <c r="S3708" s="55"/>
      <c r="T3708" s="56"/>
      <c r="U3708" s="25"/>
      <c r="V3708" s="25"/>
      <c r="W3708" s="25"/>
      <c r="X3708" s="25"/>
      <c r="Y3708" s="25"/>
      <c r="Z3708" s="25"/>
    </row>
    <row r="3709" spans="1:26" ht="52.5" customHeight="1" x14ac:dyDescent="0.25">
      <c r="A3709" s="25" t="str">
        <f ca="1">IFERROR(__xludf.DUMMYFUNCTION("""COMPUTED_VALUE"""),"Plane107")</f>
        <v>Plane107</v>
      </c>
      <c r="B3709" s="25" t="str">
        <f ca="1">IFERROR(__xludf.DUMMYFUNCTION("""COMPUTED_VALUE"""),"SEGUIMIENTO POT")</f>
        <v>SEGUIMIENTO POT</v>
      </c>
      <c r="C3709" s="55">
        <f ca="1">IFERROR(__xludf.DUMMYFUNCTION("""COMPUTED_VALUE"""),44699)</f>
        <v>44699</v>
      </c>
      <c r="D3709" s="25" t="str">
        <f ca="1">IFERROR(__xludf.DUMMYFUNCTION("""COMPUTED_VALUE"""),"Planeación")</f>
        <v>Planeación</v>
      </c>
      <c r="E3709" s="25" t="str">
        <f ca="1">IFERROR(__xludf.DUMMYFUNCTION("""COMPUTED_VALUE"""),"Secretaría Distrital de Planeación")</f>
        <v>Secretaría Distrital de Planeación</v>
      </c>
      <c r="F3709" s="25" t="str">
        <f ca="1">IFERROR(__xludf.DUMMYFUNCTION("""COMPUTED_VALUE"""),"Organizar taller interinstitucional sobre planes maestros, unidades de planeamiento local y actuaciones estratégicas para enterarse, mirar las decisiones pendientes y metodología para tomar decisiones. ")</f>
        <v xml:space="preserve">Organizar taller interinstitucional sobre planes maestros, unidades de planeamiento local y actuaciones estratégicas para enterarse, mirar las decisiones pendientes y metodología para tomar decisiones. </v>
      </c>
      <c r="G3709" s="25" t="str">
        <f ca="1">IFERROR(__xludf.DUMMYFUNCTION("""COMPUTED_VALUE"""),"99. Distrito")</f>
        <v>99. Distrito</v>
      </c>
      <c r="H3709" s="55">
        <f ca="1">IFERROR(__xludf.DUMMYFUNCTION("""COMPUTED_VALUE"""),44729)</f>
        <v>44729</v>
      </c>
      <c r="I3709" s="25"/>
      <c r="J3709" s="55" t="str">
        <f ca="1">IFERROR(__xludf.DUMMYFUNCTION("""COMPUTED_VALUE"""),"Alta")</f>
        <v>Alta</v>
      </c>
      <c r="K3709" s="25">
        <f ca="1">IFERROR(__xludf.DUMMYFUNCTION("""COMPUTED_VALUE"""),30)</f>
        <v>30</v>
      </c>
      <c r="L3709" s="62"/>
      <c r="M3709" s="25"/>
      <c r="N3709" s="25"/>
      <c r="O3709" s="25" t="str">
        <f t="shared" ca="1" si="0"/>
        <v>Secretaría Distrital de Planeación</v>
      </c>
      <c r="P3709" s="25" t="str">
        <f t="shared" si="2"/>
        <v/>
      </c>
      <c r="Q3709" s="25"/>
      <c r="R3709" s="25"/>
      <c r="S3709" s="55"/>
      <c r="T3709" s="56"/>
      <c r="U3709" s="25"/>
      <c r="V3709" s="25"/>
      <c r="W3709" s="25"/>
      <c r="X3709" s="25"/>
      <c r="Y3709" s="25"/>
      <c r="Z3709" s="25"/>
    </row>
    <row r="3710" spans="1:26" ht="52.5" customHeight="1" x14ac:dyDescent="0.25">
      <c r="A3710" s="25" t="str">
        <f ca="1">IFERROR(__xludf.DUMMYFUNCTION("""COMPUTED_VALUE"""),"Plane108")</f>
        <v>Plane108</v>
      </c>
      <c r="B3710" s="25" t="str">
        <f ca="1">IFERROR(__xludf.DUMMYFUNCTION("""COMPUTED_VALUE"""),"SEGUIMIENTO POT")</f>
        <v>SEGUIMIENTO POT</v>
      </c>
      <c r="C3710" s="55">
        <f ca="1">IFERROR(__xludf.DUMMYFUNCTION("""COMPUTED_VALUE"""),44699)</f>
        <v>44699</v>
      </c>
      <c r="D3710" s="25" t="str">
        <f ca="1">IFERROR(__xludf.DUMMYFUNCTION("""COMPUTED_VALUE"""),"Planeación")</f>
        <v>Planeación</v>
      </c>
      <c r="E3710" s="25" t="str">
        <f ca="1">IFERROR(__xludf.DUMMYFUNCTION("""COMPUTED_VALUE"""),"Secretaría Distrital de Planeación")</f>
        <v>Secretaría Distrital de Planeación</v>
      </c>
      <c r="F3710" s="25" t="str">
        <f ca="1">IFERROR(__xludf.DUMMYFUNCTION("""COMPUTED_VALUE"""),"Bosque Urbano Santa Helena:
Levantamiento de reserva vial de Santa Helena y Salitre. 
Incluir el paso peatonal sobre la 50 con 64 subterráneo. 
")</f>
        <v xml:space="preserve">Bosque Urbano Santa Helena:
Levantamiento de reserva vial de Santa Helena y Salitre. 
Incluir el paso peatonal sobre la 50 con 64 subterráneo. 
</v>
      </c>
      <c r="G3710" s="25" t="str">
        <f ca="1">IFERROR(__xludf.DUMMYFUNCTION("""COMPUTED_VALUE"""),"99. Distrito")</f>
        <v>99. Distrito</v>
      </c>
      <c r="H3710" s="55">
        <f ca="1">IFERROR(__xludf.DUMMYFUNCTION("""COMPUTED_VALUE"""),45146)</f>
        <v>45146</v>
      </c>
      <c r="I3710" s="25"/>
      <c r="J3710" s="55" t="str">
        <f ca="1">IFERROR(__xludf.DUMMYFUNCTION("""COMPUTED_VALUE"""),"Baja")</f>
        <v>Baja</v>
      </c>
      <c r="K3710" s="25">
        <f ca="1">IFERROR(__xludf.DUMMYFUNCTION("""COMPUTED_VALUE"""),447)</f>
        <v>447</v>
      </c>
      <c r="L3710" s="62"/>
      <c r="M3710" s="25"/>
      <c r="N3710" s="25"/>
      <c r="O3710" s="25" t="str">
        <f t="shared" ca="1" si="0"/>
        <v>Secretaría Distrital de Planeación</v>
      </c>
      <c r="P3710" s="25" t="str">
        <f t="shared" si="2"/>
        <v/>
      </c>
      <c r="Q3710" s="25"/>
      <c r="R3710" s="25"/>
      <c r="S3710" s="55"/>
      <c r="T3710" s="56"/>
      <c r="U3710" s="25"/>
      <c r="V3710" s="25"/>
      <c r="W3710" s="25"/>
      <c r="X3710" s="25"/>
      <c r="Y3710" s="25"/>
      <c r="Z3710" s="25"/>
    </row>
    <row r="3711" spans="1:26" ht="52.5" customHeight="1" x14ac:dyDescent="0.25">
      <c r="A3711" s="25" t="str">
        <f ca="1">IFERROR(__xludf.DUMMYFUNCTION("""COMPUTED_VALUE"""),"Plane109")</f>
        <v>Plane109</v>
      </c>
      <c r="B3711" s="25" t="str">
        <f ca="1">IFERROR(__xludf.DUMMYFUNCTION("""COMPUTED_VALUE"""),"SEGUIMIENTO POT")</f>
        <v>SEGUIMIENTO POT</v>
      </c>
      <c r="C3711" s="55">
        <f ca="1">IFERROR(__xludf.DUMMYFUNCTION("""COMPUTED_VALUE"""),44699)</f>
        <v>44699</v>
      </c>
      <c r="D3711" s="25" t="str">
        <f ca="1">IFERROR(__xludf.DUMMYFUNCTION("""COMPUTED_VALUE"""),"Planeación")</f>
        <v>Planeación</v>
      </c>
      <c r="E3711" s="25" t="str">
        <f ca="1">IFERROR(__xludf.DUMMYFUNCTION("""COMPUTED_VALUE"""),"Secretaría Distrital de Planeación")</f>
        <v>Secretaría Distrital de Planeación</v>
      </c>
      <c r="F3711" s="25" t="str">
        <f ca="1">IFERROR(__xludf.DUMMYFUNCTION("""COMPUTED_VALUE"""),"Articularse con la Secretaría de la Mujer para revisar que instrumento jurídico es necesario para que el SIDICU quede institucionalizado (un nuevo acuerdo, una reglamentación u otro) y garantizar que la Comisión Intersectorial de Cuidado revise lo incluíd"&amp;"o en el POT referente a la formalización del sector de cuidado.
")</f>
        <v xml:space="preserve">Articularse con la Secretaría de la Mujer para revisar que instrumento jurídico es necesario para que el SIDICU quede institucionalizado (un nuevo acuerdo, una reglamentación u otro) y garantizar que la Comisión Intersectorial de Cuidado revise lo incluído en el POT referente a la formalización del sector de cuidado.
</v>
      </c>
      <c r="G3711" s="25" t="str">
        <f ca="1">IFERROR(__xludf.DUMMYFUNCTION("""COMPUTED_VALUE"""),"99. Distrito")</f>
        <v>99. Distrito</v>
      </c>
      <c r="H3711" s="55">
        <f ca="1">IFERROR(__xludf.DUMMYFUNCTION("""COMPUTED_VALUE"""),45122)</f>
        <v>45122</v>
      </c>
      <c r="I3711" s="25"/>
      <c r="J3711" s="55" t="str">
        <f ca="1">IFERROR(__xludf.DUMMYFUNCTION("""COMPUTED_VALUE"""),"Baja")</f>
        <v>Baja</v>
      </c>
      <c r="K3711" s="25">
        <f ca="1">IFERROR(__xludf.DUMMYFUNCTION("""COMPUTED_VALUE"""),423)</f>
        <v>423</v>
      </c>
      <c r="L3711" s="62"/>
      <c r="M3711" s="25"/>
      <c r="N3711" s="25"/>
      <c r="O3711" s="25" t="str">
        <f t="shared" ca="1" si="0"/>
        <v>Secretaría Distrital de Planeación</v>
      </c>
      <c r="P3711" s="25" t="str">
        <f t="shared" si="2"/>
        <v/>
      </c>
      <c r="Q3711" s="25"/>
      <c r="R3711" s="25"/>
      <c r="S3711" s="55"/>
      <c r="T3711" s="56"/>
      <c r="U3711" s="25"/>
      <c r="V3711" s="25"/>
      <c r="W3711" s="25"/>
      <c r="X3711" s="25"/>
      <c r="Y3711" s="25"/>
      <c r="Z3711" s="25"/>
    </row>
    <row r="3712" spans="1:26" ht="52.5" customHeight="1" x14ac:dyDescent="0.25">
      <c r="A3712" s="25" t="str">
        <f ca="1">IFERROR(__xludf.DUMMYFUNCTION("""COMPUTED_VALUE"""),"Plane110")</f>
        <v>Plane110</v>
      </c>
      <c r="B3712" s="25" t="str">
        <f ca="1">IFERROR(__xludf.DUMMYFUNCTION("""COMPUTED_VALUE"""),"Reglamentación POT")</f>
        <v>Reglamentación POT</v>
      </c>
      <c r="C3712" s="55">
        <f ca="1">IFERROR(__xludf.DUMMYFUNCTION("""COMPUTED_VALUE"""),44757)</f>
        <v>44757</v>
      </c>
      <c r="D3712" s="25" t="str">
        <f ca="1">IFERROR(__xludf.DUMMYFUNCTION("""COMPUTED_VALUE"""),"Planeación")</f>
        <v>Planeación</v>
      </c>
      <c r="E3712" s="25" t="str">
        <f ca="1">IFERROR(__xludf.DUMMYFUNCTION("""COMPUTED_VALUE"""),"Secretaría Distrital de Planeación")</f>
        <v>Secretaría Distrital de Planeación</v>
      </c>
      <c r="F3712" s="25" t="str">
        <f ca="1">IFERROR(__xludf.DUMMYFUNCTION("""COMPUTED_VALUE"""),"Incorporación de áreas de tratamiento de renovación urbana: Se debe analizar y presentar caso por caso para las Actuaciones Estratégicas priorizadas en reunión alcaldesa
")</f>
        <v xml:space="preserve">Incorporación de áreas de tratamiento de renovación urbana: Se debe analizar y presentar caso por caso para las Actuaciones Estratégicas priorizadas en reunión alcaldesa
</v>
      </c>
      <c r="G3712" s="25" t="str">
        <f ca="1">IFERROR(__xludf.DUMMYFUNCTION("""COMPUTED_VALUE"""),"99. Distrito")</f>
        <v>99. Distrito</v>
      </c>
      <c r="H3712" s="55">
        <f ca="1">IFERROR(__xludf.DUMMYFUNCTION("""COMPUTED_VALUE"""),44787)</f>
        <v>44787</v>
      </c>
      <c r="I3712" s="25"/>
      <c r="J3712" s="55" t="str">
        <f ca="1">IFERROR(__xludf.DUMMYFUNCTION("""COMPUTED_VALUE"""),"Alta")</f>
        <v>Alta</v>
      </c>
      <c r="K3712" s="25">
        <f ca="1">IFERROR(__xludf.DUMMYFUNCTION("""COMPUTED_VALUE"""),30)</f>
        <v>30</v>
      </c>
      <c r="L3712" s="62"/>
      <c r="M3712" s="25"/>
      <c r="N3712" s="25"/>
      <c r="O3712" s="25" t="str">
        <f t="shared" ca="1" si="0"/>
        <v>Secretaría Distrital de Planeación</v>
      </c>
      <c r="P3712" s="25" t="str">
        <f t="shared" si="2"/>
        <v/>
      </c>
      <c r="Q3712" s="25"/>
      <c r="R3712" s="25"/>
      <c r="S3712" s="55"/>
      <c r="T3712" s="56"/>
      <c r="U3712" s="25"/>
      <c r="V3712" s="25"/>
      <c r="W3712" s="25"/>
      <c r="X3712" s="25"/>
      <c r="Y3712" s="25"/>
      <c r="Z3712" s="25"/>
    </row>
    <row r="3713" spans="1:26" ht="52.5" customHeight="1" x14ac:dyDescent="0.25">
      <c r="A3713" s="25" t="str">
        <f ca="1">IFERROR(__xludf.DUMMYFUNCTION("""COMPUTED_VALUE"""),"Plane111")</f>
        <v>Plane111</v>
      </c>
      <c r="B3713" s="25" t="str">
        <f ca="1">IFERROR(__xludf.DUMMYFUNCTION("""COMPUTED_VALUE"""),"Reglamentación POT")</f>
        <v>Reglamentación POT</v>
      </c>
      <c r="C3713" s="55">
        <f ca="1">IFERROR(__xludf.DUMMYFUNCTION("""COMPUTED_VALUE"""),44757)</f>
        <v>44757</v>
      </c>
      <c r="D3713" s="25" t="str">
        <f ca="1">IFERROR(__xludf.DUMMYFUNCTION("""COMPUTED_VALUE"""),"Planeación")</f>
        <v>Planeación</v>
      </c>
      <c r="E3713" s="25" t="str">
        <f ca="1">IFERROR(__xludf.DUMMYFUNCTION("""COMPUTED_VALUE"""),"Secretaría Distrital de Planeación")</f>
        <v>Secretaría Distrital de Planeación</v>
      </c>
      <c r="F3713" s="25" t="str">
        <f ca="1">IFERROR(__xludf.DUMMYFUNCTION("""COMPUTED_VALUE"""),"Reglamentar las Actuaciones Estratégicas: Normas generales para las 24 y las 6 prioritarias .")</f>
        <v>Reglamentar las Actuaciones Estratégicas: Normas generales para las 24 y las 6 prioritarias .</v>
      </c>
      <c r="G3713" s="25" t="str">
        <f ca="1">IFERROR(__xludf.DUMMYFUNCTION("""COMPUTED_VALUE"""),"99. Distrito")</f>
        <v>99. Distrito</v>
      </c>
      <c r="H3713" s="55">
        <f ca="1">IFERROR(__xludf.DUMMYFUNCTION("""COMPUTED_VALUE"""),45291)</f>
        <v>45291</v>
      </c>
      <c r="I3713" s="25" t="str">
        <f ca="1">IFERROR(__xludf.DUMMYFUNCTION("""COMPUTED_VALUE"""),"Junta de Infraestructura")</f>
        <v>Junta de Infraestructura</v>
      </c>
      <c r="J3713" s="55" t="str">
        <f ca="1">IFERROR(__xludf.DUMMYFUNCTION("""COMPUTED_VALUE"""),"Baja")</f>
        <v>Baja</v>
      </c>
      <c r="K3713" s="25">
        <f ca="1">IFERROR(__xludf.DUMMYFUNCTION("""COMPUTED_VALUE"""),534)</f>
        <v>534</v>
      </c>
      <c r="L3713" s="62"/>
      <c r="M3713" s="25"/>
      <c r="N3713" s="25"/>
      <c r="O3713" s="25" t="str">
        <f t="shared" ca="1" si="0"/>
        <v>Secretaría Distrital de Planeación</v>
      </c>
      <c r="P3713" s="25" t="str">
        <f t="shared" ca="1" si="2"/>
        <v/>
      </c>
      <c r="Q3713" s="25"/>
      <c r="R3713" s="25"/>
      <c r="S3713" s="55"/>
      <c r="T3713" s="56"/>
      <c r="U3713" s="25"/>
      <c r="V3713" s="25"/>
      <c r="W3713" s="25"/>
      <c r="X3713" s="25"/>
      <c r="Y3713" s="25"/>
      <c r="Z3713" s="25"/>
    </row>
    <row r="3714" spans="1:26" ht="52.5" customHeight="1" x14ac:dyDescent="0.25">
      <c r="A3714" s="25" t="str">
        <f ca="1">IFERROR(__xludf.DUMMYFUNCTION("""COMPUTED_VALUE"""),"Plane112")</f>
        <v>Plane112</v>
      </c>
      <c r="B3714" s="25"/>
      <c r="C3714" s="55"/>
      <c r="D3714" s="25" t="str">
        <f ca="1">IFERROR(__xludf.DUMMYFUNCTION("""COMPUTED_VALUE"""),"Planeación")</f>
        <v>Planeación</v>
      </c>
      <c r="E3714" s="25" t="str">
        <f ca="1">IFERROR(__xludf.DUMMYFUNCTION("""COMPUTED_VALUE"""),"Secretaría Distrital de Planeación")</f>
        <v>Secretaría Distrital de Planeación</v>
      </c>
      <c r="F3714" s="25" t="str">
        <f ca="1">IFERROR(__xludf.DUMMYFUNCTION("""COMPUTED_VALUE"""),"Eliminada")</f>
        <v>Eliminada</v>
      </c>
      <c r="G3714" s="25"/>
      <c r="H3714" s="25"/>
      <c r="I3714" s="25"/>
      <c r="J3714" s="55"/>
      <c r="K3714" s="25" t="str">
        <f ca="1">IFERROR(__xludf.DUMMYFUNCTION("""COMPUTED_VALUE"""),"Definir fecha")</f>
        <v>Definir fecha</v>
      </c>
      <c r="L3714" s="62"/>
      <c r="M3714" s="25"/>
      <c r="N3714" s="25"/>
      <c r="O3714" s="25" t="str">
        <f t="shared" ca="1" si="0"/>
        <v>Secretaría Distrital de Planeación</v>
      </c>
      <c r="P3714" s="25" t="str">
        <f t="shared" si="2"/>
        <v/>
      </c>
      <c r="Q3714" s="25"/>
      <c r="R3714" s="25"/>
      <c r="S3714" s="55"/>
      <c r="T3714" s="56"/>
      <c r="U3714" s="25"/>
      <c r="V3714" s="25"/>
      <c r="W3714" s="25"/>
      <c r="X3714" s="25"/>
      <c r="Y3714" s="25"/>
      <c r="Z3714" s="25"/>
    </row>
    <row r="3715" spans="1:26" ht="52.5" customHeight="1" x14ac:dyDescent="0.25">
      <c r="A3715" s="25" t="str">
        <f ca="1">IFERROR(__xludf.DUMMYFUNCTION("""COMPUTED_VALUE"""),"Plane113")</f>
        <v>Plane113</v>
      </c>
      <c r="B3715" s="25" t="str">
        <f ca="1">IFERROR(__xludf.DUMMYFUNCTION("""COMPUTED_VALUE"""),"Conpes")</f>
        <v>Conpes</v>
      </c>
      <c r="C3715" s="55">
        <f ca="1">IFERROR(__xludf.DUMMYFUNCTION("""COMPUTED_VALUE"""),44785)</f>
        <v>44785</v>
      </c>
      <c r="D3715" s="25" t="str">
        <f ca="1">IFERROR(__xludf.DUMMYFUNCTION("""COMPUTED_VALUE"""),"Planeación")</f>
        <v>Planeación</v>
      </c>
      <c r="E3715" s="25" t="str">
        <f ca="1">IFERROR(__xludf.DUMMYFUNCTION("""COMPUTED_VALUE"""),"Secretaría Distrital de Planeación")</f>
        <v>Secretaría Distrital de Planeación</v>
      </c>
      <c r="F3715" s="25" t="str">
        <f ca="1">IFERROR(__xludf.DUMMYFUNCTION("""COMPUTED_VALUE"""),"Enviar reportes trimestrales de balance de ejecución de las políticas públicas a la alcaldesa.
")</f>
        <v xml:space="preserve">Enviar reportes trimestrales de balance de ejecución de las políticas públicas a la alcaldesa.
</v>
      </c>
      <c r="G3715" s="25" t="str">
        <f ca="1">IFERROR(__xludf.DUMMYFUNCTION("""COMPUTED_VALUE"""),"99. Distrito")</f>
        <v>99. Distrito</v>
      </c>
      <c r="H3715" s="55">
        <f ca="1">IFERROR(__xludf.DUMMYFUNCTION("""COMPUTED_VALUE"""),44815)</f>
        <v>44815</v>
      </c>
      <c r="I3715" s="25"/>
      <c r="J3715" s="55" t="str">
        <f ca="1">IFERROR(__xludf.DUMMYFUNCTION("""COMPUTED_VALUE"""),"Alta")</f>
        <v>Alta</v>
      </c>
      <c r="K3715" s="25">
        <f ca="1">IFERROR(__xludf.DUMMYFUNCTION("""COMPUTED_VALUE"""),30)</f>
        <v>30</v>
      </c>
      <c r="L3715" s="62"/>
      <c r="M3715" s="25"/>
      <c r="N3715" s="25"/>
      <c r="O3715" s="25" t="str">
        <f t="shared" ca="1" si="0"/>
        <v>Secretaría Distrital de Planeación</v>
      </c>
      <c r="P3715" s="25" t="str">
        <f t="shared" si="2"/>
        <v/>
      </c>
      <c r="Q3715" s="25"/>
      <c r="R3715" s="25"/>
      <c r="S3715" s="55"/>
      <c r="T3715" s="56"/>
      <c r="U3715" s="25"/>
      <c r="V3715" s="25"/>
      <c r="W3715" s="25"/>
      <c r="X3715" s="25"/>
      <c r="Y3715" s="25"/>
      <c r="Z3715" s="25"/>
    </row>
    <row r="3716" spans="1:26" ht="52.5" customHeight="1" x14ac:dyDescent="0.25">
      <c r="A3716" s="25" t="str">
        <f ca="1">IFERROR(__xludf.DUMMYFUNCTION("""COMPUTED_VALUE"""),"Plane114")</f>
        <v>Plane114</v>
      </c>
      <c r="B3716" s="25" t="str">
        <f ca="1">IFERROR(__xludf.DUMMYFUNCTION("""COMPUTED_VALUE"""),"Bogotá sin Hambre")</f>
        <v>Bogotá sin Hambre</v>
      </c>
      <c r="C3716" s="55">
        <f ca="1">IFERROR(__xludf.DUMMYFUNCTION("""COMPUTED_VALUE"""),44803)</f>
        <v>44803</v>
      </c>
      <c r="D3716" s="25" t="str">
        <f ca="1">IFERROR(__xludf.DUMMYFUNCTION("""COMPUTED_VALUE"""),"Planeación")</f>
        <v>Planeación</v>
      </c>
      <c r="E3716" s="25" t="str">
        <f ca="1">IFERROR(__xludf.DUMMYFUNCTION("""COMPUTED_VALUE"""),"Secretaría Distrital de Planeación")</f>
        <v>Secretaría Distrital de Planeación</v>
      </c>
      <c r="F3716" s="25" t="str">
        <f ca="1">IFERROR(__xludf.DUMMYFUNCTION("""COMPUTED_VALUE"""),"Articularse con la Secretaría Distrital de Integración Social con el fin de identificar quiénes están en desnutrición severa y moderada para invitarlos a los comedores comunitarios (Con el cruce de las bases en IMG).")</f>
        <v>Articularse con la Secretaría Distrital de Integración Social con el fin de identificar quiénes están en desnutrición severa y moderada para invitarlos a los comedores comunitarios (Con el cruce de las bases en IMG).</v>
      </c>
      <c r="G3716" s="25" t="str">
        <f ca="1">IFERROR(__xludf.DUMMYFUNCTION("""COMPUTED_VALUE"""),"99. Distrito")</f>
        <v>99. Distrito</v>
      </c>
      <c r="H3716" s="55">
        <f ca="1">IFERROR(__xludf.DUMMYFUNCTION("""COMPUTED_VALUE"""),44972)</f>
        <v>44972</v>
      </c>
      <c r="I3716" s="25"/>
      <c r="J3716" s="55" t="str">
        <f ca="1">IFERROR(__xludf.DUMMYFUNCTION("""COMPUTED_VALUE"""),"Media")</f>
        <v>Media</v>
      </c>
      <c r="K3716" s="25">
        <f ca="1">IFERROR(__xludf.DUMMYFUNCTION("""COMPUTED_VALUE"""),169)</f>
        <v>169</v>
      </c>
      <c r="L3716" s="62"/>
      <c r="M3716" s="25"/>
      <c r="N3716" s="25"/>
      <c r="O3716" s="25" t="str">
        <f t="shared" ca="1" si="0"/>
        <v>Secretaría Distrital de Planeación</v>
      </c>
      <c r="P3716" s="25" t="str">
        <f t="shared" si="2"/>
        <v/>
      </c>
      <c r="Q3716" s="25"/>
      <c r="R3716" s="25"/>
      <c r="S3716" s="55"/>
      <c r="T3716" s="56"/>
      <c r="U3716" s="25"/>
      <c r="V3716" s="25"/>
      <c r="W3716" s="25"/>
      <c r="X3716" s="25"/>
      <c r="Y3716" s="25"/>
      <c r="Z3716" s="25"/>
    </row>
    <row r="3717" spans="1:26" ht="52.5" customHeight="1" x14ac:dyDescent="0.25">
      <c r="A3717" s="25" t="str">
        <f ca="1">IFERROR(__xludf.DUMMYFUNCTION("""COMPUTED_VALUE"""),"Plane115")</f>
        <v>Plane115</v>
      </c>
      <c r="B3717" s="25" t="str">
        <f ca="1">IFERROR(__xludf.DUMMYFUNCTION("""COMPUTED_VALUE"""),"Pobreza y reactivación económica presupuesto 2023 ")</f>
        <v xml:space="preserve">Pobreza y reactivación económica presupuesto 2023 </v>
      </c>
      <c r="C3717" s="55">
        <f ca="1">IFERROR(__xludf.DUMMYFUNCTION("""COMPUTED_VALUE"""),44827)</f>
        <v>44827</v>
      </c>
      <c r="D3717" s="25" t="str">
        <f ca="1">IFERROR(__xludf.DUMMYFUNCTION("""COMPUTED_VALUE"""),"Planeación")</f>
        <v>Planeación</v>
      </c>
      <c r="E3717" s="25" t="str">
        <f ca="1">IFERROR(__xludf.DUMMYFUNCTION("""COMPUTED_VALUE"""),"Secretaría Distrital de Planeación")</f>
        <v>Secretaría Distrital de Planeación</v>
      </c>
      <c r="F3717" s="25" t="str">
        <f ca="1">IFERROR(__xludf.DUMMYFUNCTION("""COMPUTED_VALUE"""),"Articularse con la Secretaría Distrital de Integración Social con el fin de  identificar si en los programas de alimentación hay efecto en reducción de pobreza monetaria (ingreso que el hogar ahorra y puede tener nueva destinación).")</f>
        <v>Articularse con la Secretaría Distrital de Integración Social con el fin de  identificar si en los programas de alimentación hay efecto en reducción de pobreza monetaria (ingreso que el hogar ahorra y puede tener nueva destinación).</v>
      </c>
      <c r="G3717" s="25" t="str">
        <f ca="1">IFERROR(__xludf.DUMMYFUNCTION("""COMPUTED_VALUE"""),"99. Distrito")</f>
        <v>99. Distrito</v>
      </c>
      <c r="H3717" s="55">
        <f ca="1">IFERROR(__xludf.DUMMYFUNCTION("""COMPUTED_VALUE"""),44985)</f>
        <v>44985</v>
      </c>
      <c r="I3717" s="25"/>
      <c r="J3717" s="55" t="str">
        <f ca="1">IFERROR(__xludf.DUMMYFUNCTION("""COMPUTED_VALUE"""),"Media")</f>
        <v>Media</v>
      </c>
      <c r="K3717" s="25">
        <f ca="1">IFERROR(__xludf.DUMMYFUNCTION("""COMPUTED_VALUE"""),158)</f>
        <v>158</v>
      </c>
      <c r="L3717" s="62"/>
      <c r="M3717" s="25"/>
      <c r="N3717" s="25"/>
      <c r="O3717" s="25" t="str">
        <f t="shared" ca="1" si="0"/>
        <v>Secretaría Distrital de Planeación</v>
      </c>
      <c r="P3717" s="25" t="str">
        <f t="shared" si="2"/>
        <v/>
      </c>
      <c r="Q3717" s="25"/>
      <c r="R3717" s="25"/>
      <c r="S3717" s="55"/>
      <c r="T3717" s="56"/>
      <c r="U3717" s="25"/>
      <c r="V3717" s="25"/>
      <c r="W3717" s="25"/>
      <c r="X3717" s="25"/>
      <c r="Y3717" s="25"/>
      <c r="Z3717" s="25"/>
    </row>
    <row r="3718" spans="1:26" ht="52.5" customHeight="1" x14ac:dyDescent="0.25">
      <c r="A3718" s="25" t="str">
        <f ca="1">IFERROR(__xludf.DUMMYFUNCTION("""COMPUTED_VALUE"""),"Plane116")</f>
        <v>Plane116</v>
      </c>
      <c r="B3718" s="25" t="str">
        <f ca="1">IFERROR(__xludf.DUMMYFUNCTION("""COMPUTED_VALUE"""),"Pobreza y reactivación económica presupuesto 2023 ")</f>
        <v xml:space="preserve">Pobreza y reactivación económica presupuesto 2023 </v>
      </c>
      <c r="C3718" s="55">
        <f ca="1">IFERROR(__xludf.DUMMYFUNCTION("""COMPUTED_VALUE"""),44827)</f>
        <v>44827</v>
      </c>
      <c r="D3718" s="25" t="str">
        <f ca="1">IFERROR(__xludf.DUMMYFUNCTION("""COMPUTED_VALUE"""),"Planeación")</f>
        <v>Planeación</v>
      </c>
      <c r="E3718" s="25" t="str">
        <f ca="1">IFERROR(__xludf.DUMMYFUNCTION("""COMPUTED_VALUE"""),"Secretaría Distrital de Planeación")</f>
        <v>Secretaría Distrital de Planeación</v>
      </c>
      <c r="F3718" s="25" t="str">
        <f ca="1">IFERROR(__xludf.DUMMYFUNCTION("""COMPUTED_VALUE"""),"Estimar impactos en IPM de largo plazo en los programas.")</f>
        <v>Estimar impactos en IPM de largo plazo en los programas.</v>
      </c>
      <c r="G3718" s="25" t="str">
        <f ca="1">IFERROR(__xludf.DUMMYFUNCTION("""COMPUTED_VALUE"""),"99. Distrito")</f>
        <v>99. Distrito</v>
      </c>
      <c r="H3718" s="55">
        <f ca="1">IFERROR(__xludf.DUMMYFUNCTION("""COMPUTED_VALUE"""),44857)</f>
        <v>44857</v>
      </c>
      <c r="I3718" s="25"/>
      <c r="J3718" s="55" t="str">
        <f ca="1">IFERROR(__xludf.DUMMYFUNCTION("""COMPUTED_VALUE"""),"Alta")</f>
        <v>Alta</v>
      </c>
      <c r="K3718" s="25">
        <f ca="1">IFERROR(__xludf.DUMMYFUNCTION("""COMPUTED_VALUE"""),30)</f>
        <v>30</v>
      </c>
      <c r="L3718" s="62"/>
      <c r="M3718" s="25"/>
      <c r="N3718" s="25"/>
      <c r="O3718" s="25" t="str">
        <f t="shared" ca="1" si="0"/>
        <v>Secretaría Distrital de Planeación</v>
      </c>
      <c r="P3718" s="25" t="str">
        <f t="shared" si="2"/>
        <v/>
      </c>
      <c r="Q3718" s="25"/>
      <c r="R3718" s="25"/>
      <c r="S3718" s="55"/>
      <c r="T3718" s="56"/>
      <c r="U3718" s="25"/>
      <c r="V3718" s="25"/>
      <c r="W3718" s="25"/>
      <c r="X3718" s="25"/>
      <c r="Y3718" s="25"/>
      <c r="Z3718" s="25"/>
    </row>
    <row r="3719" spans="1:26" ht="52.5" customHeight="1" x14ac:dyDescent="0.25">
      <c r="A3719" s="25" t="str">
        <f ca="1">IFERROR(__xludf.DUMMYFUNCTION("""COMPUTED_VALUE"""),"Plane117")</f>
        <v>Plane117</v>
      </c>
      <c r="B3719" s="25" t="str">
        <f ca="1">IFERROR(__xludf.DUMMYFUNCTION("""COMPUTED_VALUE"""),"Conpes")</f>
        <v>Conpes</v>
      </c>
      <c r="C3719" s="55">
        <f ca="1">IFERROR(__xludf.DUMMYFUNCTION("""COMPUTED_VALUE"""),44867)</f>
        <v>44867</v>
      </c>
      <c r="D3719" s="25" t="str">
        <f ca="1">IFERROR(__xludf.DUMMYFUNCTION("""COMPUTED_VALUE"""),"Planeación")</f>
        <v>Planeación</v>
      </c>
      <c r="E3719" s="25" t="str">
        <f ca="1">IFERROR(__xludf.DUMMYFUNCTION("""COMPUTED_VALUE"""),"Secretaría Distrital de Planeación")</f>
        <v>Secretaría Distrital de Planeación</v>
      </c>
      <c r="F3719" s="25" t="str">
        <f ca="1">IFERROR(__xludf.DUMMYFUNCTION("""COMPUTED_VALUE"""),"Se debe realizar mediante Decreto Distrital la creación de la mesa de empleo, pobreza y hambre. ")</f>
        <v xml:space="preserve">Se debe realizar mediante Decreto Distrital la creación de la mesa de empleo, pobreza y hambre. </v>
      </c>
      <c r="G3719" s="25" t="str">
        <f ca="1">IFERROR(__xludf.DUMMYFUNCTION("""COMPUTED_VALUE"""),"99. Distrito")</f>
        <v>99. Distrito</v>
      </c>
      <c r="H3719" s="55">
        <f ca="1">IFERROR(__xludf.DUMMYFUNCTION("""COMPUTED_VALUE"""),45108)</f>
        <v>45108</v>
      </c>
      <c r="I3719" s="25" t="str">
        <f ca="1">IFERROR(__xludf.DUMMYFUNCTION("""COMPUTED_VALUE"""),"Delivery Unit")</f>
        <v>Delivery Unit</v>
      </c>
      <c r="J3719" s="55" t="str">
        <f ca="1">IFERROR(__xludf.DUMMYFUNCTION("""COMPUTED_VALUE"""),"Alta")</f>
        <v>Alta</v>
      </c>
      <c r="K3719" s="25">
        <f ca="1">IFERROR(__xludf.DUMMYFUNCTION("""COMPUTED_VALUE"""),241)</f>
        <v>241</v>
      </c>
      <c r="L3719" s="62"/>
      <c r="M3719" s="25"/>
      <c r="N3719" s="25"/>
      <c r="O3719" s="25" t="str">
        <f t="shared" ca="1" si="0"/>
        <v>Secretaría Distrital de Planeación</v>
      </c>
      <c r="P3719" s="25" t="str">
        <f t="shared" ca="1" si="2"/>
        <v/>
      </c>
      <c r="Q3719" s="25"/>
      <c r="R3719" s="25"/>
      <c r="S3719" s="55"/>
      <c r="T3719" s="56"/>
      <c r="U3719" s="25"/>
      <c r="V3719" s="25"/>
      <c r="W3719" s="25"/>
      <c r="X3719" s="25"/>
      <c r="Y3719" s="25"/>
      <c r="Z3719" s="25"/>
    </row>
    <row r="3720" spans="1:26" ht="52.5" customHeight="1" x14ac:dyDescent="0.25">
      <c r="A3720" s="25" t="str">
        <f ca="1">IFERROR(__xludf.DUMMYFUNCTION("""COMPUTED_VALUE"""),"Plane118")</f>
        <v>Plane118</v>
      </c>
      <c r="B3720" s="25"/>
      <c r="C3720" s="55"/>
      <c r="D3720" s="25" t="str">
        <f ca="1">IFERROR(__xludf.DUMMYFUNCTION("""COMPUTED_VALUE"""),"Planeación")</f>
        <v>Planeación</v>
      </c>
      <c r="E3720" s="25"/>
      <c r="F3720" s="25"/>
      <c r="G3720" s="25"/>
      <c r="H3720" s="25"/>
      <c r="I3720" s="25"/>
      <c r="J3720" s="55"/>
      <c r="K3720" s="25" t="str">
        <f ca="1">IFERROR(__xludf.DUMMYFUNCTION("""COMPUTED_VALUE"""),"Definir fecha")</f>
        <v>Definir fecha</v>
      </c>
      <c r="L3720" s="62"/>
      <c r="M3720" s="25"/>
      <c r="N3720" s="25"/>
      <c r="O3720" s="25">
        <f t="shared" si="0"/>
        <v>0</v>
      </c>
      <c r="P3720" s="25" t="str">
        <f t="shared" si="2"/>
        <v/>
      </c>
      <c r="Q3720" s="25"/>
      <c r="R3720" s="25"/>
      <c r="S3720" s="55"/>
      <c r="T3720" s="56"/>
      <c r="U3720" s="25"/>
      <c r="V3720" s="25"/>
      <c r="W3720" s="25"/>
      <c r="X3720" s="25"/>
      <c r="Y3720" s="25"/>
      <c r="Z3720" s="25"/>
    </row>
    <row r="3721" spans="1:26" ht="52.5" customHeight="1" x14ac:dyDescent="0.25">
      <c r="A3721" s="25" t="str">
        <f ca="1">IFERROR(__xludf.DUMMYFUNCTION("""COMPUTED_VALUE"""),"Plane119")</f>
        <v>Plane119</v>
      </c>
      <c r="B3721" s="25" t="str">
        <f ca="1">IFERROR(__xludf.DUMMYFUNCTION("""COMPUTED_VALUE"""),"Junta infraestructura- Proyectos regalías ")</f>
        <v xml:space="preserve">Junta infraestructura- Proyectos regalías </v>
      </c>
      <c r="C3721" s="55">
        <f ca="1">IFERROR(__xludf.DUMMYFUNCTION("""COMPUTED_VALUE"""),44902)</f>
        <v>44902</v>
      </c>
      <c r="D3721" s="25" t="str">
        <f ca="1">IFERROR(__xludf.DUMMYFUNCTION("""COMPUTED_VALUE"""),"Planeación")</f>
        <v>Planeación</v>
      </c>
      <c r="E3721" s="25" t="str">
        <f ca="1">IFERROR(__xludf.DUMMYFUNCTION("""COMPUTED_VALUE"""),"Secretaría Distrital de Planeación")</f>
        <v>Secretaría Distrital de Planeación</v>
      </c>
      <c r="F3721" s="25" t="str">
        <f ca="1">IFERROR(__xludf.DUMMYFUNCTION("""COMPUTED_VALUE"""),"El Puente tibanica y suba-cota deben ser pasados al paquete de proyectos priorizados de financiación con la región metropolitana")</f>
        <v>El Puente tibanica y suba-cota deben ser pasados al paquete de proyectos priorizados de financiación con la región metropolitana</v>
      </c>
      <c r="G3721" s="25" t="str">
        <f ca="1">IFERROR(__xludf.DUMMYFUNCTION("""COMPUTED_VALUE"""),"99. Distrito")</f>
        <v>99. Distrito</v>
      </c>
      <c r="H3721" s="55">
        <f ca="1">IFERROR(__xludf.DUMMYFUNCTION("""COMPUTED_VALUE"""),45047)</f>
        <v>45047</v>
      </c>
      <c r="I3721" s="25" t="str">
        <f ca="1">IFERROR(__xludf.DUMMYFUNCTION("""COMPUTED_VALUE"""),"Junta de Infraestructura")</f>
        <v>Junta de Infraestructura</v>
      </c>
      <c r="J3721" s="55" t="str">
        <f ca="1">IFERROR(__xludf.DUMMYFUNCTION("""COMPUTED_VALUE"""),"Media")</f>
        <v>Media</v>
      </c>
      <c r="K3721" s="25">
        <f ca="1">IFERROR(__xludf.DUMMYFUNCTION("""COMPUTED_VALUE"""),145)</f>
        <v>145</v>
      </c>
      <c r="L3721" s="62"/>
      <c r="M3721" s="25"/>
      <c r="N3721" s="25"/>
      <c r="O3721" s="25" t="str">
        <f t="shared" ca="1" si="0"/>
        <v>Secretaría Distrital de Planeación</v>
      </c>
      <c r="P3721" s="25" t="str">
        <f t="shared" ca="1" si="2"/>
        <v/>
      </c>
      <c r="Q3721" s="25"/>
      <c r="R3721" s="25"/>
      <c r="S3721" s="55"/>
      <c r="T3721" s="56"/>
      <c r="U3721" s="25"/>
      <c r="V3721" s="25"/>
      <c r="W3721" s="25"/>
      <c r="X3721" s="25"/>
      <c r="Y3721" s="25"/>
      <c r="Z3721" s="25"/>
    </row>
    <row r="3722" spans="1:26" ht="52.5" customHeight="1" x14ac:dyDescent="0.25">
      <c r="A3722" s="25" t="str">
        <f ca="1">IFERROR(__xludf.DUMMYFUNCTION("""COMPUTED_VALUE"""),"Plane120")</f>
        <v>Plane120</v>
      </c>
      <c r="B3722" s="25" t="str">
        <f ca="1">IFERROR(__xludf.DUMMYFUNCTION("""COMPUTED_VALUE"""),"Junta infraestructura- Proyectos regalías ")</f>
        <v xml:space="preserve">Junta infraestructura- Proyectos regalías </v>
      </c>
      <c r="C3722" s="55">
        <f ca="1">IFERROR(__xludf.DUMMYFUNCTION("""COMPUTED_VALUE"""),44902)</f>
        <v>44902</v>
      </c>
      <c r="D3722" s="25" t="str">
        <f ca="1">IFERROR(__xludf.DUMMYFUNCTION("""COMPUTED_VALUE"""),"Planeación")</f>
        <v>Planeación</v>
      </c>
      <c r="E3722" s="25" t="str">
        <f ca="1">IFERROR(__xludf.DUMMYFUNCTION("""COMPUTED_VALUE"""),"Secretaría Distrital de Planeación")</f>
        <v>Secretaría Distrital de Planeación</v>
      </c>
      <c r="F3722" s="25" t="str">
        <f ca="1">IFERROR(__xludf.DUMMYFUNCTION("""COMPUTED_VALUE"""),"La SDP deberá revisar si la infraestructura de las bibliotecas del CEFE Chapinero y de Fontibón están listas para dotarlas a través de recursos de regalías o buscar proyectos para financiarlas.")</f>
        <v>La SDP deberá revisar si la infraestructura de las bibliotecas del CEFE Chapinero y de Fontibón están listas para dotarlas a través de recursos de regalías o buscar proyectos para financiarlas.</v>
      </c>
      <c r="G3722" s="25" t="str">
        <f ca="1">IFERROR(__xludf.DUMMYFUNCTION("""COMPUTED_VALUE"""),"99. Distrito")</f>
        <v>99. Distrito</v>
      </c>
      <c r="H3722" s="55">
        <f ca="1">IFERROR(__xludf.DUMMYFUNCTION("""COMPUTED_VALUE"""),44986)</f>
        <v>44986</v>
      </c>
      <c r="I3722" s="25"/>
      <c r="J3722" s="55" t="str">
        <f ca="1">IFERROR(__xludf.DUMMYFUNCTION("""COMPUTED_VALUE"""),"Media")</f>
        <v>Media</v>
      </c>
      <c r="K3722" s="25">
        <f ca="1">IFERROR(__xludf.DUMMYFUNCTION("""COMPUTED_VALUE"""),84)</f>
        <v>84</v>
      </c>
      <c r="L3722" s="62"/>
      <c r="M3722" s="25"/>
      <c r="N3722" s="25"/>
      <c r="O3722" s="25" t="str">
        <f t="shared" ca="1" si="0"/>
        <v>Secretaría Distrital de Planeación</v>
      </c>
      <c r="P3722" s="25" t="str">
        <f t="shared" si="2"/>
        <v/>
      </c>
      <c r="Q3722" s="25"/>
      <c r="R3722" s="25"/>
      <c r="S3722" s="55"/>
      <c r="T3722" s="56"/>
      <c r="U3722" s="25"/>
      <c r="V3722" s="25"/>
      <c r="W3722" s="25"/>
      <c r="X3722" s="25"/>
      <c r="Y3722" s="25"/>
      <c r="Z3722" s="25"/>
    </row>
    <row r="3723" spans="1:26" ht="52.5" customHeight="1" x14ac:dyDescent="0.25">
      <c r="A3723" s="25" t="str">
        <f ca="1">IFERROR(__xludf.DUMMYFUNCTION("""COMPUTED_VALUE"""),"Plane121")</f>
        <v>Plane121</v>
      </c>
      <c r="B3723" s="25" t="str">
        <f ca="1">IFERROR(__xludf.DUMMYFUNCTION("""COMPUTED_VALUE"""),"Junta infraestructura- Proyectos regalías ")</f>
        <v xml:space="preserve">Junta infraestructura- Proyectos regalías </v>
      </c>
      <c r="C3723" s="55">
        <f ca="1">IFERROR(__xludf.DUMMYFUNCTION("""COMPUTED_VALUE"""),44902)</f>
        <v>44902</v>
      </c>
      <c r="D3723" s="25" t="str">
        <f ca="1">IFERROR(__xludf.DUMMYFUNCTION("""COMPUTED_VALUE"""),"Planeación")</f>
        <v>Planeación</v>
      </c>
      <c r="E3723" s="25" t="str">
        <f ca="1">IFERROR(__xludf.DUMMYFUNCTION("""COMPUTED_VALUE"""),"Secretaría Distrital de Planeación")</f>
        <v>Secretaría Distrital de Planeación</v>
      </c>
      <c r="F3723" s="25" t="str">
        <f ca="1">IFERROR(__xludf.DUMMYFUNCTION("""COMPUTED_VALUE"""),"Se debe revisar si es posible financiar por medio de OCAD Regional la planta de compostaje de la UAESP")</f>
        <v>Se debe revisar si es posible financiar por medio de OCAD Regional la planta de compostaje de la UAESP</v>
      </c>
      <c r="G3723" s="25" t="str">
        <f ca="1">IFERROR(__xludf.DUMMYFUNCTION("""COMPUTED_VALUE"""),"99. Distrito")</f>
        <v>99. Distrito</v>
      </c>
      <c r="H3723" s="55">
        <f ca="1">IFERROR(__xludf.DUMMYFUNCTION("""COMPUTED_VALUE"""),44986)</f>
        <v>44986</v>
      </c>
      <c r="I3723" s="25"/>
      <c r="J3723" s="55" t="str">
        <f ca="1">IFERROR(__xludf.DUMMYFUNCTION("""COMPUTED_VALUE"""),"Media")</f>
        <v>Media</v>
      </c>
      <c r="K3723" s="25">
        <f ca="1">IFERROR(__xludf.DUMMYFUNCTION("""COMPUTED_VALUE"""),84)</f>
        <v>84</v>
      </c>
      <c r="L3723" s="62"/>
      <c r="M3723" s="25"/>
      <c r="N3723" s="25"/>
      <c r="O3723" s="25" t="str">
        <f t="shared" ca="1" si="0"/>
        <v>Secretaría Distrital de Planeación</v>
      </c>
      <c r="P3723" s="25" t="str">
        <f t="shared" si="2"/>
        <v/>
      </c>
      <c r="Q3723" s="25"/>
      <c r="R3723" s="25"/>
      <c r="S3723" s="55"/>
      <c r="T3723" s="56"/>
      <c r="U3723" s="25"/>
      <c r="V3723" s="25"/>
      <c r="W3723" s="25"/>
      <c r="X3723" s="25"/>
      <c r="Y3723" s="25"/>
      <c r="Z3723" s="25"/>
    </row>
    <row r="3724" spans="1:26" ht="52.5" customHeight="1" x14ac:dyDescent="0.25">
      <c r="A3724" s="25" t="str">
        <f ca="1">IFERROR(__xludf.DUMMYFUNCTION("""COMPUTED_VALUE"""),"Plane122")</f>
        <v>Plane122</v>
      </c>
      <c r="B3724" s="25" t="str">
        <f ca="1">IFERROR(__xludf.DUMMYFUNCTION("""COMPUTED_VALUE"""),"Reglamentación POT + AE reencuentro")</f>
        <v>Reglamentación POT + AE reencuentro</v>
      </c>
      <c r="C3724" s="55">
        <f ca="1">IFERROR(__xludf.DUMMYFUNCTION("""COMPUTED_VALUE"""),44942)</f>
        <v>44942</v>
      </c>
      <c r="D3724" s="25" t="str">
        <f ca="1">IFERROR(__xludf.DUMMYFUNCTION("""COMPUTED_VALUE"""),"Planeación")</f>
        <v>Planeación</v>
      </c>
      <c r="E3724" s="25" t="str">
        <f ca="1">IFERROR(__xludf.DUMMYFUNCTION("""COMPUTED_VALUE"""),"Secretaría Distrital de Planeación")</f>
        <v>Secretaría Distrital de Planeación</v>
      </c>
      <c r="F3724" s="25" t="str">
        <f ca="1">IFERROR(__xludf.DUMMYFUNCTION("""COMPUTED_VALUE"""),"Viabilizar y adoptar en el primer semestre el PP Calle 24")</f>
        <v>Viabilizar y adoptar en el primer semestre el PP Calle 24</v>
      </c>
      <c r="G3724" s="25" t="str">
        <f ca="1">IFERROR(__xludf.DUMMYFUNCTION("""COMPUTED_VALUE"""),"99. Distrito")</f>
        <v>99. Distrito</v>
      </c>
      <c r="H3724" s="55">
        <f ca="1">IFERROR(__xludf.DUMMYFUNCTION("""COMPUTED_VALUE"""),45108)</f>
        <v>45108</v>
      </c>
      <c r="I3724" s="25" t="str">
        <f ca="1">IFERROR(__xludf.DUMMYFUNCTION("""COMPUTED_VALUE"""),"Junta de Infraestructura")</f>
        <v>Junta de Infraestructura</v>
      </c>
      <c r="J3724" s="55" t="str">
        <f ca="1">IFERROR(__xludf.DUMMYFUNCTION("""COMPUTED_VALUE"""),"Media")</f>
        <v>Media</v>
      </c>
      <c r="K3724" s="25">
        <f ca="1">IFERROR(__xludf.DUMMYFUNCTION("""COMPUTED_VALUE"""),166)</f>
        <v>166</v>
      </c>
      <c r="L3724" s="62"/>
      <c r="M3724" s="25"/>
      <c r="N3724" s="25"/>
      <c r="O3724" s="25" t="str">
        <f t="shared" ca="1" si="0"/>
        <v>Secretaría Distrital de Planeación</v>
      </c>
      <c r="P3724" s="25" t="str">
        <f t="shared" ca="1" si="2"/>
        <v/>
      </c>
      <c r="Q3724" s="25"/>
      <c r="R3724" s="25"/>
      <c r="S3724" s="55"/>
      <c r="T3724" s="56"/>
      <c r="U3724" s="25"/>
      <c r="V3724" s="25"/>
      <c r="W3724" s="25"/>
      <c r="X3724" s="25"/>
      <c r="Y3724" s="25"/>
      <c r="Z3724" s="25"/>
    </row>
    <row r="3725" spans="1:26" ht="52.5" customHeight="1" x14ac:dyDescent="0.25">
      <c r="A3725" s="25" t="str">
        <f ca="1">IFERROR(__xludf.DUMMYFUNCTION("""COMPUTED_VALUE"""),"Plane123")</f>
        <v>Plane123</v>
      </c>
      <c r="B3725" s="25" t="str">
        <f ca="1">IFERROR(__xludf.DUMMYFUNCTION("""COMPUTED_VALUE"""),"CONPES")</f>
        <v>CONPES</v>
      </c>
      <c r="C3725" s="55">
        <f ca="1">IFERROR(__xludf.DUMMYFUNCTION("""COMPUTED_VALUE"""),44943)</f>
        <v>44943</v>
      </c>
      <c r="D3725" s="25" t="str">
        <f ca="1">IFERROR(__xludf.DUMMYFUNCTION("""COMPUTED_VALUE"""),"Planeación")</f>
        <v>Planeación</v>
      </c>
      <c r="E3725" s="25" t="str">
        <f ca="1">IFERROR(__xludf.DUMMYFUNCTION("""COMPUTED_VALUE"""),"Secretaría Distrital de Planeación")</f>
        <v>Secretaría Distrital de Planeación</v>
      </c>
      <c r="F3725" s="25" t="str">
        <f ca="1">IFERROR(__xludf.DUMMYFUNCTION("""COMPUTED_VALUE"""),"Realizar una priorización de las políticas públicas a adoptar en 2023")</f>
        <v>Realizar una priorización de las políticas públicas a adoptar en 2023</v>
      </c>
      <c r="G3725" s="25" t="str">
        <f ca="1">IFERROR(__xludf.DUMMYFUNCTION("""COMPUTED_VALUE"""),"99. Distrito")</f>
        <v>99. Distrito</v>
      </c>
      <c r="H3725" s="55">
        <f ca="1">IFERROR(__xludf.DUMMYFUNCTION("""COMPUTED_VALUE"""),44972)</f>
        <v>44972</v>
      </c>
      <c r="I3725" s="25" t="str">
        <f ca="1">IFERROR(__xludf.DUMMYFUNCTION("""COMPUTED_VALUE"""),"Delivery Unit")</f>
        <v>Delivery Unit</v>
      </c>
      <c r="J3725" s="55" t="str">
        <f ca="1">IFERROR(__xludf.DUMMYFUNCTION("""COMPUTED_VALUE"""),"Alta")</f>
        <v>Alta</v>
      </c>
      <c r="K3725" s="25">
        <f ca="1">IFERROR(__xludf.DUMMYFUNCTION("""COMPUTED_VALUE"""),29)</f>
        <v>29</v>
      </c>
      <c r="L3725" s="62"/>
      <c r="M3725" s="25"/>
      <c r="N3725" s="25"/>
      <c r="O3725" s="25" t="str">
        <f t="shared" ca="1" si="0"/>
        <v>Secretaría Distrital de Planeación</v>
      </c>
      <c r="P3725" s="25" t="str">
        <f t="shared" ca="1" si="2"/>
        <v/>
      </c>
      <c r="Q3725" s="25"/>
      <c r="R3725" s="25"/>
      <c r="S3725" s="55"/>
      <c r="T3725" s="56"/>
      <c r="U3725" s="25"/>
      <c r="V3725" s="25"/>
      <c r="W3725" s="25"/>
      <c r="X3725" s="25"/>
      <c r="Y3725" s="25"/>
      <c r="Z3725" s="25"/>
    </row>
    <row r="3726" spans="1:26" ht="52.5" customHeight="1" x14ac:dyDescent="0.25">
      <c r="A3726" s="25" t="str">
        <f ca="1">IFERROR(__xludf.DUMMYFUNCTION("""COMPUTED_VALUE"""),"Plane124")</f>
        <v>Plane124</v>
      </c>
      <c r="B3726" s="25" t="str">
        <f ca="1">IFERROR(__xludf.DUMMYFUNCTION("""COMPUTED_VALUE"""),"Consejo de Gobierno")</f>
        <v>Consejo de Gobierno</v>
      </c>
      <c r="C3726" s="55">
        <f ca="1">IFERROR(__xludf.DUMMYFUNCTION("""COMPUTED_VALUE"""),44956)</f>
        <v>44956</v>
      </c>
      <c r="D3726" s="25" t="str">
        <f ca="1">IFERROR(__xludf.DUMMYFUNCTION("""COMPUTED_VALUE"""),"Planeación")</f>
        <v>Planeación</v>
      </c>
      <c r="E3726" s="25" t="str">
        <f ca="1">IFERROR(__xludf.DUMMYFUNCTION("""COMPUTED_VALUE"""),"Secretaría Distrital de Planeación")</f>
        <v>Secretaría Distrital de Planeación</v>
      </c>
      <c r="F3726" s="25" t="str">
        <f ca="1">IFERROR(__xludf.DUMMYFUNCTION("""COMPUTED_VALUE"""),"Realizar una mega marcha LGBTI en 2023")</f>
        <v>Realizar una mega marcha LGBTI en 2023</v>
      </c>
      <c r="G3726" s="25" t="str">
        <f ca="1">IFERROR(__xludf.DUMMYFUNCTION("""COMPUTED_VALUE"""),"99. Distrito")</f>
        <v>99. Distrito</v>
      </c>
      <c r="H3726" s="55">
        <f ca="1">IFERROR(__xludf.DUMMYFUNCTION("""COMPUTED_VALUE"""),45092)</f>
        <v>45092</v>
      </c>
      <c r="I3726" s="25" t="str">
        <f ca="1">IFERROR(__xludf.DUMMYFUNCTION("""COMPUTED_VALUE"""),"Delivery Unit")</f>
        <v>Delivery Unit</v>
      </c>
      <c r="J3726" s="55" t="str">
        <f ca="1">IFERROR(__xludf.DUMMYFUNCTION("""COMPUTED_VALUE"""),"Alta")</f>
        <v>Alta</v>
      </c>
      <c r="K3726" s="25">
        <f ca="1">IFERROR(__xludf.DUMMYFUNCTION("""COMPUTED_VALUE"""),136)</f>
        <v>136</v>
      </c>
      <c r="L3726" s="62"/>
      <c r="M3726" s="25"/>
      <c r="N3726" s="25"/>
      <c r="O3726" s="25" t="str">
        <f t="shared" ca="1" si="0"/>
        <v>Secretaría Distrital de Planeación</v>
      </c>
      <c r="P3726" s="25" t="str">
        <f t="shared" ca="1" si="2"/>
        <v/>
      </c>
      <c r="Q3726" s="25"/>
      <c r="R3726" s="25"/>
      <c r="S3726" s="55"/>
      <c r="T3726" s="56"/>
      <c r="U3726" s="25"/>
      <c r="V3726" s="25"/>
      <c r="W3726" s="25"/>
      <c r="X3726" s="25"/>
      <c r="Y3726" s="25"/>
      <c r="Z3726" s="25"/>
    </row>
    <row r="3727" spans="1:26" ht="52.5" customHeight="1" x14ac:dyDescent="0.25">
      <c r="A3727" s="25" t="str">
        <f ca="1">IFERROR(__xludf.DUMMYFUNCTION("""COMPUTED_VALUE"""),"Plane125")</f>
        <v>Plane125</v>
      </c>
      <c r="B3727" s="25" t="str">
        <f ca="1">IFERROR(__xludf.DUMMYFUNCTION("""COMPUTED_VALUE"""),"Consejo de Gobierno")</f>
        <v>Consejo de Gobierno</v>
      </c>
      <c r="C3727" s="55">
        <f ca="1">IFERROR(__xludf.DUMMYFUNCTION("""COMPUTED_VALUE"""),44956)</f>
        <v>44956</v>
      </c>
      <c r="D3727" s="25" t="str">
        <f ca="1">IFERROR(__xludf.DUMMYFUNCTION("""COMPUTED_VALUE"""),"Planeación")</f>
        <v>Planeación</v>
      </c>
      <c r="E3727" s="25" t="str">
        <f ca="1">IFERROR(__xludf.DUMMYFUNCTION("""COMPUTED_VALUE"""),"Secretaría Distrital de Planeación")</f>
        <v>Secretaría Distrital de Planeación</v>
      </c>
      <c r="F3727" s="25" t="str">
        <f ca="1">IFERROR(__xludf.DUMMYFUNCTION("""COMPUTED_VALUE"""),"Realizar un libro o una publicación sobre lo que se hizo en la administración en: Región Metropolitana, POT y la reforma al estatuto de Bogotá, así como lo qu se hizo sobre la Bogotá Local de las UPL.")</f>
        <v>Realizar un libro o una publicación sobre lo que se hizo en la administración en: Región Metropolitana, POT y la reforma al estatuto de Bogotá, así como lo qu se hizo sobre la Bogotá Local de las UPL.</v>
      </c>
      <c r="G3727" s="25" t="str">
        <f ca="1">IFERROR(__xludf.DUMMYFUNCTION("""COMPUTED_VALUE"""),"99. Distrito")</f>
        <v>99. Distrito</v>
      </c>
      <c r="H3727" s="55">
        <f ca="1">IFERROR(__xludf.DUMMYFUNCTION("""COMPUTED_VALUE"""),45184)</f>
        <v>45184</v>
      </c>
      <c r="I3727" s="25" t="str">
        <f ca="1">IFERROR(__xludf.DUMMYFUNCTION("""COMPUTED_VALUE"""),"Junta de Infraestructura")</f>
        <v>Junta de Infraestructura</v>
      </c>
      <c r="J3727" s="55" t="str">
        <f ca="1">IFERROR(__xludf.DUMMYFUNCTION("""COMPUTED_VALUE"""),"Baja")</f>
        <v>Baja</v>
      </c>
      <c r="K3727" s="25">
        <f ca="1">IFERROR(__xludf.DUMMYFUNCTION("""COMPUTED_VALUE"""),228)</f>
        <v>228</v>
      </c>
      <c r="L3727" s="62"/>
      <c r="M3727" s="25"/>
      <c r="N3727" s="25"/>
      <c r="O3727" s="25" t="str">
        <f t="shared" ca="1" si="0"/>
        <v>Secretaría Distrital de Planeación</v>
      </c>
      <c r="P3727" s="25" t="str">
        <f t="shared" ca="1" si="2"/>
        <v/>
      </c>
      <c r="Q3727" s="25"/>
      <c r="R3727" s="25"/>
      <c r="S3727" s="55"/>
      <c r="T3727" s="56"/>
      <c r="U3727" s="25"/>
      <c r="V3727" s="25"/>
      <c r="W3727" s="25"/>
      <c r="X3727" s="25"/>
      <c r="Y3727" s="25"/>
      <c r="Z3727" s="25"/>
    </row>
    <row r="3728" spans="1:26" ht="52.5" customHeight="1" x14ac:dyDescent="0.25">
      <c r="A3728" s="25" t="str">
        <f ca="1">IFERROR(__xludf.DUMMYFUNCTION("""COMPUTED_VALUE"""),"Plane126")</f>
        <v>Plane126</v>
      </c>
      <c r="B3728" s="25"/>
      <c r="C3728" s="55"/>
      <c r="D3728" s="25" t="str">
        <f ca="1">IFERROR(__xludf.DUMMYFUNCTION("""COMPUTED_VALUE"""),"Planeación")</f>
        <v>Planeación</v>
      </c>
      <c r="E3728" s="25" t="str">
        <f ca="1">IFERROR(__xludf.DUMMYFUNCTION("""COMPUTED_VALUE"""),"Secretaría Distrital de Planeación")</f>
        <v>Secretaría Distrital de Planeación</v>
      </c>
      <c r="F3728" s="25" t="str">
        <f ca="1">IFERROR(__xludf.DUMMYFUNCTION("""COMPUTED_VALUE"""),"Eliminada")</f>
        <v>Eliminada</v>
      </c>
      <c r="G3728" s="25"/>
      <c r="H3728" s="25"/>
      <c r="I3728" s="25"/>
      <c r="J3728" s="55"/>
      <c r="K3728" s="25" t="str">
        <f ca="1">IFERROR(__xludf.DUMMYFUNCTION("""COMPUTED_VALUE"""),"Definir fecha")</f>
        <v>Definir fecha</v>
      </c>
      <c r="L3728" s="62"/>
      <c r="M3728" s="25"/>
      <c r="N3728" s="25"/>
      <c r="O3728" s="25" t="str">
        <f t="shared" ca="1" si="0"/>
        <v>Secretaría Distrital de Planeación</v>
      </c>
      <c r="P3728" s="25" t="str">
        <f t="shared" si="2"/>
        <v/>
      </c>
      <c r="Q3728" s="25"/>
      <c r="R3728" s="25"/>
      <c r="S3728" s="55"/>
      <c r="T3728" s="56"/>
      <c r="U3728" s="25"/>
      <c r="V3728" s="25"/>
      <c r="W3728" s="25"/>
      <c r="X3728" s="25"/>
      <c r="Y3728" s="25"/>
      <c r="Z3728" s="25"/>
    </row>
    <row r="3729" spans="1:26" ht="52.5" customHeight="1" x14ac:dyDescent="0.25">
      <c r="A3729" s="25" t="str">
        <f ca="1">IFERROR(__xludf.DUMMYFUNCTION("""COMPUTED_VALUE"""),"Plane127")</f>
        <v>Plane127</v>
      </c>
      <c r="B3729" s="25" t="str">
        <f ca="1">IFERROR(__xludf.DUMMYFUNCTION("""COMPUTED_VALUE"""),"Consejo de Gobierno")</f>
        <v>Consejo de Gobierno</v>
      </c>
      <c r="C3729" s="55">
        <f ca="1">IFERROR(__xludf.DUMMYFUNCTION("""COMPUTED_VALUE"""),44956)</f>
        <v>44956</v>
      </c>
      <c r="D3729" s="25" t="str">
        <f ca="1">IFERROR(__xludf.DUMMYFUNCTION("""COMPUTED_VALUE"""),"Planeación")</f>
        <v>Planeación</v>
      </c>
      <c r="E3729" s="25" t="str">
        <f ca="1">IFERROR(__xludf.DUMMYFUNCTION("""COMPUTED_VALUE"""),"Secretaría Distrital de Planeación")</f>
        <v>Secretaría Distrital de Planeación</v>
      </c>
      <c r="F3729" s="25" t="str">
        <f ca="1">IFERROR(__xludf.DUMMYFUNCTION("""COMPUTED_VALUE"""),"Realizar un libro o una publicación sobre lo que se hizo en la administración sobre el atlas de Bogotá con los mapas del nuevo POT")</f>
        <v>Realizar un libro o una publicación sobre lo que se hizo en la administración sobre el atlas de Bogotá con los mapas del nuevo POT</v>
      </c>
      <c r="G3729" s="25" t="str">
        <f ca="1">IFERROR(__xludf.DUMMYFUNCTION("""COMPUTED_VALUE"""),"99. Distrito")</f>
        <v>99. Distrito</v>
      </c>
      <c r="H3729" s="55">
        <f ca="1">IFERROR(__xludf.DUMMYFUNCTION("""COMPUTED_VALUE"""),45184)</f>
        <v>45184</v>
      </c>
      <c r="I3729" s="25" t="str">
        <f ca="1">IFERROR(__xludf.DUMMYFUNCTION("""COMPUTED_VALUE"""),"Junta de Infraestructura")</f>
        <v>Junta de Infraestructura</v>
      </c>
      <c r="J3729" s="55" t="str">
        <f ca="1">IFERROR(__xludf.DUMMYFUNCTION("""COMPUTED_VALUE"""),"Baja")</f>
        <v>Baja</v>
      </c>
      <c r="K3729" s="25">
        <f ca="1">IFERROR(__xludf.DUMMYFUNCTION("""COMPUTED_VALUE"""),228)</f>
        <v>228</v>
      </c>
      <c r="L3729" s="62"/>
      <c r="M3729" s="25"/>
      <c r="N3729" s="25"/>
      <c r="O3729" s="25" t="str">
        <f t="shared" ca="1" si="0"/>
        <v>Secretaría Distrital de Planeación</v>
      </c>
      <c r="P3729" s="25" t="str">
        <f t="shared" ca="1" si="2"/>
        <v/>
      </c>
      <c r="Q3729" s="25"/>
      <c r="R3729" s="25"/>
      <c r="S3729" s="55"/>
      <c r="T3729" s="56"/>
      <c r="U3729" s="25"/>
      <c r="V3729" s="25"/>
      <c r="W3729" s="25"/>
      <c r="X3729" s="25"/>
      <c r="Y3729" s="25"/>
      <c r="Z3729" s="25"/>
    </row>
    <row r="3730" spans="1:26" ht="52.5" customHeight="1" x14ac:dyDescent="0.25">
      <c r="A3730" s="25" t="str">
        <f ca="1">IFERROR(__xludf.DUMMYFUNCTION("""COMPUTED_VALUE"""),"Plane128")</f>
        <v>Plane128</v>
      </c>
      <c r="B3730" s="25" t="str">
        <f ca="1">IFERROR(__xludf.DUMMYFUNCTION("""COMPUTED_VALUE"""),"Presentación resultados de pobreza")</f>
        <v>Presentación resultados de pobreza</v>
      </c>
      <c r="C3730" s="55">
        <f ca="1">IFERROR(__xludf.DUMMYFUNCTION("""COMPUTED_VALUE"""),44707)</f>
        <v>44707</v>
      </c>
      <c r="D3730" s="25" t="str">
        <f ca="1">IFERROR(__xludf.DUMMYFUNCTION("""COMPUTED_VALUE"""),"Planeación")</f>
        <v>Planeación</v>
      </c>
      <c r="E3730" s="25" t="str">
        <f ca="1">IFERROR(__xludf.DUMMYFUNCTION("""COMPUTED_VALUE"""),"Secretaría Distrital de Planeación")</f>
        <v>Secretaría Distrital de Planeación</v>
      </c>
      <c r="F3730" s="25" t="str">
        <f ca="1">IFERROR(__xludf.DUMMYFUNCTION("""COMPUTED_VALUE"""),"Confirmar con el Ministerio de Hacienda la cobertura y monto de Familias en Acción")</f>
        <v>Confirmar con el Ministerio de Hacienda la cobertura y monto de Familias en Acción</v>
      </c>
      <c r="G3730" s="25" t="str">
        <f ca="1">IFERROR(__xludf.DUMMYFUNCTION("""COMPUTED_VALUE"""),"99. Distrito")</f>
        <v>99. Distrito</v>
      </c>
      <c r="H3730" s="55">
        <f ca="1">IFERROR(__xludf.DUMMYFUNCTION("""COMPUTED_VALUE"""),44910)</f>
        <v>44910</v>
      </c>
      <c r="I3730" s="25"/>
      <c r="J3730" s="55" t="str">
        <f ca="1">IFERROR(__xludf.DUMMYFUNCTION("""COMPUTED_VALUE"""),"Baja")</f>
        <v>Baja</v>
      </c>
      <c r="K3730" s="25">
        <f ca="1">IFERROR(__xludf.DUMMYFUNCTION("""COMPUTED_VALUE"""),203)</f>
        <v>203</v>
      </c>
      <c r="L3730" s="62"/>
      <c r="M3730" s="25"/>
      <c r="N3730" s="25"/>
      <c r="O3730" s="25" t="str">
        <f t="shared" ca="1" si="0"/>
        <v>Secretaría Distrital de Planeación</v>
      </c>
      <c r="P3730" s="25" t="str">
        <f t="shared" si="2"/>
        <v/>
      </c>
      <c r="Q3730" s="25"/>
      <c r="R3730" s="25"/>
      <c r="S3730" s="55"/>
      <c r="T3730" s="56"/>
      <c r="U3730" s="25"/>
      <c r="V3730" s="25"/>
      <c r="W3730" s="25"/>
      <c r="X3730" s="25"/>
      <c r="Y3730" s="25"/>
      <c r="Z3730" s="25"/>
    </row>
    <row r="3731" spans="1:26" ht="52.5" customHeight="1" x14ac:dyDescent="0.25">
      <c r="A3731" s="25" t="str">
        <f ca="1">IFERROR(__xludf.DUMMYFUNCTION("""COMPUTED_VALUE"""),"Plane129")</f>
        <v>Plane129</v>
      </c>
      <c r="B3731" s="25" t="str">
        <f ca="1">IFERROR(__xludf.DUMMYFUNCTION("""COMPUTED_VALUE"""),"Recorrido Puente Aranda")</f>
        <v>Recorrido Puente Aranda</v>
      </c>
      <c r="C3731" s="55">
        <f ca="1">IFERROR(__xludf.DUMMYFUNCTION("""COMPUTED_VALUE"""),44971)</f>
        <v>44971</v>
      </c>
      <c r="D3731" s="25" t="str">
        <f ca="1">IFERROR(__xludf.DUMMYFUNCTION("""COMPUTED_VALUE"""),"Planeación")</f>
        <v>Planeación</v>
      </c>
      <c r="E3731" s="25" t="str">
        <f ca="1">IFERROR(__xludf.DUMMYFUNCTION("""COMPUTED_VALUE"""),"Secretaría Distrital de Planeación")</f>
        <v>Secretaría Distrital de Planeación</v>
      </c>
      <c r="F3731" s="25" t="str">
        <f ca="1">IFERROR(__xludf.DUMMYFUNCTION("""COMPUTED_VALUE"""),"la edilesa Gloria Hernández debe solicitar a la SDP revisar la urbanización reciente que incrementó la población del barrio “Primavera” y sus impactos en movilidad, seguridad, espacios públicos y servicios públicos.")</f>
        <v>la edilesa Gloria Hernández debe solicitar a la SDP revisar la urbanización reciente que incrementó la población del barrio “Primavera” y sus impactos en movilidad, seguridad, espacios públicos y servicios públicos.</v>
      </c>
      <c r="G3731" s="25" t="str">
        <f ca="1">IFERROR(__xludf.DUMMYFUNCTION("""COMPUTED_VALUE"""),"16. Puente Aranda")</f>
        <v>16. Puente Aranda</v>
      </c>
      <c r="H3731" s="55">
        <f ca="1">IFERROR(__xludf.DUMMYFUNCTION("""COMPUTED_VALUE"""),45077)</f>
        <v>45077</v>
      </c>
      <c r="I3731" s="25" t="str">
        <f ca="1">IFERROR(__xludf.DUMMYFUNCTION("""COMPUTED_VALUE"""),"Secretaría Privada")</f>
        <v>Secretaría Privada</v>
      </c>
      <c r="J3731" s="55" t="str">
        <f ca="1">IFERROR(__xludf.DUMMYFUNCTION("""COMPUTED_VALUE"""),"Media")</f>
        <v>Media</v>
      </c>
      <c r="K3731" s="25">
        <f ca="1">IFERROR(__xludf.DUMMYFUNCTION("""COMPUTED_VALUE"""),106)</f>
        <v>106</v>
      </c>
      <c r="L3731" s="62"/>
      <c r="M3731" s="25"/>
      <c r="N3731" s="25"/>
      <c r="O3731" s="25" t="str">
        <f t="shared" ca="1" si="0"/>
        <v>Secretaría Distrital de Planeación</v>
      </c>
      <c r="P3731" s="25" t="str">
        <f t="shared" ca="1" si="2"/>
        <v/>
      </c>
      <c r="Q3731" s="25"/>
      <c r="R3731" s="25"/>
      <c r="S3731" s="55"/>
      <c r="T3731" s="56"/>
      <c r="U3731" s="25"/>
      <c r="V3731" s="25"/>
      <c r="W3731" s="25"/>
      <c r="X3731" s="25"/>
      <c r="Y3731" s="25"/>
      <c r="Z3731" s="25"/>
    </row>
    <row r="3732" spans="1:26" ht="52.5" customHeight="1" x14ac:dyDescent="0.25">
      <c r="A3732" s="25" t="str">
        <f ca="1">IFERROR(__xludf.DUMMYFUNCTION("""COMPUTED_VALUE"""),"Plane130")</f>
        <v>Plane130</v>
      </c>
      <c r="B3732" s="25" t="str">
        <f ca="1">IFERROR(__xludf.DUMMYFUNCTION("""COMPUTED_VALUE"""),"Recorrido Puente Aranda")</f>
        <v>Recorrido Puente Aranda</v>
      </c>
      <c r="C3732" s="55">
        <f ca="1">IFERROR(__xludf.DUMMYFUNCTION("""COMPUTED_VALUE"""),44971)</f>
        <v>44971</v>
      </c>
      <c r="D3732" s="25" t="str">
        <f ca="1">IFERROR(__xludf.DUMMYFUNCTION("""COMPUTED_VALUE"""),"Planeación")</f>
        <v>Planeación</v>
      </c>
      <c r="E3732" s="25" t="str">
        <f ca="1">IFERROR(__xludf.DUMMYFUNCTION("""COMPUTED_VALUE"""),"Secretaría Distrital de Planeación")</f>
        <v>Secretaría Distrital de Planeación</v>
      </c>
      <c r="F3732" s="25" t="str">
        <f ca="1">IFERROR(__xludf.DUMMYFUNCTION("""COMPUTED_VALUE"""),"Revisar áreas de cesión de las obras del barrio “Primavera” para la posible construcción de un jardín infantil.")</f>
        <v>Revisar áreas de cesión de las obras del barrio “Primavera” para la posible construcción de un jardín infantil.</v>
      </c>
      <c r="G3732" s="25" t="str">
        <f ca="1">IFERROR(__xludf.DUMMYFUNCTION("""COMPUTED_VALUE"""),"16. Puente Aranda")</f>
        <v>16. Puente Aranda</v>
      </c>
      <c r="H3732" s="55">
        <f ca="1">IFERROR(__xludf.DUMMYFUNCTION("""COMPUTED_VALUE"""),45049)</f>
        <v>45049</v>
      </c>
      <c r="I3732" s="25" t="str">
        <f ca="1">IFERROR(__xludf.DUMMYFUNCTION("""COMPUTED_VALUE"""),"Secretaría Privada")</f>
        <v>Secretaría Privada</v>
      </c>
      <c r="J3732" s="55" t="str">
        <f ca="1">IFERROR(__xludf.DUMMYFUNCTION("""COMPUTED_VALUE"""),"Media")</f>
        <v>Media</v>
      </c>
      <c r="K3732" s="25">
        <f ca="1">IFERROR(__xludf.DUMMYFUNCTION("""COMPUTED_VALUE"""),78)</f>
        <v>78</v>
      </c>
      <c r="L3732" s="62"/>
      <c r="M3732" s="25"/>
      <c r="N3732" s="25"/>
      <c r="O3732" s="25" t="str">
        <f t="shared" ca="1" si="0"/>
        <v>Secretaría Distrital de Planeación</v>
      </c>
      <c r="P3732" s="25" t="str">
        <f t="shared" ca="1" si="2"/>
        <v/>
      </c>
      <c r="Q3732" s="25"/>
      <c r="R3732" s="25"/>
      <c r="S3732" s="55"/>
      <c r="T3732" s="56"/>
      <c r="U3732" s="25"/>
      <c r="V3732" s="25"/>
      <c r="W3732" s="25"/>
      <c r="X3732" s="25"/>
      <c r="Y3732" s="25"/>
      <c r="Z3732" s="25"/>
    </row>
    <row r="3733" spans="1:26" ht="52.5" customHeight="1" x14ac:dyDescent="0.25">
      <c r="A3733" s="25" t="str">
        <f ca="1">IFERROR(__xludf.DUMMYFUNCTION("""COMPUTED_VALUE"""),"Plane131")</f>
        <v>Plane131</v>
      </c>
      <c r="B3733" s="25" t="str">
        <f ca="1">IFERROR(__xludf.DUMMYFUNCTION("""COMPUTED_VALUE"""),"Seguimiento avances región metropolitana")</f>
        <v>Seguimiento avances región metropolitana</v>
      </c>
      <c r="C3733" s="55">
        <f ca="1">IFERROR(__xludf.DUMMYFUNCTION("""COMPUTED_VALUE"""),44980)</f>
        <v>44980</v>
      </c>
      <c r="D3733" s="25" t="str">
        <f ca="1">IFERROR(__xludf.DUMMYFUNCTION("""COMPUTED_VALUE"""),"Planeación")</f>
        <v>Planeación</v>
      </c>
      <c r="E3733" s="25" t="str">
        <f ca="1">IFERROR(__xludf.DUMMYFUNCTION("""COMPUTED_VALUE"""),"Secretaría Distrital de Planeación")</f>
        <v>Secretaría Distrital de Planeación</v>
      </c>
      <c r="F3733" s="25" t="str">
        <f ca="1">IFERROR(__xludf.DUMMYFUNCTION("""COMPUTED_VALUE"""),"Ruta Cota: Con el objetivo de operar el zonal de Suba, es necesario coordinar con el empresario la ubicación del patio para la operación conjunta del SITP Suba - Cota. Presentar la propuesta de manera integral.")</f>
        <v>Ruta Cota: Con el objetivo de operar el zonal de Suba, es necesario coordinar con el empresario la ubicación del patio para la operación conjunta del SITP Suba - Cota. Presentar la propuesta de manera integral.</v>
      </c>
      <c r="G3733" s="25" t="str">
        <f ca="1">IFERROR(__xludf.DUMMYFUNCTION("""COMPUTED_VALUE"""),"99. Distrito")</f>
        <v>99. Distrito</v>
      </c>
      <c r="H3733" s="55">
        <f ca="1">IFERROR(__xludf.DUMMYFUNCTION("""COMPUTED_VALUE"""),45167)</f>
        <v>45167</v>
      </c>
      <c r="I3733" s="25" t="str">
        <f ca="1">IFERROR(__xludf.DUMMYFUNCTION("""COMPUTED_VALUE"""),"Junta de Infraestructura")</f>
        <v>Junta de Infraestructura</v>
      </c>
      <c r="J3733" s="55" t="str">
        <f ca="1">IFERROR(__xludf.DUMMYFUNCTION("""COMPUTED_VALUE"""),"Baja")</f>
        <v>Baja</v>
      </c>
      <c r="K3733" s="25">
        <f ca="1">IFERROR(__xludf.DUMMYFUNCTION("""COMPUTED_VALUE"""),187)</f>
        <v>187</v>
      </c>
      <c r="L3733" s="62"/>
      <c r="M3733" s="25"/>
      <c r="N3733" s="25"/>
      <c r="O3733" s="25" t="str">
        <f t="shared" ca="1" si="0"/>
        <v>Secretaría Distrital de Planeación</v>
      </c>
      <c r="P3733" s="25" t="str">
        <f t="shared" ca="1" si="2"/>
        <v/>
      </c>
      <c r="Q3733" s="25"/>
      <c r="R3733" s="25"/>
      <c r="S3733" s="55"/>
      <c r="T3733" s="56"/>
      <c r="U3733" s="25"/>
      <c r="V3733" s="25"/>
      <c r="W3733" s="25"/>
      <c r="X3733" s="25"/>
      <c r="Y3733" s="25"/>
      <c r="Z3733" s="25"/>
    </row>
    <row r="3734" spans="1:26" ht="52.5" customHeight="1" x14ac:dyDescent="0.25">
      <c r="A3734" s="25" t="str">
        <f ca="1">IFERROR(__xludf.DUMMYFUNCTION("""COMPUTED_VALUE"""),"Plane132")</f>
        <v>Plane132</v>
      </c>
      <c r="B3734" s="25"/>
      <c r="C3734" s="55"/>
      <c r="D3734" s="25" t="str">
        <f ca="1">IFERROR(__xludf.DUMMYFUNCTION("""COMPUTED_VALUE"""),"Planeación")</f>
        <v>Planeación</v>
      </c>
      <c r="E3734" s="25" t="str">
        <f ca="1">IFERROR(__xludf.DUMMYFUNCTION("""COMPUTED_VALUE"""),"Secretaría Distrital de Planeación")</f>
        <v>Secretaría Distrital de Planeación</v>
      </c>
      <c r="F3734" s="25" t="str">
        <f ca="1">IFERROR(__xludf.DUMMYFUNCTION("""COMPUTED_VALUE"""),"Eliminada")</f>
        <v>Eliminada</v>
      </c>
      <c r="G3734" s="25"/>
      <c r="H3734" s="25"/>
      <c r="I3734" s="25"/>
      <c r="J3734" s="55"/>
      <c r="K3734" s="25" t="str">
        <f ca="1">IFERROR(__xludf.DUMMYFUNCTION("""COMPUTED_VALUE"""),"Definir fecha")</f>
        <v>Definir fecha</v>
      </c>
      <c r="L3734" s="62"/>
      <c r="M3734" s="25"/>
      <c r="N3734" s="25"/>
      <c r="O3734" s="25" t="str">
        <f t="shared" ca="1" si="0"/>
        <v>Secretaría Distrital de Planeación</v>
      </c>
      <c r="P3734" s="25" t="str">
        <f t="shared" si="2"/>
        <v/>
      </c>
      <c r="Q3734" s="25"/>
      <c r="R3734" s="25"/>
      <c r="S3734" s="55"/>
      <c r="T3734" s="56"/>
      <c r="U3734" s="25"/>
      <c r="V3734" s="25"/>
      <c r="W3734" s="25"/>
      <c r="X3734" s="25"/>
      <c r="Y3734" s="25"/>
      <c r="Z3734" s="25"/>
    </row>
    <row r="3735" spans="1:26" ht="52.5" customHeight="1" x14ac:dyDescent="0.25">
      <c r="A3735" s="25" t="str">
        <f ca="1">IFERROR(__xludf.DUMMYFUNCTION("""COMPUTED_VALUE"""),"Plane133")</f>
        <v>Plane133</v>
      </c>
      <c r="B3735" s="25" t="str">
        <f ca="1">IFERROR(__xludf.DUMMYFUNCTION("""COMPUTED_VALUE"""),"Evaluación de resultados IMG + Revisión política pública de pobreza")</f>
        <v>Evaluación de resultados IMG + Revisión política pública de pobreza</v>
      </c>
      <c r="C3735" s="55">
        <f ca="1">IFERROR(__xludf.DUMMYFUNCTION("""COMPUTED_VALUE"""),44981)</f>
        <v>44981</v>
      </c>
      <c r="D3735" s="25" t="str">
        <f ca="1">IFERROR(__xludf.DUMMYFUNCTION("""COMPUTED_VALUE"""),"Planeación")</f>
        <v>Planeación</v>
      </c>
      <c r="E3735" s="25" t="str">
        <f ca="1">IFERROR(__xludf.DUMMYFUNCTION("""COMPUTED_VALUE"""),"Secretaría Distrital de Planeación")</f>
        <v>Secretaría Distrital de Planeación</v>
      </c>
      <c r="F3735" s="25" t="str">
        <f ca="1">IFERROR(__xludf.DUMMYFUNCTION("""COMPUTED_VALUE"""),"Para la nueva estrategia de IMG deberíamos evaluar si en A y B, incluso C, hay una persona adulto mayor con discapacidad para focalizarlos.")</f>
        <v>Para la nueva estrategia de IMG deberíamos evaluar si en A y B, incluso C, hay una persona adulto mayor con discapacidad para focalizarlos.</v>
      </c>
      <c r="G3735" s="25" t="str">
        <f ca="1">IFERROR(__xludf.DUMMYFUNCTION("""COMPUTED_VALUE"""),"99. Distrito")</f>
        <v>99. Distrito</v>
      </c>
      <c r="H3735" s="55">
        <f ca="1">IFERROR(__xludf.DUMMYFUNCTION("""COMPUTED_VALUE"""),45291)</f>
        <v>45291</v>
      </c>
      <c r="I3735" s="25" t="str">
        <f ca="1">IFERROR(__xludf.DUMMYFUNCTION("""COMPUTED_VALUE"""),"Delivery Unit")</f>
        <v>Delivery Unit</v>
      </c>
      <c r="J3735" s="55" t="str">
        <f ca="1">IFERROR(__xludf.DUMMYFUNCTION("""COMPUTED_VALUE"""),"Alta")</f>
        <v>Alta</v>
      </c>
      <c r="K3735" s="25">
        <f ca="1">IFERROR(__xludf.DUMMYFUNCTION("""COMPUTED_VALUE"""),310)</f>
        <v>310</v>
      </c>
      <c r="L3735" s="62"/>
      <c r="M3735" s="25"/>
      <c r="N3735" s="25"/>
      <c r="O3735" s="25" t="str">
        <f t="shared" ca="1" si="0"/>
        <v>Secretaría Distrital de Planeación</v>
      </c>
      <c r="P3735" s="25" t="str">
        <f t="shared" ca="1" si="2"/>
        <v/>
      </c>
      <c r="Q3735" s="25"/>
      <c r="R3735" s="25"/>
      <c r="S3735" s="55"/>
      <c r="T3735" s="56"/>
      <c r="U3735" s="25"/>
      <c r="V3735" s="25"/>
      <c r="W3735" s="25"/>
      <c r="X3735" s="25"/>
      <c r="Y3735" s="25"/>
      <c r="Z3735" s="25"/>
    </row>
    <row r="3736" spans="1:26" ht="52.5" customHeight="1" x14ac:dyDescent="0.25">
      <c r="A3736" s="25" t="str">
        <f ca="1">IFERROR(__xludf.DUMMYFUNCTION("""COMPUTED_VALUE"""),"Plane134")</f>
        <v>Plane134</v>
      </c>
      <c r="B3736" s="25" t="str">
        <f ca="1">IFERROR(__xludf.DUMMYFUNCTION("""COMPUTED_VALUE"""),"Evaluación de resultados IMG + Revisión política pública de pobreza")</f>
        <v>Evaluación de resultados IMG + Revisión política pública de pobreza</v>
      </c>
      <c r="C3736" s="55">
        <f ca="1">IFERROR(__xludf.DUMMYFUNCTION("""COMPUTED_VALUE"""),44981)</f>
        <v>44981</v>
      </c>
      <c r="D3736" s="25" t="str">
        <f ca="1">IFERROR(__xludf.DUMMYFUNCTION("""COMPUTED_VALUE"""),"Planeación")</f>
        <v>Planeación</v>
      </c>
      <c r="E3736" s="25" t="str">
        <f ca="1">IFERROR(__xludf.DUMMYFUNCTION("""COMPUTED_VALUE"""),"Secretaría Distrital de Planeación")</f>
        <v>Secretaría Distrital de Planeación</v>
      </c>
      <c r="F3736" s="25" t="str">
        <f ca="1">IFERROR(__xludf.DUMMYFUNCTION("""COMPUTED_VALUE"""),"Dejar claro y explícito en la política que cada ayuda o transferencia que damos tiene un objetivo y se mide. Por ej: el subsidio de TM sí impacta a las personas, pues reduce (o no) el % de ingreso que usa el transporte.")</f>
        <v>Dejar claro y explícito en la política que cada ayuda o transferencia que damos tiene un objetivo y se mide. Por ej: el subsidio de TM sí impacta a las personas, pues reduce (o no) el % de ingreso que usa el transporte.</v>
      </c>
      <c r="G3736" s="25" t="str">
        <f ca="1">IFERROR(__xludf.DUMMYFUNCTION("""COMPUTED_VALUE"""),"99. Distrito")</f>
        <v>99. Distrito</v>
      </c>
      <c r="H3736" s="55">
        <f ca="1">IFERROR(__xludf.DUMMYFUNCTION("""COMPUTED_VALUE"""),45122)</f>
        <v>45122</v>
      </c>
      <c r="I3736" s="25" t="str">
        <f ca="1">IFERROR(__xludf.DUMMYFUNCTION("""COMPUTED_VALUE"""),"Delivery Unit")</f>
        <v>Delivery Unit</v>
      </c>
      <c r="J3736" s="55" t="str">
        <f ca="1">IFERROR(__xludf.DUMMYFUNCTION("""COMPUTED_VALUE"""),"Alta")</f>
        <v>Alta</v>
      </c>
      <c r="K3736" s="25">
        <f ca="1">IFERROR(__xludf.DUMMYFUNCTION("""COMPUTED_VALUE"""),141)</f>
        <v>141</v>
      </c>
      <c r="L3736" s="62"/>
      <c r="M3736" s="25"/>
      <c r="N3736" s="25"/>
      <c r="O3736" s="25" t="str">
        <f t="shared" ca="1" si="0"/>
        <v>Secretaría Distrital de Planeación</v>
      </c>
      <c r="P3736" s="25" t="str">
        <f t="shared" ca="1" si="2"/>
        <v/>
      </c>
      <c r="Q3736" s="25"/>
      <c r="R3736" s="25"/>
      <c r="S3736" s="55"/>
      <c r="T3736" s="56"/>
      <c r="U3736" s="25"/>
      <c r="V3736" s="25"/>
      <c r="W3736" s="25"/>
      <c r="X3736" s="25"/>
      <c r="Y3736" s="25"/>
      <c r="Z3736" s="25"/>
    </row>
    <row r="3737" spans="1:26" ht="52.5" customHeight="1" x14ac:dyDescent="0.25">
      <c r="A3737" s="25" t="str">
        <f ca="1">IFERROR(__xludf.DUMMYFUNCTION("""COMPUTED_VALUE"""),"Plane135")</f>
        <v>Plane135</v>
      </c>
      <c r="B3737" s="25"/>
      <c r="C3737" s="55"/>
      <c r="D3737" s="25" t="str">
        <f ca="1">IFERROR(__xludf.DUMMYFUNCTION("""COMPUTED_VALUE"""),"Planeación")</f>
        <v>Planeación</v>
      </c>
      <c r="E3737" s="25" t="str">
        <f ca="1">IFERROR(__xludf.DUMMYFUNCTION("""COMPUTED_VALUE"""),"Secretaría Distrital de Planeación")</f>
        <v>Secretaría Distrital de Planeación</v>
      </c>
      <c r="F3737" s="25" t="str">
        <f ca="1">IFERROR(__xludf.DUMMYFUNCTION("""COMPUTED_VALUE"""),"Eliminada")</f>
        <v>Eliminada</v>
      </c>
      <c r="G3737" s="25"/>
      <c r="H3737" s="25"/>
      <c r="I3737" s="25"/>
      <c r="J3737" s="55"/>
      <c r="K3737" s="25" t="str">
        <f ca="1">IFERROR(__xludf.DUMMYFUNCTION("""COMPUTED_VALUE"""),"Definir fecha")</f>
        <v>Definir fecha</v>
      </c>
      <c r="L3737" s="62"/>
      <c r="M3737" s="25"/>
      <c r="N3737" s="25"/>
      <c r="O3737" s="25" t="str">
        <f t="shared" ca="1" si="0"/>
        <v>Secretaría Distrital de Planeación</v>
      </c>
      <c r="P3737" s="25" t="str">
        <f t="shared" si="2"/>
        <v/>
      </c>
      <c r="Q3737" s="25"/>
      <c r="R3737" s="25"/>
      <c r="S3737" s="55"/>
      <c r="T3737" s="56"/>
      <c r="U3737" s="25"/>
      <c r="V3737" s="25"/>
      <c r="W3737" s="25"/>
      <c r="X3737" s="25"/>
      <c r="Y3737" s="25"/>
      <c r="Z3737" s="25"/>
    </row>
    <row r="3738" spans="1:26" ht="52.5" customHeight="1" x14ac:dyDescent="0.25">
      <c r="A3738" s="25" t="str">
        <f ca="1">IFERROR(__xludf.DUMMYFUNCTION("""COMPUTED_VALUE"""),"Plane136")</f>
        <v>Plane136</v>
      </c>
      <c r="B3738" s="25" t="str">
        <f ca="1">IFERROR(__xludf.DUMMYFUNCTION("""COMPUTED_VALUE"""),"Validación AE Chapinero Verde + Reglamentación POT")</f>
        <v>Validación AE Chapinero Verde + Reglamentación POT</v>
      </c>
      <c r="C3738" s="55">
        <f ca="1">IFERROR(__xludf.DUMMYFUNCTION("""COMPUTED_VALUE"""),44972)</f>
        <v>44972</v>
      </c>
      <c r="D3738" s="25" t="str">
        <f ca="1">IFERROR(__xludf.DUMMYFUNCTION("""COMPUTED_VALUE"""),"Planeación")</f>
        <v>Planeación</v>
      </c>
      <c r="E3738" s="25" t="str">
        <f ca="1">IFERROR(__xludf.DUMMYFUNCTION("""COMPUTED_VALUE"""),"Secretaría Distrital de Planeación")</f>
        <v>Secretaría Distrital de Planeación</v>
      </c>
      <c r="F3738" s="25" t="str">
        <f ca="1">IFERROR(__xludf.DUMMYFUNCTION("""COMPUTED_VALUE"""),"Evidenciar como se conectan las tres actuaciones estratégicas y centro ampliado norte, en torno a la renovación urbana: 5,7,12.")</f>
        <v>Evidenciar como se conectan las tres actuaciones estratégicas y centro ampliado norte, en torno a la renovación urbana: 5,7,12.</v>
      </c>
      <c r="G3738" s="25" t="str">
        <f ca="1">IFERROR(__xludf.DUMMYFUNCTION("""COMPUTED_VALUE"""),"99. Distrito")</f>
        <v>99. Distrito</v>
      </c>
      <c r="H3738" s="55">
        <f ca="1">IFERROR(__xludf.DUMMYFUNCTION("""COMPUTED_VALUE"""),45044)</f>
        <v>45044</v>
      </c>
      <c r="I3738" s="25" t="str">
        <f ca="1">IFERROR(__xludf.DUMMYFUNCTION("""COMPUTED_VALUE"""),"Junta de Infraestructura")</f>
        <v>Junta de Infraestructura</v>
      </c>
      <c r="J3738" s="55" t="str">
        <f ca="1">IFERROR(__xludf.DUMMYFUNCTION("""COMPUTED_VALUE"""),"Media")</f>
        <v>Media</v>
      </c>
      <c r="K3738" s="25">
        <f ca="1">IFERROR(__xludf.DUMMYFUNCTION("""COMPUTED_VALUE"""),72)</f>
        <v>72</v>
      </c>
      <c r="L3738" s="62"/>
      <c r="M3738" s="25"/>
      <c r="N3738" s="25"/>
      <c r="O3738" s="25" t="str">
        <f t="shared" ca="1" si="0"/>
        <v>Secretaría Distrital de Planeación</v>
      </c>
      <c r="P3738" s="25" t="str">
        <f t="shared" ca="1" si="2"/>
        <v/>
      </c>
      <c r="Q3738" s="25"/>
      <c r="R3738" s="25"/>
      <c r="S3738" s="55"/>
      <c r="T3738" s="56"/>
      <c r="U3738" s="25"/>
      <c r="V3738" s="25"/>
      <c r="W3738" s="25"/>
      <c r="X3738" s="25"/>
      <c r="Y3738" s="25"/>
      <c r="Z3738" s="25"/>
    </row>
    <row r="3739" spans="1:26" ht="52.5" customHeight="1" x14ac:dyDescent="0.25">
      <c r="A3739" s="25" t="str">
        <f ca="1">IFERROR(__xludf.DUMMYFUNCTION("""COMPUTED_VALUE"""),"Plane137")</f>
        <v>Plane137</v>
      </c>
      <c r="B3739" s="25" t="str">
        <f ca="1">IFERROR(__xludf.DUMMYFUNCTION("""COMPUTED_VALUE"""),"Recorrido Barrios Unidos")</f>
        <v>Recorrido Barrios Unidos</v>
      </c>
      <c r="C3739" s="55">
        <f ca="1">IFERROR(__xludf.DUMMYFUNCTION("""COMPUTED_VALUE"""),44978)</f>
        <v>44978</v>
      </c>
      <c r="D3739" s="25" t="str">
        <f ca="1">IFERROR(__xludf.DUMMYFUNCTION("""COMPUTED_VALUE"""),"Planeación")</f>
        <v>Planeación</v>
      </c>
      <c r="E3739" s="25" t="str">
        <f ca="1">IFERROR(__xludf.DUMMYFUNCTION("""COMPUTED_VALUE"""),"Secretaría Distrital de Planeación")</f>
        <v>Secretaría Distrital de Planeación</v>
      </c>
      <c r="F3739" s="25" t="str">
        <f ca="1">IFERROR(__xludf.DUMMYFUNCTION("""COMPUTED_VALUE"""),"Realizar con la comunidad de Barrios Unidos socialización del POT , política de moradores y renovación urbana.")</f>
        <v>Realizar con la comunidad de Barrios Unidos socialización del POT , política de moradores y renovación urbana.</v>
      </c>
      <c r="G3739" s="25" t="str">
        <f ca="1">IFERROR(__xludf.DUMMYFUNCTION("""COMPUTED_VALUE"""),"12. Barrios Unidos")</f>
        <v>12. Barrios Unidos</v>
      </c>
      <c r="H3739" s="55">
        <f ca="1">IFERROR(__xludf.DUMMYFUNCTION("""COMPUTED_VALUE"""),45031)</f>
        <v>45031</v>
      </c>
      <c r="I3739" s="25" t="str">
        <f ca="1">IFERROR(__xludf.DUMMYFUNCTION("""COMPUTED_VALUE"""),"Secretaría Privada")</f>
        <v>Secretaría Privada</v>
      </c>
      <c r="J3739" s="55" t="str">
        <f ca="1">IFERROR(__xludf.DUMMYFUNCTION("""COMPUTED_VALUE"""),"Alta")</f>
        <v>Alta</v>
      </c>
      <c r="K3739" s="25">
        <f ca="1">IFERROR(__xludf.DUMMYFUNCTION("""COMPUTED_VALUE"""),53)</f>
        <v>53</v>
      </c>
      <c r="L3739" s="62"/>
      <c r="M3739" s="25"/>
      <c r="N3739" s="25"/>
      <c r="O3739" s="25" t="str">
        <f t="shared" ca="1" si="0"/>
        <v>Secretaría Distrital de Planeación</v>
      </c>
      <c r="P3739" s="25" t="str">
        <f t="shared" ca="1" si="2"/>
        <v/>
      </c>
      <c r="Q3739" s="25"/>
      <c r="R3739" s="25"/>
      <c r="S3739" s="55"/>
      <c r="T3739" s="56"/>
      <c r="U3739" s="25"/>
      <c r="V3739" s="25"/>
      <c r="W3739" s="25"/>
      <c r="X3739" s="25"/>
      <c r="Y3739" s="25"/>
      <c r="Z3739" s="25"/>
    </row>
    <row r="3740" spans="1:26" ht="52.5" customHeight="1" x14ac:dyDescent="0.25">
      <c r="A3740" s="25" t="str">
        <f ca="1">IFERROR(__xludf.DUMMYFUNCTION("""COMPUTED_VALUE"""),"Plane138")</f>
        <v>Plane138</v>
      </c>
      <c r="B3740" s="25" t="str">
        <f ca="1">IFERROR(__xludf.DUMMYFUNCTION("""COMPUTED_VALUE"""),"Recorrido Fontibón")</f>
        <v>Recorrido Fontibón</v>
      </c>
      <c r="C3740" s="55">
        <f ca="1">IFERROR(__xludf.DUMMYFUNCTION("""COMPUTED_VALUE"""),44984)</f>
        <v>44984</v>
      </c>
      <c r="D3740" s="25" t="str">
        <f ca="1">IFERROR(__xludf.DUMMYFUNCTION("""COMPUTED_VALUE"""),"Planeación")</f>
        <v>Planeación</v>
      </c>
      <c r="E3740" s="25" t="str">
        <f ca="1">IFERROR(__xludf.DUMMYFUNCTION("""COMPUTED_VALUE"""),"Secretaría Distrital de Planeación")</f>
        <v>Secretaría Distrital de Planeación</v>
      </c>
      <c r="F3740" s="25" t="str">
        <f ca="1">IFERROR(__xludf.DUMMYFUNCTION("""COMPUTED_VALUE"""),"Revisar: para que uso quedaron en el POT, los terrenos de la ALO centro en la localidad de Fontibón cerca al aeropuerto.")</f>
        <v>Revisar: para que uso quedaron en el POT, los terrenos de la ALO centro en la localidad de Fontibón cerca al aeropuerto.</v>
      </c>
      <c r="G3740" s="25" t="str">
        <f ca="1">IFERROR(__xludf.DUMMYFUNCTION("""COMPUTED_VALUE"""),"09. Fontibón")</f>
        <v>09. Fontibón</v>
      </c>
      <c r="H3740" s="55">
        <f ca="1">IFERROR(__xludf.DUMMYFUNCTION("""COMPUTED_VALUE"""),45023)</f>
        <v>45023</v>
      </c>
      <c r="I3740" s="25" t="str">
        <f ca="1">IFERROR(__xludf.DUMMYFUNCTION("""COMPUTED_VALUE"""),"Secretaría Privada")</f>
        <v>Secretaría Privada</v>
      </c>
      <c r="J3740" s="55" t="str">
        <f ca="1">IFERROR(__xludf.DUMMYFUNCTION("""COMPUTED_VALUE"""),"Alta")</f>
        <v>Alta</v>
      </c>
      <c r="K3740" s="25">
        <f ca="1">IFERROR(__xludf.DUMMYFUNCTION("""COMPUTED_VALUE"""),39)</f>
        <v>39</v>
      </c>
      <c r="L3740" s="62"/>
      <c r="M3740" s="25"/>
      <c r="N3740" s="25"/>
      <c r="O3740" s="25" t="str">
        <f t="shared" ca="1" si="0"/>
        <v>Secretaría Distrital de Planeación</v>
      </c>
      <c r="P3740" s="25" t="str">
        <f t="shared" ca="1" si="2"/>
        <v/>
      </c>
      <c r="Q3740" s="25"/>
      <c r="R3740" s="25"/>
      <c r="S3740" s="55"/>
      <c r="T3740" s="56"/>
      <c r="U3740" s="25"/>
      <c r="V3740" s="25"/>
      <c r="W3740" s="25"/>
      <c r="X3740" s="25"/>
      <c r="Y3740" s="25"/>
      <c r="Z3740" s="25"/>
    </row>
    <row r="3741" spans="1:26" ht="52.5" customHeight="1" x14ac:dyDescent="0.25">
      <c r="A3741" s="25" t="str">
        <f ca="1">IFERROR(__xludf.DUMMYFUNCTION("""COMPUTED_VALUE"""),"Plane139")</f>
        <v>Plane139</v>
      </c>
      <c r="B3741" s="25" t="str">
        <f ca="1">IFERROR(__xludf.DUMMYFUNCTION("""COMPUTED_VALUE"""),"Recorrido Rafael Uribe Uribe")</f>
        <v>Recorrido Rafael Uribe Uribe</v>
      </c>
      <c r="C3741" s="55">
        <f ca="1">IFERROR(__xludf.DUMMYFUNCTION("""COMPUTED_VALUE"""),45006)</f>
        <v>45006</v>
      </c>
      <c r="D3741" s="25" t="str">
        <f ca="1">IFERROR(__xludf.DUMMYFUNCTION("""COMPUTED_VALUE"""),"Planeación")</f>
        <v>Planeación</v>
      </c>
      <c r="E3741" s="25" t="str">
        <f ca="1">IFERROR(__xludf.DUMMYFUNCTION("""COMPUTED_VALUE"""),"Secretaría Distrital de Planeación")</f>
        <v>Secretaría Distrital de Planeación</v>
      </c>
      <c r="F3741" s="25" t="str">
        <f ca="1">IFERROR(__xludf.DUMMYFUNCTION("""COMPUTED_VALUE"""),"Socializar el Decreto de UPL y definir visita a Rincón del Valle y el Valle para hacer proceso de cocreación con comunidad.")</f>
        <v>Socializar el Decreto de UPL y definir visita a Rincón del Valle y el Valle para hacer proceso de cocreación con comunidad.</v>
      </c>
      <c r="G3741" s="25" t="str">
        <f ca="1">IFERROR(__xludf.DUMMYFUNCTION("""COMPUTED_VALUE"""),"18. Rafael Uribe Uribe")</f>
        <v>18. Rafael Uribe Uribe</v>
      </c>
      <c r="H3741" s="55">
        <f ca="1">IFERROR(__xludf.DUMMYFUNCTION("""COMPUTED_VALUE"""),45083)</f>
        <v>45083</v>
      </c>
      <c r="I3741" s="25" t="str">
        <f ca="1">IFERROR(__xludf.DUMMYFUNCTION("""COMPUTED_VALUE"""),"Secretaría Privada")</f>
        <v>Secretaría Privada</v>
      </c>
      <c r="J3741" s="55" t="str">
        <f ca="1">IFERROR(__xludf.DUMMYFUNCTION("""COMPUTED_VALUE"""),"Alta")</f>
        <v>Alta</v>
      </c>
      <c r="K3741" s="25">
        <f ca="1">IFERROR(__xludf.DUMMYFUNCTION("""COMPUTED_VALUE"""),77)</f>
        <v>77</v>
      </c>
      <c r="L3741" s="62"/>
      <c r="M3741" s="25"/>
      <c r="N3741" s="25"/>
      <c r="O3741" s="25" t="str">
        <f t="shared" ca="1" si="0"/>
        <v>Secretaría Distrital de Planeación</v>
      </c>
      <c r="P3741" s="25" t="str">
        <f t="shared" ca="1" si="2"/>
        <v/>
      </c>
      <c r="Q3741" s="25"/>
      <c r="R3741" s="25"/>
      <c r="S3741" s="55"/>
      <c r="T3741" s="56"/>
      <c r="U3741" s="25"/>
      <c r="V3741" s="25"/>
      <c r="W3741" s="25"/>
      <c r="X3741" s="25"/>
      <c r="Y3741" s="25"/>
      <c r="Z3741" s="25"/>
    </row>
    <row r="3742" spans="1:26" ht="52.5" customHeight="1" x14ac:dyDescent="0.25">
      <c r="A3742" s="25" t="str">
        <f ca="1">IFERROR(__xludf.DUMMYFUNCTION("""COMPUTED_VALUE"""),"Plane140")</f>
        <v>Plane140</v>
      </c>
      <c r="B3742" s="25"/>
      <c r="C3742" s="55"/>
      <c r="D3742" s="25" t="str">
        <f ca="1">IFERROR(__xludf.DUMMYFUNCTION("""COMPUTED_VALUE"""),"Planeación")</f>
        <v>Planeación</v>
      </c>
      <c r="E3742" s="25" t="str">
        <f ca="1">IFERROR(__xludf.DUMMYFUNCTION("""COMPUTED_VALUE"""),"Secretaría Distrital de Planeación")</f>
        <v>Secretaría Distrital de Planeación</v>
      </c>
      <c r="F3742" s="25" t="str">
        <f ca="1">IFERROR(__xludf.DUMMYFUNCTION("""COMPUTED_VALUE"""),"Eliminada")</f>
        <v>Eliminada</v>
      </c>
      <c r="G3742" s="25"/>
      <c r="H3742" s="25"/>
      <c r="I3742" s="25"/>
      <c r="J3742" s="55"/>
      <c r="K3742" s="25" t="str">
        <f ca="1">IFERROR(__xludf.DUMMYFUNCTION("""COMPUTED_VALUE"""),"Definir fecha")</f>
        <v>Definir fecha</v>
      </c>
      <c r="L3742" s="62"/>
      <c r="M3742" s="25"/>
      <c r="N3742" s="25"/>
      <c r="O3742" s="25" t="str">
        <f t="shared" ca="1" si="0"/>
        <v>Secretaría Distrital de Planeación</v>
      </c>
      <c r="P3742" s="25" t="str">
        <f t="shared" si="2"/>
        <v/>
      </c>
      <c r="Q3742" s="25"/>
      <c r="R3742" s="25"/>
      <c r="S3742" s="55"/>
      <c r="T3742" s="56"/>
      <c r="U3742" s="25"/>
      <c r="V3742" s="25"/>
      <c r="W3742" s="25"/>
      <c r="X3742" s="25"/>
      <c r="Y3742" s="25"/>
      <c r="Z3742" s="25"/>
    </row>
    <row r="3743" spans="1:26" ht="52.5" customHeight="1" x14ac:dyDescent="0.25">
      <c r="A3743" s="25" t="str">
        <f ca="1">IFERROR(__xludf.DUMMYFUNCTION("""COMPUTED_VALUE"""),"Plane141")</f>
        <v>Plane141</v>
      </c>
      <c r="B3743" s="25" t="str">
        <f ca="1">IFERROR(__xludf.DUMMYFUNCTION("""COMPUTED_VALUE"""),"Supermanzana")</f>
        <v>Supermanzana</v>
      </c>
      <c r="C3743" s="55">
        <f ca="1">IFERROR(__xludf.DUMMYFUNCTION("""COMPUTED_VALUE"""),44993)</f>
        <v>44993</v>
      </c>
      <c r="D3743" s="25" t="str">
        <f ca="1">IFERROR(__xludf.DUMMYFUNCTION("""COMPUTED_VALUE"""),"Planeación")</f>
        <v>Planeación</v>
      </c>
      <c r="E3743" s="25" t="str">
        <f ca="1">IFERROR(__xludf.DUMMYFUNCTION("""COMPUTED_VALUE"""),"Secretaría Distrital de Planeación")</f>
        <v>Secretaría Distrital de Planeación</v>
      </c>
      <c r="F3743" s="25" t="str">
        <f ca="1">IFERROR(__xludf.DUMMYFUNCTION("""COMPUTED_VALUE"""),"Escoger con Salvador Rueda las 3 UPLs que serían las candidatas o más adecuadas para proyectarlas en el sistema")</f>
        <v>Escoger con Salvador Rueda las 3 UPLs que serían las candidatas o más adecuadas para proyectarlas en el sistema</v>
      </c>
      <c r="G3743" s="25" t="str">
        <f ca="1">IFERROR(__xludf.DUMMYFUNCTION("""COMPUTED_VALUE"""),"99. Distrito")</f>
        <v>99. Distrito</v>
      </c>
      <c r="H3743" s="55">
        <f ca="1">IFERROR(__xludf.DUMMYFUNCTION("""COMPUTED_VALUE"""),45023)</f>
        <v>45023</v>
      </c>
      <c r="I3743" s="25"/>
      <c r="J3743" s="55" t="str">
        <f ca="1">IFERROR(__xludf.DUMMYFUNCTION("""COMPUTED_VALUE"""),"Alta")</f>
        <v>Alta</v>
      </c>
      <c r="K3743" s="25">
        <f ca="1">IFERROR(__xludf.DUMMYFUNCTION("""COMPUTED_VALUE"""),30)</f>
        <v>30</v>
      </c>
      <c r="L3743" s="62"/>
      <c r="M3743" s="25"/>
      <c r="N3743" s="25"/>
      <c r="O3743" s="25" t="str">
        <f t="shared" ca="1" si="0"/>
        <v>Secretaría Distrital de Planeación</v>
      </c>
      <c r="P3743" s="25" t="str">
        <f t="shared" si="2"/>
        <v/>
      </c>
      <c r="Q3743" s="25"/>
      <c r="R3743" s="25"/>
      <c r="S3743" s="55"/>
      <c r="T3743" s="56"/>
      <c r="U3743" s="25"/>
      <c r="V3743" s="25"/>
      <c r="W3743" s="25"/>
      <c r="X3743" s="25"/>
      <c r="Y3743" s="25"/>
      <c r="Z3743" s="25"/>
    </row>
    <row r="3744" spans="1:26" ht="52.5" customHeight="1" x14ac:dyDescent="0.25">
      <c r="A3744" s="25" t="str">
        <f ca="1">IFERROR(__xludf.DUMMYFUNCTION("""COMPUTED_VALUE"""),"Plane142")</f>
        <v>Plane142</v>
      </c>
      <c r="B3744" s="25" t="str">
        <f ca="1">IFERROR(__xludf.DUMMYFUNCTION("""COMPUTED_VALUE"""),"Seguimiento Reglamentación POT - Plan Maestro del Cuidado y Servicios Sociales")</f>
        <v>Seguimiento Reglamentación POT - Plan Maestro del Cuidado y Servicios Sociales</v>
      </c>
      <c r="C3744" s="55">
        <f ca="1">IFERROR(__xludf.DUMMYFUNCTION("""COMPUTED_VALUE"""),44991)</f>
        <v>44991</v>
      </c>
      <c r="D3744" s="25" t="str">
        <f ca="1">IFERROR(__xludf.DUMMYFUNCTION("""COMPUTED_VALUE"""),"Planeación")</f>
        <v>Planeación</v>
      </c>
      <c r="E3744" s="25" t="str">
        <f ca="1">IFERROR(__xludf.DUMMYFUNCTION("""COMPUTED_VALUE"""),"Secretaría Distrital de Planeación")</f>
        <v>Secretaría Distrital de Planeación</v>
      </c>
      <c r="F3744" s="25" t="str">
        <f ca="1">IFERROR(__xludf.DUMMYFUNCTION("""COMPUTED_VALUE"""),"Ajustar de acuerdo con los comentarios de la Alcaldesa el PMSSC, en lo correspondiente a: objetivo general, objetivos específicos, metas y proyectos, distribución de proyectos de cultura, administración púbica y seguridad: 
1.        Ajustar el objetivo "&amp;"general incluyendo ""las necesidades de cuidado de las diferentes poblaciones""
2.        En el 2do Objetivo, dejar aparte un objetivo que diga: incrementar la oferta diversificada de calidad y pertinente de educación posmedia y superior. Dejar uno para "&amp;"salud y otro para educación.
3.        Modificar la parte de relevar a 1.200.000 mujeres de las cargas no remuneradas del cuidado por redistribuir la sobrecarga de cuidado no remunerado de 1.200.000 mujeres, y pasarlo al objetivo 1
4.        En el 3er o"&amp;"bjetivo, incluir ""institucionalizar por acuerdo el Sistema de Cuidado""
5.        En el objetivo 1. En ""accesibilidad y proximidad"", ajustar la meta de proximidad a 30 minutos, no a 15. El cálculo de déficit y demandas cubiertas se debe hacer a 30 min"&amp;"utos, no a menos.
6.        En objetivo 2. Consolidar a Bogotá como la capital latinoamericana del Cuidado.
7.        Metas y proyectos: Objetivo 3. Tipo de equipamiento: incluir CDC / manzana del cuidado en SDIS, no es sólo centros de infancia y de adu"&amp;"lto mayor.
8.        Objetivo 3. Tipo de equipamiento: Ajustar tamaño del equipamiento ""Un mínimo de un CDC /manzana debe tener 7,500 m2 para 838 personas, no 4.500 m2"".
9.        Distribución de proyectos: Cultura: Cultura no debe incrementar la pres"&amp;"tación de servicios culturales en el centro ampliado. Cultura debe hacer más equipamientos fuera del centro ampliado. Ej. teatros, centros culturales....
10.        Distribución de proyectos: Cultura: Tanto en reverdecer del sur como en ciudadela educati"&amp;"va y del cuidado de Suba debe haber un teatro grande. Igual en Torca
11.        Distribución de proyectos: Administración Pública. Incluir más centros locales de gobierno y menos supercades.
12.        Distribución de proyectos: Seguridad. Incluir URIs "&amp;"tipo campo verde en Reverdecer del Sur y en la ciudadela de Suba.
13.        Incluir un plan / modelo de operación de los equipamientos, estructurado como anexo.")</f>
        <v>Ajustar de acuerdo con los comentarios de la Alcaldesa el PMSSC, en lo correspondiente a: objetivo general, objetivos específicos, metas y proyectos, distribución de proyectos de cultura, administración púbica y seguridad: 
1.        Ajustar el objetivo general incluyendo "las necesidades de cuidado de las diferentes poblaciones"
2.        En el 2do Objetivo, dejar aparte un objetivo que diga: incrementar la oferta diversificada de calidad y pertinente de educación posmedia y superior. Dejar uno para salud y otro para educación.
3.        Modificar la parte de relevar a 1.200.000 mujeres de las cargas no remuneradas del cuidado por redistribuir la sobrecarga de cuidado no remunerado de 1.200.000 mujeres, y pasarlo al objetivo 1
4.        En el 3er objetivo, incluir "institucionalizar por acuerdo el Sistema de Cuidado"
5.        En el objetivo 1. En "accesibilidad y proximidad", ajustar la meta de proximidad a 30 minutos, no a 15. El cálculo de déficit y demandas cubiertas se debe hacer a 30 minutos, no a menos.
6.        En objetivo 2. Consolidar a Bogotá como la capital latinoamericana del Cuidado.
7.        Metas y proyectos: Objetivo 3. Tipo de equipamiento: incluir CDC / manzana del cuidado en SDIS, no es sólo centros de infancia y de adulto mayor.
8.        Objetivo 3. Tipo de equipamiento: Ajustar tamaño del equipamiento "Un mínimo de un CDC /manzana debe tener 7,500 m2 para 838 personas, no 4.500 m2".
9.        Distribución de proyectos: Cultura: Cultura no debe incrementar la prestación de servicios culturales en el centro ampliado. Cultura debe hacer más equipamientos fuera del centro ampliado. Ej. teatros, centros culturales....
10.        Distribución de proyectos: Cultura: Tanto en reverdecer del sur como en ciudadela educativa y del cuidado de Suba debe haber un teatro grande. Igual en Torca
11.        Distribución de proyectos: Administración Pública. Incluir más centros locales de gobierno y menos supercades.
12.        Distribución de proyectos: Seguridad. Incluir URIs tipo campo verde en Reverdecer del Sur y en la ciudadela de Suba.
13.        Incluir un plan / modelo de operación de los equipamientos, estructurado como anexo.</v>
      </c>
      <c r="G3744" s="25" t="str">
        <f ca="1">IFERROR(__xludf.DUMMYFUNCTION("""COMPUTED_VALUE"""),"99. Distrito")</f>
        <v>99. Distrito</v>
      </c>
      <c r="H3744" s="55">
        <f ca="1">IFERROR(__xludf.DUMMYFUNCTION("""COMPUTED_VALUE"""),45023)</f>
        <v>45023</v>
      </c>
      <c r="I3744" s="25" t="str">
        <f ca="1">IFERROR(__xludf.DUMMYFUNCTION("""COMPUTED_VALUE"""),"Junta de Infraestructura")</f>
        <v>Junta de Infraestructura</v>
      </c>
      <c r="J3744" s="55" t="str">
        <f ca="1">IFERROR(__xludf.DUMMYFUNCTION("""COMPUTED_VALUE"""),"Alta")</f>
        <v>Alta</v>
      </c>
      <c r="K3744" s="25">
        <f ca="1">IFERROR(__xludf.DUMMYFUNCTION("""COMPUTED_VALUE"""),32)</f>
        <v>32</v>
      </c>
      <c r="L3744" s="62"/>
      <c r="M3744" s="25"/>
      <c r="N3744" s="25"/>
      <c r="O3744" s="25" t="str">
        <f t="shared" ca="1" si="0"/>
        <v>Secretaría Distrital de Planeación</v>
      </c>
      <c r="P3744" s="25" t="str">
        <f t="shared" ca="1" si="2"/>
        <v/>
      </c>
      <c r="Q3744" s="25"/>
      <c r="R3744" s="25"/>
      <c r="S3744" s="55"/>
      <c r="T3744" s="56"/>
      <c r="U3744" s="25"/>
      <c r="V3744" s="25"/>
      <c r="W3744" s="25"/>
      <c r="X3744" s="25"/>
      <c r="Y3744" s="25"/>
      <c r="Z3744" s="25"/>
    </row>
    <row r="3745" spans="1:26" ht="52.5" customHeight="1" x14ac:dyDescent="0.25">
      <c r="A3745" s="25" t="str">
        <f ca="1">IFERROR(__xludf.DUMMYFUNCTION("""COMPUTED_VALUE"""),"Plane143")</f>
        <v>Plane143</v>
      </c>
      <c r="B3745" s="25" t="str">
        <f ca="1">IFERROR(__xludf.DUMMYFUNCTION("""COMPUTED_VALUE"""),"Seguimiento Reglamentación POT - Plan Maestro del Cuidado y Servicios Sociales")</f>
        <v>Seguimiento Reglamentación POT - Plan Maestro del Cuidado y Servicios Sociales</v>
      </c>
      <c r="C3745" s="55">
        <f ca="1">IFERROR(__xludf.DUMMYFUNCTION("""COMPUTED_VALUE"""),44991)</f>
        <v>44991</v>
      </c>
      <c r="D3745" s="25" t="str">
        <f ca="1">IFERROR(__xludf.DUMMYFUNCTION("""COMPUTED_VALUE"""),"Planeación")</f>
        <v>Planeación</v>
      </c>
      <c r="E3745" s="25" t="str">
        <f ca="1">IFERROR(__xludf.DUMMYFUNCTION("""COMPUTED_VALUE"""),"Secretaría Distrital de Planeación")</f>
        <v>Secretaría Distrital de Planeación</v>
      </c>
      <c r="F3745" s="25" t="str">
        <f ca="1">IFERROR(__xludf.DUMMYFUNCTION("""COMPUTED_VALUE"""),"En el 2do Objetivo, dejar aparte un objetivo que diga: incrementar la oferta diversificada de calidad y pertinente de educación posmedia y superior. Dejar uno para salud y otro para educación.")</f>
        <v>En el 2do Objetivo, dejar aparte un objetivo que diga: incrementar la oferta diversificada de calidad y pertinente de educación posmedia y superior. Dejar uno para salud y otro para educación.</v>
      </c>
      <c r="G3745" s="25" t="str">
        <f ca="1">IFERROR(__xludf.DUMMYFUNCTION("""COMPUTED_VALUE"""),"99. Distrito")</f>
        <v>99. Distrito</v>
      </c>
      <c r="H3745" s="55">
        <f ca="1">IFERROR(__xludf.DUMMYFUNCTION("""COMPUTED_VALUE"""),45023)</f>
        <v>45023</v>
      </c>
      <c r="I3745" s="25"/>
      <c r="J3745" s="55" t="str">
        <f ca="1">IFERROR(__xludf.DUMMYFUNCTION("""COMPUTED_VALUE"""),"Alta")</f>
        <v>Alta</v>
      </c>
      <c r="K3745" s="25">
        <f ca="1">IFERROR(__xludf.DUMMYFUNCTION("""COMPUTED_VALUE"""),32)</f>
        <v>32</v>
      </c>
      <c r="L3745" s="62"/>
      <c r="M3745" s="25"/>
      <c r="N3745" s="25"/>
      <c r="O3745" s="25" t="str">
        <f t="shared" ca="1" si="0"/>
        <v>Secretaría Distrital de Planeación</v>
      </c>
      <c r="P3745" s="25" t="str">
        <f t="shared" si="2"/>
        <v/>
      </c>
      <c r="Q3745" s="25"/>
      <c r="R3745" s="25"/>
      <c r="S3745" s="55"/>
      <c r="T3745" s="56"/>
      <c r="U3745" s="25"/>
      <c r="V3745" s="25"/>
      <c r="W3745" s="25"/>
      <c r="X3745" s="25"/>
      <c r="Y3745" s="25"/>
      <c r="Z3745" s="25"/>
    </row>
    <row r="3746" spans="1:26" ht="52.5" customHeight="1" x14ac:dyDescent="0.25">
      <c r="A3746" s="25" t="str">
        <f ca="1">IFERROR(__xludf.DUMMYFUNCTION("""COMPUTED_VALUE"""),"Plane144")</f>
        <v>Plane144</v>
      </c>
      <c r="B3746" s="25" t="str">
        <f ca="1">IFERROR(__xludf.DUMMYFUNCTION("""COMPUTED_VALUE"""),"Seguimiento Reglamentación POT - Plan Maestro del Cuidado y Servicios Sociales")</f>
        <v>Seguimiento Reglamentación POT - Plan Maestro del Cuidado y Servicios Sociales</v>
      </c>
      <c r="C3746" s="55">
        <f ca="1">IFERROR(__xludf.DUMMYFUNCTION("""COMPUTED_VALUE"""),44991)</f>
        <v>44991</v>
      </c>
      <c r="D3746" s="25" t="str">
        <f ca="1">IFERROR(__xludf.DUMMYFUNCTION("""COMPUTED_VALUE"""),"Planeación")</f>
        <v>Planeación</v>
      </c>
      <c r="E3746" s="25" t="str">
        <f ca="1">IFERROR(__xludf.DUMMYFUNCTION("""COMPUTED_VALUE"""),"Secretaría Distrital de Planeación")</f>
        <v>Secretaría Distrital de Planeación</v>
      </c>
      <c r="F3746" s="25" t="str">
        <f ca="1">IFERROR(__xludf.DUMMYFUNCTION("""COMPUTED_VALUE"""),"Modificar la parte de relevar a 1.200.000 mujeres de las cargas no remuneradas del cuidado por redistribuir la sobrecarga de cuidado no remunerado de 1.200.000 mujeres, y pasarlo al objetivo 1")</f>
        <v>Modificar la parte de relevar a 1.200.000 mujeres de las cargas no remuneradas del cuidado por redistribuir la sobrecarga de cuidado no remunerado de 1.200.000 mujeres, y pasarlo al objetivo 1</v>
      </c>
      <c r="G3746" s="25" t="str">
        <f ca="1">IFERROR(__xludf.DUMMYFUNCTION("""COMPUTED_VALUE"""),"99. Distrito")</f>
        <v>99. Distrito</v>
      </c>
      <c r="H3746" s="55">
        <f ca="1">IFERROR(__xludf.DUMMYFUNCTION("""COMPUTED_VALUE"""),45023)</f>
        <v>45023</v>
      </c>
      <c r="I3746" s="25"/>
      <c r="J3746" s="55" t="str">
        <f ca="1">IFERROR(__xludf.DUMMYFUNCTION("""COMPUTED_VALUE"""),"Alta")</f>
        <v>Alta</v>
      </c>
      <c r="K3746" s="25">
        <f ca="1">IFERROR(__xludf.DUMMYFUNCTION("""COMPUTED_VALUE"""),32)</f>
        <v>32</v>
      </c>
      <c r="L3746" s="62"/>
      <c r="M3746" s="25"/>
      <c r="N3746" s="25"/>
      <c r="O3746" s="25" t="str">
        <f t="shared" ca="1" si="0"/>
        <v>Secretaría Distrital de Planeación</v>
      </c>
      <c r="P3746" s="25" t="str">
        <f t="shared" si="2"/>
        <v/>
      </c>
      <c r="Q3746" s="25"/>
      <c r="R3746" s="25"/>
      <c r="S3746" s="55"/>
      <c r="T3746" s="56"/>
      <c r="U3746" s="25"/>
      <c r="V3746" s="25"/>
      <c r="W3746" s="25"/>
      <c r="X3746" s="25"/>
      <c r="Y3746" s="25"/>
      <c r="Z3746" s="25"/>
    </row>
    <row r="3747" spans="1:26" ht="52.5" customHeight="1" x14ac:dyDescent="0.25">
      <c r="A3747" s="25" t="str">
        <f ca="1">IFERROR(__xludf.DUMMYFUNCTION("""COMPUTED_VALUE"""),"Plane145")</f>
        <v>Plane145</v>
      </c>
      <c r="B3747" s="25" t="str">
        <f ca="1">IFERROR(__xludf.DUMMYFUNCTION("""COMPUTED_VALUE"""),"Seguimiento Reglamentación POT - Plan Maestro del Cuidado y Servicios Sociales")</f>
        <v>Seguimiento Reglamentación POT - Plan Maestro del Cuidado y Servicios Sociales</v>
      </c>
      <c r="C3747" s="55">
        <f ca="1">IFERROR(__xludf.DUMMYFUNCTION("""COMPUTED_VALUE"""),44991)</f>
        <v>44991</v>
      </c>
      <c r="D3747" s="25" t="str">
        <f ca="1">IFERROR(__xludf.DUMMYFUNCTION("""COMPUTED_VALUE"""),"Planeación")</f>
        <v>Planeación</v>
      </c>
      <c r="E3747" s="25" t="str">
        <f ca="1">IFERROR(__xludf.DUMMYFUNCTION("""COMPUTED_VALUE"""),"Secretaría Distrital de Planeación")</f>
        <v>Secretaría Distrital de Planeación</v>
      </c>
      <c r="F3747" s="25" t="str">
        <f ca="1">IFERROR(__xludf.DUMMYFUNCTION("""COMPUTED_VALUE"""),"En el 3er objetivo, incluir ""institucionalizar por acuerdo el Sistema de Cuidado""")</f>
        <v>En el 3er objetivo, incluir "institucionalizar por acuerdo el Sistema de Cuidado"</v>
      </c>
      <c r="G3747" s="25" t="str">
        <f ca="1">IFERROR(__xludf.DUMMYFUNCTION("""COMPUTED_VALUE"""),"99. Distrito")</f>
        <v>99. Distrito</v>
      </c>
      <c r="H3747" s="55">
        <f ca="1">IFERROR(__xludf.DUMMYFUNCTION("""COMPUTED_VALUE"""),45023)</f>
        <v>45023</v>
      </c>
      <c r="I3747" s="25"/>
      <c r="J3747" s="55" t="str">
        <f ca="1">IFERROR(__xludf.DUMMYFUNCTION("""COMPUTED_VALUE"""),"Alta")</f>
        <v>Alta</v>
      </c>
      <c r="K3747" s="25">
        <f ca="1">IFERROR(__xludf.DUMMYFUNCTION("""COMPUTED_VALUE"""),32)</f>
        <v>32</v>
      </c>
      <c r="L3747" s="62"/>
      <c r="M3747" s="25"/>
      <c r="N3747" s="25"/>
      <c r="O3747" s="25" t="str">
        <f t="shared" ca="1" si="0"/>
        <v>Secretaría Distrital de Planeación</v>
      </c>
      <c r="P3747" s="25" t="str">
        <f t="shared" si="2"/>
        <v/>
      </c>
      <c r="Q3747" s="25"/>
      <c r="R3747" s="25"/>
      <c r="S3747" s="55"/>
      <c r="T3747" s="56"/>
      <c r="U3747" s="25"/>
      <c r="V3747" s="25"/>
      <c r="W3747" s="25"/>
      <c r="X3747" s="25"/>
      <c r="Y3747" s="25"/>
      <c r="Z3747" s="25"/>
    </row>
    <row r="3748" spans="1:26" ht="52.5" customHeight="1" x14ac:dyDescent="0.25">
      <c r="A3748" s="25" t="str">
        <f ca="1">IFERROR(__xludf.DUMMYFUNCTION("""COMPUTED_VALUE"""),"Plane146")</f>
        <v>Plane146</v>
      </c>
      <c r="B3748" s="25" t="str">
        <f ca="1">IFERROR(__xludf.DUMMYFUNCTION("""COMPUTED_VALUE"""),"Seguimiento Reglamentación POT - Plan Maestro del Cuidado y Servicios Sociales")</f>
        <v>Seguimiento Reglamentación POT - Plan Maestro del Cuidado y Servicios Sociales</v>
      </c>
      <c r="C3748" s="55">
        <f ca="1">IFERROR(__xludf.DUMMYFUNCTION("""COMPUTED_VALUE"""),44991)</f>
        <v>44991</v>
      </c>
      <c r="D3748" s="25" t="str">
        <f ca="1">IFERROR(__xludf.DUMMYFUNCTION("""COMPUTED_VALUE"""),"Planeación")</f>
        <v>Planeación</v>
      </c>
      <c r="E3748" s="25" t="str">
        <f ca="1">IFERROR(__xludf.DUMMYFUNCTION("""COMPUTED_VALUE"""),"Secretaría Distrital de Planeación")</f>
        <v>Secretaría Distrital de Planeación</v>
      </c>
      <c r="F3748" s="25" t="str">
        <f ca="1">IFERROR(__xludf.DUMMYFUNCTION("""COMPUTED_VALUE"""),"En el objetivo 1. En ""accesibilidad y proximidad"", ajustar la meta de proximidad a 30 minutos, no a 15. El cálculo de deficit y demandas cubiertas se debe hacer a 30 minutos, no a menos.")</f>
        <v>En el objetivo 1. En "accesibilidad y proximidad", ajustar la meta de proximidad a 30 minutos, no a 15. El cálculo de deficit y demandas cubiertas se debe hacer a 30 minutos, no a menos.</v>
      </c>
      <c r="G3748" s="25" t="str">
        <f ca="1">IFERROR(__xludf.DUMMYFUNCTION("""COMPUTED_VALUE"""),"99. Distrito")</f>
        <v>99. Distrito</v>
      </c>
      <c r="H3748" s="55">
        <f ca="1">IFERROR(__xludf.DUMMYFUNCTION("""COMPUTED_VALUE"""),45023)</f>
        <v>45023</v>
      </c>
      <c r="I3748" s="25"/>
      <c r="J3748" s="55" t="str">
        <f ca="1">IFERROR(__xludf.DUMMYFUNCTION("""COMPUTED_VALUE"""),"Alta")</f>
        <v>Alta</v>
      </c>
      <c r="K3748" s="25">
        <f ca="1">IFERROR(__xludf.DUMMYFUNCTION("""COMPUTED_VALUE"""),32)</f>
        <v>32</v>
      </c>
      <c r="L3748" s="62"/>
      <c r="M3748" s="25"/>
      <c r="N3748" s="25"/>
      <c r="O3748" s="25" t="str">
        <f t="shared" ca="1" si="0"/>
        <v>Secretaría Distrital de Planeación</v>
      </c>
      <c r="P3748" s="25" t="str">
        <f t="shared" si="2"/>
        <v/>
      </c>
      <c r="Q3748" s="25"/>
      <c r="R3748" s="25"/>
      <c r="S3748" s="55"/>
      <c r="T3748" s="56"/>
      <c r="U3748" s="25"/>
      <c r="V3748" s="25"/>
      <c r="W3748" s="25"/>
      <c r="X3748" s="25"/>
      <c r="Y3748" s="25"/>
      <c r="Z3748" s="25"/>
    </row>
    <row r="3749" spans="1:26" ht="52.5" customHeight="1" x14ac:dyDescent="0.25">
      <c r="A3749" s="25" t="str">
        <f ca="1">IFERROR(__xludf.DUMMYFUNCTION("""COMPUTED_VALUE"""),"Plane147")</f>
        <v>Plane147</v>
      </c>
      <c r="B3749" s="25" t="str">
        <f ca="1">IFERROR(__xludf.DUMMYFUNCTION("""COMPUTED_VALUE"""),"Seguimiento Reglamentación POT - Plan Maestro del Cuidado y Servicios Sociales")</f>
        <v>Seguimiento Reglamentación POT - Plan Maestro del Cuidado y Servicios Sociales</v>
      </c>
      <c r="C3749" s="55">
        <f ca="1">IFERROR(__xludf.DUMMYFUNCTION("""COMPUTED_VALUE"""),44991)</f>
        <v>44991</v>
      </c>
      <c r="D3749" s="25" t="str">
        <f ca="1">IFERROR(__xludf.DUMMYFUNCTION("""COMPUTED_VALUE"""),"Planeación")</f>
        <v>Planeación</v>
      </c>
      <c r="E3749" s="25" t="str">
        <f ca="1">IFERROR(__xludf.DUMMYFUNCTION("""COMPUTED_VALUE"""),"Secretaría Distrital de Planeación")</f>
        <v>Secretaría Distrital de Planeación</v>
      </c>
      <c r="F3749" s="25" t="str">
        <f ca="1">IFERROR(__xludf.DUMMYFUNCTION("""COMPUTED_VALUE"""),"En objetivo 2. Consolidar a Bogotá como la capital latinoamericana del Cuidado. 
 En objetivo 3 ""Estrategias"", en la parte de equipamento por habitante, incluir el mapa ejecutando el modelo del POT, no lo tendencial. Ejecutado POT vs tedencial.")</f>
        <v>En objetivo 2. Consolidar a Bogotá como la capital latinoamericana del Cuidado. 
 En objetivo 3 "Estrategias", en la parte de equipamento por habitante, incluir el mapa ejecutando el modelo del POT, no lo tendencial. Ejecutado POT vs tedencial.</v>
      </c>
      <c r="G3749" s="25" t="str">
        <f ca="1">IFERROR(__xludf.DUMMYFUNCTION("""COMPUTED_VALUE"""),"99. Distrito")</f>
        <v>99. Distrito</v>
      </c>
      <c r="H3749" s="55">
        <f ca="1">IFERROR(__xludf.DUMMYFUNCTION("""COMPUTED_VALUE"""),45023)</f>
        <v>45023</v>
      </c>
      <c r="I3749" s="25"/>
      <c r="J3749" s="55" t="str">
        <f ca="1">IFERROR(__xludf.DUMMYFUNCTION("""COMPUTED_VALUE"""),"Alta")</f>
        <v>Alta</v>
      </c>
      <c r="K3749" s="25">
        <f ca="1">IFERROR(__xludf.DUMMYFUNCTION("""COMPUTED_VALUE"""),32)</f>
        <v>32</v>
      </c>
      <c r="L3749" s="62"/>
      <c r="M3749" s="25"/>
      <c r="N3749" s="25"/>
      <c r="O3749" s="25" t="str">
        <f t="shared" ca="1" si="0"/>
        <v>Secretaría Distrital de Planeación</v>
      </c>
      <c r="P3749" s="25" t="str">
        <f t="shared" si="2"/>
        <v/>
      </c>
      <c r="Q3749" s="25"/>
      <c r="R3749" s="25"/>
      <c r="S3749" s="55"/>
      <c r="T3749" s="56"/>
      <c r="U3749" s="25"/>
      <c r="V3749" s="25"/>
      <c r="W3749" s="25"/>
      <c r="X3749" s="25"/>
      <c r="Y3749" s="25"/>
      <c r="Z3749" s="25"/>
    </row>
    <row r="3750" spans="1:26" ht="52.5" customHeight="1" x14ac:dyDescent="0.25">
      <c r="A3750" s="25" t="str">
        <f ca="1">IFERROR(__xludf.DUMMYFUNCTION("""COMPUTED_VALUE"""),"Plane148")</f>
        <v>Plane148</v>
      </c>
      <c r="B3750" s="25" t="str">
        <f ca="1">IFERROR(__xludf.DUMMYFUNCTION("""COMPUTED_VALUE"""),"Seguimiento Reglamentación POT - Plan Maestro del Cuidado y Servicios Sociales")</f>
        <v>Seguimiento Reglamentación POT - Plan Maestro del Cuidado y Servicios Sociales</v>
      </c>
      <c r="C3750" s="55">
        <f ca="1">IFERROR(__xludf.DUMMYFUNCTION("""COMPUTED_VALUE"""),44991)</f>
        <v>44991</v>
      </c>
      <c r="D3750" s="25" t="str">
        <f ca="1">IFERROR(__xludf.DUMMYFUNCTION("""COMPUTED_VALUE"""),"Planeación")</f>
        <v>Planeación</v>
      </c>
      <c r="E3750" s="25" t="str">
        <f ca="1">IFERROR(__xludf.DUMMYFUNCTION("""COMPUTED_VALUE"""),"Secretaría Distrital de Planeación")</f>
        <v>Secretaría Distrital de Planeación</v>
      </c>
      <c r="F3750" s="25" t="str">
        <f ca="1">IFERROR(__xludf.DUMMYFUNCTION("""COMPUTED_VALUE"""),"Metas y proyectos:
 Objetivo 3. Tipo de equipamento: incluir CDC / manzana del cuidado en SDIS, no es sólo centros de infancia y de aduto mayor.")</f>
        <v>Metas y proyectos:
 Objetivo 3. Tipo de equipamento: incluir CDC / manzana del cuidado en SDIS, no es sólo centros de infancia y de aduto mayor.</v>
      </c>
      <c r="G3750" s="25" t="str">
        <f ca="1">IFERROR(__xludf.DUMMYFUNCTION("""COMPUTED_VALUE"""),"99. Distrito")</f>
        <v>99. Distrito</v>
      </c>
      <c r="H3750" s="55">
        <f ca="1">IFERROR(__xludf.DUMMYFUNCTION("""COMPUTED_VALUE"""),45023)</f>
        <v>45023</v>
      </c>
      <c r="I3750" s="25"/>
      <c r="J3750" s="55" t="str">
        <f ca="1">IFERROR(__xludf.DUMMYFUNCTION("""COMPUTED_VALUE"""),"Alta")</f>
        <v>Alta</v>
      </c>
      <c r="K3750" s="25">
        <f ca="1">IFERROR(__xludf.DUMMYFUNCTION("""COMPUTED_VALUE"""),32)</f>
        <v>32</v>
      </c>
      <c r="L3750" s="62"/>
      <c r="M3750" s="25"/>
      <c r="N3750" s="25"/>
      <c r="O3750" s="25" t="str">
        <f t="shared" ca="1" si="0"/>
        <v>Secretaría Distrital de Planeación</v>
      </c>
      <c r="P3750" s="25" t="str">
        <f t="shared" si="2"/>
        <v/>
      </c>
      <c r="Q3750" s="25"/>
      <c r="R3750" s="25"/>
      <c r="S3750" s="55"/>
      <c r="T3750" s="56"/>
      <c r="U3750" s="25"/>
      <c r="V3750" s="25"/>
      <c r="W3750" s="25"/>
      <c r="X3750" s="25"/>
      <c r="Y3750" s="25"/>
      <c r="Z3750" s="25"/>
    </row>
    <row r="3751" spans="1:26" ht="52.5" customHeight="1" x14ac:dyDescent="0.25">
      <c r="A3751" s="25" t="str">
        <f ca="1">IFERROR(__xludf.DUMMYFUNCTION("""COMPUTED_VALUE"""),"Plane149")</f>
        <v>Plane149</v>
      </c>
      <c r="B3751" s="25" t="str">
        <f ca="1">IFERROR(__xludf.DUMMYFUNCTION("""COMPUTED_VALUE"""),"Seguimiento Reglamentación POT - Plan Maestro del Cuidado y Servicios Sociales")</f>
        <v>Seguimiento Reglamentación POT - Plan Maestro del Cuidado y Servicios Sociales</v>
      </c>
      <c r="C3751" s="55">
        <f ca="1">IFERROR(__xludf.DUMMYFUNCTION("""COMPUTED_VALUE"""),44991)</f>
        <v>44991</v>
      </c>
      <c r="D3751" s="25" t="str">
        <f ca="1">IFERROR(__xludf.DUMMYFUNCTION("""COMPUTED_VALUE"""),"Planeación")</f>
        <v>Planeación</v>
      </c>
      <c r="E3751" s="25" t="str">
        <f ca="1">IFERROR(__xludf.DUMMYFUNCTION("""COMPUTED_VALUE"""),"Secretaría Distrital de Planeación")</f>
        <v>Secretaría Distrital de Planeación</v>
      </c>
      <c r="F3751" s="25" t="str">
        <f ca="1">IFERROR(__xludf.DUMMYFUNCTION("""COMPUTED_VALUE"""),"Metas y proyectos:
 Objetivo 3. Tipo de equipamento:
 Ajustar tamaño del equipamiento ""Un mínimo de un CDC /manzana debe tener 7,500 m2 para 838 personas, no 4.500 m2"".")</f>
        <v>Metas y proyectos:
 Objetivo 3. Tipo de equipamento:
 Ajustar tamaño del equipamiento "Un mínimo de un CDC /manzana debe tener 7,500 m2 para 838 personas, no 4.500 m2".</v>
      </c>
      <c r="G3751" s="25" t="str">
        <f ca="1">IFERROR(__xludf.DUMMYFUNCTION("""COMPUTED_VALUE"""),"99. Distrito")</f>
        <v>99. Distrito</v>
      </c>
      <c r="H3751" s="55">
        <f ca="1">IFERROR(__xludf.DUMMYFUNCTION("""COMPUTED_VALUE"""),45023)</f>
        <v>45023</v>
      </c>
      <c r="I3751" s="25"/>
      <c r="J3751" s="55" t="str">
        <f ca="1">IFERROR(__xludf.DUMMYFUNCTION("""COMPUTED_VALUE"""),"Alta")</f>
        <v>Alta</v>
      </c>
      <c r="K3751" s="25">
        <f ca="1">IFERROR(__xludf.DUMMYFUNCTION("""COMPUTED_VALUE"""),32)</f>
        <v>32</v>
      </c>
      <c r="L3751" s="62"/>
      <c r="M3751" s="25"/>
      <c r="N3751" s="25"/>
      <c r="O3751" s="25" t="str">
        <f t="shared" ca="1" si="0"/>
        <v>Secretaría Distrital de Planeación</v>
      </c>
      <c r="P3751" s="25" t="str">
        <f t="shared" si="2"/>
        <v/>
      </c>
      <c r="Q3751" s="25"/>
      <c r="R3751" s="25"/>
      <c r="S3751" s="55"/>
      <c r="T3751" s="56"/>
      <c r="U3751" s="25"/>
      <c r="V3751" s="25"/>
      <c r="W3751" s="25"/>
      <c r="X3751" s="25"/>
      <c r="Y3751" s="25"/>
      <c r="Z3751" s="25"/>
    </row>
    <row r="3752" spans="1:26" ht="52.5" customHeight="1" x14ac:dyDescent="0.25">
      <c r="A3752" s="25" t="str">
        <f ca="1">IFERROR(__xludf.DUMMYFUNCTION("""COMPUTED_VALUE"""),"Plane150")</f>
        <v>Plane150</v>
      </c>
      <c r="B3752" s="25" t="str">
        <f ca="1">IFERROR(__xludf.DUMMYFUNCTION("""COMPUTED_VALUE"""),"Seguimiento Reglamentación POT - Plan Maestro del Cuidado y Servicios Sociales")</f>
        <v>Seguimiento Reglamentación POT - Plan Maestro del Cuidado y Servicios Sociales</v>
      </c>
      <c r="C3752" s="55">
        <f ca="1">IFERROR(__xludf.DUMMYFUNCTION("""COMPUTED_VALUE"""),44991)</f>
        <v>44991</v>
      </c>
      <c r="D3752" s="25" t="str">
        <f ca="1">IFERROR(__xludf.DUMMYFUNCTION("""COMPUTED_VALUE"""),"Planeación")</f>
        <v>Planeación</v>
      </c>
      <c r="E3752" s="25" t="str">
        <f ca="1">IFERROR(__xludf.DUMMYFUNCTION("""COMPUTED_VALUE"""),"Secretaría Distrital de Planeación")</f>
        <v>Secretaría Distrital de Planeación</v>
      </c>
      <c r="F3752" s="25" t="str">
        <f ca="1">IFERROR(__xludf.DUMMYFUNCTION("""COMPUTED_VALUE"""),"Distribución de proyectos: Cultura:
 Cultura no debe incrementar la prestación de servicios culturales en el centro ampliado. Cultura debe hacer más equipamentos fuera del centro ampliado. Ej teatros, centros culturales....")</f>
        <v>Distribución de proyectos: Cultura:
 Cultura no debe incrementar la prestación de servicios culturales en el centro ampliado. Cultura debe hacer más equipamentos fuera del centro ampliado. Ej teatros, centros culturales....</v>
      </c>
      <c r="G3752" s="25" t="str">
        <f ca="1">IFERROR(__xludf.DUMMYFUNCTION("""COMPUTED_VALUE"""),"99. Distrito")</f>
        <v>99. Distrito</v>
      </c>
      <c r="H3752" s="55">
        <f ca="1">IFERROR(__xludf.DUMMYFUNCTION("""COMPUTED_VALUE"""),45023)</f>
        <v>45023</v>
      </c>
      <c r="I3752" s="25"/>
      <c r="J3752" s="55" t="str">
        <f ca="1">IFERROR(__xludf.DUMMYFUNCTION("""COMPUTED_VALUE"""),"Alta")</f>
        <v>Alta</v>
      </c>
      <c r="K3752" s="25">
        <f ca="1">IFERROR(__xludf.DUMMYFUNCTION("""COMPUTED_VALUE"""),32)</f>
        <v>32</v>
      </c>
      <c r="L3752" s="62"/>
      <c r="M3752" s="25"/>
      <c r="N3752" s="25"/>
      <c r="O3752" s="25" t="str">
        <f t="shared" ca="1" si="0"/>
        <v>Secretaría Distrital de Planeación</v>
      </c>
      <c r="P3752" s="25" t="str">
        <f t="shared" si="2"/>
        <v/>
      </c>
      <c r="Q3752" s="25"/>
      <c r="R3752" s="25"/>
      <c r="S3752" s="55"/>
      <c r="T3752" s="56"/>
      <c r="U3752" s="25"/>
      <c r="V3752" s="25"/>
      <c r="W3752" s="25"/>
      <c r="X3752" s="25"/>
      <c r="Y3752" s="25"/>
      <c r="Z3752" s="25"/>
    </row>
    <row r="3753" spans="1:26" ht="52.5" customHeight="1" x14ac:dyDescent="0.25">
      <c r="A3753" s="25" t="str">
        <f ca="1">IFERROR(__xludf.DUMMYFUNCTION("""COMPUTED_VALUE"""),"Plane151")</f>
        <v>Plane151</v>
      </c>
      <c r="B3753" s="25" t="str">
        <f ca="1">IFERROR(__xludf.DUMMYFUNCTION("""COMPUTED_VALUE"""),"Seguimiento Reglamentación POT - Plan Maestro del Cuidado y Servicios Sociales")</f>
        <v>Seguimiento Reglamentación POT - Plan Maestro del Cuidado y Servicios Sociales</v>
      </c>
      <c r="C3753" s="55">
        <f ca="1">IFERROR(__xludf.DUMMYFUNCTION("""COMPUTED_VALUE"""),44991)</f>
        <v>44991</v>
      </c>
      <c r="D3753" s="25" t="str">
        <f ca="1">IFERROR(__xludf.DUMMYFUNCTION("""COMPUTED_VALUE"""),"Planeación")</f>
        <v>Planeación</v>
      </c>
      <c r="E3753" s="25" t="str">
        <f ca="1">IFERROR(__xludf.DUMMYFUNCTION("""COMPUTED_VALUE"""),"Secretaría Distrital de Planeación")</f>
        <v>Secretaría Distrital de Planeación</v>
      </c>
      <c r="F3753" s="25" t="str">
        <f ca="1">IFERROR(__xludf.DUMMYFUNCTION("""COMPUTED_VALUE"""),"Distribución de proyectos: Cultura: Tanto en reverdecer del sur como en ciudadela educativa y del cuidado de Suba debe haber un teatro grande. Igual en Torca")</f>
        <v>Distribución de proyectos: Cultura: Tanto en reverdecer del sur como en ciudadela educativa y del cuidado de Suba debe haber un teatro grande. Igual en Torca</v>
      </c>
      <c r="G3753" s="25" t="str">
        <f ca="1">IFERROR(__xludf.DUMMYFUNCTION("""COMPUTED_VALUE"""),"99. Distrito")</f>
        <v>99. Distrito</v>
      </c>
      <c r="H3753" s="55">
        <f ca="1">IFERROR(__xludf.DUMMYFUNCTION("""COMPUTED_VALUE"""),45023)</f>
        <v>45023</v>
      </c>
      <c r="I3753" s="25"/>
      <c r="J3753" s="55" t="str">
        <f ca="1">IFERROR(__xludf.DUMMYFUNCTION("""COMPUTED_VALUE"""),"Alta")</f>
        <v>Alta</v>
      </c>
      <c r="K3753" s="25">
        <f ca="1">IFERROR(__xludf.DUMMYFUNCTION("""COMPUTED_VALUE"""),32)</f>
        <v>32</v>
      </c>
      <c r="L3753" s="62"/>
      <c r="M3753" s="25"/>
      <c r="N3753" s="25"/>
      <c r="O3753" s="25" t="str">
        <f t="shared" ca="1" si="0"/>
        <v>Secretaría Distrital de Planeación</v>
      </c>
      <c r="P3753" s="25" t="str">
        <f t="shared" si="2"/>
        <v/>
      </c>
      <c r="Q3753" s="25"/>
      <c r="R3753" s="25"/>
      <c r="S3753" s="55"/>
      <c r="T3753" s="56"/>
      <c r="U3753" s="25"/>
      <c r="V3753" s="25"/>
      <c r="W3753" s="25"/>
      <c r="X3753" s="25"/>
      <c r="Y3753" s="25"/>
      <c r="Z3753" s="25"/>
    </row>
    <row r="3754" spans="1:26" ht="52.5" customHeight="1" x14ac:dyDescent="0.25">
      <c r="A3754" s="25" t="str">
        <f ca="1">IFERROR(__xludf.DUMMYFUNCTION("""COMPUTED_VALUE"""),"Plane152")</f>
        <v>Plane152</v>
      </c>
      <c r="B3754" s="25" t="str">
        <f ca="1">IFERROR(__xludf.DUMMYFUNCTION("""COMPUTED_VALUE"""),"Seguimiento Reglamentación POT - Plan Maestro del Cuidado y Servicios Sociales")</f>
        <v>Seguimiento Reglamentación POT - Plan Maestro del Cuidado y Servicios Sociales</v>
      </c>
      <c r="C3754" s="55">
        <f ca="1">IFERROR(__xludf.DUMMYFUNCTION("""COMPUTED_VALUE"""),44991)</f>
        <v>44991</v>
      </c>
      <c r="D3754" s="25" t="str">
        <f ca="1">IFERROR(__xludf.DUMMYFUNCTION("""COMPUTED_VALUE"""),"Planeación")</f>
        <v>Planeación</v>
      </c>
      <c r="E3754" s="25" t="str">
        <f ca="1">IFERROR(__xludf.DUMMYFUNCTION("""COMPUTED_VALUE"""),"Secretaría Distrital de Planeación")</f>
        <v>Secretaría Distrital de Planeación</v>
      </c>
      <c r="F3754" s="25" t="str">
        <f ca="1">IFERROR(__xludf.DUMMYFUNCTION("""COMPUTED_VALUE"""),"Distribución de proyectos: Administración Pública. Incluir más centros locales de gobierno y menos supercades")</f>
        <v>Distribución de proyectos: Administración Pública. Incluir más centros locales de gobierno y menos supercades</v>
      </c>
      <c r="G3754" s="25" t="str">
        <f ca="1">IFERROR(__xludf.DUMMYFUNCTION("""COMPUTED_VALUE"""),"99. Distrito")</f>
        <v>99. Distrito</v>
      </c>
      <c r="H3754" s="55">
        <f ca="1">IFERROR(__xludf.DUMMYFUNCTION("""COMPUTED_VALUE"""),45023)</f>
        <v>45023</v>
      </c>
      <c r="I3754" s="25"/>
      <c r="J3754" s="55" t="str">
        <f ca="1">IFERROR(__xludf.DUMMYFUNCTION("""COMPUTED_VALUE"""),"Alta")</f>
        <v>Alta</v>
      </c>
      <c r="K3754" s="25">
        <f ca="1">IFERROR(__xludf.DUMMYFUNCTION("""COMPUTED_VALUE"""),32)</f>
        <v>32</v>
      </c>
      <c r="L3754" s="62"/>
      <c r="M3754" s="25"/>
      <c r="N3754" s="25"/>
      <c r="O3754" s="25" t="str">
        <f t="shared" ca="1" si="0"/>
        <v>Secretaría Distrital de Planeación</v>
      </c>
      <c r="P3754" s="25" t="str">
        <f t="shared" si="2"/>
        <v/>
      </c>
      <c r="Q3754" s="25"/>
      <c r="R3754" s="25"/>
      <c r="S3754" s="55"/>
      <c r="T3754" s="56"/>
      <c r="U3754" s="25"/>
      <c r="V3754" s="25"/>
      <c r="W3754" s="25"/>
      <c r="X3754" s="25"/>
      <c r="Y3754" s="25"/>
      <c r="Z3754" s="25"/>
    </row>
    <row r="3755" spans="1:26" ht="52.5" customHeight="1" x14ac:dyDescent="0.25">
      <c r="A3755" s="25" t="str">
        <f ca="1">IFERROR(__xludf.DUMMYFUNCTION("""COMPUTED_VALUE"""),"Plane153")</f>
        <v>Plane153</v>
      </c>
      <c r="B3755" s="25" t="str">
        <f ca="1">IFERROR(__xludf.DUMMYFUNCTION("""COMPUTED_VALUE"""),"Seguimiento Reglamentación POT - Plan Maestro del Cuidado y Servicios Sociales")</f>
        <v>Seguimiento Reglamentación POT - Plan Maestro del Cuidado y Servicios Sociales</v>
      </c>
      <c r="C3755" s="55">
        <f ca="1">IFERROR(__xludf.DUMMYFUNCTION("""COMPUTED_VALUE"""),44991)</f>
        <v>44991</v>
      </c>
      <c r="D3755" s="25" t="str">
        <f ca="1">IFERROR(__xludf.DUMMYFUNCTION("""COMPUTED_VALUE"""),"Planeación")</f>
        <v>Planeación</v>
      </c>
      <c r="E3755" s="25" t="str">
        <f ca="1">IFERROR(__xludf.DUMMYFUNCTION("""COMPUTED_VALUE"""),"Secretaría Distrital de Planeación")</f>
        <v>Secretaría Distrital de Planeación</v>
      </c>
      <c r="F3755" s="25" t="str">
        <f ca="1">IFERROR(__xludf.DUMMYFUNCTION("""COMPUTED_VALUE"""),"Distribución de proyectos: Seguridad. Incluir URIs tipo campo verde en Reverdecer del Sur y en la ciudadela de Suba.")</f>
        <v>Distribución de proyectos: Seguridad. Incluir URIs tipo campo verde en Reverdecer del Sur y en la ciudadela de Suba.</v>
      </c>
      <c r="G3755" s="25" t="str">
        <f ca="1">IFERROR(__xludf.DUMMYFUNCTION("""COMPUTED_VALUE"""),"99. Distrito")</f>
        <v>99. Distrito</v>
      </c>
      <c r="H3755" s="55">
        <f ca="1">IFERROR(__xludf.DUMMYFUNCTION("""COMPUTED_VALUE"""),45023)</f>
        <v>45023</v>
      </c>
      <c r="I3755" s="25"/>
      <c r="J3755" s="55" t="str">
        <f ca="1">IFERROR(__xludf.DUMMYFUNCTION("""COMPUTED_VALUE"""),"Alta")</f>
        <v>Alta</v>
      </c>
      <c r="K3755" s="25">
        <f ca="1">IFERROR(__xludf.DUMMYFUNCTION("""COMPUTED_VALUE"""),32)</f>
        <v>32</v>
      </c>
      <c r="L3755" s="62"/>
      <c r="M3755" s="25"/>
      <c r="N3755" s="25"/>
      <c r="O3755" s="25" t="str">
        <f t="shared" ca="1" si="0"/>
        <v>Secretaría Distrital de Planeación</v>
      </c>
      <c r="P3755" s="25" t="str">
        <f t="shared" si="2"/>
        <v/>
      </c>
      <c r="Q3755" s="25"/>
      <c r="R3755" s="25"/>
      <c r="S3755" s="55"/>
      <c r="T3755" s="56"/>
      <c r="U3755" s="25"/>
      <c r="V3755" s="25"/>
      <c r="W3755" s="25"/>
      <c r="X3755" s="25"/>
      <c r="Y3755" s="25"/>
      <c r="Z3755" s="25"/>
    </row>
    <row r="3756" spans="1:26" ht="52.5" customHeight="1" x14ac:dyDescent="0.25">
      <c r="A3756" s="25" t="str">
        <f ca="1">IFERROR(__xludf.DUMMYFUNCTION("""COMPUTED_VALUE"""),"Plane154")</f>
        <v>Plane154</v>
      </c>
      <c r="B3756" s="25" t="str">
        <f ca="1">IFERROR(__xludf.DUMMYFUNCTION("""COMPUTED_VALUE"""),"Seguimiento Reglamentación POT - Plan Maestro del Cuidado y Servicios Sociales")</f>
        <v>Seguimiento Reglamentación POT - Plan Maestro del Cuidado y Servicios Sociales</v>
      </c>
      <c r="C3756" s="55">
        <f ca="1">IFERROR(__xludf.DUMMYFUNCTION("""COMPUTED_VALUE"""),44991)</f>
        <v>44991</v>
      </c>
      <c r="D3756" s="25" t="str">
        <f ca="1">IFERROR(__xludf.DUMMYFUNCTION("""COMPUTED_VALUE"""),"Planeación")</f>
        <v>Planeación</v>
      </c>
      <c r="E3756" s="25" t="str">
        <f ca="1">IFERROR(__xludf.DUMMYFUNCTION("""COMPUTED_VALUE"""),"Secretaría Distrital de Planeación")</f>
        <v>Secretaría Distrital de Planeación</v>
      </c>
      <c r="F3756" s="25" t="str">
        <f ca="1">IFERROR(__xludf.DUMMYFUNCTION("""COMPUTED_VALUE"""),"Incluir un plan / modelo de operación de los equipamientos, estructurado como anexo.")</f>
        <v>Incluir un plan / modelo de operación de los equipamientos, estructurado como anexo.</v>
      </c>
      <c r="G3756" s="25" t="str">
        <f ca="1">IFERROR(__xludf.DUMMYFUNCTION("""COMPUTED_VALUE"""),"99. Distrito")</f>
        <v>99. Distrito</v>
      </c>
      <c r="H3756" s="55">
        <f ca="1">IFERROR(__xludf.DUMMYFUNCTION("""COMPUTED_VALUE"""),45023)</f>
        <v>45023</v>
      </c>
      <c r="I3756" s="25"/>
      <c r="J3756" s="55" t="str">
        <f ca="1">IFERROR(__xludf.DUMMYFUNCTION("""COMPUTED_VALUE"""),"Alta")</f>
        <v>Alta</v>
      </c>
      <c r="K3756" s="25">
        <f ca="1">IFERROR(__xludf.DUMMYFUNCTION("""COMPUTED_VALUE"""),32)</f>
        <v>32</v>
      </c>
      <c r="L3756" s="62"/>
      <c r="M3756" s="25"/>
      <c r="N3756" s="25"/>
      <c r="O3756" s="25" t="str">
        <f t="shared" ca="1" si="0"/>
        <v>Secretaría Distrital de Planeación</v>
      </c>
      <c r="P3756" s="25" t="str">
        <f t="shared" si="2"/>
        <v/>
      </c>
      <c r="Q3756" s="25"/>
      <c r="R3756" s="25"/>
      <c r="S3756" s="55"/>
      <c r="T3756" s="56"/>
      <c r="U3756" s="25"/>
      <c r="V3756" s="25"/>
      <c r="W3756" s="25"/>
      <c r="X3756" s="25"/>
      <c r="Y3756" s="25"/>
      <c r="Z3756" s="25"/>
    </row>
    <row r="3757" spans="1:26" ht="52.5" customHeight="1" x14ac:dyDescent="0.25">
      <c r="A3757" s="25" t="str">
        <f ca="1">IFERROR(__xludf.DUMMYFUNCTION("""COMPUTED_VALUE"""),"Plane155")</f>
        <v>Plane155</v>
      </c>
      <c r="B3757" s="25" t="str">
        <f ca="1">IFERROR(__xludf.DUMMYFUNCTION("""COMPUTED_VALUE"""),"Consejo Local de Gobierno de Kennedy")</f>
        <v>Consejo Local de Gobierno de Kennedy</v>
      </c>
      <c r="C3757" s="55">
        <f ca="1">IFERROR(__xludf.DUMMYFUNCTION("""COMPUTED_VALUE"""),44581)</f>
        <v>44581</v>
      </c>
      <c r="D3757" s="25" t="str">
        <f ca="1">IFERROR(__xludf.DUMMYFUNCTION("""COMPUTED_VALUE"""),"Planeación")</f>
        <v>Planeación</v>
      </c>
      <c r="E3757" s="25" t="str">
        <f ca="1">IFERROR(__xludf.DUMMYFUNCTION("""COMPUTED_VALUE"""),"Secretaría Distrital de Planeación")</f>
        <v>Secretaría Distrital de Planeación</v>
      </c>
      <c r="F3757" s="25" t="str">
        <f ca="1">IFERROR(__xludf.DUMMYFUNCTION("""COMPUTED_VALUE"""),"Socialización del POT con las comunidades")</f>
        <v>Socialización del POT con las comunidades</v>
      </c>
      <c r="G3757" s="25" t="str">
        <f ca="1">IFERROR(__xludf.DUMMYFUNCTION("""COMPUTED_VALUE"""),"08. Kennedy")</f>
        <v>08. Kennedy</v>
      </c>
      <c r="H3757" s="55">
        <f ca="1">IFERROR(__xludf.DUMMYFUNCTION("""COMPUTED_VALUE"""),45246)</f>
        <v>45246</v>
      </c>
      <c r="I3757" s="25"/>
      <c r="J3757" s="55" t="str">
        <f ca="1">IFERROR(__xludf.DUMMYFUNCTION("""COMPUTED_VALUE"""),"Baja")</f>
        <v>Baja</v>
      </c>
      <c r="K3757" s="25">
        <f ca="1">IFERROR(__xludf.DUMMYFUNCTION("""COMPUTED_VALUE"""),665)</f>
        <v>665</v>
      </c>
      <c r="L3757" s="62"/>
      <c r="M3757" s="25"/>
      <c r="N3757" s="25"/>
      <c r="O3757" s="25" t="str">
        <f t="shared" ca="1" si="0"/>
        <v>Secretaría Distrital de Planeación</v>
      </c>
      <c r="P3757" s="25" t="str">
        <f t="shared" si="2"/>
        <v/>
      </c>
      <c r="Q3757" s="25"/>
      <c r="R3757" s="25"/>
      <c r="S3757" s="55"/>
      <c r="T3757" s="56"/>
      <c r="U3757" s="25"/>
      <c r="V3757" s="25"/>
      <c r="W3757" s="25"/>
      <c r="X3757" s="25"/>
      <c r="Y3757" s="25"/>
      <c r="Z3757" s="25"/>
    </row>
    <row r="3758" spans="1:26" ht="52.5" customHeight="1" x14ac:dyDescent="0.25">
      <c r="A3758" s="25" t="str">
        <f ca="1">IFERROR(__xludf.DUMMYFUNCTION("""COMPUTED_VALUE"""),"Plane156")</f>
        <v>Plane156</v>
      </c>
      <c r="B3758" s="25" t="str">
        <f ca="1">IFERROR(__xludf.DUMMYFUNCTION("""COMPUTED_VALUE"""),"Consejo Local de Gobierno de Usme")</f>
        <v>Consejo Local de Gobierno de Usme</v>
      </c>
      <c r="C3758" s="55">
        <f ca="1">IFERROR(__xludf.DUMMYFUNCTION("""COMPUTED_VALUE"""),44783)</f>
        <v>44783</v>
      </c>
      <c r="D3758" s="25" t="str">
        <f ca="1">IFERROR(__xludf.DUMMYFUNCTION("""COMPUTED_VALUE"""),"Planeación")</f>
        <v>Planeación</v>
      </c>
      <c r="E3758" s="25" t="str">
        <f ca="1">IFERROR(__xludf.DUMMYFUNCTION("""COMPUTED_VALUE"""),"Secretaría Distrital de Planeación")</f>
        <v>Secretaría Distrital de Planeación</v>
      </c>
      <c r="F3758" s="25" t="str">
        <f ca="1">IFERROR(__xludf.DUMMYFUNCTION("""COMPUTED_VALUE"""),"Transversalización frente a la población LTGBI específicamente la sensibilización hacia los funcionarios de las diferentes entidades del distrito y la inclusión de personas LGTBI según la directiva 005.")</f>
        <v>Transversalización frente a la población LTGBI específicamente la sensibilización hacia los funcionarios de las diferentes entidades del distrito y la inclusión de personas LGTBI según la directiva 005.</v>
      </c>
      <c r="G3758" s="25" t="str">
        <f ca="1">IFERROR(__xludf.DUMMYFUNCTION("""COMPUTED_VALUE"""),"99. Distrito")</f>
        <v>99. Distrito</v>
      </c>
      <c r="H3758" s="55">
        <f ca="1">IFERROR(__xludf.DUMMYFUNCTION("""COMPUTED_VALUE"""),44917)</f>
        <v>44917</v>
      </c>
      <c r="I3758" s="25"/>
      <c r="J3758" s="55" t="str">
        <f ca="1">IFERROR(__xludf.DUMMYFUNCTION("""COMPUTED_VALUE"""),"Media")</f>
        <v>Media</v>
      </c>
      <c r="K3758" s="25">
        <f ca="1">IFERROR(__xludf.DUMMYFUNCTION("""COMPUTED_VALUE"""),134)</f>
        <v>134</v>
      </c>
      <c r="L3758" s="62"/>
      <c r="M3758" s="25"/>
      <c r="N3758" s="25"/>
      <c r="O3758" s="25" t="str">
        <f t="shared" ca="1" si="0"/>
        <v>Secretaría Distrital de Planeación</v>
      </c>
      <c r="P3758" s="25" t="str">
        <f t="shared" si="2"/>
        <v/>
      </c>
      <c r="Q3758" s="25"/>
      <c r="R3758" s="25"/>
      <c r="S3758" s="55"/>
      <c r="T3758" s="56"/>
      <c r="U3758" s="25"/>
      <c r="V3758" s="25"/>
      <c r="W3758" s="25"/>
      <c r="X3758" s="25"/>
      <c r="Y3758" s="25"/>
      <c r="Z3758" s="25"/>
    </row>
    <row r="3759" spans="1:26" ht="52.5" customHeight="1" x14ac:dyDescent="0.25">
      <c r="A3759" s="25" t="str">
        <f ca="1">IFERROR(__xludf.DUMMYFUNCTION("""COMPUTED_VALUE"""),"Plane157")</f>
        <v>Plane157</v>
      </c>
      <c r="B3759" s="25" t="str">
        <f ca="1">IFERROR(__xludf.DUMMYFUNCTION("""COMPUTED_VALUE"""),"Consejo Local de Gobierno de Usme")</f>
        <v>Consejo Local de Gobierno de Usme</v>
      </c>
      <c r="C3759" s="55">
        <f ca="1">IFERROR(__xludf.DUMMYFUNCTION("""COMPUTED_VALUE"""),44901)</f>
        <v>44901</v>
      </c>
      <c r="D3759" s="25" t="str">
        <f ca="1">IFERROR(__xludf.DUMMYFUNCTION("""COMPUTED_VALUE"""),"Planeación")</f>
        <v>Planeación</v>
      </c>
      <c r="E3759" s="25" t="str">
        <f ca="1">IFERROR(__xludf.DUMMYFUNCTION("""COMPUTED_VALUE"""),"Secretaría Distrital de Planeación")</f>
        <v>Secretaría Distrital de Planeación</v>
      </c>
      <c r="F3759" s="25" t="str">
        <f ca="1">IFERROR(__xludf.DUMMYFUNCTION("""COMPUTED_VALUE"""),"Mesa de trabajo PAR VIAL DE USME DONDE SE HAN TENIDO CON INCONVENIENTES CON LA REVISION DE CIRCULACION Y MOVILIDAD")</f>
        <v>Mesa de trabajo PAR VIAL DE USME DONDE SE HAN TENIDO CON INCONVENIENTES CON LA REVISION DE CIRCULACION Y MOVILIDAD</v>
      </c>
      <c r="G3759" s="25" t="str">
        <f ca="1">IFERROR(__xludf.DUMMYFUNCTION("""COMPUTED_VALUE"""),"05. Usme")</f>
        <v>05. Usme</v>
      </c>
      <c r="H3759" s="55">
        <f ca="1">IFERROR(__xludf.DUMMYFUNCTION("""COMPUTED_VALUE"""),45077)</f>
        <v>45077</v>
      </c>
      <c r="I3759" s="25" t="str">
        <f ca="1">IFERROR(__xludf.DUMMYFUNCTION("""COMPUTED_VALUE"""),"Secretaría Privada")</f>
        <v>Secretaría Privada</v>
      </c>
      <c r="J3759" s="55" t="str">
        <f ca="1">IFERROR(__xludf.DUMMYFUNCTION("""COMPUTED_VALUE"""),"Media")</f>
        <v>Media</v>
      </c>
      <c r="K3759" s="25">
        <f ca="1">IFERROR(__xludf.DUMMYFUNCTION("""COMPUTED_VALUE"""),176)</f>
        <v>176</v>
      </c>
      <c r="L3759" s="62"/>
      <c r="M3759" s="25"/>
      <c r="N3759" s="25"/>
      <c r="O3759" s="25" t="str">
        <f t="shared" ca="1" si="0"/>
        <v>Secretaría Distrital de Planeación</v>
      </c>
      <c r="P3759" s="25" t="str">
        <f t="shared" ca="1" si="2"/>
        <v/>
      </c>
      <c r="Q3759" s="25"/>
      <c r="R3759" s="25"/>
      <c r="S3759" s="55"/>
      <c r="T3759" s="56"/>
      <c r="U3759" s="25"/>
      <c r="V3759" s="25"/>
      <c r="W3759" s="25"/>
      <c r="X3759" s="25"/>
      <c r="Y3759" s="25"/>
      <c r="Z3759" s="25"/>
    </row>
    <row r="3760" spans="1:26" ht="52.5" customHeight="1" x14ac:dyDescent="0.25">
      <c r="A3760" s="25" t="str">
        <f ca="1">IFERROR(__xludf.DUMMYFUNCTION("""COMPUTED_VALUE"""),"Plane158")</f>
        <v>Plane158</v>
      </c>
      <c r="B3760" s="25" t="str">
        <f ca="1">IFERROR(__xludf.DUMMYFUNCTION("""COMPUTED_VALUE"""),"Consejo Local de Gobierno de Barrios Unidos")</f>
        <v>Consejo Local de Gobierno de Barrios Unidos</v>
      </c>
      <c r="C3760" s="55">
        <f ca="1">IFERROR(__xludf.DUMMYFUNCTION("""COMPUTED_VALUE"""),44637)</f>
        <v>44637</v>
      </c>
      <c r="D3760" s="25" t="str">
        <f ca="1">IFERROR(__xludf.DUMMYFUNCTION("""COMPUTED_VALUE"""),"Planeación")</f>
        <v>Planeación</v>
      </c>
      <c r="E3760" s="25" t="str">
        <f ca="1">IFERROR(__xludf.DUMMYFUNCTION("""COMPUTED_VALUE"""),"Secretaría Distrital de Planeación")</f>
        <v>Secretaría Distrital de Planeación</v>
      </c>
      <c r="F3760" s="25" t="str">
        <f ca="1">IFERROR(__xludf.DUMMYFUNCTION("""COMPUTED_VALUE"""),"Revisar y tomar acciones para recuperar el espacio de parqueaderos públicos que ha sido invadido por el conjunto Residencial los Cipreses (Calle 66 # 59-31). Han expuesto el caso ante la alcaldía local y no han tenido respuesta")</f>
        <v>Revisar y tomar acciones para recuperar el espacio de parqueaderos públicos que ha sido invadido por el conjunto Residencial los Cipreses (Calle 66 # 59-31). Han expuesto el caso ante la alcaldía local y no han tenido respuesta</v>
      </c>
      <c r="G3760" s="25" t="str">
        <f ca="1">IFERROR(__xludf.DUMMYFUNCTION("""COMPUTED_VALUE"""),"12. Barrios Unidos")</f>
        <v>12. Barrios Unidos</v>
      </c>
      <c r="H3760" s="55">
        <f ca="1">IFERROR(__xludf.DUMMYFUNCTION("""COMPUTED_VALUE"""),45077)</f>
        <v>45077</v>
      </c>
      <c r="I3760" s="25" t="str">
        <f ca="1">IFERROR(__xludf.DUMMYFUNCTION("""COMPUTED_VALUE"""),"Secretaría Privada")</f>
        <v>Secretaría Privada</v>
      </c>
      <c r="J3760" s="55" t="str">
        <f ca="1">IFERROR(__xludf.DUMMYFUNCTION("""COMPUTED_VALUE"""),"Baja")</f>
        <v>Baja</v>
      </c>
      <c r="K3760" s="25">
        <f ca="1">IFERROR(__xludf.DUMMYFUNCTION("""COMPUTED_VALUE"""),440)</f>
        <v>440</v>
      </c>
      <c r="L3760" s="62"/>
      <c r="M3760" s="25"/>
      <c r="N3760" s="25"/>
      <c r="O3760" s="25" t="str">
        <f t="shared" ca="1" si="0"/>
        <v>Secretaría Distrital de Planeación</v>
      </c>
      <c r="P3760" s="25" t="str">
        <f t="shared" ca="1" si="2"/>
        <v/>
      </c>
      <c r="Q3760" s="25"/>
      <c r="R3760" s="25"/>
      <c r="S3760" s="55"/>
      <c r="T3760" s="56"/>
      <c r="U3760" s="25"/>
      <c r="V3760" s="25"/>
      <c r="W3760" s="25"/>
      <c r="X3760" s="25"/>
      <c r="Y3760" s="25"/>
      <c r="Z3760" s="25"/>
    </row>
    <row r="3761" spans="1:26" ht="52.5" customHeight="1" x14ac:dyDescent="0.25">
      <c r="A3761" s="25" t="str">
        <f ca="1">IFERROR(__xludf.DUMMYFUNCTION("""COMPUTED_VALUE"""),"Plane159")</f>
        <v>Plane159</v>
      </c>
      <c r="B3761" s="25" t="str">
        <f ca="1">IFERROR(__xludf.DUMMYFUNCTION("""COMPUTED_VALUE"""),"Consejo Local de Gobierno de Tunjuelito")</f>
        <v>Consejo Local de Gobierno de Tunjuelito</v>
      </c>
      <c r="C3761" s="55">
        <f ca="1">IFERROR(__xludf.DUMMYFUNCTION("""COMPUTED_VALUE"""),44686)</f>
        <v>44686</v>
      </c>
      <c r="D3761" s="25" t="str">
        <f ca="1">IFERROR(__xludf.DUMMYFUNCTION("""COMPUTED_VALUE"""),"Planeación")</f>
        <v>Planeación</v>
      </c>
      <c r="E3761" s="25" t="str">
        <f ca="1">IFERROR(__xludf.DUMMYFUNCTION("""COMPUTED_VALUE"""),"Secretaría Distrital de Planeación")</f>
        <v>Secretaría Distrital de Planeación</v>
      </c>
      <c r="F3761" s="25" t="str">
        <f ca="1">IFERROR(__xludf.DUMMYFUNCTION("""COMPUTED_VALUE"""),"Organizar una socialización del POT especialmente sobre el proyecto ""Reverdecer del sur"" con las organizaciones ambientales y la Red Huertera")</f>
        <v>Organizar una socialización del POT especialmente sobre el proyecto "Reverdecer del sur" con las organizaciones ambientales y la Red Huertera</v>
      </c>
      <c r="G3761" s="25" t="str">
        <f ca="1">IFERROR(__xludf.DUMMYFUNCTION("""COMPUTED_VALUE"""),"06. Tunjuelito")</f>
        <v>06. Tunjuelito</v>
      </c>
      <c r="H3761" s="55">
        <f ca="1">IFERROR(__xludf.DUMMYFUNCTION("""COMPUTED_VALUE"""),44821)</f>
        <v>44821</v>
      </c>
      <c r="I3761" s="25"/>
      <c r="J3761" s="55" t="str">
        <f ca="1">IFERROR(__xludf.DUMMYFUNCTION("""COMPUTED_VALUE"""),"Media")</f>
        <v>Media</v>
      </c>
      <c r="K3761" s="25">
        <f ca="1">IFERROR(__xludf.DUMMYFUNCTION("""COMPUTED_VALUE"""),135)</f>
        <v>135</v>
      </c>
      <c r="L3761" s="62"/>
      <c r="M3761" s="25"/>
      <c r="N3761" s="25"/>
      <c r="O3761" s="25" t="str">
        <f t="shared" ca="1" si="0"/>
        <v>Secretaría Distrital de Planeación</v>
      </c>
      <c r="P3761" s="25" t="str">
        <f t="shared" si="2"/>
        <v/>
      </c>
      <c r="Q3761" s="25"/>
      <c r="R3761" s="25"/>
      <c r="S3761" s="55"/>
      <c r="T3761" s="56"/>
      <c r="U3761" s="25"/>
      <c r="V3761" s="25"/>
      <c r="W3761" s="25"/>
      <c r="X3761" s="25"/>
      <c r="Y3761" s="25"/>
      <c r="Z3761" s="25"/>
    </row>
    <row r="3762" spans="1:26" ht="52.5" customHeight="1" x14ac:dyDescent="0.25">
      <c r="A3762" s="25" t="str">
        <f ca="1">IFERROR(__xludf.DUMMYFUNCTION("""COMPUTED_VALUE"""),"Plane160")</f>
        <v>Plane160</v>
      </c>
      <c r="B3762" s="25" t="str">
        <f ca="1">IFERROR(__xludf.DUMMYFUNCTION("""COMPUTED_VALUE"""),"Consejo Local de Gobierno de Santa Fe")</f>
        <v>Consejo Local de Gobierno de Santa Fe</v>
      </c>
      <c r="C3762" s="55">
        <f ca="1">IFERROR(__xludf.DUMMYFUNCTION("""COMPUTED_VALUE"""),44693)</f>
        <v>44693</v>
      </c>
      <c r="D3762" s="25" t="str">
        <f ca="1">IFERROR(__xludf.DUMMYFUNCTION("""COMPUTED_VALUE"""),"Planeación")</f>
        <v>Planeación</v>
      </c>
      <c r="E3762" s="25" t="str">
        <f ca="1">IFERROR(__xludf.DUMMYFUNCTION("""COMPUTED_VALUE"""),"Secretaría Distrital de Planeación")</f>
        <v>Secretaría Distrital de Planeación</v>
      </c>
      <c r="F3762" s="25" t="str">
        <f ca="1">IFERROR(__xludf.DUMMYFUNCTION("""COMPUTED_VALUE"""),"Realizar talleres para concertar con los habitantes de las localidades de La Candelaria y Santa Fe la implementación del POT y el PEMP en la zona.")</f>
        <v>Realizar talleres para concertar con los habitantes de las localidades de La Candelaria y Santa Fe la implementación del POT y el PEMP en la zona.</v>
      </c>
      <c r="G3762" s="25" t="str">
        <f ca="1">IFERROR(__xludf.DUMMYFUNCTION("""COMPUTED_VALUE"""),"03. Santa Fe")</f>
        <v>03. Santa Fe</v>
      </c>
      <c r="H3762" s="55">
        <f ca="1">IFERROR(__xludf.DUMMYFUNCTION("""COMPUTED_VALUE"""),45077)</f>
        <v>45077</v>
      </c>
      <c r="I3762" s="25" t="str">
        <f ca="1">IFERROR(__xludf.DUMMYFUNCTION("""COMPUTED_VALUE"""),"Secretaría Privada")</f>
        <v>Secretaría Privada</v>
      </c>
      <c r="J3762" s="55" t="str">
        <f ca="1">IFERROR(__xludf.DUMMYFUNCTION("""COMPUTED_VALUE"""),"Baja")</f>
        <v>Baja</v>
      </c>
      <c r="K3762" s="25">
        <f ca="1">IFERROR(__xludf.DUMMYFUNCTION("""COMPUTED_VALUE"""),384)</f>
        <v>384</v>
      </c>
      <c r="L3762" s="62"/>
      <c r="M3762" s="25"/>
      <c r="N3762" s="25"/>
      <c r="O3762" s="25" t="str">
        <f t="shared" ca="1" si="0"/>
        <v>Secretaría Distrital de Planeación</v>
      </c>
      <c r="P3762" s="25" t="str">
        <f t="shared" ca="1" si="2"/>
        <v/>
      </c>
      <c r="Q3762" s="25"/>
      <c r="R3762" s="25"/>
      <c r="S3762" s="55"/>
      <c r="T3762" s="56"/>
      <c r="U3762" s="25"/>
      <c r="V3762" s="25"/>
      <c r="W3762" s="25"/>
      <c r="X3762" s="25"/>
      <c r="Y3762" s="25"/>
      <c r="Z3762" s="25"/>
    </row>
    <row r="3763" spans="1:26" ht="52.5" customHeight="1" x14ac:dyDescent="0.25">
      <c r="A3763" s="25" t="str">
        <f ca="1">IFERROR(__xludf.DUMMYFUNCTION("""COMPUTED_VALUE"""),"Plane161")</f>
        <v>Plane161</v>
      </c>
      <c r="B3763" s="25" t="str">
        <f ca="1">IFERROR(__xludf.DUMMYFUNCTION("""COMPUTED_VALUE"""),"Consejo Local de Gobierno de Santa Fe")</f>
        <v>Consejo Local de Gobierno de Santa Fe</v>
      </c>
      <c r="C3763" s="55">
        <f ca="1">IFERROR(__xludf.DUMMYFUNCTION("""COMPUTED_VALUE"""),44693)</f>
        <v>44693</v>
      </c>
      <c r="D3763" s="25" t="str">
        <f ca="1">IFERROR(__xludf.DUMMYFUNCTION("""COMPUTED_VALUE"""),"Planeación")</f>
        <v>Planeación</v>
      </c>
      <c r="E3763" s="25" t="str">
        <f ca="1">IFERROR(__xludf.DUMMYFUNCTION("""COMPUTED_VALUE"""),"Secretaría Distrital de Planeación")</f>
        <v>Secretaría Distrital de Planeación</v>
      </c>
      <c r="F3763" s="25" t="str">
        <f ca="1">IFERROR(__xludf.DUMMYFUNCTION("""COMPUTED_VALUE"""),"Concertar una reunión con la comunidad del barrio Fenicia (Calle 22 con carrera 3 hasta la carrera 1), con el objetivo de solucionar problemática la que se está presentando en esa unidad de actuación")</f>
        <v>Concertar una reunión con la comunidad del barrio Fenicia (Calle 22 con carrera 3 hasta la carrera 1), con el objetivo de solucionar problemática la que se está presentando en esa unidad de actuación</v>
      </c>
      <c r="G3763" s="25" t="str">
        <f ca="1">IFERROR(__xludf.DUMMYFUNCTION("""COMPUTED_VALUE"""),"03. Santa Fe")</f>
        <v>03. Santa Fe</v>
      </c>
      <c r="H3763" s="55">
        <f ca="1">IFERROR(__xludf.DUMMYFUNCTION("""COMPUTED_VALUE"""),44697)</f>
        <v>44697</v>
      </c>
      <c r="I3763" s="25"/>
      <c r="J3763" s="55" t="str">
        <f ca="1">IFERROR(__xludf.DUMMYFUNCTION("""COMPUTED_VALUE"""),"Alta")</f>
        <v>Alta</v>
      </c>
      <c r="K3763" s="25">
        <f ca="1">IFERROR(__xludf.DUMMYFUNCTION("""COMPUTED_VALUE"""),4)</f>
        <v>4</v>
      </c>
      <c r="L3763" s="62"/>
      <c r="M3763" s="25"/>
      <c r="N3763" s="25"/>
      <c r="O3763" s="25" t="str">
        <f t="shared" ca="1" si="0"/>
        <v>Secretaría Distrital de Planeación</v>
      </c>
      <c r="P3763" s="25" t="str">
        <f t="shared" si="2"/>
        <v/>
      </c>
      <c r="Q3763" s="25"/>
      <c r="R3763" s="25"/>
      <c r="S3763" s="55"/>
      <c r="T3763" s="56"/>
      <c r="U3763" s="25"/>
      <c r="V3763" s="25"/>
      <c r="W3763" s="25"/>
      <c r="X3763" s="25"/>
      <c r="Y3763" s="25"/>
      <c r="Z3763" s="25"/>
    </row>
    <row r="3764" spans="1:26" ht="52.5" customHeight="1" x14ac:dyDescent="0.25">
      <c r="A3764" s="25" t="str">
        <f ca="1">IFERROR(__xludf.DUMMYFUNCTION("""COMPUTED_VALUE"""),"Plane162")</f>
        <v>Plane162</v>
      </c>
      <c r="B3764" s="25" t="str">
        <f ca="1">IFERROR(__xludf.DUMMYFUNCTION("""COMPUTED_VALUE"""),"Consejo Local de Giobierno de Rafael uribe Uribe")</f>
        <v>Consejo Local de Giobierno de Rafael uribe Uribe</v>
      </c>
      <c r="C3764" s="55">
        <f ca="1">IFERROR(__xludf.DUMMYFUNCTION("""COMPUTED_VALUE"""),44714)</f>
        <v>44714</v>
      </c>
      <c r="D3764" s="25" t="str">
        <f ca="1">IFERROR(__xludf.DUMMYFUNCTION("""COMPUTED_VALUE"""),"Planeación")</f>
        <v>Planeación</v>
      </c>
      <c r="E3764" s="25" t="str">
        <f ca="1">IFERROR(__xludf.DUMMYFUNCTION("""COMPUTED_VALUE"""),"Secretaría Distrital de Planeación")</f>
        <v>Secretaría Distrital de Planeación</v>
      </c>
      <c r="F3764" s="25" t="str">
        <f ca="1">IFERROR(__xludf.DUMMYFUNCTION("""COMPUTED_VALUE"""),"Organizar una mesa de socialización para dar a conocer a la comunidad todo el tema de organización de las futuras UPLs")</f>
        <v>Organizar una mesa de socialización para dar a conocer a la comunidad todo el tema de organización de las futuras UPLs</v>
      </c>
      <c r="G3764" s="25" t="str">
        <f ca="1">IFERROR(__xludf.DUMMYFUNCTION("""COMPUTED_VALUE"""),"18. Rafael Uribe Uribe")</f>
        <v>18. Rafael Uribe Uribe</v>
      </c>
      <c r="H3764" s="55">
        <f ca="1">IFERROR(__xludf.DUMMYFUNCTION("""COMPUTED_VALUE"""),45077)</f>
        <v>45077</v>
      </c>
      <c r="I3764" s="25"/>
      <c r="J3764" s="55" t="str">
        <f ca="1">IFERROR(__xludf.DUMMYFUNCTION("""COMPUTED_VALUE"""),"Baja")</f>
        <v>Baja</v>
      </c>
      <c r="K3764" s="25">
        <f ca="1">IFERROR(__xludf.DUMMYFUNCTION("""COMPUTED_VALUE"""),363)</f>
        <v>363</v>
      </c>
      <c r="L3764" s="62"/>
      <c r="M3764" s="25"/>
      <c r="N3764" s="25"/>
      <c r="O3764" s="25" t="str">
        <f t="shared" ca="1" si="0"/>
        <v>Secretaría Distrital de Planeación</v>
      </c>
      <c r="P3764" s="25" t="str">
        <f t="shared" si="2"/>
        <v/>
      </c>
      <c r="Q3764" s="25"/>
      <c r="R3764" s="25"/>
      <c r="S3764" s="55"/>
      <c r="T3764" s="56"/>
      <c r="U3764" s="25"/>
      <c r="V3764" s="25"/>
      <c r="W3764" s="25"/>
      <c r="X3764" s="25"/>
      <c r="Y3764" s="25"/>
      <c r="Z3764" s="25"/>
    </row>
    <row r="3765" spans="1:26" ht="52.5" customHeight="1" x14ac:dyDescent="0.25">
      <c r="A3765" s="25" t="str">
        <f ca="1">IFERROR(__xludf.DUMMYFUNCTION("""COMPUTED_VALUE"""),"Plane163")</f>
        <v>Plane163</v>
      </c>
      <c r="B3765" s="25" t="str">
        <f ca="1">IFERROR(__xludf.DUMMYFUNCTION("""COMPUTED_VALUE"""),"Recorrido Sumapaz")</f>
        <v>Recorrido Sumapaz</v>
      </c>
      <c r="C3765" s="55">
        <f ca="1">IFERROR(__xludf.DUMMYFUNCTION("""COMPUTED_VALUE"""),44961)</f>
        <v>44961</v>
      </c>
      <c r="D3765" s="25" t="str">
        <f ca="1">IFERROR(__xludf.DUMMYFUNCTION("""COMPUTED_VALUE"""),"Planeación")</f>
        <v>Planeación</v>
      </c>
      <c r="E3765" s="25" t="str">
        <f ca="1">IFERROR(__xludf.DUMMYFUNCTION("""COMPUTED_VALUE"""),"Secretaría Distrital de Planeación")</f>
        <v>Secretaría Distrital de Planeación</v>
      </c>
      <c r="F3765" s="25" t="str">
        <f ca="1">IFERROR(__xludf.DUMMYFUNCTION("""COMPUTED_VALUE"""),"La SDP debe disponer de referentes territoriales en la localidad de Sumapaz para atender las tareas que se requieran en el marco de la Zona de Reserva Campesina.")</f>
        <v>La SDP debe disponer de referentes territoriales en la localidad de Sumapaz para atender las tareas que se requieran en el marco de la Zona de Reserva Campesina.</v>
      </c>
      <c r="G3765" s="25" t="str">
        <f ca="1">IFERROR(__xludf.DUMMYFUNCTION("""COMPUTED_VALUE"""),"20. Sumapaz")</f>
        <v>20. Sumapaz</v>
      </c>
      <c r="H3765" s="55">
        <f ca="1">IFERROR(__xludf.DUMMYFUNCTION("""COMPUTED_VALUE"""),45061)</f>
        <v>45061</v>
      </c>
      <c r="I3765" s="25"/>
      <c r="J3765" s="55" t="str">
        <f ca="1">IFERROR(__xludf.DUMMYFUNCTION("""COMPUTED_VALUE"""),"Media")</f>
        <v>Media</v>
      </c>
      <c r="K3765" s="25">
        <f ca="1">IFERROR(__xludf.DUMMYFUNCTION("""COMPUTED_VALUE"""),100)</f>
        <v>100</v>
      </c>
      <c r="L3765" s="62"/>
      <c r="M3765" s="25"/>
      <c r="N3765" s="25"/>
      <c r="O3765" s="25" t="str">
        <f t="shared" ca="1" si="0"/>
        <v>Secretaría Distrital de Planeación</v>
      </c>
      <c r="P3765" s="25" t="str">
        <f t="shared" si="2"/>
        <v/>
      </c>
      <c r="Q3765" s="25"/>
      <c r="R3765" s="25"/>
      <c r="S3765" s="55"/>
      <c r="T3765" s="56"/>
      <c r="U3765" s="25"/>
      <c r="V3765" s="25"/>
      <c r="W3765" s="25"/>
      <c r="X3765" s="25"/>
      <c r="Y3765" s="25"/>
      <c r="Z3765" s="25"/>
    </row>
    <row r="3766" spans="1:26" ht="52.5" customHeight="1" x14ac:dyDescent="0.25">
      <c r="A3766" s="25" t="str">
        <f ca="1">IFERROR(__xludf.DUMMYFUNCTION("""COMPUTED_VALUE"""),"Plane164")</f>
        <v>Plane164</v>
      </c>
      <c r="B3766" s="25" t="str">
        <f ca="1">IFERROR(__xludf.DUMMYFUNCTION("""COMPUTED_VALUE"""),"Recorrido Usaquén")</f>
        <v>Recorrido Usaquén</v>
      </c>
      <c r="C3766" s="55">
        <f ca="1">IFERROR(__xludf.DUMMYFUNCTION("""COMPUTED_VALUE"""),45034)</f>
        <v>45034</v>
      </c>
      <c r="D3766" s="25" t="str">
        <f ca="1">IFERROR(__xludf.DUMMYFUNCTION("""COMPUTED_VALUE"""),"Planeación")</f>
        <v>Planeación</v>
      </c>
      <c r="E3766" s="25" t="str">
        <f ca="1">IFERROR(__xludf.DUMMYFUNCTION("""COMPUTED_VALUE"""),"Secretaría Distrital de Planeación")</f>
        <v>Secretaría Distrital de Planeación</v>
      </c>
      <c r="F3766" s="25" t="str">
        <f ca="1">IFERROR(__xludf.DUMMYFUNCTION("""COMPUTED_VALUE"""),"Revisar junto la UAESP y el DADEP la viabilidad de disponer zonas de reserva vial señaladas en el POT, como bodegas temporales de acopio de carreteros.")</f>
        <v>Revisar junto la UAESP y el DADEP la viabilidad de disponer zonas de reserva vial señaladas en el POT, como bodegas temporales de acopio de carreteros.</v>
      </c>
      <c r="G3766" s="25" t="str">
        <f ca="1">IFERROR(__xludf.DUMMYFUNCTION("""COMPUTED_VALUE"""),"01. Usaquén")</f>
        <v>01. Usaquén</v>
      </c>
      <c r="H3766" s="55">
        <f ca="1">IFERROR(__xludf.DUMMYFUNCTION("""COMPUTED_VALUE"""),45092)</f>
        <v>45092</v>
      </c>
      <c r="I3766" s="25" t="str">
        <f ca="1">IFERROR(__xludf.DUMMYFUNCTION("""COMPUTED_VALUE"""),"Secretaría Privada")</f>
        <v>Secretaría Privada</v>
      </c>
      <c r="J3766" s="55" t="str">
        <f ca="1">IFERROR(__xludf.DUMMYFUNCTION("""COMPUTED_VALUE"""),"Alta")</f>
        <v>Alta</v>
      </c>
      <c r="K3766" s="25">
        <f ca="1">IFERROR(__xludf.DUMMYFUNCTION("""COMPUTED_VALUE"""),58)</f>
        <v>58</v>
      </c>
      <c r="L3766" s="62"/>
      <c r="M3766" s="25"/>
      <c r="N3766" s="25"/>
      <c r="O3766" s="25" t="str">
        <f t="shared" ca="1" si="0"/>
        <v>Secretaría Distrital de Planeación</v>
      </c>
      <c r="P3766" s="25" t="str">
        <f t="shared" ca="1" si="2"/>
        <v/>
      </c>
      <c r="Q3766" s="25"/>
      <c r="R3766" s="25"/>
      <c r="S3766" s="55"/>
      <c r="T3766" s="56"/>
      <c r="U3766" s="25"/>
      <c r="V3766" s="25"/>
      <c r="W3766" s="25"/>
      <c r="X3766" s="25"/>
      <c r="Y3766" s="25"/>
      <c r="Z3766" s="25"/>
    </row>
    <row r="3767" spans="1:26" ht="52.5" customHeight="1" x14ac:dyDescent="0.25">
      <c r="A3767" s="25" t="str">
        <f ca="1">IFERROR(__xludf.DUMMYFUNCTION("""COMPUTED_VALUE"""),"Plane165")</f>
        <v>Plane165</v>
      </c>
      <c r="B3767" s="25" t="str">
        <f ca="1">IFERROR(__xludf.DUMMYFUNCTION("""COMPUTED_VALUE"""),"Consejo Local de Giobierno de Rafael uribe Uribe")</f>
        <v>Consejo Local de Giobierno de Rafael uribe Uribe</v>
      </c>
      <c r="C3767" s="55">
        <f ca="1">IFERROR(__xludf.DUMMYFUNCTION("""COMPUTED_VALUE"""),44714)</f>
        <v>44714</v>
      </c>
      <c r="D3767" s="25" t="str">
        <f ca="1">IFERROR(__xludf.DUMMYFUNCTION("""COMPUTED_VALUE"""),"Planeación")</f>
        <v>Planeación</v>
      </c>
      <c r="E3767" s="25" t="str">
        <f ca="1">IFERROR(__xludf.DUMMYFUNCTION("""COMPUTED_VALUE"""),"Secretaría Distrital de Planeación")</f>
        <v>Secretaría Distrital de Planeación</v>
      </c>
      <c r="F3767" s="25" t="str">
        <f ca="1">IFERROR(__xludf.DUMMYFUNCTION("""COMPUTED_VALUE"""),"Revisar la problemática del barrio pijaos. La Caja de Vivienda Popular no hizo el registro del barrio en debida forma ante Secretaría de Planeación y Catastro, y ahora no figura con el nombre que le dio la comunidad")</f>
        <v>Revisar la problemática del barrio pijaos. La Caja de Vivienda Popular no hizo el registro del barrio en debida forma ante Secretaría de Planeación y Catastro, y ahora no figura con el nombre que le dio la comunidad</v>
      </c>
      <c r="G3767" s="25" t="str">
        <f ca="1">IFERROR(__xludf.DUMMYFUNCTION("""COMPUTED_VALUE"""),"18. Rafael Uribe Uribe")</f>
        <v>18. Rafael Uribe Uribe</v>
      </c>
      <c r="H3767" s="55">
        <f ca="1">IFERROR(__xludf.DUMMYFUNCTION("""COMPUTED_VALUE"""),45077)</f>
        <v>45077</v>
      </c>
      <c r="I3767" s="25" t="str">
        <f ca="1">IFERROR(__xludf.DUMMYFUNCTION("""COMPUTED_VALUE"""),"Secretaría Privada")</f>
        <v>Secretaría Privada</v>
      </c>
      <c r="J3767" s="55" t="str">
        <f ca="1">IFERROR(__xludf.DUMMYFUNCTION("""COMPUTED_VALUE"""),"Baja")</f>
        <v>Baja</v>
      </c>
      <c r="K3767" s="25">
        <f ca="1">IFERROR(__xludf.DUMMYFUNCTION("""COMPUTED_VALUE"""),363)</f>
        <v>363</v>
      </c>
      <c r="L3767" s="62"/>
      <c r="M3767" s="25"/>
      <c r="N3767" s="25"/>
      <c r="O3767" s="25" t="str">
        <f t="shared" ca="1" si="0"/>
        <v>Secretaría Distrital de Planeación</v>
      </c>
      <c r="P3767" s="25" t="str">
        <f t="shared" ca="1" si="2"/>
        <v/>
      </c>
      <c r="Q3767" s="25"/>
      <c r="R3767" s="25"/>
      <c r="S3767" s="55"/>
      <c r="T3767" s="56"/>
      <c r="U3767" s="25"/>
      <c r="V3767" s="25"/>
      <c r="W3767" s="25"/>
      <c r="X3767" s="25"/>
      <c r="Y3767" s="25"/>
      <c r="Z3767" s="25"/>
    </row>
    <row r="3768" spans="1:26" ht="52.5" customHeight="1" x14ac:dyDescent="0.25">
      <c r="A3768" s="25" t="str">
        <f ca="1">IFERROR(__xludf.DUMMYFUNCTION("""COMPUTED_VALUE"""),"Plane166")</f>
        <v>Plane166</v>
      </c>
      <c r="B3768" s="25"/>
      <c r="C3768" s="55"/>
      <c r="D3768" s="25" t="str">
        <f ca="1">IFERROR(__xludf.DUMMYFUNCTION("""COMPUTED_VALUE"""),"Planeación")</f>
        <v>Planeación</v>
      </c>
      <c r="E3768" s="25" t="str">
        <f ca="1">IFERROR(__xludf.DUMMYFUNCTION("""COMPUTED_VALUE"""),"Secretaría Distrital de Planeación")</f>
        <v>Secretaría Distrital de Planeación</v>
      </c>
      <c r="F3768" s="25" t="str">
        <f ca="1">IFERROR(__xludf.DUMMYFUNCTION("""COMPUTED_VALUE"""),"Eliminada")</f>
        <v>Eliminada</v>
      </c>
      <c r="G3768" s="25"/>
      <c r="H3768" s="25"/>
      <c r="I3768" s="25"/>
      <c r="J3768" s="55"/>
      <c r="K3768" s="25" t="str">
        <f ca="1">IFERROR(__xludf.DUMMYFUNCTION("""COMPUTED_VALUE"""),"Definir fecha")</f>
        <v>Definir fecha</v>
      </c>
      <c r="L3768" s="62"/>
      <c r="M3768" s="25"/>
      <c r="N3768" s="25"/>
      <c r="O3768" s="25" t="str">
        <f t="shared" ca="1" si="0"/>
        <v>Secretaría Distrital de Planeación</v>
      </c>
      <c r="P3768" s="25" t="str">
        <f t="shared" si="2"/>
        <v/>
      </c>
      <c r="Q3768" s="25"/>
      <c r="R3768" s="25"/>
      <c r="S3768" s="55"/>
      <c r="T3768" s="56"/>
      <c r="U3768" s="25"/>
      <c r="V3768" s="25"/>
      <c r="W3768" s="25"/>
      <c r="X3768" s="25"/>
      <c r="Y3768" s="25"/>
      <c r="Z3768" s="25"/>
    </row>
    <row r="3769" spans="1:26" ht="52.5" customHeight="1" x14ac:dyDescent="0.25">
      <c r="A3769" s="25" t="str">
        <f ca="1">IFERROR(__xludf.DUMMYFUNCTION("""COMPUTED_VALUE"""),"Plane167")</f>
        <v>Plane167</v>
      </c>
      <c r="B3769" s="25" t="str">
        <f ca="1">IFERROR(__xludf.DUMMYFUNCTION("""COMPUTED_VALUE"""),"Seguimiento Reglamentación POT")</f>
        <v>Seguimiento Reglamentación POT</v>
      </c>
      <c r="C3769" s="55">
        <f ca="1">IFERROR(__xludf.DUMMYFUNCTION("""COMPUTED_VALUE"""),45033)</f>
        <v>45033</v>
      </c>
      <c r="D3769" s="25" t="str">
        <f ca="1">IFERROR(__xludf.DUMMYFUNCTION("""COMPUTED_VALUE"""),"Planeación")</f>
        <v>Planeación</v>
      </c>
      <c r="E3769" s="25" t="str">
        <f ca="1">IFERROR(__xludf.DUMMYFUNCTION("""COMPUTED_VALUE"""),"Secretaría Distrital de Planeación")</f>
        <v>Secretaría Distrital de Planeación</v>
      </c>
      <c r="F3769" s="25" t="str">
        <f ca="1">IFERROR(__xludf.DUMMYFUNCTION("""COMPUTED_VALUE"""),"En articulación con la Secretaría Jurídica, revisar si de acuerdo con lo establecido tanto en la normatividad nacional, como lo establecido en la reglamentación del POT las atribuciones sugeridas en la propuesta de designación de operadores es viable.")</f>
        <v>En articulación con la Secretaría Jurídica, revisar si de acuerdo con lo establecido tanto en la normatividad nacional, como lo establecido en la reglamentación del POT las atribuciones sugeridas en la propuesta de designación de operadores es viable.</v>
      </c>
      <c r="G3769" s="25" t="str">
        <f ca="1">IFERROR(__xludf.DUMMYFUNCTION("""COMPUTED_VALUE"""),"99. Distrito")</f>
        <v>99. Distrito</v>
      </c>
      <c r="H3769" s="55">
        <f ca="1">IFERROR(__xludf.DUMMYFUNCTION("""COMPUTED_VALUE"""),45105)</f>
        <v>45105</v>
      </c>
      <c r="I3769" s="25" t="str">
        <f ca="1">IFERROR(__xludf.DUMMYFUNCTION("""COMPUTED_VALUE"""),"Junta de Infraestructura")</f>
        <v>Junta de Infraestructura</v>
      </c>
      <c r="J3769" s="55" t="str">
        <f ca="1">IFERROR(__xludf.DUMMYFUNCTION("""COMPUTED_VALUE"""),"Media")</f>
        <v>Media</v>
      </c>
      <c r="K3769" s="25">
        <f ca="1">IFERROR(__xludf.DUMMYFUNCTION("""COMPUTED_VALUE"""),72)</f>
        <v>72</v>
      </c>
      <c r="L3769" s="62"/>
      <c r="M3769" s="25"/>
      <c r="N3769" s="25"/>
      <c r="O3769" s="25" t="str">
        <f t="shared" ca="1" si="0"/>
        <v>Secretaría Distrital de Planeación</v>
      </c>
      <c r="P3769" s="25" t="str">
        <f t="shared" ca="1" si="2"/>
        <v/>
      </c>
      <c r="Q3769" s="25"/>
      <c r="R3769" s="25"/>
      <c r="S3769" s="55"/>
      <c r="T3769" s="56"/>
      <c r="U3769" s="25"/>
      <c r="V3769" s="25"/>
      <c r="W3769" s="25"/>
      <c r="X3769" s="25"/>
      <c r="Y3769" s="25"/>
      <c r="Z3769" s="25"/>
    </row>
    <row r="3770" spans="1:26" ht="52.5" customHeight="1" x14ac:dyDescent="0.25">
      <c r="A3770" s="25" t="str">
        <f ca="1">IFERROR(__xludf.DUMMYFUNCTION("""COMPUTED_VALUE"""),"Plane168")</f>
        <v>Plane168</v>
      </c>
      <c r="B3770" s="25" t="str">
        <f ca="1">IFERROR(__xludf.DUMMYFUNCTION("""COMPUTED_VALUE"""),"Seguimiento Reglamentación POT")</f>
        <v>Seguimiento Reglamentación POT</v>
      </c>
      <c r="C3770" s="55">
        <f ca="1">IFERROR(__xludf.DUMMYFUNCTION("""COMPUTED_VALUE"""),45033)</f>
        <v>45033</v>
      </c>
      <c r="D3770" s="25" t="str">
        <f ca="1">IFERROR(__xludf.DUMMYFUNCTION("""COMPUTED_VALUE"""),"Planeación")</f>
        <v>Planeación</v>
      </c>
      <c r="E3770" s="25" t="str">
        <f ca="1">IFERROR(__xludf.DUMMYFUNCTION("""COMPUTED_VALUE"""),"Secretaría Distrital de Planeación")</f>
        <v>Secretaría Distrital de Planeación</v>
      </c>
      <c r="F3770" s="25" t="str">
        <f ca="1">IFERROR(__xludf.DUMMYFUNCTION("""COMPUTED_VALUE"""),"Acorde con la propuesta de creación de un operador urbano, analizar y proyectar: cuáles serían las facultades, cuáles serían los instrumentos de financiación y de ejecución y su capacidad de asociación, así como la propuesta de creación de un CONFIS urban"&amp;"o.")</f>
        <v>Acorde con la propuesta de creación de un operador urbano, analizar y proyectar: cuáles serían las facultades, cuáles serían los instrumentos de financiación y de ejecución y su capacidad de asociación, así como la propuesta de creación de un CONFIS urbano.</v>
      </c>
      <c r="G3770" s="25" t="str">
        <f ca="1">IFERROR(__xludf.DUMMYFUNCTION("""COMPUTED_VALUE"""),"99. Distrito")</f>
        <v>99. Distrito</v>
      </c>
      <c r="H3770" s="55">
        <f ca="1">IFERROR(__xludf.DUMMYFUNCTION("""COMPUTED_VALUE"""),45105)</f>
        <v>45105</v>
      </c>
      <c r="I3770" s="25" t="str">
        <f ca="1">IFERROR(__xludf.DUMMYFUNCTION("""COMPUTED_VALUE"""),"Junta de Infraestructura")</f>
        <v>Junta de Infraestructura</v>
      </c>
      <c r="J3770" s="55" t="str">
        <f ca="1">IFERROR(__xludf.DUMMYFUNCTION("""COMPUTED_VALUE"""),"Baja")</f>
        <v>Baja</v>
      </c>
      <c r="K3770" s="25">
        <f ca="1">IFERROR(__xludf.DUMMYFUNCTION("""COMPUTED_VALUE"""),72)</f>
        <v>72</v>
      </c>
      <c r="L3770" s="62"/>
      <c r="M3770" s="25"/>
      <c r="N3770" s="25"/>
      <c r="O3770" s="25" t="str">
        <f t="shared" ca="1" si="0"/>
        <v>Secretaría Distrital de Planeación</v>
      </c>
      <c r="P3770" s="25" t="str">
        <f t="shared" ca="1" si="2"/>
        <v/>
      </c>
      <c r="Q3770" s="25"/>
      <c r="R3770" s="25"/>
      <c r="S3770" s="55"/>
      <c r="T3770" s="56"/>
      <c r="U3770" s="25"/>
      <c r="V3770" s="25"/>
      <c r="W3770" s="25"/>
      <c r="X3770" s="25"/>
      <c r="Y3770" s="25"/>
      <c r="Z3770" s="25"/>
    </row>
    <row r="3771" spans="1:26" ht="52.5" customHeight="1" x14ac:dyDescent="0.25">
      <c r="A3771" s="25" t="str">
        <f ca="1">IFERROR(__xludf.DUMMYFUNCTION("""COMPUTED_VALUE"""),"Plane169")</f>
        <v>Plane169</v>
      </c>
      <c r="B3771" s="25" t="str">
        <f ca="1">IFERROR(__xludf.DUMMYFUNCTION("""COMPUTED_VALUE"""),"Seguimiento reglamentación POT")</f>
        <v>Seguimiento reglamentación POT</v>
      </c>
      <c r="C3771" s="55">
        <f ca="1">IFERROR(__xludf.DUMMYFUNCTION("""COMPUTED_VALUE"""),45051)</f>
        <v>45051</v>
      </c>
      <c r="D3771" s="25" t="str">
        <f ca="1">IFERROR(__xludf.DUMMYFUNCTION("""COMPUTED_VALUE"""),"Planeación")</f>
        <v>Planeación</v>
      </c>
      <c r="E3771" s="25" t="str">
        <f ca="1">IFERROR(__xludf.DUMMYFUNCTION("""COMPUTED_VALUE"""),"Secretaría Distrital de Planeación")</f>
        <v>Secretaría Distrital de Planeación</v>
      </c>
      <c r="F3771" s="25" t="str">
        <f ca="1">IFERROR(__xludf.DUMMYFUNCTION("""COMPUTED_VALUE"""),"Revisar el instrumento en el que se incluyen los lineamientos para articular las actuaciones estratégicas y los derechos de construcción y desarrollo (¿Directrices? ¿Decreto Adopción? ¿Formulación?)")</f>
        <v>Revisar el instrumento en el que se incluyen los lineamientos para articular las actuaciones estratégicas y los derechos de construcción y desarrollo (¿Directrices? ¿Decreto Adopción? ¿Formulación?)</v>
      </c>
      <c r="G3771" s="25" t="str">
        <f ca="1">IFERROR(__xludf.DUMMYFUNCTION("""COMPUTED_VALUE"""),"99. Distrito")</f>
        <v>99. Distrito</v>
      </c>
      <c r="H3771" s="55">
        <f ca="1">IFERROR(__xludf.DUMMYFUNCTION("""COMPUTED_VALUE"""),45077)</f>
        <v>45077</v>
      </c>
      <c r="I3771" s="25" t="str">
        <f ca="1">IFERROR(__xludf.DUMMYFUNCTION("""COMPUTED_VALUE"""),"Junta de Infraestructura")</f>
        <v>Junta de Infraestructura</v>
      </c>
      <c r="J3771" s="55" t="str">
        <f ca="1">IFERROR(__xludf.DUMMYFUNCTION("""COMPUTED_VALUE"""),"Alta")</f>
        <v>Alta</v>
      </c>
      <c r="K3771" s="25">
        <f ca="1">IFERROR(__xludf.DUMMYFUNCTION("""COMPUTED_VALUE"""),26)</f>
        <v>26</v>
      </c>
      <c r="L3771" s="62"/>
      <c r="M3771" s="25"/>
      <c r="N3771" s="25"/>
      <c r="O3771" s="25" t="str">
        <f t="shared" ca="1" si="0"/>
        <v>Secretaría Distrital de Planeación</v>
      </c>
      <c r="P3771" s="25" t="str">
        <f t="shared" ca="1" si="2"/>
        <v/>
      </c>
      <c r="Q3771" s="25"/>
      <c r="R3771" s="25"/>
      <c r="S3771" s="55"/>
      <c r="T3771" s="56"/>
      <c r="U3771" s="25"/>
      <c r="V3771" s="25"/>
      <c r="W3771" s="25"/>
      <c r="X3771" s="25"/>
      <c r="Y3771" s="25"/>
      <c r="Z3771" s="25"/>
    </row>
    <row r="3772" spans="1:26" ht="52.5" customHeight="1" x14ac:dyDescent="0.25">
      <c r="A3772" s="25" t="str">
        <f ca="1">IFERROR(__xludf.DUMMYFUNCTION("""COMPUTED_VALUE"""),"Plane170")</f>
        <v>Plane170</v>
      </c>
      <c r="B3772" s="25" t="str">
        <f ca="1">IFERROR(__xludf.DUMMYFUNCTION("""COMPUTED_VALUE"""),"Seguimiento reglamentación POT")</f>
        <v>Seguimiento reglamentación POT</v>
      </c>
      <c r="C3772" s="55">
        <f ca="1">IFERROR(__xludf.DUMMYFUNCTION("""COMPUTED_VALUE"""),45054)</f>
        <v>45054</v>
      </c>
      <c r="D3772" s="25" t="str">
        <f ca="1">IFERROR(__xludf.DUMMYFUNCTION("""COMPUTED_VALUE"""),"Planeación")</f>
        <v>Planeación</v>
      </c>
      <c r="E3772" s="25" t="str">
        <f ca="1">IFERROR(__xludf.DUMMYFUNCTION("""COMPUTED_VALUE"""),"Secretaría Distrital de Planeación")</f>
        <v>Secretaría Distrital de Planeación</v>
      </c>
      <c r="F3772" s="25" t="str">
        <f ca="1">IFERROR(__xludf.DUMMYFUNCTION("""COMPUTED_VALUE"""),"Expedir el Decreto de Operadores Urbanos previo al lanzamiento de la Subasta de la Ciudadela Educativa y del Cuidado")</f>
        <v>Expedir el Decreto de Operadores Urbanos previo al lanzamiento de la Subasta de la Ciudadela Educativa y del Cuidado</v>
      </c>
      <c r="G3772" s="25" t="str">
        <f ca="1">IFERROR(__xludf.DUMMYFUNCTION("""COMPUTED_VALUE"""),"99. Distrito")</f>
        <v>99. Distrito</v>
      </c>
      <c r="H3772" s="55">
        <f ca="1">IFERROR(__xludf.DUMMYFUNCTION("""COMPUTED_VALUE"""),45199)</f>
        <v>45199</v>
      </c>
      <c r="I3772" s="25" t="str">
        <f ca="1">IFERROR(__xludf.DUMMYFUNCTION("""COMPUTED_VALUE"""),"Junta de Infraestructura")</f>
        <v>Junta de Infraestructura</v>
      </c>
      <c r="J3772" s="55" t="str">
        <f ca="1">IFERROR(__xludf.DUMMYFUNCTION("""COMPUTED_VALUE"""),"Media")</f>
        <v>Media</v>
      </c>
      <c r="K3772" s="25">
        <f ca="1">IFERROR(__xludf.DUMMYFUNCTION("""COMPUTED_VALUE"""),145)</f>
        <v>145</v>
      </c>
      <c r="L3772" s="62"/>
      <c r="M3772" s="25"/>
      <c r="N3772" s="25"/>
      <c r="O3772" s="25" t="str">
        <f t="shared" ca="1" si="0"/>
        <v>Secretaría Distrital de Planeación</v>
      </c>
      <c r="P3772" s="25" t="str">
        <f t="shared" ca="1" si="2"/>
        <v/>
      </c>
      <c r="Q3772" s="25"/>
      <c r="R3772" s="25"/>
      <c r="S3772" s="55"/>
      <c r="T3772" s="56"/>
      <c r="U3772" s="25"/>
      <c r="V3772" s="25"/>
      <c r="W3772" s="25"/>
      <c r="X3772" s="25"/>
      <c r="Y3772" s="25"/>
      <c r="Z3772" s="25"/>
    </row>
    <row r="3773" spans="1:26" ht="52.5" customHeight="1" x14ac:dyDescent="0.25">
      <c r="A3773" s="25" t="str">
        <f ca="1">IFERROR(__xludf.DUMMYFUNCTION("""COMPUTED_VALUE"""),"Plane171")</f>
        <v>Plane171</v>
      </c>
      <c r="B3773" s="25"/>
      <c r="C3773" s="55"/>
      <c r="D3773" s="25" t="str">
        <f ca="1">IFERROR(__xludf.DUMMYFUNCTION("""COMPUTED_VALUE"""),"Planeación")</f>
        <v>Planeación</v>
      </c>
      <c r="E3773" s="25"/>
      <c r="F3773" s="25"/>
      <c r="G3773" s="25"/>
      <c r="H3773" s="25"/>
      <c r="I3773" s="25"/>
      <c r="J3773" s="55"/>
      <c r="K3773" s="25" t="str">
        <f ca="1">IFERROR(__xludf.DUMMYFUNCTION("""COMPUTED_VALUE"""),"Definir fecha")</f>
        <v>Definir fecha</v>
      </c>
      <c r="L3773" s="62"/>
      <c r="M3773" s="25"/>
      <c r="N3773" s="25"/>
      <c r="O3773" s="25">
        <f t="shared" si="0"/>
        <v>0</v>
      </c>
      <c r="P3773" s="25" t="str">
        <f t="shared" si="2"/>
        <v/>
      </c>
      <c r="Q3773" s="25"/>
      <c r="R3773" s="25"/>
      <c r="S3773" s="55"/>
      <c r="T3773" s="56"/>
      <c r="U3773" s="25"/>
      <c r="V3773" s="25"/>
      <c r="W3773" s="25"/>
      <c r="X3773" s="25"/>
      <c r="Y3773" s="25"/>
      <c r="Z3773" s="25"/>
    </row>
    <row r="3774" spans="1:26" ht="52.5" customHeight="1" x14ac:dyDescent="0.25">
      <c r="A3774" s="25" t="str">
        <f ca="1">IFERROR(__xludf.DUMMYFUNCTION("""COMPUTED_VALUE"""),"Plane172")</f>
        <v>Plane172</v>
      </c>
      <c r="B3774" s="25"/>
      <c r="C3774" s="55"/>
      <c r="D3774" s="25" t="str">
        <f ca="1">IFERROR(__xludf.DUMMYFUNCTION("""COMPUTED_VALUE"""),"Planeación")</f>
        <v>Planeación</v>
      </c>
      <c r="E3774" s="25"/>
      <c r="F3774" s="25"/>
      <c r="G3774" s="25"/>
      <c r="H3774" s="25"/>
      <c r="I3774" s="25"/>
      <c r="J3774" s="55"/>
      <c r="K3774" s="25" t="str">
        <f ca="1">IFERROR(__xludf.DUMMYFUNCTION("""COMPUTED_VALUE"""),"Definir fecha")</f>
        <v>Definir fecha</v>
      </c>
      <c r="L3774" s="62"/>
      <c r="M3774" s="25"/>
      <c r="N3774" s="25"/>
      <c r="O3774" s="25">
        <f t="shared" si="0"/>
        <v>0</v>
      </c>
      <c r="P3774" s="25" t="str">
        <f t="shared" si="2"/>
        <v/>
      </c>
      <c r="Q3774" s="25"/>
      <c r="R3774" s="25"/>
      <c r="S3774" s="55"/>
      <c r="T3774" s="56"/>
      <c r="U3774" s="25"/>
      <c r="V3774" s="25"/>
      <c r="W3774" s="25"/>
      <c r="X3774" s="25"/>
      <c r="Y3774" s="25"/>
      <c r="Z3774" s="25"/>
    </row>
    <row r="3775" spans="1:26" ht="52.5" customHeight="1" x14ac:dyDescent="0.25">
      <c r="A3775" s="25" t="str">
        <f ca="1">IFERROR(__xludf.DUMMYFUNCTION("""COMPUTED_VALUE"""),"Plane173")</f>
        <v>Plane173</v>
      </c>
      <c r="B3775" s="25"/>
      <c r="C3775" s="55"/>
      <c r="D3775" s="25" t="str">
        <f ca="1">IFERROR(__xludf.DUMMYFUNCTION("""COMPUTED_VALUE"""),"Planeación")</f>
        <v>Planeación</v>
      </c>
      <c r="E3775" s="25"/>
      <c r="F3775" s="25"/>
      <c r="G3775" s="25"/>
      <c r="H3775" s="25"/>
      <c r="I3775" s="25"/>
      <c r="J3775" s="55"/>
      <c r="K3775" s="25" t="str">
        <f ca="1">IFERROR(__xludf.DUMMYFUNCTION("""COMPUTED_VALUE"""),"Definir fecha")</f>
        <v>Definir fecha</v>
      </c>
      <c r="L3775" s="62"/>
      <c r="M3775" s="25"/>
      <c r="N3775" s="25"/>
      <c r="O3775" s="25">
        <f t="shared" si="0"/>
        <v>0</v>
      </c>
      <c r="P3775" s="25" t="str">
        <f t="shared" si="2"/>
        <v/>
      </c>
      <c r="Q3775" s="25"/>
      <c r="R3775" s="25"/>
      <c r="S3775" s="55"/>
      <c r="T3775" s="56"/>
      <c r="U3775" s="25"/>
      <c r="V3775" s="25"/>
      <c r="W3775" s="25"/>
      <c r="X3775" s="25"/>
      <c r="Y3775" s="25"/>
      <c r="Z3775" s="25"/>
    </row>
    <row r="3776" spans="1:26" ht="52.5" customHeight="1" x14ac:dyDescent="0.25">
      <c r="A3776" s="25" t="str">
        <f ca="1">IFERROR(__xludf.DUMMYFUNCTION("""COMPUTED_VALUE"""),"Plane174")</f>
        <v>Plane174</v>
      </c>
      <c r="B3776" s="25"/>
      <c r="C3776" s="55"/>
      <c r="D3776" s="25" t="str">
        <f ca="1">IFERROR(__xludf.DUMMYFUNCTION("""COMPUTED_VALUE"""),"Planeación")</f>
        <v>Planeación</v>
      </c>
      <c r="E3776" s="25"/>
      <c r="F3776" s="25"/>
      <c r="G3776" s="25"/>
      <c r="H3776" s="25"/>
      <c r="I3776" s="25"/>
      <c r="J3776" s="55"/>
      <c r="K3776" s="25" t="str">
        <f ca="1">IFERROR(__xludf.DUMMYFUNCTION("""COMPUTED_VALUE"""),"Definir fecha")</f>
        <v>Definir fecha</v>
      </c>
      <c r="L3776" s="62"/>
      <c r="M3776" s="25"/>
      <c r="N3776" s="25"/>
      <c r="O3776" s="25">
        <f t="shared" si="0"/>
        <v>0</v>
      </c>
      <c r="P3776" s="25" t="str">
        <f t="shared" si="2"/>
        <v/>
      </c>
      <c r="Q3776" s="25"/>
      <c r="R3776" s="25"/>
      <c r="S3776" s="55"/>
      <c r="T3776" s="56"/>
      <c r="U3776" s="25"/>
      <c r="V3776" s="25"/>
      <c r="W3776" s="25"/>
      <c r="X3776" s="25"/>
      <c r="Y3776" s="25"/>
      <c r="Z3776" s="25"/>
    </row>
    <row r="3777" spans="1:26" ht="52.5" customHeight="1" x14ac:dyDescent="0.25">
      <c r="A3777" s="25" t="str">
        <f ca="1">IFERROR(__xludf.DUMMYFUNCTION("""COMPUTED_VALUE"""),"Plane175")</f>
        <v>Plane175</v>
      </c>
      <c r="B3777" s="25"/>
      <c r="C3777" s="55"/>
      <c r="D3777" s="25" t="str">
        <f ca="1">IFERROR(__xludf.DUMMYFUNCTION("""COMPUTED_VALUE"""),"Planeación")</f>
        <v>Planeación</v>
      </c>
      <c r="E3777" s="25"/>
      <c r="F3777" s="25"/>
      <c r="G3777" s="25"/>
      <c r="H3777" s="25"/>
      <c r="I3777" s="25"/>
      <c r="J3777" s="55"/>
      <c r="K3777" s="25" t="str">
        <f ca="1">IFERROR(__xludf.DUMMYFUNCTION("""COMPUTED_VALUE"""),"Definir fecha")</f>
        <v>Definir fecha</v>
      </c>
      <c r="L3777" s="62"/>
      <c r="M3777" s="25"/>
      <c r="N3777" s="25"/>
      <c r="O3777" s="25">
        <f t="shared" si="0"/>
        <v>0</v>
      </c>
      <c r="P3777" s="25" t="str">
        <f t="shared" si="2"/>
        <v/>
      </c>
      <c r="Q3777" s="25"/>
      <c r="R3777" s="25"/>
      <c r="S3777" s="55"/>
      <c r="T3777" s="56"/>
      <c r="U3777" s="25"/>
      <c r="V3777" s="25"/>
      <c r="W3777" s="25"/>
      <c r="X3777" s="25"/>
      <c r="Y3777" s="25"/>
      <c r="Z3777" s="25"/>
    </row>
    <row r="3778" spans="1:26" ht="52.5" customHeight="1" x14ac:dyDescent="0.25">
      <c r="A3778" s="25" t="str">
        <f ca="1">IFERROR(__xludf.DUMMYFUNCTION("""COMPUTED_VALUE"""),"Plane176")</f>
        <v>Plane176</v>
      </c>
      <c r="B3778" s="25"/>
      <c r="C3778" s="55"/>
      <c r="D3778" s="25" t="str">
        <f ca="1">IFERROR(__xludf.DUMMYFUNCTION("""COMPUTED_VALUE"""),"Planeación")</f>
        <v>Planeación</v>
      </c>
      <c r="E3778" s="25"/>
      <c r="F3778" s="25"/>
      <c r="G3778" s="25"/>
      <c r="H3778" s="25"/>
      <c r="I3778" s="25"/>
      <c r="J3778" s="55"/>
      <c r="K3778" s="25" t="str">
        <f ca="1">IFERROR(__xludf.DUMMYFUNCTION("""COMPUTED_VALUE"""),"Definir fecha")</f>
        <v>Definir fecha</v>
      </c>
      <c r="L3778" s="62"/>
      <c r="M3778" s="25"/>
      <c r="N3778" s="25"/>
      <c r="O3778" s="25">
        <f t="shared" si="0"/>
        <v>0</v>
      </c>
      <c r="P3778" s="25" t="str">
        <f t="shared" si="2"/>
        <v/>
      </c>
      <c r="Q3778" s="25"/>
      <c r="R3778" s="25"/>
      <c r="S3778" s="55"/>
      <c r="T3778" s="56"/>
      <c r="U3778" s="25"/>
      <c r="V3778" s="25"/>
      <c r="W3778" s="25"/>
      <c r="X3778" s="25"/>
      <c r="Y3778" s="25"/>
      <c r="Z3778" s="25"/>
    </row>
    <row r="3779" spans="1:26" ht="52.5" customHeight="1" x14ac:dyDescent="0.25">
      <c r="A3779" s="25" t="str">
        <f ca="1">IFERROR(__xludf.DUMMYFUNCTION("""COMPUTED_VALUE"""),"Plane177")</f>
        <v>Plane177</v>
      </c>
      <c r="B3779" s="25"/>
      <c r="C3779" s="55"/>
      <c r="D3779" s="25" t="str">
        <f ca="1">IFERROR(__xludf.DUMMYFUNCTION("""COMPUTED_VALUE"""),"Planeación")</f>
        <v>Planeación</v>
      </c>
      <c r="E3779" s="25"/>
      <c r="F3779" s="25"/>
      <c r="G3779" s="25"/>
      <c r="H3779" s="25"/>
      <c r="I3779" s="25"/>
      <c r="J3779" s="55"/>
      <c r="K3779" s="25" t="str">
        <f ca="1">IFERROR(__xludf.DUMMYFUNCTION("""COMPUTED_VALUE"""),"Definir fecha")</f>
        <v>Definir fecha</v>
      </c>
      <c r="L3779" s="62"/>
      <c r="M3779" s="25"/>
      <c r="N3779" s="25"/>
      <c r="O3779" s="25">
        <f t="shared" si="0"/>
        <v>0</v>
      </c>
      <c r="P3779" s="25" t="str">
        <f t="shared" si="2"/>
        <v/>
      </c>
      <c r="Q3779" s="25"/>
      <c r="R3779" s="25"/>
      <c r="S3779" s="55"/>
      <c r="T3779" s="56"/>
      <c r="U3779" s="25"/>
      <c r="V3779" s="25"/>
      <c r="W3779" s="25"/>
      <c r="X3779" s="25"/>
      <c r="Y3779" s="25"/>
      <c r="Z3779" s="25"/>
    </row>
    <row r="3780" spans="1:26" ht="52.5" customHeight="1" x14ac:dyDescent="0.25">
      <c r="A3780" s="25" t="str">
        <f ca="1">IFERROR(__xludf.DUMMYFUNCTION("""COMPUTED_VALUE"""),"Plane178")</f>
        <v>Plane178</v>
      </c>
      <c r="B3780" s="25"/>
      <c r="C3780" s="55"/>
      <c r="D3780" s="25" t="str">
        <f ca="1">IFERROR(__xludf.DUMMYFUNCTION("""COMPUTED_VALUE"""),"Planeación")</f>
        <v>Planeación</v>
      </c>
      <c r="E3780" s="25"/>
      <c r="F3780" s="25"/>
      <c r="G3780" s="25"/>
      <c r="H3780" s="25"/>
      <c r="I3780" s="25"/>
      <c r="J3780" s="55"/>
      <c r="K3780" s="25" t="str">
        <f ca="1">IFERROR(__xludf.DUMMYFUNCTION("""COMPUTED_VALUE"""),"Definir fecha")</f>
        <v>Definir fecha</v>
      </c>
      <c r="L3780" s="62"/>
      <c r="M3780" s="25"/>
      <c r="N3780" s="25"/>
      <c r="O3780" s="25">
        <f t="shared" si="0"/>
        <v>0</v>
      </c>
      <c r="P3780" s="25" t="str">
        <f t="shared" si="2"/>
        <v/>
      </c>
      <c r="Q3780" s="25"/>
      <c r="R3780" s="25"/>
      <c r="S3780" s="55"/>
      <c r="T3780" s="56"/>
      <c r="U3780" s="25"/>
      <c r="V3780" s="25"/>
      <c r="W3780" s="25"/>
      <c r="X3780" s="25"/>
      <c r="Y3780" s="25"/>
      <c r="Z3780" s="25"/>
    </row>
    <row r="3781" spans="1:26" ht="52.5" customHeight="1" x14ac:dyDescent="0.25">
      <c r="A3781" s="25" t="str">
        <f ca="1">IFERROR(__xludf.DUMMYFUNCTION("""COMPUTED_VALUE"""),"Plane179")</f>
        <v>Plane179</v>
      </c>
      <c r="B3781" s="25"/>
      <c r="C3781" s="55"/>
      <c r="D3781" s="25" t="str">
        <f ca="1">IFERROR(__xludf.DUMMYFUNCTION("""COMPUTED_VALUE"""),"Planeación")</f>
        <v>Planeación</v>
      </c>
      <c r="E3781" s="25"/>
      <c r="F3781" s="25"/>
      <c r="G3781" s="25"/>
      <c r="H3781" s="25"/>
      <c r="I3781" s="25"/>
      <c r="J3781" s="55"/>
      <c r="K3781" s="25" t="str">
        <f ca="1">IFERROR(__xludf.DUMMYFUNCTION("""COMPUTED_VALUE"""),"Definir fecha")</f>
        <v>Definir fecha</v>
      </c>
      <c r="L3781" s="62"/>
      <c r="M3781" s="25"/>
      <c r="N3781" s="25"/>
      <c r="O3781" s="25">
        <f t="shared" si="0"/>
        <v>0</v>
      </c>
      <c r="P3781" s="25" t="str">
        <f t="shared" si="2"/>
        <v/>
      </c>
      <c r="Q3781" s="25"/>
      <c r="R3781" s="25"/>
      <c r="S3781" s="55"/>
      <c r="T3781" s="56"/>
      <c r="U3781" s="25"/>
      <c r="V3781" s="25"/>
      <c r="W3781" s="25"/>
      <c r="X3781" s="25"/>
      <c r="Y3781" s="25"/>
      <c r="Z3781" s="25"/>
    </row>
    <row r="3782" spans="1:26" ht="52.5" customHeight="1" x14ac:dyDescent="0.25">
      <c r="A3782" s="25" t="str">
        <f ca="1">IFERROR(__xludf.DUMMYFUNCTION("""COMPUTED_VALUE"""),"Plane180")</f>
        <v>Plane180</v>
      </c>
      <c r="B3782" s="25"/>
      <c r="C3782" s="55"/>
      <c r="D3782" s="25" t="str">
        <f ca="1">IFERROR(__xludf.DUMMYFUNCTION("""COMPUTED_VALUE"""),"Planeación")</f>
        <v>Planeación</v>
      </c>
      <c r="E3782" s="25"/>
      <c r="F3782" s="25"/>
      <c r="G3782" s="25"/>
      <c r="H3782" s="25"/>
      <c r="I3782" s="25"/>
      <c r="J3782" s="55"/>
      <c r="K3782" s="25" t="str">
        <f ca="1">IFERROR(__xludf.DUMMYFUNCTION("""COMPUTED_VALUE"""),"Definir fecha")</f>
        <v>Definir fecha</v>
      </c>
      <c r="L3782" s="62"/>
      <c r="M3782" s="25"/>
      <c r="N3782" s="25"/>
      <c r="O3782" s="25">
        <f t="shared" si="0"/>
        <v>0</v>
      </c>
      <c r="P3782" s="25" t="str">
        <f t="shared" si="2"/>
        <v/>
      </c>
      <c r="Q3782" s="25"/>
      <c r="R3782" s="25"/>
      <c r="S3782" s="55"/>
      <c r="T3782" s="56"/>
      <c r="U3782" s="25"/>
      <c r="V3782" s="25"/>
      <c r="W3782" s="25"/>
      <c r="X3782" s="25"/>
      <c r="Y3782" s="25"/>
      <c r="Z3782" s="25"/>
    </row>
    <row r="3783" spans="1:26" ht="52.5" customHeight="1" x14ac:dyDescent="0.25">
      <c r="A3783" s="25" t="str">
        <f ca="1">IFERROR(__xludf.DUMMYFUNCTION("""COMPUTED_VALUE"""),"Plane181")</f>
        <v>Plane181</v>
      </c>
      <c r="B3783" s="25"/>
      <c r="C3783" s="55"/>
      <c r="D3783" s="25" t="str">
        <f ca="1">IFERROR(__xludf.DUMMYFUNCTION("""COMPUTED_VALUE"""),"Planeación")</f>
        <v>Planeación</v>
      </c>
      <c r="E3783" s="25"/>
      <c r="F3783" s="25"/>
      <c r="G3783" s="25"/>
      <c r="H3783" s="25"/>
      <c r="I3783" s="25"/>
      <c r="J3783" s="55"/>
      <c r="K3783" s="25" t="str">
        <f ca="1">IFERROR(__xludf.DUMMYFUNCTION("""COMPUTED_VALUE"""),"Definir fecha")</f>
        <v>Definir fecha</v>
      </c>
      <c r="L3783" s="62"/>
      <c r="M3783" s="25"/>
      <c r="N3783" s="25"/>
      <c r="O3783" s="25">
        <f t="shared" si="0"/>
        <v>0</v>
      </c>
      <c r="P3783" s="25" t="str">
        <f t="shared" si="2"/>
        <v/>
      </c>
      <c r="Q3783" s="25"/>
      <c r="R3783" s="25"/>
      <c r="S3783" s="55"/>
      <c r="T3783" s="56"/>
      <c r="U3783" s="25"/>
      <c r="V3783" s="25"/>
      <c r="W3783" s="25"/>
      <c r="X3783" s="25"/>
      <c r="Y3783" s="25"/>
      <c r="Z3783" s="25"/>
    </row>
    <row r="3784" spans="1:26" ht="52.5" customHeight="1" x14ac:dyDescent="0.25">
      <c r="A3784" s="25" t="str">
        <f ca="1">IFERROR(__xludf.DUMMYFUNCTION("""COMPUTED_VALUE"""),"Plane182")</f>
        <v>Plane182</v>
      </c>
      <c r="B3784" s="25"/>
      <c r="C3784" s="55"/>
      <c r="D3784" s="25" t="str">
        <f ca="1">IFERROR(__xludf.DUMMYFUNCTION("""COMPUTED_VALUE"""),"Planeación")</f>
        <v>Planeación</v>
      </c>
      <c r="E3784" s="25"/>
      <c r="F3784" s="25"/>
      <c r="G3784" s="25"/>
      <c r="H3784" s="25"/>
      <c r="I3784" s="25"/>
      <c r="J3784" s="55"/>
      <c r="K3784" s="25" t="str">
        <f ca="1">IFERROR(__xludf.DUMMYFUNCTION("""COMPUTED_VALUE"""),"Definir fecha")</f>
        <v>Definir fecha</v>
      </c>
      <c r="L3784" s="62"/>
      <c r="M3784" s="25"/>
      <c r="N3784" s="25"/>
      <c r="O3784" s="25">
        <f t="shared" si="0"/>
        <v>0</v>
      </c>
      <c r="P3784" s="25" t="str">
        <f t="shared" si="2"/>
        <v/>
      </c>
      <c r="Q3784" s="25"/>
      <c r="R3784" s="25"/>
      <c r="S3784" s="55"/>
      <c r="T3784" s="56"/>
      <c r="U3784" s="25"/>
      <c r="V3784" s="25"/>
      <c r="W3784" s="25"/>
      <c r="X3784" s="25"/>
      <c r="Y3784" s="25"/>
      <c r="Z3784" s="25"/>
    </row>
    <row r="3785" spans="1:26" ht="52.5" customHeight="1" x14ac:dyDescent="0.25">
      <c r="A3785" s="25" t="str">
        <f ca="1">IFERROR(__xludf.DUMMYFUNCTION("""COMPUTED_VALUE"""),"Plane183")</f>
        <v>Plane183</v>
      </c>
      <c r="B3785" s="25"/>
      <c r="C3785" s="55"/>
      <c r="D3785" s="25" t="str">
        <f ca="1">IFERROR(__xludf.DUMMYFUNCTION("""COMPUTED_VALUE"""),"Planeación")</f>
        <v>Planeación</v>
      </c>
      <c r="E3785" s="25"/>
      <c r="F3785" s="25"/>
      <c r="G3785" s="25"/>
      <c r="H3785" s="25"/>
      <c r="I3785" s="25"/>
      <c r="J3785" s="55"/>
      <c r="K3785" s="25" t="str">
        <f ca="1">IFERROR(__xludf.DUMMYFUNCTION("""COMPUTED_VALUE"""),"Definir fecha")</f>
        <v>Definir fecha</v>
      </c>
      <c r="L3785" s="62"/>
      <c r="M3785" s="25"/>
      <c r="N3785" s="25"/>
      <c r="O3785" s="25">
        <f t="shared" si="0"/>
        <v>0</v>
      </c>
      <c r="P3785" s="25" t="str">
        <f t="shared" si="2"/>
        <v/>
      </c>
      <c r="Q3785" s="25"/>
      <c r="R3785" s="25"/>
      <c r="S3785" s="55"/>
      <c r="T3785" s="56"/>
      <c r="U3785" s="25"/>
      <c r="V3785" s="25"/>
      <c r="W3785" s="25"/>
      <c r="X3785" s="25"/>
      <c r="Y3785" s="25"/>
      <c r="Z3785" s="25"/>
    </row>
    <row r="3786" spans="1:26" ht="52.5" customHeight="1" x14ac:dyDescent="0.25">
      <c r="A3786" s="25" t="str">
        <f ca="1">IFERROR(__xludf.DUMMYFUNCTION("""COMPUTED_VALUE"""),"Plane184")</f>
        <v>Plane184</v>
      </c>
      <c r="B3786" s="25"/>
      <c r="C3786" s="55"/>
      <c r="D3786" s="25" t="str">
        <f ca="1">IFERROR(__xludf.DUMMYFUNCTION("""COMPUTED_VALUE"""),"Planeación")</f>
        <v>Planeación</v>
      </c>
      <c r="E3786" s="25"/>
      <c r="F3786" s="25"/>
      <c r="G3786" s="25"/>
      <c r="H3786" s="25"/>
      <c r="I3786" s="25"/>
      <c r="J3786" s="55"/>
      <c r="K3786" s="25" t="str">
        <f ca="1">IFERROR(__xludf.DUMMYFUNCTION("""COMPUTED_VALUE"""),"Definir fecha")</f>
        <v>Definir fecha</v>
      </c>
      <c r="L3786" s="62"/>
      <c r="M3786" s="25"/>
      <c r="N3786" s="25"/>
      <c r="O3786" s="25">
        <f t="shared" si="0"/>
        <v>0</v>
      </c>
      <c r="P3786" s="25" t="str">
        <f t="shared" si="2"/>
        <v/>
      </c>
      <c r="Q3786" s="25"/>
      <c r="R3786" s="25"/>
      <c r="S3786" s="55"/>
      <c r="T3786" s="56"/>
      <c r="U3786" s="25"/>
      <c r="V3786" s="25"/>
      <c r="W3786" s="25"/>
      <c r="X3786" s="25"/>
      <c r="Y3786" s="25"/>
      <c r="Z3786" s="25"/>
    </row>
    <row r="3787" spans="1:26" ht="52.5" customHeight="1" x14ac:dyDescent="0.25">
      <c r="A3787" s="25" t="str">
        <f ca="1">IFERROR(__xludf.DUMMYFUNCTION("""COMPUTED_VALUE"""),"Plane185")</f>
        <v>Plane185</v>
      </c>
      <c r="B3787" s="25"/>
      <c r="C3787" s="55"/>
      <c r="D3787" s="25" t="str">
        <f ca="1">IFERROR(__xludf.DUMMYFUNCTION("""COMPUTED_VALUE"""),"Planeación")</f>
        <v>Planeación</v>
      </c>
      <c r="E3787" s="25"/>
      <c r="F3787" s="25"/>
      <c r="G3787" s="25"/>
      <c r="H3787" s="25"/>
      <c r="I3787" s="25"/>
      <c r="J3787" s="55"/>
      <c r="K3787" s="25" t="str">
        <f ca="1">IFERROR(__xludf.DUMMYFUNCTION("""COMPUTED_VALUE"""),"Definir fecha")</f>
        <v>Definir fecha</v>
      </c>
      <c r="L3787" s="62"/>
      <c r="M3787" s="25"/>
      <c r="N3787" s="25"/>
      <c r="O3787" s="25">
        <f t="shared" si="0"/>
        <v>0</v>
      </c>
      <c r="P3787" s="25" t="str">
        <f t="shared" si="2"/>
        <v/>
      </c>
      <c r="Q3787" s="25"/>
      <c r="R3787" s="25"/>
      <c r="S3787" s="55"/>
      <c r="T3787" s="56"/>
      <c r="U3787" s="25"/>
      <c r="V3787" s="25"/>
      <c r="W3787" s="25"/>
      <c r="X3787" s="25"/>
      <c r="Y3787" s="25"/>
      <c r="Z3787" s="25"/>
    </row>
    <row r="3788" spans="1:26" ht="52.5" customHeight="1" x14ac:dyDescent="0.25">
      <c r="A3788" s="25" t="str">
        <f ca="1">IFERROR(__xludf.DUMMYFUNCTION("""COMPUTED_VALUE"""),"Plane186")</f>
        <v>Plane186</v>
      </c>
      <c r="B3788" s="25"/>
      <c r="C3788" s="55"/>
      <c r="D3788" s="25" t="str">
        <f ca="1">IFERROR(__xludf.DUMMYFUNCTION("""COMPUTED_VALUE"""),"Planeación")</f>
        <v>Planeación</v>
      </c>
      <c r="E3788" s="25"/>
      <c r="F3788" s="25"/>
      <c r="G3788" s="25"/>
      <c r="H3788" s="25"/>
      <c r="I3788" s="25"/>
      <c r="J3788" s="55"/>
      <c r="K3788" s="25" t="str">
        <f ca="1">IFERROR(__xludf.DUMMYFUNCTION("""COMPUTED_VALUE"""),"Definir fecha")</f>
        <v>Definir fecha</v>
      </c>
      <c r="L3788" s="62"/>
      <c r="M3788" s="25"/>
      <c r="N3788" s="25"/>
      <c r="O3788" s="25">
        <f t="shared" si="0"/>
        <v>0</v>
      </c>
      <c r="P3788" s="25" t="str">
        <f t="shared" si="2"/>
        <v/>
      </c>
      <c r="Q3788" s="25"/>
      <c r="R3788" s="25"/>
      <c r="S3788" s="55"/>
      <c r="T3788" s="56"/>
      <c r="U3788" s="25"/>
      <c r="V3788" s="25"/>
      <c r="W3788" s="25"/>
      <c r="X3788" s="25"/>
      <c r="Y3788" s="25"/>
      <c r="Z3788" s="25"/>
    </row>
    <row r="3789" spans="1:26" ht="52.5" customHeight="1" x14ac:dyDescent="0.25">
      <c r="A3789" s="25" t="str">
        <f ca="1">IFERROR(__xludf.DUMMYFUNCTION("""COMPUTED_VALUE"""),"Plane187")</f>
        <v>Plane187</v>
      </c>
      <c r="B3789" s="25"/>
      <c r="C3789" s="55"/>
      <c r="D3789" s="25" t="str">
        <f ca="1">IFERROR(__xludf.DUMMYFUNCTION("""COMPUTED_VALUE"""),"Planeación")</f>
        <v>Planeación</v>
      </c>
      <c r="E3789" s="25"/>
      <c r="F3789" s="25"/>
      <c r="G3789" s="25"/>
      <c r="H3789" s="25"/>
      <c r="I3789" s="25"/>
      <c r="J3789" s="55"/>
      <c r="K3789" s="25" t="str">
        <f ca="1">IFERROR(__xludf.DUMMYFUNCTION("""COMPUTED_VALUE"""),"Definir fecha")</f>
        <v>Definir fecha</v>
      </c>
      <c r="L3789" s="62"/>
      <c r="M3789" s="25"/>
      <c r="N3789" s="25"/>
      <c r="O3789" s="25">
        <f t="shared" si="0"/>
        <v>0</v>
      </c>
      <c r="P3789" s="25" t="str">
        <f t="shared" si="2"/>
        <v/>
      </c>
      <c r="Q3789" s="25"/>
      <c r="R3789" s="25"/>
      <c r="S3789" s="55"/>
      <c r="T3789" s="56"/>
      <c r="U3789" s="25"/>
      <c r="V3789" s="25"/>
      <c r="W3789" s="25"/>
      <c r="X3789" s="25"/>
      <c r="Y3789" s="25"/>
      <c r="Z3789" s="25"/>
    </row>
    <row r="3790" spans="1:26" ht="52.5" customHeight="1" x14ac:dyDescent="0.25">
      <c r="A3790" s="25" t="str">
        <f ca="1">IFERROR(__xludf.DUMMYFUNCTION("""COMPUTED_VALUE"""),"Plane188")</f>
        <v>Plane188</v>
      </c>
      <c r="B3790" s="25"/>
      <c r="C3790" s="55"/>
      <c r="D3790" s="25" t="str">
        <f ca="1">IFERROR(__xludf.DUMMYFUNCTION("""COMPUTED_VALUE"""),"Planeación")</f>
        <v>Planeación</v>
      </c>
      <c r="E3790" s="25"/>
      <c r="F3790" s="25"/>
      <c r="G3790" s="25"/>
      <c r="H3790" s="25"/>
      <c r="I3790" s="25"/>
      <c r="J3790" s="55"/>
      <c r="K3790" s="25" t="str">
        <f ca="1">IFERROR(__xludf.DUMMYFUNCTION("""COMPUTED_VALUE"""),"Definir fecha")</f>
        <v>Definir fecha</v>
      </c>
      <c r="L3790" s="62"/>
      <c r="M3790" s="25"/>
      <c r="N3790" s="25"/>
      <c r="O3790" s="25">
        <f t="shared" si="0"/>
        <v>0</v>
      </c>
      <c r="P3790" s="25" t="str">
        <f t="shared" si="2"/>
        <v/>
      </c>
      <c r="Q3790" s="25"/>
      <c r="R3790" s="25"/>
      <c r="S3790" s="55"/>
      <c r="T3790" s="56"/>
      <c r="U3790" s="25"/>
      <c r="V3790" s="25"/>
      <c r="W3790" s="25"/>
      <c r="X3790" s="25"/>
      <c r="Y3790" s="25"/>
      <c r="Z3790" s="25"/>
    </row>
    <row r="3791" spans="1:26" ht="52.5" customHeight="1" x14ac:dyDescent="0.25">
      <c r="A3791" s="25" t="str">
        <f ca="1">IFERROR(__xludf.DUMMYFUNCTION("""COMPUTED_VALUE"""),"Plane189")</f>
        <v>Plane189</v>
      </c>
      <c r="B3791" s="25"/>
      <c r="C3791" s="55"/>
      <c r="D3791" s="25" t="str">
        <f ca="1">IFERROR(__xludf.DUMMYFUNCTION("""COMPUTED_VALUE"""),"Planeación")</f>
        <v>Planeación</v>
      </c>
      <c r="E3791" s="25"/>
      <c r="F3791" s="25"/>
      <c r="G3791" s="25"/>
      <c r="H3791" s="25"/>
      <c r="I3791" s="25"/>
      <c r="J3791" s="55"/>
      <c r="K3791" s="25" t="str">
        <f ca="1">IFERROR(__xludf.DUMMYFUNCTION("""COMPUTED_VALUE"""),"Definir fecha")</f>
        <v>Definir fecha</v>
      </c>
      <c r="L3791" s="62"/>
      <c r="M3791" s="25"/>
      <c r="N3791" s="25"/>
      <c r="O3791" s="25">
        <f t="shared" si="0"/>
        <v>0</v>
      </c>
      <c r="P3791" s="25" t="str">
        <f t="shared" si="2"/>
        <v/>
      </c>
      <c r="Q3791" s="25"/>
      <c r="R3791" s="25"/>
      <c r="S3791" s="55"/>
      <c r="T3791" s="56"/>
      <c r="U3791" s="25"/>
      <c r="V3791" s="25"/>
      <c r="W3791" s="25"/>
      <c r="X3791" s="25"/>
      <c r="Y3791" s="25"/>
      <c r="Z3791" s="25"/>
    </row>
    <row r="3792" spans="1:26" ht="52.5" customHeight="1" x14ac:dyDescent="0.25">
      <c r="A3792" s="25" t="str">
        <f ca="1">IFERROR(__xludf.DUMMYFUNCTION("""COMPUTED_VALUE"""),"Plane190")</f>
        <v>Plane190</v>
      </c>
      <c r="B3792" s="25"/>
      <c r="C3792" s="55"/>
      <c r="D3792" s="25" t="str">
        <f ca="1">IFERROR(__xludf.DUMMYFUNCTION("""COMPUTED_VALUE"""),"Planeación")</f>
        <v>Planeación</v>
      </c>
      <c r="E3792" s="25"/>
      <c r="F3792" s="25"/>
      <c r="G3792" s="25"/>
      <c r="H3792" s="25"/>
      <c r="I3792" s="25"/>
      <c r="J3792" s="55"/>
      <c r="K3792" s="25" t="str">
        <f ca="1">IFERROR(__xludf.DUMMYFUNCTION("""COMPUTED_VALUE"""),"Definir fecha")</f>
        <v>Definir fecha</v>
      </c>
      <c r="L3792" s="62"/>
      <c r="M3792" s="25"/>
      <c r="N3792" s="25"/>
      <c r="O3792" s="25">
        <f t="shared" si="0"/>
        <v>0</v>
      </c>
      <c r="P3792" s="25" t="str">
        <f t="shared" si="2"/>
        <v/>
      </c>
      <c r="Q3792" s="25"/>
      <c r="R3792" s="25"/>
      <c r="S3792" s="55"/>
      <c r="T3792" s="56"/>
      <c r="U3792" s="25"/>
      <c r="V3792" s="25"/>
      <c r="W3792" s="25"/>
      <c r="X3792" s="25"/>
      <c r="Y3792" s="25"/>
      <c r="Z3792" s="25"/>
    </row>
    <row r="3793" spans="1:26" ht="52.5" customHeight="1" x14ac:dyDescent="0.25">
      <c r="A3793" s="25" t="str">
        <f ca="1">IFERROR(__xludf.DUMMYFUNCTION("""COMPUTED_VALUE"""),"Plane191")</f>
        <v>Plane191</v>
      </c>
      <c r="B3793" s="25"/>
      <c r="C3793" s="55"/>
      <c r="D3793" s="25" t="str">
        <f ca="1">IFERROR(__xludf.DUMMYFUNCTION("""COMPUTED_VALUE"""),"Planeación")</f>
        <v>Planeación</v>
      </c>
      <c r="E3793" s="25"/>
      <c r="F3793" s="25"/>
      <c r="G3793" s="25"/>
      <c r="H3793" s="25"/>
      <c r="I3793" s="25"/>
      <c r="J3793" s="55"/>
      <c r="K3793" s="25" t="str">
        <f ca="1">IFERROR(__xludf.DUMMYFUNCTION("""COMPUTED_VALUE"""),"Definir fecha")</f>
        <v>Definir fecha</v>
      </c>
      <c r="L3793" s="62"/>
      <c r="M3793" s="25"/>
      <c r="N3793" s="25"/>
      <c r="O3793" s="25">
        <f t="shared" si="0"/>
        <v>0</v>
      </c>
      <c r="P3793" s="25" t="str">
        <f t="shared" si="2"/>
        <v/>
      </c>
      <c r="Q3793" s="25"/>
      <c r="R3793" s="25"/>
      <c r="S3793" s="55"/>
      <c r="T3793" s="56"/>
      <c r="U3793" s="25"/>
      <c r="V3793" s="25"/>
      <c r="W3793" s="25"/>
      <c r="X3793" s="25"/>
      <c r="Y3793" s="25"/>
      <c r="Z3793" s="25"/>
    </row>
    <row r="3794" spans="1:26" ht="52.5" customHeight="1" x14ac:dyDescent="0.25">
      <c r="A3794" s="25" t="str">
        <f ca="1">IFERROR(__xludf.DUMMYFUNCTION("""COMPUTED_VALUE"""),"Plane192")</f>
        <v>Plane192</v>
      </c>
      <c r="B3794" s="25"/>
      <c r="C3794" s="55"/>
      <c r="D3794" s="25" t="str">
        <f ca="1">IFERROR(__xludf.DUMMYFUNCTION("""COMPUTED_VALUE"""),"Planeación")</f>
        <v>Planeación</v>
      </c>
      <c r="E3794" s="25"/>
      <c r="F3794" s="25"/>
      <c r="G3794" s="25"/>
      <c r="H3794" s="25"/>
      <c r="I3794" s="25"/>
      <c r="J3794" s="55"/>
      <c r="K3794" s="25" t="str">
        <f ca="1">IFERROR(__xludf.DUMMYFUNCTION("""COMPUTED_VALUE"""),"Definir fecha")</f>
        <v>Definir fecha</v>
      </c>
      <c r="L3794" s="62"/>
      <c r="M3794" s="25"/>
      <c r="N3794" s="25"/>
      <c r="O3794" s="25">
        <f t="shared" si="0"/>
        <v>0</v>
      </c>
      <c r="P3794" s="25" t="str">
        <f t="shared" si="2"/>
        <v/>
      </c>
      <c r="Q3794" s="25"/>
      <c r="R3794" s="25"/>
      <c r="S3794" s="55"/>
      <c r="T3794" s="56"/>
      <c r="U3794" s="25"/>
      <c r="V3794" s="25"/>
      <c r="W3794" s="25"/>
      <c r="X3794" s="25"/>
      <c r="Y3794" s="25"/>
      <c r="Z3794" s="25"/>
    </row>
    <row r="3795" spans="1:26" ht="52.5" customHeight="1" x14ac:dyDescent="0.25">
      <c r="A3795" s="25" t="str">
        <f ca="1">IFERROR(__xludf.DUMMYFUNCTION("""COMPUTED_VALUE"""),"Plane193")</f>
        <v>Plane193</v>
      </c>
      <c r="B3795" s="25"/>
      <c r="C3795" s="55"/>
      <c r="D3795" s="25" t="str">
        <f ca="1">IFERROR(__xludf.DUMMYFUNCTION("""COMPUTED_VALUE"""),"Planeación")</f>
        <v>Planeación</v>
      </c>
      <c r="E3795" s="25"/>
      <c r="F3795" s="25"/>
      <c r="G3795" s="25"/>
      <c r="H3795" s="25"/>
      <c r="I3795" s="25"/>
      <c r="J3795" s="55"/>
      <c r="K3795" s="25" t="str">
        <f ca="1">IFERROR(__xludf.DUMMYFUNCTION("""COMPUTED_VALUE"""),"Definir fecha")</f>
        <v>Definir fecha</v>
      </c>
      <c r="L3795" s="62"/>
      <c r="M3795" s="25"/>
      <c r="N3795" s="25"/>
      <c r="O3795" s="25">
        <f t="shared" si="0"/>
        <v>0</v>
      </c>
      <c r="P3795" s="25" t="str">
        <f t="shared" si="2"/>
        <v/>
      </c>
      <c r="Q3795" s="25"/>
      <c r="R3795" s="25"/>
      <c r="S3795" s="55"/>
      <c r="T3795" s="56"/>
      <c r="U3795" s="25"/>
      <c r="V3795" s="25"/>
      <c r="W3795" s="25"/>
      <c r="X3795" s="25"/>
      <c r="Y3795" s="25"/>
      <c r="Z3795" s="25"/>
    </row>
    <row r="3796" spans="1:26" ht="52.5" customHeight="1" x14ac:dyDescent="0.25">
      <c r="A3796" s="25" t="str">
        <f ca="1">IFERROR(__xludf.DUMMYFUNCTION("""COMPUTED_VALUE"""),"Plane194")</f>
        <v>Plane194</v>
      </c>
      <c r="B3796" s="25"/>
      <c r="C3796" s="55"/>
      <c r="D3796" s="25" t="str">
        <f ca="1">IFERROR(__xludf.DUMMYFUNCTION("""COMPUTED_VALUE"""),"Planeación")</f>
        <v>Planeación</v>
      </c>
      <c r="E3796" s="25"/>
      <c r="F3796" s="25"/>
      <c r="G3796" s="25"/>
      <c r="H3796" s="25"/>
      <c r="I3796" s="25"/>
      <c r="J3796" s="55"/>
      <c r="K3796" s="25" t="str">
        <f ca="1">IFERROR(__xludf.DUMMYFUNCTION("""COMPUTED_VALUE"""),"Definir fecha")</f>
        <v>Definir fecha</v>
      </c>
      <c r="L3796" s="62"/>
      <c r="M3796" s="25"/>
      <c r="N3796" s="25"/>
      <c r="O3796" s="25">
        <f t="shared" si="0"/>
        <v>0</v>
      </c>
      <c r="P3796" s="25" t="str">
        <f t="shared" si="2"/>
        <v/>
      </c>
      <c r="Q3796" s="25"/>
      <c r="R3796" s="25"/>
      <c r="S3796" s="55"/>
      <c r="T3796" s="56"/>
      <c r="U3796" s="25"/>
      <c r="V3796" s="25"/>
      <c r="W3796" s="25"/>
      <c r="X3796" s="25"/>
      <c r="Y3796" s="25"/>
      <c r="Z3796" s="25"/>
    </row>
    <row r="3797" spans="1:26" ht="52.5" customHeight="1" x14ac:dyDescent="0.25">
      <c r="A3797" s="25" t="str">
        <f ca="1">IFERROR(__xludf.DUMMYFUNCTION("""COMPUTED_VALUE"""),"Plane195")</f>
        <v>Plane195</v>
      </c>
      <c r="B3797" s="25"/>
      <c r="C3797" s="55"/>
      <c r="D3797" s="25" t="str">
        <f ca="1">IFERROR(__xludf.DUMMYFUNCTION("""COMPUTED_VALUE"""),"Planeación")</f>
        <v>Planeación</v>
      </c>
      <c r="E3797" s="25"/>
      <c r="F3797" s="25"/>
      <c r="G3797" s="25"/>
      <c r="H3797" s="25"/>
      <c r="I3797" s="25"/>
      <c r="J3797" s="55"/>
      <c r="K3797" s="25" t="str">
        <f ca="1">IFERROR(__xludf.DUMMYFUNCTION("""COMPUTED_VALUE"""),"Definir fecha")</f>
        <v>Definir fecha</v>
      </c>
      <c r="L3797" s="62"/>
      <c r="M3797" s="25"/>
      <c r="N3797" s="25"/>
      <c r="O3797" s="25">
        <f t="shared" si="0"/>
        <v>0</v>
      </c>
      <c r="P3797" s="25" t="str">
        <f t="shared" si="2"/>
        <v/>
      </c>
      <c r="Q3797" s="25"/>
      <c r="R3797" s="25"/>
      <c r="S3797" s="55"/>
      <c r="T3797" s="56"/>
      <c r="U3797" s="25"/>
      <c r="V3797" s="25"/>
      <c r="W3797" s="25"/>
      <c r="X3797" s="25"/>
      <c r="Y3797" s="25"/>
      <c r="Z3797" s="25"/>
    </row>
    <row r="3798" spans="1:26" ht="52.5" customHeight="1" x14ac:dyDescent="0.25">
      <c r="A3798" s="25" t="str">
        <f ca="1">IFERROR(__xludf.DUMMYFUNCTION("""COMPUTED_VALUE"""),"Plane196")</f>
        <v>Plane196</v>
      </c>
      <c r="B3798" s="25"/>
      <c r="C3798" s="55"/>
      <c r="D3798" s="25" t="str">
        <f ca="1">IFERROR(__xludf.DUMMYFUNCTION("""COMPUTED_VALUE"""),"Planeación")</f>
        <v>Planeación</v>
      </c>
      <c r="E3798" s="25"/>
      <c r="F3798" s="25"/>
      <c r="G3798" s="25"/>
      <c r="H3798" s="25"/>
      <c r="I3798" s="25"/>
      <c r="J3798" s="55"/>
      <c r="K3798" s="25" t="str">
        <f ca="1">IFERROR(__xludf.DUMMYFUNCTION("""COMPUTED_VALUE"""),"Definir fecha")</f>
        <v>Definir fecha</v>
      </c>
      <c r="L3798" s="62"/>
      <c r="M3798" s="25"/>
      <c r="N3798" s="25"/>
      <c r="O3798" s="25">
        <f t="shared" si="0"/>
        <v>0</v>
      </c>
      <c r="P3798" s="25" t="str">
        <f t="shared" si="2"/>
        <v/>
      </c>
      <c r="Q3798" s="25"/>
      <c r="R3798" s="25"/>
      <c r="S3798" s="55"/>
      <c r="T3798" s="56"/>
      <c r="U3798" s="25"/>
      <c r="V3798" s="25"/>
      <c r="W3798" s="25"/>
      <c r="X3798" s="25"/>
      <c r="Y3798" s="25"/>
      <c r="Z3798" s="25"/>
    </row>
    <row r="3799" spans="1:26" ht="52.5" customHeight="1" x14ac:dyDescent="0.25">
      <c r="A3799" s="25" t="str">
        <f ca="1">IFERROR(__xludf.DUMMYFUNCTION("""COMPUTED_VALUE"""),"Plane197")</f>
        <v>Plane197</v>
      </c>
      <c r="B3799" s="25"/>
      <c r="C3799" s="55"/>
      <c r="D3799" s="25" t="str">
        <f ca="1">IFERROR(__xludf.DUMMYFUNCTION("""COMPUTED_VALUE"""),"Planeación")</f>
        <v>Planeación</v>
      </c>
      <c r="E3799" s="25"/>
      <c r="F3799" s="25"/>
      <c r="G3799" s="25"/>
      <c r="H3799" s="25"/>
      <c r="I3799" s="25"/>
      <c r="J3799" s="55"/>
      <c r="K3799" s="25" t="str">
        <f ca="1">IFERROR(__xludf.DUMMYFUNCTION("""COMPUTED_VALUE"""),"Definir fecha")</f>
        <v>Definir fecha</v>
      </c>
      <c r="L3799" s="62"/>
      <c r="M3799" s="25"/>
      <c r="N3799" s="25"/>
      <c r="O3799" s="25">
        <f t="shared" si="0"/>
        <v>0</v>
      </c>
      <c r="P3799" s="25" t="str">
        <f t="shared" si="2"/>
        <v/>
      </c>
      <c r="Q3799" s="25"/>
      <c r="R3799" s="25"/>
      <c r="S3799" s="55"/>
      <c r="T3799" s="56"/>
      <c r="U3799" s="25"/>
      <c r="V3799" s="25"/>
      <c r="W3799" s="25"/>
      <c r="X3799" s="25"/>
      <c r="Y3799" s="25"/>
      <c r="Z3799" s="25"/>
    </row>
    <row r="3800" spans="1:26" ht="52.5" customHeight="1" x14ac:dyDescent="0.25">
      <c r="A3800" s="25" t="str">
        <f ca="1">IFERROR(__xludf.DUMMYFUNCTION("""COMPUTED_VALUE"""),"Plane198")</f>
        <v>Plane198</v>
      </c>
      <c r="B3800" s="25"/>
      <c r="C3800" s="55"/>
      <c r="D3800" s="25" t="str">
        <f ca="1">IFERROR(__xludf.DUMMYFUNCTION("""COMPUTED_VALUE"""),"Planeación")</f>
        <v>Planeación</v>
      </c>
      <c r="E3800" s="25"/>
      <c r="F3800" s="25"/>
      <c r="G3800" s="25"/>
      <c r="H3800" s="25"/>
      <c r="I3800" s="25"/>
      <c r="J3800" s="55"/>
      <c r="K3800" s="25" t="str">
        <f ca="1">IFERROR(__xludf.DUMMYFUNCTION("""COMPUTED_VALUE"""),"Definir fecha")</f>
        <v>Definir fecha</v>
      </c>
      <c r="L3800" s="62"/>
      <c r="M3800" s="25"/>
      <c r="N3800" s="25"/>
      <c r="O3800" s="25">
        <f t="shared" si="0"/>
        <v>0</v>
      </c>
      <c r="P3800" s="25" t="str">
        <f t="shared" si="2"/>
        <v/>
      </c>
      <c r="Q3800" s="25"/>
      <c r="R3800" s="25"/>
      <c r="S3800" s="55"/>
      <c r="T3800" s="56"/>
      <c r="U3800" s="25"/>
      <c r="V3800" s="25"/>
      <c r="W3800" s="25"/>
      <c r="X3800" s="25"/>
      <c r="Y3800" s="25"/>
      <c r="Z3800" s="25"/>
    </row>
    <row r="3801" spans="1:26" ht="52.5" customHeight="1" x14ac:dyDescent="0.25">
      <c r="A3801" s="25" t="str">
        <f ca="1">IFERROR(__xludf.DUMMYFUNCTION("""COMPUTED_VALUE"""),"Plane199")</f>
        <v>Plane199</v>
      </c>
      <c r="B3801" s="25"/>
      <c r="C3801" s="55"/>
      <c r="D3801" s="25" t="str">
        <f ca="1">IFERROR(__xludf.DUMMYFUNCTION("""COMPUTED_VALUE"""),"Planeación")</f>
        <v>Planeación</v>
      </c>
      <c r="E3801" s="25"/>
      <c r="F3801" s="25"/>
      <c r="G3801" s="25"/>
      <c r="H3801" s="25"/>
      <c r="I3801" s="25"/>
      <c r="J3801" s="55"/>
      <c r="K3801" s="25" t="str">
        <f ca="1">IFERROR(__xludf.DUMMYFUNCTION("""COMPUTED_VALUE"""),"Definir fecha")</f>
        <v>Definir fecha</v>
      </c>
      <c r="L3801" s="62"/>
      <c r="M3801" s="25"/>
      <c r="N3801" s="25"/>
      <c r="O3801" s="25">
        <f t="shared" si="0"/>
        <v>0</v>
      </c>
      <c r="P3801" s="25" t="str">
        <f t="shared" si="2"/>
        <v/>
      </c>
      <c r="Q3801" s="25"/>
      <c r="R3801" s="25"/>
      <c r="S3801" s="55"/>
      <c r="T3801" s="56"/>
      <c r="U3801" s="25"/>
      <c r="V3801" s="25"/>
      <c r="W3801" s="25"/>
      <c r="X3801" s="25"/>
      <c r="Y3801" s="25"/>
      <c r="Z3801" s="25"/>
    </row>
    <row r="3802" spans="1:26" ht="52.5" customHeight="1" x14ac:dyDescent="0.25">
      <c r="A3802" s="25" t="str">
        <f ca="1">IFERROR(__xludf.DUMMYFUNCTION("""COMPUTED_VALUE"""),"Plane200")</f>
        <v>Plane200</v>
      </c>
      <c r="B3802" s="25"/>
      <c r="C3802" s="55"/>
      <c r="D3802" s="25" t="str">
        <f ca="1">IFERROR(__xludf.DUMMYFUNCTION("""COMPUTED_VALUE"""),"Planeación")</f>
        <v>Planeación</v>
      </c>
      <c r="E3802" s="25"/>
      <c r="F3802" s="25"/>
      <c r="G3802" s="25"/>
      <c r="H3802" s="25"/>
      <c r="I3802" s="25"/>
      <c r="J3802" s="55"/>
      <c r="K3802" s="25" t="str">
        <f ca="1">IFERROR(__xludf.DUMMYFUNCTION("""COMPUTED_VALUE"""),"Definir fecha")</f>
        <v>Definir fecha</v>
      </c>
      <c r="L3802" s="62"/>
      <c r="M3802" s="25"/>
      <c r="N3802" s="25"/>
      <c r="O3802" s="25">
        <f t="shared" si="0"/>
        <v>0</v>
      </c>
      <c r="P3802" s="25" t="str">
        <f t="shared" si="2"/>
        <v/>
      </c>
      <c r="Q3802" s="25"/>
      <c r="R3802" s="25"/>
      <c r="S3802" s="55"/>
      <c r="T3802" s="56"/>
      <c r="U3802" s="25"/>
      <c r="V3802" s="25"/>
      <c r="W3802" s="25"/>
      <c r="X3802" s="25"/>
      <c r="Y3802" s="25"/>
      <c r="Z3802" s="25"/>
    </row>
    <row r="3803" spans="1:26" ht="52.5" customHeight="1" x14ac:dyDescent="0.25">
      <c r="A3803" s="25" t="str">
        <f ca="1">IFERROR(__xludf.DUMMYFUNCTION("""COMPUTED_VALUE"""),"Plane201")</f>
        <v>Plane201</v>
      </c>
      <c r="B3803" s="25"/>
      <c r="C3803" s="55"/>
      <c r="D3803" s="25" t="str">
        <f ca="1">IFERROR(__xludf.DUMMYFUNCTION("""COMPUTED_VALUE"""),"Planeación")</f>
        <v>Planeación</v>
      </c>
      <c r="E3803" s="25"/>
      <c r="F3803" s="25"/>
      <c r="G3803" s="25"/>
      <c r="H3803" s="25"/>
      <c r="I3803" s="25"/>
      <c r="J3803" s="55"/>
      <c r="K3803" s="25" t="str">
        <f ca="1">IFERROR(__xludf.DUMMYFUNCTION("""COMPUTED_VALUE"""),"Definir fecha")</f>
        <v>Definir fecha</v>
      </c>
      <c r="L3803" s="62"/>
      <c r="M3803" s="25"/>
      <c r="N3803" s="25"/>
      <c r="O3803" s="25">
        <f t="shared" si="0"/>
        <v>0</v>
      </c>
      <c r="P3803" s="25" t="str">
        <f t="shared" si="2"/>
        <v/>
      </c>
      <c r="Q3803" s="25"/>
      <c r="R3803" s="25"/>
      <c r="S3803" s="55"/>
      <c r="T3803" s="56"/>
      <c r="U3803" s="25"/>
      <c r="V3803" s="25"/>
      <c r="W3803" s="25"/>
      <c r="X3803" s="25"/>
      <c r="Y3803" s="25"/>
      <c r="Z3803" s="25"/>
    </row>
    <row r="3804" spans="1:26" ht="52.5" customHeight="1" x14ac:dyDescent="0.25">
      <c r="A3804" s="25" t="str">
        <f ca="1">IFERROR(__xludf.DUMMYFUNCTION("""COMPUTED_VALUE"""),"Plane202")</f>
        <v>Plane202</v>
      </c>
      <c r="B3804" s="25"/>
      <c r="C3804" s="55"/>
      <c r="D3804" s="25" t="str">
        <f ca="1">IFERROR(__xludf.DUMMYFUNCTION("""COMPUTED_VALUE"""),"Planeación")</f>
        <v>Planeación</v>
      </c>
      <c r="E3804" s="25"/>
      <c r="F3804" s="25"/>
      <c r="G3804" s="25"/>
      <c r="H3804" s="25"/>
      <c r="I3804" s="25"/>
      <c r="J3804" s="55"/>
      <c r="K3804" s="25" t="str">
        <f ca="1">IFERROR(__xludf.DUMMYFUNCTION("""COMPUTED_VALUE"""),"Definir fecha")</f>
        <v>Definir fecha</v>
      </c>
      <c r="L3804" s="62"/>
      <c r="M3804" s="25"/>
      <c r="N3804" s="25"/>
      <c r="O3804" s="25">
        <f t="shared" si="0"/>
        <v>0</v>
      </c>
      <c r="P3804" s="25" t="str">
        <f t="shared" si="2"/>
        <v/>
      </c>
      <c r="Q3804" s="25"/>
      <c r="R3804" s="25"/>
      <c r="S3804" s="55"/>
      <c r="T3804" s="56"/>
      <c r="U3804" s="25"/>
      <c r="V3804" s="25"/>
      <c r="W3804" s="25"/>
      <c r="X3804" s="25"/>
      <c r="Y3804" s="25"/>
      <c r="Z3804" s="25"/>
    </row>
    <row r="3805" spans="1:26" ht="52.5" customHeight="1" x14ac:dyDescent="0.25">
      <c r="A3805" s="25" t="str">
        <f ca="1">IFERROR(__xludf.DUMMYFUNCTION("""COMPUTED_VALUE"""),"Plane203")</f>
        <v>Plane203</v>
      </c>
      <c r="B3805" s="25"/>
      <c r="C3805" s="55"/>
      <c r="D3805" s="25" t="str">
        <f ca="1">IFERROR(__xludf.DUMMYFUNCTION("""COMPUTED_VALUE"""),"Planeación")</f>
        <v>Planeación</v>
      </c>
      <c r="E3805" s="25"/>
      <c r="F3805" s="25"/>
      <c r="G3805" s="25"/>
      <c r="H3805" s="25"/>
      <c r="I3805" s="25"/>
      <c r="J3805" s="55"/>
      <c r="K3805" s="25" t="str">
        <f ca="1">IFERROR(__xludf.DUMMYFUNCTION("""COMPUTED_VALUE"""),"Definir fecha")</f>
        <v>Definir fecha</v>
      </c>
      <c r="L3805" s="62"/>
      <c r="M3805" s="25"/>
      <c r="N3805" s="25"/>
      <c r="O3805" s="25">
        <f t="shared" si="0"/>
        <v>0</v>
      </c>
      <c r="P3805" s="25" t="str">
        <f t="shared" si="2"/>
        <v/>
      </c>
      <c r="Q3805" s="25"/>
      <c r="R3805" s="25"/>
      <c r="S3805" s="55"/>
      <c r="T3805" s="56"/>
      <c r="U3805" s="25"/>
      <c r="V3805" s="25"/>
      <c r="W3805" s="25"/>
      <c r="X3805" s="25"/>
      <c r="Y3805" s="25"/>
      <c r="Z3805" s="25"/>
    </row>
    <row r="3806" spans="1:26" ht="52.5" customHeight="1" x14ac:dyDescent="0.25">
      <c r="A3806" s="25" t="str">
        <f ca="1">IFERROR(__xludf.DUMMYFUNCTION("""COMPUTED_VALUE"""),"Plane204")</f>
        <v>Plane204</v>
      </c>
      <c r="B3806" s="25"/>
      <c r="C3806" s="55"/>
      <c r="D3806" s="25" t="str">
        <f ca="1">IFERROR(__xludf.DUMMYFUNCTION("""COMPUTED_VALUE"""),"Planeación")</f>
        <v>Planeación</v>
      </c>
      <c r="E3806" s="25"/>
      <c r="F3806" s="25"/>
      <c r="G3806" s="25"/>
      <c r="H3806" s="25"/>
      <c r="I3806" s="25"/>
      <c r="J3806" s="55"/>
      <c r="K3806" s="25" t="str">
        <f ca="1">IFERROR(__xludf.DUMMYFUNCTION("""COMPUTED_VALUE"""),"Definir fecha")</f>
        <v>Definir fecha</v>
      </c>
      <c r="L3806" s="62"/>
      <c r="M3806" s="25"/>
      <c r="N3806" s="25"/>
      <c r="O3806" s="25">
        <f t="shared" si="0"/>
        <v>0</v>
      </c>
      <c r="P3806" s="25" t="str">
        <f t="shared" si="2"/>
        <v/>
      </c>
      <c r="Q3806" s="25"/>
      <c r="R3806" s="25"/>
      <c r="S3806" s="55"/>
      <c r="T3806" s="56"/>
      <c r="U3806" s="25"/>
      <c r="V3806" s="25"/>
      <c r="W3806" s="25"/>
      <c r="X3806" s="25"/>
      <c r="Y3806" s="25"/>
      <c r="Z3806" s="25"/>
    </row>
    <row r="3807" spans="1:26" ht="52.5" customHeight="1" x14ac:dyDescent="0.25">
      <c r="A3807" s="25" t="str">
        <f ca="1">IFERROR(__xludf.DUMMYFUNCTION("""COMPUTED_VALUE"""),"Plane205")</f>
        <v>Plane205</v>
      </c>
      <c r="B3807" s="25"/>
      <c r="C3807" s="55"/>
      <c r="D3807" s="25" t="str">
        <f ca="1">IFERROR(__xludf.DUMMYFUNCTION("""COMPUTED_VALUE"""),"Planeación")</f>
        <v>Planeación</v>
      </c>
      <c r="E3807" s="25"/>
      <c r="F3807" s="25"/>
      <c r="G3807" s="25"/>
      <c r="H3807" s="25"/>
      <c r="I3807" s="25"/>
      <c r="J3807" s="55"/>
      <c r="K3807" s="25" t="str">
        <f ca="1">IFERROR(__xludf.DUMMYFUNCTION("""COMPUTED_VALUE"""),"Definir fecha")</f>
        <v>Definir fecha</v>
      </c>
      <c r="L3807" s="62"/>
      <c r="M3807" s="25"/>
      <c r="N3807" s="25"/>
      <c r="O3807" s="25">
        <f t="shared" si="0"/>
        <v>0</v>
      </c>
      <c r="P3807" s="25" t="str">
        <f t="shared" si="2"/>
        <v/>
      </c>
      <c r="Q3807" s="25"/>
      <c r="R3807" s="25"/>
      <c r="S3807" s="55"/>
      <c r="T3807" s="56"/>
      <c r="U3807" s="25"/>
      <c r="V3807" s="25"/>
      <c r="W3807" s="25"/>
      <c r="X3807" s="25"/>
      <c r="Y3807" s="25"/>
      <c r="Z3807" s="25"/>
    </row>
    <row r="3808" spans="1:26" ht="52.5" customHeight="1" x14ac:dyDescent="0.25">
      <c r="A3808" s="25" t="str">
        <f ca="1">IFERROR(__xludf.DUMMYFUNCTION("""COMPUTED_VALUE"""),"Plane206")</f>
        <v>Plane206</v>
      </c>
      <c r="B3808" s="25"/>
      <c r="C3808" s="55"/>
      <c r="D3808" s="25" t="str">
        <f ca="1">IFERROR(__xludf.DUMMYFUNCTION("""COMPUTED_VALUE"""),"Planeación")</f>
        <v>Planeación</v>
      </c>
      <c r="E3808" s="25"/>
      <c r="F3808" s="25"/>
      <c r="G3808" s="25"/>
      <c r="H3808" s="25"/>
      <c r="I3808" s="25"/>
      <c r="J3808" s="55"/>
      <c r="K3808" s="25" t="str">
        <f ca="1">IFERROR(__xludf.DUMMYFUNCTION("""COMPUTED_VALUE"""),"Definir fecha")</f>
        <v>Definir fecha</v>
      </c>
      <c r="L3808" s="62"/>
      <c r="M3808" s="25"/>
      <c r="N3808" s="25"/>
      <c r="O3808" s="25">
        <f t="shared" si="0"/>
        <v>0</v>
      </c>
      <c r="P3808" s="25" t="str">
        <f t="shared" si="2"/>
        <v/>
      </c>
      <c r="Q3808" s="25"/>
      <c r="R3808" s="25"/>
      <c r="S3808" s="55"/>
      <c r="T3808" s="56"/>
      <c r="U3808" s="25"/>
      <c r="V3808" s="25"/>
      <c r="W3808" s="25"/>
      <c r="X3808" s="25"/>
      <c r="Y3808" s="25"/>
      <c r="Z3808" s="25"/>
    </row>
    <row r="3809" spans="1:26" ht="52.5" customHeight="1" x14ac:dyDescent="0.25">
      <c r="A3809" s="25" t="str">
        <f ca="1">IFERROR(__xludf.DUMMYFUNCTION("""COMPUTED_VALUE"""),"Plane207")</f>
        <v>Plane207</v>
      </c>
      <c r="B3809" s="25"/>
      <c r="C3809" s="55"/>
      <c r="D3809" s="25" t="str">
        <f ca="1">IFERROR(__xludf.DUMMYFUNCTION("""COMPUTED_VALUE"""),"Planeación")</f>
        <v>Planeación</v>
      </c>
      <c r="E3809" s="25"/>
      <c r="F3809" s="25"/>
      <c r="G3809" s="25"/>
      <c r="H3809" s="25"/>
      <c r="I3809" s="25"/>
      <c r="J3809" s="55"/>
      <c r="K3809" s="25" t="str">
        <f ca="1">IFERROR(__xludf.DUMMYFUNCTION("""COMPUTED_VALUE"""),"Definir fecha")</f>
        <v>Definir fecha</v>
      </c>
      <c r="L3809" s="62"/>
      <c r="M3809" s="25"/>
      <c r="N3809" s="25"/>
      <c r="O3809" s="25">
        <f t="shared" si="0"/>
        <v>0</v>
      </c>
      <c r="P3809" s="25" t="str">
        <f t="shared" si="2"/>
        <v/>
      </c>
      <c r="Q3809" s="25"/>
      <c r="R3809" s="25"/>
      <c r="S3809" s="55"/>
      <c r="T3809" s="56"/>
      <c r="U3809" s="25"/>
      <c r="V3809" s="25"/>
      <c r="W3809" s="25"/>
      <c r="X3809" s="25"/>
      <c r="Y3809" s="25"/>
      <c r="Z3809" s="25"/>
    </row>
    <row r="3810" spans="1:26" ht="52.5" customHeight="1" x14ac:dyDescent="0.25">
      <c r="A3810" s="25" t="str">
        <f ca="1">IFERROR(__xludf.DUMMYFUNCTION("""COMPUTED_VALUE"""),"Plane208")</f>
        <v>Plane208</v>
      </c>
      <c r="B3810" s="25"/>
      <c r="C3810" s="55"/>
      <c r="D3810" s="25" t="str">
        <f ca="1">IFERROR(__xludf.DUMMYFUNCTION("""COMPUTED_VALUE"""),"Planeación")</f>
        <v>Planeación</v>
      </c>
      <c r="E3810" s="25"/>
      <c r="F3810" s="25"/>
      <c r="G3810" s="25"/>
      <c r="H3810" s="25"/>
      <c r="I3810" s="25"/>
      <c r="J3810" s="55"/>
      <c r="K3810" s="25" t="str">
        <f ca="1">IFERROR(__xludf.DUMMYFUNCTION("""COMPUTED_VALUE"""),"Definir fecha")</f>
        <v>Definir fecha</v>
      </c>
      <c r="L3810" s="62"/>
      <c r="M3810" s="25"/>
      <c r="N3810" s="25"/>
      <c r="O3810" s="25">
        <f t="shared" si="0"/>
        <v>0</v>
      </c>
      <c r="P3810" s="25" t="str">
        <f t="shared" si="2"/>
        <v/>
      </c>
      <c r="Q3810" s="25"/>
      <c r="R3810" s="25"/>
      <c r="S3810" s="55"/>
      <c r="T3810" s="56"/>
      <c r="U3810" s="25"/>
      <c r="V3810" s="25"/>
      <c r="W3810" s="25"/>
      <c r="X3810" s="25"/>
      <c r="Y3810" s="25"/>
      <c r="Z3810" s="25"/>
    </row>
    <row r="3811" spans="1:26" ht="52.5" customHeight="1" x14ac:dyDescent="0.25">
      <c r="A3811" s="25" t="str">
        <f ca="1">IFERROR(__xludf.DUMMYFUNCTION("""COMPUTED_VALUE"""),"Plane209")</f>
        <v>Plane209</v>
      </c>
      <c r="B3811" s="25"/>
      <c r="C3811" s="55"/>
      <c r="D3811" s="25" t="str">
        <f ca="1">IFERROR(__xludf.DUMMYFUNCTION("""COMPUTED_VALUE"""),"Planeación")</f>
        <v>Planeación</v>
      </c>
      <c r="E3811" s="25"/>
      <c r="F3811" s="25"/>
      <c r="G3811" s="25"/>
      <c r="H3811" s="25"/>
      <c r="I3811" s="25"/>
      <c r="J3811" s="55"/>
      <c r="K3811" s="25" t="str">
        <f ca="1">IFERROR(__xludf.DUMMYFUNCTION("""COMPUTED_VALUE"""),"Definir fecha")</f>
        <v>Definir fecha</v>
      </c>
      <c r="L3811" s="62"/>
      <c r="M3811" s="25"/>
      <c r="N3811" s="25"/>
      <c r="O3811" s="25">
        <f t="shared" si="0"/>
        <v>0</v>
      </c>
      <c r="P3811" s="25" t="str">
        <f t="shared" si="2"/>
        <v/>
      </c>
      <c r="Q3811" s="25"/>
      <c r="R3811" s="25"/>
      <c r="S3811" s="55"/>
      <c r="T3811" s="56"/>
      <c r="U3811" s="25"/>
      <c r="V3811" s="25"/>
      <c r="W3811" s="25"/>
      <c r="X3811" s="25"/>
      <c r="Y3811" s="25"/>
      <c r="Z3811" s="25"/>
    </row>
    <row r="3812" spans="1:26" ht="52.5" customHeight="1" x14ac:dyDescent="0.25">
      <c r="A3812" s="25" t="str">
        <f ca="1">IFERROR(__xludf.DUMMYFUNCTION("""COMPUTED_VALUE"""),"Plane210")</f>
        <v>Plane210</v>
      </c>
      <c r="B3812" s="25"/>
      <c r="C3812" s="55"/>
      <c r="D3812" s="25" t="str">
        <f ca="1">IFERROR(__xludf.DUMMYFUNCTION("""COMPUTED_VALUE"""),"Planeación")</f>
        <v>Planeación</v>
      </c>
      <c r="E3812" s="25"/>
      <c r="F3812" s="25"/>
      <c r="G3812" s="25"/>
      <c r="H3812" s="25"/>
      <c r="I3812" s="25"/>
      <c r="J3812" s="55"/>
      <c r="K3812" s="25" t="str">
        <f ca="1">IFERROR(__xludf.DUMMYFUNCTION("""COMPUTED_VALUE"""),"Definir fecha")</f>
        <v>Definir fecha</v>
      </c>
      <c r="L3812" s="62"/>
      <c r="M3812" s="25"/>
      <c r="N3812" s="25"/>
      <c r="O3812" s="25">
        <f t="shared" si="0"/>
        <v>0</v>
      </c>
      <c r="P3812" s="25" t="str">
        <f t="shared" si="2"/>
        <v/>
      </c>
      <c r="Q3812" s="25"/>
      <c r="R3812" s="25"/>
      <c r="S3812" s="55"/>
      <c r="T3812" s="56"/>
      <c r="U3812" s="25"/>
      <c r="V3812" s="25"/>
      <c r="W3812" s="25"/>
      <c r="X3812" s="25"/>
      <c r="Y3812" s="25"/>
      <c r="Z3812" s="25"/>
    </row>
    <row r="3813" spans="1:26" ht="52.5" customHeight="1" x14ac:dyDescent="0.25">
      <c r="A3813" s="25" t="str">
        <f ca="1">IFERROR(__xludf.DUMMYFUNCTION("""COMPUTED_VALUE"""),"Plane211")</f>
        <v>Plane211</v>
      </c>
      <c r="B3813" s="25"/>
      <c r="C3813" s="55"/>
      <c r="D3813" s="25" t="str">
        <f ca="1">IFERROR(__xludf.DUMMYFUNCTION("""COMPUTED_VALUE"""),"Planeación")</f>
        <v>Planeación</v>
      </c>
      <c r="E3813" s="25"/>
      <c r="F3813" s="25"/>
      <c r="G3813" s="25"/>
      <c r="H3813" s="25"/>
      <c r="I3813" s="25"/>
      <c r="J3813" s="55"/>
      <c r="K3813" s="25" t="str">
        <f ca="1">IFERROR(__xludf.DUMMYFUNCTION("""COMPUTED_VALUE"""),"Definir fecha")</f>
        <v>Definir fecha</v>
      </c>
      <c r="L3813" s="62"/>
      <c r="M3813" s="25"/>
      <c r="N3813" s="25"/>
      <c r="O3813" s="25">
        <f t="shared" si="0"/>
        <v>0</v>
      </c>
      <c r="P3813" s="25" t="str">
        <f t="shared" si="2"/>
        <v/>
      </c>
      <c r="Q3813" s="25"/>
      <c r="R3813" s="25"/>
      <c r="S3813" s="55"/>
      <c r="T3813" s="56"/>
      <c r="U3813" s="25"/>
      <c r="V3813" s="25"/>
      <c r="W3813" s="25"/>
      <c r="X3813" s="25"/>
      <c r="Y3813" s="25"/>
      <c r="Z3813" s="25"/>
    </row>
    <row r="3814" spans="1:26" ht="52.5" customHeight="1" x14ac:dyDescent="0.25">
      <c r="A3814" s="25" t="str">
        <f ca="1">IFERROR(__xludf.DUMMYFUNCTION("""COMPUTED_VALUE"""),"Plane212")</f>
        <v>Plane212</v>
      </c>
      <c r="B3814" s="25"/>
      <c r="C3814" s="55"/>
      <c r="D3814" s="25" t="str">
        <f ca="1">IFERROR(__xludf.DUMMYFUNCTION("""COMPUTED_VALUE"""),"Planeación")</f>
        <v>Planeación</v>
      </c>
      <c r="E3814" s="25"/>
      <c r="F3814" s="25"/>
      <c r="G3814" s="25"/>
      <c r="H3814" s="25"/>
      <c r="I3814" s="25"/>
      <c r="J3814" s="55"/>
      <c r="K3814" s="25" t="str">
        <f ca="1">IFERROR(__xludf.DUMMYFUNCTION("""COMPUTED_VALUE"""),"Definir fecha")</f>
        <v>Definir fecha</v>
      </c>
      <c r="L3814" s="62"/>
      <c r="M3814" s="25"/>
      <c r="N3814" s="25"/>
      <c r="O3814" s="25">
        <f t="shared" si="0"/>
        <v>0</v>
      </c>
      <c r="P3814" s="25" t="str">
        <f t="shared" si="2"/>
        <v/>
      </c>
      <c r="Q3814" s="25"/>
      <c r="R3814" s="25"/>
      <c r="S3814" s="55"/>
      <c r="T3814" s="56"/>
      <c r="U3814" s="25"/>
      <c r="V3814" s="25"/>
      <c r="W3814" s="25"/>
      <c r="X3814" s="25"/>
      <c r="Y3814" s="25"/>
      <c r="Z3814" s="25"/>
    </row>
    <row r="3815" spans="1:26" ht="52.5" customHeight="1" x14ac:dyDescent="0.25">
      <c r="A3815" s="25" t="str">
        <f ca="1">IFERROR(__xludf.DUMMYFUNCTION("""COMPUTED_VALUE"""),"Plane213")</f>
        <v>Plane213</v>
      </c>
      <c r="B3815" s="25"/>
      <c r="C3815" s="55"/>
      <c r="D3815" s="25" t="str">
        <f ca="1">IFERROR(__xludf.DUMMYFUNCTION("""COMPUTED_VALUE"""),"Planeación")</f>
        <v>Planeación</v>
      </c>
      <c r="E3815" s="25"/>
      <c r="F3815" s="25"/>
      <c r="G3815" s="25"/>
      <c r="H3815" s="25"/>
      <c r="I3815" s="25"/>
      <c r="J3815" s="55"/>
      <c r="K3815" s="25" t="str">
        <f ca="1">IFERROR(__xludf.DUMMYFUNCTION("""COMPUTED_VALUE"""),"Definir fecha")</f>
        <v>Definir fecha</v>
      </c>
      <c r="L3815" s="62"/>
      <c r="M3815" s="25"/>
      <c r="N3815" s="25"/>
      <c r="O3815" s="25">
        <f t="shared" si="0"/>
        <v>0</v>
      </c>
      <c r="P3815" s="25" t="str">
        <f t="shared" si="2"/>
        <v/>
      </c>
      <c r="Q3815" s="25"/>
      <c r="R3815" s="25"/>
      <c r="S3815" s="55"/>
      <c r="T3815" s="56"/>
      <c r="U3815" s="25"/>
      <c r="V3815" s="25"/>
      <c r="W3815" s="25"/>
      <c r="X3815" s="25"/>
      <c r="Y3815" s="25"/>
      <c r="Z3815" s="25"/>
    </row>
    <row r="3816" spans="1:26" ht="52.5" customHeight="1" x14ac:dyDescent="0.25">
      <c r="A3816" s="25" t="str">
        <f ca="1">IFERROR(__xludf.DUMMYFUNCTION("""COMPUTED_VALUE"""),"Plane214")</f>
        <v>Plane214</v>
      </c>
      <c r="B3816" s="25"/>
      <c r="C3816" s="55"/>
      <c r="D3816" s="25" t="str">
        <f ca="1">IFERROR(__xludf.DUMMYFUNCTION("""COMPUTED_VALUE"""),"Planeación")</f>
        <v>Planeación</v>
      </c>
      <c r="E3816" s="25"/>
      <c r="F3816" s="25"/>
      <c r="G3816" s="25"/>
      <c r="H3816" s="25"/>
      <c r="I3816" s="25"/>
      <c r="J3816" s="55"/>
      <c r="K3816" s="25" t="str">
        <f ca="1">IFERROR(__xludf.DUMMYFUNCTION("""COMPUTED_VALUE"""),"Definir fecha")</f>
        <v>Definir fecha</v>
      </c>
      <c r="L3816" s="62"/>
      <c r="M3816" s="25"/>
      <c r="N3816" s="25"/>
      <c r="O3816" s="25">
        <f t="shared" si="0"/>
        <v>0</v>
      </c>
      <c r="P3816" s="25" t="str">
        <f t="shared" si="2"/>
        <v/>
      </c>
      <c r="Q3816" s="25"/>
      <c r="R3816" s="25"/>
      <c r="S3816" s="55"/>
      <c r="T3816" s="56"/>
      <c r="U3816" s="25"/>
      <c r="V3816" s="25"/>
      <c r="W3816" s="25"/>
      <c r="X3816" s="25"/>
      <c r="Y3816" s="25"/>
      <c r="Z3816" s="25"/>
    </row>
    <row r="3817" spans="1:26" ht="52.5" customHeight="1" x14ac:dyDescent="0.25">
      <c r="A3817" s="25" t="str">
        <f ca="1">IFERROR(__xludf.DUMMYFUNCTION("""COMPUTED_VALUE"""),"Plane215")</f>
        <v>Plane215</v>
      </c>
      <c r="B3817" s="25"/>
      <c r="C3817" s="55"/>
      <c r="D3817" s="25" t="str">
        <f ca="1">IFERROR(__xludf.DUMMYFUNCTION("""COMPUTED_VALUE"""),"Planeación")</f>
        <v>Planeación</v>
      </c>
      <c r="E3817" s="25"/>
      <c r="F3817" s="25"/>
      <c r="G3817" s="25"/>
      <c r="H3817" s="25"/>
      <c r="I3817" s="25"/>
      <c r="J3817" s="55"/>
      <c r="K3817" s="25" t="str">
        <f ca="1">IFERROR(__xludf.DUMMYFUNCTION("""COMPUTED_VALUE"""),"Definir fecha")</f>
        <v>Definir fecha</v>
      </c>
      <c r="L3817" s="62"/>
      <c r="M3817" s="25"/>
      <c r="N3817" s="25"/>
      <c r="O3817" s="25">
        <f t="shared" si="0"/>
        <v>0</v>
      </c>
      <c r="P3817" s="25" t="str">
        <f t="shared" si="2"/>
        <v/>
      </c>
      <c r="Q3817" s="25"/>
      <c r="R3817" s="25"/>
      <c r="S3817" s="55"/>
      <c r="T3817" s="56"/>
      <c r="U3817" s="25"/>
      <c r="V3817" s="25"/>
      <c r="W3817" s="25"/>
      <c r="X3817" s="25"/>
      <c r="Y3817" s="25"/>
      <c r="Z3817" s="25"/>
    </row>
    <row r="3818" spans="1:26" ht="52.5" customHeight="1" x14ac:dyDescent="0.25">
      <c r="A3818" s="25" t="str">
        <f ca="1">IFERROR(__xludf.DUMMYFUNCTION("""COMPUTED_VALUE"""),"Plane216")</f>
        <v>Plane216</v>
      </c>
      <c r="B3818" s="25"/>
      <c r="C3818" s="55"/>
      <c r="D3818" s="25" t="str">
        <f ca="1">IFERROR(__xludf.DUMMYFUNCTION("""COMPUTED_VALUE"""),"Planeación")</f>
        <v>Planeación</v>
      </c>
      <c r="E3818" s="25"/>
      <c r="F3818" s="25"/>
      <c r="G3818" s="25"/>
      <c r="H3818" s="25"/>
      <c r="I3818" s="25"/>
      <c r="J3818" s="55"/>
      <c r="K3818" s="25" t="str">
        <f ca="1">IFERROR(__xludf.DUMMYFUNCTION("""COMPUTED_VALUE"""),"Definir fecha")</f>
        <v>Definir fecha</v>
      </c>
      <c r="L3818" s="62"/>
      <c r="M3818" s="25"/>
      <c r="N3818" s="25"/>
      <c r="O3818" s="25">
        <f t="shared" si="0"/>
        <v>0</v>
      </c>
      <c r="P3818" s="25" t="str">
        <f t="shared" si="2"/>
        <v/>
      </c>
      <c r="Q3818" s="25"/>
      <c r="R3818" s="25"/>
      <c r="S3818" s="55"/>
      <c r="T3818" s="56"/>
      <c r="U3818" s="25"/>
      <c r="V3818" s="25"/>
      <c r="W3818" s="25"/>
      <c r="X3818" s="25"/>
      <c r="Y3818" s="25"/>
      <c r="Z3818" s="25"/>
    </row>
    <row r="3819" spans="1:26" ht="52.5" customHeight="1" x14ac:dyDescent="0.25">
      <c r="A3819" s="25" t="str">
        <f ca="1">IFERROR(__xludf.DUMMYFUNCTION("""COMPUTED_VALUE"""),"Plane217")</f>
        <v>Plane217</v>
      </c>
      <c r="B3819" s="25"/>
      <c r="C3819" s="55"/>
      <c r="D3819" s="25" t="str">
        <f ca="1">IFERROR(__xludf.DUMMYFUNCTION("""COMPUTED_VALUE"""),"Planeación")</f>
        <v>Planeación</v>
      </c>
      <c r="E3819" s="25"/>
      <c r="F3819" s="25"/>
      <c r="G3819" s="25"/>
      <c r="H3819" s="25"/>
      <c r="I3819" s="25"/>
      <c r="J3819" s="55"/>
      <c r="K3819" s="25" t="str">
        <f ca="1">IFERROR(__xludf.DUMMYFUNCTION("""COMPUTED_VALUE"""),"Definir fecha")</f>
        <v>Definir fecha</v>
      </c>
      <c r="L3819" s="62"/>
      <c r="M3819" s="25"/>
      <c r="N3819" s="25"/>
      <c r="O3819" s="25">
        <f t="shared" si="0"/>
        <v>0</v>
      </c>
      <c r="P3819" s="25" t="str">
        <f t="shared" si="2"/>
        <v/>
      </c>
      <c r="Q3819" s="25"/>
      <c r="R3819" s="25"/>
      <c r="S3819" s="55"/>
      <c r="T3819" s="56"/>
      <c r="U3819" s="25"/>
      <c r="V3819" s="25"/>
      <c r="W3819" s="25"/>
      <c r="X3819" s="25"/>
      <c r="Y3819" s="25"/>
      <c r="Z3819" s="25"/>
    </row>
    <row r="3820" spans="1:26" ht="52.5" customHeight="1" x14ac:dyDescent="0.25">
      <c r="A3820" s="25" t="str">
        <f ca="1">IFERROR(__xludf.DUMMYFUNCTION("""COMPUTED_VALUE"""),"Plane218")</f>
        <v>Plane218</v>
      </c>
      <c r="B3820" s="25"/>
      <c r="C3820" s="55"/>
      <c r="D3820" s="25" t="str">
        <f ca="1">IFERROR(__xludf.DUMMYFUNCTION("""COMPUTED_VALUE"""),"Planeación")</f>
        <v>Planeación</v>
      </c>
      <c r="E3820" s="25"/>
      <c r="F3820" s="25"/>
      <c r="G3820" s="25"/>
      <c r="H3820" s="25"/>
      <c r="I3820" s="25"/>
      <c r="J3820" s="55"/>
      <c r="K3820" s="25" t="str">
        <f ca="1">IFERROR(__xludf.DUMMYFUNCTION("""COMPUTED_VALUE"""),"Definir fecha")</f>
        <v>Definir fecha</v>
      </c>
      <c r="L3820" s="62"/>
      <c r="M3820" s="25"/>
      <c r="N3820" s="25"/>
      <c r="O3820" s="25">
        <f t="shared" si="0"/>
        <v>0</v>
      </c>
      <c r="P3820" s="25" t="str">
        <f t="shared" si="2"/>
        <v/>
      </c>
      <c r="Q3820" s="25"/>
      <c r="R3820" s="25"/>
      <c r="S3820" s="55"/>
      <c r="T3820" s="56"/>
      <c r="U3820" s="25"/>
      <c r="V3820" s="25"/>
      <c r="W3820" s="25"/>
      <c r="X3820" s="25"/>
      <c r="Y3820" s="25"/>
      <c r="Z3820" s="25"/>
    </row>
    <row r="3821" spans="1:26" ht="52.5" customHeight="1" x14ac:dyDescent="0.25">
      <c r="A3821" s="25" t="str">
        <f ca="1">IFERROR(__xludf.DUMMYFUNCTION("""COMPUTED_VALUE"""),"Plane219")</f>
        <v>Plane219</v>
      </c>
      <c r="B3821" s="25"/>
      <c r="C3821" s="55"/>
      <c r="D3821" s="25" t="str">
        <f ca="1">IFERROR(__xludf.DUMMYFUNCTION("""COMPUTED_VALUE"""),"Planeación")</f>
        <v>Planeación</v>
      </c>
      <c r="E3821" s="25"/>
      <c r="F3821" s="25"/>
      <c r="G3821" s="25"/>
      <c r="H3821" s="25"/>
      <c r="I3821" s="25"/>
      <c r="J3821" s="55"/>
      <c r="K3821" s="25" t="str">
        <f ca="1">IFERROR(__xludf.DUMMYFUNCTION("""COMPUTED_VALUE"""),"Definir fecha")</f>
        <v>Definir fecha</v>
      </c>
      <c r="L3821" s="62"/>
      <c r="M3821" s="25"/>
      <c r="N3821" s="25"/>
      <c r="O3821" s="25">
        <f t="shared" si="0"/>
        <v>0</v>
      </c>
      <c r="P3821" s="25" t="str">
        <f t="shared" si="2"/>
        <v/>
      </c>
      <c r="Q3821" s="25"/>
      <c r="R3821" s="25"/>
      <c r="S3821" s="55"/>
      <c r="T3821" s="56"/>
      <c r="U3821" s="25"/>
      <c r="V3821" s="25"/>
      <c r="W3821" s="25"/>
      <c r="X3821" s="25"/>
      <c r="Y3821" s="25"/>
      <c r="Z3821" s="25"/>
    </row>
    <row r="3822" spans="1:26" ht="52.5" customHeight="1" x14ac:dyDescent="0.25">
      <c r="A3822" s="25" t="str">
        <f ca="1">IFERROR(__xludf.DUMMYFUNCTION("""COMPUTED_VALUE"""),"Plane220")</f>
        <v>Plane220</v>
      </c>
      <c r="B3822" s="25"/>
      <c r="C3822" s="55"/>
      <c r="D3822" s="25" t="str">
        <f ca="1">IFERROR(__xludf.DUMMYFUNCTION("""COMPUTED_VALUE"""),"Planeación")</f>
        <v>Planeación</v>
      </c>
      <c r="E3822" s="25"/>
      <c r="F3822" s="25"/>
      <c r="G3822" s="25"/>
      <c r="H3822" s="25"/>
      <c r="I3822" s="25"/>
      <c r="J3822" s="55"/>
      <c r="K3822" s="25" t="str">
        <f ca="1">IFERROR(__xludf.DUMMYFUNCTION("""COMPUTED_VALUE"""),"Definir fecha")</f>
        <v>Definir fecha</v>
      </c>
      <c r="L3822" s="62"/>
      <c r="M3822" s="25"/>
      <c r="N3822" s="25"/>
      <c r="O3822" s="25">
        <f t="shared" si="0"/>
        <v>0</v>
      </c>
      <c r="P3822" s="25" t="str">
        <f t="shared" si="2"/>
        <v/>
      </c>
      <c r="Q3822" s="25"/>
      <c r="R3822" s="25"/>
      <c r="S3822" s="55"/>
      <c r="T3822" s="56"/>
      <c r="U3822" s="25"/>
      <c r="V3822" s="25"/>
      <c r="W3822" s="25"/>
      <c r="X3822" s="25"/>
      <c r="Y3822" s="25"/>
      <c r="Z3822" s="25"/>
    </row>
    <row r="3823" spans="1:26" ht="52.5" customHeight="1" x14ac:dyDescent="0.25">
      <c r="A3823" s="25" t="str">
        <f ca="1">IFERROR(__xludf.DUMMYFUNCTION("""COMPUTED_VALUE"""),"Plane221")</f>
        <v>Plane221</v>
      </c>
      <c r="B3823" s="25"/>
      <c r="C3823" s="55"/>
      <c r="D3823" s="25" t="str">
        <f ca="1">IFERROR(__xludf.DUMMYFUNCTION("""COMPUTED_VALUE"""),"Planeación")</f>
        <v>Planeación</v>
      </c>
      <c r="E3823" s="25"/>
      <c r="F3823" s="25"/>
      <c r="G3823" s="25"/>
      <c r="H3823" s="25"/>
      <c r="I3823" s="25"/>
      <c r="J3823" s="55"/>
      <c r="K3823" s="25" t="str">
        <f ca="1">IFERROR(__xludf.DUMMYFUNCTION("""COMPUTED_VALUE"""),"Definir fecha")</f>
        <v>Definir fecha</v>
      </c>
      <c r="L3823" s="62"/>
      <c r="M3823" s="25"/>
      <c r="N3823" s="25"/>
      <c r="O3823" s="25">
        <f t="shared" si="0"/>
        <v>0</v>
      </c>
      <c r="P3823" s="25" t="str">
        <f t="shared" si="2"/>
        <v/>
      </c>
      <c r="Q3823" s="25"/>
      <c r="R3823" s="25"/>
      <c r="S3823" s="55"/>
      <c r="T3823" s="56"/>
      <c r="U3823" s="25"/>
      <c r="V3823" s="25"/>
      <c r="W3823" s="25"/>
      <c r="X3823" s="25"/>
      <c r="Y3823" s="25"/>
      <c r="Z3823" s="25"/>
    </row>
    <row r="3824" spans="1:26" ht="52.5" customHeight="1" x14ac:dyDescent="0.25">
      <c r="A3824" s="25" t="str">
        <f ca="1">IFERROR(__xludf.DUMMYFUNCTION("""COMPUTED_VALUE"""),"Plane222")</f>
        <v>Plane222</v>
      </c>
      <c r="B3824" s="25"/>
      <c r="C3824" s="55"/>
      <c r="D3824" s="25" t="str">
        <f ca="1">IFERROR(__xludf.DUMMYFUNCTION("""COMPUTED_VALUE"""),"Planeación")</f>
        <v>Planeación</v>
      </c>
      <c r="E3824" s="25"/>
      <c r="F3824" s="25"/>
      <c r="G3824" s="25"/>
      <c r="H3824" s="25"/>
      <c r="I3824" s="25"/>
      <c r="J3824" s="55"/>
      <c r="K3824" s="25" t="str">
        <f ca="1">IFERROR(__xludf.DUMMYFUNCTION("""COMPUTED_VALUE"""),"Definir fecha")</f>
        <v>Definir fecha</v>
      </c>
      <c r="L3824" s="62"/>
      <c r="M3824" s="25"/>
      <c r="N3824" s="25"/>
      <c r="O3824" s="25">
        <f t="shared" si="0"/>
        <v>0</v>
      </c>
      <c r="P3824" s="25" t="str">
        <f t="shared" si="2"/>
        <v/>
      </c>
      <c r="Q3824" s="25"/>
      <c r="R3824" s="25"/>
      <c r="S3824" s="55"/>
      <c r="T3824" s="56"/>
      <c r="U3824" s="25"/>
      <c r="V3824" s="25"/>
      <c r="W3824" s="25"/>
      <c r="X3824" s="25"/>
      <c r="Y3824" s="25"/>
      <c r="Z3824" s="25"/>
    </row>
    <row r="3825" spans="1:26" ht="52.5" customHeight="1" x14ac:dyDescent="0.25">
      <c r="A3825" s="25" t="str">
        <f ca="1">IFERROR(__xludf.DUMMYFUNCTION("""COMPUTED_VALUE"""),"Plane223")</f>
        <v>Plane223</v>
      </c>
      <c r="B3825" s="25"/>
      <c r="C3825" s="55"/>
      <c r="D3825" s="25" t="str">
        <f ca="1">IFERROR(__xludf.DUMMYFUNCTION("""COMPUTED_VALUE"""),"Planeación")</f>
        <v>Planeación</v>
      </c>
      <c r="E3825" s="25"/>
      <c r="F3825" s="25"/>
      <c r="G3825" s="25"/>
      <c r="H3825" s="25"/>
      <c r="I3825" s="25"/>
      <c r="J3825" s="55"/>
      <c r="K3825" s="25" t="str">
        <f ca="1">IFERROR(__xludf.DUMMYFUNCTION("""COMPUTED_VALUE"""),"Definir fecha")</f>
        <v>Definir fecha</v>
      </c>
      <c r="L3825" s="62"/>
      <c r="M3825" s="25"/>
      <c r="N3825" s="25"/>
      <c r="O3825" s="25">
        <f t="shared" si="0"/>
        <v>0</v>
      </c>
      <c r="P3825" s="25" t="str">
        <f t="shared" si="2"/>
        <v/>
      </c>
      <c r="Q3825" s="25"/>
      <c r="R3825" s="25"/>
      <c r="S3825" s="55"/>
      <c r="T3825" s="56"/>
      <c r="U3825" s="25"/>
      <c r="V3825" s="25"/>
      <c r="W3825" s="25"/>
      <c r="X3825" s="25"/>
      <c r="Y3825" s="25"/>
      <c r="Z3825" s="25"/>
    </row>
    <row r="3826" spans="1:26" ht="52.5" customHeight="1" x14ac:dyDescent="0.25">
      <c r="A3826" s="25" t="str">
        <f ca="1">IFERROR(__xludf.DUMMYFUNCTION("""COMPUTED_VALUE"""),"Plane224")</f>
        <v>Plane224</v>
      </c>
      <c r="B3826" s="25"/>
      <c r="C3826" s="55"/>
      <c r="D3826" s="25" t="str">
        <f ca="1">IFERROR(__xludf.DUMMYFUNCTION("""COMPUTED_VALUE"""),"Planeación")</f>
        <v>Planeación</v>
      </c>
      <c r="E3826" s="25"/>
      <c r="F3826" s="25"/>
      <c r="G3826" s="25"/>
      <c r="H3826" s="25"/>
      <c r="I3826" s="25"/>
      <c r="J3826" s="55"/>
      <c r="K3826" s="25" t="str">
        <f ca="1">IFERROR(__xludf.DUMMYFUNCTION("""COMPUTED_VALUE"""),"Definir fecha")</f>
        <v>Definir fecha</v>
      </c>
      <c r="L3826" s="62"/>
      <c r="M3826" s="25"/>
      <c r="N3826" s="25"/>
      <c r="O3826" s="25">
        <f t="shared" si="0"/>
        <v>0</v>
      </c>
      <c r="P3826" s="25" t="str">
        <f t="shared" si="2"/>
        <v/>
      </c>
      <c r="Q3826" s="25"/>
      <c r="R3826" s="25"/>
      <c r="S3826" s="55"/>
      <c r="T3826" s="56"/>
      <c r="U3826" s="25"/>
      <c r="V3826" s="25"/>
      <c r="W3826" s="25"/>
      <c r="X3826" s="25"/>
      <c r="Y3826" s="25"/>
      <c r="Z3826" s="25"/>
    </row>
    <row r="3827" spans="1:26" ht="52.5" customHeight="1" x14ac:dyDescent="0.25">
      <c r="A3827" s="25" t="str">
        <f ca="1">IFERROR(__xludf.DUMMYFUNCTION("""COMPUTED_VALUE"""),"Plane225")</f>
        <v>Plane225</v>
      </c>
      <c r="B3827" s="25"/>
      <c r="C3827" s="55"/>
      <c r="D3827" s="25" t="str">
        <f ca="1">IFERROR(__xludf.DUMMYFUNCTION("""COMPUTED_VALUE"""),"Planeación")</f>
        <v>Planeación</v>
      </c>
      <c r="E3827" s="25"/>
      <c r="F3827" s="25"/>
      <c r="G3827" s="25"/>
      <c r="H3827" s="25"/>
      <c r="I3827" s="25"/>
      <c r="J3827" s="55"/>
      <c r="K3827" s="25" t="str">
        <f ca="1">IFERROR(__xludf.DUMMYFUNCTION("""COMPUTED_VALUE"""),"Definir fecha")</f>
        <v>Definir fecha</v>
      </c>
      <c r="L3827" s="62"/>
      <c r="M3827" s="25"/>
      <c r="N3827" s="25"/>
      <c r="O3827" s="25">
        <f t="shared" si="0"/>
        <v>0</v>
      </c>
      <c r="P3827" s="25" t="str">
        <f t="shared" si="2"/>
        <v/>
      </c>
      <c r="Q3827" s="25"/>
      <c r="R3827" s="25"/>
      <c r="S3827" s="55"/>
      <c r="T3827" s="56"/>
      <c r="U3827" s="25"/>
      <c r="V3827" s="25"/>
      <c r="W3827" s="25"/>
      <c r="X3827" s="25"/>
      <c r="Y3827" s="25"/>
      <c r="Z3827" s="25"/>
    </row>
    <row r="3828" spans="1:26" ht="52.5" customHeight="1" x14ac:dyDescent="0.25">
      <c r="A3828" s="25" t="str">
        <f ca="1">IFERROR(__xludf.DUMMYFUNCTION("""COMPUTED_VALUE"""),"Plane226")</f>
        <v>Plane226</v>
      </c>
      <c r="B3828" s="25"/>
      <c r="C3828" s="55"/>
      <c r="D3828" s="25" t="str">
        <f ca="1">IFERROR(__xludf.DUMMYFUNCTION("""COMPUTED_VALUE"""),"Planeación")</f>
        <v>Planeación</v>
      </c>
      <c r="E3828" s="25"/>
      <c r="F3828" s="25"/>
      <c r="G3828" s="25"/>
      <c r="H3828" s="25"/>
      <c r="I3828" s="25"/>
      <c r="J3828" s="55"/>
      <c r="K3828" s="25" t="str">
        <f ca="1">IFERROR(__xludf.DUMMYFUNCTION("""COMPUTED_VALUE"""),"Definir fecha")</f>
        <v>Definir fecha</v>
      </c>
      <c r="L3828" s="62"/>
      <c r="M3828" s="25"/>
      <c r="N3828" s="25"/>
      <c r="O3828" s="25">
        <f t="shared" si="0"/>
        <v>0</v>
      </c>
      <c r="P3828" s="25" t="str">
        <f t="shared" si="2"/>
        <v/>
      </c>
      <c r="Q3828" s="25"/>
      <c r="R3828" s="25"/>
      <c r="S3828" s="55"/>
      <c r="T3828" s="56"/>
      <c r="U3828" s="25"/>
      <c r="V3828" s="25"/>
      <c r="W3828" s="25"/>
      <c r="X3828" s="25"/>
      <c r="Y3828" s="25"/>
      <c r="Z3828" s="25"/>
    </row>
    <row r="3829" spans="1:26" ht="52.5" customHeight="1" x14ac:dyDescent="0.25">
      <c r="A3829" s="25" t="str">
        <f ca="1">IFERROR(__xludf.DUMMYFUNCTION("""COMPUTED_VALUE"""),"Plane227")</f>
        <v>Plane227</v>
      </c>
      <c r="B3829" s="25"/>
      <c r="C3829" s="55"/>
      <c r="D3829" s="25" t="str">
        <f ca="1">IFERROR(__xludf.DUMMYFUNCTION("""COMPUTED_VALUE"""),"Planeación")</f>
        <v>Planeación</v>
      </c>
      <c r="E3829" s="25"/>
      <c r="F3829" s="25"/>
      <c r="G3829" s="25"/>
      <c r="H3829" s="25"/>
      <c r="I3829" s="25"/>
      <c r="J3829" s="55"/>
      <c r="K3829" s="25" t="str">
        <f ca="1">IFERROR(__xludf.DUMMYFUNCTION("""COMPUTED_VALUE"""),"Definir fecha")</f>
        <v>Definir fecha</v>
      </c>
      <c r="L3829" s="62"/>
      <c r="M3829" s="25"/>
      <c r="N3829" s="25"/>
      <c r="O3829" s="25">
        <f t="shared" si="0"/>
        <v>0</v>
      </c>
      <c r="P3829" s="25" t="str">
        <f t="shared" si="2"/>
        <v/>
      </c>
      <c r="Q3829" s="25"/>
      <c r="R3829" s="25"/>
      <c r="S3829" s="55"/>
      <c r="T3829" s="56"/>
      <c r="U3829" s="25"/>
      <c r="V3829" s="25"/>
      <c r="W3829" s="25"/>
      <c r="X3829" s="25"/>
      <c r="Y3829" s="25"/>
      <c r="Z3829" s="25"/>
    </row>
    <row r="3830" spans="1:26" ht="52.5" customHeight="1" x14ac:dyDescent="0.25">
      <c r="A3830" s="25" t="str">
        <f ca="1">IFERROR(__xludf.DUMMYFUNCTION("""COMPUTED_VALUE"""),"Plane228")</f>
        <v>Plane228</v>
      </c>
      <c r="B3830" s="25"/>
      <c r="C3830" s="55"/>
      <c r="D3830" s="25" t="str">
        <f ca="1">IFERROR(__xludf.DUMMYFUNCTION("""COMPUTED_VALUE"""),"Planeación")</f>
        <v>Planeación</v>
      </c>
      <c r="E3830" s="25"/>
      <c r="F3830" s="25"/>
      <c r="G3830" s="25"/>
      <c r="H3830" s="25"/>
      <c r="I3830" s="25"/>
      <c r="J3830" s="55"/>
      <c r="K3830" s="25" t="str">
        <f ca="1">IFERROR(__xludf.DUMMYFUNCTION("""COMPUTED_VALUE"""),"Definir fecha")</f>
        <v>Definir fecha</v>
      </c>
      <c r="L3830" s="62"/>
      <c r="M3830" s="25"/>
      <c r="N3830" s="25"/>
      <c r="O3830" s="25">
        <f t="shared" si="0"/>
        <v>0</v>
      </c>
      <c r="P3830" s="25" t="str">
        <f t="shared" si="2"/>
        <v/>
      </c>
      <c r="Q3830" s="25"/>
      <c r="R3830" s="25"/>
      <c r="S3830" s="55"/>
      <c r="T3830" s="56"/>
      <c r="U3830" s="25"/>
      <c r="V3830" s="25"/>
      <c r="W3830" s="25"/>
      <c r="X3830" s="25"/>
      <c r="Y3830" s="25"/>
      <c r="Z3830" s="25"/>
    </row>
    <row r="3831" spans="1:26" ht="52.5" customHeight="1" x14ac:dyDescent="0.25">
      <c r="A3831" s="25" t="str">
        <f ca="1">IFERROR(__xludf.DUMMYFUNCTION("""COMPUTED_VALUE"""),"Plane229")</f>
        <v>Plane229</v>
      </c>
      <c r="B3831" s="25"/>
      <c r="C3831" s="55"/>
      <c r="D3831" s="25" t="str">
        <f ca="1">IFERROR(__xludf.DUMMYFUNCTION("""COMPUTED_VALUE"""),"Planeación")</f>
        <v>Planeación</v>
      </c>
      <c r="E3831" s="25"/>
      <c r="F3831" s="25"/>
      <c r="G3831" s="25"/>
      <c r="H3831" s="25"/>
      <c r="I3831" s="25"/>
      <c r="J3831" s="55"/>
      <c r="K3831" s="25" t="str">
        <f ca="1">IFERROR(__xludf.DUMMYFUNCTION("""COMPUTED_VALUE"""),"Definir fecha")</f>
        <v>Definir fecha</v>
      </c>
      <c r="L3831" s="62"/>
      <c r="M3831" s="25"/>
      <c r="N3831" s="25"/>
      <c r="O3831" s="25">
        <f t="shared" si="0"/>
        <v>0</v>
      </c>
      <c r="P3831" s="25" t="str">
        <f t="shared" si="2"/>
        <v/>
      </c>
      <c r="Q3831" s="25"/>
      <c r="R3831" s="25"/>
      <c r="S3831" s="55"/>
      <c r="T3831" s="56"/>
      <c r="U3831" s="25"/>
      <c r="V3831" s="25"/>
      <c r="W3831" s="25"/>
      <c r="X3831" s="25"/>
      <c r="Y3831" s="25"/>
      <c r="Z3831" s="25"/>
    </row>
    <row r="3832" spans="1:26" ht="52.5" customHeight="1" x14ac:dyDescent="0.25">
      <c r="A3832" s="25" t="str">
        <f ca="1">IFERROR(__xludf.DUMMYFUNCTION("""COMPUTED_VALUE"""),"Plane230")</f>
        <v>Plane230</v>
      </c>
      <c r="B3832" s="25"/>
      <c r="C3832" s="55"/>
      <c r="D3832" s="25" t="str">
        <f ca="1">IFERROR(__xludf.DUMMYFUNCTION("""COMPUTED_VALUE"""),"Planeación")</f>
        <v>Planeación</v>
      </c>
      <c r="E3832" s="25"/>
      <c r="F3832" s="25"/>
      <c r="G3832" s="25"/>
      <c r="H3832" s="25"/>
      <c r="I3832" s="25"/>
      <c r="J3832" s="55"/>
      <c r="K3832" s="25" t="str">
        <f ca="1">IFERROR(__xludf.DUMMYFUNCTION("""COMPUTED_VALUE"""),"Definir fecha")</f>
        <v>Definir fecha</v>
      </c>
      <c r="L3832" s="62"/>
      <c r="M3832" s="25"/>
      <c r="N3832" s="25"/>
      <c r="O3832" s="25">
        <f t="shared" si="0"/>
        <v>0</v>
      </c>
      <c r="P3832" s="25" t="str">
        <f t="shared" si="2"/>
        <v/>
      </c>
      <c r="Q3832" s="25"/>
      <c r="R3832" s="25"/>
      <c r="S3832" s="55"/>
      <c r="T3832" s="56"/>
      <c r="U3832" s="25"/>
      <c r="V3832" s="25"/>
      <c r="W3832" s="25"/>
      <c r="X3832" s="25"/>
      <c r="Y3832" s="25"/>
      <c r="Z3832" s="25"/>
    </row>
    <row r="3833" spans="1:26" ht="52.5" customHeight="1" x14ac:dyDescent="0.25">
      <c r="A3833" s="25" t="str">
        <f ca="1">IFERROR(__xludf.DUMMYFUNCTION("""COMPUTED_VALUE"""),"Plane231")</f>
        <v>Plane231</v>
      </c>
      <c r="B3833" s="25"/>
      <c r="C3833" s="55"/>
      <c r="D3833" s="25" t="str">
        <f ca="1">IFERROR(__xludf.DUMMYFUNCTION("""COMPUTED_VALUE"""),"Planeación")</f>
        <v>Planeación</v>
      </c>
      <c r="E3833" s="25"/>
      <c r="F3833" s="25"/>
      <c r="G3833" s="25"/>
      <c r="H3833" s="25"/>
      <c r="I3833" s="25"/>
      <c r="J3833" s="55"/>
      <c r="K3833" s="25" t="str">
        <f ca="1">IFERROR(__xludf.DUMMYFUNCTION("""COMPUTED_VALUE"""),"Definir fecha")</f>
        <v>Definir fecha</v>
      </c>
      <c r="L3833" s="62"/>
      <c r="M3833" s="25"/>
      <c r="N3833" s="25"/>
      <c r="O3833" s="25">
        <f t="shared" si="0"/>
        <v>0</v>
      </c>
      <c r="P3833" s="25" t="str">
        <f t="shared" si="2"/>
        <v/>
      </c>
      <c r="Q3833" s="25"/>
      <c r="R3833" s="25"/>
      <c r="S3833" s="55"/>
      <c r="T3833" s="56"/>
      <c r="U3833" s="25"/>
      <c r="V3833" s="25"/>
      <c r="W3833" s="25"/>
      <c r="X3833" s="25"/>
      <c r="Y3833" s="25"/>
      <c r="Z3833" s="25"/>
    </row>
    <row r="3834" spans="1:26" ht="52.5" customHeight="1" x14ac:dyDescent="0.25">
      <c r="A3834" s="25" t="str">
        <f ca="1">IFERROR(__xludf.DUMMYFUNCTION("""COMPUTED_VALUE"""),"Plane232")</f>
        <v>Plane232</v>
      </c>
      <c r="B3834" s="25"/>
      <c r="C3834" s="55"/>
      <c r="D3834" s="25" t="str">
        <f ca="1">IFERROR(__xludf.DUMMYFUNCTION("""COMPUTED_VALUE"""),"Planeación")</f>
        <v>Planeación</v>
      </c>
      <c r="E3834" s="25"/>
      <c r="F3834" s="25"/>
      <c r="G3834" s="25"/>
      <c r="H3834" s="25"/>
      <c r="I3834" s="25"/>
      <c r="J3834" s="55"/>
      <c r="K3834" s="25" t="str">
        <f ca="1">IFERROR(__xludf.DUMMYFUNCTION("""COMPUTED_VALUE"""),"Definir fecha")</f>
        <v>Definir fecha</v>
      </c>
      <c r="L3834" s="62"/>
      <c r="M3834" s="25"/>
      <c r="N3834" s="25"/>
      <c r="O3834" s="25">
        <f t="shared" si="0"/>
        <v>0</v>
      </c>
      <c r="P3834" s="25" t="str">
        <f t="shared" si="2"/>
        <v/>
      </c>
      <c r="Q3834" s="25"/>
      <c r="R3834" s="25"/>
      <c r="S3834" s="55"/>
      <c r="T3834" s="56"/>
      <c r="U3834" s="25"/>
      <c r="V3834" s="25"/>
      <c r="W3834" s="25"/>
      <c r="X3834" s="25"/>
      <c r="Y3834" s="25"/>
      <c r="Z3834" s="25"/>
    </row>
    <row r="3835" spans="1:26" ht="52.5" customHeight="1" x14ac:dyDescent="0.25">
      <c r="A3835" s="25" t="str">
        <f ca="1">IFERROR(__xludf.DUMMYFUNCTION("""COMPUTED_VALUE"""),"Plane233")</f>
        <v>Plane233</v>
      </c>
      <c r="B3835" s="25"/>
      <c r="C3835" s="55"/>
      <c r="D3835" s="25" t="str">
        <f ca="1">IFERROR(__xludf.DUMMYFUNCTION("""COMPUTED_VALUE"""),"Planeación")</f>
        <v>Planeación</v>
      </c>
      <c r="E3835" s="25"/>
      <c r="F3835" s="25"/>
      <c r="G3835" s="25"/>
      <c r="H3835" s="25"/>
      <c r="I3835" s="25"/>
      <c r="J3835" s="55"/>
      <c r="K3835" s="25" t="str">
        <f ca="1">IFERROR(__xludf.DUMMYFUNCTION("""COMPUTED_VALUE"""),"Definir fecha")</f>
        <v>Definir fecha</v>
      </c>
      <c r="L3835" s="62"/>
      <c r="M3835" s="25"/>
      <c r="N3835" s="25"/>
      <c r="O3835" s="25">
        <f t="shared" si="0"/>
        <v>0</v>
      </c>
      <c r="P3835" s="25" t="str">
        <f t="shared" si="2"/>
        <v/>
      </c>
      <c r="Q3835" s="25"/>
      <c r="R3835" s="25"/>
      <c r="S3835" s="55"/>
      <c r="T3835" s="56"/>
      <c r="U3835" s="25"/>
      <c r="V3835" s="25"/>
      <c r="W3835" s="25"/>
      <c r="X3835" s="25"/>
      <c r="Y3835" s="25"/>
      <c r="Z3835" s="25"/>
    </row>
    <row r="3836" spans="1:26" ht="52.5" customHeight="1" x14ac:dyDescent="0.25">
      <c r="A3836" s="25" t="str">
        <f ca="1">IFERROR(__xludf.DUMMYFUNCTION("""COMPUTED_VALUE"""),"Plane234")</f>
        <v>Plane234</v>
      </c>
      <c r="B3836" s="25"/>
      <c r="C3836" s="55"/>
      <c r="D3836" s="25" t="str">
        <f ca="1">IFERROR(__xludf.DUMMYFUNCTION("""COMPUTED_VALUE"""),"Planeación")</f>
        <v>Planeación</v>
      </c>
      <c r="E3836" s="25"/>
      <c r="F3836" s="25"/>
      <c r="G3836" s="25"/>
      <c r="H3836" s="25"/>
      <c r="I3836" s="25"/>
      <c r="J3836" s="55"/>
      <c r="K3836" s="25" t="str">
        <f ca="1">IFERROR(__xludf.DUMMYFUNCTION("""COMPUTED_VALUE"""),"Definir fecha")</f>
        <v>Definir fecha</v>
      </c>
      <c r="L3836" s="62"/>
      <c r="M3836" s="25"/>
      <c r="N3836" s="25"/>
      <c r="O3836" s="25">
        <f t="shared" si="0"/>
        <v>0</v>
      </c>
      <c r="P3836" s="25" t="str">
        <f t="shared" si="2"/>
        <v/>
      </c>
      <c r="Q3836" s="25"/>
      <c r="R3836" s="25"/>
      <c r="S3836" s="55"/>
      <c r="T3836" s="56"/>
      <c r="U3836" s="25"/>
      <c r="V3836" s="25"/>
      <c r="W3836" s="25"/>
      <c r="X3836" s="25"/>
      <c r="Y3836" s="25"/>
      <c r="Z3836" s="25"/>
    </row>
    <row r="3837" spans="1:26" ht="52.5" customHeight="1" x14ac:dyDescent="0.25">
      <c r="A3837" s="25" t="str">
        <f ca="1">IFERROR(__xludf.DUMMYFUNCTION("""COMPUTED_VALUE"""),"Plane235")</f>
        <v>Plane235</v>
      </c>
      <c r="B3837" s="25"/>
      <c r="C3837" s="55"/>
      <c r="D3837" s="25" t="str">
        <f ca="1">IFERROR(__xludf.DUMMYFUNCTION("""COMPUTED_VALUE"""),"Planeación")</f>
        <v>Planeación</v>
      </c>
      <c r="E3837" s="25"/>
      <c r="F3837" s="25"/>
      <c r="G3837" s="25"/>
      <c r="H3837" s="25"/>
      <c r="I3837" s="25"/>
      <c r="J3837" s="55"/>
      <c r="K3837" s="25" t="str">
        <f ca="1">IFERROR(__xludf.DUMMYFUNCTION("""COMPUTED_VALUE"""),"Definir fecha")</f>
        <v>Definir fecha</v>
      </c>
      <c r="L3837" s="62"/>
      <c r="M3837" s="25"/>
      <c r="N3837" s="25"/>
      <c r="O3837" s="25">
        <f t="shared" si="0"/>
        <v>0</v>
      </c>
      <c r="P3837" s="25" t="str">
        <f t="shared" si="2"/>
        <v/>
      </c>
      <c r="Q3837" s="25"/>
      <c r="R3837" s="25"/>
      <c r="S3837" s="55"/>
      <c r="T3837" s="56"/>
      <c r="U3837" s="25"/>
      <c r="V3837" s="25"/>
      <c r="W3837" s="25"/>
      <c r="X3837" s="25"/>
      <c r="Y3837" s="25"/>
      <c r="Z3837" s="25"/>
    </row>
    <row r="3838" spans="1:26" ht="52.5" customHeight="1" x14ac:dyDescent="0.25">
      <c r="A3838" s="25" t="str">
        <f ca="1">IFERROR(__xludf.DUMMYFUNCTION("""COMPUTED_VALUE"""),"Plane236")</f>
        <v>Plane236</v>
      </c>
      <c r="B3838" s="25"/>
      <c r="C3838" s="55"/>
      <c r="D3838" s="25" t="str">
        <f ca="1">IFERROR(__xludf.DUMMYFUNCTION("""COMPUTED_VALUE"""),"Planeación")</f>
        <v>Planeación</v>
      </c>
      <c r="E3838" s="25"/>
      <c r="F3838" s="25"/>
      <c r="G3838" s="25"/>
      <c r="H3838" s="25"/>
      <c r="I3838" s="25"/>
      <c r="J3838" s="55"/>
      <c r="K3838" s="25" t="str">
        <f ca="1">IFERROR(__xludf.DUMMYFUNCTION("""COMPUTED_VALUE"""),"Definir fecha")</f>
        <v>Definir fecha</v>
      </c>
      <c r="L3838" s="62"/>
      <c r="M3838" s="25"/>
      <c r="N3838" s="25"/>
      <c r="O3838" s="25">
        <f t="shared" si="0"/>
        <v>0</v>
      </c>
      <c r="P3838" s="25" t="str">
        <f t="shared" si="2"/>
        <v/>
      </c>
      <c r="Q3838" s="25"/>
      <c r="R3838" s="25"/>
      <c r="S3838" s="55"/>
      <c r="T3838" s="56"/>
      <c r="U3838" s="25"/>
      <c r="V3838" s="25"/>
      <c r="W3838" s="25"/>
      <c r="X3838" s="25"/>
      <c r="Y3838" s="25"/>
      <c r="Z3838" s="25"/>
    </row>
    <row r="3839" spans="1:26" ht="52.5" customHeight="1" x14ac:dyDescent="0.25">
      <c r="A3839" s="25" t="str">
        <f ca="1">IFERROR(__xludf.DUMMYFUNCTION("""COMPUTED_VALUE"""),"Plane237")</f>
        <v>Plane237</v>
      </c>
      <c r="B3839" s="25"/>
      <c r="C3839" s="55"/>
      <c r="D3839" s="25" t="str">
        <f ca="1">IFERROR(__xludf.DUMMYFUNCTION("""COMPUTED_VALUE"""),"Planeación")</f>
        <v>Planeación</v>
      </c>
      <c r="E3839" s="25"/>
      <c r="F3839" s="25"/>
      <c r="G3839" s="25"/>
      <c r="H3839" s="25"/>
      <c r="I3839" s="25"/>
      <c r="J3839" s="55"/>
      <c r="K3839" s="25" t="str">
        <f ca="1">IFERROR(__xludf.DUMMYFUNCTION("""COMPUTED_VALUE"""),"Definir fecha")</f>
        <v>Definir fecha</v>
      </c>
      <c r="L3839" s="62"/>
      <c r="M3839" s="25"/>
      <c r="N3839" s="25"/>
      <c r="O3839" s="25">
        <f t="shared" si="0"/>
        <v>0</v>
      </c>
      <c r="P3839" s="25" t="str">
        <f t="shared" si="2"/>
        <v/>
      </c>
      <c r="Q3839" s="25"/>
      <c r="R3839" s="25"/>
      <c r="S3839" s="55"/>
      <c r="T3839" s="56"/>
      <c r="U3839" s="25"/>
      <c r="V3839" s="25"/>
      <c r="W3839" s="25"/>
      <c r="X3839" s="25"/>
      <c r="Y3839" s="25"/>
      <c r="Z3839" s="25"/>
    </row>
    <row r="3840" spans="1:26" ht="52.5" customHeight="1" x14ac:dyDescent="0.25">
      <c r="A3840" s="25" t="str">
        <f ca="1">IFERROR(__xludf.DUMMYFUNCTION("""COMPUTED_VALUE"""),"Plane238")</f>
        <v>Plane238</v>
      </c>
      <c r="B3840" s="25"/>
      <c r="C3840" s="55"/>
      <c r="D3840" s="25" t="str">
        <f ca="1">IFERROR(__xludf.DUMMYFUNCTION("""COMPUTED_VALUE"""),"Planeación")</f>
        <v>Planeación</v>
      </c>
      <c r="E3840" s="25"/>
      <c r="F3840" s="25"/>
      <c r="G3840" s="25"/>
      <c r="H3840" s="25"/>
      <c r="I3840" s="25"/>
      <c r="J3840" s="55"/>
      <c r="K3840" s="25" t="str">
        <f ca="1">IFERROR(__xludf.DUMMYFUNCTION("""COMPUTED_VALUE"""),"Definir fecha")</f>
        <v>Definir fecha</v>
      </c>
      <c r="L3840" s="62"/>
      <c r="M3840" s="25"/>
      <c r="N3840" s="25"/>
      <c r="O3840" s="25">
        <f t="shared" si="0"/>
        <v>0</v>
      </c>
      <c r="P3840" s="25" t="str">
        <f t="shared" si="2"/>
        <v/>
      </c>
      <c r="Q3840" s="25"/>
      <c r="R3840" s="25"/>
      <c r="S3840" s="55"/>
      <c r="T3840" s="56"/>
      <c r="U3840" s="25"/>
      <c r="V3840" s="25"/>
      <c r="W3840" s="25"/>
      <c r="X3840" s="25"/>
      <c r="Y3840" s="25"/>
      <c r="Z3840" s="25"/>
    </row>
    <row r="3841" spans="1:26" ht="52.5" customHeight="1" x14ac:dyDescent="0.25">
      <c r="A3841" s="25" t="str">
        <f ca="1">IFERROR(__xludf.DUMMYFUNCTION("""COMPUTED_VALUE"""),"Plane239")</f>
        <v>Plane239</v>
      </c>
      <c r="B3841" s="25"/>
      <c r="C3841" s="55"/>
      <c r="D3841" s="25" t="str">
        <f ca="1">IFERROR(__xludf.DUMMYFUNCTION("""COMPUTED_VALUE"""),"Planeación")</f>
        <v>Planeación</v>
      </c>
      <c r="E3841" s="25"/>
      <c r="F3841" s="25"/>
      <c r="G3841" s="25"/>
      <c r="H3841" s="25"/>
      <c r="I3841" s="25"/>
      <c r="J3841" s="55"/>
      <c r="K3841" s="25" t="str">
        <f ca="1">IFERROR(__xludf.DUMMYFUNCTION("""COMPUTED_VALUE"""),"Definir fecha")</f>
        <v>Definir fecha</v>
      </c>
      <c r="L3841" s="62"/>
      <c r="M3841" s="25"/>
      <c r="N3841" s="25"/>
      <c r="O3841" s="25">
        <f t="shared" si="0"/>
        <v>0</v>
      </c>
      <c r="P3841" s="25" t="str">
        <f t="shared" si="2"/>
        <v/>
      </c>
      <c r="Q3841" s="25"/>
      <c r="R3841" s="25"/>
      <c r="S3841" s="55"/>
      <c r="T3841" s="56"/>
      <c r="U3841" s="25"/>
      <c r="V3841" s="25"/>
      <c r="W3841" s="25"/>
      <c r="X3841" s="25"/>
      <c r="Y3841" s="25"/>
      <c r="Z3841" s="25"/>
    </row>
    <row r="3842" spans="1:26" ht="52.5" customHeight="1" x14ac:dyDescent="0.25">
      <c r="A3842" s="25" t="str">
        <f ca="1">IFERROR(__xludf.DUMMYFUNCTION("""COMPUTED_VALUE"""),"Plane240")</f>
        <v>Plane240</v>
      </c>
      <c r="B3842" s="25"/>
      <c r="C3842" s="55"/>
      <c r="D3842" s="25" t="str">
        <f ca="1">IFERROR(__xludf.DUMMYFUNCTION("""COMPUTED_VALUE"""),"Planeación")</f>
        <v>Planeación</v>
      </c>
      <c r="E3842" s="25"/>
      <c r="F3842" s="25"/>
      <c r="G3842" s="25"/>
      <c r="H3842" s="25"/>
      <c r="I3842" s="25"/>
      <c r="J3842" s="55"/>
      <c r="K3842" s="25" t="str">
        <f ca="1">IFERROR(__xludf.DUMMYFUNCTION("""COMPUTED_VALUE"""),"Definir fecha")</f>
        <v>Definir fecha</v>
      </c>
      <c r="L3842" s="62"/>
      <c r="M3842" s="25"/>
      <c r="N3842" s="25"/>
      <c r="O3842" s="25">
        <f t="shared" si="0"/>
        <v>0</v>
      </c>
      <c r="P3842" s="25" t="str">
        <f t="shared" si="2"/>
        <v/>
      </c>
      <c r="Q3842" s="25"/>
      <c r="R3842" s="25"/>
      <c r="S3842" s="55"/>
      <c r="T3842" s="56"/>
      <c r="U3842" s="25"/>
      <c r="V3842" s="25"/>
      <c r="W3842" s="25"/>
      <c r="X3842" s="25"/>
      <c r="Y3842" s="25"/>
      <c r="Z3842" s="25"/>
    </row>
    <row r="3843" spans="1:26" ht="52.5" customHeight="1" x14ac:dyDescent="0.25">
      <c r="A3843" s="25" t="str">
        <f ca="1">IFERROR(__xludf.DUMMYFUNCTION("""COMPUTED_VALUE"""),"Plane241")</f>
        <v>Plane241</v>
      </c>
      <c r="B3843" s="25"/>
      <c r="C3843" s="55"/>
      <c r="D3843" s="25" t="str">
        <f ca="1">IFERROR(__xludf.DUMMYFUNCTION("""COMPUTED_VALUE"""),"Planeación")</f>
        <v>Planeación</v>
      </c>
      <c r="E3843" s="25"/>
      <c r="F3843" s="25"/>
      <c r="G3843" s="25"/>
      <c r="H3843" s="25"/>
      <c r="I3843" s="25"/>
      <c r="J3843" s="55"/>
      <c r="K3843" s="25" t="str">
        <f ca="1">IFERROR(__xludf.DUMMYFUNCTION("""COMPUTED_VALUE"""),"Definir fecha")</f>
        <v>Definir fecha</v>
      </c>
      <c r="L3843" s="62"/>
      <c r="M3843" s="25"/>
      <c r="N3843" s="25"/>
      <c r="O3843" s="25">
        <f t="shared" si="0"/>
        <v>0</v>
      </c>
      <c r="P3843" s="25" t="str">
        <f t="shared" si="2"/>
        <v/>
      </c>
      <c r="Q3843" s="25"/>
      <c r="R3843" s="25"/>
      <c r="S3843" s="55"/>
      <c r="T3843" s="56"/>
      <c r="U3843" s="25"/>
      <c r="V3843" s="25"/>
      <c r="W3843" s="25"/>
      <c r="X3843" s="25"/>
      <c r="Y3843" s="25"/>
      <c r="Z3843" s="25"/>
    </row>
    <row r="3844" spans="1:26" ht="52.5" customHeight="1" x14ac:dyDescent="0.25">
      <c r="A3844" s="25" t="str">
        <f ca="1">IFERROR(__xludf.DUMMYFUNCTION("""COMPUTED_VALUE"""),"Plane242")</f>
        <v>Plane242</v>
      </c>
      <c r="B3844" s="25"/>
      <c r="C3844" s="55"/>
      <c r="D3844" s="25" t="str">
        <f ca="1">IFERROR(__xludf.DUMMYFUNCTION("""COMPUTED_VALUE"""),"Planeación")</f>
        <v>Planeación</v>
      </c>
      <c r="E3844" s="25"/>
      <c r="F3844" s="25"/>
      <c r="G3844" s="25"/>
      <c r="H3844" s="25"/>
      <c r="I3844" s="25"/>
      <c r="J3844" s="55"/>
      <c r="K3844" s="25" t="str">
        <f ca="1">IFERROR(__xludf.DUMMYFUNCTION("""COMPUTED_VALUE"""),"Definir fecha")</f>
        <v>Definir fecha</v>
      </c>
      <c r="L3844" s="62"/>
      <c r="M3844" s="25"/>
      <c r="N3844" s="25"/>
      <c r="O3844" s="25">
        <f t="shared" si="0"/>
        <v>0</v>
      </c>
      <c r="P3844" s="25" t="str">
        <f t="shared" si="2"/>
        <v/>
      </c>
      <c r="Q3844" s="25"/>
      <c r="R3844" s="25"/>
      <c r="S3844" s="55"/>
      <c r="T3844" s="56"/>
      <c r="U3844" s="25"/>
      <c r="V3844" s="25"/>
      <c r="W3844" s="25"/>
      <c r="X3844" s="25"/>
      <c r="Y3844" s="25"/>
      <c r="Z3844" s="25"/>
    </row>
    <row r="3845" spans="1:26" ht="52.5" customHeight="1" x14ac:dyDescent="0.25">
      <c r="A3845" s="25" t="str">
        <f ca="1">IFERROR(__xludf.DUMMYFUNCTION("""COMPUTED_VALUE"""),"Plane243")</f>
        <v>Plane243</v>
      </c>
      <c r="B3845" s="25"/>
      <c r="C3845" s="55"/>
      <c r="D3845" s="25" t="str">
        <f ca="1">IFERROR(__xludf.DUMMYFUNCTION("""COMPUTED_VALUE"""),"Planeación")</f>
        <v>Planeación</v>
      </c>
      <c r="E3845" s="25"/>
      <c r="F3845" s="25"/>
      <c r="G3845" s="25"/>
      <c r="H3845" s="25"/>
      <c r="I3845" s="25"/>
      <c r="J3845" s="55"/>
      <c r="K3845" s="25" t="str">
        <f ca="1">IFERROR(__xludf.DUMMYFUNCTION("""COMPUTED_VALUE"""),"Definir fecha")</f>
        <v>Definir fecha</v>
      </c>
      <c r="L3845" s="62"/>
      <c r="M3845" s="25"/>
      <c r="N3845" s="25"/>
      <c r="O3845" s="25">
        <f t="shared" si="0"/>
        <v>0</v>
      </c>
      <c r="P3845" s="25" t="str">
        <f t="shared" si="2"/>
        <v/>
      </c>
      <c r="Q3845" s="25"/>
      <c r="R3845" s="25"/>
      <c r="S3845" s="55"/>
      <c r="T3845" s="56"/>
      <c r="U3845" s="25"/>
      <c r="V3845" s="25"/>
      <c r="W3845" s="25"/>
      <c r="X3845" s="25"/>
      <c r="Y3845" s="25"/>
      <c r="Z3845" s="25"/>
    </row>
    <row r="3846" spans="1:26" ht="52.5" customHeight="1" x14ac:dyDescent="0.25">
      <c r="A3846" s="25" t="str">
        <f ca="1">IFERROR(__xludf.DUMMYFUNCTION("""COMPUTED_VALUE"""),"Plane244")</f>
        <v>Plane244</v>
      </c>
      <c r="B3846" s="25"/>
      <c r="C3846" s="55"/>
      <c r="D3846" s="25" t="str">
        <f ca="1">IFERROR(__xludf.DUMMYFUNCTION("""COMPUTED_VALUE"""),"Planeación")</f>
        <v>Planeación</v>
      </c>
      <c r="E3846" s="25"/>
      <c r="F3846" s="25"/>
      <c r="G3846" s="25"/>
      <c r="H3846" s="25"/>
      <c r="I3846" s="25"/>
      <c r="J3846" s="55"/>
      <c r="K3846" s="25" t="str">
        <f ca="1">IFERROR(__xludf.DUMMYFUNCTION("""COMPUTED_VALUE"""),"Definir fecha")</f>
        <v>Definir fecha</v>
      </c>
      <c r="L3846" s="62"/>
      <c r="M3846" s="25"/>
      <c r="N3846" s="25"/>
      <c r="O3846" s="25">
        <f t="shared" si="0"/>
        <v>0</v>
      </c>
      <c r="P3846" s="25" t="str">
        <f t="shared" si="2"/>
        <v/>
      </c>
      <c r="Q3846" s="25"/>
      <c r="R3846" s="25"/>
      <c r="S3846" s="55"/>
      <c r="T3846" s="56"/>
      <c r="U3846" s="25"/>
      <c r="V3846" s="25"/>
      <c r="W3846" s="25"/>
      <c r="X3846" s="25"/>
      <c r="Y3846" s="25"/>
      <c r="Z3846" s="25"/>
    </row>
    <row r="3847" spans="1:26" ht="52.5" customHeight="1" x14ac:dyDescent="0.25">
      <c r="A3847" s="25" t="str">
        <f ca="1">IFERROR(__xludf.DUMMYFUNCTION("""COMPUTED_VALUE"""),"Plane245")</f>
        <v>Plane245</v>
      </c>
      <c r="B3847" s="25"/>
      <c r="C3847" s="55"/>
      <c r="D3847" s="25" t="str">
        <f ca="1">IFERROR(__xludf.DUMMYFUNCTION("""COMPUTED_VALUE"""),"Planeación")</f>
        <v>Planeación</v>
      </c>
      <c r="E3847" s="25"/>
      <c r="F3847" s="25"/>
      <c r="G3847" s="25"/>
      <c r="H3847" s="25"/>
      <c r="I3847" s="25"/>
      <c r="J3847" s="55"/>
      <c r="K3847" s="25" t="str">
        <f ca="1">IFERROR(__xludf.DUMMYFUNCTION("""COMPUTED_VALUE"""),"Definir fecha")</f>
        <v>Definir fecha</v>
      </c>
      <c r="L3847" s="62"/>
      <c r="M3847" s="25"/>
      <c r="N3847" s="25"/>
      <c r="O3847" s="25">
        <f t="shared" si="0"/>
        <v>0</v>
      </c>
      <c r="P3847" s="25" t="str">
        <f t="shared" si="2"/>
        <v/>
      </c>
      <c r="Q3847" s="25"/>
      <c r="R3847" s="25"/>
      <c r="S3847" s="55"/>
      <c r="T3847" s="56"/>
      <c r="U3847" s="25"/>
      <c r="V3847" s="25"/>
      <c r="W3847" s="25"/>
      <c r="X3847" s="25"/>
      <c r="Y3847" s="25"/>
      <c r="Z3847" s="25"/>
    </row>
    <row r="3848" spans="1:26" ht="52.5" customHeight="1" x14ac:dyDescent="0.25">
      <c r="A3848" s="25" t="str">
        <f ca="1">IFERROR(__xludf.DUMMYFUNCTION("""COMPUTED_VALUE"""),"Plane246")</f>
        <v>Plane246</v>
      </c>
      <c r="B3848" s="25"/>
      <c r="C3848" s="55"/>
      <c r="D3848" s="25" t="str">
        <f ca="1">IFERROR(__xludf.DUMMYFUNCTION("""COMPUTED_VALUE"""),"Planeación")</f>
        <v>Planeación</v>
      </c>
      <c r="E3848" s="25"/>
      <c r="F3848" s="25"/>
      <c r="G3848" s="25"/>
      <c r="H3848" s="25"/>
      <c r="I3848" s="25"/>
      <c r="J3848" s="55"/>
      <c r="K3848" s="25" t="str">
        <f ca="1">IFERROR(__xludf.DUMMYFUNCTION("""COMPUTED_VALUE"""),"Definir fecha")</f>
        <v>Definir fecha</v>
      </c>
      <c r="L3848" s="62"/>
      <c r="M3848" s="25"/>
      <c r="N3848" s="25"/>
      <c r="O3848" s="25">
        <f t="shared" si="0"/>
        <v>0</v>
      </c>
      <c r="P3848" s="25" t="str">
        <f t="shared" si="2"/>
        <v/>
      </c>
      <c r="Q3848" s="25"/>
      <c r="R3848" s="25"/>
      <c r="S3848" s="55"/>
      <c r="T3848" s="56"/>
      <c r="U3848" s="25"/>
      <c r="V3848" s="25"/>
      <c r="W3848" s="25"/>
      <c r="X3848" s="25"/>
      <c r="Y3848" s="25"/>
      <c r="Z3848" s="25"/>
    </row>
    <row r="3849" spans="1:26" ht="52.5" customHeight="1" x14ac:dyDescent="0.25">
      <c r="A3849" s="25" t="str">
        <f ca="1">IFERROR(__xludf.DUMMYFUNCTION("""COMPUTED_VALUE"""),"Plane247")</f>
        <v>Plane247</v>
      </c>
      <c r="B3849" s="25"/>
      <c r="C3849" s="55"/>
      <c r="D3849" s="25" t="str">
        <f ca="1">IFERROR(__xludf.DUMMYFUNCTION("""COMPUTED_VALUE"""),"Planeación")</f>
        <v>Planeación</v>
      </c>
      <c r="E3849" s="25"/>
      <c r="F3849" s="25"/>
      <c r="G3849" s="25"/>
      <c r="H3849" s="25"/>
      <c r="I3849" s="25"/>
      <c r="J3849" s="55"/>
      <c r="K3849" s="25" t="str">
        <f ca="1">IFERROR(__xludf.DUMMYFUNCTION("""COMPUTED_VALUE"""),"Definir fecha")</f>
        <v>Definir fecha</v>
      </c>
      <c r="L3849" s="62"/>
      <c r="M3849" s="25"/>
      <c r="N3849" s="25"/>
      <c r="O3849" s="25">
        <f t="shared" si="0"/>
        <v>0</v>
      </c>
      <c r="P3849" s="25" t="str">
        <f t="shared" si="2"/>
        <v/>
      </c>
      <c r="Q3849" s="25"/>
      <c r="R3849" s="25"/>
      <c r="S3849" s="55"/>
      <c r="T3849" s="56"/>
      <c r="U3849" s="25"/>
      <c r="V3849" s="25"/>
      <c r="W3849" s="25"/>
      <c r="X3849" s="25"/>
      <c r="Y3849" s="25"/>
      <c r="Z3849" s="25"/>
    </row>
    <row r="3850" spans="1:26" ht="52.5" customHeight="1" x14ac:dyDescent="0.25">
      <c r="A3850" s="25" t="str">
        <f ca="1">IFERROR(__xludf.DUMMYFUNCTION("""COMPUTED_VALUE"""),"Plane248")</f>
        <v>Plane248</v>
      </c>
      <c r="B3850" s="25"/>
      <c r="C3850" s="55"/>
      <c r="D3850" s="25" t="str">
        <f ca="1">IFERROR(__xludf.DUMMYFUNCTION("""COMPUTED_VALUE"""),"Planeación")</f>
        <v>Planeación</v>
      </c>
      <c r="E3850" s="25"/>
      <c r="F3850" s="25"/>
      <c r="G3850" s="25"/>
      <c r="H3850" s="25"/>
      <c r="I3850" s="25"/>
      <c r="J3850" s="55"/>
      <c r="K3850" s="25" t="str">
        <f ca="1">IFERROR(__xludf.DUMMYFUNCTION("""COMPUTED_VALUE"""),"Definir fecha")</f>
        <v>Definir fecha</v>
      </c>
      <c r="L3850" s="62"/>
      <c r="M3850" s="25"/>
      <c r="N3850" s="25"/>
      <c r="O3850" s="25">
        <f t="shared" si="0"/>
        <v>0</v>
      </c>
      <c r="P3850" s="25" t="str">
        <f t="shared" si="2"/>
        <v/>
      </c>
      <c r="Q3850" s="25"/>
      <c r="R3850" s="25"/>
      <c r="S3850" s="55"/>
      <c r="T3850" s="56"/>
      <c r="U3850" s="25"/>
      <c r="V3850" s="25"/>
      <c r="W3850" s="25"/>
      <c r="X3850" s="25"/>
      <c r="Y3850" s="25"/>
      <c r="Z3850" s="25"/>
    </row>
    <row r="3851" spans="1:26" ht="52.5" customHeight="1" x14ac:dyDescent="0.25">
      <c r="A3851" s="25" t="str">
        <f ca="1">IFERROR(__xludf.DUMMYFUNCTION("""COMPUTED_VALUE"""),"Plane249")</f>
        <v>Plane249</v>
      </c>
      <c r="B3851" s="25"/>
      <c r="C3851" s="55"/>
      <c r="D3851" s="25" t="str">
        <f ca="1">IFERROR(__xludf.DUMMYFUNCTION("""COMPUTED_VALUE"""),"Planeación")</f>
        <v>Planeación</v>
      </c>
      <c r="E3851" s="25"/>
      <c r="F3851" s="25"/>
      <c r="G3851" s="25"/>
      <c r="H3851" s="25"/>
      <c r="I3851" s="25"/>
      <c r="J3851" s="55"/>
      <c r="K3851" s="25" t="str">
        <f ca="1">IFERROR(__xludf.DUMMYFUNCTION("""COMPUTED_VALUE"""),"Definir fecha")</f>
        <v>Definir fecha</v>
      </c>
      <c r="L3851" s="62"/>
      <c r="M3851" s="25"/>
      <c r="N3851" s="25"/>
      <c r="O3851" s="25">
        <f t="shared" si="0"/>
        <v>0</v>
      </c>
      <c r="P3851" s="25" t="str">
        <f t="shared" si="2"/>
        <v/>
      </c>
      <c r="Q3851" s="25"/>
      <c r="R3851" s="25"/>
      <c r="S3851" s="55"/>
      <c r="T3851" s="56"/>
      <c r="U3851" s="25"/>
      <c r="V3851" s="25"/>
      <c r="W3851" s="25"/>
      <c r="X3851" s="25"/>
      <c r="Y3851" s="25"/>
      <c r="Z3851" s="25"/>
    </row>
    <row r="3852" spans="1:26" ht="52.5" customHeight="1" x14ac:dyDescent="0.25">
      <c r="A3852" s="25" t="str">
        <f ca="1">IFERROR(__xludf.DUMMYFUNCTION("""COMPUTED_VALUE"""),"Plane250")</f>
        <v>Plane250</v>
      </c>
      <c r="B3852" s="25"/>
      <c r="C3852" s="55"/>
      <c r="D3852" s="25" t="str">
        <f ca="1">IFERROR(__xludf.DUMMYFUNCTION("""COMPUTED_VALUE"""),"Planeación")</f>
        <v>Planeación</v>
      </c>
      <c r="E3852" s="25"/>
      <c r="F3852" s="25"/>
      <c r="G3852" s="25"/>
      <c r="H3852" s="25"/>
      <c r="I3852" s="25"/>
      <c r="J3852" s="55"/>
      <c r="K3852" s="25" t="str">
        <f ca="1">IFERROR(__xludf.DUMMYFUNCTION("""COMPUTED_VALUE"""),"Definir fecha")</f>
        <v>Definir fecha</v>
      </c>
      <c r="L3852" s="62"/>
      <c r="M3852" s="25"/>
      <c r="N3852" s="25"/>
      <c r="O3852" s="25">
        <f t="shared" si="0"/>
        <v>0</v>
      </c>
      <c r="P3852" s="25" t="str">
        <f t="shared" si="2"/>
        <v/>
      </c>
      <c r="Q3852" s="25"/>
      <c r="R3852" s="25"/>
      <c r="S3852" s="55"/>
      <c r="T3852" s="56"/>
      <c r="U3852" s="25"/>
      <c r="V3852" s="25"/>
      <c r="W3852" s="25"/>
      <c r="X3852" s="25"/>
      <c r="Y3852" s="25"/>
      <c r="Z3852" s="25"/>
    </row>
    <row r="3853" spans="1:26" ht="52.5" customHeight="1" x14ac:dyDescent="0.25">
      <c r="A3853" s="25" t="str">
        <f ca="1">IFERROR(__xludf.DUMMYFUNCTION("""COMPUTED_VALUE"""),"Plane251")</f>
        <v>Plane251</v>
      </c>
      <c r="B3853" s="25"/>
      <c r="C3853" s="55"/>
      <c r="D3853" s="25" t="str">
        <f ca="1">IFERROR(__xludf.DUMMYFUNCTION("""COMPUTED_VALUE"""),"Planeación")</f>
        <v>Planeación</v>
      </c>
      <c r="E3853" s="25"/>
      <c r="F3853" s="25"/>
      <c r="G3853" s="25"/>
      <c r="H3853" s="25"/>
      <c r="I3853" s="25"/>
      <c r="J3853" s="55"/>
      <c r="K3853" s="25" t="str">
        <f ca="1">IFERROR(__xludf.DUMMYFUNCTION("""COMPUTED_VALUE"""),"Definir fecha")</f>
        <v>Definir fecha</v>
      </c>
      <c r="L3853" s="62"/>
      <c r="M3853" s="25"/>
      <c r="N3853" s="25"/>
      <c r="O3853" s="25">
        <f t="shared" si="0"/>
        <v>0</v>
      </c>
      <c r="P3853" s="25" t="str">
        <f t="shared" si="2"/>
        <v/>
      </c>
      <c r="Q3853" s="25"/>
      <c r="R3853" s="25"/>
      <c r="S3853" s="55"/>
      <c r="T3853" s="56"/>
      <c r="U3853" s="25"/>
      <c r="V3853" s="25"/>
      <c r="W3853" s="25"/>
      <c r="X3853" s="25"/>
      <c r="Y3853" s="25"/>
      <c r="Z3853" s="25"/>
    </row>
    <row r="3854" spans="1:26" ht="52.5" customHeight="1" x14ac:dyDescent="0.25">
      <c r="A3854" s="25" t="str">
        <f ca="1">IFERROR(__xludf.DUMMYFUNCTION("""COMPUTED_VALUE"""),"Plane252")</f>
        <v>Plane252</v>
      </c>
      <c r="B3854" s="25"/>
      <c r="C3854" s="55"/>
      <c r="D3854" s="25" t="str">
        <f ca="1">IFERROR(__xludf.DUMMYFUNCTION("""COMPUTED_VALUE"""),"Planeación")</f>
        <v>Planeación</v>
      </c>
      <c r="E3854" s="25"/>
      <c r="F3854" s="25"/>
      <c r="G3854" s="25"/>
      <c r="H3854" s="25"/>
      <c r="I3854" s="25"/>
      <c r="J3854" s="55"/>
      <c r="K3854" s="25" t="str">
        <f ca="1">IFERROR(__xludf.DUMMYFUNCTION("""COMPUTED_VALUE"""),"Definir fecha")</f>
        <v>Definir fecha</v>
      </c>
      <c r="L3854" s="62"/>
      <c r="M3854" s="25"/>
      <c r="N3854" s="25"/>
      <c r="O3854" s="25">
        <f t="shared" si="0"/>
        <v>0</v>
      </c>
      <c r="P3854" s="25" t="str">
        <f t="shared" si="2"/>
        <v/>
      </c>
      <c r="Q3854" s="25"/>
      <c r="R3854" s="25"/>
      <c r="S3854" s="55"/>
      <c r="T3854" s="56"/>
      <c r="U3854" s="25"/>
      <c r="V3854" s="25"/>
      <c r="W3854" s="25"/>
      <c r="X3854" s="25"/>
      <c r="Y3854" s="25"/>
      <c r="Z3854" s="25"/>
    </row>
    <row r="3855" spans="1:26" ht="52.5" customHeight="1" x14ac:dyDescent="0.25">
      <c r="A3855" s="25" t="str">
        <f ca="1">IFERROR(__xludf.DUMMYFUNCTION("""COMPUTED_VALUE"""),"Plane253")</f>
        <v>Plane253</v>
      </c>
      <c r="B3855" s="25"/>
      <c r="C3855" s="55"/>
      <c r="D3855" s="25" t="str">
        <f ca="1">IFERROR(__xludf.DUMMYFUNCTION("""COMPUTED_VALUE"""),"Planeación")</f>
        <v>Planeación</v>
      </c>
      <c r="E3855" s="25"/>
      <c r="F3855" s="25"/>
      <c r="G3855" s="25"/>
      <c r="H3855" s="25"/>
      <c r="I3855" s="25"/>
      <c r="J3855" s="55"/>
      <c r="K3855" s="25" t="str">
        <f ca="1">IFERROR(__xludf.DUMMYFUNCTION("""COMPUTED_VALUE"""),"Definir fecha")</f>
        <v>Definir fecha</v>
      </c>
      <c r="L3855" s="62"/>
      <c r="M3855" s="25"/>
      <c r="N3855" s="25"/>
      <c r="O3855" s="25">
        <f t="shared" si="0"/>
        <v>0</v>
      </c>
      <c r="P3855" s="25" t="str">
        <f t="shared" si="2"/>
        <v/>
      </c>
      <c r="Q3855" s="25"/>
      <c r="R3855" s="25"/>
      <c r="S3855" s="55"/>
      <c r="T3855" s="56"/>
      <c r="U3855" s="25"/>
      <c r="V3855" s="25"/>
      <c r="W3855" s="25"/>
      <c r="X3855" s="25"/>
      <c r="Y3855" s="25"/>
      <c r="Z3855" s="25"/>
    </row>
    <row r="3856" spans="1:26" ht="52.5" customHeight="1" x14ac:dyDescent="0.25">
      <c r="A3856" s="25" t="str">
        <f ca="1">IFERROR(__xludf.DUMMYFUNCTION("""COMPUTED_VALUE"""),"Plane254")</f>
        <v>Plane254</v>
      </c>
      <c r="B3856" s="25"/>
      <c r="C3856" s="55"/>
      <c r="D3856" s="25" t="str">
        <f ca="1">IFERROR(__xludf.DUMMYFUNCTION("""COMPUTED_VALUE"""),"Planeación")</f>
        <v>Planeación</v>
      </c>
      <c r="E3856" s="25"/>
      <c r="F3856" s="25"/>
      <c r="G3856" s="25"/>
      <c r="H3856" s="25"/>
      <c r="I3856" s="25"/>
      <c r="J3856" s="55"/>
      <c r="K3856" s="25" t="str">
        <f ca="1">IFERROR(__xludf.DUMMYFUNCTION("""COMPUTED_VALUE"""),"Definir fecha")</f>
        <v>Definir fecha</v>
      </c>
      <c r="L3856" s="62"/>
      <c r="M3856" s="25"/>
      <c r="N3856" s="25"/>
      <c r="O3856" s="25">
        <f t="shared" si="0"/>
        <v>0</v>
      </c>
      <c r="P3856" s="25" t="str">
        <f t="shared" si="2"/>
        <v/>
      </c>
      <c r="Q3856" s="25"/>
      <c r="R3856" s="25"/>
      <c r="S3856" s="55"/>
      <c r="T3856" s="56"/>
      <c r="U3856" s="25"/>
      <c r="V3856" s="25"/>
      <c r="W3856" s="25"/>
      <c r="X3856" s="25"/>
      <c r="Y3856" s="25"/>
      <c r="Z3856" s="25"/>
    </row>
    <row r="3857" spans="1:26" ht="52.5" customHeight="1" x14ac:dyDescent="0.25">
      <c r="A3857" s="25" t="str">
        <f ca="1">IFERROR(__xludf.DUMMYFUNCTION("""COMPUTED_VALUE"""),"Plane255")</f>
        <v>Plane255</v>
      </c>
      <c r="B3857" s="25"/>
      <c r="C3857" s="55"/>
      <c r="D3857" s="25" t="str">
        <f ca="1">IFERROR(__xludf.DUMMYFUNCTION("""COMPUTED_VALUE"""),"Planeación")</f>
        <v>Planeación</v>
      </c>
      <c r="E3857" s="25"/>
      <c r="F3857" s="25"/>
      <c r="G3857" s="25"/>
      <c r="H3857" s="25"/>
      <c r="I3857" s="25"/>
      <c r="J3857" s="55"/>
      <c r="K3857" s="25" t="str">
        <f ca="1">IFERROR(__xludf.DUMMYFUNCTION("""COMPUTED_VALUE"""),"Definir fecha")</f>
        <v>Definir fecha</v>
      </c>
      <c r="L3857" s="62"/>
      <c r="M3857" s="25"/>
      <c r="N3857" s="25"/>
      <c r="O3857" s="25">
        <f t="shared" si="0"/>
        <v>0</v>
      </c>
      <c r="P3857" s="25" t="str">
        <f t="shared" si="2"/>
        <v/>
      </c>
      <c r="Q3857" s="25"/>
      <c r="R3857" s="25"/>
      <c r="S3857" s="55"/>
      <c r="T3857" s="56"/>
      <c r="U3857" s="25"/>
      <c r="V3857" s="25"/>
      <c r="W3857" s="25"/>
      <c r="X3857" s="25"/>
      <c r="Y3857" s="25"/>
      <c r="Z3857" s="25"/>
    </row>
    <row r="3858" spans="1:26" ht="52.5" customHeight="1" x14ac:dyDescent="0.25">
      <c r="A3858" s="25" t="str">
        <f ca="1">IFERROR(__xludf.DUMMYFUNCTION("""COMPUTED_VALUE"""),"Plane256")</f>
        <v>Plane256</v>
      </c>
      <c r="B3858" s="25"/>
      <c r="C3858" s="55"/>
      <c r="D3858" s="25" t="str">
        <f ca="1">IFERROR(__xludf.DUMMYFUNCTION("""COMPUTED_VALUE"""),"Planeación")</f>
        <v>Planeación</v>
      </c>
      <c r="E3858" s="25"/>
      <c r="F3858" s="25"/>
      <c r="G3858" s="25"/>
      <c r="H3858" s="25"/>
      <c r="I3858" s="25"/>
      <c r="J3858" s="55"/>
      <c r="K3858" s="25" t="str">
        <f ca="1">IFERROR(__xludf.DUMMYFUNCTION("""COMPUTED_VALUE"""),"Definir fecha")</f>
        <v>Definir fecha</v>
      </c>
      <c r="L3858" s="62"/>
      <c r="M3858" s="25"/>
      <c r="N3858" s="25"/>
      <c r="O3858" s="25">
        <f t="shared" si="0"/>
        <v>0</v>
      </c>
      <c r="P3858" s="25" t="str">
        <f t="shared" si="2"/>
        <v/>
      </c>
      <c r="Q3858" s="25"/>
      <c r="R3858" s="25"/>
      <c r="S3858" s="55"/>
      <c r="T3858" s="56"/>
      <c r="U3858" s="25"/>
      <c r="V3858" s="25"/>
      <c r="W3858" s="25"/>
      <c r="X3858" s="25"/>
      <c r="Y3858" s="25"/>
      <c r="Z3858" s="25"/>
    </row>
    <row r="3859" spans="1:26" ht="52.5" customHeight="1" x14ac:dyDescent="0.25">
      <c r="A3859" s="25" t="str">
        <f ca="1">IFERROR(__xludf.DUMMYFUNCTION("""COMPUTED_VALUE"""),"Plane257")</f>
        <v>Plane257</v>
      </c>
      <c r="B3859" s="25"/>
      <c r="C3859" s="55"/>
      <c r="D3859" s="25" t="str">
        <f ca="1">IFERROR(__xludf.DUMMYFUNCTION("""COMPUTED_VALUE"""),"Planeación")</f>
        <v>Planeación</v>
      </c>
      <c r="E3859" s="25"/>
      <c r="F3859" s="25"/>
      <c r="G3859" s="25"/>
      <c r="H3859" s="25"/>
      <c r="I3859" s="25"/>
      <c r="J3859" s="55"/>
      <c r="K3859" s="25" t="str">
        <f ca="1">IFERROR(__xludf.DUMMYFUNCTION("""COMPUTED_VALUE"""),"Definir fecha")</f>
        <v>Definir fecha</v>
      </c>
      <c r="L3859" s="62"/>
      <c r="M3859" s="25"/>
      <c r="N3859" s="25"/>
      <c r="O3859" s="25">
        <f t="shared" si="0"/>
        <v>0</v>
      </c>
      <c r="P3859" s="25" t="str">
        <f t="shared" si="2"/>
        <v/>
      </c>
      <c r="Q3859" s="25"/>
      <c r="R3859" s="25"/>
      <c r="S3859" s="55"/>
      <c r="T3859" s="56"/>
      <c r="U3859" s="25"/>
      <c r="V3859" s="25"/>
      <c r="W3859" s="25"/>
      <c r="X3859" s="25"/>
      <c r="Y3859" s="25"/>
      <c r="Z3859" s="25"/>
    </row>
    <row r="3860" spans="1:26" ht="52.5" customHeight="1" x14ac:dyDescent="0.25">
      <c r="A3860" s="25" t="str">
        <f ca="1">IFERROR(__xludf.DUMMYFUNCTION("""COMPUTED_VALUE"""),"Plane258")</f>
        <v>Plane258</v>
      </c>
      <c r="B3860" s="25"/>
      <c r="C3860" s="55"/>
      <c r="D3860" s="25" t="str">
        <f ca="1">IFERROR(__xludf.DUMMYFUNCTION("""COMPUTED_VALUE"""),"Planeación")</f>
        <v>Planeación</v>
      </c>
      <c r="E3860" s="25"/>
      <c r="F3860" s="25"/>
      <c r="G3860" s="25"/>
      <c r="H3860" s="25"/>
      <c r="I3860" s="25"/>
      <c r="J3860" s="55"/>
      <c r="K3860" s="25" t="str">
        <f ca="1">IFERROR(__xludf.DUMMYFUNCTION("""COMPUTED_VALUE"""),"Definir fecha")</f>
        <v>Definir fecha</v>
      </c>
      <c r="L3860" s="62"/>
      <c r="M3860" s="25"/>
      <c r="N3860" s="25"/>
      <c r="O3860" s="25">
        <f t="shared" si="0"/>
        <v>0</v>
      </c>
      <c r="P3860" s="25" t="str">
        <f t="shared" si="2"/>
        <v/>
      </c>
      <c r="Q3860" s="25"/>
      <c r="R3860" s="25"/>
      <c r="S3860" s="55"/>
      <c r="T3860" s="56"/>
      <c r="U3860" s="25"/>
      <c r="V3860" s="25"/>
      <c r="W3860" s="25"/>
      <c r="X3860" s="25"/>
      <c r="Y3860" s="25"/>
      <c r="Z3860" s="25"/>
    </row>
    <row r="3861" spans="1:26" ht="52.5" customHeight="1" x14ac:dyDescent="0.25">
      <c r="A3861" s="25" t="str">
        <f ca="1">IFERROR(__xludf.DUMMYFUNCTION("""COMPUTED_VALUE"""),"Plane259")</f>
        <v>Plane259</v>
      </c>
      <c r="B3861" s="25"/>
      <c r="C3861" s="55"/>
      <c r="D3861" s="25" t="str">
        <f ca="1">IFERROR(__xludf.DUMMYFUNCTION("""COMPUTED_VALUE"""),"Planeación")</f>
        <v>Planeación</v>
      </c>
      <c r="E3861" s="25"/>
      <c r="F3861" s="25"/>
      <c r="G3861" s="25"/>
      <c r="H3861" s="25"/>
      <c r="I3861" s="25"/>
      <c r="J3861" s="55"/>
      <c r="K3861" s="25" t="str">
        <f ca="1">IFERROR(__xludf.DUMMYFUNCTION("""COMPUTED_VALUE"""),"Definir fecha")</f>
        <v>Definir fecha</v>
      </c>
      <c r="L3861" s="62"/>
      <c r="M3861" s="25"/>
      <c r="N3861" s="25"/>
      <c r="O3861" s="25">
        <f t="shared" si="0"/>
        <v>0</v>
      </c>
      <c r="P3861" s="25" t="str">
        <f t="shared" si="2"/>
        <v/>
      </c>
      <c r="Q3861" s="25"/>
      <c r="R3861" s="25"/>
      <c r="S3861" s="55"/>
      <c r="T3861" s="56"/>
      <c r="U3861" s="25"/>
      <c r="V3861" s="25"/>
      <c r="W3861" s="25"/>
      <c r="X3861" s="25"/>
      <c r="Y3861" s="25"/>
      <c r="Z3861" s="25"/>
    </row>
    <row r="3862" spans="1:26" ht="52.5" customHeight="1" x14ac:dyDescent="0.25">
      <c r="A3862" s="25" t="str">
        <f ca="1">IFERROR(__xludf.DUMMYFUNCTION("""COMPUTED_VALUE"""),"Plane260")</f>
        <v>Plane260</v>
      </c>
      <c r="B3862" s="25"/>
      <c r="C3862" s="55"/>
      <c r="D3862" s="25" t="str">
        <f ca="1">IFERROR(__xludf.DUMMYFUNCTION("""COMPUTED_VALUE"""),"Planeación")</f>
        <v>Planeación</v>
      </c>
      <c r="E3862" s="25"/>
      <c r="F3862" s="25"/>
      <c r="G3862" s="25"/>
      <c r="H3862" s="25"/>
      <c r="I3862" s="25"/>
      <c r="J3862" s="55"/>
      <c r="K3862" s="25" t="str">
        <f ca="1">IFERROR(__xludf.DUMMYFUNCTION("""COMPUTED_VALUE"""),"Definir fecha")</f>
        <v>Definir fecha</v>
      </c>
      <c r="L3862" s="62"/>
      <c r="M3862" s="25"/>
      <c r="N3862" s="25"/>
      <c r="O3862" s="25">
        <f t="shared" si="0"/>
        <v>0</v>
      </c>
      <c r="P3862" s="25" t="str">
        <f t="shared" si="2"/>
        <v/>
      </c>
      <c r="Q3862" s="25"/>
      <c r="R3862" s="25"/>
      <c r="S3862" s="55"/>
      <c r="T3862" s="56"/>
      <c r="U3862" s="25"/>
      <c r="V3862" s="25"/>
      <c r="W3862" s="25"/>
      <c r="X3862" s="25"/>
      <c r="Y3862" s="25"/>
      <c r="Z3862" s="25"/>
    </row>
    <row r="3863" spans="1:26" ht="52.5" customHeight="1" x14ac:dyDescent="0.25">
      <c r="A3863" s="25" t="str">
        <f ca="1">IFERROR(__xludf.DUMMYFUNCTION("""COMPUTED_VALUE"""),"Plane261")</f>
        <v>Plane261</v>
      </c>
      <c r="B3863" s="25"/>
      <c r="C3863" s="55"/>
      <c r="D3863" s="25" t="str">
        <f ca="1">IFERROR(__xludf.DUMMYFUNCTION("""COMPUTED_VALUE"""),"Planeación")</f>
        <v>Planeación</v>
      </c>
      <c r="E3863" s="25"/>
      <c r="F3863" s="25"/>
      <c r="G3863" s="25"/>
      <c r="H3863" s="25"/>
      <c r="I3863" s="25"/>
      <c r="J3863" s="55"/>
      <c r="K3863" s="25" t="str">
        <f ca="1">IFERROR(__xludf.DUMMYFUNCTION("""COMPUTED_VALUE"""),"Definir fecha")</f>
        <v>Definir fecha</v>
      </c>
      <c r="L3863" s="62"/>
      <c r="M3863" s="25"/>
      <c r="N3863" s="25"/>
      <c r="O3863" s="25">
        <f t="shared" si="0"/>
        <v>0</v>
      </c>
      <c r="P3863" s="25" t="str">
        <f t="shared" si="2"/>
        <v/>
      </c>
      <c r="Q3863" s="25"/>
      <c r="R3863" s="25"/>
      <c r="S3863" s="55"/>
      <c r="T3863" s="56"/>
      <c r="U3863" s="25"/>
      <c r="V3863" s="25"/>
      <c r="W3863" s="25"/>
      <c r="X3863" s="25"/>
      <c r="Y3863" s="25"/>
      <c r="Z3863" s="25"/>
    </row>
    <row r="3864" spans="1:26" ht="52.5" customHeight="1" x14ac:dyDescent="0.25">
      <c r="A3864" s="25" t="str">
        <f ca="1">IFERROR(__xludf.DUMMYFUNCTION("""COMPUTED_VALUE"""),"Plane262")</f>
        <v>Plane262</v>
      </c>
      <c r="B3864" s="25"/>
      <c r="C3864" s="55"/>
      <c r="D3864" s="25" t="str">
        <f ca="1">IFERROR(__xludf.DUMMYFUNCTION("""COMPUTED_VALUE"""),"Planeación")</f>
        <v>Planeación</v>
      </c>
      <c r="E3864" s="25"/>
      <c r="F3864" s="25"/>
      <c r="G3864" s="25"/>
      <c r="H3864" s="25"/>
      <c r="I3864" s="25"/>
      <c r="J3864" s="55"/>
      <c r="K3864" s="25" t="str">
        <f ca="1">IFERROR(__xludf.DUMMYFUNCTION("""COMPUTED_VALUE"""),"Definir fecha")</f>
        <v>Definir fecha</v>
      </c>
      <c r="L3864" s="62"/>
      <c r="M3864" s="25"/>
      <c r="N3864" s="25"/>
      <c r="O3864" s="25">
        <f t="shared" si="0"/>
        <v>0</v>
      </c>
      <c r="P3864" s="25" t="str">
        <f t="shared" si="2"/>
        <v/>
      </c>
      <c r="Q3864" s="25"/>
      <c r="R3864" s="25"/>
      <c r="S3864" s="55"/>
      <c r="T3864" s="56"/>
      <c r="U3864" s="25"/>
      <c r="V3864" s="25"/>
      <c r="W3864" s="25"/>
      <c r="X3864" s="25"/>
      <c r="Y3864" s="25"/>
      <c r="Z3864" s="25"/>
    </row>
    <row r="3865" spans="1:26" ht="52.5" customHeight="1" x14ac:dyDescent="0.25">
      <c r="A3865" s="25" t="str">
        <f ca="1">IFERROR(__xludf.DUMMYFUNCTION("""COMPUTED_VALUE"""),"Plane263")</f>
        <v>Plane263</v>
      </c>
      <c r="B3865" s="25"/>
      <c r="C3865" s="55"/>
      <c r="D3865" s="25" t="str">
        <f ca="1">IFERROR(__xludf.DUMMYFUNCTION("""COMPUTED_VALUE"""),"Planeación")</f>
        <v>Planeación</v>
      </c>
      <c r="E3865" s="25"/>
      <c r="F3865" s="25"/>
      <c r="G3865" s="25"/>
      <c r="H3865" s="25"/>
      <c r="I3865" s="25"/>
      <c r="J3865" s="55"/>
      <c r="K3865" s="25" t="str">
        <f ca="1">IFERROR(__xludf.DUMMYFUNCTION("""COMPUTED_VALUE"""),"Definir fecha")</f>
        <v>Definir fecha</v>
      </c>
      <c r="L3865" s="62"/>
      <c r="M3865" s="25"/>
      <c r="N3865" s="25"/>
      <c r="O3865" s="25">
        <f t="shared" si="0"/>
        <v>0</v>
      </c>
      <c r="P3865" s="25" t="str">
        <f t="shared" si="2"/>
        <v/>
      </c>
      <c r="Q3865" s="25"/>
      <c r="R3865" s="25"/>
      <c r="S3865" s="55"/>
      <c r="T3865" s="56"/>
      <c r="U3865" s="25"/>
      <c r="V3865" s="25"/>
      <c r="W3865" s="25"/>
      <c r="X3865" s="25"/>
      <c r="Y3865" s="25"/>
      <c r="Z3865" s="25"/>
    </row>
    <row r="3866" spans="1:26" ht="52.5" customHeight="1" x14ac:dyDescent="0.25">
      <c r="A3866" s="25" t="str">
        <f ca="1">IFERROR(__xludf.DUMMYFUNCTION("""COMPUTED_VALUE"""),"Plane264")</f>
        <v>Plane264</v>
      </c>
      <c r="B3866" s="25"/>
      <c r="C3866" s="55"/>
      <c r="D3866" s="25" t="str">
        <f ca="1">IFERROR(__xludf.DUMMYFUNCTION("""COMPUTED_VALUE"""),"Planeación")</f>
        <v>Planeación</v>
      </c>
      <c r="E3866" s="25"/>
      <c r="F3866" s="25"/>
      <c r="G3866" s="25"/>
      <c r="H3866" s="25"/>
      <c r="I3866" s="25"/>
      <c r="J3866" s="55"/>
      <c r="K3866" s="25" t="str">
        <f ca="1">IFERROR(__xludf.DUMMYFUNCTION("""COMPUTED_VALUE"""),"Definir fecha")</f>
        <v>Definir fecha</v>
      </c>
      <c r="L3866" s="62"/>
      <c r="M3866" s="25"/>
      <c r="N3866" s="25"/>
      <c r="O3866" s="25">
        <f t="shared" si="0"/>
        <v>0</v>
      </c>
      <c r="P3866" s="25" t="str">
        <f t="shared" si="2"/>
        <v/>
      </c>
      <c r="Q3866" s="25"/>
      <c r="R3866" s="25"/>
      <c r="S3866" s="55"/>
      <c r="T3866" s="56"/>
      <c r="U3866" s="25"/>
      <c r="V3866" s="25"/>
      <c r="W3866" s="25"/>
      <c r="X3866" s="25"/>
      <c r="Y3866" s="25"/>
      <c r="Z3866" s="25"/>
    </row>
    <row r="3867" spans="1:26" ht="52.5" customHeight="1" x14ac:dyDescent="0.25">
      <c r="A3867" s="25" t="str">
        <f ca="1">IFERROR(__xludf.DUMMYFUNCTION("""COMPUTED_VALUE"""),"Plane265")</f>
        <v>Plane265</v>
      </c>
      <c r="B3867" s="25"/>
      <c r="C3867" s="55"/>
      <c r="D3867" s="25" t="str">
        <f ca="1">IFERROR(__xludf.DUMMYFUNCTION("""COMPUTED_VALUE"""),"Planeación")</f>
        <v>Planeación</v>
      </c>
      <c r="E3867" s="25"/>
      <c r="F3867" s="25"/>
      <c r="G3867" s="25"/>
      <c r="H3867" s="25"/>
      <c r="I3867" s="25"/>
      <c r="J3867" s="55"/>
      <c r="K3867" s="25" t="str">
        <f ca="1">IFERROR(__xludf.DUMMYFUNCTION("""COMPUTED_VALUE"""),"Definir fecha")</f>
        <v>Definir fecha</v>
      </c>
      <c r="L3867" s="62"/>
      <c r="M3867" s="25"/>
      <c r="N3867" s="25"/>
      <c r="O3867" s="25">
        <f t="shared" si="0"/>
        <v>0</v>
      </c>
      <c r="P3867" s="25" t="str">
        <f t="shared" si="2"/>
        <v/>
      </c>
      <c r="Q3867" s="25"/>
      <c r="R3867" s="25"/>
      <c r="S3867" s="55"/>
      <c r="T3867" s="56"/>
      <c r="U3867" s="25"/>
      <c r="V3867" s="25"/>
      <c r="W3867" s="25"/>
      <c r="X3867" s="25"/>
      <c r="Y3867" s="25"/>
      <c r="Z3867" s="25"/>
    </row>
    <row r="3868" spans="1:26" ht="52.5" customHeight="1" x14ac:dyDescent="0.25">
      <c r="A3868" s="25" t="str">
        <f ca="1">IFERROR(__xludf.DUMMYFUNCTION("""COMPUTED_VALUE"""),"Plane266")</f>
        <v>Plane266</v>
      </c>
      <c r="B3868" s="25"/>
      <c r="C3868" s="55"/>
      <c r="D3868" s="25" t="str">
        <f ca="1">IFERROR(__xludf.DUMMYFUNCTION("""COMPUTED_VALUE"""),"Planeación")</f>
        <v>Planeación</v>
      </c>
      <c r="E3868" s="25"/>
      <c r="F3868" s="25"/>
      <c r="G3868" s="25"/>
      <c r="H3868" s="25"/>
      <c r="I3868" s="25"/>
      <c r="J3868" s="55"/>
      <c r="K3868" s="25" t="str">
        <f ca="1">IFERROR(__xludf.DUMMYFUNCTION("""COMPUTED_VALUE"""),"Definir fecha")</f>
        <v>Definir fecha</v>
      </c>
      <c r="L3868" s="62"/>
      <c r="M3868" s="25"/>
      <c r="N3868" s="25"/>
      <c r="O3868" s="25">
        <f t="shared" si="0"/>
        <v>0</v>
      </c>
      <c r="P3868" s="25" t="str">
        <f t="shared" si="2"/>
        <v/>
      </c>
      <c r="Q3868" s="25"/>
      <c r="R3868" s="25"/>
      <c r="S3868" s="55"/>
      <c r="T3868" s="56"/>
      <c r="U3868" s="25"/>
      <c r="V3868" s="25"/>
      <c r="W3868" s="25"/>
      <c r="X3868" s="25"/>
      <c r="Y3868" s="25"/>
      <c r="Z3868" s="25"/>
    </row>
    <row r="3869" spans="1:26" ht="52.5" customHeight="1" x14ac:dyDescent="0.25">
      <c r="A3869" s="25" t="str">
        <f ca="1">IFERROR(__xludf.DUMMYFUNCTION("""COMPUTED_VALUE"""),"Plane267")</f>
        <v>Plane267</v>
      </c>
      <c r="B3869" s="25"/>
      <c r="C3869" s="55"/>
      <c r="D3869" s="25" t="str">
        <f ca="1">IFERROR(__xludf.DUMMYFUNCTION("""COMPUTED_VALUE"""),"Planeación")</f>
        <v>Planeación</v>
      </c>
      <c r="E3869" s="25"/>
      <c r="F3869" s="25"/>
      <c r="G3869" s="25"/>
      <c r="H3869" s="25"/>
      <c r="I3869" s="25"/>
      <c r="J3869" s="55"/>
      <c r="K3869" s="25" t="str">
        <f ca="1">IFERROR(__xludf.DUMMYFUNCTION("""COMPUTED_VALUE"""),"Definir fecha")</f>
        <v>Definir fecha</v>
      </c>
      <c r="L3869" s="62"/>
      <c r="M3869" s="25"/>
      <c r="N3869" s="25"/>
      <c r="O3869" s="25">
        <f t="shared" si="0"/>
        <v>0</v>
      </c>
      <c r="P3869" s="25" t="str">
        <f t="shared" si="2"/>
        <v/>
      </c>
      <c r="Q3869" s="25"/>
      <c r="R3869" s="25"/>
      <c r="S3869" s="55"/>
      <c r="T3869" s="56"/>
      <c r="U3869" s="25"/>
      <c r="V3869" s="25"/>
      <c r="W3869" s="25"/>
      <c r="X3869" s="25"/>
      <c r="Y3869" s="25"/>
      <c r="Z3869" s="25"/>
    </row>
    <row r="3870" spans="1:26" ht="52.5" customHeight="1" x14ac:dyDescent="0.25">
      <c r="A3870" s="25" t="str">
        <f ca="1">IFERROR(__xludf.DUMMYFUNCTION("""COMPUTED_VALUE"""),"Plane268")</f>
        <v>Plane268</v>
      </c>
      <c r="B3870" s="25"/>
      <c r="C3870" s="55"/>
      <c r="D3870" s="25" t="str">
        <f ca="1">IFERROR(__xludf.DUMMYFUNCTION("""COMPUTED_VALUE"""),"Planeación")</f>
        <v>Planeación</v>
      </c>
      <c r="E3870" s="25"/>
      <c r="F3870" s="25"/>
      <c r="G3870" s="25"/>
      <c r="H3870" s="25"/>
      <c r="I3870" s="25"/>
      <c r="J3870" s="55"/>
      <c r="K3870" s="25" t="str">
        <f ca="1">IFERROR(__xludf.DUMMYFUNCTION("""COMPUTED_VALUE"""),"Definir fecha")</f>
        <v>Definir fecha</v>
      </c>
      <c r="L3870" s="62"/>
      <c r="M3870" s="25"/>
      <c r="N3870" s="25"/>
      <c r="O3870" s="25">
        <f t="shared" si="0"/>
        <v>0</v>
      </c>
      <c r="P3870" s="25" t="str">
        <f t="shared" si="2"/>
        <v/>
      </c>
      <c r="Q3870" s="25"/>
      <c r="R3870" s="25"/>
      <c r="S3870" s="55"/>
      <c r="T3870" s="56"/>
      <c r="U3870" s="25"/>
      <c r="V3870" s="25"/>
      <c r="W3870" s="25"/>
      <c r="X3870" s="25"/>
      <c r="Y3870" s="25"/>
      <c r="Z3870" s="25"/>
    </row>
    <row r="3871" spans="1:26" ht="52.5" customHeight="1" x14ac:dyDescent="0.25">
      <c r="A3871" s="25" t="str">
        <f ca="1">IFERROR(__xludf.DUMMYFUNCTION("""COMPUTED_VALUE"""),"Plane269")</f>
        <v>Plane269</v>
      </c>
      <c r="B3871" s="25"/>
      <c r="C3871" s="55"/>
      <c r="D3871" s="25" t="str">
        <f ca="1">IFERROR(__xludf.DUMMYFUNCTION("""COMPUTED_VALUE"""),"Planeación")</f>
        <v>Planeación</v>
      </c>
      <c r="E3871" s="25"/>
      <c r="F3871" s="25"/>
      <c r="G3871" s="25"/>
      <c r="H3871" s="25"/>
      <c r="I3871" s="25"/>
      <c r="J3871" s="55"/>
      <c r="K3871" s="25" t="str">
        <f ca="1">IFERROR(__xludf.DUMMYFUNCTION("""COMPUTED_VALUE"""),"Definir fecha")</f>
        <v>Definir fecha</v>
      </c>
      <c r="L3871" s="62"/>
      <c r="M3871" s="25"/>
      <c r="N3871" s="25"/>
      <c r="O3871" s="25">
        <f t="shared" si="0"/>
        <v>0</v>
      </c>
      <c r="P3871" s="25" t="str">
        <f t="shared" si="2"/>
        <v/>
      </c>
      <c r="Q3871" s="25"/>
      <c r="R3871" s="25"/>
      <c r="S3871" s="55"/>
      <c r="T3871" s="56"/>
      <c r="U3871" s="25"/>
      <c r="V3871" s="25"/>
      <c r="W3871" s="25"/>
      <c r="X3871" s="25"/>
      <c r="Y3871" s="25"/>
      <c r="Z3871" s="25"/>
    </row>
    <row r="3872" spans="1:26" ht="52.5" customHeight="1" x14ac:dyDescent="0.25">
      <c r="A3872" s="25" t="str">
        <f ca="1">IFERROR(__xludf.DUMMYFUNCTION("""COMPUTED_VALUE"""),"Plane270")</f>
        <v>Plane270</v>
      </c>
      <c r="B3872" s="25"/>
      <c r="C3872" s="55"/>
      <c r="D3872" s="25" t="str">
        <f ca="1">IFERROR(__xludf.DUMMYFUNCTION("""COMPUTED_VALUE"""),"Planeación")</f>
        <v>Planeación</v>
      </c>
      <c r="E3872" s="25"/>
      <c r="F3872" s="25"/>
      <c r="G3872" s="25"/>
      <c r="H3872" s="25"/>
      <c r="I3872" s="25"/>
      <c r="J3872" s="55"/>
      <c r="K3872" s="25" t="str">
        <f ca="1">IFERROR(__xludf.DUMMYFUNCTION("""COMPUTED_VALUE"""),"Definir fecha")</f>
        <v>Definir fecha</v>
      </c>
      <c r="L3872" s="62"/>
      <c r="M3872" s="25"/>
      <c r="N3872" s="25"/>
      <c r="O3872" s="25">
        <f t="shared" si="0"/>
        <v>0</v>
      </c>
      <c r="P3872" s="25" t="str">
        <f t="shared" si="2"/>
        <v/>
      </c>
      <c r="Q3872" s="25"/>
      <c r="R3872" s="25"/>
      <c r="S3872" s="55"/>
      <c r="T3872" s="56"/>
      <c r="U3872" s="25"/>
      <c r="V3872" s="25"/>
      <c r="W3872" s="25"/>
      <c r="X3872" s="25"/>
      <c r="Y3872" s="25"/>
      <c r="Z3872" s="25"/>
    </row>
    <row r="3873" spans="1:26" ht="52.5" customHeight="1" x14ac:dyDescent="0.25">
      <c r="A3873" s="25" t="str">
        <f ca="1">IFERROR(__xludf.DUMMYFUNCTION("""COMPUTED_VALUE"""),"Plane271")</f>
        <v>Plane271</v>
      </c>
      <c r="B3873" s="25"/>
      <c r="C3873" s="55"/>
      <c r="D3873" s="25" t="str">
        <f ca="1">IFERROR(__xludf.DUMMYFUNCTION("""COMPUTED_VALUE"""),"Planeación")</f>
        <v>Planeación</v>
      </c>
      <c r="E3873" s="25"/>
      <c r="F3873" s="25"/>
      <c r="G3873" s="25"/>
      <c r="H3873" s="25"/>
      <c r="I3873" s="25"/>
      <c r="J3873" s="55"/>
      <c r="K3873" s="25" t="str">
        <f ca="1">IFERROR(__xludf.DUMMYFUNCTION("""COMPUTED_VALUE"""),"Definir fecha")</f>
        <v>Definir fecha</v>
      </c>
      <c r="L3873" s="62"/>
      <c r="M3873" s="25"/>
      <c r="N3873" s="25"/>
      <c r="O3873" s="25">
        <f t="shared" si="0"/>
        <v>0</v>
      </c>
      <c r="P3873" s="25" t="str">
        <f t="shared" si="2"/>
        <v/>
      </c>
      <c r="Q3873" s="25"/>
      <c r="R3873" s="25"/>
      <c r="S3873" s="55"/>
      <c r="T3873" s="56"/>
      <c r="U3873" s="25"/>
      <c r="V3873" s="25"/>
      <c r="W3873" s="25"/>
      <c r="X3873" s="25"/>
      <c r="Y3873" s="25"/>
      <c r="Z3873" s="25"/>
    </row>
    <row r="3874" spans="1:26" ht="52.5" customHeight="1" x14ac:dyDescent="0.25">
      <c r="A3874" s="25" t="str">
        <f ca="1">IFERROR(__xludf.DUMMYFUNCTION("""COMPUTED_VALUE"""),"Plane272")</f>
        <v>Plane272</v>
      </c>
      <c r="B3874" s="25"/>
      <c r="C3874" s="55"/>
      <c r="D3874" s="25" t="str">
        <f ca="1">IFERROR(__xludf.DUMMYFUNCTION("""COMPUTED_VALUE"""),"Planeación")</f>
        <v>Planeación</v>
      </c>
      <c r="E3874" s="25"/>
      <c r="F3874" s="25"/>
      <c r="G3874" s="25"/>
      <c r="H3874" s="25"/>
      <c r="I3874" s="25"/>
      <c r="J3874" s="55"/>
      <c r="K3874" s="25" t="str">
        <f ca="1">IFERROR(__xludf.DUMMYFUNCTION("""COMPUTED_VALUE"""),"Definir fecha")</f>
        <v>Definir fecha</v>
      </c>
      <c r="L3874" s="62"/>
      <c r="M3874" s="25"/>
      <c r="N3874" s="25"/>
      <c r="O3874" s="25">
        <f t="shared" si="0"/>
        <v>0</v>
      </c>
      <c r="P3874" s="25" t="str">
        <f t="shared" si="2"/>
        <v/>
      </c>
      <c r="Q3874" s="25"/>
      <c r="R3874" s="25"/>
      <c r="S3874" s="55"/>
      <c r="T3874" s="56"/>
      <c r="U3874" s="25"/>
      <c r="V3874" s="25"/>
      <c r="W3874" s="25"/>
      <c r="X3874" s="25"/>
      <c r="Y3874" s="25"/>
      <c r="Z3874" s="25"/>
    </row>
    <row r="3875" spans="1:26" ht="52.5" customHeight="1" x14ac:dyDescent="0.25">
      <c r="A3875" s="25" t="str">
        <f ca="1">IFERROR(__xludf.DUMMYFUNCTION("""COMPUTED_VALUE"""),"Plane273")</f>
        <v>Plane273</v>
      </c>
      <c r="B3875" s="25"/>
      <c r="C3875" s="55"/>
      <c r="D3875" s="25" t="str">
        <f ca="1">IFERROR(__xludf.DUMMYFUNCTION("""COMPUTED_VALUE"""),"Planeación")</f>
        <v>Planeación</v>
      </c>
      <c r="E3875" s="25"/>
      <c r="F3875" s="25"/>
      <c r="G3875" s="25"/>
      <c r="H3875" s="25"/>
      <c r="I3875" s="25"/>
      <c r="J3875" s="55"/>
      <c r="K3875" s="25" t="str">
        <f ca="1">IFERROR(__xludf.DUMMYFUNCTION("""COMPUTED_VALUE"""),"Definir fecha")</f>
        <v>Definir fecha</v>
      </c>
      <c r="L3875" s="62"/>
      <c r="M3875" s="25"/>
      <c r="N3875" s="25"/>
      <c r="O3875" s="25">
        <f t="shared" si="0"/>
        <v>0</v>
      </c>
      <c r="P3875" s="25" t="str">
        <f t="shared" si="2"/>
        <v/>
      </c>
      <c r="Q3875" s="25"/>
      <c r="R3875" s="25"/>
      <c r="S3875" s="55"/>
      <c r="T3875" s="56"/>
      <c r="U3875" s="25"/>
      <c r="V3875" s="25"/>
      <c r="W3875" s="25"/>
      <c r="X3875" s="25"/>
      <c r="Y3875" s="25"/>
      <c r="Z3875" s="25"/>
    </row>
    <row r="3876" spans="1:26" ht="52.5" customHeight="1" x14ac:dyDescent="0.25">
      <c r="A3876" s="25" t="str">
        <f ca="1">IFERROR(__xludf.DUMMYFUNCTION("""COMPUTED_VALUE"""),"Plane274")</f>
        <v>Plane274</v>
      </c>
      <c r="B3876" s="25"/>
      <c r="C3876" s="55"/>
      <c r="D3876" s="25" t="str">
        <f ca="1">IFERROR(__xludf.DUMMYFUNCTION("""COMPUTED_VALUE"""),"Planeación")</f>
        <v>Planeación</v>
      </c>
      <c r="E3876" s="25"/>
      <c r="F3876" s="25"/>
      <c r="G3876" s="25"/>
      <c r="H3876" s="25"/>
      <c r="I3876" s="25"/>
      <c r="J3876" s="55"/>
      <c r="K3876" s="25" t="str">
        <f ca="1">IFERROR(__xludf.DUMMYFUNCTION("""COMPUTED_VALUE"""),"Definir fecha")</f>
        <v>Definir fecha</v>
      </c>
      <c r="L3876" s="62"/>
      <c r="M3876" s="25"/>
      <c r="N3876" s="25"/>
      <c r="O3876" s="25">
        <f t="shared" si="0"/>
        <v>0</v>
      </c>
      <c r="P3876" s="25" t="str">
        <f t="shared" si="2"/>
        <v/>
      </c>
      <c r="Q3876" s="25"/>
      <c r="R3876" s="25"/>
      <c r="S3876" s="55"/>
      <c r="T3876" s="56"/>
      <c r="U3876" s="25"/>
      <c r="V3876" s="25"/>
      <c r="W3876" s="25"/>
      <c r="X3876" s="25"/>
      <c r="Y3876" s="25"/>
      <c r="Z3876" s="25"/>
    </row>
    <row r="3877" spans="1:26" ht="52.5" customHeight="1" x14ac:dyDescent="0.25">
      <c r="A3877" s="25" t="str">
        <f ca="1">IFERROR(__xludf.DUMMYFUNCTION("""COMPUTED_VALUE"""),"Plane275")</f>
        <v>Plane275</v>
      </c>
      <c r="B3877" s="25"/>
      <c r="C3877" s="55"/>
      <c r="D3877" s="25" t="str">
        <f ca="1">IFERROR(__xludf.DUMMYFUNCTION("""COMPUTED_VALUE"""),"Planeación")</f>
        <v>Planeación</v>
      </c>
      <c r="E3877" s="25"/>
      <c r="F3877" s="25"/>
      <c r="G3877" s="25"/>
      <c r="H3877" s="25"/>
      <c r="I3877" s="25"/>
      <c r="J3877" s="55"/>
      <c r="K3877" s="25" t="str">
        <f ca="1">IFERROR(__xludf.DUMMYFUNCTION("""COMPUTED_VALUE"""),"Definir fecha")</f>
        <v>Definir fecha</v>
      </c>
      <c r="L3877" s="62"/>
      <c r="M3877" s="25"/>
      <c r="N3877" s="25"/>
      <c r="O3877" s="25">
        <f t="shared" si="0"/>
        <v>0</v>
      </c>
      <c r="P3877" s="25" t="str">
        <f t="shared" si="2"/>
        <v/>
      </c>
      <c r="Q3877" s="25"/>
      <c r="R3877" s="25"/>
      <c r="S3877" s="55"/>
      <c r="T3877" s="56"/>
      <c r="U3877" s="25"/>
      <c r="V3877" s="25"/>
      <c r="W3877" s="25"/>
      <c r="X3877" s="25"/>
      <c r="Y3877" s="25"/>
      <c r="Z3877" s="25"/>
    </row>
    <row r="3878" spans="1:26" ht="52.5" customHeight="1" x14ac:dyDescent="0.25">
      <c r="A3878" s="25" t="str">
        <f ca="1">IFERROR(__xludf.DUMMYFUNCTION("""COMPUTED_VALUE"""),"Plane276")</f>
        <v>Plane276</v>
      </c>
      <c r="B3878" s="25"/>
      <c r="C3878" s="55"/>
      <c r="D3878" s="25" t="str">
        <f ca="1">IFERROR(__xludf.DUMMYFUNCTION("""COMPUTED_VALUE"""),"Planeación")</f>
        <v>Planeación</v>
      </c>
      <c r="E3878" s="25"/>
      <c r="F3878" s="25"/>
      <c r="G3878" s="25"/>
      <c r="H3878" s="25"/>
      <c r="I3878" s="25"/>
      <c r="J3878" s="55"/>
      <c r="K3878" s="25" t="str">
        <f ca="1">IFERROR(__xludf.DUMMYFUNCTION("""COMPUTED_VALUE"""),"Definir fecha")</f>
        <v>Definir fecha</v>
      </c>
      <c r="L3878" s="62"/>
      <c r="M3878" s="25"/>
      <c r="N3878" s="25"/>
      <c r="O3878" s="25">
        <f t="shared" si="0"/>
        <v>0</v>
      </c>
      <c r="P3878" s="25" t="str">
        <f t="shared" si="2"/>
        <v/>
      </c>
      <c r="Q3878" s="25"/>
      <c r="R3878" s="25"/>
      <c r="S3878" s="55"/>
      <c r="T3878" s="56"/>
      <c r="U3878" s="25"/>
      <c r="V3878" s="25"/>
      <c r="W3878" s="25"/>
      <c r="X3878" s="25"/>
      <c r="Y3878" s="25"/>
      <c r="Z3878" s="25"/>
    </row>
    <row r="3879" spans="1:26" ht="52.5" customHeight="1" x14ac:dyDescent="0.25">
      <c r="A3879" s="25" t="str">
        <f ca="1">IFERROR(__xludf.DUMMYFUNCTION("""COMPUTED_VALUE"""),"Plane277")</f>
        <v>Plane277</v>
      </c>
      <c r="B3879" s="25"/>
      <c r="C3879" s="55"/>
      <c r="D3879" s="25" t="str">
        <f ca="1">IFERROR(__xludf.DUMMYFUNCTION("""COMPUTED_VALUE"""),"Planeación")</f>
        <v>Planeación</v>
      </c>
      <c r="E3879" s="25"/>
      <c r="F3879" s="25"/>
      <c r="G3879" s="25"/>
      <c r="H3879" s="25"/>
      <c r="I3879" s="25"/>
      <c r="J3879" s="55"/>
      <c r="K3879" s="25" t="str">
        <f ca="1">IFERROR(__xludf.DUMMYFUNCTION("""COMPUTED_VALUE"""),"Definir fecha")</f>
        <v>Definir fecha</v>
      </c>
      <c r="L3879" s="62"/>
      <c r="M3879" s="25"/>
      <c r="N3879" s="25"/>
      <c r="O3879" s="25">
        <f t="shared" si="0"/>
        <v>0</v>
      </c>
      <c r="P3879" s="25" t="str">
        <f t="shared" si="2"/>
        <v/>
      </c>
      <c r="Q3879" s="25"/>
      <c r="R3879" s="25"/>
      <c r="S3879" s="55"/>
      <c r="T3879" s="56"/>
      <c r="U3879" s="25"/>
      <c r="V3879" s="25"/>
      <c r="W3879" s="25"/>
      <c r="X3879" s="25"/>
      <c r="Y3879" s="25"/>
      <c r="Z3879" s="25"/>
    </row>
    <row r="3880" spans="1:26" ht="52.5" customHeight="1" x14ac:dyDescent="0.25">
      <c r="A3880" s="25" t="str">
        <f ca="1">IFERROR(__xludf.DUMMYFUNCTION("""COMPUTED_VALUE"""),"Plane278")</f>
        <v>Plane278</v>
      </c>
      <c r="B3880" s="25"/>
      <c r="C3880" s="55"/>
      <c r="D3880" s="25" t="str">
        <f ca="1">IFERROR(__xludf.DUMMYFUNCTION("""COMPUTED_VALUE"""),"Planeación")</f>
        <v>Planeación</v>
      </c>
      <c r="E3880" s="25"/>
      <c r="F3880" s="25"/>
      <c r="G3880" s="25"/>
      <c r="H3880" s="25"/>
      <c r="I3880" s="25"/>
      <c r="J3880" s="55"/>
      <c r="K3880" s="25" t="str">
        <f ca="1">IFERROR(__xludf.DUMMYFUNCTION("""COMPUTED_VALUE"""),"Definir fecha")</f>
        <v>Definir fecha</v>
      </c>
      <c r="L3880" s="62"/>
      <c r="M3880" s="25"/>
      <c r="N3880" s="25"/>
      <c r="O3880" s="25">
        <f t="shared" si="0"/>
        <v>0</v>
      </c>
      <c r="P3880" s="25" t="str">
        <f t="shared" si="2"/>
        <v/>
      </c>
      <c r="Q3880" s="25"/>
      <c r="R3880" s="25"/>
      <c r="S3880" s="55"/>
      <c r="T3880" s="56"/>
      <c r="U3880" s="25"/>
      <c r="V3880" s="25"/>
      <c r="W3880" s="25"/>
      <c r="X3880" s="25"/>
      <c r="Y3880" s="25"/>
      <c r="Z3880" s="25"/>
    </row>
    <row r="3881" spans="1:26" ht="52.5" customHeight="1" x14ac:dyDescent="0.25">
      <c r="A3881" s="25" t="str">
        <f ca="1">IFERROR(__xludf.DUMMYFUNCTION("""COMPUTED_VALUE"""),"Plane279")</f>
        <v>Plane279</v>
      </c>
      <c r="B3881" s="25"/>
      <c r="C3881" s="55"/>
      <c r="D3881" s="25" t="str">
        <f ca="1">IFERROR(__xludf.DUMMYFUNCTION("""COMPUTED_VALUE"""),"Planeación")</f>
        <v>Planeación</v>
      </c>
      <c r="E3881" s="25"/>
      <c r="F3881" s="25"/>
      <c r="G3881" s="25"/>
      <c r="H3881" s="25"/>
      <c r="I3881" s="25"/>
      <c r="J3881" s="55"/>
      <c r="K3881" s="25" t="str">
        <f ca="1">IFERROR(__xludf.DUMMYFUNCTION("""COMPUTED_VALUE"""),"Definir fecha")</f>
        <v>Definir fecha</v>
      </c>
      <c r="L3881" s="62"/>
      <c r="M3881" s="25"/>
      <c r="N3881" s="25"/>
      <c r="O3881" s="25">
        <f t="shared" si="0"/>
        <v>0</v>
      </c>
      <c r="P3881" s="25" t="str">
        <f t="shared" si="2"/>
        <v/>
      </c>
      <c r="Q3881" s="25"/>
      <c r="R3881" s="25"/>
      <c r="S3881" s="55"/>
      <c r="T3881" s="56"/>
      <c r="U3881" s="25"/>
      <c r="V3881" s="25"/>
      <c r="W3881" s="25"/>
      <c r="X3881" s="25"/>
      <c r="Y3881" s="25"/>
      <c r="Z3881" s="25"/>
    </row>
    <row r="3882" spans="1:26" ht="52.5" customHeight="1" x14ac:dyDescent="0.25">
      <c r="A3882" s="25" t="str">
        <f ca="1">IFERROR(__xludf.DUMMYFUNCTION("""COMPUTED_VALUE"""),"Plane280")</f>
        <v>Plane280</v>
      </c>
      <c r="B3882" s="25"/>
      <c r="C3882" s="55"/>
      <c r="D3882" s="25" t="str">
        <f ca="1">IFERROR(__xludf.DUMMYFUNCTION("""COMPUTED_VALUE"""),"Planeación")</f>
        <v>Planeación</v>
      </c>
      <c r="E3882" s="25"/>
      <c r="F3882" s="25"/>
      <c r="G3882" s="25"/>
      <c r="H3882" s="25"/>
      <c r="I3882" s="25"/>
      <c r="J3882" s="55"/>
      <c r="K3882" s="25" t="str">
        <f ca="1">IFERROR(__xludf.DUMMYFUNCTION("""COMPUTED_VALUE"""),"Definir fecha")</f>
        <v>Definir fecha</v>
      </c>
      <c r="L3882" s="62"/>
      <c r="M3882" s="25"/>
      <c r="N3882" s="25"/>
      <c r="O3882" s="25">
        <f t="shared" si="0"/>
        <v>0</v>
      </c>
      <c r="P3882" s="25" t="str">
        <f t="shared" si="2"/>
        <v/>
      </c>
      <c r="Q3882" s="25"/>
      <c r="R3882" s="25"/>
      <c r="S3882" s="55"/>
      <c r="T3882" s="56"/>
      <c r="U3882" s="25"/>
      <c r="V3882" s="25"/>
      <c r="W3882" s="25"/>
      <c r="X3882" s="25"/>
      <c r="Y3882" s="25"/>
      <c r="Z3882" s="25"/>
    </row>
    <row r="3883" spans="1:26" ht="52.5" customHeight="1" x14ac:dyDescent="0.25">
      <c r="A3883" s="25" t="str">
        <f ca="1">IFERROR(__xludf.DUMMYFUNCTION("""COMPUTED_VALUE"""),"Plane281")</f>
        <v>Plane281</v>
      </c>
      <c r="B3883" s="25"/>
      <c r="C3883" s="55"/>
      <c r="D3883" s="25" t="str">
        <f ca="1">IFERROR(__xludf.DUMMYFUNCTION("""COMPUTED_VALUE"""),"Planeación")</f>
        <v>Planeación</v>
      </c>
      <c r="E3883" s="25"/>
      <c r="F3883" s="25"/>
      <c r="G3883" s="25"/>
      <c r="H3883" s="25"/>
      <c r="I3883" s="25"/>
      <c r="J3883" s="55"/>
      <c r="K3883" s="25" t="str">
        <f ca="1">IFERROR(__xludf.DUMMYFUNCTION("""COMPUTED_VALUE"""),"Definir fecha")</f>
        <v>Definir fecha</v>
      </c>
      <c r="L3883" s="62"/>
      <c r="M3883" s="25"/>
      <c r="N3883" s="25"/>
      <c r="O3883" s="25">
        <f t="shared" si="0"/>
        <v>0</v>
      </c>
      <c r="P3883" s="25" t="str">
        <f t="shared" si="2"/>
        <v/>
      </c>
      <c r="Q3883" s="25"/>
      <c r="R3883" s="25"/>
      <c r="S3883" s="55"/>
      <c r="T3883" s="56"/>
      <c r="U3883" s="25"/>
      <c r="V3883" s="25"/>
      <c r="W3883" s="25"/>
      <c r="X3883" s="25"/>
      <c r="Y3883" s="25"/>
      <c r="Z3883" s="25"/>
    </row>
    <row r="3884" spans="1:26" ht="52.5" customHeight="1" x14ac:dyDescent="0.25">
      <c r="A3884" s="25" t="str">
        <f ca="1">IFERROR(__xludf.DUMMYFUNCTION("""COMPUTED_VALUE"""),"Plane282")</f>
        <v>Plane282</v>
      </c>
      <c r="B3884" s="25"/>
      <c r="C3884" s="55"/>
      <c r="D3884" s="25" t="str">
        <f ca="1">IFERROR(__xludf.DUMMYFUNCTION("""COMPUTED_VALUE"""),"Planeación")</f>
        <v>Planeación</v>
      </c>
      <c r="E3884" s="25"/>
      <c r="F3884" s="25"/>
      <c r="G3884" s="25"/>
      <c r="H3884" s="25"/>
      <c r="I3884" s="25"/>
      <c r="J3884" s="55"/>
      <c r="K3884" s="25" t="str">
        <f ca="1">IFERROR(__xludf.DUMMYFUNCTION("""COMPUTED_VALUE"""),"Definir fecha")</f>
        <v>Definir fecha</v>
      </c>
      <c r="L3884" s="62"/>
      <c r="M3884" s="25"/>
      <c r="N3884" s="25"/>
      <c r="O3884" s="25">
        <f t="shared" si="0"/>
        <v>0</v>
      </c>
      <c r="P3884" s="25" t="str">
        <f t="shared" si="2"/>
        <v/>
      </c>
      <c r="Q3884" s="25"/>
      <c r="R3884" s="25"/>
      <c r="S3884" s="55"/>
      <c r="T3884" s="56"/>
      <c r="U3884" s="25"/>
      <c r="V3884" s="25"/>
      <c r="W3884" s="25"/>
      <c r="X3884" s="25"/>
      <c r="Y3884" s="25"/>
      <c r="Z3884" s="25"/>
    </row>
    <row r="3885" spans="1:26" ht="52.5" customHeight="1" x14ac:dyDescent="0.25">
      <c r="A3885" s="25" t="str">
        <f ca="1">IFERROR(__xludf.DUMMYFUNCTION("""COMPUTED_VALUE"""),"Plane283")</f>
        <v>Plane283</v>
      </c>
      <c r="B3885" s="25"/>
      <c r="C3885" s="55"/>
      <c r="D3885" s="25" t="str">
        <f ca="1">IFERROR(__xludf.DUMMYFUNCTION("""COMPUTED_VALUE"""),"Planeación")</f>
        <v>Planeación</v>
      </c>
      <c r="E3885" s="25"/>
      <c r="F3885" s="25"/>
      <c r="G3885" s="25"/>
      <c r="H3885" s="25"/>
      <c r="I3885" s="25"/>
      <c r="J3885" s="55"/>
      <c r="K3885" s="25" t="str">
        <f ca="1">IFERROR(__xludf.DUMMYFUNCTION("""COMPUTED_VALUE"""),"Definir fecha")</f>
        <v>Definir fecha</v>
      </c>
      <c r="L3885" s="62"/>
      <c r="M3885" s="25"/>
      <c r="N3885" s="25"/>
      <c r="O3885" s="25">
        <f t="shared" si="0"/>
        <v>0</v>
      </c>
      <c r="P3885" s="25" t="str">
        <f t="shared" si="2"/>
        <v/>
      </c>
      <c r="Q3885" s="25"/>
      <c r="R3885" s="25"/>
      <c r="S3885" s="55"/>
      <c r="T3885" s="56"/>
      <c r="U3885" s="25"/>
      <c r="V3885" s="25"/>
      <c r="W3885" s="25"/>
      <c r="X3885" s="25"/>
      <c r="Y3885" s="25"/>
      <c r="Z3885" s="25"/>
    </row>
    <row r="3886" spans="1:26" ht="52.5" customHeight="1" x14ac:dyDescent="0.25">
      <c r="A3886" s="25" t="str">
        <f ca="1">IFERROR(__xludf.DUMMYFUNCTION("""COMPUTED_VALUE"""),"Plane284")</f>
        <v>Plane284</v>
      </c>
      <c r="B3886" s="25"/>
      <c r="C3886" s="55"/>
      <c r="D3886" s="25" t="str">
        <f ca="1">IFERROR(__xludf.DUMMYFUNCTION("""COMPUTED_VALUE"""),"Planeación")</f>
        <v>Planeación</v>
      </c>
      <c r="E3886" s="25"/>
      <c r="F3886" s="25"/>
      <c r="G3886" s="25"/>
      <c r="H3886" s="25"/>
      <c r="I3886" s="25"/>
      <c r="J3886" s="55"/>
      <c r="K3886" s="25" t="str">
        <f ca="1">IFERROR(__xludf.DUMMYFUNCTION("""COMPUTED_VALUE"""),"Definir fecha")</f>
        <v>Definir fecha</v>
      </c>
      <c r="L3886" s="62"/>
      <c r="M3886" s="25"/>
      <c r="N3886" s="25"/>
      <c r="O3886" s="25">
        <f t="shared" si="0"/>
        <v>0</v>
      </c>
      <c r="P3886" s="25" t="str">
        <f t="shared" si="2"/>
        <v/>
      </c>
      <c r="Q3886" s="25"/>
      <c r="R3886" s="25"/>
      <c r="S3886" s="55"/>
      <c r="T3886" s="56"/>
      <c r="U3886" s="25"/>
      <c r="V3886" s="25"/>
      <c r="W3886" s="25"/>
      <c r="X3886" s="25"/>
      <c r="Y3886" s="25"/>
      <c r="Z3886" s="25"/>
    </row>
    <row r="3887" spans="1:26" ht="52.5" customHeight="1" x14ac:dyDescent="0.25">
      <c r="A3887" s="25" t="str">
        <f ca="1">IFERROR(__xludf.DUMMYFUNCTION("""COMPUTED_VALUE"""),"Plane285")</f>
        <v>Plane285</v>
      </c>
      <c r="B3887" s="25"/>
      <c r="C3887" s="55"/>
      <c r="D3887" s="25" t="str">
        <f ca="1">IFERROR(__xludf.DUMMYFUNCTION("""COMPUTED_VALUE"""),"Planeación")</f>
        <v>Planeación</v>
      </c>
      <c r="E3887" s="25"/>
      <c r="F3887" s="25"/>
      <c r="G3887" s="25"/>
      <c r="H3887" s="25"/>
      <c r="I3887" s="25"/>
      <c r="J3887" s="55"/>
      <c r="K3887" s="25" t="str">
        <f ca="1">IFERROR(__xludf.DUMMYFUNCTION("""COMPUTED_VALUE"""),"Definir fecha")</f>
        <v>Definir fecha</v>
      </c>
      <c r="L3887" s="62"/>
      <c r="M3887" s="25"/>
      <c r="N3887" s="25"/>
      <c r="O3887" s="25">
        <f t="shared" si="0"/>
        <v>0</v>
      </c>
      <c r="P3887" s="25" t="str">
        <f t="shared" si="2"/>
        <v/>
      </c>
      <c r="Q3887" s="25"/>
      <c r="R3887" s="25"/>
      <c r="S3887" s="55"/>
      <c r="T3887" s="56"/>
      <c r="U3887" s="25"/>
      <c r="V3887" s="25"/>
      <c r="W3887" s="25"/>
      <c r="X3887" s="25"/>
      <c r="Y3887" s="25"/>
      <c r="Z3887" s="25"/>
    </row>
    <row r="3888" spans="1:26" ht="52.5" customHeight="1" x14ac:dyDescent="0.25">
      <c r="A3888" s="25" t="str">
        <f ca="1">IFERROR(__xludf.DUMMYFUNCTION("""COMPUTED_VALUE"""),"Plane286")</f>
        <v>Plane286</v>
      </c>
      <c r="B3888" s="25"/>
      <c r="C3888" s="55"/>
      <c r="D3888" s="25" t="str">
        <f ca="1">IFERROR(__xludf.DUMMYFUNCTION("""COMPUTED_VALUE"""),"Planeación")</f>
        <v>Planeación</v>
      </c>
      <c r="E3888" s="25"/>
      <c r="F3888" s="25"/>
      <c r="G3888" s="25"/>
      <c r="H3888" s="25"/>
      <c r="I3888" s="25"/>
      <c r="J3888" s="55"/>
      <c r="K3888" s="25" t="str">
        <f ca="1">IFERROR(__xludf.DUMMYFUNCTION("""COMPUTED_VALUE"""),"Definir fecha")</f>
        <v>Definir fecha</v>
      </c>
      <c r="L3888" s="62"/>
      <c r="M3888" s="25"/>
      <c r="N3888" s="25"/>
      <c r="O3888" s="25">
        <f t="shared" si="0"/>
        <v>0</v>
      </c>
      <c r="P3888" s="25" t="str">
        <f t="shared" si="2"/>
        <v/>
      </c>
      <c r="Q3888" s="25"/>
      <c r="R3888" s="25"/>
      <c r="S3888" s="55"/>
      <c r="T3888" s="56"/>
      <c r="U3888" s="25"/>
      <c r="V3888" s="25"/>
      <c r="W3888" s="25"/>
      <c r="X3888" s="25"/>
      <c r="Y3888" s="25"/>
      <c r="Z3888" s="25"/>
    </row>
    <row r="3889" spans="1:26" ht="52.5" customHeight="1" x14ac:dyDescent="0.25">
      <c r="A3889" s="25" t="str">
        <f ca="1">IFERROR(__xludf.DUMMYFUNCTION("""COMPUTED_VALUE"""),"Plane287")</f>
        <v>Plane287</v>
      </c>
      <c r="B3889" s="25"/>
      <c r="C3889" s="55"/>
      <c r="D3889" s="25" t="str">
        <f ca="1">IFERROR(__xludf.DUMMYFUNCTION("""COMPUTED_VALUE"""),"Planeación")</f>
        <v>Planeación</v>
      </c>
      <c r="E3889" s="25"/>
      <c r="F3889" s="25"/>
      <c r="G3889" s="25"/>
      <c r="H3889" s="25"/>
      <c r="I3889" s="25"/>
      <c r="J3889" s="55"/>
      <c r="K3889" s="25" t="str">
        <f ca="1">IFERROR(__xludf.DUMMYFUNCTION("""COMPUTED_VALUE"""),"Definir fecha")</f>
        <v>Definir fecha</v>
      </c>
      <c r="L3889" s="62"/>
      <c r="M3889" s="25"/>
      <c r="N3889" s="25"/>
      <c r="O3889" s="25">
        <f t="shared" si="0"/>
        <v>0</v>
      </c>
      <c r="P3889" s="25" t="str">
        <f t="shared" si="2"/>
        <v/>
      </c>
      <c r="Q3889" s="25"/>
      <c r="R3889" s="25"/>
      <c r="S3889" s="55"/>
      <c r="T3889" s="56"/>
      <c r="U3889" s="25"/>
      <c r="V3889" s="25"/>
      <c r="W3889" s="25"/>
      <c r="X3889" s="25"/>
      <c r="Y3889" s="25"/>
      <c r="Z3889" s="25"/>
    </row>
    <row r="3890" spans="1:26" ht="52.5" customHeight="1" x14ac:dyDescent="0.25">
      <c r="A3890" s="25" t="str">
        <f ca="1">IFERROR(__xludf.DUMMYFUNCTION("""COMPUTED_VALUE"""),"Plane288")</f>
        <v>Plane288</v>
      </c>
      <c r="B3890" s="25"/>
      <c r="C3890" s="55"/>
      <c r="D3890" s="25" t="str">
        <f ca="1">IFERROR(__xludf.DUMMYFUNCTION("""COMPUTED_VALUE"""),"Planeación")</f>
        <v>Planeación</v>
      </c>
      <c r="E3890" s="25"/>
      <c r="F3890" s="25"/>
      <c r="G3890" s="25"/>
      <c r="H3890" s="25"/>
      <c r="I3890" s="25"/>
      <c r="J3890" s="55"/>
      <c r="K3890" s="25" t="str">
        <f ca="1">IFERROR(__xludf.DUMMYFUNCTION("""COMPUTED_VALUE"""),"Definir fecha")</f>
        <v>Definir fecha</v>
      </c>
      <c r="L3890" s="62"/>
      <c r="M3890" s="25"/>
      <c r="N3890" s="25"/>
      <c r="O3890" s="25">
        <f t="shared" si="0"/>
        <v>0</v>
      </c>
      <c r="P3890" s="25" t="str">
        <f t="shared" si="2"/>
        <v/>
      </c>
      <c r="Q3890" s="25"/>
      <c r="R3890" s="25"/>
      <c r="S3890" s="55"/>
      <c r="T3890" s="56"/>
      <c r="U3890" s="25"/>
      <c r="V3890" s="25"/>
      <c r="W3890" s="25"/>
      <c r="X3890" s="25"/>
      <c r="Y3890" s="25"/>
      <c r="Z3890" s="25"/>
    </row>
    <row r="3891" spans="1:26" ht="52.5" customHeight="1" x14ac:dyDescent="0.25">
      <c r="A3891" s="25" t="str">
        <f ca="1">IFERROR(__xludf.DUMMYFUNCTION("""COMPUTED_VALUE"""),"Plane289")</f>
        <v>Plane289</v>
      </c>
      <c r="B3891" s="25"/>
      <c r="C3891" s="55"/>
      <c r="D3891" s="25" t="str">
        <f ca="1">IFERROR(__xludf.DUMMYFUNCTION("""COMPUTED_VALUE"""),"Planeación")</f>
        <v>Planeación</v>
      </c>
      <c r="E3891" s="25"/>
      <c r="F3891" s="25"/>
      <c r="G3891" s="25"/>
      <c r="H3891" s="25"/>
      <c r="I3891" s="25"/>
      <c r="J3891" s="55"/>
      <c r="K3891" s="25" t="str">
        <f ca="1">IFERROR(__xludf.DUMMYFUNCTION("""COMPUTED_VALUE"""),"Definir fecha")</f>
        <v>Definir fecha</v>
      </c>
      <c r="L3891" s="62"/>
      <c r="M3891" s="25"/>
      <c r="N3891" s="25"/>
      <c r="O3891" s="25">
        <f t="shared" si="0"/>
        <v>0</v>
      </c>
      <c r="P3891" s="25" t="str">
        <f t="shared" si="2"/>
        <v/>
      </c>
      <c r="Q3891" s="25"/>
      <c r="R3891" s="25"/>
      <c r="S3891" s="55"/>
      <c r="T3891" s="56"/>
      <c r="U3891" s="25"/>
      <c r="V3891" s="25"/>
      <c r="W3891" s="25"/>
      <c r="X3891" s="25"/>
      <c r="Y3891" s="25"/>
      <c r="Z3891" s="25"/>
    </row>
    <row r="3892" spans="1:26" ht="52.5" customHeight="1" x14ac:dyDescent="0.25">
      <c r="A3892" s="25" t="str">
        <f ca="1">IFERROR(__xludf.DUMMYFUNCTION("""COMPUTED_VALUE"""),"Plane290")</f>
        <v>Plane290</v>
      </c>
      <c r="B3892" s="25"/>
      <c r="C3892" s="55"/>
      <c r="D3892" s="25" t="str">
        <f ca="1">IFERROR(__xludf.DUMMYFUNCTION("""COMPUTED_VALUE"""),"Planeación")</f>
        <v>Planeación</v>
      </c>
      <c r="E3892" s="25"/>
      <c r="F3892" s="25"/>
      <c r="G3892" s="25"/>
      <c r="H3892" s="25"/>
      <c r="I3892" s="25"/>
      <c r="J3892" s="55"/>
      <c r="K3892" s="25" t="str">
        <f ca="1">IFERROR(__xludf.DUMMYFUNCTION("""COMPUTED_VALUE"""),"Definir fecha")</f>
        <v>Definir fecha</v>
      </c>
      <c r="L3892" s="62"/>
      <c r="M3892" s="25"/>
      <c r="N3892" s="25"/>
      <c r="O3892" s="25">
        <f t="shared" si="0"/>
        <v>0</v>
      </c>
      <c r="P3892" s="25" t="str">
        <f t="shared" si="2"/>
        <v/>
      </c>
      <c r="Q3892" s="25"/>
      <c r="R3892" s="25"/>
      <c r="S3892" s="55"/>
      <c r="T3892" s="56"/>
      <c r="U3892" s="25"/>
      <c r="V3892" s="25"/>
      <c r="W3892" s="25"/>
      <c r="X3892" s="25"/>
      <c r="Y3892" s="25"/>
      <c r="Z3892" s="25"/>
    </row>
    <row r="3893" spans="1:26" ht="52.5" customHeight="1" x14ac:dyDescent="0.25">
      <c r="A3893" s="25" t="str">
        <f ca="1">IFERROR(__xludf.DUMMYFUNCTION("""COMPUTED_VALUE"""),"Plane291")</f>
        <v>Plane291</v>
      </c>
      <c r="B3893" s="25"/>
      <c r="C3893" s="55"/>
      <c r="D3893" s="25" t="str">
        <f ca="1">IFERROR(__xludf.DUMMYFUNCTION("""COMPUTED_VALUE"""),"Planeación")</f>
        <v>Planeación</v>
      </c>
      <c r="E3893" s="25"/>
      <c r="F3893" s="25"/>
      <c r="G3893" s="25"/>
      <c r="H3893" s="25"/>
      <c r="I3893" s="25"/>
      <c r="J3893" s="55"/>
      <c r="K3893" s="25" t="str">
        <f ca="1">IFERROR(__xludf.DUMMYFUNCTION("""COMPUTED_VALUE"""),"Definir fecha")</f>
        <v>Definir fecha</v>
      </c>
      <c r="L3893" s="62"/>
      <c r="M3893" s="25"/>
      <c r="N3893" s="25"/>
      <c r="O3893" s="25">
        <f t="shared" si="0"/>
        <v>0</v>
      </c>
      <c r="P3893" s="25" t="str">
        <f t="shared" si="2"/>
        <v/>
      </c>
      <c r="Q3893" s="25"/>
      <c r="R3893" s="25"/>
      <c r="S3893" s="55"/>
      <c r="T3893" s="56"/>
      <c r="U3893" s="25"/>
      <c r="V3893" s="25"/>
      <c r="W3893" s="25"/>
      <c r="X3893" s="25"/>
      <c r="Y3893" s="25"/>
      <c r="Z3893" s="25"/>
    </row>
    <row r="3894" spans="1:26" ht="52.5" customHeight="1" x14ac:dyDescent="0.25">
      <c r="A3894" s="25" t="str">
        <f ca="1">IFERROR(__xludf.DUMMYFUNCTION("""COMPUTED_VALUE"""),"Plane292")</f>
        <v>Plane292</v>
      </c>
      <c r="B3894" s="25"/>
      <c r="C3894" s="55"/>
      <c r="D3894" s="25" t="str">
        <f ca="1">IFERROR(__xludf.DUMMYFUNCTION("""COMPUTED_VALUE"""),"Planeación")</f>
        <v>Planeación</v>
      </c>
      <c r="E3894" s="25"/>
      <c r="F3894" s="25"/>
      <c r="G3894" s="25"/>
      <c r="H3894" s="25"/>
      <c r="I3894" s="25"/>
      <c r="J3894" s="55"/>
      <c r="K3894" s="25" t="str">
        <f ca="1">IFERROR(__xludf.DUMMYFUNCTION("""COMPUTED_VALUE"""),"Definir fecha")</f>
        <v>Definir fecha</v>
      </c>
      <c r="L3894" s="62"/>
      <c r="M3894" s="25"/>
      <c r="N3894" s="25"/>
      <c r="O3894" s="25">
        <f t="shared" si="0"/>
        <v>0</v>
      </c>
      <c r="P3894" s="25" t="str">
        <f t="shared" si="2"/>
        <v/>
      </c>
      <c r="Q3894" s="25"/>
      <c r="R3894" s="25"/>
      <c r="S3894" s="55"/>
      <c r="T3894" s="56"/>
      <c r="U3894" s="25"/>
      <c r="V3894" s="25"/>
      <c r="W3894" s="25"/>
      <c r="X3894" s="25"/>
      <c r="Y3894" s="25"/>
      <c r="Z3894" s="25"/>
    </row>
    <row r="3895" spans="1:26" ht="52.5" customHeight="1" x14ac:dyDescent="0.25">
      <c r="A3895" s="25" t="str">
        <f ca="1">IFERROR(__xludf.DUMMYFUNCTION("""COMPUTED_VALUE"""),"Plane293")</f>
        <v>Plane293</v>
      </c>
      <c r="B3895" s="25"/>
      <c r="C3895" s="55"/>
      <c r="D3895" s="25" t="str">
        <f ca="1">IFERROR(__xludf.DUMMYFUNCTION("""COMPUTED_VALUE"""),"Planeación")</f>
        <v>Planeación</v>
      </c>
      <c r="E3895" s="25"/>
      <c r="F3895" s="25"/>
      <c r="G3895" s="25"/>
      <c r="H3895" s="25"/>
      <c r="I3895" s="25"/>
      <c r="J3895" s="55"/>
      <c r="K3895" s="25" t="str">
        <f ca="1">IFERROR(__xludf.DUMMYFUNCTION("""COMPUTED_VALUE"""),"Definir fecha")</f>
        <v>Definir fecha</v>
      </c>
      <c r="L3895" s="62"/>
      <c r="M3895" s="25"/>
      <c r="N3895" s="25"/>
      <c r="O3895" s="25">
        <f t="shared" si="0"/>
        <v>0</v>
      </c>
      <c r="P3895" s="25" t="str">
        <f t="shared" si="2"/>
        <v/>
      </c>
      <c r="Q3895" s="25"/>
      <c r="R3895" s="25"/>
      <c r="S3895" s="55"/>
      <c r="T3895" s="56"/>
      <c r="U3895" s="25"/>
      <c r="V3895" s="25"/>
      <c r="W3895" s="25"/>
      <c r="X3895" s="25"/>
      <c r="Y3895" s="25"/>
      <c r="Z3895" s="25"/>
    </row>
    <row r="3896" spans="1:26" ht="52.5" customHeight="1" x14ac:dyDescent="0.25">
      <c r="A3896" s="25" t="str">
        <f ca="1">IFERROR(__xludf.DUMMYFUNCTION("""COMPUTED_VALUE"""),"Plane294")</f>
        <v>Plane294</v>
      </c>
      <c r="B3896" s="25"/>
      <c r="C3896" s="55"/>
      <c r="D3896" s="25" t="str">
        <f ca="1">IFERROR(__xludf.DUMMYFUNCTION("""COMPUTED_VALUE"""),"Planeación")</f>
        <v>Planeación</v>
      </c>
      <c r="E3896" s="25"/>
      <c r="F3896" s="25"/>
      <c r="G3896" s="25"/>
      <c r="H3896" s="25"/>
      <c r="I3896" s="25"/>
      <c r="J3896" s="55"/>
      <c r="K3896" s="25" t="str">
        <f ca="1">IFERROR(__xludf.DUMMYFUNCTION("""COMPUTED_VALUE"""),"Definir fecha")</f>
        <v>Definir fecha</v>
      </c>
      <c r="L3896" s="62"/>
      <c r="M3896" s="25"/>
      <c r="N3896" s="25"/>
      <c r="O3896" s="25">
        <f t="shared" si="0"/>
        <v>0</v>
      </c>
      <c r="P3896" s="25" t="str">
        <f t="shared" si="2"/>
        <v/>
      </c>
      <c r="Q3896" s="25"/>
      <c r="R3896" s="25"/>
      <c r="S3896" s="55"/>
      <c r="T3896" s="56"/>
      <c r="U3896" s="25"/>
      <c r="V3896" s="25"/>
      <c r="W3896" s="25"/>
      <c r="X3896" s="25"/>
      <c r="Y3896" s="25"/>
      <c r="Z3896" s="25"/>
    </row>
    <row r="3897" spans="1:26" ht="52.5" customHeight="1" x14ac:dyDescent="0.25">
      <c r="A3897" s="25" t="str">
        <f ca="1">IFERROR(__xludf.DUMMYFUNCTION("""COMPUTED_VALUE"""),"Plane295")</f>
        <v>Plane295</v>
      </c>
      <c r="B3897" s="25"/>
      <c r="C3897" s="55"/>
      <c r="D3897" s="25" t="str">
        <f ca="1">IFERROR(__xludf.DUMMYFUNCTION("""COMPUTED_VALUE"""),"Planeación")</f>
        <v>Planeación</v>
      </c>
      <c r="E3897" s="25"/>
      <c r="F3897" s="25"/>
      <c r="G3897" s="25"/>
      <c r="H3897" s="25"/>
      <c r="I3897" s="25"/>
      <c r="J3897" s="55"/>
      <c r="K3897" s="25" t="str">
        <f ca="1">IFERROR(__xludf.DUMMYFUNCTION("""COMPUTED_VALUE"""),"Definir fecha")</f>
        <v>Definir fecha</v>
      </c>
      <c r="L3897" s="62"/>
      <c r="M3897" s="25"/>
      <c r="N3897" s="25"/>
      <c r="O3897" s="25">
        <f t="shared" si="0"/>
        <v>0</v>
      </c>
      <c r="P3897" s="25" t="str">
        <f t="shared" si="2"/>
        <v/>
      </c>
      <c r="Q3897" s="25"/>
      <c r="R3897" s="25"/>
      <c r="S3897" s="55"/>
      <c r="T3897" s="56"/>
      <c r="U3897" s="25"/>
      <c r="V3897" s="25"/>
      <c r="W3897" s="25"/>
      <c r="X3897" s="25"/>
      <c r="Y3897" s="25"/>
      <c r="Z3897" s="25"/>
    </row>
    <row r="3898" spans="1:26" ht="52.5" customHeight="1" x14ac:dyDescent="0.25">
      <c r="A3898" s="25" t="str">
        <f ca="1">IFERROR(__xludf.DUMMYFUNCTION("""COMPUTED_VALUE"""),"Plane296")</f>
        <v>Plane296</v>
      </c>
      <c r="B3898" s="25"/>
      <c r="C3898" s="55"/>
      <c r="D3898" s="25" t="str">
        <f ca="1">IFERROR(__xludf.DUMMYFUNCTION("""COMPUTED_VALUE"""),"Planeación")</f>
        <v>Planeación</v>
      </c>
      <c r="E3898" s="25"/>
      <c r="F3898" s="25"/>
      <c r="G3898" s="25"/>
      <c r="H3898" s="25"/>
      <c r="I3898" s="25"/>
      <c r="J3898" s="55"/>
      <c r="K3898" s="25" t="str">
        <f ca="1">IFERROR(__xludf.DUMMYFUNCTION("""COMPUTED_VALUE"""),"Definir fecha")</f>
        <v>Definir fecha</v>
      </c>
      <c r="L3898" s="62"/>
      <c r="M3898" s="25"/>
      <c r="N3898" s="25"/>
      <c r="O3898" s="25">
        <f t="shared" si="0"/>
        <v>0</v>
      </c>
      <c r="P3898" s="25" t="str">
        <f t="shared" si="2"/>
        <v/>
      </c>
      <c r="Q3898" s="25"/>
      <c r="R3898" s="25"/>
      <c r="S3898" s="55"/>
      <c r="T3898" s="56"/>
      <c r="U3898" s="25"/>
      <c r="V3898" s="25"/>
      <c r="W3898" s="25"/>
      <c r="X3898" s="25"/>
      <c r="Y3898" s="25"/>
      <c r="Z3898" s="25"/>
    </row>
    <row r="3899" spans="1:26" ht="52.5" customHeight="1" x14ac:dyDescent="0.25">
      <c r="A3899" s="25" t="str">
        <f ca="1">IFERROR(__xludf.DUMMYFUNCTION("""COMPUTED_VALUE"""),"Plane297")</f>
        <v>Plane297</v>
      </c>
      <c r="B3899" s="25"/>
      <c r="C3899" s="55"/>
      <c r="D3899" s="25" t="str">
        <f ca="1">IFERROR(__xludf.DUMMYFUNCTION("""COMPUTED_VALUE"""),"Planeación")</f>
        <v>Planeación</v>
      </c>
      <c r="E3899" s="25"/>
      <c r="F3899" s="25"/>
      <c r="G3899" s="25"/>
      <c r="H3899" s="25"/>
      <c r="I3899" s="25"/>
      <c r="J3899" s="55"/>
      <c r="K3899" s="25" t="str">
        <f ca="1">IFERROR(__xludf.DUMMYFUNCTION("""COMPUTED_VALUE"""),"Definir fecha")</f>
        <v>Definir fecha</v>
      </c>
      <c r="L3899" s="62"/>
      <c r="M3899" s="25"/>
      <c r="N3899" s="25"/>
      <c r="O3899" s="25">
        <f t="shared" si="0"/>
        <v>0</v>
      </c>
      <c r="P3899" s="25" t="str">
        <f t="shared" si="2"/>
        <v/>
      </c>
      <c r="Q3899" s="25"/>
      <c r="R3899" s="25"/>
      <c r="S3899" s="55"/>
      <c r="T3899" s="56"/>
      <c r="U3899" s="25"/>
      <c r="V3899" s="25"/>
      <c r="W3899" s="25"/>
      <c r="X3899" s="25"/>
      <c r="Y3899" s="25"/>
      <c r="Z3899" s="25"/>
    </row>
    <row r="3900" spans="1:26" ht="52.5" customHeight="1" x14ac:dyDescent="0.25">
      <c r="A3900" s="25" t="str">
        <f ca="1">IFERROR(__xludf.DUMMYFUNCTION("""COMPUTED_VALUE"""),"Plane298")</f>
        <v>Plane298</v>
      </c>
      <c r="B3900" s="25"/>
      <c r="C3900" s="55"/>
      <c r="D3900" s="25" t="str">
        <f ca="1">IFERROR(__xludf.DUMMYFUNCTION("""COMPUTED_VALUE"""),"Planeación")</f>
        <v>Planeación</v>
      </c>
      <c r="E3900" s="25"/>
      <c r="F3900" s="25"/>
      <c r="G3900" s="25"/>
      <c r="H3900" s="25"/>
      <c r="I3900" s="25"/>
      <c r="J3900" s="55"/>
      <c r="K3900" s="25" t="str">
        <f ca="1">IFERROR(__xludf.DUMMYFUNCTION("""COMPUTED_VALUE"""),"Definir fecha")</f>
        <v>Definir fecha</v>
      </c>
      <c r="L3900" s="62"/>
      <c r="M3900" s="25"/>
      <c r="N3900" s="25"/>
      <c r="O3900" s="25">
        <f t="shared" si="0"/>
        <v>0</v>
      </c>
      <c r="P3900" s="25" t="str">
        <f t="shared" si="2"/>
        <v/>
      </c>
      <c r="Q3900" s="25"/>
      <c r="R3900" s="25"/>
      <c r="S3900" s="55"/>
      <c r="T3900" s="56"/>
      <c r="U3900" s="25"/>
      <c r="V3900" s="25"/>
      <c r="W3900" s="25"/>
      <c r="X3900" s="25"/>
      <c r="Y3900" s="25"/>
      <c r="Z3900" s="25"/>
    </row>
    <row r="3901" spans="1:26" ht="52.5" customHeight="1" x14ac:dyDescent="0.25">
      <c r="A3901" s="25" t="str">
        <f ca="1">IFERROR(__xludf.DUMMYFUNCTION("""COMPUTED_VALUE"""),"Plane299")</f>
        <v>Plane299</v>
      </c>
      <c r="B3901" s="25"/>
      <c r="C3901" s="55"/>
      <c r="D3901" s="25" t="str">
        <f ca="1">IFERROR(__xludf.DUMMYFUNCTION("""COMPUTED_VALUE"""),"Planeación")</f>
        <v>Planeación</v>
      </c>
      <c r="E3901" s="25"/>
      <c r="F3901" s="25"/>
      <c r="G3901" s="25"/>
      <c r="H3901" s="25"/>
      <c r="I3901" s="25"/>
      <c r="J3901" s="55"/>
      <c r="K3901" s="25" t="str">
        <f ca="1">IFERROR(__xludf.DUMMYFUNCTION("""COMPUTED_VALUE"""),"Definir fecha")</f>
        <v>Definir fecha</v>
      </c>
      <c r="L3901" s="62"/>
      <c r="M3901" s="25"/>
      <c r="N3901" s="25"/>
      <c r="O3901" s="25">
        <f t="shared" si="0"/>
        <v>0</v>
      </c>
      <c r="P3901" s="25" t="str">
        <f t="shared" si="2"/>
        <v/>
      </c>
      <c r="Q3901" s="25"/>
      <c r="R3901" s="25"/>
      <c r="S3901" s="55"/>
      <c r="T3901" s="56"/>
      <c r="U3901" s="25"/>
      <c r="V3901" s="25"/>
      <c r="W3901" s="25"/>
      <c r="X3901" s="25"/>
      <c r="Y3901" s="25"/>
      <c r="Z3901" s="25"/>
    </row>
    <row r="3902" spans="1:26" ht="52.5" customHeight="1" x14ac:dyDescent="0.25">
      <c r="A3902" s="25" t="str">
        <f ca="1">IFERROR(__xludf.DUMMYFUNCTION("""COMPUTED_VALUE"""),"Plane300")</f>
        <v>Plane300</v>
      </c>
      <c r="B3902" s="25"/>
      <c r="C3902" s="55"/>
      <c r="D3902" s="25" t="str">
        <f ca="1">IFERROR(__xludf.DUMMYFUNCTION("""COMPUTED_VALUE"""),"Planeación")</f>
        <v>Planeación</v>
      </c>
      <c r="E3902" s="25"/>
      <c r="F3902" s="25"/>
      <c r="G3902" s="25"/>
      <c r="H3902" s="25"/>
      <c r="I3902" s="25"/>
      <c r="J3902" s="55"/>
      <c r="K3902" s="25" t="str">
        <f ca="1">IFERROR(__xludf.DUMMYFUNCTION("""COMPUTED_VALUE"""),"Definir fecha")</f>
        <v>Definir fecha</v>
      </c>
      <c r="L3902" s="62"/>
      <c r="M3902" s="25"/>
      <c r="N3902" s="25"/>
      <c r="O3902" s="25">
        <f t="shared" si="0"/>
        <v>0</v>
      </c>
      <c r="P3902" s="25" t="str">
        <f t="shared" si="2"/>
        <v/>
      </c>
      <c r="Q3902" s="25"/>
      <c r="R3902" s="25"/>
      <c r="S3902" s="55"/>
      <c r="T3902" s="56"/>
      <c r="U3902" s="25"/>
      <c r="V3902" s="25"/>
      <c r="W3902" s="25"/>
      <c r="X3902" s="25"/>
      <c r="Y3902" s="25"/>
      <c r="Z3902" s="25"/>
    </row>
    <row r="3903" spans="1:26" ht="52.5" customHeight="1" x14ac:dyDescent="0.25">
      <c r="A3903" s="25" t="str">
        <f ca="1">IFERROR(__xludf.DUMMYFUNCTION("IMPORTRANGE(""https://docs.google.com/spreadsheets/d/1SUh42QDwFP8obN0GNIj4rWfstJx5kDi_GF8-hP5_7Ug/edit#gid=330735094"",""Hacienda!A2:K301"")"),"Hacie1")</f>
        <v>Hacie1</v>
      </c>
      <c r="B3903" s="25" t="str">
        <f ca="1">IFERROR(__xludf.DUMMYFUNCTION("""COMPUTED_VALUE"""),"Cierre Financiero ")</f>
        <v xml:space="preserve">Cierre Financiero </v>
      </c>
      <c r="C3903" s="55" t="str">
        <f ca="1">IFERROR(__xludf.DUMMYFUNCTION("""COMPUTED_VALUE"""),"15/04/2021")</f>
        <v>15/04/2021</v>
      </c>
      <c r="D3903" s="25" t="str">
        <f ca="1">IFERROR(__xludf.DUMMYFUNCTION("""COMPUTED_VALUE"""),"Hacienda")</f>
        <v>Hacienda</v>
      </c>
      <c r="E3903" s="25" t="str">
        <f ca="1">IFERROR(__xludf.DUMMYFUNCTION("""COMPUTED_VALUE"""),"Secretaría Distrital de Hacienda")</f>
        <v>Secretaría Distrital de Hacienda</v>
      </c>
      <c r="F3903" s="25" t="str">
        <f ca="1">IFERROR(__xludf.DUMMYFUNCTION("""COMPUTED_VALUE"""),"Una vez aprobada la reforma tributaria pedirle a Minhacienda el certificado para efectos presupuestales")</f>
        <v>Una vez aprobada la reforma tributaria pedirle a Minhacienda el certificado para efectos presupuestales</v>
      </c>
      <c r="G3903" s="25" t="str">
        <f ca="1">IFERROR(__xludf.DUMMYFUNCTION("""COMPUTED_VALUE"""),"99. Distrito")</f>
        <v>99. Distrito</v>
      </c>
      <c r="H3903" s="55">
        <f ca="1">IFERROR(__xludf.DUMMYFUNCTION("""COMPUTED_VALUE"""),44331)</f>
        <v>44331</v>
      </c>
      <c r="I3903" s="25"/>
      <c r="J3903" s="55"/>
      <c r="K3903" s="25">
        <f ca="1">IFERROR(__xludf.DUMMYFUNCTION("""COMPUTED_VALUE"""),30)</f>
        <v>30</v>
      </c>
      <c r="L3903" s="62">
        <f ca="1">IFERROR(__xludf.DUMMYFUNCTION("IMPORTRANGE(""https://docs.google.com/spreadsheets/d/1SUh42QDwFP8obN0GNIj4rWfstJx5kDi_GF8-hP5_7Ug/edit#gid=330735094"",""Hacienda!M2:O301"")"),44362)</f>
        <v>44362</v>
      </c>
      <c r="M3903" s="25" t="str">
        <f ca="1">IFERROR(__xludf.DUMMYFUNCTION("""COMPUTED_VALUE"""),"Depende  de aprobación en congreso de nueva reforma tributaria")</f>
        <v>Depende  de aprobación en congreso de nueva reforma tributaria</v>
      </c>
      <c r="N3903" s="55">
        <f ca="1">IFERROR(__xludf.DUMMYFUNCTION("""COMPUTED_VALUE"""),44362)</f>
        <v>44362</v>
      </c>
      <c r="O3903" s="25" t="str">
        <f t="shared" ca="1" si="0"/>
        <v>Secretaría Distrital de Hacienda</v>
      </c>
      <c r="P3903" s="25" t="str">
        <f t="shared" si="2"/>
        <v/>
      </c>
      <c r="Q3903" s="25" t="str">
        <f ca="1">IFERROR(__xludf.DUMMYFUNCTION("IMPORTRANGE(""https://docs.google.com/spreadsheets/d/1SUh42QDwFP8obN0GNIj4rWfstJx5kDi_GF8-hP5_7Ug/edit#gid=330735094"",""Hacienda!L2:L301"")"),"Corto plazo")</f>
        <v>Corto plazo</v>
      </c>
      <c r="R3903" s="25"/>
      <c r="S3903" s="55"/>
      <c r="T3903" s="56"/>
      <c r="U3903" s="25"/>
      <c r="V3903" s="25"/>
      <c r="W3903" s="25"/>
      <c r="X3903" s="25"/>
      <c r="Y3903" s="25"/>
      <c r="Z3903" s="25"/>
    </row>
    <row r="3904" spans="1:26" ht="52.5" customHeight="1" x14ac:dyDescent="0.25">
      <c r="A3904" s="25" t="str">
        <f ca="1">IFERROR(__xludf.DUMMYFUNCTION("""COMPUTED_VALUE"""),"Hacie2")</f>
        <v>Hacie2</v>
      </c>
      <c r="B3904" s="25" t="str">
        <f ca="1">IFERROR(__xludf.DUMMYFUNCTION("""COMPUTED_VALUE"""),"Ingreso Mínimo Garantizado ")</f>
        <v xml:space="preserve">Ingreso Mínimo Garantizado </v>
      </c>
      <c r="C3904" s="55" t="str">
        <f ca="1">IFERROR(__xludf.DUMMYFUNCTION("""COMPUTED_VALUE"""),"09/03/2021")</f>
        <v>09/03/2021</v>
      </c>
      <c r="D3904" s="25" t="str">
        <f ca="1">IFERROR(__xludf.DUMMYFUNCTION("""COMPUTED_VALUE"""),"Hacienda")</f>
        <v>Hacienda</v>
      </c>
      <c r="E3904" s="25" t="str">
        <f ca="1">IFERROR(__xludf.DUMMYFUNCTION("""COMPUTED_VALUE"""),"Secretaría Distrital de Hacienda")</f>
        <v>Secretaría Distrital de Hacienda</v>
      </c>
      <c r="F3904" s="25" t="str">
        <f ca="1">IFERROR(__xludf.DUMMYFUNCTION("""COMPUTED_VALUE"""),"Actualizar los datos de composición familiar (miembros) de beneficiarios. Hacer que actualización de datos sea requisito para seguir en IMG.
")</f>
        <v xml:space="preserve">Actualizar los datos de composición familiar (miembros) de beneficiarios. Hacer que actualización de datos sea requisito para seguir en IMG.
</v>
      </c>
      <c r="G3904" s="25" t="str">
        <f ca="1">IFERROR(__xludf.DUMMYFUNCTION("""COMPUTED_VALUE"""),"99. Distrito")</f>
        <v>99. Distrito</v>
      </c>
      <c r="H3904" s="55">
        <f ca="1">IFERROR(__xludf.DUMMYFUNCTION("""COMPUTED_VALUE"""),44539)</f>
        <v>44539</v>
      </c>
      <c r="I3904" s="25"/>
      <c r="J3904" s="55"/>
      <c r="K3904" s="25">
        <f ca="1">IFERROR(__xludf.DUMMYFUNCTION("""COMPUTED_VALUE"""),275)</f>
        <v>275</v>
      </c>
      <c r="L3904" s="62">
        <f ca="1">IFERROR(__xludf.DUMMYFUNCTION("""COMPUTED_VALUE"""),44425)</f>
        <v>44425</v>
      </c>
      <c r="M3904" s="25" t="str">
        <f ca="1">IFERROR(__xludf.DUMMYFUNCTION("""COMPUTED_VALUE"""),"La base maestra se ha venido actualizando por parte de la SDP con información de Sisben IV. Esto, asimismo, ha tenido impacto en el número de beneficiarios y montos de los pagos de IMG. El detalle del seguimiento corresponde a la SDP.")</f>
        <v>La base maestra se ha venido actualizando por parte de la SDP con información de Sisben IV. Esto, asimismo, ha tenido impacto en el número de beneficiarios y montos de los pagos de IMG. El detalle del seguimiento corresponde a la SDP.</v>
      </c>
      <c r="N3904" s="55">
        <f ca="1">IFERROR(__xludf.DUMMYFUNCTION("""COMPUTED_VALUE"""),44425)</f>
        <v>44425</v>
      </c>
      <c r="O3904" s="25" t="str">
        <f t="shared" ca="1" si="0"/>
        <v>Secretaría Distrital de Hacienda</v>
      </c>
      <c r="P3904" s="25" t="str">
        <f t="shared" si="2"/>
        <v/>
      </c>
      <c r="Q3904" s="25" t="str">
        <f ca="1">IFERROR(__xludf.DUMMYFUNCTION("""COMPUTED_VALUE"""),"Largo plazo")</f>
        <v>Largo plazo</v>
      </c>
      <c r="R3904" s="25"/>
      <c r="S3904" s="55"/>
      <c r="T3904" s="56"/>
      <c r="U3904" s="25"/>
      <c r="V3904" s="25"/>
      <c r="W3904" s="25"/>
      <c r="X3904" s="25"/>
      <c r="Y3904" s="25"/>
      <c r="Z3904" s="25"/>
    </row>
    <row r="3905" spans="1:26" ht="52.5" customHeight="1" x14ac:dyDescent="0.25">
      <c r="A3905" s="25" t="str">
        <f ca="1">IFERROR(__xludf.DUMMYFUNCTION("""COMPUTED_VALUE"""),"Hacie3")</f>
        <v>Hacie3</v>
      </c>
      <c r="B3905" s="25" t="str">
        <f ca="1">IFERROR(__xludf.DUMMYFUNCTION("""COMPUTED_VALUE"""),"CONFIS ORDINARIO")</f>
        <v>CONFIS ORDINARIO</v>
      </c>
      <c r="C3905" s="55">
        <f ca="1">IFERROR(__xludf.DUMMYFUNCTION("""COMPUTED_VALUE"""),44620)</f>
        <v>44620</v>
      </c>
      <c r="D3905" s="25" t="str">
        <f ca="1">IFERROR(__xludf.DUMMYFUNCTION("""COMPUTED_VALUE"""),"Hacienda")</f>
        <v>Hacienda</v>
      </c>
      <c r="E3905" s="25" t="str">
        <f ca="1">IFERROR(__xludf.DUMMYFUNCTION("""COMPUTED_VALUE"""),"Secretaría Distrital de Hacienda")</f>
        <v>Secretaría Distrital de Hacienda</v>
      </c>
      <c r="F3905" s="25" t="str">
        <f ca="1">IFERROR(__xludf.DUMMYFUNCTION("""COMPUTED_VALUE"""),"Modificar reglamento de vigencias futuras en lo concerniente a contratos en desarrollo. Tarea se debe desarrollar en conjunto con SDP.")</f>
        <v>Modificar reglamento de vigencias futuras en lo concerniente a contratos en desarrollo. Tarea se debe desarrollar en conjunto con SDP.</v>
      </c>
      <c r="G3905" s="25" t="str">
        <f ca="1">IFERROR(__xludf.DUMMYFUNCTION("""COMPUTED_VALUE"""),"99. Distrito")</f>
        <v>99. Distrito</v>
      </c>
      <c r="H3905" s="55">
        <f ca="1">IFERROR(__xludf.DUMMYFUNCTION("""COMPUTED_VALUE"""),44681)</f>
        <v>44681</v>
      </c>
      <c r="I3905" s="25"/>
      <c r="J3905" s="55"/>
      <c r="K3905" s="25">
        <f ca="1">IFERROR(__xludf.DUMMYFUNCTION("""COMPUTED_VALUE"""),61)</f>
        <v>61</v>
      </c>
      <c r="L3905" s="62">
        <f ca="1">IFERROR(__xludf.DUMMYFUNCTION("""COMPUTED_VALUE"""),44624)</f>
        <v>44624</v>
      </c>
      <c r="M3905" s="25" t="str">
        <f ca="1">IFERROR(__xludf.DUMMYFUNCTION("""COMPUTED_VALUE"""),"En lo concerniente a la modificación al Decreto 192 reglamentando las VF para contratos ya vigentes, esta se encuentra en avance con la Dirección Jurídica de SHD y el 4 de marzo se ha recibido una propuesta de SDP que se encuentra en revisión y a la que s"&amp;"e dará respuesta esta semana. La modificación a través de decreto ya se ha realizado por parte de la Secretaría de Hacienda y la Secretaría de Planeación. La semana de 21 de marzo de terminó su publicación para comentarios, y en este momento se encuentra "&amp;"pendiente su envío a la Secretaría Jurídica Distrital.")</f>
        <v>En lo concerniente a la modificación al Decreto 192 reglamentando las VF para contratos ya vigentes, esta se encuentra en avance con la Dirección Jurídica de SHD y el 4 de marzo se ha recibido una propuesta de SDP que se encuentra en revisión y a la que se dará respuesta esta semana. La modificación a través de decreto ya se ha realizado por parte de la Secretaría de Hacienda y la Secretaría de Planeación. La semana de 21 de marzo de terminó su publicación para comentarios, y en este momento se encuentra pendiente su envío a la Secretaría Jurídica Distrital.</v>
      </c>
      <c r="N3905" s="55">
        <f ca="1">IFERROR(__xludf.DUMMYFUNCTION("""COMPUTED_VALUE"""),44624)</f>
        <v>44624</v>
      </c>
      <c r="O3905" s="25" t="str">
        <f t="shared" ca="1" si="0"/>
        <v>Secretaría Distrital de Hacienda</v>
      </c>
      <c r="P3905" s="25" t="str">
        <f t="shared" si="2"/>
        <v/>
      </c>
      <c r="Q3905" s="69" t="str">
        <f ca="1">IFERROR(__xludf.DUMMYFUNCTION("""COMPUTED_VALUE"""),"Mediano plazo")</f>
        <v>Mediano plazo</v>
      </c>
      <c r="R3905" s="25"/>
      <c r="S3905" s="55"/>
      <c r="T3905" s="56"/>
      <c r="U3905" s="25"/>
      <c r="V3905" s="25"/>
      <c r="W3905" s="25"/>
      <c r="X3905" s="25"/>
      <c r="Y3905" s="25"/>
      <c r="Z3905" s="25"/>
    </row>
    <row r="3906" spans="1:26" ht="52.5" customHeight="1" x14ac:dyDescent="0.25">
      <c r="A3906" s="25" t="str">
        <f ca="1">IFERROR(__xludf.DUMMYFUNCTION("""COMPUTED_VALUE"""),"Hacie4")</f>
        <v>Hacie4</v>
      </c>
      <c r="B3906" s="25" t="str">
        <f ca="1">IFERROR(__xludf.DUMMYFUNCTION("""COMPUTED_VALUE"""),"CONFIS ORDINARIO")</f>
        <v>CONFIS ORDINARIO</v>
      </c>
      <c r="C3906" s="55">
        <f ca="1">IFERROR(__xludf.DUMMYFUNCTION("""COMPUTED_VALUE"""),44620)</f>
        <v>44620</v>
      </c>
      <c r="D3906" s="25" t="str">
        <f ca="1">IFERROR(__xludf.DUMMYFUNCTION("""COMPUTED_VALUE"""),"Hacienda")</f>
        <v>Hacienda</v>
      </c>
      <c r="E3906" s="25" t="str">
        <f ca="1">IFERROR(__xludf.DUMMYFUNCTION("""COMPUTED_VALUE"""),"Secretaría Distrital de Hacienda")</f>
        <v>Secretaría Distrital de Hacienda</v>
      </c>
      <c r="F3906" s="25" t="str">
        <f ca="1">IFERROR(__xludf.DUMMYFUNCTION("""COMPUTED_VALUE"""),"Revisar si los recursos que mencionó el IDU para la primera línea del metro y de la vía María Paz – Corabastos son necesarios para 2023 y así mismo revisar posible cambio de anualidades en vigencias futuras relacionadas.")</f>
        <v>Revisar si los recursos que mencionó el IDU para la primera línea del metro y de la vía María Paz – Corabastos son necesarios para 2023 y así mismo revisar posible cambio de anualidades en vigencias futuras relacionadas.</v>
      </c>
      <c r="G3906" s="25" t="str">
        <f ca="1">IFERROR(__xludf.DUMMYFUNCTION("""COMPUTED_VALUE"""),"99. Distrito")</f>
        <v>99. Distrito</v>
      </c>
      <c r="H3906" s="55">
        <f ca="1">IFERROR(__xludf.DUMMYFUNCTION("""COMPUTED_VALUE"""),44681)</f>
        <v>44681</v>
      </c>
      <c r="I3906" s="25"/>
      <c r="J3906" s="55"/>
      <c r="K3906" s="25">
        <f ca="1">IFERROR(__xludf.DUMMYFUNCTION("""COMPUTED_VALUE"""),61)</f>
        <v>61</v>
      </c>
      <c r="L3906" s="62">
        <f ca="1">IFERROR(__xludf.DUMMYFUNCTION("""COMPUTED_VALUE"""),44624)</f>
        <v>44624</v>
      </c>
      <c r="M3906" s="25" t="str">
        <f ca="1">IFERROR(__xludf.DUMMYFUNCTION("""COMPUTED_VALUE"""),"Frente a la necesidad de verificar si todo el recurso que el IDU dijo que necesitaba para las siguientes vigencias y si es posible mover parte para otras vigencias (esto incluye revisión y posible cambio en anualidades), se desarrollan una serie de reunio"&amp;"nes conjuntas en la presente semana con el objetivo de presentar las modificaciones solicitadas entre esta y la próxima semana.")</f>
        <v>Frente a la necesidad de verificar si todo el recurso que el IDU dijo que necesitaba para las siguientes vigencias y si es posible mover parte para otras vigencias (esto incluye revisión y posible cambio en anualidades), se desarrollan una serie de reuniones conjuntas en la presente semana con el objetivo de presentar las modificaciones solicitadas entre esta y la próxima semana.</v>
      </c>
      <c r="N3906" s="55">
        <f ca="1">IFERROR(__xludf.DUMMYFUNCTION("""COMPUTED_VALUE"""),44624)</f>
        <v>44624</v>
      </c>
      <c r="O3906" s="25" t="str">
        <f t="shared" ca="1" si="0"/>
        <v>Secretaría Distrital de Hacienda</v>
      </c>
      <c r="P3906" s="25" t="str">
        <f t="shared" si="2"/>
        <v/>
      </c>
      <c r="Q3906" s="25" t="str">
        <f ca="1">IFERROR(__xludf.DUMMYFUNCTION("""COMPUTED_VALUE"""),"Mediano plazo")</f>
        <v>Mediano plazo</v>
      </c>
      <c r="R3906" s="25"/>
      <c r="S3906" s="55"/>
      <c r="T3906" s="56"/>
      <c r="U3906" s="25"/>
      <c r="V3906" s="25"/>
      <c r="W3906" s="25"/>
      <c r="X3906" s="25"/>
      <c r="Y3906" s="25"/>
      <c r="Z3906" s="25"/>
    </row>
    <row r="3907" spans="1:26" ht="52.5" customHeight="1" x14ac:dyDescent="0.25">
      <c r="A3907" s="25" t="str">
        <f ca="1">IFERROR(__xludf.DUMMYFUNCTION("""COMPUTED_VALUE"""),"Hacie5")</f>
        <v>Hacie5</v>
      </c>
      <c r="B3907" s="25"/>
      <c r="C3907" s="55"/>
      <c r="D3907" s="25" t="str">
        <f ca="1">IFERROR(__xludf.DUMMYFUNCTION("""COMPUTED_VALUE"""),"Hacienda")</f>
        <v>Hacienda</v>
      </c>
      <c r="E3907" s="25"/>
      <c r="F3907" s="25" t="str">
        <f ca="1">IFERROR(__xludf.DUMMYFUNCTION("""COMPUTED_VALUE"""),"Eliminada")</f>
        <v>Eliminada</v>
      </c>
      <c r="G3907" s="25"/>
      <c r="H3907" s="25"/>
      <c r="I3907" s="25"/>
      <c r="J3907" s="55"/>
      <c r="K3907" s="25" t="str">
        <f ca="1">IFERROR(__xludf.DUMMYFUNCTION("""COMPUTED_VALUE"""),"Definir fecha")</f>
        <v>Definir fecha</v>
      </c>
      <c r="L3907" s="62"/>
      <c r="M3907" s="25"/>
      <c r="N3907" s="25"/>
      <c r="O3907" s="25">
        <f t="shared" si="0"/>
        <v>0</v>
      </c>
      <c r="P3907" s="25" t="str">
        <f t="shared" si="2"/>
        <v/>
      </c>
      <c r="Q3907" s="25" t="str">
        <f ca="1">IFERROR(__xludf.DUMMYFUNCTION("""COMPUTED_VALUE"""),"Sin defenir")</f>
        <v>Sin defenir</v>
      </c>
      <c r="R3907" s="25"/>
      <c r="S3907" s="55"/>
      <c r="T3907" s="56"/>
      <c r="U3907" s="25"/>
      <c r="V3907" s="25"/>
      <c r="W3907" s="25"/>
      <c r="X3907" s="25"/>
      <c r="Y3907" s="25"/>
      <c r="Z3907" s="25"/>
    </row>
    <row r="3908" spans="1:26" ht="52.5" customHeight="1" x14ac:dyDescent="0.25">
      <c r="A3908" s="25" t="str">
        <f ca="1">IFERROR(__xludf.DUMMYFUNCTION("""COMPUTED_VALUE"""),"Hacie6")</f>
        <v>Hacie6</v>
      </c>
      <c r="B3908" s="25" t="str">
        <f ca="1">IFERROR(__xludf.DUMMYFUNCTION("""COMPUTED_VALUE"""),"CONFIS")</f>
        <v>CONFIS</v>
      </c>
      <c r="C3908" s="55">
        <f ca="1">IFERROR(__xludf.DUMMYFUNCTION("""COMPUTED_VALUE"""),44586)</f>
        <v>44586</v>
      </c>
      <c r="D3908" s="25" t="str">
        <f ca="1">IFERROR(__xludf.DUMMYFUNCTION("""COMPUTED_VALUE"""),"Hacienda")</f>
        <v>Hacienda</v>
      </c>
      <c r="E3908" s="25" t="str">
        <f ca="1">IFERROR(__xludf.DUMMYFUNCTION("""COMPUTED_VALUE"""),"Secretaría Distrital de Hacienda")</f>
        <v>Secretaría Distrital de Hacienda</v>
      </c>
      <c r="F3908" s="25" t="str">
        <f ca="1">IFERROR(__xludf.DUMMYFUNCTION("""COMPUTED_VALUE"""),"Reprogramar junto con las entidades el PAC (Programa Anual Mensualizado de Caja 2022 de la Administración Central y los Establecimientos Público) para disminuir las partidas programadas para diciembre y en el componente de rezago.")</f>
        <v>Reprogramar junto con las entidades el PAC (Programa Anual Mensualizado de Caja 2022 de la Administración Central y los Establecimientos Público) para disminuir las partidas programadas para diciembre y en el componente de rezago.</v>
      </c>
      <c r="G3908" s="25" t="str">
        <f ca="1">IFERROR(__xludf.DUMMYFUNCTION("""COMPUTED_VALUE"""),"99. Distrito")</f>
        <v>99. Distrito</v>
      </c>
      <c r="H3908" s="55">
        <f ca="1">IFERROR(__xludf.DUMMYFUNCTION("""COMPUTED_VALUE"""),44681)</f>
        <v>44681</v>
      </c>
      <c r="I3908" s="25"/>
      <c r="J3908" s="55"/>
      <c r="K3908" s="25">
        <f ca="1">IFERROR(__xludf.DUMMYFUNCTION("""COMPUTED_VALUE"""),95)</f>
        <v>95</v>
      </c>
      <c r="L3908" s="62">
        <f ca="1">IFERROR(__xludf.DUMMYFUNCTION("""COMPUTED_VALUE"""),44624)</f>
        <v>44624</v>
      </c>
      <c r="M3908" s="25" t="str">
        <f ca="1">IFERROR(__xludf.DUMMYFUNCTION("""COMPUTED_VALUE"""),"Se envió Circular a las entidades y ya están en curso mesas de trabajo para lo correspondiente.  Las entidades, en su mayoría, han podido realizar el ejercicio de reprogramación de compromisos. Se encuentra pendiente por finiquitar la reprogramación de gi"&amp;"ros, ejercicio que se cerrará la última semana de marzo con el objetivo de reportar resultados el 31 de marzo.")</f>
        <v>Se envió Circular a las entidades y ya están en curso mesas de trabajo para lo correspondiente.  Las entidades, en su mayoría, han podido realizar el ejercicio de reprogramación de compromisos. Se encuentra pendiente por finiquitar la reprogramación de giros, ejercicio que se cerrará la última semana de marzo con el objetivo de reportar resultados el 31 de marzo.</v>
      </c>
      <c r="N3908" s="55">
        <f ca="1">IFERROR(__xludf.DUMMYFUNCTION("""COMPUTED_VALUE"""),44624)</f>
        <v>44624</v>
      </c>
      <c r="O3908" s="25" t="str">
        <f t="shared" ca="1" si="0"/>
        <v>Secretaría Distrital de Hacienda</v>
      </c>
      <c r="P3908" s="25" t="str">
        <f t="shared" si="2"/>
        <v/>
      </c>
      <c r="Q3908" s="25" t="str">
        <f ca="1">IFERROR(__xludf.DUMMYFUNCTION("""COMPUTED_VALUE"""),"Mediano plazo")</f>
        <v>Mediano plazo</v>
      </c>
      <c r="R3908" s="25"/>
      <c r="S3908" s="55"/>
      <c r="T3908" s="56"/>
      <c r="U3908" s="25"/>
      <c r="V3908" s="25"/>
      <c r="W3908" s="25"/>
      <c r="X3908" s="25"/>
      <c r="Y3908" s="25"/>
      <c r="Z3908" s="25"/>
    </row>
    <row r="3909" spans="1:26" ht="52.5" customHeight="1" x14ac:dyDescent="0.25">
      <c r="A3909" s="25" t="str">
        <f ca="1">IFERROR(__xludf.DUMMYFUNCTION("""COMPUTED_VALUE"""),"Hacie7")</f>
        <v>Hacie7</v>
      </c>
      <c r="B3909" s="25" t="str">
        <f ca="1">IFERROR(__xludf.DUMMYFUNCTION("""COMPUTED_VALUE"""),"Junta de infraestructura - Presupuesto")</f>
        <v>Junta de infraestructura - Presupuesto</v>
      </c>
      <c r="C3909" s="55">
        <f ca="1">IFERROR(__xludf.DUMMYFUNCTION("""COMPUTED_VALUE"""),44533)</f>
        <v>44533</v>
      </c>
      <c r="D3909" s="25" t="str">
        <f ca="1">IFERROR(__xludf.DUMMYFUNCTION("""COMPUTED_VALUE"""),"Hacienda")</f>
        <v>Hacienda</v>
      </c>
      <c r="E3909" s="25" t="str">
        <f ca="1">IFERROR(__xludf.DUMMYFUNCTION("""COMPUTED_VALUE"""),"Secretaría Distrital de Hacienda")</f>
        <v>Secretaría Distrital de Hacienda</v>
      </c>
      <c r="F3909" s="25" t="str">
        <f ca="1">IFERROR(__xludf.DUMMYFUNCTION("""COMPUTED_VALUE"""),"Armar un Excel definiendo presupuesto, fuentes, sendas/vigencias futuras que apalanquen proyectos estratégicos (Cables, SLMB, Extensión PLMB, Troncal Cali hasta la 80, Troncal Calle 13, Intercambiador vial Calle 80, entre otros). Este deberá permitir simu"&amp;"lar y ajustar escenarios conforme avancen las discusiones con la Nación entre otros. Servirá de base para el seguimiento mensual. Fecha de entrega máxima: diciembre 20 de 2021.")</f>
        <v>Armar un Excel definiendo presupuesto, fuentes, sendas/vigencias futuras que apalanquen proyectos estratégicos (Cables, SLMB, Extensión PLMB, Troncal Cali hasta la 80, Troncal Calle 13, Intercambiador vial Calle 80, entre otros). Este deberá permitir simular y ajustar escenarios conforme avancen las discusiones con la Nación entre otros. Servirá de base para el seguimiento mensual. Fecha de entrega máxima: diciembre 20 de 2021.</v>
      </c>
      <c r="G3909" s="25" t="str">
        <f ca="1">IFERROR(__xludf.DUMMYFUNCTION("""COMPUTED_VALUE"""),"99. Distrito")</f>
        <v>99. Distrito</v>
      </c>
      <c r="H3909" s="55">
        <f ca="1">IFERROR(__xludf.DUMMYFUNCTION("""COMPUTED_VALUE"""),44592)</f>
        <v>44592</v>
      </c>
      <c r="I3909" s="25"/>
      <c r="J3909" s="55"/>
      <c r="K3909" s="25">
        <f ca="1">IFERROR(__xludf.DUMMYFUNCTION("""COMPUTED_VALUE"""),59)</f>
        <v>59</v>
      </c>
      <c r="L3909" s="62">
        <f ca="1">IFERROR(__xludf.DUMMYFUNCTION("""COMPUTED_VALUE"""),44624)</f>
        <v>44624</v>
      </c>
      <c r="M3909" s="25" t="str">
        <f ca="1">IFERROR(__xludf.DUMMYFUNCTION("""COMPUTED_VALUE"""),"La presentación y excel se elaboraron desde Hacienda y se presentó a la alcaldesa el pasado 31 de enero")</f>
        <v>La presentación y excel se elaboraron desde Hacienda y se presentó a la alcaldesa el pasado 31 de enero</v>
      </c>
      <c r="N3909" s="55">
        <f ca="1">IFERROR(__xludf.DUMMYFUNCTION("""COMPUTED_VALUE"""),44624)</f>
        <v>44624</v>
      </c>
      <c r="O3909" s="25" t="str">
        <f t="shared" ca="1" si="0"/>
        <v>Secretaría Distrital de Hacienda</v>
      </c>
      <c r="P3909" s="25" t="str">
        <f t="shared" si="2"/>
        <v/>
      </c>
      <c r="Q3909" s="25" t="str">
        <f ca="1">IFERROR(__xludf.DUMMYFUNCTION("""COMPUTED_VALUE"""),"Corto plazo")</f>
        <v>Corto plazo</v>
      </c>
      <c r="R3909" s="25"/>
      <c r="S3909" s="55"/>
      <c r="T3909" s="56"/>
      <c r="U3909" s="25"/>
      <c r="V3909" s="25"/>
      <c r="W3909" s="25"/>
      <c r="X3909" s="25"/>
      <c r="Y3909" s="25"/>
      <c r="Z3909" s="25"/>
    </row>
    <row r="3910" spans="1:26" ht="52.5" customHeight="1" x14ac:dyDescent="0.25">
      <c r="A3910" s="25" t="str">
        <f ca="1">IFERROR(__xludf.DUMMYFUNCTION("""COMPUTED_VALUE"""),"Hacie8")</f>
        <v>Hacie8</v>
      </c>
      <c r="B3910" s="25" t="str">
        <f ca="1">IFERROR(__xludf.DUMMYFUNCTION("""COMPUTED_VALUE"""),"Junta de infraestructura - Presupuesto")</f>
        <v>Junta de infraestructura - Presupuesto</v>
      </c>
      <c r="C3910" s="55">
        <f ca="1">IFERROR(__xludf.DUMMYFUNCTION("""COMPUTED_VALUE"""),44533)</f>
        <v>44533</v>
      </c>
      <c r="D3910" s="25" t="str">
        <f ca="1">IFERROR(__xludf.DUMMYFUNCTION("""COMPUTED_VALUE"""),"Hacienda")</f>
        <v>Hacienda</v>
      </c>
      <c r="E3910" s="25" t="str">
        <f ca="1">IFERROR(__xludf.DUMMYFUNCTION("""COMPUTED_VALUE"""),"Secretaría Distrital de Hacienda")</f>
        <v>Secretaría Distrital de Hacienda</v>
      </c>
      <c r="F3910" s="25" t="str">
        <f ca="1">IFERROR(__xludf.DUMMYFUNCTION("""COMPUTED_VALUE"""),"Revisar para la próxima reunión, en detalle junto con SDP, la posibilidad de adelantar operaciones de crédito público con cargo a la asignación de inversión regional dado el artículo incluido en la Ley de presupuesto - 2159 de 2021-.")</f>
        <v>Revisar para la próxima reunión, en detalle junto con SDP, la posibilidad de adelantar operaciones de crédito público con cargo a la asignación de inversión regional dado el artículo incluido en la Ley de presupuesto - 2159 de 2021-.</v>
      </c>
      <c r="G3910" s="25" t="str">
        <f ca="1">IFERROR(__xludf.DUMMYFUNCTION("""COMPUTED_VALUE"""),"99. Distrito")</f>
        <v>99. Distrito</v>
      </c>
      <c r="H3910" s="55">
        <f ca="1">IFERROR(__xludf.DUMMYFUNCTION("""COMPUTED_VALUE"""),44592)</f>
        <v>44592</v>
      </c>
      <c r="I3910" s="25"/>
      <c r="J3910" s="55"/>
      <c r="K3910" s="25">
        <f ca="1">IFERROR(__xludf.DUMMYFUNCTION("""COMPUTED_VALUE"""),59)</f>
        <v>59</v>
      </c>
      <c r="L3910" s="62">
        <f ca="1">IFERROR(__xludf.DUMMYFUNCTION("""COMPUTED_VALUE"""),44624)</f>
        <v>44624</v>
      </c>
      <c r="M3910" s="25" t="str">
        <f ca="1">IFERROR(__xludf.DUMMYFUNCTION("""COMPUTED_VALUE"""),"Esta posibilidad se exploró con SDP, SDP construyó ppt y se presentó a la alcaldesa el pasado 31 de enero")</f>
        <v>Esta posibilidad se exploró con SDP, SDP construyó ppt y se presentó a la alcaldesa el pasado 31 de enero</v>
      </c>
      <c r="N3910" s="55">
        <f ca="1">IFERROR(__xludf.DUMMYFUNCTION("""COMPUTED_VALUE"""),44624)</f>
        <v>44624</v>
      </c>
      <c r="O3910" s="25" t="str">
        <f t="shared" ca="1" si="0"/>
        <v>Secretaría Distrital de Hacienda</v>
      </c>
      <c r="P3910" s="25" t="str">
        <f t="shared" si="2"/>
        <v/>
      </c>
      <c r="Q3910" s="25" t="str">
        <f ca="1">IFERROR(__xludf.DUMMYFUNCTION("""COMPUTED_VALUE"""),"Corto plazo")</f>
        <v>Corto plazo</v>
      </c>
      <c r="R3910" s="25"/>
      <c r="S3910" s="55"/>
      <c r="T3910" s="56"/>
      <c r="U3910" s="25"/>
      <c r="V3910" s="25"/>
      <c r="W3910" s="25"/>
      <c r="X3910" s="25"/>
      <c r="Y3910" s="25"/>
      <c r="Z3910" s="25"/>
    </row>
    <row r="3911" spans="1:26" ht="52.5" customHeight="1" x14ac:dyDescent="0.25">
      <c r="A3911" s="25" t="str">
        <f ca="1">IFERROR(__xludf.DUMMYFUNCTION("""COMPUTED_VALUE"""),"Hacie9")</f>
        <v>Hacie9</v>
      </c>
      <c r="B3911" s="25" t="str">
        <f ca="1">IFERROR(__xludf.DUMMYFUNCTION("""COMPUTED_VALUE"""),"Junta de infraestructura - Presupuesto")</f>
        <v>Junta de infraestructura - Presupuesto</v>
      </c>
      <c r="C3911" s="55">
        <f ca="1">IFERROR(__xludf.DUMMYFUNCTION("""COMPUTED_VALUE"""),44533)</f>
        <v>44533</v>
      </c>
      <c r="D3911" s="25" t="str">
        <f ca="1">IFERROR(__xludf.DUMMYFUNCTION("""COMPUTED_VALUE"""),"Hacienda")</f>
        <v>Hacienda</v>
      </c>
      <c r="E3911" s="25" t="str">
        <f ca="1">IFERROR(__xludf.DUMMYFUNCTION("""COMPUTED_VALUE"""),"Secretaría Distrital de Hacienda")</f>
        <v>Secretaría Distrital de Hacienda</v>
      </c>
      <c r="F3911" s="25" t="str">
        <f ca="1">IFERROR(__xludf.DUMMYFUNCTION("""COMPUTED_VALUE"""),"Presentar escenario de cómo las empresas nos pueden ayudar a apalancar proyectos a través de la liberación de sus reservas. Fecha máxima de entrega: diciembre 20 de 2021")</f>
        <v>Presentar escenario de cómo las empresas nos pueden ayudar a apalancar proyectos a través de la liberación de sus reservas. Fecha máxima de entrega: diciembre 20 de 2021</v>
      </c>
      <c r="G3911" s="25" t="str">
        <f ca="1">IFERROR(__xludf.DUMMYFUNCTION("""COMPUTED_VALUE"""),"99. Distrito")</f>
        <v>99. Distrito</v>
      </c>
      <c r="H3911" s="55">
        <f ca="1">IFERROR(__xludf.DUMMYFUNCTION("""COMPUTED_VALUE"""),44592)</f>
        <v>44592</v>
      </c>
      <c r="I3911" s="25"/>
      <c r="J3911" s="55"/>
      <c r="K3911" s="25">
        <f ca="1">IFERROR(__xludf.DUMMYFUNCTION("""COMPUTED_VALUE"""),59)</f>
        <v>59</v>
      </c>
      <c r="L3911" s="62">
        <f ca="1">IFERROR(__xludf.DUMMYFUNCTION("""COMPUTED_VALUE"""),44624)</f>
        <v>44624</v>
      </c>
      <c r="M3911" s="25" t="str">
        <f ca="1">IFERROR(__xludf.DUMMYFUNCTION("""COMPUTED_VALUE"""),"La presentación que resume esta posibilidad se presentó a la alcaldesa el pasado 31 de enero")</f>
        <v>La presentación que resume esta posibilidad se presentó a la alcaldesa el pasado 31 de enero</v>
      </c>
      <c r="N3911" s="55">
        <f ca="1">IFERROR(__xludf.DUMMYFUNCTION("""COMPUTED_VALUE"""),44624)</f>
        <v>44624</v>
      </c>
      <c r="O3911" s="25" t="str">
        <f t="shared" ca="1" si="0"/>
        <v>Secretaría Distrital de Hacienda</v>
      </c>
      <c r="P3911" s="25" t="str">
        <f t="shared" si="2"/>
        <v/>
      </c>
      <c r="Q3911" s="25" t="str">
        <f ca="1">IFERROR(__xludf.DUMMYFUNCTION("""COMPUTED_VALUE"""),"Corto plazo")</f>
        <v>Corto plazo</v>
      </c>
      <c r="R3911" s="25"/>
      <c r="S3911" s="55"/>
      <c r="T3911" s="56"/>
      <c r="U3911" s="25"/>
      <c r="V3911" s="25"/>
      <c r="W3911" s="25"/>
      <c r="X3911" s="25"/>
      <c r="Y3911" s="25"/>
      <c r="Z3911" s="25"/>
    </row>
    <row r="3912" spans="1:26" ht="52.5" customHeight="1" x14ac:dyDescent="0.25">
      <c r="A3912" s="25" t="str">
        <f ca="1">IFERROR(__xludf.DUMMYFUNCTION("""COMPUTED_VALUE"""),"Hacie10")</f>
        <v>Hacie10</v>
      </c>
      <c r="B3912" s="25" t="str">
        <f ca="1">IFERROR(__xludf.DUMMYFUNCTION("""COMPUTED_VALUE"""),"CONFIS")</f>
        <v>CONFIS</v>
      </c>
      <c r="C3912" s="55">
        <f ca="1">IFERROR(__xludf.DUMMYFUNCTION("""COMPUTED_VALUE"""),44473)</f>
        <v>44473</v>
      </c>
      <c r="D3912" s="25" t="str">
        <f ca="1">IFERROR(__xludf.DUMMYFUNCTION("""COMPUTED_VALUE"""),"Hacienda")</f>
        <v>Hacienda</v>
      </c>
      <c r="E3912" s="25" t="str">
        <f ca="1">IFERROR(__xludf.DUMMYFUNCTION("""COMPUTED_VALUE"""),"Secretaría Distrital de Hacienda")</f>
        <v>Secretaría Distrital de Hacienda</v>
      </c>
      <c r="F3912" s="25" t="str">
        <f ca="1">IFERROR(__xludf.DUMMYFUNCTION("""COMPUTED_VALUE"""),"En el confis se deben incorporar la fuente de enajenación de activos y asignar esa fuente a proyectos de infraestructura grande: segunda línea del metro, calle 13 y cable San Cristóbal. De igual forma se debe re asignar o liberar cupo para estos proyectos"&amp;" principalmente para educación. ")</f>
        <v xml:space="preserve">En el confis se deben incorporar la fuente de enajenación de activos y asignar esa fuente a proyectos de infraestructura grande: segunda línea del metro, calle 13 y cable San Cristóbal. De igual forma se debe re asignar o liberar cupo para estos proyectos principalmente para educación. </v>
      </c>
      <c r="G3912" s="25" t="str">
        <f ca="1">IFERROR(__xludf.DUMMYFUNCTION("""COMPUTED_VALUE"""),"99. Distrito")</f>
        <v>99. Distrito</v>
      </c>
      <c r="H3912" s="55">
        <f ca="1">IFERROR(__xludf.DUMMYFUNCTION("""COMPUTED_VALUE"""),44503)</f>
        <v>44503</v>
      </c>
      <c r="I3912" s="25"/>
      <c r="J3912" s="55"/>
      <c r="K3912" s="25">
        <f ca="1">IFERROR(__xludf.DUMMYFUNCTION("""COMPUTED_VALUE"""),30)</f>
        <v>30</v>
      </c>
      <c r="L3912" s="62">
        <f ca="1">IFERROR(__xludf.DUMMYFUNCTION("""COMPUTED_VALUE"""),44539)</f>
        <v>44539</v>
      </c>
      <c r="M3912" s="25" t="str">
        <f ca="1">IFERROR(__xludf.DUMMYFUNCTION("""COMPUTED_VALUE"""),"La fuente de enajenación de activos está para 2 línea de Metro. Calle 13 tiene como fuente Contraprestación Aeroportuaria")</f>
        <v>La fuente de enajenación de activos está para 2 línea de Metro. Calle 13 tiene como fuente Contraprestación Aeroportuaria</v>
      </c>
      <c r="N3912" s="55">
        <f ca="1">IFERROR(__xludf.DUMMYFUNCTION("""COMPUTED_VALUE"""),44539)</f>
        <v>44539</v>
      </c>
      <c r="O3912" s="25" t="str">
        <f t="shared" ca="1" si="0"/>
        <v>Secretaría Distrital de Hacienda</v>
      </c>
      <c r="P3912" s="25" t="str">
        <f t="shared" si="2"/>
        <v/>
      </c>
      <c r="Q3912" s="25" t="str">
        <f ca="1">IFERROR(__xludf.DUMMYFUNCTION("""COMPUTED_VALUE"""),"Corto plazo")</f>
        <v>Corto plazo</v>
      </c>
      <c r="R3912" s="25"/>
      <c r="S3912" s="55"/>
      <c r="T3912" s="56"/>
      <c r="U3912" s="25"/>
      <c r="V3912" s="25"/>
      <c r="W3912" s="25"/>
      <c r="X3912" s="25"/>
      <c r="Y3912" s="25"/>
      <c r="Z3912" s="25"/>
    </row>
    <row r="3913" spans="1:26" ht="52.5" customHeight="1" x14ac:dyDescent="0.25">
      <c r="A3913" s="25" t="str">
        <f ca="1">IFERROR(__xludf.DUMMYFUNCTION("""COMPUTED_VALUE"""),"Hacie11")</f>
        <v>Hacie11</v>
      </c>
      <c r="B3913" s="25" t="str">
        <f ca="1">IFERROR(__xludf.DUMMYFUNCTION("""COMPUTED_VALUE"""),"CONFIS")</f>
        <v>CONFIS</v>
      </c>
      <c r="C3913" s="55">
        <f ca="1">IFERROR(__xludf.DUMMYFUNCTION("""COMPUTED_VALUE"""),44473)</f>
        <v>44473</v>
      </c>
      <c r="D3913" s="25" t="str">
        <f ca="1">IFERROR(__xludf.DUMMYFUNCTION("""COMPUTED_VALUE"""),"Hacienda")</f>
        <v>Hacienda</v>
      </c>
      <c r="E3913" s="25" t="str">
        <f ca="1">IFERROR(__xludf.DUMMYFUNCTION("""COMPUTED_VALUE"""),"Secretaría Distrital de Hacienda")</f>
        <v>Secretaría Distrital de Hacienda</v>
      </c>
      <c r="F3913" s="25" t="str">
        <f ca="1">IFERROR(__xludf.DUMMYFUNCTION("""COMPUTED_VALUE"""),"Presentar los proyectos susceptibles a financiar por nuevo cupo de endeudamiento. Priorizando secretarías de Educación, Integración Social y Mujer (Sistema del Cuidado). ")</f>
        <v xml:space="preserve">Presentar los proyectos susceptibles a financiar por nuevo cupo de endeudamiento. Priorizando secretarías de Educación, Integración Social y Mujer (Sistema del Cuidado). </v>
      </c>
      <c r="G3913" s="25" t="str">
        <f ca="1">IFERROR(__xludf.DUMMYFUNCTION("""COMPUTED_VALUE"""),"99. Distrito")</f>
        <v>99. Distrito</v>
      </c>
      <c r="H3913" s="55">
        <f ca="1">IFERROR(__xludf.DUMMYFUNCTION("""COMPUTED_VALUE"""),44592)</f>
        <v>44592</v>
      </c>
      <c r="I3913" s="25"/>
      <c r="J3913" s="55"/>
      <c r="K3913" s="25">
        <f ca="1">IFERROR(__xludf.DUMMYFUNCTION("""COMPUTED_VALUE"""),119)</f>
        <v>119</v>
      </c>
      <c r="L3913" s="62">
        <f ca="1">IFERROR(__xludf.DUMMYFUNCTION("""COMPUTED_VALUE"""),44624)</f>
        <v>44624</v>
      </c>
      <c r="M3913" s="25" t="str">
        <f ca="1">IFERROR(__xludf.DUMMYFUNCTION("""COMPUTED_VALUE"""),"La presentación y excel se elaboraron desde Hacienda y se presentó a la alcaldesa el pasado 31 de enero")</f>
        <v>La presentación y excel se elaboraron desde Hacienda y se presentó a la alcaldesa el pasado 31 de enero</v>
      </c>
      <c r="N3913" s="55">
        <f ca="1">IFERROR(__xludf.DUMMYFUNCTION("""COMPUTED_VALUE"""),44624)</f>
        <v>44624</v>
      </c>
      <c r="O3913" s="25" t="str">
        <f t="shared" ca="1" si="0"/>
        <v>Secretaría Distrital de Hacienda</v>
      </c>
      <c r="P3913" s="25" t="str">
        <f t="shared" si="2"/>
        <v/>
      </c>
      <c r="Q3913" s="25" t="str">
        <f ca="1">IFERROR(__xludf.DUMMYFUNCTION("""COMPUTED_VALUE"""),"Mediano plazo")</f>
        <v>Mediano plazo</v>
      </c>
      <c r="R3913" s="25"/>
      <c r="S3913" s="55"/>
      <c r="T3913" s="56"/>
      <c r="U3913" s="25"/>
      <c r="V3913" s="25"/>
      <c r="W3913" s="25"/>
      <c r="X3913" s="25"/>
      <c r="Y3913" s="25"/>
      <c r="Z3913" s="25"/>
    </row>
    <row r="3914" spans="1:26" ht="52.5" customHeight="1" x14ac:dyDescent="0.25">
      <c r="A3914" s="25" t="str">
        <f ca="1">IFERROR(__xludf.DUMMYFUNCTION("""COMPUTED_VALUE"""),"Hacie12")</f>
        <v>Hacie12</v>
      </c>
      <c r="B3914" s="25" t="str">
        <f ca="1">IFERROR(__xludf.DUMMYFUNCTION("""COMPUTED_VALUE"""),"CONFIS")</f>
        <v>CONFIS</v>
      </c>
      <c r="C3914" s="55">
        <f ca="1">IFERROR(__xludf.DUMMYFUNCTION("""COMPUTED_VALUE"""),44473)</f>
        <v>44473</v>
      </c>
      <c r="D3914" s="25" t="str">
        <f ca="1">IFERROR(__xludf.DUMMYFUNCTION("""COMPUTED_VALUE"""),"Hacienda")</f>
        <v>Hacienda</v>
      </c>
      <c r="E3914" s="25" t="str">
        <f ca="1">IFERROR(__xludf.DUMMYFUNCTION("""COMPUTED_VALUE"""),"Secretaría Distrital de Hacienda")</f>
        <v>Secretaría Distrital de Hacienda</v>
      </c>
      <c r="F3914" s="25" t="str">
        <f ca="1">IFERROR(__xludf.DUMMYFUNCTION("""COMPUTED_VALUE"""),"Ajustar la transferencia al Fondo de Estabilización Tarifaria hasta por 1.8 billones de pesos. Transmilenio deberá hacer los ajustes para que opere por esa cantidad.")</f>
        <v>Ajustar la transferencia al Fondo de Estabilización Tarifaria hasta por 1.8 billones de pesos. Transmilenio deberá hacer los ajustes para que opere por esa cantidad.</v>
      </c>
      <c r="G3914" s="25" t="str">
        <f ca="1">IFERROR(__xludf.DUMMYFUNCTION("""COMPUTED_VALUE"""),"99. Distrito")</f>
        <v>99. Distrito</v>
      </c>
      <c r="H3914" s="55">
        <f ca="1">IFERROR(__xludf.DUMMYFUNCTION("""COMPUTED_VALUE"""),44503)</f>
        <v>44503</v>
      </c>
      <c r="I3914" s="25"/>
      <c r="J3914" s="55"/>
      <c r="K3914" s="25">
        <f ca="1">IFERROR(__xludf.DUMMYFUNCTION("""COMPUTED_VALUE"""),30)</f>
        <v>30</v>
      </c>
      <c r="L3914" s="62">
        <f ca="1">IFERROR(__xludf.DUMMYFUNCTION("""COMPUTED_VALUE"""),44539)</f>
        <v>44539</v>
      </c>
      <c r="M3914" s="25" t="str">
        <f ca="1">IFERROR(__xludf.DUMMYFUNCTION("""COMPUTED_VALUE"""),"La fuente de enajenación de activos está para 2 línea de Metro. Calle 13 tiene como fuente Contraprestación Aeroportuaria")</f>
        <v>La fuente de enajenación de activos está para 2 línea de Metro. Calle 13 tiene como fuente Contraprestación Aeroportuaria</v>
      </c>
      <c r="N3914" s="55">
        <f ca="1">IFERROR(__xludf.DUMMYFUNCTION("""COMPUTED_VALUE"""),44539)</f>
        <v>44539</v>
      </c>
      <c r="O3914" s="25" t="str">
        <f t="shared" ca="1" si="0"/>
        <v>Secretaría Distrital de Hacienda</v>
      </c>
      <c r="P3914" s="25" t="str">
        <f t="shared" si="2"/>
        <v/>
      </c>
      <c r="Q3914" s="25" t="str">
        <f ca="1">IFERROR(__xludf.DUMMYFUNCTION("""COMPUTED_VALUE"""),"Corto plazo")</f>
        <v>Corto plazo</v>
      </c>
      <c r="R3914" s="25"/>
      <c r="S3914" s="55"/>
      <c r="T3914" s="56"/>
      <c r="U3914" s="25"/>
      <c r="V3914" s="25"/>
      <c r="W3914" s="25"/>
      <c r="X3914" s="25"/>
      <c r="Y3914" s="25"/>
      <c r="Z3914" s="25"/>
    </row>
    <row r="3915" spans="1:26" ht="52.5" customHeight="1" x14ac:dyDescent="0.25">
      <c r="A3915" s="25" t="str">
        <f ca="1">IFERROR(__xludf.DUMMYFUNCTION("""COMPUTED_VALUE"""),"Hacie13")</f>
        <v>Hacie13</v>
      </c>
      <c r="B3915" s="25" t="str">
        <f ca="1">IFERROR(__xludf.DUMMYFUNCTION("""COMPUTED_VALUE"""),"CONFIS")</f>
        <v>CONFIS</v>
      </c>
      <c r="C3915" s="55">
        <f ca="1">IFERROR(__xludf.DUMMYFUNCTION("""COMPUTED_VALUE"""),44473)</f>
        <v>44473</v>
      </c>
      <c r="D3915" s="25" t="str">
        <f ca="1">IFERROR(__xludf.DUMMYFUNCTION("""COMPUTED_VALUE"""),"Hacienda")</f>
        <v>Hacienda</v>
      </c>
      <c r="E3915" s="25" t="str">
        <f ca="1">IFERROR(__xludf.DUMMYFUNCTION("""COMPUTED_VALUE"""),"Secretaría Distrital de Hacienda")</f>
        <v>Secretaría Distrital de Hacienda</v>
      </c>
      <c r="F3915" s="25" t="str">
        <f ca="1">IFERROR(__xludf.DUMMYFUNCTION("""COMPUTED_VALUE"""),"Informar en el Plan Financiero que se deberá presentar en la última sesión del Confis con los tres ajustes señalados en la sesión y que se relaciona en las tareas numerales 2718. 2710 y 2721. ")</f>
        <v xml:space="preserve">Informar en el Plan Financiero que se deberá presentar en la última sesión del Confis con los tres ajustes señalados en la sesión y que se relaciona en las tareas numerales 2718. 2710 y 2721. </v>
      </c>
      <c r="G3915" s="25" t="str">
        <f ca="1">IFERROR(__xludf.DUMMYFUNCTION("""COMPUTED_VALUE"""),"99. Distrito")</f>
        <v>99. Distrito</v>
      </c>
      <c r="H3915" s="55">
        <f ca="1">IFERROR(__xludf.DUMMYFUNCTION("""COMPUTED_VALUE"""),44503)</f>
        <v>44503</v>
      </c>
      <c r="I3915" s="25"/>
      <c r="J3915" s="55"/>
      <c r="K3915" s="25">
        <f ca="1">IFERROR(__xludf.DUMMYFUNCTION("""COMPUTED_VALUE"""),30)</f>
        <v>30</v>
      </c>
      <c r="L3915" s="62">
        <f ca="1">IFERROR(__xludf.DUMMYFUNCTION("""COMPUTED_VALUE"""),44539)</f>
        <v>44539</v>
      </c>
      <c r="M3915" s="25" t="str">
        <f ca="1">IFERROR(__xludf.DUMMYFUNCTION("""COMPUTED_VALUE"""),"Los ajustes solicitados y descritos en los numerales señalados fueron desarrollados y presentados, con ello el plan financiero definitivo se presentó y aprobó en sesión CONFIS del día 28 de octubre. Se realizó la reducción de recursos al FET, se estableci"&amp;"eron las modificaciones para definir financiamiento de proyecto calle 13 y se realizaron cambios en Marco Fiscal de Mediano plazo teniendo en cuenta nuevo escenario tributario.")</f>
        <v>Los ajustes solicitados y descritos en los numerales señalados fueron desarrollados y presentados, con ello el plan financiero definitivo se presentó y aprobó en sesión CONFIS del día 28 de octubre. Se realizó la reducción de recursos al FET, se establecieron las modificaciones para definir financiamiento de proyecto calle 13 y se realizaron cambios en Marco Fiscal de Mediano plazo teniendo en cuenta nuevo escenario tributario.</v>
      </c>
      <c r="N3915" s="55">
        <f ca="1">IFERROR(__xludf.DUMMYFUNCTION("""COMPUTED_VALUE"""),44539)</f>
        <v>44539</v>
      </c>
      <c r="O3915" s="25" t="str">
        <f t="shared" ca="1" si="0"/>
        <v>Secretaría Distrital de Hacienda</v>
      </c>
      <c r="P3915" s="25" t="str">
        <f t="shared" si="2"/>
        <v/>
      </c>
      <c r="Q3915" s="25" t="str">
        <f ca="1">IFERROR(__xludf.DUMMYFUNCTION("""COMPUTED_VALUE"""),"Corto plazo")</f>
        <v>Corto plazo</v>
      </c>
      <c r="R3915" s="25"/>
      <c r="S3915" s="55"/>
      <c r="T3915" s="56"/>
      <c r="U3915" s="25"/>
      <c r="V3915" s="25"/>
      <c r="W3915" s="25"/>
      <c r="X3915" s="25"/>
      <c r="Y3915" s="25"/>
      <c r="Z3915" s="25"/>
    </row>
    <row r="3916" spans="1:26" ht="52.5" customHeight="1" x14ac:dyDescent="0.25">
      <c r="A3916" s="25" t="str">
        <f ca="1">IFERROR(__xludf.DUMMYFUNCTION("""COMPUTED_VALUE"""),"Hacie14")</f>
        <v>Hacie14</v>
      </c>
      <c r="B3916" s="25" t="str">
        <f ca="1">IFERROR(__xludf.DUMMYFUNCTION("""COMPUTED_VALUE"""),"Consejo Política Social")</f>
        <v>Consejo Política Social</v>
      </c>
      <c r="C3916" s="55">
        <f ca="1">IFERROR(__xludf.DUMMYFUNCTION("""COMPUTED_VALUE"""),44455)</f>
        <v>44455</v>
      </c>
      <c r="D3916" s="25" t="str">
        <f ca="1">IFERROR(__xludf.DUMMYFUNCTION("""COMPUTED_VALUE"""),"Hacienda")</f>
        <v>Hacienda</v>
      </c>
      <c r="E3916" s="25" t="str">
        <f ca="1">IFERROR(__xludf.DUMMYFUNCTION("""COMPUTED_VALUE"""),"Secretaría Distrital de Hacienda")</f>
        <v>Secretaría Distrital de Hacienda</v>
      </c>
      <c r="F3916" s="25" t="str">
        <f ca="1">IFERROR(__xludf.DUMMYFUNCTION("""COMPUTED_VALUE"""),"Brindar mejor información respecto al ingreso mínimo garantizado (cómo ingresa, formas de registro, montos). Dar a conocer la plataforma ""Bogotá cuidadora"" donde pueden postularse para recibir las ayudas. ")</f>
        <v xml:space="preserve">Brindar mejor información respecto al ingreso mínimo garantizado (cómo ingresa, formas de registro, montos). Dar a conocer la plataforma "Bogotá cuidadora" donde pueden postularse para recibir las ayudas. </v>
      </c>
      <c r="G3916" s="25" t="str">
        <f ca="1">IFERROR(__xludf.DUMMYFUNCTION("""COMPUTED_VALUE"""),"99. Distrito")</f>
        <v>99. Distrito</v>
      </c>
      <c r="H3916" s="55">
        <f ca="1">IFERROR(__xludf.DUMMYFUNCTION("""COMPUTED_VALUE"""),44485)</f>
        <v>44485</v>
      </c>
      <c r="I3916" s="25"/>
      <c r="J3916" s="55"/>
      <c r="K3916" s="25">
        <f ca="1">IFERROR(__xludf.DUMMYFUNCTION("""COMPUTED_VALUE"""),30)</f>
        <v>30</v>
      </c>
      <c r="L3916" s="62"/>
      <c r="M3916" s="25" t="str">
        <f ca="1">IFERROR(__xludf.DUMMYFUNCTION("""COMPUTED_VALUE"""),"Ya se realizó la tarea.")</f>
        <v>Ya se realizó la tarea.</v>
      </c>
      <c r="N3916" s="55">
        <f ca="1">IFERROR(__xludf.DUMMYFUNCTION("""COMPUTED_VALUE"""),44927)</f>
        <v>44927</v>
      </c>
      <c r="O3916" s="25" t="str">
        <f t="shared" ca="1" si="0"/>
        <v>Secretaría Distrital de Hacienda</v>
      </c>
      <c r="P3916" s="25" t="str">
        <f t="shared" si="2"/>
        <v/>
      </c>
      <c r="Q3916" s="25" t="str">
        <f ca="1">IFERROR(__xludf.DUMMYFUNCTION("""COMPUTED_VALUE"""),"Corto plazo")</f>
        <v>Corto plazo</v>
      </c>
      <c r="R3916" s="25"/>
      <c r="S3916" s="55"/>
      <c r="T3916" s="56"/>
      <c r="U3916" s="25"/>
      <c r="V3916" s="25"/>
      <c r="W3916" s="25"/>
      <c r="X3916" s="25"/>
      <c r="Y3916" s="25"/>
      <c r="Z3916" s="25"/>
    </row>
    <row r="3917" spans="1:26" ht="52.5" customHeight="1" x14ac:dyDescent="0.25">
      <c r="A3917" s="25" t="str">
        <f ca="1">IFERROR(__xludf.DUMMYFUNCTION("""COMPUTED_VALUE"""),"Hacie15")</f>
        <v>Hacie15</v>
      </c>
      <c r="B3917" s="25" t="str">
        <f ca="1">IFERROR(__xludf.DUMMYFUNCTION("""COMPUTED_VALUE"""),"Marco Fiscal ")</f>
        <v xml:space="preserve">Marco Fiscal </v>
      </c>
      <c r="C3917" s="55">
        <f ca="1">IFERROR(__xludf.DUMMYFUNCTION("""COMPUTED_VALUE"""),44386)</f>
        <v>44386</v>
      </c>
      <c r="D3917" s="25" t="str">
        <f ca="1">IFERROR(__xludf.DUMMYFUNCTION("""COMPUTED_VALUE"""),"Hacienda")</f>
        <v>Hacienda</v>
      </c>
      <c r="E3917" s="25" t="str">
        <f ca="1">IFERROR(__xludf.DUMMYFUNCTION("""COMPUTED_VALUE"""),"Secretaría Distrital de Hacienda")</f>
        <v>Secretaría Distrital de Hacienda</v>
      </c>
      <c r="F3917" s="25" t="str">
        <f ca="1">IFERROR(__xludf.DUMMYFUNCTION("""COMPUTED_VALUE"""),"Correr el Marco Fiscal de Mediano Plazo con los supuestos reales, incluyendo la aprobación de la reforma tributaria ")</f>
        <v xml:space="preserve">Correr el Marco Fiscal de Mediano Plazo con los supuestos reales, incluyendo la aprobación de la reforma tributaria </v>
      </c>
      <c r="G3917" s="25" t="str">
        <f ca="1">IFERROR(__xludf.DUMMYFUNCTION("""COMPUTED_VALUE"""),"99. Distrito")</f>
        <v>99. Distrito</v>
      </c>
      <c r="H3917" s="55">
        <f ca="1">IFERROR(__xludf.DUMMYFUNCTION("""COMPUTED_VALUE"""),44416)</f>
        <v>44416</v>
      </c>
      <c r="I3917" s="25"/>
      <c r="J3917" s="55"/>
      <c r="K3917" s="25">
        <f ca="1">IFERROR(__xludf.DUMMYFUNCTION("""COMPUTED_VALUE"""),30)</f>
        <v>30</v>
      </c>
      <c r="L3917" s="62">
        <f ca="1">IFERROR(__xludf.DUMMYFUNCTION("""COMPUTED_VALUE"""),44449)</f>
        <v>44449</v>
      </c>
      <c r="M3917" s="25" t="str">
        <f ca="1">IFERROR(__xludf.DUMMYFUNCTION("""COMPUTED_VALUE"""),"Se cuenta con supuesto actualizado de PIB que ya está incorporando en las proyecciones de ingresos de la administración central. Se está revisando supuestos a ajustar con el texto aprobado de la reforma tributaria para proyectar los demás componentes del "&amp;"MFMP")</f>
        <v>Se cuenta con supuesto actualizado de PIB que ya está incorporando en las proyecciones de ingresos de la administración central. Se está revisando supuestos a ajustar con el texto aprobado de la reforma tributaria para proyectar los demás componentes del MFMP</v>
      </c>
      <c r="N3917" s="55">
        <f ca="1">IFERROR(__xludf.DUMMYFUNCTION("""COMPUTED_VALUE"""),44449)</f>
        <v>44449</v>
      </c>
      <c r="O3917" s="25" t="str">
        <f t="shared" ca="1" si="0"/>
        <v>Secretaría Distrital de Hacienda</v>
      </c>
      <c r="P3917" s="25" t="str">
        <f t="shared" si="2"/>
        <v/>
      </c>
      <c r="Q3917" s="25" t="str">
        <f ca="1">IFERROR(__xludf.DUMMYFUNCTION("""COMPUTED_VALUE"""),"Corto plazo")</f>
        <v>Corto plazo</v>
      </c>
      <c r="R3917" s="25"/>
      <c r="S3917" s="55"/>
      <c r="T3917" s="56"/>
      <c r="U3917" s="25"/>
      <c r="V3917" s="25"/>
      <c r="W3917" s="25"/>
      <c r="X3917" s="25"/>
      <c r="Y3917" s="25"/>
      <c r="Z3917" s="25"/>
    </row>
    <row r="3918" spans="1:26" ht="52.5" customHeight="1" x14ac:dyDescent="0.25">
      <c r="A3918" s="25" t="str">
        <f ca="1">IFERROR(__xludf.DUMMYFUNCTION("""COMPUTED_VALUE"""),"Hacie16")</f>
        <v>Hacie16</v>
      </c>
      <c r="B3918" s="25" t="str">
        <f ca="1">IFERROR(__xludf.DUMMYFUNCTION("""COMPUTED_VALUE"""),"Marco Fiscal ")</f>
        <v xml:space="preserve">Marco Fiscal </v>
      </c>
      <c r="C3918" s="55">
        <f ca="1">IFERROR(__xludf.DUMMYFUNCTION("""COMPUTED_VALUE"""),44386)</f>
        <v>44386</v>
      </c>
      <c r="D3918" s="25" t="str">
        <f ca="1">IFERROR(__xludf.DUMMYFUNCTION("""COMPUTED_VALUE"""),"Hacienda")</f>
        <v>Hacienda</v>
      </c>
      <c r="E3918" s="25" t="str">
        <f ca="1">IFERROR(__xludf.DUMMYFUNCTION("""COMPUTED_VALUE"""),"Secretaría Distrital de Hacienda")</f>
        <v>Secretaría Distrital de Hacienda</v>
      </c>
      <c r="F3918" s="25" t="str">
        <f ca="1">IFERROR(__xludf.DUMMYFUNCTION("""COMPUTED_VALUE"""),"Para el marco fiscal de mediano plazo hay que recalcular las fuentes incluyendo el cumplimiento de las metas de recaudo ")</f>
        <v xml:space="preserve">Para el marco fiscal de mediano plazo hay que recalcular las fuentes incluyendo el cumplimiento de las metas de recaudo </v>
      </c>
      <c r="G3918" s="25" t="str">
        <f ca="1">IFERROR(__xludf.DUMMYFUNCTION("""COMPUTED_VALUE"""),"99. Distrito")</f>
        <v>99. Distrito</v>
      </c>
      <c r="H3918" s="55">
        <f ca="1">IFERROR(__xludf.DUMMYFUNCTION("""COMPUTED_VALUE"""),44416)</f>
        <v>44416</v>
      </c>
      <c r="I3918" s="25"/>
      <c r="J3918" s="55"/>
      <c r="K3918" s="25">
        <f ca="1">IFERROR(__xludf.DUMMYFUNCTION("""COMPUTED_VALUE"""),30)</f>
        <v>30</v>
      </c>
      <c r="L3918" s="62">
        <f ca="1">IFERROR(__xludf.DUMMYFUNCTION("""COMPUTED_VALUE"""),44470)</f>
        <v>44470</v>
      </c>
      <c r="M3918" s="25" t="str">
        <f ca="1">IFERROR(__xludf.DUMMYFUNCTION("""COMPUTED_VALUE"""),"Se incluyeron las proyecciones de gestión y cobro, incluyendo ajuste a 2021 que estaba pendiente, en línea con los alivios aprobado en el Acuerdo de Rescate Social del Concejo. Se está revisando impacto de los alivios tributarios incluidos en la reforma t"&amp;"ributaria")</f>
        <v>Se incluyeron las proyecciones de gestión y cobro, incluyendo ajuste a 2021 que estaba pendiente, en línea con los alivios aprobado en el Acuerdo de Rescate Social del Concejo. Se está revisando impacto de los alivios tributarios incluidos en la reforma tributaria</v>
      </c>
      <c r="N3918" s="55">
        <f ca="1">IFERROR(__xludf.DUMMYFUNCTION("""COMPUTED_VALUE"""),44470)</f>
        <v>44470</v>
      </c>
      <c r="O3918" s="25" t="str">
        <f t="shared" ca="1" si="0"/>
        <v>Secretaría Distrital de Hacienda</v>
      </c>
      <c r="P3918" s="25" t="str">
        <f t="shared" si="2"/>
        <v/>
      </c>
      <c r="Q3918" s="25" t="str">
        <f ca="1">IFERROR(__xludf.DUMMYFUNCTION("""COMPUTED_VALUE"""),"Corto plazo")</f>
        <v>Corto plazo</v>
      </c>
      <c r="R3918" s="25"/>
      <c r="S3918" s="55"/>
      <c r="T3918" s="56"/>
      <c r="U3918" s="25"/>
      <c r="V3918" s="25"/>
      <c r="W3918" s="25"/>
      <c r="X3918" s="25"/>
      <c r="Y3918" s="25"/>
      <c r="Z3918" s="25"/>
    </row>
    <row r="3919" spans="1:26" ht="52.5" customHeight="1" x14ac:dyDescent="0.25">
      <c r="A3919" s="25" t="str">
        <f ca="1">IFERROR(__xludf.DUMMYFUNCTION("""COMPUTED_VALUE"""),"Hacie17")</f>
        <v>Hacie17</v>
      </c>
      <c r="B3919" s="25" t="str">
        <f ca="1">IFERROR(__xludf.DUMMYFUNCTION("""COMPUTED_VALUE"""),"Marco Fiscal ")</f>
        <v xml:space="preserve">Marco Fiscal </v>
      </c>
      <c r="C3919" s="55">
        <f ca="1">IFERROR(__xludf.DUMMYFUNCTION("""COMPUTED_VALUE"""),44386)</f>
        <v>44386</v>
      </c>
      <c r="D3919" s="25" t="str">
        <f ca="1">IFERROR(__xludf.DUMMYFUNCTION("""COMPUTED_VALUE"""),"Hacienda")</f>
        <v>Hacienda</v>
      </c>
      <c r="E3919" s="25" t="str">
        <f ca="1">IFERROR(__xludf.DUMMYFUNCTION("""COMPUTED_VALUE"""),"Secretaría Distrital de Hacienda")</f>
        <v>Secretaría Distrital de Hacienda</v>
      </c>
      <c r="F3919" s="25" t="str">
        <f ca="1">IFERROR(__xludf.DUMMYFUNCTION("""COMPUTED_VALUE"""),"Agregar fuentes al Fondo de Estabilización Tarifaria FET: cobro de peajes al ingreso de la ciudad e ICA")</f>
        <v>Agregar fuentes al Fondo de Estabilización Tarifaria FET: cobro de peajes al ingreso de la ciudad e ICA</v>
      </c>
      <c r="G3919" s="25" t="str">
        <f ca="1">IFERROR(__xludf.DUMMYFUNCTION("""COMPUTED_VALUE"""),"99. Distrito")</f>
        <v>99. Distrito</v>
      </c>
      <c r="H3919" s="55">
        <f ca="1">IFERROR(__xludf.DUMMYFUNCTION("""COMPUTED_VALUE"""),44416)</f>
        <v>44416</v>
      </c>
      <c r="I3919" s="25"/>
      <c r="J3919" s="55"/>
      <c r="K3919" s="25">
        <f ca="1">IFERROR(__xludf.DUMMYFUNCTION("""COMPUTED_VALUE"""),30)</f>
        <v>30</v>
      </c>
      <c r="L3919" s="62">
        <f ca="1">IFERROR(__xludf.DUMMYFUNCTION("""COMPUTED_VALUE"""),44470)</f>
        <v>44470</v>
      </c>
      <c r="M3919" s="25" t="str">
        <f ca="1">IFERROR(__xludf.DUMMYFUNCTION("""COMPUTED_VALUE"""),"Se incluyeron las proyecciones de IDU de principios de agosto que arroja excedentes desde 2029. Se utilizará para MFMP este último escenario suministrado por IDU y validado con SDM.")</f>
        <v>Se incluyeron las proyecciones de IDU de principios de agosto que arroja excedentes desde 2029. Se utilizará para MFMP este último escenario suministrado por IDU y validado con SDM.</v>
      </c>
      <c r="N3919" s="55">
        <f ca="1">IFERROR(__xludf.DUMMYFUNCTION("""COMPUTED_VALUE"""),44470)</f>
        <v>44470</v>
      </c>
      <c r="O3919" s="25" t="str">
        <f t="shared" ca="1" si="0"/>
        <v>Secretaría Distrital de Hacienda</v>
      </c>
      <c r="P3919" s="25" t="str">
        <f t="shared" si="2"/>
        <v/>
      </c>
      <c r="Q3919" s="25" t="str">
        <f ca="1">IFERROR(__xludf.DUMMYFUNCTION("""COMPUTED_VALUE"""),"Corto plazo")</f>
        <v>Corto plazo</v>
      </c>
      <c r="R3919" s="25"/>
      <c r="S3919" s="55"/>
      <c r="T3919" s="56"/>
      <c r="U3919" s="25"/>
      <c r="V3919" s="25"/>
      <c r="W3919" s="25"/>
      <c r="X3919" s="25"/>
      <c r="Y3919" s="25"/>
      <c r="Z3919" s="25"/>
    </row>
    <row r="3920" spans="1:26" ht="52.5" customHeight="1" x14ac:dyDescent="0.25">
      <c r="A3920" s="25" t="str">
        <f ca="1">IFERROR(__xludf.DUMMYFUNCTION("""COMPUTED_VALUE"""),"Hacie18")</f>
        <v>Hacie18</v>
      </c>
      <c r="B3920" s="25" t="str">
        <f ca="1">IFERROR(__xludf.DUMMYFUNCTION("""COMPUTED_VALUE"""),"Marco Fiscal ")</f>
        <v xml:space="preserve">Marco Fiscal </v>
      </c>
      <c r="C3920" s="55">
        <f ca="1">IFERROR(__xludf.DUMMYFUNCTION("""COMPUTED_VALUE"""),44386)</f>
        <v>44386</v>
      </c>
      <c r="D3920" s="25" t="str">
        <f ca="1">IFERROR(__xludf.DUMMYFUNCTION("""COMPUTED_VALUE"""),"Hacienda")</f>
        <v>Hacienda</v>
      </c>
      <c r="E3920" s="25" t="str">
        <f ca="1">IFERROR(__xludf.DUMMYFUNCTION("""COMPUTED_VALUE"""),"Secretaría Distrital de Hacienda")</f>
        <v>Secretaría Distrital de Hacienda</v>
      </c>
      <c r="F3920" s="25" t="str">
        <f ca="1">IFERROR(__xludf.DUMMYFUNCTION("""COMPUTED_VALUE"""),"Para el marco fiscal de mediano plazo hay que calibrar y definir el momento de cuándo empieza a implementarse cada fuente ")</f>
        <v xml:space="preserve">Para el marco fiscal de mediano plazo hay que calibrar y definir el momento de cuándo empieza a implementarse cada fuente </v>
      </c>
      <c r="G3920" s="25" t="str">
        <f ca="1">IFERROR(__xludf.DUMMYFUNCTION("""COMPUTED_VALUE"""),"99. Distrito")</f>
        <v>99. Distrito</v>
      </c>
      <c r="H3920" s="55">
        <f ca="1">IFERROR(__xludf.DUMMYFUNCTION("""COMPUTED_VALUE"""),44416)</f>
        <v>44416</v>
      </c>
      <c r="I3920" s="25"/>
      <c r="J3920" s="55"/>
      <c r="K3920" s="25">
        <f ca="1">IFERROR(__xludf.DUMMYFUNCTION("""COMPUTED_VALUE"""),30)</f>
        <v>30</v>
      </c>
      <c r="L3920" s="62">
        <f ca="1">IFERROR(__xludf.DUMMYFUNCTION("""COMPUTED_VALUE"""),44470)</f>
        <v>44470</v>
      </c>
      <c r="M3920" s="25" t="str">
        <f ca="1">IFERROR(__xludf.DUMMYFUNCTION("""COMPUTED_VALUE"""),"Se recibieron proyecciones de los sectores. Se incluyó la proyección de contribución aeroportuaria enviada por IDU y se ajustó con la Información de parqueo en vía de SDM")</f>
        <v>Se recibieron proyecciones de los sectores. Se incluyó la proyección de contribución aeroportuaria enviada por IDU y se ajustó con la Información de parqueo en vía de SDM</v>
      </c>
      <c r="N3920" s="55">
        <f ca="1">IFERROR(__xludf.DUMMYFUNCTION("""COMPUTED_VALUE"""),44470)</f>
        <v>44470</v>
      </c>
      <c r="O3920" s="25" t="str">
        <f t="shared" ca="1" si="0"/>
        <v>Secretaría Distrital de Hacienda</v>
      </c>
      <c r="P3920" s="25" t="str">
        <f t="shared" si="2"/>
        <v/>
      </c>
      <c r="Q3920" s="25" t="str">
        <f ca="1">IFERROR(__xludf.DUMMYFUNCTION("""COMPUTED_VALUE"""),"Corto plazo")</f>
        <v>Corto plazo</v>
      </c>
      <c r="R3920" s="25"/>
      <c r="S3920" s="55"/>
      <c r="T3920" s="56"/>
      <c r="U3920" s="25"/>
      <c r="V3920" s="25"/>
      <c r="W3920" s="25"/>
      <c r="X3920" s="25"/>
      <c r="Y3920" s="25"/>
      <c r="Z3920" s="25"/>
    </row>
    <row r="3921" spans="1:26" ht="52.5" customHeight="1" x14ac:dyDescent="0.25">
      <c r="A3921" s="25" t="str">
        <f ca="1">IFERROR(__xludf.DUMMYFUNCTION("""COMPUTED_VALUE"""),"Hacie19")</f>
        <v>Hacie19</v>
      </c>
      <c r="B3921" s="25" t="str">
        <f ca="1">IFERROR(__xludf.DUMMYFUNCTION("""COMPUTED_VALUE"""),"Marco Fiscal ")</f>
        <v xml:space="preserve">Marco Fiscal </v>
      </c>
      <c r="C3921" s="55">
        <f ca="1">IFERROR(__xludf.DUMMYFUNCTION("""COMPUTED_VALUE"""),44386)</f>
        <v>44386</v>
      </c>
      <c r="D3921" s="25" t="str">
        <f ca="1">IFERROR(__xludf.DUMMYFUNCTION("""COMPUTED_VALUE"""),"Hacienda")</f>
        <v>Hacienda</v>
      </c>
      <c r="E3921" s="25" t="str">
        <f ca="1">IFERROR(__xludf.DUMMYFUNCTION("""COMPUTED_VALUE"""),"Secretaría Distrital de Hacienda")</f>
        <v>Secretaría Distrital de Hacienda</v>
      </c>
      <c r="F3921" s="25" t="str">
        <f ca="1">IFERROR(__xludf.DUMMYFUNCTION("""COMPUTED_VALUE"""),"Para el proyecto del Borde Occidental es necesario contemplar la fuente de valorización")</f>
        <v>Para el proyecto del Borde Occidental es necesario contemplar la fuente de valorización</v>
      </c>
      <c r="G3921" s="25" t="str">
        <f ca="1">IFERROR(__xludf.DUMMYFUNCTION("""COMPUTED_VALUE"""),"99. Distrito")</f>
        <v>99. Distrito</v>
      </c>
      <c r="H3921" s="55">
        <f ca="1">IFERROR(__xludf.DUMMYFUNCTION("""COMPUTED_VALUE"""),44416)</f>
        <v>44416</v>
      </c>
      <c r="I3921" s="25"/>
      <c r="J3921" s="55"/>
      <c r="K3921" s="25">
        <f ca="1">IFERROR(__xludf.DUMMYFUNCTION("""COMPUTED_VALUE"""),30)</f>
        <v>30</v>
      </c>
      <c r="L3921" s="62">
        <f ca="1">IFERROR(__xludf.DUMMYFUNCTION("""COMPUTED_VALUE"""),44449)</f>
        <v>44449</v>
      </c>
      <c r="M3921" s="25" t="str">
        <f ca="1">IFERROR(__xludf.DUMMYFUNCTION("""COMPUTED_VALUE"""),"IDU adelantó proyecciones de valorización para proyecto calle 13. Estas no afectan modelación de las fuentes de la Administración Central en el MFMP.")</f>
        <v>IDU adelantó proyecciones de valorización para proyecto calle 13. Estas no afectan modelación de las fuentes de la Administración Central en el MFMP.</v>
      </c>
      <c r="N3921" s="55">
        <f ca="1">IFERROR(__xludf.DUMMYFUNCTION("""COMPUTED_VALUE"""),44449)</f>
        <v>44449</v>
      </c>
      <c r="O3921" s="25" t="str">
        <f t="shared" ca="1" si="0"/>
        <v>Secretaría Distrital de Hacienda</v>
      </c>
      <c r="P3921" s="25" t="str">
        <f t="shared" si="2"/>
        <v/>
      </c>
      <c r="Q3921" s="25" t="str">
        <f ca="1">IFERROR(__xludf.DUMMYFUNCTION("""COMPUTED_VALUE"""),"Corto plazo")</f>
        <v>Corto plazo</v>
      </c>
      <c r="R3921" s="25"/>
      <c r="S3921" s="55"/>
      <c r="T3921" s="56"/>
      <c r="U3921" s="25"/>
      <c r="V3921" s="25"/>
      <c r="W3921" s="25"/>
      <c r="X3921" s="25"/>
      <c r="Y3921" s="25"/>
      <c r="Z3921" s="25"/>
    </row>
    <row r="3922" spans="1:26" ht="52.5" customHeight="1" x14ac:dyDescent="0.25">
      <c r="A3922" s="25" t="str">
        <f ca="1">IFERROR(__xludf.DUMMYFUNCTION("""COMPUTED_VALUE"""),"Hacie20")</f>
        <v>Hacie20</v>
      </c>
      <c r="B3922" s="25" t="str">
        <f ca="1">IFERROR(__xludf.DUMMYFUNCTION("""COMPUTED_VALUE"""),"Estrategia pobreza e ingreso mínimo")</f>
        <v>Estrategia pobreza e ingreso mínimo</v>
      </c>
      <c r="C3922" s="55">
        <f ca="1">IFERROR(__xludf.DUMMYFUNCTION("""COMPUTED_VALUE"""),44305)</f>
        <v>44305</v>
      </c>
      <c r="D3922" s="25" t="str">
        <f ca="1">IFERROR(__xludf.DUMMYFUNCTION("""COMPUTED_VALUE"""),"Hacienda")</f>
        <v>Hacienda</v>
      </c>
      <c r="E3922" s="25" t="str">
        <f ca="1">IFERROR(__xludf.DUMMYFUNCTION("""COMPUTED_VALUE"""),"Secretaría Distrital de Hacienda")</f>
        <v>Secretaría Distrital de Hacienda</v>
      </c>
      <c r="F3922" s="25" t="str">
        <f ca="1">IFERROR(__xludf.DUMMYFUNCTION("""COMPUTED_VALUE"""),"Reportar a la alcaldesa transferencias monetarias realizadas, antes del día 5.")</f>
        <v>Reportar a la alcaldesa transferencias monetarias realizadas, antes del día 5.</v>
      </c>
      <c r="G3922" s="25" t="str">
        <f ca="1">IFERROR(__xludf.DUMMYFUNCTION("""COMPUTED_VALUE"""),"99. Distrito")</f>
        <v>99. Distrito</v>
      </c>
      <c r="H3922" s="55">
        <f ca="1">IFERROR(__xludf.DUMMYFUNCTION("""COMPUTED_VALUE"""),44539)</f>
        <v>44539</v>
      </c>
      <c r="I3922" s="25"/>
      <c r="J3922" s="55"/>
      <c r="K3922" s="25">
        <f ca="1">IFERROR(__xludf.DUMMYFUNCTION("""COMPUTED_VALUE"""),234)</f>
        <v>234</v>
      </c>
      <c r="L3922" s="62">
        <f ca="1">IFERROR(__xludf.DUMMYFUNCTION("""COMPUTED_VALUE"""),44425)</f>
        <v>44425</v>
      </c>
      <c r="M3922" s="25" t="str">
        <f ca="1">IFERROR(__xludf.DUMMYFUNCTION("""COMPUTED_VALUE"""),"Los pagos de transferencias monetarias se programaron entre las dos secretarias para realizarse dentro de los primeros 5 días del mes. El reporte se actualiza en el monitor una vez se envían bases a los operadores. Así mismo, una vez se realiza el pago de"&amp;" las transferencias monetarias, desde la SDH se generan los correspondientes boletines de prensa. Para el mes de agosto, el pago de las TM se realizará durante lo corrido del mes")</f>
        <v>Los pagos de transferencias monetarias se programaron entre las dos secretarias para realizarse dentro de los primeros 5 días del mes. El reporte se actualiza en el monitor una vez se envían bases a los operadores. Así mismo, una vez se realiza el pago de las transferencias monetarias, desde la SDH se generan los correspondientes boletines de prensa. Para el mes de agosto, el pago de las TM se realizará durante lo corrido del mes</v>
      </c>
      <c r="N3922" s="55">
        <f ca="1">IFERROR(__xludf.DUMMYFUNCTION("""COMPUTED_VALUE"""),44425)</f>
        <v>44425</v>
      </c>
      <c r="O3922" s="25" t="str">
        <f t="shared" ca="1" si="0"/>
        <v>Secretaría Distrital de Hacienda</v>
      </c>
      <c r="P3922" s="25" t="str">
        <f t="shared" si="2"/>
        <v/>
      </c>
      <c r="Q3922" s="25" t="str">
        <f ca="1">IFERROR(__xludf.DUMMYFUNCTION("""COMPUTED_VALUE"""),"Largo plazo")</f>
        <v>Largo plazo</v>
      </c>
      <c r="R3922" s="25"/>
      <c r="S3922" s="55"/>
      <c r="T3922" s="56"/>
      <c r="U3922" s="25"/>
      <c r="V3922" s="25"/>
      <c r="W3922" s="25"/>
      <c r="X3922" s="25"/>
      <c r="Y3922" s="25"/>
      <c r="Z3922" s="25"/>
    </row>
    <row r="3923" spans="1:26" ht="52.5" customHeight="1" x14ac:dyDescent="0.25">
      <c r="A3923" s="25" t="str">
        <f ca="1">IFERROR(__xludf.DUMMYFUNCTION("""COMPUTED_VALUE"""),"Hacie21")</f>
        <v>Hacie21</v>
      </c>
      <c r="B3923" s="25" t="str">
        <f ca="1">IFERROR(__xludf.DUMMYFUNCTION("""COMPUTED_VALUE"""),"Evasión Transmilenio")</f>
        <v>Evasión Transmilenio</v>
      </c>
      <c r="C3923" s="55">
        <f ca="1">IFERROR(__xludf.DUMMYFUNCTION("""COMPUTED_VALUE"""),44259)</f>
        <v>44259</v>
      </c>
      <c r="D3923" s="25" t="str">
        <f ca="1">IFERROR(__xludf.DUMMYFUNCTION("""COMPUTED_VALUE"""),"Hacienda")</f>
        <v>Hacienda</v>
      </c>
      <c r="E3923" s="25" t="str">
        <f ca="1">IFERROR(__xludf.DUMMYFUNCTION("""COMPUTED_VALUE"""),"Secretaría Distrital de Hacienda")</f>
        <v>Secretaría Distrital de Hacienda</v>
      </c>
      <c r="F3923" s="25" t="str">
        <f ca="1">IFERROR(__xludf.DUMMYFUNCTION("""COMPUTED_VALUE"""),"Estudiar integracion Tu Llave del sistema de transporte a esquema de pagos de Ingreso Mínimo.")</f>
        <v>Estudiar integracion Tu Llave del sistema de transporte a esquema de pagos de Ingreso Mínimo.</v>
      </c>
      <c r="G3923" s="25" t="str">
        <f ca="1">IFERROR(__xludf.DUMMYFUNCTION("""COMPUTED_VALUE"""),"99. Distrito")</f>
        <v>99. Distrito</v>
      </c>
      <c r="H3923" s="55">
        <f ca="1">IFERROR(__xludf.DUMMYFUNCTION("""COMPUTED_VALUE"""),44289)</f>
        <v>44289</v>
      </c>
      <c r="I3923" s="25"/>
      <c r="J3923" s="55"/>
      <c r="K3923" s="25">
        <f ca="1">IFERROR(__xludf.DUMMYFUNCTION("""COMPUTED_VALUE"""),30)</f>
        <v>30</v>
      </c>
      <c r="L3923" s="62">
        <f ca="1">IFERROR(__xludf.DUMMYFUNCTION("""COMPUTED_VALUE"""),44539)</f>
        <v>44539</v>
      </c>
      <c r="M3923" s="25" t="str">
        <f ca="1">IFERROR(__xludf.DUMMYFUNCTION("""COMPUTED_VALUE"""),"Los convenios con los operadores financieros no contemplan este aspecto. Conjuntamente, entre la SDH y la SDM se realizaron mesas técnicas con uno de los operadores para revisar la implementación. Por lo pronto el asunto es de costos: quién asume los even"&amp;"tuales porcentajes de una billetera electrónica. Teniendo en cuenta el interés de poder integrar TuLlave con la app de gobierno abierto, de allí seguramente se abre una ventana de oportunidad. Se continúa la revisión del tema por parte de la SDM.")</f>
        <v>Los convenios con los operadores financieros no contemplan este aspecto. Conjuntamente, entre la SDH y la SDM se realizaron mesas técnicas con uno de los operadores para revisar la implementación. Por lo pronto el asunto es de costos: quién asume los eventuales porcentajes de una billetera electrónica. Teniendo en cuenta el interés de poder integrar TuLlave con la app de gobierno abierto, de allí seguramente se abre una ventana de oportunidad. Se continúa la revisión del tema por parte de la SDM.</v>
      </c>
      <c r="N3923" s="55">
        <f ca="1">IFERROR(__xludf.DUMMYFUNCTION("""COMPUTED_VALUE"""),44539)</f>
        <v>44539</v>
      </c>
      <c r="O3923" s="25" t="str">
        <f t="shared" ca="1" si="0"/>
        <v>Secretaría Distrital de Hacienda</v>
      </c>
      <c r="P3923" s="25" t="str">
        <f t="shared" si="2"/>
        <v/>
      </c>
      <c r="Q3923" s="69" t="str">
        <f ca="1">IFERROR(__xludf.DUMMYFUNCTION("""COMPUTED_VALUE"""),"Corto plazo")</f>
        <v>Corto plazo</v>
      </c>
      <c r="R3923" s="25"/>
      <c r="S3923" s="55"/>
      <c r="T3923" s="56"/>
      <c r="U3923" s="25"/>
      <c r="V3923" s="25"/>
      <c r="W3923" s="25"/>
      <c r="X3923" s="25"/>
      <c r="Y3923" s="25"/>
      <c r="Z3923" s="25"/>
    </row>
    <row r="3924" spans="1:26" ht="52.5" customHeight="1" x14ac:dyDescent="0.25">
      <c r="A3924" s="25" t="str">
        <f ca="1">IFERROR(__xludf.DUMMYFUNCTION("""COMPUTED_VALUE"""),"Hacie22")</f>
        <v>Hacie22</v>
      </c>
      <c r="B3924" s="25" t="str">
        <f ca="1">IFERROR(__xludf.DUMMYFUNCTION("""COMPUTED_VALUE"""),"Despachando: FENALCO")</f>
        <v>Despachando: FENALCO</v>
      </c>
      <c r="C3924" s="55">
        <f ca="1">IFERROR(__xludf.DUMMYFUNCTION("""COMPUTED_VALUE"""),44232)</f>
        <v>44232</v>
      </c>
      <c r="D3924" s="25" t="str">
        <f ca="1">IFERROR(__xludf.DUMMYFUNCTION("""COMPUTED_VALUE"""),"Hacienda")</f>
        <v>Hacienda</v>
      </c>
      <c r="E3924" s="25" t="str">
        <f ca="1">IFERROR(__xludf.DUMMYFUNCTION("""COMPUTED_VALUE"""),"Secretaría Distrital de Hacienda")</f>
        <v>Secretaría Distrital de Hacienda</v>
      </c>
      <c r="F3924" s="25" t="str">
        <f ca="1">IFERROR(__xludf.DUMMYFUNCTION("""COMPUTED_VALUE"""),"Analizar posible ajuste de calendario tributario")</f>
        <v>Analizar posible ajuste de calendario tributario</v>
      </c>
      <c r="G3924" s="25" t="str">
        <f ca="1">IFERROR(__xludf.DUMMYFUNCTION("""COMPUTED_VALUE"""),"99. Distrito")</f>
        <v>99. Distrito</v>
      </c>
      <c r="H3924" s="55">
        <f ca="1">IFERROR(__xludf.DUMMYFUNCTION("""COMPUTED_VALUE"""),44262)</f>
        <v>44262</v>
      </c>
      <c r="I3924" s="25"/>
      <c r="J3924" s="55"/>
      <c r="K3924" s="25">
        <f ca="1">IFERROR(__xludf.DUMMYFUNCTION("""COMPUTED_VALUE"""),30)</f>
        <v>30</v>
      </c>
      <c r="L3924" s="62"/>
      <c r="M3924" s="25" t="str">
        <f ca="1">IFERROR(__xludf.DUMMYFUNCTION("""COMPUTED_VALUE"""),"Se ajustó y se anexó presentación")</f>
        <v>Se ajustó y se anexó presentación</v>
      </c>
      <c r="N3924" s="55">
        <f ca="1">IFERROR(__xludf.DUMMYFUNCTION("""COMPUTED_VALUE"""),44927)</f>
        <v>44927</v>
      </c>
      <c r="O3924" s="25" t="str">
        <f t="shared" ca="1" si="0"/>
        <v>Secretaría Distrital de Hacienda</v>
      </c>
      <c r="P3924" s="25" t="str">
        <f t="shared" si="2"/>
        <v/>
      </c>
      <c r="Q3924" s="25" t="str">
        <f ca="1">IFERROR(__xludf.DUMMYFUNCTION("""COMPUTED_VALUE"""),"Corto plazo")</f>
        <v>Corto plazo</v>
      </c>
      <c r="R3924" s="25"/>
      <c r="S3924" s="55"/>
      <c r="T3924" s="56"/>
      <c r="U3924" s="25"/>
      <c r="V3924" s="25"/>
      <c r="W3924" s="25"/>
      <c r="X3924" s="25"/>
      <c r="Y3924" s="25"/>
      <c r="Z3924" s="25"/>
    </row>
    <row r="3925" spans="1:26" ht="52.5" customHeight="1" x14ac:dyDescent="0.25">
      <c r="A3925" s="25" t="str">
        <f ca="1">IFERROR(__xludf.DUMMYFUNCTION("""COMPUTED_VALUE"""),"Hacie23")</f>
        <v>Hacie23</v>
      </c>
      <c r="B3925" s="25" t="str">
        <f ca="1">IFERROR(__xludf.DUMMYFUNCTION("""COMPUTED_VALUE"""),"Revisión borde occidental")</f>
        <v>Revisión borde occidental</v>
      </c>
      <c r="C3925" s="55">
        <f ca="1">IFERROR(__xludf.DUMMYFUNCTION("""COMPUTED_VALUE"""),44154)</f>
        <v>44154</v>
      </c>
      <c r="D3925" s="25" t="str">
        <f ca="1">IFERROR(__xludf.DUMMYFUNCTION("""COMPUTED_VALUE"""),"Hacienda")</f>
        <v>Hacienda</v>
      </c>
      <c r="E3925" s="25" t="str">
        <f ca="1">IFERROR(__xludf.DUMMYFUNCTION("""COMPUTED_VALUE"""),"Secretaría Distrital de Hacienda")</f>
        <v>Secretaría Distrital de Hacienda</v>
      </c>
      <c r="F3925" s="25" t="str">
        <f ca="1">IFERROR(__xludf.DUMMYFUNCTION("""COMPUTED_VALUE"""),"Revisar si se pueden incluir en la ley de crecimiento verde la sobretasa ambiental y el impuesto a las llantas, en coordinación con la secretaría distrital de ambiente")</f>
        <v>Revisar si se pueden incluir en la ley de crecimiento verde la sobretasa ambiental y el impuesto a las llantas, en coordinación con la secretaría distrital de ambiente</v>
      </c>
      <c r="G3925" s="25" t="str">
        <f ca="1">IFERROR(__xludf.DUMMYFUNCTION("""COMPUTED_VALUE"""),"99. Distrito")</f>
        <v>99. Distrito</v>
      </c>
      <c r="H3925" s="55">
        <f ca="1">IFERROR(__xludf.DUMMYFUNCTION("""COMPUTED_VALUE"""),44184)</f>
        <v>44184</v>
      </c>
      <c r="I3925" s="25"/>
      <c r="J3925" s="55"/>
      <c r="K3925" s="25">
        <f ca="1">IFERROR(__xludf.DUMMYFUNCTION("""COMPUTED_VALUE"""),30)</f>
        <v>30</v>
      </c>
      <c r="L3925" s="62">
        <f ca="1">IFERROR(__xludf.DUMMYFUNCTION("""COMPUTED_VALUE"""),44362)</f>
        <v>44362</v>
      </c>
      <c r="M3925" s="25" t="str">
        <f ca="1">IFERROR(__xludf.DUMMYFUNCTION("""COMPUTED_VALUE"""),"En mesas de trabajo realizadas entre la alcaldía, la secretaria distrital de hacienda y la secretaria distrital de ambiente y la SDM, para la identificación de fuentes de financiación a ser viabilizadas mediante proyectos de ley, se descartaron la tasa po"&amp;"r contaminación y el impuesto a neumáticos.
  Se sugiere revisar si estos temas siguen a cargo directamente del IDU y se evalué si deben seguir en la tabla de seguimiento.")</f>
        <v>En mesas de trabajo realizadas entre la alcaldía, la secretaria distrital de hacienda y la secretaria distrital de ambiente y la SDM, para la identificación de fuentes de financiación a ser viabilizadas mediante proyectos de ley, se descartaron la tasa por contaminación y el impuesto a neumáticos.
  Se sugiere revisar si estos temas siguen a cargo directamente del IDU y se evalué si deben seguir en la tabla de seguimiento.</v>
      </c>
      <c r="N3925" s="55">
        <f ca="1">IFERROR(__xludf.DUMMYFUNCTION("""COMPUTED_VALUE"""),44362)</f>
        <v>44362</v>
      </c>
      <c r="O3925" s="25" t="str">
        <f t="shared" ca="1" si="0"/>
        <v>Secretaría Distrital de Hacienda</v>
      </c>
      <c r="P3925" s="25" t="str">
        <f t="shared" si="2"/>
        <v/>
      </c>
      <c r="Q3925" s="25" t="str">
        <f ca="1">IFERROR(__xludf.DUMMYFUNCTION("""COMPUTED_VALUE"""),"Corto plazo")</f>
        <v>Corto plazo</v>
      </c>
      <c r="R3925" s="25"/>
      <c r="S3925" s="55"/>
      <c r="T3925" s="56"/>
      <c r="U3925" s="25"/>
      <c r="V3925" s="25"/>
      <c r="W3925" s="25"/>
      <c r="X3925" s="25"/>
      <c r="Y3925" s="25"/>
      <c r="Z3925" s="25"/>
    </row>
    <row r="3926" spans="1:26" ht="52.5" customHeight="1" x14ac:dyDescent="0.25">
      <c r="A3926" s="25" t="str">
        <f ca="1">IFERROR(__xludf.DUMMYFUNCTION("""COMPUTED_VALUE"""),"Hacie24")</f>
        <v>Hacie24</v>
      </c>
      <c r="B3926" s="25" t="str">
        <f ca="1">IFERROR(__xludf.DUMMYFUNCTION("""COMPUTED_VALUE"""),"Despachando desde la Secretaría Distrital de Hábitat")</f>
        <v>Despachando desde la Secretaría Distrital de Hábitat</v>
      </c>
      <c r="C3926" s="55">
        <f ca="1">IFERROR(__xludf.DUMMYFUNCTION("""COMPUTED_VALUE"""),44076)</f>
        <v>44076</v>
      </c>
      <c r="D3926" s="25" t="str">
        <f ca="1">IFERROR(__xludf.DUMMYFUNCTION("""COMPUTED_VALUE"""),"Hacienda")</f>
        <v>Hacienda</v>
      </c>
      <c r="E3926" s="25" t="str">
        <f ca="1">IFERROR(__xludf.DUMMYFUNCTION("""COMPUTED_VALUE"""),"Unidad Administrativa Especial de Catastro Distrital")</f>
        <v>Unidad Administrativa Especial de Catastro Distrital</v>
      </c>
      <c r="F3926" s="25" t="str">
        <f ca="1">IFERROR(__xludf.DUMMYFUNCTION("""COMPUTED_VALUE"""),"Avanzar en la unificación de catastro de redes y usuarios, con la cédula del ciudadano/usuario como único identificador")</f>
        <v>Avanzar en la unificación de catastro de redes y usuarios, con la cédula del ciudadano/usuario como único identificador</v>
      </c>
      <c r="G3926" s="25" t="str">
        <f ca="1">IFERROR(__xludf.DUMMYFUNCTION("""COMPUTED_VALUE"""),"99. Distrito")</f>
        <v>99. Distrito</v>
      </c>
      <c r="H3926" s="55">
        <f ca="1">IFERROR(__xludf.DUMMYFUNCTION("""COMPUTED_VALUE"""),44106)</f>
        <v>44106</v>
      </c>
      <c r="I3926" s="25"/>
      <c r="J3926" s="55"/>
      <c r="K3926" s="25">
        <f ca="1">IFERROR(__xludf.DUMMYFUNCTION("""COMPUTED_VALUE"""),30)</f>
        <v>30</v>
      </c>
      <c r="L3926" s="62">
        <f ca="1">IFERROR(__xludf.DUMMYFUNCTION("""COMPUTED_VALUE"""),44539)</f>
        <v>44539</v>
      </c>
      <c r="M3926" s="25" t="str">
        <f ca="1">IFERROR(__xludf.DUMMYFUNCTION("""COMPUTED_VALUE"""),"2021-11-30:
Durante este período se trabajó de manera articulada en mesas de trabajo celebradas los días 17, 23, 25, 26 y 27 de noviembre junto a la  Unidad Administrativa Especial de Catastro Distrital para la definición del cronograma y el Plan de Traba"&amp;"jo orientados a dar cumplimiento a lo dispuesto en la Fase de Alistamiento del convenio 924-2021 para la Estructuración del Catastro de Redes de Servicios Públicos.
2021-11-15:
El 8 de noviembre se suscribió el convenio interadministrativo con la Unidad A"&amp;"dministrativa Especial de Catastro Distrital cuyo objeto consiste en AUNAR ESFUERZOS TÉCNICOS, ADMINISTRATIVOS Y FINANCIEROS ENTRE LA SECRETARÍA DISTRITAL DEL HÁBITAT Y LA UNIDAD ADMINISTRATIVA ESPECIAL DE CATASTRO DISTRITAL, PARA LA ESTRUCTURACIÓN DEL CA"&amp;"TASTRO INTEGRADO DE LAS REDES DE SERVICIOS PÚBLICOS DEL DISTRITO CAPITAL VINCULADO A LA INFRAESTRUCTURA DE DATOS DEL DISTRITO.
2021-10-30:
Se concertó con la Unidad Administrativa Especial de Catastro Distrital, el Anexo Técnico que será la base del conve"&amp;"nio interinstitucional para la estructuración del catastro de redes. En este anexo se definieron las actividades a desarrollar para el proyecto así: Diagnóstico, Modelo de Gobernanza, Interoperabilidad y Geovisor de redes de Servicios Públicos. Igualmente"&amp;", se surtió el trámite con el comité de contratación de la entidad para su aprobación.
2021-10-15:
Se realizaron los ajustes a los documentos técnicos (Anexo técnico, Estudio de Sector, Matriz de Riesgos, Estudios Previos) derivados de los acuerdos gestio"&amp;"nados entre los directivos de la SDHT y UAECD en las reuniones del 30 de septiembre y del 5 de octubre, con el propósito de avanzar en la estructuración del convenio interadministrativo cuyo objeto consiste en AUNAR ESFUERZOS TÉCNICOS, ADMINISTRATIVOS Y F"&amp;"INANCIEROS ENTRE LA SECRETARÍA DISTRITAL DEL HÁBITAT Y LA UNIDAD ADMINISTRATIVA ESPECIAL DE CATASTRO DISTRITAL, PARA LA ESTRUCTURACIÓN DEL CATASTRO INTEGRADO DE LAS REDES DE SERVICIOS PÚBLICOS DEL DISTRITO CAPITAL VINCULADO A LA INFRAESTRUCTURA DE DATOS D"&amp;"EL DISTRITO.
2021-09-30:
1. Se elaboraron los documentos técnicos (Anexo técnico, Estudio de Sector, Matriz de Riesgos, Estudios Previos) y las consultas jurídicas para el desarrollo del Convenio cuyo objeto consiste en:  ""Aunar esfuerzos técnicos, admin"&amp;"istrativos y financieros entre la Secretaría Distrital del Hábitat y la Unidad Administrativa de Catastro Distrital con el fin de adelantar la construcción y consolidación del catastro de redes de los servicios públicos  domiciliarios""
2. 
2021-09-15:
1."&amp;" En este período se llevaron a cabo mesas de trabajo intersectoriales, así como al interior de la SDHT para realizar la evaluación de la propuesta técnica, jurídica y económica presentada por AGATA para la elaboración de las actividades relacionadas con e"&amp;"l proyecto de Catastro de Redes de Servicios Públicos para proceder con la elaboración del contrato interadministrativo.
2. Igualmente, en el marco del modelo de datos se identificaron los atributos estáticos y dinámicos , así como las posibles relaciones"&amp;" que tienen los datos para definir una propuesta de usuarios en particular al servicio de energía operado por Vatia.
2021-08-30:
1. En este período se revisó y se hicieron las observaciones correspondientes a la propuesta presentada por la Agencia Analít"&amp;"ica de Datos en la que se contempla la realización del Diagnóstico, Fábrica de Datos e Interoperabilidad de redes y usuarios de Servicios Públicos.
2. Con el fin de elaborar una propuesta inicial de un lenguaje de modelo unificado para  Usuarios , se come"&amp;"nzó a revisar la información contenida en las diferentes facturas de servicios públicos , que permita encontrar  datos estáticos , datos dinámicos y datos dinámicos que permita elaborar relaciones . Luego de la clasificación de los datos se dispondrá a di"&amp;"señar los modelos
2021-08-15: 
1. Se celebraron desde la Subsecretaría de Planeación y Política, reuniones con AGATA e IDECA respectivamente para revisar la retroalimentación con respecto a los anexos técnicos presentados, para la suscripción de los corr"&amp;"espondientes contratos o convenios.
2. Se celebró una mesa técnica adicional con IDECA para realizar los ajustes correspondientes a la propuesta técnica a presentar por parte de esta entidad como propuesta para el convenio interadministrativo. Esta propue"&amp;"sta, se presentará en la tercera semana del mes de agosto.
3. Se definieron los niveles de información de telecomunicaciones, en específico de ETB, los cuales se incluirán en la propuesta de modelo. Igualmente, se adelanta el diligenciamiento del dicciona"&amp;"rio en cuanto a descripciones, atributos y dominios.
2021-07-30: 
1. Se realizó la identificación de los proyectos viables de ser desarrollados mediante contratos o convenios para realizar los componentes de la gestión de la interoperabilidad, el geoviso"&amp;"r de servicios públicos y el data lake de usuarios.
2. Se elaboraron los anexos técnicos para la contratación de los proyectos de gestión de interoperabilidad, módulo de geovisor de servicios públicos y data lake de usuarios.
3. Se realizó la gestión inte"&amp;"rinstitucional con la Infraestructura de Datos Espaciales y la Agencia Analítica de Datos, para definir las competencias y el alcance de los convenios interadministrativos para el desarrollo de los proyectos.
4. Se realizó la gestión con el Instituto de D"&amp;"esarrollo Urbano para conocer los niveles de información geográfica que se manejan en esta entidad.
")</f>
        <v xml:space="preserve">2021-11-30:
Durante este período se trabajó de manera articulada en mesas de trabajo celebradas los días 17, 23, 25, 26 y 27 de noviembre junto a la  Unidad Administrativa Especial de Catastro Distrital para la definición del cronograma y el Plan de Trabajo orientados a dar cumplimiento a lo dispuesto en la Fase de Alistamiento del convenio 924-2021 para la Estructuración del Catastro de Redes de Servicios Públicos.
2021-11-15:
El 8 de noviembre se suscribió el convenio interadministrativo con la Unidad Administrativa Especial de Catastro Distrital cuyo objeto consiste en AUNAR ESFUERZOS TÉCNICOS, ADMINISTRATIVOS Y FINANCIEROS ENTRE LA SECRETARÍA DISTRITAL DEL HÁBITAT Y LA UNIDAD ADMINISTRATIVA ESPECIAL DE CATASTRO DISTRITAL, PARA LA ESTRUCTURACIÓN DEL CATASTRO INTEGRADO DE LAS REDES DE SERVICIOS PÚBLICOS DEL DISTRITO CAPITAL VINCULADO A LA INFRAESTRUCTURA DE DATOS DEL DISTRITO.
2021-10-30:
Se concertó con la Unidad Administrativa Especial de Catastro Distrital, el Anexo Técnico que será la base del convenio interinstitucional para la estructuración del catastro de redes. En este anexo se definieron las actividades a desarrollar para el proyecto así: Diagnóstico, Modelo de Gobernanza, Interoperabilidad y Geovisor de redes de Servicios Públicos. Igualmente, se surtió el trámite con el comité de contratación de la entidad para su aprobación.
2021-10-15:
Se realizaron los ajustes a los documentos técnicos (Anexo técnico, Estudio de Sector, Matriz de Riesgos, Estudios Previos) derivados de los acuerdos gestionados entre los directivos de la SDHT y UAECD en las reuniones del 30 de septiembre y del 5 de octubre, con el propósito de avanzar en la estructuración del convenio interadministrativo cuyo objeto consiste en AUNAR ESFUERZOS TÉCNICOS, ADMINISTRATIVOS Y FINANCIEROS ENTRE LA SECRETARÍA DISTRITAL DEL HÁBITAT Y LA UNIDAD ADMINISTRATIVA ESPECIAL DE CATASTRO DISTRITAL, PARA LA ESTRUCTURACIÓN DEL CATASTRO INTEGRADO DE LAS REDES DE SERVICIOS PÚBLICOS DEL DISTRITO CAPITAL VINCULADO A LA INFRAESTRUCTURA DE DATOS DEL DISTRITO.
2021-09-30:
1. Se elaboraron los documentos técnicos (Anexo técnico, Estudio de Sector, Matriz de Riesgos, Estudios Previos) y las consultas jurídicas para el desarrollo del Convenio cuyo objeto consiste en:  "Aunar esfuerzos técnicos, administrativos y financieros entre la Secretaría Distrital del Hábitat y la Unidad Administrativa de Catastro Distrital con el fin de adelantar la construcción y consolidación del catastro de redes de los servicios públicos  domiciliarios"
2. 
2021-09-15:
1. En este período se llevaron a cabo mesas de trabajo intersectoriales, así como al interior de la SDHT para realizar la evaluación de la propuesta técnica, jurídica y económica presentada por AGATA para la elaboración de las actividades relacionadas con el proyecto de Catastro de Redes de Servicios Públicos para proceder con la elaboración del contrato interadministrativo.
2. Igualmente, en el marco del modelo de datos se identificaron los atributos estáticos y dinámicos , así como las posibles relaciones que tienen los datos para definir una propuesta de usuarios en particular al servicio de energía operado por Vatia.
2021-08-30:
1. En este período se revisó y se hicieron las observaciones correspondientes a la propuesta presentada por la Agencia Analítica de Datos en la que se contempla la realización del Diagnóstico, Fábrica de Datos e Interoperabilidad de redes y usuarios de Servicios Públicos.
2. Con el fin de elaborar una propuesta inicial de un lenguaje de modelo unificado para  Usuarios , se comenzó a revisar la información contenida en las diferentes facturas de servicios públicos , que permita encontrar  datos estáticos , datos dinámicos y datos dinámicos que permita elaborar relaciones . Luego de la clasificación de los datos se dispondrá a diseñar los modelos
2021-08-15: 
1. Se celebraron desde la Subsecretaría de Planeación y Política, reuniones con AGATA e IDECA respectivamente para revisar la retroalimentación con respecto a los anexos técnicos presentados, para la suscripción de los correspondientes contratos o convenios.
2. Se celebró una mesa técnica adicional con IDECA para realizar los ajustes correspondientes a la propuesta técnica a presentar por parte de esta entidad como propuesta para el convenio interadministrativo. Esta propuesta, se presentará en la tercera semana del mes de agosto.
3. Se definieron los niveles de información de telecomunicaciones, en específico de ETB, los cuales se incluirán en la propuesta de modelo. Igualmente, se adelanta el diligenciamiento del diccionario en cuanto a descripciones, atributos y dominios.
2021-07-30: 
1. Se realizó la identificación de los proyectos viables de ser desarrollados mediante contratos o convenios para realizar los componentes de la gestión de la interoperabilidad, el geovisor de servicios públicos y el data lake de usuarios.
2. Se elaboraron los anexos técnicos para la contratación de los proyectos de gestión de interoperabilidad, módulo de geovisor de servicios públicos y data lake de usuarios.
3. Se realizó la gestión interinstitucional con la Infraestructura de Datos Espaciales y la Agencia Analítica de Datos, para definir las competencias y el alcance de los convenios interadministrativos para el desarrollo de los proyectos.
4. Se realizó la gestión con el Instituto de Desarrollo Urbano para conocer los niveles de información geográfica que se manejan en esta entidad.
</v>
      </c>
      <c r="N3926" s="55">
        <f ca="1">IFERROR(__xludf.DUMMYFUNCTION("""COMPUTED_VALUE"""),44539)</f>
        <v>44539</v>
      </c>
      <c r="O3926" s="25" t="str">
        <f t="shared" ca="1" si="0"/>
        <v>Unidad Administrativa Especial de Catastro Distrital</v>
      </c>
      <c r="P3926" s="25" t="str">
        <f t="shared" si="2"/>
        <v/>
      </c>
      <c r="Q3926" s="25" t="str">
        <f ca="1">IFERROR(__xludf.DUMMYFUNCTION("""COMPUTED_VALUE"""),"Corto plazo")</f>
        <v>Corto plazo</v>
      </c>
      <c r="R3926" s="25"/>
      <c r="S3926" s="55"/>
      <c r="T3926" s="56"/>
      <c r="U3926" s="25"/>
      <c r="V3926" s="25"/>
      <c r="W3926" s="25"/>
      <c r="X3926" s="25"/>
      <c r="Y3926" s="25"/>
      <c r="Z3926" s="25"/>
    </row>
    <row r="3927" spans="1:26" ht="52.5" customHeight="1" x14ac:dyDescent="0.25">
      <c r="A3927" s="25" t="str">
        <f ca="1">IFERROR(__xludf.DUMMYFUNCTION("""COMPUTED_VALUE"""),"Hacie25")</f>
        <v>Hacie25</v>
      </c>
      <c r="B3927" s="25" t="str">
        <f ca="1">IFERROR(__xludf.DUMMYFUNCTION("""COMPUTED_VALUE"""),"CONFIS ORDINARIO")</f>
        <v>CONFIS ORDINARIO</v>
      </c>
      <c r="C3927" s="55">
        <f ca="1">IFERROR(__xludf.DUMMYFUNCTION("""COMPUTED_VALUE"""),44631)</f>
        <v>44631</v>
      </c>
      <c r="D3927" s="25" t="str">
        <f ca="1">IFERROR(__xludf.DUMMYFUNCTION("""COMPUTED_VALUE"""),"Hacienda")</f>
        <v>Hacienda</v>
      </c>
      <c r="E3927" s="25" t="str">
        <f ca="1">IFERROR(__xludf.DUMMYFUNCTION("""COMPUTED_VALUE"""),"Secretaría Distrital de Hacienda")</f>
        <v>Secretaría Distrital de Hacienda</v>
      </c>
      <c r="F3927" s="25" t="str">
        <f ca="1">IFERROR(__xludf.DUMMYFUNCTION("""COMPUTED_VALUE"""),"Articular línea de trabajo de PMR con sistema de reportes SEGPLAN, asegurando que no redundará en una tarea repetida para las entidades.")</f>
        <v>Articular línea de trabajo de PMR con sistema de reportes SEGPLAN, asegurando que no redundará en una tarea repetida para las entidades.</v>
      </c>
      <c r="G3927" s="25" t="str">
        <f ca="1">IFERROR(__xludf.DUMMYFUNCTION("""COMPUTED_VALUE"""),"99. Distrito")</f>
        <v>99. Distrito</v>
      </c>
      <c r="H3927" s="55">
        <f ca="1">IFERROR(__xludf.DUMMYFUNCTION("""COMPUTED_VALUE"""),44661)</f>
        <v>44661</v>
      </c>
      <c r="I3927" s="25"/>
      <c r="J3927" s="55"/>
      <c r="K3927" s="25">
        <f ca="1">IFERROR(__xludf.DUMMYFUNCTION("""COMPUTED_VALUE"""),30)</f>
        <v>30</v>
      </c>
      <c r="L3927" s="62"/>
      <c r="M3927" s="25" t="str">
        <f ca="1">IFERROR(__xludf.DUMMYFUNCTION("""COMPUTED_VALUE"""),"Desde la SDH en la revisión de la estructura de PMR se ha efectuado una labor conjunta con las Diferentes entidades distritales,    verificando los Productos, Objetivos e indicadores  frente a als diversas  herramientas existentes y se ha coordinado los r"&amp;"eportes PMR- Segplan en cuanto a trazadores presupuestales, tambioen en la medida de lo posible se ha unificado metodologia MGA PMR  previo consulta con als entidades. Esta es una labor continua ")</f>
        <v xml:space="preserve">Desde la SDH en la revisión de la estructura de PMR se ha efectuado una labor conjunta con las Diferentes entidades distritales,    verificando los Productos, Objetivos e indicadores  frente a als diversas  herramientas existentes y se ha coordinado los reportes PMR- Segplan en cuanto a trazadores presupuestales, tambioen en la medida de lo posible se ha unificado metodologia MGA PMR  previo consulta con als entidades. Esta es una labor continua </v>
      </c>
      <c r="N3927" s="55">
        <f ca="1">IFERROR(__xludf.DUMMYFUNCTION("""COMPUTED_VALUE"""),44927)</f>
        <v>44927</v>
      </c>
      <c r="O3927" s="25" t="str">
        <f t="shared" ca="1" si="0"/>
        <v>Secretaría Distrital de Hacienda</v>
      </c>
      <c r="P3927" s="25" t="str">
        <f t="shared" si="2"/>
        <v/>
      </c>
      <c r="Q3927" s="25" t="str">
        <f ca="1">IFERROR(__xludf.DUMMYFUNCTION("""COMPUTED_VALUE"""),"Corto plazo")</f>
        <v>Corto plazo</v>
      </c>
      <c r="R3927" s="25"/>
      <c r="S3927" s="55"/>
      <c r="T3927" s="56"/>
      <c r="U3927" s="25"/>
      <c r="V3927" s="25"/>
      <c r="W3927" s="25"/>
      <c r="X3927" s="25"/>
      <c r="Y3927" s="25"/>
      <c r="Z3927" s="25"/>
    </row>
    <row r="3928" spans="1:26" ht="52.5" customHeight="1" x14ac:dyDescent="0.25">
      <c r="A3928" s="25" t="str">
        <f ca="1">IFERROR(__xludf.DUMMYFUNCTION("""COMPUTED_VALUE"""),"Hacie26")</f>
        <v>Hacie26</v>
      </c>
      <c r="B3928" s="25" t="str">
        <f ca="1">IFERROR(__xludf.DUMMYFUNCTION("""COMPUTED_VALUE"""),"CONFIS ORDINARIO")</f>
        <v>CONFIS ORDINARIO</v>
      </c>
      <c r="C3928" s="55">
        <f ca="1">IFERROR(__xludf.DUMMYFUNCTION("""COMPUTED_VALUE"""),44631)</f>
        <v>44631</v>
      </c>
      <c r="D3928" s="25" t="str">
        <f ca="1">IFERROR(__xludf.DUMMYFUNCTION("""COMPUTED_VALUE"""),"Hacienda")</f>
        <v>Hacienda</v>
      </c>
      <c r="E3928" s="25" t="str">
        <f ca="1">IFERROR(__xludf.DUMMYFUNCTION("""COMPUTED_VALUE"""),"Secretaría Distrital de Hacienda")</f>
        <v>Secretaría Distrital de Hacienda</v>
      </c>
      <c r="F3928" s="25" t="str">
        <f ca="1">IFERROR(__xludf.DUMMYFUNCTION("""COMPUTED_VALUE"""),"Estudiar sí las nuevas herramientas de recepción de información presupuestal dirigidas especialmente a Calidad del Gasto implican un nuevo desarrollo dentro de BogData. El objetivo es que no existen herramientas paralelas al sistema.")</f>
        <v>Estudiar sí las nuevas herramientas de recepción de información presupuestal dirigidas especialmente a Calidad del Gasto implican un nuevo desarrollo dentro de BogData. El objetivo es que no existen herramientas paralelas al sistema.</v>
      </c>
      <c r="G3928" s="25" t="str">
        <f ca="1">IFERROR(__xludf.DUMMYFUNCTION("""COMPUTED_VALUE"""),"99. Distrito")</f>
        <v>99. Distrito</v>
      </c>
      <c r="H3928" s="55">
        <f ca="1">IFERROR(__xludf.DUMMYFUNCTION("""COMPUTED_VALUE"""),44661)</f>
        <v>44661</v>
      </c>
      <c r="I3928" s="25"/>
      <c r="J3928" s="55"/>
      <c r="K3928" s="25">
        <f ca="1">IFERROR(__xludf.DUMMYFUNCTION("""COMPUTED_VALUE"""),30)</f>
        <v>30</v>
      </c>
      <c r="L3928" s="62"/>
      <c r="M3928" s="25" t="str">
        <f ca="1">IFERROR(__xludf.DUMMYFUNCTION("""COMPUTED_VALUE"""),"Se esta trabajando en el ajuste de PMR en bogdata  y se esta parametrizando el tema de trazadores que se encuentra en desarrollo. ")</f>
        <v xml:space="preserve">Se esta trabajando en el ajuste de PMR en bogdata  y se esta parametrizando el tema de trazadores que se encuentra en desarrollo. </v>
      </c>
      <c r="N3928" s="55">
        <f ca="1">IFERROR(__xludf.DUMMYFUNCTION("""COMPUTED_VALUE"""),44927)</f>
        <v>44927</v>
      </c>
      <c r="O3928" s="25" t="str">
        <f t="shared" ca="1" si="0"/>
        <v>Secretaría Distrital de Hacienda</v>
      </c>
      <c r="P3928" s="25" t="str">
        <f t="shared" si="2"/>
        <v/>
      </c>
      <c r="Q3928" s="25" t="str">
        <f ca="1">IFERROR(__xludf.DUMMYFUNCTION("""COMPUTED_VALUE"""),"Corto plazo")</f>
        <v>Corto plazo</v>
      </c>
      <c r="R3928" s="25"/>
      <c r="S3928" s="55"/>
      <c r="T3928" s="56"/>
      <c r="U3928" s="25"/>
      <c r="V3928" s="25"/>
      <c r="W3928" s="25"/>
      <c r="X3928" s="25"/>
      <c r="Y3928" s="25"/>
      <c r="Z3928" s="25"/>
    </row>
    <row r="3929" spans="1:26" ht="52.5" customHeight="1" x14ac:dyDescent="0.25">
      <c r="A3929" s="25" t="str">
        <f ca="1">IFERROR(__xludf.DUMMYFUNCTION("""COMPUTED_VALUE"""),"Hacie27")</f>
        <v>Hacie27</v>
      </c>
      <c r="B3929" s="25" t="str">
        <f ca="1">IFERROR(__xludf.DUMMYFUNCTION("""COMPUTED_VALUE"""),"Junta de infraestructura")</f>
        <v>Junta de infraestructura</v>
      </c>
      <c r="C3929" s="55">
        <f ca="1">IFERROR(__xludf.DUMMYFUNCTION("""COMPUTED_VALUE"""),44704)</f>
        <v>44704</v>
      </c>
      <c r="D3929" s="25" t="str">
        <f ca="1">IFERROR(__xludf.DUMMYFUNCTION("""COMPUTED_VALUE"""),"Hacienda")</f>
        <v>Hacienda</v>
      </c>
      <c r="E3929" s="25" t="str">
        <f ca="1">IFERROR(__xludf.DUMMYFUNCTION("""COMPUTED_VALUE"""),"Unidad Administrativa Especial de Catastro Distrital")</f>
        <v>Unidad Administrativa Especial de Catastro Distrital</v>
      </c>
      <c r="F3929" s="25" t="str">
        <f ca="1">IFERROR(__xludf.DUMMYFUNCTION("""COMPUTED_VALUE"""),"Revisar necesidades incluidas las del próximo semestre y equipo requerido. ")</f>
        <v xml:space="preserve">Revisar necesidades incluidas las del próximo semestre y equipo requerido. </v>
      </c>
      <c r="G3929" s="25" t="str">
        <f ca="1">IFERROR(__xludf.DUMMYFUNCTION("""COMPUTED_VALUE"""),"99. Distrito")</f>
        <v>99. Distrito</v>
      </c>
      <c r="H3929" s="55">
        <f ca="1">IFERROR(__xludf.DUMMYFUNCTION("""COMPUTED_VALUE"""),44734)</f>
        <v>44734</v>
      </c>
      <c r="I3929" s="25"/>
      <c r="J3929" s="55"/>
      <c r="K3929" s="25">
        <f ca="1">IFERROR(__xludf.DUMMYFUNCTION("""COMPUTED_VALUE"""),30)</f>
        <v>30</v>
      </c>
      <c r="L3929" s="62"/>
      <c r="M3929" s="25"/>
      <c r="N3929" s="55">
        <f ca="1">IFERROR(__xludf.DUMMYFUNCTION("""COMPUTED_VALUE"""),44927)</f>
        <v>44927</v>
      </c>
      <c r="O3929" s="25" t="str">
        <f t="shared" ca="1" si="0"/>
        <v>Unidad Administrativa Especial de Catastro Distrital</v>
      </c>
      <c r="P3929" s="25" t="str">
        <f t="shared" si="2"/>
        <v/>
      </c>
      <c r="Q3929" s="25" t="str">
        <f ca="1">IFERROR(__xludf.DUMMYFUNCTION("""COMPUTED_VALUE"""),"Corto plazo")</f>
        <v>Corto plazo</v>
      </c>
      <c r="R3929" s="25"/>
      <c r="S3929" s="55"/>
      <c r="T3929" s="56"/>
      <c r="U3929" s="25"/>
      <c r="V3929" s="25"/>
      <c r="W3929" s="25"/>
      <c r="X3929" s="25"/>
      <c r="Y3929" s="25"/>
      <c r="Z3929" s="25"/>
    </row>
    <row r="3930" spans="1:26" ht="52.5" customHeight="1" x14ac:dyDescent="0.25">
      <c r="A3930" s="25" t="str">
        <f ca="1">IFERROR(__xludf.DUMMYFUNCTION("""COMPUTED_VALUE"""),"Hacie28")</f>
        <v>Hacie28</v>
      </c>
      <c r="B3930" s="25" t="str">
        <f ca="1">IFERROR(__xludf.DUMMYFUNCTION("""COMPUTED_VALUE"""),"Reunión privada movilidad ")</f>
        <v xml:space="preserve">Reunión privada movilidad </v>
      </c>
      <c r="C3930" s="55">
        <f ca="1">IFERROR(__xludf.DUMMYFUNCTION("""COMPUTED_VALUE"""),44586)</f>
        <v>44586</v>
      </c>
      <c r="D3930" s="25" t="str">
        <f ca="1">IFERROR(__xludf.DUMMYFUNCTION("""COMPUTED_VALUE"""),"Hacienda")</f>
        <v>Hacienda</v>
      </c>
      <c r="E3930" s="25" t="str">
        <f ca="1">IFERROR(__xludf.DUMMYFUNCTION("""COMPUTED_VALUE"""),"Secretaría Distrital de Hacienda")</f>
        <v>Secretaría Distrital de Hacienda</v>
      </c>
      <c r="F3930" s="25" t="str">
        <f ca="1">IFERROR(__xludf.DUMMYFUNCTION("""COMPUTED_VALUE"""),"Articularse con la Secretaría de Movilidad para revisar los incentivos de impuestos vehiculares a los que comparten el carro")</f>
        <v>Articularse con la Secretaría de Movilidad para revisar los incentivos de impuestos vehiculares a los que comparten el carro</v>
      </c>
      <c r="G3930" s="25" t="str">
        <f ca="1">IFERROR(__xludf.DUMMYFUNCTION("""COMPUTED_VALUE"""),"99. Distrito")</f>
        <v>99. Distrito</v>
      </c>
      <c r="H3930" s="55">
        <f ca="1">IFERROR(__xludf.DUMMYFUNCTION("""COMPUTED_VALUE"""),44910)</f>
        <v>44910</v>
      </c>
      <c r="I3930" s="25"/>
      <c r="J3930" s="55"/>
      <c r="K3930" s="25">
        <f ca="1">IFERROR(__xludf.DUMMYFUNCTION("""COMPUTED_VALUE"""),324)</f>
        <v>324</v>
      </c>
      <c r="L3930" s="62">
        <f ca="1">IFERROR(__xludf.DUMMYFUNCTION("""COMPUTED_VALUE"""),44894)</f>
        <v>44894</v>
      </c>
      <c r="M3930" s="25" t="str">
        <f ca="1">IFERROR(__xludf.DUMMYFUNCTION("""COMPUTED_VALUE"""),"Durante el año 2022 la Secretaría Distrital de Hacienda, en el marco de su agenda normativa en el Concejo de Bogotá, no presentó ninguna iniciativa relacionada con incentivos tributarios para los impuestos distritales. Se considerará la presentación de in"&amp;"centivos tributarios a la movilidad en el año 2023.")</f>
        <v>Durante el año 2022 la Secretaría Distrital de Hacienda, en el marco de su agenda normativa en el Concejo de Bogotá, no presentó ninguna iniciativa relacionada con incentivos tributarios para los impuestos distritales. Se considerará la presentación de incentivos tributarios a la movilidad en el año 2023.</v>
      </c>
      <c r="N3930" s="55">
        <f ca="1">IFERROR(__xludf.DUMMYFUNCTION("""COMPUTED_VALUE"""),44910)</f>
        <v>44910</v>
      </c>
      <c r="O3930" s="25" t="str">
        <f t="shared" ca="1" si="0"/>
        <v>Secretaría Distrital de Hacienda</v>
      </c>
      <c r="P3930" s="25" t="str">
        <f t="shared" si="2"/>
        <v/>
      </c>
      <c r="Q3930" s="25" t="str">
        <f ca="1">IFERROR(__xludf.DUMMYFUNCTION("""COMPUTED_VALUE"""),"Largo plazo")</f>
        <v>Largo plazo</v>
      </c>
      <c r="R3930" s="25"/>
      <c r="S3930" s="55"/>
      <c r="T3930" s="56"/>
      <c r="U3930" s="25"/>
      <c r="V3930" s="25"/>
      <c r="W3930" s="25"/>
      <c r="X3930" s="25"/>
      <c r="Y3930" s="25"/>
      <c r="Z3930" s="25"/>
    </row>
    <row r="3931" spans="1:26" ht="52.5" customHeight="1" x14ac:dyDescent="0.25">
      <c r="A3931" s="25" t="str">
        <f ca="1">IFERROR(__xludf.DUMMYFUNCTION("""COMPUTED_VALUE"""),"Hacie29")</f>
        <v>Hacie29</v>
      </c>
      <c r="B3931" s="25" t="str">
        <f ca="1">IFERROR(__xludf.DUMMYFUNCTION("""COMPUTED_VALUE"""),"Junta de infraestructura")</f>
        <v>Junta de infraestructura</v>
      </c>
      <c r="C3931" s="55">
        <f ca="1">IFERROR(__xludf.DUMMYFUNCTION("""COMPUTED_VALUE"""),44727)</f>
        <v>44727</v>
      </c>
      <c r="D3931" s="25" t="str">
        <f ca="1">IFERROR(__xludf.DUMMYFUNCTION("""COMPUTED_VALUE"""),"Hacienda")</f>
        <v>Hacienda</v>
      </c>
      <c r="E3931" s="25" t="str">
        <f ca="1">IFERROR(__xludf.DUMMYFUNCTION("""COMPUTED_VALUE"""),"Secretaría Distrital de Hacienda")</f>
        <v>Secretaría Distrital de Hacienda</v>
      </c>
      <c r="F3931" s="25" t="str">
        <f ca="1">IFERROR(__xludf.DUMMYFUNCTION("""COMPUTED_VALUE"""),"Comprometer el 30% en 2023, el resto del porcentaje para vigencias futuras ordinarias de 2024 y 2025 en el presupuesto ERU (se requiere aval fiscal y declaratoria de importancia estratégica)")</f>
        <v>Comprometer el 30% en 2023, el resto del porcentaje para vigencias futuras ordinarias de 2024 y 2025 en el presupuesto ERU (se requiere aval fiscal y declaratoria de importancia estratégica)</v>
      </c>
      <c r="G3931" s="25" t="str">
        <f ca="1">IFERROR(__xludf.DUMMYFUNCTION("""COMPUTED_VALUE"""),"99. Distrito")</f>
        <v>99. Distrito</v>
      </c>
      <c r="H3931" s="55">
        <f ca="1">IFERROR(__xludf.DUMMYFUNCTION("""COMPUTED_VALUE"""),44757)</f>
        <v>44757</v>
      </c>
      <c r="I3931" s="25"/>
      <c r="J3931" s="55"/>
      <c r="K3931" s="25">
        <f ca="1">IFERROR(__xludf.DUMMYFUNCTION("""COMPUTED_VALUE"""),30)</f>
        <v>30</v>
      </c>
      <c r="L3931" s="62"/>
      <c r="M3931" s="25" t="str">
        <f ca="1">IFERROR(__xludf.DUMMYFUNCTION("""COMPUTED_VALUE"""),"En el mes de octubre se realizó reunión con la ERU, y de acuerdo con el flujo proyectado para el ejecución del proyecto ""Estudios, diseños, permisos y licencias, construcción de Nodos de Equipamientos Altamira y La Gloria, dentro del “Proyecto Integral d"&amp;"e Revitalización en el ámbito del Cable Aéreo San Cristóbal, CASC"", se programó en el presupuesto del 2023 recursos por $63.100 millones de cupo de endeudamiento.  Para el año 2024 se proyecta $122.400 millones y para el año 2025: $65.500 millones. ")</f>
        <v xml:space="preserve">En el mes de octubre se realizó reunión con la ERU, y de acuerdo con el flujo proyectado para el ejecución del proyecto "Estudios, diseños, permisos y licencias, construcción de Nodos de Equipamientos Altamira y La Gloria, dentro del “Proyecto Integral de Revitalización en el ámbito del Cable Aéreo San Cristóbal, CASC", se programó en el presupuesto del 2023 recursos por $63.100 millones de cupo de endeudamiento.  Para el año 2024 se proyecta $122.400 millones y para el año 2025: $65.500 millones. </v>
      </c>
      <c r="N3931" s="55">
        <f ca="1">IFERROR(__xludf.DUMMYFUNCTION("""COMPUTED_VALUE"""),44927)</f>
        <v>44927</v>
      </c>
      <c r="O3931" s="25" t="str">
        <f t="shared" ca="1" si="0"/>
        <v>Secretaría Distrital de Hacienda</v>
      </c>
      <c r="P3931" s="25" t="str">
        <f t="shared" si="2"/>
        <v/>
      </c>
      <c r="Q3931" s="25" t="str">
        <f ca="1">IFERROR(__xludf.DUMMYFUNCTION("""COMPUTED_VALUE"""),"Corto plazo")</f>
        <v>Corto plazo</v>
      </c>
      <c r="R3931" s="25"/>
      <c r="S3931" s="55"/>
      <c r="T3931" s="56"/>
      <c r="U3931" s="25"/>
      <c r="V3931" s="25"/>
      <c r="W3931" s="25"/>
      <c r="X3931" s="25"/>
      <c r="Y3931" s="25"/>
      <c r="Z3931" s="25"/>
    </row>
    <row r="3932" spans="1:26" ht="52.5" customHeight="1" x14ac:dyDescent="0.25">
      <c r="A3932" s="25" t="str">
        <f ca="1">IFERROR(__xludf.DUMMYFUNCTION("""COMPUTED_VALUE"""),"Hacie30")</f>
        <v>Hacie30</v>
      </c>
      <c r="B3932" s="25" t="str">
        <f ca="1">IFERROR(__xludf.DUMMYFUNCTION("""COMPUTED_VALUE"""),"Junta de infraestructura")</f>
        <v>Junta de infraestructura</v>
      </c>
      <c r="C3932" s="55">
        <f ca="1">IFERROR(__xludf.DUMMYFUNCTION("""COMPUTED_VALUE"""),44727)</f>
        <v>44727</v>
      </c>
      <c r="D3932" s="25" t="str">
        <f ca="1">IFERROR(__xludf.DUMMYFUNCTION("""COMPUTED_VALUE"""),"Hacienda")</f>
        <v>Hacienda</v>
      </c>
      <c r="E3932" s="25" t="str">
        <f ca="1">IFERROR(__xludf.DUMMYFUNCTION("""COMPUTED_VALUE"""),"Secretaría Distrital de Hacienda")</f>
        <v>Secretaría Distrital de Hacienda</v>
      </c>
      <c r="F3932" s="25" t="str">
        <f ca="1">IFERROR(__xludf.DUMMYFUNCTION("""COMPUTED_VALUE"""),"El Centro de Talento Creativo requiere el respaldo de la financiación de la obra que debe comenzar en agosto")</f>
        <v>El Centro de Talento Creativo requiere el respaldo de la financiación de la obra que debe comenzar en agosto</v>
      </c>
      <c r="G3932" s="25" t="str">
        <f ca="1">IFERROR(__xludf.DUMMYFUNCTION("""COMPUTED_VALUE"""),"99. Distrito")</f>
        <v>99. Distrito</v>
      </c>
      <c r="H3932" s="55">
        <f ca="1">IFERROR(__xludf.DUMMYFUNCTION("""COMPUTED_VALUE"""),44757)</f>
        <v>44757</v>
      </c>
      <c r="I3932" s="25"/>
      <c r="J3932" s="55"/>
      <c r="K3932" s="25">
        <f ca="1">IFERROR(__xludf.DUMMYFUNCTION("""COMPUTED_VALUE"""),30)</f>
        <v>30</v>
      </c>
      <c r="L3932" s="62"/>
      <c r="M3932" s="25" t="str">
        <f ca="1">IFERROR(__xludf.DUMMYFUNCTION("""COMPUTED_VALUE"""),"La Secretaría de Desarrollo Económico tenía previsto en 2022 aportar $11.500 millones para la puesta en marcha del proyecto de “Distrito de Ciencia Tecnología e Innovación de Bogotá Región- -DCTI”, los cuales presentan para reducción en esta vigencia porq"&amp;"ue solo se pueden ejecutar hasta tanto se tengan los avances y los resultados de análisis de factibilidad desarrollados por el convenio 615 de 2021 suscrito entre la Cámara de Comercio de Bogotá, la SDDE y Corferias.
Debido a lo anterior, se programan $3"&amp;"2.000 millones para 2023 así: $12.000 millones como 15% de la VF a solicitar para 2024 por $68.000 millones y $20.000 millones para otros gastos relacionados con INNOBOG.
La fuente de financiación de estos recursos corresponden a cupo de endeudamiento.")</f>
        <v>La Secretaría de Desarrollo Económico tenía previsto en 2022 aportar $11.500 millones para la puesta en marcha del proyecto de “Distrito de Ciencia Tecnología e Innovación de Bogotá Región- -DCTI”, los cuales presentan para reducción en esta vigencia porque solo se pueden ejecutar hasta tanto se tengan los avances y los resultados de análisis de factibilidad desarrollados por el convenio 615 de 2021 suscrito entre la Cámara de Comercio de Bogotá, la SDDE y Corferias.
Debido a lo anterior, se programan $32.000 millones para 2023 así: $12.000 millones como 15% de la VF a solicitar para 2024 por $68.000 millones y $20.000 millones para otros gastos relacionados con INNOBOG.
La fuente de financiación de estos recursos corresponden a cupo de endeudamiento.</v>
      </c>
      <c r="N3932" s="55">
        <f ca="1">IFERROR(__xludf.DUMMYFUNCTION("""COMPUTED_VALUE"""),44927)</f>
        <v>44927</v>
      </c>
      <c r="O3932" s="25" t="str">
        <f t="shared" ca="1" si="0"/>
        <v>Secretaría Distrital de Hacienda</v>
      </c>
      <c r="P3932" s="25" t="str">
        <f t="shared" si="2"/>
        <v/>
      </c>
      <c r="Q3932" s="25" t="str">
        <f ca="1">IFERROR(__xludf.DUMMYFUNCTION("""COMPUTED_VALUE"""),"Corto plazo")</f>
        <v>Corto plazo</v>
      </c>
      <c r="R3932" s="25"/>
      <c r="S3932" s="55"/>
      <c r="T3932" s="56"/>
      <c r="U3932" s="25"/>
      <c r="V3932" s="25"/>
      <c r="W3932" s="25"/>
      <c r="X3932" s="25"/>
      <c r="Y3932" s="25"/>
      <c r="Z3932" s="25"/>
    </row>
    <row r="3933" spans="1:26" ht="52.5" customHeight="1" x14ac:dyDescent="0.25">
      <c r="A3933" s="25" t="str">
        <f ca="1">IFERROR(__xludf.DUMMYFUNCTION("""COMPUTED_VALUE"""),"Hacie31")</f>
        <v>Hacie31</v>
      </c>
      <c r="B3933" s="25" t="str">
        <f ca="1">IFERROR(__xludf.DUMMYFUNCTION("""COMPUTED_VALUE"""),"Bogdata ")</f>
        <v xml:space="preserve">Bogdata </v>
      </c>
      <c r="C3933" s="55">
        <f ca="1">IFERROR(__xludf.DUMMYFUNCTION("""COMPUTED_VALUE"""),44768)</f>
        <v>44768</v>
      </c>
      <c r="D3933" s="25" t="str">
        <f ca="1">IFERROR(__xludf.DUMMYFUNCTION("""COMPUTED_VALUE"""),"Hacienda")</f>
        <v>Hacienda</v>
      </c>
      <c r="E3933" s="25" t="str">
        <f ca="1">IFERROR(__xludf.DUMMYFUNCTION("""COMPUTED_VALUE"""),"Secretaría Distrital de Hacienda")</f>
        <v>Secretaría Distrital de Hacienda</v>
      </c>
      <c r="F3933" s="25" t="str">
        <f ca="1">IFERROR(__xludf.DUMMYFUNCTION("""COMPUTED_VALUE"""),"Desarrollar alternativa a contrato para terminar la implementación operación de Bogdata. Puede ser la contratación de un equipo in house para cuya búsqueda se pueden apoyar en Ágata.")</f>
        <v>Desarrollar alternativa a contrato para terminar la implementación operación de Bogdata. Puede ser la contratación de un equipo in house para cuya búsqueda se pueden apoyar en Ágata.</v>
      </c>
      <c r="G3933" s="25" t="str">
        <f ca="1">IFERROR(__xludf.DUMMYFUNCTION("""COMPUTED_VALUE"""),"99. Distrito")</f>
        <v>99. Distrito</v>
      </c>
      <c r="H3933" s="55">
        <f ca="1">IFERROR(__xludf.DUMMYFUNCTION("""COMPUTED_VALUE"""),44798)</f>
        <v>44798</v>
      </c>
      <c r="I3933" s="25"/>
      <c r="J3933" s="55"/>
      <c r="K3933" s="25">
        <f ca="1">IFERROR(__xludf.DUMMYFUNCTION("""COMPUTED_VALUE"""),30)</f>
        <v>30</v>
      </c>
      <c r="L3933" s="62">
        <f ca="1">IFERROR(__xludf.DUMMYFUNCTION("""COMPUTED_VALUE"""),44880)</f>
        <v>44880</v>
      </c>
      <c r="M3933" s="25" t="str">
        <f ca="1">IFERROR(__xludf.DUMMYFUNCTION("""COMPUTED_VALUE"""),"La SDH hizo una extensiva busqueda y ha contratado el personal idóneo y calificado para brindar el soporte necesario a la solución existente y en producción de BogData, para los temas asociados al soporte del ERP. En el caso del soporte del CORE, se contr"&amp;"ató el apoyo directamente del fabricante.")</f>
        <v>La SDH hizo una extensiva busqueda y ha contratado el personal idóneo y calificado para brindar el soporte necesario a la solución existente y en producción de BogData, para los temas asociados al soporte del ERP. En el caso del soporte del CORE, se contrató el apoyo directamente del fabricante.</v>
      </c>
      <c r="N3933" s="55">
        <f ca="1">IFERROR(__xludf.DUMMYFUNCTION("""COMPUTED_VALUE"""),44880)</f>
        <v>44880</v>
      </c>
      <c r="O3933" s="25" t="str">
        <f t="shared" ca="1" si="0"/>
        <v>Secretaría Distrital de Hacienda</v>
      </c>
      <c r="P3933" s="25" t="str">
        <f t="shared" si="2"/>
        <v/>
      </c>
      <c r="Q3933" s="25" t="str">
        <f ca="1">IFERROR(__xludf.DUMMYFUNCTION("""COMPUTED_VALUE"""),"Corto plazo")</f>
        <v>Corto plazo</v>
      </c>
      <c r="R3933" s="25"/>
      <c r="S3933" s="55"/>
      <c r="T3933" s="56"/>
      <c r="U3933" s="25"/>
      <c r="V3933" s="25"/>
      <c r="W3933" s="25"/>
      <c r="X3933" s="25"/>
      <c r="Y3933" s="25"/>
      <c r="Z3933" s="25"/>
    </row>
    <row r="3934" spans="1:26" ht="52.5" customHeight="1" x14ac:dyDescent="0.25">
      <c r="A3934" s="25" t="str">
        <f ca="1">IFERROR(__xludf.DUMMYFUNCTION("""COMPUTED_VALUE"""),"Hacie32")</f>
        <v>Hacie32</v>
      </c>
      <c r="B3934" s="25" t="str">
        <f ca="1">IFERROR(__xludf.DUMMYFUNCTION("""COMPUTED_VALUE"""),"Bogdata ")</f>
        <v xml:space="preserve">Bogdata </v>
      </c>
      <c r="C3934" s="55">
        <f ca="1">IFERROR(__xludf.DUMMYFUNCTION("""COMPUTED_VALUE"""),44768)</f>
        <v>44768</v>
      </c>
      <c r="D3934" s="25" t="str">
        <f ca="1">IFERROR(__xludf.DUMMYFUNCTION("""COMPUTED_VALUE"""),"Hacienda")</f>
        <v>Hacienda</v>
      </c>
      <c r="E3934" s="25" t="str">
        <f ca="1">IFERROR(__xludf.DUMMYFUNCTION("""COMPUTED_VALUE"""),"Secretaría Distrital de Hacienda")</f>
        <v>Secretaría Distrital de Hacienda</v>
      </c>
      <c r="F3934" s="25" t="str">
        <f ca="1">IFERROR(__xludf.DUMMYFUNCTION("""COMPUTED_VALUE"""),"Mantener habilitado Botón de pago en oficina virtual como alternativa para descargar factura.")</f>
        <v>Mantener habilitado Botón de pago en oficina virtual como alternativa para descargar factura.</v>
      </c>
      <c r="G3934" s="25" t="str">
        <f ca="1">IFERROR(__xludf.DUMMYFUNCTION("""COMPUTED_VALUE"""),"99. Distrito")</f>
        <v>99. Distrito</v>
      </c>
      <c r="H3934" s="55">
        <f ca="1">IFERROR(__xludf.DUMMYFUNCTION("""COMPUTED_VALUE"""),44798)</f>
        <v>44798</v>
      </c>
      <c r="I3934" s="25"/>
      <c r="J3934" s="55"/>
      <c r="K3934" s="25">
        <f ca="1">IFERROR(__xludf.DUMMYFUNCTION("""COMPUTED_VALUE"""),30)</f>
        <v>30</v>
      </c>
      <c r="L3934" s="62">
        <f ca="1">IFERROR(__xludf.DUMMYFUNCTION("""COMPUTED_VALUE"""),44880)</f>
        <v>44880</v>
      </c>
      <c r="M3934" s="25" t="str">
        <f ca="1">IFERROR(__xludf.DUMMYFUNCTION("""COMPUTED_VALUE"""),"Se mantuvo habilitado el botón de descarga hasta el día que se venció el plazo de pago del impuesto predial y vehicular, posterior a esa fecha las facturas ya no funcionan para el pago de los mencionados impuestos. Se planea habilitar en el año 2023 apena"&amp;"s inicie la operación de recaudo de impuestos de predial y vehicular")</f>
        <v>Se mantuvo habilitado el botón de descarga hasta el día que se venció el plazo de pago del impuesto predial y vehicular, posterior a esa fecha las facturas ya no funcionan para el pago de los mencionados impuestos. Se planea habilitar en el año 2023 apenas inicie la operación de recaudo de impuestos de predial y vehicular</v>
      </c>
      <c r="N3934" s="55">
        <f ca="1">IFERROR(__xludf.DUMMYFUNCTION("""COMPUTED_VALUE"""),44880)</f>
        <v>44880</v>
      </c>
      <c r="O3934" s="25" t="str">
        <f t="shared" ca="1" si="0"/>
        <v>Secretaría Distrital de Hacienda</v>
      </c>
      <c r="P3934" s="25" t="str">
        <f t="shared" si="2"/>
        <v/>
      </c>
      <c r="Q3934" s="25" t="str">
        <f ca="1">IFERROR(__xludf.DUMMYFUNCTION("""COMPUTED_VALUE"""),"Corto plazo")</f>
        <v>Corto plazo</v>
      </c>
      <c r="R3934" s="25"/>
      <c r="S3934" s="55"/>
      <c r="T3934" s="56"/>
      <c r="U3934" s="25"/>
      <c r="V3934" s="25"/>
      <c r="W3934" s="25"/>
      <c r="X3934" s="25"/>
      <c r="Y3934" s="25"/>
      <c r="Z3934" s="25"/>
    </row>
    <row r="3935" spans="1:26" ht="52.5" customHeight="1" x14ac:dyDescent="0.25">
      <c r="A3935" s="25" t="str">
        <f ca="1">IFERROR(__xludf.DUMMYFUNCTION("""COMPUTED_VALUE"""),"Hacie33")</f>
        <v>Hacie33</v>
      </c>
      <c r="B3935" s="25" t="str">
        <f ca="1">IFERROR(__xludf.DUMMYFUNCTION("""COMPUTED_VALUE"""),"Bogdata ")</f>
        <v xml:space="preserve">Bogdata </v>
      </c>
      <c r="C3935" s="55">
        <f ca="1">IFERROR(__xludf.DUMMYFUNCTION("""COMPUTED_VALUE"""),44768)</f>
        <v>44768</v>
      </c>
      <c r="D3935" s="25" t="str">
        <f ca="1">IFERROR(__xludf.DUMMYFUNCTION("""COMPUTED_VALUE"""),"Hacienda")</f>
        <v>Hacienda</v>
      </c>
      <c r="E3935" s="25" t="str">
        <f ca="1">IFERROR(__xludf.DUMMYFUNCTION("""COMPUTED_VALUE"""),"Secretaría Distrital de Hacienda")</f>
        <v>Secretaría Distrital de Hacienda</v>
      </c>
      <c r="F3935" s="25" t="str">
        <f ca="1">IFERROR(__xludf.DUMMYFUNCTION("""COMPUTED_VALUE"""),"Rediseñar la oficina virtual para mejorar experiencia de usuarios y facilitar procesos como registro, descarga de facturas y visualización de información histórica.")</f>
        <v>Rediseñar la oficina virtual para mejorar experiencia de usuarios y facilitar procesos como registro, descarga de facturas y visualización de información histórica.</v>
      </c>
      <c r="G3935" s="25" t="str">
        <f ca="1">IFERROR(__xludf.DUMMYFUNCTION("""COMPUTED_VALUE"""),"99. Distrito")</f>
        <v>99. Distrito</v>
      </c>
      <c r="H3935" s="55">
        <f ca="1">IFERROR(__xludf.DUMMYFUNCTION("""COMPUTED_VALUE"""),44910)</f>
        <v>44910</v>
      </c>
      <c r="I3935" s="25"/>
      <c r="J3935" s="55"/>
      <c r="K3935" s="25">
        <f ca="1">IFERROR(__xludf.DUMMYFUNCTION("""COMPUTED_VALUE"""),142)</f>
        <v>142</v>
      </c>
      <c r="L3935" s="62">
        <f ca="1">IFERROR(__xludf.DUMMYFUNCTION("""COMPUTED_VALUE"""),44953)</f>
        <v>44953</v>
      </c>
      <c r="M3935" s="25" t="str">
        <f ca="1">IFERROR(__xludf.DUMMYFUNCTION("""COMPUTED_VALUE"""),"29/11/2022: Se contrató a la Universidad Nacional y a un experto en usabilidad de gobierno digital para realizar una evaluación de la usabilidad de la Oficina Virtual, dicha evaluación que se entregará en el final del año 2022 será implementada por el equ"&amp;"ipo de soporte del CORE tributario.
27/01/2023: Se diseñó una landing page alojada en el portal web de la Secretaría Distrital de Hacienda para el pago de impuestos distritales en el año 2023. Así, los contribuyentes del Distrito Capital pueden descargar "&amp;"y pagar las facturas de los impuestos distritales de manera fácil y rápida, y a quienes no se les generó una factura se les despliega un mensaje con la información sobre qué deben hacer para declarar y pagar el impuesto de la vigencia. Del mismo modo, el "&amp;"equipo de Informática y Tecnología de la SDH a partir de las recomendaciones del estudio de usabilidad que se contrató con la Universidad Nacional iniciará los correspondientes ajustes en la Oficina Virtual para una mejor experiencia de usuario de los con"&amp;"tribuyentes.")</f>
        <v>29/11/2022: Se contrató a la Universidad Nacional y a un experto en usabilidad de gobierno digital para realizar una evaluación de la usabilidad de la Oficina Virtual, dicha evaluación que se entregará en el final del año 2022 será implementada por el equipo de soporte del CORE tributario.
27/01/2023: Se diseñó una landing page alojada en el portal web de la Secretaría Distrital de Hacienda para el pago de impuestos distritales en el año 2023. Así, los contribuyentes del Distrito Capital pueden descargar y pagar las facturas de los impuestos distritales de manera fácil y rápida, y a quienes no se les generó una factura se les despliega un mensaje con la información sobre qué deben hacer para declarar y pagar el impuesto de la vigencia. Del mismo modo, el equipo de Informática y Tecnología de la SDH a partir de las recomendaciones del estudio de usabilidad que se contrató con la Universidad Nacional iniciará los correspondientes ajustes en la Oficina Virtual para una mejor experiencia de usuario de los contribuyentes.</v>
      </c>
      <c r="N3935" s="55">
        <f ca="1">IFERROR(__xludf.DUMMYFUNCTION("""COMPUTED_VALUE"""),44956)</f>
        <v>44956</v>
      </c>
      <c r="O3935" s="25" t="str">
        <f t="shared" ca="1" si="0"/>
        <v>Secretaría Distrital de Hacienda</v>
      </c>
      <c r="P3935" s="25" t="str">
        <f t="shared" si="2"/>
        <v/>
      </c>
      <c r="Q3935" s="25" t="str">
        <f ca="1">IFERROR(__xludf.DUMMYFUNCTION("""COMPUTED_VALUE"""),"Mediano plazo")</f>
        <v>Mediano plazo</v>
      </c>
      <c r="R3935" s="25"/>
      <c r="S3935" s="55"/>
      <c r="T3935" s="56"/>
      <c r="U3935" s="25"/>
      <c r="V3935" s="25"/>
      <c r="W3935" s="25"/>
      <c r="X3935" s="25"/>
      <c r="Y3935" s="25"/>
      <c r="Z3935" s="25"/>
    </row>
    <row r="3936" spans="1:26" ht="52.5" customHeight="1" x14ac:dyDescent="0.25">
      <c r="A3936" s="25" t="str">
        <f ca="1">IFERROR(__xludf.DUMMYFUNCTION("""COMPUTED_VALUE"""),"Hacie34")</f>
        <v>Hacie34</v>
      </c>
      <c r="B3936" s="25" t="str">
        <f ca="1">IFERROR(__xludf.DUMMYFUNCTION("""COMPUTED_VALUE"""),"Bogdata ")</f>
        <v xml:space="preserve">Bogdata </v>
      </c>
      <c r="C3936" s="55">
        <f ca="1">IFERROR(__xludf.DUMMYFUNCTION("""COMPUTED_VALUE"""),44768)</f>
        <v>44768</v>
      </c>
      <c r="D3936" s="25" t="str">
        <f ca="1">IFERROR(__xludf.DUMMYFUNCTION("""COMPUTED_VALUE"""),"Hacienda")</f>
        <v>Hacienda</v>
      </c>
      <c r="E3936" s="25" t="str">
        <f ca="1">IFERROR(__xludf.DUMMYFUNCTION("""COMPUTED_VALUE"""),"Secretaría Distrital de Hacienda")</f>
        <v>Secretaría Distrital de Hacienda</v>
      </c>
      <c r="F3936" s="25" t="str">
        <f ca="1">IFERROR(__xludf.DUMMYFUNCTION("""COMPUTED_VALUE"""),"Establecer estrategias para la búsqueda de usuarios perdidos enfocándose por tipo de usuario e impuesto. La estrategia debe ir más allá del uso de la tropa económica y debe sostenerse sobre el cruce de información con otras fuentes.")</f>
        <v>Establecer estrategias para la búsqueda de usuarios perdidos enfocándose por tipo de usuario e impuesto. La estrategia debe ir más allá del uso de la tropa económica y debe sostenerse sobre el cruce de información con otras fuentes.</v>
      </c>
      <c r="G3936" s="25" t="str">
        <f ca="1">IFERROR(__xludf.DUMMYFUNCTION("""COMPUTED_VALUE"""),"99. Distrito")</f>
        <v>99. Distrito</v>
      </c>
      <c r="H3936" s="55">
        <f ca="1">IFERROR(__xludf.DUMMYFUNCTION("""COMPUTED_VALUE"""),44774)</f>
        <v>44774</v>
      </c>
      <c r="I3936" s="25"/>
      <c r="J3936" s="55"/>
      <c r="K3936" s="25">
        <f ca="1">IFERROR(__xludf.DUMMYFUNCTION("""COMPUTED_VALUE"""),6)</f>
        <v>6</v>
      </c>
      <c r="L3936" s="62">
        <f ca="1">IFERROR(__xludf.DUMMYFUNCTION("""COMPUTED_VALUE"""),44985)</f>
        <v>44985</v>
      </c>
      <c r="M3936" s="25" t="str">
        <f ca="1">IFERROR(__xludf.DUMMYFUNCTION("""COMPUTED_VALUE"""),"29/11/2022: La Secretaría Distrital de Hacienda adelantará en el marco del Plan de Servicio y Control Tributario del año 2023 las correspondientes acciones tendientes a incrementar el número de usuarios registrados en la Oficina Virtual. Estas acciones se"&amp;"rán principalmente de campo en las localidades, pero también serán de carácter masivo mediante cruces de información atendiendo la instrucción de la Alcaldía. Estas acciones se deberán concretar igualmente en el primer trimestre de 2023 de cara a los prim"&amp;"eros vencimientos de los impuestos: predial y vehículos.
27/01/2023: Se diseñó una landing page alojada en el portal web de la Secretaría Distrital de Hacienda para el pago de impuestos distritales en el año 2023. Así, los contribuyentes del Distrito Capi"&amp;"tal pueden descargar y pagar las facturas de los impuestos distritales de manera fácil y rápida, y a quienes no se les generó una factura se les despliega un mensaje con la información sobre qué deben hacer para declarar y pagar el impuesto de la vigencia"&amp;". Del mismo modo, el equipo de Informática y Tecnología de la SDH a partir de las recomendaciones del estudio de usabilidad que se contrató con la Universidad Nacional iniciará los correspondientes ajustes en la Oficina Virtual para una mejor experiencia "&amp;"de usuario de los contribuyentes.
28/02/2023: El próximo lunes 6 de marzo la SDH presentará en el Despacho de la Alcaldesa el nuevo diseño y funcionamiento de la nueva landing, en la cual se puede descargar la factura y pagar las facturas de los impuestos"&amp;" predial y de vehículos en Bogotá. Además, se presentarán cifras de gestión y estrategia comunicacional para el pago de impuestos de la presente vigencia.  
")</f>
        <v xml:space="preserve">29/11/2022: La Secretaría Distrital de Hacienda adelantará en el marco del Plan de Servicio y Control Tributario del año 2023 las correspondientes acciones tendientes a incrementar el número de usuarios registrados en la Oficina Virtual. Estas acciones serán principalmente de campo en las localidades, pero también serán de carácter masivo mediante cruces de información atendiendo la instrucción de la Alcaldía. Estas acciones se deberán concretar igualmente en el primer trimestre de 2023 de cara a los primeros vencimientos de los impuestos: predial y vehículos.
27/01/2023: Se diseñó una landing page alojada en el portal web de la Secretaría Distrital de Hacienda para el pago de impuestos distritales en el año 2023. Así, los contribuyentes del Distrito Capital pueden descargar y pagar las facturas de los impuestos distritales de manera fácil y rápida, y a quienes no se les generó una factura se les despliega un mensaje con la información sobre qué deben hacer para declarar y pagar el impuesto de la vigencia. Del mismo modo, el equipo de Informática y Tecnología de la SDH a partir de las recomendaciones del estudio de usabilidad que se contrató con la Universidad Nacional iniciará los correspondientes ajustes en la Oficina Virtual para una mejor experiencia de usuario de los contribuyentes.
28/02/2023: El próximo lunes 6 de marzo la SDH presentará en el Despacho de la Alcaldesa el nuevo diseño y funcionamiento de la nueva landing, en la cual se puede descargar la factura y pagar las facturas de los impuestos predial y de vehículos en Bogotá. Además, se presentarán cifras de gestión y estrategia comunicacional para el pago de impuestos de la presente vigencia.  
</v>
      </c>
      <c r="N3936" s="55">
        <f ca="1">IFERROR(__xludf.DUMMYFUNCTION("""COMPUTED_VALUE"""),45012)</f>
        <v>45012</v>
      </c>
      <c r="O3936" s="25" t="str">
        <f t="shared" ca="1" si="0"/>
        <v>Secretaría Distrital de Hacienda</v>
      </c>
      <c r="P3936" s="25" t="str">
        <f t="shared" si="2"/>
        <v/>
      </c>
      <c r="Q3936" s="25" t="str">
        <f ca="1">IFERROR(__xludf.DUMMYFUNCTION("""COMPUTED_VALUE"""),"Corto plazo")</f>
        <v>Corto plazo</v>
      </c>
      <c r="R3936" s="25"/>
      <c r="S3936" s="55"/>
      <c r="T3936" s="56"/>
      <c r="U3936" s="25"/>
      <c r="V3936" s="25"/>
      <c r="W3936" s="25"/>
      <c r="X3936" s="25"/>
      <c r="Y3936" s="25"/>
      <c r="Z3936" s="25"/>
    </row>
    <row r="3937" spans="1:26" ht="52.5" customHeight="1" x14ac:dyDescent="0.25">
      <c r="A3937" s="25" t="str">
        <f ca="1">IFERROR(__xludf.DUMMYFUNCTION("""COMPUTED_VALUE"""),"Hacie35")</f>
        <v>Hacie35</v>
      </c>
      <c r="B3937" s="25" t="str">
        <f ca="1">IFERROR(__xludf.DUMMYFUNCTION("""COMPUTED_VALUE"""),"Junta de infraestructura")</f>
        <v>Junta de infraestructura</v>
      </c>
      <c r="C3937" s="55">
        <f ca="1">IFERROR(__xludf.DUMMYFUNCTION("""COMPUTED_VALUE"""),44769)</f>
        <v>44769</v>
      </c>
      <c r="D3937" s="25" t="str">
        <f ca="1">IFERROR(__xludf.DUMMYFUNCTION("""COMPUTED_VALUE"""),"Hacienda")</f>
        <v>Hacienda</v>
      </c>
      <c r="E3937" s="25" t="str">
        <f ca="1">IFERROR(__xludf.DUMMYFUNCTION("""COMPUTED_VALUE"""),"Unidad Administrativa Especial de Catastro Distrital")</f>
        <v>Unidad Administrativa Especial de Catastro Distrital</v>
      </c>
      <c r="F3937" s="25" t="str">
        <f ca="1">IFERROR(__xludf.DUMMYFUNCTION("""COMPUTED_VALUE"""),"Articularse la UAECD - IDU para reorganizar las prioridades para la generación de avalúos en 2022, teniendo en cuenta los cronogramas de obra de los proyectos revisados en la Junta de Infraestructura. ")</f>
        <v xml:space="preserve">Articularse la UAECD - IDU para reorganizar las prioridades para la generación de avalúos en 2022, teniendo en cuenta los cronogramas de obra de los proyectos revisados en la Junta de Infraestructura. </v>
      </c>
      <c r="G3937" s="25" t="str">
        <f ca="1">IFERROR(__xludf.DUMMYFUNCTION("""COMPUTED_VALUE"""),"99. Distrito")</f>
        <v>99. Distrito</v>
      </c>
      <c r="H3937" s="55">
        <f ca="1">IFERROR(__xludf.DUMMYFUNCTION("""COMPUTED_VALUE"""),44895)</f>
        <v>44895</v>
      </c>
      <c r="I3937" s="25"/>
      <c r="J3937" s="55"/>
      <c r="K3937" s="25">
        <f ca="1">IFERROR(__xludf.DUMMYFUNCTION("""COMPUTED_VALUE"""),126)</f>
        <v>126</v>
      </c>
      <c r="L3937" s="62">
        <f ca="1">IFERROR(__xludf.DUMMYFUNCTION("""COMPUTED_VALUE"""),44953)</f>
        <v>44953</v>
      </c>
      <c r="M3937" s="25" t="str">
        <f ca="1">IFERROR(__xludf.DUMMYFUNCTION("""COMPUTED_VALUE"""),"29/11/2022: Se realizó sesión de trabajo entre IDU y la UAECD el 10/11/22, en donde se ajustaron las prioridades enfocadas a la mayor ejecución de recursos por parte del IDU y sus proyectos prioritarios. Se espera entregar 376 avalúos al 30 de Nov.
27/01/"&amp;"2023: De acuerdo con los compromisos y prioridades establecidas en la reunión del 10 de noviembre la Unidad cumplió con la entrega de 312 avalúos comerciales correspondiente a un 82.5%, lo priorizados de los proyectos así:
•        Cable san Cristóbal, c"&amp;"ompromiso 8 entregado 8 cumplimiento 100%
•        Cable San Cristóbal Nodos, compromiso 37 entregado 55 complimiento 150%
•        Intersección NQS, compromiso 3 entregado 3 cumplimiento 100%
•        Otros proyectos, compromiso 29 entregado 21 cumpli"&amp;"miento 72%
•        Sitios inestables, compromiso 13 entregado 3 cumplimiento 23%
•        Troncal 68, compromiso 19 entregado 14 cumplimiento 74%
•        Troncal Av. Ciudad de Cali, compromiso 5 entregado 3 cumplimiento 60%
•        Troncal centenar"&amp;"io, compromiso 242 entregado 184 cumplimiento 76%
•        Metro, compromiso 15 entregado 15 cumplimiento 100%
•        Valorización, compromiso 7 entregado 6 cumplimiento 86%
Es importante mencionar que hubo otra reunión con los técnicos del IDU en la"&amp;" que se acordó priorizar la entrega de la totalidad de radicados del proyecto Cable San Cristóbal Nodos y los predios que tuvieran una ejecución presupuestal importante lo que equivalió sacrificar las otras solicitudes sin tener en cuenta las fechas de ra"&amp;"dicación sino la ejecución presupuestal.
")</f>
        <v xml:space="preserve">29/11/2022: Se realizó sesión de trabajo entre IDU y la UAECD el 10/11/22, en donde se ajustaron las prioridades enfocadas a la mayor ejecución de recursos por parte del IDU y sus proyectos prioritarios. Se espera entregar 376 avalúos al 30 de Nov.
27/01/2023: De acuerdo con los compromisos y prioridades establecidas en la reunión del 10 de noviembre la Unidad cumplió con la entrega de 312 avalúos comerciales correspondiente a un 82.5%, lo priorizados de los proyectos así:
•        Cable san Cristóbal, compromiso 8 entregado 8 cumplimiento 100%
•        Cable San Cristóbal Nodos, compromiso 37 entregado 55 complimiento 150%
•        Intersección NQS, compromiso 3 entregado 3 cumplimiento 100%
•        Otros proyectos, compromiso 29 entregado 21 cumplimiento 72%
•        Sitios inestables, compromiso 13 entregado 3 cumplimiento 23%
•        Troncal 68, compromiso 19 entregado 14 cumplimiento 74%
•        Troncal Av. Ciudad de Cali, compromiso 5 entregado 3 cumplimiento 60%
•        Troncal centenario, compromiso 242 entregado 184 cumplimiento 76%
•        Metro, compromiso 15 entregado 15 cumplimiento 100%
•        Valorización, compromiso 7 entregado 6 cumplimiento 86%
Es importante mencionar que hubo otra reunión con los técnicos del IDU en la que se acordó priorizar la entrega de la totalidad de radicados del proyecto Cable San Cristóbal Nodos y los predios que tuvieran una ejecución presupuestal importante lo que equivalió sacrificar las otras solicitudes sin tener en cuenta las fechas de radicación sino la ejecución presupuestal.
</v>
      </c>
      <c r="N3937" s="55">
        <f ca="1">IFERROR(__xludf.DUMMYFUNCTION("""COMPUTED_VALUE"""),44953)</f>
        <v>44953</v>
      </c>
      <c r="O3937" s="25" t="str">
        <f t="shared" ca="1" si="0"/>
        <v>Unidad Administrativa Especial de Catastro Distrital</v>
      </c>
      <c r="P3937" s="25" t="str">
        <f t="shared" si="2"/>
        <v/>
      </c>
      <c r="Q3937" s="25" t="str">
        <f ca="1">IFERROR(__xludf.DUMMYFUNCTION("""COMPUTED_VALUE"""),"Mediano plazo")</f>
        <v>Mediano plazo</v>
      </c>
      <c r="R3937" s="25"/>
      <c r="S3937" s="55"/>
      <c r="T3937" s="56"/>
      <c r="U3937" s="25"/>
      <c r="V3937" s="25"/>
      <c r="W3937" s="25"/>
      <c r="X3937" s="25"/>
      <c r="Y3937" s="25"/>
      <c r="Z3937" s="25"/>
    </row>
    <row r="3938" spans="1:26" ht="52.5" customHeight="1" x14ac:dyDescent="0.25">
      <c r="A3938" s="25" t="str">
        <f ca="1">IFERROR(__xludf.DUMMYFUNCTION("""COMPUTED_VALUE"""),"Hacie36")</f>
        <v>Hacie36</v>
      </c>
      <c r="B3938" s="25" t="str">
        <f ca="1">IFERROR(__xludf.DUMMYFUNCTION("""COMPUTED_VALUE"""),"Visita a zona de reserva Campesina - Sumapaz")</f>
        <v>Visita a zona de reserva Campesina - Sumapaz</v>
      </c>
      <c r="C3938" s="55">
        <f ca="1">IFERROR(__xludf.DUMMYFUNCTION("""COMPUTED_VALUE"""),44961)</f>
        <v>44961</v>
      </c>
      <c r="D3938" s="25" t="str">
        <f ca="1">IFERROR(__xludf.DUMMYFUNCTION("""COMPUTED_VALUE"""),"Hacienda")</f>
        <v>Hacienda</v>
      </c>
      <c r="E3938" s="25" t="str">
        <f ca="1">IFERROR(__xludf.DUMMYFUNCTION("""COMPUTED_VALUE"""),"Unidad Administrativa Especial de Catastro Distrital")</f>
        <v>Unidad Administrativa Especial de Catastro Distrital</v>
      </c>
      <c r="F3938" s="25" t="str">
        <f ca="1">IFERROR(__xludf.DUMMYFUNCTION("""COMPUTED_VALUE"""),"Catastro debe organizar una jornada de atención al ciudadano en coordinación con la alcaldía local (Se presentan muchas dudas sobre el avalúo catastral)")</f>
        <v>Catastro debe organizar una jornada de atención al ciudadano en coordinación con la alcaldía local (Se presentan muchas dudas sobre el avalúo catastral)</v>
      </c>
      <c r="G3938" s="25" t="str">
        <f ca="1">IFERROR(__xludf.DUMMYFUNCTION("""COMPUTED_VALUE"""),"20. Sumapaz")</f>
        <v>20. Sumapaz</v>
      </c>
      <c r="H3938" s="55">
        <f ca="1">IFERROR(__xludf.DUMMYFUNCTION("""COMPUTED_VALUE"""),44985)</f>
        <v>44985</v>
      </c>
      <c r="I3938" s="25"/>
      <c r="J3938" s="55"/>
      <c r="K3938" s="25">
        <f ca="1">IFERROR(__xludf.DUMMYFUNCTION("""COMPUTED_VALUE"""),24)</f>
        <v>24</v>
      </c>
      <c r="L3938" s="62">
        <f ca="1">IFERROR(__xludf.DUMMYFUNCTION("""COMPUTED_VALUE"""),45012)</f>
        <v>45012</v>
      </c>
      <c r="M3938" s="25" t="str">
        <f ca="1">IFERROR(__xludf.DUMMYFUNCTION("""COMPUTED_VALUE"""),"01/03/2023: El 31/01/2023 se realizó reunión con la SDH para coordinar la generación de facturas. El 06 /02/2023 se remitie información a la SDH para la generación de facturas. El 2 marzo se realizará con la Alcaldía local sesión preparatoria para la aten"&amp;"ción presencial en la localidad, en el centro poblado que se determine. Como producto de la sesión  se definirá la fecha de la jornada a la que asistirán UAECD y SDH.
27/03/2023:  Se adelantaron  de atención conjunta entre la UAECD y la Secretaria  Distri"&amp;"tal de Hacienda el 2 dos jornadas el 26 de marzo de 2023, en donde se  brindó información acerca de las variaciones del avaluó catastral y los impuestos prediales en la Localidad Sumapaz en los puntos  de Centro poblado de San Juan y en el Centro poblado "&amp;"de Nazaret")</f>
        <v>01/03/2023: El 31/01/2023 se realizó reunión con la SDH para coordinar la generación de facturas. El 06 /02/2023 se remitie información a la SDH para la generación de facturas. El 2 marzo se realizará con la Alcaldía local sesión preparatoria para la atención presencial en la localidad, en el centro poblado que se determine. Como producto de la sesión  se definirá la fecha de la jornada a la que asistirán UAECD y SDH.
27/03/2023:  Se adelantaron  de atención conjunta entre la UAECD y la Secretaria  Distrital de Hacienda el 2 dos jornadas el 26 de marzo de 2023, en donde se  brindó información acerca de las variaciones del avaluó catastral y los impuestos prediales en la Localidad Sumapaz en los puntos  de Centro poblado de San Juan y en el Centro poblado de Nazaret</v>
      </c>
      <c r="N3938" s="55">
        <f ca="1">IFERROR(__xludf.DUMMYFUNCTION("""COMPUTED_VALUE"""),45012)</f>
        <v>45012</v>
      </c>
      <c r="O3938" s="25" t="str">
        <f t="shared" ca="1" si="0"/>
        <v>Unidad Administrativa Especial de Catastro Distrital</v>
      </c>
      <c r="P3938" s="25" t="str">
        <f t="shared" si="2"/>
        <v/>
      </c>
      <c r="Q3938" s="25" t="str">
        <f ca="1">IFERROR(__xludf.DUMMYFUNCTION("""COMPUTED_VALUE"""),"Corto plazo")</f>
        <v>Corto plazo</v>
      </c>
      <c r="R3938" s="25"/>
      <c r="S3938" s="55"/>
      <c r="T3938" s="56"/>
      <c r="U3938" s="25"/>
      <c r="V3938" s="25"/>
      <c r="W3938" s="25"/>
      <c r="X3938" s="25"/>
      <c r="Y3938" s="25"/>
      <c r="Z3938" s="25"/>
    </row>
    <row r="3939" spans="1:26" ht="52.5" customHeight="1" x14ac:dyDescent="0.25">
      <c r="A3939" s="25" t="str">
        <f ca="1">IFERROR(__xludf.DUMMYFUNCTION("""COMPUTED_VALUE"""),"Hacie37")</f>
        <v>Hacie37</v>
      </c>
      <c r="B3939" s="25"/>
      <c r="C3939" s="55"/>
      <c r="D3939" s="25" t="str">
        <f ca="1">IFERROR(__xludf.DUMMYFUNCTION("""COMPUTED_VALUE"""),"Hacienda")</f>
        <v>Hacienda</v>
      </c>
      <c r="E3939" s="25" t="str">
        <f ca="1">IFERROR(__xludf.DUMMYFUNCTION("""COMPUTED_VALUE"""),"Secretaría Distrital de Hacienda")</f>
        <v>Secretaría Distrital de Hacienda</v>
      </c>
      <c r="F3939" s="25" t="str">
        <f ca="1">IFERROR(__xludf.DUMMYFUNCTION("""COMPUTED_VALUE"""),"Eliminada")</f>
        <v>Eliminada</v>
      </c>
      <c r="G3939" s="25"/>
      <c r="H3939" s="25"/>
      <c r="I3939" s="25"/>
      <c r="J3939" s="55"/>
      <c r="K3939" s="25" t="str">
        <f ca="1">IFERROR(__xludf.DUMMYFUNCTION("""COMPUTED_VALUE"""),"Definir fecha")</f>
        <v>Definir fecha</v>
      </c>
      <c r="L3939" s="62"/>
      <c r="M3939" s="25"/>
      <c r="N3939" s="25"/>
      <c r="O3939" s="25" t="str">
        <f t="shared" ca="1" si="0"/>
        <v>Secretaría Distrital de Hacienda</v>
      </c>
      <c r="P3939" s="25" t="str">
        <f t="shared" si="2"/>
        <v/>
      </c>
      <c r="Q3939" s="25" t="str">
        <f ca="1">IFERROR(__xludf.DUMMYFUNCTION("""COMPUTED_VALUE"""),"Sin defenir")</f>
        <v>Sin defenir</v>
      </c>
      <c r="R3939" s="25"/>
      <c r="S3939" s="55"/>
      <c r="T3939" s="56"/>
      <c r="U3939" s="25"/>
      <c r="V3939" s="25"/>
      <c r="W3939" s="25"/>
      <c r="X3939" s="25"/>
      <c r="Y3939" s="25"/>
      <c r="Z3939" s="25"/>
    </row>
    <row r="3940" spans="1:26" ht="52.5" customHeight="1" x14ac:dyDescent="0.25">
      <c r="A3940" s="25" t="str">
        <f ca="1">IFERROR(__xludf.DUMMYFUNCTION("""COMPUTED_VALUE"""),"Hacie38")</f>
        <v>Hacie38</v>
      </c>
      <c r="B3940" s="25"/>
      <c r="C3940" s="55"/>
      <c r="D3940" s="25" t="str">
        <f ca="1">IFERROR(__xludf.DUMMYFUNCTION("""COMPUTED_VALUE"""),"Hacienda")</f>
        <v>Hacienda</v>
      </c>
      <c r="E3940" s="25" t="str">
        <f ca="1">IFERROR(__xludf.DUMMYFUNCTION("""COMPUTED_VALUE"""),"Secretaría Distrital de Hacienda")</f>
        <v>Secretaría Distrital de Hacienda</v>
      </c>
      <c r="F3940" s="25" t="str">
        <f ca="1">IFERROR(__xludf.DUMMYFUNCTION("""COMPUTED_VALUE"""),"Eliminada")</f>
        <v>Eliminada</v>
      </c>
      <c r="G3940" s="25"/>
      <c r="H3940" s="25"/>
      <c r="I3940" s="25"/>
      <c r="J3940" s="55"/>
      <c r="K3940" s="25" t="str">
        <f ca="1">IFERROR(__xludf.DUMMYFUNCTION("""COMPUTED_VALUE"""),"Definir fecha")</f>
        <v>Definir fecha</v>
      </c>
      <c r="L3940" s="62"/>
      <c r="M3940" s="25"/>
      <c r="N3940" s="25"/>
      <c r="O3940" s="25" t="str">
        <f t="shared" ca="1" si="0"/>
        <v>Secretaría Distrital de Hacienda</v>
      </c>
      <c r="P3940" s="25" t="str">
        <f t="shared" si="2"/>
        <v/>
      </c>
      <c r="Q3940" s="25" t="str">
        <f ca="1">IFERROR(__xludf.DUMMYFUNCTION("""COMPUTED_VALUE"""),"Sin defenir")</f>
        <v>Sin defenir</v>
      </c>
      <c r="R3940" s="25"/>
      <c r="S3940" s="55"/>
      <c r="T3940" s="56"/>
      <c r="U3940" s="25"/>
      <c r="V3940" s="25"/>
      <c r="W3940" s="25"/>
      <c r="X3940" s="25"/>
      <c r="Y3940" s="25"/>
      <c r="Z3940" s="25"/>
    </row>
    <row r="3941" spans="1:26" ht="52.5" customHeight="1" x14ac:dyDescent="0.25">
      <c r="A3941" s="25" t="str">
        <f ca="1">IFERROR(__xludf.DUMMYFUNCTION("""COMPUTED_VALUE"""),"Hacie39")</f>
        <v>Hacie39</v>
      </c>
      <c r="B3941" s="25" t="str">
        <f ca="1">IFERROR(__xludf.DUMMYFUNCTION("""COMPUTED_VALUE"""),"Revisión adición presupuestal")</f>
        <v>Revisión adición presupuestal</v>
      </c>
      <c r="C3941" s="55">
        <f ca="1">IFERROR(__xludf.DUMMYFUNCTION("""COMPUTED_VALUE"""),44991)</f>
        <v>44991</v>
      </c>
      <c r="D3941" s="25" t="str">
        <f ca="1">IFERROR(__xludf.DUMMYFUNCTION("""COMPUTED_VALUE"""),"Hacienda")</f>
        <v>Hacienda</v>
      </c>
      <c r="E3941" s="25" t="str">
        <f ca="1">IFERROR(__xludf.DUMMYFUNCTION("""COMPUTED_VALUE"""),"Secretaría Distrital de Hacienda")</f>
        <v>Secretaría Distrital de Hacienda</v>
      </c>
      <c r="F3941" s="25" t="str">
        <f ca="1">IFERROR(__xludf.DUMMYFUNCTION("""COMPUTED_VALUE"""),"Implementar acciones para incrementar la cantidad de contribuyentes registrados en la Oficina Virtual de la SDH. La alcaldesa sugiere condicionar el acceso al descuento del 10% en el pago de impuestos, al registro en la oficina virtual. En la actualidad h"&amp;"ay aproximadamente 1,5 millones de personas registradas, la meta es llegar a 3 millones")</f>
        <v>Implementar acciones para incrementar la cantidad de contribuyentes registrados en la Oficina Virtual de la SDH. La alcaldesa sugiere condicionar el acceso al descuento del 10% en el pago de impuestos, al registro en la oficina virtual. En la actualidad hay aproximadamente 1,5 millones de personas registradas, la meta es llegar a 3 millones</v>
      </c>
      <c r="G3941" s="25" t="str">
        <f ca="1">IFERROR(__xludf.DUMMYFUNCTION("""COMPUTED_VALUE"""),"99. Distrito")</f>
        <v>99. Distrito</v>
      </c>
      <c r="H3941" s="55">
        <f ca="1">IFERROR(__xludf.DUMMYFUNCTION("""COMPUTED_VALUE"""),45291)</f>
        <v>45291</v>
      </c>
      <c r="I3941" s="25" t="str">
        <f ca="1">IFERROR(__xludf.DUMMYFUNCTION("""COMPUTED_VALUE"""),"Delivery Unit")</f>
        <v>Delivery Unit</v>
      </c>
      <c r="J3941" s="55" t="str">
        <f ca="1">IFERROR(__xludf.DUMMYFUNCTION("""COMPUTED_VALUE"""),"Alta")</f>
        <v>Alta</v>
      </c>
      <c r="K3941" s="25">
        <f ca="1">IFERROR(__xludf.DUMMYFUNCTION("""COMPUTED_VALUE"""),300)</f>
        <v>300</v>
      </c>
      <c r="L3941" s="62">
        <f ca="1">IFERROR(__xludf.DUMMYFUNCTION("""COMPUTED_VALUE"""),45062)</f>
        <v>45062</v>
      </c>
      <c r="M3941" s="25" t="str">
        <f ca="1">IFERROR(__xludf.DUMMYFUNCTION("""COMPUTED_VALUE"""),"27/03/2023: Teniendo en cuenta que el descuento del 10% actualmete se genera por el  pronto pago, existe una serie de restricciones de caracter normativo que no permiten un cambio sustancial en la actual vigencia. No obstante lo anterior la SDH se encuent"&amp;"ra estructurando un proyecto para mejorar las condiciones de usabilidad de la Oficina Virtual cuyo objetico es incentivar el registro y uso de la misma por parte de los ciudadanos. 
25/04/2023: Al corte del 19/04/2023 tenemos 1.553.937 usuarios registrado"&amp;"s en la Oficina Virtual de impuestos distritales de BogData. Dentro del grupo de estrategias que se han adelantado para fomentar el registro de contribuyentes en la mencionada plataforma de impuestos tenemos:
1- Campañas adelantadas por la Dirección de I"&amp;"mpuestos de Bogotá en las que se invita a los contribuyentes a hacer uso de la unidad móvil para la atención de trámites y desde la que se capacita a los contribuyentes sobre cómo deben inscribirse y los beneficios a los que pueden acceder.
2 - Ferias de "&amp;"servicio de la Secretaría General y de la Cámara de Comercio de Bogotá en las que igualmente se capacita a los contribuyentes sobre cómo deben inscribirse.
15/05/2023: Al corte del 10/05/2023 tenemos 1.586.407 usuarios registrados en la Oficina Virtual d"&amp;"e impuestos distritales de BogData. Dentro del grupo de estrategias que se han adelantado para fomentar el registro de contribuyentes en la mencionada plataforma de impuestos tenemos la campaña de fidelización del primer vencimiento del impuesto predial d"&amp;"el año 2023, la feria de servicios ubicada en la Cra 32 No 22A - 50 para trámites sin agendamiento previo, y el servicio a través de la móvil ubicada en las distintas localidades de la ciudad.")</f>
        <v>27/03/2023: Teniendo en cuenta que el descuento del 10% actualmete se genera por el  pronto pago, existe una serie de restricciones de caracter normativo que no permiten un cambio sustancial en la actual vigencia. No obstante lo anterior la SDH se encuentra estructurando un proyecto para mejorar las condiciones de usabilidad de la Oficina Virtual cuyo objetico es incentivar el registro y uso de la misma por parte de los ciudadanos. 
25/04/2023: Al corte del 19/04/2023 tenemos 1.553.937 usuarios registrados en la Oficina Virtual de impuestos distritales de BogData. Dentro del grupo de estrategias que se han adelantado para fomentar el registro de contribuyentes en la mencionada plataforma de impuestos tenemos:
1- Campañas adelantadas por la Dirección de Impuestos de Bogotá en las que se invita a los contribuyentes a hacer uso de la unidad móvil para la atención de trámites y desde la que se capacita a los contribuyentes sobre cómo deben inscribirse y los beneficios a los que pueden acceder.
2 - Ferias de servicio de la Secretaría General y de la Cámara de Comercio de Bogotá en las que igualmente se capacita a los contribuyentes sobre cómo deben inscribirse.
15/05/2023: Al corte del 10/05/2023 tenemos 1.586.407 usuarios registrados en la Oficina Virtual de impuestos distritales de BogData. Dentro del grupo de estrategias que se han adelantado para fomentar el registro de contribuyentes en la mencionada plataforma de impuestos tenemos la campaña de fidelización del primer vencimiento del impuesto predial del año 2023, la feria de servicios ubicada en la Cra 32 No 22A - 50 para trámites sin agendamiento previo, y el servicio a través de la móvil ubicada en las distintas localidades de la ciudad.</v>
      </c>
      <c r="N3941" s="25"/>
      <c r="O3941" s="25" t="str">
        <f t="shared" ca="1" si="0"/>
        <v>Secretaría Distrital de Hacienda</v>
      </c>
      <c r="P3941" s="25" t="str">
        <f t="shared" ca="1" si="2"/>
        <v/>
      </c>
      <c r="Q3941" s="25" t="str">
        <f ca="1">IFERROR(__xludf.DUMMYFUNCTION("""COMPUTED_VALUE"""),"Largo plazo")</f>
        <v>Largo plazo</v>
      </c>
      <c r="R3941" s="25"/>
      <c r="S3941" s="55"/>
      <c r="T3941" s="56"/>
      <c r="U3941" s="25"/>
      <c r="V3941" s="25"/>
      <c r="W3941" s="25"/>
      <c r="X3941" s="25"/>
      <c r="Y3941" s="25"/>
      <c r="Z3941" s="25"/>
    </row>
    <row r="3942" spans="1:26" ht="52.5" customHeight="1" x14ac:dyDescent="0.25">
      <c r="A3942" s="25" t="str">
        <f ca="1">IFERROR(__xludf.DUMMYFUNCTION("""COMPUTED_VALUE"""),"Hacie40")</f>
        <v>Hacie40</v>
      </c>
      <c r="B3942" s="25" t="str">
        <f ca="1">IFERROR(__xludf.DUMMYFUNCTION("""COMPUTED_VALUE"""),"Reunión con el director de la DIAN")</f>
        <v>Reunión con el director de la DIAN</v>
      </c>
      <c r="C3942" s="55">
        <f ca="1">IFERROR(__xludf.DUMMYFUNCTION("""COMPUTED_VALUE"""),44991)</f>
        <v>44991</v>
      </c>
      <c r="D3942" s="25" t="str">
        <f ca="1">IFERROR(__xludf.DUMMYFUNCTION("""COMPUTED_VALUE"""),"Hacienda")</f>
        <v>Hacienda</v>
      </c>
      <c r="E3942" s="25" t="str">
        <f ca="1">IFERROR(__xludf.DUMMYFUNCTION("""COMPUTED_VALUE"""),"Secretaría Distrital de Hacienda")</f>
        <v>Secretaría Distrital de Hacienda</v>
      </c>
      <c r="F3942" s="25" t="str">
        <f ca="1">IFERROR(__xludf.DUMMYFUNCTION("""COMPUTED_VALUE"""),"Coordinar en conjunto con la DIAN un equipo de consultoría sólido alrededor de la actualización del ICA, se sugiere acordar con Fedesarrollo y expertos de la academia en materia tributaria.")</f>
        <v>Coordinar en conjunto con la DIAN un equipo de consultoría sólido alrededor de la actualización del ICA, se sugiere acordar con Fedesarrollo y expertos de la academia en materia tributaria.</v>
      </c>
      <c r="G3942" s="25" t="str">
        <f ca="1">IFERROR(__xludf.DUMMYFUNCTION("""COMPUTED_VALUE"""),"99. Distrito")</f>
        <v>99. Distrito</v>
      </c>
      <c r="H3942" s="55">
        <f ca="1">IFERROR(__xludf.DUMMYFUNCTION("""COMPUTED_VALUE"""),45107)</f>
        <v>45107</v>
      </c>
      <c r="I3942" s="25" t="str">
        <f ca="1">IFERROR(__xludf.DUMMYFUNCTION("""COMPUTED_VALUE"""),"Delivery Unit")</f>
        <v>Delivery Unit</v>
      </c>
      <c r="J3942" s="55" t="str">
        <f ca="1">IFERROR(__xludf.DUMMYFUNCTION("""COMPUTED_VALUE"""),"Media")</f>
        <v>Media</v>
      </c>
      <c r="K3942" s="25">
        <f ca="1">IFERROR(__xludf.DUMMYFUNCTION("""COMPUTED_VALUE"""),116)</f>
        <v>116</v>
      </c>
      <c r="L3942" s="62">
        <f ca="1">IFERROR(__xludf.DUMMYFUNCTION("""COMPUTED_VALUE"""),45062)</f>
        <v>45062</v>
      </c>
      <c r="M3942" s="25" t="str">
        <f ca="1">IFERROR(__xludf.DUMMYFUNCTION("""COMPUTED_VALUE"""),"27/03/2023: En atención a que el vencimiento del Impuesto de Industria y Comercio del Régimen Común Anual correspondiente al año gravable 2022 tuvo lugar el pasado 22 de marzo de 2023, la Secretaría Distrital de Hacienda se encuentra consolidando la base "&amp;"de contribuyentes del mencionado impuesto con el fin de requerir a la Dirección de Impuestos y Aduanas Nacionales - DIAN la información que sirva de base para las proyecciones de recaudo de la propuesta de sustitución del ICA. Asimismo, se realizó una reu"&amp;"nión con la Dirección de Apoyo Fiscal - DAF del Ministerio de Hacienda y Crédito Público para explorar la posición del Gobierno Nacional frente a la creación de un impuesto de renta del orden municipal.
25/04/2023: Se requirió a la Dirección de Impuestos "&amp;"y Aduanas Nacionales - DIAN que nos envíe la información del impuesto a la renta de los contribuyentes adscritos a las seccionales Bogotá y Grandes Contribuyentes que se necesita para simular el escenario de recaudo en el que se sustituye el impuesto de i"&amp;"ndustria y comercio por un impuesto a la renta del orden municipal. Nos encontramos a la espera de recibir la mencionada información para avanzar en la simulación del recaudo.15/05/2023: Se requirió a la DIAN el envío de la información del impuesto a la r"&amp;"enta de los contribuyentes del Distrito Capital para la cuantificación de los posibles escenarios de recaudo bajo el impuesto de renta municipal. Esta información no se ha recibido aún. De forma paralela se avanza en la elaboración de la propuesta del imp"&amp;"uesto de renta municipal en los relacionado con sus elementos: hecho generador, base gravable, tarifa, sujeto activo y sujeto pasivo.")</f>
        <v>27/03/2023: En atención a que el vencimiento del Impuesto de Industria y Comercio del Régimen Común Anual correspondiente al año gravable 2022 tuvo lugar el pasado 22 de marzo de 2023, la Secretaría Distrital de Hacienda se encuentra consolidando la base de contribuyentes del mencionado impuesto con el fin de requerir a la Dirección de Impuestos y Aduanas Nacionales - DIAN la información que sirva de base para las proyecciones de recaudo de la propuesta de sustitución del ICA. Asimismo, se realizó una reunión con la Dirección de Apoyo Fiscal - DAF del Ministerio de Hacienda y Crédito Público para explorar la posición del Gobierno Nacional frente a la creación de un impuesto de renta del orden municipal.
25/04/2023: Se requirió a la Dirección de Impuestos y Aduanas Nacionales - DIAN que nos envíe la información del impuesto a la renta de los contribuyentes adscritos a las seccionales Bogotá y Grandes Contribuyentes que se necesita para simular el escenario de recaudo en el que se sustituye el impuesto de industria y comercio por un impuesto a la renta del orden municipal. Nos encontramos a la espera de recibir la mencionada información para avanzar en la simulación del recaudo.15/05/2023: Se requirió a la DIAN el envío de la información del impuesto a la renta de los contribuyentes del Distrito Capital para la cuantificación de los posibles escenarios de recaudo bajo el impuesto de renta municipal. Esta información no se ha recibido aún. De forma paralela se avanza en la elaboración de la propuesta del impuesto de renta municipal en los relacionado con sus elementos: hecho generador, base gravable, tarifa, sujeto activo y sujeto pasivo.</v>
      </c>
      <c r="N3942" s="25"/>
      <c r="O3942" s="25" t="str">
        <f t="shared" ca="1" si="0"/>
        <v>Secretaría Distrital de Hacienda</v>
      </c>
      <c r="P3942" s="25" t="str">
        <f t="shared" ca="1" si="2"/>
        <v/>
      </c>
      <c r="Q3942" s="25" t="str">
        <f ca="1">IFERROR(__xludf.DUMMYFUNCTION("""COMPUTED_VALUE"""),"Mediano plazo")</f>
        <v>Mediano plazo</v>
      </c>
      <c r="R3942" s="25"/>
      <c r="S3942" s="55"/>
      <c r="T3942" s="56"/>
      <c r="U3942" s="25"/>
      <c r="V3942" s="25"/>
      <c r="W3942" s="25"/>
      <c r="X3942" s="25"/>
      <c r="Y3942" s="25"/>
      <c r="Z3942" s="25"/>
    </row>
    <row r="3943" spans="1:26" ht="52.5" customHeight="1" x14ac:dyDescent="0.25">
      <c r="A3943" s="25" t="str">
        <f ca="1">IFERROR(__xludf.DUMMYFUNCTION("""COMPUTED_VALUE"""),"Hacie41")</f>
        <v>Hacie41</v>
      </c>
      <c r="B3943" s="25" t="str">
        <f ca="1">IFERROR(__xludf.DUMMYFUNCTION("""COMPUTED_VALUE"""),"Confis 03 de 2023")</f>
        <v>Confis 03 de 2023</v>
      </c>
      <c r="C3943" s="55">
        <f ca="1">IFERROR(__xludf.DUMMYFUNCTION("""COMPUTED_VALUE"""),45016)</f>
        <v>45016</v>
      </c>
      <c r="D3943" s="25" t="str">
        <f ca="1">IFERROR(__xludf.DUMMYFUNCTION("""COMPUTED_VALUE"""),"Hacienda")</f>
        <v>Hacienda</v>
      </c>
      <c r="E3943" s="25" t="str">
        <f ca="1">IFERROR(__xludf.DUMMYFUNCTION("""COMPUTED_VALUE"""),"Secretaría Distrital de Hacienda")</f>
        <v>Secretaría Distrital de Hacienda</v>
      </c>
      <c r="F3943" s="25" t="str">
        <f ca="1">IFERROR(__xludf.DUMMYFUNCTION("""COMPUTED_VALUE"""),"En conjunto con la Secretaría de Planeación reportar el cumplimiento de los trazadores presupuestales del Plan de Desarrollo Distrital")</f>
        <v>En conjunto con la Secretaría de Planeación reportar el cumplimiento de los trazadores presupuestales del Plan de Desarrollo Distrital</v>
      </c>
      <c r="G3943" s="25" t="str">
        <f ca="1">IFERROR(__xludf.DUMMYFUNCTION("""COMPUTED_VALUE"""),"99. Distrito")</f>
        <v>99. Distrito</v>
      </c>
      <c r="H3943" s="55">
        <f ca="1">IFERROR(__xludf.DUMMYFUNCTION("""COMPUTED_VALUE"""),45059)</f>
        <v>45059</v>
      </c>
      <c r="I3943" s="25" t="str">
        <f ca="1">IFERROR(__xludf.DUMMYFUNCTION("""COMPUTED_VALUE"""),"Delivery Unit")</f>
        <v>Delivery Unit</v>
      </c>
      <c r="J3943" s="55" t="str">
        <f ca="1">IFERROR(__xludf.DUMMYFUNCTION("""COMPUTED_VALUE"""),"Alta")</f>
        <v>Alta</v>
      </c>
      <c r="K3943" s="25">
        <f ca="1">IFERROR(__xludf.DUMMYFUNCTION("""COMPUTED_VALUE"""),43)</f>
        <v>43</v>
      </c>
      <c r="L3943" s="62">
        <f ca="1">IFERROR(__xludf.DUMMYFUNCTION("""COMPUTED_VALUE"""),45062)</f>
        <v>45062</v>
      </c>
      <c r="M3943" s="25" t="str">
        <f ca="1">IFERROR(__xludf.DUMMYFUNCTION("""COMPUTED_VALUE"""),"25/04/2023: Los trazadores presupuestales se encuentra publicados en la página de la Secretaría Distrital del Planeación. De acuerdo con los compromisos, estos se encuentran al día y se encuentran publicados Están al día se publicaron con corte a 31 de di"&amp;"ciembre de 2022. Estos pueden ser consultados en el siguiente enlace: https://lookerstudio.google.com/reporting/b41daf49-90c8-4b18-b5c3-72a32d3d0450/page/p_kjeoi7zv3c
15/05/2023: Es importante tener en cuenta que para esta tarea en particular, se encuent"&amp;"ra pendiente la realización de 2 informes con corte a 30 de junio y 31 de diciembre, el plazo de emisión del informe será el 30 de septiembre y 31 de marzo respectivamente. No obstante,  los trazadores a corte de 31 de diciembre de 2023 pueden ser consult"&amp;"ados en el siguiente enlace: https://lookerstudio.google.com/reporting/b41daf49-90c8-4b18-b5c3-72a32d3d0450/page/p_kjeoi7zv3c
")</f>
        <v xml:space="preserve">25/04/2023: Los trazadores presupuestales se encuentra publicados en la página de la Secretaría Distrital del Planeación. De acuerdo con los compromisos, estos se encuentran al día y se encuentran publicados Están al día se publicaron con corte a 31 de diciembre de 2022. Estos pueden ser consultados en el siguiente enlace: https://lookerstudio.google.com/reporting/b41daf49-90c8-4b18-b5c3-72a32d3d0450/page/p_kjeoi7zv3c
15/05/2023: Es importante tener en cuenta que para esta tarea en particular, se encuentra pendiente la realización de 2 informes con corte a 30 de junio y 31 de diciembre, el plazo de emisión del informe será el 30 de septiembre y 31 de marzo respectivamente. No obstante,  los trazadores a corte de 31 de diciembre de 2023 pueden ser consultados en el siguiente enlace: https://lookerstudio.google.com/reporting/b41daf49-90c8-4b18-b5c3-72a32d3d0450/page/p_kjeoi7zv3c
</v>
      </c>
      <c r="N3943" s="25"/>
      <c r="O3943" s="25" t="str">
        <f t="shared" ca="1" si="0"/>
        <v>Secretaría Distrital de Hacienda</v>
      </c>
      <c r="P3943" s="25" t="str">
        <f t="shared" ca="1" si="2"/>
        <v/>
      </c>
      <c r="Q3943" s="25" t="str">
        <f ca="1">IFERROR(__xludf.DUMMYFUNCTION("""COMPUTED_VALUE"""),"Corto plazo")</f>
        <v>Corto plazo</v>
      </c>
      <c r="R3943" s="25"/>
      <c r="S3943" s="55"/>
      <c r="T3943" s="56"/>
      <c r="U3943" s="25"/>
      <c r="V3943" s="25"/>
      <c r="W3943" s="25"/>
      <c r="X3943" s="25"/>
      <c r="Y3943" s="25"/>
      <c r="Z3943" s="25"/>
    </row>
    <row r="3944" spans="1:26" ht="52.5" customHeight="1" x14ac:dyDescent="0.25">
      <c r="A3944" s="25" t="str">
        <f ca="1">IFERROR(__xludf.DUMMYFUNCTION("""COMPUTED_VALUE"""),"Hacie42")</f>
        <v>Hacie42</v>
      </c>
      <c r="B3944" s="25" t="str">
        <f ca="1">IFERROR(__xludf.DUMMYFUNCTION("""COMPUTED_VALUE"""),"Consejo Local de Gobierno de Engativá")</f>
        <v>Consejo Local de Gobierno de Engativá</v>
      </c>
      <c r="C3944" s="55">
        <f ca="1">IFERROR(__xludf.DUMMYFUNCTION("""COMPUTED_VALUE"""),44588)</f>
        <v>44588</v>
      </c>
      <c r="D3944" s="25" t="str">
        <f ca="1">IFERROR(__xludf.DUMMYFUNCTION("""COMPUTED_VALUE"""),"Hacienda")</f>
        <v>Hacienda</v>
      </c>
      <c r="E3944" s="25" t="str">
        <f ca="1">IFERROR(__xludf.DUMMYFUNCTION("""COMPUTED_VALUE"""),"Secretaría Distrital de Hacienda")</f>
        <v>Secretaría Distrital de Hacienda</v>
      </c>
      <c r="F3944" s="25" t="str">
        <f ca="1">IFERROR(__xludf.DUMMYFUNCTION("""COMPUTED_VALUE"""),"Lograr que dentro de las vigencias futuras se incluyan los recursos para la nueva torre del hospital de Engativá")</f>
        <v>Lograr que dentro de las vigencias futuras se incluyan los recursos para la nueva torre del hospital de Engativá</v>
      </c>
      <c r="G3944" s="25" t="str">
        <f ca="1">IFERROR(__xludf.DUMMYFUNCTION("""COMPUTED_VALUE"""),"10. Engativá")</f>
        <v>10. Engativá</v>
      </c>
      <c r="H3944" s="55">
        <f ca="1">IFERROR(__xludf.DUMMYFUNCTION("""COMPUTED_VALUE"""),44926)</f>
        <v>44926</v>
      </c>
      <c r="I3944" s="25"/>
      <c r="J3944" s="55"/>
      <c r="K3944" s="61">
        <f ca="1">IFERROR(__xludf.DUMMYFUNCTION("""COMPUTED_VALUE"""),44596)</f>
        <v>44596</v>
      </c>
      <c r="L3944" s="62">
        <f ca="1">IFERROR(__xludf.DUMMYFUNCTION("""COMPUTED_VALUE"""),44926)</f>
        <v>44926</v>
      </c>
      <c r="M3944" s="25" t="str">
        <f ca="1">IFERROR(__xludf.DUMMYFUNCTION("""COMPUTED_VALUE"""),"Dentro de las necesidades de vigencias futuras se encuentra el hospital de Engativá a partir de 2024")</f>
        <v>Dentro de las necesidades de vigencias futuras se encuentra el hospital de Engativá a partir de 2024</v>
      </c>
      <c r="N3944" s="55">
        <f ca="1">IFERROR(__xludf.DUMMYFUNCTION("""COMPUTED_VALUE"""),44926)</f>
        <v>44926</v>
      </c>
      <c r="O3944" s="25" t="str">
        <f t="shared" ca="1" si="0"/>
        <v>Secretaría Distrital de Hacienda</v>
      </c>
      <c r="P3944" s="25" t="str">
        <f t="shared" si="2"/>
        <v/>
      </c>
      <c r="Q3944" s="25" t="str">
        <f ca="1">IFERROR(__xludf.DUMMYFUNCTION("""COMPUTED_VALUE"""),"Dentro de las necesidades de vigencias futuras se encuentra el hospital de Engativá a partir de 2024")</f>
        <v>Dentro de las necesidades de vigencias futuras se encuentra el hospital de Engativá a partir de 2024</v>
      </c>
      <c r="R3944" s="25"/>
      <c r="S3944" s="55"/>
      <c r="T3944" s="56"/>
      <c r="U3944" s="25"/>
      <c r="V3944" s="25"/>
      <c r="W3944" s="25"/>
      <c r="X3944" s="25"/>
      <c r="Y3944" s="25"/>
      <c r="Z3944" s="25"/>
    </row>
    <row r="3945" spans="1:26" ht="52.5" customHeight="1" x14ac:dyDescent="0.25">
      <c r="A3945" s="25" t="str">
        <f ca="1">IFERROR(__xludf.DUMMYFUNCTION("""COMPUTED_VALUE"""),"Hacie43")</f>
        <v>Hacie43</v>
      </c>
      <c r="B3945" s="25"/>
      <c r="C3945" s="55"/>
      <c r="D3945" s="25" t="str">
        <f ca="1">IFERROR(__xludf.DUMMYFUNCTION("""COMPUTED_VALUE"""),"Hacienda")</f>
        <v>Hacienda</v>
      </c>
      <c r="E3945" s="25"/>
      <c r="F3945" s="25"/>
      <c r="G3945" s="25"/>
      <c r="H3945" s="25"/>
      <c r="I3945" s="25"/>
      <c r="J3945" s="55"/>
      <c r="K3945" s="25" t="str">
        <f ca="1">IFERROR(__xludf.DUMMYFUNCTION("""COMPUTED_VALUE"""),"Definir fecha")</f>
        <v>Definir fecha</v>
      </c>
      <c r="L3945" s="62"/>
      <c r="M3945" s="25"/>
      <c r="N3945" s="25"/>
      <c r="O3945" s="25">
        <f t="shared" si="0"/>
        <v>0</v>
      </c>
      <c r="P3945" s="25" t="str">
        <f t="shared" si="2"/>
        <v/>
      </c>
      <c r="Q3945" s="25" t="str">
        <f ca="1">IFERROR(__xludf.DUMMYFUNCTION("""COMPUTED_VALUE"""),"Sin defenir")</f>
        <v>Sin defenir</v>
      </c>
      <c r="R3945" s="25"/>
      <c r="S3945" s="55"/>
      <c r="T3945" s="56"/>
      <c r="U3945" s="25"/>
      <c r="V3945" s="25"/>
      <c r="W3945" s="25"/>
      <c r="X3945" s="25"/>
      <c r="Y3945" s="25"/>
      <c r="Z3945" s="25"/>
    </row>
    <row r="3946" spans="1:26" ht="52.5" customHeight="1" x14ac:dyDescent="0.25">
      <c r="A3946" s="25" t="str">
        <f ca="1">IFERROR(__xludf.DUMMYFUNCTION("""COMPUTED_VALUE"""),"Hacie44")</f>
        <v>Hacie44</v>
      </c>
      <c r="B3946" s="25"/>
      <c r="C3946" s="55"/>
      <c r="D3946" s="25" t="str">
        <f ca="1">IFERROR(__xludf.DUMMYFUNCTION("""COMPUTED_VALUE"""),"Hacienda")</f>
        <v>Hacienda</v>
      </c>
      <c r="E3946" s="25"/>
      <c r="F3946" s="25"/>
      <c r="G3946" s="25"/>
      <c r="H3946" s="25"/>
      <c r="I3946" s="25"/>
      <c r="J3946" s="55"/>
      <c r="K3946" s="25" t="str">
        <f ca="1">IFERROR(__xludf.DUMMYFUNCTION("""COMPUTED_VALUE"""),"Definir fecha")</f>
        <v>Definir fecha</v>
      </c>
      <c r="L3946" s="62"/>
      <c r="M3946" s="25"/>
      <c r="N3946" s="25"/>
      <c r="O3946" s="25">
        <f t="shared" si="0"/>
        <v>0</v>
      </c>
      <c r="P3946" s="25" t="str">
        <f t="shared" si="2"/>
        <v/>
      </c>
      <c r="Q3946" s="25" t="str">
        <f ca="1">IFERROR(__xludf.DUMMYFUNCTION("""COMPUTED_VALUE"""),"Sin defenir")</f>
        <v>Sin defenir</v>
      </c>
      <c r="R3946" s="25"/>
      <c r="S3946" s="55"/>
      <c r="T3946" s="56"/>
      <c r="U3946" s="25"/>
      <c r="V3946" s="25"/>
      <c r="W3946" s="25"/>
      <c r="X3946" s="25"/>
      <c r="Y3946" s="25"/>
      <c r="Z3946" s="25"/>
    </row>
    <row r="3947" spans="1:26" ht="52.5" customHeight="1" x14ac:dyDescent="0.25">
      <c r="A3947" s="25" t="str">
        <f ca="1">IFERROR(__xludf.DUMMYFUNCTION("""COMPUTED_VALUE"""),"Hacie45")</f>
        <v>Hacie45</v>
      </c>
      <c r="B3947" s="25"/>
      <c r="C3947" s="55"/>
      <c r="D3947" s="25" t="str">
        <f ca="1">IFERROR(__xludf.DUMMYFUNCTION("""COMPUTED_VALUE"""),"Hacienda")</f>
        <v>Hacienda</v>
      </c>
      <c r="E3947" s="25"/>
      <c r="F3947" s="25"/>
      <c r="G3947" s="25"/>
      <c r="H3947" s="25"/>
      <c r="I3947" s="25"/>
      <c r="J3947" s="55"/>
      <c r="K3947" s="25" t="str">
        <f ca="1">IFERROR(__xludf.DUMMYFUNCTION("""COMPUTED_VALUE"""),"Definir fecha")</f>
        <v>Definir fecha</v>
      </c>
      <c r="L3947" s="62"/>
      <c r="M3947" s="25"/>
      <c r="N3947" s="25"/>
      <c r="O3947" s="25">
        <f t="shared" si="0"/>
        <v>0</v>
      </c>
      <c r="P3947" s="25" t="str">
        <f t="shared" si="2"/>
        <v/>
      </c>
      <c r="Q3947" s="25" t="str">
        <f ca="1">IFERROR(__xludf.DUMMYFUNCTION("""COMPUTED_VALUE"""),"Sin defenir")</f>
        <v>Sin defenir</v>
      </c>
      <c r="R3947" s="25"/>
      <c r="S3947" s="55"/>
      <c r="T3947" s="56"/>
      <c r="U3947" s="25"/>
      <c r="V3947" s="25"/>
      <c r="W3947" s="25"/>
      <c r="X3947" s="25"/>
      <c r="Y3947" s="25"/>
      <c r="Z3947" s="25"/>
    </row>
    <row r="3948" spans="1:26" ht="52.5" customHeight="1" x14ac:dyDescent="0.25">
      <c r="A3948" s="25" t="str">
        <f ca="1">IFERROR(__xludf.DUMMYFUNCTION("""COMPUTED_VALUE"""),"Hacie46")</f>
        <v>Hacie46</v>
      </c>
      <c r="B3948" s="25"/>
      <c r="C3948" s="55"/>
      <c r="D3948" s="25" t="str">
        <f ca="1">IFERROR(__xludf.DUMMYFUNCTION("""COMPUTED_VALUE"""),"Hacienda")</f>
        <v>Hacienda</v>
      </c>
      <c r="E3948" s="25"/>
      <c r="F3948" s="25"/>
      <c r="G3948" s="25"/>
      <c r="H3948" s="25"/>
      <c r="I3948" s="25"/>
      <c r="J3948" s="55"/>
      <c r="K3948" s="25" t="str">
        <f ca="1">IFERROR(__xludf.DUMMYFUNCTION("""COMPUTED_VALUE"""),"Definir fecha")</f>
        <v>Definir fecha</v>
      </c>
      <c r="L3948" s="62"/>
      <c r="M3948" s="25"/>
      <c r="N3948" s="25"/>
      <c r="O3948" s="25">
        <f t="shared" si="0"/>
        <v>0</v>
      </c>
      <c r="P3948" s="25" t="str">
        <f t="shared" si="2"/>
        <v/>
      </c>
      <c r="Q3948" s="25" t="str">
        <f ca="1">IFERROR(__xludf.DUMMYFUNCTION("""COMPUTED_VALUE"""),"Sin defenir")</f>
        <v>Sin defenir</v>
      </c>
      <c r="R3948" s="25"/>
      <c r="S3948" s="55"/>
      <c r="T3948" s="56"/>
      <c r="U3948" s="25"/>
      <c r="V3948" s="25"/>
      <c r="W3948" s="25"/>
      <c r="X3948" s="25"/>
      <c r="Y3948" s="25"/>
      <c r="Z3948" s="25"/>
    </row>
    <row r="3949" spans="1:26" ht="52.5" customHeight="1" x14ac:dyDescent="0.25">
      <c r="A3949" s="25" t="str">
        <f ca="1">IFERROR(__xludf.DUMMYFUNCTION("""COMPUTED_VALUE"""),"Hacie47")</f>
        <v>Hacie47</v>
      </c>
      <c r="B3949" s="25"/>
      <c r="C3949" s="55"/>
      <c r="D3949" s="25" t="str">
        <f ca="1">IFERROR(__xludf.DUMMYFUNCTION("""COMPUTED_VALUE"""),"Hacienda")</f>
        <v>Hacienda</v>
      </c>
      <c r="E3949" s="25"/>
      <c r="F3949" s="25"/>
      <c r="G3949" s="25"/>
      <c r="H3949" s="25"/>
      <c r="I3949" s="25"/>
      <c r="J3949" s="55"/>
      <c r="K3949" s="25" t="str">
        <f ca="1">IFERROR(__xludf.DUMMYFUNCTION("""COMPUTED_VALUE"""),"Definir fecha")</f>
        <v>Definir fecha</v>
      </c>
      <c r="L3949" s="62"/>
      <c r="M3949" s="25"/>
      <c r="N3949" s="25"/>
      <c r="O3949" s="25">
        <f t="shared" si="0"/>
        <v>0</v>
      </c>
      <c r="P3949" s="25" t="str">
        <f t="shared" si="2"/>
        <v/>
      </c>
      <c r="Q3949" s="25" t="str">
        <f ca="1">IFERROR(__xludf.DUMMYFUNCTION("""COMPUTED_VALUE"""),"Sin defenir")</f>
        <v>Sin defenir</v>
      </c>
      <c r="R3949" s="25"/>
      <c r="S3949" s="55"/>
      <c r="T3949" s="56"/>
      <c r="U3949" s="25"/>
      <c r="V3949" s="25"/>
      <c r="W3949" s="25"/>
      <c r="X3949" s="25"/>
      <c r="Y3949" s="25"/>
      <c r="Z3949" s="25"/>
    </row>
    <row r="3950" spans="1:26" ht="52.5" customHeight="1" x14ac:dyDescent="0.25">
      <c r="A3950" s="25" t="str">
        <f ca="1">IFERROR(__xludf.DUMMYFUNCTION("""COMPUTED_VALUE"""),"Hacie48")</f>
        <v>Hacie48</v>
      </c>
      <c r="B3950" s="25"/>
      <c r="C3950" s="55"/>
      <c r="D3950" s="25" t="str">
        <f ca="1">IFERROR(__xludf.DUMMYFUNCTION("""COMPUTED_VALUE"""),"Hacienda")</f>
        <v>Hacienda</v>
      </c>
      <c r="E3950" s="25"/>
      <c r="F3950" s="25"/>
      <c r="G3950" s="25"/>
      <c r="H3950" s="25"/>
      <c r="I3950" s="25"/>
      <c r="J3950" s="55"/>
      <c r="K3950" s="25" t="str">
        <f ca="1">IFERROR(__xludf.DUMMYFUNCTION("""COMPUTED_VALUE"""),"Definir fecha")</f>
        <v>Definir fecha</v>
      </c>
      <c r="L3950" s="62"/>
      <c r="M3950" s="25"/>
      <c r="N3950" s="25"/>
      <c r="O3950" s="25">
        <f t="shared" si="0"/>
        <v>0</v>
      </c>
      <c r="P3950" s="25" t="str">
        <f t="shared" si="2"/>
        <v/>
      </c>
      <c r="Q3950" s="25" t="str">
        <f ca="1">IFERROR(__xludf.DUMMYFUNCTION("""COMPUTED_VALUE"""),"Sin defenir")</f>
        <v>Sin defenir</v>
      </c>
      <c r="R3950" s="25"/>
      <c r="S3950" s="55"/>
      <c r="T3950" s="56"/>
      <c r="U3950" s="25"/>
      <c r="V3950" s="25"/>
      <c r="W3950" s="25"/>
      <c r="X3950" s="25"/>
      <c r="Y3950" s="25"/>
      <c r="Z3950" s="25"/>
    </row>
    <row r="3951" spans="1:26" ht="52.5" customHeight="1" x14ac:dyDescent="0.25">
      <c r="A3951" s="25" t="str">
        <f ca="1">IFERROR(__xludf.DUMMYFUNCTION("""COMPUTED_VALUE"""),"Hacie49")</f>
        <v>Hacie49</v>
      </c>
      <c r="B3951" s="25"/>
      <c r="C3951" s="55"/>
      <c r="D3951" s="25" t="str">
        <f ca="1">IFERROR(__xludf.DUMMYFUNCTION("""COMPUTED_VALUE"""),"Hacienda")</f>
        <v>Hacienda</v>
      </c>
      <c r="E3951" s="25"/>
      <c r="F3951" s="25"/>
      <c r="G3951" s="25"/>
      <c r="H3951" s="25"/>
      <c r="I3951" s="25"/>
      <c r="J3951" s="55"/>
      <c r="K3951" s="25" t="str">
        <f ca="1">IFERROR(__xludf.DUMMYFUNCTION("""COMPUTED_VALUE"""),"Definir fecha")</f>
        <v>Definir fecha</v>
      </c>
      <c r="L3951" s="62"/>
      <c r="M3951" s="25"/>
      <c r="N3951" s="25"/>
      <c r="O3951" s="25">
        <f t="shared" si="0"/>
        <v>0</v>
      </c>
      <c r="P3951" s="25" t="str">
        <f t="shared" si="2"/>
        <v/>
      </c>
      <c r="Q3951" s="25" t="str">
        <f ca="1">IFERROR(__xludf.DUMMYFUNCTION("""COMPUTED_VALUE"""),"Sin defenir")</f>
        <v>Sin defenir</v>
      </c>
      <c r="R3951" s="25"/>
      <c r="S3951" s="55"/>
      <c r="T3951" s="56"/>
      <c r="U3951" s="25"/>
      <c r="V3951" s="25"/>
      <c r="W3951" s="25"/>
      <c r="X3951" s="25"/>
      <c r="Y3951" s="25"/>
      <c r="Z3951" s="25"/>
    </row>
    <row r="3952" spans="1:26" ht="52.5" customHeight="1" x14ac:dyDescent="0.25">
      <c r="A3952" s="25" t="str">
        <f ca="1">IFERROR(__xludf.DUMMYFUNCTION("""COMPUTED_VALUE"""),"Hacie50")</f>
        <v>Hacie50</v>
      </c>
      <c r="B3952" s="25"/>
      <c r="C3952" s="55"/>
      <c r="D3952" s="25" t="str">
        <f ca="1">IFERROR(__xludf.DUMMYFUNCTION("""COMPUTED_VALUE"""),"Hacienda")</f>
        <v>Hacienda</v>
      </c>
      <c r="E3952" s="25"/>
      <c r="F3952" s="25"/>
      <c r="G3952" s="25"/>
      <c r="H3952" s="25"/>
      <c r="I3952" s="25"/>
      <c r="J3952" s="55"/>
      <c r="K3952" s="25" t="str">
        <f ca="1">IFERROR(__xludf.DUMMYFUNCTION("""COMPUTED_VALUE"""),"Definir fecha")</f>
        <v>Definir fecha</v>
      </c>
      <c r="L3952" s="62"/>
      <c r="M3952" s="25"/>
      <c r="N3952" s="25"/>
      <c r="O3952" s="25">
        <f t="shared" si="0"/>
        <v>0</v>
      </c>
      <c r="P3952" s="25" t="str">
        <f t="shared" si="2"/>
        <v/>
      </c>
      <c r="Q3952" s="25" t="str">
        <f ca="1">IFERROR(__xludf.DUMMYFUNCTION("""COMPUTED_VALUE"""),"Sin defenir")</f>
        <v>Sin defenir</v>
      </c>
      <c r="R3952" s="25"/>
      <c r="S3952" s="55"/>
      <c r="T3952" s="56"/>
      <c r="U3952" s="25"/>
      <c r="V3952" s="25"/>
      <c r="W3952" s="25"/>
      <c r="X3952" s="25"/>
      <c r="Y3952" s="25"/>
      <c r="Z3952" s="25"/>
    </row>
    <row r="3953" spans="1:26" ht="52.5" customHeight="1" x14ac:dyDescent="0.25">
      <c r="A3953" s="25" t="str">
        <f ca="1">IFERROR(__xludf.DUMMYFUNCTION("""COMPUTED_VALUE"""),"Hacie51")</f>
        <v>Hacie51</v>
      </c>
      <c r="B3953" s="25"/>
      <c r="C3953" s="55"/>
      <c r="D3953" s="25" t="str">
        <f ca="1">IFERROR(__xludf.DUMMYFUNCTION("""COMPUTED_VALUE"""),"Hacienda")</f>
        <v>Hacienda</v>
      </c>
      <c r="E3953" s="25"/>
      <c r="F3953" s="25"/>
      <c r="G3953" s="25"/>
      <c r="H3953" s="25"/>
      <c r="I3953" s="25"/>
      <c r="J3953" s="55"/>
      <c r="K3953" s="25" t="str">
        <f ca="1">IFERROR(__xludf.DUMMYFUNCTION("""COMPUTED_VALUE"""),"Definir fecha")</f>
        <v>Definir fecha</v>
      </c>
      <c r="L3953" s="62"/>
      <c r="M3953" s="25"/>
      <c r="N3953" s="25"/>
      <c r="O3953" s="25">
        <f t="shared" si="0"/>
        <v>0</v>
      </c>
      <c r="P3953" s="25" t="str">
        <f t="shared" si="2"/>
        <v/>
      </c>
      <c r="Q3953" s="25" t="str">
        <f ca="1">IFERROR(__xludf.DUMMYFUNCTION("""COMPUTED_VALUE"""),"Sin defenir")</f>
        <v>Sin defenir</v>
      </c>
      <c r="R3953" s="25"/>
      <c r="S3953" s="55"/>
      <c r="T3953" s="56"/>
      <c r="U3953" s="25"/>
      <c r="V3953" s="25"/>
      <c r="W3953" s="25"/>
      <c r="X3953" s="25"/>
      <c r="Y3953" s="25"/>
      <c r="Z3953" s="25"/>
    </row>
    <row r="3954" spans="1:26" ht="52.5" customHeight="1" x14ac:dyDescent="0.25">
      <c r="A3954" s="25" t="str">
        <f ca="1">IFERROR(__xludf.DUMMYFUNCTION("""COMPUTED_VALUE"""),"Hacie52")</f>
        <v>Hacie52</v>
      </c>
      <c r="B3954" s="25"/>
      <c r="C3954" s="55"/>
      <c r="D3954" s="25" t="str">
        <f ca="1">IFERROR(__xludf.DUMMYFUNCTION("""COMPUTED_VALUE"""),"Hacienda")</f>
        <v>Hacienda</v>
      </c>
      <c r="E3954" s="25"/>
      <c r="F3954" s="25"/>
      <c r="G3954" s="25"/>
      <c r="H3954" s="25"/>
      <c r="I3954" s="25"/>
      <c r="J3954" s="55"/>
      <c r="K3954" s="25" t="str">
        <f ca="1">IFERROR(__xludf.DUMMYFUNCTION("""COMPUTED_VALUE"""),"Definir fecha")</f>
        <v>Definir fecha</v>
      </c>
      <c r="L3954" s="62"/>
      <c r="M3954" s="25"/>
      <c r="N3954" s="25"/>
      <c r="O3954" s="25">
        <f t="shared" si="0"/>
        <v>0</v>
      </c>
      <c r="P3954" s="25" t="str">
        <f t="shared" si="2"/>
        <v/>
      </c>
      <c r="Q3954" s="25" t="str">
        <f ca="1">IFERROR(__xludf.DUMMYFUNCTION("""COMPUTED_VALUE"""),"Sin defenir")</f>
        <v>Sin defenir</v>
      </c>
      <c r="R3954" s="25"/>
      <c r="S3954" s="55"/>
      <c r="T3954" s="56"/>
      <c r="U3954" s="25"/>
      <c r="V3954" s="25"/>
      <c r="W3954" s="25"/>
      <c r="X3954" s="25"/>
      <c r="Y3954" s="25"/>
      <c r="Z3954" s="25"/>
    </row>
    <row r="3955" spans="1:26" ht="52.5" customHeight="1" x14ac:dyDescent="0.25">
      <c r="A3955" s="25" t="str">
        <f ca="1">IFERROR(__xludf.DUMMYFUNCTION("""COMPUTED_VALUE"""),"Hacie53")</f>
        <v>Hacie53</v>
      </c>
      <c r="B3955" s="25"/>
      <c r="C3955" s="55"/>
      <c r="D3955" s="25" t="str">
        <f ca="1">IFERROR(__xludf.DUMMYFUNCTION("""COMPUTED_VALUE"""),"Hacienda")</f>
        <v>Hacienda</v>
      </c>
      <c r="E3955" s="25"/>
      <c r="F3955" s="25"/>
      <c r="G3955" s="25"/>
      <c r="H3955" s="25"/>
      <c r="I3955" s="25"/>
      <c r="J3955" s="55"/>
      <c r="K3955" s="25" t="str">
        <f ca="1">IFERROR(__xludf.DUMMYFUNCTION("""COMPUTED_VALUE"""),"Definir fecha")</f>
        <v>Definir fecha</v>
      </c>
      <c r="L3955" s="62"/>
      <c r="M3955" s="25"/>
      <c r="N3955" s="25"/>
      <c r="O3955" s="25">
        <f t="shared" si="0"/>
        <v>0</v>
      </c>
      <c r="P3955" s="25" t="str">
        <f t="shared" si="2"/>
        <v/>
      </c>
      <c r="Q3955" s="25" t="str">
        <f ca="1">IFERROR(__xludf.DUMMYFUNCTION("""COMPUTED_VALUE"""),"Sin defenir")</f>
        <v>Sin defenir</v>
      </c>
      <c r="R3955" s="25"/>
      <c r="S3955" s="55"/>
      <c r="T3955" s="56"/>
      <c r="U3955" s="25"/>
      <c r="V3955" s="25"/>
      <c r="W3955" s="25"/>
      <c r="X3955" s="25"/>
      <c r="Y3955" s="25"/>
      <c r="Z3955" s="25"/>
    </row>
    <row r="3956" spans="1:26" ht="52.5" customHeight="1" x14ac:dyDescent="0.25">
      <c r="A3956" s="25" t="str">
        <f ca="1">IFERROR(__xludf.DUMMYFUNCTION("""COMPUTED_VALUE"""),"Hacie54")</f>
        <v>Hacie54</v>
      </c>
      <c r="B3956" s="25"/>
      <c r="C3956" s="55"/>
      <c r="D3956" s="25" t="str">
        <f ca="1">IFERROR(__xludf.DUMMYFUNCTION("""COMPUTED_VALUE"""),"Hacienda")</f>
        <v>Hacienda</v>
      </c>
      <c r="E3956" s="25"/>
      <c r="F3956" s="25"/>
      <c r="G3956" s="25"/>
      <c r="H3956" s="25"/>
      <c r="I3956" s="25"/>
      <c r="J3956" s="55"/>
      <c r="K3956" s="25" t="str">
        <f ca="1">IFERROR(__xludf.DUMMYFUNCTION("""COMPUTED_VALUE"""),"Definir fecha")</f>
        <v>Definir fecha</v>
      </c>
      <c r="L3956" s="62"/>
      <c r="M3956" s="25"/>
      <c r="N3956" s="25"/>
      <c r="O3956" s="25">
        <f t="shared" si="0"/>
        <v>0</v>
      </c>
      <c r="P3956" s="25" t="str">
        <f t="shared" si="2"/>
        <v/>
      </c>
      <c r="Q3956" s="25" t="str">
        <f ca="1">IFERROR(__xludf.DUMMYFUNCTION("""COMPUTED_VALUE"""),"Sin defenir")</f>
        <v>Sin defenir</v>
      </c>
      <c r="R3956" s="25"/>
      <c r="S3956" s="55"/>
      <c r="T3956" s="56"/>
      <c r="U3956" s="25"/>
      <c r="V3956" s="25"/>
      <c r="W3956" s="25"/>
      <c r="X3956" s="25"/>
      <c r="Y3956" s="25"/>
      <c r="Z3956" s="25"/>
    </row>
    <row r="3957" spans="1:26" ht="52.5" customHeight="1" x14ac:dyDescent="0.25">
      <c r="A3957" s="25" t="str">
        <f ca="1">IFERROR(__xludf.DUMMYFUNCTION("""COMPUTED_VALUE"""),"Hacie55")</f>
        <v>Hacie55</v>
      </c>
      <c r="B3957" s="25"/>
      <c r="C3957" s="55"/>
      <c r="D3957" s="25" t="str">
        <f ca="1">IFERROR(__xludf.DUMMYFUNCTION("""COMPUTED_VALUE"""),"Hacienda")</f>
        <v>Hacienda</v>
      </c>
      <c r="E3957" s="25"/>
      <c r="F3957" s="25"/>
      <c r="G3957" s="25"/>
      <c r="H3957" s="25"/>
      <c r="I3957" s="25"/>
      <c r="J3957" s="55"/>
      <c r="K3957" s="25" t="str">
        <f ca="1">IFERROR(__xludf.DUMMYFUNCTION("""COMPUTED_VALUE"""),"Definir fecha")</f>
        <v>Definir fecha</v>
      </c>
      <c r="L3957" s="62"/>
      <c r="M3957" s="25"/>
      <c r="N3957" s="25"/>
      <c r="O3957" s="25">
        <f t="shared" si="0"/>
        <v>0</v>
      </c>
      <c r="P3957" s="25" t="str">
        <f t="shared" si="2"/>
        <v/>
      </c>
      <c r="Q3957" s="25" t="str">
        <f ca="1">IFERROR(__xludf.DUMMYFUNCTION("""COMPUTED_VALUE"""),"Sin defenir")</f>
        <v>Sin defenir</v>
      </c>
      <c r="R3957" s="25"/>
      <c r="S3957" s="55"/>
      <c r="T3957" s="56"/>
      <c r="U3957" s="25"/>
      <c r="V3957" s="25"/>
      <c r="W3957" s="25"/>
      <c r="X3957" s="25"/>
      <c r="Y3957" s="25"/>
      <c r="Z3957" s="25"/>
    </row>
    <row r="3958" spans="1:26" ht="52.5" customHeight="1" x14ac:dyDescent="0.25">
      <c r="A3958" s="25" t="str">
        <f ca="1">IFERROR(__xludf.DUMMYFUNCTION("""COMPUTED_VALUE"""),"Hacie56")</f>
        <v>Hacie56</v>
      </c>
      <c r="B3958" s="25"/>
      <c r="C3958" s="55"/>
      <c r="D3958" s="25" t="str">
        <f ca="1">IFERROR(__xludf.DUMMYFUNCTION("""COMPUTED_VALUE"""),"Hacienda")</f>
        <v>Hacienda</v>
      </c>
      <c r="E3958" s="25"/>
      <c r="F3958" s="25"/>
      <c r="G3958" s="25"/>
      <c r="H3958" s="25"/>
      <c r="I3958" s="25"/>
      <c r="J3958" s="55"/>
      <c r="K3958" s="25" t="str">
        <f ca="1">IFERROR(__xludf.DUMMYFUNCTION("""COMPUTED_VALUE"""),"Definir fecha")</f>
        <v>Definir fecha</v>
      </c>
      <c r="L3958" s="62"/>
      <c r="M3958" s="25"/>
      <c r="N3958" s="25"/>
      <c r="O3958" s="25">
        <f t="shared" si="0"/>
        <v>0</v>
      </c>
      <c r="P3958" s="25" t="str">
        <f t="shared" si="2"/>
        <v/>
      </c>
      <c r="Q3958" s="25" t="str">
        <f ca="1">IFERROR(__xludf.DUMMYFUNCTION("""COMPUTED_VALUE"""),"Sin defenir")</f>
        <v>Sin defenir</v>
      </c>
      <c r="R3958" s="25"/>
      <c r="S3958" s="55"/>
      <c r="T3958" s="56"/>
      <c r="U3958" s="25"/>
      <c r="V3958" s="25"/>
      <c r="W3958" s="25"/>
      <c r="X3958" s="25"/>
      <c r="Y3958" s="25"/>
      <c r="Z3958" s="25"/>
    </row>
    <row r="3959" spans="1:26" ht="52.5" customHeight="1" x14ac:dyDescent="0.25">
      <c r="A3959" s="25" t="str">
        <f ca="1">IFERROR(__xludf.DUMMYFUNCTION("""COMPUTED_VALUE"""),"Hacie57")</f>
        <v>Hacie57</v>
      </c>
      <c r="B3959" s="25"/>
      <c r="C3959" s="55"/>
      <c r="D3959" s="25" t="str">
        <f ca="1">IFERROR(__xludf.DUMMYFUNCTION("""COMPUTED_VALUE"""),"Hacienda")</f>
        <v>Hacienda</v>
      </c>
      <c r="E3959" s="25"/>
      <c r="F3959" s="25"/>
      <c r="G3959" s="25"/>
      <c r="H3959" s="25"/>
      <c r="I3959" s="25"/>
      <c r="J3959" s="55"/>
      <c r="K3959" s="25" t="str">
        <f ca="1">IFERROR(__xludf.DUMMYFUNCTION("""COMPUTED_VALUE"""),"Definir fecha")</f>
        <v>Definir fecha</v>
      </c>
      <c r="L3959" s="62"/>
      <c r="M3959" s="25"/>
      <c r="N3959" s="25"/>
      <c r="O3959" s="25">
        <f t="shared" si="0"/>
        <v>0</v>
      </c>
      <c r="P3959" s="25" t="str">
        <f t="shared" si="2"/>
        <v/>
      </c>
      <c r="Q3959" s="25" t="str">
        <f ca="1">IFERROR(__xludf.DUMMYFUNCTION("""COMPUTED_VALUE"""),"Sin defenir")</f>
        <v>Sin defenir</v>
      </c>
      <c r="R3959" s="25"/>
      <c r="S3959" s="55"/>
      <c r="T3959" s="56"/>
      <c r="U3959" s="25"/>
      <c r="V3959" s="25"/>
      <c r="W3959" s="25"/>
      <c r="X3959" s="25"/>
      <c r="Y3959" s="25"/>
      <c r="Z3959" s="25"/>
    </row>
    <row r="3960" spans="1:26" ht="52.5" customHeight="1" x14ac:dyDescent="0.25">
      <c r="A3960" s="25" t="str">
        <f ca="1">IFERROR(__xludf.DUMMYFUNCTION("""COMPUTED_VALUE"""),"Hacie58")</f>
        <v>Hacie58</v>
      </c>
      <c r="B3960" s="25"/>
      <c r="C3960" s="55"/>
      <c r="D3960" s="25" t="str">
        <f ca="1">IFERROR(__xludf.DUMMYFUNCTION("""COMPUTED_VALUE"""),"Hacienda")</f>
        <v>Hacienda</v>
      </c>
      <c r="E3960" s="25"/>
      <c r="F3960" s="25"/>
      <c r="G3960" s="25"/>
      <c r="H3960" s="25"/>
      <c r="I3960" s="25"/>
      <c r="J3960" s="55"/>
      <c r="K3960" s="25" t="str">
        <f ca="1">IFERROR(__xludf.DUMMYFUNCTION("""COMPUTED_VALUE"""),"Definir fecha")</f>
        <v>Definir fecha</v>
      </c>
      <c r="L3960" s="62"/>
      <c r="M3960" s="25"/>
      <c r="N3960" s="25"/>
      <c r="O3960" s="25">
        <f t="shared" si="0"/>
        <v>0</v>
      </c>
      <c r="P3960" s="25" t="str">
        <f t="shared" si="2"/>
        <v/>
      </c>
      <c r="Q3960" s="25" t="str">
        <f ca="1">IFERROR(__xludf.DUMMYFUNCTION("""COMPUTED_VALUE"""),"Sin defenir")</f>
        <v>Sin defenir</v>
      </c>
      <c r="R3960" s="25"/>
      <c r="S3960" s="55"/>
      <c r="T3960" s="56"/>
      <c r="U3960" s="25"/>
      <c r="V3960" s="25"/>
      <c r="W3960" s="25"/>
      <c r="X3960" s="25"/>
      <c r="Y3960" s="25"/>
      <c r="Z3960" s="25"/>
    </row>
    <row r="3961" spans="1:26" ht="52.5" customHeight="1" x14ac:dyDescent="0.25">
      <c r="A3961" s="25" t="str">
        <f ca="1">IFERROR(__xludf.DUMMYFUNCTION("""COMPUTED_VALUE"""),"Hacie59")</f>
        <v>Hacie59</v>
      </c>
      <c r="B3961" s="25"/>
      <c r="C3961" s="55"/>
      <c r="D3961" s="25" t="str">
        <f ca="1">IFERROR(__xludf.DUMMYFUNCTION("""COMPUTED_VALUE"""),"Hacienda")</f>
        <v>Hacienda</v>
      </c>
      <c r="E3961" s="25"/>
      <c r="F3961" s="25"/>
      <c r="G3961" s="25"/>
      <c r="H3961" s="25"/>
      <c r="I3961" s="25"/>
      <c r="J3961" s="55"/>
      <c r="K3961" s="25" t="str">
        <f ca="1">IFERROR(__xludf.DUMMYFUNCTION("""COMPUTED_VALUE"""),"Definir fecha")</f>
        <v>Definir fecha</v>
      </c>
      <c r="L3961" s="62"/>
      <c r="M3961" s="25"/>
      <c r="N3961" s="25"/>
      <c r="O3961" s="25">
        <f t="shared" si="0"/>
        <v>0</v>
      </c>
      <c r="P3961" s="25" t="str">
        <f t="shared" si="2"/>
        <v/>
      </c>
      <c r="Q3961" s="25" t="str">
        <f ca="1">IFERROR(__xludf.DUMMYFUNCTION("""COMPUTED_VALUE"""),"Sin defenir")</f>
        <v>Sin defenir</v>
      </c>
      <c r="R3961" s="25"/>
      <c r="S3961" s="55"/>
      <c r="T3961" s="56"/>
      <c r="U3961" s="25"/>
      <c r="V3961" s="25"/>
      <c r="W3961" s="25"/>
      <c r="X3961" s="25"/>
      <c r="Y3961" s="25"/>
      <c r="Z3961" s="25"/>
    </row>
    <row r="3962" spans="1:26" ht="52.5" customHeight="1" x14ac:dyDescent="0.25">
      <c r="A3962" s="25" t="str">
        <f ca="1">IFERROR(__xludf.DUMMYFUNCTION("""COMPUTED_VALUE"""),"Hacie60")</f>
        <v>Hacie60</v>
      </c>
      <c r="B3962" s="25"/>
      <c r="C3962" s="55"/>
      <c r="D3962" s="25" t="str">
        <f ca="1">IFERROR(__xludf.DUMMYFUNCTION("""COMPUTED_VALUE"""),"Hacienda")</f>
        <v>Hacienda</v>
      </c>
      <c r="E3962" s="25"/>
      <c r="F3962" s="25"/>
      <c r="G3962" s="25"/>
      <c r="H3962" s="25"/>
      <c r="I3962" s="25"/>
      <c r="J3962" s="55"/>
      <c r="K3962" s="25" t="str">
        <f ca="1">IFERROR(__xludf.DUMMYFUNCTION("""COMPUTED_VALUE"""),"Definir fecha")</f>
        <v>Definir fecha</v>
      </c>
      <c r="L3962" s="62"/>
      <c r="M3962" s="25"/>
      <c r="N3962" s="25"/>
      <c r="O3962" s="25">
        <f t="shared" si="0"/>
        <v>0</v>
      </c>
      <c r="P3962" s="25" t="str">
        <f t="shared" si="2"/>
        <v/>
      </c>
      <c r="Q3962" s="25" t="str">
        <f ca="1">IFERROR(__xludf.DUMMYFUNCTION("""COMPUTED_VALUE"""),"Sin defenir")</f>
        <v>Sin defenir</v>
      </c>
      <c r="R3962" s="25"/>
      <c r="S3962" s="55"/>
      <c r="T3962" s="56"/>
      <c r="U3962" s="25"/>
      <c r="V3962" s="25"/>
      <c r="W3962" s="25"/>
      <c r="X3962" s="25"/>
      <c r="Y3962" s="25"/>
      <c r="Z3962" s="25"/>
    </row>
    <row r="3963" spans="1:26" ht="52.5" customHeight="1" x14ac:dyDescent="0.25">
      <c r="A3963" s="25" t="str">
        <f ca="1">IFERROR(__xludf.DUMMYFUNCTION("""COMPUTED_VALUE"""),"Hacie61")</f>
        <v>Hacie61</v>
      </c>
      <c r="B3963" s="25"/>
      <c r="C3963" s="55"/>
      <c r="D3963" s="25" t="str">
        <f ca="1">IFERROR(__xludf.DUMMYFUNCTION("""COMPUTED_VALUE"""),"Hacienda")</f>
        <v>Hacienda</v>
      </c>
      <c r="E3963" s="25"/>
      <c r="F3963" s="25"/>
      <c r="G3963" s="25"/>
      <c r="H3963" s="25"/>
      <c r="I3963" s="25"/>
      <c r="J3963" s="55"/>
      <c r="K3963" s="25" t="str">
        <f ca="1">IFERROR(__xludf.DUMMYFUNCTION("""COMPUTED_VALUE"""),"Definir fecha")</f>
        <v>Definir fecha</v>
      </c>
      <c r="L3963" s="62"/>
      <c r="M3963" s="25"/>
      <c r="N3963" s="25"/>
      <c r="O3963" s="25">
        <f t="shared" si="0"/>
        <v>0</v>
      </c>
      <c r="P3963" s="25" t="str">
        <f t="shared" si="2"/>
        <v/>
      </c>
      <c r="Q3963" s="25" t="str">
        <f ca="1">IFERROR(__xludf.DUMMYFUNCTION("""COMPUTED_VALUE"""),"Sin defenir")</f>
        <v>Sin defenir</v>
      </c>
      <c r="R3963" s="25"/>
      <c r="S3963" s="55"/>
      <c r="T3963" s="56"/>
      <c r="U3963" s="25"/>
      <c r="V3963" s="25"/>
      <c r="W3963" s="25"/>
      <c r="X3963" s="25"/>
      <c r="Y3963" s="25"/>
      <c r="Z3963" s="25"/>
    </row>
    <row r="3964" spans="1:26" ht="52.5" customHeight="1" x14ac:dyDescent="0.25">
      <c r="A3964" s="25" t="str">
        <f ca="1">IFERROR(__xludf.DUMMYFUNCTION("""COMPUTED_VALUE"""),"Hacie62")</f>
        <v>Hacie62</v>
      </c>
      <c r="B3964" s="25"/>
      <c r="C3964" s="55"/>
      <c r="D3964" s="25" t="str">
        <f ca="1">IFERROR(__xludf.DUMMYFUNCTION("""COMPUTED_VALUE"""),"Hacienda")</f>
        <v>Hacienda</v>
      </c>
      <c r="E3964" s="25"/>
      <c r="F3964" s="25"/>
      <c r="G3964" s="25"/>
      <c r="H3964" s="25"/>
      <c r="I3964" s="25"/>
      <c r="J3964" s="55"/>
      <c r="K3964" s="25" t="str">
        <f ca="1">IFERROR(__xludf.DUMMYFUNCTION("""COMPUTED_VALUE"""),"Definir fecha")</f>
        <v>Definir fecha</v>
      </c>
      <c r="L3964" s="62"/>
      <c r="M3964" s="25"/>
      <c r="N3964" s="25"/>
      <c r="O3964" s="25">
        <f t="shared" si="0"/>
        <v>0</v>
      </c>
      <c r="P3964" s="25" t="str">
        <f t="shared" si="2"/>
        <v/>
      </c>
      <c r="Q3964" s="25" t="str">
        <f ca="1">IFERROR(__xludf.DUMMYFUNCTION("""COMPUTED_VALUE"""),"Sin defenir")</f>
        <v>Sin defenir</v>
      </c>
      <c r="R3964" s="25"/>
      <c r="S3964" s="55"/>
      <c r="T3964" s="56"/>
      <c r="U3964" s="25"/>
      <c r="V3964" s="25"/>
      <c r="W3964" s="25"/>
      <c r="X3964" s="25"/>
      <c r="Y3964" s="25"/>
      <c r="Z3964" s="25"/>
    </row>
    <row r="3965" spans="1:26" ht="52.5" customHeight="1" x14ac:dyDescent="0.25">
      <c r="A3965" s="25" t="str">
        <f ca="1">IFERROR(__xludf.DUMMYFUNCTION("""COMPUTED_VALUE"""),"Hacie63")</f>
        <v>Hacie63</v>
      </c>
      <c r="B3965" s="25"/>
      <c r="C3965" s="55"/>
      <c r="D3965" s="25" t="str">
        <f ca="1">IFERROR(__xludf.DUMMYFUNCTION("""COMPUTED_VALUE"""),"Hacienda")</f>
        <v>Hacienda</v>
      </c>
      <c r="E3965" s="25"/>
      <c r="F3965" s="25"/>
      <c r="G3965" s="25"/>
      <c r="H3965" s="25"/>
      <c r="I3965" s="25"/>
      <c r="J3965" s="55"/>
      <c r="K3965" s="25" t="str">
        <f ca="1">IFERROR(__xludf.DUMMYFUNCTION("""COMPUTED_VALUE"""),"Definir fecha")</f>
        <v>Definir fecha</v>
      </c>
      <c r="L3965" s="62"/>
      <c r="M3965" s="25"/>
      <c r="N3965" s="25"/>
      <c r="O3965" s="25">
        <f t="shared" si="0"/>
        <v>0</v>
      </c>
      <c r="P3965" s="25" t="str">
        <f t="shared" si="2"/>
        <v/>
      </c>
      <c r="Q3965" s="25" t="str">
        <f ca="1">IFERROR(__xludf.DUMMYFUNCTION("""COMPUTED_VALUE"""),"Sin defenir")</f>
        <v>Sin defenir</v>
      </c>
      <c r="R3965" s="25"/>
      <c r="S3965" s="55"/>
      <c r="T3965" s="56"/>
      <c r="U3965" s="25"/>
      <c r="V3965" s="25"/>
      <c r="W3965" s="25"/>
      <c r="X3965" s="25"/>
      <c r="Y3965" s="25"/>
      <c r="Z3965" s="25"/>
    </row>
    <row r="3966" spans="1:26" ht="52.5" customHeight="1" x14ac:dyDescent="0.25">
      <c r="A3966" s="25" t="str">
        <f ca="1">IFERROR(__xludf.DUMMYFUNCTION("""COMPUTED_VALUE"""),"Hacie64")</f>
        <v>Hacie64</v>
      </c>
      <c r="B3966" s="25"/>
      <c r="C3966" s="55"/>
      <c r="D3966" s="25" t="str">
        <f ca="1">IFERROR(__xludf.DUMMYFUNCTION("""COMPUTED_VALUE"""),"Hacienda")</f>
        <v>Hacienda</v>
      </c>
      <c r="E3966" s="25"/>
      <c r="F3966" s="25"/>
      <c r="G3966" s="25"/>
      <c r="H3966" s="25"/>
      <c r="I3966" s="25"/>
      <c r="J3966" s="55"/>
      <c r="K3966" s="25" t="str">
        <f ca="1">IFERROR(__xludf.DUMMYFUNCTION("""COMPUTED_VALUE"""),"Definir fecha")</f>
        <v>Definir fecha</v>
      </c>
      <c r="L3966" s="62"/>
      <c r="M3966" s="25"/>
      <c r="N3966" s="25"/>
      <c r="O3966" s="25">
        <f t="shared" si="0"/>
        <v>0</v>
      </c>
      <c r="P3966" s="25" t="str">
        <f t="shared" si="2"/>
        <v/>
      </c>
      <c r="Q3966" s="25" t="str">
        <f ca="1">IFERROR(__xludf.DUMMYFUNCTION("""COMPUTED_VALUE"""),"Sin defenir")</f>
        <v>Sin defenir</v>
      </c>
      <c r="R3966" s="25"/>
      <c r="S3966" s="55"/>
      <c r="T3966" s="56"/>
      <c r="U3966" s="25"/>
      <c r="V3966" s="25"/>
      <c r="W3966" s="25"/>
      <c r="X3966" s="25"/>
      <c r="Y3966" s="25"/>
      <c r="Z3966" s="25"/>
    </row>
    <row r="3967" spans="1:26" ht="52.5" customHeight="1" x14ac:dyDescent="0.25">
      <c r="A3967" s="25" t="str">
        <f ca="1">IFERROR(__xludf.DUMMYFUNCTION("""COMPUTED_VALUE"""),"Hacie65")</f>
        <v>Hacie65</v>
      </c>
      <c r="B3967" s="25"/>
      <c r="C3967" s="55"/>
      <c r="D3967" s="25" t="str">
        <f ca="1">IFERROR(__xludf.DUMMYFUNCTION("""COMPUTED_VALUE"""),"Hacienda")</f>
        <v>Hacienda</v>
      </c>
      <c r="E3967" s="25"/>
      <c r="F3967" s="25"/>
      <c r="G3967" s="25"/>
      <c r="H3967" s="25"/>
      <c r="I3967" s="25"/>
      <c r="J3967" s="55"/>
      <c r="K3967" s="25" t="str">
        <f ca="1">IFERROR(__xludf.DUMMYFUNCTION("""COMPUTED_VALUE"""),"Definir fecha")</f>
        <v>Definir fecha</v>
      </c>
      <c r="L3967" s="62"/>
      <c r="M3967" s="25"/>
      <c r="N3967" s="25"/>
      <c r="O3967" s="25">
        <f t="shared" si="0"/>
        <v>0</v>
      </c>
      <c r="P3967" s="25" t="str">
        <f t="shared" si="2"/>
        <v/>
      </c>
      <c r="Q3967" s="25" t="str">
        <f ca="1">IFERROR(__xludf.DUMMYFUNCTION("""COMPUTED_VALUE"""),"Sin defenir")</f>
        <v>Sin defenir</v>
      </c>
      <c r="R3967" s="25"/>
      <c r="S3967" s="55"/>
      <c r="T3967" s="56"/>
      <c r="U3967" s="25"/>
      <c r="V3967" s="25"/>
      <c r="W3967" s="25"/>
      <c r="X3967" s="25"/>
      <c r="Y3967" s="25"/>
      <c r="Z3967" s="25"/>
    </row>
    <row r="3968" spans="1:26" ht="52.5" customHeight="1" x14ac:dyDescent="0.25">
      <c r="A3968" s="25" t="str">
        <f ca="1">IFERROR(__xludf.DUMMYFUNCTION("""COMPUTED_VALUE"""),"Hacie66")</f>
        <v>Hacie66</v>
      </c>
      <c r="B3968" s="25"/>
      <c r="C3968" s="55"/>
      <c r="D3968" s="25" t="str">
        <f ca="1">IFERROR(__xludf.DUMMYFUNCTION("""COMPUTED_VALUE"""),"Hacienda")</f>
        <v>Hacienda</v>
      </c>
      <c r="E3968" s="25"/>
      <c r="F3968" s="25"/>
      <c r="G3968" s="25"/>
      <c r="H3968" s="25"/>
      <c r="I3968" s="25"/>
      <c r="J3968" s="55"/>
      <c r="K3968" s="25" t="str">
        <f ca="1">IFERROR(__xludf.DUMMYFUNCTION("""COMPUTED_VALUE"""),"Definir fecha")</f>
        <v>Definir fecha</v>
      </c>
      <c r="L3968" s="62"/>
      <c r="M3968" s="25"/>
      <c r="N3968" s="25"/>
      <c r="O3968" s="25">
        <f t="shared" si="0"/>
        <v>0</v>
      </c>
      <c r="P3968" s="25" t="str">
        <f t="shared" si="2"/>
        <v/>
      </c>
      <c r="Q3968" s="25" t="str">
        <f ca="1">IFERROR(__xludf.DUMMYFUNCTION("""COMPUTED_VALUE"""),"Sin defenir")</f>
        <v>Sin defenir</v>
      </c>
      <c r="R3968" s="25"/>
      <c r="S3968" s="55"/>
      <c r="T3968" s="56"/>
      <c r="U3968" s="25"/>
      <c r="V3968" s="25"/>
      <c r="W3968" s="25"/>
      <c r="X3968" s="25"/>
      <c r="Y3968" s="25"/>
      <c r="Z3968" s="25"/>
    </row>
    <row r="3969" spans="1:26" ht="52.5" customHeight="1" x14ac:dyDescent="0.25">
      <c r="A3969" s="25" t="str">
        <f ca="1">IFERROR(__xludf.DUMMYFUNCTION("""COMPUTED_VALUE"""),"Hacie67")</f>
        <v>Hacie67</v>
      </c>
      <c r="B3969" s="25"/>
      <c r="C3969" s="55"/>
      <c r="D3969" s="25" t="str">
        <f ca="1">IFERROR(__xludf.DUMMYFUNCTION("""COMPUTED_VALUE"""),"Hacienda")</f>
        <v>Hacienda</v>
      </c>
      <c r="E3969" s="25"/>
      <c r="F3969" s="25"/>
      <c r="G3969" s="25"/>
      <c r="H3969" s="25"/>
      <c r="I3969" s="25"/>
      <c r="J3969" s="55"/>
      <c r="K3969" s="25" t="str">
        <f ca="1">IFERROR(__xludf.DUMMYFUNCTION("""COMPUTED_VALUE"""),"Definir fecha")</f>
        <v>Definir fecha</v>
      </c>
      <c r="L3969" s="62"/>
      <c r="M3969" s="25"/>
      <c r="N3969" s="25"/>
      <c r="O3969" s="25">
        <f t="shared" si="0"/>
        <v>0</v>
      </c>
      <c r="P3969" s="25" t="str">
        <f t="shared" si="2"/>
        <v/>
      </c>
      <c r="Q3969" s="25" t="str">
        <f ca="1">IFERROR(__xludf.DUMMYFUNCTION("""COMPUTED_VALUE"""),"Sin defenir")</f>
        <v>Sin defenir</v>
      </c>
      <c r="R3969" s="25"/>
      <c r="S3969" s="55"/>
      <c r="T3969" s="56"/>
      <c r="U3969" s="25"/>
      <c r="V3969" s="25"/>
      <c r="W3969" s="25"/>
      <c r="X3969" s="25"/>
      <c r="Y3969" s="25"/>
      <c r="Z3969" s="25"/>
    </row>
    <row r="3970" spans="1:26" ht="52.5" customHeight="1" x14ac:dyDescent="0.25">
      <c r="A3970" s="25" t="str">
        <f ca="1">IFERROR(__xludf.DUMMYFUNCTION("""COMPUTED_VALUE"""),"Hacie68")</f>
        <v>Hacie68</v>
      </c>
      <c r="B3970" s="25"/>
      <c r="C3970" s="55"/>
      <c r="D3970" s="25" t="str">
        <f ca="1">IFERROR(__xludf.DUMMYFUNCTION("""COMPUTED_VALUE"""),"Hacienda")</f>
        <v>Hacienda</v>
      </c>
      <c r="E3970" s="25"/>
      <c r="F3970" s="25"/>
      <c r="G3970" s="25"/>
      <c r="H3970" s="25"/>
      <c r="I3970" s="25"/>
      <c r="J3970" s="55"/>
      <c r="K3970" s="25" t="str">
        <f ca="1">IFERROR(__xludf.DUMMYFUNCTION("""COMPUTED_VALUE"""),"Definir fecha")</f>
        <v>Definir fecha</v>
      </c>
      <c r="L3970" s="62"/>
      <c r="M3970" s="25"/>
      <c r="N3970" s="25"/>
      <c r="O3970" s="25">
        <f t="shared" si="0"/>
        <v>0</v>
      </c>
      <c r="P3970" s="25" t="str">
        <f t="shared" si="2"/>
        <v/>
      </c>
      <c r="Q3970" s="25" t="str">
        <f ca="1">IFERROR(__xludf.DUMMYFUNCTION("""COMPUTED_VALUE"""),"Sin defenir")</f>
        <v>Sin defenir</v>
      </c>
      <c r="R3970" s="25"/>
      <c r="S3970" s="55"/>
      <c r="T3970" s="56"/>
      <c r="U3970" s="25"/>
      <c r="V3970" s="25"/>
      <c r="W3970" s="25"/>
      <c r="X3970" s="25"/>
      <c r="Y3970" s="25"/>
      <c r="Z3970" s="25"/>
    </row>
    <row r="3971" spans="1:26" ht="52.5" customHeight="1" x14ac:dyDescent="0.25">
      <c r="A3971" s="25" t="str">
        <f ca="1">IFERROR(__xludf.DUMMYFUNCTION("""COMPUTED_VALUE"""),"Hacie69")</f>
        <v>Hacie69</v>
      </c>
      <c r="B3971" s="25"/>
      <c r="C3971" s="55"/>
      <c r="D3971" s="25" t="str">
        <f ca="1">IFERROR(__xludf.DUMMYFUNCTION("""COMPUTED_VALUE"""),"Hacienda")</f>
        <v>Hacienda</v>
      </c>
      <c r="E3971" s="25"/>
      <c r="F3971" s="25"/>
      <c r="G3971" s="25"/>
      <c r="H3971" s="25"/>
      <c r="I3971" s="25"/>
      <c r="J3971" s="55"/>
      <c r="K3971" s="25" t="str">
        <f ca="1">IFERROR(__xludf.DUMMYFUNCTION("""COMPUTED_VALUE"""),"Definir fecha")</f>
        <v>Definir fecha</v>
      </c>
      <c r="L3971" s="62"/>
      <c r="M3971" s="25"/>
      <c r="N3971" s="25"/>
      <c r="O3971" s="25">
        <f t="shared" si="0"/>
        <v>0</v>
      </c>
      <c r="P3971" s="25" t="str">
        <f t="shared" si="2"/>
        <v/>
      </c>
      <c r="Q3971" s="25" t="str">
        <f ca="1">IFERROR(__xludf.DUMMYFUNCTION("""COMPUTED_VALUE"""),"Sin defenir")</f>
        <v>Sin defenir</v>
      </c>
      <c r="R3971" s="25"/>
      <c r="S3971" s="55"/>
      <c r="T3971" s="56"/>
      <c r="U3971" s="25"/>
      <c r="V3971" s="25"/>
      <c r="W3971" s="25"/>
      <c r="X3971" s="25"/>
      <c r="Y3971" s="25"/>
      <c r="Z3971" s="25"/>
    </row>
    <row r="3972" spans="1:26" ht="52.5" customHeight="1" x14ac:dyDescent="0.25">
      <c r="A3972" s="25" t="str">
        <f ca="1">IFERROR(__xludf.DUMMYFUNCTION("""COMPUTED_VALUE"""),"Hacie70")</f>
        <v>Hacie70</v>
      </c>
      <c r="B3972" s="25"/>
      <c r="C3972" s="55"/>
      <c r="D3972" s="25" t="str">
        <f ca="1">IFERROR(__xludf.DUMMYFUNCTION("""COMPUTED_VALUE"""),"Hacienda")</f>
        <v>Hacienda</v>
      </c>
      <c r="E3972" s="25"/>
      <c r="F3972" s="25"/>
      <c r="G3972" s="25"/>
      <c r="H3972" s="25"/>
      <c r="I3972" s="25"/>
      <c r="J3972" s="55"/>
      <c r="K3972" s="25" t="str">
        <f ca="1">IFERROR(__xludf.DUMMYFUNCTION("""COMPUTED_VALUE"""),"Definir fecha")</f>
        <v>Definir fecha</v>
      </c>
      <c r="L3972" s="62"/>
      <c r="M3972" s="25"/>
      <c r="N3972" s="25"/>
      <c r="O3972" s="25">
        <f t="shared" si="0"/>
        <v>0</v>
      </c>
      <c r="P3972" s="25" t="str">
        <f t="shared" si="2"/>
        <v/>
      </c>
      <c r="Q3972" s="25" t="str">
        <f ca="1">IFERROR(__xludf.DUMMYFUNCTION("""COMPUTED_VALUE"""),"Sin defenir")</f>
        <v>Sin defenir</v>
      </c>
      <c r="R3972" s="25"/>
      <c r="S3972" s="55"/>
      <c r="T3972" s="56"/>
      <c r="U3972" s="25"/>
      <c r="V3972" s="25"/>
      <c r="W3972" s="25"/>
      <c r="X3972" s="25"/>
      <c r="Y3972" s="25"/>
      <c r="Z3972" s="25"/>
    </row>
    <row r="3973" spans="1:26" ht="52.5" customHeight="1" x14ac:dyDescent="0.25">
      <c r="A3973" s="25" t="str">
        <f ca="1">IFERROR(__xludf.DUMMYFUNCTION("""COMPUTED_VALUE"""),"Hacie71")</f>
        <v>Hacie71</v>
      </c>
      <c r="B3973" s="25"/>
      <c r="C3973" s="55"/>
      <c r="D3973" s="25" t="str">
        <f ca="1">IFERROR(__xludf.DUMMYFUNCTION("""COMPUTED_VALUE"""),"Hacienda")</f>
        <v>Hacienda</v>
      </c>
      <c r="E3973" s="25"/>
      <c r="F3973" s="25"/>
      <c r="G3973" s="25"/>
      <c r="H3973" s="25"/>
      <c r="I3973" s="25"/>
      <c r="J3973" s="55"/>
      <c r="K3973" s="25" t="str">
        <f ca="1">IFERROR(__xludf.DUMMYFUNCTION("""COMPUTED_VALUE"""),"Definir fecha")</f>
        <v>Definir fecha</v>
      </c>
      <c r="L3973" s="62"/>
      <c r="M3973" s="25"/>
      <c r="N3973" s="25"/>
      <c r="O3973" s="25">
        <f t="shared" si="0"/>
        <v>0</v>
      </c>
      <c r="P3973" s="25" t="str">
        <f t="shared" si="2"/>
        <v/>
      </c>
      <c r="Q3973" s="25" t="str">
        <f ca="1">IFERROR(__xludf.DUMMYFUNCTION("""COMPUTED_VALUE"""),"Sin defenir")</f>
        <v>Sin defenir</v>
      </c>
      <c r="R3973" s="25"/>
      <c r="S3973" s="55"/>
      <c r="T3973" s="56"/>
      <c r="U3973" s="25"/>
      <c r="V3973" s="25"/>
      <c r="W3973" s="25"/>
      <c r="X3973" s="25"/>
      <c r="Y3973" s="25"/>
      <c r="Z3973" s="25"/>
    </row>
    <row r="3974" spans="1:26" ht="52.5" customHeight="1" x14ac:dyDescent="0.25">
      <c r="A3974" s="25" t="str">
        <f ca="1">IFERROR(__xludf.DUMMYFUNCTION("""COMPUTED_VALUE"""),"Hacie72")</f>
        <v>Hacie72</v>
      </c>
      <c r="B3974" s="25"/>
      <c r="C3974" s="55"/>
      <c r="D3974" s="25" t="str">
        <f ca="1">IFERROR(__xludf.DUMMYFUNCTION("""COMPUTED_VALUE"""),"Hacienda")</f>
        <v>Hacienda</v>
      </c>
      <c r="E3974" s="25"/>
      <c r="F3974" s="25"/>
      <c r="G3974" s="25"/>
      <c r="H3974" s="25"/>
      <c r="I3974" s="25"/>
      <c r="J3974" s="55"/>
      <c r="K3974" s="25" t="str">
        <f ca="1">IFERROR(__xludf.DUMMYFUNCTION("""COMPUTED_VALUE"""),"Definir fecha")</f>
        <v>Definir fecha</v>
      </c>
      <c r="L3974" s="62"/>
      <c r="M3974" s="25"/>
      <c r="N3974" s="25"/>
      <c r="O3974" s="25">
        <f t="shared" si="0"/>
        <v>0</v>
      </c>
      <c r="P3974" s="25" t="str">
        <f t="shared" si="2"/>
        <v/>
      </c>
      <c r="Q3974" s="25" t="str">
        <f ca="1">IFERROR(__xludf.DUMMYFUNCTION("""COMPUTED_VALUE"""),"Sin defenir")</f>
        <v>Sin defenir</v>
      </c>
      <c r="R3974" s="25"/>
      <c r="S3974" s="55"/>
      <c r="T3974" s="56"/>
      <c r="U3974" s="25"/>
      <c r="V3974" s="25"/>
      <c r="W3974" s="25"/>
      <c r="X3974" s="25"/>
      <c r="Y3974" s="25"/>
      <c r="Z3974" s="25"/>
    </row>
    <row r="3975" spans="1:26" ht="52.5" customHeight="1" x14ac:dyDescent="0.25">
      <c r="A3975" s="25" t="str">
        <f ca="1">IFERROR(__xludf.DUMMYFUNCTION("""COMPUTED_VALUE"""),"Hacie73")</f>
        <v>Hacie73</v>
      </c>
      <c r="B3975" s="25"/>
      <c r="C3975" s="55"/>
      <c r="D3975" s="25" t="str">
        <f ca="1">IFERROR(__xludf.DUMMYFUNCTION("""COMPUTED_VALUE"""),"Hacienda")</f>
        <v>Hacienda</v>
      </c>
      <c r="E3975" s="25"/>
      <c r="F3975" s="25"/>
      <c r="G3975" s="25"/>
      <c r="H3975" s="25"/>
      <c r="I3975" s="25"/>
      <c r="J3975" s="55"/>
      <c r="K3975" s="25" t="str">
        <f ca="1">IFERROR(__xludf.DUMMYFUNCTION("""COMPUTED_VALUE"""),"Definir fecha")</f>
        <v>Definir fecha</v>
      </c>
      <c r="L3975" s="62"/>
      <c r="M3975" s="25"/>
      <c r="N3975" s="25"/>
      <c r="O3975" s="25">
        <f t="shared" si="0"/>
        <v>0</v>
      </c>
      <c r="P3975" s="25" t="str">
        <f t="shared" si="2"/>
        <v/>
      </c>
      <c r="Q3975" s="25" t="str">
        <f ca="1">IFERROR(__xludf.DUMMYFUNCTION("""COMPUTED_VALUE"""),"Sin defenir")</f>
        <v>Sin defenir</v>
      </c>
      <c r="R3975" s="25"/>
      <c r="S3975" s="55"/>
      <c r="T3975" s="56"/>
      <c r="U3975" s="25"/>
      <c r="V3975" s="25"/>
      <c r="W3975" s="25"/>
      <c r="X3975" s="25"/>
      <c r="Y3975" s="25"/>
      <c r="Z3975" s="25"/>
    </row>
    <row r="3976" spans="1:26" ht="52.5" customHeight="1" x14ac:dyDescent="0.25">
      <c r="A3976" s="25" t="str">
        <f ca="1">IFERROR(__xludf.DUMMYFUNCTION("""COMPUTED_VALUE"""),"Hacie74")</f>
        <v>Hacie74</v>
      </c>
      <c r="B3976" s="25"/>
      <c r="C3976" s="55"/>
      <c r="D3976" s="25" t="str">
        <f ca="1">IFERROR(__xludf.DUMMYFUNCTION("""COMPUTED_VALUE"""),"Hacienda")</f>
        <v>Hacienda</v>
      </c>
      <c r="E3976" s="25"/>
      <c r="F3976" s="25"/>
      <c r="G3976" s="25"/>
      <c r="H3976" s="25"/>
      <c r="I3976" s="25"/>
      <c r="J3976" s="55"/>
      <c r="K3976" s="25" t="str">
        <f ca="1">IFERROR(__xludf.DUMMYFUNCTION("""COMPUTED_VALUE"""),"Definir fecha")</f>
        <v>Definir fecha</v>
      </c>
      <c r="L3976" s="62"/>
      <c r="M3976" s="25"/>
      <c r="N3976" s="25"/>
      <c r="O3976" s="25">
        <f t="shared" si="0"/>
        <v>0</v>
      </c>
      <c r="P3976" s="25" t="str">
        <f t="shared" si="2"/>
        <v/>
      </c>
      <c r="Q3976" s="25" t="str">
        <f ca="1">IFERROR(__xludf.DUMMYFUNCTION("""COMPUTED_VALUE"""),"Sin defenir")</f>
        <v>Sin defenir</v>
      </c>
      <c r="R3976" s="25"/>
      <c r="S3976" s="55"/>
      <c r="T3976" s="56"/>
      <c r="U3976" s="25"/>
      <c r="V3976" s="25"/>
      <c r="W3976" s="25"/>
      <c r="X3976" s="25"/>
      <c r="Y3976" s="25"/>
      <c r="Z3976" s="25"/>
    </row>
    <row r="3977" spans="1:26" ht="52.5" customHeight="1" x14ac:dyDescent="0.25">
      <c r="A3977" s="25" t="str">
        <f ca="1">IFERROR(__xludf.DUMMYFUNCTION("""COMPUTED_VALUE"""),"Hacie75")</f>
        <v>Hacie75</v>
      </c>
      <c r="B3977" s="25"/>
      <c r="C3977" s="55"/>
      <c r="D3977" s="25" t="str">
        <f ca="1">IFERROR(__xludf.DUMMYFUNCTION("""COMPUTED_VALUE"""),"Hacienda")</f>
        <v>Hacienda</v>
      </c>
      <c r="E3977" s="25"/>
      <c r="F3977" s="25"/>
      <c r="G3977" s="25"/>
      <c r="H3977" s="25"/>
      <c r="I3977" s="25"/>
      <c r="J3977" s="55"/>
      <c r="K3977" s="25" t="str">
        <f ca="1">IFERROR(__xludf.DUMMYFUNCTION("""COMPUTED_VALUE"""),"Definir fecha")</f>
        <v>Definir fecha</v>
      </c>
      <c r="L3977" s="62"/>
      <c r="M3977" s="25"/>
      <c r="N3977" s="25"/>
      <c r="O3977" s="25">
        <f t="shared" si="0"/>
        <v>0</v>
      </c>
      <c r="P3977" s="25" t="str">
        <f t="shared" si="2"/>
        <v/>
      </c>
      <c r="Q3977" s="25" t="str">
        <f ca="1">IFERROR(__xludf.DUMMYFUNCTION("""COMPUTED_VALUE"""),"Sin defenir")</f>
        <v>Sin defenir</v>
      </c>
      <c r="R3977" s="25"/>
      <c r="S3977" s="55"/>
      <c r="T3977" s="56"/>
      <c r="U3977" s="25"/>
      <c r="V3977" s="25"/>
      <c r="W3977" s="25"/>
      <c r="X3977" s="25"/>
      <c r="Y3977" s="25"/>
      <c r="Z3977" s="25"/>
    </row>
    <row r="3978" spans="1:26" ht="52.5" customHeight="1" x14ac:dyDescent="0.25">
      <c r="A3978" s="25" t="str">
        <f ca="1">IFERROR(__xludf.DUMMYFUNCTION("""COMPUTED_VALUE"""),"Hacie76")</f>
        <v>Hacie76</v>
      </c>
      <c r="B3978" s="25"/>
      <c r="C3978" s="55"/>
      <c r="D3978" s="25" t="str">
        <f ca="1">IFERROR(__xludf.DUMMYFUNCTION("""COMPUTED_VALUE"""),"Hacienda")</f>
        <v>Hacienda</v>
      </c>
      <c r="E3978" s="25"/>
      <c r="F3978" s="25"/>
      <c r="G3978" s="25"/>
      <c r="H3978" s="25"/>
      <c r="I3978" s="25"/>
      <c r="J3978" s="55"/>
      <c r="K3978" s="25" t="str">
        <f ca="1">IFERROR(__xludf.DUMMYFUNCTION("""COMPUTED_VALUE"""),"Definir fecha")</f>
        <v>Definir fecha</v>
      </c>
      <c r="L3978" s="62"/>
      <c r="M3978" s="25"/>
      <c r="N3978" s="25"/>
      <c r="O3978" s="25">
        <f t="shared" si="0"/>
        <v>0</v>
      </c>
      <c r="P3978" s="25" t="str">
        <f t="shared" si="2"/>
        <v/>
      </c>
      <c r="Q3978" s="25" t="str">
        <f ca="1">IFERROR(__xludf.DUMMYFUNCTION("""COMPUTED_VALUE"""),"Sin defenir")</f>
        <v>Sin defenir</v>
      </c>
      <c r="R3978" s="25"/>
      <c r="S3978" s="55"/>
      <c r="T3978" s="56"/>
      <c r="U3978" s="25"/>
      <c r="V3978" s="25"/>
      <c r="W3978" s="25"/>
      <c r="X3978" s="25"/>
      <c r="Y3978" s="25"/>
      <c r="Z3978" s="25"/>
    </row>
    <row r="3979" spans="1:26" ht="52.5" customHeight="1" x14ac:dyDescent="0.25">
      <c r="A3979" s="25" t="str">
        <f ca="1">IFERROR(__xludf.DUMMYFUNCTION("""COMPUTED_VALUE"""),"Hacie77")</f>
        <v>Hacie77</v>
      </c>
      <c r="B3979" s="25"/>
      <c r="C3979" s="55"/>
      <c r="D3979" s="25" t="str">
        <f ca="1">IFERROR(__xludf.DUMMYFUNCTION("""COMPUTED_VALUE"""),"Hacienda")</f>
        <v>Hacienda</v>
      </c>
      <c r="E3979" s="25"/>
      <c r="F3979" s="25"/>
      <c r="G3979" s="25"/>
      <c r="H3979" s="25"/>
      <c r="I3979" s="25"/>
      <c r="J3979" s="55"/>
      <c r="K3979" s="25" t="str">
        <f ca="1">IFERROR(__xludf.DUMMYFUNCTION("""COMPUTED_VALUE"""),"Definir fecha")</f>
        <v>Definir fecha</v>
      </c>
      <c r="L3979" s="62"/>
      <c r="M3979" s="25"/>
      <c r="N3979" s="25"/>
      <c r="O3979" s="25">
        <f t="shared" si="0"/>
        <v>0</v>
      </c>
      <c r="P3979" s="25" t="str">
        <f t="shared" si="2"/>
        <v/>
      </c>
      <c r="Q3979" s="25" t="str">
        <f ca="1">IFERROR(__xludf.DUMMYFUNCTION("""COMPUTED_VALUE"""),"Sin defenir")</f>
        <v>Sin defenir</v>
      </c>
      <c r="R3979" s="25"/>
      <c r="S3979" s="55"/>
      <c r="T3979" s="56"/>
      <c r="U3979" s="25"/>
      <c r="V3979" s="25"/>
      <c r="W3979" s="25"/>
      <c r="X3979" s="25"/>
      <c r="Y3979" s="25"/>
      <c r="Z3979" s="25"/>
    </row>
    <row r="3980" spans="1:26" ht="52.5" customHeight="1" x14ac:dyDescent="0.25">
      <c r="A3980" s="25" t="str">
        <f ca="1">IFERROR(__xludf.DUMMYFUNCTION("""COMPUTED_VALUE"""),"Hacie78")</f>
        <v>Hacie78</v>
      </c>
      <c r="B3980" s="25"/>
      <c r="C3980" s="55"/>
      <c r="D3980" s="25" t="str">
        <f ca="1">IFERROR(__xludf.DUMMYFUNCTION("""COMPUTED_VALUE"""),"Hacienda")</f>
        <v>Hacienda</v>
      </c>
      <c r="E3980" s="25"/>
      <c r="F3980" s="25"/>
      <c r="G3980" s="25"/>
      <c r="H3980" s="25"/>
      <c r="I3980" s="25"/>
      <c r="J3980" s="55"/>
      <c r="K3980" s="25" t="str">
        <f ca="1">IFERROR(__xludf.DUMMYFUNCTION("""COMPUTED_VALUE"""),"Definir fecha")</f>
        <v>Definir fecha</v>
      </c>
      <c r="L3980" s="62"/>
      <c r="M3980" s="25"/>
      <c r="N3980" s="25"/>
      <c r="O3980" s="25">
        <f t="shared" si="0"/>
        <v>0</v>
      </c>
      <c r="P3980" s="25" t="str">
        <f t="shared" si="2"/>
        <v/>
      </c>
      <c r="Q3980" s="25" t="str">
        <f ca="1">IFERROR(__xludf.DUMMYFUNCTION("""COMPUTED_VALUE"""),"Sin defenir")</f>
        <v>Sin defenir</v>
      </c>
      <c r="R3980" s="25"/>
      <c r="S3980" s="55"/>
      <c r="T3980" s="56"/>
      <c r="U3980" s="25"/>
      <c r="V3980" s="25"/>
      <c r="W3980" s="25"/>
      <c r="X3980" s="25"/>
      <c r="Y3980" s="25"/>
      <c r="Z3980" s="25"/>
    </row>
    <row r="3981" spans="1:26" ht="52.5" customHeight="1" x14ac:dyDescent="0.25">
      <c r="A3981" s="25" t="str">
        <f ca="1">IFERROR(__xludf.DUMMYFUNCTION("""COMPUTED_VALUE"""),"Hacie79")</f>
        <v>Hacie79</v>
      </c>
      <c r="B3981" s="25"/>
      <c r="C3981" s="55"/>
      <c r="D3981" s="25" t="str">
        <f ca="1">IFERROR(__xludf.DUMMYFUNCTION("""COMPUTED_VALUE"""),"Hacienda")</f>
        <v>Hacienda</v>
      </c>
      <c r="E3981" s="25"/>
      <c r="F3981" s="25"/>
      <c r="G3981" s="25"/>
      <c r="H3981" s="25"/>
      <c r="I3981" s="25"/>
      <c r="J3981" s="55"/>
      <c r="K3981" s="25" t="str">
        <f ca="1">IFERROR(__xludf.DUMMYFUNCTION("""COMPUTED_VALUE"""),"Definir fecha")</f>
        <v>Definir fecha</v>
      </c>
      <c r="L3981" s="62"/>
      <c r="M3981" s="25"/>
      <c r="N3981" s="25"/>
      <c r="O3981" s="25">
        <f t="shared" si="0"/>
        <v>0</v>
      </c>
      <c r="P3981" s="25" t="str">
        <f t="shared" si="2"/>
        <v/>
      </c>
      <c r="Q3981" s="25" t="str">
        <f ca="1">IFERROR(__xludf.DUMMYFUNCTION("""COMPUTED_VALUE"""),"Sin defenir")</f>
        <v>Sin defenir</v>
      </c>
      <c r="R3981" s="25"/>
      <c r="S3981" s="55"/>
      <c r="T3981" s="56"/>
      <c r="U3981" s="25"/>
      <c r="V3981" s="25"/>
      <c r="W3981" s="25"/>
      <c r="X3981" s="25"/>
      <c r="Y3981" s="25"/>
      <c r="Z3981" s="25"/>
    </row>
    <row r="3982" spans="1:26" ht="52.5" customHeight="1" x14ac:dyDescent="0.25">
      <c r="A3982" s="25" t="str">
        <f ca="1">IFERROR(__xludf.DUMMYFUNCTION("""COMPUTED_VALUE"""),"Hacie80")</f>
        <v>Hacie80</v>
      </c>
      <c r="B3982" s="25"/>
      <c r="C3982" s="55"/>
      <c r="D3982" s="25" t="str">
        <f ca="1">IFERROR(__xludf.DUMMYFUNCTION("""COMPUTED_VALUE"""),"Hacienda")</f>
        <v>Hacienda</v>
      </c>
      <c r="E3982" s="25"/>
      <c r="F3982" s="25"/>
      <c r="G3982" s="25"/>
      <c r="H3982" s="25"/>
      <c r="I3982" s="25"/>
      <c r="J3982" s="55"/>
      <c r="K3982" s="25" t="str">
        <f ca="1">IFERROR(__xludf.DUMMYFUNCTION("""COMPUTED_VALUE"""),"Definir fecha")</f>
        <v>Definir fecha</v>
      </c>
      <c r="L3982" s="62"/>
      <c r="M3982" s="25"/>
      <c r="N3982" s="25"/>
      <c r="O3982" s="25">
        <f t="shared" si="0"/>
        <v>0</v>
      </c>
      <c r="P3982" s="25" t="str">
        <f t="shared" si="2"/>
        <v/>
      </c>
      <c r="Q3982" s="25" t="str">
        <f ca="1">IFERROR(__xludf.DUMMYFUNCTION("""COMPUTED_VALUE"""),"Sin defenir")</f>
        <v>Sin defenir</v>
      </c>
      <c r="R3982" s="25"/>
      <c r="S3982" s="55"/>
      <c r="T3982" s="56"/>
      <c r="U3982" s="25"/>
      <c r="V3982" s="25"/>
      <c r="W3982" s="25"/>
      <c r="X3982" s="25"/>
      <c r="Y3982" s="25"/>
      <c r="Z3982" s="25"/>
    </row>
    <row r="3983" spans="1:26" ht="52.5" customHeight="1" x14ac:dyDescent="0.25">
      <c r="A3983" s="25" t="str">
        <f ca="1">IFERROR(__xludf.DUMMYFUNCTION("""COMPUTED_VALUE"""),"Hacie81")</f>
        <v>Hacie81</v>
      </c>
      <c r="B3983" s="25"/>
      <c r="C3983" s="55"/>
      <c r="D3983" s="25" t="str">
        <f ca="1">IFERROR(__xludf.DUMMYFUNCTION("""COMPUTED_VALUE"""),"Hacienda")</f>
        <v>Hacienda</v>
      </c>
      <c r="E3983" s="25"/>
      <c r="F3983" s="25"/>
      <c r="G3983" s="25"/>
      <c r="H3983" s="25"/>
      <c r="I3983" s="25"/>
      <c r="J3983" s="55"/>
      <c r="K3983" s="25" t="str">
        <f ca="1">IFERROR(__xludf.DUMMYFUNCTION("""COMPUTED_VALUE"""),"Definir fecha")</f>
        <v>Definir fecha</v>
      </c>
      <c r="L3983" s="62"/>
      <c r="M3983" s="25"/>
      <c r="N3983" s="25"/>
      <c r="O3983" s="25">
        <f t="shared" si="0"/>
        <v>0</v>
      </c>
      <c r="P3983" s="25" t="str">
        <f t="shared" si="2"/>
        <v/>
      </c>
      <c r="Q3983" s="25" t="str">
        <f ca="1">IFERROR(__xludf.DUMMYFUNCTION("""COMPUTED_VALUE"""),"Sin defenir")</f>
        <v>Sin defenir</v>
      </c>
      <c r="R3983" s="25"/>
      <c r="S3983" s="55"/>
      <c r="T3983" s="56"/>
      <c r="U3983" s="25"/>
      <c r="V3983" s="25"/>
      <c r="W3983" s="25"/>
      <c r="X3983" s="25"/>
      <c r="Y3983" s="25"/>
      <c r="Z3983" s="25"/>
    </row>
    <row r="3984" spans="1:26" ht="52.5" customHeight="1" x14ac:dyDescent="0.25">
      <c r="A3984" s="25" t="str">
        <f ca="1">IFERROR(__xludf.DUMMYFUNCTION("""COMPUTED_VALUE"""),"Hacie82")</f>
        <v>Hacie82</v>
      </c>
      <c r="B3984" s="25"/>
      <c r="C3984" s="55"/>
      <c r="D3984" s="25" t="str">
        <f ca="1">IFERROR(__xludf.DUMMYFUNCTION("""COMPUTED_VALUE"""),"Hacienda")</f>
        <v>Hacienda</v>
      </c>
      <c r="E3984" s="25"/>
      <c r="F3984" s="25"/>
      <c r="G3984" s="25"/>
      <c r="H3984" s="25"/>
      <c r="I3984" s="25"/>
      <c r="J3984" s="55"/>
      <c r="K3984" s="25" t="str">
        <f ca="1">IFERROR(__xludf.DUMMYFUNCTION("""COMPUTED_VALUE"""),"Definir fecha")</f>
        <v>Definir fecha</v>
      </c>
      <c r="L3984" s="62"/>
      <c r="M3984" s="25"/>
      <c r="N3984" s="25"/>
      <c r="O3984" s="25">
        <f t="shared" si="0"/>
        <v>0</v>
      </c>
      <c r="P3984" s="25" t="str">
        <f t="shared" si="2"/>
        <v/>
      </c>
      <c r="Q3984" s="25" t="str">
        <f ca="1">IFERROR(__xludf.DUMMYFUNCTION("""COMPUTED_VALUE"""),"Sin defenir")</f>
        <v>Sin defenir</v>
      </c>
      <c r="R3984" s="25"/>
      <c r="S3984" s="55"/>
      <c r="T3984" s="56"/>
      <c r="U3984" s="25"/>
      <c r="V3984" s="25"/>
      <c r="W3984" s="25"/>
      <c r="X3984" s="25"/>
      <c r="Y3984" s="25"/>
      <c r="Z3984" s="25"/>
    </row>
    <row r="3985" spans="1:26" ht="52.5" customHeight="1" x14ac:dyDescent="0.25">
      <c r="A3985" s="25" t="str">
        <f ca="1">IFERROR(__xludf.DUMMYFUNCTION("""COMPUTED_VALUE"""),"Hacie83")</f>
        <v>Hacie83</v>
      </c>
      <c r="B3985" s="25"/>
      <c r="C3985" s="55"/>
      <c r="D3985" s="25" t="str">
        <f ca="1">IFERROR(__xludf.DUMMYFUNCTION("""COMPUTED_VALUE"""),"Hacienda")</f>
        <v>Hacienda</v>
      </c>
      <c r="E3985" s="25"/>
      <c r="F3985" s="25"/>
      <c r="G3985" s="25"/>
      <c r="H3985" s="25"/>
      <c r="I3985" s="25"/>
      <c r="J3985" s="55"/>
      <c r="K3985" s="25" t="str">
        <f ca="1">IFERROR(__xludf.DUMMYFUNCTION("""COMPUTED_VALUE"""),"Definir fecha")</f>
        <v>Definir fecha</v>
      </c>
      <c r="L3985" s="62"/>
      <c r="M3985" s="25"/>
      <c r="N3985" s="25"/>
      <c r="O3985" s="25">
        <f t="shared" si="0"/>
        <v>0</v>
      </c>
      <c r="P3985" s="25" t="str">
        <f t="shared" si="2"/>
        <v/>
      </c>
      <c r="Q3985" s="25" t="str">
        <f ca="1">IFERROR(__xludf.DUMMYFUNCTION("""COMPUTED_VALUE"""),"Sin defenir")</f>
        <v>Sin defenir</v>
      </c>
      <c r="R3985" s="25"/>
      <c r="S3985" s="55"/>
      <c r="T3985" s="56"/>
      <c r="U3985" s="25"/>
      <c r="V3985" s="25"/>
      <c r="W3985" s="25"/>
      <c r="X3985" s="25"/>
      <c r="Y3985" s="25"/>
      <c r="Z3985" s="25"/>
    </row>
    <row r="3986" spans="1:26" ht="52.5" customHeight="1" x14ac:dyDescent="0.25">
      <c r="A3986" s="25" t="str">
        <f ca="1">IFERROR(__xludf.DUMMYFUNCTION("""COMPUTED_VALUE"""),"Hacie84")</f>
        <v>Hacie84</v>
      </c>
      <c r="B3986" s="25"/>
      <c r="C3986" s="55"/>
      <c r="D3986" s="25" t="str">
        <f ca="1">IFERROR(__xludf.DUMMYFUNCTION("""COMPUTED_VALUE"""),"Hacienda")</f>
        <v>Hacienda</v>
      </c>
      <c r="E3986" s="25"/>
      <c r="F3986" s="25"/>
      <c r="G3986" s="25"/>
      <c r="H3986" s="25"/>
      <c r="I3986" s="25"/>
      <c r="J3986" s="55"/>
      <c r="K3986" s="25" t="str">
        <f ca="1">IFERROR(__xludf.DUMMYFUNCTION("""COMPUTED_VALUE"""),"Definir fecha")</f>
        <v>Definir fecha</v>
      </c>
      <c r="L3986" s="62"/>
      <c r="M3986" s="25"/>
      <c r="N3986" s="25"/>
      <c r="O3986" s="25">
        <f t="shared" si="0"/>
        <v>0</v>
      </c>
      <c r="P3986" s="25" t="str">
        <f t="shared" si="2"/>
        <v/>
      </c>
      <c r="Q3986" s="25" t="str">
        <f ca="1">IFERROR(__xludf.DUMMYFUNCTION("""COMPUTED_VALUE"""),"Sin defenir")</f>
        <v>Sin defenir</v>
      </c>
      <c r="R3986" s="25"/>
      <c r="S3986" s="55"/>
      <c r="T3986" s="56"/>
      <c r="U3986" s="25"/>
      <c r="V3986" s="25"/>
      <c r="W3986" s="25"/>
      <c r="X3986" s="25"/>
      <c r="Y3986" s="25"/>
      <c r="Z3986" s="25"/>
    </row>
    <row r="3987" spans="1:26" ht="52.5" customHeight="1" x14ac:dyDescent="0.25">
      <c r="A3987" s="25" t="str">
        <f ca="1">IFERROR(__xludf.DUMMYFUNCTION("""COMPUTED_VALUE"""),"Hacie85")</f>
        <v>Hacie85</v>
      </c>
      <c r="B3987" s="25"/>
      <c r="C3987" s="55"/>
      <c r="D3987" s="25" t="str">
        <f ca="1">IFERROR(__xludf.DUMMYFUNCTION("""COMPUTED_VALUE"""),"Hacienda")</f>
        <v>Hacienda</v>
      </c>
      <c r="E3987" s="25"/>
      <c r="F3987" s="25"/>
      <c r="G3987" s="25"/>
      <c r="H3987" s="25"/>
      <c r="I3987" s="25"/>
      <c r="J3987" s="55"/>
      <c r="K3987" s="25" t="str">
        <f ca="1">IFERROR(__xludf.DUMMYFUNCTION("""COMPUTED_VALUE"""),"Definir fecha")</f>
        <v>Definir fecha</v>
      </c>
      <c r="L3987" s="62"/>
      <c r="M3987" s="25"/>
      <c r="N3987" s="25"/>
      <c r="O3987" s="25">
        <f t="shared" si="0"/>
        <v>0</v>
      </c>
      <c r="P3987" s="25" t="str">
        <f t="shared" si="2"/>
        <v/>
      </c>
      <c r="Q3987" s="25" t="str">
        <f ca="1">IFERROR(__xludf.DUMMYFUNCTION("""COMPUTED_VALUE"""),"Sin defenir")</f>
        <v>Sin defenir</v>
      </c>
      <c r="R3987" s="25"/>
      <c r="S3987" s="55"/>
      <c r="T3987" s="56"/>
      <c r="U3987" s="25"/>
      <c r="V3987" s="25"/>
      <c r="W3987" s="25"/>
      <c r="X3987" s="25"/>
      <c r="Y3987" s="25"/>
      <c r="Z3987" s="25"/>
    </row>
    <row r="3988" spans="1:26" ht="52.5" customHeight="1" x14ac:dyDescent="0.25">
      <c r="A3988" s="25" t="str">
        <f ca="1">IFERROR(__xludf.DUMMYFUNCTION("""COMPUTED_VALUE"""),"Hacie86")</f>
        <v>Hacie86</v>
      </c>
      <c r="B3988" s="25"/>
      <c r="C3988" s="55"/>
      <c r="D3988" s="25" t="str">
        <f ca="1">IFERROR(__xludf.DUMMYFUNCTION("""COMPUTED_VALUE"""),"Hacienda")</f>
        <v>Hacienda</v>
      </c>
      <c r="E3988" s="25"/>
      <c r="F3988" s="25"/>
      <c r="G3988" s="25"/>
      <c r="H3988" s="25"/>
      <c r="I3988" s="25"/>
      <c r="J3988" s="55"/>
      <c r="K3988" s="25" t="str">
        <f ca="1">IFERROR(__xludf.DUMMYFUNCTION("""COMPUTED_VALUE"""),"Definir fecha")</f>
        <v>Definir fecha</v>
      </c>
      <c r="L3988" s="62"/>
      <c r="M3988" s="25"/>
      <c r="N3988" s="25"/>
      <c r="O3988" s="25">
        <f t="shared" si="0"/>
        <v>0</v>
      </c>
      <c r="P3988" s="25" t="str">
        <f t="shared" si="2"/>
        <v/>
      </c>
      <c r="Q3988" s="25" t="str">
        <f ca="1">IFERROR(__xludf.DUMMYFUNCTION("""COMPUTED_VALUE"""),"Sin defenir")</f>
        <v>Sin defenir</v>
      </c>
      <c r="R3988" s="25"/>
      <c r="S3988" s="55"/>
      <c r="T3988" s="56"/>
      <c r="U3988" s="25"/>
      <c r="V3988" s="25"/>
      <c r="W3988" s="25"/>
      <c r="X3988" s="25"/>
      <c r="Y3988" s="25"/>
      <c r="Z3988" s="25"/>
    </row>
    <row r="3989" spans="1:26" ht="52.5" customHeight="1" x14ac:dyDescent="0.25">
      <c r="A3989" s="25" t="str">
        <f ca="1">IFERROR(__xludf.DUMMYFUNCTION("""COMPUTED_VALUE"""),"Hacie87")</f>
        <v>Hacie87</v>
      </c>
      <c r="B3989" s="25"/>
      <c r="C3989" s="55"/>
      <c r="D3989" s="25" t="str">
        <f ca="1">IFERROR(__xludf.DUMMYFUNCTION("""COMPUTED_VALUE"""),"Hacienda")</f>
        <v>Hacienda</v>
      </c>
      <c r="E3989" s="25"/>
      <c r="F3989" s="25"/>
      <c r="G3989" s="25"/>
      <c r="H3989" s="25"/>
      <c r="I3989" s="25"/>
      <c r="J3989" s="55"/>
      <c r="K3989" s="25" t="str">
        <f ca="1">IFERROR(__xludf.DUMMYFUNCTION("""COMPUTED_VALUE"""),"Definir fecha")</f>
        <v>Definir fecha</v>
      </c>
      <c r="L3989" s="62"/>
      <c r="M3989" s="25"/>
      <c r="N3989" s="25"/>
      <c r="O3989" s="25">
        <f t="shared" si="0"/>
        <v>0</v>
      </c>
      <c r="P3989" s="25" t="str">
        <f t="shared" si="2"/>
        <v/>
      </c>
      <c r="Q3989" s="25" t="str">
        <f ca="1">IFERROR(__xludf.DUMMYFUNCTION("""COMPUTED_VALUE"""),"Sin defenir")</f>
        <v>Sin defenir</v>
      </c>
      <c r="R3989" s="25"/>
      <c r="S3989" s="55"/>
      <c r="T3989" s="56"/>
      <c r="U3989" s="25"/>
      <c r="V3989" s="25"/>
      <c r="W3989" s="25"/>
      <c r="X3989" s="25"/>
      <c r="Y3989" s="25"/>
      <c r="Z3989" s="25"/>
    </row>
    <row r="3990" spans="1:26" ht="52.5" customHeight="1" x14ac:dyDescent="0.25">
      <c r="A3990" s="25" t="str">
        <f ca="1">IFERROR(__xludf.DUMMYFUNCTION("""COMPUTED_VALUE"""),"Hacie88")</f>
        <v>Hacie88</v>
      </c>
      <c r="B3990" s="25"/>
      <c r="C3990" s="55"/>
      <c r="D3990" s="25" t="str">
        <f ca="1">IFERROR(__xludf.DUMMYFUNCTION("""COMPUTED_VALUE"""),"Hacienda")</f>
        <v>Hacienda</v>
      </c>
      <c r="E3990" s="25"/>
      <c r="F3990" s="25"/>
      <c r="G3990" s="25"/>
      <c r="H3990" s="25"/>
      <c r="I3990" s="25"/>
      <c r="J3990" s="55"/>
      <c r="K3990" s="25" t="str">
        <f ca="1">IFERROR(__xludf.DUMMYFUNCTION("""COMPUTED_VALUE"""),"Definir fecha")</f>
        <v>Definir fecha</v>
      </c>
      <c r="L3990" s="62"/>
      <c r="M3990" s="25"/>
      <c r="N3990" s="25"/>
      <c r="O3990" s="25">
        <f t="shared" si="0"/>
        <v>0</v>
      </c>
      <c r="P3990" s="25" t="str">
        <f t="shared" si="2"/>
        <v/>
      </c>
      <c r="Q3990" s="25" t="str">
        <f ca="1">IFERROR(__xludf.DUMMYFUNCTION("""COMPUTED_VALUE"""),"Sin defenir")</f>
        <v>Sin defenir</v>
      </c>
      <c r="R3990" s="25"/>
      <c r="S3990" s="55"/>
      <c r="T3990" s="56"/>
      <c r="U3990" s="25"/>
      <c r="V3990" s="25"/>
      <c r="W3990" s="25"/>
      <c r="X3990" s="25"/>
      <c r="Y3990" s="25"/>
      <c r="Z3990" s="25"/>
    </row>
    <row r="3991" spans="1:26" ht="52.5" customHeight="1" x14ac:dyDescent="0.25">
      <c r="A3991" s="25" t="str">
        <f ca="1">IFERROR(__xludf.DUMMYFUNCTION("""COMPUTED_VALUE"""),"Hacie89")</f>
        <v>Hacie89</v>
      </c>
      <c r="B3991" s="25"/>
      <c r="C3991" s="55"/>
      <c r="D3991" s="25" t="str">
        <f ca="1">IFERROR(__xludf.DUMMYFUNCTION("""COMPUTED_VALUE"""),"Hacienda")</f>
        <v>Hacienda</v>
      </c>
      <c r="E3991" s="25"/>
      <c r="F3991" s="25"/>
      <c r="G3991" s="25"/>
      <c r="H3991" s="25"/>
      <c r="I3991" s="25"/>
      <c r="J3991" s="55"/>
      <c r="K3991" s="25" t="str">
        <f ca="1">IFERROR(__xludf.DUMMYFUNCTION("""COMPUTED_VALUE"""),"Definir fecha")</f>
        <v>Definir fecha</v>
      </c>
      <c r="L3991" s="62"/>
      <c r="M3991" s="25"/>
      <c r="N3991" s="25"/>
      <c r="O3991" s="25">
        <f t="shared" si="0"/>
        <v>0</v>
      </c>
      <c r="P3991" s="25" t="str">
        <f t="shared" si="2"/>
        <v/>
      </c>
      <c r="Q3991" s="25" t="str">
        <f ca="1">IFERROR(__xludf.DUMMYFUNCTION("""COMPUTED_VALUE"""),"Sin defenir")</f>
        <v>Sin defenir</v>
      </c>
      <c r="R3991" s="25"/>
      <c r="S3991" s="55"/>
      <c r="T3991" s="56"/>
      <c r="U3991" s="25"/>
      <c r="V3991" s="25"/>
      <c r="W3991" s="25"/>
      <c r="X3991" s="25"/>
      <c r="Y3991" s="25"/>
      <c r="Z3991" s="25"/>
    </row>
    <row r="3992" spans="1:26" ht="52.5" customHeight="1" x14ac:dyDescent="0.25">
      <c r="A3992" s="25" t="str">
        <f ca="1">IFERROR(__xludf.DUMMYFUNCTION("""COMPUTED_VALUE"""),"Hacie90")</f>
        <v>Hacie90</v>
      </c>
      <c r="B3992" s="25"/>
      <c r="C3992" s="55"/>
      <c r="D3992" s="25" t="str">
        <f ca="1">IFERROR(__xludf.DUMMYFUNCTION("""COMPUTED_VALUE"""),"Hacienda")</f>
        <v>Hacienda</v>
      </c>
      <c r="E3992" s="25"/>
      <c r="F3992" s="25"/>
      <c r="G3992" s="25"/>
      <c r="H3992" s="25"/>
      <c r="I3992" s="25"/>
      <c r="J3992" s="55"/>
      <c r="K3992" s="25" t="str">
        <f ca="1">IFERROR(__xludf.DUMMYFUNCTION("""COMPUTED_VALUE"""),"Definir fecha")</f>
        <v>Definir fecha</v>
      </c>
      <c r="L3992" s="62"/>
      <c r="M3992" s="25"/>
      <c r="N3992" s="25"/>
      <c r="O3992" s="25">
        <f t="shared" si="0"/>
        <v>0</v>
      </c>
      <c r="P3992" s="25" t="str">
        <f t="shared" si="2"/>
        <v/>
      </c>
      <c r="Q3992" s="25" t="str">
        <f ca="1">IFERROR(__xludf.DUMMYFUNCTION("""COMPUTED_VALUE"""),"Sin defenir")</f>
        <v>Sin defenir</v>
      </c>
      <c r="R3992" s="25"/>
      <c r="S3992" s="55"/>
      <c r="T3992" s="56"/>
      <c r="U3992" s="25"/>
      <c r="V3992" s="25"/>
      <c r="W3992" s="25"/>
      <c r="X3992" s="25"/>
      <c r="Y3992" s="25"/>
      <c r="Z3992" s="25"/>
    </row>
    <row r="3993" spans="1:26" ht="52.5" customHeight="1" x14ac:dyDescent="0.25">
      <c r="A3993" s="25" t="str">
        <f ca="1">IFERROR(__xludf.DUMMYFUNCTION("""COMPUTED_VALUE"""),"Hacie91")</f>
        <v>Hacie91</v>
      </c>
      <c r="B3993" s="25"/>
      <c r="C3993" s="55"/>
      <c r="D3993" s="25" t="str">
        <f ca="1">IFERROR(__xludf.DUMMYFUNCTION("""COMPUTED_VALUE"""),"Hacienda")</f>
        <v>Hacienda</v>
      </c>
      <c r="E3993" s="25"/>
      <c r="F3993" s="25"/>
      <c r="G3993" s="25"/>
      <c r="H3993" s="25"/>
      <c r="I3993" s="25"/>
      <c r="J3993" s="55"/>
      <c r="K3993" s="25" t="str">
        <f ca="1">IFERROR(__xludf.DUMMYFUNCTION("""COMPUTED_VALUE"""),"Definir fecha")</f>
        <v>Definir fecha</v>
      </c>
      <c r="L3993" s="62"/>
      <c r="M3993" s="25"/>
      <c r="N3993" s="25"/>
      <c r="O3993" s="25">
        <f t="shared" si="0"/>
        <v>0</v>
      </c>
      <c r="P3993" s="25" t="str">
        <f t="shared" si="2"/>
        <v/>
      </c>
      <c r="Q3993" s="25" t="str">
        <f ca="1">IFERROR(__xludf.DUMMYFUNCTION("""COMPUTED_VALUE"""),"Sin defenir")</f>
        <v>Sin defenir</v>
      </c>
      <c r="R3993" s="25"/>
      <c r="S3993" s="55"/>
      <c r="T3993" s="56"/>
      <c r="U3993" s="25"/>
      <c r="V3993" s="25"/>
      <c r="W3993" s="25"/>
      <c r="X3993" s="25"/>
      <c r="Y3993" s="25"/>
      <c r="Z3993" s="25"/>
    </row>
    <row r="3994" spans="1:26" ht="52.5" customHeight="1" x14ac:dyDescent="0.25">
      <c r="A3994" s="25" t="str">
        <f ca="1">IFERROR(__xludf.DUMMYFUNCTION("""COMPUTED_VALUE"""),"Hacie92")</f>
        <v>Hacie92</v>
      </c>
      <c r="B3994" s="25"/>
      <c r="C3994" s="55"/>
      <c r="D3994" s="25" t="str">
        <f ca="1">IFERROR(__xludf.DUMMYFUNCTION("""COMPUTED_VALUE"""),"Hacienda")</f>
        <v>Hacienda</v>
      </c>
      <c r="E3994" s="25"/>
      <c r="F3994" s="25"/>
      <c r="G3994" s="25"/>
      <c r="H3994" s="25"/>
      <c r="I3994" s="25"/>
      <c r="J3994" s="55"/>
      <c r="K3994" s="25" t="str">
        <f ca="1">IFERROR(__xludf.DUMMYFUNCTION("""COMPUTED_VALUE"""),"Definir fecha")</f>
        <v>Definir fecha</v>
      </c>
      <c r="L3994" s="62"/>
      <c r="M3994" s="25"/>
      <c r="N3994" s="25"/>
      <c r="O3994" s="25">
        <f t="shared" si="0"/>
        <v>0</v>
      </c>
      <c r="P3994" s="25" t="str">
        <f t="shared" si="2"/>
        <v/>
      </c>
      <c r="Q3994" s="25" t="str">
        <f ca="1">IFERROR(__xludf.DUMMYFUNCTION("""COMPUTED_VALUE"""),"Sin defenir")</f>
        <v>Sin defenir</v>
      </c>
      <c r="R3994" s="25"/>
      <c r="S3994" s="55"/>
      <c r="T3994" s="56"/>
      <c r="U3994" s="25"/>
      <c r="V3994" s="25"/>
      <c r="W3994" s="25"/>
      <c r="X3994" s="25"/>
      <c r="Y3994" s="25"/>
      <c r="Z3994" s="25"/>
    </row>
    <row r="3995" spans="1:26" ht="52.5" customHeight="1" x14ac:dyDescent="0.25">
      <c r="A3995" s="25" t="str">
        <f ca="1">IFERROR(__xludf.DUMMYFUNCTION("""COMPUTED_VALUE"""),"Hacie93")</f>
        <v>Hacie93</v>
      </c>
      <c r="B3995" s="25"/>
      <c r="C3995" s="55"/>
      <c r="D3995" s="25" t="str">
        <f ca="1">IFERROR(__xludf.DUMMYFUNCTION("""COMPUTED_VALUE"""),"Hacienda")</f>
        <v>Hacienda</v>
      </c>
      <c r="E3995" s="25"/>
      <c r="F3995" s="25"/>
      <c r="G3995" s="25"/>
      <c r="H3995" s="25"/>
      <c r="I3995" s="25"/>
      <c r="J3995" s="55"/>
      <c r="K3995" s="25" t="str">
        <f ca="1">IFERROR(__xludf.DUMMYFUNCTION("""COMPUTED_VALUE"""),"Definir fecha")</f>
        <v>Definir fecha</v>
      </c>
      <c r="L3995" s="62"/>
      <c r="M3995" s="25"/>
      <c r="N3995" s="25"/>
      <c r="O3995" s="25">
        <f t="shared" si="0"/>
        <v>0</v>
      </c>
      <c r="P3995" s="25" t="str">
        <f t="shared" si="2"/>
        <v/>
      </c>
      <c r="Q3995" s="25" t="str">
        <f ca="1">IFERROR(__xludf.DUMMYFUNCTION("""COMPUTED_VALUE"""),"Sin defenir")</f>
        <v>Sin defenir</v>
      </c>
      <c r="R3995" s="25"/>
      <c r="S3995" s="55"/>
      <c r="T3995" s="56"/>
      <c r="U3995" s="25"/>
      <c r="V3995" s="25"/>
      <c r="W3995" s="25"/>
      <c r="X3995" s="25"/>
      <c r="Y3995" s="25"/>
      <c r="Z3995" s="25"/>
    </row>
    <row r="3996" spans="1:26" ht="52.5" customHeight="1" x14ac:dyDescent="0.25">
      <c r="A3996" s="25" t="str">
        <f ca="1">IFERROR(__xludf.DUMMYFUNCTION("""COMPUTED_VALUE"""),"Hacie94")</f>
        <v>Hacie94</v>
      </c>
      <c r="B3996" s="25"/>
      <c r="C3996" s="55"/>
      <c r="D3996" s="25" t="str">
        <f ca="1">IFERROR(__xludf.DUMMYFUNCTION("""COMPUTED_VALUE"""),"Hacienda")</f>
        <v>Hacienda</v>
      </c>
      <c r="E3996" s="25"/>
      <c r="F3996" s="25"/>
      <c r="G3996" s="25"/>
      <c r="H3996" s="25"/>
      <c r="I3996" s="25"/>
      <c r="J3996" s="55"/>
      <c r="K3996" s="25" t="str">
        <f ca="1">IFERROR(__xludf.DUMMYFUNCTION("""COMPUTED_VALUE"""),"Definir fecha")</f>
        <v>Definir fecha</v>
      </c>
      <c r="L3996" s="62"/>
      <c r="M3996" s="25"/>
      <c r="N3996" s="25"/>
      <c r="O3996" s="25">
        <f t="shared" si="0"/>
        <v>0</v>
      </c>
      <c r="P3996" s="25" t="str">
        <f t="shared" si="2"/>
        <v/>
      </c>
      <c r="Q3996" s="25" t="str">
        <f ca="1">IFERROR(__xludf.DUMMYFUNCTION("""COMPUTED_VALUE"""),"Sin defenir")</f>
        <v>Sin defenir</v>
      </c>
      <c r="R3996" s="25"/>
      <c r="S3996" s="55"/>
      <c r="T3996" s="56"/>
      <c r="U3996" s="25"/>
      <c r="V3996" s="25"/>
      <c r="W3996" s="25"/>
      <c r="X3996" s="25"/>
      <c r="Y3996" s="25"/>
      <c r="Z3996" s="25"/>
    </row>
    <row r="3997" spans="1:26" ht="52.5" customHeight="1" x14ac:dyDescent="0.25">
      <c r="A3997" s="25" t="str">
        <f ca="1">IFERROR(__xludf.DUMMYFUNCTION("""COMPUTED_VALUE"""),"Hacie95")</f>
        <v>Hacie95</v>
      </c>
      <c r="B3997" s="25"/>
      <c r="C3997" s="55"/>
      <c r="D3997" s="25" t="str">
        <f ca="1">IFERROR(__xludf.DUMMYFUNCTION("""COMPUTED_VALUE"""),"Hacienda")</f>
        <v>Hacienda</v>
      </c>
      <c r="E3997" s="25"/>
      <c r="F3997" s="25"/>
      <c r="G3997" s="25"/>
      <c r="H3997" s="25"/>
      <c r="I3997" s="25"/>
      <c r="J3997" s="55"/>
      <c r="K3997" s="25" t="str">
        <f ca="1">IFERROR(__xludf.DUMMYFUNCTION("""COMPUTED_VALUE"""),"Definir fecha")</f>
        <v>Definir fecha</v>
      </c>
      <c r="L3997" s="62"/>
      <c r="M3997" s="25"/>
      <c r="N3997" s="25"/>
      <c r="O3997" s="25">
        <f t="shared" si="0"/>
        <v>0</v>
      </c>
      <c r="P3997" s="25" t="str">
        <f t="shared" si="2"/>
        <v/>
      </c>
      <c r="Q3997" s="25" t="str">
        <f ca="1">IFERROR(__xludf.DUMMYFUNCTION("""COMPUTED_VALUE"""),"Sin defenir")</f>
        <v>Sin defenir</v>
      </c>
      <c r="R3997" s="25"/>
      <c r="S3997" s="55"/>
      <c r="T3997" s="56"/>
      <c r="U3997" s="25"/>
      <c r="V3997" s="25"/>
      <c r="W3997" s="25"/>
      <c r="X3997" s="25"/>
      <c r="Y3997" s="25"/>
      <c r="Z3997" s="25"/>
    </row>
    <row r="3998" spans="1:26" ht="52.5" customHeight="1" x14ac:dyDescent="0.25">
      <c r="A3998" s="25" t="str">
        <f ca="1">IFERROR(__xludf.DUMMYFUNCTION("""COMPUTED_VALUE"""),"Hacie96")</f>
        <v>Hacie96</v>
      </c>
      <c r="B3998" s="25"/>
      <c r="C3998" s="55"/>
      <c r="D3998" s="25" t="str">
        <f ca="1">IFERROR(__xludf.DUMMYFUNCTION("""COMPUTED_VALUE"""),"Hacienda")</f>
        <v>Hacienda</v>
      </c>
      <c r="E3998" s="25"/>
      <c r="F3998" s="25"/>
      <c r="G3998" s="25"/>
      <c r="H3998" s="25"/>
      <c r="I3998" s="25"/>
      <c r="J3998" s="55"/>
      <c r="K3998" s="25" t="str">
        <f ca="1">IFERROR(__xludf.DUMMYFUNCTION("""COMPUTED_VALUE"""),"Definir fecha")</f>
        <v>Definir fecha</v>
      </c>
      <c r="L3998" s="62"/>
      <c r="M3998" s="25"/>
      <c r="N3998" s="25"/>
      <c r="O3998" s="25">
        <f t="shared" si="0"/>
        <v>0</v>
      </c>
      <c r="P3998" s="25" t="str">
        <f t="shared" si="2"/>
        <v/>
      </c>
      <c r="Q3998" s="25" t="str">
        <f ca="1">IFERROR(__xludf.DUMMYFUNCTION("""COMPUTED_VALUE"""),"Sin defenir")</f>
        <v>Sin defenir</v>
      </c>
      <c r="R3998" s="25"/>
      <c r="S3998" s="55"/>
      <c r="T3998" s="56"/>
      <c r="U3998" s="25"/>
      <c r="V3998" s="25"/>
      <c r="W3998" s="25"/>
      <c r="X3998" s="25"/>
      <c r="Y3998" s="25"/>
      <c r="Z3998" s="25"/>
    </row>
    <row r="3999" spans="1:26" ht="52.5" customHeight="1" x14ac:dyDescent="0.25">
      <c r="A3999" s="25" t="str">
        <f ca="1">IFERROR(__xludf.DUMMYFUNCTION("""COMPUTED_VALUE"""),"Hacie97")</f>
        <v>Hacie97</v>
      </c>
      <c r="B3999" s="25"/>
      <c r="C3999" s="55"/>
      <c r="D3999" s="25" t="str">
        <f ca="1">IFERROR(__xludf.DUMMYFUNCTION("""COMPUTED_VALUE"""),"Hacienda")</f>
        <v>Hacienda</v>
      </c>
      <c r="E3999" s="25"/>
      <c r="F3999" s="25"/>
      <c r="G3999" s="25"/>
      <c r="H3999" s="25"/>
      <c r="I3999" s="25"/>
      <c r="J3999" s="55"/>
      <c r="K3999" s="25" t="str">
        <f ca="1">IFERROR(__xludf.DUMMYFUNCTION("""COMPUTED_VALUE"""),"Definir fecha")</f>
        <v>Definir fecha</v>
      </c>
      <c r="L3999" s="62"/>
      <c r="M3999" s="25"/>
      <c r="N3999" s="25"/>
      <c r="O3999" s="25">
        <f t="shared" si="0"/>
        <v>0</v>
      </c>
      <c r="P3999" s="25" t="str">
        <f t="shared" si="2"/>
        <v/>
      </c>
      <c r="Q3999" s="25" t="str">
        <f ca="1">IFERROR(__xludf.DUMMYFUNCTION("""COMPUTED_VALUE"""),"Sin defenir")</f>
        <v>Sin defenir</v>
      </c>
      <c r="R3999" s="25"/>
      <c r="S3999" s="55"/>
      <c r="T3999" s="56"/>
      <c r="U3999" s="25"/>
      <c r="V3999" s="25"/>
      <c r="W3999" s="25"/>
      <c r="X3999" s="25"/>
      <c r="Y3999" s="25"/>
      <c r="Z3999" s="25"/>
    </row>
    <row r="4000" spans="1:26" ht="52.5" customHeight="1" x14ac:dyDescent="0.25">
      <c r="A4000" s="25" t="str">
        <f ca="1">IFERROR(__xludf.DUMMYFUNCTION("""COMPUTED_VALUE"""),"Hacie98")</f>
        <v>Hacie98</v>
      </c>
      <c r="B4000" s="25"/>
      <c r="C4000" s="55"/>
      <c r="D4000" s="25" t="str">
        <f ca="1">IFERROR(__xludf.DUMMYFUNCTION("""COMPUTED_VALUE"""),"Hacienda")</f>
        <v>Hacienda</v>
      </c>
      <c r="E4000" s="25"/>
      <c r="F4000" s="25"/>
      <c r="G4000" s="25"/>
      <c r="H4000" s="25"/>
      <c r="I4000" s="25"/>
      <c r="J4000" s="55"/>
      <c r="K4000" s="25" t="str">
        <f ca="1">IFERROR(__xludf.DUMMYFUNCTION("""COMPUTED_VALUE"""),"Definir fecha")</f>
        <v>Definir fecha</v>
      </c>
      <c r="L4000" s="62"/>
      <c r="M4000" s="25"/>
      <c r="N4000" s="25"/>
      <c r="O4000" s="25">
        <f t="shared" si="0"/>
        <v>0</v>
      </c>
      <c r="P4000" s="25" t="str">
        <f t="shared" si="2"/>
        <v/>
      </c>
      <c r="Q4000" s="25" t="str">
        <f ca="1">IFERROR(__xludf.DUMMYFUNCTION("""COMPUTED_VALUE"""),"Sin defenir")</f>
        <v>Sin defenir</v>
      </c>
      <c r="R4000" s="25"/>
      <c r="S4000" s="55"/>
      <c r="T4000" s="56"/>
      <c r="U4000" s="25"/>
      <c r="V4000" s="25"/>
      <c r="W4000" s="25"/>
      <c r="X4000" s="25"/>
      <c r="Y4000" s="25"/>
      <c r="Z4000" s="25"/>
    </row>
    <row r="4001" spans="1:26" ht="52.5" customHeight="1" x14ac:dyDescent="0.25">
      <c r="A4001" s="25" t="str">
        <f ca="1">IFERROR(__xludf.DUMMYFUNCTION("""COMPUTED_VALUE"""),"Hacie99")</f>
        <v>Hacie99</v>
      </c>
      <c r="B4001" s="25"/>
      <c r="C4001" s="55"/>
      <c r="D4001" s="25" t="str">
        <f ca="1">IFERROR(__xludf.DUMMYFUNCTION("""COMPUTED_VALUE"""),"Hacienda")</f>
        <v>Hacienda</v>
      </c>
      <c r="E4001" s="25"/>
      <c r="F4001" s="25"/>
      <c r="G4001" s="25"/>
      <c r="H4001" s="25"/>
      <c r="I4001" s="25"/>
      <c r="J4001" s="55"/>
      <c r="K4001" s="25" t="str">
        <f ca="1">IFERROR(__xludf.DUMMYFUNCTION("""COMPUTED_VALUE"""),"Definir fecha")</f>
        <v>Definir fecha</v>
      </c>
      <c r="L4001" s="62"/>
      <c r="M4001" s="25"/>
      <c r="N4001" s="25"/>
      <c r="O4001" s="25">
        <f t="shared" si="0"/>
        <v>0</v>
      </c>
      <c r="P4001" s="25" t="str">
        <f t="shared" si="2"/>
        <v/>
      </c>
      <c r="Q4001" s="25" t="str">
        <f ca="1">IFERROR(__xludf.DUMMYFUNCTION("""COMPUTED_VALUE"""),"Sin defenir")</f>
        <v>Sin defenir</v>
      </c>
      <c r="R4001" s="25"/>
      <c r="S4001" s="55"/>
      <c r="T4001" s="56"/>
      <c r="U4001" s="25"/>
      <c r="V4001" s="25"/>
      <c r="W4001" s="25"/>
      <c r="X4001" s="25"/>
      <c r="Y4001" s="25"/>
      <c r="Z4001" s="25"/>
    </row>
    <row r="4002" spans="1:26" ht="52.5" customHeight="1" x14ac:dyDescent="0.25">
      <c r="A4002" s="25" t="str">
        <f ca="1">IFERROR(__xludf.DUMMYFUNCTION("""COMPUTED_VALUE"""),"Hacie100")</f>
        <v>Hacie100</v>
      </c>
      <c r="B4002" s="25"/>
      <c r="C4002" s="55"/>
      <c r="D4002" s="25" t="str">
        <f ca="1">IFERROR(__xludf.DUMMYFUNCTION("""COMPUTED_VALUE"""),"Hacienda")</f>
        <v>Hacienda</v>
      </c>
      <c r="E4002" s="25"/>
      <c r="F4002" s="25"/>
      <c r="G4002" s="25"/>
      <c r="H4002" s="25"/>
      <c r="I4002" s="25"/>
      <c r="J4002" s="55"/>
      <c r="K4002" s="25" t="str">
        <f ca="1">IFERROR(__xludf.DUMMYFUNCTION("""COMPUTED_VALUE"""),"Definir fecha")</f>
        <v>Definir fecha</v>
      </c>
      <c r="L4002" s="62"/>
      <c r="M4002" s="25"/>
      <c r="N4002" s="25"/>
      <c r="O4002" s="25">
        <f t="shared" si="0"/>
        <v>0</v>
      </c>
      <c r="P4002" s="25" t="str">
        <f t="shared" si="2"/>
        <v/>
      </c>
      <c r="Q4002" s="25" t="str">
        <f ca="1">IFERROR(__xludf.DUMMYFUNCTION("""COMPUTED_VALUE"""),"Sin defenir")</f>
        <v>Sin defenir</v>
      </c>
      <c r="R4002" s="25"/>
      <c r="S4002" s="55"/>
      <c r="T4002" s="56"/>
      <c r="U4002" s="25"/>
      <c r="V4002" s="25"/>
      <c r="W4002" s="25"/>
      <c r="X4002" s="25"/>
      <c r="Y4002" s="25"/>
      <c r="Z4002" s="25"/>
    </row>
    <row r="4003" spans="1:26" ht="52.5" customHeight="1" x14ac:dyDescent="0.25">
      <c r="A4003" s="25" t="str">
        <f ca="1">IFERROR(__xludf.DUMMYFUNCTION("""COMPUTED_VALUE"""),"Hacie101")</f>
        <v>Hacie101</v>
      </c>
      <c r="B4003" s="25"/>
      <c r="C4003" s="55"/>
      <c r="D4003" s="25" t="str">
        <f ca="1">IFERROR(__xludf.DUMMYFUNCTION("""COMPUTED_VALUE"""),"Hacienda")</f>
        <v>Hacienda</v>
      </c>
      <c r="E4003" s="25"/>
      <c r="F4003" s="25"/>
      <c r="G4003" s="25"/>
      <c r="H4003" s="25"/>
      <c r="I4003" s="25"/>
      <c r="J4003" s="55"/>
      <c r="K4003" s="25" t="str">
        <f ca="1">IFERROR(__xludf.DUMMYFUNCTION("""COMPUTED_VALUE"""),"Definir fecha")</f>
        <v>Definir fecha</v>
      </c>
      <c r="L4003" s="62"/>
      <c r="M4003" s="25"/>
      <c r="N4003" s="25"/>
      <c r="O4003" s="25">
        <f t="shared" si="0"/>
        <v>0</v>
      </c>
      <c r="P4003" s="25" t="str">
        <f t="shared" si="2"/>
        <v/>
      </c>
      <c r="Q4003" s="25" t="str">
        <f ca="1">IFERROR(__xludf.DUMMYFUNCTION("""COMPUTED_VALUE"""),"Sin defenir")</f>
        <v>Sin defenir</v>
      </c>
      <c r="R4003" s="25"/>
      <c r="S4003" s="55"/>
      <c r="T4003" s="56"/>
      <c r="U4003" s="25"/>
      <c r="V4003" s="25"/>
      <c r="W4003" s="25"/>
      <c r="X4003" s="25"/>
      <c r="Y4003" s="25"/>
      <c r="Z4003" s="25"/>
    </row>
    <row r="4004" spans="1:26" ht="52.5" customHeight="1" x14ac:dyDescent="0.25">
      <c r="A4004" s="25" t="str">
        <f ca="1">IFERROR(__xludf.DUMMYFUNCTION("""COMPUTED_VALUE"""),"Hacie102")</f>
        <v>Hacie102</v>
      </c>
      <c r="B4004" s="25"/>
      <c r="C4004" s="55"/>
      <c r="D4004" s="25" t="str">
        <f ca="1">IFERROR(__xludf.DUMMYFUNCTION("""COMPUTED_VALUE"""),"Hacienda")</f>
        <v>Hacienda</v>
      </c>
      <c r="E4004" s="25"/>
      <c r="F4004" s="25"/>
      <c r="G4004" s="25"/>
      <c r="H4004" s="25"/>
      <c r="I4004" s="25"/>
      <c r="J4004" s="55"/>
      <c r="K4004" s="25" t="str">
        <f ca="1">IFERROR(__xludf.DUMMYFUNCTION("""COMPUTED_VALUE"""),"Definir fecha")</f>
        <v>Definir fecha</v>
      </c>
      <c r="L4004" s="62"/>
      <c r="M4004" s="25"/>
      <c r="N4004" s="25"/>
      <c r="O4004" s="25">
        <f t="shared" si="0"/>
        <v>0</v>
      </c>
      <c r="P4004" s="25" t="str">
        <f t="shared" si="2"/>
        <v/>
      </c>
      <c r="Q4004" s="25" t="str">
        <f ca="1">IFERROR(__xludf.DUMMYFUNCTION("""COMPUTED_VALUE"""),"Sin defenir")</f>
        <v>Sin defenir</v>
      </c>
      <c r="R4004" s="25"/>
      <c r="S4004" s="55"/>
      <c r="T4004" s="56"/>
      <c r="U4004" s="25"/>
      <c r="V4004" s="25"/>
      <c r="W4004" s="25"/>
      <c r="X4004" s="25"/>
      <c r="Y4004" s="25"/>
      <c r="Z4004" s="25"/>
    </row>
    <row r="4005" spans="1:26" ht="52.5" customHeight="1" x14ac:dyDescent="0.25">
      <c r="A4005" s="25" t="str">
        <f ca="1">IFERROR(__xludf.DUMMYFUNCTION("""COMPUTED_VALUE"""),"Hacie103")</f>
        <v>Hacie103</v>
      </c>
      <c r="B4005" s="25"/>
      <c r="C4005" s="55"/>
      <c r="D4005" s="25" t="str">
        <f ca="1">IFERROR(__xludf.DUMMYFUNCTION("""COMPUTED_VALUE"""),"Hacienda")</f>
        <v>Hacienda</v>
      </c>
      <c r="E4005" s="25"/>
      <c r="F4005" s="25"/>
      <c r="G4005" s="25"/>
      <c r="H4005" s="25"/>
      <c r="I4005" s="25"/>
      <c r="J4005" s="55"/>
      <c r="K4005" s="25" t="str">
        <f ca="1">IFERROR(__xludf.DUMMYFUNCTION("""COMPUTED_VALUE"""),"Definir fecha")</f>
        <v>Definir fecha</v>
      </c>
      <c r="L4005" s="62"/>
      <c r="M4005" s="25"/>
      <c r="N4005" s="25"/>
      <c r="O4005" s="25">
        <f t="shared" si="0"/>
        <v>0</v>
      </c>
      <c r="P4005" s="25" t="str">
        <f t="shared" si="2"/>
        <v/>
      </c>
      <c r="Q4005" s="25" t="str">
        <f ca="1">IFERROR(__xludf.DUMMYFUNCTION("""COMPUTED_VALUE"""),"Sin defenir")</f>
        <v>Sin defenir</v>
      </c>
      <c r="R4005" s="25"/>
      <c r="S4005" s="55"/>
      <c r="T4005" s="56"/>
      <c r="U4005" s="25"/>
      <c r="V4005" s="25"/>
      <c r="W4005" s="25"/>
      <c r="X4005" s="25"/>
      <c r="Y4005" s="25"/>
      <c r="Z4005" s="25"/>
    </row>
    <row r="4006" spans="1:26" ht="52.5" customHeight="1" x14ac:dyDescent="0.25">
      <c r="A4006" s="25" t="str">
        <f ca="1">IFERROR(__xludf.DUMMYFUNCTION("""COMPUTED_VALUE"""),"Hacie104")</f>
        <v>Hacie104</v>
      </c>
      <c r="B4006" s="25"/>
      <c r="C4006" s="55"/>
      <c r="D4006" s="25" t="str">
        <f ca="1">IFERROR(__xludf.DUMMYFUNCTION("""COMPUTED_VALUE"""),"Hacienda")</f>
        <v>Hacienda</v>
      </c>
      <c r="E4006" s="25"/>
      <c r="F4006" s="25"/>
      <c r="G4006" s="25"/>
      <c r="H4006" s="25"/>
      <c r="I4006" s="25"/>
      <c r="J4006" s="55"/>
      <c r="K4006" s="25" t="str">
        <f ca="1">IFERROR(__xludf.DUMMYFUNCTION("""COMPUTED_VALUE"""),"Definir fecha")</f>
        <v>Definir fecha</v>
      </c>
      <c r="L4006" s="62"/>
      <c r="M4006" s="25"/>
      <c r="N4006" s="25"/>
      <c r="O4006" s="25">
        <f t="shared" si="0"/>
        <v>0</v>
      </c>
      <c r="P4006" s="25" t="str">
        <f t="shared" si="2"/>
        <v/>
      </c>
      <c r="Q4006" s="25" t="str">
        <f ca="1">IFERROR(__xludf.DUMMYFUNCTION("""COMPUTED_VALUE"""),"Sin defenir")</f>
        <v>Sin defenir</v>
      </c>
      <c r="R4006" s="25"/>
      <c r="S4006" s="55"/>
      <c r="T4006" s="56"/>
      <c r="U4006" s="25"/>
      <c r="V4006" s="25"/>
      <c r="W4006" s="25"/>
      <c r="X4006" s="25"/>
      <c r="Y4006" s="25"/>
      <c r="Z4006" s="25"/>
    </row>
    <row r="4007" spans="1:26" ht="52.5" customHeight="1" x14ac:dyDescent="0.25">
      <c r="A4007" s="25" t="str">
        <f ca="1">IFERROR(__xludf.DUMMYFUNCTION("""COMPUTED_VALUE"""),"Hacie105")</f>
        <v>Hacie105</v>
      </c>
      <c r="B4007" s="25"/>
      <c r="C4007" s="55"/>
      <c r="D4007" s="25" t="str">
        <f ca="1">IFERROR(__xludf.DUMMYFUNCTION("""COMPUTED_VALUE"""),"Hacienda")</f>
        <v>Hacienda</v>
      </c>
      <c r="E4007" s="25"/>
      <c r="F4007" s="25"/>
      <c r="G4007" s="25"/>
      <c r="H4007" s="25"/>
      <c r="I4007" s="25"/>
      <c r="J4007" s="55"/>
      <c r="K4007" s="25" t="str">
        <f ca="1">IFERROR(__xludf.DUMMYFUNCTION("""COMPUTED_VALUE"""),"Definir fecha")</f>
        <v>Definir fecha</v>
      </c>
      <c r="L4007" s="62"/>
      <c r="M4007" s="25"/>
      <c r="N4007" s="25"/>
      <c r="O4007" s="25">
        <f t="shared" si="0"/>
        <v>0</v>
      </c>
      <c r="P4007" s="25" t="str">
        <f t="shared" si="2"/>
        <v/>
      </c>
      <c r="Q4007" s="25" t="str">
        <f ca="1">IFERROR(__xludf.DUMMYFUNCTION("""COMPUTED_VALUE"""),"Sin defenir")</f>
        <v>Sin defenir</v>
      </c>
      <c r="R4007" s="25"/>
      <c r="S4007" s="55"/>
      <c r="T4007" s="56"/>
      <c r="U4007" s="25"/>
      <c r="V4007" s="25"/>
      <c r="W4007" s="25"/>
      <c r="X4007" s="25"/>
      <c r="Y4007" s="25"/>
      <c r="Z4007" s="25"/>
    </row>
    <row r="4008" spans="1:26" ht="52.5" customHeight="1" x14ac:dyDescent="0.25">
      <c r="A4008" s="25" t="str">
        <f ca="1">IFERROR(__xludf.DUMMYFUNCTION("""COMPUTED_VALUE"""),"Hacie106")</f>
        <v>Hacie106</v>
      </c>
      <c r="B4008" s="25"/>
      <c r="C4008" s="55"/>
      <c r="D4008" s="25" t="str">
        <f ca="1">IFERROR(__xludf.DUMMYFUNCTION("""COMPUTED_VALUE"""),"Hacienda")</f>
        <v>Hacienda</v>
      </c>
      <c r="E4008" s="25"/>
      <c r="F4008" s="25"/>
      <c r="G4008" s="25"/>
      <c r="H4008" s="25"/>
      <c r="I4008" s="25"/>
      <c r="J4008" s="55"/>
      <c r="K4008" s="25" t="str">
        <f ca="1">IFERROR(__xludf.DUMMYFUNCTION("""COMPUTED_VALUE"""),"Definir fecha")</f>
        <v>Definir fecha</v>
      </c>
      <c r="L4008" s="62"/>
      <c r="M4008" s="25"/>
      <c r="N4008" s="25"/>
      <c r="O4008" s="25">
        <f t="shared" si="0"/>
        <v>0</v>
      </c>
      <c r="P4008" s="25" t="str">
        <f t="shared" si="2"/>
        <v/>
      </c>
      <c r="Q4008" s="25" t="str">
        <f ca="1">IFERROR(__xludf.DUMMYFUNCTION("""COMPUTED_VALUE"""),"Sin defenir")</f>
        <v>Sin defenir</v>
      </c>
      <c r="R4008" s="25"/>
      <c r="S4008" s="55"/>
      <c r="T4008" s="56"/>
      <c r="U4008" s="25"/>
      <c r="V4008" s="25"/>
      <c r="W4008" s="25"/>
      <c r="X4008" s="25"/>
      <c r="Y4008" s="25"/>
      <c r="Z4008" s="25"/>
    </row>
    <row r="4009" spans="1:26" ht="52.5" customHeight="1" x14ac:dyDescent="0.25">
      <c r="A4009" s="25" t="str">
        <f ca="1">IFERROR(__xludf.DUMMYFUNCTION("""COMPUTED_VALUE"""),"Hacie107")</f>
        <v>Hacie107</v>
      </c>
      <c r="B4009" s="25"/>
      <c r="C4009" s="55"/>
      <c r="D4009" s="25" t="str">
        <f ca="1">IFERROR(__xludf.DUMMYFUNCTION("""COMPUTED_VALUE"""),"Hacienda")</f>
        <v>Hacienda</v>
      </c>
      <c r="E4009" s="25"/>
      <c r="F4009" s="25"/>
      <c r="G4009" s="25"/>
      <c r="H4009" s="25"/>
      <c r="I4009" s="25"/>
      <c r="J4009" s="55"/>
      <c r="K4009" s="25" t="str">
        <f ca="1">IFERROR(__xludf.DUMMYFUNCTION("""COMPUTED_VALUE"""),"Definir fecha")</f>
        <v>Definir fecha</v>
      </c>
      <c r="L4009" s="62"/>
      <c r="M4009" s="25"/>
      <c r="N4009" s="25"/>
      <c r="O4009" s="25">
        <f t="shared" si="0"/>
        <v>0</v>
      </c>
      <c r="P4009" s="25" t="str">
        <f t="shared" si="2"/>
        <v/>
      </c>
      <c r="Q4009" s="25" t="str">
        <f ca="1">IFERROR(__xludf.DUMMYFUNCTION("""COMPUTED_VALUE"""),"Sin defenir")</f>
        <v>Sin defenir</v>
      </c>
      <c r="R4009" s="25"/>
      <c r="S4009" s="55"/>
      <c r="T4009" s="56"/>
      <c r="U4009" s="25"/>
      <c r="V4009" s="25"/>
      <c r="W4009" s="25"/>
      <c r="X4009" s="25"/>
      <c r="Y4009" s="25"/>
      <c r="Z4009" s="25"/>
    </row>
    <row r="4010" spans="1:26" ht="52.5" customHeight="1" x14ac:dyDescent="0.25">
      <c r="A4010" s="25" t="str">
        <f ca="1">IFERROR(__xludf.DUMMYFUNCTION("""COMPUTED_VALUE"""),"Hacie108")</f>
        <v>Hacie108</v>
      </c>
      <c r="B4010" s="25"/>
      <c r="C4010" s="55"/>
      <c r="D4010" s="25" t="str">
        <f ca="1">IFERROR(__xludf.DUMMYFUNCTION("""COMPUTED_VALUE"""),"Hacienda")</f>
        <v>Hacienda</v>
      </c>
      <c r="E4010" s="25"/>
      <c r="F4010" s="25"/>
      <c r="G4010" s="25"/>
      <c r="H4010" s="25"/>
      <c r="I4010" s="25"/>
      <c r="J4010" s="55"/>
      <c r="K4010" s="25" t="str">
        <f ca="1">IFERROR(__xludf.DUMMYFUNCTION("""COMPUTED_VALUE"""),"Definir fecha")</f>
        <v>Definir fecha</v>
      </c>
      <c r="L4010" s="62"/>
      <c r="M4010" s="25"/>
      <c r="N4010" s="25"/>
      <c r="O4010" s="25">
        <f t="shared" si="0"/>
        <v>0</v>
      </c>
      <c r="P4010" s="25" t="str">
        <f t="shared" si="2"/>
        <v/>
      </c>
      <c r="Q4010" s="25" t="str">
        <f ca="1">IFERROR(__xludf.DUMMYFUNCTION("""COMPUTED_VALUE"""),"Sin defenir")</f>
        <v>Sin defenir</v>
      </c>
      <c r="R4010" s="25"/>
      <c r="S4010" s="55"/>
      <c r="T4010" s="56"/>
      <c r="U4010" s="25"/>
      <c r="V4010" s="25"/>
      <c r="W4010" s="25"/>
      <c r="X4010" s="25"/>
      <c r="Y4010" s="25"/>
      <c r="Z4010" s="25"/>
    </row>
    <row r="4011" spans="1:26" ht="52.5" customHeight="1" x14ac:dyDescent="0.25">
      <c r="A4011" s="25" t="str">
        <f ca="1">IFERROR(__xludf.DUMMYFUNCTION("""COMPUTED_VALUE"""),"Hacie109")</f>
        <v>Hacie109</v>
      </c>
      <c r="B4011" s="25"/>
      <c r="C4011" s="55"/>
      <c r="D4011" s="25" t="str">
        <f ca="1">IFERROR(__xludf.DUMMYFUNCTION("""COMPUTED_VALUE"""),"Hacienda")</f>
        <v>Hacienda</v>
      </c>
      <c r="E4011" s="25"/>
      <c r="F4011" s="25"/>
      <c r="G4011" s="25"/>
      <c r="H4011" s="25"/>
      <c r="I4011" s="25"/>
      <c r="J4011" s="55"/>
      <c r="K4011" s="25" t="str">
        <f ca="1">IFERROR(__xludf.DUMMYFUNCTION("""COMPUTED_VALUE"""),"Definir fecha")</f>
        <v>Definir fecha</v>
      </c>
      <c r="L4011" s="62"/>
      <c r="M4011" s="25"/>
      <c r="N4011" s="25"/>
      <c r="O4011" s="25">
        <f t="shared" si="0"/>
        <v>0</v>
      </c>
      <c r="P4011" s="25" t="str">
        <f t="shared" si="2"/>
        <v/>
      </c>
      <c r="Q4011" s="25" t="str">
        <f ca="1">IFERROR(__xludf.DUMMYFUNCTION("""COMPUTED_VALUE"""),"Sin defenir")</f>
        <v>Sin defenir</v>
      </c>
      <c r="R4011" s="25"/>
      <c r="S4011" s="55"/>
      <c r="T4011" s="56"/>
      <c r="U4011" s="25"/>
      <c r="V4011" s="25"/>
      <c r="W4011" s="25"/>
      <c r="X4011" s="25"/>
      <c r="Y4011" s="25"/>
      <c r="Z4011" s="25"/>
    </row>
    <row r="4012" spans="1:26" ht="52.5" customHeight="1" x14ac:dyDescent="0.25">
      <c r="A4012" s="25" t="str">
        <f ca="1">IFERROR(__xludf.DUMMYFUNCTION("""COMPUTED_VALUE"""),"Hacie110")</f>
        <v>Hacie110</v>
      </c>
      <c r="B4012" s="25"/>
      <c r="C4012" s="55"/>
      <c r="D4012" s="25" t="str">
        <f ca="1">IFERROR(__xludf.DUMMYFUNCTION("""COMPUTED_VALUE"""),"Hacienda")</f>
        <v>Hacienda</v>
      </c>
      <c r="E4012" s="25"/>
      <c r="F4012" s="25"/>
      <c r="G4012" s="25"/>
      <c r="H4012" s="25"/>
      <c r="I4012" s="25"/>
      <c r="J4012" s="55"/>
      <c r="K4012" s="25" t="str">
        <f ca="1">IFERROR(__xludf.DUMMYFUNCTION("""COMPUTED_VALUE"""),"Definir fecha")</f>
        <v>Definir fecha</v>
      </c>
      <c r="L4012" s="62"/>
      <c r="M4012" s="25"/>
      <c r="N4012" s="25"/>
      <c r="O4012" s="25">
        <f t="shared" si="0"/>
        <v>0</v>
      </c>
      <c r="P4012" s="25" t="str">
        <f t="shared" si="2"/>
        <v/>
      </c>
      <c r="Q4012" s="25" t="str">
        <f ca="1">IFERROR(__xludf.DUMMYFUNCTION("""COMPUTED_VALUE"""),"Sin defenir")</f>
        <v>Sin defenir</v>
      </c>
      <c r="R4012" s="25"/>
      <c r="S4012" s="55"/>
      <c r="T4012" s="56"/>
      <c r="U4012" s="25"/>
      <c r="V4012" s="25"/>
      <c r="W4012" s="25"/>
      <c r="X4012" s="25"/>
      <c r="Y4012" s="25"/>
      <c r="Z4012" s="25"/>
    </row>
    <row r="4013" spans="1:26" ht="52.5" customHeight="1" x14ac:dyDescent="0.25">
      <c r="A4013" s="25" t="str">
        <f ca="1">IFERROR(__xludf.DUMMYFUNCTION("""COMPUTED_VALUE"""),"Hacie111")</f>
        <v>Hacie111</v>
      </c>
      <c r="B4013" s="25"/>
      <c r="C4013" s="55"/>
      <c r="D4013" s="25" t="str">
        <f ca="1">IFERROR(__xludf.DUMMYFUNCTION("""COMPUTED_VALUE"""),"Hacienda")</f>
        <v>Hacienda</v>
      </c>
      <c r="E4013" s="25"/>
      <c r="F4013" s="25"/>
      <c r="G4013" s="25"/>
      <c r="H4013" s="25"/>
      <c r="I4013" s="25"/>
      <c r="J4013" s="55"/>
      <c r="K4013" s="25" t="str">
        <f ca="1">IFERROR(__xludf.DUMMYFUNCTION("""COMPUTED_VALUE"""),"Definir fecha")</f>
        <v>Definir fecha</v>
      </c>
      <c r="L4013" s="62"/>
      <c r="M4013" s="25"/>
      <c r="N4013" s="25"/>
      <c r="O4013" s="25">
        <f t="shared" si="0"/>
        <v>0</v>
      </c>
      <c r="P4013" s="25" t="str">
        <f t="shared" si="2"/>
        <v/>
      </c>
      <c r="Q4013" s="25" t="str">
        <f ca="1">IFERROR(__xludf.DUMMYFUNCTION("""COMPUTED_VALUE"""),"Sin defenir")</f>
        <v>Sin defenir</v>
      </c>
      <c r="R4013" s="25"/>
      <c r="S4013" s="55"/>
      <c r="T4013" s="56"/>
      <c r="U4013" s="25"/>
      <c r="V4013" s="25"/>
      <c r="W4013" s="25"/>
      <c r="X4013" s="25"/>
      <c r="Y4013" s="25"/>
      <c r="Z4013" s="25"/>
    </row>
    <row r="4014" spans="1:26" ht="52.5" customHeight="1" x14ac:dyDescent="0.25">
      <c r="A4014" s="25" t="str">
        <f ca="1">IFERROR(__xludf.DUMMYFUNCTION("""COMPUTED_VALUE"""),"Hacie112")</f>
        <v>Hacie112</v>
      </c>
      <c r="B4014" s="25"/>
      <c r="C4014" s="55"/>
      <c r="D4014" s="25" t="str">
        <f ca="1">IFERROR(__xludf.DUMMYFUNCTION("""COMPUTED_VALUE"""),"Hacienda")</f>
        <v>Hacienda</v>
      </c>
      <c r="E4014" s="25"/>
      <c r="F4014" s="25"/>
      <c r="G4014" s="25"/>
      <c r="H4014" s="25"/>
      <c r="I4014" s="25"/>
      <c r="J4014" s="55"/>
      <c r="K4014" s="25" t="str">
        <f ca="1">IFERROR(__xludf.DUMMYFUNCTION("""COMPUTED_VALUE"""),"Definir fecha")</f>
        <v>Definir fecha</v>
      </c>
      <c r="L4014" s="62"/>
      <c r="M4014" s="25"/>
      <c r="N4014" s="25"/>
      <c r="O4014" s="25">
        <f t="shared" si="0"/>
        <v>0</v>
      </c>
      <c r="P4014" s="25" t="str">
        <f t="shared" si="2"/>
        <v/>
      </c>
      <c r="Q4014" s="25" t="str">
        <f ca="1">IFERROR(__xludf.DUMMYFUNCTION("""COMPUTED_VALUE"""),"Sin defenir")</f>
        <v>Sin defenir</v>
      </c>
      <c r="R4014" s="25"/>
      <c r="S4014" s="55"/>
      <c r="T4014" s="56"/>
      <c r="U4014" s="25"/>
      <c r="V4014" s="25"/>
      <c r="W4014" s="25"/>
      <c r="X4014" s="25"/>
      <c r="Y4014" s="25"/>
      <c r="Z4014" s="25"/>
    </row>
    <row r="4015" spans="1:26" ht="52.5" customHeight="1" x14ac:dyDescent="0.25">
      <c r="A4015" s="25" t="str">
        <f ca="1">IFERROR(__xludf.DUMMYFUNCTION("""COMPUTED_VALUE"""),"Hacie113")</f>
        <v>Hacie113</v>
      </c>
      <c r="B4015" s="25"/>
      <c r="C4015" s="55"/>
      <c r="D4015" s="25" t="str">
        <f ca="1">IFERROR(__xludf.DUMMYFUNCTION("""COMPUTED_VALUE"""),"Hacienda")</f>
        <v>Hacienda</v>
      </c>
      <c r="E4015" s="25"/>
      <c r="F4015" s="25"/>
      <c r="G4015" s="25"/>
      <c r="H4015" s="25"/>
      <c r="I4015" s="25"/>
      <c r="J4015" s="55"/>
      <c r="K4015" s="25" t="str">
        <f ca="1">IFERROR(__xludf.DUMMYFUNCTION("""COMPUTED_VALUE"""),"Definir fecha")</f>
        <v>Definir fecha</v>
      </c>
      <c r="L4015" s="62"/>
      <c r="M4015" s="25"/>
      <c r="N4015" s="25"/>
      <c r="O4015" s="25">
        <f t="shared" si="0"/>
        <v>0</v>
      </c>
      <c r="P4015" s="25" t="str">
        <f t="shared" si="2"/>
        <v/>
      </c>
      <c r="Q4015" s="25" t="str">
        <f ca="1">IFERROR(__xludf.DUMMYFUNCTION("""COMPUTED_VALUE"""),"Sin defenir")</f>
        <v>Sin defenir</v>
      </c>
      <c r="R4015" s="25"/>
      <c r="S4015" s="55"/>
      <c r="T4015" s="56"/>
      <c r="U4015" s="25"/>
      <c r="V4015" s="25"/>
      <c r="W4015" s="25"/>
      <c r="X4015" s="25"/>
      <c r="Y4015" s="25"/>
      <c r="Z4015" s="25"/>
    </row>
    <row r="4016" spans="1:26" ht="52.5" customHeight="1" x14ac:dyDescent="0.25">
      <c r="A4016" s="25" t="str">
        <f ca="1">IFERROR(__xludf.DUMMYFUNCTION("""COMPUTED_VALUE"""),"Hacie114")</f>
        <v>Hacie114</v>
      </c>
      <c r="B4016" s="25"/>
      <c r="C4016" s="55"/>
      <c r="D4016" s="25" t="str">
        <f ca="1">IFERROR(__xludf.DUMMYFUNCTION("""COMPUTED_VALUE"""),"Hacienda")</f>
        <v>Hacienda</v>
      </c>
      <c r="E4016" s="25"/>
      <c r="F4016" s="25"/>
      <c r="G4016" s="25"/>
      <c r="H4016" s="25"/>
      <c r="I4016" s="25"/>
      <c r="J4016" s="55"/>
      <c r="K4016" s="25" t="str">
        <f ca="1">IFERROR(__xludf.DUMMYFUNCTION("""COMPUTED_VALUE"""),"Definir fecha")</f>
        <v>Definir fecha</v>
      </c>
      <c r="L4016" s="62"/>
      <c r="M4016" s="25"/>
      <c r="N4016" s="25"/>
      <c r="O4016" s="25">
        <f t="shared" si="0"/>
        <v>0</v>
      </c>
      <c r="P4016" s="25" t="str">
        <f t="shared" si="2"/>
        <v/>
      </c>
      <c r="Q4016" s="25" t="str">
        <f ca="1">IFERROR(__xludf.DUMMYFUNCTION("""COMPUTED_VALUE"""),"Sin defenir")</f>
        <v>Sin defenir</v>
      </c>
      <c r="R4016" s="25"/>
      <c r="S4016" s="55"/>
      <c r="T4016" s="56"/>
      <c r="U4016" s="25"/>
      <c r="V4016" s="25"/>
      <c r="W4016" s="25"/>
      <c r="X4016" s="25"/>
      <c r="Y4016" s="25"/>
      <c r="Z4016" s="25"/>
    </row>
    <row r="4017" spans="1:26" ht="52.5" customHeight="1" x14ac:dyDescent="0.25">
      <c r="A4017" s="25" t="str">
        <f ca="1">IFERROR(__xludf.DUMMYFUNCTION("""COMPUTED_VALUE"""),"Hacie115")</f>
        <v>Hacie115</v>
      </c>
      <c r="B4017" s="25"/>
      <c r="C4017" s="55"/>
      <c r="D4017" s="25" t="str">
        <f ca="1">IFERROR(__xludf.DUMMYFUNCTION("""COMPUTED_VALUE"""),"Hacienda")</f>
        <v>Hacienda</v>
      </c>
      <c r="E4017" s="25"/>
      <c r="F4017" s="25"/>
      <c r="G4017" s="25"/>
      <c r="H4017" s="25"/>
      <c r="I4017" s="25"/>
      <c r="J4017" s="55"/>
      <c r="K4017" s="25" t="str">
        <f ca="1">IFERROR(__xludf.DUMMYFUNCTION("""COMPUTED_VALUE"""),"Definir fecha")</f>
        <v>Definir fecha</v>
      </c>
      <c r="L4017" s="62"/>
      <c r="M4017" s="25"/>
      <c r="N4017" s="25"/>
      <c r="O4017" s="25">
        <f t="shared" si="0"/>
        <v>0</v>
      </c>
      <c r="P4017" s="25" t="str">
        <f t="shared" si="2"/>
        <v/>
      </c>
      <c r="Q4017" s="25" t="str">
        <f ca="1">IFERROR(__xludf.DUMMYFUNCTION("""COMPUTED_VALUE"""),"Sin defenir")</f>
        <v>Sin defenir</v>
      </c>
      <c r="R4017" s="25"/>
      <c r="S4017" s="55"/>
      <c r="T4017" s="56"/>
      <c r="U4017" s="25"/>
      <c r="V4017" s="25"/>
      <c r="W4017" s="25"/>
      <c r="X4017" s="25"/>
      <c r="Y4017" s="25"/>
      <c r="Z4017" s="25"/>
    </row>
    <row r="4018" spans="1:26" ht="52.5" customHeight="1" x14ac:dyDescent="0.25">
      <c r="A4018" s="25" t="str">
        <f ca="1">IFERROR(__xludf.DUMMYFUNCTION("""COMPUTED_VALUE"""),"Hacie116")</f>
        <v>Hacie116</v>
      </c>
      <c r="B4018" s="25"/>
      <c r="C4018" s="55"/>
      <c r="D4018" s="25" t="str">
        <f ca="1">IFERROR(__xludf.DUMMYFUNCTION("""COMPUTED_VALUE"""),"Hacienda")</f>
        <v>Hacienda</v>
      </c>
      <c r="E4018" s="25"/>
      <c r="F4018" s="25"/>
      <c r="G4018" s="25"/>
      <c r="H4018" s="25"/>
      <c r="I4018" s="25"/>
      <c r="J4018" s="55"/>
      <c r="K4018" s="25" t="str">
        <f ca="1">IFERROR(__xludf.DUMMYFUNCTION("""COMPUTED_VALUE"""),"Definir fecha")</f>
        <v>Definir fecha</v>
      </c>
      <c r="L4018" s="62"/>
      <c r="M4018" s="25"/>
      <c r="N4018" s="25"/>
      <c r="O4018" s="25">
        <f t="shared" si="0"/>
        <v>0</v>
      </c>
      <c r="P4018" s="25" t="str">
        <f t="shared" si="2"/>
        <v/>
      </c>
      <c r="Q4018" s="25" t="str">
        <f ca="1">IFERROR(__xludf.DUMMYFUNCTION("""COMPUTED_VALUE"""),"Sin defenir")</f>
        <v>Sin defenir</v>
      </c>
      <c r="R4018" s="25"/>
      <c r="S4018" s="55"/>
      <c r="T4018" s="56"/>
      <c r="U4018" s="25"/>
      <c r="V4018" s="25"/>
      <c r="W4018" s="25"/>
      <c r="X4018" s="25"/>
      <c r="Y4018" s="25"/>
      <c r="Z4018" s="25"/>
    </row>
    <row r="4019" spans="1:26" ht="52.5" customHeight="1" x14ac:dyDescent="0.25">
      <c r="A4019" s="25" t="str">
        <f ca="1">IFERROR(__xludf.DUMMYFUNCTION("""COMPUTED_VALUE"""),"Hacie117")</f>
        <v>Hacie117</v>
      </c>
      <c r="B4019" s="25"/>
      <c r="C4019" s="55"/>
      <c r="D4019" s="25" t="str">
        <f ca="1">IFERROR(__xludf.DUMMYFUNCTION("""COMPUTED_VALUE"""),"Hacienda")</f>
        <v>Hacienda</v>
      </c>
      <c r="E4019" s="25"/>
      <c r="F4019" s="25"/>
      <c r="G4019" s="25"/>
      <c r="H4019" s="25"/>
      <c r="I4019" s="25"/>
      <c r="J4019" s="55"/>
      <c r="K4019" s="25" t="str">
        <f ca="1">IFERROR(__xludf.DUMMYFUNCTION("""COMPUTED_VALUE"""),"Definir fecha")</f>
        <v>Definir fecha</v>
      </c>
      <c r="L4019" s="62"/>
      <c r="M4019" s="25"/>
      <c r="N4019" s="25"/>
      <c r="O4019" s="25">
        <f t="shared" si="0"/>
        <v>0</v>
      </c>
      <c r="P4019" s="25" t="str">
        <f t="shared" si="2"/>
        <v/>
      </c>
      <c r="Q4019" s="25" t="str">
        <f ca="1">IFERROR(__xludf.DUMMYFUNCTION("""COMPUTED_VALUE"""),"Sin defenir")</f>
        <v>Sin defenir</v>
      </c>
      <c r="R4019" s="25"/>
      <c r="S4019" s="55"/>
      <c r="T4019" s="56"/>
      <c r="U4019" s="25"/>
      <c r="V4019" s="25"/>
      <c r="W4019" s="25"/>
      <c r="X4019" s="25"/>
      <c r="Y4019" s="25"/>
      <c r="Z4019" s="25"/>
    </row>
    <row r="4020" spans="1:26" ht="52.5" customHeight="1" x14ac:dyDescent="0.25">
      <c r="A4020" s="25" t="str">
        <f ca="1">IFERROR(__xludf.DUMMYFUNCTION("""COMPUTED_VALUE"""),"Hacie118")</f>
        <v>Hacie118</v>
      </c>
      <c r="B4020" s="25"/>
      <c r="C4020" s="55"/>
      <c r="D4020" s="25" t="str">
        <f ca="1">IFERROR(__xludf.DUMMYFUNCTION("""COMPUTED_VALUE"""),"Hacienda")</f>
        <v>Hacienda</v>
      </c>
      <c r="E4020" s="25"/>
      <c r="F4020" s="25"/>
      <c r="G4020" s="25"/>
      <c r="H4020" s="25"/>
      <c r="I4020" s="25"/>
      <c r="J4020" s="55"/>
      <c r="K4020" s="25" t="str">
        <f ca="1">IFERROR(__xludf.DUMMYFUNCTION("""COMPUTED_VALUE"""),"Definir fecha")</f>
        <v>Definir fecha</v>
      </c>
      <c r="L4020" s="62"/>
      <c r="M4020" s="25"/>
      <c r="N4020" s="25"/>
      <c r="O4020" s="25">
        <f t="shared" si="0"/>
        <v>0</v>
      </c>
      <c r="P4020" s="25" t="str">
        <f t="shared" si="2"/>
        <v/>
      </c>
      <c r="Q4020" s="25" t="str">
        <f ca="1">IFERROR(__xludf.DUMMYFUNCTION("""COMPUTED_VALUE"""),"Sin defenir")</f>
        <v>Sin defenir</v>
      </c>
      <c r="R4020" s="25"/>
      <c r="S4020" s="55"/>
      <c r="T4020" s="56"/>
      <c r="U4020" s="25"/>
      <c r="V4020" s="25"/>
      <c r="W4020" s="25"/>
      <c r="X4020" s="25"/>
      <c r="Y4020" s="25"/>
      <c r="Z4020" s="25"/>
    </row>
    <row r="4021" spans="1:26" ht="52.5" customHeight="1" x14ac:dyDescent="0.25">
      <c r="A4021" s="25" t="str">
        <f ca="1">IFERROR(__xludf.DUMMYFUNCTION("""COMPUTED_VALUE"""),"Hacie119")</f>
        <v>Hacie119</v>
      </c>
      <c r="B4021" s="25"/>
      <c r="C4021" s="55"/>
      <c r="D4021" s="25" t="str">
        <f ca="1">IFERROR(__xludf.DUMMYFUNCTION("""COMPUTED_VALUE"""),"Hacienda")</f>
        <v>Hacienda</v>
      </c>
      <c r="E4021" s="25"/>
      <c r="F4021" s="25"/>
      <c r="G4021" s="25"/>
      <c r="H4021" s="25"/>
      <c r="I4021" s="25"/>
      <c r="J4021" s="55"/>
      <c r="K4021" s="25" t="str">
        <f ca="1">IFERROR(__xludf.DUMMYFUNCTION("""COMPUTED_VALUE"""),"Definir fecha")</f>
        <v>Definir fecha</v>
      </c>
      <c r="L4021" s="62"/>
      <c r="M4021" s="25"/>
      <c r="N4021" s="25"/>
      <c r="O4021" s="25">
        <f t="shared" si="0"/>
        <v>0</v>
      </c>
      <c r="P4021" s="25" t="str">
        <f t="shared" si="2"/>
        <v/>
      </c>
      <c r="Q4021" s="25" t="str">
        <f ca="1">IFERROR(__xludf.DUMMYFUNCTION("""COMPUTED_VALUE"""),"Sin defenir")</f>
        <v>Sin defenir</v>
      </c>
      <c r="R4021" s="25"/>
      <c r="S4021" s="55"/>
      <c r="T4021" s="56"/>
      <c r="U4021" s="25"/>
      <c r="V4021" s="25"/>
      <c r="W4021" s="25"/>
      <c r="X4021" s="25"/>
      <c r="Y4021" s="25"/>
      <c r="Z4021" s="25"/>
    </row>
    <row r="4022" spans="1:26" ht="52.5" customHeight="1" x14ac:dyDescent="0.25">
      <c r="A4022" s="25" t="str">
        <f ca="1">IFERROR(__xludf.DUMMYFUNCTION("""COMPUTED_VALUE"""),"Hacie120")</f>
        <v>Hacie120</v>
      </c>
      <c r="B4022" s="25"/>
      <c r="C4022" s="55"/>
      <c r="D4022" s="25" t="str">
        <f ca="1">IFERROR(__xludf.DUMMYFUNCTION("""COMPUTED_VALUE"""),"Hacienda")</f>
        <v>Hacienda</v>
      </c>
      <c r="E4022" s="25"/>
      <c r="F4022" s="25"/>
      <c r="G4022" s="25"/>
      <c r="H4022" s="25"/>
      <c r="I4022" s="25"/>
      <c r="J4022" s="55"/>
      <c r="K4022" s="25" t="str">
        <f ca="1">IFERROR(__xludf.DUMMYFUNCTION("""COMPUTED_VALUE"""),"Definir fecha")</f>
        <v>Definir fecha</v>
      </c>
      <c r="L4022" s="62"/>
      <c r="M4022" s="25"/>
      <c r="N4022" s="25"/>
      <c r="O4022" s="25">
        <f t="shared" si="0"/>
        <v>0</v>
      </c>
      <c r="P4022" s="25" t="str">
        <f t="shared" si="2"/>
        <v/>
      </c>
      <c r="Q4022" s="25" t="str">
        <f ca="1">IFERROR(__xludf.DUMMYFUNCTION("""COMPUTED_VALUE"""),"Sin defenir")</f>
        <v>Sin defenir</v>
      </c>
      <c r="R4022" s="25"/>
      <c r="S4022" s="55"/>
      <c r="T4022" s="56"/>
      <c r="U4022" s="25"/>
      <c r="V4022" s="25"/>
      <c r="W4022" s="25"/>
      <c r="X4022" s="25"/>
      <c r="Y4022" s="25"/>
      <c r="Z4022" s="25"/>
    </row>
    <row r="4023" spans="1:26" ht="52.5" customHeight="1" x14ac:dyDescent="0.25">
      <c r="A4023" s="25" t="str">
        <f ca="1">IFERROR(__xludf.DUMMYFUNCTION("""COMPUTED_VALUE"""),"Hacie121")</f>
        <v>Hacie121</v>
      </c>
      <c r="B4023" s="25"/>
      <c r="C4023" s="55"/>
      <c r="D4023" s="25" t="str">
        <f ca="1">IFERROR(__xludf.DUMMYFUNCTION("""COMPUTED_VALUE"""),"Hacienda")</f>
        <v>Hacienda</v>
      </c>
      <c r="E4023" s="25"/>
      <c r="F4023" s="25"/>
      <c r="G4023" s="25"/>
      <c r="H4023" s="25"/>
      <c r="I4023" s="25"/>
      <c r="J4023" s="55"/>
      <c r="K4023" s="25" t="str">
        <f ca="1">IFERROR(__xludf.DUMMYFUNCTION("""COMPUTED_VALUE"""),"Definir fecha")</f>
        <v>Definir fecha</v>
      </c>
      <c r="L4023" s="62"/>
      <c r="M4023" s="25"/>
      <c r="N4023" s="25"/>
      <c r="O4023" s="25">
        <f t="shared" si="0"/>
        <v>0</v>
      </c>
      <c r="P4023" s="25" t="str">
        <f t="shared" si="2"/>
        <v/>
      </c>
      <c r="Q4023" s="25" t="str">
        <f ca="1">IFERROR(__xludf.DUMMYFUNCTION("""COMPUTED_VALUE"""),"Sin defenir")</f>
        <v>Sin defenir</v>
      </c>
      <c r="R4023" s="25"/>
      <c r="S4023" s="55"/>
      <c r="T4023" s="56"/>
      <c r="U4023" s="25"/>
      <c r="V4023" s="25"/>
      <c r="W4023" s="25"/>
      <c r="X4023" s="25"/>
      <c r="Y4023" s="25"/>
      <c r="Z4023" s="25"/>
    </row>
    <row r="4024" spans="1:26" ht="52.5" customHeight="1" x14ac:dyDescent="0.25">
      <c r="A4024" s="25" t="str">
        <f ca="1">IFERROR(__xludf.DUMMYFUNCTION("""COMPUTED_VALUE"""),"Hacie122")</f>
        <v>Hacie122</v>
      </c>
      <c r="B4024" s="25"/>
      <c r="C4024" s="55"/>
      <c r="D4024" s="25" t="str">
        <f ca="1">IFERROR(__xludf.DUMMYFUNCTION("""COMPUTED_VALUE"""),"Hacienda")</f>
        <v>Hacienda</v>
      </c>
      <c r="E4024" s="25"/>
      <c r="F4024" s="25"/>
      <c r="G4024" s="25"/>
      <c r="H4024" s="25"/>
      <c r="I4024" s="25"/>
      <c r="J4024" s="55"/>
      <c r="K4024" s="25" t="str">
        <f ca="1">IFERROR(__xludf.DUMMYFUNCTION("""COMPUTED_VALUE"""),"Definir fecha")</f>
        <v>Definir fecha</v>
      </c>
      <c r="L4024" s="62"/>
      <c r="M4024" s="25"/>
      <c r="N4024" s="25"/>
      <c r="O4024" s="25">
        <f t="shared" si="0"/>
        <v>0</v>
      </c>
      <c r="P4024" s="25" t="str">
        <f t="shared" si="2"/>
        <v/>
      </c>
      <c r="Q4024" s="25" t="str">
        <f ca="1">IFERROR(__xludf.DUMMYFUNCTION("""COMPUTED_VALUE"""),"Sin defenir")</f>
        <v>Sin defenir</v>
      </c>
      <c r="R4024" s="25"/>
      <c r="S4024" s="55"/>
      <c r="T4024" s="56"/>
      <c r="U4024" s="25"/>
      <c r="V4024" s="25"/>
      <c r="W4024" s="25"/>
      <c r="X4024" s="25"/>
      <c r="Y4024" s="25"/>
      <c r="Z4024" s="25"/>
    </row>
    <row r="4025" spans="1:26" ht="52.5" customHeight="1" x14ac:dyDescent="0.25">
      <c r="A4025" s="25" t="str">
        <f ca="1">IFERROR(__xludf.DUMMYFUNCTION("""COMPUTED_VALUE"""),"Hacie123")</f>
        <v>Hacie123</v>
      </c>
      <c r="B4025" s="25"/>
      <c r="C4025" s="55"/>
      <c r="D4025" s="25" t="str">
        <f ca="1">IFERROR(__xludf.DUMMYFUNCTION("""COMPUTED_VALUE"""),"Hacienda")</f>
        <v>Hacienda</v>
      </c>
      <c r="E4025" s="25"/>
      <c r="F4025" s="25"/>
      <c r="G4025" s="25"/>
      <c r="H4025" s="25"/>
      <c r="I4025" s="25"/>
      <c r="J4025" s="55"/>
      <c r="K4025" s="25" t="str">
        <f ca="1">IFERROR(__xludf.DUMMYFUNCTION("""COMPUTED_VALUE"""),"Definir fecha")</f>
        <v>Definir fecha</v>
      </c>
      <c r="L4025" s="62"/>
      <c r="M4025" s="25"/>
      <c r="N4025" s="25"/>
      <c r="O4025" s="25">
        <f t="shared" si="0"/>
        <v>0</v>
      </c>
      <c r="P4025" s="25" t="str">
        <f t="shared" si="2"/>
        <v/>
      </c>
      <c r="Q4025" s="25" t="str">
        <f ca="1">IFERROR(__xludf.DUMMYFUNCTION("""COMPUTED_VALUE"""),"Sin defenir")</f>
        <v>Sin defenir</v>
      </c>
      <c r="R4025" s="25"/>
      <c r="S4025" s="55"/>
      <c r="T4025" s="56"/>
      <c r="U4025" s="25"/>
      <c r="V4025" s="25"/>
      <c r="W4025" s="25"/>
      <c r="X4025" s="25"/>
      <c r="Y4025" s="25"/>
      <c r="Z4025" s="25"/>
    </row>
    <row r="4026" spans="1:26" ht="52.5" customHeight="1" x14ac:dyDescent="0.25">
      <c r="A4026" s="25" t="str">
        <f ca="1">IFERROR(__xludf.DUMMYFUNCTION("""COMPUTED_VALUE"""),"Hacie124")</f>
        <v>Hacie124</v>
      </c>
      <c r="B4026" s="25"/>
      <c r="C4026" s="55"/>
      <c r="D4026" s="25" t="str">
        <f ca="1">IFERROR(__xludf.DUMMYFUNCTION("""COMPUTED_VALUE"""),"Hacienda")</f>
        <v>Hacienda</v>
      </c>
      <c r="E4026" s="25"/>
      <c r="F4026" s="25"/>
      <c r="G4026" s="25"/>
      <c r="H4026" s="25"/>
      <c r="I4026" s="25"/>
      <c r="J4026" s="55"/>
      <c r="K4026" s="25" t="str">
        <f ca="1">IFERROR(__xludf.DUMMYFUNCTION("""COMPUTED_VALUE"""),"Definir fecha")</f>
        <v>Definir fecha</v>
      </c>
      <c r="L4026" s="62"/>
      <c r="M4026" s="25"/>
      <c r="N4026" s="25"/>
      <c r="O4026" s="25">
        <f t="shared" si="0"/>
        <v>0</v>
      </c>
      <c r="P4026" s="25" t="str">
        <f t="shared" si="2"/>
        <v/>
      </c>
      <c r="Q4026" s="25" t="str">
        <f ca="1">IFERROR(__xludf.DUMMYFUNCTION("""COMPUTED_VALUE"""),"Sin defenir")</f>
        <v>Sin defenir</v>
      </c>
      <c r="R4026" s="25"/>
      <c r="S4026" s="55"/>
      <c r="T4026" s="56"/>
      <c r="U4026" s="25"/>
      <c r="V4026" s="25"/>
      <c r="W4026" s="25"/>
      <c r="X4026" s="25"/>
      <c r="Y4026" s="25"/>
      <c r="Z4026" s="25"/>
    </row>
    <row r="4027" spans="1:26" ht="52.5" customHeight="1" x14ac:dyDescent="0.25">
      <c r="A4027" s="25" t="str">
        <f ca="1">IFERROR(__xludf.DUMMYFUNCTION("""COMPUTED_VALUE"""),"Hacie125")</f>
        <v>Hacie125</v>
      </c>
      <c r="B4027" s="25"/>
      <c r="C4027" s="55"/>
      <c r="D4027" s="25" t="str">
        <f ca="1">IFERROR(__xludf.DUMMYFUNCTION("""COMPUTED_VALUE"""),"Hacienda")</f>
        <v>Hacienda</v>
      </c>
      <c r="E4027" s="25"/>
      <c r="F4027" s="25"/>
      <c r="G4027" s="25"/>
      <c r="H4027" s="25"/>
      <c r="I4027" s="25"/>
      <c r="J4027" s="55"/>
      <c r="K4027" s="25" t="str">
        <f ca="1">IFERROR(__xludf.DUMMYFUNCTION("""COMPUTED_VALUE"""),"Definir fecha")</f>
        <v>Definir fecha</v>
      </c>
      <c r="L4027" s="62"/>
      <c r="M4027" s="25"/>
      <c r="N4027" s="25"/>
      <c r="O4027" s="25">
        <f t="shared" si="0"/>
        <v>0</v>
      </c>
      <c r="P4027" s="25" t="str">
        <f t="shared" si="2"/>
        <v/>
      </c>
      <c r="Q4027" s="25" t="str">
        <f ca="1">IFERROR(__xludf.DUMMYFUNCTION("""COMPUTED_VALUE"""),"Sin defenir")</f>
        <v>Sin defenir</v>
      </c>
      <c r="R4027" s="25"/>
      <c r="S4027" s="55"/>
      <c r="T4027" s="56"/>
      <c r="U4027" s="25"/>
      <c r="V4027" s="25"/>
      <c r="W4027" s="25"/>
      <c r="X4027" s="25"/>
      <c r="Y4027" s="25"/>
      <c r="Z4027" s="25"/>
    </row>
    <row r="4028" spans="1:26" ht="52.5" customHeight="1" x14ac:dyDescent="0.25">
      <c r="A4028" s="25" t="str">
        <f ca="1">IFERROR(__xludf.DUMMYFUNCTION("""COMPUTED_VALUE"""),"Hacie126")</f>
        <v>Hacie126</v>
      </c>
      <c r="B4028" s="25"/>
      <c r="C4028" s="55"/>
      <c r="D4028" s="25" t="str">
        <f ca="1">IFERROR(__xludf.DUMMYFUNCTION("""COMPUTED_VALUE"""),"Hacienda")</f>
        <v>Hacienda</v>
      </c>
      <c r="E4028" s="25"/>
      <c r="F4028" s="25"/>
      <c r="G4028" s="25"/>
      <c r="H4028" s="25"/>
      <c r="I4028" s="25"/>
      <c r="J4028" s="55"/>
      <c r="K4028" s="25" t="str">
        <f ca="1">IFERROR(__xludf.DUMMYFUNCTION("""COMPUTED_VALUE"""),"Definir fecha")</f>
        <v>Definir fecha</v>
      </c>
      <c r="L4028" s="62"/>
      <c r="M4028" s="25"/>
      <c r="N4028" s="25"/>
      <c r="O4028" s="25">
        <f t="shared" si="0"/>
        <v>0</v>
      </c>
      <c r="P4028" s="25" t="str">
        <f t="shared" si="2"/>
        <v/>
      </c>
      <c r="Q4028" s="25" t="str">
        <f ca="1">IFERROR(__xludf.DUMMYFUNCTION("""COMPUTED_VALUE"""),"Sin defenir")</f>
        <v>Sin defenir</v>
      </c>
      <c r="R4028" s="25"/>
      <c r="S4028" s="55"/>
      <c r="T4028" s="56"/>
      <c r="U4028" s="25"/>
      <c r="V4028" s="25"/>
      <c r="W4028" s="25"/>
      <c r="X4028" s="25"/>
      <c r="Y4028" s="25"/>
      <c r="Z4028" s="25"/>
    </row>
    <row r="4029" spans="1:26" ht="52.5" customHeight="1" x14ac:dyDescent="0.25">
      <c r="A4029" s="25" t="str">
        <f ca="1">IFERROR(__xludf.DUMMYFUNCTION("""COMPUTED_VALUE"""),"Hacie127")</f>
        <v>Hacie127</v>
      </c>
      <c r="B4029" s="25"/>
      <c r="C4029" s="55"/>
      <c r="D4029" s="25" t="str">
        <f ca="1">IFERROR(__xludf.DUMMYFUNCTION("""COMPUTED_VALUE"""),"Hacienda")</f>
        <v>Hacienda</v>
      </c>
      <c r="E4029" s="25"/>
      <c r="F4029" s="25"/>
      <c r="G4029" s="25"/>
      <c r="H4029" s="25"/>
      <c r="I4029" s="25"/>
      <c r="J4029" s="55"/>
      <c r="K4029" s="25" t="str">
        <f ca="1">IFERROR(__xludf.DUMMYFUNCTION("""COMPUTED_VALUE"""),"Definir fecha")</f>
        <v>Definir fecha</v>
      </c>
      <c r="L4029" s="62"/>
      <c r="M4029" s="25"/>
      <c r="N4029" s="25"/>
      <c r="O4029" s="25">
        <f t="shared" si="0"/>
        <v>0</v>
      </c>
      <c r="P4029" s="25" t="str">
        <f t="shared" si="2"/>
        <v/>
      </c>
      <c r="Q4029" s="25" t="str">
        <f ca="1">IFERROR(__xludf.DUMMYFUNCTION("""COMPUTED_VALUE"""),"Sin defenir")</f>
        <v>Sin defenir</v>
      </c>
      <c r="R4029" s="25"/>
      <c r="S4029" s="55"/>
      <c r="T4029" s="56"/>
      <c r="U4029" s="25"/>
      <c r="V4029" s="25"/>
      <c r="W4029" s="25"/>
      <c r="X4029" s="25"/>
      <c r="Y4029" s="25"/>
      <c r="Z4029" s="25"/>
    </row>
    <row r="4030" spans="1:26" ht="52.5" customHeight="1" x14ac:dyDescent="0.25">
      <c r="A4030" s="25" t="str">
        <f ca="1">IFERROR(__xludf.DUMMYFUNCTION("""COMPUTED_VALUE"""),"Hacie128")</f>
        <v>Hacie128</v>
      </c>
      <c r="B4030" s="25"/>
      <c r="C4030" s="55"/>
      <c r="D4030" s="25" t="str">
        <f ca="1">IFERROR(__xludf.DUMMYFUNCTION("""COMPUTED_VALUE"""),"Hacienda")</f>
        <v>Hacienda</v>
      </c>
      <c r="E4030" s="25"/>
      <c r="F4030" s="25"/>
      <c r="G4030" s="25"/>
      <c r="H4030" s="25"/>
      <c r="I4030" s="25"/>
      <c r="J4030" s="55"/>
      <c r="K4030" s="25" t="str">
        <f ca="1">IFERROR(__xludf.DUMMYFUNCTION("""COMPUTED_VALUE"""),"Definir fecha")</f>
        <v>Definir fecha</v>
      </c>
      <c r="L4030" s="62"/>
      <c r="M4030" s="25"/>
      <c r="N4030" s="25"/>
      <c r="O4030" s="25">
        <f t="shared" si="0"/>
        <v>0</v>
      </c>
      <c r="P4030" s="25" t="str">
        <f t="shared" si="2"/>
        <v/>
      </c>
      <c r="Q4030" s="25" t="str">
        <f ca="1">IFERROR(__xludf.DUMMYFUNCTION("""COMPUTED_VALUE"""),"Sin defenir")</f>
        <v>Sin defenir</v>
      </c>
      <c r="R4030" s="25"/>
      <c r="S4030" s="55"/>
      <c r="T4030" s="56"/>
      <c r="U4030" s="25"/>
      <c r="V4030" s="25"/>
      <c r="W4030" s="25"/>
      <c r="X4030" s="25"/>
      <c r="Y4030" s="25"/>
      <c r="Z4030" s="25"/>
    </row>
    <row r="4031" spans="1:26" ht="52.5" customHeight="1" x14ac:dyDescent="0.25">
      <c r="A4031" s="25" t="str">
        <f ca="1">IFERROR(__xludf.DUMMYFUNCTION("""COMPUTED_VALUE"""),"Hacie129")</f>
        <v>Hacie129</v>
      </c>
      <c r="B4031" s="25"/>
      <c r="C4031" s="55"/>
      <c r="D4031" s="25" t="str">
        <f ca="1">IFERROR(__xludf.DUMMYFUNCTION("""COMPUTED_VALUE"""),"Hacienda")</f>
        <v>Hacienda</v>
      </c>
      <c r="E4031" s="25"/>
      <c r="F4031" s="25"/>
      <c r="G4031" s="25"/>
      <c r="H4031" s="25"/>
      <c r="I4031" s="25"/>
      <c r="J4031" s="55"/>
      <c r="K4031" s="25" t="str">
        <f ca="1">IFERROR(__xludf.DUMMYFUNCTION("""COMPUTED_VALUE"""),"Definir fecha")</f>
        <v>Definir fecha</v>
      </c>
      <c r="L4031" s="62"/>
      <c r="M4031" s="25"/>
      <c r="N4031" s="25"/>
      <c r="O4031" s="25">
        <f t="shared" si="0"/>
        <v>0</v>
      </c>
      <c r="P4031" s="25" t="str">
        <f t="shared" si="2"/>
        <v/>
      </c>
      <c r="Q4031" s="25" t="str">
        <f ca="1">IFERROR(__xludf.DUMMYFUNCTION("""COMPUTED_VALUE"""),"Sin defenir")</f>
        <v>Sin defenir</v>
      </c>
      <c r="R4031" s="25"/>
      <c r="S4031" s="55"/>
      <c r="T4031" s="56"/>
      <c r="U4031" s="25"/>
      <c r="V4031" s="25"/>
      <c r="W4031" s="25"/>
      <c r="X4031" s="25"/>
      <c r="Y4031" s="25"/>
      <c r="Z4031" s="25"/>
    </row>
    <row r="4032" spans="1:26" ht="52.5" customHeight="1" x14ac:dyDescent="0.25">
      <c r="A4032" s="25" t="str">
        <f ca="1">IFERROR(__xludf.DUMMYFUNCTION("""COMPUTED_VALUE"""),"Hacie130")</f>
        <v>Hacie130</v>
      </c>
      <c r="B4032" s="25"/>
      <c r="C4032" s="55"/>
      <c r="D4032" s="25" t="str">
        <f ca="1">IFERROR(__xludf.DUMMYFUNCTION("""COMPUTED_VALUE"""),"Hacienda")</f>
        <v>Hacienda</v>
      </c>
      <c r="E4032" s="25"/>
      <c r="F4032" s="25"/>
      <c r="G4032" s="25"/>
      <c r="H4032" s="25"/>
      <c r="I4032" s="25"/>
      <c r="J4032" s="55"/>
      <c r="K4032" s="25" t="str">
        <f ca="1">IFERROR(__xludf.DUMMYFUNCTION("""COMPUTED_VALUE"""),"Definir fecha")</f>
        <v>Definir fecha</v>
      </c>
      <c r="L4032" s="62"/>
      <c r="M4032" s="25"/>
      <c r="N4032" s="25"/>
      <c r="O4032" s="25">
        <f t="shared" si="0"/>
        <v>0</v>
      </c>
      <c r="P4032" s="25" t="str">
        <f t="shared" si="2"/>
        <v/>
      </c>
      <c r="Q4032" s="25" t="str">
        <f ca="1">IFERROR(__xludf.DUMMYFUNCTION("""COMPUTED_VALUE"""),"Sin defenir")</f>
        <v>Sin defenir</v>
      </c>
      <c r="R4032" s="25"/>
      <c r="S4032" s="55"/>
      <c r="T4032" s="56"/>
      <c r="U4032" s="25"/>
      <c r="V4032" s="25"/>
      <c r="W4032" s="25"/>
      <c r="X4032" s="25"/>
      <c r="Y4032" s="25"/>
      <c r="Z4032" s="25"/>
    </row>
    <row r="4033" spans="1:26" ht="52.5" customHeight="1" x14ac:dyDescent="0.25">
      <c r="A4033" s="25" t="str">
        <f ca="1">IFERROR(__xludf.DUMMYFUNCTION("""COMPUTED_VALUE"""),"Hacie131")</f>
        <v>Hacie131</v>
      </c>
      <c r="B4033" s="25"/>
      <c r="C4033" s="55"/>
      <c r="D4033" s="25" t="str">
        <f ca="1">IFERROR(__xludf.DUMMYFUNCTION("""COMPUTED_VALUE"""),"Hacienda")</f>
        <v>Hacienda</v>
      </c>
      <c r="E4033" s="25"/>
      <c r="F4033" s="25"/>
      <c r="G4033" s="25"/>
      <c r="H4033" s="25"/>
      <c r="I4033" s="25"/>
      <c r="J4033" s="55"/>
      <c r="K4033" s="25" t="str">
        <f ca="1">IFERROR(__xludf.DUMMYFUNCTION("""COMPUTED_VALUE"""),"Definir fecha")</f>
        <v>Definir fecha</v>
      </c>
      <c r="L4033" s="62"/>
      <c r="M4033" s="25"/>
      <c r="N4033" s="25"/>
      <c r="O4033" s="25">
        <f t="shared" si="0"/>
        <v>0</v>
      </c>
      <c r="P4033" s="25" t="str">
        <f t="shared" si="2"/>
        <v/>
      </c>
      <c r="Q4033" s="25" t="str">
        <f ca="1">IFERROR(__xludf.DUMMYFUNCTION("""COMPUTED_VALUE"""),"Sin defenir")</f>
        <v>Sin defenir</v>
      </c>
      <c r="R4033" s="25"/>
      <c r="S4033" s="55"/>
      <c r="T4033" s="56"/>
      <c r="U4033" s="25"/>
      <c r="V4033" s="25"/>
      <c r="W4033" s="25"/>
      <c r="X4033" s="25"/>
      <c r="Y4033" s="25"/>
      <c r="Z4033" s="25"/>
    </row>
    <row r="4034" spans="1:26" ht="52.5" customHeight="1" x14ac:dyDescent="0.25">
      <c r="A4034" s="25" t="str">
        <f ca="1">IFERROR(__xludf.DUMMYFUNCTION("""COMPUTED_VALUE"""),"Hacie132")</f>
        <v>Hacie132</v>
      </c>
      <c r="B4034" s="25"/>
      <c r="C4034" s="55"/>
      <c r="D4034" s="25" t="str">
        <f ca="1">IFERROR(__xludf.DUMMYFUNCTION("""COMPUTED_VALUE"""),"Hacienda")</f>
        <v>Hacienda</v>
      </c>
      <c r="E4034" s="25"/>
      <c r="F4034" s="25"/>
      <c r="G4034" s="25"/>
      <c r="H4034" s="25"/>
      <c r="I4034" s="25"/>
      <c r="J4034" s="55"/>
      <c r="K4034" s="25" t="str">
        <f ca="1">IFERROR(__xludf.DUMMYFUNCTION("""COMPUTED_VALUE"""),"Definir fecha")</f>
        <v>Definir fecha</v>
      </c>
      <c r="L4034" s="62"/>
      <c r="M4034" s="25"/>
      <c r="N4034" s="25"/>
      <c r="O4034" s="25">
        <f t="shared" si="0"/>
        <v>0</v>
      </c>
      <c r="P4034" s="25" t="str">
        <f t="shared" si="2"/>
        <v/>
      </c>
      <c r="Q4034" s="25" t="str">
        <f ca="1">IFERROR(__xludf.DUMMYFUNCTION("""COMPUTED_VALUE"""),"Sin defenir")</f>
        <v>Sin defenir</v>
      </c>
      <c r="R4034" s="25"/>
      <c r="S4034" s="55"/>
      <c r="T4034" s="56"/>
      <c r="U4034" s="25"/>
      <c r="V4034" s="25"/>
      <c r="W4034" s="25"/>
      <c r="X4034" s="25"/>
      <c r="Y4034" s="25"/>
      <c r="Z4034" s="25"/>
    </row>
    <row r="4035" spans="1:26" ht="52.5" customHeight="1" x14ac:dyDescent="0.25">
      <c r="A4035" s="25" t="str">
        <f ca="1">IFERROR(__xludf.DUMMYFUNCTION("""COMPUTED_VALUE"""),"Hacie133")</f>
        <v>Hacie133</v>
      </c>
      <c r="B4035" s="25"/>
      <c r="C4035" s="55"/>
      <c r="D4035" s="25" t="str">
        <f ca="1">IFERROR(__xludf.DUMMYFUNCTION("""COMPUTED_VALUE"""),"Hacienda")</f>
        <v>Hacienda</v>
      </c>
      <c r="E4035" s="25"/>
      <c r="F4035" s="25"/>
      <c r="G4035" s="25"/>
      <c r="H4035" s="25"/>
      <c r="I4035" s="25"/>
      <c r="J4035" s="55"/>
      <c r="K4035" s="25" t="str">
        <f ca="1">IFERROR(__xludf.DUMMYFUNCTION("""COMPUTED_VALUE"""),"Definir fecha")</f>
        <v>Definir fecha</v>
      </c>
      <c r="L4035" s="62"/>
      <c r="M4035" s="25"/>
      <c r="N4035" s="25"/>
      <c r="O4035" s="25">
        <f t="shared" si="0"/>
        <v>0</v>
      </c>
      <c r="P4035" s="25" t="str">
        <f t="shared" si="2"/>
        <v/>
      </c>
      <c r="Q4035" s="25" t="str">
        <f ca="1">IFERROR(__xludf.DUMMYFUNCTION("""COMPUTED_VALUE"""),"Sin defenir")</f>
        <v>Sin defenir</v>
      </c>
      <c r="R4035" s="25"/>
      <c r="S4035" s="55"/>
      <c r="T4035" s="56"/>
      <c r="U4035" s="25"/>
      <c r="V4035" s="25"/>
      <c r="W4035" s="25"/>
      <c r="X4035" s="25"/>
      <c r="Y4035" s="25"/>
      <c r="Z4035" s="25"/>
    </row>
    <row r="4036" spans="1:26" ht="52.5" customHeight="1" x14ac:dyDescent="0.25">
      <c r="A4036" s="25" t="str">
        <f ca="1">IFERROR(__xludf.DUMMYFUNCTION("""COMPUTED_VALUE"""),"Hacie134")</f>
        <v>Hacie134</v>
      </c>
      <c r="B4036" s="25"/>
      <c r="C4036" s="55"/>
      <c r="D4036" s="25" t="str">
        <f ca="1">IFERROR(__xludf.DUMMYFUNCTION("""COMPUTED_VALUE"""),"Hacienda")</f>
        <v>Hacienda</v>
      </c>
      <c r="E4036" s="25"/>
      <c r="F4036" s="25"/>
      <c r="G4036" s="25"/>
      <c r="H4036" s="25"/>
      <c r="I4036" s="25"/>
      <c r="J4036" s="55"/>
      <c r="K4036" s="25" t="str">
        <f ca="1">IFERROR(__xludf.DUMMYFUNCTION("""COMPUTED_VALUE"""),"Definir fecha")</f>
        <v>Definir fecha</v>
      </c>
      <c r="L4036" s="62"/>
      <c r="M4036" s="25"/>
      <c r="N4036" s="25"/>
      <c r="O4036" s="25">
        <f t="shared" si="0"/>
        <v>0</v>
      </c>
      <c r="P4036" s="25" t="str">
        <f t="shared" si="2"/>
        <v/>
      </c>
      <c r="Q4036" s="25" t="str">
        <f ca="1">IFERROR(__xludf.DUMMYFUNCTION("""COMPUTED_VALUE"""),"Sin defenir")</f>
        <v>Sin defenir</v>
      </c>
      <c r="R4036" s="25"/>
      <c r="S4036" s="55"/>
      <c r="T4036" s="56"/>
      <c r="U4036" s="25"/>
      <c r="V4036" s="25"/>
      <c r="W4036" s="25"/>
      <c r="X4036" s="25"/>
      <c r="Y4036" s="25"/>
      <c r="Z4036" s="25"/>
    </row>
    <row r="4037" spans="1:26" ht="52.5" customHeight="1" x14ac:dyDescent="0.25">
      <c r="A4037" s="25" t="str">
        <f ca="1">IFERROR(__xludf.DUMMYFUNCTION("""COMPUTED_VALUE"""),"Hacie135")</f>
        <v>Hacie135</v>
      </c>
      <c r="B4037" s="25"/>
      <c r="C4037" s="55"/>
      <c r="D4037" s="25" t="str">
        <f ca="1">IFERROR(__xludf.DUMMYFUNCTION("""COMPUTED_VALUE"""),"Hacienda")</f>
        <v>Hacienda</v>
      </c>
      <c r="E4037" s="25"/>
      <c r="F4037" s="25"/>
      <c r="G4037" s="25"/>
      <c r="H4037" s="25"/>
      <c r="I4037" s="25"/>
      <c r="J4037" s="55"/>
      <c r="K4037" s="25" t="str">
        <f ca="1">IFERROR(__xludf.DUMMYFUNCTION("""COMPUTED_VALUE"""),"Definir fecha")</f>
        <v>Definir fecha</v>
      </c>
      <c r="L4037" s="62"/>
      <c r="M4037" s="25"/>
      <c r="N4037" s="25"/>
      <c r="O4037" s="25">
        <f t="shared" si="0"/>
        <v>0</v>
      </c>
      <c r="P4037" s="25" t="str">
        <f t="shared" si="2"/>
        <v/>
      </c>
      <c r="Q4037" s="25" t="str">
        <f ca="1">IFERROR(__xludf.DUMMYFUNCTION("""COMPUTED_VALUE"""),"Sin defenir")</f>
        <v>Sin defenir</v>
      </c>
      <c r="R4037" s="25"/>
      <c r="S4037" s="55"/>
      <c r="T4037" s="56"/>
      <c r="U4037" s="25"/>
      <c r="V4037" s="25"/>
      <c r="W4037" s="25"/>
      <c r="X4037" s="25"/>
      <c r="Y4037" s="25"/>
      <c r="Z4037" s="25"/>
    </row>
    <row r="4038" spans="1:26" ht="52.5" customHeight="1" x14ac:dyDescent="0.25">
      <c r="A4038" s="25" t="str">
        <f ca="1">IFERROR(__xludf.DUMMYFUNCTION("""COMPUTED_VALUE"""),"Hacie136")</f>
        <v>Hacie136</v>
      </c>
      <c r="B4038" s="25"/>
      <c r="C4038" s="55"/>
      <c r="D4038" s="25" t="str">
        <f ca="1">IFERROR(__xludf.DUMMYFUNCTION("""COMPUTED_VALUE"""),"Hacienda")</f>
        <v>Hacienda</v>
      </c>
      <c r="E4038" s="25"/>
      <c r="F4038" s="25"/>
      <c r="G4038" s="25"/>
      <c r="H4038" s="25"/>
      <c r="I4038" s="25"/>
      <c r="J4038" s="55"/>
      <c r="K4038" s="25" t="str">
        <f ca="1">IFERROR(__xludf.DUMMYFUNCTION("""COMPUTED_VALUE"""),"Definir fecha")</f>
        <v>Definir fecha</v>
      </c>
      <c r="L4038" s="62"/>
      <c r="M4038" s="25"/>
      <c r="N4038" s="25"/>
      <c r="O4038" s="25">
        <f t="shared" si="0"/>
        <v>0</v>
      </c>
      <c r="P4038" s="25" t="str">
        <f t="shared" si="2"/>
        <v/>
      </c>
      <c r="Q4038" s="25" t="str">
        <f ca="1">IFERROR(__xludf.DUMMYFUNCTION("""COMPUTED_VALUE"""),"Sin defenir")</f>
        <v>Sin defenir</v>
      </c>
      <c r="R4038" s="25"/>
      <c r="S4038" s="55"/>
      <c r="T4038" s="56"/>
      <c r="U4038" s="25"/>
      <c r="V4038" s="25"/>
      <c r="W4038" s="25"/>
      <c r="X4038" s="25"/>
      <c r="Y4038" s="25"/>
      <c r="Z4038" s="25"/>
    </row>
    <row r="4039" spans="1:26" ht="52.5" customHeight="1" x14ac:dyDescent="0.25">
      <c r="A4039" s="25" t="str">
        <f ca="1">IFERROR(__xludf.DUMMYFUNCTION("""COMPUTED_VALUE"""),"Hacie137")</f>
        <v>Hacie137</v>
      </c>
      <c r="B4039" s="25"/>
      <c r="C4039" s="55"/>
      <c r="D4039" s="25" t="str">
        <f ca="1">IFERROR(__xludf.DUMMYFUNCTION("""COMPUTED_VALUE"""),"Hacienda")</f>
        <v>Hacienda</v>
      </c>
      <c r="E4039" s="25"/>
      <c r="F4039" s="25"/>
      <c r="G4039" s="25"/>
      <c r="H4039" s="25"/>
      <c r="I4039" s="25"/>
      <c r="J4039" s="55"/>
      <c r="K4039" s="25" t="str">
        <f ca="1">IFERROR(__xludf.DUMMYFUNCTION("""COMPUTED_VALUE"""),"Definir fecha")</f>
        <v>Definir fecha</v>
      </c>
      <c r="L4039" s="62"/>
      <c r="M4039" s="25"/>
      <c r="N4039" s="25"/>
      <c r="O4039" s="25">
        <f t="shared" si="0"/>
        <v>0</v>
      </c>
      <c r="P4039" s="25" t="str">
        <f t="shared" si="2"/>
        <v/>
      </c>
      <c r="Q4039" s="25" t="str">
        <f ca="1">IFERROR(__xludf.DUMMYFUNCTION("""COMPUTED_VALUE"""),"Sin defenir")</f>
        <v>Sin defenir</v>
      </c>
      <c r="R4039" s="25"/>
      <c r="S4039" s="55"/>
      <c r="T4039" s="56"/>
      <c r="U4039" s="25"/>
      <c r="V4039" s="25"/>
      <c r="W4039" s="25"/>
      <c r="X4039" s="25"/>
      <c r="Y4039" s="25"/>
      <c r="Z4039" s="25"/>
    </row>
    <row r="4040" spans="1:26" ht="52.5" customHeight="1" x14ac:dyDescent="0.25">
      <c r="A4040" s="25" t="str">
        <f ca="1">IFERROR(__xludf.DUMMYFUNCTION("""COMPUTED_VALUE"""),"Hacie138")</f>
        <v>Hacie138</v>
      </c>
      <c r="B4040" s="25"/>
      <c r="C4040" s="55"/>
      <c r="D4040" s="25" t="str">
        <f ca="1">IFERROR(__xludf.DUMMYFUNCTION("""COMPUTED_VALUE"""),"Hacienda")</f>
        <v>Hacienda</v>
      </c>
      <c r="E4040" s="25"/>
      <c r="F4040" s="25"/>
      <c r="G4040" s="25"/>
      <c r="H4040" s="25"/>
      <c r="I4040" s="25"/>
      <c r="J4040" s="55"/>
      <c r="K4040" s="25" t="str">
        <f ca="1">IFERROR(__xludf.DUMMYFUNCTION("""COMPUTED_VALUE"""),"Definir fecha")</f>
        <v>Definir fecha</v>
      </c>
      <c r="L4040" s="62"/>
      <c r="M4040" s="25"/>
      <c r="N4040" s="25"/>
      <c r="O4040" s="25">
        <f t="shared" si="0"/>
        <v>0</v>
      </c>
      <c r="P4040" s="25" t="str">
        <f t="shared" si="2"/>
        <v/>
      </c>
      <c r="Q4040" s="25" t="str">
        <f ca="1">IFERROR(__xludf.DUMMYFUNCTION("""COMPUTED_VALUE"""),"Sin defenir")</f>
        <v>Sin defenir</v>
      </c>
      <c r="R4040" s="25"/>
      <c r="S4040" s="55"/>
      <c r="T4040" s="56"/>
      <c r="U4040" s="25"/>
      <c r="V4040" s="25"/>
      <c r="W4040" s="25"/>
      <c r="X4040" s="25"/>
      <c r="Y4040" s="25"/>
      <c r="Z4040" s="25"/>
    </row>
    <row r="4041" spans="1:26" ht="52.5" customHeight="1" x14ac:dyDescent="0.25">
      <c r="A4041" s="25" t="str">
        <f ca="1">IFERROR(__xludf.DUMMYFUNCTION("""COMPUTED_VALUE"""),"Hacie139")</f>
        <v>Hacie139</v>
      </c>
      <c r="B4041" s="25"/>
      <c r="C4041" s="55"/>
      <c r="D4041" s="25" t="str">
        <f ca="1">IFERROR(__xludf.DUMMYFUNCTION("""COMPUTED_VALUE"""),"Hacienda")</f>
        <v>Hacienda</v>
      </c>
      <c r="E4041" s="25"/>
      <c r="F4041" s="25"/>
      <c r="G4041" s="25"/>
      <c r="H4041" s="25"/>
      <c r="I4041" s="25"/>
      <c r="J4041" s="55"/>
      <c r="K4041" s="25" t="str">
        <f ca="1">IFERROR(__xludf.DUMMYFUNCTION("""COMPUTED_VALUE"""),"Definir fecha")</f>
        <v>Definir fecha</v>
      </c>
      <c r="L4041" s="62"/>
      <c r="M4041" s="25"/>
      <c r="N4041" s="25"/>
      <c r="O4041" s="25">
        <f t="shared" si="0"/>
        <v>0</v>
      </c>
      <c r="P4041" s="25" t="str">
        <f t="shared" si="2"/>
        <v/>
      </c>
      <c r="Q4041" s="25" t="str">
        <f ca="1">IFERROR(__xludf.DUMMYFUNCTION("""COMPUTED_VALUE"""),"Sin defenir")</f>
        <v>Sin defenir</v>
      </c>
      <c r="R4041" s="25"/>
      <c r="S4041" s="55"/>
      <c r="T4041" s="56"/>
      <c r="U4041" s="25"/>
      <c r="V4041" s="25"/>
      <c r="W4041" s="25"/>
      <c r="X4041" s="25"/>
      <c r="Y4041" s="25"/>
      <c r="Z4041" s="25"/>
    </row>
    <row r="4042" spans="1:26" ht="52.5" customHeight="1" x14ac:dyDescent="0.25">
      <c r="A4042" s="25" t="str">
        <f ca="1">IFERROR(__xludf.DUMMYFUNCTION("""COMPUTED_VALUE"""),"Hacie140")</f>
        <v>Hacie140</v>
      </c>
      <c r="B4042" s="25"/>
      <c r="C4042" s="55"/>
      <c r="D4042" s="25" t="str">
        <f ca="1">IFERROR(__xludf.DUMMYFUNCTION("""COMPUTED_VALUE"""),"Hacienda")</f>
        <v>Hacienda</v>
      </c>
      <c r="E4042" s="25"/>
      <c r="F4042" s="25"/>
      <c r="G4042" s="25"/>
      <c r="H4042" s="25"/>
      <c r="I4042" s="25"/>
      <c r="J4042" s="55"/>
      <c r="K4042" s="25" t="str">
        <f ca="1">IFERROR(__xludf.DUMMYFUNCTION("""COMPUTED_VALUE"""),"Definir fecha")</f>
        <v>Definir fecha</v>
      </c>
      <c r="L4042" s="62"/>
      <c r="M4042" s="25"/>
      <c r="N4042" s="25"/>
      <c r="O4042" s="25">
        <f t="shared" si="0"/>
        <v>0</v>
      </c>
      <c r="P4042" s="25" t="str">
        <f t="shared" si="2"/>
        <v/>
      </c>
      <c r="Q4042" s="25" t="str">
        <f ca="1">IFERROR(__xludf.DUMMYFUNCTION("""COMPUTED_VALUE"""),"Sin defenir")</f>
        <v>Sin defenir</v>
      </c>
      <c r="R4042" s="25"/>
      <c r="S4042" s="55"/>
      <c r="T4042" s="56"/>
      <c r="U4042" s="25"/>
      <c r="V4042" s="25"/>
      <c r="W4042" s="25"/>
      <c r="X4042" s="25"/>
      <c r="Y4042" s="25"/>
      <c r="Z4042" s="25"/>
    </row>
    <row r="4043" spans="1:26" ht="52.5" customHeight="1" x14ac:dyDescent="0.25">
      <c r="A4043" s="25" t="str">
        <f ca="1">IFERROR(__xludf.DUMMYFUNCTION("""COMPUTED_VALUE"""),"Hacie141")</f>
        <v>Hacie141</v>
      </c>
      <c r="B4043" s="25"/>
      <c r="C4043" s="55"/>
      <c r="D4043" s="25" t="str">
        <f ca="1">IFERROR(__xludf.DUMMYFUNCTION("""COMPUTED_VALUE"""),"Hacienda")</f>
        <v>Hacienda</v>
      </c>
      <c r="E4043" s="25"/>
      <c r="F4043" s="25"/>
      <c r="G4043" s="25"/>
      <c r="H4043" s="25"/>
      <c r="I4043" s="25"/>
      <c r="J4043" s="55"/>
      <c r="K4043" s="25" t="str">
        <f ca="1">IFERROR(__xludf.DUMMYFUNCTION("""COMPUTED_VALUE"""),"Definir fecha")</f>
        <v>Definir fecha</v>
      </c>
      <c r="L4043" s="62"/>
      <c r="M4043" s="25"/>
      <c r="N4043" s="25"/>
      <c r="O4043" s="25">
        <f t="shared" si="0"/>
        <v>0</v>
      </c>
      <c r="P4043" s="25" t="str">
        <f t="shared" si="2"/>
        <v/>
      </c>
      <c r="Q4043" s="25" t="str">
        <f ca="1">IFERROR(__xludf.DUMMYFUNCTION("""COMPUTED_VALUE"""),"Sin defenir")</f>
        <v>Sin defenir</v>
      </c>
      <c r="R4043" s="25"/>
      <c r="S4043" s="55"/>
      <c r="T4043" s="56"/>
      <c r="U4043" s="25"/>
      <c r="V4043" s="25"/>
      <c r="W4043" s="25"/>
      <c r="X4043" s="25"/>
      <c r="Y4043" s="25"/>
      <c r="Z4043" s="25"/>
    </row>
    <row r="4044" spans="1:26" ht="52.5" customHeight="1" x14ac:dyDescent="0.25">
      <c r="A4044" s="25" t="str">
        <f ca="1">IFERROR(__xludf.DUMMYFUNCTION("""COMPUTED_VALUE"""),"Hacie142")</f>
        <v>Hacie142</v>
      </c>
      <c r="B4044" s="25"/>
      <c r="C4044" s="55"/>
      <c r="D4044" s="25" t="str">
        <f ca="1">IFERROR(__xludf.DUMMYFUNCTION("""COMPUTED_VALUE"""),"Hacienda")</f>
        <v>Hacienda</v>
      </c>
      <c r="E4044" s="25"/>
      <c r="F4044" s="25"/>
      <c r="G4044" s="25"/>
      <c r="H4044" s="25"/>
      <c r="I4044" s="25"/>
      <c r="J4044" s="55"/>
      <c r="K4044" s="25" t="str">
        <f ca="1">IFERROR(__xludf.DUMMYFUNCTION("""COMPUTED_VALUE"""),"Definir fecha")</f>
        <v>Definir fecha</v>
      </c>
      <c r="L4044" s="62"/>
      <c r="M4044" s="25"/>
      <c r="N4044" s="25"/>
      <c r="O4044" s="25">
        <f t="shared" si="0"/>
        <v>0</v>
      </c>
      <c r="P4044" s="25" t="str">
        <f t="shared" si="2"/>
        <v/>
      </c>
      <c r="Q4044" s="25" t="str">
        <f ca="1">IFERROR(__xludf.DUMMYFUNCTION("""COMPUTED_VALUE"""),"Sin defenir")</f>
        <v>Sin defenir</v>
      </c>
      <c r="R4044" s="25"/>
      <c r="S4044" s="55"/>
      <c r="T4044" s="56"/>
      <c r="U4044" s="25"/>
      <c r="V4044" s="25"/>
      <c r="W4044" s="25"/>
      <c r="X4044" s="25"/>
      <c r="Y4044" s="25"/>
      <c r="Z4044" s="25"/>
    </row>
    <row r="4045" spans="1:26" ht="52.5" customHeight="1" x14ac:dyDescent="0.25">
      <c r="A4045" s="25" t="str">
        <f ca="1">IFERROR(__xludf.DUMMYFUNCTION("""COMPUTED_VALUE"""),"Hacie143")</f>
        <v>Hacie143</v>
      </c>
      <c r="B4045" s="25"/>
      <c r="C4045" s="55"/>
      <c r="D4045" s="25" t="str">
        <f ca="1">IFERROR(__xludf.DUMMYFUNCTION("""COMPUTED_VALUE"""),"Hacienda")</f>
        <v>Hacienda</v>
      </c>
      <c r="E4045" s="25"/>
      <c r="F4045" s="25"/>
      <c r="G4045" s="25"/>
      <c r="H4045" s="25"/>
      <c r="I4045" s="25"/>
      <c r="J4045" s="55"/>
      <c r="K4045" s="25" t="str">
        <f ca="1">IFERROR(__xludf.DUMMYFUNCTION("""COMPUTED_VALUE"""),"Definir fecha")</f>
        <v>Definir fecha</v>
      </c>
      <c r="L4045" s="62"/>
      <c r="M4045" s="25"/>
      <c r="N4045" s="25"/>
      <c r="O4045" s="25">
        <f t="shared" si="0"/>
        <v>0</v>
      </c>
      <c r="P4045" s="25" t="str">
        <f t="shared" si="2"/>
        <v/>
      </c>
      <c r="Q4045" s="25" t="str">
        <f ca="1">IFERROR(__xludf.DUMMYFUNCTION("""COMPUTED_VALUE"""),"Sin defenir")</f>
        <v>Sin defenir</v>
      </c>
      <c r="R4045" s="25"/>
      <c r="S4045" s="55"/>
      <c r="T4045" s="56"/>
      <c r="U4045" s="25"/>
      <c r="V4045" s="25"/>
      <c r="W4045" s="25"/>
      <c r="X4045" s="25"/>
      <c r="Y4045" s="25"/>
      <c r="Z4045" s="25"/>
    </row>
    <row r="4046" spans="1:26" ht="52.5" customHeight="1" x14ac:dyDescent="0.25">
      <c r="A4046" s="25" t="str">
        <f ca="1">IFERROR(__xludf.DUMMYFUNCTION("""COMPUTED_VALUE"""),"Hacie144")</f>
        <v>Hacie144</v>
      </c>
      <c r="B4046" s="25"/>
      <c r="C4046" s="55"/>
      <c r="D4046" s="25" t="str">
        <f ca="1">IFERROR(__xludf.DUMMYFUNCTION("""COMPUTED_VALUE"""),"Hacienda")</f>
        <v>Hacienda</v>
      </c>
      <c r="E4046" s="25"/>
      <c r="F4046" s="25"/>
      <c r="G4046" s="25"/>
      <c r="H4046" s="25"/>
      <c r="I4046" s="25"/>
      <c r="J4046" s="55"/>
      <c r="K4046" s="25" t="str">
        <f ca="1">IFERROR(__xludf.DUMMYFUNCTION("""COMPUTED_VALUE"""),"Definir fecha")</f>
        <v>Definir fecha</v>
      </c>
      <c r="L4046" s="62"/>
      <c r="M4046" s="25"/>
      <c r="N4046" s="25"/>
      <c r="O4046" s="25">
        <f t="shared" si="0"/>
        <v>0</v>
      </c>
      <c r="P4046" s="25" t="str">
        <f t="shared" si="2"/>
        <v/>
      </c>
      <c r="Q4046" s="25" t="str">
        <f ca="1">IFERROR(__xludf.DUMMYFUNCTION("""COMPUTED_VALUE"""),"Sin defenir")</f>
        <v>Sin defenir</v>
      </c>
      <c r="R4046" s="25"/>
      <c r="S4046" s="55"/>
      <c r="T4046" s="56"/>
      <c r="U4046" s="25"/>
      <c r="V4046" s="25"/>
      <c r="W4046" s="25"/>
      <c r="X4046" s="25"/>
      <c r="Y4046" s="25"/>
      <c r="Z4046" s="25"/>
    </row>
    <row r="4047" spans="1:26" ht="52.5" customHeight="1" x14ac:dyDescent="0.25">
      <c r="A4047" s="25" t="str">
        <f ca="1">IFERROR(__xludf.DUMMYFUNCTION("""COMPUTED_VALUE"""),"Hacie145")</f>
        <v>Hacie145</v>
      </c>
      <c r="B4047" s="25"/>
      <c r="C4047" s="55"/>
      <c r="D4047" s="25" t="str">
        <f ca="1">IFERROR(__xludf.DUMMYFUNCTION("""COMPUTED_VALUE"""),"Hacienda")</f>
        <v>Hacienda</v>
      </c>
      <c r="E4047" s="25"/>
      <c r="F4047" s="25"/>
      <c r="G4047" s="25"/>
      <c r="H4047" s="25"/>
      <c r="I4047" s="25"/>
      <c r="J4047" s="55"/>
      <c r="K4047" s="25" t="str">
        <f ca="1">IFERROR(__xludf.DUMMYFUNCTION("""COMPUTED_VALUE"""),"Definir fecha")</f>
        <v>Definir fecha</v>
      </c>
      <c r="L4047" s="62"/>
      <c r="M4047" s="25"/>
      <c r="N4047" s="25"/>
      <c r="O4047" s="25">
        <f t="shared" si="0"/>
        <v>0</v>
      </c>
      <c r="P4047" s="25" t="str">
        <f t="shared" si="2"/>
        <v/>
      </c>
      <c r="Q4047" s="25" t="str">
        <f ca="1">IFERROR(__xludf.DUMMYFUNCTION("""COMPUTED_VALUE"""),"Sin defenir")</f>
        <v>Sin defenir</v>
      </c>
      <c r="R4047" s="25"/>
      <c r="S4047" s="55"/>
      <c r="T4047" s="56"/>
      <c r="U4047" s="25"/>
      <c r="V4047" s="25"/>
      <c r="W4047" s="25"/>
      <c r="X4047" s="25"/>
      <c r="Y4047" s="25"/>
      <c r="Z4047" s="25"/>
    </row>
    <row r="4048" spans="1:26" ht="52.5" customHeight="1" x14ac:dyDescent="0.25">
      <c r="A4048" s="25" t="str">
        <f ca="1">IFERROR(__xludf.DUMMYFUNCTION("""COMPUTED_VALUE"""),"Hacie146")</f>
        <v>Hacie146</v>
      </c>
      <c r="B4048" s="25"/>
      <c r="C4048" s="55"/>
      <c r="D4048" s="25" t="str">
        <f ca="1">IFERROR(__xludf.DUMMYFUNCTION("""COMPUTED_VALUE"""),"Hacienda")</f>
        <v>Hacienda</v>
      </c>
      <c r="E4048" s="25"/>
      <c r="F4048" s="25"/>
      <c r="G4048" s="25"/>
      <c r="H4048" s="25"/>
      <c r="I4048" s="25"/>
      <c r="J4048" s="55"/>
      <c r="K4048" s="25" t="str">
        <f ca="1">IFERROR(__xludf.DUMMYFUNCTION("""COMPUTED_VALUE"""),"Definir fecha")</f>
        <v>Definir fecha</v>
      </c>
      <c r="L4048" s="62"/>
      <c r="M4048" s="25"/>
      <c r="N4048" s="25"/>
      <c r="O4048" s="25">
        <f t="shared" si="0"/>
        <v>0</v>
      </c>
      <c r="P4048" s="25" t="str">
        <f t="shared" si="2"/>
        <v/>
      </c>
      <c r="Q4048" s="25" t="str">
        <f ca="1">IFERROR(__xludf.DUMMYFUNCTION("""COMPUTED_VALUE"""),"Sin defenir")</f>
        <v>Sin defenir</v>
      </c>
      <c r="R4048" s="25"/>
      <c r="S4048" s="55"/>
      <c r="T4048" s="56"/>
      <c r="U4048" s="25"/>
      <c r="V4048" s="25"/>
      <c r="W4048" s="25"/>
      <c r="X4048" s="25"/>
      <c r="Y4048" s="25"/>
      <c r="Z4048" s="25"/>
    </row>
    <row r="4049" spans="1:26" ht="52.5" customHeight="1" x14ac:dyDescent="0.25">
      <c r="A4049" s="25" t="str">
        <f ca="1">IFERROR(__xludf.DUMMYFUNCTION("""COMPUTED_VALUE"""),"Hacie147")</f>
        <v>Hacie147</v>
      </c>
      <c r="B4049" s="25"/>
      <c r="C4049" s="55"/>
      <c r="D4049" s="25" t="str">
        <f ca="1">IFERROR(__xludf.DUMMYFUNCTION("""COMPUTED_VALUE"""),"Hacienda")</f>
        <v>Hacienda</v>
      </c>
      <c r="E4049" s="25"/>
      <c r="F4049" s="25"/>
      <c r="G4049" s="25"/>
      <c r="H4049" s="25"/>
      <c r="I4049" s="25"/>
      <c r="J4049" s="55"/>
      <c r="K4049" s="25" t="str">
        <f ca="1">IFERROR(__xludf.DUMMYFUNCTION("""COMPUTED_VALUE"""),"Definir fecha")</f>
        <v>Definir fecha</v>
      </c>
      <c r="L4049" s="62"/>
      <c r="M4049" s="25"/>
      <c r="N4049" s="25"/>
      <c r="O4049" s="25">
        <f t="shared" si="0"/>
        <v>0</v>
      </c>
      <c r="P4049" s="25" t="str">
        <f t="shared" si="2"/>
        <v/>
      </c>
      <c r="Q4049" s="25" t="str">
        <f ca="1">IFERROR(__xludf.DUMMYFUNCTION("""COMPUTED_VALUE"""),"Sin defenir")</f>
        <v>Sin defenir</v>
      </c>
      <c r="R4049" s="25"/>
      <c r="S4049" s="55"/>
      <c r="T4049" s="56"/>
      <c r="U4049" s="25"/>
      <c r="V4049" s="25"/>
      <c r="W4049" s="25"/>
      <c r="X4049" s="25"/>
      <c r="Y4049" s="25"/>
      <c r="Z4049" s="25"/>
    </row>
    <row r="4050" spans="1:26" ht="52.5" customHeight="1" x14ac:dyDescent="0.25">
      <c r="A4050" s="25" t="str">
        <f ca="1">IFERROR(__xludf.DUMMYFUNCTION("""COMPUTED_VALUE"""),"Hacie148")</f>
        <v>Hacie148</v>
      </c>
      <c r="B4050" s="25"/>
      <c r="C4050" s="55"/>
      <c r="D4050" s="25" t="str">
        <f ca="1">IFERROR(__xludf.DUMMYFUNCTION("""COMPUTED_VALUE"""),"Hacienda")</f>
        <v>Hacienda</v>
      </c>
      <c r="E4050" s="25"/>
      <c r="F4050" s="25"/>
      <c r="G4050" s="25"/>
      <c r="H4050" s="25"/>
      <c r="I4050" s="25"/>
      <c r="J4050" s="55"/>
      <c r="K4050" s="25" t="str">
        <f ca="1">IFERROR(__xludf.DUMMYFUNCTION("""COMPUTED_VALUE"""),"Definir fecha")</f>
        <v>Definir fecha</v>
      </c>
      <c r="L4050" s="62"/>
      <c r="M4050" s="25"/>
      <c r="N4050" s="25"/>
      <c r="O4050" s="25">
        <f t="shared" si="0"/>
        <v>0</v>
      </c>
      <c r="P4050" s="25" t="str">
        <f t="shared" si="2"/>
        <v/>
      </c>
      <c r="Q4050" s="25" t="str">
        <f ca="1">IFERROR(__xludf.DUMMYFUNCTION("""COMPUTED_VALUE"""),"Sin defenir")</f>
        <v>Sin defenir</v>
      </c>
      <c r="R4050" s="25"/>
      <c r="S4050" s="55"/>
      <c r="T4050" s="56"/>
      <c r="U4050" s="25"/>
      <c r="V4050" s="25"/>
      <c r="W4050" s="25"/>
      <c r="X4050" s="25"/>
      <c r="Y4050" s="25"/>
      <c r="Z4050" s="25"/>
    </row>
    <row r="4051" spans="1:26" ht="52.5" customHeight="1" x14ac:dyDescent="0.25">
      <c r="A4051" s="25" t="str">
        <f ca="1">IFERROR(__xludf.DUMMYFUNCTION("""COMPUTED_VALUE"""),"Hacie149")</f>
        <v>Hacie149</v>
      </c>
      <c r="B4051" s="25"/>
      <c r="C4051" s="55"/>
      <c r="D4051" s="25" t="str">
        <f ca="1">IFERROR(__xludf.DUMMYFUNCTION("""COMPUTED_VALUE"""),"Hacienda")</f>
        <v>Hacienda</v>
      </c>
      <c r="E4051" s="25"/>
      <c r="F4051" s="25"/>
      <c r="G4051" s="25"/>
      <c r="H4051" s="25"/>
      <c r="I4051" s="25"/>
      <c r="J4051" s="55"/>
      <c r="K4051" s="25" t="str">
        <f ca="1">IFERROR(__xludf.DUMMYFUNCTION("""COMPUTED_VALUE"""),"Definir fecha")</f>
        <v>Definir fecha</v>
      </c>
      <c r="L4051" s="62"/>
      <c r="M4051" s="25"/>
      <c r="N4051" s="25"/>
      <c r="O4051" s="25">
        <f t="shared" si="0"/>
        <v>0</v>
      </c>
      <c r="P4051" s="25" t="str">
        <f t="shared" si="2"/>
        <v/>
      </c>
      <c r="Q4051" s="25" t="str">
        <f ca="1">IFERROR(__xludf.DUMMYFUNCTION("""COMPUTED_VALUE"""),"Sin defenir")</f>
        <v>Sin defenir</v>
      </c>
      <c r="R4051" s="25"/>
      <c r="S4051" s="55"/>
      <c r="T4051" s="56"/>
      <c r="U4051" s="25"/>
      <c r="V4051" s="25"/>
      <c r="W4051" s="25"/>
      <c r="X4051" s="25"/>
      <c r="Y4051" s="25"/>
      <c r="Z4051" s="25"/>
    </row>
    <row r="4052" spans="1:26" ht="52.5" customHeight="1" x14ac:dyDescent="0.25">
      <c r="A4052" s="25" t="str">
        <f ca="1">IFERROR(__xludf.DUMMYFUNCTION("""COMPUTED_VALUE"""),"Hacie150")</f>
        <v>Hacie150</v>
      </c>
      <c r="B4052" s="25"/>
      <c r="C4052" s="55"/>
      <c r="D4052" s="25" t="str">
        <f ca="1">IFERROR(__xludf.DUMMYFUNCTION("""COMPUTED_VALUE"""),"Hacienda")</f>
        <v>Hacienda</v>
      </c>
      <c r="E4052" s="25"/>
      <c r="F4052" s="25"/>
      <c r="G4052" s="25"/>
      <c r="H4052" s="25"/>
      <c r="I4052" s="25"/>
      <c r="J4052" s="55"/>
      <c r="K4052" s="25" t="str">
        <f ca="1">IFERROR(__xludf.DUMMYFUNCTION("""COMPUTED_VALUE"""),"Definir fecha")</f>
        <v>Definir fecha</v>
      </c>
      <c r="L4052" s="62"/>
      <c r="M4052" s="25"/>
      <c r="N4052" s="25"/>
      <c r="O4052" s="25">
        <f t="shared" si="0"/>
        <v>0</v>
      </c>
      <c r="P4052" s="25" t="str">
        <f t="shared" si="2"/>
        <v/>
      </c>
      <c r="Q4052" s="25" t="str">
        <f ca="1">IFERROR(__xludf.DUMMYFUNCTION("""COMPUTED_VALUE"""),"Sin defenir")</f>
        <v>Sin defenir</v>
      </c>
      <c r="R4052" s="25"/>
      <c r="S4052" s="55"/>
      <c r="T4052" s="56"/>
      <c r="U4052" s="25"/>
      <c r="V4052" s="25"/>
      <c r="W4052" s="25"/>
      <c r="X4052" s="25"/>
      <c r="Y4052" s="25"/>
      <c r="Z4052" s="25"/>
    </row>
    <row r="4053" spans="1:26" ht="52.5" customHeight="1" x14ac:dyDescent="0.25">
      <c r="A4053" s="25" t="str">
        <f ca="1">IFERROR(__xludf.DUMMYFUNCTION("""COMPUTED_VALUE"""),"Hacie151")</f>
        <v>Hacie151</v>
      </c>
      <c r="B4053" s="25"/>
      <c r="C4053" s="55"/>
      <c r="D4053" s="25" t="str">
        <f ca="1">IFERROR(__xludf.DUMMYFUNCTION("""COMPUTED_VALUE"""),"Hacienda")</f>
        <v>Hacienda</v>
      </c>
      <c r="E4053" s="25"/>
      <c r="F4053" s="25"/>
      <c r="G4053" s="25"/>
      <c r="H4053" s="25"/>
      <c r="I4053" s="25"/>
      <c r="J4053" s="55"/>
      <c r="K4053" s="25" t="str">
        <f ca="1">IFERROR(__xludf.DUMMYFUNCTION("""COMPUTED_VALUE"""),"Definir fecha")</f>
        <v>Definir fecha</v>
      </c>
      <c r="L4053" s="62"/>
      <c r="M4053" s="25"/>
      <c r="N4053" s="25"/>
      <c r="O4053" s="25">
        <f t="shared" si="0"/>
        <v>0</v>
      </c>
      <c r="P4053" s="25" t="str">
        <f t="shared" si="2"/>
        <v/>
      </c>
      <c r="Q4053" s="25" t="str">
        <f ca="1">IFERROR(__xludf.DUMMYFUNCTION("""COMPUTED_VALUE"""),"Sin defenir")</f>
        <v>Sin defenir</v>
      </c>
      <c r="R4053" s="25"/>
      <c r="S4053" s="55"/>
      <c r="T4053" s="56"/>
      <c r="U4053" s="25"/>
      <c r="V4053" s="25"/>
      <c r="W4053" s="25"/>
      <c r="X4053" s="25"/>
      <c r="Y4053" s="25"/>
      <c r="Z4053" s="25"/>
    </row>
    <row r="4054" spans="1:26" ht="52.5" customHeight="1" x14ac:dyDescent="0.25">
      <c r="A4054" s="25" t="str">
        <f ca="1">IFERROR(__xludf.DUMMYFUNCTION("""COMPUTED_VALUE"""),"Hacie152")</f>
        <v>Hacie152</v>
      </c>
      <c r="B4054" s="25"/>
      <c r="C4054" s="55"/>
      <c r="D4054" s="25" t="str">
        <f ca="1">IFERROR(__xludf.DUMMYFUNCTION("""COMPUTED_VALUE"""),"Hacienda")</f>
        <v>Hacienda</v>
      </c>
      <c r="E4054" s="25"/>
      <c r="F4054" s="25"/>
      <c r="G4054" s="25"/>
      <c r="H4054" s="25"/>
      <c r="I4054" s="25"/>
      <c r="J4054" s="55"/>
      <c r="K4054" s="25" t="str">
        <f ca="1">IFERROR(__xludf.DUMMYFUNCTION("""COMPUTED_VALUE"""),"Definir fecha")</f>
        <v>Definir fecha</v>
      </c>
      <c r="L4054" s="62"/>
      <c r="M4054" s="25"/>
      <c r="N4054" s="25"/>
      <c r="O4054" s="25">
        <f t="shared" si="0"/>
        <v>0</v>
      </c>
      <c r="P4054" s="25" t="str">
        <f t="shared" si="2"/>
        <v/>
      </c>
      <c r="Q4054" s="25" t="str">
        <f ca="1">IFERROR(__xludf.DUMMYFUNCTION("""COMPUTED_VALUE"""),"Sin defenir")</f>
        <v>Sin defenir</v>
      </c>
      <c r="R4054" s="25"/>
      <c r="S4054" s="55"/>
      <c r="T4054" s="56"/>
      <c r="U4054" s="25"/>
      <c r="V4054" s="25"/>
      <c r="W4054" s="25"/>
      <c r="X4054" s="25"/>
      <c r="Y4054" s="25"/>
      <c r="Z4054" s="25"/>
    </row>
    <row r="4055" spans="1:26" ht="52.5" customHeight="1" x14ac:dyDescent="0.25">
      <c r="A4055" s="25" t="str">
        <f ca="1">IFERROR(__xludf.DUMMYFUNCTION("""COMPUTED_VALUE"""),"Hacie153")</f>
        <v>Hacie153</v>
      </c>
      <c r="B4055" s="25"/>
      <c r="C4055" s="55"/>
      <c r="D4055" s="25" t="str">
        <f ca="1">IFERROR(__xludf.DUMMYFUNCTION("""COMPUTED_VALUE"""),"Hacienda")</f>
        <v>Hacienda</v>
      </c>
      <c r="E4055" s="25"/>
      <c r="F4055" s="25"/>
      <c r="G4055" s="25"/>
      <c r="H4055" s="25"/>
      <c r="I4055" s="25"/>
      <c r="J4055" s="55"/>
      <c r="K4055" s="25" t="str">
        <f ca="1">IFERROR(__xludf.DUMMYFUNCTION("""COMPUTED_VALUE"""),"Definir fecha")</f>
        <v>Definir fecha</v>
      </c>
      <c r="L4055" s="62"/>
      <c r="M4055" s="25"/>
      <c r="N4055" s="25"/>
      <c r="O4055" s="25">
        <f t="shared" si="0"/>
        <v>0</v>
      </c>
      <c r="P4055" s="25" t="str">
        <f t="shared" si="2"/>
        <v/>
      </c>
      <c r="Q4055" s="25" t="str">
        <f ca="1">IFERROR(__xludf.DUMMYFUNCTION("""COMPUTED_VALUE"""),"Sin defenir")</f>
        <v>Sin defenir</v>
      </c>
      <c r="R4055" s="25"/>
      <c r="S4055" s="55"/>
      <c r="T4055" s="56"/>
      <c r="U4055" s="25"/>
      <c r="V4055" s="25"/>
      <c r="W4055" s="25"/>
      <c r="X4055" s="25"/>
      <c r="Y4055" s="25"/>
      <c r="Z4055" s="25"/>
    </row>
    <row r="4056" spans="1:26" ht="52.5" customHeight="1" x14ac:dyDescent="0.25">
      <c r="A4056" s="25" t="str">
        <f ca="1">IFERROR(__xludf.DUMMYFUNCTION("""COMPUTED_VALUE"""),"Hacie154")</f>
        <v>Hacie154</v>
      </c>
      <c r="B4056" s="25"/>
      <c r="C4056" s="55"/>
      <c r="D4056" s="25" t="str">
        <f ca="1">IFERROR(__xludf.DUMMYFUNCTION("""COMPUTED_VALUE"""),"Hacienda")</f>
        <v>Hacienda</v>
      </c>
      <c r="E4056" s="25"/>
      <c r="F4056" s="25"/>
      <c r="G4056" s="25"/>
      <c r="H4056" s="25"/>
      <c r="I4056" s="25"/>
      <c r="J4056" s="55"/>
      <c r="K4056" s="25" t="str">
        <f ca="1">IFERROR(__xludf.DUMMYFUNCTION("""COMPUTED_VALUE"""),"Definir fecha")</f>
        <v>Definir fecha</v>
      </c>
      <c r="L4056" s="62"/>
      <c r="M4056" s="25"/>
      <c r="N4056" s="25"/>
      <c r="O4056" s="25">
        <f t="shared" si="0"/>
        <v>0</v>
      </c>
      <c r="P4056" s="25" t="str">
        <f t="shared" si="2"/>
        <v/>
      </c>
      <c r="Q4056" s="25" t="str">
        <f ca="1">IFERROR(__xludf.DUMMYFUNCTION("""COMPUTED_VALUE"""),"Sin defenir")</f>
        <v>Sin defenir</v>
      </c>
      <c r="R4056" s="25"/>
      <c r="S4056" s="55"/>
      <c r="T4056" s="56"/>
      <c r="U4056" s="25"/>
      <c r="V4056" s="25"/>
      <c r="W4056" s="25"/>
      <c r="X4056" s="25"/>
      <c r="Y4056" s="25"/>
      <c r="Z4056" s="25"/>
    </row>
    <row r="4057" spans="1:26" ht="52.5" customHeight="1" x14ac:dyDescent="0.25">
      <c r="A4057" s="25" t="str">
        <f ca="1">IFERROR(__xludf.DUMMYFUNCTION("""COMPUTED_VALUE"""),"Hacie155")</f>
        <v>Hacie155</v>
      </c>
      <c r="B4057" s="25"/>
      <c r="C4057" s="55"/>
      <c r="D4057" s="25" t="str">
        <f ca="1">IFERROR(__xludf.DUMMYFUNCTION("""COMPUTED_VALUE"""),"Hacienda")</f>
        <v>Hacienda</v>
      </c>
      <c r="E4057" s="25"/>
      <c r="F4057" s="25"/>
      <c r="G4057" s="25"/>
      <c r="H4057" s="25"/>
      <c r="I4057" s="25"/>
      <c r="J4057" s="55"/>
      <c r="K4057" s="25" t="str">
        <f ca="1">IFERROR(__xludf.DUMMYFUNCTION("""COMPUTED_VALUE"""),"Definir fecha")</f>
        <v>Definir fecha</v>
      </c>
      <c r="L4057" s="62"/>
      <c r="M4057" s="25"/>
      <c r="N4057" s="25"/>
      <c r="O4057" s="25">
        <f t="shared" si="0"/>
        <v>0</v>
      </c>
      <c r="P4057" s="25" t="str">
        <f t="shared" si="2"/>
        <v/>
      </c>
      <c r="Q4057" s="25" t="str">
        <f ca="1">IFERROR(__xludf.DUMMYFUNCTION("""COMPUTED_VALUE"""),"Sin defenir")</f>
        <v>Sin defenir</v>
      </c>
      <c r="R4057" s="25"/>
      <c r="S4057" s="55"/>
      <c r="T4057" s="56"/>
      <c r="U4057" s="25"/>
      <c r="V4057" s="25"/>
      <c r="W4057" s="25"/>
      <c r="X4057" s="25"/>
      <c r="Y4057" s="25"/>
      <c r="Z4057" s="25"/>
    </row>
    <row r="4058" spans="1:26" ht="52.5" customHeight="1" x14ac:dyDescent="0.25">
      <c r="A4058" s="25" t="str">
        <f ca="1">IFERROR(__xludf.DUMMYFUNCTION("""COMPUTED_VALUE"""),"Hacie156")</f>
        <v>Hacie156</v>
      </c>
      <c r="B4058" s="25"/>
      <c r="C4058" s="55"/>
      <c r="D4058" s="25" t="str">
        <f ca="1">IFERROR(__xludf.DUMMYFUNCTION("""COMPUTED_VALUE"""),"Hacienda")</f>
        <v>Hacienda</v>
      </c>
      <c r="E4058" s="25"/>
      <c r="F4058" s="25"/>
      <c r="G4058" s="25"/>
      <c r="H4058" s="25"/>
      <c r="I4058" s="25"/>
      <c r="J4058" s="55"/>
      <c r="K4058" s="25" t="str">
        <f ca="1">IFERROR(__xludf.DUMMYFUNCTION("""COMPUTED_VALUE"""),"Definir fecha")</f>
        <v>Definir fecha</v>
      </c>
      <c r="L4058" s="62"/>
      <c r="M4058" s="25"/>
      <c r="N4058" s="25"/>
      <c r="O4058" s="25">
        <f t="shared" si="0"/>
        <v>0</v>
      </c>
      <c r="P4058" s="25" t="str">
        <f t="shared" si="2"/>
        <v/>
      </c>
      <c r="Q4058" s="25" t="str">
        <f ca="1">IFERROR(__xludf.DUMMYFUNCTION("""COMPUTED_VALUE"""),"Sin defenir")</f>
        <v>Sin defenir</v>
      </c>
      <c r="R4058" s="25"/>
      <c r="S4058" s="55"/>
      <c r="T4058" s="56"/>
      <c r="U4058" s="25"/>
      <c r="V4058" s="25"/>
      <c r="W4058" s="25"/>
      <c r="X4058" s="25"/>
      <c r="Y4058" s="25"/>
      <c r="Z4058" s="25"/>
    </row>
    <row r="4059" spans="1:26" ht="52.5" customHeight="1" x14ac:dyDescent="0.25">
      <c r="A4059" s="25" t="str">
        <f ca="1">IFERROR(__xludf.DUMMYFUNCTION("""COMPUTED_VALUE"""),"Hacie157")</f>
        <v>Hacie157</v>
      </c>
      <c r="B4059" s="25"/>
      <c r="C4059" s="55"/>
      <c r="D4059" s="25" t="str">
        <f ca="1">IFERROR(__xludf.DUMMYFUNCTION("""COMPUTED_VALUE"""),"Hacienda")</f>
        <v>Hacienda</v>
      </c>
      <c r="E4059" s="25"/>
      <c r="F4059" s="25"/>
      <c r="G4059" s="25"/>
      <c r="H4059" s="25"/>
      <c r="I4059" s="25"/>
      <c r="J4059" s="55"/>
      <c r="K4059" s="25" t="str">
        <f ca="1">IFERROR(__xludf.DUMMYFUNCTION("""COMPUTED_VALUE"""),"Definir fecha")</f>
        <v>Definir fecha</v>
      </c>
      <c r="L4059" s="62"/>
      <c r="M4059" s="25"/>
      <c r="N4059" s="25"/>
      <c r="O4059" s="25">
        <f t="shared" si="0"/>
        <v>0</v>
      </c>
      <c r="P4059" s="25" t="str">
        <f t="shared" si="2"/>
        <v/>
      </c>
      <c r="Q4059" s="25" t="str">
        <f ca="1">IFERROR(__xludf.DUMMYFUNCTION("""COMPUTED_VALUE"""),"Sin defenir")</f>
        <v>Sin defenir</v>
      </c>
      <c r="R4059" s="25"/>
      <c r="S4059" s="55"/>
      <c r="T4059" s="56"/>
      <c r="U4059" s="25"/>
      <c r="V4059" s="25"/>
      <c r="W4059" s="25"/>
      <c r="X4059" s="25"/>
      <c r="Y4059" s="25"/>
      <c r="Z4059" s="25"/>
    </row>
    <row r="4060" spans="1:26" ht="52.5" customHeight="1" x14ac:dyDescent="0.25">
      <c r="A4060" s="25" t="str">
        <f ca="1">IFERROR(__xludf.DUMMYFUNCTION("""COMPUTED_VALUE"""),"Hacie158")</f>
        <v>Hacie158</v>
      </c>
      <c r="B4060" s="25"/>
      <c r="C4060" s="55"/>
      <c r="D4060" s="25" t="str">
        <f ca="1">IFERROR(__xludf.DUMMYFUNCTION("""COMPUTED_VALUE"""),"Hacienda")</f>
        <v>Hacienda</v>
      </c>
      <c r="E4060" s="25"/>
      <c r="F4060" s="25"/>
      <c r="G4060" s="25"/>
      <c r="H4060" s="25"/>
      <c r="I4060" s="25"/>
      <c r="J4060" s="55"/>
      <c r="K4060" s="25" t="str">
        <f ca="1">IFERROR(__xludf.DUMMYFUNCTION("""COMPUTED_VALUE"""),"Definir fecha")</f>
        <v>Definir fecha</v>
      </c>
      <c r="L4060" s="62"/>
      <c r="M4060" s="25"/>
      <c r="N4060" s="25"/>
      <c r="O4060" s="25">
        <f t="shared" si="0"/>
        <v>0</v>
      </c>
      <c r="P4060" s="25" t="str">
        <f t="shared" si="2"/>
        <v/>
      </c>
      <c r="Q4060" s="25" t="str">
        <f ca="1">IFERROR(__xludf.DUMMYFUNCTION("""COMPUTED_VALUE"""),"Sin defenir")</f>
        <v>Sin defenir</v>
      </c>
      <c r="R4060" s="25"/>
      <c r="S4060" s="55"/>
      <c r="T4060" s="56"/>
      <c r="U4060" s="25"/>
      <c r="V4060" s="25"/>
      <c r="W4060" s="25"/>
      <c r="X4060" s="25"/>
      <c r="Y4060" s="25"/>
      <c r="Z4060" s="25"/>
    </row>
    <row r="4061" spans="1:26" ht="52.5" customHeight="1" x14ac:dyDescent="0.25">
      <c r="A4061" s="25" t="str">
        <f ca="1">IFERROR(__xludf.DUMMYFUNCTION("""COMPUTED_VALUE"""),"Hacie159")</f>
        <v>Hacie159</v>
      </c>
      <c r="B4061" s="25"/>
      <c r="C4061" s="55"/>
      <c r="D4061" s="25" t="str">
        <f ca="1">IFERROR(__xludf.DUMMYFUNCTION("""COMPUTED_VALUE"""),"Hacienda")</f>
        <v>Hacienda</v>
      </c>
      <c r="E4061" s="25"/>
      <c r="F4061" s="25"/>
      <c r="G4061" s="25"/>
      <c r="H4061" s="25"/>
      <c r="I4061" s="25"/>
      <c r="J4061" s="55"/>
      <c r="K4061" s="25" t="str">
        <f ca="1">IFERROR(__xludf.DUMMYFUNCTION("""COMPUTED_VALUE"""),"Definir fecha")</f>
        <v>Definir fecha</v>
      </c>
      <c r="L4061" s="62"/>
      <c r="M4061" s="25"/>
      <c r="N4061" s="25"/>
      <c r="O4061" s="25">
        <f t="shared" si="0"/>
        <v>0</v>
      </c>
      <c r="P4061" s="25" t="str">
        <f t="shared" si="2"/>
        <v/>
      </c>
      <c r="Q4061" s="25" t="str">
        <f ca="1">IFERROR(__xludf.DUMMYFUNCTION("""COMPUTED_VALUE"""),"Sin defenir")</f>
        <v>Sin defenir</v>
      </c>
      <c r="R4061" s="25"/>
      <c r="S4061" s="55"/>
      <c r="T4061" s="56"/>
      <c r="U4061" s="25"/>
      <c r="V4061" s="25"/>
      <c r="W4061" s="25"/>
      <c r="X4061" s="25"/>
      <c r="Y4061" s="25"/>
      <c r="Z4061" s="25"/>
    </row>
    <row r="4062" spans="1:26" ht="52.5" customHeight="1" x14ac:dyDescent="0.25">
      <c r="A4062" s="25" t="str">
        <f ca="1">IFERROR(__xludf.DUMMYFUNCTION("""COMPUTED_VALUE"""),"Hacie160")</f>
        <v>Hacie160</v>
      </c>
      <c r="B4062" s="25"/>
      <c r="C4062" s="55"/>
      <c r="D4062" s="25" t="str">
        <f ca="1">IFERROR(__xludf.DUMMYFUNCTION("""COMPUTED_VALUE"""),"Hacienda")</f>
        <v>Hacienda</v>
      </c>
      <c r="E4062" s="25"/>
      <c r="F4062" s="25"/>
      <c r="G4062" s="25"/>
      <c r="H4062" s="25"/>
      <c r="I4062" s="25"/>
      <c r="J4062" s="55"/>
      <c r="K4062" s="25" t="str">
        <f ca="1">IFERROR(__xludf.DUMMYFUNCTION("""COMPUTED_VALUE"""),"Definir fecha")</f>
        <v>Definir fecha</v>
      </c>
      <c r="L4062" s="62"/>
      <c r="M4062" s="25"/>
      <c r="N4062" s="25"/>
      <c r="O4062" s="25">
        <f t="shared" si="0"/>
        <v>0</v>
      </c>
      <c r="P4062" s="25" t="str">
        <f t="shared" si="2"/>
        <v/>
      </c>
      <c r="Q4062" s="25" t="str">
        <f ca="1">IFERROR(__xludf.DUMMYFUNCTION("""COMPUTED_VALUE"""),"Sin defenir")</f>
        <v>Sin defenir</v>
      </c>
      <c r="R4062" s="25"/>
      <c r="S4062" s="55"/>
      <c r="T4062" s="56"/>
      <c r="U4062" s="25"/>
      <c r="V4062" s="25"/>
      <c r="W4062" s="25"/>
      <c r="X4062" s="25"/>
      <c r="Y4062" s="25"/>
      <c r="Z4062" s="25"/>
    </row>
    <row r="4063" spans="1:26" ht="52.5" customHeight="1" x14ac:dyDescent="0.25">
      <c r="A4063" s="25" t="str">
        <f ca="1">IFERROR(__xludf.DUMMYFUNCTION("""COMPUTED_VALUE"""),"Hacie161")</f>
        <v>Hacie161</v>
      </c>
      <c r="B4063" s="25"/>
      <c r="C4063" s="55"/>
      <c r="D4063" s="25" t="str">
        <f ca="1">IFERROR(__xludf.DUMMYFUNCTION("""COMPUTED_VALUE"""),"Hacienda")</f>
        <v>Hacienda</v>
      </c>
      <c r="E4063" s="25"/>
      <c r="F4063" s="25"/>
      <c r="G4063" s="25"/>
      <c r="H4063" s="25"/>
      <c r="I4063" s="25"/>
      <c r="J4063" s="55"/>
      <c r="K4063" s="25" t="str">
        <f ca="1">IFERROR(__xludf.DUMMYFUNCTION("""COMPUTED_VALUE"""),"Definir fecha")</f>
        <v>Definir fecha</v>
      </c>
      <c r="L4063" s="62"/>
      <c r="M4063" s="25"/>
      <c r="N4063" s="25"/>
      <c r="O4063" s="25">
        <f t="shared" si="0"/>
        <v>0</v>
      </c>
      <c r="P4063" s="25" t="str">
        <f t="shared" si="2"/>
        <v/>
      </c>
      <c r="Q4063" s="25" t="str">
        <f ca="1">IFERROR(__xludf.DUMMYFUNCTION("""COMPUTED_VALUE"""),"Sin defenir")</f>
        <v>Sin defenir</v>
      </c>
      <c r="R4063" s="25"/>
      <c r="S4063" s="55"/>
      <c r="T4063" s="56"/>
      <c r="U4063" s="25"/>
      <c r="V4063" s="25"/>
      <c r="W4063" s="25"/>
      <c r="X4063" s="25"/>
      <c r="Y4063" s="25"/>
      <c r="Z4063" s="25"/>
    </row>
    <row r="4064" spans="1:26" ht="52.5" customHeight="1" x14ac:dyDescent="0.25">
      <c r="A4064" s="25" t="str">
        <f ca="1">IFERROR(__xludf.DUMMYFUNCTION("""COMPUTED_VALUE"""),"Hacie162")</f>
        <v>Hacie162</v>
      </c>
      <c r="B4064" s="25"/>
      <c r="C4064" s="55"/>
      <c r="D4064" s="25" t="str">
        <f ca="1">IFERROR(__xludf.DUMMYFUNCTION("""COMPUTED_VALUE"""),"Hacienda")</f>
        <v>Hacienda</v>
      </c>
      <c r="E4064" s="25"/>
      <c r="F4064" s="25"/>
      <c r="G4064" s="25"/>
      <c r="H4064" s="25"/>
      <c r="I4064" s="25"/>
      <c r="J4064" s="55"/>
      <c r="K4064" s="25" t="str">
        <f ca="1">IFERROR(__xludf.DUMMYFUNCTION("""COMPUTED_VALUE"""),"Definir fecha")</f>
        <v>Definir fecha</v>
      </c>
      <c r="L4064" s="62"/>
      <c r="M4064" s="25"/>
      <c r="N4064" s="25"/>
      <c r="O4064" s="25">
        <f t="shared" si="0"/>
        <v>0</v>
      </c>
      <c r="P4064" s="25" t="str">
        <f t="shared" si="2"/>
        <v/>
      </c>
      <c r="Q4064" s="25" t="str">
        <f ca="1">IFERROR(__xludf.DUMMYFUNCTION("""COMPUTED_VALUE"""),"Sin defenir")</f>
        <v>Sin defenir</v>
      </c>
      <c r="R4064" s="25"/>
      <c r="S4064" s="55"/>
      <c r="T4064" s="56"/>
      <c r="U4064" s="25"/>
      <c r="V4064" s="25"/>
      <c r="W4064" s="25"/>
      <c r="X4064" s="25"/>
      <c r="Y4064" s="25"/>
      <c r="Z4064" s="25"/>
    </row>
    <row r="4065" spans="1:26" ht="52.5" customHeight="1" x14ac:dyDescent="0.25">
      <c r="A4065" s="25" t="str">
        <f ca="1">IFERROR(__xludf.DUMMYFUNCTION("""COMPUTED_VALUE"""),"Hacie163")</f>
        <v>Hacie163</v>
      </c>
      <c r="B4065" s="25"/>
      <c r="C4065" s="55"/>
      <c r="D4065" s="25" t="str">
        <f ca="1">IFERROR(__xludf.DUMMYFUNCTION("""COMPUTED_VALUE"""),"Hacienda")</f>
        <v>Hacienda</v>
      </c>
      <c r="E4065" s="25"/>
      <c r="F4065" s="25"/>
      <c r="G4065" s="25"/>
      <c r="H4065" s="25"/>
      <c r="I4065" s="25"/>
      <c r="J4065" s="55"/>
      <c r="K4065" s="25" t="str">
        <f ca="1">IFERROR(__xludf.DUMMYFUNCTION("""COMPUTED_VALUE"""),"Definir fecha")</f>
        <v>Definir fecha</v>
      </c>
      <c r="L4065" s="62"/>
      <c r="M4065" s="25"/>
      <c r="N4065" s="25"/>
      <c r="O4065" s="25">
        <f t="shared" si="0"/>
        <v>0</v>
      </c>
      <c r="P4065" s="25" t="str">
        <f t="shared" si="2"/>
        <v/>
      </c>
      <c r="Q4065" s="25" t="str">
        <f ca="1">IFERROR(__xludf.DUMMYFUNCTION("""COMPUTED_VALUE"""),"Sin defenir")</f>
        <v>Sin defenir</v>
      </c>
      <c r="R4065" s="25"/>
      <c r="S4065" s="55"/>
      <c r="T4065" s="56"/>
      <c r="U4065" s="25"/>
      <c r="V4065" s="25"/>
      <c r="W4065" s="25"/>
      <c r="X4065" s="25"/>
      <c r="Y4065" s="25"/>
      <c r="Z4065" s="25"/>
    </row>
    <row r="4066" spans="1:26" ht="52.5" customHeight="1" x14ac:dyDescent="0.25">
      <c r="A4066" s="25" t="str">
        <f ca="1">IFERROR(__xludf.DUMMYFUNCTION("""COMPUTED_VALUE"""),"Hacie164")</f>
        <v>Hacie164</v>
      </c>
      <c r="B4066" s="25"/>
      <c r="C4066" s="55"/>
      <c r="D4066" s="25" t="str">
        <f ca="1">IFERROR(__xludf.DUMMYFUNCTION("""COMPUTED_VALUE"""),"Hacienda")</f>
        <v>Hacienda</v>
      </c>
      <c r="E4066" s="25"/>
      <c r="F4066" s="25"/>
      <c r="G4066" s="25"/>
      <c r="H4066" s="25"/>
      <c r="I4066" s="25"/>
      <c r="J4066" s="55"/>
      <c r="K4066" s="25" t="str">
        <f ca="1">IFERROR(__xludf.DUMMYFUNCTION("""COMPUTED_VALUE"""),"Definir fecha")</f>
        <v>Definir fecha</v>
      </c>
      <c r="L4066" s="62"/>
      <c r="M4066" s="25"/>
      <c r="N4066" s="25"/>
      <c r="O4066" s="25">
        <f t="shared" si="0"/>
        <v>0</v>
      </c>
      <c r="P4066" s="25" t="str">
        <f t="shared" si="2"/>
        <v/>
      </c>
      <c r="Q4066" s="25" t="str">
        <f ca="1">IFERROR(__xludf.DUMMYFUNCTION("""COMPUTED_VALUE"""),"Sin defenir")</f>
        <v>Sin defenir</v>
      </c>
      <c r="R4066" s="25"/>
      <c r="S4066" s="55"/>
      <c r="T4066" s="56"/>
      <c r="U4066" s="25"/>
      <c r="V4066" s="25"/>
      <c r="W4066" s="25"/>
      <c r="X4066" s="25"/>
      <c r="Y4066" s="25"/>
      <c r="Z4066" s="25"/>
    </row>
    <row r="4067" spans="1:26" ht="52.5" customHeight="1" x14ac:dyDescent="0.25">
      <c r="A4067" s="25" t="str">
        <f ca="1">IFERROR(__xludf.DUMMYFUNCTION("""COMPUTED_VALUE"""),"Hacie165")</f>
        <v>Hacie165</v>
      </c>
      <c r="B4067" s="25"/>
      <c r="C4067" s="55"/>
      <c r="D4067" s="25" t="str">
        <f ca="1">IFERROR(__xludf.DUMMYFUNCTION("""COMPUTED_VALUE"""),"Hacienda")</f>
        <v>Hacienda</v>
      </c>
      <c r="E4067" s="25"/>
      <c r="F4067" s="25"/>
      <c r="G4067" s="25"/>
      <c r="H4067" s="25"/>
      <c r="I4067" s="25"/>
      <c r="J4067" s="55"/>
      <c r="K4067" s="25" t="str">
        <f ca="1">IFERROR(__xludf.DUMMYFUNCTION("""COMPUTED_VALUE"""),"Definir fecha")</f>
        <v>Definir fecha</v>
      </c>
      <c r="L4067" s="62"/>
      <c r="M4067" s="25"/>
      <c r="N4067" s="25"/>
      <c r="O4067" s="25">
        <f t="shared" si="0"/>
        <v>0</v>
      </c>
      <c r="P4067" s="25" t="str">
        <f t="shared" si="2"/>
        <v/>
      </c>
      <c r="Q4067" s="25" t="str">
        <f ca="1">IFERROR(__xludf.DUMMYFUNCTION("""COMPUTED_VALUE"""),"Sin defenir")</f>
        <v>Sin defenir</v>
      </c>
      <c r="R4067" s="25"/>
      <c r="S4067" s="55"/>
      <c r="T4067" s="56"/>
      <c r="U4067" s="25"/>
      <c r="V4067" s="25"/>
      <c r="W4067" s="25"/>
      <c r="X4067" s="25"/>
      <c r="Y4067" s="25"/>
      <c r="Z4067" s="25"/>
    </row>
    <row r="4068" spans="1:26" ht="52.5" customHeight="1" x14ac:dyDescent="0.25">
      <c r="A4068" s="25" t="str">
        <f ca="1">IFERROR(__xludf.DUMMYFUNCTION("""COMPUTED_VALUE"""),"Hacie166")</f>
        <v>Hacie166</v>
      </c>
      <c r="B4068" s="25"/>
      <c r="C4068" s="55"/>
      <c r="D4068" s="25" t="str">
        <f ca="1">IFERROR(__xludf.DUMMYFUNCTION("""COMPUTED_VALUE"""),"Hacienda")</f>
        <v>Hacienda</v>
      </c>
      <c r="E4068" s="25"/>
      <c r="F4068" s="25"/>
      <c r="G4068" s="25"/>
      <c r="H4068" s="25"/>
      <c r="I4068" s="25"/>
      <c r="J4068" s="55"/>
      <c r="K4068" s="25" t="str">
        <f ca="1">IFERROR(__xludf.DUMMYFUNCTION("""COMPUTED_VALUE"""),"Definir fecha")</f>
        <v>Definir fecha</v>
      </c>
      <c r="L4068" s="62"/>
      <c r="M4068" s="25"/>
      <c r="N4068" s="25"/>
      <c r="O4068" s="25">
        <f t="shared" si="0"/>
        <v>0</v>
      </c>
      <c r="P4068" s="25" t="str">
        <f t="shared" si="2"/>
        <v/>
      </c>
      <c r="Q4068" s="25" t="str">
        <f ca="1">IFERROR(__xludf.DUMMYFUNCTION("""COMPUTED_VALUE"""),"Sin defenir")</f>
        <v>Sin defenir</v>
      </c>
      <c r="R4068" s="25"/>
      <c r="S4068" s="55"/>
      <c r="T4068" s="56"/>
      <c r="U4068" s="25"/>
      <c r="V4068" s="25"/>
      <c r="W4068" s="25"/>
      <c r="X4068" s="25"/>
      <c r="Y4068" s="25"/>
      <c r="Z4068" s="25"/>
    </row>
    <row r="4069" spans="1:26" ht="52.5" customHeight="1" x14ac:dyDescent="0.25">
      <c r="A4069" s="25" t="str">
        <f ca="1">IFERROR(__xludf.DUMMYFUNCTION("""COMPUTED_VALUE"""),"Hacie167")</f>
        <v>Hacie167</v>
      </c>
      <c r="B4069" s="25"/>
      <c r="C4069" s="55"/>
      <c r="D4069" s="25" t="str">
        <f ca="1">IFERROR(__xludf.DUMMYFUNCTION("""COMPUTED_VALUE"""),"Hacienda")</f>
        <v>Hacienda</v>
      </c>
      <c r="E4069" s="25"/>
      <c r="F4069" s="25"/>
      <c r="G4069" s="25"/>
      <c r="H4069" s="25"/>
      <c r="I4069" s="25"/>
      <c r="J4069" s="55"/>
      <c r="K4069" s="25" t="str">
        <f ca="1">IFERROR(__xludf.DUMMYFUNCTION("""COMPUTED_VALUE"""),"Definir fecha")</f>
        <v>Definir fecha</v>
      </c>
      <c r="L4069" s="62"/>
      <c r="M4069" s="25"/>
      <c r="N4069" s="25"/>
      <c r="O4069" s="25">
        <f t="shared" si="0"/>
        <v>0</v>
      </c>
      <c r="P4069" s="25" t="str">
        <f t="shared" si="2"/>
        <v/>
      </c>
      <c r="Q4069" s="25" t="str">
        <f ca="1">IFERROR(__xludf.DUMMYFUNCTION("""COMPUTED_VALUE"""),"Sin defenir")</f>
        <v>Sin defenir</v>
      </c>
      <c r="R4069" s="25"/>
      <c r="S4069" s="55"/>
      <c r="T4069" s="56"/>
      <c r="U4069" s="25"/>
      <c r="V4069" s="25"/>
      <c r="W4069" s="25"/>
      <c r="X4069" s="25"/>
      <c r="Y4069" s="25"/>
      <c r="Z4069" s="25"/>
    </row>
    <row r="4070" spans="1:26" ht="52.5" customHeight="1" x14ac:dyDescent="0.25">
      <c r="A4070" s="25" t="str">
        <f ca="1">IFERROR(__xludf.DUMMYFUNCTION("""COMPUTED_VALUE"""),"Hacie168")</f>
        <v>Hacie168</v>
      </c>
      <c r="B4070" s="25"/>
      <c r="C4070" s="55"/>
      <c r="D4070" s="25" t="str">
        <f ca="1">IFERROR(__xludf.DUMMYFUNCTION("""COMPUTED_VALUE"""),"Hacienda")</f>
        <v>Hacienda</v>
      </c>
      <c r="E4070" s="25"/>
      <c r="F4070" s="25"/>
      <c r="G4070" s="25"/>
      <c r="H4070" s="25"/>
      <c r="I4070" s="25"/>
      <c r="J4070" s="55"/>
      <c r="K4070" s="25" t="str">
        <f ca="1">IFERROR(__xludf.DUMMYFUNCTION("""COMPUTED_VALUE"""),"Definir fecha")</f>
        <v>Definir fecha</v>
      </c>
      <c r="L4070" s="62"/>
      <c r="M4070" s="25"/>
      <c r="N4070" s="25"/>
      <c r="O4070" s="25">
        <f t="shared" si="0"/>
        <v>0</v>
      </c>
      <c r="P4070" s="25" t="str">
        <f t="shared" si="2"/>
        <v/>
      </c>
      <c r="Q4070" s="25" t="str">
        <f ca="1">IFERROR(__xludf.DUMMYFUNCTION("""COMPUTED_VALUE"""),"Sin defenir")</f>
        <v>Sin defenir</v>
      </c>
      <c r="R4070" s="25"/>
      <c r="S4070" s="55"/>
      <c r="T4070" s="56"/>
      <c r="U4070" s="25"/>
      <c r="V4070" s="25"/>
      <c r="W4070" s="25"/>
      <c r="X4070" s="25"/>
      <c r="Y4070" s="25"/>
      <c r="Z4070" s="25"/>
    </row>
    <row r="4071" spans="1:26" ht="52.5" customHeight="1" x14ac:dyDescent="0.25">
      <c r="A4071" s="25" t="str">
        <f ca="1">IFERROR(__xludf.DUMMYFUNCTION("""COMPUTED_VALUE"""),"Hacie169")</f>
        <v>Hacie169</v>
      </c>
      <c r="B4071" s="25"/>
      <c r="C4071" s="55"/>
      <c r="D4071" s="25" t="str">
        <f ca="1">IFERROR(__xludf.DUMMYFUNCTION("""COMPUTED_VALUE"""),"Hacienda")</f>
        <v>Hacienda</v>
      </c>
      <c r="E4071" s="25"/>
      <c r="F4071" s="25"/>
      <c r="G4071" s="25"/>
      <c r="H4071" s="25"/>
      <c r="I4071" s="25"/>
      <c r="J4071" s="55"/>
      <c r="K4071" s="25" t="str">
        <f ca="1">IFERROR(__xludf.DUMMYFUNCTION("""COMPUTED_VALUE"""),"Definir fecha")</f>
        <v>Definir fecha</v>
      </c>
      <c r="L4071" s="62"/>
      <c r="M4071" s="25"/>
      <c r="N4071" s="25"/>
      <c r="O4071" s="25">
        <f t="shared" si="0"/>
        <v>0</v>
      </c>
      <c r="P4071" s="25" t="str">
        <f t="shared" si="2"/>
        <v/>
      </c>
      <c r="Q4071" s="25" t="str">
        <f ca="1">IFERROR(__xludf.DUMMYFUNCTION("""COMPUTED_VALUE"""),"Sin defenir")</f>
        <v>Sin defenir</v>
      </c>
      <c r="R4071" s="25"/>
      <c r="S4071" s="55"/>
      <c r="T4071" s="56"/>
      <c r="U4071" s="25"/>
      <c r="V4071" s="25"/>
      <c r="W4071" s="25"/>
      <c r="X4071" s="25"/>
      <c r="Y4071" s="25"/>
      <c r="Z4071" s="25"/>
    </row>
    <row r="4072" spans="1:26" ht="52.5" customHeight="1" x14ac:dyDescent="0.25">
      <c r="A4072" s="25" t="str">
        <f ca="1">IFERROR(__xludf.DUMMYFUNCTION("""COMPUTED_VALUE"""),"Hacie170")</f>
        <v>Hacie170</v>
      </c>
      <c r="B4072" s="25"/>
      <c r="C4072" s="55"/>
      <c r="D4072" s="25" t="str">
        <f ca="1">IFERROR(__xludf.DUMMYFUNCTION("""COMPUTED_VALUE"""),"Hacienda")</f>
        <v>Hacienda</v>
      </c>
      <c r="E4072" s="25"/>
      <c r="F4072" s="25"/>
      <c r="G4072" s="25"/>
      <c r="H4072" s="25"/>
      <c r="I4072" s="25"/>
      <c r="J4072" s="55"/>
      <c r="K4072" s="25" t="str">
        <f ca="1">IFERROR(__xludf.DUMMYFUNCTION("""COMPUTED_VALUE"""),"Definir fecha")</f>
        <v>Definir fecha</v>
      </c>
      <c r="L4072" s="62"/>
      <c r="M4072" s="25"/>
      <c r="N4072" s="25"/>
      <c r="O4072" s="25">
        <f t="shared" si="0"/>
        <v>0</v>
      </c>
      <c r="P4072" s="25" t="str">
        <f t="shared" si="2"/>
        <v/>
      </c>
      <c r="Q4072" s="25" t="str">
        <f ca="1">IFERROR(__xludf.DUMMYFUNCTION("""COMPUTED_VALUE"""),"Sin defenir")</f>
        <v>Sin defenir</v>
      </c>
      <c r="R4072" s="25"/>
      <c r="S4072" s="55"/>
      <c r="T4072" s="56"/>
      <c r="U4072" s="25"/>
      <c r="V4072" s="25"/>
      <c r="W4072" s="25"/>
      <c r="X4072" s="25"/>
      <c r="Y4072" s="25"/>
      <c r="Z4072" s="25"/>
    </row>
    <row r="4073" spans="1:26" ht="52.5" customHeight="1" x14ac:dyDescent="0.25">
      <c r="A4073" s="25" t="str">
        <f ca="1">IFERROR(__xludf.DUMMYFUNCTION("""COMPUTED_VALUE"""),"Hacie171")</f>
        <v>Hacie171</v>
      </c>
      <c r="B4073" s="25"/>
      <c r="C4073" s="55"/>
      <c r="D4073" s="25" t="str">
        <f ca="1">IFERROR(__xludf.DUMMYFUNCTION("""COMPUTED_VALUE"""),"Hacienda")</f>
        <v>Hacienda</v>
      </c>
      <c r="E4073" s="25"/>
      <c r="F4073" s="25"/>
      <c r="G4073" s="25"/>
      <c r="H4073" s="25"/>
      <c r="I4073" s="25"/>
      <c r="J4073" s="55"/>
      <c r="K4073" s="25" t="str">
        <f ca="1">IFERROR(__xludf.DUMMYFUNCTION("""COMPUTED_VALUE"""),"Definir fecha")</f>
        <v>Definir fecha</v>
      </c>
      <c r="L4073" s="62"/>
      <c r="M4073" s="25"/>
      <c r="N4073" s="25"/>
      <c r="O4073" s="25">
        <f t="shared" si="0"/>
        <v>0</v>
      </c>
      <c r="P4073" s="25" t="str">
        <f t="shared" si="2"/>
        <v/>
      </c>
      <c r="Q4073" s="25" t="str">
        <f ca="1">IFERROR(__xludf.DUMMYFUNCTION("""COMPUTED_VALUE"""),"Sin defenir")</f>
        <v>Sin defenir</v>
      </c>
      <c r="R4073" s="25"/>
      <c r="S4073" s="55"/>
      <c r="T4073" s="56"/>
      <c r="U4073" s="25"/>
      <c r="V4073" s="25"/>
      <c r="W4073" s="25"/>
      <c r="X4073" s="25"/>
      <c r="Y4073" s="25"/>
      <c r="Z4073" s="25"/>
    </row>
    <row r="4074" spans="1:26" ht="52.5" customHeight="1" x14ac:dyDescent="0.25">
      <c r="A4074" s="25" t="str">
        <f ca="1">IFERROR(__xludf.DUMMYFUNCTION("""COMPUTED_VALUE"""),"Hacie172")</f>
        <v>Hacie172</v>
      </c>
      <c r="B4074" s="25"/>
      <c r="C4074" s="55"/>
      <c r="D4074" s="25" t="str">
        <f ca="1">IFERROR(__xludf.DUMMYFUNCTION("""COMPUTED_VALUE"""),"Hacienda")</f>
        <v>Hacienda</v>
      </c>
      <c r="E4074" s="25"/>
      <c r="F4074" s="25"/>
      <c r="G4074" s="25"/>
      <c r="H4074" s="25"/>
      <c r="I4074" s="25"/>
      <c r="J4074" s="55"/>
      <c r="K4074" s="25" t="str">
        <f ca="1">IFERROR(__xludf.DUMMYFUNCTION("""COMPUTED_VALUE"""),"Definir fecha")</f>
        <v>Definir fecha</v>
      </c>
      <c r="L4074" s="62"/>
      <c r="M4074" s="25"/>
      <c r="N4074" s="25"/>
      <c r="O4074" s="25">
        <f t="shared" si="0"/>
        <v>0</v>
      </c>
      <c r="P4074" s="25" t="str">
        <f t="shared" si="2"/>
        <v/>
      </c>
      <c r="Q4074" s="25" t="str">
        <f ca="1">IFERROR(__xludf.DUMMYFUNCTION("""COMPUTED_VALUE"""),"Sin defenir")</f>
        <v>Sin defenir</v>
      </c>
      <c r="R4074" s="25"/>
      <c r="S4074" s="55"/>
      <c r="T4074" s="56"/>
      <c r="U4074" s="25"/>
      <c r="V4074" s="25"/>
      <c r="W4074" s="25"/>
      <c r="X4074" s="25"/>
      <c r="Y4074" s="25"/>
      <c r="Z4074" s="25"/>
    </row>
    <row r="4075" spans="1:26" ht="52.5" customHeight="1" x14ac:dyDescent="0.25">
      <c r="A4075" s="25" t="str">
        <f ca="1">IFERROR(__xludf.DUMMYFUNCTION("""COMPUTED_VALUE"""),"Hacie173")</f>
        <v>Hacie173</v>
      </c>
      <c r="B4075" s="25"/>
      <c r="C4075" s="55"/>
      <c r="D4075" s="25" t="str">
        <f ca="1">IFERROR(__xludf.DUMMYFUNCTION("""COMPUTED_VALUE"""),"Hacienda")</f>
        <v>Hacienda</v>
      </c>
      <c r="E4075" s="25"/>
      <c r="F4075" s="25"/>
      <c r="G4075" s="25"/>
      <c r="H4075" s="25"/>
      <c r="I4075" s="25"/>
      <c r="J4075" s="55"/>
      <c r="K4075" s="25" t="str">
        <f ca="1">IFERROR(__xludf.DUMMYFUNCTION("""COMPUTED_VALUE"""),"Definir fecha")</f>
        <v>Definir fecha</v>
      </c>
      <c r="L4075" s="62"/>
      <c r="M4075" s="25"/>
      <c r="N4075" s="25"/>
      <c r="O4075" s="25">
        <f t="shared" si="0"/>
        <v>0</v>
      </c>
      <c r="P4075" s="25" t="str">
        <f t="shared" si="2"/>
        <v/>
      </c>
      <c r="Q4075" s="25" t="str">
        <f ca="1">IFERROR(__xludf.DUMMYFUNCTION("""COMPUTED_VALUE"""),"Sin defenir")</f>
        <v>Sin defenir</v>
      </c>
      <c r="R4075" s="25"/>
      <c r="S4075" s="55"/>
      <c r="T4075" s="56"/>
      <c r="U4075" s="25"/>
      <c r="V4075" s="25"/>
      <c r="W4075" s="25"/>
      <c r="X4075" s="25"/>
      <c r="Y4075" s="25"/>
      <c r="Z4075" s="25"/>
    </row>
    <row r="4076" spans="1:26" ht="52.5" customHeight="1" x14ac:dyDescent="0.25">
      <c r="A4076" s="25" t="str">
        <f ca="1">IFERROR(__xludf.DUMMYFUNCTION("""COMPUTED_VALUE"""),"Hacie174")</f>
        <v>Hacie174</v>
      </c>
      <c r="B4076" s="25"/>
      <c r="C4076" s="55"/>
      <c r="D4076" s="25" t="str">
        <f ca="1">IFERROR(__xludf.DUMMYFUNCTION("""COMPUTED_VALUE"""),"Hacienda")</f>
        <v>Hacienda</v>
      </c>
      <c r="E4076" s="25"/>
      <c r="F4076" s="25"/>
      <c r="G4076" s="25"/>
      <c r="H4076" s="25"/>
      <c r="I4076" s="25"/>
      <c r="J4076" s="55"/>
      <c r="K4076" s="25" t="str">
        <f ca="1">IFERROR(__xludf.DUMMYFUNCTION("""COMPUTED_VALUE"""),"Definir fecha")</f>
        <v>Definir fecha</v>
      </c>
      <c r="L4076" s="62"/>
      <c r="M4076" s="25"/>
      <c r="N4076" s="25"/>
      <c r="O4076" s="25">
        <f t="shared" si="0"/>
        <v>0</v>
      </c>
      <c r="P4076" s="25" t="str">
        <f t="shared" si="2"/>
        <v/>
      </c>
      <c r="Q4076" s="25" t="str">
        <f ca="1">IFERROR(__xludf.DUMMYFUNCTION("""COMPUTED_VALUE"""),"Sin defenir")</f>
        <v>Sin defenir</v>
      </c>
      <c r="R4076" s="25"/>
      <c r="S4076" s="55"/>
      <c r="T4076" s="56"/>
      <c r="U4076" s="25"/>
      <c r="V4076" s="25"/>
      <c r="W4076" s="25"/>
      <c r="X4076" s="25"/>
      <c r="Y4076" s="25"/>
      <c r="Z4076" s="25"/>
    </row>
    <row r="4077" spans="1:26" ht="52.5" customHeight="1" x14ac:dyDescent="0.25">
      <c r="A4077" s="25" t="str">
        <f ca="1">IFERROR(__xludf.DUMMYFUNCTION("""COMPUTED_VALUE"""),"Hacie175")</f>
        <v>Hacie175</v>
      </c>
      <c r="B4077" s="25"/>
      <c r="C4077" s="55"/>
      <c r="D4077" s="25" t="str">
        <f ca="1">IFERROR(__xludf.DUMMYFUNCTION("""COMPUTED_VALUE"""),"Hacienda")</f>
        <v>Hacienda</v>
      </c>
      <c r="E4077" s="25"/>
      <c r="F4077" s="25"/>
      <c r="G4077" s="25"/>
      <c r="H4077" s="25"/>
      <c r="I4077" s="25"/>
      <c r="J4077" s="55"/>
      <c r="K4077" s="25" t="str">
        <f ca="1">IFERROR(__xludf.DUMMYFUNCTION("""COMPUTED_VALUE"""),"Definir fecha")</f>
        <v>Definir fecha</v>
      </c>
      <c r="L4077" s="62"/>
      <c r="M4077" s="25"/>
      <c r="N4077" s="25"/>
      <c r="O4077" s="25">
        <f t="shared" si="0"/>
        <v>0</v>
      </c>
      <c r="P4077" s="25" t="str">
        <f t="shared" si="2"/>
        <v/>
      </c>
      <c r="Q4077" s="25" t="str">
        <f ca="1">IFERROR(__xludf.DUMMYFUNCTION("""COMPUTED_VALUE"""),"Sin defenir")</f>
        <v>Sin defenir</v>
      </c>
      <c r="R4077" s="25"/>
      <c r="S4077" s="55"/>
      <c r="T4077" s="56"/>
      <c r="U4077" s="25"/>
      <c r="V4077" s="25"/>
      <c r="W4077" s="25"/>
      <c r="X4077" s="25"/>
      <c r="Y4077" s="25"/>
      <c r="Z4077" s="25"/>
    </row>
    <row r="4078" spans="1:26" ht="52.5" customHeight="1" x14ac:dyDescent="0.25">
      <c r="A4078" s="25" t="str">
        <f ca="1">IFERROR(__xludf.DUMMYFUNCTION("""COMPUTED_VALUE"""),"Hacie176")</f>
        <v>Hacie176</v>
      </c>
      <c r="B4078" s="25"/>
      <c r="C4078" s="55"/>
      <c r="D4078" s="25" t="str">
        <f ca="1">IFERROR(__xludf.DUMMYFUNCTION("""COMPUTED_VALUE"""),"Hacienda")</f>
        <v>Hacienda</v>
      </c>
      <c r="E4078" s="25"/>
      <c r="F4078" s="25"/>
      <c r="G4078" s="25"/>
      <c r="H4078" s="25"/>
      <c r="I4078" s="25"/>
      <c r="J4078" s="55"/>
      <c r="K4078" s="25" t="str">
        <f ca="1">IFERROR(__xludf.DUMMYFUNCTION("""COMPUTED_VALUE"""),"Definir fecha")</f>
        <v>Definir fecha</v>
      </c>
      <c r="L4078" s="62"/>
      <c r="M4078" s="25"/>
      <c r="N4078" s="25"/>
      <c r="O4078" s="25">
        <f t="shared" si="0"/>
        <v>0</v>
      </c>
      <c r="P4078" s="25" t="str">
        <f t="shared" si="2"/>
        <v/>
      </c>
      <c r="Q4078" s="25" t="str">
        <f ca="1">IFERROR(__xludf.DUMMYFUNCTION("""COMPUTED_VALUE"""),"Sin defenir")</f>
        <v>Sin defenir</v>
      </c>
      <c r="R4078" s="25"/>
      <c r="S4078" s="55"/>
      <c r="T4078" s="56"/>
      <c r="U4078" s="25"/>
      <c r="V4078" s="25"/>
      <c r="W4078" s="25"/>
      <c r="X4078" s="25"/>
      <c r="Y4078" s="25"/>
      <c r="Z4078" s="25"/>
    </row>
    <row r="4079" spans="1:26" ht="52.5" customHeight="1" x14ac:dyDescent="0.25">
      <c r="A4079" s="25" t="str">
        <f ca="1">IFERROR(__xludf.DUMMYFUNCTION("""COMPUTED_VALUE"""),"Hacie177")</f>
        <v>Hacie177</v>
      </c>
      <c r="B4079" s="25"/>
      <c r="C4079" s="55"/>
      <c r="D4079" s="25" t="str">
        <f ca="1">IFERROR(__xludf.DUMMYFUNCTION("""COMPUTED_VALUE"""),"Hacienda")</f>
        <v>Hacienda</v>
      </c>
      <c r="E4079" s="25"/>
      <c r="F4079" s="25"/>
      <c r="G4079" s="25"/>
      <c r="H4079" s="25"/>
      <c r="I4079" s="25"/>
      <c r="J4079" s="55"/>
      <c r="K4079" s="25" t="str">
        <f ca="1">IFERROR(__xludf.DUMMYFUNCTION("""COMPUTED_VALUE"""),"Definir fecha")</f>
        <v>Definir fecha</v>
      </c>
      <c r="L4079" s="62"/>
      <c r="M4079" s="25"/>
      <c r="N4079" s="25"/>
      <c r="O4079" s="25">
        <f t="shared" si="0"/>
        <v>0</v>
      </c>
      <c r="P4079" s="25" t="str">
        <f t="shared" si="2"/>
        <v/>
      </c>
      <c r="Q4079" s="25" t="str">
        <f ca="1">IFERROR(__xludf.DUMMYFUNCTION("""COMPUTED_VALUE"""),"Sin defenir")</f>
        <v>Sin defenir</v>
      </c>
      <c r="R4079" s="25"/>
      <c r="S4079" s="55"/>
      <c r="T4079" s="56"/>
      <c r="U4079" s="25"/>
      <c r="V4079" s="25"/>
      <c r="W4079" s="25"/>
      <c r="X4079" s="25"/>
      <c r="Y4079" s="25"/>
      <c r="Z4079" s="25"/>
    </row>
    <row r="4080" spans="1:26" ht="52.5" customHeight="1" x14ac:dyDescent="0.25">
      <c r="A4080" s="25" t="str">
        <f ca="1">IFERROR(__xludf.DUMMYFUNCTION("""COMPUTED_VALUE"""),"Hacie178")</f>
        <v>Hacie178</v>
      </c>
      <c r="B4080" s="25"/>
      <c r="C4080" s="55"/>
      <c r="D4080" s="25" t="str">
        <f ca="1">IFERROR(__xludf.DUMMYFUNCTION("""COMPUTED_VALUE"""),"Hacienda")</f>
        <v>Hacienda</v>
      </c>
      <c r="E4080" s="25"/>
      <c r="F4080" s="25"/>
      <c r="G4080" s="25"/>
      <c r="H4080" s="25"/>
      <c r="I4080" s="25"/>
      <c r="J4080" s="55"/>
      <c r="K4080" s="25" t="str">
        <f ca="1">IFERROR(__xludf.DUMMYFUNCTION("""COMPUTED_VALUE"""),"Definir fecha")</f>
        <v>Definir fecha</v>
      </c>
      <c r="L4080" s="62"/>
      <c r="M4080" s="25"/>
      <c r="N4080" s="25"/>
      <c r="O4080" s="25">
        <f t="shared" si="0"/>
        <v>0</v>
      </c>
      <c r="P4080" s="25" t="str">
        <f t="shared" si="2"/>
        <v/>
      </c>
      <c r="Q4080" s="25" t="str">
        <f ca="1">IFERROR(__xludf.DUMMYFUNCTION("""COMPUTED_VALUE"""),"Sin defenir")</f>
        <v>Sin defenir</v>
      </c>
      <c r="R4080" s="25"/>
      <c r="S4080" s="55"/>
      <c r="T4080" s="56"/>
      <c r="U4080" s="25"/>
      <c r="V4080" s="25"/>
      <c r="W4080" s="25"/>
      <c r="X4080" s="25"/>
      <c r="Y4080" s="25"/>
      <c r="Z4080" s="25"/>
    </row>
    <row r="4081" spans="1:26" ht="52.5" customHeight="1" x14ac:dyDescent="0.25">
      <c r="A4081" s="25" t="str">
        <f ca="1">IFERROR(__xludf.DUMMYFUNCTION("""COMPUTED_VALUE"""),"Hacie179")</f>
        <v>Hacie179</v>
      </c>
      <c r="B4081" s="25"/>
      <c r="C4081" s="55"/>
      <c r="D4081" s="25" t="str">
        <f ca="1">IFERROR(__xludf.DUMMYFUNCTION("""COMPUTED_VALUE"""),"Hacienda")</f>
        <v>Hacienda</v>
      </c>
      <c r="E4081" s="25"/>
      <c r="F4081" s="25"/>
      <c r="G4081" s="25"/>
      <c r="H4081" s="25"/>
      <c r="I4081" s="25"/>
      <c r="J4081" s="55"/>
      <c r="K4081" s="25" t="str">
        <f ca="1">IFERROR(__xludf.DUMMYFUNCTION("""COMPUTED_VALUE"""),"Definir fecha")</f>
        <v>Definir fecha</v>
      </c>
      <c r="L4081" s="62"/>
      <c r="M4081" s="25"/>
      <c r="N4081" s="25"/>
      <c r="O4081" s="25">
        <f t="shared" si="0"/>
        <v>0</v>
      </c>
      <c r="P4081" s="25" t="str">
        <f t="shared" si="2"/>
        <v/>
      </c>
      <c r="Q4081" s="25" t="str">
        <f ca="1">IFERROR(__xludf.DUMMYFUNCTION("""COMPUTED_VALUE"""),"Sin defenir")</f>
        <v>Sin defenir</v>
      </c>
      <c r="R4081" s="25"/>
      <c r="S4081" s="55"/>
      <c r="T4081" s="56"/>
      <c r="U4081" s="25"/>
      <c r="V4081" s="25"/>
      <c r="W4081" s="25"/>
      <c r="X4081" s="25"/>
      <c r="Y4081" s="25"/>
      <c r="Z4081" s="25"/>
    </row>
    <row r="4082" spans="1:26" ht="52.5" customHeight="1" x14ac:dyDescent="0.25">
      <c r="A4082" s="25" t="str">
        <f ca="1">IFERROR(__xludf.DUMMYFUNCTION("""COMPUTED_VALUE"""),"Hacie180")</f>
        <v>Hacie180</v>
      </c>
      <c r="B4082" s="25"/>
      <c r="C4082" s="55"/>
      <c r="D4082" s="25" t="str">
        <f ca="1">IFERROR(__xludf.DUMMYFUNCTION("""COMPUTED_VALUE"""),"Hacienda")</f>
        <v>Hacienda</v>
      </c>
      <c r="E4082" s="25"/>
      <c r="F4082" s="25"/>
      <c r="G4082" s="25"/>
      <c r="H4082" s="25"/>
      <c r="I4082" s="25"/>
      <c r="J4082" s="55"/>
      <c r="K4082" s="25" t="str">
        <f ca="1">IFERROR(__xludf.DUMMYFUNCTION("""COMPUTED_VALUE"""),"Definir fecha")</f>
        <v>Definir fecha</v>
      </c>
      <c r="L4082" s="62"/>
      <c r="M4082" s="25"/>
      <c r="N4082" s="25"/>
      <c r="O4082" s="25">
        <f t="shared" si="0"/>
        <v>0</v>
      </c>
      <c r="P4082" s="25" t="str">
        <f t="shared" si="2"/>
        <v/>
      </c>
      <c r="Q4082" s="25" t="str">
        <f ca="1">IFERROR(__xludf.DUMMYFUNCTION("""COMPUTED_VALUE"""),"Sin defenir")</f>
        <v>Sin defenir</v>
      </c>
      <c r="R4082" s="25"/>
      <c r="S4082" s="55"/>
      <c r="T4082" s="56"/>
      <c r="U4082" s="25"/>
      <c r="V4082" s="25"/>
      <c r="W4082" s="25"/>
      <c r="X4082" s="25"/>
      <c r="Y4082" s="25"/>
      <c r="Z4082" s="25"/>
    </row>
    <row r="4083" spans="1:26" ht="52.5" customHeight="1" x14ac:dyDescent="0.25">
      <c r="A4083" s="25" t="str">
        <f ca="1">IFERROR(__xludf.DUMMYFUNCTION("""COMPUTED_VALUE"""),"Hacie181")</f>
        <v>Hacie181</v>
      </c>
      <c r="B4083" s="25"/>
      <c r="C4083" s="55"/>
      <c r="D4083" s="25" t="str">
        <f ca="1">IFERROR(__xludf.DUMMYFUNCTION("""COMPUTED_VALUE"""),"Hacienda")</f>
        <v>Hacienda</v>
      </c>
      <c r="E4083" s="25"/>
      <c r="F4083" s="25"/>
      <c r="G4083" s="25"/>
      <c r="H4083" s="25"/>
      <c r="I4083" s="25"/>
      <c r="J4083" s="55"/>
      <c r="K4083" s="25" t="str">
        <f ca="1">IFERROR(__xludf.DUMMYFUNCTION("""COMPUTED_VALUE"""),"Definir fecha")</f>
        <v>Definir fecha</v>
      </c>
      <c r="L4083" s="62"/>
      <c r="M4083" s="25"/>
      <c r="N4083" s="25"/>
      <c r="O4083" s="25">
        <f t="shared" si="0"/>
        <v>0</v>
      </c>
      <c r="P4083" s="25" t="str">
        <f t="shared" si="2"/>
        <v/>
      </c>
      <c r="Q4083" s="25" t="str">
        <f ca="1">IFERROR(__xludf.DUMMYFUNCTION("""COMPUTED_VALUE"""),"Sin defenir")</f>
        <v>Sin defenir</v>
      </c>
      <c r="R4083" s="25"/>
      <c r="S4083" s="55"/>
      <c r="T4083" s="56"/>
      <c r="U4083" s="25"/>
      <c r="V4083" s="25"/>
      <c r="W4083" s="25"/>
      <c r="X4083" s="25"/>
      <c r="Y4083" s="25"/>
      <c r="Z4083" s="25"/>
    </row>
    <row r="4084" spans="1:26" ht="52.5" customHeight="1" x14ac:dyDescent="0.25">
      <c r="A4084" s="25" t="str">
        <f ca="1">IFERROR(__xludf.DUMMYFUNCTION("""COMPUTED_VALUE"""),"Hacie182")</f>
        <v>Hacie182</v>
      </c>
      <c r="B4084" s="25"/>
      <c r="C4084" s="55"/>
      <c r="D4084" s="25" t="str">
        <f ca="1">IFERROR(__xludf.DUMMYFUNCTION("""COMPUTED_VALUE"""),"Hacienda")</f>
        <v>Hacienda</v>
      </c>
      <c r="E4084" s="25"/>
      <c r="F4084" s="25"/>
      <c r="G4084" s="25"/>
      <c r="H4084" s="25"/>
      <c r="I4084" s="25"/>
      <c r="J4084" s="55"/>
      <c r="K4084" s="25" t="str">
        <f ca="1">IFERROR(__xludf.DUMMYFUNCTION("""COMPUTED_VALUE"""),"Definir fecha")</f>
        <v>Definir fecha</v>
      </c>
      <c r="L4084" s="62"/>
      <c r="M4084" s="25"/>
      <c r="N4084" s="25"/>
      <c r="O4084" s="25">
        <f t="shared" si="0"/>
        <v>0</v>
      </c>
      <c r="P4084" s="25" t="str">
        <f t="shared" si="2"/>
        <v/>
      </c>
      <c r="Q4084" s="25" t="str">
        <f ca="1">IFERROR(__xludf.DUMMYFUNCTION("""COMPUTED_VALUE"""),"Sin defenir")</f>
        <v>Sin defenir</v>
      </c>
      <c r="R4084" s="25"/>
      <c r="S4084" s="55"/>
      <c r="T4084" s="56"/>
      <c r="U4084" s="25"/>
      <c r="V4084" s="25"/>
      <c r="W4084" s="25"/>
      <c r="X4084" s="25"/>
      <c r="Y4084" s="25"/>
      <c r="Z4084" s="25"/>
    </row>
    <row r="4085" spans="1:26" ht="52.5" customHeight="1" x14ac:dyDescent="0.25">
      <c r="A4085" s="25" t="str">
        <f ca="1">IFERROR(__xludf.DUMMYFUNCTION("""COMPUTED_VALUE"""),"Hacie183")</f>
        <v>Hacie183</v>
      </c>
      <c r="B4085" s="25"/>
      <c r="C4085" s="55"/>
      <c r="D4085" s="25" t="str">
        <f ca="1">IFERROR(__xludf.DUMMYFUNCTION("""COMPUTED_VALUE"""),"Hacienda")</f>
        <v>Hacienda</v>
      </c>
      <c r="E4085" s="25"/>
      <c r="F4085" s="25"/>
      <c r="G4085" s="25"/>
      <c r="H4085" s="25"/>
      <c r="I4085" s="25"/>
      <c r="J4085" s="55"/>
      <c r="K4085" s="25" t="str">
        <f ca="1">IFERROR(__xludf.DUMMYFUNCTION("""COMPUTED_VALUE"""),"Definir fecha")</f>
        <v>Definir fecha</v>
      </c>
      <c r="L4085" s="62"/>
      <c r="M4085" s="25"/>
      <c r="N4085" s="25"/>
      <c r="O4085" s="25">
        <f t="shared" si="0"/>
        <v>0</v>
      </c>
      <c r="P4085" s="25" t="str">
        <f t="shared" si="2"/>
        <v/>
      </c>
      <c r="Q4085" s="25" t="str">
        <f ca="1">IFERROR(__xludf.DUMMYFUNCTION("""COMPUTED_VALUE"""),"Sin defenir")</f>
        <v>Sin defenir</v>
      </c>
      <c r="R4085" s="25"/>
      <c r="S4085" s="55"/>
      <c r="T4085" s="56"/>
      <c r="U4085" s="25"/>
      <c r="V4085" s="25"/>
      <c r="W4085" s="25"/>
      <c r="X4085" s="25"/>
      <c r="Y4085" s="25"/>
      <c r="Z4085" s="25"/>
    </row>
    <row r="4086" spans="1:26" ht="52.5" customHeight="1" x14ac:dyDescent="0.25">
      <c r="A4086" s="25" t="str">
        <f ca="1">IFERROR(__xludf.DUMMYFUNCTION("""COMPUTED_VALUE"""),"Hacie184")</f>
        <v>Hacie184</v>
      </c>
      <c r="B4086" s="25"/>
      <c r="C4086" s="55"/>
      <c r="D4086" s="25" t="str">
        <f ca="1">IFERROR(__xludf.DUMMYFUNCTION("""COMPUTED_VALUE"""),"Hacienda")</f>
        <v>Hacienda</v>
      </c>
      <c r="E4086" s="25"/>
      <c r="F4086" s="25"/>
      <c r="G4086" s="25"/>
      <c r="H4086" s="25"/>
      <c r="I4086" s="25"/>
      <c r="J4086" s="55"/>
      <c r="K4086" s="25" t="str">
        <f ca="1">IFERROR(__xludf.DUMMYFUNCTION("""COMPUTED_VALUE"""),"Definir fecha")</f>
        <v>Definir fecha</v>
      </c>
      <c r="L4086" s="62"/>
      <c r="M4086" s="25"/>
      <c r="N4086" s="25"/>
      <c r="O4086" s="25">
        <f t="shared" si="0"/>
        <v>0</v>
      </c>
      <c r="P4086" s="25" t="str">
        <f t="shared" si="2"/>
        <v/>
      </c>
      <c r="Q4086" s="25" t="str">
        <f ca="1">IFERROR(__xludf.DUMMYFUNCTION("""COMPUTED_VALUE"""),"Sin defenir")</f>
        <v>Sin defenir</v>
      </c>
      <c r="R4086" s="25"/>
      <c r="S4086" s="55"/>
      <c r="T4086" s="56"/>
      <c r="U4086" s="25"/>
      <c r="V4086" s="25"/>
      <c r="W4086" s="25"/>
      <c r="X4086" s="25"/>
      <c r="Y4086" s="25"/>
      <c r="Z4086" s="25"/>
    </row>
    <row r="4087" spans="1:26" ht="52.5" customHeight="1" x14ac:dyDescent="0.25">
      <c r="A4087" s="25" t="str">
        <f ca="1">IFERROR(__xludf.DUMMYFUNCTION("""COMPUTED_VALUE"""),"Hacie185")</f>
        <v>Hacie185</v>
      </c>
      <c r="B4087" s="25"/>
      <c r="C4087" s="55"/>
      <c r="D4087" s="25" t="str">
        <f ca="1">IFERROR(__xludf.DUMMYFUNCTION("""COMPUTED_VALUE"""),"Hacienda")</f>
        <v>Hacienda</v>
      </c>
      <c r="E4087" s="25"/>
      <c r="F4087" s="25"/>
      <c r="G4087" s="25"/>
      <c r="H4087" s="25"/>
      <c r="I4087" s="25"/>
      <c r="J4087" s="55"/>
      <c r="K4087" s="25" t="str">
        <f ca="1">IFERROR(__xludf.DUMMYFUNCTION("""COMPUTED_VALUE"""),"Definir fecha")</f>
        <v>Definir fecha</v>
      </c>
      <c r="L4087" s="62"/>
      <c r="M4087" s="25"/>
      <c r="N4087" s="25"/>
      <c r="O4087" s="25">
        <f t="shared" si="0"/>
        <v>0</v>
      </c>
      <c r="P4087" s="25" t="str">
        <f t="shared" si="2"/>
        <v/>
      </c>
      <c r="Q4087" s="25" t="str">
        <f ca="1">IFERROR(__xludf.DUMMYFUNCTION("""COMPUTED_VALUE"""),"Sin defenir")</f>
        <v>Sin defenir</v>
      </c>
      <c r="R4087" s="25"/>
      <c r="S4087" s="55"/>
      <c r="T4087" s="56"/>
      <c r="U4087" s="25"/>
      <c r="V4087" s="25"/>
      <c r="W4087" s="25"/>
      <c r="X4087" s="25"/>
      <c r="Y4087" s="25"/>
      <c r="Z4087" s="25"/>
    </row>
    <row r="4088" spans="1:26" ht="52.5" customHeight="1" x14ac:dyDescent="0.25">
      <c r="A4088" s="25" t="str">
        <f ca="1">IFERROR(__xludf.DUMMYFUNCTION("""COMPUTED_VALUE"""),"Hacie186")</f>
        <v>Hacie186</v>
      </c>
      <c r="B4088" s="25"/>
      <c r="C4088" s="55"/>
      <c r="D4088" s="25" t="str">
        <f ca="1">IFERROR(__xludf.DUMMYFUNCTION("""COMPUTED_VALUE"""),"Hacienda")</f>
        <v>Hacienda</v>
      </c>
      <c r="E4088" s="25"/>
      <c r="F4088" s="25"/>
      <c r="G4088" s="25"/>
      <c r="H4088" s="25"/>
      <c r="I4088" s="25"/>
      <c r="J4088" s="55"/>
      <c r="K4088" s="25" t="str">
        <f ca="1">IFERROR(__xludf.DUMMYFUNCTION("""COMPUTED_VALUE"""),"Definir fecha")</f>
        <v>Definir fecha</v>
      </c>
      <c r="L4088" s="62"/>
      <c r="M4088" s="25"/>
      <c r="N4088" s="25"/>
      <c r="O4088" s="25">
        <f t="shared" si="0"/>
        <v>0</v>
      </c>
      <c r="P4088" s="25" t="str">
        <f t="shared" si="2"/>
        <v/>
      </c>
      <c r="Q4088" s="25" t="str">
        <f ca="1">IFERROR(__xludf.DUMMYFUNCTION("""COMPUTED_VALUE"""),"Sin defenir")</f>
        <v>Sin defenir</v>
      </c>
      <c r="R4088" s="25"/>
      <c r="S4088" s="55"/>
      <c r="T4088" s="56"/>
      <c r="U4088" s="25"/>
      <c r="V4088" s="25"/>
      <c r="W4088" s="25"/>
      <c r="X4088" s="25"/>
      <c r="Y4088" s="25"/>
      <c r="Z4088" s="25"/>
    </row>
    <row r="4089" spans="1:26" ht="52.5" customHeight="1" x14ac:dyDescent="0.25">
      <c r="A4089" s="25" t="str">
        <f ca="1">IFERROR(__xludf.DUMMYFUNCTION("""COMPUTED_VALUE"""),"Hacie187")</f>
        <v>Hacie187</v>
      </c>
      <c r="B4089" s="25"/>
      <c r="C4089" s="55"/>
      <c r="D4089" s="25" t="str">
        <f ca="1">IFERROR(__xludf.DUMMYFUNCTION("""COMPUTED_VALUE"""),"Hacienda")</f>
        <v>Hacienda</v>
      </c>
      <c r="E4089" s="25"/>
      <c r="F4089" s="25"/>
      <c r="G4089" s="25"/>
      <c r="H4089" s="25"/>
      <c r="I4089" s="25"/>
      <c r="J4089" s="55"/>
      <c r="K4089" s="25" t="str">
        <f ca="1">IFERROR(__xludf.DUMMYFUNCTION("""COMPUTED_VALUE"""),"Definir fecha")</f>
        <v>Definir fecha</v>
      </c>
      <c r="L4089" s="62"/>
      <c r="M4089" s="25"/>
      <c r="N4089" s="25"/>
      <c r="O4089" s="25">
        <f t="shared" si="0"/>
        <v>0</v>
      </c>
      <c r="P4089" s="25" t="str">
        <f t="shared" si="2"/>
        <v/>
      </c>
      <c r="Q4089" s="25" t="str">
        <f ca="1">IFERROR(__xludf.DUMMYFUNCTION("""COMPUTED_VALUE"""),"Sin defenir")</f>
        <v>Sin defenir</v>
      </c>
      <c r="R4089" s="25"/>
      <c r="S4089" s="55"/>
      <c r="T4089" s="56"/>
      <c r="U4089" s="25"/>
      <c r="V4089" s="25"/>
      <c r="W4089" s="25"/>
      <c r="X4089" s="25"/>
      <c r="Y4089" s="25"/>
      <c r="Z4089" s="25"/>
    </row>
    <row r="4090" spans="1:26" ht="52.5" customHeight="1" x14ac:dyDescent="0.25">
      <c r="A4090" s="25" t="str">
        <f ca="1">IFERROR(__xludf.DUMMYFUNCTION("""COMPUTED_VALUE"""),"Hacie188")</f>
        <v>Hacie188</v>
      </c>
      <c r="B4090" s="25"/>
      <c r="C4090" s="55"/>
      <c r="D4090" s="25" t="str">
        <f ca="1">IFERROR(__xludf.DUMMYFUNCTION("""COMPUTED_VALUE"""),"Hacienda")</f>
        <v>Hacienda</v>
      </c>
      <c r="E4090" s="25"/>
      <c r="F4090" s="25"/>
      <c r="G4090" s="25"/>
      <c r="H4090" s="25"/>
      <c r="I4090" s="25"/>
      <c r="J4090" s="55"/>
      <c r="K4090" s="25" t="str">
        <f ca="1">IFERROR(__xludf.DUMMYFUNCTION("""COMPUTED_VALUE"""),"Definir fecha")</f>
        <v>Definir fecha</v>
      </c>
      <c r="L4090" s="62"/>
      <c r="M4090" s="25"/>
      <c r="N4090" s="25"/>
      <c r="O4090" s="25">
        <f t="shared" si="0"/>
        <v>0</v>
      </c>
      <c r="P4090" s="25" t="str">
        <f t="shared" si="2"/>
        <v/>
      </c>
      <c r="Q4090" s="25" t="str">
        <f ca="1">IFERROR(__xludf.DUMMYFUNCTION("""COMPUTED_VALUE"""),"Sin defenir")</f>
        <v>Sin defenir</v>
      </c>
      <c r="R4090" s="25"/>
      <c r="S4090" s="55"/>
      <c r="T4090" s="56"/>
      <c r="U4090" s="25"/>
      <c r="V4090" s="25"/>
      <c r="W4090" s="25"/>
      <c r="X4090" s="25"/>
      <c r="Y4090" s="25"/>
      <c r="Z4090" s="25"/>
    </row>
    <row r="4091" spans="1:26" ht="52.5" customHeight="1" x14ac:dyDescent="0.25">
      <c r="A4091" s="25" t="str">
        <f ca="1">IFERROR(__xludf.DUMMYFUNCTION("""COMPUTED_VALUE"""),"Hacie189")</f>
        <v>Hacie189</v>
      </c>
      <c r="B4091" s="25"/>
      <c r="C4091" s="55"/>
      <c r="D4091" s="25" t="str">
        <f ca="1">IFERROR(__xludf.DUMMYFUNCTION("""COMPUTED_VALUE"""),"Hacienda")</f>
        <v>Hacienda</v>
      </c>
      <c r="E4091" s="25"/>
      <c r="F4091" s="25"/>
      <c r="G4091" s="25"/>
      <c r="H4091" s="25"/>
      <c r="I4091" s="25"/>
      <c r="J4091" s="55"/>
      <c r="K4091" s="25" t="str">
        <f ca="1">IFERROR(__xludf.DUMMYFUNCTION("""COMPUTED_VALUE"""),"Definir fecha")</f>
        <v>Definir fecha</v>
      </c>
      <c r="L4091" s="62"/>
      <c r="M4091" s="25"/>
      <c r="N4091" s="25"/>
      <c r="O4091" s="25">
        <f t="shared" si="0"/>
        <v>0</v>
      </c>
      <c r="P4091" s="25" t="str">
        <f t="shared" si="2"/>
        <v/>
      </c>
      <c r="Q4091" s="25" t="str">
        <f ca="1">IFERROR(__xludf.DUMMYFUNCTION("""COMPUTED_VALUE"""),"Sin defenir")</f>
        <v>Sin defenir</v>
      </c>
      <c r="R4091" s="25"/>
      <c r="S4091" s="55"/>
      <c r="T4091" s="56"/>
      <c r="U4091" s="25"/>
      <c r="V4091" s="25"/>
      <c r="W4091" s="25"/>
      <c r="X4091" s="25"/>
      <c r="Y4091" s="25"/>
      <c r="Z4091" s="25"/>
    </row>
    <row r="4092" spans="1:26" ht="52.5" customHeight="1" x14ac:dyDescent="0.25">
      <c r="A4092" s="25" t="str">
        <f ca="1">IFERROR(__xludf.DUMMYFUNCTION("""COMPUTED_VALUE"""),"Hacie190")</f>
        <v>Hacie190</v>
      </c>
      <c r="B4092" s="25"/>
      <c r="C4092" s="55"/>
      <c r="D4092" s="25" t="str">
        <f ca="1">IFERROR(__xludf.DUMMYFUNCTION("""COMPUTED_VALUE"""),"Hacienda")</f>
        <v>Hacienda</v>
      </c>
      <c r="E4092" s="25"/>
      <c r="F4092" s="25"/>
      <c r="G4092" s="25"/>
      <c r="H4092" s="25"/>
      <c r="I4092" s="25"/>
      <c r="J4092" s="55"/>
      <c r="K4092" s="25" t="str">
        <f ca="1">IFERROR(__xludf.DUMMYFUNCTION("""COMPUTED_VALUE"""),"Definir fecha")</f>
        <v>Definir fecha</v>
      </c>
      <c r="L4092" s="62"/>
      <c r="M4092" s="25"/>
      <c r="N4092" s="25"/>
      <c r="O4092" s="25">
        <f t="shared" si="0"/>
        <v>0</v>
      </c>
      <c r="P4092" s="25" t="str">
        <f t="shared" si="2"/>
        <v/>
      </c>
      <c r="Q4092" s="25" t="str">
        <f ca="1">IFERROR(__xludf.DUMMYFUNCTION("""COMPUTED_VALUE"""),"Sin defenir")</f>
        <v>Sin defenir</v>
      </c>
      <c r="R4092" s="25"/>
      <c r="S4092" s="55"/>
      <c r="T4092" s="56"/>
      <c r="U4092" s="25"/>
      <c r="V4092" s="25"/>
      <c r="W4092" s="25"/>
      <c r="X4092" s="25"/>
      <c r="Y4092" s="25"/>
      <c r="Z4092" s="25"/>
    </row>
    <row r="4093" spans="1:26" ht="52.5" customHeight="1" x14ac:dyDescent="0.25">
      <c r="A4093" s="25" t="str">
        <f ca="1">IFERROR(__xludf.DUMMYFUNCTION("""COMPUTED_VALUE"""),"Hacie191")</f>
        <v>Hacie191</v>
      </c>
      <c r="B4093" s="25"/>
      <c r="C4093" s="55"/>
      <c r="D4093" s="25" t="str">
        <f ca="1">IFERROR(__xludf.DUMMYFUNCTION("""COMPUTED_VALUE"""),"Hacienda")</f>
        <v>Hacienda</v>
      </c>
      <c r="E4093" s="25"/>
      <c r="F4093" s="25"/>
      <c r="G4093" s="25"/>
      <c r="H4093" s="25"/>
      <c r="I4093" s="25"/>
      <c r="J4093" s="55"/>
      <c r="K4093" s="25" t="str">
        <f ca="1">IFERROR(__xludf.DUMMYFUNCTION("""COMPUTED_VALUE"""),"Definir fecha")</f>
        <v>Definir fecha</v>
      </c>
      <c r="L4093" s="62"/>
      <c r="M4093" s="25"/>
      <c r="N4093" s="25"/>
      <c r="O4093" s="25">
        <f t="shared" si="0"/>
        <v>0</v>
      </c>
      <c r="P4093" s="25" t="str">
        <f t="shared" si="2"/>
        <v/>
      </c>
      <c r="Q4093" s="25" t="str">
        <f ca="1">IFERROR(__xludf.DUMMYFUNCTION("""COMPUTED_VALUE"""),"Sin defenir")</f>
        <v>Sin defenir</v>
      </c>
      <c r="R4093" s="25"/>
      <c r="S4093" s="55"/>
      <c r="T4093" s="56"/>
      <c r="U4093" s="25"/>
      <c r="V4093" s="25"/>
      <c r="W4093" s="25"/>
      <c r="X4093" s="25"/>
      <c r="Y4093" s="25"/>
      <c r="Z4093" s="25"/>
    </row>
    <row r="4094" spans="1:26" ht="52.5" customHeight="1" x14ac:dyDescent="0.25">
      <c r="A4094" s="25" t="str">
        <f ca="1">IFERROR(__xludf.DUMMYFUNCTION("""COMPUTED_VALUE"""),"Hacie192")</f>
        <v>Hacie192</v>
      </c>
      <c r="B4094" s="25"/>
      <c r="C4094" s="55"/>
      <c r="D4094" s="25" t="str">
        <f ca="1">IFERROR(__xludf.DUMMYFUNCTION("""COMPUTED_VALUE"""),"Hacienda")</f>
        <v>Hacienda</v>
      </c>
      <c r="E4094" s="25"/>
      <c r="F4094" s="25"/>
      <c r="G4094" s="25"/>
      <c r="H4094" s="25"/>
      <c r="I4094" s="25"/>
      <c r="J4094" s="55"/>
      <c r="K4094" s="25" t="str">
        <f ca="1">IFERROR(__xludf.DUMMYFUNCTION("""COMPUTED_VALUE"""),"Definir fecha")</f>
        <v>Definir fecha</v>
      </c>
      <c r="L4094" s="62"/>
      <c r="M4094" s="25"/>
      <c r="N4094" s="25"/>
      <c r="O4094" s="25">
        <f t="shared" si="0"/>
        <v>0</v>
      </c>
      <c r="P4094" s="25" t="str">
        <f t="shared" si="2"/>
        <v/>
      </c>
      <c r="Q4094" s="25" t="str">
        <f ca="1">IFERROR(__xludf.DUMMYFUNCTION("""COMPUTED_VALUE"""),"Sin defenir")</f>
        <v>Sin defenir</v>
      </c>
      <c r="R4094" s="25"/>
      <c r="S4094" s="55"/>
      <c r="T4094" s="56"/>
      <c r="U4094" s="25"/>
      <c r="V4094" s="25"/>
      <c r="W4094" s="25"/>
      <c r="X4094" s="25"/>
      <c r="Y4094" s="25"/>
      <c r="Z4094" s="25"/>
    </row>
    <row r="4095" spans="1:26" ht="52.5" customHeight="1" x14ac:dyDescent="0.25">
      <c r="A4095" s="25" t="str">
        <f ca="1">IFERROR(__xludf.DUMMYFUNCTION("""COMPUTED_VALUE"""),"Hacie193")</f>
        <v>Hacie193</v>
      </c>
      <c r="B4095" s="25"/>
      <c r="C4095" s="55"/>
      <c r="D4095" s="25" t="str">
        <f ca="1">IFERROR(__xludf.DUMMYFUNCTION("""COMPUTED_VALUE"""),"Hacienda")</f>
        <v>Hacienda</v>
      </c>
      <c r="E4095" s="25"/>
      <c r="F4095" s="25"/>
      <c r="G4095" s="25"/>
      <c r="H4095" s="25"/>
      <c r="I4095" s="25"/>
      <c r="J4095" s="55"/>
      <c r="K4095" s="25" t="str">
        <f ca="1">IFERROR(__xludf.DUMMYFUNCTION("""COMPUTED_VALUE"""),"Definir fecha")</f>
        <v>Definir fecha</v>
      </c>
      <c r="L4095" s="62"/>
      <c r="M4095" s="25"/>
      <c r="N4095" s="25"/>
      <c r="O4095" s="25">
        <f t="shared" si="0"/>
        <v>0</v>
      </c>
      <c r="P4095" s="25" t="str">
        <f t="shared" si="2"/>
        <v/>
      </c>
      <c r="Q4095" s="25" t="str">
        <f ca="1">IFERROR(__xludf.DUMMYFUNCTION("""COMPUTED_VALUE"""),"Sin defenir")</f>
        <v>Sin defenir</v>
      </c>
      <c r="R4095" s="25"/>
      <c r="S4095" s="55"/>
      <c r="T4095" s="56"/>
      <c r="U4095" s="25"/>
      <c r="V4095" s="25"/>
      <c r="W4095" s="25"/>
      <c r="X4095" s="25"/>
      <c r="Y4095" s="25"/>
      <c r="Z4095" s="25"/>
    </row>
    <row r="4096" spans="1:26" ht="52.5" customHeight="1" x14ac:dyDescent="0.25">
      <c r="A4096" s="25" t="str">
        <f ca="1">IFERROR(__xludf.DUMMYFUNCTION("""COMPUTED_VALUE"""),"Hacie194")</f>
        <v>Hacie194</v>
      </c>
      <c r="B4096" s="25"/>
      <c r="C4096" s="55"/>
      <c r="D4096" s="25" t="str">
        <f ca="1">IFERROR(__xludf.DUMMYFUNCTION("""COMPUTED_VALUE"""),"Hacienda")</f>
        <v>Hacienda</v>
      </c>
      <c r="E4096" s="25"/>
      <c r="F4096" s="25"/>
      <c r="G4096" s="25"/>
      <c r="H4096" s="25"/>
      <c r="I4096" s="25"/>
      <c r="J4096" s="55"/>
      <c r="K4096" s="25" t="str">
        <f ca="1">IFERROR(__xludf.DUMMYFUNCTION("""COMPUTED_VALUE"""),"Definir fecha")</f>
        <v>Definir fecha</v>
      </c>
      <c r="L4096" s="62"/>
      <c r="M4096" s="25"/>
      <c r="N4096" s="25"/>
      <c r="O4096" s="25">
        <f t="shared" si="0"/>
        <v>0</v>
      </c>
      <c r="P4096" s="25" t="str">
        <f t="shared" si="2"/>
        <v/>
      </c>
      <c r="Q4096" s="25" t="str">
        <f ca="1">IFERROR(__xludf.DUMMYFUNCTION("""COMPUTED_VALUE"""),"Sin defenir")</f>
        <v>Sin defenir</v>
      </c>
      <c r="R4096" s="25"/>
      <c r="S4096" s="55"/>
      <c r="T4096" s="56"/>
      <c r="U4096" s="25"/>
      <c r="V4096" s="25"/>
      <c r="W4096" s="25"/>
      <c r="X4096" s="25"/>
      <c r="Y4096" s="25"/>
      <c r="Z4096" s="25"/>
    </row>
    <row r="4097" spans="1:26" ht="52.5" customHeight="1" x14ac:dyDescent="0.25">
      <c r="A4097" s="25" t="str">
        <f ca="1">IFERROR(__xludf.DUMMYFUNCTION("""COMPUTED_VALUE"""),"Hacie195")</f>
        <v>Hacie195</v>
      </c>
      <c r="B4097" s="25"/>
      <c r="C4097" s="55"/>
      <c r="D4097" s="25" t="str">
        <f ca="1">IFERROR(__xludf.DUMMYFUNCTION("""COMPUTED_VALUE"""),"Hacienda")</f>
        <v>Hacienda</v>
      </c>
      <c r="E4097" s="25"/>
      <c r="F4097" s="25"/>
      <c r="G4097" s="25"/>
      <c r="H4097" s="25"/>
      <c r="I4097" s="25"/>
      <c r="J4097" s="55"/>
      <c r="K4097" s="25" t="str">
        <f ca="1">IFERROR(__xludf.DUMMYFUNCTION("""COMPUTED_VALUE"""),"Definir fecha")</f>
        <v>Definir fecha</v>
      </c>
      <c r="L4097" s="62"/>
      <c r="M4097" s="25"/>
      <c r="N4097" s="25"/>
      <c r="O4097" s="25">
        <f t="shared" si="0"/>
        <v>0</v>
      </c>
      <c r="P4097" s="25" t="str">
        <f t="shared" si="2"/>
        <v/>
      </c>
      <c r="Q4097" s="25" t="str">
        <f ca="1">IFERROR(__xludf.DUMMYFUNCTION("""COMPUTED_VALUE"""),"Sin defenir")</f>
        <v>Sin defenir</v>
      </c>
      <c r="R4097" s="25"/>
      <c r="S4097" s="55"/>
      <c r="T4097" s="56"/>
      <c r="U4097" s="25"/>
      <c r="V4097" s="25"/>
      <c r="W4097" s="25"/>
      <c r="X4097" s="25"/>
      <c r="Y4097" s="25"/>
      <c r="Z4097" s="25"/>
    </row>
    <row r="4098" spans="1:26" ht="52.5" customHeight="1" x14ac:dyDescent="0.25">
      <c r="A4098" s="25" t="str">
        <f ca="1">IFERROR(__xludf.DUMMYFUNCTION("""COMPUTED_VALUE"""),"Hacie196")</f>
        <v>Hacie196</v>
      </c>
      <c r="B4098" s="25"/>
      <c r="C4098" s="55"/>
      <c r="D4098" s="25" t="str">
        <f ca="1">IFERROR(__xludf.DUMMYFUNCTION("""COMPUTED_VALUE"""),"Hacienda")</f>
        <v>Hacienda</v>
      </c>
      <c r="E4098" s="25"/>
      <c r="F4098" s="25"/>
      <c r="G4098" s="25"/>
      <c r="H4098" s="25"/>
      <c r="I4098" s="25"/>
      <c r="J4098" s="55"/>
      <c r="K4098" s="25" t="str">
        <f ca="1">IFERROR(__xludf.DUMMYFUNCTION("""COMPUTED_VALUE"""),"Definir fecha")</f>
        <v>Definir fecha</v>
      </c>
      <c r="L4098" s="62"/>
      <c r="M4098" s="25"/>
      <c r="N4098" s="25"/>
      <c r="O4098" s="25">
        <f t="shared" si="0"/>
        <v>0</v>
      </c>
      <c r="P4098" s="25" t="str">
        <f t="shared" si="2"/>
        <v/>
      </c>
      <c r="Q4098" s="25" t="str">
        <f ca="1">IFERROR(__xludf.DUMMYFUNCTION("""COMPUTED_VALUE"""),"Sin defenir")</f>
        <v>Sin defenir</v>
      </c>
      <c r="R4098" s="25"/>
      <c r="S4098" s="55"/>
      <c r="T4098" s="56"/>
      <c r="U4098" s="25"/>
      <c r="V4098" s="25"/>
      <c r="W4098" s="25"/>
      <c r="X4098" s="25"/>
      <c r="Y4098" s="25"/>
      <c r="Z4098" s="25"/>
    </row>
    <row r="4099" spans="1:26" ht="52.5" customHeight="1" x14ac:dyDescent="0.25">
      <c r="A4099" s="25" t="str">
        <f ca="1">IFERROR(__xludf.DUMMYFUNCTION("""COMPUTED_VALUE"""),"Hacie197")</f>
        <v>Hacie197</v>
      </c>
      <c r="B4099" s="25"/>
      <c r="C4099" s="55"/>
      <c r="D4099" s="25" t="str">
        <f ca="1">IFERROR(__xludf.DUMMYFUNCTION("""COMPUTED_VALUE"""),"Hacienda")</f>
        <v>Hacienda</v>
      </c>
      <c r="E4099" s="25"/>
      <c r="F4099" s="25"/>
      <c r="G4099" s="25"/>
      <c r="H4099" s="25"/>
      <c r="I4099" s="25"/>
      <c r="J4099" s="55"/>
      <c r="K4099" s="25" t="str">
        <f ca="1">IFERROR(__xludf.DUMMYFUNCTION("""COMPUTED_VALUE"""),"Definir fecha")</f>
        <v>Definir fecha</v>
      </c>
      <c r="L4099" s="62"/>
      <c r="M4099" s="25"/>
      <c r="N4099" s="25"/>
      <c r="O4099" s="25">
        <f t="shared" si="0"/>
        <v>0</v>
      </c>
      <c r="P4099" s="25" t="str">
        <f t="shared" si="2"/>
        <v/>
      </c>
      <c r="Q4099" s="25" t="str">
        <f ca="1">IFERROR(__xludf.DUMMYFUNCTION("""COMPUTED_VALUE"""),"Sin defenir")</f>
        <v>Sin defenir</v>
      </c>
      <c r="R4099" s="25"/>
      <c r="S4099" s="55"/>
      <c r="T4099" s="56"/>
      <c r="U4099" s="25"/>
      <c r="V4099" s="25"/>
      <c r="W4099" s="25"/>
      <c r="X4099" s="25"/>
      <c r="Y4099" s="25"/>
      <c r="Z4099" s="25"/>
    </row>
    <row r="4100" spans="1:26" ht="52.5" customHeight="1" x14ac:dyDescent="0.25">
      <c r="A4100" s="25" t="str">
        <f ca="1">IFERROR(__xludf.DUMMYFUNCTION("""COMPUTED_VALUE"""),"Hacie198")</f>
        <v>Hacie198</v>
      </c>
      <c r="B4100" s="25"/>
      <c r="C4100" s="55"/>
      <c r="D4100" s="25" t="str">
        <f ca="1">IFERROR(__xludf.DUMMYFUNCTION("""COMPUTED_VALUE"""),"Hacienda")</f>
        <v>Hacienda</v>
      </c>
      <c r="E4100" s="25"/>
      <c r="F4100" s="25"/>
      <c r="G4100" s="25"/>
      <c r="H4100" s="25"/>
      <c r="I4100" s="25"/>
      <c r="J4100" s="55"/>
      <c r="K4100" s="25" t="str">
        <f ca="1">IFERROR(__xludf.DUMMYFUNCTION("""COMPUTED_VALUE"""),"Definir fecha")</f>
        <v>Definir fecha</v>
      </c>
      <c r="L4100" s="62"/>
      <c r="M4100" s="25"/>
      <c r="N4100" s="25"/>
      <c r="O4100" s="25">
        <f t="shared" si="0"/>
        <v>0</v>
      </c>
      <c r="P4100" s="25" t="str">
        <f t="shared" si="2"/>
        <v/>
      </c>
      <c r="Q4100" s="25" t="str">
        <f ca="1">IFERROR(__xludf.DUMMYFUNCTION("""COMPUTED_VALUE"""),"Sin defenir")</f>
        <v>Sin defenir</v>
      </c>
      <c r="R4100" s="25"/>
      <c r="S4100" s="55"/>
      <c r="T4100" s="56"/>
      <c r="U4100" s="25"/>
      <c r="V4100" s="25"/>
      <c r="W4100" s="25"/>
      <c r="X4100" s="25"/>
      <c r="Y4100" s="25"/>
      <c r="Z4100" s="25"/>
    </row>
    <row r="4101" spans="1:26" ht="52.5" customHeight="1" x14ac:dyDescent="0.25">
      <c r="A4101" s="25" t="str">
        <f ca="1">IFERROR(__xludf.DUMMYFUNCTION("""COMPUTED_VALUE"""),"Hacie199")</f>
        <v>Hacie199</v>
      </c>
      <c r="B4101" s="25"/>
      <c r="C4101" s="55"/>
      <c r="D4101" s="25" t="str">
        <f ca="1">IFERROR(__xludf.DUMMYFUNCTION("""COMPUTED_VALUE"""),"Hacienda")</f>
        <v>Hacienda</v>
      </c>
      <c r="E4101" s="25"/>
      <c r="F4101" s="25"/>
      <c r="G4101" s="25"/>
      <c r="H4101" s="25"/>
      <c r="I4101" s="25"/>
      <c r="J4101" s="55"/>
      <c r="K4101" s="25" t="str">
        <f ca="1">IFERROR(__xludf.DUMMYFUNCTION("""COMPUTED_VALUE"""),"Definir fecha")</f>
        <v>Definir fecha</v>
      </c>
      <c r="L4101" s="62"/>
      <c r="M4101" s="25"/>
      <c r="N4101" s="25"/>
      <c r="O4101" s="25">
        <f t="shared" si="0"/>
        <v>0</v>
      </c>
      <c r="P4101" s="25" t="str">
        <f t="shared" si="2"/>
        <v/>
      </c>
      <c r="Q4101" s="25" t="str">
        <f ca="1">IFERROR(__xludf.DUMMYFUNCTION("""COMPUTED_VALUE"""),"Sin defenir")</f>
        <v>Sin defenir</v>
      </c>
      <c r="R4101" s="25"/>
      <c r="S4101" s="55"/>
      <c r="T4101" s="56"/>
      <c r="U4101" s="25"/>
      <c r="V4101" s="25"/>
      <c r="W4101" s="25"/>
      <c r="X4101" s="25"/>
      <c r="Y4101" s="25"/>
      <c r="Z4101" s="25"/>
    </row>
    <row r="4102" spans="1:26" ht="52.5" customHeight="1" x14ac:dyDescent="0.25">
      <c r="A4102" s="25" t="str">
        <f ca="1">IFERROR(__xludf.DUMMYFUNCTION("""COMPUTED_VALUE"""),"Hacie200")</f>
        <v>Hacie200</v>
      </c>
      <c r="B4102" s="25"/>
      <c r="C4102" s="55"/>
      <c r="D4102" s="25" t="str">
        <f ca="1">IFERROR(__xludf.DUMMYFUNCTION("""COMPUTED_VALUE"""),"Hacienda")</f>
        <v>Hacienda</v>
      </c>
      <c r="E4102" s="25"/>
      <c r="F4102" s="25"/>
      <c r="G4102" s="25"/>
      <c r="H4102" s="25"/>
      <c r="I4102" s="25"/>
      <c r="J4102" s="55"/>
      <c r="K4102" s="25" t="str">
        <f ca="1">IFERROR(__xludf.DUMMYFUNCTION("""COMPUTED_VALUE"""),"Definir fecha")</f>
        <v>Definir fecha</v>
      </c>
      <c r="L4102" s="62"/>
      <c r="M4102" s="25"/>
      <c r="N4102" s="25"/>
      <c r="O4102" s="25">
        <f t="shared" si="0"/>
        <v>0</v>
      </c>
      <c r="P4102" s="25" t="str">
        <f t="shared" si="2"/>
        <v/>
      </c>
      <c r="Q4102" s="25" t="str">
        <f ca="1">IFERROR(__xludf.DUMMYFUNCTION("""COMPUTED_VALUE"""),"Sin defenir")</f>
        <v>Sin defenir</v>
      </c>
      <c r="R4102" s="25"/>
      <c r="S4102" s="55"/>
      <c r="T4102" s="56"/>
      <c r="U4102" s="25"/>
      <c r="V4102" s="25"/>
      <c r="W4102" s="25"/>
      <c r="X4102" s="25"/>
      <c r="Y4102" s="25"/>
      <c r="Z4102" s="25"/>
    </row>
    <row r="4103" spans="1:26" ht="52.5" customHeight="1" x14ac:dyDescent="0.25">
      <c r="A4103" s="25" t="str">
        <f ca="1">IFERROR(__xludf.DUMMYFUNCTION("""COMPUTED_VALUE"""),"Hacie201")</f>
        <v>Hacie201</v>
      </c>
      <c r="B4103" s="25"/>
      <c r="C4103" s="55"/>
      <c r="D4103" s="25" t="str">
        <f ca="1">IFERROR(__xludf.DUMMYFUNCTION("""COMPUTED_VALUE"""),"Hacienda")</f>
        <v>Hacienda</v>
      </c>
      <c r="E4103" s="25"/>
      <c r="F4103" s="25"/>
      <c r="G4103" s="25"/>
      <c r="H4103" s="25"/>
      <c r="I4103" s="25"/>
      <c r="J4103" s="55"/>
      <c r="K4103" s="25" t="str">
        <f ca="1">IFERROR(__xludf.DUMMYFUNCTION("""COMPUTED_VALUE"""),"Definir fecha")</f>
        <v>Definir fecha</v>
      </c>
      <c r="L4103" s="62"/>
      <c r="M4103" s="25"/>
      <c r="N4103" s="25"/>
      <c r="O4103" s="25">
        <f t="shared" si="0"/>
        <v>0</v>
      </c>
      <c r="P4103" s="25" t="str">
        <f t="shared" si="2"/>
        <v/>
      </c>
      <c r="Q4103" s="25" t="str">
        <f ca="1">IFERROR(__xludf.DUMMYFUNCTION("""COMPUTED_VALUE"""),"Sin defenir")</f>
        <v>Sin defenir</v>
      </c>
      <c r="R4103" s="25"/>
      <c r="S4103" s="55"/>
      <c r="T4103" s="56"/>
      <c r="U4103" s="25"/>
      <c r="V4103" s="25"/>
      <c r="W4103" s="25"/>
      <c r="X4103" s="25"/>
      <c r="Y4103" s="25"/>
      <c r="Z4103" s="25"/>
    </row>
    <row r="4104" spans="1:26" ht="52.5" customHeight="1" x14ac:dyDescent="0.25">
      <c r="A4104" s="25" t="str">
        <f ca="1">IFERROR(__xludf.DUMMYFUNCTION("""COMPUTED_VALUE"""),"Hacie202")</f>
        <v>Hacie202</v>
      </c>
      <c r="B4104" s="25"/>
      <c r="C4104" s="55"/>
      <c r="D4104" s="25" t="str">
        <f ca="1">IFERROR(__xludf.DUMMYFUNCTION("""COMPUTED_VALUE"""),"Hacienda")</f>
        <v>Hacienda</v>
      </c>
      <c r="E4104" s="25"/>
      <c r="F4104" s="25"/>
      <c r="G4104" s="25"/>
      <c r="H4104" s="25"/>
      <c r="I4104" s="25"/>
      <c r="J4104" s="55"/>
      <c r="K4104" s="25" t="str">
        <f ca="1">IFERROR(__xludf.DUMMYFUNCTION("""COMPUTED_VALUE"""),"Definir fecha")</f>
        <v>Definir fecha</v>
      </c>
      <c r="L4104" s="62"/>
      <c r="M4104" s="25"/>
      <c r="N4104" s="25"/>
      <c r="O4104" s="25">
        <f t="shared" si="0"/>
        <v>0</v>
      </c>
      <c r="P4104" s="25" t="str">
        <f t="shared" si="2"/>
        <v/>
      </c>
      <c r="Q4104" s="25" t="str">
        <f ca="1">IFERROR(__xludf.DUMMYFUNCTION("""COMPUTED_VALUE"""),"Sin defenir")</f>
        <v>Sin defenir</v>
      </c>
      <c r="R4104" s="25"/>
      <c r="S4104" s="55"/>
      <c r="T4104" s="56"/>
      <c r="U4104" s="25"/>
      <c r="V4104" s="25"/>
      <c r="W4104" s="25"/>
      <c r="X4104" s="25"/>
      <c r="Y4104" s="25"/>
      <c r="Z4104" s="25"/>
    </row>
    <row r="4105" spans="1:26" ht="52.5" customHeight="1" x14ac:dyDescent="0.25">
      <c r="A4105" s="25" t="str">
        <f ca="1">IFERROR(__xludf.DUMMYFUNCTION("""COMPUTED_VALUE"""),"Hacie203")</f>
        <v>Hacie203</v>
      </c>
      <c r="B4105" s="25"/>
      <c r="C4105" s="55"/>
      <c r="D4105" s="25" t="str">
        <f ca="1">IFERROR(__xludf.DUMMYFUNCTION("""COMPUTED_VALUE"""),"Hacienda")</f>
        <v>Hacienda</v>
      </c>
      <c r="E4105" s="25"/>
      <c r="F4105" s="25"/>
      <c r="G4105" s="25"/>
      <c r="H4105" s="25"/>
      <c r="I4105" s="25"/>
      <c r="J4105" s="55"/>
      <c r="K4105" s="25" t="str">
        <f ca="1">IFERROR(__xludf.DUMMYFUNCTION("""COMPUTED_VALUE"""),"Definir fecha")</f>
        <v>Definir fecha</v>
      </c>
      <c r="L4105" s="62"/>
      <c r="M4105" s="25"/>
      <c r="N4105" s="25"/>
      <c r="O4105" s="25">
        <f t="shared" si="0"/>
        <v>0</v>
      </c>
      <c r="P4105" s="25" t="str">
        <f t="shared" si="2"/>
        <v/>
      </c>
      <c r="Q4105" s="25" t="str">
        <f ca="1">IFERROR(__xludf.DUMMYFUNCTION("""COMPUTED_VALUE"""),"Sin defenir")</f>
        <v>Sin defenir</v>
      </c>
      <c r="R4105" s="25"/>
      <c r="S4105" s="55"/>
      <c r="T4105" s="56"/>
      <c r="U4105" s="25"/>
      <c r="V4105" s="25"/>
      <c r="W4105" s="25"/>
      <c r="X4105" s="25"/>
      <c r="Y4105" s="25"/>
      <c r="Z4105" s="25"/>
    </row>
    <row r="4106" spans="1:26" ht="52.5" customHeight="1" x14ac:dyDescent="0.25">
      <c r="A4106" s="25" t="str">
        <f ca="1">IFERROR(__xludf.DUMMYFUNCTION("""COMPUTED_VALUE"""),"Hacie204")</f>
        <v>Hacie204</v>
      </c>
      <c r="B4106" s="25"/>
      <c r="C4106" s="55"/>
      <c r="D4106" s="25" t="str">
        <f ca="1">IFERROR(__xludf.DUMMYFUNCTION("""COMPUTED_VALUE"""),"Hacienda")</f>
        <v>Hacienda</v>
      </c>
      <c r="E4106" s="25"/>
      <c r="F4106" s="25"/>
      <c r="G4106" s="25"/>
      <c r="H4106" s="25"/>
      <c r="I4106" s="25"/>
      <c r="J4106" s="55"/>
      <c r="K4106" s="25" t="str">
        <f ca="1">IFERROR(__xludf.DUMMYFUNCTION("""COMPUTED_VALUE"""),"Definir fecha")</f>
        <v>Definir fecha</v>
      </c>
      <c r="L4106" s="62"/>
      <c r="M4106" s="25"/>
      <c r="N4106" s="25"/>
      <c r="O4106" s="25">
        <f t="shared" si="0"/>
        <v>0</v>
      </c>
      <c r="P4106" s="25" t="str">
        <f t="shared" si="2"/>
        <v/>
      </c>
      <c r="Q4106" s="25" t="str">
        <f ca="1">IFERROR(__xludf.DUMMYFUNCTION("""COMPUTED_VALUE"""),"Sin defenir")</f>
        <v>Sin defenir</v>
      </c>
      <c r="R4106" s="25"/>
      <c r="S4106" s="55"/>
      <c r="T4106" s="56"/>
      <c r="U4106" s="25"/>
      <c r="V4106" s="25"/>
      <c r="W4106" s="25"/>
      <c r="X4106" s="25"/>
      <c r="Y4106" s="25"/>
      <c r="Z4106" s="25"/>
    </row>
    <row r="4107" spans="1:26" ht="52.5" customHeight="1" x14ac:dyDescent="0.25">
      <c r="A4107" s="25" t="str">
        <f ca="1">IFERROR(__xludf.DUMMYFUNCTION("""COMPUTED_VALUE"""),"Hacie205")</f>
        <v>Hacie205</v>
      </c>
      <c r="B4107" s="25"/>
      <c r="C4107" s="55"/>
      <c r="D4107" s="25" t="str">
        <f ca="1">IFERROR(__xludf.DUMMYFUNCTION("""COMPUTED_VALUE"""),"Hacienda")</f>
        <v>Hacienda</v>
      </c>
      <c r="E4107" s="25"/>
      <c r="F4107" s="25"/>
      <c r="G4107" s="25"/>
      <c r="H4107" s="25"/>
      <c r="I4107" s="25"/>
      <c r="J4107" s="55"/>
      <c r="K4107" s="25" t="str">
        <f ca="1">IFERROR(__xludf.DUMMYFUNCTION("""COMPUTED_VALUE"""),"Definir fecha")</f>
        <v>Definir fecha</v>
      </c>
      <c r="L4107" s="62"/>
      <c r="M4107" s="25"/>
      <c r="N4107" s="25"/>
      <c r="O4107" s="25">
        <f t="shared" si="0"/>
        <v>0</v>
      </c>
      <c r="P4107" s="25" t="str">
        <f t="shared" si="2"/>
        <v/>
      </c>
      <c r="Q4107" s="25" t="str">
        <f ca="1">IFERROR(__xludf.DUMMYFUNCTION("""COMPUTED_VALUE"""),"Sin defenir")</f>
        <v>Sin defenir</v>
      </c>
      <c r="R4107" s="25"/>
      <c r="S4107" s="55"/>
      <c r="T4107" s="56"/>
      <c r="U4107" s="25"/>
      <c r="V4107" s="25"/>
      <c r="W4107" s="25"/>
      <c r="X4107" s="25"/>
      <c r="Y4107" s="25"/>
      <c r="Z4107" s="25"/>
    </row>
    <row r="4108" spans="1:26" ht="52.5" customHeight="1" x14ac:dyDescent="0.25">
      <c r="A4108" s="25" t="str">
        <f ca="1">IFERROR(__xludf.DUMMYFUNCTION("""COMPUTED_VALUE"""),"Hacie206")</f>
        <v>Hacie206</v>
      </c>
      <c r="B4108" s="25"/>
      <c r="C4108" s="55"/>
      <c r="D4108" s="25" t="str">
        <f ca="1">IFERROR(__xludf.DUMMYFUNCTION("""COMPUTED_VALUE"""),"Hacienda")</f>
        <v>Hacienda</v>
      </c>
      <c r="E4108" s="25"/>
      <c r="F4108" s="25"/>
      <c r="G4108" s="25"/>
      <c r="H4108" s="25"/>
      <c r="I4108" s="25"/>
      <c r="J4108" s="55"/>
      <c r="K4108" s="25" t="str">
        <f ca="1">IFERROR(__xludf.DUMMYFUNCTION("""COMPUTED_VALUE"""),"Definir fecha")</f>
        <v>Definir fecha</v>
      </c>
      <c r="L4108" s="62"/>
      <c r="M4108" s="25"/>
      <c r="N4108" s="25"/>
      <c r="O4108" s="25">
        <f t="shared" si="0"/>
        <v>0</v>
      </c>
      <c r="P4108" s="25" t="str">
        <f t="shared" si="2"/>
        <v/>
      </c>
      <c r="Q4108" s="25" t="str">
        <f ca="1">IFERROR(__xludf.DUMMYFUNCTION("""COMPUTED_VALUE"""),"Sin defenir")</f>
        <v>Sin defenir</v>
      </c>
      <c r="R4108" s="25"/>
      <c r="S4108" s="55"/>
      <c r="T4108" s="56"/>
      <c r="U4108" s="25"/>
      <c r="V4108" s="25"/>
      <c r="W4108" s="25"/>
      <c r="X4108" s="25"/>
      <c r="Y4108" s="25"/>
      <c r="Z4108" s="25"/>
    </row>
    <row r="4109" spans="1:26" ht="52.5" customHeight="1" x14ac:dyDescent="0.25">
      <c r="A4109" s="25" t="str">
        <f ca="1">IFERROR(__xludf.DUMMYFUNCTION("""COMPUTED_VALUE"""),"Hacie207")</f>
        <v>Hacie207</v>
      </c>
      <c r="B4109" s="25"/>
      <c r="C4109" s="55"/>
      <c r="D4109" s="25" t="str">
        <f ca="1">IFERROR(__xludf.DUMMYFUNCTION("""COMPUTED_VALUE"""),"Hacienda")</f>
        <v>Hacienda</v>
      </c>
      <c r="E4109" s="25"/>
      <c r="F4109" s="25"/>
      <c r="G4109" s="25"/>
      <c r="H4109" s="25"/>
      <c r="I4109" s="25"/>
      <c r="J4109" s="55"/>
      <c r="K4109" s="25" t="str">
        <f ca="1">IFERROR(__xludf.DUMMYFUNCTION("""COMPUTED_VALUE"""),"Definir fecha")</f>
        <v>Definir fecha</v>
      </c>
      <c r="L4109" s="62"/>
      <c r="M4109" s="25"/>
      <c r="N4109" s="25"/>
      <c r="O4109" s="25">
        <f t="shared" si="0"/>
        <v>0</v>
      </c>
      <c r="P4109" s="25" t="str">
        <f t="shared" si="2"/>
        <v/>
      </c>
      <c r="Q4109" s="25" t="str">
        <f ca="1">IFERROR(__xludf.DUMMYFUNCTION("""COMPUTED_VALUE"""),"Sin defenir")</f>
        <v>Sin defenir</v>
      </c>
      <c r="R4109" s="25"/>
      <c r="S4109" s="55"/>
      <c r="T4109" s="56"/>
      <c r="U4109" s="25"/>
      <c r="V4109" s="25"/>
      <c r="W4109" s="25"/>
      <c r="X4109" s="25"/>
      <c r="Y4109" s="25"/>
      <c r="Z4109" s="25"/>
    </row>
    <row r="4110" spans="1:26" ht="52.5" customHeight="1" x14ac:dyDescent="0.25">
      <c r="A4110" s="25" t="str">
        <f ca="1">IFERROR(__xludf.DUMMYFUNCTION("""COMPUTED_VALUE"""),"Hacie208")</f>
        <v>Hacie208</v>
      </c>
      <c r="B4110" s="25"/>
      <c r="C4110" s="55"/>
      <c r="D4110" s="25" t="str">
        <f ca="1">IFERROR(__xludf.DUMMYFUNCTION("""COMPUTED_VALUE"""),"Hacienda")</f>
        <v>Hacienda</v>
      </c>
      <c r="E4110" s="25"/>
      <c r="F4110" s="25"/>
      <c r="G4110" s="25"/>
      <c r="H4110" s="25"/>
      <c r="I4110" s="25"/>
      <c r="J4110" s="55"/>
      <c r="K4110" s="25" t="str">
        <f ca="1">IFERROR(__xludf.DUMMYFUNCTION("""COMPUTED_VALUE"""),"Definir fecha")</f>
        <v>Definir fecha</v>
      </c>
      <c r="L4110" s="62"/>
      <c r="M4110" s="25"/>
      <c r="N4110" s="25"/>
      <c r="O4110" s="25">
        <f t="shared" si="0"/>
        <v>0</v>
      </c>
      <c r="P4110" s="25" t="str">
        <f t="shared" si="2"/>
        <v/>
      </c>
      <c r="Q4110" s="25" t="str">
        <f ca="1">IFERROR(__xludf.DUMMYFUNCTION("""COMPUTED_VALUE"""),"Sin defenir")</f>
        <v>Sin defenir</v>
      </c>
      <c r="R4110" s="25"/>
      <c r="S4110" s="55"/>
      <c r="T4110" s="56"/>
      <c r="U4110" s="25"/>
      <c r="V4110" s="25"/>
      <c r="W4110" s="25"/>
      <c r="X4110" s="25"/>
      <c r="Y4110" s="25"/>
      <c r="Z4110" s="25"/>
    </row>
    <row r="4111" spans="1:26" ht="52.5" customHeight="1" x14ac:dyDescent="0.25">
      <c r="A4111" s="25" t="str">
        <f ca="1">IFERROR(__xludf.DUMMYFUNCTION("""COMPUTED_VALUE"""),"Hacie209")</f>
        <v>Hacie209</v>
      </c>
      <c r="B4111" s="25"/>
      <c r="C4111" s="55"/>
      <c r="D4111" s="25" t="str">
        <f ca="1">IFERROR(__xludf.DUMMYFUNCTION("""COMPUTED_VALUE"""),"Hacienda")</f>
        <v>Hacienda</v>
      </c>
      <c r="E4111" s="25"/>
      <c r="F4111" s="25"/>
      <c r="G4111" s="25"/>
      <c r="H4111" s="25"/>
      <c r="I4111" s="25"/>
      <c r="J4111" s="55"/>
      <c r="K4111" s="25" t="str">
        <f ca="1">IFERROR(__xludf.DUMMYFUNCTION("""COMPUTED_VALUE"""),"Definir fecha")</f>
        <v>Definir fecha</v>
      </c>
      <c r="L4111" s="62"/>
      <c r="M4111" s="25"/>
      <c r="N4111" s="25"/>
      <c r="O4111" s="25">
        <f t="shared" si="0"/>
        <v>0</v>
      </c>
      <c r="P4111" s="25" t="str">
        <f t="shared" si="2"/>
        <v/>
      </c>
      <c r="Q4111" s="25" t="str">
        <f ca="1">IFERROR(__xludf.DUMMYFUNCTION("""COMPUTED_VALUE"""),"Sin defenir")</f>
        <v>Sin defenir</v>
      </c>
      <c r="R4111" s="25"/>
      <c r="S4111" s="55"/>
      <c r="T4111" s="56"/>
      <c r="U4111" s="25"/>
      <c r="V4111" s="25"/>
      <c r="W4111" s="25"/>
      <c r="X4111" s="25"/>
      <c r="Y4111" s="25"/>
      <c r="Z4111" s="25"/>
    </row>
    <row r="4112" spans="1:26" ht="52.5" customHeight="1" x14ac:dyDescent="0.25">
      <c r="A4112" s="25" t="str">
        <f ca="1">IFERROR(__xludf.DUMMYFUNCTION("""COMPUTED_VALUE"""),"Hacie210")</f>
        <v>Hacie210</v>
      </c>
      <c r="B4112" s="25"/>
      <c r="C4112" s="55"/>
      <c r="D4112" s="25" t="str">
        <f ca="1">IFERROR(__xludf.DUMMYFUNCTION("""COMPUTED_VALUE"""),"Hacienda")</f>
        <v>Hacienda</v>
      </c>
      <c r="E4112" s="25"/>
      <c r="F4112" s="25"/>
      <c r="G4112" s="25"/>
      <c r="H4112" s="25"/>
      <c r="I4112" s="25"/>
      <c r="J4112" s="55"/>
      <c r="K4112" s="25" t="str">
        <f ca="1">IFERROR(__xludf.DUMMYFUNCTION("""COMPUTED_VALUE"""),"Definir fecha")</f>
        <v>Definir fecha</v>
      </c>
      <c r="L4112" s="62"/>
      <c r="M4112" s="25"/>
      <c r="N4112" s="25"/>
      <c r="O4112" s="25">
        <f t="shared" si="0"/>
        <v>0</v>
      </c>
      <c r="P4112" s="25" t="str">
        <f t="shared" si="2"/>
        <v/>
      </c>
      <c r="Q4112" s="25" t="str">
        <f ca="1">IFERROR(__xludf.DUMMYFUNCTION("""COMPUTED_VALUE"""),"Sin defenir")</f>
        <v>Sin defenir</v>
      </c>
      <c r="R4112" s="25"/>
      <c r="S4112" s="55"/>
      <c r="T4112" s="56"/>
      <c r="U4112" s="25"/>
      <c r="V4112" s="25"/>
      <c r="W4112" s="25"/>
      <c r="X4112" s="25"/>
      <c r="Y4112" s="25"/>
      <c r="Z4112" s="25"/>
    </row>
    <row r="4113" spans="1:26" ht="52.5" customHeight="1" x14ac:dyDescent="0.25">
      <c r="A4113" s="25" t="str">
        <f ca="1">IFERROR(__xludf.DUMMYFUNCTION("""COMPUTED_VALUE"""),"Hacie211")</f>
        <v>Hacie211</v>
      </c>
      <c r="B4113" s="25"/>
      <c r="C4113" s="55"/>
      <c r="D4113" s="25" t="str">
        <f ca="1">IFERROR(__xludf.DUMMYFUNCTION("""COMPUTED_VALUE"""),"Hacienda")</f>
        <v>Hacienda</v>
      </c>
      <c r="E4113" s="25"/>
      <c r="F4113" s="25"/>
      <c r="G4113" s="25"/>
      <c r="H4113" s="25"/>
      <c r="I4113" s="25"/>
      <c r="J4113" s="55"/>
      <c r="K4113" s="25" t="str">
        <f ca="1">IFERROR(__xludf.DUMMYFUNCTION("""COMPUTED_VALUE"""),"Definir fecha")</f>
        <v>Definir fecha</v>
      </c>
      <c r="L4113" s="62"/>
      <c r="M4113" s="25"/>
      <c r="N4113" s="25"/>
      <c r="O4113" s="25">
        <f t="shared" si="0"/>
        <v>0</v>
      </c>
      <c r="P4113" s="25" t="str">
        <f t="shared" si="2"/>
        <v/>
      </c>
      <c r="Q4113" s="25" t="str">
        <f ca="1">IFERROR(__xludf.DUMMYFUNCTION("""COMPUTED_VALUE"""),"Sin defenir")</f>
        <v>Sin defenir</v>
      </c>
      <c r="R4113" s="25"/>
      <c r="S4113" s="55"/>
      <c r="T4113" s="56"/>
      <c r="U4113" s="25"/>
      <c r="V4113" s="25"/>
      <c r="W4113" s="25"/>
      <c r="X4113" s="25"/>
      <c r="Y4113" s="25"/>
      <c r="Z4113" s="25"/>
    </row>
    <row r="4114" spans="1:26" ht="52.5" customHeight="1" x14ac:dyDescent="0.25">
      <c r="A4114" s="25" t="str">
        <f ca="1">IFERROR(__xludf.DUMMYFUNCTION("""COMPUTED_VALUE"""),"Hacie212")</f>
        <v>Hacie212</v>
      </c>
      <c r="B4114" s="25"/>
      <c r="C4114" s="55"/>
      <c r="D4114" s="25" t="str">
        <f ca="1">IFERROR(__xludf.DUMMYFUNCTION("""COMPUTED_VALUE"""),"Hacienda")</f>
        <v>Hacienda</v>
      </c>
      <c r="E4114" s="25"/>
      <c r="F4114" s="25"/>
      <c r="G4114" s="25"/>
      <c r="H4114" s="25"/>
      <c r="I4114" s="25"/>
      <c r="J4114" s="55"/>
      <c r="K4114" s="25" t="str">
        <f ca="1">IFERROR(__xludf.DUMMYFUNCTION("""COMPUTED_VALUE"""),"Definir fecha")</f>
        <v>Definir fecha</v>
      </c>
      <c r="L4114" s="62"/>
      <c r="M4114" s="25"/>
      <c r="N4114" s="25"/>
      <c r="O4114" s="25">
        <f t="shared" si="0"/>
        <v>0</v>
      </c>
      <c r="P4114" s="25" t="str">
        <f t="shared" si="2"/>
        <v/>
      </c>
      <c r="Q4114" s="25" t="str">
        <f ca="1">IFERROR(__xludf.DUMMYFUNCTION("""COMPUTED_VALUE"""),"Sin defenir")</f>
        <v>Sin defenir</v>
      </c>
      <c r="R4114" s="25"/>
      <c r="S4114" s="55"/>
      <c r="T4114" s="56"/>
      <c r="U4114" s="25"/>
      <c r="V4114" s="25"/>
      <c r="W4114" s="25"/>
      <c r="X4114" s="25"/>
      <c r="Y4114" s="25"/>
      <c r="Z4114" s="25"/>
    </row>
    <row r="4115" spans="1:26" ht="52.5" customHeight="1" x14ac:dyDescent="0.25">
      <c r="A4115" s="25" t="str">
        <f ca="1">IFERROR(__xludf.DUMMYFUNCTION("""COMPUTED_VALUE"""),"Hacie213")</f>
        <v>Hacie213</v>
      </c>
      <c r="B4115" s="25"/>
      <c r="C4115" s="55"/>
      <c r="D4115" s="25" t="str">
        <f ca="1">IFERROR(__xludf.DUMMYFUNCTION("""COMPUTED_VALUE"""),"Hacienda")</f>
        <v>Hacienda</v>
      </c>
      <c r="E4115" s="25"/>
      <c r="F4115" s="25"/>
      <c r="G4115" s="25"/>
      <c r="H4115" s="25"/>
      <c r="I4115" s="25"/>
      <c r="J4115" s="55"/>
      <c r="K4115" s="25" t="str">
        <f ca="1">IFERROR(__xludf.DUMMYFUNCTION("""COMPUTED_VALUE"""),"Definir fecha")</f>
        <v>Definir fecha</v>
      </c>
      <c r="L4115" s="62"/>
      <c r="M4115" s="25"/>
      <c r="N4115" s="25"/>
      <c r="O4115" s="25">
        <f t="shared" si="0"/>
        <v>0</v>
      </c>
      <c r="P4115" s="25" t="str">
        <f t="shared" si="2"/>
        <v/>
      </c>
      <c r="Q4115" s="25" t="str">
        <f ca="1">IFERROR(__xludf.DUMMYFUNCTION("""COMPUTED_VALUE"""),"Sin defenir")</f>
        <v>Sin defenir</v>
      </c>
      <c r="R4115" s="25"/>
      <c r="S4115" s="55"/>
      <c r="T4115" s="56"/>
      <c r="U4115" s="25"/>
      <c r="V4115" s="25"/>
      <c r="W4115" s="25"/>
      <c r="X4115" s="25"/>
      <c r="Y4115" s="25"/>
      <c r="Z4115" s="25"/>
    </row>
    <row r="4116" spans="1:26" ht="52.5" customHeight="1" x14ac:dyDescent="0.25">
      <c r="A4116" s="25" t="str">
        <f ca="1">IFERROR(__xludf.DUMMYFUNCTION("""COMPUTED_VALUE"""),"Hacie214")</f>
        <v>Hacie214</v>
      </c>
      <c r="B4116" s="25"/>
      <c r="C4116" s="55"/>
      <c r="D4116" s="25" t="str">
        <f ca="1">IFERROR(__xludf.DUMMYFUNCTION("""COMPUTED_VALUE"""),"Hacienda")</f>
        <v>Hacienda</v>
      </c>
      <c r="E4116" s="25"/>
      <c r="F4116" s="25"/>
      <c r="G4116" s="25"/>
      <c r="H4116" s="25"/>
      <c r="I4116" s="25"/>
      <c r="J4116" s="55"/>
      <c r="K4116" s="25" t="str">
        <f ca="1">IFERROR(__xludf.DUMMYFUNCTION("""COMPUTED_VALUE"""),"Definir fecha")</f>
        <v>Definir fecha</v>
      </c>
      <c r="L4116" s="62"/>
      <c r="M4116" s="25"/>
      <c r="N4116" s="25"/>
      <c r="O4116" s="25">
        <f t="shared" si="0"/>
        <v>0</v>
      </c>
      <c r="P4116" s="25" t="str">
        <f t="shared" si="2"/>
        <v/>
      </c>
      <c r="Q4116" s="25" t="str">
        <f ca="1">IFERROR(__xludf.DUMMYFUNCTION("""COMPUTED_VALUE"""),"Sin defenir")</f>
        <v>Sin defenir</v>
      </c>
      <c r="R4116" s="25"/>
      <c r="S4116" s="55"/>
      <c r="T4116" s="56"/>
      <c r="U4116" s="25"/>
      <c r="V4116" s="25"/>
      <c r="W4116" s="25"/>
      <c r="X4116" s="25"/>
      <c r="Y4116" s="25"/>
      <c r="Z4116" s="25"/>
    </row>
    <row r="4117" spans="1:26" ht="52.5" customHeight="1" x14ac:dyDescent="0.25">
      <c r="A4117" s="25" t="str">
        <f ca="1">IFERROR(__xludf.DUMMYFUNCTION("""COMPUTED_VALUE"""),"Hacie215")</f>
        <v>Hacie215</v>
      </c>
      <c r="B4117" s="25"/>
      <c r="C4117" s="55"/>
      <c r="D4117" s="25" t="str">
        <f ca="1">IFERROR(__xludf.DUMMYFUNCTION("""COMPUTED_VALUE"""),"Hacienda")</f>
        <v>Hacienda</v>
      </c>
      <c r="E4117" s="25"/>
      <c r="F4117" s="25"/>
      <c r="G4117" s="25"/>
      <c r="H4117" s="25"/>
      <c r="I4117" s="25"/>
      <c r="J4117" s="55"/>
      <c r="K4117" s="25" t="str">
        <f ca="1">IFERROR(__xludf.DUMMYFUNCTION("""COMPUTED_VALUE"""),"Definir fecha")</f>
        <v>Definir fecha</v>
      </c>
      <c r="L4117" s="62"/>
      <c r="M4117" s="25"/>
      <c r="N4117" s="25"/>
      <c r="O4117" s="25">
        <f t="shared" si="0"/>
        <v>0</v>
      </c>
      <c r="P4117" s="25" t="str">
        <f t="shared" si="2"/>
        <v/>
      </c>
      <c r="Q4117" s="25" t="str">
        <f ca="1">IFERROR(__xludf.DUMMYFUNCTION("""COMPUTED_VALUE"""),"Sin defenir")</f>
        <v>Sin defenir</v>
      </c>
      <c r="R4117" s="25"/>
      <c r="S4117" s="55"/>
      <c r="T4117" s="56"/>
      <c r="U4117" s="25"/>
      <c r="V4117" s="25"/>
      <c r="W4117" s="25"/>
      <c r="X4117" s="25"/>
      <c r="Y4117" s="25"/>
      <c r="Z4117" s="25"/>
    </row>
    <row r="4118" spans="1:26" ht="52.5" customHeight="1" x14ac:dyDescent="0.25">
      <c r="A4118" s="25" t="str">
        <f ca="1">IFERROR(__xludf.DUMMYFUNCTION("""COMPUTED_VALUE"""),"Hacie216")</f>
        <v>Hacie216</v>
      </c>
      <c r="B4118" s="25"/>
      <c r="C4118" s="55"/>
      <c r="D4118" s="25" t="str">
        <f ca="1">IFERROR(__xludf.DUMMYFUNCTION("""COMPUTED_VALUE"""),"Hacienda")</f>
        <v>Hacienda</v>
      </c>
      <c r="E4118" s="25"/>
      <c r="F4118" s="25"/>
      <c r="G4118" s="25"/>
      <c r="H4118" s="25"/>
      <c r="I4118" s="25"/>
      <c r="J4118" s="55"/>
      <c r="K4118" s="25" t="str">
        <f ca="1">IFERROR(__xludf.DUMMYFUNCTION("""COMPUTED_VALUE"""),"Definir fecha")</f>
        <v>Definir fecha</v>
      </c>
      <c r="L4118" s="62"/>
      <c r="M4118" s="25"/>
      <c r="N4118" s="25"/>
      <c r="O4118" s="25">
        <f t="shared" si="0"/>
        <v>0</v>
      </c>
      <c r="P4118" s="25" t="str">
        <f t="shared" si="2"/>
        <v/>
      </c>
      <c r="Q4118" s="25" t="str">
        <f ca="1">IFERROR(__xludf.DUMMYFUNCTION("""COMPUTED_VALUE"""),"Sin defenir")</f>
        <v>Sin defenir</v>
      </c>
      <c r="R4118" s="25"/>
      <c r="S4118" s="55"/>
      <c r="T4118" s="56"/>
      <c r="U4118" s="25"/>
      <c r="V4118" s="25"/>
      <c r="W4118" s="25"/>
      <c r="X4118" s="25"/>
      <c r="Y4118" s="25"/>
      <c r="Z4118" s="25"/>
    </row>
    <row r="4119" spans="1:26" ht="52.5" customHeight="1" x14ac:dyDescent="0.25">
      <c r="A4119" s="25" t="str">
        <f ca="1">IFERROR(__xludf.DUMMYFUNCTION("""COMPUTED_VALUE"""),"Hacie217")</f>
        <v>Hacie217</v>
      </c>
      <c r="B4119" s="25"/>
      <c r="C4119" s="55"/>
      <c r="D4119" s="25" t="str">
        <f ca="1">IFERROR(__xludf.DUMMYFUNCTION("""COMPUTED_VALUE"""),"Hacienda")</f>
        <v>Hacienda</v>
      </c>
      <c r="E4119" s="25"/>
      <c r="F4119" s="25"/>
      <c r="G4119" s="25"/>
      <c r="H4119" s="25"/>
      <c r="I4119" s="25"/>
      <c r="J4119" s="55"/>
      <c r="K4119" s="25" t="str">
        <f ca="1">IFERROR(__xludf.DUMMYFUNCTION("""COMPUTED_VALUE"""),"Definir fecha")</f>
        <v>Definir fecha</v>
      </c>
      <c r="L4119" s="62"/>
      <c r="M4119" s="25"/>
      <c r="N4119" s="25"/>
      <c r="O4119" s="25">
        <f t="shared" si="0"/>
        <v>0</v>
      </c>
      <c r="P4119" s="25" t="str">
        <f t="shared" si="2"/>
        <v/>
      </c>
      <c r="Q4119" s="25" t="str">
        <f ca="1">IFERROR(__xludf.DUMMYFUNCTION("""COMPUTED_VALUE"""),"Sin defenir")</f>
        <v>Sin defenir</v>
      </c>
      <c r="R4119" s="25"/>
      <c r="S4119" s="55"/>
      <c r="T4119" s="56"/>
      <c r="U4119" s="25"/>
      <c r="V4119" s="25"/>
      <c r="W4119" s="25"/>
      <c r="X4119" s="25"/>
      <c r="Y4119" s="25"/>
      <c r="Z4119" s="25"/>
    </row>
    <row r="4120" spans="1:26" ht="52.5" customHeight="1" x14ac:dyDescent="0.25">
      <c r="A4120" s="25" t="str">
        <f ca="1">IFERROR(__xludf.DUMMYFUNCTION("""COMPUTED_VALUE"""),"Hacie218")</f>
        <v>Hacie218</v>
      </c>
      <c r="B4120" s="25"/>
      <c r="C4120" s="55"/>
      <c r="D4120" s="25" t="str">
        <f ca="1">IFERROR(__xludf.DUMMYFUNCTION("""COMPUTED_VALUE"""),"Hacienda")</f>
        <v>Hacienda</v>
      </c>
      <c r="E4120" s="25"/>
      <c r="F4120" s="25"/>
      <c r="G4120" s="25"/>
      <c r="H4120" s="25"/>
      <c r="I4120" s="25"/>
      <c r="J4120" s="55"/>
      <c r="K4120" s="25" t="str">
        <f ca="1">IFERROR(__xludf.DUMMYFUNCTION("""COMPUTED_VALUE"""),"Definir fecha")</f>
        <v>Definir fecha</v>
      </c>
      <c r="L4120" s="62"/>
      <c r="M4120" s="25"/>
      <c r="N4120" s="25"/>
      <c r="O4120" s="25">
        <f t="shared" si="0"/>
        <v>0</v>
      </c>
      <c r="P4120" s="25" t="str">
        <f t="shared" si="2"/>
        <v/>
      </c>
      <c r="Q4120" s="25" t="str">
        <f ca="1">IFERROR(__xludf.DUMMYFUNCTION("""COMPUTED_VALUE"""),"Sin defenir")</f>
        <v>Sin defenir</v>
      </c>
      <c r="R4120" s="25"/>
      <c r="S4120" s="55"/>
      <c r="T4120" s="56"/>
      <c r="U4120" s="25"/>
      <c r="V4120" s="25"/>
      <c r="W4120" s="25"/>
      <c r="X4120" s="25"/>
      <c r="Y4120" s="25"/>
      <c r="Z4120" s="25"/>
    </row>
    <row r="4121" spans="1:26" ht="52.5" customHeight="1" x14ac:dyDescent="0.25">
      <c r="A4121" s="25" t="str">
        <f ca="1">IFERROR(__xludf.DUMMYFUNCTION("""COMPUTED_VALUE"""),"Hacie219")</f>
        <v>Hacie219</v>
      </c>
      <c r="B4121" s="25"/>
      <c r="C4121" s="55"/>
      <c r="D4121" s="25" t="str">
        <f ca="1">IFERROR(__xludf.DUMMYFUNCTION("""COMPUTED_VALUE"""),"Hacienda")</f>
        <v>Hacienda</v>
      </c>
      <c r="E4121" s="25"/>
      <c r="F4121" s="25"/>
      <c r="G4121" s="25"/>
      <c r="H4121" s="25"/>
      <c r="I4121" s="25"/>
      <c r="J4121" s="55"/>
      <c r="K4121" s="25" t="str">
        <f ca="1">IFERROR(__xludf.DUMMYFUNCTION("""COMPUTED_VALUE"""),"Definir fecha")</f>
        <v>Definir fecha</v>
      </c>
      <c r="L4121" s="62"/>
      <c r="M4121" s="25"/>
      <c r="N4121" s="25"/>
      <c r="O4121" s="25">
        <f t="shared" si="0"/>
        <v>0</v>
      </c>
      <c r="P4121" s="25" t="str">
        <f t="shared" si="2"/>
        <v/>
      </c>
      <c r="Q4121" s="25" t="str">
        <f ca="1">IFERROR(__xludf.DUMMYFUNCTION("""COMPUTED_VALUE"""),"Sin defenir")</f>
        <v>Sin defenir</v>
      </c>
      <c r="R4121" s="25"/>
      <c r="S4121" s="55"/>
      <c r="T4121" s="56"/>
      <c r="U4121" s="25"/>
      <c r="V4121" s="25"/>
      <c r="W4121" s="25"/>
      <c r="X4121" s="25"/>
      <c r="Y4121" s="25"/>
      <c r="Z4121" s="25"/>
    </row>
    <row r="4122" spans="1:26" ht="52.5" customHeight="1" x14ac:dyDescent="0.25">
      <c r="A4122" s="25" t="str">
        <f ca="1">IFERROR(__xludf.DUMMYFUNCTION("""COMPUTED_VALUE"""),"Hacie220")</f>
        <v>Hacie220</v>
      </c>
      <c r="B4122" s="25"/>
      <c r="C4122" s="55"/>
      <c r="D4122" s="25" t="str">
        <f ca="1">IFERROR(__xludf.DUMMYFUNCTION("""COMPUTED_VALUE"""),"Hacienda")</f>
        <v>Hacienda</v>
      </c>
      <c r="E4122" s="25"/>
      <c r="F4122" s="25"/>
      <c r="G4122" s="25"/>
      <c r="H4122" s="25"/>
      <c r="I4122" s="25"/>
      <c r="J4122" s="55"/>
      <c r="K4122" s="25" t="str">
        <f ca="1">IFERROR(__xludf.DUMMYFUNCTION("""COMPUTED_VALUE"""),"Definir fecha")</f>
        <v>Definir fecha</v>
      </c>
      <c r="L4122" s="62"/>
      <c r="M4122" s="25"/>
      <c r="N4122" s="25"/>
      <c r="O4122" s="25">
        <f t="shared" si="0"/>
        <v>0</v>
      </c>
      <c r="P4122" s="25" t="str">
        <f t="shared" si="2"/>
        <v/>
      </c>
      <c r="Q4122" s="25" t="str">
        <f ca="1">IFERROR(__xludf.DUMMYFUNCTION("""COMPUTED_VALUE"""),"Sin defenir")</f>
        <v>Sin defenir</v>
      </c>
      <c r="R4122" s="25"/>
      <c r="S4122" s="55"/>
      <c r="T4122" s="56"/>
      <c r="U4122" s="25"/>
      <c r="V4122" s="25"/>
      <c r="W4122" s="25"/>
      <c r="X4122" s="25"/>
      <c r="Y4122" s="25"/>
      <c r="Z4122" s="25"/>
    </row>
    <row r="4123" spans="1:26" ht="52.5" customHeight="1" x14ac:dyDescent="0.25">
      <c r="A4123" s="25" t="str">
        <f ca="1">IFERROR(__xludf.DUMMYFUNCTION("""COMPUTED_VALUE"""),"Hacie221")</f>
        <v>Hacie221</v>
      </c>
      <c r="B4123" s="25"/>
      <c r="C4123" s="55"/>
      <c r="D4123" s="25" t="str">
        <f ca="1">IFERROR(__xludf.DUMMYFUNCTION("""COMPUTED_VALUE"""),"Hacienda")</f>
        <v>Hacienda</v>
      </c>
      <c r="E4123" s="25"/>
      <c r="F4123" s="25"/>
      <c r="G4123" s="25"/>
      <c r="H4123" s="25"/>
      <c r="I4123" s="25"/>
      <c r="J4123" s="55"/>
      <c r="K4123" s="25" t="str">
        <f ca="1">IFERROR(__xludf.DUMMYFUNCTION("""COMPUTED_VALUE"""),"Definir fecha")</f>
        <v>Definir fecha</v>
      </c>
      <c r="L4123" s="62"/>
      <c r="M4123" s="25"/>
      <c r="N4123" s="25"/>
      <c r="O4123" s="25">
        <f t="shared" si="0"/>
        <v>0</v>
      </c>
      <c r="P4123" s="25" t="str">
        <f t="shared" si="2"/>
        <v/>
      </c>
      <c r="Q4123" s="25" t="str">
        <f ca="1">IFERROR(__xludf.DUMMYFUNCTION("""COMPUTED_VALUE"""),"Sin defenir")</f>
        <v>Sin defenir</v>
      </c>
      <c r="R4123" s="25"/>
      <c r="S4123" s="55"/>
      <c r="T4123" s="56"/>
      <c r="U4123" s="25"/>
      <c r="V4123" s="25"/>
      <c r="W4123" s="25"/>
      <c r="X4123" s="25"/>
      <c r="Y4123" s="25"/>
      <c r="Z4123" s="25"/>
    </row>
    <row r="4124" spans="1:26" ht="52.5" customHeight="1" x14ac:dyDescent="0.25">
      <c r="A4124" s="25" t="str">
        <f ca="1">IFERROR(__xludf.DUMMYFUNCTION("""COMPUTED_VALUE"""),"Hacie222")</f>
        <v>Hacie222</v>
      </c>
      <c r="B4124" s="25"/>
      <c r="C4124" s="55"/>
      <c r="D4124" s="25" t="str">
        <f ca="1">IFERROR(__xludf.DUMMYFUNCTION("""COMPUTED_VALUE"""),"Hacienda")</f>
        <v>Hacienda</v>
      </c>
      <c r="E4124" s="25"/>
      <c r="F4124" s="25"/>
      <c r="G4124" s="25"/>
      <c r="H4124" s="25"/>
      <c r="I4124" s="25"/>
      <c r="J4124" s="55"/>
      <c r="K4124" s="25" t="str">
        <f ca="1">IFERROR(__xludf.DUMMYFUNCTION("""COMPUTED_VALUE"""),"Definir fecha")</f>
        <v>Definir fecha</v>
      </c>
      <c r="L4124" s="62"/>
      <c r="M4124" s="25"/>
      <c r="N4124" s="25"/>
      <c r="O4124" s="25">
        <f t="shared" si="0"/>
        <v>0</v>
      </c>
      <c r="P4124" s="25" t="str">
        <f t="shared" si="2"/>
        <v/>
      </c>
      <c r="Q4124" s="25" t="str">
        <f ca="1">IFERROR(__xludf.DUMMYFUNCTION("""COMPUTED_VALUE"""),"Sin defenir")</f>
        <v>Sin defenir</v>
      </c>
      <c r="R4124" s="25"/>
      <c r="S4124" s="55"/>
      <c r="T4124" s="56"/>
      <c r="U4124" s="25"/>
      <c r="V4124" s="25"/>
      <c r="W4124" s="25"/>
      <c r="X4124" s="25"/>
      <c r="Y4124" s="25"/>
      <c r="Z4124" s="25"/>
    </row>
    <row r="4125" spans="1:26" ht="52.5" customHeight="1" x14ac:dyDescent="0.25">
      <c r="A4125" s="25" t="str">
        <f ca="1">IFERROR(__xludf.DUMMYFUNCTION("""COMPUTED_VALUE"""),"Hacie223")</f>
        <v>Hacie223</v>
      </c>
      <c r="B4125" s="25"/>
      <c r="C4125" s="55"/>
      <c r="D4125" s="25" t="str">
        <f ca="1">IFERROR(__xludf.DUMMYFUNCTION("""COMPUTED_VALUE"""),"Hacienda")</f>
        <v>Hacienda</v>
      </c>
      <c r="E4125" s="25"/>
      <c r="F4125" s="25"/>
      <c r="G4125" s="25"/>
      <c r="H4125" s="25"/>
      <c r="I4125" s="25"/>
      <c r="J4125" s="55"/>
      <c r="K4125" s="25" t="str">
        <f ca="1">IFERROR(__xludf.DUMMYFUNCTION("""COMPUTED_VALUE"""),"Definir fecha")</f>
        <v>Definir fecha</v>
      </c>
      <c r="L4125" s="62"/>
      <c r="M4125" s="25"/>
      <c r="N4125" s="25"/>
      <c r="O4125" s="25">
        <f t="shared" si="0"/>
        <v>0</v>
      </c>
      <c r="P4125" s="25" t="str">
        <f t="shared" si="2"/>
        <v/>
      </c>
      <c r="Q4125" s="25" t="str">
        <f ca="1">IFERROR(__xludf.DUMMYFUNCTION("""COMPUTED_VALUE"""),"Sin defenir")</f>
        <v>Sin defenir</v>
      </c>
      <c r="R4125" s="25"/>
      <c r="S4125" s="55"/>
      <c r="T4125" s="56"/>
      <c r="U4125" s="25"/>
      <c r="V4125" s="25"/>
      <c r="W4125" s="25"/>
      <c r="X4125" s="25"/>
      <c r="Y4125" s="25"/>
      <c r="Z4125" s="25"/>
    </row>
    <row r="4126" spans="1:26" ht="52.5" customHeight="1" x14ac:dyDescent="0.25">
      <c r="A4126" s="25" t="str">
        <f ca="1">IFERROR(__xludf.DUMMYFUNCTION("""COMPUTED_VALUE"""),"Hacie224")</f>
        <v>Hacie224</v>
      </c>
      <c r="B4126" s="25"/>
      <c r="C4126" s="55"/>
      <c r="D4126" s="25" t="str">
        <f ca="1">IFERROR(__xludf.DUMMYFUNCTION("""COMPUTED_VALUE"""),"Hacienda")</f>
        <v>Hacienda</v>
      </c>
      <c r="E4126" s="25"/>
      <c r="F4126" s="25"/>
      <c r="G4126" s="25"/>
      <c r="H4126" s="25"/>
      <c r="I4126" s="25"/>
      <c r="J4126" s="55"/>
      <c r="K4126" s="25" t="str">
        <f ca="1">IFERROR(__xludf.DUMMYFUNCTION("""COMPUTED_VALUE"""),"Definir fecha")</f>
        <v>Definir fecha</v>
      </c>
      <c r="L4126" s="62"/>
      <c r="M4126" s="25"/>
      <c r="N4126" s="25"/>
      <c r="O4126" s="25">
        <f t="shared" si="0"/>
        <v>0</v>
      </c>
      <c r="P4126" s="25" t="str">
        <f t="shared" si="2"/>
        <v/>
      </c>
      <c r="Q4126" s="25" t="str">
        <f ca="1">IFERROR(__xludf.DUMMYFUNCTION("""COMPUTED_VALUE"""),"Sin defenir")</f>
        <v>Sin defenir</v>
      </c>
      <c r="R4126" s="25"/>
      <c r="S4126" s="55"/>
      <c r="T4126" s="56"/>
      <c r="U4126" s="25"/>
      <c r="V4126" s="25"/>
      <c r="W4126" s="25"/>
      <c r="X4126" s="25"/>
      <c r="Y4126" s="25"/>
      <c r="Z4126" s="25"/>
    </row>
    <row r="4127" spans="1:26" ht="52.5" customHeight="1" x14ac:dyDescent="0.25">
      <c r="A4127" s="25" t="str">
        <f ca="1">IFERROR(__xludf.DUMMYFUNCTION("""COMPUTED_VALUE"""),"Hacie225")</f>
        <v>Hacie225</v>
      </c>
      <c r="B4127" s="25"/>
      <c r="C4127" s="55"/>
      <c r="D4127" s="25" t="str">
        <f ca="1">IFERROR(__xludf.DUMMYFUNCTION("""COMPUTED_VALUE"""),"Hacienda")</f>
        <v>Hacienda</v>
      </c>
      <c r="E4127" s="25"/>
      <c r="F4127" s="25"/>
      <c r="G4127" s="25"/>
      <c r="H4127" s="25"/>
      <c r="I4127" s="25"/>
      <c r="J4127" s="55"/>
      <c r="K4127" s="25" t="str">
        <f ca="1">IFERROR(__xludf.DUMMYFUNCTION("""COMPUTED_VALUE"""),"Definir fecha")</f>
        <v>Definir fecha</v>
      </c>
      <c r="L4127" s="62"/>
      <c r="M4127" s="25"/>
      <c r="N4127" s="25"/>
      <c r="O4127" s="25">
        <f t="shared" si="0"/>
        <v>0</v>
      </c>
      <c r="P4127" s="25" t="str">
        <f t="shared" si="2"/>
        <v/>
      </c>
      <c r="Q4127" s="25" t="str">
        <f ca="1">IFERROR(__xludf.DUMMYFUNCTION("""COMPUTED_VALUE"""),"Sin defenir")</f>
        <v>Sin defenir</v>
      </c>
      <c r="R4127" s="25"/>
      <c r="S4127" s="55"/>
      <c r="T4127" s="56"/>
      <c r="U4127" s="25"/>
      <c r="V4127" s="25"/>
      <c r="W4127" s="25"/>
      <c r="X4127" s="25"/>
      <c r="Y4127" s="25"/>
      <c r="Z4127" s="25"/>
    </row>
    <row r="4128" spans="1:26" ht="52.5" customHeight="1" x14ac:dyDescent="0.25">
      <c r="A4128" s="25" t="str">
        <f ca="1">IFERROR(__xludf.DUMMYFUNCTION("""COMPUTED_VALUE"""),"Hacie226")</f>
        <v>Hacie226</v>
      </c>
      <c r="B4128" s="25"/>
      <c r="C4128" s="55"/>
      <c r="D4128" s="25" t="str">
        <f ca="1">IFERROR(__xludf.DUMMYFUNCTION("""COMPUTED_VALUE"""),"Hacienda")</f>
        <v>Hacienda</v>
      </c>
      <c r="E4128" s="25"/>
      <c r="F4128" s="25"/>
      <c r="G4128" s="25"/>
      <c r="H4128" s="25"/>
      <c r="I4128" s="25"/>
      <c r="J4128" s="55"/>
      <c r="K4128" s="25" t="str">
        <f ca="1">IFERROR(__xludf.DUMMYFUNCTION("""COMPUTED_VALUE"""),"Definir fecha")</f>
        <v>Definir fecha</v>
      </c>
      <c r="L4128" s="62"/>
      <c r="M4128" s="25"/>
      <c r="N4128" s="25"/>
      <c r="O4128" s="25">
        <f t="shared" si="0"/>
        <v>0</v>
      </c>
      <c r="P4128" s="25" t="str">
        <f t="shared" si="2"/>
        <v/>
      </c>
      <c r="Q4128" s="25" t="str">
        <f ca="1">IFERROR(__xludf.DUMMYFUNCTION("""COMPUTED_VALUE"""),"Sin defenir")</f>
        <v>Sin defenir</v>
      </c>
      <c r="R4128" s="25"/>
      <c r="S4128" s="55"/>
      <c r="T4128" s="56"/>
      <c r="U4128" s="25"/>
      <c r="V4128" s="25"/>
      <c r="W4128" s="25"/>
      <c r="X4128" s="25"/>
      <c r="Y4128" s="25"/>
      <c r="Z4128" s="25"/>
    </row>
    <row r="4129" spans="1:26" ht="52.5" customHeight="1" x14ac:dyDescent="0.25">
      <c r="A4129" s="25" t="str">
        <f ca="1">IFERROR(__xludf.DUMMYFUNCTION("""COMPUTED_VALUE"""),"Hacie227")</f>
        <v>Hacie227</v>
      </c>
      <c r="B4129" s="25"/>
      <c r="C4129" s="55"/>
      <c r="D4129" s="25" t="str">
        <f ca="1">IFERROR(__xludf.DUMMYFUNCTION("""COMPUTED_VALUE"""),"Hacienda")</f>
        <v>Hacienda</v>
      </c>
      <c r="E4129" s="25"/>
      <c r="F4129" s="25"/>
      <c r="G4129" s="25"/>
      <c r="H4129" s="25"/>
      <c r="I4129" s="25"/>
      <c r="J4129" s="55"/>
      <c r="K4129" s="25" t="str">
        <f ca="1">IFERROR(__xludf.DUMMYFUNCTION("""COMPUTED_VALUE"""),"Definir fecha")</f>
        <v>Definir fecha</v>
      </c>
      <c r="L4129" s="62"/>
      <c r="M4129" s="25"/>
      <c r="N4129" s="25"/>
      <c r="O4129" s="25">
        <f t="shared" si="0"/>
        <v>0</v>
      </c>
      <c r="P4129" s="25" t="str">
        <f t="shared" si="2"/>
        <v/>
      </c>
      <c r="Q4129" s="25" t="str">
        <f ca="1">IFERROR(__xludf.DUMMYFUNCTION("""COMPUTED_VALUE"""),"Sin defenir")</f>
        <v>Sin defenir</v>
      </c>
      <c r="R4129" s="25"/>
      <c r="S4129" s="55"/>
      <c r="T4129" s="56"/>
      <c r="U4129" s="25"/>
      <c r="V4129" s="25"/>
      <c r="W4129" s="25"/>
      <c r="X4129" s="25"/>
      <c r="Y4129" s="25"/>
      <c r="Z4129" s="25"/>
    </row>
    <row r="4130" spans="1:26" ht="52.5" customHeight="1" x14ac:dyDescent="0.25">
      <c r="A4130" s="25" t="str">
        <f ca="1">IFERROR(__xludf.DUMMYFUNCTION("""COMPUTED_VALUE"""),"Hacie228")</f>
        <v>Hacie228</v>
      </c>
      <c r="B4130" s="25"/>
      <c r="C4130" s="55"/>
      <c r="D4130" s="25" t="str">
        <f ca="1">IFERROR(__xludf.DUMMYFUNCTION("""COMPUTED_VALUE"""),"Hacienda")</f>
        <v>Hacienda</v>
      </c>
      <c r="E4130" s="25"/>
      <c r="F4130" s="25"/>
      <c r="G4130" s="25"/>
      <c r="H4130" s="25"/>
      <c r="I4130" s="25"/>
      <c r="J4130" s="55"/>
      <c r="K4130" s="25" t="str">
        <f ca="1">IFERROR(__xludf.DUMMYFUNCTION("""COMPUTED_VALUE"""),"Definir fecha")</f>
        <v>Definir fecha</v>
      </c>
      <c r="L4130" s="62"/>
      <c r="M4130" s="25"/>
      <c r="N4130" s="25"/>
      <c r="O4130" s="25">
        <f t="shared" si="0"/>
        <v>0</v>
      </c>
      <c r="P4130" s="25" t="str">
        <f t="shared" si="2"/>
        <v/>
      </c>
      <c r="Q4130" s="25" t="str">
        <f ca="1">IFERROR(__xludf.DUMMYFUNCTION("""COMPUTED_VALUE"""),"Sin defenir")</f>
        <v>Sin defenir</v>
      </c>
      <c r="R4130" s="25"/>
      <c r="S4130" s="55"/>
      <c r="T4130" s="56"/>
      <c r="U4130" s="25"/>
      <c r="V4130" s="25"/>
      <c r="W4130" s="25"/>
      <c r="X4130" s="25"/>
      <c r="Y4130" s="25"/>
      <c r="Z4130" s="25"/>
    </row>
    <row r="4131" spans="1:26" ht="52.5" customHeight="1" x14ac:dyDescent="0.25">
      <c r="A4131" s="25" t="str">
        <f ca="1">IFERROR(__xludf.DUMMYFUNCTION("""COMPUTED_VALUE"""),"Hacie229")</f>
        <v>Hacie229</v>
      </c>
      <c r="B4131" s="25"/>
      <c r="C4131" s="55"/>
      <c r="D4131" s="25" t="str">
        <f ca="1">IFERROR(__xludf.DUMMYFUNCTION("""COMPUTED_VALUE"""),"Hacienda")</f>
        <v>Hacienda</v>
      </c>
      <c r="E4131" s="25"/>
      <c r="F4131" s="25"/>
      <c r="G4131" s="25"/>
      <c r="H4131" s="25"/>
      <c r="I4131" s="25"/>
      <c r="J4131" s="55"/>
      <c r="K4131" s="25" t="str">
        <f ca="1">IFERROR(__xludf.DUMMYFUNCTION("""COMPUTED_VALUE"""),"Definir fecha")</f>
        <v>Definir fecha</v>
      </c>
      <c r="L4131" s="62"/>
      <c r="M4131" s="25"/>
      <c r="N4131" s="25"/>
      <c r="O4131" s="25">
        <f t="shared" si="0"/>
        <v>0</v>
      </c>
      <c r="P4131" s="25" t="str">
        <f t="shared" si="2"/>
        <v/>
      </c>
      <c r="Q4131" s="25" t="str">
        <f ca="1">IFERROR(__xludf.DUMMYFUNCTION("""COMPUTED_VALUE"""),"Sin defenir")</f>
        <v>Sin defenir</v>
      </c>
      <c r="R4131" s="25"/>
      <c r="S4131" s="55"/>
      <c r="T4131" s="56"/>
      <c r="U4131" s="25"/>
      <c r="V4131" s="25"/>
      <c r="W4131" s="25"/>
      <c r="X4131" s="25"/>
      <c r="Y4131" s="25"/>
      <c r="Z4131" s="25"/>
    </row>
    <row r="4132" spans="1:26" ht="52.5" customHeight="1" x14ac:dyDescent="0.25">
      <c r="A4132" s="25" t="str">
        <f ca="1">IFERROR(__xludf.DUMMYFUNCTION("""COMPUTED_VALUE"""),"Hacie230")</f>
        <v>Hacie230</v>
      </c>
      <c r="B4132" s="25"/>
      <c r="C4132" s="55"/>
      <c r="D4132" s="25" t="str">
        <f ca="1">IFERROR(__xludf.DUMMYFUNCTION("""COMPUTED_VALUE"""),"Hacienda")</f>
        <v>Hacienda</v>
      </c>
      <c r="E4132" s="25"/>
      <c r="F4132" s="25"/>
      <c r="G4132" s="25"/>
      <c r="H4132" s="25"/>
      <c r="I4132" s="25"/>
      <c r="J4132" s="55"/>
      <c r="K4132" s="25" t="str">
        <f ca="1">IFERROR(__xludf.DUMMYFUNCTION("""COMPUTED_VALUE"""),"Definir fecha")</f>
        <v>Definir fecha</v>
      </c>
      <c r="L4132" s="62"/>
      <c r="M4132" s="25"/>
      <c r="N4132" s="25"/>
      <c r="O4132" s="25">
        <f t="shared" si="0"/>
        <v>0</v>
      </c>
      <c r="P4132" s="25" t="str">
        <f t="shared" si="2"/>
        <v/>
      </c>
      <c r="Q4132" s="25" t="str">
        <f ca="1">IFERROR(__xludf.DUMMYFUNCTION("""COMPUTED_VALUE"""),"Sin defenir")</f>
        <v>Sin defenir</v>
      </c>
      <c r="R4132" s="25"/>
      <c r="S4132" s="55"/>
      <c r="T4132" s="56"/>
      <c r="U4132" s="25"/>
      <c r="V4132" s="25"/>
      <c r="W4132" s="25"/>
      <c r="X4132" s="25"/>
      <c r="Y4132" s="25"/>
      <c r="Z4132" s="25"/>
    </row>
    <row r="4133" spans="1:26" ht="52.5" customHeight="1" x14ac:dyDescent="0.25">
      <c r="A4133" s="25" t="str">
        <f ca="1">IFERROR(__xludf.DUMMYFUNCTION("""COMPUTED_VALUE"""),"Hacie231")</f>
        <v>Hacie231</v>
      </c>
      <c r="B4133" s="25"/>
      <c r="C4133" s="55"/>
      <c r="D4133" s="25" t="str">
        <f ca="1">IFERROR(__xludf.DUMMYFUNCTION("""COMPUTED_VALUE"""),"Hacienda")</f>
        <v>Hacienda</v>
      </c>
      <c r="E4133" s="25"/>
      <c r="F4133" s="25"/>
      <c r="G4133" s="25"/>
      <c r="H4133" s="25"/>
      <c r="I4133" s="25"/>
      <c r="J4133" s="55"/>
      <c r="K4133" s="25" t="str">
        <f ca="1">IFERROR(__xludf.DUMMYFUNCTION("""COMPUTED_VALUE"""),"Definir fecha")</f>
        <v>Definir fecha</v>
      </c>
      <c r="L4133" s="62"/>
      <c r="M4133" s="25"/>
      <c r="N4133" s="25"/>
      <c r="O4133" s="25">
        <f t="shared" si="0"/>
        <v>0</v>
      </c>
      <c r="P4133" s="25" t="str">
        <f t="shared" si="2"/>
        <v/>
      </c>
      <c r="Q4133" s="25" t="str">
        <f ca="1">IFERROR(__xludf.DUMMYFUNCTION("""COMPUTED_VALUE"""),"Sin defenir")</f>
        <v>Sin defenir</v>
      </c>
      <c r="R4133" s="25"/>
      <c r="S4133" s="55"/>
      <c r="T4133" s="56"/>
      <c r="U4133" s="25"/>
      <c r="V4133" s="25"/>
      <c r="W4133" s="25"/>
      <c r="X4133" s="25"/>
      <c r="Y4133" s="25"/>
      <c r="Z4133" s="25"/>
    </row>
    <row r="4134" spans="1:26" ht="52.5" customHeight="1" x14ac:dyDescent="0.25">
      <c r="A4134" s="25" t="str">
        <f ca="1">IFERROR(__xludf.DUMMYFUNCTION("""COMPUTED_VALUE"""),"Hacie232")</f>
        <v>Hacie232</v>
      </c>
      <c r="B4134" s="25"/>
      <c r="C4134" s="55"/>
      <c r="D4134" s="25" t="str">
        <f ca="1">IFERROR(__xludf.DUMMYFUNCTION("""COMPUTED_VALUE"""),"Hacienda")</f>
        <v>Hacienda</v>
      </c>
      <c r="E4134" s="25"/>
      <c r="F4134" s="25"/>
      <c r="G4134" s="25"/>
      <c r="H4134" s="25"/>
      <c r="I4134" s="25"/>
      <c r="J4134" s="55"/>
      <c r="K4134" s="25" t="str">
        <f ca="1">IFERROR(__xludf.DUMMYFUNCTION("""COMPUTED_VALUE"""),"Definir fecha")</f>
        <v>Definir fecha</v>
      </c>
      <c r="L4134" s="62"/>
      <c r="M4134" s="25"/>
      <c r="N4134" s="25"/>
      <c r="O4134" s="25">
        <f t="shared" si="0"/>
        <v>0</v>
      </c>
      <c r="P4134" s="25" t="str">
        <f t="shared" si="2"/>
        <v/>
      </c>
      <c r="Q4134" s="25" t="str">
        <f ca="1">IFERROR(__xludf.DUMMYFUNCTION("""COMPUTED_VALUE"""),"Sin defenir")</f>
        <v>Sin defenir</v>
      </c>
      <c r="R4134" s="25"/>
      <c r="S4134" s="55"/>
      <c r="T4134" s="56"/>
      <c r="U4134" s="25"/>
      <c r="V4134" s="25"/>
      <c r="W4134" s="25"/>
      <c r="X4134" s="25"/>
      <c r="Y4134" s="25"/>
      <c r="Z4134" s="25"/>
    </row>
    <row r="4135" spans="1:26" ht="52.5" customHeight="1" x14ac:dyDescent="0.25">
      <c r="A4135" s="25" t="str">
        <f ca="1">IFERROR(__xludf.DUMMYFUNCTION("""COMPUTED_VALUE"""),"Hacie233")</f>
        <v>Hacie233</v>
      </c>
      <c r="B4135" s="25"/>
      <c r="C4135" s="55"/>
      <c r="D4135" s="25" t="str">
        <f ca="1">IFERROR(__xludf.DUMMYFUNCTION("""COMPUTED_VALUE"""),"Hacienda")</f>
        <v>Hacienda</v>
      </c>
      <c r="E4135" s="25"/>
      <c r="F4135" s="25"/>
      <c r="G4135" s="25"/>
      <c r="H4135" s="25"/>
      <c r="I4135" s="25"/>
      <c r="J4135" s="55"/>
      <c r="K4135" s="25" t="str">
        <f ca="1">IFERROR(__xludf.DUMMYFUNCTION("""COMPUTED_VALUE"""),"Definir fecha")</f>
        <v>Definir fecha</v>
      </c>
      <c r="L4135" s="62"/>
      <c r="M4135" s="25"/>
      <c r="N4135" s="25"/>
      <c r="O4135" s="25">
        <f t="shared" si="0"/>
        <v>0</v>
      </c>
      <c r="P4135" s="25" t="str">
        <f t="shared" si="2"/>
        <v/>
      </c>
      <c r="Q4135" s="25" t="str">
        <f ca="1">IFERROR(__xludf.DUMMYFUNCTION("""COMPUTED_VALUE"""),"Sin defenir")</f>
        <v>Sin defenir</v>
      </c>
      <c r="R4135" s="25"/>
      <c r="S4135" s="55"/>
      <c r="T4135" s="56"/>
      <c r="U4135" s="25"/>
      <c r="V4135" s="25"/>
      <c r="W4135" s="25"/>
      <c r="X4135" s="25"/>
      <c r="Y4135" s="25"/>
      <c r="Z4135" s="25"/>
    </row>
    <row r="4136" spans="1:26" ht="52.5" customHeight="1" x14ac:dyDescent="0.25">
      <c r="A4136" s="25" t="str">
        <f ca="1">IFERROR(__xludf.DUMMYFUNCTION("""COMPUTED_VALUE"""),"Hacie234")</f>
        <v>Hacie234</v>
      </c>
      <c r="B4136" s="25"/>
      <c r="C4136" s="55"/>
      <c r="D4136" s="25" t="str">
        <f ca="1">IFERROR(__xludf.DUMMYFUNCTION("""COMPUTED_VALUE"""),"Hacienda")</f>
        <v>Hacienda</v>
      </c>
      <c r="E4136" s="25"/>
      <c r="F4136" s="25"/>
      <c r="G4136" s="25"/>
      <c r="H4136" s="25"/>
      <c r="I4136" s="25"/>
      <c r="J4136" s="55"/>
      <c r="K4136" s="25" t="str">
        <f ca="1">IFERROR(__xludf.DUMMYFUNCTION("""COMPUTED_VALUE"""),"Definir fecha")</f>
        <v>Definir fecha</v>
      </c>
      <c r="L4136" s="62"/>
      <c r="M4136" s="25"/>
      <c r="N4136" s="25"/>
      <c r="O4136" s="25">
        <f t="shared" si="0"/>
        <v>0</v>
      </c>
      <c r="P4136" s="25" t="str">
        <f t="shared" si="2"/>
        <v/>
      </c>
      <c r="Q4136" s="25" t="str">
        <f ca="1">IFERROR(__xludf.DUMMYFUNCTION("""COMPUTED_VALUE"""),"Sin defenir")</f>
        <v>Sin defenir</v>
      </c>
      <c r="R4136" s="25"/>
      <c r="S4136" s="55"/>
      <c r="T4136" s="56"/>
      <c r="U4136" s="25"/>
      <c r="V4136" s="25"/>
      <c r="W4136" s="25"/>
      <c r="X4136" s="25"/>
      <c r="Y4136" s="25"/>
      <c r="Z4136" s="25"/>
    </row>
    <row r="4137" spans="1:26" ht="52.5" customHeight="1" x14ac:dyDescent="0.25">
      <c r="A4137" s="25" t="str">
        <f ca="1">IFERROR(__xludf.DUMMYFUNCTION("""COMPUTED_VALUE"""),"Hacie235")</f>
        <v>Hacie235</v>
      </c>
      <c r="B4137" s="25"/>
      <c r="C4137" s="55"/>
      <c r="D4137" s="25" t="str">
        <f ca="1">IFERROR(__xludf.DUMMYFUNCTION("""COMPUTED_VALUE"""),"Hacienda")</f>
        <v>Hacienda</v>
      </c>
      <c r="E4137" s="25"/>
      <c r="F4137" s="25"/>
      <c r="G4137" s="25"/>
      <c r="H4137" s="25"/>
      <c r="I4137" s="25"/>
      <c r="J4137" s="55"/>
      <c r="K4137" s="25" t="str">
        <f ca="1">IFERROR(__xludf.DUMMYFUNCTION("""COMPUTED_VALUE"""),"Definir fecha")</f>
        <v>Definir fecha</v>
      </c>
      <c r="L4137" s="62"/>
      <c r="M4137" s="25"/>
      <c r="N4137" s="25"/>
      <c r="O4137" s="25">
        <f t="shared" si="0"/>
        <v>0</v>
      </c>
      <c r="P4137" s="25" t="str">
        <f t="shared" si="2"/>
        <v/>
      </c>
      <c r="Q4137" s="25" t="str">
        <f ca="1">IFERROR(__xludf.DUMMYFUNCTION("""COMPUTED_VALUE"""),"Sin defenir")</f>
        <v>Sin defenir</v>
      </c>
      <c r="R4137" s="25"/>
      <c r="S4137" s="55"/>
      <c r="T4137" s="56"/>
      <c r="U4137" s="25"/>
      <c r="V4137" s="25"/>
      <c r="W4137" s="25"/>
      <c r="X4137" s="25"/>
      <c r="Y4137" s="25"/>
      <c r="Z4137" s="25"/>
    </row>
    <row r="4138" spans="1:26" ht="52.5" customHeight="1" x14ac:dyDescent="0.25">
      <c r="A4138" s="25" t="str">
        <f ca="1">IFERROR(__xludf.DUMMYFUNCTION("""COMPUTED_VALUE"""),"Hacie236")</f>
        <v>Hacie236</v>
      </c>
      <c r="B4138" s="25"/>
      <c r="C4138" s="55"/>
      <c r="D4138" s="25" t="str">
        <f ca="1">IFERROR(__xludf.DUMMYFUNCTION("""COMPUTED_VALUE"""),"Hacienda")</f>
        <v>Hacienda</v>
      </c>
      <c r="E4138" s="25"/>
      <c r="F4138" s="25"/>
      <c r="G4138" s="25"/>
      <c r="H4138" s="25"/>
      <c r="I4138" s="25"/>
      <c r="J4138" s="55"/>
      <c r="K4138" s="25" t="str">
        <f ca="1">IFERROR(__xludf.DUMMYFUNCTION("""COMPUTED_VALUE"""),"Definir fecha")</f>
        <v>Definir fecha</v>
      </c>
      <c r="L4138" s="62"/>
      <c r="M4138" s="25"/>
      <c r="N4138" s="25"/>
      <c r="O4138" s="25">
        <f t="shared" si="0"/>
        <v>0</v>
      </c>
      <c r="P4138" s="25" t="str">
        <f t="shared" si="2"/>
        <v/>
      </c>
      <c r="Q4138" s="25" t="str">
        <f ca="1">IFERROR(__xludf.DUMMYFUNCTION("""COMPUTED_VALUE"""),"Sin defenir")</f>
        <v>Sin defenir</v>
      </c>
      <c r="R4138" s="25"/>
      <c r="S4138" s="55"/>
      <c r="T4138" s="56"/>
      <c r="U4138" s="25"/>
      <c r="V4138" s="25"/>
      <c r="W4138" s="25"/>
      <c r="X4138" s="25"/>
      <c r="Y4138" s="25"/>
      <c r="Z4138" s="25"/>
    </row>
    <row r="4139" spans="1:26" ht="52.5" customHeight="1" x14ac:dyDescent="0.25">
      <c r="A4139" s="25" t="str">
        <f ca="1">IFERROR(__xludf.DUMMYFUNCTION("""COMPUTED_VALUE"""),"Hacie237")</f>
        <v>Hacie237</v>
      </c>
      <c r="B4139" s="25"/>
      <c r="C4139" s="55"/>
      <c r="D4139" s="25" t="str">
        <f ca="1">IFERROR(__xludf.DUMMYFUNCTION("""COMPUTED_VALUE"""),"Hacienda")</f>
        <v>Hacienda</v>
      </c>
      <c r="E4139" s="25"/>
      <c r="F4139" s="25"/>
      <c r="G4139" s="25"/>
      <c r="H4139" s="25"/>
      <c r="I4139" s="25"/>
      <c r="J4139" s="55"/>
      <c r="K4139" s="25" t="str">
        <f ca="1">IFERROR(__xludf.DUMMYFUNCTION("""COMPUTED_VALUE"""),"Definir fecha")</f>
        <v>Definir fecha</v>
      </c>
      <c r="L4139" s="62"/>
      <c r="M4139" s="25"/>
      <c r="N4139" s="25"/>
      <c r="O4139" s="25">
        <f t="shared" si="0"/>
        <v>0</v>
      </c>
      <c r="P4139" s="25" t="str">
        <f t="shared" si="2"/>
        <v/>
      </c>
      <c r="Q4139" s="25" t="str">
        <f ca="1">IFERROR(__xludf.DUMMYFUNCTION("""COMPUTED_VALUE"""),"Sin defenir")</f>
        <v>Sin defenir</v>
      </c>
      <c r="R4139" s="25"/>
      <c r="S4139" s="55"/>
      <c r="T4139" s="56"/>
      <c r="U4139" s="25"/>
      <c r="V4139" s="25"/>
      <c r="W4139" s="25"/>
      <c r="X4139" s="25"/>
      <c r="Y4139" s="25"/>
      <c r="Z4139" s="25"/>
    </row>
    <row r="4140" spans="1:26" ht="52.5" customHeight="1" x14ac:dyDescent="0.25">
      <c r="A4140" s="25" t="str">
        <f ca="1">IFERROR(__xludf.DUMMYFUNCTION("""COMPUTED_VALUE"""),"Hacie238")</f>
        <v>Hacie238</v>
      </c>
      <c r="B4140" s="25"/>
      <c r="C4140" s="55"/>
      <c r="D4140" s="25" t="str">
        <f ca="1">IFERROR(__xludf.DUMMYFUNCTION("""COMPUTED_VALUE"""),"Hacienda")</f>
        <v>Hacienda</v>
      </c>
      <c r="E4140" s="25"/>
      <c r="F4140" s="25"/>
      <c r="G4140" s="25"/>
      <c r="H4140" s="25"/>
      <c r="I4140" s="25"/>
      <c r="J4140" s="55"/>
      <c r="K4140" s="25" t="str">
        <f ca="1">IFERROR(__xludf.DUMMYFUNCTION("""COMPUTED_VALUE"""),"Definir fecha")</f>
        <v>Definir fecha</v>
      </c>
      <c r="L4140" s="62"/>
      <c r="M4140" s="25"/>
      <c r="N4140" s="25"/>
      <c r="O4140" s="25">
        <f t="shared" si="0"/>
        <v>0</v>
      </c>
      <c r="P4140" s="25" t="str">
        <f t="shared" si="2"/>
        <v/>
      </c>
      <c r="Q4140" s="25" t="str">
        <f ca="1">IFERROR(__xludf.DUMMYFUNCTION("""COMPUTED_VALUE"""),"Sin defenir")</f>
        <v>Sin defenir</v>
      </c>
      <c r="R4140" s="25"/>
      <c r="S4140" s="55"/>
      <c r="T4140" s="56"/>
      <c r="U4140" s="25"/>
      <c r="V4140" s="25"/>
      <c r="W4140" s="25"/>
      <c r="X4140" s="25"/>
      <c r="Y4140" s="25"/>
      <c r="Z4140" s="25"/>
    </row>
    <row r="4141" spans="1:26" ht="52.5" customHeight="1" x14ac:dyDescent="0.25">
      <c r="A4141" s="25" t="str">
        <f ca="1">IFERROR(__xludf.DUMMYFUNCTION("""COMPUTED_VALUE"""),"Hacie239")</f>
        <v>Hacie239</v>
      </c>
      <c r="B4141" s="25"/>
      <c r="C4141" s="55"/>
      <c r="D4141" s="25" t="str">
        <f ca="1">IFERROR(__xludf.DUMMYFUNCTION("""COMPUTED_VALUE"""),"Hacienda")</f>
        <v>Hacienda</v>
      </c>
      <c r="E4141" s="25"/>
      <c r="F4141" s="25"/>
      <c r="G4141" s="25"/>
      <c r="H4141" s="25"/>
      <c r="I4141" s="25"/>
      <c r="J4141" s="55"/>
      <c r="K4141" s="25" t="str">
        <f ca="1">IFERROR(__xludf.DUMMYFUNCTION("""COMPUTED_VALUE"""),"Definir fecha")</f>
        <v>Definir fecha</v>
      </c>
      <c r="L4141" s="62"/>
      <c r="M4141" s="25"/>
      <c r="N4141" s="25"/>
      <c r="O4141" s="25">
        <f t="shared" si="0"/>
        <v>0</v>
      </c>
      <c r="P4141" s="25" t="str">
        <f t="shared" si="2"/>
        <v/>
      </c>
      <c r="Q4141" s="25" t="str">
        <f ca="1">IFERROR(__xludf.DUMMYFUNCTION("""COMPUTED_VALUE"""),"Sin defenir")</f>
        <v>Sin defenir</v>
      </c>
      <c r="R4141" s="25"/>
      <c r="S4141" s="55"/>
      <c r="T4141" s="56"/>
      <c r="U4141" s="25"/>
      <c r="V4141" s="25"/>
      <c r="W4141" s="25"/>
      <c r="X4141" s="25"/>
      <c r="Y4141" s="25"/>
      <c r="Z4141" s="25"/>
    </row>
    <row r="4142" spans="1:26" ht="52.5" customHeight="1" x14ac:dyDescent="0.25">
      <c r="A4142" s="25" t="str">
        <f ca="1">IFERROR(__xludf.DUMMYFUNCTION("""COMPUTED_VALUE"""),"Hacie240")</f>
        <v>Hacie240</v>
      </c>
      <c r="B4142" s="25"/>
      <c r="C4142" s="55"/>
      <c r="D4142" s="25" t="str">
        <f ca="1">IFERROR(__xludf.DUMMYFUNCTION("""COMPUTED_VALUE"""),"Hacienda")</f>
        <v>Hacienda</v>
      </c>
      <c r="E4142" s="25"/>
      <c r="F4142" s="25"/>
      <c r="G4142" s="25"/>
      <c r="H4142" s="25"/>
      <c r="I4142" s="25"/>
      <c r="J4142" s="55"/>
      <c r="K4142" s="25" t="str">
        <f ca="1">IFERROR(__xludf.DUMMYFUNCTION("""COMPUTED_VALUE"""),"Definir fecha")</f>
        <v>Definir fecha</v>
      </c>
      <c r="L4142" s="62"/>
      <c r="M4142" s="25"/>
      <c r="N4142" s="25"/>
      <c r="O4142" s="25">
        <f t="shared" si="0"/>
        <v>0</v>
      </c>
      <c r="P4142" s="25" t="str">
        <f t="shared" si="2"/>
        <v/>
      </c>
      <c r="Q4142" s="25" t="str">
        <f ca="1">IFERROR(__xludf.DUMMYFUNCTION("""COMPUTED_VALUE"""),"Sin defenir")</f>
        <v>Sin defenir</v>
      </c>
      <c r="R4142" s="25"/>
      <c r="S4142" s="55"/>
      <c r="T4142" s="56"/>
      <c r="U4142" s="25"/>
      <c r="V4142" s="25"/>
      <c r="W4142" s="25"/>
      <c r="X4142" s="25"/>
      <c r="Y4142" s="25"/>
      <c r="Z4142" s="25"/>
    </row>
    <row r="4143" spans="1:26" ht="52.5" customHeight="1" x14ac:dyDescent="0.25">
      <c r="A4143" s="25" t="str">
        <f ca="1">IFERROR(__xludf.DUMMYFUNCTION("""COMPUTED_VALUE"""),"Hacie241")</f>
        <v>Hacie241</v>
      </c>
      <c r="B4143" s="25"/>
      <c r="C4143" s="55"/>
      <c r="D4143" s="25" t="str">
        <f ca="1">IFERROR(__xludf.DUMMYFUNCTION("""COMPUTED_VALUE"""),"Hacienda")</f>
        <v>Hacienda</v>
      </c>
      <c r="E4143" s="25"/>
      <c r="F4143" s="25"/>
      <c r="G4143" s="25"/>
      <c r="H4143" s="25"/>
      <c r="I4143" s="25"/>
      <c r="J4143" s="55"/>
      <c r="K4143" s="25" t="str">
        <f ca="1">IFERROR(__xludf.DUMMYFUNCTION("""COMPUTED_VALUE"""),"Definir fecha")</f>
        <v>Definir fecha</v>
      </c>
      <c r="L4143" s="62"/>
      <c r="M4143" s="25"/>
      <c r="N4143" s="25"/>
      <c r="O4143" s="25">
        <f t="shared" si="0"/>
        <v>0</v>
      </c>
      <c r="P4143" s="25" t="str">
        <f t="shared" si="2"/>
        <v/>
      </c>
      <c r="Q4143" s="25" t="str">
        <f ca="1">IFERROR(__xludf.DUMMYFUNCTION("""COMPUTED_VALUE"""),"Sin defenir")</f>
        <v>Sin defenir</v>
      </c>
      <c r="R4143" s="25"/>
      <c r="S4143" s="55"/>
      <c r="T4143" s="56"/>
      <c r="U4143" s="25"/>
      <c r="V4143" s="25"/>
      <c r="W4143" s="25"/>
      <c r="X4143" s="25"/>
      <c r="Y4143" s="25"/>
      <c r="Z4143" s="25"/>
    </row>
    <row r="4144" spans="1:26" ht="52.5" customHeight="1" x14ac:dyDescent="0.25">
      <c r="A4144" s="25" t="str">
        <f ca="1">IFERROR(__xludf.DUMMYFUNCTION("""COMPUTED_VALUE"""),"Hacie242")</f>
        <v>Hacie242</v>
      </c>
      <c r="B4144" s="25"/>
      <c r="C4144" s="55"/>
      <c r="D4144" s="25" t="str">
        <f ca="1">IFERROR(__xludf.DUMMYFUNCTION("""COMPUTED_VALUE"""),"Hacienda")</f>
        <v>Hacienda</v>
      </c>
      <c r="E4144" s="25"/>
      <c r="F4144" s="25"/>
      <c r="G4144" s="25"/>
      <c r="H4144" s="25"/>
      <c r="I4144" s="25"/>
      <c r="J4144" s="55"/>
      <c r="K4144" s="25" t="str">
        <f ca="1">IFERROR(__xludf.DUMMYFUNCTION("""COMPUTED_VALUE"""),"Definir fecha")</f>
        <v>Definir fecha</v>
      </c>
      <c r="L4144" s="62"/>
      <c r="M4144" s="25"/>
      <c r="N4144" s="25"/>
      <c r="O4144" s="25">
        <f t="shared" si="0"/>
        <v>0</v>
      </c>
      <c r="P4144" s="25" t="str">
        <f t="shared" si="2"/>
        <v/>
      </c>
      <c r="Q4144" s="25" t="str">
        <f ca="1">IFERROR(__xludf.DUMMYFUNCTION("""COMPUTED_VALUE"""),"Sin defenir")</f>
        <v>Sin defenir</v>
      </c>
      <c r="R4144" s="25"/>
      <c r="S4144" s="55"/>
      <c r="T4144" s="56"/>
      <c r="U4144" s="25"/>
      <c r="V4144" s="25"/>
      <c r="W4144" s="25"/>
      <c r="X4144" s="25"/>
      <c r="Y4144" s="25"/>
      <c r="Z4144" s="25"/>
    </row>
    <row r="4145" spans="1:26" ht="52.5" customHeight="1" x14ac:dyDescent="0.25">
      <c r="A4145" s="25" t="str">
        <f ca="1">IFERROR(__xludf.DUMMYFUNCTION("""COMPUTED_VALUE"""),"Hacie243")</f>
        <v>Hacie243</v>
      </c>
      <c r="B4145" s="25"/>
      <c r="C4145" s="55"/>
      <c r="D4145" s="25" t="str">
        <f ca="1">IFERROR(__xludf.DUMMYFUNCTION("""COMPUTED_VALUE"""),"Hacienda")</f>
        <v>Hacienda</v>
      </c>
      <c r="E4145" s="25"/>
      <c r="F4145" s="25"/>
      <c r="G4145" s="25"/>
      <c r="H4145" s="25"/>
      <c r="I4145" s="25"/>
      <c r="J4145" s="55"/>
      <c r="K4145" s="25" t="str">
        <f ca="1">IFERROR(__xludf.DUMMYFUNCTION("""COMPUTED_VALUE"""),"Definir fecha")</f>
        <v>Definir fecha</v>
      </c>
      <c r="L4145" s="62"/>
      <c r="M4145" s="25"/>
      <c r="N4145" s="25"/>
      <c r="O4145" s="25">
        <f t="shared" si="0"/>
        <v>0</v>
      </c>
      <c r="P4145" s="25" t="str">
        <f t="shared" si="2"/>
        <v/>
      </c>
      <c r="Q4145" s="25" t="str">
        <f ca="1">IFERROR(__xludf.DUMMYFUNCTION("""COMPUTED_VALUE"""),"Sin defenir")</f>
        <v>Sin defenir</v>
      </c>
      <c r="R4145" s="25"/>
      <c r="S4145" s="55"/>
      <c r="T4145" s="56"/>
      <c r="U4145" s="25"/>
      <c r="V4145" s="25"/>
      <c r="W4145" s="25"/>
      <c r="X4145" s="25"/>
      <c r="Y4145" s="25"/>
      <c r="Z4145" s="25"/>
    </row>
    <row r="4146" spans="1:26" ht="52.5" customHeight="1" x14ac:dyDescent="0.25">
      <c r="A4146" s="25" t="str">
        <f ca="1">IFERROR(__xludf.DUMMYFUNCTION("""COMPUTED_VALUE"""),"Hacie244")</f>
        <v>Hacie244</v>
      </c>
      <c r="B4146" s="25"/>
      <c r="C4146" s="55"/>
      <c r="D4146" s="25" t="str">
        <f ca="1">IFERROR(__xludf.DUMMYFUNCTION("""COMPUTED_VALUE"""),"Hacienda")</f>
        <v>Hacienda</v>
      </c>
      <c r="E4146" s="25"/>
      <c r="F4146" s="25"/>
      <c r="G4146" s="25"/>
      <c r="H4146" s="25"/>
      <c r="I4146" s="25"/>
      <c r="J4146" s="55"/>
      <c r="K4146" s="25" t="str">
        <f ca="1">IFERROR(__xludf.DUMMYFUNCTION("""COMPUTED_VALUE"""),"Definir fecha")</f>
        <v>Definir fecha</v>
      </c>
      <c r="L4146" s="62"/>
      <c r="M4146" s="25"/>
      <c r="N4146" s="25"/>
      <c r="O4146" s="25">
        <f t="shared" si="0"/>
        <v>0</v>
      </c>
      <c r="P4146" s="25" t="str">
        <f t="shared" si="2"/>
        <v/>
      </c>
      <c r="Q4146" s="25" t="str">
        <f ca="1">IFERROR(__xludf.DUMMYFUNCTION("""COMPUTED_VALUE"""),"Sin defenir")</f>
        <v>Sin defenir</v>
      </c>
      <c r="R4146" s="25"/>
      <c r="S4146" s="55"/>
      <c r="T4146" s="56"/>
      <c r="U4146" s="25"/>
      <c r="V4146" s="25"/>
      <c r="W4146" s="25"/>
      <c r="X4146" s="25"/>
      <c r="Y4146" s="25"/>
      <c r="Z4146" s="25"/>
    </row>
    <row r="4147" spans="1:26" ht="52.5" customHeight="1" x14ac:dyDescent="0.25">
      <c r="A4147" s="25" t="str">
        <f ca="1">IFERROR(__xludf.DUMMYFUNCTION("""COMPUTED_VALUE"""),"Hacie245")</f>
        <v>Hacie245</v>
      </c>
      <c r="B4147" s="25"/>
      <c r="C4147" s="55"/>
      <c r="D4147" s="25" t="str">
        <f ca="1">IFERROR(__xludf.DUMMYFUNCTION("""COMPUTED_VALUE"""),"Hacienda")</f>
        <v>Hacienda</v>
      </c>
      <c r="E4147" s="25"/>
      <c r="F4147" s="25"/>
      <c r="G4147" s="25"/>
      <c r="H4147" s="25"/>
      <c r="I4147" s="25"/>
      <c r="J4147" s="55"/>
      <c r="K4147" s="25" t="str">
        <f ca="1">IFERROR(__xludf.DUMMYFUNCTION("""COMPUTED_VALUE"""),"Definir fecha")</f>
        <v>Definir fecha</v>
      </c>
      <c r="L4147" s="62"/>
      <c r="M4147" s="25"/>
      <c r="N4147" s="25"/>
      <c r="O4147" s="25">
        <f t="shared" si="0"/>
        <v>0</v>
      </c>
      <c r="P4147" s="25" t="str">
        <f t="shared" si="2"/>
        <v/>
      </c>
      <c r="Q4147" s="25" t="str">
        <f ca="1">IFERROR(__xludf.DUMMYFUNCTION("""COMPUTED_VALUE"""),"Sin defenir")</f>
        <v>Sin defenir</v>
      </c>
      <c r="R4147" s="25"/>
      <c r="S4147" s="55"/>
      <c r="T4147" s="56"/>
      <c r="U4147" s="25"/>
      <c r="V4147" s="25"/>
      <c r="W4147" s="25"/>
      <c r="X4147" s="25"/>
      <c r="Y4147" s="25"/>
      <c r="Z4147" s="25"/>
    </row>
    <row r="4148" spans="1:26" ht="52.5" customHeight="1" x14ac:dyDescent="0.25">
      <c r="A4148" s="25" t="str">
        <f ca="1">IFERROR(__xludf.DUMMYFUNCTION("""COMPUTED_VALUE"""),"Hacie246")</f>
        <v>Hacie246</v>
      </c>
      <c r="B4148" s="25"/>
      <c r="C4148" s="55"/>
      <c r="D4148" s="25" t="str">
        <f ca="1">IFERROR(__xludf.DUMMYFUNCTION("""COMPUTED_VALUE"""),"Hacienda")</f>
        <v>Hacienda</v>
      </c>
      <c r="E4148" s="25"/>
      <c r="F4148" s="25"/>
      <c r="G4148" s="25"/>
      <c r="H4148" s="25"/>
      <c r="I4148" s="25"/>
      <c r="J4148" s="55"/>
      <c r="K4148" s="25" t="str">
        <f ca="1">IFERROR(__xludf.DUMMYFUNCTION("""COMPUTED_VALUE"""),"Definir fecha")</f>
        <v>Definir fecha</v>
      </c>
      <c r="L4148" s="62"/>
      <c r="M4148" s="25"/>
      <c r="N4148" s="25"/>
      <c r="O4148" s="25">
        <f t="shared" si="0"/>
        <v>0</v>
      </c>
      <c r="P4148" s="25" t="str">
        <f t="shared" si="2"/>
        <v/>
      </c>
      <c r="Q4148" s="25" t="str">
        <f ca="1">IFERROR(__xludf.DUMMYFUNCTION("""COMPUTED_VALUE"""),"Sin defenir")</f>
        <v>Sin defenir</v>
      </c>
      <c r="R4148" s="25"/>
      <c r="S4148" s="55"/>
      <c r="T4148" s="56"/>
      <c r="U4148" s="25"/>
      <c r="V4148" s="25"/>
      <c r="W4148" s="25"/>
      <c r="X4148" s="25"/>
      <c r="Y4148" s="25"/>
      <c r="Z4148" s="25"/>
    </row>
    <row r="4149" spans="1:26" ht="52.5" customHeight="1" x14ac:dyDescent="0.25">
      <c r="A4149" s="25" t="str">
        <f ca="1">IFERROR(__xludf.DUMMYFUNCTION("""COMPUTED_VALUE"""),"Hacie247")</f>
        <v>Hacie247</v>
      </c>
      <c r="B4149" s="25"/>
      <c r="C4149" s="55"/>
      <c r="D4149" s="25" t="str">
        <f ca="1">IFERROR(__xludf.DUMMYFUNCTION("""COMPUTED_VALUE"""),"Hacienda")</f>
        <v>Hacienda</v>
      </c>
      <c r="E4149" s="25"/>
      <c r="F4149" s="25"/>
      <c r="G4149" s="25"/>
      <c r="H4149" s="25"/>
      <c r="I4149" s="25"/>
      <c r="J4149" s="55"/>
      <c r="K4149" s="25" t="str">
        <f ca="1">IFERROR(__xludf.DUMMYFUNCTION("""COMPUTED_VALUE"""),"Definir fecha")</f>
        <v>Definir fecha</v>
      </c>
      <c r="L4149" s="62"/>
      <c r="M4149" s="25"/>
      <c r="N4149" s="25"/>
      <c r="O4149" s="25">
        <f t="shared" si="0"/>
        <v>0</v>
      </c>
      <c r="P4149" s="25" t="str">
        <f t="shared" si="2"/>
        <v/>
      </c>
      <c r="Q4149" s="25" t="str">
        <f ca="1">IFERROR(__xludf.DUMMYFUNCTION("""COMPUTED_VALUE"""),"Sin defenir")</f>
        <v>Sin defenir</v>
      </c>
      <c r="R4149" s="25"/>
      <c r="S4149" s="55"/>
      <c r="T4149" s="56"/>
      <c r="U4149" s="25"/>
      <c r="V4149" s="25"/>
      <c r="W4149" s="25"/>
      <c r="X4149" s="25"/>
      <c r="Y4149" s="25"/>
      <c r="Z4149" s="25"/>
    </row>
    <row r="4150" spans="1:26" ht="52.5" customHeight="1" x14ac:dyDescent="0.25">
      <c r="A4150" s="25" t="str">
        <f ca="1">IFERROR(__xludf.DUMMYFUNCTION("""COMPUTED_VALUE"""),"Hacie248")</f>
        <v>Hacie248</v>
      </c>
      <c r="B4150" s="25"/>
      <c r="C4150" s="55"/>
      <c r="D4150" s="25" t="str">
        <f ca="1">IFERROR(__xludf.DUMMYFUNCTION("""COMPUTED_VALUE"""),"Hacienda")</f>
        <v>Hacienda</v>
      </c>
      <c r="E4150" s="25"/>
      <c r="F4150" s="25"/>
      <c r="G4150" s="25"/>
      <c r="H4150" s="25"/>
      <c r="I4150" s="25"/>
      <c r="J4150" s="55"/>
      <c r="K4150" s="25" t="str">
        <f ca="1">IFERROR(__xludf.DUMMYFUNCTION("""COMPUTED_VALUE"""),"Definir fecha")</f>
        <v>Definir fecha</v>
      </c>
      <c r="L4150" s="62"/>
      <c r="M4150" s="25"/>
      <c r="N4150" s="25"/>
      <c r="O4150" s="25">
        <f t="shared" si="0"/>
        <v>0</v>
      </c>
      <c r="P4150" s="25" t="str">
        <f t="shared" si="2"/>
        <v/>
      </c>
      <c r="Q4150" s="25" t="str">
        <f ca="1">IFERROR(__xludf.DUMMYFUNCTION("""COMPUTED_VALUE"""),"Sin defenir")</f>
        <v>Sin defenir</v>
      </c>
      <c r="R4150" s="25"/>
      <c r="S4150" s="55"/>
      <c r="T4150" s="56"/>
      <c r="U4150" s="25"/>
      <c r="V4150" s="25"/>
      <c r="W4150" s="25"/>
      <c r="X4150" s="25"/>
      <c r="Y4150" s="25"/>
      <c r="Z4150" s="25"/>
    </row>
    <row r="4151" spans="1:26" ht="52.5" customHeight="1" x14ac:dyDescent="0.25">
      <c r="A4151" s="25" t="str">
        <f ca="1">IFERROR(__xludf.DUMMYFUNCTION("""COMPUTED_VALUE"""),"Hacie249")</f>
        <v>Hacie249</v>
      </c>
      <c r="B4151" s="25"/>
      <c r="C4151" s="55"/>
      <c r="D4151" s="25" t="str">
        <f ca="1">IFERROR(__xludf.DUMMYFUNCTION("""COMPUTED_VALUE"""),"Hacienda")</f>
        <v>Hacienda</v>
      </c>
      <c r="E4151" s="25"/>
      <c r="F4151" s="25"/>
      <c r="G4151" s="25"/>
      <c r="H4151" s="25"/>
      <c r="I4151" s="25"/>
      <c r="J4151" s="55"/>
      <c r="K4151" s="25" t="str">
        <f ca="1">IFERROR(__xludf.DUMMYFUNCTION("""COMPUTED_VALUE"""),"Definir fecha")</f>
        <v>Definir fecha</v>
      </c>
      <c r="L4151" s="62"/>
      <c r="M4151" s="25"/>
      <c r="N4151" s="25"/>
      <c r="O4151" s="25">
        <f t="shared" si="0"/>
        <v>0</v>
      </c>
      <c r="P4151" s="25" t="str">
        <f t="shared" si="2"/>
        <v/>
      </c>
      <c r="Q4151" s="25" t="str">
        <f ca="1">IFERROR(__xludf.DUMMYFUNCTION("""COMPUTED_VALUE"""),"Sin defenir")</f>
        <v>Sin defenir</v>
      </c>
      <c r="R4151" s="25"/>
      <c r="S4151" s="55"/>
      <c r="T4151" s="56"/>
      <c r="U4151" s="25"/>
      <c r="V4151" s="25"/>
      <c r="W4151" s="25"/>
      <c r="X4151" s="25"/>
      <c r="Y4151" s="25"/>
      <c r="Z4151" s="25"/>
    </row>
    <row r="4152" spans="1:26" ht="52.5" customHeight="1" x14ac:dyDescent="0.25">
      <c r="A4152" s="25" t="str">
        <f ca="1">IFERROR(__xludf.DUMMYFUNCTION("""COMPUTED_VALUE"""),"Hacie250")</f>
        <v>Hacie250</v>
      </c>
      <c r="B4152" s="25"/>
      <c r="C4152" s="55"/>
      <c r="D4152" s="25" t="str">
        <f ca="1">IFERROR(__xludf.DUMMYFUNCTION("""COMPUTED_VALUE"""),"Hacienda")</f>
        <v>Hacienda</v>
      </c>
      <c r="E4152" s="25"/>
      <c r="F4152" s="25"/>
      <c r="G4152" s="25"/>
      <c r="H4152" s="25"/>
      <c r="I4152" s="25"/>
      <c r="J4152" s="55"/>
      <c r="K4152" s="25" t="str">
        <f ca="1">IFERROR(__xludf.DUMMYFUNCTION("""COMPUTED_VALUE"""),"Definir fecha")</f>
        <v>Definir fecha</v>
      </c>
      <c r="L4152" s="62"/>
      <c r="M4152" s="25"/>
      <c r="N4152" s="25"/>
      <c r="O4152" s="25">
        <f t="shared" si="0"/>
        <v>0</v>
      </c>
      <c r="P4152" s="25" t="str">
        <f t="shared" si="2"/>
        <v/>
      </c>
      <c r="Q4152" s="25" t="str">
        <f ca="1">IFERROR(__xludf.DUMMYFUNCTION("""COMPUTED_VALUE"""),"Sin defenir")</f>
        <v>Sin defenir</v>
      </c>
      <c r="R4152" s="25"/>
      <c r="S4152" s="55"/>
      <c r="T4152" s="56"/>
      <c r="U4152" s="25"/>
      <c r="V4152" s="25"/>
      <c r="W4152" s="25"/>
      <c r="X4152" s="25"/>
      <c r="Y4152" s="25"/>
      <c r="Z4152" s="25"/>
    </row>
    <row r="4153" spans="1:26" ht="52.5" customHeight="1" x14ac:dyDescent="0.25">
      <c r="A4153" s="25" t="str">
        <f ca="1">IFERROR(__xludf.DUMMYFUNCTION("""COMPUTED_VALUE"""),"Hacie251")</f>
        <v>Hacie251</v>
      </c>
      <c r="B4153" s="25"/>
      <c r="C4153" s="55"/>
      <c r="D4153" s="25" t="str">
        <f ca="1">IFERROR(__xludf.DUMMYFUNCTION("""COMPUTED_VALUE"""),"Hacienda")</f>
        <v>Hacienda</v>
      </c>
      <c r="E4153" s="25"/>
      <c r="F4153" s="25"/>
      <c r="G4153" s="25"/>
      <c r="H4153" s="25"/>
      <c r="I4153" s="25"/>
      <c r="J4153" s="55"/>
      <c r="K4153" s="25" t="str">
        <f ca="1">IFERROR(__xludf.DUMMYFUNCTION("""COMPUTED_VALUE"""),"Definir fecha")</f>
        <v>Definir fecha</v>
      </c>
      <c r="L4153" s="62"/>
      <c r="M4153" s="25"/>
      <c r="N4153" s="25"/>
      <c r="O4153" s="25">
        <f t="shared" si="0"/>
        <v>0</v>
      </c>
      <c r="P4153" s="25" t="str">
        <f t="shared" si="2"/>
        <v/>
      </c>
      <c r="Q4153" s="25" t="str">
        <f ca="1">IFERROR(__xludf.DUMMYFUNCTION("""COMPUTED_VALUE"""),"Sin defenir")</f>
        <v>Sin defenir</v>
      </c>
      <c r="R4153" s="25"/>
      <c r="S4153" s="55"/>
      <c r="T4153" s="56"/>
      <c r="U4153" s="25"/>
      <c r="V4153" s="25"/>
      <c r="W4153" s="25"/>
      <c r="X4153" s="25"/>
      <c r="Y4153" s="25"/>
      <c r="Z4153" s="25"/>
    </row>
    <row r="4154" spans="1:26" ht="52.5" customHeight="1" x14ac:dyDescent="0.25">
      <c r="A4154" s="25" t="str">
        <f ca="1">IFERROR(__xludf.DUMMYFUNCTION("""COMPUTED_VALUE"""),"Hacie252")</f>
        <v>Hacie252</v>
      </c>
      <c r="B4154" s="25"/>
      <c r="C4154" s="55"/>
      <c r="D4154" s="25" t="str">
        <f ca="1">IFERROR(__xludf.DUMMYFUNCTION("""COMPUTED_VALUE"""),"Hacienda")</f>
        <v>Hacienda</v>
      </c>
      <c r="E4154" s="25"/>
      <c r="F4154" s="25"/>
      <c r="G4154" s="25"/>
      <c r="H4154" s="25"/>
      <c r="I4154" s="25"/>
      <c r="J4154" s="55"/>
      <c r="K4154" s="25" t="str">
        <f ca="1">IFERROR(__xludf.DUMMYFUNCTION("""COMPUTED_VALUE"""),"Definir fecha")</f>
        <v>Definir fecha</v>
      </c>
      <c r="L4154" s="62"/>
      <c r="M4154" s="25"/>
      <c r="N4154" s="25"/>
      <c r="O4154" s="25">
        <f t="shared" si="0"/>
        <v>0</v>
      </c>
      <c r="P4154" s="25" t="str">
        <f t="shared" si="2"/>
        <v/>
      </c>
      <c r="Q4154" s="25" t="str">
        <f ca="1">IFERROR(__xludf.DUMMYFUNCTION("""COMPUTED_VALUE"""),"Sin defenir")</f>
        <v>Sin defenir</v>
      </c>
      <c r="R4154" s="25"/>
      <c r="S4154" s="55"/>
      <c r="T4154" s="56"/>
      <c r="U4154" s="25"/>
      <c r="V4154" s="25"/>
      <c r="W4154" s="25"/>
      <c r="X4154" s="25"/>
      <c r="Y4154" s="25"/>
      <c r="Z4154" s="25"/>
    </row>
    <row r="4155" spans="1:26" ht="52.5" customHeight="1" x14ac:dyDescent="0.25">
      <c r="A4155" s="25" t="str">
        <f ca="1">IFERROR(__xludf.DUMMYFUNCTION("""COMPUTED_VALUE"""),"Hacie253")</f>
        <v>Hacie253</v>
      </c>
      <c r="B4155" s="25"/>
      <c r="C4155" s="55"/>
      <c r="D4155" s="25" t="str">
        <f ca="1">IFERROR(__xludf.DUMMYFUNCTION("""COMPUTED_VALUE"""),"Hacienda")</f>
        <v>Hacienda</v>
      </c>
      <c r="E4155" s="25"/>
      <c r="F4155" s="25"/>
      <c r="G4155" s="25"/>
      <c r="H4155" s="25"/>
      <c r="I4155" s="25"/>
      <c r="J4155" s="55"/>
      <c r="K4155" s="25" t="str">
        <f ca="1">IFERROR(__xludf.DUMMYFUNCTION("""COMPUTED_VALUE"""),"Definir fecha")</f>
        <v>Definir fecha</v>
      </c>
      <c r="L4155" s="62"/>
      <c r="M4155" s="25"/>
      <c r="N4155" s="25"/>
      <c r="O4155" s="25">
        <f t="shared" si="0"/>
        <v>0</v>
      </c>
      <c r="P4155" s="25" t="str">
        <f t="shared" si="2"/>
        <v/>
      </c>
      <c r="Q4155" s="25" t="str">
        <f ca="1">IFERROR(__xludf.DUMMYFUNCTION("""COMPUTED_VALUE"""),"Sin defenir")</f>
        <v>Sin defenir</v>
      </c>
      <c r="R4155" s="25"/>
      <c r="S4155" s="55"/>
      <c r="T4155" s="56"/>
      <c r="U4155" s="25"/>
      <c r="V4155" s="25"/>
      <c r="W4155" s="25"/>
      <c r="X4155" s="25"/>
      <c r="Y4155" s="25"/>
      <c r="Z4155" s="25"/>
    </row>
    <row r="4156" spans="1:26" ht="52.5" customHeight="1" x14ac:dyDescent="0.25">
      <c r="A4156" s="25" t="str">
        <f ca="1">IFERROR(__xludf.DUMMYFUNCTION("""COMPUTED_VALUE"""),"Hacie254")</f>
        <v>Hacie254</v>
      </c>
      <c r="B4156" s="25"/>
      <c r="C4156" s="55"/>
      <c r="D4156" s="25" t="str">
        <f ca="1">IFERROR(__xludf.DUMMYFUNCTION("""COMPUTED_VALUE"""),"Hacienda")</f>
        <v>Hacienda</v>
      </c>
      <c r="E4156" s="25"/>
      <c r="F4156" s="25"/>
      <c r="G4156" s="25"/>
      <c r="H4156" s="25"/>
      <c r="I4156" s="25"/>
      <c r="J4156" s="55"/>
      <c r="K4156" s="25" t="str">
        <f ca="1">IFERROR(__xludf.DUMMYFUNCTION("""COMPUTED_VALUE"""),"Definir fecha")</f>
        <v>Definir fecha</v>
      </c>
      <c r="L4156" s="62"/>
      <c r="M4156" s="25"/>
      <c r="N4156" s="25"/>
      <c r="O4156" s="25">
        <f t="shared" si="0"/>
        <v>0</v>
      </c>
      <c r="P4156" s="25" t="str">
        <f t="shared" si="2"/>
        <v/>
      </c>
      <c r="Q4156" s="25" t="str">
        <f ca="1">IFERROR(__xludf.DUMMYFUNCTION("""COMPUTED_VALUE"""),"Sin defenir")</f>
        <v>Sin defenir</v>
      </c>
      <c r="R4156" s="25"/>
      <c r="S4156" s="55"/>
      <c r="T4156" s="56"/>
      <c r="U4156" s="25"/>
      <c r="V4156" s="25"/>
      <c r="W4156" s="25"/>
      <c r="X4156" s="25"/>
      <c r="Y4156" s="25"/>
      <c r="Z4156" s="25"/>
    </row>
    <row r="4157" spans="1:26" ht="52.5" customHeight="1" x14ac:dyDescent="0.25">
      <c r="A4157" s="25" t="str">
        <f ca="1">IFERROR(__xludf.DUMMYFUNCTION("""COMPUTED_VALUE"""),"Hacie255")</f>
        <v>Hacie255</v>
      </c>
      <c r="B4157" s="25"/>
      <c r="C4157" s="55"/>
      <c r="D4157" s="25" t="str">
        <f ca="1">IFERROR(__xludf.DUMMYFUNCTION("""COMPUTED_VALUE"""),"Hacienda")</f>
        <v>Hacienda</v>
      </c>
      <c r="E4157" s="25"/>
      <c r="F4157" s="25"/>
      <c r="G4157" s="25"/>
      <c r="H4157" s="25"/>
      <c r="I4157" s="25"/>
      <c r="J4157" s="55"/>
      <c r="K4157" s="25" t="str">
        <f ca="1">IFERROR(__xludf.DUMMYFUNCTION("""COMPUTED_VALUE"""),"Definir fecha")</f>
        <v>Definir fecha</v>
      </c>
      <c r="L4157" s="62"/>
      <c r="M4157" s="25"/>
      <c r="N4157" s="25"/>
      <c r="O4157" s="25">
        <f t="shared" si="0"/>
        <v>0</v>
      </c>
      <c r="P4157" s="25" t="str">
        <f t="shared" si="2"/>
        <v/>
      </c>
      <c r="Q4157" s="25" t="str">
        <f ca="1">IFERROR(__xludf.DUMMYFUNCTION("""COMPUTED_VALUE"""),"Sin defenir")</f>
        <v>Sin defenir</v>
      </c>
      <c r="R4157" s="25"/>
      <c r="S4157" s="55"/>
      <c r="T4157" s="56"/>
      <c r="U4157" s="25"/>
      <c r="V4157" s="25"/>
      <c r="W4157" s="25"/>
      <c r="X4157" s="25"/>
      <c r="Y4157" s="25"/>
      <c r="Z4157" s="25"/>
    </row>
    <row r="4158" spans="1:26" ht="52.5" customHeight="1" x14ac:dyDescent="0.25">
      <c r="A4158" s="25" t="str">
        <f ca="1">IFERROR(__xludf.DUMMYFUNCTION("""COMPUTED_VALUE"""),"Hacie256")</f>
        <v>Hacie256</v>
      </c>
      <c r="B4158" s="25"/>
      <c r="C4158" s="55"/>
      <c r="D4158" s="25" t="str">
        <f ca="1">IFERROR(__xludf.DUMMYFUNCTION("""COMPUTED_VALUE"""),"Hacienda")</f>
        <v>Hacienda</v>
      </c>
      <c r="E4158" s="25"/>
      <c r="F4158" s="25"/>
      <c r="G4158" s="25"/>
      <c r="H4158" s="25"/>
      <c r="I4158" s="25"/>
      <c r="J4158" s="55"/>
      <c r="K4158" s="25" t="str">
        <f ca="1">IFERROR(__xludf.DUMMYFUNCTION("""COMPUTED_VALUE"""),"Definir fecha")</f>
        <v>Definir fecha</v>
      </c>
      <c r="L4158" s="62"/>
      <c r="M4158" s="25"/>
      <c r="N4158" s="25"/>
      <c r="O4158" s="25">
        <f t="shared" si="0"/>
        <v>0</v>
      </c>
      <c r="P4158" s="25" t="str">
        <f t="shared" si="2"/>
        <v/>
      </c>
      <c r="Q4158" s="25" t="str">
        <f ca="1">IFERROR(__xludf.DUMMYFUNCTION("""COMPUTED_VALUE"""),"Sin defenir")</f>
        <v>Sin defenir</v>
      </c>
      <c r="R4158" s="25"/>
      <c r="S4158" s="55"/>
      <c r="T4158" s="56"/>
      <c r="U4158" s="25"/>
      <c r="V4158" s="25"/>
      <c r="W4158" s="25"/>
      <c r="X4158" s="25"/>
      <c r="Y4158" s="25"/>
      <c r="Z4158" s="25"/>
    </row>
    <row r="4159" spans="1:26" ht="52.5" customHeight="1" x14ac:dyDescent="0.25">
      <c r="A4159" s="25" t="str">
        <f ca="1">IFERROR(__xludf.DUMMYFUNCTION("""COMPUTED_VALUE"""),"Hacie257")</f>
        <v>Hacie257</v>
      </c>
      <c r="B4159" s="25"/>
      <c r="C4159" s="55"/>
      <c r="D4159" s="25" t="str">
        <f ca="1">IFERROR(__xludf.DUMMYFUNCTION("""COMPUTED_VALUE"""),"Hacienda")</f>
        <v>Hacienda</v>
      </c>
      <c r="E4159" s="25"/>
      <c r="F4159" s="25"/>
      <c r="G4159" s="25"/>
      <c r="H4159" s="25"/>
      <c r="I4159" s="25"/>
      <c r="J4159" s="55"/>
      <c r="K4159" s="25" t="str">
        <f ca="1">IFERROR(__xludf.DUMMYFUNCTION("""COMPUTED_VALUE"""),"Definir fecha")</f>
        <v>Definir fecha</v>
      </c>
      <c r="L4159" s="62"/>
      <c r="M4159" s="25"/>
      <c r="N4159" s="25"/>
      <c r="O4159" s="25">
        <f t="shared" si="0"/>
        <v>0</v>
      </c>
      <c r="P4159" s="25" t="str">
        <f t="shared" si="2"/>
        <v/>
      </c>
      <c r="Q4159" s="25" t="str">
        <f ca="1">IFERROR(__xludf.DUMMYFUNCTION("""COMPUTED_VALUE"""),"Sin defenir")</f>
        <v>Sin defenir</v>
      </c>
      <c r="R4159" s="25"/>
      <c r="S4159" s="55"/>
      <c r="T4159" s="56"/>
      <c r="U4159" s="25"/>
      <c r="V4159" s="25"/>
      <c r="W4159" s="25"/>
      <c r="X4159" s="25"/>
      <c r="Y4159" s="25"/>
      <c r="Z4159" s="25"/>
    </row>
    <row r="4160" spans="1:26" ht="52.5" customHeight="1" x14ac:dyDescent="0.25">
      <c r="A4160" s="25" t="str">
        <f ca="1">IFERROR(__xludf.DUMMYFUNCTION("""COMPUTED_VALUE"""),"Hacie258")</f>
        <v>Hacie258</v>
      </c>
      <c r="B4160" s="25"/>
      <c r="C4160" s="55"/>
      <c r="D4160" s="25" t="str">
        <f ca="1">IFERROR(__xludf.DUMMYFUNCTION("""COMPUTED_VALUE"""),"Hacienda")</f>
        <v>Hacienda</v>
      </c>
      <c r="E4160" s="25"/>
      <c r="F4160" s="25"/>
      <c r="G4160" s="25"/>
      <c r="H4160" s="25"/>
      <c r="I4160" s="25"/>
      <c r="J4160" s="55"/>
      <c r="K4160" s="25" t="str">
        <f ca="1">IFERROR(__xludf.DUMMYFUNCTION("""COMPUTED_VALUE"""),"Definir fecha")</f>
        <v>Definir fecha</v>
      </c>
      <c r="L4160" s="62"/>
      <c r="M4160" s="25"/>
      <c r="N4160" s="25"/>
      <c r="O4160" s="25">
        <f t="shared" si="0"/>
        <v>0</v>
      </c>
      <c r="P4160" s="25" t="str">
        <f t="shared" si="2"/>
        <v/>
      </c>
      <c r="Q4160" s="25" t="str">
        <f ca="1">IFERROR(__xludf.DUMMYFUNCTION("""COMPUTED_VALUE"""),"Sin defenir")</f>
        <v>Sin defenir</v>
      </c>
      <c r="R4160" s="25"/>
      <c r="S4160" s="55"/>
      <c r="T4160" s="56"/>
      <c r="U4160" s="25"/>
      <c r="V4160" s="25"/>
      <c r="W4160" s="25"/>
      <c r="X4160" s="25"/>
      <c r="Y4160" s="25"/>
      <c r="Z4160" s="25"/>
    </row>
    <row r="4161" spans="1:26" ht="52.5" customHeight="1" x14ac:dyDescent="0.25">
      <c r="A4161" s="25" t="str">
        <f ca="1">IFERROR(__xludf.DUMMYFUNCTION("""COMPUTED_VALUE"""),"Hacie259")</f>
        <v>Hacie259</v>
      </c>
      <c r="B4161" s="25"/>
      <c r="C4161" s="55"/>
      <c r="D4161" s="25" t="str">
        <f ca="1">IFERROR(__xludf.DUMMYFUNCTION("""COMPUTED_VALUE"""),"Hacienda")</f>
        <v>Hacienda</v>
      </c>
      <c r="E4161" s="25"/>
      <c r="F4161" s="25"/>
      <c r="G4161" s="25"/>
      <c r="H4161" s="25"/>
      <c r="I4161" s="25"/>
      <c r="J4161" s="55"/>
      <c r="K4161" s="25" t="str">
        <f ca="1">IFERROR(__xludf.DUMMYFUNCTION("""COMPUTED_VALUE"""),"Definir fecha")</f>
        <v>Definir fecha</v>
      </c>
      <c r="L4161" s="62"/>
      <c r="M4161" s="25"/>
      <c r="N4161" s="25"/>
      <c r="O4161" s="25">
        <f t="shared" si="0"/>
        <v>0</v>
      </c>
      <c r="P4161" s="25" t="str">
        <f t="shared" si="2"/>
        <v/>
      </c>
      <c r="Q4161" s="25" t="str">
        <f ca="1">IFERROR(__xludf.DUMMYFUNCTION("""COMPUTED_VALUE"""),"Sin defenir")</f>
        <v>Sin defenir</v>
      </c>
      <c r="R4161" s="25"/>
      <c r="S4161" s="55"/>
      <c r="T4161" s="56"/>
      <c r="U4161" s="25"/>
      <c r="V4161" s="25"/>
      <c r="W4161" s="25"/>
      <c r="X4161" s="25"/>
      <c r="Y4161" s="25"/>
      <c r="Z4161" s="25"/>
    </row>
    <row r="4162" spans="1:26" ht="52.5" customHeight="1" x14ac:dyDescent="0.25">
      <c r="A4162" s="25" t="str">
        <f ca="1">IFERROR(__xludf.DUMMYFUNCTION("""COMPUTED_VALUE"""),"Hacie260")</f>
        <v>Hacie260</v>
      </c>
      <c r="B4162" s="25"/>
      <c r="C4162" s="55"/>
      <c r="D4162" s="25" t="str">
        <f ca="1">IFERROR(__xludf.DUMMYFUNCTION("""COMPUTED_VALUE"""),"Hacienda")</f>
        <v>Hacienda</v>
      </c>
      <c r="E4162" s="25"/>
      <c r="F4162" s="25"/>
      <c r="G4162" s="25"/>
      <c r="H4162" s="25"/>
      <c r="I4162" s="25"/>
      <c r="J4162" s="55"/>
      <c r="K4162" s="25" t="str">
        <f ca="1">IFERROR(__xludf.DUMMYFUNCTION("""COMPUTED_VALUE"""),"Definir fecha")</f>
        <v>Definir fecha</v>
      </c>
      <c r="L4162" s="62"/>
      <c r="M4162" s="25"/>
      <c r="N4162" s="25"/>
      <c r="O4162" s="25">
        <f t="shared" si="0"/>
        <v>0</v>
      </c>
      <c r="P4162" s="25" t="str">
        <f t="shared" si="2"/>
        <v/>
      </c>
      <c r="Q4162" s="25" t="str">
        <f ca="1">IFERROR(__xludf.DUMMYFUNCTION("""COMPUTED_VALUE"""),"Sin defenir")</f>
        <v>Sin defenir</v>
      </c>
      <c r="R4162" s="25"/>
      <c r="S4162" s="55"/>
      <c r="T4162" s="56"/>
      <c r="U4162" s="25"/>
      <c r="V4162" s="25"/>
      <c r="W4162" s="25"/>
      <c r="X4162" s="25"/>
      <c r="Y4162" s="25"/>
      <c r="Z4162" s="25"/>
    </row>
    <row r="4163" spans="1:26" ht="52.5" customHeight="1" x14ac:dyDescent="0.25">
      <c r="A4163" s="25" t="str">
        <f ca="1">IFERROR(__xludf.DUMMYFUNCTION("""COMPUTED_VALUE"""),"Hacie261")</f>
        <v>Hacie261</v>
      </c>
      <c r="B4163" s="25"/>
      <c r="C4163" s="55"/>
      <c r="D4163" s="25" t="str">
        <f ca="1">IFERROR(__xludf.DUMMYFUNCTION("""COMPUTED_VALUE"""),"Hacienda")</f>
        <v>Hacienda</v>
      </c>
      <c r="E4163" s="25"/>
      <c r="F4163" s="25"/>
      <c r="G4163" s="25"/>
      <c r="H4163" s="25"/>
      <c r="I4163" s="25"/>
      <c r="J4163" s="55"/>
      <c r="K4163" s="25" t="str">
        <f ca="1">IFERROR(__xludf.DUMMYFUNCTION("""COMPUTED_VALUE"""),"Definir fecha")</f>
        <v>Definir fecha</v>
      </c>
      <c r="L4163" s="62"/>
      <c r="M4163" s="25"/>
      <c r="N4163" s="25"/>
      <c r="O4163" s="25">
        <f t="shared" si="0"/>
        <v>0</v>
      </c>
      <c r="P4163" s="25" t="str">
        <f t="shared" si="2"/>
        <v/>
      </c>
      <c r="Q4163" s="25" t="str">
        <f ca="1">IFERROR(__xludf.DUMMYFUNCTION("""COMPUTED_VALUE"""),"Sin defenir")</f>
        <v>Sin defenir</v>
      </c>
      <c r="R4163" s="25"/>
      <c r="S4163" s="55"/>
      <c r="T4163" s="56"/>
      <c r="U4163" s="25"/>
      <c r="V4163" s="25"/>
      <c r="W4163" s="25"/>
      <c r="X4163" s="25"/>
      <c r="Y4163" s="25"/>
      <c r="Z4163" s="25"/>
    </row>
    <row r="4164" spans="1:26" ht="52.5" customHeight="1" x14ac:dyDescent="0.25">
      <c r="A4164" s="25" t="str">
        <f ca="1">IFERROR(__xludf.DUMMYFUNCTION("""COMPUTED_VALUE"""),"Hacie262")</f>
        <v>Hacie262</v>
      </c>
      <c r="B4164" s="25"/>
      <c r="C4164" s="55"/>
      <c r="D4164" s="25" t="str">
        <f ca="1">IFERROR(__xludf.DUMMYFUNCTION("""COMPUTED_VALUE"""),"Hacienda")</f>
        <v>Hacienda</v>
      </c>
      <c r="E4164" s="25"/>
      <c r="F4164" s="25"/>
      <c r="G4164" s="25"/>
      <c r="H4164" s="25"/>
      <c r="I4164" s="25"/>
      <c r="J4164" s="55"/>
      <c r="K4164" s="25" t="str">
        <f ca="1">IFERROR(__xludf.DUMMYFUNCTION("""COMPUTED_VALUE"""),"Definir fecha")</f>
        <v>Definir fecha</v>
      </c>
      <c r="L4164" s="62"/>
      <c r="M4164" s="25"/>
      <c r="N4164" s="25"/>
      <c r="O4164" s="25">
        <f t="shared" si="0"/>
        <v>0</v>
      </c>
      <c r="P4164" s="25" t="str">
        <f t="shared" si="2"/>
        <v/>
      </c>
      <c r="Q4164" s="25" t="str">
        <f ca="1">IFERROR(__xludf.DUMMYFUNCTION("""COMPUTED_VALUE"""),"Sin defenir")</f>
        <v>Sin defenir</v>
      </c>
      <c r="R4164" s="25"/>
      <c r="S4164" s="55"/>
      <c r="T4164" s="56"/>
      <c r="U4164" s="25"/>
      <c r="V4164" s="25"/>
      <c r="W4164" s="25"/>
      <c r="X4164" s="25"/>
      <c r="Y4164" s="25"/>
      <c r="Z4164" s="25"/>
    </row>
    <row r="4165" spans="1:26" ht="52.5" customHeight="1" x14ac:dyDescent="0.25">
      <c r="A4165" s="25" t="str">
        <f ca="1">IFERROR(__xludf.DUMMYFUNCTION("""COMPUTED_VALUE"""),"Hacie263")</f>
        <v>Hacie263</v>
      </c>
      <c r="B4165" s="25"/>
      <c r="C4165" s="55"/>
      <c r="D4165" s="25" t="str">
        <f ca="1">IFERROR(__xludf.DUMMYFUNCTION("""COMPUTED_VALUE"""),"Hacienda")</f>
        <v>Hacienda</v>
      </c>
      <c r="E4165" s="25"/>
      <c r="F4165" s="25"/>
      <c r="G4165" s="25"/>
      <c r="H4165" s="25"/>
      <c r="I4165" s="25"/>
      <c r="J4165" s="55"/>
      <c r="K4165" s="25" t="str">
        <f ca="1">IFERROR(__xludf.DUMMYFUNCTION("""COMPUTED_VALUE"""),"Definir fecha")</f>
        <v>Definir fecha</v>
      </c>
      <c r="L4165" s="62"/>
      <c r="M4165" s="25"/>
      <c r="N4165" s="25"/>
      <c r="O4165" s="25">
        <f t="shared" si="0"/>
        <v>0</v>
      </c>
      <c r="P4165" s="25" t="str">
        <f t="shared" si="2"/>
        <v/>
      </c>
      <c r="Q4165" s="25" t="str">
        <f ca="1">IFERROR(__xludf.DUMMYFUNCTION("""COMPUTED_VALUE"""),"Sin defenir")</f>
        <v>Sin defenir</v>
      </c>
      <c r="R4165" s="25"/>
      <c r="S4165" s="55"/>
      <c r="T4165" s="56"/>
      <c r="U4165" s="25"/>
      <c r="V4165" s="25"/>
      <c r="W4165" s="25"/>
      <c r="X4165" s="25"/>
      <c r="Y4165" s="25"/>
      <c r="Z4165" s="25"/>
    </row>
    <row r="4166" spans="1:26" ht="52.5" customHeight="1" x14ac:dyDescent="0.25">
      <c r="A4166" s="25" t="str">
        <f ca="1">IFERROR(__xludf.DUMMYFUNCTION("""COMPUTED_VALUE"""),"Hacie264")</f>
        <v>Hacie264</v>
      </c>
      <c r="B4166" s="25"/>
      <c r="C4166" s="55"/>
      <c r="D4166" s="25" t="str">
        <f ca="1">IFERROR(__xludf.DUMMYFUNCTION("""COMPUTED_VALUE"""),"Hacienda")</f>
        <v>Hacienda</v>
      </c>
      <c r="E4166" s="25"/>
      <c r="F4166" s="25"/>
      <c r="G4166" s="25"/>
      <c r="H4166" s="25"/>
      <c r="I4166" s="25"/>
      <c r="J4166" s="55"/>
      <c r="K4166" s="25" t="str">
        <f ca="1">IFERROR(__xludf.DUMMYFUNCTION("""COMPUTED_VALUE"""),"Definir fecha")</f>
        <v>Definir fecha</v>
      </c>
      <c r="L4166" s="62"/>
      <c r="M4166" s="25"/>
      <c r="N4166" s="25"/>
      <c r="O4166" s="25">
        <f t="shared" si="0"/>
        <v>0</v>
      </c>
      <c r="P4166" s="25" t="str">
        <f t="shared" si="2"/>
        <v/>
      </c>
      <c r="Q4166" s="25" t="str">
        <f ca="1">IFERROR(__xludf.DUMMYFUNCTION("""COMPUTED_VALUE"""),"Sin defenir")</f>
        <v>Sin defenir</v>
      </c>
      <c r="R4166" s="25"/>
      <c r="S4166" s="55"/>
      <c r="T4166" s="56"/>
      <c r="U4166" s="25"/>
      <c r="V4166" s="25"/>
      <c r="W4166" s="25"/>
      <c r="X4166" s="25"/>
      <c r="Y4166" s="25"/>
      <c r="Z4166" s="25"/>
    </row>
    <row r="4167" spans="1:26" ht="52.5" customHeight="1" x14ac:dyDescent="0.25">
      <c r="A4167" s="25" t="str">
        <f ca="1">IFERROR(__xludf.DUMMYFUNCTION("""COMPUTED_VALUE"""),"Hacie265")</f>
        <v>Hacie265</v>
      </c>
      <c r="B4167" s="25"/>
      <c r="C4167" s="55"/>
      <c r="D4167" s="25" t="str">
        <f ca="1">IFERROR(__xludf.DUMMYFUNCTION("""COMPUTED_VALUE"""),"Hacienda")</f>
        <v>Hacienda</v>
      </c>
      <c r="E4167" s="25"/>
      <c r="F4167" s="25"/>
      <c r="G4167" s="25"/>
      <c r="H4167" s="25"/>
      <c r="I4167" s="25"/>
      <c r="J4167" s="55"/>
      <c r="K4167" s="25" t="str">
        <f ca="1">IFERROR(__xludf.DUMMYFUNCTION("""COMPUTED_VALUE"""),"Definir fecha")</f>
        <v>Definir fecha</v>
      </c>
      <c r="L4167" s="62"/>
      <c r="M4167" s="25"/>
      <c r="N4167" s="25"/>
      <c r="O4167" s="25">
        <f t="shared" si="0"/>
        <v>0</v>
      </c>
      <c r="P4167" s="25" t="str">
        <f t="shared" si="2"/>
        <v/>
      </c>
      <c r="Q4167" s="25" t="str">
        <f ca="1">IFERROR(__xludf.DUMMYFUNCTION("""COMPUTED_VALUE"""),"Sin defenir")</f>
        <v>Sin defenir</v>
      </c>
      <c r="R4167" s="25"/>
      <c r="S4167" s="55"/>
      <c r="T4167" s="56"/>
      <c r="U4167" s="25"/>
      <c r="V4167" s="25"/>
      <c r="W4167" s="25"/>
      <c r="X4167" s="25"/>
      <c r="Y4167" s="25"/>
      <c r="Z4167" s="25"/>
    </row>
    <row r="4168" spans="1:26" ht="52.5" customHeight="1" x14ac:dyDescent="0.25">
      <c r="A4168" s="25" t="str">
        <f ca="1">IFERROR(__xludf.DUMMYFUNCTION("""COMPUTED_VALUE"""),"Hacie266")</f>
        <v>Hacie266</v>
      </c>
      <c r="B4168" s="25"/>
      <c r="C4168" s="55"/>
      <c r="D4168" s="25" t="str">
        <f ca="1">IFERROR(__xludf.DUMMYFUNCTION("""COMPUTED_VALUE"""),"Hacienda")</f>
        <v>Hacienda</v>
      </c>
      <c r="E4168" s="25"/>
      <c r="F4168" s="25"/>
      <c r="G4168" s="25"/>
      <c r="H4168" s="25"/>
      <c r="I4168" s="25"/>
      <c r="J4168" s="55"/>
      <c r="K4168" s="25" t="str">
        <f ca="1">IFERROR(__xludf.DUMMYFUNCTION("""COMPUTED_VALUE"""),"Definir fecha")</f>
        <v>Definir fecha</v>
      </c>
      <c r="L4168" s="62"/>
      <c r="M4168" s="25"/>
      <c r="N4168" s="25"/>
      <c r="O4168" s="25">
        <f t="shared" si="0"/>
        <v>0</v>
      </c>
      <c r="P4168" s="25" t="str">
        <f t="shared" si="2"/>
        <v/>
      </c>
      <c r="Q4168" s="25" t="str">
        <f ca="1">IFERROR(__xludf.DUMMYFUNCTION("""COMPUTED_VALUE"""),"Sin defenir")</f>
        <v>Sin defenir</v>
      </c>
      <c r="R4168" s="25"/>
      <c r="S4168" s="55"/>
      <c r="T4168" s="56"/>
      <c r="U4168" s="25"/>
      <c r="V4168" s="25"/>
      <c r="W4168" s="25"/>
      <c r="X4168" s="25"/>
      <c r="Y4168" s="25"/>
      <c r="Z4168" s="25"/>
    </row>
    <row r="4169" spans="1:26" ht="52.5" customHeight="1" x14ac:dyDescent="0.25">
      <c r="A4169" s="25" t="str">
        <f ca="1">IFERROR(__xludf.DUMMYFUNCTION("""COMPUTED_VALUE"""),"Hacie267")</f>
        <v>Hacie267</v>
      </c>
      <c r="B4169" s="25"/>
      <c r="C4169" s="55"/>
      <c r="D4169" s="25" t="str">
        <f ca="1">IFERROR(__xludf.DUMMYFUNCTION("""COMPUTED_VALUE"""),"Hacienda")</f>
        <v>Hacienda</v>
      </c>
      <c r="E4169" s="25"/>
      <c r="F4169" s="25"/>
      <c r="G4169" s="25"/>
      <c r="H4169" s="25"/>
      <c r="I4169" s="25"/>
      <c r="J4169" s="55"/>
      <c r="K4169" s="25" t="str">
        <f ca="1">IFERROR(__xludf.DUMMYFUNCTION("""COMPUTED_VALUE"""),"Definir fecha")</f>
        <v>Definir fecha</v>
      </c>
      <c r="L4169" s="62"/>
      <c r="M4169" s="25"/>
      <c r="N4169" s="25"/>
      <c r="O4169" s="25">
        <f t="shared" si="0"/>
        <v>0</v>
      </c>
      <c r="P4169" s="25" t="str">
        <f t="shared" si="2"/>
        <v/>
      </c>
      <c r="Q4169" s="25" t="str">
        <f ca="1">IFERROR(__xludf.DUMMYFUNCTION("""COMPUTED_VALUE"""),"Sin defenir")</f>
        <v>Sin defenir</v>
      </c>
      <c r="R4169" s="25"/>
      <c r="S4169" s="55"/>
      <c r="T4169" s="56"/>
      <c r="U4169" s="25"/>
      <c r="V4169" s="25"/>
      <c r="W4169" s="25"/>
      <c r="X4169" s="25"/>
      <c r="Y4169" s="25"/>
      <c r="Z4169" s="25"/>
    </row>
    <row r="4170" spans="1:26" ht="52.5" customHeight="1" x14ac:dyDescent="0.25">
      <c r="A4170" s="25" t="str">
        <f ca="1">IFERROR(__xludf.DUMMYFUNCTION("""COMPUTED_VALUE"""),"Hacie268")</f>
        <v>Hacie268</v>
      </c>
      <c r="B4170" s="25"/>
      <c r="C4170" s="55"/>
      <c r="D4170" s="25" t="str">
        <f ca="1">IFERROR(__xludf.DUMMYFUNCTION("""COMPUTED_VALUE"""),"Hacienda")</f>
        <v>Hacienda</v>
      </c>
      <c r="E4170" s="25"/>
      <c r="F4170" s="25"/>
      <c r="G4170" s="25"/>
      <c r="H4170" s="25"/>
      <c r="I4170" s="25"/>
      <c r="J4170" s="55"/>
      <c r="K4170" s="25" t="str">
        <f ca="1">IFERROR(__xludf.DUMMYFUNCTION("""COMPUTED_VALUE"""),"Definir fecha")</f>
        <v>Definir fecha</v>
      </c>
      <c r="L4170" s="62"/>
      <c r="M4170" s="25"/>
      <c r="N4170" s="25"/>
      <c r="O4170" s="25">
        <f t="shared" si="0"/>
        <v>0</v>
      </c>
      <c r="P4170" s="25" t="str">
        <f t="shared" si="2"/>
        <v/>
      </c>
      <c r="Q4170" s="25" t="str">
        <f ca="1">IFERROR(__xludf.DUMMYFUNCTION("""COMPUTED_VALUE"""),"Sin defenir")</f>
        <v>Sin defenir</v>
      </c>
      <c r="R4170" s="25"/>
      <c r="S4170" s="55"/>
      <c r="T4170" s="56"/>
      <c r="U4170" s="25"/>
      <c r="V4170" s="25"/>
      <c r="W4170" s="25"/>
      <c r="X4170" s="25"/>
      <c r="Y4170" s="25"/>
      <c r="Z4170" s="25"/>
    </row>
    <row r="4171" spans="1:26" ht="52.5" customHeight="1" x14ac:dyDescent="0.25">
      <c r="A4171" s="25" t="str">
        <f ca="1">IFERROR(__xludf.DUMMYFUNCTION("""COMPUTED_VALUE"""),"Hacie269")</f>
        <v>Hacie269</v>
      </c>
      <c r="B4171" s="25"/>
      <c r="C4171" s="55"/>
      <c r="D4171" s="25" t="str">
        <f ca="1">IFERROR(__xludf.DUMMYFUNCTION("""COMPUTED_VALUE"""),"Hacienda")</f>
        <v>Hacienda</v>
      </c>
      <c r="E4171" s="25"/>
      <c r="F4171" s="25"/>
      <c r="G4171" s="25"/>
      <c r="H4171" s="25"/>
      <c r="I4171" s="25"/>
      <c r="J4171" s="55"/>
      <c r="K4171" s="25" t="str">
        <f ca="1">IFERROR(__xludf.DUMMYFUNCTION("""COMPUTED_VALUE"""),"Definir fecha")</f>
        <v>Definir fecha</v>
      </c>
      <c r="L4171" s="62"/>
      <c r="M4171" s="25"/>
      <c r="N4171" s="25"/>
      <c r="O4171" s="25">
        <f t="shared" si="0"/>
        <v>0</v>
      </c>
      <c r="P4171" s="25" t="str">
        <f t="shared" si="2"/>
        <v/>
      </c>
      <c r="Q4171" s="25" t="str">
        <f ca="1">IFERROR(__xludf.DUMMYFUNCTION("""COMPUTED_VALUE"""),"Sin defenir")</f>
        <v>Sin defenir</v>
      </c>
      <c r="R4171" s="25"/>
      <c r="S4171" s="55"/>
      <c r="T4171" s="56"/>
      <c r="U4171" s="25"/>
      <c r="V4171" s="25"/>
      <c r="W4171" s="25"/>
      <c r="X4171" s="25"/>
      <c r="Y4171" s="25"/>
      <c r="Z4171" s="25"/>
    </row>
    <row r="4172" spans="1:26" ht="52.5" customHeight="1" x14ac:dyDescent="0.25">
      <c r="A4172" s="25" t="str">
        <f ca="1">IFERROR(__xludf.DUMMYFUNCTION("""COMPUTED_VALUE"""),"Hacie270")</f>
        <v>Hacie270</v>
      </c>
      <c r="B4172" s="25"/>
      <c r="C4172" s="55"/>
      <c r="D4172" s="25" t="str">
        <f ca="1">IFERROR(__xludf.DUMMYFUNCTION("""COMPUTED_VALUE"""),"Hacienda")</f>
        <v>Hacienda</v>
      </c>
      <c r="E4172" s="25"/>
      <c r="F4172" s="25"/>
      <c r="G4172" s="25"/>
      <c r="H4172" s="25"/>
      <c r="I4172" s="25"/>
      <c r="J4172" s="55"/>
      <c r="K4172" s="25" t="str">
        <f ca="1">IFERROR(__xludf.DUMMYFUNCTION("""COMPUTED_VALUE"""),"Definir fecha")</f>
        <v>Definir fecha</v>
      </c>
      <c r="L4172" s="62"/>
      <c r="M4172" s="25"/>
      <c r="N4172" s="25"/>
      <c r="O4172" s="25">
        <f t="shared" si="0"/>
        <v>0</v>
      </c>
      <c r="P4172" s="25" t="str">
        <f t="shared" si="2"/>
        <v/>
      </c>
      <c r="Q4172" s="25" t="str">
        <f ca="1">IFERROR(__xludf.DUMMYFUNCTION("""COMPUTED_VALUE"""),"Sin defenir")</f>
        <v>Sin defenir</v>
      </c>
      <c r="R4172" s="25"/>
      <c r="S4172" s="55"/>
      <c r="T4172" s="56"/>
      <c r="U4172" s="25"/>
      <c r="V4172" s="25"/>
      <c r="W4172" s="25"/>
      <c r="X4172" s="25"/>
      <c r="Y4172" s="25"/>
      <c r="Z4172" s="25"/>
    </row>
    <row r="4173" spans="1:26" ht="52.5" customHeight="1" x14ac:dyDescent="0.25">
      <c r="A4173" s="25" t="str">
        <f ca="1">IFERROR(__xludf.DUMMYFUNCTION("""COMPUTED_VALUE"""),"Hacie271")</f>
        <v>Hacie271</v>
      </c>
      <c r="B4173" s="25"/>
      <c r="C4173" s="55"/>
      <c r="D4173" s="25" t="str">
        <f ca="1">IFERROR(__xludf.DUMMYFUNCTION("""COMPUTED_VALUE"""),"Hacienda")</f>
        <v>Hacienda</v>
      </c>
      <c r="E4173" s="25"/>
      <c r="F4173" s="25"/>
      <c r="G4173" s="25"/>
      <c r="H4173" s="25"/>
      <c r="I4173" s="25"/>
      <c r="J4173" s="55"/>
      <c r="K4173" s="25" t="str">
        <f ca="1">IFERROR(__xludf.DUMMYFUNCTION("""COMPUTED_VALUE"""),"Definir fecha")</f>
        <v>Definir fecha</v>
      </c>
      <c r="L4173" s="62"/>
      <c r="M4173" s="25"/>
      <c r="N4173" s="25"/>
      <c r="O4173" s="25">
        <f t="shared" si="0"/>
        <v>0</v>
      </c>
      <c r="P4173" s="25" t="str">
        <f t="shared" si="2"/>
        <v/>
      </c>
      <c r="Q4173" s="25" t="str">
        <f ca="1">IFERROR(__xludf.DUMMYFUNCTION("""COMPUTED_VALUE"""),"Sin defenir")</f>
        <v>Sin defenir</v>
      </c>
      <c r="R4173" s="25"/>
      <c r="S4173" s="55"/>
      <c r="T4173" s="56"/>
      <c r="U4173" s="25"/>
      <c r="V4173" s="25"/>
      <c r="W4173" s="25"/>
      <c r="X4173" s="25"/>
      <c r="Y4173" s="25"/>
      <c r="Z4173" s="25"/>
    </row>
    <row r="4174" spans="1:26" ht="52.5" customHeight="1" x14ac:dyDescent="0.25">
      <c r="A4174" s="25" t="str">
        <f ca="1">IFERROR(__xludf.DUMMYFUNCTION("""COMPUTED_VALUE"""),"Hacie272")</f>
        <v>Hacie272</v>
      </c>
      <c r="B4174" s="25"/>
      <c r="C4174" s="55"/>
      <c r="D4174" s="25" t="str">
        <f ca="1">IFERROR(__xludf.DUMMYFUNCTION("""COMPUTED_VALUE"""),"Hacienda")</f>
        <v>Hacienda</v>
      </c>
      <c r="E4174" s="25"/>
      <c r="F4174" s="25"/>
      <c r="G4174" s="25"/>
      <c r="H4174" s="25"/>
      <c r="I4174" s="25"/>
      <c r="J4174" s="55"/>
      <c r="K4174" s="25" t="str">
        <f ca="1">IFERROR(__xludf.DUMMYFUNCTION("""COMPUTED_VALUE"""),"Definir fecha")</f>
        <v>Definir fecha</v>
      </c>
      <c r="L4174" s="62"/>
      <c r="M4174" s="25"/>
      <c r="N4174" s="25"/>
      <c r="O4174" s="25">
        <f t="shared" si="0"/>
        <v>0</v>
      </c>
      <c r="P4174" s="25" t="str">
        <f t="shared" si="2"/>
        <v/>
      </c>
      <c r="Q4174" s="25" t="str">
        <f ca="1">IFERROR(__xludf.DUMMYFUNCTION("""COMPUTED_VALUE"""),"Sin defenir")</f>
        <v>Sin defenir</v>
      </c>
      <c r="R4174" s="25"/>
      <c r="S4174" s="55"/>
      <c r="T4174" s="56"/>
      <c r="U4174" s="25"/>
      <c r="V4174" s="25"/>
      <c r="W4174" s="25"/>
      <c r="X4174" s="25"/>
      <c r="Y4174" s="25"/>
      <c r="Z4174" s="25"/>
    </row>
    <row r="4175" spans="1:26" ht="52.5" customHeight="1" x14ac:dyDescent="0.25">
      <c r="A4175" s="25" t="str">
        <f ca="1">IFERROR(__xludf.DUMMYFUNCTION("""COMPUTED_VALUE"""),"Hacie273")</f>
        <v>Hacie273</v>
      </c>
      <c r="B4175" s="25"/>
      <c r="C4175" s="55"/>
      <c r="D4175" s="25" t="str">
        <f ca="1">IFERROR(__xludf.DUMMYFUNCTION("""COMPUTED_VALUE"""),"Hacienda")</f>
        <v>Hacienda</v>
      </c>
      <c r="E4175" s="25"/>
      <c r="F4175" s="25"/>
      <c r="G4175" s="25"/>
      <c r="H4175" s="25"/>
      <c r="I4175" s="25"/>
      <c r="J4175" s="55"/>
      <c r="K4175" s="25" t="str">
        <f ca="1">IFERROR(__xludf.DUMMYFUNCTION("""COMPUTED_VALUE"""),"Definir fecha")</f>
        <v>Definir fecha</v>
      </c>
      <c r="L4175" s="62"/>
      <c r="M4175" s="25"/>
      <c r="N4175" s="25"/>
      <c r="O4175" s="25">
        <f t="shared" si="0"/>
        <v>0</v>
      </c>
      <c r="P4175" s="25" t="str">
        <f t="shared" si="2"/>
        <v/>
      </c>
      <c r="Q4175" s="25" t="str">
        <f ca="1">IFERROR(__xludf.DUMMYFUNCTION("""COMPUTED_VALUE"""),"Sin defenir")</f>
        <v>Sin defenir</v>
      </c>
      <c r="R4175" s="25"/>
      <c r="S4175" s="55"/>
      <c r="T4175" s="56"/>
      <c r="U4175" s="25"/>
      <c r="V4175" s="25"/>
      <c r="W4175" s="25"/>
      <c r="X4175" s="25"/>
      <c r="Y4175" s="25"/>
      <c r="Z4175" s="25"/>
    </row>
    <row r="4176" spans="1:26" ht="52.5" customHeight="1" x14ac:dyDescent="0.25">
      <c r="A4176" s="25" t="str">
        <f ca="1">IFERROR(__xludf.DUMMYFUNCTION("""COMPUTED_VALUE"""),"Hacie274")</f>
        <v>Hacie274</v>
      </c>
      <c r="B4176" s="25"/>
      <c r="C4176" s="55"/>
      <c r="D4176" s="25" t="str">
        <f ca="1">IFERROR(__xludf.DUMMYFUNCTION("""COMPUTED_VALUE"""),"Hacienda")</f>
        <v>Hacienda</v>
      </c>
      <c r="E4176" s="25"/>
      <c r="F4176" s="25"/>
      <c r="G4176" s="25"/>
      <c r="H4176" s="25"/>
      <c r="I4176" s="25"/>
      <c r="J4176" s="55"/>
      <c r="K4176" s="25" t="str">
        <f ca="1">IFERROR(__xludf.DUMMYFUNCTION("""COMPUTED_VALUE"""),"Definir fecha")</f>
        <v>Definir fecha</v>
      </c>
      <c r="L4176" s="62"/>
      <c r="M4176" s="25"/>
      <c r="N4176" s="25"/>
      <c r="O4176" s="25">
        <f t="shared" si="0"/>
        <v>0</v>
      </c>
      <c r="P4176" s="25" t="str">
        <f t="shared" si="2"/>
        <v/>
      </c>
      <c r="Q4176" s="25" t="str">
        <f ca="1">IFERROR(__xludf.DUMMYFUNCTION("""COMPUTED_VALUE"""),"Sin defenir")</f>
        <v>Sin defenir</v>
      </c>
      <c r="R4176" s="25"/>
      <c r="S4176" s="55"/>
      <c r="T4176" s="56"/>
      <c r="U4176" s="25"/>
      <c r="V4176" s="25"/>
      <c r="W4176" s="25"/>
      <c r="X4176" s="25"/>
      <c r="Y4176" s="25"/>
      <c r="Z4176" s="25"/>
    </row>
    <row r="4177" spans="1:26" ht="52.5" customHeight="1" x14ac:dyDescent="0.25">
      <c r="A4177" s="25" t="str">
        <f ca="1">IFERROR(__xludf.DUMMYFUNCTION("""COMPUTED_VALUE"""),"Hacie275")</f>
        <v>Hacie275</v>
      </c>
      <c r="B4177" s="25"/>
      <c r="C4177" s="55"/>
      <c r="D4177" s="25" t="str">
        <f ca="1">IFERROR(__xludf.DUMMYFUNCTION("""COMPUTED_VALUE"""),"Hacienda")</f>
        <v>Hacienda</v>
      </c>
      <c r="E4177" s="25"/>
      <c r="F4177" s="25"/>
      <c r="G4177" s="25"/>
      <c r="H4177" s="25"/>
      <c r="I4177" s="25"/>
      <c r="J4177" s="55"/>
      <c r="K4177" s="25" t="str">
        <f ca="1">IFERROR(__xludf.DUMMYFUNCTION("""COMPUTED_VALUE"""),"Definir fecha")</f>
        <v>Definir fecha</v>
      </c>
      <c r="L4177" s="62"/>
      <c r="M4177" s="25"/>
      <c r="N4177" s="25"/>
      <c r="O4177" s="25">
        <f t="shared" si="0"/>
        <v>0</v>
      </c>
      <c r="P4177" s="25" t="str">
        <f t="shared" si="2"/>
        <v/>
      </c>
      <c r="Q4177" s="25" t="str">
        <f ca="1">IFERROR(__xludf.DUMMYFUNCTION("""COMPUTED_VALUE"""),"Sin defenir")</f>
        <v>Sin defenir</v>
      </c>
      <c r="R4177" s="25"/>
      <c r="S4177" s="55"/>
      <c r="T4177" s="56"/>
      <c r="U4177" s="25"/>
      <c r="V4177" s="25"/>
      <c r="W4177" s="25"/>
      <c r="X4177" s="25"/>
      <c r="Y4177" s="25"/>
      <c r="Z4177" s="25"/>
    </row>
    <row r="4178" spans="1:26" ht="52.5" customHeight="1" x14ac:dyDescent="0.25">
      <c r="A4178" s="25" t="str">
        <f ca="1">IFERROR(__xludf.DUMMYFUNCTION("""COMPUTED_VALUE"""),"Hacie276")</f>
        <v>Hacie276</v>
      </c>
      <c r="B4178" s="25"/>
      <c r="C4178" s="55"/>
      <c r="D4178" s="25" t="str">
        <f ca="1">IFERROR(__xludf.DUMMYFUNCTION("""COMPUTED_VALUE"""),"Hacienda")</f>
        <v>Hacienda</v>
      </c>
      <c r="E4178" s="25"/>
      <c r="F4178" s="25"/>
      <c r="G4178" s="25"/>
      <c r="H4178" s="25"/>
      <c r="I4178" s="25"/>
      <c r="J4178" s="55"/>
      <c r="K4178" s="25" t="str">
        <f ca="1">IFERROR(__xludf.DUMMYFUNCTION("""COMPUTED_VALUE"""),"Definir fecha")</f>
        <v>Definir fecha</v>
      </c>
      <c r="L4178" s="62"/>
      <c r="M4178" s="25"/>
      <c r="N4178" s="25"/>
      <c r="O4178" s="25">
        <f t="shared" si="0"/>
        <v>0</v>
      </c>
      <c r="P4178" s="25" t="str">
        <f t="shared" si="2"/>
        <v/>
      </c>
      <c r="Q4178" s="25" t="str">
        <f ca="1">IFERROR(__xludf.DUMMYFUNCTION("""COMPUTED_VALUE"""),"Sin defenir")</f>
        <v>Sin defenir</v>
      </c>
      <c r="R4178" s="25"/>
      <c r="S4178" s="55"/>
      <c r="T4178" s="56"/>
      <c r="U4178" s="25"/>
      <c r="V4178" s="25"/>
      <c r="W4178" s="25"/>
      <c r="X4178" s="25"/>
      <c r="Y4178" s="25"/>
      <c r="Z4178" s="25"/>
    </row>
    <row r="4179" spans="1:26" ht="52.5" customHeight="1" x14ac:dyDescent="0.25">
      <c r="A4179" s="25" t="str">
        <f ca="1">IFERROR(__xludf.DUMMYFUNCTION("""COMPUTED_VALUE"""),"Hacie277")</f>
        <v>Hacie277</v>
      </c>
      <c r="B4179" s="25"/>
      <c r="C4179" s="55"/>
      <c r="D4179" s="25" t="str">
        <f ca="1">IFERROR(__xludf.DUMMYFUNCTION("""COMPUTED_VALUE"""),"Hacienda")</f>
        <v>Hacienda</v>
      </c>
      <c r="E4179" s="25"/>
      <c r="F4179" s="25"/>
      <c r="G4179" s="25"/>
      <c r="H4179" s="25"/>
      <c r="I4179" s="25"/>
      <c r="J4179" s="55"/>
      <c r="K4179" s="25" t="str">
        <f ca="1">IFERROR(__xludf.DUMMYFUNCTION("""COMPUTED_VALUE"""),"Definir fecha")</f>
        <v>Definir fecha</v>
      </c>
      <c r="L4179" s="62"/>
      <c r="M4179" s="25"/>
      <c r="N4179" s="25"/>
      <c r="O4179" s="25">
        <f t="shared" si="0"/>
        <v>0</v>
      </c>
      <c r="P4179" s="25" t="str">
        <f t="shared" si="2"/>
        <v/>
      </c>
      <c r="Q4179" s="25" t="str">
        <f ca="1">IFERROR(__xludf.DUMMYFUNCTION("""COMPUTED_VALUE"""),"Sin defenir")</f>
        <v>Sin defenir</v>
      </c>
      <c r="R4179" s="25"/>
      <c r="S4179" s="55"/>
      <c r="T4179" s="56"/>
      <c r="U4179" s="25"/>
      <c r="V4179" s="25"/>
      <c r="W4179" s="25"/>
      <c r="X4179" s="25"/>
      <c r="Y4179" s="25"/>
      <c r="Z4179" s="25"/>
    </row>
    <row r="4180" spans="1:26" ht="52.5" customHeight="1" x14ac:dyDescent="0.25">
      <c r="A4180" s="25" t="str">
        <f ca="1">IFERROR(__xludf.DUMMYFUNCTION("""COMPUTED_VALUE"""),"Hacie278")</f>
        <v>Hacie278</v>
      </c>
      <c r="B4180" s="25"/>
      <c r="C4180" s="55"/>
      <c r="D4180" s="25" t="str">
        <f ca="1">IFERROR(__xludf.DUMMYFUNCTION("""COMPUTED_VALUE"""),"Hacienda")</f>
        <v>Hacienda</v>
      </c>
      <c r="E4180" s="25"/>
      <c r="F4180" s="25"/>
      <c r="G4180" s="25"/>
      <c r="H4180" s="25"/>
      <c r="I4180" s="25"/>
      <c r="J4180" s="55"/>
      <c r="K4180" s="25" t="str">
        <f ca="1">IFERROR(__xludf.DUMMYFUNCTION("""COMPUTED_VALUE"""),"Definir fecha")</f>
        <v>Definir fecha</v>
      </c>
      <c r="L4180" s="62"/>
      <c r="M4180" s="25"/>
      <c r="N4180" s="25"/>
      <c r="O4180" s="25">
        <f t="shared" si="0"/>
        <v>0</v>
      </c>
      <c r="P4180" s="25" t="str">
        <f t="shared" si="2"/>
        <v/>
      </c>
      <c r="Q4180" s="25" t="str">
        <f ca="1">IFERROR(__xludf.DUMMYFUNCTION("""COMPUTED_VALUE"""),"Sin defenir")</f>
        <v>Sin defenir</v>
      </c>
      <c r="R4180" s="25"/>
      <c r="S4180" s="55"/>
      <c r="T4180" s="56"/>
      <c r="U4180" s="25"/>
      <c r="V4180" s="25"/>
      <c r="W4180" s="25"/>
      <c r="X4180" s="25"/>
      <c r="Y4180" s="25"/>
      <c r="Z4180" s="25"/>
    </row>
    <row r="4181" spans="1:26" ht="52.5" customHeight="1" x14ac:dyDescent="0.25">
      <c r="A4181" s="25" t="str">
        <f ca="1">IFERROR(__xludf.DUMMYFUNCTION("""COMPUTED_VALUE"""),"Hacie279")</f>
        <v>Hacie279</v>
      </c>
      <c r="B4181" s="25"/>
      <c r="C4181" s="55"/>
      <c r="D4181" s="25" t="str">
        <f ca="1">IFERROR(__xludf.DUMMYFUNCTION("""COMPUTED_VALUE"""),"Hacienda")</f>
        <v>Hacienda</v>
      </c>
      <c r="E4181" s="25"/>
      <c r="F4181" s="25"/>
      <c r="G4181" s="25"/>
      <c r="H4181" s="25"/>
      <c r="I4181" s="25"/>
      <c r="J4181" s="55"/>
      <c r="K4181" s="25" t="str">
        <f ca="1">IFERROR(__xludf.DUMMYFUNCTION("""COMPUTED_VALUE"""),"Definir fecha")</f>
        <v>Definir fecha</v>
      </c>
      <c r="L4181" s="62"/>
      <c r="M4181" s="25"/>
      <c r="N4181" s="25"/>
      <c r="O4181" s="25">
        <f t="shared" si="0"/>
        <v>0</v>
      </c>
      <c r="P4181" s="25" t="str">
        <f t="shared" si="2"/>
        <v/>
      </c>
      <c r="Q4181" s="25" t="str">
        <f ca="1">IFERROR(__xludf.DUMMYFUNCTION("""COMPUTED_VALUE"""),"Sin defenir")</f>
        <v>Sin defenir</v>
      </c>
      <c r="R4181" s="25"/>
      <c r="S4181" s="55"/>
      <c r="T4181" s="56"/>
      <c r="U4181" s="25"/>
      <c r="V4181" s="25"/>
      <c r="W4181" s="25"/>
      <c r="X4181" s="25"/>
      <c r="Y4181" s="25"/>
      <c r="Z4181" s="25"/>
    </row>
    <row r="4182" spans="1:26" ht="52.5" customHeight="1" x14ac:dyDescent="0.25">
      <c r="A4182" s="25" t="str">
        <f ca="1">IFERROR(__xludf.DUMMYFUNCTION("""COMPUTED_VALUE"""),"Hacie280")</f>
        <v>Hacie280</v>
      </c>
      <c r="B4182" s="25"/>
      <c r="C4182" s="55"/>
      <c r="D4182" s="25" t="str">
        <f ca="1">IFERROR(__xludf.DUMMYFUNCTION("""COMPUTED_VALUE"""),"Hacienda")</f>
        <v>Hacienda</v>
      </c>
      <c r="E4182" s="25"/>
      <c r="F4182" s="25"/>
      <c r="G4182" s="25"/>
      <c r="H4182" s="25"/>
      <c r="I4182" s="25"/>
      <c r="J4182" s="55"/>
      <c r="K4182" s="25" t="str">
        <f ca="1">IFERROR(__xludf.DUMMYFUNCTION("""COMPUTED_VALUE"""),"Definir fecha")</f>
        <v>Definir fecha</v>
      </c>
      <c r="L4182" s="62"/>
      <c r="M4182" s="25"/>
      <c r="N4182" s="25"/>
      <c r="O4182" s="25">
        <f t="shared" si="0"/>
        <v>0</v>
      </c>
      <c r="P4182" s="25" t="str">
        <f t="shared" si="2"/>
        <v/>
      </c>
      <c r="Q4182" s="25" t="str">
        <f ca="1">IFERROR(__xludf.DUMMYFUNCTION("""COMPUTED_VALUE"""),"Sin defenir")</f>
        <v>Sin defenir</v>
      </c>
      <c r="R4182" s="25"/>
      <c r="S4182" s="55"/>
      <c r="T4182" s="56"/>
      <c r="U4182" s="25"/>
      <c r="V4182" s="25"/>
      <c r="W4182" s="25"/>
      <c r="X4182" s="25"/>
      <c r="Y4182" s="25"/>
      <c r="Z4182" s="25"/>
    </row>
    <row r="4183" spans="1:26" ht="52.5" customHeight="1" x14ac:dyDescent="0.25">
      <c r="A4183" s="25" t="str">
        <f ca="1">IFERROR(__xludf.DUMMYFUNCTION("""COMPUTED_VALUE"""),"Hacie281")</f>
        <v>Hacie281</v>
      </c>
      <c r="B4183" s="25"/>
      <c r="C4183" s="55"/>
      <c r="D4183" s="25" t="str">
        <f ca="1">IFERROR(__xludf.DUMMYFUNCTION("""COMPUTED_VALUE"""),"Hacienda")</f>
        <v>Hacienda</v>
      </c>
      <c r="E4183" s="25"/>
      <c r="F4183" s="25"/>
      <c r="G4183" s="25"/>
      <c r="H4183" s="25"/>
      <c r="I4183" s="25"/>
      <c r="J4183" s="55"/>
      <c r="K4183" s="25" t="str">
        <f ca="1">IFERROR(__xludf.DUMMYFUNCTION("""COMPUTED_VALUE"""),"Definir fecha")</f>
        <v>Definir fecha</v>
      </c>
      <c r="L4183" s="62"/>
      <c r="M4183" s="25"/>
      <c r="N4183" s="25"/>
      <c r="O4183" s="25">
        <f t="shared" si="0"/>
        <v>0</v>
      </c>
      <c r="P4183" s="25" t="str">
        <f t="shared" si="2"/>
        <v/>
      </c>
      <c r="Q4183" s="25" t="str">
        <f ca="1">IFERROR(__xludf.DUMMYFUNCTION("""COMPUTED_VALUE"""),"Sin defenir")</f>
        <v>Sin defenir</v>
      </c>
      <c r="R4183" s="25"/>
      <c r="S4183" s="55"/>
      <c r="T4183" s="56"/>
      <c r="U4183" s="25"/>
      <c r="V4183" s="25"/>
      <c r="W4183" s="25"/>
      <c r="X4183" s="25"/>
      <c r="Y4183" s="25"/>
      <c r="Z4183" s="25"/>
    </row>
    <row r="4184" spans="1:26" ht="52.5" customHeight="1" x14ac:dyDescent="0.25">
      <c r="A4184" s="25" t="str">
        <f ca="1">IFERROR(__xludf.DUMMYFUNCTION("""COMPUTED_VALUE"""),"Hacie282")</f>
        <v>Hacie282</v>
      </c>
      <c r="B4184" s="25"/>
      <c r="C4184" s="55"/>
      <c r="D4184" s="25" t="str">
        <f ca="1">IFERROR(__xludf.DUMMYFUNCTION("""COMPUTED_VALUE"""),"Hacienda")</f>
        <v>Hacienda</v>
      </c>
      <c r="E4184" s="25"/>
      <c r="F4184" s="25"/>
      <c r="G4184" s="25"/>
      <c r="H4184" s="25"/>
      <c r="I4184" s="25"/>
      <c r="J4184" s="55"/>
      <c r="K4184" s="25" t="str">
        <f ca="1">IFERROR(__xludf.DUMMYFUNCTION("""COMPUTED_VALUE"""),"Definir fecha")</f>
        <v>Definir fecha</v>
      </c>
      <c r="L4184" s="62"/>
      <c r="M4184" s="25"/>
      <c r="N4184" s="25"/>
      <c r="O4184" s="25">
        <f t="shared" si="0"/>
        <v>0</v>
      </c>
      <c r="P4184" s="25" t="str">
        <f t="shared" si="2"/>
        <v/>
      </c>
      <c r="Q4184" s="25" t="str">
        <f ca="1">IFERROR(__xludf.DUMMYFUNCTION("""COMPUTED_VALUE"""),"Sin defenir")</f>
        <v>Sin defenir</v>
      </c>
      <c r="R4184" s="25"/>
      <c r="S4184" s="55"/>
      <c r="T4184" s="56"/>
      <c r="U4184" s="25"/>
      <c r="V4184" s="25"/>
      <c r="W4184" s="25"/>
      <c r="X4184" s="25"/>
      <c r="Y4184" s="25"/>
      <c r="Z4184" s="25"/>
    </row>
    <row r="4185" spans="1:26" ht="52.5" customHeight="1" x14ac:dyDescent="0.25">
      <c r="A4185" s="25" t="str">
        <f ca="1">IFERROR(__xludf.DUMMYFUNCTION("""COMPUTED_VALUE"""),"Hacie283")</f>
        <v>Hacie283</v>
      </c>
      <c r="B4185" s="25"/>
      <c r="C4185" s="55"/>
      <c r="D4185" s="25" t="str">
        <f ca="1">IFERROR(__xludf.DUMMYFUNCTION("""COMPUTED_VALUE"""),"Hacienda")</f>
        <v>Hacienda</v>
      </c>
      <c r="E4185" s="25"/>
      <c r="F4185" s="25"/>
      <c r="G4185" s="25"/>
      <c r="H4185" s="25"/>
      <c r="I4185" s="25"/>
      <c r="J4185" s="55"/>
      <c r="K4185" s="25" t="str">
        <f ca="1">IFERROR(__xludf.DUMMYFUNCTION("""COMPUTED_VALUE"""),"Definir fecha")</f>
        <v>Definir fecha</v>
      </c>
      <c r="L4185" s="62"/>
      <c r="M4185" s="25"/>
      <c r="N4185" s="25"/>
      <c r="O4185" s="25">
        <f t="shared" si="0"/>
        <v>0</v>
      </c>
      <c r="P4185" s="25" t="str">
        <f t="shared" si="2"/>
        <v/>
      </c>
      <c r="Q4185" s="25" t="str">
        <f ca="1">IFERROR(__xludf.DUMMYFUNCTION("""COMPUTED_VALUE"""),"Sin defenir")</f>
        <v>Sin defenir</v>
      </c>
      <c r="R4185" s="25"/>
      <c r="S4185" s="55"/>
      <c r="T4185" s="56"/>
      <c r="U4185" s="25"/>
      <c r="V4185" s="25"/>
      <c r="W4185" s="25"/>
      <c r="X4185" s="25"/>
      <c r="Y4185" s="25"/>
      <c r="Z4185" s="25"/>
    </row>
    <row r="4186" spans="1:26" ht="52.5" customHeight="1" x14ac:dyDescent="0.25">
      <c r="A4186" s="25" t="str">
        <f ca="1">IFERROR(__xludf.DUMMYFUNCTION("""COMPUTED_VALUE"""),"Hacie284")</f>
        <v>Hacie284</v>
      </c>
      <c r="B4186" s="25"/>
      <c r="C4186" s="55"/>
      <c r="D4186" s="25" t="str">
        <f ca="1">IFERROR(__xludf.DUMMYFUNCTION("""COMPUTED_VALUE"""),"Hacienda")</f>
        <v>Hacienda</v>
      </c>
      <c r="E4186" s="25"/>
      <c r="F4186" s="25"/>
      <c r="G4186" s="25"/>
      <c r="H4186" s="25"/>
      <c r="I4186" s="25"/>
      <c r="J4186" s="55"/>
      <c r="K4186" s="25" t="str">
        <f ca="1">IFERROR(__xludf.DUMMYFUNCTION("""COMPUTED_VALUE"""),"Definir fecha")</f>
        <v>Definir fecha</v>
      </c>
      <c r="L4186" s="62"/>
      <c r="M4186" s="25"/>
      <c r="N4186" s="25"/>
      <c r="O4186" s="25">
        <f t="shared" si="0"/>
        <v>0</v>
      </c>
      <c r="P4186" s="25" t="str">
        <f t="shared" si="2"/>
        <v/>
      </c>
      <c r="Q4186" s="25" t="str">
        <f ca="1">IFERROR(__xludf.DUMMYFUNCTION("""COMPUTED_VALUE"""),"Sin defenir")</f>
        <v>Sin defenir</v>
      </c>
      <c r="R4186" s="25"/>
      <c r="S4186" s="55"/>
      <c r="T4186" s="56"/>
      <c r="U4186" s="25"/>
      <c r="V4186" s="25"/>
      <c r="W4186" s="25"/>
      <c r="X4186" s="25"/>
      <c r="Y4186" s="25"/>
      <c r="Z4186" s="25"/>
    </row>
    <row r="4187" spans="1:26" ht="52.5" customHeight="1" x14ac:dyDescent="0.25">
      <c r="A4187" s="25" t="str">
        <f ca="1">IFERROR(__xludf.DUMMYFUNCTION("""COMPUTED_VALUE"""),"Hacie285")</f>
        <v>Hacie285</v>
      </c>
      <c r="B4187" s="25"/>
      <c r="C4187" s="55"/>
      <c r="D4187" s="25" t="str">
        <f ca="1">IFERROR(__xludf.DUMMYFUNCTION("""COMPUTED_VALUE"""),"Hacienda")</f>
        <v>Hacienda</v>
      </c>
      <c r="E4187" s="25"/>
      <c r="F4187" s="25"/>
      <c r="G4187" s="25"/>
      <c r="H4187" s="25"/>
      <c r="I4187" s="25"/>
      <c r="J4187" s="55"/>
      <c r="K4187" s="25" t="str">
        <f ca="1">IFERROR(__xludf.DUMMYFUNCTION("""COMPUTED_VALUE"""),"Definir fecha")</f>
        <v>Definir fecha</v>
      </c>
      <c r="L4187" s="62"/>
      <c r="M4187" s="25"/>
      <c r="N4187" s="25"/>
      <c r="O4187" s="25">
        <f t="shared" si="0"/>
        <v>0</v>
      </c>
      <c r="P4187" s="25" t="str">
        <f t="shared" si="2"/>
        <v/>
      </c>
      <c r="Q4187" s="25" t="str">
        <f ca="1">IFERROR(__xludf.DUMMYFUNCTION("""COMPUTED_VALUE"""),"Sin defenir")</f>
        <v>Sin defenir</v>
      </c>
      <c r="R4187" s="25"/>
      <c r="S4187" s="55"/>
      <c r="T4187" s="56"/>
      <c r="U4187" s="25"/>
      <c r="V4187" s="25"/>
      <c r="W4187" s="25"/>
      <c r="X4187" s="25"/>
      <c r="Y4187" s="25"/>
      <c r="Z4187" s="25"/>
    </row>
    <row r="4188" spans="1:26" ht="52.5" customHeight="1" x14ac:dyDescent="0.25">
      <c r="A4188" s="25" t="str">
        <f ca="1">IFERROR(__xludf.DUMMYFUNCTION("""COMPUTED_VALUE"""),"Hacie286")</f>
        <v>Hacie286</v>
      </c>
      <c r="B4188" s="25"/>
      <c r="C4188" s="55"/>
      <c r="D4188" s="25" t="str">
        <f ca="1">IFERROR(__xludf.DUMMYFUNCTION("""COMPUTED_VALUE"""),"Hacienda")</f>
        <v>Hacienda</v>
      </c>
      <c r="E4188" s="25"/>
      <c r="F4188" s="25"/>
      <c r="G4188" s="25"/>
      <c r="H4188" s="25"/>
      <c r="I4188" s="25"/>
      <c r="J4188" s="55"/>
      <c r="K4188" s="25" t="str">
        <f ca="1">IFERROR(__xludf.DUMMYFUNCTION("""COMPUTED_VALUE"""),"Definir fecha")</f>
        <v>Definir fecha</v>
      </c>
      <c r="L4188" s="62"/>
      <c r="M4188" s="25"/>
      <c r="N4188" s="25"/>
      <c r="O4188" s="25">
        <f t="shared" si="0"/>
        <v>0</v>
      </c>
      <c r="P4188" s="25" t="str">
        <f t="shared" si="2"/>
        <v/>
      </c>
      <c r="Q4188" s="25" t="str">
        <f ca="1">IFERROR(__xludf.DUMMYFUNCTION("""COMPUTED_VALUE"""),"Sin defenir")</f>
        <v>Sin defenir</v>
      </c>
      <c r="R4188" s="25"/>
      <c r="S4188" s="55"/>
      <c r="T4188" s="56"/>
      <c r="U4188" s="25"/>
      <c r="V4188" s="25"/>
      <c r="W4188" s="25"/>
      <c r="X4188" s="25"/>
      <c r="Y4188" s="25"/>
      <c r="Z4188" s="25"/>
    </row>
    <row r="4189" spans="1:26" ht="52.5" customHeight="1" x14ac:dyDescent="0.25">
      <c r="A4189" s="25" t="str">
        <f ca="1">IFERROR(__xludf.DUMMYFUNCTION("""COMPUTED_VALUE"""),"Hacie287")</f>
        <v>Hacie287</v>
      </c>
      <c r="B4189" s="25"/>
      <c r="C4189" s="55"/>
      <c r="D4189" s="25" t="str">
        <f ca="1">IFERROR(__xludf.DUMMYFUNCTION("""COMPUTED_VALUE"""),"Hacienda")</f>
        <v>Hacienda</v>
      </c>
      <c r="E4189" s="25"/>
      <c r="F4189" s="25"/>
      <c r="G4189" s="25"/>
      <c r="H4189" s="25"/>
      <c r="I4189" s="25"/>
      <c r="J4189" s="55"/>
      <c r="K4189" s="25" t="str">
        <f ca="1">IFERROR(__xludf.DUMMYFUNCTION("""COMPUTED_VALUE"""),"Definir fecha")</f>
        <v>Definir fecha</v>
      </c>
      <c r="L4189" s="62"/>
      <c r="M4189" s="25"/>
      <c r="N4189" s="25"/>
      <c r="O4189" s="25">
        <f t="shared" si="0"/>
        <v>0</v>
      </c>
      <c r="P4189" s="25" t="str">
        <f t="shared" si="2"/>
        <v/>
      </c>
      <c r="Q4189" s="25" t="str">
        <f ca="1">IFERROR(__xludf.DUMMYFUNCTION("""COMPUTED_VALUE"""),"Sin defenir")</f>
        <v>Sin defenir</v>
      </c>
      <c r="R4189" s="25"/>
      <c r="S4189" s="55"/>
      <c r="T4189" s="56"/>
      <c r="U4189" s="25"/>
      <c r="V4189" s="25"/>
      <c r="W4189" s="25"/>
      <c r="X4189" s="25"/>
      <c r="Y4189" s="25"/>
      <c r="Z4189" s="25"/>
    </row>
    <row r="4190" spans="1:26" ht="52.5" customHeight="1" x14ac:dyDescent="0.25">
      <c r="A4190" s="25" t="str">
        <f ca="1">IFERROR(__xludf.DUMMYFUNCTION("""COMPUTED_VALUE"""),"Hacie288")</f>
        <v>Hacie288</v>
      </c>
      <c r="B4190" s="25"/>
      <c r="C4190" s="55"/>
      <c r="D4190" s="25" t="str">
        <f ca="1">IFERROR(__xludf.DUMMYFUNCTION("""COMPUTED_VALUE"""),"Hacienda")</f>
        <v>Hacienda</v>
      </c>
      <c r="E4190" s="25"/>
      <c r="F4190" s="25"/>
      <c r="G4190" s="25"/>
      <c r="H4190" s="25"/>
      <c r="I4190" s="25"/>
      <c r="J4190" s="55"/>
      <c r="K4190" s="25" t="str">
        <f ca="1">IFERROR(__xludf.DUMMYFUNCTION("""COMPUTED_VALUE"""),"Definir fecha")</f>
        <v>Definir fecha</v>
      </c>
      <c r="L4190" s="62"/>
      <c r="M4190" s="25"/>
      <c r="N4190" s="25"/>
      <c r="O4190" s="25">
        <f t="shared" si="0"/>
        <v>0</v>
      </c>
      <c r="P4190" s="25" t="str">
        <f t="shared" si="2"/>
        <v/>
      </c>
      <c r="Q4190" s="25" t="str">
        <f ca="1">IFERROR(__xludf.DUMMYFUNCTION("""COMPUTED_VALUE"""),"Sin defenir")</f>
        <v>Sin defenir</v>
      </c>
      <c r="R4190" s="25"/>
      <c r="S4190" s="55"/>
      <c r="T4190" s="56"/>
      <c r="U4190" s="25"/>
      <c r="V4190" s="25"/>
      <c r="W4190" s="25"/>
      <c r="X4190" s="25"/>
      <c r="Y4190" s="25"/>
      <c r="Z4190" s="25"/>
    </row>
    <row r="4191" spans="1:26" ht="52.5" customHeight="1" x14ac:dyDescent="0.25">
      <c r="A4191" s="25" t="str">
        <f ca="1">IFERROR(__xludf.DUMMYFUNCTION("""COMPUTED_VALUE"""),"Hacie289")</f>
        <v>Hacie289</v>
      </c>
      <c r="B4191" s="25"/>
      <c r="C4191" s="55"/>
      <c r="D4191" s="25" t="str">
        <f ca="1">IFERROR(__xludf.DUMMYFUNCTION("""COMPUTED_VALUE"""),"Hacienda")</f>
        <v>Hacienda</v>
      </c>
      <c r="E4191" s="25"/>
      <c r="F4191" s="25"/>
      <c r="G4191" s="25"/>
      <c r="H4191" s="25"/>
      <c r="I4191" s="25"/>
      <c r="J4191" s="55"/>
      <c r="K4191" s="25" t="str">
        <f ca="1">IFERROR(__xludf.DUMMYFUNCTION("""COMPUTED_VALUE"""),"Definir fecha")</f>
        <v>Definir fecha</v>
      </c>
      <c r="L4191" s="62"/>
      <c r="M4191" s="25"/>
      <c r="N4191" s="25"/>
      <c r="O4191" s="25">
        <f t="shared" si="0"/>
        <v>0</v>
      </c>
      <c r="P4191" s="25" t="str">
        <f t="shared" si="2"/>
        <v/>
      </c>
      <c r="Q4191" s="25" t="str">
        <f ca="1">IFERROR(__xludf.DUMMYFUNCTION("""COMPUTED_VALUE"""),"Sin defenir")</f>
        <v>Sin defenir</v>
      </c>
      <c r="R4191" s="25"/>
      <c r="S4191" s="55"/>
      <c r="T4191" s="56"/>
      <c r="U4191" s="25"/>
      <c r="V4191" s="25"/>
      <c r="W4191" s="25"/>
      <c r="X4191" s="25"/>
      <c r="Y4191" s="25"/>
      <c r="Z4191" s="25"/>
    </row>
    <row r="4192" spans="1:26" ht="52.5" customHeight="1" x14ac:dyDescent="0.25">
      <c r="A4192" s="25" t="str">
        <f ca="1">IFERROR(__xludf.DUMMYFUNCTION("""COMPUTED_VALUE"""),"Hacie290")</f>
        <v>Hacie290</v>
      </c>
      <c r="B4192" s="25"/>
      <c r="C4192" s="55"/>
      <c r="D4192" s="25" t="str">
        <f ca="1">IFERROR(__xludf.DUMMYFUNCTION("""COMPUTED_VALUE"""),"Hacienda")</f>
        <v>Hacienda</v>
      </c>
      <c r="E4192" s="25"/>
      <c r="F4192" s="25"/>
      <c r="G4192" s="25"/>
      <c r="H4192" s="25"/>
      <c r="I4192" s="25"/>
      <c r="J4192" s="55"/>
      <c r="K4192" s="25" t="str">
        <f ca="1">IFERROR(__xludf.DUMMYFUNCTION("""COMPUTED_VALUE"""),"Definir fecha")</f>
        <v>Definir fecha</v>
      </c>
      <c r="L4192" s="62"/>
      <c r="M4192" s="25"/>
      <c r="N4192" s="25"/>
      <c r="O4192" s="25">
        <f t="shared" si="0"/>
        <v>0</v>
      </c>
      <c r="P4192" s="25" t="str">
        <f t="shared" si="2"/>
        <v/>
      </c>
      <c r="Q4192" s="25" t="str">
        <f ca="1">IFERROR(__xludf.DUMMYFUNCTION("""COMPUTED_VALUE"""),"Sin defenir")</f>
        <v>Sin defenir</v>
      </c>
      <c r="R4192" s="25"/>
      <c r="S4192" s="55"/>
      <c r="T4192" s="56"/>
      <c r="U4192" s="25"/>
      <c r="V4192" s="25"/>
      <c r="W4192" s="25"/>
      <c r="X4192" s="25"/>
      <c r="Y4192" s="25"/>
      <c r="Z4192" s="25"/>
    </row>
    <row r="4193" spans="1:26" ht="52.5" customHeight="1" x14ac:dyDescent="0.25">
      <c r="A4193" s="25" t="str">
        <f ca="1">IFERROR(__xludf.DUMMYFUNCTION("""COMPUTED_VALUE"""),"Hacie291")</f>
        <v>Hacie291</v>
      </c>
      <c r="B4193" s="25"/>
      <c r="C4193" s="55"/>
      <c r="D4193" s="25" t="str">
        <f ca="1">IFERROR(__xludf.DUMMYFUNCTION("""COMPUTED_VALUE"""),"Hacienda")</f>
        <v>Hacienda</v>
      </c>
      <c r="E4193" s="25"/>
      <c r="F4193" s="25"/>
      <c r="G4193" s="25"/>
      <c r="H4193" s="25"/>
      <c r="I4193" s="25"/>
      <c r="J4193" s="55"/>
      <c r="K4193" s="25" t="str">
        <f ca="1">IFERROR(__xludf.DUMMYFUNCTION("""COMPUTED_VALUE"""),"Definir fecha")</f>
        <v>Definir fecha</v>
      </c>
      <c r="L4193" s="62"/>
      <c r="M4193" s="25"/>
      <c r="N4193" s="25"/>
      <c r="O4193" s="25">
        <f t="shared" si="0"/>
        <v>0</v>
      </c>
      <c r="P4193" s="25" t="str">
        <f t="shared" si="2"/>
        <v/>
      </c>
      <c r="Q4193" s="25" t="str">
        <f ca="1">IFERROR(__xludf.DUMMYFUNCTION("""COMPUTED_VALUE"""),"Sin defenir")</f>
        <v>Sin defenir</v>
      </c>
      <c r="R4193" s="25"/>
      <c r="S4193" s="55"/>
      <c r="T4193" s="56"/>
      <c r="U4193" s="25"/>
      <c r="V4193" s="25"/>
      <c r="W4193" s="25"/>
      <c r="X4193" s="25"/>
      <c r="Y4193" s="25"/>
      <c r="Z4193" s="25"/>
    </row>
    <row r="4194" spans="1:26" ht="52.5" customHeight="1" x14ac:dyDescent="0.25">
      <c r="A4194" s="25" t="str">
        <f ca="1">IFERROR(__xludf.DUMMYFUNCTION("""COMPUTED_VALUE"""),"Hacie292")</f>
        <v>Hacie292</v>
      </c>
      <c r="B4194" s="25"/>
      <c r="C4194" s="55"/>
      <c r="D4194" s="25" t="str">
        <f ca="1">IFERROR(__xludf.DUMMYFUNCTION("""COMPUTED_VALUE"""),"Hacienda")</f>
        <v>Hacienda</v>
      </c>
      <c r="E4194" s="25"/>
      <c r="F4194" s="25"/>
      <c r="G4194" s="25"/>
      <c r="H4194" s="25"/>
      <c r="I4194" s="25"/>
      <c r="J4194" s="55"/>
      <c r="K4194" s="25" t="str">
        <f ca="1">IFERROR(__xludf.DUMMYFUNCTION("""COMPUTED_VALUE"""),"Definir fecha")</f>
        <v>Definir fecha</v>
      </c>
      <c r="L4194" s="62"/>
      <c r="M4194" s="25"/>
      <c r="N4194" s="25"/>
      <c r="O4194" s="25">
        <f t="shared" si="0"/>
        <v>0</v>
      </c>
      <c r="P4194" s="25" t="str">
        <f t="shared" si="2"/>
        <v/>
      </c>
      <c r="Q4194" s="25" t="str">
        <f ca="1">IFERROR(__xludf.DUMMYFUNCTION("""COMPUTED_VALUE"""),"Sin defenir")</f>
        <v>Sin defenir</v>
      </c>
      <c r="R4194" s="25"/>
      <c r="S4194" s="55"/>
      <c r="T4194" s="56"/>
      <c r="U4194" s="25"/>
      <c r="V4194" s="25"/>
      <c r="W4194" s="25"/>
      <c r="X4194" s="25"/>
      <c r="Y4194" s="25"/>
      <c r="Z4194" s="25"/>
    </row>
    <row r="4195" spans="1:26" ht="52.5" customHeight="1" x14ac:dyDescent="0.25">
      <c r="A4195" s="25" t="str">
        <f ca="1">IFERROR(__xludf.DUMMYFUNCTION("""COMPUTED_VALUE"""),"Hacie293")</f>
        <v>Hacie293</v>
      </c>
      <c r="B4195" s="25"/>
      <c r="C4195" s="55"/>
      <c r="D4195" s="25" t="str">
        <f ca="1">IFERROR(__xludf.DUMMYFUNCTION("""COMPUTED_VALUE"""),"Hacienda")</f>
        <v>Hacienda</v>
      </c>
      <c r="E4195" s="25"/>
      <c r="F4195" s="25"/>
      <c r="G4195" s="25"/>
      <c r="H4195" s="25"/>
      <c r="I4195" s="25"/>
      <c r="J4195" s="55"/>
      <c r="K4195" s="25" t="str">
        <f ca="1">IFERROR(__xludf.DUMMYFUNCTION("""COMPUTED_VALUE"""),"Definir fecha")</f>
        <v>Definir fecha</v>
      </c>
      <c r="L4195" s="62"/>
      <c r="M4195" s="25"/>
      <c r="N4195" s="25"/>
      <c r="O4195" s="25">
        <f t="shared" si="0"/>
        <v>0</v>
      </c>
      <c r="P4195" s="25" t="str">
        <f t="shared" si="2"/>
        <v/>
      </c>
      <c r="Q4195" s="25" t="str">
        <f ca="1">IFERROR(__xludf.DUMMYFUNCTION("""COMPUTED_VALUE"""),"Sin defenir")</f>
        <v>Sin defenir</v>
      </c>
      <c r="R4195" s="25"/>
      <c r="S4195" s="55"/>
      <c r="T4195" s="56"/>
      <c r="U4195" s="25"/>
      <c r="V4195" s="25"/>
      <c r="W4195" s="25"/>
      <c r="X4195" s="25"/>
      <c r="Y4195" s="25"/>
      <c r="Z4195" s="25"/>
    </row>
    <row r="4196" spans="1:26" ht="52.5" customHeight="1" x14ac:dyDescent="0.25">
      <c r="A4196" s="25" t="str">
        <f ca="1">IFERROR(__xludf.DUMMYFUNCTION("""COMPUTED_VALUE"""),"Hacie294")</f>
        <v>Hacie294</v>
      </c>
      <c r="B4196" s="25"/>
      <c r="C4196" s="55"/>
      <c r="D4196" s="25" t="str">
        <f ca="1">IFERROR(__xludf.DUMMYFUNCTION("""COMPUTED_VALUE"""),"Hacienda")</f>
        <v>Hacienda</v>
      </c>
      <c r="E4196" s="25"/>
      <c r="F4196" s="25"/>
      <c r="G4196" s="25"/>
      <c r="H4196" s="25"/>
      <c r="I4196" s="25"/>
      <c r="J4196" s="55"/>
      <c r="K4196" s="25" t="str">
        <f ca="1">IFERROR(__xludf.DUMMYFUNCTION("""COMPUTED_VALUE"""),"Definir fecha")</f>
        <v>Definir fecha</v>
      </c>
      <c r="L4196" s="62"/>
      <c r="M4196" s="25"/>
      <c r="N4196" s="25"/>
      <c r="O4196" s="25">
        <f t="shared" si="0"/>
        <v>0</v>
      </c>
      <c r="P4196" s="25" t="str">
        <f t="shared" si="2"/>
        <v/>
      </c>
      <c r="Q4196" s="25" t="str">
        <f ca="1">IFERROR(__xludf.DUMMYFUNCTION("""COMPUTED_VALUE"""),"Sin defenir")</f>
        <v>Sin defenir</v>
      </c>
      <c r="R4196" s="25"/>
      <c r="S4196" s="55"/>
      <c r="T4196" s="56"/>
      <c r="U4196" s="25"/>
      <c r="V4196" s="25"/>
      <c r="W4196" s="25"/>
      <c r="X4196" s="25"/>
      <c r="Y4196" s="25"/>
      <c r="Z4196" s="25"/>
    </row>
    <row r="4197" spans="1:26" ht="52.5" customHeight="1" x14ac:dyDescent="0.25">
      <c r="A4197" s="25" t="str">
        <f ca="1">IFERROR(__xludf.DUMMYFUNCTION("""COMPUTED_VALUE"""),"Hacie295")</f>
        <v>Hacie295</v>
      </c>
      <c r="B4197" s="25"/>
      <c r="C4197" s="55"/>
      <c r="D4197" s="25" t="str">
        <f ca="1">IFERROR(__xludf.DUMMYFUNCTION("""COMPUTED_VALUE"""),"Hacienda")</f>
        <v>Hacienda</v>
      </c>
      <c r="E4197" s="25"/>
      <c r="F4197" s="25"/>
      <c r="G4197" s="25"/>
      <c r="H4197" s="25"/>
      <c r="I4197" s="25"/>
      <c r="J4197" s="55"/>
      <c r="K4197" s="25" t="str">
        <f ca="1">IFERROR(__xludf.DUMMYFUNCTION("""COMPUTED_VALUE"""),"Definir fecha")</f>
        <v>Definir fecha</v>
      </c>
      <c r="L4197" s="62"/>
      <c r="M4197" s="25"/>
      <c r="N4197" s="25"/>
      <c r="O4197" s="25">
        <f t="shared" si="0"/>
        <v>0</v>
      </c>
      <c r="P4197" s="25" t="str">
        <f t="shared" si="2"/>
        <v/>
      </c>
      <c r="Q4197" s="25" t="str">
        <f ca="1">IFERROR(__xludf.DUMMYFUNCTION("""COMPUTED_VALUE"""),"Sin defenir")</f>
        <v>Sin defenir</v>
      </c>
      <c r="R4197" s="25"/>
      <c r="S4197" s="55"/>
      <c r="T4197" s="56"/>
      <c r="U4197" s="25"/>
      <c r="V4197" s="25"/>
      <c r="W4197" s="25"/>
      <c r="X4197" s="25"/>
      <c r="Y4197" s="25"/>
      <c r="Z4197" s="25"/>
    </row>
    <row r="4198" spans="1:26" ht="52.5" customHeight="1" x14ac:dyDescent="0.25">
      <c r="A4198" s="25" t="str">
        <f ca="1">IFERROR(__xludf.DUMMYFUNCTION("""COMPUTED_VALUE"""),"Hacie296")</f>
        <v>Hacie296</v>
      </c>
      <c r="B4198" s="25"/>
      <c r="C4198" s="55"/>
      <c r="D4198" s="25" t="str">
        <f ca="1">IFERROR(__xludf.DUMMYFUNCTION("""COMPUTED_VALUE"""),"Hacienda")</f>
        <v>Hacienda</v>
      </c>
      <c r="E4198" s="25"/>
      <c r="F4198" s="25"/>
      <c r="G4198" s="25"/>
      <c r="H4198" s="25"/>
      <c r="I4198" s="25"/>
      <c r="J4198" s="55"/>
      <c r="K4198" s="25" t="str">
        <f ca="1">IFERROR(__xludf.DUMMYFUNCTION("""COMPUTED_VALUE"""),"Definir fecha")</f>
        <v>Definir fecha</v>
      </c>
      <c r="L4198" s="62"/>
      <c r="M4198" s="25"/>
      <c r="N4198" s="25"/>
      <c r="O4198" s="25">
        <f t="shared" si="0"/>
        <v>0</v>
      </c>
      <c r="P4198" s="25" t="str">
        <f t="shared" si="2"/>
        <v/>
      </c>
      <c r="Q4198" s="25" t="str">
        <f ca="1">IFERROR(__xludf.DUMMYFUNCTION("""COMPUTED_VALUE"""),"Sin defenir")</f>
        <v>Sin defenir</v>
      </c>
      <c r="R4198" s="25"/>
      <c r="S4198" s="55"/>
      <c r="T4198" s="56"/>
      <c r="U4198" s="25"/>
      <c r="V4198" s="25"/>
      <c r="W4198" s="25"/>
      <c r="X4198" s="25"/>
      <c r="Y4198" s="25"/>
      <c r="Z4198" s="25"/>
    </row>
    <row r="4199" spans="1:26" ht="52.5" customHeight="1" x14ac:dyDescent="0.25">
      <c r="A4199" s="25" t="str">
        <f ca="1">IFERROR(__xludf.DUMMYFUNCTION("""COMPUTED_VALUE"""),"Hacie297")</f>
        <v>Hacie297</v>
      </c>
      <c r="B4199" s="25"/>
      <c r="C4199" s="55"/>
      <c r="D4199" s="25" t="str">
        <f ca="1">IFERROR(__xludf.DUMMYFUNCTION("""COMPUTED_VALUE"""),"Hacienda")</f>
        <v>Hacienda</v>
      </c>
      <c r="E4199" s="25"/>
      <c r="F4199" s="25"/>
      <c r="G4199" s="25"/>
      <c r="H4199" s="25"/>
      <c r="I4199" s="25"/>
      <c r="J4199" s="55"/>
      <c r="K4199" s="25" t="str">
        <f ca="1">IFERROR(__xludf.DUMMYFUNCTION("""COMPUTED_VALUE"""),"Definir fecha")</f>
        <v>Definir fecha</v>
      </c>
      <c r="L4199" s="62"/>
      <c r="M4199" s="25"/>
      <c r="N4199" s="25"/>
      <c r="O4199" s="25">
        <f t="shared" si="0"/>
        <v>0</v>
      </c>
      <c r="P4199" s="25" t="str">
        <f t="shared" si="2"/>
        <v/>
      </c>
      <c r="Q4199" s="25" t="str">
        <f ca="1">IFERROR(__xludf.DUMMYFUNCTION("""COMPUTED_VALUE"""),"Sin defenir")</f>
        <v>Sin defenir</v>
      </c>
      <c r="R4199" s="25"/>
      <c r="S4199" s="55"/>
      <c r="T4199" s="56"/>
      <c r="U4199" s="25"/>
      <c r="V4199" s="25"/>
      <c r="W4199" s="25"/>
      <c r="X4199" s="25"/>
      <c r="Y4199" s="25"/>
      <c r="Z4199" s="25"/>
    </row>
    <row r="4200" spans="1:26" ht="52.5" customHeight="1" x14ac:dyDescent="0.25">
      <c r="A4200" s="25" t="str">
        <f ca="1">IFERROR(__xludf.DUMMYFUNCTION("""COMPUTED_VALUE"""),"Hacie298")</f>
        <v>Hacie298</v>
      </c>
      <c r="B4200" s="25"/>
      <c r="C4200" s="55"/>
      <c r="D4200" s="25" t="str">
        <f ca="1">IFERROR(__xludf.DUMMYFUNCTION("""COMPUTED_VALUE"""),"Hacienda")</f>
        <v>Hacienda</v>
      </c>
      <c r="E4200" s="25"/>
      <c r="F4200" s="25"/>
      <c r="G4200" s="25"/>
      <c r="H4200" s="25"/>
      <c r="I4200" s="25"/>
      <c r="J4200" s="55"/>
      <c r="K4200" s="25" t="str">
        <f ca="1">IFERROR(__xludf.DUMMYFUNCTION("""COMPUTED_VALUE"""),"Definir fecha")</f>
        <v>Definir fecha</v>
      </c>
      <c r="L4200" s="62"/>
      <c r="M4200" s="25"/>
      <c r="N4200" s="25"/>
      <c r="O4200" s="25">
        <f t="shared" si="0"/>
        <v>0</v>
      </c>
      <c r="P4200" s="25" t="str">
        <f t="shared" si="2"/>
        <v/>
      </c>
      <c r="Q4200" s="25" t="str">
        <f ca="1">IFERROR(__xludf.DUMMYFUNCTION("""COMPUTED_VALUE"""),"Sin defenir")</f>
        <v>Sin defenir</v>
      </c>
      <c r="R4200" s="25"/>
      <c r="S4200" s="55"/>
      <c r="T4200" s="56"/>
      <c r="U4200" s="25"/>
      <c r="V4200" s="25"/>
      <c r="W4200" s="25"/>
      <c r="X4200" s="25"/>
      <c r="Y4200" s="25"/>
      <c r="Z4200" s="25"/>
    </row>
    <row r="4201" spans="1:26" ht="52.5" customHeight="1" x14ac:dyDescent="0.25">
      <c r="A4201" s="25" t="str">
        <f ca="1">IFERROR(__xludf.DUMMYFUNCTION("""COMPUTED_VALUE"""),"Hacie299")</f>
        <v>Hacie299</v>
      </c>
      <c r="B4201" s="25"/>
      <c r="C4201" s="55"/>
      <c r="D4201" s="25" t="str">
        <f ca="1">IFERROR(__xludf.DUMMYFUNCTION("""COMPUTED_VALUE"""),"Hacienda")</f>
        <v>Hacienda</v>
      </c>
      <c r="E4201" s="25"/>
      <c r="F4201" s="25"/>
      <c r="G4201" s="25"/>
      <c r="H4201" s="25"/>
      <c r="I4201" s="25"/>
      <c r="J4201" s="55"/>
      <c r="K4201" s="25" t="str">
        <f ca="1">IFERROR(__xludf.DUMMYFUNCTION("""COMPUTED_VALUE"""),"Definir fecha")</f>
        <v>Definir fecha</v>
      </c>
      <c r="L4201" s="62"/>
      <c r="M4201" s="25"/>
      <c r="N4201" s="25"/>
      <c r="O4201" s="25">
        <f t="shared" si="0"/>
        <v>0</v>
      </c>
      <c r="P4201" s="25" t="str">
        <f t="shared" si="2"/>
        <v/>
      </c>
      <c r="Q4201" s="25" t="str">
        <f ca="1">IFERROR(__xludf.DUMMYFUNCTION("""COMPUTED_VALUE"""),"Sin defenir")</f>
        <v>Sin defenir</v>
      </c>
      <c r="R4201" s="25"/>
      <c r="S4201" s="55"/>
      <c r="T4201" s="56"/>
      <c r="U4201" s="25"/>
      <c r="V4201" s="25"/>
      <c r="W4201" s="25"/>
      <c r="X4201" s="25"/>
      <c r="Y4201" s="25"/>
      <c r="Z4201" s="25"/>
    </row>
    <row r="4202" spans="1:26" ht="52.5" customHeight="1" x14ac:dyDescent="0.25">
      <c r="A4202" s="25" t="str">
        <f ca="1">IFERROR(__xludf.DUMMYFUNCTION("""COMPUTED_VALUE"""),"Hacie300")</f>
        <v>Hacie300</v>
      </c>
      <c r="B4202" s="25"/>
      <c r="C4202" s="55"/>
      <c r="D4202" s="25" t="str">
        <f ca="1">IFERROR(__xludf.DUMMYFUNCTION("""COMPUTED_VALUE"""),"Hacienda")</f>
        <v>Hacienda</v>
      </c>
      <c r="E4202" s="25"/>
      <c r="F4202" s="25"/>
      <c r="G4202" s="25"/>
      <c r="H4202" s="25"/>
      <c r="I4202" s="25"/>
      <c r="J4202" s="55"/>
      <c r="K4202" s="25" t="str">
        <f ca="1">IFERROR(__xludf.DUMMYFUNCTION("""COMPUTED_VALUE"""),"Definir fecha")</f>
        <v>Definir fecha</v>
      </c>
      <c r="L4202" s="62"/>
      <c r="M4202" s="25"/>
      <c r="N4202" s="25"/>
      <c r="O4202" s="25">
        <f t="shared" si="0"/>
        <v>0</v>
      </c>
      <c r="P4202" s="25" t="str">
        <f t="shared" si="2"/>
        <v/>
      </c>
      <c r="Q4202" s="25" t="str">
        <f ca="1">IFERROR(__xludf.DUMMYFUNCTION("""COMPUTED_VALUE"""),"Sin defenir")</f>
        <v>Sin defenir</v>
      </c>
      <c r="R4202" s="25"/>
      <c r="S4202" s="55"/>
      <c r="T4202" s="56"/>
      <c r="U4202" s="25"/>
      <c r="V4202" s="25"/>
      <c r="W4202" s="25"/>
      <c r="X4202" s="25"/>
      <c r="Y4202" s="25"/>
      <c r="Z4202" s="25"/>
    </row>
    <row r="4203" spans="1:26" ht="52.5" customHeight="1" x14ac:dyDescent="0.25">
      <c r="A4203" s="25" t="str">
        <f ca="1">IFERROR(__xludf.DUMMYFUNCTION("IMPORTRANGE(""https://docs.google.com/spreadsheets/d/1SUh42QDwFP8obN0GNIj4rWfstJx5kDi_GF8-hP5_7Ug/edit#gid=330735094"",""Movilidad!A2:K601"")"),"Movil1")</f>
        <v>Movil1</v>
      </c>
      <c r="B4203" s="25" t="str">
        <f ca="1">IFERROR(__xludf.DUMMYFUNCTION("""COMPUTED_VALUE"""),"Conectores ecosistémicos, siembra")</f>
        <v>Conectores ecosistémicos, siembra</v>
      </c>
      <c r="C4203" s="55">
        <f ca="1">IFERROR(__xludf.DUMMYFUNCTION("""COMPUTED_VALUE"""),44695)</f>
        <v>44695</v>
      </c>
      <c r="D4203" s="25" t="str">
        <f ca="1">IFERROR(__xludf.DUMMYFUNCTION("""COMPUTED_VALUE"""),"Movilidad")</f>
        <v>Movilidad</v>
      </c>
      <c r="E4203" s="25" t="str">
        <f ca="1">IFERROR(__xludf.DUMMYFUNCTION("""COMPUTED_VALUE"""),"Instituto de Desarrollo Urbano")</f>
        <v>Instituto de Desarrollo Urbano</v>
      </c>
      <c r="F4203" s="25" t="str">
        <f ca="1">IFERROR(__xludf.DUMMYFUNCTION("""COMPUTED_VALUE"""),"La ciclorruta que está desde el Virrey a Jaboque es un corredor ecosistémico hecho. Incluir siembra, iluminación, mantenimiento, poda y señalización")</f>
        <v>La ciclorruta que está desde el Virrey a Jaboque es un corredor ecosistémico hecho. Incluir siembra, iluminación, mantenimiento, poda y señalización</v>
      </c>
      <c r="G4203" s="25" t="str">
        <f ca="1">IFERROR(__xludf.DUMMYFUNCTION("""COMPUTED_VALUE"""),"99. Distrito")</f>
        <v>99. Distrito</v>
      </c>
      <c r="H4203" s="55">
        <f ca="1">IFERROR(__xludf.DUMMYFUNCTION("""COMPUTED_VALUE"""),45184)</f>
        <v>45184</v>
      </c>
      <c r="I4203" s="25" t="str">
        <f ca="1">IFERROR(__xludf.DUMMYFUNCTION("""COMPUTED_VALUE"""),"Junta de Infraestructura")</f>
        <v>Junta de Infraestructura</v>
      </c>
      <c r="J4203" s="55" t="str">
        <f ca="1">IFERROR(__xludf.DUMMYFUNCTION("""COMPUTED_VALUE"""),"Baja")</f>
        <v>Baja</v>
      </c>
      <c r="K4203" s="25">
        <f ca="1">IFERROR(__xludf.DUMMYFUNCTION("""COMPUTED_VALUE"""),489)</f>
        <v>489</v>
      </c>
      <c r="L4203" s="62">
        <f ca="1">IFERROR(__xludf.DUMMYFUNCTION("IMPORTRANGE(""https://docs.google.com/spreadsheets/d/1SUh42QDwFP8obN0GNIj4rWfstJx5kDi_GF8-hP5_7Ug/edit#gid=330735094"",""Movilidad!M2:O601"")"),45077)</f>
        <v>45077</v>
      </c>
      <c r="M4203" s="25" t="str">
        <f ca="1">IFERROR(__xludf.DUMMYFUNCTION("""COMPUTED_VALUE"""),"La UAESP en el último trimestre de 2022 realizó la poda sobre la ciclorruta que rodea el Humedal Jaboque y el Canal Rionegro por la Cr 53. Además la UMV desde el mes de noviembre de 2022 se encuentra adelantando el mantenimiento de la superficie de pavime"&amp;"nto en la ciclorruta del Humedal Jaboque y posteriormente continuará con el mantenimiento de los tramos del Canal Rionegro. Una vez se culmine el mantenimiento la SDM implementará la señalización. El IDU se encuentra interviniendo la ciclorruta de la call"&amp;"e 80 que hace parte de la continuidad del trazado que conecta  el Virrey y Humedal Jaboque. La SDM realizó el reporte a la UAESP de 15 tramos críticos por fallas de Iluminación, en el cual se encuentran las conexiones con la CL 80, la Av. Boyacá, la Autop"&amp;"ista Norte y el Canal Rionegro; reportes que fueron atendidos con el restablecimiento de la iluminación pública de los puntos solicitados.
IDU: Los tramos priorizados para mantenimiento periodico ya se estan terminando. Lo que hace falta esta para rehabi"&amp;"litacion y se estan elaborando los estudios y diseños, ya se termino el taramo de la calle 80 entre las carreras 85 y 86A.")</f>
        <v>La UAESP en el último trimestre de 2022 realizó la poda sobre la ciclorruta que rodea el Humedal Jaboque y el Canal Rionegro por la Cr 53. Además la UMV desde el mes de noviembre de 2022 se encuentra adelantando el mantenimiento de la superficie de pavimento en la ciclorruta del Humedal Jaboque y posteriormente continuará con el mantenimiento de los tramos del Canal Rionegro. Una vez se culmine el mantenimiento la SDM implementará la señalización. El IDU se encuentra interviniendo la ciclorruta de la calle 80 que hace parte de la continuidad del trazado que conecta  el Virrey y Humedal Jaboque. La SDM realizó el reporte a la UAESP de 15 tramos críticos por fallas de Iluminación, en el cual se encuentran las conexiones con la CL 80, la Av. Boyacá, la Autopista Norte y el Canal Rionegro; reportes que fueron atendidos con el restablecimiento de la iluminación pública de los puntos solicitados.
IDU: Los tramos priorizados para mantenimiento periodico ya se estan terminando. Lo que hace falta esta para rehabilitacion y se estan elaborando los estudios y diseños, ya se termino el taramo de la calle 80 entre las carreras 85 y 86A.</v>
      </c>
      <c r="N4203" s="25"/>
      <c r="O4203" s="25" t="str">
        <f t="shared" ca="1" si="0"/>
        <v>Instituto de Desarrollo Urbano</v>
      </c>
      <c r="P4203" s="25" t="str">
        <f t="shared" ca="1" si="2"/>
        <v/>
      </c>
      <c r="Q4203" s="25" t="str">
        <f ca="1">IFERROR(__xludf.DUMMYFUNCTION("IMPORTRANGE(""https://docs.google.com/spreadsheets/d/1SUh42QDwFP8obN0GNIj4rWfstJx5kDi_GF8-hP5_7Ug/edit#gid=330735094"",""Movilidad!L2:L601"")"),"Largo plazo")</f>
        <v>Largo plazo</v>
      </c>
      <c r="R4203" s="25"/>
      <c r="S4203" s="55"/>
      <c r="T4203" s="56"/>
      <c r="U4203" s="25"/>
      <c r="V4203" s="25"/>
      <c r="W4203" s="25"/>
      <c r="X4203" s="25"/>
      <c r="Y4203" s="25"/>
      <c r="Z4203" s="25"/>
    </row>
    <row r="4204" spans="1:26" ht="52.5" customHeight="1" x14ac:dyDescent="0.25">
      <c r="A4204" s="25" t="str">
        <f ca="1">IFERROR(__xludf.DUMMYFUNCTION("""COMPUTED_VALUE"""),"Movil2")</f>
        <v>Movil2</v>
      </c>
      <c r="B4204" s="25" t="str">
        <f ca="1">IFERROR(__xludf.DUMMYFUNCTION("""COMPUTED_VALUE"""),"Corredor Verde y Valorización")</f>
        <v>Corredor Verde y Valorización</v>
      </c>
      <c r="C4204" s="55">
        <f ca="1">IFERROR(__xludf.DUMMYFUNCTION("""COMPUTED_VALUE"""),44687)</f>
        <v>44687</v>
      </c>
      <c r="D4204" s="25" t="str">
        <f ca="1">IFERROR(__xludf.DUMMYFUNCTION("""COMPUTED_VALUE"""),"Movilidad")</f>
        <v>Movilidad</v>
      </c>
      <c r="E4204" s="25" t="str">
        <f ca="1">IFERROR(__xludf.DUMMYFUNCTION("""COMPUTED_VALUE"""),"Instituto de Desarrollo Urbano")</f>
        <v>Instituto de Desarrollo Urbano</v>
      </c>
      <c r="F4204" s="25" t="str">
        <f ca="1">IFERROR(__xludf.DUMMYFUNCTION("""COMPUTED_VALUE"""),"Revisar el proyecto arquitectónico y el modelo de gestión para el equipamiento propuesto de la Calle 60 (12.000 m2)")</f>
        <v>Revisar el proyecto arquitectónico y el modelo de gestión para el equipamiento propuesto de la Calle 60 (12.000 m2)</v>
      </c>
      <c r="G4204" s="55" t="str">
        <f ca="1">IFERROR(__xludf.DUMMYFUNCTION("""COMPUTED_VALUE"""),"02. Chapinero")</f>
        <v>02. Chapinero</v>
      </c>
      <c r="H4204" s="55">
        <f ca="1">IFERROR(__xludf.DUMMYFUNCTION("""COMPUTED_VALUE"""),45107)</f>
        <v>45107</v>
      </c>
      <c r="I4204" s="25" t="str">
        <f ca="1">IFERROR(__xludf.DUMMYFUNCTION("""COMPUTED_VALUE"""),"Junta de Infraestructura")</f>
        <v>Junta de Infraestructura</v>
      </c>
      <c r="J4204" s="55" t="str">
        <f ca="1">IFERROR(__xludf.DUMMYFUNCTION("""COMPUTED_VALUE"""),"Baja")</f>
        <v>Baja</v>
      </c>
      <c r="K4204" s="25">
        <f ca="1">IFERROR(__xludf.DUMMYFUNCTION("""COMPUTED_VALUE"""),420)</f>
        <v>420</v>
      </c>
      <c r="L4204" s="62">
        <f ca="1">IFERROR(__xludf.DUMMYFUNCTION("""COMPUTED_VALUE"""),45078)</f>
        <v>45078</v>
      </c>
      <c r="M4204" s="25" t="str">
        <f ca="1">IFERROR(__xludf.DUMMYFUNCTION("""COMPUTED_VALUE"""),"El IDU cuenta con diseño de espacio público y del entorno del equipamiento ya en el paquete de los diseños de detalle. El predio ya está ofertado para ser adquirido. Como no se fondea el equipamento con recursos del proyecto se dejará la cabida como espac"&amp;"io público para ser luego intervenido por la SCRD cuando el proyecto cultural quede financiado. ")</f>
        <v xml:space="preserve">El IDU cuenta con diseño de espacio público y del entorno del equipamiento ya en el paquete de los diseños de detalle. El predio ya está ofertado para ser adquirido. Como no se fondea el equipamento con recursos del proyecto se dejará la cabida como espacio público para ser luego intervenido por la SCRD cuando el proyecto cultural quede financiado. </v>
      </c>
      <c r="N4204" s="25"/>
      <c r="O4204" s="25" t="str">
        <f t="shared" ca="1" si="0"/>
        <v>Instituto de Desarrollo Urbano</v>
      </c>
      <c r="P4204" s="25" t="str">
        <f t="shared" ca="1" si="2"/>
        <v/>
      </c>
      <c r="Q4204" s="25" t="str">
        <f ca="1">IFERROR(__xludf.DUMMYFUNCTION("""COMPUTED_VALUE"""),"Largo plazo")</f>
        <v>Largo plazo</v>
      </c>
      <c r="R4204" s="25"/>
      <c r="S4204" s="55"/>
      <c r="T4204" s="56"/>
      <c r="U4204" s="25"/>
      <c r="V4204" s="25"/>
      <c r="W4204" s="25"/>
      <c r="X4204" s="25"/>
      <c r="Y4204" s="25"/>
      <c r="Z4204" s="25"/>
    </row>
    <row r="4205" spans="1:26" ht="52.5" customHeight="1" x14ac:dyDescent="0.25">
      <c r="A4205" s="25" t="str">
        <f ca="1">IFERROR(__xludf.DUMMYFUNCTION("""COMPUTED_VALUE"""),"Movil3")</f>
        <v>Movil3</v>
      </c>
      <c r="B4205" s="25" t="str">
        <f ca="1">IFERROR(__xludf.DUMMYFUNCTION("""COMPUTED_VALUE"""),"Reunión SIDICU")</f>
        <v>Reunión SIDICU</v>
      </c>
      <c r="C4205" s="55" t="str">
        <f ca="1">IFERROR(__xludf.DUMMYFUNCTION("""COMPUTED_VALUE"""),"16/03/2021")</f>
        <v>16/03/2021</v>
      </c>
      <c r="D4205" s="25" t="str">
        <f ca="1">IFERROR(__xludf.DUMMYFUNCTION("""COMPUTED_VALUE"""),"Movilidad")</f>
        <v>Movilidad</v>
      </c>
      <c r="E4205" s="25" t="str">
        <f ca="1">IFERROR(__xludf.DUMMYFUNCTION("""COMPUTED_VALUE"""),"Secretaría Distrital de Movilidad")</f>
        <v>Secretaría Distrital de Movilidad</v>
      </c>
      <c r="F4205" s="25" t="str">
        <f ca="1">IFERROR(__xludf.DUMMYFUNCTION("""COMPUTED_VALUE"""),"Coordinar con Movilidad y Transmilenio las frecuencias de las rutas del SITP que pasan cerca de las manzanas de cuidado. SDMujer envió mapas e información requerida por SDM el 10 de marzo. 
")</f>
        <v xml:space="preserve">Coordinar con Movilidad y Transmilenio las frecuencias de las rutas del SITP que pasan cerca de las manzanas de cuidado. SDMujer envió mapas e información requerida por SDM el 10 de marzo. 
</v>
      </c>
      <c r="G4205" s="25" t="str">
        <f ca="1">IFERROR(__xludf.DUMMYFUNCTION("""COMPUTED_VALUE"""),"99. Distrito")</f>
        <v>99. Distrito</v>
      </c>
      <c r="H4205" s="55">
        <f ca="1">IFERROR(__xludf.DUMMYFUNCTION("""COMPUTED_VALUE"""),44301)</f>
        <v>44301</v>
      </c>
      <c r="I4205" s="25"/>
      <c r="J4205" s="55" t="str">
        <f ca="1">IFERROR(__xludf.DUMMYFUNCTION("""COMPUTED_VALUE"""),"Alta")</f>
        <v>Alta</v>
      </c>
      <c r="K4205" s="25">
        <f ca="1">IFERROR(__xludf.DUMMYFUNCTION("""COMPUTED_VALUE"""),30)</f>
        <v>30</v>
      </c>
      <c r="L4205" s="62">
        <f ca="1">IFERROR(__xludf.DUMMYFUNCTION("""COMPUTED_VALUE"""),44530)</f>
        <v>44530</v>
      </c>
      <c r="M4205" s="25" t="str">
        <f ca="1">IFERROR(__xludf.DUMMYFUNCTION("""COMPUTED_VALUE"""),"16.09.21 
 Se enviaron mapas de las manzanas del cuidado de Usme, Los Mártires y Kennedy para que la SDM revise las frecuencias de rutas.")</f>
        <v>16.09.21 
 Se enviaron mapas de las manzanas del cuidado de Usme, Los Mártires y Kennedy para que la SDM revise las frecuencias de rutas.</v>
      </c>
      <c r="N4205" s="55">
        <f ca="1">IFERROR(__xludf.DUMMYFUNCTION("""COMPUTED_VALUE"""),44530)</f>
        <v>44530</v>
      </c>
      <c r="O4205" s="25" t="str">
        <f t="shared" ca="1" si="0"/>
        <v>Secretaría Distrital de Movilidad</v>
      </c>
      <c r="P4205" s="25" t="str">
        <f t="shared" si="2"/>
        <v/>
      </c>
      <c r="Q4205" s="25" t="str">
        <f ca="1">IFERROR(__xludf.DUMMYFUNCTION("""COMPUTED_VALUE"""),"Corto plazo")</f>
        <v>Corto plazo</v>
      </c>
      <c r="R4205" s="25"/>
      <c r="S4205" s="55"/>
      <c r="T4205" s="56"/>
      <c r="U4205" s="25"/>
      <c r="V4205" s="25"/>
      <c r="W4205" s="25"/>
      <c r="X4205" s="25"/>
      <c r="Y4205" s="25"/>
      <c r="Z4205" s="25"/>
    </row>
    <row r="4206" spans="1:26" ht="52.5" customHeight="1" x14ac:dyDescent="0.25">
      <c r="A4206" s="25" t="str">
        <f ca="1">IFERROR(__xludf.DUMMYFUNCTION("""COMPUTED_VALUE"""),"Movil4")</f>
        <v>Movil4</v>
      </c>
      <c r="B4206" s="25" t="str">
        <f ca="1">IFERROR(__xludf.DUMMYFUNCTION("""COMPUTED_VALUE"""),"Consejo de seguridad de Suba")</f>
        <v>Consejo de seguridad de Suba</v>
      </c>
      <c r="C4206" s="55">
        <f ca="1">IFERROR(__xludf.DUMMYFUNCTION("""COMPUTED_VALUE"""),44630)</f>
        <v>44630</v>
      </c>
      <c r="D4206" s="25" t="str">
        <f ca="1">IFERROR(__xludf.DUMMYFUNCTION("""COMPUTED_VALUE"""),"Movilidad")</f>
        <v>Movilidad</v>
      </c>
      <c r="E4206" s="25" t="str">
        <f ca="1">IFERROR(__xludf.DUMMYFUNCTION("""COMPUTED_VALUE"""),"Empresa de Transporte del Tercer Milenio - Transmilenio S.A.")</f>
        <v>Empresa de Transporte del Tercer Milenio - Transmilenio S.A.</v>
      </c>
      <c r="F4206" s="25" t="str">
        <f ca="1">IFERROR(__xludf.DUMMYFUNCTION("""COMPUTED_VALUE"""),"Llevar a cabo una reunión entre la Alcaldesa Mayor, TransMilenio y los concesionaros, para revisar el plan de acción sobre las rutas de sustitución de transporte ilegal y para alimentar el sistema troncal de usuarios. Esta reunión tiene que llevarse dentr"&amp;"o de las próximas 2 semanas, a más tardar.")</f>
        <v>Llevar a cabo una reunión entre la Alcaldesa Mayor, TransMilenio y los concesionaros, para revisar el plan de acción sobre las rutas de sustitución de transporte ilegal y para alimentar el sistema troncal de usuarios. Esta reunión tiene que llevarse dentro de las próximas 2 semanas, a más tardar.</v>
      </c>
      <c r="G4206" s="25" t="str">
        <f ca="1">IFERROR(__xludf.DUMMYFUNCTION("""COMPUTED_VALUE"""),"99. Distrito")</f>
        <v>99. Distrito</v>
      </c>
      <c r="H4206" s="55">
        <f ca="1">IFERROR(__xludf.DUMMYFUNCTION("""COMPUTED_VALUE"""),44660)</f>
        <v>44660</v>
      </c>
      <c r="I4206" s="25"/>
      <c r="J4206" s="55" t="str">
        <f ca="1">IFERROR(__xludf.DUMMYFUNCTION("""COMPUTED_VALUE"""),"Alta")</f>
        <v>Alta</v>
      </c>
      <c r="K4206" s="25">
        <f ca="1">IFERROR(__xludf.DUMMYFUNCTION("""COMPUTED_VALUE"""),30)</f>
        <v>30</v>
      </c>
      <c r="L4206" s="62">
        <f ca="1">IFERROR(__xludf.DUMMYFUNCTION("""COMPUTED_VALUE"""),44658)</f>
        <v>44658</v>
      </c>
      <c r="M4206" s="25" t="str">
        <f ca="1">IFERROR(__xludf.DUMMYFUNCTION("""COMPUTED_VALUE"""),"Se hizo reunión el 4 de abril con concesionario y alcaldesa, donde se presentó el plan de trabajo hasta junio de la optimización  de rutas contemplando la troncoalimentación y la ilegalidad.")</f>
        <v>Se hizo reunión el 4 de abril con concesionario y alcaldesa, donde se presentó el plan de trabajo hasta junio de la optimización  de rutas contemplando la troncoalimentación y la ilegalidad.</v>
      </c>
      <c r="N4206" s="55">
        <f ca="1">IFERROR(__xludf.DUMMYFUNCTION("""COMPUTED_VALUE"""),44658)</f>
        <v>44658</v>
      </c>
      <c r="O4206" s="25" t="str">
        <f t="shared" ca="1" si="0"/>
        <v>Empresa de Transporte del Tercer Milenio - Transmilenio S.A.</v>
      </c>
      <c r="P4206" s="25" t="str">
        <f t="shared" si="2"/>
        <v/>
      </c>
      <c r="Q4206" s="25" t="str">
        <f ca="1">IFERROR(__xludf.DUMMYFUNCTION("""COMPUTED_VALUE"""),"Corto plazo")</f>
        <v>Corto plazo</v>
      </c>
      <c r="R4206" s="25"/>
      <c r="S4206" s="55"/>
      <c r="T4206" s="56"/>
      <c r="U4206" s="25"/>
      <c r="V4206" s="25"/>
      <c r="W4206" s="25"/>
      <c r="X4206" s="25"/>
      <c r="Y4206" s="25"/>
      <c r="Z4206" s="25"/>
    </row>
    <row r="4207" spans="1:26" ht="52.5" customHeight="1" x14ac:dyDescent="0.25">
      <c r="A4207" s="25" t="str">
        <f ca="1">IFERROR(__xludf.DUMMYFUNCTION("""COMPUTED_VALUE"""),"Movil5")</f>
        <v>Movil5</v>
      </c>
      <c r="B4207" s="25" t="str">
        <f ca="1">IFERROR(__xludf.DUMMYFUNCTION("""COMPUTED_VALUE"""),"Campañas Cultura Ciudadana")</f>
        <v>Campañas Cultura Ciudadana</v>
      </c>
      <c r="C4207" s="55">
        <f ca="1">IFERROR(__xludf.DUMMYFUNCTION("""COMPUTED_VALUE"""),44627)</f>
        <v>44627</v>
      </c>
      <c r="D4207" s="25" t="str">
        <f ca="1">IFERROR(__xludf.DUMMYFUNCTION("""COMPUTED_VALUE"""),"Movilidad")</f>
        <v>Movilidad</v>
      </c>
      <c r="E4207" s="25" t="str">
        <f ca="1">IFERROR(__xludf.DUMMYFUNCTION("""COMPUTED_VALUE"""),"Secretaría Distrital de Movilidad")</f>
        <v>Secretaría Distrital de Movilidad</v>
      </c>
      <c r="F4207" s="25" t="str">
        <f ca="1">IFERROR(__xludf.DUMMYFUNCTION("""COMPUTED_VALUE"""),"Realizar dos campañas: comparta el carro y parquee bieen")</f>
        <v>Realizar dos campañas: comparta el carro y parquee bieen</v>
      </c>
      <c r="G4207" s="25" t="str">
        <f ca="1">IFERROR(__xludf.DUMMYFUNCTION("""COMPUTED_VALUE"""),"99. Distrito")</f>
        <v>99. Distrito</v>
      </c>
      <c r="H4207" s="55">
        <f ca="1">IFERROR(__xludf.DUMMYFUNCTION("""COMPUTED_VALUE"""),44657)</f>
        <v>44657</v>
      </c>
      <c r="I4207" s="25"/>
      <c r="J4207" s="55" t="str">
        <f ca="1">IFERROR(__xludf.DUMMYFUNCTION("""COMPUTED_VALUE"""),"Alta")</f>
        <v>Alta</v>
      </c>
      <c r="K4207" s="25">
        <f ca="1">IFERROR(__xludf.DUMMYFUNCTION("""COMPUTED_VALUE"""),30)</f>
        <v>30</v>
      </c>
      <c r="L4207" s="62">
        <f ca="1">IFERROR(__xludf.DUMMYFUNCTION("""COMPUTED_VALUE"""),44657)</f>
        <v>44657</v>
      </c>
      <c r="M4207" s="25" t="str">
        <f ca="1">IFERROR(__xludf.DUMMYFUNCTION("""COMPUTED_VALUE"""),"La campaña contra el mal parqueo fue lanzada durante la última semana de marzo y se mantendrá activa hasta el mes de mayo. Las Secretarías de Cultura y Movilidad construyeron esta campaña de manera conjunta, la cual está dentro de la sombrilla de La Bogot"&amp;"á que estamos construyendo, y que está compuesta de acciones en calle, a nivel masivo, en las localidades, e involucra a los diferentes actores e involucrados en la movilidad de la ciudad. 
La campaña de promoción del mal parqueo está en producción para s"&amp;"alir al aire a finales del mes de abril.")</f>
        <v>La campaña contra el mal parqueo fue lanzada durante la última semana de marzo y se mantendrá activa hasta el mes de mayo. Las Secretarías de Cultura y Movilidad construyeron esta campaña de manera conjunta, la cual está dentro de la sombrilla de La Bogotá que estamos construyendo, y que está compuesta de acciones en calle, a nivel masivo, en las localidades, e involucra a los diferentes actores e involucrados en la movilidad de la ciudad. 
La campaña de promoción del mal parqueo está en producción para salir al aire a finales del mes de abril.</v>
      </c>
      <c r="N4207" s="55">
        <f ca="1">IFERROR(__xludf.DUMMYFUNCTION("""COMPUTED_VALUE"""),44657)</f>
        <v>44657</v>
      </c>
      <c r="O4207" s="25" t="str">
        <f t="shared" ca="1" si="0"/>
        <v>Secretaría Distrital de Movilidad</v>
      </c>
      <c r="P4207" s="25" t="str">
        <f t="shared" si="2"/>
        <v/>
      </c>
      <c r="Q4207" s="25" t="str">
        <f ca="1">IFERROR(__xludf.DUMMYFUNCTION("""COMPUTED_VALUE"""),"Corto plazo")</f>
        <v>Corto plazo</v>
      </c>
      <c r="R4207" s="25"/>
      <c r="S4207" s="55"/>
      <c r="T4207" s="56"/>
      <c r="U4207" s="25"/>
      <c r="V4207" s="25"/>
      <c r="W4207" s="25"/>
      <c r="X4207" s="25"/>
      <c r="Y4207" s="25"/>
      <c r="Z4207" s="25"/>
    </row>
    <row r="4208" spans="1:26" ht="52.5" customHeight="1" x14ac:dyDescent="0.25">
      <c r="A4208" s="25" t="str">
        <f ca="1">IFERROR(__xludf.DUMMYFUNCTION("""COMPUTED_VALUE"""),"Movil6")</f>
        <v>Movil6</v>
      </c>
      <c r="B4208" s="25" t="str">
        <f ca="1">IFERROR(__xludf.DUMMYFUNCTION("""COMPUTED_VALUE"""),"Campañas Cultura Ciudadana")</f>
        <v>Campañas Cultura Ciudadana</v>
      </c>
      <c r="C4208" s="55">
        <f ca="1">IFERROR(__xludf.DUMMYFUNCTION("""COMPUTED_VALUE"""),44627)</f>
        <v>44627</v>
      </c>
      <c r="D4208" s="25" t="str">
        <f ca="1">IFERROR(__xludf.DUMMYFUNCTION("""COMPUTED_VALUE"""),"Movilidad")</f>
        <v>Movilidad</v>
      </c>
      <c r="E4208" s="25" t="str">
        <f ca="1">IFERROR(__xludf.DUMMYFUNCTION("""COMPUTED_VALUE"""),"Secretaría Distrital de Movilidad")</f>
        <v>Secretaría Distrital de Movilidad</v>
      </c>
      <c r="F4208" s="25" t="str">
        <f ca="1">IFERROR(__xludf.DUMMYFUNCTION("""COMPUTED_VALUE"""),"Poner en las grúas la estrategia de comunicaciones de los mal parqueados")</f>
        <v>Poner en las grúas la estrategia de comunicaciones de los mal parqueados</v>
      </c>
      <c r="G4208" s="25" t="str">
        <f ca="1">IFERROR(__xludf.DUMMYFUNCTION("""COMPUTED_VALUE"""),"99. Distrito")</f>
        <v>99. Distrito</v>
      </c>
      <c r="H4208" s="55">
        <f ca="1">IFERROR(__xludf.DUMMYFUNCTION("""COMPUTED_VALUE"""),44657)</f>
        <v>44657</v>
      </c>
      <c r="I4208" s="25"/>
      <c r="J4208" s="55" t="str">
        <f ca="1">IFERROR(__xludf.DUMMYFUNCTION("""COMPUTED_VALUE"""),"Alta")</f>
        <v>Alta</v>
      </c>
      <c r="K4208" s="25">
        <f ca="1">IFERROR(__xludf.DUMMYFUNCTION("""COMPUTED_VALUE"""),30)</f>
        <v>30</v>
      </c>
      <c r="L4208" s="62">
        <f ca="1">IFERROR(__xludf.DUMMYFUNCTION("""COMPUTED_VALUE"""),44657)</f>
        <v>44657</v>
      </c>
      <c r="M4208" s="25" t="str">
        <f ca="1">IFERROR(__xludf.DUMMYFUNCTION("""COMPUTED_VALUE"""),"Las grúas fueron incluidas en la campaña. En la etapa inicial 26 grúas estarán marcadas con mensajes de la campaña La Bogotá que estamos construyendo con mensajes a favor del estacionamiento debido. Adicionalmente los operarios de grúas recibirán capacita"&amp;"ción por parte de la Secretaría de Cultura, para que su interacción con el ciudadano esté marcada por la narrativa de la campaña.")</f>
        <v>Las grúas fueron incluidas en la campaña. En la etapa inicial 26 grúas estarán marcadas con mensajes de la campaña La Bogotá que estamos construyendo con mensajes a favor del estacionamiento debido. Adicionalmente los operarios de grúas recibirán capacitación por parte de la Secretaría de Cultura, para que su interacción con el ciudadano esté marcada por la narrativa de la campaña.</v>
      </c>
      <c r="N4208" s="55">
        <f ca="1">IFERROR(__xludf.DUMMYFUNCTION("""COMPUTED_VALUE"""),44657)</f>
        <v>44657</v>
      </c>
      <c r="O4208" s="25" t="str">
        <f t="shared" ca="1" si="0"/>
        <v>Secretaría Distrital de Movilidad</v>
      </c>
      <c r="P4208" s="25" t="str">
        <f t="shared" si="2"/>
        <v/>
      </c>
      <c r="Q4208" s="25" t="str">
        <f ca="1">IFERROR(__xludf.DUMMYFUNCTION("""COMPUTED_VALUE"""),"Corto plazo")</f>
        <v>Corto plazo</v>
      </c>
      <c r="R4208" s="25"/>
      <c r="S4208" s="55"/>
      <c r="T4208" s="56"/>
      <c r="U4208" s="25"/>
      <c r="V4208" s="25"/>
      <c r="W4208" s="25"/>
      <c r="X4208" s="25"/>
      <c r="Y4208" s="25"/>
      <c r="Z4208" s="25"/>
    </row>
    <row r="4209" spans="1:26" ht="52.5" customHeight="1" x14ac:dyDescent="0.25">
      <c r="A4209" s="25" t="str">
        <f ca="1">IFERROR(__xludf.DUMMYFUNCTION("""COMPUTED_VALUE"""),"Movil7")</f>
        <v>Movil7</v>
      </c>
      <c r="B4209" s="25" t="str">
        <f ca="1">IFERROR(__xludf.DUMMYFUNCTION("""COMPUTED_VALUE"""),"Campañas Cultura Ciudadana")</f>
        <v>Campañas Cultura Ciudadana</v>
      </c>
      <c r="C4209" s="55">
        <f ca="1">IFERROR(__xludf.DUMMYFUNCTION("""COMPUTED_VALUE"""),44627)</f>
        <v>44627</v>
      </c>
      <c r="D4209" s="25" t="str">
        <f ca="1">IFERROR(__xludf.DUMMYFUNCTION("""COMPUTED_VALUE"""),"Movilidad")</f>
        <v>Movilidad</v>
      </c>
      <c r="E4209" s="25" t="str">
        <f ca="1">IFERROR(__xludf.DUMMYFUNCTION("""COMPUTED_VALUE"""),"Secretaría Distrital de Movilidad")</f>
        <v>Secretaría Distrital de Movilidad</v>
      </c>
      <c r="F4209" s="25" t="str">
        <f ca="1">IFERROR(__xludf.DUMMYFUNCTION("""COMPUTED_VALUE"""),"Gestionar para que las aplicaciones (wazw, didi, etc) le recuerden al conductor una vez inicie su viaje, que los andenes son para los peatones y se parquee en sitios permitidos")</f>
        <v>Gestionar para que las aplicaciones (wazw, didi, etc) le recuerden al conductor una vez inicie su viaje, que los andenes son para los peatones y se parquee en sitios permitidos</v>
      </c>
      <c r="G4209" s="25" t="str">
        <f ca="1">IFERROR(__xludf.DUMMYFUNCTION("""COMPUTED_VALUE"""),"99. Distrito")</f>
        <v>99. Distrito</v>
      </c>
      <c r="H4209" s="55">
        <f ca="1">IFERROR(__xludf.DUMMYFUNCTION("""COMPUTED_VALUE"""),44657)</f>
        <v>44657</v>
      </c>
      <c r="I4209" s="25"/>
      <c r="J4209" s="55" t="str">
        <f ca="1">IFERROR(__xludf.DUMMYFUNCTION("""COMPUTED_VALUE"""),"Alta")</f>
        <v>Alta</v>
      </c>
      <c r="K4209" s="25">
        <f ca="1">IFERROR(__xludf.DUMMYFUNCTION("""COMPUTED_VALUE"""),30)</f>
        <v>30</v>
      </c>
      <c r="L4209" s="62">
        <f ca="1">IFERROR(__xludf.DUMMYFUNCTION("""COMPUTED_VALUE"""),44657)</f>
        <v>44657</v>
      </c>
      <c r="M4209" s="25" t="str">
        <f ca="1">IFERROR(__xludf.DUMMYFUNCTION("""COMPUTED_VALUE"""),"La campaña está activa y ya cuenta con mensajes en Waze que son activados una vez los usuarios incluyen la dirección a la que se dirigen y qué indican que se debe planear y buscar estacionamiento autorizado antes de iniciar el recorrido ")</f>
        <v xml:space="preserve">La campaña está activa y ya cuenta con mensajes en Waze que son activados una vez los usuarios incluyen la dirección a la que se dirigen y qué indican que se debe planear y buscar estacionamiento autorizado antes de iniciar el recorrido </v>
      </c>
      <c r="N4209" s="55">
        <f ca="1">IFERROR(__xludf.DUMMYFUNCTION("""COMPUTED_VALUE"""),44657)</f>
        <v>44657</v>
      </c>
      <c r="O4209" s="25" t="str">
        <f t="shared" ca="1" si="0"/>
        <v>Secretaría Distrital de Movilidad</v>
      </c>
      <c r="P4209" s="25" t="str">
        <f t="shared" si="2"/>
        <v/>
      </c>
      <c r="Q4209" s="25" t="str">
        <f ca="1">IFERROR(__xludf.DUMMYFUNCTION("""COMPUTED_VALUE"""),"Corto plazo")</f>
        <v>Corto plazo</v>
      </c>
      <c r="R4209" s="25"/>
      <c r="S4209" s="55"/>
      <c r="T4209" s="56"/>
      <c r="U4209" s="25"/>
      <c r="V4209" s="25"/>
      <c r="W4209" s="25"/>
      <c r="X4209" s="25"/>
      <c r="Y4209" s="25"/>
      <c r="Z4209" s="25"/>
    </row>
    <row r="4210" spans="1:26" ht="52.5" customHeight="1" x14ac:dyDescent="0.25">
      <c r="A4210" s="25" t="str">
        <f ca="1">IFERROR(__xludf.DUMMYFUNCTION("""COMPUTED_VALUE"""),"Movil8")</f>
        <v>Movil8</v>
      </c>
      <c r="B4210" s="25" t="str">
        <f ca="1">IFERROR(__xludf.DUMMYFUNCTION("""COMPUTED_VALUE"""),"Campañas Cultura Ciudadana")</f>
        <v>Campañas Cultura Ciudadana</v>
      </c>
      <c r="C4210" s="55">
        <f ca="1">IFERROR(__xludf.DUMMYFUNCTION("""COMPUTED_VALUE"""),44627)</f>
        <v>44627</v>
      </c>
      <c r="D4210" s="25" t="str">
        <f ca="1">IFERROR(__xludf.DUMMYFUNCTION("""COMPUTED_VALUE"""),"Movilidad")</f>
        <v>Movilidad</v>
      </c>
      <c r="E4210" s="25" t="str">
        <f ca="1">IFERROR(__xludf.DUMMYFUNCTION("""COMPUTED_VALUE"""),"Secretaría Distrital de Movilidad")</f>
        <v>Secretaría Distrital de Movilidad</v>
      </c>
      <c r="F4210" s="25" t="str">
        <f ca="1">IFERROR(__xludf.DUMMYFUNCTION("""COMPUTED_VALUE"""),"Entrenar a los facilitadores/reguladores de movilidad en la estrategia de cultura ciudadana y de acercamiento al ciudadana para que sepan decir las cosas")</f>
        <v>Entrenar a los facilitadores/reguladores de movilidad en la estrategia de cultura ciudadana y de acercamiento al ciudadana para que sepan decir las cosas</v>
      </c>
      <c r="G4210" s="25" t="str">
        <f ca="1">IFERROR(__xludf.DUMMYFUNCTION("""COMPUTED_VALUE"""),"99. Distrito")</f>
        <v>99. Distrito</v>
      </c>
      <c r="H4210" s="55">
        <f ca="1">IFERROR(__xludf.DUMMYFUNCTION("""COMPUTED_VALUE"""),44657)</f>
        <v>44657</v>
      </c>
      <c r="I4210" s="25"/>
      <c r="J4210" s="55" t="str">
        <f ca="1">IFERROR(__xludf.DUMMYFUNCTION("""COMPUTED_VALUE"""),"Alta")</f>
        <v>Alta</v>
      </c>
      <c r="K4210" s="25">
        <f ca="1">IFERROR(__xludf.DUMMYFUNCTION("""COMPUTED_VALUE"""),30)</f>
        <v>30</v>
      </c>
      <c r="L4210" s="62">
        <f ca="1">IFERROR(__xludf.DUMMYFUNCTION("""COMPUTED_VALUE"""),44657)</f>
        <v>44657</v>
      </c>
      <c r="M4210" s="25" t="str">
        <f ca="1">IFERROR(__xludf.DUMMYFUNCTION("""COMPUTED_VALUE"""),"Está en ejecución este proceso de capacitaciones. La Sec Cultura está realizando los talleres con agentes civiles, policía de tránsito y facilitadores de las zonas de parqueo pago, todo bajo la sombrilla de La Bogotá que estamos construyendo ")</f>
        <v xml:space="preserve">Está en ejecución este proceso de capacitaciones. La Sec Cultura está realizando los talleres con agentes civiles, policía de tránsito y facilitadores de las zonas de parqueo pago, todo bajo la sombrilla de La Bogotá que estamos construyendo </v>
      </c>
      <c r="N4210" s="55">
        <f ca="1">IFERROR(__xludf.DUMMYFUNCTION("""COMPUTED_VALUE"""),44657)</f>
        <v>44657</v>
      </c>
      <c r="O4210" s="25" t="str">
        <f t="shared" ca="1" si="0"/>
        <v>Secretaría Distrital de Movilidad</v>
      </c>
      <c r="P4210" s="25" t="str">
        <f t="shared" si="2"/>
        <v/>
      </c>
      <c r="Q4210" s="25" t="str">
        <f ca="1">IFERROR(__xludf.DUMMYFUNCTION("""COMPUTED_VALUE"""),"Corto plazo")</f>
        <v>Corto plazo</v>
      </c>
      <c r="R4210" s="25"/>
      <c r="S4210" s="55"/>
      <c r="T4210" s="56"/>
      <c r="U4210" s="25"/>
      <c r="V4210" s="25"/>
      <c r="W4210" s="25"/>
      <c r="X4210" s="25"/>
      <c r="Y4210" s="25"/>
      <c r="Z4210" s="25"/>
    </row>
    <row r="4211" spans="1:26" ht="52.5" customHeight="1" x14ac:dyDescent="0.25">
      <c r="A4211" s="25" t="str">
        <f ca="1">IFERROR(__xludf.DUMMYFUNCTION("""COMPUTED_VALUE"""),"Movil9")</f>
        <v>Movil9</v>
      </c>
      <c r="B4211" s="25" t="str">
        <f ca="1">IFERROR(__xludf.DUMMYFUNCTION("""COMPUTED_VALUE"""),"Campañas Cultura Ciudadana")</f>
        <v>Campañas Cultura Ciudadana</v>
      </c>
      <c r="C4211" s="55">
        <f ca="1">IFERROR(__xludf.DUMMYFUNCTION("""COMPUTED_VALUE"""),44627)</f>
        <v>44627</v>
      </c>
      <c r="D4211" s="25" t="str">
        <f ca="1">IFERROR(__xludf.DUMMYFUNCTION("""COMPUTED_VALUE"""),"Movilidad")</f>
        <v>Movilidad</v>
      </c>
      <c r="E4211" s="25" t="str">
        <f ca="1">IFERROR(__xludf.DUMMYFUNCTION("""COMPUTED_VALUE"""),"Secretaría Distrital de Movilidad")</f>
        <v>Secretaría Distrital de Movilidad</v>
      </c>
      <c r="F4211" s="25" t="str">
        <f ca="1">IFERROR(__xludf.DUMMYFUNCTION("""COMPUTED_VALUE"""),"Realizar gran lanzamiento campaña de parqueo")</f>
        <v>Realizar gran lanzamiento campaña de parqueo</v>
      </c>
      <c r="G4211" s="25" t="str">
        <f ca="1">IFERROR(__xludf.DUMMYFUNCTION("""COMPUTED_VALUE"""),"99. Distrito")</f>
        <v>99. Distrito</v>
      </c>
      <c r="H4211" s="55">
        <f ca="1">IFERROR(__xludf.DUMMYFUNCTION("""COMPUTED_VALUE"""),44657)</f>
        <v>44657</v>
      </c>
      <c r="I4211" s="25"/>
      <c r="J4211" s="55" t="str">
        <f ca="1">IFERROR(__xludf.DUMMYFUNCTION("""COMPUTED_VALUE"""),"Alta")</f>
        <v>Alta</v>
      </c>
      <c r="K4211" s="25">
        <f ca="1">IFERROR(__xludf.DUMMYFUNCTION("""COMPUTED_VALUE"""),30)</f>
        <v>30</v>
      </c>
      <c r="L4211" s="62">
        <f ca="1">IFERROR(__xludf.DUMMYFUNCTION("""COMPUTED_VALUE"""),44657)</f>
        <v>44657</v>
      </c>
      <c r="M4211" s="25" t="str">
        <f ca="1">IFERROR(__xludf.DUMMYFUNCTION("""COMPUTED_VALUE"""),"El lanzamiento de la campaña se realizó el lunes 28 de marzo en la localidad de Chapinero y con asistencia del Secretario de Cultura, Secretario de Movilidad, Gerente de la Terminal de Transporte, Comandante de la policía de tránsito y con medios de comun"&amp;"icación. En este momento la campaña está en fase de sostenimiento hasta el mes de mayo")</f>
        <v>El lanzamiento de la campaña se realizó el lunes 28 de marzo en la localidad de Chapinero y con asistencia del Secretario de Cultura, Secretario de Movilidad, Gerente de la Terminal de Transporte, Comandante de la policía de tránsito y con medios de comunicación. En este momento la campaña está en fase de sostenimiento hasta el mes de mayo</v>
      </c>
      <c r="N4211" s="55">
        <f ca="1">IFERROR(__xludf.DUMMYFUNCTION("""COMPUTED_VALUE"""),44657)</f>
        <v>44657</v>
      </c>
      <c r="O4211" s="25" t="str">
        <f t="shared" ca="1" si="0"/>
        <v>Secretaría Distrital de Movilidad</v>
      </c>
      <c r="P4211" s="25" t="str">
        <f t="shared" si="2"/>
        <v/>
      </c>
      <c r="Q4211" s="25" t="str">
        <f ca="1">IFERROR(__xludf.DUMMYFUNCTION("""COMPUTED_VALUE"""),"Corto plazo")</f>
        <v>Corto plazo</v>
      </c>
      <c r="R4211" s="25"/>
      <c r="S4211" s="55"/>
      <c r="T4211" s="56"/>
      <c r="U4211" s="25"/>
      <c r="V4211" s="25"/>
      <c r="W4211" s="25"/>
      <c r="X4211" s="25"/>
      <c r="Y4211" s="25"/>
      <c r="Z4211" s="25"/>
    </row>
    <row r="4212" spans="1:26" ht="52.5" customHeight="1" x14ac:dyDescent="0.25">
      <c r="A4212" s="25" t="str">
        <f ca="1">IFERROR(__xludf.DUMMYFUNCTION("""COMPUTED_VALUE"""),"Movil10")</f>
        <v>Movil10</v>
      </c>
      <c r="B4212" s="25" t="str">
        <f ca="1">IFERROR(__xludf.DUMMYFUNCTION("""COMPUTED_VALUE"""),"Revisión estudios Steer")</f>
        <v>Revisión estudios Steer</v>
      </c>
      <c r="C4212" s="55">
        <f ca="1">IFERROR(__xludf.DUMMYFUNCTION("""COMPUTED_VALUE"""),44624)</f>
        <v>44624</v>
      </c>
      <c r="D4212" s="25" t="str">
        <f ca="1">IFERROR(__xludf.DUMMYFUNCTION("""COMPUTED_VALUE"""),"Movilidad")</f>
        <v>Movilidad</v>
      </c>
      <c r="E4212" s="25" t="str">
        <f ca="1">IFERROR(__xludf.DUMMYFUNCTION("""COMPUTED_VALUE"""),"Instituto de Desarrollo Urbano")</f>
        <v>Instituto de Desarrollo Urbano</v>
      </c>
      <c r="F4212" s="25" t="str">
        <f ca="1">IFERROR(__xludf.DUMMYFUNCTION("""COMPUTED_VALUE"""),"Solicitar Tráfico Promedio Anual (TPD) de todos los peajes de la región (ANI, ICCU) de todo el año 2021 a través de Juan Alberto.")</f>
        <v>Solicitar Tráfico Promedio Anual (TPD) de todos los peajes de la región (ANI, ICCU) de todo el año 2021 a través de Juan Alberto.</v>
      </c>
      <c r="G4212" s="25" t="str">
        <f ca="1">IFERROR(__xludf.DUMMYFUNCTION("""COMPUTED_VALUE"""),"99. Distrito")</f>
        <v>99. Distrito</v>
      </c>
      <c r="H4212" s="55">
        <f ca="1">IFERROR(__xludf.DUMMYFUNCTION("""COMPUTED_VALUE"""),44654)</f>
        <v>44654</v>
      </c>
      <c r="I4212" s="25"/>
      <c r="J4212" s="55" t="str">
        <f ca="1">IFERROR(__xludf.DUMMYFUNCTION("""COMPUTED_VALUE"""),"Alta")</f>
        <v>Alta</v>
      </c>
      <c r="K4212" s="25">
        <f ca="1">IFERROR(__xludf.DUMMYFUNCTION("""COMPUTED_VALUE"""),30)</f>
        <v>30</v>
      </c>
      <c r="L4212" s="62">
        <f ca="1">IFERROR(__xludf.DUMMYFUNCTION("""COMPUTED_VALUE"""),44657)</f>
        <v>44657</v>
      </c>
      <c r="M4212" s="25" t="str">
        <f ca="1">IFERROR(__xludf.DUMMYFUNCTION("""COMPUTED_VALUE"""),"Se solicitó información a ICCU y ANI. Fue entregada en el mes de marzo de 2022.")</f>
        <v>Se solicitó información a ICCU y ANI. Fue entregada en el mes de marzo de 2022.</v>
      </c>
      <c r="N4212" s="55">
        <f ca="1">IFERROR(__xludf.DUMMYFUNCTION("""COMPUTED_VALUE"""),44657)</f>
        <v>44657</v>
      </c>
      <c r="O4212" s="25" t="str">
        <f t="shared" ca="1" si="0"/>
        <v>Instituto de Desarrollo Urbano</v>
      </c>
      <c r="P4212" s="25" t="str">
        <f t="shared" si="2"/>
        <v/>
      </c>
      <c r="Q4212" s="25" t="str">
        <f ca="1">IFERROR(__xludf.DUMMYFUNCTION("""COMPUTED_VALUE"""),"Corto plazo")</f>
        <v>Corto plazo</v>
      </c>
      <c r="R4212" s="25"/>
      <c r="S4212" s="55"/>
      <c r="T4212" s="56"/>
      <c r="U4212" s="25"/>
      <c r="V4212" s="25"/>
      <c r="W4212" s="25"/>
      <c r="X4212" s="25"/>
      <c r="Y4212" s="25"/>
      <c r="Z4212" s="25"/>
    </row>
    <row r="4213" spans="1:26" ht="52.5" customHeight="1" x14ac:dyDescent="0.25">
      <c r="A4213" s="25" t="str">
        <f ca="1">IFERROR(__xludf.DUMMYFUNCTION("""COMPUTED_VALUE"""),"Movil11")</f>
        <v>Movil11</v>
      </c>
      <c r="B4213" s="25" t="str">
        <f ca="1">IFERROR(__xludf.DUMMYFUNCTION("""COMPUTED_VALUE"""),"Revisión estudios Steer")</f>
        <v>Revisión estudios Steer</v>
      </c>
      <c r="C4213" s="55">
        <f ca="1">IFERROR(__xludf.DUMMYFUNCTION("""COMPUTED_VALUE"""),44624)</f>
        <v>44624</v>
      </c>
      <c r="D4213" s="25" t="str">
        <f ca="1">IFERROR(__xludf.DUMMYFUNCTION("""COMPUTED_VALUE"""),"Movilidad")</f>
        <v>Movilidad</v>
      </c>
      <c r="E4213" s="25" t="str">
        <f ca="1">IFERROR(__xludf.DUMMYFUNCTION("""COMPUTED_VALUE"""),"Instituto de Desarrollo Urbano")</f>
        <v>Instituto de Desarrollo Urbano</v>
      </c>
      <c r="F4213" s="25" t="str">
        <f ca="1">IFERROR(__xludf.DUMMYFUNCTION("""COMPUTED_VALUE"""),"Incorporar la información por corredor (todos los peajes) los datos de 2019, 2020 y 2021, discriminando por tipo de vehículo.")</f>
        <v>Incorporar la información por corredor (todos los peajes) los datos de 2019, 2020 y 2021, discriminando por tipo de vehículo.</v>
      </c>
      <c r="G4213" s="25" t="str">
        <f ca="1">IFERROR(__xludf.DUMMYFUNCTION("""COMPUTED_VALUE"""),"99. Distrito")</f>
        <v>99. Distrito</v>
      </c>
      <c r="H4213" s="55">
        <f ca="1">IFERROR(__xludf.DUMMYFUNCTION("""COMPUTED_VALUE"""),44654)</f>
        <v>44654</v>
      </c>
      <c r="I4213" s="25"/>
      <c r="J4213" s="55" t="str">
        <f ca="1">IFERROR(__xludf.DUMMYFUNCTION("""COMPUTED_VALUE"""),"Alta")</f>
        <v>Alta</v>
      </c>
      <c r="K4213" s="25">
        <f ca="1">IFERROR(__xludf.DUMMYFUNCTION("""COMPUTED_VALUE"""),30)</f>
        <v>30</v>
      </c>
      <c r="L4213" s="62">
        <f ca="1">IFERROR(__xludf.DUMMYFUNCTION("""COMPUTED_VALUE"""),44657)</f>
        <v>44657</v>
      </c>
      <c r="M4213" s="25" t="str">
        <f ca="1">IFERROR(__xludf.DUMMYFUNCTION("""COMPUTED_VALUE"""),"Fue incorporado en los escenarios de modelación")</f>
        <v>Fue incorporado en los escenarios de modelación</v>
      </c>
      <c r="N4213" s="55">
        <f ca="1">IFERROR(__xludf.DUMMYFUNCTION("""COMPUTED_VALUE"""),44657)</f>
        <v>44657</v>
      </c>
      <c r="O4213" s="25" t="str">
        <f t="shared" ca="1" si="0"/>
        <v>Instituto de Desarrollo Urbano</v>
      </c>
      <c r="P4213" s="25" t="str">
        <f t="shared" si="2"/>
        <v/>
      </c>
      <c r="Q4213" s="25" t="str">
        <f ca="1">IFERROR(__xludf.DUMMYFUNCTION("""COMPUTED_VALUE"""),"Corto plazo")</f>
        <v>Corto plazo</v>
      </c>
      <c r="R4213" s="25"/>
      <c r="S4213" s="55"/>
      <c r="T4213" s="56"/>
      <c r="U4213" s="25"/>
      <c r="V4213" s="25"/>
      <c r="W4213" s="25"/>
      <c r="X4213" s="25"/>
      <c r="Y4213" s="25"/>
      <c r="Z4213" s="25"/>
    </row>
    <row r="4214" spans="1:26" ht="52.5" customHeight="1" x14ac:dyDescent="0.25">
      <c r="A4214" s="25" t="str">
        <f ca="1">IFERROR(__xludf.DUMMYFUNCTION("""COMPUTED_VALUE"""),"Movil12")</f>
        <v>Movil12</v>
      </c>
      <c r="B4214" s="25" t="str">
        <f ca="1">IFERROR(__xludf.DUMMYFUNCTION("""COMPUTED_VALUE"""),"Revisión estudios Steer")</f>
        <v>Revisión estudios Steer</v>
      </c>
      <c r="C4214" s="55">
        <f ca="1">IFERROR(__xludf.DUMMYFUNCTION("""COMPUTED_VALUE"""),44624)</f>
        <v>44624</v>
      </c>
      <c r="D4214" s="25" t="str">
        <f ca="1">IFERROR(__xludf.DUMMYFUNCTION("""COMPUTED_VALUE"""),"Movilidad")</f>
        <v>Movilidad</v>
      </c>
      <c r="E4214" s="25" t="str">
        <f ca="1">IFERROR(__xludf.DUMMYFUNCTION("""COMPUTED_VALUE"""),"Instituto de Desarrollo Urbano")</f>
        <v>Instituto de Desarrollo Urbano</v>
      </c>
      <c r="F4214" s="25" t="str">
        <f ca="1">IFERROR(__xludf.DUMMYFUNCTION("""COMPUTED_VALUE"""),"Modelar calle 80, suba - cota, borde norte y auto norte en el modelo de transporte, para efectos de tráfico y recaudo (como proyectos a evaluar).")</f>
        <v>Modelar calle 80, suba - cota, borde norte y auto norte en el modelo de transporte, para efectos de tráfico y recaudo (como proyectos a evaluar).</v>
      </c>
      <c r="G4214" s="25" t="str">
        <f ca="1">IFERROR(__xludf.DUMMYFUNCTION("""COMPUTED_VALUE"""),"99. Distrito")</f>
        <v>99. Distrito</v>
      </c>
      <c r="H4214" s="55">
        <f ca="1">IFERROR(__xludf.DUMMYFUNCTION("""COMPUTED_VALUE"""),44654)</f>
        <v>44654</v>
      </c>
      <c r="I4214" s="25"/>
      <c r="J4214" s="55" t="str">
        <f ca="1">IFERROR(__xludf.DUMMYFUNCTION("""COMPUTED_VALUE"""),"Alta")</f>
        <v>Alta</v>
      </c>
      <c r="K4214" s="25">
        <f ca="1">IFERROR(__xludf.DUMMYFUNCTION("""COMPUTED_VALUE"""),30)</f>
        <v>30</v>
      </c>
      <c r="L4214" s="62">
        <f ca="1">IFERROR(__xludf.DUMMYFUNCTION("""COMPUTED_VALUE"""),44657)</f>
        <v>44657</v>
      </c>
      <c r="M4214" s="25" t="str">
        <f ca="1">IFERROR(__xludf.DUMMYFUNCTION("""COMPUTED_VALUE"""),"Se incluyeron los proyectos indicados como infraestructura adicional. No se hace reporte de tráfico, por estar fuera del alcance. El reporte es para Calle 13, ALO Centro y Calle 63.")</f>
        <v>Se incluyeron los proyectos indicados como infraestructura adicional. No se hace reporte de tráfico, por estar fuera del alcance. El reporte es para Calle 13, ALO Centro y Calle 63.</v>
      </c>
      <c r="N4214" s="55">
        <f ca="1">IFERROR(__xludf.DUMMYFUNCTION("""COMPUTED_VALUE"""),44657)</f>
        <v>44657</v>
      </c>
      <c r="O4214" s="25" t="str">
        <f t="shared" ca="1" si="0"/>
        <v>Instituto de Desarrollo Urbano</v>
      </c>
      <c r="P4214" s="25" t="str">
        <f t="shared" si="2"/>
        <v/>
      </c>
      <c r="Q4214" s="25" t="str">
        <f ca="1">IFERROR(__xludf.DUMMYFUNCTION("""COMPUTED_VALUE"""),"Corto plazo")</f>
        <v>Corto plazo</v>
      </c>
      <c r="R4214" s="25"/>
      <c r="S4214" s="55"/>
      <c r="T4214" s="56"/>
      <c r="U4214" s="25"/>
      <c r="V4214" s="25"/>
      <c r="W4214" s="25"/>
      <c r="X4214" s="25"/>
      <c r="Y4214" s="25"/>
      <c r="Z4214" s="25"/>
    </row>
    <row r="4215" spans="1:26" ht="52.5" customHeight="1" x14ac:dyDescent="0.25">
      <c r="A4215" s="25" t="str">
        <f ca="1">IFERROR(__xludf.DUMMYFUNCTION("""COMPUTED_VALUE"""),"Movil13")</f>
        <v>Movil13</v>
      </c>
      <c r="B4215" s="25" t="str">
        <f ca="1">IFERROR(__xludf.DUMMYFUNCTION("""COMPUTED_VALUE"""),"Revisión estudios Steer")</f>
        <v>Revisión estudios Steer</v>
      </c>
      <c r="C4215" s="55">
        <f ca="1">IFERROR(__xludf.DUMMYFUNCTION("""COMPUTED_VALUE"""),44624)</f>
        <v>44624</v>
      </c>
      <c r="D4215" s="25" t="str">
        <f ca="1">IFERROR(__xludf.DUMMYFUNCTION("""COMPUTED_VALUE"""),"Movilidad")</f>
        <v>Movilidad</v>
      </c>
      <c r="E4215" s="25" t="str">
        <f ca="1">IFERROR(__xludf.DUMMYFUNCTION("""COMPUTED_VALUE"""),"Secretaría Distrital de Movilidad")</f>
        <v>Secretaría Distrital de Movilidad</v>
      </c>
      <c r="F4215" s="25" t="str">
        <f ca="1">IFERROR(__xludf.DUMMYFUNCTION("""COMPUTED_VALUE"""),"Revisar que los proyectos viales (Oferta) que se incluyen en el modelo en los diferentes horizontes estén acordes con el POT y CONPES.")</f>
        <v>Revisar que los proyectos viales (Oferta) que se incluyen en el modelo en los diferentes horizontes estén acordes con el POT y CONPES.</v>
      </c>
      <c r="G4215" s="25" t="str">
        <f ca="1">IFERROR(__xludf.DUMMYFUNCTION("""COMPUTED_VALUE"""),"99. Distrito")</f>
        <v>99. Distrito</v>
      </c>
      <c r="H4215" s="55">
        <f ca="1">IFERROR(__xludf.DUMMYFUNCTION("""COMPUTED_VALUE"""),44654)</f>
        <v>44654</v>
      </c>
      <c r="I4215" s="25"/>
      <c r="J4215" s="55" t="str">
        <f ca="1">IFERROR(__xludf.DUMMYFUNCTION("""COMPUTED_VALUE"""),"Alta")</f>
        <v>Alta</v>
      </c>
      <c r="K4215" s="25">
        <f ca="1">IFERROR(__xludf.DUMMYFUNCTION("""COMPUTED_VALUE"""),30)</f>
        <v>30</v>
      </c>
      <c r="L4215" s="62">
        <f ca="1">IFERROR(__xludf.DUMMYFUNCTION("""COMPUTED_VALUE"""),44748)</f>
        <v>44748</v>
      </c>
      <c r="M4215" s="25" t="str">
        <f ca="1">IFERROR(__xludf.DUMMYFUNCTION("""COMPUTED_VALUE"""),"Se realiza la revisión de los proyectos en el marco del POT y CONPES. Ya se encuentra aprobado el producto 5 de la consultoría en la que se definió el escenario base y la determinación de los escenarios futuros. ")</f>
        <v xml:space="preserve">Se realiza la revisión de los proyectos en el marco del POT y CONPES. Ya se encuentra aprobado el producto 5 de la consultoría en la que se definió el escenario base y la determinación de los escenarios futuros. </v>
      </c>
      <c r="N4215" s="55">
        <f ca="1">IFERROR(__xludf.DUMMYFUNCTION("""COMPUTED_VALUE"""),44748)</f>
        <v>44748</v>
      </c>
      <c r="O4215" s="25" t="str">
        <f t="shared" ca="1" si="0"/>
        <v>Secretaría Distrital de Movilidad</v>
      </c>
      <c r="P4215" s="25" t="str">
        <f t="shared" si="2"/>
        <v/>
      </c>
      <c r="Q4215" s="25" t="str">
        <f ca="1">IFERROR(__xludf.DUMMYFUNCTION("""COMPUTED_VALUE"""),"Corto plazo")</f>
        <v>Corto plazo</v>
      </c>
      <c r="R4215" s="25"/>
      <c r="S4215" s="55"/>
      <c r="T4215" s="56"/>
      <c r="U4215" s="25"/>
      <c r="V4215" s="25"/>
      <c r="W4215" s="25"/>
      <c r="X4215" s="25"/>
      <c r="Y4215" s="25"/>
      <c r="Z4215" s="25"/>
    </row>
    <row r="4216" spans="1:26" ht="52.5" customHeight="1" x14ac:dyDescent="0.25">
      <c r="A4216" s="25" t="str">
        <f ca="1">IFERROR(__xludf.DUMMYFUNCTION("""COMPUTED_VALUE"""),"Movil14")</f>
        <v>Movil14</v>
      </c>
      <c r="B4216" s="25" t="str">
        <f ca="1">IFERROR(__xludf.DUMMYFUNCTION("""COMPUTED_VALUE"""),"Revisión estudios Steer")</f>
        <v>Revisión estudios Steer</v>
      </c>
      <c r="C4216" s="55">
        <f ca="1">IFERROR(__xludf.DUMMYFUNCTION("""COMPUTED_VALUE"""),44624)</f>
        <v>44624</v>
      </c>
      <c r="D4216" s="25" t="str">
        <f ca="1">IFERROR(__xludf.DUMMYFUNCTION("""COMPUTED_VALUE"""),"Movilidad")</f>
        <v>Movilidad</v>
      </c>
      <c r="E4216" s="25" t="str">
        <f ca="1">IFERROR(__xludf.DUMMYFUNCTION("""COMPUTED_VALUE"""),"Instituto de Desarrollo Urbano")</f>
        <v>Instituto de Desarrollo Urbano</v>
      </c>
      <c r="F4216" s="25" t="str">
        <f ca="1">IFERROR(__xludf.DUMMYFUNCTION("""COMPUTED_VALUE"""),"Confirmar con AIN y con ICCU, si la vía por APP cuyo originador es ODINSA, continúa o no y sus características.")</f>
        <v>Confirmar con AIN y con ICCU, si la vía por APP cuyo originador es ODINSA, continúa o no y sus características.</v>
      </c>
      <c r="G4216" s="25" t="str">
        <f ca="1">IFERROR(__xludf.DUMMYFUNCTION("""COMPUTED_VALUE"""),"99. Distrito")</f>
        <v>99. Distrito</v>
      </c>
      <c r="H4216" s="55">
        <f ca="1">IFERROR(__xludf.DUMMYFUNCTION("""COMPUTED_VALUE"""),44654)</f>
        <v>44654</v>
      </c>
      <c r="I4216" s="25"/>
      <c r="J4216" s="55" t="str">
        <f ca="1">IFERROR(__xludf.DUMMYFUNCTION("""COMPUTED_VALUE"""),"Alta")</f>
        <v>Alta</v>
      </c>
      <c r="K4216" s="25">
        <f ca="1">IFERROR(__xludf.DUMMYFUNCTION("""COMPUTED_VALUE"""),30)</f>
        <v>30</v>
      </c>
      <c r="L4216" s="62">
        <f ca="1">IFERROR(__xludf.DUMMYFUNCTION("""COMPUTED_VALUE"""),44819)</f>
        <v>44819</v>
      </c>
      <c r="M4216" s="25" t="str">
        <f ca="1">IFERROR(__xludf.DUMMYFUNCTION("""COMPUTED_VALUE"""),"1. Se remitieron los diseños de la ALO Centro a Proindesa (Corficolombiana) y hemos sostenido varias reuniones con ellos para aclarar las dudas que han tenido, sin embargo, no han cumplido con la presentación de la IP a la ANI.
 2. Para el proyecto de la "&amp;"Calle 63, Extensión de TM al Aeropuerto y Ramal Regiotram de Occidente al Aeropuerto, se remitió la prefactibilidad de la 63 y TM al Aeropuerto a la ANI para que ellos como entidad concedente del Aeropuerto, entregará al originador. OPAIN confirmó que aco"&amp;"rdó con la ANI que la prefactibilidad va a ser aceptada por la ANI y el alcance de los proyectos será ajustada en etapa de factibilidad
Se han realizado varias reuniones con Proindesa y aún se encuentran revisando información para presentar su propuesta. "&amp;"De acuerdo con la reunión con la alcaldía y a la ANI (14-09-2022), aún se está trabajando en el mecanismo para cada uno de estos proyectos. Se presentaron los cronogramas en los dos casos (Obra pública y APP). En espera de realizar el Comité del borde occ"&amp;"idental junto a ANI e ICCU para definir el tema.
")</f>
        <v xml:space="preserve">1. Se remitieron los diseños de la ALO Centro a Proindesa (Corficolombiana) y hemos sostenido varias reuniones con ellos para aclarar las dudas que han tenido, sin embargo, no han cumplido con la presentación de la IP a la ANI.
 2. Para el proyecto de la Calle 63, Extensión de TM al Aeropuerto y Ramal Regiotram de Occidente al Aeropuerto, se remitió la prefactibilidad de la 63 y TM al Aeropuerto a la ANI para que ellos como entidad concedente del Aeropuerto, entregará al originador. OPAIN confirmó que acordó con la ANI que la prefactibilidad va a ser aceptada por la ANI y el alcance de los proyectos será ajustada en etapa de factibilidad
Se han realizado varias reuniones con Proindesa y aún se encuentran revisando información para presentar su propuesta. De acuerdo con la reunión con la alcaldía y a la ANI (14-09-2022), aún se está trabajando en el mecanismo para cada uno de estos proyectos. Se presentaron los cronogramas en los dos casos (Obra pública y APP). En espera de realizar el Comité del borde occidental junto a ANI e ICCU para definir el tema.
</v>
      </c>
      <c r="N4216" s="55">
        <f ca="1">IFERROR(__xludf.DUMMYFUNCTION("""COMPUTED_VALUE"""),44819)</f>
        <v>44819</v>
      </c>
      <c r="O4216" s="25" t="str">
        <f t="shared" ca="1" si="0"/>
        <v>Instituto de Desarrollo Urbano</v>
      </c>
      <c r="P4216" s="25" t="str">
        <f t="shared" si="2"/>
        <v/>
      </c>
      <c r="Q4216" s="25" t="str">
        <f ca="1">IFERROR(__xludf.DUMMYFUNCTION("""COMPUTED_VALUE"""),"Corto plazo")</f>
        <v>Corto plazo</v>
      </c>
      <c r="R4216" s="25"/>
      <c r="S4216" s="55"/>
      <c r="T4216" s="56"/>
      <c r="U4216" s="25"/>
      <c r="V4216" s="25"/>
      <c r="W4216" s="25"/>
      <c r="X4216" s="25"/>
      <c r="Y4216" s="25"/>
      <c r="Z4216" s="25"/>
    </row>
    <row r="4217" spans="1:26" ht="52.5" customHeight="1" x14ac:dyDescent="0.25">
      <c r="A4217" s="25" t="str">
        <f ca="1">IFERROR(__xludf.DUMMYFUNCTION("""COMPUTED_VALUE"""),"Movil15")</f>
        <v>Movil15</v>
      </c>
      <c r="B4217" s="25" t="str">
        <f ca="1">IFERROR(__xludf.DUMMYFUNCTION("""COMPUTED_VALUE"""),"Revisión estudios Steer")</f>
        <v>Revisión estudios Steer</v>
      </c>
      <c r="C4217" s="55">
        <f ca="1">IFERROR(__xludf.DUMMYFUNCTION("""COMPUTED_VALUE"""),44624)</f>
        <v>44624</v>
      </c>
      <c r="D4217" s="25" t="str">
        <f ca="1">IFERROR(__xludf.DUMMYFUNCTION("""COMPUTED_VALUE"""),"Movilidad")</f>
        <v>Movilidad</v>
      </c>
      <c r="E4217" s="25" t="str">
        <f ca="1">IFERROR(__xludf.DUMMYFUNCTION("""COMPUTED_VALUE"""),"Instituto de Desarrollo Urbano")</f>
        <v>Instituto de Desarrollo Urbano</v>
      </c>
      <c r="F4217" s="25" t="str">
        <f ca="1">IFERROR(__xludf.DUMMYFUNCTION("""COMPUTED_VALUE"""),"Confirmar con el consultor las intersecciones a incluir en la ALO (si son las que están incluidas en el corredor diseñado)")</f>
        <v>Confirmar con el consultor las intersecciones a incluir en la ALO (si son las que están incluidas en el corredor diseñado)</v>
      </c>
      <c r="G4217" s="25" t="str">
        <f ca="1">IFERROR(__xludf.DUMMYFUNCTION("""COMPUTED_VALUE"""),"99. Distrito")</f>
        <v>99. Distrito</v>
      </c>
      <c r="H4217" s="55">
        <f ca="1">IFERROR(__xludf.DUMMYFUNCTION("""COMPUTED_VALUE"""),44654)</f>
        <v>44654</v>
      </c>
      <c r="I4217" s="25"/>
      <c r="J4217" s="55" t="str">
        <f ca="1">IFERROR(__xludf.DUMMYFUNCTION("""COMPUTED_VALUE"""),"Alta")</f>
        <v>Alta</v>
      </c>
      <c r="K4217" s="25">
        <f ca="1">IFERROR(__xludf.DUMMYFUNCTION("""COMPUTED_VALUE"""),30)</f>
        <v>30</v>
      </c>
      <c r="L4217" s="62">
        <f ca="1">IFERROR(__xludf.DUMMYFUNCTION("""COMPUTED_VALUE"""),44657)</f>
        <v>44657</v>
      </c>
      <c r="M4217" s="25" t="str">
        <f ca="1">IFERROR(__xludf.DUMMYFUNCTION("""COMPUTED_VALUE"""),"El IDU confirma las intersecciones para el proyecto ALO Centro. Se incorpora en el modelo de transporte")</f>
        <v>El IDU confirma las intersecciones para el proyecto ALO Centro. Se incorpora en el modelo de transporte</v>
      </c>
      <c r="N4217" s="55">
        <f ca="1">IFERROR(__xludf.DUMMYFUNCTION("""COMPUTED_VALUE"""),44657)</f>
        <v>44657</v>
      </c>
      <c r="O4217" s="25" t="str">
        <f t="shared" ca="1" si="0"/>
        <v>Instituto de Desarrollo Urbano</v>
      </c>
      <c r="P4217" s="25" t="str">
        <f t="shared" si="2"/>
        <v/>
      </c>
      <c r="Q4217" s="25" t="str">
        <f ca="1">IFERROR(__xludf.DUMMYFUNCTION("""COMPUTED_VALUE"""),"Corto plazo")</f>
        <v>Corto plazo</v>
      </c>
      <c r="R4217" s="25"/>
      <c r="S4217" s="55"/>
      <c r="T4217" s="56"/>
      <c r="U4217" s="25"/>
      <c r="V4217" s="25"/>
      <c r="W4217" s="25"/>
      <c r="X4217" s="25"/>
      <c r="Y4217" s="25"/>
      <c r="Z4217" s="25"/>
    </row>
    <row r="4218" spans="1:26" ht="52.5" customHeight="1" x14ac:dyDescent="0.25">
      <c r="A4218" s="25" t="str">
        <f ca="1">IFERROR(__xludf.DUMMYFUNCTION("""COMPUTED_VALUE"""),"Movil16")</f>
        <v>Movil16</v>
      </c>
      <c r="B4218" s="25" t="str">
        <f ca="1">IFERROR(__xludf.DUMMYFUNCTION("""COMPUTED_VALUE"""),"Revisión estudios Steer")</f>
        <v>Revisión estudios Steer</v>
      </c>
      <c r="C4218" s="55">
        <f ca="1">IFERROR(__xludf.DUMMYFUNCTION("""COMPUTED_VALUE"""),44624)</f>
        <v>44624</v>
      </c>
      <c r="D4218" s="25" t="str">
        <f ca="1">IFERROR(__xludf.DUMMYFUNCTION("""COMPUTED_VALUE"""),"Movilidad")</f>
        <v>Movilidad</v>
      </c>
      <c r="E4218" s="25" t="str">
        <f ca="1">IFERROR(__xludf.DUMMYFUNCTION("""COMPUTED_VALUE"""),"Instituto de Desarrollo Urbano")</f>
        <v>Instituto de Desarrollo Urbano</v>
      </c>
      <c r="F4218" s="25" t="str">
        <f ca="1">IFERROR(__xludf.DUMMYFUNCTION("""COMPUTED_VALUE"""),"Avanzar con modelaciones con 2 o 3 escenarios base de peajes, previo al trabajo de la estructuración financiera.")</f>
        <v>Avanzar con modelaciones con 2 o 3 escenarios base de peajes, previo al trabajo de la estructuración financiera.</v>
      </c>
      <c r="G4218" s="25" t="str">
        <f ca="1">IFERROR(__xludf.DUMMYFUNCTION("""COMPUTED_VALUE"""),"99. Distrito")</f>
        <v>99. Distrito</v>
      </c>
      <c r="H4218" s="55">
        <f ca="1">IFERROR(__xludf.DUMMYFUNCTION("""COMPUTED_VALUE"""),44654)</f>
        <v>44654</v>
      </c>
      <c r="I4218" s="25"/>
      <c r="J4218" s="55" t="str">
        <f ca="1">IFERROR(__xludf.DUMMYFUNCTION("""COMPUTED_VALUE"""),"Alta")</f>
        <v>Alta</v>
      </c>
      <c r="K4218" s="25">
        <f ca="1">IFERROR(__xludf.DUMMYFUNCTION("""COMPUTED_VALUE"""),30)</f>
        <v>30</v>
      </c>
      <c r="L4218" s="62">
        <f ca="1">IFERROR(__xludf.DUMMYFUNCTION("""COMPUTED_VALUE"""),44657)</f>
        <v>44657</v>
      </c>
      <c r="M4218" s="64" t="str">
        <f ca="1">IFERROR(__xludf.DUMMYFUNCTION("""COMPUTED_VALUE"""),"Se incorporaron 5 escenarios adicionales solicitados por la Alcaldesa. Los resultados se presentaron en Reunión el pasado 1 de abril de 2022. Debe ajustarse los 20 escenarios de modelación por confirmación de capacidad de los proyectos ALO Sur y ALO Centr"&amp;"o")</f>
        <v>Se incorporaron 5 escenarios adicionales solicitados por la Alcaldesa. Los resultados se presentaron en Reunión el pasado 1 de abril de 2022. Debe ajustarse los 20 escenarios de modelación por confirmación de capacidad de los proyectos ALO Sur y ALO Centro</v>
      </c>
      <c r="N4218" s="55">
        <f ca="1">IFERROR(__xludf.DUMMYFUNCTION("""COMPUTED_VALUE"""),44657)</f>
        <v>44657</v>
      </c>
      <c r="O4218" s="25" t="str">
        <f t="shared" ca="1" si="0"/>
        <v>Instituto de Desarrollo Urbano</v>
      </c>
      <c r="P4218" s="25" t="str">
        <f t="shared" si="2"/>
        <v/>
      </c>
      <c r="Q4218" s="25" t="str">
        <f ca="1">IFERROR(__xludf.DUMMYFUNCTION("""COMPUTED_VALUE"""),"Corto plazo")</f>
        <v>Corto plazo</v>
      </c>
      <c r="R4218" s="25"/>
      <c r="S4218" s="55"/>
      <c r="T4218" s="56"/>
      <c r="U4218" s="25"/>
      <c r="V4218" s="25"/>
      <c r="W4218" s="25"/>
      <c r="X4218" s="25"/>
      <c r="Y4218" s="25"/>
      <c r="Z4218" s="25"/>
    </row>
    <row r="4219" spans="1:26" ht="52.5" customHeight="1" x14ac:dyDescent="0.25">
      <c r="A4219" s="25" t="str">
        <f ca="1">IFERROR(__xludf.DUMMYFUNCTION("""COMPUTED_VALUE"""),"Movil17")</f>
        <v>Movil17</v>
      </c>
      <c r="B4219" s="25" t="str">
        <f ca="1">IFERROR(__xludf.DUMMYFUNCTION("""COMPUTED_VALUE"""),"Revisión estudios Steer")</f>
        <v>Revisión estudios Steer</v>
      </c>
      <c r="C4219" s="55">
        <f ca="1">IFERROR(__xludf.DUMMYFUNCTION("""COMPUTED_VALUE"""),44624)</f>
        <v>44624</v>
      </c>
      <c r="D4219" s="25" t="str">
        <f ca="1">IFERROR(__xludf.DUMMYFUNCTION("""COMPUTED_VALUE"""),"Movilidad")</f>
        <v>Movilidad</v>
      </c>
      <c r="E4219" s="25" t="str">
        <f ca="1">IFERROR(__xludf.DUMMYFUNCTION("""COMPUTED_VALUE"""),"Secretaría Distrital de Movilidad")</f>
        <v>Secretaría Distrital de Movilidad</v>
      </c>
      <c r="F4219" s="25" t="str">
        <f ca="1">IFERROR(__xludf.DUMMYFUNCTION("""COMPUTED_VALUE"""),"SDM, como Agencia Regional de Movilidad, debe avanzar para dejar contratado Borde Occidental, Peaje del norte y las rutas del SITP en Mosquera y Cota que solicitan los municipios")</f>
        <v>SDM, como Agencia Regional de Movilidad, debe avanzar para dejar contratado Borde Occidental, Peaje del norte y las rutas del SITP en Mosquera y Cota que solicitan los municipios</v>
      </c>
      <c r="G4219" s="25" t="str">
        <f ca="1">IFERROR(__xludf.DUMMYFUNCTION("""COMPUTED_VALUE"""),"99. Distrito")</f>
        <v>99. Distrito</v>
      </c>
      <c r="H4219" s="55">
        <f ca="1">IFERROR(__xludf.DUMMYFUNCTION("""COMPUTED_VALUE"""),44654)</f>
        <v>44654</v>
      </c>
      <c r="I4219" s="25"/>
      <c r="J4219" s="55" t="str">
        <f ca="1">IFERROR(__xludf.DUMMYFUNCTION("""COMPUTED_VALUE"""),"Alta")</f>
        <v>Alta</v>
      </c>
      <c r="K4219" s="25">
        <f ca="1">IFERROR(__xludf.DUMMYFUNCTION("""COMPUTED_VALUE"""),30)</f>
        <v>30</v>
      </c>
      <c r="L4219" s="62">
        <f ca="1">IFERROR(__xludf.DUMMYFUNCTION("""COMPUTED_VALUE"""),44825)</f>
        <v>44825</v>
      </c>
      <c r="M4219" s="25" t="str">
        <f ca="1">IFERROR(__xludf.DUMMYFUNCTION("""COMPUTED_VALUE"""),"La SDM avanzó en la identificación de los requerimientos técnicos y jurídicos para alcanzar los objetivos con miras a que estos proyectos de escala regional estén con solución contratada o en implementación para Diciembre de 2023 en articulación con las e"&amp;"ntidades del sector (ej. IDU), lo que implica un análisis detallado sobre opciones para que la ARM pueda avanzar con la ejecución de estos grandes proyectos (e.g. institucionalidad, fuentes de financiación, estudios de preinversión, alternativas para cont"&amp;"ratación o ejecución, o capacidades de evaluación o adjudicación).  Se incluye la revisión las rutas de Mosquera Cota. ")</f>
        <v xml:space="preserve">La SDM avanzó en la identificación de los requerimientos técnicos y jurídicos para alcanzar los objetivos con miras a que estos proyectos de escala regional estén con solución contratada o en implementación para Diciembre de 2023 en articulación con las entidades del sector (ej. IDU), lo que implica un análisis detallado sobre opciones para que la ARM pueda avanzar con la ejecución de estos grandes proyectos (e.g. institucionalidad, fuentes de financiación, estudios de preinversión, alternativas para contratación o ejecución, o capacidades de evaluación o adjudicación).  Se incluye la revisión las rutas de Mosquera Cota. </v>
      </c>
      <c r="N4219" s="55">
        <f ca="1">IFERROR(__xludf.DUMMYFUNCTION("""COMPUTED_VALUE"""),44825)</f>
        <v>44825</v>
      </c>
      <c r="O4219" s="25" t="str">
        <f t="shared" ca="1" si="0"/>
        <v>Secretaría Distrital de Movilidad</v>
      </c>
      <c r="P4219" s="25" t="str">
        <f t="shared" si="2"/>
        <v/>
      </c>
      <c r="Q4219" s="25" t="str">
        <f ca="1">IFERROR(__xludf.DUMMYFUNCTION("""COMPUTED_VALUE"""),"Corto plazo")</f>
        <v>Corto plazo</v>
      </c>
      <c r="R4219" s="25"/>
      <c r="S4219" s="55"/>
      <c r="T4219" s="56"/>
      <c r="U4219" s="25"/>
      <c r="V4219" s="25"/>
      <c r="W4219" s="25"/>
      <c r="X4219" s="25"/>
      <c r="Y4219" s="25"/>
      <c r="Z4219" s="25"/>
    </row>
    <row r="4220" spans="1:26" ht="52.5" customHeight="1" x14ac:dyDescent="0.25">
      <c r="A4220" s="25" t="str">
        <f ca="1">IFERROR(__xludf.DUMMYFUNCTION("""COMPUTED_VALUE"""),"Movil18")</f>
        <v>Movil18</v>
      </c>
      <c r="B4220" s="25" t="str">
        <f ca="1">IFERROR(__xludf.DUMMYFUNCTION("""COMPUTED_VALUE"""),"Revisión plan de mantenimiento")</f>
        <v>Revisión plan de mantenimiento</v>
      </c>
      <c r="C4220" s="55">
        <f ca="1">IFERROR(__xludf.DUMMYFUNCTION("""COMPUTED_VALUE"""),44620)</f>
        <v>44620</v>
      </c>
      <c r="D4220" s="25" t="str">
        <f ca="1">IFERROR(__xludf.DUMMYFUNCTION("""COMPUTED_VALUE"""),"Movilidad")</f>
        <v>Movilidad</v>
      </c>
      <c r="E4220" s="25" t="str">
        <f ca="1">IFERROR(__xludf.DUMMYFUNCTION("""COMPUTED_VALUE"""),"Secretaría Distrital de Movilidad")</f>
        <v>Secretaría Distrital de Movilidad</v>
      </c>
      <c r="F4220" s="25" t="str">
        <f ca="1">IFERROR(__xludf.DUMMYFUNCTION("""COMPUTED_VALUE"""),"Por cada localidad, disponer un mapa con las intervenciones mensuales desagregando por tipo de intervención. Publicarlo en el observatorio de movilidad")</f>
        <v>Por cada localidad, disponer un mapa con las intervenciones mensuales desagregando por tipo de intervención. Publicarlo en el observatorio de movilidad</v>
      </c>
      <c r="G4220" s="25" t="str">
        <f ca="1">IFERROR(__xludf.DUMMYFUNCTION("""COMPUTED_VALUE"""),"99. Distrito")</f>
        <v>99. Distrito</v>
      </c>
      <c r="H4220" s="55">
        <f ca="1">IFERROR(__xludf.DUMMYFUNCTION("""COMPUTED_VALUE"""),44650)</f>
        <v>44650</v>
      </c>
      <c r="I4220" s="25"/>
      <c r="J4220" s="55" t="str">
        <f ca="1">IFERROR(__xludf.DUMMYFUNCTION("""COMPUTED_VALUE"""),"Alta")</f>
        <v>Alta</v>
      </c>
      <c r="K4220" s="25">
        <f ca="1">IFERROR(__xludf.DUMMYFUNCTION("""COMPUTED_VALUE"""),30)</f>
        <v>30</v>
      </c>
      <c r="L4220" s="62">
        <f ca="1">IFERROR(__xludf.DUMMYFUNCTION("""COMPUTED_VALUE"""),44657)</f>
        <v>44657</v>
      </c>
      <c r="M4220" s="25" t="str">
        <f ca="1">IFERROR(__xludf.DUMMYFUNCTION("""COMPUTED_VALUE"""),"Se desarrolla en el aplicativo del observatorio de movilidad el filtro por cada una de las localidades, en la que se muestra el reporte ciudadano y su condición de evolución con respecto a la asignación de la entidad encargada. Los datos se pueden observa"&amp;"r en el siguiente link
https://app.powerbi.com/view?r=eyJrIjoiYjEyMGQ1N2YtNDY4YS00ZTJjLTgwYWQtNDNkYjlhNWY2ODIzIiwidCI6IjFjMTg4ZWY2LTllOGYtNGQ5My04YjhjLWM4Njg4ZWFiYTAyYiIsImMiOjR9")</f>
        <v>Se desarrolla en el aplicativo del observatorio de movilidad el filtro por cada una de las localidades, en la que se muestra el reporte ciudadano y su condición de evolución con respecto a la asignación de la entidad encargada. Los datos se pueden observar en el siguiente link
https://app.powerbi.com/view?r=eyJrIjoiYjEyMGQ1N2YtNDY4YS00ZTJjLTgwYWQtNDNkYjlhNWY2ODIzIiwidCI6IjFjMTg4ZWY2LTllOGYtNGQ5My04YjhjLWM4Njg4ZWFiYTAyYiIsImMiOjR9</v>
      </c>
      <c r="N4220" s="55">
        <f ca="1">IFERROR(__xludf.DUMMYFUNCTION("""COMPUTED_VALUE"""),44657)</f>
        <v>44657</v>
      </c>
      <c r="O4220" s="25" t="str">
        <f t="shared" ca="1" si="0"/>
        <v>Secretaría Distrital de Movilidad</v>
      </c>
      <c r="P4220" s="25" t="str">
        <f t="shared" si="2"/>
        <v/>
      </c>
      <c r="Q4220" s="25" t="str">
        <f ca="1">IFERROR(__xludf.DUMMYFUNCTION("""COMPUTED_VALUE"""),"Corto plazo")</f>
        <v>Corto plazo</v>
      </c>
      <c r="R4220" s="25"/>
      <c r="S4220" s="55"/>
      <c r="T4220" s="56"/>
      <c r="U4220" s="25"/>
      <c r="V4220" s="25"/>
      <c r="W4220" s="25"/>
      <c r="X4220" s="25"/>
      <c r="Y4220" s="25"/>
      <c r="Z4220" s="25"/>
    </row>
    <row r="4221" spans="1:26" ht="52.5" customHeight="1" x14ac:dyDescent="0.25">
      <c r="A4221" s="25" t="str">
        <f ca="1">IFERROR(__xludf.DUMMYFUNCTION("""COMPUTED_VALUE"""),"Movil19")</f>
        <v>Movil19</v>
      </c>
      <c r="B4221" s="25" t="str">
        <f ca="1">IFERROR(__xludf.DUMMYFUNCTION("""COMPUTED_VALUE"""),"Revisión plan de mantenimiento")</f>
        <v>Revisión plan de mantenimiento</v>
      </c>
      <c r="C4221" s="55">
        <f ca="1">IFERROR(__xludf.DUMMYFUNCTION("""COMPUTED_VALUE"""),44620)</f>
        <v>44620</v>
      </c>
      <c r="D4221" s="25" t="str">
        <f ca="1">IFERROR(__xludf.DUMMYFUNCTION("""COMPUTED_VALUE"""),"Movilidad")</f>
        <v>Movilidad</v>
      </c>
      <c r="E4221" s="25" t="str">
        <f ca="1">IFERROR(__xludf.DUMMYFUNCTION("""COMPUTED_VALUE"""),"Instituto de Desarrollo Urbano")</f>
        <v>Instituto de Desarrollo Urbano</v>
      </c>
      <c r="F4221" s="25" t="str">
        <f ca="1">IFERROR(__xludf.DUMMYFUNCTION("""COMPUTED_VALUE"""),"Expedir un lineamiento técnico sobre la malla vial local en donde se indique quese ùede intervenir sin necesidad de hacer cambios en las redes")</f>
        <v>Expedir un lineamiento técnico sobre la malla vial local en donde se indique quese ùede intervenir sin necesidad de hacer cambios en las redes</v>
      </c>
      <c r="G4221" s="25" t="str">
        <f ca="1">IFERROR(__xludf.DUMMYFUNCTION("""COMPUTED_VALUE"""),"99. Distrito")</f>
        <v>99. Distrito</v>
      </c>
      <c r="H4221" s="55">
        <f ca="1">IFERROR(__xludf.DUMMYFUNCTION("""COMPUTED_VALUE"""),44650)</f>
        <v>44650</v>
      </c>
      <c r="I4221" s="25"/>
      <c r="J4221" s="55" t="str">
        <f ca="1">IFERROR(__xludf.DUMMYFUNCTION("""COMPUTED_VALUE"""),"Alta")</f>
        <v>Alta</v>
      </c>
      <c r="K4221" s="25">
        <f ca="1">IFERROR(__xludf.DUMMYFUNCTION("""COMPUTED_VALUE"""),30)</f>
        <v>30</v>
      </c>
      <c r="L4221" s="62">
        <f ca="1">IFERROR(__xludf.DUMMYFUNCTION("""COMPUTED_VALUE"""),44657)</f>
        <v>44657</v>
      </c>
      <c r="M4221" s="25" t="str">
        <f ca="1">IFERROR(__xludf.DUMMYFUNCTION("""COMPUTED_VALUE"""),"Se presentó modelo de priorización el 6 marzo en reunión en alcaldía para mostrar priorización donde se determinó que se iba adoptar para alcaldías locales. Reunión 29 marzo con alcaldías locales para socializar el modelo. UMV entregar al IDU variables pa"&amp;"ra modelo, IDU corrió nuevamente modelo y aplico a 19 locales.")</f>
        <v>Se presentó modelo de priorización el 6 marzo en reunión en alcaldía para mostrar priorización donde se determinó que se iba adoptar para alcaldías locales. Reunión 29 marzo con alcaldías locales para socializar el modelo. UMV entregar al IDU variables para modelo, IDU corrió nuevamente modelo y aplico a 19 locales.</v>
      </c>
      <c r="N4221" s="55">
        <f ca="1">IFERROR(__xludf.DUMMYFUNCTION("""COMPUTED_VALUE"""),44657)</f>
        <v>44657</v>
      </c>
      <c r="O4221" s="25" t="str">
        <f t="shared" ca="1" si="0"/>
        <v>Instituto de Desarrollo Urbano</v>
      </c>
      <c r="P4221" s="25" t="str">
        <f t="shared" si="2"/>
        <v/>
      </c>
      <c r="Q4221" s="25" t="str">
        <f ca="1">IFERROR(__xludf.DUMMYFUNCTION("""COMPUTED_VALUE"""),"Corto plazo")</f>
        <v>Corto plazo</v>
      </c>
      <c r="R4221" s="25"/>
      <c r="S4221" s="55"/>
      <c r="T4221" s="56"/>
      <c r="U4221" s="25"/>
      <c r="V4221" s="25"/>
      <c r="W4221" s="25"/>
      <c r="X4221" s="25"/>
      <c r="Y4221" s="25"/>
      <c r="Z4221" s="25"/>
    </row>
    <row r="4222" spans="1:26" ht="52.5" customHeight="1" x14ac:dyDescent="0.25">
      <c r="A4222" s="25" t="str">
        <f ca="1">IFERROR(__xludf.DUMMYFUNCTION("""COMPUTED_VALUE"""),"Movil20")</f>
        <v>Movil20</v>
      </c>
      <c r="B4222" s="25" t="str">
        <f ca="1">IFERROR(__xludf.DUMMYFUNCTION("""COMPUTED_VALUE"""),"Revisión plan de mantenimiento")</f>
        <v>Revisión plan de mantenimiento</v>
      </c>
      <c r="C4222" s="55">
        <f ca="1">IFERROR(__xludf.DUMMYFUNCTION("""COMPUTED_VALUE"""),44620)</f>
        <v>44620</v>
      </c>
      <c r="D4222" s="25" t="str">
        <f ca="1">IFERROR(__xludf.DUMMYFUNCTION("""COMPUTED_VALUE"""),"Movilidad")</f>
        <v>Movilidad</v>
      </c>
      <c r="E4222" s="25" t="str">
        <f ca="1">IFERROR(__xludf.DUMMYFUNCTION("""COMPUTED_VALUE"""),"Empresa de Transporte del Tercer Milenio - Transmilenio S.A.")</f>
        <v>Empresa de Transporte del Tercer Milenio - Transmilenio S.A.</v>
      </c>
      <c r="F4222" s="25" t="str">
        <f ca="1">IFERROR(__xludf.DUMMYFUNCTION("""COMPUTED_VALUE"""),"Coordinar la intervención en el mantenimiento de las troncales y la poda de árboles.")</f>
        <v>Coordinar la intervención en el mantenimiento de las troncales y la poda de árboles.</v>
      </c>
      <c r="G4222" s="25" t="str">
        <f ca="1">IFERROR(__xludf.DUMMYFUNCTION("""COMPUTED_VALUE"""),"99. Distrito")</f>
        <v>99. Distrito</v>
      </c>
      <c r="H4222" s="55">
        <f ca="1">IFERROR(__xludf.DUMMYFUNCTION("""COMPUTED_VALUE"""),44650)</f>
        <v>44650</v>
      </c>
      <c r="I4222" s="25"/>
      <c r="J4222" s="55" t="str">
        <f ca="1">IFERROR(__xludf.DUMMYFUNCTION("""COMPUTED_VALUE"""),"Alta")</f>
        <v>Alta</v>
      </c>
      <c r="K4222" s="25">
        <f ca="1">IFERROR(__xludf.DUMMYFUNCTION("""COMPUTED_VALUE"""),30)</f>
        <v>30</v>
      </c>
      <c r="L4222" s="62"/>
      <c r="M4222" s="25" t="str">
        <f ca="1">IFERROR(__xludf.DUMMYFUNCTION("""COMPUTED_VALUE"""),"Desde la Dirección Técnica de Modos Alternativos se está gestionando el manejo silvicultural de las especies vegetales presentes en el Sistema TransMilenio y en su área de influencia directa (vías troncales principalmente).
Desde esta Dirección, se han v"&amp;"enido realizando las gestiones ante las Entidades competentes (Secretaría Distrital de Ambiente, Jardín Botánico) solicitando los tratamientos silviculturales de las especies vegetales que afectan la operación, la infraestructura o a los usuarios, conform"&amp;"e a los informes de novedades, requerimientos o quejas que se reciben.")</f>
        <v>Desde la Dirección Técnica de Modos Alternativos se está gestionando el manejo silvicultural de las especies vegetales presentes en el Sistema TransMilenio y en su área de influencia directa (vías troncales principalmente).
Desde esta Dirección, se han venido realizando las gestiones ante las Entidades competentes (Secretaría Distrital de Ambiente, Jardín Botánico) solicitando los tratamientos silviculturales de las especies vegetales que afectan la operación, la infraestructura o a los usuarios, conforme a los informes de novedades, requerimientos o quejas que se reciben.</v>
      </c>
      <c r="N4222" s="55">
        <f ca="1">IFERROR(__xludf.DUMMYFUNCTION("""COMPUTED_VALUE"""),44927)</f>
        <v>44927</v>
      </c>
      <c r="O4222" s="25" t="str">
        <f t="shared" ca="1" si="0"/>
        <v>Empresa de Transporte del Tercer Milenio - Transmilenio S.A.</v>
      </c>
      <c r="P4222" s="25" t="str">
        <f t="shared" si="2"/>
        <v/>
      </c>
      <c r="Q4222" s="25" t="str">
        <f ca="1">IFERROR(__xludf.DUMMYFUNCTION("""COMPUTED_VALUE"""),"Corto plazo")</f>
        <v>Corto plazo</v>
      </c>
      <c r="R4222" s="25"/>
      <c r="S4222" s="55"/>
      <c r="T4222" s="56"/>
      <c r="U4222" s="25"/>
      <c r="V4222" s="25"/>
      <c r="W4222" s="25"/>
      <c r="X4222" s="25"/>
      <c r="Y4222" s="25"/>
      <c r="Z4222" s="25"/>
    </row>
    <row r="4223" spans="1:26" ht="52.5" customHeight="1" x14ac:dyDescent="0.25">
      <c r="A4223" s="25" t="str">
        <f ca="1">IFERROR(__xludf.DUMMYFUNCTION("""COMPUTED_VALUE"""),"Movil21")</f>
        <v>Movil21</v>
      </c>
      <c r="B4223" s="25" t="str">
        <f ca="1">IFERROR(__xludf.DUMMYFUNCTION("""COMPUTED_VALUE"""),"Revisión plan de mantenimiento")</f>
        <v>Revisión plan de mantenimiento</v>
      </c>
      <c r="C4223" s="55">
        <f ca="1">IFERROR(__xludf.DUMMYFUNCTION("""COMPUTED_VALUE"""),44620)</f>
        <v>44620</v>
      </c>
      <c r="D4223" s="25" t="str">
        <f ca="1">IFERROR(__xludf.DUMMYFUNCTION("""COMPUTED_VALUE"""),"Movilidad")</f>
        <v>Movilidad</v>
      </c>
      <c r="E4223" s="25" t="str">
        <f ca="1">IFERROR(__xludf.DUMMYFUNCTION("""COMPUTED_VALUE"""),"Unidad Administrativa Especial de Rehabilitación y Mantenimiento Vial")</f>
        <v>Unidad Administrativa Especial de Rehabilitación y Mantenimiento Vial</v>
      </c>
      <c r="F4223" s="25" t="str">
        <f ca="1">IFERROR(__xludf.DUMMYFUNCTION("""COMPUTED_VALUE"""),"Coordinar a través de la Secretaría de Gobierno (quienes tienen a cargo la junta de infraestructura local), que se articulen la poda de los árboles, jardines y demás con el mantenimiento de las ciclorrutas")</f>
        <v>Coordinar a través de la Secretaría de Gobierno (quienes tienen a cargo la junta de infraestructura local), que se articulen la poda de los árboles, jardines y demás con el mantenimiento de las ciclorrutas</v>
      </c>
      <c r="G4223" s="25" t="str">
        <f ca="1">IFERROR(__xludf.DUMMYFUNCTION("""COMPUTED_VALUE"""),"99. Distrito")</f>
        <v>99. Distrito</v>
      </c>
      <c r="H4223" s="55">
        <f ca="1">IFERROR(__xludf.DUMMYFUNCTION("""COMPUTED_VALUE"""),44650)</f>
        <v>44650</v>
      </c>
      <c r="I4223" s="25"/>
      <c r="J4223" s="55" t="str">
        <f ca="1">IFERROR(__xludf.DUMMYFUNCTION("""COMPUTED_VALUE"""),"Alta")</f>
        <v>Alta</v>
      </c>
      <c r="K4223" s="25">
        <f ca="1">IFERROR(__xludf.DUMMYFUNCTION("""COMPUTED_VALUE"""),30)</f>
        <v>30</v>
      </c>
      <c r="L4223" s="62">
        <f ca="1">IFERROR(__xludf.DUMMYFUNCTION("""COMPUTED_VALUE"""),44748)</f>
        <v>44748</v>
      </c>
      <c r="M4223" s="25" t="str">
        <f ca="1">IFERROR(__xludf.DUMMYFUNCTION("""COMPUTED_VALUE"""),"Se buscará un espacio durante el mes de julio con la SDG para incluir este lineamiento en las intervenciones de la entidad. ")</f>
        <v xml:space="preserve">Se buscará un espacio durante el mes de julio con la SDG para incluir este lineamiento en las intervenciones de la entidad. </v>
      </c>
      <c r="N4223" s="55">
        <f ca="1">IFERROR(__xludf.DUMMYFUNCTION("""COMPUTED_VALUE"""),44748)</f>
        <v>44748</v>
      </c>
      <c r="O4223" s="25" t="str">
        <f t="shared" ca="1" si="0"/>
        <v>Unidad Administrativa Especial de Rehabilitación y Mantenimiento Vial</v>
      </c>
      <c r="P4223" s="25" t="str">
        <f t="shared" si="2"/>
        <v/>
      </c>
      <c r="Q4223" s="25" t="str">
        <f ca="1">IFERROR(__xludf.DUMMYFUNCTION("""COMPUTED_VALUE"""),"Corto plazo")</f>
        <v>Corto plazo</v>
      </c>
      <c r="R4223" s="25"/>
      <c r="S4223" s="55"/>
      <c r="T4223" s="56"/>
      <c r="U4223" s="25"/>
      <c r="V4223" s="25"/>
      <c r="W4223" s="25"/>
      <c r="X4223" s="25"/>
      <c r="Y4223" s="25"/>
      <c r="Z4223" s="25"/>
    </row>
    <row r="4224" spans="1:26" ht="52.5" customHeight="1" x14ac:dyDescent="0.25">
      <c r="A4224" s="25" t="str">
        <f ca="1">IFERROR(__xludf.DUMMYFUNCTION("""COMPUTED_VALUE"""),"Movil22")</f>
        <v>Movil22</v>
      </c>
      <c r="B4224" s="25" t="str">
        <f ca="1">IFERROR(__xludf.DUMMYFUNCTION("""COMPUTED_VALUE"""),"Consejo de Seguridad")</f>
        <v>Consejo de Seguridad</v>
      </c>
      <c r="C4224" s="55">
        <f ca="1">IFERROR(__xludf.DUMMYFUNCTION("""COMPUTED_VALUE"""),44616)</f>
        <v>44616</v>
      </c>
      <c r="D4224" s="25" t="str">
        <f ca="1">IFERROR(__xludf.DUMMYFUNCTION("""COMPUTED_VALUE"""),"Movilidad")</f>
        <v>Movilidad</v>
      </c>
      <c r="E4224" s="25" t="str">
        <f ca="1">IFERROR(__xludf.DUMMYFUNCTION("""COMPUTED_VALUE"""),"Empresa de Transporte del Tercer Milenio - Transmilenio S.A.")</f>
        <v>Empresa de Transporte del Tercer Milenio - Transmilenio S.A.</v>
      </c>
      <c r="F4224" s="25" t="str">
        <f ca="1">IFERROR(__xludf.DUMMYFUNCTION("""COMPUTED_VALUE"""),"Tener un registro anual de las grabaciones de las cámaras de
seguridad de TransMilenio (buses y estaciones). Lo anterior con el
objetivo de (i) poder tener elementos para el seguimiento a incidentes
y (ii) poder desarrollar una analítica de datos sobre"&amp;" el sistema, para lo
cual hay que realizar un convenio con Ágata.
Este compromiso es de cumplimiento permanente. ")</f>
        <v xml:space="preserve">Tener un registro anual de las grabaciones de las cámaras de
seguridad de TransMilenio (buses y estaciones). Lo anterior con el
objetivo de (i) poder tener elementos para el seguimiento a incidentes
y (ii) poder desarrollar una analítica de datos sobre el sistema, para lo
cual hay que realizar un convenio con Ágata.
Este compromiso es de cumplimiento permanente. </v>
      </c>
      <c r="G4224" s="25" t="str">
        <f ca="1">IFERROR(__xludf.DUMMYFUNCTION("""COMPUTED_VALUE"""),"99. Distrito")</f>
        <v>99. Distrito</v>
      </c>
      <c r="H4224" s="55">
        <f ca="1">IFERROR(__xludf.DUMMYFUNCTION("""COMPUTED_VALUE"""),44646)</f>
        <v>44646</v>
      </c>
      <c r="I4224" s="25"/>
      <c r="J4224" s="55" t="str">
        <f ca="1">IFERROR(__xludf.DUMMYFUNCTION("""COMPUTED_VALUE"""),"Alta")</f>
        <v>Alta</v>
      </c>
      <c r="K4224" s="25">
        <f ca="1">IFERROR(__xludf.DUMMYFUNCTION("""COMPUTED_VALUE"""),30)</f>
        <v>30</v>
      </c>
      <c r="L4224" s="62"/>
      <c r="M4224" s="25" t="str">
        <f ca="1">IFERROR(__xludf.DUMMYFUNCTION("""COMPUTED_VALUE"""),"Desde TRANSMILENIO SA, se avanzaron en las consultas sobre los costos para obtener mayores capacidades y garantizar almacenamiento permanente de los videos que son generados por las novedades de seguridad en el Sistema. De esto, se analizó que este escena"&amp;"rio supera las capacidades presupuestales actuales del ente gestor lo cual lo hace inviable financieramente. Sin embargo, a la fecha se cuenta con un repositorio de videos en la nube que son generados por las obturaciones del botón de pánico para identifi"&amp;"car las novedades de seguridad. ")</f>
        <v xml:space="preserve">Desde TRANSMILENIO SA, se avanzaron en las consultas sobre los costos para obtener mayores capacidades y garantizar almacenamiento permanente de los videos que son generados por las novedades de seguridad en el Sistema. De esto, se analizó que este escenario supera las capacidades presupuestales actuales del ente gestor lo cual lo hace inviable financieramente. Sin embargo, a la fecha se cuenta con un repositorio de videos en la nube que son generados por las obturaciones del botón de pánico para identificar las novedades de seguridad. </v>
      </c>
      <c r="N4224" s="55">
        <f ca="1">IFERROR(__xludf.DUMMYFUNCTION("""COMPUTED_VALUE"""),44927)</f>
        <v>44927</v>
      </c>
      <c r="O4224" s="25" t="str">
        <f t="shared" ca="1" si="0"/>
        <v>Empresa de Transporte del Tercer Milenio - Transmilenio S.A.</v>
      </c>
      <c r="P4224" s="25" t="str">
        <f t="shared" si="2"/>
        <v/>
      </c>
      <c r="Q4224" s="25" t="str">
        <f ca="1">IFERROR(__xludf.DUMMYFUNCTION("""COMPUTED_VALUE"""),"Corto plazo")</f>
        <v>Corto plazo</v>
      </c>
      <c r="R4224" s="25"/>
      <c r="S4224" s="55"/>
      <c r="T4224" s="56"/>
      <c r="U4224" s="25"/>
      <c r="V4224" s="25"/>
      <c r="W4224" s="25"/>
      <c r="X4224" s="25"/>
      <c r="Y4224" s="25"/>
      <c r="Z4224" s="25"/>
    </row>
    <row r="4225" spans="1:26" ht="52.5" customHeight="1" x14ac:dyDescent="0.25">
      <c r="A4225" s="25" t="str">
        <f ca="1">IFERROR(__xludf.DUMMYFUNCTION("""COMPUTED_VALUE"""),"Movil23")</f>
        <v>Movil23</v>
      </c>
      <c r="B4225" s="25" t="str">
        <f ca="1">IFERROR(__xludf.DUMMYFUNCTION("""COMPUTED_VALUE"""),"Consejo de Seguridad")</f>
        <v>Consejo de Seguridad</v>
      </c>
      <c r="C4225" s="55">
        <f ca="1">IFERROR(__xludf.DUMMYFUNCTION("""COMPUTED_VALUE"""),44616)</f>
        <v>44616</v>
      </c>
      <c r="D4225" s="25" t="str">
        <f ca="1">IFERROR(__xludf.DUMMYFUNCTION("""COMPUTED_VALUE"""),"Movilidad")</f>
        <v>Movilidad</v>
      </c>
      <c r="E4225" s="25" t="str">
        <f ca="1">IFERROR(__xludf.DUMMYFUNCTION("""COMPUTED_VALUE"""),"Empresa de Transporte del Tercer Milenio - Transmilenio S.A.")</f>
        <v>Empresa de Transporte del Tercer Milenio - Transmilenio S.A.</v>
      </c>
      <c r="F4225" s="25" t="str">
        <f ca="1">IFERROR(__xludf.DUMMYFUNCTION("""COMPUTED_VALUE"""),"Realizar el control y la vigilancia de la evasión en el sistema con duplas
que estén dentro de las estaciones, las cuales tienen que estar
compuestas por un policía y un logístico de TransMilenio.
Los resultados de este compromiso deben presentarse en "&amp;"los
balances del Consejo Distrital de Seguridad. ")</f>
        <v xml:space="preserve">Realizar el control y la vigilancia de la evasión en el sistema con duplas
que estén dentro de las estaciones, las cuales tienen que estar
compuestas por un policía y un logístico de TransMilenio.
Los resultados de este compromiso deben presentarse en los
balances del Consejo Distrital de Seguridad. </v>
      </c>
      <c r="G4225" s="25" t="str">
        <f ca="1">IFERROR(__xludf.DUMMYFUNCTION("""COMPUTED_VALUE"""),"99. Distrito")</f>
        <v>99. Distrito</v>
      </c>
      <c r="H4225" s="55">
        <f ca="1">IFERROR(__xludf.DUMMYFUNCTION("""COMPUTED_VALUE"""),44646)</f>
        <v>44646</v>
      </c>
      <c r="I4225" s="25"/>
      <c r="J4225" s="55" t="str">
        <f ca="1">IFERROR(__xludf.DUMMYFUNCTION("""COMPUTED_VALUE"""),"Alta")</f>
        <v>Alta</v>
      </c>
      <c r="K4225" s="25">
        <f ca="1">IFERROR(__xludf.DUMMYFUNCTION("""COMPUTED_VALUE"""),30)</f>
        <v>30</v>
      </c>
      <c r="L4225" s="62">
        <f ca="1">IFERROR(__xludf.DUMMYFUNCTION("""COMPUTED_VALUE"""),44747)</f>
        <v>44747</v>
      </c>
      <c r="M4225" s="25" t="str">
        <f ca="1">IFERROR(__xludf.DUMMYFUNCTION("""COMPUTED_VALUE"""),"Desde su concepción, el equipo de Gestores de Convivencia de TRANSMILENIO S.A. priorizó en sus acciones las afectaciones que representan un riesgo para la seguridad de usuarios, operadores, flota e infraestructura, teniendo esta como factor transversal. C"&amp;"omo parte de las instrucciones impartidas en el Consejo de Seguridad, se reorientaron todas las capacidades del equipo de Gestores de Convivencia de TRANSMILENIO (compuesto por cerca de 200 Gestores y Gestoras) para el control directo de la evasión en tor"&amp;"niquetes, BCA de discapacidad y puertas laterales. De igual manera, se ordenó el componente de vigilancia y seguridad privada para contar con un mayor número de servicios de control de la evasión durante los turnos establecidos.")</f>
        <v>Desde su concepción, el equipo de Gestores de Convivencia de TRANSMILENIO S.A. priorizó en sus acciones las afectaciones que representan un riesgo para la seguridad de usuarios, operadores, flota e infraestructura, teniendo esta como factor transversal. Como parte de las instrucciones impartidas en el Consejo de Seguridad, se reorientaron todas las capacidades del equipo de Gestores de Convivencia de TRANSMILENIO (compuesto por cerca de 200 Gestores y Gestoras) para el control directo de la evasión en torniquetes, BCA de discapacidad y puertas laterales. De igual manera, se ordenó el componente de vigilancia y seguridad privada para contar con un mayor número de servicios de control de la evasión durante los turnos establecidos.</v>
      </c>
      <c r="N4225" s="55">
        <f ca="1">IFERROR(__xludf.DUMMYFUNCTION("""COMPUTED_VALUE"""),44747)</f>
        <v>44747</v>
      </c>
      <c r="O4225" s="25" t="str">
        <f t="shared" ca="1" si="0"/>
        <v>Empresa de Transporte del Tercer Milenio - Transmilenio S.A.</v>
      </c>
      <c r="P4225" s="25" t="str">
        <f t="shared" si="2"/>
        <v/>
      </c>
      <c r="Q4225" s="25" t="str">
        <f ca="1">IFERROR(__xludf.DUMMYFUNCTION("""COMPUTED_VALUE"""),"Corto plazo")</f>
        <v>Corto plazo</v>
      </c>
      <c r="R4225" s="25"/>
      <c r="S4225" s="55"/>
      <c r="T4225" s="56"/>
      <c r="U4225" s="25"/>
      <c r="V4225" s="25"/>
      <c r="W4225" s="25"/>
      <c r="X4225" s="25"/>
      <c r="Y4225" s="25"/>
      <c r="Z4225" s="25"/>
    </row>
    <row r="4226" spans="1:26" ht="52.5" customHeight="1" x14ac:dyDescent="0.25">
      <c r="A4226" s="25" t="str">
        <f ca="1">IFERROR(__xludf.DUMMYFUNCTION("""COMPUTED_VALUE"""),"Movil24")</f>
        <v>Movil24</v>
      </c>
      <c r="B4226" s="25" t="str">
        <f ca="1">IFERROR(__xludf.DUMMYFUNCTION("""COMPUTED_VALUE"""),"Consejo de Seguridad")</f>
        <v>Consejo de Seguridad</v>
      </c>
      <c r="C4226" s="55">
        <f ca="1">IFERROR(__xludf.DUMMYFUNCTION("""COMPUTED_VALUE"""),44616)</f>
        <v>44616</v>
      </c>
      <c r="D4226" s="25" t="str">
        <f ca="1">IFERROR(__xludf.DUMMYFUNCTION("""COMPUTED_VALUE"""),"Movilidad")</f>
        <v>Movilidad</v>
      </c>
      <c r="E4226" s="25" t="str">
        <f ca="1">IFERROR(__xludf.DUMMYFUNCTION("""COMPUTED_VALUE"""),"Empresa de Transporte del Tercer Milenio - Transmilenio S.A.")</f>
        <v>Empresa de Transporte del Tercer Milenio - Transmilenio S.A.</v>
      </c>
      <c r="F4226" s="25" t="str">
        <f ca="1">IFERROR(__xludf.DUMMYFUNCTION("""COMPUTED_VALUE"""),"Anunciar en el evento de TransMilenio que se va a realizar en
Chapinero el 3 de marzo, los siguientes puntos: (i) cualquier persona
que evada el pago de TransMilenio, junto con su círculo familiar,
perderá el acceso a subsidios del gobierno distrital h"&amp;"asta que se
cancele la multa que se imponga por dicha conducta y (ii) se prohíben
las ventas informales dentro del sistema, lo cual se tiene que
coordinar con el IPES.")</f>
        <v>Anunciar en el evento de TransMilenio que se va a realizar en
Chapinero el 3 de marzo, los siguientes puntos: (i) cualquier persona
que evada el pago de TransMilenio, junto con su círculo familiar,
perderá el acceso a subsidios del gobierno distrital hasta que se
cancele la multa que se imponga por dicha conducta y (ii) se prohíben
las ventas informales dentro del sistema, lo cual se tiene que
coordinar con el IPES.</v>
      </c>
      <c r="G4226" s="25" t="str">
        <f ca="1">IFERROR(__xludf.DUMMYFUNCTION("""COMPUTED_VALUE"""),"99. Distrito")</f>
        <v>99. Distrito</v>
      </c>
      <c r="H4226" s="55">
        <f ca="1">IFERROR(__xludf.DUMMYFUNCTION("""COMPUTED_VALUE"""),44646)</f>
        <v>44646</v>
      </c>
      <c r="I4226" s="25"/>
      <c r="J4226" s="55" t="str">
        <f ca="1">IFERROR(__xludf.DUMMYFUNCTION("""COMPUTED_VALUE"""),"Alta")</f>
        <v>Alta</v>
      </c>
      <c r="K4226" s="25">
        <f ca="1">IFERROR(__xludf.DUMMYFUNCTION("""COMPUTED_VALUE"""),30)</f>
        <v>30</v>
      </c>
      <c r="L4226" s="62"/>
      <c r="M4226" s="25" t="str">
        <f ca="1">IFERROR(__xludf.DUMMYFUNCTION("""COMPUTED_VALUE"""),"En el evento celebrado el día 3 de marzo de 2022 se lanzó la estrategia 25.000 OJOS ATENTOS, la cual tiene como objetivo la optimización de los recursos en vía en función de la seguridad (detección, reporte y respuesta ante incidentes) de los usuarios, op"&amp;"eradores, flota e infraestructura. Los anuncios sobre pérdida de beneficios y prohibición de ventas informales están sujetos a decisiones normativas (decretos) que se encuentran en construcción.")</f>
        <v>En el evento celebrado el día 3 de marzo de 2022 se lanzó la estrategia 25.000 OJOS ATENTOS, la cual tiene como objetivo la optimización de los recursos en vía en función de la seguridad (detección, reporte y respuesta ante incidentes) de los usuarios, operadores, flota e infraestructura. Los anuncios sobre pérdida de beneficios y prohibición de ventas informales están sujetos a decisiones normativas (decretos) que se encuentran en construcción.</v>
      </c>
      <c r="N4226" s="55">
        <f ca="1">IFERROR(__xludf.DUMMYFUNCTION("""COMPUTED_VALUE"""),44927)</f>
        <v>44927</v>
      </c>
      <c r="O4226" s="25" t="str">
        <f t="shared" ca="1" si="0"/>
        <v>Empresa de Transporte del Tercer Milenio - Transmilenio S.A.</v>
      </c>
      <c r="P4226" s="25" t="str">
        <f t="shared" si="2"/>
        <v/>
      </c>
      <c r="Q4226" s="25" t="str">
        <f ca="1">IFERROR(__xludf.DUMMYFUNCTION("""COMPUTED_VALUE"""),"Corto plazo")</f>
        <v>Corto plazo</v>
      </c>
      <c r="R4226" s="25"/>
      <c r="S4226" s="55"/>
      <c r="T4226" s="56"/>
      <c r="U4226" s="25"/>
      <c r="V4226" s="25"/>
      <c r="W4226" s="25"/>
      <c r="X4226" s="25"/>
      <c r="Y4226" s="25"/>
      <c r="Z4226" s="25"/>
    </row>
    <row r="4227" spans="1:26" ht="52.5" customHeight="1" x14ac:dyDescent="0.25">
      <c r="A4227" s="25" t="str">
        <f ca="1">IFERROR(__xludf.DUMMYFUNCTION("""COMPUTED_VALUE"""),"Movil25")</f>
        <v>Movil25</v>
      </c>
      <c r="B4227" s="25" t="str">
        <f ca="1">IFERROR(__xludf.DUMMYFUNCTION("""COMPUTED_VALUE"""),"Consejo de Seguridad")</f>
        <v>Consejo de Seguridad</v>
      </c>
      <c r="C4227" s="55">
        <f ca="1">IFERROR(__xludf.DUMMYFUNCTION("""COMPUTED_VALUE"""),44616)</f>
        <v>44616</v>
      </c>
      <c r="D4227" s="25" t="str">
        <f ca="1">IFERROR(__xludf.DUMMYFUNCTION("""COMPUTED_VALUE"""),"Movilidad")</f>
        <v>Movilidad</v>
      </c>
      <c r="E4227" s="25" t="str">
        <f ca="1">IFERROR(__xludf.DUMMYFUNCTION("""COMPUTED_VALUE"""),"Empresa de Transporte del Tercer Milenio - Transmilenio S.A.")</f>
        <v>Empresa de Transporte del Tercer Milenio - Transmilenio S.A.</v>
      </c>
      <c r="F4227" s="25" t="str">
        <f ca="1">IFERROR(__xludf.DUMMYFUNCTION("""COMPUTED_VALUE"""),"Hacer una identificación de los puntos priorizados para iniciar con la
implementación de rejas sobre la calle de las estaciones y el cambio
de puertas con alarmas. Posterior a esa identificación, se tienen que
hacer las cotizaciones y se tienen que man"&amp;"dar a hacer para instalarse.
El objetivo es que la totalidad de las estaciones de la ciudad queden
con el cambio de puertas y de rejas.
El cumplimiento de este compromiso debe presentarse en el Consejo
Distrital de Seguridad.")</f>
        <v>Hacer una identificación de los puntos priorizados para iniciar con la
implementación de rejas sobre la calle de las estaciones y el cambio
de puertas con alarmas. Posterior a esa identificación, se tienen que
hacer las cotizaciones y se tienen que mandar a hacer para instalarse.
El objetivo es que la totalidad de las estaciones de la ciudad queden
con el cambio de puertas y de rejas.
El cumplimiento de este compromiso debe presentarse en el Consejo
Distrital de Seguridad.</v>
      </c>
      <c r="G4227" s="25" t="str">
        <f ca="1">IFERROR(__xludf.DUMMYFUNCTION("""COMPUTED_VALUE"""),"99. Distrito")</f>
        <v>99. Distrito</v>
      </c>
      <c r="H4227" s="55">
        <f ca="1">IFERROR(__xludf.DUMMYFUNCTION("""COMPUTED_VALUE"""),44646)</f>
        <v>44646</v>
      </c>
      <c r="I4227" s="25"/>
      <c r="J4227" s="55" t="str">
        <f ca="1">IFERROR(__xludf.DUMMYFUNCTION("""COMPUTED_VALUE"""),"Alta")</f>
        <v>Alta</v>
      </c>
      <c r="K4227" s="25">
        <f ca="1">IFERROR(__xludf.DUMMYFUNCTION("""COMPUTED_VALUE"""),30)</f>
        <v>30</v>
      </c>
      <c r="L4227" s="62"/>
      <c r="M4227" s="25" t="str">
        <f ca="1">IFERROR(__xludf.DUMMYFUNCTION("""COMPUTED_VALUE"""),"Se identificaron que 43 estaciones que cuentan con barreras perimetrales, y se estimó que para instalar en las estaciones faltantes se requiere del orden de 40.000 millones de pesos a valor actual. Adicionalmente se hizo una priorización de esas barreras "&amp;"y con base en eso ya se inició la instalación de acuerdo con el presupuesto disponible de las primeras barreras en las cinco estaciones identificadas como más críticas. Finalmente, en la medida que contemos con los recursos necesarios se seguirán instalan"&amp;"do en el orden de priorización. Las estaciones priorizadas son: Calle 26, Nieves, Calle 45, Comuneros y Bicentenario. De estas ya han sido implementada la infraestructura en Calle 26 y Nieves.")</f>
        <v>Se identificaron que 43 estaciones que cuentan con barreras perimetrales, y se estimó que para instalar en las estaciones faltantes se requiere del orden de 40.000 millones de pesos a valor actual. Adicionalmente se hizo una priorización de esas barreras y con base en eso ya se inició la instalación de acuerdo con el presupuesto disponible de las primeras barreras en las cinco estaciones identificadas como más críticas. Finalmente, en la medida que contemos con los recursos necesarios se seguirán instalando en el orden de priorización. Las estaciones priorizadas son: Calle 26, Nieves, Calle 45, Comuneros y Bicentenario. De estas ya han sido implementada la infraestructura en Calle 26 y Nieves.</v>
      </c>
      <c r="N4227" s="55">
        <f ca="1">IFERROR(__xludf.DUMMYFUNCTION("""COMPUTED_VALUE"""),44927)</f>
        <v>44927</v>
      </c>
      <c r="O4227" s="25" t="str">
        <f t="shared" ca="1" si="0"/>
        <v>Empresa de Transporte del Tercer Milenio - Transmilenio S.A.</v>
      </c>
      <c r="P4227" s="25" t="str">
        <f t="shared" si="2"/>
        <v/>
      </c>
      <c r="Q4227" s="25" t="str">
        <f ca="1">IFERROR(__xludf.DUMMYFUNCTION("""COMPUTED_VALUE"""),"Corto plazo")</f>
        <v>Corto plazo</v>
      </c>
      <c r="R4227" s="25"/>
      <c r="S4227" s="55"/>
      <c r="T4227" s="56"/>
      <c r="U4227" s="25"/>
      <c r="V4227" s="25"/>
      <c r="W4227" s="25"/>
      <c r="X4227" s="25"/>
      <c r="Y4227" s="25"/>
      <c r="Z4227" s="25"/>
    </row>
    <row r="4228" spans="1:26" ht="52.5" customHeight="1" x14ac:dyDescent="0.25">
      <c r="A4228" s="25" t="str">
        <f ca="1">IFERROR(__xludf.DUMMYFUNCTION("""COMPUTED_VALUE"""),"Movil26")</f>
        <v>Movil26</v>
      </c>
      <c r="B4228" s="25" t="str">
        <f ca="1">IFERROR(__xludf.DUMMYFUNCTION("""COMPUTED_VALUE"""),"Consejo de Seguridad")</f>
        <v>Consejo de Seguridad</v>
      </c>
      <c r="C4228" s="55">
        <f ca="1">IFERROR(__xludf.DUMMYFUNCTION("""COMPUTED_VALUE"""),44616)</f>
        <v>44616</v>
      </c>
      <c r="D4228" s="25" t="str">
        <f ca="1">IFERROR(__xludf.DUMMYFUNCTION("""COMPUTED_VALUE"""),"Movilidad")</f>
        <v>Movilidad</v>
      </c>
      <c r="E4228" s="25" t="str">
        <f ca="1">IFERROR(__xludf.DUMMYFUNCTION("""COMPUTED_VALUE"""),"Empresa de Transporte del Tercer Milenio - Transmilenio S.A.")</f>
        <v>Empresa de Transporte del Tercer Milenio - Transmilenio S.A.</v>
      </c>
      <c r="F4228" s="25" t="str">
        <f ca="1">IFERROR(__xludf.DUMMYFUNCTION("""COMPUTED_VALUE"""),"Desarrollar un protocolo sobre cómo tramitar una denuncia cuando la recibe el primer respondiente, haciendo énfasis en que el primer respondiente puede ser cualquier miembro del sistema de TransMilenio.")</f>
        <v>Desarrollar un protocolo sobre cómo tramitar una denuncia cuando la recibe el primer respondiente, haciendo énfasis en que el primer respondiente puede ser cualquier miembro del sistema de TransMilenio.</v>
      </c>
      <c r="G4228" s="25" t="str">
        <f ca="1">IFERROR(__xludf.DUMMYFUNCTION("""COMPUTED_VALUE"""),"99. Distrito")</f>
        <v>99. Distrito</v>
      </c>
      <c r="H4228" s="55">
        <f ca="1">IFERROR(__xludf.DUMMYFUNCTION("""COMPUTED_VALUE"""),44646)</f>
        <v>44646</v>
      </c>
      <c r="I4228" s="25"/>
      <c r="J4228" s="55" t="str">
        <f ca="1">IFERROR(__xludf.DUMMYFUNCTION("""COMPUTED_VALUE"""),"Alta")</f>
        <v>Alta</v>
      </c>
      <c r="K4228" s="25">
        <f ca="1">IFERROR(__xludf.DUMMYFUNCTION("""COMPUTED_VALUE"""),30)</f>
        <v>30</v>
      </c>
      <c r="L4228" s="62"/>
      <c r="M4228" s="25" t="str">
        <f ca="1">IFERROR(__xludf.DUMMYFUNCTION("""COMPUTED_VALUE"""),"Este compromiso se cerró con el lanzamiento de la estrategia 25.000 OJOS ATENTOS.")</f>
        <v>Este compromiso se cerró con el lanzamiento de la estrategia 25.000 OJOS ATENTOS.</v>
      </c>
      <c r="N4228" s="55">
        <f ca="1">IFERROR(__xludf.DUMMYFUNCTION("""COMPUTED_VALUE"""),44927)</f>
        <v>44927</v>
      </c>
      <c r="O4228" s="25" t="str">
        <f t="shared" ca="1" si="0"/>
        <v>Empresa de Transporte del Tercer Milenio - Transmilenio S.A.</v>
      </c>
      <c r="P4228" s="25" t="str">
        <f t="shared" si="2"/>
        <v/>
      </c>
      <c r="Q4228" s="25" t="str">
        <f ca="1">IFERROR(__xludf.DUMMYFUNCTION("""COMPUTED_VALUE"""),"Corto plazo")</f>
        <v>Corto plazo</v>
      </c>
      <c r="R4228" s="25"/>
      <c r="S4228" s="55"/>
      <c r="T4228" s="56"/>
      <c r="U4228" s="25"/>
      <c r="V4228" s="25"/>
      <c r="W4228" s="25"/>
      <c r="X4228" s="25"/>
      <c r="Y4228" s="25"/>
      <c r="Z4228" s="25"/>
    </row>
    <row r="4229" spans="1:26" ht="52.5" customHeight="1" x14ac:dyDescent="0.25">
      <c r="A4229" s="25" t="str">
        <f ca="1">IFERROR(__xludf.DUMMYFUNCTION("""COMPUTED_VALUE"""),"Movil27")</f>
        <v>Movil27</v>
      </c>
      <c r="B4229" s="25" t="str">
        <f ca="1">IFERROR(__xludf.DUMMYFUNCTION("""COMPUTED_VALUE"""),"Reunión Ministerio de Cultura ")</f>
        <v xml:space="preserve">Reunión Ministerio de Cultura </v>
      </c>
      <c r="C4229" s="55">
        <f ca="1">IFERROR(__xludf.DUMMYFUNCTION("""COMPUTED_VALUE"""),44616)</f>
        <v>44616</v>
      </c>
      <c r="D4229" s="25" t="str">
        <f ca="1">IFERROR(__xludf.DUMMYFUNCTION("""COMPUTED_VALUE"""),"Movilidad")</f>
        <v>Movilidad</v>
      </c>
      <c r="E4229" s="25" t="str">
        <f ca="1">IFERROR(__xludf.DUMMYFUNCTION("""COMPUTED_VALUE"""),"Instituto de Desarrollo Urbano")</f>
        <v>Instituto de Desarrollo Urbano</v>
      </c>
      <c r="F4229" s="25" t="str">
        <f ca="1">IFERROR(__xludf.DUMMYFUNCTION("""COMPUTED_VALUE"""),"Puente Grande Calle 13. 
Convocar las mesas para determinar si el puente se queda ahí, si se construye encima y que la CAR haga lo necesario para mitigar el riesgo de inundación.")</f>
        <v>Puente Grande Calle 13. 
Convocar las mesas para determinar si el puente se queda ahí, si se construye encima y que la CAR haga lo necesario para mitigar el riesgo de inundación.</v>
      </c>
      <c r="G4229" s="25" t="str">
        <f ca="1">IFERROR(__xludf.DUMMYFUNCTION("""COMPUTED_VALUE"""),"99. Distrito")</f>
        <v>99. Distrito</v>
      </c>
      <c r="H4229" s="55">
        <f ca="1">IFERROR(__xludf.DUMMYFUNCTION("""COMPUTED_VALUE"""),44646)</f>
        <v>44646</v>
      </c>
      <c r="I4229" s="25"/>
      <c r="J4229" s="55" t="str">
        <f ca="1">IFERROR(__xludf.DUMMYFUNCTION("""COMPUTED_VALUE"""),"Alta")</f>
        <v>Alta</v>
      </c>
      <c r="K4229" s="25">
        <f ca="1">IFERROR(__xludf.DUMMYFUNCTION("""COMPUTED_VALUE"""),30)</f>
        <v>30</v>
      </c>
      <c r="L4229" s="62">
        <f ca="1">IFERROR(__xludf.DUMMYFUNCTION("""COMPUTED_VALUE"""),44819)</f>
        <v>44819</v>
      </c>
      <c r="M4229" s="25" t="str">
        <f ca="1">IFERROR(__xludf.DUMMYFUNCTION("""COMPUTED_VALUE"""),"La gestión está en cabeza de MinCultura de acuerdo con la reunión del pasado 24 de febrero en la alcaldía; MinCultura buscará la información de la ANI y la CAR para ver qué decisión se toma al respecto.
 Ministerio de cultura aún no se ha pronunciado re"&amp;"specto a la declaratoria del puente.")</f>
        <v>La gestión está en cabeza de MinCultura de acuerdo con la reunión del pasado 24 de febrero en la alcaldía; MinCultura buscará la información de la ANI y la CAR para ver qué decisión se toma al respecto.
 Ministerio de cultura aún no se ha pronunciado respecto a la declaratoria del puente.</v>
      </c>
      <c r="N4229" s="55">
        <f ca="1">IFERROR(__xludf.DUMMYFUNCTION("""COMPUTED_VALUE"""),44819)</f>
        <v>44819</v>
      </c>
      <c r="O4229" s="25" t="str">
        <f t="shared" ca="1" si="0"/>
        <v>Instituto de Desarrollo Urbano</v>
      </c>
      <c r="P4229" s="25" t="str">
        <f t="shared" si="2"/>
        <v/>
      </c>
      <c r="Q4229" s="25" t="str">
        <f ca="1">IFERROR(__xludf.DUMMYFUNCTION("""COMPUTED_VALUE"""),"Corto plazo")</f>
        <v>Corto plazo</v>
      </c>
      <c r="R4229" s="25"/>
      <c r="S4229" s="55"/>
      <c r="T4229" s="56"/>
      <c r="U4229" s="25"/>
      <c r="V4229" s="25"/>
      <c r="W4229" s="25"/>
      <c r="X4229" s="25"/>
      <c r="Y4229" s="25"/>
      <c r="Z4229" s="25"/>
    </row>
    <row r="4230" spans="1:26" ht="52.5" customHeight="1" x14ac:dyDescent="0.25">
      <c r="A4230" s="25" t="str">
        <f ca="1">IFERROR(__xludf.DUMMYFUNCTION("""COMPUTED_VALUE"""),"Movil28")</f>
        <v>Movil28</v>
      </c>
      <c r="B4230" s="25" t="str">
        <f ca="1">IFERROR(__xludf.DUMMYFUNCTION("""COMPUTED_VALUE"""),"Reunión Ministerio de Cultura ")</f>
        <v xml:space="preserve">Reunión Ministerio de Cultura </v>
      </c>
      <c r="C4230" s="55">
        <f ca="1">IFERROR(__xludf.DUMMYFUNCTION("""COMPUTED_VALUE"""),44616)</f>
        <v>44616</v>
      </c>
      <c r="D4230" s="25" t="str">
        <f ca="1">IFERROR(__xludf.DUMMYFUNCTION("""COMPUTED_VALUE"""),"Movilidad")</f>
        <v>Movilidad</v>
      </c>
      <c r="E4230" s="25" t="str">
        <f ca="1">IFERROR(__xludf.DUMMYFUNCTION("""COMPUTED_VALUE"""),"Instituto de Desarrollo Urbano")</f>
        <v>Instituto de Desarrollo Urbano</v>
      </c>
      <c r="F4230" s="25" t="str">
        <f ca="1">IFERROR(__xludf.DUMMYFUNCTION("""COMPUTED_VALUE"""),"Puente Grande calle 13. 
Estudio de peajes que confluyen sobre Bogotá y Cundinamarca para determinar si se pone uno más, se quita o se sustituye")</f>
        <v>Puente Grande calle 13. 
Estudio de peajes que confluyen sobre Bogotá y Cundinamarca para determinar si se pone uno más, se quita o se sustituye</v>
      </c>
      <c r="G4230" s="25" t="str">
        <f ca="1">IFERROR(__xludf.DUMMYFUNCTION("""COMPUTED_VALUE"""),"99. Distrito")</f>
        <v>99. Distrito</v>
      </c>
      <c r="H4230" s="55">
        <f ca="1">IFERROR(__xludf.DUMMYFUNCTION("""COMPUTED_VALUE"""),44646)</f>
        <v>44646</v>
      </c>
      <c r="I4230" s="25"/>
      <c r="J4230" s="55" t="str">
        <f ca="1">IFERROR(__xludf.DUMMYFUNCTION("""COMPUTED_VALUE"""),"Alta")</f>
        <v>Alta</v>
      </c>
      <c r="K4230" s="25">
        <f ca="1">IFERROR(__xludf.DUMMYFUNCTION("""COMPUTED_VALUE"""),30)</f>
        <v>30</v>
      </c>
      <c r="L4230" s="62">
        <f ca="1">IFERROR(__xludf.DUMMYFUNCTION("""COMPUTED_VALUE"""),44819)</f>
        <v>44819</v>
      </c>
      <c r="M4230" s="25" t="str">
        <f ca="1">IFERROR(__xludf.DUMMYFUNCTION("""COMPUTED_VALUE"""),"Esto hace parte del alcance de la consultoría con Steer en su fase técnica. Se están ajustando los escenarios futuros. La consultoria entregó los documentos pero está en revisión por parte de SDM. A la espera de los resultados finales.
 Se incorporaron aj"&amp;"ustes y escenarios adicionales requeridos por Entidades (Alcaldía, SDM, IDU y ANI) al modelo de transporte, el cual fue aprobado por parte de SDM el 30/06. Actualmente, se encuentra en revisión por parte de SDM el producto No. 6 ""Proyección de escenarios"&amp;" futuros"", se tiene programada reunión para el 17/08 para comentarios finales por parte de SDM. El contrato de Steer ya se encuentra en fase de acompañamiento
 Se han aprobado 5 de los 6 productos de Steer. El producto 6 se aprobó el 6 de octubre de 2022"&amp;". ")</f>
        <v xml:space="preserve">Esto hace parte del alcance de la consultoría con Steer en su fase técnica. Se están ajustando los escenarios futuros. La consultoria entregó los documentos pero está en revisión por parte de SDM. A la espera de los resultados finales.
 Se incorporaron ajustes y escenarios adicionales requeridos por Entidades (Alcaldía, SDM, IDU y ANI) al modelo de transporte, el cual fue aprobado por parte de SDM el 30/06. Actualmente, se encuentra en revisión por parte de SDM el producto No. 6 "Proyección de escenarios futuros", se tiene programada reunión para el 17/08 para comentarios finales por parte de SDM. El contrato de Steer ya se encuentra en fase de acompañamiento
 Se han aprobado 5 de los 6 productos de Steer. El producto 6 se aprobó el 6 de octubre de 2022. </v>
      </c>
      <c r="N4230" s="55">
        <f ca="1">IFERROR(__xludf.DUMMYFUNCTION("""COMPUTED_VALUE"""),44819)</f>
        <v>44819</v>
      </c>
      <c r="O4230" s="25" t="str">
        <f t="shared" ca="1" si="0"/>
        <v>Instituto de Desarrollo Urbano</v>
      </c>
      <c r="P4230" s="25" t="str">
        <f t="shared" si="2"/>
        <v/>
      </c>
      <c r="Q4230" s="25" t="str">
        <f ca="1">IFERROR(__xludf.DUMMYFUNCTION("""COMPUTED_VALUE"""),"Corto plazo")</f>
        <v>Corto plazo</v>
      </c>
      <c r="R4230" s="25"/>
      <c r="S4230" s="55"/>
      <c r="T4230" s="56"/>
      <c r="U4230" s="25"/>
      <c r="V4230" s="25"/>
      <c r="W4230" s="25"/>
      <c r="X4230" s="25"/>
      <c r="Y4230" s="25"/>
      <c r="Z4230" s="25"/>
    </row>
    <row r="4231" spans="1:26" ht="52.5" customHeight="1" x14ac:dyDescent="0.25">
      <c r="A4231" s="25" t="str">
        <f ca="1">IFERROR(__xludf.DUMMYFUNCTION("""COMPUTED_VALUE"""),"Movil29")</f>
        <v>Movil29</v>
      </c>
      <c r="B4231" s="25" t="str">
        <f ca="1">IFERROR(__xludf.DUMMYFUNCTION("""COMPUTED_VALUE"""),"Reunión Metro")</f>
        <v>Reunión Metro</v>
      </c>
      <c r="C4231" s="55">
        <f ca="1">IFERROR(__xludf.DUMMYFUNCTION("""COMPUTED_VALUE"""),44614)</f>
        <v>44614</v>
      </c>
      <c r="D4231" s="25" t="str">
        <f ca="1">IFERROR(__xludf.DUMMYFUNCTION("""COMPUTED_VALUE"""),"Movilidad")</f>
        <v>Movilidad</v>
      </c>
      <c r="E4231" s="25" t="str">
        <f ca="1">IFERROR(__xludf.DUMMYFUNCTION("""COMPUTED_VALUE"""),"Empresa Metro de Bogotá S.A.")</f>
        <v>Empresa Metro de Bogotá S.A.</v>
      </c>
      <c r="F4231" s="25" t="str">
        <f ca="1">IFERROR(__xludf.DUMMYFUNCTION("""COMPUTED_VALUE"""),"SLMB - Revisar en la 72 con Calle
 (estación 5) otra alternativa de alineamiento, diferente a la presentada, que no implique el cierre prolongado de la Calle 72 así requiera mayor compra de predios")</f>
        <v>SLMB - Revisar en la 72 con Calle
 (estación 5) otra alternativa de alineamiento, diferente a la presentada, que no implique el cierre prolongado de la Calle 72 así requiera mayor compra de predios</v>
      </c>
      <c r="G4231" s="25" t="str">
        <f ca="1">IFERROR(__xludf.DUMMYFUNCTION("""COMPUTED_VALUE"""),"99. Distrito")</f>
        <v>99. Distrito</v>
      </c>
      <c r="H4231" s="55">
        <f ca="1">IFERROR(__xludf.DUMMYFUNCTION("""COMPUTED_VALUE"""),44644)</f>
        <v>44644</v>
      </c>
      <c r="I4231" s="25"/>
      <c r="J4231" s="55" t="str">
        <f ca="1">IFERROR(__xludf.DUMMYFUNCTION("""COMPUTED_VALUE"""),"Alta")</f>
        <v>Alta</v>
      </c>
      <c r="K4231" s="25">
        <f ca="1">IFERROR(__xludf.DUMMYFUNCTION("""COMPUTED_VALUE"""),30)</f>
        <v>30</v>
      </c>
      <c r="L4231" s="62"/>
      <c r="M4231" s="25" t="str">
        <f ca="1">IFERROR(__xludf.DUMMYFUNCTION("""COMPUTED_VALUE"""),"Se presentó la alternativa indicando que se ajustó la estación hacia el costado norte, modificando el radio del trazado pero manteniendo una alta velocidad de operación y ubicándola en predios privados.")</f>
        <v>Se presentó la alternativa indicando que se ajustó la estación hacia el costado norte, modificando el radio del trazado pero manteniendo una alta velocidad de operación y ubicándola en predios privados.</v>
      </c>
      <c r="N4231" s="55">
        <f ca="1">IFERROR(__xludf.DUMMYFUNCTION("""COMPUTED_VALUE"""),44927)</f>
        <v>44927</v>
      </c>
      <c r="O4231" s="25" t="str">
        <f t="shared" ca="1" si="0"/>
        <v>Empresa Metro de Bogotá S.A.</v>
      </c>
      <c r="P4231" s="25" t="str">
        <f t="shared" si="2"/>
        <v/>
      </c>
      <c r="Q4231" s="25" t="str">
        <f ca="1">IFERROR(__xludf.DUMMYFUNCTION("""COMPUTED_VALUE"""),"Corto plazo")</f>
        <v>Corto plazo</v>
      </c>
      <c r="R4231" s="25"/>
      <c r="S4231" s="55"/>
      <c r="T4231" s="56"/>
      <c r="U4231" s="25"/>
      <c r="V4231" s="25"/>
      <c r="W4231" s="25"/>
      <c r="X4231" s="25"/>
      <c r="Y4231" s="25"/>
      <c r="Z4231" s="25"/>
    </row>
    <row r="4232" spans="1:26" ht="52.5" customHeight="1" x14ac:dyDescent="0.25">
      <c r="A4232" s="25" t="str">
        <f ca="1">IFERROR(__xludf.DUMMYFUNCTION("""COMPUTED_VALUE"""),"Movil30")</f>
        <v>Movil30</v>
      </c>
      <c r="B4232" s="25" t="str">
        <f ca="1">IFERROR(__xludf.DUMMYFUNCTION("""COMPUTED_VALUE"""),"Reunión Metro")</f>
        <v>Reunión Metro</v>
      </c>
      <c r="C4232" s="55">
        <f ca="1">IFERROR(__xludf.DUMMYFUNCTION("""COMPUTED_VALUE"""),44614)</f>
        <v>44614</v>
      </c>
      <c r="D4232" s="25" t="str">
        <f ca="1">IFERROR(__xludf.DUMMYFUNCTION("""COMPUTED_VALUE"""),"Movilidad")</f>
        <v>Movilidad</v>
      </c>
      <c r="E4232" s="25" t="str">
        <f ca="1">IFERROR(__xludf.DUMMYFUNCTION("""COMPUTED_VALUE"""),"Empresa Metro de Bogotá S.A.")</f>
        <v>Empresa Metro de Bogotá S.A.</v>
      </c>
      <c r="F4232" s="25" t="str">
        <f ca="1">IFERROR(__xludf.DUMMYFUNCTION("""COMPUTED_VALUE"""),"SLMB- Revisar que todas las estaciones tengan cicloparqueaderos en función de la demanda")</f>
        <v>SLMB- Revisar que todas las estaciones tengan cicloparqueaderos en función de la demanda</v>
      </c>
      <c r="G4232" s="25" t="str">
        <f ca="1">IFERROR(__xludf.DUMMYFUNCTION("""COMPUTED_VALUE"""),"99. Distrito")</f>
        <v>99. Distrito</v>
      </c>
      <c r="H4232" s="55">
        <f ca="1">IFERROR(__xludf.DUMMYFUNCTION("""COMPUTED_VALUE"""),44644)</f>
        <v>44644</v>
      </c>
      <c r="I4232" s="25"/>
      <c r="J4232" s="55" t="str">
        <f ca="1">IFERROR(__xludf.DUMMYFUNCTION("""COMPUTED_VALUE"""),"Alta")</f>
        <v>Alta</v>
      </c>
      <c r="K4232" s="25">
        <f ca="1">IFERROR(__xludf.DUMMYFUNCTION("""COMPUTED_VALUE"""),30)</f>
        <v>30</v>
      </c>
      <c r="L4232" s="62"/>
      <c r="M4232" s="25" t="str">
        <f ca="1">IFERROR(__xludf.DUMMYFUNCTION("""COMPUTED_VALUE"""),"Se presenta la oferta y demanda de biciparqueaderos en todas las estaciones de la SLMB. En total la SLMB tendrá 21 mil cicloparqueaderos, en promedio 1900 por estación.")</f>
        <v>Se presenta la oferta y demanda de biciparqueaderos en todas las estaciones de la SLMB. En total la SLMB tendrá 21 mil cicloparqueaderos, en promedio 1900 por estación.</v>
      </c>
      <c r="N4232" s="55">
        <f ca="1">IFERROR(__xludf.DUMMYFUNCTION("""COMPUTED_VALUE"""),44927)</f>
        <v>44927</v>
      </c>
      <c r="O4232" s="25" t="str">
        <f t="shared" ca="1" si="0"/>
        <v>Empresa Metro de Bogotá S.A.</v>
      </c>
      <c r="P4232" s="25" t="str">
        <f t="shared" si="2"/>
        <v/>
      </c>
      <c r="Q4232" s="25" t="str">
        <f ca="1">IFERROR(__xludf.DUMMYFUNCTION("""COMPUTED_VALUE"""),"Corto plazo")</f>
        <v>Corto plazo</v>
      </c>
      <c r="R4232" s="25"/>
      <c r="S4232" s="55"/>
      <c r="T4232" s="56"/>
      <c r="U4232" s="25"/>
      <c r="V4232" s="25"/>
      <c r="W4232" s="25"/>
      <c r="X4232" s="25"/>
      <c r="Y4232" s="25"/>
      <c r="Z4232" s="25"/>
    </row>
    <row r="4233" spans="1:26" ht="52.5" customHeight="1" x14ac:dyDescent="0.25">
      <c r="A4233" s="25" t="str">
        <f ca="1">IFERROR(__xludf.DUMMYFUNCTION("""COMPUTED_VALUE"""),"Movil31")</f>
        <v>Movil31</v>
      </c>
      <c r="B4233" s="25" t="str">
        <f ca="1">IFERROR(__xludf.DUMMYFUNCTION("""COMPUTED_VALUE"""),"Reunión Metro")</f>
        <v>Reunión Metro</v>
      </c>
      <c r="C4233" s="55">
        <f ca="1">IFERROR(__xludf.DUMMYFUNCTION("""COMPUTED_VALUE"""),44614)</f>
        <v>44614</v>
      </c>
      <c r="D4233" s="25" t="str">
        <f ca="1">IFERROR(__xludf.DUMMYFUNCTION("""COMPUTED_VALUE"""),"Movilidad")</f>
        <v>Movilidad</v>
      </c>
      <c r="E4233" s="25" t="str">
        <f ca="1">IFERROR(__xludf.DUMMYFUNCTION("""COMPUTED_VALUE"""),"Empresa Metro de Bogotá S.A.")</f>
        <v>Empresa Metro de Bogotá S.A.</v>
      </c>
      <c r="F4233" s="25" t="str">
        <f ca="1">IFERROR(__xludf.DUMMYFUNCTION("""COMPUTED_VALUE"""),"SLMB - Hacer matriz de comparación de esquema app y ley 80 incluyendo criterios de tiempos considerando los reales en otras experiencias y no solo los de ley, institucional, jurídico, tiempos y de mercado.")</f>
        <v>SLMB - Hacer matriz de comparación de esquema app y ley 80 incluyendo criterios de tiempos considerando los reales en otras experiencias y no solo los de ley, institucional, jurídico, tiempos y de mercado.</v>
      </c>
      <c r="G4233" s="25" t="str">
        <f ca="1">IFERROR(__xludf.DUMMYFUNCTION("""COMPUTED_VALUE"""),"99. Distrito")</f>
        <v>99. Distrito</v>
      </c>
      <c r="H4233" s="55">
        <f ca="1">IFERROR(__xludf.DUMMYFUNCTION("""COMPUTED_VALUE"""),44644)</f>
        <v>44644</v>
      </c>
      <c r="I4233" s="25"/>
      <c r="J4233" s="55" t="str">
        <f ca="1">IFERROR(__xludf.DUMMYFUNCTION("""COMPUTED_VALUE"""),"Alta")</f>
        <v>Alta</v>
      </c>
      <c r="K4233" s="25">
        <f ca="1">IFERROR(__xludf.DUMMYFUNCTION("""COMPUTED_VALUE"""),30)</f>
        <v>30</v>
      </c>
      <c r="L4233" s="62"/>
      <c r="M4233" s="25" t="str">
        <f ca="1">IFERROR(__xludf.DUMMYFUNCTION("""COMPUTED_VALUE"""),"Se presentó análisis legal y se concluyó que no existe diferencia sustancial entre que la Ley del contrato se por la Ley 1508 de 2012 de APP o la Ley 80 de 1993. Se aclara que esta decisión no se debe tomar en este momento.")</f>
        <v>Se presentó análisis legal y se concluyó que no existe diferencia sustancial entre que la Ley del contrato se por la Ley 1508 de 2012 de APP o la Ley 80 de 1993. Se aclara que esta decisión no se debe tomar en este momento.</v>
      </c>
      <c r="N4233" s="55">
        <f ca="1">IFERROR(__xludf.DUMMYFUNCTION("""COMPUTED_VALUE"""),44927)</f>
        <v>44927</v>
      </c>
      <c r="O4233" s="25" t="str">
        <f t="shared" ca="1" si="0"/>
        <v>Empresa Metro de Bogotá S.A.</v>
      </c>
      <c r="P4233" s="25" t="str">
        <f t="shared" si="2"/>
        <v/>
      </c>
      <c r="Q4233" s="25" t="str">
        <f ca="1">IFERROR(__xludf.DUMMYFUNCTION("""COMPUTED_VALUE"""),"Corto plazo")</f>
        <v>Corto plazo</v>
      </c>
      <c r="R4233" s="25"/>
      <c r="S4233" s="55"/>
      <c r="T4233" s="56"/>
      <c r="U4233" s="25"/>
      <c r="V4233" s="25"/>
      <c r="W4233" s="25"/>
      <c r="X4233" s="25"/>
      <c r="Y4233" s="25"/>
      <c r="Z4233" s="25"/>
    </row>
    <row r="4234" spans="1:26" ht="52.5" customHeight="1" x14ac:dyDescent="0.25">
      <c r="A4234" s="25" t="str">
        <f ca="1">IFERROR(__xludf.DUMMYFUNCTION("""COMPUTED_VALUE"""),"Movil32")</f>
        <v>Movil32</v>
      </c>
      <c r="B4234" s="25" t="str">
        <f ca="1">IFERROR(__xludf.DUMMYFUNCTION("""COMPUTED_VALUE"""),"Reunión Metro")</f>
        <v>Reunión Metro</v>
      </c>
      <c r="C4234" s="55">
        <f ca="1">IFERROR(__xludf.DUMMYFUNCTION("""COMPUTED_VALUE"""),44614)</f>
        <v>44614</v>
      </c>
      <c r="D4234" s="25" t="str">
        <f ca="1">IFERROR(__xludf.DUMMYFUNCTION("""COMPUTED_VALUE"""),"Movilidad")</f>
        <v>Movilidad</v>
      </c>
      <c r="E4234" s="25" t="str">
        <f ca="1">IFERROR(__xludf.DUMMYFUNCTION("""COMPUTED_VALUE"""),"Empresa Metro de Bogotá S.A.")</f>
        <v>Empresa Metro de Bogotá S.A.</v>
      </c>
      <c r="F4234" s="25" t="str">
        <f ca="1">IFERROR(__xludf.DUMMYFUNCTION("""COMPUTED_VALUE"""),"SLMB- Para la calle 72, dado que se recomienda dejar la estación al occidente de la Caracas, se debe revisar conexión de pasajeros subterránea y superficie con la PLMB y con el corredor verde de la K7.")</f>
        <v>SLMB- Para la calle 72, dado que se recomienda dejar la estación al occidente de la Caracas, se debe revisar conexión de pasajeros subterránea y superficie con la PLMB y con el corredor verde de la K7.</v>
      </c>
      <c r="G4234" s="25" t="str">
        <f ca="1">IFERROR(__xludf.DUMMYFUNCTION("""COMPUTED_VALUE"""),"99. Distrito")</f>
        <v>99. Distrito</v>
      </c>
      <c r="H4234" s="55">
        <f ca="1">IFERROR(__xludf.DUMMYFUNCTION("""COMPUTED_VALUE"""),44644)</f>
        <v>44644</v>
      </c>
      <c r="I4234" s="25"/>
      <c r="J4234" s="55" t="str">
        <f ca="1">IFERROR(__xludf.DUMMYFUNCTION("""COMPUTED_VALUE"""),"Alta")</f>
        <v>Alta</v>
      </c>
      <c r="K4234" s="25">
        <f ca="1">IFERROR(__xludf.DUMMYFUNCTION("""COMPUTED_VALUE"""),30)</f>
        <v>30</v>
      </c>
      <c r="L4234" s="62"/>
      <c r="M4234" s="25" t="str">
        <f ca="1">IFERROR(__xludf.DUMMYFUNCTION("""COMPUTED_VALUE"""),"Se ubicará la estación 1 (Calle 72X Caracas) de la SLMB al occidente de la Av. Caracas, permiento accesos y conexiones peatonales con la PLMB, la Troncal y zonas circundantes, considerando las restricciones generadas por el deprimido y el volumen de peato"&amp;"nes.")</f>
        <v>Se ubicará la estación 1 (Calle 72X Caracas) de la SLMB al occidente de la Av. Caracas, permiento accesos y conexiones peatonales con la PLMB, la Troncal y zonas circundantes, considerando las restricciones generadas por el deprimido y el volumen de peatones.</v>
      </c>
      <c r="N4234" s="55">
        <f ca="1">IFERROR(__xludf.DUMMYFUNCTION("""COMPUTED_VALUE"""),44927)</f>
        <v>44927</v>
      </c>
      <c r="O4234" s="25" t="str">
        <f t="shared" ca="1" si="0"/>
        <v>Empresa Metro de Bogotá S.A.</v>
      </c>
      <c r="P4234" s="25" t="str">
        <f t="shared" si="2"/>
        <v/>
      </c>
      <c r="Q4234" s="25" t="str">
        <f ca="1">IFERROR(__xludf.DUMMYFUNCTION("""COMPUTED_VALUE"""),"Corto plazo")</f>
        <v>Corto plazo</v>
      </c>
      <c r="R4234" s="25"/>
      <c r="S4234" s="55"/>
      <c r="T4234" s="56"/>
      <c r="U4234" s="25"/>
      <c r="V4234" s="25"/>
      <c r="W4234" s="25"/>
      <c r="X4234" s="25"/>
      <c r="Y4234" s="25"/>
      <c r="Z4234" s="25"/>
    </row>
    <row r="4235" spans="1:26" ht="52.5" customHeight="1" x14ac:dyDescent="0.25">
      <c r="A4235" s="25" t="str">
        <f ca="1">IFERROR(__xludf.DUMMYFUNCTION("""COMPUTED_VALUE"""),"Movil33")</f>
        <v>Movil33</v>
      </c>
      <c r="B4235" s="25" t="str">
        <f ca="1">IFERROR(__xludf.DUMMYFUNCTION("""COMPUTED_VALUE"""),"Reunión Metro")</f>
        <v>Reunión Metro</v>
      </c>
      <c r="C4235" s="55">
        <f ca="1">IFERROR(__xludf.DUMMYFUNCTION("""COMPUTED_VALUE"""),44614)</f>
        <v>44614</v>
      </c>
      <c r="D4235" s="25" t="str">
        <f ca="1">IFERROR(__xludf.DUMMYFUNCTION("""COMPUTED_VALUE"""),"Movilidad")</f>
        <v>Movilidad</v>
      </c>
      <c r="E4235" s="25" t="str">
        <f ca="1">IFERROR(__xludf.DUMMYFUNCTION("""COMPUTED_VALUE"""),"Empresa Metro de Bogotá S.A.")</f>
        <v>Empresa Metro de Bogotá S.A.</v>
      </c>
      <c r="F4235" s="25" t="str">
        <f ca="1">IFERROR(__xludf.DUMMYFUNCTION("""COMPUTED_VALUE"""),"Plantear discusión de vigencias futuras en dólares y mecanismos de cubrimiento del riesgo cambiaron con el Ministerio de hacienda (viceministro).")</f>
        <v>Plantear discusión de vigencias futuras en dólares y mecanismos de cubrimiento del riesgo cambiaron con el Ministerio de hacienda (viceministro).</v>
      </c>
      <c r="G4235" s="25" t="str">
        <f ca="1">IFERROR(__xludf.DUMMYFUNCTION("""COMPUTED_VALUE"""),"99. Distrito")</f>
        <v>99. Distrito</v>
      </c>
      <c r="H4235" s="55">
        <f ca="1">IFERROR(__xludf.DUMMYFUNCTION("""COMPUTED_VALUE"""),44644)</f>
        <v>44644</v>
      </c>
      <c r="I4235" s="25"/>
      <c r="J4235" s="55" t="str">
        <f ca="1">IFERROR(__xludf.DUMMYFUNCTION("""COMPUTED_VALUE"""),"Alta")</f>
        <v>Alta</v>
      </c>
      <c r="K4235" s="25">
        <f ca="1">IFERROR(__xludf.DUMMYFUNCTION("""COMPUTED_VALUE"""),30)</f>
        <v>30</v>
      </c>
      <c r="L4235" s="62">
        <f ca="1">IFERROR(__xludf.DUMMYFUNCTION("""COMPUTED_VALUE"""),44729)</f>
        <v>44729</v>
      </c>
      <c r="M4235" s="25" t="str">
        <f ca="1">IFERROR(__xludf.DUMMYFUNCTION("""COMPUTED_VALUE"""),"
El 18 de marzo de 2022 se radicó el aval técnico ante la Secretaria de Movilidad.  El 25 del mismo mes, la Alcaldía radicó este documento ante el Ministerio de Transporte.  De igual manera el 29 de marzo se realizó una reunión con el MHCP, DNP, MT, SHD, "&amp;"EMB, FDN, IDU para revisar la senda de aportes y en dicha reunión manifestamos la importancia de contar con Vigencias Futuras en dólares para mitigar el riesgo cambiario del proyecto L2 del Metro de Bogotá. 
El pasado 8 de junio de 2022, el Ministerio de"&amp;" Transporte radico unas observaciones a los documentos de los requisitos de cofinanciación, los cuales están siendo atendidos por la EMB y la FDN.  El 14 de junio de 2022 se surtió el tramite ante el CONFIS distrital para obtener el Aval Fiscal Territoria"&amp;"l y poder continuar los tramites del Convenio de Cofinanciación con la Nación.")</f>
        <v xml:space="preserve">
El 18 de marzo de 2022 se radicó el aval técnico ante la Secretaria de Movilidad.  El 25 del mismo mes, la Alcaldía radicó este documento ante el Ministerio de Transporte.  De igual manera el 29 de marzo se realizó una reunión con el MHCP, DNP, MT, SHD, EMB, FDN, IDU para revisar la senda de aportes y en dicha reunión manifestamos la importancia de contar con Vigencias Futuras en dólares para mitigar el riesgo cambiario del proyecto L2 del Metro de Bogotá. 
El pasado 8 de junio de 2022, el Ministerio de Transporte radico unas observaciones a los documentos de los requisitos de cofinanciación, los cuales están siendo atendidos por la EMB y la FDN.  El 14 de junio de 2022 se surtió el tramite ante el CONFIS distrital para obtener el Aval Fiscal Territorial y poder continuar los tramites del Convenio de Cofinanciación con la Nación.</v>
      </c>
      <c r="N4235" s="55">
        <f ca="1">IFERROR(__xludf.DUMMYFUNCTION("""COMPUTED_VALUE"""),44729)</f>
        <v>44729</v>
      </c>
      <c r="O4235" s="25" t="str">
        <f t="shared" ca="1" si="0"/>
        <v>Empresa Metro de Bogotá S.A.</v>
      </c>
      <c r="P4235" s="25" t="str">
        <f t="shared" si="2"/>
        <v/>
      </c>
      <c r="Q4235" s="25" t="str">
        <f ca="1">IFERROR(__xludf.DUMMYFUNCTION("""COMPUTED_VALUE"""),"Corto plazo")</f>
        <v>Corto plazo</v>
      </c>
      <c r="R4235" s="25"/>
      <c r="S4235" s="55"/>
      <c r="T4235" s="56"/>
      <c r="U4235" s="25"/>
      <c r="V4235" s="25"/>
      <c r="W4235" s="25"/>
      <c r="X4235" s="25"/>
      <c r="Y4235" s="25"/>
      <c r="Z4235" s="25"/>
    </row>
    <row r="4236" spans="1:26" ht="52.5" customHeight="1" x14ac:dyDescent="0.25">
      <c r="A4236" s="25" t="str">
        <f ca="1">IFERROR(__xludf.DUMMYFUNCTION("""COMPUTED_VALUE"""),"Movil34")</f>
        <v>Movil34</v>
      </c>
      <c r="B4236" s="25" t="str">
        <f ca="1">IFERROR(__xludf.DUMMYFUNCTION("""COMPUTED_VALUE"""),"Metro POT")</f>
        <v>Metro POT</v>
      </c>
      <c r="C4236" s="55">
        <f ca="1">IFERROR(__xludf.DUMMYFUNCTION("""COMPUTED_VALUE"""),44614)</f>
        <v>44614</v>
      </c>
      <c r="D4236" s="25" t="str">
        <f ca="1">IFERROR(__xludf.DUMMYFUNCTION("""COMPUTED_VALUE"""),"Movilidad")</f>
        <v>Movilidad</v>
      </c>
      <c r="E4236" s="25" t="str">
        <f ca="1">IFERROR(__xludf.DUMMYFUNCTION("""COMPUTED_VALUE"""),"Empresa Metro de Bogotá S.A.")</f>
        <v>Empresa Metro de Bogotá S.A.</v>
      </c>
      <c r="F4236" s="25" t="str">
        <f ca="1">IFERROR(__xludf.DUMMYFUNCTION("""COMPUTED_VALUE"""),"Se debe iniciar la formulación de las AIM por parte de la Empresa Metro de Bogotá, en el marco de las competencias asignadas por el Decreto 555 de 2021.")</f>
        <v>Se debe iniciar la formulación de las AIM por parte de la Empresa Metro de Bogotá, en el marco de las competencias asignadas por el Decreto 555 de 2021.</v>
      </c>
      <c r="G4236" s="25" t="str">
        <f ca="1">IFERROR(__xludf.DUMMYFUNCTION("""COMPUTED_VALUE"""),"99. Distrito")</f>
        <v>99. Distrito</v>
      </c>
      <c r="H4236" s="55">
        <f ca="1">IFERROR(__xludf.DUMMYFUNCTION("""COMPUTED_VALUE"""),44644)</f>
        <v>44644</v>
      </c>
      <c r="I4236" s="25"/>
      <c r="J4236" s="55" t="str">
        <f ca="1">IFERROR(__xludf.DUMMYFUNCTION("""COMPUTED_VALUE"""),"Alta")</f>
        <v>Alta</v>
      </c>
      <c r="K4236" s="25">
        <f ca="1">IFERROR(__xludf.DUMMYFUNCTION("""COMPUTED_VALUE"""),30)</f>
        <v>30</v>
      </c>
      <c r="L4236" s="62">
        <f ca="1">IFERROR(__xludf.DUMMYFUNCTION("""COMPUTED_VALUE"""),44773)</f>
        <v>44773</v>
      </c>
      <c r="M4236" s="25" t="str">
        <f ca="1">IFERROR(__xludf.DUMMYFUNCTION("""COMPUTED_VALUE"""),"Por instrucción de la alcaldía, se debe expedir un decreto reglamentario de AIM y PRUMS para el sector movilidad.  Este proceso lo liderará la SDM como cabeza del sector.  De este modo, se participó en la reunión del seguimiento a la reglamentación POT ci"&amp;"tada desde la alcaldía que se llevó a cabo el 18 de mayo.  
El 19 de mayo en la junta de infraestructura la SDM expuso el plan de trabajo para la reglamentación y planteó que la adopción del decreto estaría en agosto.
Adicionalmente, se reporta la partici"&amp;"pación en las siguientes mesas de trabajo:
-        20 y 24 de mayo reuniones de la EMB con Transmilenio para revisión de criterios de delimitación de los polígonos.
-        25 de mayo reunión convocada por la SDM para revisión de polígonos de AIM y PRUM"&amp;"S
El miércoles 29 de junio se realizó la junta de infraestructura cuyo objetivo fue la Captura de Valor del Suelo para Transporte Público. La agenda de esta junta fue la presentación de observaciones por parte de la SDP a la propuesta del sector movilida"&amp;"d (reglamentación PRUMS-AIM).  La solicitud de SDP en esta junta fue hacer una reglamentación de activación de norma por proyecto específico.  En esta reunión la EMB participó presentando la implicación de las observaciones de la SDP. El jueves 14 de juli"&amp;"o se participó en la mesa convocada por la Secretaría Distrital de Movilidad para evaluar la postura del sector frente a las observaciones de la SDP dadas en la junta de infraestructura del miércoles 29 de junio.")</f>
        <v>Por instrucción de la alcaldía, se debe expedir un decreto reglamentario de AIM y PRUMS para el sector movilidad.  Este proceso lo liderará la SDM como cabeza del sector.  De este modo, se participó en la reunión del seguimiento a la reglamentación POT citada desde la alcaldía que se llevó a cabo el 18 de mayo.  
El 19 de mayo en la junta de infraestructura la SDM expuso el plan de trabajo para la reglamentación y planteó que la adopción del decreto estaría en agosto.
Adicionalmente, se reporta la participación en las siguientes mesas de trabajo:
-        20 y 24 de mayo reuniones de la EMB con Transmilenio para revisión de criterios de delimitación de los polígonos.
-        25 de mayo reunión convocada por la SDM para revisión de polígonos de AIM y PRUMS
El miércoles 29 de junio se realizó la junta de infraestructura cuyo objetivo fue la Captura de Valor del Suelo para Transporte Público. La agenda de esta junta fue la presentación de observaciones por parte de la SDP a la propuesta del sector movilidad (reglamentación PRUMS-AIM).  La solicitud de SDP en esta junta fue hacer una reglamentación de activación de norma por proyecto específico.  En esta reunión la EMB participó presentando la implicación de las observaciones de la SDP. El jueves 14 de julio se participó en la mesa convocada por la Secretaría Distrital de Movilidad para evaluar la postura del sector frente a las observaciones de la SDP dadas en la junta de infraestructura del miércoles 29 de junio.</v>
      </c>
      <c r="N4236" s="55">
        <f ca="1">IFERROR(__xludf.DUMMYFUNCTION("""COMPUTED_VALUE"""),44773)</f>
        <v>44773</v>
      </c>
      <c r="O4236" s="25" t="str">
        <f t="shared" ca="1" si="0"/>
        <v>Empresa Metro de Bogotá S.A.</v>
      </c>
      <c r="P4236" s="25" t="str">
        <f t="shared" si="2"/>
        <v/>
      </c>
      <c r="Q4236" s="25" t="str">
        <f ca="1">IFERROR(__xludf.DUMMYFUNCTION("""COMPUTED_VALUE"""),"Corto plazo")</f>
        <v>Corto plazo</v>
      </c>
      <c r="R4236" s="25"/>
      <c r="S4236" s="55"/>
      <c r="T4236" s="56"/>
      <c r="U4236" s="25"/>
      <c r="V4236" s="25"/>
      <c r="W4236" s="25"/>
      <c r="X4236" s="25"/>
      <c r="Y4236" s="25"/>
      <c r="Z4236" s="25"/>
    </row>
    <row r="4237" spans="1:26" ht="52.5" customHeight="1" x14ac:dyDescent="0.25">
      <c r="A4237" s="25" t="str">
        <f ca="1">IFERROR(__xludf.DUMMYFUNCTION("""COMPUTED_VALUE"""),"Movil35")</f>
        <v>Movil35</v>
      </c>
      <c r="B4237" s="25" t="str">
        <f ca="1">IFERROR(__xludf.DUMMYFUNCTION("""COMPUTED_VALUE"""),"Mesa POT- Residentes")</f>
        <v>Mesa POT- Residentes</v>
      </c>
      <c r="C4237" s="55">
        <f ca="1">IFERROR(__xludf.DUMMYFUNCTION("""COMPUTED_VALUE"""),44613)</f>
        <v>44613</v>
      </c>
      <c r="D4237" s="25" t="str">
        <f ca="1">IFERROR(__xludf.DUMMYFUNCTION("""COMPUTED_VALUE"""),"Movilidad")</f>
        <v>Movilidad</v>
      </c>
      <c r="E4237" s="25" t="str">
        <f ca="1">IFERROR(__xludf.DUMMYFUNCTION("""COMPUTED_VALUE"""),"Secretaría Distrital de Movilidad")</f>
        <v>Secretaría Distrital de Movilidad</v>
      </c>
      <c r="F4237" s="25" t="str">
        <f ca="1">IFERROR(__xludf.DUMMYFUNCTION("""COMPUTED_VALUE"""),"Bosque urbano Santa Helena y Brazo Salitre: Se deben realizar los estudios de movilidad correspondientes para levantar reservas viales, desvio de tráfico, alternativas de conexión y complemento de la malla vial. Definir las fechas de entrega de estos estu"&amp;"dios. ")</f>
        <v xml:space="preserve">Bosque urbano Santa Helena y Brazo Salitre: Se deben realizar los estudios de movilidad correspondientes para levantar reservas viales, desvio de tráfico, alternativas de conexión y complemento de la malla vial. Definir las fechas de entrega de estos estudios. </v>
      </c>
      <c r="G4237" s="25" t="str">
        <f ca="1">IFERROR(__xludf.DUMMYFUNCTION("""COMPUTED_VALUE"""),"99. Distrito")</f>
        <v>99. Distrito</v>
      </c>
      <c r="H4237" s="55">
        <f ca="1">IFERROR(__xludf.DUMMYFUNCTION("""COMPUTED_VALUE"""),44652)</f>
        <v>44652</v>
      </c>
      <c r="I4237" s="25"/>
      <c r="J4237" s="55" t="str">
        <f ca="1">IFERROR(__xludf.DUMMYFUNCTION("""COMPUTED_VALUE"""),"Alta")</f>
        <v>Alta</v>
      </c>
      <c r="K4237" s="25">
        <f ca="1">IFERROR(__xludf.DUMMYFUNCTION("""COMPUTED_VALUE"""),39)</f>
        <v>39</v>
      </c>
      <c r="L4237" s="62">
        <f ca="1">IFERROR(__xludf.DUMMYFUNCTION("""COMPUTED_VALUE"""),44657)</f>
        <v>44657</v>
      </c>
      <c r="M4237" s="25" t="str">
        <f ca="1">IFERROR(__xludf.DUMMYFUNCTION("""COMPUTED_VALUE"""),"El viernes 01 de abril se reunieron los equipos de SDP y SDM para validar el modelo y metodología con la que se desarrollará la evaluación del modelo de transporte, y se fijó una mesa de trabajo para la revisión de los resultados para el 27 de abril, con "&amp;"la que se validará el complemento de la malla vial. 
- El Viernes 10 de Junio se reúnen los equipos de SDP-SDM- en junta para definir las acciones a realizar en el brazo Salitre, entendiendo que hay vías aledañas que pueden atender la carga. 
- El Jueves "&amp;"30 de junio se hace un alcance al oficio en el que se indican obras complementarias que se tendrían que desarrollar en el marco de la definición del estudio de factibilidad de la calle 63.")</f>
        <v>El viernes 01 de abril se reunieron los equipos de SDP y SDM para validar el modelo y metodología con la que se desarrollará la evaluación del modelo de transporte, y se fijó una mesa de trabajo para la revisión de los resultados para el 27 de abril, con la que se validará el complemento de la malla vial. 
- El Viernes 10 de Junio se reúnen los equipos de SDP-SDM- en junta para definir las acciones a realizar en el brazo Salitre, entendiendo que hay vías aledañas que pueden atender la carga. 
- El Jueves 30 de junio se hace un alcance al oficio en el que se indican obras complementarias que se tendrían que desarrollar en el marco de la definición del estudio de factibilidad de la calle 63.</v>
      </c>
      <c r="N4237" s="55">
        <f ca="1">IFERROR(__xludf.DUMMYFUNCTION("""COMPUTED_VALUE"""),44657)</f>
        <v>44657</v>
      </c>
      <c r="O4237" s="25" t="str">
        <f t="shared" ca="1" si="0"/>
        <v>Secretaría Distrital de Movilidad</v>
      </c>
      <c r="P4237" s="25" t="str">
        <f t="shared" si="2"/>
        <v/>
      </c>
      <c r="Q4237" s="25" t="str">
        <f ca="1">IFERROR(__xludf.DUMMYFUNCTION("""COMPUTED_VALUE"""),"Corto plazo")</f>
        <v>Corto plazo</v>
      </c>
      <c r="R4237" s="25"/>
      <c r="S4237" s="55"/>
      <c r="T4237" s="56"/>
      <c r="U4237" s="25"/>
      <c r="V4237" s="25"/>
      <c r="W4237" s="25"/>
      <c r="X4237" s="25"/>
      <c r="Y4237" s="25"/>
      <c r="Z4237" s="25"/>
    </row>
    <row r="4238" spans="1:26" ht="52.5" customHeight="1" x14ac:dyDescent="0.25">
      <c r="A4238" s="25" t="str">
        <f ca="1">IFERROR(__xludf.DUMMYFUNCTION("""COMPUTED_VALUE"""),"Movil36")</f>
        <v>Movil36</v>
      </c>
      <c r="B4238" s="25" t="str">
        <f ca="1">IFERROR(__xludf.DUMMYFUNCTION("""COMPUTED_VALUE"""),"Consejo de Gobierno")</f>
        <v>Consejo de Gobierno</v>
      </c>
      <c r="C4238" s="55">
        <f ca="1">IFERROR(__xludf.DUMMYFUNCTION("""COMPUTED_VALUE"""),44610)</f>
        <v>44610</v>
      </c>
      <c r="D4238" s="25" t="str">
        <f ca="1">IFERROR(__xludf.DUMMYFUNCTION("""COMPUTED_VALUE"""),"Movilidad")</f>
        <v>Movilidad</v>
      </c>
      <c r="E4238" s="25" t="str">
        <f ca="1">IFERROR(__xludf.DUMMYFUNCTION("""COMPUTED_VALUE"""),"Empresa Metro de Bogotá S.A.")</f>
        <v>Empresa Metro de Bogotá S.A.</v>
      </c>
      <c r="F4238" s="25" t="str">
        <f ca="1">IFERROR(__xludf.DUMMYFUNCTION("""COMPUTED_VALUE"""),"Definir esquema para capturar valor en las estaciones de la primera línea del metro, es fundamental la reglamentación.")</f>
        <v>Definir esquema para capturar valor en las estaciones de la primera línea del metro, es fundamental la reglamentación.</v>
      </c>
      <c r="G4238" s="25" t="str">
        <f ca="1">IFERROR(__xludf.DUMMYFUNCTION("""COMPUTED_VALUE"""),"99. Distrito")</f>
        <v>99. Distrito</v>
      </c>
      <c r="H4238" s="55">
        <f ca="1">IFERROR(__xludf.DUMMYFUNCTION("""COMPUTED_VALUE"""),44640)</f>
        <v>44640</v>
      </c>
      <c r="I4238" s="25"/>
      <c r="J4238" s="55" t="str">
        <f ca="1">IFERROR(__xludf.DUMMYFUNCTION("""COMPUTED_VALUE"""),"Alta")</f>
        <v>Alta</v>
      </c>
      <c r="K4238" s="25">
        <f ca="1">IFERROR(__xludf.DUMMYFUNCTION("""COMPUTED_VALUE"""),30)</f>
        <v>30</v>
      </c>
      <c r="L4238" s="62">
        <f ca="1">IFERROR(__xludf.DUMMYFUNCTION("""COMPUTED_VALUE"""),44773)</f>
        <v>44773</v>
      </c>
      <c r="M4238" s="25" t="str">
        <f ca="1">IFERROR(__xludf.DUMMYFUNCTION("""COMPUTED_VALUE"""),"Por instrucción de la alcaldía, se debe expedir un decreto reglamentario de AIM y PRUMS para el sector movilidad.  Este proceso lo liderará la SDM como cabeza del sector.  De este modo, se participó en la reunión del seguimiento a la reglamentación POT ci"&amp;"tada desde la alcaldía que se llevó a cabo el 18 de mayo.  
El 19 de mayo en la junta de infraestructura la SDM expuso el plan de trabajo para la reglamentación y planteó que la adopción del decreto estaría en agosto.
Adicionalmente, se reporta la partici"&amp;"pación en las siguientes mesas de trabajo:
-        20 y 24 de mayo reuniones de la EMB con Transmilenio para revisión de criterios de delimitación de los polígonos.
-        25 de mayo reunión convocada por la SDM para revisión de polígonos de AIM y PRUM"&amp;"S
El miércoles 29 de junio se realizó la junta de infraestructura cuyo objetivo fue la Captura de Valor del Suelo para Transporte Público. La agenda de esta junta fue la presentación de observaciones por parte de la SDP a la propuesta del sector movilida"&amp;"d (reglamentación PRUMS-AIM).  La solicitud de SDP en esta junta fue hacer una reglamentación de activación de norma por proyecto específico.  En esta reunión la EMB participó presentando la implicación de las observaciones de la SDP. El jueves 14 de juli"&amp;"o se participó en la mesa convocada por la Secretaría Distrital de Movilidad para evaluar la postura del sector frente a las observaciones de la SDP dadas en la junta de infraestructura del miércoles 29 de junio.")</f>
        <v>Por instrucción de la alcaldía, se debe expedir un decreto reglamentario de AIM y PRUMS para el sector movilidad.  Este proceso lo liderará la SDM como cabeza del sector.  De este modo, se participó en la reunión del seguimiento a la reglamentación POT citada desde la alcaldía que se llevó a cabo el 18 de mayo.  
El 19 de mayo en la junta de infraestructura la SDM expuso el plan de trabajo para la reglamentación y planteó que la adopción del decreto estaría en agosto.
Adicionalmente, se reporta la participación en las siguientes mesas de trabajo:
-        20 y 24 de mayo reuniones de la EMB con Transmilenio para revisión de criterios de delimitación de los polígonos.
-        25 de mayo reunión convocada por la SDM para revisión de polígonos de AIM y PRUMS
El miércoles 29 de junio se realizó la junta de infraestructura cuyo objetivo fue la Captura de Valor del Suelo para Transporte Público. La agenda de esta junta fue la presentación de observaciones por parte de la SDP a la propuesta del sector movilidad (reglamentación PRUMS-AIM).  La solicitud de SDP en esta junta fue hacer una reglamentación de activación de norma por proyecto específico.  En esta reunión la EMB participó presentando la implicación de las observaciones de la SDP. El jueves 14 de julio se participó en la mesa convocada por la Secretaría Distrital de Movilidad para evaluar la postura del sector frente a las observaciones de la SDP dadas en la junta de infraestructura del miércoles 29 de junio.</v>
      </c>
      <c r="N4238" s="55">
        <f ca="1">IFERROR(__xludf.DUMMYFUNCTION("""COMPUTED_VALUE"""),44773)</f>
        <v>44773</v>
      </c>
      <c r="O4238" s="25" t="str">
        <f t="shared" ca="1" si="0"/>
        <v>Empresa Metro de Bogotá S.A.</v>
      </c>
      <c r="P4238" s="25" t="str">
        <f t="shared" si="2"/>
        <v/>
      </c>
      <c r="Q4238" s="25" t="str">
        <f ca="1">IFERROR(__xludf.DUMMYFUNCTION("""COMPUTED_VALUE"""),"Corto plazo")</f>
        <v>Corto plazo</v>
      </c>
      <c r="R4238" s="25"/>
      <c r="S4238" s="55"/>
      <c r="T4238" s="56"/>
      <c r="U4238" s="25"/>
      <c r="V4238" s="25"/>
      <c r="W4238" s="25"/>
      <c r="X4238" s="25"/>
      <c r="Y4238" s="25"/>
      <c r="Z4238" s="25"/>
    </row>
    <row r="4239" spans="1:26" ht="52.5" customHeight="1" x14ac:dyDescent="0.25">
      <c r="A4239" s="25" t="str">
        <f ca="1">IFERROR(__xludf.DUMMYFUNCTION("""COMPUTED_VALUE"""),"Movil37")</f>
        <v>Movil37</v>
      </c>
      <c r="B4239" s="25" t="str">
        <f ca="1">IFERROR(__xludf.DUMMYFUNCTION("""COMPUTED_VALUE"""),"Datos abiertos de Bogotá y tablero de frentes de obra")</f>
        <v>Datos abiertos de Bogotá y tablero de frentes de obra</v>
      </c>
      <c r="C4239" s="55">
        <f ca="1">IFERROR(__xludf.DUMMYFUNCTION("""COMPUTED_VALUE"""),44610)</f>
        <v>44610</v>
      </c>
      <c r="D4239" s="25" t="str">
        <f ca="1">IFERROR(__xludf.DUMMYFUNCTION("""COMPUTED_VALUE"""),"Movilidad")</f>
        <v>Movilidad</v>
      </c>
      <c r="E4239" s="25" t="str">
        <f ca="1">IFERROR(__xludf.DUMMYFUNCTION("""COMPUTED_VALUE"""),"Instituto de Desarrollo Urbano")</f>
        <v>Instituto de Desarrollo Urbano</v>
      </c>
      <c r="F4239" s="25" t="str">
        <f ca="1">IFERROR(__xludf.DUMMYFUNCTION("""COMPUTED_VALUE"""),"Para el tablero de frentes de obra:
Elegir las obras más grandes/emblemáticas y ponerles una cámara y al resto de obras galería de fotos que se vaya actualizando.
")</f>
        <v xml:space="preserve">Para el tablero de frentes de obra:
Elegir las obras más grandes/emblemáticas y ponerles una cámara y al resto de obras galería de fotos que se vaya actualizando.
</v>
      </c>
      <c r="G4239" s="25" t="str">
        <f ca="1">IFERROR(__xludf.DUMMYFUNCTION("""COMPUTED_VALUE"""),"99. Distrito")</f>
        <v>99. Distrito</v>
      </c>
      <c r="H4239" s="55">
        <f ca="1">IFERROR(__xludf.DUMMYFUNCTION("""COMPUTED_VALUE"""),44640)</f>
        <v>44640</v>
      </c>
      <c r="I4239" s="25"/>
      <c r="J4239" s="55" t="str">
        <f ca="1">IFERROR(__xludf.DUMMYFUNCTION("""COMPUTED_VALUE"""),"Alta")</f>
        <v>Alta</v>
      </c>
      <c r="K4239" s="25">
        <f ca="1">IFERROR(__xludf.DUMMYFUNCTION("""COMPUTED_VALUE"""),30)</f>
        <v>30</v>
      </c>
      <c r="L4239" s="62">
        <f ca="1">IFERROR(__xludf.DUMMYFUNCTION("""COMPUTED_VALUE"""),44748)</f>
        <v>44748</v>
      </c>
      <c r="M4239" s="25" t="str">
        <f ca="1">IFERROR(__xludf.DUMMYFUNCTION("""COMPUTED_VALUE"""),"Se revisa el tema. ")</f>
        <v xml:space="preserve">Se revisa el tema. </v>
      </c>
      <c r="N4239" s="55">
        <f ca="1">IFERROR(__xludf.DUMMYFUNCTION("""COMPUTED_VALUE"""),44748)</f>
        <v>44748</v>
      </c>
      <c r="O4239" s="25" t="str">
        <f t="shared" ca="1" si="0"/>
        <v>Instituto de Desarrollo Urbano</v>
      </c>
      <c r="P4239" s="25" t="str">
        <f t="shared" si="2"/>
        <v/>
      </c>
      <c r="Q4239" s="25" t="str">
        <f ca="1">IFERROR(__xludf.DUMMYFUNCTION("""COMPUTED_VALUE"""),"Corto plazo")</f>
        <v>Corto plazo</v>
      </c>
      <c r="R4239" s="25"/>
      <c r="S4239" s="55"/>
      <c r="T4239" s="56"/>
      <c r="U4239" s="25"/>
      <c r="V4239" s="25"/>
      <c r="W4239" s="25"/>
      <c r="X4239" s="25"/>
      <c r="Y4239" s="25"/>
      <c r="Z4239" s="25"/>
    </row>
    <row r="4240" spans="1:26" ht="52.5" customHeight="1" x14ac:dyDescent="0.25">
      <c r="A4240" s="25" t="str">
        <f ca="1">IFERROR(__xludf.DUMMYFUNCTION("""COMPUTED_VALUE"""),"Movil38")</f>
        <v>Movil38</v>
      </c>
      <c r="B4240" s="25" t="str">
        <f ca="1">IFERROR(__xludf.DUMMYFUNCTION("""COMPUTED_VALUE"""),"Junta de infraestructura")</f>
        <v>Junta de infraestructura</v>
      </c>
      <c r="C4240" s="55">
        <f ca="1">IFERROR(__xludf.DUMMYFUNCTION("""COMPUTED_VALUE"""),44608)</f>
        <v>44608</v>
      </c>
      <c r="D4240" s="25" t="str">
        <f ca="1">IFERROR(__xludf.DUMMYFUNCTION("""COMPUTED_VALUE"""),"Movilidad")</f>
        <v>Movilidad</v>
      </c>
      <c r="E4240" s="25" t="str">
        <f ca="1">IFERROR(__xludf.DUMMYFUNCTION("""COMPUTED_VALUE"""),"Instituto de Desarrollo Urbano")</f>
        <v>Instituto de Desarrollo Urbano</v>
      </c>
      <c r="F4240" s="25" t="str">
        <f ca="1">IFERROR(__xludf.DUMMYFUNCTION("""COMPUTED_VALUE"""),"Troncales alimentadoras:
Se solicita gestionar con prioridad  los trámites pendientes relacionados en la presentación (se comparte a las entidades la presentación). 
El IDU deberá reportar los avances en el cumplimiento de los compromisos.
")</f>
        <v xml:space="preserve">Troncales alimentadoras:
Se solicita gestionar con prioridad  los trámites pendientes relacionados en la presentación (se comparte a las entidades la presentación). 
El IDU deberá reportar los avances en el cumplimiento de los compromisos.
</v>
      </c>
      <c r="G4240" s="25" t="str">
        <f ca="1">IFERROR(__xludf.DUMMYFUNCTION("""COMPUTED_VALUE"""),"99. Distrito")</f>
        <v>99. Distrito</v>
      </c>
      <c r="H4240" s="55">
        <f ca="1">IFERROR(__xludf.DUMMYFUNCTION("""COMPUTED_VALUE"""),44638)</f>
        <v>44638</v>
      </c>
      <c r="I4240" s="25"/>
      <c r="J4240" s="55" t="str">
        <f ca="1">IFERROR(__xludf.DUMMYFUNCTION("""COMPUTED_VALUE"""),"Alta")</f>
        <v>Alta</v>
      </c>
      <c r="K4240" s="25">
        <f ca="1">IFERROR(__xludf.DUMMYFUNCTION("""COMPUTED_VALUE"""),30)</f>
        <v>30</v>
      </c>
      <c r="L4240" s="62">
        <f ca="1">IFERROR(__xludf.DUMMYFUNCTION("""COMPUTED_VALUE"""),44748)</f>
        <v>44748</v>
      </c>
      <c r="M4240" s="25" t="str">
        <f ca="1">IFERROR(__xludf.DUMMYFUNCTION("""COMPUTED_VALUE"""),"Ya los trámites se cumplieron.")</f>
        <v>Ya los trámites se cumplieron.</v>
      </c>
      <c r="N4240" s="55">
        <f ca="1">IFERROR(__xludf.DUMMYFUNCTION("""COMPUTED_VALUE"""),44748)</f>
        <v>44748</v>
      </c>
      <c r="O4240" s="25" t="str">
        <f t="shared" ca="1" si="0"/>
        <v>Instituto de Desarrollo Urbano</v>
      </c>
      <c r="P4240" s="25" t="str">
        <f t="shared" si="2"/>
        <v/>
      </c>
      <c r="Q4240" s="25" t="str">
        <f ca="1">IFERROR(__xludf.DUMMYFUNCTION("""COMPUTED_VALUE"""),"Corto plazo")</f>
        <v>Corto plazo</v>
      </c>
      <c r="R4240" s="25"/>
      <c r="S4240" s="55"/>
      <c r="T4240" s="56"/>
      <c r="U4240" s="25"/>
      <c r="V4240" s="25"/>
      <c r="W4240" s="25"/>
      <c r="X4240" s="25"/>
      <c r="Y4240" s="25"/>
      <c r="Z4240" s="25"/>
    </row>
    <row r="4241" spans="1:26" ht="52.5" customHeight="1" x14ac:dyDescent="0.25">
      <c r="A4241" s="25" t="str">
        <f ca="1">IFERROR(__xludf.DUMMYFUNCTION("""COMPUTED_VALUE"""),"Movil39")</f>
        <v>Movil39</v>
      </c>
      <c r="B4241" s="25" t="str">
        <f ca="1">IFERROR(__xludf.DUMMYFUNCTION("""COMPUTED_VALUE"""),"Junta de infraestructura")</f>
        <v>Junta de infraestructura</v>
      </c>
      <c r="C4241" s="55">
        <f ca="1">IFERROR(__xludf.DUMMYFUNCTION("""COMPUTED_VALUE"""),44608)</f>
        <v>44608</v>
      </c>
      <c r="D4241" s="25" t="str">
        <f ca="1">IFERROR(__xludf.DUMMYFUNCTION("""COMPUTED_VALUE"""),"Movilidad")</f>
        <v>Movilidad</v>
      </c>
      <c r="E4241" s="25" t="str">
        <f ca="1">IFERROR(__xludf.DUMMYFUNCTION("""COMPUTED_VALUE"""),"Instituto de Desarrollo Urbano")</f>
        <v>Instituto de Desarrollo Urbano</v>
      </c>
      <c r="F4241" s="25" t="str">
        <f ca="1">IFERROR(__xludf.DUMMYFUNCTION("""COMPUTED_VALUE"""),"Av. Ciudad de Cali:
Determinar cuánto cuestan los dos pontones, el carril adicional que se requieren y cómo se compran dentro del contrato del Grupo 4, cuándo se pondrán (circuito sur). Y si esto lo cubre el PMT.
")</f>
        <v xml:space="preserve">Av. Ciudad de Cali:
Determinar cuánto cuestan los dos pontones, el carril adicional que se requieren y cómo se compran dentro del contrato del Grupo 4, cuándo se pondrán (circuito sur). Y si esto lo cubre el PMT.
</v>
      </c>
      <c r="G4241" s="25" t="str">
        <f ca="1">IFERROR(__xludf.DUMMYFUNCTION("""COMPUTED_VALUE"""),"99. Distrito")</f>
        <v>99. Distrito</v>
      </c>
      <c r="H4241" s="55">
        <f ca="1">IFERROR(__xludf.DUMMYFUNCTION("""COMPUTED_VALUE"""),44638)</f>
        <v>44638</v>
      </c>
      <c r="I4241" s="25"/>
      <c r="J4241" s="55" t="str">
        <f ca="1">IFERROR(__xludf.DUMMYFUNCTION("""COMPUTED_VALUE"""),"Alta")</f>
        <v>Alta</v>
      </c>
      <c r="K4241" s="25">
        <f ca="1">IFERROR(__xludf.DUMMYFUNCTION("""COMPUTED_VALUE"""),30)</f>
        <v>30</v>
      </c>
      <c r="L4241" s="62">
        <f ca="1">IFERROR(__xludf.DUMMYFUNCTION("""COMPUTED_VALUE"""),44748)</f>
        <v>44748</v>
      </c>
      <c r="M4241" s="25" t="str">
        <f ca="1">IFERROR(__xludf.DUMMYFUNCTION("""COMPUTED_VALUE"""),"Los pontones se tenían como una alternativa de desvío, pero después de evaluar otra alternativa que mejora la movilidad se tomará como vía de desvío la avenida guayacanes, Se realizará por desvíos pero aún no se cuenta con el presupuesto, hasta contar la "&amp;"viabilidad de desvío por SDM")</f>
        <v>Los pontones se tenían como una alternativa de desvío, pero después de evaluar otra alternativa que mejora la movilidad se tomará como vía de desvío la avenida guayacanes, Se realizará por desvíos pero aún no se cuenta con el presupuesto, hasta contar la viabilidad de desvío por SDM</v>
      </c>
      <c r="N4241" s="55">
        <f ca="1">IFERROR(__xludf.DUMMYFUNCTION("""COMPUTED_VALUE"""),44748)</f>
        <v>44748</v>
      </c>
      <c r="O4241" s="25" t="str">
        <f t="shared" ca="1" si="0"/>
        <v>Instituto de Desarrollo Urbano</v>
      </c>
      <c r="P4241" s="25" t="str">
        <f t="shared" si="2"/>
        <v/>
      </c>
      <c r="Q4241" s="25" t="str">
        <f ca="1">IFERROR(__xludf.DUMMYFUNCTION("""COMPUTED_VALUE"""),"Corto plazo")</f>
        <v>Corto plazo</v>
      </c>
      <c r="R4241" s="25"/>
      <c r="S4241" s="55"/>
      <c r="T4241" s="56"/>
      <c r="U4241" s="25"/>
      <c r="V4241" s="25"/>
      <c r="W4241" s="25"/>
      <c r="X4241" s="25"/>
      <c r="Y4241" s="25"/>
      <c r="Z4241" s="25"/>
    </row>
    <row r="4242" spans="1:26" ht="52.5" customHeight="1" x14ac:dyDescent="0.25">
      <c r="A4242" s="25" t="str">
        <f ca="1">IFERROR(__xludf.DUMMYFUNCTION("""COMPUTED_VALUE"""),"Movil40")</f>
        <v>Movil40</v>
      </c>
      <c r="B4242" s="25" t="str">
        <f ca="1">IFERROR(__xludf.DUMMYFUNCTION("""COMPUTED_VALUE"""),"Junta de infraestructura")</f>
        <v>Junta de infraestructura</v>
      </c>
      <c r="C4242" s="55">
        <f ca="1">IFERROR(__xludf.DUMMYFUNCTION("""COMPUTED_VALUE"""),44608)</f>
        <v>44608</v>
      </c>
      <c r="D4242" s="25" t="str">
        <f ca="1">IFERROR(__xludf.DUMMYFUNCTION("""COMPUTED_VALUE"""),"Movilidad")</f>
        <v>Movilidad</v>
      </c>
      <c r="E4242" s="25" t="str">
        <f ca="1">IFERROR(__xludf.DUMMYFUNCTION("""COMPUTED_VALUE"""),"Instituto de Desarrollo Urbano")</f>
        <v>Instituto de Desarrollo Urbano</v>
      </c>
      <c r="F4242" s="25" t="str">
        <f ca="1">IFERROR(__xludf.DUMMYFUNCTION("""COMPUTED_VALUE"""),"Av. Ciudad de Cali:
 Indicar el costo para el Grupo 3 circuito de PMT hacia el norte, incluyendo la pavimento y mejora dela vía de la 6, el pontón. Y si esto lo cubre el PMT.")</f>
        <v>Av. Ciudad de Cali:
 Indicar el costo para el Grupo 3 circuito de PMT hacia el norte, incluyendo la pavimento y mejora dela vía de la 6, el pontón. Y si esto lo cubre el PMT.</v>
      </c>
      <c r="G4242" s="25" t="str">
        <f ca="1">IFERROR(__xludf.DUMMYFUNCTION("""COMPUTED_VALUE"""),"99. Distrito")</f>
        <v>99. Distrito</v>
      </c>
      <c r="H4242" s="55">
        <f ca="1">IFERROR(__xludf.DUMMYFUNCTION("""COMPUTED_VALUE"""),44638)</f>
        <v>44638</v>
      </c>
      <c r="I4242" s="25"/>
      <c r="J4242" s="55" t="str">
        <f ca="1">IFERROR(__xludf.DUMMYFUNCTION("""COMPUTED_VALUE"""),"Alta")</f>
        <v>Alta</v>
      </c>
      <c r="K4242" s="25">
        <f ca="1">IFERROR(__xludf.DUMMYFUNCTION("""COMPUTED_VALUE"""),30)</f>
        <v>30</v>
      </c>
      <c r="L4242" s="62">
        <f ca="1">IFERROR(__xludf.DUMMYFUNCTION("""COMPUTED_VALUE"""),44893)</f>
        <v>44893</v>
      </c>
      <c r="M4242" s="25" t="str">
        <f ca="1">IFERROR(__xludf.DUMMYFUNCTION("""COMPUTED_VALUE"""),"Los pontones se tenían como una alternativa de desvío, pero después de evaluar otra alternativa que mejora la movilidad se tomará como vía de desvío la avenida guayacanes. Se está ejecutando ampliación de calle 6 como adecuación de desvío para implementac"&amp;"ión de PMT de alto impacto")</f>
        <v>Los pontones se tenían como una alternativa de desvío, pero después de evaluar otra alternativa que mejora la movilidad se tomará como vía de desvío la avenida guayacanes. Se está ejecutando ampliación de calle 6 como adecuación de desvío para implementación de PMT de alto impacto</v>
      </c>
      <c r="N4242" s="55">
        <f ca="1">IFERROR(__xludf.DUMMYFUNCTION("""COMPUTED_VALUE"""),44893)</f>
        <v>44893</v>
      </c>
      <c r="O4242" s="25" t="str">
        <f t="shared" ca="1" si="0"/>
        <v>Instituto de Desarrollo Urbano</v>
      </c>
      <c r="P4242" s="25" t="str">
        <f t="shared" si="2"/>
        <v/>
      </c>
      <c r="Q4242" s="25" t="str">
        <f ca="1">IFERROR(__xludf.DUMMYFUNCTION("""COMPUTED_VALUE"""),"Corto plazo")</f>
        <v>Corto plazo</v>
      </c>
      <c r="R4242" s="25"/>
      <c r="S4242" s="55"/>
      <c r="T4242" s="56"/>
      <c r="U4242" s="25"/>
      <c r="V4242" s="25"/>
      <c r="W4242" s="25"/>
      <c r="X4242" s="25"/>
      <c r="Y4242" s="25"/>
      <c r="Z4242" s="25"/>
    </row>
    <row r="4243" spans="1:26" ht="52.5" customHeight="1" x14ac:dyDescent="0.25">
      <c r="A4243" s="25" t="str">
        <f ca="1">IFERROR(__xludf.DUMMYFUNCTION("""COMPUTED_VALUE"""),"Movil41")</f>
        <v>Movil41</v>
      </c>
      <c r="B4243" s="25" t="str">
        <f ca="1">IFERROR(__xludf.DUMMYFUNCTION("""COMPUTED_VALUE"""),"Junta de infraestructura")</f>
        <v>Junta de infraestructura</v>
      </c>
      <c r="C4243" s="55">
        <f ca="1">IFERROR(__xludf.DUMMYFUNCTION("""COMPUTED_VALUE"""),44608)</f>
        <v>44608</v>
      </c>
      <c r="D4243" s="25" t="str">
        <f ca="1">IFERROR(__xludf.DUMMYFUNCTION("""COMPUTED_VALUE"""),"Movilidad")</f>
        <v>Movilidad</v>
      </c>
      <c r="E4243" s="25" t="str">
        <f ca="1">IFERROR(__xludf.DUMMYFUNCTION("""COMPUTED_VALUE"""),"Instituto de Desarrollo Urbano")</f>
        <v>Instituto de Desarrollo Urbano</v>
      </c>
      <c r="F4243" s="25" t="str">
        <f ca="1">IFERROR(__xludf.DUMMYFUNCTION("""COMPUTED_VALUE"""),"Av. Ciudad de Cali:
 IDU debe radicar el PMT de la Cali con la alternativa analizada en campo.")</f>
        <v>Av. Ciudad de Cali:
 IDU debe radicar el PMT de la Cali con la alternativa analizada en campo.</v>
      </c>
      <c r="G4243" s="25" t="str">
        <f ca="1">IFERROR(__xludf.DUMMYFUNCTION("""COMPUTED_VALUE"""),"99. Distrito")</f>
        <v>99. Distrito</v>
      </c>
      <c r="H4243" s="55">
        <f ca="1">IFERROR(__xludf.DUMMYFUNCTION("""COMPUTED_VALUE"""),44638)</f>
        <v>44638</v>
      </c>
      <c r="I4243" s="25"/>
      <c r="J4243" s="55" t="str">
        <f ca="1">IFERROR(__xludf.DUMMYFUNCTION("""COMPUTED_VALUE"""),"Alta")</f>
        <v>Alta</v>
      </c>
      <c r="K4243" s="25">
        <f ca="1">IFERROR(__xludf.DUMMYFUNCTION("""COMPUTED_VALUE"""),30)</f>
        <v>30</v>
      </c>
      <c r="L4243" s="62">
        <f ca="1">IFERROR(__xludf.DUMMYFUNCTION("""COMPUTED_VALUE"""),44623)</f>
        <v>44623</v>
      </c>
      <c r="M4243" s="25" t="str">
        <f ca="1">IFERROR(__xludf.DUMMYFUNCTION("""COMPUTED_VALUE"""),"Fecha de radicación 10 de marzo")</f>
        <v>Fecha de radicación 10 de marzo</v>
      </c>
      <c r="N4243" s="55">
        <f ca="1">IFERROR(__xludf.DUMMYFUNCTION("""COMPUTED_VALUE"""),44623)</f>
        <v>44623</v>
      </c>
      <c r="O4243" s="25" t="str">
        <f t="shared" ca="1" si="0"/>
        <v>Instituto de Desarrollo Urbano</v>
      </c>
      <c r="P4243" s="25" t="str">
        <f t="shared" si="2"/>
        <v/>
      </c>
      <c r="Q4243" s="25" t="str">
        <f ca="1">IFERROR(__xludf.DUMMYFUNCTION("""COMPUTED_VALUE"""),"Corto plazo")</f>
        <v>Corto plazo</v>
      </c>
      <c r="R4243" s="25"/>
      <c r="S4243" s="55"/>
      <c r="T4243" s="56"/>
      <c r="U4243" s="25"/>
      <c r="V4243" s="25"/>
      <c r="W4243" s="25"/>
      <c r="X4243" s="25"/>
      <c r="Y4243" s="25"/>
      <c r="Z4243" s="25"/>
    </row>
    <row r="4244" spans="1:26" ht="52.5" customHeight="1" x14ac:dyDescent="0.25">
      <c r="A4244" s="25" t="str">
        <f ca="1">IFERROR(__xludf.DUMMYFUNCTION("""COMPUTED_VALUE"""),"Movil42")</f>
        <v>Movil42</v>
      </c>
      <c r="B4244" s="25" t="str">
        <f ca="1">IFERROR(__xludf.DUMMYFUNCTION("""COMPUTED_VALUE"""),"Junta de infraestructura")</f>
        <v>Junta de infraestructura</v>
      </c>
      <c r="C4244" s="55">
        <f ca="1">IFERROR(__xludf.DUMMYFUNCTION("""COMPUTED_VALUE"""),44608)</f>
        <v>44608</v>
      </c>
      <c r="D4244" s="25" t="str">
        <f ca="1">IFERROR(__xludf.DUMMYFUNCTION("""COMPUTED_VALUE"""),"Movilidad")</f>
        <v>Movilidad</v>
      </c>
      <c r="E4244" s="25" t="str">
        <f ca="1">IFERROR(__xludf.DUMMYFUNCTION("""COMPUTED_VALUE"""),"Secretaría Distrital de Movilidad")</f>
        <v>Secretaría Distrital de Movilidad</v>
      </c>
      <c r="F4244" s="25" t="str">
        <f ca="1">IFERROR(__xludf.DUMMYFUNCTION("""COMPUTED_VALUE"""),"Av. Ciudad de Cali:
 Aprobar el PMT de la Cali de acuerdo con lo discutido en la visita en campo.")</f>
        <v>Av. Ciudad de Cali:
 Aprobar el PMT de la Cali de acuerdo con lo discutido en la visita en campo.</v>
      </c>
      <c r="G4244" s="25" t="str">
        <f ca="1">IFERROR(__xludf.DUMMYFUNCTION("""COMPUTED_VALUE"""),"99. Distrito")</f>
        <v>99. Distrito</v>
      </c>
      <c r="H4244" s="55">
        <f ca="1">IFERROR(__xludf.DUMMYFUNCTION("""COMPUTED_VALUE"""),44638)</f>
        <v>44638</v>
      </c>
      <c r="I4244" s="25"/>
      <c r="J4244" s="55" t="str">
        <f ca="1">IFERROR(__xludf.DUMMYFUNCTION("""COMPUTED_VALUE"""),"Alta")</f>
        <v>Alta</v>
      </c>
      <c r="K4244" s="25">
        <f ca="1">IFERROR(__xludf.DUMMYFUNCTION("""COMPUTED_VALUE"""),30)</f>
        <v>30</v>
      </c>
      <c r="L4244" s="62">
        <f ca="1">IFERROR(__xludf.DUMMYFUNCTION("""COMPUTED_VALUE"""),44832)</f>
        <v>44832</v>
      </c>
      <c r="M4244" s="25" t="str">
        <f ca="1">IFERROR(__xludf.DUMMYFUNCTION("""COMPUTED_VALUE"""),"La estación Tintal a la fecha se encuentra en operación. Posterior a la implementación del Plan de Contingencia el día 13 de mayo de 2022, se realizaron dos mesas de trabajo entre el IDU, TransMIlenio y SDM, los días 14-JUL-22 y 4-AGO-22, en las mismas, T"&amp;"ransMilenio confirma que no se requiere continuar con la implementación del Plan de Contingencia, considerando que en seguimiento la estación opera de buen manera mediante un solo carril. Se solicita desde la SDM, remitir comunicado desde TransMilenio e I"&amp;"DU confirmando lo informado en las reuniones realizadas.")</f>
        <v>La estación Tintal a la fecha se encuentra en operación. Posterior a la implementación del Plan de Contingencia el día 13 de mayo de 2022, se realizaron dos mesas de trabajo entre el IDU, TransMIlenio y SDM, los días 14-JUL-22 y 4-AGO-22, en las mismas, TransMilenio confirma que no se requiere continuar con la implementación del Plan de Contingencia, considerando que en seguimiento la estación opera de buen manera mediante un solo carril. Se solicita desde la SDM, remitir comunicado desde TransMilenio e IDU confirmando lo informado en las reuniones realizadas.</v>
      </c>
      <c r="N4244" s="55">
        <f ca="1">IFERROR(__xludf.DUMMYFUNCTION("""COMPUTED_VALUE"""),44832)</f>
        <v>44832</v>
      </c>
      <c r="O4244" s="25" t="str">
        <f t="shared" ca="1" si="0"/>
        <v>Secretaría Distrital de Movilidad</v>
      </c>
      <c r="P4244" s="25" t="str">
        <f t="shared" si="2"/>
        <v/>
      </c>
      <c r="Q4244" s="25" t="str">
        <f ca="1">IFERROR(__xludf.DUMMYFUNCTION("""COMPUTED_VALUE"""),"Corto plazo")</f>
        <v>Corto plazo</v>
      </c>
      <c r="R4244" s="25"/>
      <c r="S4244" s="55"/>
      <c r="T4244" s="56"/>
      <c r="U4244" s="25"/>
      <c r="V4244" s="25"/>
      <c r="W4244" s="25"/>
      <c r="X4244" s="25"/>
      <c r="Y4244" s="25"/>
      <c r="Z4244" s="25"/>
    </row>
    <row r="4245" spans="1:26" ht="52.5" customHeight="1" x14ac:dyDescent="0.25">
      <c r="A4245" s="25" t="str">
        <f ca="1">IFERROR(__xludf.DUMMYFUNCTION("""COMPUTED_VALUE"""),"Movil43")</f>
        <v>Movil43</v>
      </c>
      <c r="B4245" s="25" t="str">
        <f ca="1">IFERROR(__xludf.DUMMYFUNCTION("""COMPUTED_VALUE"""),"Junta de infraestructura")</f>
        <v>Junta de infraestructura</v>
      </c>
      <c r="C4245" s="55">
        <f ca="1">IFERROR(__xludf.DUMMYFUNCTION("""COMPUTED_VALUE"""),44608)</f>
        <v>44608</v>
      </c>
      <c r="D4245" s="25" t="str">
        <f ca="1">IFERROR(__xludf.DUMMYFUNCTION("""COMPUTED_VALUE"""),"Movilidad")</f>
        <v>Movilidad</v>
      </c>
      <c r="E4245" s="25" t="str">
        <f ca="1">IFERROR(__xludf.DUMMYFUNCTION("""COMPUTED_VALUE"""),"Instituto de Desarrollo Urbano")</f>
        <v>Instituto de Desarrollo Urbano</v>
      </c>
      <c r="F4245" s="25" t="str">
        <f ca="1">IFERROR(__xludf.DUMMYFUNCTION("""COMPUTED_VALUE"""),"Av, ciudad de Cali:
 Remitir la información al secretario privado para que apoye con la superintendencia de notariado y registro, en especial de la oficina del Sur. El IDU debe remitir la información.")</f>
        <v>Av, ciudad de Cali:
 Remitir la información al secretario privado para que apoye con la superintendencia de notariado y registro, en especial de la oficina del Sur. El IDU debe remitir la información.</v>
      </c>
      <c r="G4245" s="25" t="str">
        <f ca="1">IFERROR(__xludf.DUMMYFUNCTION("""COMPUTED_VALUE"""),"99. Distrito")</f>
        <v>99. Distrito</v>
      </c>
      <c r="H4245" s="55">
        <f ca="1">IFERROR(__xludf.DUMMYFUNCTION("""COMPUTED_VALUE"""),44638)</f>
        <v>44638</v>
      </c>
      <c r="I4245" s="25"/>
      <c r="J4245" s="55" t="str">
        <f ca="1">IFERROR(__xludf.DUMMYFUNCTION("""COMPUTED_VALUE"""),"Alta")</f>
        <v>Alta</v>
      </c>
      <c r="K4245" s="25">
        <f ca="1">IFERROR(__xludf.DUMMYFUNCTION("""COMPUTED_VALUE"""),30)</f>
        <v>30</v>
      </c>
      <c r="L4245" s="62">
        <f ca="1">IFERROR(__xludf.DUMMYFUNCTION("""COMPUTED_VALUE"""),44748)</f>
        <v>44748</v>
      </c>
      <c r="M4245" s="25" t="str">
        <f ca="1">IFERROR(__xludf.DUMMYFUNCTION("""COMPUTED_VALUE"""),"El IDU adelanta una gestión directa y se va a poder sacar adelante sin ayuda del secretario privado. Ya se soluciono. 
")</f>
        <v xml:space="preserve">El IDU adelanta una gestión directa y se va a poder sacar adelante sin ayuda del secretario privado. Ya se soluciono. 
</v>
      </c>
      <c r="N4245" s="55">
        <f ca="1">IFERROR(__xludf.DUMMYFUNCTION("""COMPUTED_VALUE"""),44748)</f>
        <v>44748</v>
      </c>
      <c r="O4245" s="25" t="str">
        <f t="shared" ca="1" si="0"/>
        <v>Instituto de Desarrollo Urbano</v>
      </c>
      <c r="P4245" s="25" t="str">
        <f t="shared" si="2"/>
        <v/>
      </c>
      <c r="Q4245" s="25" t="str">
        <f ca="1">IFERROR(__xludf.DUMMYFUNCTION("""COMPUTED_VALUE"""),"Corto plazo")</f>
        <v>Corto plazo</v>
      </c>
      <c r="R4245" s="25"/>
      <c r="S4245" s="55"/>
      <c r="T4245" s="56"/>
      <c r="U4245" s="25"/>
      <c r="V4245" s="25"/>
      <c r="W4245" s="25"/>
      <c r="X4245" s="25"/>
      <c r="Y4245" s="25"/>
      <c r="Z4245" s="25"/>
    </row>
    <row r="4246" spans="1:26" ht="52.5" customHeight="1" x14ac:dyDescent="0.25">
      <c r="A4246" s="25" t="str">
        <f ca="1">IFERROR(__xludf.DUMMYFUNCTION("""COMPUTED_VALUE"""),"Movil44")</f>
        <v>Movil44</v>
      </c>
      <c r="B4246" s="25" t="str">
        <f ca="1">IFERROR(__xludf.DUMMYFUNCTION("""COMPUTED_VALUE"""),"Junta de infraestructura")</f>
        <v>Junta de infraestructura</v>
      </c>
      <c r="C4246" s="55">
        <f ca="1">IFERROR(__xludf.DUMMYFUNCTION("""COMPUTED_VALUE"""),44608)</f>
        <v>44608</v>
      </c>
      <c r="D4246" s="25" t="str">
        <f ca="1">IFERROR(__xludf.DUMMYFUNCTION("""COMPUTED_VALUE"""),"Movilidad")</f>
        <v>Movilidad</v>
      </c>
      <c r="E4246" s="25" t="str">
        <f ca="1">IFERROR(__xludf.DUMMYFUNCTION("""COMPUTED_VALUE"""),"Instituto de Desarrollo Urbano")</f>
        <v>Instituto de Desarrollo Urbano</v>
      </c>
      <c r="F4246" s="25" t="str">
        <f ca="1">IFERROR(__xludf.DUMMYFUNCTION("""COMPUTED_VALUE"""),"Av. 68:
 Remitir la información al secretario privado para que apoye con la Oficina de Registro Sur e ICBF en la gestión de los predios de la Cali y 68.")</f>
        <v>Av. 68:
 Remitir la información al secretario privado para que apoye con la Oficina de Registro Sur e ICBF en la gestión de los predios de la Cali y 68.</v>
      </c>
      <c r="G4246" s="25" t="str">
        <f ca="1">IFERROR(__xludf.DUMMYFUNCTION("""COMPUTED_VALUE"""),"99. Distrito")</f>
        <v>99. Distrito</v>
      </c>
      <c r="H4246" s="55">
        <f ca="1">IFERROR(__xludf.DUMMYFUNCTION("""COMPUTED_VALUE"""),44638)</f>
        <v>44638</v>
      </c>
      <c r="I4246" s="25"/>
      <c r="J4246" s="55" t="str">
        <f ca="1">IFERROR(__xludf.DUMMYFUNCTION("""COMPUTED_VALUE"""),"Alta")</f>
        <v>Alta</v>
      </c>
      <c r="K4246" s="25">
        <f ca="1">IFERROR(__xludf.DUMMYFUNCTION("""COMPUTED_VALUE"""),30)</f>
        <v>30</v>
      </c>
      <c r="L4246" s="62">
        <f ca="1">IFERROR(__xludf.DUMMYFUNCTION("""COMPUTED_VALUE"""),44748)</f>
        <v>44748</v>
      </c>
      <c r="M4246" s="25" t="str">
        <f ca="1">IFERROR(__xludf.DUMMYFUNCTION("""COMPUTED_VALUE"""),"El IDU adelanta una gestión directa y se va a poder sacar adelante sin ayuda del secretario privado. Ya se soluciono. 
")</f>
        <v xml:space="preserve">El IDU adelanta una gestión directa y se va a poder sacar adelante sin ayuda del secretario privado. Ya se soluciono. 
</v>
      </c>
      <c r="N4246" s="55">
        <f ca="1">IFERROR(__xludf.DUMMYFUNCTION("""COMPUTED_VALUE"""),44748)</f>
        <v>44748</v>
      </c>
      <c r="O4246" s="25" t="str">
        <f t="shared" ca="1" si="0"/>
        <v>Instituto de Desarrollo Urbano</v>
      </c>
      <c r="P4246" s="25" t="str">
        <f t="shared" si="2"/>
        <v/>
      </c>
      <c r="Q4246" s="25" t="str">
        <f ca="1">IFERROR(__xludf.DUMMYFUNCTION("""COMPUTED_VALUE"""),"Corto plazo")</f>
        <v>Corto plazo</v>
      </c>
      <c r="R4246" s="25"/>
      <c r="S4246" s="55"/>
      <c r="T4246" s="56"/>
      <c r="U4246" s="25"/>
      <c r="V4246" s="25"/>
      <c r="W4246" s="25"/>
      <c r="X4246" s="25"/>
      <c r="Y4246" s="25"/>
      <c r="Z4246" s="25"/>
    </row>
    <row r="4247" spans="1:26" ht="52.5" customHeight="1" x14ac:dyDescent="0.25">
      <c r="A4247" s="25" t="str">
        <f ca="1">IFERROR(__xludf.DUMMYFUNCTION("""COMPUTED_VALUE"""),"Movil45")</f>
        <v>Movil45</v>
      </c>
      <c r="B4247" s="25" t="str">
        <f ca="1">IFERROR(__xludf.DUMMYFUNCTION("""COMPUTED_VALUE"""),"Junta de infraestructura")</f>
        <v>Junta de infraestructura</v>
      </c>
      <c r="C4247" s="55">
        <f ca="1">IFERROR(__xludf.DUMMYFUNCTION("""COMPUTED_VALUE"""),44608)</f>
        <v>44608</v>
      </c>
      <c r="D4247" s="25" t="str">
        <f ca="1">IFERROR(__xludf.DUMMYFUNCTION("""COMPUTED_VALUE"""),"Movilidad")</f>
        <v>Movilidad</v>
      </c>
      <c r="E4247" s="25" t="str">
        <f ca="1">IFERROR(__xludf.DUMMYFUNCTION("""COMPUTED_VALUE"""),"Instituto de Desarrollo Urbano")</f>
        <v>Instituto de Desarrollo Urbano</v>
      </c>
      <c r="F4247" s="25" t="str">
        <f ca="1">IFERROR(__xludf.DUMMYFUNCTION("""COMPUTED_VALUE"""),"Av. 68:
 Coordinar con el Secretario Privado Hacer feria con los servicios del distrito a lo largo de la troncal 68.")</f>
        <v>Av. 68:
 Coordinar con el Secretario Privado Hacer feria con los servicios del distrito a lo largo de la troncal 68.</v>
      </c>
      <c r="G4247" s="25" t="str">
        <f ca="1">IFERROR(__xludf.DUMMYFUNCTION("""COMPUTED_VALUE"""),"99. Distrito")</f>
        <v>99. Distrito</v>
      </c>
      <c r="H4247" s="55">
        <f ca="1">IFERROR(__xludf.DUMMYFUNCTION("""COMPUTED_VALUE"""),44638)</f>
        <v>44638</v>
      </c>
      <c r="I4247" s="25"/>
      <c r="J4247" s="55" t="str">
        <f ca="1">IFERROR(__xludf.DUMMYFUNCTION("""COMPUTED_VALUE"""),"Alta")</f>
        <v>Alta</v>
      </c>
      <c r="K4247" s="25">
        <f ca="1">IFERROR(__xludf.DUMMYFUNCTION("""COMPUTED_VALUE"""),30)</f>
        <v>30</v>
      </c>
      <c r="L4247" s="62">
        <f ca="1">IFERROR(__xludf.DUMMYFUNCTION("""COMPUTED_VALUE"""),44748)</f>
        <v>44748</v>
      </c>
      <c r="M4247" s="25" t="str">
        <f ca="1">IFERROR(__xludf.DUMMYFUNCTION("""COMPUTED_VALUE"""),"Ya se coordinó con el Secretario de Gobierno,  en la próxima junta se informará.")</f>
        <v>Ya se coordinó con el Secretario de Gobierno,  en la próxima junta se informará.</v>
      </c>
      <c r="N4247" s="55">
        <f ca="1">IFERROR(__xludf.DUMMYFUNCTION("""COMPUTED_VALUE"""),44748)</f>
        <v>44748</v>
      </c>
      <c r="O4247" s="25" t="str">
        <f t="shared" ca="1" si="0"/>
        <v>Instituto de Desarrollo Urbano</v>
      </c>
      <c r="P4247" s="25" t="str">
        <f t="shared" si="2"/>
        <v/>
      </c>
      <c r="Q4247" s="25" t="str">
        <f ca="1">IFERROR(__xludf.DUMMYFUNCTION("""COMPUTED_VALUE"""),"Corto plazo")</f>
        <v>Corto plazo</v>
      </c>
      <c r="R4247" s="25"/>
      <c r="S4247" s="55"/>
      <c r="T4247" s="56"/>
      <c r="U4247" s="25"/>
      <c r="V4247" s="25"/>
      <c r="W4247" s="25"/>
      <c r="X4247" s="25"/>
      <c r="Y4247" s="25"/>
      <c r="Z4247" s="25"/>
    </row>
    <row r="4248" spans="1:26" ht="52.5" customHeight="1" x14ac:dyDescent="0.25">
      <c r="A4248" s="25" t="str">
        <f ca="1">IFERROR(__xludf.DUMMYFUNCTION("""COMPUTED_VALUE"""),"Movil46")</f>
        <v>Movil46</v>
      </c>
      <c r="B4248" s="25" t="str">
        <f ca="1">IFERROR(__xludf.DUMMYFUNCTION("""COMPUTED_VALUE"""),"Junta de infraestructura")</f>
        <v>Junta de infraestructura</v>
      </c>
      <c r="C4248" s="55">
        <f ca="1">IFERROR(__xludf.DUMMYFUNCTION("""COMPUTED_VALUE"""),44608)</f>
        <v>44608</v>
      </c>
      <c r="D4248" s="25" t="str">
        <f ca="1">IFERROR(__xludf.DUMMYFUNCTION("""COMPUTED_VALUE"""),"Movilidad")</f>
        <v>Movilidad</v>
      </c>
      <c r="E4248" s="25" t="str">
        <f ca="1">IFERROR(__xludf.DUMMYFUNCTION("""COMPUTED_VALUE"""),"Instituto de Desarrollo Urbano")</f>
        <v>Instituto de Desarrollo Urbano</v>
      </c>
      <c r="F4248" s="25" t="str">
        <f ca="1">IFERROR(__xludf.DUMMYFUNCTION("""COMPUTED_VALUE"""),"AV 68:
 Redactar y enviar a SDP propuesta de Decreto para hacer la apertura de fachadas de predios que no fueron afectados en la adquisición de predios")</f>
        <v>AV 68:
 Redactar y enviar a SDP propuesta de Decreto para hacer la apertura de fachadas de predios que no fueron afectados en la adquisición de predios</v>
      </c>
      <c r="G4248" s="25" t="str">
        <f ca="1">IFERROR(__xludf.DUMMYFUNCTION("""COMPUTED_VALUE"""),"99. Distrito")</f>
        <v>99. Distrito</v>
      </c>
      <c r="H4248" s="55">
        <f ca="1">IFERROR(__xludf.DUMMYFUNCTION("""COMPUTED_VALUE"""),44638)</f>
        <v>44638</v>
      </c>
      <c r="I4248" s="25"/>
      <c r="J4248" s="55" t="str">
        <f ca="1">IFERROR(__xludf.DUMMYFUNCTION("""COMPUTED_VALUE"""),"Alta")</f>
        <v>Alta</v>
      </c>
      <c r="K4248" s="25">
        <f ca="1">IFERROR(__xludf.DUMMYFUNCTION("""COMPUTED_VALUE"""),30)</f>
        <v>30</v>
      </c>
      <c r="L4248" s="62">
        <f ca="1">IFERROR(__xludf.DUMMYFUNCTION("""COMPUTED_VALUE"""),44776)</f>
        <v>44776</v>
      </c>
      <c r="M4248" s="25" t="str">
        <f ca="1">IFERROR(__xludf.DUMMYFUNCTION("""COMPUTED_VALUE"""),"Se aportan las consideraciones más relevantes a SDP asociadas a la propuesta de norma en elaboración, se debió ajustar al decreto 190, se espera enviar a más tardar el 12/08/2022. ")</f>
        <v xml:space="preserve">Se aportan las consideraciones más relevantes a SDP asociadas a la propuesta de norma en elaboración, se debió ajustar al decreto 190, se espera enviar a más tardar el 12/08/2022. </v>
      </c>
      <c r="N4248" s="55">
        <f ca="1">IFERROR(__xludf.DUMMYFUNCTION("""COMPUTED_VALUE"""),44776)</f>
        <v>44776</v>
      </c>
      <c r="O4248" s="25" t="str">
        <f t="shared" ca="1" si="0"/>
        <v>Instituto de Desarrollo Urbano</v>
      </c>
      <c r="P4248" s="25" t="str">
        <f t="shared" si="2"/>
        <v/>
      </c>
      <c r="Q4248" s="25" t="str">
        <f ca="1">IFERROR(__xludf.DUMMYFUNCTION("""COMPUTED_VALUE"""),"Corto plazo")</f>
        <v>Corto plazo</v>
      </c>
      <c r="R4248" s="25"/>
      <c r="S4248" s="55"/>
      <c r="T4248" s="56"/>
      <c r="U4248" s="25"/>
      <c r="V4248" s="25"/>
      <c r="W4248" s="25"/>
      <c r="X4248" s="25"/>
      <c r="Y4248" s="25"/>
      <c r="Z4248" s="25"/>
    </row>
    <row r="4249" spans="1:26" ht="52.5" customHeight="1" x14ac:dyDescent="0.25">
      <c r="A4249" s="25" t="str">
        <f ca="1">IFERROR(__xludf.DUMMYFUNCTION("""COMPUTED_VALUE"""),"Movil47")</f>
        <v>Movil47</v>
      </c>
      <c r="B4249" s="25" t="str">
        <f ca="1">IFERROR(__xludf.DUMMYFUNCTION("""COMPUTED_VALUE"""),"Junta de infraestructura")</f>
        <v>Junta de infraestructura</v>
      </c>
      <c r="C4249" s="55">
        <f ca="1">IFERROR(__xludf.DUMMYFUNCTION("""COMPUTED_VALUE"""),44608)</f>
        <v>44608</v>
      </c>
      <c r="D4249" s="25" t="str">
        <f ca="1">IFERROR(__xludf.DUMMYFUNCTION("""COMPUTED_VALUE"""),"Movilidad")</f>
        <v>Movilidad</v>
      </c>
      <c r="E4249" s="25" t="str">
        <f ca="1">IFERROR(__xludf.DUMMYFUNCTION("""COMPUTED_VALUE"""),"Instituto de Desarrollo Urbano")</f>
        <v>Instituto de Desarrollo Urbano</v>
      </c>
      <c r="F4249" s="25" t="str">
        <f ca="1">IFERROR(__xludf.DUMMYFUNCTION("""COMPUTED_VALUE"""),"Av 68
Propuesta de presupuesto de cuánto paga el acueducto y cuanto el IDU para cambios de tecnologías sin zanja la tubería mayor a 4 metros de profundidad.
")</f>
        <v xml:space="preserve">Av 68
Propuesta de presupuesto de cuánto paga el acueducto y cuanto el IDU para cambios de tecnologías sin zanja la tubería mayor a 4 metros de profundidad.
</v>
      </c>
      <c r="G4249" s="25" t="str">
        <f ca="1">IFERROR(__xludf.DUMMYFUNCTION("""COMPUTED_VALUE"""),"99. Distrito")</f>
        <v>99. Distrito</v>
      </c>
      <c r="H4249" s="55">
        <f ca="1">IFERROR(__xludf.DUMMYFUNCTION("""COMPUTED_VALUE"""),44804)</f>
        <v>44804</v>
      </c>
      <c r="I4249" s="25"/>
      <c r="J4249" s="55" t="str">
        <f ca="1">IFERROR(__xludf.DUMMYFUNCTION("""COMPUTED_VALUE"""),"Baja")</f>
        <v>Baja</v>
      </c>
      <c r="K4249" s="25">
        <f ca="1">IFERROR(__xludf.DUMMYFUNCTION("""COMPUTED_VALUE"""),196)</f>
        <v>196</v>
      </c>
      <c r="L4249" s="62">
        <f ca="1">IFERROR(__xludf.DUMMYFUNCTION("""COMPUTED_VALUE"""),44893)</f>
        <v>44893</v>
      </c>
      <c r="M4249" s="25" t="str">
        <f ca="1">IFERROR(__xludf.DUMMYFUNCTION("""COMPUTED_VALUE"""),"Se logró acuerdo de competencia de cada una de las entidades. En proceso de firma actas de competencia.
En el grupo 7 se viabilizaron NP de actividades con los recursos que están actualmente en el contrato para traslado de redes de 1.2m y 2m. 
Se trabaja "&amp;"en la suscripción de un convenio entre el IDU y la EAAB para que esta última desembolse los recursos conforme a lo establecido en actas de competencias. ")</f>
        <v xml:space="preserve">Se logró acuerdo de competencia de cada una de las entidades. En proceso de firma actas de competencia.
En el grupo 7 se viabilizaron NP de actividades con los recursos que están actualmente en el contrato para traslado de redes de 1.2m y 2m. 
Se trabaja en la suscripción de un convenio entre el IDU y la EAAB para que esta última desembolse los recursos conforme a lo establecido en actas de competencias. </v>
      </c>
      <c r="N4249" s="55">
        <f ca="1">IFERROR(__xludf.DUMMYFUNCTION("""COMPUTED_VALUE"""),44893)</f>
        <v>44893</v>
      </c>
      <c r="O4249" s="25" t="str">
        <f t="shared" ca="1" si="0"/>
        <v>Instituto de Desarrollo Urbano</v>
      </c>
      <c r="P4249" s="25" t="str">
        <f t="shared" si="2"/>
        <v/>
      </c>
      <c r="Q4249" s="25" t="str">
        <f ca="1">IFERROR(__xludf.DUMMYFUNCTION("""COMPUTED_VALUE"""),"Largo plazo")</f>
        <v>Largo plazo</v>
      </c>
      <c r="R4249" s="25"/>
      <c r="S4249" s="55"/>
      <c r="T4249" s="56"/>
      <c r="U4249" s="25"/>
      <c r="V4249" s="25"/>
      <c r="W4249" s="25"/>
      <c r="X4249" s="25"/>
      <c r="Y4249" s="25"/>
      <c r="Z4249" s="25"/>
    </row>
    <row r="4250" spans="1:26" ht="52.5" customHeight="1" x14ac:dyDescent="0.25">
      <c r="A4250" s="25" t="str">
        <f ca="1">IFERROR(__xludf.DUMMYFUNCTION("""COMPUTED_VALUE"""),"Movil48")</f>
        <v>Movil48</v>
      </c>
      <c r="B4250" s="25" t="str">
        <f ca="1">IFERROR(__xludf.DUMMYFUNCTION("""COMPUTED_VALUE"""),"Junta de infraestructura")</f>
        <v>Junta de infraestructura</v>
      </c>
      <c r="C4250" s="55">
        <f ca="1">IFERROR(__xludf.DUMMYFUNCTION("""COMPUTED_VALUE"""),44608)</f>
        <v>44608</v>
      </c>
      <c r="D4250" s="25" t="str">
        <f ca="1">IFERROR(__xludf.DUMMYFUNCTION("""COMPUTED_VALUE"""),"Movilidad")</f>
        <v>Movilidad</v>
      </c>
      <c r="E4250" s="25" t="str">
        <f ca="1">IFERROR(__xludf.DUMMYFUNCTION("""COMPUTED_VALUE"""),"Instituto de Desarrollo Urbano")</f>
        <v>Instituto de Desarrollo Urbano</v>
      </c>
      <c r="F4250" s="25" t="str">
        <f ca="1">IFERROR(__xludf.DUMMYFUNCTION("""COMPUTED_VALUE"""),"Av. 68:
Reunirse con ETB para analizar alternativas para mover las redes del deprimido de las américas con Av. 68, distintas a la de mover en caliente durante la obra.
")</f>
        <v xml:space="preserve">Av. 68:
Reunirse con ETB para analizar alternativas para mover las redes del deprimido de las américas con Av. 68, distintas a la de mover en caliente durante la obra.
</v>
      </c>
      <c r="G4250" s="25" t="str">
        <f ca="1">IFERROR(__xludf.DUMMYFUNCTION("""COMPUTED_VALUE"""),"99. Distrito")</f>
        <v>99. Distrito</v>
      </c>
      <c r="H4250" s="55">
        <f ca="1">IFERROR(__xludf.DUMMYFUNCTION("""COMPUTED_VALUE"""),44638)</f>
        <v>44638</v>
      </c>
      <c r="I4250" s="25"/>
      <c r="J4250" s="55" t="str">
        <f ca="1">IFERROR(__xludf.DUMMYFUNCTION("""COMPUTED_VALUE"""),"Alta")</f>
        <v>Alta</v>
      </c>
      <c r="K4250" s="25">
        <f ca="1">IFERROR(__xludf.DUMMYFUNCTION("""COMPUTED_VALUE"""),30)</f>
        <v>30</v>
      </c>
      <c r="L4250" s="62">
        <f ca="1">IFERROR(__xludf.DUMMYFUNCTION("""COMPUTED_VALUE"""),44657)</f>
        <v>44657</v>
      </c>
      <c r="M4250" s="25" t="str">
        <f ca="1">IFERROR(__xludf.DUMMYFUNCTION("""COMPUTED_VALUE"""),"La alternativa definida en obra es hacer un anillo y construir la infraestructura de ETB y Codensa para no tener que hacer maniobras para la construcción del deprimido, en este momento se está adelantando obra")</f>
        <v>La alternativa definida en obra es hacer un anillo y construir la infraestructura de ETB y Codensa para no tener que hacer maniobras para la construcción del deprimido, en este momento se está adelantando obra</v>
      </c>
      <c r="N4250" s="55">
        <f ca="1">IFERROR(__xludf.DUMMYFUNCTION("""COMPUTED_VALUE"""),44657)</f>
        <v>44657</v>
      </c>
      <c r="O4250" s="25" t="str">
        <f t="shared" ca="1" si="0"/>
        <v>Instituto de Desarrollo Urbano</v>
      </c>
      <c r="P4250" s="25" t="str">
        <f t="shared" si="2"/>
        <v/>
      </c>
      <c r="Q4250" s="25" t="str">
        <f ca="1">IFERROR(__xludf.DUMMYFUNCTION("""COMPUTED_VALUE"""),"Corto plazo")</f>
        <v>Corto plazo</v>
      </c>
      <c r="R4250" s="25"/>
      <c r="S4250" s="55"/>
      <c r="T4250" s="56"/>
      <c r="U4250" s="25"/>
      <c r="V4250" s="25"/>
      <c r="W4250" s="25"/>
      <c r="X4250" s="25"/>
      <c r="Y4250" s="25"/>
      <c r="Z4250" s="25"/>
    </row>
    <row r="4251" spans="1:26" ht="52.5" customHeight="1" x14ac:dyDescent="0.25">
      <c r="A4251" s="25" t="str">
        <f ca="1">IFERROR(__xludf.DUMMYFUNCTION("""COMPUTED_VALUE"""),"Movil49")</f>
        <v>Movil49</v>
      </c>
      <c r="B4251" s="25" t="str">
        <f ca="1">IFERROR(__xludf.DUMMYFUNCTION("""COMPUTED_VALUE"""),"Junta de infraestructura")</f>
        <v>Junta de infraestructura</v>
      </c>
      <c r="C4251" s="55">
        <f ca="1">IFERROR(__xludf.DUMMYFUNCTION("""COMPUTED_VALUE"""),44608)</f>
        <v>44608</v>
      </c>
      <c r="D4251" s="25" t="str">
        <f ca="1">IFERROR(__xludf.DUMMYFUNCTION("""COMPUTED_VALUE"""),"Movilidad")</f>
        <v>Movilidad</v>
      </c>
      <c r="E4251" s="25" t="str">
        <f ca="1">IFERROR(__xludf.DUMMYFUNCTION("""COMPUTED_VALUE"""),"Empresa de Transporte del Tercer Milenio - Transmilenio S.A.")</f>
        <v>Empresa de Transporte del Tercer Milenio - Transmilenio S.A.</v>
      </c>
      <c r="F4251" s="25" t="str">
        <f ca="1">IFERROR(__xludf.DUMMYFUNCTION("""COMPUTED_VALUE"""),"Sección vial típica Av. Caracas:
Presentar a la alcaldesa el diseño operacional de la Caracas con y sin metro.
")</f>
        <v xml:space="preserve">Sección vial típica Av. Caracas:
Presentar a la alcaldesa el diseño operacional de la Caracas con y sin metro.
</v>
      </c>
      <c r="G4251" s="25" t="str">
        <f ca="1">IFERROR(__xludf.DUMMYFUNCTION("""COMPUTED_VALUE"""),"99. Distrito")</f>
        <v>99. Distrito</v>
      </c>
      <c r="H4251" s="55">
        <f ca="1">IFERROR(__xludf.DUMMYFUNCTION("""COMPUTED_VALUE"""),44638)</f>
        <v>44638</v>
      </c>
      <c r="I4251" s="25"/>
      <c r="J4251" s="55" t="str">
        <f ca="1">IFERROR(__xludf.DUMMYFUNCTION("""COMPUTED_VALUE"""),"Alta")</f>
        <v>Alta</v>
      </c>
      <c r="K4251" s="25">
        <f ca="1">IFERROR(__xludf.DUMMYFUNCTION("""COMPUTED_VALUE"""),30)</f>
        <v>30</v>
      </c>
      <c r="L4251" s="62">
        <f ca="1">IFERROR(__xludf.DUMMYFUNCTION("""COMPUTED_VALUE"""),44837)</f>
        <v>44837</v>
      </c>
      <c r="M4251" s="25" t="str">
        <f ca="1">IFERROR(__xludf.DUMMYFUNCTION("""COMPUTED_VALUE"""),"Teniendo en cuenta que la sección vial fue construida por el IDU, es responsabilidad de estos este ítem, sin metro; y dado que la empresa Metro está adelantando los diseños de la PMLB, ellos deben dar el informe de la sección vial típica con Metro.
EMB: "&amp;"Respecto al compromiso los análisis ya fueron realizados y las alternativas de la Avenida Caracas ya fueron presentadas en la junta de infraestructura del 23 de mayo de 2022 y la SDM seleccionó la alternativa de paso a nivel para que el concesionario adel"&amp;"ante el diseño definitivo, por lo tanto, consideramos que esta tarea ya está culminada. ")</f>
        <v xml:space="preserve">Teniendo en cuenta que la sección vial fue construida por el IDU, es responsabilidad de estos este ítem, sin metro; y dado que la empresa Metro está adelantando los diseños de la PMLB, ellos deben dar el informe de la sección vial típica con Metro.
EMB: Respecto al compromiso los análisis ya fueron realizados y las alternativas de la Avenida Caracas ya fueron presentadas en la junta de infraestructura del 23 de mayo de 2022 y la SDM seleccionó la alternativa de paso a nivel para que el concesionario adelante el diseño definitivo, por lo tanto, consideramos que esta tarea ya está culminada. </v>
      </c>
      <c r="N4251" s="55">
        <f ca="1">IFERROR(__xludf.DUMMYFUNCTION("""COMPUTED_VALUE"""),44837)</f>
        <v>44837</v>
      </c>
      <c r="O4251" s="25" t="str">
        <f t="shared" ca="1" si="0"/>
        <v>Empresa de Transporte del Tercer Milenio - Transmilenio S.A.</v>
      </c>
      <c r="P4251" s="25" t="str">
        <f t="shared" si="2"/>
        <v/>
      </c>
      <c r="Q4251" s="25" t="str">
        <f ca="1">IFERROR(__xludf.DUMMYFUNCTION("""COMPUTED_VALUE"""),"Corto plazo")</f>
        <v>Corto plazo</v>
      </c>
      <c r="R4251" s="25"/>
      <c r="S4251" s="55"/>
      <c r="T4251" s="56"/>
      <c r="U4251" s="25"/>
      <c r="V4251" s="25"/>
      <c r="W4251" s="25"/>
      <c r="X4251" s="25"/>
      <c r="Y4251" s="25"/>
      <c r="Z4251" s="25"/>
    </row>
    <row r="4252" spans="1:26" ht="52.5" customHeight="1" x14ac:dyDescent="0.25">
      <c r="A4252" s="25" t="str">
        <f ca="1">IFERROR(__xludf.DUMMYFUNCTION("""COMPUTED_VALUE"""),"Movil50")</f>
        <v>Movil50</v>
      </c>
      <c r="B4252" s="25" t="str">
        <f ca="1">IFERROR(__xludf.DUMMYFUNCTION("""COMPUTED_VALUE"""),"Junta de infraestructura")</f>
        <v>Junta de infraestructura</v>
      </c>
      <c r="C4252" s="55">
        <f ca="1">IFERROR(__xludf.DUMMYFUNCTION("""COMPUTED_VALUE"""),44608)</f>
        <v>44608</v>
      </c>
      <c r="D4252" s="25" t="str">
        <f ca="1">IFERROR(__xludf.DUMMYFUNCTION("""COMPUTED_VALUE"""),"Movilidad")</f>
        <v>Movilidad</v>
      </c>
      <c r="E4252" s="25" t="str">
        <f ca="1">IFERROR(__xludf.DUMMYFUNCTION("""COMPUTED_VALUE"""),"Empresa Metro de Bogotá S.A.")</f>
        <v>Empresa Metro de Bogotá S.A.</v>
      </c>
      <c r="F4252" s="25" t="str">
        <f ca="1">IFERROR(__xludf.DUMMYFUNCTION("""COMPUTED_VALUE"""),"Sección vial típica Av. Caracas:
Revisar técnicamente alternativas elevadas o subterráneas de pasos peatonales en la Calle 10, Calle 11 y Av. Jiménez. 
")</f>
        <v xml:space="preserve">Sección vial típica Av. Caracas:
Revisar técnicamente alternativas elevadas o subterráneas de pasos peatonales en la Calle 10, Calle 11 y Av. Jiménez. 
</v>
      </c>
      <c r="G4252" s="25" t="str">
        <f ca="1">IFERROR(__xludf.DUMMYFUNCTION("""COMPUTED_VALUE"""),"99. Distrito")</f>
        <v>99. Distrito</v>
      </c>
      <c r="H4252" s="55">
        <f ca="1">IFERROR(__xludf.DUMMYFUNCTION("""COMPUTED_VALUE"""),44638)</f>
        <v>44638</v>
      </c>
      <c r="I4252" s="25"/>
      <c r="J4252" s="55" t="str">
        <f ca="1">IFERROR(__xludf.DUMMYFUNCTION("""COMPUTED_VALUE"""),"Alta")</f>
        <v>Alta</v>
      </c>
      <c r="K4252" s="25">
        <f ca="1">IFERROR(__xludf.DUMMYFUNCTION("""COMPUTED_VALUE"""),30)</f>
        <v>30</v>
      </c>
      <c r="L4252" s="62">
        <f ca="1">IFERROR(__xludf.DUMMYFUNCTION("""COMPUTED_VALUE"""),44747)</f>
        <v>44747</v>
      </c>
      <c r="M4252" s="25" t="str">
        <f ca="1">IFERROR(__xludf.DUMMYFUNCTION("""COMPUTED_VALUE"""),"En la Junta de Infraestructura realizada el 30/03/2022 se presentó el análisis de tres (3) alternativas estudiadas con SDM, TMSA y demás  entidades competentes. ")</f>
        <v xml:space="preserve">En la Junta de Infraestructura realizada el 30/03/2022 se presentó el análisis de tres (3) alternativas estudiadas con SDM, TMSA y demás  entidades competentes. </v>
      </c>
      <c r="N4252" s="55">
        <f ca="1">IFERROR(__xludf.DUMMYFUNCTION("""COMPUTED_VALUE"""),44747)</f>
        <v>44747</v>
      </c>
      <c r="O4252" s="25" t="str">
        <f t="shared" ca="1" si="0"/>
        <v>Empresa Metro de Bogotá S.A.</v>
      </c>
      <c r="P4252" s="25" t="str">
        <f t="shared" si="2"/>
        <v/>
      </c>
      <c r="Q4252" s="25" t="str">
        <f ca="1">IFERROR(__xludf.DUMMYFUNCTION("""COMPUTED_VALUE"""),"Corto plazo")</f>
        <v>Corto plazo</v>
      </c>
      <c r="R4252" s="25"/>
      <c r="S4252" s="55"/>
      <c r="T4252" s="56"/>
      <c r="U4252" s="25"/>
      <c r="V4252" s="25"/>
      <c r="W4252" s="25"/>
      <c r="X4252" s="25"/>
      <c r="Y4252" s="25"/>
      <c r="Z4252" s="25"/>
    </row>
    <row r="4253" spans="1:26" ht="52.5" customHeight="1" x14ac:dyDescent="0.25">
      <c r="A4253" s="25" t="str">
        <f ca="1">IFERROR(__xludf.DUMMYFUNCTION("""COMPUTED_VALUE"""),"Movil51")</f>
        <v>Movil51</v>
      </c>
      <c r="B4253" s="25" t="str">
        <f ca="1">IFERROR(__xludf.DUMMYFUNCTION("""COMPUTED_VALUE"""),"Junta de infraestructura")</f>
        <v>Junta de infraestructura</v>
      </c>
      <c r="C4253" s="55">
        <f ca="1">IFERROR(__xludf.DUMMYFUNCTION("""COMPUTED_VALUE"""),44608)</f>
        <v>44608</v>
      </c>
      <c r="D4253" s="25" t="str">
        <f ca="1">IFERROR(__xludf.DUMMYFUNCTION("""COMPUTED_VALUE"""),"Movilidad")</f>
        <v>Movilidad</v>
      </c>
      <c r="E4253" s="25" t="str">
        <f ca="1">IFERROR(__xludf.DUMMYFUNCTION("""COMPUTED_VALUE"""),"Empresa Metro de Bogotá S.A.")</f>
        <v>Empresa Metro de Bogotá S.A.</v>
      </c>
      <c r="F4253" s="25" t="str">
        <f ca="1">IFERROR(__xludf.DUMMYFUNCTION("""COMPUTED_VALUE"""),"Sección vial típica Av. Caracas:
Revisar técnicamente con SDM, TM el perfil y la distribución de  los diferentes flujos dada la oferta vial y de ciclorrutas. En el tramo de la Calle 1 a las Calle 28.
")</f>
        <v xml:space="preserve">Sección vial típica Av. Caracas:
Revisar técnicamente con SDM, TM el perfil y la distribución de  los diferentes flujos dada la oferta vial y de ciclorrutas. En el tramo de la Calle 1 a las Calle 28.
</v>
      </c>
      <c r="G4253" s="25" t="str">
        <f ca="1">IFERROR(__xludf.DUMMYFUNCTION("""COMPUTED_VALUE"""),"99. Distrito")</f>
        <v>99. Distrito</v>
      </c>
      <c r="H4253" s="55">
        <f ca="1">IFERROR(__xludf.DUMMYFUNCTION("""COMPUTED_VALUE"""),44638)</f>
        <v>44638</v>
      </c>
      <c r="I4253" s="25"/>
      <c r="J4253" s="55" t="str">
        <f ca="1">IFERROR(__xludf.DUMMYFUNCTION("""COMPUTED_VALUE"""),"Alta")</f>
        <v>Alta</v>
      </c>
      <c r="K4253" s="25">
        <f ca="1">IFERROR(__xludf.DUMMYFUNCTION("""COMPUTED_VALUE"""),30)</f>
        <v>30</v>
      </c>
      <c r="L4253" s="62">
        <f ca="1">IFERROR(__xludf.DUMMYFUNCTION("""COMPUTED_VALUE"""),44747)</f>
        <v>44747</v>
      </c>
      <c r="M4253" s="25" t="str">
        <f ca="1">IFERROR(__xludf.DUMMYFUNCTION("""COMPUTED_VALUE"""),"En la Junta de Infraestructura realizada el 30/03/2022 se presentó el análisis de tres (3) alternativas estudiadas con SDM, TMSA y demás  entidades competentes. ")</f>
        <v xml:space="preserve">En la Junta de Infraestructura realizada el 30/03/2022 se presentó el análisis de tres (3) alternativas estudiadas con SDM, TMSA y demás  entidades competentes. </v>
      </c>
      <c r="N4253" s="55">
        <f ca="1">IFERROR(__xludf.DUMMYFUNCTION("""COMPUTED_VALUE"""),44747)</f>
        <v>44747</v>
      </c>
      <c r="O4253" s="25" t="str">
        <f t="shared" ca="1" si="0"/>
        <v>Empresa Metro de Bogotá S.A.</v>
      </c>
      <c r="P4253" s="25" t="str">
        <f t="shared" si="2"/>
        <v/>
      </c>
      <c r="Q4253" s="25" t="str">
        <f ca="1">IFERROR(__xludf.DUMMYFUNCTION("""COMPUTED_VALUE"""),"Corto plazo")</f>
        <v>Corto plazo</v>
      </c>
      <c r="R4253" s="25"/>
      <c r="S4253" s="55"/>
      <c r="T4253" s="56"/>
      <c r="U4253" s="25"/>
      <c r="V4253" s="25"/>
      <c r="W4253" s="25"/>
      <c r="X4253" s="25"/>
      <c r="Y4253" s="25"/>
      <c r="Z4253" s="25"/>
    </row>
    <row r="4254" spans="1:26" ht="52.5" customHeight="1" x14ac:dyDescent="0.25">
      <c r="A4254" s="25" t="str">
        <f ca="1">IFERROR(__xludf.DUMMYFUNCTION("""COMPUTED_VALUE"""),"Movil52")</f>
        <v>Movil52</v>
      </c>
      <c r="B4254" s="25" t="str">
        <f ca="1">IFERROR(__xludf.DUMMYFUNCTION("""COMPUTED_VALUE"""),"Junta de infraestructura")</f>
        <v>Junta de infraestructura</v>
      </c>
      <c r="C4254" s="55">
        <f ca="1">IFERROR(__xludf.DUMMYFUNCTION("""COMPUTED_VALUE"""),44608)</f>
        <v>44608</v>
      </c>
      <c r="D4254" s="25" t="str">
        <f ca="1">IFERROR(__xludf.DUMMYFUNCTION("""COMPUTED_VALUE"""),"Movilidad")</f>
        <v>Movilidad</v>
      </c>
      <c r="E4254" s="25" t="str">
        <f ca="1">IFERROR(__xludf.DUMMYFUNCTION("""COMPUTED_VALUE"""),"Secretaría Distrital de Movilidad")</f>
        <v>Secretaría Distrital de Movilidad</v>
      </c>
      <c r="F4254" s="25" t="str">
        <f ca="1">IFERROR(__xludf.DUMMYFUNCTION("""COMPUTED_VALUE"""),"TAR - PLMB:
Tomar la decisión del PMT, que radicará la EAAB, de la pastrana y la primero de mayo, 
")</f>
        <v xml:space="preserve">TAR - PLMB:
Tomar la decisión del PMT, que radicará la EAAB, de la pastrana y la primero de mayo, 
</v>
      </c>
      <c r="G4254" s="25" t="str">
        <f ca="1">IFERROR(__xludf.DUMMYFUNCTION("""COMPUTED_VALUE"""),"99. Distrito")</f>
        <v>99. Distrito</v>
      </c>
      <c r="H4254" s="55">
        <f ca="1">IFERROR(__xludf.DUMMYFUNCTION("""COMPUTED_VALUE"""),44638)</f>
        <v>44638</v>
      </c>
      <c r="I4254" s="25"/>
      <c r="J4254" s="55" t="str">
        <f ca="1">IFERROR(__xludf.DUMMYFUNCTION("""COMPUTED_VALUE"""),"Alta")</f>
        <v>Alta</v>
      </c>
      <c r="K4254" s="25">
        <f ca="1">IFERROR(__xludf.DUMMYFUNCTION("""COMPUTED_VALUE"""),30)</f>
        <v>30</v>
      </c>
      <c r="L4254" s="62">
        <f ca="1">IFERROR(__xludf.DUMMYFUNCTION("""COMPUTED_VALUE"""),44657)</f>
        <v>44657</v>
      </c>
      <c r="M4254" s="25" t="str">
        <f ca="1">IFERROR(__xludf.DUMMYFUNCTION("""COMPUTED_VALUE"""),"Se autorizó el PMT del colector Pastrana y se implementó el martes 5 de abril de 2022, y sobre la Av. Primero de Mayo se autorizaron PMT en la calzada norte y calzada sur (en diferentes tramos), los cuales ya se encuentran implementados.")</f>
        <v>Se autorizó el PMT del colector Pastrana y se implementó el martes 5 de abril de 2022, y sobre la Av. Primero de Mayo se autorizaron PMT en la calzada norte y calzada sur (en diferentes tramos), los cuales ya se encuentran implementados.</v>
      </c>
      <c r="N4254" s="55">
        <f ca="1">IFERROR(__xludf.DUMMYFUNCTION("""COMPUTED_VALUE"""),44657)</f>
        <v>44657</v>
      </c>
      <c r="O4254" s="25" t="str">
        <f t="shared" ca="1" si="0"/>
        <v>Secretaría Distrital de Movilidad</v>
      </c>
      <c r="P4254" s="25" t="str">
        <f t="shared" si="2"/>
        <v/>
      </c>
      <c r="Q4254" s="25" t="str">
        <f ca="1">IFERROR(__xludf.DUMMYFUNCTION("""COMPUTED_VALUE"""),"Corto plazo")</f>
        <v>Corto plazo</v>
      </c>
      <c r="R4254" s="25"/>
      <c r="S4254" s="55"/>
      <c r="T4254" s="56"/>
      <c r="U4254" s="25"/>
      <c r="V4254" s="25"/>
      <c r="W4254" s="25"/>
      <c r="X4254" s="25"/>
      <c r="Y4254" s="25"/>
      <c r="Z4254" s="25"/>
    </row>
    <row r="4255" spans="1:26" ht="52.5" customHeight="1" x14ac:dyDescent="0.25">
      <c r="A4255" s="25" t="str">
        <f ca="1">IFERROR(__xludf.DUMMYFUNCTION("""COMPUTED_VALUE"""),"Movil53")</f>
        <v>Movil53</v>
      </c>
      <c r="B4255" s="25" t="str">
        <f ca="1">IFERROR(__xludf.DUMMYFUNCTION("""COMPUTED_VALUE"""),"Junta de infraestructura")</f>
        <v>Junta de infraestructura</v>
      </c>
      <c r="C4255" s="55">
        <f ca="1">IFERROR(__xludf.DUMMYFUNCTION("""COMPUTED_VALUE"""),44608)</f>
        <v>44608</v>
      </c>
      <c r="D4255" s="25" t="str">
        <f ca="1">IFERROR(__xludf.DUMMYFUNCTION("""COMPUTED_VALUE"""),"Movilidad")</f>
        <v>Movilidad</v>
      </c>
      <c r="E4255" s="25" t="str">
        <f ca="1">IFERROR(__xludf.DUMMYFUNCTION("""COMPUTED_VALUE"""),"Instituto de Desarrollo Urbano")</f>
        <v>Instituto de Desarrollo Urbano</v>
      </c>
      <c r="F4255" s="25" t="str">
        <f ca="1">IFERROR(__xludf.DUMMYFUNCTION("""COMPUTED_VALUE"""),"Revisar si es viable construir una cicloruta por el río Fucha")</f>
        <v>Revisar si es viable construir una cicloruta por el río Fucha</v>
      </c>
      <c r="G4255" s="25" t="str">
        <f ca="1">IFERROR(__xludf.DUMMYFUNCTION("""COMPUTED_VALUE"""),"99. Distrito")</f>
        <v>99. Distrito</v>
      </c>
      <c r="H4255" s="55">
        <f ca="1">IFERROR(__xludf.DUMMYFUNCTION("""COMPUTED_VALUE"""),44638)</f>
        <v>44638</v>
      </c>
      <c r="I4255" s="25"/>
      <c r="J4255" s="55" t="str">
        <f ca="1">IFERROR(__xludf.DUMMYFUNCTION("""COMPUTED_VALUE"""),"Alta")</f>
        <v>Alta</v>
      </c>
      <c r="K4255" s="25">
        <f ca="1">IFERROR(__xludf.DUMMYFUNCTION("""COMPUTED_VALUE"""),30)</f>
        <v>30</v>
      </c>
      <c r="L4255" s="62">
        <f ca="1">IFERROR(__xludf.DUMMYFUNCTION("""COMPUTED_VALUE"""),44657)</f>
        <v>44657</v>
      </c>
      <c r="M4255" s="25" t="str">
        <f ca="1">IFERROR(__xludf.DUMMYFUNCTION("""COMPUTED_VALUE"""),"En el alcance del contrato IDU-346-2020 - Grupo 2 Troncal Av 68, no se tiene contemplado construcción de cicloruta por el río fucha")</f>
        <v>En el alcance del contrato IDU-346-2020 - Grupo 2 Troncal Av 68, no se tiene contemplado construcción de cicloruta por el río fucha</v>
      </c>
      <c r="N4255" s="55">
        <f ca="1">IFERROR(__xludf.DUMMYFUNCTION("""COMPUTED_VALUE"""),44657)</f>
        <v>44657</v>
      </c>
      <c r="O4255" s="25" t="str">
        <f t="shared" ca="1" si="0"/>
        <v>Instituto de Desarrollo Urbano</v>
      </c>
      <c r="P4255" s="25" t="str">
        <f t="shared" si="2"/>
        <v/>
      </c>
      <c r="Q4255" s="25" t="str">
        <f ca="1">IFERROR(__xludf.DUMMYFUNCTION("""COMPUTED_VALUE"""),"Corto plazo")</f>
        <v>Corto plazo</v>
      </c>
      <c r="R4255" s="25"/>
      <c r="S4255" s="55"/>
      <c r="T4255" s="56"/>
      <c r="U4255" s="25"/>
      <c r="V4255" s="25"/>
      <c r="W4255" s="25"/>
      <c r="X4255" s="25"/>
      <c r="Y4255" s="25"/>
      <c r="Z4255" s="25"/>
    </row>
    <row r="4256" spans="1:26" ht="52.5" customHeight="1" x14ac:dyDescent="0.25">
      <c r="A4256" s="25" t="str">
        <f ca="1">IFERROR(__xludf.DUMMYFUNCTION("""COMPUTED_VALUE"""),"Movil54")</f>
        <v>Movil54</v>
      </c>
      <c r="B4256" s="25" t="str">
        <f ca="1">IFERROR(__xludf.DUMMYFUNCTION("""COMPUTED_VALUE"""),"Junta de infraestructura")</f>
        <v>Junta de infraestructura</v>
      </c>
      <c r="C4256" s="55">
        <f ca="1">IFERROR(__xludf.DUMMYFUNCTION("""COMPUTED_VALUE"""),44608)</f>
        <v>44608</v>
      </c>
      <c r="D4256" s="25" t="str">
        <f ca="1">IFERROR(__xludf.DUMMYFUNCTION("""COMPUTED_VALUE"""),"Movilidad")</f>
        <v>Movilidad</v>
      </c>
      <c r="E4256" s="25" t="str">
        <f ca="1">IFERROR(__xludf.DUMMYFUNCTION("""COMPUTED_VALUE"""),"Instituto de Desarrollo Urbano")</f>
        <v>Instituto de Desarrollo Urbano</v>
      </c>
      <c r="F4256" s="25" t="str">
        <f ca="1">IFERROR(__xludf.DUMMYFUNCTION("""COMPUTED_VALUE"""),"Adelantar las gestiones necesarias para adecuar parcialmente la estación Tintal, de manera que permita operación en los dos sentidos, como medida de mitigación de los atrasos generados por el incumplimiento del contratista de obra del tramo 3 de la tronca"&amp;"l Av. Ciudad de Cali")</f>
        <v>Adelantar las gestiones necesarias para adecuar parcialmente la estación Tintal, de manera que permita operación en los dos sentidos, como medida de mitigación de los atrasos generados por el incumplimiento del contratista de obra del tramo 3 de la troncal Av. Ciudad de Cali</v>
      </c>
      <c r="G4256" s="25" t="str">
        <f ca="1">IFERROR(__xludf.DUMMYFUNCTION("""COMPUTED_VALUE"""),"99. Distrito")</f>
        <v>99. Distrito</v>
      </c>
      <c r="H4256" s="55">
        <f ca="1">IFERROR(__xludf.DUMMYFUNCTION("""COMPUTED_VALUE"""),44638)</f>
        <v>44638</v>
      </c>
      <c r="I4256" s="25"/>
      <c r="J4256" s="55" t="str">
        <f ca="1">IFERROR(__xludf.DUMMYFUNCTION("""COMPUTED_VALUE"""),"Alta")</f>
        <v>Alta</v>
      </c>
      <c r="K4256" s="25">
        <f ca="1">IFERROR(__xludf.DUMMYFUNCTION("""COMPUTED_VALUE"""),30)</f>
        <v>30</v>
      </c>
      <c r="L4256" s="62">
        <f ca="1">IFERROR(__xludf.DUMMYFUNCTION("""COMPUTED_VALUE"""),44657)</f>
        <v>44657</v>
      </c>
      <c r="M4256" s="25" t="str">
        <f ca="1">IFERROR(__xludf.DUMMYFUNCTION("""COMPUTED_VALUE"""),"Mediante el contrato de ampliación de estaciones 1535-2018 se está revisando la posibilidad de realizar la adecuación para operación.")</f>
        <v>Mediante el contrato de ampliación de estaciones 1535-2018 se está revisando la posibilidad de realizar la adecuación para operación.</v>
      </c>
      <c r="N4256" s="55">
        <f ca="1">IFERROR(__xludf.DUMMYFUNCTION("""COMPUTED_VALUE"""),44657)</f>
        <v>44657</v>
      </c>
      <c r="O4256" s="25" t="str">
        <f t="shared" ca="1" si="0"/>
        <v>Instituto de Desarrollo Urbano</v>
      </c>
      <c r="P4256" s="25" t="str">
        <f t="shared" si="2"/>
        <v/>
      </c>
      <c r="Q4256" s="25" t="str">
        <f ca="1">IFERROR(__xludf.DUMMYFUNCTION("""COMPUTED_VALUE"""),"Corto plazo")</f>
        <v>Corto plazo</v>
      </c>
      <c r="R4256" s="25"/>
      <c r="S4256" s="55"/>
      <c r="T4256" s="56"/>
      <c r="U4256" s="25"/>
      <c r="V4256" s="25"/>
      <c r="W4256" s="25"/>
      <c r="X4256" s="25"/>
      <c r="Y4256" s="25"/>
      <c r="Z4256" s="25"/>
    </row>
    <row r="4257" spans="1:26" ht="52.5" customHeight="1" x14ac:dyDescent="0.25">
      <c r="A4257" s="25" t="str">
        <f ca="1">IFERROR(__xludf.DUMMYFUNCTION("""COMPUTED_VALUE"""),"Movil55")</f>
        <v>Movil55</v>
      </c>
      <c r="B4257" s="25" t="str">
        <f ca="1">IFERROR(__xludf.DUMMYFUNCTION("""COMPUTED_VALUE"""),"Cierre misión TER/IDOM CV7")</f>
        <v>Cierre misión TER/IDOM CV7</v>
      </c>
      <c r="C4257" s="55">
        <f ca="1">IFERROR(__xludf.DUMMYFUNCTION("""COMPUTED_VALUE"""),44608)</f>
        <v>44608</v>
      </c>
      <c r="D4257" s="25" t="str">
        <f ca="1">IFERROR(__xludf.DUMMYFUNCTION("""COMPUTED_VALUE"""),"Movilidad")</f>
        <v>Movilidad</v>
      </c>
      <c r="E4257" s="25" t="str">
        <f ca="1">IFERROR(__xludf.DUMMYFUNCTION("""COMPUTED_VALUE"""),"Instituto de Desarrollo Urbano")</f>
        <v>Instituto de Desarrollo Urbano</v>
      </c>
      <c r="F4257" s="25" t="str">
        <f ca="1">IFERROR(__xludf.DUMMYFUNCTION("""COMPUTED_VALUE"""),"Por escrito remitir la guía de diseño a cada entidad indicando que debe revisar y justificar qué no usuaria, por qué no lo haría. Es decir, una validación completa")</f>
        <v>Por escrito remitir la guía de diseño a cada entidad indicando que debe revisar y justificar qué no usuaria, por qué no lo haría. Es decir, una validación completa</v>
      </c>
      <c r="G4257" s="25" t="str">
        <f ca="1">IFERROR(__xludf.DUMMYFUNCTION("""COMPUTED_VALUE"""),"99. Distrito")</f>
        <v>99. Distrito</v>
      </c>
      <c r="H4257" s="55">
        <f ca="1">IFERROR(__xludf.DUMMYFUNCTION("""COMPUTED_VALUE"""),44635)</f>
        <v>44635</v>
      </c>
      <c r="I4257" s="25"/>
      <c r="J4257" s="55" t="str">
        <f ca="1">IFERROR(__xludf.DUMMYFUNCTION("""COMPUTED_VALUE"""),"Alta")</f>
        <v>Alta</v>
      </c>
      <c r="K4257" s="25">
        <f ca="1">IFERROR(__xludf.DUMMYFUNCTION("""COMPUTED_VALUE"""),27)</f>
        <v>27</v>
      </c>
      <c r="L4257" s="62">
        <f ca="1">IFERROR(__xludf.DUMMYFUNCTION("""COMPUTED_VALUE"""),44748)</f>
        <v>44748</v>
      </c>
      <c r="M4257" s="25" t="str">
        <f ca="1">IFERROR(__xludf.DUMMYFUNCTION("""COMPUTED_VALUE"""),"Enviado a entidades y recibido por parte del IDU comentarios mínimos (e integrados al diseño) de IDRD, TMSA, SDP, SDA, SDM, UAESP y otras")</f>
        <v>Enviado a entidades y recibido por parte del IDU comentarios mínimos (e integrados al diseño) de IDRD, TMSA, SDP, SDA, SDM, UAESP y otras</v>
      </c>
      <c r="N4257" s="55">
        <f ca="1">IFERROR(__xludf.DUMMYFUNCTION("""COMPUTED_VALUE"""),44748)</f>
        <v>44748</v>
      </c>
      <c r="O4257" s="25" t="str">
        <f t="shared" ca="1" si="0"/>
        <v>Instituto de Desarrollo Urbano</v>
      </c>
      <c r="P4257" s="25" t="str">
        <f t="shared" si="2"/>
        <v/>
      </c>
      <c r="Q4257" s="25" t="str">
        <f ca="1">IFERROR(__xludf.DUMMYFUNCTION("""COMPUTED_VALUE"""),"Corto plazo")</f>
        <v>Corto plazo</v>
      </c>
      <c r="R4257" s="25"/>
      <c r="S4257" s="55"/>
      <c r="T4257" s="56"/>
      <c r="U4257" s="25"/>
      <c r="V4257" s="25"/>
      <c r="W4257" s="25"/>
      <c r="X4257" s="25"/>
      <c r="Y4257" s="25"/>
      <c r="Z4257" s="25"/>
    </row>
    <row r="4258" spans="1:26" ht="52.5" customHeight="1" x14ac:dyDescent="0.25">
      <c r="A4258" s="25" t="str">
        <f ca="1">IFERROR(__xludf.DUMMYFUNCTION("""COMPUTED_VALUE"""),"Movil56")</f>
        <v>Movil56</v>
      </c>
      <c r="B4258" s="25" t="str">
        <f ca="1">IFERROR(__xludf.DUMMYFUNCTION("""COMPUTED_VALUE"""),"Cierre misión TER/IDOM CV7")</f>
        <v>Cierre misión TER/IDOM CV7</v>
      </c>
      <c r="C4258" s="55">
        <f ca="1">IFERROR(__xludf.DUMMYFUNCTION("""COMPUTED_VALUE"""),44608)</f>
        <v>44608</v>
      </c>
      <c r="D4258" s="25" t="str">
        <f ca="1">IFERROR(__xludf.DUMMYFUNCTION("""COMPUTED_VALUE"""),"Movilidad")</f>
        <v>Movilidad</v>
      </c>
      <c r="E4258" s="25" t="str">
        <f ca="1">IFERROR(__xludf.DUMMYFUNCTION("""COMPUTED_VALUE"""),"Instituto de Desarrollo Urbano")</f>
        <v>Instituto de Desarrollo Urbano</v>
      </c>
      <c r="F4258" s="25" t="str">
        <f ca="1">IFERROR(__xludf.DUMMYFUNCTION("""COMPUTED_VALUE"""),"Buscar alternativas de recursos para que se adicionen a los actuales consultores del grupo 2 y grupo 3 para que a través de TER/IDOM se pueda diseñar la unidad de paisaje la de la Calle 72 y la de la Calle 184. Si no alcanzan los recursos, priorizar la de"&amp;" la Calle 72 (grupo 2).")</f>
        <v>Buscar alternativas de recursos para que se adicionen a los actuales consultores del grupo 2 y grupo 3 para que a través de TER/IDOM se pueda diseñar la unidad de paisaje la de la Calle 72 y la de la Calle 184. Si no alcanzan los recursos, priorizar la de la Calle 72 (grupo 2).</v>
      </c>
      <c r="G4258" s="25" t="str">
        <f ca="1">IFERROR(__xludf.DUMMYFUNCTION("""COMPUTED_VALUE"""),"99. Distrito")</f>
        <v>99. Distrito</v>
      </c>
      <c r="H4258" s="55">
        <f ca="1">IFERROR(__xludf.DUMMYFUNCTION("""COMPUTED_VALUE"""),44638)</f>
        <v>44638</v>
      </c>
      <c r="I4258" s="25"/>
      <c r="J4258" s="55" t="str">
        <f ca="1">IFERROR(__xludf.DUMMYFUNCTION("""COMPUTED_VALUE"""),"Alta")</f>
        <v>Alta</v>
      </c>
      <c r="K4258" s="25">
        <f ca="1">IFERROR(__xludf.DUMMYFUNCTION("""COMPUTED_VALUE"""),30)</f>
        <v>30</v>
      </c>
      <c r="L4258" s="62">
        <f ca="1">IFERROR(__xludf.DUMMYFUNCTION("""COMPUTED_VALUE"""),44748)</f>
        <v>44748</v>
      </c>
      <c r="M4258" s="25" t="str">
        <f ca="1">IFERROR(__xludf.DUMMYFUNCTION("""COMPUTED_VALUE"""),"Se tiene lista la para firma un complemento al proyecto CV7 T1 para que TER -financiado por AFD- diseñe la plataforma sobre el Museo Nacional. Recursos adicionales IDU son imposibles de gestionar por qué tendría que hacerse concurso de mérito y no coincid"&amp;"e con los tiempos y las necesidades del proyecto")</f>
        <v>Se tiene lista la para firma un complemento al proyecto CV7 T1 para que TER -financiado por AFD- diseñe la plataforma sobre el Museo Nacional. Recursos adicionales IDU son imposibles de gestionar por qué tendría que hacerse concurso de mérito y no coincide con los tiempos y las necesidades del proyecto</v>
      </c>
      <c r="N4258" s="55">
        <f ca="1">IFERROR(__xludf.DUMMYFUNCTION("""COMPUTED_VALUE"""),44748)</f>
        <v>44748</v>
      </c>
      <c r="O4258" s="25" t="str">
        <f t="shared" ca="1" si="0"/>
        <v>Instituto de Desarrollo Urbano</v>
      </c>
      <c r="P4258" s="25" t="str">
        <f t="shared" si="2"/>
        <v/>
      </c>
      <c r="Q4258" s="25" t="str">
        <f ca="1">IFERROR(__xludf.DUMMYFUNCTION("""COMPUTED_VALUE"""),"Corto plazo")</f>
        <v>Corto plazo</v>
      </c>
      <c r="R4258" s="25"/>
      <c r="S4258" s="55"/>
      <c r="T4258" s="56"/>
      <c r="U4258" s="25"/>
      <c r="V4258" s="25"/>
      <c r="W4258" s="25"/>
      <c r="X4258" s="25"/>
      <c r="Y4258" s="25"/>
      <c r="Z4258" s="25"/>
    </row>
    <row r="4259" spans="1:26" ht="52.5" customHeight="1" x14ac:dyDescent="0.25">
      <c r="A4259" s="25" t="str">
        <f ca="1">IFERROR(__xludf.DUMMYFUNCTION("""COMPUTED_VALUE"""),"Movil57")</f>
        <v>Movil57</v>
      </c>
      <c r="B4259" s="25" t="str">
        <f ca="1">IFERROR(__xludf.DUMMYFUNCTION("""COMPUTED_VALUE"""),"Cierre misión TER/IDOM CV7")</f>
        <v>Cierre misión TER/IDOM CV7</v>
      </c>
      <c r="C4259" s="55">
        <f ca="1">IFERROR(__xludf.DUMMYFUNCTION("""COMPUTED_VALUE"""),44608)</f>
        <v>44608</v>
      </c>
      <c r="D4259" s="25" t="str">
        <f ca="1">IFERROR(__xludf.DUMMYFUNCTION("""COMPUTED_VALUE"""),"Movilidad")</f>
        <v>Movilidad</v>
      </c>
      <c r="E4259" s="25" t="str">
        <f ca="1">IFERROR(__xludf.DUMMYFUNCTION("""COMPUTED_VALUE"""),"Instituto de Desarrollo Urbano")</f>
        <v>Instituto de Desarrollo Urbano</v>
      </c>
      <c r="F4259" s="25" t="str">
        <f ca="1">IFERROR(__xludf.DUMMYFUNCTION("""COMPUTED_VALUE"""),"Sacar lista de permisos que se deben obtener y los tiempos estimados, en coordinación con entidades responsables. ")</f>
        <v xml:space="preserve">Sacar lista de permisos que se deben obtener y los tiempos estimados, en coordinación con entidades responsables. </v>
      </c>
      <c r="G4259" s="25" t="str">
        <f ca="1">IFERROR(__xludf.DUMMYFUNCTION("""COMPUTED_VALUE"""),"99. Distrito")</f>
        <v>99. Distrito</v>
      </c>
      <c r="H4259" s="55">
        <f ca="1">IFERROR(__xludf.DUMMYFUNCTION("""COMPUTED_VALUE"""),44638)</f>
        <v>44638</v>
      </c>
      <c r="I4259" s="25"/>
      <c r="J4259" s="55" t="str">
        <f ca="1">IFERROR(__xludf.DUMMYFUNCTION("""COMPUTED_VALUE"""),"Alta")</f>
        <v>Alta</v>
      </c>
      <c r="K4259" s="25">
        <f ca="1">IFERROR(__xludf.DUMMYFUNCTION("""COMPUTED_VALUE"""),30)</f>
        <v>30</v>
      </c>
      <c r="L4259" s="62">
        <f ca="1">IFERROR(__xludf.DUMMYFUNCTION("""COMPUTED_VALUE"""),44748)</f>
        <v>44748</v>
      </c>
      <c r="M4259" s="25" t="str">
        <f ca="1">IFERROR(__xludf.DUMMYFUNCTION("""COMPUTED_VALUE"""),"En modificación los planes de trabajo de CV7 para iniciar aprobaciones por tramo según la estrategia de contratación.")</f>
        <v>En modificación los planes de trabajo de CV7 para iniciar aprobaciones por tramo según la estrategia de contratación.</v>
      </c>
      <c r="N4259" s="55">
        <f ca="1">IFERROR(__xludf.DUMMYFUNCTION("""COMPUTED_VALUE"""),44748)</f>
        <v>44748</v>
      </c>
      <c r="O4259" s="25" t="str">
        <f t="shared" ca="1" si="0"/>
        <v>Instituto de Desarrollo Urbano</v>
      </c>
      <c r="P4259" s="25" t="str">
        <f t="shared" si="2"/>
        <v/>
      </c>
      <c r="Q4259" s="25" t="str">
        <f ca="1">IFERROR(__xludf.DUMMYFUNCTION("""COMPUTED_VALUE"""),"Corto plazo")</f>
        <v>Corto plazo</v>
      </c>
      <c r="R4259" s="25"/>
      <c r="S4259" s="55"/>
      <c r="T4259" s="56"/>
      <c r="U4259" s="25"/>
      <c r="V4259" s="25"/>
      <c r="W4259" s="25"/>
      <c r="X4259" s="25"/>
      <c r="Y4259" s="25"/>
      <c r="Z4259" s="25"/>
    </row>
    <row r="4260" spans="1:26" ht="52.5" customHeight="1" x14ac:dyDescent="0.25">
      <c r="A4260" s="25" t="str">
        <f ca="1">IFERROR(__xludf.DUMMYFUNCTION("""COMPUTED_VALUE"""),"Movil58")</f>
        <v>Movil58</v>
      </c>
      <c r="B4260" s="25" t="str">
        <f ca="1">IFERROR(__xludf.DUMMYFUNCTION("""COMPUTED_VALUE"""),"Recorrido Bosa")</f>
        <v>Recorrido Bosa</v>
      </c>
      <c r="C4260" s="55">
        <f ca="1">IFERROR(__xludf.DUMMYFUNCTION("""COMPUTED_VALUE"""),44602)</f>
        <v>44602</v>
      </c>
      <c r="D4260" s="25" t="str">
        <f ca="1">IFERROR(__xludf.DUMMYFUNCTION("""COMPUTED_VALUE"""),"Movilidad")</f>
        <v>Movilidad</v>
      </c>
      <c r="E4260" s="25" t="str">
        <f ca="1">IFERROR(__xludf.DUMMYFUNCTION("""COMPUTED_VALUE"""),"Secretaría Distrital de Movilidad")</f>
        <v>Secretaría Distrital de Movilidad</v>
      </c>
      <c r="F4260" s="25" t="str">
        <f ca="1">IFERROR(__xludf.DUMMYFUNCTION("""COMPUTED_VALUE"""),"El nuevo PMT de la Av Cali debe ser por la 87  A, antes de habilitarlo  se debe hablar con la ANI para habilitar un dos puentes vehiculares militares. Adicionalmente, hay que habilitar un carril en la  calle 6. Para esto, se debe hablar con Codensa y Acue"&amp;"ducto para la autorización de canal y traslado de redes ")</f>
        <v xml:space="preserve">El nuevo PMT de la Av Cali debe ser por la 87  A, antes de habilitarlo  se debe hablar con la ANI para habilitar un dos puentes vehiculares militares. Adicionalmente, hay que habilitar un carril en la  calle 6. Para esto, se debe hablar con Codensa y Acueducto para la autorización de canal y traslado de redes </v>
      </c>
      <c r="G4260" s="55" t="str">
        <f ca="1">IFERROR(__xludf.DUMMYFUNCTION("""COMPUTED_VALUE"""),"07. Bosa")</f>
        <v>07. Bosa</v>
      </c>
      <c r="H4260" s="55">
        <f ca="1">IFERROR(__xludf.DUMMYFUNCTION("""COMPUTED_VALUE"""),44632)</f>
        <v>44632</v>
      </c>
      <c r="I4260" s="25"/>
      <c r="J4260" s="55" t="str">
        <f ca="1">IFERROR(__xludf.DUMMYFUNCTION("""COMPUTED_VALUE"""),"Alta")</f>
        <v>Alta</v>
      </c>
      <c r="K4260" s="25">
        <f ca="1">IFERROR(__xludf.DUMMYFUNCTION("""COMPUTED_VALUE"""),30)</f>
        <v>30</v>
      </c>
      <c r="L4260" s="62">
        <f ca="1">IFERROR(__xludf.DUMMYFUNCTION("""COMPUTED_VALUE"""),44865)</f>
        <v>44865</v>
      </c>
      <c r="M4260" s="25" t="str">
        <f ca="1">IFERROR(__xludf.DUMMYFUNCTION("""COMPUTED_VALUE"""),"En mesas de trabajo del mes de junio de 2022, el IDU manifiesta que la construcción de los pontones en la CL 6 por KR 87A no se podrían realizar por temas de cronograma, por lo que se definió una alternativa nueva y definitiva que consiste en hacer uso de"&amp;" la nueva Av. Guayacanes como ruta de desvío, se está a la espera de la radicación de los PMT por parte de los contratistas.
Por otra parte la construcción del tercer carril sobre la Calle 6 está sujeto a la presentación del modelo base, se hizo reunión "&amp;"el 20 de octubre y al contratista aún no cuenta con dicho modelo. Una vez se cuente con la viabilidad de modelo base, se autoriza el inicio de la construcción del tercer carril.")</f>
        <v>En mesas de trabajo del mes de junio de 2022, el IDU manifiesta que la construcción de los pontones en la CL 6 por KR 87A no se podrían realizar por temas de cronograma, por lo que se definió una alternativa nueva y definitiva que consiste en hacer uso de la nueva Av. Guayacanes como ruta de desvío, se está a la espera de la radicación de los PMT por parte de los contratistas.
Por otra parte la construcción del tercer carril sobre la Calle 6 está sujeto a la presentación del modelo base, se hizo reunión el 20 de octubre y al contratista aún no cuenta con dicho modelo. Una vez se cuente con la viabilidad de modelo base, se autoriza el inicio de la construcción del tercer carril.</v>
      </c>
      <c r="N4260" s="55">
        <f ca="1">IFERROR(__xludf.DUMMYFUNCTION("""COMPUTED_VALUE"""),44865)</f>
        <v>44865</v>
      </c>
      <c r="O4260" s="25" t="str">
        <f t="shared" ca="1" si="0"/>
        <v>Secretaría Distrital de Movilidad</v>
      </c>
      <c r="P4260" s="25" t="str">
        <f t="shared" si="2"/>
        <v/>
      </c>
      <c r="Q4260" s="25" t="str">
        <f ca="1">IFERROR(__xludf.DUMMYFUNCTION("""COMPUTED_VALUE"""),"Corto plazo")</f>
        <v>Corto plazo</v>
      </c>
      <c r="R4260" s="25"/>
      <c r="S4260" s="55"/>
      <c r="T4260" s="56"/>
      <c r="U4260" s="25"/>
      <c r="V4260" s="25"/>
      <c r="W4260" s="25"/>
      <c r="X4260" s="25"/>
      <c r="Y4260" s="25"/>
      <c r="Z4260" s="25"/>
    </row>
    <row r="4261" spans="1:26" ht="52.5" customHeight="1" x14ac:dyDescent="0.25">
      <c r="A4261" s="25" t="str">
        <f ca="1">IFERROR(__xludf.DUMMYFUNCTION("""COMPUTED_VALUE"""),"Movil59")</f>
        <v>Movil59</v>
      </c>
      <c r="B4261" s="25" t="str">
        <f ca="1">IFERROR(__xludf.DUMMYFUNCTION("""COMPUTED_VALUE"""),"Consejo de Seguridad")</f>
        <v>Consejo de Seguridad</v>
      </c>
      <c r="C4261" s="55">
        <f ca="1">IFERROR(__xludf.DUMMYFUNCTION("""COMPUTED_VALUE"""),44602)</f>
        <v>44602</v>
      </c>
      <c r="D4261" s="25" t="str">
        <f ca="1">IFERROR(__xludf.DUMMYFUNCTION("""COMPUTED_VALUE"""),"Movilidad")</f>
        <v>Movilidad</v>
      </c>
      <c r="E4261" s="25" t="str">
        <f ca="1">IFERROR(__xludf.DUMMYFUNCTION("""COMPUTED_VALUE"""),"Empresa de Transporte del Tercer Milenio - Transmilenio S.A.")</f>
        <v>Empresa de Transporte del Tercer Milenio - Transmilenio S.A.</v>
      </c>
      <c r="F4261" s="25" t="str">
        <f ca="1">IFERROR(__xludf.DUMMYFUNCTION("""COMPUTED_VALUE"""),"Llevar a cabo un evento público en el que se presente el comando de TransMilenio y se brinde toda la información sobre las estrategias de seguridad que se están desarrollando en el sistema. Este evento se debe llevar a cabo en la tercera semana de febrero"&amp;".")</f>
        <v>Llevar a cabo un evento público en el que se presente el comando de TransMilenio y se brinde toda la información sobre las estrategias de seguridad que se están desarrollando en el sistema. Este evento se debe llevar a cabo en la tercera semana de febrero.</v>
      </c>
      <c r="G4261" s="55" t="str">
        <f ca="1">IFERROR(__xludf.DUMMYFUNCTION("""COMPUTED_VALUE"""),"07. Bosa")</f>
        <v>07. Bosa</v>
      </c>
      <c r="H4261" s="55">
        <f ca="1">IFERROR(__xludf.DUMMYFUNCTION("""COMPUTED_VALUE"""),44632)</f>
        <v>44632</v>
      </c>
      <c r="I4261" s="25"/>
      <c r="J4261" s="55" t="str">
        <f ca="1">IFERROR(__xludf.DUMMYFUNCTION("""COMPUTED_VALUE"""),"Alta")</f>
        <v>Alta</v>
      </c>
      <c r="K4261" s="25">
        <f ca="1">IFERROR(__xludf.DUMMYFUNCTION("""COMPUTED_VALUE"""),30)</f>
        <v>30</v>
      </c>
      <c r="L4261" s="62"/>
      <c r="M4261" s="25" t="str">
        <f ca="1">IFERROR(__xludf.DUMMYFUNCTION("""COMPUTED_VALUE"""),"TRANSMILENIO S.A. se encuentra en proceso de contratación de su Esquema de Regulación Antievasión. Este esquema tiene como objetivo adelantar un control directo de torniquetes, BCA de discapacidad y puertas laterales en coordinación con los Gestores de Co"&amp;"nvivencia de TRANSMILENIO, Grupo de Transporte Masivo de la Policía Metropolitana de Bogotá y el componente de vigilancia y seguridad privada. Los primeros 53 Reguladores empezaron a desempeñar sus funciones el día 3 de julio de 2022 y para el mes de agos"&amp;"to se espera contar con el equipo en total operación para iniciar el desmonte gradual de los esquemas antievasión a cargo de la vigilancia privada. La implementación y despliegue de estos esquemas es monitoreada por TRANSMILENIO SA. a través del seguimien"&amp;"to de las cifras de ingresos y egresos al componente troncal. Preliminarmente se ha evidenciado que existe heterogeneidad en la respuesta de las validaciones ya que hay estaciones responsivas y otras donde se observan variaciones. ")</f>
        <v xml:space="preserve">TRANSMILENIO S.A. se encuentra en proceso de contratación de su Esquema de Regulación Antievasión. Este esquema tiene como objetivo adelantar un control directo de torniquetes, BCA de discapacidad y puertas laterales en coordinación con los Gestores de Convivencia de TRANSMILENIO, Grupo de Transporte Masivo de la Policía Metropolitana de Bogotá y el componente de vigilancia y seguridad privada. Los primeros 53 Reguladores empezaron a desempeñar sus funciones el día 3 de julio de 2022 y para el mes de agosto se espera contar con el equipo en total operación para iniciar el desmonte gradual de los esquemas antievasión a cargo de la vigilancia privada. La implementación y despliegue de estos esquemas es monitoreada por TRANSMILENIO SA. a través del seguimiento de las cifras de ingresos y egresos al componente troncal. Preliminarmente se ha evidenciado que existe heterogeneidad en la respuesta de las validaciones ya que hay estaciones responsivas y otras donde se observan variaciones. </v>
      </c>
      <c r="N4261" s="55">
        <f ca="1">IFERROR(__xludf.DUMMYFUNCTION("""COMPUTED_VALUE"""),44927)</f>
        <v>44927</v>
      </c>
      <c r="O4261" s="25" t="str">
        <f t="shared" ca="1" si="0"/>
        <v>Empresa de Transporte del Tercer Milenio - Transmilenio S.A.</v>
      </c>
      <c r="P4261" s="25" t="str">
        <f t="shared" si="2"/>
        <v/>
      </c>
      <c r="Q4261" s="25" t="str">
        <f ca="1">IFERROR(__xludf.DUMMYFUNCTION("""COMPUTED_VALUE"""),"Corto plazo")</f>
        <v>Corto plazo</v>
      </c>
      <c r="R4261" s="25"/>
      <c r="S4261" s="55"/>
      <c r="T4261" s="56"/>
      <c r="U4261" s="25"/>
      <c r="V4261" s="25"/>
      <c r="W4261" s="25"/>
      <c r="X4261" s="25"/>
      <c r="Y4261" s="25"/>
      <c r="Z4261" s="25"/>
    </row>
    <row r="4262" spans="1:26" ht="52.5" customHeight="1" x14ac:dyDescent="0.25">
      <c r="A4262" s="25" t="str">
        <f ca="1">IFERROR(__xludf.DUMMYFUNCTION("""COMPUTED_VALUE"""),"Movil60")</f>
        <v>Movil60</v>
      </c>
      <c r="B4262" s="25" t="str">
        <f ca="1">IFERROR(__xludf.DUMMYFUNCTION("""COMPUTED_VALUE"""),"Reunión Ministerio de Transporte")</f>
        <v>Reunión Ministerio de Transporte</v>
      </c>
      <c r="C4262" s="55">
        <f ca="1">IFERROR(__xludf.DUMMYFUNCTION("""COMPUTED_VALUE"""),44600)</f>
        <v>44600</v>
      </c>
      <c r="D4262" s="25" t="str">
        <f ca="1">IFERROR(__xludf.DUMMYFUNCTION("""COMPUTED_VALUE"""),"Movilidad")</f>
        <v>Movilidad</v>
      </c>
      <c r="E4262" s="25" t="str">
        <f ca="1">IFERROR(__xludf.DUMMYFUNCTION("""COMPUTED_VALUE"""),"Secretaría Distrital de Movilidad")</f>
        <v>Secretaría Distrital de Movilidad</v>
      </c>
      <c r="F4262" s="25" t="str">
        <f ca="1">IFERROR(__xludf.DUMMYFUNCTION("""COMPUTED_VALUE"""),"Declaratoria de importancia estratégica y aval financiero del Distrito -Alcaldía Mayor")</f>
        <v>Declaratoria de importancia estratégica y aval financiero del Distrito -Alcaldía Mayor</v>
      </c>
      <c r="G4262" s="25" t="str">
        <f ca="1">IFERROR(__xludf.DUMMYFUNCTION("""COMPUTED_VALUE"""),"99. Distrito")</f>
        <v>99. Distrito</v>
      </c>
      <c r="H4262" s="55">
        <f ca="1">IFERROR(__xludf.DUMMYFUNCTION("""COMPUTED_VALUE"""),44630)</f>
        <v>44630</v>
      </c>
      <c r="I4262" s="25"/>
      <c r="J4262" s="55" t="str">
        <f ca="1">IFERROR(__xludf.DUMMYFUNCTION("""COMPUTED_VALUE"""),"Alta")</f>
        <v>Alta</v>
      </c>
      <c r="K4262" s="25">
        <f ca="1">IFERROR(__xludf.DUMMYFUNCTION("""COMPUTED_VALUE"""),30)</f>
        <v>30</v>
      </c>
      <c r="L4262" s="62">
        <f ca="1">IFERROR(__xludf.DUMMYFUNCTION("""COMPUTED_VALUE"""),44783)</f>
        <v>44783</v>
      </c>
      <c r="M4262" s="25"/>
      <c r="N4262" s="55">
        <f ca="1">IFERROR(__xludf.DUMMYFUNCTION("""COMPUTED_VALUE"""),44783)</f>
        <v>44783</v>
      </c>
      <c r="O4262" s="25" t="str">
        <f t="shared" ca="1" si="0"/>
        <v>Secretaría Distrital de Movilidad</v>
      </c>
      <c r="P4262" s="25" t="str">
        <f t="shared" si="2"/>
        <v/>
      </c>
      <c r="Q4262" s="25" t="str">
        <f ca="1">IFERROR(__xludf.DUMMYFUNCTION("""COMPUTED_VALUE"""),"Corto plazo")</f>
        <v>Corto plazo</v>
      </c>
      <c r="R4262" s="25"/>
      <c r="S4262" s="55"/>
      <c r="T4262" s="56"/>
      <c r="U4262" s="25"/>
      <c r="V4262" s="25"/>
      <c r="W4262" s="25"/>
      <c r="X4262" s="25"/>
      <c r="Y4262" s="25"/>
      <c r="Z4262" s="25"/>
    </row>
    <row r="4263" spans="1:26" ht="52.5" customHeight="1" x14ac:dyDescent="0.25">
      <c r="A4263" s="25" t="str">
        <f ca="1">IFERROR(__xludf.DUMMYFUNCTION("""COMPUTED_VALUE"""),"Movil61")</f>
        <v>Movil61</v>
      </c>
      <c r="B4263" s="25" t="str">
        <f ca="1">IFERROR(__xludf.DUMMYFUNCTION("""COMPUTED_VALUE"""),"Reunión Ministerio de Transporte")</f>
        <v>Reunión Ministerio de Transporte</v>
      </c>
      <c r="C4263" s="55">
        <f ca="1">IFERROR(__xludf.DUMMYFUNCTION("""COMPUTED_VALUE"""),44600)</f>
        <v>44600</v>
      </c>
      <c r="D4263" s="25" t="str">
        <f ca="1">IFERROR(__xludf.DUMMYFUNCTION("""COMPUTED_VALUE"""),"Movilidad")</f>
        <v>Movilidad</v>
      </c>
      <c r="E4263" s="25" t="str">
        <f ca="1">IFERROR(__xludf.DUMMYFUNCTION("""COMPUTED_VALUE"""),"Secretaría Distrital de Movilidad")</f>
        <v>Secretaría Distrital de Movilidad</v>
      </c>
      <c r="F4263" s="25" t="str">
        <f ca="1">IFERROR(__xludf.DUMMYFUNCTION("""COMPUTED_VALUE"""),"Conpes de importancia estratégica de la segunda línea del metro y calle 13")</f>
        <v>Conpes de importancia estratégica de la segunda línea del metro y calle 13</v>
      </c>
      <c r="G4263" s="25" t="str">
        <f ca="1">IFERROR(__xludf.DUMMYFUNCTION("""COMPUTED_VALUE"""),"99. Distrito")</f>
        <v>99. Distrito</v>
      </c>
      <c r="H4263" s="55">
        <f ca="1">IFERROR(__xludf.DUMMYFUNCTION("""COMPUTED_VALUE"""),44713)</f>
        <v>44713</v>
      </c>
      <c r="I4263" s="25"/>
      <c r="J4263" s="55" t="str">
        <f ca="1">IFERROR(__xludf.DUMMYFUNCTION("""COMPUTED_VALUE"""),"Media")</f>
        <v>Media</v>
      </c>
      <c r="K4263" s="25">
        <f ca="1">IFERROR(__xludf.DUMMYFUNCTION("""COMPUTED_VALUE"""),113)</f>
        <v>113</v>
      </c>
      <c r="L4263" s="62">
        <f ca="1">IFERROR(__xludf.DUMMYFUNCTION("""COMPUTED_VALUE"""),44783)</f>
        <v>44783</v>
      </c>
      <c r="M4263" s="25" t="str">
        <f ca="1">IFERROR(__xludf.DUMMYFUNCTION("""COMPUTED_VALUE"""),"Se publicó el Documento CONPES 4104 y posteriormente se firmó el convenio de cofinanciación de la Calle 13 y SLMB ")</f>
        <v xml:space="preserve">Se publicó el Documento CONPES 4104 y posteriormente se firmó el convenio de cofinanciación de la Calle 13 y SLMB </v>
      </c>
      <c r="N4263" s="55">
        <f ca="1">IFERROR(__xludf.DUMMYFUNCTION("""COMPUTED_VALUE"""),44783)</f>
        <v>44783</v>
      </c>
      <c r="O4263" s="25" t="str">
        <f t="shared" ca="1" si="0"/>
        <v>Secretaría Distrital de Movilidad</v>
      </c>
      <c r="P4263" s="25" t="str">
        <f t="shared" si="2"/>
        <v/>
      </c>
      <c r="Q4263" s="25" t="str">
        <f ca="1">IFERROR(__xludf.DUMMYFUNCTION("""COMPUTED_VALUE"""),"Mediano plazo")</f>
        <v>Mediano plazo</v>
      </c>
      <c r="R4263" s="25"/>
      <c r="S4263" s="55"/>
      <c r="T4263" s="56"/>
      <c r="U4263" s="25"/>
      <c r="V4263" s="25"/>
      <c r="W4263" s="25"/>
      <c r="X4263" s="25"/>
      <c r="Y4263" s="25"/>
      <c r="Z4263" s="25"/>
    </row>
    <row r="4264" spans="1:26" ht="52.5" customHeight="1" x14ac:dyDescent="0.25">
      <c r="A4264" s="25" t="str">
        <f ca="1">IFERROR(__xludf.DUMMYFUNCTION("""COMPUTED_VALUE"""),"Movil62")</f>
        <v>Movil62</v>
      </c>
      <c r="B4264" s="25" t="str">
        <f ca="1">IFERROR(__xludf.DUMMYFUNCTION("""COMPUTED_VALUE"""),"Reunión Ministerio de Transporte")</f>
        <v>Reunión Ministerio de Transporte</v>
      </c>
      <c r="C4264" s="55">
        <f ca="1">IFERROR(__xludf.DUMMYFUNCTION("""COMPUTED_VALUE"""),44600)</f>
        <v>44600</v>
      </c>
      <c r="D4264" s="25" t="str">
        <f ca="1">IFERROR(__xludf.DUMMYFUNCTION("""COMPUTED_VALUE"""),"Movilidad")</f>
        <v>Movilidad</v>
      </c>
      <c r="E4264" s="25" t="str">
        <f ca="1">IFERROR(__xludf.DUMMYFUNCTION("""COMPUTED_VALUE"""),"Secretaría Distrital de Movilidad")</f>
        <v>Secretaría Distrital de Movilidad</v>
      </c>
      <c r="F4264" s="25" t="str">
        <f ca="1">IFERROR(__xludf.DUMMYFUNCTION("""COMPUTED_VALUE"""),"Realizar un convenio de cofinanciación de la segunda línea del metro y calle 13")</f>
        <v>Realizar un convenio de cofinanciación de la segunda línea del metro y calle 13</v>
      </c>
      <c r="G4264" s="25" t="str">
        <f ca="1">IFERROR(__xludf.DUMMYFUNCTION("""COMPUTED_VALUE"""),"99. Distrito")</f>
        <v>99. Distrito</v>
      </c>
      <c r="H4264" s="55">
        <f ca="1">IFERROR(__xludf.DUMMYFUNCTION("""COMPUTED_VALUE"""),44727)</f>
        <v>44727</v>
      </c>
      <c r="I4264" s="25"/>
      <c r="J4264" s="55" t="str">
        <f ca="1">IFERROR(__xludf.DUMMYFUNCTION("""COMPUTED_VALUE"""),"Media")</f>
        <v>Media</v>
      </c>
      <c r="K4264" s="25">
        <f ca="1">IFERROR(__xludf.DUMMYFUNCTION("""COMPUTED_VALUE"""),127)</f>
        <v>127</v>
      </c>
      <c r="L4264" s="62">
        <f ca="1">IFERROR(__xludf.DUMMYFUNCTION("""COMPUTED_VALUE"""),44783)</f>
        <v>44783</v>
      </c>
      <c r="M4264" s="25" t="str">
        <f ca="1">IFERROR(__xludf.DUMMYFUNCTION("""COMPUTED_VALUE"""),"Se publicó el Documento CONPES 4104 y posteriormente se firmó el convenio de cofinanciación de la Calle 13 y SLMB ")</f>
        <v xml:space="preserve">Se publicó el Documento CONPES 4104 y posteriormente se firmó el convenio de cofinanciación de la Calle 13 y SLMB </v>
      </c>
      <c r="N4264" s="55">
        <f ca="1">IFERROR(__xludf.DUMMYFUNCTION("""COMPUTED_VALUE"""),44783)</f>
        <v>44783</v>
      </c>
      <c r="O4264" s="25" t="str">
        <f t="shared" ca="1" si="0"/>
        <v>Secretaría Distrital de Movilidad</v>
      </c>
      <c r="P4264" s="25" t="str">
        <f t="shared" si="2"/>
        <v/>
      </c>
      <c r="Q4264" s="25" t="str">
        <f ca="1">IFERROR(__xludf.DUMMYFUNCTION("""COMPUTED_VALUE"""),"Mediano plazo")</f>
        <v>Mediano plazo</v>
      </c>
      <c r="R4264" s="25"/>
      <c r="S4264" s="55"/>
      <c r="T4264" s="56"/>
      <c r="U4264" s="25"/>
      <c r="V4264" s="25"/>
      <c r="W4264" s="25"/>
      <c r="X4264" s="25"/>
      <c r="Y4264" s="25"/>
      <c r="Z4264" s="25"/>
    </row>
    <row r="4265" spans="1:26" ht="52.5" customHeight="1" x14ac:dyDescent="0.25">
      <c r="A4265" s="25" t="str">
        <f ca="1">IFERROR(__xludf.DUMMYFUNCTION("""COMPUTED_VALUE"""),"Movil63")</f>
        <v>Movil63</v>
      </c>
      <c r="B4265" s="25" t="str">
        <f ca="1">IFERROR(__xludf.DUMMYFUNCTION("""COMPUTED_VALUE"""),"Reunión Ministerio de Transporte")</f>
        <v>Reunión Ministerio de Transporte</v>
      </c>
      <c r="C4265" s="55">
        <f ca="1">IFERROR(__xludf.DUMMYFUNCTION("""COMPUTED_VALUE"""),44600)</f>
        <v>44600</v>
      </c>
      <c r="D4265" s="25" t="str">
        <f ca="1">IFERROR(__xludf.DUMMYFUNCTION("""COMPUTED_VALUE"""),"Movilidad")</f>
        <v>Movilidad</v>
      </c>
      <c r="E4265" s="25" t="str">
        <f ca="1">IFERROR(__xludf.DUMMYFUNCTION("""COMPUTED_VALUE"""),"Secretaría Distrital de Movilidad")</f>
        <v>Secretaría Distrital de Movilidad</v>
      </c>
      <c r="F4265" s="25" t="str">
        <f ca="1">IFERROR(__xludf.DUMMYFUNCTION("""COMPUTED_VALUE"""),"Avanzar en las mesas de trabajo durante el mes de febrero con el Ministerio de Transporte para conseguir la aprobación de los requisitos exigidos para el proyecto calle 13.")</f>
        <v>Avanzar en las mesas de trabajo durante el mes de febrero con el Ministerio de Transporte para conseguir la aprobación de los requisitos exigidos para el proyecto calle 13.</v>
      </c>
      <c r="G4265" s="25" t="str">
        <f ca="1">IFERROR(__xludf.DUMMYFUNCTION("""COMPUTED_VALUE"""),"99. Distrito")</f>
        <v>99. Distrito</v>
      </c>
      <c r="H4265" s="55">
        <f ca="1">IFERROR(__xludf.DUMMYFUNCTION("""COMPUTED_VALUE"""),44621)</f>
        <v>44621</v>
      </c>
      <c r="I4265" s="25"/>
      <c r="J4265" s="55" t="str">
        <f ca="1">IFERROR(__xludf.DUMMYFUNCTION("""COMPUTED_VALUE"""),"Alta")</f>
        <v>Alta</v>
      </c>
      <c r="K4265" s="25">
        <f ca="1">IFERROR(__xludf.DUMMYFUNCTION("""COMPUTED_VALUE"""),21)</f>
        <v>21</v>
      </c>
      <c r="L4265" s="62">
        <f ca="1">IFERROR(__xludf.DUMMYFUNCTION("""COMPUTED_VALUE"""),44657)</f>
        <v>44657</v>
      </c>
      <c r="M4265" s="25" t="str">
        <f ca="1">IFERROR(__xludf.DUMMYFUNCTION("""COMPUTED_VALUE"""),"Se realizaron las mesas de trabajo de la socialización de los documentos para el proyecto calle 13 y Segunda Línea de Metro de Bogotá ")</f>
        <v xml:space="preserve">Se realizaron las mesas de trabajo de la socialización de los documentos para el proyecto calle 13 y Segunda Línea de Metro de Bogotá </v>
      </c>
      <c r="N4265" s="55">
        <f ca="1">IFERROR(__xludf.DUMMYFUNCTION("""COMPUTED_VALUE"""),44657)</f>
        <v>44657</v>
      </c>
      <c r="O4265" s="25" t="str">
        <f t="shared" ca="1" si="0"/>
        <v>Secretaría Distrital de Movilidad</v>
      </c>
      <c r="P4265" s="25" t="str">
        <f t="shared" si="2"/>
        <v/>
      </c>
      <c r="Q4265" s="25" t="str">
        <f ca="1">IFERROR(__xludf.DUMMYFUNCTION("""COMPUTED_VALUE"""),"Corto plazo")</f>
        <v>Corto plazo</v>
      </c>
      <c r="R4265" s="25"/>
      <c r="S4265" s="55"/>
      <c r="T4265" s="56"/>
      <c r="U4265" s="25"/>
      <c r="V4265" s="25"/>
      <c r="W4265" s="25"/>
      <c r="X4265" s="25"/>
      <c r="Y4265" s="25"/>
      <c r="Z4265" s="25"/>
    </row>
    <row r="4266" spans="1:26" ht="52.5" customHeight="1" x14ac:dyDescent="0.25">
      <c r="A4266" s="25" t="str">
        <f ca="1">IFERROR(__xludf.DUMMYFUNCTION("""COMPUTED_VALUE"""),"Movil64")</f>
        <v>Movil64</v>
      </c>
      <c r="B4266" s="25" t="str">
        <f ca="1">IFERROR(__xludf.DUMMYFUNCTION("""COMPUTED_VALUE"""),"Proyectos estratégicos movilidad")</f>
        <v>Proyectos estratégicos movilidad</v>
      </c>
      <c r="C4266" s="55">
        <f ca="1">IFERROR(__xludf.DUMMYFUNCTION("""COMPUTED_VALUE"""),44599)</f>
        <v>44599</v>
      </c>
      <c r="D4266" s="25" t="str">
        <f ca="1">IFERROR(__xludf.DUMMYFUNCTION("""COMPUTED_VALUE"""),"Movilidad")</f>
        <v>Movilidad</v>
      </c>
      <c r="E4266" s="25" t="str">
        <f ca="1">IFERROR(__xludf.DUMMYFUNCTION("""COMPUTED_VALUE"""),"Empresa Metro de Bogotá S.A.")</f>
        <v>Empresa Metro de Bogotá S.A.</v>
      </c>
      <c r="F4266" s="25" t="str">
        <f ca="1">IFERROR(__xludf.DUMMYFUNCTION("""COMPUTED_VALUE"""),"Envía comunicación a movilidad indicando el año de inicio de operación de la SLMB")</f>
        <v>Envía comunicación a movilidad indicando el año de inicio de operación de la SLMB</v>
      </c>
      <c r="G4266" s="25" t="str">
        <f ca="1">IFERROR(__xludf.DUMMYFUNCTION("""COMPUTED_VALUE"""),"99. Distrito")</f>
        <v>99. Distrito</v>
      </c>
      <c r="H4266" s="55">
        <f ca="1">IFERROR(__xludf.DUMMYFUNCTION("""COMPUTED_VALUE"""),44629)</f>
        <v>44629</v>
      </c>
      <c r="I4266" s="25"/>
      <c r="J4266" s="55" t="str">
        <f ca="1">IFERROR(__xludf.DUMMYFUNCTION("""COMPUTED_VALUE"""),"Alta")</f>
        <v>Alta</v>
      </c>
      <c r="K4266" s="25">
        <f ca="1">IFERROR(__xludf.DUMMYFUNCTION("""COMPUTED_VALUE"""),30)</f>
        <v>30</v>
      </c>
      <c r="L4266" s="62">
        <f ca="1">IFERROR(__xludf.DUMMYFUNCTION("""COMPUTED_VALUE"""),44565)</f>
        <v>44565</v>
      </c>
      <c r="M4266" s="25" t="str">
        <f ca="1">IFERROR(__xludf.DUMMYFUNCTION("""COMPUTED_VALUE"""),"El día 18 de febrero de 2022 la EMB remitió correo electrónico a la Secretaría de Movilidad, en donde se confirmó el inició de operación para la Línea 2 del Metro de Bogotá, para el año 2032.")</f>
        <v>El día 18 de febrero de 2022 la EMB remitió correo electrónico a la Secretaría de Movilidad, en donde se confirmó el inició de operación para la Línea 2 del Metro de Bogotá, para el año 2032.</v>
      </c>
      <c r="N4266" s="55">
        <f ca="1">IFERROR(__xludf.DUMMYFUNCTION("""COMPUTED_VALUE"""),44565)</f>
        <v>44565</v>
      </c>
      <c r="O4266" s="25" t="str">
        <f t="shared" ca="1" si="0"/>
        <v>Empresa Metro de Bogotá S.A.</v>
      </c>
      <c r="P4266" s="25" t="str">
        <f t="shared" si="2"/>
        <v/>
      </c>
      <c r="Q4266" s="25" t="str">
        <f ca="1">IFERROR(__xludf.DUMMYFUNCTION("""COMPUTED_VALUE"""),"Corto plazo")</f>
        <v>Corto plazo</v>
      </c>
      <c r="R4266" s="25"/>
      <c r="S4266" s="55"/>
      <c r="T4266" s="56"/>
      <c r="U4266" s="25"/>
      <c r="V4266" s="25"/>
      <c r="W4266" s="25"/>
      <c r="X4266" s="25"/>
      <c r="Y4266" s="25"/>
      <c r="Z4266" s="25"/>
    </row>
    <row r="4267" spans="1:26" ht="52.5" customHeight="1" x14ac:dyDescent="0.25">
      <c r="A4267" s="25" t="str">
        <f ca="1">IFERROR(__xludf.DUMMYFUNCTION("""COMPUTED_VALUE"""),"Movil65")</f>
        <v>Movil65</v>
      </c>
      <c r="B4267" s="25" t="str">
        <f ca="1">IFERROR(__xludf.DUMMYFUNCTION("""COMPUTED_VALUE"""),"Proyectos estratégicos movilidad")</f>
        <v>Proyectos estratégicos movilidad</v>
      </c>
      <c r="C4267" s="55">
        <f ca="1">IFERROR(__xludf.DUMMYFUNCTION("""COMPUTED_VALUE"""),44599)</f>
        <v>44599</v>
      </c>
      <c r="D4267" s="25" t="str">
        <f ca="1">IFERROR(__xludf.DUMMYFUNCTION("""COMPUTED_VALUE"""),"Movilidad")</f>
        <v>Movilidad</v>
      </c>
      <c r="E4267" s="25" t="str">
        <f ca="1">IFERROR(__xludf.DUMMYFUNCTION("""COMPUTED_VALUE"""),"Instituto de Desarrollo Urbano")</f>
        <v>Instituto de Desarrollo Urbano</v>
      </c>
      <c r="F4267" s="25" t="str">
        <f ca="1">IFERROR(__xludf.DUMMYFUNCTION("""COMPUTED_VALUE"""),"El cronograma de la cofinanciación de la Calle 13 debe estar detallado con días. Se debe llevar a la reunión con la ministra un cronograma más apretado.")</f>
        <v>El cronograma de la cofinanciación de la Calle 13 debe estar detallado con días. Se debe llevar a la reunión con la ministra un cronograma más apretado.</v>
      </c>
      <c r="G4267" s="25" t="str">
        <f ca="1">IFERROR(__xludf.DUMMYFUNCTION("""COMPUTED_VALUE"""),"99. Distrito")</f>
        <v>99. Distrito</v>
      </c>
      <c r="H4267" s="55">
        <f ca="1">IFERROR(__xludf.DUMMYFUNCTION("""COMPUTED_VALUE"""),44629)</f>
        <v>44629</v>
      </c>
      <c r="I4267" s="25"/>
      <c r="J4267" s="55" t="str">
        <f ca="1">IFERROR(__xludf.DUMMYFUNCTION("""COMPUTED_VALUE"""),"Alta")</f>
        <v>Alta</v>
      </c>
      <c r="K4267" s="25">
        <f ca="1">IFERROR(__xludf.DUMMYFUNCTION("""COMPUTED_VALUE"""),30)</f>
        <v>30</v>
      </c>
      <c r="L4267" s="62">
        <f ca="1">IFERROR(__xludf.DUMMYFUNCTION("""COMPUTED_VALUE"""),44657)</f>
        <v>44657</v>
      </c>
      <c r="M4267" s="25" t="str">
        <f ca="1">IFERROR(__xludf.DUMMYFUNCTION("""COMPUTED_VALUE"""),"Se llevó a la reunión del pasado 8 de febrero la presentación con los ajustes en el cronograma (dia-mes-año). Fecha de aprobación de requisitos 31-03-2022
")</f>
        <v xml:space="preserve">Se llevó a la reunión del pasado 8 de febrero la presentación con los ajustes en el cronograma (dia-mes-año). Fecha de aprobación de requisitos 31-03-2022
</v>
      </c>
      <c r="N4267" s="55">
        <f ca="1">IFERROR(__xludf.DUMMYFUNCTION("""COMPUTED_VALUE"""),44657)</f>
        <v>44657</v>
      </c>
      <c r="O4267" s="25" t="str">
        <f t="shared" ca="1" si="0"/>
        <v>Instituto de Desarrollo Urbano</v>
      </c>
      <c r="P4267" s="25" t="str">
        <f t="shared" si="2"/>
        <v/>
      </c>
      <c r="Q4267" s="25" t="str">
        <f ca="1">IFERROR(__xludf.DUMMYFUNCTION("""COMPUTED_VALUE"""),"Corto plazo")</f>
        <v>Corto plazo</v>
      </c>
      <c r="R4267" s="25"/>
      <c r="S4267" s="55"/>
      <c r="T4267" s="56"/>
      <c r="U4267" s="25"/>
      <c r="V4267" s="25"/>
      <c r="W4267" s="25"/>
      <c r="X4267" s="25"/>
      <c r="Y4267" s="25"/>
      <c r="Z4267" s="25"/>
    </row>
    <row r="4268" spans="1:26" ht="52.5" customHeight="1" x14ac:dyDescent="0.25">
      <c r="A4268" s="25" t="str">
        <f ca="1">IFERROR(__xludf.DUMMYFUNCTION("""COMPUTED_VALUE"""),"Movil66")</f>
        <v>Movil66</v>
      </c>
      <c r="B4268" s="25" t="str">
        <f ca="1">IFERROR(__xludf.DUMMYFUNCTION("""COMPUTED_VALUE"""),"Proyectos estratégicos movilidad")</f>
        <v>Proyectos estratégicos movilidad</v>
      </c>
      <c r="C4268" s="55">
        <f ca="1">IFERROR(__xludf.DUMMYFUNCTION("""COMPUTED_VALUE"""),44599)</f>
        <v>44599</v>
      </c>
      <c r="D4268" s="25" t="str">
        <f ca="1">IFERROR(__xludf.DUMMYFUNCTION("""COMPUTED_VALUE"""),"Movilidad")</f>
        <v>Movilidad</v>
      </c>
      <c r="E4268" s="25" t="str">
        <f ca="1">IFERROR(__xludf.DUMMYFUNCTION("""COMPUTED_VALUE"""),"Instituto de Desarrollo Urbano")</f>
        <v>Instituto de Desarrollo Urbano</v>
      </c>
      <c r="F4268" s="25" t="str">
        <f ca="1">IFERROR(__xludf.DUMMYFUNCTION("""COMPUTED_VALUE"""),"Revisar tiempos de construcción de la troncal de la Calle 13. Está planteado en 6 años.")</f>
        <v>Revisar tiempos de construcción de la troncal de la Calle 13. Está planteado en 6 años.</v>
      </c>
      <c r="G4268" s="25" t="str">
        <f ca="1">IFERROR(__xludf.DUMMYFUNCTION("""COMPUTED_VALUE"""),"99. Distrito")</f>
        <v>99. Distrito</v>
      </c>
      <c r="H4268" s="55">
        <f ca="1">IFERROR(__xludf.DUMMYFUNCTION("""COMPUTED_VALUE"""),44629)</f>
        <v>44629</v>
      </c>
      <c r="I4268" s="25"/>
      <c r="J4268" s="55" t="str">
        <f ca="1">IFERROR(__xludf.DUMMYFUNCTION("""COMPUTED_VALUE"""),"Alta")</f>
        <v>Alta</v>
      </c>
      <c r="K4268" s="25">
        <f ca="1">IFERROR(__xludf.DUMMYFUNCTION("""COMPUTED_VALUE"""),30)</f>
        <v>30</v>
      </c>
      <c r="L4268" s="62">
        <f ca="1">IFERROR(__xludf.DUMMYFUNCTION("""COMPUTED_VALUE"""),44657)</f>
        <v>44657</v>
      </c>
      <c r="M4268" s="25" t="str">
        <f ca="1">IFERROR(__xludf.DUMMYFUNCTION("""COMPUTED_VALUE"""),"El 10 de febrero se revisó técnicamente y se ajustó al cronograma, pasando de 1 año de preconstrucción a 6 meses, y de 5 años en etapa de construcción a 30 meses. El IDU continúa trabajando en la actualización de predios y flujo financiero.")</f>
        <v>El 10 de febrero se revisó técnicamente y se ajustó al cronograma, pasando de 1 año de preconstrucción a 6 meses, y de 5 años en etapa de construcción a 30 meses. El IDU continúa trabajando en la actualización de predios y flujo financiero.</v>
      </c>
      <c r="N4268" s="55">
        <f ca="1">IFERROR(__xludf.DUMMYFUNCTION("""COMPUTED_VALUE"""),44657)</f>
        <v>44657</v>
      </c>
      <c r="O4268" s="25" t="str">
        <f t="shared" ca="1" si="0"/>
        <v>Instituto de Desarrollo Urbano</v>
      </c>
      <c r="P4268" s="25" t="str">
        <f t="shared" si="2"/>
        <v/>
      </c>
      <c r="Q4268" s="25" t="str">
        <f ca="1">IFERROR(__xludf.DUMMYFUNCTION("""COMPUTED_VALUE"""),"Corto plazo")</f>
        <v>Corto plazo</v>
      </c>
      <c r="R4268" s="25"/>
      <c r="S4268" s="55"/>
      <c r="T4268" s="56"/>
      <c r="U4268" s="25"/>
      <c r="V4268" s="25"/>
      <c r="W4268" s="25"/>
      <c r="X4268" s="25"/>
      <c r="Y4268" s="25"/>
      <c r="Z4268" s="25"/>
    </row>
    <row r="4269" spans="1:26" ht="52.5" customHeight="1" x14ac:dyDescent="0.25">
      <c r="A4269" s="25" t="str">
        <f ca="1">IFERROR(__xludf.DUMMYFUNCTION("""COMPUTED_VALUE"""),"Movil67")</f>
        <v>Movil67</v>
      </c>
      <c r="B4269" s="25" t="str">
        <f ca="1">IFERROR(__xludf.DUMMYFUNCTION("""COMPUTED_VALUE"""),"Proyectos estratégicos movilidad")</f>
        <v>Proyectos estratégicos movilidad</v>
      </c>
      <c r="C4269" s="55">
        <f ca="1">IFERROR(__xludf.DUMMYFUNCTION("""COMPUTED_VALUE"""),44599)</f>
        <v>44599</v>
      </c>
      <c r="D4269" s="25" t="str">
        <f ca="1">IFERROR(__xludf.DUMMYFUNCTION("""COMPUTED_VALUE"""),"Movilidad")</f>
        <v>Movilidad</v>
      </c>
      <c r="E4269" s="25" t="str">
        <f ca="1">IFERROR(__xludf.DUMMYFUNCTION("""COMPUTED_VALUE"""),"Secretaría Distrital de Movilidad")</f>
        <v>Secretaría Distrital de Movilidad</v>
      </c>
      <c r="F4269" s="25" t="str">
        <f ca="1">IFERROR(__xludf.DUMMYFUNCTION("""COMPUTED_VALUE"""),"Para la reunión del 8 de febrero con la ministra, preparar presentación con: cronograma calle 13, cronograma SLMB, cronograma fechas de trabajo, sendas de aportes de calle 13, SLMB, Troncal Cali a Soacha y Distrito.")</f>
        <v>Para la reunión del 8 de febrero con la ministra, preparar presentación con: cronograma calle 13, cronograma SLMB, cronograma fechas de trabajo, sendas de aportes de calle 13, SLMB, Troncal Cali a Soacha y Distrito.</v>
      </c>
      <c r="G4269" s="25" t="str">
        <f ca="1">IFERROR(__xludf.DUMMYFUNCTION("""COMPUTED_VALUE"""),"99. Distrito")</f>
        <v>99. Distrito</v>
      </c>
      <c r="H4269" s="55">
        <f ca="1">IFERROR(__xludf.DUMMYFUNCTION("""COMPUTED_VALUE"""),44629)</f>
        <v>44629</v>
      </c>
      <c r="I4269" s="25"/>
      <c r="J4269" s="55" t="str">
        <f ca="1">IFERROR(__xludf.DUMMYFUNCTION("""COMPUTED_VALUE"""),"Alta")</f>
        <v>Alta</v>
      </c>
      <c r="K4269" s="25">
        <f ca="1">IFERROR(__xludf.DUMMYFUNCTION("""COMPUTED_VALUE"""),30)</f>
        <v>30</v>
      </c>
      <c r="L4269" s="62"/>
      <c r="M4269" s="25" t="str">
        <f ca="1">IFERROR(__xludf.DUMMYFUNCTION("""COMPUTED_VALUE"""),"Se llevó información solicitada a la reunión con la alcaldesa y la ministra.")</f>
        <v>Se llevó información solicitada a la reunión con la alcaldesa y la ministra.</v>
      </c>
      <c r="N4269" s="55">
        <f ca="1">IFERROR(__xludf.DUMMYFUNCTION("""COMPUTED_VALUE"""),44927)</f>
        <v>44927</v>
      </c>
      <c r="O4269" s="25" t="str">
        <f t="shared" ca="1" si="0"/>
        <v>Secretaría Distrital de Movilidad</v>
      </c>
      <c r="P4269" s="25" t="str">
        <f t="shared" si="2"/>
        <v/>
      </c>
      <c r="Q4269" s="25" t="str">
        <f ca="1">IFERROR(__xludf.DUMMYFUNCTION("""COMPUTED_VALUE"""),"Corto plazo")</f>
        <v>Corto plazo</v>
      </c>
      <c r="R4269" s="25"/>
      <c r="S4269" s="55"/>
      <c r="T4269" s="56"/>
      <c r="U4269" s="25"/>
      <c r="V4269" s="25"/>
      <c r="W4269" s="25"/>
      <c r="X4269" s="25"/>
      <c r="Y4269" s="25"/>
      <c r="Z4269" s="25"/>
    </row>
    <row r="4270" spans="1:26" ht="52.5" customHeight="1" x14ac:dyDescent="0.25">
      <c r="A4270" s="25" t="str">
        <f ca="1">IFERROR(__xludf.DUMMYFUNCTION("""COMPUTED_VALUE"""),"Movil68")</f>
        <v>Movil68</v>
      </c>
      <c r="B4270" s="25" t="str">
        <f ca="1">IFERROR(__xludf.DUMMYFUNCTION("""COMPUTED_VALUE"""),"Proyectos estratégicos movilidad")</f>
        <v>Proyectos estratégicos movilidad</v>
      </c>
      <c r="C4270" s="55">
        <f ca="1">IFERROR(__xludf.DUMMYFUNCTION("""COMPUTED_VALUE"""),44599)</f>
        <v>44599</v>
      </c>
      <c r="D4270" s="25" t="str">
        <f ca="1">IFERROR(__xludf.DUMMYFUNCTION("""COMPUTED_VALUE"""),"Movilidad")</f>
        <v>Movilidad</v>
      </c>
      <c r="E4270" s="25" t="str">
        <f ca="1">IFERROR(__xludf.DUMMYFUNCTION("""COMPUTED_VALUE"""),"Instituto de Desarrollo Urbano")</f>
        <v>Instituto de Desarrollo Urbano</v>
      </c>
      <c r="F4270" s="25" t="str">
        <f ca="1">IFERROR(__xludf.DUMMYFUNCTION("""COMPUTED_VALUE"""),"Revisar el cronograma de construcción del intercambiador NQS Bosa, para reducir este tiempo.")</f>
        <v>Revisar el cronograma de construcción del intercambiador NQS Bosa, para reducir este tiempo.</v>
      </c>
      <c r="G4270" s="25" t="str">
        <f ca="1">IFERROR(__xludf.DUMMYFUNCTION("""COMPUTED_VALUE"""),"99. Distrito")</f>
        <v>99. Distrito</v>
      </c>
      <c r="H4270" s="55">
        <f ca="1">IFERROR(__xludf.DUMMYFUNCTION("""COMPUTED_VALUE"""),44629)</f>
        <v>44629</v>
      </c>
      <c r="I4270" s="25"/>
      <c r="J4270" s="55" t="str">
        <f ca="1">IFERROR(__xludf.DUMMYFUNCTION("""COMPUTED_VALUE"""),"Alta")</f>
        <v>Alta</v>
      </c>
      <c r="K4270" s="25">
        <f ca="1">IFERROR(__xludf.DUMMYFUNCTION("""COMPUTED_VALUE"""),30)</f>
        <v>30</v>
      </c>
      <c r="L4270" s="62">
        <f ca="1">IFERROR(__xludf.DUMMYFUNCTION("""COMPUTED_VALUE"""),44658)</f>
        <v>44658</v>
      </c>
      <c r="M4270" s="25" t="str">
        <f ca="1">IFERROR(__xludf.DUMMYFUNCTION("""COMPUTED_VALUE"""),"Se revisó la optimización del cronograma desde la fase constructiva y se determinó que no es posible técnicamente ajustar los tiempos. En el marco de la estructuración del proceso para la adjudicación de la obra, se identificó por la Dirección Técnica de "&amp;"Proyectos, la Subdirección General de Desarrollo Urbano, la Dirección Técnica de Construcciones y la Subdirección General de Infraestructura, que no se pueden reducir los tiempos mencionados y se requirió ajustar los tiempos así: 8 meses de preconstrucció"&amp;"n y 33 meses de construcción. Frente a la publicación de los pliegos definitivos esto se realizará el 13 de abril aproximadamente, por cuanto se encuentra en trámite el concepto de ajuste al proyecto el cual inició hace 12 días hábiles. La viabilidad del "&amp;"ajuste lo deben emitir SDM y SDP. Actualmente IDU se encuentra ajustando las observaciones y se espera remitir el documento final el 8 de abril.")</f>
        <v>Se revisó la optimización del cronograma desde la fase constructiva y se determinó que no es posible técnicamente ajustar los tiempos. En el marco de la estructuración del proceso para la adjudicación de la obra, se identificó por la Dirección Técnica de Proyectos, la Subdirección General de Desarrollo Urbano, la Dirección Técnica de Construcciones y la Subdirección General de Infraestructura, que no se pueden reducir los tiempos mencionados y se requirió ajustar los tiempos así: 8 meses de preconstrucción y 33 meses de construcción. Frente a la publicación de los pliegos definitivos esto se realizará el 13 de abril aproximadamente, por cuanto se encuentra en trámite el concepto de ajuste al proyecto el cual inició hace 12 días hábiles. La viabilidad del ajuste lo deben emitir SDM y SDP. Actualmente IDU se encuentra ajustando las observaciones y se espera remitir el documento final el 8 de abril.</v>
      </c>
      <c r="N4270" s="55">
        <f ca="1">IFERROR(__xludf.DUMMYFUNCTION("""COMPUTED_VALUE"""),44658)</f>
        <v>44658</v>
      </c>
      <c r="O4270" s="25" t="str">
        <f t="shared" ca="1" si="0"/>
        <v>Instituto de Desarrollo Urbano</v>
      </c>
      <c r="P4270" s="25" t="str">
        <f t="shared" si="2"/>
        <v/>
      </c>
      <c r="Q4270" s="25" t="str">
        <f ca="1">IFERROR(__xludf.DUMMYFUNCTION("""COMPUTED_VALUE"""),"Corto plazo")</f>
        <v>Corto plazo</v>
      </c>
      <c r="R4270" s="25"/>
      <c r="S4270" s="55"/>
      <c r="T4270" s="56"/>
      <c r="U4270" s="25"/>
      <c r="V4270" s="25"/>
      <c r="W4270" s="25"/>
      <c r="X4270" s="25"/>
      <c r="Y4270" s="25"/>
      <c r="Z4270" s="25"/>
    </row>
    <row r="4271" spans="1:26" ht="52.5" customHeight="1" x14ac:dyDescent="0.25">
      <c r="A4271" s="25" t="str">
        <f ca="1">IFERROR(__xludf.DUMMYFUNCTION("""COMPUTED_VALUE"""),"Movil69")</f>
        <v>Movil69</v>
      </c>
      <c r="B4271" s="25" t="str">
        <f ca="1">IFERROR(__xludf.DUMMYFUNCTION("""COMPUTED_VALUE"""),"Proyectos estratégicos movilidad")</f>
        <v>Proyectos estratégicos movilidad</v>
      </c>
      <c r="C4271" s="55">
        <f ca="1">IFERROR(__xludf.DUMMYFUNCTION("""COMPUTED_VALUE"""),44599)</f>
        <v>44599</v>
      </c>
      <c r="D4271" s="25" t="str">
        <f ca="1">IFERROR(__xludf.DUMMYFUNCTION("""COMPUTED_VALUE"""),"Movilidad")</f>
        <v>Movilidad</v>
      </c>
      <c r="E4271" s="25" t="str">
        <f ca="1">IFERROR(__xludf.DUMMYFUNCTION("""COMPUTED_VALUE"""),"Instituto de Desarrollo Urbano")</f>
        <v>Instituto de Desarrollo Urbano</v>
      </c>
      <c r="F4271" s="25" t="str">
        <f ca="1">IFERROR(__xludf.DUMMYFUNCTION("""COMPUTED_VALUE"""),"La Calle 63 y la ALO Centro deben estructurarse bajo una misma APP y estar listas para licitación en diciembre de 2022, en enero 2023 debe abrirse la licitación.")</f>
        <v>La Calle 63 y la ALO Centro deben estructurarse bajo una misma APP y estar listas para licitación en diciembre de 2022, en enero 2023 debe abrirse la licitación.</v>
      </c>
      <c r="G4271" s="25" t="str">
        <f ca="1">IFERROR(__xludf.DUMMYFUNCTION("""COMPUTED_VALUE"""),"99. Distrito")</f>
        <v>99. Distrito</v>
      </c>
      <c r="H4271" s="55">
        <f ca="1">IFERROR(__xludf.DUMMYFUNCTION("""COMPUTED_VALUE"""),44629)</f>
        <v>44629</v>
      </c>
      <c r="I4271" s="25"/>
      <c r="J4271" s="55" t="str">
        <f ca="1">IFERROR(__xludf.DUMMYFUNCTION("""COMPUTED_VALUE"""),"Alta")</f>
        <v>Alta</v>
      </c>
      <c r="K4271" s="25">
        <f ca="1">IFERROR(__xludf.DUMMYFUNCTION("""COMPUTED_VALUE"""),30)</f>
        <v>30</v>
      </c>
      <c r="L4271" s="62">
        <f ca="1">IFERROR(__xludf.DUMMYFUNCTION("""COMPUTED_VALUE"""),44819)</f>
        <v>44819</v>
      </c>
      <c r="M4271" s="25" t="str">
        <f ca="1">IFERROR(__xludf.DUMMYFUNCTION("""COMPUTED_VALUE"""),"En el marco del convenio, se tiene previsto enfocar los esfuerzos en lograr la financiación para su ejecución, involucrando en el proyecto las modificaciones que se requieran y se acuerden entre las partes interesadas, incluyendo si resulta aplicable, los"&amp;" ajustes de los diseños, modificaciones a la licencia ambiental, estructuración del proyecto y apertura del proceso de selección y posterior ejecución de las obras. Se está trabajando en un modificatorio al convenio. Se firmó el otrosí al convenio entre A"&amp;"NI-ICCU y el IDU. En espera de próxima reunión en el marco del convenio, no obstante por cambios en el gobierno nacional, aún no se ha programado dicha reunión.
 De acuerdo con la reunión con la alcaldía y a la ANI (14-09-2022), aún se está trabajando en "&amp;"el mecanismo para cada uno de estos proyectos. Se presentaron los cronogramas en los dos casos (Obra pública y APP). En espera de realizar el Comité del borde occidental junto a ANI e ICCU para definir el tema.")</f>
        <v>En el marco del convenio, se tiene previsto enfocar los esfuerzos en lograr la financiación para su ejecución, involucrando en el proyecto las modificaciones que se requieran y se acuerden entre las partes interesadas, incluyendo si resulta aplicable, los ajustes de los diseños, modificaciones a la licencia ambiental, estructuración del proyecto y apertura del proceso de selección y posterior ejecución de las obras. Se está trabajando en un modificatorio al convenio. Se firmó el otrosí al convenio entre ANI-ICCU y el IDU. En espera de próxima reunión en el marco del convenio, no obstante por cambios en el gobierno nacional, aún no se ha programado dicha reunión.
 De acuerdo con la reunión con la alcaldía y a la ANI (14-09-2022), aún se está trabajando en el mecanismo para cada uno de estos proyectos. Se presentaron los cronogramas en los dos casos (Obra pública y APP). En espera de realizar el Comité del borde occidental junto a ANI e ICCU para definir el tema.</v>
      </c>
      <c r="N4271" s="55">
        <f ca="1">IFERROR(__xludf.DUMMYFUNCTION("""COMPUTED_VALUE"""),44819)</f>
        <v>44819</v>
      </c>
      <c r="O4271" s="25" t="str">
        <f t="shared" ca="1" si="0"/>
        <v>Instituto de Desarrollo Urbano</v>
      </c>
      <c r="P4271" s="25" t="str">
        <f t="shared" si="2"/>
        <v/>
      </c>
      <c r="Q4271" s="25" t="str">
        <f ca="1">IFERROR(__xludf.DUMMYFUNCTION("""COMPUTED_VALUE"""),"Corto plazo")</f>
        <v>Corto plazo</v>
      </c>
      <c r="R4271" s="25"/>
      <c r="S4271" s="55"/>
      <c r="T4271" s="56"/>
      <c r="U4271" s="25"/>
      <c r="V4271" s="25"/>
      <c r="W4271" s="25"/>
      <c r="X4271" s="25"/>
      <c r="Y4271" s="25"/>
      <c r="Z4271" s="25"/>
    </row>
    <row r="4272" spans="1:26" ht="52.5" customHeight="1" x14ac:dyDescent="0.25">
      <c r="A4272" s="25" t="str">
        <f ca="1">IFERROR(__xludf.DUMMYFUNCTION("""COMPUTED_VALUE"""),"Movil70")</f>
        <v>Movil70</v>
      </c>
      <c r="B4272" s="25" t="str">
        <f ca="1">IFERROR(__xludf.DUMMYFUNCTION("""COMPUTED_VALUE"""),"Proyectos estratégicos movilidad")</f>
        <v>Proyectos estratégicos movilidad</v>
      </c>
      <c r="C4272" s="55">
        <f ca="1">IFERROR(__xludf.DUMMYFUNCTION("""COMPUTED_VALUE"""),44599)</f>
        <v>44599</v>
      </c>
      <c r="D4272" s="25" t="str">
        <f ca="1">IFERROR(__xludf.DUMMYFUNCTION("""COMPUTED_VALUE"""),"Movilidad")</f>
        <v>Movilidad</v>
      </c>
      <c r="E4272" s="25" t="str">
        <f ca="1">IFERROR(__xludf.DUMMYFUNCTION("""COMPUTED_VALUE"""),"Instituto de Desarrollo Urbano")</f>
        <v>Instituto de Desarrollo Urbano</v>
      </c>
      <c r="F4272" s="25" t="str">
        <f ca="1">IFERROR(__xludf.DUMMYFUNCTION("""COMPUTED_VALUE"""),"Calle 63 y ALO Centro: Se deben estructurar sus fuentes de financiación (peajes y valorización) e informar a los municipios del área de influencia del cobro de la valorización.")</f>
        <v>Calle 63 y ALO Centro: Se deben estructurar sus fuentes de financiación (peajes y valorización) e informar a los municipios del área de influencia del cobro de la valorización.</v>
      </c>
      <c r="G4272" s="25" t="str">
        <f ca="1">IFERROR(__xludf.DUMMYFUNCTION("""COMPUTED_VALUE"""),"99. Distrito")</f>
        <v>99. Distrito</v>
      </c>
      <c r="H4272" s="55">
        <f ca="1">IFERROR(__xludf.DUMMYFUNCTION("""COMPUTED_VALUE"""),44629)</f>
        <v>44629</v>
      </c>
      <c r="I4272" s="25"/>
      <c r="J4272" s="55" t="str">
        <f ca="1">IFERROR(__xludf.DUMMYFUNCTION("""COMPUTED_VALUE"""),"Alta")</f>
        <v>Alta</v>
      </c>
      <c r="K4272" s="25">
        <f ca="1">IFERROR(__xludf.DUMMYFUNCTION("""COMPUTED_VALUE"""),30)</f>
        <v>30</v>
      </c>
      <c r="L4272" s="62">
        <f ca="1">IFERROR(__xludf.DUMMYFUNCTION("""COMPUTED_VALUE"""),44819)</f>
        <v>44819</v>
      </c>
      <c r="M4272" s="25" t="str">
        <f ca="1">IFERROR(__xludf.DUMMYFUNCTION("""COMPUTED_VALUE"""),"En el marco del convenio, se tiene previsto enfocar los esfuerzos en lograr la financiación para su ejecución, involucrando en el proyecto las modificaciones que se requieran y se acuerden entre las partes interesadas, incluyendo si resulta aplicable, los"&amp;" ajustes de los diseños, modificaciones a la licencia ambiental, estructuración del proyecto y apertura del proceso de selección y posterior ejecución de las obras. Se está trabajando en un modificatorio al convenio.
 Se firmó el otrosí al convenio entre "&amp;"ANI-ICCU y el IDU. En espera de próxima reunión en el marco del convenio, no obstante por cambios en el gobierno nacional, aún no se ha programado dicha reunión.
 De acuerdo con la reunión con la alcaldía y a la ANI (14-09-2022), aún se está trabajando en"&amp;" el mecanismo para cada uno de estos proyectos. Se presentaron los cronogramas en los dos casos (Obra pública y APP). En espera de realizar el Comité del borde occidental junto a ANI e ICCU para definir el tema.")</f>
        <v>En el marco del convenio, se tiene previsto enfocar los esfuerzos en lograr la financiación para su ejecución, involucrando en el proyecto las modificaciones que se requieran y se acuerden entre las partes interesadas, incluyendo si resulta aplicable, los ajustes de los diseños, modificaciones a la licencia ambiental, estructuración del proyecto y apertura del proceso de selección y posterior ejecución de las obras. Se está trabajando en un modificatorio al convenio.
 Se firmó el otrosí al convenio entre ANI-ICCU y el IDU. En espera de próxima reunión en el marco del convenio, no obstante por cambios en el gobierno nacional, aún no se ha programado dicha reunión.
 De acuerdo con la reunión con la alcaldía y a la ANI (14-09-2022), aún se está trabajando en el mecanismo para cada uno de estos proyectos. Se presentaron los cronogramas en los dos casos (Obra pública y APP). En espera de realizar el Comité del borde occidental junto a ANI e ICCU para definir el tema.</v>
      </c>
      <c r="N4272" s="55">
        <f ca="1">IFERROR(__xludf.DUMMYFUNCTION("""COMPUTED_VALUE"""),44819)</f>
        <v>44819</v>
      </c>
      <c r="O4272" s="25" t="str">
        <f t="shared" ca="1" si="0"/>
        <v>Instituto de Desarrollo Urbano</v>
      </c>
      <c r="P4272" s="25" t="str">
        <f t="shared" si="2"/>
        <v/>
      </c>
      <c r="Q4272" s="25" t="str">
        <f ca="1">IFERROR(__xludf.DUMMYFUNCTION("""COMPUTED_VALUE"""),"Corto plazo")</f>
        <v>Corto plazo</v>
      </c>
      <c r="R4272" s="25"/>
      <c r="S4272" s="55"/>
      <c r="T4272" s="56"/>
      <c r="U4272" s="25"/>
      <c r="V4272" s="25"/>
      <c r="W4272" s="25"/>
      <c r="X4272" s="25"/>
      <c r="Y4272" s="25"/>
      <c r="Z4272" s="25"/>
    </row>
    <row r="4273" spans="1:26" ht="52.5" customHeight="1" x14ac:dyDescent="0.25">
      <c r="A4273" s="25" t="str">
        <f ca="1">IFERROR(__xludf.DUMMYFUNCTION("""COMPUTED_VALUE"""),"Movil71")</f>
        <v>Movil71</v>
      </c>
      <c r="B4273" s="25" t="str">
        <f ca="1">IFERROR(__xludf.DUMMYFUNCTION("""COMPUTED_VALUE"""),"Proyectos estratégicos movilidad")</f>
        <v>Proyectos estratégicos movilidad</v>
      </c>
      <c r="C4273" s="55">
        <f ca="1">IFERROR(__xludf.DUMMYFUNCTION("""COMPUTED_VALUE"""),44599)</f>
        <v>44599</v>
      </c>
      <c r="D4273" s="25" t="str">
        <f ca="1">IFERROR(__xludf.DUMMYFUNCTION("""COMPUTED_VALUE"""),"Movilidad")</f>
        <v>Movilidad</v>
      </c>
      <c r="E4273" s="25" t="str">
        <f ca="1">IFERROR(__xludf.DUMMYFUNCTION("""COMPUTED_VALUE"""),"Instituto de Desarrollo Urbano")</f>
        <v>Instituto de Desarrollo Urbano</v>
      </c>
      <c r="F4273" s="25" t="str">
        <f ca="1">IFERROR(__xludf.DUMMYFUNCTION("""COMPUTED_VALUE"""),"Para el intercambiador vial de la 80 debe resolver a más tardar el 14 de febrero cómo y cuándo se van a adquirir los estudios y diseños del originador.")</f>
        <v>Para el intercambiador vial de la 80 debe resolver a más tardar el 14 de febrero cómo y cuándo se van a adquirir los estudios y diseños del originador.</v>
      </c>
      <c r="G4273" s="25" t="str">
        <f ca="1">IFERROR(__xludf.DUMMYFUNCTION("""COMPUTED_VALUE"""),"99. Distrito")</f>
        <v>99. Distrito</v>
      </c>
      <c r="H4273" s="55">
        <f ca="1">IFERROR(__xludf.DUMMYFUNCTION("""COMPUTED_VALUE"""),44629)</f>
        <v>44629</v>
      </c>
      <c r="I4273" s="25"/>
      <c r="J4273" s="55" t="str">
        <f ca="1">IFERROR(__xludf.DUMMYFUNCTION("""COMPUTED_VALUE"""),"Alta")</f>
        <v>Alta</v>
      </c>
      <c r="K4273" s="25">
        <f ca="1">IFERROR(__xludf.DUMMYFUNCTION("""COMPUTED_VALUE"""),30)</f>
        <v>30</v>
      </c>
      <c r="L4273" s="62">
        <f ca="1">IFERROR(__xludf.DUMMYFUNCTION("""COMPUTED_VALUE"""),44896)</f>
        <v>44896</v>
      </c>
      <c r="M4273" s="25" t="str">
        <f ca="1">IFERROR(__xludf.DUMMYFUNCTION("""COMPUTED_VALUE"""),"La semana del 15 al 19 de agosto de 2022 se convocó mesa de trabajo con la Aerocivil, la ANI, OPAIN, Transmilenio y Regiotram para presentación y revisión de alternativas. EL IDU trabaja en la elaboración de la prefactibilidad que será entregada este mes."&amp;" La adjudicación proceso de estudios de factibilidad y Diseños se espera para diciembre 2022.")</f>
        <v>La semana del 15 al 19 de agosto de 2022 se convocó mesa de trabajo con la Aerocivil, la ANI, OPAIN, Transmilenio y Regiotram para presentación y revisión de alternativas. EL IDU trabaja en la elaboración de la prefactibilidad que será entregada este mes. La adjudicación proceso de estudios de factibilidad y Diseños se espera para diciembre 2022.</v>
      </c>
      <c r="N4273" s="55">
        <f ca="1">IFERROR(__xludf.DUMMYFUNCTION("""COMPUTED_VALUE"""),44896)</f>
        <v>44896</v>
      </c>
      <c r="O4273" s="25" t="str">
        <f t="shared" ca="1" si="0"/>
        <v>Instituto de Desarrollo Urbano</v>
      </c>
      <c r="P4273" s="25" t="str">
        <f t="shared" si="2"/>
        <v/>
      </c>
      <c r="Q4273" s="25" t="str">
        <f ca="1">IFERROR(__xludf.DUMMYFUNCTION("""COMPUTED_VALUE"""),"Corto plazo")</f>
        <v>Corto plazo</v>
      </c>
      <c r="R4273" s="25"/>
      <c r="S4273" s="55"/>
      <c r="T4273" s="56"/>
      <c r="U4273" s="25"/>
      <c r="V4273" s="25"/>
      <c r="W4273" s="25"/>
      <c r="X4273" s="25"/>
      <c r="Y4273" s="25"/>
      <c r="Z4273" s="25"/>
    </row>
    <row r="4274" spans="1:26" ht="52.5" customHeight="1" x14ac:dyDescent="0.25">
      <c r="A4274" s="25" t="str">
        <f ca="1">IFERROR(__xludf.DUMMYFUNCTION("""COMPUTED_VALUE"""),"Movil72")</f>
        <v>Movil72</v>
      </c>
      <c r="B4274" s="25" t="str">
        <f ca="1">IFERROR(__xludf.DUMMYFUNCTION("""COMPUTED_VALUE"""),"Proyectos estratégicos movilidad")</f>
        <v>Proyectos estratégicos movilidad</v>
      </c>
      <c r="C4274" s="55">
        <f ca="1">IFERROR(__xludf.DUMMYFUNCTION("""COMPUTED_VALUE"""),44599)</f>
        <v>44599</v>
      </c>
      <c r="D4274" s="25" t="str">
        <f ca="1">IFERROR(__xludf.DUMMYFUNCTION("""COMPUTED_VALUE"""),"Movilidad")</f>
        <v>Movilidad</v>
      </c>
      <c r="E4274" s="25" t="str">
        <f ca="1">IFERROR(__xludf.DUMMYFUNCTION("""COMPUTED_VALUE"""),"Instituto de Desarrollo Urbano")</f>
        <v>Instituto de Desarrollo Urbano</v>
      </c>
      <c r="F4274" s="25" t="str">
        <f ca="1">IFERROR(__xludf.DUMMYFUNCTION("""COMPUTED_VALUE"""),"Se debe solicitar al originador de la APP CIM 80 que incorpore en el proyecto la construcción de la entrada a desnivel del Patio/Portal de la 80 a cambio de no hacer el intercambiador de la 80.")</f>
        <v>Se debe solicitar al originador de la APP CIM 80 que incorpore en el proyecto la construcción de la entrada a desnivel del Patio/Portal de la 80 a cambio de no hacer el intercambiador de la 80.</v>
      </c>
      <c r="G4274" s="25" t="str">
        <f ca="1">IFERROR(__xludf.DUMMYFUNCTION("""COMPUTED_VALUE"""),"99. Distrito")</f>
        <v>99. Distrito</v>
      </c>
      <c r="H4274" s="55">
        <f ca="1">IFERROR(__xludf.DUMMYFUNCTION("""COMPUTED_VALUE"""),44629)</f>
        <v>44629</v>
      </c>
      <c r="I4274" s="25"/>
      <c r="J4274" s="55" t="str">
        <f ca="1">IFERROR(__xludf.DUMMYFUNCTION("""COMPUTED_VALUE"""),"Alta")</f>
        <v>Alta</v>
      </c>
      <c r="K4274" s="25">
        <f ca="1">IFERROR(__xludf.DUMMYFUNCTION("""COMPUTED_VALUE"""),30)</f>
        <v>30</v>
      </c>
      <c r="L4274" s="62">
        <f ca="1">IFERROR(__xludf.DUMMYFUNCTION("""COMPUTED_VALUE"""),44657)</f>
        <v>44657</v>
      </c>
      <c r="M4274" s="25" t="str">
        <f ca="1">IFERROR(__xludf.DUMMYFUNCTION("""COMPUTED_VALUE"""),"El proyecto del CIM Cll 80 el originador desistió del proyecto y se revisó en comité de APP distrital del mes de marzo. TMSA se encuentra realizando el trámite del desistimiento.El originador desistió del proyecto y se revisó en comité de APP distrital de"&amp;"l mes de marzo")</f>
        <v>El proyecto del CIM Cll 80 el originador desistió del proyecto y se revisó en comité de APP distrital del mes de marzo. TMSA se encuentra realizando el trámite del desistimiento.El originador desistió del proyecto y se revisó en comité de APP distrital del mes de marzo</v>
      </c>
      <c r="N4274" s="55">
        <f ca="1">IFERROR(__xludf.DUMMYFUNCTION("""COMPUTED_VALUE"""),44657)</f>
        <v>44657</v>
      </c>
      <c r="O4274" s="25" t="str">
        <f t="shared" ca="1" si="0"/>
        <v>Instituto de Desarrollo Urbano</v>
      </c>
      <c r="P4274" s="25" t="str">
        <f t="shared" si="2"/>
        <v/>
      </c>
      <c r="Q4274" s="25" t="str">
        <f ca="1">IFERROR(__xludf.DUMMYFUNCTION("""COMPUTED_VALUE"""),"Corto plazo")</f>
        <v>Corto plazo</v>
      </c>
      <c r="R4274" s="25"/>
      <c r="S4274" s="55"/>
      <c r="T4274" s="56"/>
      <c r="U4274" s="25"/>
      <c r="V4274" s="25"/>
      <c r="W4274" s="25"/>
      <c r="X4274" s="25"/>
      <c r="Y4274" s="25"/>
      <c r="Z4274" s="25"/>
    </row>
    <row r="4275" spans="1:26" ht="52.5" customHeight="1" x14ac:dyDescent="0.25">
      <c r="A4275" s="25" t="str">
        <f ca="1">IFERROR(__xludf.DUMMYFUNCTION("""COMPUTED_VALUE"""),"Movil73")</f>
        <v>Movil73</v>
      </c>
      <c r="B4275" s="25" t="str">
        <f ca="1">IFERROR(__xludf.DUMMYFUNCTION("""COMPUTED_VALUE"""),"Proyectos estratégicos movilidad")</f>
        <v>Proyectos estratégicos movilidad</v>
      </c>
      <c r="C4275" s="55">
        <f ca="1">IFERROR(__xludf.DUMMYFUNCTION("""COMPUTED_VALUE"""),44599)</f>
        <v>44599</v>
      </c>
      <c r="D4275" s="25" t="str">
        <f ca="1">IFERROR(__xludf.DUMMYFUNCTION("""COMPUTED_VALUE"""),"Movilidad")</f>
        <v>Movilidad</v>
      </c>
      <c r="E4275" s="25" t="str">
        <f ca="1">IFERROR(__xludf.DUMMYFUNCTION("""COMPUTED_VALUE"""),"Instituto de Desarrollo Urbano")</f>
        <v>Instituto de Desarrollo Urbano</v>
      </c>
      <c r="F4275" s="25" t="str">
        <f ca="1">IFERROR(__xludf.DUMMYFUNCTION("""COMPUTED_VALUE"""),"Se debe estructurar la vía Borde Norte (desde Suba a Chía) contemplando un peaje al interior de Bogotá. Se debe proponer la instalación de un peaje en la Autopista Norte al interior de Bogotá.")</f>
        <v>Se debe estructurar la vía Borde Norte (desde Suba a Chía) contemplando un peaje al interior de Bogotá. Se debe proponer la instalación de un peaje en la Autopista Norte al interior de Bogotá.</v>
      </c>
      <c r="G4275" s="25" t="str">
        <f ca="1">IFERROR(__xludf.DUMMYFUNCTION("""COMPUTED_VALUE"""),"99. Distrito")</f>
        <v>99. Distrito</v>
      </c>
      <c r="H4275" s="55">
        <f ca="1">IFERROR(__xludf.DUMMYFUNCTION("""COMPUTED_VALUE"""),44629)</f>
        <v>44629</v>
      </c>
      <c r="I4275" s="25"/>
      <c r="J4275" s="55" t="str">
        <f ca="1">IFERROR(__xludf.DUMMYFUNCTION("""COMPUTED_VALUE"""),"Alta")</f>
        <v>Alta</v>
      </c>
      <c r="K4275" s="25">
        <f ca="1">IFERROR(__xludf.DUMMYFUNCTION("""COMPUTED_VALUE"""),30)</f>
        <v>30</v>
      </c>
      <c r="L4275" s="62">
        <f ca="1">IFERROR(__xludf.DUMMYFUNCTION("""COMPUTED_VALUE"""),44819)</f>
        <v>44819</v>
      </c>
      <c r="M4275" s="25" t="str">
        <f ca="1">IFERROR(__xludf.DUMMYFUNCTION("""COMPUTED_VALUE"""),"Se va a sostener una reunión con la Alcaldesa Mayor de Bogotá, el IDU y el presidente de la ANI, el día 14 de septiembre, con el fin de definir entre otros puntos,  cuales pueden ser los proyectos a contemplar en una primera fase del convenio de Borde Nor"&amp;"te. Como se indicó en el reporte anterior el IDU  no cuenta con los recursos necesarios para realizar la estructuración integral y con el propósito de avanzar, se buscaron aliados y ese fue el propósito del convenio mencionado. 
Frente al peaje en la Aut"&amp;"onorte al interior de Bogotá, se debe discutir con la ANI el tema y realizar análisis técnicos, jurídicos, económicos, financieros y prediales del impacto de esto en la concesión adjudicada y de acuerdo con los análisis, determinar la viabilidad de suscri"&amp;"bir un otrosí al contrato de concesión adjudicado por parte de la ANI y así mismo, un otrosí al convenio suscrito con la ANI.")</f>
        <v>Se va a sostener una reunión con la Alcaldesa Mayor de Bogotá, el IDU y el presidente de la ANI, el día 14 de septiembre, con el fin de definir entre otros puntos,  cuales pueden ser los proyectos a contemplar en una primera fase del convenio de Borde Norte. Como se indicó en el reporte anterior el IDU  no cuenta con los recursos necesarios para realizar la estructuración integral y con el propósito de avanzar, se buscaron aliados y ese fue el propósito del convenio mencionado. 
Frente al peaje en la Autonorte al interior de Bogotá, se debe discutir con la ANI el tema y realizar análisis técnicos, jurídicos, económicos, financieros y prediales del impacto de esto en la concesión adjudicada y de acuerdo con los análisis, determinar la viabilidad de suscribir un otrosí al contrato de concesión adjudicado por parte de la ANI y así mismo, un otrosí al convenio suscrito con la ANI.</v>
      </c>
      <c r="N4275" s="55">
        <f ca="1">IFERROR(__xludf.DUMMYFUNCTION("""COMPUTED_VALUE"""),44819)</f>
        <v>44819</v>
      </c>
      <c r="O4275" s="25" t="str">
        <f t="shared" ca="1" si="0"/>
        <v>Instituto de Desarrollo Urbano</v>
      </c>
      <c r="P4275" s="25" t="str">
        <f t="shared" si="2"/>
        <v/>
      </c>
      <c r="Q4275" s="25" t="str">
        <f ca="1">IFERROR(__xludf.DUMMYFUNCTION("""COMPUTED_VALUE"""),"Corto plazo")</f>
        <v>Corto plazo</v>
      </c>
      <c r="R4275" s="25"/>
      <c r="S4275" s="55"/>
      <c r="T4275" s="56"/>
      <c r="U4275" s="25"/>
      <c r="V4275" s="25"/>
      <c r="W4275" s="25"/>
      <c r="X4275" s="25"/>
      <c r="Y4275" s="25"/>
      <c r="Z4275" s="25"/>
    </row>
    <row r="4276" spans="1:26" ht="52.5" customHeight="1" x14ac:dyDescent="0.25">
      <c r="A4276" s="25" t="str">
        <f ca="1">IFERROR(__xludf.DUMMYFUNCTION("""COMPUTED_VALUE"""),"Movil74")</f>
        <v>Movil74</v>
      </c>
      <c r="B4276" s="25" t="str">
        <f ca="1">IFERROR(__xludf.DUMMYFUNCTION("""COMPUTED_VALUE"""),"Proyectos estratégicos movilidad")</f>
        <v>Proyectos estratégicos movilidad</v>
      </c>
      <c r="C4276" s="55">
        <f ca="1">IFERROR(__xludf.DUMMYFUNCTION("""COMPUTED_VALUE"""),44599)</f>
        <v>44599</v>
      </c>
      <c r="D4276" s="25" t="str">
        <f ca="1">IFERROR(__xludf.DUMMYFUNCTION("""COMPUTED_VALUE"""),"Movilidad")</f>
        <v>Movilidad</v>
      </c>
      <c r="E4276" s="25" t="str">
        <f ca="1">IFERROR(__xludf.DUMMYFUNCTION("""COMPUTED_VALUE"""),"Instituto de Desarrollo Urbano")</f>
        <v>Instituto de Desarrollo Urbano</v>
      </c>
      <c r="F4276" s="25" t="str">
        <f ca="1">IFERROR(__xludf.DUMMYFUNCTION("""COMPUTED_VALUE"""),"Para la Ciclo Alameda Nuevo Milenio se debe solicitar reunión con la Junta Directiva de Ecopetrol para solicitar apoyo en su financiación.")</f>
        <v>Para la Ciclo Alameda Nuevo Milenio se debe solicitar reunión con la Junta Directiva de Ecopetrol para solicitar apoyo en su financiación.</v>
      </c>
      <c r="G4276" s="25" t="str">
        <f ca="1">IFERROR(__xludf.DUMMYFUNCTION("""COMPUTED_VALUE"""),"99. Distrito")</f>
        <v>99. Distrito</v>
      </c>
      <c r="H4276" s="55">
        <f ca="1">IFERROR(__xludf.DUMMYFUNCTION("""COMPUTED_VALUE"""),44629)</f>
        <v>44629</v>
      </c>
      <c r="I4276" s="25"/>
      <c r="J4276" s="55" t="str">
        <f ca="1">IFERROR(__xludf.DUMMYFUNCTION("""COMPUTED_VALUE"""),"Alta")</f>
        <v>Alta</v>
      </c>
      <c r="K4276" s="25">
        <f ca="1">IFERROR(__xludf.DUMMYFUNCTION("""COMPUTED_VALUE"""),30)</f>
        <v>30</v>
      </c>
      <c r="L4276" s="62">
        <f ca="1">IFERROR(__xludf.DUMMYFUNCTION("""COMPUTED_VALUE"""),44657)</f>
        <v>44657</v>
      </c>
      <c r="M4276" s="25" t="str">
        <f ca="1">IFERROR(__xludf.DUMMYFUNCTION("""COMPUTED_VALUE"""),"El director del IDU tuvo reunión con la Vicepresidenta de Ecopetrol y ella quedó de analizar la posibilidad de la financiación con el presidente de Ecopetrol, para tener una razón antes de la reunión que la Alcaldesa quedó de tener con el presidente y su "&amp;"Junta directiva.")</f>
        <v>El director del IDU tuvo reunión con la Vicepresidenta de Ecopetrol y ella quedó de analizar la posibilidad de la financiación con el presidente de Ecopetrol, para tener una razón antes de la reunión que la Alcaldesa quedó de tener con el presidente y su Junta directiva.</v>
      </c>
      <c r="N4276" s="55">
        <f ca="1">IFERROR(__xludf.DUMMYFUNCTION("""COMPUTED_VALUE"""),44657)</f>
        <v>44657</v>
      </c>
      <c r="O4276" s="25" t="str">
        <f t="shared" ca="1" si="0"/>
        <v>Instituto de Desarrollo Urbano</v>
      </c>
      <c r="P4276" s="25" t="str">
        <f t="shared" si="2"/>
        <v/>
      </c>
      <c r="Q4276" s="25" t="str">
        <f ca="1">IFERROR(__xludf.DUMMYFUNCTION("""COMPUTED_VALUE"""),"Corto plazo")</f>
        <v>Corto plazo</v>
      </c>
      <c r="R4276" s="25"/>
      <c r="S4276" s="55"/>
      <c r="T4276" s="56"/>
      <c r="U4276" s="25"/>
      <c r="V4276" s="25"/>
      <c r="W4276" s="25"/>
      <c r="X4276" s="25"/>
      <c r="Y4276" s="25"/>
      <c r="Z4276" s="25"/>
    </row>
    <row r="4277" spans="1:26" ht="52.5" customHeight="1" x14ac:dyDescent="0.25">
      <c r="A4277" s="25" t="str">
        <f ca="1">IFERROR(__xludf.DUMMYFUNCTION("""COMPUTED_VALUE"""),"Movil75")</f>
        <v>Movil75</v>
      </c>
      <c r="B4277" s="25" t="str">
        <f ca="1">IFERROR(__xludf.DUMMYFUNCTION("""COMPUTED_VALUE"""),"Proyectos estratégicos movilidad")</f>
        <v>Proyectos estratégicos movilidad</v>
      </c>
      <c r="C4277" s="55">
        <f ca="1">IFERROR(__xludf.DUMMYFUNCTION("""COMPUTED_VALUE"""),44599)</f>
        <v>44599</v>
      </c>
      <c r="D4277" s="25" t="str">
        <f ca="1">IFERROR(__xludf.DUMMYFUNCTION("""COMPUTED_VALUE"""),"Movilidad")</f>
        <v>Movilidad</v>
      </c>
      <c r="E4277" s="25" t="str">
        <f ca="1">IFERROR(__xludf.DUMMYFUNCTION("""COMPUTED_VALUE"""),"Instituto de Desarrollo Urbano")</f>
        <v>Instituto de Desarrollo Urbano</v>
      </c>
      <c r="F4277" s="25" t="str">
        <f ca="1">IFERROR(__xludf.DUMMYFUNCTION("""COMPUTED_VALUE"""),"Para Regiotram del Norte se debe informar a Cundinamarca que los 80 mil millones de pesos de Bogotá se girarán en 2023.")</f>
        <v>Para Regiotram del Norte se debe informar a Cundinamarca que los 80 mil millones de pesos de Bogotá se girarán en 2023.</v>
      </c>
      <c r="G4277" s="25" t="str">
        <f ca="1">IFERROR(__xludf.DUMMYFUNCTION("""COMPUTED_VALUE"""),"99. Distrito")</f>
        <v>99. Distrito</v>
      </c>
      <c r="H4277" s="55">
        <f ca="1">IFERROR(__xludf.DUMMYFUNCTION("""COMPUTED_VALUE"""),44629)</f>
        <v>44629</v>
      </c>
      <c r="I4277" s="25"/>
      <c r="J4277" s="55" t="str">
        <f ca="1">IFERROR(__xludf.DUMMYFUNCTION("""COMPUTED_VALUE"""),"Alta")</f>
        <v>Alta</v>
      </c>
      <c r="K4277" s="25">
        <f ca="1">IFERROR(__xludf.DUMMYFUNCTION("""COMPUTED_VALUE"""),30)</f>
        <v>30</v>
      </c>
      <c r="L4277" s="62">
        <f ca="1">IFERROR(__xludf.DUMMYFUNCTION("""COMPUTED_VALUE"""),44623)</f>
        <v>44623</v>
      </c>
      <c r="M4277" s="25" t="str">
        <f ca="1">IFERROR(__xludf.DUMMYFUNCTION("""COMPUTED_VALUE"""),"1 En los comités que el IDU ha tenido con la EFR en el marco del convenio suscrito entre las partes, el IDU aclaró a la EFR la necesidad de avanzar muy rápidamente en los ajustes a los EyD que permitan concretar la transferencia de los recursos para las o"&amp;"bras. La EFR manifiesta que en el mes de octubre de 2022 tendrá los diseños definitivos y se comprometió a presentar avances mensuales, de tal forma que para el mes de octubre de 2022 el IDU pueda hacer la transferencia de los recursos. Por tal razón, el "&amp;"IDU mantiene los recursos en su presupuesto.El IDU mantiene los recursos considerando que ya existe un compromiso de su transferencia a la EFR sujetos a los eyd, dejarlos para 2023 es poner en riesgo este compromiso.")</f>
        <v>1 En los comités que el IDU ha tenido con la EFR en el marco del convenio suscrito entre las partes, el IDU aclaró a la EFR la necesidad de avanzar muy rápidamente en los ajustes a los EyD que permitan concretar la transferencia de los recursos para las obras. La EFR manifiesta que en el mes de octubre de 2022 tendrá los diseños definitivos y se comprometió a presentar avances mensuales, de tal forma que para el mes de octubre de 2022 el IDU pueda hacer la transferencia de los recursos. Por tal razón, el IDU mantiene los recursos en su presupuesto.El IDU mantiene los recursos considerando que ya existe un compromiso de su transferencia a la EFR sujetos a los eyd, dejarlos para 2023 es poner en riesgo este compromiso.</v>
      </c>
      <c r="N4277" s="55">
        <f ca="1">IFERROR(__xludf.DUMMYFUNCTION("""COMPUTED_VALUE"""),44623)</f>
        <v>44623</v>
      </c>
      <c r="O4277" s="25" t="str">
        <f t="shared" ca="1" si="0"/>
        <v>Instituto de Desarrollo Urbano</v>
      </c>
      <c r="P4277" s="25" t="str">
        <f t="shared" si="2"/>
        <v/>
      </c>
      <c r="Q4277" s="25" t="str">
        <f ca="1">IFERROR(__xludf.DUMMYFUNCTION("""COMPUTED_VALUE"""),"Corto plazo")</f>
        <v>Corto plazo</v>
      </c>
      <c r="R4277" s="25"/>
      <c r="S4277" s="55"/>
      <c r="T4277" s="56"/>
      <c r="U4277" s="25"/>
      <c r="V4277" s="25"/>
      <c r="W4277" s="25"/>
      <c r="X4277" s="25"/>
      <c r="Y4277" s="25"/>
      <c r="Z4277" s="25"/>
    </row>
    <row r="4278" spans="1:26" ht="52.5" customHeight="1" x14ac:dyDescent="0.25">
      <c r="A4278" s="25" t="str">
        <f ca="1">IFERROR(__xludf.DUMMYFUNCTION("""COMPUTED_VALUE"""),"Movil76")</f>
        <v>Movil76</v>
      </c>
      <c r="B4278" s="25" t="str">
        <f ca="1">IFERROR(__xludf.DUMMYFUNCTION("""COMPUTED_VALUE"""),"Proyectos estratégicos movilidad")</f>
        <v>Proyectos estratégicos movilidad</v>
      </c>
      <c r="C4278" s="55">
        <f ca="1">IFERROR(__xludf.DUMMYFUNCTION("""COMPUTED_VALUE"""),44599)</f>
        <v>44599</v>
      </c>
      <c r="D4278" s="25" t="str">
        <f ca="1">IFERROR(__xludf.DUMMYFUNCTION("""COMPUTED_VALUE"""),"Movilidad")</f>
        <v>Movilidad</v>
      </c>
      <c r="E4278" s="25" t="str">
        <f ca="1">IFERROR(__xludf.DUMMYFUNCTION("""COMPUTED_VALUE"""),"Empresa de Transporte del Tercer Milenio - Transmilenio S.A.")</f>
        <v>Empresa de Transporte del Tercer Milenio - Transmilenio S.A.</v>
      </c>
      <c r="F4278" s="25" t="str">
        <f ca="1">IFERROR(__xludf.DUMMYFUNCTION("""COMPUTED_VALUE"""),"TM debe elaborar la estrategia integral de negociación con los operadores del sistema, designar un jefe negociador y la fecha para anunciar formalmente la instalación de las mesas de negociación.")</f>
        <v>TM debe elaborar la estrategia integral de negociación con los operadores del sistema, designar un jefe negociador y la fecha para anunciar formalmente la instalación de las mesas de negociación.</v>
      </c>
      <c r="G4278" s="25" t="str">
        <f ca="1">IFERROR(__xludf.DUMMYFUNCTION("""COMPUTED_VALUE"""),"99. Distrito")</f>
        <v>99. Distrito</v>
      </c>
      <c r="H4278" s="55">
        <f ca="1">IFERROR(__xludf.DUMMYFUNCTION("""COMPUTED_VALUE"""),44629)</f>
        <v>44629</v>
      </c>
      <c r="I4278" s="25"/>
      <c r="J4278" s="55" t="str">
        <f ca="1">IFERROR(__xludf.DUMMYFUNCTION("""COMPUTED_VALUE"""),"Alta")</f>
        <v>Alta</v>
      </c>
      <c r="K4278" s="25">
        <f ca="1">IFERROR(__xludf.DUMMYFUNCTION("""COMPUTED_VALUE"""),30)</f>
        <v>30</v>
      </c>
      <c r="L4278" s="62"/>
      <c r="M4278" s="25" t="str">
        <f ca="1">IFERROR(__xludf.DUMMYFUNCTION("""COMPUTED_VALUE"""),"Desde Gerencia se proyectó un calendario de mesas de trabajo el cual se ha ido desarrollando durante el primer semestre de 2022")</f>
        <v>Desde Gerencia se proyectó un calendario de mesas de trabajo el cual se ha ido desarrollando durante el primer semestre de 2022</v>
      </c>
      <c r="N4278" s="55">
        <f ca="1">IFERROR(__xludf.DUMMYFUNCTION("""COMPUTED_VALUE"""),44927)</f>
        <v>44927</v>
      </c>
      <c r="O4278" s="25" t="str">
        <f t="shared" ca="1" si="0"/>
        <v>Empresa de Transporte del Tercer Milenio - Transmilenio S.A.</v>
      </c>
      <c r="P4278" s="25" t="str">
        <f t="shared" si="2"/>
        <v/>
      </c>
      <c r="Q4278" s="25" t="str">
        <f ca="1">IFERROR(__xludf.DUMMYFUNCTION("""COMPUTED_VALUE"""),"Corto plazo")</f>
        <v>Corto plazo</v>
      </c>
      <c r="R4278" s="25"/>
      <c r="S4278" s="55"/>
      <c r="T4278" s="56"/>
      <c r="U4278" s="25"/>
      <c r="V4278" s="25"/>
      <c r="W4278" s="25"/>
      <c r="X4278" s="25"/>
      <c r="Y4278" s="25"/>
      <c r="Z4278" s="25"/>
    </row>
    <row r="4279" spans="1:26" ht="52.5" customHeight="1" x14ac:dyDescent="0.25">
      <c r="A4279" s="25" t="str">
        <f ca="1">IFERROR(__xludf.DUMMYFUNCTION("""COMPUTED_VALUE"""),"Movil77")</f>
        <v>Movil77</v>
      </c>
      <c r="B4279" s="25" t="str">
        <f ca="1">IFERROR(__xludf.DUMMYFUNCTION("""COMPUTED_VALUE"""),"Proyectos estratégicos movilidad")</f>
        <v>Proyectos estratégicos movilidad</v>
      </c>
      <c r="C4279" s="55">
        <f ca="1">IFERROR(__xludf.DUMMYFUNCTION("""COMPUTED_VALUE"""),44599)</f>
        <v>44599</v>
      </c>
      <c r="D4279" s="25" t="str">
        <f ca="1">IFERROR(__xludf.DUMMYFUNCTION("""COMPUTED_VALUE"""),"Movilidad")</f>
        <v>Movilidad</v>
      </c>
      <c r="E4279" s="25" t="str">
        <f ca="1">IFERROR(__xludf.DUMMYFUNCTION("""COMPUTED_VALUE"""),"Secretaría Distrital de Movilidad")</f>
        <v>Secretaría Distrital de Movilidad</v>
      </c>
      <c r="F4279" s="25" t="str">
        <f ca="1">IFERROR(__xludf.DUMMYFUNCTION("""COMPUTED_VALUE"""),"Enviar a Alcaldía un brief del apoyo que están solicitando a la CAF para la prefactibilidad de los CIM.")</f>
        <v>Enviar a Alcaldía un brief del apoyo que están solicitando a la CAF para la prefactibilidad de los CIM.</v>
      </c>
      <c r="G4279" s="25" t="str">
        <f ca="1">IFERROR(__xludf.DUMMYFUNCTION("""COMPUTED_VALUE"""),"99. Distrito")</f>
        <v>99. Distrito</v>
      </c>
      <c r="H4279" s="55">
        <f ca="1">IFERROR(__xludf.DUMMYFUNCTION("""COMPUTED_VALUE"""),44629)</f>
        <v>44629</v>
      </c>
      <c r="I4279" s="25"/>
      <c r="J4279" s="55" t="str">
        <f ca="1">IFERROR(__xludf.DUMMYFUNCTION("""COMPUTED_VALUE"""),"Alta")</f>
        <v>Alta</v>
      </c>
      <c r="K4279" s="25">
        <f ca="1">IFERROR(__xludf.DUMMYFUNCTION("""COMPUTED_VALUE"""),30)</f>
        <v>30</v>
      </c>
      <c r="L4279" s="62"/>
      <c r="M4279" s="25" t="str">
        <f ca="1">IFERROR(__xludf.DUMMYFUNCTION("""COMPUTED_VALUE"""),"La Terminal remitió a la alcaldesa el brief el mismo dia de la reunión.")</f>
        <v>La Terminal remitió a la alcaldesa el brief el mismo dia de la reunión.</v>
      </c>
      <c r="N4279" s="55">
        <f ca="1">IFERROR(__xludf.DUMMYFUNCTION("""COMPUTED_VALUE"""),44927)</f>
        <v>44927</v>
      </c>
      <c r="O4279" s="25" t="str">
        <f t="shared" ca="1" si="0"/>
        <v>Secretaría Distrital de Movilidad</v>
      </c>
      <c r="P4279" s="25" t="str">
        <f t="shared" si="2"/>
        <v/>
      </c>
      <c r="Q4279" s="25" t="str">
        <f ca="1">IFERROR(__xludf.DUMMYFUNCTION("""COMPUTED_VALUE"""),"Corto plazo")</f>
        <v>Corto plazo</v>
      </c>
      <c r="R4279" s="25"/>
      <c r="S4279" s="55"/>
      <c r="T4279" s="56"/>
      <c r="U4279" s="25"/>
      <c r="V4279" s="25"/>
      <c r="W4279" s="25"/>
      <c r="X4279" s="25"/>
      <c r="Y4279" s="25"/>
      <c r="Z4279" s="25"/>
    </row>
    <row r="4280" spans="1:26" ht="52.5" customHeight="1" x14ac:dyDescent="0.25">
      <c r="A4280" s="25" t="str">
        <f ca="1">IFERROR(__xludf.DUMMYFUNCTION("""COMPUTED_VALUE"""),"Movil78")</f>
        <v>Movil78</v>
      </c>
      <c r="B4280" s="25" t="str">
        <f ca="1">IFERROR(__xludf.DUMMYFUNCTION("""COMPUTED_VALUE"""),"Recorrido Engativá")</f>
        <v>Recorrido Engativá</v>
      </c>
      <c r="C4280" s="55">
        <f ca="1">IFERROR(__xludf.DUMMYFUNCTION("""COMPUTED_VALUE"""),44587)</f>
        <v>44587</v>
      </c>
      <c r="D4280" s="25" t="str">
        <f ca="1">IFERROR(__xludf.DUMMYFUNCTION("""COMPUTED_VALUE"""),"Movilidad")</f>
        <v>Movilidad</v>
      </c>
      <c r="E4280" s="25" t="str">
        <f ca="1">IFERROR(__xludf.DUMMYFUNCTION("""COMPUTED_VALUE"""),"Instituto de Desarrollo Urbano")</f>
        <v>Instituto de Desarrollo Urbano</v>
      </c>
      <c r="F4280" s="25" t="str">
        <f ca="1">IFERROR(__xludf.DUMMYFUNCTION("""COMPUTED_VALUE"""),"Hacer un cronograma de trabajo para el puente vehicular del parque La Florida. Revisar con la Gobernación de Cundinamarca")</f>
        <v>Hacer un cronograma de trabajo para el puente vehicular del parque La Florida. Revisar con la Gobernación de Cundinamarca</v>
      </c>
      <c r="G4280" s="25" t="str">
        <f ca="1">IFERROR(__xludf.DUMMYFUNCTION("""COMPUTED_VALUE"""),"10. Engativá")</f>
        <v>10. Engativá</v>
      </c>
      <c r="H4280" s="55">
        <f ca="1">IFERROR(__xludf.DUMMYFUNCTION("""COMPUTED_VALUE"""),44617)</f>
        <v>44617</v>
      </c>
      <c r="I4280" s="25"/>
      <c r="J4280" s="55" t="str">
        <f ca="1">IFERROR(__xludf.DUMMYFUNCTION("""COMPUTED_VALUE"""),"Alta")</f>
        <v>Alta</v>
      </c>
      <c r="K4280" s="25">
        <f ca="1">IFERROR(__xludf.DUMMYFUNCTION("""COMPUTED_VALUE"""),30)</f>
        <v>30</v>
      </c>
      <c r="L4280" s="62">
        <f ca="1">IFERROR(__xludf.DUMMYFUNCTION("""COMPUTED_VALUE"""),44748)</f>
        <v>44748</v>
      </c>
      <c r="M4280" s="25" t="str">
        <f ca="1">IFERROR(__xludf.DUMMYFUNCTION("""COMPUTED_VALUE"""),"Abr 2023: Se firmó convenio  de cooperación 1176 de 2023 entre el IDU y el ICCU para aunar esfuerzos técnicos y financieros con el fin de realizar estudios y diseños y construcción de un nuevo puente la Florida en la localidad de Engativá. Se estima termi"&amp;"nar el proceso de factibilidad en noviembre de 2023 con el fin de realizar la construcción de un nuevo puente en esta zona.")</f>
        <v>Abr 2023: Se firmó convenio  de cooperación 1176 de 2023 entre el IDU y el ICCU para aunar esfuerzos técnicos y financieros con el fin de realizar estudios y diseños y construcción de un nuevo puente la Florida en la localidad de Engativá. Se estima terminar el proceso de factibilidad en noviembre de 2023 con el fin de realizar la construcción de un nuevo puente en esta zona.</v>
      </c>
      <c r="N4280" s="55">
        <f ca="1">IFERROR(__xludf.DUMMYFUNCTION("""COMPUTED_VALUE"""),44748)</f>
        <v>44748</v>
      </c>
      <c r="O4280" s="25" t="str">
        <f t="shared" ca="1" si="0"/>
        <v>Instituto de Desarrollo Urbano</v>
      </c>
      <c r="P4280" s="25" t="str">
        <f t="shared" si="2"/>
        <v/>
      </c>
      <c r="Q4280" s="25" t="str">
        <f ca="1">IFERROR(__xludf.DUMMYFUNCTION("""COMPUTED_VALUE"""),"Corto plazo")</f>
        <v>Corto plazo</v>
      </c>
      <c r="R4280" s="25"/>
      <c r="S4280" s="55"/>
      <c r="T4280" s="56"/>
      <c r="U4280" s="25"/>
      <c r="V4280" s="25"/>
      <c r="W4280" s="25"/>
      <c r="X4280" s="25"/>
      <c r="Y4280" s="25"/>
      <c r="Z4280" s="25"/>
    </row>
    <row r="4281" spans="1:26" ht="52.5" customHeight="1" x14ac:dyDescent="0.25">
      <c r="A4281" s="25" t="str">
        <f ca="1">IFERROR(__xludf.DUMMYFUNCTION("""COMPUTED_VALUE"""),"Movil79")</f>
        <v>Movil79</v>
      </c>
      <c r="B4281" s="25" t="str">
        <f ca="1">IFERROR(__xludf.DUMMYFUNCTION("""COMPUTED_VALUE"""),"Reunión Juegos parapanamericanos IDRD, MinDeporte")</f>
        <v>Reunión Juegos parapanamericanos IDRD, MinDeporte</v>
      </c>
      <c r="C4281" s="55">
        <f ca="1">IFERROR(__xludf.DUMMYFUNCTION("""COMPUTED_VALUE"""),44586)</f>
        <v>44586</v>
      </c>
      <c r="D4281" s="25" t="str">
        <f ca="1">IFERROR(__xludf.DUMMYFUNCTION("""COMPUTED_VALUE"""),"Movilidad")</f>
        <v>Movilidad</v>
      </c>
      <c r="E4281" s="25" t="str">
        <f ca="1">IFERROR(__xludf.DUMMYFUNCTION("""COMPUTED_VALUE"""),"Empresa de Transporte del Tercer Milenio - Transmilenio S.A.")</f>
        <v>Empresa de Transporte del Tercer Milenio - Transmilenio S.A.</v>
      </c>
      <c r="F4281" s="25" t="str">
        <f ca="1">IFERROR(__xludf.DUMMYFUNCTION("""COMPUTED_VALUE"""),"En movilidad y transporte. Revisar la posibilidad de habilitar rutas circulares -no exclusivas-, que faciliten el transporte de los deportistas")</f>
        <v>En movilidad y transporte. Revisar la posibilidad de habilitar rutas circulares -no exclusivas-, que faciliten el transporte de los deportistas</v>
      </c>
      <c r="G4281" s="25" t="str">
        <f ca="1">IFERROR(__xludf.DUMMYFUNCTION("""COMPUTED_VALUE"""),"99. Distrito")</f>
        <v>99. Distrito</v>
      </c>
      <c r="H4281" s="55">
        <f ca="1">IFERROR(__xludf.DUMMYFUNCTION("""COMPUTED_VALUE"""),44616)</f>
        <v>44616</v>
      </c>
      <c r="I4281" s="25"/>
      <c r="J4281" s="55" t="str">
        <f ca="1">IFERROR(__xludf.DUMMYFUNCTION("""COMPUTED_VALUE"""),"Alta")</f>
        <v>Alta</v>
      </c>
      <c r="K4281" s="25">
        <f ca="1">IFERROR(__xludf.DUMMYFUNCTION("""COMPUTED_VALUE"""),30)</f>
        <v>30</v>
      </c>
      <c r="L4281" s="62"/>
      <c r="M4281" s="25" t="str">
        <f ca="1">IFERROR(__xludf.DUMMYFUNCTION("""COMPUTED_VALUE"""),"Esto no es posible ya que son rutas temporales y el montaje de estas requiere flota que ya está asignada a rutas permanentes por lo tanto dejariamos de atender un cantidad de poblacion importate y puede generar molestias a la comunidad ")</f>
        <v xml:space="preserve">Esto no es posible ya que son rutas temporales y el montaje de estas requiere flota que ya está asignada a rutas permanentes por lo tanto dejariamos de atender un cantidad de poblacion importate y puede generar molestias a la comunidad </v>
      </c>
      <c r="N4281" s="55">
        <f ca="1">IFERROR(__xludf.DUMMYFUNCTION("""COMPUTED_VALUE"""),44927)</f>
        <v>44927</v>
      </c>
      <c r="O4281" s="25" t="str">
        <f t="shared" ca="1" si="0"/>
        <v>Empresa de Transporte del Tercer Milenio - Transmilenio S.A.</v>
      </c>
      <c r="P4281" s="25" t="str">
        <f t="shared" si="2"/>
        <v/>
      </c>
      <c r="Q4281" s="25" t="str">
        <f ca="1">IFERROR(__xludf.DUMMYFUNCTION("""COMPUTED_VALUE"""),"Corto plazo")</f>
        <v>Corto plazo</v>
      </c>
      <c r="R4281" s="25"/>
      <c r="S4281" s="55"/>
      <c r="T4281" s="56"/>
      <c r="U4281" s="25"/>
      <c r="V4281" s="25"/>
      <c r="W4281" s="25"/>
      <c r="X4281" s="25"/>
      <c r="Y4281" s="25"/>
      <c r="Z4281" s="25"/>
    </row>
    <row r="4282" spans="1:26" ht="52.5" customHeight="1" x14ac:dyDescent="0.25">
      <c r="A4282" s="25" t="str">
        <f ca="1">IFERROR(__xludf.DUMMYFUNCTION("""COMPUTED_VALUE"""),"Movil80")</f>
        <v>Movil80</v>
      </c>
      <c r="B4282" s="25" t="str">
        <f ca="1">IFERROR(__xludf.DUMMYFUNCTION("""COMPUTED_VALUE"""),"Reunión privada movilidad ")</f>
        <v xml:space="preserve">Reunión privada movilidad </v>
      </c>
      <c r="C4282" s="55">
        <f ca="1">IFERROR(__xludf.DUMMYFUNCTION("""COMPUTED_VALUE"""),44586)</f>
        <v>44586</v>
      </c>
      <c r="D4282" s="25" t="str">
        <f ca="1">IFERROR(__xludf.DUMMYFUNCTION("""COMPUTED_VALUE"""),"Movilidad")</f>
        <v>Movilidad</v>
      </c>
      <c r="E4282" s="25" t="str">
        <f ca="1">IFERROR(__xludf.DUMMYFUNCTION("""COMPUTED_VALUE"""),"Secretaría Distrital de Movilidad")</f>
        <v>Secretaría Distrital de Movilidad</v>
      </c>
      <c r="F4282" s="25" t="str">
        <f ca="1">IFERROR(__xludf.DUMMYFUNCTION("""COMPUTED_VALUE"""),"Análisis de pico y placa en motos ")</f>
        <v xml:space="preserve">Análisis de pico y placa en motos </v>
      </c>
      <c r="G4282" s="25" t="str">
        <f ca="1">IFERROR(__xludf.DUMMYFUNCTION("""COMPUTED_VALUE"""),"99. Distrito")</f>
        <v>99. Distrito</v>
      </c>
      <c r="H4282" s="55">
        <f ca="1">IFERROR(__xludf.DUMMYFUNCTION("""COMPUTED_VALUE"""),44616)</f>
        <v>44616</v>
      </c>
      <c r="I4282" s="25"/>
      <c r="J4282" s="55" t="str">
        <f ca="1">IFERROR(__xludf.DUMMYFUNCTION("""COMPUTED_VALUE"""),"Alta")</f>
        <v>Alta</v>
      </c>
      <c r="K4282" s="25">
        <f ca="1">IFERROR(__xludf.DUMMYFUNCTION("""COMPUTED_VALUE"""),30)</f>
        <v>30</v>
      </c>
      <c r="L4282" s="62">
        <f ca="1">IFERROR(__xludf.DUMMYFUNCTION("""COMPUTED_VALUE"""),44757)</f>
        <v>44757</v>
      </c>
      <c r="M4282" s="25" t="str">
        <f ca="1">IFERROR(__xludf.DUMMYFUNCTION("""COMPUTED_VALUE"""),"Se finalizó el ejercicio inicial el cual recopila toda la información que se tiene de estos vehículos para entender su incidencia en la movilidad, en el medio ambiente, las facilidad de adquisición. Adicionalmente, se plantearon unos escenarios que se tra"&amp;"bajarán desde la SDM con el aval de alcaldía. No fue aprobada la propuesta")</f>
        <v>Se finalizó el ejercicio inicial el cual recopila toda la información que se tiene de estos vehículos para entender su incidencia en la movilidad, en el medio ambiente, las facilidad de adquisición. Adicionalmente, se plantearon unos escenarios que se trabajarán desde la SDM con el aval de alcaldía. No fue aprobada la propuesta</v>
      </c>
      <c r="N4282" s="55">
        <f ca="1">IFERROR(__xludf.DUMMYFUNCTION("""COMPUTED_VALUE"""),44757)</f>
        <v>44757</v>
      </c>
      <c r="O4282" s="25" t="str">
        <f t="shared" ca="1" si="0"/>
        <v>Secretaría Distrital de Movilidad</v>
      </c>
      <c r="P4282" s="25" t="str">
        <f t="shared" si="2"/>
        <v/>
      </c>
      <c r="Q4282" s="25" t="str">
        <f ca="1">IFERROR(__xludf.DUMMYFUNCTION("""COMPUTED_VALUE"""),"Corto plazo")</f>
        <v>Corto plazo</v>
      </c>
      <c r="R4282" s="25"/>
      <c r="S4282" s="55"/>
      <c r="T4282" s="56"/>
      <c r="U4282" s="25"/>
      <c r="V4282" s="25"/>
      <c r="W4282" s="25"/>
      <c r="X4282" s="25"/>
      <c r="Y4282" s="25"/>
      <c r="Z4282" s="25"/>
    </row>
    <row r="4283" spans="1:26" ht="52.5" customHeight="1" x14ac:dyDescent="0.25">
      <c r="A4283" s="25" t="str">
        <f ca="1">IFERROR(__xludf.DUMMYFUNCTION("""COMPUTED_VALUE"""),"Movil81")</f>
        <v>Movil81</v>
      </c>
      <c r="B4283" s="25" t="str">
        <f ca="1">IFERROR(__xludf.DUMMYFUNCTION("""COMPUTED_VALUE"""),"Reunión privada movilidad ")</f>
        <v xml:space="preserve">Reunión privada movilidad </v>
      </c>
      <c r="C4283" s="55">
        <f ca="1">IFERROR(__xludf.DUMMYFUNCTION("""COMPUTED_VALUE"""),44586)</f>
        <v>44586</v>
      </c>
      <c r="D4283" s="25" t="str">
        <f ca="1">IFERROR(__xludf.DUMMYFUNCTION("""COMPUTED_VALUE"""),"Movilidad")</f>
        <v>Movilidad</v>
      </c>
      <c r="E4283" s="25" t="str">
        <f ca="1">IFERROR(__xludf.DUMMYFUNCTION("""COMPUTED_VALUE"""),"Secretaría Distrital de Movilidad")</f>
        <v>Secretaría Distrital de Movilidad</v>
      </c>
      <c r="F4283" s="25" t="str">
        <f ca="1">IFERROR(__xludf.DUMMYFUNCTION("""COMPUTED_VALUE"""),"Revisar la infraestructura de los bici parqueaderos en los colegios")</f>
        <v>Revisar la infraestructura de los bici parqueaderos en los colegios</v>
      </c>
      <c r="G4283" s="25" t="str">
        <f ca="1">IFERROR(__xludf.DUMMYFUNCTION("""COMPUTED_VALUE"""),"99. Distrito")</f>
        <v>99. Distrito</v>
      </c>
      <c r="H4283" s="55">
        <f ca="1">IFERROR(__xludf.DUMMYFUNCTION("""COMPUTED_VALUE"""),44616)</f>
        <v>44616</v>
      </c>
      <c r="I4283" s="25"/>
      <c r="J4283" s="55" t="str">
        <f ca="1">IFERROR(__xludf.DUMMYFUNCTION("""COMPUTED_VALUE"""),"Alta")</f>
        <v>Alta</v>
      </c>
      <c r="K4283" s="25">
        <f ca="1">IFERROR(__xludf.DUMMYFUNCTION("""COMPUTED_VALUE"""),30)</f>
        <v>30</v>
      </c>
      <c r="L4283" s="62">
        <f ca="1">IFERROR(__xludf.DUMMYFUNCTION("""COMPUTED_VALUE"""),44657)</f>
        <v>44657</v>
      </c>
      <c r="M4283" s="25" t="str">
        <f ca="1">IFERROR(__xludf.DUMMYFUNCTION("""COMPUTED_VALUE"""),"Se adelantó diagnóstico a 710 IED (Faltan 40 en localidad sumapaz) para verificar condición actual. Como resultados se tienen 453 IED sin Cicloparqueaderos y 257 con Cicloparqueaderos que disponen 11.495 cupos. ")</f>
        <v xml:space="preserve">Se adelantó diagnóstico a 710 IED (Faltan 40 en localidad sumapaz) para verificar condición actual. Como resultados se tienen 453 IED sin Cicloparqueaderos y 257 con Cicloparqueaderos que disponen 11.495 cupos. </v>
      </c>
      <c r="N4283" s="55">
        <f ca="1">IFERROR(__xludf.DUMMYFUNCTION("""COMPUTED_VALUE"""),44657)</f>
        <v>44657</v>
      </c>
      <c r="O4283" s="25" t="str">
        <f t="shared" ca="1" si="0"/>
        <v>Secretaría Distrital de Movilidad</v>
      </c>
      <c r="P4283" s="25" t="str">
        <f t="shared" si="2"/>
        <v/>
      </c>
      <c r="Q4283" s="25" t="str">
        <f ca="1">IFERROR(__xludf.DUMMYFUNCTION("""COMPUTED_VALUE"""),"Corto plazo")</f>
        <v>Corto plazo</v>
      </c>
      <c r="R4283" s="25"/>
      <c r="S4283" s="55"/>
      <c r="T4283" s="56"/>
      <c r="U4283" s="25"/>
      <c r="V4283" s="25"/>
      <c r="W4283" s="25"/>
      <c r="X4283" s="25"/>
      <c r="Y4283" s="25"/>
      <c r="Z4283" s="25"/>
    </row>
    <row r="4284" spans="1:26" ht="52.5" customHeight="1" x14ac:dyDescent="0.25">
      <c r="A4284" s="25" t="str">
        <f ca="1">IFERROR(__xludf.DUMMYFUNCTION("""COMPUTED_VALUE"""),"Movil82")</f>
        <v>Movil82</v>
      </c>
      <c r="B4284" s="25" t="str">
        <f ca="1">IFERROR(__xludf.DUMMYFUNCTION("""COMPUTED_VALUE"""),"Reunión CAF")</f>
        <v>Reunión CAF</v>
      </c>
      <c r="C4284" s="55">
        <f ca="1">IFERROR(__xludf.DUMMYFUNCTION("""COMPUTED_VALUE"""),44582)</f>
        <v>44582</v>
      </c>
      <c r="D4284" s="25" t="str">
        <f ca="1">IFERROR(__xludf.DUMMYFUNCTION("""COMPUTED_VALUE"""),"Movilidad")</f>
        <v>Movilidad</v>
      </c>
      <c r="E4284" s="25" t="str">
        <f ca="1">IFERROR(__xludf.DUMMYFUNCTION("""COMPUTED_VALUE"""),"Secretaría Distrital de Movilidad")</f>
        <v>Secretaría Distrital de Movilidad</v>
      </c>
      <c r="F4284" s="25" t="str">
        <f ca="1">IFERROR(__xludf.DUMMYFUNCTION("""COMPUTED_VALUE"""),"Usar cupo de la CAF para hacer andenes y con lo que se cobre a la gente, la alcaldía va pagando el cupo. Andenes en mejora de accesibilidad universal en barrios populares al componente zonal del sistema y mejorar la accesibilidad en la intermodalidad de d"&amp;"iferentes zonas, por ej en el centro ampliado. Sobre el centro ampliado hay 3 iniciativas clave: corredor verde séptima, primera línea del metro y la ciclo alameda del medio milenio; lo lógico sería ver cómo mejoramos los andenes de accesibilidad universa"&amp;"l que conectan estos tres modos de transporte. Deberíamos hacer 100 kms de andenes. ")</f>
        <v xml:space="preserve">Usar cupo de la CAF para hacer andenes y con lo que se cobre a la gente, la alcaldía va pagando el cupo. Andenes en mejora de accesibilidad universal en barrios populares al componente zonal del sistema y mejorar la accesibilidad en la intermodalidad de diferentes zonas, por ej en el centro ampliado. Sobre el centro ampliado hay 3 iniciativas clave: corredor verde séptima, primera línea del metro y la ciclo alameda del medio milenio; lo lógico sería ver cómo mejoramos los andenes de accesibilidad universal que conectan estos tres modos de transporte. Deberíamos hacer 100 kms de andenes. </v>
      </c>
      <c r="G4284" s="25" t="str">
        <f ca="1">IFERROR(__xludf.DUMMYFUNCTION("""COMPUTED_VALUE"""),"99. Distrito")</f>
        <v>99. Distrito</v>
      </c>
      <c r="H4284" s="55">
        <f ca="1">IFERROR(__xludf.DUMMYFUNCTION("""COMPUTED_VALUE"""),44612)</f>
        <v>44612</v>
      </c>
      <c r="I4284" s="25"/>
      <c r="J4284" s="55" t="str">
        <f ca="1">IFERROR(__xludf.DUMMYFUNCTION("""COMPUTED_VALUE"""),"Alta")</f>
        <v>Alta</v>
      </c>
      <c r="K4284" s="25">
        <f ca="1">IFERROR(__xludf.DUMMYFUNCTION("""COMPUTED_VALUE"""),30)</f>
        <v>30</v>
      </c>
      <c r="L4284" s="62">
        <f ca="1">IFERROR(__xludf.DUMMYFUNCTION("""COMPUTED_VALUE"""),44897)</f>
        <v>44897</v>
      </c>
      <c r="M4284" s="25" t="str">
        <f ca="1">IFERROR(__xludf.DUMMYFUNCTION("""COMPUTED_VALUE"""),"Se ajustó el perfil de proyecto que se remitió a la CAF, considerando la normativa vigente con el fin de poder proceder con el convenio dado la situación del POT. Por parte de la SDM se adelantó los documentos necesarios para poder suscribir el convenio.,"&amp;" la información se encuentra en la Caf el 24 de junio y se está a la espera de la respuesta. El convenio se firmó el 26 de septiembre de 2022 por un año. Mediante Resolución P. E. No 0413 /2022, del 22 de agosto de 2022, CAF aprobó una cooperación técnica"&amp;" no reembolsable a favor del Beneficiario para Brindar apoyo y contribuir al mejoramiento de la red de infraestructura peatonal de Bogotá D.C, incluyendo sus elementos complementarios, y la priorización de sus intervenciones, atendiendo las necesidades de"&amp;" viajes de las personas con
diferentes discapacidades, limitaciones de movilidad y grupos etarios (en adelante, el “Proyecto”).")</f>
        <v>Se ajustó el perfil de proyecto que se remitió a la CAF, considerando la normativa vigente con el fin de poder proceder con el convenio dado la situación del POT. Por parte de la SDM se adelantó los documentos necesarios para poder suscribir el convenio., la información se encuentra en la Caf el 24 de junio y se está a la espera de la respuesta. El convenio se firmó el 26 de septiembre de 2022 por un año. Mediante Resolución P. E. No 0413 /2022, del 22 de agosto de 2022, CAF aprobó una cooperación técnica no reembolsable a favor del Beneficiario para Brindar apoyo y contribuir al mejoramiento de la red de infraestructura peatonal de Bogotá D.C, incluyendo sus elementos complementarios, y la priorización de sus intervenciones, atendiendo las necesidades de viajes de las personas con
diferentes discapacidades, limitaciones de movilidad y grupos etarios (en adelante, el “Proyecto”).</v>
      </c>
      <c r="N4284" s="55">
        <f ca="1">IFERROR(__xludf.DUMMYFUNCTION("""COMPUTED_VALUE"""),44897)</f>
        <v>44897</v>
      </c>
      <c r="O4284" s="25" t="str">
        <f t="shared" ca="1" si="0"/>
        <v>Secretaría Distrital de Movilidad</v>
      </c>
      <c r="P4284" s="25" t="str">
        <f t="shared" si="2"/>
        <v/>
      </c>
      <c r="Q4284" s="25" t="str">
        <f ca="1">IFERROR(__xludf.DUMMYFUNCTION("""COMPUTED_VALUE"""),"Corto plazo")</f>
        <v>Corto plazo</v>
      </c>
      <c r="R4284" s="25"/>
      <c r="S4284" s="55"/>
      <c r="T4284" s="56"/>
      <c r="U4284" s="25"/>
      <c r="V4284" s="25"/>
      <c r="W4284" s="25"/>
      <c r="X4284" s="25"/>
      <c r="Y4284" s="25"/>
      <c r="Z4284" s="25"/>
    </row>
    <row r="4285" spans="1:26" ht="52.5" customHeight="1" x14ac:dyDescent="0.25">
      <c r="A4285" s="25" t="str">
        <f ca="1">IFERROR(__xludf.DUMMYFUNCTION("""COMPUTED_VALUE"""),"Movil83")</f>
        <v>Movil83</v>
      </c>
      <c r="B4285" s="25" t="str">
        <f ca="1">IFERROR(__xludf.DUMMYFUNCTION("""COMPUTED_VALUE"""),"Recorrido Kennedy")</f>
        <v>Recorrido Kennedy</v>
      </c>
      <c r="C4285" s="55">
        <f ca="1">IFERROR(__xludf.DUMMYFUNCTION("""COMPUTED_VALUE"""),44581)</f>
        <v>44581</v>
      </c>
      <c r="D4285" s="25" t="str">
        <f ca="1">IFERROR(__xludf.DUMMYFUNCTION("""COMPUTED_VALUE"""),"Movilidad")</f>
        <v>Movilidad</v>
      </c>
      <c r="E4285" s="25" t="str">
        <f ca="1">IFERROR(__xludf.DUMMYFUNCTION("""COMPUTED_VALUE"""),"Instituto de Desarrollo Urbano")</f>
        <v>Instituto de Desarrollo Urbano</v>
      </c>
      <c r="F4285" s="25" t="str">
        <f ca="1">IFERROR(__xludf.DUMMYFUNCTION("""COMPUTED_VALUE"""),"Revisar la viabilidad técnica de eliminar el cierre de la vía que se encuentra en la carrera 81 A entre calle 11 D y calle 13 - Avenida Guayacanes")</f>
        <v>Revisar la viabilidad técnica de eliminar el cierre de la vía que se encuentra en la carrera 81 A entre calle 11 D y calle 13 - Avenida Guayacanes</v>
      </c>
      <c r="G4285" s="55" t="str">
        <f ca="1">IFERROR(__xludf.DUMMYFUNCTION("""COMPUTED_VALUE"""),"08. Kennedy")</f>
        <v>08. Kennedy</v>
      </c>
      <c r="H4285" s="55">
        <f ca="1">IFERROR(__xludf.DUMMYFUNCTION("""COMPUTED_VALUE"""),44611)</f>
        <v>44611</v>
      </c>
      <c r="I4285" s="25"/>
      <c r="J4285" s="55" t="str">
        <f ca="1">IFERROR(__xludf.DUMMYFUNCTION("""COMPUTED_VALUE"""),"Alta")</f>
        <v>Alta</v>
      </c>
      <c r="K4285" s="25">
        <f ca="1">IFERROR(__xludf.DUMMYFUNCTION("""COMPUTED_VALUE"""),30)</f>
        <v>30</v>
      </c>
      <c r="L4285" s="62">
        <f ca="1">IFERROR(__xludf.DUMMYFUNCTION("""COMPUTED_VALUE"""),44819)</f>
        <v>44819</v>
      </c>
      <c r="M4285" s="25" t="str">
        <f ca="1">IFERROR(__xludf.DUMMYFUNCTION("""COMPUTED_VALUE"""),"EL IDU adelanta el control de cambios para presentar a la SDM, acorde con la recomendación realizada mediante oficio radicado IDU 20225261083082: Apertura de la carrera 81A en el costado norte para acceso al barrio Santa Catalina en Sentido Norte Sur desd"&amp;"e la Avenida Guayacanes.
Se realizaron las especialidades de Diseños Geométrico y Urbanismo, incluyendo todas las bocacalles acordadas con la comunidad, estas son:
Costado Sur:
Carrera 81F: Apertura a vía de servicio
Carrera 81 D Bis: Apertura a vía de "&amp;"servicio
Carrera 81D: Apertura desde la calle 12 sentido sur-norte para ingreso al barrio
Costado Norte:
Carrera 81A: Acceso al barrio Santa Catalina en Sentido Norte Sur desde la Avenida Guayacanes
En el siguiente enlace se encuentra el oficio SI 20222"&amp;"2410184211
https://drive.google.com/drive/folders/1QnQn3olfgRfJ5iAvXUbx63WQJ250dtKd
Las intervenciones de la vías en mención se realizaron en enero de 2023.""")</f>
        <v>EL IDU adelanta el control de cambios para presentar a la SDM, acorde con la recomendación realizada mediante oficio radicado IDU 20225261083082: Apertura de la carrera 81A en el costado norte para acceso al barrio Santa Catalina en Sentido Norte Sur desde la Avenida Guayacanes.
Se realizaron las especialidades de Diseños Geométrico y Urbanismo, incluyendo todas las bocacalles acordadas con la comunidad, estas son:
Costado Sur:
Carrera 81F: Apertura a vía de servicio
Carrera 81 D Bis: Apertura a vía de servicio
Carrera 81D: Apertura desde la calle 12 sentido sur-norte para ingreso al barrio
Costado Norte:
Carrera 81A: Acceso al barrio Santa Catalina en Sentido Norte Sur desde la Avenida Guayacanes
En el siguiente enlace se encuentra el oficio SI 202222410184211
https://drive.google.com/drive/folders/1QnQn3olfgRfJ5iAvXUbx63WQJ250dtKd
Las intervenciones de la vías en mención se realizaron en enero de 2023."</v>
      </c>
      <c r="N4285" s="55">
        <f ca="1">IFERROR(__xludf.DUMMYFUNCTION("""COMPUTED_VALUE"""),44819)</f>
        <v>44819</v>
      </c>
      <c r="O4285" s="25" t="str">
        <f t="shared" ca="1" si="0"/>
        <v>Instituto de Desarrollo Urbano</v>
      </c>
      <c r="P4285" s="25" t="str">
        <f t="shared" si="2"/>
        <v/>
      </c>
      <c r="Q4285" s="25" t="str">
        <f ca="1">IFERROR(__xludf.DUMMYFUNCTION("""COMPUTED_VALUE"""),"Corto plazo")</f>
        <v>Corto plazo</v>
      </c>
      <c r="R4285" s="25"/>
      <c r="S4285" s="55"/>
      <c r="T4285" s="56"/>
      <c r="U4285" s="25"/>
      <c r="V4285" s="25"/>
      <c r="W4285" s="25"/>
      <c r="X4285" s="25"/>
      <c r="Y4285" s="25"/>
      <c r="Z4285" s="25"/>
    </row>
    <row r="4286" spans="1:26" ht="52.5" customHeight="1" x14ac:dyDescent="0.25">
      <c r="A4286" s="25" t="str">
        <f ca="1">IFERROR(__xludf.DUMMYFUNCTION("""COMPUTED_VALUE"""),"Movil84")</f>
        <v>Movil84</v>
      </c>
      <c r="B4286" s="25" t="str">
        <f ca="1">IFERROR(__xludf.DUMMYFUNCTION("""COMPUTED_VALUE"""),"Recorrido Kennedy")</f>
        <v>Recorrido Kennedy</v>
      </c>
      <c r="C4286" s="55">
        <f ca="1">IFERROR(__xludf.DUMMYFUNCTION("""COMPUTED_VALUE"""),44581)</f>
        <v>44581</v>
      </c>
      <c r="D4286" s="25" t="str">
        <f ca="1">IFERROR(__xludf.DUMMYFUNCTION("""COMPUTED_VALUE"""),"Movilidad")</f>
        <v>Movilidad</v>
      </c>
      <c r="E4286" s="25" t="str">
        <f ca="1">IFERROR(__xludf.DUMMYFUNCTION("""COMPUTED_VALUE"""),"Instituto de Desarrollo Urbano")</f>
        <v>Instituto de Desarrollo Urbano</v>
      </c>
      <c r="F4286" s="25" t="str">
        <f ca="1">IFERROR(__xludf.DUMMYFUNCTION("""COMPUTED_VALUE"""),"Revisar la posibilidad de conectar las calles 11B y 11B Bis con la Carrera 79A que es una calle semaforizada.")</f>
        <v>Revisar la posibilidad de conectar las calles 11B y 11B Bis con la Carrera 79A que es una calle semaforizada.</v>
      </c>
      <c r="G4286" s="55" t="str">
        <f ca="1">IFERROR(__xludf.DUMMYFUNCTION("""COMPUTED_VALUE"""),"08. Kennedy")</f>
        <v>08. Kennedy</v>
      </c>
      <c r="H4286" s="55">
        <f ca="1">IFERROR(__xludf.DUMMYFUNCTION("""COMPUTED_VALUE"""),44611)</f>
        <v>44611</v>
      </c>
      <c r="I4286" s="25"/>
      <c r="J4286" s="55" t="str">
        <f ca="1">IFERROR(__xludf.DUMMYFUNCTION("""COMPUTED_VALUE"""),"Alta")</f>
        <v>Alta</v>
      </c>
      <c r="K4286" s="25">
        <f ca="1">IFERROR(__xludf.DUMMYFUNCTION("""COMPUTED_VALUE"""),30)</f>
        <v>30</v>
      </c>
      <c r="L4286" s="62">
        <f ca="1">IFERROR(__xludf.DUMMYFUNCTION("""COMPUTED_VALUE"""),44748)</f>
        <v>44748</v>
      </c>
      <c r="M4286" s="25" t="str">
        <f ca="1">IFERROR(__xludf.DUMMYFUNCTION("""COMPUTED_VALUE"""),"Se elevaron los conceptos a la SDP mediante oficio 20223360344841, sin embargo ante la caída del POT el pasado 15 de junio de 2022, la reserva vial de la Avenida Agoberto Mejía (Carrera 80 B) vuelve a ser Arterial, beneficiando el proceso de adquisición p"&amp;"redial por parte del IDU.  A la fecha se realizó el levantamiento topográfico del predio requerido para la conexión el cual será remitido a la DTDP quien determinará los posibles tiempos de adquisición predial.  Es importante mencionar, que bajo el contra"&amp;"to 1539-2018 no será posible la ejecución de diseños y/o obras civiles para lograr la conexión, toda vez que se sale de la reserva vial y del alcance del contrato citado.   ")</f>
        <v xml:space="preserve">Se elevaron los conceptos a la SDP mediante oficio 20223360344841, sin embargo ante la caída del POT el pasado 15 de junio de 2022, la reserva vial de la Avenida Agoberto Mejía (Carrera 80 B) vuelve a ser Arterial, beneficiando el proceso de adquisición predial por parte del IDU.  A la fecha se realizó el levantamiento topográfico del predio requerido para la conexión el cual será remitido a la DTDP quien determinará los posibles tiempos de adquisición predial.  Es importante mencionar, que bajo el contrato 1539-2018 no será posible la ejecución de diseños y/o obras civiles para lograr la conexión, toda vez que se sale de la reserva vial y del alcance del contrato citado.   </v>
      </c>
      <c r="N4286" s="55">
        <f ca="1">IFERROR(__xludf.DUMMYFUNCTION("""COMPUTED_VALUE"""),44748)</f>
        <v>44748</v>
      </c>
      <c r="O4286" s="25" t="str">
        <f t="shared" ca="1" si="0"/>
        <v>Instituto de Desarrollo Urbano</v>
      </c>
      <c r="P4286" s="25" t="str">
        <f t="shared" si="2"/>
        <v/>
      </c>
      <c r="Q4286" s="25" t="str">
        <f ca="1">IFERROR(__xludf.DUMMYFUNCTION("""COMPUTED_VALUE"""),"Corto plazo")</f>
        <v>Corto plazo</v>
      </c>
      <c r="R4286" s="25"/>
      <c r="S4286" s="55"/>
      <c r="T4286" s="56"/>
      <c r="U4286" s="25"/>
      <c r="V4286" s="25"/>
      <c r="W4286" s="25"/>
      <c r="X4286" s="25"/>
      <c r="Y4286" s="25"/>
      <c r="Z4286" s="25"/>
    </row>
    <row r="4287" spans="1:26" ht="52.5" customHeight="1" x14ac:dyDescent="0.25">
      <c r="A4287" s="25" t="str">
        <f ca="1">IFERROR(__xludf.DUMMYFUNCTION("""COMPUTED_VALUE"""),"Movil85")</f>
        <v>Movil85</v>
      </c>
      <c r="B4287" s="25" t="str">
        <f ca="1">IFERROR(__xludf.DUMMYFUNCTION("""COMPUTED_VALUE"""),"Recorrido Kennedy")</f>
        <v>Recorrido Kennedy</v>
      </c>
      <c r="C4287" s="55">
        <f ca="1">IFERROR(__xludf.DUMMYFUNCTION("""COMPUTED_VALUE"""),44581)</f>
        <v>44581</v>
      </c>
      <c r="D4287" s="25" t="str">
        <f ca="1">IFERROR(__xludf.DUMMYFUNCTION("""COMPUTED_VALUE"""),"Movilidad")</f>
        <v>Movilidad</v>
      </c>
      <c r="E4287" s="25" t="str">
        <f ca="1">IFERROR(__xludf.DUMMYFUNCTION("""COMPUTED_VALUE"""),"Secretaría Distrital de Movilidad")</f>
        <v>Secretaría Distrital de Movilidad</v>
      </c>
      <c r="F4287" s="25" t="str">
        <f ca="1">IFERROR(__xludf.DUMMYFUNCTION("""COMPUTED_VALUE"""),"Desarrollar acciones de impacto para el control del transporte ilegal y los terminales piratas en el barrio tintal y el sector de la playita")</f>
        <v>Desarrollar acciones de impacto para el control del transporte ilegal y los terminales piratas en el barrio tintal y el sector de la playita</v>
      </c>
      <c r="G4287" s="55" t="str">
        <f ca="1">IFERROR(__xludf.DUMMYFUNCTION("""COMPUTED_VALUE"""),"08. Kennedy")</f>
        <v>08. Kennedy</v>
      </c>
      <c r="H4287" s="55">
        <f ca="1">IFERROR(__xludf.DUMMYFUNCTION("""COMPUTED_VALUE"""),44611)</f>
        <v>44611</v>
      </c>
      <c r="I4287" s="25"/>
      <c r="J4287" s="55" t="str">
        <f ca="1">IFERROR(__xludf.DUMMYFUNCTION("""COMPUTED_VALUE"""),"Alta")</f>
        <v>Alta</v>
      </c>
      <c r="K4287" s="25">
        <f ca="1">IFERROR(__xludf.DUMMYFUNCTION("""COMPUTED_VALUE"""),30)</f>
        <v>30</v>
      </c>
      <c r="L4287" s="62">
        <f ca="1">IFERROR(__xludf.DUMMYFUNCTION("""COMPUTED_VALUE"""),44606)</f>
        <v>44606</v>
      </c>
      <c r="M4287" s="25" t="str">
        <f ca="1">IFERROR(__xludf.DUMMYFUNCTION("""COMPUTED_VALUE"""),"La SDM coordina permanente con la Seccional de Tránsito y Transporte, la realización de operativos de control algunos de ellos en articulación con funcionarios de La Terminal de Transporte S.A, en lo concerniente a la violación de las normas de tránsito y"&amp;" transporte por parte de conductores de vehículos de servicio especial, particular y cualquier otro medio no autorizado, que se encuentre prestando servicios de transporte público de manera ilegal e informal, sin las respectivas autorizaciones de operacio"&amp;"nes, dejar o recoger pasajeros en sitios distintos a los autorizados por las autoridades, incumplimiento de condiciones de circulación y recorridos autorizados. En la localidad de Kennedy en el año 2021 se han impuesto 259 Informes únicos de infracciones "&amp;"al transporte y en enero de 2022 se impusieron 54 IUIT, por su parte por la infracción D12 – Conducir un vehículo sin la debida autorización o se destine a un servicio diferente de aquel para el cual tiene licencia de tránsito, en 2021 se impusieron 492 ó"&amp;"rdenes de comparendo y en enero de 2022 se impusieron 65. Por su parte las acciones desarrolladas en predios aledaños a la vía, es una actividad que debe ser controlada por la Alcaldía Local.")</f>
        <v>La SDM coordina permanente con la Seccional de Tránsito y Transporte, la realización de operativos de control algunos de ellos en articulación con funcionarios de La Terminal de Transporte S.A, en lo concerniente a la violación de las normas de tránsito y transporte por parte de conductores de vehículos de servicio especial, particular y cualquier otro medio no autorizado, que se encuentre prestando servicios de transporte público de manera ilegal e informal, sin las respectivas autorizaciones de operaciones, dejar o recoger pasajeros en sitios distintos a los autorizados por las autoridades, incumplimiento de condiciones de circulación y recorridos autorizados. En la localidad de Kennedy en el año 2021 se han impuesto 259 Informes únicos de infracciones al transporte y en enero de 2022 se impusieron 54 IUIT, por su parte por la infracción D12 – Conducir un vehículo sin la debida autorización o se destine a un servicio diferente de aquel para el cual tiene licencia de tránsito, en 2021 se impusieron 492 órdenes de comparendo y en enero de 2022 se impusieron 65. Por su parte las acciones desarrolladas en predios aledaños a la vía, es una actividad que debe ser controlada por la Alcaldía Local.</v>
      </c>
      <c r="N4287" s="55">
        <f ca="1">IFERROR(__xludf.DUMMYFUNCTION("""COMPUTED_VALUE"""),44606)</f>
        <v>44606</v>
      </c>
      <c r="O4287" s="25" t="str">
        <f t="shared" ca="1" si="0"/>
        <v>Secretaría Distrital de Movilidad</v>
      </c>
      <c r="P4287" s="25" t="str">
        <f t="shared" si="2"/>
        <v/>
      </c>
      <c r="Q4287" s="25" t="str">
        <f ca="1">IFERROR(__xludf.DUMMYFUNCTION("""COMPUTED_VALUE"""),"Corto plazo")</f>
        <v>Corto plazo</v>
      </c>
      <c r="R4287" s="25"/>
      <c r="S4287" s="55"/>
      <c r="T4287" s="56"/>
      <c r="U4287" s="25"/>
      <c r="V4287" s="25"/>
      <c r="W4287" s="25"/>
      <c r="X4287" s="25"/>
      <c r="Y4287" s="25"/>
      <c r="Z4287" s="25"/>
    </row>
    <row r="4288" spans="1:26" ht="52.5" customHeight="1" x14ac:dyDescent="0.25">
      <c r="A4288" s="25" t="str">
        <f ca="1">IFERROR(__xludf.DUMMYFUNCTION("""COMPUTED_VALUE"""),"Movil86")</f>
        <v>Movil86</v>
      </c>
      <c r="B4288" s="25" t="str">
        <f ca="1">IFERROR(__xludf.DUMMYFUNCTION("""COMPUTED_VALUE"""),"Recorrido Kennedy")</f>
        <v>Recorrido Kennedy</v>
      </c>
      <c r="C4288" s="55">
        <f ca="1">IFERROR(__xludf.DUMMYFUNCTION("""COMPUTED_VALUE"""),44581)</f>
        <v>44581</v>
      </c>
      <c r="D4288" s="25" t="str">
        <f ca="1">IFERROR(__xludf.DUMMYFUNCTION("""COMPUTED_VALUE"""),"Movilidad")</f>
        <v>Movilidad</v>
      </c>
      <c r="E4288" s="25" t="str">
        <f ca="1">IFERROR(__xludf.DUMMYFUNCTION("""COMPUTED_VALUE"""),"Instituto de Desarrollo Urbano")</f>
        <v>Instituto de Desarrollo Urbano</v>
      </c>
      <c r="F4288" s="25" t="str">
        <f ca="1">IFERROR(__xludf.DUMMYFUNCTION("""COMPUTED_VALUE"""),"Adecuar el corredor de movilidad para los estudiantes del Colegio Gustavo Rojas Pinilla")</f>
        <v>Adecuar el corredor de movilidad para los estudiantes del Colegio Gustavo Rojas Pinilla</v>
      </c>
      <c r="G4288" s="55" t="str">
        <f ca="1">IFERROR(__xludf.DUMMYFUNCTION("""COMPUTED_VALUE"""),"08. Kennedy")</f>
        <v>08. Kennedy</v>
      </c>
      <c r="H4288" s="55">
        <f ca="1">IFERROR(__xludf.DUMMYFUNCTION("""COMPUTED_VALUE"""),44611)</f>
        <v>44611</v>
      </c>
      <c r="I4288" s="25"/>
      <c r="J4288" s="55" t="str">
        <f ca="1">IFERROR(__xludf.DUMMYFUNCTION("""COMPUTED_VALUE"""),"Alta")</f>
        <v>Alta</v>
      </c>
      <c r="K4288" s="25">
        <f ca="1">IFERROR(__xludf.DUMMYFUNCTION("""COMPUTED_VALUE"""),30)</f>
        <v>30</v>
      </c>
      <c r="L4288" s="62">
        <f ca="1">IFERROR(__xludf.DUMMYFUNCTION("""COMPUTED_VALUE"""),44657)</f>
        <v>44657</v>
      </c>
      <c r="M4288" s="25" t="str">
        <f ca="1">IFERROR(__xludf.DUMMYFUNCTION("""COMPUTED_VALUE"""),"Este corredor pertenece a la reserva vial de la vía Agoberto Mejía, para poder intervenir el sendero se requiere que el propietario del predio dé un permiso de uso temporal para que un contratista del IDU o de la UMV puedan entrar con maquinaria, arreglar"&amp;"lo y hacerlo transitable. Se hará la gestión con el propietario y se espera tener una solución antes del 10 de marzo.  El contrato 1539-2018 termina su intervención en la calle 11B (Reserva VIal), razón por la cual se remitirá oficio al DADEP para verific"&amp;"ación del estado predial.  Así mismo se remitirá a la Entidad competente para la intervención del corredor faltante entre la calle 11B y el Colegio Gustavo Rojas Pinilla.  Bajo el contrato 1539-2018 no se puede realizar la intervención, toda vez que se sa"&amp;"le de la reserva vial vigente para el proyecto aprobada por la SDP. 
Bajo el contrato 1539-2018 no se puede realizar la intervención, toda vez que se sale de la reserva vial vigente para el proyecto aprobada por la SDP.")</f>
        <v>Este corredor pertenece a la reserva vial de la vía Agoberto Mejía, para poder intervenir el sendero se requiere que el propietario del predio dé un permiso de uso temporal para que un contratista del IDU o de la UMV puedan entrar con maquinaria, arreglarlo y hacerlo transitable. Se hará la gestión con el propietario y se espera tener una solución antes del 10 de marzo.  El contrato 1539-2018 termina su intervención en la calle 11B (Reserva VIal), razón por la cual se remitirá oficio al DADEP para verificación del estado predial.  Así mismo se remitirá a la Entidad competente para la intervención del corredor faltante entre la calle 11B y el Colegio Gustavo Rojas Pinilla.  Bajo el contrato 1539-2018 no se puede realizar la intervención, toda vez que se sale de la reserva vial vigente para el proyecto aprobada por la SDP. 
Bajo el contrato 1539-2018 no se puede realizar la intervención, toda vez que se sale de la reserva vial vigente para el proyecto aprobada por la SDP.</v>
      </c>
      <c r="N4288" s="55">
        <f ca="1">IFERROR(__xludf.DUMMYFUNCTION("""COMPUTED_VALUE"""),44657)</f>
        <v>44657</v>
      </c>
      <c r="O4288" s="25" t="str">
        <f t="shared" ca="1" si="0"/>
        <v>Instituto de Desarrollo Urbano</v>
      </c>
      <c r="P4288" s="25" t="str">
        <f t="shared" si="2"/>
        <v/>
      </c>
      <c r="Q4288" s="25" t="str">
        <f ca="1">IFERROR(__xludf.DUMMYFUNCTION("""COMPUTED_VALUE"""),"Corto plazo")</f>
        <v>Corto plazo</v>
      </c>
      <c r="R4288" s="25"/>
      <c r="S4288" s="55"/>
      <c r="T4288" s="56"/>
      <c r="U4288" s="25"/>
      <c r="V4288" s="25"/>
      <c r="W4288" s="25"/>
      <c r="X4288" s="25"/>
      <c r="Y4288" s="25"/>
      <c r="Z4288" s="25"/>
    </row>
    <row r="4289" spans="1:26" ht="52.5" customHeight="1" x14ac:dyDescent="0.25">
      <c r="A4289" s="25" t="str">
        <f ca="1">IFERROR(__xludf.DUMMYFUNCTION("""COMPUTED_VALUE"""),"Movil87")</f>
        <v>Movil87</v>
      </c>
      <c r="B4289" s="25" t="str">
        <f ca="1">IFERROR(__xludf.DUMMYFUNCTION("""COMPUTED_VALUE"""),"Recorrido Kennedy")</f>
        <v>Recorrido Kennedy</v>
      </c>
      <c r="C4289" s="55">
        <f ca="1">IFERROR(__xludf.DUMMYFUNCTION("""COMPUTED_VALUE"""),44581)</f>
        <v>44581</v>
      </c>
      <c r="D4289" s="25" t="str">
        <f ca="1">IFERROR(__xludf.DUMMYFUNCTION("""COMPUTED_VALUE"""),"Movilidad")</f>
        <v>Movilidad</v>
      </c>
      <c r="E4289" s="25" t="str">
        <f ca="1">IFERROR(__xludf.DUMMYFUNCTION("""COMPUTED_VALUE"""),"Instituto de Desarrollo Urbano")</f>
        <v>Instituto de Desarrollo Urbano</v>
      </c>
      <c r="F4289" s="25" t="str">
        <f ca="1">IFERROR(__xludf.DUMMYFUNCTION("""COMPUTED_VALUE"""),"Construir un puente peatonal en la Avenida Boyacá con Calle 11A")</f>
        <v>Construir un puente peatonal en la Avenida Boyacá con Calle 11A</v>
      </c>
      <c r="G4289" s="55" t="str">
        <f ca="1">IFERROR(__xludf.DUMMYFUNCTION("""COMPUTED_VALUE"""),"08. Kennedy")</f>
        <v>08. Kennedy</v>
      </c>
      <c r="H4289" s="55">
        <f ca="1">IFERROR(__xludf.DUMMYFUNCTION("""COMPUTED_VALUE"""),44611)</f>
        <v>44611</v>
      </c>
      <c r="I4289" s="25"/>
      <c r="J4289" s="55" t="str">
        <f ca="1">IFERROR(__xludf.DUMMYFUNCTION("""COMPUTED_VALUE"""),"Alta")</f>
        <v>Alta</v>
      </c>
      <c r="K4289" s="25">
        <f ca="1">IFERROR(__xludf.DUMMYFUNCTION("""COMPUTED_VALUE"""),30)</f>
        <v>30</v>
      </c>
      <c r="L4289" s="62">
        <f ca="1">IFERROR(__xludf.DUMMYFUNCTION("""COMPUTED_VALUE"""),44657)</f>
        <v>44657</v>
      </c>
      <c r="M4289" s="25" t="str">
        <f ca="1">IFERROR(__xludf.DUMMYFUNCTION("""COMPUTED_VALUE"""),"En el proyecto de la Avenida Guayacanes se están construyendo puente vehicular y peatonal sobre la avenida Boyacá que solucionará la solicitud del ciudadano. Los puentes están en obra y se entregarán en marzo de 2023.")</f>
        <v>En el proyecto de la Avenida Guayacanes se están construyendo puente vehicular y peatonal sobre la avenida Boyacá que solucionará la solicitud del ciudadano. Los puentes están en obra y se entregarán en marzo de 2023.</v>
      </c>
      <c r="N4289" s="55">
        <f ca="1">IFERROR(__xludf.DUMMYFUNCTION("""COMPUTED_VALUE"""),44657)</f>
        <v>44657</v>
      </c>
      <c r="O4289" s="25" t="str">
        <f t="shared" ca="1" si="0"/>
        <v>Instituto de Desarrollo Urbano</v>
      </c>
      <c r="P4289" s="25" t="str">
        <f t="shared" si="2"/>
        <v/>
      </c>
      <c r="Q4289" s="25" t="str">
        <f ca="1">IFERROR(__xludf.DUMMYFUNCTION("""COMPUTED_VALUE"""),"Corto plazo")</f>
        <v>Corto plazo</v>
      </c>
      <c r="R4289" s="25"/>
      <c r="S4289" s="55"/>
      <c r="T4289" s="56"/>
      <c r="U4289" s="25"/>
      <c r="V4289" s="25"/>
      <c r="W4289" s="25"/>
      <c r="X4289" s="25"/>
      <c r="Y4289" s="25"/>
      <c r="Z4289" s="25"/>
    </row>
    <row r="4290" spans="1:26" ht="52.5" customHeight="1" x14ac:dyDescent="0.25">
      <c r="A4290" s="25" t="str">
        <f ca="1">IFERROR(__xludf.DUMMYFUNCTION("""COMPUTED_VALUE"""),"Movil88")</f>
        <v>Movil88</v>
      </c>
      <c r="B4290" s="25" t="str">
        <f ca="1">IFERROR(__xludf.DUMMYFUNCTION("""COMPUTED_VALUE"""),"SLMB y extensión PLMB ")</f>
        <v xml:space="preserve">SLMB y extensión PLMB </v>
      </c>
      <c r="C4290" s="55">
        <f ca="1">IFERROR(__xludf.DUMMYFUNCTION("""COMPUTED_VALUE"""),44580)</f>
        <v>44580</v>
      </c>
      <c r="D4290" s="25" t="str">
        <f ca="1">IFERROR(__xludf.DUMMYFUNCTION("""COMPUTED_VALUE"""),"Movilidad")</f>
        <v>Movilidad</v>
      </c>
      <c r="E4290" s="25" t="str">
        <f ca="1">IFERROR(__xludf.DUMMYFUNCTION("""COMPUTED_VALUE"""),"Empresa Metro de Bogotá S.A.")</f>
        <v>Empresa Metro de Bogotá S.A.</v>
      </c>
      <c r="F4290" s="25" t="str">
        <f ca="1">IFERROR(__xludf.DUMMYFUNCTION("""COMPUTED_VALUE"""),"Revisar en la 72 con Calle (estación 5) otra alternativa de alineamiento, diferente a la presentada, que no implique el cierre prolongado de la Calle 72 así requiera mayor compra de predios ")</f>
        <v xml:space="preserve">Revisar en la 72 con Calle (estación 5) otra alternativa de alineamiento, diferente a la presentada, que no implique el cierre prolongado de la Calle 72 así requiera mayor compra de predios </v>
      </c>
      <c r="G4290" s="25" t="str">
        <f ca="1">IFERROR(__xludf.DUMMYFUNCTION("""COMPUTED_VALUE"""),"99. Distrito")</f>
        <v>99. Distrito</v>
      </c>
      <c r="H4290" s="55">
        <f ca="1">IFERROR(__xludf.DUMMYFUNCTION("""COMPUTED_VALUE"""),44610)</f>
        <v>44610</v>
      </c>
      <c r="I4290" s="25"/>
      <c r="J4290" s="55" t="str">
        <f ca="1">IFERROR(__xludf.DUMMYFUNCTION("""COMPUTED_VALUE"""),"Alta")</f>
        <v>Alta</v>
      </c>
      <c r="K4290" s="25">
        <f ca="1">IFERROR(__xludf.DUMMYFUNCTION("""COMPUTED_VALUE"""),30)</f>
        <v>30</v>
      </c>
      <c r="L4290" s="62">
        <f ca="1">IFERROR(__xludf.DUMMYFUNCTION("""COMPUTED_VALUE"""),44565)</f>
        <v>44565</v>
      </c>
      <c r="M4290" s="25" t="str">
        <f ca="1">IFERROR(__xludf.DUMMYFUNCTION("""COMPUTED_VALUE"""),"EMB: En la reunión con la Alcaldesa y Ministra de Transporte para presentar los avances del contrato del 22 de febrero, se presentó la nueva ubicación de la Estación 5 en predios privados en el costado norte de la Calle 72 con la Carrera 80. ")</f>
        <v xml:space="preserve">EMB: En la reunión con la Alcaldesa y Ministra de Transporte para presentar los avances del contrato del 22 de febrero, se presentó la nueva ubicación de la Estación 5 en predios privados en el costado norte de la Calle 72 con la Carrera 80. </v>
      </c>
      <c r="N4290" s="55">
        <f ca="1">IFERROR(__xludf.DUMMYFUNCTION("""COMPUTED_VALUE"""),44565)</f>
        <v>44565</v>
      </c>
      <c r="O4290" s="25" t="str">
        <f t="shared" ca="1" si="0"/>
        <v>Empresa Metro de Bogotá S.A.</v>
      </c>
      <c r="P4290" s="25" t="str">
        <f t="shared" si="2"/>
        <v/>
      </c>
      <c r="Q4290" s="25" t="str">
        <f ca="1">IFERROR(__xludf.DUMMYFUNCTION("""COMPUTED_VALUE"""),"Corto plazo")</f>
        <v>Corto plazo</v>
      </c>
      <c r="R4290" s="25"/>
      <c r="S4290" s="55"/>
      <c r="T4290" s="56"/>
      <c r="U4290" s="25"/>
      <c r="V4290" s="25"/>
      <c r="W4290" s="25"/>
      <c r="X4290" s="25"/>
      <c r="Y4290" s="25"/>
      <c r="Z4290" s="25"/>
    </row>
    <row r="4291" spans="1:26" ht="52.5" customHeight="1" x14ac:dyDescent="0.25">
      <c r="A4291" s="25" t="str">
        <f ca="1">IFERROR(__xludf.DUMMYFUNCTION("""COMPUTED_VALUE"""),"Movil89")</f>
        <v>Movil89</v>
      </c>
      <c r="B4291" s="25" t="str">
        <f ca="1">IFERROR(__xludf.DUMMYFUNCTION("""COMPUTED_VALUE"""),"SLMB y extensión PLMB ")</f>
        <v xml:space="preserve">SLMB y extensión PLMB </v>
      </c>
      <c r="C4291" s="55">
        <f ca="1">IFERROR(__xludf.DUMMYFUNCTION("""COMPUTED_VALUE"""),44580)</f>
        <v>44580</v>
      </c>
      <c r="D4291" s="25" t="str">
        <f ca="1">IFERROR(__xludf.DUMMYFUNCTION("""COMPUTED_VALUE"""),"Movilidad")</f>
        <v>Movilidad</v>
      </c>
      <c r="E4291" s="25" t="str">
        <f ca="1">IFERROR(__xludf.DUMMYFUNCTION("""COMPUTED_VALUE"""),"Secretaría Distrital de Movilidad")</f>
        <v>Secretaría Distrital de Movilidad</v>
      </c>
      <c r="F4291" s="25" t="str">
        <f ca="1">IFERROR(__xludf.DUMMYFUNCTION("""COMPUTED_VALUE"""),"Revisar que todas las estaciones tengan cicloparqueaderos en función de la demanda")</f>
        <v>Revisar que todas las estaciones tengan cicloparqueaderos en función de la demanda</v>
      </c>
      <c r="G4291" s="25" t="str">
        <f ca="1">IFERROR(__xludf.DUMMYFUNCTION("""COMPUTED_VALUE"""),"99. Distrito")</f>
        <v>99. Distrito</v>
      </c>
      <c r="H4291" s="55">
        <f ca="1">IFERROR(__xludf.DUMMYFUNCTION("""COMPUTED_VALUE"""),44610)</f>
        <v>44610</v>
      </c>
      <c r="I4291" s="25"/>
      <c r="J4291" s="55" t="str">
        <f ca="1">IFERROR(__xludf.DUMMYFUNCTION("""COMPUTED_VALUE"""),"Alta")</f>
        <v>Alta</v>
      </c>
      <c r="K4291" s="25">
        <f ca="1">IFERROR(__xludf.DUMMYFUNCTION("""COMPUTED_VALUE"""),30)</f>
        <v>30</v>
      </c>
      <c r="L4291" s="62">
        <f ca="1">IFERROR(__xludf.DUMMYFUNCTION("""COMPUTED_VALUE"""),44565)</f>
        <v>44565</v>
      </c>
      <c r="M4291" s="25" t="str">
        <f ca="1">IFERROR(__xludf.DUMMYFUNCTION("""COMPUTED_VALUE"""),"
EMB: En la reunión con la Alcaldesa y Ministra de Transporte para presentar los avances del contrato del 22 de febrero, se presentó el número de ciclo parqueaderos necesarios por cada estación de la L2MB respecto al estudio de demanda y una propuesta de "&amp;"capacidad instalada.
Por parte de la SDM ...")</f>
        <v xml:space="preserve">
EMB: En la reunión con la Alcaldesa y Ministra de Transporte para presentar los avances del contrato del 22 de febrero, se presentó el número de ciclo parqueaderos necesarios por cada estación de la L2MB respecto al estudio de demanda y una propuesta de capacidad instalada.
Por parte de la SDM ...</v>
      </c>
      <c r="N4291" s="55">
        <f ca="1">IFERROR(__xludf.DUMMYFUNCTION("""COMPUTED_VALUE"""),44565)</f>
        <v>44565</v>
      </c>
      <c r="O4291" s="25" t="str">
        <f t="shared" ca="1" si="0"/>
        <v>Secretaría Distrital de Movilidad</v>
      </c>
      <c r="P4291" s="25" t="str">
        <f t="shared" si="2"/>
        <v/>
      </c>
      <c r="Q4291" s="25" t="str">
        <f ca="1">IFERROR(__xludf.DUMMYFUNCTION("""COMPUTED_VALUE"""),"Corto plazo")</f>
        <v>Corto plazo</v>
      </c>
      <c r="R4291" s="25"/>
      <c r="S4291" s="55"/>
      <c r="T4291" s="56"/>
      <c r="U4291" s="25"/>
      <c r="V4291" s="25"/>
      <c r="W4291" s="25"/>
      <c r="X4291" s="25"/>
      <c r="Y4291" s="25"/>
      <c r="Z4291" s="25"/>
    </row>
    <row r="4292" spans="1:26" ht="52.5" customHeight="1" x14ac:dyDescent="0.25">
      <c r="A4292" s="25" t="str">
        <f ca="1">IFERROR(__xludf.DUMMYFUNCTION("""COMPUTED_VALUE"""),"Movil90")</f>
        <v>Movil90</v>
      </c>
      <c r="B4292" s="25" t="str">
        <f ca="1">IFERROR(__xludf.DUMMYFUNCTION("""COMPUTED_VALUE"""),"SLMB y extensión PLMB ")</f>
        <v xml:space="preserve">SLMB y extensión PLMB </v>
      </c>
      <c r="C4292" s="55">
        <f ca="1">IFERROR(__xludf.DUMMYFUNCTION("""COMPUTED_VALUE"""),44580)</f>
        <v>44580</v>
      </c>
      <c r="D4292" s="25" t="str">
        <f ca="1">IFERROR(__xludf.DUMMYFUNCTION("""COMPUTED_VALUE"""),"Movilidad")</f>
        <v>Movilidad</v>
      </c>
      <c r="E4292" s="25" t="str">
        <f ca="1">IFERROR(__xludf.DUMMYFUNCTION("""COMPUTED_VALUE"""),"Empresa Metro de Bogotá S.A.")</f>
        <v>Empresa Metro de Bogotá S.A.</v>
      </c>
      <c r="F4292" s="25" t="str">
        <f ca="1">IFERROR(__xludf.DUMMYFUNCTION("""COMPUTED_VALUE"""),"Hacer matriz de comparación de esquema APP y ley 80 incluyendo criterios de tiempos considerando los reales en otras experiencias y no solo los de ley, institucional, jurídico, tiempos y de mercado. ")</f>
        <v xml:space="preserve">Hacer matriz de comparación de esquema APP y ley 80 incluyendo criterios de tiempos considerando los reales en otras experiencias y no solo los de ley, institucional, jurídico, tiempos y de mercado. </v>
      </c>
      <c r="G4292" s="25" t="str">
        <f ca="1">IFERROR(__xludf.DUMMYFUNCTION("""COMPUTED_VALUE"""),"99. Distrito")</f>
        <v>99. Distrito</v>
      </c>
      <c r="H4292" s="55">
        <f ca="1">IFERROR(__xludf.DUMMYFUNCTION("""COMPUTED_VALUE"""),44610)</f>
        <v>44610</v>
      </c>
      <c r="I4292" s="25"/>
      <c r="J4292" s="55" t="str">
        <f ca="1">IFERROR(__xludf.DUMMYFUNCTION("""COMPUTED_VALUE"""),"Alta")</f>
        <v>Alta</v>
      </c>
      <c r="K4292" s="25">
        <f ca="1">IFERROR(__xludf.DUMMYFUNCTION("""COMPUTED_VALUE"""),30)</f>
        <v>30</v>
      </c>
      <c r="L4292" s="62">
        <f ca="1">IFERROR(__xludf.DUMMYFUNCTION("""COMPUTED_VALUE"""),44565)</f>
        <v>44565</v>
      </c>
      <c r="M4292" s="25" t="str">
        <f ca="1">IFERROR(__xludf.DUMMYFUNCTION("""COMPUTED_VALUE"""),"EMB: En la reunión con la Alcaldesa y Ministra de Transporte para presentar los avances del contrato del 22 de febrero, se presentó el análisis realizado entre esquema APP y Ley 80, siendo la recomendación desde la estructuración que se aplique Ley 80.")</f>
        <v>EMB: En la reunión con la Alcaldesa y Ministra de Transporte para presentar los avances del contrato del 22 de febrero, se presentó el análisis realizado entre esquema APP y Ley 80, siendo la recomendación desde la estructuración que se aplique Ley 80.</v>
      </c>
      <c r="N4292" s="55">
        <f ca="1">IFERROR(__xludf.DUMMYFUNCTION("""COMPUTED_VALUE"""),44565)</f>
        <v>44565</v>
      </c>
      <c r="O4292" s="25" t="str">
        <f t="shared" ca="1" si="0"/>
        <v>Empresa Metro de Bogotá S.A.</v>
      </c>
      <c r="P4292" s="25" t="str">
        <f t="shared" si="2"/>
        <v/>
      </c>
      <c r="Q4292" s="25" t="str">
        <f ca="1">IFERROR(__xludf.DUMMYFUNCTION("""COMPUTED_VALUE"""),"Corto plazo")</f>
        <v>Corto plazo</v>
      </c>
      <c r="R4292" s="25"/>
      <c r="S4292" s="55"/>
      <c r="T4292" s="56"/>
      <c r="U4292" s="25"/>
      <c r="V4292" s="25"/>
      <c r="W4292" s="25"/>
      <c r="X4292" s="25"/>
      <c r="Y4292" s="25"/>
      <c r="Z4292" s="25"/>
    </row>
    <row r="4293" spans="1:26" ht="52.5" customHeight="1" x14ac:dyDescent="0.25">
      <c r="A4293" s="25" t="str">
        <f ca="1">IFERROR(__xludf.DUMMYFUNCTION("""COMPUTED_VALUE"""),"Movil91")</f>
        <v>Movil91</v>
      </c>
      <c r="B4293" s="25" t="str">
        <f ca="1">IFERROR(__xludf.DUMMYFUNCTION("""COMPUTED_VALUE"""),"SLMB y extensión PLMB ")</f>
        <v xml:space="preserve">SLMB y extensión PLMB </v>
      </c>
      <c r="C4293" s="55">
        <f ca="1">IFERROR(__xludf.DUMMYFUNCTION("""COMPUTED_VALUE"""),44580)</f>
        <v>44580</v>
      </c>
      <c r="D4293" s="25" t="str">
        <f ca="1">IFERROR(__xludf.DUMMYFUNCTION("""COMPUTED_VALUE"""),"Movilidad")</f>
        <v>Movilidad</v>
      </c>
      <c r="E4293" s="25" t="str">
        <f ca="1">IFERROR(__xludf.DUMMYFUNCTION("""COMPUTED_VALUE"""),"Empresa Metro de Bogotá S.A.")</f>
        <v>Empresa Metro de Bogotá S.A.</v>
      </c>
      <c r="F4293" s="25" t="str">
        <f ca="1">IFERROR(__xludf.DUMMYFUNCTION("""COMPUTED_VALUE"""),"Para la calle 72, dado que se recomienda dejar la estación al occidente de la Caracas, se debe revisar conexión de pasajeros subterránea y superficie con la PLMB y con el corredor verde de la K7.  ")</f>
        <v xml:space="preserve">Para la calle 72, dado que se recomienda dejar la estación al occidente de la Caracas, se debe revisar conexión de pasajeros subterránea y superficie con la PLMB y con el corredor verde de la K7.  </v>
      </c>
      <c r="G4293" s="25" t="str">
        <f ca="1">IFERROR(__xludf.DUMMYFUNCTION("""COMPUTED_VALUE"""),"99. Distrito")</f>
        <v>99. Distrito</v>
      </c>
      <c r="H4293" s="55">
        <f ca="1">IFERROR(__xludf.DUMMYFUNCTION("""COMPUTED_VALUE"""),44610)</f>
        <v>44610</v>
      </c>
      <c r="I4293" s="25"/>
      <c r="J4293" s="55" t="str">
        <f ca="1">IFERROR(__xludf.DUMMYFUNCTION("""COMPUTED_VALUE"""),"Alta")</f>
        <v>Alta</v>
      </c>
      <c r="K4293" s="25">
        <f ca="1">IFERROR(__xludf.DUMMYFUNCTION("""COMPUTED_VALUE"""),30)</f>
        <v>30</v>
      </c>
      <c r="L4293" s="62">
        <f ca="1">IFERROR(__xludf.DUMMYFUNCTION("""COMPUTED_VALUE"""),44565)</f>
        <v>44565</v>
      </c>
      <c r="M4293" s="25" t="str">
        <f ca="1">IFERROR(__xludf.DUMMYFUNCTION("""COMPUTED_VALUE"""),"EMB: En la reunión con la Alcaldesa y Ministra de Transporte para presentar los avances del contrato del 22 de febrero, se presentó la ubicación de la Estación 1 al occidente de la Av., Caracas y al costado norte de la Calle 72 en predios privados para no"&amp;" afectar el tráfico de la Calle 72 y su interconexión con la Estación 16 de la PLMB y una propuesta de galerías peatonales para generar conectividad con los andenes del sector.")</f>
        <v>EMB: En la reunión con la Alcaldesa y Ministra de Transporte para presentar los avances del contrato del 22 de febrero, se presentó la ubicación de la Estación 1 al occidente de la Av., Caracas y al costado norte de la Calle 72 en predios privados para no afectar el tráfico de la Calle 72 y su interconexión con la Estación 16 de la PLMB y una propuesta de galerías peatonales para generar conectividad con los andenes del sector.</v>
      </c>
      <c r="N4293" s="55">
        <f ca="1">IFERROR(__xludf.DUMMYFUNCTION("""COMPUTED_VALUE"""),44565)</f>
        <v>44565</v>
      </c>
      <c r="O4293" s="25" t="str">
        <f t="shared" ca="1" si="0"/>
        <v>Empresa Metro de Bogotá S.A.</v>
      </c>
      <c r="P4293" s="25" t="str">
        <f t="shared" si="2"/>
        <v/>
      </c>
      <c r="Q4293" s="25" t="str">
        <f ca="1">IFERROR(__xludf.DUMMYFUNCTION("""COMPUTED_VALUE"""),"Corto plazo")</f>
        <v>Corto plazo</v>
      </c>
      <c r="R4293" s="25"/>
      <c r="S4293" s="55"/>
      <c r="T4293" s="56"/>
      <c r="U4293" s="25"/>
      <c r="V4293" s="25"/>
      <c r="W4293" s="25"/>
      <c r="X4293" s="25"/>
      <c r="Y4293" s="25"/>
      <c r="Z4293" s="25"/>
    </row>
    <row r="4294" spans="1:26" ht="52.5" customHeight="1" x14ac:dyDescent="0.25">
      <c r="A4294" s="25" t="str">
        <f ca="1">IFERROR(__xludf.DUMMYFUNCTION("""COMPUTED_VALUE"""),"Movil92")</f>
        <v>Movil92</v>
      </c>
      <c r="B4294" s="25" t="str">
        <f ca="1">IFERROR(__xludf.DUMMYFUNCTION("""COMPUTED_VALUE"""),"SLMB y extensión PLMB ")</f>
        <v xml:space="preserve">SLMB y extensión PLMB </v>
      </c>
      <c r="C4294" s="55">
        <f ca="1">IFERROR(__xludf.DUMMYFUNCTION("""COMPUTED_VALUE"""),44580)</f>
        <v>44580</v>
      </c>
      <c r="D4294" s="25" t="str">
        <f ca="1">IFERROR(__xludf.DUMMYFUNCTION("""COMPUTED_VALUE"""),"Movilidad")</f>
        <v>Movilidad</v>
      </c>
      <c r="E4294" s="25" t="str">
        <f ca="1">IFERROR(__xludf.DUMMYFUNCTION("""COMPUTED_VALUE"""),"Empresa Metro de Bogotá S.A.")</f>
        <v>Empresa Metro de Bogotá S.A.</v>
      </c>
      <c r="F4294" s="25" t="str">
        <f ca="1">IFERROR(__xludf.DUMMYFUNCTION("""COMPUTED_VALUE"""),"Para la actualización del CONPES 3961 de riesgos proyectos férreos revisar que se requiere ajustar. DNP sugiere que sea por adenda.")</f>
        <v>Para la actualización del CONPES 3961 de riesgos proyectos férreos revisar que se requiere ajustar. DNP sugiere que sea por adenda.</v>
      </c>
      <c r="G4294" s="25" t="str">
        <f ca="1">IFERROR(__xludf.DUMMYFUNCTION("""COMPUTED_VALUE"""),"99. Distrito")</f>
        <v>99. Distrito</v>
      </c>
      <c r="H4294" s="55">
        <f ca="1">IFERROR(__xludf.DUMMYFUNCTION("""COMPUTED_VALUE"""),44610)</f>
        <v>44610</v>
      </c>
      <c r="I4294" s="25"/>
      <c r="J4294" s="55" t="str">
        <f ca="1">IFERROR(__xludf.DUMMYFUNCTION("""COMPUTED_VALUE"""),"Alta")</f>
        <v>Alta</v>
      </c>
      <c r="K4294" s="25">
        <f ca="1">IFERROR(__xludf.DUMMYFUNCTION("""COMPUTED_VALUE"""),30)</f>
        <v>30</v>
      </c>
      <c r="L4294" s="62">
        <f ca="1">IFERROR(__xludf.DUMMYFUNCTION("""COMPUTED_VALUE"""),44855)</f>
        <v>44855</v>
      </c>
      <c r="M4294" s="25" t="str">
        <f ca="1">IFERROR(__xludf.DUMMYFUNCTION("""COMPUTED_VALUE"""),"EMB: Se sigue avanzando en el análisis de las posibilidades de actualización y/o adenda y/o un nuevo CONPES para riesgos de proyectos férreos que contenga el riesgo geológico, geotécnico para metros subterráneos. 
Actualmente, se cuenta con un borrador"&amp;" de Adenda al Conpes 3961 que se ha venido ajustando y con la cual se pretende aclarar y ser más detallados en los referente a los riesgos geotécnicos.
Se analizó además la necesidad de contar con este documento para la firma del convenio de cofinancia"&amp;"ción y se encontró que no es necesario; éste es requerido para el proceso de selección, por lo que para el segundo semestre del año 2022 se desarrollará completamente.")</f>
        <v>EMB: Se sigue avanzando en el análisis de las posibilidades de actualización y/o adenda y/o un nuevo CONPES para riesgos de proyectos férreos que contenga el riesgo geológico, geotécnico para metros subterráneos. 
Actualmente, se cuenta con un borrador de Adenda al Conpes 3961 que se ha venido ajustando y con la cual se pretende aclarar y ser más detallados en los referente a los riesgos geotécnicos.
Se analizó además la necesidad de contar con este documento para la firma del convenio de cofinanciación y se encontró que no es necesario; éste es requerido para el proceso de selección, por lo que para el segundo semestre del año 2022 se desarrollará completamente.</v>
      </c>
      <c r="N4294" s="55">
        <f ca="1">IFERROR(__xludf.DUMMYFUNCTION("""COMPUTED_VALUE"""),44855)</f>
        <v>44855</v>
      </c>
      <c r="O4294" s="25" t="str">
        <f t="shared" ca="1" si="0"/>
        <v>Empresa Metro de Bogotá S.A.</v>
      </c>
      <c r="P4294" s="25" t="str">
        <f t="shared" si="2"/>
        <v/>
      </c>
      <c r="Q4294" s="25" t="str">
        <f ca="1">IFERROR(__xludf.DUMMYFUNCTION("""COMPUTED_VALUE"""),"Corto plazo")</f>
        <v>Corto plazo</v>
      </c>
      <c r="R4294" s="25"/>
      <c r="S4294" s="55"/>
      <c r="T4294" s="56"/>
      <c r="U4294" s="25"/>
      <c r="V4294" s="25"/>
      <c r="W4294" s="25"/>
      <c r="X4294" s="25"/>
      <c r="Y4294" s="25"/>
      <c r="Z4294" s="25"/>
    </row>
    <row r="4295" spans="1:26" ht="52.5" customHeight="1" x14ac:dyDescent="0.25">
      <c r="A4295" s="25" t="str">
        <f ca="1">IFERROR(__xludf.DUMMYFUNCTION("""COMPUTED_VALUE"""),"Movil93")</f>
        <v>Movil93</v>
      </c>
      <c r="B4295" s="25" t="str">
        <f ca="1">IFERROR(__xludf.DUMMYFUNCTION("""COMPUTED_VALUE"""),"SLMB y extensión PLMB ")</f>
        <v xml:space="preserve">SLMB y extensión PLMB </v>
      </c>
      <c r="C4295" s="55">
        <f ca="1">IFERROR(__xludf.DUMMYFUNCTION("""COMPUTED_VALUE"""),44580)</f>
        <v>44580</v>
      </c>
      <c r="D4295" s="25" t="str">
        <f ca="1">IFERROR(__xludf.DUMMYFUNCTION("""COMPUTED_VALUE"""),"Movilidad")</f>
        <v>Movilidad</v>
      </c>
      <c r="E4295" s="25" t="str">
        <f ca="1">IFERROR(__xludf.DUMMYFUNCTION("""COMPUTED_VALUE"""),"Empresa Metro de Bogotá S.A.")</f>
        <v>Empresa Metro de Bogotá S.A.</v>
      </c>
      <c r="F4295" s="25" t="str">
        <f ca="1">IFERROR(__xludf.DUMMYFUNCTION("""COMPUTED_VALUE"""),"Se solicita analizar como alternativa específica de financiación a evaluar un acuerdo con gobierno chino que preste plata contra la extensión de contrato PLMB y como otra acotar el proyecto a los ahorros obtenidos en la adjudicación de la PLMB (cerca de 6"&amp;"00 mil millones).")</f>
        <v>Se solicita analizar como alternativa específica de financiación a evaluar un acuerdo con gobierno chino que preste plata contra la extensión de contrato PLMB y como otra acotar el proyecto a los ahorros obtenidos en la adjudicación de la PLMB (cerca de 600 mil millones).</v>
      </c>
      <c r="G4295" s="25" t="str">
        <f ca="1">IFERROR(__xludf.DUMMYFUNCTION("""COMPUTED_VALUE"""),"99. Distrito")</f>
        <v>99. Distrito</v>
      </c>
      <c r="H4295" s="55">
        <f ca="1">IFERROR(__xludf.DUMMYFUNCTION("""COMPUTED_VALUE"""),44610)</f>
        <v>44610</v>
      </c>
      <c r="I4295" s="25"/>
      <c r="J4295" s="55" t="str">
        <f ca="1">IFERROR(__xludf.DUMMYFUNCTION("""COMPUTED_VALUE"""),"Alta")</f>
        <v>Alta</v>
      </c>
      <c r="K4295" s="25">
        <f ca="1">IFERROR(__xludf.DUMMYFUNCTION("""COMPUTED_VALUE"""),30)</f>
        <v>30</v>
      </c>
      <c r="L4295" s="62">
        <f ca="1">IFERROR(__xludf.DUMMYFUNCTION("""COMPUTED_VALUE"""),44773)</f>
        <v>44773</v>
      </c>
      <c r="M4295" s="25" t="str">
        <f ca="1">IFERROR(__xludf.DUMMYFUNCTION("""COMPUTED_VALUE"""),"EMB: Se informa que en seguimiento al Contrato 277 de 2021 ya se realizó el análisis por parte de la FDN y como resultado del mismo su no viabilidad; en consecuencia, la FDN está estudiando otros mecanismos de financiación. 
El viernes 24 de junio de 202"&amp;"2 se llevó a cabo reunión formal con Metro Línea 1 S.A.S. (Concesionario de la PLMB en construcción), donde se presentó el proyecto de La Extensión de la PLMB y éste, analizará tanto el proyecto como su financiación. ")</f>
        <v xml:space="preserve">EMB: Se informa que en seguimiento al Contrato 277 de 2021 ya se realizó el análisis por parte de la FDN y como resultado del mismo su no viabilidad; en consecuencia, la FDN está estudiando otros mecanismos de financiación. 
El viernes 24 de junio de 2022 se llevó a cabo reunión formal con Metro Línea 1 S.A.S. (Concesionario de la PLMB en construcción), donde se presentó el proyecto de La Extensión de la PLMB y éste, analizará tanto el proyecto como su financiación. </v>
      </c>
      <c r="N4295" s="55">
        <f ca="1">IFERROR(__xludf.DUMMYFUNCTION("""COMPUTED_VALUE"""),44773)</f>
        <v>44773</v>
      </c>
      <c r="O4295" s="25" t="str">
        <f t="shared" ca="1" si="0"/>
        <v>Empresa Metro de Bogotá S.A.</v>
      </c>
      <c r="P4295" s="25" t="str">
        <f t="shared" si="2"/>
        <v/>
      </c>
      <c r="Q4295" s="25" t="str">
        <f ca="1">IFERROR(__xludf.DUMMYFUNCTION("""COMPUTED_VALUE"""),"Corto plazo")</f>
        <v>Corto plazo</v>
      </c>
      <c r="R4295" s="25"/>
      <c r="S4295" s="55"/>
      <c r="T4295" s="56"/>
      <c r="U4295" s="25"/>
      <c r="V4295" s="25"/>
      <c r="W4295" s="25"/>
      <c r="X4295" s="25"/>
      <c r="Y4295" s="25"/>
      <c r="Z4295" s="25"/>
    </row>
    <row r="4296" spans="1:26" ht="52.5" customHeight="1" x14ac:dyDescent="0.25">
      <c r="A4296" s="25" t="str">
        <f ca="1">IFERROR(__xludf.DUMMYFUNCTION("""COMPUTED_VALUE"""),"Movil94")</f>
        <v>Movil94</v>
      </c>
      <c r="B4296" s="25" t="str">
        <f ca="1">IFERROR(__xludf.DUMMYFUNCTION("""COMPUTED_VALUE"""),"SLMB y extensión PLMB ")</f>
        <v xml:space="preserve">SLMB y extensión PLMB </v>
      </c>
      <c r="C4296" s="55">
        <f ca="1">IFERROR(__xludf.DUMMYFUNCTION("""COMPUTED_VALUE"""),44580)</f>
        <v>44580</v>
      </c>
      <c r="D4296" s="25" t="str">
        <f ca="1">IFERROR(__xludf.DUMMYFUNCTION("""COMPUTED_VALUE"""),"Movilidad")</f>
        <v>Movilidad</v>
      </c>
      <c r="E4296" s="25" t="str">
        <f ca="1">IFERROR(__xludf.DUMMYFUNCTION("""COMPUTED_VALUE"""),"Secretaría Distrital de Movilidad")</f>
        <v>Secretaría Distrital de Movilidad</v>
      </c>
      <c r="F4296" s="25" t="str">
        <f ca="1">IFERROR(__xludf.DUMMYFUNCTION("""COMPUTED_VALUE"""),"Próxima reunión, 18 febrero para ver tareas SLMB y el trazado de la extensión de la PLMB")</f>
        <v>Próxima reunión, 18 febrero para ver tareas SLMB y el trazado de la extensión de la PLMB</v>
      </c>
      <c r="G4296" s="25" t="str">
        <f ca="1">IFERROR(__xludf.DUMMYFUNCTION("""COMPUTED_VALUE"""),"99. Distrito")</f>
        <v>99. Distrito</v>
      </c>
      <c r="H4296" s="55">
        <f ca="1">IFERROR(__xludf.DUMMYFUNCTION("""COMPUTED_VALUE"""),44610)</f>
        <v>44610</v>
      </c>
      <c r="I4296" s="25"/>
      <c r="J4296" s="55" t="str">
        <f ca="1">IFERROR(__xludf.DUMMYFUNCTION("""COMPUTED_VALUE"""),"Alta")</f>
        <v>Alta</v>
      </c>
      <c r="K4296" s="25">
        <f ca="1">IFERROR(__xludf.DUMMYFUNCTION("""COMPUTED_VALUE"""),30)</f>
        <v>30</v>
      </c>
      <c r="L4296" s="62">
        <f ca="1">IFERROR(__xludf.DUMMYFUNCTION("""COMPUTED_VALUE"""),44565)</f>
        <v>44565</v>
      </c>
      <c r="M4296" s="25" t="str">
        <f ca="1">IFERROR(__xludf.DUMMYFUNCTION("""COMPUTED_VALUE"""),"EMB: Finalmente, la reunión se realizó el 22 de febrero con asistencia de la Ministra de Transporte.")</f>
        <v>EMB: Finalmente, la reunión se realizó el 22 de febrero con asistencia de la Ministra de Transporte.</v>
      </c>
      <c r="N4296" s="55">
        <f ca="1">IFERROR(__xludf.DUMMYFUNCTION("""COMPUTED_VALUE"""),44565)</f>
        <v>44565</v>
      </c>
      <c r="O4296" s="25" t="str">
        <f t="shared" ca="1" si="0"/>
        <v>Secretaría Distrital de Movilidad</v>
      </c>
      <c r="P4296" s="25" t="str">
        <f t="shared" si="2"/>
        <v/>
      </c>
      <c r="Q4296" s="25" t="str">
        <f ca="1">IFERROR(__xludf.DUMMYFUNCTION("""COMPUTED_VALUE"""),"Corto plazo")</f>
        <v>Corto plazo</v>
      </c>
      <c r="R4296" s="25"/>
      <c r="S4296" s="55"/>
      <c r="T4296" s="56"/>
      <c r="U4296" s="25"/>
      <c r="V4296" s="25"/>
      <c r="W4296" s="25"/>
      <c r="X4296" s="25"/>
      <c r="Y4296" s="25"/>
      <c r="Z4296" s="25"/>
    </row>
    <row r="4297" spans="1:26" ht="52.5" customHeight="1" x14ac:dyDescent="0.25">
      <c r="A4297" s="25" t="str">
        <f ca="1">IFERROR(__xludf.DUMMYFUNCTION("""COMPUTED_VALUE"""),"Movil95")</f>
        <v>Movil95</v>
      </c>
      <c r="B4297" s="25" t="str">
        <f ca="1">IFERROR(__xludf.DUMMYFUNCTION("""COMPUTED_VALUE"""),"Reunión Cable Reencuentro - Monserrate")</f>
        <v>Reunión Cable Reencuentro - Monserrate</v>
      </c>
      <c r="C4297" s="55">
        <f ca="1">IFERROR(__xludf.DUMMYFUNCTION("""COMPUTED_VALUE"""),44580)</f>
        <v>44580</v>
      </c>
      <c r="D4297" s="25" t="str">
        <f ca="1">IFERROR(__xludf.DUMMYFUNCTION("""COMPUTED_VALUE"""),"Movilidad")</f>
        <v>Movilidad</v>
      </c>
      <c r="E4297" s="25" t="str">
        <f ca="1">IFERROR(__xludf.DUMMYFUNCTION("""COMPUTED_VALUE"""),"Secretaría Distrital de Movilidad")</f>
        <v>Secretaría Distrital de Movilidad</v>
      </c>
      <c r="F4297" s="25" t="str">
        <f ca="1">IFERROR(__xludf.DUMMYFUNCTION("""COMPUTED_VALUE"""),"Finalizar el documento DTS y compartir a la Universidad de los Andes. ")</f>
        <v xml:space="preserve">Finalizar el documento DTS y compartir a la Universidad de los Andes. </v>
      </c>
      <c r="G4297" s="25" t="str">
        <f ca="1">IFERROR(__xludf.DUMMYFUNCTION("""COMPUTED_VALUE"""),"99. Distrito")</f>
        <v>99. Distrito</v>
      </c>
      <c r="H4297" s="55">
        <f ca="1">IFERROR(__xludf.DUMMYFUNCTION("""COMPUTED_VALUE"""),44610)</f>
        <v>44610</v>
      </c>
      <c r="I4297" s="25"/>
      <c r="J4297" s="55" t="str">
        <f ca="1">IFERROR(__xludf.DUMMYFUNCTION("""COMPUTED_VALUE"""),"Alta")</f>
        <v>Alta</v>
      </c>
      <c r="K4297" s="25">
        <f ca="1">IFERROR(__xludf.DUMMYFUNCTION("""COMPUTED_VALUE"""),30)</f>
        <v>30</v>
      </c>
      <c r="L4297" s="62">
        <f ca="1">IFERROR(__xludf.DUMMYFUNCTION("""COMPUTED_VALUE"""),44748)</f>
        <v>44748</v>
      </c>
      <c r="M4297" s="25" t="str">
        <f ca="1">IFERROR(__xludf.DUMMYFUNCTION("""COMPUTED_VALUE"""),"SDM: El plazo para la revisión de los componentes de demanda termina el 29 de febrero, hasta el momento se cuenta con revisión preliminar de los resultados y a la espera de articulaciones definitivas.
- El DTS se culminó con el trazado que cumple con las"&amp;" necesidades de conectividad, mayor atracción de demanda y menor impacto en la implantación de estaciones y pilonas. Este documento fue compartido a las universidades para su conocimiento ")</f>
        <v xml:space="preserve">SDM: El plazo para la revisión de los componentes de demanda termina el 29 de febrero, hasta el momento se cuenta con revisión preliminar de los resultados y a la espera de articulaciones definitivas.
- El DTS se culminó con el trazado que cumple con las necesidades de conectividad, mayor atracción de demanda y menor impacto en la implantación de estaciones y pilonas. Este documento fue compartido a las universidades para su conocimiento </v>
      </c>
      <c r="N4297" s="55">
        <f ca="1">IFERROR(__xludf.DUMMYFUNCTION("""COMPUTED_VALUE"""),44748)</f>
        <v>44748</v>
      </c>
      <c r="O4297" s="25" t="str">
        <f t="shared" ca="1" si="0"/>
        <v>Secretaría Distrital de Movilidad</v>
      </c>
      <c r="P4297" s="25" t="str">
        <f t="shared" si="2"/>
        <v/>
      </c>
      <c r="Q4297" s="25" t="str">
        <f ca="1">IFERROR(__xludf.DUMMYFUNCTION("""COMPUTED_VALUE"""),"Corto plazo")</f>
        <v>Corto plazo</v>
      </c>
      <c r="R4297" s="25"/>
      <c r="S4297" s="55"/>
      <c r="T4297" s="56"/>
      <c r="U4297" s="25"/>
      <c r="V4297" s="25"/>
      <c r="W4297" s="25"/>
      <c r="X4297" s="25"/>
      <c r="Y4297" s="25"/>
      <c r="Z4297" s="25"/>
    </row>
    <row r="4298" spans="1:26" ht="52.5" customHeight="1" x14ac:dyDescent="0.25">
      <c r="A4298" s="25" t="str">
        <f ca="1">IFERROR(__xludf.DUMMYFUNCTION("""COMPUTED_VALUE"""),"Movil96")</f>
        <v>Movil96</v>
      </c>
      <c r="B4298" s="25" t="str">
        <f ca="1">IFERROR(__xludf.DUMMYFUNCTION("""COMPUTED_VALUE"""),"Reunión Cable Reencuentro - Monserrate")</f>
        <v>Reunión Cable Reencuentro - Monserrate</v>
      </c>
      <c r="C4298" s="55">
        <f ca="1">IFERROR(__xludf.DUMMYFUNCTION("""COMPUTED_VALUE"""),44580)</f>
        <v>44580</v>
      </c>
      <c r="D4298" s="25" t="str">
        <f ca="1">IFERROR(__xludf.DUMMYFUNCTION("""COMPUTED_VALUE"""),"Movilidad")</f>
        <v>Movilidad</v>
      </c>
      <c r="E4298" s="25" t="str">
        <f ca="1">IFERROR(__xludf.DUMMYFUNCTION("""COMPUTED_VALUE"""),"Instituto de Desarrollo Urbano")</f>
        <v>Instituto de Desarrollo Urbano</v>
      </c>
      <c r="F4298" s="25" t="str">
        <f ca="1">IFERROR(__xludf.DUMMYFUNCTION("""COMPUTED_VALUE"""),"Realizar el costo de la infraestructura con y sin la estación de la Macarena. ")</f>
        <v xml:space="preserve">Realizar el costo de la infraestructura con y sin la estación de la Macarena. </v>
      </c>
      <c r="G4298" s="25" t="str">
        <f ca="1">IFERROR(__xludf.DUMMYFUNCTION("""COMPUTED_VALUE"""),"99. Distrito")</f>
        <v>99. Distrito</v>
      </c>
      <c r="H4298" s="55">
        <f ca="1">IFERROR(__xludf.DUMMYFUNCTION("""COMPUTED_VALUE"""),44610)</f>
        <v>44610</v>
      </c>
      <c r="I4298" s="25"/>
      <c r="J4298" s="55" t="str">
        <f ca="1">IFERROR(__xludf.DUMMYFUNCTION("""COMPUTED_VALUE"""),"Alta")</f>
        <v>Alta</v>
      </c>
      <c r="K4298" s="25">
        <f ca="1">IFERROR(__xludf.DUMMYFUNCTION("""COMPUTED_VALUE"""),30)</f>
        <v>30</v>
      </c>
      <c r="L4298" s="62">
        <f ca="1">IFERROR(__xludf.DUMMYFUNCTION("""COMPUTED_VALUE"""),44748)</f>
        <v>44748</v>
      </c>
      <c r="M4298" s="25" t="str">
        <f ca="1">IFERROR(__xludf.DUMMYFUNCTION("""COMPUTED_VALUE"""),"Ya se entregó.")</f>
        <v>Ya se entregó.</v>
      </c>
      <c r="N4298" s="55">
        <f ca="1">IFERROR(__xludf.DUMMYFUNCTION("""COMPUTED_VALUE"""),44748)</f>
        <v>44748</v>
      </c>
      <c r="O4298" s="25" t="str">
        <f t="shared" ca="1" si="0"/>
        <v>Instituto de Desarrollo Urbano</v>
      </c>
      <c r="P4298" s="25" t="str">
        <f t="shared" si="2"/>
        <v/>
      </c>
      <c r="Q4298" s="25" t="str">
        <f ca="1">IFERROR(__xludf.DUMMYFUNCTION("""COMPUTED_VALUE"""),"Corto plazo")</f>
        <v>Corto plazo</v>
      </c>
      <c r="R4298" s="25"/>
      <c r="S4298" s="55"/>
      <c r="T4298" s="56"/>
      <c r="U4298" s="25"/>
      <c r="V4298" s="25"/>
      <c r="W4298" s="25"/>
      <c r="X4298" s="25"/>
      <c r="Y4298" s="25"/>
      <c r="Z4298" s="25"/>
    </row>
    <row r="4299" spans="1:26" ht="52.5" customHeight="1" x14ac:dyDescent="0.25">
      <c r="A4299" s="25" t="str">
        <f ca="1">IFERROR(__xludf.DUMMYFUNCTION("""COMPUTED_VALUE"""),"Movil97")</f>
        <v>Movil97</v>
      </c>
      <c r="B4299" s="25" t="str">
        <f ca="1">IFERROR(__xludf.DUMMYFUNCTION("""COMPUTED_VALUE"""),"Asignación presupuestal proyectos estratégicos")</f>
        <v>Asignación presupuestal proyectos estratégicos</v>
      </c>
      <c r="C4299" s="55">
        <f ca="1">IFERROR(__xludf.DUMMYFUNCTION("""COMPUTED_VALUE"""),44579)</f>
        <v>44579</v>
      </c>
      <c r="D4299" s="25" t="str">
        <f ca="1">IFERROR(__xludf.DUMMYFUNCTION("""COMPUTED_VALUE"""),"Movilidad")</f>
        <v>Movilidad</v>
      </c>
      <c r="E4299" s="25" t="str">
        <f ca="1">IFERROR(__xludf.DUMMYFUNCTION("""COMPUTED_VALUE"""),"Instituto de Desarrollo Urbano")</f>
        <v>Instituto de Desarrollo Urbano</v>
      </c>
      <c r="F4299" s="25" t="str">
        <f ca="1">IFERROR(__xludf.DUMMYFUNCTION("""COMPUTED_VALUE"""),"Congelar la contratación del IDU hasta que esté la financiación de los proyectos prioritarios del Plan de Gobierno")</f>
        <v>Congelar la contratación del IDU hasta que esté la financiación de los proyectos prioritarios del Plan de Gobierno</v>
      </c>
      <c r="G4299" s="25" t="str">
        <f ca="1">IFERROR(__xludf.DUMMYFUNCTION("""COMPUTED_VALUE"""),"99. Distrito")</f>
        <v>99. Distrito</v>
      </c>
      <c r="H4299" s="55">
        <f ca="1">IFERROR(__xludf.DUMMYFUNCTION("""COMPUTED_VALUE"""),44609)</f>
        <v>44609</v>
      </c>
      <c r="I4299" s="25"/>
      <c r="J4299" s="55" t="str">
        <f ca="1">IFERROR(__xludf.DUMMYFUNCTION("""COMPUTED_VALUE"""),"Alta")</f>
        <v>Alta</v>
      </c>
      <c r="K4299" s="25">
        <f ca="1">IFERROR(__xludf.DUMMYFUNCTION("""COMPUTED_VALUE"""),30)</f>
        <v>30</v>
      </c>
      <c r="L4299" s="62">
        <f ca="1">IFERROR(__xludf.DUMMYFUNCTION("""COMPUTED_VALUE"""),44782)</f>
        <v>44782</v>
      </c>
      <c r="M4299" s="25" t="str">
        <f ca="1">IFERROR(__xludf.DUMMYFUNCTION("""COMPUTED_VALUE"""),"La contratación del IDU ha cumplido con lo señalado por la Alcaldesa dentro de las prioridades del Plan de Gobierno
")</f>
        <v xml:space="preserve">La contratación del IDU ha cumplido con lo señalado por la Alcaldesa dentro de las prioridades del Plan de Gobierno
</v>
      </c>
      <c r="N4299" s="55">
        <f ca="1">IFERROR(__xludf.DUMMYFUNCTION("""COMPUTED_VALUE"""),44782)</f>
        <v>44782</v>
      </c>
      <c r="O4299" s="25" t="str">
        <f t="shared" ca="1" si="0"/>
        <v>Instituto de Desarrollo Urbano</v>
      </c>
      <c r="P4299" s="25" t="str">
        <f t="shared" si="2"/>
        <v/>
      </c>
      <c r="Q4299" s="25" t="str">
        <f ca="1">IFERROR(__xludf.DUMMYFUNCTION("""COMPUTED_VALUE"""),"Corto plazo")</f>
        <v>Corto plazo</v>
      </c>
      <c r="R4299" s="25"/>
      <c r="S4299" s="55"/>
      <c r="T4299" s="56"/>
      <c r="U4299" s="25"/>
      <c r="V4299" s="25"/>
      <c r="W4299" s="25"/>
      <c r="X4299" s="25"/>
      <c r="Y4299" s="25"/>
      <c r="Z4299" s="25"/>
    </row>
    <row r="4300" spans="1:26" ht="52.5" customHeight="1" x14ac:dyDescent="0.25">
      <c r="A4300" s="25" t="str">
        <f ca="1">IFERROR(__xludf.DUMMYFUNCTION("""COMPUTED_VALUE"""),"Movil98")</f>
        <v>Movil98</v>
      </c>
      <c r="B4300" s="25" t="str">
        <f ca="1">IFERROR(__xludf.DUMMYFUNCTION("""COMPUTED_VALUE"""),"Asignación presupuestal proyectos estratégicos")</f>
        <v>Asignación presupuestal proyectos estratégicos</v>
      </c>
      <c r="C4300" s="55">
        <f ca="1">IFERROR(__xludf.DUMMYFUNCTION("""COMPUTED_VALUE"""),44579)</f>
        <v>44579</v>
      </c>
      <c r="D4300" s="25" t="str">
        <f ca="1">IFERROR(__xludf.DUMMYFUNCTION("""COMPUTED_VALUE"""),"Movilidad")</f>
        <v>Movilidad</v>
      </c>
      <c r="E4300" s="25" t="str">
        <f ca="1">IFERROR(__xludf.DUMMYFUNCTION("""COMPUTED_VALUE"""),"Instituto de Desarrollo Urbano")</f>
        <v>Instituto de Desarrollo Urbano</v>
      </c>
      <c r="F4300" s="25" t="str">
        <f ca="1">IFERROR(__xludf.DUMMYFUNCTION("""COMPUTED_VALUE"""),"Buscar los recursos vía regalías para el cable de Soacha y San Rafael (La Calera). La prioridad depende de si ingresa Soacha a la Región Metropolitana.")</f>
        <v>Buscar los recursos vía regalías para el cable de Soacha y San Rafael (La Calera). La prioridad depende de si ingresa Soacha a la Región Metropolitana.</v>
      </c>
      <c r="G4300" s="25" t="str">
        <f ca="1">IFERROR(__xludf.DUMMYFUNCTION("""COMPUTED_VALUE"""),"99. Distrito")</f>
        <v>99. Distrito</v>
      </c>
      <c r="H4300" s="55">
        <f ca="1">IFERROR(__xludf.DUMMYFUNCTION("""COMPUTED_VALUE"""),44609)</f>
        <v>44609</v>
      </c>
      <c r="I4300" s="25"/>
      <c r="J4300" s="55" t="str">
        <f ca="1">IFERROR(__xludf.DUMMYFUNCTION("""COMPUTED_VALUE"""),"Alta")</f>
        <v>Alta</v>
      </c>
      <c r="K4300" s="25">
        <f ca="1">IFERROR(__xludf.DUMMYFUNCTION("""COMPUTED_VALUE"""),30)</f>
        <v>30</v>
      </c>
      <c r="L4300" s="62">
        <f ca="1">IFERROR(__xludf.DUMMYFUNCTION("""COMPUTED_VALUE"""),44748)</f>
        <v>44748</v>
      </c>
      <c r="M4300" s="25" t="str">
        <f ca="1">IFERROR(__xludf.DUMMYFUNCTION("""COMPUTED_VALUE"""),"En la última Junta de Infraestructura, la Alcaldesa indicó la intención de poder contratar con recursos del Cupo el Cable de Ciudad Bolívar; sin embargo, en la reunión el IDU manifestó que actualmente estamos adelantando la factibilidad del proyecto y req"&amp;"uiere analizarse la posibilidad de hacer un contrato mixto que tiene muchas dificultades y que la gestión predial era un tema incierto y que no se podría abrir la obra sin predios disponibles. La Alcaldesa manifestó en esa misma junta que contratamos los "&amp;"diseños del Cable del Centro para que la próxima administración ejecutará el proyecto.")</f>
        <v>En la última Junta de Infraestructura, la Alcaldesa indicó la intención de poder contratar con recursos del Cupo el Cable de Ciudad Bolívar; sin embargo, en la reunión el IDU manifestó que actualmente estamos adelantando la factibilidad del proyecto y requiere analizarse la posibilidad de hacer un contrato mixto que tiene muchas dificultades y que la gestión predial era un tema incierto y que no se podría abrir la obra sin predios disponibles. La Alcaldesa manifestó en esa misma junta que contratamos los diseños del Cable del Centro para que la próxima administración ejecutará el proyecto.</v>
      </c>
      <c r="N4300" s="55">
        <f ca="1">IFERROR(__xludf.DUMMYFUNCTION("""COMPUTED_VALUE"""),44748)</f>
        <v>44748</v>
      </c>
      <c r="O4300" s="25" t="str">
        <f t="shared" ca="1" si="0"/>
        <v>Instituto de Desarrollo Urbano</v>
      </c>
      <c r="P4300" s="25" t="str">
        <f t="shared" si="2"/>
        <v/>
      </c>
      <c r="Q4300" s="25" t="str">
        <f ca="1">IFERROR(__xludf.DUMMYFUNCTION("""COMPUTED_VALUE"""),"Corto plazo")</f>
        <v>Corto plazo</v>
      </c>
      <c r="R4300" s="25"/>
      <c r="S4300" s="55"/>
      <c r="T4300" s="56"/>
      <c r="U4300" s="25"/>
      <c r="V4300" s="25"/>
      <c r="W4300" s="25"/>
      <c r="X4300" s="25"/>
      <c r="Y4300" s="25"/>
      <c r="Z4300" s="25"/>
    </row>
    <row r="4301" spans="1:26" ht="52.5" customHeight="1" x14ac:dyDescent="0.25">
      <c r="A4301" s="25" t="str">
        <f ca="1">IFERROR(__xludf.DUMMYFUNCTION("""COMPUTED_VALUE"""),"Movil99")</f>
        <v>Movil99</v>
      </c>
      <c r="B4301" s="25" t="str">
        <f ca="1">IFERROR(__xludf.DUMMYFUNCTION("""COMPUTED_VALUE"""),"Asignación presupuestal proyectos estratégicos")</f>
        <v>Asignación presupuestal proyectos estratégicos</v>
      </c>
      <c r="C4301" s="55">
        <f ca="1">IFERROR(__xludf.DUMMYFUNCTION("""COMPUTED_VALUE"""),44579)</f>
        <v>44579</v>
      </c>
      <c r="D4301" s="25" t="str">
        <f ca="1">IFERROR(__xludf.DUMMYFUNCTION("""COMPUTED_VALUE"""),"Movilidad")</f>
        <v>Movilidad</v>
      </c>
      <c r="E4301" s="25" t="str">
        <f ca="1">IFERROR(__xludf.DUMMYFUNCTION("""COMPUTED_VALUE"""),"Instituto de Desarrollo Urbano")</f>
        <v>Instituto de Desarrollo Urbano</v>
      </c>
      <c r="F4301" s="25" t="str">
        <f ca="1">IFERROR(__xludf.DUMMYFUNCTION("""COMPUTED_VALUE"""),"En Ciclo Alameda priorizar por fases:
1. Tunal a Calle 26
2. NQS antes de cruzar la Castellana
3. Terminar en la 127
")</f>
        <v xml:space="preserve">En Ciclo Alameda priorizar por fases:
1. Tunal a Calle 26
2. NQS antes de cruzar la Castellana
3. Terminar en la 127
</v>
      </c>
      <c r="G4301" s="25" t="str">
        <f ca="1">IFERROR(__xludf.DUMMYFUNCTION("""COMPUTED_VALUE"""),"99. Distrito")</f>
        <v>99. Distrito</v>
      </c>
      <c r="H4301" s="55">
        <f ca="1">IFERROR(__xludf.DUMMYFUNCTION("""COMPUTED_VALUE"""),44609)</f>
        <v>44609</v>
      </c>
      <c r="I4301" s="25"/>
      <c r="J4301" s="55" t="str">
        <f ca="1">IFERROR(__xludf.DUMMYFUNCTION("""COMPUTED_VALUE"""),"Alta")</f>
        <v>Alta</v>
      </c>
      <c r="K4301" s="25">
        <f ca="1">IFERROR(__xludf.DUMMYFUNCTION("""COMPUTED_VALUE"""),30)</f>
        <v>30</v>
      </c>
      <c r="L4301" s="62">
        <f ca="1">IFERROR(__xludf.DUMMYFUNCTION("""COMPUTED_VALUE"""),44748)</f>
        <v>44748</v>
      </c>
      <c r="M4301" s="25" t="str">
        <f ca="1">IFERROR(__xludf.DUMMYFUNCTION("""COMPUTED_VALUE"""),"1. Se priorizaron los tramos 2 (calle 1 a calle 26) y tramo 3 ( calle 26 a calle 72), el consultor está revisando si se puede incluir parte del tramo 1 que no tenga problema de antejardines invadidos.
 2.El Consultor está revisando la nueva ubicación del "&amp;"Ciclo Puente para cruzar la NQS, ya que el Ciclo Puente ubicado en la factibilidad no cumple por interferencia sobre bienes de interés cultural.
 3. La Ciclo Alameda Medio Milenio tiene el trazado desde el parque el Tunal hasta la Calle 108, de la calle 1"&amp;"08 hasta la 129 es un proyecto adicional que se encuentra en fase de factibilidad en el Instituto.")</f>
        <v>1. Se priorizaron los tramos 2 (calle 1 a calle 26) y tramo 3 ( calle 26 a calle 72), el consultor está revisando si se puede incluir parte del tramo 1 que no tenga problema de antejardines invadidos.
 2.El Consultor está revisando la nueva ubicación del Ciclo Puente para cruzar la NQS, ya que el Ciclo Puente ubicado en la factibilidad no cumple por interferencia sobre bienes de interés cultural.
 3. La Ciclo Alameda Medio Milenio tiene el trazado desde el parque el Tunal hasta la Calle 108, de la calle 108 hasta la 129 es un proyecto adicional que se encuentra en fase de factibilidad en el Instituto.</v>
      </c>
      <c r="N4301" s="55">
        <f ca="1">IFERROR(__xludf.DUMMYFUNCTION("""COMPUTED_VALUE"""),44748)</f>
        <v>44748</v>
      </c>
      <c r="O4301" s="25" t="str">
        <f t="shared" ca="1" si="0"/>
        <v>Instituto de Desarrollo Urbano</v>
      </c>
      <c r="P4301" s="25" t="str">
        <f t="shared" si="2"/>
        <v/>
      </c>
      <c r="Q4301" s="25" t="str">
        <f ca="1">IFERROR(__xludf.DUMMYFUNCTION("""COMPUTED_VALUE"""),"Corto plazo")</f>
        <v>Corto plazo</v>
      </c>
      <c r="R4301" s="25"/>
      <c r="S4301" s="55"/>
      <c r="T4301" s="56"/>
      <c r="U4301" s="25"/>
      <c r="V4301" s="25"/>
      <c r="W4301" s="25"/>
      <c r="X4301" s="25"/>
      <c r="Y4301" s="25"/>
      <c r="Z4301" s="25"/>
    </row>
    <row r="4302" spans="1:26" ht="52.5" customHeight="1" x14ac:dyDescent="0.25">
      <c r="A4302" s="25" t="str">
        <f ca="1">IFERROR(__xludf.DUMMYFUNCTION("""COMPUTED_VALUE"""),"Movil100")</f>
        <v>Movil100</v>
      </c>
      <c r="B4302" s="25" t="str">
        <f ca="1">IFERROR(__xludf.DUMMYFUNCTION("""COMPUTED_VALUE"""),"Asignación presupuestal proyectos estratégicos")</f>
        <v>Asignación presupuestal proyectos estratégicos</v>
      </c>
      <c r="C4302" s="55">
        <f ca="1">IFERROR(__xludf.DUMMYFUNCTION("""COMPUTED_VALUE"""),44579)</f>
        <v>44579</v>
      </c>
      <c r="D4302" s="25" t="str">
        <f ca="1">IFERROR(__xludf.DUMMYFUNCTION("""COMPUTED_VALUE"""),"Movilidad")</f>
        <v>Movilidad</v>
      </c>
      <c r="E4302" s="25" t="str">
        <f ca="1">IFERROR(__xludf.DUMMYFUNCTION("""COMPUTED_VALUE"""),"Instituto de Desarrollo Urbano")</f>
        <v>Instituto de Desarrollo Urbano</v>
      </c>
      <c r="F4302" s="25" t="str">
        <f ca="1">IFERROR(__xludf.DUMMYFUNCTION("""COMPUTED_VALUE"""),"Definir un estimado de la fase 1 y fase 2 de Ciclo Alameda y poder retomar las conversaciones con Ecopetrol")</f>
        <v>Definir un estimado de la fase 1 y fase 2 de Ciclo Alameda y poder retomar las conversaciones con Ecopetrol</v>
      </c>
      <c r="G4302" s="25" t="str">
        <f ca="1">IFERROR(__xludf.DUMMYFUNCTION("""COMPUTED_VALUE"""),"99. Distrito")</f>
        <v>99. Distrito</v>
      </c>
      <c r="H4302" s="55">
        <f ca="1">IFERROR(__xludf.DUMMYFUNCTION("""COMPUTED_VALUE"""),44609)</f>
        <v>44609</v>
      </c>
      <c r="I4302" s="25"/>
      <c r="J4302" s="55" t="str">
        <f ca="1">IFERROR(__xludf.DUMMYFUNCTION("""COMPUTED_VALUE"""),"Alta")</f>
        <v>Alta</v>
      </c>
      <c r="K4302" s="25">
        <f ca="1">IFERROR(__xludf.DUMMYFUNCTION("""COMPUTED_VALUE"""),30)</f>
        <v>30</v>
      </c>
      <c r="L4302" s="62">
        <f ca="1">IFERROR(__xludf.DUMMYFUNCTION("""COMPUTED_VALUE"""),44748)</f>
        <v>44748</v>
      </c>
      <c r="M4302" s="25" t="str">
        <f ca="1">IFERROR(__xludf.DUMMYFUNCTION("""COMPUTED_VALUE"""),"El IDU presentará en el anteproyecto de 2023 los recursos disponibles para la construcción del puente. Actualmente el IDU está en proceso de contratación de los pilotes de prueba y el ajuste a los diseños del puente.")</f>
        <v>El IDU presentará en el anteproyecto de 2023 los recursos disponibles para la construcción del puente. Actualmente el IDU está en proceso de contratación de los pilotes de prueba y el ajuste a los diseños del puente.</v>
      </c>
      <c r="N4302" s="55">
        <f ca="1">IFERROR(__xludf.DUMMYFUNCTION("""COMPUTED_VALUE"""),44748)</f>
        <v>44748</v>
      </c>
      <c r="O4302" s="25" t="str">
        <f t="shared" ca="1" si="0"/>
        <v>Instituto de Desarrollo Urbano</v>
      </c>
      <c r="P4302" s="25" t="str">
        <f t="shared" si="2"/>
        <v/>
      </c>
      <c r="Q4302" s="25" t="str">
        <f ca="1">IFERROR(__xludf.DUMMYFUNCTION("""COMPUTED_VALUE"""),"Corto plazo")</f>
        <v>Corto plazo</v>
      </c>
      <c r="R4302" s="25"/>
      <c r="S4302" s="55"/>
      <c r="T4302" s="56"/>
      <c r="U4302" s="25"/>
      <c r="V4302" s="25"/>
      <c r="W4302" s="25"/>
      <c r="X4302" s="25"/>
      <c r="Y4302" s="25"/>
      <c r="Z4302" s="25"/>
    </row>
    <row r="4303" spans="1:26" ht="52.5" customHeight="1" x14ac:dyDescent="0.25">
      <c r="A4303" s="25" t="str">
        <f ca="1">IFERROR(__xludf.DUMMYFUNCTION("""COMPUTED_VALUE"""),"Movil101")</f>
        <v>Movil101</v>
      </c>
      <c r="B4303" s="25" t="str">
        <f ca="1">IFERROR(__xludf.DUMMYFUNCTION("""COMPUTED_VALUE"""),"Actuación estratégica Ciudadela del Cuidado")</f>
        <v>Actuación estratégica Ciudadela del Cuidado</v>
      </c>
      <c r="C4303" s="55">
        <f ca="1">IFERROR(__xludf.DUMMYFUNCTION("""COMPUTED_VALUE"""),44573)</f>
        <v>44573</v>
      </c>
      <c r="D4303" s="25" t="str">
        <f ca="1">IFERROR(__xludf.DUMMYFUNCTION("""COMPUTED_VALUE"""),"Movilidad")</f>
        <v>Movilidad</v>
      </c>
      <c r="E4303" s="25" t="str">
        <f ca="1">IFERROR(__xludf.DUMMYFUNCTION("""COMPUTED_VALUE"""),"Secretaría Distrital de Movilidad")</f>
        <v>Secretaría Distrital de Movilidad</v>
      </c>
      <c r="F4303" s="25" t="str">
        <f ca="1">IFERROR(__xludf.DUMMYFUNCTION("""COMPUTED_VALUE"""),"Confirmar perfil de la vía que se necesita sobre la actuación estratégica ciudadela del cuidado.")</f>
        <v>Confirmar perfil de la vía que se necesita sobre la actuación estratégica ciudadela del cuidado.</v>
      </c>
      <c r="G4303" s="25" t="str">
        <f ca="1">IFERROR(__xludf.DUMMYFUNCTION("""COMPUTED_VALUE"""),"99. Distrito")</f>
        <v>99. Distrito</v>
      </c>
      <c r="H4303" s="55">
        <f ca="1">IFERROR(__xludf.DUMMYFUNCTION("""COMPUTED_VALUE"""),44603)</f>
        <v>44603</v>
      </c>
      <c r="I4303" s="25"/>
      <c r="J4303" s="55" t="str">
        <f ca="1">IFERROR(__xludf.DUMMYFUNCTION("""COMPUTED_VALUE"""),"Alta")</f>
        <v>Alta</v>
      </c>
      <c r="K4303" s="25">
        <f ca="1">IFERROR(__xludf.DUMMYFUNCTION("""COMPUTED_VALUE"""),30)</f>
        <v>30</v>
      </c>
      <c r="L4303" s="62"/>
      <c r="M4303" s="25" t="str">
        <f ca="1">IFERROR(__xludf.DUMMYFUNCTION("""COMPUTED_VALUE"""),"Esta actividad ya fue reportada como cumplida y en el reporte anterior aparecía cerrada.")</f>
        <v>Esta actividad ya fue reportada como cumplida y en el reporte anterior aparecía cerrada.</v>
      </c>
      <c r="N4303" s="55">
        <f ca="1">IFERROR(__xludf.DUMMYFUNCTION("""COMPUTED_VALUE"""),44927)</f>
        <v>44927</v>
      </c>
      <c r="O4303" s="25" t="str">
        <f t="shared" ca="1" si="0"/>
        <v>Secretaría Distrital de Movilidad</v>
      </c>
      <c r="P4303" s="25" t="str">
        <f t="shared" si="2"/>
        <v/>
      </c>
      <c r="Q4303" s="25" t="str">
        <f ca="1">IFERROR(__xludf.DUMMYFUNCTION("""COMPUTED_VALUE"""),"Corto plazo")</f>
        <v>Corto plazo</v>
      </c>
      <c r="R4303" s="25"/>
      <c r="S4303" s="55"/>
      <c r="T4303" s="56"/>
      <c r="U4303" s="25"/>
      <c r="V4303" s="25"/>
      <c r="W4303" s="25"/>
      <c r="X4303" s="25"/>
      <c r="Y4303" s="25"/>
      <c r="Z4303" s="25"/>
    </row>
    <row r="4304" spans="1:26" ht="52.5" customHeight="1" x14ac:dyDescent="0.25">
      <c r="A4304" s="25" t="str">
        <f ca="1">IFERROR(__xludf.DUMMYFUNCTION("""COMPUTED_VALUE"""),"Movil102")</f>
        <v>Movil102</v>
      </c>
      <c r="B4304" s="25" t="str">
        <f ca="1">IFERROR(__xludf.DUMMYFUNCTION("""COMPUTED_VALUE"""),"Consejo Distrital de Seguridad")</f>
        <v>Consejo Distrital de Seguridad</v>
      </c>
      <c r="C4304" s="55">
        <f ca="1">IFERROR(__xludf.DUMMYFUNCTION("""COMPUTED_VALUE"""),44573)</f>
        <v>44573</v>
      </c>
      <c r="D4304" s="25" t="str">
        <f ca="1">IFERROR(__xludf.DUMMYFUNCTION("""COMPUTED_VALUE"""),"Movilidad")</f>
        <v>Movilidad</v>
      </c>
      <c r="E4304" s="25" t="str">
        <f ca="1">IFERROR(__xludf.DUMMYFUNCTION("""COMPUTED_VALUE"""),"Empresa de Transporte del Tercer Milenio - Transmilenio S.A.")</f>
        <v>Empresa de Transporte del Tercer Milenio - Transmilenio S.A.</v>
      </c>
      <c r="F4304" s="25" t="str">
        <f ca="1">IFERROR(__xludf.DUMMYFUNCTION("""COMPUTED_VALUE"""),"Meter en las condiciones de los contratos de seguridad de tmsa (con empresas y con cada persona específica) que los gestores y la seguridad privada se debe encargar de no dejar que entren colados. 
La reducción de colados debe ser un indicador del trabaj"&amp;"o de las empresas contratadas,
")</f>
        <v xml:space="preserve">Meter en las condiciones de los contratos de seguridad de tmsa (con empresas y con cada persona específica) que los gestores y la seguridad privada se debe encargar de no dejar que entren colados. 
La reducción de colados debe ser un indicador del trabajo de las empresas contratadas,
</v>
      </c>
      <c r="G4304" s="25" t="str">
        <f ca="1">IFERROR(__xludf.DUMMYFUNCTION("""COMPUTED_VALUE"""),"99. Distrito")</f>
        <v>99. Distrito</v>
      </c>
      <c r="H4304" s="55">
        <f ca="1">IFERROR(__xludf.DUMMYFUNCTION("""COMPUTED_VALUE"""),44603)</f>
        <v>44603</v>
      </c>
      <c r="I4304" s="25"/>
      <c r="J4304" s="55" t="str">
        <f ca="1">IFERROR(__xludf.DUMMYFUNCTION("""COMPUTED_VALUE"""),"Alta")</f>
        <v>Alta</v>
      </c>
      <c r="K4304" s="25">
        <f ca="1">IFERROR(__xludf.DUMMYFUNCTION("""COMPUTED_VALUE"""),30)</f>
        <v>30</v>
      </c>
      <c r="L4304" s="62">
        <f ca="1">IFERROR(__xludf.DUMMYFUNCTION("""COMPUTED_VALUE"""),44635)</f>
        <v>44635</v>
      </c>
      <c r="M4304" s="25" t="str">
        <f ca="1">IFERROR(__xludf.DUMMYFUNCTION("""COMPUTED_VALUE"""),"TRANSMILENIO S.A. se encuentra en proceso de contratación de su Esquema de Regulación Antievasión. Este esquema tiene como objetivo adelantar un control directo de torniquetes, BCA de discapacidad y puertas laterales en coordinación con los Gestores de Co"&amp;"nvivencia de TRANSMILENIO, Grupo de Transporte Masivo de la Policía Metropolitana de Bogotá y el componente de vigilancia y seguridad privada. Los primeros 53 Reguladores empezaron a desempeñar sus funciones el día 3 de julio de 2022 y para el mes de agos"&amp;"to se espera contar con el equipo en total operación para iniciar el desmonte gradual de los esquemas antievasión a cargo de la vigilancia privada. La implementación y despliegue de estos esquemas es monitoreada por TRANSMILENIO SA. a través del seguimien"&amp;"to de las cifras de ingresos y egresos al componente troncal. Preliminarmente se ha evidenciado que existe
heterogeneidad en la respuesta de las validaciones ya que hay estaciones responsivas y otras donde se observan variaciones.")</f>
        <v>TRANSMILENIO S.A. se encuentra en proceso de contratación de su Esquema de Regulación Antievasión. Este esquema tiene como objetivo adelantar un control directo de torniquetes, BCA de discapacidad y puertas laterales en coordinación con los Gestores de Convivencia de TRANSMILENIO, Grupo de Transporte Masivo de la Policía Metropolitana de Bogotá y el componente de vigilancia y seguridad privada. Los primeros 53 Reguladores empezaron a desempeñar sus funciones el día 3 de julio de 2022 y para el mes de agosto se espera contar con el equipo en total operación para iniciar el desmonte gradual de los esquemas antievasión a cargo de la vigilancia privada. La implementación y despliegue de estos esquemas es monitoreada por TRANSMILENIO SA. a través del seguimiento de las cifras de ingresos y egresos al componente troncal. Preliminarmente se ha evidenciado que existe
heterogeneidad en la respuesta de las validaciones ya que hay estaciones responsivas y otras donde se observan variaciones.</v>
      </c>
      <c r="N4304" s="55">
        <f ca="1">IFERROR(__xludf.DUMMYFUNCTION("""COMPUTED_VALUE"""),44635)</f>
        <v>44635</v>
      </c>
      <c r="O4304" s="25" t="str">
        <f t="shared" ca="1" si="0"/>
        <v>Empresa de Transporte del Tercer Milenio - Transmilenio S.A.</v>
      </c>
      <c r="P4304" s="25" t="str">
        <f t="shared" si="2"/>
        <v/>
      </c>
      <c r="Q4304" s="25" t="str">
        <f ca="1">IFERROR(__xludf.DUMMYFUNCTION("""COMPUTED_VALUE"""),"Corto plazo")</f>
        <v>Corto plazo</v>
      </c>
      <c r="R4304" s="25"/>
      <c r="S4304" s="55"/>
      <c r="T4304" s="56"/>
      <c r="U4304" s="25"/>
      <c r="V4304" s="25"/>
      <c r="W4304" s="25"/>
      <c r="X4304" s="25"/>
      <c r="Y4304" s="25"/>
      <c r="Z4304" s="25"/>
    </row>
    <row r="4305" spans="1:26" ht="52.5" customHeight="1" x14ac:dyDescent="0.25">
      <c r="A4305" s="25" t="str">
        <f ca="1">IFERROR(__xludf.DUMMYFUNCTION("""COMPUTED_VALUE"""),"Movil103")</f>
        <v>Movil103</v>
      </c>
      <c r="B4305" s="25" t="str">
        <f ca="1">IFERROR(__xludf.DUMMYFUNCTION("""COMPUTED_VALUE"""),"Junta de infraestructura")</f>
        <v>Junta de infraestructura</v>
      </c>
      <c r="C4305" s="55">
        <f ca="1">IFERROR(__xludf.DUMMYFUNCTION("""COMPUTED_VALUE"""),44566)</f>
        <v>44566</v>
      </c>
      <c r="D4305" s="25" t="str">
        <f ca="1">IFERROR(__xludf.DUMMYFUNCTION("""COMPUTED_VALUE"""),"Movilidad")</f>
        <v>Movilidad</v>
      </c>
      <c r="E4305" s="25" t="str">
        <f ca="1">IFERROR(__xludf.DUMMYFUNCTION("""COMPUTED_VALUE"""),"Instituto de Desarrollo Urbano")</f>
        <v>Instituto de Desarrollo Urbano</v>
      </c>
      <c r="F4305" s="25" t="str">
        <f ca="1">IFERROR(__xludf.DUMMYFUNCTION("""COMPUTED_VALUE"""),"El contratista de la ampliación de la Av. Caracas debe enviar el listado de trabajadores que harán labores en el sector de la Picota al INPEC a más tardar el 31 de enero ")</f>
        <v xml:space="preserve">El contratista de la ampliación de la Av. Caracas debe enviar el listado de trabajadores que harán labores en el sector de la Picota al INPEC a más tardar el 31 de enero </v>
      </c>
      <c r="G4305" s="25" t="str">
        <f ca="1">IFERROR(__xludf.DUMMYFUNCTION("""COMPUTED_VALUE"""),"99. Distrito")</f>
        <v>99. Distrito</v>
      </c>
      <c r="H4305" s="55">
        <f ca="1">IFERROR(__xludf.DUMMYFUNCTION("""COMPUTED_VALUE"""),44596)</f>
        <v>44596</v>
      </c>
      <c r="I4305" s="25"/>
      <c r="J4305" s="55" t="str">
        <f ca="1">IFERROR(__xludf.DUMMYFUNCTION("""COMPUTED_VALUE"""),"Alta")</f>
        <v>Alta</v>
      </c>
      <c r="K4305" s="25">
        <f ca="1">IFERROR(__xludf.DUMMYFUNCTION("""COMPUTED_VALUE"""),30)</f>
        <v>30</v>
      </c>
      <c r="L4305" s="62">
        <f ca="1">IFERROR(__xludf.DUMMYFUNCTION("""COMPUTED_VALUE"""),44657)</f>
        <v>44657</v>
      </c>
      <c r="M4305" s="25" t="str">
        <f ca="1">IFERROR(__xludf.DUMMYFUNCTION("""COMPUTED_VALUE"""),"Cumplido")</f>
        <v>Cumplido</v>
      </c>
      <c r="N4305" s="55">
        <f ca="1">IFERROR(__xludf.DUMMYFUNCTION("""COMPUTED_VALUE"""),44657)</f>
        <v>44657</v>
      </c>
      <c r="O4305" s="25" t="str">
        <f t="shared" ca="1" si="0"/>
        <v>Instituto de Desarrollo Urbano</v>
      </c>
      <c r="P4305" s="25" t="str">
        <f t="shared" si="2"/>
        <v/>
      </c>
      <c r="Q4305" s="25" t="str">
        <f ca="1">IFERROR(__xludf.DUMMYFUNCTION("""COMPUTED_VALUE"""),"Corto plazo")</f>
        <v>Corto plazo</v>
      </c>
      <c r="R4305" s="25"/>
      <c r="S4305" s="55"/>
      <c r="T4305" s="56"/>
      <c r="U4305" s="25"/>
      <c r="V4305" s="25"/>
      <c r="W4305" s="25"/>
      <c r="X4305" s="25"/>
      <c r="Y4305" s="25"/>
      <c r="Z4305" s="25"/>
    </row>
    <row r="4306" spans="1:26" ht="52.5" customHeight="1" x14ac:dyDescent="0.25">
      <c r="A4306" s="25" t="str">
        <f ca="1">IFERROR(__xludf.DUMMYFUNCTION("""COMPUTED_VALUE"""),"Movil104")</f>
        <v>Movil104</v>
      </c>
      <c r="B4306" s="25" t="str">
        <f ca="1">IFERROR(__xludf.DUMMYFUNCTION("""COMPUTED_VALUE"""),"Revisión tablero mantenimiento vial
")</f>
        <v xml:space="preserve">Revisión tablero mantenimiento vial
</v>
      </c>
      <c r="C4306" s="55">
        <f ca="1">IFERROR(__xludf.DUMMYFUNCTION("""COMPUTED_VALUE"""),44560)</f>
        <v>44560</v>
      </c>
      <c r="D4306" s="25" t="str">
        <f ca="1">IFERROR(__xludf.DUMMYFUNCTION("""COMPUTED_VALUE"""),"Movilidad")</f>
        <v>Movilidad</v>
      </c>
      <c r="E4306" s="25" t="str">
        <f ca="1">IFERROR(__xludf.DUMMYFUNCTION("""COMPUTED_VALUE"""),"Secretaría Distrital de Movilidad")</f>
        <v>Secretaría Distrital de Movilidad</v>
      </c>
      <c r="F4306" s="25" t="str">
        <f ca="1">IFERROR(__xludf.DUMMYFUNCTION("""COMPUTED_VALUE"""),"Sacar una circular para los PMT de bajo y mediano impacto sean 24 horas")</f>
        <v>Sacar una circular para los PMT de bajo y mediano impacto sean 24 horas</v>
      </c>
      <c r="G4306" s="25" t="str">
        <f ca="1">IFERROR(__xludf.DUMMYFUNCTION("""COMPUTED_VALUE"""),"99. Distrito")</f>
        <v>99. Distrito</v>
      </c>
      <c r="H4306" s="55">
        <f ca="1">IFERROR(__xludf.DUMMYFUNCTION("""COMPUTED_VALUE"""),44590)</f>
        <v>44590</v>
      </c>
      <c r="I4306" s="25"/>
      <c r="J4306" s="55" t="str">
        <f ca="1">IFERROR(__xludf.DUMMYFUNCTION("""COMPUTED_VALUE"""),"Alta")</f>
        <v>Alta</v>
      </c>
      <c r="K4306" s="25">
        <f ca="1">IFERROR(__xludf.DUMMYFUNCTION("""COMPUTED_VALUE"""),30)</f>
        <v>30</v>
      </c>
      <c r="L4306" s="62">
        <f ca="1">IFERROR(__xludf.DUMMYFUNCTION("""COMPUTED_VALUE"""),44865)</f>
        <v>44865</v>
      </c>
      <c r="M4306" s="25" t="str">
        <f ca="1">IFERROR(__xludf.DUMMYFUNCTION("""COMPUTED_VALUE"""),"De acuerdo a la reunión con la Alcaldía Mayor, la responsabilidad de aprobar y dar los lineamientos de este trámite es la Secretaría Distrital de Movilidad.
Se aprobaron PMT 24 horas para vías locales e intermedias  bajo el programa Plan Choque a quienes"&amp;" lo requirieron.")</f>
        <v>De acuerdo a la reunión con la Alcaldía Mayor, la responsabilidad de aprobar y dar los lineamientos de este trámite es la Secretaría Distrital de Movilidad.
Se aprobaron PMT 24 horas para vías locales e intermedias  bajo el programa Plan Choque a quienes lo requirieron.</v>
      </c>
      <c r="N4306" s="55">
        <f ca="1">IFERROR(__xludf.DUMMYFUNCTION("""COMPUTED_VALUE"""),44865)</f>
        <v>44865</v>
      </c>
      <c r="O4306" s="25" t="str">
        <f t="shared" ca="1" si="0"/>
        <v>Secretaría Distrital de Movilidad</v>
      </c>
      <c r="P4306" s="25" t="str">
        <f t="shared" si="2"/>
        <v/>
      </c>
      <c r="Q4306" s="25" t="str">
        <f ca="1">IFERROR(__xludf.DUMMYFUNCTION("""COMPUTED_VALUE"""),"Corto plazo")</f>
        <v>Corto plazo</v>
      </c>
      <c r="R4306" s="25"/>
      <c r="S4306" s="55"/>
      <c r="T4306" s="56"/>
      <c r="U4306" s="25"/>
      <c r="V4306" s="25"/>
      <c r="W4306" s="25"/>
      <c r="X4306" s="25"/>
      <c r="Y4306" s="25"/>
      <c r="Z4306" s="25"/>
    </row>
    <row r="4307" spans="1:26" ht="52.5" customHeight="1" x14ac:dyDescent="0.25">
      <c r="A4307" s="25" t="str">
        <f ca="1">IFERROR(__xludf.DUMMYFUNCTION("""COMPUTED_VALUE"""),"Movil105")</f>
        <v>Movil105</v>
      </c>
      <c r="B4307" s="25" t="str">
        <f ca="1">IFERROR(__xludf.DUMMYFUNCTION("""COMPUTED_VALUE"""),"Revisión tablero mantenimiento vial
")</f>
        <v xml:space="preserve">Revisión tablero mantenimiento vial
</v>
      </c>
      <c r="C4307" s="55">
        <f ca="1">IFERROR(__xludf.DUMMYFUNCTION("""COMPUTED_VALUE"""),44560)</f>
        <v>44560</v>
      </c>
      <c r="D4307" s="25" t="str">
        <f ca="1">IFERROR(__xludf.DUMMYFUNCTION("""COMPUTED_VALUE"""),"Movilidad")</f>
        <v>Movilidad</v>
      </c>
      <c r="E4307" s="25" t="str">
        <f ca="1">IFERROR(__xludf.DUMMYFUNCTION("""COMPUTED_VALUE"""),"Unidad Administrativa Especial de Rehabilitación y Mantenimiento Vial")</f>
        <v>Unidad Administrativa Especial de Rehabilitación y Mantenimiento Vial</v>
      </c>
      <c r="F4307" s="25" t="str">
        <f ca="1">IFERROR(__xludf.DUMMYFUNCTION("""COMPUTED_VALUE"""),"Actualizar el tablero de control con las fotos de las intervenciones")</f>
        <v>Actualizar el tablero de control con las fotos de las intervenciones</v>
      </c>
      <c r="G4307" s="25" t="str">
        <f ca="1">IFERROR(__xludf.DUMMYFUNCTION("""COMPUTED_VALUE"""),"99. Distrito")</f>
        <v>99. Distrito</v>
      </c>
      <c r="H4307" s="55">
        <f ca="1">IFERROR(__xludf.DUMMYFUNCTION("""COMPUTED_VALUE"""),44590)</f>
        <v>44590</v>
      </c>
      <c r="I4307" s="25"/>
      <c r="J4307" s="55" t="str">
        <f ca="1">IFERROR(__xludf.DUMMYFUNCTION("""COMPUTED_VALUE"""),"Alta")</f>
        <v>Alta</v>
      </c>
      <c r="K4307" s="25">
        <f ca="1">IFERROR(__xludf.DUMMYFUNCTION("""COMPUTED_VALUE"""),30)</f>
        <v>30</v>
      </c>
      <c r="L4307" s="62">
        <f ca="1">IFERROR(__xludf.DUMMYFUNCTION("""COMPUTED_VALUE"""),44607)</f>
        <v>44607</v>
      </c>
      <c r="M4307" s="25" t="str">
        <f ca="1">IFERROR(__xludf.DUMMYFUNCTION("""COMPUTED_VALUE"""),"Durante el mes de febrero de 2022, se realizó la actualización del tablero de control, de acuerdo al compromiso y se finalizó con el plan de choque.")</f>
        <v>Durante el mes de febrero de 2022, se realizó la actualización del tablero de control, de acuerdo al compromiso y se finalizó con el plan de choque.</v>
      </c>
      <c r="N4307" s="55">
        <f ca="1">IFERROR(__xludf.DUMMYFUNCTION("""COMPUTED_VALUE"""),44607)</f>
        <v>44607</v>
      </c>
      <c r="O4307" s="25" t="str">
        <f t="shared" ca="1" si="0"/>
        <v>Unidad Administrativa Especial de Rehabilitación y Mantenimiento Vial</v>
      </c>
      <c r="P4307" s="25" t="str">
        <f t="shared" si="2"/>
        <v/>
      </c>
      <c r="Q4307" s="25" t="str">
        <f ca="1">IFERROR(__xludf.DUMMYFUNCTION("""COMPUTED_VALUE"""),"Corto plazo")</f>
        <v>Corto plazo</v>
      </c>
      <c r="R4307" s="25"/>
      <c r="S4307" s="55"/>
      <c r="T4307" s="56"/>
      <c r="U4307" s="25"/>
      <c r="V4307" s="25"/>
      <c r="W4307" s="25"/>
      <c r="X4307" s="25"/>
      <c r="Y4307" s="25"/>
      <c r="Z4307" s="25"/>
    </row>
    <row r="4308" spans="1:26" ht="52.5" customHeight="1" x14ac:dyDescent="0.25">
      <c r="A4308" s="25" t="str">
        <f ca="1">IFERROR(__xludf.DUMMYFUNCTION("""COMPUTED_VALUE"""),"Movil106")</f>
        <v>Movil106</v>
      </c>
      <c r="B4308" s="25" t="str">
        <f ca="1">IFERROR(__xludf.DUMMYFUNCTION("""COMPUTED_VALUE"""),"Consejo Distrital de Seguridad")</f>
        <v>Consejo Distrital de Seguridad</v>
      </c>
      <c r="C4308" s="55">
        <f ca="1">IFERROR(__xludf.DUMMYFUNCTION("""COMPUTED_VALUE"""),44537)</f>
        <v>44537</v>
      </c>
      <c r="D4308" s="25" t="str">
        <f ca="1">IFERROR(__xludf.DUMMYFUNCTION("""COMPUTED_VALUE"""),"Movilidad")</f>
        <v>Movilidad</v>
      </c>
      <c r="E4308" s="25" t="str">
        <f ca="1">IFERROR(__xludf.DUMMYFUNCTION("""COMPUTED_VALUE"""),"Secretaría Distrital de Movilidad")</f>
        <v>Secretaría Distrital de Movilidad</v>
      </c>
      <c r="F4308" s="25" t="str">
        <f ca="1">IFERROR(__xludf.DUMMYFUNCTION("""COMPUTED_VALUE"""),"Entregar un reporte del avance de los compromisos
adquiridos en el Consejo de Seguridad sobre bicitaxis")</f>
        <v>Entregar un reporte del avance de los compromisos
adquiridos en el Consejo de Seguridad sobre bicitaxis</v>
      </c>
      <c r="G4308" s="25" t="str">
        <f ca="1">IFERROR(__xludf.DUMMYFUNCTION("""COMPUTED_VALUE"""),"99. Distrito")</f>
        <v>99. Distrito</v>
      </c>
      <c r="H4308" s="55">
        <f ca="1">IFERROR(__xludf.DUMMYFUNCTION("""COMPUTED_VALUE"""),44567)</f>
        <v>44567</v>
      </c>
      <c r="I4308" s="25"/>
      <c r="J4308" s="55" t="str">
        <f ca="1">IFERROR(__xludf.DUMMYFUNCTION("""COMPUTED_VALUE"""),"Alta")</f>
        <v>Alta</v>
      </c>
      <c r="K4308" s="25">
        <f ca="1">IFERROR(__xludf.DUMMYFUNCTION("""COMPUTED_VALUE"""),30)</f>
        <v>30</v>
      </c>
      <c r="L4308" s="62">
        <f ca="1">IFERROR(__xludf.DUMMYFUNCTION("""COMPUTED_VALUE"""),44592)</f>
        <v>44592</v>
      </c>
      <c r="M4308" s="25" t="str">
        <f ca="1">IFERROR(__xludf.DUMMYFUNCTION("""COMPUTED_VALUE"""),"Semanalmente se remite una presentación con los resultados de control a Tricimotos. Para el año de 2021 se impusieron 488 órdenes de comparendo, 472 inmovilizados, 698 vehículos socializados, 90 zonas intervenidas, 93 operativos programados y 65 solicitud"&amp;"es atendidas. Para el mes de enero se han impuesto 33 órdenes de comparendo e inmovilizado a 30 tricimotos.")</f>
        <v>Semanalmente se remite una presentación con los resultados de control a Tricimotos. Para el año de 2021 se impusieron 488 órdenes de comparendo, 472 inmovilizados, 698 vehículos socializados, 90 zonas intervenidas, 93 operativos programados y 65 solicitudes atendidas. Para el mes de enero se han impuesto 33 órdenes de comparendo e inmovilizado a 30 tricimotos.</v>
      </c>
      <c r="N4308" s="55">
        <f ca="1">IFERROR(__xludf.DUMMYFUNCTION("""COMPUTED_VALUE"""),44592)</f>
        <v>44592</v>
      </c>
      <c r="O4308" s="25" t="str">
        <f t="shared" ca="1" si="0"/>
        <v>Secretaría Distrital de Movilidad</v>
      </c>
      <c r="P4308" s="25" t="str">
        <f t="shared" si="2"/>
        <v/>
      </c>
      <c r="Q4308" s="25" t="str">
        <f ca="1">IFERROR(__xludf.DUMMYFUNCTION("""COMPUTED_VALUE"""),"Corto plazo")</f>
        <v>Corto plazo</v>
      </c>
      <c r="R4308" s="25"/>
      <c r="S4308" s="55"/>
      <c r="T4308" s="56"/>
      <c r="U4308" s="25"/>
      <c r="V4308" s="25"/>
      <c r="W4308" s="25"/>
      <c r="X4308" s="25"/>
      <c r="Y4308" s="25"/>
      <c r="Z4308" s="25"/>
    </row>
    <row r="4309" spans="1:26" ht="52.5" customHeight="1" x14ac:dyDescent="0.25">
      <c r="A4309" s="25" t="str">
        <f ca="1">IFERROR(__xludf.DUMMYFUNCTION("""COMPUTED_VALUE"""),"Movil107")</f>
        <v>Movil107</v>
      </c>
      <c r="B4309" s="25" t="str">
        <f ca="1">IFERROR(__xludf.DUMMYFUNCTION("""COMPUTED_VALUE"""),"Consejo Distrital de Seguridad")</f>
        <v>Consejo Distrital de Seguridad</v>
      </c>
      <c r="C4309" s="55">
        <f ca="1">IFERROR(__xludf.DUMMYFUNCTION("""COMPUTED_VALUE"""),44537)</f>
        <v>44537</v>
      </c>
      <c r="D4309" s="25" t="str">
        <f ca="1">IFERROR(__xludf.DUMMYFUNCTION("""COMPUTED_VALUE"""),"Movilidad")</f>
        <v>Movilidad</v>
      </c>
      <c r="E4309" s="25" t="str">
        <f ca="1">IFERROR(__xludf.DUMMYFUNCTION("""COMPUTED_VALUE"""),"Empresa de Transporte del Tercer Milenio - Transmilenio S.A.")</f>
        <v>Empresa de Transporte del Tercer Milenio - Transmilenio S.A.</v>
      </c>
      <c r="F4309" s="25" t="str">
        <f ca="1">IFERROR(__xludf.DUMMYFUNCTION("""COMPUTED_VALUE"""),"Desarrollar una estrategia para disminuir la cantidad de
personas coladas en el TransMilenio. Estas personas deben
ser denunciadas por hurto y se debe coordinar con la
seguridad privada del sistema y la policía dispuesta para el
mismo")</f>
        <v>Desarrollar una estrategia para disminuir la cantidad de
personas coladas en el TransMilenio. Estas personas deben
ser denunciadas por hurto y se debe coordinar con la
seguridad privada del sistema y la policía dispuesta para el
mismo</v>
      </c>
      <c r="G4309" s="25" t="str">
        <f ca="1">IFERROR(__xludf.DUMMYFUNCTION("""COMPUTED_VALUE"""),"99. Distrito")</f>
        <v>99. Distrito</v>
      </c>
      <c r="H4309" s="55">
        <f ca="1">IFERROR(__xludf.DUMMYFUNCTION("""COMPUTED_VALUE"""),44567)</f>
        <v>44567</v>
      </c>
      <c r="I4309" s="25"/>
      <c r="J4309" s="55" t="str">
        <f ca="1">IFERROR(__xludf.DUMMYFUNCTION("""COMPUTED_VALUE"""),"Alta")</f>
        <v>Alta</v>
      </c>
      <c r="K4309" s="25">
        <f ca="1">IFERROR(__xludf.DUMMYFUNCTION("""COMPUTED_VALUE"""),30)</f>
        <v>30</v>
      </c>
      <c r="L4309" s="62">
        <f ca="1">IFERROR(__xludf.DUMMYFUNCTION("""COMPUTED_VALUE"""),44575)</f>
        <v>44575</v>
      </c>
      <c r="M4309" s="25" t="str">
        <f ca="1">IFERROR(__xludf.DUMMYFUNCTION("""COMPUTED_VALUE"""),"La estrategia de evasión con la que cuenta TRANSMILENIO está enmarcada en el Plan Estratégico Antievasión de la entidad. Dado que la evasión del pago del pasaje es un comportamiento contrario a la convivencia establecido en el Código de Convivencia y Segu"&amp;"ridad Ciudadana y no un delito tipificado en el Código Penal, este plan tiene como énfasis la reducción de los espacios de oportunidad y el cambio de los comportamientos relacionados con la evasión y el mal uso de los elementos de evasión. De cara a la re"&amp;"ducción de este comportamiento en el año en curso, se exploran medidas de modificación del Esquema de Vigilancia Privada (hacia esquemas más dinámicos en el componente troncal) y en la búsqueda activa de infractores recurrentes específicos en los entornos"&amp;" de mayor criticidad.")</f>
        <v>La estrategia de evasión con la que cuenta TRANSMILENIO está enmarcada en el Plan Estratégico Antievasión de la entidad. Dado que la evasión del pago del pasaje es un comportamiento contrario a la convivencia establecido en el Código de Convivencia y Seguridad Ciudadana y no un delito tipificado en el Código Penal, este plan tiene como énfasis la reducción de los espacios de oportunidad y el cambio de los comportamientos relacionados con la evasión y el mal uso de los elementos de evasión. De cara a la reducción de este comportamiento en el año en curso, se exploran medidas de modificación del Esquema de Vigilancia Privada (hacia esquemas más dinámicos en el componente troncal) y en la búsqueda activa de infractores recurrentes específicos en los entornos de mayor criticidad.</v>
      </c>
      <c r="N4309" s="55">
        <f ca="1">IFERROR(__xludf.DUMMYFUNCTION("""COMPUTED_VALUE"""),44575)</f>
        <v>44575</v>
      </c>
      <c r="O4309" s="25" t="str">
        <f t="shared" ca="1" si="0"/>
        <v>Empresa de Transporte del Tercer Milenio - Transmilenio S.A.</v>
      </c>
      <c r="P4309" s="25" t="str">
        <f t="shared" si="2"/>
        <v/>
      </c>
      <c r="Q4309" s="25" t="str">
        <f ca="1">IFERROR(__xludf.DUMMYFUNCTION("""COMPUTED_VALUE"""),"Corto plazo")</f>
        <v>Corto plazo</v>
      </c>
      <c r="R4309" s="25"/>
      <c r="S4309" s="55"/>
      <c r="T4309" s="56"/>
      <c r="U4309" s="25"/>
      <c r="V4309" s="25"/>
      <c r="W4309" s="25"/>
      <c r="X4309" s="25"/>
      <c r="Y4309" s="25"/>
      <c r="Z4309" s="25"/>
    </row>
    <row r="4310" spans="1:26" ht="52.5" customHeight="1" x14ac:dyDescent="0.25">
      <c r="A4310" s="25" t="str">
        <f ca="1">IFERROR(__xludf.DUMMYFUNCTION("""COMPUTED_VALUE"""),"Movil108")</f>
        <v>Movil108</v>
      </c>
      <c r="B4310" s="25" t="str">
        <f ca="1">IFERROR(__xludf.DUMMYFUNCTION("""COMPUTED_VALUE"""),"Revisión Trazado del cable
")</f>
        <v xml:space="preserve">Revisión Trazado del cable
</v>
      </c>
      <c r="C4310" s="55">
        <f ca="1">IFERROR(__xludf.DUMMYFUNCTION("""COMPUTED_VALUE"""),44536)</f>
        <v>44536</v>
      </c>
      <c r="D4310" s="25" t="str">
        <f ca="1">IFERROR(__xludf.DUMMYFUNCTION("""COMPUTED_VALUE"""),"Movilidad")</f>
        <v>Movilidad</v>
      </c>
      <c r="E4310" s="25" t="str">
        <f ca="1">IFERROR(__xludf.DUMMYFUNCTION("""COMPUTED_VALUE"""),"Instituto de Desarrollo Urbano")</f>
        <v>Instituto de Desarrollo Urbano</v>
      </c>
      <c r="F4310" s="25" t="str">
        <f ca="1">IFERROR(__xludf.DUMMYFUNCTION("""COMPUTED_VALUE"""),"Dejar el trazado final georeferenciado final del Cable con los ajustes indicados")</f>
        <v>Dejar el trazado final georeferenciado final del Cable con los ajustes indicados</v>
      </c>
      <c r="G4310" s="25" t="str">
        <f ca="1">IFERROR(__xludf.DUMMYFUNCTION("""COMPUTED_VALUE"""),"99. Distrito")</f>
        <v>99. Distrito</v>
      </c>
      <c r="H4310" s="55">
        <f ca="1">IFERROR(__xludf.DUMMYFUNCTION("""COMPUTED_VALUE"""),44566)</f>
        <v>44566</v>
      </c>
      <c r="I4310" s="25"/>
      <c r="J4310" s="55" t="str">
        <f ca="1">IFERROR(__xludf.DUMMYFUNCTION("""COMPUTED_VALUE"""),"Alta")</f>
        <v>Alta</v>
      </c>
      <c r="K4310" s="25">
        <f ca="1">IFERROR(__xludf.DUMMYFUNCTION("""COMPUTED_VALUE"""),30)</f>
        <v>30</v>
      </c>
      <c r="L4310" s="62">
        <f ca="1">IFERROR(__xludf.DUMMYFUNCTION("""COMPUTED_VALUE"""),44748)</f>
        <v>44748</v>
      </c>
      <c r="M4310" s="25" t="str">
        <f ca="1">IFERROR(__xludf.DUMMYFUNCTION("""COMPUTED_VALUE"""),"El trazado se ha entregado en archivos editables a la ERU, SDM, SDHT, IDT, IDPC, Universidad de Los Andes para su conocimiento y análisis en los temas de competencia de cada Entidad. Vale la pena mencionar que a medida que se adelantan los estudios se ent"&amp;"regan actualizaciones. Esta actividad está a cargo del IDU quien está desarrollando la prefactibilidad.")</f>
        <v>El trazado se ha entregado en archivos editables a la ERU, SDM, SDHT, IDT, IDPC, Universidad de Los Andes para su conocimiento y análisis en los temas de competencia de cada Entidad. Vale la pena mencionar que a medida que se adelantan los estudios se entregan actualizaciones. Esta actividad está a cargo del IDU quien está desarrollando la prefactibilidad.</v>
      </c>
      <c r="N4310" s="55">
        <f ca="1">IFERROR(__xludf.DUMMYFUNCTION("""COMPUTED_VALUE"""),44748)</f>
        <v>44748</v>
      </c>
      <c r="O4310" s="25" t="str">
        <f t="shared" ca="1" si="0"/>
        <v>Instituto de Desarrollo Urbano</v>
      </c>
      <c r="P4310" s="25" t="str">
        <f t="shared" si="2"/>
        <v/>
      </c>
      <c r="Q4310" s="25" t="str">
        <f ca="1">IFERROR(__xludf.DUMMYFUNCTION("""COMPUTED_VALUE"""),"Corto plazo")</f>
        <v>Corto plazo</v>
      </c>
      <c r="R4310" s="25"/>
      <c r="S4310" s="55"/>
      <c r="T4310" s="56"/>
      <c r="U4310" s="25"/>
      <c r="V4310" s="25"/>
      <c r="W4310" s="25"/>
      <c r="X4310" s="25"/>
      <c r="Y4310" s="25"/>
      <c r="Z4310" s="25"/>
    </row>
    <row r="4311" spans="1:26" ht="52.5" customHeight="1" x14ac:dyDescent="0.25">
      <c r="A4311" s="25" t="str">
        <f ca="1">IFERROR(__xludf.DUMMYFUNCTION("""COMPUTED_VALUE"""),"Movil109")</f>
        <v>Movil109</v>
      </c>
      <c r="B4311" s="25" t="str">
        <f ca="1">IFERROR(__xludf.DUMMYFUNCTION("""COMPUTED_VALUE"""),"Junta de infraestructura - Presupuesto")</f>
        <v>Junta de infraestructura - Presupuesto</v>
      </c>
      <c r="C4311" s="55">
        <f ca="1">IFERROR(__xludf.DUMMYFUNCTION("""COMPUTED_VALUE"""),44533)</f>
        <v>44533</v>
      </c>
      <c r="D4311" s="25" t="str">
        <f ca="1">IFERROR(__xludf.DUMMYFUNCTION("""COMPUTED_VALUE"""),"Movilidad")</f>
        <v>Movilidad</v>
      </c>
      <c r="E4311" s="25" t="str">
        <f ca="1">IFERROR(__xludf.DUMMYFUNCTION("""COMPUTED_VALUE"""),"Secretaría Distrital de Movilidad")</f>
        <v>Secretaría Distrital de Movilidad</v>
      </c>
      <c r="F4311" s="25" t="str">
        <f ca="1">IFERROR(__xludf.DUMMYFUNCTION("""COMPUTED_VALUE"""),"Definir planes alternativos, que comprendan la re-priorización de proyectos, de modo que se logre obtener los recursos requeridos para los proyectos estratégicos, en especial considerando los $1,6 billones de la SLMB")</f>
        <v>Definir planes alternativos, que comprendan la re-priorización de proyectos, de modo que se logre obtener los recursos requeridos para los proyectos estratégicos, en especial considerando los $1,6 billones de la SLMB</v>
      </c>
      <c r="G4311" s="25" t="str">
        <f ca="1">IFERROR(__xludf.DUMMYFUNCTION("""COMPUTED_VALUE"""),"99. Distrito")</f>
        <v>99. Distrito</v>
      </c>
      <c r="H4311" s="55">
        <f ca="1">IFERROR(__xludf.DUMMYFUNCTION("""COMPUTED_VALUE"""),44550)</f>
        <v>44550</v>
      </c>
      <c r="I4311" s="25"/>
      <c r="J4311" s="55" t="str">
        <f ca="1">IFERROR(__xludf.DUMMYFUNCTION("""COMPUTED_VALUE"""),"Alta")</f>
        <v>Alta</v>
      </c>
      <c r="K4311" s="25">
        <f ca="1">IFERROR(__xludf.DUMMYFUNCTION("""COMPUTED_VALUE"""),17)</f>
        <v>17</v>
      </c>
      <c r="L4311" s="62">
        <f ca="1">IFERROR(__xludf.DUMMYFUNCTION("""COMPUTED_VALUE"""),44657)</f>
        <v>44657</v>
      </c>
      <c r="M4311" s="25" t="str">
        <f ca="1">IFERROR(__xludf.DUMMYFUNCTION("""COMPUTED_VALUE"""),"La repriorización de proyectos de infraestructura se realizó por parte del IDU, conforme a lo solicitado por la Alcaldesa en febrero/22")</f>
        <v>La repriorización de proyectos de infraestructura se realizó por parte del IDU, conforme a lo solicitado por la Alcaldesa en febrero/22</v>
      </c>
      <c r="N4311" s="55">
        <f ca="1">IFERROR(__xludf.DUMMYFUNCTION("""COMPUTED_VALUE"""),44657)</f>
        <v>44657</v>
      </c>
      <c r="O4311" s="25" t="str">
        <f t="shared" ca="1" si="0"/>
        <v>Secretaría Distrital de Movilidad</v>
      </c>
      <c r="P4311" s="25" t="str">
        <f t="shared" si="2"/>
        <v/>
      </c>
      <c r="Q4311" s="25" t="str">
        <f ca="1">IFERROR(__xludf.DUMMYFUNCTION("""COMPUTED_VALUE"""),"Corto plazo")</f>
        <v>Corto plazo</v>
      </c>
      <c r="R4311" s="25"/>
      <c r="S4311" s="55"/>
      <c r="T4311" s="56"/>
      <c r="U4311" s="25"/>
      <c r="V4311" s="25"/>
      <c r="W4311" s="25"/>
      <c r="X4311" s="25"/>
      <c r="Y4311" s="25"/>
      <c r="Z4311" s="25"/>
    </row>
    <row r="4312" spans="1:26" ht="52.5" customHeight="1" x14ac:dyDescent="0.25">
      <c r="A4312" s="25" t="str">
        <f ca="1">IFERROR(__xludf.DUMMYFUNCTION("""COMPUTED_VALUE"""),"Movil110")</f>
        <v>Movil110</v>
      </c>
      <c r="B4312" s="25" t="str">
        <f ca="1">IFERROR(__xludf.DUMMYFUNCTION("""COMPUTED_VALUE"""),"Despachando Mebog ")</f>
        <v xml:space="preserve">Despachando Mebog </v>
      </c>
      <c r="C4312" s="55">
        <f ca="1">IFERROR(__xludf.DUMMYFUNCTION("""COMPUTED_VALUE"""),44518)</f>
        <v>44518</v>
      </c>
      <c r="D4312" s="25" t="str">
        <f ca="1">IFERROR(__xludf.DUMMYFUNCTION("""COMPUTED_VALUE"""),"Movilidad")</f>
        <v>Movilidad</v>
      </c>
      <c r="E4312" s="25" t="str">
        <f ca="1">IFERROR(__xludf.DUMMYFUNCTION("""COMPUTED_VALUE"""),"Secretaría Distrital de Movilidad")</f>
        <v>Secretaría Distrital de Movilidad</v>
      </c>
      <c r="F4312" s="25" t="str">
        <f ca="1">IFERROR(__xludf.DUMMYFUNCTION("""COMPUTED_VALUE"""),"Priorizar zonas residenciales para la implementación de la estrategia de parqueo en vía. Realizar pilotos sobre el tema para ver su efectividad.")</f>
        <v>Priorizar zonas residenciales para la implementación de la estrategia de parqueo en vía. Realizar pilotos sobre el tema para ver su efectividad.</v>
      </c>
      <c r="G4312" s="25" t="str">
        <f ca="1">IFERROR(__xludf.DUMMYFUNCTION("""COMPUTED_VALUE"""),"99. Distrito")</f>
        <v>99. Distrito</v>
      </c>
      <c r="H4312" s="55">
        <f ca="1">IFERROR(__xludf.DUMMYFUNCTION("""COMPUTED_VALUE"""),44548)</f>
        <v>44548</v>
      </c>
      <c r="I4312" s="25"/>
      <c r="J4312" s="55" t="str">
        <f ca="1">IFERROR(__xludf.DUMMYFUNCTION("""COMPUTED_VALUE"""),"Alta")</f>
        <v>Alta</v>
      </c>
      <c r="K4312" s="25">
        <f ca="1">IFERROR(__xludf.DUMMYFUNCTION("""COMPUTED_VALUE"""),30)</f>
        <v>30</v>
      </c>
      <c r="L4312" s="62">
        <f ca="1">IFERROR(__xludf.DUMMYFUNCTION("""COMPUTED_VALUE"""),44530)</f>
        <v>44530</v>
      </c>
      <c r="M4312" s="25" t="str">
        <f ca="1">IFERROR(__xludf.DUMMYFUNCTION("""COMPUTED_VALUE"""),"La expansión del estacionamiento en vía, incluyendo el número de cupos y las zonas, quedó establecido en el contrato 2470. Las áreas residenciales ya están siendo consideradas para la implementación del parqueo, los tramos que se estructuran dentro de las"&amp;" áreas para estacionamiento en vía deben cumplir los criterios establecidos en la resolución 369 de 2019 ""Por medio de la cual se definen los criterios técnicos para la habilitación de segmentos viales de estacionamiento sobre las vías públicas, en el ma"&amp;"rco del Sistema Inteligente de Estacionamientos, en Bogotá D.C."", de ser así podemos proceder con la habilitación, diseños, implementación y por último con la operación del sistema. Estas zonas residenciales ya son consideradas para ev
")</f>
        <v xml:space="preserve">La expansión del estacionamiento en vía, incluyendo el número de cupos y las zonas, quedó establecido en el contrato 2470. Las áreas residenciales ya están siendo consideradas para la implementación del parqueo, los tramos que se estructuran dentro de las áreas para estacionamiento en vía deben cumplir los criterios establecidos en la resolución 369 de 2019 "Por medio de la cual se definen los criterios técnicos para la habilitación de segmentos viales de estacionamiento sobre las vías públicas, en el marco del Sistema Inteligente de Estacionamientos, en Bogotá D.C.", de ser así podemos proceder con la habilitación, diseños, implementación y por último con la operación del sistema. Estas zonas residenciales ya son consideradas para ev
</v>
      </c>
      <c r="N4312" s="55">
        <f ca="1">IFERROR(__xludf.DUMMYFUNCTION("""COMPUTED_VALUE"""),44530)</f>
        <v>44530</v>
      </c>
      <c r="O4312" s="25" t="str">
        <f t="shared" ca="1" si="0"/>
        <v>Secretaría Distrital de Movilidad</v>
      </c>
      <c r="P4312" s="25" t="str">
        <f t="shared" si="2"/>
        <v/>
      </c>
      <c r="Q4312" s="25" t="str">
        <f ca="1">IFERROR(__xludf.DUMMYFUNCTION("""COMPUTED_VALUE"""),"Corto plazo")</f>
        <v>Corto plazo</v>
      </c>
      <c r="R4312" s="25"/>
      <c r="S4312" s="55"/>
      <c r="T4312" s="56"/>
      <c r="U4312" s="25"/>
      <c r="V4312" s="25"/>
      <c r="W4312" s="25"/>
      <c r="X4312" s="25"/>
      <c r="Y4312" s="25"/>
      <c r="Z4312" s="25"/>
    </row>
    <row r="4313" spans="1:26" ht="52.5" customHeight="1" x14ac:dyDescent="0.25">
      <c r="A4313" s="25" t="str">
        <f ca="1">IFERROR(__xludf.DUMMYFUNCTION("""COMPUTED_VALUE"""),"Movil111")</f>
        <v>Movil111</v>
      </c>
      <c r="B4313" s="25" t="str">
        <f ca="1">IFERROR(__xludf.DUMMYFUNCTION("""COMPUTED_VALUE"""),"Despachando Mebog ")</f>
        <v xml:space="preserve">Despachando Mebog </v>
      </c>
      <c r="C4313" s="55">
        <f ca="1">IFERROR(__xludf.DUMMYFUNCTION("""COMPUTED_VALUE"""),44518)</f>
        <v>44518</v>
      </c>
      <c r="D4313" s="25" t="str">
        <f ca="1">IFERROR(__xludf.DUMMYFUNCTION("""COMPUTED_VALUE"""),"Movilidad")</f>
        <v>Movilidad</v>
      </c>
      <c r="E4313" s="25" t="str">
        <f ca="1">IFERROR(__xludf.DUMMYFUNCTION("""COMPUTED_VALUE"""),"Instituto de Desarrollo Urbano")</f>
        <v>Instituto de Desarrollo Urbano</v>
      </c>
      <c r="F4313" s="25" t="str">
        <f ca="1">IFERROR(__xludf.DUMMYFUNCTION("""COMPUTED_VALUE"""),"Terminar la demolición de los lotes ubicados en la Calle 13, los cuales están siendo focos de consumo de estupefacientes y de comisión de delitos")</f>
        <v>Terminar la demolición de los lotes ubicados en la Calle 13, los cuales están siendo focos de consumo de estupefacientes y de comisión de delitos</v>
      </c>
      <c r="G4313" s="25" t="str">
        <f ca="1">IFERROR(__xludf.DUMMYFUNCTION("""COMPUTED_VALUE"""),"99. Distrito")</f>
        <v>99. Distrito</v>
      </c>
      <c r="H4313" s="55">
        <f ca="1">IFERROR(__xludf.DUMMYFUNCTION("""COMPUTED_VALUE"""),44548)</f>
        <v>44548</v>
      </c>
      <c r="I4313" s="25"/>
      <c r="J4313" s="55" t="str">
        <f ca="1">IFERROR(__xludf.DUMMYFUNCTION("""COMPUTED_VALUE"""),"Alta")</f>
        <v>Alta</v>
      </c>
      <c r="K4313" s="25">
        <f ca="1">IFERROR(__xludf.DUMMYFUNCTION("""COMPUTED_VALUE"""),30)</f>
        <v>30</v>
      </c>
      <c r="L4313" s="62">
        <f ca="1">IFERROR(__xludf.DUMMYFUNCTION("""COMPUTED_VALUE"""),44748)</f>
        <v>44748</v>
      </c>
      <c r="M4313" s="25" t="str">
        <f ca="1">IFERROR(__xludf.DUMMYFUNCTION("""COMPUTED_VALUE"""),"Predios pendientes de demoler a cargo del Instituto y la fecha probable de demolición: 
A la fecha se tiene pendientes 3 predios por demoler del proyecto Av. Centenario (predios recibidos vandalizados), ubicados en el Barrio San Pedro de los Robles. 
El 5"&amp;" de julio se realizó recorrido en la zona y con el nuevo Contrato IDU 520 2022 se tiene previsto realizar la demolición de los predios, una vez se legalice el PMT ante SMD y el PIN ante Secretaría de Ambiente.
El resto de predios a cargo del Instituto par"&amp;"a el Proyecto Av. Centenario en Fontibón están totalmente demolidos y con cerramiento.
Mantenimiento:
Los predios demolidos para el proyecto Av. Centenario en el Barrio San Pedro fueron objeto de mantenimiento y limpieza con finalización de actividades el"&amp;" 29 de junio.
Predios vandalizados no entregados al IDU:
A la fecha no hay predios vandalizados y  no evidencian amenaza o riesgo de colapso.")</f>
        <v>Predios pendientes de demoler a cargo del Instituto y la fecha probable de demolición: 
A la fecha se tiene pendientes 3 predios por demoler del proyecto Av. Centenario (predios recibidos vandalizados), ubicados en el Barrio San Pedro de los Robles. 
El 5 de julio se realizó recorrido en la zona y con el nuevo Contrato IDU 520 2022 se tiene previsto realizar la demolición de los predios, una vez se legalice el PMT ante SMD y el PIN ante Secretaría de Ambiente.
El resto de predios a cargo del Instituto para el Proyecto Av. Centenario en Fontibón están totalmente demolidos y con cerramiento.
Mantenimiento:
Los predios demolidos para el proyecto Av. Centenario en el Barrio San Pedro fueron objeto de mantenimiento y limpieza con finalización de actividades el 29 de junio.
Predios vandalizados no entregados al IDU:
A la fecha no hay predios vandalizados y  no evidencian amenaza o riesgo de colapso.</v>
      </c>
      <c r="N4313" s="55">
        <f ca="1">IFERROR(__xludf.DUMMYFUNCTION("""COMPUTED_VALUE"""),44748)</f>
        <v>44748</v>
      </c>
      <c r="O4313" s="25" t="str">
        <f t="shared" ca="1" si="0"/>
        <v>Instituto de Desarrollo Urbano</v>
      </c>
      <c r="P4313" s="25" t="str">
        <f t="shared" si="2"/>
        <v/>
      </c>
      <c r="Q4313" s="25" t="str">
        <f ca="1">IFERROR(__xludf.DUMMYFUNCTION("""COMPUTED_VALUE"""),"Corto plazo")</f>
        <v>Corto plazo</v>
      </c>
      <c r="R4313" s="25"/>
      <c r="S4313" s="55"/>
      <c r="T4313" s="56"/>
      <c r="U4313" s="25"/>
      <c r="V4313" s="25"/>
      <c r="W4313" s="25"/>
      <c r="X4313" s="25"/>
      <c r="Y4313" s="25"/>
      <c r="Z4313" s="25"/>
    </row>
    <row r="4314" spans="1:26" ht="52.5" customHeight="1" x14ac:dyDescent="0.25">
      <c r="A4314" s="25" t="str">
        <f ca="1">IFERROR(__xludf.DUMMYFUNCTION("""COMPUTED_VALUE"""),"Movil112")</f>
        <v>Movil112</v>
      </c>
      <c r="B4314" s="25" t="str">
        <f ca="1">IFERROR(__xludf.DUMMYFUNCTION("""COMPUTED_VALUE"""),"Despachando Mebog ")</f>
        <v xml:space="preserve">Despachando Mebog </v>
      </c>
      <c r="C4314" s="55">
        <f ca="1">IFERROR(__xludf.DUMMYFUNCTION("""COMPUTED_VALUE"""),44518)</f>
        <v>44518</v>
      </c>
      <c r="D4314" s="25" t="str">
        <f ca="1">IFERROR(__xludf.DUMMYFUNCTION("""COMPUTED_VALUE"""),"Movilidad")</f>
        <v>Movilidad</v>
      </c>
      <c r="E4314" s="25" t="str">
        <f ca="1">IFERROR(__xludf.DUMMYFUNCTION("""COMPUTED_VALUE"""),"Secretaría Distrital de Movilidad")</f>
        <v>Secretaría Distrital de Movilidad</v>
      </c>
      <c r="F4314" s="25" t="str">
        <f ca="1">IFERROR(__xludf.DUMMYFUNCTION("""COMPUTED_VALUE"""),"Acompañamiento de la Policía de Tránsito para los operativos con bicitaxis, puntualmente de retiro de los motores y el parqueo de los mismos. Revisar el aumento de policías de tránsito.")</f>
        <v>Acompañamiento de la Policía de Tránsito para los operativos con bicitaxis, puntualmente de retiro de los motores y el parqueo de los mismos. Revisar el aumento de policías de tránsito.</v>
      </c>
      <c r="G4314" s="55" t="str">
        <f ca="1">IFERROR(__xludf.DUMMYFUNCTION("""COMPUTED_VALUE"""),"08. Kennedy")</f>
        <v>08. Kennedy</v>
      </c>
      <c r="H4314" s="55">
        <f ca="1">IFERROR(__xludf.DUMMYFUNCTION("""COMPUTED_VALUE"""),44548)</f>
        <v>44548</v>
      </c>
      <c r="I4314" s="25"/>
      <c r="J4314" s="55" t="str">
        <f ca="1">IFERROR(__xludf.DUMMYFUNCTION("""COMPUTED_VALUE"""),"Alta")</f>
        <v>Alta</v>
      </c>
      <c r="K4314" s="25">
        <f ca="1">IFERROR(__xludf.DUMMYFUNCTION("""COMPUTED_VALUE"""),30)</f>
        <v>30</v>
      </c>
      <c r="L4314" s="62">
        <f ca="1">IFERROR(__xludf.DUMMYFUNCTION("""COMPUTED_VALUE"""),44530)</f>
        <v>44530</v>
      </c>
      <c r="M4314" s="25" t="str">
        <f ca="1">IFERROR(__xludf.DUMMYFUNCTION("""COMPUTED_VALUE"""),"Desde la SDM (corte 30/11/2021) se han programado 82 operativos de control de bicitaxis donde se han impuesto 434 órdenes de comparendos e inmovilizado 431, en aquellos puntos críticos por orden público se ha trabajado articuladamente con Secretaría de Se"&amp;"guridad, MEBOG, Antinarcóticos, SIJIN, Migración Colombia y alcaldías locales, ya que la policía de tránsito controlar el cumplimiento al Código Nacional de Tránsito pero no se encuentra facultado para retirar motores. Actualmente por convenio entre la SD"&amp;"M y Policía Nacional está por 1000 uniformados, en cada solicitud de suscripción de nuevo convenio se solicita el aumento del número de uniformados, pero por política marco de seguridad y convivencia ciudadana indican que no es posible aumentar este númer"&amp;"o.")</f>
        <v>Desde la SDM (corte 30/11/2021) se han programado 82 operativos de control de bicitaxis donde se han impuesto 434 órdenes de comparendos e inmovilizado 431, en aquellos puntos críticos por orden público se ha trabajado articuladamente con Secretaría de Seguridad, MEBOG, Antinarcóticos, SIJIN, Migración Colombia y alcaldías locales, ya que la policía de tránsito controlar el cumplimiento al Código Nacional de Tránsito pero no se encuentra facultado para retirar motores. Actualmente por convenio entre la SDM y Policía Nacional está por 1000 uniformados, en cada solicitud de suscripción de nuevo convenio se solicita el aumento del número de uniformados, pero por política marco de seguridad y convivencia ciudadana indican que no es posible aumentar este número.</v>
      </c>
      <c r="N4314" s="55">
        <f ca="1">IFERROR(__xludf.DUMMYFUNCTION("""COMPUTED_VALUE"""),44530)</f>
        <v>44530</v>
      </c>
      <c r="O4314" s="25" t="str">
        <f t="shared" ca="1" si="0"/>
        <v>Secretaría Distrital de Movilidad</v>
      </c>
      <c r="P4314" s="25" t="str">
        <f t="shared" si="2"/>
        <v/>
      </c>
      <c r="Q4314" s="25" t="str">
        <f ca="1">IFERROR(__xludf.DUMMYFUNCTION("""COMPUTED_VALUE"""),"Corto plazo")</f>
        <v>Corto plazo</v>
      </c>
      <c r="R4314" s="25"/>
      <c r="S4314" s="55"/>
      <c r="T4314" s="56"/>
      <c r="U4314" s="25"/>
      <c r="V4314" s="25"/>
      <c r="W4314" s="25"/>
      <c r="X4314" s="25"/>
      <c r="Y4314" s="25"/>
      <c r="Z4314" s="25"/>
    </row>
    <row r="4315" spans="1:26" ht="52.5" customHeight="1" x14ac:dyDescent="0.25">
      <c r="A4315" s="25" t="str">
        <f ca="1">IFERROR(__xludf.DUMMYFUNCTION("""COMPUTED_VALUE"""),"Movil113")</f>
        <v>Movil113</v>
      </c>
      <c r="B4315" s="25" t="str">
        <f ca="1">IFERROR(__xludf.DUMMYFUNCTION("""COMPUTED_VALUE"""),"Despachando Mebog ")</f>
        <v xml:space="preserve">Despachando Mebog </v>
      </c>
      <c r="C4315" s="55">
        <f ca="1">IFERROR(__xludf.DUMMYFUNCTION("""COMPUTED_VALUE"""),44518)</f>
        <v>44518</v>
      </c>
      <c r="D4315" s="25" t="str">
        <f ca="1">IFERROR(__xludf.DUMMYFUNCTION("""COMPUTED_VALUE"""),"Movilidad")</f>
        <v>Movilidad</v>
      </c>
      <c r="E4315" s="25" t="str">
        <f ca="1">IFERROR(__xludf.DUMMYFUNCTION("""COMPUTED_VALUE"""),"Secretaría Distrital de Movilidad")</f>
        <v>Secretaría Distrital de Movilidad</v>
      </c>
      <c r="F4315" s="25" t="str">
        <f ca="1">IFERROR(__xludf.DUMMYFUNCTION("""COMPUTED_VALUE"""),"Fortalecer la presencia de Policía de Tránsito en el sector de Villa Mayor para el tema de parqueos en vía")</f>
        <v>Fortalecer la presencia de Policía de Tránsito en el sector de Villa Mayor para el tema de parqueos en vía</v>
      </c>
      <c r="G4315" s="55" t="str">
        <f ca="1">IFERROR(__xludf.DUMMYFUNCTION("""COMPUTED_VALUE"""),"15. Antonio Nariño")</f>
        <v>15. Antonio Nariño</v>
      </c>
      <c r="H4315" s="55">
        <f ca="1">IFERROR(__xludf.DUMMYFUNCTION("""COMPUTED_VALUE"""),44548)</f>
        <v>44548</v>
      </c>
      <c r="I4315" s="25"/>
      <c r="J4315" s="55" t="str">
        <f ca="1">IFERROR(__xludf.DUMMYFUNCTION("""COMPUTED_VALUE"""),"Alta")</f>
        <v>Alta</v>
      </c>
      <c r="K4315" s="25">
        <f ca="1">IFERROR(__xludf.DUMMYFUNCTION("""COMPUTED_VALUE"""),30)</f>
        <v>30</v>
      </c>
      <c r="L4315" s="62">
        <f ca="1">IFERROR(__xludf.DUMMYFUNCTION("""COMPUTED_VALUE"""),44530)</f>
        <v>44530</v>
      </c>
      <c r="M4315" s="25" t="str">
        <f ca="1">IFERROR(__xludf.DUMMYFUNCTION("""COMPUTED_VALUE"""),"Por parte de la Seccional de Tránsito y Transporte se han realizado las acciones de control en el sector de Villa Mayor donde se han impuesto la fecha  más de 1200 órdenes de comparendos de las cuales más 110 órdenes de comparendo son por la infracción C-"&amp;"02, estacionar en sitios prohibidos. Dentro de la estrategia de Plan Navidad la Seccional de Tránsito aumentará su presencia en el sector a fin de controlar y regular la circulación vehicular.")</f>
        <v>Por parte de la Seccional de Tránsito y Transporte se han realizado las acciones de control en el sector de Villa Mayor donde se han impuesto la fecha  más de 1200 órdenes de comparendos de las cuales más 110 órdenes de comparendo son por la infracción C-02, estacionar en sitios prohibidos. Dentro de la estrategia de Plan Navidad la Seccional de Tránsito aumentará su presencia en el sector a fin de controlar y regular la circulación vehicular.</v>
      </c>
      <c r="N4315" s="55">
        <f ca="1">IFERROR(__xludf.DUMMYFUNCTION("""COMPUTED_VALUE"""),44530)</f>
        <v>44530</v>
      </c>
      <c r="O4315" s="25" t="str">
        <f t="shared" ca="1" si="0"/>
        <v>Secretaría Distrital de Movilidad</v>
      </c>
      <c r="P4315" s="25" t="str">
        <f t="shared" si="2"/>
        <v/>
      </c>
      <c r="Q4315" s="25" t="str">
        <f ca="1">IFERROR(__xludf.DUMMYFUNCTION("""COMPUTED_VALUE"""),"Corto plazo")</f>
        <v>Corto plazo</v>
      </c>
      <c r="R4315" s="25"/>
      <c r="S4315" s="55"/>
      <c r="T4315" s="56"/>
      <c r="U4315" s="25"/>
      <c r="V4315" s="25"/>
      <c r="W4315" s="25"/>
      <c r="X4315" s="25"/>
      <c r="Y4315" s="25"/>
      <c r="Z4315" s="25"/>
    </row>
    <row r="4316" spans="1:26" ht="52.5" customHeight="1" x14ac:dyDescent="0.25">
      <c r="A4316" s="25" t="str">
        <f ca="1">IFERROR(__xludf.DUMMYFUNCTION("""COMPUTED_VALUE"""),"Movil114")</f>
        <v>Movil114</v>
      </c>
      <c r="B4316" s="25" t="str">
        <f ca="1">IFERROR(__xludf.DUMMYFUNCTION("""COMPUTED_VALUE"""),"Despachando Mebog ")</f>
        <v xml:space="preserve">Despachando Mebog </v>
      </c>
      <c r="C4316" s="55">
        <f ca="1">IFERROR(__xludf.DUMMYFUNCTION("""COMPUTED_VALUE"""),44518)</f>
        <v>44518</v>
      </c>
      <c r="D4316" s="25" t="str">
        <f ca="1">IFERROR(__xludf.DUMMYFUNCTION("""COMPUTED_VALUE"""),"Movilidad")</f>
        <v>Movilidad</v>
      </c>
      <c r="E4316" s="25" t="str">
        <f ca="1">IFERROR(__xludf.DUMMYFUNCTION("""COMPUTED_VALUE"""),"Secretaría Distrital de Movilidad")</f>
        <v>Secretaría Distrital de Movilidad</v>
      </c>
      <c r="F4316" s="25" t="str">
        <f ca="1">IFERROR(__xludf.DUMMYFUNCTION("""COMPUTED_VALUE"""),"Realizar operativos para recuperar el espacio público del 20 de julio")</f>
        <v>Realizar operativos para recuperar el espacio público del 20 de julio</v>
      </c>
      <c r="G4316" s="55" t="str">
        <f ca="1">IFERROR(__xludf.DUMMYFUNCTION("""COMPUTED_VALUE"""),"04. San Cristóbal")</f>
        <v>04. San Cristóbal</v>
      </c>
      <c r="H4316" s="55">
        <f ca="1">IFERROR(__xludf.DUMMYFUNCTION("""COMPUTED_VALUE"""),44548)</f>
        <v>44548</v>
      </c>
      <c r="I4316" s="25"/>
      <c r="J4316" s="55" t="str">
        <f ca="1">IFERROR(__xludf.DUMMYFUNCTION("""COMPUTED_VALUE"""),"Alta")</f>
        <v>Alta</v>
      </c>
      <c r="K4316" s="25">
        <f ca="1">IFERROR(__xludf.DUMMYFUNCTION("""COMPUTED_VALUE"""),30)</f>
        <v>30</v>
      </c>
      <c r="L4316" s="62">
        <f ca="1">IFERROR(__xludf.DUMMYFUNCTION("""COMPUTED_VALUE"""),44592)</f>
        <v>44592</v>
      </c>
      <c r="M4316" s="25" t="str">
        <f ca="1">IFERROR(__xludf.DUMMYFUNCTION("""COMPUTED_VALUE"""),"Por parte de la Seccional de Tránsito y Transporte se han realizado acciones de control en el sector del 20 de Julio, en el mes de diciembre se impusieron 128 órdenes de comparendo; en el mes de enero se impusieron 150 órdenes de comparendo en el sector.")</f>
        <v>Por parte de la Seccional de Tránsito y Transporte se han realizado acciones de control en el sector del 20 de Julio, en el mes de diciembre se impusieron 128 órdenes de comparendo; en el mes de enero se impusieron 150 órdenes de comparendo en el sector.</v>
      </c>
      <c r="N4316" s="55">
        <f ca="1">IFERROR(__xludf.DUMMYFUNCTION("""COMPUTED_VALUE"""),44592)</f>
        <v>44592</v>
      </c>
      <c r="O4316" s="25" t="str">
        <f t="shared" ca="1" si="0"/>
        <v>Secretaría Distrital de Movilidad</v>
      </c>
      <c r="P4316" s="25" t="str">
        <f t="shared" si="2"/>
        <v/>
      </c>
      <c r="Q4316" s="25" t="str">
        <f ca="1">IFERROR(__xludf.DUMMYFUNCTION("""COMPUTED_VALUE"""),"Corto plazo")</f>
        <v>Corto plazo</v>
      </c>
      <c r="R4316" s="25"/>
      <c r="S4316" s="55"/>
      <c r="T4316" s="56"/>
      <c r="U4316" s="25"/>
      <c r="V4316" s="25"/>
      <c r="W4316" s="25"/>
      <c r="X4316" s="25"/>
      <c r="Y4316" s="25"/>
      <c r="Z4316" s="25"/>
    </row>
    <row r="4317" spans="1:26" ht="52.5" customHeight="1" x14ac:dyDescent="0.25">
      <c r="A4317" s="25" t="str">
        <f ca="1">IFERROR(__xludf.DUMMYFUNCTION("""COMPUTED_VALUE"""),"Movil115")</f>
        <v>Movil115</v>
      </c>
      <c r="B4317" s="25" t="str">
        <f ca="1">IFERROR(__xludf.DUMMYFUNCTION("""COMPUTED_VALUE"""),"Despachando Mebog ")</f>
        <v xml:space="preserve">Despachando Mebog </v>
      </c>
      <c r="C4317" s="55">
        <f ca="1">IFERROR(__xludf.DUMMYFUNCTION("""COMPUTED_VALUE"""),44518)</f>
        <v>44518</v>
      </c>
      <c r="D4317" s="25" t="str">
        <f ca="1">IFERROR(__xludf.DUMMYFUNCTION("""COMPUTED_VALUE"""),"Movilidad")</f>
        <v>Movilidad</v>
      </c>
      <c r="E4317" s="25" t="str">
        <f ca="1">IFERROR(__xludf.DUMMYFUNCTION("""COMPUTED_VALUE"""),"Secretaría Distrital de Movilidad")</f>
        <v>Secretaría Distrital de Movilidad</v>
      </c>
      <c r="F4317" s="25" t="str">
        <f ca="1">IFERROR(__xludf.DUMMYFUNCTION("""COMPUTED_VALUE"""),"Mayor presencia de Policía de Tránsito los sábados y los domingos en la entrada de Usme (pueblo)")</f>
        <v>Mayor presencia de Policía de Tránsito los sábados y los domingos en la entrada de Usme (pueblo)</v>
      </c>
      <c r="G4317" s="55" t="str">
        <f ca="1">IFERROR(__xludf.DUMMYFUNCTION("""COMPUTED_VALUE"""),"05. Usme")</f>
        <v>05. Usme</v>
      </c>
      <c r="H4317" s="55">
        <f ca="1">IFERROR(__xludf.DUMMYFUNCTION("""COMPUTED_VALUE"""),44548)</f>
        <v>44548</v>
      </c>
      <c r="I4317" s="25"/>
      <c r="J4317" s="55" t="str">
        <f ca="1">IFERROR(__xludf.DUMMYFUNCTION("""COMPUTED_VALUE"""),"Alta")</f>
        <v>Alta</v>
      </c>
      <c r="K4317" s="25">
        <f ca="1">IFERROR(__xludf.DUMMYFUNCTION("""COMPUTED_VALUE"""),30)</f>
        <v>30</v>
      </c>
      <c r="L4317" s="62">
        <f ca="1">IFERROR(__xludf.DUMMYFUNCTION("""COMPUTED_VALUE"""),44592)</f>
        <v>44592</v>
      </c>
      <c r="M4317" s="25" t="str">
        <f ca="1">IFERROR(__xludf.DUMMYFUNCTION("""COMPUTED_VALUE"""),"Por parte de la Seccional de Tránsito y Transporte se han realizado acciones de control en el sector de Usme Pueblo, específicamente en los días sábado y domingo del mes de diciembre se impusieron 40 órdenes de comparendo; en el mes de enero se impusieron"&amp;" 37 órdenes de comparendo en el sector.")</f>
        <v>Por parte de la Seccional de Tránsito y Transporte se han realizado acciones de control en el sector de Usme Pueblo, específicamente en los días sábado y domingo del mes de diciembre se impusieron 40 órdenes de comparendo; en el mes de enero se impusieron 37 órdenes de comparendo en el sector.</v>
      </c>
      <c r="N4317" s="55">
        <f ca="1">IFERROR(__xludf.DUMMYFUNCTION("""COMPUTED_VALUE"""),44592)</f>
        <v>44592</v>
      </c>
      <c r="O4317" s="25" t="str">
        <f t="shared" ca="1" si="0"/>
        <v>Secretaría Distrital de Movilidad</v>
      </c>
      <c r="P4317" s="25" t="str">
        <f t="shared" si="2"/>
        <v/>
      </c>
      <c r="Q4317" s="25" t="str">
        <f ca="1">IFERROR(__xludf.DUMMYFUNCTION("""COMPUTED_VALUE"""),"Corto plazo")</f>
        <v>Corto plazo</v>
      </c>
      <c r="R4317" s="25"/>
      <c r="S4317" s="55"/>
      <c r="T4317" s="56"/>
      <c r="U4317" s="25"/>
      <c r="V4317" s="25"/>
      <c r="W4317" s="25"/>
      <c r="X4317" s="25"/>
      <c r="Y4317" s="25"/>
      <c r="Z4317" s="25"/>
    </row>
    <row r="4318" spans="1:26" ht="52.5" customHeight="1" x14ac:dyDescent="0.25">
      <c r="A4318" s="25" t="str">
        <f ca="1">IFERROR(__xludf.DUMMYFUNCTION("""COMPUTED_VALUE"""),"Movil116")</f>
        <v>Movil116</v>
      </c>
      <c r="B4318" s="25" t="str">
        <f ca="1">IFERROR(__xludf.DUMMYFUNCTION("""COMPUTED_VALUE"""),"Despachando Mebog ")</f>
        <v xml:space="preserve">Despachando Mebog </v>
      </c>
      <c r="C4318" s="55">
        <f ca="1">IFERROR(__xludf.DUMMYFUNCTION("""COMPUTED_VALUE"""),44518)</f>
        <v>44518</v>
      </c>
      <c r="D4318" s="25" t="str">
        <f ca="1">IFERROR(__xludf.DUMMYFUNCTION("""COMPUTED_VALUE"""),"Movilidad")</f>
        <v>Movilidad</v>
      </c>
      <c r="E4318" s="25" t="str">
        <f ca="1">IFERROR(__xludf.DUMMYFUNCTION("""COMPUTED_VALUE"""),"Secretaría Distrital de Movilidad")</f>
        <v>Secretaría Distrital de Movilidad</v>
      </c>
      <c r="F4318" s="25" t="str">
        <f ca="1">IFERROR(__xludf.DUMMYFUNCTION("""COMPUTED_VALUE"""),"Regularización del tránsito de taxis en AltaVista con Policía de Tránsito")</f>
        <v>Regularización del tránsito de taxis en AltaVista con Policía de Tránsito</v>
      </c>
      <c r="G4318" s="55" t="str">
        <f ca="1">IFERROR(__xludf.DUMMYFUNCTION("""COMPUTED_VALUE"""),"05. Usme")</f>
        <v>05. Usme</v>
      </c>
      <c r="H4318" s="55">
        <f ca="1">IFERROR(__xludf.DUMMYFUNCTION("""COMPUTED_VALUE"""),44548)</f>
        <v>44548</v>
      </c>
      <c r="I4318" s="25"/>
      <c r="J4318" s="55" t="str">
        <f ca="1">IFERROR(__xludf.DUMMYFUNCTION("""COMPUTED_VALUE"""),"Alta")</f>
        <v>Alta</v>
      </c>
      <c r="K4318" s="25">
        <f ca="1">IFERROR(__xludf.DUMMYFUNCTION("""COMPUTED_VALUE"""),30)</f>
        <v>30</v>
      </c>
      <c r="L4318" s="62">
        <f ca="1">IFERROR(__xludf.DUMMYFUNCTION("""COMPUTED_VALUE"""),44530)</f>
        <v>44530</v>
      </c>
      <c r="M4318" s="25" t="str">
        <f ca="1">IFERROR(__xludf.DUMMYFUNCTION("""COMPUTED_VALUE"""),"Desde la SDM para el mes de noviembre se han programado 17 operativos de control a la invasión del espacio público  por parte de vehículos tipo taxi a la altura del Centro Comercial Altavista. Así mismo se tienen programados operativos para los días 1, 2 "&amp;"y 3 de diciembre en  este mismo punto a fin de controlar la problemática.")</f>
        <v>Desde la SDM para el mes de noviembre se han programado 17 operativos de control a la invasión del espacio público  por parte de vehículos tipo taxi a la altura del Centro Comercial Altavista. Así mismo se tienen programados operativos para los días 1, 2 y 3 de diciembre en  este mismo punto a fin de controlar la problemática.</v>
      </c>
      <c r="N4318" s="55">
        <f ca="1">IFERROR(__xludf.DUMMYFUNCTION("""COMPUTED_VALUE"""),44530)</f>
        <v>44530</v>
      </c>
      <c r="O4318" s="25" t="str">
        <f t="shared" ca="1" si="0"/>
        <v>Secretaría Distrital de Movilidad</v>
      </c>
      <c r="P4318" s="25" t="str">
        <f t="shared" si="2"/>
        <v/>
      </c>
      <c r="Q4318" s="25" t="str">
        <f ca="1">IFERROR(__xludf.DUMMYFUNCTION("""COMPUTED_VALUE"""),"Corto plazo")</f>
        <v>Corto plazo</v>
      </c>
      <c r="R4318" s="25"/>
      <c r="S4318" s="55"/>
      <c r="T4318" s="56"/>
      <c r="U4318" s="25"/>
      <c r="V4318" s="25"/>
      <c r="W4318" s="25"/>
      <c r="X4318" s="25"/>
      <c r="Y4318" s="25"/>
      <c r="Z4318" s="25"/>
    </row>
    <row r="4319" spans="1:26" ht="52.5" customHeight="1" x14ac:dyDescent="0.25">
      <c r="A4319" s="25" t="str">
        <f ca="1">IFERROR(__xludf.DUMMYFUNCTION("""COMPUTED_VALUE"""),"Movil117")</f>
        <v>Movil117</v>
      </c>
      <c r="B4319" s="25" t="str">
        <f ca="1">IFERROR(__xludf.DUMMYFUNCTION("""COMPUTED_VALUE"""),"Despachando Mebog ")</f>
        <v xml:space="preserve">Despachando Mebog </v>
      </c>
      <c r="C4319" s="55">
        <f ca="1">IFERROR(__xludf.DUMMYFUNCTION("""COMPUTED_VALUE"""),44518)</f>
        <v>44518</v>
      </c>
      <c r="D4319" s="25" t="str">
        <f ca="1">IFERROR(__xludf.DUMMYFUNCTION("""COMPUTED_VALUE"""),"Movilidad")</f>
        <v>Movilidad</v>
      </c>
      <c r="E4319" s="25" t="str">
        <f ca="1">IFERROR(__xludf.DUMMYFUNCTION("""COMPUTED_VALUE"""),"Secretaría Distrital de Movilidad")</f>
        <v>Secretaría Distrital de Movilidad</v>
      </c>
      <c r="F4319" s="25" t="str">
        <f ca="1">IFERROR(__xludf.DUMMYFUNCTION("""COMPUTED_VALUE"""),"Organizar un Plan de Manejo de Tránsito en la Av. Caracas para la URI de Tunjuelito")</f>
        <v>Organizar un Plan de Manejo de Tránsito en la Av. Caracas para la URI de Tunjuelito</v>
      </c>
      <c r="G4319" s="55" t="str">
        <f ca="1">IFERROR(__xludf.DUMMYFUNCTION("""COMPUTED_VALUE"""),"05. Usme")</f>
        <v>05. Usme</v>
      </c>
      <c r="H4319" s="55">
        <f ca="1">IFERROR(__xludf.DUMMYFUNCTION("""COMPUTED_VALUE"""),44548)</f>
        <v>44548</v>
      </c>
      <c r="I4319" s="25"/>
      <c r="J4319" s="55" t="str">
        <f ca="1">IFERROR(__xludf.DUMMYFUNCTION("""COMPUTED_VALUE"""),"Alta")</f>
        <v>Alta</v>
      </c>
      <c r="K4319" s="25">
        <f ca="1">IFERROR(__xludf.DUMMYFUNCTION("""COMPUTED_VALUE"""),30)</f>
        <v>30</v>
      </c>
      <c r="L4319" s="62">
        <f ca="1">IFERROR(__xludf.DUMMYFUNCTION("""COMPUTED_VALUE"""),44606)</f>
        <v>44606</v>
      </c>
      <c r="M4319" s="25" t="str">
        <f ca="1">IFERROR(__xludf.DUMMYFUNCTION("""COMPUTED_VALUE"""),"1. Desde el mes de noviembre de 2021 y a la fecha se cuenta con el apoyo de unidades de Grupo Guía realizando gestión del tráfico en la intersección de la Av. Caracas en el horario de 15:00 hasta las 21:00, con las mismas unidades de realiza pedagogía a l"&amp;"os conductores que dejan los vehículos estacionados en la vía para el tramo de la Av. Caracas entre carrera 9 y carrera 7.
2. Desde el Centro Local de Movilidad se realizó en el mes de junio de 2022 jornadas informativas en el marco de lo dispuesto en el"&amp;" código de tránsito en cuanto a los lugares prohibidos para estacionar esto en el entre carrera 9 y carrera 7
3. En el mes de Septiembre de 2022 se realizará mesa de trabajo con los funcionarios de la URI con el fin de articular acciones con el fin de mi"&amp;"tigar la problemática de estacionamiento en vía.
")</f>
        <v xml:space="preserve">1. Desde el mes de noviembre de 2021 y a la fecha se cuenta con el apoyo de unidades de Grupo Guía realizando gestión del tráfico en la intersección de la Av. Caracas en el horario de 15:00 hasta las 21:00, con las mismas unidades de realiza pedagogía a los conductores que dejan los vehículos estacionados en la vía para el tramo de la Av. Caracas entre carrera 9 y carrera 7.
2. Desde el Centro Local de Movilidad se realizó en el mes de junio de 2022 jornadas informativas en el marco de lo dispuesto en el código de tránsito en cuanto a los lugares prohibidos para estacionar esto en el entre carrera 9 y carrera 7
3. En el mes de Septiembre de 2022 se realizará mesa de trabajo con los funcionarios de la URI con el fin de articular acciones con el fin de mitigar la problemática de estacionamiento en vía.
</v>
      </c>
      <c r="N4319" s="55">
        <f ca="1">IFERROR(__xludf.DUMMYFUNCTION("""COMPUTED_VALUE"""),44606)</f>
        <v>44606</v>
      </c>
      <c r="O4319" s="25" t="str">
        <f t="shared" ca="1" si="0"/>
        <v>Secretaría Distrital de Movilidad</v>
      </c>
      <c r="P4319" s="25" t="str">
        <f t="shared" si="2"/>
        <v/>
      </c>
      <c r="Q4319" s="25" t="str">
        <f ca="1">IFERROR(__xludf.DUMMYFUNCTION("""COMPUTED_VALUE"""),"Corto plazo")</f>
        <v>Corto plazo</v>
      </c>
      <c r="R4319" s="25"/>
      <c r="S4319" s="55"/>
      <c r="T4319" s="56"/>
      <c r="U4319" s="25"/>
      <c r="V4319" s="25"/>
      <c r="W4319" s="25"/>
      <c r="X4319" s="25"/>
      <c r="Y4319" s="25"/>
      <c r="Z4319" s="25"/>
    </row>
    <row r="4320" spans="1:26" ht="52.5" customHeight="1" x14ac:dyDescent="0.25">
      <c r="A4320" s="25" t="str">
        <f ca="1">IFERROR(__xludf.DUMMYFUNCTION("""COMPUTED_VALUE"""),"Movil118")</f>
        <v>Movil118</v>
      </c>
      <c r="B4320" s="25" t="str">
        <f ca="1">IFERROR(__xludf.DUMMYFUNCTION("""COMPUTED_VALUE"""),"Mantenimiento malla vial ")</f>
        <v xml:space="preserve">Mantenimiento malla vial </v>
      </c>
      <c r="C4320" s="55">
        <f ca="1">IFERROR(__xludf.DUMMYFUNCTION("""COMPUTED_VALUE"""),44517)</f>
        <v>44517</v>
      </c>
      <c r="D4320" s="25" t="str">
        <f ca="1">IFERROR(__xludf.DUMMYFUNCTION("""COMPUTED_VALUE"""),"Movilidad")</f>
        <v>Movilidad</v>
      </c>
      <c r="E4320" s="25" t="str">
        <f ca="1">IFERROR(__xludf.DUMMYFUNCTION("""COMPUTED_VALUE"""),"Unidad Administrativa Especial de Rehabilitación y Mantenimiento Vial")</f>
        <v>Unidad Administrativa Especial de Rehabilitación y Mantenimiento Vial</v>
      </c>
      <c r="F4320" s="25" t="str">
        <f ca="1">IFERROR(__xludf.DUMMYFUNCTION("""COMPUTED_VALUE"""),"Buscar la posibilidad de sacar un PMT flexible que dé la oportunidad de tapar huecos en tiempos menores ")</f>
        <v xml:space="preserve">Buscar la posibilidad de sacar un PMT flexible que dé la oportunidad de tapar huecos en tiempos menores </v>
      </c>
      <c r="G4320" s="25" t="str">
        <f ca="1">IFERROR(__xludf.DUMMYFUNCTION("""COMPUTED_VALUE"""),"99. Distrito")</f>
        <v>99. Distrito</v>
      </c>
      <c r="H4320" s="55">
        <f ca="1">IFERROR(__xludf.DUMMYFUNCTION("""COMPUTED_VALUE"""),44547)</f>
        <v>44547</v>
      </c>
      <c r="I4320" s="25"/>
      <c r="J4320" s="55" t="str">
        <f ca="1">IFERROR(__xludf.DUMMYFUNCTION("""COMPUTED_VALUE"""),"Alta")</f>
        <v>Alta</v>
      </c>
      <c r="K4320" s="25">
        <f ca="1">IFERROR(__xludf.DUMMYFUNCTION("""COMPUTED_VALUE"""),30)</f>
        <v>30</v>
      </c>
      <c r="L4320" s="62">
        <f ca="1">IFERROR(__xludf.DUMMYFUNCTION("""COMPUTED_VALUE"""),44575)</f>
        <v>44575</v>
      </c>
      <c r="M4320" s="25" t="str">
        <f ca="1">IFERROR(__xludf.DUMMYFUNCTION("""COMPUTED_VALUE"""),"En reunión de plan de choque de huecos se informó a la alcaldía que se había definido PMT estándar para facilitar y permitir labores de mantenimiento vial")</f>
        <v>En reunión de plan de choque de huecos se informó a la alcaldía que se había definido PMT estándar para facilitar y permitir labores de mantenimiento vial</v>
      </c>
      <c r="N4320" s="55">
        <f ca="1">IFERROR(__xludf.DUMMYFUNCTION("""COMPUTED_VALUE"""),44575)</f>
        <v>44575</v>
      </c>
      <c r="O4320" s="25" t="str">
        <f t="shared" ca="1" si="0"/>
        <v>Unidad Administrativa Especial de Rehabilitación y Mantenimiento Vial</v>
      </c>
      <c r="P4320" s="25" t="str">
        <f t="shared" si="2"/>
        <v/>
      </c>
      <c r="Q4320" s="25" t="str">
        <f ca="1">IFERROR(__xludf.DUMMYFUNCTION("""COMPUTED_VALUE"""),"Corto plazo")</f>
        <v>Corto plazo</v>
      </c>
      <c r="R4320" s="25"/>
      <c r="S4320" s="55"/>
      <c r="T4320" s="56"/>
      <c r="U4320" s="25"/>
      <c r="V4320" s="25"/>
      <c r="W4320" s="25"/>
      <c r="X4320" s="25"/>
      <c r="Y4320" s="25"/>
      <c r="Z4320" s="25"/>
    </row>
    <row r="4321" spans="1:26" ht="52.5" customHeight="1" x14ac:dyDescent="0.25">
      <c r="A4321" s="25" t="str">
        <f ca="1">IFERROR(__xludf.DUMMYFUNCTION("""COMPUTED_VALUE"""),"Movil119")</f>
        <v>Movil119</v>
      </c>
      <c r="B4321" s="25" t="str">
        <f ca="1">IFERROR(__xludf.DUMMYFUNCTION("""COMPUTED_VALUE"""),"Mantenimiento malla vial ")</f>
        <v xml:space="preserve">Mantenimiento malla vial </v>
      </c>
      <c r="C4321" s="55">
        <f ca="1">IFERROR(__xludf.DUMMYFUNCTION("""COMPUTED_VALUE"""),44517)</f>
        <v>44517</v>
      </c>
      <c r="D4321" s="25" t="str">
        <f ca="1">IFERROR(__xludf.DUMMYFUNCTION("""COMPUTED_VALUE"""),"Movilidad")</f>
        <v>Movilidad</v>
      </c>
      <c r="E4321" s="25" t="str">
        <f ca="1">IFERROR(__xludf.DUMMYFUNCTION("""COMPUTED_VALUE"""),"Unidad Administrativa Especial de Rehabilitación y Mantenimiento Vial")</f>
        <v>Unidad Administrativa Especial de Rehabilitación y Mantenimiento Vial</v>
      </c>
      <c r="F4321" s="25" t="str">
        <f ca="1">IFERROR(__xludf.DUMMYFUNCTION("""COMPUTED_VALUE"""),"Crear un comité de mantenimiento de la malla vial y reparación de huecos donde se establezcan metas de gran impacto. ")</f>
        <v xml:space="preserve">Crear un comité de mantenimiento de la malla vial y reparación de huecos donde se establezcan metas de gran impacto. </v>
      </c>
      <c r="G4321" s="25" t="str">
        <f ca="1">IFERROR(__xludf.DUMMYFUNCTION("""COMPUTED_VALUE"""),"99. Distrito")</f>
        <v>99. Distrito</v>
      </c>
      <c r="H4321" s="55">
        <f ca="1">IFERROR(__xludf.DUMMYFUNCTION("""COMPUTED_VALUE"""),44547)</f>
        <v>44547</v>
      </c>
      <c r="I4321" s="25"/>
      <c r="J4321" s="55" t="str">
        <f ca="1">IFERROR(__xludf.DUMMYFUNCTION("""COMPUTED_VALUE"""),"Alta")</f>
        <v>Alta</v>
      </c>
      <c r="K4321" s="25">
        <f ca="1">IFERROR(__xludf.DUMMYFUNCTION("""COMPUTED_VALUE"""),30)</f>
        <v>30</v>
      </c>
      <c r="L4321" s="62">
        <f ca="1">IFERROR(__xludf.DUMMYFUNCTION("""COMPUTED_VALUE"""),44607)</f>
        <v>44607</v>
      </c>
      <c r="M4321" s="25" t="str">
        <f ca="1">IFERROR(__xludf.DUMMYFUNCTION("""COMPUTED_VALUE"""),"12/11/2021: Reunión inicial de armonización de actividades de atención a huecos, se valida la necesidad de vincular empresas de servicios. 
 26/11/2021: Se presenta el avance de la estrategia de mantenimiento a alcaldesa, y se plantea una nueva mesa para "&amp;"el 01 de diciembre en la que se ajusten presupuestos. 
 Se realiza el ajuste de los procedimientos, de los alcances y se estructura una propuesta a partir de los presupuestos con los que cuenta el IDU, UMV, FDL y el apoyo de las empresas de servicios. 
 2"&amp;"9/11/2021 y 30/11/2021 se está realizando la coordinación entre la UAERMV, las Empresas de Servicios Públicos y los Fondos de Desarrollo Local para constituir el comité de mantenimiento de la malla vial. Los resultados de estas reuniones serán presentados"&amp;" a la Alcaldesa para que dé su aval para la generación del comité.
 14/01/2022 Se está planteando la creación del Centro Coordinador de Obras en el Borrador del Decreto Administrativo de funciones para la conservación de la infraestructura del componente "&amp;"del espacio público para la movilidad. 
 01/02/2022 Se está planteando la creación del Centro Coordinador de Obras en el Borrador del Decreto Administrativo de funciones para la conservación de la infraestructura del componente del espacio público para la"&amp;" movilidad. 
 15/02/2022 Se está planteando la creación del Centro Coordinador de Obras en el Borrador del Decreto Administrativo de funciones para la conservación de la infraestructura del componente del espacio público para la movilidad.")</f>
        <v>12/11/2021: Reunión inicial de armonización de actividades de atención a huecos, se valida la necesidad de vincular empresas de servicios. 
 26/11/2021: Se presenta el avance de la estrategia de mantenimiento a alcaldesa, y se plantea una nueva mesa para el 01 de diciembre en la que se ajusten presupuestos. 
 Se realiza el ajuste de los procedimientos, de los alcances y se estructura una propuesta a partir de los presupuestos con los que cuenta el IDU, UMV, FDL y el apoyo de las empresas de servicios. 
 29/11/2021 y 30/11/2021 se está realizando la coordinación entre la UAERMV, las Empresas de Servicios Públicos y los Fondos de Desarrollo Local para constituir el comité de mantenimiento de la malla vial. Los resultados de estas reuniones serán presentados a la Alcaldesa para que dé su aval para la generación del comité.
 14/01/2022 Se está planteando la creación del Centro Coordinador de Obras en el Borrador del Decreto Administrativo de funciones para la conservación de la infraestructura del componente del espacio público para la movilidad. 
 01/02/2022 Se está planteando la creación del Centro Coordinador de Obras en el Borrador del Decreto Administrativo de funciones para la conservación de la infraestructura del componente del espacio público para la movilidad. 
 15/02/2022 Se está planteando la creación del Centro Coordinador de Obras en el Borrador del Decreto Administrativo de funciones para la conservación de la infraestructura del componente del espacio público para la movilidad.</v>
      </c>
      <c r="N4321" s="55">
        <f ca="1">IFERROR(__xludf.DUMMYFUNCTION("""COMPUTED_VALUE"""),44607)</f>
        <v>44607</v>
      </c>
      <c r="O4321" s="25" t="str">
        <f t="shared" ca="1" si="0"/>
        <v>Unidad Administrativa Especial de Rehabilitación y Mantenimiento Vial</v>
      </c>
      <c r="P4321" s="25" t="str">
        <f t="shared" si="2"/>
        <v/>
      </c>
      <c r="Q4321" s="25" t="str">
        <f ca="1">IFERROR(__xludf.DUMMYFUNCTION("""COMPUTED_VALUE"""),"Corto plazo")</f>
        <v>Corto plazo</v>
      </c>
      <c r="R4321" s="25"/>
      <c r="S4321" s="55"/>
      <c r="T4321" s="56"/>
      <c r="U4321" s="25"/>
      <c r="V4321" s="25"/>
      <c r="W4321" s="25"/>
      <c r="X4321" s="25"/>
      <c r="Y4321" s="25"/>
      <c r="Z4321" s="25"/>
    </row>
    <row r="4322" spans="1:26" ht="52.5" customHeight="1" x14ac:dyDescent="0.25">
      <c r="A4322" s="25" t="str">
        <f ca="1">IFERROR(__xludf.DUMMYFUNCTION("""COMPUTED_VALUE"""),"Movil120")</f>
        <v>Movil120</v>
      </c>
      <c r="B4322" s="25" t="str">
        <f ca="1">IFERROR(__xludf.DUMMYFUNCTION("""COMPUTED_VALUE"""),"Junta de infraestructura - valorización")</f>
        <v>Junta de infraestructura - valorización</v>
      </c>
      <c r="C4322" s="55">
        <f ca="1">IFERROR(__xludf.DUMMYFUNCTION("""COMPUTED_VALUE"""),44512)</f>
        <v>44512</v>
      </c>
      <c r="D4322" s="25" t="str">
        <f ca="1">IFERROR(__xludf.DUMMYFUNCTION("""COMPUTED_VALUE"""),"Movilidad")</f>
        <v>Movilidad</v>
      </c>
      <c r="E4322" s="25" t="str">
        <f ca="1">IFERROR(__xludf.DUMMYFUNCTION("""COMPUTED_VALUE"""),"Secretaría Distrital de Movilidad")</f>
        <v>Secretaría Distrital de Movilidad</v>
      </c>
      <c r="F4322" s="25" t="str">
        <f ca="1">IFERROR(__xludf.DUMMYFUNCTION("""COMPUTED_VALUE"""),"De manera general en lo que se refiere a señalización y semaforización a cargo de la SDM, se acuerda realizar el Martes o miércoles próximo, revisión conjunta con el IDU de la fecha para responder los requerimientos, dándole prioridad y organizando el equ"&amp;"ipo.")</f>
        <v>De manera general en lo que se refiere a señalización y semaforización a cargo de la SDM, se acuerda realizar el Martes o miércoles próximo, revisión conjunta con el IDU de la fecha para responder los requerimientos, dándole prioridad y organizando el equipo.</v>
      </c>
      <c r="G4322" s="25" t="str">
        <f ca="1">IFERROR(__xludf.DUMMYFUNCTION("""COMPUTED_VALUE"""),"99. Distrito")</f>
        <v>99. Distrito</v>
      </c>
      <c r="H4322" s="55">
        <f ca="1">IFERROR(__xludf.DUMMYFUNCTION("""COMPUTED_VALUE"""),44542)</f>
        <v>44542</v>
      </c>
      <c r="I4322" s="25"/>
      <c r="J4322" s="55" t="str">
        <f ca="1">IFERROR(__xludf.DUMMYFUNCTION("""COMPUTED_VALUE"""),"Alta")</f>
        <v>Alta</v>
      </c>
      <c r="K4322" s="25">
        <f ca="1">IFERROR(__xludf.DUMMYFUNCTION("""COMPUTED_VALUE"""),30)</f>
        <v>30</v>
      </c>
      <c r="L4322" s="62">
        <f ca="1">IFERROR(__xludf.DUMMYFUNCTION("""COMPUTED_VALUE"""),44530)</f>
        <v>44530</v>
      </c>
      <c r="M4322" s="25" t="str">
        <f ca="1">IFERROR(__xludf.DUMMYFUNCTION("""COMPUTED_VALUE"""),"Se realizó COMITÉ TÉCNICO DE INFRAESTRUCTURA (SDM + IDU) el 26 de noviembre de 2021 para seguimiento y acompañamiento temas Infraestructura, Señalización, Semaforización y PMT. ")</f>
        <v xml:space="preserve">Se realizó COMITÉ TÉCNICO DE INFRAESTRUCTURA (SDM + IDU) el 26 de noviembre de 2021 para seguimiento y acompañamiento temas Infraestructura, Señalización, Semaforización y PMT. </v>
      </c>
      <c r="N4322" s="55">
        <f ca="1">IFERROR(__xludf.DUMMYFUNCTION("""COMPUTED_VALUE"""),44530)</f>
        <v>44530</v>
      </c>
      <c r="O4322" s="25" t="str">
        <f t="shared" ca="1" si="0"/>
        <v>Secretaría Distrital de Movilidad</v>
      </c>
      <c r="P4322" s="25" t="str">
        <f t="shared" si="2"/>
        <v/>
      </c>
      <c r="Q4322" s="25" t="str">
        <f ca="1">IFERROR(__xludf.DUMMYFUNCTION("""COMPUTED_VALUE"""),"Corto plazo")</f>
        <v>Corto plazo</v>
      </c>
      <c r="R4322" s="25"/>
      <c r="S4322" s="55"/>
      <c r="T4322" s="56"/>
      <c r="U4322" s="25"/>
      <c r="V4322" s="25"/>
      <c r="W4322" s="25"/>
      <c r="X4322" s="25"/>
      <c r="Y4322" s="25"/>
      <c r="Z4322" s="25"/>
    </row>
    <row r="4323" spans="1:26" ht="52.5" customHeight="1" x14ac:dyDescent="0.25">
      <c r="A4323" s="25" t="str">
        <f ca="1">IFERROR(__xludf.DUMMYFUNCTION("""COMPUTED_VALUE"""),"Movil121")</f>
        <v>Movil121</v>
      </c>
      <c r="B4323" s="25" t="str">
        <f ca="1">IFERROR(__xludf.DUMMYFUNCTION("""COMPUTED_VALUE"""),"Junta de infraestructura - valorización")</f>
        <v>Junta de infraestructura - valorización</v>
      </c>
      <c r="C4323" s="55">
        <f ca="1">IFERROR(__xludf.DUMMYFUNCTION("""COMPUTED_VALUE"""),44512)</f>
        <v>44512</v>
      </c>
      <c r="D4323" s="25" t="str">
        <f ca="1">IFERROR(__xludf.DUMMYFUNCTION("""COMPUTED_VALUE"""),"Movilidad")</f>
        <v>Movilidad</v>
      </c>
      <c r="E4323" s="25" t="str">
        <f ca="1">IFERROR(__xludf.DUMMYFUNCTION("""COMPUTED_VALUE"""),"Secretaría Distrital de Movilidad")</f>
        <v>Secretaría Distrital de Movilidad</v>
      </c>
      <c r="F4323" s="25" t="str">
        <f ca="1">IFERROR(__xludf.DUMMYFUNCTION("""COMPUTED_VALUE"""),"Avenida Santa Bárbara: radicación estudio de tránsito y establecimiento de mesa de trabajo para aclarar observaciones.")</f>
        <v>Avenida Santa Bárbara: radicación estudio de tránsito y establecimiento de mesa de trabajo para aclarar observaciones.</v>
      </c>
      <c r="G4323" s="55" t="str">
        <f ca="1">IFERROR(__xludf.DUMMYFUNCTION("""COMPUTED_VALUE"""),"01. Usaquén")</f>
        <v>01. Usaquén</v>
      </c>
      <c r="H4323" s="55">
        <f ca="1">IFERROR(__xludf.DUMMYFUNCTION("""COMPUTED_VALUE"""),44542)</f>
        <v>44542</v>
      </c>
      <c r="I4323" s="25"/>
      <c r="J4323" s="55" t="str">
        <f ca="1">IFERROR(__xludf.DUMMYFUNCTION("""COMPUTED_VALUE"""),"Alta")</f>
        <v>Alta</v>
      </c>
      <c r="K4323" s="25">
        <f ca="1">IFERROR(__xludf.DUMMYFUNCTION("""COMPUTED_VALUE"""),30)</f>
        <v>30</v>
      </c>
      <c r="L4323" s="62">
        <f ca="1">IFERROR(__xludf.DUMMYFUNCTION("""COMPUTED_VALUE"""),45033)</f>
        <v>45033</v>
      </c>
      <c r="M4323" s="25" t="str">
        <f ca="1">IFERROR(__xludf.DUMMYFUNCTION("""COMPUTED_VALUE"""),"La SDM realizó la mesa de trabajo el 9 diciembre del 2021, derivado de este espacio, se emitió el radicado Nº 20212246713581 sobre las observaciones generales del estudio de tránsito. Posteriormente, tras subsanarse las observaciones, el estudio de tránsi"&amp;"to fue aprobado el 10 de febrero de 2022 con el radicado N°20226120328162.")</f>
        <v>La SDM realizó la mesa de trabajo el 9 diciembre del 2021, derivado de este espacio, se emitió el radicado Nº 20212246713581 sobre las observaciones generales del estudio de tránsito. Posteriormente, tras subsanarse las observaciones, el estudio de tránsito fue aprobado el 10 de febrero de 2022 con el radicado N°20226120328162.</v>
      </c>
      <c r="N4323" s="55">
        <f ca="1">IFERROR(__xludf.DUMMYFUNCTION("""COMPUTED_VALUE"""),44613)</f>
        <v>44613</v>
      </c>
      <c r="O4323" s="25" t="str">
        <f t="shared" ca="1" si="0"/>
        <v>Secretaría Distrital de Movilidad</v>
      </c>
      <c r="P4323" s="25" t="str">
        <f t="shared" si="2"/>
        <v/>
      </c>
      <c r="Q4323" s="25" t="str">
        <f ca="1">IFERROR(__xludf.DUMMYFUNCTION("""COMPUTED_VALUE"""),"Corto plazo")</f>
        <v>Corto plazo</v>
      </c>
      <c r="R4323" s="25"/>
      <c r="S4323" s="55"/>
      <c r="T4323" s="56"/>
      <c r="U4323" s="25"/>
      <c r="V4323" s="25"/>
      <c r="W4323" s="25"/>
      <c r="X4323" s="25"/>
      <c r="Y4323" s="25"/>
      <c r="Z4323" s="25"/>
    </row>
    <row r="4324" spans="1:26" ht="52.5" customHeight="1" x14ac:dyDescent="0.25">
      <c r="A4324" s="25" t="str">
        <f ca="1">IFERROR(__xludf.DUMMYFUNCTION("""COMPUTED_VALUE"""),"Movil122")</f>
        <v>Movil122</v>
      </c>
      <c r="B4324" s="25" t="str">
        <f ca="1">IFERROR(__xludf.DUMMYFUNCTION("""COMPUTED_VALUE"""),"Junta de infraestructura - valorización")</f>
        <v>Junta de infraestructura - valorización</v>
      </c>
      <c r="C4324" s="55">
        <f ca="1">IFERROR(__xludf.DUMMYFUNCTION("""COMPUTED_VALUE"""),44512)</f>
        <v>44512</v>
      </c>
      <c r="D4324" s="25" t="str">
        <f ca="1">IFERROR(__xludf.DUMMYFUNCTION("""COMPUTED_VALUE"""),"Movilidad")</f>
        <v>Movilidad</v>
      </c>
      <c r="E4324" s="25" t="str">
        <f ca="1">IFERROR(__xludf.DUMMYFUNCTION("""COMPUTED_VALUE"""),"Secretaría Distrital de Movilidad")</f>
        <v>Secretaría Distrital de Movilidad</v>
      </c>
      <c r="F4324" s="25" t="str">
        <f ca="1">IFERROR(__xludf.DUMMYFUNCTION("""COMPUTED_VALUE"""),"Avenida la Sirena: estudio de tránsito, mesa de trabajo para aclarar observaciones y aprobación final del producto base para trámite de señalización y semaforización.")</f>
        <v>Avenida la Sirena: estudio de tránsito, mesa de trabajo para aclarar observaciones y aprobación final del producto base para trámite de señalización y semaforización.</v>
      </c>
      <c r="G4324" s="55" t="str">
        <f ca="1">IFERROR(__xludf.DUMMYFUNCTION("""COMPUTED_VALUE"""),"01. Usaquén")</f>
        <v>01. Usaquén</v>
      </c>
      <c r="H4324" s="55">
        <f ca="1">IFERROR(__xludf.DUMMYFUNCTION("""COMPUTED_VALUE"""),45107)</f>
        <v>45107</v>
      </c>
      <c r="I4324" s="25" t="str">
        <f ca="1">IFERROR(__xludf.DUMMYFUNCTION("""COMPUTED_VALUE"""),"Junta de Infraestructura")</f>
        <v>Junta de Infraestructura</v>
      </c>
      <c r="J4324" s="55" t="str">
        <f ca="1">IFERROR(__xludf.DUMMYFUNCTION("""COMPUTED_VALUE"""),"Baja")</f>
        <v>Baja</v>
      </c>
      <c r="K4324" s="25">
        <f ca="1">IFERROR(__xludf.DUMMYFUNCTION("""COMPUTED_VALUE"""),595)</f>
        <v>595</v>
      </c>
      <c r="L4324" s="62">
        <f ca="1">IFERROR(__xludf.DUMMYFUNCTION("""COMPUTED_VALUE"""),45016)</f>
        <v>45016</v>
      </c>
      <c r="M4324" s="25" t="str">
        <f ca="1">IFERROR(__xludf.DUMMYFUNCTION("""COMPUTED_VALUE"""),"La SDM emitió el 22 de diciembre de 2021 las observaciones al estudio de tránsito. Posteriormente, se radicó el diseño de señalización el 15 de junio de 2022; el cual fue atendido en el mes de julio bajo radicado SS-202231107730691. Atendidas las observac"&amp;"iones, se realizó una mesa de trabajo sobre el contrato IDU 1601 de 2020 y plan parcial Colombo Hebreo del 29 de agosto de 2022, en el cual se establecieron las condiciones de la intersección semaforizada de la carrera 50 y se aprobó el diseño como base p"&amp;"ara el proyecto colombo hebreo.
El 28 de Marzo de 2023 la subdirección de semaforización entregó al contratista con radicado  202332203640381 observaciones de diseños de semaforización de fondo, se adjunta el documento con todo el detalle, el contratista "&amp;"no ha entregado estas observaciones a la secretaría de movilidad. Es un pre-requisito de la secretaría de movilidad tener el estudio de semaforización con aprobación para proceder a la aprobación de diseños de señalización. Las observaciones se solicitan "&amp;"porque no cumplen con los criterios técnicos para su aprobación. Se espera que el contratista subsane y radique nuevamente a SDM el 17/05/2023")</f>
        <v>La SDM emitió el 22 de diciembre de 2021 las observaciones al estudio de tránsito. Posteriormente, se radicó el diseño de señalización el 15 de junio de 2022; el cual fue atendido en el mes de julio bajo radicado SS-202231107730691. Atendidas las observaciones, se realizó una mesa de trabajo sobre el contrato IDU 1601 de 2020 y plan parcial Colombo Hebreo del 29 de agosto de 2022, en el cual se establecieron las condiciones de la intersección semaforizada de la carrera 50 y se aprobó el diseño como base para el proyecto colombo hebreo.
El 28 de Marzo de 2023 la subdirección de semaforización entregó al contratista con radicado  202332203640381 observaciones de diseños de semaforización de fondo, se adjunta el documento con todo el detalle, el contratista no ha entregado estas observaciones a la secretaría de movilidad. Es un pre-requisito de la secretaría de movilidad tener el estudio de semaforización con aprobación para proceder a la aprobación de diseños de señalización. Las observaciones se solicitan porque no cumplen con los criterios técnicos para su aprobación. Se espera que el contratista subsane y radique nuevamente a SDM el 17/05/2023</v>
      </c>
      <c r="N4324" s="25"/>
      <c r="O4324" s="25" t="str">
        <f t="shared" ca="1" si="0"/>
        <v>Secretaría Distrital de Movilidad</v>
      </c>
      <c r="P4324" s="25" t="str">
        <f t="shared" ca="1" si="2"/>
        <v/>
      </c>
      <c r="Q4324" s="25" t="str">
        <f ca="1">IFERROR(__xludf.DUMMYFUNCTION("""COMPUTED_VALUE"""),"Largo plazo")</f>
        <v>Largo plazo</v>
      </c>
      <c r="R4324" s="25"/>
      <c r="S4324" s="55"/>
      <c r="T4324" s="56"/>
      <c r="U4324" s="25"/>
      <c r="V4324" s="25"/>
      <c r="W4324" s="25"/>
      <c r="X4324" s="25"/>
      <c r="Y4324" s="25"/>
      <c r="Z4324" s="25"/>
    </row>
    <row r="4325" spans="1:26" ht="52.5" customHeight="1" x14ac:dyDescent="0.25">
      <c r="A4325" s="25" t="str">
        <f ca="1">IFERROR(__xludf.DUMMYFUNCTION("""COMPUTED_VALUE"""),"Movil123")</f>
        <v>Movil123</v>
      </c>
      <c r="B4325" s="25" t="str">
        <f ca="1">IFERROR(__xludf.DUMMYFUNCTION("""COMPUTED_VALUE"""),"Leonidas Narváez - FDN Segunda Línea del Metro")</f>
        <v>Leonidas Narváez - FDN Segunda Línea del Metro</v>
      </c>
      <c r="C4325" s="55">
        <f ca="1">IFERROR(__xludf.DUMMYFUNCTION("""COMPUTED_VALUE"""),44494)</f>
        <v>44494</v>
      </c>
      <c r="D4325" s="25" t="str">
        <f ca="1">IFERROR(__xludf.DUMMYFUNCTION("""COMPUTED_VALUE"""),"Movilidad")</f>
        <v>Movilidad</v>
      </c>
      <c r="E4325" s="25" t="str">
        <f ca="1">IFERROR(__xludf.DUMMYFUNCTION("""COMPUTED_VALUE"""),"Empresa Metro de Bogotá S.A.")</f>
        <v>Empresa Metro de Bogotá S.A.</v>
      </c>
      <c r="F4325" s="25" t="str">
        <f ca="1">IFERROR(__xludf.DUMMYFUNCTION("""COMPUTED_VALUE"""),"La adición del metro debe estar ajustada en el cronograma donde se reduzcan los tiempos")</f>
        <v>La adición del metro debe estar ajustada en el cronograma donde se reduzcan los tiempos</v>
      </c>
      <c r="G4325" s="25" t="str">
        <f ca="1">IFERROR(__xludf.DUMMYFUNCTION("""COMPUTED_VALUE"""),"99. Distrito")</f>
        <v>99. Distrito</v>
      </c>
      <c r="H4325" s="55">
        <f ca="1">IFERROR(__xludf.DUMMYFUNCTION("""COMPUTED_VALUE"""),44524)</f>
        <v>44524</v>
      </c>
      <c r="I4325" s="25"/>
      <c r="J4325" s="55" t="str">
        <f ca="1">IFERROR(__xludf.DUMMYFUNCTION("""COMPUTED_VALUE"""),"Alta")</f>
        <v>Alta</v>
      </c>
      <c r="K4325" s="25">
        <f ca="1">IFERROR(__xludf.DUMMYFUNCTION("""COMPUTED_VALUE"""),30)</f>
        <v>30</v>
      </c>
      <c r="L4325" s="62">
        <f ca="1">IFERROR(__xludf.DUMMYFUNCTION("""COMPUTED_VALUE"""),44530)</f>
        <v>44530</v>
      </c>
      <c r="M4325" s="25" t="str">
        <f ca="1">IFERROR(__xludf.DUMMYFUNCTION("""COMPUTED_VALUE"""),"Se revisó la planeación del proyecto extensión de la PLMB hasta el sector de la Calle 100 y se ajustaron las fechas de los estudios las cuales se vieron reflejadas en los compromisos del Contrato Interadministrativo 277 de 2021 con la FDN para realizar la"&amp;" estructuración técnica y financiera de la extensión. Los tiempos del Contrato se estipularon para presentar documentos de aval técnico y fiscal en mayo de 2022 y convenio de cofinanciación en julio de 2022. 
Los estudios para la planeación de la extensi"&amp;"ón de la PLMB hasta el sector de la Calle 100 deberán ajustar sus tiempos para cumplir con el objetivo de lograr la cofinanciación a más tardar el 06 de agosto de 2022. ")</f>
        <v xml:space="preserve">Se revisó la planeación del proyecto extensión de la PLMB hasta el sector de la Calle 100 y se ajustaron las fechas de los estudios las cuales se vieron reflejadas en los compromisos del Contrato Interadministrativo 277 de 2021 con la FDN para realizar la estructuración técnica y financiera de la extensión. Los tiempos del Contrato se estipularon para presentar documentos de aval técnico y fiscal en mayo de 2022 y convenio de cofinanciación en julio de 2022. 
Los estudios para la planeación de la extensión de la PLMB hasta el sector de la Calle 100 deberán ajustar sus tiempos para cumplir con el objetivo de lograr la cofinanciación a más tardar el 06 de agosto de 2022. </v>
      </c>
      <c r="N4325" s="55">
        <f ca="1">IFERROR(__xludf.DUMMYFUNCTION("""COMPUTED_VALUE"""),44530)</f>
        <v>44530</v>
      </c>
      <c r="O4325" s="25" t="str">
        <f t="shared" ca="1" si="0"/>
        <v>Empresa Metro de Bogotá S.A.</v>
      </c>
      <c r="P4325" s="25" t="str">
        <f t="shared" si="2"/>
        <v/>
      </c>
      <c r="Q4325" s="25" t="str">
        <f ca="1">IFERROR(__xludf.DUMMYFUNCTION("""COMPUTED_VALUE"""),"Corto plazo")</f>
        <v>Corto plazo</v>
      </c>
      <c r="R4325" s="25"/>
      <c r="S4325" s="55"/>
      <c r="T4325" s="56"/>
      <c r="U4325" s="25"/>
      <c r="V4325" s="25"/>
      <c r="W4325" s="25"/>
      <c r="X4325" s="25"/>
      <c r="Y4325" s="25"/>
      <c r="Z4325" s="25"/>
    </row>
    <row r="4326" spans="1:26" ht="52.5" customHeight="1" x14ac:dyDescent="0.25">
      <c r="A4326" s="25" t="str">
        <f ca="1">IFERROR(__xludf.DUMMYFUNCTION("""COMPUTED_VALUE"""),"Movil124")</f>
        <v>Movil124</v>
      </c>
      <c r="B4326" s="25" t="str">
        <f ca="1">IFERROR(__xludf.DUMMYFUNCTION("""COMPUTED_VALUE"""),"Leonidas Narváez - FDN Segunda Línea del Metro")</f>
        <v>Leonidas Narváez - FDN Segunda Línea del Metro</v>
      </c>
      <c r="C4326" s="55">
        <f ca="1">IFERROR(__xludf.DUMMYFUNCTION("""COMPUTED_VALUE"""),44494)</f>
        <v>44494</v>
      </c>
      <c r="D4326" s="25" t="str">
        <f ca="1">IFERROR(__xludf.DUMMYFUNCTION("""COMPUTED_VALUE"""),"Movilidad")</f>
        <v>Movilidad</v>
      </c>
      <c r="E4326" s="25" t="str">
        <f ca="1">IFERROR(__xludf.DUMMYFUNCTION("""COMPUTED_VALUE"""),"Secretaría Distrital de Movilidad")</f>
        <v>Secretaría Distrital de Movilidad</v>
      </c>
      <c r="F4326" s="25" t="str">
        <f ca="1">IFERROR(__xludf.DUMMYFUNCTION("""COMPUTED_VALUE"""),"Actualizar el manual para incluir todos los nuevos colores (pantone) en el transporte público  de la ciudad ")</f>
        <v xml:space="preserve">Actualizar el manual para incluir todos los nuevos colores (pantone) en el transporte público  de la ciudad </v>
      </c>
      <c r="G4326" s="25" t="str">
        <f ca="1">IFERROR(__xludf.DUMMYFUNCTION("""COMPUTED_VALUE"""),"99. Distrito")</f>
        <v>99. Distrito</v>
      </c>
      <c r="H4326" s="55">
        <f ca="1">IFERROR(__xludf.DUMMYFUNCTION("""COMPUTED_VALUE"""),44524)</f>
        <v>44524</v>
      </c>
      <c r="I4326" s="25"/>
      <c r="J4326" s="55" t="str">
        <f ca="1">IFERROR(__xludf.DUMMYFUNCTION("""COMPUTED_VALUE"""),"Alta")</f>
        <v>Alta</v>
      </c>
      <c r="K4326" s="25">
        <f ca="1">IFERROR(__xludf.DUMMYFUNCTION("""COMPUTED_VALUE"""),30)</f>
        <v>30</v>
      </c>
      <c r="L4326" s="62">
        <f ca="1">IFERROR(__xludf.DUMMYFUNCTION("""COMPUTED_VALUE"""),44837)</f>
        <v>44837</v>
      </c>
      <c r="M4326" s="25" t="str">
        <f ca="1">IFERROR(__xludf.DUMMYFUNCTION("""COMPUTED_VALUE"""),"Ajustar el manual de imagen del SITP adoptando los nuevos colores para los modos de transporte limpio, es competencia de la SDM. La Oficina Asesora de Comunicaciones de la SDM revisará el manual de imagen y gestionará la actualización ")</f>
        <v xml:space="preserve">Ajustar el manual de imagen del SITP adoptando los nuevos colores para los modos de transporte limpio, es competencia de la SDM. La Oficina Asesora de Comunicaciones de la SDM revisará el manual de imagen y gestionará la actualización </v>
      </c>
      <c r="N4326" s="55">
        <f ca="1">IFERROR(__xludf.DUMMYFUNCTION("""COMPUTED_VALUE"""),44837)</f>
        <v>44837</v>
      </c>
      <c r="O4326" s="25" t="str">
        <f t="shared" ca="1" si="0"/>
        <v>Secretaría Distrital de Movilidad</v>
      </c>
      <c r="P4326" s="25" t="str">
        <f t="shared" si="2"/>
        <v/>
      </c>
      <c r="Q4326" s="25" t="str">
        <f ca="1">IFERROR(__xludf.DUMMYFUNCTION("""COMPUTED_VALUE"""),"Corto plazo")</f>
        <v>Corto plazo</v>
      </c>
      <c r="R4326" s="25"/>
      <c r="S4326" s="55"/>
      <c r="T4326" s="56"/>
      <c r="U4326" s="25"/>
      <c r="V4326" s="25"/>
      <c r="W4326" s="25"/>
      <c r="X4326" s="25"/>
      <c r="Y4326" s="25"/>
      <c r="Z4326" s="25"/>
    </row>
    <row r="4327" spans="1:26" ht="52.5" customHeight="1" x14ac:dyDescent="0.25">
      <c r="A4327" s="25" t="str">
        <f ca="1">IFERROR(__xludf.DUMMYFUNCTION("""COMPUTED_VALUE"""),"Movil125")</f>
        <v>Movil125</v>
      </c>
      <c r="B4327" s="25" t="str">
        <f ca="1">IFERROR(__xludf.DUMMYFUNCTION("""COMPUTED_VALUE"""),"Leonidas Narváez - FDN Segunda Línea del Metro")</f>
        <v>Leonidas Narváez - FDN Segunda Línea del Metro</v>
      </c>
      <c r="C4327" s="55">
        <f ca="1">IFERROR(__xludf.DUMMYFUNCTION("""COMPUTED_VALUE"""),44494)</f>
        <v>44494</v>
      </c>
      <c r="D4327" s="25" t="str">
        <f ca="1">IFERROR(__xludf.DUMMYFUNCTION("""COMPUTED_VALUE"""),"Movilidad")</f>
        <v>Movilidad</v>
      </c>
      <c r="E4327" s="25" t="str">
        <f ca="1">IFERROR(__xludf.DUMMYFUNCTION("""COMPUTED_VALUE"""),"Empresa Metro de Bogotá S.A.")</f>
        <v>Empresa Metro de Bogotá S.A.</v>
      </c>
      <c r="F4327" s="25" t="str">
        <f ca="1">IFERROR(__xludf.DUMMYFUNCTION("""COMPUTED_VALUE"""),"Averiguar cómo actualizar la tasa de social de descuento empleadas en los análisis beneficio -costo y quede actualizada este año e incluida en los 13 líneas del metro, extensiones, etc")</f>
        <v>Averiguar cómo actualizar la tasa de social de descuento empleadas en los análisis beneficio -costo y quede actualizada este año e incluida en los 13 líneas del metro, extensiones, etc</v>
      </c>
      <c r="G4327" s="25" t="str">
        <f ca="1">IFERROR(__xludf.DUMMYFUNCTION("""COMPUTED_VALUE"""),"99. Distrito")</f>
        <v>99. Distrito</v>
      </c>
      <c r="H4327" s="55">
        <f ca="1">IFERROR(__xludf.DUMMYFUNCTION("""COMPUTED_VALUE"""),44524)</f>
        <v>44524</v>
      </c>
      <c r="I4327" s="25"/>
      <c r="J4327" s="55" t="str">
        <f ca="1">IFERROR(__xludf.DUMMYFUNCTION("""COMPUTED_VALUE"""),"Alta")</f>
        <v>Alta</v>
      </c>
      <c r="K4327" s="25">
        <f ca="1">IFERROR(__xludf.DUMMYFUNCTION("""COMPUTED_VALUE"""),30)</f>
        <v>30</v>
      </c>
      <c r="L4327" s="62">
        <f ca="1">IFERROR(__xludf.DUMMYFUNCTION("""COMPUTED_VALUE"""),44773)</f>
        <v>44773</v>
      </c>
      <c r="M4327" s="25" t="str">
        <f ca="1">IFERROR(__xludf.DUMMYFUNCTION("""COMPUTED_VALUE"""),"EMB: El día 28 de febrero de 2022 en reunión con HUMUS, FDN y la Subdirección de Transporte de DNP, ésta última reiteró que el proyecto debe ser evaluado bajo una tasa del 12%. Dado que así lo establece la metodología MGA, que no ha sido modificada. El ID"&amp;"U y Metro van a buscar una reunión con DNP para discutir alternativas para llevar a cabo esta evaluación. 
De acuerdo con las mesas de trabajo de socialización de la Línea 2 del Metro de Bogotá, llevadas a cabo con el Ministerio de Transporte y DNP, se t"&amp;"iene conocimiento que este último está adelantando gestiones al interior y para mediados del mes de abril se espera la expedición de la resolución que actualiza la tasa social de descuento utilizada para la evaluación de proyectos.")</f>
        <v>EMB: El día 28 de febrero de 2022 en reunión con HUMUS, FDN y la Subdirección de Transporte de DNP, ésta última reiteró que el proyecto debe ser evaluado bajo una tasa del 12%. Dado que así lo establece la metodología MGA, que no ha sido modificada. El IDU y Metro van a buscar una reunión con DNP para discutir alternativas para llevar a cabo esta evaluación. 
De acuerdo con las mesas de trabajo de socialización de la Línea 2 del Metro de Bogotá, llevadas a cabo con el Ministerio de Transporte y DNP, se tiene conocimiento que este último está adelantando gestiones al interior y para mediados del mes de abril se espera la expedición de la resolución que actualiza la tasa social de descuento utilizada para la evaluación de proyectos.</v>
      </c>
      <c r="N4327" s="55">
        <f ca="1">IFERROR(__xludf.DUMMYFUNCTION("""COMPUTED_VALUE"""),44773)</f>
        <v>44773</v>
      </c>
      <c r="O4327" s="25" t="str">
        <f t="shared" ca="1" si="0"/>
        <v>Empresa Metro de Bogotá S.A.</v>
      </c>
      <c r="P4327" s="25" t="str">
        <f t="shared" si="2"/>
        <v/>
      </c>
      <c r="Q4327" s="25" t="str">
        <f ca="1">IFERROR(__xludf.DUMMYFUNCTION("""COMPUTED_VALUE"""),"Corto plazo")</f>
        <v>Corto plazo</v>
      </c>
      <c r="R4327" s="25"/>
      <c r="S4327" s="55"/>
      <c r="T4327" s="56"/>
      <c r="U4327" s="25"/>
      <c r="V4327" s="25"/>
      <c r="W4327" s="25"/>
      <c r="X4327" s="25"/>
      <c r="Y4327" s="25"/>
      <c r="Z4327" s="25"/>
    </row>
    <row r="4328" spans="1:26" ht="52.5" customHeight="1" x14ac:dyDescent="0.25">
      <c r="A4328" s="25" t="str">
        <f ca="1">IFERROR(__xludf.DUMMYFUNCTION("""COMPUTED_VALUE"""),"Movil126")</f>
        <v>Movil126</v>
      </c>
      <c r="B4328" s="25" t="str">
        <f ca="1">IFERROR(__xludf.DUMMYFUNCTION("""COMPUTED_VALUE"""),"Leonidas Narváez - FDN Segunda Línea del Metro")</f>
        <v>Leonidas Narváez - FDN Segunda Línea del Metro</v>
      </c>
      <c r="C4328" s="55">
        <f ca="1">IFERROR(__xludf.DUMMYFUNCTION("""COMPUTED_VALUE"""),44494)</f>
        <v>44494</v>
      </c>
      <c r="D4328" s="25" t="str">
        <f ca="1">IFERROR(__xludf.DUMMYFUNCTION("""COMPUTED_VALUE"""),"Movilidad")</f>
        <v>Movilidad</v>
      </c>
      <c r="E4328" s="25" t="str">
        <f ca="1">IFERROR(__xludf.DUMMYFUNCTION("""COMPUTED_VALUE"""),"Secretaría Distrital de Movilidad")</f>
        <v>Secretaría Distrital de Movilidad</v>
      </c>
      <c r="F4328" s="25" t="str">
        <f ca="1">IFERROR(__xludf.DUMMYFUNCTION("""COMPUTED_VALUE"""),"Actualizar el escenario incluyendo la Cali desde Soacha. ")</f>
        <v xml:space="preserve">Actualizar el escenario incluyendo la Cali desde Soacha. </v>
      </c>
      <c r="G4328" s="25" t="str">
        <f ca="1">IFERROR(__xludf.DUMMYFUNCTION("""COMPUTED_VALUE"""),"99. Distrito")</f>
        <v>99. Distrito</v>
      </c>
      <c r="H4328" s="55">
        <f ca="1">IFERROR(__xludf.DUMMYFUNCTION("""COMPUTED_VALUE"""),44524)</f>
        <v>44524</v>
      </c>
      <c r="I4328" s="25"/>
      <c r="J4328" s="55" t="str">
        <f ca="1">IFERROR(__xludf.DUMMYFUNCTION("""COMPUTED_VALUE"""),"Alta")</f>
        <v>Alta</v>
      </c>
      <c r="K4328" s="25">
        <f ca="1">IFERROR(__xludf.DUMMYFUNCTION("""COMPUTED_VALUE"""),30)</f>
        <v>30</v>
      </c>
      <c r="L4328" s="62">
        <f ca="1">IFERROR(__xludf.DUMMYFUNCTION("""COMPUTED_VALUE"""),44837)</f>
        <v>44837</v>
      </c>
      <c r="M4328" s="25" t="str">
        <f ca="1">IFERROR(__xludf.DUMMYFUNCTION("""COMPUTED_VALUE"""),"Se realizaron los ejercicios de modelación incluyendo la solicitud")</f>
        <v>Se realizaron los ejercicios de modelación incluyendo la solicitud</v>
      </c>
      <c r="N4328" s="55">
        <f ca="1">IFERROR(__xludf.DUMMYFUNCTION("""COMPUTED_VALUE"""),44837)</f>
        <v>44837</v>
      </c>
      <c r="O4328" s="25" t="str">
        <f t="shared" ca="1" si="0"/>
        <v>Secretaría Distrital de Movilidad</v>
      </c>
      <c r="P4328" s="25" t="str">
        <f t="shared" si="2"/>
        <v/>
      </c>
      <c r="Q4328" s="25" t="str">
        <f ca="1">IFERROR(__xludf.DUMMYFUNCTION("""COMPUTED_VALUE"""),"Corto plazo")</f>
        <v>Corto plazo</v>
      </c>
      <c r="R4328" s="25"/>
      <c r="S4328" s="55"/>
      <c r="T4328" s="56"/>
      <c r="U4328" s="25"/>
      <c r="V4328" s="25"/>
      <c r="W4328" s="25"/>
      <c r="X4328" s="25"/>
      <c r="Y4328" s="25"/>
      <c r="Z4328" s="25"/>
    </row>
    <row r="4329" spans="1:26" ht="52.5" customHeight="1" x14ac:dyDescent="0.25">
      <c r="A4329" s="25" t="str">
        <f ca="1">IFERROR(__xludf.DUMMYFUNCTION("""COMPUTED_VALUE"""),"Movil127")</f>
        <v>Movil127</v>
      </c>
      <c r="B4329" s="25" t="str">
        <f ca="1">IFERROR(__xludf.DUMMYFUNCTION("""COMPUTED_VALUE"""),"Reunión grandes superficies")</f>
        <v>Reunión grandes superficies</v>
      </c>
      <c r="C4329" s="55">
        <f ca="1">IFERROR(__xludf.DUMMYFUNCTION("""COMPUTED_VALUE"""),44490)</f>
        <v>44490</v>
      </c>
      <c r="D4329" s="25" t="str">
        <f ca="1">IFERROR(__xludf.DUMMYFUNCTION("""COMPUTED_VALUE"""),"Movilidad")</f>
        <v>Movilidad</v>
      </c>
      <c r="E4329" s="25" t="str">
        <f ca="1">IFERROR(__xludf.DUMMYFUNCTION("""COMPUTED_VALUE"""),"Secretaría Distrital de Movilidad")</f>
        <v>Secretaría Distrital de Movilidad</v>
      </c>
      <c r="F4329" s="25" t="str">
        <f ca="1">IFERROR(__xludf.DUMMYFUNCTION("""COMPUTED_VALUE"""),"Organizar Transmilenio para que las rutas con más demanda manden la última flota un poco más tarde")</f>
        <v>Organizar Transmilenio para que las rutas con más demanda manden la última flota un poco más tarde</v>
      </c>
      <c r="G4329" s="25" t="str">
        <f ca="1">IFERROR(__xludf.DUMMYFUNCTION("""COMPUTED_VALUE"""),"99. Distrito")</f>
        <v>99. Distrito</v>
      </c>
      <c r="H4329" s="55">
        <f ca="1">IFERROR(__xludf.DUMMYFUNCTION("""COMPUTED_VALUE"""),44520)</f>
        <v>44520</v>
      </c>
      <c r="I4329" s="25"/>
      <c r="J4329" s="55" t="str">
        <f ca="1">IFERROR(__xludf.DUMMYFUNCTION("""COMPUTED_VALUE"""),"Alta")</f>
        <v>Alta</v>
      </c>
      <c r="K4329" s="25">
        <f ca="1">IFERROR(__xludf.DUMMYFUNCTION("""COMPUTED_VALUE"""),30)</f>
        <v>30</v>
      </c>
      <c r="L4329" s="62">
        <f ca="1">IFERROR(__xludf.DUMMYFUNCTION("""COMPUTED_VALUE"""),44530)</f>
        <v>44530</v>
      </c>
      <c r="M4329" s="25" t="str">
        <f ca="1">IFERROR(__xludf.DUMMYFUNCTION("""COMPUTED_VALUE"""),"Esta estrategia se implementó en los días sin IVA.")</f>
        <v>Esta estrategia se implementó en los días sin IVA.</v>
      </c>
      <c r="N4329" s="55">
        <f ca="1">IFERROR(__xludf.DUMMYFUNCTION("""COMPUTED_VALUE"""),44530)</f>
        <v>44530</v>
      </c>
      <c r="O4329" s="25" t="str">
        <f t="shared" ca="1" si="0"/>
        <v>Secretaría Distrital de Movilidad</v>
      </c>
      <c r="P4329" s="25" t="str">
        <f t="shared" si="2"/>
        <v/>
      </c>
      <c r="Q4329" s="25" t="str">
        <f ca="1">IFERROR(__xludf.DUMMYFUNCTION("""COMPUTED_VALUE"""),"Corto plazo")</f>
        <v>Corto plazo</v>
      </c>
      <c r="R4329" s="25"/>
      <c r="S4329" s="55"/>
      <c r="T4329" s="56"/>
      <c r="U4329" s="25"/>
      <c r="V4329" s="25"/>
      <c r="W4329" s="25"/>
      <c r="X4329" s="25"/>
      <c r="Y4329" s="25"/>
      <c r="Z4329" s="25"/>
    </row>
    <row r="4330" spans="1:26" ht="52.5" customHeight="1" x14ac:dyDescent="0.25">
      <c r="A4330" s="25" t="str">
        <f ca="1">IFERROR(__xludf.DUMMYFUNCTION("""COMPUTED_VALUE"""),"Movil128")</f>
        <v>Movil128</v>
      </c>
      <c r="B4330" s="25" t="str">
        <f ca="1">IFERROR(__xludf.DUMMYFUNCTION("""COMPUTED_VALUE"""),"ANI Gobernación IDU calle 13 - ALO
")</f>
        <v xml:space="preserve">ANI Gobernación IDU calle 13 - ALO
</v>
      </c>
      <c r="C4330" s="55">
        <f ca="1">IFERROR(__xludf.DUMMYFUNCTION("""COMPUTED_VALUE"""),44489)</f>
        <v>44489</v>
      </c>
      <c r="D4330" s="25" t="str">
        <f ca="1">IFERROR(__xludf.DUMMYFUNCTION("""COMPUTED_VALUE"""),"Movilidad")</f>
        <v>Movilidad</v>
      </c>
      <c r="E4330" s="25" t="str">
        <f ca="1">IFERROR(__xludf.DUMMYFUNCTION("""COMPUTED_VALUE"""),"Instituto de Desarrollo Urbano")</f>
        <v>Instituto de Desarrollo Urbano</v>
      </c>
      <c r="F4330" s="25" t="str">
        <f ca="1">IFERROR(__xludf.DUMMYFUNCTION("""COMPUTED_VALUE"""),"Anunciar inicio de obra de la 7ma y cronogramas y la recepción de ofertas de ALO SUR.")</f>
        <v>Anunciar inicio de obra de la 7ma y cronogramas y la recepción de ofertas de ALO SUR.</v>
      </c>
      <c r="G4330" s="25" t="str">
        <f ca="1">IFERROR(__xludf.DUMMYFUNCTION("""COMPUTED_VALUE"""),"99. Distrito")</f>
        <v>99. Distrito</v>
      </c>
      <c r="H4330" s="55">
        <f ca="1">IFERROR(__xludf.DUMMYFUNCTION("""COMPUTED_VALUE"""),44510)</f>
        <v>44510</v>
      </c>
      <c r="I4330" s="25"/>
      <c r="J4330" s="55" t="str">
        <f ca="1">IFERROR(__xludf.DUMMYFUNCTION("""COMPUTED_VALUE"""),"Alta")</f>
        <v>Alta</v>
      </c>
      <c r="K4330" s="25">
        <f ca="1">IFERROR(__xludf.DUMMYFUNCTION("""COMPUTED_VALUE"""),21)</f>
        <v>21</v>
      </c>
      <c r="L4330" s="62">
        <f ca="1">IFERROR(__xludf.DUMMYFUNCTION("""COMPUTED_VALUE"""),44748)</f>
        <v>44748</v>
      </c>
      <c r="M4330" s="25" t="str">
        <f ca="1">IFERROR(__xludf.DUMMYFUNCTION("""COMPUTED_VALUE"""),"Las obras de la séptima obedecen a las que están contempladas en la concesión de accesos norte fase I que está a cargo de la ANI
Las obras de la 7 de accesos norte fase II que va desde la 201 hasta la 245 son las del proceso de licitación de la app públic"&amp;"a que está suspendido hasta el 2 de dic.
De ALO sur hoy fue la audiencia de apertura de sobres quedó mejor calificado el tercero interesado , sin embargo conforme a la norma como el originador alcanzó a pasar del 80% de la calificación que obtuvo prode o"&amp;"riente tiene derecho a presentar nueva oferta el 13 de diciembre.")</f>
        <v>Las obras de la séptima obedecen a las que están contempladas en la concesión de accesos norte fase I que está a cargo de la ANI
Las obras de la 7 de accesos norte fase II que va desde la 201 hasta la 245 son las del proceso de licitación de la app pública que está suspendido hasta el 2 de dic.
De ALO sur hoy fue la audiencia de apertura de sobres quedó mejor calificado el tercero interesado , sin embargo conforme a la norma como el originador alcanzó a pasar del 80% de la calificación que obtuvo prode oriente tiene derecho a presentar nueva oferta el 13 de diciembre.</v>
      </c>
      <c r="N4330" s="55">
        <f ca="1">IFERROR(__xludf.DUMMYFUNCTION("""COMPUTED_VALUE"""),44748)</f>
        <v>44748</v>
      </c>
      <c r="O4330" s="25" t="str">
        <f t="shared" ca="1" si="0"/>
        <v>Instituto de Desarrollo Urbano</v>
      </c>
      <c r="P4330" s="25" t="str">
        <f t="shared" si="2"/>
        <v/>
      </c>
      <c r="Q4330" s="25" t="str">
        <f ca="1">IFERROR(__xludf.DUMMYFUNCTION("""COMPUTED_VALUE"""),"Corto plazo")</f>
        <v>Corto plazo</v>
      </c>
      <c r="R4330" s="25"/>
      <c r="S4330" s="55"/>
      <c r="T4330" s="56"/>
      <c r="U4330" s="25"/>
      <c r="V4330" s="25"/>
      <c r="W4330" s="25"/>
      <c r="X4330" s="25"/>
      <c r="Y4330" s="25"/>
      <c r="Z4330" s="25"/>
    </row>
    <row r="4331" spans="1:26" ht="52.5" customHeight="1" x14ac:dyDescent="0.25">
      <c r="A4331" s="25" t="str">
        <f ca="1">IFERROR(__xludf.DUMMYFUNCTION("""COMPUTED_VALUE"""),"Movil129")</f>
        <v>Movil129</v>
      </c>
      <c r="B4331" s="25" t="str">
        <f ca="1">IFERROR(__xludf.DUMMYFUNCTION("""COMPUTED_VALUE"""),"Junta de infraestructura")</f>
        <v>Junta de infraestructura</v>
      </c>
      <c r="C4331" s="55">
        <f ca="1">IFERROR(__xludf.DUMMYFUNCTION("""COMPUTED_VALUE"""),44480)</f>
        <v>44480</v>
      </c>
      <c r="D4331" s="25" t="str">
        <f ca="1">IFERROR(__xludf.DUMMYFUNCTION("""COMPUTED_VALUE"""),"Movilidad")</f>
        <v>Movilidad</v>
      </c>
      <c r="E4331" s="25" t="str">
        <f ca="1">IFERROR(__xludf.DUMMYFUNCTION("""COMPUTED_VALUE"""),"Secretaría Distrital de Movilidad")</f>
        <v>Secretaría Distrital de Movilidad</v>
      </c>
      <c r="F4331" s="25" t="str">
        <f ca="1">IFERROR(__xludf.DUMMYFUNCTION("""COMPUTED_VALUE"""),"Organizar sesión de trabajo con entidades con las que se ha reunido el IDU y que quieren desarrollar equipamientos y/o espacios de oportunidad a lo largo del CV7, para asignar responsabilidades y plazos. Esto con base en el listado que comparta el IDU")</f>
        <v>Organizar sesión de trabajo con entidades con las que se ha reunido el IDU y que quieren desarrollar equipamientos y/o espacios de oportunidad a lo largo del CV7, para asignar responsabilidades y plazos. Esto con base en el listado que comparta el IDU</v>
      </c>
      <c r="G4331" s="25" t="str">
        <f ca="1">IFERROR(__xludf.DUMMYFUNCTION("""COMPUTED_VALUE"""),"99. Distrito")</f>
        <v>99. Distrito</v>
      </c>
      <c r="H4331" s="55">
        <f ca="1">IFERROR(__xludf.DUMMYFUNCTION("""COMPUTED_VALUE"""),45107)</f>
        <v>45107</v>
      </c>
      <c r="I4331" s="25" t="str">
        <f ca="1">IFERROR(__xludf.DUMMYFUNCTION("""COMPUTED_VALUE"""),"Junta de Infraestructura")</f>
        <v>Junta de Infraestructura</v>
      </c>
      <c r="J4331" s="55" t="str">
        <f ca="1">IFERROR(__xludf.DUMMYFUNCTION("""COMPUTED_VALUE"""),"Baja")</f>
        <v>Baja</v>
      </c>
      <c r="K4331" s="25">
        <f ca="1">IFERROR(__xludf.DUMMYFUNCTION("""COMPUTED_VALUE"""),627)</f>
        <v>627</v>
      </c>
      <c r="L4331" s="62">
        <f ca="1">IFERROR(__xludf.DUMMYFUNCTION("""COMPUTED_VALUE"""),45016)</f>
        <v>45016</v>
      </c>
      <c r="M4331" s="25" t="str">
        <f ca="1">IFERROR(__xludf.DUMMYFUNCTION("""COMPUTED_VALUE"""),"Se envió comunicación a todas las entidades involucradas (SDE, SD Cultura, IDRD, Hábitat, IDT, Hábitat) para escalar con los tomadores de decisión y poder depurar una lista de compromisos concretos para formalizar con la Alcaldesa, el cual se encuentra en"&amp;" proceso de cierre. 
Las entidades más avanzadas son: Cultura, Mujer, IDRD, Desarrollo Económico. El más adelantado es S. Cultura, en la Carrera 7 con 60. 
Con cierre de geometría se procede a revisar posibles proyectos con otras entidades. cierres de dis"&amp;"eños en marzo 2023")</f>
        <v>Se envió comunicación a todas las entidades involucradas (SDE, SD Cultura, IDRD, Hábitat, IDT, Hábitat) para escalar con los tomadores de decisión y poder depurar una lista de compromisos concretos para formalizar con la Alcaldesa, el cual se encuentra en proceso de cierre. 
Las entidades más avanzadas son: Cultura, Mujer, IDRD, Desarrollo Económico. El más adelantado es S. Cultura, en la Carrera 7 con 60. 
Con cierre de geometría se procede a revisar posibles proyectos con otras entidades. cierres de diseños en marzo 2023</v>
      </c>
      <c r="N4331" s="55">
        <f ca="1">IFERROR(__xludf.DUMMYFUNCTION("""COMPUTED_VALUE"""),45044)</f>
        <v>45044</v>
      </c>
      <c r="O4331" s="25" t="str">
        <f t="shared" ca="1" si="0"/>
        <v>Secretaría Distrital de Movilidad</v>
      </c>
      <c r="P4331" s="25" t="str">
        <f t="shared" ca="1" si="2"/>
        <v/>
      </c>
      <c r="Q4331" s="25" t="str">
        <f ca="1">IFERROR(__xludf.DUMMYFUNCTION("""COMPUTED_VALUE"""),"Largo plazo")</f>
        <v>Largo plazo</v>
      </c>
      <c r="R4331" s="25"/>
      <c r="S4331" s="55"/>
      <c r="T4331" s="56"/>
      <c r="U4331" s="25"/>
      <c r="V4331" s="25"/>
      <c r="W4331" s="25"/>
      <c r="X4331" s="25"/>
      <c r="Y4331" s="25"/>
      <c r="Z4331" s="25"/>
    </row>
    <row r="4332" spans="1:26" ht="52.5" customHeight="1" x14ac:dyDescent="0.25">
      <c r="A4332" s="25" t="str">
        <f ca="1">IFERROR(__xludf.DUMMYFUNCTION("""COMPUTED_VALUE"""),"Movil130")</f>
        <v>Movil130</v>
      </c>
      <c r="B4332" s="25" t="str">
        <f ca="1">IFERROR(__xludf.DUMMYFUNCTION("""COMPUTED_VALUE"""),"Junta de infraestructura")</f>
        <v>Junta de infraestructura</v>
      </c>
      <c r="C4332" s="55">
        <f ca="1">IFERROR(__xludf.DUMMYFUNCTION("""COMPUTED_VALUE"""),44480)</f>
        <v>44480</v>
      </c>
      <c r="D4332" s="25" t="str">
        <f ca="1">IFERROR(__xludf.DUMMYFUNCTION("""COMPUTED_VALUE"""),"Movilidad")</f>
        <v>Movilidad</v>
      </c>
      <c r="E4332" s="25" t="str">
        <f ca="1">IFERROR(__xludf.DUMMYFUNCTION("""COMPUTED_VALUE"""),"Instituto de Desarrollo Urbano")</f>
        <v>Instituto de Desarrollo Urbano</v>
      </c>
      <c r="F4332" s="25" t="str">
        <f ca="1">IFERROR(__xludf.DUMMYFUNCTION("""COMPUTED_VALUE"""),"Gestionar con entidades que desarrollarán proyectos a lo largo del CV7 convenio similar al del Cable San Cristóbal. Se estima conveniente tenerlo para inicios del próximo año")</f>
        <v>Gestionar con entidades que desarrollarán proyectos a lo largo del CV7 convenio similar al del Cable San Cristóbal. Se estima conveniente tenerlo para inicios del próximo año</v>
      </c>
      <c r="G4332" s="25" t="str">
        <f ca="1">IFERROR(__xludf.DUMMYFUNCTION("""COMPUTED_VALUE"""),"99. Distrito")</f>
        <v>99. Distrito</v>
      </c>
      <c r="H4332" s="55">
        <f ca="1">IFERROR(__xludf.DUMMYFUNCTION("""COMPUTED_VALUE"""),45107)</f>
        <v>45107</v>
      </c>
      <c r="I4332" s="25" t="str">
        <f ca="1">IFERROR(__xludf.DUMMYFUNCTION("""COMPUTED_VALUE"""),"Junta de Infraestructura")</f>
        <v>Junta de Infraestructura</v>
      </c>
      <c r="J4332" s="55" t="str">
        <f ca="1">IFERROR(__xludf.DUMMYFUNCTION("""COMPUTED_VALUE"""),"Baja")</f>
        <v>Baja</v>
      </c>
      <c r="K4332" s="25">
        <f ca="1">IFERROR(__xludf.DUMMYFUNCTION("""COMPUTED_VALUE"""),627)</f>
        <v>627</v>
      </c>
      <c r="L4332" s="62">
        <f ca="1">IFERROR(__xludf.DUMMYFUNCTION("""COMPUTED_VALUE"""),45016)</f>
        <v>45016</v>
      </c>
      <c r="M4332" s="25" t="str">
        <f ca="1">IFERROR(__xludf.DUMMYFUNCTION("""COMPUTED_VALUE"""),"Primero se debe definir el corredor y después se revisa que se puede hacer con los remanentes. El cierre se estima en primera semana de abril 2023")</f>
        <v>Primero se debe definir el corredor y después se revisa que se puede hacer con los remanentes. El cierre se estima en primera semana de abril 2023</v>
      </c>
      <c r="N4332" s="55">
        <f ca="1">IFERROR(__xludf.DUMMYFUNCTION("""COMPUTED_VALUE"""),45044)</f>
        <v>45044</v>
      </c>
      <c r="O4332" s="25" t="str">
        <f t="shared" ca="1" si="0"/>
        <v>Instituto de Desarrollo Urbano</v>
      </c>
      <c r="P4332" s="25" t="str">
        <f t="shared" ca="1" si="2"/>
        <v/>
      </c>
      <c r="Q4332" s="25" t="str">
        <f ca="1">IFERROR(__xludf.DUMMYFUNCTION("""COMPUTED_VALUE"""),"Largo plazo")</f>
        <v>Largo plazo</v>
      </c>
      <c r="R4332" s="25"/>
      <c r="S4332" s="55"/>
      <c r="T4332" s="56"/>
      <c r="U4332" s="25"/>
      <c r="V4332" s="25"/>
      <c r="W4332" s="25"/>
      <c r="X4332" s="25"/>
      <c r="Y4332" s="25"/>
      <c r="Z4332" s="25"/>
    </row>
    <row r="4333" spans="1:26" ht="52.5" customHeight="1" x14ac:dyDescent="0.25">
      <c r="A4333" s="25" t="str">
        <f ca="1">IFERROR(__xludf.DUMMYFUNCTION("""COMPUTED_VALUE"""),"Movil131")</f>
        <v>Movil131</v>
      </c>
      <c r="B4333" s="25" t="str">
        <f ca="1">IFERROR(__xludf.DUMMYFUNCTION("""COMPUTED_VALUE"""),"Junta de infraestructura")</f>
        <v>Junta de infraestructura</v>
      </c>
      <c r="C4333" s="55">
        <f ca="1">IFERROR(__xludf.DUMMYFUNCTION("""COMPUTED_VALUE"""),44480)</f>
        <v>44480</v>
      </c>
      <c r="D4333" s="25" t="str">
        <f ca="1">IFERROR(__xludf.DUMMYFUNCTION("""COMPUTED_VALUE"""),"Movilidad")</f>
        <v>Movilidad</v>
      </c>
      <c r="E4333" s="25" t="str">
        <f ca="1">IFERROR(__xludf.DUMMYFUNCTION("""COMPUTED_VALUE"""),"Instituto de Desarrollo Urbano")</f>
        <v>Instituto de Desarrollo Urbano</v>
      </c>
      <c r="F4333" s="25" t="str">
        <f ca="1">IFERROR(__xludf.DUMMYFUNCTION("""COMPUTED_VALUE"""),"Revisar la estrategia normativa para asegurar que los antejardines se adecuen de conformidad con los diseños del corredor verde. Se debe revisar rápidamente si se requiere de algún ajuste normativo que se pueda adoptar en el POT.")</f>
        <v>Revisar la estrategia normativa para asegurar que los antejardines se adecuen de conformidad con los diseños del corredor verde. Se debe revisar rápidamente si se requiere de algún ajuste normativo que se pueda adoptar en el POT.</v>
      </c>
      <c r="G4333" s="25" t="str">
        <f ca="1">IFERROR(__xludf.DUMMYFUNCTION("""COMPUTED_VALUE"""),"99. Distrito")</f>
        <v>99. Distrito</v>
      </c>
      <c r="H4333" s="55">
        <f ca="1">IFERROR(__xludf.DUMMYFUNCTION("""COMPUTED_VALUE"""),44510)</f>
        <v>44510</v>
      </c>
      <c r="I4333" s="25"/>
      <c r="J4333" s="55" t="str">
        <f ca="1">IFERROR(__xludf.DUMMYFUNCTION("""COMPUTED_VALUE"""),"Alta")</f>
        <v>Alta</v>
      </c>
      <c r="K4333" s="25">
        <f ca="1">IFERROR(__xludf.DUMMYFUNCTION("""COMPUTED_VALUE"""),30)</f>
        <v>30</v>
      </c>
      <c r="L4333" s="62">
        <f ca="1">IFERROR(__xludf.DUMMYFUNCTION("""COMPUTED_VALUE"""),44530)</f>
        <v>44530</v>
      </c>
      <c r="M4333" s="25" t="str">
        <f ca="1">IFERROR(__xludf.DUMMYFUNCTION("""COMPUTED_VALUE"""),"Se validó con la dirección de valorización del IDU y NO se requiere ninguna modificación adicional a los decretos hoy existentes para intervención de antejardines.")</f>
        <v>Se validó con la dirección de valorización del IDU y NO se requiere ninguna modificación adicional a los decretos hoy existentes para intervención de antejardines.</v>
      </c>
      <c r="N4333" s="55">
        <f ca="1">IFERROR(__xludf.DUMMYFUNCTION("""COMPUTED_VALUE"""),44530)</f>
        <v>44530</v>
      </c>
      <c r="O4333" s="25" t="str">
        <f t="shared" ca="1" si="0"/>
        <v>Instituto de Desarrollo Urbano</v>
      </c>
      <c r="P4333" s="25" t="str">
        <f t="shared" si="2"/>
        <v/>
      </c>
      <c r="Q4333" s="25" t="str">
        <f ca="1">IFERROR(__xludf.DUMMYFUNCTION("""COMPUTED_VALUE"""),"Corto plazo")</f>
        <v>Corto plazo</v>
      </c>
      <c r="R4333" s="25"/>
      <c r="S4333" s="55"/>
      <c r="T4333" s="56"/>
      <c r="U4333" s="25"/>
      <c r="V4333" s="25"/>
      <c r="W4333" s="25"/>
      <c r="X4333" s="25"/>
      <c r="Y4333" s="25"/>
      <c r="Z4333" s="25"/>
    </row>
    <row r="4334" spans="1:26" ht="52.5" customHeight="1" x14ac:dyDescent="0.25">
      <c r="A4334" s="25" t="str">
        <f ca="1">IFERROR(__xludf.DUMMYFUNCTION("""COMPUTED_VALUE"""),"Movil132")</f>
        <v>Movil132</v>
      </c>
      <c r="B4334" s="25" t="str">
        <f ca="1">IFERROR(__xludf.DUMMYFUNCTION("""COMPUTED_VALUE"""),"Junta de infraestructura")</f>
        <v>Junta de infraestructura</v>
      </c>
      <c r="C4334" s="55">
        <f ca="1">IFERROR(__xludf.DUMMYFUNCTION("""COMPUTED_VALUE"""),44480)</f>
        <v>44480</v>
      </c>
      <c r="D4334" s="25" t="str">
        <f ca="1">IFERROR(__xludf.DUMMYFUNCTION("""COMPUTED_VALUE"""),"Movilidad")</f>
        <v>Movilidad</v>
      </c>
      <c r="E4334" s="25" t="str">
        <f ca="1">IFERROR(__xludf.DUMMYFUNCTION("""COMPUTED_VALUE"""),"Empresa de Transporte del Tercer Milenio - Transmilenio S.A.")</f>
        <v>Empresa de Transporte del Tercer Milenio - Transmilenio S.A.</v>
      </c>
      <c r="F4334" s="25" t="str">
        <f ca="1">IFERROR(__xludf.DUMMYFUNCTION("""COMPUTED_VALUE"""),"Adelantar pruebas requeridas para tener una mejor aproximación de la operación del servicio de transporte público bajo el límite de velocidad máxima de 30Km/h, intersecciones semaforizadas, etc… ")</f>
        <v xml:space="preserve">Adelantar pruebas requeridas para tener una mejor aproximación de la operación del servicio de transporte público bajo el límite de velocidad máxima de 30Km/h, intersecciones semaforizadas, etc… </v>
      </c>
      <c r="G4334" s="25" t="str">
        <f ca="1">IFERROR(__xludf.DUMMYFUNCTION("""COMPUTED_VALUE"""),"99. Distrito")</f>
        <v>99. Distrito</v>
      </c>
      <c r="H4334" s="55">
        <f ca="1">IFERROR(__xludf.DUMMYFUNCTION("""COMPUTED_VALUE"""),44510)</f>
        <v>44510</v>
      </c>
      <c r="I4334" s="25"/>
      <c r="J4334" s="55" t="str">
        <f ca="1">IFERROR(__xludf.DUMMYFUNCTION("""COMPUTED_VALUE"""),"Alta")</f>
        <v>Alta</v>
      </c>
      <c r="K4334" s="25">
        <f ca="1">IFERROR(__xludf.DUMMYFUNCTION("""COMPUTED_VALUE"""),30)</f>
        <v>30</v>
      </c>
      <c r="L4334" s="62">
        <f ca="1">IFERROR(__xludf.DUMMYFUNCTION("""COMPUTED_VALUE"""),44530)</f>
        <v>44530</v>
      </c>
      <c r="M4334" s="25" t="str">
        <f ca="1">IFERROR(__xludf.DUMMYFUNCTION("""COMPUTED_VALUE"""),"Semaforización: En corredores del sistema masivo fue implementado el verde intermitente en intersecciones semaforizadas, lo cual visibiliza la próxima terminación del tiempo de verde efectivo facilitando las maniobras de frenado, lo que redunda en mayor s"&amp;"eguridad para todos los usuarios. Adicionalmente se implementaron semáforos con pictograma para BRT para diferenciar la señalización de los grupos mixtos, cuando se dan fases diferente. 
:Se han adelantado pruebas el 23 de noviembre y el 30 de noviembre."&amp;" Adicionalmente se han hecho observaciones a las.simulaciones hechas por la SDM para ajustar los parámetros de simulación.
Las pruebas en campo arrojan diferencias en la velocidad comercial de 35%, diferente al 1% que mostró las simulación de SDM. Se espe"&amp;"ra resultados de las pruebas de campo para tener conclusiones del tema. Estás estarán para la primera semana de diciembre.")</f>
        <v>Semaforización: En corredores del sistema masivo fue implementado el verde intermitente en intersecciones semaforizadas, lo cual visibiliza la próxima terminación del tiempo de verde efectivo facilitando las maniobras de frenado, lo que redunda en mayor seguridad para todos los usuarios. Adicionalmente se implementaron semáforos con pictograma para BRT para diferenciar la señalización de los grupos mixtos, cuando se dan fases diferente. 
:Se han adelantado pruebas el 23 de noviembre y el 30 de noviembre. Adicionalmente se han hecho observaciones a las.simulaciones hechas por la SDM para ajustar los parámetros de simulación.
Las pruebas en campo arrojan diferencias en la velocidad comercial de 35%, diferente al 1% que mostró las simulación de SDM. Se espera resultados de las pruebas de campo para tener conclusiones del tema. Estás estarán para la primera semana de diciembre.</v>
      </c>
      <c r="N4334" s="55">
        <f ca="1">IFERROR(__xludf.DUMMYFUNCTION("""COMPUTED_VALUE"""),44530)</f>
        <v>44530</v>
      </c>
      <c r="O4334" s="25" t="str">
        <f t="shared" ca="1" si="0"/>
        <v>Empresa de Transporte del Tercer Milenio - Transmilenio S.A.</v>
      </c>
      <c r="P4334" s="25" t="str">
        <f t="shared" si="2"/>
        <v/>
      </c>
      <c r="Q4334" s="25" t="str">
        <f ca="1">IFERROR(__xludf.DUMMYFUNCTION("""COMPUTED_VALUE"""),"Corto plazo")</f>
        <v>Corto plazo</v>
      </c>
      <c r="R4334" s="25"/>
      <c r="S4334" s="55"/>
      <c r="T4334" s="56"/>
      <c r="U4334" s="25"/>
      <c r="V4334" s="25"/>
      <c r="W4334" s="25"/>
      <c r="X4334" s="25"/>
      <c r="Y4334" s="25"/>
      <c r="Z4334" s="25"/>
    </row>
    <row r="4335" spans="1:26" ht="52.5" customHeight="1" x14ac:dyDescent="0.25">
      <c r="A4335" s="25" t="str">
        <f ca="1">IFERROR(__xludf.DUMMYFUNCTION("""COMPUTED_VALUE"""),"Movil133")</f>
        <v>Movil133</v>
      </c>
      <c r="B4335" s="25" t="str">
        <f ca="1">IFERROR(__xludf.DUMMYFUNCTION("""COMPUTED_VALUE"""),"Junta de infraestructura")</f>
        <v>Junta de infraestructura</v>
      </c>
      <c r="C4335" s="55">
        <f ca="1">IFERROR(__xludf.DUMMYFUNCTION("""COMPUTED_VALUE"""),44480)</f>
        <v>44480</v>
      </c>
      <c r="D4335" s="25" t="str">
        <f ca="1">IFERROR(__xludf.DUMMYFUNCTION("""COMPUTED_VALUE"""),"Movilidad")</f>
        <v>Movilidad</v>
      </c>
      <c r="E4335" s="25" t="str">
        <f ca="1">IFERROR(__xludf.DUMMYFUNCTION("""COMPUTED_VALUE"""),"Secretaría Distrital de Movilidad")</f>
        <v>Secretaría Distrital de Movilidad</v>
      </c>
      <c r="F4335" s="25" t="str">
        <f ca="1">IFERROR(__xludf.DUMMYFUNCTION("""COMPUTED_VALUE"""),"Remitir a TM simulaciones de microsimulación elaboradas por la SDM para simular los impactos del límite de velocidad entre otros. ")</f>
        <v xml:space="preserve">Remitir a TM simulaciones de microsimulación elaboradas por la SDM para simular los impactos del límite de velocidad entre otros. </v>
      </c>
      <c r="G4335" s="25" t="str">
        <f ca="1">IFERROR(__xludf.DUMMYFUNCTION("""COMPUTED_VALUE"""),"99. Distrito")</f>
        <v>99. Distrito</v>
      </c>
      <c r="H4335" s="55">
        <f ca="1">IFERROR(__xludf.DUMMYFUNCTION("""COMPUTED_VALUE"""),44510)</f>
        <v>44510</v>
      </c>
      <c r="I4335" s="25"/>
      <c r="J4335" s="55" t="str">
        <f ca="1">IFERROR(__xludf.DUMMYFUNCTION("""COMPUTED_VALUE"""),"Alta")</f>
        <v>Alta</v>
      </c>
      <c r="K4335" s="25">
        <f ca="1">IFERROR(__xludf.DUMMYFUNCTION("""COMPUTED_VALUE"""),30)</f>
        <v>30</v>
      </c>
      <c r="L4335" s="62">
        <f ca="1">IFERROR(__xludf.DUMMYFUNCTION("""COMPUTED_VALUE"""),44530)</f>
        <v>44530</v>
      </c>
      <c r="M4335" s="25" t="str">
        <f ca="1">IFERROR(__xludf.DUMMYFUNCTION("""COMPUTED_VALUE"""),"Los reportes y modelos implementados para la simulación fueron entregados a TMSA el día 18 de noviembre de 2021. Posteriormente se realizó una reunión de seguimiento entre TMSA y SDM.")</f>
        <v>Los reportes y modelos implementados para la simulación fueron entregados a TMSA el día 18 de noviembre de 2021. Posteriormente se realizó una reunión de seguimiento entre TMSA y SDM.</v>
      </c>
      <c r="N4335" s="55">
        <f ca="1">IFERROR(__xludf.DUMMYFUNCTION("""COMPUTED_VALUE"""),44530)</f>
        <v>44530</v>
      </c>
      <c r="O4335" s="25" t="str">
        <f t="shared" ca="1" si="0"/>
        <v>Secretaría Distrital de Movilidad</v>
      </c>
      <c r="P4335" s="25" t="str">
        <f t="shared" si="2"/>
        <v/>
      </c>
      <c r="Q4335" s="25" t="str">
        <f ca="1">IFERROR(__xludf.DUMMYFUNCTION("""COMPUTED_VALUE"""),"Corto plazo")</f>
        <v>Corto plazo</v>
      </c>
      <c r="R4335" s="25"/>
      <c r="S4335" s="55"/>
      <c r="T4335" s="56"/>
      <c r="U4335" s="25"/>
      <c r="V4335" s="25"/>
      <c r="W4335" s="25"/>
      <c r="X4335" s="25"/>
      <c r="Y4335" s="25"/>
      <c r="Z4335" s="25"/>
    </row>
    <row r="4336" spans="1:26" ht="52.5" customHeight="1" x14ac:dyDescent="0.25">
      <c r="A4336" s="25" t="str">
        <f ca="1">IFERROR(__xludf.DUMMYFUNCTION("""COMPUTED_VALUE"""),"Movil134")</f>
        <v>Movil134</v>
      </c>
      <c r="B4336" s="25" t="str">
        <f ca="1">IFERROR(__xludf.DUMMYFUNCTION("""COMPUTED_VALUE"""),"Junta de infraestructura")</f>
        <v>Junta de infraestructura</v>
      </c>
      <c r="C4336" s="55">
        <f ca="1">IFERROR(__xludf.DUMMYFUNCTION("""COMPUTED_VALUE"""),44480)</f>
        <v>44480</v>
      </c>
      <c r="D4336" s="25" t="str">
        <f ca="1">IFERROR(__xludf.DUMMYFUNCTION("""COMPUTED_VALUE"""),"Movilidad")</f>
        <v>Movilidad</v>
      </c>
      <c r="E4336" s="25" t="str">
        <f ca="1">IFERROR(__xludf.DUMMYFUNCTION("""COMPUTED_VALUE"""),"Instituto de Desarrollo Urbano")</f>
        <v>Instituto de Desarrollo Urbano</v>
      </c>
      <c r="F4336" s="25" t="str">
        <f ca="1">IFERROR(__xludf.DUMMYFUNCTION("""COMPUTED_VALUE"""),"Organizar sesión específica para discutir alternativas de diseño de estaciones.")</f>
        <v>Organizar sesión específica para discutir alternativas de diseño de estaciones.</v>
      </c>
      <c r="G4336" s="25" t="str">
        <f ca="1">IFERROR(__xludf.DUMMYFUNCTION("""COMPUTED_VALUE"""),"99. Distrito")</f>
        <v>99. Distrito</v>
      </c>
      <c r="H4336" s="55">
        <f ca="1">IFERROR(__xludf.DUMMYFUNCTION("""COMPUTED_VALUE"""),44510)</f>
        <v>44510</v>
      </c>
      <c r="I4336" s="25"/>
      <c r="J4336" s="55" t="str">
        <f ca="1">IFERROR(__xludf.DUMMYFUNCTION("""COMPUTED_VALUE"""),"Alta")</f>
        <v>Alta</v>
      </c>
      <c r="K4336" s="25">
        <f ca="1">IFERROR(__xludf.DUMMYFUNCTION("""COMPUTED_VALUE"""),30)</f>
        <v>30</v>
      </c>
      <c r="L4336" s="62">
        <f ca="1">IFERROR(__xludf.DUMMYFUNCTION("""COMPUTED_VALUE"""),44757)</f>
        <v>44757</v>
      </c>
      <c r="M4336" s="25" t="str">
        <f ca="1">IFERROR(__xludf.DUMMYFUNCTION("""COMPUTED_VALUE"""),"Se incluirá este punto en la reunión de seguimiento de CV7 con la Junta de infraestructura citada para el 21 de Enero de 2022.
Este punto se inclumplio en enero de 2022, ya las estaciones finales están por cerrarse con TM.")</f>
        <v>Se incluirá este punto en la reunión de seguimiento de CV7 con la Junta de infraestructura citada para el 21 de Enero de 2022.
Este punto se inclumplio en enero de 2022, ya las estaciones finales están por cerrarse con TM.</v>
      </c>
      <c r="N4336" s="55">
        <f ca="1">IFERROR(__xludf.DUMMYFUNCTION("""COMPUTED_VALUE"""),44757)</f>
        <v>44757</v>
      </c>
      <c r="O4336" s="25" t="str">
        <f t="shared" ca="1" si="0"/>
        <v>Instituto de Desarrollo Urbano</v>
      </c>
      <c r="P4336" s="25" t="str">
        <f t="shared" si="2"/>
        <v/>
      </c>
      <c r="Q4336" s="25" t="str">
        <f ca="1">IFERROR(__xludf.DUMMYFUNCTION("""COMPUTED_VALUE"""),"Corto plazo")</f>
        <v>Corto plazo</v>
      </c>
      <c r="R4336" s="25"/>
      <c r="S4336" s="55"/>
      <c r="T4336" s="56"/>
      <c r="U4336" s="25"/>
      <c r="V4336" s="25"/>
      <c r="W4336" s="25"/>
      <c r="X4336" s="25"/>
      <c r="Y4336" s="25"/>
      <c r="Z4336" s="25"/>
    </row>
    <row r="4337" spans="1:26" ht="52.5" customHeight="1" x14ac:dyDescent="0.25">
      <c r="A4337" s="25" t="str">
        <f ca="1">IFERROR(__xludf.DUMMYFUNCTION("""COMPUTED_VALUE"""),"Movil135")</f>
        <v>Movil135</v>
      </c>
      <c r="B4337" s="25" t="str">
        <f ca="1">IFERROR(__xludf.DUMMYFUNCTION("""COMPUTED_VALUE"""),"Junta de infraestructura")</f>
        <v>Junta de infraestructura</v>
      </c>
      <c r="C4337" s="55">
        <f ca="1">IFERROR(__xludf.DUMMYFUNCTION("""COMPUTED_VALUE"""),44480)</f>
        <v>44480</v>
      </c>
      <c r="D4337" s="25" t="str">
        <f ca="1">IFERROR(__xludf.DUMMYFUNCTION("""COMPUTED_VALUE"""),"Movilidad")</f>
        <v>Movilidad</v>
      </c>
      <c r="E4337" s="25" t="str">
        <f ca="1">IFERROR(__xludf.DUMMYFUNCTION("""COMPUTED_VALUE"""),"Secretaría Distrital de Movilidad")</f>
        <v>Secretaría Distrital de Movilidad</v>
      </c>
      <c r="F4337" s="25" t="str">
        <f ca="1">IFERROR(__xludf.DUMMYFUNCTION("""COMPUTED_VALUE"""),"Definir política de límite de velocidad en el tramo 2 del CV 7, con base en esto revisar los elementos de segregación adecuados. Esto para que el consultor adopte como criterio de diseño.")</f>
        <v>Definir política de límite de velocidad en el tramo 2 del CV 7, con base en esto revisar los elementos de segregación adecuados. Esto para que el consultor adopte como criterio de diseño.</v>
      </c>
      <c r="G4337" s="25" t="str">
        <f ca="1">IFERROR(__xludf.DUMMYFUNCTION("""COMPUTED_VALUE"""),"99. Distrito")</f>
        <v>99. Distrito</v>
      </c>
      <c r="H4337" s="55">
        <f ca="1">IFERROR(__xludf.DUMMYFUNCTION("""COMPUTED_VALUE"""),44510)</f>
        <v>44510</v>
      </c>
      <c r="I4337" s="25"/>
      <c r="J4337" s="55" t="str">
        <f ca="1">IFERROR(__xludf.DUMMYFUNCTION("""COMPUTED_VALUE"""),"Alta")</f>
        <v>Alta</v>
      </c>
      <c r="K4337" s="25">
        <f ca="1">IFERROR(__xludf.DUMMYFUNCTION("""COMPUTED_VALUE"""),30)</f>
        <v>30</v>
      </c>
      <c r="L4337" s="62">
        <f ca="1">IFERROR(__xludf.DUMMYFUNCTION("""COMPUTED_VALUE"""),44748)</f>
        <v>44748</v>
      </c>
      <c r="M4337" s="25" t="str">
        <f ca="1">IFERROR(__xludf.DUMMYFUNCTION("""COMPUTED_VALUE"""),"Se recibió no objeción de TMSA al dimensionamiento final del perfil de transporte público. Se integró al diseño del corredor")</f>
        <v>Se recibió no objeción de TMSA al dimensionamiento final del perfil de transporte público. Se integró al diseño del corredor</v>
      </c>
      <c r="N4337" s="55">
        <f ca="1">IFERROR(__xludf.DUMMYFUNCTION("""COMPUTED_VALUE"""),44748)</f>
        <v>44748</v>
      </c>
      <c r="O4337" s="25" t="str">
        <f t="shared" ca="1" si="0"/>
        <v>Secretaría Distrital de Movilidad</v>
      </c>
      <c r="P4337" s="25" t="str">
        <f t="shared" si="2"/>
        <v/>
      </c>
      <c r="Q4337" s="25" t="str">
        <f ca="1">IFERROR(__xludf.DUMMYFUNCTION("""COMPUTED_VALUE"""),"Corto plazo")</f>
        <v>Corto plazo</v>
      </c>
      <c r="R4337" s="25"/>
      <c r="S4337" s="55"/>
      <c r="T4337" s="56"/>
      <c r="U4337" s="25"/>
      <c r="V4337" s="25"/>
      <c r="W4337" s="25"/>
      <c r="X4337" s="25"/>
      <c r="Y4337" s="25"/>
      <c r="Z4337" s="25"/>
    </row>
    <row r="4338" spans="1:26" ht="52.5" customHeight="1" x14ac:dyDescent="0.25">
      <c r="A4338" s="25" t="str">
        <f ca="1">IFERROR(__xludf.DUMMYFUNCTION("""COMPUTED_VALUE"""),"Movil136")</f>
        <v>Movil136</v>
      </c>
      <c r="B4338" s="25" t="str">
        <f ca="1">IFERROR(__xludf.DUMMYFUNCTION("""COMPUTED_VALUE"""),"Reunión diseño ambiental corredor verde 7ma")</f>
        <v>Reunión diseño ambiental corredor verde 7ma</v>
      </c>
      <c r="C4338" s="55">
        <f ca="1">IFERROR(__xludf.DUMMYFUNCTION("""COMPUTED_VALUE"""),44474)</f>
        <v>44474</v>
      </c>
      <c r="D4338" s="25" t="str">
        <f ca="1">IFERROR(__xludf.DUMMYFUNCTION("""COMPUTED_VALUE"""),"Movilidad")</f>
        <v>Movilidad</v>
      </c>
      <c r="E4338" s="25" t="str">
        <f ca="1">IFERROR(__xludf.DUMMYFUNCTION("""COMPUTED_VALUE"""),"Instituto de Desarrollo Urbano")</f>
        <v>Instituto de Desarrollo Urbano</v>
      </c>
      <c r="F4338" s="25" t="str">
        <f ca="1">IFERROR(__xludf.DUMMYFUNCTION("""COMPUTED_VALUE"""),"Incorporar en el proceso contractual de los contratistas, que el manual de diseño de corredor verde debe ser obligatorio ")</f>
        <v xml:space="preserve">Incorporar en el proceso contractual de los contratistas, que el manual de diseño de corredor verde debe ser obligatorio </v>
      </c>
      <c r="G4338" s="25" t="str">
        <f ca="1">IFERROR(__xludf.DUMMYFUNCTION("""COMPUTED_VALUE"""),"99. Distrito")</f>
        <v>99. Distrito</v>
      </c>
      <c r="H4338" s="55">
        <f ca="1">IFERROR(__xludf.DUMMYFUNCTION("""COMPUTED_VALUE"""),44504)</f>
        <v>44504</v>
      </c>
      <c r="I4338" s="25"/>
      <c r="J4338" s="55" t="str">
        <f ca="1">IFERROR(__xludf.DUMMYFUNCTION("""COMPUTED_VALUE"""),"Alta")</f>
        <v>Alta</v>
      </c>
      <c r="K4338" s="25">
        <f ca="1">IFERROR(__xludf.DUMMYFUNCTION("""COMPUTED_VALUE"""),30)</f>
        <v>30</v>
      </c>
      <c r="L4338" s="62">
        <f ca="1">IFERROR(__xludf.DUMMYFUNCTION("""COMPUTED_VALUE"""),44748)</f>
        <v>44748</v>
      </c>
      <c r="M4338" s="25" t="str">
        <f ca="1">IFERROR(__xludf.DUMMYFUNCTION("""COMPUTED_VALUE"""),"Se está integrando la guía de diseño a todos los elementos de detalle. El IDU ha liderado e integrado los comentarios de las entidades para el detalle. ")</f>
        <v xml:space="preserve">Se está integrando la guía de diseño a todos los elementos de detalle. El IDU ha liderado e integrado los comentarios de las entidades para el detalle. </v>
      </c>
      <c r="N4338" s="55">
        <f ca="1">IFERROR(__xludf.DUMMYFUNCTION("""COMPUTED_VALUE"""),44748)</f>
        <v>44748</v>
      </c>
      <c r="O4338" s="25" t="str">
        <f t="shared" ca="1" si="0"/>
        <v>Instituto de Desarrollo Urbano</v>
      </c>
      <c r="P4338" s="25" t="str">
        <f t="shared" si="2"/>
        <v/>
      </c>
      <c r="Q4338" s="25" t="str">
        <f ca="1">IFERROR(__xludf.DUMMYFUNCTION("""COMPUTED_VALUE"""),"Corto plazo")</f>
        <v>Corto plazo</v>
      </c>
      <c r="R4338" s="25"/>
      <c r="S4338" s="55"/>
      <c r="T4338" s="56"/>
      <c r="U4338" s="25"/>
      <c r="V4338" s="25"/>
      <c r="W4338" s="25"/>
      <c r="X4338" s="25"/>
      <c r="Y4338" s="25"/>
      <c r="Z4338" s="25"/>
    </row>
    <row r="4339" spans="1:26" ht="52.5" customHeight="1" x14ac:dyDescent="0.25">
      <c r="A4339" s="25" t="str">
        <f ca="1">IFERROR(__xludf.DUMMYFUNCTION("""COMPUTED_VALUE"""),"Movil137")</f>
        <v>Movil137</v>
      </c>
      <c r="B4339" s="25" t="str">
        <f ca="1">IFERROR(__xludf.DUMMYFUNCTION("""COMPUTED_VALUE"""),"CONPES Cll 13 y Regiotram
")</f>
        <v xml:space="preserve">CONPES Cll 13 y Regiotram
</v>
      </c>
      <c r="C4339" s="55">
        <f ca="1">IFERROR(__xludf.DUMMYFUNCTION("""COMPUTED_VALUE"""),44460)</f>
        <v>44460</v>
      </c>
      <c r="D4339" s="25" t="str">
        <f ca="1">IFERROR(__xludf.DUMMYFUNCTION("""COMPUTED_VALUE"""),"Movilidad")</f>
        <v>Movilidad</v>
      </c>
      <c r="E4339" s="25" t="str">
        <f ca="1">IFERROR(__xludf.DUMMYFUNCTION("""COMPUTED_VALUE"""),"Secretaría Distrital de Movilidad")</f>
        <v>Secretaría Distrital de Movilidad</v>
      </c>
      <c r="F4339" s="25" t="str">
        <f ca="1">IFERROR(__xludf.DUMMYFUNCTION("""COMPUTED_VALUE"""),"El puente de la calle 13 debe incluirse en la concesión")</f>
        <v>El puente de la calle 13 debe incluirse en la concesión</v>
      </c>
      <c r="G4339" s="25" t="str">
        <f ca="1">IFERROR(__xludf.DUMMYFUNCTION("""COMPUTED_VALUE"""),"99. Distrito")</f>
        <v>99. Distrito</v>
      </c>
      <c r="H4339" s="55">
        <f ca="1">IFERROR(__xludf.DUMMYFUNCTION("""COMPUTED_VALUE"""),44490)</f>
        <v>44490</v>
      </c>
      <c r="I4339" s="25"/>
      <c r="J4339" s="55" t="str">
        <f ca="1">IFERROR(__xludf.DUMMYFUNCTION("""COMPUTED_VALUE"""),"Alta")</f>
        <v>Alta</v>
      </c>
      <c r="K4339" s="25">
        <f ca="1">IFERROR(__xludf.DUMMYFUNCTION("""COMPUTED_VALUE"""),30)</f>
        <v>30</v>
      </c>
      <c r="L4339" s="62">
        <f ca="1">IFERROR(__xludf.DUMMYFUNCTION("""COMPUTED_VALUE"""),44530)</f>
        <v>44530</v>
      </c>
      <c r="M4339" s="25" t="str">
        <f ca="1">IFERROR(__xludf.DUMMYFUNCTION("""COMPUTED_VALUE"""),"El jueves 25 de noviembre, en el marco del convenio 1480 de 2020 (ANI, ICCU, IDU), se realizó una mesa técnica donde se aprobaron los proyectos a ejecutar, entre los cuales se encuentra el puente de la calle 13.
")</f>
        <v xml:space="preserve">El jueves 25 de noviembre, en el marco del convenio 1480 de 2020 (ANI, ICCU, IDU), se realizó una mesa técnica donde se aprobaron los proyectos a ejecutar, entre los cuales se encuentra el puente de la calle 13.
</v>
      </c>
      <c r="N4339" s="55">
        <f ca="1">IFERROR(__xludf.DUMMYFUNCTION("""COMPUTED_VALUE"""),44530)</f>
        <v>44530</v>
      </c>
      <c r="O4339" s="25" t="str">
        <f t="shared" ca="1" si="0"/>
        <v>Secretaría Distrital de Movilidad</v>
      </c>
      <c r="P4339" s="25" t="str">
        <f t="shared" si="2"/>
        <v/>
      </c>
      <c r="Q4339" s="25" t="str">
        <f ca="1">IFERROR(__xludf.DUMMYFUNCTION("""COMPUTED_VALUE"""),"Corto plazo")</f>
        <v>Corto plazo</v>
      </c>
      <c r="R4339" s="25"/>
      <c r="S4339" s="55"/>
      <c r="T4339" s="56"/>
      <c r="U4339" s="25"/>
      <c r="V4339" s="25"/>
      <c r="W4339" s="25"/>
      <c r="X4339" s="25"/>
      <c r="Y4339" s="25"/>
      <c r="Z4339" s="25"/>
    </row>
    <row r="4340" spans="1:26" ht="52.5" customHeight="1" x14ac:dyDescent="0.25">
      <c r="A4340" s="25" t="str">
        <f ca="1">IFERROR(__xludf.DUMMYFUNCTION("""COMPUTED_VALUE"""),"Movil138")</f>
        <v>Movil138</v>
      </c>
      <c r="B4340" s="25" t="str">
        <f ca="1">IFERROR(__xludf.DUMMYFUNCTION("""COMPUTED_VALUE"""),"CONPES Cll 13 y Regiotram
")</f>
        <v xml:space="preserve">CONPES Cll 13 y Regiotram
</v>
      </c>
      <c r="C4340" s="55">
        <f ca="1">IFERROR(__xludf.DUMMYFUNCTION("""COMPUTED_VALUE"""),44460)</f>
        <v>44460</v>
      </c>
      <c r="D4340" s="25" t="str">
        <f ca="1">IFERROR(__xludf.DUMMYFUNCTION("""COMPUTED_VALUE"""),"Movilidad")</f>
        <v>Movilidad</v>
      </c>
      <c r="E4340" s="25" t="str">
        <f ca="1">IFERROR(__xludf.DUMMYFUNCTION("""COMPUTED_VALUE"""),"Secretaría Distrital de Movilidad")</f>
        <v>Secretaría Distrital de Movilidad</v>
      </c>
      <c r="F4340" s="25" t="str">
        <f ca="1">IFERROR(__xludf.DUMMYFUNCTION("""COMPUTED_VALUE"""),"Definir los requisitos técnicos de cofinanciación de la calle 13. ")</f>
        <v xml:space="preserve">Definir los requisitos técnicos de cofinanciación de la calle 13. </v>
      </c>
      <c r="G4340" s="25" t="str">
        <f ca="1">IFERROR(__xludf.DUMMYFUNCTION("""COMPUTED_VALUE"""),"99. Distrito")</f>
        <v>99. Distrito</v>
      </c>
      <c r="H4340" s="55">
        <f ca="1">IFERROR(__xludf.DUMMYFUNCTION("""COMPUTED_VALUE"""),44477)</f>
        <v>44477</v>
      </c>
      <c r="I4340" s="25"/>
      <c r="J4340" s="55" t="str">
        <f ca="1">IFERROR(__xludf.DUMMYFUNCTION("""COMPUTED_VALUE"""),"Alta")</f>
        <v>Alta</v>
      </c>
      <c r="K4340" s="25">
        <f ca="1">IFERROR(__xludf.DUMMYFUNCTION("""COMPUTED_VALUE"""),17)</f>
        <v>17</v>
      </c>
      <c r="L4340" s="62">
        <f ca="1">IFERROR(__xludf.DUMMYFUNCTION("""COMPUTED_VALUE"""),44783)</f>
        <v>44783</v>
      </c>
      <c r="M4340" s="25" t="str">
        <f ca="1">IFERROR(__xludf.DUMMYFUNCTION("""COMPUTED_VALUE"""),"Se publicó el Documento CONPES 4104 y se firmó el convenio de cofinanciación del proyecto Troncal Calle 13 ")</f>
        <v xml:space="preserve">Se publicó el Documento CONPES 4104 y se firmó el convenio de cofinanciación del proyecto Troncal Calle 13 </v>
      </c>
      <c r="N4340" s="55">
        <f ca="1">IFERROR(__xludf.DUMMYFUNCTION("""COMPUTED_VALUE"""),44783)</f>
        <v>44783</v>
      </c>
      <c r="O4340" s="25" t="str">
        <f t="shared" ca="1" si="0"/>
        <v>Secretaría Distrital de Movilidad</v>
      </c>
      <c r="P4340" s="25" t="str">
        <f t="shared" si="2"/>
        <v/>
      </c>
      <c r="Q4340" s="25" t="str">
        <f ca="1">IFERROR(__xludf.DUMMYFUNCTION("""COMPUTED_VALUE"""),"Corto plazo")</f>
        <v>Corto plazo</v>
      </c>
      <c r="R4340" s="25"/>
      <c r="S4340" s="55"/>
      <c r="T4340" s="56"/>
      <c r="U4340" s="25"/>
      <c r="V4340" s="25"/>
      <c r="W4340" s="25"/>
      <c r="X4340" s="25"/>
      <c r="Y4340" s="25"/>
      <c r="Z4340" s="25"/>
    </row>
    <row r="4341" spans="1:26" ht="52.5" customHeight="1" x14ac:dyDescent="0.25">
      <c r="A4341" s="25" t="str">
        <f ca="1">IFERROR(__xludf.DUMMYFUNCTION("""COMPUTED_VALUE"""),"Movil139")</f>
        <v>Movil139</v>
      </c>
      <c r="B4341" s="25" t="str">
        <f ca="1">IFERROR(__xludf.DUMMYFUNCTION("""COMPUTED_VALUE"""),"CONPES Cll 13 y Regiotram
")</f>
        <v xml:space="preserve">CONPES Cll 13 y Regiotram
</v>
      </c>
      <c r="C4341" s="55">
        <f ca="1">IFERROR(__xludf.DUMMYFUNCTION("""COMPUTED_VALUE"""),44460)</f>
        <v>44460</v>
      </c>
      <c r="D4341" s="25" t="str">
        <f ca="1">IFERROR(__xludf.DUMMYFUNCTION("""COMPUTED_VALUE"""),"Movilidad")</f>
        <v>Movilidad</v>
      </c>
      <c r="E4341" s="25" t="str">
        <f ca="1">IFERROR(__xludf.DUMMYFUNCTION("""COMPUTED_VALUE"""),"Empresa Metro de Bogotá S.A.")</f>
        <v>Empresa Metro de Bogotá S.A.</v>
      </c>
      <c r="F4341" s="25" t="str">
        <f ca="1">IFERROR(__xludf.DUMMYFUNCTION("""COMPUTED_VALUE"""),"Para la próxima reunión con el Departamento Nacional de Planeación se debe llevar la propuesta de la estación central.")</f>
        <v>Para la próxima reunión con el Departamento Nacional de Planeación se debe llevar la propuesta de la estación central.</v>
      </c>
      <c r="G4341" s="25" t="str">
        <f ca="1">IFERROR(__xludf.DUMMYFUNCTION("""COMPUTED_VALUE"""),"99. Distrito")</f>
        <v>99. Distrito</v>
      </c>
      <c r="H4341" s="55">
        <f ca="1">IFERROR(__xludf.DUMMYFUNCTION("""COMPUTED_VALUE"""),44490)</f>
        <v>44490</v>
      </c>
      <c r="I4341" s="25"/>
      <c r="J4341" s="55" t="str">
        <f ca="1">IFERROR(__xludf.DUMMYFUNCTION("""COMPUTED_VALUE"""),"Alta")</f>
        <v>Alta</v>
      </c>
      <c r="K4341" s="25">
        <f ca="1">IFERROR(__xludf.DUMMYFUNCTION("""COMPUTED_VALUE"""),30)</f>
        <v>30</v>
      </c>
      <c r="L4341" s="62">
        <f ca="1">IFERROR(__xludf.DUMMYFUNCTION("""COMPUTED_VALUE"""),44773)</f>
        <v>44773</v>
      </c>
      <c r="M4341" s="25" t="str">
        <f ca="1">IFERROR(__xludf.DUMMYFUNCTION("""COMPUTED_VALUE"""),"Se envió a la Secretaría Distrital de Planeación las observaciones al alcance de la formulación del plan parcial Estación Metro Calle 26 mediante el oficio con radicado PQRSD_S22_01045 del 5 de julio de 2022.")</f>
        <v>Se envió a la Secretaría Distrital de Planeación las observaciones al alcance de la formulación del plan parcial Estación Metro Calle 26 mediante el oficio con radicado PQRSD_S22_01045 del 5 de julio de 2022.</v>
      </c>
      <c r="N4341" s="55">
        <f ca="1">IFERROR(__xludf.DUMMYFUNCTION("""COMPUTED_VALUE"""),44773)</f>
        <v>44773</v>
      </c>
      <c r="O4341" s="25" t="str">
        <f t="shared" ca="1" si="0"/>
        <v>Empresa Metro de Bogotá S.A.</v>
      </c>
      <c r="P4341" s="25" t="str">
        <f t="shared" si="2"/>
        <v/>
      </c>
      <c r="Q4341" s="25" t="str">
        <f ca="1">IFERROR(__xludf.DUMMYFUNCTION("""COMPUTED_VALUE"""),"Corto plazo")</f>
        <v>Corto plazo</v>
      </c>
      <c r="R4341" s="25"/>
      <c r="S4341" s="55"/>
      <c r="T4341" s="56"/>
      <c r="U4341" s="25"/>
      <c r="V4341" s="25"/>
      <c r="W4341" s="25"/>
      <c r="X4341" s="25"/>
      <c r="Y4341" s="25"/>
      <c r="Z4341" s="25"/>
    </row>
    <row r="4342" spans="1:26" ht="52.5" customHeight="1" x14ac:dyDescent="0.25">
      <c r="A4342" s="25" t="str">
        <f ca="1">IFERROR(__xludf.DUMMYFUNCTION("""COMPUTED_VALUE"""),"Movil140")</f>
        <v>Movil140</v>
      </c>
      <c r="B4342" s="25" t="str">
        <f ca="1">IFERROR(__xludf.DUMMYFUNCTION("""COMPUTED_VALUE"""),"Despachando colectivo de ciclistas")</f>
        <v>Despachando colectivo de ciclistas</v>
      </c>
      <c r="C4342" s="55">
        <f ca="1">IFERROR(__xludf.DUMMYFUNCTION("""COMPUTED_VALUE"""),44459)</f>
        <v>44459</v>
      </c>
      <c r="D4342" s="25" t="str">
        <f ca="1">IFERROR(__xludf.DUMMYFUNCTION("""COMPUTED_VALUE"""),"Movilidad")</f>
        <v>Movilidad</v>
      </c>
      <c r="E4342" s="25" t="str">
        <f ca="1">IFERROR(__xludf.DUMMYFUNCTION("""COMPUTED_VALUE"""),"Secretaría Distrital de Movilidad")</f>
        <v>Secretaría Distrital de Movilidad</v>
      </c>
      <c r="F4342" s="25" t="str">
        <f ca="1">IFERROR(__xludf.DUMMYFUNCTION("""COMPUTED_VALUE"""),"Socializar la nueva forma de registro de bicicleta por código QR y que ahora es en un solo paso y de forma virtual agilizando el trámite. ")</f>
        <v xml:space="preserve">Socializar la nueva forma de registro de bicicleta por código QR y que ahora es en un solo paso y de forma virtual agilizando el trámite. </v>
      </c>
      <c r="G4342" s="25" t="str">
        <f ca="1">IFERROR(__xludf.DUMMYFUNCTION("""COMPUTED_VALUE"""),"99. Distrito")</f>
        <v>99. Distrito</v>
      </c>
      <c r="H4342" s="55">
        <f ca="1">IFERROR(__xludf.DUMMYFUNCTION("""COMPUTED_VALUE"""),44470)</f>
        <v>44470</v>
      </c>
      <c r="I4342" s="25"/>
      <c r="J4342" s="55" t="str">
        <f ca="1">IFERROR(__xludf.DUMMYFUNCTION("""COMPUTED_VALUE"""),"Alta")</f>
        <v>Alta</v>
      </c>
      <c r="K4342" s="25">
        <f ca="1">IFERROR(__xludf.DUMMYFUNCTION("""COMPUTED_VALUE"""),11)</f>
        <v>11</v>
      </c>
      <c r="L4342" s="62">
        <f ca="1">IFERROR(__xludf.DUMMYFUNCTION("""COMPUTED_VALUE"""),44482)</f>
        <v>44482</v>
      </c>
      <c r="M4342" s="25" t="str">
        <f ca="1">IFERROR(__xludf.DUMMYFUNCTION("""COMPUTED_VALUE"""),"La plataforma de ""Registro Bici Bogotá"" fue actualizada permitiendo ahora el comprobante de registro con código Qr y el procedimiento totalmente virtual. Fue formalizada y publicada su actualización el 3 de octubre como parte de las actividades de cierr"&amp;"e de la semana bici. Como actividad final, la SDM, SDDE y Secretario Distrital de Seguridad, Convivencia y Justicia, se suscribió y publicó la Resolución 96234 DE 2021 “Por medio de la cual se desarrollan los aspectos de tipo operativo encaminados a reali"&amp;"zar el Registro Bici Bogotá y las características del comprobante de Registro Bici en cumplimiento del Decreto 242 de 2021”")</f>
        <v>La plataforma de "Registro Bici Bogotá" fue actualizada permitiendo ahora el comprobante de registro con código Qr y el procedimiento totalmente virtual. Fue formalizada y publicada su actualización el 3 de octubre como parte de las actividades de cierre de la semana bici. Como actividad final, la SDM, SDDE y Secretario Distrital de Seguridad, Convivencia y Justicia, se suscribió y publicó la Resolución 96234 DE 2021 “Por medio de la cual se desarrollan los aspectos de tipo operativo encaminados a realizar el Registro Bici Bogotá y las características del comprobante de Registro Bici en cumplimiento del Decreto 242 de 2021”</v>
      </c>
      <c r="N4342" s="55">
        <f ca="1">IFERROR(__xludf.DUMMYFUNCTION("""COMPUTED_VALUE"""),44482)</f>
        <v>44482</v>
      </c>
      <c r="O4342" s="25" t="str">
        <f t="shared" ca="1" si="0"/>
        <v>Secretaría Distrital de Movilidad</v>
      </c>
      <c r="P4342" s="25" t="str">
        <f t="shared" si="2"/>
        <v/>
      </c>
      <c r="Q4342" s="25" t="str">
        <f ca="1">IFERROR(__xludf.DUMMYFUNCTION("""COMPUTED_VALUE"""),"Corto plazo")</f>
        <v>Corto plazo</v>
      </c>
      <c r="R4342" s="25"/>
      <c r="S4342" s="55"/>
      <c r="T4342" s="56"/>
      <c r="U4342" s="25"/>
      <c r="V4342" s="25"/>
      <c r="W4342" s="25"/>
      <c r="X4342" s="25"/>
      <c r="Y4342" s="25"/>
      <c r="Z4342" s="25"/>
    </row>
    <row r="4343" spans="1:26" ht="52.5" customHeight="1" x14ac:dyDescent="0.25">
      <c r="A4343" s="25" t="str">
        <f ca="1">IFERROR(__xludf.DUMMYFUNCTION("""COMPUTED_VALUE"""),"Movil141")</f>
        <v>Movil141</v>
      </c>
      <c r="B4343" s="25" t="str">
        <f ca="1">IFERROR(__xludf.DUMMYFUNCTION("""COMPUTED_VALUE"""),"Despachando colectivo de ciclistas")</f>
        <v>Despachando colectivo de ciclistas</v>
      </c>
      <c r="C4343" s="55">
        <f ca="1">IFERROR(__xludf.DUMMYFUNCTION("""COMPUTED_VALUE"""),44459)</f>
        <v>44459</v>
      </c>
      <c r="D4343" s="25" t="str">
        <f ca="1">IFERROR(__xludf.DUMMYFUNCTION("""COMPUTED_VALUE"""),"Movilidad")</f>
        <v>Movilidad</v>
      </c>
      <c r="E4343" s="25" t="str">
        <f ca="1">IFERROR(__xludf.DUMMYFUNCTION("""COMPUTED_VALUE"""),"Secretaría Distrital de Movilidad")</f>
        <v>Secretaría Distrital de Movilidad</v>
      </c>
      <c r="F4343" s="25" t="str">
        <f ca="1">IFERROR(__xludf.DUMMYFUNCTION("""COMPUTED_VALUE"""),"Realizar un gran acto de entrega de la propuesta al congreso de inclusión de artículos de ley  en materia de registro de bicicleta. ")</f>
        <v xml:space="preserve">Realizar un gran acto de entrega de la propuesta al congreso de inclusión de artículos de ley  en materia de registro de bicicleta. </v>
      </c>
      <c r="G4343" s="25" t="str">
        <f ca="1">IFERROR(__xludf.DUMMYFUNCTION("""COMPUTED_VALUE"""),"99. Distrito")</f>
        <v>99. Distrito</v>
      </c>
      <c r="H4343" s="55">
        <f ca="1">IFERROR(__xludf.DUMMYFUNCTION("""COMPUTED_VALUE"""),44473)</f>
        <v>44473</v>
      </c>
      <c r="I4343" s="25"/>
      <c r="J4343" s="55" t="str">
        <f ca="1">IFERROR(__xludf.DUMMYFUNCTION("""COMPUTED_VALUE"""),"Alta")</f>
        <v>Alta</v>
      </c>
      <c r="K4343" s="25">
        <f ca="1">IFERROR(__xludf.DUMMYFUNCTION("""COMPUTED_VALUE"""),14)</f>
        <v>14</v>
      </c>
      <c r="L4343" s="62">
        <f ca="1">IFERROR(__xludf.DUMMYFUNCTION("""COMPUTED_VALUE"""),44530)</f>
        <v>44530</v>
      </c>
      <c r="M4343" s="25" t="str">
        <f ca="1">IFERROR(__xludf.DUMMYFUNCTION("""COMPUTED_VALUE"""),"La Secretaría de Seguridad, Convivencia y Justicia realizó entrega de conceptos jurídicos y normativos para convertir el hurto a bicicleta como delito autónomo y entregó a Alcaldía Mayor para su formalización ante la Nación. 
La Secretaría de Seguridad, "&amp;"Convivencia y Justicia y la SDM programaron reunión el 14/10/2021 para conocer detalles sobre la propuesta de articulado y organizar la actividad. 
En mesa de seguridad del 27 de octubre de 2021, la Secretaría de Seguridad quedó con el compromiso de sumi"&amp;"nistro de los documentos con los conceptos jurídicos. 
El 10/11/2021 la Secretaría de Seguridad, Convivencia y Justicia compartió por correo electrónico la gestión adelantada por la alcaldía mayor ante gobierno nacional, indicando la remisión de los docu"&amp;"mentos contentivos de la propuesta legislativa que fue socializada por la Alcaldesa en reunión nacional del 4 de octubre de 2021. Proyecto de Ley, ""por el cual se crea el régimen de contravenciones efectivas con contenido preventivo y transformador y se "&amp;"dictan otras disposiciones"".")</f>
        <v>La Secretaría de Seguridad, Convivencia y Justicia realizó entrega de conceptos jurídicos y normativos para convertir el hurto a bicicleta como delito autónomo y entregó a Alcaldía Mayor para su formalización ante la Nación. 
La Secretaría de Seguridad, Convivencia y Justicia y la SDM programaron reunión el 14/10/2021 para conocer detalles sobre la propuesta de articulado y organizar la actividad. 
En mesa de seguridad del 27 de octubre de 2021, la Secretaría de Seguridad quedó con el compromiso de suministro de los documentos con los conceptos jurídicos. 
El 10/11/2021 la Secretaría de Seguridad, Convivencia y Justicia compartió por correo electrónico la gestión adelantada por la alcaldía mayor ante gobierno nacional, indicando la remisión de los documentos contentivos de la propuesta legislativa que fue socializada por la Alcaldesa en reunión nacional del 4 de octubre de 2021. Proyecto de Ley, "por el cual se crea el régimen de contravenciones efectivas con contenido preventivo y transformador y se dictan otras disposiciones".</v>
      </c>
      <c r="N4343" s="55">
        <f ca="1">IFERROR(__xludf.DUMMYFUNCTION("""COMPUTED_VALUE"""),44530)</f>
        <v>44530</v>
      </c>
      <c r="O4343" s="25" t="str">
        <f t="shared" ca="1" si="0"/>
        <v>Secretaría Distrital de Movilidad</v>
      </c>
      <c r="P4343" s="25" t="str">
        <f t="shared" si="2"/>
        <v/>
      </c>
      <c r="Q4343" s="25" t="str">
        <f ca="1">IFERROR(__xludf.DUMMYFUNCTION("""COMPUTED_VALUE"""),"Corto plazo")</f>
        <v>Corto plazo</v>
      </c>
      <c r="R4343" s="25"/>
      <c r="S4343" s="55"/>
      <c r="T4343" s="56"/>
      <c r="U4343" s="25"/>
      <c r="V4343" s="25"/>
      <c r="W4343" s="25"/>
      <c r="X4343" s="25"/>
      <c r="Y4343" s="25"/>
      <c r="Z4343" s="25"/>
    </row>
    <row r="4344" spans="1:26" ht="52.5" customHeight="1" x14ac:dyDescent="0.25">
      <c r="A4344" s="25" t="str">
        <f ca="1">IFERROR(__xludf.DUMMYFUNCTION("""COMPUTED_VALUE"""),"Movil142")</f>
        <v>Movil142</v>
      </c>
      <c r="B4344" s="25" t="str">
        <f ca="1">IFERROR(__xludf.DUMMYFUNCTION("""COMPUTED_VALUE"""),"Despachando colectivo de ciclistas")</f>
        <v>Despachando colectivo de ciclistas</v>
      </c>
      <c r="C4344" s="55">
        <f ca="1">IFERROR(__xludf.DUMMYFUNCTION("""COMPUTED_VALUE"""),44459)</f>
        <v>44459</v>
      </c>
      <c r="D4344" s="25" t="str">
        <f ca="1">IFERROR(__xludf.DUMMYFUNCTION("""COMPUTED_VALUE"""),"Movilidad")</f>
        <v>Movilidad</v>
      </c>
      <c r="E4344" s="25" t="str">
        <f ca="1">IFERROR(__xludf.DUMMYFUNCTION("""COMPUTED_VALUE"""),"Secretaría Distrital de Movilidad")</f>
        <v>Secretaría Distrital de Movilidad</v>
      </c>
      <c r="F4344" s="25" t="str">
        <f ca="1">IFERROR(__xludf.DUMMYFUNCTION("""COMPUTED_VALUE"""),"Realizar una gran firmatón fìsicas y virtuales por el colectivo de ciclistas referente a la propuestas que se radicaran en el congreso solicitud para que el hurto a bicicleta se declare delito autónomo")</f>
        <v>Realizar una gran firmatón fìsicas y virtuales por el colectivo de ciclistas referente a la propuestas que se radicaran en el congreso solicitud para que el hurto a bicicleta se declare delito autónomo</v>
      </c>
      <c r="G4344" s="25" t="str">
        <f ca="1">IFERROR(__xludf.DUMMYFUNCTION("""COMPUTED_VALUE"""),"99. Distrito")</f>
        <v>99. Distrito</v>
      </c>
      <c r="H4344" s="55">
        <f ca="1">IFERROR(__xludf.DUMMYFUNCTION("""COMPUTED_VALUE"""),44470)</f>
        <v>44470</v>
      </c>
      <c r="I4344" s="25"/>
      <c r="J4344" s="55" t="str">
        <f ca="1">IFERROR(__xludf.DUMMYFUNCTION("""COMPUTED_VALUE"""),"Alta")</f>
        <v>Alta</v>
      </c>
      <c r="K4344" s="25">
        <f ca="1">IFERROR(__xludf.DUMMYFUNCTION("""COMPUTED_VALUE"""),11)</f>
        <v>11</v>
      </c>
      <c r="L4344" s="62">
        <f ca="1">IFERROR(__xludf.DUMMYFUNCTION("""COMPUTED_VALUE"""),44530)</f>
        <v>44530</v>
      </c>
      <c r="M4344" s="25" t="str">
        <f ca="1">IFERROR(__xludf.DUMMYFUNCTION("""COMPUTED_VALUE"""),"La iniciativa legislativa de hacer del hurto de bicicletas como delito autónomo que se puso a consideración en el despachando con ciclistas, estaba asociado a las propuestas que haría la SDSCJ para la ley de seguridad ciudadana. en reunión de la SDM con l"&amp;"a Secretaría de Seguridad  fue informado que surtidos los procesos de gestión normativa se  decidió focalizar los esfuerzos en la reincidencia y el uso de armas blancas, traumáticas y letales como agravantes de los delitos, de tal manera que sirviera para"&amp;" atacar de manera uniforme el incremento de los delitos urbanos en su conjunto y las distintas modalidades de hurto. 
El proyecto de ley fue radicado el 17 de noviembre por el gobierno nacional con mensaje de urgencia y el apoyo de 40 congresistas, dado "&amp;"que este no es un proyecto de ley exclusivo al delito autónomo de bicicletas la solicitud de firmas o recolección de firmas no correspondían a las expectativas de las organizaciones ciclistas. 
El proyecto de ley fue radicado por la Alcaldía Mayor. El en"&amp;"foque asumido fue el de combatir la reincidencia y el uso de armas, más no dependiendo el objeto robado.
")</f>
        <v xml:space="preserve">La iniciativa legislativa de hacer del hurto de bicicletas como delito autónomo que se puso a consideración en el despachando con ciclistas, estaba asociado a las propuestas que haría la SDSCJ para la ley de seguridad ciudadana. en reunión de la SDM con la Secretaría de Seguridad  fue informado que surtidos los procesos de gestión normativa se  decidió focalizar los esfuerzos en la reincidencia y el uso de armas blancas, traumáticas y letales como agravantes de los delitos, de tal manera que sirviera para atacar de manera uniforme el incremento de los delitos urbanos en su conjunto y las distintas modalidades de hurto. 
El proyecto de ley fue radicado el 17 de noviembre por el gobierno nacional con mensaje de urgencia y el apoyo de 40 congresistas, dado que este no es un proyecto de ley exclusivo al delito autónomo de bicicletas la solicitud de firmas o recolección de firmas no correspondían a las expectativas de las organizaciones ciclistas. 
El proyecto de ley fue radicado por la Alcaldía Mayor. El enfoque asumido fue el de combatir la reincidencia y el uso de armas, más no dependiendo el objeto robado.
</v>
      </c>
      <c r="N4344" s="55">
        <f ca="1">IFERROR(__xludf.DUMMYFUNCTION("""COMPUTED_VALUE"""),44530)</f>
        <v>44530</v>
      </c>
      <c r="O4344" s="25" t="str">
        <f t="shared" ca="1" si="0"/>
        <v>Secretaría Distrital de Movilidad</v>
      </c>
      <c r="P4344" s="25" t="str">
        <f t="shared" si="2"/>
        <v/>
      </c>
      <c r="Q4344" s="25" t="str">
        <f ca="1">IFERROR(__xludf.DUMMYFUNCTION("""COMPUTED_VALUE"""),"Corto plazo")</f>
        <v>Corto plazo</v>
      </c>
      <c r="R4344" s="25"/>
      <c r="S4344" s="55"/>
      <c r="T4344" s="56"/>
      <c r="U4344" s="25"/>
      <c r="V4344" s="25"/>
      <c r="W4344" s="25"/>
      <c r="X4344" s="25"/>
      <c r="Y4344" s="25"/>
      <c r="Z4344" s="25"/>
    </row>
    <row r="4345" spans="1:26" ht="52.5" customHeight="1" x14ac:dyDescent="0.25">
      <c r="A4345" s="25" t="str">
        <f ca="1">IFERROR(__xludf.DUMMYFUNCTION("""COMPUTED_VALUE"""),"Movil143")</f>
        <v>Movil143</v>
      </c>
      <c r="B4345" s="25" t="str">
        <f ca="1">IFERROR(__xludf.DUMMYFUNCTION("""COMPUTED_VALUE"""),"Despachando colectivo de ciclistas")</f>
        <v>Despachando colectivo de ciclistas</v>
      </c>
      <c r="C4345" s="55">
        <f ca="1">IFERROR(__xludf.DUMMYFUNCTION("""COMPUTED_VALUE"""),44459)</f>
        <v>44459</v>
      </c>
      <c r="D4345" s="25" t="str">
        <f ca="1">IFERROR(__xludf.DUMMYFUNCTION("""COMPUTED_VALUE"""),"Movilidad")</f>
        <v>Movilidad</v>
      </c>
      <c r="E4345" s="25" t="str">
        <f ca="1">IFERROR(__xludf.DUMMYFUNCTION("""COMPUTED_VALUE"""),"Secretaría Distrital de Movilidad")</f>
        <v>Secretaría Distrital de Movilidad</v>
      </c>
      <c r="F4345" s="25" t="str">
        <f ca="1">IFERROR(__xludf.DUMMYFUNCTION("""COMPUTED_VALUE"""),"Crear cuenta oficial de twitter de bicicleta bogotá, donde se reporte todo lo relacionado para los colectivos de ciclistas, rutas seguras y demás.   ")</f>
        <v xml:space="preserve">Crear cuenta oficial de twitter de bicicleta bogotá, donde se reporte todo lo relacionado para los colectivos de ciclistas, rutas seguras y demás.   </v>
      </c>
      <c r="G4345" s="25" t="str">
        <f ca="1">IFERROR(__xludf.DUMMYFUNCTION("""COMPUTED_VALUE"""),"99. Distrito")</f>
        <v>99. Distrito</v>
      </c>
      <c r="H4345" s="55">
        <f ca="1">IFERROR(__xludf.DUMMYFUNCTION("""COMPUTED_VALUE"""),44470)</f>
        <v>44470</v>
      </c>
      <c r="I4345" s="25"/>
      <c r="J4345" s="55" t="str">
        <f ca="1">IFERROR(__xludf.DUMMYFUNCTION("""COMPUTED_VALUE"""),"Alta")</f>
        <v>Alta</v>
      </c>
      <c r="K4345" s="25">
        <f ca="1">IFERROR(__xludf.DUMMYFUNCTION("""COMPUTED_VALUE"""),11)</f>
        <v>11</v>
      </c>
      <c r="L4345" s="62">
        <f ca="1">IFERROR(__xludf.DUMMYFUNCTION("""COMPUTED_VALUE"""),44482)</f>
        <v>44482</v>
      </c>
      <c r="M4345" s="25" t="str">
        <f ca="1">IFERROR(__xludf.DUMMYFUNCTION("""COMPUTED_VALUE"""),"Comunicaciones de la SDM y Alcaldía Mayor conversaron (Glenda) al respecto; por ahora la disposición sobre la cuenta es seguir centralizando desde las cuentas existentes. 
Sin novedades, en espera de la línea que den en Comunicaciones de la Alcaldía Mayo"&amp;"r.")</f>
        <v>Comunicaciones de la SDM y Alcaldía Mayor conversaron (Glenda) al respecto; por ahora la disposición sobre la cuenta es seguir centralizando desde las cuentas existentes. 
Sin novedades, en espera de la línea que den en Comunicaciones de la Alcaldía Mayor.</v>
      </c>
      <c r="N4345" s="55">
        <f ca="1">IFERROR(__xludf.DUMMYFUNCTION("""COMPUTED_VALUE"""),44482)</f>
        <v>44482</v>
      </c>
      <c r="O4345" s="25" t="str">
        <f t="shared" ca="1" si="0"/>
        <v>Secretaría Distrital de Movilidad</v>
      </c>
      <c r="P4345" s="25" t="str">
        <f t="shared" si="2"/>
        <v/>
      </c>
      <c r="Q4345" s="25" t="str">
        <f ca="1">IFERROR(__xludf.DUMMYFUNCTION("""COMPUTED_VALUE"""),"Corto plazo")</f>
        <v>Corto plazo</v>
      </c>
      <c r="R4345" s="25"/>
      <c r="S4345" s="55"/>
      <c r="T4345" s="56"/>
      <c r="U4345" s="25"/>
      <c r="V4345" s="25"/>
      <c r="W4345" s="25"/>
      <c r="X4345" s="25"/>
      <c r="Y4345" s="25"/>
      <c r="Z4345" s="25"/>
    </row>
    <row r="4346" spans="1:26" ht="52.5" customHeight="1" x14ac:dyDescent="0.25">
      <c r="A4346" s="25" t="str">
        <f ca="1">IFERROR(__xludf.DUMMYFUNCTION("""COMPUTED_VALUE"""),"Movil144")</f>
        <v>Movil144</v>
      </c>
      <c r="B4346" s="25" t="str">
        <f ca="1">IFERROR(__xludf.DUMMYFUNCTION("""COMPUTED_VALUE"""),"Despachando colectivo de ciclistas")</f>
        <v>Despachando colectivo de ciclistas</v>
      </c>
      <c r="C4346" s="55">
        <f ca="1">IFERROR(__xludf.DUMMYFUNCTION("""COMPUTED_VALUE"""),44459)</f>
        <v>44459</v>
      </c>
      <c r="D4346" s="25" t="str">
        <f ca="1">IFERROR(__xludf.DUMMYFUNCTION("""COMPUTED_VALUE"""),"Movilidad")</f>
        <v>Movilidad</v>
      </c>
      <c r="E4346" s="25" t="str">
        <f ca="1">IFERROR(__xludf.DUMMYFUNCTION("""COMPUTED_VALUE"""),"Secretaría Distrital de Movilidad")</f>
        <v>Secretaría Distrital de Movilidad</v>
      </c>
      <c r="F4346" s="25" t="str">
        <f ca="1">IFERROR(__xludf.DUMMYFUNCTION("""COMPUTED_VALUE"""),"solicitar al gobierno nacional verificar la señalización donde se respete la distancia de 1,5 metros y la vía por la que deben transitar al igual que en la señalización de Bogotá se invite a los ciclistas que transiten por la ciclovía. ")</f>
        <v xml:space="preserve">solicitar al gobierno nacional verificar la señalización donde se respete la distancia de 1,5 metros y la vía por la que deben transitar al igual que en la señalización de Bogotá se invite a los ciclistas que transiten por la ciclovía. </v>
      </c>
      <c r="G4346" s="25" t="str">
        <f ca="1">IFERROR(__xludf.DUMMYFUNCTION("""COMPUTED_VALUE"""),"99. Distrito")</f>
        <v>99. Distrito</v>
      </c>
      <c r="H4346" s="55">
        <f ca="1">IFERROR(__xludf.DUMMYFUNCTION("""COMPUTED_VALUE"""),44470)</f>
        <v>44470</v>
      </c>
      <c r="I4346" s="25"/>
      <c r="J4346" s="55" t="str">
        <f ca="1">IFERROR(__xludf.DUMMYFUNCTION("""COMPUTED_VALUE"""),"Alta")</f>
        <v>Alta</v>
      </c>
      <c r="K4346" s="25">
        <f ca="1">IFERROR(__xludf.DUMMYFUNCTION("""COMPUTED_VALUE"""),11)</f>
        <v>11</v>
      </c>
      <c r="L4346" s="62">
        <f ca="1">IFERROR(__xludf.DUMMYFUNCTION("""COMPUTED_VALUE"""),44482)</f>
        <v>44482</v>
      </c>
      <c r="M4346" s="25" t="str">
        <f ca="1">IFERROR(__xludf.DUMMYFUNCTION("""COMPUTED_VALUE"""),"Se adelantó la escritura del oficio dirigido al director de la ANSV y está en revisión.
Se envió el Oficio a la ANSV #20210002388631 (radicado de fecha 08/10/2021). Se socializó en consejos de la Bici ")</f>
        <v xml:space="preserve">Se adelantó la escritura del oficio dirigido al director de la ANSV y está en revisión.
Se envió el Oficio a la ANSV #20210002388631 (radicado de fecha 08/10/2021). Se socializó en consejos de la Bici </v>
      </c>
      <c r="N4346" s="55">
        <f ca="1">IFERROR(__xludf.DUMMYFUNCTION("""COMPUTED_VALUE"""),44482)</f>
        <v>44482</v>
      </c>
      <c r="O4346" s="25" t="str">
        <f t="shared" ca="1" si="0"/>
        <v>Secretaría Distrital de Movilidad</v>
      </c>
      <c r="P4346" s="25" t="str">
        <f t="shared" si="2"/>
        <v/>
      </c>
      <c r="Q4346" s="25" t="str">
        <f ca="1">IFERROR(__xludf.DUMMYFUNCTION("""COMPUTED_VALUE"""),"Corto plazo")</f>
        <v>Corto plazo</v>
      </c>
      <c r="R4346" s="25"/>
      <c r="S4346" s="55"/>
      <c r="T4346" s="56"/>
      <c r="U4346" s="25"/>
      <c r="V4346" s="25"/>
      <c r="W4346" s="25"/>
      <c r="X4346" s="25"/>
      <c r="Y4346" s="25"/>
      <c r="Z4346" s="25"/>
    </row>
    <row r="4347" spans="1:26" ht="52.5" customHeight="1" x14ac:dyDescent="0.25">
      <c r="A4347" s="25" t="str">
        <f ca="1">IFERROR(__xludf.DUMMYFUNCTION("""COMPUTED_VALUE"""),"Movil145")</f>
        <v>Movil145</v>
      </c>
      <c r="B4347" s="25" t="str">
        <f ca="1">IFERROR(__xludf.DUMMYFUNCTION("""COMPUTED_VALUE"""),"Despachando colectivo de ciclistas")</f>
        <v>Despachando colectivo de ciclistas</v>
      </c>
      <c r="C4347" s="55">
        <f ca="1">IFERROR(__xludf.DUMMYFUNCTION("""COMPUTED_VALUE"""),44459)</f>
        <v>44459</v>
      </c>
      <c r="D4347" s="25" t="str">
        <f ca="1">IFERROR(__xludf.DUMMYFUNCTION("""COMPUTED_VALUE"""),"Movilidad")</f>
        <v>Movilidad</v>
      </c>
      <c r="E4347" s="25" t="str">
        <f ca="1">IFERROR(__xludf.DUMMYFUNCTION("""COMPUTED_VALUE"""),"Secretaría Distrital de Movilidad")</f>
        <v>Secretaría Distrital de Movilidad</v>
      </c>
      <c r="F4347" s="25" t="str">
        <f ca="1">IFERROR(__xludf.DUMMYFUNCTION("""COMPUTED_VALUE"""),"Pedirle a la ANI y al concesionario de la vía, la construcción de un carril exclusivo de bicicletas sobre la calle 80 (a las afueras de Bogotá)")</f>
        <v>Pedirle a la ANI y al concesionario de la vía, la construcción de un carril exclusivo de bicicletas sobre la calle 80 (a las afueras de Bogotá)</v>
      </c>
      <c r="G4347" s="25" t="str">
        <f ca="1">IFERROR(__xludf.DUMMYFUNCTION("""COMPUTED_VALUE"""),"99. Distrito")</f>
        <v>99. Distrito</v>
      </c>
      <c r="H4347" s="55">
        <f ca="1">IFERROR(__xludf.DUMMYFUNCTION("""COMPUTED_VALUE"""),44470)</f>
        <v>44470</v>
      </c>
      <c r="I4347" s="25"/>
      <c r="J4347" s="55" t="str">
        <f ca="1">IFERROR(__xludf.DUMMYFUNCTION("""COMPUTED_VALUE"""),"Alta")</f>
        <v>Alta</v>
      </c>
      <c r="K4347" s="25">
        <f ca="1">IFERROR(__xludf.DUMMYFUNCTION("""COMPUTED_VALUE"""),11)</f>
        <v>11</v>
      </c>
      <c r="L4347" s="62">
        <f ca="1">IFERROR(__xludf.DUMMYFUNCTION("""COMPUTED_VALUE"""),44573)</f>
        <v>44573</v>
      </c>
      <c r="M4347" s="25" t="str">
        <f ca="1">IFERROR(__xludf.DUMMYFUNCTION("""COMPUTED_VALUE"""),"En conversación con la ANI (Gerardo) se mencionó que en el Convenio 006 no se especifican la asignación de recursos. Hay un proyecto en estructuración de un tercer carril. También se mencionó que se tienen unos recursos para conectar periferia occidental "&amp;"con ciclorruta. Pero hay una complicación: si se hace la ciclorruta pronto tendría naturaleza de temporal porque se empieza a construir un nuevo carril y lo que se considera de ciclorruta no iría. Hay un tema importante: jurisdicciones. La de Bogotá va ha"&amp;"sta puente de guadua luego es jurisdicción nacional. Es un freno. Y, sobre inversión de recursos, hay que dejar el claro que para eso están los convenios (convenio bien estructurado). Se propuso organizar una reunión posterior (en noviembre) entre Goberna"&amp;"ción - Ansv - ani - idu - Alcaldía mayor - Movilidad para revisar.
Se articuló y programó reunión para la próxima semana (6/12/2021 de 3 pm a 4 pm) con la ANI para revisar el tema.")</f>
        <v>En conversación con la ANI (Gerardo) se mencionó que en el Convenio 006 no se especifican la asignación de recursos. Hay un proyecto en estructuración de un tercer carril. También se mencionó que se tienen unos recursos para conectar periferia occidental con ciclorruta. Pero hay una complicación: si se hace la ciclorruta pronto tendría naturaleza de temporal porque se empieza a construir un nuevo carril y lo que se considera de ciclorruta no iría. Hay un tema importante: jurisdicciones. La de Bogotá va hasta puente de guadua luego es jurisdicción nacional. Es un freno. Y, sobre inversión de recursos, hay que dejar el claro que para eso están los convenios (convenio bien estructurado). Se propuso organizar una reunión posterior (en noviembre) entre Gobernación - Ansv - ani - idu - Alcaldía mayor - Movilidad para revisar.
Se articuló y programó reunión para la próxima semana (6/12/2021 de 3 pm a 4 pm) con la ANI para revisar el tema.</v>
      </c>
      <c r="N4347" s="55">
        <f ca="1">IFERROR(__xludf.DUMMYFUNCTION("""COMPUTED_VALUE"""),44573)</f>
        <v>44573</v>
      </c>
      <c r="O4347" s="25" t="str">
        <f t="shared" ca="1" si="0"/>
        <v>Secretaría Distrital de Movilidad</v>
      </c>
      <c r="P4347" s="25" t="str">
        <f t="shared" si="2"/>
        <v/>
      </c>
      <c r="Q4347" s="25" t="str">
        <f ca="1">IFERROR(__xludf.DUMMYFUNCTION("""COMPUTED_VALUE"""),"Corto plazo")</f>
        <v>Corto plazo</v>
      </c>
      <c r="R4347" s="25"/>
      <c r="S4347" s="55"/>
      <c r="T4347" s="56"/>
      <c r="U4347" s="25"/>
      <c r="V4347" s="25"/>
      <c r="W4347" s="25"/>
      <c r="X4347" s="25"/>
      <c r="Y4347" s="25"/>
      <c r="Z4347" s="25"/>
    </row>
    <row r="4348" spans="1:26" ht="52.5" customHeight="1" x14ac:dyDescent="0.25">
      <c r="A4348" s="25" t="str">
        <f ca="1">IFERROR(__xludf.DUMMYFUNCTION("""COMPUTED_VALUE"""),"Movil146")</f>
        <v>Movil146</v>
      </c>
      <c r="B4348" s="25" t="str">
        <f ca="1">IFERROR(__xludf.DUMMYFUNCTION("""COMPUTED_VALUE"""),"Reunión POT ")</f>
        <v xml:space="preserve">Reunión POT </v>
      </c>
      <c r="C4348" s="55">
        <f ca="1">IFERROR(__xludf.DUMMYFUNCTION("""COMPUTED_VALUE"""),44459)</f>
        <v>44459</v>
      </c>
      <c r="D4348" s="25" t="str">
        <f ca="1">IFERROR(__xludf.DUMMYFUNCTION("""COMPUTED_VALUE"""),"Movilidad")</f>
        <v>Movilidad</v>
      </c>
      <c r="E4348" s="25" t="str">
        <f ca="1">IFERROR(__xludf.DUMMYFUNCTION("""COMPUTED_VALUE"""),"Instituto de Desarrollo Urbano")</f>
        <v>Instituto de Desarrollo Urbano</v>
      </c>
      <c r="F4348" s="25" t="str">
        <f ca="1">IFERROR(__xludf.DUMMYFUNCTION("""COMPUTED_VALUE"""),"Información detallada referente al proceso licitatorio ALO SUR . Enviar brief robusto al Senador ")</f>
        <v xml:space="preserve">Información detallada referente al proceso licitatorio ALO SUR . Enviar brief robusto al Senador </v>
      </c>
      <c r="G4348" s="25" t="str">
        <f ca="1">IFERROR(__xludf.DUMMYFUNCTION("""COMPUTED_VALUE"""),"99. Distrito")</f>
        <v>99. Distrito</v>
      </c>
      <c r="H4348" s="55">
        <f ca="1">IFERROR(__xludf.DUMMYFUNCTION("""COMPUTED_VALUE"""),44489)</f>
        <v>44489</v>
      </c>
      <c r="I4348" s="25"/>
      <c r="J4348" s="55" t="str">
        <f ca="1">IFERROR(__xludf.DUMMYFUNCTION("""COMPUTED_VALUE"""),"Alta")</f>
        <v>Alta</v>
      </c>
      <c r="K4348" s="25">
        <f ca="1">IFERROR(__xludf.DUMMYFUNCTION("""COMPUTED_VALUE"""),30)</f>
        <v>30</v>
      </c>
      <c r="L4348" s="62"/>
      <c r="M4348" s="25" t="str">
        <f ca="1">IFERROR(__xludf.DUMMYFUNCTION("""COMPUTED_VALUE"""),"IDU remitió a alcaldía el 7 de octubre informe requerido")</f>
        <v>IDU remitió a alcaldía el 7 de octubre informe requerido</v>
      </c>
      <c r="N4348" s="55">
        <f ca="1">IFERROR(__xludf.DUMMYFUNCTION("""COMPUTED_VALUE"""),44927)</f>
        <v>44927</v>
      </c>
      <c r="O4348" s="25" t="str">
        <f t="shared" ca="1" si="0"/>
        <v>Instituto de Desarrollo Urbano</v>
      </c>
      <c r="P4348" s="25" t="str">
        <f t="shared" si="2"/>
        <v/>
      </c>
      <c r="Q4348" s="25" t="str">
        <f ca="1">IFERROR(__xludf.DUMMYFUNCTION("""COMPUTED_VALUE"""),"Corto plazo")</f>
        <v>Corto plazo</v>
      </c>
      <c r="R4348" s="25"/>
      <c r="S4348" s="55"/>
      <c r="T4348" s="56"/>
      <c r="U4348" s="25"/>
      <c r="V4348" s="25"/>
      <c r="W4348" s="25"/>
      <c r="X4348" s="25"/>
      <c r="Y4348" s="25"/>
      <c r="Z4348" s="25"/>
    </row>
    <row r="4349" spans="1:26" ht="52.5" customHeight="1" x14ac:dyDescent="0.25">
      <c r="A4349" s="25" t="str">
        <f ca="1">IFERROR(__xludf.DUMMYFUNCTION("""COMPUTED_VALUE"""),"Movil147")</f>
        <v>Movil147</v>
      </c>
      <c r="B4349" s="25" t="str">
        <f ca="1">IFERROR(__xludf.DUMMYFUNCTION("""COMPUTED_VALUE"""),"Equipo Directivo SDM")</f>
        <v>Equipo Directivo SDM</v>
      </c>
      <c r="C4349" s="55">
        <f ca="1">IFERROR(__xludf.DUMMYFUNCTION("""COMPUTED_VALUE"""),44454)</f>
        <v>44454</v>
      </c>
      <c r="D4349" s="25" t="str">
        <f ca="1">IFERROR(__xludf.DUMMYFUNCTION("""COMPUTED_VALUE"""),"Movilidad")</f>
        <v>Movilidad</v>
      </c>
      <c r="E4349" s="25" t="str">
        <f ca="1">IFERROR(__xludf.DUMMYFUNCTION("""COMPUTED_VALUE"""),"Secretaría Distrital de Movilidad")</f>
        <v>Secretaría Distrital de Movilidad</v>
      </c>
      <c r="F4349" s="25" t="str">
        <f ca="1">IFERROR(__xludf.DUMMYFUNCTION("""COMPUTED_VALUE"""),"Política tarifaria.
Asegurar con planeación los tiempos para la transición a SISBEN IV. Es importante tener en cuenta las coyunturas externas como elecciones")</f>
        <v>Política tarifaria.
Asegurar con planeación los tiempos para la transición a SISBEN IV. Es importante tener en cuenta las coyunturas externas como elecciones</v>
      </c>
      <c r="G4349" s="25" t="str">
        <f ca="1">IFERROR(__xludf.DUMMYFUNCTION("""COMPUTED_VALUE"""),"99. Distrito")</f>
        <v>99. Distrito</v>
      </c>
      <c r="H4349" s="55">
        <f ca="1">IFERROR(__xludf.DUMMYFUNCTION("""COMPUTED_VALUE"""),44484)</f>
        <v>44484</v>
      </c>
      <c r="I4349" s="25"/>
      <c r="J4349" s="55" t="str">
        <f ca="1">IFERROR(__xludf.DUMMYFUNCTION("""COMPUTED_VALUE"""),"Alta")</f>
        <v>Alta</v>
      </c>
      <c r="K4349" s="25">
        <f ca="1">IFERROR(__xludf.DUMMYFUNCTION("""COMPUTED_VALUE"""),30)</f>
        <v>30</v>
      </c>
      <c r="L4349" s="62">
        <f ca="1">IFERROR(__xludf.DUMMYFUNCTION("""COMPUTED_VALUE"""),44613)</f>
        <v>44613</v>
      </c>
      <c r="M4349" s="25" t="str">
        <f ca="1">IFERROR(__xludf.DUMMYFUNCTION("""COMPUTED_VALUE"""),"Durante el mes de diciembre de 2021 se socializo la propuesta para la nueva política tarifaria con la Alcaldesa. A partir de la socialización se determinó que todos los programas distritales entrarán en proceso de transición hacia SISBÉN IV a partir de en"&amp;"ero de 2022 y hasta junio del mismo año. Así mismo, se dio el lineamiento de realizar aumentos tarifarios para toda la población excepto para los actualmente localizados lo cual genera un aumento real en el monto de los subsidios.")</f>
        <v>Durante el mes de diciembre de 2021 se socializo la propuesta para la nueva política tarifaria con la Alcaldesa. A partir de la socialización se determinó que todos los programas distritales entrarán en proceso de transición hacia SISBÉN IV a partir de enero de 2022 y hasta junio del mismo año. Así mismo, se dio el lineamiento de realizar aumentos tarifarios para toda la población excepto para los actualmente localizados lo cual genera un aumento real en el monto de los subsidios.</v>
      </c>
      <c r="N4349" s="55">
        <f ca="1">IFERROR(__xludf.DUMMYFUNCTION("""COMPUTED_VALUE"""),44613)</f>
        <v>44613</v>
      </c>
      <c r="O4349" s="25" t="str">
        <f t="shared" ca="1" si="0"/>
        <v>Secretaría Distrital de Movilidad</v>
      </c>
      <c r="P4349" s="25" t="str">
        <f t="shared" si="2"/>
        <v/>
      </c>
      <c r="Q4349" s="25" t="str">
        <f ca="1">IFERROR(__xludf.DUMMYFUNCTION("""COMPUTED_VALUE"""),"Corto plazo")</f>
        <v>Corto plazo</v>
      </c>
      <c r="R4349" s="25"/>
      <c r="S4349" s="55"/>
      <c r="T4349" s="56"/>
      <c r="U4349" s="25"/>
      <c r="V4349" s="25"/>
      <c r="W4349" s="25"/>
      <c r="X4349" s="25"/>
      <c r="Y4349" s="25"/>
      <c r="Z4349" s="25"/>
    </row>
    <row r="4350" spans="1:26" ht="52.5" customHeight="1" x14ac:dyDescent="0.25">
      <c r="A4350" s="25" t="str">
        <f ca="1">IFERROR(__xludf.DUMMYFUNCTION("""COMPUTED_VALUE"""),"Movil148")</f>
        <v>Movil148</v>
      </c>
      <c r="B4350" s="25" t="str">
        <f ca="1">IFERROR(__xludf.DUMMYFUNCTION("""COMPUTED_VALUE"""),"Equipo Directivo SDM")</f>
        <v>Equipo Directivo SDM</v>
      </c>
      <c r="C4350" s="55">
        <f ca="1">IFERROR(__xludf.DUMMYFUNCTION("""COMPUTED_VALUE"""),44454)</f>
        <v>44454</v>
      </c>
      <c r="D4350" s="25" t="str">
        <f ca="1">IFERROR(__xludf.DUMMYFUNCTION("""COMPUTED_VALUE"""),"Movilidad")</f>
        <v>Movilidad</v>
      </c>
      <c r="E4350" s="25" t="str">
        <f ca="1">IFERROR(__xludf.DUMMYFUNCTION("""COMPUTED_VALUE"""),"Secretaría Distrital de Movilidad")</f>
        <v>Secretaría Distrital de Movilidad</v>
      </c>
      <c r="F4350" s="25" t="str">
        <f ca="1">IFERROR(__xludf.DUMMYFUNCTION("""COMPUTED_VALUE"""),"Política tarifaria.
Definir como planeación la priorizaciòn de la población ya identificada en la política tarifaria en el nuevo esquema de Sisben IV. ")</f>
        <v xml:space="preserve">Política tarifaria.
Definir como planeación la priorizaciòn de la población ya identificada en la política tarifaria en el nuevo esquema de Sisben IV. </v>
      </c>
      <c r="G4350" s="25" t="str">
        <f ca="1">IFERROR(__xludf.DUMMYFUNCTION("""COMPUTED_VALUE"""),"99. Distrito")</f>
        <v>99. Distrito</v>
      </c>
      <c r="H4350" s="55">
        <f ca="1">IFERROR(__xludf.DUMMYFUNCTION("""COMPUTED_VALUE"""),44484)</f>
        <v>44484</v>
      </c>
      <c r="I4350" s="25"/>
      <c r="J4350" s="55" t="str">
        <f ca="1">IFERROR(__xludf.DUMMYFUNCTION("""COMPUTED_VALUE"""),"Alta")</f>
        <v>Alta</v>
      </c>
      <c r="K4350" s="25">
        <f ca="1">IFERROR(__xludf.DUMMYFUNCTION("""COMPUTED_VALUE"""),30)</f>
        <v>30</v>
      </c>
      <c r="L4350" s="62">
        <f ca="1">IFERROR(__xludf.DUMMYFUNCTION("""COMPUTED_VALUE"""),44530)</f>
        <v>44530</v>
      </c>
      <c r="M4350" s="25" t="str">
        <f ca="1">IFERROR(__xludf.DUMMYFUNCTION("""COMPUTED_VALUE"""),"En enero de 2022 se expedirá el decreto de modificación tarifaria del SITP y un decreto adicional con la transición hacia SISBÉN IV. Con SDP se acordó generar el intercambio de información que asegure que no ingresarán nuevos beneficiarios con metodología"&amp;" SISBÉN III y que, a partir de la entrada en vigencia del Decreto, SISBÉN IV será el instrumento base para la focalización de nuevos beneficiarios.")</f>
        <v>En enero de 2022 se expedirá el decreto de modificación tarifaria del SITP y un decreto adicional con la transición hacia SISBÉN IV. Con SDP se acordó generar el intercambio de información que asegure que no ingresarán nuevos beneficiarios con metodología SISBÉN III y que, a partir de la entrada en vigencia del Decreto, SISBÉN IV será el instrumento base para la focalización de nuevos beneficiarios.</v>
      </c>
      <c r="N4350" s="55">
        <f ca="1">IFERROR(__xludf.DUMMYFUNCTION("""COMPUTED_VALUE"""),44530)</f>
        <v>44530</v>
      </c>
      <c r="O4350" s="25" t="str">
        <f t="shared" ca="1" si="0"/>
        <v>Secretaría Distrital de Movilidad</v>
      </c>
      <c r="P4350" s="25" t="str">
        <f t="shared" si="2"/>
        <v/>
      </c>
      <c r="Q4350" s="25" t="str">
        <f ca="1">IFERROR(__xludf.DUMMYFUNCTION("""COMPUTED_VALUE"""),"Corto plazo")</f>
        <v>Corto plazo</v>
      </c>
      <c r="R4350" s="25"/>
      <c r="S4350" s="55"/>
      <c r="T4350" s="56"/>
      <c r="U4350" s="25"/>
      <c r="V4350" s="25"/>
      <c r="W4350" s="25"/>
      <c r="X4350" s="25"/>
      <c r="Y4350" s="25"/>
      <c r="Z4350" s="25"/>
    </row>
    <row r="4351" spans="1:26" ht="52.5" customHeight="1" x14ac:dyDescent="0.25">
      <c r="A4351" s="25" t="str">
        <f ca="1">IFERROR(__xludf.DUMMYFUNCTION("""COMPUTED_VALUE"""),"Movil149")</f>
        <v>Movil149</v>
      </c>
      <c r="B4351" s="25" t="str">
        <f ca="1">IFERROR(__xludf.DUMMYFUNCTION("""COMPUTED_VALUE"""),"Equipo Directivo SDM")</f>
        <v>Equipo Directivo SDM</v>
      </c>
      <c r="C4351" s="55">
        <f ca="1">IFERROR(__xludf.DUMMYFUNCTION("""COMPUTED_VALUE"""),44454)</f>
        <v>44454</v>
      </c>
      <c r="D4351" s="25" t="str">
        <f ca="1">IFERROR(__xludf.DUMMYFUNCTION("""COMPUTED_VALUE"""),"Movilidad")</f>
        <v>Movilidad</v>
      </c>
      <c r="E4351" s="25" t="str">
        <f ca="1">IFERROR(__xludf.DUMMYFUNCTION("""COMPUTED_VALUE"""),"Secretaría Distrital de Movilidad")</f>
        <v>Secretaría Distrital de Movilidad</v>
      </c>
      <c r="F4351" s="25" t="str">
        <f ca="1">IFERROR(__xludf.DUMMYFUNCTION("""COMPUTED_VALUE"""),"Unidad de mantenimiento peatonal.
Priorizar para urbanismo táctico los entornos de inseguridad de parques y colegios identificados dentro del Consejo de niños y niñas. Se debe reunirse con Gabriel Angarita y Camilo Umaña para la definiciòn de los 80 políg"&amp;"onos identificados. ")</f>
        <v xml:space="preserve">Unidad de mantenimiento peatonal.
Priorizar para urbanismo táctico los entornos de inseguridad de parques y colegios identificados dentro del Consejo de niños y niñas. Se debe reunirse con Gabriel Angarita y Camilo Umaña para la definiciòn de los 80 polígonos identificados. </v>
      </c>
      <c r="G4351" s="25" t="str">
        <f ca="1">IFERROR(__xludf.DUMMYFUNCTION("""COMPUTED_VALUE"""),"99. Distrito")</f>
        <v>99. Distrito</v>
      </c>
      <c r="H4351" s="55">
        <f ca="1">IFERROR(__xludf.DUMMYFUNCTION("""COMPUTED_VALUE"""),44484)</f>
        <v>44484</v>
      </c>
      <c r="I4351" s="25"/>
      <c r="J4351" s="55" t="str">
        <f ca="1">IFERROR(__xludf.DUMMYFUNCTION("""COMPUTED_VALUE"""),"Alta")</f>
        <v>Alta</v>
      </c>
      <c r="K4351" s="25">
        <f ca="1">IFERROR(__xludf.DUMMYFUNCTION("""COMPUTED_VALUE"""),30)</f>
        <v>30</v>
      </c>
      <c r="L4351" s="62">
        <f ca="1">IFERROR(__xludf.DUMMYFUNCTION("""COMPUTED_VALUE"""),44575)</f>
        <v>44575</v>
      </c>
      <c r="M4351" s="25" t="str">
        <f ca="1">IFERROR(__xludf.DUMMYFUNCTION("""COMPUTED_VALUE"""),"Se continua con los trabajos de intervención en la puerta 6 de Corabastos Localidad de Kennedy.")</f>
        <v>Se continua con los trabajos de intervención en la puerta 6 de Corabastos Localidad de Kennedy.</v>
      </c>
      <c r="N4351" s="55">
        <f ca="1">IFERROR(__xludf.DUMMYFUNCTION("""COMPUTED_VALUE"""),44575)</f>
        <v>44575</v>
      </c>
      <c r="O4351" s="25" t="str">
        <f t="shared" ca="1" si="0"/>
        <v>Secretaría Distrital de Movilidad</v>
      </c>
      <c r="P4351" s="25" t="str">
        <f t="shared" si="2"/>
        <v/>
      </c>
      <c r="Q4351" s="25" t="str">
        <f ca="1">IFERROR(__xludf.DUMMYFUNCTION("""COMPUTED_VALUE"""),"Corto plazo")</f>
        <v>Corto plazo</v>
      </c>
      <c r="R4351" s="25"/>
      <c r="S4351" s="55"/>
      <c r="T4351" s="56"/>
      <c r="U4351" s="25"/>
      <c r="V4351" s="25"/>
      <c r="W4351" s="25"/>
      <c r="X4351" s="25"/>
      <c r="Y4351" s="25"/>
      <c r="Z4351" s="25"/>
    </row>
    <row r="4352" spans="1:26" ht="52.5" customHeight="1" x14ac:dyDescent="0.25">
      <c r="A4352" s="25" t="str">
        <f ca="1">IFERROR(__xludf.DUMMYFUNCTION("""COMPUTED_VALUE"""),"Movil150")</f>
        <v>Movil150</v>
      </c>
      <c r="B4352" s="25" t="str">
        <f ca="1">IFERROR(__xludf.DUMMYFUNCTION("""COMPUTED_VALUE"""),"Equipo Directivo SDM")</f>
        <v>Equipo Directivo SDM</v>
      </c>
      <c r="C4352" s="55">
        <f ca="1">IFERROR(__xludf.DUMMYFUNCTION("""COMPUTED_VALUE"""),44454)</f>
        <v>44454</v>
      </c>
      <c r="D4352" s="25" t="str">
        <f ca="1">IFERROR(__xludf.DUMMYFUNCTION("""COMPUTED_VALUE"""),"Movilidad")</f>
        <v>Movilidad</v>
      </c>
      <c r="E4352" s="25" t="str">
        <f ca="1">IFERROR(__xludf.DUMMYFUNCTION("""COMPUTED_VALUE"""),"Secretaría Distrital de Movilidad")</f>
        <v>Secretaría Distrital de Movilidad</v>
      </c>
      <c r="F4352" s="25" t="str">
        <f ca="1">IFERROR(__xludf.DUMMYFUNCTION("""COMPUTED_VALUE"""),"Unidad de mantenimiento peatonal.
Definir fecha de inicio de la estrategia pasos seguros.")</f>
        <v>Unidad de mantenimiento peatonal.
Definir fecha de inicio de la estrategia pasos seguros.</v>
      </c>
      <c r="G4352" s="25" t="str">
        <f ca="1">IFERROR(__xludf.DUMMYFUNCTION("""COMPUTED_VALUE"""),"99. Distrito")</f>
        <v>99. Distrito</v>
      </c>
      <c r="H4352" s="55">
        <f ca="1">IFERROR(__xludf.DUMMYFUNCTION("""COMPUTED_VALUE"""),44484)</f>
        <v>44484</v>
      </c>
      <c r="I4352" s="25"/>
      <c r="J4352" s="55" t="str">
        <f ca="1">IFERROR(__xludf.DUMMYFUNCTION("""COMPUTED_VALUE"""),"Alta")</f>
        <v>Alta</v>
      </c>
      <c r="K4352" s="25">
        <f ca="1">IFERROR(__xludf.DUMMYFUNCTION("""COMPUTED_VALUE"""),30)</f>
        <v>30</v>
      </c>
      <c r="L4352" s="62">
        <f ca="1">IFERROR(__xludf.DUMMYFUNCTION("""COMPUTED_VALUE"""),44498)</f>
        <v>44498</v>
      </c>
      <c r="M4352" s="25" t="str">
        <f ca="1">IFERROR(__xludf.DUMMYFUNCTION("""COMPUTED_VALUE"""),"La estrategia ya inició con procesos de visita de campo, recolección de datos y esquemas de diseño para lograr pasos seguros peatonales. ")</f>
        <v xml:space="preserve">La estrategia ya inició con procesos de visita de campo, recolección de datos y esquemas de diseño para lograr pasos seguros peatonales. </v>
      </c>
      <c r="N4352" s="55">
        <f ca="1">IFERROR(__xludf.DUMMYFUNCTION("""COMPUTED_VALUE"""),44498)</f>
        <v>44498</v>
      </c>
      <c r="O4352" s="25" t="str">
        <f t="shared" ca="1" si="0"/>
        <v>Secretaría Distrital de Movilidad</v>
      </c>
      <c r="P4352" s="25" t="str">
        <f t="shared" si="2"/>
        <v/>
      </c>
      <c r="Q4352" s="25" t="str">
        <f ca="1">IFERROR(__xludf.DUMMYFUNCTION("""COMPUTED_VALUE"""),"Corto plazo")</f>
        <v>Corto plazo</v>
      </c>
      <c r="R4352" s="25"/>
      <c r="S4352" s="55"/>
      <c r="T4352" s="56"/>
      <c r="U4352" s="25"/>
      <c r="V4352" s="25"/>
      <c r="W4352" s="25"/>
      <c r="X4352" s="25"/>
      <c r="Y4352" s="25"/>
      <c r="Z4352" s="25"/>
    </row>
    <row r="4353" spans="1:26" ht="52.5" customHeight="1" x14ac:dyDescent="0.25">
      <c r="A4353" s="25" t="str">
        <f ca="1">IFERROR(__xludf.DUMMYFUNCTION("""COMPUTED_VALUE"""),"Movil151")</f>
        <v>Movil151</v>
      </c>
      <c r="B4353" s="25" t="str">
        <f ca="1">IFERROR(__xludf.DUMMYFUNCTION("""COMPUTED_VALUE"""),"Equipo Directivo SDM")</f>
        <v>Equipo Directivo SDM</v>
      </c>
      <c r="C4353" s="55">
        <f ca="1">IFERROR(__xludf.DUMMYFUNCTION("""COMPUTED_VALUE"""),44454)</f>
        <v>44454</v>
      </c>
      <c r="D4353" s="25" t="str">
        <f ca="1">IFERROR(__xludf.DUMMYFUNCTION("""COMPUTED_VALUE"""),"Movilidad")</f>
        <v>Movilidad</v>
      </c>
      <c r="E4353" s="25" t="str">
        <f ca="1">IFERROR(__xludf.DUMMYFUNCTION("""COMPUTED_VALUE"""),"Secretaría Distrital de Movilidad")</f>
        <v>Secretaría Distrital de Movilidad</v>
      </c>
      <c r="F4353" s="25" t="str">
        <f ca="1">IFERROR(__xludf.DUMMYFUNCTION("""COMPUTED_VALUE"""),"Realizar campañas de comunicación positiva que cambie la narrativa frente a las obras que iniciaron y que influyen en el tráfico de la ciudad. ")</f>
        <v xml:space="preserve">Realizar campañas de comunicación positiva que cambie la narrativa frente a las obras que iniciaron y que influyen en el tráfico de la ciudad. </v>
      </c>
      <c r="G4353" s="25" t="str">
        <f ca="1">IFERROR(__xludf.DUMMYFUNCTION("""COMPUTED_VALUE"""),"99. Distrito")</f>
        <v>99. Distrito</v>
      </c>
      <c r="H4353" s="55">
        <f ca="1">IFERROR(__xludf.DUMMYFUNCTION("""COMPUTED_VALUE"""),44484)</f>
        <v>44484</v>
      </c>
      <c r="I4353" s="25"/>
      <c r="J4353" s="55" t="str">
        <f ca="1">IFERROR(__xludf.DUMMYFUNCTION("""COMPUTED_VALUE"""),"Alta")</f>
        <v>Alta</v>
      </c>
      <c r="K4353" s="25">
        <f ca="1">IFERROR(__xludf.DUMMYFUNCTION("""COMPUTED_VALUE"""),30)</f>
        <v>30</v>
      </c>
      <c r="L4353" s="62">
        <f ca="1">IFERROR(__xludf.DUMMYFUNCTION("""COMPUTED_VALUE"""),44530)</f>
        <v>44530</v>
      </c>
      <c r="M4353" s="25" t="str">
        <f ca="1">IFERROR(__xludf.DUMMYFUNCTION("""COMPUTED_VALUE"""),"SDM conceptualizó y desarrolló fundamentos de la campaña que fue aprobada por comunicaciones alcaldía y que se denomina Bogotá está mejorando, una estrategia del sector movilidad en la que se informa cuáles son las principales obras y por qué Bogotá mejor"&amp;"a con su ejecución, los planes y desvíos para los vehículos así como las maneras de contribuir a la movilidad movilizándose en transporte público, bicicleta y cambiando los horarios y formas de trabajar en el sector privado y público. Esta estrategia tend"&amp;"rá un plan de comunicación masiva para cerrar el 2021 y en enero tendrá como hito un evento internacional en el que presentaremos las obras y el plan del Distrito para movernos en 2022. ")</f>
        <v xml:space="preserve">SDM conceptualizó y desarrolló fundamentos de la campaña que fue aprobada por comunicaciones alcaldía y que se denomina Bogotá está mejorando, una estrategia del sector movilidad en la que se informa cuáles son las principales obras y por qué Bogotá mejora con su ejecución, los planes y desvíos para los vehículos así como las maneras de contribuir a la movilidad movilizándose en transporte público, bicicleta y cambiando los horarios y formas de trabajar en el sector privado y público. Esta estrategia tendrá un plan de comunicación masiva para cerrar el 2021 y en enero tendrá como hito un evento internacional en el que presentaremos las obras y el plan del Distrito para movernos en 2022. </v>
      </c>
      <c r="N4353" s="55">
        <f ca="1">IFERROR(__xludf.DUMMYFUNCTION("""COMPUTED_VALUE"""),44530)</f>
        <v>44530</v>
      </c>
      <c r="O4353" s="25" t="str">
        <f t="shared" ca="1" si="0"/>
        <v>Secretaría Distrital de Movilidad</v>
      </c>
      <c r="P4353" s="25" t="str">
        <f t="shared" si="2"/>
        <v/>
      </c>
      <c r="Q4353" s="25" t="str">
        <f ca="1">IFERROR(__xludf.DUMMYFUNCTION("""COMPUTED_VALUE"""),"Corto plazo")</f>
        <v>Corto plazo</v>
      </c>
      <c r="R4353" s="25"/>
      <c r="S4353" s="55"/>
      <c r="T4353" s="56"/>
      <c r="U4353" s="25"/>
      <c r="V4353" s="25"/>
      <c r="W4353" s="25"/>
      <c r="X4353" s="25"/>
      <c r="Y4353" s="25"/>
      <c r="Z4353" s="25"/>
    </row>
    <row r="4354" spans="1:26" ht="52.5" customHeight="1" x14ac:dyDescent="0.25">
      <c r="A4354" s="25" t="str">
        <f ca="1">IFERROR(__xludf.DUMMYFUNCTION("""COMPUTED_VALUE"""),"Movil152")</f>
        <v>Movil152</v>
      </c>
      <c r="B4354" s="25" t="str">
        <f ca="1">IFERROR(__xludf.DUMMYFUNCTION("""COMPUTED_VALUE"""),"Equipo Directivo SDM")</f>
        <v>Equipo Directivo SDM</v>
      </c>
      <c r="C4354" s="55">
        <f ca="1">IFERROR(__xludf.DUMMYFUNCTION("""COMPUTED_VALUE"""),44454)</f>
        <v>44454</v>
      </c>
      <c r="D4354" s="25" t="str">
        <f ca="1">IFERROR(__xludf.DUMMYFUNCTION("""COMPUTED_VALUE"""),"Movilidad")</f>
        <v>Movilidad</v>
      </c>
      <c r="E4354" s="25" t="str">
        <f ca="1">IFERROR(__xludf.DUMMYFUNCTION("""COMPUTED_VALUE"""),"Secretaría Distrital de Movilidad")</f>
        <v>Secretaría Distrital de Movilidad</v>
      </c>
      <c r="F4354" s="25" t="str">
        <f ca="1">IFERROR(__xludf.DUMMYFUNCTION("""COMPUTED_VALUE"""),"Revisar estrategias para mitigar la ilegalidad del transporte urbano en los alrededores de las terminales. Es importante articularse con Integración social y su estrategia parceros como apoyo. ")</f>
        <v xml:space="preserve">Revisar estrategias para mitigar la ilegalidad del transporte urbano en los alrededores de las terminales. Es importante articularse con Integración social y su estrategia parceros como apoyo. </v>
      </c>
      <c r="G4354" s="25" t="str">
        <f ca="1">IFERROR(__xludf.DUMMYFUNCTION("""COMPUTED_VALUE"""),"99. Distrito")</f>
        <v>99. Distrito</v>
      </c>
      <c r="H4354" s="55">
        <f ca="1">IFERROR(__xludf.DUMMYFUNCTION("""COMPUTED_VALUE"""),44484)</f>
        <v>44484</v>
      </c>
      <c r="I4354" s="25"/>
      <c r="J4354" s="55" t="str">
        <f ca="1">IFERROR(__xludf.DUMMYFUNCTION("""COMPUTED_VALUE"""),"Alta")</f>
        <v>Alta</v>
      </c>
      <c r="K4354" s="25">
        <f ca="1">IFERROR(__xludf.DUMMYFUNCTION("""COMPUTED_VALUE"""),30)</f>
        <v>30</v>
      </c>
      <c r="L4354" s="62">
        <f ca="1">IFERROR(__xludf.DUMMYFUNCTION("""COMPUTED_VALUE"""),44530)</f>
        <v>44530</v>
      </c>
      <c r="M4354" s="25" t="str">
        <f ca="1">IFERROR(__xludf.DUMMYFUNCTION("""COMPUTED_VALUE"""),"Se revisó las actividades que pueden realizar las personas que pertenecen a la estrategia de parceros de Integración Social, y no es viable que apoyen actividades de control a la ilegalidad; por tanto, la SDM continuará programando la realización de opera"&amp;"tivos de control a la ilegalidad en coordinación con la Terminal de Transporte. La SCT coordina permanentemente con la Policía Metropolitana de Tránsito y con funcionarios de La Terminal de Transporte S.A, la ejecución de operativos de control en vía, a l"&amp;"os vehículos que prestan servicios públicos de transporte terrestre automotor de pasajeros por carretera, a fin de sancionar a los conductores de vehículos y empresas que realizan la prestación de servicio sin las respectivas autorizaciones de operación, "&amp;"dejar o recoger pasajeros en sitios distintos de los demarcados por las autoridades, incumplimiento de condiciones de circulación y recorridos autorizados. Procurando con ello, romper los patrones de conducta de desacato a las normas de tránsito por parte"&amp;" de los conductores infractores. En lo que va del año se han programado 125 controles operativos (con corte 30/11/2021) para el control a la ilegalidad en servicios de transporte intermunicipal, de los cuales 16 fueron realizados en el mes de noviembre. A"&amp;"sí mismo, se continuarán realizando los operativos de control en los puntos identificados por la Terminal de Transporte como focos de ilegalidad en servicios de transporte intermunicipal, adicionalmente se tienen programados controles para los días 1, 2  "&amp;"y 3 de diciembre.")</f>
        <v>Se revisó las actividades que pueden realizar las personas que pertenecen a la estrategia de parceros de Integración Social, y no es viable que apoyen actividades de control a la ilegalidad; por tanto, la SDM continuará programando la realización de operativos de control a la ilegalidad en coordinación con la Terminal de Transporte. La SCT coordina permanentemente con la Policía Metropolitana de Tránsito y con funcionarios de La Terminal de Transporte S.A, la ejecución de operativos de control en vía, a los vehículos que prestan servicios públicos de transporte terrestre automotor de pasajeros por carretera, a fin de sancionar a los conductores de vehículos y empresas que realizan la prestación de servicio sin las respectivas autorizaciones de operación, dejar o recoger pasajeros en sitios distintos de los demarcados por las autoridades, incumplimiento de condiciones de circulación y recorridos autorizados. Procurando con ello, romper los patrones de conducta de desacato a las normas de tránsito por parte de los conductores infractores. En lo que va del año se han programado 125 controles operativos (con corte 30/11/2021) para el control a la ilegalidad en servicios de transporte intermunicipal, de los cuales 16 fueron realizados en el mes de noviembre. Así mismo, se continuarán realizando los operativos de control en los puntos identificados por la Terminal de Transporte como focos de ilegalidad en servicios de transporte intermunicipal, adicionalmente se tienen programados controles para los días 1, 2  y 3 de diciembre.</v>
      </c>
      <c r="N4354" s="55">
        <f ca="1">IFERROR(__xludf.DUMMYFUNCTION("""COMPUTED_VALUE"""),44530)</f>
        <v>44530</v>
      </c>
      <c r="O4354" s="25" t="str">
        <f t="shared" ca="1" si="0"/>
        <v>Secretaría Distrital de Movilidad</v>
      </c>
      <c r="P4354" s="25" t="str">
        <f t="shared" si="2"/>
        <v/>
      </c>
      <c r="Q4354" s="25" t="str">
        <f ca="1">IFERROR(__xludf.DUMMYFUNCTION("""COMPUTED_VALUE"""),"Corto plazo")</f>
        <v>Corto plazo</v>
      </c>
      <c r="R4354" s="25"/>
      <c r="S4354" s="55"/>
      <c r="T4354" s="56"/>
      <c r="U4354" s="25"/>
      <c r="V4354" s="25"/>
      <c r="W4354" s="25"/>
      <c r="X4354" s="25"/>
      <c r="Y4354" s="25"/>
      <c r="Z4354" s="25"/>
    </row>
    <row r="4355" spans="1:26" ht="52.5" customHeight="1" x14ac:dyDescent="0.25">
      <c r="A4355" s="25" t="str">
        <f ca="1">IFERROR(__xludf.DUMMYFUNCTION("""COMPUTED_VALUE"""),"Movil153")</f>
        <v>Movil153</v>
      </c>
      <c r="B4355" s="25" t="str">
        <f ca="1">IFERROR(__xludf.DUMMYFUNCTION("""COMPUTED_VALUE"""),"Parqueo en vía")</f>
        <v>Parqueo en vía</v>
      </c>
      <c r="C4355" s="55">
        <f ca="1">IFERROR(__xludf.DUMMYFUNCTION("""COMPUTED_VALUE"""),44453)</f>
        <v>44453</v>
      </c>
      <c r="D4355" s="25" t="str">
        <f ca="1">IFERROR(__xludf.DUMMYFUNCTION("""COMPUTED_VALUE"""),"Movilidad")</f>
        <v>Movilidad</v>
      </c>
      <c r="E4355" s="25" t="str">
        <f ca="1">IFERROR(__xludf.DUMMYFUNCTION("""COMPUTED_VALUE"""),"Secretaría Distrital de Movilidad")</f>
        <v>Secretaría Distrital de Movilidad</v>
      </c>
      <c r="F4355" s="25" t="str">
        <f ca="1">IFERROR(__xludf.DUMMYFUNCTION("""COMPUTED_VALUE"""),"Poner en el presupuesto 2022 lo que les va a costar el mantenimiento de los 12 segmentos viales y que haga parte de los costos fijos de operación y definir tiempos de cada cuánto se hacen mantenimiento. ")</f>
        <v xml:space="preserve">Poner en el presupuesto 2022 lo que les va a costar el mantenimiento de los 12 segmentos viales y que haga parte de los costos fijos de operación y definir tiempos de cada cuánto se hacen mantenimiento. </v>
      </c>
      <c r="G4355" s="25" t="str">
        <f ca="1">IFERROR(__xludf.DUMMYFUNCTION("""COMPUTED_VALUE"""),"99. Distrito")</f>
        <v>99. Distrito</v>
      </c>
      <c r="H4355" s="55">
        <f ca="1">IFERROR(__xludf.DUMMYFUNCTION("""COMPUTED_VALUE"""),44483)</f>
        <v>44483</v>
      </c>
      <c r="I4355" s="25"/>
      <c r="J4355" s="55" t="str">
        <f ca="1">IFERROR(__xludf.DUMMYFUNCTION("""COMPUTED_VALUE"""),"Alta")</f>
        <v>Alta</v>
      </c>
      <c r="K4355" s="25">
        <f ca="1">IFERROR(__xludf.DUMMYFUNCTION("""COMPUTED_VALUE"""),30)</f>
        <v>30</v>
      </c>
      <c r="L4355" s="62">
        <f ca="1">IFERROR(__xludf.DUMMYFUNCTION("""COMPUTED_VALUE"""),44529)</f>
        <v>44529</v>
      </c>
      <c r="M4355" s="25" t="str">
        <f ca="1">IFERROR(__xludf.DUMMYFUNCTION("""COMPUTED_VALUE"""),"Modelo financiero cerrado el 15/10/2021, en el cual se tuvo en cuenta el presupuesto que debe ser enviado a UMV para el mantenimiento vial, de manera periódica.")</f>
        <v>Modelo financiero cerrado el 15/10/2021, en el cual se tuvo en cuenta el presupuesto que debe ser enviado a UMV para el mantenimiento vial, de manera periódica.</v>
      </c>
      <c r="N4355" s="55">
        <f ca="1">IFERROR(__xludf.DUMMYFUNCTION("""COMPUTED_VALUE"""),44529)</f>
        <v>44529</v>
      </c>
      <c r="O4355" s="25" t="str">
        <f t="shared" ca="1" si="0"/>
        <v>Secretaría Distrital de Movilidad</v>
      </c>
      <c r="P4355" s="25" t="str">
        <f t="shared" si="2"/>
        <v/>
      </c>
      <c r="Q4355" s="25" t="str">
        <f ca="1">IFERROR(__xludf.DUMMYFUNCTION("""COMPUTED_VALUE"""),"Corto plazo")</f>
        <v>Corto plazo</v>
      </c>
      <c r="R4355" s="25"/>
      <c r="S4355" s="55"/>
      <c r="T4355" s="56"/>
      <c r="U4355" s="25"/>
      <c r="V4355" s="25"/>
      <c r="W4355" s="25"/>
      <c r="X4355" s="25"/>
      <c r="Y4355" s="25"/>
      <c r="Z4355" s="25"/>
    </row>
    <row r="4356" spans="1:26" ht="52.5" customHeight="1" x14ac:dyDescent="0.25">
      <c r="A4356" s="25" t="str">
        <f ca="1">IFERROR(__xludf.DUMMYFUNCTION("""COMPUTED_VALUE"""),"Movil154")</f>
        <v>Movil154</v>
      </c>
      <c r="B4356" s="25" t="str">
        <f ca="1">IFERROR(__xludf.DUMMYFUNCTION("""COMPUTED_VALUE"""),"Despachando asobares")</f>
        <v>Despachando asobares</v>
      </c>
      <c r="C4356" s="55">
        <f ca="1">IFERROR(__xludf.DUMMYFUNCTION("""COMPUTED_VALUE"""),44453)</f>
        <v>44453</v>
      </c>
      <c r="D4356" s="25" t="str">
        <f ca="1">IFERROR(__xludf.DUMMYFUNCTION("""COMPUTED_VALUE"""),"Movilidad")</f>
        <v>Movilidad</v>
      </c>
      <c r="E4356" s="25" t="str">
        <f ca="1">IFERROR(__xludf.DUMMYFUNCTION("""COMPUTED_VALUE"""),"Secretaría Distrital de Movilidad")</f>
        <v>Secretaría Distrital de Movilidad</v>
      </c>
      <c r="F4356" s="25" t="str">
        <f ca="1">IFERROR(__xludf.DUMMYFUNCTION("""COMPUTED_VALUE"""),"Crear un plan integral para: 
•        Organización de Taxis 
•        Certificación de taxis seguros 
•        Operativos de parqueo
•         Operativo de transporte ilegal
")</f>
        <v xml:space="preserve">Crear un plan integral para: 
•        Organización de Taxis 
•        Certificación de taxis seguros 
•        Operativos de parqueo
•         Operativo de transporte ilegal
</v>
      </c>
      <c r="G4356" s="25" t="str">
        <f ca="1">IFERROR(__xludf.DUMMYFUNCTION("""COMPUTED_VALUE"""),"99. Distrito")</f>
        <v>99. Distrito</v>
      </c>
      <c r="H4356" s="55">
        <f ca="1">IFERROR(__xludf.DUMMYFUNCTION("""COMPUTED_VALUE"""),44483)</f>
        <v>44483</v>
      </c>
      <c r="I4356" s="25"/>
      <c r="J4356" s="55" t="str">
        <f ca="1">IFERROR(__xludf.DUMMYFUNCTION("""COMPUTED_VALUE"""),"Alta")</f>
        <v>Alta</v>
      </c>
      <c r="K4356" s="25">
        <f ca="1">IFERROR(__xludf.DUMMYFUNCTION("""COMPUTED_VALUE"""),30)</f>
        <v>30</v>
      </c>
      <c r="L4356" s="62">
        <f ca="1">IFERROR(__xludf.DUMMYFUNCTION("""COMPUTED_VALUE"""),44530)</f>
        <v>44530</v>
      </c>
      <c r="M4356" s="25" t="str">
        <f ca="1">IFERROR(__xludf.DUMMYFUNCTION("""COMPUTED_VALUE"""),"La Secretaría Distrital de Movilidad ha adelantado visitas de inspección en zonas como Modelia, Galerías y Zona T para la identificación de posibles zonas amarillas, y a partir de estas avanza en la construcción de los conceptos técnicos que soportan la i"&amp;"mplementación de zonas amarillas en la ciudad. Así mismo, en conjunto con Asobares se han adelantado reuniones para la construcción de una estrategia para la gestión de estos espacios que permita mejorar la confianza y seguridad de los usuarios de Taxi.
"&amp;"1. Se tienen identificados 4 segmentos potenciales de zonas amarillas en estos sectores (2 nuevos y 2 existentes)
2. En el caso de Country se  cuentan con los conceptos técnicos  elaborados, pendiente de última aprobación 
3. Se cuenta con una empresa int"&amp;"eresada en la gestión de las zonas amarillas, se está generando convocatoria a todas las empresas para informar y obtener manifestación de interés
La Secretaría Distrital de Movilidad elaboró 7 conceptos de zonas amarillas para el sector country, galería"&amp;"s y calle 63 con carrera 7, de estos se viabilizan 2 conceptos en el sector country, 3 en galerías y uno en la calle 63, a partir de estas la Subdirección de señalización está evaluando la inclusión de sus proyectos de actualización, mantenimiento e imple"&amp;"mentación de zonas estas amarillas.")</f>
        <v>La Secretaría Distrital de Movilidad ha adelantado visitas de inspección en zonas como Modelia, Galerías y Zona T para la identificación de posibles zonas amarillas, y a partir de estas avanza en la construcción de los conceptos técnicos que soportan la implementación de zonas amarillas en la ciudad. Así mismo, en conjunto con Asobares se han adelantado reuniones para la construcción de una estrategia para la gestión de estos espacios que permita mejorar la confianza y seguridad de los usuarios de Taxi.
1. Se tienen identificados 4 segmentos potenciales de zonas amarillas en estos sectores (2 nuevos y 2 existentes)
2. En el caso de Country se  cuentan con los conceptos técnicos  elaborados, pendiente de última aprobación 
3. Se cuenta con una empresa interesada en la gestión de las zonas amarillas, se está generando convocatoria a todas las empresas para informar y obtener manifestación de interés
La Secretaría Distrital de Movilidad elaboró 7 conceptos de zonas amarillas para el sector country, galerías y calle 63 con carrera 7, de estos se viabilizan 2 conceptos en el sector country, 3 en galerías y uno en la calle 63, a partir de estas la Subdirección de señalización está evaluando la inclusión de sus proyectos de actualización, mantenimiento e implementación de zonas estas amarillas.</v>
      </c>
      <c r="N4356" s="55">
        <f ca="1">IFERROR(__xludf.DUMMYFUNCTION("""COMPUTED_VALUE"""),44530)</f>
        <v>44530</v>
      </c>
      <c r="O4356" s="25" t="str">
        <f t="shared" ca="1" si="0"/>
        <v>Secretaría Distrital de Movilidad</v>
      </c>
      <c r="P4356" s="25" t="str">
        <f t="shared" si="2"/>
        <v/>
      </c>
      <c r="Q4356" s="25" t="str">
        <f ca="1">IFERROR(__xludf.DUMMYFUNCTION("""COMPUTED_VALUE"""),"Corto plazo")</f>
        <v>Corto plazo</v>
      </c>
      <c r="R4356" s="25"/>
      <c r="S4356" s="55"/>
      <c r="T4356" s="56"/>
      <c r="U4356" s="25"/>
      <c r="V4356" s="25"/>
      <c r="W4356" s="25"/>
      <c r="X4356" s="25"/>
      <c r="Y4356" s="25"/>
      <c r="Z4356" s="25"/>
    </row>
    <row r="4357" spans="1:26" ht="52.5" customHeight="1" x14ac:dyDescent="0.25">
      <c r="A4357" s="25" t="str">
        <f ca="1">IFERROR(__xludf.DUMMYFUNCTION("""COMPUTED_VALUE"""),"Movil155")</f>
        <v>Movil155</v>
      </c>
      <c r="B4357" s="25" t="str">
        <f ca="1">IFERROR(__xludf.DUMMYFUNCTION("""COMPUTED_VALUE"""),"Despachando Fenalco")</f>
        <v>Despachando Fenalco</v>
      </c>
      <c r="C4357" s="55">
        <f ca="1">IFERROR(__xludf.DUMMYFUNCTION("""COMPUTED_VALUE"""),44452)</f>
        <v>44452</v>
      </c>
      <c r="D4357" s="25" t="str">
        <f ca="1">IFERROR(__xludf.DUMMYFUNCTION("""COMPUTED_VALUE"""),"Movilidad")</f>
        <v>Movilidad</v>
      </c>
      <c r="E4357" s="25" t="str">
        <f ca="1">IFERROR(__xludf.DUMMYFUNCTION("""COMPUTED_VALUE"""),"Secretaría Distrital de Movilidad")</f>
        <v>Secretaría Distrital de Movilidad</v>
      </c>
      <c r="F4357" s="25" t="str">
        <f ca="1">IFERROR(__xludf.DUMMYFUNCTION("""COMPUTED_VALUE"""),"Definir y dar inicio a un plan de organización de parqueaderos en Bogotá con estandarización de tarifas, controles a espacios ilegales y puesta en marcha de parqueo con cobro en vía pública debe estar antes de fin de año.")</f>
        <v>Definir y dar inicio a un plan de organización de parqueaderos en Bogotá con estandarización de tarifas, controles a espacios ilegales y puesta en marcha de parqueo con cobro en vía pública debe estar antes de fin de año.</v>
      </c>
      <c r="G4357" s="25" t="str">
        <f ca="1">IFERROR(__xludf.DUMMYFUNCTION("""COMPUTED_VALUE"""),"99. Distrito")</f>
        <v>99. Distrito</v>
      </c>
      <c r="H4357" s="55">
        <f ca="1">IFERROR(__xludf.DUMMYFUNCTION("""COMPUTED_VALUE"""),44482)</f>
        <v>44482</v>
      </c>
      <c r="I4357" s="25"/>
      <c r="J4357" s="55" t="str">
        <f ca="1">IFERROR(__xludf.DUMMYFUNCTION("""COMPUTED_VALUE"""),"Alta")</f>
        <v>Alta</v>
      </c>
      <c r="K4357" s="25">
        <f ca="1">IFERROR(__xludf.DUMMYFUNCTION("""COMPUTED_VALUE"""),30)</f>
        <v>30</v>
      </c>
      <c r="L4357" s="62">
        <f ca="1">IFERROR(__xludf.DUMMYFUNCTION("""COMPUTED_VALUE"""),44530)</f>
        <v>44530</v>
      </c>
      <c r="M4357" s="25" t="str">
        <f ca="1">IFERROR(__xludf.DUMMYFUNCTION("""COMPUTED_VALUE"""),"Se tiene proyectado en Noviembre de 2021 el inicio de la implementación del servicio de parqueo en vía en la ciudad, empezando por la zona comprendida entre la calle 76, la calle 94, la Carrera 11 y la Carrera 20, en la localidad de Chapinero. Contará con"&amp;" 1000 cupos de parqueo. Se tiene previsto progresivamente ir implementando este servicio en otras zonas de la ciudad, hasta completar cerca de 17000 cupos en 2023.
El 12 de Octubre de 2021 se expidió el decreto 379 que define entre otros aspectos un rang"&amp;"o tarifario para este servicio así: Motos desde $43/min hasta $154/min y para automóvil desde $61/min hasta $221/min. 
Para el funcionamiento del proyecto se tiene previsto el control al mal parqueo con agentes de tránsito. 
Frente al tema de organizaci"&amp;"ón de estacionamientos fuera de vía con estandarización de tarifas, se manifiesta que el Decreto Distrital 461 de 2019 contiene los lineamientos de la asignación de tarifas, la cual depende de las características de los estacionamientos, el nivel de servi"&amp;"cio y la demanda. De acuerdo con los requerimiento del gremio de estacionamiento frente a la actualización de tarifas la SDG y SDM elaboraron el proyecto de decreto que actualiza la tarifa basada en la metodología del Decreto 461 de 2019, dicho proyecto d"&amp;"e decreto se encuentra en publicado desde el 29 de noviembre hasta el 03 de diciembre de 2021 para observaciones de la comunidad. 
Adicionalmente, la SDG, SDH Y SDM vienen trabajando conjuntamente en estrategias para combatir la informalidad, y promoción"&amp;" del Registro Distrital de Estacionamiento, realizando mesas semanales en donde se presentan los avances de cada entidad al respecto.
Es importante mencionar, que el control, inspección y vigilancia de los estacionamientos fuera de vía se encuentra a car"&amp;"go de la Secretaría de Gobierno.
")</f>
        <v xml:space="preserve">Se tiene proyectado en Noviembre de 2021 el inicio de la implementación del servicio de parqueo en vía en la ciudad, empezando por la zona comprendida entre la calle 76, la calle 94, la Carrera 11 y la Carrera 20, en la localidad de Chapinero. Contará con 1000 cupos de parqueo. Se tiene previsto progresivamente ir implementando este servicio en otras zonas de la ciudad, hasta completar cerca de 17000 cupos en 2023.
El 12 de Octubre de 2021 se expidió el decreto 379 que define entre otros aspectos un rango tarifario para este servicio así: Motos desde $43/min hasta $154/min y para automóvil desde $61/min hasta $221/min. 
Para el funcionamiento del proyecto se tiene previsto el control al mal parqueo con agentes de tránsito. 
Frente al tema de organización de estacionamientos fuera de vía con estandarización de tarifas, se manifiesta que el Decreto Distrital 461 de 2019 contiene los lineamientos de la asignación de tarifas, la cual depende de las características de los estacionamientos, el nivel de servicio y la demanda. De acuerdo con los requerimiento del gremio de estacionamiento frente a la actualización de tarifas la SDG y SDM elaboraron el proyecto de decreto que actualiza la tarifa basada en la metodología del Decreto 461 de 2019, dicho proyecto de decreto se encuentra en publicado desde el 29 de noviembre hasta el 03 de diciembre de 2021 para observaciones de la comunidad. 
Adicionalmente, la SDG, SDH Y SDM vienen trabajando conjuntamente en estrategias para combatir la informalidad, y promoción del Registro Distrital de Estacionamiento, realizando mesas semanales en donde se presentan los avances de cada entidad al respecto.
Es importante mencionar, que el control, inspección y vigilancia de los estacionamientos fuera de vía se encuentra a cargo de la Secretaría de Gobierno.
</v>
      </c>
      <c r="N4357" s="55">
        <f ca="1">IFERROR(__xludf.DUMMYFUNCTION("""COMPUTED_VALUE"""),44530)</f>
        <v>44530</v>
      </c>
      <c r="O4357" s="25" t="str">
        <f t="shared" ca="1" si="0"/>
        <v>Secretaría Distrital de Movilidad</v>
      </c>
      <c r="P4357" s="25" t="str">
        <f t="shared" si="2"/>
        <v/>
      </c>
      <c r="Q4357" s="25" t="str">
        <f ca="1">IFERROR(__xludf.DUMMYFUNCTION("""COMPUTED_VALUE"""),"Corto plazo")</f>
        <v>Corto plazo</v>
      </c>
      <c r="R4357" s="25"/>
      <c r="S4357" s="55"/>
      <c r="T4357" s="56"/>
      <c r="U4357" s="25"/>
      <c r="V4357" s="25"/>
      <c r="W4357" s="25"/>
      <c r="X4357" s="25"/>
      <c r="Y4357" s="25"/>
      <c r="Z4357" s="25"/>
    </row>
    <row r="4358" spans="1:26" ht="52.5" customHeight="1" x14ac:dyDescent="0.25">
      <c r="A4358" s="25" t="str">
        <f ca="1">IFERROR(__xludf.DUMMYFUNCTION("""COMPUTED_VALUE"""),"Movil156")</f>
        <v>Movil156</v>
      </c>
      <c r="B4358" s="25" t="str">
        <f ca="1">IFERROR(__xludf.DUMMYFUNCTION("""COMPUTED_VALUE"""),"Recorrido Sumapaz        ")</f>
        <v xml:space="preserve">Recorrido Sumapaz        </v>
      </c>
      <c r="C4358" s="55">
        <f ca="1">IFERROR(__xludf.DUMMYFUNCTION("""COMPUTED_VALUE"""),44450)</f>
        <v>44450</v>
      </c>
      <c r="D4358" s="25" t="str">
        <f ca="1">IFERROR(__xludf.DUMMYFUNCTION("""COMPUTED_VALUE"""),"Movilidad")</f>
        <v>Movilidad</v>
      </c>
      <c r="E4358" s="25" t="str">
        <f ca="1">IFERROR(__xludf.DUMMYFUNCTION("""COMPUTED_VALUE"""),"Secretaría Distrital de Movilidad")</f>
        <v>Secretaría Distrital de Movilidad</v>
      </c>
      <c r="F4358" s="25" t="str">
        <f ca="1">IFERROR(__xludf.DUMMYFUNCTION("""COMPUTED_VALUE"""),"Hablar con el gobernador para que sean ellos quienes realicen los estudios y diseños de la vía hasta la Cabrera")</f>
        <v>Hablar con el gobernador para que sean ellos quienes realicen los estudios y diseños de la vía hasta la Cabrera</v>
      </c>
      <c r="G4358" s="55" t="str">
        <f ca="1">IFERROR(__xludf.DUMMYFUNCTION("""COMPUTED_VALUE"""),"20. Sumapaz")</f>
        <v>20. Sumapaz</v>
      </c>
      <c r="H4358" s="55">
        <f ca="1">IFERROR(__xludf.DUMMYFUNCTION("""COMPUTED_VALUE"""),44480)</f>
        <v>44480</v>
      </c>
      <c r="I4358" s="25"/>
      <c r="J4358" s="55" t="str">
        <f ca="1">IFERROR(__xludf.DUMMYFUNCTION("""COMPUTED_VALUE"""),"Alta")</f>
        <v>Alta</v>
      </c>
      <c r="K4358" s="25">
        <f ca="1">IFERROR(__xludf.DUMMYFUNCTION("""COMPUTED_VALUE"""),30)</f>
        <v>30</v>
      </c>
      <c r="L4358" s="62">
        <f ca="1">IFERROR(__xludf.DUMMYFUNCTION("""COMPUTED_VALUE"""),44748)</f>
        <v>44748</v>
      </c>
      <c r="M4358" s="25" t="str">
        <f ca="1">IFERROR(__xludf.DUMMYFUNCTION("""COMPUTED_VALUE"""),"Las vías en Sumapaz cuentan con diagnóstico de la infraestructura y se están desarrollando acciones de mantenimiento rutinario. Se está en la gestión de lograr la definición de la realización de los estudios y diseños")</f>
        <v>Las vías en Sumapaz cuentan con diagnóstico de la infraestructura y se están desarrollando acciones de mantenimiento rutinario. Se está en la gestión de lograr la definición de la realización de los estudios y diseños</v>
      </c>
      <c r="N4358" s="55">
        <f ca="1">IFERROR(__xludf.DUMMYFUNCTION("""COMPUTED_VALUE"""),44748)</f>
        <v>44748</v>
      </c>
      <c r="O4358" s="25" t="str">
        <f t="shared" ca="1" si="0"/>
        <v>Secretaría Distrital de Movilidad</v>
      </c>
      <c r="P4358" s="25" t="str">
        <f t="shared" si="2"/>
        <v/>
      </c>
      <c r="Q4358" s="25" t="str">
        <f ca="1">IFERROR(__xludf.DUMMYFUNCTION("""COMPUTED_VALUE"""),"Corto plazo")</f>
        <v>Corto plazo</v>
      </c>
      <c r="R4358" s="25"/>
      <c r="S4358" s="55"/>
      <c r="T4358" s="56"/>
      <c r="U4358" s="25"/>
      <c r="V4358" s="25"/>
      <c r="W4358" s="25"/>
      <c r="X4358" s="25"/>
      <c r="Y4358" s="25"/>
      <c r="Z4358" s="25"/>
    </row>
    <row r="4359" spans="1:26" ht="52.5" customHeight="1" x14ac:dyDescent="0.25">
      <c r="A4359" s="25" t="str">
        <f ca="1">IFERROR(__xludf.DUMMYFUNCTION("""COMPUTED_VALUE"""),"Movil157")</f>
        <v>Movil157</v>
      </c>
      <c r="B4359" s="25" t="str">
        <f ca="1">IFERROR(__xludf.DUMMYFUNCTION("""COMPUTED_VALUE"""),"Recorrido Sumapaz        ")</f>
        <v xml:space="preserve">Recorrido Sumapaz        </v>
      </c>
      <c r="C4359" s="55">
        <f ca="1">IFERROR(__xludf.DUMMYFUNCTION("""COMPUTED_VALUE"""),44450)</f>
        <v>44450</v>
      </c>
      <c r="D4359" s="25" t="str">
        <f ca="1">IFERROR(__xludf.DUMMYFUNCTION("""COMPUTED_VALUE"""),"Movilidad")</f>
        <v>Movilidad</v>
      </c>
      <c r="E4359" s="25" t="str">
        <f ca="1">IFERROR(__xludf.DUMMYFUNCTION("""COMPUTED_VALUE"""),"Secretaría Distrital de Movilidad")</f>
        <v>Secretaría Distrital de Movilidad</v>
      </c>
      <c r="F4359" s="25" t="str">
        <f ca="1">IFERROR(__xludf.DUMMYFUNCTION("""COMPUTED_VALUE"""),"Organizar una reunión entre el director nacional de parques e IDU para revisar si es viable o no los caminos de herradura que conecten con Cundinamarca y el Meta. ")</f>
        <v xml:space="preserve">Organizar una reunión entre el director nacional de parques e IDU para revisar si es viable o no los caminos de herradura que conecten con Cundinamarca y el Meta. </v>
      </c>
      <c r="G4359" s="25" t="str">
        <f ca="1">IFERROR(__xludf.DUMMYFUNCTION("""COMPUTED_VALUE"""),"99. Distrito")</f>
        <v>99. Distrito</v>
      </c>
      <c r="H4359" s="55">
        <f ca="1">IFERROR(__xludf.DUMMYFUNCTION("""COMPUTED_VALUE"""),44480)</f>
        <v>44480</v>
      </c>
      <c r="I4359" s="25"/>
      <c r="J4359" s="55" t="str">
        <f ca="1">IFERROR(__xludf.DUMMYFUNCTION("""COMPUTED_VALUE"""),"Alta")</f>
        <v>Alta</v>
      </c>
      <c r="K4359" s="25">
        <f ca="1">IFERROR(__xludf.DUMMYFUNCTION("""COMPUTED_VALUE"""),30)</f>
        <v>30</v>
      </c>
      <c r="L4359" s="62"/>
      <c r="M4359" s="25"/>
      <c r="N4359" s="55">
        <f ca="1">IFERROR(__xludf.DUMMYFUNCTION("""COMPUTED_VALUE"""),44927)</f>
        <v>44927</v>
      </c>
      <c r="O4359" s="25" t="str">
        <f t="shared" ca="1" si="0"/>
        <v>Secretaría Distrital de Movilidad</v>
      </c>
      <c r="P4359" s="25" t="str">
        <f t="shared" si="2"/>
        <v/>
      </c>
      <c r="Q4359" s="25" t="str">
        <f ca="1">IFERROR(__xludf.DUMMYFUNCTION("""COMPUTED_VALUE"""),"Corto plazo")</f>
        <v>Corto plazo</v>
      </c>
      <c r="R4359" s="25"/>
      <c r="S4359" s="55"/>
      <c r="T4359" s="56"/>
      <c r="U4359" s="25"/>
      <c r="V4359" s="25"/>
      <c r="W4359" s="25"/>
      <c r="X4359" s="25"/>
      <c r="Y4359" s="25"/>
      <c r="Z4359" s="25"/>
    </row>
    <row r="4360" spans="1:26" ht="52.5" customHeight="1" x14ac:dyDescent="0.25">
      <c r="A4360" s="25" t="str">
        <f ca="1">IFERROR(__xludf.DUMMYFUNCTION("""COMPUTED_VALUE"""),"Movil158")</f>
        <v>Movil158</v>
      </c>
      <c r="B4360" s="25" t="str">
        <f ca="1">IFERROR(__xludf.DUMMYFUNCTION("""COMPUTED_VALUE"""),"Juntos Cuidamos Bogotá - Recorrido Suba")</f>
        <v>Juntos Cuidamos Bogotá - Recorrido Suba</v>
      </c>
      <c r="C4360" s="55">
        <f ca="1">IFERROR(__xludf.DUMMYFUNCTION("""COMPUTED_VALUE"""),44435)</f>
        <v>44435</v>
      </c>
      <c r="D4360" s="25" t="str">
        <f ca="1">IFERROR(__xludf.DUMMYFUNCTION("""COMPUTED_VALUE"""),"Movilidad")</f>
        <v>Movilidad</v>
      </c>
      <c r="E4360" s="25" t="str">
        <f ca="1">IFERROR(__xludf.DUMMYFUNCTION("""COMPUTED_VALUE"""),"Instituto de Desarrollo Urbano")</f>
        <v>Instituto de Desarrollo Urbano</v>
      </c>
      <c r="F4360" s="25" t="str">
        <f ca="1">IFERROR(__xludf.DUMMYFUNCTION("""COMPUTED_VALUE"""),"Mejorar la señalización de la ciclovía de la 139 con Cali. Habilitar horarios de cargue y descargue para el comercio en el sector.")</f>
        <v>Mejorar la señalización de la ciclovía de la 139 con Cali. Habilitar horarios de cargue y descargue para el comercio en el sector.</v>
      </c>
      <c r="G4360" s="55" t="str">
        <f ca="1">IFERROR(__xludf.DUMMYFUNCTION("""COMPUTED_VALUE"""),"11. Suba")</f>
        <v>11. Suba</v>
      </c>
      <c r="H4360" s="55">
        <f ca="1">IFERROR(__xludf.DUMMYFUNCTION("""COMPUTED_VALUE"""),44465)</f>
        <v>44465</v>
      </c>
      <c r="I4360" s="25"/>
      <c r="J4360" s="55" t="str">
        <f ca="1">IFERROR(__xludf.DUMMYFUNCTION("""COMPUTED_VALUE"""),"Alta")</f>
        <v>Alta</v>
      </c>
      <c r="K4360" s="25">
        <f ca="1">IFERROR(__xludf.DUMMYFUNCTION("""COMPUTED_VALUE"""),30)</f>
        <v>30</v>
      </c>
      <c r="L4360" s="62">
        <f ca="1">IFERROR(__xludf.DUMMYFUNCTION("""COMPUTED_VALUE"""),44530)</f>
        <v>44530</v>
      </c>
      <c r="M4360" s="25" t="str">
        <f ca="1">IFERROR(__xludf.DUMMYFUNCTION("""COMPUTED_VALUE"""),"La SDM a la fecha se encuentra adelantando la implementación de la señalización vial (calzada) del corredor de la Avenida Cali entre Ac 80 y Cl 167. Se inició la implementación de la señalización del tramo vial el 23 /08/2021 y se tiene programado finaliz"&amp;"ar en la Av. Calle 80 el 23/12/2021. Sin embargo la implementación de señalización tendrá en cuenta exclusivamente la intersección con Calle 139. 
La SDM inició acercamiento con la alcaldía local de Suba para gestionar recursos y lograr la intervención m"&amp;"ediante los presupuestos de participación local, y de igual manera buscar priorización con la subdirección de señalización.
En cuanto al tema de cargue y descargue, dado que son vías arterias no se permite el cargue y descargue de mercancías, sin embargo"&amp;" se trata de un tramo donde el comercio es menor. En la zona  solamente hay un sodimac de corona que genera cargue y descargue sobre la 139, sin embargo ahí existe una vía paralela que es donde se desarrollan estas actividades. De manera adicional en la e"&amp;"squina de la 139 con Av. Cali existe una bahía donde se estacionan los vehículos de carga que esperan por servicios y no se observa que generen inconvenientes mayores.
IDU - Se han realizado reuniones para articular el plan de acción social del proyecto "&amp;"con las acciones del IDPC, entre los resultados se destaca: Articular acercamiento en la declaratoria de la bici, socialización directa a los clubes de ciclistas, revisar los procesos de compensación a la población afectada, articulación con el IDRD y la "&amp;"SDDE sobre acciones e identificación de prácticas culturales y mapa de actores.
Para complementar el cierre: El IDU tramitó (Comunicado 20215261865202) la priorización de la Calle 139 para su intervención  a través de la Unidad Administrativa Especial de"&amp;" Rehabilitación y Mantenimiento Vial. Reservado e intervenido por la UAERMV, oficio 20215261490532.")</f>
        <v>La SDM a la fecha se encuentra adelantando la implementación de la señalización vial (calzada) del corredor de la Avenida Cali entre Ac 80 y Cl 167. Se inició la implementación de la señalización del tramo vial el 23 /08/2021 y se tiene programado finalizar en la Av. Calle 80 el 23/12/2021. Sin embargo la implementación de señalización tendrá en cuenta exclusivamente la intersección con Calle 139. 
La SDM inició acercamiento con la alcaldía local de Suba para gestionar recursos y lograr la intervención mediante los presupuestos de participación local, y de igual manera buscar priorización con la subdirección de señalización.
En cuanto al tema de cargue y descargue, dado que son vías arterias no se permite el cargue y descargue de mercancías, sin embargo se trata de un tramo donde el comercio es menor. En la zona  solamente hay un sodimac de corona que genera cargue y descargue sobre la 139, sin embargo ahí existe una vía paralela que es donde se desarrollan estas actividades. De manera adicional en la esquina de la 139 con Av. Cali existe una bahía donde se estacionan los vehículos de carga que esperan por servicios y no se observa que generen inconvenientes mayores.
IDU - Se han realizado reuniones para articular el plan de acción social del proyecto con las acciones del IDPC, entre los resultados se destaca: Articular acercamiento en la declaratoria de la bici, socialización directa a los clubes de ciclistas, revisar los procesos de compensación a la población afectada, articulación con el IDRD y la SDDE sobre acciones e identificación de prácticas culturales y mapa de actores.
Para complementar el cierre: El IDU tramitó (Comunicado 20215261865202) la priorización de la Calle 139 para su intervención  a través de la Unidad Administrativa Especial de Rehabilitación y Mantenimiento Vial. Reservado e intervenido por la UAERMV, oficio 20215261490532.</v>
      </c>
      <c r="N4360" s="55">
        <f ca="1">IFERROR(__xludf.DUMMYFUNCTION("""COMPUTED_VALUE"""),44530)</f>
        <v>44530</v>
      </c>
      <c r="O4360" s="25" t="str">
        <f t="shared" ca="1" si="0"/>
        <v>Instituto de Desarrollo Urbano</v>
      </c>
      <c r="P4360" s="25" t="str">
        <f t="shared" si="2"/>
        <v/>
      </c>
      <c r="Q4360" s="25" t="str">
        <f ca="1">IFERROR(__xludf.DUMMYFUNCTION("""COMPUTED_VALUE"""),"Corto plazo")</f>
        <v>Corto plazo</v>
      </c>
      <c r="R4360" s="25"/>
      <c r="S4360" s="55"/>
      <c r="T4360" s="56"/>
      <c r="U4360" s="25"/>
      <c r="V4360" s="25"/>
      <c r="W4360" s="25"/>
      <c r="X4360" s="25"/>
      <c r="Y4360" s="25"/>
      <c r="Z4360" s="25"/>
    </row>
    <row r="4361" spans="1:26" ht="52.5" customHeight="1" x14ac:dyDescent="0.25">
      <c r="A4361" s="25" t="str">
        <f ca="1">IFERROR(__xludf.DUMMYFUNCTION("""COMPUTED_VALUE"""),"Movil159")</f>
        <v>Movil159</v>
      </c>
      <c r="B4361" s="25" t="str">
        <f ca="1">IFERROR(__xludf.DUMMYFUNCTION("""COMPUTED_VALUE"""),"Findeter- Regiotram Norte")</f>
        <v>Findeter- Regiotram Norte</v>
      </c>
      <c r="C4361" s="55">
        <f ca="1">IFERROR(__xludf.DUMMYFUNCTION("""COMPUTED_VALUE"""),44434)</f>
        <v>44434</v>
      </c>
      <c r="D4361" s="25" t="str">
        <f ca="1">IFERROR(__xludf.DUMMYFUNCTION("""COMPUTED_VALUE"""),"Movilidad")</f>
        <v>Movilidad</v>
      </c>
      <c r="E4361" s="25" t="str">
        <f ca="1">IFERROR(__xludf.DUMMYFUNCTION("""COMPUTED_VALUE"""),"Instituto de Desarrollo Urbano")</f>
        <v>Instituto de Desarrollo Urbano</v>
      </c>
      <c r="F4361" s="25" t="str">
        <f ca="1">IFERROR(__xludf.DUMMYFUNCTION("""COMPUTED_VALUE"""),"Cerrar fase dos de regiotram norte para la cual es necesario una reunión con acueducto y tener claridad de ubicación, profundidad y distancias de las redes para poder avanzar en la obra ")</f>
        <v xml:space="preserve">Cerrar fase dos de regiotram norte para la cual es necesario una reunión con acueducto y tener claridad de ubicación, profundidad y distancias de las redes para poder avanzar en la obra </v>
      </c>
      <c r="G4361" s="25" t="str">
        <f ca="1">IFERROR(__xludf.DUMMYFUNCTION("""COMPUTED_VALUE"""),"99. Distrito")</f>
        <v>99. Distrito</v>
      </c>
      <c r="H4361" s="55">
        <f ca="1">IFERROR(__xludf.DUMMYFUNCTION("""COMPUTED_VALUE"""),44464)</f>
        <v>44464</v>
      </c>
      <c r="I4361" s="25"/>
      <c r="J4361" s="55" t="str">
        <f ca="1">IFERROR(__xludf.DUMMYFUNCTION("""COMPUTED_VALUE"""),"Alta")</f>
        <v>Alta</v>
      </c>
      <c r="K4361" s="25">
        <f ca="1">IFERROR(__xludf.DUMMYFUNCTION("""COMPUTED_VALUE"""),30)</f>
        <v>30</v>
      </c>
      <c r="L4361" s="62">
        <f ca="1">IFERROR(__xludf.DUMMYFUNCTION("""COMPUTED_VALUE"""),44456)</f>
        <v>44456</v>
      </c>
      <c r="M4361" s="25" t="str">
        <f ca="1">IFERROR(__xludf.DUMMYFUNCTION("""COMPUTED_VALUE"""),"Se realizó la reunión con la EAAB, encontrando que es necesario profundizar en el análisis de la red de acueducto, lo cual deberá ser adelantado por la firma de consultoría")</f>
        <v>Se realizó la reunión con la EAAB, encontrando que es necesario profundizar en el análisis de la red de acueducto, lo cual deberá ser adelantado por la firma de consultoría</v>
      </c>
      <c r="N4361" s="55">
        <f ca="1">IFERROR(__xludf.DUMMYFUNCTION("""COMPUTED_VALUE"""),44456)</f>
        <v>44456</v>
      </c>
      <c r="O4361" s="25" t="str">
        <f t="shared" ca="1" si="0"/>
        <v>Instituto de Desarrollo Urbano</v>
      </c>
      <c r="P4361" s="25" t="str">
        <f t="shared" si="2"/>
        <v/>
      </c>
      <c r="Q4361" s="25" t="str">
        <f ca="1">IFERROR(__xludf.DUMMYFUNCTION("""COMPUTED_VALUE"""),"Corto plazo")</f>
        <v>Corto plazo</v>
      </c>
      <c r="R4361" s="25"/>
      <c r="S4361" s="55"/>
      <c r="T4361" s="56"/>
      <c r="U4361" s="25"/>
      <c r="V4361" s="25"/>
      <c r="W4361" s="25"/>
      <c r="X4361" s="25"/>
      <c r="Y4361" s="25"/>
      <c r="Z4361" s="25"/>
    </row>
    <row r="4362" spans="1:26" ht="52.5" customHeight="1" x14ac:dyDescent="0.25">
      <c r="A4362" s="25" t="str">
        <f ca="1">IFERROR(__xludf.DUMMYFUNCTION("""COMPUTED_VALUE"""),"Movil160")</f>
        <v>Movil160</v>
      </c>
      <c r="B4362" s="25" t="str">
        <f ca="1">IFERROR(__xludf.DUMMYFUNCTION("""COMPUTED_VALUE"""),"Findeter- Regiotram Norte")</f>
        <v>Findeter- Regiotram Norte</v>
      </c>
      <c r="C4362" s="55">
        <f ca="1">IFERROR(__xludf.DUMMYFUNCTION("""COMPUTED_VALUE"""),44434)</f>
        <v>44434</v>
      </c>
      <c r="D4362" s="25" t="str">
        <f ca="1">IFERROR(__xludf.DUMMYFUNCTION("""COMPUTED_VALUE"""),"Movilidad")</f>
        <v>Movilidad</v>
      </c>
      <c r="E4362" s="25" t="str">
        <f ca="1">IFERROR(__xludf.DUMMYFUNCTION("""COMPUTED_VALUE"""),"Instituto de Desarrollo Urbano")</f>
        <v>Instituto de Desarrollo Urbano</v>
      </c>
      <c r="F4362" s="25" t="str">
        <f ca="1">IFERROR(__xludf.DUMMYFUNCTION("""COMPUTED_VALUE"""),"Realizar reunión con movilidad para tener claridad vía demanda, cuáles y cuántas estaciones pide Bogotá. ")</f>
        <v xml:space="preserve">Realizar reunión con movilidad para tener claridad vía demanda, cuáles y cuántas estaciones pide Bogotá. </v>
      </c>
      <c r="G4362" s="25" t="str">
        <f ca="1">IFERROR(__xludf.DUMMYFUNCTION("""COMPUTED_VALUE"""),"99. Distrito")</f>
        <v>99. Distrito</v>
      </c>
      <c r="H4362" s="55">
        <f ca="1">IFERROR(__xludf.DUMMYFUNCTION("""COMPUTED_VALUE"""),44464)</f>
        <v>44464</v>
      </c>
      <c r="I4362" s="25"/>
      <c r="J4362" s="55" t="str">
        <f ca="1">IFERROR(__xludf.DUMMYFUNCTION("""COMPUTED_VALUE"""),"Alta")</f>
        <v>Alta</v>
      </c>
      <c r="K4362" s="25">
        <f ca="1">IFERROR(__xludf.DUMMYFUNCTION("""COMPUTED_VALUE"""),30)</f>
        <v>30</v>
      </c>
      <c r="L4362" s="62">
        <f ca="1">IFERROR(__xludf.DUMMYFUNCTION("""COMPUTED_VALUE"""),44469)</f>
        <v>44469</v>
      </c>
      <c r="M4362" s="25" t="str">
        <f ca="1">IFERROR(__xludf.DUMMYFUNCTION("""COMPUTED_VALUE"""),"Tema presentado por la SDM a la alcaldesa el pasado 21 de septiembre, determinando que el proyecto debe ser completo desde km5 hasta calle 200.")</f>
        <v>Tema presentado por la SDM a la alcaldesa el pasado 21 de septiembre, determinando que el proyecto debe ser completo desde km5 hasta calle 200.</v>
      </c>
      <c r="N4362" s="55">
        <f ca="1">IFERROR(__xludf.DUMMYFUNCTION("""COMPUTED_VALUE"""),44469)</f>
        <v>44469</v>
      </c>
      <c r="O4362" s="25" t="str">
        <f t="shared" ca="1" si="0"/>
        <v>Instituto de Desarrollo Urbano</v>
      </c>
      <c r="P4362" s="25" t="str">
        <f t="shared" si="2"/>
        <v/>
      </c>
      <c r="Q4362" s="25" t="str">
        <f ca="1">IFERROR(__xludf.DUMMYFUNCTION("""COMPUTED_VALUE"""),"Corto plazo")</f>
        <v>Corto plazo</v>
      </c>
      <c r="R4362" s="25"/>
      <c r="S4362" s="55"/>
      <c r="T4362" s="56"/>
      <c r="U4362" s="25"/>
      <c r="V4362" s="25"/>
      <c r="W4362" s="25"/>
      <c r="X4362" s="25"/>
      <c r="Y4362" s="25"/>
      <c r="Z4362" s="25"/>
    </row>
    <row r="4363" spans="1:26" ht="52.5" customHeight="1" x14ac:dyDescent="0.25">
      <c r="A4363" s="25" t="str">
        <f ca="1">IFERROR(__xludf.DUMMYFUNCTION("""COMPUTED_VALUE"""),"Movil161")</f>
        <v>Movil161</v>
      </c>
      <c r="B4363" s="25" t="str">
        <f ca="1">IFERROR(__xludf.DUMMYFUNCTION("""COMPUTED_VALUE"""),"Findeter- Regiotram Norte")</f>
        <v>Findeter- Regiotram Norte</v>
      </c>
      <c r="C4363" s="55">
        <f ca="1">IFERROR(__xludf.DUMMYFUNCTION("""COMPUTED_VALUE"""),44434)</f>
        <v>44434</v>
      </c>
      <c r="D4363" s="25" t="str">
        <f ca="1">IFERROR(__xludf.DUMMYFUNCTION("""COMPUTED_VALUE"""),"Movilidad")</f>
        <v>Movilidad</v>
      </c>
      <c r="E4363" s="25" t="str">
        <f ca="1">IFERROR(__xludf.DUMMYFUNCTION("""COMPUTED_VALUE"""),"Instituto de Desarrollo Urbano")</f>
        <v>Instituto de Desarrollo Urbano</v>
      </c>
      <c r="F4363" s="25" t="str">
        <f ca="1">IFERROR(__xludf.DUMMYFUNCTION("""COMPUTED_VALUE"""),"En el informe final del consultor de la fase dos se debe explicar de manera minuciosa todos los cambios que ocurrieron como integración de Bogotá, Conpes de movilidad, integración tarifaria, fuentes de financiación como peajes del norte, etc. ")</f>
        <v xml:space="preserve">En el informe final del consultor de la fase dos se debe explicar de manera minuciosa todos los cambios que ocurrieron como integración de Bogotá, Conpes de movilidad, integración tarifaria, fuentes de financiación como peajes del norte, etc. </v>
      </c>
      <c r="G4363" s="25" t="str">
        <f ca="1">IFERROR(__xludf.DUMMYFUNCTION("""COMPUTED_VALUE"""),"99. Distrito")</f>
        <v>99. Distrito</v>
      </c>
      <c r="H4363" s="55">
        <f ca="1">IFERROR(__xludf.DUMMYFUNCTION("""COMPUTED_VALUE"""),44464)</f>
        <v>44464</v>
      </c>
      <c r="I4363" s="25"/>
      <c r="J4363" s="55" t="str">
        <f ca="1">IFERROR(__xludf.DUMMYFUNCTION("""COMPUTED_VALUE"""),"Alta")</f>
        <v>Alta</v>
      </c>
      <c r="K4363" s="25">
        <f ca="1">IFERROR(__xludf.DUMMYFUNCTION("""COMPUTED_VALUE"""),30)</f>
        <v>30</v>
      </c>
      <c r="L4363" s="62">
        <f ca="1">IFERROR(__xludf.DUMMYFUNCTION("""COMPUTED_VALUE"""),44483)</f>
        <v>44483</v>
      </c>
      <c r="M4363" s="25" t="str">
        <f ca="1">IFERROR(__xludf.DUMMYFUNCTION("""COMPUTED_VALUE"""),"Pendiente de continuidad del estudio. El Regiotram ya se encuentra en estudios de factibilidad, los trazados fueron presentados y aprobados por Alcaldía Mayor y gobierno nacional , alternativa 2A Las elevaciones vehiculares harán parte del desarrollo del "&amp;"Proyecto y no serán un aporte en especie.
Se incluye al Proyecto un tramo adicional en Zipaquirá.
El Material Rodante es similar al de Regiotram de Occidente: aproximadamente 900 pax y una longitud máxima de 105 mts.
La EMB apoyará la selección de la t"&amp;"ipología vehicular con base en la propuesta de la SLMB.
El Capex será preliminar y se proyectará con base en los indicadores del IDU para elevaciones vehiculares.
Integración tarifaria solo con Regiotram de Occidente.
El contrato será integrado de part"&amp;"icipación privada.")</f>
        <v>Pendiente de continuidad del estudio. El Regiotram ya se encuentra en estudios de factibilidad, los trazados fueron presentados y aprobados por Alcaldía Mayor y gobierno nacional , alternativa 2A Las elevaciones vehiculares harán parte del desarrollo del Proyecto y no serán un aporte en especie.
Se incluye al Proyecto un tramo adicional en Zipaquirá.
El Material Rodante es similar al de Regiotram de Occidente: aproximadamente 900 pax y una longitud máxima de 105 mts.
La EMB apoyará la selección de la tipología vehicular con base en la propuesta de la SLMB.
El Capex será preliminar y se proyectará con base en los indicadores del IDU para elevaciones vehiculares.
Integración tarifaria solo con Regiotram de Occidente.
El contrato será integrado de participación privada.</v>
      </c>
      <c r="N4363" s="55">
        <f ca="1">IFERROR(__xludf.DUMMYFUNCTION("""COMPUTED_VALUE"""),44483)</f>
        <v>44483</v>
      </c>
      <c r="O4363" s="25" t="str">
        <f t="shared" ca="1" si="0"/>
        <v>Instituto de Desarrollo Urbano</v>
      </c>
      <c r="P4363" s="25" t="str">
        <f t="shared" si="2"/>
        <v/>
      </c>
      <c r="Q4363" s="25" t="str">
        <f ca="1">IFERROR(__xludf.DUMMYFUNCTION("""COMPUTED_VALUE"""),"Corto plazo")</f>
        <v>Corto plazo</v>
      </c>
      <c r="R4363" s="25"/>
      <c r="S4363" s="55"/>
      <c r="T4363" s="56"/>
      <c r="U4363" s="25"/>
      <c r="V4363" s="25"/>
      <c r="W4363" s="25"/>
      <c r="X4363" s="25"/>
      <c r="Y4363" s="25"/>
      <c r="Z4363" s="25"/>
    </row>
    <row r="4364" spans="1:26" ht="52.5" customHeight="1" x14ac:dyDescent="0.25">
      <c r="A4364" s="25" t="str">
        <f ca="1">IFERROR(__xludf.DUMMYFUNCTION("""COMPUTED_VALUE"""),"Movil162")</f>
        <v>Movil162</v>
      </c>
      <c r="B4364" s="25" t="str">
        <f ca="1">IFERROR(__xludf.DUMMYFUNCTION("""COMPUTED_VALUE"""),"APP")</f>
        <v>APP</v>
      </c>
      <c r="C4364" s="55">
        <f ca="1">IFERROR(__xludf.DUMMYFUNCTION("""COMPUTED_VALUE"""),44434)</f>
        <v>44434</v>
      </c>
      <c r="D4364" s="25" t="str">
        <f ca="1">IFERROR(__xludf.DUMMYFUNCTION("""COMPUTED_VALUE"""),"Movilidad")</f>
        <v>Movilidad</v>
      </c>
      <c r="E4364" s="25" t="str">
        <f ca="1">IFERROR(__xludf.DUMMYFUNCTION("""COMPUTED_VALUE"""),"Instituto de Desarrollo Urbano")</f>
        <v>Instituto de Desarrollo Urbano</v>
      </c>
      <c r="F4364" s="25" t="str">
        <f ca="1">IFERROR(__xludf.DUMMYFUNCTION("""COMPUTED_VALUE"""),"El IDU debe hacer un plan para conectar La Calera con la última estación del cable San Rafael")</f>
        <v>El IDU debe hacer un plan para conectar La Calera con la última estación del cable San Rafael</v>
      </c>
      <c r="G4364" s="25" t="str">
        <f ca="1">IFERROR(__xludf.DUMMYFUNCTION("""COMPUTED_VALUE"""),"99. Distrito")</f>
        <v>99. Distrito</v>
      </c>
      <c r="H4364" s="55">
        <f ca="1">IFERROR(__xludf.DUMMYFUNCTION("""COMPUTED_VALUE"""),44464)</f>
        <v>44464</v>
      </c>
      <c r="I4364" s="25"/>
      <c r="J4364" s="55" t="str">
        <f ca="1">IFERROR(__xludf.DUMMYFUNCTION("""COMPUTED_VALUE"""),"Alta")</f>
        <v>Alta</v>
      </c>
      <c r="K4364" s="25">
        <f ca="1">IFERROR(__xludf.DUMMYFUNCTION("""COMPUTED_VALUE"""),30)</f>
        <v>30</v>
      </c>
      <c r="L4364" s="62">
        <f ca="1">IFERROR(__xludf.DUMMYFUNCTION("""COMPUTED_VALUE"""),44783)</f>
        <v>44783</v>
      </c>
      <c r="M4364" s="25" t="str">
        <f ca="1">IFERROR(__xludf.DUMMYFUNCTION("""COMPUTED_VALUE"""),"Se está estudiando la posibilidad de implementar otro trazado. La Empresa Metro de Medellín presentó cotización para elaborar estudios a nivel de prefactibilidad. Se está a la espera de la cotización de la FDN. 
Ya se tiene cotización de la FDN, se progr"&amp;"ama estudios de prefactibilidad 2023 contratar.
Se realizó visita al sitio, existe una vía que conecta el casco urbano con los linderos del predio de la EAB. Debería hacerse una rehabilitación a la vía existente y establecer un programa de mantenimiento "&amp;"para la misma. Deben generarse rutas circulares entre el parque y el casco urbano. se debe construir una pasarela peatonal desde la estación hasta la vía al interior del predio (200-300 m aprox)")</f>
        <v>Se está estudiando la posibilidad de implementar otro trazado. La Empresa Metro de Medellín presentó cotización para elaborar estudios a nivel de prefactibilidad. Se está a la espera de la cotización de la FDN. 
Ya se tiene cotización de la FDN, se programa estudios de prefactibilidad 2023 contratar.
Se realizó visita al sitio, existe una vía que conecta el casco urbano con los linderos del predio de la EAB. Debería hacerse una rehabilitación a la vía existente y establecer un programa de mantenimiento para la misma. Deben generarse rutas circulares entre el parque y el casco urbano. se debe construir una pasarela peatonal desde la estación hasta la vía al interior del predio (200-300 m aprox)</v>
      </c>
      <c r="N4364" s="55">
        <f ca="1">IFERROR(__xludf.DUMMYFUNCTION("""COMPUTED_VALUE"""),44783)</f>
        <v>44783</v>
      </c>
      <c r="O4364" s="25" t="str">
        <f t="shared" ca="1" si="0"/>
        <v>Instituto de Desarrollo Urbano</v>
      </c>
      <c r="P4364" s="25" t="str">
        <f t="shared" si="2"/>
        <v/>
      </c>
      <c r="Q4364" s="25" t="str">
        <f ca="1">IFERROR(__xludf.DUMMYFUNCTION("""COMPUTED_VALUE"""),"Corto plazo")</f>
        <v>Corto plazo</v>
      </c>
      <c r="R4364" s="25"/>
      <c r="S4364" s="55"/>
      <c r="T4364" s="56"/>
      <c r="U4364" s="25"/>
      <c r="V4364" s="25"/>
      <c r="W4364" s="25"/>
      <c r="X4364" s="25"/>
      <c r="Y4364" s="25"/>
      <c r="Z4364" s="25"/>
    </row>
    <row r="4365" spans="1:26" ht="52.5" customHeight="1" x14ac:dyDescent="0.25">
      <c r="A4365" s="25" t="str">
        <f ca="1">IFERROR(__xludf.DUMMYFUNCTION("""COMPUTED_VALUE"""),"Movil163")</f>
        <v>Movil163</v>
      </c>
      <c r="B4365" s="25" t="str">
        <f ca="1">IFERROR(__xludf.DUMMYFUNCTION("""COMPUTED_VALUE"""),"APP")</f>
        <v>APP</v>
      </c>
      <c r="C4365" s="55">
        <f ca="1">IFERROR(__xludf.DUMMYFUNCTION("""COMPUTED_VALUE"""),44434)</f>
        <v>44434</v>
      </c>
      <c r="D4365" s="25" t="str">
        <f ca="1">IFERROR(__xludf.DUMMYFUNCTION("""COMPUTED_VALUE"""),"Movilidad")</f>
        <v>Movilidad</v>
      </c>
      <c r="E4365" s="25" t="str">
        <f ca="1">IFERROR(__xludf.DUMMYFUNCTION("""COMPUTED_VALUE"""),"Instituto de Desarrollo Urbano")</f>
        <v>Instituto de Desarrollo Urbano</v>
      </c>
      <c r="F4365" s="25" t="str">
        <f ca="1">IFERROR(__xludf.DUMMYFUNCTION("""COMPUTED_VALUE"""),"EL IDU y el IDRD deben hacer un plan de trabajo para el desplazamiento de la vía que es necesario en la APP del Campin")</f>
        <v>EL IDU y el IDRD deben hacer un plan de trabajo para el desplazamiento de la vía que es necesario en la APP del Campin</v>
      </c>
      <c r="G4365" s="25" t="str">
        <f ca="1">IFERROR(__xludf.DUMMYFUNCTION("""COMPUTED_VALUE"""),"99. Distrito")</f>
        <v>99. Distrito</v>
      </c>
      <c r="H4365" s="55">
        <f ca="1">IFERROR(__xludf.DUMMYFUNCTION("""COMPUTED_VALUE"""),44464)</f>
        <v>44464</v>
      </c>
      <c r="I4365" s="25"/>
      <c r="J4365" s="55" t="str">
        <f ca="1">IFERROR(__xludf.DUMMYFUNCTION("""COMPUTED_VALUE"""),"Alta")</f>
        <v>Alta</v>
      </c>
      <c r="K4365" s="25">
        <f ca="1">IFERROR(__xludf.DUMMYFUNCTION("""COMPUTED_VALUE"""),30)</f>
        <v>30</v>
      </c>
      <c r="L4365" s="62">
        <f ca="1">IFERROR(__xludf.DUMMYFUNCTION("""COMPUTED_VALUE"""),44657)</f>
        <v>44657</v>
      </c>
      <c r="M4365" s="25" t="str">
        <f ca="1">IFERROR(__xludf.DUMMYFUNCTION("""COMPUTED_VALUE"""),"IDU no tiene recursos para hacer la APP")</f>
        <v>IDU no tiene recursos para hacer la APP</v>
      </c>
      <c r="N4365" s="55">
        <f ca="1">IFERROR(__xludf.DUMMYFUNCTION("""COMPUTED_VALUE"""),44657)</f>
        <v>44657</v>
      </c>
      <c r="O4365" s="25" t="str">
        <f t="shared" ca="1" si="0"/>
        <v>Instituto de Desarrollo Urbano</v>
      </c>
      <c r="P4365" s="25" t="str">
        <f t="shared" si="2"/>
        <v/>
      </c>
      <c r="Q4365" s="25" t="str">
        <f ca="1">IFERROR(__xludf.DUMMYFUNCTION("""COMPUTED_VALUE"""),"Corto plazo")</f>
        <v>Corto plazo</v>
      </c>
      <c r="R4365" s="25"/>
      <c r="S4365" s="55"/>
      <c r="T4365" s="56"/>
      <c r="U4365" s="25"/>
      <c r="V4365" s="25"/>
      <c r="W4365" s="25"/>
      <c r="X4365" s="25"/>
      <c r="Y4365" s="25"/>
      <c r="Z4365" s="25"/>
    </row>
    <row r="4366" spans="1:26" ht="52.5" customHeight="1" x14ac:dyDescent="0.25">
      <c r="A4366" s="25" t="str">
        <f ca="1">IFERROR(__xludf.DUMMYFUNCTION("""COMPUTED_VALUE"""),"Movil164")</f>
        <v>Movil164</v>
      </c>
      <c r="B4366" s="25" t="str">
        <f ca="1">IFERROR(__xludf.DUMMYFUNCTION("""COMPUTED_VALUE"""),"APP")</f>
        <v>APP</v>
      </c>
      <c r="C4366" s="55">
        <f ca="1">IFERROR(__xludf.DUMMYFUNCTION("""COMPUTED_VALUE"""),44434)</f>
        <v>44434</v>
      </c>
      <c r="D4366" s="25" t="str">
        <f ca="1">IFERROR(__xludf.DUMMYFUNCTION("""COMPUTED_VALUE"""),"Movilidad")</f>
        <v>Movilidad</v>
      </c>
      <c r="E4366" s="25" t="str">
        <f ca="1">IFERROR(__xludf.DUMMYFUNCTION("""COMPUTED_VALUE"""),"Instituto de Desarrollo Urbano")</f>
        <v>Instituto de Desarrollo Urbano</v>
      </c>
      <c r="F4366" s="25" t="str">
        <f ca="1">IFERROR(__xludf.DUMMYFUNCTION("""COMPUTED_VALUE"""),"El Acueducto debe rediseñar el cable de San Rafael sin tocar el embalse y proponer una compensación de parque a La Calera en un predio aledaño al embalse")</f>
        <v>El Acueducto debe rediseñar el cable de San Rafael sin tocar el embalse y proponer una compensación de parque a La Calera en un predio aledaño al embalse</v>
      </c>
      <c r="G4366" s="25" t="str">
        <f ca="1">IFERROR(__xludf.DUMMYFUNCTION("""COMPUTED_VALUE"""),"99. Distrito")</f>
        <v>99. Distrito</v>
      </c>
      <c r="H4366" s="55">
        <f ca="1">IFERROR(__xludf.DUMMYFUNCTION("""COMPUTED_VALUE"""),44464)</f>
        <v>44464</v>
      </c>
      <c r="I4366" s="25"/>
      <c r="J4366" s="55" t="str">
        <f ca="1">IFERROR(__xludf.DUMMYFUNCTION("""COMPUTED_VALUE"""),"Alta")</f>
        <v>Alta</v>
      </c>
      <c r="K4366" s="25">
        <f ca="1">IFERROR(__xludf.DUMMYFUNCTION("""COMPUTED_VALUE"""),30)</f>
        <v>30</v>
      </c>
      <c r="L4366" s="62">
        <f ca="1">IFERROR(__xludf.DUMMYFUNCTION("""COMPUTED_VALUE"""),44783)</f>
        <v>44783</v>
      </c>
      <c r="M4366" s="25" t="str">
        <f ca="1">IFERROR(__xludf.DUMMYFUNCTION("""COMPUTED_VALUE"""),"Se está estudiando la posibilidad de implementar otro trazado. La Empresa Metro de Medellín presentó cotización para elaborar estudios a nivel de prefactibilidad. Se está a la espera de la cotización de la FDN
 Ya se tiene cotización de la FDN, se progr"&amp;"ama estudios de prefactibilidad 2023 contratar.Desde EAAB se entregaron los estudios y diseños adelantados para el Cable San Rafael para avanzar en este cable por parte de IDU. A la espera de respuesta por parte del IDU. ")</f>
        <v xml:space="preserve">Se está estudiando la posibilidad de implementar otro trazado. La Empresa Metro de Medellín presentó cotización para elaborar estudios a nivel de prefactibilidad. Se está a la espera de la cotización de la FDN
 Ya se tiene cotización de la FDN, se programa estudios de prefactibilidad 2023 contratar.Desde EAAB se entregaron los estudios y diseños adelantados para el Cable San Rafael para avanzar en este cable por parte de IDU. A la espera de respuesta por parte del IDU. </v>
      </c>
      <c r="N4366" s="55">
        <f ca="1">IFERROR(__xludf.DUMMYFUNCTION("""COMPUTED_VALUE"""),44783)</f>
        <v>44783</v>
      </c>
      <c r="O4366" s="25" t="str">
        <f t="shared" ca="1" si="0"/>
        <v>Instituto de Desarrollo Urbano</v>
      </c>
      <c r="P4366" s="25" t="str">
        <f t="shared" si="2"/>
        <v/>
      </c>
      <c r="Q4366" s="25" t="str">
        <f ca="1">IFERROR(__xludf.DUMMYFUNCTION("""COMPUTED_VALUE"""),"Corto plazo")</f>
        <v>Corto plazo</v>
      </c>
      <c r="R4366" s="25"/>
      <c r="S4366" s="55"/>
      <c r="T4366" s="56"/>
      <c r="U4366" s="25"/>
      <c r="V4366" s="25"/>
      <c r="W4366" s="25"/>
      <c r="X4366" s="25"/>
      <c r="Y4366" s="25"/>
      <c r="Z4366" s="25"/>
    </row>
    <row r="4367" spans="1:26" ht="52.5" customHeight="1" x14ac:dyDescent="0.25">
      <c r="A4367" s="25" t="str">
        <f ca="1">IFERROR(__xludf.DUMMYFUNCTION("""COMPUTED_VALUE"""),"Movil165")</f>
        <v>Movil165</v>
      </c>
      <c r="B4367" s="25" t="str">
        <f ca="1">IFERROR(__xludf.DUMMYFUNCTION("""COMPUTED_VALUE"""),"Taller Avenida Ciudad de Cali ")</f>
        <v xml:space="preserve">Taller Avenida Ciudad de Cali </v>
      </c>
      <c r="C4367" s="55">
        <f ca="1">IFERROR(__xludf.DUMMYFUNCTION("""COMPUTED_VALUE"""),44433)</f>
        <v>44433</v>
      </c>
      <c r="D4367" s="25" t="str">
        <f ca="1">IFERROR(__xludf.DUMMYFUNCTION("""COMPUTED_VALUE"""),"Movilidad")</f>
        <v>Movilidad</v>
      </c>
      <c r="E4367" s="25" t="str">
        <f ca="1">IFERROR(__xludf.DUMMYFUNCTION("""COMPUTED_VALUE"""),"Instituto de Desarrollo Urbano")</f>
        <v>Instituto de Desarrollo Urbano</v>
      </c>
      <c r="F4367" s="25" t="str">
        <f ca="1">IFERROR(__xludf.DUMMYFUNCTION("""COMPUTED_VALUE"""),"Desde el inicio de la obra (incluso desde la tala de árboles) se debe tener un esquema de seguridad privada robusto para los 4 tramos de la obra avenida Ciudad de Cali")</f>
        <v>Desde el inicio de la obra (incluso desde la tala de árboles) se debe tener un esquema de seguridad privada robusto para los 4 tramos de la obra avenida Ciudad de Cali</v>
      </c>
      <c r="G4367" s="25" t="str">
        <f ca="1">IFERROR(__xludf.DUMMYFUNCTION("""COMPUTED_VALUE"""),"99. Distrito")</f>
        <v>99. Distrito</v>
      </c>
      <c r="H4367" s="55">
        <f ca="1">IFERROR(__xludf.DUMMYFUNCTION("""COMPUTED_VALUE"""),44463)</f>
        <v>44463</v>
      </c>
      <c r="I4367" s="25"/>
      <c r="J4367" s="55" t="str">
        <f ca="1">IFERROR(__xludf.DUMMYFUNCTION("""COMPUTED_VALUE"""),"Alta")</f>
        <v>Alta</v>
      </c>
      <c r="K4367" s="25">
        <f ca="1">IFERROR(__xludf.DUMMYFUNCTION("""COMPUTED_VALUE"""),30)</f>
        <v>30</v>
      </c>
      <c r="L4367" s="62">
        <f ca="1">IFERROR(__xludf.DUMMYFUNCTION("""COMPUTED_VALUE"""),44776)</f>
        <v>44776</v>
      </c>
      <c r="M4367" s="25" t="str">
        <f ca="1">IFERROR(__xludf.DUMMYFUNCTION("""COMPUTED_VALUE"""),"Bajo un esquema de seguridad ya se realizaron las tala de los grupo 1,2 y 4.  Aún hay algunas pendiente del grupo 3, se cuenta con el acompañamiento de Secretaria de seguridad, mediante gestores de convivencia y gestores de paz en los puntos en los que se"&amp;" puedan presentar inconvenientes con la comunidad. Se están realizando actividades silviculturales en grupo 3 a medida que se interviene el espacio público para evitar problemas. ")</f>
        <v xml:space="preserve">Bajo un esquema de seguridad ya se realizaron las tala de los grupo 1,2 y 4.  Aún hay algunas pendiente del grupo 3, se cuenta con el acompañamiento de Secretaria de seguridad, mediante gestores de convivencia y gestores de paz en los puntos en los que se puedan presentar inconvenientes con la comunidad. Se están realizando actividades silviculturales en grupo 3 a medida que se interviene el espacio público para evitar problemas. </v>
      </c>
      <c r="N4367" s="55">
        <f ca="1">IFERROR(__xludf.DUMMYFUNCTION("""COMPUTED_VALUE"""),44776)</f>
        <v>44776</v>
      </c>
      <c r="O4367" s="25" t="str">
        <f t="shared" ca="1" si="0"/>
        <v>Instituto de Desarrollo Urbano</v>
      </c>
      <c r="P4367" s="25" t="str">
        <f t="shared" si="2"/>
        <v/>
      </c>
      <c r="Q4367" s="25" t="str">
        <f ca="1">IFERROR(__xludf.DUMMYFUNCTION("""COMPUTED_VALUE"""),"Corto plazo")</f>
        <v>Corto plazo</v>
      </c>
      <c r="R4367" s="25"/>
      <c r="S4367" s="55"/>
      <c r="T4367" s="56"/>
      <c r="U4367" s="25"/>
      <c r="V4367" s="25"/>
      <c r="W4367" s="25"/>
      <c r="X4367" s="25"/>
      <c r="Y4367" s="25"/>
      <c r="Z4367" s="25"/>
    </row>
    <row r="4368" spans="1:26" ht="52.5" customHeight="1" x14ac:dyDescent="0.25">
      <c r="A4368" s="25" t="str">
        <f ca="1">IFERROR(__xludf.DUMMYFUNCTION("""COMPUTED_VALUE"""),"Movil166")</f>
        <v>Movil166</v>
      </c>
      <c r="B4368" s="25" t="str">
        <f ca="1">IFERROR(__xludf.DUMMYFUNCTION("""COMPUTED_VALUE"""),"Taller Avenida Ciudad de Cali ")</f>
        <v xml:space="preserve">Taller Avenida Ciudad de Cali </v>
      </c>
      <c r="C4368" s="55">
        <f ca="1">IFERROR(__xludf.DUMMYFUNCTION("""COMPUTED_VALUE"""),44433)</f>
        <v>44433</v>
      </c>
      <c r="D4368" s="25" t="str">
        <f ca="1">IFERROR(__xludf.DUMMYFUNCTION("""COMPUTED_VALUE"""),"Movilidad")</f>
        <v>Movilidad</v>
      </c>
      <c r="E4368" s="25" t="str">
        <f ca="1">IFERROR(__xludf.DUMMYFUNCTION("""COMPUTED_VALUE"""),"Instituto de Desarrollo Urbano")</f>
        <v>Instituto de Desarrollo Urbano</v>
      </c>
      <c r="F4368" s="25" t="str">
        <f ca="1">IFERROR(__xludf.DUMMYFUNCTION("""COMPUTED_VALUE"""),"Asegurar que la tala de árboles generada por la obra de la Avenida Ciudad de Cali se realice en máximo 3 días.")</f>
        <v>Asegurar que la tala de árboles generada por la obra de la Avenida Ciudad de Cali se realice en máximo 3 días.</v>
      </c>
      <c r="G4368" s="25" t="str">
        <f ca="1">IFERROR(__xludf.DUMMYFUNCTION("""COMPUTED_VALUE"""),"99. Distrito")</f>
        <v>99. Distrito</v>
      </c>
      <c r="H4368" s="55">
        <f ca="1">IFERROR(__xludf.DUMMYFUNCTION("""COMPUTED_VALUE"""),44463)</f>
        <v>44463</v>
      </c>
      <c r="I4368" s="25"/>
      <c r="J4368" s="55" t="str">
        <f ca="1">IFERROR(__xludf.DUMMYFUNCTION("""COMPUTED_VALUE"""),"Alta")</f>
        <v>Alta</v>
      </c>
      <c r="K4368" s="25">
        <f ca="1">IFERROR(__xludf.DUMMYFUNCTION("""COMPUTED_VALUE"""),30)</f>
        <v>30</v>
      </c>
      <c r="L4368" s="62">
        <f ca="1">IFERROR(__xludf.DUMMYFUNCTION("""COMPUTED_VALUE"""),44439)</f>
        <v>44439</v>
      </c>
      <c r="M4368" s="25" t="str">
        <f ca="1">IFERROR(__xludf.DUMMYFUNCTION("""COMPUTED_VALUE"""),"Agosto 27 de 2021, se realizo recorrido con representantes de comunidad, Secretaría de Ambiente, Alcaldía Local, Contratista e Interventoría e IDU, en la cual se socializo alcance de los tratamientos silviculturales necesarios para el desarrollo del proye"&amp;"cto, retroalimentado lo referente a ubicación, estado fitosanitario y tratamiento definido en la Resolución *****, en el Grupo 1 es decir Troncal Av Ciudad de Cali entre *** a ***.
 Agosto 31 de 2021, se adelanta recorrido con representantes de comunida"&amp;"d, Secretaría de Ambiente, Alcaldía Local, Contratista e Interventoría e IDU, en la cual se socializo alcance de los tratamientos silviculturales necesarios para el desarrollo del proyecto, retroalimentado lo referente a ubicación, estado fitosanitario y "&amp;"tratamiento definido en la Resolución *****, en el Grupo 2 es decir Troncal Av Ciudad de Cali entre *** a ***.
 Septiembre 1 de 2021, se programa recorrido para grupo G3 y G4.
 Agosto 27 de 2021, se recibe recomendación por parte de Secretaría de Segu"&amp;"ridad de adelantar actividad de tala en un periodo corto, en franja horaria de 9:00am a 12:00m, a su vez realizar mínima actividad de troceo en el área y realizar retiro de material en forma inmediata, se genera compromiso por parte de contratista de info"&amp;"rmar fechas programadas para el desarrollo de la actividad y necesidad de capacitar a gestores de Secretaria General de Seguridad quienes acompañarán dicha actividad de alcance del proyecto así como el porque se requieren los tratamientos silviculturales.")</f>
        <v>Agosto 27 de 2021, se realizo recorrido con representantes de comunidad, Secretaría de Ambiente, Alcaldía Local, Contratista e Interventoría e IDU, en la cual se socializo alcance de los tratamientos silviculturales necesarios para el desarrollo del proyecto, retroalimentado lo referente a ubicación, estado fitosanitario y tratamiento definido en la Resolución *****, en el Grupo 1 es decir Troncal Av Ciudad de Cali entre *** a ***.
 Agosto 31 de 2021, se adelanta recorrido con representantes de comunidad, Secretaría de Ambiente, Alcaldía Local, Contratista e Interventoría e IDU, en la cual se socializo alcance de los tratamientos silviculturales necesarios para el desarrollo del proyecto, retroalimentado lo referente a ubicación, estado fitosanitario y tratamiento definido en la Resolución *****, en el Grupo 2 es decir Troncal Av Ciudad de Cali entre *** a ***.
 Septiembre 1 de 2021, se programa recorrido para grupo G3 y G4.
 Agosto 27 de 2021, se recibe recomendación por parte de Secretaría de Seguridad de adelantar actividad de tala en un periodo corto, en franja horaria de 9:00am a 12:00m, a su vez realizar mínima actividad de troceo en el área y realizar retiro de material en forma inmediata, se genera compromiso por parte de contratista de informar fechas programadas para el desarrollo de la actividad y necesidad de capacitar a gestores de Secretaria General de Seguridad quienes acompañarán dicha actividad de alcance del proyecto así como el porque se requieren los tratamientos silviculturales.</v>
      </c>
      <c r="N4368" s="55">
        <f ca="1">IFERROR(__xludf.DUMMYFUNCTION("""COMPUTED_VALUE"""),44439)</f>
        <v>44439</v>
      </c>
      <c r="O4368" s="25" t="str">
        <f t="shared" ca="1" si="0"/>
        <v>Instituto de Desarrollo Urbano</v>
      </c>
      <c r="P4368" s="25" t="str">
        <f t="shared" si="2"/>
        <v/>
      </c>
      <c r="Q4368" s="25" t="str">
        <f ca="1">IFERROR(__xludf.DUMMYFUNCTION("""COMPUTED_VALUE"""),"Corto plazo")</f>
        <v>Corto plazo</v>
      </c>
      <c r="R4368" s="25"/>
      <c r="S4368" s="55"/>
      <c r="T4368" s="56"/>
      <c r="U4368" s="25"/>
      <c r="V4368" s="25"/>
      <c r="W4368" s="25"/>
      <c r="X4368" s="25"/>
      <c r="Y4368" s="25"/>
      <c r="Z4368" s="25"/>
    </row>
    <row r="4369" spans="1:26" ht="52.5" customHeight="1" x14ac:dyDescent="0.25">
      <c r="A4369" s="25" t="str">
        <f ca="1">IFERROR(__xludf.DUMMYFUNCTION("""COMPUTED_VALUE"""),"Movil167")</f>
        <v>Movil167</v>
      </c>
      <c r="B4369" s="25" t="str">
        <f ca="1">IFERROR(__xludf.DUMMYFUNCTION("""COMPUTED_VALUE"""),"Taller Avenida Ciudad de Cali ")</f>
        <v xml:space="preserve">Taller Avenida Ciudad de Cali </v>
      </c>
      <c r="C4369" s="55">
        <f ca="1">IFERROR(__xludf.DUMMYFUNCTION("""COMPUTED_VALUE"""),44433)</f>
        <v>44433</v>
      </c>
      <c r="D4369" s="25" t="str">
        <f ca="1">IFERROR(__xludf.DUMMYFUNCTION("""COMPUTED_VALUE"""),"Movilidad")</f>
        <v>Movilidad</v>
      </c>
      <c r="E4369" s="25" t="str">
        <f ca="1">IFERROR(__xludf.DUMMYFUNCTION("""COMPUTED_VALUE"""),"Instituto de Desarrollo Urbano")</f>
        <v>Instituto de Desarrollo Urbano</v>
      </c>
      <c r="F4369" s="25" t="str">
        <f ca="1">IFERROR(__xludf.DUMMYFUNCTION("""COMPUTED_VALUE"""),"Realizar una reunión con los consorcios constructores de la obra y la Secretaría de Seguridad para revisar de manera integral todo los inconvenientes en materia de seguridad para los 4 tramos de la obra de la avenida Ciudad de Cali.")</f>
        <v>Realizar una reunión con los consorcios constructores de la obra y la Secretaría de Seguridad para revisar de manera integral todo los inconvenientes en materia de seguridad para los 4 tramos de la obra de la avenida Ciudad de Cali.</v>
      </c>
      <c r="G4369" s="25" t="str">
        <f ca="1">IFERROR(__xludf.DUMMYFUNCTION("""COMPUTED_VALUE"""),"99. Distrito")</f>
        <v>99. Distrito</v>
      </c>
      <c r="H4369" s="55">
        <f ca="1">IFERROR(__xludf.DUMMYFUNCTION("""COMPUTED_VALUE"""),44463)</f>
        <v>44463</v>
      </c>
      <c r="I4369" s="25"/>
      <c r="J4369" s="55" t="str">
        <f ca="1">IFERROR(__xludf.DUMMYFUNCTION("""COMPUTED_VALUE"""),"Alta")</f>
        <v>Alta</v>
      </c>
      <c r="K4369" s="25">
        <f ca="1">IFERROR(__xludf.DUMMYFUNCTION("""COMPUTED_VALUE"""),30)</f>
        <v>30</v>
      </c>
      <c r="L4369" s="62">
        <f ca="1">IFERROR(__xludf.DUMMYFUNCTION("""COMPUTED_VALUE"""),44439)</f>
        <v>44439</v>
      </c>
      <c r="M4369" s="25" t="str">
        <f ca="1">IFERROR(__xludf.DUMMYFUNCTION("""COMPUTED_VALUE"""),"Agosto 27 de 2021, se adelantó reunión a la cual asistieron delegados de contratista e inventario de los 4 grupos, IDU y Secretaria General de Seguridad, en la que se establecieron parámetros y protocolo de activación de apoyo por parte de los diferentes "&amp;"entes de seguridad del distrito (Gestores, ESMAD, Policía) y el equipo de seguridad con el cual cuenta cada uno de los contratista de obra.")</f>
        <v>Agosto 27 de 2021, se adelantó reunión a la cual asistieron delegados de contratista e inventario de los 4 grupos, IDU y Secretaria General de Seguridad, en la que se establecieron parámetros y protocolo de activación de apoyo por parte de los diferentes entes de seguridad del distrito (Gestores, ESMAD, Policía) y el equipo de seguridad con el cual cuenta cada uno de los contratista de obra.</v>
      </c>
      <c r="N4369" s="55">
        <f ca="1">IFERROR(__xludf.DUMMYFUNCTION("""COMPUTED_VALUE"""),44439)</f>
        <v>44439</v>
      </c>
      <c r="O4369" s="25" t="str">
        <f t="shared" ca="1" si="0"/>
        <v>Instituto de Desarrollo Urbano</v>
      </c>
      <c r="P4369" s="25" t="str">
        <f t="shared" si="2"/>
        <v/>
      </c>
      <c r="Q4369" s="25" t="str">
        <f ca="1">IFERROR(__xludf.DUMMYFUNCTION("""COMPUTED_VALUE"""),"Corto plazo")</f>
        <v>Corto plazo</v>
      </c>
      <c r="R4369" s="25"/>
      <c r="S4369" s="55"/>
      <c r="T4369" s="56"/>
      <c r="U4369" s="25"/>
      <c r="V4369" s="25"/>
      <c r="W4369" s="25"/>
      <c r="X4369" s="25"/>
      <c r="Y4369" s="25"/>
      <c r="Z4369" s="25"/>
    </row>
    <row r="4370" spans="1:26" ht="52.5" customHeight="1" x14ac:dyDescent="0.25">
      <c r="A4370" s="25" t="str">
        <f ca="1">IFERROR(__xludf.DUMMYFUNCTION("""COMPUTED_VALUE"""),"Movil168")</f>
        <v>Movil168</v>
      </c>
      <c r="B4370" s="25" t="str">
        <f ca="1">IFERROR(__xludf.DUMMYFUNCTION("""COMPUTED_VALUE"""),"Taller Avenida Ciudad de Cali ")</f>
        <v xml:space="preserve">Taller Avenida Ciudad de Cali </v>
      </c>
      <c r="C4370" s="55">
        <f ca="1">IFERROR(__xludf.DUMMYFUNCTION("""COMPUTED_VALUE"""),44433)</f>
        <v>44433</v>
      </c>
      <c r="D4370" s="25" t="str">
        <f ca="1">IFERROR(__xludf.DUMMYFUNCTION("""COMPUTED_VALUE"""),"Movilidad")</f>
        <v>Movilidad</v>
      </c>
      <c r="E4370" s="25" t="str">
        <f ca="1">IFERROR(__xludf.DUMMYFUNCTION("""COMPUTED_VALUE"""),"Instituto de Desarrollo Urbano")</f>
        <v>Instituto de Desarrollo Urbano</v>
      </c>
      <c r="F4370" s="25" t="str">
        <f ca="1">IFERROR(__xludf.DUMMYFUNCTION("""COMPUTED_VALUE"""),"Solicitar apoyo de la Secretaría de Gobierno para adelantar la fecha de la audiencia que quedó estipulada para el mes de noviembre pero es oportuno que se pueda realizar lo antes posible y así agilizar tiempos de obra. ")</f>
        <v xml:space="preserve">Solicitar apoyo de la Secretaría de Gobierno para adelantar la fecha de la audiencia que quedó estipulada para el mes de noviembre pero es oportuno que se pueda realizar lo antes posible y así agilizar tiempos de obra. </v>
      </c>
      <c r="G4370" s="25" t="str">
        <f ca="1">IFERROR(__xludf.DUMMYFUNCTION("""COMPUTED_VALUE"""),"99. Distrito")</f>
        <v>99. Distrito</v>
      </c>
      <c r="H4370" s="55">
        <f ca="1">IFERROR(__xludf.DUMMYFUNCTION("""COMPUTED_VALUE"""),44463)</f>
        <v>44463</v>
      </c>
      <c r="I4370" s="25"/>
      <c r="J4370" s="55" t="str">
        <f ca="1">IFERROR(__xludf.DUMMYFUNCTION("""COMPUTED_VALUE"""),"Alta")</f>
        <v>Alta</v>
      </c>
      <c r="K4370" s="25">
        <f ca="1">IFERROR(__xludf.DUMMYFUNCTION("""COMPUTED_VALUE"""),30)</f>
        <v>30</v>
      </c>
      <c r="L4370" s="62">
        <f ca="1">IFERROR(__xludf.DUMMYFUNCTION("""COMPUTED_VALUE"""),44776)</f>
        <v>44776</v>
      </c>
      <c r="M4370" s="25" t="str">
        <f ca="1">IFERROR(__xludf.DUMMYFUNCTION("""COMPUTED_VALUE"""),"
El proceso de restitución correspondiente  al predio identificado con el RT 50119 ubicado en la en la Calle 75 BIS SUR 78C - 34, folio de matrícula inmobiliaria No. 50S-40313915, CHIP AAA0173DOUZ y con los números de RUPI (2476-26 y 2474-34).
El predio "&amp;"en mención hace parte del Desarrollo Urbanístico la primavera legalizado mediante Resolución número 0444 del 31 diciembre de 1997 la cual indica en su Artículo 2o, DESTINO DE LAS ÁREAS UBICADAS EN LOS BARRIOS OBJETO DE LA PRESENTE REGLAMENTACIÓN QUE PERTE"&amp;"NECEN AL PRIMER NIVEL DE ZONIFICACION Y SU PROHIBICION DE SER URBANIZADAS Numeral 2” Las zonas de reserva para las afectaciones del Plan Vial Arterial, en particular la Avenida Cundinamarca, Avenida Tintal, Avenida ciudad de Cali...”
Conforme a lo anteri"&amp;"or el predio se encuentra incluido como bien de Uso Público en el Inventario General de Espacio Público y Bienes Fiscales del Sector Central del Distrito Capital a cargo del Departamento Administrativo de la Defensoría del Espacio Público, motivo por el c"&amp;"ual cursó proceso policivo ante la inspección 7A de Policía de la Alcaldía Local de Bosa bajo el número de expediente 2020573490121635E. 
Mediante sentencia de fecha 24-03-2022 se ordenó la restitución del predio al Distrito en el término de un mes conta"&amp;"do a partir de la feha de la sentencia, es decir el predio debía ser restituido de manera voluntaria a mas tardar el 24 de abril de 2022. El propietario del predio interpuso recurso de apelación en contra de la sentencia que ordenó la restitución, recurso"&amp;" que fue resuelto el día 29 de abril de 2022 por parte de la Secretaria Distrital de Gobierno, Dirección para la Gestión Administrativa Especial de Policía revocando la desición de primera instancia. 
Conforme a lo anterior DADEP solicitó a la SDG inicia"&amp;"r nuevamente al proceso de restitución del inmueble para lo cual se asignó al Inspector 20 AP de Policia. Mediante oficio RAD 20223251194151 del 21-06-2022 el Director Geenral del IDU solicito al DADEP dar prioridad al proceso de restitución del inmueble;"&amp;" de igual forma mediate OFICIO RAD DADEP 20223010090731 del 24-06-2022 el DADEP solciito a la SDG dar prioridad al proceso de restitución ante la inspecciones de policia de atención prioritaria. 
En tal sentido se señalo como fecha para realizar la prime"&amp;"ra audiencia dentro del proceso de restitución adelantado por el DADEP el día jueves 4 de agosto de 2022. ")</f>
        <v xml:space="preserve">
El proceso de restitución correspondiente  al predio identificado con el RT 50119 ubicado en la en la Calle 75 BIS SUR 78C - 34, folio de matrícula inmobiliaria No. 50S-40313915, CHIP AAA0173DOUZ y con los números de RUPI (2476-26 y 2474-34).
El predio en mención hace parte del Desarrollo Urbanístico la primavera legalizado mediante Resolución número 0444 del 31 diciembre de 1997 la cual indica en su Artículo 2o, DESTINO DE LAS ÁREAS UBICADAS EN LOS BARRIOS OBJETO DE LA PRESENTE REGLAMENTACIÓN QUE PERTENECEN AL PRIMER NIVEL DE ZONIFICACION Y SU PROHIBICION DE SER URBANIZADAS Numeral 2” Las zonas de reserva para las afectaciones del Plan Vial Arterial, en particular la Avenida Cundinamarca, Avenida Tintal, Avenida ciudad de Cali...”
Conforme a lo anterior el predio se encuentra incluido como bien de Uso Público en el Inventario General de Espacio Público y Bienes Fiscales del Sector Central del Distrito Capital a cargo del Departamento Administrativo de la Defensoría del Espacio Público, motivo por el cual cursó proceso policivo ante la inspección 7A de Policía de la Alcaldía Local de Bosa bajo el número de expediente 2020573490121635E. 
Mediante sentencia de fecha 24-03-2022 se ordenó la restitución del predio al Distrito en el término de un mes contado a partir de la feha de la sentencia, es decir el predio debía ser restituido de manera voluntaria a mas tardar el 24 de abril de 2022. El propietario del predio interpuso recurso de apelación en contra de la sentencia que ordenó la restitución, recurso que fue resuelto el día 29 de abril de 2022 por parte de la Secretaria Distrital de Gobierno, Dirección para la Gestión Administrativa Especial de Policía revocando la desición de primera instancia. 
Conforme a lo anterior DADEP solicitó a la SDG iniciar nuevamente al proceso de restitución del inmueble para lo cual se asignó al Inspector 20 AP de Policia. Mediante oficio RAD 20223251194151 del 21-06-2022 el Director Geenral del IDU solicito al DADEP dar prioridad al proceso de restitución del inmueble; de igual forma mediate OFICIO RAD DADEP 20223010090731 del 24-06-2022 el DADEP solciito a la SDG dar prioridad al proceso de restitución ante la inspecciones de policia de atención prioritaria. 
En tal sentido se señalo como fecha para realizar la primera audiencia dentro del proceso de restitución adelantado por el DADEP el día jueves 4 de agosto de 2022. </v>
      </c>
      <c r="N4370" s="55">
        <f ca="1">IFERROR(__xludf.DUMMYFUNCTION("""COMPUTED_VALUE"""),44776)</f>
        <v>44776</v>
      </c>
      <c r="O4370" s="25" t="str">
        <f t="shared" ca="1" si="0"/>
        <v>Instituto de Desarrollo Urbano</v>
      </c>
      <c r="P4370" s="25" t="str">
        <f t="shared" si="2"/>
        <v/>
      </c>
      <c r="Q4370" s="25" t="str">
        <f ca="1">IFERROR(__xludf.DUMMYFUNCTION("""COMPUTED_VALUE"""),"Corto plazo")</f>
        <v>Corto plazo</v>
      </c>
      <c r="R4370" s="25"/>
      <c r="S4370" s="55"/>
      <c r="T4370" s="56"/>
      <c r="U4370" s="25"/>
      <c r="V4370" s="25"/>
      <c r="W4370" s="25"/>
      <c r="X4370" s="25"/>
      <c r="Y4370" s="25"/>
      <c r="Z4370" s="25"/>
    </row>
    <row r="4371" spans="1:26" ht="52.5" customHeight="1" x14ac:dyDescent="0.25">
      <c r="A4371" s="25" t="str">
        <f ca="1">IFERROR(__xludf.DUMMYFUNCTION("""COMPUTED_VALUE"""),"Movil169")</f>
        <v>Movil169</v>
      </c>
      <c r="B4371" s="25" t="str">
        <f ca="1">IFERROR(__xludf.DUMMYFUNCTION("""COMPUTED_VALUE"""),"Taller Avenida Ciudad de Cali ")</f>
        <v xml:space="preserve">Taller Avenida Ciudad de Cali </v>
      </c>
      <c r="C4371" s="55">
        <f ca="1">IFERROR(__xludf.DUMMYFUNCTION("""COMPUTED_VALUE"""),44433)</f>
        <v>44433</v>
      </c>
      <c r="D4371" s="25" t="str">
        <f ca="1">IFERROR(__xludf.DUMMYFUNCTION("""COMPUTED_VALUE"""),"Movilidad")</f>
        <v>Movilidad</v>
      </c>
      <c r="E4371" s="25" t="str">
        <f ca="1">IFERROR(__xludf.DUMMYFUNCTION("""COMPUTED_VALUE"""),"Instituto de Desarrollo Urbano")</f>
        <v>Instituto de Desarrollo Urbano</v>
      </c>
      <c r="F4371" s="25" t="str">
        <f ca="1">IFERROR(__xludf.DUMMYFUNCTION("""COMPUTED_VALUE"""),"Adelantar mesas de trabajo decisorias con acueducto, IDU y consorcios constructores para revisar temas de redes y así, avanzar con mayor prontitud las obra de la avenida Ciudad de Cali.  ")</f>
        <v xml:space="preserve">Adelantar mesas de trabajo decisorias con acueducto, IDU y consorcios constructores para revisar temas de redes y así, avanzar con mayor prontitud las obra de la avenida Ciudad de Cali.  </v>
      </c>
      <c r="G4371" s="25" t="str">
        <f ca="1">IFERROR(__xludf.DUMMYFUNCTION("""COMPUTED_VALUE"""),"99. Distrito")</f>
        <v>99. Distrito</v>
      </c>
      <c r="H4371" s="55">
        <f ca="1">IFERROR(__xludf.DUMMYFUNCTION("""COMPUTED_VALUE"""),44463)</f>
        <v>44463</v>
      </c>
      <c r="I4371" s="25"/>
      <c r="J4371" s="55" t="str">
        <f ca="1">IFERROR(__xludf.DUMMYFUNCTION("""COMPUTED_VALUE"""),"Alta")</f>
        <v>Alta</v>
      </c>
      <c r="K4371" s="25">
        <f ca="1">IFERROR(__xludf.DUMMYFUNCTION("""COMPUTED_VALUE"""),30)</f>
        <v>30</v>
      </c>
      <c r="L4371" s="62">
        <f ca="1">IFERROR(__xludf.DUMMYFUNCTION("""COMPUTED_VALUE"""),44530)</f>
        <v>44530</v>
      </c>
      <c r="M4371" s="25" t="str">
        <f ca="1">IFERROR(__xludf.DUMMYFUNCTION("""COMPUTED_VALUE"""),"A la fecha la EAB e IDU han adelantado diversas mesas de trabajo con contratista e interventoría, con el propósito de revisar atención a observaciones a los diseños de redes hidrosanitarias, cuyos avances se detallan a continuación:
 - Grupo 1: Se han ade"&amp;"lantado 4 mesas de trabajo en las cuales se ha analizado la viabilidad de contar con la no objeción al diseño de redes hidráulicas (05-09-21), definición del procedimiento para conexión de redes menores (06-05-21), acompañamiento en la verificación de acc"&amp;"esorios de la red matriz (21-10-21) y revisión de ajustes de alcantarillado con DRTA (16-11-21).
 - Grupo 2: Se ha adelantado mesa de trabajo relacionada con la propuesta obtención no objeción Condicionada (22-10-21) y se encuentra en concertación una nue"&amp;"va mesa con DAT.
 - Grupo 3: Se han desarrollado 3 mesas de trabajo asociadas a la presentación de obras y definición del procedimiento del hidrante en Cl 2 con Zona 5 (08-09-21), revisión interferencias obras Zona 5 Ingecol con Proyecto Troncal TM Av. Ca"&amp;"li G 3 (11-10-21) y revisión de evaluación inicial de ajustes a los diseños de la Cali para recibir las redes del proyecto Ingecol de la EAAB (20-10-21)
 - Grupo 4: Se han realizado 4 mesas relacionadas con la observación relaciona con el monitoreo de la "&amp;"red matriz Acueducto (22-09-21), Aclaración a Plan de Instrumentación y Monitoreo Red Matriz Acueducto (22-09-21), revisión de observaciones DRTA Hidrología y geotecnia Oficio S-286404 (13-10-21) y solicitud acompañamiento localización red matriz acueduct"&amp;"o Línea Av. Américas (17-11-21).")</f>
        <v>A la fecha la EAB e IDU han adelantado diversas mesas de trabajo con contratista e interventoría, con el propósito de revisar atención a observaciones a los diseños de redes hidrosanitarias, cuyos avances se detallan a continuación:
 - Grupo 1: Se han adelantado 4 mesas de trabajo en las cuales se ha analizado la viabilidad de contar con la no objeción al diseño de redes hidráulicas (05-09-21), definición del procedimiento para conexión de redes menores (06-05-21), acompañamiento en la verificación de accesorios de la red matriz (21-10-21) y revisión de ajustes de alcantarillado con DRTA (16-11-21).
 - Grupo 2: Se ha adelantado mesa de trabajo relacionada con la propuesta obtención no objeción Condicionada (22-10-21) y se encuentra en concertación una nueva mesa con DAT.
 - Grupo 3: Se han desarrollado 3 mesas de trabajo asociadas a la presentación de obras y definición del procedimiento del hidrante en Cl 2 con Zona 5 (08-09-21), revisión interferencias obras Zona 5 Ingecol con Proyecto Troncal TM Av. Cali G 3 (11-10-21) y revisión de evaluación inicial de ajustes a los diseños de la Cali para recibir las redes del proyecto Ingecol de la EAAB (20-10-21)
 - Grupo 4: Se han realizado 4 mesas relacionadas con la observación relaciona con el monitoreo de la red matriz Acueducto (22-09-21), Aclaración a Plan de Instrumentación y Monitoreo Red Matriz Acueducto (22-09-21), revisión de observaciones DRTA Hidrología y geotecnia Oficio S-286404 (13-10-21) y solicitud acompañamiento localización red matriz acueducto Línea Av. Américas (17-11-21).</v>
      </c>
      <c r="N4371" s="55">
        <f ca="1">IFERROR(__xludf.DUMMYFUNCTION("""COMPUTED_VALUE"""),44530)</f>
        <v>44530</v>
      </c>
      <c r="O4371" s="25" t="str">
        <f t="shared" ca="1" si="0"/>
        <v>Instituto de Desarrollo Urbano</v>
      </c>
      <c r="P4371" s="25" t="str">
        <f t="shared" si="2"/>
        <v/>
      </c>
      <c r="Q4371" s="25" t="str">
        <f ca="1">IFERROR(__xludf.DUMMYFUNCTION("""COMPUTED_VALUE"""),"Corto plazo")</f>
        <v>Corto plazo</v>
      </c>
      <c r="R4371" s="25"/>
      <c r="S4371" s="55"/>
      <c r="T4371" s="56"/>
      <c r="U4371" s="25"/>
      <c r="V4371" s="25"/>
      <c r="W4371" s="25"/>
      <c r="X4371" s="25"/>
      <c r="Y4371" s="25"/>
      <c r="Z4371" s="25"/>
    </row>
    <row r="4372" spans="1:26" ht="52.5" customHeight="1" x14ac:dyDescent="0.25">
      <c r="A4372" s="25" t="str">
        <f ca="1">IFERROR(__xludf.DUMMYFUNCTION("""COMPUTED_VALUE"""),"Movil170")</f>
        <v>Movil170</v>
      </c>
      <c r="B4372" s="25" t="str">
        <f ca="1">IFERROR(__xludf.DUMMYFUNCTION("""COMPUTED_VALUE"""),"Taller Ciclo Alameda Medio Milenio")</f>
        <v>Taller Ciclo Alameda Medio Milenio</v>
      </c>
      <c r="C4372" s="55">
        <f ca="1">IFERROR(__xludf.DUMMYFUNCTION("""COMPUTED_VALUE"""),44432)</f>
        <v>44432</v>
      </c>
      <c r="D4372" s="25" t="str">
        <f ca="1">IFERROR(__xludf.DUMMYFUNCTION("""COMPUTED_VALUE"""),"Movilidad")</f>
        <v>Movilidad</v>
      </c>
      <c r="E4372" s="25" t="str">
        <f ca="1">IFERROR(__xludf.DUMMYFUNCTION("""COMPUTED_VALUE"""),"Instituto de Desarrollo Urbano")</f>
        <v>Instituto de Desarrollo Urbano</v>
      </c>
      <c r="F4372" s="25" t="str">
        <f ca="1">IFERROR(__xludf.DUMMYFUNCTION("""COMPUTED_VALUE"""),"Hacer un plan para que las ciclo rutas queden con el color que es (verde)")</f>
        <v>Hacer un plan para que las ciclo rutas queden con el color que es (verde)</v>
      </c>
      <c r="G4372" s="25" t="str">
        <f ca="1">IFERROR(__xludf.DUMMYFUNCTION("""COMPUTED_VALUE"""),"99. Distrito")</f>
        <v>99. Distrito</v>
      </c>
      <c r="H4372" s="55">
        <f ca="1">IFERROR(__xludf.DUMMYFUNCTION("""COMPUTED_VALUE"""),44462)</f>
        <v>44462</v>
      </c>
      <c r="I4372" s="25"/>
      <c r="J4372" s="55" t="str">
        <f ca="1">IFERROR(__xludf.DUMMYFUNCTION("""COMPUTED_VALUE"""),"Alta")</f>
        <v>Alta</v>
      </c>
      <c r="K4372" s="25">
        <f ca="1">IFERROR(__xludf.DUMMYFUNCTION("""COMPUTED_VALUE"""),30)</f>
        <v>30</v>
      </c>
      <c r="L4372" s="62">
        <f ca="1">IFERROR(__xludf.DUMMYFUNCTION("""COMPUTED_VALUE"""),44498)</f>
        <v>44498</v>
      </c>
      <c r="M4372" s="25" t="str">
        <f ca="1">IFERROR(__xludf.DUMMYFUNCTION("""COMPUTED_VALUE"""),"Mediante el radicado No. 20213111574311 la SDM informó al IDU sobre ""el ajuste del color de pasos de ciclorruta en calzada de color azul a “VERDE” (RGB 135-146-37) y de la señal SI-27A “PRIORIDAD CICLISTAS” para proyectos del IDU con ciclorrutas."".
 I"&amp;"DU - De acuerdo con el avance del proyecto, ya hay una línea base de urbanismo, en la cual se vienen implementando este tipo de ajustes conforme las modificaciones normativas vigentes, además dado que el consultor se encuentra en la Etapa de Estudios y Di"&amp;"seños, se tendrán en cuenta todas las recomendaciones de la factibilidad entregada por la SDM y de la alcaldía para el diseño de detalle de Urbanismo.
SDM - Los nuevos diseños se van actualizando conforme a los nuevos lineamientos para Ciclorruta y todas"&amp;" las implementaciones y mantenimientos que se están efectuando ya van en verde")</f>
        <v>Mediante el radicado No. 20213111574311 la SDM informó al IDU sobre "el ajuste del color de pasos de ciclorruta en calzada de color azul a “VERDE” (RGB 135-146-37) y de la señal SI-27A “PRIORIDAD CICLISTAS” para proyectos del IDU con ciclorrutas.".
 IDU - De acuerdo con el avance del proyecto, ya hay una línea base de urbanismo, en la cual se vienen implementando este tipo de ajustes conforme las modificaciones normativas vigentes, además dado que el consultor se encuentra en la Etapa de Estudios y Diseños, se tendrán en cuenta todas las recomendaciones de la factibilidad entregada por la SDM y de la alcaldía para el diseño de detalle de Urbanismo.
SDM - Los nuevos diseños se van actualizando conforme a los nuevos lineamientos para Ciclorruta y todas las implementaciones y mantenimientos que se están efectuando ya van en verde</v>
      </c>
      <c r="N4372" s="55">
        <f ca="1">IFERROR(__xludf.DUMMYFUNCTION("""COMPUTED_VALUE"""),44498)</f>
        <v>44498</v>
      </c>
      <c r="O4372" s="25" t="str">
        <f t="shared" ca="1" si="0"/>
        <v>Instituto de Desarrollo Urbano</v>
      </c>
      <c r="P4372" s="25" t="str">
        <f t="shared" si="2"/>
        <v/>
      </c>
      <c r="Q4372" s="25" t="str">
        <f ca="1">IFERROR(__xludf.DUMMYFUNCTION("""COMPUTED_VALUE"""),"Corto plazo")</f>
        <v>Corto plazo</v>
      </c>
      <c r="R4372" s="25"/>
      <c r="S4372" s="55"/>
      <c r="T4372" s="56"/>
      <c r="U4372" s="25"/>
      <c r="V4372" s="25"/>
      <c r="W4372" s="25"/>
      <c r="X4372" s="25"/>
      <c r="Y4372" s="25"/>
      <c r="Z4372" s="25"/>
    </row>
    <row r="4373" spans="1:26" ht="52.5" customHeight="1" x14ac:dyDescent="0.25">
      <c r="A4373" s="25" t="str">
        <f ca="1">IFERROR(__xludf.DUMMYFUNCTION("""COMPUTED_VALUE"""),"Movil171")</f>
        <v>Movil171</v>
      </c>
      <c r="B4373" s="25" t="str">
        <f ca="1">IFERROR(__xludf.DUMMYFUNCTION("""COMPUTED_VALUE"""),"Taller Ciclo Alameda Medio Milenio")</f>
        <v>Taller Ciclo Alameda Medio Milenio</v>
      </c>
      <c r="C4373" s="55">
        <f ca="1">IFERROR(__xludf.DUMMYFUNCTION("""COMPUTED_VALUE"""),44432)</f>
        <v>44432</v>
      </c>
      <c r="D4373" s="25" t="str">
        <f ca="1">IFERROR(__xludf.DUMMYFUNCTION("""COMPUTED_VALUE"""),"Movilidad")</f>
        <v>Movilidad</v>
      </c>
      <c r="E4373" s="25" t="str">
        <f ca="1">IFERROR(__xludf.DUMMYFUNCTION("""COMPUTED_VALUE"""),"Instituto de Desarrollo Urbano")</f>
        <v>Instituto de Desarrollo Urbano</v>
      </c>
      <c r="F4373" s="25" t="str">
        <f ca="1">IFERROR(__xludf.DUMMYFUNCTION("""COMPUTED_VALUE"""),"Hacer un periódico para difundir la Ciclo Alameda del Medio Milenio")</f>
        <v>Hacer un periódico para difundir la Ciclo Alameda del Medio Milenio</v>
      </c>
      <c r="G4373" s="25" t="str">
        <f ca="1">IFERROR(__xludf.DUMMYFUNCTION("""COMPUTED_VALUE"""),"99. Distrito")</f>
        <v>99. Distrito</v>
      </c>
      <c r="H4373" s="55">
        <f ca="1">IFERROR(__xludf.DUMMYFUNCTION("""COMPUTED_VALUE"""),44462)</f>
        <v>44462</v>
      </c>
      <c r="I4373" s="25"/>
      <c r="J4373" s="55" t="str">
        <f ca="1">IFERROR(__xludf.DUMMYFUNCTION("""COMPUTED_VALUE"""),"Alta")</f>
        <v>Alta</v>
      </c>
      <c r="K4373" s="25">
        <f ca="1">IFERROR(__xludf.DUMMYFUNCTION("""COMPUTED_VALUE"""),30)</f>
        <v>30</v>
      </c>
      <c r="L4373" s="62">
        <f ca="1">IFERROR(__xludf.DUMMYFUNCTION("""COMPUTED_VALUE"""),44748)</f>
        <v>44748</v>
      </c>
      <c r="M4373" s="25" t="str">
        <f ca="1">IFERROR(__xludf.DUMMYFUNCTION("""COMPUTED_VALUE"""),"Ya está listo el diseño, se está esperando la última validación de alcaldía e IDPAC para enviar a imprenta.")</f>
        <v>Ya está listo el diseño, se está esperando la última validación de alcaldía e IDPAC para enviar a imprenta.</v>
      </c>
      <c r="N4373" s="55">
        <f ca="1">IFERROR(__xludf.DUMMYFUNCTION("""COMPUTED_VALUE"""),44748)</f>
        <v>44748</v>
      </c>
      <c r="O4373" s="25" t="str">
        <f t="shared" ca="1" si="0"/>
        <v>Instituto de Desarrollo Urbano</v>
      </c>
      <c r="P4373" s="25" t="str">
        <f t="shared" si="2"/>
        <v/>
      </c>
      <c r="Q4373" s="25" t="str">
        <f ca="1">IFERROR(__xludf.DUMMYFUNCTION("""COMPUTED_VALUE"""),"Corto plazo")</f>
        <v>Corto plazo</v>
      </c>
      <c r="R4373" s="25"/>
      <c r="S4373" s="55"/>
      <c r="T4373" s="56"/>
      <c r="U4373" s="25"/>
      <c r="V4373" s="25"/>
      <c r="W4373" s="25"/>
      <c r="X4373" s="25"/>
      <c r="Y4373" s="25"/>
      <c r="Z4373" s="25"/>
    </row>
    <row r="4374" spans="1:26" ht="52.5" customHeight="1" x14ac:dyDescent="0.25">
      <c r="A4374" s="25" t="str">
        <f ca="1">IFERROR(__xludf.DUMMYFUNCTION("""COMPUTED_VALUE"""),"Movil172")</f>
        <v>Movil172</v>
      </c>
      <c r="B4374" s="25" t="str">
        <f ca="1">IFERROR(__xludf.DUMMYFUNCTION("""COMPUTED_VALUE"""),"Taller Ciclo Alameda Medio Milenio")</f>
        <v>Taller Ciclo Alameda Medio Milenio</v>
      </c>
      <c r="C4374" s="55">
        <f ca="1">IFERROR(__xludf.DUMMYFUNCTION("""COMPUTED_VALUE"""),44432)</f>
        <v>44432</v>
      </c>
      <c r="D4374" s="25" t="str">
        <f ca="1">IFERROR(__xludf.DUMMYFUNCTION("""COMPUTED_VALUE"""),"Movilidad")</f>
        <v>Movilidad</v>
      </c>
      <c r="E4374" s="25" t="str">
        <f ca="1">IFERROR(__xludf.DUMMYFUNCTION("""COMPUTED_VALUE"""),"Instituto de Desarrollo Urbano")</f>
        <v>Instituto de Desarrollo Urbano</v>
      </c>
      <c r="F4374" s="25" t="str">
        <f ca="1">IFERROR(__xludf.DUMMYFUNCTION("""COMPUTED_VALUE"""),"Diseñar la conexión de la ciclo alameda con el Regiotram y el corredor verde séptima")</f>
        <v>Diseñar la conexión de la ciclo alameda con el Regiotram y el corredor verde séptima</v>
      </c>
      <c r="G4374" s="25" t="str">
        <f ca="1">IFERROR(__xludf.DUMMYFUNCTION("""COMPUTED_VALUE"""),"99. Distrito")</f>
        <v>99. Distrito</v>
      </c>
      <c r="H4374" s="55">
        <f ca="1">IFERROR(__xludf.DUMMYFUNCTION("""COMPUTED_VALUE"""),44462)</f>
        <v>44462</v>
      </c>
      <c r="I4374" s="25"/>
      <c r="J4374" s="55" t="str">
        <f ca="1">IFERROR(__xludf.DUMMYFUNCTION("""COMPUTED_VALUE"""),"Alta")</f>
        <v>Alta</v>
      </c>
      <c r="K4374" s="25">
        <f ca="1">IFERROR(__xludf.DUMMYFUNCTION("""COMPUTED_VALUE"""),30)</f>
        <v>30</v>
      </c>
      <c r="L4374" s="62">
        <f ca="1">IFERROR(__xludf.DUMMYFUNCTION("""COMPUTED_VALUE"""),44483)</f>
        <v>44483</v>
      </c>
      <c r="M4374" s="25" t="str">
        <f ca="1">IFERROR(__xludf.DUMMYFUNCTION("""COMPUTED_VALUE"""),"La SDM adelantará la gestión con el IDU para la armonización de los proyectos de ciudad que permitan tener estas conexiones de cicloinfraestructura, a partir de los estudios técnicos que se remitan 
IDU - Se vienen programando mesas de trabajo con los co"&amp;"ntratistas de Regiotram y Corredor Verde, con el fin de armonizar la conexiones de la Ciclo Alameda Medio Milenio con los dos contratos.")</f>
        <v>La SDM adelantará la gestión con el IDU para la armonización de los proyectos de ciudad que permitan tener estas conexiones de cicloinfraestructura, a partir de los estudios técnicos que se remitan 
IDU - Se vienen programando mesas de trabajo con los contratistas de Regiotram y Corredor Verde, con el fin de armonizar la conexiones de la Ciclo Alameda Medio Milenio con los dos contratos.</v>
      </c>
      <c r="N4374" s="55">
        <f ca="1">IFERROR(__xludf.DUMMYFUNCTION("""COMPUTED_VALUE"""),44483)</f>
        <v>44483</v>
      </c>
      <c r="O4374" s="25" t="str">
        <f t="shared" ca="1" si="0"/>
        <v>Instituto de Desarrollo Urbano</v>
      </c>
      <c r="P4374" s="25" t="str">
        <f t="shared" si="2"/>
        <v/>
      </c>
      <c r="Q4374" s="25" t="str">
        <f ca="1">IFERROR(__xludf.DUMMYFUNCTION("""COMPUTED_VALUE"""),"Corto plazo")</f>
        <v>Corto plazo</v>
      </c>
      <c r="R4374" s="25"/>
      <c r="S4374" s="55"/>
      <c r="T4374" s="56"/>
      <c r="U4374" s="25"/>
      <c r="V4374" s="25"/>
      <c r="W4374" s="25"/>
      <c r="X4374" s="25"/>
      <c r="Y4374" s="25"/>
      <c r="Z4374" s="25"/>
    </row>
    <row r="4375" spans="1:26" ht="52.5" customHeight="1" x14ac:dyDescent="0.25">
      <c r="A4375" s="25" t="str">
        <f ca="1">IFERROR(__xludf.DUMMYFUNCTION("""COMPUTED_VALUE"""),"Movil173")</f>
        <v>Movil173</v>
      </c>
      <c r="B4375" s="25" t="str">
        <f ca="1">IFERROR(__xludf.DUMMYFUNCTION("""COMPUTED_VALUE"""),"Taller Ciclo Alameda Medio Milenio")</f>
        <v>Taller Ciclo Alameda Medio Milenio</v>
      </c>
      <c r="C4375" s="55">
        <f ca="1">IFERROR(__xludf.DUMMYFUNCTION("""COMPUTED_VALUE"""),44432)</f>
        <v>44432</v>
      </c>
      <c r="D4375" s="25" t="str">
        <f ca="1">IFERROR(__xludf.DUMMYFUNCTION("""COMPUTED_VALUE"""),"Movilidad")</f>
        <v>Movilidad</v>
      </c>
      <c r="E4375" s="25" t="str">
        <f ca="1">IFERROR(__xludf.DUMMYFUNCTION("""COMPUTED_VALUE"""),"Instituto de Desarrollo Urbano")</f>
        <v>Instituto de Desarrollo Urbano</v>
      </c>
      <c r="F4375" s="25" t="str">
        <f ca="1">IFERROR(__xludf.DUMMYFUNCTION("""COMPUTED_VALUE"""),"Hacer una reunión para articular el Parque Córdoba con el puente del Polo a la Castellana de la ciclo alameda")</f>
        <v>Hacer una reunión para articular el Parque Córdoba con el puente del Polo a la Castellana de la ciclo alameda</v>
      </c>
      <c r="G4375" s="25" t="str">
        <f ca="1">IFERROR(__xludf.DUMMYFUNCTION("""COMPUTED_VALUE"""),"99. Distrito")</f>
        <v>99. Distrito</v>
      </c>
      <c r="H4375" s="55">
        <f ca="1">IFERROR(__xludf.DUMMYFUNCTION("""COMPUTED_VALUE"""),44462)</f>
        <v>44462</v>
      </c>
      <c r="I4375" s="25"/>
      <c r="J4375" s="55" t="str">
        <f ca="1">IFERROR(__xludf.DUMMYFUNCTION("""COMPUTED_VALUE"""),"Alta")</f>
        <v>Alta</v>
      </c>
      <c r="K4375" s="25">
        <f ca="1">IFERROR(__xludf.DUMMYFUNCTION("""COMPUTED_VALUE"""),30)</f>
        <v>30</v>
      </c>
      <c r="L4375" s="62">
        <f ca="1">IFERROR(__xludf.DUMMYFUNCTION("""COMPUTED_VALUE"""),44748)</f>
        <v>44748</v>
      </c>
      <c r="M4375" s="25" t="str">
        <f ca="1">IFERROR(__xludf.DUMMYFUNCTION("""COMPUTED_VALUE"""),"Este parque hace parte del canal Córdoba con el que no tenemos cruce con el diseño de la CAMM, sin embargo ya tuvimos reunión con el proyecto de canal Córdoba en la que cada contratista socializó su proyecto.")</f>
        <v>Este parque hace parte del canal Córdoba con el que no tenemos cruce con el diseño de la CAMM, sin embargo ya tuvimos reunión con el proyecto de canal Córdoba en la que cada contratista socializó su proyecto.</v>
      </c>
      <c r="N4375" s="55">
        <f ca="1">IFERROR(__xludf.DUMMYFUNCTION("""COMPUTED_VALUE"""),44748)</f>
        <v>44748</v>
      </c>
      <c r="O4375" s="25" t="str">
        <f t="shared" ca="1" si="0"/>
        <v>Instituto de Desarrollo Urbano</v>
      </c>
      <c r="P4375" s="25" t="str">
        <f t="shared" si="2"/>
        <v/>
      </c>
      <c r="Q4375" s="25" t="str">
        <f ca="1">IFERROR(__xludf.DUMMYFUNCTION("""COMPUTED_VALUE"""),"Corto plazo")</f>
        <v>Corto plazo</v>
      </c>
      <c r="R4375" s="25"/>
      <c r="S4375" s="55"/>
      <c r="T4375" s="56"/>
      <c r="U4375" s="25"/>
      <c r="V4375" s="25"/>
      <c r="W4375" s="25"/>
      <c r="X4375" s="25"/>
      <c r="Y4375" s="25"/>
      <c r="Z4375" s="25"/>
    </row>
    <row r="4376" spans="1:26" ht="52.5" customHeight="1" x14ac:dyDescent="0.25">
      <c r="A4376" s="25" t="str">
        <f ca="1">IFERROR(__xludf.DUMMYFUNCTION("""COMPUTED_VALUE"""),"Movil174")</f>
        <v>Movil174</v>
      </c>
      <c r="B4376" s="25" t="str">
        <f ca="1">IFERROR(__xludf.DUMMYFUNCTION("""COMPUTED_VALUE"""),"Taller Ciclo Alameda Medio Milenio")</f>
        <v>Taller Ciclo Alameda Medio Milenio</v>
      </c>
      <c r="C4376" s="55">
        <f ca="1">IFERROR(__xludf.DUMMYFUNCTION("""COMPUTED_VALUE"""),44432)</f>
        <v>44432</v>
      </c>
      <c r="D4376" s="25" t="str">
        <f ca="1">IFERROR(__xludf.DUMMYFUNCTION("""COMPUTED_VALUE"""),"Movilidad")</f>
        <v>Movilidad</v>
      </c>
      <c r="E4376" s="25" t="str">
        <f ca="1">IFERROR(__xludf.DUMMYFUNCTION("""COMPUTED_VALUE"""),"Instituto de Desarrollo Urbano")</f>
        <v>Instituto de Desarrollo Urbano</v>
      </c>
      <c r="F4376" s="25" t="str">
        <f ca="1">IFERROR(__xludf.DUMMYFUNCTION("""COMPUTED_VALUE"""),"En la socialización del tramo de Teusaquillo es importante incluir al IDPC")</f>
        <v>En la socialización del tramo de Teusaquillo es importante incluir al IDPC</v>
      </c>
      <c r="G4376" s="55" t="str">
        <f ca="1">IFERROR(__xludf.DUMMYFUNCTION("""COMPUTED_VALUE"""),"13. Teusaquillo")</f>
        <v>13. Teusaquillo</v>
      </c>
      <c r="H4376" s="55">
        <f ca="1">IFERROR(__xludf.DUMMYFUNCTION("""COMPUTED_VALUE"""),44462)</f>
        <v>44462</v>
      </c>
      <c r="I4376" s="25"/>
      <c r="J4376" s="55" t="str">
        <f ca="1">IFERROR(__xludf.DUMMYFUNCTION("""COMPUTED_VALUE"""),"Alta")</f>
        <v>Alta</v>
      </c>
      <c r="K4376" s="25">
        <f ca="1">IFERROR(__xludf.DUMMYFUNCTION("""COMPUTED_VALUE"""),30)</f>
        <v>30</v>
      </c>
      <c r="L4376" s="62">
        <f ca="1">IFERROR(__xludf.DUMMYFUNCTION("""COMPUTED_VALUE"""),44530)</f>
        <v>44530</v>
      </c>
      <c r="M4376" s="25" t="str">
        <f ca="1">IFERROR(__xludf.DUMMYFUNCTION("""COMPUTED_VALUE"""),"SDM: Por parte de la SDM se está acompañando los recorridos urbanos coordinados por el IDU y su consultor. Además la SDM socializa el proyecto con los consejeros y consejeras locales. El 20 de septiembre se socializo el proyecto Ciclo Alamedia Medio Milen"&amp;"io con los consejeros y las consejeras locales de la bici, vía Meet. La reunión fue programada desde la Gerencia Bici.  Se incluyó en las mesas del trabajo al IDPC. 30 de noviembre: la tarea fue concretada por parte de la SDM.
IDU: Aunque a la fecha el c"&amp;"ontrato se encuentra suspendido, antes de las suspensión se realizaron varias reuniones técnicas con el IDPC, por cada tramo funcional del proyecto, donde se revisaron cada uno de los Bienes de Interés Cultural que se encuentran sobre o cerca al corredor "&amp;"de la Ciclo Alameda.")</f>
        <v>SDM: Por parte de la SDM se está acompañando los recorridos urbanos coordinados por el IDU y su consultor. Además la SDM socializa el proyecto con los consejeros y consejeras locales. El 20 de septiembre se socializo el proyecto Ciclo Alamedia Medio Milenio con los consejeros y las consejeras locales de la bici, vía Meet. La reunión fue programada desde la Gerencia Bici.  Se incluyó en las mesas del trabajo al IDPC. 30 de noviembre: la tarea fue concretada por parte de la SDM.
IDU: Aunque a la fecha el contrato se encuentra suspendido, antes de las suspensión se realizaron varias reuniones técnicas con el IDPC, por cada tramo funcional del proyecto, donde se revisaron cada uno de los Bienes de Interés Cultural que se encuentran sobre o cerca al corredor de la Ciclo Alameda.</v>
      </c>
      <c r="N4376" s="55">
        <f ca="1">IFERROR(__xludf.DUMMYFUNCTION("""COMPUTED_VALUE"""),44530)</f>
        <v>44530</v>
      </c>
      <c r="O4376" s="25" t="str">
        <f t="shared" ca="1" si="0"/>
        <v>Instituto de Desarrollo Urbano</v>
      </c>
      <c r="P4376" s="25" t="str">
        <f t="shared" si="2"/>
        <v/>
      </c>
      <c r="Q4376" s="25" t="str">
        <f ca="1">IFERROR(__xludf.DUMMYFUNCTION("""COMPUTED_VALUE"""),"Corto plazo")</f>
        <v>Corto plazo</v>
      </c>
      <c r="R4376" s="25"/>
      <c r="S4376" s="55"/>
      <c r="T4376" s="56"/>
      <c r="U4376" s="25"/>
      <c r="V4376" s="25"/>
      <c r="W4376" s="25"/>
      <c r="X4376" s="25"/>
      <c r="Y4376" s="25"/>
      <c r="Z4376" s="25"/>
    </row>
    <row r="4377" spans="1:26" ht="52.5" customHeight="1" x14ac:dyDescent="0.25">
      <c r="A4377" s="25" t="str">
        <f ca="1">IFERROR(__xludf.DUMMYFUNCTION("""COMPUTED_VALUE"""),"Movil175")</f>
        <v>Movil175</v>
      </c>
      <c r="B4377" s="25" t="str">
        <f ca="1">IFERROR(__xludf.DUMMYFUNCTION("""COMPUTED_VALUE"""),"Taller Ciclo Alameda")</f>
        <v>Taller Ciclo Alameda</v>
      </c>
      <c r="C4377" s="55">
        <f ca="1">IFERROR(__xludf.DUMMYFUNCTION("""COMPUTED_VALUE"""),44432)</f>
        <v>44432</v>
      </c>
      <c r="D4377" s="25" t="str">
        <f ca="1">IFERROR(__xludf.DUMMYFUNCTION("""COMPUTED_VALUE"""),"Movilidad")</f>
        <v>Movilidad</v>
      </c>
      <c r="E4377" s="25" t="str">
        <f ca="1">IFERROR(__xludf.DUMMYFUNCTION("""COMPUTED_VALUE"""),"Secretaría Distrital de Movilidad")</f>
        <v>Secretaría Distrital de Movilidad</v>
      </c>
      <c r="F4377" s="25" t="str">
        <f ca="1">IFERROR(__xludf.DUMMYFUNCTION("""COMPUTED_VALUE"""),"Hacer una ciclada para recorrer el proyecto de la Ciclo Alameda")</f>
        <v>Hacer una ciclada para recorrer el proyecto de la Ciclo Alameda</v>
      </c>
      <c r="G4377" s="25" t="str">
        <f ca="1">IFERROR(__xludf.DUMMYFUNCTION("""COMPUTED_VALUE"""),"99. Distrito")</f>
        <v>99. Distrito</v>
      </c>
      <c r="H4377" s="55">
        <f ca="1">IFERROR(__xludf.DUMMYFUNCTION("""COMPUTED_VALUE"""),44986)</f>
        <v>44986</v>
      </c>
      <c r="I4377" s="25" t="str">
        <f ca="1">IFERROR(__xludf.DUMMYFUNCTION("""COMPUTED_VALUE"""),"Delivery Unit")</f>
        <v>Delivery Unit</v>
      </c>
      <c r="J4377" s="55" t="str">
        <f ca="1">IFERROR(__xludf.DUMMYFUNCTION("""COMPUTED_VALUE"""),"Baja")</f>
        <v>Baja</v>
      </c>
      <c r="K4377" s="25">
        <f ca="1">IFERROR(__xludf.DUMMYFUNCTION("""COMPUTED_VALUE"""),554)</f>
        <v>554</v>
      </c>
      <c r="L4377" s="62">
        <f ca="1">IFERROR(__xludf.DUMMYFUNCTION("""COMPUTED_VALUE"""),45016)</f>
        <v>45016</v>
      </c>
      <c r="M4377" s="25" t="str">
        <f ca="1">IFERROR(__xludf.DUMMYFUNCTION("""COMPUTED_VALUE"""),"En el marco de la mesa de organización del periódico ""ciclo alameda medio milenio"", la SDM entregó al IDU e IDPAC la propuesta de recorrido en octubre de 2021 y el IDPAC e IDU están gestionando la disponibilidad de agenda de la alcaldía mayor.")</f>
        <v>En el marco de la mesa de organización del periódico "ciclo alameda medio milenio", la SDM entregó al IDU e IDPAC la propuesta de recorrido en octubre de 2021 y el IDPAC e IDU están gestionando la disponibilidad de agenda de la alcaldía mayor.</v>
      </c>
      <c r="N4377" s="55">
        <f ca="1">IFERROR(__xludf.DUMMYFUNCTION("""COMPUTED_VALUE"""),45044)</f>
        <v>45044</v>
      </c>
      <c r="O4377" s="25" t="str">
        <f t="shared" ca="1" si="0"/>
        <v>Secretaría Distrital de Movilidad</v>
      </c>
      <c r="P4377" s="25" t="str">
        <f t="shared" ca="1" si="2"/>
        <v/>
      </c>
      <c r="Q4377" s="25" t="str">
        <f ca="1">IFERROR(__xludf.DUMMYFUNCTION("""COMPUTED_VALUE"""),"Largo plazo")</f>
        <v>Largo plazo</v>
      </c>
      <c r="R4377" s="25"/>
      <c r="S4377" s="55"/>
      <c r="T4377" s="56"/>
      <c r="U4377" s="25"/>
      <c r="V4377" s="25"/>
      <c r="W4377" s="25"/>
      <c r="X4377" s="25"/>
      <c r="Y4377" s="25"/>
      <c r="Z4377" s="25"/>
    </row>
    <row r="4378" spans="1:26" ht="52.5" customHeight="1" x14ac:dyDescent="0.25">
      <c r="A4378" s="25" t="str">
        <f ca="1">IFERROR(__xludf.DUMMYFUNCTION("""COMPUTED_VALUE"""),"Movil176")</f>
        <v>Movil176</v>
      </c>
      <c r="B4378" s="25" t="str">
        <f ca="1">IFERROR(__xludf.DUMMYFUNCTION("""COMPUTED_VALUE"""),"Reunión Revisión Implementación Estrategia Peatón y Barrios Vitales")</f>
        <v>Reunión Revisión Implementación Estrategia Peatón y Barrios Vitales</v>
      </c>
      <c r="C4378" s="55">
        <f ca="1">IFERROR(__xludf.DUMMYFUNCTION("""COMPUTED_VALUE"""),44427)</f>
        <v>44427</v>
      </c>
      <c r="D4378" s="25" t="str">
        <f ca="1">IFERROR(__xludf.DUMMYFUNCTION("""COMPUTED_VALUE"""),"Movilidad")</f>
        <v>Movilidad</v>
      </c>
      <c r="E4378" s="25" t="str">
        <f ca="1">IFERROR(__xludf.DUMMYFUNCTION("""COMPUTED_VALUE"""),"Secretaría Distrital de Movilidad")</f>
        <v>Secretaría Distrital de Movilidad</v>
      </c>
      <c r="F4378" s="25" t="str">
        <f ca="1">IFERROR(__xludf.DUMMYFUNCTION("""COMPUTED_VALUE"""),"Tener un plan de choque inmediato al lado del Portal de las Américas y sobre la Séptima para intervenir durante las próximas dos semanas. ")</f>
        <v xml:space="preserve">Tener un plan de choque inmediato al lado del Portal de las Américas y sobre la Séptima para intervenir durante las próximas dos semanas. </v>
      </c>
      <c r="G4378" s="25" t="str">
        <f ca="1">IFERROR(__xludf.DUMMYFUNCTION("""COMPUTED_VALUE"""),"99. Distrito")</f>
        <v>99. Distrito</v>
      </c>
      <c r="H4378" s="55">
        <f ca="1">IFERROR(__xludf.DUMMYFUNCTION("""COMPUTED_VALUE"""),44457)</f>
        <v>44457</v>
      </c>
      <c r="I4378" s="25"/>
      <c r="J4378" s="55" t="str">
        <f ca="1">IFERROR(__xludf.DUMMYFUNCTION("""COMPUTED_VALUE"""),"Alta")</f>
        <v>Alta</v>
      </c>
      <c r="K4378" s="25">
        <f ca="1">IFERROR(__xludf.DUMMYFUNCTION("""COMPUTED_VALUE"""),30)</f>
        <v>30</v>
      </c>
      <c r="L4378" s="62">
        <f ca="1">IFERROR(__xludf.DUMMYFUNCTION("""COMPUTED_VALUE"""),44467)</f>
        <v>44467</v>
      </c>
      <c r="M4378" s="25" t="str">
        <f ca="1">IFERROR(__xludf.DUMMYFUNCTION("""COMPUTED_VALUE"""),"Se terminaron las obras de recuperación de espacio público tales como reposición de adoquines, restitución del superficies con concreto fundido y acciones de urbanismo táctico para promover el correcto uso del espacio peatonal.")</f>
        <v>Se terminaron las obras de recuperación de espacio público tales como reposición de adoquines, restitución del superficies con concreto fundido y acciones de urbanismo táctico para promover el correcto uso del espacio peatonal.</v>
      </c>
      <c r="N4378" s="55">
        <f ca="1">IFERROR(__xludf.DUMMYFUNCTION("""COMPUTED_VALUE"""),44467)</f>
        <v>44467</v>
      </c>
      <c r="O4378" s="25" t="str">
        <f t="shared" ca="1" si="0"/>
        <v>Secretaría Distrital de Movilidad</v>
      </c>
      <c r="P4378" s="25" t="str">
        <f t="shared" si="2"/>
        <v/>
      </c>
      <c r="Q4378" s="25" t="str">
        <f ca="1">IFERROR(__xludf.DUMMYFUNCTION("""COMPUTED_VALUE"""),"Corto plazo")</f>
        <v>Corto plazo</v>
      </c>
      <c r="R4378" s="25"/>
      <c r="S4378" s="55"/>
      <c r="T4378" s="56"/>
      <c r="U4378" s="25"/>
      <c r="V4378" s="25"/>
      <c r="W4378" s="25"/>
      <c r="X4378" s="25"/>
      <c r="Y4378" s="25"/>
      <c r="Z4378" s="25"/>
    </row>
    <row r="4379" spans="1:26" ht="52.5" customHeight="1" x14ac:dyDescent="0.25">
      <c r="A4379" s="25" t="str">
        <f ca="1">IFERROR(__xludf.DUMMYFUNCTION("""COMPUTED_VALUE"""),"Movil177")</f>
        <v>Movil177</v>
      </c>
      <c r="B4379" s="25" t="str">
        <f ca="1">IFERROR(__xludf.DUMMYFUNCTION("""COMPUTED_VALUE"""),"Reunión Revisión Implementación Estrategia Peatón y Barrios Vitales")</f>
        <v>Reunión Revisión Implementación Estrategia Peatón y Barrios Vitales</v>
      </c>
      <c r="C4379" s="55">
        <f ca="1">IFERROR(__xludf.DUMMYFUNCTION("""COMPUTED_VALUE"""),44427)</f>
        <v>44427</v>
      </c>
      <c r="D4379" s="25" t="str">
        <f ca="1">IFERROR(__xludf.DUMMYFUNCTION("""COMPUTED_VALUE"""),"Movilidad")</f>
        <v>Movilidad</v>
      </c>
      <c r="E4379" s="25" t="str">
        <f ca="1">IFERROR(__xludf.DUMMYFUNCTION("""COMPUTED_VALUE"""),"Secretaría Distrital de Movilidad")</f>
        <v>Secretaría Distrital de Movilidad</v>
      </c>
      <c r="F4379" s="25" t="str">
        <f ca="1">IFERROR(__xludf.DUMMYFUNCTION("""COMPUTED_VALUE"""),"Hablar con José David Riveros y Gabriel Angarita para definir el apoyo que pueda brindar de parceros para pintar las bolitas en los andenes emergentes como parte de la estrategia de peatón. ")</f>
        <v xml:space="preserve">Hablar con José David Riveros y Gabriel Angarita para definir el apoyo que pueda brindar de parceros para pintar las bolitas en los andenes emergentes como parte de la estrategia de peatón. </v>
      </c>
      <c r="G4379" s="25" t="str">
        <f ca="1">IFERROR(__xludf.DUMMYFUNCTION("""COMPUTED_VALUE"""),"99. Distrito")</f>
        <v>99. Distrito</v>
      </c>
      <c r="H4379" s="55">
        <f ca="1">IFERROR(__xludf.DUMMYFUNCTION("""COMPUTED_VALUE"""),44457)</f>
        <v>44457</v>
      </c>
      <c r="I4379" s="25"/>
      <c r="J4379" s="55" t="str">
        <f ca="1">IFERROR(__xludf.DUMMYFUNCTION("""COMPUTED_VALUE"""),"Alta")</f>
        <v>Alta</v>
      </c>
      <c r="K4379" s="25">
        <f ca="1">IFERROR(__xludf.DUMMYFUNCTION("""COMPUTED_VALUE"""),30)</f>
        <v>30</v>
      </c>
      <c r="L4379" s="62">
        <f ca="1">IFERROR(__xludf.DUMMYFUNCTION("""COMPUTED_VALUE"""),44467)</f>
        <v>44467</v>
      </c>
      <c r="M4379" s="25" t="str">
        <f ca="1">IFERROR(__xludf.DUMMYFUNCTION("""COMPUTED_VALUE"""),"Se han identificado las localidades que tienen este programa de Parceros con el fin de incorporarlos en las actividades de urbanismo táctico. El viernes 27 de agosto 13 Parceros estuvieron participando en la intervención del portal Suba.")</f>
        <v>Se han identificado las localidades que tienen este programa de Parceros con el fin de incorporarlos en las actividades de urbanismo táctico. El viernes 27 de agosto 13 Parceros estuvieron participando en la intervención del portal Suba.</v>
      </c>
      <c r="N4379" s="55">
        <f ca="1">IFERROR(__xludf.DUMMYFUNCTION("""COMPUTED_VALUE"""),44467)</f>
        <v>44467</v>
      </c>
      <c r="O4379" s="25" t="str">
        <f t="shared" ca="1" si="0"/>
        <v>Secretaría Distrital de Movilidad</v>
      </c>
      <c r="P4379" s="25" t="str">
        <f t="shared" si="2"/>
        <v/>
      </c>
      <c r="Q4379" s="25" t="str">
        <f ca="1">IFERROR(__xludf.DUMMYFUNCTION("""COMPUTED_VALUE"""),"Corto plazo")</f>
        <v>Corto plazo</v>
      </c>
      <c r="R4379" s="25"/>
      <c r="S4379" s="55"/>
      <c r="T4379" s="56"/>
      <c r="U4379" s="25"/>
      <c r="V4379" s="25"/>
      <c r="W4379" s="25"/>
      <c r="X4379" s="25"/>
      <c r="Y4379" s="25"/>
      <c r="Z4379" s="25"/>
    </row>
    <row r="4380" spans="1:26" ht="52.5" customHeight="1" x14ac:dyDescent="0.25">
      <c r="A4380" s="25" t="str">
        <f ca="1">IFERROR(__xludf.DUMMYFUNCTION("""COMPUTED_VALUE"""),"Movil178")</f>
        <v>Movil178</v>
      </c>
      <c r="B4380" s="25" t="str">
        <f ca="1">IFERROR(__xludf.DUMMYFUNCTION("""COMPUTED_VALUE"""),"Reunión Revisión Implementación Estrategia Peatón y Barrios Vitales")</f>
        <v>Reunión Revisión Implementación Estrategia Peatón y Barrios Vitales</v>
      </c>
      <c r="C4380" s="55">
        <f ca="1">IFERROR(__xludf.DUMMYFUNCTION("""COMPUTED_VALUE"""),44427)</f>
        <v>44427</v>
      </c>
      <c r="D4380" s="25" t="str">
        <f ca="1">IFERROR(__xludf.DUMMYFUNCTION("""COMPUTED_VALUE"""),"Movilidad")</f>
        <v>Movilidad</v>
      </c>
      <c r="E4380" s="25" t="str">
        <f ca="1">IFERROR(__xludf.DUMMYFUNCTION("""COMPUTED_VALUE"""),"Secretaría Distrital de Movilidad")</f>
        <v>Secretaría Distrital de Movilidad</v>
      </c>
      <c r="F4380" s="25" t="str">
        <f ca="1">IFERROR(__xludf.DUMMYFUNCTION("""COMPUTED_VALUE"""),"Hablar con Alex Reina para vincular a vecinos para que apoyen en la estrategia de peatón.  ")</f>
        <v xml:space="preserve">Hablar con Alex Reina para vincular a vecinos para que apoyen en la estrategia de peatón.  </v>
      </c>
      <c r="G4380" s="55" t="str">
        <f ca="1">IFERROR(__xludf.DUMMYFUNCTION("""COMPUTED_VALUE"""),"12. Barrios Unidos")</f>
        <v>12. Barrios Unidos</v>
      </c>
      <c r="H4380" s="55">
        <f ca="1">IFERROR(__xludf.DUMMYFUNCTION("""COMPUTED_VALUE"""),44457)</f>
        <v>44457</v>
      </c>
      <c r="I4380" s="25"/>
      <c r="J4380" s="55" t="str">
        <f ca="1">IFERROR(__xludf.DUMMYFUNCTION("""COMPUTED_VALUE"""),"Alta")</f>
        <v>Alta</v>
      </c>
      <c r="K4380" s="25">
        <f ca="1">IFERROR(__xludf.DUMMYFUNCTION("""COMPUTED_VALUE"""),30)</f>
        <v>30</v>
      </c>
      <c r="L4380" s="62">
        <f ca="1">IFERROR(__xludf.DUMMYFUNCTION("""COMPUTED_VALUE"""),44827)</f>
        <v>44827</v>
      </c>
      <c r="M4380" s="25" t="str">
        <f ca="1">IFERROR(__xludf.DUMMYFUNCTION("""COMPUTED_VALUE"""),"Se realizó la implementación del Barrio Vital en San Felipe en la fase de urbanismo táctico entre enero y febrero del 2022. Posterior a esto, se han realizado 6 reuniones con la comunidad y entidades con el fin de hacer seguimiento a la implementación, la"&amp;"s entidades que han participado en el proceso son IDPAC, SDSCJ, SDDE, SDCRD, Policía e IDT.
El dia 16 de agosto se realizó la reunión de cierre con la comunidad de San Felipe en la universidad UNITEC con diferentes entidades (SDSJC, SDDE, SDCRD, IDPAC) c"&amp;"on el fin de entregar las intervenciones realizadas y realizar la invitación al lanzamiento de la estrategia.
El lanzamiento del Barrio Vital San Felipe se realizó el 26 de agosto en el parque la Araña con el Secretario de Movilidad, la Secretaría de Cul"&amp;"tura , directora del Banco Mundial, personas que participaron en el proceso y la comunidad. De esta manera, se da por culminado el proceso de participación de la fase de urbanismo táctico de la estrategia de Barrios Vitales en San Felipe. Posteriormente, "&amp;"se realizarán seguimientos a la intervención y comenzará el proceso para la fase de obra civil que se realizará por parte del IDU.
El proceso continua para barrio villa San Bernardo, las Cruces y Porvenir en Bosa, donde se ha realizado la articulación ne"&amp;"cesaria ")</f>
        <v xml:space="preserve">Se realizó la implementación del Barrio Vital en San Felipe en la fase de urbanismo táctico entre enero y febrero del 2022. Posterior a esto, se han realizado 6 reuniones con la comunidad y entidades con el fin de hacer seguimiento a la implementación, las entidades que han participado en el proceso son IDPAC, SDSCJ, SDDE, SDCRD, Policía e IDT.
El dia 16 de agosto se realizó la reunión de cierre con la comunidad de San Felipe en la universidad UNITEC con diferentes entidades (SDSJC, SDDE, SDCRD, IDPAC) con el fin de entregar las intervenciones realizadas y realizar la invitación al lanzamiento de la estrategia.
El lanzamiento del Barrio Vital San Felipe se realizó el 26 de agosto en el parque la Araña con el Secretario de Movilidad, la Secretaría de Cultura , directora del Banco Mundial, personas que participaron en el proceso y la comunidad. De esta manera, se da por culminado el proceso de participación de la fase de urbanismo táctico de la estrategia de Barrios Vitales en San Felipe. Posteriormente, se realizarán seguimientos a la intervención y comenzará el proceso para la fase de obra civil que se realizará por parte del IDU.
El proceso continua para barrio villa San Bernardo, las Cruces y Porvenir en Bosa, donde se ha realizado la articulación necesaria </v>
      </c>
      <c r="N4380" s="55">
        <f ca="1">IFERROR(__xludf.DUMMYFUNCTION("""COMPUTED_VALUE"""),44827)</f>
        <v>44827</v>
      </c>
      <c r="O4380" s="25" t="str">
        <f t="shared" ca="1" si="0"/>
        <v>Secretaría Distrital de Movilidad</v>
      </c>
      <c r="P4380" s="25" t="str">
        <f t="shared" si="2"/>
        <v/>
      </c>
      <c r="Q4380" s="25" t="str">
        <f ca="1">IFERROR(__xludf.DUMMYFUNCTION("""COMPUTED_VALUE"""),"Corto plazo")</f>
        <v>Corto plazo</v>
      </c>
      <c r="R4380" s="25"/>
      <c r="S4380" s="55"/>
      <c r="T4380" s="56"/>
      <c r="U4380" s="25"/>
      <c r="V4380" s="25"/>
      <c r="W4380" s="25"/>
      <c r="X4380" s="25"/>
      <c r="Y4380" s="25"/>
      <c r="Z4380" s="25"/>
    </row>
    <row r="4381" spans="1:26" ht="52.5" customHeight="1" x14ac:dyDescent="0.25">
      <c r="A4381" s="25" t="str">
        <f ca="1">IFERROR(__xludf.DUMMYFUNCTION("""COMPUTED_VALUE"""),"Movil179")</f>
        <v>Movil179</v>
      </c>
      <c r="B4381" s="25" t="str">
        <f ca="1">IFERROR(__xludf.DUMMYFUNCTION("""COMPUTED_VALUE"""),"Reunión Revisión Implementación Estrategia Peatón y Barrios Vitales")</f>
        <v>Reunión Revisión Implementación Estrategia Peatón y Barrios Vitales</v>
      </c>
      <c r="C4381" s="55">
        <f ca="1">IFERROR(__xludf.DUMMYFUNCTION("""COMPUTED_VALUE"""),44427)</f>
        <v>44427</v>
      </c>
      <c r="D4381" s="25" t="str">
        <f ca="1">IFERROR(__xludf.DUMMYFUNCTION("""COMPUTED_VALUE"""),"Movilidad")</f>
        <v>Movilidad</v>
      </c>
      <c r="E4381" s="25" t="str">
        <f ca="1">IFERROR(__xludf.DUMMYFUNCTION("""COMPUTED_VALUE"""),"Secretaría Distrital de Movilidad")</f>
        <v>Secretaría Distrital de Movilidad</v>
      </c>
      <c r="F4381" s="25" t="str">
        <f ca="1">IFERROR(__xludf.DUMMYFUNCTION("""COMPUTED_VALUE"""),"Definir cuántos fragmentos de los 75 preestablecidos, se pueden priorizar y en qué zonas para la intervención de la estrategia peatón.")</f>
        <v>Definir cuántos fragmentos de los 75 preestablecidos, se pueden priorizar y en qué zonas para la intervención de la estrategia peatón.</v>
      </c>
      <c r="G4381" s="25" t="str">
        <f ca="1">IFERROR(__xludf.DUMMYFUNCTION("""COMPUTED_VALUE"""),"99. Distrito")</f>
        <v>99. Distrito</v>
      </c>
      <c r="H4381" s="55">
        <f ca="1">IFERROR(__xludf.DUMMYFUNCTION("""COMPUTED_VALUE"""),44457)</f>
        <v>44457</v>
      </c>
      <c r="I4381" s="25"/>
      <c r="J4381" s="55" t="str">
        <f ca="1">IFERROR(__xludf.DUMMYFUNCTION("""COMPUTED_VALUE"""),"Alta")</f>
        <v>Alta</v>
      </c>
      <c r="K4381" s="25">
        <f ca="1">IFERROR(__xludf.DUMMYFUNCTION("""COMPUTED_VALUE"""),30)</f>
        <v>30</v>
      </c>
      <c r="L4381" s="62">
        <f ca="1">IFERROR(__xludf.DUMMYFUNCTION("""COMPUTED_VALUE"""),44530)</f>
        <v>44530</v>
      </c>
      <c r="M4381" s="25" t="str">
        <f ca="1">IFERROR(__xludf.DUMMYFUNCTION("""COMPUTED_VALUE"""),"A la espera de definición de implementación para mejorar las condiciones de circulación peatonal. Se cierra, de acuerdo con lo informado en reuniones posteriores, se indicó que se habían priorizado tramos cercanos a colegios partícipes de programa ciempié"&amp;"s ")</f>
        <v xml:space="preserve">A la espera de definición de implementación para mejorar las condiciones de circulación peatonal. Se cierra, de acuerdo con lo informado en reuniones posteriores, se indicó que se habían priorizado tramos cercanos a colegios partícipes de programa ciempiés </v>
      </c>
      <c r="N4381" s="55">
        <f ca="1">IFERROR(__xludf.DUMMYFUNCTION("""COMPUTED_VALUE"""),44530)</f>
        <v>44530</v>
      </c>
      <c r="O4381" s="25" t="str">
        <f t="shared" ca="1" si="0"/>
        <v>Secretaría Distrital de Movilidad</v>
      </c>
      <c r="P4381" s="25" t="str">
        <f t="shared" si="2"/>
        <v/>
      </c>
      <c r="Q4381" s="25" t="str">
        <f ca="1">IFERROR(__xludf.DUMMYFUNCTION("""COMPUTED_VALUE"""),"Corto plazo")</f>
        <v>Corto plazo</v>
      </c>
      <c r="R4381" s="25"/>
      <c r="S4381" s="55"/>
      <c r="T4381" s="56"/>
      <c r="U4381" s="25"/>
      <c r="V4381" s="25"/>
      <c r="W4381" s="25"/>
      <c r="X4381" s="25"/>
      <c r="Y4381" s="25"/>
      <c r="Z4381" s="25"/>
    </row>
    <row r="4382" spans="1:26" ht="52.5" customHeight="1" x14ac:dyDescent="0.25">
      <c r="A4382" s="25" t="str">
        <f ca="1">IFERROR(__xludf.DUMMYFUNCTION("""COMPUTED_VALUE"""),"Movil180")</f>
        <v>Movil180</v>
      </c>
      <c r="B4382" s="25" t="str">
        <f ca="1">IFERROR(__xludf.DUMMYFUNCTION("""COMPUTED_VALUE"""),"Reunión Revisión Implementación Estrategia Peatón y Barrios Vitales")</f>
        <v>Reunión Revisión Implementación Estrategia Peatón y Barrios Vitales</v>
      </c>
      <c r="C4382" s="55">
        <f ca="1">IFERROR(__xludf.DUMMYFUNCTION("""COMPUTED_VALUE"""),44427)</f>
        <v>44427</v>
      </c>
      <c r="D4382" s="25" t="str">
        <f ca="1">IFERROR(__xludf.DUMMYFUNCTION("""COMPUTED_VALUE"""),"Movilidad")</f>
        <v>Movilidad</v>
      </c>
      <c r="E4382" s="25" t="str">
        <f ca="1">IFERROR(__xludf.DUMMYFUNCTION("""COMPUTED_VALUE"""),"Secretaría Distrital de Movilidad")</f>
        <v>Secretaría Distrital de Movilidad</v>
      </c>
      <c r="F4382" s="25" t="str">
        <f ca="1">IFERROR(__xludf.DUMMYFUNCTION("""COMPUTED_VALUE"""),"Revisar el plan detallado con tiempos definidos de la Estrategia Peatón ")</f>
        <v xml:space="preserve">Revisar el plan detallado con tiempos definidos de la Estrategia Peatón </v>
      </c>
      <c r="G4382" s="25" t="str">
        <f ca="1">IFERROR(__xludf.DUMMYFUNCTION("""COMPUTED_VALUE"""),"99. Distrito")</f>
        <v>99. Distrito</v>
      </c>
      <c r="H4382" s="55">
        <f ca="1">IFERROR(__xludf.DUMMYFUNCTION("""COMPUTED_VALUE"""),44457)</f>
        <v>44457</v>
      </c>
      <c r="I4382" s="25"/>
      <c r="J4382" s="55" t="str">
        <f ca="1">IFERROR(__xludf.DUMMYFUNCTION("""COMPUTED_VALUE"""),"Alta")</f>
        <v>Alta</v>
      </c>
      <c r="K4382" s="25">
        <f ca="1">IFERROR(__xludf.DUMMYFUNCTION("""COMPUTED_VALUE"""),30)</f>
        <v>30</v>
      </c>
      <c r="L4382" s="62">
        <f ca="1">IFERROR(__xludf.DUMMYFUNCTION("""COMPUTED_VALUE"""),44467)</f>
        <v>44467</v>
      </c>
      <c r="M4382" s="25" t="str">
        <f ca="1">IFERROR(__xludf.DUMMYFUNCTION("""COMPUTED_VALUE"""),"Luego del trabajo con otras entidades que hacen parte de la Estrategia del peatón se han incorporado sus proyectos los cuales están en proceso de evaluación y priorización. ")</f>
        <v xml:space="preserve">Luego del trabajo con otras entidades que hacen parte de la Estrategia del peatón se han incorporado sus proyectos los cuales están en proceso de evaluación y priorización. </v>
      </c>
      <c r="N4382" s="55">
        <f ca="1">IFERROR(__xludf.DUMMYFUNCTION("""COMPUTED_VALUE"""),44467)</f>
        <v>44467</v>
      </c>
      <c r="O4382" s="25" t="str">
        <f t="shared" ca="1" si="0"/>
        <v>Secretaría Distrital de Movilidad</v>
      </c>
      <c r="P4382" s="25" t="str">
        <f t="shared" si="2"/>
        <v/>
      </c>
      <c r="Q4382" s="25" t="str">
        <f ca="1">IFERROR(__xludf.DUMMYFUNCTION("""COMPUTED_VALUE"""),"Corto plazo")</f>
        <v>Corto plazo</v>
      </c>
      <c r="R4382" s="25"/>
      <c r="S4382" s="55"/>
      <c r="T4382" s="56"/>
      <c r="U4382" s="25"/>
      <c r="V4382" s="25"/>
      <c r="W4382" s="25"/>
      <c r="X4382" s="25"/>
      <c r="Y4382" s="25"/>
      <c r="Z4382" s="25"/>
    </row>
    <row r="4383" spans="1:26" ht="52.5" customHeight="1" x14ac:dyDescent="0.25">
      <c r="A4383" s="25" t="str">
        <f ca="1">IFERROR(__xludf.DUMMYFUNCTION("""COMPUTED_VALUE"""),"Movil181")</f>
        <v>Movil181</v>
      </c>
      <c r="B4383" s="25" t="str">
        <f ca="1">IFERROR(__xludf.DUMMYFUNCTION("""COMPUTED_VALUE"""),"Taller Avenida 68 ")</f>
        <v xml:space="preserve">Taller Avenida 68 </v>
      </c>
      <c r="C4383" s="55">
        <f ca="1">IFERROR(__xludf.DUMMYFUNCTION("""COMPUTED_VALUE"""),44427)</f>
        <v>44427</v>
      </c>
      <c r="D4383" s="25" t="str">
        <f ca="1">IFERROR(__xludf.DUMMYFUNCTION("""COMPUTED_VALUE"""),"Movilidad")</f>
        <v>Movilidad</v>
      </c>
      <c r="E4383" s="25" t="str">
        <f ca="1">IFERROR(__xludf.DUMMYFUNCTION("""COMPUTED_VALUE"""),"Instituto de Desarrollo Urbano")</f>
        <v>Instituto de Desarrollo Urbano</v>
      </c>
      <c r="F4383" s="25" t="str">
        <f ca="1">IFERROR(__xludf.DUMMYFUNCTION("""COMPUTED_VALUE"""),"Concesionarios e interventores deben agilizar la tala de los árboles, se pide que una vez se tenga la resolución, se trabaje en dos o tres turnos. Se pide que se haga una logística fuerte en donde se tale y se levante en un mismo día (24/7). Para esto se "&amp;"debe contar con la colaboración de la Secretaría de Movilidad para el tema de tráfico y desvíos. ")</f>
        <v xml:space="preserve">Concesionarios e interventores deben agilizar la tala de los árboles, se pide que una vez se tenga la resolución, se trabaje en dos o tres turnos. Se pide que se haga una logística fuerte en donde se tale y se levante en un mismo día (24/7). Para esto se debe contar con la colaboración de la Secretaría de Movilidad para el tema de tráfico y desvíos. </v>
      </c>
      <c r="G4383" s="25" t="str">
        <f ca="1">IFERROR(__xludf.DUMMYFUNCTION("""COMPUTED_VALUE"""),"99. Distrito")</f>
        <v>99. Distrito</v>
      </c>
      <c r="H4383" s="55">
        <f ca="1">IFERROR(__xludf.DUMMYFUNCTION("""COMPUTED_VALUE"""),44457)</f>
        <v>44457</v>
      </c>
      <c r="I4383" s="25"/>
      <c r="J4383" s="55" t="str">
        <f ca="1">IFERROR(__xludf.DUMMYFUNCTION("""COMPUTED_VALUE"""),"Alta")</f>
        <v>Alta</v>
      </c>
      <c r="K4383" s="25">
        <f ca="1">IFERROR(__xludf.DUMMYFUNCTION("""COMPUTED_VALUE"""),30)</f>
        <v>30</v>
      </c>
      <c r="L4383" s="62">
        <f ca="1">IFERROR(__xludf.DUMMYFUNCTION("""COMPUTED_VALUE"""),44469)</f>
        <v>44469</v>
      </c>
      <c r="M4383" s="25" t="str">
        <f ca="1">IFERROR(__xludf.DUMMYFUNCTION("""COMPUTED_VALUE"""),"No se puede avanzar debido a medida cautelar")</f>
        <v>No se puede avanzar debido a medida cautelar</v>
      </c>
      <c r="N4383" s="55">
        <f ca="1">IFERROR(__xludf.DUMMYFUNCTION("""COMPUTED_VALUE"""),44469)</f>
        <v>44469</v>
      </c>
      <c r="O4383" s="25" t="str">
        <f t="shared" ca="1" si="0"/>
        <v>Instituto de Desarrollo Urbano</v>
      </c>
      <c r="P4383" s="25" t="str">
        <f t="shared" si="2"/>
        <v/>
      </c>
      <c r="Q4383" s="25" t="str">
        <f ca="1">IFERROR(__xludf.DUMMYFUNCTION("""COMPUTED_VALUE"""),"Corto plazo")</f>
        <v>Corto plazo</v>
      </c>
      <c r="R4383" s="25"/>
      <c r="S4383" s="55"/>
      <c r="T4383" s="56"/>
      <c r="U4383" s="25"/>
      <c r="V4383" s="25"/>
      <c r="W4383" s="25"/>
      <c r="X4383" s="25"/>
      <c r="Y4383" s="25"/>
      <c r="Z4383" s="25"/>
    </row>
    <row r="4384" spans="1:26" ht="52.5" customHeight="1" x14ac:dyDescent="0.25">
      <c r="A4384" s="25" t="str">
        <f ca="1">IFERROR(__xludf.DUMMYFUNCTION("""COMPUTED_VALUE"""),"Movil182")</f>
        <v>Movil182</v>
      </c>
      <c r="B4384" s="25" t="str">
        <f ca="1">IFERROR(__xludf.DUMMYFUNCTION("""COMPUTED_VALUE"""),"Taller Avenida 68 ")</f>
        <v xml:space="preserve">Taller Avenida 68 </v>
      </c>
      <c r="C4384" s="55">
        <f ca="1">IFERROR(__xludf.DUMMYFUNCTION("""COMPUTED_VALUE"""),44427)</f>
        <v>44427</v>
      </c>
      <c r="D4384" s="25" t="str">
        <f ca="1">IFERROR(__xludf.DUMMYFUNCTION("""COMPUTED_VALUE"""),"Movilidad")</f>
        <v>Movilidad</v>
      </c>
      <c r="E4384" s="25" t="str">
        <f ca="1">IFERROR(__xludf.DUMMYFUNCTION("""COMPUTED_VALUE"""),"Instituto de Desarrollo Urbano")</f>
        <v>Instituto de Desarrollo Urbano</v>
      </c>
      <c r="F4384" s="25" t="str">
        <f ca="1">IFERROR(__xludf.DUMMYFUNCTION("""COMPUTED_VALUE"""),"Se debe señalizar toda la obra av. 68, debe haber 16 km de publicidad con la información de la obra, (empleos generados, beneficios de la obra, contratistas, reverdecimiento, cuántos árboles se están presentando, etc),")</f>
        <v>Se debe señalizar toda la obra av. 68, debe haber 16 km de publicidad con la información de la obra, (empleos generados, beneficios de la obra, contratistas, reverdecimiento, cuántos árboles se están presentando, etc),</v>
      </c>
      <c r="G4384" s="25" t="str">
        <f ca="1">IFERROR(__xludf.DUMMYFUNCTION("""COMPUTED_VALUE"""),"99. Distrito")</f>
        <v>99. Distrito</v>
      </c>
      <c r="H4384" s="55">
        <f ca="1">IFERROR(__xludf.DUMMYFUNCTION("""COMPUTED_VALUE"""),44457)</f>
        <v>44457</v>
      </c>
      <c r="I4384" s="25"/>
      <c r="J4384" s="55" t="str">
        <f ca="1">IFERROR(__xludf.DUMMYFUNCTION("""COMPUTED_VALUE"""),"Alta")</f>
        <v>Alta</v>
      </c>
      <c r="K4384" s="25">
        <f ca="1">IFERROR(__xludf.DUMMYFUNCTION("""COMPUTED_VALUE"""),30)</f>
        <v>30</v>
      </c>
      <c r="L4384" s="62">
        <f ca="1">IFERROR(__xludf.DUMMYFUNCTION("""COMPUTED_VALUE"""),44480)</f>
        <v>44480</v>
      </c>
      <c r="M4384" s="25" t="str">
        <f ca="1">IFERROR(__xludf.DUMMYFUNCTION("""COMPUTED_VALUE"""),"No se generaron oficios requiriendo evaluación a las interventorías. Se realizó reunión con SDA el 29-09-21 donde se informe que la SDA debe estudiar cómo se viabilizan la implementación dado que acorde a diseño elaborado por comunicaciones IDU, la instal"&amp;"ación de estos elementos requieren trámite pendiente a obtener resolución para su instalación y pago del costo asociado a esta autorización. 
El tema de cerramiento para las obras de IDU, ya se encuentra avanzado por parte de SDA. El subsecretario el FDS"&amp;" le indicó a Diego que esta semana sale el articulado de resolución por parte de SDA, para que UD revise y que luego se pueda adoptar la siguiente semana.
Ellos se encuentran revisando con detalle, porque son muchos m2 y secciones de obra, y esto requiere"&amp;" que se empaqueta para facilitar la gestión (o sino sería casi imposible expedir un permiso y lo costoso para la obra generar tantos registros). Están desde SDA revisando legislación actual, para modificar norma, y poder emitir la propuesta de articulado "&amp;"la semana entrante.
El IDU señaló que una vez se tengan los lineamientos de SDA  puede procederá a implementar estas polisombras en sus obras")</f>
        <v>No se generaron oficios requiriendo evaluación a las interventorías. Se realizó reunión con SDA el 29-09-21 donde se informe que la SDA debe estudiar cómo se viabilizan la implementación dado que acorde a diseño elaborado por comunicaciones IDU, la instalación de estos elementos requieren trámite pendiente a obtener resolución para su instalación y pago del costo asociado a esta autorización. 
El tema de cerramiento para las obras de IDU, ya se encuentra avanzado por parte de SDA. El subsecretario el FDS le indicó a Diego que esta semana sale el articulado de resolución por parte de SDA, para que UD revise y que luego se pueda adoptar la siguiente semana.
Ellos se encuentran revisando con detalle, porque son muchos m2 y secciones de obra, y esto requiere que se empaqueta para facilitar la gestión (o sino sería casi imposible expedir un permiso y lo costoso para la obra generar tantos registros). Están desde SDA revisando legislación actual, para modificar norma, y poder emitir la propuesta de articulado la semana entrante.
El IDU señaló que una vez se tengan los lineamientos de SDA  puede procederá a implementar estas polisombras en sus obras</v>
      </c>
      <c r="N4384" s="55">
        <f ca="1">IFERROR(__xludf.DUMMYFUNCTION("""COMPUTED_VALUE"""),44480)</f>
        <v>44480</v>
      </c>
      <c r="O4384" s="25" t="str">
        <f t="shared" ca="1" si="0"/>
        <v>Instituto de Desarrollo Urbano</v>
      </c>
      <c r="P4384" s="25" t="str">
        <f t="shared" si="2"/>
        <v/>
      </c>
      <c r="Q4384" s="25" t="str">
        <f ca="1">IFERROR(__xludf.DUMMYFUNCTION("""COMPUTED_VALUE"""),"Corto plazo")</f>
        <v>Corto plazo</v>
      </c>
      <c r="R4384" s="25"/>
      <c r="S4384" s="55"/>
      <c r="T4384" s="56"/>
      <c r="U4384" s="25"/>
      <c r="V4384" s="25"/>
      <c r="W4384" s="25"/>
      <c r="X4384" s="25"/>
      <c r="Y4384" s="25"/>
      <c r="Z4384" s="25"/>
    </row>
    <row r="4385" spans="1:26" ht="52.5" customHeight="1" x14ac:dyDescent="0.25">
      <c r="A4385" s="25" t="str">
        <f ca="1">IFERROR(__xludf.DUMMYFUNCTION("""COMPUTED_VALUE"""),"Movil183")</f>
        <v>Movil183</v>
      </c>
      <c r="B4385" s="25" t="str">
        <f ca="1">IFERROR(__xludf.DUMMYFUNCTION("""COMPUTED_VALUE"""),"Taller Avenida 68 ")</f>
        <v xml:space="preserve">Taller Avenida 68 </v>
      </c>
      <c r="C4385" s="55">
        <f ca="1">IFERROR(__xludf.DUMMYFUNCTION("""COMPUTED_VALUE"""),44427)</f>
        <v>44427</v>
      </c>
      <c r="D4385" s="25" t="str">
        <f ca="1">IFERROR(__xludf.DUMMYFUNCTION("""COMPUTED_VALUE"""),"Movilidad")</f>
        <v>Movilidad</v>
      </c>
      <c r="E4385" s="25" t="str">
        <f ca="1">IFERROR(__xludf.DUMMYFUNCTION("""COMPUTED_VALUE"""),"Secretaría Distrital de Movilidad")</f>
        <v>Secretaría Distrital de Movilidad</v>
      </c>
      <c r="F4385" s="25" t="str">
        <f ca="1">IFERROR(__xludf.DUMMYFUNCTION("""COMPUTED_VALUE"""),"Debe hacerse una mesa de trabajo entre el interventor, el contratista, movilidad y el IDU, por grupos para definir la fecha de inicio al igual que acordar y aprobar con los indicadores viables del Plan de Manejo del tráfico. ")</f>
        <v xml:space="preserve">Debe hacerse una mesa de trabajo entre el interventor, el contratista, movilidad y el IDU, por grupos para definir la fecha de inicio al igual que acordar y aprobar con los indicadores viables del Plan de Manejo del tráfico. </v>
      </c>
      <c r="G4385" s="25" t="str">
        <f ca="1">IFERROR(__xludf.DUMMYFUNCTION("""COMPUTED_VALUE"""),"99. Distrito")</f>
        <v>99. Distrito</v>
      </c>
      <c r="H4385" s="55">
        <f ca="1">IFERROR(__xludf.DUMMYFUNCTION("""COMPUTED_VALUE"""),44457)</f>
        <v>44457</v>
      </c>
      <c r="I4385" s="25"/>
      <c r="J4385" s="55" t="str">
        <f ca="1">IFERROR(__xludf.DUMMYFUNCTION("""COMPUTED_VALUE"""),"Alta")</f>
        <v>Alta</v>
      </c>
      <c r="K4385" s="25">
        <f ca="1">IFERROR(__xludf.DUMMYFUNCTION("""COMPUTED_VALUE"""),30)</f>
        <v>30</v>
      </c>
      <c r="L4385" s="62">
        <f ca="1">IFERROR(__xludf.DUMMYFUNCTION("""COMPUTED_VALUE"""),44502)</f>
        <v>44502</v>
      </c>
      <c r="M4385" s="25" t="str">
        <f ca="1">IFERROR(__xludf.DUMMYFUNCTION("""COMPUTED_VALUE"""),"02/11/2021: El IDU se encuentra adelantando revisiones internas sobre las propuestas entregadas por contratista respecto a los indicadores teniendo en cuenta los puntos de vista entre las partes.
26/10/2021: Se mantiene la condición reportada la semana a"&amp;"nterior.
19/10/2021:
Se realiza mesa de trabajo el 4 de octubre de 2021 con el IDU y la SDM se presentan las propuestas de las partes respecto a los indicadores pendiente definición con soportes por parte de los contratistas debido a propuestas de dismin"&amp;"ución de indicador para el Público condición no viable. En la actualidad se encuentra en revisión de propuesta entre las partes.
28/09/2021:
Respecto a la semana anterior se tiene pendiente el reporte por parte del IDU de los avances de entrega por parte"&amp;" de los contratistas e interventores, se tiene prevista mesa de trabajo para el 4 de octubre de 2021
21/09/2021:
Se llevó a cabo mesa de trabajo con los contratistas e interventores para concertar los parametros de evaluación  el 16 de septiembre está p"&amp;"endiente por parte de los contratistas e interventores la entrega de los soportes
Se tiene previsto para el 27 de septiembre el inicio del PMT 2 del grupo 9. 
Se continúa con las visualizaciones 1,2,3,4,7,8,9
14/09/2021:
Se realizaron mesas de trabajo "&amp;"con el IDU los días 10 y 14 de septiembre, donde se presentaron propuestas por la SDM respecto a los indicadores, se presentaron propuestas acordadas entre las partes con el fin de poder adelantar nueva mesa de trabajo el próximo 16 de septiembre con el f"&amp;"in de poder adelantar mesa de trabajo con los contratistas e interventores.
Se inició con cierre del grupo 4 el 8 de septiembre, se tiene previsto para el 17 de septiembre el inicio del PMT 2 del grupo 9. 
Se continúa con las visualizaciones 1,2,3,4,7,8,9"&amp;"
7/09/2021: 
Se realizó segunda mesa de trabajo con el IDU el pasado 3 de septiembre para la revisión  de indicadores producto de lo entregado por los contratistas, información insuficiente para realizar el ejercicio por lo que se realizarán ajustes pa"&amp;"ra poder adelantar en conjunto con el IDU la revisión de los indicadores,  respecto a lo reportado la semana anterior se cuenta con viabilidad al PMT del grupo 8 de tal manera se cuenta con viabilidad en los grupos 1,2,3,4,7,8,9, Se inició ejecución en ob"&amp;"ra de los PMT de intervención en calzada el 29 de agosto y el 30 de agosto de los Grupo 3 y 9 respectivamente y se tiene previsto inicio del grupo 4 el 8 de septiembre de 2021
1/09/2021: 
Se realizó reunión con el IDU el día 26 de agosto de 2021, para d"&amp;"efinir el procedimiento con respecto a la revisión de los indicadores, el IDU quedó encargado de hacer la solicitud a los contratistas, así mismo es importante manifestar que las viabilidades de los PMT se tienen aprobadas para los grupos 1,2,3,4,7,9, adi"&amp;"cionalmente se dio inicio a los PMT Grupo 3 y 9")</f>
        <v>02/11/2021: El IDU se encuentra adelantando revisiones internas sobre las propuestas entregadas por contratista respecto a los indicadores teniendo en cuenta los puntos de vista entre las partes.
26/10/2021: Se mantiene la condición reportada la semana anterior.
19/10/2021:
Se realiza mesa de trabajo el 4 de octubre de 2021 con el IDU y la SDM se presentan las propuestas de las partes respecto a los indicadores pendiente definición con soportes por parte de los contratistas debido a propuestas de disminución de indicador para el Público condición no viable. En la actualidad se encuentra en revisión de propuesta entre las partes.
28/09/2021:
Respecto a la semana anterior se tiene pendiente el reporte por parte del IDU de los avances de entrega por parte de los contratistas e interventores, se tiene prevista mesa de trabajo para el 4 de octubre de 2021
21/09/2021:
Se llevó a cabo mesa de trabajo con los contratistas e interventores para concertar los parametros de evaluación  el 16 de septiembre está pendiente por parte de los contratistas e interventores la entrega de los soportes
Se tiene previsto para el 27 de septiembre el inicio del PMT 2 del grupo 9. 
Se continúa con las visualizaciones 1,2,3,4,7,8,9
14/09/2021:
Se realizaron mesas de trabajo con el IDU los días 10 y 14 de septiembre, donde se presentaron propuestas por la SDM respecto a los indicadores, se presentaron propuestas acordadas entre las partes con el fin de poder adelantar nueva mesa de trabajo el próximo 16 de septiembre con el fin de poder adelantar mesa de trabajo con los contratistas e interventores.
Se inició con cierre del grupo 4 el 8 de septiembre, se tiene previsto para el 17 de septiembre el inicio del PMT 2 del grupo 9. 
Se continúa con las visualizaciones 1,2,3,4,7,8,9
7/09/2021: 
Se realizó segunda mesa de trabajo con el IDU el pasado 3 de septiembre para la revisión  de indicadores producto de lo entregado por los contratistas, información insuficiente para realizar el ejercicio por lo que se realizarán ajustes para poder adelantar en conjunto con el IDU la revisión de los indicadores,  respecto a lo reportado la semana anterior se cuenta con viabilidad al PMT del grupo 8 de tal manera se cuenta con viabilidad en los grupos 1,2,3,4,7,8,9, Se inició ejecución en obra de los PMT de intervención en calzada el 29 de agosto y el 30 de agosto de los Grupo 3 y 9 respectivamente y se tiene previsto inicio del grupo 4 el 8 de septiembre de 2021
1/09/2021: 
Se realizó reunión con el IDU el día 26 de agosto de 2021, para definir el procedimiento con respecto a la revisión de los indicadores, el IDU quedó encargado de hacer la solicitud a los contratistas, así mismo es importante manifestar que las viabilidades de los PMT se tienen aprobadas para los grupos 1,2,3,4,7,9, adicionalmente se dio inicio a los PMT Grupo 3 y 9</v>
      </c>
      <c r="N4385" s="55">
        <f ca="1">IFERROR(__xludf.DUMMYFUNCTION("""COMPUTED_VALUE"""),44502)</f>
        <v>44502</v>
      </c>
      <c r="O4385" s="25" t="str">
        <f t="shared" ca="1" si="0"/>
        <v>Secretaría Distrital de Movilidad</v>
      </c>
      <c r="P4385" s="25" t="str">
        <f t="shared" si="2"/>
        <v/>
      </c>
      <c r="Q4385" s="25" t="str">
        <f ca="1">IFERROR(__xludf.DUMMYFUNCTION("""COMPUTED_VALUE"""),"Corto plazo")</f>
        <v>Corto plazo</v>
      </c>
      <c r="R4385" s="25"/>
      <c r="S4385" s="55"/>
      <c r="T4385" s="56"/>
      <c r="U4385" s="25"/>
      <c r="V4385" s="25"/>
      <c r="W4385" s="25"/>
      <c r="X4385" s="25"/>
      <c r="Y4385" s="25"/>
      <c r="Z4385" s="25"/>
    </row>
    <row r="4386" spans="1:26" ht="52.5" customHeight="1" x14ac:dyDescent="0.25">
      <c r="A4386" s="25" t="str">
        <f ca="1">IFERROR(__xludf.DUMMYFUNCTION("""COMPUTED_VALUE"""),"Movil184")</f>
        <v>Movil184</v>
      </c>
      <c r="B4386" s="25" t="str">
        <f ca="1">IFERROR(__xludf.DUMMYFUNCTION("""COMPUTED_VALUE"""),"Taller Avenida 68 ")</f>
        <v xml:space="preserve">Taller Avenida 68 </v>
      </c>
      <c r="C4386" s="55">
        <f ca="1">IFERROR(__xludf.DUMMYFUNCTION("""COMPUTED_VALUE"""),44427)</f>
        <v>44427</v>
      </c>
      <c r="D4386" s="25" t="str">
        <f ca="1">IFERROR(__xludf.DUMMYFUNCTION("""COMPUTED_VALUE"""),"Movilidad")</f>
        <v>Movilidad</v>
      </c>
      <c r="E4386" s="25" t="str">
        <f ca="1">IFERROR(__xludf.DUMMYFUNCTION("""COMPUTED_VALUE"""),"Instituto de Desarrollo Urbano")</f>
        <v>Instituto de Desarrollo Urbano</v>
      </c>
      <c r="F4386" s="25" t="str">
        <f ca="1">IFERROR(__xludf.DUMMYFUNCTION("""COMPUTED_VALUE"""),"Hablar con el centro comercial Metrópolis para reconstruir el puente peatonal que ingrese al centro comercial, buscar la autorización de ellos. Grupo 7")</f>
        <v>Hablar con el centro comercial Metrópolis para reconstruir el puente peatonal que ingrese al centro comercial, buscar la autorización de ellos. Grupo 7</v>
      </c>
      <c r="G4386" s="25" t="str">
        <f ca="1">IFERROR(__xludf.DUMMYFUNCTION("""COMPUTED_VALUE"""),"99. Distrito")</f>
        <v>99. Distrito</v>
      </c>
      <c r="H4386" s="55">
        <f ca="1">IFERROR(__xludf.DUMMYFUNCTION("""COMPUTED_VALUE"""),44457)</f>
        <v>44457</v>
      </c>
      <c r="I4386" s="25"/>
      <c r="J4386" s="55" t="str">
        <f ca="1">IFERROR(__xludf.DUMMYFUNCTION("""COMPUTED_VALUE"""),"Alta")</f>
        <v>Alta</v>
      </c>
      <c r="K4386" s="25">
        <f ca="1">IFERROR(__xludf.DUMMYFUNCTION("""COMPUTED_VALUE"""),30)</f>
        <v>30</v>
      </c>
      <c r="L4386" s="62">
        <f ca="1">IFERROR(__xludf.DUMMYFUNCTION("""COMPUTED_VALUE"""),44776)</f>
        <v>44776</v>
      </c>
      <c r="M4386" s="25" t="str">
        <f ca="1">IFERROR(__xludf.DUMMYFUNCTION("""COMPUTED_VALUE"""),"Mediante memorando 20222050081423 el área de SGDU, remitió concepto en el que indica que se continúa con la ejecución de lo diseñado en el contrato de consultoría ya que el puente se diseñó se armonizo en su momento con el centro comercial y el estudio de"&amp;" tránsito sugirió dejar el puente, razón por la cual no se contempla ninguna reconstrucción del puente.")</f>
        <v>Mediante memorando 20222050081423 el área de SGDU, remitió concepto en el que indica que se continúa con la ejecución de lo diseñado en el contrato de consultoría ya que el puente se diseñó se armonizo en su momento con el centro comercial y el estudio de tránsito sugirió dejar el puente, razón por la cual no se contempla ninguna reconstrucción del puente.</v>
      </c>
      <c r="N4386" s="55">
        <f ca="1">IFERROR(__xludf.DUMMYFUNCTION("""COMPUTED_VALUE"""),44776)</f>
        <v>44776</v>
      </c>
      <c r="O4386" s="25" t="str">
        <f t="shared" ca="1" si="0"/>
        <v>Instituto de Desarrollo Urbano</v>
      </c>
      <c r="P4386" s="25" t="str">
        <f t="shared" si="2"/>
        <v/>
      </c>
      <c r="Q4386" s="25" t="str">
        <f ca="1">IFERROR(__xludf.DUMMYFUNCTION("""COMPUTED_VALUE"""),"Corto plazo")</f>
        <v>Corto plazo</v>
      </c>
      <c r="R4386" s="25"/>
      <c r="S4386" s="55"/>
      <c r="T4386" s="56"/>
      <c r="U4386" s="25"/>
      <c r="V4386" s="25"/>
      <c r="W4386" s="25"/>
      <c r="X4386" s="25"/>
      <c r="Y4386" s="25"/>
      <c r="Z4386" s="25"/>
    </row>
    <row r="4387" spans="1:26" ht="52.5" customHeight="1" x14ac:dyDescent="0.25">
      <c r="A4387" s="25" t="str">
        <f ca="1">IFERROR(__xludf.DUMMYFUNCTION("""COMPUTED_VALUE"""),"Movil185")</f>
        <v>Movil185</v>
      </c>
      <c r="B4387" s="25" t="str">
        <f ca="1">IFERROR(__xludf.DUMMYFUNCTION("""COMPUTED_VALUE"""),"Taller Avenida 68 ")</f>
        <v xml:space="preserve">Taller Avenida 68 </v>
      </c>
      <c r="C4387" s="55">
        <f ca="1">IFERROR(__xludf.DUMMYFUNCTION("""COMPUTED_VALUE"""),44427)</f>
        <v>44427</v>
      </c>
      <c r="D4387" s="25" t="str">
        <f ca="1">IFERROR(__xludf.DUMMYFUNCTION("""COMPUTED_VALUE"""),"Movilidad")</f>
        <v>Movilidad</v>
      </c>
      <c r="E4387" s="25" t="str">
        <f ca="1">IFERROR(__xludf.DUMMYFUNCTION("""COMPUTED_VALUE"""),"Instituto de Desarrollo Urbano")</f>
        <v>Instituto de Desarrollo Urbano</v>
      </c>
      <c r="F4387" s="25" t="str">
        <f ca="1">IFERROR(__xludf.DUMMYFUNCTION("""COMPUTED_VALUE"""),"Es necesario hacer un ejercicio de instrumentar bien los edificios (aledaños a las obras) en compañía de los expertos de idiger, para dejar evidencia de en qué estado está y qué pasa con la excavación  (no solo un acta de vecindad). grupo 9")</f>
        <v>Es necesario hacer un ejercicio de instrumentar bien los edificios (aledaños a las obras) en compañía de los expertos de idiger, para dejar evidencia de en qué estado está y qué pasa con la excavación  (no solo un acta de vecindad). grupo 9</v>
      </c>
      <c r="G4387" s="25" t="str">
        <f ca="1">IFERROR(__xludf.DUMMYFUNCTION("""COMPUTED_VALUE"""),"99. Distrito")</f>
        <v>99. Distrito</v>
      </c>
      <c r="H4387" s="55">
        <f ca="1">IFERROR(__xludf.DUMMYFUNCTION("""COMPUTED_VALUE"""),44457)</f>
        <v>44457</v>
      </c>
      <c r="I4387" s="25"/>
      <c r="J4387" s="55" t="str">
        <f ca="1">IFERROR(__xludf.DUMMYFUNCTION("""COMPUTED_VALUE"""),"Alta")</f>
        <v>Alta</v>
      </c>
      <c r="K4387" s="25">
        <f ca="1">IFERROR(__xludf.DUMMYFUNCTION("""COMPUTED_VALUE"""),30)</f>
        <v>30</v>
      </c>
      <c r="L4387" s="62">
        <f ca="1">IFERROR(__xludf.DUMMYFUNCTION("""COMPUTED_VALUE"""),44530)</f>
        <v>44530</v>
      </c>
      <c r="M4387" s="25" t="str">
        <f ca="1">IFERROR(__xludf.DUMMYFUNCTION("""COMPUTED_VALUE"""),"Mediante comunicación 20213461467221 de 04-10-2021 se le solicitó a la interventoría información sobre los trámites adelantados con el IDIGER e definición del tipo de instrumentación a implementar para el debido seguimiento de las construcciones en relaci"&amp;"ón.
 La interventoría da respuesta mediante radicado 20215261739312 de 22-10-2021, remitiendo la trazabilidad realizada por el Contratista o por la Interventoría a los tres predios en peligro de colapso. De igual manera indican que la medición a estos pre"&amp;"dios se está realizando con inclinómetros desde el 11-10-2021.
  Por otra parte el contratista solicitó a la Entidad una reunión con el IDIGER, la cual se gestionó a través de la Dirección Técnica de Coordinación Interinstitucional, el día jueves 4 de nov"&amp;"iembre de 2021 """"MESA DE TRABAJO IDIGER - IDU PREDIOS AMENAZA DE COLAPSO""""; en la cual se informó por parte del IDIGER que esta entidad no es una entidad ejecutora, por lo cual, solo se realizó verificación y revisión visual in-situ de los edificios; "&amp;"los informes son enviados a la Alcaldía Local de chapinero para su conocimiento y seguimiento según su competencia.")</f>
        <v>Mediante comunicación 20213461467221 de 04-10-2021 se le solicitó a la interventoría información sobre los trámites adelantados con el IDIGER e definición del tipo de instrumentación a implementar para el debido seguimiento de las construcciones en relación.
 La interventoría da respuesta mediante radicado 20215261739312 de 22-10-2021, remitiendo la trazabilidad realizada por el Contratista o por la Interventoría a los tres predios en peligro de colapso. De igual manera indican que la medición a estos predios se está realizando con inclinómetros desde el 11-10-2021.
  Por otra parte el contratista solicitó a la Entidad una reunión con el IDIGER, la cual se gestionó a través de la Dirección Técnica de Coordinación Interinstitucional, el día jueves 4 de noviembre de 2021 ""MESA DE TRABAJO IDIGER - IDU PREDIOS AMENAZA DE COLAPSO""; en la cual se informó por parte del IDIGER que esta entidad no es una entidad ejecutora, por lo cual, solo se realizó verificación y revisión visual in-situ de los edificios; los informes son enviados a la Alcaldía Local de chapinero para su conocimiento y seguimiento según su competencia.</v>
      </c>
      <c r="N4387" s="55">
        <f ca="1">IFERROR(__xludf.DUMMYFUNCTION("""COMPUTED_VALUE"""),44530)</f>
        <v>44530</v>
      </c>
      <c r="O4387" s="25" t="str">
        <f t="shared" ca="1" si="0"/>
        <v>Instituto de Desarrollo Urbano</v>
      </c>
      <c r="P4387" s="25" t="str">
        <f t="shared" si="2"/>
        <v/>
      </c>
      <c r="Q4387" s="25" t="str">
        <f ca="1">IFERROR(__xludf.DUMMYFUNCTION("""COMPUTED_VALUE"""),"Corto plazo")</f>
        <v>Corto plazo</v>
      </c>
      <c r="R4387" s="25"/>
      <c r="S4387" s="55"/>
      <c r="T4387" s="56"/>
      <c r="U4387" s="25"/>
      <c r="V4387" s="25"/>
      <c r="W4387" s="25"/>
      <c r="X4387" s="25"/>
      <c r="Y4387" s="25"/>
      <c r="Z4387" s="25"/>
    </row>
    <row r="4388" spans="1:26" ht="52.5" customHeight="1" x14ac:dyDescent="0.25">
      <c r="A4388" s="25" t="str">
        <f ca="1">IFERROR(__xludf.DUMMYFUNCTION("""COMPUTED_VALUE"""),"Movil186")</f>
        <v>Movil186</v>
      </c>
      <c r="B4388" s="25" t="str">
        <f ca="1">IFERROR(__xludf.DUMMYFUNCTION("""COMPUTED_VALUE"""),"Taller Avenida 68 ")</f>
        <v xml:space="preserve">Taller Avenida 68 </v>
      </c>
      <c r="C4388" s="55">
        <f ca="1">IFERROR(__xludf.DUMMYFUNCTION("""COMPUTED_VALUE"""),44427)</f>
        <v>44427</v>
      </c>
      <c r="D4388" s="25" t="str">
        <f ca="1">IFERROR(__xludf.DUMMYFUNCTION("""COMPUTED_VALUE"""),"Movilidad")</f>
        <v>Movilidad</v>
      </c>
      <c r="E4388" s="25" t="str">
        <f ca="1">IFERROR(__xludf.DUMMYFUNCTION("""COMPUTED_VALUE"""),"Secretaría Distrital de Movilidad")</f>
        <v>Secretaría Distrital de Movilidad</v>
      </c>
      <c r="F4388" s="25" t="str">
        <f ca="1">IFERROR(__xludf.DUMMYFUNCTION("""COMPUTED_VALUE"""),"A finales de septiembre se hará una nueva reunión con cada Plan de Manejo del Tráfico aprobado y cada contratista con su “fuerza desplegada”.")</f>
        <v>A finales de septiembre se hará una nueva reunión con cada Plan de Manejo del Tráfico aprobado y cada contratista con su “fuerza desplegada”.</v>
      </c>
      <c r="G4388" s="25" t="str">
        <f ca="1">IFERROR(__xludf.DUMMYFUNCTION("""COMPUTED_VALUE"""),"99. Distrito")</f>
        <v>99. Distrito</v>
      </c>
      <c r="H4388" s="55">
        <f ca="1">IFERROR(__xludf.DUMMYFUNCTION("""COMPUTED_VALUE"""),44457)</f>
        <v>44457</v>
      </c>
      <c r="I4388" s="25"/>
      <c r="J4388" s="55" t="str">
        <f ca="1">IFERROR(__xludf.DUMMYFUNCTION("""COMPUTED_VALUE"""),"Alta")</f>
        <v>Alta</v>
      </c>
      <c r="K4388" s="25">
        <f ca="1">IFERROR(__xludf.DUMMYFUNCTION("""COMPUTED_VALUE"""),30)</f>
        <v>30</v>
      </c>
      <c r="L4388" s="62">
        <f ca="1">IFERROR(__xludf.DUMMYFUNCTION("""COMPUTED_VALUE"""),44502)</f>
        <v>44502</v>
      </c>
      <c r="M4388" s="25" t="str">
        <f ca="1">IFERROR(__xludf.DUMMYFUNCTION("""COMPUTED_VALUE"""),"02/11/2021
Se continúa con los cierres actuales de inicio de obra de Grupo 3, Grupo 4, Grupo 8 y 9 
De acuerdo con lo manifestado por la interventoría se tiene previsto inicio de cierre de Grupo 1 el 16 de noviembre previo verificación de señalización
De "&amp;"acuerdo con lo manifestado por la interventoría se tiene previsto inicio de cierre de Grupo 2 a mitad de noviembre previa verificación de señalización.
Grupo 6: Sigue en atención de observaciones por parte del contratista
26/10/2021
Se da inicio el 22 de"&amp;" octubre al PMT cierra sobre la Autopista Norte con Av. Calle 100 para construcción de puente peatonal que realizará la conexión virtual entre las dos troncales. 
Se realiza mesa de trabajo el 22 de octubre con Grupo 6 para aclaración de observaciones ate"&amp;"nción por parte del contratista
19/10/2021
Se da aprobación a PMT 3 del grupo 9 inicio previsto para el 22 de octubre de 2021 cierre carriles TM S.A. Autopista Norte
Se da viabilidad al PMT de inicio de Grupo 5, se emiten observaciones al PMT inicio de g"&amp;"rupo 6 el 14 de octubre
05/10/2021
Se da inicio al PMT 1 del grupo 8 el pasado 4 de octubre de 2021
Continúa pendiente la definición de visualizaciones G5 y G6: El contratista radica el 30 de septiembre en revisión
28/09/2021
Se dio inicio al PMT 2 del "&amp;"grupo 9 el pasado 27 de septiembre de 2021
Respecto a las visualizaciones está pendiente grupo 5 el contratista presenta una nueva propuesta la cual está en evaluación, Grupo 6: está pendiente la radicación por parte del contratista 
21/09/2021
Respecto"&amp;" a las visualizaciones pendientes se informa Grupo 5: Se continúan con mesas de trabajo para definición del modelo. Grupo 6: sigue pendiente entrega de subsanación de PMT por parte del contratista
14/09/2021
Respecto a lo reportado la semana anterior, s"&amp;"e inició con el PMT de grupo 4 el 8 de septiembre de 2021.
Respecto a las visualizaciones pendientes se informa Grupo 5: No cumplio con la entrega ajustada por parte del contratista. Grupo 6: No se cumplio con la entrega por parte del contratista
8/09/20"&amp;"21
Respecto a lo reportado la semana anterior, se dio viabilidad al PMT del grupo 8 el pasado 2 de septiembre, teniendo así la viabilidad de los grupos 1,2,3,4,7,8 y 9.
Se continúa con las mesas de trabajo para dar viabilidad al PMT grupo 5: Se tuvo reu"&amp;"nión el 7 de septiembre donde el contratista presentó propuesta no obstante se realizaron observaciones por parte de la SDM, el contratista quedo de informar tan pronto las tengan listas para realizar nuevamente mesa de trabajo.  Grupo 6: El contratista m"&amp;"anifiesta entrega de ajustes al PMT el 10 de septiembre y entrega la próxima semana de propuesta de desvío requerida por el IDU. 
Se inició obra  e implementación de los PMT el 29 de agosto, el 30 de agosto  y 8 de septiembre de los Grupo 3, 9 y 4 respec"&amp;"tivamente.
1/09/2021
Se cuenta con viabilización de los PMT de inicio para los grupos 1,2,3,4,7 y 9, para los grupos faltantes se informa que: Grupo 5: Se encuentran en mesas de trabajo para definición de propuesta de PMT, Grupo 6  se tienen avances en "&amp;"mesas de trabajo en sitio para definición de propuestas de PMT de inicio para el grupo 6 (visita realizada el 30 de agosto de 2021 con el Director del IDU), Grupo 8: se espera sacar entre la primera y segunda semana de septiembre la aprobación de la viabi"&amp;"lidad. Adicionalmente se cuentan ya con PMT aprobado inicial de intervención en calzada los grupos 3 y 9 ")</f>
        <v xml:space="preserve">02/11/2021
Se continúa con los cierres actuales de inicio de obra de Grupo 3, Grupo 4, Grupo 8 y 9 
De acuerdo con lo manifestado por la interventoría se tiene previsto inicio de cierre de Grupo 1 el 16 de noviembre previo verificación de señalización
De acuerdo con lo manifestado por la interventoría se tiene previsto inicio de cierre de Grupo 2 a mitad de noviembre previa verificación de señalización.
Grupo 6: Sigue en atención de observaciones por parte del contratista
26/10/2021
Se da inicio el 22 de octubre al PMT cierra sobre la Autopista Norte con Av. Calle 100 para construcción de puente peatonal que realizará la conexión virtual entre las dos troncales. 
Se realiza mesa de trabajo el 22 de octubre con Grupo 6 para aclaración de observaciones atención por parte del contratista
19/10/2021
Se da aprobación a PMT 3 del grupo 9 inicio previsto para el 22 de octubre de 2021 cierre carriles TM S.A. Autopista Norte
Se da viabilidad al PMT de inicio de Grupo 5, se emiten observaciones al PMT inicio de grupo 6 el 14 de octubre
05/10/2021
Se da inicio al PMT 1 del grupo 8 el pasado 4 de octubre de 2021
Continúa pendiente la definición de visualizaciones G5 y G6: El contratista radica el 30 de septiembre en revisión
28/09/2021
Se dio inicio al PMT 2 del grupo 9 el pasado 27 de septiembre de 2021
Respecto a las visualizaciones está pendiente grupo 5 el contratista presenta una nueva propuesta la cual está en evaluación, Grupo 6: está pendiente la radicación por parte del contratista 
21/09/2021
Respecto a las visualizaciones pendientes se informa Grupo 5: Se continúan con mesas de trabajo para definición del modelo. Grupo 6: sigue pendiente entrega de subsanación de PMT por parte del contratista
14/09/2021
Respecto a lo reportado la semana anterior, se inició con el PMT de grupo 4 el 8 de septiembre de 2021.
Respecto a las visualizaciones pendientes se informa Grupo 5: No cumplio con la entrega ajustada por parte del contratista. Grupo 6: No se cumplio con la entrega por parte del contratista
8/09/2021
Respecto a lo reportado la semana anterior, se dio viabilidad al PMT del grupo 8 el pasado 2 de septiembre, teniendo así la viabilidad de los grupos 1,2,3,4,7,8 y 9.
Se continúa con las mesas de trabajo para dar viabilidad al PMT grupo 5: Se tuvo reunión el 7 de septiembre donde el contratista presentó propuesta no obstante se realizaron observaciones por parte de la SDM, el contratista quedo de informar tan pronto las tengan listas para realizar nuevamente mesa de trabajo.  Grupo 6: El contratista manifiesta entrega de ajustes al PMT el 10 de septiembre y entrega la próxima semana de propuesta de desvío requerida por el IDU. 
Se inició obra  e implementación de los PMT el 29 de agosto, el 30 de agosto  y 8 de septiembre de los Grupo 3, 9 y 4 respectivamente.
1/09/2021
Se cuenta con viabilización de los PMT de inicio para los grupos 1,2,3,4,7 y 9, para los grupos faltantes se informa que: Grupo 5: Se encuentran en mesas de trabajo para definición de propuesta de PMT, Grupo 6  se tienen avances en mesas de trabajo en sitio para definición de propuestas de PMT de inicio para el grupo 6 (visita realizada el 30 de agosto de 2021 con el Director del IDU), Grupo 8: se espera sacar entre la primera y segunda semana de septiembre la aprobación de la viabilidad. Adicionalmente se cuentan ya con PMT aprobado inicial de intervención en calzada los grupos 3 y 9 </v>
      </c>
      <c r="N4388" s="55">
        <f ca="1">IFERROR(__xludf.DUMMYFUNCTION("""COMPUTED_VALUE"""),44502)</f>
        <v>44502</v>
      </c>
      <c r="O4388" s="25" t="str">
        <f t="shared" ca="1" si="0"/>
        <v>Secretaría Distrital de Movilidad</v>
      </c>
      <c r="P4388" s="25" t="str">
        <f t="shared" si="2"/>
        <v/>
      </c>
      <c r="Q4388" s="25" t="str">
        <f ca="1">IFERROR(__xludf.DUMMYFUNCTION("""COMPUTED_VALUE"""),"Corto plazo")</f>
        <v>Corto plazo</v>
      </c>
      <c r="R4388" s="25"/>
      <c r="S4388" s="55"/>
      <c r="T4388" s="56"/>
      <c r="U4388" s="25"/>
      <c r="V4388" s="25"/>
      <c r="W4388" s="25"/>
      <c r="X4388" s="25"/>
      <c r="Y4388" s="25"/>
      <c r="Z4388" s="25"/>
    </row>
    <row r="4389" spans="1:26" ht="52.5" customHeight="1" x14ac:dyDescent="0.25">
      <c r="A4389" s="25" t="str">
        <f ca="1">IFERROR(__xludf.DUMMYFUNCTION("""COMPUTED_VALUE"""),"Movil187")</f>
        <v>Movil187</v>
      </c>
      <c r="B4389" s="25" t="str">
        <f ca="1">IFERROR(__xludf.DUMMYFUNCTION("""COMPUTED_VALUE"""),"Taller Avenida 68 ")</f>
        <v xml:space="preserve">Taller Avenida 68 </v>
      </c>
      <c r="C4389" s="55">
        <f ca="1">IFERROR(__xludf.DUMMYFUNCTION("""COMPUTED_VALUE"""),44427)</f>
        <v>44427</v>
      </c>
      <c r="D4389" s="25" t="str">
        <f ca="1">IFERROR(__xludf.DUMMYFUNCTION("""COMPUTED_VALUE"""),"Movilidad")</f>
        <v>Movilidad</v>
      </c>
      <c r="E4389" s="25" t="str">
        <f ca="1">IFERROR(__xludf.DUMMYFUNCTION("""COMPUTED_VALUE"""),"Secretaría Distrital de Movilidad")</f>
        <v>Secretaría Distrital de Movilidad</v>
      </c>
      <c r="F4389" s="25" t="str">
        <f ca="1">IFERROR(__xludf.DUMMYFUNCTION("""COMPUTED_VALUE"""),"Se debe realizar ruedas de prensa, para que las personas tengan conocimiento de que lo que se está haciendo, informando avances de obras, talas, empleos generados etc.")</f>
        <v>Se debe realizar ruedas de prensa, para que las personas tengan conocimiento de que lo que se está haciendo, informando avances de obras, talas, empleos generados etc.</v>
      </c>
      <c r="G4389" s="25" t="str">
        <f ca="1">IFERROR(__xludf.DUMMYFUNCTION("""COMPUTED_VALUE"""),"99. Distrito")</f>
        <v>99. Distrito</v>
      </c>
      <c r="H4389" s="55">
        <f ca="1">IFERROR(__xludf.DUMMYFUNCTION("""COMPUTED_VALUE"""),44457)</f>
        <v>44457</v>
      </c>
      <c r="I4389" s="25"/>
      <c r="J4389" s="55" t="str">
        <f ca="1">IFERROR(__xludf.DUMMYFUNCTION("""COMPUTED_VALUE"""),"Alta")</f>
        <v>Alta</v>
      </c>
      <c r="K4389" s="25">
        <f ca="1">IFERROR(__xludf.DUMMYFUNCTION("""COMPUTED_VALUE"""),30)</f>
        <v>30</v>
      </c>
      <c r="L4389" s="62">
        <f ca="1">IFERROR(__xludf.DUMMYFUNCTION("""COMPUTED_VALUE"""),44469)</f>
        <v>44469</v>
      </c>
      <c r="M4389" s="25" t="str">
        <f ca="1">IFERROR(__xludf.DUMMYFUNCTION("""COMPUTED_VALUE"""),"Se realizará rueda de prensa una vez se levante la medida cautelar.")</f>
        <v>Se realizará rueda de prensa una vez se levante la medida cautelar.</v>
      </c>
      <c r="N4389" s="55">
        <f ca="1">IFERROR(__xludf.DUMMYFUNCTION("""COMPUTED_VALUE"""),44469)</f>
        <v>44469</v>
      </c>
      <c r="O4389" s="25" t="str">
        <f t="shared" ca="1" si="0"/>
        <v>Secretaría Distrital de Movilidad</v>
      </c>
      <c r="P4389" s="25" t="str">
        <f t="shared" si="2"/>
        <v/>
      </c>
      <c r="Q4389" s="25" t="str">
        <f ca="1">IFERROR(__xludf.DUMMYFUNCTION("""COMPUTED_VALUE"""),"Corto plazo")</f>
        <v>Corto plazo</v>
      </c>
      <c r="R4389" s="25"/>
      <c r="S4389" s="55"/>
      <c r="T4389" s="56"/>
      <c r="U4389" s="25"/>
      <c r="V4389" s="25"/>
      <c r="W4389" s="25"/>
      <c r="X4389" s="25"/>
      <c r="Y4389" s="25"/>
      <c r="Z4389" s="25"/>
    </row>
    <row r="4390" spans="1:26" ht="52.5" customHeight="1" x14ac:dyDescent="0.25">
      <c r="A4390" s="25" t="str">
        <f ca="1">IFERROR(__xludf.DUMMYFUNCTION("""COMPUTED_VALUE"""),"Movil188")</f>
        <v>Movil188</v>
      </c>
      <c r="B4390" s="25" t="str">
        <f ca="1">IFERROR(__xludf.DUMMYFUNCTION("""COMPUTED_VALUE"""),"Taller Av. 68")</f>
        <v>Taller Av. 68</v>
      </c>
      <c r="C4390" s="55">
        <f ca="1">IFERROR(__xludf.DUMMYFUNCTION("""COMPUTED_VALUE"""),44427)</f>
        <v>44427</v>
      </c>
      <c r="D4390" s="25" t="str">
        <f ca="1">IFERROR(__xludf.DUMMYFUNCTION("""COMPUTED_VALUE"""),"Movilidad")</f>
        <v>Movilidad</v>
      </c>
      <c r="E4390" s="25" t="str">
        <f ca="1">IFERROR(__xludf.DUMMYFUNCTION("""COMPUTED_VALUE"""),"Instituto de Desarrollo Urbano")</f>
        <v>Instituto de Desarrollo Urbano</v>
      </c>
      <c r="F4390" s="25" t="str">
        <f ca="1">IFERROR(__xludf.DUMMYFUNCTION("""COMPUTED_VALUE"""),"Tramitar la solicitud ante la ETB del grupo 4, revisar la entrega del predio del plan parcial,")</f>
        <v>Tramitar la solicitud ante la ETB del grupo 4, revisar la entrega del predio del plan parcial,</v>
      </c>
      <c r="G4390" s="25" t="str">
        <f ca="1">IFERROR(__xludf.DUMMYFUNCTION("""COMPUTED_VALUE"""),"99. Distrito")</f>
        <v>99. Distrito</v>
      </c>
      <c r="H4390" s="55">
        <f ca="1">IFERROR(__xludf.DUMMYFUNCTION("""COMPUTED_VALUE"""),44457)</f>
        <v>44457</v>
      </c>
      <c r="I4390" s="25"/>
      <c r="J4390" s="55" t="str">
        <f ca="1">IFERROR(__xludf.DUMMYFUNCTION("""COMPUTED_VALUE"""),"Alta")</f>
        <v>Alta</v>
      </c>
      <c r="K4390" s="25">
        <f ca="1">IFERROR(__xludf.DUMMYFUNCTION("""COMPUTED_VALUE"""),30)</f>
        <v>30</v>
      </c>
      <c r="L4390" s="62">
        <f ca="1">IFERROR(__xludf.DUMMYFUNCTION("""COMPUTED_VALUE"""),44776)</f>
        <v>44776</v>
      </c>
      <c r="M4390" s="25" t="str">
        <f ca="1">IFERROR(__xludf.DUMMYFUNCTION("""COMPUTED_VALUE"""),"En el grupo 4, el único plan parcial es Urban Salitre de Ospinas S.A. el cual tiene el RT 51689 y ya fue entregado. 
De igual manera,  el desarrollo de constructora Bolívar es el que colinda con el Canal San Francisco con RT 51947 el cual fue entregado e"&amp;"l pasado 28 de junio.")</f>
        <v>En el grupo 4, el único plan parcial es Urban Salitre de Ospinas S.A. el cual tiene el RT 51689 y ya fue entregado. 
De igual manera,  el desarrollo de constructora Bolívar es el que colinda con el Canal San Francisco con RT 51947 el cual fue entregado el pasado 28 de junio.</v>
      </c>
      <c r="N4390" s="55">
        <f ca="1">IFERROR(__xludf.DUMMYFUNCTION("""COMPUTED_VALUE"""),44776)</f>
        <v>44776</v>
      </c>
      <c r="O4390" s="25" t="str">
        <f t="shared" ca="1" si="0"/>
        <v>Instituto de Desarrollo Urbano</v>
      </c>
      <c r="P4390" s="25" t="str">
        <f t="shared" si="2"/>
        <v/>
      </c>
      <c r="Q4390" s="25" t="str">
        <f ca="1">IFERROR(__xludf.DUMMYFUNCTION("""COMPUTED_VALUE"""),"Corto plazo")</f>
        <v>Corto plazo</v>
      </c>
      <c r="R4390" s="25"/>
      <c r="S4390" s="55"/>
      <c r="T4390" s="56"/>
      <c r="U4390" s="25"/>
      <c r="V4390" s="25"/>
      <c r="W4390" s="25"/>
      <c r="X4390" s="25"/>
      <c r="Y4390" s="25"/>
      <c r="Z4390" s="25"/>
    </row>
    <row r="4391" spans="1:26" ht="52.5" customHeight="1" x14ac:dyDescent="0.25">
      <c r="A4391" s="25" t="str">
        <f ca="1">IFERROR(__xludf.DUMMYFUNCTION("""COMPUTED_VALUE"""),"Movil189")</f>
        <v>Movil189</v>
      </c>
      <c r="B4391" s="25" t="str">
        <f ca="1">IFERROR(__xludf.DUMMYFUNCTION("""COMPUTED_VALUE"""),"Taller Av. 68")</f>
        <v>Taller Av. 68</v>
      </c>
      <c r="C4391" s="55">
        <f ca="1">IFERROR(__xludf.DUMMYFUNCTION("""COMPUTED_VALUE"""),44427)</f>
        <v>44427</v>
      </c>
      <c r="D4391" s="25" t="str">
        <f ca="1">IFERROR(__xludf.DUMMYFUNCTION("""COMPUTED_VALUE"""),"Movilidad")</f>
        <v>Movilidad</v>
      </c>
      <c r="E4391" s="25" t="str">
        <f ca="1">IFERROR(__xludf.DUMMYFUNCTION("""COMPUTED_VALUE"""),"Instituto de Desarrollo Urbano")</f>
        <v>Instituto de Desarrollo Urbano</v>
      </c>
      <c r="F4391" s="25" t="str">
        <f ca="1">IFERROR(__xludf.DUMMYFUNCTION("""COMPUTED_VALUE"""),"Transmilenio debe enviar respuesta de si se puede trabajar 24 horas en el deprimido de la Calle 13")</f>
        <v>Transmilenio debe enviar respuesta de si se puede trabajar 24 horas en el deprimido de la Calle 13</v>
      </c>
      <c r="G4391" s="25" t="str">
        <f ca="1">IFERROR(__xludf.DUMMYFUNCTION("""COMPUTED_VALUE"""),"99. Distrito")</f>
        <v>99. Distrito</v>
      </c>
      <c r="H4391" s="55">
        <f ca="1">IFERROR(__xludf.DUMMYFUNCTION("""COMPUTED_VALUE"""),44457)</f>
        <v>44457</v>
      </c>
      <c r="I4391" s="25"/>
      <c r="J4391" s="55" t="str">
        <f ca="1">IFERROR(__xludf.DUMMYFUNCTION("""COMPUTED_VALUE"""),"Alta")</f>
        <v>Alta</v>
      </c>
      <c r="K4391" s="25">
        <f ca="1">IFERROR(__xludf.DUMMYFUNCTION("""COMPUTED_VALUE"""),30)</f>
        <v>30</v>
      </c>
      <c r="L4391" s="62">
        <f ca="1">IFERROR(__xludf.DUMMYFUNCTION("""COMPUTED_VALUE"""),44776)</f>
        <v>44776</v>
      </c>
      <c r="M4391" s="25" t="str">
        <f ca="1">IFERROR(__xludf.DUMMYFUNCTION("""COMPUTED_VALUE"""),"Se definió cierre de paso peatonal con el cierre de la operación de tmsa. Se está revisando matriz multicriterio en la que se identificará si se justifica el paso semafórico dependiendo del volumen de peatones, TMSA debe definir estrategias de seguridad, "&amp;"el cuidado de su infraestructura y de los peatones, como es realizado en los puentes peatonales.
Se definió que al cerrar el deprimido, se va a dejar el cruce semafórico para los peatones, dando así el permiso para trabajar 24 horas.")</f>
        <v>Se definió cierre de paso peatonal con el cierre de la operación de tmsa. Se está revisando matriz multicriterio en la que se identificará si se justifica el paso semafórico dependiendo del volumen de peatones, TMSA debe definir estrategias de seguridad, el cuidado de su infraestructura y de los peatones, como es realizado en los puentes peatonales.
Se definió que al cerrar el deprimido, se va a dejar el cruce semafórico para los peatones, dando así el permiso para trabajar 24 horas.</v>
      </c>
      <c r="N4391" s="55">
        <f ca="1">IFERROR(__xludf.DUMMYFUNCTION("""COMPUTED_VALUE"""),44776)</f>
        <v>44776</v>
      </c>
      <c r="O4391" s="25" t="str">
        <f t="shared" ca="1" si="0"/>
        <v>Instituto de Desarrollo Urbano</v>
      </c>
      <c r="P4391" s="25" t="str">
        <f t="shared" si="2"/>
        <v/>
      </c>
      <c r="Q4391" s="25" t="str">
        <f ca="1">IFERROR(__xludf.DUMMYFUNCTION("""COMPUTED_VALUE"""),"Corto plazo")</f>
        <v>Corto plazo</v>
      </c>
      <c r="R4391" s="25"/>
      <c r="S4391" s="55"/>
      <c r="T4391" s="56"/>
      <c r="U4391" s="25"/>
      <c r="V4391" s="25"/>
      <c r="W4391" s="25"/>
      <c r="X4391" s="25"/>
      <c r="Y4391" s="25"/>
      <c r="Z4391" s="25"/>
    </row>
    <row r="4392" spans="1:26" ht="52.5" customHeight="1" x14ac:dyDescent="0.25">
      <c r="A4392" s="25" t="str">
        <f ca="1">IFERROR(__xludf.DUMMYFUNCTION("""COMPUTED_VALUE"""),"Movil190")</f>
        <v>Movil190</v>
      </c>
      <c r="B4392" s="25" t="str">
        <f ca="1">IFERROR(__xludf.DUMMYFUNCTION("""COMPUTED_VALUE"""),"Taller Av. 68")</f>
        <v>Taller Av. 68</v>
      </c>
      <c r="C4392" s="55">
        <f ca="1">IFERROR(__xludf.DUMMYFUNCTION("""COMPUTED_VALUE"""),44427)</f>
        <v>44427</v>
      </c>
      <c r="D4392" s="25" t="str">
        <f ca="1">IFERROR(__xludf.DUMMYFUNCTION("""COMPUTED_VALUE"""),"Movilidad")</f>
        <v>Movilidad</v>
      </c>
      <c r="E4392" s="25" t="str">
        <f ca="1">IFERROR(__xludf.DUMMYFUNCTION("""COMPUTED_VALUE"""),"Instituto de Desarrollo Urbano")</f>
        <v>Instituto de Desarrollo Urbano</v>
      </c>
      <c r="F4392" s="25" t="str">
        <f ca="1">IFERROR(__xludf.DUMMYFUNCTION("""COMPUTED_VALUE"""),"Hacer un recorrido a finales de septiembre para revisar los avances de obras")</f>
        <v>Hacer un recorrido a finales de septiembre para revisar los avances de obras</v>
      </c>
      <c r="G4392" s="25" t="str">
        <f ca="1">IFERROR(__xludf.DUMMYFUNCTION("""COMPUTED_VALUE"""),"99. Distrito")</f>
        <v>99. Distrito</v>
      </c>
      <c r="H4392" s="55">
        <f ca="1">IFERROR(__xludf.DUMMYFUNCTION("""COMPUTED_VALUE"""),44457)</f>
        <v>44457</v>
      </c>
      <c r="I4392" s="25"/>
      <c r="J4392" s="55" t="str">
        <f ca="1">IFERROR(__xludf.DUMMYFUNCTION("""COMPUTED_VALUE"""),"Alta")</f>
        <v>Alta</v>
      </c>
      <c r="K4392" s="25">
        <f ca="1">IFERROR(__xludf.DUMMYFUNCTION("""COMPUTED_VALUE"""),30)</f>
        <v>30</v>
      </c>
      <c r="L4392" s="62">
        <f ca="1">IFERROR(__xludf.DUMMYFUNCTION("""COMPUTED_VALUE"""),44623)</f>
        <v>44623</v>
      </c>
      <c r="M4392" s="25" t="str">
        <f ca="1">IFERROR(__xludf.DUMMYFUNCTION("""COMPUTED_VALUE"""),"Este recorrido se hizo en septiembre 2021")</f>
        <v>Este recorrido se hizo en septiembre 2021</v>
      </c>
      <c r="N4392" s="55">
        <f ca="1">IFERROR(__xludf.DUMMYFUNCTION("""COMPUTED_VALUE"""),44623)</f>
        <v>44623</v>
      </c>
      <c r="O4392" s="25" t="str">
        <f t="shared" ca="1" si="0"/>
        <v>Instituto de Desarrollo Urbano</v>
      </c>
      <c r="P4392" s="25" t="str">
        <f t="shared" si="2"/>
        <v/>
      </c>
      <c r="Q4392" s="25" t="str">
        <f ca="1">IFERROR(__xludf.DUMMYFUNCTION("""COMPUTED_VALUE"""),"Corto plazo")</f>
        <v>Corto plazo</v>
      </c>
      <c r="R4392" s="25"/>
      <c r="S4392" s="55"/>
      <c r="T4392" s="56"/>
      <c r="U4392" s="25"/>
      <c r="V4392" s="25"/>
      <c r="W4392" s="25"/>
      <c r="X4392" s="25"/>
      <c r="Y4392" s="25"/>
      <c r="Z4392" s="25"/>
    </row>
    <row r="4393" spans="1:26" ht="52.5" customHeight="1" x14ac:dyDescent="0.25">
      <c r="A4393" s="25" t="str">
        <f ca="1">IFERROR(__xludf.DUMMYFUNCTION("""COMPUTED_VALUE"""),"Movil191")</f>
        <v>Movil191</v>
      </c>
      <c r="B4393" s="25" t="str">
        <f ca="1">IFERROR(__xludf.DUMMYFUNCTION("""COMPUTED_VALUE"""),"Reunión obras IDU- Acueducto")</f>
        <v>Reunión obras IDU- Acueducto</v>
      </c>
      <c r="C4393" s="55">
        <f ca="1">IFERROR(__xludf.DUMMYFUNCTION("""COMPUTED_VALUE"""),44425)</f>
        <v>44425</v>
      </c>
      <c r="D4393" s="25" t="str">
        <f ca="1">IFERROR(__xludf.DUMMYFUNCTION("""COMPUTED_VALUE"""),"Movilidad")</f>
        <v>Movilidad</v>
      </c>
      <c r="E4393" s="25" t="str">
        <f ca="1">IFERROR(__xludf.DUMMYFUNCTION("""COMPUTED_VALUE"""),"Instituto de Desarrollo Urbano")</f>
        <v>Instituto de Desarrollo Urbano</v>
      </c>
      <c r="F4393" s="25" t="str">
        <f ca="1">IFERROR(__xludf.DUMMYFUNCTION("""COMPUTED_VALUE"""),"Junta de Infraestructura:
Cada 6 meses organizar sesión con IDU y EAAB para actualizar y acordar el plan de obras a adelantar")</f>
        <v>Junta de Infraestructura:
Cada 6 meses organizar sesión con IDU y EAAB para actualizar y acordar el plan de obras a adelantar</v>
      </c>
      <c r="G4393" s="25" t="str">
        <f ca="1">IFERROR(__xludf.DUMMYFUNCTION("""COMPUTED_VALUE"""),"99. Distrito")</f>
        <v>99. Distrito</v>
      </c>
      <c r="H4393" s="55">
        <f ca="1">IFERROR(__xludf.DUMMYFUNCTION("""COMPUTED_VALUE"""),44455)</f>
        <v>44455</v>
      </c>
      <c r="I4393" s="25"/>
      <c r="J4393" s="55" t="str">
        <f ca="1">IFERROR(__xludf.DUMMYFUNCTION("""COMPUTED_VALUE"""),"Alta")</f>
        <v>Alta</v>
      </c>
      <c r="K4393" s="25">
        <f ca="1">IFERROR(__xludf.DUMMYFUNCTION("""COMPUTED_VALUE"""),30)</f>
        <v>30</v>
      </c>
      <c r="L4393" s="62">
        <f ca="1">IFERROR(__xludf.DUMMYFUNCTION("""COMPUTED_VALUE"""),44456)</f>
        <v>44456</v>
      </c>
      <c r="M4393" s="25" t="str">
        <f ca="1">IFERROR(__xludf.DUMMYFUNCTION("""COMPUTED_VALUE"""),"Se tomará en cuenta. ")</f>
        <v xml:space="preserve">Se tomará en cuenta. </v>
      </c>
      <c r="N4393" s="55">
        <f ca="1">IFERROR(__xludf.DUMMYFUNCTION("""COMPUTED_VALUE"""),44456)</f>
        <v>44456</v>
      </c>
      <c r="O4393" s="25" t="str">
        <f t="shared" ca="1" si="0"/>
        <v>Instituto de Desarrollo Urbano</v>
      </c>
      <c r="P4393" s="25" t="str">
        <f t="shared" si="2"/>
        <v/>
      </c>
      <c r="Q4393" s="25" t="str">
        <f ca="1">IFERROR(__xludf.DUMMYFUNCTION("""COMPUTED_VALUE"""),"Corto plazo")</f>
        <v>Corto plazo</v>
      </c>
      <c r="R4393" s="25"/>
      <c r="S4393" s="55"/>
      <c r="T4393" s="56"/>
      <c r="U4393" s="25"/>
      <c r="V4393" s="25"/>
      <c r="W4393" s="25"/>
      <c r="X4393" s="25"/>
      <c r="Y4393" s="25"/>
      <c r="Z4393" s="25"/>
    </row>
    <row r="4394" spans="1:26" ht="52.5" customHeight="1" x14ac:dyDescent="0.25">
      <c r="A4394" s="25" t="str">
        <f ca="1">IFERROR(__xludf.DUMMYFUNCTION("""COMPUTED_VALUE"""),"Movil192")</f>
        <v>Movil192</v>
      </c>
      <c r="B4394" s="25" t="str">
        <f ca="1">IFERROR(__xludf.DUMMYFUNCTION("""COMPUTED_VALUE"""),"Reunión obras IDU- Acueducto")</f>
        <v>Reunión obras IDU- Acueducto</v>
      </c>
      <c r="C4394" s="55">
        <f ca="1">IFERROR(__xludf.DUMMYFUNCTION("""COMPUTED_VALUE"""),44425)</f>
        <v>44425</v>
      </c>
      <c r="D4394" s="25" t="str">
        <f ca="1">IFERROR(__xludf.DUMMYFUNCTION("""COMPUTED_VALUE"""),"Movilidad")</f>
        <v>Movilidad</v>
      </c>
      <c r="E4394" s="25" t="str">
        <f ca="1">IFERROR(__xludf.DUMMYFUNCTION("""COMPUTED_VALUE"""),"Instituto de Desarrollo Urbano")</f>
        <v>Instituto de Desarrollo Urbano</v>
      </c>
      <c r="F4394" s="25" t="str">
        <f ca="1">IFERROR(__xludf.DUMMYFUNCTION("""COMPUTED_VALUE"""),"Adoptar como lineamiento en sus pliegos de estudios y diseños, el Incorporar como profesional clave al especialista hidrosanitario (Esto requiere sacar de los 3 clave al coordinador). El producto esperado de esta tarea corresponde a la elaboración/actuali"&amp;"zación y socialización del documento que formalice los procesos/procedimientos correspondientes al interior de la Entidad.")</f>
        <v>Adoptar como lineamiento en sus pliegos de estudios y diseños, el Incorporar como profesional clave al especialista hidrosanitario (Esto requiere sacar de los 3 clave al coordinador). El producto esperado de esta tarea corresponde a la elaboración/actualización y socialización del documento que formalice los procesos/procedimientos correspondientes al interior de la Entidad.</v>
      </c>
      <c r="G4394" s="25" t="str">
        <f ca="1">IFERROR(__xludf.DUMMYFUNCTION("""COMPUTED_VALUE"""),"99. Distrito")</f>
        <v>99. Distrito</v>
      </c>
      <c r="H4394" s="55">
        <f ca="1">IFERROR(__xludf.DUMMYFUNCTION("""COMPUTED_VALUE"""),44455)</f>
        <v>44455</v>
      </c>
      <c r="I4394" s="25"/>
      <c r="J4394" s="55" t="str">
        <f ca="1">IFERROR(__xludf.DUMMYFUNCTION("""COMPUTED_VALUE"""),"Alta")</f>
        <v>Alta</v>
      </c>
      <c r="K4394" s="25">
        <f ca="1">IFERROR(__xludf.DUMMYFUNCTION("""COMPUTED_VALUE"""),30)</f>
        <v>30</v>
      </c>
      <c r="L4394" s="62">
        <f ca="1">IFERROR(__xludf.DUMMYFUNCTION("""COMPUTED_VALUE"""),44456)</f>
        <v>44456</v>
      </c>
      <c r="M4394" s="25" t="str">
        <f ca="1">IFERROR(__xludf.DUMMYFUNCTION("""COMPUTED_VALUE"""),"En sesión No. 32 del 20 de agosto del 2021 el comité de gestión precontractual aprobó la modificación del personal clave evaluable para los concursos de méritos abiertos de consultoría de estudios y diseños y sus respectivas interventorías, conforme lo in"&amp;"dicado en la tarea.
 Registo: Extracto del comité, numeral 4")</f>
        <v>En sesión No. 32 del 20 de agosto del 2021 el comité de gestión precontractual aprobó la modificación del personal clave evaluable para los concursos de méritos abiertos de consultoría de estudios y diseños y sus respectivas interventorías, conforme lo indicado en la tarea.
 Registo: Extracto del comité, numeral 4</v>
      </c>
      <c r="N4394" s="55">
        <f ca="1">IFERROR(__xludf.DUMMYFUNCTION("""COMPUTED_VALUE"""),44456)</f>
        <v>44456</v>
      </c>
      <c r="O4394" s="25" t="str">
        <f t="shared" ca="1" si="0"/>
        <v>Instituto de Desarrollo Urbano</v>
      </c>
      <c r="P4394" s="25" t="str">
        <f t="shared" si="2"/>
        <v/>
      </c>
      <c r="Q4394" s="25" t="str">
        <f ca="1">IFERROR(__xludf.DUMMYFUNCTION("""COMPUTED_VALUE"""),"Corto plazo")</f>
        <v>Corto plazo</v>
      </c>
      <c r="R4394" s="25"/>
      <c r="S4394" s="55"/>
      <c r="T4394" s="56"/>
      <c r="U4394" s="25"/>
      <c r="V4394" s="25"/>
      <c r="W4394" s="25"/>
      <c r="X4394" s="25"/>
      <c r="Y4394" s="25"/>
      <c r="Z4394" s="25"/>
    </row>
    <row r="4395" spans="1:26" ht="52.5" customHeight="1" x14ac:dyDescent="0.25">
      <c r="A4395" s="25" t="str">
        <f ca="1">IFERROR(__xludf.DUMMYFUNCTION("""COMPUTED_VALUE"""),"Movil193")</f>
        <v>Movil193</v>
      </c>
      <c r="B4395" s="25" t="str">
        <f ca="1">IFERROR(__xludf.DUMMYFUNCTION("""COMPUTED_VALUE"""),"Reunión obras IDU- Acueducto")</f>
        <v>Reunión obras IDU- Acueducto</v>
      </c>
      <c r="C4395" s="55">
        <f ca="1">IFERROR(__xludf.DUMMYFUNCTION("""COMPUTED_VALUE"""),44425)</f>
        <v>44425</v>
      </c>
      <c r="D4395" s="25" t="str">
        <f ca="1">IFERROR(__xludf.DUMMYFUNCTION("""COMPUTED_VALUE"""),"Movilidad")</f>
        <v>Movilidad</v>
      </c>
      <c r="E4395" s="25" t="str">
        <f ca="1">IFERROR(__xludf.DUMMYFUNCTION("""COMPUTED_VALUE"""),"Instituto de Desarrollo Urbano")</f>
        <v>Instituto de Desarrollo Urbano</v>
      </c>
      <c r="F4395" s="25" t="str">
        <f ca="1">IFERROR(__xludf.DUMMYFUNCTION("""COMPUTED_VALUE"""),"Adoptar como lineamiento para sus contratos de diseño cláusula enfocada al descuento/sanción al contratista e interventor por deficiencia en los productos (ajuste y atención de observaciones en las revisiones). El producto esperado de esta tarea correspon"&amp;"de a la formulación e inclusión de la cláusula dentro de los contratos.")</f>
        <v>Adoptar como lineamiento para sus contratos de diseño cláusula enfocada al descuento/sanción al contratista e interventor por deficiencia en los productos (ajuste y atención de observaciones en las revisiones). El producto esperado de esta tarea corresponde a la formulación e inclusión de la cláusula dentro de los contratos.</v>
      </c>
      <c r="G4395" s="25" t="str">
        <f ca="1">IFERROR(__xludf.DUMMYFUNCTION("""COMPUTED_VALUE"""),"99. Distrito")</f>
        <v>99. Distrito</v>
      </c>
      <c r="H4395" s="55">
        <f ca="1">IFERROR(__xludf.DUMMYFUNCTION("""COMPUTED_VALUE"""),44455)</f>
        <v>44455</v>
      </c>
      <c r="I4395" s="25"/>
      <c r="J4395" s="55" t="str">
        <f ca="1">IFERROR(__xludf.DUMMYFUNCTION("""COMPUTED_VALUE"""),"Alta")</f>
        <v>Alta</v>
      </c>
      <c r="K4395" s="25">
        <f ca="1">IFERROR(__xludf.DUMMYFUNCTION("""COMPUTED_VALUE"""),30)</f>
        <v>30</v>
      </c>
      <c r="L4395" s="62">
        <f ca="1">IFERROR(__xludf.DUMMYFUNCTION("""COMPUTED_VALUE"""),44657)</f>
        <v>44657</v>
      </c>
      <c r="M4395" s="25" t="str">
        <f ca="1">IFERROR(__xludf.DUMMYFUNCTION("""COMPUTED_VALUE"""),"Esta tarea hace parte de los nuevos manuales de contratación los cuales fueron contratados por el IDU con la firma infraestructura legal que se espera tener en el primer semestre de 2022. ")</f>
        <v xml:space="preserve">Esta tarea hace parte de los nuevos manuales de contratación los cuales fueron contratados por el IDU con la firma infraestructura legal que se espera tener en el primer semestre de 2022. </v>
      </c>
      <c r="N4395" s="55">
        <f ca="1">IFERROR(__xludf.DUMMYFUNCTION("""COMPUTED_VALUE"""),44657)</f>
        <v>44657</v>
      </c>
      <c r="O4395" s="25" t="str">
        <f t="shared" ca="1" si="0"/>
        <v>Instituto de Desarrollo Urbano</v>
      </c>
      <c r="P4395" s="25" t="str">
        <f t="shared" si="2"/>
        <v/>
      </c>
      <c r="Q4395" s="25" t="str">
        <f ca="1">IFERROR(__xludf.DUMMYFUNCTION("""COMPUTED_VALUE"""),"Corto plazo")</f>
        <v>Corto plazo</v>
      </c>
      <c r="R4395" s="25"/>
      <c r="S4395" s="55"/>
      <c r="T4395" s="56"/>
      <c r="U4395" s="25"/>
      <c r="V4395" s="25"/>
      <c r="W4395" s="25"/>
      <c r="X4395" s="25"/>
      <c r="Y4395" s="25"/>
      <c r="Z4395" s="25"/>
    </row>
    <row r="4396" spans="1:26" ht="52.5" customHeight="1" x14ac:dyDescent="0.25">
      <c r="A4396" s="25" t="str">
        <f ca="1">IFERROR(__xludf.DUMMYFUNCTION("""COMPUTED_VALUE"""),"Movil194")</f>
        <v>Movil194</v>
      </c>
      <c r="B4396" s="25" t="str">
        <f ca="1">IFERROR(__xludf.DUMMYFUNCTION("""COMPUTED_VALUE"""),"Reunión obras IDU- Acueducto")</f>
        <v>Reunión obras IDU- Acueducto</v>
      </c>
      <c r="C4396" s="55">
        <f ca="1">IFERROR(__xludf.DUMMYFUNCTION("""COMPUTED_VALUE"""),44425)</f>
        <v>44425</v>
      </c>
      <c r="D4396" s="25" t="str">
        <f ca="1">IFERROR(__xludf.DUMMYFUNCTION("""COMPUTED_VALUE"""),"Movilidad")</f>
        <v>Movilidad</v>
      </c>
      <c r="E4396" s="25" t="str">
        <f ca="1">IFERROR(__xludf.DUMMYFUNCTION("""COMPUTED_VALUE"""),"Instituto de Desarrollo Urbano")</f>
        <v>Instituto de Desarrollo Urbano</v>
      </c>
      <c r="F4396" s="25" t="str">
        <f ca="1">IFERROR(__xludf.DUMMYFUNCTION("""COMPUTED_VALUE"""),"Realizar mesa técnica para estación de la 80 y mejoras geométricas del portal de la 80  ")</f>
        <v xml:space="preserve">Realizar mesa técnica para estación de la 80 y mejoras geométricas del portal de la 80  </v>
      </c>
      <c r="G4396" s="25" t="str">
        <f ca="1">IFERROR(__xludf.DUMMYFUNCTION("""COMPUTED_VALUE"""),"99. Distrito")</f>
        <v>99. Distrito</v>
      </c>
      <c r="H4396" s="55">
        <f ca="1">IFERROR(__xludf.DUMMYFUNCTION("""COMPUTED_VALUE"""),44455)</f>
        <v>44455</v>
      </c>
      <c r="I4396" s="25"/>
      <c r="J4396" s="55" t="str">
        <f ca="1">IFERROR(__xludf.DUMMYFUNCTION("""COMPUTED_VALUE"""),"Alta")</f>
        <v>Alta</v>
      </c>
      <c r="K4396" s="25">
        <f ca="1">IFERROR(__xludf.DUMMYFUNCTION("""COMPUTED_VALUE"""),30)</f>
        <v>30</v>
      </c>
      <c r="L4396" s="62">
        <f ca="1">IFERROR(__xludf.DUMMYFUNCTION("""COMPUTED_VALUE"""),44210)</f>
        <v>44210</v>
      </c>
      <c r="M4396" s="25" t="str">
        <f ca="1">IFERROR(__xludf.DUMMYFUNCTION("""COMPUTED_VALUE"""),"Se realizaron las mesas de trabajo con EAAB; las estaciones de la calle 80 tienen no objeción condicionada; para Portal 80 ya se encuentra el aprobado con no objeción condicionada ya se entregó por parte del contratista en revisión de EAAB.")</f>
        <v>Se realizaron las mesas de trabajo con EAAB; las estaciones de la calle 80 tienen no objeción condicionada; para Portal 80 ya se encuentra el aprobado con no objeción condicionada ya se entregó por parte del contratista en revisión de EAAB.</v>
      </c>
      <c r="N4396" s="55">
        <f ca="1">IFERROR(__xludf.DUMMYFUNCTION("""COMPUTED_VALUE"""),44210)</f>
        <v>44210</v>
      </c>
      <c r="O4396" s="25" t="str">
        <f t="shared" ca="1" si="0"/>
        <v>Instituto de Desarrollo Urbano</v>
      </c>
      <c r="P4396" s="25" t="str">
        <f t="shared" si="2"/>
        <v/>
      </c>
      <c r="Q4396" s="25" t="str">
        <f ca="1">IFERROR(__xludf.DUMMYFUNCTION("""COMPUTED_VALUE"""),"Corto plazo")</f>
        <v>Corto plazo</v>
      </c>
      <c r="R4396" s="25"/>
      <c r="S4396" s="55"/>
      <c r="T4396" s="56"/>
      <c r="U4396" s="25"/>
      <c r="V4396" s="25"/>
      <c r="W4396" s="25"/>
      <c r="X4396" s="25"/>
      <c r="Y4396" s="25"/>
      <c r="Z4396" s="25"/>
    </row>
    <row r="4397" spans="1:26" ht="52.5" customHeight="1" x14ac:dyDescent="0.25">
      <c r="A4397" s="25" t="str">
        <f ca="1">IFERROR(__xludf.DUMMYFUNCTION("""COMPUTED_VALUE"""),"Movil195")</f>
        <v>Movil195</v>
      </c>
      <c r="B4397" s="25" t="str">
        <f ca="1">IFERROR(__xludf.DUMMYFUNCTION("""COMPUTED_VALUE"""),"Obras IDU - Acueducto")</f>
        <v>Obras IDU - Acueducto</v>
      </c>
      <c r="C4397" s="55">
        <f ca="1">IFERROR(__xludf.DUMMYFUNCTION("""COMPUTED_VALUE"""),44425)</f>
        <v>44425</v>
      </c>
      <c r="D4397" s="25" t="str">
        <f ca="1">IFERROR(__xludf.DUMMYFUNCTION("""COMPUTED_VALUE"""),"Movilidad")</f>
        <v>Movilidad</v>
      </c>
      <c r="E4397" s="25" t="str">
        <f ca="1">IFERROR(__xludf.DUMMYFUNCTION("""COMPUTED_VALUE"""),"Instituto de Desarrollo Urbano")</f>
        <v>Instituto de Desarrollo Urbano</v>
      </c>
      <c r="F4397" s="25" t="str">
        <f ca="1">IFERROR(__xludf.DUMMYFUNCTION("""COMPUTED_VALUE"""),"Hacer el costeo de los equipos que necesitan para superar las dificultades de permisos, actualizaciones y cumplir con las obras estipuladas en el PDD")</f>
        <v>Hacer el costeo de los equipos que necesitan para superar las dificultades de permisos, actualizaciones y cumplir con las obras estipuladas en el PDD</v>
      </c>
      <c r="G4397" s="25" t="str">
        <f ca="1">IFERROR(__xludf.DUMMYFUNCTION("""COMPUTED_VALUE"""),"99. Distrito")</f>
        <v>99. Distrito</v>
      </c>
      <c r="H4397" s="55">
        <f ca="1">IFERROR(__xludf.DUMMYFUNCTION("""COMPUTED_VALUE"""),44455)</f>
        <v>44455</v>
      </c>
      <c r="I4397" s="25"/>
      <c r="J4397" s="55" t="str">
        <f ca="1">IFERROR(__xludf.DUMMYFUNCTION("""COMPUTED_VALUE"""),"Alta")</f>
        <v>Alta</v>
      </c>
      <c r="K4397" s="25">
        <f ca="1">IFERROR(__xludf.DUMMYFUNCTION("""COMPUTED_VALUE"""),30)</f>
        <v>30</v>
      </c>
      <c r="L4397" s="62">
        <f ca="1">IFERROR(__xludf.DUMMYFUNCTION("""COMPUTED_VALUE"""),44776)</f>
        <v>44776</v>
      </c>
      <c r="M4397" s="25" t="str">
        <f ca="1">IFERROR(__xludf.DUMMYFUNCTION("""COMPUTED_VALUE"""),"Ya se contrataron las personas que se necesitaban por parte de la SDM con recursos IDU para poder atender el volumen de radicaciones en la entidad y poder sacar adelante los proyectos IDU del PDD.")</f>
        <v>Ya se contrataron las personas que se necesitaban por parte de la SDM con recursos IDU para poder atender el volumen de radicaciones en la entidad y poder sacar adelante los proyectos IDU del PDD.</v>
      </c>
      <c r="N4397" s="55">
        <f ca="1">IFERROR(__xludf.DUMMYFUNCTION("""COMPUTED_VALUE"""),44776)</f>
        <v>44776</v>
      </c>
      <c r="O4397" s="25" t="str">
        <f t="shared" ca="1" si="0"/>
        <v>Instituto de Desarrollo Urbano</v>
      </c>
      <c r="P4397" s="25" t="str">
        <f t="shared" si="2"/>
        <v/>
      </c>
      <c r="Q4397" s="25" t="str">
        <f ca="1">IFERROR(__xludf.DUMMYFUNCTION("""COMPUTED_VALUE"""),"Corto plazo")</f>
        <v>Corto plazo</v>
      </c>
      <c r="R4397" s="25"/>
      <c r="S4397" s="55"/>
      <c r="T4397" s="56"/>
      <c r="U4397" s="25"/>
      <c r="V4397" s="25"/>
      <c r="W4397" s="25"/>
      <c r="X4397" s="25"/>
      <c r="Y4397" s="25"/>
      <c r="Z4397" s="25"/>
    </row>
    <row r="4398" spans="1:26" ht="52.5" customHeight="1" x14ac:dyDescent="0.25">
      <c r="A4398" s="25" t="str">
        <f ca="1">IFERROR(__xludf.DUMMYFUNCTION("""COMPUTED_VALUE"""),"Movil196")</f>
        <v>Movil196</v>
      </c>
      <c r="B4398" s="25" t="str">
        <f ca="1">IFERROR(__xludf.DUMMYFUNCTION("""COMPUTED_VALUE"""),"Consejo de Seguridad")</f>
        <v>Consejo de Seguridad</v>
      </c>
      <c r="C4398" s="55">
        <f ca="1">IFERROR(__xludf.DUMMYFUNCTION("""COMPUTED_VALUE"""),44419)</f>
        <v>44419</v>
      </c>
      <c r="D4398" s="25" t="str">
        <f ca="1">IFERROR(__xludf.DUMMYFUNCTION("""COMPUTED_VALUE"""),"Movilidad")</f>
        <v>Movilidad</v>
      </c>
      <c r="E4398" s="25" t="str">
        <f ca="1">IFERROR(__xludf.DUMMYFUNCTION("""COMPUTED_VALUE"""),"Secretaría Distrital de Movilidad")</f>
        <v>Secretaría Distrital de Movilidad</v>
      </c>
      <c r="F4398" s="25" t="str">
        <f ca="1">IFERROR(__xludf.DUMMYFUNCTION("""COMPUTED_VALUE"""),"Hacer IVC a las grandes superficies sobre él registro obligatorio de las bicicletas")</f>
        <v>Hacer IVC a las grandes superficies sobre él registro obligatorio de las bicicletas</v>
      </c>
      <c r="G4398" s="25" t="str">
        <f ca="1">IFERROR(__xludf.DUMMYFUNCTION("""COMPUTED_VALUE"""),"99. Distrito")</f>
        <v>99. Distrito</v>
      </c>
      <c r="H4398" s="55">
        <f ca="1">IFERROR(__xludf.DUMMYFUNCTION("""COMPUTED_VALUE"""),44449)</f>
        <v>44449</v>
      </c>
      <c r="I4398" s="25"/>
      <c r="J4398" s="55" t="str">
        <f ca="1">IFERROR(__xludf.DUMMYFUNCTION("""COMPUTED_VALUE"""),"Alta")</f>
        <v>Alta</v>
      </c>
      <c r="K4398" s="25">
        <f ca="1">IFERROR(__xludf.DUMMYFUNCTION("""COMPUTED_VALUE"""),30)</f>
        <v>30</v>
      </c>
      <c r="L4398" s="62">
        <f ca="1">IFERROR(__xludf.DUMMYFUNCTION("""COMPUTED_VALUE"""),44613)</f>
        <v>44613</v>
      </c>
      <c r="M4398" s="25" t="str">
        <f ca="1">IFERROR(__xludf.DUMMYFUNCTION("""COMPUTED_VALUE"""),"En el 2021 la SDM tramitó las comunicaciones 20212236401441, 20212236401451, 20212236405491, a la Federación Nacional De Comerciantes,  la Cámara De Comercio De Bogotá y la Asociación Nacional de Empresarios de Colombia (ANDI),  invitando a socializar y d"&amp;"ifundir el Decreto Distrital 242 de 2021(Obligatorio Registro Bici Bogotá) entre sus asociados o afiliados, cuya actividad económica esté relacionada con la venta, fabricación, mantenimiento y reparación de bicicletas. Además a partir del mes de septiembr"&amp;"e de 2021 se adelantan visitas a establecimientos de venta de bicicletas para capacitar sobre el registro obligatorio de bicicletas, el procedimiento y sus beneficios.")</f>
        <v>En el 2021 la SDM tramitó las comunicaciones 20212236401441, 20212236401451, 20212236405491, a la Federación Nacional De Comerciantes,  la Cámara De Comercio De Bogotá y la Asociación Nacional de Empresarios de Colombia (ANDI),  invitando a socializar y difundir el Decreto Distrital 242 de 2021(Obligatorio Registro Bici Bogotá) entre sus asociados o afiliados, cuya actividad económica esté relacionada con la venta, fabricación, mantenimiento y reparación de bicicletas. Además a partir del mes de septiembre de 2021 se adelantan visitas a establecimientos de venta de bicicletas para capacitar sobre el registro obligatorio de bicicletas, el procedimiento y sus beneficios.</v>
      </c>
      <c r="N4398" s="55">
        <f ca="1">IFERROR(__xludf.DUMMYFUNCTION("""COMPUTED_VALUE"""),44613)</f>
        <v>44613</v>
      </c>
      <c r="O4398" s="25" t="str">
        <f t="shared" ca="1" si="0"/>
        <v>Secretaría Distrital de Movilidad</v>
      </c>
      <c r="P4398" s="25" t="str">
        <f t="shared" si="2"/>
        <v/>
      </c>
      <c r="Q4398" s="25" t="str">
        <f ca="1">IFERROR(__xludf.DUMMYFUNCTION("""COMPUTED_VALUE"""),"Corto plazo")</f>
        <v>Corto plazo</v>
      </c>
      <c r="R4398" s="25"/>
      <c r="S4398" s="55"/>
      <c r="T4398" s="56"/>
      <c r="U4398" s="25"/>
      <c r="V4398" s="25"/>
      <c r="W4398" s="25"/>
      <c r="X4398" s="25"/>
      <c r="Y4398" s="25"/>
      <c r="Z4398" s="25"/>
    </row>
    <row r="4399" spans="1:26" ht="52.5" customHeight="1" x14ac:dyDescent="0.25">
      <c r="A4399" s="25" t="str">
        <f ca="1">IFERROR(__xludf.DUMMYFUNCTION("""COMPUTED_VALUE"""),"Movil197")</f>
        <v>Movil197</v>
      </c>
      <c r="B4399" s="25" t="str">
        <f ca="1">IFERROR(__xludf.DUMMYFUNCTION("""COMPUTED_VALUE"""),"Reunión Revisión Estrategia Peatón")</f>
        <v>Reunión Revisión Estrategia Peatón</v>
      </c>
      <c r="C4399" s="55">
        <f ca="1">IFERROR(__xludf.DUMMYFUNCTION("""COMPUTED_VALUE"""),44418)</f>
        <v>44418</v>
      </c>
      <c r="D4399" s="25" t="str">
        <f ca="1">IFERROR(__xludf.DUMMYFUNCTION("""COMPUTED_VALUE"""),"Movilidad")</f>
        <v>Movilidad</v>
      </c>
      <c r="E4399" s="25" t="str">
        <f ca="1">IFERROR(__xludf.DUMMYFUNCTION("""COMPUTED_VALUE"""),"Secretaría Distrital de Movilidad")</f>
        <v>Secretaría Distrital de Movilidad</v>
      </c>
      <c r="F4399" s="25" t="str">
        <f ca="1">IFERROR(__xludf.DUMMYFUNCTION("""COMPUTED_VALUE"""),"Crear señalética para peatones en los andenes que permita a las personas identificar de manera clara que se encuentra en un andén emergente. ")</f>
        <v xml:space="preserve">Crear señalética para peatones en los andenes que permita a las personas identificar de manera clara que se encuentra en un andén emergente. </v>
      </c>
      <c r="G4399" s="25" t="str">
        <f ca="1">IFERROR(__xludf.DUMMYFUNCTION("""COMPUTED_VALUE"""),"99. Distrito")</f>
        <v>99. Distrito</v>
      </c>
      <c r="H4399" s="55">
        <f ca="1">IFERROR(__xludf.DUMMYFUNCTION("""COMPUTED_VALUE"""),44448)</f>
        <v>44448</v>
      </c>
      <c r="I4399" s="25"/>
      <c r="J4399" s="55" t="str">
        <f ca="1">IFERROR(__xludf.DUMMYFUNCTION("""COMPUTED_VALUE"""),"Alta")</f>
        <v>Alta</v>
      </c>
      <c r="K4399" s="25">
        <f ca="1">IFERROR(__xludf.DUMMYFUNCTION("""COMPUTED_VALUE"""),30)</f>
        <v>30</v>
      </c>
      <c r="L4399" s="62">
        <f ca="1">IFERROR(__xludf.DUMMYFUNCTION("""COMPUTED_VALUE"""),44423)</f>
        <v>44423</v>
      </c>
      <c r="M4399" s="25" t="str">
        <f ca="1">IFERROR(__xludf.DUMMYFUNCTION("""COMPUTED_VALUE"""),"Se ha elaborado una propuesta de señalética para que los peatones puedan identificar que se encuentran en un andén emergente, esta se ha probado en las intervenciones pilotos realizadas el pasado 13 y 14 de agosto.")</f>
        <v>Se ha elaborado una propuesta de señalética para que los peatones puedan identificar que se encuentran en un andén emergente, esta se ha probado en las intervenciones pilotos realizadas el pasado 13 y 14 de agosto.</v>
      </c>
      <c r="N4399" s="55">
        <f ca="1">IFERROR(__xludf.DUMMYFUNCTION("""COMPUTED_VALUE"""),44423)</f>
        <v>44423</v>
      </c>
      <c r="O4399" s="25" t="str">
        <f t="shared" ca="1" si="0"/>
        <v>Secretaría Distrital de Movilidad</v>
      </c>
      <c r="P4399" s="25" t="str">
        <f t="shared" si="2"/>
        <v/>
      </c>
      <c r="Q4399" s="25" t="str">
        <f ca="1">IFERROR(__xludf.DUMMYFUNCTION("""COMPUTED_VALUE"""),"Corto plazo")</f>
        <v>Corto plazo</v>
      </c>
      <c r="R4399" s="25"/>
      <c r="S4399" s="55"/>
      <c r="T4399" s="56"/>
      <c r="U4399" s="25"/>
      <c r="V4399" s="25"/>
      <c r="W4399" s="25"/>
      <c r="X4399" s="25"/>
      <c r="Y4399" s="25"/>
      <c r="Z4399" s="25"/>
    </row>
    <row r="4400" spans="1:26" ht="52.5" customHeight="1" x14ac:dyDescent="0.25">
      <c r="A4400" s="25" t="str">
        <f ca="1">IFERROR(__xludf.DUMMYFUNCTION("""COMPUTED_VALUE"""),"Movil198")</f>
        <v>Movil198</v>
      </c>
      <c r="B4400" s="25" t="str">
        <f ca="1">IFERROR(__xludf.DUMMYFUNCTION("""COMPUTED_VALUE"""),"Reunión Revisión Estrategia Peatón")</f>
        <v>Reunión Revisión Estrategia Peatón</v>
      </c>
      <c r="C4400" s="55">
        <f ca="1">IFERROR(__xludf.DUMMYFUNCTION("""COMPUTED_VALUE"""),44418)</f>
        <v>44418</v>
      </c>
      <c r="D4400" s="25" t="str">
        <f ca="1">IFERROR(__xludf.DUMMYFUNCTION("""COMPUTED_VALUE"""),"Movilidad")</f>
        <v>Movilidad</v>
      </c>
      <c r="E4400" s="25" t="str">
        <f ca="1">IFERROR(__xludf.DUMMYFUNCTION("""COMPUTED_VALUE"""),"Secretaría Distrital de Movilidad")</f>
        <v>Secretaría Distrital de Movilidad</v>
      </c>
      <c r="F4400" s="25" t="str">
        <f ca="1">IFERROR(__xludf.DUMMYFUNCTION("""COMPUTED_VALUE"""),"Para el lanzamiento de esta estrategia se debe realizar el evento donde se inaugure un tramo (andenes para la gente)")</f>
        <v>Para el lanzamiento de esta estrategia se debe realizar el evento donde se inaugure un tramo (andenes para la gente)</v>
      </c>
      <c r="G4400" s="25" t="str">
        <f ca="1">IFERROR(__xludf.DUMMYFUNCTION("""COMPUTED_VALUE"""),"99. Distrito")</f>
        <v>99. Distrito</v>
      </c>
      <c r="H4400" s="55">
        <f ca="1">IFERROR(__xludf.DUMMYFUNCTION("""COMPUTED_VALUE"""),44448)</f>
        <v>44448</v>
      </c>
      <c r="I4400" s="25"/>
      <c r="J4400" s="55" t="str">
        <f ca="1">IFERROR(__xludf.DUMMYFUNCTION("""COMPUTED_VALUE"""),"Alta")</f>
        <v>Alta</v>
      </c>
      <c r="K4400" s="25">
        <f ca="1">IFERROR(__xludf.DUMMYFUNCTION("""COMPUTED_VALUE"""),30)</f>
        <v>30</v>
      </c>
      <c r="L4400" s="62">
        <f ca="1">IFERROR(__xludf.DUMMYFUNCTION("""COMPUTED_VALUE"""),44423)</f>
        <v>44423</v>
      </c>
      <c r="M4400" s="25" t="str">
        <f ca="1">IFERROR(__xludf.DUMMYFUNCTION("""COMPUTED_VALUE"""),"El sábado 14 de agosto, junto con varias entidades y en compañía de la alcaldesa se presentó la Estrategia del Peatón a través del anuncio de la Unidad de Mantenimiento Peatonal.")</f>
        <v>El sábado 14 de agosto, junto con varias entidades y en compañía de la alcaldesa se presentó la Estrategia del Peatón a través del anuncio de la Unidad de Mantenimiento Peatonal.</v>
      </c>
      <c r="N4400" s="55">
        <f ca="1">IFERROR(__xludf.DUMMYFUNCTION("""COMPUTED_VALUE"""),44423)</f>
        <v>44423</v>
      </c>
      <c r="O4400" s="25" t="str">
        <f t="shared" ca="1" si="0"/>
        <v>Secretaría Distrital de Movilidad</v>
      </c>
      <c r="P4400" s="25" t="str">
        <f t="shared" si="2"/>
        <v/>
      </c>
      <c r="Q4400" s="25" t="str">
        <f ca="1">IFERROR(__xludf.DUMMYFUNCTION("""COMPUTED_VALUE"""),"Corto plazo")</f>
        <v>Corto plazo</v>
      </c>
      <c r="R4400" s="25"/>
      <c r="S4400" s="55"/>
      <c r="T4400" s="56"/>
      <c r="U4400" s="25"/>
      <c r="V4400" s="25"/>
      <c r="W4400" s="25"/>
      <c r="X4400" s="25"/>
      <c r="Y4400" s="25"/>
      <c r="Z4400" s="25"/>
    </row>
    <row r="4401" spans="1:26" ht="52.5" customHeight="1" x14ac:dyDescent="0.25">
      <c r="A4401" s="25" t="str">
        <f ca="1">IFERROR(__xludf.DUMMYFUNCTION("""COMPUTED_VALUE"""),"Movil199")</f>
        <v>Movil199</v>
      </c>
      <c r="B4401" s="25" t="str">
        <f ca="1">IFERROR(__xludf.DUMMYFUNCTION("""COMPUTED_VALUE"""),"Reunión Revisión Estrategia Peatón")</f>
        <v>Reunión Revisión Estrategia Peatón</v>
      </c>
      <c r="C4401" s="55">
        <f ca="1">IFERROR(__xludf.DUMMYFUNCTION("""COMPUTED_VALUE"""),44418)</f>
        <v>44418</v>
      </c>
      <c r="D4401" s="25" t="str">
        <f ca="1">IFERROR(__xludf.DUMMYFUNCTION("""COMPUTED_VALUE"""),"Movilidad")</f>
        <v>Movilidad</v>
      </c>
      <c r="E4401" s="25" t="str">
        <f ca="1">IFERROR(__xludf.DUMMYFUNCTION("""COMPUTED_VALUE"""),"Secretaría Distrital de Movilidad")</f>
        <v>Secretaría Distrital de Movilidad</v>
      </c>
      <c r="F4401" s="25" t="str">
        <f ca="1">IFERROR(__xludf.DUMMYFUNCTION("""COMPUTED_VALUE"""),"Organizar para hacer un operativo para los mal parqueados en las zonas de alta incidencia como Chapinero ")</f>
        <v xml:space="preserve">Organizar para hacer un operativo para los mal parqueados en las zonas de alta incidencia como Chapinero </v>
      </c>
      <c r="G4401" s="55" t="str">
        <f ca="1">IFERROR(__xludf.DUMMYFUNCTION("""COMPUTED_VALUE"""),"02. Chapinero")</f>
        <v>02. Chapinero</v>
      </c>
      <c r="H4401" s="55">
        <f ca="1">IFERROR(__xludf.DUMMYFUNCTION("""COMPUTED_VALUE"""),44448)</f>
        <v>44448</v>
      </c>
      <c r="I4401" s="25"/>
      <c r="J4401" s="55" t="str">
        <f ca="1">IFERROR(__xludf.DUMMYFUNCTION("""COMPUTED_VALUE"""),"Alta")</f>
        <v>Alta</v>
      </c>
      <c r="K4401" s="25">
        <f ca="1">IFERROR(__xludf.DUMMYFUNCTION("""COMPUTED_VALUE"""),30)</f>
        <v>30</v>
      </c>
      <c r="L4401" s="62">
        <f ca="1">IFERROR(__xludf.DUMMYFUNCTION("""COMPUTED_VALUE"""),44439)</f>
        <v>44439</v>
      </c>
      <c r="M4401" s="25" t="str">
        <f ca="1">IFERROR(__xludf.DUMMYFUNCTION("""COMPUTED_VALUE"""),"Recorrido realizado en septiembre 2021")</f>
        <v>Recorrido realizado en septiembre 2021</v>
      </c>
      <c r="N4401" s="55">
        <f ca="1">IFERROR(__xludf.DUMMYFUNCTION("""COMPUTED_VALUE"""),44439)</f>
        <v>44439</v>
      </c>
      <c r="O4401" s="25" t="str">
        <f t="shared" ca="1" si="0"/>
        <v>Secretaría Distrital de Movilidad</v>
      </c>
      <c r="P4401" s="25" t="str">
        <f t="shared" si="2"/>
        <v/>
      </c>
      <c r="Q4401" s="25" t="str">
        <f ca="1">IFERROR(__xludf.DUMMYFUNCTION("""COMPUTED_VALUE"""),"Corto plazo")</f>
        <v>Corto plazo</v>
      </c>
      <c r="R4401" s="25"/>
      <c r="S4401" s="55"/>
      <c r="T4401" s="56"/>
      <c r="U4401" s="25"/>
      <c r="V4401" s="25"/>
      <c r="W4401" s="25"/>
      <c r="X4401" s="25"/>
      <c r="Y4401" s="25"/>
      <c r="Z4401" s="25"/>
    </row>
    <row r="4402" spans="1:26" ht="52.5" customHeight="1" x14ac:dyDescent="0.25">
      <c r="A4402" s="25" t="str">
        <f ca="1">IFERROR(__xludf.DUMMYFUNCTION("""COMPUTED_VALUE"""),"Movil200")</f>
        <v>Movil200</v>
      </c>
      <c r="B4402" s="25" t="str">
        <f ca="1">IFERROR(__xludf.DUMMYFUNCTION("""COMPUTED_VALUE"""),"Reunión Revisión Estrategia Peatón")</f>
        <v>Reunión Revisión Estrategia Peatón</v>
      </c>
      <c r="C4402" s="55">
        <f ca="1">IFERROR(__xludf.DUMMYFUNCTION("""COMPUTED_VALUE"""),44418)</f>
        <v>44418</v>
      </c>
      <c r="D4402" s="25" t="str">
        <f ca="1">IFERROR(__xludf.DUMMYFUNCTION("""COMPUTED_VALUE"""),"Movilidad")</f>
        <v>Movilidad</v>
      </c>
      <c r="E4402" s="25" t="str">
        <f ca="1">IFERROR(__xludf.DUMMYFUNCTION("""COMPUTED_VALUE"""),"Secretaría Distrital de Movilidad")</f>
        <v>Secretaría Distrital de Movilidad</v>
      </c>
      <c r="F4402" s="25" t="str">
        <f ca="1">IFERROR(__xludf.DUMMYFUNCTION("""COMPUTED_VALUE"""),"Crear un kit/cuadrillas de intervención rápida en puntos críticos que generen gobernabilidad sobre el tema. Tener en cuenta lo reportado en redes sociales (Twitter) y lo expuesto en medios como Citytv. ")</f>
        <v xml:space="preserve">Crear un kit/cuadrillas de intervención rápida en puntos críticos que generen gobernabilidad sobre el tema. Tener en cuenta lo reportado en redes sociales (Twitter) y lo expuesto en medios como Citytv. </v>
      </c>
      <c r="G4402" s="25" t="str">
        <f ca="1">IFERROR(__xludf.DUMMYFUNCTION("""COMPUTED_VALUE"""),"99. Distrito")</f>
        <v>99. Distrito</v>
      </c>
      <c r="H4402" s="55">
        <f ca="1">IFERROR(__xludf.DUMMYFUNCTION("""COMPUTED_VALUE"""),44448)</f>
        <v>44448</v>
      </c>
      <c r="I4402" s="25"/>
      <c r="J4402" s="55" t="str">
        <f ca="1">IFERROR(__xludf.DUMMYFUNCTION("""COMPUTED_VALUE"""),"Alta")</f>
        <v>Alta</v>
      </c>
      <c r="K4402" s="25">
        <f ca="1">IFERROR(__xludf.DUMMYFUNCTION("""COMPUTED_VALUE"""),30)</f>
        <v>30</v>
      </c>
      <c r="L4402" s="62">
        <f ca="1">IFERROR(__xludf.DUMMYFUNCTION("""COMPUTED_VALUE"""),44421)</f>
        <v>44421</v>
      </c>
      <c r="M4402" s="25" t="str">
        <f ca="1">IFERROR(__xludf.DUMMYFUNCTION("""COMPUTED_VALUE"""),"Se creó un kit de intervención con pintura en andenes que incorporó la capacitación en pintura. Este se implementó en una intervención de urbanismo táctico frente a cámaras de noticias y con el acompañamiento de la Alcaldesa, en el andén sobre la Avenida "&amp;"Ciudad de Cali frente al Portal Américas.")</f>
        <v>Se creó un kit de intervención con pintura en andenes que incorporó la capacitación en pintura. Este se implementó en una intervención de urbanismo táctico frente a cámaras de noticias y con el acompañamiento de la Alcaldesa, en el andén sobre la Avenida Ciudad de Cali frente al Portal Américas.</v>
      </c>
      <c r="N4402" s="55">
        <f ca="1">IFERROR(__xludf.DUMMYFUNCTION("""COMPUTED_VALUE"""),44421)</f>
        <v>44421</v>
      </c>
      <c r="O4402" s="25" t="str">
        <f t="shared" ca="1" si="0"/>
        <v>Secretaría Distrital de Movilidad</v>
      </c>
      <c r="P4402" s="25" t="str">
        <f t="shared" si="2"/>
        <v/>
      </c>
      <c r="Q4402" s="25" t="str">
        <f ca="1">IFERROR(__xludf.DUMMYFUNCTION("""COMPUTED_VALUE"""),"Corto plazo")</f>
        <v>Corto plazo</v>
      </c>
      <c r="R4402" s="25"/>
      <c r="S4402" s="55"/>
      <c r="T4402" s="56"/>
      <c r="U4402" s="25"/>
      <c r="V4402" s="25"/>
      <c r="W4402" s="25"/>
      <c r="X4402" s="25"/>
      <c r="Y4402" s="25"/>
      <c r="Z4402" s="25"/>
    </row>
    <row r="4403" spans="1:26" ht="52.5" customHeight="1" x14ac:dyDescent="0.25">
      <c r="A4403" s="25" t="str">
        <f ca="1">IFERROR(__xludf.DUMMYFUNCTION("""COMPUTED_VALUE"""),"Movil201")</f>
        <v>Movil201</v>
      </c>
      <c r="B4403" s="25" t="str">
        <f ca="1">IFERROR(__xludf.DUMMYFUNCTION("""COMPUTED_VALUE"""),"Reunión Revisión Estrategia Peatón")</f>
        <v>Reunión Revisión Estrategia Peatón</v>
      </c>
      <c r="C4403" s="55">
        <f ca="1">IFERROR(__xludf.DUMMYFUNCTION("""COMPUTED_VALUE"""),44418)</f>
        <v>44418</v>
      </c>
      <c r="D4403" s="25" t="str">
        <f ca="1">IFERROR(__xludf.DUMMYFUNCTION("""COMPUTED_VALUE"""),"Movilidad")</f>
        <v>Movilidad</v>
      </c>
      <c r="E4403" s="25" t="str">
        <f ca="1">IFERROR(__xludf.DUMMYFUNCTION("""COMPUTED_VALUE"""),"Secretaría Distrital de Movilidad")</f>
        <v>Secretaría Distrital de Movilidad</v>
      </c>
      <c r="F4403" s="25" t="str">
        <f ca="1">IFERROR(__xludf.DUMMYFUNCTION("""COMPUTED_VALUE"""),"Crear urbanismo táctico donde se maneje la misma señalética de pintura con las bolitas de colores en los andenes y los andenes emergentes. ")</f>
        <v xml:space="preserve">Crear urbanismo táctico donde se maneje la misma señalética de pintura con las bolitas de colores en los andenes y los andenes emergentes. </v>
      </c>
      <c r="G4403" s="25" t="str">
        <f ca="1">IFERROR(__xludf.DUMMYFUNCTION("""COMPUTED_VALUE"""),"99. Distrito")</f>
        <v>99. Distrito</v>
      </c>
      <c r="H4403" s="55">
        <f ca="1">IFERROR(__xludf.DUMMYFUNCTION("""COMPUTED_VALUE"""),44448)</f>
        <v>44448</v>
      </c>
      <c r="I4403" s="25"/>
      <c r="J4403" s="55" t="str">
        <f ca="1">IFERROR(__xludf.DUMMYFUNCTION("""COMPUTED_VALUE"""),"Alta")</f>
        <v>Alta</v>
      </c>
      <c r="K4403" s="25">
        <f ca="1">IFERROR(__xludf.DUMMYFUNCTION("""COMPUTED_VALUE"""),30)</f>
        <v>30</v>
      </c>
      <c r="L4403" s="62">
        <f ca="1">IFERROR(__xludf.DUMMYFUNCTION("""COMPUTED_VALUE"""),44439)</f>
        <v>44439</v>
      </c>
      <c r="M4403" s="25" t="str">
        <f ca="1">IFERROR(__xludf.DUMMYFUNCTION("""COMPUTED_VALUE"""),"Se creó un primer paquete de propuesta de urbanismo táctico cuyo piloto se realizó en intervención en el andén sobre la Avenida Ciudad de Cali frente al Portal Américas.")</f>
        <v>Se creó un primer paquete de propuesta de urbanismo táctico cuyo piloto se realizó en intervención en el andén sobre la Avenida Ciudad de Cali frente al Portal Américas.</v>
      </c>
      <c r="N4403" s="55">
        <f ca="1">IFERROR(__xludf.DUMMYFUNCTION("""COMPUTED_VALUE"""),44439)</f>
        <v>44439</v>
      </c>
      <c r="O4403" s="25" t="str">
        <f t="shared" ca="1" si="0"/>
        <v>Secretaría Distrital de Movilidad</v>
      </c>
      <c r="P4403" s="25" t="str">
        <f t="shared" si="2"/>
        <v/>
      </c>
      <c r="Q4403" s="25" t="str">
        <f ca="1">IFERROR(__xludf.DUMMYFUNCTION("""COMPUTED_VALUE"""),"Corto plazo")</f>
        <v>Corto plazo</v>
      </c>
      <c r="R4403" s="25"/>
      <c r="S4403" s="55"/>
      <c r="T4403" s="56"/>
      <c r="U4403" s="25"/>
      <c r="V4403" s="25"/>
      <c r="W4403" s="25"/>
      <c r="X4403" s="25"/>
      <c r="Y4403" s="25"/>
      <c r="Z4403" s="25"/>
    </row>
    <row r="4404" spans="1:26" ht="52.5" customHeight="1" x14ac:dyDescent="0.25">
      <c r="A4404" s="25" t="str">
        <f ca="1">IFERROR(__xludf.DUMMYFUNCTION("""COMPUTED_VALUE"""),"Movil202")</f>
        <v>Movil202</v>
      </c>
      <c r="B4404" s="25" t="str">
        <f ca="1">IFERROR(__xludf.DUMMYFUNCTION("""COMPUTED_VALUE"""),"Reunión Revisión Estrategia Peatón")</f>
        <v>Reunión Revisión Estrategia Peatón</v>
      </c>
      <c r="C4404" s="55">
        <f ca="1">IFERROR(__xludf.DUMMYFUNCTION("""COMPUTED_VALUE"""),44418)</f>
        <v>44418</v>
      </c>
      <c r="D4404" s="25" t="str">
        <f ca="1">IFERROR(__xludf.DUMMYFUNCTION("""COMPUTED_VALUE"""),"Movilidad")</f>
        <v>Movilidad</v>
      </c>
      <c r="E4404" s="25" t="str">
        <f ca="1">IFERROR(__xludf.DUMMYFUNCTION("""COMPUTED_VALUE"""),"Secretaría Distrital de Movilidad")</f>
        <v>Secretaría Distrital de Movilidad</v>
      </c>
      <c r="F4404" s="25" t="str">
        <f ca="1">IFERROR(__xludf.DUMMYFUNCTION("""COMPUTED_VALUE"""),"Intervención de corto plazo en las zonas críticas de Usaquén, Chapinero y Barrios Unidos de la estrategia andenes para la gente donde se tape el hueco, pinte el andén, ponga la señal y se pongan los bolardos. ")</f>
        <v xml:space="preserve">Intervención de corto plazo en las zonas críticas de Usaquén, Chapinero y Barrios Unidos de la estrategia andenes para la gente donde se tape el hueco, pinte el andén, ponga la señal y se pongan los bolardos. </v>
      </c>
      <c r="G4404" s="55" t="str">
        <f ca="1">IFERROR(__xludf.DUMMYFUNCTION("""COMPUTED_VALUE"""),"02. Chapinero")</f>
        <v>02. Chapinero</v>
      </c>
      <c r="H4404" s="55">
        <f ca="1">IFERROR(__xludf.DUMMYFUNCTION("""COMPUTED_VALUE"""),44448)</f>
        <v>44448</v>
      </c>
      <c r="I4404" s="25"/>
      <c r="J4404" s="55" t="str">
        <f ca="1">IFERROR(__xludf.DUMMYFUNCTION("""COMPUTED_VALUE"""),"Alta")</f>
        <v>Alta</v>
      </c>
      <c r="K4404" s="25">
        <f ca="1">IFERROR(__xludf.DUMMYFUNCTION("""COMPUTED_VALUE"""),30)</f>
        <v>30</v>
      </c>
      <c r="L4404" s="62">
        <f ca="1">IFERROR(__xludf.DUMMYFUNCTION("""COMPUTED_VALUE"""),44439)</f>
        <v>44439</v>
      </c>
      <c r="M4404" s="25" t="str">
        <f ca="1">IFERROR(__xludf.DUMMYFUNCTION("""COMPUTED_VALUE"""),"Se avanzó con la UMV, IDU y otras entidades con injerencia en el espacio público para adecuar, recuperar y mantener andenes de la carrera 7 entre calle 40 y calle 60 y otras zonas de Bogotá determinadas por Alcaldía")</f>
        <v>Se avanzó con la UMV, IDU y otras entidades con injerencia en el espacio público para adecuar, recuperar y mantener andenes de la carrera 7 entre calle 40 y calle 60 y otras zonas de Bogotá determinadas por Alcaldía</v>
      </c>
      <c r="N4404" s="55">
        <f ca="1">IFERROR(__xludf.DUMMYFUNCTION("""COMPUTED_VALUE"""),44439)</f>
        <v>44439</v>
      </c>
      <c r="O4404" s="25" t="str">
        <f t="shared" ca="1" si="0"/>
        <v>Secretaría Distrital de Movilidad</v>
      </c>
      <c r="P4404" s="25" t="str">
        <f t="shared" si="2"/>
        <v/>
      </c>
      <c r="Q4404" s="25" t="str">
        <f ca="1">IFERROR(__xludf.DUMMYFUNCTION("""COMPUTED_VALUE"""),"Corto plazo")</f>
        <v>Corto plazo</v>
      </c>
      <c r="R4404" s="25"/>
      <c r="S4404" s="55"/>
      <c r="T4404" s="56"/>
      <c r="U4404" s="25"/>
      <c r="V4404" s="25"/>
      <c r="W4404" s="25"/>
      <c r="X4404" s="25"/>
      <c r="Y4404" s="25"/>
      <c r="Z4404" s="25"/>
    </row>
    <row r="4405" spans="1:26" ht="52.5" customHeight="1" x14ac:dyDescent="0.25">
      <c r="A4405" s="25" t="str">
        <f ca="1">IFERROR(__xludf.DUMMYFUNCTION("""COMPUTED_VALUE"""),"Movil203")</f>
        <v>Movil203</v>
      </c>
      <c r="B4405" s="25" t="str">
        <f ca="1">IFERROR(__xludf.DUMMYFUNCTION("""COMPUTED_VALUE"""),"Reunión Revisión Estrategia Peatón")</f>
        <v>Reunión Revisión Estrategia Peatón</v>
      </c>
      <c r="C4405" s="55">
        <f ca="1">IFERROR(__xludf.DUMMYFUNCTION("""COMPUTED_VALUE"""),44418)</f>
        <v>44418</v>
      </c>
      <c r="D4405" s="25" t="str">
        <f ca="1">IFERROR(__xludf.DUMMYFUNCTION("""COMPUTED_VALUE"""),"Movilidad")</f>
        <v>Movilidad</v>
      </c>
      <c r="E4405" s="25" t="str">
        <f ca="1">IFERROR(__xludf.DUMMYFUNCTION("""COMPUTED_VALUE"""),"Secretaría Distrital de Movilidad")</f>
        <v>Secretaría Distrital de Movilidad</v>
      </c>
      <c r="F4405" s="25" t="str">
        <f ca="1">IFERROR(__xludf.DUMMYFUNCTION("""COMPUTED_VALUE"""),"Incluir un artículo en la Ley de región metropolitana donde se de mayor flexibilidad y manejo al tema de comparendos, principalmente para mal parqueados. ")</f>
        <v xml:space="preserve">Incluir un artículo en la Ley de región metropolitana donde se de mayor flexibilidad y manejo al tema de comparendos, principalmente para mal parqueados. </v>
      </c>
      <c r="G4405" s="25" t="str">
        <f ca="1">IFERROR(__xludf.DUMMYFUNCTION("""COMPUTED_VALUE"""),"99. Distrito")</f>
        <v>99. Distrito</v>
      </c>
      <c r="H4405" s="55">
        <f ca="1">IFERROR(__xludf.DUMMYFUNCTION("""COMPUTED_VALUE"""),44448)</f>
        <v>44448</v>
      </c>
      <c r="I4405" s="25"/>
      <c r="J4405" s="55" t="str">
        <f ca="1">IFERROR(__xludf.DUMMYFUNCTION("""COMPUTED_VALUE"""),"Alta")</f>
        <v>Alta</v>
      </c>
      <c r="K4405" s="25">
        <f ca="1">IFERROR(__xludf.DUMMYFUNCTION("""COMPUTED_VALUE"""),30)</f>
        <v>30</v>
      </c>
      <c r="L4405" s="62">
        <f ca="1">IFERROR(__xludf.DUMMYFUNCTION("""COMPUTED_VALUE"""),44425)</f>
        <v>44425</v>
      </c>
      <c r="M4405" s="25" t="str">
        <f ca="1">IFERROR(__xludf.DUMMYFUNCTION("""COMPUTED_VALUE"""),"No se incluyó en el proyecto de Ley ni en artículos para ponencias, etc...")</f>
        <v>No se incluyó en el proyecto de Ley ni en artículos para ponencias, etc...</v>
      </c>
      <c r="N4405" s="55">
        <f ca="1">IFERROR(__xludf.DUMMYFUNCTION("""COMPUTED_VALUE"""),44425)</f>
        <v>44425</v>
      </c>
      <c r="O4405" s="25" t="str">
        <f t="shared" ca="1" si="0"/>
        <v>Secretaría Distrital de Movilidad</v>
      </c>
      <c r="P4405" s="25" t="str">
        <f t="shared" si="2"/>
        <v/>
      </c>
      <c r="Q4405" s="25" t="str">
        <f ca="1">IFERROR(__xludf.DUMMYFUNCTION("""COMPUTED_VALUE"""),"Corto plazo")</f>
        <v>Corto plazo</v>
      </c>
      <c r="R4405" s="25"/>
      <c r="S4405" s="55"/>
      <c r="T4405" s="56"/>
      <c r="U4405" s="25"/>
      <c r="V4405" s="25"/>
      <c r="W4405" s="25"/>
      <c r="X4405" s="25"/>
      <c r="Y4405" s="25"/>
      <c r="Z4405" s="25"/>
    </row>
    <row r="4406" spans="1:26" ht="52.5" customHeight="1" x14ac:dyDescent="0.25">
      <c r="A4406" s="25" t="str">
        <f ca="1">IFERROR(__xludf.DUMMYFUNCTION("""COMPUTED_VALUE"""),"Movil204")</f>
        <v>Movil204</v>
      </c>
      <c r="B4406" s="25" t="str">
        <f ca="1">IFERROR(__xludf.DUMMYFUNCTION("""COMPUTED_VALUE"""),"Reunión Revisión Estrategia Peatón")</f>
        <v>Reunión Revisión Estrategia Peatón</v>
      </c>
      <c r="C4406" s="55">
        <f ca="1">IFERROR(__xludf.DUMMYFUNCTION("""COMPUTED_VALUE"""),44418)</f>
        <v>44418</v>
      </c>
      <c r="D4406" s="25" t="str">
        <f ca="1">IFERROR(__xludf.DUMMYFUNCTION("""COMPUTED_VALUE"""),"Movilidad")</f>
        <v>Movilidad</v>
      </c>
      <c r="E4406" s="25" t="str">
        <f ca="1">IFERROR(__xludf.DUMMYFUNCTION("""COMPUTED_VALUE"""),"Secretaría Distrital de Movilidad")</f>
        <v>Secretaría Distrital de Movilidad</v>
      </c>
      <c r="F4406" s="25" t="str">
        <f ca="1">IFERROR(__xludf.DUMMYFUNCTION("""COMPUTED_VALUE"""),"Realizar un focus group con Henry Murrain donde se revise la señalética, tácticas y lenguaje a utilizar en la estrategia de peatón. ")</f>
        <v xml:space="preserve">Realizar un focus group con Henry Murrain donde se revise la señalética, tácticas y lenguaje a utilizar en la estrategia de peatón. </v>
      </c>
      <c r="G4406" s="25" t="str">
        <f ca="1">IFERROR(__xludf.DUMMYFUNCTION("""COMPUTED_VALUE"""),"99. Distrito")</f>
        <v>99. Distrito</v>
      </c>
      <c r="H4406" s="55">
        <f ca="1">IFERROR(__xludf.DUMMYFUNCTION("""COMPUTED_VALUE"""),44448)</f>
        <v>44448</v>
      </c>
      <c r="I4406" s="25"/>
      <c r="J4406" s="55" t="str">
        <f ca="1">IFERROR(__xludf.DUMMYFUNCTION("""COMPUTED_VALUE"""),"Alta")</f>
        <v>Alta</v>
      </c>
      <c r="K4406" s="25">
        <f ca="1">IFERROR(__xludf.DUMMYFUNCTION("""COMPUTED_VALUE"""),30)</f>
        <v>30</v>
      </c>
      <c r="L4406" s="62">
        <f ca="1">IFERROR(__xludf.DUMMYFUNCTION("""COMPUTED_VALUE"""),44425)</f>
        <v>44425</v>
      </c>
      <c r="M4406" s="25" t="str">
        <f ca="1">IFERROR(__xludf.DUMMYFUNCTION("""COMPUTED_VALUE"""),"Ok por parte de Henry Murrain el desarrollo del focus group. Sec. Cultura realizó guía para la aplicación del instrumento de focus group y el equipo de la SDM realizó el instrumento en campo. En este momento se están tabulando los resultados para presenta"&amp;"r al Secretario de Movilidad el 2 de septiembre.")</f>
        <v>Ok por parte de Henry Murrain el desarrollo del focus group. Sec. Cultura realizó guía para la aplicación del instrumento de focus group y el equipo de la SDM realizó el instrumento en campo. En este momento se están tabulando los resultados para presentar al Secretario de Movilidad el 2 de septiembre.</v>
      </c>
      <c r="N4406" s="55">
        <f ca="1">IFERROR(__xludf.DUMMYFUNCTION("""COMPUTED_VALUE"""),44425)</f>
        <v>44425</v>
      </c>
      <c r="O4406" s="25" t="str">
        <f t="shared" ca="1" si="0"/>
        <v>Secretaría Distrital de Movilidad</v>
      </c>
      <c r="P4406" s="25" t="str">
        <f t="shared" si="2"/>
        <v/>
      </c>
      <c r="Q4406" s="25" t="str">
        <f ca="1">IFERROR(__xludf.DUMMYFUNCTION("""COMPUTED_VALUE"""),"Corto plazo")</f>
        <v>Corto plazo</v>
      </c>
      <c r="R4406" s="25"/>
      <c r="S4406" s="55"/>
      <c r="T4406" s="56"/>
      <c r="U4406" s="25"/>
      <c r="V4406" s="25"/>
      <c r="W4406" s="25"/>
      <c r="X4406" s="25"/>
      <c r="Y4406" s="25"/>
      <c r="Z4406" s="25"/>
    </row>
    <row r="4407" spans="1:26" ht="52.5" customHeight="1" x14ac:dyDescent="0.25">
      <c r="A4407" s="25" t="str">
        <f ca="1">IFERROR(__xludf.DUMMYFUNCTION("""COMPUTED_VALUE"""),"Movil205")</f>
        <v>Movil205</v>
      </c>
      <c r="B4407" s="25" t="str">
        <f ca="1">IFERROR(__xludf.DUMMYFUNCTION("""COMPUTED_VALUE"""),"Reunión DNP ")</f>
        <v xml:space="preserve">Reunión DNP </v>
      </c>
      <c r="C4407" s="55">
        <f ca="1">IFERROR(__xludf.DUMMYFUNCTION("""COMPUTED_VALUE"""),44417)</f>
        <v>44417</v>
      </c>
      <c r="D4407" s="25" t="str">
        <f ca="1">IFERROR(__xludf.DUMMYFUNCTION("""COMPUTED_VALUE"""),"Movilidad")</f>
        <v>Movilidad</v>
      </c>
      <c r="E4407" s="25" t="str">
        <f ca="1">IFERROR(__xludf.DUMMYFUNCTION("""COMPUTED_VALUE"""),"Instituto de Desarrollo Urbano")</f>
        <v>Instituto de Desarrollo Urbano</v>
      </c>
      <c r="F4407" s="25" t="str">
        <f ca="1">IFERROR(__xludf.DUMMYFUNCTION("""COMPUTED_VALUE"""),"Proyecciones de costo beneficio social y económico de la calle 13 (IDU- SDP)")</f>
        <v>Proyecciones de costo beneficio social y económico de la calle 13 (IDU- SDP)</v>
      </c>
      <c r="G4407" s="25" t="str">
        <f ca="1">IFERROR(__xludf.DUMMYFUNCTION("""COMPUTED_VALUE"""),"99. Distrito")</f>
        <v>99. Distrito</v>
      </c>
      <c r="H4407" s="55">
        <f ca="1">IFERROR(__xludf.DUMMYFUNCTION("""COMPUTED_VALUE"""),44447)</f>
        <v>44447</v>
      </c>
      <c r="I4407" s="25"/>
      <c r="J4407" s="55" t="str">
        <f ca="1">IFERROR(__xludf.DUMMYFUNCTION("""COMPUTED_VALUE"""),"Alta")</f>
        <v>Alta</v>
      </c>
      <c r="K4407" s="25">
        <f ca="1">IFERROR(__xludf.DUMMYFUNCTION("""COMPUTED_VALUE"""),30)</f>
        <v>30</v>
      </c>
      <c r="L4407" s="62">
        <f ca="1">IFERROR(__xludf.DUMMYFUNCTION("""COMPUTED_VALUE"""),44469)</f>
        <v>44469</v>
      </c>
      <c r="M4407" s="25" t="str">
        <f ca="1">IFERROR(__xludf.DUMMYFUNCTION("""COMPUTED_VALUE"""),"Se elaboró la evaluación económica (costo beneficio) del proyecto de la Calle 13 como parte de los requisitos técnicos para acceder a la cofinanciación de la nación. Esta fue remitida y radicado formalmente al Gobierno Nacional el 4 de octubre de 2021.")</f>
        <v>Se elaboró la evaluación económica (costo beneficio) del proyecto de la Calle 13 como parte de los requisitos técnicos para acceder a la cofinanciación de la nación. Esta fue remitida y radicado formalmente al Gobierno Nacional el 4 de octubre de 2021.</v>
      </c>
      <c r="N4407" s="55">
        <f ca="1">IFERROR(__xludf.DUMMYFUNCTION("""COMPUTED_VALUE"""),44469)</f>
        <v>44469</v>
      </c>
      <c r="O4407" s="25" t="str">
        <f t="shared" ca="1" si="0"/>
        <v>Instituto de Desarrollo Urbano</v>
      </c>
      <c r="P4407" s="25" t="str">
        <f t="shared" si="2"/>
        <v/>
      </c>
      <c r="Q4407" s="25" t="str">
        <f ca="1">IFERROR(__xludf.DUMMYFUNCTION("""COMPUTED_VALUE"""),"Corto plazo")</f>
        <v>Corto plazo</v>
      </c>
      <c r="R4407" s="25"/>
      <c r="S4407" s="55"/>
      <c r="T4407" s="56"/>
      <c r="U4407" s="25"/>
      <c r="V4407" s="25"/>
      <c r="W4407" s="25"/>
      <c r="X4407" s="25"/>
      <c r="Y4407" s="25"/>
      <c r="Z4407" s="25"/>
    </row>
    <row r="4408" spans="1:26" ht="52.5" customHeight="1" x14ac:dyDescent="0.25">
      <c r="A4408" s="25" t="str">
        <f ca="1">IFERROR(__xludf.DUMMYFUNCTION("""COMPUTED_VALUE"""),"Movil206")</f>
        <v>Movil206</v>
      </c>
      <c r="B4408" s="25" t="str">
        <f ca="1">IFERROR(__xludf.DUMMYFUNCTION("""COMPUTED_VALUE"""),"Reunión DNP ")</f>
        <v xml:space="preserve">Reunión DNP </v>
      </c>
      <c r="C4408" s="55">
        <f ca="1">IFERROR(__xludf.DUMMYFUNCTION("""COMPUTED_VALUE"""),44417)</f>
        <v>44417</v>
      </c>
      <c r="D4408" s="25" t="str">
        <f ca="1">IFERROR(__xludf.DUMMYFUNCTION("""COMPUTED_VALUE"""),"Movilidad")</f>
        <v>Movilidad</v>
      </c>
      <c r="E4408" s="25" t="str">
        <f ca="1">IFERROR(__xludf.DUMMYFUNCTION("""COMPUTED_VALUE"""),"Instituto de Desarrollo Urbano")</f>
        <v>Instituto de Desarrollo Urbano</v>
      </c>
      <c r="F4408" s="25" t="str">
        <f ca="1">IFERROR(__xludf.DUMMYFUNCTION("""COMPUTED_VALUE"""),"Hacer un cronograma del convenio de cofinanciación del borde occidental")</f>
        <v>Hacer un cronograma del convenio de cofinanciación del borde occidental</v>
      </c>
      <c r="G4408" s="25" t="str">
        <f ca="1">IFERROR(__xludf.DUMMYFUNCTION("""COMPUTED_VALUE"""),"99. Distrito")</f>
        <v>99. Distrito</v>
      </c>
      <c r="H4408" s="55">
        <f ca="1">IFERROR(__xludf.DUMMYFUNCTION("""COMPUTED_VALUE"""),44447)</f>
        <v>44447</v>
      </c>
      <c r="I4408" s="25"/>
      <c r="J4408" s="55" t="str">
        <f ca="1">IFERROR(__xludf.DUMMYFUNCTION("""COMPUTED_VALUE"""),"Alta")</f>
        <v>Alta</v>
      </c>
      <c r="K4408" s="25">
        <f ca="1">IFERROR(__xludf.DUMMYFUNCTION("""COMPUTED_VALUE"""),30)</f>
        <v>30</v>
      </c>
      <c r="L4408" s="62">
        <f ca="1">IFERROR(__xludf.DUMMYFUNCTION("""COMPUTED_VALUE"""),44420)</f>
        <v>44420</v>
      </c>
      <c r="M4408" s="25" t="str">
        <f ca="1">IFERROR(__xludf.DUMMYFUNCTION("""COMPUTED_VALUE"""),"Actualización 12-08-2021
 Se elaboró el cronograma, pendiente ajuste de fechas dependiendo de fechade respuesta carta aeronáutica.")</f>
        <v>Actualización 12-08-2021
 Se elaboró el cronograma, pendiente ajuste de fechas dependiendo de fechade respuesta carta aeronáutica.</v>
      </c>
      <c r="N4408" s="55">
        <f ca="1">IFERROR(__xludf.DUMMYFUNCTION("""COMPUTED_VALUE"""),44420)</f>
        <v>44420</v>
      </c>
      <c r="O4408" s="25" t="str">
        <f t="shared" ca="1" si="0"/>
        <v>Instituto de Desarrollo Urbano</v>
      </c>
      <c r="P4408" s="25" t="str">
        <f t="shared" si="2"/>
        <v/>
      </c>
      <c r="Q4408" s="25" t="str">
        <f ca="1">IFERROR(__xludf.DUMMYFUNCTION("""COMPUTED_VALUE"""),"Corto plazo")</f>
        <v>Corto plazo</v>
      </c>
      <c r="R4408" s="25"/>
      <c r="S4408" s="55"/>
      <c r="T4408" s="56"/>
      <c r="U4408" s="25"/>
      <c r="V4408" s="25"/>
      <c r="W4408" s="25"/>
      <c r="X4408" s="25"/>
      <c r="Y4408" s="25"/>
      <c r="Z4408" s="25"/>
    </row>
    <row r="4409" spans="1:26" ht="52.5" customHeight="1" x14ac:dyDescent="0.25">
      <c r="A4409" s="25" t="str">
        <f ca="1">IFERROR(__xludf.DUMMYFUNCTION("""COMPUTED_VALUE"""),"Movil207")</f>
        <v>Movil207</v>
      </c>
      <c r="B4409" s="25" t="str">
        <f ca="1">IFERROR(__xludf.DUMMYFUNCTION("""COMPUTED_VALUE"""),"Reunión Suba Cota")</f>
        <v>Reunión Suba Cota</v>
      </c>
      <c r="C4409" s="55">
        <f ca="1">IFERROR(__xludf.DUMMYFUNCTION("""COMPUTED_VALUE"""),44417)</f>
        <v>44417</v>
      </c>
      <c r="D4409" s="25" t="str">
        <f ca="1">IFERROR(__xludf.DUMMYFUNCTION("""COMPUTED_VALUE"""),"Movilidad")</f>
        <v>Movilidad</v>
      </c>
      <c r="E4409" s="25" t="str">
        <f ca="1">IFERROR(__xludf.DUMMYFUNCTION("""COMPUTED_VALUE"""),"Instituto de Desarrollo Urbano")</f>
        <v>Instituto de Desarrollo Urbano</v>
      </c>
      <c r="F4409" s="25" t="str">
        <f ca="1">IFERROR(__xludf.DUMMYFUNCTION("""COMPUTED_VALUE"""),"Gobernación debe sacar en CDP para estudios y diseños por 6443 millones de la vía Suba-Cota")</f>
        <v>Gobernación debe sacar en CDP para estudios y diseños por 6443 millones de la vía Suba-Cota</v>
      </c>
      <c r="G4409" s="25" t="str">
        <f ca="1">IFERROR(__xludf.DUMMYFUNCTION("""COMPUTED_VALUE"""),"99. Distrito")</f>
        <v>99. Distrito</v>
      </c>
      <c r="H4409" s="55">
        <f ca="1">IFERROR(__xludf.DUMMYFUNCTION("""COMPUTED_VALUE"""),44447)</f>
        <v>44447</v>
      </c>
      <c r="I4409" s="25"/>
      <c r="J4409" s="55" t="str">
        <f ca="1">IFERROR(__xludf.DUMMYFUNCTION("""COMPUTED_VALUE"""),"Alta")</f>
        <v>Alta</v>
      </c>
      <c r="K4409" s="25">
        <f ca="1">IFERROR(__xludf.DUMMYFUNCTION("""COMPUTED_VALUE"""),30)</f>
        <v>30</v>
      </c>
      <c r="L4409" s="62">
        <f ca="1">IFERROR(__xludf.DUMMYFUNCTION("""COMPUTED_VALUE"""),44456)</f>
        <v>44456</v>
      </c>
      <c r="M4409" s="25" t="str">
        <f ca="1">IFERROR(__xludf.DUMMYFUNCTION("""COMPUTED_VALUE"""),"El día 15 de septiembre se suscribió el convenio 1537 de 2021 entre el ICCU, el municipio de Cota e IDU cuyo objeto es ""AUNAR ESFUERZOS TÉCNICOS, ADMINISTRATIVOS, PRESUPUESTALES Y JURÍDICOS PARA LA ELABORACIÓN DE LA FACTIBILIDAD, ESTUDIOS Y DISEÑOS PARA "&amp;"LA CONSTRUCCIÓN DE LA INTERSECCIÓN CON EL MUNICIPIO DE COTA, EN DESARROLLO DEL MARCO DEL CONVENIO INTERADMINISTRATIVO No.1356 de 2020"", las partes se comprometieron a girar los recursos la semana del 2º de septiembre. Se publicarán pliegos definitivos el"&amp;" 27 de septiembre según cronograma estimado.")</f>
        <v>El día 15 de septiembre se suscribió el convenio 1537 de 2021 entre el ICCU, el municipio de Cota e IDU cuyo objeto es "AUNAR ESFUERZOS TÉCNICOS, ADMINISTRATIVOS, PRESUPUESTALES Y JURÍDICOS PARA LA ELABORACIÓN DE LA FACTIBILIDAD, ESTUDIOS Y DISEÑOS PARA LA CONSTRUCCIÓN DE LA INTERSECCIÓN CON EL MUNICIPIO DE COTA, EN DESARROLLO DEL MARCO DEL CONVENIO INTERADMINISTRATIVO No.1356 de 2020", las partes se comprometieron a girar los recursos la semana del 2º de septiembre. Se publicarán pliegos definitivos el 27 de septiembre según cronograma estimado.</v>
      </c>
      <c r="N4409" s="55">
        <f ca="1">IFERROR(__xludf.DUMMYFUNCTION("""COMPUTED_VALUE"""),44456)</f>
        <v>44456</v>
      </c>
      <c r="O4409" s="25" t="str">
        <f t="shared" ca="1" si="0"/>
        <v>Instituto de Desarrollo Urbano</v>
      </c>
      <c r="P4409" s="25" t="str">
        <f t="shared" si="2"/>
        <v/>
      </c>
      <c r="Q4409" s="25" t="str">
        <f ca="1">IFERROR(__xludf.DUMMYFUNCTION("""COMPUTED_VALUE"""),"Corto plazo")</f>
        <v>Corto plazo</v>
      </c>
      <c r="R4409" s="25"/>
      <c r="S4409" s="55"/>
      <c r="T4409" s="56"/>
      <c r="U4409" s="25"/>
      <c r="V4409" s="25"/>
      <c r="W4409" s="25"/>
      <c r="X4409" s="25"/>
      <c r="Y4409" s="25"/>
      <c r="Z4409" s="25"/>
    </row>
    <row r="4410" spans="1:26" ht="52.5" customHeight="1" x14ac:dyDescent="0.25">
      <c r="A4410" s="25" t="str">
        <f ca="1">IFERROR(__xludf.DUMMYFUNCTION("""COMPUTED_VALUE"""),"Movil208")</f>
        <v>Movil208</v>
      </c>
      <c r="B4410" s="25" t="str">
        <f ca="1">IFERROR(__xludf.DUMMYFUNCTION("""COMPUTED_VALUE"""),"Kennedy")</f>
        <v>Kennedy</v>
      </c>
      <c r="C4410" s="55">
        <f ca="1">IFERROR(__xludf.DUMMYFUNCTION("""COMPUTED_VALUE"""),44417)</f>
        <v>44417</v>
      </c>
      <c r="D4410" s="25" t="str">
        <f ca="1">IFERROR(__xludf.DUMMYFUNCTION("""COMPUTED_VALUE"""),"Movilidad")</f>
        <v>Movilidad</v>
      </c>
      <c r="E4410" s="25" t="str">
        <f ca="1">IFERROR(__xludf.DUMMYFUNCTION("""COMPUTED_VALUE"""),"Empresa Metro de Bogotá S.A.")</f>
        <v>Empresa Metro de Bogotá S.A.</v>
      </c>
      <c r="F4410" s="25" t="str">
        <f ca="1">IFERROR(__xludf.DUMMYFUNCTION("""COMPUTED_VALUE"""),"Junta de infraestructura debe incluir componente social por cada tramo de metro para revisión ")</f>
        <v xml:space="preserve">Junta de infraestructura debe incluir componente social por cada tramo de metro para revisión </v>
      </c>
      <c r="G4410" s="25" t="str">
        <f ca="1">IFERROR(__xludf.DUMMYFUNCTION("""COMPUTED_VALUE"""),"99. Distrito")</f>
        <v>99. Distrito</v>
      </c>
      <c r="H4410" s="55">
        <f ca="1">IFERROR(__xludf.DUMMYFUNCTION("""COMPUTED_VALUE"""),44447)</f>
        <v>44447</v>
      </c>
      <c r="I4410" s="25"/>
      <c r="J4410" s="55" t="str">
        <f ca="1">IFERROR(__xludf.DUMMYFUNCTION("""COMPUTED_VALUE"""),"Alta")</f>
        <v>Alta</v>
      </c>
      <c r="K4410" s="25">
        <f ca="1">IFERROR(__xludf.DUMMYFUNCTION("""COMPUTED_VALUE"""),30)</f>
        <v>30</v>
      </c>
      <c r="L4410" s="62">
        <f ca="1">IFERROR(__xludf.DUMMYFUNCTION("""COMPUTED_VALUE"""),44593)</f>
        <v>44593</v>
      </c>
      <c r="M4410" s="25" t="str">
        <f ca="1">IFERROR(__xludf.DUMMYFUNCTION("""COMPUTED_VALUE"""),"Esta actividad ya fue reportada como cumplida y en reportes anterior aparecía cerrada.")</f>
        <v>Esta actividad ya fue reportada como cumplida y en reportes anterior aparecía cerrada.</v>
      </c>
      <c r="N4410" s="55">
        <f ca="1">IFERROR(__xludf.DUMMYFUNCTION("""COMPUTED_VALUE"""),44593)</f>
        <v>44593</v>
      </c>
      <c r="O4410" s="25" t="str">
        <f t="shared" ca="1" si="0"/>
        <v>Empresa Metro de Bogotá S.A.</v>
      </c>
      <c r="P4410" s="25" t="str">
        <f t="shared" si="2"/>
        <v/>
      </c>
      <c r="Q4410" s="25" t="str">
        <f ca="1">IFERROR(__xludf.DUMMYFUNCTION("""COMPUTED_VALUE"""),"Corto plazo")</f>
        <v>Corto plazo</v>
      </c>
      <c r="R4410" s="25"/>
      <c r="S4410" s="55"/>
      <c r="T4410" s="56"/>
      <c r="U4410" s="25"/>
      <c r="V4410" s="25"/>
      <c r="W4410" s="25"/>
      <c r="X4410" s="25"/>
      <c r="Y4410" s="25"/>
      <c r="Z4410" s="25"/>
    </row>
    <row r="4411" spans="1:26" ht="52.5" customHeight="1" x14ac:dyDescent="0.25">
      <c r="A4411" s="25" t="str">
        <f ca="1">IFERROR(__xludf.DUMMYFUNCTION("""COMPUTED_VALUE"""),"Movil209")</f>
        <v>Movil209</v>
      </c>
      <c r="B4411" s="25" t="str">
        <f ca="1">IFERROR(__xludf.DUMMYFUNCTION("""COMPUTED_VALUE"""),"Kennedy")</f>
        <v>Kennedy</v>
      </c>
      <c r="C4411" s="55">
        <f ca="1">IFERROR(__xludf.DUMMYFUNCTION("""COMPUTED_VALUE"""),44417)</f>
        <v>44417</v>
      </c>
      <c r="D4411" s="25" t="str">
        <f ca="1">IFERROR(__xludf.DUMMYFUNCTION("""COMPUTED_VALUE"""),"Movilidad")</f>
        <v>Movilidad</v>
      </c>
      <c r="E4411" s="25" t="str">
        <f ca="1">IFERROR(__xludf.DUMMYFUNCTION("""COMPUTED_VALUE"""),"Instituto de Desarrollo Urbano")</f>
        <v>Instituto de Desarrollo Urbano</v>
      </c>
      <c r="F4411" s="25" t="str">
        <f ca="1">IFERROR(__xludf.DUMMYFUNCTION("""COMPUTED_VALUE"""),"Cuadrar una reunión entre el acueducto y el idu, para que el idu asuma y apropie la ampliación de la av villavicencio")</f>
        <v>Cuadrar una reunión entre el acueducto y el idu, para que el idu asuma y apropie la ampliación de la av villavicencio</v>
      </c>
      <c r="G4411" s="25" t="str">
        <f ca="1">IFERROR(__xludf.DUMMYFUNCTION("""COMPUTED_VALUE"""),"99. Distrito")</f>
        <v>99. Distrito</v>
      </c>
      <c r="H4411" s="55">
        <f ca="1">IFERROR(__xludf.DUMMYFUNCTION("""COMPUTED_VALUE"""),44447)</f>
        <v>44447</v>
      </c>
      <c r="I4411" s="25"/>
      <c r="J4411" s="55" t="str">
        <f ca="1">IFERROR(__xludf.DUMMYFUNCTION("""COMPUTED_VALUE"""),"Alta")</f>
        <v>Alta</v>
      </c>
      <c r="K4411" s="25">
        <f ca="1">IFERROR(__xludf.DUMMYFUNCTION("""COMPUTED_VALUE"""),30)</f>
        <v>30</v>
      </c>
      <c r="L4411" s="62">
        <f ca="1">IFERROR(__xludf.DUMMYFUNCTION("""COMPUTED_VALUE"""),44776)</f>
        <v>44776</v>
      </c>
      <c r="M4411" s="25" t="str">
        <f ca="1">IFERROR(__xludf.DUMMYFUNCTION("""COMPUTED_VALUE"""),"La Empresa Metro realizará la construcción de la calzada Sur y el IDU la calzada norte, para lo cual se armonizaran los cronogramas con la Empresa Metro con el fin de determinar la vigencia en la cual se deben asignar los recursos.
En la vigencia 2023 se"&amp;" continuará con el proceso de aprobación de productos en las empresas de servicios públicos y terceros para la construcción de lo correspondiente al IDU.")</f>
        <v>La Empresa Metro realizará la construcción de la calzada Sur y el IDU la calzada norte, para lo cual se armonizaran los cronogramas con la Empresa Metro con el fin de determinar la vigencia en la cual se deben asignar los recursos.
En la vigencia 2023 se continuará con el proceso de aprobación de productos en las empresas de servicios públicos y terceros para la construcción de lo correspondiente al IDU.</v>
      </c>
      <c r="N4411" s="55">
        <f ca="1">IFERROR(__xludf.DUMMYFUNCTION("""COMPUTED_VALUE"""),44776)</f>
        <v>44776</v>
      </c>
      <c r="O4411" s="25" t="str">
        <f t="shared" ca="1" si="0"/>
        <v>Instituto de Desarrollo Urbano</v>
      </c>
      <c r="P4411" s="25" t="str">
        <f t="shared" si="2"/>
        <v/>
      </c>
      <c r="Q4411" s="25" t="str">
        <f ca="1">IFERROR(__xludf.DUMMYFUNCTION("""COMPUTED_VALUE"""),"Corto plazo")</f>
        <v>Corto plazo</v>
      </c>
      <c r="R4411" s="25"/>
      <c r="S4411" s="55"/>
      <c r="T4411" s="56"/>
      <c r="U4411" s="25"/>
      <c r="V4411" s="25"/>
      <c r="W4411" s="25"/>
      <c r="X4411" s="25"/>
      <c r="Y4411" s="25"/>
      <c r="Z4411" s="25"/>
    </row>
    <row r="4412" spans="1:26" ht="52.5" customHeight="1" x14ac:dyDescent="0.25">
      <c r="A4412" s="25" t="str">
        <f ca="1">IFERROR(__xludf.DUMMYFUNCTION("""COMPUTED_VALUE"""),"Movil210")</f>
        <v>Movil210</v>
      </c>
      <c r="B4412" s="25" t="str">
        <f ca="1">IFERROR(__xludf.DUMMYFUNCTION("""COMPUTED_VALUE"""),"Kennedy")</f>
        <v>Kennedy</v>
      </c>
      <c r="C4412" s="55">
        <f ca="1">IFERROR(__xludf.DUMMYFUNCTION("""COMPUTED_VALUE"""),44415)</f>
        <v>44415</v>
      </c>
      <c r="D4412" s="25" t="str">
        <f ca="1">IFERROR(__xludf.DUMMYFUNCTION("""COMPUTED_VALUE"""),"Movilidad")</f>
        <v>Movilidad</v>
      </c>
      <c r="E4412" s="25" t="str">
        <f ca="1">IFERROR(__xludf.DUMMYFUNCTION("""COMPUTED_VALUE"""),"Empresa Metro de Bogotá S.A.")</f>
        <v>Empresa Metro de Bogotá S.A.</v>
      </c>
      <c r="F4412" s="25" t="str">
        <f ca="1">IFERROR(__xludf.DUMMYFUNCTION("""COMPUTED_VALUE"""),"Junta de infraestructura debe incluir componente social por cada tramo de metro para revisión ")</f>
        <v xml:space="preserve">Junta de infraestructura debe incluir componente social por cada tramo de metro para revisión </v>
      </c>
      <c r="G4412" s="25" t="str">
        <f ca="1">IFERROR(__xludf.DUMMYFUNCTION("""COMPUTED_VALUE"""),"99. Distrito")</f>
        <v>99. Distrito</v>
      </c>
      <c r="H4412" s="55">
        <f ca="1">IFERROR(__xludf.DUMMYFUNCTION("""COMPUTED_VALUE"""),44445)</f>
        <v>44445</v>
      </c>
      <c r="I4412" s="25"/>
      <c r="J4412" s="55" t="str">
        <f ca="1">IFERROR(__xludf.DUMMYFUNCTION("""COMPUTED_VALUE"""),"Alta")</f>
        <v>Alta</v>
      </c>
      <c r="K4412" s="25">
        <f ca="1">IFERROR(__xludf.DUMMYFUNCTION("""COMPUTED_VALUE"""),30)</f>
        <v>30</v>
      </c>
      <c r="L4412" s="62">
        <f ca="1">IFERROR(__xludf.DUMMYFUNCTION("""COMPUTED_VALUE"""),44593)</f>
        <v>44593</v>
      </c>
      <c r="M4412" s="25" t="str">
        <f ca="1">IFERROR(__xludf.DUMMYFUNCTION("""COMPUTED_VALUE"""),"Esta actividad ya fue reportada como cumplida y en reportes anterior aparecía cerrada.")</f>
        <v>Esta actividad ya fue reportada como cumplida y en reportes anterior aparecía cerrada.</v>
      </c>
      <c r="N4412" s="55">
        <f ca="1">IFERROR(__xludf.DUMMYFUNCTION("""COMPUTED_VALUE"""),44593)</f>
        <v>44593</v>
      </c>
      <c r="O4412" s="25" t="str">
        <f t="shared" ca="1" si="0"/>
        <v>Empresa Metro de Bogotá S.A.</v>
      </c>
      <c r="P4412" s="25" t="str">
        <f t="shared" si="2"/>
        <v/>
      </c>
      <c r="Q4412" s="25" t="str">
        <f ca="1">IFERROR(__xludf.DUMMYFUNCTION("""COMPUTED_VALUE"""),"Corto plazo")</f>
        <v>Corto plazo</v>
      </c>
      <c r="R4412" s="25"/>
      <c r="S4412" s="55"/>
      <c r="T4412" s="56"/>
      <c r="U4412" s="25"/>
      <c r="V4412" s="25"/>
      <c r="W4412" s="25"/>
      <c r="X4412" s="25"/>
      <c r="Y4412" s="25"/>
      <c r="Z4412" s="25"/>
    </row>
    <row r="4413" spans="1:26" ht="52.5" customHeight="1" x14ac:dyDescent="0.25">
      <c r="A4413" s="25" t="str">
        <f ca="1">IFERROR(__xludf.DUMMYFUNCTION("""COMPUTED_VALUE"""),"Movil211")</f>
        <v>Movil211</v>
      </c>
      <c r="B4413" s="25" t="str">
        <f ca="1">IFERROR(__xludf.DUMMYFUNCTION("""COMPUTED_VALUE"""),"Kennedy")</f>
        <v>Kennedy</v>
      </c>
      <c r="C4413" s="55">
        <f ca="1">IFERROR(__xludf.DUMMYFUNCTION("""COMPUTED_VALUE"""),44415)</f>
        <v>44415</v>
      </c>
      <c r="D4413" s="25" t="str">
        <f ca="1">IFERROR(__xludf.DUMMYFUNCTION("""COMPUTED_VALUE"""),"Movilidad")</f>
        <v>Movilidad</v>
      </c>
      <c r="E4413" s="25" t="str">
        <f ca="1">IFERROR(__xludf.DUMMYFUNCTION("""COMPUTED_VALUE"""),"Unidad Administrativa Especial de Rehabilitación y Mantenimiento Vial")</f>
        <v>Unidad Administrativa Especial de Rehabilitación y Mantenimiento Vial</v>
      </c>
      <c r="F4413" s="25" t="str">
        <f ca="1">IFERROR(__xludf.DUMMYFUNCTION("""COMPUTED_VALUE"""),"Instalar una cámara 360 en la ciclo alameda el porvenir que grabe todos los avances de obra")</f>
        <v>Instalar una cámara 360 en la ciclo alameda el porvenir que grabe todos los avances de obra</v>
      </c>
      <c r="G4413" s="25" t="str">
        <f ca="1">IFERROR(__xludf.DUMMYFUNCTION("""COMPUTED_VALUE"""),"99. Distrito")</f>
        <v>99. Distrito</v>
      </c>
      <c r="H4413" s="55">
        <f ca="1">IFERROR(__xludf.DUMMYFUNCTION("""COMPUTED_VALUE"""),44445)</f>
        <v>44445</v>
      </c>
      <c r="I4413" s="25"/>
      <c r="J4413" s="55" t="str">
        <f ca="1">IFERROR(__xludf.DUMMYFUNCTION("""COMPUTED_VALUE"""),"Alta")</f>
        <v>Alta</v>
      </c>
      <c r="K4413" s="25">
        <f ca="1">IFERROR(__xludf.DUMMYFUNCTION("""COMPUTED_VALUE"""),30)</f>
        <v>30</v>
      </c>
      <c r="L4413" s="62"/>
      <c r="M4413" s="25" t="str">
        <f ca="1">IFERROR(__xludf.DUMMYFUNCTION("""COMPUTED_VALUE"""),"Esta actividad se debe cerrar pues ya se hizo la entrega del proyecto y se mostraron los avances. ")</f>
        <v xml:space="preserve">Esta actividad se debe cerrar pues ya se hizo la entrega del proyecto y se mostraron los avances. </v>
      </c>
      <c r="N4413" s="55">
        <f ca="1">IFERROR(__xludf.DUMMYFUNCTION("""COMPUTED_VALUE"""),44927)</f>
        <v>44927</v>
      </c>
      <c r="O4413" s="25" t="str">
        <f t="shared" ca="1" si="0"/>
        <v>Unidad Administrativa Especial de Rehabilitación y Mantenimiento Vial</v>
      </c>
      <c r="P4413" s="25" t="str">
        <f t="shared" si="2"/>
        <v/>
      </c>
      <c r="Q4413" s="25" t="str">
        <f ca="1">IFERROR(__xludf.DUMMYFUNCTION("""COMPUTED_VALUE"""),"Corto plazo")</f>
        <v>Corto plazo</v>
      </c>
      <c r="R4413" s="25"/>
      <c r="S4413" s="55"/>
      <c r="T4413" s="56"/>
      <c r="U4413" s="25"/>
      <c r="V4413" s="25"/>
      <c r="W4413" s="25"/>
      <c r="X4413" s="25"/>
      <c r="Y4413" s="25"/>
      <c r="Z4413" s="25"/>
    </row>
    <row r="4414" spans="1:26" ht="52.5" customHeight="1" x14ac:dyDescent="0.25">
      <c r="A4414" s="25" t="str">
        <f ca="1">IFERROR(__xludf.DUMMYFUNCTION("""COMPUTED_VALUE"""),"Movil212")</f>
        <v>Movil212</v>
      </c>
      <c r="B4414" s="25" t="str">
        <f ca="1">IFERROR(__xludf.DUMMYFUNCTION("""COMPUTED_VALUE"""),"Reunión Cable San Rafael")</f>
        <v>Reunión Cable San Rafael</v>
      </c>
      <c r="C4414" s="55">
        <f ca="1">IFERROR(__xludf.DUMMYFUNCTION("""COMPUTED_VALUE"""),44414)</f>
        <v>44414</v>
      </c>
      <c r="D4414" s="25" t="str">
        <f ca="1">IFERROR(__xludf.DUMMYFUNCTION("""COMPUTED_VALUE"""),"Movilidad")</f>
        <v>Movilidad</v>
      </c>
      <c r="E4414" s="25" t="str">
        <f ca="1">IFERROR(__xludf.DUMMYFUNCTION("""COMPUTED_VALUE"""),"Instituto de Desarrollo Urbano")</f>
        <v>Instituto de Desarrollo Urbano</v>
      </c>
      <c r="F4414" s="25" t="str">
        <f ca="1">IFERROR(__xludf.DUMMYFUNCTION("""COMPUTED_VALUE"""),"Con pre factibilidad del cable del centro sacar una APP para los dos cables - San Rafael y Centro")</f>
        <v>Con pre factibilidad del cable del centro sacar una APP para los dos cables - San Rafael y Centro</v>
      </c>
      <c r="G4414" s="25" t="str">
        <f ca="1">IFERROR(__xludf.DUMMYFUNCTION("""COMPUTED_VALUE"""),"99. Distrito")</f>
        <v>99. Distrito</v>
      </c>
      <c r="H4414" s="55">
        <f ca="1">IFERROR(__xludf.DUMMYFUNCTION("""COMPUTED_VALUE"""),44444)</f>
        <v>44444</v>
      </c>
      <c r="I4414" s="25"/>
      <c r="J4414" s="55" t="str">
        <f ca="1">IFERROR(__xludf.DUMMYFUNCTION("""COMPUTED_VALUE"""),"Alta")</f>
        <v>Alta</v>
      </c>
      <c r="K4414" s="25">
        <f ca="1">IFERROR(__xludf.DUMMYFUNCTION("""COMPUTED_VALUE"""),30)</f>
        <v>30</v>
      </c>
      <c r="L4414" s="62">
        <f ca="1">IFERROR(__xludf.DUMMYFUNCTION("""COMPUTED_VALUE"""),44748)</f>
        <v>44748</v>
      </c>
      <c r="M4414" s="25" t="str">
        <f ca="1">IFERROR(__xludf.DUMMYFUNCTION("""COMPUTED_VALUE"""),"Se descartó trabajar los dos proyectos de manera simultánea a través de APP")</f>
        <v>Se descartó trabajar los dos proyectos de manera simultánea a través de APP</v>
      </c>
      <c r="N4414" s="55">
        <f ca="1">IFERROR(__xludf.DUMMYFUNCTION("""COMPUTED_VALUE"""),44748)</f>
        <v>44748</v>
      </c>
      <c r="O4414" s="25" t="str">
        <f t="shared" ca="1" si="0"/>
        <v>Instituto de Desarrollo Urbano</v>
      </c>
      <c r="P4414" s="25" t="str">
        <f t="shared" si="2"/>
        <v/>
      </c>
      <c r="Q4414" s="25" t="str">
        <f ca="1">IFERROR(__xludf.DUMMYFUNCTION("""COMPUTED_VALUE"""),"Corto plazo")</f>
        <v>Corto plazo</v>
      </c>
      <c r="R4414" s="25"/>
      <c r="S4414" s="55"/>
      <c r="T4414" s="56"/>
      <c r="U4414" s="25"/>
      <c r="V4414" s="25"/>
      <c r="W4414" s="25"/>
      <c r="X4414" s="25"/>
      <c r="Y4414" s="25"/>
      <c r="Z4414" s="25"/>
    </row>
    <row r="4415" spans="1:26" ht="52.5" customHeight="1" x14ac:dyDescent="0.25">
      <c r="A4415" s="25" t="str">
        <f ca="1">IFERROR(__xludf.DUMMYFUNCTION("""COMPUTED_VALUE"""),"Movil213")</f>
        <v>Movil213</v>
      </c>
      <c r="B4415" s="25" t="str">
        <f ca="1">IFERROR(__xludf.DUMMYFUNCTION("""COMPUTED_VALUE"""),"Reunión Cable San Rafael")</f>
        <v>Reunión Cable San Rafael</v>
      </c>
      <c r="C4415" s="55">
        <f ca="1">IFERROR(__xludf.DUMMYFUNCTION("""COMPUTED_VALUE"""),44414)</f>
        <v>44414</v>
      </c>
      <c r="D4415" s="25" t="str">
        <f ca="1">IFERROR(__xludf.DUMMYFUNCTION("""COMPUTED_VALUE"""),"Movilidad")</f>
        <v>Movilidad</v>
      </c>
      <c r="E4415" s="25" t="str">
        <f ca="1">IFERROR(__xludf.DUMMYFUNCTION("""COMPUTED_VALUE"""),"Instituto de Desarrollo Urbano")</f>
        <v>Instituto de Desarrollo Urbano</v>
      </c>
      <c r="F4415" s="25" t="str">
        <f ca="1">IFERROR(__xludf.DUMMYFUNCTION("""COMPUTED_VALUE"""),"Reunión IDU y Facultad Arquitectura de la Universidad de los Andes para el Cable del Centro Histórico")</f>
        <v>Reunión IDU y Facultad Arquitectura de la Universidad de los Andes para el Cable del Centro Histórico</v>
      </c>
      <c r="G4415" s="25" t="str">
        <f ca="1">IFERROR(__xludf.DUMMYFUNCTION("""COMPUTED_VALUE"""),"99. Distrito")</f>
        <v>99. Distrito</v>
      </c>
      <c r="H4415" s="55">
        <f ca="1">IFERROR(__xludf.DUMMYFUNCTION("""COMPUTED_VALUE"""),44444)</f>
        <v>44444</v>
      </c>
      <c r="I4415" s="25"/>
      <c r="J4415" s="55" t="str">
        <f ca="1">IFERROR(__xludf.DUMMYFUNCTION("""COMPUTED_VALUE"""),"Alta")</f>
        <v>Alta</v>
      </c>
      <c r="K4415" s="25">
        <f ca="1">IFERROR(__xludf.DUMMYFUNCTION("""COMPUTED_VALUE"""),30)</f>
        <v>30</v>
      </c>
      <c r="L4415" s="62">
        <f ca="1">IFERROR(__xludf.DUMMYFUNCTION("""COMPUTED_VALUE"""),44623)</f>
        <v>44623</v>
      </c>
      <c r="M4415" s="25" t="str">
        <f ca="1">IFERROR(__xludf.DUMMYFUNCTION("""COMPUTED_VALUE"""),"La reunión se realizó el 25 de noviembre de 2021")</f>
        <v>La reunión se realizó el 25 de noviembre de 2021</v>
      </c>
      <c r="N4415" s="55">
        <f ca="1">IFERROR(__xludf.DUMMYFUNCTION("""COMPUTED_VALUE"""),44623)</f>
        <v>44623</v>
      </c>
      <c r="O4415" s="25" t="str">
        <f t="shared" ca="1" si="0"/>
        <v>Instituto de Desarrollo Urbano</v>
      </c>
      <c r="P4415" s="25" t="str">
        <f t="shared" si="2"/>
        <v/>
      </c>
      <c r="Q4415" s="25" t="str">
        <f ca="1">IFERROR(__xludf.DUMMYFUNCTION("""COMPUTED_VALUE"""),"Corto plazo")</f>
        <v>Corto plazo</v>
      </c>
      <c r="R4415" s="25"/>
      <c r="S4415" s="55"/>
      <c r="T4415" s="56"/>
      <c r="U4415" s="25"/>
      <c r="V4415" s="25"/>
      <c r="W4415" s="25"/>
      <c r="X4415" s="25"/>
      <c r="Y4415" s="25"/>
      <c r="Z4415" s="25"/>
    </row>
    <row r="4416" spans="1:26" ht="52.5" customHeight="1" x14ac:dyDescent="0.25">
      <c r="A4416" s="25" t="str">
        <f ca="1">IFERROR(__xludf.DUMMYFUNCTION("""COMPUTED_VALUE"""),"Movil214")</f>
        <v>Movil214</v>
      </c>
      <c r="B4416" s="25" t="str">
        <f ca="1">IFERROR(__xludf.DUMMYFUNCTION("""COMPUTED_VALUE"""),"Sistema público de bicicletas")</f>
        <v>Sistema público de bicicletas</v>
      </c>
      <c r="C4416" s="55">
        <f ca="1">IFERROR(__xludf.DUMMYFUNCTION("""COMPUTED_VALUE"""),44412)</f>
        <v>44412</v>
      </c>
      <c r="D4416" s="25" t="str">
        <f ca="1">IFERROR(__xludf.DUMMYFUNCTION("""COMPUTED_VALUE"""),"Movilidad")</f>
        <v>Movilidad</v>
      </c>
      <c r="E4416" s="25" t="str">
        <f ca="1">IFERROR(__xludf.DUMMYFUNCTION("""COMPUTED_VALUE"""),"Secretaría Distrital de Movilidad")</f>
        <v>Secretaría Distrital de Movilidad</v>
      </c>
      <c r="F4416" s="25" t="str">
        <f ca="1">IFERROR(__xludf.DUMMYFUNCTION("""COMPUTED_VALUE"""),"Organizar evento para las mujeres conductoras del operador público")</f>
        <v>Organizar evento para las mujeres conductoras del operador público</v>
      </c>
      <c r="G4416" s="25" t="str">
        <f ca="1">IFERROR(__xludf.DUMMYFUNCTION("""COMPUTED_VALUE"""),"99. Distrito")</f>
        <v>99. Distrito</v>
      </c>
      <c r="H4416" s="55">
        <f ca="1">IFERROR(__xludf.DUMMYFUNCTION("""COMPUTED_VALUE"""),44442)</f>
        <v>44442</v>
      </c>
      <c r="I4416" s="25"/>
      <c r="J4416" s="55" t="str">
        <f ca="1">IFERROR(__xludf.DUMMYFUNCTION("""COMPUTED_VALUE"""),"Alta")</f>
        <v>Alta</v>
      </c>
      <c r="K4416" s="25">
        <f ca="1">IFERROR(__xludf.DUMMYFUNCTION("""COMPUTED_VALUE"""),30)</f>
        <v>30</v>
      </c>
      <c r="L4416" s="62">
        <f ca="1">IFERROR(__xludf.DUMMYFUNCTION("""COMPUTED_VALUE"""),44530)</f>
        <v>44530</v>
      </c>
      <c r="M4416" s="25" t="str">
        <f ca="1">IFERROR(__xludf.DUMMYFUNCTION("""COMPUTED_VALUE"""),"A la fecha se realiza adjudicación del concurso de méritos al consorcio Proyectamos Analytica S.A, el 11 de noviembre y se empieza el proceso de legalización del contrato con los documentos requeridos para dar inicio al proceso. Se realiza el seguimiento "&amp;"a las mujeres participantes vía telefónica, por parte de la profesional de seguimiento contratada por Movilidad, rectificando datos, garantizando su participación y verificando los documentos solicitados para realizar la transferencia monetaria de 160.000"&amp;" el RUT, CUENTA BANCARIA Y CÉDULA, por parte del BID ( transferencia ejecuta por la Universidad de los Andes) como subvención por 5 meses.
El evento está pendiente de confirmación de fecha y lugar, se adelantan los videos a realizar con dos mujeres partic"&amp;"ipantes, describiendo su vinculación a este proceso y expectativas de superación con el mismo, con área de comunicaciones de SDM para presentar en el evento.
")</f>
        <v xml:space="preserve">A la fecha se realiza adjudicación del concurso de méritos al consorcio Proyectamos Analytica S.A, el 11 de noviembre y se empieza el proceso de legalización del contrato con los documentos requeridos para dar inicio al proceso. Se realiza el seguimiento a las mujeres participantes vía telefónica, por parte de la profesional de seguimiento contratada por Movilidad, rectificando datos, garantizando su participación y verificando los documentos solicitados para realizar la transferencia monetaria de 160.000 el RUT, CUENTA BANCARIA Y CÉDULA, por parte del BID ( transferencia ejecuta por la Universidad de los Andes) como subvención por 5 meses.
El evento está pendiente de confirmación de fecha y lugar, se adelantan los videos a realizar con dos mujeres participantes, describiendo su vinculación a este proceso y expectativas de superación con el mismo, con área de comunicaciones de SDM para presentar en el evento.
</v>
      </c>
      <c r="N4416" s="55">
        <f ca="1">IFERROR(__xludf.DUMMYFUNCTION("""COMPUTED_VALUE"""),44530)</f>
        <v>44530</v>
      </c>
      <c r="O4416" s="25" t="str">
        <f t="shared" ca="1" si="0"/>
        <v>Secretaría Distrital de Movilidad</v>
      </c>
      <c r="P4416" s="25" t="str">
        <f t="shared" si="2"/>
        <v/>
      </c>
      <c r="Q4416" s="25" t="str">
        <f ca="1">IFERROR(__xludf.DUMMYFUNCTION("""COMPUTED_VALUE"""),"Corto plazo")</f>
        <v>Corto plazo</v>
      </c>
      <c r="R4416" s="25"/>
      <c r="S4416" s="55"/>
      <c r="T4416" s="56"/>
      <c r="U4416" s="25"/>
      <c r="V4416" s="25"/>
      <c r="W4416" s="25"/>
      <c r="X4416" s="25"/>
      <c r="Y4416" s="25"/>
      <c r="Z4416" s="25"/>
    </row>
    <row r="4417" spans="1:26" ht="52.5" customHeight="1" x14ac:dyDescent="0.25">
      <c r="A4417" s="25" t="str">
        <f ca="1">IFERROR(__xludf.DUMMYFUNCTION("""COMPUTED_VALUE"""),"Movil215")</f>
        <v>Movil215</v>
      </c>
      <c r="B4417" s="25" t="str">
        <f ca="1">IFERROR(__xludf.DUMMYFUNCTION("""COMPUTED_VALUE"""),"Sistema público de bicicletas")</f>
        <v>Sistema público de bicicletas</v>
      </c>
      <c r="C4417" s="55">
        <f ca="1">IFERROR(__xludf.DUMMYFUNCTION("""COMPUTED_VALUE"""),44412)</f>
        <v>44412</v>
      </c>
      <c r="D4417" s="25" t="str">
        <f ca="1">IFERROR(__xludf.DUMMYFUNCTION("""COMPUTED_VALUE"""),"Movilidad")</f>
        <v>Movilidad</v>
      </c>
      <c r="E4417" s="25" t="str">
        <f ca="1">IFERROR(__xludf.DUMMYFUNCTION("""COMPUTED_VALUE"""),"Secretaría Distrital de Movilidad")</f>
        <v>Secretaría Distrital de Movilidad</v>
      </c>
      <c r="F4417" s="25" t="str">
        <f ca="1">IFERROR(__xludf.DUMMYFUNCTION("""COMPUTED_VALUE"""),"Reducir el plazo de la implementación del proyecto del sistema pùblico de bicicletas, no debe ser superior a 6 meses. Para esto, es menester señalar que la inclusión del mobiliario urbano al proyecto de bicicletas públicas no debe ser un impedimento para "&amp;"su implementación. Que el proyecto inicie y el DADEP después haga la apropiación del mobiliario")</f>
        <v>Reducir el plazo de la implementación del proyecto del sistema pùblico de bicicletas, no debe ser superior a 6 meses. Para esto, es menester señalar que la inclusión del mobiliario urbano al proyecto de bicicletas públicas no debe ser un impedimento para su implementación. Que el proyecto inicie y el DADEP después haga la apropiación del mobiliario</v>
      </c>
      <c r="G4417" s="25" t="str">
        <f ca="1">IFERROR(__xludf.DUMMYFUNCTION("""COMPUTED_VALUE"""),"99. Distrito")</f>
        <v>99. Distrito</v>
      </c>
      <c r="H4417" s="55">
        <f ca="1">IFERROR(__xludf.DUMMYFUNCTION("""COMPUTED_VALUE"""),44442)</f>
        <v>44442</v>
      </c>
      <c r="I4417" s="25"/>
      <c r="J4417" s="55" t="str">
        <f ca="1">IFERROR(__xludf.DUMMYFUNCTION("""COMPUTED_VALUE"""),"Alta")</f>
        <v>Alta</v>
      </c>
      <c r="K4417" s="25">
        <f ca="1">IFERROR(__xludf.DUMMYFUNCTION("""COMPUTED_VALUE"""),30)</f>
        <v>30</v>
      </c>
      <c r="L4417" s="62">
        <f ca="1">IFERROR(__xludf.DUMMYFUNCTION("""COMPUTED_VALUE"""),44421)</f>
        <v>44421</v>
      </c>
      <c r="M4417" s="25" t="str">
        <f ca="1">IFERROR(__xludf.DUMMYFUNCTION("""COMPUTED_VALUE"""),"Se redujo la etapa de alistamiento a 5 meses para así lograr tener una implementación parcial del sistema en Agosto de 2021. Así mismo se habló con el equipo de la Cartilla de Mobiliario Urbano e indicaron que no es necesario tener la aprobación de los di"&amp;"seños de las estaciones para iniciar con la estación de las mismas, aún cuando si deba llevarse a cabo esta actividad")</f>
        <v>Se redujo la etapa de alistamiento a 5 meses para así lograr tener una implementación parcial del sistema en Agosto de 2021. Así mismo se habló con el equipo de la Cartilla de Mobiliario Urbano e indicaron que no es necesario tener la aprobación de los diseños de las estaciones para iniciar con la estación de las mismas, aún cuando si deba llevarse a cabo esta actividad</v>
      </c>
      <c r="N4417" s="55">
        <f ca="1">IFERROR(__xludf.DUMMYFUNCTION("""COMPUTED_VALUE"""),44421)</f>
        <v>44421</v>
      </c>
      <c r="O4417" s="25" t="str">
        <f t="shared" ca="1" si="0"/>
        <v>Secretaría Distrital de Movilidad</v>
      </c>
      <c r="P4417" s="25" t="str">
        <f t="shared" si="2"/>
        <v/>
      </c>
      <c r="Q4417" s="25" t="str">
        <f ca="1">IFERROR(__xludf.DUMMYFUNCTION("""COMPUTED_VALUE"""),"Corto plazo")</f>
        <v>Corto plazo</v>
      </c>
      <c r="R4417" s="25"/>
      <c r="S4417" s="55"/>
      <c r="T4417" s="56"/>
      <c r="U4417" s="25"/>
      <c r="V4417" s="25"/>
      <c r="W4417" s="25"/>
      <c r="X4417" s="25"/>
      <c r="Y4417" s="25"/>
      <c r="Z4417" s="25"/>
    </row>
    <row r="4418" spans="1:26" ht="52.5" customHeight="1" x14ac:dyDescent="0.25">
      <c r="A4418" s="25" t="str">
        <f ca="1">IFERROR(__xludf.DUMMYFUNCTION("""COMPUTED_VALUE"""),"Movil216")</f>
        <v>Movil216</v>
      </c>
      <c r="B4418" s="25" t="str">
        <f ca="1">IFERROR(__xludf.DUMMYFUNCTION("""COMPUTED_VALUE"""),"Sistema público de bicicletas")</f>
        <v>Sistema público de bicicletas</v>
      </c>
      <c r="C4418" s="55">
        <f ca="1">IFERROR(__xludf.DUMMYFUNCTION("""COMPUTED_VALUE"""),44412)</f>
        <v>44412</v>
      </c>
      <c r="D4418" s="25" t="str">
        <f ca="1">IFERROR(__xludf.DUMMYFUNCTION("""COMPUTED_VALUE"""),"Movilidad")</f>
        <v>Movilidad</v>
      </c>
      <c r="E4418" s="25" t="str">
        <f ca="1">IFERROR(__xludf.DUMMYFUNCTION("""COMPUTED_VALUE"""),"Secretaría Distrital de Movilidad")</f>
        <v>Secretaría Distrital de Movilidad</v>
      </c>
      <c r="F4418" s="25" t="str">
        <f ca="1">IFERROR(__xludf.DUMMYFUNCTION("""COMPUTED_VALUE"""),"La retribución en especie del proyecto de bicicletas públicas debe incluir diversidad en bicicletas y cicloparqueaderos con multifuncionalidad en servicios")</f>
        <v>La retribución en especie del proyecto de bicicletas públicas debe incluir diversidad en bicicletas y cicloparqueaderos con multifuncionalidad en servicios</v>
      </c>
      <c r="G4418" s="25" t="str">
        <f ca="1">IFERROR(__xludf.DUMMYFUNCTION("""COMPUTED_VALUE"""),"99. Distrito")</f>
        <v>99. Distrito</v>
      </c>
      <c r="H4418" s="55">
        <f ca="1">IFERROR(__xludf.DUMMYFUNCTION("""COMPUTED_VALUE"""),44442)</f>
        <v>44442</v>
      </c>
      <c r="I4418" s="25"/>
      <c r="J4418" s="55" t="str">
        <f ca="1">IFERROR(__xludf.DUMMYFUNCTION("""COMPUTED_VALUE"""),"Alta")</f>
        <v>Alta</v>
      </c>
      <c r="K4418" s="25">
        <f ca="1">IFERROR(__xludf.DUMMYFUNCTION("""COMPUTED_VALUE"""),30)</f>
        <v>30</v>
      </c>
      <c r="L4418" s="62">
        <f ca="1">IFERROR(__xludf.DUMMYFUNCTION("""COMPUTED_VALUE"""),44421)</f>
        <v>44421</v>
      </c>
      <c r="M4418" s="25" t="str">
        <f ca="1">IFERROR(__xludf.DUMMYFUNCTION("""COMPUTED_VALUE"""),"Se incluyó en la puntuación los factores solicitados: diversidad en las bicicletas y en los servicios complementarios")</f>
        <v>Se incluyó en la puntuación los factores solicitados: diversidad en las bicicletas y en los servicios complementarios</v>
      </c>
      <c r="N4418" s="55">
        <f ca="1">IFERROR(__xludf.DUMMYFUNCTION("""COMPUTED_VALUE"""),44421)</f>
        <v>44421</v>
      </c>
      <c r="O4418" s="25" t="str">
        <f t="shared" ca="1" si="0"/>
        <v>Secretaría Distrital de Movilidad</v>
      </c>
      <c r="P4418" s="25" t="str">
        <f t="shared" si="2"/>
        <v/>
      </c>
      <c r="Q4418" s="25" t="str">
        <f ca="1">IFERROR(__xludf.DUMMYFUNCTION("""COMPUTED_VALUE"""),"Corto plazo")</f>
        <v>Corto plazo</v>
      </c>
      <c r="R4418" s="25"/>
      <c r="S4418" s="55"/>
      <c r="T4418" s="56"/>
      <c r="U4418" s="25"/>
      <c r="V4418" s="25"/>
      <c r="W4418" s="25"/>
      <c r="X4418" s="25"/>
      <c r="Y4418" s="25"/>
      <c r="Z4418" s="25"/>
    </row>
    <row r="4419" spans="1:26" ht="52.5" customHeight="1" x14ac:dyDescent="0.25">
      <c r="A4419" s="25" t="str">
        <f ca="1">IFERROR(__xludf.DUMMYFUNCTION("""COMPUTED_VALUE"""),"Movil217")</f>
        <v>Movil217</v>
      </c>
      <c r="B4419" s="25" t="str">
        <f ca="1">IFERROR(__xludf.DUMMYFUNCTION("""COMPUTED_VALUE"""),"Sistema público de bicicletas")</f>
        <v>Sistema público de bicicletas</v>
      </c>
      <c r="C4419" s="55">
        <f ca="1">IFERROR(__xludf.DUMMYFUNCTION("""COMPUTED_VALUE"""),44412)</f>
        <v>44412</v>
      </c>
      <c r="D4419" s="25" t="str">
        <f ca="1">IFERROR(__xludf.DUMMYFUNCTION("""COMPUTED_VALUE"""),"Movilidad")</f>
        <v>Movilidad</v>
      </c>
      <c r="E4419" s="25" t="str">
        <f ca="1">IFERROR(__xludf.DUMMYFUNCTION("""COMPUTED_VALUE"""),"Secretaría Distrital de Movilidad")</f>
        <v>Secretaría Distrital de Movilidad</v>
      </c>
      <c r="F4419" s="25" t="str">
        <f ca="1">IFERROR(__xludf.DUMMYFUNCTION("""COMPUTED_VALUE"""),"Dentro del proyecto de bicicletas públicas debe haber equipos en vía con servicios para ciclistas (mecánica, guías, etc...)")</f>
        <v>Dentro del proyecto de bicicletas públicas debe haber equipos en vía con servicios para ciclistas (mecánica, guías, etc...)</v>
      </c>
      <c r="G4419" s="25" t="str">
        <f ca="1">IFERROR(__xludf.DUMMYFUNCTION("""COMPUTED_VALUE"""),"99. Distrito")</f>
        <v>99. Distrito</v>
      </c>
      <c r="H4419" s="55">
        <f ca="1">IFERROR(__xludf.DUMMYFUNCTION("""COMPUTED_VALUE"""),44442)</f>
        <v>44442</v>
      </c>
      <c r="I4419" s="25"/>
      <c r="J4419" s="55" t="str">
        <f ca="1">IFERROR(__xludf.DUMMYFUNCTION("""COMPUTED_VALUE"""),"Alta")</f>
        <v>Alta</v>
      </c>
      <c r="K4419" s="25">
        <f ca="1">IFERROR(__xludf.DUMMYFUNCTION("""COMPUTED_VALUE"""),30)</f>
        <v>30</v>
      </c>
      <c r="L4419" s="62">
        <f ca="1">IFERROR(__xludf.DUMMYFUNCTION("""COMPUTED_VALUE"""),44421)</f>
        <v>44421</v>
      </c>
      <c r="M4419" s="25" t="str">
        <f ca="1">IFERROR(__xludf.DUMMYFUNCTION("""COMPUTED_VALUE"""),"Se incluyó en la puntuación el contar con ""gestores en vía"", personal encargado de brindar apoyo al ciclista")</f>
        <v>Se incluyó en la puntuación el contar con "gestores en vía", personal encargado de brindar apoyo al ciclista</v>
      </c>
      <c r="N4419" s="55">
        <f ca="1">IFERROR(__xludf.DUMMYFUNCTION("""COMPUTED_VALUE"""),44421)</f>
        <v>44421</v>
      </c>
      <c r="O4419" s="25" t="str">
        <f t="shared" ca="1" si="0"/>
        <v>Secretaría Distrital de Movilidad</v>
      </c>
      <c r="P4419" s="25" t="str">
        <f t="shared" si="2"/>
        <v/>
      </c>
      <c r="Q4419" s="25" t="str">
        <f ca="1">IFERROR(__xludf.DUMMYFUNCTION("""COMPUTED_VALUE"""),"Corto plazo")</f>
        <v>Corto plazo</v>
      </c>
      <c r="R4419" s="25"/>
      <c r="S4419" s="55"/>
      <c r="T4419" s="56"/>
      <c r="U4419" s="25"/>
      <c r="V4419" s="25"/>
      <c r="W4419" s="25"/>
      <c r="X4419" s="25"/>
      <c r="Y4419" s="25"/>
      <c r="Z4419" s="25"/>
    </row>
    <row r="4420" spans="1:26" ht="52.5" customHeight="1" x14ac:dyDescent="0.25">
      <c r="A4420" s="25" t="str">
        <f ca="1">IFERROR(__xludf.DUMMYFUNCTION("""COMPUTED_VALUE"""),"Movil218")</f>
        <v>Movil218</v>
      </c>
      <c r="B4420" s="25" t="str">
        <f ca="1">IFERROR(__xludf.DUMMYFUNCTION("""COMPUTED_VALUE"""),"Sistema público de bicicletas")</f>
        <v>Sistema público de bicicletas</v>
      </c>
      <c r="C4420" s="55">
        <f ca="1">IFERROR(__xludf.DUMMYFUNCTION("""COMPUTED_VALUE"""),44412)</f>
        <v>44412</v>
      </c>
      <c r="D4420" s="25" t="str">
        <f ca="1">IFERROR(__xludf.DUMMYFUNCTION("""COMPUTED_VALUE"""),"Movilidad")</f>
        <v>Movilidad</v>
      </c>
      <c r="E4420" s="25" t="str">
        <f ca="1">IFERROR(__xludf.DUMMYFUNCTION("""COMPUTED_VALUE"""),"Secretaría Distrital de Movilidad")</f>
        <v>Secretaría Distrital de Movilidad</v>
      </c>
      <c r="F4420" s="25" t="str">
        <f ca="1">IFERROR(__xludf.DUMMYFUNCTION("""COMPUTED_VALUE"""),"Buscar la forma de implementar contadores de biciusuarios")</f>
        <v>Buscar la forma de implementar contadores de biciusuarios</v>
      </c>
      <c r="G4420" s="25" t="str">
        <f ca="1">IFERROR(__xludf.DUMMYFUNCTION("""COMPUTED_VALUE"""),"99. Distrito")</f>
        <v>99. Distrito</v>
      </c>
      <c r="H4420" s="55">
        <f ca="1">IFERROR(__xludf.DUMMYFUNCTION("""COMPUTED_VALUE"""),44442)</f>
        <v>44442</v>
      </c>
      <c r="I4420" s="25"/>
      <c r="J4420" s="55" t="str">
        <f ca="1">IFERROR(__xludf.DUMMYFUNCTION("""COMPUTED_VALUE"""),"Alta")</f>
        <v>Alta</v>
      </c>
      <c r="K4420" s="25">
        <f ca="1">IFERROR(__xludf.DUMMYFUNCTION("""COMPUTED_VALUE"""),30)</f>
        <v>30</v>
      </c>
      <c r="L4420" s="62">
        <f ca="1">IFERROR(__xludf.DUMMYFUNCTION("""COMPUTED_VALUE"""),44467)</f>
        <v>44467</v>
      </c>
      <c r="M4420" s="25" t="str">
        <f ca="1">IFERROR(__xludf.DUMMYFUNCTION("""COMPUTED_VALUE"""),"El Sistema de Bicicletas Compartidas, de acuerdo a lo establecido en el proceso licitatorio, deberá compartir sus datos de operación con la SDM. En este sentido, los datos de los viajes generados por este sistema no requieren la existencia de contadores d"&amp;"e biciusuarios. Igualmente, se revisó la posibilidad de que el operador del SBC implementará contadores de bicicletas, pero dados los altos costos de los mismos comparado con los demás elementos puntuables en la licitación, se encontró que no hay un incen"&amp;"tivo suficiente para incluir este factor puntuable y que sea implementado, por lo cual se determinó no incluirlo dentro de los factores a puntuar en la licitación. Esto, teniendo en cuenta que existen otros procesos cuyo objetivo es contar a los ciclistas"&amp;" de la ciudad.
En este sentido, se informa que en la actualidad la ciudad cuenta con un conjunto de contadores de bicicletas implementados como parte del Centro de Gestión de Tránsito de la SDM, que están instalados generando información en algunas de las"&amp;" ciclorrutas de la ciudad.
Por otra parte, como parte de la expansión de las funcionalidades del Sistema Inteligente de Transporte, en el anteproyecto de presupuesto 2022 se incluyeron recursos con el objetivo de incluir nuevos puntos de conteo en el segu"&amp;"ndo semestre de 2022.
Así mismo, las funcionalidades de videoanalítica que se están trabajando como parte de las funcionalidades del Centro de Gestión de Movilidad (línea 2611) contemplan funcionalidades de conteo de bicicletas.
Por último, se encuentra e"&amp;"n revisión la forma de incluir en corredores principales de cicloinfraestructura, como puntaje en los procesos licitatorios próximos a aperturarse, la integración en sus propuestas de contadores para biciusuarios.")</f>
        <v>El Sistema de Bicicletas Compartidas, de acuerdo a lo establecido en el proceso licitatorio, deberá compartir sus datos de operación con la SDM. En este sentido, los datos de los viajes generados por este sistema no requieren la existencia de contadores de biciusuarios. Igualmente, se revisó la posibilidad de que el operador del SBC implementará contadores de bicicletas, pero dados los altos costos de los mismos comparado con los demás elementos puntuables en la licitación, se encontró que no hay un incentivo suficiente para incluir este factor puntuable y que sea implementado, por lo cual se determinó no incluirlo dentro de los factores a puntuar en la licitación. Esto, teniendo en cuenta que existen otros procesos cuyo objetivo es contar a los ciclistas de la ciudad.
En este sentido, se informa que en la actualidad la ciudad cuenta con un conjunto de contadores de bicicletas implementados como parte del Centro de Gestión de Tránsito de la SDM, que están instalados generando información en algunas de las ciclorrutas de la ciudad.
Por otra parte, como parte de la expansión de las funcionalidades del Sistema Inteligente de Transporte, en el anteproyecto de presupuesto 2022 se incluyeron recursos con el objetivo de incluir nuevos puntos de conteo en el segundo semestre de 2022.
Así mismo, las funcionalidades de videoanalítica que se están trabajando como parte de las funcionalidades del Centro de Gestión de Movilidad (línea 2611) contemplan funcionalidades de conteo de bicicletas.
Por último, se encuentra en revisión la forma de incluir en corredores principales de cicloinfraestructura, como puntaje en los procesos licitatorios próximos a aperturarse, la integración en sus propuestas de contadores para biciusuarios.</v>
      </c>
      <c r="N4420" s="55">
        <f ca="1">IFERROR(__xludf.DUMMYFUNCTION("""COMPUTED_VALUE"""),44467)</f>
        <v>44467</v>
      </c>
      <c r="O4420" s="25" t="str">
        <f t="shared" ca="1" si="0"/>
        <v>Secretaría Distrital de Movilidad</v>
      </c>
      <c r="P4420" s="25" t="str">
        <f t="shared" si="2"/>
        <v/>
      </c>
      <c r="Q4420" s="25" t="str">
        <f ca="1">IFERROR(__xludf.DUMMYFUNCTION("""COMPUTED_VALUE"""),"Corto plazo")</f>
        <v>Corto plazo</v>
      </c>
      <c r="R4420" s="25"/>
      <c r="S4420" s="55"/>
      <c r="T4420" s="56"/>
      <c r="U4420" s="25"/>
      <c r="V4420" s="25"/>
      <c r="W4420" s="25"/>
      <c r="X4420" s="25"/>
      <c r="Y4420" s="25"/>
      <c r="Z4420" s="25"/>
    </row>
    <row r="4421" spans="1:26" ht="52.5" customHeight="1" x14ac:dyDescent="0.25">
      <c r="A4421" s="25" t="str">
        <f ca="1">IFERROR(__xludf.DUMMYFUNCTION("""COMPUTED_VALUE"""),"Movil219")</f>
        <v>Movil219</v>
      </c>
      <c r="B4421" s="25" t="str">
        <f ca="1">IFERROR(__xludf.DUMMYFUNCTION("""COMPUTED_VALUE"""),"Revisión obras IDU, UMV y Movilidad")</f>
        <v>Revisión obras IDU, UMV y Movilidad</v>
      </c>
      <c r="C4421" s="55">
        <f ca="1">IFERROR(__xludf.DUMMYFUNCTION("""COMPUTED_VALUE"""),44410)</f>
        <v>44410</v>
      </c>
      <c r="D4421" s="25" t="str">
        <f ca="1">IFERROR(__xludf.DUMMYFUNCTION("""COMPUTED_VALUE"""),"Movilidad")</f>
        <v>Movilidad</v>
      </c>
      <c r="E4421" s="25" t="str">
        <f ca="1">IFERROR(__xludf.DUMMYFUNCTION("""COMPUTED_VALUE"""),"Instituto de Desarrollo Urbano")</f>
        <v>Instituto de Desarrollo Urbano</v>
      </c>
      <c r="F4421" s="25" t="str">
        <f ca="1">IFERROR(__xludf.DUMMYFUNCTION("""COMPUTED_VALUE"""),"Incluir en el diseño de las estaciones del Cable de San Cristóbal zonas comerciales")</f>
        <v>Incluir en el diseño de las estaciones del Cable de San Cristóbal zonas comerciales</v>
      </c>
      <c r="G4421" s="25" t="str">
        <f ca="1">IFERROR(__xludf.DUMMYFUNCTION("""COMPUTED_VALUE"""),"04. San Cristóbal")</f>
        <v>04. San Cristóbal</v>
      </c>
      <c r="H4421" s="55">
        <f ca="1">IFERROR(__xludf.DUMMYFUNCTION("""COMPUTED_VALUE"""),44440)</f>
        <v>44440</v>
      </c>
      <c r="I4421" s="25"/>
      <c r="J4421" s="55" t="str">
        <f ca="1">IFERROR(__xludf.DUMMYFUNCTION("""COMPUTED_VALUE"""),"Alta")</f>
        <v>Alta</v>
      </c>
      <c r="K4421" s="25">
        <f ca="1">IFERROR(__xludf.DUMMYFUNCTION("""COMPUTED_VALUE"""),30)</f>
        <v>30</v>
      </c>
      <c r="L4421" s="62">
        <f ca="1">IFERROR(__xludf.DUMMYFUNCTION("""COMPUTED_VALUE"""),44421)</f>
        <v>44421</v>
      </c>
      <c r="M4421" s="25" t="str">
        <f ca="1">IFERROR(__xludf.DUMMYFUNCTION("""COMPUTED_VALUE"""),"Por solicitud de Transmilenio en el documento de parámetros operacionales, se solicita espacios para desarrollo de negocios colaterales. El anteproyecto arquitectónico de las estaciones incluye áreas para dichas actividades en las estaciones la Victoria y"&amp;" Altamira, en la estación de interacción no debido a la restricción de espacio en el predio del patio de Sistema TransMilenio")</f>
        <v>Por solicitud de Transmilenio en el documento de parámetros operacionales, se solicita espacios para desarrollo de negocios colaterales. El anteproyecto arquitectónico de las estaciones incluye áreas para dichas actividades en las estaciones la Victoria y Altamira, en la estación de interacción no debido a la restricción de espacio en el predio del patio de Sistema TransMilenio</v>
      </c>
      <c r="N4421" s="55">
        <f ca="1">IFERROR(__xludf.DUMMYFUNCTION("""COMPUTED_VALUE"""),44421)</f>
        <v>44421</v>
      </c>
      <c r="O4421" s="25" t="str">
        <f t="shared" ca="1" si="0"/>
        <v>Instituto de Desarrollo Urbano</v>
      </c>
      <c r="P4421" s="25" t="str">
        <f t="shared" si="2"/>
        <v/>
      </c>
      <c r="Q4421" s="25" t="str">
        <f ca="1">IFERROR(__xludf.DUMMYFUNCTION("""COMPUTED_VALUE"""),"Corto plazo")</f>
        <v>Corto plazo</v>
      </c>
      <c r="R4421" s="25"/>
      <c r="S4421" s="55"/>
      <c r="T4421" s="56"/>
      <c r="U4421" s="25"/>
      <c r="V4421" s="25"/>
      <c r="W4421" s="25"/>
      <c r="X4421" s="25"/>
      <c r="Y4421" s="25"/>
      <c r="Z4421" s="25"/>
    </row>
    <row r="4422" spans="1:26" ht="52.5" customHeight="1" x14ac:dyDescent="0.25">
      <c r="A4422" s="25" t="str">
        <f ca="1">IFERROR(__xludf.DUMMYFUNCTION("""COMPUTED_VALUE"""),"Movil220")</f>
        <v>Movil220</v>
      </c>
      <c r="B4422" s="25" t="str">
        <f ca="1">IFERROR(__xludf.DUMMYFUNCTION("""COMPUTED_VALUE"""),"Revisión obras IDU, UMV y Movilidad")</f>
        <v>Revisión obras IDU, UMV y Movilidad</v>
      </c>
      <c r="C4422" s="55">
        <f ca="1">IFERROR(__xludf.DUMMYFUNCTION("""COMPUTED_VALUE"""),44410)</f>
        <v>44410</v>
      </c>
      <c r="D4422" s="25" t="str">
        <f ca="1">IFERROR(__xludf.DUMMYFUNCTION("""COMPUTED_VALUE"""),"Movilidad")</f>
        <v>Movilidad</v>
      </c>
      <c r="E4422" s="25" t="str">
        <f ca="1">IFERROR(__xludf.DUMMYFUNCTION("""COMPUTED_VALUE"""),"Instituto de Desarrollo Urbano")</f>
        <v>Instituto de Desarrollo Urbano</v>
      </c>
      <c r="F4422" s="25" t="str">
        <f ca="1">IFERROR(__xludf.DUMMYFUNCTION("""COMPUTED_VALUE"""),"Para las obras que incluyan intervenciones del acueducto, el IDU debe asumir dentro de los costos obra")</f>
        <v>Para las obras que incluyan intervenciones del acueducto, el IDU debe asumir dentro de los costos obra</v>
      </c>
      <c r="G4422" s="25" t="str">
        <f ca="1">IFERROR(__xludf.DUMMYFUNCTION("""COMPUTED_VALUE"""),"99. Distrito")</f>
        <v>99. Distrito</v>
      </c>
      <c r="H4422" s="55">
        <f ca="1">IFERROR(__xludf.DUMMYFUNCTION("""COMPUTED_VALUE"""),44440)</f>
        <v>44440</v>
      </c>
      <c r="I4422" s="25"/>
      <c r="J4422" s="55" t="str">
        <f ca="1">IFERROR(__xludf.DUMMYFUNCTION("""COMPUTED_VALUE"""),"Alta")</f>
        <v>Alta</v>
      </c>
      <c r="K4422" s="25">
        <f ca="1">IFERROR(__xludf.DUMMYFUNCTION("""COMPUTED_VALUE"""),30)</f>
        <v>30</v>
      </c>
      <c r="L4422" s="62">
        <f ca="1">IFERROR(__xludf.DUMMYFUNCTION("""COMPUTED_VALUE"""),44439)</f>
        <v>44439</v>
      </c>
      <c r="M4422" s="25" t="str">
        <f ca="1">IFERROR(__xludf.DUMMYFUNCTION("""COMPUTED_VALUE"""),"No es posible que IDU asuma los costos. 
De acuerdo con la Ley 1682 de 2013 art. 12 y capitulo III -Activos y redes de SSPP- el IDU solo puede asumir los costos de protecciones y traslados de redes de Servicios Públicos requeridos por el proyecto vial y d"&amp;"e espacio público.
El convenio IDU-EAAB No. 1450 de 2017 asume el anterior concepto y adicionalmente indica que los costos generados por las solicitudes de expansión, ampliación, rehabilitación, conservación, actualización a norma y modernización realizad"&amp;"as por la empresa propietaria o administradora de la respectiva red de acueducto y alcantarillado aprovechando la ejecución del proyecto vial y de espacio público, deberán ser asumidos por la EAAB, para lo cual se concertó las competencias de pago descrit"&amp;"as en el anexo 2 del convenio.")</f>
        <v>No es posible que IDU asuma los costos. 
De acuerdo con la Ley 1682 de 2013 art. 12 y capitulo III -Activos y redes de SSPP- el IDU solo puede asumir los costos de protecciones y traslados de redes de Servicios Públicos requeridos por el proyecto vial y de espacio público.
El convenio IDU-EAAB No. 1450 de 2017 asume el anterior concepto y adicionalmente indica que los costos generados por las solicitudes de expansión, ampliación, rehabilitación, conservación, actualización a norma y modernización realizadas por la empresa propietaria o administradora de la respectiva red de acueducto y alcantarillado aprovechando la ejecución del proyecto vial y de espacio público, deberán ser asumidos por la EAAB, para lo cual se concertó las competencias de pago descritas en el anexo 2 del convenio.</v>
      </c>
      <c r="N4422" s="55">
        <f ca="1">IFERROR(__xludf.DUMMYFUNCTION("""COMPUTED_VALUE"""),44439)</f>
        <v>44439</v>
      </c>
      <c r="O4422" s="25" t="str">
        <f t="shared" ca="1" si="0"/>
        <v>Instituto de Desarrollo Urbano</v>
      </c>
      <c r="P4422" s="25" t="str">
        <f t="shared" si="2"/>
        <v/>
      </c>
      <c r="Q4422" s="25" t="str">
        <f ca="1">IFERROR(__xludf.DUMMYFUNCTION("""COMPUTED_VALUE"""),"Corto plazo")</f>
        <v>Corto plazo</v>
      </c>
      <c r="R4422" s="25"/>
      <c r="S4422" s="55"/>
      <c r="T4422" s="56"/>
      <c r="U4422" s="25"/>
      <c r="V4422" s="25"/>
      <c r="W4422" s="25"/>
      <c r="X4422" s="25"/>
      <c r="Y4422" s="25"/>
      <c r="Z4422" s="25"/>
    </row>
    <row r="4423" spans="1:26" ht="52.5" customHeight="1" x14ac:dyDescent="0.25">
      <c r="A4423" s="25" t="str">
        <f ca="1">IFERROR(__xludf.DUMMYFUNCTION("""COMPUTED_VALUE"""),"Movil221")</f>
        <v>Movil221</v>
      </c>
      <c r="B4423" s="25" t="str">
        <f ca="1">IFERROR(__xludf.DUMMYFUNCTION("""COMPUTED_VALUE"""),"Revisión obras IDU, UMV y Movilidad")</f>
        <v>Revisión obras IDU, UMV y Movilidad</v>
      </c>
      <c r="C4423" s="55">
        <f ca="1">IFERROR(__xludf.DUMMYFUNCTION("""COMPUTED_VALUE"""),44410)</f>
        <v>44410</v>
      </c>
      <c r="D4423" s="25" t="str">
        <f ca="1">IFERROR(__xludf.DUMMYFUNCTION("""COMPUTED_VALUE"""),"Movilidad")</f>
        <v>Movilidad</v>
      </c>
      <c r="E4423" s="25" t="str">
        <f ca="1">IFERROR(__xludf.DUMMYFUNCTION("""COMPUTED_VALUE"""),"Instituto de Desarrollo Urbano")</f>
        <v>Instituto de Desarrollo Urbano</v>
      </c>
      <c r="F4423" s="25" t="str">
        <f ca="1">IFERROR(__xludf.DUMMYFUNCTION("""COMPUTED_VALUE"""),"Montar una tabla de precios unitarios de referencias. El diferencial de precios se va para el amigable componedor")</f>
        <v>Montar una tabla de precios unitarios de referencias. El diferencial de precios se va para el amigable componedor</v>
      </c>
      <c r="G4423" s="25" t="str">
        <f ca="1">IFERROR(__xludf.DUMMYFUNCTION("""COMPUTED_VALUE"""),"99. Distrito")</f>
        <v>99. Distrito</v>
      </c>
      <c r="H4423" s="55">
        <f ca="1">IFERROR(__xludf.DUMMYFUNCTION("""COMPUTED_VALUE"""),44440)</f>
        <v>44440</v>
      </c>
      <c r="I4423" s="25"/>
      <c r="J4423" s="55" t="str">
        <f ca="1">IFERROR(__xludf.DUMMYFUNCTION("""COMPUTED_VALUE"""),"Alta")</f>
        <v>Alta</v>
      </c>
      <c r="K4423" s="25">
        <f ca="1">IFERROR(__xludf.DUMMYFUNCTION("""COMPUTED_VALUE"""),30)</f>
        <v>30</v>
      </c>
      <c r="L4423" s="62">
        <f ca="1">IFERROR(__xludf.DUMMYFUNCTION("""COMPUTED_VALUE"""),44483)</f>
        <v>44483</v>
      </c>
      <c r="M4423" s="25" t="str">
        <f ca="1">IFERROR(__xludf.DUMMYFUNCTION("""COMPUTED_VALUE"""),"Se está montando la tabla para incluir en los contratos. Haciendo cotizaciones para incluir precios.")</f>
        <v>Se está montando la tabla para incluir en los contratos. Haciendo cotizaciones para incluir precios.</v>
      </c>
      <c r="N4423" s="55">
        <f ca="1">IFERROR(__xludf.DUMMYFUNCTION("""COMPUTED_VALUE"""),44483)</f>
        <v>44483</v>
      </c>
      <c r="O4423" s="25" t="str">
        <f t="shared" ca="1" si="0"/>
        <v>Instituto de Desarrollo Urbano</v>
      </c>
      <c r="P4423" s="25" t="str">
        <f t="shared" si="2"/>
        <v/>
      </c>
      <c r="Q4423" s="25" t="str">
        <f ca="1">IFERROR(__xludf.DUMMYFUNCTION("""COMPUTED_VALUE"""),"Corto plazo")</f>
        <v>Corto plazo</v>
      </c>
      <c r="R4423" s="25"/>
      <c r="S4423" s="55"/>
      <c r="T4423" s="56"/>
      <c r="U4423" s="25"/>
      <c r="V4423" s="25"/>
      <c r="W4423" s="25"/>
      <c r="X4423" s="25"/>
      <c r="Y4423" s="25"/>
      <c r="Z4423" s="25"/>
    </row>
    <row r="4424" spans="1:26" ht="52.5" customHeight="1" x14ac:dyDescent="0.25">
      <c r="A4424" s="25" t="str">
        <f ca="1">IFERROR(__xludf.DUMMYFUNCTION("""COMPUTED_VALUE"""),"Movil222")</f>
        <v>Movil222</v>
      </c>
      <c r="B4424" s="25" t="str">
        <f ca="1">IFERROR(__xludf.DUMMYFUNCTION("""COMPUTED_VALUE"""),"Revisión obras IDU, UMV y Movilidad")</f>
        <v>Revisión obras IDU, UMV y Movilidad</v>
      </c>
      <c r="C4424" s="55">
        <f ca="1">IFERROR(__xludf.DUMMYFUNCTION("""COMPUTED_VALUE"""),44410)</f>
        <v>44410</v>
      </c>
      <c r="D4424" s="25" t="str">
        <f ca="1">IFERROR(__xludf.DUMMYFUNCTION("""COMPUTED_VALUE"""),"Movilidad")</f>
        <v>Movilidad</v>
      </c>
      <c r="E4424" s="25" t="str">
        <f ca="1">IFERROR(__xludf.DUMMYFUNCTION("""COMPUTED_VALUE"""),"Instituto de Desarrollo Urbano")</f>
        <v>Instituto de Desarrollo Urbano</v>
      </c>
      <c r="F4424" s="25" t="str">
        <f ca="1">IFERROR(__xludf.DUMMYFUNCTION("""COMPUTED_VALUE"""),"Cuadrar una reunión con los siguientes contratistas e interventores: Avenida 68, Ciclo Alameda del Medio Milenio y Avenida Ciudad de Cali.")</f>
        <v>Cuadrar una reunión con los siguientes contratistas e interventores: Avenida 68, Ciclo Alameda del Medio Milenio y Avenida Ciudad de Cali.</v>
      </c>
      <c r="G4424" s="25" t="str">
        <f ca="1">IFERROR(__xludf.DUMMYFUNCTION("""COMPUTED_VALUE"""),"99. Distrito")</f>
        <v>99. Distrito</v>
      </c>
      <c r="H4424" s="55">
        <f ca="1">IFERROR(__xludf.DUMMYFUNCTION("""COMPUTED_VALUE"""),44440)</f>
        <v>44440</v>
      </c>
      <c r="I4424" s="25"/>
      <c r="J4424" s="55" t="str">
        <f ca="1">IFERROR(__xludf.DUMMYFUNCTION("""COMPUTED_VALUE"""),"Alta")</f>
        <v>Alta</v>
      </c>
      <c r="K4424" s="25">
        <f ca="1">IFERROR(__xludf.DUMMYFUNCTION("""COMPUTED_VALUE"""),30)</f>
        <v>30</v>
      </c>
      <c r="L4424" s="62">
        <f ca="1">IFERROR(__xludf.DUMMYFUNCTION("""COMPUTED_VALUE"""),44425)</f>
        <v>44425</v>
      </c>
      <c r="M4424" s="25" t="str">
        <f ca="1">IFERROR(__xludf.DUMMYFUNCTION("""COMPUTED_VALUE"""),"Ya se realizó la reunión con contratista ciclo alameda medio milenio. Se programó reunión para el jueves 19 de agosto con troncal 68 y lunes 23 de agosto para troncal cali.")</f>
        <v>Ya se realizó la reunión con contratista ciclo alameda medio milenio. Se programó reunión para el jueves 19 de agosto con troncal 68 y lunes 23 de agosto para troncal cali.</v>
      </c>
      <c r="N4424" s="55">
        <f ca="1">IFERROR(__xludf.DUMMYFUNCTION("""COMPUTED_VALUE"""),44425)</f>
        <v>44425</v>
      </c>
      <c r="O4424" s="25" t="str">
        <f t="shared" ca="1" si="0"/>
        <v>Instituto de Desarrollo Urbano</v>
      </c>
      <c r="P4424" s="25" t="str">
        <f t="shared" si="2"/>
        <v/>
      </c>
      <c r="Q4424" s="25" t="str">
        <f ca="1">IFERROR(__xludf.DUMMYFUNCTION("""COMPUTED_VALUE"""),"Corto plazo")</f>
        <v>Corto plazo</v>
      </c>
      <c r="R4424" s="25"/>
      <c r="S4424" s="55"/>
      <c r="T4424" s="56"/>
      <c r="U4424" s="25"/>
      <c r="V4424" s="25"/>
      <c r="W4424" s="25"/>
      <c r="X4424" s="25"/>
      <c r="Y4424" s="25"/>
      <c r="Z4424" s="25"/>
    </row>
    <row r="4425" spans="1:26" ht="52.5" customHeight="1" x14ac:dyDescent="0.25">
      <c r="A4425" s="25" t="str">
        <f ca="1">IFERROR(__xludf.DUMMYFUNCTION("""COMPUTED_VALUE"""),"Movil223")</f>
        <v>Movil223</v>
      </c>
      <c r="B4425" s="25" t="str">
        <f ca="1">IFERROR(__xludf.DUMMYFUNCTION("""COMPUTED_VALUE"""),"SITP provisional- TMSA")</f>
        <v>SITP provisional- TMSA</v>
      </c>
      <c r="C4425" s="55">
        <f ca="1">IFERROR(__xludf.DUMMYFUNCTION("""COMPUTED_VALUE"""),44410)</f>
        <v>44410</v>
      </c>
      <c r="D4425" s="25" t="str">
        <f ca="1">IFERROR(__xludf.DUMMYFUNCTION("""COMPUTED_VALUE"""),"Movilidad")</f>
        <v>Movilidad</v>
      </c>
      <c r="E4425" s="25" t="str">
        <f ca="1">IFERROR(__xludf.DUMMYFUNCTION("""COMPUTED_VALUE"""),"Secretaría Distrital de Movilidad")</f>
        <v>Secretaría Distrital de Movilidad</v>
      </c>
      <c r="F4425" s="25" t="str">
        <f ca="1">IFERROR(__xludf.DUMMYFUNCTION("""COMPUTED_VALUE"""),"Incluir el presupuesto necesario para pagar los buses del sitp provisional")</f>
        <v>Incluir el presupuesto necesario para pagar los buses del sitp provisional</v>
      </c>
      <c r="G4425" s="25" t="str">
        <f ca="1">IFERROR(__xludf.DUMMYFUNCTION("""COMPUTED_VALUE"""),"99. Distrito")</f>
        <v>99. Distrito</v>
      </c>
      <c r="H4425" s="55">
        <f ca="1">IFERROR(__xludf.DUMMYFUNCTION("""COMPUTED_VALUE"""),44440)</f>
        <v>44440</v>
      </c>
      <c r="I4425" s="25"/>
      <c r="J4425" s="55" t="str">
        <f ca="1">IFERROR(__xludf.DUMMYFUNCTION("""COMPUTED_VALUE"""),"Alta")</f>
        <v>Alta</v>
      </c>
      <c r="K4425" s="25">
        <f ca="1">IFERROR(__xludf.DUMMYFUNCTION("""COMPUTED_VALUE"""),30)</f>
        <v>30</v>
      </c>
      <c r="L4425" s="62">
        <f ca="1">IFERROR(__xludf.DUMMYFUNCTION("""COMPUTED_VALUE"""),44575)</f>
        <v>44575</v>
      </c>
      <c r="M4425" s="25" t="str">
        <f ca="1">IFERROR(__xludf.DUMMYFUNCTION("""COMPUTED_VALUE"""),"Se han venido realizando reuniones con la SDH y con TMSA para determinar los recursos necesarios para la adquisición total de la flota a chatarrizar del SITP Provisional (tanto vinculados a concesionarios no vigentes como los vehículos no vinculados). En "&amp;"reunión del 2 agosto la SDH indicó que los recursos solo pueden solicitarse a través de presupuesto de 2022, para ejecutar en enero de 2022.
La SDM y TMSA  se encuentran trabajando en un proyecto de decreto de finalización del SITP, donde quedará el meca"&amp;"nismo y la operatividad por medio del cual se adquirirán los vehículos no vinculados del SITP. 
El 31 de agosto SDM y TM se reunieron para revisar la justificación de la necesidad de recursos para la adquisición de los vehículos vinculados, no vinculados"&amp;" y el cruce de cuentas entre los concesionarios del SITP. Con esta solicitud, la SDM solicitará los recursos a la SDH para presupuesto 2022.
La SDM como administradora del Fondo cuenta solicitó a la SDH a través del radicado 20212216431621 recursos por $"&amp;"66.212 millones para el presupuesto de 2022, con el fin de lograr adquirir el total de los vehículos de concesionarios no vigentes y no vinculados a concesiones de SITP. TMSA debe solicitar los recursos necesarios para el cumplimiento de obligaciones de c"&amp;"oncesionarios por anexo técnico ($ 64.956).
La SDM radicó formalmente el 11 de octubre de 2021 el proyecto de decreto  “Por medio del cual se dictan medidas relacionadas con la finalización del proceso de implementación del Sistema Integrado de Transport"&amp;"e Público - SITP, para su entrada en operación total, y se dictan otras disposiciones”, con fin que se realice el respectivo control de legalidad por parte de la Secretaría Jurídica y posterior firma del decreto por parte de la Alcaldesa Mayor.
Se expidi"&amp;"ó el decreto 557 de 2021 Por medio del cual se dictan medidas para continuar con ci proceso de implantación dcl Sistcma liltcizrado do Transporto Público - SITP, para su entrada en operación total, y Se dictan otras disposiciones. y se tiene el presupuest"&amp;"o asignado para la ejecución de las acciones del decreto.")</f>
        <v>Se han venido realizando reuniones con la SDH y con TMSA para determinar los recursos necesarios para la adquisición total de la flota a chatarrizar del SITP Provisional (tanto vinculados a concesionarios no vigentes como los vehículos no vinculados). En reunión del 2 agosto la SDH indicó que los recursos solo pueden solicitarse a través de presupuesto de 2022, para ejecutar en enero de 2022.
La SDM y TMSA  se encuentran trabajando en un proyecto de decreto de finalización del SITP, donde quedará el mecanismo y la operatividad por medio del cual se adquirirán los vehículos no vinculados del SITP. 
El 31 de agosto SDM y TM se reunieron para revisar la justificación de la necesidad de recursos para la adquisición de los vehículos vinculados, no vinculados y el cruce de cuentas entre los concesionarios del SITP. Con esta solicitud, la SDM solicitará los recursos a la SDH para presupuesto 2022.
La SDM como administradora del Fondo cuenta solicitó a la SDH a través del radicado 20212216431621 recursos por $66.212 millones para el presupuesto de 2022, con el fin de lograr adquirir el total de los vehículos de concesionarios no vigentes y no vinculados a concesiones de SITP. TMSA debe solicitar los recursos necesarios para el cumplimiento de obligaciones de concesionarios por anexo técnico ($ 64.956).
La SDM radicó formalmente el 11 de octubre de 2021 el proyecto de decreto  “Por medio del cual se dictan medidas relacionadas con la finalización del proceso de implementación del Sistema Integrado de Transporte Público - SITP, para su entrada en operación total, y se dictan otras disposiciones”, con fin que se realice el respectivo control de legalidad por parte de la Secretaría Jurídica y posterior firma del decreto por parte de la Alcaldesa Mayor.
Se expidió el decreto 557 de 2021 Por medio del cual se dictan medidas para continuar con ci proceso de implantación dcl Sistcma liltcizrado do Transporto Público - SITP, para su entrada en operación total, y Se dictan otras disposiciones. y se tiene el presupuesto asignado para la ejecución de las acciones del decreto.</v>
      </c>
      <c r="N4425" s="55">
        <f ca="1">IFERROR(__xludf.DUMMYFUNCTION("""COMPUTED_VALUE"""),44575)</f>
        <v>44575</v>
      </c>
      <c r="O4425" s="25" t="str">
        <f t="shared" ca="1" si="0"/>
        <v>Secretaría Distrital de Movilidad</v>
      </c>
      <c r="P4425" s="25" t="str">
        <f t="shared" si="2"/>
        <v/>
      </c>
      <c r="Q4425" s="25" t="str">
        <f ca="1">IFERROR(__xludf.DUMMYFUNCTION("""COMPUTED_VALUE"""),"Corto plazo")</f>
        <v>Corto plazo</v>
      </c>
      <c r="R4425" s="25"/>
      <c r="S4425" s="55"/>
      <c r="T4425" s="56"/>
      <c r="U4425" s="25"/>
      <c r="V4425" s="25"/>
      <c r="W4425" s="25"/>
      <c r="X4425" s="25"/>
      <c r="Y4425" s="25"/>
      <c r="Z4425" s="25"/>
    </row>
    <row r="4426" spans="1:26" ht="52.5" customHeight="1" x14ac:dyDescent="0.25">
      <c r="A4426" s="25" t="str">
        <f ca="1">IFERROR(__xludf.DUMMYFUNCTION("""COMPUTED_VALUE"""),"Movil224")</f>
        <v>Movil224</v>
      </c>
      <c r="B4426" s="25" t="str">
        <f ca="1">IFERROR(__xludf.DUMMYFUNCTION("""COMPUTED_VALUE"""),"Reunión BID")</f>
        <v>Reunión BID</v>
      </c>
      <c r="C4426" s="55">
        <f ca="1">IFERROR(__xludf.DUMMYFUNCTION("""COMPUTED_VALUE"""),44410)</f>
        <v>44410</v>
      </c>
      <c r="D4426" s="25" t="str">
        <f ca="1">IFERROR(__xludf.DUMMYFUNCTION("""COMPUTED_VALUE"""),"Movilidad")</f>
        <v>Movilidad</v>
      </c>
      <c r="E4426" s="25" t="str">
        <f ca="1">IFERROR(__xludf.DUMMYFUNCTION("""COMPUTED_VALUE"""),"Secretaría Distrital de Movilidad")</f>
        <v>Secretaría Distrital de Movilidad</v>
      </c>
      <c r="F4426" s="25" t="str">
        <f ca="1">IFERROR(__xludf.DUMMYFUNCTION("""COMPUTED_VALUE"""),"Solicitar al BID que se puedan usar recursos de la bolsa del crédito para conectar la primera, la segunda y el Regiotram del norte con la ampliación de la primera línea del metro hasta la 100")</f>
        <v>Solicitar al BID que se puedan usar recursos de la bolsa del crédito para conectar la primera, la segunda y el Regiotram del norte con la ampliación de la primera línea del metro hasta la 100</v>
      </c>
      <c r="G4426" s="25" t="str">
        <f ca="1">IFERROR(__xludf.DUMMYFUNCTION("""COMPUTED_VALUE"""),"99. Distrito")</f>
        <v>99. Distrito</v>
      </c>
      <c r="H4426" s="55">
        <f ca="1">IFERROR(__xludf.DUMMYFUNCTION("""COMPUTED_VALUE"""),44440)</f>
        <v>44440</v>
      </c>
      <c r="I4426" s="25"/>
      <c r="J4426" s="55" t="str">
        <f ca="1">IFERROR(__xludf.DUMMYFUNCTION("""COMPUTED_VALUE"""),"Alta")</f>
        <v>Alta</v>
      </c>
      <c r="K4426" s="25">
        <f ca="1">IFERROR(__xludf.DUMMYFUNCTION("""COMPUTED_VALUE"""),30)</f>
        <v>30</v>
      </c>
      <c r="L4426" s="62">
        <f ca="1">IFERROR(__xludf.DUMMYFUNCTION("""COMPUTED_VALUE"""),44748)</f>
        <v>44748</v>
      </c>
      <c r="M4426" s="25" t="str">
        <f ca="1">IFERROR(__xludf.DUMMYFUNCTION("""COMPUTED_VALUE"""),"La EMB ha presentado los avances en la definición de la prefactibilidad del trazado de la ampliación de la primera línea hasta la calle 100, aún no se ha logrado un cierre de la alternativa definitiva, puesto que el impacto de la construcción en cada uno "&amp;"de los trazados es alto. Se espera que en la próxima junta se defina y se continúe con el ciclo de maduración. ")</f>
        <v xml:space="preserve">La EMB ha presentado los avances en la definición de la prefactibilidad del trazado de la ampliación de la primera línea hasta la calle 100, aún no se ha logrado un cierre de la alternativa definitiva, puesto que el impacto de la construcción en cada uno de los trazados es alto. Se espera que en la próxima junta se defina y se continúe con el ciclo de maduración. </v>
      </c>
      <c r="N4426" s="55">
        <f ca="1">IFERROR(__xludf.DUMMYFUNCTION("""COMPUTED_VALUE"""),44748)</f>
        <v>44748</v>
      </c>
      <c r="O4426" s="25" t="str">
        <f t="shared" ca="1" si="0"/>
        <v>Secretaría Distrital de Movilidad</v>
      </c>
      <c r="P4426" s="25" t="str">
        <f t="shared" si="2"/>
        <v/>
      </c>
      <c r="Q4426" s="25" t="str">
        <f ca="1">IFERROR(__xludf.DUMMYFUNCTION("""COMPUTED_VALUE"""),"Corto plazo")</f>
        <v>Corto plazo</v>
      </c>
      <c r="R4426" s="25"/>
      <c r="S4426" s="55"/>
      <c r="T4426" s="56"/>
      <c r="U4426" s="25"/>
      <c r="V4426" s="25"/>
      <c r="W4426" s="25"/>
      <c r="X4426" s="25"/>
      <c r="Y4426" s="25"/>
      <c r="Z4426" s="25"/>
    </row>
    <row r="4427" spans="1:26" ht="52.5" customHeight="1" x14ac:dyDescent="0.25">
      <c r="A4427" s="25" t="str">
        <f ca="1">IFERROR(__xludf.DUMMYFUNCTION("""COMPUTED_VALUE"""),"Movil225")</f>
        <v>Movil225</v>
      </c>
      <c r="B4427" s="25" t="str">
        <f ca="1">IFERROR(__xludf.DUMMYFUNCTION("""COMPUTED_VALUE"""),"Reunión revisión de obras")</f>
        <v>Reunión revisión de obras</v>
      </c>
      <c r="C4427" s="55">
        <f ca="1">IFERROR(__xludf.DUMMYFUNCTION("""COMPUTED_VALUE"""),44410)</f>
        <v>44410</v>
      </c>
      <c r="D4427" s="25" t="str">
        <f ca="1">IFERROR(__xludf.DUMMYFUNCTION("""COMPUTED_VALUE"""),"Movilidad")</f>
        <v>Movilidad</v>
      </c>
      <c r="E4427" s="25" t="str">
        <f ca="1">IFERROR(__xludf.DUMMYFUNCTION("""COMPUTED_VALUE"""),"Secretaría Distrital de Movilidad")</f>
        <v>Secretaría Distrital de Movilidad</v>
      </c>
      <c r="F4427" s="25" t="str">
        <f ca="1">IFERROR(__xludf.DUMMYFUNCTION("""COMPUTED_VALUE"""),"Hay que definir la inclusión de los tiempos de los peajes para el borde occidental - para Marco Fiscal de Mediano Plazo (Calle 80, Calle 13, Regiotram del norte)")</f>
        <v>Hay que definir la inclusión de los tiempos de los peajes para el borde occidental - para Marco Fiscal de Mediano Plazo (Calle 80, Calle 13, Regiotram del norte)</v>
      </c>
      <c r="G4427" s="25" t="str">
        <f ca="1">IFERROR(__xludf.DUMMYFUNCTION("""COMPUTED_VALUE"""),"99. Distrito")</f>
        <v>99. Distrito</v>
      </c>
      <c r="H4427" s="55">
        <f ca="1">IFERROR(__xludf.DUMMYFUNCTION("""COMPUTED_VALUE"""),44440)</f>
        <v>44440</v>
      </c>
      <c r="I4427" s="25"/>
      <c r="J4427" s="55" t="str">
        <f ca="1">IFERROR(__xludf.DUMMYFUNCTION("""COMPUTED_VALUE"""),"Alta")</f>
        <v>Alta</v>
      </c>
      <c r="K4427" s="25">
        <f ca="1">IFERROR(__xludf.DUMMYFUNCTION("""COMPUTED_VALUE"""),30)</f>
        <v>30</v>
      </c>
      <c r="L4427" s="62">
        <f ca="1">IFERROR(__xludf.DUMMYFUNCTION("""COMPUTED_VALUE"""),44748)</f>
        <v>44748</v>
      </c>
      <c r="M4427" s="25" t="str">
        <f ca="1">IFERROR(__xludf.DUMMYFUNCTION("""COMPUTED_VALUE"""),"Esta tarea se está revisando a partir del proyecto de Borde Occidental Contrato IDU-1323-2021
Teniendo en cuenta las fases del contrato, ya se aprobó el producto 5 que define el escenario base y las temporalidad de los proyectos, así mismo, se inició el "&amp;"desarrollo del Producto 6 y fase de acompañamiento para la generación de variación de escenarios que sirvan para el marco fiscal. El producto 6 fue aprobado el 6 de octubre de 2022")</f>
        <v>Esta tarea se está revisando a partir del proyecto de Borde Occidental Contrato IDU-1323-2021
Teniendo en cuenta las fases del contrato, ya se aprobó el producto 5 que define el escenario base y las temporalidad de los proyectos, así mismo, se inició el desarrollo del Producto 6 y fase de acompañamiento para la generación de variación de escenarios que sirvan para el marco fiscal. El producto 6 fue aprobado el 6 de octubre de 2022</v>
      </c>
      <c r="N4427" s="55">
        <f ca="1">IFERROR(__xludf.DUMMYFUNCTION("""COMPUTED_VALUE"""),44748)</f>
        <v>44748</v>
      </c>
      <c r="O4427" s="25" t="str">
        <f t="shared" ca="1" si="0"/>
        <v>Secretaría Distrital de Movilidad</v>
      </c>
      <c r="P4427" s="25" t="str">
        <f t="shared" si="2"/>
        <v/>
      </c>
      <c r="Q4427" s="25" t="str">
        <f ca="1">IFERROR(__xludf.DUMMYFUNCTION("""COMPUTED_VALUE"""),"Corto plazo")</f>
        <v>Corto plazo</v>
      </c>
      <c r="R4427" s="25"/>
      <c r="S4427" s="55"/>
      <c r="T4427" s="56"/>
      <c r="U4427" s="25"/>
      <c r="V4427" s="25"/>
      <c r="W4427" s="25"/>
      <c r="X4427" s="25"/>
      <c r="Y4427" s="25"/>
      <c r="Z4427" s="25"/>
    </row>
    <row r="4428" spans="1:26" ht="52.5" customHeight="1" x14ac:dyDescent="0.25">
      <c r="A4428" s="25" t="str">
        <f ca="1">IFERROR(__xludf.DUMMYFUNCTION("""COMPUTED_VALUE"""),"Movil226")</f>
        <v>Movil226</v>
      </c>
      <c r="B4428" s="25" t="str">
        <f ca="1">IFERROR(__xludf.DUMMYFUNCTION("""COMPUTED_VALUE"""),"Operador público")</f>
        <v>Operador público</v>
      </c>
      <c r="C4428" s="55">
        <f ca="1">IFERROR(__xludf.DUMMYFUNCTION("""COMPUTED_VALUE"""),44410)</f>
        <v>44410</v>
      </c>
      <c r="D4428" s="25" t="str">
        <f ca="1">IFERROR(__xludf.DUMMYFUNCTION("""COMPUTED_VALUE"""),"Movilidad")</f>
        <v>Movilidad</v>
      </c>
      <c r="E4428" s="25" t="str">
        <f ca="1">IFERROR(__xludf.DUMMYFUNCTION("""COMPUTED_VALUE"""),"Secretaría Distrital de Movilidad")</f>
        <v>Secretaría Distrital de Movilidad</v>
      </c>
      <c r="F4428" s="25" t="str">
        <f ca="1">IFERROR(__xludf.DUMMYFUNCTION("""COMPUTED_VALUE"""),"Revisar si logramos tener un permiso temporal con un operador, idealmente que sea Fanalca")</f>
        <v>Revisar si logramos tener un permiso temporal con un operador, idealmente que sea Fanalca</v>
      </c>
      <c r="G4428" s="25" t="str">
        <f ca="1">IFERROR(__xludf.DUMMYFUNCTION("""COMPUTED_VALUE"""),"99. Distrito")</f>
        <v>99. Distrito</v>
      </c>
      <c r="H4428" s="55">
        <f ca="1">IFERROR(__xludf.DUMMYFUNCTION("""COMPUTED_VALUE"""),44440)</f>
        <v>44440</v>
      </c>
      <c r="I4428" s="25"/>
      <c r="J4428" s="55" t="str">
        <f ca="1">IFERROR(__xludf.DUMMYFUNCTION("""COMPUTED_VALUE"""),"Alta")</f>
        <v>Alta</v>
      </c>
      <c r="K4428" s="25">
        <f ca="1">IFERROR(__xludf.DUMMYFUNCTION("""COMPUTED_VALUE"""),30)</f>
        <v>30</v>
      </c>
      <c r="L4428" s="62">
        <f ca="1">IFERROR(__xludf.DUMMYFUNCTION("""COMPUTED_VALUE"""),44748)</f>
        <v>44748</v>
      </c>
      <c r="M4428" s="25" t="str">
        <f ca="1">IFERROR(__xludf.DUMMYFUNCTION("""COMPUTED_VALUE"""),"El día 11 de Noviembre de 2021, se firmó el contrato Interadministrativo de concesión para la operación de la Unidad Funcional 8 - Perdomo II del componente Zonal del SITP entre La Operadora Distrital y Transmilenio y el 14 de febrero de 2022 se suscribió"&amp;" el acta de inicio del contrato de concesión, con lo cual ya se cuenta con permiso de operación.")</f>
        <v>El día 11 de Noviembre de 2021, se firmó el contrato Interadministrativo de concesión para la operación de la Unidad Funcional 8 - Perdomo II del componente Zonal del SITP entre La Operadora Distrital y Transmilenio y el 14 de febrero de 2022 se suscribió el acta de inicio del contrato de concesión, con lo cual ya se cuenta con permiso de operación.</v>
      </c>
      <c r="N4428" s="55">
        <f ca="1">IFERROR(__xludf.DUMMYFUNCTION("""COMPUTED_VALUE"""),44748)</f>
        <v>44748</v>
      </c>
      <c r="O4428" s="25" t="str">
        <f t="shared" ca="1" si="0"/>
        <v>Secretaría Distrital de Movilidad</v>
      </c>
      <c r="P4428" s="25" t="str">
        <f t="shared" si="2"/>
        <v/>
      </c>
      <c r="Q4428" s="25" t="str">
        <f ca="1">IFERROR(__xludf.DUMMYFUNCTION("""COMPUTED_VALUE"""),"Corto plazo")</f>
        <v>Corto plazo</v>
      </c>
      <c r="R4428" s="25"/>
      <c r="S4428" s="55"/>
      <c r="T4428" s="56"/>
      <c r="U4428" s="25"/>
      <c r="V4428" s="25"/>
      <c r="W4428" s="25"/>
      <c r="X4428" s="25"/>
      <c r="Y4428" s="25"/>
      <c r="Z4428" s="25"/>
    </row>
    <row r="4429" spans="1:26" ht="52.5" customHeight="1" x14ac:dyDescent="0.25">
      <c r="A4429" s="25" t="str">
        <f ca="1">IFERROR(__xludf.DUMMYFUNCTION("""COMPUTED_VALUE"""),"Movil227")</f>
        <v>Movil227</v>
      </c>
      <c r="B4429" s="25" t="str">
        <f ca="1">IFERROR(__xludf.DUMMYFUNCTION("""COMPUTED_VALUE"""),"SITP Provisional")</f>
        <v>SITP Provisional</v>
      </c>
      <c r="C4429" s="55">
        <f ca="1">IFERROR(__xludf.DUMMYFUNCTION("""COMPUTED_VALUE"""),44410)</f>
        <v>44410</v>
      </c>
      <c r="D4429" s="25" t="str">
        <f ca="1">IFERROR(__xludf.DUMMYFUNCTION("""COMPUTED_VALUE"""),"Movilidad")</f>
        <v>Movilidad</v>
      </c>
      <c r="E4429" s="25" t="str">
        <f ca="1">IFERROR(__xludf.DUMMYFUNCTION("""COMPUTED_VALUE"""),"Empresa de Transporte del Tercer Milenio - Transmilenio S.A.")</f>
        <v>Empresa de Transporte del Tercer Milenio - Transmilenio S.A.</v>
      </c>
      <c r="F4429" s="25" t="str">
        <f ca="1">IFERROR(__xludf.DUMMYFUNCTION("""COMPUTED_VALUE"""),"Organizar un evento para las mujeres conductoras SITP")</f>
        <v>Organizar un evento para las mujeres conductoras SITP</v>
      </c>
      <c r="G4429" s="25" t="str">
        <f ca="1">IFERROR(__xludf.DUMMYFUNCTION("""COMPUTED_VALUE"""),"99. Distrito")</f>
        <v>99. Distrito</v>
      </c>
      <c r="H4429" s="55">
        <f ca="1">IFERROR(__xludf.DUMMYFUNCTION("""COMPUTED_VALUE"""),44440)</f>
        <v>44440</v>
      </c>
      <c r="I4429" s="25"/>
      <c r="J4429" s="55" t="str">
        <f ca="1">IFERROR(__xludf.DUMMYFUNCTION("""COMPUTED_VALUE"""),"Alta")</f>
        <v>Alta</v>
      </c>
      <c r="K4429" s="25">
        <f ca="1">IFERROR(__xludf.DUMMYFUNCTION("""COMPUTED_VALUE"""),30)</f>
        <v>30</v>
      </c>
      <c r="L4429" s="62"/>
      <c r="M4429" s="25" t="str">
        <f ca="1">IFERROR(__xludf.DUMMYFUNCTION("""COMPUTED_VALUE"""),"En TRANSMILENIO S.A reconocemos todos los roles que hacen posible el correcto funcionamiento del Sistema en todos sus componentes y, por ello, las mujeres cobran un valor aún más importante en fechas especiales. 
Durante el mes de marzo de 2022, destacamo"&amp;"s el trabajo de las 5.437 mujeres que hacen parte del sistema de transporte público de Bogotá.  
El evento realizado en la Plaza Fundacional de Suba, reunió a cerca de 500 mujeres que trabajan en los concesionarios del sistema, cumpliendo roles en áreas c"&amp;"omo mantenimiento, operaciones, seguridad y alta gerencia operativa. 
Esta actividad contó con la participación e intervención de la alcaldesa mayor de Bogotá, Claudia López; la secretaria de la mujer de Bogotá, Diana Rodríguez Franco; y el gerente de TRA"&amp;"NSMILENIO S.A, Álvaro José Rengifo. 
En este espacio a cada una de las mujeres se les entregó un diploma que reconoció su trabajo, compromiso, esfuerzo y dedicación en el sistema, asimismo, tres de ellas compartieron su experiencia de vida en los roles qu"&amp;"e desempeñan. ")</f>
        <v xml:space="preserve">En TRANSMILENIO S.A reconocemos todos los roles que hacen posible el correcto funcionamiento del Sistema en todos sus componentes y, por ello, las mujeres cobran un valor aún más importante en fechas especiales. 
Durante el mes de marzo de 2022, destacamos el trabajo de las 5.437 mujeres que hacen parte del sistema de transporte público de Bogotá.  
El evento realizado en la Plaza Fundacional de Suba, reunió a cerca de 500 mujeres que trabajan en los concesionarios del sistema, cumpliendo roles en áreas como mantenimiento, operaciones, seguridad y alta gerencia operativa. 
Esta actividad contó con la participación e intervención de la alcaldesa mayor de Bogotá, Claudia López; la secretaria de la mujer de Bogotá, Diana Rodríguez Franco; y el gerente de TRANSMILENIO S.A, Álvaro José Rengifo. 
En este espacio a cada una de las mujeres se les entregó un diploma que reconoció su trabajo, compromiso, esfuerzo y dedicación en el sistema, asimismo, tres de ellas compartieron su experiencia de vida en los roles que desempeñan. </v>
      </c>
      <c r="N4429" s="55">
        <f ca="1">IFERROR(__xludf.DUMMYFUNCTION("""COMPUTED_VALUE"""),44927)</f>
        <v>44927</v>
      </c>
      <c r="O4429" s="25" t="str">
        <f t="shared" ca="1" si="0"/>
        <v>Empresa de Transporte del Tercer Milenio - Transmilenio S.A.</v>
      </c>
      <c r="P4429" s="25" t="str">
        <f t="shared" si="2"/>
        <v/>
      </c>
      <c r="Q4429" s="25" t="str">
        <f ca="1">IFERROR(__xludf.DUMMYFUNCTION("""COMPUTED_VALUE"""),"Corto plazo")</f>
        <v>Corto plazo</v>
      </c>
      <c r="R4429" s="25"/>
      <c r="S4429" s="55"/>
      <c r="T4429" s="56"/>
      <c r="U4429" s="25"/>
      <c r="V4429" s="25"/>
      <c r="W4429" s="25"/>
      <c r="X4429" s="25"/>
      <c r="Y4429" s="25"/>
      <c r="Z4429" s="25"/>
    </row>
    <row r="4430" spans="1:26" ht="52.5" customHeight="1" x14ac:dyDescent="0.25">
      <c r="A4430" s="25" t="str">
        <f ca="1">IFERROR(__xludf.DUMMYFUNCTION("""COMPUTED_VALUE"""),"Movil228")</f>
        <v>Movil228</v>
      </c>
      <c r="B4430" s="25" t="str">
        <f ca="1">IFERROR(__xludf.DUMMYFUNCTION("""COMPUTED_VALUE"""),"Kennedy")</f>
        <v>Kennedy</v>
      </c>
      <c r="C4430" s="55">
        <f ca="1">IFERROR(__xludf.DUMMYFUNCTION("""COMPUTED_VALUE"""),44406)</f>
        <v>44406</v>
      </c>
      <c r="D4430" s="25" t="str">
        <f ca="1">IFERROR(__xludf.DUMMYFUNCTION("""COMPUTED_VALUE"""),"Movilidad")</f>
        <v>Movilidad</v>
      </c>
      <c r="E4430" s="25" t="str">
        <f ca="1">IFERROR(__xludf.DUMMYFUNCTION("""COMPUTED_VALUE"""),"Empresa Metro de Bogotá S.A.")</f>
        <v>Empresa Metro de Bogotá S.A.</v>
      </c>
      <c r="F4430" s="25" t="str">
        <f ca="1">IFERROR(__xludf.DUMMYFUNCTION("""COMPUTED_VALUE"""),"En la Junta de infraestructura debe incluir componente social por cada tramo de metro para revisión ")</f>
        <v xml:space="preserve">En la Junta de infraestructura debe incluir componente social por cada tramo de metro para revisión </v>
      </c>
      <c r="G4430" s="25" t="str">
        <f ca="1">IFERROR(__xludf.DUMMYFUNCTION("""COMPUTED_VALUE"""),"99. Distrito")</f>
        <v>99. Distrito</v>
      </c>
      <c r="H4430" s="55">
        <f ca="1">IFERROR(__xludf.DUMMYFUNCTION("""COMPUTED_VALUE"""),44436)</f>
        <v>44436</v>
      </c>
      <c r="I4430" s="25"/>
      <c r="J4430" s="55" t="str">
        <f ca="1">IFERROR(__xludf.DUMMYFUNCTION("""COMPUTED_VALUE"""),"Alta")</f>
        <v>Alta</v>
      </c>
      <c r="K4430" s="25">
        <f ca="1">IFERROR(__xludf.DUMMYFUNCTION("""COMPUTED_VALUE"""),30)</f>
        <v>30</v>
      </c>
      <c r="L4430" s="62">
        <f ca="1">IFERROR(__xludf.DUMMYFUNCTION("""COMPUTED_VALUE"""),44468)</f>
        <v>44468</v>
      </c>
      <c r="M4430" s="25" t="str">
        <f ca="1">IFERROR(__xludf.DUMMYFUNCTION("""COMPUTED_VALUE"""),"El pasado 20 de septiembre se realizó una reunión entre la EAAB, y la EMB, con el fin de articular la forma de presentar los informes mensuales de actividades de gestión social en el marco de las obras de TAR. Estas reuniones se realizarán de manera mensu"&amp;"al, o según los requerimientos. Igualmente, de manera mensual, desde la EMB se hace la revisión de los informes que remite la EAAB, en relación con las actividades sociales. ")</f>
        <v xml:space="preserve">El pasado 20 de septiembre se realizó una reunión entre la EAAB, y la EMB, con el fin de articular la forma de presentar los informes mensuales de actividades de gestión social en el marco de las obras de TAR. Estas reuniones se realizarán de manera mensual, o según los requerimientos. Igualmente, de manera mensual, desde la EMB se hace la revisión de los informes que remite la EAAB, en relación con las actividades sociales. </v>
      </c>
      <c r="N4430" s="55">
        <f ca="1">IFERROR(__xludf.DUMMYFUNCTION("""COMPUTED_VALUE"""),44468)</f>
        <v>44468</v>
      </c>
      <c r="O4430" s="25" t="str">
        <f t="shared" ca="1" si="0"/>
        <v>Empresa Metro de Bogotá S.A.</v>
      </c>
      <c r="P4430" s="25" t="str">
        <f t="shared" si="2"/>
        <v/>
      </c>
      <c r="Q4430" s="25" t="str">
        <f ca="1">IFERROR(__xludf.DUMMYFUNCTION("""COMPUTED_VALUE"""),"Corto plazo")</f>
        <v>Corto plazo</v>
      </c>
      <c r="R4430" s="25"/>
      <c r="S4430" s="55"/>
      <c r="T4430" s="56"/>
      <c r="U4430" s="25"/>
      <c r="V4430" s="25"/>
      <c r="W4430" s="25"/>
      <c r="X4430" s="25"/>
      <c r="Y4430" s="25"/>
      <c r="Z4430" s="25"/>
    </row>
    <row r="4431" spans="1:26" ht="52.5" customHeight="1" x14ac:dyDescent="0.25">
      <c r="A4431" s="25" t="str">
        <f ca="1">IFERROR(__xludf.DUMMYFUNCTION("""COMPUTED_VALUE"""),"Movil229")</f>
        <v>Movil229</v>
      </c>
      <c r="B4431" s="25" t="str">
        <f ca="1">IFERROR(__xludf.DUMMYFUNCTION("""COMPUTED_VALUE"""),"Kennedy")</f>
        <v>Kennedy</v>
      </c>
      <c r="C4431" s="55">
        <f ca="1">IFERROR(__xludf.DUMMYFUNCTION("""COMPUTED_VALUE"""),44406)</f>
        <v>44406</v>
      </c>
      <c r="D4431" s="25" t="str">
        <f ca="1">IFERROR(__xludf.DUMMYFUNCTION("""COMPUTED_VALUE"""),"Movilidad")</f>
        <v>Movilidad</v>
      </c>
      <c r="E4431" s="25" t="str">
        <f ca="1">IFERROR(__xludf.DUMMYFUNCTION("""COMPUTED_VALUE"""),"Instituto de Desarrollo Urbano")</f>
        <v>Instituto de Desarrollo Urbano</v>
      </c>
      <c r="F4431" s="25" t="str">
        <f ca="1">IFERROR(__xludf.DUMMYFUNCTION("""COMPUTED_VALUE"""),"Cuadrar una reunión entre el acueducto y el idu, para que el idu asuma y apropie la ampliación de la av villavicencio ")</f>
        <v xml:space="preserve">Cuadrar una reunión entre el acueducto y el idu, para que el idu asuma y apropie la ampliación de la av villavicencio </v>
      </c>
      <c r="G4431" s="25" t="str">
        <f ca="1">IFERROR(__xludf.DUMMYFUNCTION("""COMPUTED_VALUE"""),"99. Distrito")</f>
        <v>99. Distrito</v>
      </c>
      <c r="H4431" s="55">
        <f ca="1">IFERROR(__xludf.DUMMYFUNCTION("""COMPUTED_VALUE"""),44436)</f>
        <v>44436</v>
      </c>
      <c r="I4431" s="25"/>
      <c r="J4431" s="55" t="str">
        <f ca="1">IFERROR(__xludf.DUMMYFUNCTION("""COMPUTED_VALUE"""),"Alta")</f>
        <v>Alta</v>
      </c>
      <c r="K4431" s="25">
        <f ca="1">IFERROR(__xludf.DUMMYFUNCTION("""COMPUTED_VALUE"""),30)</f>
        <v>30</v>
      </c>
      <c r="L4431" s="62">
        <f ca="1">IFERROR(__xludf.DUMMYFUNCTION("""COMPUTED_VALUE"""),44483)</f>
        <v>44483</v>
      </c>
      <c r="M4431" s="25" t="str">
        <f ca="1">IFERROR(__xludf.DUMMYFUNCTION("""COMPUTED_VALUE"""),"La Empresa Metro realizará la construcción de la calzada Sur y el IDU la calzada norte, para lo cual se armonizaran los cronogramas con la Empresa Metro con el fin de determinar la vigencia en la cual se deben asignar los recursos.
 En la vigencia 2022 "&amp;"se continuará con el proceso de aprobación de productos en las empresas de servicios públicos y terceros.")</f>
        <v>La Empresa Metro realizará la construcción de la calzada Sur y el IDU la calzada norte, para lo cual se armonizaran los cronogramas con la Empresa Metro con el fin de determinar la vigencia en la cual se deben asignar los recursos.
 En la vigencia 2022 se continuará con el proceso de aprobación de productos en las empresas de servicios públicos y terceros.</v>
      </c>
      <c r="N4431" s="55">
        <f ca="1">IFERROR(__xludf.DUMMYFUNCTION("""COMPUTED_VALUE"""),44483)</f>
        <v>44483</v>
      </c>
      <c r="O4431" s="25" t="str">
        <f t="shared" ca="1" si="0"/>
        <v>Instituto de Desarrollo Urbano</v>
      </c>
      <c r="P4431" s="25" t="str">
        <f t="shared" si="2"/>
        <v/>
      </c>
      <c r="Q4431" s="25" t="str">
        <f ca="1">IFERROR(__xludf.DUMMYFUNCTION("""COMPUTED_VALUE"""),"Corto plazo")</f>
        <v>Corto plazo</v>
      </c>
      <c r="R4431" s="25"/>
      <c r="S4431" s="55"/>
      <c r="T4431" s="56"/>
      <c r="U4431" s="25"/>
      <c r="V4431" s="25"/>
      <c r="W4431" s="25"/>
      <c r="X4431" s="25"/>
      <c r="Y4431" s="25"/>
      <c r="Z4431" s="25"/>
    </row>
    <row r="4432" spans="1:26" ht="52.5" customHeight="1" x14ac:dyDescent="0.25">
      <c r="A4432" s="25" t="str">
        <f ca="1">IFERROR(__xludf.DUMMYFUNCTION("""COMPUTED_VALUE"""),"Movil230")</f>
        <v>Movil230</v>
      </c>
      <c r="B4432" s="25" t="str">
        <f ca="1">IFERROR(__xludf.DUMMYFUNCTION("""COMPUTED_VALUE"""),"Kennedy")</f>
        <v>Kennedy</v>
      </c>
      <c r="C4432" s="55">
        <f ca="1">IFERROR(__xludf.DUMMYFUNCTION("""COMPUTED_VALUE"""),44406)</f>
        <v>44406</v>
      </c>
      <c r="D4432" s="25" t="str">
        <f ca="1">IFERROR(__xludf.DUMMYFUNCTION("""COMPUTED_VALUE"""),"Movilidad")</f>
        <v>Movilidad</v>
      </c>
      <c r="E4432" s="25" t="str">
        <f ca="1">IFERROR(__xludf.DUMMYFUNCTION("""COMPUTED_VALUE"""),"Instituto de Desarrollo Urbano")</f>
        <v>Instituto de Desarrollo Urbano</v>
      </c>
      <c r="F4432" s="25" t="str">
        <f ca="1">IFERROR(__xludf.DUMMYFUNCTION("""COMPUTED_VALUE"""),"Instalar una cámara 360 en la ciclo alameda el porvenir que grabe todos los avances de obra ")</f>
        <v xml:space="preserve">Instalar una cámara 360 en la ciclo alameda el porvenir que grabe todos los avances de obra </v>
      </c>
      <c r="G4432" s="25" t="str">
        <f ca="1">IFERROR(__xludf.DUMMYFUNCTION("""COMPUTED_VALUE"""),"99. Distrito")</f>
        <v>99. Distrito</v>
      </c>
      <c r="H4432" s="55">
        <f ca="1">IFERROR(__xludf.DUMMYFUNCTION("""COMPUTED_VALUE"""),44436)</f>
        <v>44436</v>
      </c>
      <c r="I4432" s="25"/>
      <c r="J4432" s="55" t="str">
        <f ca="1">IFERROR(__xludf.DUMMYFUNCTION("""COMPUTED_VALUE"""),"Alta")</f>
        <v>Alta</v>
      </c>
      <c r="K4432" s="25">
        <f ca="1">IFERROR(__xludf.DUMMYFUNCTION("""COMPUTED_VALUE"""),30)</f>
        <v>30</v>
      </c>
      <c r="L4432" s="62">
        <f ca="1">IFERROR(__xludf.DUMMYFUNCTION("""COMPUTED_VALUE"""),44483)</f>
        <v>44483</v>
      </c>
      <c r="M4432" s="25" t="str">
        <f ca="1">IFERROR(__xludf.DUMMYFUNCTION("""COMPUTED_VALUE"""),"Revisión de los contratos de Concesión, Interventoría y PMO para la inclusión de este requerimiento dentro del contrato de Concesión.")</f>
        <v>Revisión de los contratos de Concesión, Interventoría y PMO para la inclusión de este requerimiento dentro del contrato de Concesión.</v>
      </c>
      <c r="N4432" s="55">
        <f ca="1">IFERROR(__xludf.DUMMYFUNCTION("""COMPUTED_VALUE"""),44483)</f>
        <v>44483</v>
      </c>
      <c r="O4432" s="25" t="str">
        <f t="shared" ca="1" si="0"/>
        <v>Instituto de Desarrollo Urbano</v>
      </c>
      <c r="P4432" s="25" t="str">
        <f t="shared" si="2"/>
        <v/>
      </c>
      <c r="Q4432" s="25" t="str">
        <f ca="1">IFERROR(__xludf.DUMMYFUNCTION("""COMPUTED_VALUE"""),"Corto plazo")</f>
        <v>Corto plazo</v>
      </c>
      <c r="R4432" s="25"/>
      <c r="S4432" s="55"/>
      <c r="T4432" s="56"/>
      <c r="U4432" s="25"/>
      <c r="V4432" s="25"/>
      <c r="W4432" s="25"/>
      <c r="X4432" s="25"/>
      <c r="Y4432" s="25"/>
      <c r="Z4432" s="25"/>
    </row>
    <row r="4433" spans="1:26" ht="52.5" customHeight="1" x14ac:dyDescent="0.25">
      <c r="A4433" s="25" t="str">
        <f ca="1">IFERROR(__xludf.DUMMYFUNCTION("""COMPUTED_VALUE"""),"Movil231")</f>
        <v>Movil231</v>
      </c>
      <c r="B4433" s="25" t="str">
        <f ca="1">IFERROR(__xludf.DUMMYFUNCTION("""COMPUTED_VALUE"""),"Kennedy")</f>
        <v>Kennedy</v>
      </c>
      <c r="C4433" s="55">
        <f ca="1">IFERROR(__xludf.DUMMYFUNCTION("""COMPUTED_VALUE"""),44406)</f>
        <v>44406</v>
      </c>
      <c r="D4433" s="25" t="str">
        <f ca="1">IFERROR(__xludf.DUMMYFUNCTION("""COMPUTED_VALUE"""),"Movilidad")</f>
        <v>Movilidad</v>
      </c>
      <c r="E4433" s="25" t="str">
        <f ca="1">IFERROR(__xludf.DUMMYFUNCTION("""COMPUTED_VALUE"""),"Empresa Metro de Bogotá S.A.")</f>
        <v>Empresa Metro de Bogotá S.A.</v>
      </c>
      <c r="F4433" s="25" t="str">
        <f ca="1">IFERROR(__xludf.DUMMYFUNCTION("""COMPUTED_VALUE"""),"Hacer periódicos trimestrales de obras por grupos de obras el metro ")</f>
        <v xml:space="preserve">Hacer periódicos trimestrales de obras por grupos de obras el metro </v>
      </c>
      <c r="G4433" s="25" t="str">
        <f ca="1">IFERROR(__xludf.DUMMYFUNCTION("""COMPUTED_VALUE"""),"99. Distrito")</f>
        <v>99. Distrito</v>
      </c>
      <c r="H4433" s="55">
        <f ca="1">IFERROR(__xludf.DUMMYFUNCTION("""COMPUTED_VALUE"""),44436)</f>
        <v>44436</v>
      </c>
      <c r="I4433" s="25"/>
      <c r="J4433" s="55" t="str">
        <f ca="1">IFERROR(__xludf.DUMMYFUNCTION("""COMPUTED_VALUE"""),"Alta")</f>
        <v>Alta</v>
      </c>
      <c r="K4433" s="25">
        <f ca="1">IFERROR(__xludf.DUMMYFUNCTION("""COMPUTED_VALUE"""),30)</f>
        <v>30</v>
      </c>
      <c r="L4433" s="62">
        <f ca="1">IFERROR(__xludf.DUMMYFUNCTION("""COMPUTED_VALUE"""),44498)</f>
        <v>44498</v>
      </c>
      <c r="M4433" s="25" t="str">
        <f ca="1">IFERROR(__xludf.DUMMYFUNCTION("""COMPUTED_VALUE"""),"Ya se cuenta con la primer versión del periódico denominado ""Nuestro Metro"", con las noticias más representativas del mes de octubre. Este será distribuido de manera física, así:
•        5.000 Bosa
•        5.000 Kennedy
•        5.000 Chapinero
•    "&amp;"    5.000 Corredor
También se hará un envío masivo vía correo electrónico y distribución por whatsapp.
Las verificaciones y evidencias de la distribución, serán entregadas posteriormente por el operador logístico contratado por EMB.")</f>
        <v>Ya se cuenta con la primer versión del periódico denominado "Nuestro Metro", con las noticias más representativas del mes de octubre. Este será distribuido de manera física, así:
•        5.000 Bosa
•        5.000 Kennedy
•        5.000 Chapinero
•        5.000 Corredor
También se hará un envío masivo vía correo electrónico y distribución por whatsapp.
Las verificaciones y evidencias de la distribución, serán entregadas posteriormente por el operador logístico contratado por EMB.</v>
      </c>
      <c r="N4433" s="55">
        <f ca="1">IFERROR(__xludf.DUMMYFUNCTION("""COMPUTED_VALUE"""),44498)</f>
        <v>44498</v>
      </c>
      <c r="O4433" s="25" t="str">
        <f t="shared" ca="1" si="0"/>
        <v>Empresa Metro de Bogotá S.A.</v>
      </c>
      <c r="P4433" s="25" t="str">
        <f t="shared" si="2"/>
        <v/>
      </c>
      <c r="Q4433" s="25" t="str">
        <f ca="1">IFERROR(__xludf.DUMMYFUNCTION("""COMPUTED_VALUE"""),"Corto plazo")</f>
        <v>Corto plazo</v>
      </c>
      <c r="R4433" s="25"/>
      <c r="S4433" s="55"/>
      <c r="T4433" s="56"/>
      <c r="U4433" s="25"/>
      <c r="V4433" s="25"/>
      <c r="W4433" s="25"/>
      <c r="X4433" s="25"/>
      <c r="Y4433" s="25"/>
      <c r="Z4433" s="25"/>
    </row>
    <row r="4434" spans="1:26" ht="52.5" customHeight="1" x14ac:dyDescent="0.25">
      <c r="A4434" s="25" t="str">
        <f ca="1">IFERROR(__xludf.DUMMYFUNCTION("""COMPUTED_VALUE"""),"Movil232")</f>
        <v>Movil232</v>
      </c>
      <c r="B4434" s="25" t="str">
        <f ca="1">IFERROR(__xludf.DUMMYFUNCTION("""COMPUTED_VALUE"""),"Revisión obras IDU, UMV y Movilidad")</f>
        <v>Revisión obras IDU, UMV y Movilidad</v>
      </c>
      <c r="C4434" s="55">
        <f ca="1">IFERROR(__xludf.DUMMYFUNCTION("""COMPUTED_VALUE"""),44405)</f>
        <v>44405</v>
      </c>
      <c r="D4434" s="25" t="str">
        <f ca="1">IFERROR(__xludf.DUMMYFUNCTION("""COMPUTED_VALUE"""),"Movilidad")</f>
        <v>Movilidad</v>
      </c>
      <c r="E4434" s="25" t="str">
        <f ca="1">IFERROR(__xludf.DUMMYFUNCTION("""COMPUTED_VALUE"""),"Instituto de Desarrollo Urbano")</f>
        <v>Instituto de Desarrollo Urbano</v>
      </c>
      <c r="F4434" s="25" t="str">
        <f ca="1">IFERROR(__xludf.DUMMYFUNCTION("""COMPUTED_VALUE"""),"Radicar la segunda versión al acueducto de la obra de la Avenida Boyacá de la Calle 170 a la 183")</f>
        <v>Radicar la segunda versión al acueducto de la obra de la Avenida Boyacá de la Calle 170 a la 183</v>
      </c>
      <c r="G4434" s="25" t="str">
        <f ca="1">IFERROR(__xludf.DUMMYFUNCTION("""COMPUTED_VALUE"""),"99. Distrito")</f>
        <v>99. Distrito</v>
      </c>
      <c r="H4434" s="55">
        <f ca="1">IFERROR(__xludf.DUMMYFUNCTION("""COMPUTED_VALUE"""),44435)</f>
        <v>44435</v>
      </c>
      <c r="I4434" s="25"/>
      <c r="J4434" s="55" t="str">
        <f ca="1">IFERROR(__xludf.DUMMYFUNCTION("""COMPUTED_VALUE"""),"Alta")</f>
        <v>Alta</v>
      </c>
      <c r="K4434" s="25">
        <f ca="1">IFERROR(__xludf.DUMMYFUNCTION("""COMPUTED_VALUE"""),30)</f>
        <v>30</v>
      </c>
      <c r="L4434" s="62">
        <f ca="1">IFERROR(__xludf.DUMMYFUNCTION("""COMPUTED_VALUE"""),44421)</f>
        <v>44421</v>
      </c>
      <c r="M4434" s="25" t="str">
        <f ca="1">IFERROR(__xludf.DUMMYFUNCTION("""COMPUTED_VALUE"""),"Se radicó el 02/08/2021 la segunda versión de acueducto y alcantarillado a la EAAB")</f>
        <v>Se radicó el 02/08/2021 la segunda versión de acueducto y alcantarillado a la EAAB</v>
      </c>
      <c r="N4434" s="55">
        <f ca="1">IFERROR(__xludf.DUMMYFUNCTION("""COMPUTED_VALUE"""),44421)</f>
        <v>44421</v>
      </c>
      <c r="O4434" s="25" t="str">
        <f t="shared" ca="1" si="0"/>
        <v>Instituto de Desarrollo Urbano</v>
      </c>
      <c r="P4434" s="25" t="str">
        <f t="shared" si="2"/>
        <v/>
      </c>
      <c r="Q4434" s="25" t="str">
        <f ca="1">IFERROR(__xludf.DUMMYFUNCTION("""COMPUTED_VALUE"""),"Corto plazo")</f>
        <v>Corto plazo</v>
      </c>
      <c r="R4434" s="25"/>
      <c r="S4434" s="55"/>
      <c r="T4434" s="56"/>
      <c r="U4434" s="25"/>
      <c r="V4434" s="25"/>
      <c r="W4434" s="25"/>
      <c r="X4434" s="25"/>
      <c r="Y4434" s="25"/>
      <c r="Z4434" s="25"/>
    </row>
    <row r="4435" spans="1:26" ht="52.5" customHeight="1" x14ac:dyDescent="0.25">
      <c r="A4435" s="25" t="str">
        <f ca="1">IFERROR(__xludf.DUMMYFUNCTION("""COMPUTED_VALUE"""),"Movil233")</f>
        <v>Movil233</v>
      </c>
      <c r="B4435" s="25" t="str">
        <f ca="1">IFERROR(__xludf.DUMMYFUNCTION("""COMPUTED_VALUE"""),"Revisión obras IDU, UMV y Movilidad")</f>
        <v>Revisión obras IDU, UMV y Movilidad</v>
      </c>
      <c r="C4435" s="55">
        <f ca="1">IFERROR(__xludf.DUMMYFUNCTION("""COMPUTED_VALUE"""),44405)</f>
        <v>44405</v>
      </c>
      <c r="D4435" s="25" t="str">
        <f ca="1">IFERROR(__xludf.DUMMYFUNCTION("""COMPUTED_VALUE"""),"Movilidad")</f>
        <v>Movilidad</v>
      </c>
      <c r="E4435" s="25" t="str">
        <f ca="1">IFERROR(__xludf.DUMMYFUNCTION("""COMPUTED_VALUE"""),"Instituto de Desarrollo Urbano")</f>
        <v>Instituto de Desarrollo Urbano</v>
      </c>
      <c r="F4435" s="25" t="str">
        <f ca="1">IFERROR(__xludf.DUMMYFUNCTION("""COMPUTED_VALUE"""),"Hacer un plan para que el mantenimiento vial se pueda hacer en dos horarios: de 9 am a las 4pm y de 8pm a 4am")</f>
        <v>Hacer un plan para que el mantenimiento vial se pueda hacer en dos horarios: de 9 am a las 4pm y de 8pm a 4am</v>
      </c>
      <c r="G4435" s="25" t="str">
        <f ca="1">IFERROR(__xludf.DUMMYFUNCTION("""COMPUTED_VALUE"""),"99. Distrito")</f>
        <v>99. Distrito</v>
      </c>
      <c r="H4435" s="55">
        <f ca="1">IFERROR(__xludf.DUMMYFUNCTION("""COMPUTED_VALUE"""),44435)</f>
        <v>44435</v>
      </c>
      <c r="I4435" s="25"/>
      <c r="J4435" s="55" t="str">
        <f ca="1">IFERROR(__xludf.DUMMYFUNCTION("""COMPUTED_VALUE"""),"Alta")</f>
        <v>Alta</v>
      </c>
      <c r="K4435" s="25">
        <f ca="1">IFERROR(__xludf.DUMMYFUNCTION("""COMPUTED_VALUE"""),30)</f>
        <v>30</v>
      </c>
      <c r="L4435" s="62">
        <f ca="1">IFERROR(__xludf.DUMMYFUNCTION("""COMPUTED_VALUE"""),44421)</f>
        <v>44421</v>
      </c>
      <c r="M4435" s="64" t="str">
        <f ca="1">IFERROR(__xludf.DUMMYFUNCTION("""COMPUTED_VALUE"""),"Actualmente se manejan en los contratos de mantenimiento 2 turnos uno diario y uno nocturno.")</f>
        <v>Actualmente se manejan en los contratos de mantenimiento 2 turnos uno diario y uno nocturno.</v>
      </c>
      <c r="N4435" s="55">
        <f ca="1">IFERROR(__xludf.DUMMYFUNCTION("""COMPUTED_VALUE"""),44421)</f>
        <v>44421</v>
      </c>
      <c r="O4435" s="25" t="str">
        <f t="shared" ca="1" si="0"/>
        <v>Instituto de Desarrollo Urbano</v>
      </c>
      <c r="P4435" s="25" t="str">
        <f t="shared" si="2"/>
        <v/>
      </c>
      <c r="Q4435" s="25" t="str">
        <f ca="1">IFERROR(__xludf.DUMMYFUNCTION("""COMPUTED_VALUE"""),"Corto plazo")</f>
        <v>Corto plazo</v>
      </c>
      <c r="R4435" s="25"/>
      <c r="S4435" s="55"/>
      <c r="T4435" s="56"/>
      <c r="U4435" s="25"/>
      <c r="V4435" s="25"/>
      <c r="W4435" s="25"/>
      <c r="X4435" s="25"/>
      <c r="Y4435" s="25"/>
      <c r="Z4435" s="25"/>
    </row>
    <row r="4436" spans="1:26" ht="52.5" customHeight="1" x14ac:dyDescent="0.25">
      <c r="A4436" s="25" t="str">
        <f ca="1">IFERROR(__xludf.DUMMYFUNCTION("""COMPUTED_VALUE"""),"Movil234")</f>
        <v>Movil234</v>
      </c>
      <c r="B4436" s="25" t="str">
        <f ca="1">IFERROR(__xludf.DUMMYFUNCTION("""COMPUTED_VALUE"""),"Revisión obras IDU, UMV y Movilidad")</f>
        <v>Revisión obras IDU, UMV y Movilidad</v>
      </c>
      <c r="C4436" s="55">
        <f ca="1">IFERROR(__xludf.DUMMYFUNCTION("""COMPUTED_VALUE"""),44405)</f>
        <v>44405</v>
      </c>
      <c r="D4436" s="25" t="str">
        <f ca="1">IFERROR(__xludf.DUMMYFUNCTION("""COMPUTED_VALUE"""),"Movilidad")</f>
        <v>Movilidad</v>
      </c>
      <c r="E4436" s="25" t="str">
        <f ca="1">IFERROR(__xludf.DUMMYFUNCTION("""COMPUTED_VALUE"""),"Instituto de Desarrollo Urbano")</f>
        <v>Instituto de Desarrollo Urbano</v>
      </c>
      <c r="F4436" s="25" t="str">
        <f ca="1">IFERROR(__xludf.DUMMYFUNCTION("""COMPUTED_VALUE"""),"Tener el comparativo de kilómetros carril cubiertos por tipos de vías")</f>
        <v>Tener el comparativo de kilómetros carril cubiertos por tipos de vías</v>
      </c>
      <c r="G4436" s="25" t="str">
        <f ca="1">IFERROR(__xludf.DUMMYFUNCTION("""COMPUTED_VALUE"""),"99. Distrito")</f>
        <v>99. Distrito</v>
      </c>
      <c r="H4436" s="55">
        <f ca="1">IFERROR(__xludf.DUMMYFUNCTION("""COMPUTED_VALUE"""),44435)</f>
        <v>44435</v>
      </c>
      <c r="I4436" s="25"/>
      <c r="J4436" s="55" t="str">
        <f ca="1">IFERROR(__xludf.DUMMYFUNCTION("""COMPUTED_VALUE"""),"Alta")</f>
        <v>Alta</v>
      </c>
      <c r="K4436" s="25">
        <f ca="1">IFERROR(__xludf.DUMMYFUNCTION("""COMPUTED_VALUE"""),30)</f>
        <v>30</v>
      </c>
      <c r="L4436" s="62">
        <f ca="1">IFERROR(__xludf.DUMMYFUNCTION("""COMPUTED_VALUE"""),44456)</f>
        <v>44456</v>
      </c>
      <c r="M4436" s="70" t="str">
        <f ca="1">IFERROR(__xludf.DUMMYFUNCTION("""COMPUTED_VALUE"""),"https://docs.google.com/spreadsheets/d/18FtkcrRFXabQX4F4yZ7iCfbEdRPnvx_n/edit?usp=sharing&amp;ouid=108934598525045992981&amp;rtpof=true&amp;sd=true")</f>
        <v>https://docs.google.com/spreadsheets/d/18FtkcrRFXabQX4F4yZ7iCfbEdRPnvx_n/edit?usp=sharing&amp;ouid=108934598525045992981&amp;rtpof=true&amp;sd=true</v>
      </c>
      <c r="N4436" s="55">
        <f ca="1">IFERROR(__xludf.DUMMYFUNCTION("""COMPUTED_VALUE"""),44456)</f>
        <v>44456</v>
      </c>
      <c r="O4436" s="25" t="str">
        <f t="shared" ca="1" si="0"/>
        <v>Instituto de Desarrollo Urbano</v>
      </c>
      <c r="P4436" s="25" t="str">
        <f t="shared" si="2"/>
        <v/>
      </c>
      <c r="Q4436" s="25" t="str">
        <f ca="1">IFERROR(__xludf.DUMMYFUNCTION("""COMPUTED_VALUE"""),"Corto plazo")</f>
        <v>Corto plazo</v>
      </c>
      <c r="R4436" s="25"/>
      <c r="S4436" s="55"/>
      <c r="T4436" s="56"/>
      <c r="U4436" s="25"/>
      <c r="V4436" s="25"/>
      <c r="W4436" s="25"/>
      <c r="X4436" s="25"/>
      <c r="Y4436" s="25"/>
      <c r="Z4436" s="25"/>
    </row>
    <row r="4437" spans="1:26" ht="52.5" customHeight="1" x14ac:dyDescent="0.25">
      <c r="A4437" s="25" t="str">
        <f ca="1">IFERROR(__xludf.DUMMYFUNCTION("""COMPUTED_VALUE"""),"Movil235")</f>
        <v>Movil235</v>
      </c>
      <c r="B4437" s="25" t="str">
        <f ca="1">IFERROR(__xludf.DUMMYFUNCTION("""COMPUTED_VALUE"""),"Revisión obras IDU, UMV y Movilidad")</f>
        <v>Revisión obras IDU, UMV y Movilidad</v>
      </c>
      <c r="C4437" s="55">
        <f ca="1">IFERROR(__xludf.DUMMYFUNCTION("""COMPUTED_VALUE"""),44405)</f>
        <v>44405</v>
      </c>
      <c r="D4437" s="25" t="str">
        <f ca="1">IFERROR(__xludf.DUMMYFUNCTION("""COMPUTED_VALUE"""),"Movilidad")</f>
        <v>Movilidad</v>
      </c>
      <c r="E4437" s="25" t="str">
        <f ca="1">IFERROR(__xludf.DUMMYFUNCTION("""COMPUTED_VALUE"""),"Instituto de Desarrollo Urbano")</f>
        <v>Instituto de Desarrollo Urbano</v>
      </c>
      <c r="F4437" s="25" t="str">
        <f ca="1">IFERROR(__xludf.DUMMYFUNCTION("""COMPUTED_VALUE"""),"Hacer comparación de últimos años  en km cubiertos de mantenimiento y estado de malla vial")</f>
        <v>Hacer comparación de últimos años  en km cubiertos de mantenimiento y estado de malla vial</v>
      </c>
      <c r="G4437" s="25" t="str">
        <f ca="1">IFERROR(__xludf.DUMMYFUNCTION("""COMPUTED_VALUE"""),"99. Distrito")</f>
        <v>99. Distrito</v>
      </c>
      <c r="H4437" s="55">
        <f ca="1">IFERROR(__xludf.DUMMYFUNCTION("""COMPUTED_VALUE"""),44435)</f>
        <v>44435</v>
      </c>
      <c r="I4437" s="25"/>
      <c r="J4437" s="55" t="str">
        <f ca="1">IFERROR(__xludf.DUMMYFUNCTION("""COMPUTED_VALUE"""),"Alta")</f>
        <v>Alta</v>
      </c>
      <c r="K4437" s="25">
        <f ca="1">IFERROR(__xludf.DUMMYFUNCTION("""COMPUTED_VALUE"""),30)</f>
        <v>30</v>
      </c>
      <c r="L4437" s="62">
        <f ca="1">IFERROR(__xludf.DUMMYFUNCTION("""COMPUTED_VALUE"""),44439)</f>
        <v>44439</v>
      </c>
      <c r="M4437" s="25" t="str">
        <f ca="1">IFERROR(__xludf.DUMMYFUNCTION("""COMPUTED_VALUE"""),"Se adjunta: https://docs.google.com/spreadsheets/d/18FtkcrRFXabQX4F4yZ7iCfbEdRPnvx_n/edit?usp=sharing&amp;ouid=108934598525045992981&amp;rtpof=true&amp;sd=true")</f>
        <v>Se adjunta: https://docs.google.com/spreadsheets/d/18FtkcrRFXabQX4F4yZ7iCfbEdRPnvx_n/edit?usp=sharing&amp;ouid=108934598525045992981&amp;rtpof=true&amp;sd=true</v>
      </c>
      <c r="N4437" s="55">
        <f ca="1">IFERROR(__xludf.DUMMYFUNCTION("""COMPUTED_VALUE"""),44439)</f>
        <v>44439</v>
      </c>
      <c r="O4437" s="25" t="str">
        <f t="shared" ca="1" si="0"/>
        <v>Instituto de Desarrollo Urbano</v>
      </c>
      <c r="P4437" s="25" t="str">
        <f t="shared" si="2"/>
        <v/>
      </c>
      <c r="Q4437" s="25" t="str">
        <f ca="1">IFERROR(__xludf.DUMMYFUNCTION("""COMPUTED_VALUE"""),"Corto plazo")</f>
        <v>Corto plazo</v>
      </c>
      <c r="R4437" s="25"/>
      <c r="S4437" s="55"/>
      <c r="T4437" s="56"/>
      <c r="U4437" s="25"/>
      <c r="V4437" s="25"/>
      <c r="W4437" s="25"/>
      <c r="X4437" s="25"/>
      <c r="Y4437" s="25"/>
      <c r="Z4437" s="25"/>
    </row>
    <row r="4438" spans="1:26" ht="52.5" customHeight="1" x14ac:dyDescent="0.25">
      <c r="A4438" s="25" t="str">
        <f ca="1">IFERROR(__xludf.DUMMYFUNCTION("""COMPUTED_VALUE"""),"Movil236")</f>
        <v>Movil236</v>
      </c>
      <c r="B4438" s="25" t="str">
        <f ca="1">IFERROR(__xludf.DUMMYFUNCTION("""COMPUTED_VALUE"""),"Revisión obras IDU, UMV y Movilidad")</f>
        <v>Revisión obras IDU, UMV y Movilidad</v>
      </c>
      <c r="C4438" s="55">
        <f ca="1">IFERROR(__xludf.DUMMYFUNCTION("""COMPUTED_VALUE"""),44405)</f>
        <v>44405</v>
      </c>
      <c r="D4438" s="25" t="str">
        <f ca="1">IFERROR(__xludf.DUMMYFUNCTION("""COMPUTED_VALUE"""),"Movilidad")</f>
        <v>Movilidad</v>
      </c>
      <c r="E4438" s="25" t="str">
        <f ca="1">IFERROR(__xludf.DUMMYFUNCTION("""COMPUTED_VALUE"""),"Unidad Administrativa Especial de Rehabilitación y Mantenimiento Vial")</f>
        <v>Unidad Administrativa Especial de Rehabilitación y Mantenimiento Vial</v>
      </c>
      <c r="F4438" s="25" t="str">
        <f ca="1">IFERROR(__xludf.DUMMYFUNCTION("""COMPUTED_VALUE"""),"Realizar una proyección de intervención de reparcheo a diciembre 2021")</f>
        <v>Realizar una proyección de intervención de reparcheo a diciembre 2021</v>
      </c>
      <c r="G4438" s="25" t="str">
        <f ca="1">IFERROR(__xludf.DUMMYFUNCTION("""COMPUTED_VALUE"""),"99. Distrito")</f>
        <v>99. Distrito</v>
      </c>
      <c r="H4438" s="55">
        <f ca="1">IFERROR(__xludf.DUMMYFUNCTION("""COMPUTED_VALUE"""),44435)</f>
        <v>44435</v>
      </c>
      <c r="I4438" s="25"/>
      <c r="J4438" s="55" t="str">
        <f ca="1">IFERROR(__xludf.DUMMYFUNCTION("""COMPUTED_VALUE"""),"Alta")</f>
        <v>Alta</v>
      </c>
      <c r="K4438" s="25">
        <f ca="1">IFERROR(__xludf.DUMMYFUNCTION("""COMPUTED_VALUE"""),30)</f>
        <v>30</v>
      </c>
      <c r="L4438" s="62">
        <f ca="1">IFERROR(__xludf.DUMMYFUNCTION("""COMPUTED_VALUE"""),44575)</f>
        <v>44575</v>
      </c>
      <c r="M4438" s="64" t="str">
        <f ca="1">IFERROR(__xludf.DUMMYFUNCTION("""COMPUTED_VALUE"""),"Se realizó la planeación junto con el IDU del Plan de Choque para la intervención de Malla Vial Local, Intermedia y arterial durante el mes de diciembre de 2021 y el primer semestre de 2022. 
 El Plan de Choque se ejecutó de acuerdo a lo establecido para "&amp;"los meses de diciembre 2021 y enero 2022")</f>
        <v>Se realizó la planeación junto con el IDU del Plan de Choque para la intervención de Malla Vial Local, Intermedia y arterial durante el mes de diciembre de 2021 y el primer semestre de 2022. 
 El Plan de Choque se ejecutó de acuerdo a lo establecido para los meses de diciembre 2021 y enero 2022</v>
      </c>
      <c r="N4438" s="55">
        <f ca="1">IFERROR(__xludf.DUMMYFUNCTION("""COMPUTED_VALUE"""),44575)</f>
        <v>44575</v>
      </c>
      <c r="O4438" s="25" t="str">
        <f t="shared" ca="1" si="0"/>
        <v>Unidad Administrativa Especial de Rehabilitación y Mantenimiento Vial</v>
      </c>
      <c r="P4438" s="25" t="str">
        <f t="shared" si="2"/>
        <v/>
      </c>
      <c r="Q4438" s="25" t="str">
        <f ca="1">IFERROR(__xludf.DUMMYFUNCTION("""COMPUTED_VALUE"""),"Corto plazo")</f>
        <v>Corto plazo</v>
      </c>
      <c r="R4438" s="25"/>
      <c r="S4438" s="55"/>
      <c r="T4438" s="56"/>
      <c r="U4438" s="25"/>
      <c r="V4438" s="25"/>
      <c r="W4438" s="25"/>
      <c r="X4438" s="25"/>
      <c r="Y4438" s="25"/>
      <c r="Z4438" s="25"/>
    </row>
    <row r="4439" spans="1:26" ht="52.5" customHeight="1" x14ac:dyDescent="0.25">
      <c r="A4439" s="25" t="str">
        <f ca="1">IFERROR(__xludf.DUMMYFUNCTION("""COMPUTED_VALUE"""),"Movil237")</f>
        <v>Movil237</v>
      </c>
      <c r="B4439" s="25" t="str">
        <f ca="1">IFERROR(__xludf.DUMMYFUNCTION("""COMPUTED_VALUE"""),"Revisión obras IDU, UMV y Movilidad")</f>
        <v>Revisión obras IDU, UMV y Movilidad</v>
      </c>
      <c r="C4439" s="55">
        <f ca="1">IFERROR(__xludf.DUMMYFUNCTION("""COMPUTED_VALUE"""),44405)</f>
        <v>44405</v>
      </c>
      <c r="D4439" s="25" t="str">
        <f ca="1">IFERROR(__xludf.DUMMYFUNCTION("""COMPUTED_VALUE"""),"Movilidad")</f>
        <v>Movilidad</v>
      </c>
      <c r="E4439" s="25" t="str">
        <f ca="1">IFERROR(__xludf.DUMMYFUNCTION("""COMPUTED_VALUE"""),"Instituto de Desarrollo Urbano")</f>
        <v>Instituto de Desarrollo Urbano</v>
      </c>
      <c r="F4439" s="25" t="str">
        <f ca="1">IFERROR(__xludf.DUMMYFUNCTION("""COMPUTED_VALUE"""),"Realizar una presentación de los estudios del  diagnóstico actualizado de estado de malla vial")</f>
        <v>Realizar una presentación de los estudios del  diagnóstico actualizado de estado de malla vial</v>
      </c>
      <c r="G4439" s="25" t="str">
        <f ca="1">IFERROR(__xludf.DUMMYFUNCTION("""COMPUTED_VALUE"""),"99. Distrito")</f>
        <v>99. Distrito</v>
      </c>
      <c r="H4439" s="55">
        <f ca="1">IFERROR(__xludf.DUMMYFUNCTION("""COMPUTED_VALUE"""),44435)</f>
        <v>44435</v>
      </c>
      <c r="I4439" s="25"/>
      <c r="J4439" s="55" t="str">
        <f ca="1">IFERROR(__xludf.DUMMYFUNCTION("""COMPUTED_VALUE"""),"Alta")</f>
        <v>Alta</v>
      </c>
      <c r="K4439" s="25">
        <f ca="1">IFERROR(__xludf.DUMMYFUNCTION("""COMPUTED_VALUE"""),30)</f>
        <v>30</v>
      </c>
      <c r="L4439" s="62">
        <f ca="1">IFERROR(__xludf.DUMMYFUNCTION("""COMPUTED_VALUE"""),44439)</f>
        <v>44439</v>
      </c>
      <c r="M4439" s="25" t="str">
        <f ca="1">IFERROR(__xludf.DUMMYFUNCTION("""COMPUTED_VALUE"""),"Se adjunta: https://docs.google.com/spreadsheets/d/18FtkcrRFXabQX4F4yZ7iCfbEdRPnvx_n/edit?usp=sharing&amp;ouid=108934598525045992981&amp;rtpof=true&amp;sd=true")</f>
        <v>Se adjunta: https://docs.google.com/spreadsheets/d/18FtkcrRFXabQX4F4yZ7iCfbEdRPnvx_n/edit?usp=sharing&amp;ouid=108934598525045992981&amp;rtpof=true&amp;sd=true</v>
      </c>
      <c r="N4439" s="55">
        <f ca="1">IFERROR(__xludf.DUMMYFUNCTION("""COMPUTED_VALUE"""),44439)</f>
        <v>44439</v>
      </c>
      <c r="O4439" s="25" t="str">
        <f t="shared" ca="1" si="0"/>
        <v>Instituto de Desarrollo Urbano</v>
      </c>
      <c r="P4439" s="25" t="str">
        <f t="shared" si="2"/>
        <v/>
      </c>
      <c r="Q4439" s="25" t="str">
        <f ca="1">IFERROR(__xludf.DUMMYFUNCTION("""COMPUTED_VALUE"""),"Corto plazo")</f>
        <v>Corto plazo</v>
      </c>
      <c r="R4439" s="25"/>
      <c r="S4439" s="55"/>
      <c r="T4439" s="56"/>
      <c r="U4439" s="25"/>
      <c r="V4439" s="25"/>
      <c r="W4439" s="25"/>
      <c r="X4439" s="25"/>
      <c r="Y4439" s="25"/>
      <c r="Z4439" s="25"/>
    </row>
    <row r="4440" spans="1:26" ht="52.5" customHeight="1" x14ac:dyDescent="0.25">
      <c r="A4440" s="25" t="str">
        <f ca="1">IFERROR(__xludf.DUMMYFUNCTION("""COMPUTED_VALUE"""),"Movil238")</f>
        <v>Movil238</v>
      </c>
      <c r="B4440" s="25" t="str">
        <f ca="1">IFERROR(__xludf.DUMMYFUNCTION("""COMPUTED_VALUE"""),"Revisión obras IDU, UMV y Movilidad")</f>
        <v>Revisión obras IDU, UMV y Movilidad</v>
      </c>
      <c r="C4440" s="55">
        <f ca="1">IFERROR(__xludf.DUMMYFUNCTION("""COMPUTED_VALUE"""),44405)</f>
        <v>44405</v>
      </c>
      <c r="D4440" s="25" t="str">
        <f ca="1">IFERROR(__xludf.DUMMYFUNCTION("""COMPUTED_VALUE"""),"Movilidad")</f>
        <v>Movilidad</v>
      </c>
      <c r="E4440" s="25" t="str">
        <f ca="1">IFERROR(__xludf.DUMMYFUNCTION("""COMPUTED_VALUE"""),"Instituto de Desarrollo Urbano")</f>
        <v>Instituto de Desarrollo Urbano</v>
      </c>
      <c r="F4440" s="25" t="str">
        <f ca="1">IFERROR(__xludf.DUMMYFUNCTION("""COMPUTED_VALUE"""),"IDU debe enviar a acueducto la programación trimestral de obras priorizadas que requieren acompañamiento.")</f>
        <v>IDU debe enviar a acueducto la programación trimestral de obras priorizadas que requieren acompañamiento.</v>
      </c>
      <c r="G4440" s="25" t="str">
        <f ca="1">IFERROR(__xludf.DUMMYFUNCTION("""COMPUTED_VALUE"""),"99. Distrito")</f>
        <v>99. Distrito</v>
      </c>
      <c r="H4440" s="55">
        <f ca="1">IFERROR(__xludf.DUMMYFUNCTION("""COMPUTED_VALUE"""),44435)</f>
        <v>44435</v>
      </c>
      <c r="I4440" s="25"/>
      <c r="J4440" s="55" t="str">
        <f ca="1">IFERROR(__xludf.DUMMYFUNCTION("""COMPUTED_VALUE"""),"Alta")</f>
        <v>Alta</v>
      </c>
      <c r="K4440" s="25">
        <f ca="1">IFERROR(__xludf.DUMMYFUNCTION("""COMPUTED_VALUE"""),30)</f>
        <v>30</v>
      </c>
      <c r="L4440" s="62">
        <f ca="1">IFERROR(__xludf.DUMMYFUNCTION("""COMPUTED_VALUE"""),44439)</f>
        <v>44439</v>
      </c>
      <c r="M4440" s="25" t="str">
        <f ca="1">IFERROR(__xludf.DUMMYFUNCTION("""COMPUTED_VALUE"""),"Se envía trimestral a la EAAB, ya se envió.")</f>
        <v>Se envía trimestral a la EAAB, ya se envió.</v>
      </c>
      <c r="N4440" s="55">
        <f ca="1">IFERROR(__xludf.DUMMYFUNCTION("""COMPUTED_VALUE"""),44439)</f>
        <v>44439</v>
      </c>
      <c r="O4440" s="25" t="str">
        <f t="shared" ca="1" si="0"/>
        <v>Instituto de Desarrollo Urbano</v>
      </c>
      <c r="P4440" s="25" t="str">
        <f t="shared" si="2"/>
        <v/>
      </c>
      <c r="Q4440" s="25" t="str">
        <f ca="1">IFERROR(__xludf.DUMMYFUNCTION("""COMPUTED_VALUE"""),"Corto plazo")</f>
        <v>Corto plazo</v>
      </c>
      <c r="R4440" s="25"/>
      <c r="S4440" s="55"/>
      <c r="T4440" s="56"/>
      <c r="U4440" s="25"/>
      <c r="V4440" s="25"/>
      <c r="W4440" s="25"/>
      <c r="X4440" s="25"/>
      <c r="Y4440" s="25"/>
      <c r="Z4440" s="25"/>
    </row>
    <row r="4441" spans="1:26" ht="52.5" customHeight="1" x14ac:dyDescent="0.25">
      <c r="A4441" s="25" t="str">
        <f ca="1">IFERROR(__xludf.DUMMYFUNCTION("""COMPUTED_VALUE"""),"Movil239")</f>
        <v>Movil239</v>
      </c>
      <c r="B4441" s="25" t="str">
        <f ca="1">IFERROR(__xludf.DUMMYFUNCTION("""COMPUTED_VALUE"""),"Revisión obras IDU, UMV y Movilidad")</f>
        <v>Revisión obras IDU, UMV y Movilidad</v>
      </c>
      <c r="C4441" s="55">
        <f ca="1">IFERROR(__xludf.DUMMYFUNCTION("""COMPUTED_VALUE"""),44405)</f>
        <v>44405</v>
      </c>
      <c r="D4441" s="25" t="str">
        <f ca="1">IFERROR(__xludf.DUMMYFUNCTION("""COMPUTED_VALUE"""),"Movilidad")</f>
        <v>Movilidad</v>
      </c>
      <c r="E4441" s="25" t="str">
        <f ca="1">IFERROR(__xludf.DUMMYFUNCTION("""COMPUTED_VALUE"""),"Instituto de Desarrollo Urbano")</f>
        <v>Instituto de Desarrollo Urbano</v>
      </c>
      <c r="F4441" s="25" t="str">
        <f ca="1">IFERROR(__xludf.DUMMYFUNCTION("""COMPUTED_VALUE"""),"Hacer un plan de comunicaciones para mostrar las obras que están en las diferentes etapas")</f>
        <v>Hacer un plan de comunicaciones para mostrar las obras que están en las diferentes etapas</v>
      </c>
      <c r="G4441" s="25" t="str">
        <f ca="1">IFERROR(__xludf.DUMMYFUNCTION("""COMPUTED_VALUE"""),"99. Distrito")</f>
        <v>99. Distrito</v>
      </c>
      <c r="H4441" s="55">
        <f ca="1">IFERROR(__xludf.DUMMYFUNCTION("""COMPUTED_VALUE"""),44435)</f>
        <v>44435</v>
      </c>
      <c r="I4441" s="25"/>
      <c r="J4441" s="55" t="str">
        <f ca="1">IFERROR(__xludf.DUMMYFUNCTION("""COMPUTED_VALUE"""),"Alta")</f>
        <v>Alta</v>
      </c>
      <c r="K4441" s="25">
        <f ca="1">IFERROR(__xludf.DUMMYFUNCTION("""COMPUTED_VALUE"""),30)</f>
        <v>30</v>
      </c>
      <c r="L4441" s="62">
        <f ca="1">IFERROR(__xludf.DUMMYFUNCTION("""COMPUTED_VALUE"""),44575)</f>
        <v>44575</v>
      </c>
      <c r="M4441" s="25" t="str">
        <f ca="1">IFERROR(__xludf.DUMMYFUNCTION("""COMPUTED_VALUE"""),"Ya se elaboraron las piezas y se están publicando en redes. https://www.instagram.com/p/CW_FSLboGit/?utm_medium=copy_link
")</f>
        <v xml:space="preserve">Ya se elaboraron las piezas y se están publicando en redes. https://www.instagram.com/p/CW_FSLboGit/?utm_medium=copy_link
</v>
      </c>
      <c r="N4441" s="55">
        <f ca="1">IFERROR(__xludf.DUMMYFUNCTION("""COMPUTED_VALUE"""),44575)</f>
        <v>44575</v>
      </c>
      <c r="O4441" s="25" t="str">
        <f t="shared" ca="1" si="0"/>
        <v>Instituto de Desarrollo Urbano</v>
      </c>
      <c r="P4441" s="25" t="str">
        <f t="shared" si="2"/>
        <v/>
      </c>
      <c r="Q4441" s="25" t="str">
        <f ca="1">IFERROR(__xludf.DUMMYFUNCTION("""COMPUTED_VALUE"""),"Corto plazo")</f>
        <v>Corto plazo</v>
      </c>
      <c r="R4441" s="25"/>
      <c r="S4441" s="55"/>
      <c r="T4441" s="56"/>
      <c r="U4441" s="25"/>
      <c r="V4441" s="25"/>
      <c r="W4441" s="25"/>
      <c r="X4441" s="25"/>
      <c r="Y4441" s="25"/>
      <c r="Z4441" s="25"/>
    </row>
    <row r="4442" spans="1:26" ht="52.5" customHeight="1" x14ac:dyDescent="0.25">
      <c r="A4442" s="25" t="str">
        <f ca="1">IFERROR(__xludf.DUMMYFUNCTION("""COMPUTED_VALUE"""),"Movil240")</f>
        <v>Movil240</v>
      </c>
      <c r="B4442" s="25" t="str">
        <f ca="1">IFERROR(__xludf.DUMMYFUNCTION("""COMPUTED_VALUE"""),"Proyecto Regalías")</f>
        <v>Proyecto Regalías</v>
      </c>
      <c r="C4442" s="55">
        <f ca="1">IFERROR(__xludf.DUMMYFUNCTION("""COMPUTED_VALUE"""),44403)</f>
        <v>44403</v>
      </c>
      <c r="D4442" s="25" t="str">
        <f ca="1">IFERROR(__xludf.DUMMYFUNCTION("""COMPUTED_VALUE"""),"Movilidad")</f>
        <v>Movilidad</v>
      </c>
      <c r="E4442" s="25" t="str">
        <f ca="1">IFERROR(__xludf.DUMMYFUNCTION("""COMPUTED_VALUE"""),"Instituto de Desarrollo Urbano")</f>
        <v>Instituto de Desarrollo Urbano</v>
      </c>
      <c r="F4442" s="25" t="str">
        <f ca="1">IFERROR(__xludf.DUMMYFUNCTION("""COMPUTED_VALUE"""),"Agilizar trámite tiempos NQS-Bosa por el IDU")</f>
        <v>Agilizar trámite tiempos NQS-Bosa por el IDU</v>
      </c>
      <c r="G4442" s="25" t="str">
        <f ca="1">IFERROR(__xludf.DUMMYFUNCTION("""COMPUTED_VALUE"""),"99. Distrito")</f>
        <v>99. Distrito</v>
      </c>
      <c r="H4442" s="55">
        <f ca="1">IFERROR(__xludf.DUMMYFUNCTION("""COMPUTED_VALUE"""),44433)</f>
        <v>44433</v>
      </c>
      <c r="I4442" s="25"/>
      <c r="J4442" s="55" t="str">
        <f ca="1">IFERROR(__xludf.DUMMYFUNCTION("""COMPUTED_VALUE"""),"Alta")</f>
        <v>Alta</v>
      </c>
      <c r="K4442" s="25">
        <f ca="1">IFERROR(__xludf.DUMMYFUNCTION("""COMPUTED_VALUE"""),30)</f>
        <v>30</v>
      </c>
      <c r="L4442" s="62">
        <f ca="1">IFERROR(__xludf.DUMMYFUNCTION("""COMPUTED_VALUE"""),44421)</f>
        <v>44421</v>
      </c>
      <c r="M4442" s="25" t="str">
        <f ca="1">IFERROR(__xludf.DUMMYFUNCTION("""COMPUTED_VALUE"""),"Publicación de prepliegos: 
15 de septiembre 2021 cuando se obtengan los requisitos de aprobación. Se estima adjudicar la obra a finales de enero de 2022.")</f>
        <v>Publicación de prepliegos: 
15 de septiembre 2021 cuando se obtengan los requisitos de aprobación. Se estima adjudicar la obra a finales de enero de 2022.</v>
      </c>
      <c r="N4442" s="55">
        <f ca="1">IFERROR(__xludf.DUMMYFUNCTION("""COMPUTED_VALUE"""),44421)</f>
        <v>44421</v>
      </c>
      <c r="O4442" s="25" t="str">
        <f t="shared" ca="1" si="0"/>
        <v>Instituto de Desarrollo Urbano</v>
      </c>
      <c r="P4442" s="25" t="str">
        <f t="shared" si="2"/>
        <v/>
      </c>
      <c r="Q4442" s="25" t="str">
        <f ca="1">IFERROR(__xludf.DUMMYFUNCTION("""COMPUTED_VALUE"""),"Corto plazo")</f>
        <v>Corto plazo</v>
      </c>
      <c r="R4442" s="25"/>
      <c r="S4442" s="55"/>
      <c r="T4442" s="56"/>
      <c r="U4442" s="25"/>
      <c r="V4442" s="25"/>
      <c r="W4442" s="25"/>
      <c r="X4442" s="25"/>
      <c r="Y4442" s="25"/>
      <c r="Z4442" s="25"/>
    </row>
    <row r="4443" spans="1:26" ht="52.5" customHeight="1" x14ac:dyDescent="0.25">
      <c r="A4443" s="25" t="str">
        <f ca="1">IFERROR(__xludf.DUMMYFUNCTION("""COMPUTED_VALUE"""),"Movil241")</f>
        <v>Movil241</v>
      </c>
      <c r="B4443" s="25" t="str">
        <f ca="1">IFERROR(__xludf.DUMMYFUNCTION("""COMPUTED_VALUE"""),"Reunión Regiotram")</f>
        <v>Reunión Regiotram</v>
      </c>
      <c r="C4443" s="55">
        <f ca="1">IFERROR(__xludf.DUMMYFUNCTION("""COMPUTED_VALUE"""),44393)</f>
        <v>44393</v>
      </c>
      <c r="D4443" s="25" t="str">
        <f ca="1">IFERROR(__xludf.DUMMYFUNCTION("""COMPUTED_VALUE"""),"Movilidad")</f>
        <v>Movilidad</v>
      </c>
      <c r="E4443" s="25" t="str">
        <f ca="1">IFERROR(__xludf.DUMMYFUNCTION("""COMPUTED_VALUE"""),"Instituto de Desarrollo Urbano")</f>
        <v>Instituto de Desarrollo Urbano</v>
      </c>
      <c r="F4443" s="25" t="str">
        <f ca="1">IFERROR(__xludf.DUMMYFUNCTION("""COMPUTED_VALUE"""),"Realizar un estudio que determine ¿cuánto cuesta alternativa subterránea del regiotram?")</f>
        <v>Realizar un estudio que determine ¿cuánto cuesta alternativa subterránea del regiotram?</v>
      </c>
      <c r="G4443" s="25" t="str">
        <f ca="1">IFERROR(__xludf.DUMMYFUNCTION("""COMPUTED_VALUE"""),"99. Distrito")</f>
        <v>99. Distrito</v>
      </c>
      <c r="H4443" s="55">
        <f ca="1">IFERROR(__xludf.DUMMYFUNCTION("""COMPUTED_VALUE"""),44423)</f>
        <v>44423</v>
      </c>
      <c r="I4443" s="25"/>
      <c r="J4443" s="55" t="str">
        <f ca="1">IFERROR(__xludf.DUMMYFUNCTION("""COMPUTED_VALUE"""),"Alta")</f>
        <v>Alta</v>
      </c>
      <c r="K4443" s="25">
        <f ca="1">IFERROR(__xludf.DUMMYFUNCTION("""COMPUTED_VALUE"""),30)</f>
        <v>30</v>
      </c>
      <c r="L4443" s="62">
        <f ca="1">IFERROR(__xludf.DUMMYFUNCTION("""COMPUTED_VALUE"""),44483)</f>
        <v>44483</v>
      </c>
      <c r="M4443" s="25" t="str">
        <f ca="1">IFERROR(__xludf.DUMMYFUNCTION("""COMPUTED_VALUE"""),"Findeter ha informado que el consultor hizo una propuesta de costo adicional de los estudios a través de los cuales se determinará el valor del presupuesto de la alternativa subterránea, no obstante, debido al alto costo de la propuesta y en especial, a q"&amp;"ue la alternativa propuesta por Findeter, no corresponde con el proyecto base que espera la ciudad, se encuentra en discusión la pertinencia de aportar los recursos para la adición del contrato al consultor. Se proyecta una comunicación al embajador del r"&amp;"eino unido para informar cual es el proyecto sobre el cual se debe realizar la factibilidad.")</f>
        <v>Findeter ha informado que el consultor hizo una propuesta de costo adicional de los estudios a través de los cuales se determinará el valor del presupuesto de la alternativa subterránea, no obstante, debido al alto costo de la propuesta y en especial, a que la alternativa propuesta por Findeter, no corresponde con el proyecto base que espera la ciudad, se encuentra en discusión la pertinencia de aportar los recursos para la adición del contrato al consultor. Se proyecta una comunicación al embajador del reino unido para informar cual es el proyecto sobre el cual se debe realizar la factibilidad.</v>
      </c>
      <c r="N4443" s="55">
        <f ca="1">IFERROR(__xludf.DUMMYFUNCTION("""COMPUTED_VALUE"""),44483)</f>
        <v>44483</v>
      </c>
      <c r="O4443" s="25" t="str">
        <f t="shared" ca="1" si="0"/>
        <v>Instituto de Desarrollo Urbano</v>
      </c>
      <c r="P4443" s="25" t="str">
        <f t="shared" si="2"/>
        <v/>
      </c>
      <c r="Q4443" s="25" t="str">
        <f ca="1">IFERROR(__xludf.DUMMYFUNCTION("""COMPUTED_VALUE"""),"Corto plazo")</f>
        <v>Corto plazo</v>
      </c>
      <c r="R4443" s="25"/>
      <c r="S4443" s="55"/>
      <c r="T4443" s="56"/>
      <c r="U4443" s="25"/>
      <c r="V4443" s="25"/>
      <c r="W4443" s="25"/>
      <c r="X4443" s="25"/>
      <c r="Y4443" s="25"/>
      <c r="Z4443" s="25"/>
    </row>
    <row r="4444" spans="1:26" ht="52.5" customHeight="1" x14ac:dyDescent="0.25">
      <c r="A4444" s="25" t="str">
        <f ca="1">IFERROR(__xludf.DUMMYFUNCTION("""COMPUTED_VALUE"""),"Movil242")</f>
        <v>Movil242</v>
      </c>
      <c r="B4444" s="25" t="str">
        <f ca="1">IFERROR(__xludf.DUMMYFUNCTION("""COMPUTED_VALUE"""),"Reunión Regiotram")</f>
        <v>Reunión Regiotram</v>
      </c>
      <c r="C4444" s="55">
        <f ca="1">IFERROR(__xludf.DUMMYFUNCTION("""COMPUTED_VALUE"""),44393)</f>
        <v>44393</v>
      </c>
      <c r="D4444" s="25" t="str">
        <f ca="1">IFERROR(__xludf.DUMMYFUNCTION("""COMPUTED_VALUE"""),"Movilidad")</f>
        <v>Movilidad</v>
      </c>
      <c r="E4444" s="25" t="str">
        <f ca="1">IFERROR(__xludf.DUMMYFUNCTION("""COMPUTED_VALUE"""),"Instituto de Desarrollo Urbano")</f>
        <v>Instituto de Desarrollo Urbano</v>
      </c>
      <c r="F4444" s="25" t="str">
        <f ca="1">IFERROR(__xludf.DUMMYFUNCTION("""COMPUTED_VALUE"""),"Realizar una mesa de trabajo entre FINDETER y Acueducto para revisar y conocer el estado actual de los bombeos de la obra del regiotram-.")</f>
        <v>Realizar una mesa de trabajo entre FINDETER y Acueducto para revisar y conocer el estado actual de los bombeos de la obra del regiotram-.</v>
      </c>
      <c r="G4444" s="25" t="str">
        <f ca="1">IFERROR(__xludf.DUMMYFUNCTION("""COMPUTED_VALUE"""),"99. Distrito")</f>
        <v>99. Distrito</v>
      </c>
      <c r="H4444" s="55">
        <f ca="1">IFERROR(__xludf.DUMMYFUNCTION("""COMPUTED_VALUE"""),44423)</f>
        <v>44423</v>
      </c>
      <c r="I4444" s="25"/>
      <c r="J4444" s="55" t="str">
        <f ca="1">IFERROR(__xludf.DUMMYFUNCTION("""COMPUTED_VALUE"""),"Alta")</f>
        <v>Alta</v>
      </c>
      <c r="K4444" s="25">
        <f ca="1">IFERROR(__xludf.DUMMYFUNCTION("""COMPUTED_VALUE"""),30)</f>
        <v>30</v>
      </c>
      <c r="L4444" s="62">
        <f ca="1">IFERROR(__xludf.DUMMYFUNCTION("""COMPUTED_VALUE"""),44483)</f>
        <v>44483</v>
      </c>
      <c r="M4444" s="25" t="str">
        <f ca="1">IFERROR(__xludf.DUMMYFUNCTION("""COMPUTED_VALUE"""),"Este es uno de los temas pendientes a definir dentro de la revisión del alcance del consultor de findeter")</f>
        <v>Este es uno de los temas pendientes a definir dentro de la revisión del alcance del consultor de findeter</v>
      </c>
      <c r="N4444" s="55">
        <f ca="1">IFERROR(__xludf.DUMMYFUNCTION("""COMPUTED_VALUE"""),44483)</f>
        <v>44483</v>
      </c>
      <c r="O4444" s="25" t="str">
        <f t="shared" ca="1" si="0"/>
        <v>Instituto de Desarrollo Urbano</v>
      </c>
      <c r="P4444" s="25" t="str">
        <f t="shared" si="2"/>
        <v/>
      </c>
      <c r="Q4444" s="25" t="str">
        <f ca="1">IFERROR(__xludf.DUMMYFUNCTION("""COMPUTED_VALUE"""),"Corto plazo")</f>
        <v>Corto plazo</v>
      </c>
      <c r="R4444" s="25"/>
      <c r="S4444" s="55"/>
      <c r="T4444" s="56"/>
      <c r="U4444" s="25"/>
      <c r="V4444" s="25"/>
      <c r="W4444" s="25"/>
      <c r="X4444" s="25"/>
      <c r="Y4444" s="25"/>
      <c r="Z4444" s="25"/>
    </row>
    <row r="4445" spans="1:26" ht="52.5" customHeight="1" x14ac:dyDescent="0.25">
      <c r="A4445" s="25" t="str">
        <f ca="1">IFERROR(__xludf.DUMMYFUNCTION("""COMPUTED_VALUE"""),"Movil243")</f>
        <v>Movil243</v>
      </c>
      <c r="B4445" s="25" t="str">
        <f ca="1">IFERROR(__xludf.DUMMYFUNCTION("""COMPUTED_VALUE"""),"Reunión Regiotram")</f>
        <v>Reunión Regiotram</v>
      </c>
      <c r="C4445" s="55">
        <f ca="1">IFERROR(__xludf.DUMMYFUNCTION("""COMPUTED_VALUE"""),44393)</f>
        <v>44393</v>
      </c>
      <c r="D4445" s="25" t="str">
        <f ca="1">IFERROR(__xludf.DUMMYFUNCTION("""COMPUTED_VALUE"""),"Movilidad")</f>
        <v>Movilidad</v>
      </c>
      <c r="E4445" s="25" t="str">
        <f ca="1">IFERROR(__xludf.DUMMYFUNCTION("""COMPUTED_VALUE"""),"Secretaría Distrital de Movilidad")</f>
        <v>Secretaría Distrital de Movilidad</v>
      </c>
      <c r="F4445" s="25" t="str">
        <f ca="1">IFERROR(__xludf.DUMMYFUNCTION("""COMPUTED_VALUE"""),"Presentar documento que contenga los cálculos de la nueva demanda de las estaciones del regiotram de Bogotá, D.C.")</f>
        <v>Presentar documento que contenga los cálculos de la nueva demanda de las estaciones del regiotram de Bogotá, D.C.</v>
      </c>
      <c r="G4445" s="25" t="str">
        <f ca="1">IFERROR(__xludf.DUMMYFUNCTION("""COMPUTED_VALUE"""),"99. Distrito")</f>
        <v>99. Distrito</v>
      </c>
      <c r="H4445" s="55">
        <f ca="1">IFERROR(__xludf.DUMMYFUNCTION("""COMPUTED_VALUE"""),44423)</f>
        <v>44423</v>
      </c>
      <c r="I4445" s="25"/>
      <c r="J4445" s="55" t="str">
        <f ca="1">IFERROR(__xludf.DUMMYFUNCTION("""COMPUTED_VALUE"""),"Alta")</f>
        <v>Alta</v>
      </c>
      <c r="K4445" s="25">
        <f ca="1">IFERROR(__xludf.DUMMYFUNCTION("""COMPUTED_VALUE"""),30)</f>
        <v>30</v>
      </c>
      <c r="L4445" s="62">
        <f ca="1">IFERROR(__xludf.DUMMYFUNCTION("""COMPUTED_VALUE"""),44468)</f>
        <v>44468</v>
      </c>
      <c r="M4445" s="25" t="str">
        <f ca="1">IFERROR(__xludf.DUMMYFUNCTION("""COMPUTED_VALUE"""),"Se presentaron 3 escenarios con diferentes alcances (longitud e integración) y se concluyó que la opción más efectiva es la implementación completa de regiotram del norte con una demanda proyectada de 460.000 pax/día")</f>
        <v>Se presentaron 3 escenarios con diferentes alcances (longitud e integración) y se concluyó que la opción más efectiva es la implementación completa de regiotram del norte con una demanda proyectada de 460.000 pax/día</v>
      </c>
      <c r="N4445" s="55">
        <f ca="1">IFERROR(__xludf.DUMMYFUNCTION("""COMPUTED_VALUE"""),44468)</f>
        <v>44468</v>
      </c>
      <c r="O4445" s="25" t="str">
        <f t="shared" ca="1" si="0"/>
        <v>Secretaría Distrital de Movilidad</v>
      </c>
      <c r="P4445" s="25" t="str">
        <f t="shared" si="2"/>
        <v/>
      </c>
      <c r="Q4445" s="25" t="str">
        <f ca="1">IFERROR(__xludf.DUMMYFUNCTION("""COMPUTED_VALUE"""),"Corto plazo")</f>
        <v>Corto plazo</v>
      </c>
      <c r="R4445" s="25"/>
      <c r="S4445" s="55"/>
      <c r="T4445" s="56"/>
      <c r="U4445" s="25"/>
      <c r="V4445" s="25"/>
      <c r="W4445" s="25"/>
      <c r="X4445" s="25"/>
      <c r="Y4445" s="25"/>
      <c r="Z4445" s="25"/>
    </row>
    <row r="4446" spans="1:26" ht="52.5" customHeight="1" x14ac:dyDescent="0.25">
      <c r="A4446" s="25" t="str">
        <f ca="1">IFERROR(__xludf.DUMMYFUNCTION("""COMPUTED_VALUE"""),"Movil244")</f>
        <v>Movil244</v>
      </c>
      <c r="B4446" s="25" t="str">
        <f ca="1">IFERROR(__xludf.DUMMYFUNCTION("""COMPUTED_VALUE"""),"Reunión Seguimiento veedurías ciudadanas")</f>
        <v>Reunión Seguimiento veedurías ciudadanas</v>
      </c>
      <c r="C4446" s="55">
        <f ca="1">IFERROR(__xludf.DUMMYFUNCTION("""COMPUTED_VALUE"""),44393)</f>
        <v>44393</v>
      </c>
      <c r="D4446" s="25" t="str">
        <f ca="1">IFERROR(__xludf.DUMMYFUNCTION("""COMPUTED_VALUE"""),"Movilidad")</f>
        <v>Movilidad</v>
      </c>
      <c r="E4446" s="25" t="str">
        <f ca="1">IFERROR(__xludf.DUMMYFUNCTION("""COMPUTED_VALUE"""),"Empresa Metro de Bogotá S.A.")</f>
        <v>Empresa Metro de Bogotá S.A.</v>
      </c>
      <c r="F4446" s="25" t="str">
        <f ca="1">IFERROR(__xludf.DUMMYFUNCTION("""COMPUTED_VALUE"""),"Enviar respuesta por escrito al  informe  realizado por la Veeduría ciudadana respecto a los avances de (metro y entidades correspondientes)")</f>
        <v>Enviar respuesta por escrito al  informe  realizado por la Veeduría ciudadana respecto a los avances de (metro y entidades correspondientes)</v>
      </c>
      <c r="G4446" s="25" t="str">
        <f ca="1">IFERROR(__xludf.DUMMYFUNCTION("""COMPUTED_VALUE"""),"99. Distrito")</f>
        <v>99. Distrito</v>
      </c>
      <c r="H4446" s="55">
        <f ca="1">IFERROR(__xludf.DUMMYFUNCTION("""COMPUTED_VALUE"""),44423)</f>
        <v>44423</v>
      </c>
      <c r="I4446" s="25"/>
      <c r="J4446" s="55" t="str">
        <f ca="1">IFERROR(__xludf.DUMMYFUNCTION("""COMPUTED_VALUE"""),"Alta")</f>
        <v>Alta</v>
      </c>
      <c r="K4446" s="25">
        <f ca="1">IFERROR(__xludf.DUMMYFUNCTION("""COMPUTED_VALUE"""),30)</f>
        <v>30</v>
      </c>
      <c r="L4446" s="62">
        <f ca="1">IFERROR(__xludf.DUMMYFUNCTION("""COMPUTED_VALUE"""),44407)</f>
        <v>44407</v>
      </c>
      <c r="M4446" s="25" t="str">
        <f ca="1">IFERROR(__xludf.DUMMYFUNCTION("""COMPUTED_VALUE"""),"La EMB bajo el radicado PQR S-21-01079 dio respuesta a las recomendaciones de la consejería ciudadana del Metro de Bogotá")</f>
        <v>La EMB bajo el radicado PQR S-21-01079 dio respuesta a las recomendaciones de la consejería ciudadana del Metro de Bogotá</v>
      </c>
      <c r="N4446" s="55">
        <f ca="1">IFERROR(__xludf.DUMMYFUNCTION("""COMPUTED_VALUE"""),44407)</f>
        <v>44407</v>
      </c>
      <c r="O4446" s="25" t="str">
        <f t="shared" ca="1" si="0"/>
        <v>Empresa Metro de Bogotá S.A.</v>
      </c>
      <c r="P4446" s="25" t="str">
        <f t="shared" si="2"/>
        <v/>
      </c>
      <c r="Q4446" s="25" t="str">
        <f ca="1">IFERROR(__xludf.DUMMYFUNCTION("""COMPUTED_VALUE"""),"Corto plazo")</f>
        <v>Corto plazo</v>
      </c>
      <c r="R4446" s="25"/>
      <c r="S4446" s="55"/>
      <c r="T4446" s="56"/>
      <c r="U4446" s="25"/>
      <c r="V4446" s="25"/>
      <c r="W4446" s="25"/>
      <c r="X4446" s="25"/>
      <c r="Y4446" s="25"/>
      <c r="Z4446" s="25"/>
    </row>
    <row r="4447" spans="1:26" ht="52.5" customHeight="1" x14ac:dyDescent="0.25">
      <c r="A4447" s="25" t="str">
        <f ca="1">IFERROR(__xludf.DUMMYFUNCTION("""COMPUTED_VALUE"""),"Movil245")</f>
        <v>Movil245</v>
      </c>
      <c r="B4447" s="25" t="str">
        <f ca="1">IFERROR(__xludf.DUMMYFUNCTION("""COMPUTED_VALUE"""),"Reunión Seguimiento veedurías ciudadanas")</f>
        <v>Reunión Seguimiento veedurías ciudadanas</v>
      </c>
      <c r="C4447" s="55">
        <f ca="1">IFERROR(__xludf.DUMMYFUNCTION("""COMPUTED_VALUE"""),44393)</f>
        <v>44393</v>
      </c>
      <c r="D4447" s="25" t="str">
        <f ca="1">IFERROR(__xludf.DUMMYFUNCTION("""COMPUTED_VALUE"""),"Movilidad")</f>
        <v>Movilidad</v>
      </c>
      <c r="E4447" s="25" t="str">
        <f ca="1">IFERROR(__xludf.DUMMYFUNCTION("""COMPUTED_VALUE"""),"Empresa Metro de Bogotá S.A.")</f>
        <v>Empresa Metro de Bogotá S.A.</v>
      </c>
      <c r="F4447" s="25" t="str">
        <f ca="1">IFERROR(__xludf.DUMMYFUNCTION("""COMPUTED_VALUE"""),"Invitar a la veeduría ciudadana al inicio de obras del metro")</f>
        <v>Invitar a la veeduría ciudadana al inicio de obras del metro</v>
      </c>
      <c r="G4447" s="25" t="str">
        <f ca="1">IFERROR(__xludf.DUMMYFUNCTION("""COMPUTED_VALUE"""),"99. Distrito")</f>
        <v>99. Distrito</v>
      </c>
      <c r="H4447" s="55">
        <f ca="1">IFERROR(__xludf.DUMMYFUNCTION("""COMPUTED_VALUE"""),44423)</f>
        <v>44423</v>
      </c>
      <c r="I4447" s="25"/>
      <c r="J4447" s="55" t="str">
        <f ca="1">IFERROR(__xludf.DUMMYFUNCTION("""COMPUTED_VALUE"""),"Alta")</f>
        <v>Alta</v>
      </c>
      <c r="K4447" s="25">
        <f ca="1">IFERROR(__xludf.DUMMYFUNCTION("""COMPUTED_VALUE"""),30)</f>
        <v>30</v>
      </c>
      <c r="L4447" s="62">
        <f ca="1">IFERROR(__xludf.DUMMYFUNCTION("""COMPUTED_VALUE"""),44421)</f>
        <v>44421</v>
      </c>
      <c r="M4447" s="25" t="str">
        <f ca="1">IFERROR(__xludf.DUMMYFUNCTION("""COMPUTED_VALUE"""),"En el marco del inicio de las obras de la PLMB y a través del radicado EXTS21-0003477 del 13 de agosto de 2021, se invitó a los delegados de la consejería ciudadana, en cabeza del señor Edgar Guaba, quienes se encuentran actualmente en el ejercicio de la "&amp;"conformación de la Veeduría ciudadana, para que asistan el martes 17 de agosto al evento de inicio de obras de la PLMB en el Patio Taller.  Telefónicamente el mismo 13 de agosto se confirmó con el señor Edgar Guaba la asistencia al evento de 8 representan"&amp;"tes de esta consejería. 
")</f>
        <v xml:space="preserve">En el marco del inicio de las obras de la PLMB y a través del radicado EXTS21-0003477 del 13 de agosto de 2021, se invitó a los delegados de la consejería ciudadana, en cabeza del señor Edgar Guaba, quienes se encuentran actualmente en el ejercicio de la conformación de la Veeduría ciudadana, para que asistan el martes 17 de agosto al evento de inicio de obras de la PLMB en el Patio Taller.  Telefónicamente el mismo 13 de agosto se confirmó con el señor Edgar Guaba la asistencia al evento de 8 representantes de esta consejería. 
</v>
      </c>
      <c r="N4447" s="55">
        <f ca="1">IFERROR(__xludf.DUMMYFUNCTION("""COMPUTED_VALUE"""),44421)</f>
        <v>44421</v>
      </c>
      <c r="O4447" s="25" t="str">
        <f t="shared" ca="1" si="0"/>
        <v>Empresa Metro de Bogotá S.A.</v>
      </c>
      <c r="P4447" s="25" t="str">
        <f t="shared" si="2"/>
        <v/>
      </c>
      <c r="Q4447" s="25" t="str">
        <f ca="1">IFERROR(__xludf.DUMMYFUNCTION("""COMPUTED_VALUE"""),"Corto plazo")</f>
        <v>Corto plazo</v>
      </c>
      <c r="R4447" s="25"/>
      <c r="S4447" s="55"/>
      <c r="T4447" s="56"/>
      <c r="U4447" s="25"/>
      <c r="V4447" s="25"/>
      <c r="W4447" s="25"/>
      <c r="X4447" s="25"/>
      <c r="Y4447" s="25"/>
      <c r="Z4447" s="25"/>
    </row>
    <row r="4448" spans="1:26" ht="52.5" customHeight="1" x14ac:dyDescent="0.25">
      <c r="A4448" s="25" t="str">
        <f ca="1">IFERROR(__xludf.DUMMYFUNCTION("""COMPUTED_VALUE"""),"Movil246")</f>
        <v>Movil246</v>
      </c>
      <c r="B4448" s="25" t="str">
        <f ca="1">IFERROR(__xludf.DUMMYFUNCTION("""COMPUTED_VALUE"""),"Reunión con la FDN (Financiera del Desarrollo Nacional)")</f>
        <v>Reunión con la FDN (Financiera del Desarrollo Nacional)</v>
      </c>
      <c r="C4448" s="55">
        <f ca="1">IFERROR(__xludf.DUMMYFUNCTION("""COMPUTED_VALUE"""),44393)</f>
        <v>44393</v>
      </c>
      <c r="D4448" s="25" t="str">
        <f ca="1">IFERROR(__xludf.DUMMYFUNCTION("""COMPUTED_VALUE"""),"Movilidad")</f>
        <v>Movilidad</v>
      </c>
      <c r="E4448" s="25" t="str">
        <f ca="1">IFERROR(__xludf.DUMMYFUNCTION("""COMPUTED_VALUE"""),"Empresa Metro de Bogotá S.A.")</f>
        <v>Empresa Metro de Bogotá S.A.</v>
      </c>
      <c r="F4448" s="25" t="str">
        <f ca="1">IFERROR(__xludf.DUMMYFUNCTION("""COMPUTED_VALUE"""),"Referente al proyecto del predio Fontanar: Organizar una reunión con el Alcalde de Cota y el Gobernador de Cundinamarca para ver la posibilidad de realizar el traslado del Patio Taller de Cota, de tal manera que Cota queda con Patio Taller y con la primer"&amp;"a estación y se pueda desarrollar el uso de ese suelo.  ")</f>
        <v xml:space="preserve">Referente al proyecto del predio Fontanar: Organizar una reunión con el Alcalde de Cota y el Gobernador de Cundinamarca para ver la posibilidad de realizar el traslado del Patio Taller de Cota, de tal manera que Cota queda con Patio Taller y con la primera estación y se pueda desarrollar el uso de ese suelo.  </v>
      </c>
      <c r="G4448" s="25" t="str">
        <f ca="1">IFERROR(__xludf.DUMMYFUNCTION("""COMPUTED_VALUE"""),"99. Distrito")</f>
        <v>99. Distrito</v>
      </c>
      <c r="H4448" s="55">
        <f ca="1">IFERROR(__xludf.DUMMYFUNCTION("""COMPUTED_VALUE"""),44423)</f>
        <v>44423</v>
      </c>
      <c r="I4448" s="25"/>
      <c r="J4448" s="55" t="str">
        <f ca="1">IFERROR(__xludf.DUMMYFUNCTION("""COMPUTED_VALUE"""),"Alta")</f>
        <v>Alta</v>
      </c>
      <c r="K4448" s="25">
        <f ca="1">IFERROR(__xludf.DUMMYFUNCTION("""COMPUTED_VALUE"""),30)</f>
        <v>30</v>
      </c>
      <c r="L4448" s="62">
        <f ca="1">IFERROR(__xludf.DUMMYFUNCTION("""COMPUTED_VALUE"""),44421)</f>
        <v>44421</v>
      </c>
      <c r="M4448" s="25" t="str">
        <f ca="1">IFERROR(__xludf.DUMMYFUNCTION("""COMPUTED_VALUE"""),"La reunión con Distrito, Alcaldía de Cota y Gobernación de Cundinamarca fue realizada el 04 de agosto de 2021.
Como compromiso quedó que el Alcalde de Cota analizaría con su propuesta y en 15 días daría una respuesta. Con base en esto se buscaría otra "&amp;"reunión la siguiente semana. ")</f>
        <v xml:space="preserve">La reunión con Distrito, Alcaldía de Cota y Gobernación de Cundinamarca fue realizada el 04 de agosto de 2021.
Como compromiso quedó que el Alcalde de Cota analizaría con su propuesta y en 15 días daría una respuesta. Con base en esto se buscaría otra reunión la siguiente semana. </v>
      </c>
      <c r="N4448" s="55">
        <f ca="1">IFERROR(__xludf.DUMMYFUNCTION("""COMPUTED_VALUE"""),44421)</f>
        <v>44421</v>
      </c>
      <c r="O4448" s="25" t="str">
        <f t="shared" ca="1" si="0"/>
        <v>Empresa Metro de Bogotá S.A.</v>
      </c>
      <c r="P4448" s="25" t="str">
        <f t="shared" si="2"/>
        <v/>
      </c>
      <c r="Q4448" s="25" t="str">
        <f ca="1">IFERROR(__xludf.DUMMYFUNCTION("""COMPUTED_VALUE"""),"Corto plazo")</f>
        <v>Corto plazo</v>
      </c>
      <c r="R4448" s="25"/>
      <c r="S4448" s="55"/>
      <c r="T4448" s="56"/>
      <c r="U4448" s="25"/>
      <c r="V4448" s="25"/>
      <c r="W4448" s="25"/>
      <c r="X4448" s="25"/>
      <c r="Y4448" s="25"/>
      <c r="Z4448" s="25"/>
    </row>
    <row r="4449" spans="1:26" ht="52.5" customHeight="1" x14ac:dyDescent="0.25">
      <c r="A4449" s="25" t="str">
        <f ca="1">IFERROR(__xludf.DUMMYFUNCTION("""COMPUTED_VALUE"""),"Movil247")</f>
        <v>Movil247</v>
      </c>
      <c r="B4449" s="25" t="str">
        <f ca="1">IFERROR(__xludf.DUMMYFUNCTION("""COMPUTED_VALUE"""),"Reunión con la FDN (Financiera del Desarrollo Nacional)")</f>
        <v>Reunión con la FDN (Financiera del Desarrollo Nacional)</v>
      </c>
      <c r="C4449" s="55">
        <f ca="1">IFERROR(__xludf.DUMMYFUNCTION("""COMPUTED_VALUE"""),44393)</f>
        <v>44393</v>
      </c>
      <c r="D4449" s="25" t="str">
        <f ca="1">IFERROR(__xludf.DUMMYFUNCTION("""COMPUTED_VALUE"""),"Movilidad")</f>
        <v>Movilidad</v>
      </c>
      <c r="E4449" s="25" t="str">
        <f ca="1">IFERROR(__xludf.DUMMYFUNCTION("""COMPUTED_VALUE"""),"Empresa Metro de Bogotá S.A.")</f>
        <v>Empresa Metro de Bogotá S.A.</v>
      </c>
      <c r="F4449" s="25" t="str">
        <f ca="1">IFERROR(__xludf.DUMMYFUNCTION("""COMPUTED_VALUE"""),"Determinar si  es posible hacer de manera paralela la obra subterránea y los equipamientos en la segunda línea del metro")</f>
        <v>Determinar si  es posible hacer de manera paralela la obra subterránea y los equipamientos en la segunda línea del metro</v>
      </c>
      <c r="G4449" s="55" t="str">
        <f ca="1">IFERROR(__xludf.DUMMYFUNCTION("""COMPUTED_VALUE"""),"11. Suba")</f>
        <v>11. Suba</v>
      </c>
      <c r="H4449" s="55">
        <f ca="1">IFERROR(__xludf.DUMMYFUNCTION("""COMPUTED_VALUE"""),44423)</f>
        <v>44423</v>
      </c>
      <c r="I4449" s="25"/>
      <c r="J4449" s="55" t="str">
        <f ca="1">IFERROR(__xludf.DUMMYFUNCTION("""COMPUTED_VALUE"""),"Alta")</f>
        <v>Alta</v>
      </c>
      <c r="K4449" s="25">
        <f ca="1">IFERROR(__xludf.DUMMYFUNCTION("""COMPUTED_VALUE"""),30)</f>
        <v>30</v>
      </c>
      <c r="L4449" s="62">
        <f ca="1">IFERROR(__xludf.DUMMYFUNCTION("""COMPUTED_VALUE"""),44773)</f>
        <v>44773</v>
      </c>
      <c r="M4449" s="25" t="str">
        <f ca="1">IFERROR(__xludf.DUMMYFUNCTION("""COMPUTED_VALUE"""),"El estructurador propuso hacer perforaciones profundas en ese sector para evaluar una alternativa de túnel profundo que minimice las interacciones con los proyectos que se construirán en superficie en el perfil de la ALO.  El martes 8 de marzo de 2022 se "&amp;"llevó a cabo reunión con Secretaría de Hábitat a fin de analizar el avance de los proyectos para su armonización y la EMB presentó su análisis de las AIMs, correspondientes a las estaciones 9 y 10 de la Línea 2 del Metro de Bogotá, de tal manera que la Se"&amp;"cretaría de Hábitat lo tuviera en cuenta en la Actuación Estratégica Ciudadela Educativa y del Cuidado. 
El aval técnico se presentó a la UMUS con tipología subterránea (túnel profundo).  El martes  22 de marzo de 2022 se llevó a cabo reunión con Secreta"&amp;"ría de Hábitat a fin de analizar el avance de los proyectos para su armonización y la EMB presentó su análisis de áreas de las AIMs, correspondientes a las estaciones 9 y 10 de la Línea 2 del Metro de Bogotá, de tal manera que la Secretaría de Hábitat lo "&amp;"tuviera en cuenta en la Actuación Estratégica Ciudadela Educativa y del Cuidado.")</f>
        <v>El estructurador propuso hacer perforaciones profundas en ese sector para evaluar una alternativa de túnel profundo que minimice las interacciones con los proyectos que se construirán en superficie en el perfil de la ALO.  El martes 8 de marzo de 2022 se llevó a cabo reunión con Secretaría de Hábitat a fin de analizar el avance de los proyectos para su armonización y la EMB presentó su análisis de las AIMs, correspondientes a las estaciones 9 y 10 de la Línea 2 del Metro de Bogotá, de tal manera que la Secretaría de Hábitat lo tuviera en cuenta en la Actuación Estratégica Ciudadela Educativa y del Cuidado. 
El aval técnico se presentó a la UMUS con tipología subterránea (túnel profundo).  El martes  22 de marzo de 2022 se llevó a cabo reunión con Secretaría de Hábitat a fin de analizar el avance de los proyectos para su armonización y la EMB presentó su análisis de áreas de las AIMs, correspondientes a las estaciones 9 y 10 de la Línea 2 del Metro de Bogotá, de tal manera que la Secretaría de Hábitat lo tuviera en cuenta en la Actuación Estratégica Ciudadela Educativa y del Cuidado.</v>
      </c>
      <c r="N4449" s="55">
        <f ca="1">IFERROR(__xludf.DUMMYFUNCTION("""COMPUTED_VALUE"""),44773)</f>
        <v>44773</v>
      </c>
      <c r="O4449" s="25" t="str">
        <f t="shared" ca="1" si="0"/>
        <v>Empresa Metro de Bogotá S.A.</v>
      </c>
      <c r="P4449" s="25" t="str">
        <f t="shared" si="2"/>
        <v/>
      </c>
      <c r="Q4449" s="25" t="str">
        <f ca="1">IFERROR(__xludf.DUMMYFUNCTION("""COMPUTED_VALUE"""),"Corto plazo")</f>
        <v>Corto plazo</v>
      </c>
      <c r="R4449" s="25"/>
      <c r="S4449" s="55"/>
      <c r="T4449" s="56"/>
      <c r="U4449" s="25"/>
      <c r="V4449" s="25"/>
      <c r="W4449" s="25"/>
      <c r="X4449" s="25"/>
      <c r="Y4449" s="25"/>
      <c r="Z4449" s="25"/>
    </row>
    <row r="4450" spans="1:26" ht="52.5" customHeight="1" x14ac:dyDescent="0.25">
      <c r="A4450" s="25" t="str">
        <f ca="1">IFERROR(__xludf.DUMMYFUNCTION("""COMPUTED_VALUE"""),"Movil248")</f>
        <v>Movil248</v>
      </c>
      <c r="B4450" s="25" t="str">
        <f ca="1">IFERROR(__xludf.DUMMYFUNCTION("""COMPUTED_VALUE"""),"Reunión con la FDN (Financiera del Desarrollo Nacional)")</f>
        <v>Reunión con la FDN (Financiera del Desarrollo Nacional)</v>
      </c>
      <c r="C4450" s="55">
        <f ca="1">IFERROR(__xludf.DUMMYFUNCTION("""COMPUTED_VALUE"""),44393)</f>
        <v>44393</v>
      </c>
      <c r="D4450" s="25" t="str">
        <f ca="1">IFERROR(__xludf.DUMMYFUNCTION("""COMPUTED_VALUE"""),"Movilidad")</f>
        <v>Movilidad</v>
      </c>
      <c r="E4450" s="25" t="str">
        <f ca="1">IFERROR(__xludf.DUMMYFUNCTION("""COMPUTED_VALUE"""),"Empresa Metro de Bogotá S.A.")</f>
        <v>Empresa Metro de Bogotá S.A.</v>
      </c>
      <c r="F4450" s="25" t="str">
        <f ca="1">IFERROR(__xludf.DUMMYFUNCTION("""COMPUTED_VALUE"""),"Concretar una reunión con el Banco Mundial para contratar un estudio paralelo donde los elementos del TIF (tax increment financing) sean considerados y se generen recomendaciones al respecto para que sean plasmadas desde el inicio de los estudios.")</f>
        <v>Concretar una reunión con el Banco Mundial para contratar un estudio paralelo donde los elementos del TIF (tax increment financing) sean considerados y se generen recomendaciones al respecto para que sean plasmadas desde el inicio de los estudios.</v>
      </c>
      <c r="G4450" s="25" t="str">
        <f ca="1">IFERROR(__xludf.DUMMYFUNCTION("""COMPUTED_VALUE"""),"99. Distrito")</f>
        <v>99. Distrito</v>
      </c>
      <c r="H4450" s="55">
        <f ca="1">IFERROR(__xludf.DUMMYFUNCTION("""COMPUTED_VALUE"""),44423)</f>
        <v>44423</v>
      </c>
      <c r="I4450" s="25"/>
      <c r="J4450" s="55" t="str">
        <f ca="1">IFERROR(__xludf.DUMMYFUNCTION("""COMPUTED_VALUE"""),"Alta")</f>
        <v>Alta</v>
      </c>
      <c r="K4450" s="25">
        <f ca="1">IFERROR(__xludf.DUMMYFUNCTION("""COMPUTED_VALUE"""),30)</f>
        <v>30</v>
      </c>
      <c r="L4450" s="62">
        <f ca="1">IFERROR(__xludf.DUMMYFUNCTION("""COMPUTED_VALUE"""),44773)</f>
        <v>44773</v>
      </c>
      <c r="M4450" s="25" t="str">
        <f ca="1">IFERROR(__xludf.DUMMYFUNCTION("""COMPUTED_VALUE"""),"Se realizó la revisión del Contrato Interadministrativo con la FDN para identificar alcances relacionados con estas actividades. Se concluyó que el Contrato no tiene ese alcance, por lo cual la EMB se encuentra buscando recursos de cooperación para realiz"&amp;"ar análisis de captura de valor en el corredor del Proyecto Línea 2. ")</f>
        <v xml:space="preserve">Se realizó la revisión del Contrato Interadministrativo con la FDN para identificar alcances relacionados con estas actividades. Se concluyó que el Contrato no tiene ese alcance, por lo cual la EMB se encuentra buscando recursos de cooperación para realizar análisis de captura de valor en el corredor del Proyecto Línea 2. </v>
      </c>
      <c r="N4450" s="55">
        <f ca="1">IFERROR(__xludf.DUMMYFUNCTION("""COMPUTED_VALUE"""),44773)</f>
        <v>44773</v>
      </c>
      <c r="O4450" s="25" t="str">
        <f t="shared" ca="1" si="0"/>
        <v>Empresa Metro de Bogotá S.A.</v>
      </c>
      <c r="P4450" s="25" t="str">
        <f t="shared" si="2"/>
        <v/>
      </c>
      <c r="Q4450" s="25" t="str">
        <f ca="1">IFERROR(__xludf.DUMMYFUNCTION("""COMPUTED_VALUE"""),"Corto plazo")</f>
        <v>Corto plazo</v>
      </c>
      <c r="R4450" s="25"/>
      <c r="S4450" s="55"/>
      <c r="T4450" s="56"/>
      <c r="U4450" s="25"/>
      <c r="V4450" s="25"/>
      <c r="W4450" s="25"/>
      <c r="X4450" s="25"/>
      <c r="Y4450" s="25"/>
      <c r="Z4450" s="25"/>
    </row>
    <row r="4451" spans="1:26" ht="52.5" customHeight="1" x14ac:dyDescent="0.25">
      <c r="A4451" s="25" t="str">
        <f ca="1">IFERROR(__xludf.DUMMYFUNCTION("""COMPUTED_VALUE"""),"Movil249")</f>
        <v>Movil249</v>
      </c>
      <c r="B4451" s="25" t="str">
        <f ca="1">IFERROR(__xludf.DUMMYFUNCTION("""COMPUTED_VALUE"""),"Reunión con la FDN (Financiera del Desarrollo Nacional)")</f>
        <v>Reunión con la FDN (Financiera del Desarrollo Nacional)</v>
      </c>
      <c r="C4451" s="55">
        <f ca="1">IFERROR(__xludf.DUMMYFUNCTION("""COMPUTED_VALUE"""),44393)</f>
        <v>44393</v>
      </c>
      <c r="D4451" s="25" t="str">
        <f ca="1">IFERROR(__xludf.DUMMYFUNCTION("""COMPUTED_VALUE"""),"Movilidad")</f>
        <v>Movilidad</v>
      </c>
      <c r="E4451" s="25" t="str">
        <f ca="1">IFERROR(__xludf.DUMMYFUNCTION("""COMPUTED_VALUE"""),"Secretaría Distrital de Movilidad")</f>
        <v>Secretaría Distrital de Movilidad</v>
      </c>
      <c r="F4451" s="25" t="str">
        <f ca="1">IFERROR(__xludf.DUMMYFUNCTION("""COMPUTED_VALUE"""),"Referente a los estudios de la siguiente línea de la Avenida Boyacá: Formalizar la vinculación de la Gobernación de Cundinamarca (así no aporten recursos financieros inicialmente) en el Convenio Marco de Cooperación Técnica para establecer la participació"&amp;"n en los estudios de prefactibilidad. ")</f>
        <v xml:space="preserve">Referente a los estudios de la siguiente línea de la Avenida Boyacá: Formalizar la vinculación de la Gobernación de Cundinamarca (así no aporten recursos financieros inicialmente) en el Convenio Marco de Cooperación Técnica para establecer la participación en los estudios de prefactibilidad. </v>
      </c>
      <c r="G4451" s="25" t="str">
        <f ca="1">IFERROR(__xludf.DUMMYFUNCTION("""COMPUTED_VALUE"""),"99. Distrito")</f>
        <v>99. Distrito</v>
      </c>
      <c r="H4451" s="55">
        <f ca="1">IFERROR(__xludf.DUMMYFUNCTION("""COMPUTED_VALUE"""),44423)</f>
        <v>44423</v>
      </c>
      <c r="I4451" s="25"/>
      <c r="J4451" s="55" t="str">
        <f ca="1">IFERROR(__xludf.DUMMYFUNCTION("""COMPUTED_VALUE"""),"Alta")</f>
        <v>Alta</v>
      </c>
      <c r="K4451" s="25">
        <f ca="1">IFERROR(__xludf.DUMMYFUNCTION("""COMPUTED_VALUE"""),30)</f>
        <v>30</v>
      </c>
      <c r="L4451" s="62">
        <f ca="1">IFERROR(__xludf.DUMMYFUNCTION("""COMPUTED_VALUE"""),44748)</f>
        <v>44748</v>
      </c>
      <c r="M4451" s="25" t="str">
        <f ca="1">IFERROR(__xludf.DUMMYFUNCTION("""COMPUTED_VALUE"""),"La SDM iniciará el análisis de demanda a nivel prefactibilidad del corredor férreo metropolitano de la Av. Boyacá. Se debe considerar involucrar a otras entidades o contratistas para complementar el Estudio completo de prefactibilidad. 
La revisión reali"&amp;"zada para la definición del contenido programático del POT, se determinó la construcción del corredor férreo en 2 etapas, Linea 4 y Línea 5 a partir de las fuentes de financiación futuras. ")</f>
        <v xml:space="preserve">La SDM iniciará el análisis de demanda a nivel prefactibilidad del corredor férreo metropolitano de la Av. Boyacá. Se debe considerar involucrar a otras entidades o contratistas para complementar el Estudio completo de prefactibilidad. 
La revisión realizada para la definición del contenido programático del POT, se determinó la construcción del corredor férreo en 2 etapas, Linea 4 y Línea 5 a partir de las fuentes de financiación futuras. </v>
      </c>
      <c r="N4451" s="55">
        <f ca="1">IFERROR(__xludf.DUMMYFUNCTION("""COMPUTED_VALUE"""),44748)</f>
        <v>44748</v>
      </c>
      <c r="O4451" s="25" t="str">
        <f t="shared" ca="1" si="0"/>
        <v>Secretaría Distrital de Movilidad</v>
      </c>
      <c r="P4451" s="25" t="str">
        <f t="shared" si="2"/>
        <v/>
      </c>
      <c r="Q4451" s="25" t="str">
        <f ca="1">IFERROR(__xludf.DUMMYFUNCTION("""COMPUTED_VALUE"""),"Corto plazo")</f>
        <v>Corto plazo</v>
      </c>
      <c r="R4451" s="25"/>
      <c r="S4451" s="55"/>
      <c r="T4451" s="56"/>
      <c r="U4451" s="25"/>
      <c r="V4451" s="25"/>
      <c r="W4451" s="25"/>
      <c r="X4451" s="25"/>
      <c r="Y4451" s="25"/>
      <c r="Z4451" s="25"/>
    </row>
    <row r="4452" spans="1:26" ht="52.5" customHeight="1" x14ac:dyDescent="0.25">
      <c r="A4452" s="25" t="str">
        <f ca="1">IFERROR(__xludf.DUMMYFUNCTION("""COMPUTED_VALUE"""),"Movil250")</f>
        <v>Movil250</v>
      </c>
      <c r="B4452" s="25" t="str">
        <f ca="1">IFERROR(__xludf.DUMMYFUNCTION("""COMPUTED_VALUE"""),"Revisión de obras 16 de julio")</f>
        <v>Revisión de obras 16 de julio</v>
      </c>
      <c r="C4452" s="55">
        <f ca="1">IFERROR(__xludf.DUMMYFUNCTION("""COMPUTED_VALUE"""),44393)</f>
        <v>44393</v>
      </c>
      <c r="D4452" s="25" t="str">
        <f ca="1">IFERROR(__xludf.DUMMYFUNCTION("""COMPUTED_VALUE"""),"Movilidad")</f>
        <v>Movilidad</v>
      </c>
      <c r="E4452" s="25" t="str">
        <f ca="1">IFERROR(__xludf.DUMMYFUNCTION("""COMPUTED_VALUE"""),"Instituto de Desarrollo Urbano")</f>
        <v>Instituto de Desarrollo Urbano</v>
      </c>
      <c r="F4452" s="25" t="str">
        <f ca="1">IFERROR(__xludf.DUMMYFUNCTION("""COMPUTED_VALUE"""),"Enviar el estado de vías actualizado")</f>
        <v>Enviar el estado de vías actualizado</v>
      </c>
      <c r="G4452" s="25" t="str">
        <f ca="1">IFERROR(__xludf.DUMMYFUNCTION("""COMPUTED_VALUE"""),"99. Distrito")</f>
        <v>99. Distrito</v>
      </c>
      <c r="H4452" s="55">
        <f ca="1">IFERROR(__xludf.DUMMYFUNCTION("""COMPUTED_VALUE"""),44423)</f>
        <v>44423</v>
      </c>
      <c r="I4452" s="25"/>
      <c r="J4452" s="55" t="str">
        <f ca="1">IFERROR(__xludf.DUMMYFUNCTION("""COMPUTED_VALUE"""),"Alta")</f>
        <v>Alta</v>
      </c>
      <c r="K4452" s="25">
        <f ca="1">IFERROR(__xludf.DUMMYFUNCTION("""COMPUTED_VALUE"""),30)</f>
        <v>30</v>
      </c>
      <c r="L4452" s="62">
        <f ca="1">IFERROR(__xludf.DUMMYFUNCTION("""COMPUTED_VALUE"""),44757)</f>
        <v>44757</v>
      </c>
      <c r="M4452" s="25" t="str">
        <f ca="1">IFERROR(__xludf.DUMMYFUNCTION("""COMPUTED_VALUE"""),"El estado de vías se envía en su momento, este compromiso ya se había cerrado.")</f>
        <v>El estado de vías se envía en su momento, este compromiso ya se había cerrado.</v>
      </c>
      <c r="N4452" s="55">
        <f ca="1">IFERROR(__xludf.DUMMYFUNCTION("""COMPUTED_VALUE"""),44757)</f>
        <v>44757</v>
      </c>
      <c r="O4452" s="25" t="str">
        <f t="shared" ca="1" si="0"/>
        <v>Instituto de Desarrollo Urbano</v>
      </c>
      <c r="P4452" s="25" t="str">
        <f t="shared" si="2"/>
        <v/>
      </c>
      <c r="Q4452" s="25" t="str">
        <f ca="1">IFERROR(__xludf.DUMMYFUNCTION("""COMPUTED_VALUE"""),"Corto plazo")</f>
        <v>Corto plazo</v>
      </c>
      <c r="R4452" s="25"/>
      <c r="S4452" s="55"/>
      <c r="T4452" s="56"/>
      <c r="U4452" s="25"/>
      <c r="V4452" s="25"/>
      <c r="W4452" s="25"/>
      <c r="X4452" s="25"/>
      <c r="Y4452" s="25"/>
      <c r="Z4452" s="25"/>
    </row>
    <row r="4453" spans="1:26" ht="52.5" customHeight="1" x14ac:dyDescent="0.25">
      <c r="A4453" s="25" t="str">
        <f ca="1">IFERROR(__xludf.DUMMYFUNCTION("""COMPUTED_VALUE"""),"Movil251")</f>
        <v>Movil251</v>
      </c>
      <c r="B4453" s="25" t="str">
        <f ca="1">IFERROR(__xludf.DUMMYFUNCTION("""COMPUTED_VALUE"""),"Mario Huertas")</f>
        <v>Mario Huertas</v>
      </c>
      <c r="C4453" s="55">
        <f ca="1">IFERROR(__xludf.DUMMYFUNCTION("""COMPUTED_VALUE"""),44393)</f>
        <v>44393</v>
      </c>
      <c r="D4453" s="25" t="str">
        <f ca="1">IFERROR(__xludf.DUMMYFUNCTION("""COMPUTED_VALUE"""),"Movilidad")</f>
        <v>Movilidad</v>
      </c>
      <c r="E4453" s="25" t="str">
        <f ca="1">IFERROR(__xludf.DUMMYFUNCTION("""COMPUTED_VALUE"""),"Instituto de Desarrollo Urbano")</f>
        <v>Instituto de Desarrollo Urbano</v>
      </c>
      <c r="F4453" s="25" t="str">
        <f ca="1">IFERROR(__xludf.DUMMYFUNCTION("""COMPUTED_VALUE"""),"Las obras grandes deben tener un gerente al frente")</f>
        <v>Las obras grandes deben tener un gerente al frente</v>
      </c>
      <c r="G4453" s="25" t="str">
        <f ca="1">IFERROR(__xludf.DUMMYFUNCTION("""COMPUTED_VALUE"""),"99. Distrito")</f>
        <v>99. Distrito</v>
      </c>
      <c r="H4453" s="55">
        <f ca="1">IFERROR(__xludf.DUMMYFUNCTION("""COMPUTED_VALUE"""),44423)</f>
        <v>44423</v>
      </c>
      <c r="I4453" s="25"/>
      <c r="J4453" s="55" t="str">
        <f ca="1">IFERROR(__xludf.DUMMYFUNCTION("""COMPUTED_VALUE"""),"Alta")</f>
        <v>Alta</v>
      </c>
      <c r="K4453" s="25">
        <f ca="1">IFERROR(__xludf.DUMMYFUNCTION("""COMPUTED_VALUE"""),30)</f>
        <v>30</v>
      </c>
      <c r="L4453" s="62">
        <f ca="1">IFERROR(__xludf.DUMMYFUNCTION("""COMPUTED_VALUE"""),44776)</f>
        <v>44776</v>
      </c>
      <c r="M4453" s="25" t="str">
        <f ca="1">IFERROR(__xludf.DUMMYFUNCTION("""COMPUTED_VALUE"""),"Las obras grandes tienen un gerente al frente, esto se cumplio desde el 2021 ya se había cerrado.")</f>
        <v>Las obras grandes tienen un gerente al frente, esto se cumplio desde el 2021 ya se había cerrado.</v>
      </c>
      <c r="N4453" s="55">
        <f ca="1">IFERROR(__xludf.DUMMYFUNCTION("""COMPUTED_VALUE"""),44776)</f>
        <v>44776</v>
      </c>
      <c r="O4453" s="25" t="str">
        <f t="shared" ca="1" si="0"/>
        <v>Instituto de Desarrollo Urbano</v>
      </c>
      <c r="P4453" s="25" t="str">
        <f t="shared" si="2"/>
        <v/>
      </c>
      <c r="Q4453" s="25" t="str">
        <f ca="1">IFERROR(__xludf.DUMMYFUNCTION("""COMPUTED_VALUE"""),"Corto plazo")</f>
        <v>Corto plazo</v>
      </c>
      <c r="R4453" s="25"/>
      <c r="S4453" s="55"/>
      <c r="T4453" s="56"/>
      <c r="U4453" s="25"/>
      <c r="V4453" s="25"/>
      <c r="W4453" s="25"/>
      <c r="X4453" s="25"/>
      <c r="Y4453" s="25"/>
      <c r="Z4453" s="25"/>
    </row>
    <row r="4454" spans="1:26" ht="52.5" customHeight="1" x14ac:dyDescent="0.25">
      <c r="A4454" s="25" t="str">
        <f ca="1">IFERROR(__xludf.DUMMYFUNCTION("""COMPUTED_VALUE"""),"Movil252")</f>
        <v>Movil252</v>
      </c>
      <c r="B4454" s="25" t="str">
        <f ca="1">IFERROR(__xludf.DUMMYFUNCTION("""COMPUTED_VALUE"""),"Mario Huertas")</f>
        <v>Mario Huertas</v>
      </c>
      <c r="C4454" s="55">
        <f ca="1">IFERROR(__xludf.DUMMYFUNCTION("""COMPUTED_VALUE"""),44393)</f>
        <v>44393</v>
      </c>
      <c r="D4454" s="25" t="str">
        <f ca="1">IFERROR(__xludf.DUMMYFUNCTION("""COMPUTED_VALUE"""),"Movilidad")</f>
        <v>Movilidad</v>
      </c>
      <c r="E4454" s="25" t="str">
        <f ca="1">IFERROR(__xludf.DUMMYFUNCTION("""COMPUTED_VALUE"""),"Instituto de Desarrollo Urbano")</f>
        <v>Instituto de Desarrollo Urbano</v>
      </c>
      <c r="F4454" s="25" t="str">
        <f ca="1">IFERROR(__xludf.DUMMYFUNCTION("""COMPUTED_VALUE"""),"Hacer una reunión con los dueños de las empresas de construcción, interventorías, gerentes de obra")</f>
        <v>Hacer una reunión con los dueños de las empresas de construcción, interventorías, gerentes de obra</v>
      </c>
      <c r="G4454" s="25" t="str">
        <f ca="1">IFERROR(__xludf.DUMMYFUNCTION("""COMPUTED_VALUE"""),"99. Distrito")</f>
        <v>99. Distrito</v>
      </c>
      <c r="H4454" s="55">
        <f ca="1">IFERROR(__xludf.DUMMYFUNCTION("""COMPUTED_VALUE"""),44423)</f>
        <v>44423</v>
      </c>
      <c r="I4454" s="25"/>
      <c r="J4454" s="55" t="str">
        <f ca="1">IFERROR(__xludf.DUMMYFUNCTION("""COMPUTED_VALUE"""),"Alta")</f>
        <v>Alta</v>
      </c>
      <c r="K4454" s="25">
        <f ca="1">IFERROR(__xludf.DUMMYFUNCTION("""COMPUTED_VALUE"""),30)</f>
        <v>30</v>
      </c>
      <c r="L4454" s="62">
        <f ca="1">IFERROR(__xludf.DUMMYFUNCTION("""COMPUTED_VALUE"""),44757)</f>
        <v>44757</v>
      </c>
      <c r="M4454" s="25" t="str">
        <f ca="1">IFERROR(__xludf.DUMMYFUNCTION("""COMPUTED_VALUE"""),"Estas reuniones se hicieron en el 2021, en su momento se informó, este compromiso ya se había cerrado.")</f>
        <v>Estas reuniones se hicieron en el 2021, en su momento se informó, este compromiso ya se había cerrado.</v>
      </c>
      <c r="N4454" s="55">
        <f ca="1">IFERROR(__xludf.DUMMYFUNCTION("""COMPUTED_VALUE"""),44757)</f>
        <v>44757</v>
      </c>
      <c r="O4454" s="25" t="str">
        <f t="shared" ca="1" si="0"/>
        <v>Instituto de Desarrollo Urbano</v>
      </c>
      <c r="P4454" s="25" t="str">
        <f t="shared" si="2"/>
        <v/>
      </c>
      <c r="Q4454" s="25" t="str">
        <f ca="1">IFERROR(__xludf.DUMMYFUNCTION("""COMPUTED_VALUE"""),"Corto plazo")</f>
        <v>Corto plazo</v>
      </c>
      <c r="R4454" s="25"/>
      <c r="S4454" s="55"/>
      <c r="T4454" s="56"/>
      <c r="U4454" s="25"/>
      <c r="V4454" s="25"/>
      <c r="W4454" s="25"/>
      <c r="X4454" s="25"/>
      <c r="Y4454" s="25"/>
      <c r="Z4454" s="25"/>
    </row>
    <row r="4455" spans="1:26" ht="52.5" customHeight="1" x14ac:dyDescent="0.25">
      <c r="A4455" s="25" t="str">
        <f ca="1">IFERROR(__xludf.DUMMYFUNCTION("""COMPUTED_VALUE"""),"Movil253")</f>
        <v>Movil253</v>
      </c>
      <c r="B4455" s="25" t="str">
        <f ca="1">IFERROR(__xludf.DUMMYFUNCTION("""COMPUTED_VALUE"""),"Regiotram Norte")</f>
        <v>Regiotram Norte</v>
      </c>
      <c r="C4455" s="55">
        <f ca="1">IFERROR(__xludf.DUMMYFUNCTION("""COMPUTED_VALUE"""),44393)</f>
        <v>44393</v>
      </c>
      <c r="D4455" s="25" t="str">
        <f ca="1">IFERROR(__xludf.DUMMYFUNCTION("""COMPUTED_VALUE"""),"Movilidad")</f>
        <v>Movilidad</v>
      </c>
      <c r="E4455" s="25" t="str">
        <f ca="1">IFERROR(__xludf.DUMMYFUNCTION("""COMPUTED_VALUE"""),"Empresa Metro de Bogotá S.A.")</f>
        <v>Empresa Metro de Bogotá S.A.</v>
      </c>
      <c r="F4455" s="25" t="str">
        <f ca="1">IFERROR(__xludf.DUMMYFUNCTION("""COMPUTED_VALUE"""),"Se define el tramo elevado de 67 puntos. El equipo de movilidad debe definir las estaciones del trazado en Bogotá")</f>
        <v>Se define el tramo elevado de 67 puntos. El equipo de movilidad debe definir las estaciones del trazado en Bogotá</v>
      </c>
      <c r="G4455" s="25" t="str">
        <f ca="1">IFERROR(__xludf.DUMMYFUNCTION("""COMPUTED_VALUE"""),"99. Distrito")</f>
        <v>99. Distrito</v>
      </c>
      <c r="H4455" s="55">
        <f ca="1">IFERROR(__xludf.DUMMYFUNCTION("""COMPUTED_VALUE"""),44423)</f>
        <v>44423</v>
      </c>
      <c r="I4455" s="25"/>
      <c r="J4455" s="55" t="str">
        <f ca="1">IFERROR(__xludf.DUMMYFUNCTION("""COMPUTED_VALUE"""),"Alta")</f>
        <v>Alta</v>
      </c>
      <c r="K4455" s="25">
        <f ca="1">IFERROR(__xludf.DUMMYFUNCTION("""COMPUTED_VALUE"""),30)</f>
        <v>30</v>
      </c>
      <c r="L4455" s="62">
        <f ca="1">IFERROR(__xludf.DUMMYFUNCTION("""COMPUTED_VALUE"""),44895)</f>
        <v>44895</v>
      </c>
      <c r="M4455" s="25" t="str">
        <f ca="1">IFERROR(__xludf.DUMMYFUNCTION("""COMPUTED_VALUE"""),"El contrato se suspende a fin de validar los costos que tienen las alternativas a desnivel del regiotram. Hasta tanto no se defina la forma en que se desarrolle el proyecto, no se avanzan en las tareas técnicas. Se retomarán apenas se termine la suspensió"&amp;"n.  
Se define el tramo elevado de 3,7 km (67 puntos según matriz multicriterio) entre la Calle 24 - NQS. Compromiso: Revisar la ubicación de estaciones a la altura de la Calle 106, en zona de Cedritos (140) y en la Calle 163.El contrato se suspende a fi"&amp;"n de validar los costos que tienen las alternativas a desnivel del regiotram. Hasta tanto no se defina la forma en que se desarrolle el proyecto, no se avanzan en las tareas técnicas. Se retomarán apenas se termine la suspensión.")</f>
        <v>El contrato se suspende a fin de validar los costos que tienen las alternativas a desnivel del regiotram. Hasta tanto no se defina la forma en que se desarrolle el proyecto, no se avanzan en las tareas técnicas. Se retomarán apenas se termine la suspensión.  
Se define el tramo elevado de 3,7 km (67 puntos según matriz multicriterio) entre la Calle 24 - NQS. Compromiso: Revisar la ubicación de estaciones a la altura de la Calle 106, en zona de Cedritos (140) y en la Calle 163.El contrato se suspende a fin de validar los costos que tienen las alternativas a desnivel del regiotram. Hasta tanto no se defina la forma en que se desarrolle el proyecto, no se avanzan en las tareas técnicas. Se retomarán apenas se termine la suspensión.</v>
      </c>
      <c r="N4455" s="55">
        <f ca="1">IFERROR(__xludf.DUMMYFUNCTION("""COMPUTED_VALUE"""),44895)</f>
        <v>44895</v>
      </c>
      <c r="O4455" s="25" t="str">
        <f t="shared" ca="1" si="0"/>
        <v>Empresa Metro de Bogotá S.A.</v>
      </c>
      <c r="P4455" s="25" t="str">
        <f t="shared" si="2"/>
        <v/>
      </c>
      <c r="Q4455" s="25" t="str">
        <f ca="1">IFERROR(__xludf.DUMMYFUNCTION("""COMPUTED_VALUE"""),"Corto plazo")</f>
        <v>Corto plazo</v>
      </c>
      <c r="R4455" s="25"/>
      <c r="S4455" s="55"/>
      <c r="T4455" s="56"/>
      <c r="U4455" s="25"/>
      <c r="V4455" s="25"/>
      <c r="W4455" s="25"/>
      <c r="X4455" s="25"/>
      <c r="Y4455" s="25"/>
      <c r="Z4455" s="25"/>
    </row>
    <row r="4456" spans="1:26" ht="52.5" customHeight="1" x14ac:dyDescent="0.25">
      <c r="A4456" s="25" t="str">
        <f ca="1">IFERROR(__xludf.DUMMYFUNCTION("""COMPUTED_VALUE"""),"Movil254")</f>
        <v>Movil254</v>
      </c>
      <c r="B4456" s="25" t="str">
        <f ca="1">IFERROR(__xludf.DUMMYFUNCTION("""COMPUTED_VALUE"""),"Regiotram Norte")</f>
        <v>Regiotram Norte</v>
      </c>
      <c r="C4456" s="55">
        <f ca="1">IFERROR(__xludf.DUMMYFUNCTION("""COMPUTED_VALUE"""),44393)</f>
        <v>44393</v>
      </c>
      <c r="D4456" s="25" t="str">
        <f ca="1">IFERROR(__xludf.DUMMYFUNCTION("""COMPUTED_VALUE"""),"Movilidad")</f>
        <v>Movilidad</v>
      </c>
      <c r="E4456" s="25" t="str">
        <f ca="1">IFERROR(__xludf.DUMMYFUNCTION("""COMPUTED_VALUE"""),"Secretaría Distrital de Movilidad")</f>
        <v>Secretaría Distrital de Movilidad</v>
      </c>
      <c r="F4456" s="25" t="str">
        <f ca="1">IFERROR(__xludf.DUMMYFUNCTION("""COMPUTED_VALUE"""),"Revisar con Findeter cuál es el punto de pago máximo para la adición del contrato, si no es viable se hace necesario hacer un sondeo de mercado")</f>
        <v>Revisar con Findeter cuál es el punto de pago máximo para la adición del contrato, si no es viable se hace necesario hacer un sondeo de mercado</v>
      </c>
      <c r="G4456" s="25" t="str">
        <f ca="1">IFERROR(__xludf.DUMMYFUNCTION("""COMPUTED_VALUE"""),"99. Distrito")</f>
        <v>99. Distrito</v>
      </c>
      <c r="H4456" s="55">
        <f ca="1">IFERROR(__xludf.DUMMYFUNCTION("""COMPUTED_VALUE"""),44423)</f>
        <v>44423</v>
      </c>
      <c r="I4456" s="25"/>
      <c r="J4456" s="55" t="str">
        <f ca="1">IFERROR(__xludf.DUMMYFUNCTION("""COMPUTED_VALUE"""),"Alta")</f>
        <v>Alta</v>
      </c>
      <c r="K4456" s="25">
        <f ca="1">IFERROR(__xludf.DUMMYFUNCTION("""COMPUTED_VALUE"""),30)</f>
        <v>30</v>
      </c>
      <c r="L4456" s="62">
        <f ca="1">IFERROR(__xludf.DUMMYFUNCTION("""COMPUTED_VALUE"""),44657)</f>
        <v>44657</v>
      </c>
      <c r="M4456" s="25" t="str">
        <f ca="1">IFERROR(__xludf.DUMMYFUNCTION("""COMPUTED_VALUE"""),"La adición al contrato ya se realizó a través del instituto de desarrollo urbano IDU con los debidos soportes que justifican el monto de la adición. Con los recursos incluidos se considera que están los recursos suficientes para llevar la solución de movi"&amp;"lidad a nivel de factibilidad. Dado esto el contrato ya se reinició en las condiciones y con los avances presentados en reunión con la alcaldesa.")</f>
        <v>La adición al contrato ya se realizó a través del instituto de desarrollo urbano IDU con los debidos soportes que justifican el monto de la adición. Con los recursos incluidos se considera que están los recursos suficientes para llevar la solución de movilidad a nivel de factibilidad. Dado esto el contrato ya se reinició en las condiciones y con los avances presentados en reunión con la alcaldesa.</v>
      </c>
      <c r="N4456" s="55">
        <f ca="1">IFERROR(__xludf.DUMMYFUNCTION("""COMPUTED_VALUE"""),44657)</f>
        <v>44657</v>
      </c>
      <c r="O4456" s="25" t="str">
        <f t="shared" ca="1" si="0"/>
        <v>Secretaría Distrital de Movilidad</v>
      </c>
      <c r="P4456" s="25" t="str">
        <f t="shared" si="2"/>
        <v/>
      </c>
      <c r="Q4456" s="25" t="str">
        <f ca="1">IFERROR(__xludf.DUMMYFUNCTION("""COMPUTED_VALUE"""),"Corto plazo")</f>
        <v>Corto plazo</v>
      </c>
      <c r="R4456" s="25"/>
      <c r="S4456" s="55"/>
      <c r="T4456" s="56"/>
      <c r="U4456" s="25"/>
      <c r="V4456" s="25"/>
      <c r="W4456" s="25"/>
      <c r="X4456" s="25"/>
      <c r="Y4456" s="25"/>
      <c r="Z4456" s="25"/>
    </row>
    <row r="4457" spans="1:26" ht="52.5" customHeight="1" x14ac:dyDescent="0.25">
      <c r="A4457" s="25" t="str">
        <f ca="1">IFERROR(__xludf.DUMMYFUNCTION("""COMPUTED_VALUE"""),"Movil255")</f>
        <v>Movil255</v>
      </c>
      <c r="B4457" s="25" t="str">
        <f ca="1">IFERROR(__xludf.DUMMYFUNCTION("""COMPUTED_VALUE"""),"Regiotram Norte")</f>
        <v>Regiotram Norte</v>
      </c>
      <c r="C4457" s="55">
        <f ca="1">IFERROR(__xludf.DUMMYFUNCTION("""COMPUTED_VALUE"""),44393)</f>
        <v>44393</v>
      </c>
      <c r="D4457" s="25" t="str">
        <f ca="1">IFERROR(__xludf.DUMMYFUNCTION("""COMPUTED_VALUE"""),"Movilidad")</f>
        <v>Movilidad</v>
      </c>
      <c r="E4457" s="25" t="str">
        <f ca="1">IFERROR(__xludf.DUMMYFUNCTION("""COMPUTED_VALUE"""),"Empresa Metro de Bogotá S.A.")</f>
        <v>Empresa Metro de Bogotá S.A.</v>
      </c>
      <c r="F4457" s="25" t="str">
        <f ca="1">IFERROR(__xludf.DUMMYFUNCTION("""COMPUTED_VALUE"""),"Hacer un estudio de las fuentes de financiamiento propuestas por el Distrito, entre las cuales se incluye valorización de los terrenos del plan parcial del norte y el peaje de la 7ma (Entrada a Bogotá) (Si no alcanzaba sólo con la valorización).")</f>
        <v>Hacer un estudio de las fuentes de financiamiento propuestas por el Distrito, entre las cuales se incluye valorización de los terrenos del plan parcial del norte y el peaje de la 7ma (Entrada a Bogotá) (Si no alcanzaba sólo con la valorización).</v>
      </c>
      <c r="G4457" s="25" t="str">
        <f ca="1">IFERROR(__xludf.DUMMYFUNCTION("""COMPUTED_VALUE"""),"99. Distrito")</f>
        <v>99. Distrito</v>
      </c>
      <c r="H4457" s="55">
        <f ca="1">IFERROR(__xludf.DUMMYFUNCTION("""COMPUTED_VALUE"""),44423)</f>
        <v>44423</v>
      </c>
      <c r="I4457" s="25"/>
      <c r="J4457" s="55" t="str">
        <f ca="1">IFERROR(__xludf.DUMMYFUNCTION("""COMPUTED_VALUE"""),"Alta")</f>
        <v>Alta</v>
      </c>
      <c r="K4457" s="25">
        <f ca="1">IFERROR(__xludf.DUMMYFUNCTION("""COMPUTED_VALUE"""),30)</f>
        <v>30</v>
      </c>
      <c r="L4457" s="62">
        <f ca="1">IFERROR(__xludf.DUMMYFUNCTION("""COMPUTED_VALUE"""),44773)</f>
        <v>44773</v>
      </c>
      <c r="M4457" s="25" t="str">
        <f ca="1">IFERROR(__xludf.DUMMYFUNCTION("""COMPUTED_VALUE"""),"El contrato se suspende a fin de validar los costos que tienen las alternativas a desnivel del regiotram. Hasta tanto no se defina la forma en que se desarrolle el proyecto, no se avanzan en las tareas técnicas. Se retomarán apenas se termine la suspensió"&amp;"n. 
EMB: Con relación al primero (valorización), el IDU hizo el análisis desechando esa opción. En cuanto al segundo (peaje), se solicita confirmar de parte de la Alcaldía, si debe retomarse esta fuente como financiación del proyecto, dado que en la reun"&amp;"ión donde se discutió este tema, se entendió que estaba descartado.")</f>
        <v>El contrato se suspende a fin de validar los costos que tienen las alternativas a desnivel del regiotram. Hasta tanto no se defina la forma en que se desarrolle el proyecto, no se avanzan en las tareas técnicas. Se retomarán apenas se termine la suspensión. 
EMB: Con relación al primero (valorización), el IDU hizo el análisis desechando esa opción. En cuanto al segundo (peaje), se solicita confirmar de parte de la Alcaldía, si debe retomarse esta fuente como financiación del proyecto, dado que en la reunión donde se discutió este tema, se entendió que estaba descartado.</v>
      </c>
      <c r="N4457" s="55">
        <f ca="1">IFERROR(__xludf.DUMMYFUNCTION("""COMPUTED_VALUE"""),44773)</f>
        <v>44773</v>
      </c>
      <c r="O4457" s="25" t="str">
        <f t="shared" ca="1" si="0"/>
        <v>Empresa Metro de Bogotá S.A.</v>
      </c>
      <c r="P4457" s="25" t="str">
        <f t="shared" si="2"/>
        <v/>
      </c>
      <c r="Q4457" s="25" t="str">
        <f ca="1">IFERROR(__xludf.DUMMYFUNCTION("""COMPUTED_VALUE"""),"Corto plazo")</f>
        <v>Corto plazo</v>
      </c>
      <c r="R4457" s="25"/>
      <c r="S4457" s="55"/>
      <c r="T4457" s="56"/>
      <c r="U4457" s="25"/>
      <c r="V4457" s="25"/>
      <c r="W4457" s="25"/>
      <c r="X4457" s="25"/>
      <c r="Y4457" s="25"/>
      <c r="Z4457" s="25"/>
    </row>
    <row r="4458" spans="1:26" ht="52.5" customHeight="1" x14ac:dyDescent="0.25">
      <c r="A4458" s="25" t="str">
        <f ca="1">IFERROR(__xludf.DUMMYFUNCTION("""COMPUTED_VALUE"""),"Movil256")</f>
        <v>Movil256</v>
      </c>
      <c r="B4458" s="25" t="str">
        <f ca="1">IFERROR(__xludf.DUMMYFUNCTION("""COMPUTED_VALUE"""),"Parqueo en vía")</f>
        <v>Parqueo en vía</v>
      </c>
      <c r="C4458" s="55">
        <f ca="1">IFERROR(__xludf.DUMMYFUNCTION("""COMPUTED_VALUE"""),44387)</f>
        <v>44387</v>
      </c>
      <c r="D4458" s="25" t="str">
        <f ca="1">IFERROR(__xludf.DUMMYFUNCTION("""COMPUTED_VALUE"""),"Movilidad")</f>
        <v>Movilidad</v>
      </c>
      <c r="E4458" s="25" t="str">
        <f ca="1">IFERROR(__xludf.DUMMYFUNCTION("""COMPUTED_VALUE"""),"Secretaría Distrital de Movilidad")</f>
        <v>Secretaría Distrital de Movilidad</v>
      </c>
      <c r="F4458" s="25" t="str">
        <f ca="1">IFERROR(__xludf.DUMMYFUNCTION("""COMPUTED_VALUE"""),"Definir los polígonos que tengan más demanda para el establecimiento de sitios de parqueo en vía. Ejm: Alrededor del parque el Virrey, Salitre, entre otros. 
")</f>
        <v xml:space="preserve">Definir los polígonos que tengan más demanda para el establecimiento de sitios de parqueo en vía. Ejm: Alrededor del parque el Virrey, Salitre, entre otros. 
</v>
      </c>
      <c r="G4458" s="25" t="str">
        <f ca="1">IFERROR(__xludf.DUMMYFUNCTION("""COMPUTED_VALUE"""),"99. Distrito")</f>
        <v>99. Distrito</v>
      </c>
      <c r="H4458" s="55">
        <f ca="1">IFERROR(__xludf.DUMMYFUNCTION("""COMPUTED_VALUE"""),44417)</f>
        <v>44417</v>
      </c>
      <c r="I4458" s="25"/>
      <c r="J4458" s="55" t="str">
        <f ca="1">IFERROR(__xludf.DUMMYFUNCTION("""COMPUTED_VALUE"""),"Alta")</f>
        <v>Alta</v>
      </c>
      <c r="K4458" s="25">
        <f ca="1">IFERROR(__xludf.DUMMYFUNCTION("""COMPUTED_VALUE"""),30)</f>
        <v>30</v>
      </c>
      <c r="L4458" s="62">
        <f ca="1">IFERROR(__xludf.DUMMYFUNCTION("""COMPUTED_VALUE"""),44420)</f>
        <v>44420</v>
      </c>
      <c r="M4458" s="25" t="str">
        <f ca="1">IFERROR(__xludf.DUMMYFUNCTION("""COMPUTED_VALUE"""),"La zona de inicio está comprendida entre las calles 76 y la 94, entre la autopista norte y la carrera 11 
Se definieron como polígonos con mayor demanda la comprendida entre las calles 76 y la 94, entre la autopista norte y la carrera 11.")</f>
        <v>La zona de inicio está comprendida entre las calles 76 y la 94, entre la autopista norte y la carrera 11 
Se definieron como polígonos con mayor demanda la comprendida entre las calles 76 y la 94, entre la autopista norte y la carrera 11.</v>
      </c>
      <c r="N4458" s="55">
        <f ca="1">IFERROR(__xludf.DUMMYFUNCTION("""COMPUTED_VALUE"""),44420)</f>
        <v>44420</v>
      </c>
      <c r="O4458" s="25" t="str">
        <f t="shared" ca="1" si="0"/>
        <v>Secretaría Distrital de Movilidad</v>
      </c>
      <c r="P4458" s="25" t="str">
        <f t="shared" si="2"/>
        <v/>
      </c>
      <c r="Q4458" s="25" t="str">
        <f ca="1">IFERROR(__xludf.DUMMYFUNCTION("""COMPUTED_VALUE"""),"Corto plazo")</f>
        <v>Corto plazo</v>
      </c>
      <c r="R4458" s="25"/>
      <c r="S4458" s="55"/>
      <c r="T4458" s="56"/>
      <c r="U4458" s="25"/>
      <c r="V4458" s="25"/>
      <c r="W4458" s="25"/>
      <c r="X4458" s="25"/>
      <c r="Y4458" s="25"/>
      <c r="Z4458" s="25"/>
    </row>
    <row r="4459" spans="1:26" ht="52.5" customHeight="1" x14ac:dyDescent="0.25">
      <c r="A4459" s="25" t="str">
        <f ca="1">IFERROR(__xludf.DUMMYFUNCTION("""COMPUTED_VALUE"""),"Movil257")</f>
        <v>Movil257</v>
      </c>
      <c r="B4459" s="25" t="str">
        <f ca="1">IFERROR(__xludf.DUMMYFUNCTION("""COMPUTED_VALUE"""),"Parqueo en vía")</f>
        <v>Parqueo en vía</v>
      </c>
      <c r="C4459" s="55">
        <f ca="1">IFERROR(__xludf.DUMMYFUNCTION("""COMPUTED_VALUE"""),44387)</f>
        <v>44387</v>
      </c>
      <c r="D4459" s="25" t="str">
        <f ca="1">IFERROR(__xludf.DUMMYFUNCTION("""COMPUTED_VALUE"""),"Movilidad")</f>
        <v>Movilidad</v>
      </c>
      <c r="E4459" s="25" t="str">
        <f ca="1">IFERROR(__xludf.DUMMYFUNCTION("""COMPUTED_VALUE"""),"Secretaría Distrital de Movilidad")</f>
        <v>Secretaría Distrital de Movilidad</v>
      </c>
      <c r="F4459" s="25" t="str">
        <f ca="1">IFERROR(__xludf.DUMMYFUNCTION("""COMPUTED_VALUE"""),"Establecer y garantizar que la fase inicial de operación de parqueo en vía sea en los polígonos que están establecidos en expansión. Los tiempos de masificación del proyecto de parqueo en vía debe tener el sentido de urgencia, la etapa de expansión a masi"&amp;"ficación en menos de un año. ")</f>
        <v xml:space="preserve">Establecer y garantizar que la fase inicial de operación de parqueo en vía sea en los polígonos que están establecidos en expansión. Los tiempos de masificación del proyecto de parqueo en vía debe tener el sentido de urgencia, la etapa de expansión a masificación en menos de un año. </v>
      </c>
      <c r="G4459" s="25" t="str">
        <f ca="1">IFERROR(__xludf.DUMMYFUNCTION("""COMPUTED_VALUE"""),"99. Distrito")</f>
        <v>99. Distrito</v>
      </c>
      <c r="H4459" s="55">
        <f ca="1">IFERROR(__xludf.DUMMYFUNCTION("""COMPUTED_VALUE"""),44417)</f>
        <v>44417</v>
      </c>
      <c r="I4459" s="25"/>
      <c r="J4459" s="55" t="str">
        <f ca="1">IFERROR(__xludf.DUMMYFUNCTION("""COMPUTED_VALUE"""),"Alta")</f>
        <v>Alta</v>
      </c>
      <c r="K4459" s="25">
        <f ca="1">IFERROR(__xludf.DUMMYFUNCTION("""COMPUTED_VALUE"""),30)</f>
        <v>30</v>
      </c>
      <c r="L4459" s="62">
        <f ca="1">IFERROR(__xludf.DUMMYFUNCTION("""COMPUTED_VALUE"""),44454)</f>
        <v>44454</v>
      </c>
      <c r="M4459" s="25" t="str">
        <f ca="1">IFERROR(__xludf.DUMMYFUNCTION("""COMPUTED_VALUE"""),"El 14/09/2021 se le presentó a la Alcaldesa los polígonos de implementación de estacionamiento en vía, iniciando con 1.000 cupos en el 2021 y en el 2022 se llegarán a los 13.000 con un incremento de 1.000 cupos mensuales. No hubo observaciones al respecto"&amp;".")</f>
        <v>El 14/09/2021 se le presentó a la Alcaldesa los polígonos de implementación de estacionamiento en vía, iniciando con 1.000 cupos en el 2021 y en el 2022 se llegarán a los 13.000 con un incremento de 1.000 cupos mensuales. No hubo observaciones al respecto.</v>
      </c>
      <c r="N4459" s="55">
        <f ca="1">IFERROR(__xludf.DUMMYFUNCTION("""COMPUTED_VALUE"""),44454)</f>
        <v>44454</v>
      </c>
      <c r="O4459" s="25" t="str">
        <f t="shared" ca="1" si="0"/>
        <v>Secretaría Distrital de Movilidad</v>
      </c>
      <c r="P4459" s="25" t="str">
        <f t="shared" si="2"/>
        <v/>
      </c>
      <c r="Q4459" s="25" t="str">
        <f ca="1">IFERROR(__xludf.DUMMYFUNCTION("""COMPUTED_VALUE"""),"Corto plazo")</f>
        <v>Corto plazo</v>
      </c>
      <c r="R4459" s="25"/>
      <c r="S4459" s="55"/>
      <c r="T4459" s="56"/>
      <c r="U4459" s="25"/>
      <c r="V4459" s="25"/>
      <c r="W4459" s="25"/>
      <c r="X4459" s="25"/>
      <c r="Y4459" s="25"/>
      <c r="Z4459" s="25"/>
    </row>
    <row r="4460" spans="1:26" ht="52.5" customHeight="1" x14ac:dyDescent="0.25">
      <c r="A4460" s="25" t="str">
        <f ca="1">IFERROR(__xludf.DUMMYFUNCTION("""COMPUTED_VALUE"""),"Movil258")</f>
        <v>Movil258</v>
      </c>
      <c r="B4460" s="25" t="str">
        <f ca="1">IFERROR(__xludf.DUMMYFUNCTION("""COMPUTED_VALUE"""),"Estrategia peatón")</f>
        <v>Estrategia peatón</v>
      </c>
      <c r="C4460" s="55">
        <f ca="1">IFERROR(__xludf.DUMMYFUNCTION("""COMPUTED_VALUE"""),44387)</f>
        <v>44387</v>
      </c>
      <c r="D4460" s="25" t="str">
        <f ca="1">IFERROR(__xludf.DUMMYFUNCTION("""COMPUTED_VALUE"""),"Movilidad")</f>
        <v>Movilidad</v>
      </c>
      <c r="E4460" s="25" t="str">
        <f ca="1">IFERROR(__xludf.DUMMYFUNCTION("""COMPUTED_VALUE"""),"Instituto de Desarrollo Urbano")</f>
        <v>Instituto de Desarrollo Urbano</v>
      </c>
      <c r="F4460" s="25" t="str">
        <f ca="1">IFERROR(__xludf.DUMMYFUNCTION("""COMPUTED_VALUE"""),"Crear señalización propia para los andenes emergentes. El mensaje debe ser ""Andenes para la gente"" y las bolas de colores. Las cebras hay que pintarlas de blanco y")</f>
        <v>Crear señalización propia para los andenes emergentes. El mensaje debe ser "Andenes para la gente" y las bolas de colores. Las cebras hay que pintarlas de blanco y</v>
      </c>
      <c r="G4460" s="25" t="str">
        <f ca="1">IFERROR(__xludf.DUMMYFUNCTION("""COMPUTED_VALUE"""),"99. Distrito")</f>
        <v>99. Distrito</v>
      </c>
      <c r="H4460" s="55">
        <f ca="1">IFERROR(__xludf.DUMMYFUNCTION("""COMPUTED_VALUE"""),44417)</f>
        <v>44417</v>
      </c>
      <c r="I4460" s="25"/>
      <c r="J4460" s="55" t="str">
        <f ca="1">IFERROR(__xludf.DUMMYFUNCTION("""COMPUTED_VALUE"""),"Alta")</f>
        <v>Alta</v>
      </c>
      <c r="K4460" s="25">
        <f ca="1">IFERROR(__xludf.DUMMYFUNCTION("""COMPUTED_VALUE"""),30)</f>
        <v>30</v>
      </c>
      <c r="L4460" s="62">
        <f ca="1">IFERROR(__xludf.DUMMYFUNCTION("""COMPUTED_VALUE"""),44748)</f>
        <v>44748</v>
      </c>
      <c r="M4460" s="25" t="str">
        <f ca="1">IFERROR(__xludf.DUMMYFUNCTION("""COMPUTED_VALUE"""),"La UMV en la estrategia de intervenciones de UMP han realizado implementaciones en andén (Akr 7 con Calle 72 y Akr, en el espacio existente como una visión de recuperación o dignificación del andén. Como parte de las intervenciones de andenes emergentes c"&amp;"on el fin de tomar parte de la calzada para ofrecer un espacio peatonal, la SDM adelantó intervenciones en el barrio Inglés y a la fecha está en elaboración de diseños de señalización en otras puntos. Además se adelantan intervenciones en el marco de los "&amp;"proyectos Barrios Vitales.")</f>
        <v>La UMV en la estrategia de intervenciones de UMP han realizado implementaciones en andén (Akr 7 con Calle 72 y Akr, en el espacio existente como una visión de recuperación o dignificación del andén. Como parte de las intervenciones de andenes emergentes con el fin de tomar parte de la calzada para ofrecer un espacio peatonal, la SDM adelantó intervenciones en el barrio Inglés y a la fecha está en elaboración de diseños de señalización en otras puntos. Además se adelantan intervenciones en el marco de los proyectos Barrios Vitales.</v>
      </c>
      <c r="N4460" s="55">
        <f ca="1">IFERROR(__xludf.DUMMYFUNCTION("""COMPUTED_VALUE"""),44748)</f>
        <v>44748</v>
      </c>
      <c r="O4460" s="25" t="str">
        <f t="shared" ca="1" si="0"/>
        <v>Instituto de Desarrollo Urbano</v>
      </c>
      <c r="P4460" s="25" t="str">
        <f t="shared" si="2"/>
        <v/>
      </c>
      <c r="Q4460" s="25" t="str">
        <f ca="1">IFERROR(__xludf.DUMMYFUNCTION("""COMPUTED_VALUE"""),"Corto plazo")</f>
        <v>Corto plazo</v>
      </c>
      <c r="R4460" s="25"/>
      <c r="S4460" s="55"/>
      <c r="T4460" s="56"/>
      <c r="U4460" s="25"/>
      <c r="V4460" s="25"/>
      <c r="W4460" s="25"/>
      <c r="X4460" s="25"/>
      <c r="Y4460" s="25"/>
      <c r="Z4460" s="25"/>
    </row>
    <row r="4461" spans="1:26" ht="52.5" customHeight="1" x14ac:dyDescent="0.25">
      <c r="A4461" s="25" t="str">
        <f ca="1">IFERROR(__xludf.DUMMYFUNCTION("""COMPUTED_VALUE"""),"Movil259")</f>
        <v>Movil259</v>
      </c>
      <c r="B4461" s="25" t="str">
        <f ca="1">IFERROR(__xludf.DUMMYFUNCTION("""COMPUTED_VALUE"""),"Estrategia peatón")</f>
        <v>Estrategia peatón</v>
      </c>
      <c r="C4461" s="55">
        <f ca="1">IFERROR(__xludf.DUMMYFUNCTION("""COMPUTED_VALUE"""),44387)</f>
        <v>44387</v>
      </c>
      <c r="D4461" s="25" t="str">
        <f ca="1">IFERROR(__xludf.DUMMYFUNCTION("""COMPUTED_VALUE"""),"Movilidad")</f>
        <v>Movilidad</v>
      </c>
      <c r="E4461" s="25" t="str">
        <f ca="1">IFERROR(__xludf.DUMMYFUNCTION("""COMPUTED_VALUE"""),"Secretaría Distrital de Movilidad")</f>
        <v>Secretaría Distrital de Movilidad</v>
      </c>
      <c r="F4461" s="25" t="str">
        <f ca="1">IFERROR(__xludf.DUMMYFUNCTION("""COMPUTED_VALUE"""),"Hacer Calcomanías para quienes inmovilizan por estar mal parqueados")</f>
        <v>Hacer Calcomanías para quienes inmovilizan por estar mal parqueados</v>
      </c>
      <c r="G4461" s="25" t="str">
        <f ca="1">IFERROR(__xludf.DUMMYFUNCTION("""COMPUTED_VALUE"""),"99. Distrito")</f>
        <v>99. Distrito</v>
      </c>
      <c r="H4461" s="55">
        <f ca="1">IFERROR(__xludf.DUMMYFUNCTION("""COMPUTED_VALUE"""),44417)</f>
        <v>44417</v>
      </c>
      <c r="I4461" s="25"/>
      <c r="J4461" s="55" t="str">
        <f ca="1">IFERROR(__xludf.DUMMYFUNCTION("""COMPUTED_VALUE"""),"Alta")</f>
        <v>Alta</v>
      </c>
      <c r="K4461" s="25">
        <f ca="1">IFERROR(__xludf.DUMMYFUNCTION("""COMPUTED_VALUE"""),30)</f>
        <v>30</v>
      </c>
      <c r="L4461" s="62"/>
      <c r="M4461" s="25" t="str">
        <f ca="1">IFERROR(__xludf.DUMMYFUNCTION("""COMPUTED_VALUE"""),"Esta acción está realizada y hace parte de la campaña que se lanzó el 28 de marzo y que sigue activa hasta el mes de mayo. El material fue construido por las Secretarías de Movilidad y Cultura y está siendo distribuido dentro de las acciones en calle de l"&amp;"a campaña")</f>
        <v>Esta acción está realizada y hace parte de la campaña que se lanzó el 28 de marzo y que sigue activa hasta el mes de mayo. El material fue construido por las Secretarías de Movilidad y Cultura y está siendo distribuido dentro de las acciones en calle de la campaña</v>
      </c>
      <c r="N4461" s="55">
        <f ca="1">IFERROR(__xludf.DUMMYFUNCTION("""COMPUTED_VALUE"""),44927)</f>
        <v>44927</v>
      </c>
      <c r="O4461" s="25" t="str">
        <f t="shared" ca="1" si="0"/>
        <v>Secretaría Distrital de Movilidad</v>
      </c>
      <c r="P4461" s="25" t="str">
        <f t="shared" si="2"/>
        <v/>
      </c>
      <c r="Q4461" s="25" t="str">
        <f ca="1">IFERROR(__xludf.DUMMYFUNCTION("""COMPUTED_VALUE"""),"Corto plazo")</f>
        <v>Corto plazo</v>
      </c>
      <c r="R4461" s="25"/>
      <c r="S4461" s="55"/>
      <c r="T4461" s="56"/>
      <c r="U4461" s="25"/>
      <c r="V4461" s="25"/>
      <c r="W4461" s="25"/>
      <c r="X4461" s="25"/>
      <c r="Y4461" s="25"/>
      <c r="Z4461" s="25"/>
    </row>
    <row r="4462" spans="1:26" ht="52.5" customHeight="1" x14ac:dyDescent="0.25">
      <c r="A4462" s="25" t="str">
        <f ca="1">IFERROR(__xludf.DUMMYFUNCTION("""COMPUTED_VALUE"""),"Movil260")</f>
        <v>Movil260</v>
      </c>
      <c r="B4462" s="25" t="str">
        <f ca="1">IFERROR(__xludf.DUMMYFUNCTION("""COMPUTED_VALUE"""),"Recorrido Ciudad Bolívar")</f>
        <v>Recorrido Ciudad Bolívar</v>
      </c>
      <c r="C4462" s="55">
        <f ca="1">IFERROR(__xludf.DUMMYFUNCTION("""COMPUTED_VALUE"""),44385)</f>
        <v>44385</v>
      </c>
      <c r="D4462" s="25" t="str">
        <f ca="1">IFERROR(__xludf.DUMMYFUNCTION("""COMPUTED_VALUE"""),"Movilidad")</f>
        <v>Movilidad</v>
      </c>
      <c r="E4462" s="25" t="str">
        <f ca="1">IFERROR(__xludf.DUMMYFUNCTION("""COMPUTED_VALUE"""),"Secretaría Distrital de Movilidad")</f>
        <v>Secretaría Distrital de Movilidad</v>
      </c>
      <c r="F4462" s="25" t="str">
        <f ca="1">IFERROR(__xludf.DUMMYFUNCTION("""COMPUTED_VALUE"""),"Coordinar con Edil, reunión con movilidad para solucionar problemática con la semaforización de la diagonal 62")</f>
        <v>Coordinar con Edil, reunión con movilidad para solucionar problemática con la semaforización de la diagonal 62</v>
      </c>
      <c r="G4462" s="55" t="str">
        <f ca="1">IFERROR(__xludf.DUMMYFUNCTION("""COMPUTED_VALUE"""),"19. Ciudad Bolívar")</f>
        <v>19. Ciudad Bolívar</v>
      </c>
      <c r="H4462" s="55">
        <f ca="1">IFERROR(__xludf.DUMMYFUNCTION("""COMPUTED_VALUE"""),44415)</f>
        <v>44415</v>
      </c>
      <c r="I4462" s="25"/>
      <c r="J4462" s="55" t="str">
        <f ca="1">IFERROR(__xludf.DUMMYFUNCTION("""COMPUTED_VALUE"""),"Alta")</f>
        <v>Alta</v>
      </c>
      <c r="K4462" s="25">
        <f ca="1">IFERROR(__xludf.DUMMYFUNCTION("""COMPUTED_VALUE"""),30)</f>
        <v>30</v>
      </c>
      <c r="L4462" s="62">
        <f ca="1">IFERROR(__xludf.DUMMYFUNCTION("""COMPUTED_VALUE"""),44425)</f>
        <v>44425</v>
      </c>
      <c r="M4462" s="25" t="str">
        <f ca="1">IFERROR(__xludf.DUMMYFUNCTION("""COMPUTED_VALUE"""),"El 19 de julio a las 7 am se realizó visita y reunión con la alcaldía local y varios ediles para revisar el tema de la semaforización en el sector, donde se tomaron las observaciones presentadas por la comunidad y los contactos para verificar avances al f"&amp;"inal del mes de agosto
CERRADO. Si la referencia es al sector de Meissen se informa: En el mes de Abril de 2022 se modificó la intersección semaforizada en el acceso hacia el Barrio San Francisco, adecuando el espacio público y el paso peatonal para una t"&amp;"rayectoria peatonal cómoda y segura. De esta forma, se cierran las acciones realizadas en el sector de Meissen, dado que desde el año 2021 se realizó ajuste a los planes semafóricos, acciones pedagógicas enfocadas al paso peatonal por demanda, se realizó "&amp;"un traslado de paraderos del SITP redistribuyendo los y el cierre del retorno en la calle 59A Sur y Dg 62 Sur por Avenida Boyacá.")</f>
        <v>El 19 de julio a las 7 am se realizó visita y reunión con la alcaldía local y varios ediles para revisar el tema de la semaforización en el sector, donde se tomaron las observaciones presentadas por la comunidad y los contactos para verificar avances al final del mes de agosto
CERRADO. Si la referencia es al sector de Meissen se informa: En el mes de Abril de 2022 se modificó la intersección semaforizada en el acceso hacia el Barrio San Francisco, adecuando el espacio público y el paso peatonal para una trayectoria peatonal cómoda y segura. De esta forma, se cierran las acciones realizadas en el sector de Meissen, dado que desde el año 2021 se realizó ajuste a los planes semafóricos, acciones pedagógicas enfocadas al paso peatonal por demanda, se realizó un traslado de paraderos del SITP redistribuyendo los y el cierre del retorno en la calle 59A Sur y Dg 62 Sur por Avenida Boyacá.</v>
      </c>
      <c r="N4462" s="55">
        <f ca="1">IFERROR(__xludf.DUMMYFUNCTION("""COMPUTED_VALUE"""),44425)</f>
        <v>44425</v>
      </c>
      <c r="O4462" s="25" t="str">
        <f t="shared" ca="1" si="0"/>
        <v>Secretaría Distrital de Movilidad</v>
      </c>
      <c r="P4462" s="25" t="str">
        <f t="shared" si="2"/>
        <v/>
      </c>
      <c r="Q4462" s="25" t="str">
        <f ca="1">IFERROR(__xludf.DUMMYFUNCTION("""COMPUTED_VALUE"""),"Corto plazo")</f>
        <v>Corto plazo</v>
      </c>
      <c r="R4462" s="25"/>
      <c r="S4462" s="55"/>
      <c r="T4462" s="56"/>
      <c r="U4462" s="25"/>
      <c r="V4462" s="25"/>
      <c r="W4462" s="25"/>
      <c r="X4462" s="25"/>
      <c r="Y4462" s="25"/>
      <c r="Z4462" s="25"/>
    </row>
    <row r="4463" spans="1:26" ht="52.5" customHeight="1" x14ac:dyDescent="0.25">
      <c r="A4463" s="25" t="str">
        <f ca="1">IFERROR(__xludf.DUMMYFUNCTION("""COMPUTED_VALUE"""),"Movil261")</f>
        <v>Movil261</v>
      </c>
      <c r="B4463" s="25" t="str">
        <f ca="1">IFERROR(__xludf.DUMMYFUNCTION("""COMPUTED_VALUE"""),"Junta Infraestructura: Infraestructura Transmilenio")</f>
        <v>Junta Infraestructura: Infraestructura Transmilenio</v>
      </c>
      <c r="C4463" s="55">
        <f ca="1">IFERROR(__xludf.DUMMYFUNCTION("""COMPUTED_VALUE"""),44385)</f>
        <v>44385</v>
      </c>
      <c r="D4463" s="25" t="str">
        <f ca="1">IFERROR(__xludf.DUMMYFUNCTION("""COMPUTED_VALUE"""),"Movilidad")</f>
        <v>Movilidad</v>
      </c>
      <c r="E4463" s="25" t="str">
        <f ca="1">IFERROR(__xludf.DUMMYFUNCTION("""COMPUTED_VALUE"""),"Empresa de Transporte del Tercer Milenio - Transmilenio S.A.")</f>
        <v>Empresa de Transporte del Tercer Milenio - Transmilenio S.A.</v>
      </c>
      <c r="F4463" s="25" t="str">
        <f ca="1">IFERROR(__xludf.DUMMYFUNCTION("""COMPUTED_VALUE"""),"Carboquímica (Troncal): Remitir los radicados a la Alcaldía para colaborar en la gestión con las entidades y así poder avanzar en los estudios y análisis de los predios alternativos, para el decreto de existencia de motivos de utilidad pública del predio "&amp;"seleccionado. ")</f>
        <v xml:space="preserve">Carboquímica (Troncal): Remitir los radicados a la Alcaldía para colaborar en la gestión con las entidades y así poder avanzar en los estudios y análisis de los predios alternativos, para el decreto de existencia de motivos de utilidad pública del predio seleccionado. </v>
      </c>
      <c r="G4463" s="25" t="str">
        <f ca="1">IFERROR(__xludf.DUMMYFUNCTION("""COMPUTED_VALUE"""),"99. Distrito")</f>
        <v>99. Distrito</v>
      </c>
      <c r="H4463" s="55">
        <f ca="1">IFERROR(__xludf.DUMMYFUNCTION("""COMPUTED_VALUE"""),44415)</f>
        <v>44415</v>
      </c>
      <c r="I4463" s="25"/>
      <c r="J4463" s="55" t="str">
        <f ca="1">IFERROR(__xludf.DUMMYFUNCTION("""COMPUTED_VALUE"""),"Alta")</f>
        <v>Alta</v>
      </c>
      <c r="K4463" s="25">
        <f ca="1">IFERROR(__xludf.DUMMYFUNCTION("""COMPUTED_VALUE"""),30)</f>
        <v>30</v>
      </c>
      <c r="L4463" s="62">
        <f ca="1">IFERROR(__xludf.DUMMYFUNCTION("""COMPUTED_VALUE"""),44530)</f>
        <v>44530</v>
      </c>
      <c r="M4463" s="25" t="str">
        <f ca="1">IFERROR(__xludf.DUMMYFUNCTION("""COMPUTED_VALUE"""),"TRANSMILENIO S.A. presentó durante el mes de agosto el alcance a los parámetros operacionales del patio troncal de la Av. 68 con el radicado 2021-ER-13271 (IDU 20215261356492), con este insumo se evalúan las alternativas denominadas Guadalupe y Primavera "&amp;"para que en el transcurso de las próximas semanas el IDU establezca su viabilidad, y con este resultado elaborar los Documentos Técnicos de Soporte para la generación de los actos administrativos requeridos para su adquisición. El IDU se encuentra realiza"&amp;"ndo el análisis de nuevas alternativas de predios propuestos por TMSA, de tal manera que establezca el procedimiento y líneas de acción que permitan la adquisición predial en los menores plazos posibles, ya sea modificando el Decreto Distrital 305 de 2015"&amp;" o con la implementación de la Directiva 004 de 2018 por la cual se establecen las “Directrices para la expedición de actos administrativos de anuncio de proyecto, de declaratoria de la existencia de motivos de utilidad pública e interés social y de decla"&amp;"ratoria de la existencia de condiciones de urgencia.” En tal sentido una vez se cuente con el análisis y radicación de los documentos se informará a la Alcaldía para su colaboración en la gestión. 
")</f>
        <v xml:space="preserve">TRANSMILENIO S.A. presentó durante el mes de agosto el alcance a los parámetros operacionales del patio troncal de la Av. 68 con el radicado 2021-ER-13271 (IDU 20215261356492), con este insumo se evalúan las alternativas denominadas Guadalupe y Primavera para que en el transcurso de las próximas semanas el IDU establezca su viabilidad, y con este resultado elaborar los Documentos Técnicos de Soporte para la generación de los actos administrativos requeridos para su adquisición. El IDU se encuentra realizando el análisis de nuevas alternativas de predios propuestos por TMSA, de tal manera que establezca el procedimiento y líneas de acción que permitan la adquisición predial en los menores plazos posibles, ya sea modificando el Decreto Distrital 305 de 2015 o con la implementación de la Directiva 004 de 2018 por la cual se establecen las “Directrices para la expedición de actos administrativos de anuncio de proyecto, de declaratoria de la existencia de motivos de utilidad pública e interés social y de declaratoria de la existencia de condiciones de urgencia.” En tal sentido una vez se cuente con el análisis y radicación de los documentos se informará a la Alcaldía para su colaboración en la gestión. 
</v>
      </c>
      <c r="N4463" s="55">
        <f ca="1">IFERROR(__xludf.DUMMYFUNCTION("""COMPUTED_VALUE"""),44530)</f>
        <v>44530</v>
      </c>
      <c r="O4463" s="25" t="str">
        <f t="shared" ca="1" si="0"/>
        <v>Empresa de Transporte del Tercer Milenio - Transmilenio S.A.</v>
      </c>
      <c r="P4463" s="25" t="str">
        <f t="shared" si="2"/>
        <v/>
      </c>
      <c r="Q4463" s="25" t="str">
        <f ca="1">IFERROR(__xludf.DUMMYFUNCTION("""COMPUTED_VALUE"""),"Corto plazo")</f>
        <v>Corto plazo</v>
      </c>
      <c r="R4463" s="25"/>
      <c r="S4463" s="55"/>
      <c r="T4463" s="56"/>
      <c r="U4463" s="25"/>
      <c r="V4463" s="25"/>
      <c r="W4463" s="25"/>
      <c r="X4463" s="25"/>
      <c r="Y4463" s="25"/>
      <c r="Z4463" s="25"/>
    </row>
    <row r="4464" spans="1:26" ht="52.5" customHeight="1" x14ac:dyDescent="0.25">
      <c r="A4464" s="25" t="str">
        <f ca="1">IFERROR(__xludf.DUMMYFUNCTION("""COMPUTED_VALUE"""),"Movil262")</f>
        <v>Movil262</v>
      </c>
      <c r="B4464" s="25" t="str">
        <f ca="1">IFERROR(__xludf.DUMMYFUNCTION("""COMPUTED_VALUE"""),"Junta Infraestructura: Infraestructura Transmilenio")</f>
        <v>Junta Infraestructura: Infraestructura Transmilenio</v>
      </c>
      <c r="C4464" s="55">
        <f ca="1">IFERROR(__xludf.DUMMYFUNCTION("""COMPUTED_VALUE"""),44385)</f>
        <v>44385</v>
      </c>
      <c r="D4464" s="25" t="str">
        <f ca="1">IFERROR(__xludf.DUMMYFUNCTION("""COMPUTED_VALUE"""),"Movilidad")</f>
        <v>Movilidad</v>
      </c>
      <c r="E4464" s="25" t="str">
        <f ca="1">IFERROR(__xludf.DUMMYFUNCTION("""COMPUTED_VALUE"""),"Empresa de Transporte del Tercer Milenio - Transmilenio S.A.")</f>
        <v>Empresa de Transporte del Tercer Milenio - Transmilenio S.A.</v>
      </c>
      <c r="F4464" s="25" t="str">
        <f ca="1">IFERROR(__xludf.DUMMYFUNCTION("""COMPUTED_VALUE"""),"Carboquímica (Troncal): Alcaldía solicita analizar si es posible adquirir el predio y el distrito encargarse del saneamiento en el caso del predio Carboquímica")</f>
        <v>Carboquímica (Troncal): Alcaldía solicita analizar si es posible adquirir el predio y el distrito encargarse del saneamiento en el caso del predio Carboquímica</v>
      </c>
      <c r="G4464" s="25" t="str">
        <f ca="1">IFERROR(__xludf.DUMMYFUNCTION("""COMPUTED_VALUE"""),"99. Distrito")</f>
        <v>99. Distrito</v>
      </c>
      <c r="H4464" s="55">
        <f ca="1">IFERROR(__xludf.DUMMYFUNCTION("""COMPUTED_VALUE"""),44415)</f>
        <v>44415</v>
      </c>
      <c r="I4464" s="25"/>
      <c r="J4464" s="55" t="str">
        <f ca="1">IFERROR(__xludf.DUMMYFUNCTION("""COMPUTED_VALUE"""),"Alta")</f>
        <v>Alta</v>
      </c>
      <c r="K4464" s="25">
        <f ca="1">IFERROR(__xludf.DUMMYFUNCTION("""COMPUTED_VALUE"""),30)</f>
        <v>30</v>
      </c>
      <c r="L4464" s="62">
        <f ca="1">IFERROR(__xludf.DUMMYFUNCTION("""COMPUTED_VALUE"""),44468)</f>
        <v>44468</v>
      </c>
      <c r="M4464" s="25" t="str">
        <f ca="1">IFERROR(__xludf.DUMMYFUNCTION("""COMPUTED_VALUE"""),"Se considera que si no se tiene certeza del costo de los estudios es difícil adquirir la responsabilidad de descontaminación, se tendría un riesgo para el Distrito por que en este momento no es viable determinar los costos de saneamiento. Simultáneamente,"&amp;" el IDU estudia la posibilidad de concertar con los propietarios del predio Carboquímica la viabilidad de establecer los cronogramas de entrega entre las partes con el cumplimiento normativo verificado por la SDA. A la fecha esta adquisición no ha sido de"&amp;"scartada definitivamente. 
")</f>
        <v xml:space="preserve">Se considera que si no se tiene certeza del costo de los estudios es difícil adquirir la responsabilidad de descontaminación, se tendría un riesgo para el Distrito por que en este momento no es viable determinar los costos de saneamiento. Simultáneamente, el IDU estudia la posibilidad de concertar con los propietarios del predio Carboquímica la viabilidad de establecer los cronogramas de entrega entre las partes con el cumplimiento normativo verificado por la SDA. A la fecha esta adquisición no ha sido descartada definitivamente. 
</v>
      </c>
      <c r="N4464" s="55">
        <f ca="1">IFERROR(__xludf.DUMMYFUNCTION("""COMPUTED_VALUE"""),44468)</f>
        <v>44468</v>
      </c>
      <c r="O4464" s="25" t="str">
        <f t="shared" ca="1" si="0"/>
        <v>Empresa de Transporte del Tercer Milenio - Transmilenio S.A.</v>
      </c>
      <c r="P4464" s="25" t="str">
        <f t="shared" si="2"/>
        <v/>
      </c>
      <c r="Q4464" s="25" t="str">
        <f ca="1">IFERROR(__xludf.DUMMYFUNCTION("""COMPUTED_VALUE"""),"Corto plazo")</f>
        <v>Corto plazo</v>
      </c>
      <c r="R4464" s="25"/>
      <c r="S4464" s="55"/>
      <c r="T4464" s="56"/>
      <c r="U4464" s="25"/>
      <c r="V4464" s="25"/>
      <c r="W4464" s="25"/>
      <c r="X4464" s="25"/>
      <c r="Y4464" s="25"/>
      <c r="Z4464" s="25"/>
    </row>
    <row r="4465" spans="1:26" ht="52.5" customHeight="1" x14ac:dyDescent="0.25">
      <c r="A4465" s="25" t="str">
        <f ca="1">IFERROR(__xludf.DUMMYFUNCTION("""COMPUTED_VALUE"""),"Movil263")</f>
        <v>Movil263</v>
      </c>
      <c r="B4465" s="25" t="str">
        <f ca="1">IFERROR(__xludf.DUMMYFUNCTION("""COMPUTED_VALUE"""),"Junta Infraestructura: Infraestructura Transmilenio")</f>
        <v>Junta Infraestructura: Infraestructura Transmilenio</v>
      </c>
      <c r="C4465" s="55">
        <f ca="1">IFERROR(__xludf.DUMMYFUNCTION("""COMPUTED_VALUE"""),44385)</f>
        <v>44385</v>
      </c>
      <c r="D4465" s="25" t="str">
        <f ca="1">IFERROR(__xludf.DUMMYFUNCTION("""COMPUTED_VALUE"""),"Movilidad")</f>
        <v>Movilidad</v>
      </c>
      <c r="E4465" s="25" t="str">
        <f ca="1">IFERROR(__xludf.DUMMYFUNCTION("""COMPUTED_VALUE"""),"Empresa de Transporte del Tercer Milenio - Transmilenio S.A.")</f>
        <v>Empresa de Transporte del Tercer Milenio - Transmilenio S.A.</v>
      </c>
      <c r="F4465" s="25" t="str">
        <f ca="1">IFERROR(__xludf.DUMMYFUNCTION("""COMPUTED_VALUE"""),"Laguna 2 (Troncal): remitir la priorización de necesidades que requieren apoyo y gestión. En caso de requerirse, como por ejemplo con la inspección de policía para recibir el inmueble. ")</f>
        <v xml:space="preserve">Laguna 2 (Troncal): remitir la priorización de necesidades que requieren apoyo y gestión. En caso de requerirse, como por ejemplo con la inspección de policía para recibir el inmueble. </v>
      </c>
      <c r="G4465" s="25" t="str">
        <f ca="1">IFERROR(__xludf.DUMMYFUNCTION("""COMPUTED_VALUE"""),"99. Distrito")</f>
        <v>99. Distrito</v>
      </c>
      <c r="H4465" s="55">
        <f ca="1">IFERROR(__xludf.DUMMYFUNCTION("""COMPUTED_VALUE"""),44415)</f>
        <v>44415</v>
      </c>
      <c r="I4465" s="25"/>
      <c r="J4465" s="55" t="str">
        <f ca="1">IFERROR(__xludf.DUMMYFUNCTION("""COMPUTED_VALUE"""),"Alta")</f>
        <v>Alta</v>
      </c>
      <c r="K4465" s="25">
        <f ca="1">IFERROR(__xludf.DUMMYFUNCTION("""COMPUTED_VALUE"""),30)</f>
        <v>30</v>
      </c>
      <c r="L4465" s="62">
        <f ca="1">IFERROR(__xludf.DUMMYFUNCTION("""COMPUTED_VALUE"""),44575)</f>
        <v>44575</v>
      </c>
      <c r="M4465" s="25" t="str">
        <f ca="1">IFERROR(__xludf.DUMMYFUNCTION("""COMPUTED_VALUE"""),"El día 29 de julio 2021, en reunión con comunidad, el IDU mencionó que la diligencia policiva sería para el dia 23 agosto por parte de inspección alcaldía local e IDU. Se solicita apoyo para que se haga efectiva. Concejal Rolando González a favor de la co"&amp;"munidad, preservación de canchas para escuelas deportivas. Se necesita trabajo interinstitucional con IDU-SDP-IDRD-TMSA-SDM y Concejal, entre otras para definir viabilidad de la implementación de la Infraestructura de Soporte – patio con usos de recreació"&amp;"n (canchas) desde lo jurídico, normativo, financiero, social etc. Para comunicarle claramente a la comunidad. tener en cuenta la suspensión del decreto 555 de 2021 se deberá adelantar trámite ante la SDP para que emita concepto sobre la viabilidad de inco"&amp;"rporar un área de uso deportivo con el fin de adelantar reunión con la comunidad sobre la configuración del proyecto 
Laguna II. Gestión y concertación con el concejal Rolando González y la Comunidad del Barrio San Vicente Ferrer, para evaluar la viabili"&amp;"dad jurídica, normativa, técnica y social de la posible cesión de 2000 m2, en comodato a DADEP o IDRD, para la implantación de una infraestructura deportiva en el predio denominado Laguna II, destinado para la infraestructura de transporte del SITP, a fin"&amp;" de atender los requerimientos de la comunidad.  El comodato estaría a cargo del IDU con el DADEP o IDRD. Se están adelantando reuniones entre IDU, IDRD, SDP (adelantada el 16 de septiembre 2021), y próximamente incluyendo al DADEP (24 de septiembre de 20"&amp;"21) con el fin de viabilizar la localización de un área recreativa de aproximadamente 2000 m2 inmersa en el predio Laguna II. Esta área recreativa se proyecta en función a la solicitud de la comunidad en diferentes reuniones presenciales y virtuales. 
Pr"&amp;"óximamente es posible surja la necesidad de concertar una reunión interinstitucional con el cuerpo directivo para la toma de decisión (directivos de TMSA, IDRD, SDP, IDU, DADEP) Gestiones adelantadas desde Sts, en predio Laguna 2 
En 2019, TMSA elaboró l"&amp;"os Parámetros operacionales para el desarrollo de los estudios técnicos de prefactibilidad, factibilidad y diseños 
En 2020 elaboración de la prefactibilidad por IDU con análisis de 3 alternativas
Durante 2020 y 2021 numerosas reuniones con comunidad, l"&amp;"íderes comunitarios, JAL, políticos (concejales) y con las entidades distritales para escuchar las necesidades de la comunidad y como desde lo normativo y técnico se puede considerar esas peticiones en el desarrollo del proyecto
Se han programado en 4 op"&amp;"ortunidades el proceso de diligencia policiva por parte del idu, sin obtener éxito ya que la comunidad y los políticos (cerca de 5 concejales)  impiden ese proceso 
Sin embargo, la dirección de taller del espacio público de la Sdp, manifestó el 16 de no"&amp;"viembre que ese concepto no era oficial ni unificado como sdp, por lo que en este momento se encuentran estudiando y desarrollando el concepto oficial como entidad, con el cual TMSA espera que se defina definitivamente si una parte del predio se puede ced"&amp;"er para un uso recreativo 
Con este concepto, TMSA, daría directrices en cuanto a la mejor alternativa viable para el proyecto.  se realizó reunión con secretaria de planeación quien va a conceptuar la viabilidad de contemplar un área del predio para act"&amp;"ividades deportivas, con este concepto el IDU propondrá alternativas de diseño del patio con un espacio deportivo que serán socializadas con la comunidad con lo cual esperamos que no haya necesidad de realizar acciones policivas
Durante septiembre, octubr"&amp;"e y noviembre 2021, Tmsa logró con la SDP tener  un concepto de la dirección de análisis jurídicos de sdp, donde en términos generales expresan que el predio no se puede destinar una parte del mismo, a otro uso (recreativo) diferente al de infraestructura"&amp;" de soporte del SITP tener en cuenta la suspensión del decreto 555 de 2021 se deberá adelantar trámite ante la SDP para que emita concepto sobre la viabilidad de incorporar un área de uso deportivo con el fin de adelantar reunión con la comunidad sobre la"&amp;" configuración del proyecto ")</f>
        <v xml:space="preserve">El día 29 de julio 2021, en reunión con comunidad, el IDU mencionó que la diligencia policiva sería para el dia 23 agosto por parte de inspección alcaldía local e IDU. Se solicita apoyo para que se haga efectiva. Concejal Rolando González a favor de la comunidad, preservación de canchas para escuelas deportivas. Se necesita trabajo interinstitucional con IDU-SDP-IDRD-TMSA-SDM y Concejal, entre otras para definir viabilidad de la implementación de la Infraestructura de Soporte – patio con usos de recreación (canchas) desde lo jurídico, normativo, financiero, social etc. Para comunicarle claramente a la comunidad. tener en cuenta la suspensión del decreto 555 de 2021 se deberá adelantar trámite ante la SDP para que emita concepto sobre la viabilidad de incorporar un área de uso deportivo con el fin de adelantar reunión con la comunidad sobre la configuración del proyecto 
Laguna II. Gestión y concertación con el concejal Rolando González y la Comunidad del Barrio San Vicente Ferrer, para evaluar la viabilidad jurídica, normativa, técnica y social de la posible cesión de 2000 m2, en comodato a DADEP o IDRD, para la implantación de una infraestructura deportiva en el predio denominado Laguna II, destinado para la infraestructura de transporte del SITP, a fin de atender los requerimientos de la comunidad.  El comodato estaría a cargo del IDU con el DADEP o IDRD. Se están adelantando reuniones entre IDU, IDRD, SDP (adelantada el 16 de septiembre 2021), y próximamente incluyendo al DADEP (24 de septiembre de 2021) con el fin de viabilizar la localización de un área recreativa de aproximadamente 2000 m2 inmersa en el predio Laguna II. Esta área recreativa se proyecta en función a la solicitud de la comunidad en diferentes reuniones presenciales y virtuales. 
Próximamente es posible surja la necesidad de concertar una reunión interinstitucional con el cuerpo directivo para la toma de decisión (directivos de TMSA, IDRD, SDP, IDU, DADEP) Gestiones adelantadas desde Sts, en predio Laguna 2 
En 2019, TMSA elaboró los Parámetros operacionales para el desarrollo de los estudios técnicos de prefactibilidad, factibilidad y diseños 
En 2020 elaboración de la prefactibilidad por IDU con análisis de 3 alternativas
Durante 2020 y 2021 numerosas reuniones con comunidad, líderes comunitarios, JAL, políticos (concejales) y con las entidades distritales para escuchar las necesidades de la comunidad y como desde lo normativo y técnico se puede considerar esas peticiones en el desarrollo del proyecto
Se han programado en 4 oportunidades el proceso de diligencia policiva por parte del idu, sin obtener éxito ya que la comunidad y los políticos (cerca de 5 concejales)  impiden ese proceso 
Sin embargo, la dirección de taller del espacio público de la Sdp, manifestó el 16 de noviembre que ese concepto no era oficial ni unificado como sdp, por lo que en este momento se encuentran estudiando y desarrollando el concepto oficial como entidad, con el cual TMSA espera que se defina definitivamente si una parte del predio se puede ceder para un uso recreativo 
Con este concepto, TMSA, daría directrices en cuanto a la mejor alternativa viable para el proyecto.  se realizó reunión con secretaria de planeación quien va a conceptuar la viabilidad de contemplar un área del predio para actividades deportivas, con este concepto el IDU propondrá alternativas de diseño del patio con un espacio deportivo que serán socializadas con la comunidad con lo cual esperamos que no haya necesidad de realizar acciones policivas
Durante septiembre, octubre y noviembre 2021, Tmsa logró con la SDP tener  un concepto de la dirección de análisis jurídicos de sdp, donde en términos generales expresan que el predio no se puede destinar una parte del mismo, a otro uso (recreativo) diferente al de infraestructura de soporte del SITP tener en cuenta la suspensión del decreto 555 de 2021 se deberá adelantar trámite ante la SDP para que emita concepto sobre la viabilidad de incorporar un área de uso deportivo con el fin de adelantar reunión con la comunidad sobre la configuración del proyecto </v>
      </c>
      <c r="N4465" s="55">
        <f ca="1">IFERROR(__xludf.DUMMYFUNCTION("""COMPUTED_VALUE"""),44575)</f>
        <v>44575</v>
      </c>
      <c r="O4465" s="25" t="str">
        <f t="shared" ca="1" si="0"/>
        <v>Empresa de Transporte del Tercer Milenio - Transmilenio S.A.</v>
      </c>
      <c r="P4465" s="25" t="str">
        <f t="shared" si="2"/>
        <v/>
      </c>
      <c r="Q4465" s="25" t="str">
        <f ca="1">IFERROR(__xludf.DUMMYFUNCTION("""COMPUTED_VALUE"""),"Corto plazo")</f>
        <v>Corto plazo</v>
      </c>
      <c r="R4465" s="25"/>
      <c r="S4465" s="55"/>
      <c r="T4465" s="56"/>
      <c r="U4465" s="25"/>
      <c r="V4465" s="25"/>
      <c r="W4465" s="25"/>
      <c r="X4465" s="25"/>
      <c r="Y4465" s="25"/>
      <c r="Z4465" s="25"/>
    </row>
    <row r="4466" spans="1:26" ht="52.5" customHeight="1" x14ac:dyDescent="0.25">
      <c r="A4466" s="25" t="str">
        <f ca="1">IFERROR(__xludf.DUMMYFUNCTION("""COMPUTED_VALUE"""),"Movil264")</f>
        <v>Movil264</v>
      </c>
      <c r="B4466" s="25" t="str">
        <f ca="1">IFERROR(__xludf.DUMMYFUNCTION("""COMPUTED_VALUE"""),"Junta Infraestructura: Infraestructura Transmilenio")</f>
        <v>Junta Infraestructura: Infraestructura Transmilenio</v>
      </c>
      <c r="C4466" s="55">
        <f ca="1">IFERROR(__xludf.DUMMYFUNCTION("""COMPUTED_VALUE"""),44385)</f>
        <v>44385</v>
      </c>
      <c r="D4466" s="25" t="str">
        <f ca="1">IFERROR(__xludf.DUMMYFUNCTION("""COMPUTED_VALUE"""),"Movilidad")</f>
        <v>Movilidad</v>
      </c>
      <c r="E4466" s="25" t="str">
        <f ca="1">IFERROR(__xludf.DUMMYFUNCTION("""COMPUTED_VALUE"""),"Empresa de Transporte del Tercer Milenio - Transmilenio S.A.")</f>
        <v>Empresa de Transporte del Tercer Milenio - Transmilenio S.A.</v>
      </c>
      <c r="F4466" s="25" t="str">
        <f ca="1">IFERROR(__xludf.DUMMYFUNCTION("""COMPUTED_VALUE"""),"Patio Troncal de la Cali (Soacha): Transmilenio solicita a la Junta de Infraestructura programar reunión específica de este proyecto incluyendo puente Tibanica, patio y y troncal. Con alineación del Distrito se procede a reunión con alcalde y gobernador.")</f>
        <v>Patio Troncal de la Cali (Soacha): Transmilenio solicita a la Junta de Infraestructura programar reunión específica de este proyecto incluyendo puente Tibanica, patio y y troncal. Con alineación del Distrito se procede a reunión con alcalde y gobernador.</v>
      </c>
      <c r="G4466" s="25" t="str">
        <f ca="1">IFERROR(__xludf.DUMMYFUNCTION("""COMPUTED_VALUE"""),"99. Distrito")</f>
        <v>99. Distrito</v>
      </c>
      <c r="H4466" s="55">
        <f ca="1">IFERROR(__xludf.DUMMYFUNCTION("""COMPUTED_VALUE"""),44545)</f>
        <v>44545</v>
      </c>
      <c r="I4466" s="25"/>
      <c r="J4466" s="55" t="str">
        <f ca="1">IFERROR(__xludf.DUMMYFUNCTION("""COMPUTED_VALUE"""),"Media")</f>
        <v>Media</v>
      </c>
      <c r="K4466" s="25">
        <f ca="1">IFERROR(__xludf.DUMMYFUNCTION("""COMPUTED_VALUE"""),160)</f>
        <v>160</v>
      </c>
      <c r="L4466" s="62">
        <f ca="1">IFERROR(__xludf.DUMMYFUNCTION("""COMPUTED_VALUE"""),44978)</f>
        <v>44978</v>
      </c>
      <c r="M4466" s="25" t="str">
        <f ca="1">IFERROR(__xludf.DUMMYFUNCTION("""COMPUTED_VALUE"""),"Tramite POT Soacha para disponibilidad del predio:
El 24 de julio de 2022 el municipio de Soacha radicó el POT ante la CAR.
El 23 de enero de 2023 la CAR convocó al municipio a realizar la primera mesa de concertación relacionada con las consideraciones "&amp;"ambientales para POT Soacha
El trámite está a cargo del Municipio de Soacha. Una vez se cuente con la aprobación del POT de Soacha, se procedera a revisar con Amarilo el predio que tiene contemplado ceder para patio de TM, sujeto a la formulación del Plan"&amp;" Parcial de Ciudad verde")</f>
        <v>Tramite POT Soacha para disponibilidad del predio:
El 24 de julio de 2022 el municipio de Soacha radicó el POT ante la CAR.
El 23 de enero de 2023 la CAR convocó al municipio a realizar la primera mesa de concertación relacionada con las consideraciones ambientales para POT Soacha
El trámite está a cargo del Municipio de Soacha. Una vez se cuente con la aprobación del POT de Soacha, se procedera a revisar con Amarilo el predio que tiene contemplado ceder para patio de TM, sujeto a la formulación del Plan Parcial de Ciudad verde</v>
      </c>
      <c r="N4466" s="55">
        <f ca="1">IFERROR(__xludf.DUMMYFUNCTION("""COMPUTED_VALUE"""),44949)</f>
        <v>44949</v>
      </c>
      <c r="O4466" s="25" t="str">
        <f t="shared" ca="1" si="0"/>
        <v>Empresa de Transporte del Tercer Milenio - Transmilenio S.A.</v>
      </c>
      <c r="P4466" s="25" t="str">
        <f t="shared" si="2"/>
        <v/>
      </c>
      <c r="Q4466" s="25" t="str">
        <f ca="1">IFERROR(__xludf.DUMMYFUNCTION("""COMPUTED_VALUE"""),"Mediano plazo")</f>
        <v>Mediano plazo</v>
      </c>
      <c r="R4466" s="25"/>
      <c r="S4466" s="55"/>
      <c r="T4466" s="56"/>
      <c r="U4466" s="25"/>
      <c r="V4466" s="25"/>
      <c r="W4466" s="25"/>
      <c r="X4466" s="25"/>
      <c r="Y4466" s="25"/>
      <c r="Z4466" s="25"/>
    </row>
    <row r="4467" spans="1:26" ht="52.5" customHeight="1" x14ac:dyDescent="0.25">
      <c r="A4467" s="25" t="str">
        <f ca="1">IFERROR(__xludf.DUMMYFUNCTION("""COMPUTED_VALUE"""),"Movil265")</f>
        <v>Movil265</v>
      </c>
      <c r="B4467" s="25" t="str">
        <f ca="1">IFERROR(__xludf.DUMMYFUNCTION("""COMPUTED_VALUE"""),"Junta Infraestructura: Infraestructura Transmilenio")</f>
        <v>Junta Infraestructura: Infraestructura Transmilenio</v>
      </c>
      <c r="C4467" s="55">
        <f ca="1">IFERROR(__xludf.DUMMYFUNCTION("""COMPUTED_VALUE"""),44385)</f>
        <v>44385</v>
      </c>
      <c r="D4467" s="25" t="str">
        <f ca="1">IFERROR(__xludf.DUMMYFUNCTION("""COMPUTED_VALUE"""),"Movilidad")</f>
        <v>Movilidad</v>
      </c>
      <c r="E4467" s="25" t="str">
        <f ca="1">IFERROR(__xludf.DUMMYFUNCTION("""COMPUTED_VALUE"""),"Empresa de Transporte del Tercer Milenio - Transmilenio S.A.")</f>
        <v>Empresa de Transporte del Tercer Milenio - Transmilenio S.A.</v>
      </c>
      <c r="F4467" s="25" t="str">
        <f ca="1">IFERROR(__xludf.DUMMYFUNCTION("""COMPUTED_VALUE"""),"Patios Temporales Norte: Se solicita a TM que en cuanto tengan radicados para el comodato, remitirlos a la Alcaldía para colaborar en la gestión con las entidades.")</f>
        <v>Patios Temporales Norte: Se solicita a TM que en cuanto tengan radicados para el comodato, remitirlos a la Alcaldía para colaborar en la gestión con las entidades.</v>
      </c>
      <c r="G4467" s="25" t="str">
        <f ca="1">IFERROR(__xludf.DUMMYFUNCTION("""COMPUTED_VALUE"""),"99. Distrito")</f>
        <v>99. Distrito</v>
      </c>
      <c r="H4467" s="55">
        <f ca="1">IFERROR(__xludf.DUMMYFUNCTION("""COMPUTED_VALUE"""),44415)</f>
        <v>44415</v>
      </c>
      <c r="I4467" s="25"/>
      <c r="J4467" s="55" t="str">
        <f ca="1">IFERROR(__xludf.DUMMYFUNCTION("""COMPUTED_VALUE"""),"Alta")</f>
        <v>Alta</v>
      </c>
      <c r="K4467" s="25">
        <f ca="1">IFERROR(__xludf.DUMMYFUNCTION("""COMPUTED_VALUE"""),30)</f>
        <v>30</v>
      </c>
      <c r="L4467" s="62">
        <f ca="1">IFERROR(__xludf.DUMMYFUNCTION("""COMPUTED_VALUE"""),44468)</f>
        <v>44468</v>
      </c>
      <c r="M4467" s="25" t="str">
        <f ca="1">IFERROR(__xludf.DUMMYFUNCTION("""COMPUTED_VALUE"""),"El 30 de junio de 2021 se realizó prórroga con del contrato de comodato hasta el 30 de diciembre, con el fin de complementar el concepto faltante de la SDP para el nuevo comodato por un plazo estimado de 4 años y medio. El 30 de junio de 2021 se realizó p"&amp;"rórroga con DADEP del contrato de comodato hasta el 30 de diciembre, con el fin de complementar el concepto faltante de la SDP para el nuevo comodato por un plazo estimado de 4 años y medio. Se solicita apoyo con la SDP con la remisión de concepto de no o"&amp;"bjeción para el nuevo comodato por un plazo estimado de 4 años y medio.")</f>
        <v>El 30 de junio de 2021 se realizó prórroga con del contrato de comodato hasta el 30 de diciembre, con el fin de complementar el concepto faltante de la SDP para el nuevo comodato por un plazo estimado de 4 años y medio. El 30 de junio de 2021 se realizó prórroga con DADEP del contrato de comodato hasta el 30 de diciembre, con el fin de complementar el concepto faltante de la SDP para el nuevo comodato por un plazo estimado de 4 años y medio. Se solicita apoyo con la SDP con la remisión de concepto de no objeción para el nuevo comodato por un plazo estimado de 4 años y medio.</v>
      </c>
      <c r="N4467" s="55">
        <f ca="1">IFERROR(__xludf.DUMMYFUNCTION("""COMPUTED_VALUE"""),44468)</f>
        <v>44468</v>
      </c>
      <c r="O4467" s="25" t="str">
        <f t="shared" ca="1" si="0"/>
        <v>Empresa de Transporte del Tercer Milenio - Transmilenio S.A.</v>
      </c>
      <c r="P4467" s="25" t="str">
        <f t="shared" si="2"/>
        <v/>
      </c>
      <c r="Q4467" s="25" t="str">
        <f ca="1">IFERROR(__xludf.DUMMYFUNCTION("""COMPUTED_VALUE"""),"Corto plazo")</f>
        <v>Corto plazo</v>
      </c>
      <c r="R4467" s="25"/>
      <c r="S4467" s="55"/>
      <c r="T4467" s="56"/>
      <c r="U4467" s="25"/>
      <c r="V4467" s="25"/>
      <c r="W4467" s="25"/>
      <c r="X4467" s="25"/>
      <c r="Y4467" s="25"/>
      <c r="Z4467" s="25"/>
    </row>
    <row r="4468" spans="1:26" ht="52.5" customHeight="1" x14ac:dyDescent="0.25">
      <c r="A4468" s="25" t="str">
        <f ca="1">IFERROR(__xludf.DUMMYFUNCTION("""COMPUTED_VALUE"""),"Movil266")</f>
        <v>Movil266</v>
      </c>
      <c r="B4468" s="25" t="str">
        <f ca="1">IFERROR(__xludf.DUMMYFUNCTION("""COMPUTED_VALUE"""),"Junta Infraestructura: Infraestructura Transmilenio")</f>
        <v>Junta Infraestructura: Infraestructura Transmilenio</v>
      </c>
      <c r="C4468" s="55">
        <f ca="1">IFERROR(__xludf.DUMMYFUNCTION("""COMPUTED_VALUE"""),44385)</f>
        <v>44385</v>
      </c>
      <c r="D4468" s="25" t="str">
        <f ca="1">IFERROR(__xludf.DUMMYFUNCTION("""COMPUTED_VALUE"""),"Movilidad")</f>
        <v>Movilidad</v>
      </c>
      <c r="E4468" s="25" t="str">
        <f ca="1">IFERROR(__xludf.DUMMYFUNCTION("""COMPUTED_VALUE"""),"Instituto de Desarrollo Urbano")</f>
        <v>Instituto de Desarrollo Urbano</v>
      </c>
      <c r="F4468" s="25" t="str">
        <f ca="1">IFERROR(__xludf.DUMMYFUNCTION("""COMPUTED_VALUE"""),"Troncales Alimentadoras:  IDU confirmar si recibieron de parte del DADEP la respuesta del urbanizador para determinar cómo quedaron zonas de cesión según licencia de saneamiento.")</f>
        <v>Troncales Alimentadoras:  IDU confirmar si recibieron de parte del DADEP la respuesta del urbanizador para determinar cómo quedaron zonas de cesión según licencia de saneamiento.</v>
      </c>
      <c r="G4468" s="25" t="str">
        <f ca="1">IFERROR(__xludf.DUMMYFUNCTION("""COMPUTED_VALUE"""),"99. Distrito")</f>
        <v>99. Distrito</v>
      </c>
      <c r="H4468" s="55">
        <f ca="1">IFERROR(__xludf.DUMMYFUNCTION("""COMPUTED_VALUE"""),44415)</f>
        <v>44415</v>
      </c>
      <c r="I4468" s="25"/>
      <c r="J4468" s="55" t="str">
        <f ca="1">IFERROR(__xludf.DUMMYFUNCTION("""COMPUTED_VALUE"""),"Alta")</f>
        <v>Alta</v>
      </c>
      <c r="K4468" s="25">
        <f ca="1">IFERROR(__xludf.DUMMYFUNCTION("""COMPUTED_VALUE"""),30)</f>
        <v>30</v>
      </c>
      <c r="L4468" s="62">
        <f ca="1">IFERROR(__xludf.DUMMYFUNCTION("""COMPUTED_VALUE"""),44893)</f>
        <v>44893</v>
      </c>
      <c r="M4468" s="25" t="str">
        <f ca="1">IFERROR(__xludf.DUMMYFUNCTION("""COMPUTED_VALUE"""),"CERRADO: Se recibió por parte del DADEP")</f>
        <v>CERRADO: Se recibió por parte del DADEP</v>
      </c>
      <c r="N4468" s="55">
        <f ca="1">IFERROR(__xludf.DUMMYFUNCTION("""COMPUTED_VALUE"""),44893)</f>
        <v>44893</v>
      </c>
      <c r="O4468" s="25" t="str">
        <f t="shared" ca="1" si="0"/>
        <v>Instituto de Desarrollo Urbano</v>
      </c>
      <c r="P4468" s="25" t="str">
        <f t="shared" si="2"/>
        <v/>
      </c>
      <c r="Q4468" s="25" t="str">
        <f ca="1">IFERROR(__xludf.DUMMYFUNCTION("""COMPUTED_VALUE"""),"Corto plazo")</f>
        <v>Corto plazo</v>
      </c>
      <c r="R4468" s="25"/>
      <c r="S4468" s="55"/>
      <c r="T4468" s="56"/>
      <c r="U4468" s="25"/>
      <c r="V4468" s="25"/>
      <c r="W4468" s="25"/>
      <c r="X4468" s="25"/>
      <c r="Y4468" s="25"/>
      <c r="Z4468" s="25"/>
    </row>
    <row r="4469" spans="1:26" ht="52.5" customHeight="1" x14ac:dyDescent="0.25">
      <c r="A4469" s="25" t="str">
        <f ca="1">IFERROR(__xludf.DUMMYFUNCTION("""COMPUTED_VALUE"""),"Movil267")</f>
        <v>Movil267</v>
      </c>
      <c r="B4469" s="25" t="str">
        <f ca="1">IFERROR(__xludf.DUMMYFUNCTION("""COMPUTED_VALUE"""),"Junta Infraestructura: Infraestructura Transmilenio")</f>
        <v>Junta Infraestructura: Infraestructura Transmilenio</v>
      </c>
      <c r="C4469" s="55">
        <f ca="1">IFERROR(__xludf.DUMMYFUNCTION("""COMPUTED_VALUE"""),44385)</f>
        <v>44385</v>
      </c>
      <c r="D4469" s="25" t="str">
        <f ca="1">IFERROR(__xludf.DUMMYFUNCTION("""COMPUTED_VALUE"""),"Movilidad")</f>
        <v>Movilidad</v>
      </c>
      <c r="E4469" s="25" t="str">
        <f ca="1">IFERROR(__xludf.DUMMYFUNCTION("""COMPUTED_VALUE"""),"Instituto de Desarrollo Urbano")</f>
        <v>Instituto de Desarrollo Urbano</v>
      </c>
      <c r="F4469" s="25" t="str">
        <f ca="1">IFERROR(__xludf.DUMMYFUNCTION("""COMPUTED_VALUE"""),"Troncales Alimentadoras: gestionar con la SDG para avanzar ágilmente con la inspección de policía referente al predio la primavera para la restitución.")</f>
        <v>Troncales Alimentadoras: gestionar con la SDG para avanzar ágilmente con la inspección de policía referente al predio la primavera para la restitución.</v>
      </c>
      <c r="G4469" s="25" t="str">
        <f ca="1">IFERROR(__xludf.DUMMYFUNCTION("""COMPUTED_VALUE"""),"99. Distrito")</f>
        <v>99. Distrito</v>
      </c>
      <c r="H4469" s="55">
        <f ca="1">IFERROR(__xludf.DUMMYFUNCTION("""COMPUTED_VALUE"""),44415)</f>
        <v>44415</v>
      </c>
      <c r="I4469" s="25"/>
      <c r="J4469" s="55" t="str">
        <f ca="1">IFERROR(__xludf.DUMMYFUNCTION("""COMPUTED_VALUE"""),"Alta")</f>
        <v>Alta</v>
      </c>
      <c r="K4469" s="25">
        <f ca="1">IFERROR(__xludf.DUMMYFUNCTION("""COMPUTED_VALUE"""),30)</f>
        <v>30</v>
      </c>
      <c r="L4469" s="62">
        <f ca="1">IFERROR(__xludf.DUMMYFUNCTION("""COMPUTED_VALUE"""),44776)</f>
        <v>44776</v>
      </c>
      <c r="M4469" s="25" t="str">
        <f ca="1">IFERROR(__xludf.DUMMYFUNCTION("""COMPUTED_VALUE"""),"
EEl proceso de restitución correspondiente  al predio identificado con el RT 50119 ubicado en la en la Calle 75 BIS SUR 78C - 34, folio de matrícula inmobiliaria No. 50S-40313915, CHIP AAA0173DOUZ y con los números de RUPI (2476-26 y 2474-34).
El pred"&amp;"io en mención hace parte del Desarrollo Urbanístico la primavera legalizado mediante Resolución número 0444 del 31 diciembre de 1997 la cual indica en su Artículo 2o, DESTINO DE LAS ÁREAS UBICADAS EN LOS BARRIOS OBJETO DE LA PRESENTE REGLAMENTACIÓN QUE PE"&amp;"RTENECEN AL PRIMER NIVEL DE ZONIFICACION Y SU PROHIBICION DE SER URBANIZADAS Numeral 2” Las zonas de reserva para las afectaciones del Plan Vial Arterial, en particular la Avenida Cundinamarca, Avenida Tintal, Avenida ciudad de Cali...”
Conforme a lo a"&amp;"nterior el predio se encuentra incluido como bien de Uso Público en el Inventario General de Espacio Público y Bienes Fiscales del Sector Central del Distrito Capital a cargo del Departamento Administrativo de la Defensoría del Espacio Público, motivo por"&amp;" el cual cursó proceso policivo ante la inspección 7A de Policía de la Alcaldía Local de Bosa bajo el número de expediente 2020573490121635E. 
Mediante sentencia de fecha 24-03-2022 se ordenó la restitución del predio al Distrito en el término de un me"&amp;"s contado a partir de la feha de la sentencia, es decir el predio debía ser restituido de manera voluntaria a mas tardar el 24 de abril de 2022. El propietario del predio interpuso recurso de apelación en contra de la sentencia que ordenó la restitución, "&amp;"recurso que fue resuelto el día 29 de abril de 2022 por parte de la Secretaria Distrital de Gobierno, Dirección para la Gestión Administrativa Especial de Policía revocando la desición de primera instancia. 
Conforme a lo anterior DADEP solicitó a la S"&amp;"DG iniciar nuevamente al proceso de restitución del inmueble para lo cual se asignó al Inspector 20 AP de Policia. Mediante oficio RAD 20223251194151 del 21-06-2022 el Director Geenral del IDU solicito al DADEP dar prioridad al proceso de restitución del "&amp;"inmueble; de igual forma mediate OFICIO RAD DADEP 20223010090731 del 24-06-2022 el DADEP solciito a la SDG dar prioridad al proceso de restitución ante la inspecciones de policia de atención prioritaria. 
En tal sentido se señalo como fecha para realiz"&amp;"ar la primera audiencia dentro del proceso de restitución adelantado por el DADEP el día jueves 4 de agosto de 2022. ")</f>
        <v xml:space="preserve">
EEl proceso de restitución correspondiente  al predio identificado con el RT 50119 ubicado en la en la Calle 75 BIS SUR 78C - 34, folio de matrícula inmobiliaria No. 50S-40313915, CHIP AAA0173DOUZ y con los números de RUPI (2476-26 y 2474-34).
El predio en mención hace parte del Desarrollo Urbanístico la primavera legalizado mediante Resolución número 0444 del 31 diciembre de 1997 la cual indica en su Artículo 2o, DESTINO DE LAS ÁREAS UBICADAS EN LOS BARRIOS OBJETO DE LA PRESENTE REGLAMENTACIÓN QUE PERTENECEN AL PRIMER NIVEL DE ZONIFICACION Y SU PROHIBICION DE SER URBANIZADAS Numeral 2” Las zonas de reserva para las afectaciones del Plan Vial Arterial, en particular la Avenida Cundinamarca, Avenida Tintal, Avenida ciudad de Cali...”
Conforme a lo anterior el predio se encuentra incluido como bien de Uso Público en el Inventario General de Espacio Público y Bienes Fiscales del Sector Central del Distrito Capital a cargo del Departamento Administrativo de la Defensoría del Espacio Público, motivo por el cual cursó proceso policivo ante la inspección 7A de Policía de la Alcaldía Local de Bosa bajo el número de expediente 2020573490121635E. 
Mediante sentencia de fecha 24-03-2022 se ordenó la restitución del predio al Distrito en el término de un mes contado a partir de la feha de la sentencia, es decir el predio debía ser restituido de manera voluntaria a mas tardar el 24 de abril de 2022. El propietario del predio interpuso recurso de apelación en contra de la sentencia que ordenó la restitución, recurso que fue resuelto el día 29 de abril de 2022 por parte de la Secretaria Distrital de Gobierno, Dirección para la Gestión Administrativa Especial de Policía revocando la desición de primera instancia. 
Conforme a lo anterior DADEP solicitó a la SDG iniciar nuevamente al proceso de restitución del inmueble para lo cual se asignó al Inspector 20 AP de Policia. Mediante oficio RAD 20223251194151 del 21-06-2022 el Director Geenral del IDU solicito al DADEP dar prioridad al proceso de restitución del inmueble; de igual forma mediate OFICIO RAD DADEP 20223010090731 del 24-06-2022 el DADEP solciito a la SDG dar prioridad al proceso de restitución ante la inspecciones de policia de atención prioritaria. 
En tal sentido se señalo como fecha para realizar la primera audiencia dentro del proceso de restitución adelantado por el DADEP el día jueves 4 de agosto de 2022. </v>
      </c>
      <c r="N4469" s="55">
        <f ca="1">IFERROR(__xludf.DUMMYFUNCTION("""COMPUTED_VALUE"""),44776)</f>
        <v>44776</v>
      </c>
      <c r="O4469" s="25" t="str">
        <f t="shared" ca="1" si="0"/>
        <v>Instituto de Desarrollo Urbano</v>
      </c>
      <c r="P4469" s="25" t="str">
        <f t="shared" si="2"/>
        <v/>
      </c>
      <c r="Q4469" s="25" t="str">
        <f ca="1">IFERROR(__xludf.DUMMYFUNCTION("""COMPUTED_VALUE"""),"Corto plazo")</f>
        <v>Corto plazo</v>
      </c>
      <c r="R4469" s="25"/>
      <c r="S4469" s="55"/>
      <c r="T4469" s="56"/>
      <c r="U4469" s="25"/>
      <c r="V4469" s="25"/>
      <c r="W4469" s="25"/>
      <c r="X4469" s="25"/>
      <c r="Y4469" s="25"/>
      <c r="Z4469" s="25"/>
    </row>
    <row r="4470" spans="1:26" ht="52.5" customHeight="1" x14ac:dyDescent="0.25">
      <c r="A4470" s="25" t="str">
        <f ca="1">IFERROR(__xludf.DUMMYFUNCTION("""COMPUTED_VALUE"""),"Movil268")</f>
        <v>Movil268</v>
      </c>
      <c r="B4470" s="25" t="str">
        <f ca="1">IFERROR(__xludf.DUMMYFUNCTION("""COMPUTED_VALUE"""),"Junta Infraestructura: Infraestructura Transmilenio")</f>
        <v>Junta Infraestructura: Infraestructura Transmilenio</v>
      </c>
      <c r="C4470" s="55">
        <f ca="1">IFERROR(__xludf.DUMMYFUNCTION("""COMPUTED_VALUE"""),44385)</f>
        <v>44385</v>
      </c>
      <c r="D4470" s="25" t="str">
        <f ca="1">IFERROR(__xludf.DUMMYFUNCTION("""COMPUTED_VALUE"""),"Movilidad")</f>
        <v>Movilidad</v>
      </c>
      <c r="E4470" s="25" t="str">
        <f ca="1">IFERROR(__xludf.DUMMYFUNCTION("""COMPUTED_VALUE"""),"Instituto de Desarrollo Urbano")</f>
        <v>Instituto de Desarrollo Urbano</v>
      </c>
      <c r="F4470" s="25" t="str">
        <f ca="1">IFERROR(__xludf.DUMMYFUNCTION("""COMPUTED_VALUE"""),"Troncales Alimentadoras: Remitir la priorización de los procesos con ocasión de los proyectos estratégicos de la ciudad para proceder a la gestión de su parte, en especial, referente a  la restitución del predio del salón comunal tintalito. ")</f>
        <v xml:space="preserve">Troncales Alimentadoras: Remitir la priorización de los procesos con ocasión de los proyectos estratégicos de la ciudad para proceder a la gestión de su parte, en especial, referente a  la restitución del predio del salón comunal tintalito. </v>
      </c>
      <c r="G4470" s="25" t="str">
        <f ca="1">IFERROR(__xludf.DUMMYFUNCTION("""COMPUTED_VALUE"""),"99. Distrito")</f>
        <v>99. Distrito</v>
      </c>
      <c r="H4470" s="55">
        <f ca="1">IFERROR(__xludf.DUMMYFUNCTION("""COMPUTED_VALUE"""),44415)</f>
        <v>44415</v>
      </c>
      <c r="I4470" s="25"/>
      <c r="J4470" s="55" t="str">
        <f ca="1">IFERROR(__xludf.DUMMYFUNCTION("""COMPUTED_VALUE"""),"Alta")</f>
        <v>Alta</v>
      </c>
      <c r="K4470" s="25">
        <f ca="1">IFERROR(__xludf.DUMMYFUNCTION("""COMPUTED_VALUE"""),30)</f>
        <v>30</v>
      </c>
      <c r="L4470" s="62">
        <f ca="1">IFERROR(__xludf.DUMMYFUNCTION("""COMPUTED_VALUE"""),44530)</f>
        <v>44530</v>
      </c>
      <c r="M4470" s="25" t="str">
        <f ca="1">IFERROR(__xludf.DUMMYFUNCTION("""COMPUTED_VALUE"""),"Con relación al RT 50258, en noviembre 4 de 2021, se expidió la Resolución de Oferta 5956 respecto de las mejoras, toda vez que el predio es del Distrito Capital. Esta oferta se encuentra en términos de aceptación, plazo que se cumple el próximo 27 de dic"&amp;"iembre de la presente vigencia.  De otra parte, se remitió oficio al DADEP con radicado IDU  20213251745141 del 21-11-2021 (Rad. DADEP 20214000243112), comunicando a dicha entidad la actuación adelantada por el IDU con relación al inmueble, situación que "&amp;"igualmente fue informada al IDPAC mediante radicado IDU 20213251780241 del 29-11-2021.   Frente  a la restitución,  el IDU, en razón a la competencia misional, no ha adquirido compromiso de entrega de un inmueble a la Junta de Acción Comunal para el funci"&amp;"onamiento del Salón Comunal.")</f>
        <v>Con relación al RT 50258, en noviembre 4 de 2021, se expidió la Resolución de Oferta 5956 respecto de las mejoras, toda vez que el predio es del Distrito Capital. Esta oferta se encuentra en términos de aceptación, plazo que se cumple el próximo 27 de diciembre de la presente vigencia.  De otra parte, se remitió oficio al DADEP con radicado IDU  20213251745141 del 21-11-2021 (Rad. DADEP 20214000243112), comunicando a dicha entidad la actuación adelantada por el IDU con relación al inmueble, situación que igualmente fue informada al IDPAC mediante radicado IDU 20213251780241 del 29-11-2021.   Frente  a la restitución,  el IDU, en razón a la competencia misional, no ha adquirido compromiso de entrega de un inmueble a la Junta de Acción Comunal para el funcionamiento del Salón Comunal.</v>
      </c>
      <c r="N4470" s="55">
        <f ca="1">IFERROR(__xludf.DUMMYFUNCTION("""COMPUTED_VALUE"""),44530)</f>
        <v>44530</v>
      </c>
      <c r="O4470" s="25" t="str">
        <f t="shared" ca="1" si="0"/>
        <v>Instituto de Desarrollo Urbano</v>
      </c>
      <c r="P4470" s="25" t="str">
        <f t="shared" si="2"/>
        <v/>
      </c>
      <c r="Q4470" s="25" t="str">
        <f ca="1">IFERROR(__xludf.DUMMYFUNCTION("""COMPUTED_VALUE"""),"Corto plazo")</f>
        <v>Corto plazo</v>
      </c>
      <c r="R4470" s="25"/>
      <c r="S4470" s="55"/>
      <c r="T4470" s="56"/>
      <c r="U4470" s="25"/>
      <c r="V4470" s="25"/>
      <c r="W4470" s="25"/>
      <c r="X4470" s="25"/>
      <c r="Y4470" s="25"/>
      <c r="Z4470" s="25"/>
    </row>
    <row r="4471" spans="1:26" ht="52.5" customHeight="1" x14ac:dyDescent="0.25">
      <c r="A4471" s="25" t="str">
        <f ca="1">IFERROR(__xludf.DUMMYFUNCTION("""COMPUTED_VALUE"""),"Movil269")</f>
        <v>Movil269</v>
      </c>
      <c r="B4471" s="25" t="str">
        <f ca="1">IFERROR(__xludf.DUMMYFUNCTION("""COMPUTED_VALUE"""),"Junta Infraestructura: Infraestructura Transmilenio")</f>
        <v>Junta Infraestructura: Infraestructura Transmilenio</v>
      </c>
      <c r="C4471" s="55">
        <f ca="1">IFERROR(__xludf.DUMMYFUNCTION("""COMPUTED_VALUE"""),44385)</f>
        <v>44385</v>
      </c>
      <c r="D4471" s="25" t="str">
        <f ca="1">IFERROR(__xludf.DUMMYFUNCTION("""COMPUTED_VALUE"""),"Movilidad")</f>
        <v>Movilidad</v>
      </c>
      <c r="E4471" s="25" t="str">
        <f ca="1">IFERROR(__xludf.DUMMYFUNCTION("""COMPUTED_VALUE"""),"Empresa de Transporte del Tercer Milenio - Transmilenio S.A.")</f>
        <v>Empresa de Transporte del Tercer Milenio - Transmilenio S.A.</v>
      </c>
      <c r="F4471" s="25" t="str">
        <f ca="1">IFERROR(__xludf.DUMMYFUNCTION("""COMPUTED_VALUE"""),"Organizar reunión para el plan parcial del pedregal, citando a SDP, SDM, TM, EAAB, alcaldía local, SDG. El objetivo es definir la posición del Distrito y esquema para poder presionar al promotor del proyecto con el cronograma de sus intervenciones.")</f>
        <v>Organizar reunión para el plan parcial del pedregal, citando a SDP, SDM, TM, EAAB, alcaldía local, SDG. El objetivo es definir la posición del Distrito y esquema para poder presionar al promotor del proyecto con el cronograma de sus intervenciones.</v>
      </c>
      <c r="G4471" s="25" t="str">
        <f ca="1">IFERROR(__xludf.DUMMYFUNCTION("""COMPUTED_VALUE"""),"99. Distrito")</f>
        <v>99. Distrito</v>
      </c>
      <c r="H4471" s="55">
        <f ca="1">IFERROR(__xludf.DUMMYFUNCTION("""COMPUTED_VALUE"""),44415)</f>
        <v>44415</v>
      </c>
      <c r="I4471" s="25"/>
      <c r="J4471" s="55" t="str">
        <f ca="1">IFERROR(__xludf.DUMMYFUNCTION("""COMPUTED_VALUE"""),"Alta")</f>
        <v>Alta</v>
      </c>
      <c r="K4471" s="25">
        <f ca="1">IFERROR(__xludf.DUMMYFUNCTION("""COMPUTED_VALUE"""),30)</f>
        <v>30</v>
      </c>
      <c r="L4471" s="62">
        <f ca="1">IFERROR(__xludf.DUMMYFUNCTION("""COMPUTED_VALUE"""),44403)</f>
        <v>44403</v>
      </c>
      <c r="M4471" s="64" t="str">
        <f ca="1">IFERROR(__xludf.DUMMYFUNCTION("""COMPUTED_VALUE"""),"Se adelantó reunión citada por la junta de infraestructura el día 19 de julio para articular con las entidades involucradas. Se acordó realizar reunión técnica para precisar alternativas y riesgos. Con base en esto se proyecta organizar reunión para abord"&amp;"ar el tema con la alcaldesa")</f>
        <v>Se adelantó reunión citada por la junta de infraestructura el día 19 de julio para articular con las entidades involucradas. Se acordó realizar reunión técnica para precisar alternativas y riesgos. Con base en esto se proyecta organizar reunión para abordar el tema con la alcaldesa</v>
      </c>
      <c r="N4471" s="55">
        <f ca="1">IFERROR(__xludf.DUMMYFUNCTION("""COMPUTED_VALUE"""),44403)</f>
        <v>44403</v>
      </c>
      <c r="O4471" s="25" t="str">
        <f t="shared" ca="1" si="0"/>
        <v>Empresa de Transporte del Tercer Milenio - Transmilenio S.A.</v>
      </c>
      <c r="P4471" s="25" t="str">
        <f t="shared" si="2"/>
        <v/>
      </c>
      <c r="Q4471" s="25" t="str">
        <f ca="1">IFERROR(__xludf.DUMMYFUNCTION("""COMPUTED_VALUE"""),"Corto plazo")</f>
        <v>Corto plazo</v>
      </c>
      <c r="R4471" s="25"/>
      <c r="S4471" s="55"/>
      <c r="T4471" s="56"/>
      <c r="U4471" s="25"/>
      <c r="V4471" s="25"/>
      <c r="W4471" s="25"/>
      <c r="X4471" s="25"/>
      <c r="Y4471" s="25"/>
      <c r="Z4471" s="25"/>
    </row>
    <row r="4472" spans="1:26" ht="52.5" customHeight="1" x14ac:dyDescent="0.25">
      <c r="A4472" s="25" t="str">
        <f ca="1">IFERROR(__xludf.DUMMYFUNCTION("""COMPUTED_VALUE"""),"Movil270")</f>
        <v>Movil270</v>
      </c>
      <c r="B4472" s="25" t="str">
        <f ca="1">IFERROR(__xludf.DUMMYFUNCTION("""COMPUTED_VALUE"""),"Junta Infraestructura: Infraestructura Transmilenio")</f>
        <v>Junta Infraestructura: Infraestructura Transmilenio</v>
      </c>
      <c r="C4472" s="55">
        <f ca="1">IFERROR(__xludf.DUMMYFUNCTION("""COMPUTED_VALUE"""),44385)</f>
        <v>44385</v>
      </c>
      <c r="D4472" s="25" t="str">
        <f ca="1">IFERROR(__xludf.DUMMYFUNCTION("""COMPUTED_VALUE"""),"Movilidad")</f>
        <v>Movilidad</v>
      </c>
      <c r="E4472" s="25" t="str">
        <f ca="1">IFERROR(__xludf.DUMMYFUNCTION("""COMPUTED_VALUE"""),"Instituto de Desarrollo Urbano")</f>
        <v>Instituto de Desarrollo Urbano</v>
      </c>
      <c r="F4472" s="25" t="str">
        <f ca="1">IFERROR(__xludf.DUMMYFUNCTION("""COMPUTED_VALUE"""),"Ampliación estaciones:  tener cuadro que permita ver cómo se ha movido el cronograma contratado con el de entrega de las estaciones. ")</f>
        <v xml:space="preserve">Ampliación estaciones:  tener cuadro que permita ver cómo se ha movido el cronograma contratado con el de entrega de las estaciones. </v>
      </c>
      <c r="G4472" s="25" t="str">
        <f ca="1">IFERROR(__xludf.DUMMYFUNCTION("""COMPUTED_VALUE"""),"99. Distrito")</f>
        <v>99. Distrito</v>
      </c>
      <c r="H4472" s="55">
        <f ca="1">IFERROR(__xludf.DUMMYFUNCTION("""COMPUTED_VALUE"""),44415)</f>
        <v>44415</v>
      </c>
      <c r="I4472" s="25"/>
      <c r="J4472" s="55" t="str">
        <f ca="1">IFERROR(__xludf.DUMMYFUNCTION("""COMPUTED_VALUE"""),"Alta")</f>
        <v>Alta</v>
      </c>
      <c r="K4472" s="25">
        <f ca="1">IFERROR(__xludf.DUMMYFUNCTION("""COMPUTED_VALUE"""),30)</f>
        <v>30</v>
      </c>
      <c r="L4472" s="62">
        <f ca="1">IFERROR(__xludf.DUMMYFUNCTION("""COMPUTED_VALUE"""),44420)</f>
        <v>44420</v>
      </c>
      <c r="M4472" s="25" t="str">
        <f ca="1">IFERROR(__xludf.DUMMYFUNCTION("""COMPUTED_VALUE"""),"Se ajusta el cuadro. https://docs.google.com/spreadsheets/d/1F8QcehPWJxRAz54xz49sttyVwYC1SNgW/edit?usp=sharing&amp;ouid=108934598525045992981&amp;rtpof=true&amp;sd=true")</f>
        <v>Se ajusta el cuadro. https://docs.google.com/spreadsheets/d/1F8QcehPWJxRAz54xz49sttyVwYC1SNgW/edit?usp=sharing&amp;ouid=108934598525045992981&amp;rtpof=true&amp;sd=true</v>
      </c>
      <c r="N4472" s="55">
        <f ca="1">IFERROR(__xludf.DUMMYFUNCTION("""COMPUTED_VALUE"""),44420)</f>
        <v>44420</v>
      </c>
      <c r="O4472" s="25" t="str">
        <f t="shared" ca="1" si="0"/>
        <v>Instituto de Desarrollo Urbano</v>
      </c>
      <c r="P4472" s="25" t="str">
        <f t="shared" si="2"/>
        <v/>
      </c>
      <c r="Q4472" s="25" t="str">
        <f ca="1">IFERROR(__xludf.DUMMYFUNCTION("""COMPUTED_VALUE"""),"Corto plazo")</f>
        <v>Corto plazo</v>
      </c>
      <c r="R4472" s="25"/>
      <c r="S4472" s="55"/>
      <c r="T4472" s="56"/>
      <c r="U4472" s="25"/>
      <c r="V4472" s="25"/>
      <c r="W4472" s="25"/>
      <c r="X4472" s="25"/>
      <c r="Y4472" s="25"/>
      <c r="Z4472" s="25"/>
    </row>
    <row r="4473" spans="1:26" ht="52.5" customHeight="1" x14ac:dyDescent="0.25">
      <c r="A4473" s="25" t="str">
        <f ca="1">IFERROR(__xludf.DUMMYFUNCTION("""COMPUTED_VALUE"""),"Movil271")</f>
        <v>Movil271</v>
      </c>
      <c r="B4473" s="25" t="str">
        <f ca="1">IFERROR(__xludf.DUMMYFUNCTION("""COMPUTED_VALUE"""),"Lagos de torca")</f>
        <v>Lagos de torca</v>
      </c>
      <c r="C4473" s="55">
        <f ca="1">IFERROR(__xludf.DUMMYFUNCTION("""COMPUTED_VALUE"""),44383)</f>
        <v>44383</v>
      </c>
      <c r="D4473" s="25" t="str">
        <f ca="1">IFERROR(__xludf.DUMMYFUNCTION("""COMPUTED_VALUE"""),"Movilidad")</f>
        <v>Movilidad</v>
      </c>
      <c r="E4473" s="25" t="str">
        <f ca="1">IFERROR(__xludf.DUMMYFUNCTION("""COMPUTED_VALUE"""),"Instituto de Desarrollo Urbano")</f>
        <v>Instituto de Desarrollo Urbano</v>
      </c>
      <c r="F4473" s="25" t="str">
        <f ca="1">IFERROR(__xludf.DUMMYFUNCTION("""COMPUTED_VALUE"""),"Definir si la gestión predial que se debe hacer para los senderos del IDRD la debe hacer el Acueducto o el IDU, y adelantar dicha gestión")</f>
        <v>Definir si la gestión predial que se debe hacer para los senderos del IDRD la debe hacer el Acueducto o el IDU, y adelantar dicha gestión</v>
      </c>
      <c r="G4473" s="25" t="str">
        <f ca="1">IFERROR(__xludf.DUMMYFUNCTION("""COMPUTED_VALUE"""),"99. Distrito")</f>
        <v>99. Distrito</v>
      </c>
      <c r="H4473" s="55">
        <f ca="1">IFERROR(__xludf.DUMMYFUNCTION("""COMPUTED_VALUE"""),44413)</f>
        <v>44413</v>
      </c>
      <c r="I4473" s="25"/>
      <c r="J4473" s="55" t="str">
        <f ca="1">IFERROR(__xludf.DUMMYFUNCTION("""COMPUTED_VALUE"""),"Alta")</f>
        <v>Alta</v>
      </c>
      <c r="K4473" s="25">
        <f ca="1">IFERROR(__xludf.DUMMYFUNCTION("""COMPUTED_VALUE"""),30)</f>
        <v>30</v>
      </c>
      <c r="L4473" s="62">
        <f ca="1">IFERROR(__xludf.DUMMYFUNCTION("""COMPUTED_VALUE"""),44456)</f>
        <v>44456</v>
      </c>
      <c r="M4473" s="25" t="str">
        <f ca="1">IFERROR(__xludf.DUMMYFUNCTION("""COMPUTED_VALUE"""),"Se realizaron reuniones con el IDRD y Lagos de Torca, y se determinó que la comunicación de la cicloruta se realizará a través de la Av. Boyacá hasta la calle 170, luego tomarán la cicloruta de la 170 y empalmar con la intersección de la Av. Cota con la c"&amp;"arrera 92.  El proyecto del IDRD empalmara esta intersección y ejecutará el diseño por el costado sur de la Quebrada la Salitrosa hasta el humedal de la Conejera. Los predios de este tramo los adquirirá el Acueducto.")</f>
        <v>Se realizaron reuniones con el IDRD y Lagos de Torca, y se determinó que la comunicación de la cicloruta se realizará a través de la Av. Boyacá hasta la calle 170, luego tomarán la cicloruta de la 170 y empalmar con la intersección de la Av. Cota con la carrera 92.  El proyecto del IDRD empalmara esta intersección y ejecutará el diseño por el costado sur de la Quebrada la Salitrosa hasta el humedal de la Conejera. Los predios de este tramo los adquirirá el Acueducto.</v>
      </c>
      <c r="N4473" s="55">
        <f ca="1">IFERROR(__xludf.DUMMYFUNCTION("""COMPUTED_VALUE"""),44456)</f>
        <v>44456</v>
      </c>
      <c r="O4473" s="25" t="str">
        <f t="shared" ca="1" si="0"/>
        <v>Instituto de Desarrollo Urbano</v>
      </c>
      <c r="P4473" s="25" t="str">
        <f t="shared" si="2"/>
        <v/>
      </c>
      <c r="Q4473" s="25" t="str">
        <f ca="1">IFERROR(__xludf.DUMMYFUNCTION("""COMPUTED_VALUE"""),"Corto plazo")</f>
        <v>Corto plazo</v>
      </c>
      <c r="R4473" s="25"/>
      <c r="S4473" s="55"/>
      <c r="T4473" s="56"/>
      <c r="U4473" s="25"/>
      <c r="V4473" s="25"/>
      <c r="W4473" s="25"/>
      <c r="X4473" s="25"/>
      <c r="Y4473" s="25"/>
      <c r="Z4473" s="25"/>
    </row>
    <row r="4474" spans="1:26" ht="52.5" customHeight="1" x14ac:dyDescent="0.25">
      <c r="A4474" s="25" t="str">
        <f ca="1">IFERROR(__xludf.DUMMYFUNCTION("""COMPUTED_VALUE"""),"Movil272")</f>
        <v>Movil272</v>
      </c>
      <c r="B4474" s="25" t="str">
        <f ca="1">IFERROR(__xludf.DUMMYFUNCTION("""COMPUTED_VALUE"""),"Recorrido San Cristóbal")</f>
        <v>Recorrido San Cristóbal</v>
      </c>
      <c r="C4474" s="55">
        <f ca="1">IFERROR(__xludf.DUMMYFUNCTION("""COMPUTED_VALUE"""),44374)</f>
        <v>44374</v>
      </c>
      <c r="D4474" s="25" t="str">
        <f ca="1">IFERROR(__xludf.DUMMYFUNCTION("""COMPUTED_VALUE"""),"Movilidad")</f>
        <v>Movilidad</v>
      </c>
      <c r="E4474" s="25" t="str">
        <f ca="1">IFERROR(__xludf.DUMMYFUNCTION("""COMPUTED_VALUE"""),"Instituto de Desarrollo Urbano")</f>
        <v>Instituto de Desarrollo Urbano</v>
      </c>
      <c r="F4474" s="25" t="str">
        <f ca="1">IFERROR(__xludf.DUMMYFUNCTION("""COMPUTED_VALUE"""),"Definir la viabilidad de construir el tramo de la Avenida Primera de Mayo que atraviesa la localidad, y que ya cuenta con estudios y diseños.")</f>
        <v>Definir la viabilidad de construir el tramo de la Avenida Primera de Mayo que atraviesa la localidad, y que ya cuenta con estudios y diseños.</v>
      </c>
      <c r="G4474" s="55" t="str">
        <f ca="1">IFERROR(__xludf.DUMMYFUNCTION("""COMPUTED_VALUE"""),"04. San Cristóbal")</f>
        <v>04. San Cristóbal</v>
      </c>
      <c r="H4474" s="55">
        <f ca="1">IFERROR(__xludf.DUMMYFUNCTION("""COMPUTED_VALUE"""),44404)</f>
        <v>44404</v>
      </c>
      <c r="I4474" s="25"/>
      <c r="J4474" s="55" t="str">
        <f ca="1">IFERROR(__xludf.DUMMYFUNCTION("""COMPUTED_VALUE"""),"Alta")</f>
        <v>Alta</v>
      </c>
      <c r="K4474" s="25">
        <f ca="1">IFERROR(__xludf.DUMMYFUNCTION("""COMPUTED_VALUE"""),30)</f>
        <v>30</v>
      </c>
      <c r="L4474" s="62">
        <f ca="1">IFERROR(__xludf.DUMMYFUNCTION("""COMPUTED_VALUE"""),44421)</f>
        <v>44421</v>
      </c>
      <c r="M4474" s="25" t="str">
        <f ca="1">IFERROR(__xludf.DUMMYFUNCTION("""COMPUTED_VALUE"""),"Este proyecto cuenta con línea de intervención, derivado del contrato 1361 de 2017 que emitió la factibilidad del proyecto al igual que los estudios y diseños para el tramo de la Avenida Primero de Mayo desde la carrera 3 este hasta la calle 11 sur. 
S"&amp;"in embargo, conforme a la decisión tomada por la Dirección General y el equipo directivo del IDU, justificado en la priorización de recursos apropiados en la vigencia 2023, en los tiempos, fases existentes y las decisiones estratégicas se priorizaron las "&amp;"actividades de adquisición predial del Cable Aéreo San Cristóbal y el componente de revitalización.
")</f>
        <v xml:space="preserve">Este proyecto cuenta con línea de intervención, derivado del contrato 1361 de 2017 que emitió la factibilidad del proyecto al igual que los estudios y diseños para el tramo de la Avenida Primero de Mayo desde la carrera 3 este hasta la calle 11 sur. 
Sin embargo, conforme a la decisión tomada por la Dirección General y el equipo directivo del IDU, justificado en la priorización de recursos apropiados en la vigencia 2023, en los tiempos, fases existentes y las decisiones estratégicas se priorizaron las actividades de adquisición predial del Cable Aéreo San Cristóbal y el componente de revitalización.
</v>
      </c>
      <c r="N4474" s="55">
        <f ca="1">IFERROR(__xludf.DUMMYFUNCTION("""COMPUTED_VALUE"""),44421)</f>
        <v>44421</v>
      </c>
      <c r="O4474" s="25" t="str">
        <f t="shared" ca="1" si="0"/>
        <v>Instituto de Desarrollo Urbano</v>
      </c>
      <c r="P4474" s="25" t="str">
        <f t="shared" si="2"/>
        <v/>
      </c>
      <c r="Q4474" s="25" t="str">
        <f ca="1">IFERROR(__xludf.DUMMYFUNCTION("""COMPUTED_VALUE"""),"Corto plazo")</f>
        <v>Corto plazo</v>
      </c>
      <c r="R4474" s="25"/>
      <c r="S4474" s="55"/>
      <c r="T4474" s="56"/>
      <c r="U4474" s="25"/>
      <c r="V4474" s="25"/>
      <c r="W4474" s="25"/>
      <c r="X4474" s="25"/>
      <c r="Y4474" s="25"/>
      <c r="Z4474" s="25"/>
    </row>
    <row r="4475" spans="1:26" ht="52.5" customHeight="1" x14ac:dyDescent="0.25">
      <c r="A4475" s="25" t="str">
        <f ca="1">IFERROR(__xludf.DUMMYFUNCTION("""COMPUTED_VALUE"""),"Movil273")</f>
        <v>Movil273</v>
      </c>
      <c r="B4475" s="25" t="str">
        <f ca="1">IFERROR(__xludf.DUMMYFUNCTION("""COMPUTED_VALUE"""),"Recorrido San Cristóbal")</f>
        <v>Recorrido San Cristóbal</v>
      </c>
      <c r="C4475" s="55">
        <f ca="1">IFERROR(__xludf.DUMMYFUNCTION("""COMPUTED_VALUE"""),44373)</f>
        <v>44373</v>
      </c>
      <c r="D4475" s="25" t="str">
        <f ca="1">IFERROR(__xludf.DUMMYFUNCTION("""COMPUTED_VALUE"""),"Movilidad")</f>
        <v>Movilidad</v>
      </c>
      <c r="E4475" s="25" t="str">
        <f ca="1">IFERROR(__xludf.DUMMYFUNCTION("""COMPUTED_VALUE"""),"Secretaría Distrital de Movilidad")</f>
        <v>Secretaría Distrital de Movilidad</v>
      </c>
      <c r="F4475" s="25" t="str">
        <f ca="1">IFERROR(__xludf.DUMMYFUNCTION("""COMPUTED_VALUE"""),"Evitar que particulares utilicen el sector de Guacamayas 1,2 y 3 como parqueadero")</f>
        <v>Evitar que particulares utilicen el sector de Guacamayas 1,2 y 3 como parqueadero</v>
      </c>
      <c r="G4475" s="55" t="str">
        <f ca="1">IFERROR(__xludf.DUMMYFUNCTION("""COMPUTED_VALUE"""),"04. San Cristóbal")</f>
        <v>04. San Cristóbal</v>
      </c>
      <c r="H4475" s="55">
        <f ca="1">IFERROR(__xludf.DUMMYFUNCTION("""COMPUTED_VALUE"""),44403)</f>
        <v>44403</v>
      </c>
      <c r="I4475" s="25"/>
      <c r="J4475" s="55" t="str">
        <f ca="1">IFERROR(__xludf.DUMMYFUNCTION("""COMPUTED_VALUE"""),"Alta")</f>
        <v>Alta</v>
      </c>
      <c r="K4475" s="25">
        <f ca="1">IFERROR(__xludf.DUMMYFUNCTION("""COMPUTED_VALUE"""),30)</f>
        <v>30</v>
      </c>
      <c r="L4475" s="62">
        <f ca="1">IFERROR(__xludf.DUMMYFUNCTION("""COMPUTED_VALUE"""),44421)</f>
        <v>44421</v>
      </c>
      <c r="M4475" s="25" t="str">
        <f ca="1">IFERROR(__xludf.DUMMYFUNCTION("""COMPUTED_VALUE"""),"Se ha vinculado y se continuará programando el punto en las actividades de control operativas, buscando con ello romper patrones negativos de conducta y desacato a las normas de tránsito.
 Para el mes de julio se programaron directamente desde la SDM 3 co"&amp;"ntroles operativos en el sector los días 14/07/2021, 21/07/2021, 28/07/2021 y para el mes de agosto se programó operativo en el sector el 05/08/2021 y 12/08/2021, el próximo control operativo está programado para el día 20/08/2021.")</f>
        <v>Se ha vinculado y se continuará programando el punto en las actividades de control operativas, buscando con ello romper patrones negativos de conducta y desacato a las normas de tránsito.
 Para el mes de julio se programaron directamente desde la SDM 3 controles operativos en el sector los días 14/07/2021, 21/07/2021, 28/07/2021 y para el mes de agosto se programó operativo en el sector el 05/08/2021 y 12/08/2021, el próximo control operativo está programado para el día 20/08/2021.</v>
      </c>
      <c r="N4475" s="55">
        <f ca="1">IFERROR(__xludf.DUMMYFUNCTION("""COMPUTED_VALUE"""),44421)</f>
        <v>44421</v>
      </c>
      <c r="O4475" s="25" t="str">
        <f t="shared" ca="1" si="0"/>
        <v>Secretaría Distrital de Movilidad</v>
      </c>
      <c r="P4475" s="25" t="str">
        <f t="shared" si="2"/>
        <v/>
      </c>
      <c r="Q4475" s="25" t="str">
        <f ca="1">IFERROR(__xludf.DUMMYFUNCTION("""COMPUTED_VALUE"""),"Corto plazo")</f>
        <v>Corto plazo</v>
      </c>
      <c r="R4475" s="25"/>
      <c r="S4475" s="55"/>
      <c r="T4475" s="56"/>
      <c r="U4475" s="25"/>
      <c r="V4475" s="25"/>
      <c r="W4475" s="25"/>
      <c r="X4475" s="25"/>
      <c r="Y4475" s="25"/>
      <c r="Z4475" s="25"/>
    </row>
    <row r="4476" spans="1:26" ht="52.5" customHeight="1" x14ac:dyDescent="0.25">
      <c r="A4476" s="25" t="str">
        <f ca="1">IFERROR(__xludf.DUMMYFUNCTION("""COMPUTED_VALUE"""),"Movil274")</f>
        <v>Movil274</v>
      </c>
      <c r="B4476" s="25" t="str">
        <f ca="1">IFERROR(__xludf.DUMMYFUNCTION("""COMPUTED_VALUE"""),"Recorrido San Cristóbal")</f>
        <v>Recorrido San Cristóbal</v>
      </c>
      <c r="C4476" s="55">
        <f ca="1">IFERROR(__xludf.DUMMYFUNCTION("""COMPUTED_VALUE"""),44371)</f>
        <v>44371</v>
      </c>
      <c r="D4476" s="25" t="str">
        <f ca="1">IFERROR(__xludf.DUMMYFUNCTION("""COMPUTED_VALUE"""),"Movilidad")</f>
        <v>Movilidad</v>
      </c>
      <c r="E4476" s="25" t="str">
        <f ca="1">IFERROR(__xludf.DUMMYFUNCTION("""COMPUTED_VALUE"""),"Unidad Administrativa Especial de Rehabilitación y Mantenimiento Vial")</f>
        <v>Unidad Administrativa Especial de Rehabilitación y Mantenimiento Vial</v>
      </c>
      <c r="F4476" s="25" t="str">
        <f ca="1">IFERROR(__xludf.DUMMYFUNCTION("""COMPUTED_VALUE"""),"UMV debe arreglar la entrada al barrio triángulo alto")</f>
        <v>UMV debe arreglar la entrada al barrio triángulo alto</v>
      </c>
      <c r="G4476" s="55" t="str">
        <f ca="1">IFERROR(__xludf.DUMMYFUNCTION("""COMPUTED_VALUE"""),"04. San Cristóbal")</f>
        <v>04. San Cristóbal</v>
      </c>
      <c r="H4476" s="55">
        <f ca="1">IFERROR(__xludf.DUMMYFUNCTION("""COMPUTED_VALUE"""),44401)</f>
        <v>44401</v>
      </c>
      <c r="I4476" s="25"/>
      <c r="J4476" s="55" t="str">
        <f ca="1">IFERROR(__xludf.DUMMYFUNCTION("""COMPUTED_VALUE"""),"Alta")</f>
        <v>Alta</v>
      </c>
      <c r="K4476" s="25">
        <f ca="1">IFERROR(__xludf.DUMMYFUNCTION("""COMPUTED_VALUE"""),30)</f>
        <v>30</v>
      </c>
      <c r="L4476" s="62">
        <f ca="1">IFERROR(__xludf.DUMMYFUNCTION("""COMPUTED_VALUE"""),44748)</f>
        <v>44748</v>
      </c>
      <c r="M4476" s="25" t="str">
        <f ca="1">IFERROR(__xludf.DUMMYFUNCTION("""COMPUTED_VALUE"""),"A través de Ia Gerencia de Intervención, la UAERMV asistió a todas las reuniones que organizó la Alcaldía Local de San cristóbal y la personería con la demás entidades involucradas en el proceso de reconstrucción del tramo vial del Triángulo. El estado de"&amp;" la zona que allí se presenta es una afectación por un fenómeno de remoción en masa generada por filtraciones en pozos que el acueducto construyó hace algún tiempo. 
 En la reunión del 15 de octubre se fijó entre la Secretaría Distrital de Gobierno y la "&amp;"UMV, a través del profesional Jorge Navarro, la posible solución en bioingeniería y se comprometió a entregar en la primera semana de noviembre la cantidad de materiales requeridos para atender la obra, por otra parte , la SDG se comprometió a la búsqueda"&amp;" de los suministros para consolidar estas soluciones con la UMV. 
 Tras finalizar en el mes de noviembre el ejercicio de análisis de la solución realizado por el profesional Jorge Navarro, la entidad se encuentra adelantado los proceso de contratación de"&amp;"l personal para poder atender esta situación durante el primer trimestre de 2022, asimismo se espera socializar con la Alcaldía Local de San Cristóbal y con la SDG este ejercicio durante el mes de febrero de 2022.
En el mes de marzo de 2022 se comenzó co"&amp;"n la intervención de este compromiso y se llevó a cabo durante los meses de abril, mayo y junio, en los cuales se realizaron muros en gaviones, gradas disipadoras en guadua, terrazas, trinchos y filtros vivos. Este punto se encuentra pendiente del mejoram"&amp;"iento de la capa de rodadura a esperas de que mejoren las condiciones de las lluvias. 
.")</f>
        <v>A través de Ia Gerencia de Intervención, la UAERMV asistió a todas las reuniones que organizó la Alcaldía Local de San cristóbal y la personería con la demás entidades involucradas en el proceso de reconstrucción del tramo vial del Triángulo. El estado de la zona que allí se presenta es una afectación por un fenómeno de remoción en masa generada por filtraciones en pozos que el acueducto construyó hace algún tiempo. 
 En la reunión del 15 de octubre se fijó entre la Secretaría Distrital de Gobierno y la UMV, a través del profesional Jorge Navarro, la posible solución en bioingeniería y se comprometió a entregar en la primera semana de noviembre la cantidad de materiales requeridos para atender la obra, por otra parte , la SDG se comprometió a la búsqueda de los suministros para consolidar estas soluciones con la UMV. 
 Tras finalizar en el mes de noviembre el ejercicio de análisis de la solución realizado por el profesional Jorge Navarro, la entidad se encuentra adelantado los proceso de contratación del personal para poder atender esta situación durante el primer trimestre de 2022, asimismo se espera socializar con la Alcaldía Local de San Cristóbal y con la SDG este ejercicio durante el mes de febrero de 2022.
En el mes de marzo de 2022 se comenzó con la intervención de este compromiso y se llevó a cabo durante los meses de abril, mayo y junio, en los cuales se realizaron muros en gaviones, gradas disipadoras en guadua, terrazas, trinchos y filtros vivos. Este punto se encuentra pendiente del mejoramiento de la capa de rodadura a esperas de que mejoren las condiciones de las lluvias. 
.</v>
      </c>
      <c r="N4476" s="55">
        <f ca="1">IFERROR(__xludf.DUMMYFUNCTION("""COMPUTED_VALUE"""),44748)</f>
        <v>44748</v>
      </c>
      <c r="O4476" s="25" t="str">
        <f t="shared" ca="1" si="0"/>
        <v>Unidad Administrativa Especial de Rehabilitación y Mantenimiento Vial</v>
      </c>
      <c r="P4476" s="25" t="str">
        <f t="shared" si="2"/>
        <v/>
      </c>
      <c r="Q4476" s="25" t="str">
        <f ca="1">IFERROR(__xludf.DUMMYFUNCTION("""COMPUTED_VALUE"""),"Corto plazo")</f>
        <v>Corto plazo</v>
      </c>
      <c r="R4476" s="25"/>
      <c r="S4476" s="55"/>
      <c r="T4476" s="56"/>
      <c r="U4476" s="25"/>
      <c r="V4476" s="25"/>
      <c r="W4476" s="25"/>
      <c r="X4476" s="25"/>
      <c r="Y4476" s="25"/>
      <c r="Z4476" s="25"/>
    </row>
    <row r="4477" spans="1:26" ht="52.5" customHeight="1" x14ac:dyDescent="0.25">
      <c r="A4477" s="25" t="str">
        <f ca="1">IFERROR(__xludf.DUMMYFUNCTION("""COMPUTED_VALUE"""),"Movil275")</f>
        <v>Movil275</v>
      </c>
      <c r="B4477" s="25" t="str">
        <f ca="1">IFERROR(__xludf.DUMMYFUNCTION("""COMPUTED_VALUE"""),"Cable San Cristóbal")</f>
        <v>Cable San Cristóbal</v>
      </c>
      <c r="C4477" s="55">
        <f ca="1">IFERROR(__xludf.DUMMYFUNCTION("""COMPUTED_VALUE"""),44370)</f>
        <v>44370</v>
      </c>
      <c r="D4477" s="25" t="str">
        <f ca="1">IFERROR(__xludf.DUMMYFUNCTION("""COMPUTED_VALUE"""),"Movilidad")</f>
        <v>Movilidad</v>
      </c>
      <c r="E4477" s="25" t="str">
        <f ca="1">IFERROR(__xludf.DUMMYFUNCTION("""COMPUTED_VALUE"""),"Instituto de Desarrollo Urbano")</f>
        <v>Instituto de Desarrollo Urbano</v>
      </c>
      <c r="F4477" s="25" t="str">
        <f ca="1">IFERROR(__xludf.DUMMYFUNCTION("""COMPUTED_VALUE"""),"Incluir espacios comerciales en el diseño de las estaciones del cable de San Cristóbal.")</f>
        <v>Incluir espacios comerciales en el diseño de las estaciones del cable de San Cristóbal.</v>
      </c>
      <c r="G4477" s="25" t="str">
        <f ca="1">IFERROR(__xludf.DUMMYFUNCTION("""COMPUTED_VALUE"""),"04. San Cristóbal")</f>
        <v>04. San Cristóbal</v>
      </c>
      <c r="H4477" s="55">
        <f ca="1">IFERROR(__xludf.DUMMYFUNCTION("""COMPUTED_VALUE"""),44400)</f>
        <v>44400</v>
      </c>
      <c r="I4477" s="25"/>
      <c r="J4477" s="55" t="str">
        <f ca="1">IFERROR(__xludf.DUMMYFUNCTION("""COMPUTED_VALUE"""),"Alta")</f>
        <v>Alta</v>
      </c>
      <c r="K4477" s="25">
        <f ca="1">IFERROR(__xludf.DUMMYFUNCTION("""COMPUTED_VALUE"""),30)</f>
        <v>30</v>
      </c>
      <c r="L4477" s="62">
        <f ca="1">IFERROR(__xludf.DUMMYFUNCTION("""COMPUTED_VALUE"""),44407)</f>
        <v>44407</v>
      </c>
      <c r="M4477" s="25" t="str">
        <f ca="1">IFERROR(__xludf.DUMMYFUNCTION("""COMPUTED_VALUE"""),"Por solicitud de Transmilenio en el documento de parámetros operacionales, se solicita espacios para desarrollo de negocios colaterales. El anteproyecto arquitectónico de las estaciones incluye áreas para dichas actividades en las estaciones la Victoria y"&amp;" Altamira, en la estación de interacción no debido a la restricción de espacio en el predio del patio de Sistema TransMilenio")</f>
        <v>Por solicitud de Transmilenio en el documento de parámetros operacionales, se solicita espacios para desarrollo de negocios colaterales. El anteproyecto arquitectónico de las estaciones incluye áreas para dichas actividades en las estaciones la Victoria y Altamira, en la estación de interacción no debido a la restricción de espacio en el predio del patio de Sistema TransMilenio</v>
      </c>
      <c r="N4477" s="55">
        <f ca="1">IFERROR(__xludf.DUMMYFUNCTION("""COMPUTED_VALUE"""),44407)</f>
        <v>44407</v>
      </c>
      <c r="O4477" s="25" t="str">
        <f t="shared" ca="1" si="0"/>
        <v>Instituto de Desarrollo Urbano</v>
      </c>
      <c r="P4477" s="25" t="str">
        <f t="shared" si="2"/>
        <v/>
      </c>
      <c r="Q4477" s="25" t="str">
        <f ca="1">IFERROR(__xludf.DUMMYFUNCTION("""COMPUTED_VALUE"""),"Corto plazo")</f>
        <v>Corto plazo</v>
      </c>
      <c r="R4477" s="25"/>
      <c r="S4477" s="55"/>
      <c r="T4477" s="56"/>
      <c r="U4477" s="25"/>
      <c r="V4477" s="25"/>
      <c r="W4477" s="25"/>
      <c r="X4477" s="25"/>
      <c r="Y4477" s="25"/>
      <c r="Z4477" s="25"/>
    </row>
    <row r="4478" spans="1:26" ht="52.5" customHeight="1" x14ac:dyDescent="0.25">
      <c r="A4478" s="25" t="str">
        <f ca="1">IFERROR(__xludf.DUMMYFUNCTION("""COMPUTED_VALUE"""),"Movil276")</f>
        <v>Movil276</v>
      </c>
      <c r="B4478" s="25" t="str">
        <f ca="1">IFERROR(__xludf.DUMMYFUNCTION("""COMPUTED_VALUE"""),"Centro de Gestión de Movilidad")</f>
        <v>Centro de Gestión de Movilidad</v>
      </c>
      <c r="C4478" s="55">
        <f ca="1">IFERROR(__xludf.DUMMYFUNCTION("""COMPUTED_VALUE"""),44370)</f>
        <v>44370</v>
      </c>
      <c r="D4478" s="25" t="str">
        <f ca="1">IFERROR(__xludf.DUMMYFUNCTION("""COMPUTED_VALUE"""),"Movilidad")</f>
        <v>Movilidad</v>
      </c>
      <c r="E4478" s="25" t="str">
        <f ca="1">IFERROR(__xludf.DUMMYFUNCTION("""COMPUTED_VALUE"""),"Secretaría Distrital de Movilidad")</f>
        <v>Secretaría Distrital de Movilidad</v>
      </c>
      <c r="F4478" s="25" t="str">
        <f ca="1">IFERROR(__xludf.DUMMYFUNCTION("""COMPUTED_VALUE"""),"Priorización de nuevas herramientas SDM")</f>
        <v>Priorización de nuevas herramientas SDM</v>
      </c>
      <c r="G4478" s="25" t="str">
        <f ca="1">IFERROR(__xludf.DUMMYFUNCTION("""COMPUTED_VALUE"""),"99. Distrito")</f>
        <v>99. Distrito</v>
      </c>
      <c r="H4478" s="55">
        <f ca="1">IFERROR(__xludf.DUMMYFUNCTION("""COMPUTED_VALUE"""),44400)</f>
        <v>44400</v>
      </c>
      <c r="I4478" s="25"/>
      <c r="J4478" s="55" t="str">
        <f ca="1">IFERROR(__xludf.DUMMYFUNCTION("""COMPUTED_VALUE"""),"Alta")</f>
        <v>Alta</v>
      </c>
      <c r="K4478" s="25">
        <f ca="1">IFERROR(__xludf.DUMMYFUNCTION("""COMPUTED_VALUE"""),30)</f>
        <v>30</v>
      </c>
      <c r="L4478" s="62">
        <f ca="1">IFERROR(__xludf.DUMMYFUNCTION("""COMPUTED_VALUE"""),44498)</f>
        <v>44498</v>
      </c>
      <c r="M4478" s="25" t="str">
        <f ca="1">IFERROR(__xludf.DUMMYFUNCTION("""COMPUTED_VALUE"""),"Se identificaron las siguientes prioridades:
- Automatización en el proceso de medición de aforos mediante mecanismos como videoanalítica.
- Integración de la información respecto a movilidad generada desde en Centro de Comando, Control, Comunicaciones y "&amp;"Cómputo (C4) de la Secretaría de Seguridad para obtener información de un número mayor de siniestros viales y demás incidentes con impacto en la movilidad. 
- Herramientas automatizadas de planeación de movilidad.
Se identificó también la necesidad de amp"&amp;"liar/modernizar la red de sensores desde este año, pues se des priorizaron las herramientas de predicción de tráfico por presupuesto.
Con esto se cierra la tarea para 2021.")</f>
        <v>Se identificaron las siguientes prioridades:
- Automatización en el proceso de medición de aforos mediante mecanismos como videoanalítica.
- Integración de la información respecto a movilidad generada desde en Centro de Comando, Control, Comunicaciones y Cómputo (C4) de la Secretaría de Seguridad para obtener información de un número mayor de siniestros viales y demás incidentes con impacto en la movilidad. 
- Herramientas automatizadas de planeación de movilidad.
Se identificó también la necesidad de ampliar/modernizar la red de sensores desde este año, pues se des priorizaron las herramientas de predicción de tráfico por presupuesto.
Con esto se cierra la tarea para 2021.</v>
      </c>
      <c r="N4478" s="55">
        <f ca="1">IFERROR(__xludf.DUMMYFUNCTION("""COMPUTED_VALUE"""),44498)</f>
        <v>44498</v>
      </c>
      <c r="O4478" s="25" t="str">
        <f t="shared" ca="1" si="0"/>
        <v>Secretaría Distrital de Movilidad</v>
      </c>
      <c r="P4478" s="25" t="str">
        <f t="shared" si="2"/>
        <v/>
      </c>
      <c r="Q4478" s="25" t="str">
        <f ca="1">IFERROR(__xludf.DUMMYFUNCTION("""COMPUTED_VALUE"""),"Corto plazo")</f>
        <v>Corto plazo</v>
      </c>
      <c r="R4478" s="25"/>
      <c r="S4478" s="55"/>
      <c r="T4478" s="56"/>
      <c r="U4478" s="25"/>
      <c r="V4478" s="25"/>
      <c r="W4478" s="25"/>
      <c r="X4478" s="25"/>
      <c r="Y4478" s="25"/>
      <c r="Z4478" s="25"/>
    </row>
    <row r="4479" spans="1:26" ht="52.5" customHeight="1" x14ac:dyDescent="0.25">
      <c r="A4479" s="25" t="str">
        <f ca="1">IFERROR(__xludf.DUMMYFUNCTION("""COMPUTED_VALUE"""),"Movil277")</f>
        <v>Movil277</v>
      </c>
      <c r="B4479" s="25" t="str">
        <f ca="1">IFERROR(__xludf.DUMMYFUNCTION("""COMPUTED_VALUE"""),"Centro de Gestión de Movilidad")</f>
        <v>Centro de Gestión de Movilidad</v>
      </c>
      <c r="C4479" s="55">
        <f ca="1">IFERROR(__xludf.DUMMYFUNCTION("""COMPUTED_VALUE"""),44370)</f>
        <v>44370</v>
      </c>
      <c r="D4479" s="25" t="str">
        <f ca="1">IFERROR(__xludf.DUMMYFUNCTION("""COMPUTED_VALUE"""),"Movilidad")</f>
        <v>Movilidad</v>
      </c>
      <c r="E4479" s="25" t="str">
        <f ca="1">IFERROR(__xludf.DUMMYFUNCTION("""COMPUTED_VALUE"""),"Secretaría Distrital de Movilidad")</f>
        <v>Secretaría Distrital de Movilidad</v>
      </c>
      <c r="F4479" s="25" t="str">
        <f ca="1">IFERROR(__xludf.DUMMYFUNCTION("""COMPUTED_VALUE"""),"Contratación de nuevas herramientas de alta prioridad para expandir las funcionalidades del SIT")</f>
        <v>Contratación de nuevas herramientas de alta prioridad para expandir las funcionalidades del SIT</v>
      </c>
      <c r="G4479" s="25" t="str">
        <f ca="1">IFERROR(__xludf.DUMMYFUNCTION("""COMPUTED_VALUE"""),"99. Distrito")</f>
        <v>99. Distrito</v>
      </c>
      <c r="H4479" s="55">
        <f ca="1">IFERROR(__xludf.DUMMYFUNCTION("""COMPUTED_VALUE"""),44400)</f>
        <v>44400</v>
      </c>
      <c r="I4479" s="25"/>
      <c r="J4479" s="55" t="str">
        <f ca="1">IFERROR(__xludf.DUMMYFUNCTION("""COMPUTED_VALUE"""),"Alta")</f>
        <v>Alta</v>
      </c>
      <c r="K4479" s="25">
        <f ca="1">IFERROR(__xludf.DUMMYFUNCTION("""COMPUTED_VALUE"""),30)</f>
        <v>30</v>
      </c>
      <c r="L4479" s="62">
        <f ca="1">IFERROR(__xludf.DUMMYFUNCTION("""COMPUTED_VALUE"""),44607)</f>
        <v>44607</v>
      </c>
      <c r="M4479" s="25" t="str">
        <f ca="1">IFERROR(__xludf.DUMMYFUNCTION("""COMPUTED_VALUE"""),"El nuevo convenio marco entre SDM y ETB destina recursos  a dichas funcionalidades priorizadas (2610). En desarrollo negociación de alcance final de propuestas entre ETB y SDM para concretar la contratación de estas funcionalidades, sujeto a la disponibil"&amp;"idad presupuestal.
Fue avalada y confirmada la compra de una estación de Premiere.
En relación con videoanalítica, fue necesario reiniciar el proceso por la identificación de circunstancias que podrían resultar inconvenientes para la SDM en la contratació"&amp;"n. En paralelo ETB está adelantando la instalación de una cámara para hacer una prueba de otra alternativa tecnológica de videoanalítica. Además, se están realizando ya análisis con las cámaras de  semáforos que están generando información de volúmenes.
S"&amp;"e descartó temporalmente la propuesta de un software de planificación de tráfico. Así mismo, el Grupo de Energía de Bogotá con ENEL están montando 5 cámaras en la Cra 7ma para mostrarnos sus capacidades.
Se está avanzando en añadir cámaras de CCTV para te"&amp;"ner mejores capacidades de vigilancia y gestión.")</f>
        <v>El nuevo convenio marco entre SDM y ETB destina recursos  a dichas funcionalidades priorizadas (2610). En desarrollo negociación de alcance final de propuestas entre ETB y SDM para concretar la contratación de estas funcionalidades, sujeto a la disponibilidad presupuestal.
Fue avalada y confirmada la compra de una estación de Premiere.
En relación con videoanalítica, fue necesario reiniciar el proceso por la identificación de circunstancias que podrían resultar inconvenientes para la SDM en la contratación. En paralelo ETB está adelantando la instalación de una cámara para hacer una prueba de otra alternativa tecnológica de videoanalítica. Además, se están realizando ya análisis con las cámaras de  semáforos que están generando información de volúmenes.
Se descartó temporalmente la propuesta de un software de planificación de tráfico. Así mismo, el Grupo de Energía de Bogotá con ENEL están montando 5 cámaras en la Cra 7ma para mostrarnos sus capacidades.
Se está avanzando en añadir cámaras de CCTV para tener mejores capacidades de vigilancia y gestión.</v>
      </c>
      <c r="N4479" s="55">
        <f ca="1">IFERROR(__xludf.DUMMYFUNCTION("""COMPUTED_VALUE"""),44607)</f>
        <v>44607</v>
      </c>
      <c r="O4479" s="25" t="str">
        <f t="shared" ca="1" si="0"/>
        <v>Secretaría Distrital de Movilidad</v>
      </c>
      <c r="P4479" s="25" t="str">
        <f t="shared" si="2"/>
        <v/>
      </c>
      <c r="Q4479" s="25" t="str">
        <f ca="1">IFERROR(__xludf.DUMMYFUNCTION("""COMPUTED_VALUE"""),"Corto plazo")</f>
        <v>Corto plazo</v>
      </c>
      <c r="R4479" s="25"/>
      <c r="S4479" s="55"/>
      <c r="T4479" s="56"/>
      <c r="U4479" s="25"/>
      <c r="V4479" s="25"/>
      <c r="W4479" s="25"/>
      <c r="X4479" s="25"/>
      <c r="Y4479" s="25"/>
      <c r="Z4479" s="25"/>
    </row>
    <row r="4480" spans="1:26" ht="52.5" customHeight="1" x14ac:dyDescent="0.25">
      <c r="A4480" s="25" t="str">
        <f ca="1">IFERROR(__xludf.DUMMYFUNCTION("""COMPUTED_VALUE"""),"Movil278")</f>
        <v>Movil278</v>
      </c>
      <c r="B4480" s="25" t="str">
        <f ca="1">IFERROR(__xludf.DUMMYFUNCTION("""COMPUTED_VALUE"""),"Centro de Gestión de Movilidad")</f>
        <v>Centro de Gestión de Movilidad</v>
      </c>
      <c r="C4480" s="55">
        <f ca="1">IFERROR(__xludf.DUMMYFUNCTION("""COMPUTED_VALUE"""),44370)</f>
        <v>44370</v>
      </c>
      <c r="D4480" s="25" t="str">
        <f ca="1">IFERROR(__xludf.DUMMYFUNCTION("""COMPUTED_VALUE"""),"Movilidad")</f>
        <v>Movilidad</v>
      </c>
      <c r="E4480" s="25" t="str">
        <f ca="1">IFERROR(__xludf.DUMMYFUNCTION("""COMPUTED_VALUE"""),"Secretaría Distrital de Movilidad")</f>
        <v>Secretaría Distrital de Movilidad</v>
      </c>
      <c r="F4480" s="25" t="str">
        <f ca="1">IFERROR(__xludf.DUMMYFUNCTION("""COMPUTED_VALUE"""),"Identificar y avanzar en la integración nuevas fuentes de datos")</f>
        <v>Identificar y avanzar en la integración nuevas fuentes de datos</v>
      </c>
      <c r="G4480" s="25" t="str">
        <f ca="1">IFERROR(__xludf.DUMMYFUNCTION("""COMPUTED_VALUE"""),"99. Distrito")</f>
        <v>99. Distrito</v>
      </c>
      <c r="H4480" s="55">
        <f ca="1">IFERROR(__xludf.DUMMYFUNCTION("""COMPUTED_VALUE"""),44400)</f>
        <v>44400</v>
      </c>
      <c r="I4480" s="25"/>
      <c r="J4480" s="55" t="str">
        <f ca="1">IFERROR(__xludf.DUMMYFUNCTION("""COMPUTED_VALUE"""),"Alta")</f>
        <v>Alta</v>
      </c>
      <c r="K4480" s="25">
        <f ca="1">IFERROR(__xludf.DUMMYFUNCTION("""COMPUTED_VALUE"""),30)</f>
        <v>30</v>
      </c>
      <c r="L4480" s="62">
        <f ca="1">IFERROR(__xludf.DUMMYFUNCTION("""COMPUTED_VALUE"""),44682)</f>
        <v>44682</v>
      </c>
      <c r="M4480" s="25" t="str">
        <f ca="1">IFERROR(__xludf.DUMMYFUNCTION("""COMPUTED_VALUE"""),"Entidades:
- Transmilenio: se empezó el intercambio de información y está funcionando para obtener información de velocidades y localización de buses.
- Ministerio de Transporte: Se iniciaron contactos con MinTransporte para revisar el convenio.
- Secreta"&amp;"ría de Seguridad: Preliminarmente no va a ser necesaria el intercambio de información con esta entidad, debido a que se pretenden adquirir estaciones de PremierOne que suplen esta necesidad del Centro de Gestión.
- Idiger: están evaluando mecanismos para "&amp;"compartir información del clima. Se realiza a través de PMU y el CGT 
- Terminal: ya se tiene acceso a algunas bases de datos de Estacionamiento en Vía.
- Secretaría Distrital de Movilidad: Extracción datos históricos de twitter para realizar análisis de "&amp;"sentimientos.
- Consulta de datos de Peajes a través del convenio de la ANI. ya se cuenta con convenio para 2023")</f>
        <v>Entidades:
- Transmilenio: se empezó el intercambio de información y está funcionando para obtener información de velocidades y localización de buses.
- Ministerio de Transporte: Se iniciaron contactos con MinTransporte para revisar el convenio.
- Secretaría de Seguridad: Preliminarmente no va a ser necesaria el intercambio de información con esta entidad, debido a que se pretenden adquirir estaciones de PremierOne que suplen esta necesidad del Centro de Gestión.
- Idiger: están evaluando mecanismos para compartir información del clima. Se realiza a través de PMU y el CGT 
- Terminal: ya se tiene acceso a algunas bases de datos de Estacionamiento en Vía.
- Secretaría Distrital de Movilidad: Extracción datos históricos de twitter para realizar análisis de sentimientos.
- Consulta de datos de Peajes a través del convenio de la ANI. ya se cuenta con convenio para 2023</v>
      </c>
      <c r="N4480" s="55">
        <f ca="1">IFERROR(__xludf.DUMMYFUNCTION("""COMPUTED_VALUE"""),44682)</f>
        <v>44682</v>
      </c>
      <c r="O4480" s="25" t="str">
        <f t="shared" ca="1" si="0"/>
        <v>Secretaría Distrital de Movilidad</v>
      </c>
      <c r="P4480" s="25" t="str">
        <f t="shared" si="2"/>
        <v/>
      </c>
      <c r="Q4480" s="25" t="str">
        <f ca="1">IFERROR(__xludf.DUMMYFUNCTION("""COMPUTED_VALUE"""),"Corto plazo")</f>
        <v>Corto plazo</v>
      </c>
      <c r="R4480" s="25"/>
      <c r="S4480" s="55"/>
      <c r="T4480" s="56"/>
      <c r="U4480" s="25"/>
      <c r="V4480" s="25"/>
      <c r="W4480" s="25"/>
      <c r="X4480" s="25"/>
      <c r="Y4480" s="25"/>
      <c r="Z4480" s="25"/>
    </row>
    <row r="4481" spans="1:26" ht="52.5" customHeight="1" x14ac:dyDescent="0.25">
      <c r="A4481" s="25" t="str">
        <f ca="1">IFERROR(__xludf.DUMMYFUNCTION("""COMPUTED_VALUE"""),"Movil279")</f>
        <v>Movil279</v>
      </c>
      <c r="B4481" s="25" t="str">
        <f ca="1">IFERROR(__xludf.DUMMYFUNCTION("""COMPUTED_VALUE"""),"Centro de Gestión de Movilidad")</f>
        <v>Centro de Gestión de Movilidad</v>
      </c>
      <c r="C4481" s="55">
        <f ca="1">IFERROR(__xludf.DUMMYFUNCTION("""COMPUTED_VALUE"""),44370)</f>
        <v>44370</v>
      </c>
      <c r="D4481" s="25" t="str">
        <f ca="1">IFERROR(__xludf.DUMMYFUNCTION("""COMPUTED_VALUE"""),"Movilidad")</f>
        <v>Movilidad</v>
      </c>
      <c r="E4481" s="25" t="str">
        <f ca="1">IFERROR(__xludf.DUMMYFUNCTION("""COMPUTED_VALUE"""),"Secretaría Distrital de Movilidad")</f>
        <v>Secretaría Distrital de Movilidad</v>
      </c>
      <c r="F4481" s="25" t="str">
        <f ca="1">IFERROR(__xludf.DUMMYFUNCTION("""COMPUTED_VALUE"""),"Lineamiento de obligaciones con cargo a la obra para que se implemente la infraestructura tecnológica que soporte los ejercicios planteados, aprobado por la CDTD.")</f>
        <v>Lineamiento de obligaciones con cargo a la obra para que se implemente la infraestructura tecnológica que soporte los ejercicios planteados, aprobado por la CDTD.</v>
      </c>
      <c r="G4481" s="25" t="str">
        <f ca="1">IFERROR(__xludf.DUMMYFUNCTION("""COMPUTED_VALUE"""),"99. Distrito")</f>
        <v>99. Distrito</v>
      </c>
      <c r="H4481" s="55">
        <f ca="1">IFERROR(__xludf.DUMMYFUNCTION("""COMPUTED_VALUE"""),44400)</f>
        <v>44400</v>
      </c>
      <c r="I4481" s="25"/>
      <c r="J4481" s="55" t="str">
        <f ca="1">IFERROR(__xludf.DUMMYFUNCTION("""COMPUTED_VALUE"""),"Alta")</f>
        <v>Alta</v>
      </c>
      <c r="K4481" s="25">
        <f ca="1">IFERROR(__xludf.DUMMYFUNCTION("""COMPUTED_VALUE"""),30)</f>
        <v>30</v>
      </c>
      <c r="L4481" s="62">
        <f ca="1">IFERROR(__xludf.DUMMYFUNCTION("""COMPUTED_VALUE"""),44682)</f>
        <v>44682</v>
      </c>
      <c r="M4481" s="25" t="str">
        <f ca="1">IFERROR(__xludf.DUMMYFUNCTION("""COMPUTED_VALUE"""),"De acuerdo con lo convenido en la reunión Grupo de Trabajo Sinergia y Aceleración de Proyectos de Transformación Digital de junio 23, 2021, esta tarea sería liderada por la Alta Consejería TIC y en cabeza de Felipe Guzmán (quedamos atentos si es necesario"&amp;" que se adjunte el acta). La SDM dio retroalimentación a la primera versión enviada por ACTIC en noviembre. 
En la última actualización por parte de ACTIC, actualmente hay un borrador del lineamiento en consideración por parte de ETB. Se pretende incluir "&amp;"este lineamiento como parte de la reglamentación del POT.")</f>
        <v>De acuerdo con lo convenido en la reunión Grupo de Trabajo Sinergia y Aceleración de Proyectos de Transformación Digital de junio 23, 2021, esta tarea sería liderada por la Alta Consejería TIC y en cabeza de Felipe Guzmán (quedamos atentos si es necesario que se adjunte el acta). La SDM dio retroalimentación a la primera versión enviada por ACTIC en noviembre. 
En la última actualización por parte de ACTIC, actualmente hay un borrador del lineamiento en consideración por parte de ETB. Se pretende incluir este lineamiento como parte de la reglamentación del POT.</v>
      </c>
      <c r="N4481" s="55">
        <f ca="1">IFERROR(__xludf.DUMMYFUNCTION("""COMPUTED_VALUE"""),44682)</f>
        <v>44682</v>
      </c>
      <c r="O4481" s="25" t="str">
        <f t="shared" ca="1" si="0"/>
        <v>Secretaría Distrital de Movilidad</v>
      </c>
      <c r="P4481" s="25" t="str">
        <f t="shared" si="2"/>
        <v/>
      </c>
      <c r="Q4481" s="25" t="str">
        <f ca="1">IFERROR(__xludf.DUMMYFUNCTION("""COMPUTED_VALUE"""),"Corto plazo")</f>
        <v>Corto plazo</v>
      </c>
      <c r="R4481" s="25"/>
      <c r="S4481" s="55"/>
      <c r="T4481" s="56"/>
      <c r="U4481" s="25"/>
      <c r="V4481" s="25"/>
      <c r="W4481" s="25"/>
      <c r="X4481" s="25"/>
      <c r="Y4481" s="25"/>
      <c r="Z4481" s="25"/>
    </row>
    <row r="4482" spans="1:26" ht="52.5" customHeight="1" x14ac:dyDescent="0.25">
      <c r="A4482" s="25" t="str">
        <f ca="1">IFERROR(__xludf.DUMMYFUNCTION("""COMPUTED_VALUE"""),"Movil280")</f>
        <v>Movil280</v>
      </c>
      <c r="B4482" s="25" t="str">
        <f ca="1">IFERROR(__xludf.DUMMYFUNCTION("""COMPUTED_VALUE"""),"Centro de Gestión de Movilidad")</f>
        <v>Centro de Gestión de Movilidad</v>
      </c>
      <c r="C4482" s="55">
        <f ca="1">IFERROR(__xludf.DUMMYFUNCTION("""COMPUTED_VALUE"""),44370)</f>
        <v>44370</v>
      </c>
      <c r="D4482" s="25" t="str">
        <f ca="1">IFERROR(__xludf.DUMMYFUNCTION("""COMPUTED_VALUE"""),"Movilidad")</f>
        <v>Movilidad</v>
      </c>
      <c r="E4482" s="25" t="str">
        <f ca="1">IFERROR(__xludf.DUMMYFUNCTION("""COMPUTED_VALUE"""),"Secretaría Distrital de Movilidad")</f>
        <v>Secretaría Distrital de Movilidad</v>
      </c>
      <c r="F4482" s="25" t="str">
        <f ca="1">IFERROR(__xludf.DUMMYFUNCTION("""COMPUTED_VALUE"""),"Lanzamiento de observatorio de movilidad en Bogotá")</f>
        <v>Lanzamiento de observatorio de movilidad en Bogotá</v>
      </c>
      <c r="G4482" s="25" t="str">
        <f ca="1">IFERROR(__xludf.DUMMYFUNCTION("""COMPUTED_VALUE"""),"99. Distrito")</f>
        <v>99. Distrito</v>
      </c>
      <c r="H4482" s="55">
        <f ca="1">IFERROR(__xludf.DUMMYFUNCTION("""COMPUTED_VALUE"""),44400)</f>
        <v>44400</v>
      </c>
      <c r="I4482" s="25"/>
      <c r="J4482" s="55" t="str">
        <f ca="1">IFERROR(__xludf.DUMMYFUNCTION("""COMPUTED_VALUE"""),"Alta")</f>
        <v>Alta</v>
      </c>
      <c r="K4482" s="25">
        <f ca="1">IFERROR(__xludf.DUMMYFUNCTION("""COMPUTED_VALUE"""),30)</f>
        <v>30</v>
      </c>
      <c r="L4482" s="62">
        <f ca="1">IFERROR(__xludf.DUMMYFUNCTION("""COMPUTED_VALUE"""),44498)</f>
        <v>44498</v>
      </c>
      <c r="M4482" s="25" t="str">
        <f ca="1">IFERROR(__xludf.DUMMYFUNCTION("""COMPUTED_VALUE"""),"Se hizo el lanzamiento del Observatorio de Movilidad el 7 de octubre de 2021, en el marco de la Semana de la Seguridad Vial. El evento consistió de una rueda de prensa, seguida de un conversatorio sobre ""Herramientas de gestión de datos para la transform"&amp;"ación de la movilidad""")</f>
        <v>Se hizo el lanzamiento del Observatorio de Movilidad el 7 de octubre de 2021, en el marco de la Semana de la Seguridad Vial. El evento consistió de una rueda de prensa, seguida de un conversatorio sobre "Herramientas de gestión de datos para la transformación de la movilidad"</v>
      </c>
      <c r="N4482" s="55">
        <f ca="1">IFERROR(__xludf.DUMMYFUNCTION("""COMPUTED_VALUE"""),44498)</f>
        <v>44498</v>
      </c>
      <c r="O4482" s="25" t="str">
        <f t="shared" ca="1" si="0"/>
        <v>Secretaría Distrital de Movilidad</v>
      </c>
      <c r="P4482" s="25" t="str">
        <f t="shared" si="2"/>
        <v/>
      </c>
      <c r="Q4482" s="25" t="str">
        <f ca="1">IFERROR(__xludf.DUMMYFUNCTION("""COMPUTED_VALUE"""),"Corto plazo")</f>
        <v>Corto plazo</v>
      </c>
      <c r="R4482" s="25"/>
      <c r="S4482" s="55"/>
      <c r="T4482" s="56"/>
      <c r="U4482" s="25"/>
      <c r="V4482" s="25"/>
      <c r="W4482" s="25"/>
      <c r="X4482" s="25"/>
      <c r="Y4482" s="25"/>
      <c r="Z4482" s="25"/>
    </row>
    <row r="4483" spans="1:26" ht="52.5" customHeight="1" x14ac:dyDescent="0.25">
      <c r="A4483" s="25" t="str">
        <f ca="1">IFERROR(__xludf.DUMMYFUNCTION("""COMPUTED_VALUE"""),"Movil281")</f>
        <v>Movil281</v>
      </c>
      <c r="B4483" s="25" t="str">
        <f ca="1">IFERROR(__xludf.DUMMYFUNCTION("""COMPUTED_VALUE"""),"Centro de Gestión de Movilidad")</f>
        <v>Centro de Gestión de Movilidad</v>
      </c>
      <c r="C4483" s="55">
        <f ca="1">IFERROR(__xludf.DUMMYFUNCTION("""COMPUTED_VALUE"""),44370)</f>
        <v>44370</v>
      </c>
      <c r="D4483" s="25" t="str">
        <f ca="1">IFERROR(__xludf.DUMMYFUNCTION("""COMPUTED_VALUE"""),"Movilidad")</f>
        <v>Movilidad</v>
      </c>
      <c r="E4483" s="25" t="str">
        <f ca="1">IFERROR(__xludf.DUMMYFUNCTION("""COMPUTED_VALUE"""),"Secretaría Distrital de Movilidad")</f>
        <v>Secretaría Distrital de Movilidad</v>
      </c>
      <c r="F4483" s="25" t="str">
        <f ca="1">IFERROR(__xludf.DUMMYFUNCTION("""COMPUTED_VALUE"""),"Firma de nuevo convenio administrativo con ETB, GEB o ambos.")</f>
        <v>Firma de nuevo convenio administrativo con ETB, GEB o ambos.</v>
      </c>
      <c r="G4483" s="25" t="str">
        <f ca="1">IFERROR(__xludf.DUMMYFUNCTION("""COMPUTED_VALUE"""),"99. Distrito")</f>
        <v>99. Distrito</v>
      </c>
      <c r="H4483" s="55">
        <f ca="1">IFERROR(__xludf.DUMMYFUNCTION("""COMPUTED_VALUE"""),44400)</f>
        <v>44400</v>
      </c>
      <c r="I4483" s="25"/>
      <c r="J4483" s="55" t="str">
        <f ca="1">IFERROR(__xludf.DUMMYFUNCTION("""COMPUTED_VALUE"""),"Alta")</f>
        <v>Alta</v>
      </c>
      <c r="K4483" s="25">
        <f ca="1">IFERROR(__xludf.DUMMYFUNCTION("""COMPUTED_VALUE"""),30)</f>
        <v>30</v>
      </c>
      <c r="L4483" s="62">
        <f ca="1">IFERROR(__xludf.DUMMYFUNCTION("""COMPUTED_VALUE"""),44498)</f>
        <v>44498</v>
      </c>
      <c r="M4483" s="25" t="str">
        <f ca="1">IFERROR(__xludf.DUMMYFUNCTION("""COMPUTED_VALUE"""),"Firma de nuevo convenio interadministrativo ETB-SDM cuyo objeto es ""AUNAR ESFUERZOS Y RECURSOS TÉCNICOS, TECNOLÓGICOS, HUMANOS Y ADMINISTRATIVOS PARA LA PLANIFICACIÓN, RENOVACIÓN, OPERACIÓN, MANTENIMIENTO Y EXPANSIÓN DEL SISTEMA INTELIGENTE DE TRANSPORTE"&amp;" PARA LA CIUDAD DE BOGOTÁ"" fue firmado el 11 de agosto. Por lo pronto, no se desarrollará un nuevo convenio interadministrativo con GEB.")</f>
        <v>Firma de nuevo convenio interadministrativo ETB-SDM cuyo objeto es "AUNAR ESFUERZOS Y RECURSOS TÉCNICOS, TECNOLÓGICOS, HUMANOS Y ADMINISTRATIVOS PARA LA PLANIFICACIÓN, RENOVACIÓN, OPERACIÓN, MANTENIMIENTO Y EXPANSIÓN DEL SISTEMA INTELIGENTE DE TRANSPORTE PARA LA CIUDAD DE BOGOTÁ" fue firmado el 11 de agosto. Por lo pronto, no se desarrollará un nuevo convenio interadministrativo con GEB.</v>
      </c>
      <c r="N4483" s="55">
        <f ca="1">IFERROR(__xludf.DUMMYFUNCTION("""COMPUTED_VALUE"""),44498)</f>
        <v>44498</v>
      </c>
      <c r="O4483" s="25" t="str">
        <f t="shared" ca="1" si="0"/>
        <v>Secretaría Distrital de Movilidad</v>
      </c>
      <c r="P4483" s="25" t="str">
        <f t="shared" si="2"/>
        <v/>
      </c>
      <c r="Q4483" s="25" t="str">
        <f ca="1">IFERROR(__xludf.DUMMYFUNCTION("""COMPUTED_VALUE"""),"Corto plazo")</f>
        <v>Corto plazo</v>
      </c>
      <c r="R4483" s="25"/>
      <c r="S4483" s="55"/>
      <c r="T4483" s="56"/>
      <c r="U4483" s="25"/>
      <c r="V4483" s="25"/>
      <c r="W4483" s="25"/>
      <c r="X4483" s="25"/>
      <c r="Y4483" s="25"/>
      <c r="Z4483" s="25"/>
    </row>
    <row r="4484" spans="1:26" ht="52.5" customHeight="1" x14ac:dyDescent="0.25">
      <c r="A4484" s="25" t="str">
        <f ca="1">IFERROR(__xludf.DUMMYFUNCTION("""COMPUTED_VALUE"""),"Movil282")</f>
        <v>Movil282</v>
      </c>
      <c r="B4484" s="25" t="str">
        <f ca="1">IFERROR(__xludf.DUMMYFUNCTION("""COMPUTED_VALUE"""),"CONPES Min transporte")</f>
        <v>CONPES Min transporte</v>
      </c>
      <c r="C4484" s="55">
        <f ca="1">IFERROR(__xludf.DUMMYFUNCTION("""COMPUTED_VALUE"""),44369)</f>
        <v>44369</v>
      </c>
      <c r="D4484" s="25" t="str">
        <f ca="1">IFERROR(__xludf.DUMMYFUNCTION("""COMPUTED_VALUE"""),"Movilidad")</f>
        <v>Movilidad</v>
      </c>
      <c r="E4484" s="25" t="str">
        <f ca="1">IFERROR(__xludf.DUMMYFUNCTION("""COMPUTED_VALUE"""),"Secretaría Distrital de Movilidad")</f>
        <v>Secretaría Distrital de Movilidad</v>
      </c>
      <c r="F4484" s="25" t="str">
        <f ca="1">IFERROR(__xludf.DUMMYFUNCTION("""COMPUTED_VALUE"""),"Que el estudio de prefactibilidad de borde occidental para 2035 muestre cómo se van a combinar los 3 proyectos (Devisab, red ferroviaria occidental y perimetral de occidente) para cerrar el occidente,")</f>
        <v>Que el estudio de prefactibilidad de borde occidental para 2035 muestre cómo se van a combinar los 3 proyectos (Devisab, red ferroviaria occidental y perimetral de occidente) para cerrar el occidente,</v>
      </c>
      <c r="G4484" s="25" t="str">
        <f ca="1">IFERROR(__xludf.DUMMYFUNCTION("""COMPUTED_VALUE"""),"99. Distrito")</f>
        <v>99. Distrito</v>
      </c>
      <c r="H4484" s="55">
        <f ca="1">IFERROR(__xludf.DUMMYFUNCTION("""COMPUTED_VALUE"""),44399)</f>
        <v>44399</v>
      </c>
      <c r="I4484" s="25"/>
      <c r="J4484" s="55" t="str">
        <f ca="1">IFERROR(__xludf.DUMMYFUNCTION("""COMPUTED_VALUE"""),"Alta")</f>
        <v>Alta</v>
      </c>
      <c r="K4484" s="25">
        <f ca="1">IFERROR(__xludf.DUMMYFUNCTION("""COMPUTED_VALUE"""),30)</f>
        <v>30</v>
      </c>
      <c r="L4484" s="62">
        <f ca="1">IFERROR(__xludf.DUMMYFUNCTION("""COMPUTED_VALUE"""),44393)</f>
        <v>44393</v>
      </c>
      <c r="M4484" s="25" t="str">
        <f ca="1">IFERROR(__xludf.DUMMYFUNCTION("""COMPUTED_VALUE"""),"Se incluyó la descripción completa del borde occidental en el CONPEs de Movilidad 4034")</f>
        <v>Se incluyó la descripción completa del borde occidental en el CONPEs de Movilidad 4034</v>
      </c>
      <c r="N4484" s="55">
        <f ca="1">IFERROR(__xludf.DUMMYFUNCTION("""COMPUTED_VALUE"""),44393)</f>
        <v>44393</v>
      </c>
      <c r="O4484" s="25" t="str">
        <f t="shared" ca="1" si="0"/>
        <v>Secretaría Distrital de Movilidad</v>
      </c>
      <c r="P4484" s="25" t="str">
        <f t="shared" si="2"/>
        <v/>
      </c>
      <c r="Q4484" s="25" t="str">
        <f ca="1">IFERROR(__xludf.DUMMYFUNCTION("""COMPUTED_VALUE"""),"Corto plazo")</f>
        <v>Corto plazo</v>
      </c>
      <c r="R4484" s="25"/>
      <c r="S4484" s="55"/>
      <c r="T4484" s="56"/>
      <c r="U4484" s="25"/>
      <c r="V4484" s="25"/>
      <c r="W4484" s="25"/>
      <c r="X4484" s="25"/>
      <c r="Y4484" s="25"/>
      <c r="Z4484" s="25"/>
    </row>
    <row r="4485" spans="1:26" ht="52.5" customHeight="1" x14ac:dyDescent="0.25">
      <c r="A4485" s="25" t="str">
        <f ca="1">IFERROR(__xludf.DUMMYFUNCTION("""COMPUTED_VALUE"""),"Movil283")</f>
        <v>Movil283</v>
      </c>
      <c r="B4485" s="25" t="str">
        <f ca="1">IFERROR(__xludf.DUMMYFUNCTION("""COMPUTED_VALUE"""),"CONPES Min transporte")</f>
        <v>CONPES Min transporte</v>
      </c>
      <c r="C4485" s="55">
        <f ca="1">IFERROR(__xludf.DUMMYFUNCTION("""COMPUTED_VALUE"""),44369)</f>
        <v>44369</v>
      </c>
      <c r="D4485" s="25" t="str">
        <f ca="1">IFERROR(__xludf.DUMMYFUNCTION("""COMPUTED_VALUE"""),"Movilidad")</f>
        <v>Movilidad</v>
      </c>
      <c r="E4485" s="25" t="str">
        <f ca="1">IFERROR(__xludf.DUMMYFUNCTION("""COMPUTED_VALUE"""),"Secretaría Distrital de Movilidad")</f>
        <v>Secretaría Distrital de Movilidad</v>
      </c>
      <c r="F4485" s="25" t="str">
        <f ca="1">IFERROR(__xludf.DUMMYFUNCTION("""COMPUTED_VALUE"""),"Presentar trazabilidad de los cambios de TM7 a CV7 mostrando cubrimiento de demanda. 
  Hacer explícito que se sigue honrando el compromiso de la primera línea de metro.")</f>
        <v>Presentar trazabilidad de los cambios de TM7 a CV7 mostrando cubrimiento de demanda. 
  Hacer explícito que se sigue honrando el compromiso de la primera línea de metro.</v>
      </c>
      <c r="G4485" s="25" t="str">
        <f ca="1">IFERROR(__xludf.DUMMYFUNCTION("""COMPUTED_VALUE"""),"99. Distrito")</f>
        <v>99. Distrito</v>
      </c>
      <c r="H4485" s="55">
        <f ca="1">IFERROR(__xludf.DUMMYFUNCTION("""COMPUTED_VALUE"""),44399)</f>
        <v>44399</v>
      </c>
      <c r="I4485" s="25"/>
      <c r="J4485" s="55" t="str">
        <f ca="1">IFERROR(__xludf.DUMMYFUNCTION("""COMPUTED_VALUE"""),"Alta")</f>
        <v>Alta</v>
      </c>
      <c r="K4485" s="25">
        <f ca="1">IFERROR(__xludf.DUMMYFUNCTION("""COMPUTED_VALUE"""),30)</f>
        <v>30</v>
      </c>
      <c r="L4485" s="62">
        <f ca="1">IFERROR(__xludf.DUMMYFUNCTION("""COMPUTED_VALUE"""),44393)</f>
        <v>44393</v>
      </c>
      <c r="M4485" s="25" t="str">
        <f ca="1">IFERROR(__xludf.DUMMYFUNCTION("""COMPUTED_VALUE"""),"Se incluyó la descripción de  los cambios de la cra 7 en el CONPES 4034 y se adjuntan los estudios correspondientes")</f>
        <v>Se incluyó la descripción de  los cambios de la cra 7 en el CONPES 4034 y se adjuntan los estudios correspondientes</v>
      </c>
      <c r="N4485" s="55">
        <f ca="1">IFERROR(__xludf.DUMMYFUNCTION("""COMPUTED_VALUE"""),44393)</f>
        <v>44393</v>
      </c>
      <c r="O4485" s="25" t="str">
        <f t="shared" ca="1" si="0"/>
        <v>Secretaría Distrital de Movilidad</v>
      </c>
      <c r="P4485" s="25" t="str">
        <f t="shared" si="2"/>
        <v/>
      </c>
      <c r="Q4485" s="25" t="str">
        <f ca="1">IFERROR(__xludf.DUMMYFUNCTION("""COMPUTED_VALUE"""),"Corto plazo")</f>
        <v>Corto plazo</v>
      </c>
      <c r="R4485" s="25"/>
      <c r="S4485" s="55"/>
      <c r="T4485" s="56"/>
      <c r="U4485" s="25"/>
      <c r="V4485" s="25"/>
      <c r="W4485" s="25"/>
      <c r="X4485" s="25"/>
      <c r="Y4485" s="25"/>
      <c r="Z4485" s="25"/>
    </row>
    <row r="4486" spans="1:26" ht="52.5" customHeight="1" x14ac:dyDescent="0.25">
      <c r="A4486" s="25" t="str">
        <f ca="1">IFERROR(__xludf.DUMMYFUNCTION("""COMPUTED_VALUE"""),"Movil284")</f>
        <v>Movil284</v>
      </c>
      <c r="B4486" s="25" t="str">
        <f ca="1">IFERROR(__xludf.DUMMYFUNCTION("""COMPUTED_VALUE"""),"CONPES Min transporte")</f>
        <v>CONPES Min transporte</v>
      </c>
      <c r="C4486" s="55">
        <f ca="1">IFERROR(__xludf.DUMMYFUNCTION("""COMPUTED_VALUE"""),44369)</f>
        <v>44369</v>
      </c>
      <c r="D4486" s="25" t="str">
        <f ca="1">IFERROR(__xludf.DUMMYFUNCTION("""COMPUTED_VALUE"""),"Movilidad")</f>
        <v>Movilidad</v>
      </c>
      <c r="E4486" s="25" t="str">
        <f ca="1">IFERROR(__xludf.DUMMYFUNCTION("""COMPUTED_VALUE"""),"Secretaría Distrital de Movilidad")</f>
        <v>Secretaría Distrital de Movilidad</v>
      </c>
      <c r="F4486" s="25" t="str">
        <f ca="1">IFERROR(__xludf.DUMMYFUNCTION("""COMPUTED_VALUE"""),"Llevar a cabo Preconpes entre el 30 o 29 de junio para cerrar.")</f>
        <v>Llevar a cabo Preconpes entre el 30 o 29 de junio para cerrar.</v>
      </c>
      <c r="G4486" s="25" t="str">
        <f ca="1">IFERROR(__xludf.DUMMYFUNCTION("""COMPUTED_VALUE"""),"99. Distrito")</f>
        <v>99. Distrito</v>
      </c>
      <c r="H4486" s="55">
        <f ca="1">IFERROR(__xludf.DUMMYFUNCTION("""COMPUTED_VALUE"""),44399)</f>
        <v>44399</v>
      </c>
      <c r="I4486" s="25"/>
      <c r="J4486" s="55" t="str">
        <f ca="1">IFERROR(__xludf.DUMMYFUNCTION("""COMPUTED_VALUE"""),"Alta")</f>
        <v>Alta</v>
      </c>
      <c r="K4486" s="25">
        <f ca="1">IFERROR(__xludf.DUMMYFUNCTION("""COMPUTED_VALUE"""),30)</f>
        <v>30</v>
      </c>
      <c r="L4486" s="62">
        <f ca="1">IFERROR(__xludf.DUMMYFUNCTION("""COMPUTED_VALUE"""),44393)</f>
        <v>44393</v>
      </c>
      <c r="M4486" s="25" t="str">
        <f ca="1">IFERROR(__xludf.DUMMYFUNCTION("""COMPUTED_VALUE"""),"Se realizó la sesión de CONPES el 11 de julio donde se aprobó el documento y se publicó con número 4034 de 2021")</f>
        <v>Se realizó la sesión de CONPES el 11 de julio donde se aprobó el documento y se publicó con número 4034 de 2021</v>
      </c>
      <c r="N4486" s="55">
        <f ca="1">IFERROR(__xludf.DUMMYFUNCTION("""COMPUTED_VALUE"""),44393)</f>
        <v>44393</v>
      </c>
      <c r="O4486" s="25" t="str">
        <f t="shared" ca="1" si="0"/>
        <v>Secretaría Distrital de Movilidad</v>
      </c>
      <c r="P4486" s="25" t="str">
        <f t="shared" si="2"/>
        <v/>
      </c>
      <c r="Q4486" s="25" t="str">
        <f ca="1">IFERROR(__xludf.DUMMYFUNCTION("""COMPUTED_VALUE"""),"Corto plazo")</f>
        <v>Corto plazo</v>
      </c>
      <c r="R4486" s="25"/>
      <c r="S4486" s="55"/>
      <c r="T4486" s="56"/>
      <c r="U4486" s="25"/>
      <c r="V4486" s="25"/>
      <c r="W4486" s="25"/>
      <c r="X4486" s="25"/>
      <c r="Y4486" s="25"/>
      <c r="Z4486" s="25"/>
    </row>
    <row r="4487" spans="1:26" ht="52.5" customHeight="1" x14ac:dyDescent="0.25">
      <c r="A4487" s="25" t="str">
        <f ca="1">IFERROR(__xludf.DUMMYFUNCTION("""COMPUTED_VALUE"""),"Movil285")</f>
        <v>Movil285</v>
      </c>
      <c r="B4487" s="25" t="str">
        <f ca="1">IFERROR(__xludf.DUMMYFUNCTION("""COMPUTED_VALUE"""),"Junta de infraestructura del 16 de junio")</f>
        <v>Junta de infraestructura del 16 de junio</v>
      </c>
      <c r="C4487" s="55">
        <f ca="1">IFERROR(__xludf.DUMMYFUNCTION("""COMPUTED_VALUE"""),44363)</f>
        <v>44363</v>
      </c>
      <c r="D4487" s="25" t="str">
        <f ca="1">IFERROR(__xludf.DUMMYFUNCTION("""COMPUTED_VALUE"""),"Movilidad")</f>
        <v>Movilidad</v>
      </c>
      <c r="E4487" s="25" t="str">
        <f ca="1">IFERROR(__xludf.DUMMYFUNCTION("""COMPUTED_VALUE"""),"Instituto de Desarrollo Urbano")</f>
        <v>Instituto de Desarrollo Urbano</v>
      </c>
      <c r="F4487" s="25" t="str">
        <f ca="1">IFERROR(__xludf.DUMMYFUNCTION("""COMPUTED_VALUE"""),"Hacer un piloto para mejorar la imagen de las polisombras")</f>
        <v>Hacer un piloto para mejorar la imagen de las polisombras</v>
      </c>
      <c r="G4487" s="25" t="str">
        <f ca="1">IFERROR(__xludf.DUMMYFUNCTION("""COMPUTED_VALUE"""),"99. Distrito")</f>
        <v>99. Distrito</v>
      </c>
      <c r="H4487" s="55">
        <f ca="1">IFERROR(__xludf.DUMMYFUNCTION("""COMPUTED_VALUE"""),44393)</f>
        <v>44393</v>
      </c>
      <c r="I4487" s="25"/>
      <c r="J4487" s="55" t="str">
        <f ca="1">IFERROR(__xludf.DUMMYFUNCTION("""COMPUTED_VALUE"""),"Alta")</f>
        <v>Alta</v>
      </c>
      <c r="K4487" s="25">
        <f ca="1">IFERROR(__xludf.DUMMYFUNCTION("""COMPUTED_VALUE"""),30)</f>
        <v>30</v>
      </c>
      <c r="L4487" s="62">
        <f ca="1">IFERROR(__xludf.DUMMYFUNCTION("""COMPUTED_VALUE"""),44530)</f>
        <v>44530</v>
      </c>
      <c r="M4487" s="25" t="str">
        <f ca="1">IFERROR(__xludf.DUMMYFUNCTION("""COMPUTED_VALUE"""),"Ya se instalaron las primeras polisombras en el grupo 8 de troncal 68")</f>
        <v>Ya se instalaron las primeras polisombras en el grupo 8 de troncal 68</v>
      </c>
      <c r="N4487" s="55">
        <f ca="1">IFERROR(__xludf.DUMMYFUNCTION("""COMPUTED_VALUE"""),44530)</f>
        <v>44530</v>
      </c>
      <c r="O4487" s="25" t="str">
        <f t="shared" ca="1" si="0"/>
        <v>Instituto de Desarrollo Urbano</v>
      </c>
      <c r="P4487" s="25" t="str">
        <f t="shared" si="2"/>
        <v/>
      </c>
      <c r="Q4487" s="25" t="str">
        <f ca="1">IFERROR(__xludf.DUMMYFUNCTION("""COMPUTED_VALUE"""),"Corto plazo")</f>
        <v>Corto plazo</v>
      </c>
      <c r="R4487" s="25"/>
      <c r="S4487" s="55"/>
      <c r="T4487" s="56"/>
      <c r="U4487" s="25"/>
      <c r="V4487" s="25"/>
      <c r="W4487" s="25"/>
      <c r="X4487" s="25"/>
      <c r="Y4487" s="25"/>
      <c r="Z4487" s="25"/>
    </row>
    <row r="4488" spans="1:26" ht="52.5" customHeight="1" x14ac:dyDescent="0.25">
      <c r="A4488" s="25" t="str">
        <f ca="1">IFERROR(__xludf.DUMMYFUNCTION("""COMPUTED_VALUE"""),"Movil286")</f>
        <v>Movil286</v>
      </c>
      <c r="B4488" s="25" t="str">
        <f ca="1">IFERROR(__xludf.DUMMYFUNCTION("""COMPUTED_VALUE"""),"Junta de infraestructura del 16 de junio")</f>
        <v>Junta de infraestructura del 16 de junio</v>
      </c>
      <c r="C4488" s="55">
        <f ca="1">IFERROR(__xludf.DUMMYFUNCTION("""COMPUTED_VALUE"""),44363)</f>
        <v>44363</v>
      </c>
      <c r="D4488" s="25" t="str">
        <f ca="1">IFERROR(__xludf.DUMMYFUNCTION("""COMPUTED_VALUE"""),"Movilidad")</f>
        <v>Movilidad</v>
      </c>
      <c r="E4488" s="25" t="str">
        <f ca="1">IFERROR(__xludf.DUMMYFUNCTION("""COMPUTED_VALUE"""),"Instituto de Desarrollo Urbano")</f>
        <v>Instituto de Desarrollo Urbano</v>
      </c>
      <c r="F4488" s="25" t="str">
        <f ca="1">IFERROR(__xludf.DUMMYFUNCTION("""COMPUTED_VALUE"""),"Hacer un plan para mejorar las condiciones de la zona de la 122: Ciclorruta y andenes.")</f>
        <v>Hacer un plan para mejorar las condiciones de la zona de la 122: Ciclorruta y andenes.</v>
      </c>
      <c r="G4488" s="25" t="str">
        <f ca="1">IFERROR(__xludf.DUMMYFUNCTION("""COMPUTED_VALUE"""),"99. Distrito")</f>
        <v>99. Distrito</v>
      </c>
      <c r="H4488" s="55">
        <f ca="1">IFERROR(__xludf.DUMMYFUNCTION("""COMPUTED_VALUE"""),44393)</f>
        <v>44393</v>
      </c>
      <c r="I4488" s="25"/>
      <c r="J4488" s="55" t="str">
        <f ca="1">IFERROR(__xludf.DUMMYFUNCTION("""COMPUTED_VALUE"""),"Alta")</f>
        <v>Alta</v>
      </c>
      <c r="K4488" s="25">
        <f ca="1">IFERROR(__xludf.DUMMYFUNCTION("""COMPUTED_VALUE"""),30)</f>
        <v>30</v>
      </c>
      <c r="L4488" s="62">
        <f ca="1">IFERROR(__xludf.DUMMYFUNCTION("""COMPUTED_VALUE"""),44530)</f>
        <v>44530</v>
      </c>
      <c r="M4488" s="25" t="str">
        <f ca="1">IFERROR(__xludf.DUMMYFUNCTION("""COMPUTED_VALUE"""),"En atención a los requerimientos efectuados por la comunidad, mediante oficio SI 20212246440721 de 15/09/2021, la Secretaría Distrital de Movilidad informó ""…Es así que luego de la evaluación de las condiciones imperantes en el sector, de las necesidades"&amp;" de movilización de los residentes y de las dificultades para la ampliación del perfil, se plantea la siguiente sección como resultado del ejercicio de validación...""
- ...el andén sur mantendrá un ancho variable y en el costado norte se propone una fran"&amp;"ja de transición promedio de 1,40 metros.
- Si bien no se modifica la condición de la calzada existente, se debe tener en cuenta lo estipulado en el Manual de Señalización 2015, en cuanto a la señalización de carriles: ""...dada la importancia de estas lí"&amp;"neas (...) por lo anterior deberán seguirse las recomendaciones de la subdirección de señalización para la propuesta de demarcación del tramo (...)""
Por lo anterior, dicha alternativa fue socializada con la comunidad el 28/09/2021.
Respecto al control "&amp;"de cambios que está en cabeza del IDU, se encuentra en ajuste en los componentes de urbanismo y señalización y semaforización, para presentarla a más tardar el 03/12/2021 a SDM.")</f>
        <v>En atención a los requerimientos efectuados por la comunidad, mediante oficio SI 20212246440721 de 15/09/2021, la Secretaría Distrital de Movilidad informó "…Es así que luego de la evaluación de las condiciones imperantes en el sector, de las necesidades de movilización de los residentes y de las dificultades para la ampliación del perfil, se plantea la siguiente sección como resultado del ejercicio de validación..."
- ...el andén sur mantendrá un ancho variable y en el costado norte se propone una franja de transición promedio de 1,40 metros.
- Si bien no se modifica la condición de la calzada existente, se debe tener en cuenta lo estipulado en el Manual de Señalización 2015, en cuanto a la señalización de carriles: "...dada la importancia de estas líneas (...) por lo anterior deberán seguirse las recomendaciones de la subdirección de señalización para la propuesta de demarcación del tramo (...)"
Por lo anterior, dicha alternativa fue socializada con la comunidad el 28/09/2021.
Respecto al control de cambios que está en cabeza del IDU, se encuentra en ajuste en los componentes de urbanismo y señalización y semaforización, para presentarla a más tardar el 03/12/2021 a SDM.</v>
      </c>
      <c r="N4488" s="55">
        <f ca="1">IFERROR(__xludf.DUMMYFUNCTION("""COMPUTED_VALUE"""),44530)</f>
        <v>44530</v>
      </c>
      <c r="O4488" s="25" t="str">
        <f t="shared" ca="1" si="0"/>
        <v>Instituto de Desarrollo Urbano</v>
      </c>
      <c r="P4488" s="25" t="str">
        <f t="shared" si="2"/>
        <v/>
      </c>
      <c r="Q4488" s="25" t="str">
        <f ca="1">IFERROR(__xludf.DUMMYFUNCTION("""COMPUTED_VALUE"""),"Corto plazo")</f>
        <v>Corto plazo</v>
      </c>
      <c r="R4488" s="25"/>
      <c r="S4488" s="55"/>
      <c r="T4488" s="56"/>
      <c r="U4488" s="25"/>
      <c r="V4488" s="25"/>
      <c r="W4488" s="25"/>
      <c r="X4488" s="25"/>
      <c r="Y4488" s="25"/>
      <c r="Z4488" s="25"/>
    </row>
    <row r="4489" spans="1:26" ht="52.5" customHeight="1" x14ac:dyDescent="0.25">
      <c r="A4489" s="25" t="str">
        <f ca="1">IFERROR(__xludf.DUMMYFUNCTION("""COMPUTED_VALUE"""),"Movil287")</f>
        <v>Movil287</v>
      </c>
      <c r="B4489" s="25" t="str">
        <f ca="1">IFERROR(__xludf.DUMMYFUNCTION("""COMPUTED_VALUE"""),"Junta de infraestructura del 16 de junio")</f>
        <v>Junta de infraestructura del 16 de junio</v>
      </c>
      <c r="C4489" s="55">
        <f ca="1">IFERROR(__xludf.DUMMYFUNCTION("""COMPUTED_VALUE"""),44363)</f>
        <v>44363</v>
      </c>
      <c r="D4489" s="25" t="str">
        <f ca="1">IFERROR(__xludf.DUMMYFUNCTION("""COMPUTED_VALUE"""),"Movilidad")</f>
        <v>Movilidad</v>
      </c>
      <c r="E4489" s="25" t="str">
        <f ca="1">IFERROR(__xludf.DUMMYFUNCTION("""COMPUTED_VALUE"""),"Instituto de Desarrollo Urbano")</f>
        <v>Instituto de Desarrollo Urbano</v>
      </c>
      <c r="F4489" s="25" t="str">
        <f ca="1">IFERROR(__xludf.DUMMYFUNCTION("""COMPUTED_VALUE"""),"Desinstalar el semáforo provisional de la 14 con 85 y rehabilitar el paso peatonal")</f>
        <v>Desinstalar el semáforo provisional de la 14 con 85 y rehabilitar el paso peatonal</v>
      </c>
      <c r="G4489" s="25" t="str">
        <f ca="1">IFERROR(__xludf.DUMMYFUNCTION("""COMPUTED_VALUE"""),"99. Distrito")</f>
        <v>99. Distrito</v>
      </c>
      <c r="H4489" s="55">
        <f ca="1">IFERROR(__xludf.DUMMYFUNCTION("""COMPUTED_VALUE"""),44393)</f>
        <v>44393</v>
      </c>
      <c r="I4489" s="25"/>
      <c r="J4489" s="55" t="str">
        <f ca="1">IFERROR(__xludf.DUMMYFUNCTION("""COMPUTED_VALUE"""),"Alta")</f>
        <v>Alta</v>
      </c>
      <c r="K4489" s="25">
        <f ca="1">IFERROR(__xludf.DUMMYFUNCTION("""COMPUTED_VALUE"""),30)</f>
        <v>30</v>
      </c>
      <c r="L4489" s="62">
        <f ca="1">IFERROR(__xludf.DUMMYFUNCTION("""COMPUTED_VALUE"""),44377)</f>
        <v>44377</v>
      </c>
      <c r="M4489" s="25" t="str">
        <f ca="1">IFERROR(__xludf.DUMMYFUNCTION("""COMPUTED_VALUE"""),"Retiro semaforización temporal - Se realizó la reprogramación de los semáforos definitivos por SIEMENS el 17/06/2021. El contratista de obra retiró la semaforización temporal el 21/06/2021.")</f>
        <v>Retiro semaforización temporal - Se realizó la reprogramación de los semáforos definitivos por SIEMENS el 17/06/2021. El contratista de obra retiró la semaforización temporal el 21/06/2021.</v>
      </c>
      <c r="N4489" s="55">
        <f ca="1">IFERROR(__xludf.DUMMYFUNCTION("""COMPUTED_VALUE"""),44377)</f>
        <v>44377</v>
      </c>
      <c r="O4489" s="25" t="str">
        <f t="shared" ca="1" si="0"/>
        <v>Instituto de Desarrollo Urbano</v>
      </c>
      <c r="P4489" s="25" t="str">
        <f t="shared" si="2"/>
        <v/>
      </c>
      <c r="Q4489" s="25" t="str">
        <f ca="1">IFERROR(__xludf.DUMMYFUNCTION("""COMPUTED_VALUE"""),"Corto plazo")</f>
        <v>Corto plazo</v>
      </c>
      <c r="R4489" s="25"/>
      <c r="S4489" s="55"/>
      <c r="T4489" s="56"/>
      <c r="U4489" s="25"/>
      <c r="V4489" s="25"/>
      <c r="W4489" s="25"/>
      <c r="X4489" s="25"/>
      <c r="Y4489" s="25"/>
      <c r="Z4489" s="25"/>
    </row>
    <row r="4490" spans="1:26" ht="52.5" customHeight="1" x14ac:dyDescent="0.25">
      <c r="A4490" s="25" t="str">
        <f ca="1">IFERROR(__xludf.DUMMYFUNCTION("""COMPUTED_VALUE"""),"Movil288")</f>
        <v>Movil288</v>
      </c>
      <c r="B4490" s="25" t="str">
        <f ca="1">IFERROR(__xludf.DUMMYFUNCTION("""COMPUTED_VALUE"""),"Junta de infraestructura del 16 de junio")</f>
        <v>Junta de infraestructura del 16 de junio</v>
      </c>
      <c r="C4490" s="55">
        <f ca="1">IFERROR(__xludf.DUMMYFUNCTION("""COMPUTED_VALUE"""),44363)</f>
        <v>44363</v>
      </c>
      <c r="D4490" s="25" t="str">
        <f ca="1">IFERROR(__xludf.DUMMYFUNCTION("""COMPUTED_VALUE"""),"Movilidad")</f>
        <v>Movilidad</v>
      </c>
      <c r="E4490" s="25" t="str">
        <f ca="1">IFERROR(__xludf.DUMMYFUNCTION("""COMPUTED_VALUE"""),"Instituto de Desarrollo Urbano")</f>
        <v>Instituto de Desarrollo Urbano</v>
      </c>
      <c r="F4490" s="25" t="str">
        <f ca="1">IFERROR(__xludf.DUMMYFUNCTION("""COMPUTED_VALUE"""),"Enviar el trazado sobre plano y el perímetro circundante de las pilonas.")</f>
        <v>Enviar el trazado sobre plano y el perímetro circundante de las pilonas.</v>
      </c>
      <c r="G4490" s="25" t="str">
        <f ca="1">IFERROR(__xludf.DUMMYFUNCTION("""COMPUTED_VALUE"""),"99. Distrito")</f>
        <v>99. Distrito</v>
      </c>
      <c r="H4490" s="55">
        <f ca="1">IFERROR(__xludf.DUMMYFUNCTION("""COMPUTED_VALUE"""),44393)</f>
        <v>44393</v>
      </c>
      <c r="I4490" s="25"/>
      <c r="J4490" s="55" t="str">
        <f ca="1">IFERROR(__xludf.DUMMYFUNCTION("""COMPUTED_VALUE"""),"Alta")</f>
        <v>Alta</v>
      </c>
      <c r="K4490" s="25">
        <f ca="1">IFERROR(__xludf.DUMMYFUNCTION("""COMPUTED_VALUE"""),30)</f>
        <v>30</v>
      </c>
      <c r="L4490" s="62">
        <f ca="1">IFERROR(__xludf.DUMMYFUNCTION("""COMPUTED_VALUE"""),44421)</f>
        <v>44421</v>
      </c>
      <c r="M4490" s="25" t="str">
        <f ca="1">IFERROR(__xludf.DUMMYFUNCTION("""COMPUTED_VALUE"""),"Se remitió a la SDHT el archivo Shape con la afectación predial de estaciones y pilonas")</f>
        <v>Se remitió a la SDHT el archivo Shape con la afectación predial de estaciones y pilonas</v>
      </c>
      <c r="N4490" s="55">
        <f ca="1">IFERROR(__xludf.DUMMYFUNCTION("""COMPUTED_VALUE"""),44421)</f>
        <v>44421</v>
      </c>
      <c r="O4490" s="25" t="str">
        <f t="shared" ca="1" si="0"/>
        <v>Instituto de Desarrollo Urbano</v>
      </c>
      <c r="P4490" s="25" t="str">
        <f t="shared" si="2"/>
        <v/>
      </c>
      <c r="Q4490" s="25" t="str">
        <f ca="1">IFERROR(__xludf.DUMMYFUNCTION("""COMPUTED_VALUE"""),"Corto plazo")</f>
        <v>Corto plazo</v>
      </c>
      <c r="R4490" s="25"/>
      <c r="S4490" s="55"/>
      <c r="T4490" s="56"/>
      <c r="U4490" s="25"/>
      <c r="V4490" s="25"/>
      <c r="W4490" s="25"/>
      <c r="X4490" s="25"/>
      <c r="Y4490" s="25"/>
      <c r="Z4490" s="25"/>
    </row>
    <row r="4491" spans="1:26" ht="52.5" customHeight="1" x14ac:dyDescent="0.25">
      <c r="A4491" s="25" t="str">
        <f ca="1">IFERROR(__xludf.DUMMYFUNCTION("""COMPUTED_VALUE"""),"Movil289")</f>
        <v>Movil289</v>
      </c>
      <c r="B4491" s="25" t="str">
        <f ca="1">IFERROR(__xludf.DUMMYFUNCTION("""COMPUTED_VALUE"""),"Junta de infraestructura del 16 de junio")</f>
        <v>Junta de infraestructura del 16 de junio</v>
      </c>
      <c r="C4491" s="55">
        <f ca="1">IFERROR(__xludf.DUMMYFUNCTION("""COMPUTED_VALUE"""),44363)</f>
        <v>44363</v>
      </c>
      <c r="D4491" s="25" t="str">
        <f ca="1">IFERROR(__xludf.DUMMYFUNCTION("""COMPUTED_VALUE"""),"Movilidad")</f>
        <v>Movilidad</v>
      </c>
      <c r="E4491" s="25" t="str">
        <f ca="1">IFERROR(__xludf.DUMMYFUNCTION("""COMPUTED_VALUE"""),"Instituto de Desarrollo Urbano")</f>
        <v>Instituto de Desarrollo Urbano</v>
      </c>
      <c r="F4491" s="25" t="str">
        <f ca="1">IFERROR(__xludf.DUMMYFUNCTION("""COMPUTED_VALUE"""),"Hacer estudios y diseños y las obras complementarias del Canal Córdoba")</f>
        <v>Hacer estudios y diseños y las obras complementarias del Canal Córdoba</v>
      </c>
      <c r="G4491" s="25" t="str">
        <f ca="1">IFERROR(__xludf.DUMMYFUNCTION("""COMPUTED_VALUE"""),"99. Distrito")</f>
        <v>99. Distrito</v>
      </c>
      <c r="H4491" s="55">
        <f ca="1">IFERROR(__xludf.DUMMYFUNCTION("""COMPUTED_VALUE"""),44393)</f>
        <v>44393</v>
      </c>
      <c r="I4491" s="25"/>
      <c r="J4491" s="55" t="str">
        <f ca="1">IFERROR(__xludf.DUMMYFUNCTION("""COMPUTED_VALUE"""),"Alta")</f>
        <v>Alta</v>
      </c>
      <c r="K4491" s="25">
        <f ca="1">IFERROR(__xludf.DUMMYFUNCTION("""COMPUTED_VALUE"""),30)</f>
        <v>30</v>
      </c>
      <c r="L4491" s="62">
        <f ca="1">IFERROR(__xludf.DUMMYFUNCTION("""COMPUTED_VALUE"""),44776)</f>
        <v>44776</v>
      </c>
      <c r="M4491" s="25" t="str">
        <f ca="1">IFERROR(__xludf.DUMMYFUNCTION("""COMPUTED_VALUE"""),"Recorrido EAAB-IDU Conexiones erradas el 24/02/2021. Mesa de trabajo EAAB-IDU - Remisión
línea de intervención el 23/07/2021. El 13/08/2021 se hizo mesa de trabajo con veeduría.
Recorrido EAAB-IDU conexiones erradas el 30/09/2021. Recorrido EAAB - IDU - C"&amp;"OMUNIDAD
Conexiones erradas calle 152-170 el 14/10/2021
A cargo de la Dirección Red troncal Alcantarillado a la fecha se encuentra firmado el contrato No.
1-01-25500-1039-2022, en el cual, dentro de uno de los puntos a intervenir se encuentra
la conexión "&amp;"errada ubicada sobre el costado oriental del canal Córdoba, a la altura de la calle 152,
vertimiento errado que se prevé que esté intervenido en el segundo trimestre del año 2022.
Se le da cierre al compromiso con la comunidad.")</f>
        <v>Recorrido EAAB-IDU Conexiones erradas el 24/02/2021. Mesa de trabajo EAAB-IDU - Remisión
línea de intervención el 23/07/2021. El 13/08/2021 se hizo mesa de trabajo con veeduría.
Recorrido EAAB-IDU conexiones erradas el 30/09/2021. Recorrido EAAB - IDU - COMUNIDAD
Conexiones erradas calle 152-170 el 14/10/2021
A cargo de la Dirección Red troncal Alcantarillado a la fecha se encuentra firmado el contrato No.
1-01-25500-1039-2022, en el cual, dentro de uno de los puntos a intervenir se encuentra
la conexión errada ubicada sobre el costado oriental del canal Córdoba, a la altura de la calle 152,
vertimiento errado que se prevé que esté intervenido en el segundo trimestre del año 2022.
Se le da cierre al compromiso con la comunidad.</v>
      </c>
      <c r="N4491" s="55">
        <f ca="1">IFERROR(__xludf.DUMMYFUNCTION("""COMPUTED_VALUE"""),44776)</f>
        <v>44776</v>
      </c>
      <c r="O4491" s="25" t="str">
        <f t="shared" ca="1" si="0"/>
        <v>Instituto de Desarrollo Urbano</v>
      </c>
      <c r="P4491" s="25" t="str">
        <f t="shared" si="2"/>
        <v/>
      </c>
      <c r="Q4491" s="25" t="str">
        <f ca="1">IFERROR(__xludf.DUMMYFUNCTION("""COMPUTED_VALUE"""),"Corto plazo")</f>
        <v>Corto plazo</v>
      </c>
      <c r="R4491" s="25"/>
      <c r="S4491" s="55"/>
      <c r="T4491" s="56"/>
      <c r="U4491" s="25"/>
      <c r="V4491" s="25"/>
      <c r="W4491" s="25"/>
      <c r="X4491" s="25"/>
      <c r="Y4491" s="25"/>
      <c r="Z4491" s="25"/>
    </row>
    <row r="4492" spans="1:26" ht="52.5" customHeight="1" x14ac:dyDescent="0.25">
      <c r="A4492" s="25" t="str">
        <f ca="1">IFERROR(__xludf.DUMMYFUNCTION("""COMPUTED_VALUE"""),"Movil290")</f>
        <v>Movil290</v>
      </c>
      <c r="B4492" s="25" t="str">
        <f ca="1">IFERROR(__xludf.DUMMYFUNCTION("""COMPUTED_VALUE"""),"Evaluación de alternativas para mejorar la movilidad UPZ Tintal Norte - UPZ Calandaima (Localidad de Kennedy)")</f>
        <v>Evaluación de alternativas para mejorar la movilidad UPZ Tintal Norte - UPZ Calandaima (Localidad de Kennedy)</v>
      </c>
      <c r="C4492" s="55">
        <f ca="1">IFERROR(__xludf.DUMMYFUNCTION("""COMPUTED_VALUE"""),44347)</f>
        <v>44347</v>
      </c>
      <c r="D4492" s="25" t="str">
        <f ca="1">IFERROR(__xludf.DUMMYFUNCTION("""COMPUTED_VALUE"""),"Movilidad")</f>
        <v>Movilidad</v>
      </c>
      <c r="E4492" s="25" t="str">
        <f ca="1">IFERROR(__xludf.DUMMYFUNCTION("""COMPUTED_VALUE"""),"Secretaría Distrital de Movilidad")</f>
        <v>Secretaría Distrital de Movilidad</v>
      </c>
      <c r="F4492" s="25" t="str">
        <f ca="1">IFERROR(__xludf.DUMMYFUNCTION("""COMPUTED_VALUE"""),"Formalizar y pavimentar reserva vial cruce Carrera 93D. Revisar con infraestructura puente de conexión UPZ Calandaima y UPZ Tintal abajo Carrera 93D. Revisar en qué estado está la ampliación de la Av. Manuel Cepeda. Reunión para revisar qué se puede hacer"&amp;" para reorganizar los sentidos de las vías (Recorrido).")</f>
        <v>Formalizar y pavimentar reserva vial cruce Carrera 93D. Revisar con infraestructura puente de conexión UPZ Calandaima y UPZ Tintal abajo Carrera 93D. Revisar en qué estado está la ampliación de la Av. Manuel Cepeda. Reunión para revisar qué se puede hacer para reorganizar los sentidos de las vías (Recorrido).</v>
      </c>
      <c r="G4492" s="55" t="str">
        <f ca="1">IFERROR(__xludf.DUMMYFUNCTION("""COMPUTED_VALUE"""),"08. Kennedy")</f>
        <v>08. Kennedy</v>
      </c>
      <c r="H4492" s="55">
        <f ca="1">IFERROR(__xludf.DUMMYFUNCTION("""COMPUTED_VALUE"""),44377)</f>
        <v>44377</v>
      </c>
      <c r="I4492" s="25"/>
      <c r="J4492" s="55" t="str">
        <f ca="1">IFERROR(__xludf.DUMMYFUNCTION("""COMPUTED_VALUE"""),"Alta")</f>
        <v>Alta</v>
      </c>
      <c r="K4492" s="25">
        <f ca="1">IFERROR(__xludf.DUMMYFUNCTION("""COMPUTED_VALUE"""),30)</f>
        <v>30</v>
      </c>
      <c r="L4492" s="62">
        <f ca="1">IFERROR(__xludf.DUMMYFUNCTION("""COMPUTED_VALUE"""),44321)</f>
        <v>44321</v>
      </c>
      <c r="M4492" s="25" t="str">
        <f ca="1">IFERROR(__xludf.DUMMYFUNCTION("""COMPUTED_VALUE"""),"Se culmina la fase de análisis de viabilidad. La Subdirección de Infraestructura junto con la Subdirección de Semaforización elaboran Documento Técnico de Soporte donde se evalúan alternativas que mejoren la movilidad y accesibilidad en términos de infrae"&amp;"structura de las piezas urbanas noroccidentales de las UPZ Calandaima y Tintal Norte, estimando costos y posible ejecución. Queda abierta a la discusión de la adquisición de recurso para su ejecución con la UMV.El 19/05/21 se realizó la socialización con "&amp;"Ediles de Kennedy.")</f>
        <v>Se culmina la fase de análisis de viabilidad. La Subdirección de Infraestructura junto con la Subdirección de Semaforización elaboran Documento Técnico de Soporte donde se evalúan alternativas que mejoren la movilidad y accesibilidad en términos de infraestructura de las piezas urbanas noroccidentales de las UPZ Calandaima y Tintal Norte, estimando costos y posible ejecución. Queda abierta a la discusión de la adquisición de recurso para su ejecución con la UMV.El 19/05/21 se realizó la socialización con Ediles de Kennedy.</v>
      </c>
      <c r="N4492" s="55">
        <f ca="1">IFERROR(__xludf.DUMMYFUNCTION("""COMPUTED_VALUE"""),44321)</f>
        <v>44321</v>
      </c>
      <c r="O4492" s="25" t="str">
        <f t="shared" ca="1" si="0"/>
        <v>Secretaría Distrital de Movilidad</v>
      </c>
      <c r="P4492" s="25" t="str">
        <f t="shared" si="2"/>
        <v/>
      </c>
      <c r="Q4492" s="25" t="str">
        <f ca="1">IFERROR(__xludf.DUMMYFUNCTION("""COMPUTED_VALUE"""),"Corto plazo")</f>
        <v>Corto plazo</v>
      </c>
      <c r="R4492" s="25"/>
      <c r="S4492" s="55"/>
      <c r="T4492" s="56"/>
      <c r="U4492" s="25"/>
      <c r="V4492" s="25"/>
      <c r="W4492" s="25"/>
      <c r="X4492" s="25"/>
      <c r="Y4492" s="25"/>
      <c r="Z4492" s="25"/>
    </row>
    <row r="4493" spans="1:26" ht="52.5" customHeight="1" x14ac:dyDescent="0.25">
      <c r="A4493" s="25" t="str">
        <f ca="1">IFERROR(__xludf.DUMMYFUNCTION("""COMPUTED_VALUE"""),"Movil291")</f>
        <v>Movil291</v>
      </c>
      <c r="B4493" s="25" t="str">
        <f ca="1">IFERROR(__xludf.DUMMYFUNCTION("""COMPUTED_VALUE"""),"Revisión Operador Público 25 de mayo")</f>
        <v>Revisión Operador Público 25 de mayo</v>
      </c>
      <c r="C4493" s="55">
        <f ca="1">IFERROR(__xludf.DUMMYFUNCTION("""COMPUTED_VALUE"""),44341)</f>
        <v>44341</v>
      </c>
      <c r="D4493" s="25" t="str">
        <f ca="1">IFERROR(__xludf.DUMMYFUNCTION("""COMPUTED_VALUE"""),"Movilidad")</f>
        <v>Movilidad</v>
      </c>
      <c r="E4493" s="25" t="str">
        <f ca="1">IFERROR(__xludf.DUMMYFUNCTION("""COMPUTED_VALUE"""),"Empresa de Transporte del Tercer Milenio - Transmilenio S.A.")</f>
        <v>Empresa de Transporte del Tercer Milenio - Transmilenio S.A.</v>
      </c>
      <c r="F4493" s="25" t="str">
        <f ca="1">IFERROR(__xludf.DUMMYFUNCTION("""COMPUTED_VALUE"""),"Buscar al ciudadano que tiene registrado la marca de “Ropa” para proponerle un acuerdo de uso de la marca para poder usar “La Rolita” en el operador público")</f>
        <v>Buscar al ciudadano que tiene registrado la marca de “Ropa” para proponerle un acuerdo de uso de la marca para poder usar “La Rolita” en el operador público</v>
      </c>
      <c r="G4493" s="25" t="str">
        <f ca="1">IFERROR(__xludf.DUMMYFUNCTION("""COMPUTED_VALUE"""),"99. Distrito")</f>
        <v>99. Distrito</v>
      </c>
      <c r="H4493" s="55">
        <f ca="1">IFERROR(__xludf.DUMMYFUNCTION("""COMPUTED_VALUE"""),44371)</f>
        <v>44371</v>
      </c>
      <c r="I4493" s="25"/>
      <c r="J4493" s="55" t="str">
        <f ca="1">IFERROR(__xludf.DUMMYFUNCTION("""COMPUTED_VALUE"""),"Alta")</f>
        <v>Alta</v>
      </c>
      <c r="K4493" s="25">
        <f ca="1">IFERROR(__xludf.DUMMYFUNCTION("""COMPUTED_VALUE"""),30)</f>
        <v>30</v>
      </c>
      <c r="L4493" s="62">
        <f ca="1">IFERROR(__xludf.DUMMYFUNCTION("""COMPUTED_VALUE"""),44575)</f>
        <v>44575</v>
      </c>
      <c r="M4493" s="25" t="str">
        <f ca="1">IFERROR(__xludf.DUMMYFUNCTION("""COMPUTED_VALUE"""),"La gestión de trámite surtido desde TRANSMILENIO S.A. para el registro de la marca “La Rolita” se adelantó en compañía de nuestro consultor en Propiedad Intelectual CAVELIER ABOGADOS S.A.S. y en conjunto con la Gerencia, las Gerencias General y de Desarro"&amp;"llo de Negocios de TRANSMILENIO S.A. así como también participaron el área de Comunicaciones y la Gerencia del nuevo operador Distrital.
En la actualidad el registro de la marca nominativa, se encuentra a titularidad de TRANSMILENIO S.A. ")</f>
        <v xml:space="preserve">La gestión de trámite surtido desde TRANSMILENIO S.A. para el registro de la marca “La Rolita” se adelantó en compañía de nuestro consultor en Propiedad Intelectual CAVELIER ABOGADOS S.A.S. y en conjunto con la Gerencia, las Gerencias General y de Desarrollo de Negocios de TRANSMILENIO S.A. así como también participaron el área de Comunicaciones y la Gerencia del nuevo operador Distrital.
En la actualidad el registro de la marca nominativa, se encuentra a titularidad de TRANSMILENIO S.A. </v>
      </c>
      <c r="N4493" s="55">
        <f ca="1">IFERROR(__xludf.DUMMYFUNCTION("""COMPUTED_VALUE"""),44575)</f>
        <v>44575</v>
      </c>
      <c r="O4493" s="25" t="str">
        <f t="shared" ca="1" si="0"/>
        <v>Empresa de Transporte del Tercer Milenio - Transmilenio S.A.</v>
      </c>
      <c r="P4493" s="25" t="str">
        <f t="shared" si="2"/>
        <v/>
      </c>
      <c r="Q4493" s="25" t="str">
        <f ca="1">IFERROR(__xludf.DUMMYFUNCTION("""COMPUTED_VALUE"""),"Corto plazo")</f>
        <v>Corto plazo</v>
      </c>
      <c r="R4493" s="25"/>
      <c r="S4493" s="55"/>
      <c r="T4493" s="56"/>
      <c r="U4493" s="25"/>
      <c r="V4493" s="25"/>
      <c r="W4493" s="25"/>
      <c r="X4493" s="25"/>
      <c r="Y4493" s="25"/>
      <c r="Z4493" s="25"/>
    </row>
    <row r="4494" spans="1:26" ht="52.5" customHeight="1" x14ac:dyDescent="0.25">
      <c r="A4494" s="25" t="str">
        <f ca="1">IFERROR(__xludf.DUMMYFUNCTION("""COMPUTED_VALUE"""),"Movil292")</f>
        <v>Movil292</v>
      </c>
      <c r="B4494" s="25" t="str">
        <f ca="1">IFERROR(__xludf.DUMMYFUNCTION("""COMPUTED_VALUE"""),"Revisión Operador Público 25 de mayo")</f>
        <v>Revisión Operador Público 25 de mayo</v>
      </c>
      <c r="C4494" s="55">
        <f ca="1">IFERROR(__xludf.DUMMYFUNCTION("""COMPUTED_VALUE"""),44341)</f>
        <v>44341</v>
      </c>
      <c r="D4494" s="25" t="str">
        <f ca="1">IFERROR(__xludf.DUMMYFUNCTION("""COMPUTED_VALUE"""),"Movilidad")</f>
        <v>Movilidad</v>
      </c>
      <c r="E4494" s="25" t="str">
        <f ca="1">IFERROR(__xludf.DUMMYFUNCTION("""COMPUTED_VALUE"""),"Empresa de Transporte del Tercer Milenio - Transmilenio S.A.")</f>
        <v>Empresa de Transporte del Tercer Milenio - Transmilenio S.A.</v>
      </c>
      <c r="F4494" s="25" t="str">
        <f ca="1">IFERROR(__xludf.DUMMYFUNCTION("""COMPUTED_VALUE"""),"Revisar si se puede usar el nombre “Sabanero”")</f>
        <v>Revisar si se puede usar el nombre “Sabanero”</v>
      </c>
      <c r="G4494" s="25" t="str">
        <f ca="1">IFERROR(__xludf.DUMMYFUNCTION("""COMPUTED_VALUE"""),"99. Distrito")</f>
        <v>99. Distrito</v>
      </c>
      <c r="H4494" s="55">
        <f ca="1">IFERROR(__xludf.DUMMYFUNCTION("""COMPUTED_VALUE"""),44371)</f>
        <v>44371</v>
      </c>
      <c r="I4494" s="25"/>
      <c r="J4494" s="55" t="str">
        <f ca="1">IFERROR(__xludf.DUMMYFUNCTION("""COMPUTED_VALUE"""),"Alta")</f>
        <v>Alta</v>
      </c>
      <c r="K4494" s="25">
        <f ca="1">IFERROR(__xludf.DUMMYFUNCTION("""COMPUTED_VALUE"""),30)</f>
        <v>30</v>
      </c>
      <c r="L4494" s="62">
        <f ca="1">IFERROR(__xludf.DUMMYFUNCTION("""COMPUTED_VALUE"""),44425)</f>
        <v>44425</v>
      </c>
      <c r="M4494" s="25" t="str">
        <f ca="1">IFERROR(__xludf.DUMMYFUNCTION("""COMPUTED_VALUE"""),"La gestión de trámite surtido desde TRANSMILENIO S.A. para el registro de la marca “La Rolita” se adelantó en compañía de nuestro consultor en Propiedad Intelectual CAVELIER ABOGADOS S.A.S. y en conjunto con la Gerencia, las Gerencias General y de Desarro"&amp;"llo de Negocios de TRANSMILENIO S.A. así como también participaron el área de Comunicaciones y la Gerencia del nuevo operador Distrital.
En la actualidad el registro de la marca nominativa, se encuentra a titularidad de TRANSMILENIO S.A. ")</f>
        <v xml:space="preserve">La gestión de trámite surtido desde TRANSMILENIO S.A. para el registro de la marca “La Rolita” se adelantó en compañía de nuestro consultor en Propiedad Intelectual CAVELIER ABOGADOS S.A.S. y en conjunto con la Gerencia, las Gerencias General y de Desarrollo de Negocios de TRANSMILENIO S.A. así como también participaron el área de Comunicaciones y la Gerencia del nuevo operador Distrital.
En la actualidad el registro de la marca nominativa, se encuentra a titularidad de TRANSMILENIO S.A. </v>
      </c>
      <c r="N4494" s="55">
        <f ca="1">IFERROR(__xludf.DUMMYFUNCTION("""COMPUTED_VALUE"""),44425)</f>
        <v>44425</v>
      </c>
      <c r="O4494" s="25" t="str">
        <f t="shared" ca="1" si="0"/>
        <v>Empresa de Transporte del Tercer Milenio - Transmilenio S.A.</v>
      </c>
      <c r="P4494" s="25" t="str">
        <f t="shared" si="2"/>
        <v/>
      </c>
      <c r="Q4494" s="25" t="str">
        <f ca="1">IFERROR(__xludf.DUMMYFUNCTION("""COMPUTED_VALUE"""),"Corto plazo")</f>
        <v>Corto plazo</v>
      </c>
      <c r="R4494" s="25"/>
      <c r="S4494" s="55"/>
      <c r="T4494" s="56"/>
      <c r="U4494" s="25"/>
      <c r="V4494" s="25"/>
      <c r="W4494" s="25"/>
      <c r="X4494" s="25"/>
      <c r="Y4494" s="25"/>
      <c r="Z4494" s="25"/>
    </row>
    <row r="4495" spans="1:26" ht="52.5" customHeight="1" x14ac:dyDescent="0.25">
      <c r="A4495" s="25" t="str">
        <f ca="1">IFERROR(__xludf.DUMMYFUNCTION("""COMPUTED_VALUE"""),"Movil293")</f>
        <v>Movil293</v>
      </c>
      <c r="B4495" s="25" t="str">
        <f ca="1">IFERROR(__xludf.DUMMYFUNCTION("""COMPUTED_VALUE"""),"Revisión Operador Público 25 de mayo")</f>
        <v>Revisión Operador Público 25 de mayo</v>
      </c>
      <c r="C4495" s="55">
        <f ca="1">IFERROR(__xludf.DUMMYFUNCTION("""COMPUTED_VALUE"""),44341)</f>
        <v>44341</v>
      </c>
      <c r="D4495" s="25" t="str">
        <f ca="1">IFERROR(__xludf.DUMMYFUNCTION("""COMPUTED_VALUE"""),"Movilidad")</f>
        <v>Movilidad</v>
      </c>
      <c r="E4495" s="25" t="str">
        <f ca="1">IFERROR(__xludf.DUMMYFUNCTION("""COMPUTED_VALUE"""),"Empresa de Transporte del Tercer Milenio - Transmilenio S.A.")</f>
        <v>Empresa de Transporte del Tercer Milenio - Transmilenio S.A.</v>
      </c>
      <c r="F4495" s="25" t="str">
        <f ca="1">IFERROR(__xludf.DUMMYFUNCTION("""COMPUTED_VALUE"""),"Revisar si se pueden licitar las puertas por ""urgencia manifiesta""")</f>
        <v>Revisar si se pueden licitar las puertas por "urgencia manifiesta"</v>
      </c>
      <c r="G4495" s="25" t="str">
        <f ca="1">IFERROR(__xludf.DUMMYFUNCTION("""COMPUTED_VALUE"""),"99. Distrito")</f>
        <v>99. Distrito</v>
      </c>
      <c r="H4495" s="55">
        <f ca="1">IFERROR(__xludf.DUMMYFUNCTION("""COMPUTED_VALUE"""),44371)</f>
        <v>44371</v>
      </c>
      <c r="I4495" s="25"/>
      <c r="J4495" s="55" t="str">
        <f ca="1">IFERROR(__xludf.DUMMYFUNCTION("""COMPUTED_VALUE"""),"Alta")</f>
        <v>Alta</v>
      </c>
      <c r="K4495" s="25">
        <f ca="1">IFERROR(__xludf.DUMMYFUNCTION("""COMPUTED_VALUE"""),30)</f>
        <v>30</v>
      </c>
      <c r="L4495" s="62">
        <f ca="1">IFERROR(__xludf.DUMMYFUNCTION("""COMPUTED_VALUE"""),44407)</f>
        <v>44407</v>
      </c>
      <c r="M4495" s="25" t="str">
        <f ca="1">IFERROR(__xludf.DUMMYFUNCTION("""COMPUTED_VALUE"""),"No es viable acudir al recurso de urgencia manifiesta sólo por las puertas porque: 
1. La licitación no obedece a una necesidad creada por los daños en el sistema. 
2. El proceso venía siendo estructurado bajo la necesidad de mitigar evasión. (Algunos pun"&amp;"tos pueden coincidir pero otros no. Si se priorizan los vandalizados, se estarían dejando de lado aquellos puntos más altos de evasión en el sistema, las estructuración trabajada desde hace tanto tiempo no tendría sentido.)
3. Solo se va a licitar el 30% "&amp;"de las puertas del sistema, priorizados por tener porcentajes de evasión más altos. 
4. Un gran porcentaje de puertas del sistema llevan sin funcionar hace un buen tiempo. 
5. El objeto de la licitación incluye un diseño, pruebas y demás actividades que r"&amp;"equieren estudio y tiempo por parte del contratista. No se trata de un cto de suministro o de obra.")</f>
        <v>No es viable acudir al recurso de urgencia manifiesta sólo por las puertas porque: 
1. La licitación no obedece a una necesidad creada por los daños en el sistema. 
2. El proceso venía siendo estructurado bajo la necesidad de mitigar evasión. (Algunos puntos pueden coincidir pero otros no. Si se priorizan los vandalizados, se estarían dejando de lado aquellos puntos más altos de evasión en el sistema, las estructuración trabajada desde hace tanto tiempo no tendría sentido.)
3. Solo se va a licitar el 30% de las puertas del sistema, priorizados por tener porcentajes de evasión más altos. 
4. Un gran porcentaje de puertas del sistema llevan sin funcionar hace un buen tiempo. 
5. El objeto de la licitación incluye un diseño, pruebas y demás actividades que requieren estudio y tiempo por parte del contratista. No se trata de un cto de suministro o de obra.</v>
      </c>
      <c r="N4495" s="55">
        <f ca="1">IFERROR(__xludf.DUMMYFUNCTION("""COMPUTED_VALUE"""),44407)</f>
        <v>44407</v>
      </c>
      <c r="O4495" s="25" t="str">
        <f t="shared" ca="1" si="0"/>
        <v>Empresa de Transporte del Tercer Milenio - Transmilenio S.A.</v>
      </c>
      <c r="P4495" s="25" t="str">
        <f t="shared" si="2"/>
        <v/>
      </c>
      <c r="Q4495" s="25" t="str">
        <f ca="1">IFERROR(__xludf.DUMMYFUNCTION("""COMPUTED_VALUE"""),"Corto plazo")</f>
        <v>Corto plazo</v>
      </c>
      <c r="R4495" s="25"/>
      <c r="S4495" s="55"/>
      <c r="T4495" s="56"/>
      <c r="U4495" s="25"/>
      <c r="V4495" s="25"/>
      <c r="W4495" s="25"/>
      <c r="X4495" s="25"/>
      <c r="Y4495" s="25"/>
      <c r="Z4495" s="25"/>
    </row>
    <row r="4496" spans="1:26" ht="52.5" customHeight="1" x14ac:dyDescent="0.25">
      <c r="A4496" s="25" t="str">
        <f ca="1">IFERROR(__xludf.DUMMYFUNCTION("""COMPUTED_VALUE"""),"Movil294")</f>
        <v>Movil294</v>
      </c>
      <c r="B4496" s="25" t="str">
        <f ca="1">IFERROR(__xludf.DUMMYFUNCTION("""COMPUTED_VALUE"""),"Recorrido")</f>
        <v>Recorrido</v>
      </c>
      <c r="C4496" s="55">
        <f ca="1">IFERROR(__xludf.DUMMYFUNCTION("""COMPUTED_VALUE"""),44330)</f>
        <v>44330</v>
      </c>
      <c r="D4496" s="25" t="str">
        <f ca="1">IFERROR(__xludf.DUMMYFUNCTION("""COMPUTED_VALUE"""),"Movilidad")</f>
        <v>Movilidad</v>
      </c>
      <c r="E4496" s="25" t="str">
        <f ca="1">IFERROR(__xludf.DUMMYFUNCTION("""COMPUTED_VALUE"""),"Secretaría Distrital de Movilidad")</f>
        <v>Secretaría Distrital de Movilidad</v>
      </c>
      <c r="F4496" s="25" t="str">
        <f ca="1">IFERROR(__xludf.DUMMYFUNCTION("""COMPUTED_VALUE"""),"Establecer reunión entre ediles localidad y Gerencia en vía para solucionar problemáticas en vías")</f>
        <v>Establecer reunión entre ediles localidad y Gerencia en vía para solucionar problemáticas en vías</v>
      </c>
      <c r="G4496" s="55" t="str">
        <f ca="1">IFERROR(__xludf.DUMMYFUNCTION("""COMPUTED_VALUE"""),"08. Kennedy")</f>
        <v>08. Kennedy</v>
      </c>
      <c r="H4496" s="55">
        <f ca="1">IFERROR(__xludf.DUMMYFUNCTION("""COMPUTED_VALUE"""),44360)</f>
        <v>44360</v>
      </c>
      <c r="I4496" s="25"/>
      <c r="J4496" s="55" t="str">
        <f ca="1">IFERROR(__xludf.DUMMYFUNCTION("""COMPUTED_VALUE"""),"Alta")</f>
        <v>Alta</v>
      </c>
      <c r="K4496" s="25">
        <f ca="1">IFERROR(__xludf.DUMMYFUNCTION("""COMPUTED_VALUE"""),30)</f>
        <v>30</v>
      </c>
      <c r="L4496" s="62">
        <f ca="1">IFERROR(__xludf.DUMMYFUNCTION("""COMPUTED_VALUE"""),44398)</f>
        <v>44398</v>
      </c>
      <c r="M4496" s="25" t="str">
        <f ca="1">IFERROR(__xludf.DUMMYFUNCTION("""COMPUTED_VALUE"""),"Se adelantó visita el 22 de julio con los ediles. En ella se acordó:
1. Visita a Barrio México para restringir el paso de vehículos pesados y mantenimiento a Zona escolar existente.
2. Recorrido con Edil para evaluar tiempos de viaje entre Hospital Meiss"&amp;"en y DG 62 sur.
3. Realizar un diseño peatonal  para la intersección de la DG 62 sur por  Av. Boyacá  intervención de manera Integral.
4. Se evaluarán volúmenes peatonales y Vehiculares de la zona.
5. Análisis de afectación por incremento de volumen vehic"&amp;"ular en Barrio San Francisco (Desvíos)  y Colas en DG 62 sur.
6. Programación nueva reunión  con Alcalde Local Ciudad Bolívar")</f>
        <v>Se adelantó visita el 22 de julio con los ediles. En ella se acordó:
1. Visita a Barrio México para restringir el paso de vehículos pesados y mantenimiento a Zona escolar existente.
2. Recorrido con Edil para evaluar tiempos de viaje entre Hospital Meissen y DG 62 sur.
3. Realizar un diseño peatonal  para la intersección de la DG 62 sur por  Av. Boyacá  intervención de manera Integral.
4. Se evaluarán volúmenes peatonales y Vehiculares de la zona.
5. Análisis de afectación por incremento de volumen vehicular en Barrio San Francisco (Desvíos)  y Colas en DG 62 sur.
6. Programación nueva reunión  con Alcalde Local Ciudad Bolívar</v>
      </c>
      <c r="N4496" s="55">
        <f ca="1">IFERROR(__xludf.DUMMYFUNCTION("""COMPUTED_VALUE"""),44398)</f>
        <v>44398</v>
      </c>
      <c r="O4496" s="25" t="str">
        <f t="shared" ca="1" si="0"/>
        <v>Secretaría Distrital de Movilidad</v>
      </c>
      <c r="P4496" s="25" t="str">
        <f t="shared" si="2"/>
        <v/>
      </c>
      <c r="Q4496" s="25" t="str">
        <f ca="1">IFERROR(__xludf.DUMMYFUNCTION("""COMPUTED_VALUE"""),"Corto plazo")</f>
        <v>Corto plazo</v>
      </c>
      <c r="R4496" s="25"/>
      <c r="S4496" s="55"/>
      <c r="T4496" s="56"/>
      <c r="U4496" s="25"/>
      <c r="V4496" s="25"/>
      <c r="W4496" s="25"/>
      <c r="X4496" s="25"/>
      <c r="Y4496" s="25"/>
      <c r="Z4496" s="25"/>
    </row>
    <row r="4497" spans="1:26" ht="52.5" customHeight="1" x14ac:dyDescent="0.25">
      <c r="A4497" s="25" t="str">
        <f ca="1">IFERROR(__xludf.DUMMYFUNCTION("""COMPUTED_VALUE"""),"Movil295")</f>
        <v>Movil295</v>
      </c>
      <c r="B4497" s="25" t="str">
        <f ca="1">IFERROR(__xludf.DUMMYFUNCTION("""COMPUTED_VALUE"""),"Junta de infraestructura del 10 de mayo")</f>
        <v>Junta de infraestructura del 10 de mayo</v>
      </c>
      <c r="C4497" s="55">
        <f ca="1">IFERROR(__xludf.DUMMYFUNCTION("""COMPUTED_VALUE"""),44326)</f>
        <v>44326</v>
      </c>
      <c r="D4497" s="25" t="str">
        <f ca="1">IFERROR(__xludf.DUMMYFUNCTION("""COMPUTED_VALUE"""),"Movilidad")</f>
        <v>Movilidad</v>
      </c>
      <c r="E4497" s="25" t="str">
        <f ca="1">IFERROR(__xludf.DUMMYFUNCTION("""COMPUTED_VALUE"""),"Instituto de Desarrollo Urbano")</f>
        <v>Instituto de Desarrollo Urbano</v>
      </c>
      <c r="F4497" s="25" t="str">
        <f ca="1">IFERROR(__xludf.DUMMYFUNCTION("""COMPUTED_VALUE"""),"Adelantar reunión entre el DADEP, taller del espacio público y la
  dirección de planes maestros y complementarios de la SDP, para analizar la problemática,
  particularmente se hará análisis de fondo y definirá alternativas para tener la viabilidad
  par"&amp;"a que el DADEP pueda expedir el concepto/autorización requerida por el IDU.")</f>
        <v>Adelantar reunión entre el DADEP, taller del espacio público y la
  dirección de planes maestros y complementarios de la SDP, para analizar la problemática,
  particularmente se hará análisis de fondo y definirá alternativas para tener la viabilidad
  para que el DADEP pueda expedir el concepto/autorización requerida por el IDU.</v>
      </c>
      <c r="G4497" s="25" t="str">
        <f ca="1">IFERROR(__xludf.DUMMYFUNCTION("""COMPUTED_VALUE"""),"99. Distrito")</f>
        <v>99. Distrito</v>
      </c>
      <c r="H4497" s="55">
        <f ca="1">IFERROR(__xludf.DUMMYFUNCTION("""COMPUTED_VALUE"""),44356)</f>
        <v>44356</v>
      </c>
      <c r="I4497" s="25"/>
      <c r="J4497" s="55" t="str">
        <f ca="1">IFERROR(__xludf.DUMMYFUNCTION("""COMPUTED_VALUE"""),"Alta")</f>
        <v>Alta</v>
      </c>
      <c r="K4497" s="25">
        <f ca="1">IFERROR(__xludf.DUMMYFUNCTION("""COMPUTED_VALUE"""),30)</f>
        <v>30</v>
      </c>
      <c r="L4497" s="62">
        <f ca="1">IFERROR(__xludf.DUMMYFUNCTION("""COMPUTED_VALUE"""),44377)</f>
        <v>44377</v>
      </c>
      <c r="M4497" s="25" t="str">
        <f ca="1">IFERROR(__xludf.DUMMYFUNCTION("""COMPUTED_VALUE"""),"Se realizó reunión con Planes Complementarios de SDP, en la cual quedaron de verificar la información y revisar si se puede realizar la modificación catastral.")</f>
        <v>Se realizó reunión con Planes Complementarios de SDP, en la cual quedaron de verificar la información y revisar si se puede realizar la modificación catastral.</v>
      </c>
      <c r="N4497" s="55">
        <f ca="1">IFERROR(__xludf.DUMMYFUNCTION("""COMPUTED_VALUE"""),44377)</f>
        <v>44377</v>
      </c>
      <c r="O4497" s="25" t="str">
        <f t="shared" ca="1" si="0"/>
        <v>Instituto de Desarrollo Urbano</v>
      </c>
      <c r="P4497" s="25" t="str">
        <f t="shared" si="2"/>
        <v/>
      </c>
      <c r="Q4497" s="25" t="str">
        <f ca="1">IFERROR(__xludf.DUMMYFUNCTION("""COMPUTED_VALUE"""),"Corto plazo")</f>
        <v>Corto plazo</v>
      </c>
      <c r="R4497" s="25"/>
      <c r="S4497" s="55"/>
      <c r="T4497" s="56"/>
      <c r="U4497" s="25"/>
      <c r="V4497" s="25"/>
      <c r="W4497" s="25"/>
      <c r="X4497" s="25"/>
      <c r="Y4497" s="25"/>
      <c r="Z4497" s="25"/>
    </row>
    <row r="4498" spans="1:26" ht="52.5" customHeight="1" x14ac:dyDescent="0.25">
      <c r="A4498" s="25" t="str">
        <f ca="1">IFERROR(__xludf.DUMMYFUNCTION("""COMPUTED_VALUE"""),"Movil296")</f>
        <v>Movil296</v>
      </c>
      <c r="B4498" s="25" t="str">
        <f ca="1">IFERROR(__xludf.DUMMYFUNCTION("""COMPUTED_VALUE"""),"Junta de infraestructura del 10 de mayo")</f>
        <v>Junta de infraestructura del 10 de mayo</v>
      </c>
      <c r="C4498" s="55">
        <f ca="1">IFERROR(__xludf.DUMMYFUNCTION("""COMPUTED_VALUE"""),44326)</f>
        <v>44326</v>
      </c>
      <c r="D4498" s="25" t="str">
        <f ca="1">IFERROR(__xludf.DUMMYFUNCTION("""COMPUTED_VALUE"""),"Movilidad")</f>
        <v>Movilidad</v>
      </c>
      <c r="E4498" s="25" t="str">
        <f ca="1">IFERROR(__xludf.DUMMYFUNCTION("""COMPUTED_VALUE"""),"Instituto de Desarrollo Urbano")</f>
        <v>Instituto de Desarrollo Urbano</v>
      </c>
      <c r="F4498" s="25" t="str">
        <f ca="1">IFERROR(__xludf.DUMMYFUNCTION("""COMPUTED_VALUE"""),"Programar junta de infraestructura con la alcaldesa para llevarle este tema. Invitar a entidades como SDA, EAAB, SDM y demás que emiten permisos o aprobaciones.")</f>
        <v>Programar junta de infraestructura con la alcaldesa para llevarle este tema. Invitar a entidades como SDA, EAAB, SDM y demás que emiten permisos o aprobaciones.</v>
      </c>
      <c r="G4498" s="25" t="str">
        <f ca="1">IFERROR(__xludf.DUMMYFUNCTION("""COMPUTED_VALUE"""),"99. Distrito")</f>
        <v>99. Distrito</v>
      </c>
      <c r="H4498" s="55">
        <f ca="1">IFERROR(__xludf.DUMMYFUNCTION("""COMPUTED_VALUE"""),44356)</f>
        <v>44356</v>
      </c>
      <c r="I4498" s="25"/>
      <c r="J4498" s="55" t="str">
        <f ca="1">IFERROR(__xludf.DUMMYFUNCTION("""COMPUTED_VALUE"""),"Alta")</f>
        <v>Alta</v>
      </c>
      <c r="K4498" s="25">
        <f ca="1">IFERROR(__xludf.DUMMYFUNCTION("""COMPUTED_VALUE"""),30)</f>
        <v>30</v>
      </c>
      <c r="L4498" s="62">
        <f ca="1">IFERROR(__xludf.DUMMYFUNCTION("""COMPUTED_VALUE"""),44377)</f>
        <v>44377</v>
      </c>
      <c r="M4498" s="25" t="str">
        <f ca="1">IFERROR(__xludf.DUMMYFUNCTION("""COMPUTED_VALUE"""),"Esta información ya se presentó para los contratos de valorización.")</f>
        <v>Esta información ya se presentó para los contratos de valorización.</v>
      </c>
      <c r="N4498" s="55">
        <f ca="1">IFERROR(__xludf.DUMMYFUNCTION("""COMPUTED_VALUE"""),44377)</f>
        <v>44377</v>
      </c>
      <c r="O4498" s="25" t="str">
        <f t="shared" ca="1" si="0"/>
        <v>Instituto de Desarrollo Urbano</v>
      </c>
      <c r="P4498" s="25" t="str">
        <f t="shared" si="2"/>
        <v/>
      </c>
      <c r="Q4498" s="25" t="str">
        <f ca="1">IFERROR(__xludf.DUMMYFUNCTION("""COMPUTED_VALUE"""),"Corto plazo")</f>
        <v>Corto plazo</v>
      </c>
      <c r="R4498" s="25"/>
      <c r="S4498" s="55"/>
      <c r="T4498" s="56"/>
      <c r="U4498" s="25"/>
      <c r="V4498" s="25"/>
      <c r="W4498" s="25"/>
      <c r="X4498" s="25"/>
      <c r="Y4498" s="25"/>
      <c r="Z4498" s="25"/>
    </row>
    <row r="4499" spans="1:26" ht="52.5" customHeight="1" x14ac:dyDescent="0.25">
      <c r="A4499" s="25" t="str">
        <f ca="1">IFERROR(__xludf.DUMMYFUNCTION("""COMPUTED_VALUE"""),"Movil297")</f>
        <v>Movil297</v>
      </c>
      <c r="B4499" s="25" t="str">
        <f ca="1">IFERROR(__xludf.DUMMYFUNCTION("""COMPUTED_VALUE"""),"Junta de infraestructura del 10 de mayo")</f>
        <v>Junta de infraestructura del 10 de mayo</v>
      </c>
      <c r="C4499" s="55">
        <f ca="1">IFERROR(__xludf.DUMMYFUNCTION("""COMPUTED_VALUE"""),44326)</f>
        <v>44326</v>
      </c>
      <c r="D4499" s="25" t="str">
        <f ca="1">IFERROR(__xludf.DUMMYFUNCTION("""COMPUTED_VALUE"""),"Movilidad")</f>
        <v>Movilidad</v>
      </c>
      <c r="E4499" s="25" t="str">
        <f ca="1">IFERROR(__xludf.DUMMYFUNCTION("""COMPUTED_VALUE"""),"Instituto de Desarrollo Urbano")</f>
        <v>Instituto de Desarrollo Urbano</v>
      </c>
      <c r="F4499" s="25" t="str">
        <f ca="1">IFERROR(__xludf.DUMMYFUNCTION("""COMPUTED_VALUE"""),"Para la junta con la alcaldesa se solicita al IDU incorporar en la presentación balance sobre los recursos (cuándo y cuánto se recaudó, así como el estado de la ejecución de estos recursos).")</f>
        <v>Para la junta con la alcaldesa se solicita al IDU incorporar en la presentación balance sobre los recursos (cuándo y cuánto se recaudó, así como el estado de la ejecución de estos recursos).</v>
      </c>
      <c r="G4499" s="25" t="str">
        <f ca="1">IFERROR(__xludf.DUMMYFUNCTION("""COMPUTED_VALUE"""),"99. Distrito")</f>
        <v>99. Distrito</v>
      </c>
      <c r="H4499" s="55">
        <f ca="1">IFERROR(__xludf.DUMMYFUNCTION("""COMPUTED_VALUE"""),44356)</f>
        <v>44356</v>
      </c>
      <c r="I4499" s="25"/>
      <c r="J4499" s="55" t="str">
        <f ca="1">IFERROR(__xludf.DUMMYFUNCTION("""COMPUTED_VALUE"""),"Alta")</f>
        <v>Alta</v>
      </c>
      <c r="K4499" s="25">
        <f ca="1">IFERROR(__xludf.DUMMYFUNCTION("""COMPUTED_VALUE"""),30)</f>
        <v>30</v>
      </c>
      <c r="L4499" s="62">
        <f ca="1">IFERROR(__xludf.DUMMYFUNCTION("""COMPUTED_VALUE"""),44377)</f>
        <v>44377</v>
      </c>
      <c r="M4499" s="25" t="str">
        <f ca="1">IFERROR(__xludf.DUMMYFUNCTION("""COMPUTED_VALUE"""),"Ya se presentó en la junta de infraestructura de junio.")</f>
        <v>Ya se presentó en la junta de infraestructura de junio.</v>
      </c>
      <c r="N4499" s="55">
        <f ca="1">IFERROR(__xludf.DUMMYFUNCTION("""COMPUTED_VALUE"""),44377)</f>
        <v>44377</v>
      </c>
      <c r="O4499" s="25" t="str">
        <f t="shared" ca="1" si="0"/>
        <v>Instituto de Desarrollo Urbano</v>
      </c>
      <c r="P4499" s="25" t="str">
        <f t="shared" si="2"/>
        <v/>
      </c>
      <c r="Q4499" s="25" t="str">
        <f ca="1">IFERROR(__xludf.DUMMYFUNCTION("""COMPUTED_VALUE"""),"Corto plazo")</f>
        <v>Corto plazo</v>
      </c>
      <c r="R4499" s="25"/>
      <c r="S4499" s="55"/>
      <c r="T4499" s="56"/>
      <c r="U4499" s="25"/>
      <c r="V4499" s="25"/>
      <c r="W4499" s="25"/>
      <c r="X4499" s="25"/>
      <c r="Y4499" s="25"/>
      <c r="Z4499" s="25"/>
    </row>
    <row r="4500" spans="1:26" ht="52.5" customHeight="1" x14ac:dyDescent="0.25">
      <c r="A4500" s="25" t="str">
        <f ca="1">IFERROR(__xludf.DUMMYFUNCTION("""COMPUTED_VALUE"""),"Movil298")</f>
        <v>Movil298</v>
      </c>
      <c r="B4500" s="25" t="str">
        <f ca="1">IFERROR(__xludf.DUMMYFUNCTION("""COMPUTED_VALUE"""),"Junta de infraestructura del 10 de mayo")</f>
        <v>Junta de infraestructura del 10 de mayo</v>
      </c>
      <c r="C4500" s="55">
        <f ca="1">IFERROR(__xludf.DUMMYFUNCTION("""COMPUTED_VALUE"""),44326)</f>
        <v>44326</v>
      </c>
      <c r="D4500" s="25" t="str">
        <f ca="1">IFERROR(__xludf.DUMMYFUNCTION("""COMPUTED_VALUE"""),"Movilidad")</f>
        <v>Movilidad</v>
      </c>
      <c r="E4500" s="25" t="str">
        <f ca="1">IFERROR(__xludf.DUMMYFUNCTION("""COMPUTED_VALUE"""),"Instituto de Desarrollo Urbano")</f>
        <v>Instituto de Desarrollo Urbano</v>
      </c>
      <c r="F4500" s="25" t="str">
        <f ca="1">IFERROR(__xludf.DUMMYFUNCTION("""COMPUTED_VALUE"""),"Se solicita al IDU hacer cronograma donde se prevean los trámites ante las entidades, de modo que sea la base para la programación de reuniones con ellas.")</f>
        <v>Se solicita al IDU hacer cronograma donde se prevean los trámites ante las entidades, de modo que sea la base para la programación de reuniones con ellas.</v>
      </c>
      <c r="G4500" s="25" t="str">
        <f ca="1">IFERROR(__xludf.DUMMYFUNCTION("""COMPUTED_VALUE"""),"99. Distrito")</f>
        <v>99. Distrito</v>
      </c>
      <c r="H4500" s="55">
        <f ca="1">IFERROR(__xludf.DUMMYFUNCTION("""COMPUTED_VALUE"""),44356)</f>
        <v>44356</v>
      </c>
      <c r="I4500" s="25"/>
      <c r="J4500" s="55" t="str">
        <f ca="1">IFERROR(__xludf.DUMMYFUNCTION("""COMPUTED_VALUE"""),"Alta")</f>
        <v>Alta</v>
      </c>
      <c r="K4500" s="25">
        <f ca="1">IFERROR(__xludf.DUMMYFUNCTION("""COMPUTED_VALUE"""),30)</f>
        <v>30</v>
      </c>
      <c r="L4500" s="62">
        <f ca="1">IFERROR(__xludf.DUMMYFUNCTION("""COMPUTED_VALUE"""),44377)</f>
        <v>44377</v>
      </c>
      <c r="M4500" s="25" t="str">
        <f ca="1">IFERROR(__xludf.DUMMYFUNCTION("""COMPUTED_VALUE"""),"Esta información ya se presentó para los contratos de valorización.")</f>
        <v>Esta información ya se presentó para los contratos de valorización.</v>
      </c>
      <c r="N4500" s="55">
        <f ca="1">IFERROR(__xludf.DUMMYFUNCTION("""COMPUTED_VALUE"""),44377)</f>
        <v>44377</v>
      </c>
      <c r="O4500" s="25" t="str">
        <f t="shared" ca="1" si="0"/>
        <v>Instituto de Desarrollo Urbano</v>
      </c>
      <c r="P4500" s="25" t="str">
        <f t="shared" si="2"/>
        <v/>
      </c>
      <c r="Q4500" s="25" t="str">
        <f ca="1">IFERROR(__xludf.DUMMYFUNCTION("""COMPUTED_VALUE"""),"Corto plazo")</f>
        <v>Corto plazo</v>
      </c>
      <c r="R4500" s="25"/>
      <c r="S4500" s="55"/>
      <c r="T4500" s="56"/>
      <c r="U4500" s="25"/>
      <c r="V4500" s="25"/>
      <c r="W4500" s="25"/>
      <c r="X4500" s="25"/>
      <c r="Y4500" s="25"/>
      <c r="Z4500" s="25"/>
    </row>
    <row r="4501" spans="1:26" ht="52.5" customHeight="1" x14ac:dyDescent="0.25">
      <c r="A4501" s="25" t="str">
        <f ca="1">IFERROR(__xludf.DUMMYFUNCTION("""COMPUTED_VALUE"""),"Movil299")</f>
        <v>Movil299</v>
      </c>
      <c r="B4501" s="25" t="str">
        <f ca="1">IFERROR(__xludf.DUMMYFUNCTION("""COMPUTED_VALUE"""),"Calle 13 - ALO")</f>
        <v>Calle 13 - ALO</v>
      </c>
      <c r="C4501" s="55">
        <f ca="1">IFERROR(__xludf.DUMMYFUNCTION("""COMPUTED_VALUE"""),44309)</f>
        <v>44309</v>
      </c>
      <c r="D4501" s="25" t="str">
        <f ca="1">IFERROR(__xludf.DUMMYFUNCTION("""COMPUTED_VALUE"""),"Movilidad")</f>
        <v>Movilidad</v>
      </c>
      <c r="E4501" s="25" t="str">
        <f ca="1">IFERROR(__xludf.DUMMYFUNCTION("""COMPUTED_VALUE"""),"Instituto de Desarrollo Urbano")</f>
        <v>Instituto de Desarrollo Urbano</v>
      </c>
      <c r="F4501" s="25" t="str">
        <f ca="1">IFERROR(__xludf.DUMMYFUNCTION("""COMPUTED_VALUE"""),"Bajar intereses por mora a las valorizaciones.")</f>
        <v>Bajar intereses por mora a las valorizaciones.</v>
      </c>
      <c r="G4501" s="25" t="str">
        <f ca="1">IFERROR(__xludf.DUMMYFUNCTION("""COMPUTED_VALUE"""),"99. Distrito")</f>
        <v>99. Distrito</v>
      </c>
      <c r="H4501" s="55">
        <f ca="1">IFERROR(__xludf.DUMMYFUNCTION("""COMPUTED_VALUE"""),44339)</f>
        <v>44339</v>
      </c>
      <c r="I4501" s="25"/>
      <c r="J4501" s="55" t="str">
        <f ca="1">IFERROR(__xludf.DUMMYFUNCTION("""COMPUTED_VALUE"""),"Alta")</f>
        <v>Alta</v>
      </c>
      <c r="K4501" s="25">
        <f ca="1">IFERROR(__xludf.DUMMYFUNCTION("""COMPUTED_VALUE"""),30)</f>
        <v>30</v>
      </c>
      <c r="L4501" s="62">
        <f ca="1">IFERROR(__xludf.DUMMYFUNCTION("""COMPUTED_VALUE"""),44782)</f>
        <v>44782</v>
      </c>
      <c r="M4501" s="25" t="str">
        <f ca="1">IFERROR(__xludf.DUMMYFUNCTION("""COMPUTED_VALUE"""),"Se informa que la entidad ha implementado reducción de intereses en mora para deudores de la contribución de valorización durante el 2021 así: Mediante el Art. 6 del Acuerdo 816 del 26 de Agosto de 2021 en el cual se exonera el 100% de los intereses dirig"&amp;"ido a los contribuyentes que hubiesen entrado en mora entre el 12 de marzo de 2020 y el 26 de agosto de 2021, y la fecha límite para acogerse a este beneficio fue el 15 de diciembre de 2021, adicional a esto como segunda oportunidad , a través del Art. 45"&amp;" de la Ley 2155 de 2021 se redujo el 80% de los intereses causados, dirigido a quienes al 31 de junio de 2021 se encontraban en mora por el pago de la contribución , para este nuevo beneficio se dio plazo hasta el último día de atención bancaria de diciem"&amp;"bre de 2021, toda esta información fue publicada a través de la página de la entidad y enviada a los contribuyentes mediante material impreso (volantes) adjuntos a las cuentas de cobro, cumpliendo así con lo indicado en el seguimiento anterior.
 De otra"&amp;" parte, es importante reiterar que la entidad se rige en las tablas y porcentajes estipulados por la Superintendencia Financiera de Colombia.")</f>
        <v>Se informa que la entidad ha implementado reducción de intereses en mora para deudores de la contribución de valorización durante el 2021 así: Mediante el Art. 6 del Acuerdo 816 del 26 de Agosto de 2021 en el cual se exonera el 100% de los intereses dirigido a los contribuyentes que hubiesen entrado en mora entre el 12 de marzo de 2020 y el 26 de agosto de 2021, y la fecha límite para acogerse a este beneficio fue el 15 de diciembre de 2021, adicional a esto como segunda oportunidad , a través del Art. 45 de la Ley 2155 de 2021 se redujo el 80% de los intereses causados, dirigido a quienes al 31 de junio de 2021 se encontraban en mora por el pago de la contribución , para este nuevo beneficio se dio plazo hasta el último día de atención bancaria de diciembre de 2021, toda esta información fue publicada a través de la página de la entidad y enviada a los contribuyentes mediante material impreso (volantes) adjuntos a las cuentas de cobro, cumpliendo así con lo indicado en el seguimiento anterior.
 De otra parte, es importante reiterar que la entidad se rige en las tablas y porcentajes estipulados por la Superintendencia Financiera de Colombia.</v>
      </c>
      <c r="N4501" s="55">
        <f ca="1">IFERROR(__xludf.DUMMYFUNCTION("""COMPUTED_VALUE"""),44782)</f>
        <v>44782</v>
      </c>
      <c r="O4501" s="25" t="str">
        <f t="shared" ca="1" si="0"/>
        <v>Instituto de Desarrollo Urbano</v>
      </c>
      <c r="P4501" s="25" t="str">
        <f t="shared" si="2"/>
        <v/>
      </c>
      <c r="Q4501" s="25" t="str">
        <f ca="1">IFERROR(__xludf.DUMMYFUNCTION("""COMPUTED_VALUE"""),"Corto plazo")</f>
        <v>Corto plazo</v>
      </c>
      <c r="R4501" s="25"/>
      <c r="S4501" s="55"/>
      <c r="T4501" s="56"/>
      <c r="U4501" s="25"/>
      <c r="V4501" s="25"/>
      <c r="W4501" s="25"/>
      <c r="X4501" s="25"/>
      <c r="Y4501" s="25"/>
      <c r="Z4501" s="25"/>
    </row>
    <row r="4502" spans="1:26" ht="52.5" customHeight="1" x14ac:dyDescent="0.25">
      <c r="A4502" s="25" t="str">
        <f ca="1">IFERROR(__xludf.DUMMYFUNCTION("""COMPUTED_VALUE"""),"Movil300")</f>
        <v>Movil300</v>
      </c>
      <c r="B4502" s="25" t="str">
        <f ca="1">IFERROR(__xludf.DUMMYFUNCTION("""COMPUTED_VALUE"""),"Calle 13 - ALO")</f>
        <v>Calle 13 - ALO</v>
      </c>
      <c r="C4502" s="55">
        <f ca="1">IFERROR(__xludf.DUMMYFUNCTION("""COMPUTED_VALUE"""),44309)</f>
        <v>44309</v>
      </c>
      <c r="D4502" s="25" t="str">
        <f ca="1">IFERROR(__xludf.DUMMYFUNCTION("""COMPUTED_VALUE"""),"Movilidad")</f>
        <v>Movilidad</v>
      </c>
      <c r="E4502" s="25" t="str">
        <f ca="1">IFERROR(__xludf.DUMMYFUNCTION("""COMPUTED_VALUE"""),"Instituto de Desarrollo Urbano")</f>
        <v>Instituto de Desarrollo Urbano</v>
      </c>
      <c r="F4502" s="25" t="str">
        <f ca="1">IFERROR(__xludf.DUMMYFUNCTION("""COMPUTED_VALUE"""),"Que este año quede claro cómo levantar la contrapartida aeroportuaria")</f>
        <v>Que este año quede claro cómo levantar la contrapartida aeroportuaria</v>
      </c>
      <c r="G4502" s="25" t="str">
        <f ca="1">IFERROR(__xludf.DUMMYFUNCTION("""COMPUTED_VALUE"""),"99. Distrito")</f>
        <v>99. Distrito</v>
      </c>
      <c r="H4502" s="55">
        <f ca="1">IFERROR(__xludf.DUMMYFUNCTION("""COMPUTED_VALUE"""),44339)</f>
        <v>44339</v>
      </c>
      <c r="I4502" s="25"/>
      <c r="J4502" s="55" t="str">
        <f ca="1">IFERROR(__xludf.DUMMYFUNCTION("""COMPUTED_VALUE"""),"Alta")</f>
        <v>Alta</v>
      </c>
      <c r="K4502" s="25">
        <f ca="1">IFERROR(__xludf.DUMMYFUNCTION("""COMPUTED_VALUE"""),30)</f>
        <v>30</v>
      </c>
      <c r="L4502" s="62">
        <f ca="1">IFERROR(__xludf.DUMMYFUNCTION("""COMPUTED_VALUE"""),44483)</f>
        <v>44483</v>
      </c>
      <c r="M4502" s="25" t="str">
        <f ca="1">IFERROR(__xludf.DUMMYFUNCTION("""COMPUTED_VALUE"""),"Actualización 14-10-2021. 
  Se hizo nueva reunión con MHCP para buscar la definición del espacio fiscal de la nación, y así determinar los recursos que van a ser asignados por parte de la nación al proyecto. Se aprobó en CONFIS distrital, la apropiación "&amp;"del 15% correspondiente a las VF ordinarias de la Calle 13. Esta tarea puede ser cerrada.
 Actualización 30-09-2021. 
  Se hizo reunión con MHCP para buscar la definición del espacio fiscal de la nación, y así determinar los recursos que van a ser asig"&amp;"nados por parte de la nación al proyecto. Se hicieron modelaciones del 15% de la apropiación presupuestal necesaria para realizar el trámite de las VF ordinarias en 2022.
  Actualización 17-09-2021. 
  Se remitieron los supuestos y bases de la proyecci"&amp;"ón realizada por el IDU dentro de sus capacidades, incluyendo la descripción de los parámetros y demás variables técnicas utilizadas para el cálculo de las estimaciones para el periodo 2022-2032 de la contraprestación aeroportuaria establecida en el artíc"&amp;"ulo 151 de la Ley 2010 de 2019, en lo referente a los recursos que se trasladaron al Distrito Capital, con el fin de que la SHD conozca el estado del arte y pueda como cabeza del sector hacienda, en la oportunidad descrita en el oficio 20215261383632 de l"&amp;"a AEROCIVIL, continuar con las actividades para su recaudo en el marco de sus competencias, y con los trámites necesarios para la presentación del proyecto de acuerdo ante el concejo distrital, de ser requerido.
  Actualización 30-08-2021. Se gestionó "&amp;"la respuesta al oficio del IDU a aeronáutica de fecha julio 28 de 2021, recibido mediante oficio AEROCIVIL 20215261383632 del 23 agosto de 2021. Basado en el mismo, esta semana se remitirán los supuestos y bases de la proyección realizada por el IDU dentr"&amp;"o de sus capacidades, incluyendo la descripción de los parámetros y demás variables técnicas utilizadas para el cálculo de las estimaciones para el periodo 2022-2032 de la contraprestación aeroportuaria establecida en el artículo 151 de la Ley 2010 de 201"&amp;"9, en lo referente a los recursos que se trasladaron al Distrito Capital, con el fin de que la SHD conozca el estado del arte y pueda como cabeza del sector hacienda, en la oportunidad descrita en el oficio 20215261383632 de la AEROCIVIL, continuar con la"&amp;"s actividades para su recaudo en el marco de sus competencias, y con los trámites necesarios para la presentación del proyecto de acuerdo ante el concejo distrital, de ser requerido.
  Actualización 12-08-2021 Se continúa a la espera de la respuesta de"&amp;"l oficio por parte de la Aeronáutica Civil. Se definió un cronograma al que se le hará seguimiento, en particular para la suscripción del convenio de cofinanciación. Se debe hacer la inscripción del proyecto en el banco de programas y proyectos por parte "&amp;"de TM, para continuar con el proceso de declaratoria de importancia estratégica distrital.
  Actualización 30-07-2021 Julio 28 de 2021 – oficio IDU 20212051156161 - Respuesta IDU a Aeronáutica Civil con valores áreas y supuestos de proyección, y se est"&amp;"á a la espera de la respuesta. Se efectuó reunión con SHD y SPD con el fin de exponer las proyecciones definidas. Se realizará el próximo 2 de agosto una reunión con SHD, SDP y las áreas jurídicas de las entidades, incluyendo IDU con el fin de definir la "&amp;"ruta de implementación del proyecto de acuerdo de VF territoriales a llevar al concejo en septiembre de este año. Se definió un cronograma al que se le hará seguimiento, en particular para la suscripción del convenio de cofinanciación. 
  Actualización"&amp;" 12-07-2021 Ley 2010 de 2019 ARTÍCULO 151. CONTRAPRESTACIONES AEROPORTUARIAS aplazada mediante Decreto Legislativo 482 de 2020. Se espera utilizar esa contraprestación aeroportuaria en la Calle 13, que hace parte de la operación estratégica Engativá adopt"&amp;"ada mediante Decreto 824 del 26 de diciembre de 2019 
  Marzo 17 de 2021 – Oficio a Aeronáutica Civil – Solicitud procedimiento para formalizar el proceso 
  Junio 11 de 2021 – Oficio respuesta de Aeronáutica civil – Hay que definir áreas de Bogotá 
  Jun"&amp;"io 22 de 2021 – Oficio dirigido a ANI – Solicitud áreas concesionadas de Bogotá 
  Junio 25 de 2021 – oficio respuesta ANI – Remite archivo tipo shape contrato del Concesión No. 6000169 OK de 2006. 
  Se superpusieron áreas, y se encontró que el 2,5% del "&amp;"Área Concesionada se encuentra en el municipio de Funza, por lo que el 2,5% del 20% de la Contraprestación aeroportuaria corresponde a dicho municipio. Solicitaremos en la reunión pactada para el 07-07-2021 a Aeronáutica confirmar esta apreciación, que in"&amp;"diquen los trámites para el traslado de los recursos y nos colabore con la construcción del flujo (supuestos) para construir el MFMP solicitado por SHD (estos 2 últimos puntos también a la ANI). 
  Actualización 15-06-2021 El IDU y la SDM se comunicaro"&amp;"n con el director de la Aeronáutica Civil, con el fin de iniciar las mesas de trabajo que se requieran para concretar la Contraprestación Aeroportuaria a partir del año 2022. Se hizo el mismo ejercicio con la ANI. Se está a la espera de la respuesta por p"&amp;"arte de esa entidad.")</f>
        <v>Actualización 14-10-2021. 
  Se hizo nueva reunión con MHCP para buscar la definición del espacio fiscal de la nación, y así determinar los recursos que van a ser asignados por parte de la nación al proyecto. Se aprobó en CONFIS distrital, la apropiación del 15% correspondiente a las VF ordinarias de la Calle 13. Esta tarea puede ser cerrada.
 Actualización 30-09-2021. 
  Se hizo reunión con MHCP para buscar la definición del espacio fiscal de la nación, y así determinar los recursos que van a ser asignados por parte de la nación al proyecto. Se hicieron modelaciones del 15% de la apropiación presupuestal necesaria para realizar el trámite de las VF ordinarias en 2022.
  Actualización 17-09-2021. 
  Se remitieron los supuestos y bases de la proyección realizada por el IDU dentro de sus capacidades, incluyendo la descripción de los parámetros y demás variables técnicas utilizadas para el cálculo de las estimaciones para el periodo 2022-2032 de la contraprestación aeroportuaria establecida en el artículo 151 de la Ley 2010 de 2019, en lo referente a los recursos que se trasladaron al Distrito Capital, con el fin de que la SHD conozca el estado del arte y pueda como cabeza del sector hacienda, en la oportunidad descrita en el oficio 20215261383632 de la AEROCIVIL, continuar con las actividades para su recaudo en el marco de sus competencias, y con los trámites necesarios para la presentación del proyecto de acuerdo ante el concejo distrital, de ser requerido.
  Actualización 30-08-2021. Se gestionó la respuesta al oficio del IDU a aeronáutica de fecha julio 28 de 2021, recibido mediante oficio AEROCIVIL 20215261383632 del 23 agosto de 2021. Basado en el mismo, esta semana se remitirán los supuestos y bases de la proyección realizada por el IDU dentro de sus capacidades, incluyendo la descripción de los parámetros y demás variables técnicas utilizadas para el cálculo de las estimaciones para el periodo 2022-2032 de la contraprestación aeroportuaria establecida en el artículo 151 de la Ley 2010 de 2019, en lo referente a los recursos que se trasladaron al Distrito Capital, con el fin de que la SHD conozca el estado del arte y pueda como cabeza del sector hacienda, en la oportunidad descrita en el oficio 20215261383632 de la AEROCIVIL, continuar con las actividades para su recaudo en el marco de sus competencias, y con los trámites necesarios para la presentación del proyecto de acuerdo ante el concejo distrital, de ser requerido.
  Actualización 12-08-2021 Se continúa a la espera de la respuesta del oficio por parte de la Aeronáutica Civil. Se definió un cronograma al que se le hará seguimiento, en particular para la suscripción del convenio de cofinanciación. Se debe hacer la inscripción del proyecto en el banco de programas y proyectos por parte de TM, para continuar con el proceso de declaratoria de importancia estratégica distrital.
  Actualización 30-07-2021 Julio 28 de 2021 – oficio IDU 20212051156161 - Respuesta IDU a Aeronáutica Civil con valores áreas y supuestos de proyección, y se está a la espera de la respuesta. Se efectuó reunión con SHD y SPD con el fin de exponer las proyecciones definidas. Se realizará el próximo 2 de agosto una reunión con SHD, SDP y las áreas jurídicas de las entidades, incluyendo IDU con el fin de definir la ruta de implementación del proyecto de acuerdo de VF territoriales a llevar al concejo en septiembre de este año. Se definió un cronograma al que se le hará seguimiento, en particular para la suscripción del convenio de cofinanciación. 
  Actualización 12-07-2021 Ley 2010 de 2019 ARTÍCULO 151. CONTRAPRESTACIONES AEROPORTUARIAS aplazada mediante Decreto Legislativo 482 de 2020. Se espera utilizar esa contraprestación aeroportuaria en la Calle 13, que hace parte de la operación estratégica Engativá adoptada mediante Decreto 824 del 26 de diciembre de 2019 
  Marzo 17 de 2021 – Oficio a Aeronáutica Civil – Solicitud procedimiento para formalizar el proceso 
  Junio 11 de 2021 – Oficio respuesta de Aeronáutica civil – Hay que definir áreas de Bogotá 
  Junio 22 de 2021 – Oficio dirigido a ANI – Solicitud áreas concesionadas de Bogotá 
  Junio 25 de 2021 – oficio respuesta ANI – Remite archivo tipo shape contrato del Concesión No. 6000169 OK de 2006. 
  Se superpusieron áreas, y se encontró que el 2,5% del Área Concesionada se encuentra en el municipio de Funza, por lo que el 2,5% del 20% de la Contraprestación aeroportuaria corresponde a dicho municipio. Solicitaremos en la reunión pactada para el 07-07-2021 a Aeronáutica confirmar esta apreciación, que indiquen los trámites para el traslado de los recursos y nos colabore con la construcción del flujo (supuestos) para construir el MFMP solicitado por SHD (estos 2 últimos puntos también a la ANI). 
  Actualización 15-06-2021 El IDU y la SDM se comunicaron con el director de la Aeronáutica Civil, con el fin de iniciar las mesas de trabajo que se requieran para concretar la Contraprestación Aeroportuaria a partir del año 2022. Se hizo el mismo ejercicio con la ANI. Se está a la espera de la respuesta por parte de esa entidad.</v>
      </c>
      <c r="N4502" s="55">
        <f ca="1">IFERROR(__xludf.DUMMYFUNCTION("""COMPUTED_VALUE"""),44483)</f>
        <v>44483</v>
      </c>
      <c r="O4502" s="25" t="str">
        <f t="shared" ca="1" si="0"/>
        <v>Instituto de Desarrollo Urbano</v>
      </c>
      <c r="P4502" s="25" t="str">
        <f t="shared" si="2"/>
        <v/>
      </c>
      <c r="Q4502" s="25" t="str">
        <f ca="1">IFERROR(__xludf.DUMMYFUNCTION("""COMPUTED_VALUE"""),"Corto plazo")</f>
        <v>Corto plazo</v>
      </c>
      <c r="R4502" s="25"/>
      <c r="S4502" s="55"/>
      <c r="T4502" s="56"/>
      <c r="U4502" s="25"/>
      <c r="V4502" s="25"/>
      <c r="W4502" s="25"/>
      <c r="X4502" s="25"/>
      <c r="Y4502" s="25"/>
      <c r="Z4502" s="25"/>
    </row>
    <row r="4503" spans="1:26" ht="52.5" customHeight="1" x14ac:dyDescent="0.25">
      <c r="A4503" s="25" t="str">
        <f ca="1">IFERROR(__xludf.DUMMYFUNCTION("""COMPUTED_VALUE"""),"Movil301")</f>
        <v>Movil301</v>
      </c>
      <c r="B4503" s="25" t="str">
        <f ca="1">IFERROR(__xludf.DUMMYFUNCTION("""COMPUTED_VALUE"""),"Consejos Locales de Gobierno")</f>
        <v>Consejos Locales de Gobierno</v>
      </c>
      <c r="C4503" s="55">
        <f ca="1">IFERROR(__xludf.DUMMYFUNCTION("""COMPUTED_VALUE"""),44308)</f>
        <v>44308</v>
      </c>
      <c r="D4503" s="25" t="str">
        <f ca="1">IFERROR(__xludf.DUMMYFUNCTION("""COMPUTED_VALUE"""),"Movilidad")</f>
        <v>Movilidad</v>
      </c>
      <c r="E4503" s="25" t="str">
        <f ca="1">IFERROR(__xludf.DUMMYFUNCTION("""COMPUTED_VALUE"""),"Instituto de Desarrollo Urbano")</f>
        <v>Instituto de Desarrollo Urbano</v>
      </c>
      <c r="F4503" s="25" t="str">
        <f ca="1">IFERROR(__xludf.DUMMYFUNCTION("""COMPUTED_VALUE"""),"Programar la implementación de 1.5kms de ciclorruta (IDU) en el tramo de la Cll 11 sur, entre cras 6E y 10")</f>
        <v>Programar la implementación de 1.5kms de ciclorruta (IDU) en el tramo de la Cll 11 sur, entre cras 6E y 10</v>
      </c>
      <c r="G4503" s="25" t="str">
        <f ca="1">IFERROR(__xludf.DUMMYFUNCTION("""COMPUTED_VALUE"""),"99. Distrito")</f>
        <v>99. Distrito</v>
      </c>
      <c r="H4503" s="55">
        <f ca="1">IFERROR(__xludf.DUMMYFUNCTION("""COMPUTED_VALUE"""),44338)</f>
        <v>44338</v>
      </c>
      <c r="I4503" s="25"/>
      <c r="J4503" s="55" t="str">
        <f ca="1">IFERROR(__xludf.DUMMYFUNCTION("""COMPUTED_VALUE"""),"Alta")</f>
        <v>Alta</v>
      </c>
      <c r="K4503" s="25">
        <f ca="1">IFERROR(__xludf.DUMMYFUNCTION("""COMPUTED_VALUE"""),30)</f>
        <v>30</v>
      </c>
      <c r="L4503" s="62">
        <f ca="1">IFERROR(__xludf.DUMMYFUNCTION("""COMPUTED_VALUE"""),44362)</f>
        <v>44362</v>
      </c>
      <c r="M4503" s="25" t="str">
        <f ca="1">IFERROR(__xludf.DUMMYFUNCTION("""COMPUTED_VALUE"""),"IDU terminó el parcheo y la demarcación de la ciclorruta en la carrera séptima entre calle 1 y AC. 6 el 31/05/2021.")</f>
        <v>IDU terminó el parcheo y la demarcación de la ciclorruta en la carrera séptima entre calle 1 y AC. 6 el 31/05/2021.</v>
      </c>
      <c r="N4503" s="55">
        <f ca="1">IFERROR(__xludf.DUMMYFUNCTION("""COMPUTED_VALUE"""),44362)</f>
        <v>44362</v>
      </c>
      <c r="O4503" s="25" t="str">
        <f t="shared" ca="1" si="0"/>
        <v>Instituto de Desarrollo Urbano</v>
      </c>
      <c r="P4503" s="25" t="str">
        <f t="shared" si="2"/>
        <v/>
      </c>
      <c r="Q4503" s="25" t="str">
        <f ca="1">IFERROR(__xludf.DUMMYFUNCTION("""COMPUTED_VALUE"""),"Corto plazo")</f>
        <v>Corto plazo</v>
      </c>
      <c r="R4503" s="25"/>
      <c r="S4503" s="55"/>
      <c r="T4503" s="56"/>
      <c r="U4503" s="25"/>
      <c r="V4503" s="25"/>
      <c r="W4503" s="25"/>
      <c r="X4503" s="25"/>
      <c r="Y4503" s="25"/>
      <c r="Z4503" s="25"/>
    </row>
    <row r="4504" spans="1:26" ht="52.5" customHeight="1" x14ac:dyDescent="0.25">
      <c r="A4504" s="25" t="str">
        <f ca="1">IFERROR(__xludf.DUMMYFUNCTION("""COMPUTED_VALUE"""),"Movil302")</f>
        <v>Movil302</v>
      </c>
      <c r="B4504" s="25" t="str">
        <f ca="1">IFERROR(__xludf.DUMMYFUNCTION("""COMPUTED_VALUE"""),"Estrategia peatón y pico y placa solidario")</f>
        <v>Estrategia peatón y pico y placa solidario</v>
      </c>
      <c r="C4504" s="55">
        <f ca="1">IFERROR(__xludf.DUMMYFUNCTION("""COMPUTED_VALUE"""),44301)</f>
        <v>44301</v>
      </c>
      <c r="D4504" s="25" t="str">
        <f ca="1">IFERROR(__xludf.DUMMYFUNCTION("""COMPUTED_VALUE"""),"Movilidad")</f>
        <v>Movilidad</v>
      </c>
      <c r="E4504" s="25" t="str">
        <f ca="1">IFERROR(__xludf.DUMMYFUNCTION("""COMPUTED_VALUE"""),"Secretaría Distrital de Movilidad")</f>
        <v>Secretaría Distrital de Movilidad</v>
      </c>
      <c r="F4504" s="25" t="str">
        <f ca="1">IFERROR(__xludf.DUMMYFUNCTION("""COMPUTED_VALUE"""),"¿Qué hay que hacer para mejorar el trámite para hacer andenes de forma más fácil?")</f>
        <v>¿Qué hay que hacer para mejorar el trámite para hacer andenes de forma más fácil?</v>
      </c>
      <c r="G4504" s="25" t="str">
        <f ca="1">IFERROR(__xludf.DUMMYFUNCTION("""COMPUTED_VALUE"""),"99. Distrito")</f>
        <v>99. Distrito</v>
      </c>
      <c r="H4504" s="55">
        <f ca="1">IFERROR(__xludf.DUMMYFUNCTION("""COMPUTED_VALUE"""),44331)</f>
        <v>44331</v>
      </c>
      <c r="I4504" s="25"/>
      <c r="J4504" s="55" t="str">
        <f ca="1">IFERROR(__xludf.DUMMYFUNCTION("""COMPUTED_VALUE"""),"Alta")</f>
        <v>Alta</v>
      </c>
      <c r="K4504" s="25">
        <f ca="1">IFERROR(__xludf.DUMMYFUNCTION("""COMPUTED_VALUE"""),30)</f>
        <v>30</v>
      </c>
      <c r="L4504" s="62">
        <f ca="1">IFERROR(__xludf.DUMMYFUNCTION("""COMPUTED_VALUE"""),44392)</f>
        <v>44392</v>
      </c>
      <c r="M4504" s="25" t="str">
        <f ca="1">IFERROR(__xludf.DUMMYFUNCTION("""COMPUTED_VALUE"""),"Con el fin de incrementar el espacio de circulación peatonales y complementar los andenes se ha priorizado áreas de la ciudad cuya calzada será intervenida con este objetivo. Se propone que estas obras transitorias, temporalmente, sean luego reemplazadas "&amp;"con una ampliación del andén, manteniendo el mismo nivel de circulación peatonal y de esta forma mejorar el trámite de hacer andenes.
 Una de las variables del por qué la construcción de los andenes es la intervenciones en redes. Estas intervenciones y "&amp;"modificaciones suponen un alto costo que en ocasiones es mayor que la misma construcción del Andén. 
 Para solventar esta situación se proponen las siguientes acciones que conjunto con la actividad 2436, componen la estrategia peatonal:
 1. POT: En el P"&amp;"OT se planteó la red de andenes, como una red en el sistema de movilidad en la Estructura Funcional y del Cuidado. A este red se le integró el programa y subprograma que da la visual y la mayor relevancia a la necesidad de intervención de andenes.
 2. PMM"&amp;": en las nuevas competencias de la UMV se trabajarán las diferentes formas de intervención con el decreto que dictamine el proceso para regularizar estas nuevas intervenciones.
 3. IDU: Actualmente IDU ha modificado algunos proyectos, como RAPS VENECIA, q"&amp;"ue pasaron de ser proyecto de construcción a conservación. Este será el primer piloto para la mejora de los tiempos de ejecución de andenes. 
 4. BARRIOS VITALES, ANDENES EMERGENTES: En el marco de los Proyectos Estratégicos Peatonales y los Barrios Vital"&amp;"es se ha adelantado un proceso de priorización, visita de campo y diseño para poder construir espacio exclusivo para circulación peatonal a través de implementación de urbanismo")</f>
        <v>Con el fin de incrementar el espacio de circulación peatonales y complementar los andenes se ha priorizado áreas de la ciudad cuya calzada será intervenida con este objetivo. Se propone que estas obras transitorias, temporalmente, sean luego reemplazadas con una ampliación del andén, manteniendo el mismo nivel de circulación peatonal y de esta forma mejorar el trámite de hacer andenes.
 Una de las variables del por qué la construcción de los andenes es la intervenciones en redes. Estas intervenciones y modificaciones suponen un alto costo que en ocasiones es mayor que la misma construcción del Andén. 
 Para solventar esta situación se proponen las siguientes acciones que conjunto con la actividad 2436, componen la estrategia peatonal:
 1. POT: En el POT se planteó la red de andenes, como una red en el sistema de movilidad en la Estructura Funcional y del Cuidado. A este red se le integró el programa y subprograma que da la visual y la mayor relevancia a la necesidad de intervención de andenes.
 2. PMM: en las nuevas competencias de la UMV se trabajarán las diferentes formas de intervención con el decreto que dictamine el proceso para regularizar estas nuevas intervenciones.
 3. IDU: Actualmente IDU ha modificado algunos proyectos, como RAPS VENECIA, que pasaron de ser proyecto de construcción a conservación. Este será el primer piloto para la mejora de los tiempos de ejecución de andenes. 
 4. BARRIOS VITALES, ANDENES EMERGENTES: En el marco de los Proyectos Estratégicos Peatonales y los Barrios Vitales se ha adelantado un proceso de priorización, visita de campo y diseño para poder construir espacio exclusivo para circulación peatonal a través de implementación de urbanismo</v>
      </c>
      <c r="N4504" s="55">
        <f ca="1">IFERROR(__xludf.DUMMYFUNCTION("""COMPUTED_VALUE"""),44392)</f>
        <v>44392</v>
      </c>
      <c r="O4504" s="25" t="str">
        <f t="shared" ca="1" si="0"/>
        <v>Secretaría Distrital de Movilidad</v>
      </c>
      <c r="P4504" s="25"/>
      <c r="Q4504" s="25" t="str">
        <f ca="1">IFERROR(__xludf.DUMMYFUNCTION("""COMPUTED_VALUE"""),"Corto plazo")</f>
        <v>Corto plazo</v>
      </c>
      <c r="R4504" s="25"/>
      <c r="S4504" s="55"/>
      <c r="T4504" s="56"/>
      <c r="U4504" s="25"/>
      <c r="V4504" s="25"/>
      <c r="W4504" s="25"/>
      <c r="X4504" s="25"/>
      <c r="Y4504" s="25"/>
      <c r="Z4504" s="25"/>
    </row>
    <row r="4505" spans="1:26" ht="52.5" customHeight="1" x14ac:dyDescent="0.25">
      <c r="A4505" s="25" t="str">
        <f ca="1">IFERROR(__xludf.DUMMYFUNCTION("""COMPUTED_VALUE"""),"Movil303")</f>
        <v>Movil303</v>
      </c>
      <c r="B4505" s="25" t="str">
        <f ca="1">IFERROR(__xludf.DUMMYFUNCTION("""COMPUTED_VALUE"""),"Estrategia peatón y pico y placa solidario")</f>
        <v>Estrategia peatón y pico y placa solidario</v>
      </c>
      <c r="C4505" s="55">
        <f ca="1">IFERROR(__xludf.DUMMYFUNCTION("""COMPUTED_VALUE"""),44301)</f>
        <v>44301</v>
      </c>
      <c r="D4505" s="25" t="str">
        <f ca="1">IFERROR(__xludf.DUMMYFUNCTION("""COMPUTED_VALUE"""),"Movilidad")</f>
        <v>Movilidad</v>
      </c>
      <c r="E4505" s="25" t="str">
        <f ca="1">IFERROR(__xludf.DUMMYFUNCTION("""COMPUTED_VALUE"""),"Secretaría Distrital de Movilidad")</f>
        <v>Secretaría Distrital de Movilidad</v>
      </c>
      <c r="F4505" s="25" t="str">
        <f ca="1">IFERROR(__xludf.DUMMYFUNCTION("""COMPUTED_VALUE"""),"Hacer más implícito que el corazón de la movilidad sea el peatón")</f>
        <v>Hacer más implícito que el corazón de la movilidad sea el peatón</v>
      </c>
      <c r="G4505" s="25" t="str">
        <f ca="1">IFERROR(__xludf.DUMMYFUNCTION("""COMPUTED_VALUE"""),"99. Distrito")</f>
        <v>99. Distrito</v>
      </c>
      <c r="H4505" s="55">
        <f ca="1">IFERROR(__xludf.DUMMYFUNCTION("""COMPUTED_VALUE"""),44331)</f>
        <v>44331</v>
      </c>
      <c r="I4505" s="25"/>
      <c r="J4505" s="55" t="str">
        <f ca="1">IFERROR(__xludf.DUMMYFUNCTION("""COMPUTED_VALUE"""),"Alta")</f>
        <v>Alta</v>
      </c>
      <c r="K4505" s="25">
        <f ca="1">IFERROR(__xludf.DUMMYFUNCTION("""COMPUTED_VALUE"""),30)</f>
        <v>30</v>
      </c>
      <c r="L4505" s="62">
        <f ca="1">IFERROR(__xludf.DUMMYFUNCTION("""COMPUTED_VALUE"""),44420)</f>
        <v>44420</v>
      </c>
      <c r="M4505" s="25" t="str">
        <f ca="1">IFERROR(__xludf.DUMMYFUNCTION("""COMPUTED_VALUE"""),"Presentación a Alcaldesa 10/08/2021, se solicitó algunos ajustes a la campaña. OAC se encuentra revisando tareas
1. Focus Group para revisar palabras
2. Uso de logo peatón")</f>
        <v>Presentación a Alcaldesa 10/08/2021, se solicitó algunos ajustes a la campaña. OAC se encuentra revisando tareas
1. Focus Group para revisar palabras
2. Uso de logo peatón</v>
      </c>
      <c r="N4505" s="55">
        <f ca="1">IFERROR(__xludf.DUMMYFUNCTION("""COMPUTED_VALUE"""),44420)</f>
        <v>44420</v>
      </c>
      <c r="O4505" s="25" t="str">
        <f t="shared" ca="1" si="0"/>
        <v>Secretaría Distrital de Movilidad</v>
      </c>
      <c r="P4505" s="25" t="str">
        <f t="shared" ref="P4505:P5003" si="3">IFERROR(IF(I4505="","",IFERROR(IF(K4505="Cerrado","Actualizado",IF(DATEVALUE(C4505)&gt;DATEVALUE($S$4),"Actualizado",IF(AND(IF(L4505="",FALSE,DATEVALUE(L4505)&gt;DATEVALUE($S$3)),IF(C4505="",TRUE,DATEVALUE(C4505)&lt;DATEVALUE($S$4))),"Actualizado","Desactualizado"))),"")),"")</f>
        <v/>
      </c>
      <c r="Q4505" s="25" t="str">
        <f ca="1">IFERROR(__xludf.DUMMYFUNCTION("""COMPUTED_VALUE"""),"Corto plazo")</f>
        <v>Corto plazo</v>
      </c>
      <c r="R4505" s="25"/>
      <c r="S4505" s="55"/>
      <c r="T4505" s="56"/>
      <c r="U4505" s="25"/>
      <c r="V4505" s="25"/>
      <c r="W4505" s="25"/>
      <c r="X4505" s="25"/>
      <c r="Y4505" s="25"/>
      <c r="Z4505" s="25"/>
    </row>
    <row r="4506" spans="1:26" ht="52.5" customHeight="1" x14ac:dyDescent="0.25">
      <c r="A4506" s="25" t="str">
        <f ca="1">IFERROR(__xludf.DUMMYFUNCTION("""COMPUTED_VALUE"""),"Movil304")</f>
        <v>Movil304</v>
      </c>
      <c r="B4506" s="25" t="str">
        <f ca="1">IFERROR(__xludf.DUMMYFUNCTION("""COMPUTED_VALUE"""),"Estrategia peatón y pico y placa solidario")</f>
        <v>Estrategia peatón y pico y placa solidario</v>
      </c>
      <c r="C4506" s="55">
        <f ca="1">IFERROR(__xludf.DUMMYFUNCTION("""COMPUTED_VALUE"""),44301)</f>
        <v>44301</v>
      </c>
      <c r="D4506" s="25" t="str">
        <f ca="1">IFERROR(__xludf.DUMMYFUNCTION("""COMPUTED_VALUE"""),"Movilidad")</f>
        <v>Movilidad</v>
      </c>
      <c r="E4506" s="25" t="str">
        <f ca="1">IFERROR(__xludf.DUMMYFUNCTION("""COMPUTED_VALUE"""),"Secretaría Distrital de Movilidad")</f>
        <v>Secretaría Distrital de Movilidad</v>
      </c>
      <c r="F4506" s="25" t="str">
        <f ca="1">IFERROR(__xludf.DUMMYFUNCTION("""COMPUTED_VALUE"""),"Hacer un detalle sobre por qué es tan costoso hacer andenes en la ciudad")</f>
        <v>Hacer un detalle sobre por qué es tan costoso hacer andenes en la ciudad</v>
      </c>
      <c r="G4506" s="25" t="str">
        <f ca="1">IFERROR(__xludf.DUMMYFUNCTION("""COMPUTED_VALUE"""),"99. Distrito")</f>
        <v>99. Distrito</v>
      </c>
      <c r="H4506" s="55">
        <f ca="1">IFERROR(__xludf.DUMMYFUNCTION("""COMPUTED_VALUE"""),44331)</f>
        <v>44331</v>
      </c>
      <c r="I4506" s="25"/>
      <c r="J4506" s="55" t="str">
        <f ca="1">IFERROR(__xludf.DUMMYFUNCTION("""COMPUTED_VALUE"""),"Alta")</f>
        <v>Alta</v>
      </c>
      <c r="K4506" s="25">
        <f ca="1">IFERROR(__xludf.DUMMYFUNCTION("""COMPUTED_VALUE"""),30)</f>
        <v>30</v>
      </c>
      <c r="L4506" s="62">
        <f ca="1">IFERROR(__xludf.DUMMYFUNCTION("""COMPUTED_VALUE"""),44369)</f>
        <v>44369</v>
      </c>
      <c r="M4506" s="25" t="str">
        <f ca="1">IFERROR(__xludf.DUMMYFUNCTION("""COMPUTED_VALUE"""),"Hacer andenes en la ciudad implica principalmente procesos de obra, por eso se han estructurado estrategias que nos permitan aumentar los metros cuadrados de andenes en la ciudad los cuales son expuestos las actividades 2433 y 2436.")</f>
        <v>Hacer andenes en la ciudad implica principalmente procesos de obra, por eso se han estructurado estrategias que nos permitan aumentar los metros cuadrados de andenes en la ciudad los cuales son expuestos las actividades 2433 y 2436.</v>
      </c>
      <c r="N4506" s="55">
        <f ca="1">IFERROR(__xludf.DUMMYFUNCTION("""COMPUTED_VALUE"""),44369)</f>
        <v>44369</v>
      </c>
      <c r="O4506" s="25" t="str">
        <f t="shared" ca="1" si="0"/>
        <v>Secretaría Distrital de Movilidad</v>
      </c>
      <c r="P4506" s="25" t="str">
        <f t="shared" si="3"/>
        <v/>
      </c>
      <c r="Q4506" s="25" t="str">
        <f ca="1">IFERROR(__xludf.DUMMYFUNCTION("""COMPUTED_VALUE"""),"Corto plazo")</f>
        <v>Corto plazo</v>
      </c>
      <c r="R4506" s="25"/>
      <c r="S4506" s="55"/>
      <c r="T4506" s="56"/>
      <c r="U4506" s="25"/>
      <c r="V4506" s="25"/>
      <c r="W4506" s="25"/>
      <c r="X4506" s="25"/>
      <c r="Y4506" s="25"/>
      <c r="Z4506" s="25"/>
    </row>
    <row r="4507" spans="1:26" ht="52.5" customHeight="1" x14ac:dyDescent="0.25">
      <c r="A4507" s="25" t="str">
        <f ca="1">IFERROR(__xludf.DUMMYFUNCTION("""COMPUTED_VALUE"""),"Movil305")</f>
        <v>Movil305</v>
      </c>
      <c r="B4507" s="25" t="str">
        <f ca="1">IFERROR(__xludf.DUMMYFUNCTION("""COMPUTED_VALUE"""),"Estrategia peatón y pico y placa solidario")</f>
        <v>Estrategia peatón y pico y placa solidario</v>
      </c>
      <c r="C4507" s="55">
        <f ca="1">IFERROR(__xludf.DUMMYFUNCTION("""COMPUTED_VALUE"""),44301)</f>
        <v>44301</v>
      </c>
      <c r="D4507" s="25" t="str">
        <f ca="1">IFERROR(__xludf.DUMMYFUNCTION("""COMPUTED_VALUE"""),"Movilidad")</f>
        <v>Movilidad</v>
      </c>
      <c r="E4507" s="25" t="str">
        <f ca="1">IFERROR(__xludf.DUMMYFUNCTION("""COMPUTED_VALUE"""),"Secretaría Distrital de Movilidad")</f>
        <v>Secretaría Distrital de Movilidad</v>
      </c>
      <c r="F4507" s="25" t="str">
        <f ca="1">IFERROR(__xludf.DUMMYFUNCTION("""COMPUTED_VALUE"""),"Hacer un plan para que el urbanismo táctico sea una forma de crear andenes de forma rápida")</f>
        <v>Hacer un plan para que el urbanismo táctico sea una forma de crear andenes de forma rápida</v>
      </c>
      <c r="G4507" s="25" t="str">
        <f ca="1">IFERROR(__xludf.DUMMYFUNCTION("""COMPUTED_VALUE"""),"99. Distrito")</f>
        <v>99. Distrito</v>
      </c>
      <c r="H4507" s="55">
        <f ca="1">IFERROR(__xludf.DUMMYFUNCTION("""COMPUTED_VALUE"""),44331)</f>
        <v>44331</v>
      </c>
      <c r="I4507" s="25"/>
      <c r="J4507" s="55" t="str">
        <f ca="1">IFERROR(__xludf.DUMMYFUNCTION("""COMPUTED_VALUE"""),"Alta")</f>
        <v>Alta</v>
      </c>
      <c r="K4507" s="25">
        <f ca="1">IFERROR(__xludf.DUMMYFUNCTION("""COMPUTED_VALUE"""),30)</f>
        <v>30</v>
      </c>
      <c r="L4507" s="62">
        <f ca="1">IFERROR(__xludf.DUMMYFUNCTION("""COMPUTED_VALUE"""),44369)</f>
        <v>44369</v>
      </c>
      <c r="M4507" s="25" t="str">
        <f ca="1">IFERROR(__xludf.DUMMYFUNCTION("""COMPUTED_VALUE"""),"En términos del plan de urbanismo táctico, se ha modificado a PLAN DE INTERVENCIÓN, que actualmente se trabaja en varios frentes:
 1. POT: En el POT se planteó la red de andenes, como una red en el sistema de movilidad en la Estructura Funcional y del Cui"&amp;"dado. A este red se le integró el programa y subprograma que da la visual y la mayor relevancia a la necesidad de intervención de andenes.
 2. PMM: en las nuevas competencias de la UMV se trabajarán las diferentes formas de intervención con el decreto que"&amp;" dictamine el proceso para regularizar estas nuevas intervenciones.
 3. IDU: Actualmente IDU ha modificado algunos proyectos, como RAPS VENECIA, que pasaron de ser proyecto de construcción a conservación. Este será el primer piloto para la mejora de los t"&amp;"iempos de ejecución de andenes. 
 4. BARRIOS VITALES, ANDENES EMERGENTES: En el marco de los Proyectos Estratégicos Peatonales y los Barrios Vitales se ha adelantado un proceso de priorización, visita de campo y diseño para poder construir espacio exclusi"&amp;"vo para circulación peatonal a través de implementación de urbanismo táctico, para lo cual, en el corto plazo como se expone, se trabaja con netamente urbanismo táctico, y en el mediano y largo plazo se buscará la intervención integral como lo planea el p"&amp;"unto 1 y con las estrategias planteadas en los puntos 2 y 3.")</f>
        <v>En términos del plan de urbanismo táctico, se ha modificado a PLAN DE INTERVENCIÓN, que actualmente se trabaja en varios frentes:
 1. POT: En el POT se planteó la red de andenes, como una red en el sistema de movilidad en la Estructura Funcional y del Cuidado. A este red se le integró el programa y subprograma que da la visual y la mayor relevancia a la necesidad de intervención de andenes.
 2. PMM: en las nuevas competencias de la UMV se trabajarán las diferentes formas de intervención con el decreto que dictamine el proceso para regularizar estas nuevas intervenciones.
 3. IDU: Actualmente IDU ha modificado algunos proyectos, como RAPS VENECIA, que pasaron de ser proyecto de construcción a conservación. Este será el primer piloto para la mejora de los tiempos de ejecución de andenes. 
 4. BARRIOS VITALES, ANDENES EMERGENTES: En el marco de los Proyectos Estratégicos Peatonales y los Barrios Vitales se ha adelantado un proceso de priorización, visita de campo y diseño para poder construir espacio exclusivo para circulación peatonal a través de implementación de urbanismo táctico, para lo cual, en el corto plazo como se expone, se trabaja con netamente urbanismo táctico, y en el mediano y largo plazo se buscará la intervención integral como lo planea el punto 1 y con las estrategias planteadas en los puntos 2 y 3.</v>
      </c>
      <c r="N4507" s="55">
        <f ca="1">IFERROR(__xludf.DUMMYFUNCTION("""COMPUTED_VALUE"""),44369)</f>
        <v>44369</v>
      </c>
      <c r="O4507" s="25" t="str">
        <f t="shared" ca="1" si="0"/>
        <v>Secretaría Distrital de Movilidad</v>
      </c>
      <c r="P4507" s="25" t="str">
        <f t="shared" si="3"/>
        <v/>
      </c>
      <c r="Q4507" s="25" t="str">
        <f ca="1">IFERROR(__xludf.DUMMYFUNCTION("""COMPUTED_VALUE"""),"Corto plazo")</f>
        <v>Corto plazo</v>
      </c>
      <c r="R4507" s="25"/>
      <c r="S4507" s="55"/>
      <c r="T4507" s="56"/>
      <c r="U4507" s="25"/>
      <c r="V4507" s="25"/>
      <c r="W4507" s="25"/>
      <c r="X4507" s="25"/>
      <c r="Y4507" s="25"/>
      <c r="Z4507" s="25"/>
    </row>
    <row r="4508" spans="1:26" ht="52.5" customHeight="1" x14ac:dyDescent="0.25">
      <c r="A4508" s="25" t="str">
        <f ca="1">IFERROR(__xludf.DUMMYFUNCTION("""COMPUTED_VALUE"""),"Movil306")</f>
        <v>Movil306</v>
      </c>
      <c r="B4508" s="25" t="str">
        <f ca="1">IFERROR(__xludf.DUMMYFUNCTION("""COMPUTED_VALUE"""),"Nuevos trámites de movilidad")</f>
        <v>Nuevos trámites de movilidad</v>
      </c>
      <c r="C4508" s="55">
        <f ca="1">IFERROR(__xludf.DUMMYFUNCTION("""COMPUTED_VALUE"""),44301)</f>
        <v>44301</v>
      </c>
      <c r="D4508" s="25" t="str">
        <f ca="1">IFERROR(__xludf.DUMMYFUNCTION("""COMPUTED_VALUE"""),"Movilidad")</f>
        <v>Movilidad</v>
      </c>
      <c r="E4508" s="25" t="str">
        <f ca="1">IFERROR(__xludf.DUMMYFUNCTION("""COMPUTED_VALUE"""),"Secretaría Distrital de Movilidad")</f>
        <v>Secretaría Distrital de Movilidad</v>
      </c>
      <c r="F4508" s="25" t="str">
        <f ca="1">IFERROR(__xludf.DUMMYFUNCTION("""COMPUTED_VALUE"""),"Coordinar con Ágata para que puedan disponer de los datos que tendrá ahora la Secretaría de Movilidad. / Asegurarse de que ningún privado pueda usar esos datos con fin comercial.")</f>
        <v>Coordinar con Ágata para que puedan disponer de los datos que tendrá ahora la Secretaría de Movilidad. / Asegurarse de que ningún privado pueda usar esos datos con fin comercial.</v>
      </c>
      <c r="G4508" s="25" t="str">
        <f ca="1">IFERROR(__xludf.DUMMYFUNCTION("""COMPUTED_VALUE"""),"99. Distrito")</f>
        <v>99. Distrito</v>
      </c>
      <c r="H4508" s="55">
        <f ca="1">IFERROR(__xludf.DUMMYFUNCTION("""COMPUTED_VALUE"""),44331)</f>
        <v>44331</v>
      </c>
      <c r="I4508" s="25"/>
      <c r="J4508" s="55" t="str">
        <f ca="1">IFERROR(__xludf.DUMMYFUNCTION("""COMPUTED_VALUE"""),"Alta")</f>
        <v>Alta</v>
      </c>
      <c r="K4508" s="25">
        <f ca="1">IFERROR(__xludf.DUMMYFUNCTION("""COMPUTED_VALUE"""),30)</f>
        <v>30</v>
      </c>
      <c r="L4508" s="62">
        <f ca="1">IFERROR(__xludf.DUMMYFUNCTION("""COMPUTED_VALUE"""),44393)</f>
        <v>44393</v>
      </c>
      <c r="M4508" s="25" t="str">
        <f ca="1">IFERROR(__xludf.DUMMYFUNCTION("""COMPUTED_VALUE"""),"Se inicia con Ágata la exploración del modelo de Gobernanza de Datos de la SDM y diseño de artefactos para la análitica. El resultado permitirá organizar los conjuntos de datos para su publicación en Datos Abiertos.")</f>
        <v>Se inicia con Ágata la exploración del modelo de Gobernanza de Datos de la SDM y diseño de artefactos para la análitica. El resultado permitirá organizar los conjuntos de datos para su publicación en Datos Abiertos.</v>
      </c>
      <c r="N4508" s="55">
        <f ca="1">IFERROR(__xludf.DUMMYFUNCTION("""COMPUTED_VALUE"""),44393)</f>
        <v>44393</v>
      </c>
      <c r="O4508" s="25" t="str">
        <f t="shared" ca="1" si="0"/>
        <v>Secretaría Distrital de Movilidad</v>
      </c>
      <c r="P4508" s="25" t="str">
        <f t="shared" si="3"/>
        <v/>
      </c>
      <c r="Q4508" s="25" t="str">
        <f ca="1">IFERROR(__xludf.DUMMYFUNCTION("""COMPUTED_VALUE"""),"Corto plazo")</f>
        <v>Corto plazo</v>
      </c>
      <c r="R4508" s="25"/>
      <c r="S4508" s="55"/>
      <c r="T4508" s="56"/>
      <c r="U4508" s="25"/>
      <c r="V4508" s="25"/>
      <c r="W4508" s="25"/>
      <c r="X4508" s="25"/>
      <c r="Y4508" s="25"/>
      <c r="Z4508" s="25"/>
    </row>
    <row r="4509" spans="1:26" ht="52.5" customHeight="1" x14ac:dyDescent="0.25">
      <c r="A4509" s="25" t="str">
        <f ca="1">IFERROR(__xludf.DUMMYFUNCTION("""COMPUTED_VALUE"""),"Movil307")</f>
        <v>Movil307</v>
      </c>
      <c r="B4509" s="25" t="str">
        <f ca="1">IFERROR(__xludf.DUMMYFUNCTION("""COMPUTED_VALUE"""),"Nuevos trámites de movilidad")</f>
        <v>Nuevos trámites de movilidad</v>
      </c>
      <c r="C4509" s="55">
        <f ca="1">IFERROR(__xludf.DUMMYFUNCTION("""COMPUTED_VALUE"""),44301)</f>
        <v>44301</v>
      </c>
      <c r="D4509" s="25" t="str">
        <f ca="1">IFERROR(__xludf.DUMMYFUNCTION("""COMPUTED_VALUE"""),"Movilidad")</f>
        <v>Movilidad</v>
      </c>
      <c r="E4509" s="25" t="str">
        <f ca="1">IFERROR(__xludf.DUMMYFUNCTION("""COMPUTED_VALUE"""),"Secretaría Distrital de Movilidad")</f>
        <v>Secretaría Distrital de Movilidad</v>
      </c>
      <c r="F4509" s="25" t="str">
        <f ca="1">IFERROR(__xludf.DUMMYFUNCTION("""COMPUTED_VALUE"""),"Incluir en la licitación que los proponentes deben presentar precios más competitivos que los actuales, debido a que la modalidad será virtual.")</f>
        <v>Incluir en la licitación que los proponentes deben presentar precios más competitivos que los actuales, debido a que la modalidad será virtual.</v>
      </c>
      <c r="G4509" s="25" t="str">
        <f ca="1">IFERROR(__xludf.DUMMYFUNCTION("""COMPUTED_VALUE"""),"99. Distrito")</f>
        <v>99. Distrito</v>
      </c>
      <c r="H4509" s="55">
        <f ca="1">IFERROR(__xludf.DUMMYFUNCTION("""COMPUTED_VALUE"""),44331)</f>
        <v>44331</v>
      </c>
      <c r="I4509" s="25"/>
      <c r="J4509" s="55" t="str">
        <f ca="1">IFERROR(__xludf.DUMMYFUNCTION("""COMPUTED_VALUE"""),"Alta")</f>
        <v>Alta</v>
      </c>
      <c r="K4509" s="25">
        <f ca="1">IFERROR(__xludf.DUMMYFUNCTION("""COMPUTED_VALUE"""),30)</f>
        <v>30</v>
      </c>
      <c r="L4509" s="62">
        <f ca="1">IFERROR(__xludf.DUMMYFUNCTION("""COMPUTED_VALUE"""),44379)</f>
        <v>44379</v>
      </c>
      <c r="M4509" s="25" t="str">
        <f ca="1">IFERROR(__xludf.DUMMYFUNCTION("""COMPUTED_VALUE"""),"Se incluye esta condición en los documentos precontractuales, anexo técnico y estudio previo")</f>
        <v>Se incluye esta condición en los documentos precontractuales, anexo técnico y estudio previo</v>
      </c>
      <c r="N4509" s="55">
        <f ca="1">IFERROR(__xludf.DUMMYFUNCTION("""COMPUTED_VALUE"""),44379)</f>
        <v>44379</v>
      </c>
      <c r="O4509" s="25" t="str">
        <f t="shared" ca="1" si="0"/>
        <v>Secretaría Distrital de Movilidad</v>
      </c>
      <c r="P4509" s="25" t="str">
        <f t="shared" si="3"/>
        <v/>
      </c>
      <c r="Q4509" s="25" t="str">
        <f ca="1">IFERROR(__xludf.DUMMYFUNCTION("""COMPUTED_VALUE"""),"Corto plazo")</f>
        <v>Corto plazo</v>
      </c>
      <c r="R4509" s="25"/>
      <c r="S4509" s="55"/>
      <c r="T4509" s="56"/>
      <c r="U4509" s="25"/>
      <c r="V4509" s="25"/>
      <c r="W4509" s="25"/>
      <c r="X4509" s="25"/>
      <c r="Y4509" s="25"/>
      <c r="Z4509" s="25"/>
    </row>
    <row r="4510" spans="1:26" ht="52.5" customHeight="1" x14ac:dyDescent="0.25">
      <c r="A4510" s="25" t="str">
        <f ca="1">IFERROR(__xludf.DUMMYFUNCTION("""COMPUTED_VALUE"""),"Movil308")</f>
        <v>Movil308</v>
      </c>
      <c r="B4510" s="25" t="str">
        <f ca="1">IFERROR(__xludf.DUMMYFUNCTION("""COMPUTED_VALUE"""),"Nuevos trámites de movilidad")</f>
        <v>Nuevos trámites de movilidad</v>
      </c>
      <c r="C4510" s="55">
        <f ca="1">IFERROR(__xludf.DUMMYFUNCTION("""COMPUTED_VALUE"""),44301)</f>
        <v>44301</v>
      </c>
      <c r="D4510" s="25" t="str">
        <f ca="1">IFERROR(__xludf.DUMMYFUNCTION("""COMPUTED_VALUE"""),"Movilidad")</f>
        <v>Movilidad</v>
      </c>
      <c r="E4510" s="25" t="str">
        <f ca="1">IFERROR(__xludf.DUMMYFUNCTION("""COMPUTED_VALUE"""),"Secretaría Distrital de Movilidad")</f>
        <v>Secretaría Distrital de Movilidad</v>
      </c>
      <c r="F4510" s="25" t="str">
        <f ca="1">IFERROR(__xludf.DUMMYFUNCTION("""COMPUTED_VALUE"""),"Llevar al gobierno nacional el análisis jurídico del nuevo modelo de trámites y cuáles serían las alternativas para maximizar los beneficios de la licitación. Pasar texto legal actual y propuesta de mejora.")</f>
        <v>Llevar al gobierno nacional el análisis jurídico del nuevo modelo de trámites y cuáles serían las alternativas para maximizar los beneficios de la licitación. Pasar texto legal actual y propuesta de mejora.</v>
      </c>
      <c r="G4510" s="25" t="str">
        <f ca="1">IFERROR(__xludf.DUMMYFUNCTION("""COMPUTED_VALUE"""),"99. Distrito")</f>
        <v>99. Distrito</v>
      </c>
      <c r="H4510" s="55">
        <f ca="1">IFERROR(__xludf.DUMMYFUNCTION("""COMPUTED_VALUE"""),44331)</f>
        <v>44331</v>
      </c>
      <c r="I4510" s="25"/>
      <c r="J4510" s="55" t="str">
        <f ca="1">IFERROR(__xludf.DUMMYFUNCTION("""COMPUTED_VALUE"""),"Alta")</f>
        <v>Alta</v>
      </c>
      <c r="K4510" s="25">
        <f ca="1">IFERROR(__xludf.DUMMYFUNCTION("""COMPUTED_VALUE"""),30)</f>
        <v>30</v>
      </c>
      <c r="L4510" s="62">
        <f ca="1">IFERROR(__xludf.DUMMYFUNCTION("""COMPUTED_VALUE"""),44369)</f>
        <v>44369</v>
      </c>
      <c r="M4510" s="25" t="str">
        <f ca="1">IFERROR(__xludf.DUMMYFUNCTION("""COMPUTED_VALUE"""),"El 13 de septiembre se cerró la etapa de presentación de ofertas y se encuentra en evaluación. El día 04 de octubre se publicará el informe de la evaluación y la audiencia de adjudicación está prevista para el 03 de noviembre de 2021.")</f>
        <v>El 13 de septiembre se cerró la etapa de presentación de ofertas y se encuentra en evaluación. El día 04 de octubre se publicará el informe de la evaluación y la audiencia de adjudicación está prevista para el 03 de noviembre de 2021.</v>
      </c>
      <c r="N4510" s="55">
        <f ca="1">IFERROR(__xludf.DUMMYFUNCTION("""COMPUTED_VALUE"""),44369)</f>
        <v>44369</v>
      </c>
      <c r="O4510" s="25" t="str">
        <f t="shared" ca="1" si="0"/>
        <v>Secretaría Distrital de Movilidad</v>
      </c>
      <c r="P4510" s="25" t="str">
        <f t="shared" si="3"/>
        <v/>
      </c>
      <c r="Q4510" s="25" t="str">
        <f ca="1">IFERROR(__xludf.DUMMYFUNCTION("""COMPUTED_VALUE"""),"Corto plazo")</f>
        <v>Corto plazo</v>
      </c>
      <c r="R4510" s="25"/>
      <c r="S4510" s="55"/>
      <c r="T4510" s="56"/>
      <c r="U4510" s="25"/>
      <c r="V4510" s="25"/>
      <c r="W4510" s="25"/>
      <c r="X4510" s="25"/>
      <c r="Y4510" s="25"/>
      <c r="Z4510" s="25"/>
    </row>
    <row r="4511" spans="1:26" ht="52.5" customHeight="1" x14ac:dyDescent="0.25">
      <c r="A4511" s="25" t="str">
        <f ca="1">IFERROR(__xludf.DUMMYFUNCTION("""COMPUTED_VALUE"""),"Movil309")</f>
        <v>Movil309</v>
      </c>
      <c r="B4511" s="25" t="str">
        <f ca="1">IFERROR(__xludf.DUMMYFUNCTION("""COMPUTED_VALUE"""),"Despachando. Secretaría Distrital de Seguridad, Convivencia y Justicia")</f>
        <v>Despachando. Secretaría Distrital de Seguridad, Convivencia y Justicia</v>
      </c>
      <c r="C4511" s="55">
        <f ca="1">IFERROR(__xludf.DUMMYFUNCTION("""COMPUTED_VALUE"""),44300)</f>
        <v>44300</v>
      </c>
      <c r="D4511" s="25" t="str">
        <f ca="1">IFERROR(__xludf.DUMMYFUNCTION("""COMPUTED_VALUE"""),"Movilidad")</f>
        <v>Movilidad</v>
      </c>
      <c r="E4511" s="25" t="str">
        <f ca="1">IFERROR(__xludf.DUMMYFUNCTION("""COMPUTED_VALUE"""),"Secretaría Distrital de Movilidad")</f>
        <v>Secretaría Distrital de Movilidad</v>
      </c>
      <c r="F4511" s="25" t="str">
        <f ca="1">IFERROR(__xludf.DUMMYFUNCTION("""COMPUTED_VALUE"""),"Revisar el tema de permisos a vehículos de seguridad privada, en cuanto al pico y placa.")</f>
        <v>Revisar el tema de permisos a vehículos de seguridad privada, en cuanto al pico y placa.</v>
      </c>
      <c r="G4511" s="25" t="str">
        <f ca="1">IFERROR(__xludf.DUMMYFUNCTION("""COMPUTED_VALUE"""),"99. Distrito")</f>
        <v>99. Distrito</v>
      </c>
      <c r="H4511" s="55">
        <f ca="1">IFERROR(__xludf.DUMMYFUNCTION("""COMPUTED_VALUE"""),44330)</f>
        <v>44330</v>
      </c>
      <c r="I4511" s="25"/>
      <c r="J4511" s="55" t="str">
        <f ca="1">IFERROR(__xludf.DUMMYFUNCTION("""COMPUTED_VALUE"""),"Alta")</f>
        <v>Alta</v>
      </c>
      <c r="K4511" s="25">
        <f ca="1">IFERROR(__xludf.DUMMYFUNCTION("""COMPUTED_VALUE"""),30)</f>
        <v>30</v>
      </c>
      <c r="L4511" s="62">
        <f ca="1">IFERROR(__xludf.DUMMYFUNCTION("""COMPUTED_VALUE"""),44420)</f>
        <v>44420</v>
      </c>
      <c r="M4511" s="25" t="str">
        <f ca="1">IFERROR(__xludf.DUMMYFUNCTION("""COMPUTED_VALUE"""),"Con la base entregada por la  Superintendencia de vigilancia y seguridad privada se determinó la cantidad de vehículos de empresas de seguridad que han adquirido el permiso, siendo el 45%. Sin embargo dada la estructuración y visión de la medida no es pos"&amp;"ible generar un incentivo para estas empresas.")</f>
        <v>Con la base entregada por la  Superintendencia de vigilancia y seguridad privada se determinó la cantidad de vehículos de empresas de seguridad que han adquirido el permiso, siendo el 45%. Sin embargo dada la estructuración y visión de la medida no es posible generar un incentivo para estas empresas.</v>
      </c>
      <c r="N4511" s="55">
        <f ca="1">IFERROR(__xludf.DUMMYFUNCTION("""COMPUTED_VALUE"""),44420)</f>
        <v>44420</v>
      </c>
      <c r="O4511" s="25" t="str">
        <f t="shared" ca="1" si="0"/>
        <v>Secretaría Distrital de Movilidad</v>
      </c>
      <c r="P4511" s="25" t="str">
        <f t="shared" si="3"/>
        <v/>
      </c>
      <c r="Q4511" s="25" t="str">
        <f ca="1">IFERROR(__xludf.DUMMYFUNCTION("""COMPUTED_VALUE"""),"Corto plazo")</f>
        <v>Corto plazo</v>
      </c>
      <c r="R4511" s="25"/>
      <c r="S4511" s="55"/>
      <c r="T4511" s="56"/>
      <c r="U4511" s="25"/>
      <c r="V4511" s="25"/>
      <c r="W4511" s="25"/>
      <c r="X4511" s="25"/>
      <c r="Y4511" s="25"/>
      <c r="Z4511" s="25"/>
    </row>
    <row r="4512" spans="1:26" ht="52.5" customHeight="1" x14ac:dyDescent="0.25">
      <c r="A4512" s="25" t="str">
        <f ca="1">IFERROR(__xludf.DUMMYFUNCTION("""COMPUTED_VALUE"""),"Movil310")</f>
        <v>Movil310</v>
      </c>
      <c r="B4512" s="25" t="str">
        <f ca="1">IFERROR(__xludf.DUMMYFUNCTION("""COMPUTED_VALUE"""),"Evasión Transmilenio")</f>
        <v>Evasión Transmilenio</v>
      </c>
      <c r="C4512" s="55">
        <f ca="1">IFERROR(__xludf.DUMMYFUNCTION("""COMPUTED_VALUE"""),44286)</f>
        <v>44286</v>
      </c>
      <c r="D4512" s="25" t="str">
        <f ca="1">IFERROR(__xludf.DUMMYFUNCTION("""COMPUTED_VALUE"""),"Movilidad")</f>
        <v>Movilidad</v>
      </c>
      <c r="E4512" s="25" t="str">
        <f ca="1">IFERROR(__xludf.DUMMYFUNCTION("""COMPUTED_VALUE"""),"Empresa de Transporte del Tercer Milenio - Transmilenio S.A.")</f>
        <v>Empresa de Transporte del Tercer Milenio - Transmilenio S.A.</v>
      </c>
      <c r="F4512" s="25" t="str">
        <f ca="1">IFERROR(__xludf.DUMMYFUNCTION("""COMPUTED_VALUE"""),"Avanzar en propuesta para 2022, 2023 y 2024, y modelas cómo quedaría operando el sistema de transporte masivo de la ciudad")</f>
        <v>Avanzar en propuesta para 2022, 2023 y 2024, y modelas cómo quedaría operando el sistema de transporte masivo de la ciudad</v>
      </c>
      <c r="G4512" s="25" t="str">
        <f ca="1">IFERROR(__xludf.DUMMYFUNCTION("""COMPUTED_VALUE"""),"99. Distrito")</f>
        <v>99. Distrito</v>
      </c>
      <c r="H4512" s="55">
        <f ca="1">IFERROR(__xludf.DUMMYFUNCTION("""COMPUTED_VALUE"""),44316)</f>
        <v>44316</v>
      </c>
      <c r="I4512" s="25"/>
      <c r="J4512" s="55" t="str">
        <f ca="1">IFERROR(__xludf.DUMMYFUNCTION("""COMPUTED_VALUE"""),"Alta")</f>
        <v>Alta</v>
      </c>
      <c r="K4512" s="25">
        <f ca="1">IFERROR(__xludf.DUMMYFUNCTION("""COMPUTED_VALUE"""),30)</f>
        <v>30</v>
      </c>
      <c r="L4512" s="62">
        <f ca="1">IFERROR(__xludf.DUMMYFUNCTION("""COMPUTED_VALUE"""),44392)</f>
        <v>44392</v>
      </c>
      <c r="M4512" s="25" t="str">
        <f ca="1">IFERROR(__xludf.DUMMYFUNCTION("""COMPUTED_VALUE"""),"Se realizaron tres escenarios de demanda y oferta para las proyecciones de FET. Con esto se cierra la actividad
Se hicieron simulaciones en tres escenarios diferentes de oferta y demanda. Oferta a inicios del 2022 = 100%, 70%, 70% y Demanda a inicios de "&amp;"2022= 80%, 65% y 50% respectivamente. Los tres escenarios buscan cubrir las posibles condiciones dentro de la “nueva normalidad” del Sistema. Estos escenarios permitieron determinar las necesidades de flota troncal y zonal e 2024")</f>
        <v>Se realizaron tres escenarios de demanda y oferta para las proyecciones de FET. Con esto se cierra la actividad
Se hicieron simulaciones en tres escenarios diferentes de oferta y demanda. Oferta a inicios del 2022 = 100%, 70%, 70% y Demanda a inicios de 2022= 80%, 65% y 50% respectivamente. Los tres escenarios buscan cubrir las posibles condiciones dentro de la “nueva normalidad” del Sistema. Estos escenarios permitieron determinar las necesidades de flota troncal y zonal e 2024</v>
      </c>
      <c r="N4512" s="55">
        <f ca="1">IFERROR(__xludf.DUMMYFUNCTION("""COMPUTED_VALUE"""),44392)</f>
        <v>44392</v>
      </c>
      <c r="O4512" s="25" t="str">
        <f t="shared" ca="1" si="0"/>
        <v>Empresa de Transporte del Tercer Milenio - Transmilenio S.A.</v>
      </c>
      <c r="P4512" s="25" t="str">
        <f t="shared" si="3"/>
        <v/>
      </c>
      <c r="Q4512" s="25" t="str">
        <f ca="1">IFERROR(__xludf.DUMMYFUNCTION("""COMPUTED_VALUE"""),"Corto plazo")</f>
        <v>Corto plazo</v>
      </c>
      <c r="R4512" s="25"/>
      <c r="S4512" s="55"/>
      <c r="T4512" s="56"/>
      <c r="U4512" s="25"/>
      <c r="V4512" s="25"/>
      <c r="W4512" s="25"/>
      <c r="X4512" s="25"/>
      <c r="Y4512" s="25"/>
      <c r="Z4512" s="25"/>
    </row>
    <row r="4513" spans="1:26" ht="52.5" customHeight="1" x14ac:dyDescent="0.25">
      <c r="A4513" s="25" t="str">
        <f ca="1">IFERROR(__xludf.DUMMYFUNCTION("""COMPUTED_VALUE"""),"Movil311")</f>
        <v>Movil311</v>
      </c>
      <c r="B4513" s="25" t="str">
        <f ca="1">IFERROR(__xludf.DUMMYFUNCTION("""COMPUTED_VALUE"""),"Evasión Transmilenio")</f>
        <v>Evasión Transmilenio</v>
      </c>
      <c r="C4513" s="55">
        <f ca="1">IFERROR(__xludf.DUMMYFUNCTION("""COMPUTED_VALUE"""),44286)</f>
        <v>44286</v>
      </c>
      <c r="D4513" s="25" t="str">
        <f ca="1">IFERROR(__xludf.DUMMYFUNCTION("""COMPUTED_VALUE"""),"Movilidad")</f>
        <v>Movilidad</v>
      </c>
      <c r="E4513" s="25" t="str">
        <f ca="1">IFERROR(__xludf.DUMMYFUNCTION("""COMPUTED_VALUE"""),"Empresa de Transporte del Tercer Milenio - Transmilenio S.A.")</f>
        <v>Empresa de Transporte del Tercer Milenio - Transmilenio S.A.</v>
      </c>
      <c r="F4513" s="25" t="str">
        <f ca="1">IFERROR(__xludf.DUMMYFUNCTION("""COMPUTED_VALUE"""),"Cuánto cuesta y qué hueco deja")</f>
        <v>Cuánto cuesta y qué hueco deja</v>
      </c>
      <c r="G4513" s="25" t="str">
        <f ca="1">IFERROR(__xludf.DUMMYFUNCTION("""COMPUTED_VALUE"""),"99. Distrito")</f>
        <v>99. Distrito</v>
      </c>
      <c r="H4513" s="55">
        <f ca="1">IFERROR(__xludf.DUMMYFUNCTION("""COMPUTED_VALUE"""),44316)</f>
        <v>44316</v>
      </c>
      <c r="I4513" s="25"/>
      <c r="J4513" s="55" t="str">
        <f ca="1">IFERROR(__xludf.DUMMYFUNCTION("""COMPUTED_VALUE"""),"Alta")</f>
        <v>Alta</v>
      </c>
      <c r="K4513" s="25">
        <f ca="1">IFERROR(__xludf.DUMMYFUNCTION("""COMPUTED_VALUE"""),30)</f>
        <v>30</v>
      </c>
      <c r="L4513" s="62">
        <f ca="1">IFERROR(__xludf.DUMMYFUNCTION("""COMPUTED_VALUE"""),44392)</f>
        <v>44392</v>
      </c>
      <c r="M4513" s="25" t="str">
        <f ca="1">IFERROR(__xludf.DUMMYFUNCTION("""COMPUTED_VALUE"""),"Para los próximos años tres años (2022, 2023 y 2024) se estima un déficit adicional al diferencial tarifario aprobado en el MFMP del 2020, de aproximadamente $3.4 billones de pesos. Esto con base en el escenario de mayor probabilidad de ocurrencia proyect"&amp;"ado en el MFMP presentado en mayo del 2021.")</f>
        <v>Para los próximos años tres años (2022, 2023 y 2024) se estima un déficit adicional al diferencial tarifario aprobado en el MFMP del 2020, de aproximadamente $3.4 billones de pesos. Esto con base en el escenario de mayor probabilidad de ocurrencia proyectado en el MFMP presentado en mayo del 2021.</v>
      </c>
      <c r="N4513" s="55">
        <f ca="1">IFERROR(__xludf.DUMMYFUNCTION("""COMPUTED_VALUE"""),44392)</f>
        <v>44392</v>
      </c>
      <c r="O4513" s="25" t="str">
        <f t="shared" ca="1" si="0"/>
        <v>Empresa de Transporte del Tercer Milenio - Transmilenio S.A.</v>
      </c>
      <c r="P4513" s="25" t="str">
        <f t="shared" si="3"/>
        <v/>
      </c>
      <c r="Q4513" s="25" t="str">
        <f ca="1">IFERROR(__xludf.DUMMYFUNCTION("""COMPUTED_VALUE"""),"Corto plazo")</f>
        <v>Corto plazo</v>
      </c>
      <c r="R4513" s="25"/>
      <c r="S4513" s="55"/>
      <c r="T4513" s="56"/>
      <c r="U4513" s="25"/>
      <c r="V4513" s="25"/>
      <c r="W4513" s="25"/>
      <c r="X4513" s="25"/>
      <c r="Y4513" s="25"/>
      <c r="Z4513" s="25"/>
    </row>
    <row r="4514" spans="1:26" ht="52.5" customHeight="1" x14ac:dyDescent="0.25">
      <c r="A4514" s="25" t="str">
        <f ca="1">IFERROR(__xludf.DUMMYFUNCTION("""COMPUTED_VALUE"""),"Movil312")</f>
        <v>Movil312</v>
      </c>
      <c r="B4514" s="25" t="str">
        <f ca="1">IFERROR(__xludf.DUMMYFUNCTION("""COMPUTED_VALUE"""),"Evasión Transmilenio")</f>
        <v>Evasión Transmilenio</v>
      </c>
      <c r="C4514" s="55">
        <f ca="1">IFERROR(__xludf.DUMMYFUNCTION("""COMPUTED_VALUE"""),44286)</f>
        <v>44286</v>
      </c>
      <c r="D4514" s="25" t="str">
        <f ca="1">IFERROR(__xludf.DUMMYFUNCTION("""COMPUTED_VALUE"""),"Movilidad")</f>
        <v>Movilidad</v>
      </c>
      <c r="E4514" s="25" t="str">
        <f ca="1">IFERROR(__xludf.DUMMYFUNCTION("""COMPUTED_VALUE"""),"Empresa de Transporte del Tercer Milenio - Transmilenio S.A.")</f>
        <v>Empresa de Transporte del Tercer Milenio - Transmilenio S.A.</v>
      </c>
      <c r="F4514" s="25" t="str">
        <f ca="1">IFERROR(__xludf.DUMMYFUNCTION("""COMPUTED_VALUE"""),"Estimar dos escenarios de demanda de TMSA para 2021: uno al 60%, y otro escenario con restricciones.")</f>
        <v>Estimar dos escenarios de demanda de TMSA para 2021: uno al 60%, y otro escenario con restricciones.</v>
      </c>
      <c r="G4514" s="25" t="str">
        <f ca="1">IFERROR(__xludf.DUMMYFUNCTION("""COMPUTED_VALUE"""),"99. Distrito")</f>
        <v>99. Distrito</v>
      </c>
      <c r="H4514" s="55">
        <f ca="1">IFERROR(__xludf.DUMMYFUNCTION("""COMPUTED_VALUE"""),44316)</f>
        <v>44316</v>
      </c>
      <c r="I4514" s="25"/>
      <c r="J4514" s="55" t="str">
        <f ca="1">IFERROR(__xludf.DUMMYFUNCTION("""COMPUTED_VALUE"""),"Alta")</f>
        <v>Alta</v>
      </c>
      <c r="K4514" s="25">
        <f ca="1">IFERROR(__xludf.DUMMYFUNCTION("""COMPUTED_VALUE"""),30)</f>
        <v>30</v>
      </c>
      <c r="L4514" s="62">
        <f ca="1">IFERROR(__xludf.DUMMYFUNCTION("""COMPUTED_VALUE"""),44392)</f>
        <v>44392</v>
      </c>
      <c r="M4514" s="25" t="str">
        <f ca="1">IFERROR(__xludf.DUMMYFUNCTION("""COMPUTED_VALUE"""),"Se hicieron 3 escenarios de demanda al 50 60-65% y 80%. El escenario del 50% involucra restricciones que mantienen la demanda en estos valores a lo largo del año")</f>
        <v>Se hicieron 3 escenarios de demanda al 50 60-65% y 80%. El escenario del 50% involucra restricciones que mantienen la demanda en estos valores a lo largo del año</v>
      </c>
      <c r="N4514" s="55">
        <f ca="1">IFERROR(__xludf.DUMMYFUNCTION("""COMPUTED_VALUE"""),44392)</f>
        <v>44392</v>
      </c>
      <c r="O4514" s="25" t="str">
        <f t="shared" ca="1" si="0"/>
        <v>Empresa de Transporte del Tercer Milenio - Transmilenio S.A.</v>
      </c>
      <c r="P4514" s="25" t="str">
        <f t="shared" si="3"/>
        <v/>
      </c>
      <c r="Q4514" s="25" t="str">
        <f ca="1">IFERROR(__xludf.DUMMYFUNCTION("""COMPUTED_VALUE"""),"Corto plazo")</f>
        <v>Corto plazo</v>
      </c>
      <c r="R4514" s="25"/>
      <c r="S4514" s="55"/>
      <c r="T4514" s="56"/>
      <c r="U4514" s="25"/>
      <c r="V4514" s="25"/>
      <c r="W4514" s="25"/>
      <c r="X4514" s="25"/>
      <c r="Y4514" s="25"/>
      <c r="Z4514" s="25"/>
    </row>
    <row r="4515" spans="1:26" ht="52.5" customHeight="1" x14ac:dyDescent="0.25">
      <c r="A4515" s="25" t="str">
        <f ca="1">IFERROR(__xludf.DUMMYFUNCTION("""COMPUTED_VALUE"""),"Movil313")</f>
        <v>Movil313</v>
      </c>
      <c r="B4515" s="25" t="str">
        <f ca="1">IFERROR(__xludf.DUMMYFUNCTION("""COMPUTED_VALUE"""),"Evasión Transmilenio")</f>
        <v>Evasión Transmilenio</v>
      </c>
      <c r="C4515" s="55">
        <f ca="1">IFERROR(__xludf.DUMMYFUNCTION("""COMPUTED_VALUE"""),44286)</f>
        <v>44286</v>
      </c>
      <c r="D4515" s="25" t="str">
        <f ca="1">IFERROR(__xludf.DUMMYFUNCTION("""COMPUTED_VALUE"""),"Movilidad")</f>
        <v>Movilidad</v>
      </c>
      <c r="E4515" s="25" t="str">
        <f ca="1">IFERROR(__xludf.DUMMYFUNCTION("""COMPUTED_VALUE"""),"Empresa de Transporte del Tercer Milenio - Transmilenio S.A.")</f>
        <v>Empresa de Transporte del Tercer Milenio - Transmilenio S.A.</v>
      </c>
      <c r="F4515" s="25" t="str">
        <f ca="1">IFERROR(__xludf.DUMMYFUNCTION("""COMPUTED_VALUE"""),"Hacer un plan para cambiar el material de las estaciones en las zonas donde hay una constante de vandalización")</f>
        <v>Hacer un plan para cambiar el material de las estaciones en las zonas donde hay una constante de vandalización</v>
      </c>
      <c r="G4515" s="25" t="str">
        <f ca="1">IFERROR(__xludf.DUMMYFUNCTION("""COMPUTED_VALUE"""),"99. Distrito")</f>
        <v>99. Distrito</v>
      </c>
      <c r="H4515" s="55">
        <f ca="1">IFERROR(__xludf.DUMMYFUNCTION("""COMPUTED_VALUE"""),44316)</f>
        <v>44316</v>
      </c>
      <c r="I4515" s="25"/>
      <c r="J4515" s="55" t="str">
        <f ca="1">IFERROR(__xludf.DUMMYFUNCTION("""COMPUTED_VALUE"""),"Alta")</f>
        <v>Alta</v>
      </c>
      <c r="K4515" s="25">
        <f ca="1">IFERROR(__xludf.DUMMYFUNCTION("""COMPUTED_VALUE"""),30)</f>
        <v>30</v>
      </c>
      <c r="L4515" s="62">
        <f ca="1">IFERROR(__xludf.DUMMYFUNCTION("""COMPUTED_VALUE"""),44425)</f>
        <v>44425</v>
      </c>
      <c r="M4515" s="25" t="str">
        <f ca="1">IFERROR(__xludf.DUMMYFUNCTION("""COMPUTED_VALUE"""),"La Entidad evaluó la posibilidad de migrar a nuevos materiales y la utilización de elementos alternativos que mejoren la resistencia ante hechos vandálicos.  Entre las alternativas evaluadas se encontró la posibilidad de utilización de estructuras metálic"&amp;"as tipo persiana (celosías). Se determinó la instalación de las persianas en las estaciones con un alto porcentaje de fragmentación de vidrios como son: Avenida Jimenez, Avenida Primero de Mayo, Polo, Museo del Oro, y se encuentran en proceso Calle 76 y R"&amp;"icaurte Calle 13. En adición, se adelantó la revisión de las demás estaciones vandalizadas con el fin de establecer las secciones donde podrá reemplazarse el vidrio fragmentado por los módulos metálicos tipo persiana, en una intervención integral de acuer"&amp;"do con el vandalismo que se presente. Se prevé que se realizará el reemplazo de paneles de vidrio por celosías inicialmente en 30 estaciones (las de mayor afectación) a través del contrato de mantenimiento en conjunto con la indemnización de la Asegurador"&amp;"a, y de manera gradual se irán cambiando los vidrios en la medida que se identifiquen paneles de vidrios completos para reemplazo, esto teniendo en cuenta que no vemos viable el retiro vidrios en estado para realizar el cambio por el tema de utilización a"&amp;"propiada de recursos. ")</f>
        <v xml:space="preserve">La Entidad evaluó la posibilidad de migrar a nuevos materiales y la utilización de elementos alternativos que mejoren la resistencia ante hechos vandálicos.  Entre las alternativas evaluadas se encontró la posibilidad de utilización de estructuras metálicas tipo persiana (celosías). Se determinó la instalación de las persianas en las estaciones con un alto porcentaje de fragmentación de vidrios como son: Avenida Jimenez, Avenida Primero de Mayo, Polo, Museo del Oro, y se encuentran en proceso Calle 76 y Ricaurte Calle 13. En adición, se adelantó la revisión de las demás estaciones vandalizadas con el fin de establecer las secciones donde podrá reemplazarse el vidrio fragmentado por los módulos metálicos tipo persiana, en una intervención integral de acuerdo con el vandalismo que se presente. Se prevé que se realizará el reemplazo de paneles de vidrio por celosías inicialmente en 30 estaciones (las de mayor afectación) a través del contrato de mantenimiento en conjunto con la indemnización de la Aseguradora, y de manera gradual se irán cambiando los vidrios en la medida que se identifiquen paneles de vidrios completos para reemplazo, esto teniendo en cuenta que no vemos viable el retiro vidrios en estado para realizar el cambio por el tema de utilización apropiada de recursos. </v>
      </c>
      <c r="N4515" s="55">
        <f ca="1">IFERROR(__xludf.DUMMYFUNCTION("""COMPUTED_VALUE"""),44425)</f>
        <v>44425</v>
      </c>
      <c r="O4515" s="25" t="str">
        <f t="shared" ca="1" si="0"/>
        <v>Empresa de Transporte del Tercer Milenio - Transmilenio S.A.</v>
      </c>
      <c r="P4515" s="25" t="str">
        <f t="shared" si="3"/>
        <v/>
      </c>
      <c r="Q4515" s="25" t="str">
        <f ca="1">IFERROR(__xludf.DUMMYFUNCTION("""COMPUTED_VALUE"""),"Corto plazo")</f>
        <v>Corto plazo</v>
      </c>
      <c r="R4515" s="25"/>
      <c r="S4515" s="55"/>
      <c r="T4515" s="56"/>
      <c r="U4515" s="25"/>
      <c r="V4515" s="25"/>
      <c r="W4515" s="25"/>
      <c r="X4515" s="25"/>
      <c r="Y4515" s="25"/>
      <c r="Z4515" s="25"/>
    </row>
    <row r="4516" spans="1:26" ht="52.5" customHeight="1" x14ac:dyDescent="0.25">
      <c r="A4516" s="25" t="str">
        <f ca="1">IFERROR(__xludf.DUMMYFUNCTION("""COMPUTED_VALUE"""),"Movil314")</f>
        <v>Movil314</v>
      </c>
      <c r="B4516" s="25" t="str">
        <f ca="1">IFERROR(__xludf.DUMMYFUNCTION("""COMPUTED_VALUE"""),"RAPE Desarrollo Económico")</f>
        <v>RAPE Desarrollo Económico</v>
      </c>
      <c r="C4516" s="55">
        <f ca="1">IFERROR(__xludf.DUMMYFUNCTION("""COMPUTED_VALUE"""),44286)</f>
        <v>44286</v>
      </c>
      <c r="D4516" s="25" t="str">
        <f ca="1">IFERROR(__xludf.DUMMYFUNCTION("""COMPUTED_VALUE"""),"Movilidad")</f>
        <v>Movilidad</v>
      </c>
      <c r="E4516" s="25" t="str">
        <f ca="1">IFERROR(__xludf.DUMMYFUNCTION("""COMPUTED_VALUE"""),"Secretaría Distrital de Movilidad")</f>
        <v>Secretaría Distrital de Movilidad</v>
      </c>
      <c r="F4516" s="25" t="str">
        <f ca="1">IFERROR(__xludf.DUMMYFUNCTION("""COMPUTED_VALUE"""),"Crear y enviar Cronograma de: 
 - Conteo de cicloparqueaderos 
 - Mesas con los gremios de los cicloparqueaderos 
 - Cuándo están los candados de las bicicletas")</f>
        <v>Crear y enviar Cronograma de: 
 - Conteo de cicloparqueaderos 
 - Mesas con los gremios de los cicloparqueaderos 
 - Cuándo están los candados de las bicicletas</v>
      </c>
      <c r="G4516" s="25" t="str">
        <f ca="1">IFERROR(__xludf.DUMMYFUNCTION("""COMPUTED_VALUE"""),"99. Distrito")</f>
        <v>99. Distrito</v>
      </c>
      <c r="H4516" s="55">
        <f ca="1">IFERROR(__xludf.DUMMYFUNCTION("""COMPUTED_VALUE"""),44316)</f>
        <v>44316</v>
      </c>
      <c r="I4516" s="25"/>
      <c r="J4516" s="55" t="str">
        <f ca="1">IFERROR(__xludf.DUMMYFUNCTION("""COMPUTED_VALUE"""),"Alta")</f>
        <v>Alta</v>
      </c>
      <c r="K4516" s="25">
        <f ca="1">IFERROR(__xludf.DUMMYFUNCTION("""COMPUTED_VALUE"""),30)</f>
        <v>30</v>
      </c>
      <c r="L4516" s="62">
        <f ca="1">IFERROR(__xludf.DUMMYFUNCTION("""COMPUTED_VALUE"""),44498)</f>
        <v>44498</v>
      </c>
      <c r="M4516" s="25" t="str">
        <f ca="1">IFERROR(__xludf.DUMMYFUNCTION("""COMPUTED_VALUE"""),"- La Mesa Regional de la Bicicleta en la Región Central, liderada por la RAP-EN , la cual será integrada por los sectores de movilidad, seguridad, desarrollo económico, turismo y deportes de los territorios de Bogotá D.C. Cundinamarca, Tolima, Meta, Boyac"&amp;"á y Huila. Su creación y reglamentación se llevará a cabo por medio de un acuerdo regional el cual tiene que ser firmado en Junta Directiva de la RAP-EN, el pasado 26 de octubre se reunió la Junta Directiva pero los temas de delegación de nuevo Gerente de"&amp;" la RAP-E tuvieron prioridad, sin embargo, se realizará una nueva Junta en el mes de diciembre donde se espera firmar el Acuerdo.   
-Sobre candados, se realizó una primera entrega (300) a mujeres vulnerables el 3/06/2021 en el marco de la celebración d"&amp;"el día mundial de la bici. Adicionalmente, el 01/10/2021 se entregaron 390 a ciclistas de la zona de influencia de la Calle 13, quienes regularmente usan su bicicleta para movilizarse por este corredor entre Bogotá y los municipios de Mosquera y Funza, y "&amp;"no poseen los recursos para adquirir un candado de buena calidad. 
-El contador de cicloparqueaderos a nivel Distrital, cuenta a la fecha con información de cicloparqueaderos con sellos de calidad, con el inventario de mobiliario urbano en espacio públ"&amp;"ico, parques, y se encuentra realizando el inventario de equipamientos distritales con un avance del 70%. A la fecha continúa en 70% puesto que los técnicos se encuentran inventariando Parqueaderos Fuera de Vía.
")</f>
        <v xml:space="preserve">- La Mesa Regional de la Bicicleta en la Región Central, liderada por la RAP-EN , la cual será integrada por los sectores de movilidad, seguridad, desarrollo económico, turismo y deportes de los territorios de Bogotá D.C. Cundinamarca, Tolima, Meta, Boyacá y Huila. Su creación y reglamentación se llevará a cabo por medio de un acuerdo regional el cual tiene que ser firmado en Junta Directiva de la RAP-EN, el pasado 26 de octubre se reunió la Junta Directiva pero los temas de delegación de nuevo Gerente de la RAP-E tuvieron prioridad, sin embargo, se realizará una nueva Junta en el mes de diciembre donde se espera firmar el Acuerdo.   
-Sobre candados, se realizó una primera entrega (300) a mujeres vulnerables el 3/06/2021 en el marco de la celebración del día mundial de la bici. Adicionalmente, el 01/10/2021 se entregaron 390 a ciclistas de la zona de influencia de la Calle 13, quienes regularmente usan su bicicleta para movilizarse por este corredor entre Bogotá y los municipios de Mosquera y Funza, y no poseen los recursos para adquirir un candado de buena calidad. 
-El contador de cicloparqueaderos a nivel Distrital, cuenta a la fecha con información de cicloparqueaderos con sellos de calidad, con el inventario de mobiliario urbano en espacio público, parques, y se encuentra realizando el inventario de equipamientos distritales con un avance del 70%. A la fecha continúa en 70% puesto que los técnicos se encuentran inventariando Parqueaderos Fuera de Vía.
</v>
      </c>
      <c r="N4516" s="55">
        <f ca="1">IFERROR(__xludf.DUMMYFUNCTION("""COMPUTED_VALUE"""),44498)</f>
        <v>44498</v>
      </c>
      <c r="O4516" s="25" t="str">
        <f t="shared" ca="1" si="0"/>
        <v>Secretaría Distrital de Movilidad</v>
      </c>
      <c r="P4516" s="25" t="str">
        <f t="shared" si="3"/>
        <v/>
      </c>
      <c r="Q4516" s="25" t="str">
        <f ca="1">IFERROR(__xludf.DUMMYFUNCTION("""COMPUTED_VALUE"""),"Corto plazo")</f>
        <v>Corto plazo</v>
      </c>
      <c r="R4516" s="25"/>
      <c r="S4516" s="55"/>
      <c r="T4516" s="56"/>
      <c r="U4516" s="25"/>
      <c r="V4516" s="25"/>
      <c r="W4516" s="25"/>
      <c r="X4516" s="25"/>
      <c r="Y4516" s="25"/>
      <c r="Z4516" s="25"/>
    </row>
    <row r="4517" spans="1:26" ht="52.5" customHeight="1" x14ac:dyDescent="0.25">
      <c r="A4517" s="25" t="str">
        <f ca="1">IFERROR(__xludf.DUMMYFUNCTION("""COMPUTED_VALUE"""),"Movil315")</f>
        <v>Movil315</v>
      </c>
      <c r="B4517" s="25" t="str">
        <f ca="1">IFERROR(__xludf.DUMMYFUNCTION("""COMPUTED_VALUE"""),"Conpes Movilidad")</f>
        <v>Conpes Movilidad</v>
      </c>
      <c r="C4517" s="55">
        <f ca="1">IFERROR(__xludf.DUMMYFUNCTION("""COMPUTED_VALUE"""),44274)</f>
        <v>44274</v>
      </c>
      <c r="D4517" s="25" t="str">
        <f ca="1">IFERROR(__xludf.DUMMYFUNCTION("""COMPUTED_VALUE"""),"Movilidad")</f>
        <v>Movilidad</v>
      </c>
      <c r="E4517" s="25" t="str">
        <f ca="1">IFERROR(__xludf.DUMMYFUNCTION("""COMPUTED_VALUE"""),"Secretaría Distrital de Movilidad")</f>
        <v>Secretaría Distrital de Movilidad</v>
      </c>
      <c r="F4517" s="25" t="str">
        <f ca="1">IFERROR(__xludf.DUMMYFUNCTION("""COMPUTED_VALUE"""),"Trabajar en el soporte técnico de calle 13, para incluir en el Conpes y enviarlo a DNP a más tardar la 1 semana de abril")</f>
        <v>Trabajar en el soporte técnico de calle 13, para incluir en el Conpes y enviarlo a DNP a más tardar la 1 semana de abril</v>
      </c>
      <c r="G4517" s="25" t="str">
        <f ca="1">IFERROR(__xludf.DUMMYFUNCTION("""COMPUTED_VALUE"""),"99. Distrito")</f>
        <v>99. Distrito</v>
      </c>
      <c r="H4517" s="55">
        <f ca="1">IFERROR(__xludf.DUMMYFUNCTION("""COMPUTED_VALUE"""),44304)</f>
        <v>44304</v>
      </c>
      <c r="I4517" s="25"/>
      <c r="J4517" s="55" t="str">
        <f ca="1">IFERROR(__xludf.DUMMYFUNCTION("""COMPUTED_VALUE"""),"Alta")</f>
        <v>Alta</v>
      </c>
      <c r="K4517" s="25">
        <f ca="1">IFERROR(__xludf.DUMMYFUNCTION("""COMPUTED_VALUE"""),30)</f>
        <v>30</v>
      </c>
      <c r="L4517" s="62">
        <f ca="1">IFERROR(__xludf.DUMMYFUNCTION("""COMPUTED_VALUE"""),44484)</f>
        <v>44484</v>
      </c>
      <c r="M4517" s="25" t="str">
        <f ca="1">IFERROR(__xludf.DUMMYFUNCTION("""COMPUTED_VALUE"""),"El 4 de octubre se completó la radicación de los requisitos técnicos para acceder a la cofinanciación. Queda pendiente el relacionado con aval fiscal dado que se continúa en discusiones con Ministerio y Secretaría de Hacienda sobre los escenarios y sendas"&amp;" de recursos.")</f>
        <v>El 4 de octubre se completó la radicación de los requisitos técnicos para acceder a la cofinanciación. Queda pendiente el relacionado con aval fiscal dado que se continúa en discusiones con Ministerio y Secretaría de Hacienda sobre los escenarios y sendas de recursos.</v>
      </c>
      <c r="N4517" s="55">
        <f ca="1">IFERROR(__xludf.DUMMYFUNCTION("""COMPUTED_VALUE"""),44484)</f>
        <v>44484</v>
      </c>
      <c r="O4517" s="25" t="str">
        <f t="shared" ca="1" si="0"/>
        <v>Secretaría Distrital de Movilidad</v>
      </c>
      <c r="P4517" s="25" t="str">
        <f t="shared" si="3"/>
        <v/>
      </c>
      <c r="Q4517" s="25" t="str">
        <f ca="1">IFERROR(__xludf.DUMMYFUNCTION("""COMPUTED_VALUE"""),"Corto plazo")</f>
        <v>Corto plazo</v>
      </c>
      <c r="R4517" s="25"/>
      <c r="S4517" s="55"/>
      <c r="T4517" s="56"/>
      <c r="U4517" s="25"/>
      <c r="V4517" s="25"/>
      <c r="W4517" s="25"/>
      <c r="X4517" s="25"/>
      <c r="Y4517" s="25"/>
      <c r="Z4517" s="25"/>
    </row>
    <row r="4518" spans="1:26" ht="52.5" customHeight="1" x14ac:dyDescent="0.25">
      <c r="A4518" s="25" t="str">
        <f ca="1">IFERROR(__xludf.DUMMYFUNCTION("""COMPUTED_VALUE"""),"Movil316")</f>
        <v>Movil316</v>
      </c>
      <c r="B4518" s="25" t="str">
        <f ca="1">IFERROR(__xludf.DUMMYFUNCTION("""COMPUTED_VALUE"""),"Conpes Movilidad")</f>
        <v>Conpes Movilidad</v>
      </c>
      <c r="C4518" s="55">
        <f ca="1">IFERROR(__xludf.DUMMYFUNCTION("""COMPUTED_VALUE"""),44274)</f>
        <v>44274</v>
      </c>
      <c r="D4518" s="25" t="str">
        <f ca="1">IFERROR(__xludf.DUMMYFUNCTION("""COMPUTED_VALUE"""),"Movilidad")</f>
        <v>Movilidad</v>
      </c>
      <c r="E4518" s="25" t="str">
        <f ca="1">IFERROR(__xludf.DUMMYFUNCTION("""COMPUTED_VALUE"""),"Secretaría Distrital de Movilidad")</f>
        <v>Secretaría Distrital de Movilidad</v>
      </c>
      <c r="F4518" s="25" t="str">
        <f ca="1">IFERROR(__xludf.DUMMYFUNCTION("""COMPUTED_VALUE"""),"Enviar a la alcaldesa el borrador del Conpes a más tardar el 26 de marzo de 2021")</f>
        <v>Enviar a la alcaldesa el borrador del Conpes a más tardar el 26 de marzo de 2021</v>
      </c>
      <c r="G4518" s="25" t="str">
        <f ca="1">IFERROR(__xludf.DUMMYFUNCTION("""COMPUTED_VALUE"""),"99. Distrito")</f>
        <v>99. Distrito</v>
      </c>
      <c r="H4518" s="55">
        <f ca="1">IFERROR(__xludf.DUMMYFUNCTION("""COMPUTED_VALUE"""),44304)</f>
        <v>44304</v>
      </c>
      <c r="I4518" s="25"/>
      <c r="J4518" s="55" t="str">
        <f ca="1">IFERROR(__xludf.DUMMYFUNCTION("""COMPUTED_VALUE"""),"Alta")</f>
        <v>Alta</v>
      </c>
      <c r="K4518" s="25">
        <f ca="1">IFERROR(__xludf.DUMMYFUNCTION("""COMPUTED_VALUE"""),30)</f>
        <v>30</v>
      </c>
      <c r="L4518" s="62">
        <f ca="1">IFERROR(__xludf.DUMMYFUNCTION("""COMPUTED_VALUE"""),44419)</f>
        <v>44419</v>
      </c>
      <c r="M4518" s="25" t="str">
        <f ca="1">IFERROR(__xludf.DUMMYFUNCTION("""COMPUTED_VALUE"""),"Se realizó el CONPES el 11 de julio donde se aprobó el documento. Se publicó con el número 4034 de 2021 y se presentó con el Presidente y el Gobernador el 13 de julio")</f>
        <v>Se realizó el CONPES el 11 de julio donde se aprobó el documento. Se publicó con el número 4034 de 2021 y se presentó con el Presidente y el Gobernador el 13 de julio</v>
      </c>
      <c r="N4518" s="55">
        <f ca="1">IFERROR(__xludf.DUMMYFUNCTION("""COMPUTED_VALUE"""),44419)</f>
        <v>44419</v>
      </c>
      <c r="O4518" s="25" t="str">
        <f t="shared" ca="1" si="0"/>
        <v>Secretaría Distrital de Movilidad</v>
      </c>
      <c r="P4518" s="25" t="str">
        <f t="shared" si="3"/>
        <v/>
      </c>
      <c r="Q4518" s="25" t="str">
        <f ca="1">IFERROR(__xludf.DUMMYFUNCTION("""COMPUTED_VALUE"""),"Corto plazo")</f>
        <v>Corto plazo</v>
      </c>
      <c r="R4518" s="25"/>
      <c r="S4518" s="55"/>
      <c r="T4518" s="56"/>
      <c r="U4518" s="25"/>
      <c r="V4518" s="25"/>
      <c r="W4518" s="25"/>
      <c r="X4518" s="25"/>
      <c r="Y4518" s="25"/>
      <c r="Z4518" s="25"/>
    </row>
    <row r="4519" spans="1:26" ht="52.5" customHeight="1" x14ac:dyDescent="0.25">
      <c r="A4519" s="25" t="str">
        <f ca="1">IFERROR(__xludf.DUMMYFUNCTION("""COMPUTED_VALUE"""),"Movil317")</f>
        <v>Movil317</v>
      </c>
      <c r="B4519" s="25" t="str">
        <f ca="1">IFERROR(__xludf.DUMMYFUNCTION("""COMPUTED_VALUE"""),"Recorrido Kennedy")</f>
        <v>Recorrido Kennedy</v>
      </c>
      <c r="C4519" s="55">
        <f ca="1">IFERROR(__xludf.DUMMYFUNCTION("""COMPUTED_VALUE"""),44273)</f>
        <v>44273</v>
      </c>
      <c r="D4519" s="25" t="str">
        <f ca="1">IFERROR(__xludf.DUMMYFUNCTION("""COMPUTED_VALUE"""),"Movilidad")</f>
        <v>Movilidad</v>
      </c>
      <c r="E4519" s="25" t="str">
        <f ca="1">IFERROR(__xludf.DUMMYFUNCTION("""COMPUTED_VALUE"""),"Secretaría Distrital de Movilidad")</f>
        <v>Secretaría Distrital de Movilidad</v>
      </c>
      <c r="F4519" s="25" t="str">
        <f ca="1">IFERROR(__xludf.DUMMYFUNCTION("""COMPUTED_VALUE"""),"Realizar reunión entre ediles de la localidad y Gerencia en vía para solucionar problemáticas en vías que comuniquen los ediles.")</f>
        <v>Realizar reunión entre ediles de la localidad y Gerencia en vía para solucionar problemáticas en vías que comuniquen los ediles.</v>
      </c>
      <c r="G4519" s="55" t="str">
        <f ca="1">IFERROR(__xludf.DUMMYFUNCTION("""COMPUTED_VALUE"""),"08. Kennedy")</f>
        <v>08. Kennedy</v>
      </c>
      <c r="H4519" s="55">
        <f ca="1">IFERROR(__xludf.DUMMYFUNCTION("""COMPUTED_VALUE"""),44303)</f>
        <v>44303</v>
      </c>
      <c r="I4519" s="25"/>
      <c r="J4519" s="55" t="str">
        <f ca="1">IFERROR(__xludf.DUMMYFUNCTION("""COMPUTED_VALUE"""),"Alta")</f>
        <v>Alta</v>
      </c>
      <c r="K4519" s="25">
        <f ca="1">IFERROR(__xludf.DUMMYFUNCTION("""COMPUTED_VALUE"""),30)</f>
        <v>30</v>
      </c>
      <c r="L4519" s="62">
        <f ca="1">IFERROR(__xludf.DUMMYFUNCTION("""COMPUTED_VALUE"""),44354)</f>
        <v>44354</v>
      </c>
      <c r="M4519" s="25" t="str">
        <f ca="1">IFERROR(__xludf.DUMMYFUNCTION("""COMPUTED_VALUE"""),"19/05/2021, se realiza reunión con los Ediles de la Localidad de Kennedy donde se presentan las diferentes alternativas de posibles soluciones a las problemáticas de las vías.")</f>
        <v>19/05/2021, se realiza reunión con los Ediles de la Localidad de Kennedy donde se presentan las diferentes alternativas de posibles soluciones a las problemáticas de las vías.</v>
      </c>
      <c r="N4519" s="55">
        <f ca="1">IFERROR(__xludf.DUMMYFUNCTION("""COMPUTED_VALUE"""),44354)</f>
        <v>44354</v>
      </c>
      <c r="O4519" s="25" t="str">
        <f t="shared" ca="1" si="0"/>
        <v>Secretaría Distrital de Movilidad</v>
      </c>
      <c r="P4519" s="25" t="str">
        <f t="shared" si="3"/>
        <v/>
      </c>
      <c r="Q4519" s="25" t="str">
        <f ca="1">IFERROR(__xludf.DUMMYFUNCTION("""COMPUTED_VALUE"""),"Corto plazo")</f>
        <v>Corto plazo</v>
      </c>
      <c r="R4519" s="25"/>
      <c r="S4519" s="55"/>
      <c r="T4519" s="56"/>
      <c r="U4519" s="25"/>
      <c r="V4519" s="25"/>
      <c r="W4519" s="25"/>
      <c r="X4519" s="25"/>
      <c r="Y4519" s="25"/>
      <c r="Z4519" s="25"/>
    </row>
    <row r="4520" spans="1:26" ht="52.5" customHeight="1" x14ac:dyDescent="0.25">
      <c r="A4520" s="25" t="str">
        <f ca="1">IFERROR(__xludf.DUMMYFUNCTION("""COMPUTED_VALUE"""),"Movil318")</f>
        <v>Movil318</v>
      </c>
      <c r="B4520" s="25" t="str">
        <f ca="1">IFERROR(__xludf.DUMMYFUNCTION("""COMPUTED_VALUE"""),"Infraestructura - Predio Gibraltar con alcaldesa")</f>
        <v>Infraestructura - Predio Gibraltar con alcaldesa</v>
      </c>
      <c r="C4520" s="55">
        <f ca="1">IFERROR(__xludf.DUMMYFUNCTION("""COMPUTED_VALUE"""),44271)</f>
        <v>44271</v>
      </c>
      <c r="D4520" s="25" t="str">
        <f ca="1">IFERROR(__xludf.DUMMYFUNCTION("""COMPUTED_VALUE"""),"Movilidad")</f>
        <v>Movilidad</v>
      </c>
      <c r="E4520" s="25" t="str">
        <f ca="1">IFERROR(__xludf.DUMMYFUNCTION("""COMPUTED_VALUE"""),"Empresa Metro de Bogotá S.A.")</f>
        <v>Empresa Metro de Bogotá S.A.</v>
      </c>
      <c r="F4520" s="25" t="str">
        <f ca="1">IFERROR(__xludf.DUMMYFUNCTION("""COMPUTED_VALUE"""),"Posteriormente y de forma complementaria, la EMB hará puntos de desgasificación adicionales en la zona de influencia de la PLMB.")</f>
        <v>Posteriormente y de forma complementaria, la EMB hará puntos de desgasificación adicionales en la zona de influencia de la PLMB.</v>
      </c>
      <c r="G4520" s="25" t="str">
        <f ca="1">IFERROR(__xludf.DUMMYFUNCTION("""COMPUTED_VALUE"""),"99. Distrito")</f>
        <v>99. Distrito</v>
      </c>
      <c r="H4520" s="55">
        <f ca="1">IFERROR(__xludf.DUMMYFUNCTION("""COMPUTED_VALUE"""),44301)</f>
        <v>44301</v>
      </c>
      <c r="I4520" s="25"/>
      <c r="J4520" s="55" t="str">
        <f ca="1">IFERROR(__xludf.DUMMYFUNCTION("""COMPUTED_VALUE"""),"Alta")</f>
        <v>Alta</v>
      </c>
      <c r="K4520" s="25">
        <f ca="1">IFERROR(__xludf.DUMMYFUNCTION("""COMPUTED_VALUE"""),30)</f>
        <v>30</v>
      </c>
      <c r="L4520" s="62">
        <f ca="1">IFERROR(__xludf.DUMMYFUNCTION("""COMPUTED_VALUE"""),44421)</f>
        <v>44421</v>
      </c>
      <c r="M4520" s="25" t="str">
        <f ca="1">IFERROR(__xludf.DUMMYFUNCTION("""COMPUTED_VALUE"""),"En el caso particular de la EMB el Contrato de Concesión ya se encuentra suscrito con el Concesionario y se revisará el alcance de las actividades para el manejo de lixiviados.  Así mismo estas serán incluidas dentro de los documentos técnicos y ambiental"&amp;"es aplicables al proyecto.
En cuanto al proceso de desgasificación que se va a adelantar por parte de la EAAB, este iniciaría en enero del 2022. ")</f>
        <v xml:space="preserve">En el caso particular de la EMB el Contrato de Concesión ya se encuentra suscrito con el Concesionario y se revisará el alcance de las actividades para el manejo de lixiviados.  Así mismo estas serán incluidas dentro de los documentos técnicos y ambientales aplicables al proyecto.
En cuanto al proceso de desgasificación que se va a adelantar por parte de la EAAB, este iniciaría en enero del 2022. </v>
      </c>
      <c r="N4520" s="55">
        <f ca="1">IFERROR(__xludf.DUMMYFUNCTION("""COMPUTED_VALUE"""),44421)</f>
        <v>44421</v>
      </c>
      <c r="O4520" s="25" t="str">
        <f t="shared" ca="1" si="0"/>
        <v>Empresa Metro de Bogotá S.A.</v>
      </c>
      <c r="P4520" s="25" t="str">
        <f t="shared" si="3"/>
        <v/>
      </c>
      <c r="Q4520" s="25" t="str">
        <f ca="1">IFERROR(__xludf.DUMMYFUNCTION("""COMPUTED_VALUE"""),"Corto plazo")</f>
        <v>Corto plazo</v>
      </c>
      <c r="R4520" s="25"/>
      <c r="S4520" s="55"/>
      <c r="T4520" s="56"/>
      <c r="U4520" s="25"/>
      <c r="V4520" s="25"/>
      <c r="W4520" s="25"/>
      <c r="X4520" s="25"/>
      <c r="Y4520" s="25"/>
      <c r="Z4520" s="25"/>
    </row>
    <row r="4521" spans="1:26" ht="52.5" customHeight="1" x14ac:dyDescent="0.25">
      <c r="A4521" s="25" t="str">
        <f ca="1">IFERROR(__xludf.DUMMYFUNCTION("""COMPUTED_VALUE"""),"Movil319")</f>
        <v>Movil319</v>
      </c>
      <c r="B4521" s="25" t="str">
        <f ca="1">IFERROR(__xludf.DUMMYFUNCTION("""COMPUTED_VALUE"""),"Despachando: Desarrollo económico")</f>
        <v>Despachando: Desarrollo económico</v>
      </c>
      <c r="C4521" s="55">
        <f ca="1">IFERROR(__xludf.DUMMYFUNCTION("""COMPUTED_VALUE"""),44266)</f>
        <v>44266</v>
      </c>
      <c r="D4521" s="25" t="str">
        <f ca="1">IFERROR(__xludf.DUMMYFUNCTION("""COMPUTED_VALUE"""),"Movilidad")</f>
        <v>Movilidad</v>
      </c>
      <c r="E4521" s="25" t="str">
        <f ca="1">IFERROR(__xludf.DUMMYFUNCTION("""COMPUTED_VALUE"""),"Secretaría Distrital de Movilidad")</f>
        <v>Secretaría Distrital de Movilidad</v>
      </c>
      <c r="F4521" s="25" t="str">
        <f ca="1">IFERROR(__xludf.DUMMYFUNCTION("""COMPUTED_VALUE"""),"Acompañamiento en regulación de parqueaderos.")</f>
        <v>Acompañamiento en regulación de parqueaderos.</v>
      </c>
      <c r="G4521" s="25" t="str">
        <f ca="1">IFERROR(__xludf.DUMMYFUNCTION("""COMPUTED_VALUE"""),"99. Distrito")</f>
        <v>99. Distrito</v>
      </c>
      <c r="H4521" s="55">
        <f ca="1">IFERROR(__xludf.DUMMYFUNCTION("""COMPUTED_VALUE"""),44296)</f>
        <v>44296</v>
      </c>
      <c r="I4521" s="25"/>
      <c r="J4521" s="55" t="str">
        <f ca="1">IFERROR(__xludf.DUMMYFUNCTION("""COMPUTED_VALUE"""),"Alta")</f>
        <v>Alta</v>
      </c>
      <c r="K4521" s="25">
        <f ca="1">IFERROR(__xludf.DUMMYFUNCTION("""COMPUTED_VALUE"""),30)</f>
        <v>30</v>
      </c>
      <c r="L4521" s="62">
        <f ca="1">IFERROR(__xludf.DUMMYFUNCTION("""COMPUTED_VALUE"""),44468)</f>
        <v>44468</v>
      </c>
      <c r="M4521" s="25" t="str">
        <f ca="1">IFERROR(__xludf.DUMMYFUNCTION("""COMPUTED_VALUE"""),"Desde la SDM nos encontramos realizando visitas de campo para promover el RDE en los estacionamientos formales. Por otro lado nos encontramos organizando un equipo con SDG y SDH para atacar a los estacionamiento informales.")</f>
        <v>Desde la SDM nos encontramos realizando visitas de campo para promover el RDE en los estacionamientos formales. Por otro lado nos encontramos organizando un equipo con SDG y SDH para atacar a los estacionamiento informales.</v>
      </c>
      <c r="N4521" s="55">
        <f ca="1">IFERROR(__xludf.DUMMYFUNCTION("""COMPUTED_VALUE"""),44468)</f>
        <v>44468</v>
      </c>
      <c r="O4521" s="25" t="str">
        <f t="shared" ca="1" si="0"/>
        <v>Secretaría Distrital de Movilidad</v>
      </c>
      <c r="P4521" s="25" t="str">
        <f t="shared" si="3"/>
        <v/>
      </c>
      <c r="Q4521" s="25" t="str">
        <f ca="1">IFERROR(__xludf.DUMMYFUNCTION("""COMPUTED_VALUE"""),"Corto plazo")</f>
        <v>Corto plazo</v>
      </c>
      <c r="R4521" s="25"/>
      <c r="S4521" s="55"/>
      <c r="T4521" s="56"/>
      <c r="U4521" s="25"/>
      <c r="V4521" s="25"/>
      <c r="W4521" s="25"/>
      <c r="X4521" s="25"/>
      <c r="Y4521" s="25"/>
      <c r="Z4521" s="25"/>
    </row>
    <row r="4522" spans="1:26" ht="52.5" customHeight="1" x14ac:dyDescent="0.25">
      <c r="A4522" s="25" t="str">
        <f ca="1">IFERROR(__xludf.DUMMYFUNCTION("""COMPUTED_VALUE"""),"Movil320")</f>
        <v>Movil320</v>
      </c>
      <c r="B4522" s="25" t="str">
        <f ca="1">IFERROR(__xludf.DUMMYFUNCTION("""COMPUTED_VALUE"""),"CONPES política pública de la bicicleta")</f>
        <v>CONPES política pública de la bicicleta</v>
      </c>
      <c r="C4522" s="55">
        <f ca="1">IFERROR(__xludf.DUMMYFUNCTION("""COMPUTED_VALUE"""),44265)</f>
        <v>44265</v>
      </c>
      <c r="D4522" s="25" t="str">
        <f ca="1">IFERROR(__xludf.DUMMYFUNCTION("""COMPUTED_VALUE"""),"Movilidad")</f>
        <v>Movilidad</v>
      </c>
      <c r="E4522" s="25" t="str">
        <f ca="1">IFERROR(__xludf.DUMMYFUNCTION("""COMPUTED_VALUE"""),"Secretaría Distrital de Movilidad")</f>
        <v>Secretaría Distrital de Movilidad</v>
      </c>
      <c r="F4522" s="25" t="str">
        <f ca="1">IFERROR(__xludf.DUMMYFUNCTION("""COMPUTED_VALUE"""),"Pensar en meta adicional para la SED y la SDM de 1 colegio de la bici adicional.")</f>
        <v>Pensar en meta adicional para la SED y la SDM de 1 colegio de la bici adicional.</v>
      </c>
      <c r="G4522" s="25" t="str">
        <f ca="1">IFERROR(__xludf.DUMMYFUNCTION("""COMPUTED_VALUE"""),"99. Distrito")</f>
        <v>99. Distrito</v>
      </c>
      <c r="H4522" s="55">
        <f ca="1">IFERROR(__xludf.DUMMYFUNCTION("""COMPUTED_VALUE"""),44295)</f>
        <v>44295</v>
      </c>
      <c r="I4522" s="25"/>
      <c r="J4522" s="55" t="str">
        <f ca="1">IFERROR(__xludf.DUMMYFUNCTION("""COMPUTED_VALUE"""),"Alta")</f>
        <v>Alta</v>
      </c>
      <c r="K4522" s="25">
        <f ca="1">IFERROR(__xludf.DUMMYFUNCTION("""COMPUTED_VALUE"""),30)</f>
        <v>30</v>
      </c>
      <c r="L4522" s="62">
        <f ca="1">IFERROR(__xludf.DUMMYFUNCTION("""COMPUTED_VALUE"""),44454)</f>
        <v>44454</v>
      </c>
      <c r="M4522" s="25" t="str">
        <f ca="1">IFERROR(__xludf.DUMMYFUNCTION("""COMPUTED_VALUE"""),"La Secretaría de Educación Distrital señala lo siguiente frente al cumplimiento de esta tarea: En el marco de las acciones dirigidas a la construcción de un nuevo colegio de la bicicleta, se han adelantado mesas de trabajo con los equipos técnicos designa"&amp;"dos por la SED y el SENA para avanzar en el estudio de los programas de formación titulada y complementaria que serán ofertados  en el nuevo colegio de la Bici, el cual quedará ubicado en la localidad de Suba en la UPZ Britalia.
Asimismo, se ha avanzado "&amp;"en la definición de los espacios y demás requerimientos arquitectónicos que se deben analizar previo a la realización de los diseños del nuevo colegio. 
 ")</f>
        <v xml:space="preserve">La Secretaría de Educación Distrital señala lo siguiente frente al cumplimiento de esta tarea: En el marco de las acciones dirigidas a la construcción de un nuevo colegio de la bicicleta, se han adelantado mesas de trabajo con los equipos técnicos designados por la SED y el SENA para avanzar en el estudio de los programas de formación titulada y complementaria que serán ofertados  en el nuevo colegio de la Bici, el cual quedará ubicado en la localidad de Suba en la UPZ Britalia.
Asimismo, se ha avanzado en la definición de los espacios y demás requerimientos arquitectónicos que se deben analizar previo a la realización de los diseños del nuevo colegio. 
 </v>
      </c>
      <c r="N4522" s="55">
        <f ca="1">IFERROR(__xludf.DUMMYFUNCTION("""COMPUTED_VALUE"""),44454)</f>
        <v>44454</v>
      </c>
      <c r="O4522" s="25" t="str">
        <f t="shared" ca="1" si="0"/>
        <v>Secretaría Distrital de Movilidad</v>
      </c>
      <c r="P4522" s="25" t="str">
        <f t="shared" si="3"/>
        <v/>
      </c>
      <c r="Q4522" s="25" t="str">
        <f ca="1">IFERROR(__xludf.DUMMYFUNCTION("""COMPUTED_VALUE"""),"Corto plazo")</f>
        <v>Corto plazo</v>
      </c>
      <c r="R4522" s="25"/>
      <c r="S4522" s="55"/>
      <c r="T4522" s="56"/>
      <c r="U4522" s="25"/>
      <c r="V4522" s="25"/>
      <c r="W4522" s="25"/>
      <c r="X4522" s="25"/>
      <c r="Y4522" s="25"/>
      <c r="Z4522" s="25"/>
    </row>
    <row r="4523" spans="1:26" ht="52.5" customHeight="1" x14ac:dyDescent="0.25">
      <c r="A4523" s="25" t="str">
        <f ca="1">IFERROR(__xludf.DUMMYFUNCTION("""COMPUTED_VALUE"""),"Movil321")</f>
        <v>Movil321</v>
      </c>
      <c r="B4523" s="25" t="str">
        <f ca="1">IFERROR(__xludf.DUMMYFUNCTION("""COMPUTED_VALUE"""),"CONPES política pública de la bicicleta")</f>
        <v>CONPES política pública de la bicicleta</v>
      </c>
      <c r="C4523" s="55">
        <f ca="1">IFERROR(__xludf.DUMMYFUNCTION("""COMPUTED_VALUE"""),44265)</f>
        <v>44265</v>
      </c>
      <c r="D4523" s="25" t="str">
        <f ca="1">IFERROR(__xludf.DUMMYFUNCTION("""COMPUTED_VALUE"""),"Movilidad")</f>
        <v>Movilidad</v>
      </c>
      <c r="E4523" s="25" t="str">
        <f ca="1">IFERROR(__xludf.DUMMYFUNCTION("""COMPUTED_VALUE"""),"Secretaría Distrital de Movilidad")</f>
        <v>Secretaría Distrital de Movilidad</v>
      </c>
      <c r="F4523" s="25" t="str">
        <f ca="1">IFERROR(__xludf.DUMMYFUNCTION("""COMPUTED_VALUE"""),"Establecer las rutas (con matriz origen destino), más usadas por mujeres, para incluirlas en el programa de rutas seguras de la SDM")</f>
        <v>Establecer las rutas (con matriz origen destino), más usadas por mujeres, para incluirlas en el programa de rutas seguras de la SDM</v>
      </c>
      <c r="G4523" s="25" t="str">
        <f ca="1">IFERROR(__xludf.DUMMYFUNCTION("""COMPUTED_VALUE"""),"99. Distrito")</f>
        <v>99. Distrito</v>
      </c>
      <c r="H4523" s="55">
        <f ca="1">IFERROR(__xludf.DUMMYFUNCTION("""COMPUTED_VALUE"""),44295)</f>
        <v>44295</v>
      </c>
      <c r="I4523" s="25"/>
      <c r="J4523" s="55" t="str">
        <f ca="1">IFERROR(__xludf.DUMMYFUNCTION("""COMPUTED_VALUE"""),"Alta")</f>
        <v>Alta</v>
      </c>
      <c r="K4523" s="25">
        <f ca="1">IFERROR(__xludf.DUMMYFUNCTION("""COMPUTED_VALUE"""),30)</f>
        <v>30</v>
      </c>
      <c r="L4523" s="62">
        <f ca="1">IFERROR(__xludf.DUMMYFUNCTION("""COMPUTED_VALUE"""),44784)</f>
        <v>44784</v>
      </c>
      <c r="M4523" s="25" t="str">
        <f ca="1">IFERROR(__xludf.DUMMYFUNCTION("""COMPUTED_VALUE"""),"El 11/08/2021 se expidió conjuntamente con la SCJ, IDRD, SDmujer el Decreto 294 de 2021 ""Por medio del cual se crea la estrategia Rutas Seguras para Ciclistas"" Los corredores que hacen parte de las rutas seguras son definidos en la Mesa intersectorial “"&amp;"La bici nos mueve con seguridad” y la SDMujer participa para garantizar que en estas se incluyan estrategias de ""prevención y atención de situaciones de violencias contra las mujeres."" A partir del mes de septiembre de 2021 se disponen 6 Rutas Seguras a"&amp;"tendiendo a criterios como rutas con mayor uso por mujeres.
La estrategia Onda Bici tiene enfoque de género y busca que más mujeres usen la bicicleta y la red de ciclorrutas de la ciudad. Opera dos días a la semana (martes y jueves), en horario am y pm, "&amp;"para acercar personas de sus hogares a sus destinos, y luego regresar a sus hogares. La ruta piloto (Av. Boyacá con Calle 80 y Plaza de Bolívar) fue seleccionada a partir de análisis de seguridad y viajes de origen y destino y las caravanas son guiadas po"&amp;"r el grupo guía (Bici)de SDM en horario de 6:00 am y 5:30 pm y son abiertas a la ciudadanía en general.
La SDM además dispone de un grupo operativo en Bici atendiendo a situaciones de gestión vial en corredores con mayor demanda.")</f>
        <v>El 11/08/2021 se expidió conjuntamente con la SCJ, IDRD, SDmujer el Decreto 294 de 2021 "Por medio del cual se crea la estrategia Rutas Seguras para Ciclistas" Los corredores que hacen parte de las rutas seguras son definidos en la Mesa intersectorial “La bici nos mueve con seguridad” y la SDMujer participa para garantizar que en estas se incluyan estrategias de "prevención y atención de situaciones de violencias contra las mujeres." A partir del mes de septiembre de 2021 se disponen 6 Rutas Seguras atendiendo a criterios como rutas con mayor uso por mujeres.
La estrategia Onda Bici tiene enfoque de género y busca que más mujeres usen la bicicleta y la red de ciclorrutas de la ciudad. Opera dos días a la semana (martes y jueves), en horario am y pm, para acercar personas de sus hogares a sus destinos, y luego regresar a sus hogares. La ruta piloto (Av. Boyacá con Calle 80 y Plaza de Bolívar) fue seleccionada a partir de análisis de seguridad y viajes de origen y destino y las caravanas son guiadas por el grupo guía (Bici)de SDM en horario de 6:00 am y 5:30 pm y son abiertas a la ciudadanía en general.
La SDM además dispone de un grupo operativo en Bici atendiendo a situaciones de gestión vial en corredores con mayor demanda.</v>
      </c>
      <c r="N4523" s="55">
        <f ca="1">IFERROR(__xludf.DUMMYFUNCTION("""COMPUTED_VALUE"""),44784)</f>
        <v>44784</v>
      </c>
      <c r="O4523" s="25" t="str">
        <f t="shared" ca="1" si="0"/>
        <v>Secretaría Distrital de Movilidad</v>
      </c>
      <c r="P4523" s="25" t="str">
        <f t="shared" si="3"/>
        <v/>
      </c>
      <c r="Q4523" s="25" t="str">
        <f ca="1">IFERROR(__xludf.DUMMYFUNCTION("""COMPUTED_VALUE"""),"Corto plazo")</f>
        <v>Corto plazo</v>
      </c>
      <c r="R4523" s="25"/>
      <c r="S4523" s="55"/>
      <c r="T4523" s="56"/>
      <c r="U4523" s="25"/>
      <c r="V4523" s="25"/>
      <c r="W4523" s="25"/>
      <c r="X4523" s="25"/>
      <c r="Y4523" s="25"/>
      <c r="Z4523" s="25"/>
    </row>
    <row r="4524" spans="1:26" ht="52.5" customHeight="1" x14ac:dyDescent="0.25">
      <c r="A4524" s="25" t="str">
        <f ca="1">IFERROR(__xludf.DUMMYFUNCTION("""COMPUTED_VALUE"""),"Movil322")</f>
        <v>Movil322</v>
      </c>
      <c r="B4524" s="25" t="str">
        <f ca="1">IFERROR(__xludf.DUMMYFUNCTION("""COMPUTED_VALUE"""),"CONPES política pública de la bicicleta")</f>
        <v>CONPES política pública de la bicicleta</v>
      </c>
      <c r="C4524" s="55">
        <f ca="1">IFERROR(__xludf.DUMMYFUNCTION("""COMPUTED_VALUE"""),44265)</f>
        <v>44265</v>
      </c>
      <c r="D4524" s="25" t="str">
        <f ca="1">IFERROR(__xludf.DUMMYFUNCTION("""COMPUTED_VALUE"""),"Movilidad")</f>
        <v>Movilidad</v>
      </c>
      <c r="E4524" s="25" t="str">
        <f ca="1">IFERROR(__xludf.DUMMYFUNCTION("""COMPUTED_VALUE"""),"Secretaría Distrital de Movilidad")</f>
        <v>Secretaría Distrital de Movilidad</v>
      </c>
      <c r="F4524" s="25" t="str">
        <f ca="1">IFERROR(__xludf.DUMMYFUNCTION("""COMPUTED_VALUE"""),"Establecer meta para hábitat: establecer el número mínimo de cicloparqueaderos para nuevos centros comerciales y desarrollos de vivienda")</f>
        <v>Establecer meta para hábitat: establecer el número mínimo de cicloparqueaderos para nuevos centros comerciales y desarrollos de vivienda</v>
      </c>
      <c r="G4524" s="25" t="str">
        <f ca="1">IFERROR(__xludf.DUMMYFUNCTION("""COMPUTED_VALUE"""),"99. Distrito")</f>
        <v>99. Distrito</v>
      </c>
      <c r="H4524" s="55">
        <f ca="1">IFERROR(__xludf.DUMMYFUNCTION("""COMPUTED_VALUE"""),44295)</f>
        <v>44295</v>
      </c>
      <c r="I4524" s="25"/>
      <c r="J4524" s="55" t="str">
        <f ca="1">IFERROR(__xludf.DUMMYFUNCTION("""COMPUTED_VALUE"""),"Alta")</f>
        <v>Alta</v>
      </c>
      <c r="K4524" s="25">
        <f ca="1">IFERROR(__xludf.DUMMYFUNCTION("""COMPUTED_VALUE"""),30)</f>
        <v>30</v>
      </c>
      <c r="L4524" s="62">
        <f ca="1">IFERROR(__xludf.DUMMYFUNCTION("""COMPUTED_VALUE"""),44362)</f>
        <v>44362</v>
      </c>
      <c r="M4524" s="25" t="str">
        <f ca="1">IFERROR(__xludf.DUMMYFUNCTION("""COMPUTED_VALUE"""),"Actualmente, la aprobación de los estudios de tránsito de nuevos desarrollos comerciales y para los planes parciales, se exige la cuota establecida en el POT para bicicletas. (Cuadro Anexo 4 POT establece 1 cupo de bici por cada 2 privados o visitantes) D"&amp;"entro de los avances para la formulación del Nuevo POT, la habilitación de estacionamientos de bicicletas está encaminada a exigir una cuota de cupos en relación a los m2 y no en relación a la cantidad de cupos de vehículos motorizados. por ejemplo, para "&amp;"uso residencial (un cupo de bicicletas por una vivienda menor a 50m2 - dos cupos de bicicletas por vivienda entre 50 y 100 m2 y 3 cupos por viviendas de más de 100m2)")</f>
        <v>Actualmente, la aprobación de los estudios de tránsito de nuevos desarrollos comerciales y para los planes parciales, se exige la cuota establecida en el POT para bicicletas. (Cuadro Anexo 4 POT establece 1 cupo de bici por cada 2 privados o visitantes) Dentro de los avances para la formulación del Nuevo POT, la habilitación de estacionamientos de bicicletas está encaminada a exigir una cuota de cupos en relación a los m2 y no en relación a la cantidad de cupos de vehículos motorizados. por ejemplo, para uso residencial (un cupo de bicicletas por una vivienda menor a 50m2 - dos cupos de bicicletas por vivienda entre 50 y 100 m2 y 3 cupos por viviendas de más de 100m2)</v>
      </c>
      <c r="N4524" s="55">
        <f ca="1">IFERROR(__xludf.DUMMYFUNCTION("""COMPUTED_VALUE"""),44362)</f>
        <v>44362</v>
      </c>
      <c r="O4524" s="25" t="str">
        <f t="shared" ca="1" si="0"/>
        <v>Secretaría Distrital de Movilidad</v>
      </c>
      <c r="P4524" s="25" t="str">
        <f t="shared" si="3"/>
        <v/>
      </c>
      <c r="Q4524" s="25" t="str">
        <f ca="1">IFERROR(__xludf.DUMMYFUNCTION("""COMPUTED_VALUE"""),"Corto plazo")</f>
        <v>Corto plazo</v>
      </c>
      <c r="R4524" s="25"/>
      <c r="S4524" s="55"/>
      <c r="T4524" s="56"/>
      <c r="U4524" s="25"/>
      <c r="V4524" s="25"/>
      <c r="W4524" s="25"/>
      <c r="X4524" s="25"/>
      <c r="Y4524" s="25"/>
      <c r="Z4524" s="25"/>
    </row>
    <row r="4525" spans="1:26" ht="52.5" customHeight="1" x14ac:dyDescent="0.25">
      <c r="A4525" s="25" t="str">
        <f ca="1">IFERROR(__xludf.DUMMYFUNCTION("""COMPUTED_VALUE"""),"Movil323")</f>
        <v>Movil323</v>
      </c>
      <c r="B4525" s="25" t="str">
        <f ca="1">IFERROR(__xludf.DUMMYFUNCTION("""COMPUTED_VALUE"""),"CONPES política pública de la bicicleta")</f>
        <v>CONPES política pública de la bicicleta</v>
      </c>
      <c r="C4525" s="55">
        <f ca="1">IFERROR(__xludf.DUMMYFUNCTION("""COMPUTED_VALUE"""),44265)</f>
        <v>44265</v>
      </c>
      <c r="D4525" s="25" t="str">
        <f ca="1">IFERROR(__xludf.DUMMYFUNCTION("""COMPUTED_VALUE"""),"Movilidad")</f>
        <v>Movilidad</v>
      </c>
      <c r="E4525" s="25" t="str">
        <f ca="1">IFERROR(__xludf.DUMMYFUNCTION("""COMPUTED_VALUE"""),"Secretaría Distrital de Movilidad")</f>
        <v>Secretaría Distrital de Movilidad</v>
      </c>
      <c r="F4525" s="25" t="str">
        <f ca="1">IFERROR(__xludf.DUMMYFUNCTION("""COMPUTED_VALUE"""),"Hacer el estudio de cuántos cicloparqueaderos puede poner cada entidad, por sede; para presentarlo en el próximo consejo de gobierno")</f>
        <v>Hacer el estudio de cuántos cicloparqueaderos puede poner cada entidad, por sede; para presentarlo en el próximo consejo de gobierno</v>
      </c>
      <c r="G4525" s="25" t="str">
        <f ca="1">IFERROR(__xludf.DUMMYFUNCTION("""COMPUTED_VALUE"""),"99. Distrito")</f>
        <v>99. Distrito</v>
      </c>
      <c r="H4525" s="55">
        <f ca="1">IFERROR(__xludf.DUMMYFUNCTION("""COMPUTED_VALUE"""),44295)</f>
        <v>44295</v>
      </c>
      <c r="I4525" s="25"/>
      <c r="J4525" s="55" t="str">
        <f ca="1">IFERROR(__xludf.DUMMYFUNCTION("""COMPUTED_VALUE"""),"Alta")</f>
        <v>Alta</v>
      </c>
      <c r="K4525" s="25">
        <f ca="1">IFERROR(__xludf.DUMMYFUNCTION("""COMPUTED_VALUE"""),30)</f>
        <v>30</v>
      </c>
      <c r="L4525" s="62">
        <f ca="1">IFERROR(__xludf.DUMMYFUNCTION("""COMPUTED_VALUE"""),44423)</f>
        <v>44423</v>
      </c>
      <c r="M4525" s="25" t="str">
        <f ca="1">IFERROR(__xludf.DUMMYFUNCTION("""COMPUTED_VALUE"""),"La Ley 1811 de 20116 en su Artículo 6°.Parqueaderos para bicicletas en edificios públicos. establece que las entidades públicas deben habilitar cicloparqueaderos adecuados, seguros, habilitando como mínimo el 10% de los cupos destinados para vehículos aut"&amp;"omotores que tenga la entidad. Adicionalmente deben ser ajustados periódicamente a la demanda, es decir, el mínimo de cupos corresponderá a la cantidad mínima de usuarios que usen la bicicleta como medio de transporte en la institución.
 En este sentido"&amp;", la Secretaría Distrital de Movilidad, solicitó a las 77 entidades del Distrito, pertenecientes al sector (central, vinculado o adscrito), la información en el marco del cumplimiento de la ley 1811 de 2016 (Ley Probici), obteniendo con corte al 30 de abr"&amp;"il, los siguientes resultados:
 Número de entidades que reportaron información: 69
 Número de parqueaderos para vehículos motorizados: 6.070 
 Número de cupos de cicloparqueaderos: 7.698")</f>
        <v>La Ley 1811 de 20116 en su Artículo 6°.Parqueaderos para bicicletas en edificios públicos. establece que las entidades públicas deben habilitar cicloparqueaderos adecuados, seguros, habilitando como mínimo el 10% de los cupos destinados para vehículos automotores que tenga la entidad. Adicionalmente deben ser ajustados periódicamente a la demanda, es decir, el mínimo de cupos corresponderá a la cantidad mínima de usuarios que usen la bicicleta como medio de transporte en la institución.
 En este sentido, la Secretaría Distrital de Movilidad, solicitó a las 77 entidades del Distrito, pertenecientes al sector (central, vinculado o adscrito), la información en el marco del cumplimiento de la ley 1811 de 2016 (Ley Probici), obteniendo con corte al 30 de abril, los siguientes resultados:
 Número de entidades que reportaron información: 69
 Número de parqueaderos para vehículos motorizados: 6.070 
 Número de cupos de cicloparqueaderos: 7.698</v>
      </c>
      <c r="N4525" s="55">
        <f ca="1">IFERROR(__xludf.DUMMYFUNCTION("""COMPUTED_VALUE"""),44423)</f>
        <v>44423</v>
      </c>
      <c r="O4525" s="25" t="str">
        <f t="shared" ca="1" si="0"/>
        <v>Secretaría Distrital de Movilidad</v>
      </c>
      <c r="P4525" s="25" t="str">
        <f t="shared" si="3"/>
        <v/>
      </c>
      <c r="Q4525" s="25" t="str">
        <f ca="1">IFERROR(__xludf.DUMMYFUNCTION("""COMPUTED_VALUE"""),"Corto plazo")</f>
        <v>Corto plazo</v>
      </c>
      <c r="R4525" s="25"/>
      <c r="S4525" s="55"/>
      <c r="T4525" s="56"/>
      <c r="U4525" s="25"/>
      <c r="V4525" s="25"/>
      <c r="W4525" s="25"/>
      <c r="X4525" s="25"/>
      <c r="Y4525" s="25"/>
      <c r="Z4525" s="25"/>
    </row>
    <row r="4526" spans="1:26" ht="52.5" customHeight="1" x14ac:dyDescent="0.25">
      <c r="A4526" s="25" t="str">
        <f ca="1">IFERROR(__xludf.DUMMYFUNCTION("""COMPUTED_VALUE"""),"Movil324")</f>
        <v>Movil324</v>
      </c>
      <c r="B4526" s="25" t="str">
        <f ca="1">IFERROR(__xludf.DUMMYFUNCTION("""COMPUTED_VALUE"""),"CONPES política pública de la bicicleta")</f>
        <v>CONPES política pública de la bicicleta</v>
      </c>
      <c r="C4526" s="55">
        <f ca="1">IFERROR(__xludf.DUMMYFUNCTION("""COMPUTED_VALUE"""),44265)</f>
        <v>44265</v>
      </c>
      <c r="D4526" s="25" t="str">
        <f ca="1">IFERROR(__xludf.DUMMYFUNCTION("""COMPUTED_VALUE"""),"Movilidad")</f>
        <v>Movilidad</v>
      </c>
      <c r="E4526" s="25" t="str">
        <f ca="1">IFERROR(__xludf.DUMMYFUNCTION("""COMPUTED_VALUE"""),"Secretaría Distrital de Movilidad")</f>
        <v>Secretaría Distrital de Movilidad</v>
      </c>
      <c r="F4526" s="25" t="str">
        <f ca="1">IFERROR(__xludf.DUMMYFUNCTION("""COMPUTED_VALUE"""),"Presentar en el próximo consejo de gobierno el ranking de entidades que cumplen la Ley Bici.")</f>
        <v>Presentar en el próximo consejo de gobierno el ranking de entidades que cumplen la Ley Bici.</v>
      </c>
      <c r="G4526" s="25" t="str">
        <f ca="1">IFERROR(__xludf.DUMMYFUNCTION("""COMPUTED_VALUE"""),"99. Distrito")</f>
        <v>99. Distrito</v>
      </c>
      <c r="H4526" s="55">
        <f ca="1">IFERROR(__xludf.DUMMYFUNCTION("""COMPUTED_VALUE"""),44295)</f>
        <v>44295</v>
      </c>
      <c r="I4526" s="25"/>
      <c r="J4526" s="55" t="str">
        <f ca="1">IFERROR(__xludf.DUMMYFUNCTION("""COMPUTED_VALUE"""),"Alta")</f>
        <v>Alta</v>
      </c>
      <c r="K4526" s="25">
        <f ca="1">IFERROR(__xludf.DUMMYFUNCTION("""COMPUTED_VALUE"""),30)</f>
        <v>30</v>
      </c>
      <c r="L4526" s="62">
        <f ca="1">IFERROR(__xludf.DUMMYFUNCTION("""COMPUTED_VALUE"""),44362)</f>
        <v>44362</v>
      </c>
      <c r="M4526" s="25" t="str">
        <f ca="1">IFERROR(__xludf.DUMMYFUNCTION("""COMPUTED_VALUE"""),"En cumplimiento con la Ley 1811 de 2016, la Secretaría Distrital de Movilidad, realizó un ranking, acorde con los datos suministrados por cada una de las entidades.
 Dicho ranking, brinda una perspectiva de las diez (10) entidades que actualmente cuenta"&amp;"n con mayor cantidad de cupos en cicloparqueaderos y las diez (10) entidades que menor cantidad de cupos de cicloparqueaderos tienen, a su vez se detallan las entidades que cuentan con mayor y menor cupos e cicloparqueaderos destinados para la ciudadanía "&amp;"(Cabe resaltar que, los cicloparqueaderos destinados a la ciudadanía son parte integral de los cupos de cicloparqueaderos relacionados).
 En el siguiente vinculo se puede encontrar el ranking relacionado:
 https://drive.google.com/drive/folders/1zAgSx"&amp;"tOThfd-VjovRDijIHBSseRBow3v?usp=sharing")</f>
        <v>En cumplimiento con la Ley 1811 de 2016, la Secretaría Distrital de Movilidad, realizó un ranking, acorde con los datos suministrados por cada una de las entidades.
 Dicho ranking, brinda una perspectiva de las diez (10) entidades que actualmente cuentan con mayor cantidad de cupos en cicloparqueaderos y las diez (10) entidades que menor cantidad de cupos de cicloparqueaderos tienen, a su vez se detallan las entidades que cuentan con mayor y menor cupos e cicloparqueaderos destinados para la ciudadanía (Cabe resaltar que, los cicloparqueaderos destinados a la ciudadanía son parte integral de los cupos de cicloparqueaderos relacionados).
 En el siguiente vinculo se puede encontrar el ranking relacionado:
 https://drive.google.com/drive/folders/1zAgSxtOThfd-VjovRDijIHBSseRBow3v?usp=sharing</v>
      </c>
      <c r="N4526" s="55">
        <f ca="1">IFERROR(__xludf.DUMMYFUNCTION("""COMPUTED_VALUE"""),44362)</f>
        <v>44362</v>
      </c>
      <c r="O4526" s="25" t="str">
        <f t="shared" ca="1" si="0"/>
        <v>Secretaría Distrital de Movilidad</v>
      </c>
      <c r="P4526" s="25" t="str">
        <f t="shared" si="3"/>
        <v/>
      </c>
      <c r="Q4526" s="25" t="str">
        <f ca="1">IFERROR(__xludf.DUMMYFUNCTION("""COMPUTED_VALUE"""),"Corto plazo")</f>
        <v>Corto plazo</v>
      </c>
      <c r="R4526" s="25"/>
      <c r="S4526" s="55"/>
      <c r="T4526" s="56"/>
      <c r="U4526" s="25"/>
      <c r="V4526" s="25"/>
      <c r="W4526" s="25"/>
      <c r="X4526" s="25"/>
      <c r="Y4526" s="25"/>
      <c r="Z4526" s="25"/>
    </row>
    <row r="4527" spans="1:26" ht="52.5" customHeight="1" x14ac:dyDescent="0.25">
      <c r="A4527" s="25" t="str">
        <f ca="1">IFERROR(__xludf.DUMMYFUNCTION("""COMPUTED_VALUE"""),"Movil325")</f>
        <v>Movil325</v>
      </c>
      <c r="B4527" s="25" t="str">
        <f ca="1">IFERROR(__xludf.DUMMYFUNCTION("""COMPUTED_VALUE"""),"CONPES política pública de la bicicleta")</f>
        <v>CONPES política pública de la bicicleta</v>
      </c>
      <c r="C4527" s="55">
        <f ca="1">IFERROR(__xludf.DUMMYFUNCTION("""COMPUTED_VALUE"""),44265)</f>
        <v>44265</v>
      </c>
      <c r="D4527" s="25" t="str">
        <f ca="1">IFERROR(__xludf.DUMMYFUNCTION("""COMPUTED_VALUE"""),"Movilidad")</f>
        <v>Movilidad</v>
      </c>
      <c r="E4527" s="25" t="str">
        <f ca="1">IFERROR(__xludf.DUMMYFUNCTION("""COMPUTED_VALUE"""),"Secretaría Distrital de Movilidad")</f>
        <v>Secretaría Distrital de Movilidad</v>
      </c>
      <c r="F4527" s="25" t="str">
        <f ca="1">IFERROR(__xludf.DUMMYFUNCTION("""COMPUTED_VALUE"""),"Programar el Congreso Distrital de la Bici")</f>
        <v>Programar el Congreso Distrital de la Bici</v>
      </c>
      <c r="G4527" s="25" t="str">
        <f ca="1">IFERROR(__xludf.DUMMYFUNCTION("""COMPUTED_VALUE"""),"99. Distrito")</f>
        <v>99. Distrito</v>
      </c>
      <c r="H4527" s="55">
        <f ca="1">IFERROR(__xludf.DUMMYFUNCTION("""COMPUTED_VALUE"""),44295)</f>
        <v>44295</v>
      </c>
      <c r="I4527" s="25"/>
      <c r="J4527" s="55" t="str">
        <f ca="1">IFERROR(__xludf.DUMMYFUNCTION("""COMPUTED_VALUE"""),"Alta")</f>
        <v>Alta</v>
      </c>
      <c r="K4527" s="25">
        <f ca="1">IFERROR(__xludf.DUMMYFUNCTION("""COMPUTED_VALUE"""),30)</f>
        <v>30</v>
      </c>
      <c r="L4527" s="62">
        <f ca="1">IFERROR(__xludf.DUMMYFUNCTION("""COMPUTED_VALUE"""),44362)</f>
        <v>44362</v>
      </c>
      <c r="M4527" s="25" t="str">
        <f ca="1">IFERROR(__xludf.DUMMYFUNCTION("""COMPUTED_VALUE"""),"El Congreso Distrital de la bicicleta se programó del 23 al 26 de Septiembre de 2021 y está bajo la dirección de la Secretaría DIstrital de Desarrollo económico. enlace (Harold bastidas - gbastidas@desarrolloeconomico.gov.co) sin embargo desde la SDM segu"&amp;"imos apoyando y nutriendo la agenda.")</f>
        <v>El Congreso Distrital de la bicicleta se programó del 23 al 26 de Septiembre de 2021 y está bajo la dirección de la Secretaría DIstrital de Desarrollo económico. enlace (Harold bastidas - gbastidas@desarrolloeconomico.gov.co) sin embargo desde la SDM seguimos apoyando y nutriendo la agenda.</v>
      </c>
      <c r="N4527" s="55">
        <f ca="1">IFERROR(__xludf.DUMMYFUNCTION("""COMPUTED_VALUE"""),44362)</f>
        <v>44362</v>
      </c>
      <c r="O4527" s="25" t="str">
        <f t="shared" ca="1" si="0"/>
        <v>Secretaría Distrital de Movilidad</v>
      </c>
      <c r="P4527" s="25" t="str">
        <f t="shared" si="3"/>
        <v/>
      </c>
      <c r="Q4527" s="25" t="str">
        <f ca="1">IFERROR(__xludf.DUMMYFUNCTION("""COMPUTED_VALUE"""),"Corto plazo")</f>
        <v>Corto plazo</v>
      </c>
      <c r="R4527" s="25"/>
      <c r="S4527" s="55"/>
      <c r="T4527" s="56"/>
      <c r="U4527" s="25"/>
      <c r="V4527" s="25"/>
      <c r="W4527" s="25"/>
      <c r="X4527" s="25"/>
      <c r="Y4527" s="25"/>
      <c r="Z4527" s="25"/>
    </row>
    <row r="4528" spans="1:26" ht="52.5" customHeight="1" x14ac:dyDescent="0.25">
      <c r="A4528" s="25" t="str">
        <f ca="1">IFERROR(__xludf.DUMMYFUNCTION("""COMPUTED_VALUE"""),"Movil326")</f>
        <v>Movil326</v>
      </c>
      <c r="B4528" s="25" t="str">
        <f ca="1">IFERROR(__xludf.DUMMYFUNCTION("""COMPUTED_VALUE"""),"Infraestructura - TAR Metro, troncales y avalúos catastrales con alcaldesa")</f>
        <v>Infraestructura - TAR Metro, troncales y avalúos catastrales con alcaldesa</v>
      </c>
      <c r="C4528" s="55">
        <f ca="1">IFERROR(__xludf.DUMMYFUNCTION("""COMPUTED_VALUE"""),44264)</f>
        <v>44264</v>
      </c>
      <c r="D4528" s="25" t="str">
        <f ca="1">IFERROR(__xludf.DUMMYFUNCTION("""COMPUTED_VALUE"""),"Movilidad")</f>
        <v>Movilidad</v>
      </c>
      <c r="E4528" s="25" t="str">
        <f ca="1">IFERROR(__xludf.DUMMYFUNCTION("""COMPUTED_VALUE"""),"Empresa Metro de Bogotá S.A.")</f>
        <v>Empresa Metro de Bogotá S.A.</v>
      </c>
      <c r="F4528" s="25" t="str">
        <f ca="1">IFERROR(__xludf.DUMMYFUNCTION("""COMPUTED_VALUE"""),"TAR METRO:
 Firmar convenios pendientes para las intervenciones del Pulpo (Grupo 7). Se estima que esto se hará el 22 de marzo. EAAB debe contratar el diseño del pulpo.")</f>
        <v>TAR METRO:
 Firmar convenios pendientes para las intervenciones del Pulpo (Grupo 7). Se estima que esto se hará el 22 de marzo. EAAB debe contratar el diseño del pulpo.</v>
      </c>
      <c r="G4528" s="25" t="str">
        <f ca="1">IFERROR(__xludf.DUMMYFUNCTION("""COMPUTED_VALUE"""),"99. Distrito")</f>
        <v>99. Distrito</v>
      </c>
      <c r="H4528" s="55">
        <f ca="1">IFERROR(__xludf.DUMMYFUNCTION("""COMPUTED_VALUE"""),44294)</f>
        <v>44294</v>
      </c>
      <c r="I4528" s="25"/>
      <c r="J4528" s="55" t="str">
        <f ca="1">IFERROR(__xludf.DUMMYFUNCTION("""COMPUTED_VALUE"""),"Alta")</f>
        <v>Alta</v>
      </c>
      <c r="K4528" s="25">
        <f ca="1">IFERROR(__xludf.DUMMYFUNCTION("""COMPUTED_VALUE"""),30)</f>
        <v>30</v>
      </c>
      <c r="L4528" s="62">
        <f ca="1">IFERROR(__xludf.DUMMYFUNCTION("""COMPUTED_VALUE"""),44330)</f>
        <v>44330</v>
      </c>
      <c r="M4528" s="25" t="str">
        <f ca="1">IFERROR(__xludf.DUMMYFUNCTION("""COMPUTED_VALUE"""),"Firmado el 14 de Abril de 2021. Se firmó el AE2 para las obras de alcantarillado del pulpo con IDU y EAAB el 14 de abril")</f>
        <v>Firmado el 14 de Abril de 2021. Se firmó el AE2 para las obras de alcantarillado del pulpo con IDU y EAAB el 14 de abril</v>
      </c>
      <c r="N4528" s="55">
        <f ca="1">IFERROR(__xludf.DUMMYFUNCTION("""COMPUTED_VALUE"""),44330)</f>
        <v>44330</v>
      </c>
      <c r="O4528" s="25" t="str">
        <f t="shared" ca="1" si="0"/>
        <v>Empresa Metro de Bogotá S.A.</v>
      </c>
      <c r="P4528" s="25" t="str">
        <f t="shared" si="3"/>
        <v/>
      </c>
      <c r="Q4528" s="25" t="str">
        <f ca="1">IFERROR(__xludf.DUMMYFUNCTION("""COMPUTED_VALUE"""),"Corto plazo")</f>
        <v>Corto plazo</v>
      </c>
      <c r="R4528" s="25"/>
      <c r="S4528" s="55"/>
      <c r="T4528" s="56"/>
      <c r="U4528" s="25"/>
      <c r="V4528" s="25"/>
      <c r="W4528" s="25"/>
      <c r="X4528" s="25"/>
      <c r="Y4528" s="25"/>
      <c r="Z4528" s="25"/>
    </row>
    <row r="4529" spans="1:26" ht="52.5" customHeight="1" x14ac:dyDescent="0.25">
      <c r="A4529" s="25" t="str">
        <f ca="1">IFERROR(__xludf.DUMMYFUNCTION("""COMPUTED_VALUE"""),"Movil327")</f>
        <v>Movil327</v>
      </c>
      <c r="B4529" s="25" t="str">
        <f ca="1">IFERROR(__xludf.DUMMYFUNCTION("""COMPUTED_VALUE"""),"Infraestructura - TAR Metro, troncales y avalúos catastrales con alcaldesa")</f>
        <v>Infraestructura - TAR Metro, troncales y avalúos catastrales con alcaldesa</v>
      </c>
      <c r="C4529" s="55">
        <f ca="1">IFERROR(__xludf.DUMMYFUNCTION("""COMPUTED_VALUE"""),44264)</f>
        <v>44264</v>
      </c>
      <c r="D4529" s="25" t="str">
        <f ca="1">IFERROR(__xludf.DUMMYFUNCTION("""COMPUTED_VALUE"""),"Movilidad")</f>
        <v>Movilidad</v>
      </c>
      <c r="E4529" s="25" t="str">
        <f ca="1">IFERROR(__xludf.DUMMYFUNCTION("""COMPUTED_VALUE"""),"Empresa Metro de Bogotá S.A.")</f>
        <v>Empresa Metro de Bogotá S.A.</v>
      </c>
      <c r="F4529" s="25" t="str">
        <f ca="1">IFERROR(__xludf.DUMMYFUNCTION("""COMPUTED_VALUE"""),"TAR METRO:
 2. Adicionar convenios para reconocer lo referente a PMT y semaforización (Grupo 2-6 y Grupo 3).")</f>
        <v>TAR METRO:
 2. Adicionar convenios para reconocer lo referente a PMT y semaforización (Grupo 2-6 y Grupo 3).</v>
      </c>
      <c r="G4529" s="25" t="str">
        <f ca="1">IFERROR(__xludf.DUMMYFUNCTION("""COMPUTED_VALUE"""),"99. Distrito")</f>
        <v>99. Distrito</v>
      </c>
      <c r="H4529" s="55">
        <f ca="1">IFERROR(__xludf.DUMMYFUNCTION("""COMPUTED_VALUE"""),44294)</f>
        <v>44294</v>
      </c>
      <c r="I4529" s="25"/>
      <c r="J4529" s="55" t="str">
        <f ca="1">IFERROR(__xludf.DUMMYFUNCTION("""COMPUTED_VALUE"""),"Alta")</f>
        <v>Alta</v>
      </c>
      <c r="K4529" s="25">
        <f ca="1">IFERROR(__xludf.DUMMYFUNCTION("""COMPUTED_VALUE"""),30)</f>
        <v>30</v>
      </c>
      <c r="L4529" s="62">
        <f ca="1">IFERROR(__xludf.DUMMYFUNCTION("""COMPUTED_VALUE"""),44392)</f>
        <v>44392</v>
      </c>
      <c r="M4529" s="25" t="str">
        <f ca="1">IFERROR(__xludf.DUMMYFUNCTION("""COMPUTED_VALUE"""),"2. Se adiciona el convenio para reconocer lo referente a PMT y semaforización ( Grupo 2-6 y Grupo 3)")</f>
        <v>2. Se adiciona el convenio para reconocer lo referente a PMT y semaforización ( Grupo 2-6 y Grupo 3)</v>
      </c>
      <c r="N4529" s="55">
        <f ca="1">IFERROR(__xludf.DUMMYFUNCTION("""COMPUTED_VALUE"""),44392)</f>
        <v>44392</v>
      </c>
      <c r="O4529" s="25" t="str">
        <f t="shared" ca="1" si="0"/>
        <v>Empresa Metro de Bogotá S.A.</v>
      </c>
      <c r="P4529" s="25" t="str">
        <f t="shared" si="3"/>
        <v/>
      </c>
      <c r="Q4529" s="25" t="str">
        <f ca="1">IFERROR(__xludf.DUMMYFUNCTION("""COMPUTED_VALUE"""),"Corto plazo")</f>
        <v>Corto plazo</v>
      </c>
      <c r="R4529" s="25"/>
      <c r="S4529" s="55"/>
      <c r="T4529" s="56"/>
      <c r="U4529" s="25"/>
      <c r="V4529" s="25"/>
      <c r="W4529" s="25"/>
      <c r="X4529" s="25"/>
      <c r="Y4529" s="25"/>
      <c r="Z4529" s="25"/>
    </row>
    <row r="4530" spans="1:26" ht="52.5" customHeight="1" x14ac:dyDescent="0.25">
      <c r="A4530" s="25" t="str">
        <f ca="1">IFERROR(__xludf.DUMMYFUNCTION("""COMPUTED_VALUE"""),"Movil328")</f>
        <v>Movil328</v>
      </c>
      <c r="B4530" s="25" t="str">
        <f ca="1">IFERROR(__xludf.DUMMYFUNCTION("""COMPUTED_VALUE"""),"Infraestructura - TAR Metro, troncales y avalúos catastrales con alcaldesa")</f>
        <v>Infraestructura - TAR Metro, troncales y avalúos catastrales con alcaldesa</v>
      </c>
      <c r="C4530" s="55">
        <f ca="1">IFERROR(__xludf.DUMMYFUNCTION("""COMPUTED_VALUE"""),44264)</f>
        <v>44264</v>
      </c>
      <c r="D4530" s="25" t="str">
        <f ca="1">IFERROR(__xludf.DUMMYFUNCTION("""COMPUTED_VALUE"""),"Movilidad")</f>
        <v>Movilidad</v>
      </c>
      <c r="E4530" s="25" t="str">
        <f ca="1">IFERROR(__xludf.DUMMYFUNCTION("""COMPUTED_VALUE"""),"Empresa Metro de Bogotá S.A.")</f>
        <v>Empresa Metro de Bogotá S.A.</v>
      </c>
      <c r="F4530" s="25" t="str">
        <f ca="1">IFERROR(__xludf.DUMMYFUNCTION("""COMPUTED_VALUE"""),"TAR METRO:
 4. De manera general, para los contratos deben tener cláusulas para que se puedan realizar las intervenciones según las prioridades de metro, tener posibilidad de turnos dobles o triples. En especial, en el caso del pulpo, para recuperar tiemp"&amp;"o se debe jugar con doble jornada y número de frentes de obra.")</f>
        <v>TAR METRO:
 4. De manera general, para los contratos deben tener cláusulas para que se puedan realizar las intervenciones según las prioridades de metro, tener posibilidad de turnos dobles o triples. En especial, en el caso del pulpo, para recuperar tiempo se debe jugar con doble jornada y número de frentes de obra.</v>
      </c>
      <c r="G4530" s="25" t="str">
        <f ca="1">IFERROR(__xludf.DUMMYFUNCTION("""COMPUTED_VALUE"""),"99. Distrito")</f>
        <v>99. Distrito</v>
      </c>
      <c r="H4530" s="55">
        <f ca="1">IFERROR(__xludf.DUMMYFUNCTION("""COMPUTED_VALUE"""),44294)</f>
        <v>44294</v>
      </c>
      <c r="I4530" s="25"/>
      <c r="J4530" s="55" t="str">
        <f ca="1">IFERROR(__xludf.DUMMYFUNCTION("""COMPUTED_VALUE"""),"Alta")</f>
        <v>Alta</v>
      </c>
      <c r="K4530" s="25">
        <f ca="1">IFERROR(__xludf.DUMMYFUNCTION("""COMPUTED_VALUE"""),30)</f>
        <v>30</v>
      </c>
      <c r="L4530" s="62">
        <f ca="1">IFERROR(__xludf.DUMMYFUNCTION("""COMPUTED_VALUE"""),44498)</f>
        <v>44498</v>
      </c>
      <c r="M4530" s="25" t="str">
        <f ca="1">IFERROR(__xludf.DUMMYFUNCTION("""COMPUTED_VALUE"""),"En revisión y análisis de estrategias por parte de la EAAB para cumplir los plazos establecidos en el AT-12 según la modificación del mismo, considerando entre otros la variación en los costos.   
Esta es una tarea que se convierte en permanente, pues de"&amp;"be estar ajustándose la estrategia de trabajo para evitar retrasos y tomar las medidas pertinentes para evitar cualquier retraso")</f>
        <v>En revisión y análisis de estrategias por parte de la EAAB para cumplir los plazos establecidos en el AT-12 según la modificación del mismo, considerando entre otros la variación en los costos.   
Esta es una tarea que se convierte en permanente, pues debe estar ajustándose la estrategia de trabajo para evitar retrasos y tomar las medidas pertinentes para evitar cualquier retraso</v>
      </c>
      <c r="N4530" s="55">
        <f ca="1">IFERROR(__xludf.DUMMYFUNCTION("""COMPUTED_VALUE"""),44498)</f>
        <v>44498</v>
      </c>
      <c r="O4530" s="25" t="str">
        <f t="shared" ca="1" si="0"/>
        <v>Empresa Metro de Bogotá S.A.</v>
      </c>
      <c r="P4530" s="25" t="str">
        <f t="shared" si="3"/>
        <v/>
      </c>
      <c r="Q4530" s="25" t="str">
        <f ca="1">IFERROR(__xludf.DUMMYFUNCTION("""COMPUTED_VALUE"""),"Corto plazo")</f>
        <v>Corto plazo</v>
      </c>
      <c r="R4530" s="25"/>
      <c r="S4530" s="55"/>
      <c r="T4530" s="56"/>
      <c r="U4530" s="25"/>
      <c r="V4530" s="25"/>
      <c r="W4530" s="25"/>
      <c r="X4530" s="25"/>
      <c r="Y4530" s="25"/>
      <c r="Z4530" s="25"/>
    </row>
    <row r="4531" spans="1:26" ht="52.5" customHeight="1" x14ac:dyDescent="0.25">
      <c r="A4531" s="25" t="str">
        <f ca="1">IFERROR(__xludf.DUMMYFUNCTION("""COMPUTED_VALUE"""),"Movil329")</f>
        <v>Movil329</v>
      </c>
      <c r="B4531" s="25" t="str">
        <f ca="1">IFERROR(__xludf.DUMMYFUNCTION("""COMPUTED_VALUE"""),"Infraestructura - TAR Metro, troncales y avalúos catastrales con alcaldesa")</f>
        <v>Infraestructura - TAR Metro, troncales y avalúos catastrales con alcaldesa</v>
      </c>
      <c r="C4531" s="55">
        <f ca="1">IFERROR(__xludf.DUMMYFUNCTION("""COMPUTED_VALUE"""),44264)</f>
        <v>44264</v>
      </c>
      <c r="D4531" s="25" t="str">
        <f ca="1">IFERROR(__xludf.DUMMYFUNCTION("""COMPUTED_VALUE"""),"Movilidad")</f>
        <v>Movilidad</v>
      </c>
      <c r="E4531" s="25" t="str">
        <f ca="1">IFERROR(__xludf.DUMMYFUNCTION("""COMPUTED_VALUE"""),"Empresa Metro de Bogotá S.A.")</f>
        <v>Empresa Metro de Bogotá S.A.</v>
      </c>
      <c r="F4531" s="25" t="str">
        <f ca="1">IFERROR(__xludf.DUMMYFUNCTION("""COMPUTED_VALUE"""),"TAR METRO:
 5. ENEL solicita participación de SDP en comité semanal que se adelanta los miércoles a las 7 am para acompañar el plan de implantación de la nueva subestación eléctrica (traslado de la que se ubica en la Calle 1).")</f>
        <v>TAR METRO:
 5. ENEL solicita participación de SDP en comité semanal que se adelanta los miércoles a las 7 am para acompañar el plan de implantación de la nueva subestación eléctrica (traslado de la que se ubica en la Calle 1).</v>
      </c>
      <c r="G4531" s="25" t="str">
        <f ca="1">IFERROR(__xludf.DUMMYFUNCTION("""COMPUTED_VALUE"""),"99. Distrito")</f>
        <v>99. Distrito</v>
      </c>
      <c r="H4531" s="55">
        <f ca="1">IFERROR(__xludf.DUMMYFUNCTION("""COMPUTED_VALUE"""),44294)</f>
        <v>44294</v>
      </c>
      <c r="I4531" s="25"/>
      <c r="J4531" s="55" t="str">
        <f ca="1">IFERROR(__xludf.DUMMYFUNCTION("""COMPUTED_VALUE"""),"Alta")</f>
        <v>Alta</v>
      </c>
      <c r="K4531" s="25">
        <f ca="1">IFERROR(__xludf.DUMMYFUNCTION("""COMPUTED_VALUE"""),30)</f>
        <v>30</v>
      </c>
      <c r="L4531" s="62">
        <f ca="1">IFERROR(__xludf.DUMMYFUNCTION("""COMPUTED_VALUE"""),44379)</f>
        <v>44379</v>
      </c>
      <c r="M4531" s="25" t="str">
        <f ca="1">IFERROR(__xludf.DUMMYFUNCTION("""COMPUTED_VALUE"""),"El Plan se realizó como trámite exprés dado que el proyecto no presenta impactos urbanos, ambientales y de movilidad significativos. Se envió el DTS (Documento Técnico de Soporte) ajustado a esta decisión el 5 de abril; el 15 de abril de 2021 quedó public"&amp;"ado el proyecto de la resolución y el 29 de abril de 2021 fue publicada la resolución definitiva con No. 0584.")</f>
        <v>El Plan se realizó como trámite exprés dado que el proyecto no presenta impactos urbanos, ambientales y de movilidad significativos. Se envió el DTS (Documento Técnico de Soporte) ajustado a esta decisión el 5 de abril; el 15 de abril de 2021 quedó publicado el proyecto de la resolución y el 29 de abril de 2021 fue publicada la resolución definitiva con No. 0584.</v>
      </c>
      <c r="N4531" s="55">
        <f ca="1">IFERROR(__xludf.DUMMYFUNCTION("""COMPUTED_VALUE"""),44379)</f>
        <v>44379</v>
      </c>
      <c r="O4531" s="25" t="str">
        <f t="shared" ca="1" si="0"/>
        <v>Empresa Metro de Bogotá S.A.</v>
      </c>
      <c r="P4531" s="25" t="str">
        <f t="shared" si="3"/>
        <v/>
      </c>
      <c r="Q4531" s="25" t="str">
        <f ca="1">IFERROR(__xludf.DUMMYFUNCTION("""COMPUTED_VALUE"""),"Corto plazo")</f>
        <v>Corto plazo</v>
      </c>
      <c r="R4531" s="25"/>
      <c r="S4531" s="55"/>
      <c r="T4531" s="56"/>
      <c r="U4531" s="25"/>
      <c r="V4531" s="25"/>
      <c r="W4531" s="25"/>
      <c r="X4531" s="25"/>
      <c r="Y4531" s="25"/>
      <c r="Z4531" s="25"/>
    </row>
    <row r="4532" spans="1:26" ht="52.5" customHeight="1" x14ac:dyDescent="0.25">
      <c r="A4532" s="25" t="str">
        <f ca="1">IFERROR(__xludf.DUMMYFUNCTION("""COMPUTED_VALUE"""),"Movil330")</f>
        <v>Movil330</v>
      </c>
      <c r="B4532" s="25" t="str">
        <f ca="1">IFERROR(__xludf.DUMMYFUNCTION("""COMPUTED_VALUE"""),"Infraestructura - TAR Metro, troncales y avalúos catastrales con alcaldesa")</f>
        <v>Infraestructura - TAR Metro, troncales y avalúos catastrales con alcaldesa</v>
      </c>
      <c r="C4532" s="55">
        <f ca="1">IFERROR(__xludf.DUMMYFUNCTION("""COMPUTED_VALUE"""),44264)</f>
        <v>44264</v>
      </c>
      <c r="D4532" s="25" t="str">
        <f ca="1">IFERROR(__xludf.DUMMYFUNCTION("""COMPUTED_VALUE"""),"Movilidad")</f>
        <v>Movilidad</v>
      </c>
      <c r="E4532" s="25" t="str">
        <f ca="1">IFERROR(__xludf.DUMMYFUNCTION("""COMPUTED_VALUE"""),"Empresa Metro de Bogotá S.A.")</f>
        <v>Empresa Metro de Bogotá S.A.</v>
      </c>
      <c r="F4532" s="25" t="str">
        <f ca="1">IFERROR(__xludf.DUMMYFUNCTION("""COMPUTED_VALUE"""),"TAR METRO:
 6. Hacer mesa de trabajo con telefónica, ENEL y concesionario para determinar qué obras de traslado de redes son estrictamente necesarias que desarrolle el concesionario. Esto en consideración a que Telefónica y ENEL plantean como alternativa "&amp;"hacer acuerdo entre ellos para trasladar algunos puntos de los 20 o 22 de interferencia identificados con las redes de Telefónica.")</f>
        <v>TAR METRO:
 6. Hacer mesa de trabajo con telefónica, ENEL y concesionario para determinar qué obras de traslado de redes son estrictamente necesarias que desarrolle el concesionario. Esto en consideración a que Telefónica y ENEL plantean como alternativa hacer acuerdo entre ellos para trasladar algunos puntos de los 20 o 22 de interferencia identificados con las redes de Telefónica.</v>
      </c>
      <c r="G4532" s="25" t="str">
        <f ca="1">IFERROR(__xludf.DUMMYFUNCTION("""COMPUTED_VALUE"""),"99. Distrito")</f>
        <v>99. Distrito</v>
      </c>
      <c r="H4532" s="55">
        <f ca="1">IFERROR(__xludf.DUMMYFUNCTION("""COMPUTED_VALUE"""),44294)</f>
        <v>44294</v>
      </c>
      <c r="I4532" s="25"/>
      <c r="J4532" s="55" t="str">
        <f ca="1">IFERROR(__xludf.DUMMYFUNCTION("""COMPUTED_VALUE"""),"Alta")</f>
        <v>Alta</v>
      </c>
      <c r="K4532" s="25">
        <f ca="1">IFERROR(__xludf.DUMMYFUNCTION("""COMPUTED_VALUE"""),30)</f>
        <v>30</v>
      </c>
      <c r="L4532" s="62">
        <f ca="1">IFERROR(__xludf.DUMMYFUNCTION("""COMPUTED_VALUE"""),44379)</f>
        <v>44379</v>
      </c>
      <c r="M4532" s="25" t="str">
        <f ca="1">IFERROR(__xludf.DUMMYFUNCTION("""COMPUTED_VALUE"""),"Se formalizó la modificación al contrato de Concesión al AT12 y AT13. En donde se  estableció que la EMB realiza el traslado de los cables de las 22 interferencias de Telefónica en infraestructura alquilada de Condesa, Una vez el Consorcio ejecute las obr"&amp;"as civiles del traslado de redes. ")</f>
        <v xml:space="preserve">Se formalizó la modificación al contrato de Concesión al AT12 y AT13. En donde se  estableció que la EMB realiza el traslado de los cables de las 22 interferencias de Telefónica en infraestructura alquilada de Condesa, Una vez el Consorcio ejecute las obras civiles del traslado de redes. </v>
      </c>
      <c r="N4532" s="55">
        <f ca="1">IFERROR(__xludf.DUMMYFUNCTION("""COMPUTED_VALUE"""),44379)</f>
        <v>44379</v>
      </c>
      <c r="O4532" s="25" t="str">
        <f t="shared" ca="1" si="0"/>
        <v>Empresa Metro de Bogotá S.A.</v>
      </c>
      <c r="P4532" s="25" t="str">
        <f t="shared" si="3"/>
        <v/>
      </c>
      <c r="Q4532" s="25" t="str">
        <f ca="1">IFERROR(__xludf.DUMMYFUNCTION("""COMPUTED_VALUE"""),"Corto plazo")</f>
        <v>Corto plazo</v>
      </c>
      <c r="R4532" s="25"/>
      <c r="S4532" s="55"/>
      <c r="T4532" s="56"/>
      <c r="U4532" s="25"/>
      <c r="V4532" s="25"/>
      <c r="W4532" s="25"/>
      <c r="X4532" s="25"/>
      <c r="Y4532" s="25"/>
      <c r="Z4532" s="25"/>
    </row>
    <row r="4533" spans="1:26" ht="52.5" customHeight="1" x14ac:dyDescent="0.25">
      <c r="A4533" s="25" t="str">
        <f ca="1">IFERROR(__xludf.DUMMYFUNCTION("""COMPUTED_VALUE"""),"Movil331")</f>
        <v>Movil331</v>
      </c>
      <c r="B4533" s="25" t="str">
        <f ca="1">IFERROR(__xludf.DUMMYFUNCTION("""COMPUTED_VALUE"""),"Infraestructura - TAR Metro, troncales y avalúos catastrales con alcaldesa")</f>
        <v>Infraestructura - TAR Metro, troncales y avalúos catastrales con alcaldesa</v>
      </c>
      <c r="C4533" s="55">
        <f ca="1">IFERROR(__xludf.DUMMYFUNCTION("""COMPUTED_VALUE"""),44264)</f>
        <v>44264</v>
      </c>
      <c r="D4533" s="25" t="str">
        <f ca="1">IFERROR(__xludf.DUMMYFUNCTION("""COMPUTED_VALUE"""),"Movilidad")</f>
        <v>Movilidad</v>
      </c>
      <c r="E4533" s="25" t="str">
        <f ca="1">IFERROR(__xludf.DUMMYFUNCTION("""COMPUTED_VALUE"""),"Empresa Metro de Bogotá S.A.")</f>
        <v>Empresa Metro de Bogotá S.A.</v>
      </c>
      <c r="F4533" s="25" t="str">
        <f ca="1">IFERROR(__xludf.DUMMYFUNCTION("""COMPUTED_VALUE"""),"TAR METRO:
 7. Firmar acuerdos específicos para intervenciones en la Calle 72 Caracas, los referentes a los tramos 5 y 6 que se estiman firmar el 15 de marzo.")</f>
        <v>TAR METRO:
 7. Firmar acuerdos específicos para intervenciones en la Calle 72 Caracas, los referentes a los tramos 5 y 6 que se estiman firmar el 15 de marzo.</v>
      </c>
      <c r="G4533" s="25" t="str">
        <f ca="1">IFERROR(__xludf.DUMMYFUNCTION("""COMPUTED_VALUE"""),"99. Distrito")</f>
        <v>99. Distrito</v>
      </c>
      <c r="H4533" s="55">
        <f ca="1">IFERROR(__xludf.DUMMYFUNCTION("""COMPUTED_VALUE"""),44294)</f>
        <v>44294</v>
      </c>
      <c r="I4533" s="25"/>
      <c r="J4533" s="55" t="str">
        <f ca="1">IFERROR(__xludf.DUMMYFUNCTION("""COMPUTED_VALUE"""),"Alta")</f>
        <v>Alta</v>
      </c>
      <c r="K4533" s="25">
        <f ca="1">IFERROR(__xludf.DUMMYFUNCTION("""COMPUTED_VALUE"""),30)</f>
        <v>30</v>
      </c>
      <c r="L4533" s="62">
        <f ca="1">IFERROR(__xludf.DUMMYFUNCTION("""COMPUTED_VALUE"""),44369)</f>
        <v>44369</v>
      </c>
      <c r="M4533" s="25" t="str">
        <f ca="1">IFERROR(__xludf.DUMMYFUNCTION("""COMPUTED_VALUE"""),"Se firmaron los acuerdos específicos 7 y 8. Con estos acuerdos no hay pendientes de contratación ninguna interferencia de ETB")</f>
        <v>Se firmaron los acuerdos específicos 7 y 8. Con estos acuerdos no hay pendientes de contratación ninguna interferencia de ETB</v>
      </c>
      <c r="N4533" s="55">
        <f ca="1">IFERROR(__xludf.DUMMYFUNCTION("""COMPUTED_VALUE"""),44369)</f>
        <v>44369</v>
      </c>
      <c r="O4533" s="25" t="str">
        <f t="shared" ca="1" si="0"/>
        <v>Empresa Metro de Bogotá S.A.</v>
      </c>
      <c r="P4533" s="25" t="str">
        <f t="shared" si="3"/>
        <v/>
      </c>
      <c r="Q4533" s="25" t="str">
        <f ca="1">IFERROR(__xludf.DUMMYFUNCTION("""COMPUTED_VALUE"""),"Corto plazo")</f>
        <v>Corto plazo</v>
      </c>
      <c r="R4533" s="25"/>
      <c r="S4533" s="55"/>
      <c r="T4533" s="56"/>
      <c r="U4533" s="25"/>
      <c r="V4533" s="25"/>
      <c r="W4533" s="25"/>
      <c r="X4533" s="25"/>
      <c r="Y4533" s="25"/>
      <c r="Z4533" s="25"/>
    </row>
    <row r="4534" spans="1:26" ht="52.5" customHeight="1" x14ac:dyDescent="0.25">
      <c r="A4534" s="25" t="str">
        <f ca="1">IFERROR(__xludf.DUMMYFUNCTION("""COMPUTED_VALUE"""),"Movil332")</f>
        <v>Movil332</v>
      </c>
      <c r="B4534" s="25" t="str">
        <f ca="1">IFERROR(__xludf.DUMMYFUNCTION("""COMPUTED_VALUE"""),"Infraestructura - TAR Metro, troncales y avalúos catastrales con alcaldesa")</f>
        <v>Infraestructura - TAR Metro, troncales y avalúos catastrales con alcaldesa</v>
      </c>
      <c r="C4534" s="55">
        <f ca="1">IFERROR(__xludf.DUMMYFUNCTION("""COMPUTED_VALUE"""),44264)</f>
        <v>44264</v>
      </c>
      <c r="D4534" s="25" t="str">
        <f ca="1">IFERROR(__xludf.DUMMYFUNCTION("""COMPUTED_VALUE"""),"Movilidad")</f>
        <v>Movilidad</v>
      </c>
      <c r="E4534" s="25" t="str">
        <f ca="1">IFERROR(__xludf.DUMMYFUNCTION("""COMPUTED_VALUE"""),"Empresa Metro de Bogotá S.A.")</f>
        <v>Empresa Metro de Bogotá S.A.</v>
      </c>
      <c r="F4534" s="25" t="str">
        <f ca="1">IFERROR(__xludf.DUMMYFUNCTION("""COMPUTED_VALUE"""),"TAR METRO:
 8. Entregar a la ETB el 5 de abril los lineamientos para hacer PMT.")</f>
        <v>TAR METRO:
 8. Entregar a la ETB el 5 de abril los lineamientos para hacer PMT.</v>
      </c>
      <c r="G4534" s="25" t="str">
        <f ca="1">IFERROR(__xludf.DUMMYFUNCTION("""COMPUTED_VALUE"""),"99. Distrito")</f>
        <v>99. Distrito</v>
      </c>
      <c r="H4534" s="55">
        <f ca="1">IFERROR(__xludf.DUMMYFUNCTION("""COMPUTED_VALUE"""),44294)</f>
        <v>44294</v>
      </c>
      <c r="I4534" s="25"/>
      <c r="J4534" s="55" t="str">
        <f ca="1">IFERROR(__xludf.DUMMYFUNCTION("""COMPUTED_VALUE"""),"Alta")</f>
        <v>Alta</v>
      </c>
      <c r="K4534" s="25">
        <f ca="1">IFERROR(__xludf.DUMMYFUNCTION("""COMPUTED_VALUE"""),30)</f>
        <v>30</v>
      </c>
      <c r="L4534" s="62">
        <f ca="1">IFERROR(__xludf.DUMMYFUNCTION("""COMPUTED_VALUE"""),44300)</f>
        <v>44300</v>
      </c>
      <c r="M4534" s="25" t="str">
        <f ca="1">IFERROR(__xludf.DUMMYFUNCTION("""COMPUTED_VALUE"""),"ETB ha iniciado la radicación de PMT a la SDM de la Caracas, planes que se encuentran en aprobación. Se tiene comunicación constante con SDM para seguimiento a estos procesos.")</f>
        <v>ETB ha iniciado la radicación de PMT a la SDM de la Caracas, planes que se encuentran en aprobación. Se tiene comunicación constante con SDM para seguimiento a estos procesos.</v>
      </c>
      <c r="N4534" s="55">
        <f ca="1">IFERROR(__xludf.DUMMYFUNCTION("""COMPUTED_VALUE"""),44300)</f>
        <v>44300</v>
      </c>
      <c r="O4534" s="25" t="str">
        <f t="shared" ca="1" si="0"/>
        <v>Empresa Metro de Bogotá S.A.</v>
      </c>
      <c r="P4534" s="25" t="str">
        <f t="shared" si="3"/>
        <v/>
      </c>
      <c r="Q4534" s="25" t="str">
        <f ca="1">IFERROR(__xludf.DUMMYFUNCTION("""COMPUTED_VALUE"""),"Corto plazo")</f>
        <v>Corto plazo</v>
      </c>
      <c r="R4534" s="25"/>
      <c r="S4534" s="55"/>
      <c r="T4534" s="56"/>
      <c r="U4534" s="25"/>
      <c r="V4534" s="25"/>
      <c r="W4534" s="25"/>
      <c r="X4534" s="25"/>
      <c r="Y4534" s="25"/>
      <c r="Z4534" s="25"/>
    </row>
    <row r="4535" spans="1:26" ht="52.5" customHeight="1" x14ac:dyDescent="0.25">
      <c r="A4535" s="25" t="str">
        <f ca="1">IFERROR(__xludf.DUMMYFUNCTION("""COMPUTED_VALUE"""),"Movil333")</f>
        <v>Movil333</v>
      </c>
      <c r="B4535" s="25" t="str">
        <f ca="1">IFERROR(__xludf.DUMMYFUNCTION("""COMPUTED_VALUE"""),"Infraestructura - TAR Metro, troncales y avalúos catastrales con alcaldesa")</f>
        <v>Infraestructura - TAR Metro, troncales y avalúos catastrales con alcaldesa</v>
      </c>
      <c r="C4535" s="55">
        <f ca="1">IFERROR(__xludf.DUMMYFUNCTION("""COMPUTED_VALUE"""),44264)</f>
        <v>44264</v>
      </c>
      <c r="D4535" s="25" t="str">
        <f ca="1">IFERROR(__xludf.DUMMYFUNCTION("""COMPUTED_VALUE"""),"Movilidad")</f>
        <v>Movilidad</v>
      </c>
      <c r="E4535" s="25" t="str">
        <f ca="1">IFERROR(__xludf.DUMMYFUNCTION("""COMPUTED_VALUE"""),"Empresa Metro de Bogotá S.A.")</f>
        <v>Empresa Metro de Bogotá S.A.</v>
      </c>
      <c r="F4535" s="25" t="str">
        <f ca="1">IFERROR(__xludf.DUMMYFUNCTION("""COMPUTED_VALUE"""),"TAR METRO: 
 3. Presentar y aprobar los PMT de las intervenciones. Estos son condición previa para que Vanti pueda realizar sus intervenciones (Cruces 3 y 4).")</f>
        <v>TAR METRO: 
 3. Presentar y aprobar los PMT de las intervenciones. Estos son condición previa para que Vanti pueda realizar sus intervenciones (Cruces 3 y 4).</v>
      </c>
      <c r="G4535" s="25" t="str">
        <f ca="1">IFERROR(__xludf.DUMMYFUNCTION("""COMPUTED_VALUE"""),"99. Distrito")</f>
        <v>99. Distrito</v>
      </c>
      <c r="H4535" s="55">
        <f ca="1">IFERROR(__xludf.DUMMYFUNCTION("""COMPUTED_VALUE"""),44294)</f>
        <v>44294</v>
      </c>
      <c r="I4535" s="25"/>
      <c r="J4535" s="55" t="str">
        <f ca="1">IFERROR(__xludf.DUMMYFUNCTION("""COMPUTED_VALUE"""),"Alta")</f>
        <v>Alta</v>
      </c>
      <c r="K4535" s="25">
        <f ca="1">IFERROR(__xludf.DUMMYFUNCTION("""COMPUTED_VALUE"""),30)</f>
        <v>30</v>
      </c>
      <c r="L4535" s="62">
        <f ca="1">IFERROR(__xludf.DUMMYFUNCTION("""COMPUTED_VALUE"""),44379)</f>
        <v>44379</v>
      </c>
      <c r="M4535" s="25" t="str">
        <f ca="1">IFERROR(__xludf.DUMMYFUNCTION("""COMPUTED_VALUE"""),"GN-01: Obra ya ejecutada
GN-02: Obra ya ejecutada
GN-03: se firma acta de coordinación con EAAB el 29 de junio de 20221, se radicará el dia de hoy
GN-04: No se ha podido coordinar el acta entre EAAB y VANTI, con el fin de poder radicar hoy.
GN-05: Se "&amp;"estima radicar la última semana de julio
GN-06: Está programada para la segunda semana de julio
GN-07: Obra ya ejecutada
GN-08: Se estima radicar la tercera semana de agosto
GN-09: PMT y la obra se encuentra actualmente en ejecución
GN-10: Se estima "&amp;"radicar la segunda semana de agosto
GN-11:  Obra ya ejecutada
")</f>
        <v xml:space="preserve">GN-01: Obra ya ejecutada
GN-02: Obra ya ejecutada
GN-03: se firma acta de coordinación con EAAB el 29 de junio de 20221, se radicará el dia de hoy
GN-04: No se ha podido coordinar el acta entre EAAB y VANTI, con el fin de poder radicar hoy.
GN-05: Se estima radicar la última semana de julio
GN-06: Está programada para la segunda semana de julio
GN-07: Obra ya ejecutada
GN-08: Se estima radicar la tercera semana de agosto
GN-09: PMT y la obra se encuentra actualmente en ejecución
GN-10: Se estima radicar la segunda semana de agosto
GN-11:  Obra ya ejecutada
</v>
      </c>
      <c r="N4535" s="55">
        <f ca="1">IFERROR(__xludf.DUMMYFUNCTION("""COMPUTED_VALUE"""),44379)</f>
        <v>44379</v>
      </c>
      <c r="O4535" s="25" t="str">
        <f t="shared" ca="1" si="0"/>
        <v>Empresa Metro de Bogotá S.A.</v>
      </c>
      <c r="P4535" s="25" t="str">
        <f t="shared" si="3"/>
        <v/>
      </c>
      <c r="Q4535" s="25" t="str">
        <f ca="1">IFERROR(__xludf.DUMMYFUNCTION("""COMPUTED_VALUE"""),"Corto plazo")</f>
        <v>Corto plazo</v>
      </c>
      <c r="R4535" s="25"/>
      <c r="S4535" s="55"/>
      <c r="T4535" s="56"/>
      <c r="U4535" s="25"/>
      <c r="V4535" s="25"/>
      <c r="W4535" s="25"/>
      <c r="X4535" s="25"/>
      <c r="Y4535" s="25"/>
      <c r="Z4535" s="25"/>
    </row>
    <row r="4536" spans="1:26" ht="52.5" customHeight="1" x14ac:dyDescent="0.25">
      <c r="A4536" s="25" t="str">
        <f ca="1">IFERROR(__xludf.DUMMYFUNCTION("""COMPUTED_VALUE"""),"Movil334")</f>
        <v>Movil334</v>
      </c>
      <c r="B4536" s="25" t="str">
        <f ca="1">IFERROR(__xludf.DUMMYFUNCTION("""COMPUTED_VALUE"""),"Infraestructura - TAR Metro, troncales y avalúos catastrales con alcaldesa")</f>
        <v>Infraestructura - TAR Metro, troncales y avalúos catastrales con alcaldesa</v>
      </c>
      <c r="C4536" s="55">
        <f ca="1">IFERROR(__xludf.DUMMYFUNCTION("""COMPUTED_VALUE"""),44264)</f>
        <v>44264</v>
      </c>
      <c r="D4536" s="25" t="str">
        <f ca="1">IFERROR(__xludf.DUMMYFUNCTION("""COMPUTED_VALUE"""),"Movilidad")</f>
        <v>Movilidad</v>
      </c>
      <c r="E4536" s="25" t="str">
        <f ca="1">IFERROR(__xludf.DUMMYFUNCTION("""COMPUTED_VALUE"""),"Instituto de Desarrollo Urbano")</f>
        <v>Instituto de Desarrollo Urbano</v>
      </c>
      <c r="F4536" s="25" t="str">
        <f ca="1">IFERROR(__xludf.DUMMYFUNCTION("""COMPUTED_VALUE"""),"TRONCAL 68:
 1. Solicitar a SED acompañamiento al colegio especial que se ubica en el tramo 2 para que se tramite y gestione la licencia requerida.")</f>
        <v>TRONCAL 68:
 1. Solicitar a SED acompañamiento al colegio especial que se ubica en el tramo 2 para que se tramite y gestione la licencia requerida.</v>
      </c>
      <c r="G4536" s="25" t="str">
        <f ca="1">IFERROR(__xludf.DUMMYFUNCTION("""COMPUTED_VALUE"""),"99. Distrito")</f>
        <v>99. Distrito</v>
      </c>
      <c r="H4536" s="55">
        <f ca="1">IFERROR(__xludf.DUMMYFUNCTION("""COMPUTED_VALUE"""),44294)</f>
        <v>44294</v>
      </c>
      <c r="I4536" s="25"/>
      <c r="J4536" s="55" t="str">
        <f ca="1">IFERROR(__xludf.DUMMYFUNCTION("""COMPUTED_VALUE"""),"Alta")</f>
        <v>Alta</v>
      </c>
      <c r="K4536" s="25">
        <f ca="1">IFERROR(__xludf.DUMMYFUNCTION("""COMPUTED_VALUE"""),30)</f>
        <v>30</v>
      </c>
      <c r="L4536" s="62">
        <f ca="1">IFERROR(__xludf.DUMMYFUNCTION("""COMPUTED_VALUE"""),44300)</f>
        <v>44300</v>
      </c>
      <c r="M4536" s="25" t="str">
        <f ca="1">IFERROR(__xludf.DUMMYFUNCTION("""COMPUTED_VALUE"""),"Se aclaró al colegio que el IDU no requiere todo el predio sino una parte de él y que esto no impide que puedan continuar desarrollando su actividad. El IDU reconocerá en la liquidación las intervenciones que requiera para realizar las adecuaciones el col"&amp;"egio para continuar su operación.
 El Subdirector de infraestructura de SED verificó las condiciones remitidas por el IDU a través de correo electrónico y respondió en reunión que el colegio puede seguir operando.")</f>
        <v>Se aclaró al colegio que el IDU no requiere todo el predio sino una parte de él y que esto no impide que puedan continuar desarrollando su actividad. El IDU reconocerá en la liquidación las intervenciones que requiera para realizar las adecuaciones el colegio para continuar su operación.
 El Subdirector de infraestructura de SED verificó las condiciones remitidas por el IDU a través de correo electrónico y respondió en reunión que el colegio puede seguir operando.</v>
      </c>
      <c r="N4536" s="55">
        <f ca="1">IFERROR(__xludf.DUMMYFUNCTION("""COMPUTED_VALUE"""),44300)</f>
        <v>44300</v>
      </c>
      <c r="O4536" s="25" t="str">
        <f t="shared" ca="1" si="0"/>
        <v>Instituto de Desarrollo Urbano</v>
      </c>
      <c r="P4536" s="25" t="str">
        <f t="shared" si="3"/>
        <v/>
      </c>
      <c r="Q4536" s="25" t="str">
        <f ca="1">IFERROR(__xludf.DUMMYFUNCTION("""COMPUTED_VALUE"""),"Corto plazo")</f>
        <v>Corto plazo</v>
      </c>
      <c r="R4536" s="25"/>
      <c r="S4536" s="55"/>
      <c r="T4536" s="56"/>
      <c r="U4536" s="25"/>
      <c r="V4536" s="25"/>
      <c r="W4536" s="25"/>
      <c r="X4536" s="25"/>
      <c r="Y4536" s="25"/>
      <c r="Z4536" s="25"/>
    </row>
    <row r="4537" spans="1:26" ht="52.5" customHeight="1" x14ac:dyDescent="0.25">
      <c r="A4537" s="25" t="str">
        <f ca="1">IFERROR(__xludf.DUMMYFUNCTION("""COMPUTED_VALUE"""),"Movil335")</f>
        <v>Movil335</v>
      </c>
      <c r="B4537" s="25" t="str">
        <f ca="1">IFERROR(__xludf.DUMMYFUNCTION("""COMPUTED_VALUE"""),"Infraestructura - TAR Metro, troncales y avalúos catastrales con alcaldesa")</f>
        <v>Infraestructura - TAR Metro, troncales y avalúos catastrales con alcaldesa</v>
      </c>
      <c r="C4537" s="55">
        <f ca="1">IFERROR(__xludf.DUMMYFUNCTION("""COMPUTED_VALUE"""),44264)</f>
        <v>44264</v>
      </c>
      <c r="D4537" s="25" t="str">
        <f ca="1">IFERROR(__xludf.DUMMYFUNCTION("""COMPUTED_VALUE"""),"Movilidad")</f>
        <v>Movilidad</v>
      </c>
      <c r="E4537" s="25" t="str">
        <f ca="1">IFERROR(__xludf.DUMMYFUNCTION("""COMPUTED_VALUE"""),"Instituto de Desarrollo Urbano")</f>
        <v>Instituto de Desarrollo Urbano</v>
      </c>
      <c r="F4537" s="25" t="str">
        <f ca="1">IFERROR(__xludf.DUMMYFUNCTION("""COMPUTED_VALUE"""),"TRONCAL 68:
 3. Atender como grupo prioritario, a los afectados que quieran abrir las fachadas, para que todos los que tramiten de la licencia requerida lo hagan más rápido.")</f>
        <v>TRONCAL 68:
 3. Atender como grupo prioritario, a los afectados que quieran abrir las fachadas, para que todos los que tramiten de la licencia requerida lo hagan más rápido.</v>
      </c>
      <c r="G4537" s="25" t="str">
        <f ca="1">IFERROR(__xludf.DUMMYFUNCTION("""COMPUTED_VALUE"""),"99. Distrito")</f>
        <v>99. Distrito</v>
      </c>
      <c r="H4537" s="55">
        <f ca="1">IFERROR(__xludf.DUMMYFUNCTION("""COMPUTED_VALUE"""),44294)</f>
        <v>44294</v>
      </c>
      <c r="I4537" s="25"/>
      <c r="J4537" s="55" t="str">
        <f ca="1">IFERROR(__xludf.DUMMYFUNCTION("""COMPUTED_VALUE"""),"Alta")</f>
        <v>Alta</v>
      </c>
      <c r="K4537" s="25">
        <f ca="1">IFERROR(__xludf.DUMMYFUNCTION("""COMPUTED_VALUE"""),30)</f>
        <v>30</v>
      </c>
      <c r="L4537" s="62">
        <f ca="1">IFERROR(__xludf.DUMMYFUNCTION("""COMPUTED_VALUE"""),44369)</f>
        <v>44369</v>
      </c>
      <c r="M4537" s="25" t="str">
        <f ca="1">IFERROR(__xludf.DUMMYFUNCTION("""COMPUTED_VALUE"""),"SDP dispondrá de dos personas que orientarán a las personas de este grupo en la gestión y trámites requeridos para la apertura de las fachadas.")</f>
        <v>SDP dispondrá de dos personas que orientarán a las personas de este grupo en la gestión y trámites requeridos para la apertura de las fachadas.</v>
      </c>
      <c r="N4537" s="55">
        <f ca="1">IFERROR(__xludf.DUMMYFUNCTION("""COMPUTED_VALUE"""),44369)</f>
        <v>44369</v>
      </c>
      <c r="O4537" s="25" t="str">
        <f t="shared" ca="1" si="0"/>
        <v>Instituto de Desarrollo Urbano</v>
      </c>
      <c r="P4537" s="25" t="str">
        <f t="shared" si="3"/>
        <v/>
      </c>
      <c r="Q4537" s="25" t="str">
        <f ca="1">IFERROR(__xludf.DUMMYFUNCTION("""COMPUTED_VALUE"""),"Corto plazo")</f>
        <v>Corto plazo</v>
      </c>
      <c r="R4537" s="25"/>
      <c r="S4537" s="55"/>
      <c r="T4537" s="56"/>
      <c r="U4537" s="25"/>
      <c r="V4537" s="25"/>
      <c r="W4537" s="25"/>
      <c r="X4537" s="25"/>
      <c r="Y4537" s="25"/>
      <c r="Z4537" s="25"/>
    </row>
    <row r="4538" spans="1:26" ht="52.5" customHeight="1" x14ac:dyDescent="0.25">
      <c r="A4538" s="25" t="str">
        <f ca="1">IFERROR(__xludf.DUMMYFUNCTION("""COMPUTED_VALUE"""),"Movil336")</f>
        <v>Movil336</v>
      </c>
      <c r="B4538" s="25" t="str">
        <f ca="1">IFERROR(__xludf.DUMMYFUNCTION("""COMPUTED_VALUE"""),"Infraestructura - TAR Metro, troncales y avalúos catastrales con alcaldesa")</f>
        <v>Infraestructura - TAR Metro, troncales y avalúos catastrales con alcaldesa</v>
      </c>
      <c r="C4538" s="55">
        <f ca="1">IFERROR(__xludf.DUMMYFUNCTION("""COMPUTED_VALUE"""),44264)</f>
        <v>44264</v>
      </c>
      <c r="D4538" s="25" t="str">
        <f ca="1">IFERROR(__xludf.DUMMYFUNCTION("""COMPUTED_VALUE"""),"Movilidad")</f>
        <v>Movilidad</v>
      </c>
      <c r="E4538" s="25" t="str">
        <f ca="1">IFERROR(__xludf.DUMMYFUNCTION("""COMPUTED_VALUE"""),"Instituto de Desarrollo Urbano")</f>
        <v>Instituto de Desarrollo Urbano</v>
      </c>
      <c r="F4538" s="25" t="str">
        <f ca="1">IFERROR(__xludf.DUMMYFUNCTION("""COMPUTED_VALUE"""),"TRONCAL 68:
 4. Indicar al IDU y contratistas dónde reubicar el bicicarril, mientras hacen la obra.")</f>
        <v>TRONCAL 68:
 4. Indicar al IDU y contratistas dónde reubicar el bicicarril, mientras hacen la obra.</v>
      </c>
      <c r="G4538" s="25" t="str">
        <f ca="1">IFERROR(__xludf.DUMMYFUNCTION("""COMPUTED_VALUE"""),"99. Distrito")</f>
        <v>99. Distrito</v>
      </c>
      <c r="H4538" s="55">
        <f ca="1">IFERROR(__xludf.DUMMYFUNCTION("""COMPUTED_VALUE"""),44294)</f>
        <v>44294</v>
      </c>
      <c r="I4538" s="25"/>
      <c r="J4538" s="55" t="str">
        <f ca="1">IFERROR(__xludf.DUMMYFUNCTION("""COMPUTED_VALUE"""),"Alta")</f>
        <v>Alta</v>
      </c>
      <c r="K4538" s="25">
        <f ca="1">IFERROR(__xludf.DUMMYFUNCTION("""COMPUTED_VALUE"""),30)</f>
        <v>30</v>
      </c>
      <c r="L4538" s="62">
        <f ca="1">IFERROR(__xludf.DUMMYFUNCTION("""COMPUTED_VALUE"""),44300)</f>
        <v>44300</v>
      </c>
      <c r="M4538" s="25" t="str">
        <f ca="1">IFERROR(__xludf.DUMMYFUNCTION("""COMPUTED_VALUE"""),"SDM verificó en campo propuesta de contratista grupo 3, y se reitera que se debe mantener esta ciclorruta en el corredor en especial para garantizar la seguridad vial de los ciclistas.
 Se debe indicar al contratista en reunión del 15 de abril esta deci"&amp;"sión.")</f>
        <v>SDM verificó en campo propuesta de contratista grupo 3, y se reitera que se debe mantener esta ciclorruta en el corredor en especial para garantizar la seguridad vial de los ciclistas.
 Se debe indicar al contratista en reunión del 15 de abril esta decisión.</v>
      </c>
      <c r="N4538" s="55">
        <f ca="1">IFERROR(__xludf.DUMMYFUNCTION("""COMPUTED_VALUE"""),44300)</f>
        <v>44300</v>
      </c>
      <c r="O4538" s="25" t="str">
        <f t="shared" ca="1" si="0"/>
        <v>Instituto de Desarrollo Urbano</v>
      </c>
      <c r="P4538" s="25" t="str">
        <f t="shared" si="3"/>
        <v/>
      </c>
      <c r="Q4538" s="25" t="str">
        <f ca="1">IFERROR(__xludf.DUMMYFUNCTION("""COMPUTED_VALUE"""),"Corto plazo")</f>
        <v>Corto plazo</v>
      </c>
      <c r="R4538" s="25"/>
      <c r="S4538" s="55"/>
      <c r="T4538" s="56"/>
      <c r="U4538" s="25"/>
      <c r="V4538" s="25"/>
      <c r="W4538" s="25"/>
      <c r="X4538" s="25"/>
      <c r="Y4538" s="25"/>
      <c r="Z4538" s="25"/>
    </row>
    <row r="4539" spans="1:26" ht="52.5" customHeight="1" x14ac:dyDescent="0.25">
      <c r="A4539" s="25" t="str">
        <f ca="1">IFERROR(__xludf.DUMMYFUNCTION("""COMPUTED_VALUE"""),"Movil337")</f>
        <v>Movil337</v>
      </c>
      <c r="B4539" s="25" t="str">
        <f ca="1">IFERROR(__xludf.DUMMYFUNCTION("""COMPUTED_VALUE"""),"Infraestructura - TAR Metro, troncales y avalúos catastrales con alcaldesa")</f>
        <v>Infraestructura - TAR Metro, troncales y avalúos catastrales con alcaldesa</v>
      </c>
      <c r="C4539" s="55">
        <f ca="1">IFERROR(__xludf.DUMMYFUNCTION("""COMPUTED_VALUE"""),44264)</f>
        <v>44264</v>
      </c>
      <c r="D4539" s="25" t="str">
        <f ca="1">IFERROR(__xludf.DUMMYFUNCTION("""COMPUTED_VALUE"""),"Movilidad")</f>
        <v>Movilidad</v>
      </c>
      <c r="E4539" s="25" t="str">
        <f ca="1">IFERROR(__xludf.DUMMYFUNCTION("""COMPUTED_VALUE"""),"Instituto de Desarrollo Urbano")</f>
        <v>Instituto de Desarrollo Urbano</v>
      </c>
      <c r="F4539" s="25" t="str">
        <f ca="1">IFERROR(__xludf.DUMMYFUNCTION("""COMPUTED_VALUE"""),"TRONCAL 68:
 7. Apoyo con concesionario de salitre mágico para traslado de la subestación")</f>
        <v>TRONCAL 68:
 7. Apoyo con concesionario de salitre mágico para traslado de la subestación</v>
      </c>
      <c r="G4539" s="25" t="str">
        <f ca="1">IFERROR(__xludf.DUMMYFUNCTION("""COMPUTED_VALUE"""),"99. Distrito")</f>
        <v>99. Distrito</v>
      </c>
      <c r="H4539" s="55">
        <f ca="1">IFERROR(__xludf.DUMMYFUNCTION("""COMPUTED_VALUE"""),44294)</f>
        <v>44294</v>
      </c>
      <c r="I4539" s="25"/>
      <c r="J4539" s="55" t="str">
        <f ca="1">IFERROR(__xludf.DUMMYFUNCTION("""COMPUTED_VALUE"""),"Alta")</f>
        <v>Alta</v>
      </c>
      <c r="K4539" s="25">
        <f ca="1">IFERROR(__xludf.DUMMYFUNCTION("""COMPUTED_VALUE"""),30)</f>
        <v>30</v>
      </c>
      <c r="L4539" s="62">
        <f ca="1">IFERROR(__xludf.DUMMYFUNCTION("""COMPUTED_VALUE"""),44300)</f>
        <v>44300</v>
      </c>
      <c r="M4539" s="25" t="str">
        <f ca="1">IFERROR(__xludf.DUMMYFUNCTION("""COMPUTED_VALUE"""),"Maniobra con ENEL CODENSA convenio 849 de 2020.
 IDRD indica que el concesionario no se hará cargo del traslado de la subestación")</f>
        <v>Maniobra con ENEL CODENSA convenio 849 de 2020.
 IDRD indica que el concesionario no se hará cargo del traslado de la subestación</v>
      </c>
      <c r="N4539" s="55">
        <f ca="1">IFERROR(__xludf.DUMMYFUNCTION("""COMPUTED_VALUE"""),44300)</f>
        <v>44300</v>
      </c>
      <c r="O4539" s="25" t="str">
        <f t="shared" ca="1" si="0"/>
        <v>Instituto de Desarrollo Urbano</v>
      </c>
      <c r="P4539" s="25" t="str">
        <f t="shared" si="3"/>
        <v/>
      </c>
      <c r="Q4539" s="25" t="str">
        <f ca="1">IFERROR(__xludf.DUMMYFUNCTION("""COMPUTED_VALUE"""),"Corto plazo")</f>
        <v>Corto plazo</v>
      </c>
      <c r="R4539" s="25"/>
      <c r="S4539" s="55"/>
      <c r="T4539" s="56"/>
      <c r="U4539" s="25"/>
      <c r="V4539" s="25"/>
      <c r="W4539" s="25"/>
      <c r="X4539" s="25"/>
      <c r="Y4539" s="25"/>
      <c r="Z4539" s="25"/>
    </row>
    <row r="4540" spans="1:26" ht="52.5" customHeight="1" x14ac:dyDescent="0.25">
      <c r="A4540" s="25" t="str">
        <f ca="1">IFERROR(__xludf.DUMMYFUNCTION("""COMPUTED_VALUE"""),"Movil338")</f>
        <v>Movil338</v>
      </c>
      <c r="B4540" s="25" t="str">
        <f ca="1">IFERROR(__xludf.DUMMYFUNCTION("""COMPUTED_VALUE"""),"Infraestructura - TAR Metro, troncales y avalúos catastrales con alcaldesa")</f>
        <v>Infraestructura - TAR Metro, troncales y avalúos catastrales con alcaldesa</v>
      </c>
      <c r="C4540" s="55">
        <f ca="1">IFERROR(__xludf.DUMMYFUNCTION("""COMPUTED_VALUE"""),44264)</f>
        <v>44264</v>
      </c>
      <c r="D4540" s="25" t="str">
        <f ca="1">IFERROR(__xludf.DUMMYFUNCTION("""COMPUTED_VALUE"""),"Movilidad")</f>
        <v>Movilidad</v>
      </c>
      <c r="E4540" s="25" t="str">
        <f ca="1">IFERROR(__xludf.DUMMYFUNCTION("""COMPUTED_VALUE"""),"Instituto de Desarrollo Urbano")</f>
        <v>Instituto de Desarrollo Urbano</v>
      </c>
      <c r="F4540" s="25" t="str">
        <f ca="1">IFERROR(__xludf.DUMMYFUNCTION("""COMPUTED_VALUE"""),"TRONCAL 68:
 8. Plan Parcial Floresta, tiene carga evitar que se paren las obras 68 porque no pueden hacer obras por cargas.")</f>
        <v>TRONCAL 68:
 8. Plan Parcial Floresta, tiene carga evitar que se paren las obras 68 porque no pueden hacer obras por cargas.</v>
      </c>
      <c r="G4540" s="25" t="str">
        <f ca="1">IFERROR(__xludf.DUMMYFUNCTION("""COMPUTED_VALUE"""),"99. Distrito")</f>
        <v>99. Distrito</v>
      </c>
      <c r="H4540" s="55">
        <f ca="1">IFERROR(__xludf.DUMMYFUNCTION("""COMPUTED_VALUE"""),44294)</f>
        <v>44294</v>
      </c>
      <c r="I4540" s="25"/>
      <c r="J4540" s="55" t="str">
        <f ca="1">IFERROR(__xludf.DUMMYFUNCTION("""COMPUTED_VALUE"""),"Alta")</f>
        <v>Alta</v>
      </c>
      <c r="K4540" s="25">
        <f ca="1">IFERROR(__xludf.DUMMYFUNCTION("""COMPUTED_VALUE"""),30)</f>
        <v>30</v>
      </c>
      <c r="L4540" s="62">
        <f ca="1">IFERROR(__xludf.DUMMYFUNCTION("""COMPUTED_VALUE"""),44300)</f>
        <v>44300</v>
      </c>
      <c r="M4540" s="25" t="str">
        <f ca="1">IFERROR(__xludf.DUMMYFUNCTION("""COMPUTED_VALUE"""),"Se genera reunión Marzo 10 de 2021 donde se explica a los delegados del PPRU las razones por las cuales no se incorporan las calzadas de aceleración y desaceleración sobre el andén oriental de la 68 en la preconstrucción de esta troncal. En particular dad"&amp;"o que al PPRU y el contrato de obra de la 68 están en etapas de desarrollo diferentes. Con el contrato IDU-351-2020 se realizarán los ajustes a diseños de redes previendo la ubicación de las cazadas a cargo de CAFAM minimizando afectaciones futuras de lo "&amp;"que se ejecute mediante este contrato por parte del promotor del PPRU.")</f>
        <v>Se genera reunión Marzo 10 de 2021 donde se explica a los delegados del PPRU las razones por las cuales no se incorporan las calzadas de aceleración y desaceleración sobre el andén oriental de la 68 en la preconstrucción de esta troncal. En particular dado que al PPRU y el contrato de obra de la 68 están en etapas de desarrollo diferentes. Con el contrato IDU-351-2020 se realizarán los ajustes a diseños de redes previendo la ubicación de las cazadas a cargo de CAFAM minimizando afectaciones futuras de lo que se ejecute mediante este contrato por parte del promotor del PPRU.</v>
      </c>
      <c r="N4540" s="55">
        <f ca="1">IFERROR(__xludf.DUMMYFUNCTION("""COMPUTED_VALUE"""),44300)</f>
        <v>44300</v>
      </c>
      <c r="O4540" s="25" t="str">
        <f t="shared" ca="1" si="0"/>
        <v>Instituto de Desarrollo Urbano</v>
      </c>
      <c r="P4540" s="25" t="str">
        <f t="shared" si="3"/>
        <v/>
      </c>
      <c r="Q4540" s="25" t="str">
        <f ca="1">IFERROR(__xludf.DUMMYFUNCTION("""COMPUTED_VALUE"""),"Corto plazo")</f>
        <v>Corto plazo</v>
      </c>
      <c r="R4540" s="25"/>
      <c r="S4540" s="55"/>
      <c r="T4540" s="56"/>
      <c r="U4540" s="25"/>
      <c r="V4540" s="25"/>
      <c r="W4540" s="25"/>
      <c r="X4540" s="25"/>
      <c r="Y4540" s="25"/>
      <c r="Z4540" s="25"/>
    </row>
    <row r="4541" spans="1:26" ht="52.5" customHeight="1" x14ac:dyDescent="0.25">
      <c r="A4541" s="25" t="str">
        <f ca="1">IFERROR(__xludf.DUMMYFUNCTION("""COMPUTED_VALUE"""),"Movil339")</f>
        <v>Movil339</v>
      </c>
      <c r="B4541" s="25" t="str">
        <f ca="1">IFERROR(__xludf.DUMMYFUNCTION("""COMPUTED_VALUE"""),"Infraestructura - TAR Metro, troncales y avalúos catastrales con alcaldesa")</f>
        <v>Infraestructura - TAR Metro, troncales y avalúos catastrales con alcaldesa</v>
      </c>
      <c r="C4541" s="55">
        <f ca="1">IFERROR(__xludf.DUMMYFUNCTION("""COMPUTED_VALUE"""),44264)</f>
        <v>44264</v>
      </c>
      <c r="D4541" s="25" t="str">
        <f ca="1">IFERROR(__xludf.DUMMYFUNCTION("""COMPUTED_VALUE"""),"Movilidad")</f>
        <v>Movilidad</v>
      </c>
      <c r="E4541" s="25" t="str">
        <f ca="1">IFERROR(__xludf.DUMMYFUNCTION("""COMPUTED_VALUE"""),"Instituto de Desarrollo Urbano")</f>
        <v>Instituto de Desarrollo Urbano</v>
      </c>
      <c r="F4541" s="25" t="str">
        <f ca="1">IFERROR(__xludf.DUMMYFUNCTION("""COMPUTED_VALUE"""),"TRONCAL 68: 
 5. De manera general para las obras del IDU, se debe iniciar la plantación de árboles con anticipación de modo que cuando se reemplacen no solo sea en número,sino en condiciones de calidad. Entidades involucradas SDA, IDU entre otros, deben "&amp;"definir la política clara, cumplible, simple y de ciudad.")</f>
        <v>TRONCAL 68: 
 5. De manera general para las obras del IDU, se debe iniciar la plantación de árboles con anticipación de modo que cuando se reemplacen no solo sea en número,sino en condiciones de calidad. Entidades involucradas SDA, IDU entre otros, deben definir la política clara, cumplible, simple y de ciudad.</v>
      </c>
      <c r="G4541" s="25" t="str">
        <f ca="1">IFERROR(__xludf.DUMMYFUNCTION("""COMPUTED_VALUE"""),"99. Distrito")</f>
        <v>99. Distrito</v>
      </c>
      <c r="H4541" s="55">
        <f ca="1">IFERROR(__xludf.DUMMYFUNCTION("""COMPUTED_VALUE"""),44294)</f>
        <v>44294</v>
      </c>
      <c r="I4541" s="25"/>
      <c r="J4541" s="55" t="str">
        <f ca="1">IFERROR(__xludf.DUMMYFUNCTION("""COMPUTED_VALUE"""),"Alta")</f>
        <v>Alta</v>
      </c>
      <c r="K4541" s="25">
        <f ca="1">IFERROR(__xludf.DUMMYFUNCTION("""COMPUTED_VALUE"""),30)</f>
        <v>30</v>
      </c>
      <c r="L4541" s="62">
        <f ca="1">IFERROR(__xludf.DUMMYFUNCTION("""COMPUTED_VALUE"""),44330)</f>
        <v>44330</v>
      </c>
      <c r="M4541" s="25" t="str">
        <f ca="1">IFERROR(__xludf.DUMMYFUNCTION("""COMPUTED_VALUE"""),"IDU ha coordinado con SDA, JBB y los contratistas para avanzar en la siembra de los árboles para compensar las talas.")</f>
        <v>IDU ha coordinado con SDA, JBB y los contratistas para avanzar en la siembra de los árboles para compensar las talas.</v>
      </c>
      <c r="N4541" s="55">
        <f ca="1">IFERROR(__xludf.DUMMYFUNCTION("""COMPUTED_VALUE"""),44330)</f>
        <v>44330</v>
      </c>
      <c r="O4541" s="25" t="str">
        <f t="shared" ca="1" si="0"/>
        <v>Instituto de Desarrollo Urbano</v>
      </c>
      <c r="P4541" s="25" t="str">
        <f t="shared" si="3"/>
        <v/>
      </c>
      <c r="Q4541" s="25" t="str">
        <f ca="1">IFERROR(__xludf.DUMMYFUNCTION("""COMPUTED_VALUE"""),"Corto plazo")</f>
        <v>Corto plazo</v>
      </c>
      <c r="R4541" s="25"/>
      <c r="S4541" s="55"/>
      <c r="T4541" s="56"/>
      <c r="U4541" s="25"/>
      <c r="V4541" s="25"/>
      <c r="W4541" s="25"/>
      <c r="X4541" s="25"/>
      <c r="Y4541" s="25"/>
      <c r="Z4541" s="25"/>
    </row>
    <row r="4542" spans="1:26" ht="52.5" customHeight="1" x14ac:dyDescent="0.25">
      <c r="A4542" s="25" t="str">
        <f ca="1">IFERROR(__xludf.DUMMYFUNCTION("""COMPUTED_VALUE"""),"Movil340")</f>
        <v>Movil340</v>
      </c>
      <c r="B4542" s="25" t="str">
        <f ca="1">IFERROR(__xludf.DUMMYFUNCTION("""COMPUTED_VALUE"""),"Infraestructura - TAR Metro, troncales y avalúos catastrales con alcaldesa")</f>
        <v>Infraestructura - TAR Metro, troncales y avalúos catastrales con alcaldesa</v>
      </c>
      <c r="C4542" s="55">
        <f ca="1">IFERROR(__xludf.DUMMYFUNCTION("""COMPUTED_VALUE"""),44264)</f>
        <v>44264</v>
      </c>
      <c r="D4542" s="25" t="str">
        <f ca="1">IFERROR(__xludf.DUMMYFUNCTION("""COMPUTED_VALUE"""),"Movilidad")</f>
        <v>Movilidad</v>
      </c>
      <c r="E4542" s="25" t="str">
        <f ca="1">IFERROR(__xludf.DUMMYFUNCTION("""COMPUTED_VALUE"""),"Instituto de Desarrollo Urbano")</f>
        <v>Instituto de Desarrollo Urbano</v>
      </c>
      <c r="F4542" s="25" t="str">
        <f ca="1">IFERROR(__xludf.DUMMYFUNCTION("""COMPUTED_VALUE"""),"TRONCAL 68: 
 6. En la floresta, revisar la solución para que no exista un puente dadas las quejas de la comunidad. Entonces se deberán analizar soluciones para modificar el diseño ahí, deprimido, semáforo IDU, contratista, SDM.")</f>
        <v>TRONCAL 68: 
 6. En la floresta, revisar la solución para que no exista un puente dadas las quejas de la comunidad. Entonces se deberán analizar soluciones para modificar el diseño ahí, deprimido, semáforo IDU, contratista, SDM.</v>
      </c>
      <c r="G4542" s="25" t="str">
        <f ca="1">IFERROR(__xludf.DUMMYFUNCTION("""COMPUTED_VALUE"""),"99. Distrito")</f>
        <v>99. Distrito</v>
      </c>
      <c r="H4542" s="55">
        <f ca="1">IFERROR(__xludf.DUMMYFUNCTION("""COMPUTED_VALUE"""),44294)</f>
        <v>44294</v>
      </c>
      <c r="I4542" s="25"/>
      <c r="J4542" s="55" t="str">
        <f ca="1">IFERROR(__xludf.DUMMYFUNCTION("""COMPUTED_VALUE"""),"Alta")</f>
        <v>Alta</v>
      </c>
      <c r="K4542" s="25">
        <f ca="1">IFERROR(__xludf.DUMMYFUNCTION("""COMPUTED_VALUE"""),30)</f>
        <v>30</v>
      </c>
      <c r="L4542" s="62">
        <f ca="1">IFERROR(__xludf.DUMMYFUNCTION("""COMPUTED_VALUE"""),44300)</f>
        <v>44300</v>
      </c>
      <c r="M4542" s="25" t="str">
        <f ca="1">IFERROR(__xludf.DUMMYFUNCTION("""COMPUTED_VALUE"""),"El análisis técnico que considera parámetros como tráfico en carriles mixtos y parámetros operacionales de TM, corrobora la necesidad de implementar solución a desnivel para evitar niveles de servicio críticos (nivel F).
 Desde el punto de vista del dre"&amp;"naje, los análisis adelantados indican imposibilidad de realizar drenaje de estructura deprimida por gravedad, a su vez por condición hidráulica de canal Salitre y lineamientos de la EAAB no es viable implementar alternativa de drenaje por bombeo. 
 Se "&amp;"concluye que la mejor solución es la planteada: Puente BRT
 Pendiente mesa técnica Abril 20")</f>
        <v>El análisis técnico que considera parámetros como tráfico en carriles mixtos y parámetros operacionales de TM, corrobora la necesidad de implementar solución a desnivel para evitar niveles de servicio críticos (nivel F).
 Desde el punto de vista del drenaje, los análisis adelantados indican imposibilidad de realizar drenaje de estructura deprimida por gravedad, a su vez por condición hidráulica de canal Salitre y lineamientos de la EAAB no es viable implementar alternativa de drenaje por bombeo. 
 Se concluye que la mejor solución es la planteada: Puente BRT
 Pendiente mesa técnica Abril 20</v>
      </c>
      <c r="N4542" s="55">
        <f ca="1">IFERROR(__xludf.DUMMYFUNCTION("""COMPUTED_VALUE"""),44300)</f>
        <v>44300</v>
      </c>
      <c r="O4542" s="25" t="str">
        <f t="shared" ca="1" si="0"/>
        <v>Instituto de Desarrollo Urbano</v>
      </c>
      <c r="P4542" s="25" t="str">
        <f t="shared" si="3"/>
        <v/>
      </c>
      <c r="Q4542" s="25" t="str">
        <f ca="1">IFERROR(__xludf.DUMMYFUNCTION("""COMPUTED_VALUE"""),"Corto plazo")</f>
        <v>Corto plazo</v>
      </c>
      <c r="R4542" s="25"/>
      <c r="S4542" s="55"/>
      <c r="T4542" s="56"/>
      <c r="U4542" s="25"/>
      <c r="V4542" s="25"/>
      <c r="W4542" s="25"/>
      <c r="X4542" s="25"/>
      <c r="Y4542" s="25"/>
      <c r="Z4542" s="25"/>
    </row>
    <row r="4543" spans="1:26" ht="52.5" customHeight="1" x14ac:dyDescent="0.25">
      <c r="A4543" s="25" t="str">
        <f ca="1">IFERROR(__xludf.DUMMYFUNCTION("""COMPUTED_VALUE"""),"Movil341")</f>
        <v>Movil341</v>
      </c>
      <c r="B4543" s="25" t="str">
        <f ca="1">IFERROR(__xludf.DUMMYFUNCTION("""COMPUTED_VALUE"""),"Revisar proyectos IDU")</f>
        <v>Revisar proyectos IDU</v>
      </c>
      <c r="C4543" s="55">
        <f ca="1">IFERROR(__xludf.DUMMYFUNCTION("""COMPUTED_VALUE"""),44264)</f>
        <v>44264</v>
      </c>
      <c r="D4543" s="25" t="str">
        <f ca="1">IFERROR(__xludf.DUMMYFUNCTION("""COMPUTED_VALUE"""),"Movilidad")</f>
        <v>Movilidad</v>
      </c>
      <c r="E4543" s="25" t="str">
        <f ca="1">IFERROR(__xludf.DUMMYFUNCTION("""COMPUTED_VALUE"""),"Instituto de Desarrollo Urbano")</f>
        <v>Instituto de Desarrollo Urbano</v>
      </c>
      <c r="F4543" s="25" t="str">
        <f ca="1">IFERROR(__xludf.DUMMYFUNCTION("""COMPUTED_VALUE"""),"Revisar si jurídicamente es posible introducir un criterio para bajar calificación a proponentes que hayan incumplido contratos previos")</f>
        <v>Revisar si jurídicamente es posible introducir un criterio para bajar calificación a proponentes que hayan incumplido contratos previos</v>
      </c>
      <c r="G4543" s="25" t="str">
        <f ca="1">IFERROR(__xludf.DUMMYFUNCTION("""COMPUTED_VALUE"""),"99. Distrito")</f>
        <v>99. Distrito</v>
      </c>
      <c r="H4543" s="55">
        <f ca="1">IFERROR(__xludf.DUMMYFUNCTION("""COMPUTED_VALUE"""),44294)</f>
        <v>44294</v>
      </c>
      <c r="I4543" s="25"/>
      <c r="J4543" s="55" t="str">
        <f ca="1">IFERROR(__xludf.DUMMYFUNCTION("""COMPUTED_VALUE"""),"Alta")</f>
        <v>Alta</v>
      </c>
      <c r="K4543" s="25">
        <f ca="1">IFERROR(__xludf.DUMMYFUNCTION("""COMPUTED_VALUE"""),30)</f>
        <v>30</v>
      </c>
      <c r="L4543" s="62">
        <f ca="1">IFERROR(__xludf.DUMMYFUNCTION("""COMPUTED_VALUE"""),44392)</f>
        <v>44392</v>
      </c>
      <c r="M4543" s="25" t="str">
        <f ca="1">IFERROR(__xludf.DUMMYFUNCTION("""COMPUTED_VALUE"""),"Se elevó la consulta a Colombia Compra eficiente, teniendo en cuenta que nos encontramos frente a Pliegos Tipo adoptados por el Gobierno Nacional. 
  Colombia compra eficiente dio respuesta indicando que como los pliegos tipo ya están expedidos no es proc"&amp;"edente su modificación pero dejarán las observaciones en un repositorio para analizarlas en una futura modificación de los pliegos.")</f>
        <v>Se elevó la consulta a Colombia Compra eficiente, teniendo en cuenta que nos encontramos frente a Pliegos Tipo adoptados por el Gobierno Nacional. 
  Colombia compra eficiente dio respuesta indicando que como los pliegos tipo ya están expedidos no es procedente su modificación pero dejarán las observaciones en un repositorio para analizarlas en una futura modificación de los pliegos.</v>
      </c>
      <c r="N4543" s="55">
        <f ca="1">IFERROR(__xludf.DUMMYFUNCTION("""COMPUTED_VALUE"""),44392)</f>
        <v>44392</v>
      </c>
      <c r="O4543" s="25" t="str">
        <f t="shared" ca="1" si="0"/>
        <v>Instituto de Desarrollo Urbano</v>
      </c>
      <c r="P4543" s="25" t="str">
        <f t="shared" si="3"/>
        <v/>
      </c>
      <c r="Q4543" s="25" t="str">
        <f ca="1">IFERROR(__xludf.DUMMYFUNCTION("""COMPUTED_VALUE"""),"Corto plazo")</f>
        <v>Corto plazo</v>
      </c>
      <c r="R4543" s="25"/>
      <c r="S4543" s="55"/>
      <c r="T4543" s="56"/>
      <c r="U4543" s="25"/>
      <c r="V4543" s="25"/>
      <c r="W4543" s="25"/>
      <c r="X4543" s="25"/>
      <c r="Y4543" s="25"/>
      <c r="Z4543" s="25"/>
    </row>
    <row r="4544" spans="1:26" ht="52.5" customHeight="1" x14ac:dyDescent="0.25">
      <c r="A4544" s="25" t="str">
        <f ca="1">IFERROR(__xludf.DUMMYFUNCTION("""COMPUTED_VALUE"""),"Movil342")</f>
        <v>Movil342</v>
      </c>
      <c r="B4544" s="25" t="str">
        <f ca="1">IFERROR(__xludf.DUMMYFUNCTION("""COMPUTED_VALUE"""),"Revisar proyectos IDU")</f>
        <v>Revisar proyectos IDU</v>
      </c>
      <c r="C4544" s="55">
        <f ca="1">IFERROR(__xludf.DUMMYFUNCTION("""COMPUTED_VALUE"""),44264)</f>
        <v>44264</v>
      </c>
      <c r="D4544" s="25" t="str">
        <f ca="1">IFERROR(__xludf.DUMMYFUNCTION("""COMPUTED_VALUE"""),"Movilidad")</f>
        <v>Movilidad</v>
      </c>
      <c r="E4544" s="25" t="str">
        <f ca="1">IFERROR(__xludf.DUMMYFUNCTION("""COMPUTED_VALUE"""),"Instituto de Desarrollo Urbano")</f>
        <v>Instituto de Desarrollo Urbano</v>
      </c>
      <c r="F4544" s="25" t="str">
        <f ca="1">IFERROR(__xludf.DUMMYFUNCTION("""COMPUTED_VALUE"""),"Concertar con contratistas, replanteamientos de estaciones de TMSA afectadas por construcción de regiotram")</f>
        <v>Concertar con contratistas, replanteamientos de estaciones de TMSA afectadas por construcción de regiotram</v>
      </c>
      <c r="G4544" s="25" t="str">
        <f ca="1">IFERROR(__xludf.DUMMYFUNCTION("""COMPUTED_VALUE"""),"99. Distrito")</f>
        <v>99. Distrito</v>
      </c>
      <c r="H4544" s="55">
        <f ca="1">IFERROR(__xludf.DUMMYFUNCTION("""COMPUTED_VALUE"""),44294)</f>
        <v>44294</v>
      </c>
      <c r="I4544" s="25"/>
      <c r="J4544" s="55" t="str">
        <f ca="1">IFERROR(__xludf.DUMMYFUNCTION("""COMPUTED_VALUE"""),"Alta")</f>
        <v>Alta</v>
      </c>
      <c r="K4544" s="25">
        <f ca="1">IFERROR(__xludf.DUMMYFUNCTION("""COMPUTED_VALUE"""),30)</f>
        <v>30</v>
      </c>
      <c r="L4544" s="62">
        <f ca="1">IFERROR(__xludf.DUMMYFUNCTION("""COMPUTED_VALUE"""),44330)</f>
        <v>44330</v>
      </c>
      <c r="M4544" s="25" t="str">
        <f ca="1">IFERROR(__xludf.DUMMYFUNCTION("""COMPUTED_VALUE"""),"Se han realizado múltiples mesas de trabajo con la empresa férrea y se determinó que para facilitar la integración se elevarán las estaciones del tren y se construirán vagones adicionales de TM. No se requiere trasladar estaciones existentes ni las próxim"&amp;"as a construir.")</f>
        <v>Se han realizado múltiples mesas de trabajo con la empresa férrea y se determinó que para facilitar la integración se elevarán las estaciones del tren y se construirán vagones adicionales de TM. No se requiere trasladar estaciones existentes ni las próximas a construir.</v>
      </c>
      <c r="N4544" s="55">
        <f ca="1">IFERROR(__xludf.DUMMYFUNCTION("""COMPUTED_VALUE"""),44330)</f>
        <v>44330</v>
      </c>
      <c r="O4544" s="25" t="str">
        <f t="shared" ca="1" si="0"/>
        <v>Instituto de Desarrollo Urbano</v>
      </c>
      <c r="P4544" s="25" t="str">
        <f t="shared" si="3"/>
        <v/>
      </c>
      <c r="Q4544" s="25" t="str">
        <f ca="1">IFERROR(__xludf.DUMMYFUNCTION("""COMPUTED_VALUE"""),"Corto plazo")</f>
        <v>Corto plazo</v>
      </c>
      <c r="R4544" s="25"/>
      <c r="S4544" s="55"/>
      <c r="T4544" s="56"/>
      <c r="U4544" s="25"/>
      <c r="V4544" s="25"/>
      <c r="W4544" s="25"/>
      <c r="X4544" s="25"/>
      <c r="Y4544" s="25"/>
      <c r="Z4544" s="25"/>
    </row>
    <row r="4545" spans="1:26" ht="52.5" customHeight="1" x14ac:dyDescent="0.25">
      <c r="A4545" s="25" t="str">
        <f ca="1">IFERROR(__xludf.DUMMYFUNCTION("""COMPUTED_VALUE"""),"Movil343")</f>
        <v>Movil343</v>
      </c>
      <c r="B4545" s="25" t="str">
        <f ca="1">IFERROR(__xludf.DUMMYFUNCTION("""COMPUTED_VALUE"""),"Revisar proyectos IDU")</f>
        <v>Revisar proyectos IDU</v>
      </c>
      <c r="C4545" s="55">
        <f ca="1">IFERROR(__xludf.DUMMYFUNCTION("""COMPUTED_VALUE"""),44264)</f>
        <v>44264</v>
      </c>
      <c r="D4545" s="25" t="str">
        <f ca="1">IFERROR(__xludf.DUMMYFUNCTION("""COMPUTED_VALUE"""),"Movilidad")</f>
        <v>Movilidad</v>
      </c>
      <c r="E4545" s="25" t="str">
        <f ca="1">IFERROR(__xludf.DUMMYFUNCTION("""COMPUTED_VALUE"""),"Instituto de Desarrollo Urbano")</f>
        <v>Instituto de Desarrollo Urbano</v>
      </c>
      <c r="F4545" s="25" t="str">
        <f ca="1">IFERROR(__xludf.DUMMYFUNCTION("""COMPUTED_VALUE"""),"Avanzar en el estudio de prefactibilidad de Regiotram Sur, para definir modo: Regiotram o metro")</f>
        <v>Avanzar en el estudio de prefactibilidad de Regiotram Sur, para definir modo: Regiotram o metro</v>
      </c>
      <c r="G4545" s="25" t="str">
        <f ca="1">IFERROR(__xludf.DUMMYFUNCTION("""COMPUTED_VALUE"""),"99. Distrito")</f>
        <v>99. Distrito</v>
      </c>
      <c r="H4545" s="55">
        <f ca="1">IFERROR(__xludf.DUMMYFUNCTION("""COMPUTED_VALUE"""),44294)</f>
        <v>44294</v>
      </c>
      <c r="I4545" s="25"/>
      <c r="J4545" s="55" t="str">
        <f ca="1">IFERROR(__xludf.DUMMYFUNCTION("""COMPUTED_VALUE"""),"Alta")</f>
        <v>Alta</v>
      </c>
      <c r="K4545" s="25">
        <f ca="1">IFERROR(__xludf.DUMMYFUNCTION("""COMPUTED_VALUE"""),30)</f>
        <v>30</v>
      </c>
      <c r="L4545" s="62">
        <f ca="1">IFERROR(__xludf.DUMMYFUNCTION("""COMPUTED_VALUE"""),44210)</f>
        <v>44210</v>
      </c>
      <c r="M4545" s="25" t="str">
        <f ca="1">IFERROR(__xludf.DUMMYFUNCTION("""COMPUTED_VALUE"""),"Se suscribió el contrato cuyo objeto es: ELABORAR LOS ESTUDIOS DE PREFACTIBILIDAD DEL CORREDOR FÉRREO DEL SUR EN LA MODALIDAD FERROVIARIA Y SU ARTICULACIÓN CON OTROS PROYECTOS DE TRANSPORTE DE LA REGIÓN BOGOTÁ-CUNDINAMARCA, por valor de $5.789 millones co"&amp;"n la firma Ardanuy que fue la adjudicataria del proceso de selección IDU-CMA-SGDU-061-2021.  El plazo de la consultoría es de 13 meses.")</f>
        <v>Se suscribió el contrato cuyo objeto es: ELABORAR LOS ESTUDIOS DE PREFACTIBILIDAD DEL CORREDOR FÉRREO DEL SUR EN LA MODALIDAD FERROVIARIA Y SU ARTICULACIÓN CON OTROS PROYECTOS DE TRANSPORTE DE LA REGIÓN BOGOTÁ-CUNDINAMARCA, por valor de $5.789 millones con la firma Ardanuy que fue la adjudicataria del proceso de selección IDU-CMA-SGDU-061-2021.  El plazo de la consultoría es de 13 meses.</v>
      </c>
      <c r="N4545" s="55">
        <f ca="1">IFERROR(__xludf.DUMMYFUNCTION("""COMPUTED_VALUE"""),44210)</f>
        <v>44210</v>
      </c>
      <c r="O4545" s="25" t="str">
        <f t="shared" ca="1" si="0"/>
        <v>Instituto de Desarrollo Urbano</v>
      </c>
      <c r="P4545" s="25" t="str">
        <f t="shared" si="3"/>
        <v/>
      </c>
      <c r="Q4545" s="25" t="str">
        <f ca="1">IFERROR(__xludf.DUMMYFUNCTION("""COMPUTED_VALUE"""),"Corto plazo")</f>
        <v>Corto plazo</v>
      </c>
      <c r="R4545" s="25"/>
      <c r="S4545" s="55"/>
      <c r="T4545" s="56"/>
      <c r="U4545" s="25"/>
      <c r="V4545" s="25"/>
      <c r="W4545" s="25"/>
      <c r="X4545" s="25"/>
      <c r="Y4545" s="25"/>
      <c r="Z4545" s="25"/>
    </row>
    <row r="4546" spans="1:26" ht="52.5" customHeight="1" x14ac:dyDescent="0.25">
      <c r="A4546" s="25" t="str">
        <f ca="1">IFERROR(__xludf.DUMMYFUNCTION("""COMPUTED_VALUE"""),"Movil344")</f>
        <v>Movil344</v>
      </c>
      <c r="B4546" s="25" t="str">
        <f ca="1">IFERROR(__xludf.DUMMYFUNCTION("""COMPUTED_VALUE"""),"Revisar proyectos IDU")</f>
        <v>Revisar proyectos IDU</v>
      </c>
      <c r="C4546" s="55">
        <f ca="1">IFERROR(__xludf.DUMMYFUNCTION("""COMPUTED_VALUE"""),44264)</f>
        <v>44264</v>
      </c>
      <c r="D4546" s="25" t="str">
        <f ca="1">IFERROR(__xludf.DUMMYFUNCTION("""COMPUTED_VALUE"""),"Movilidad")</f>
        <v>Movilidad</v>
      </c>
      <c r="E4546" s="25" t="str">
        <f ca="1">IFERROR(__xludf.DUMMYFUNCTION("""COMPUTED_VALUE"""),"Instituto de Desarrollo Urbano")</f>
        <v>Instituto de Desarrollo Urbano</v>
      </c>
      <c r="F4546" s="25" t="str">
        <f ca="1">IFERROR(__xludf.DUMMYFUNCTION("""COMPUTED_VALUE"""),"Adelantar los estudios y diseños de la L en Bosa (que llega a Bosa 37 y la Marlene)")</f>
        <v>Adelantar los estudios y diseños de la L en Bosa (que llega a Bosa 37 y la Marlene)</v>
      </c>
      <c r="G4546" s="25" t="str">
        <f ca="1">IFERROR(__xludf.DUMMYFUNCTION("""COMPUTED_VALUE"""),"99. Distrito")</f>
        <v>99. Distrito</v>
      </c>
      <c r="H4546" s="55">
        <f ca="1">IFERROR(__xludf.DUMMYFUNCTION("""COMPUTED_VALUE"""),44294)</f>
        <v>44294</v>
      </c>
      <c r="I4546" s="25"/>
      <c r="J4546" s="55" t="str">
        <f ca="1">IFERROR(__xludf.DUMMYFUNCTION("""COMPUTED_VALUE"""),"Alta")</f>
        <v>Alta</v>
      </c>
      <c r="K4546" s="25">
        <f ca="1">IFERROR(__xludf.DUMMYFUNCTION("""COMPUTED_VALUE"""),30)</f>
        <v>30</v>
      </c>
      <c r="L4546" s="62">
        <f ca="1">IFERROR(__xludf.DUMMYFUNCTION("""COMPUTED_VALUE"""),44407)</f>
        <v>44407</v>
      </c>
      <c r="M4546" s="25" t="str">
        <f ca="1">IFERROR(__xludf.DUMMYFUNCTION("""COMPUTED_VALUE"""),"Se apropiaron 6000 millones para desarrollar estudios y diseños para la Av. Tintal y Av. circunvalar del sur.
La SDM  en el mes de mayo del 2021, efectuó y presentó al IDU, Análisis de impacto y beneficios para la Movilidad a través de la la aplicación d"&amp;"el modelo 4 etapas para la priorización de proyectos  de infraestructura vial en la Localidad de Bosa.
Se  elaboró  el  Modelo  de Transporte  de  Cuatro  Etapas  de  Bogotá  (MTCEB),  para  así  determinar proyectos un  orden de priorización  para  los "&amp;" proyectos  de  infraestructura vial  en  la  localidad  de  Bosa,  en  el suroccidente  del  Distrito.  El  análisis  desarrollado se estructura en  el  marco  de  las  actuaciones  distritales  para  la  intervención  y  mejora de la  conectividad  de  "&amp;"la  localidad  de  Bosa,  y  de  las  piezas  urbanas Campo Verde,  Bosa  37,  La  Marlene, El  Edén y  El  Descanso.
IDU se encuentra desarrollando la prefactibilidad.
Se acordó con los promotores (Cusezar, C. Bolívar y C. Capital) ellos adelantan estu"&amp;"dios y diseños, para lo cual se les remitió el procedimiento para obtener el permiso voluntario para el desarrollo de proyectos de infraestructura en etapa de estudios y diseños. Vías por promotores: calzada occidental de la Av. Bosa entre Av. Guayacanes "&amp;"y Av. Santa fe, Av. Guayacanes entre Av. Bosa y Av. San Bernardino y Av. San Bernardino entre Av. Guayacanes y Av. Santa Fe. 
La Av. Tintal se encuentra en etapa de prefactibilidad la cual se desarrolla In House en la Dirección Técnica de Proyectos del I"&amp;"DU.")</f>
        <v>Se apropiaron 6000 millones para desarrollar estudios y diseños para la Av. Tintal y Av. circunvalar del sur.
La SDM  en el mes de mayo del 2021, efectuó y presentó al IDU, Análisis de impacto y beneficios para la Movilidad a través de la la aplicación del modelo 4 etapas para la priorización de proyectos  de infraestructura vial en la Localidad de Bosa.
Se  elaboró  el  Modelo  de Transporte  de  Cuatro  Etapas  de  Bogotá  (MTCEB),  para  así  determinar proyectos un  orden de priorización  para  los  proyectos  de  infraestructura vial  en  la  localidad  de  Bosa,  en  el suroccidente  del  Distrito.  El  análisis  desarrollado se estructura en  el  marco  de  las  actuaciones  distritales  para  la  intervención  y  mejora de la  conectividad  de  la  localidad  de  Bosa,  y  de  las  piezas  urbanas Campo Verde,  Bosa  37,  La  Marlene, El  Edén y  El  Descanso.
IDU se encuentra desarrollando la prefactibilidad.
Se acordó con los promotores (Cusezar, C. Bolívar y C. Capital) ellos adelantan estudios y diseños, para lo cual se les remitió el procedimiento para obtener el permiso voluntario para el desarrollo de proyectos de infraestructura en etapa de estudios y diseños. Vías por promotores: calzada occidental de la Av. Bosa entre Av. Guayacanes y Av. Santa fe, Av. Guayacanes entre Av. Bosa y Av. San Bernardino y Av. San Bernardino entre Av. Guayacanes y Av. Santa Fe. 
La Av. Tintal se encuentra en etapa de prefactibilidad la cual se desarrolla In House en la Dirección Técnica de Proyectos del IDU.</v>
      </c>
      <c r="N4546" s="55">
        <f ca="1">IFERROR(__xludf.DUMMYFUNCTION("""COMPUTED_VALUE"""),44407)</f>
        <v>44407</v>
      </c>
      <c r="O4546" s="25" t="str">
        <f t="shared" ca="1" si="0"/>
        <v>Instituto de Desarrollo Urbano</v>
      </c>
      <c r="P4546" s="25" t="str">
        <f t="shared" si="3"/>
        <v/>
      </c>
      <c r="Q4546" s="25" t="str">
        <f ca="1">IFERROR(__xludf.DUMMYFUNCTION("""COMPUTED_VALUE"""),"Corto plazo")</f>
        <v>Corto plazo</v>
      </c>
      <c r="R4546" s="25"/>
      <c r="S4546" s="55"/>
      <c r="T4546" s="56"/>
      <c r="U4546" s="25"/>
      <c r="V4546" s="25"/>
      <c r="W4546" s="25"/>
      <c r="X4546" s="25"/>
      <c r="Y4546" s="25"/>
      <c r="Z4546" s="25"/>
    </row>
    <row r="4547" spans="1:26" ht="52.5" customHeight="1" x14ac:dyDescent="0.25">
      <c r="A4547" s="25" t="str">
        <f ca="1">IFERROR(__xludf.DUMMYFUNCTION("""COMPUTED_VALUE"""),"Movil345")</f>
        <v>Movil345</v>
      </c>
      <c r="B4547" s="25" t="str">
        <f ca="1">IFERROR(__xludf.DUMMYFUNCTION("""COMPUTED_VALUE"""),"Revisar proyectos IDU")</f>
        <v>Revisar proyectos IDU</v>
      </c>
      <c r="C4547" s="55">
        <f ca="1">IFERROR(__xludf.DUMMYFUNCTION("""COMPUTED_VALUE"""),44264)</f>
        <v>44264</v>
      </c>
      <c r="D4547" s="25" t="str">
        <f ca="1">IFERROR(__xludf.DUMMYFUNCTION("""COMPUTED_VALUE"""),"Movilidad")</f>
        <v>Movilidad</v>
      </c>
      <c r="E4547" s="25" t="str">
        <f ca="1">IFERROR(__xludf.DUMMYFUNCTION("""COMPUTED_VALUE"""),"Instituto de Desarrollo Urbano")</f>
        <v>Instituto de Desarrollo Urbano</v>
      </c>
      <c r="F4547" s="25" t="str">
        <f ca="1">IFERROR(__xludf.DUMMYFUNCTION("""COMPUTED_VALUE"""),"Revisar el trazado de la ciclorruta en la Autopista norte, en la APP de accesos norte")</f>
        <v>Revisar el trazado de la ciclorruta en la Autopista norte, en la APP de accesos norte</v>
      </c>
      <c r="G4547" s="25" t="str">
        <f ca="1">IFERROR(__xludf.DUMMYFUNCTION("""COMPUTED_VALUE"""),"99. Distrito")</f>
        <v>99. Distrito</v>
      </c>
      <c r="H4547" s="55">
        <f ca="1">IFERROR(__xludf.DUMMYFUNCTION("""COMPUTED_VALUE"""),44294)</f>
        <v>44294</v>
      </c>
      <c r="I4547" s="25"/>
      <c r="J4547" s="55" t="str">
        <f ca="1">IFERROR(__xludf.DUMMYFUNCTION("""COMPUTED_VALUE"""),"Alta")</f>
        <v>Alta</v>
      </c>
      <c r="K4547" s="25">
        <f ca="1">IFERROR(__xludf.DUMMYFUNCTION("""COMPUTED_VALUE"""),30)</f>
        <v>30</v>
      </c>
      <c r="L4547" s="62">
        <f ca="1">IFERROR(__xludf.DUMMYFUNCTION("""COMPUTED_VALUE"""),44298)</f>
        <v>44298</v>
      </c>
      <c r="M4547" s="25" t="str">
        <f ca="1">IFERROR(__xludf.DUMMYFUNCTION("""COMPUTED_VALUE"""),"Mediante radicado IDU 20202051085761 del 24 de diciembre de 2020, el IDU remitió a la ANI las especificaciones técnicas y el trazado propuesto para la Cicloruta provisional en el costado occidental de la autopista norte, para ser incorporado como factor d"&amp;"e calidad en el proceso de selección del proyecto Accesos Norte II. El proyecto fue publicado en prepliegos, con dichas condiciones establecidas. Se espera la apertura definitiva del proceso el 15 de abril de 2021, pero el compromiso ya de encuentro cumpl"&amp;"ido al 100%")</f>
        <v>Mediante radicado IDU 20202051085761 del 24 de diciembre de 2020, el IDU remitió a la ANI las especificaciones técnicas y el trazado propuesto para la Cicloruta provisional en el costado occidental de la autopista norte, para ser incorporado como factor de calidad en el proceso de selección del proyecto Accesos Norte II. El proyecto fue publicado en prepliegos, con dichas condiciones establecidas. Se espera la apertura definitiva del proceso el 15 de abril de 2021, pero el compromiso ya de encuentro cumplido al 100%</v>
      </c>
      <c r="N4547" s="55">
        <f ca="1">IFERROR(__xludf.DUMMYFUNCTION("""COMPUTED_VALUE"""),44298)</f>
        <v>44298</v>
      </c>
      <c r="O4547" s="25" t="str">
        <f t="shared" ca="1" si="0"/>
        <v>Instituto de Desarrollo Urbano</v>
      </c>
      <c r="P4547" s="25" t="str">
        <f t="shared" si="3"/>
        <v/>
      </c>
      <c r="Q4547" s="25" t="str">
        <f ca="1">IFERROR(__xludf.DUMMYFUNCTION("""COMPUTED_VALUE"""),"Corto plazo")</f>
        <v>Corto plazo</v>
      </c>
      <c r="R4547" s="25"/>
      <c r="S4547" s="55"/>
      <c r="T4547" s="56"/>
      <c r="U4547" s="25"/>
      <c r="V4547" s="25"/>
      <c r="W4547" s="25"/>
      <c r="X4547" s="25"/>
      <c r="Y4547" s="25"/>
      <c r="Z4547" s="25"/>
    </row>
    <row r="4548" spans="1:26" ht="52.5" customHeight="1" x14ac:dyDescent="0.25">
      <c r="A4548" s="25" t="str">
        <f ca="1">IFERROR(__xludf.DUMMYFUNCTION("""COMPUTED_VALUE"""),"Movil346")</f>
        <v>Movil346</v>
      </c>
      <c r="B4548" s="25" t="str">
        <f ca="1">IFERROR(__xludf.DUMMYFUNCTION("""COMPUTED_VALUE"""),"Revisar proyectos IDU")</f>
        <v>Revisar proyectos IDU</v>
      </c>
      <c r="C4548" s="55">
        <f ca="1">IFERROR(__xludf.DUMMYFUNCTION("""COMPUTED_VALUE"""),44264)</f>
        <v>44264</v>
      </c>
      <c r="D4548" s="25" t="str">
        <f ca="1">IFERROR(__xludf.DUMMYFUNCTION("""COMPUTED_VALUE"""),"Movilidad")</f>
        <v>Movilidad</v>
      </c>
      <c r="E4548" s="25" t="str">
        <f ca="1">IFERROR(__xludf.DUMMYFUNCTION("""COMPUTED_VALUE"""),"Instituto de Desarrollo Urbano")</f>
        <v>Instituto de Desarrollo Urbano</v>
      </c>
      <c r="F4548" s="25" t="str">
        <f ca="1">IFERROR(__xludf.DUMMYFUNCTION("""COMPUTED_VALUE"""),"Programar reunión Steer Davies + SDM + IDU + DADEP +EMB, para concretar piloto del proyecto Bogotá a Pie")</f>
        <v>Programar reunión Steer Davies + SDM + IDU + DADEP +EMB, para concretar piloto del proyecto Bogotá a Pie</v>
      </c>
      <c r="G4548" s="25" t="str">
        <f ca="1">IFERROR(__xludf.DUMMYFUNCTION("""COMPUTED_VALUE"""),"99. Distrito")</f>
        <v>99. Distrito</v>
      </c>
      <c r="H4548" s="55">
        <f ca="1">IFERROR(__xludf.DUMMYFUNCTION("""COMPUTED_VALUE"""),44294)</f>
        <v>44294</v>
      </c>
      <c r="I4548" s="25"/>
      <c r="J4548" s="55" t="str">
        <f ca="1">IFERROR(__xludf.DUMMYFUNCTION("""COMPUTED_VALUE"""),"Alta")</f>
        <v>Alta</v>
      </c>
      <c r="K4548" s="25">
        <f ca="1">IFERROR(__xludf.DUMMYFUNCTION("""COMPUTED_VALUE"""),30)</f>
        <v>30</v>
      </c>
      <c r="L4548" s="62">
        <f ca="1">IFERROR(__xludf.DUMMYFUNCTION("""COMPUTED_VALUE"""),44298)</f>
        <v>44298</v>
      </c>
      <c r="M4548" s="25" t="str">
        <f ca="1">IFERROR(__xludf.DUMMYFUNCTION("""COMPUTED_VALUE"""),"El 31 de marzo el director general convocó a una reunión con las entidades indicadas. En dicha reunión el DADEP se comprometió a entregar la información disponible a la firma STEER. De aquí en adelante es un tema que debe liderar la SDM como cabeza de sec"&amp;"tor en su subdirección del peatón y la bicicleta.")</f>
        <v>El 31 de marzo el director general convocó a una reunión con las entidades indicadas. En dicha reunión el DADEP se comprometió a entregar la información disponible a la firma STEER. De aquí en adelante es un tema que debe liderar la SDM como cabeza de sector en su subdirección del peatón y la bicicleta.</v>
      </c>
      <c r="N4548" s="55">
        <f ca="1">IFERROR(__xludf.DUMMYFUNCTION("""COMPUTED_VALUE"""),44298)</f>
        <v>44298</v>
      </c>
      <c r="O4548" s="25" t="str">
        <f t="shared" ca="1" si="0"/>
        <v>Instituto de Desarrollo Urbano</v>
      </c>
      <c r="P4548" s="25" t="str">
        <f t="shared" si="3"/>
        <v/>
      </c>
      <c r="Q4548" s="25" t="str">
        <f ca="1">IFERROR(__xludf.DUMMYFUNCTION("""COMPUTED_VALUE"""),"Corto plazo")</f>
        <v>Corto plazo</v>
      </c>
      <c r="R4548" s="25"/>
      <c r="S4548" s="55"/>
      <c r="T4548" s="56"/>
      <c r="U4548" s="25"/>
      <c r="V4548" s="25"/>
      <c r="W4548" s="25"/>
      <c r="X4548" s="25"/>
      <c r="Y4548" s="25"/>
      <c r="Z4548" s="25"/>
    </row>
    <row r="4549" spans="1:26" ht="52.5" customHeight="1" x14ac:dyDescent="0.25">
      <c r="A4549" s="25" t="str">
        <f ca="1">IFERROR(__xludf.DUMMYFUNCTION("""COMPUTED_VALUE"""),"Movil347")</f>
        <v>Movil347</v>
      </c>
      <c r="B4549" s="25" t="str">
        <f ca="1">IFERROR(__xludf.DUMMYFUNCTION("""COMPUTED_VALUE"""),"Infraestructura - TAR Metro, troncales y avalúos catastrales con alcaldesa")</f>
        <v>Infraestructura - TAR Metro, troncales y avalúos catastrales con alcaldesa</v>
      </c>
      <c r="C4549" s="55">
        <f ca="1">IFERROR(__xludf.DUMMYFUNCTION("""COMPUTED_VALUE"""),44264)</f>
        <v>44264</v>
      </c>
      <c r="D4549" s="25" t="str">
        <f ca="1">IFERROR(__xludf.DUMMYFUNCTION("""COMPUTED_VALUE"""),"Movilidad")</f>
        <v>Movilidad</v>
      </c>
      <c r="E4549" s="25" t="str">
        <f ca="1">IFERROR(__xludf.DUMMYFUNCTION("""COMPUTED_VALUE"""),"Instituto de Desarrollo Urbano")</f>
        <v>Instituto de Desarrollo Urbano</v>
      </c>
      <c r="F4549" s="25" t="str">
        <f ca="1">IFERROR(__xludf.DUMMYFUNCTION("""COMPUTED_VALUE"""),"Solicitar adición de recursos para catastro o, alternativamente realizar la contratación de los avalúos, que la entidad no pueda atender")</f>
        <v>Solicitar adición de recursos para catastro o, alternativamente realizar la contratación de los avalúos, que la entidad no pueda atender</v>
      </c>
      <c r="G4549" s="25" t="str">
        <f ca="1">IFERROR(__xludf.DUMMYFUNCTION("""COMPUTED_VALUE"""),"99. Distrito")</f>
        <v>99. Distrito</v>
      </c>
      <c r="H4549" s="55">
        <f ca="1">IFERROR(__xludf.DUMMYFUNCTION("""COMPUTED_VALUE"""),44294)</f>
        <v>44294</v>
      </c>
      <c r="I4549" s="25"/>
      <c r="J4549" s="55" t="str">
        <f ca="1">IFERROR(__xludf.DUMMYFUNCTION("""COMPUTED_VALUE"""),"Alta")</f>
        <v>Alta</v>
      </c>
      <c r="K4549" s="25">
        <f ca="1">IFERROR(__xludf.DUMMYFUNCTION("""COMPUTED_VALUE"""),30)</f>
        <v>30</v>
      </c>
      <c r="L4549" s="62">
        <f ca="1">IFERROR(__xludf.DUMMYFUNCTION("""COMPUTED_VALUE"""),44377)</f>
        <v>44377</v>
      </c>
      <c r="M4549" s="25" t="str">
        <f ca="1">IFERROR(__xludf.DUMMYFUNCTION("""COMPUTED_VALUE"""),"El contrato interadministrativo entre UAECD e IDU-DTDP para la realización de los avalúos de METRO - ANEXO 2, se suscribió y su ejecución inició en el mes de enero de 2021. Actualmente se adelanta la elaboración de los avalúos requeridos para el anexo men"&amp;"cionado.
 Por parte de la EMB, en el marco del contrato con la Unidad Administrativa Especial de Catastro Distrital – UAECD –, se han solicitado 57 avalúos comerciales y los avalúos de referencia requeridos, asociados al ramal técnico.")</f>
        <v>El contrato interadministrativo entre UAECD e IDU-DTDP para la realización de los avalúos de METRO - ANEXO 2, se suscribió y su ejecución inició en el mes de enero de 2021. Actualmente se adelanta la elaboración de los avalúos requeridos para el anexo mencionado.
 Por parte de la EMB, en el marco del contrato con la Unidad Administrativa Especial de Catastro Distrital – UAECD –, se han solicitado 57 avalúos comerciales y los avalúos de referencia requeridos, asociados al ramal técnico.</v>
      </c>
      <c r="N4549" s="55">
        <f ca="1">IFERROR(__xludf.DUMMYFUNCTION("""COMPUTED_VALUE"""),44377)</f>
        <v>44377</v>
      </c>
      <c r="O4549" s="25" t="str">
        <f t="shared" ca="1" si="0"/>
        <v>Instituto de Desarrollo Urbano</v>
      </c>
      <c r="P4549" s="25" t="str">
        <f t="shared" si="3"/>
        <v/>
      </c>
      <c r="Q4549" s="25" t="str">
        <f ca="1">IFERROR(__xludf.DUMMYFUNCTION("""COMPUTED_VALUE"""),"Corto plazo")</f>
        <v>Corto plazo</v>
      </c>
      <c r="R4549" s="25"/>
      <c r="S4549" s="55"/>
      <c r="T4549" s="56"/>
      <c r="U4549" s="25"/>
      <c r="V4549" s="25"/>
      <c r="W4549" s="25"/>
      <c r="X4549" s="25"/>
      <c r="Y4549" s="25"/>
      <c r="Z4549" s="25"/>
    </row>
    <row r="4550" spans="1:26" ht="52.5" customHeight="1" x14ac:dyDescent="0.25">
      <c r="A4550" s="25" t="str">
        <f ca="1">IFERROR(__xludf.DUMMYFUNCTION("""COMPUTED_VALUE"""),"Movil348")</f>
        <v>Movil348</v>
      </c>
      <c r="B4550" s="25" t="str">
        <f ca="1">IFERROR(__xludf.DUMMYFUNCTION("""COMPUTED_VALUE"""),"Infraestructura - TAR Metro, troncales y avalúos catastrales con alcaldesa")</f>
        <v>Infraestructura - TAR Metro, troncales y avalúos catastrales con alcaldesa</v>
      </c>
      <c r="C4550" s="55">
        <f ca="1">IFERROR(__xludf.DUMMYFUNCTION("""COMPUTED_VALUE"""),44264)</f>
        <v>44264</v>
      </c>
      <c r="D4550" s="25" t="str">
        <f ca="1">IFERROR(__xludf.DUMMYFUNCTION("""COMPUTED_VALUE"""),"Movilidad")</f>
        <v>Movilidad</v>
      </c>
      <c r="E4550" s="25" t="str">
        <f ca="1">IFERROR(__xludf.DUMMYFUNCTION("""COMPUTED_VALUE"""),"Instituto de Desarrollo Urbano")</f>
        <v>Instituto de Desarrollo Urbano</v>
      </c>
      <c r="F4550" s="25" t="str">
        <f ca="1">IFERROR(__xludf.DUMMYFUNCTION("""COMPUTED_VALUE"""),"TRONCAL 68:
 2. Determinar dónde se pueden trasladar los 25 recicladores identificados para dar solución al aspecto laboral y a través del IDU la solución vivienda")</f>
        <v>TRONCAL 68:
 2. Determinar dónde se pueden trasladar los 25 recicladores identificados para dar solución al aspecto laboral y a través del IDU la solución vivienda</v>
      </c>
      <c r="G4550" s="25" t="str">
        <f ca="1">IFERROR(__xludf.DUMMYFUNCTION("""COMPUTED_VALUE"""),"99. Distrito")</f>
        <v>99. Distrito</v>
      </c>
      <c r="H4550" s="55">
        <f ca="1">IFERROR(__xludf.DUMMYFUNCTION("""COMPUTED_VALUE"""),44294)</f>
        <v>44294</v>
      </c>
      <c r="I4550" s="25"/>
      <c r="J4550" s="55" t="str">
        <f ca="1">IFERROR(__xludf.DUMMYFUNCTION("""COMPUTED_VALUE"""),"Alta")</f>
        <v>Alta</v>
      </c>
      <c r="K4550" s="25">
        <f ca="1">IFERROR(__xludf.DUMMYFUNCTION("""COMPUTED_VALUE"""),30)</f>
        <v>30</v>
      </c>
      <c r="L4550" s="62">
        <f ca="1">IFERROR(__xludf.DUMMYFUNCTION("""COMPUTED_VALUE"""),44623)</f>
        <v>44623</v>
      </c>
      <c r="M4550" s="25" t="str">
        <f ca="1">IFERROR(__xludf.DUMMYFUNCTION("""COMPUTED_VALUE"""),"IDU va a pagar 29 mejoras o construcciones que se requieren para la obra. De estas 29, hay 5 personas que ejercen reciclaje de las cuales 3 en bodegas y 2 en espacio público. Las compras se estiman para mayo - junio 2022")</f>
        <v>IDU va a pagar 29 mejoras o construcciones que se requieren para la obra. De estas 29, hay 5 personas que ejercen reciclaje de las cuales 3 en bodegas y 2 en espacio público. Las compras se estiman para mayo - junio 2022</v>
      </c>
      <c r="N4550" s="55">
        <f ca="1">IFERROR(__xludf.DUMMYFUNCTION("""COMPUTED_VALUE"""),44623)</f>
        <v>44623</v>
      </c>
      <c r="O4550" s="25" t="str">
        <f t="shared" ca="1" si="0"/>
        <v>Instituto de Desarrollo Urbano</v>
      </c>
      <c r="P4550" s="25" t="str">
        <f t="shared" si="3"/>
        <v/>
      </c>
      <c r="Q4550" s="25" t="str">
        <f ca="1">IFERROR(__xludf.DUMMYFUNCTION("""COMPUTED_VALUE"""),"Corto plazo")</f>
        <v>Corto plazo</v>
      </c>
      <c r="R4550" s="25"/>
      <c r="S4550" s="55"/>
      <c r="T4550" s="56"/>
      <c r="U4550" s="25"/>
      <c r="V4550" s="25"/>
      <c r="W4550" s="25"/>
      <c r="X4550" s="25"/>
      <c r="Y4550" s="25"/>
      <c r="Z4550" s="25"/>
    </row>
    <row r="4551" spans="1:26" ht="52.5" customHeight="1" x14ac:dyDescent="0.25">
      <c r="A4551" s="25" t="str">
        <f ca="1">IFERROR(__xludf.DUMMYFUNCTION("""COMPUTED_VALUE"""),"Movil349")</f>
        <v>Movil349</v>
      </c>
      <c r="B4551" s="25" t="str">
        <f ca="1">IFERROR(__xludf.DUMMYFUNCTION("""COMPUTED_VALUE"""),"Evasión Transmilenio")</f>
        <v>Evasión Transmilenio</v>
      </c>
      <c r="C4551" s="55">
        <f ca="1">IFERROR(__xludf.DUMMYFUNCTION("""COMPUTED_VALUE"""),44259)</f>
        <v>44259</v>
      </c>
      <c r="D4551" s="25" t="str">
        <f ca="1">IFERROR(__xludf.DUMMYFUNCTION("""COMPUTED_VALUE"""),"Movilidad")</f>
        <v>Movilidad</v>
      </c>
      <c r="E4551" s="25" t="str">
        <f ca="1">IFERROR(__xludf.DUMMYFUNCTION("""COMPUTED_VALUE"""),"Empresa de Transporte del Tercer Milenio - Transmilenio S.A.")</f>
        <v>Empresa de Transporte del Tercer Milenio - Transmilenio S.A.</v>
      </c>
      <c r="F4551" s="25" t="str">
        <f ca="1">IFERROR(__xludf.DUMMYFUNCTION("""COMPUTED_VALUE"""),"- Agilizar puesta en marcha operación eco transmi")</f>
        <v>- Agilizar puesta en marcha operación eco transmi</v>
      </c>
      <c r="G4551" s="25" t="str">
        <f ca="1">IFERROR(__xludf.DUMMYFUNCTION("""COMPUTED_VALUE"""),"99. Distrito")</f>
        <v>99. Distrito</v>
      </c>
      <c r="H4551" s="55">
        <f ca="1">IFERROR(__xludf.DUMMYFUNCTION("""COMPUTED_VALUE"""),44289)</f>
        <v>44289</v>
      </c>
      <c r="I4551" s="25"/>
      <c r="J4551" s="55" t="str">
        <f ca="1">IFERROR(__xludf.DUMMYFUNCTION("""COMPUTED_VALUE"""),"Alta")</f>
        <v>Alta</v>
      </c>
      <c r="K4551" s="25">
        <f ca="1">IFERROR(__xludf.DUMMYFUNCTION("""COMPUTED_VALUE"""),30)</f>
        <v>30</v>
      </c>
      <c r="L4551" s="62">
        <f ca="1">IFERROR(__xludf.DUMMYFUNCTION("""COMPUTED_VALUE"""),44299)</f>
        <v>44299</v>
      </c>
      <c r="M4551" s="25" t="str">
        <f ca="1">IFERROR(__xludf.DUMMYFUNCTION("""COMPUTED_VALUE"""),"En la actualidad el proyecto Eco TransMi tiene dos año de funcionamiento con 12 máquinas en las estaciones y portales de: Toberín, Alcalá, Mirador del Paraíso (TransMiCable), Calle 187, Portal Sur, Portal Usme, Portal Tunal, Portal Américas, Portal Dorado"&amp;", Portal 2O de Julio, Portal Suba, Centro Comercial Portal 80. Donde mensual se capta 1.5 toneladas de material reciclable que no va al relleno y en total durante la operación de este proyecto llevamos 30 toneladas captadas.
En cuanto al proceso de avance"&amp;" en la integración tecnológica, nos encontramos en la fase de revisión de contratos y ya los están revisando en el área jurídica de RB. Asimismo estamos en el proceso para la liberación la primera semana de junio del 
 API para windows, que ya está lista"&amp;" pero no hay ambiente de pruebas. 
 API para LINUX, en desarrollo por parte de RB
 Documento de especificaciones detalladas para que las empresas hagan su desarrollo. RB entregará la siguiente semana.
 Ya hay asignados equipos de desarrollo y a la espe"&amp;"ra de confirmar fecha de terminación.
 De las dificultades existentes aparte del vandalismo que ha implicado recorte de tiempo del equipo de RB, tememos el proyecto de migración a la nube que implicó suspender hasta el 15 de junio los ambientes de prueba"&amp;"s,")</f>
        <v>En la actualidad el proyecto Eco TransMi tiene dos año de funcionamiento con 12 máquinas en las estaciones y portales de: Toberín, Alcalá, Mirador del Paraíso (TransMiCable), Calle 187, Portal Sur, Portal Usme, Portal Tunal, Portal Américas, Portal Dorado, Portal 2O de Julio, Portal Suba, Centro Comercial Portal 80. Donde mensual se capta 1.5 toneladas de material reciclable que no va al relleno y en total durante la operación de este proyecto llevamos 30 toneladas captadas.
En cuanto al proceso de avance en la integración tecnológica, nos encontramos en la fase de revisión de contratos y ya los están revisando en el área jurídica de RB. Asimismo estamos en el proceso para la liberación la primera semana de junio del 
 API para windows, que ya está lista pero no hay ambiente de pruebas. 
 API para LINUX, en desarrollo por parte de RB
 Documento de especificaciones detalladas para que las empresas hagan su desarrollo. RB entregará la siguiente semana.
 Ya hay asignados equipos de desarrollo y a la espera de confirmar fecha de terminación.
 De las dificultades existentes aparte del vandalismo que ha implicado recorte de tiempo del equipo de RB, tememos el proyecto de migración a la nube que implicó suspender hasta el 15 de junio los ambientes de pruebas,</v>
      </c>
      <c r="N4551" s="55">
        <f ca="1">IFERROR(__xludf.DUMMYFUNCTION("""COMPUTED_VALUE"""),44299)</f>
        <v>44299</v>
      </c>
      <c r="O4551" s="25" t="str">
        <f t="shared" ca="1" si="0"/>
        <v>Empresa de Transporte del Tercer Milenio - Transmilenio S.A.</v>
      </c>
      <c r="P4551" s="25" t="str">
        <f t="shared" si="3"/>
        <v/>
      </c>
      <c r="Q4551" s="25" t="str">
        <f ca="1">IFERROR(__xludf.DUMMYFUNCTION("""COMPUTED_VALUE"""),"Corto plazo")</f>
        <v>Corto plazo</v>
      </c>
      <c r="R4551" s="25"/>
      <c r="S4551" s="55"/>
      <c r="T4551" s="56"/>
      <c r="U4551" s="25"/>
      <c r="V4551" s="25"/>
      <c r="W4551" s="25"/>
      <c r="X4551" s="25"/>
      <c r="Y4551" s="25"/>
      <c r="Z4551" s="25"/>
    </row>
    <row r="4552" spans="1:26" ht="52.5" customHeight="1" x14ac:dyDescent="0.25">
      <c r="A4552" s="25" t="str">
        <f ca="1">IFERROR(__xludf.DUMMYFUNCTION("""COMPUTED_VALUE"""),"Movil350")</f>
        <v>Movil350</v>
      </c>
      <c r="B4552" s="25" t="str">
        <f ca="1">IFERROR(__xludf.DUMMYFUNCTION("""COMPUTED_VALUE"""),"Evasión Transmilenio")</f>
        <v>Evasión Transmilenio</v>
      </c>
      <c r="C4552" s="55">
        <f ca="1">IFERROR(__xludf.DUMMYFUNCTION("""COMPUTED_VALUE"""),44259)</f>
        <v>44259</v>
      </c>
      <c r="D4552" s="25" t="str">
        <f ca="1">IFERROR(__xludf.DUMMYFUNCTION("""COMPUTED_VALUE"""),"Movilidad")</f>
        <v>Movilidad</v>
      </c>
      <c r="E4552" s="25" t="str">
        <f ca="1">IFERROR(__xludf.DUMMYFUNCTION("""COMPUTED_VALUE"""),"Empresa de Transporte del Tercer Milenio - Transmilenio S.A.")</f>
        <v>Empresa de Transporte del Tercer Milenio - Transmilenio S.A.</v>
      </c>
      <c r="F4552" s="25" t="str">
        <f ca="1">IFERROR(__xludf.DUMMYFUNCTION("""COMPUTED_VALUE"""),"- Incluir pagador de Bogotá Solidaria que preste el servicio de recarga a 0 pesos. (Prioritaria)")</f>
        <v>- Incluir pagador de Bogotá Solidaria que preste el servicio de recarga a 0 pesos. (Prioritaria)</v>
      </c>
      <c r="G4552" s="25" t="str">
        <f ca="1">IFERROR(__xludf.DUMMYFUNCTION("""COMPUTED_VALUE"""),"99. Distrito")</f>
        <v>99. Distrito</v>
      </c>
      <c r="H4552" s="55">
        <f ca="1">IFERROR(__xludf.DUMMYFUNCTION("""COMPUTED_VALUE"""),44289)</f>
        <v>44289</v>
      </c>
      <c r="I4552" s="25"/>
      <c r="J4552" s="55" t="str">
        <f ca="1">IFERROR(__xludf.DUMMYFUNCTION("""COMPUTED_VALUE"""),"Alta")</f>
        <v>Alta</v>
      </c>
      <c r="K4552" s="25">
        <f ca="1">IFERROR(__xludf.DUMMYFUNCTION("""COMPUTED_VALUE"""),30)</f>
        <v>30</v>
      </c>
      <c r="L4552" s="62">
        <f ca="1">IFERROR(__xludf.DUMMYFUNCTION("""COMPUTED_VALUE"""),44468)</f>
        <v>44468</v>
      </c>
      <c r="M4552" s="25" t="str">
        <f ca="1">IFERROR(__xludf.DUMMYFUNCTION("""COMPUTED_VALUE"""),"Se tuvo una reunión con billetera electrónica móvil y secretaría de hacienda, explorando 2 temas: 
1. Las razones por el no acuerdo con Recaudo Bogotá (RB) hace dos años y buscar alternativas con hacienda en esta integración, validar costos de transaccion"&amp;"alidad y explorar su pago por parte de hacienda. 
2. Nuevas servicios a los usuarios que puedan explorarse desde el ecosistema de pagos de móvil, por ejemplo, un bolsillo de transporte público. 
Se adelantó una primera mesa con personal de Gobierno Abiert"&amp;"o de Bogotá (GABO) para explorar posibilidades y necesidades de gestión interinstitucional, encaminadas a lograr la integración de la recarga de la tarjeta TuLlave con las aplicaciones de GABO, de una manera interoperable que facilite el seguimiento de la"&amp;"s recargas y la actividad de los ciudadanos. En este sentido, se acordó iniciar mesas de trabajo con el concesionario del SIRCI, RB, para contemplar alternativas técnicas y económicas para materializar el proyecto. Se concluye que se debe explorar la posi"&amp;"bilidad de realizar esta integración sin sobrecostos financieros, o en su defecto evaluar el impacto de dichos costos considerando la integración vigente con la billetera electrónica Tuya. 
Actualmente el concesionario RB se encuentra revisando alternati"&amp;"vas y explorando la viabilidad de vincular las aplicaciones del distrito, y en el marco de la iniciativa Bogotá Solidaria, la billetera electrónica con la que actualmente trabaja en materia de recargas web.  RB continua revisando alternativas y explorando"&amp;" la viabilidad de vincular a las aplicaciones del distrito.")</f>
        <v>Se tuvo una reunión con billetera electrónica móvil y secretaría de hacienda, explorando 2 temas: 
1. Las razones por el no acuerdo con Recaudo Bogotá (RB) hace dos años y buscar alternativas con hacienda en esta integración, validar costos de transaccionalidad y explorar su pago por parte de hacienda. 
2. Nuevas servicios a los usuarios que puedan explorarse desde el ecosistema de pagos de móvil, por ejemplo, un bolsillo de transporte público. 
Se adelantó una primera mesa con personal de Gobierno Abierto de Bogotá (GABO) para explorar posibilidades y necesidades de gestión interinstitucional, encaminadas a lograr la integración de la recarga de la tarjeta TuLlave con las aplicaciones de GABO, de una manera interoperable que facilite el seguimiento de las recargas y la actividad de los ciudadanos. En este sentido, se acordó iniciar mesas de trabajo con el concesionario del SIRCI, RB, para contemplar alternativas técnicas y económicas para materializar el proyecto. Se concluye que se debe explorar la posibilidad de realizar esta integración sin sobrecostos financieros, o en su defecto evaluar el impacto de dichos costos considerando la integración vigente con la billetera electrónica Tuya. 
Actualmente el concesionario RB se encuentra revisando alternativas y explorando la viabilidad de vincular las aplicaciones del distrito, y en el marco de la iniciativa Bogotá Solidaria, la billetera electrónica con la que actualmente trabaja en materia de recargas web.  RB continua revisando alternativas y explorando la viabilidad de vincular a las aplicaciones del distrito.</v>
      </c>
      <c r="N4552" s="55">
        <f ca="1">IFERROR(__xludf.DUMMYFUNCTION("""COMPUTED_VALUE"""),44468)</f>
        <v>44468</v>
      </c>
      <c r="O4552" s="25" t="str">
        <f t="shared" ca="1" si="0"/>
        <v>Empresa de Transporte del Tercer Milenio - Transmilenio S.A.</v>
      </c>
      <c r="P4552" s="25" t="str">
        <f t="shared" si="3"/>
        <v/>
      </c>
      <c r="Q4552" s="25" t="str">
        <f ca="1">IFERROR(__xludf.DUMMYFUNCTION("""COMPUTED_VALUE"""),"Corto plazo")</f>
        <v>Corto plazo</v>
      </c>
      <c r="R4552" s="25"/>
      <c r="S4552" s="55"/>
      <c r="T4552" s="56"/>
      <c r="U4552" s="25"/>
      <c r="V4552" s="25"/>
      <c r="W4552" s="25"/>
      <c r="X4552" s="25"/>
      <c r="Y4552" s="25"/>
      <c r="Z4552" s="25"/>
    </row>
    <row r="4553" spans="1:26" ht="52.5" customHeight="1" x14ac:dyDescent="0.25">
      <c r="A4553" s="25" t="str">
        <f ca="1">IFERROR(__xludf.DUMMYFUNCTION("""COMPUTED_VALUE"""),"Movil351")</f>
        <v>Movil351</v>
      </c>
      <c r="B4553" s="25" t="str">
        <f ca="1">IFERROR(__xludf.DUMMYFUNCTION("""COMPUTED_VALUE"""),"Evasión Transmilenio")</f>
        <v>Evasión Transmilenio</v>
      </c>
      <c r="C4553" s="55">
        <f ca="1">IFERROR(__xludf.DUMMYFUNCTION("""COMPUTED_VALUE"""),44259)</f>
        <v>44259</v>
      </c>
      <c r="D4553" s="25" t="str">
        <f ca="1">IFERROR(__xludf.DUMMYFUNCTION("""COMPUTED_VALUE"""),"Movilidad")</f>
        <v>Movilidad</v>
      </c>
      <c r="E4553" s="25" t="str">
        <f ca="1">IFERROR(__xludf.DUMMYFUNCTION("""COMPUTED_VALUE"""),"Empresa de Transporte del Tercer Milenio - Transmilenio S.A.")</f>
        <v>Empresa de Transporte del Tercer Milenio - Transmilenio S.A.</v>
      </c>
      <c r="F4553" s="25" t="str">
        <f ca="1">IFERROR(__xludf.DUMMYFUNCTION("""COMPUTED_VALUE"""),"Garantizar el cambio de materiales de las estaciones en Ricaurte, Calle 187, Terminal Norte")</f>
        <v>Garantizar el cambio de materiales de las estaciones en Ricaurte, Calle 187, Terminal Norte</v>
      </c>
      <c r="G4553" s="25" t="str">
        <f ca="1">IFERROR(__xludf.DUMMYFUNCTION("""COMPUTED_VALUE"""),"99. Distrito")</f>
        <v>99. Distrito</v>
      </c>
      <c r="H4553" s="55">
        <f ca="1">IFERROR(__xludf.DUMMYFUNCTION("""COMPUTED_VALUE"""),44289)</f>
        <v>44289</v>
      </c>
      <c r="I4553" s="25"/>
      <c r="J4553" s="55" t="str">
        <f ca="1">IFERROR(__xludf.DUMMYFUNCTION("""COMPUTED_VALUE"""),"Alta")</f>
        <v>Alta</v>
      </c>
      <c r="K4553" s="25">
        <f ca="1">IFERROR(__xludf.DUMMYFUNCTION("""COMPUTED_VALUE"""),30)</f>
        <v>30</v>
      </c>
      <c r="L4553" s="62">
        <f ca="1">IFERROR(__xludf.DUMMYFUNCTION("""COMPUTED_VALUE"""),44484)</f>
        <v>44484</v>
      </c>
      <c r="M4553" s="25" t="str">
        <f ca="1">IFERROR(__xludf.DUMMYFUNCTION("""COMPUTED_VALUE"""),"Se adelantaron reuniones y solicitud al IDU para precisar cómo se cambiaría el vidrio de las estaciones por lámina metálica microperforada como material alterno, buscando en todo caso que las estaciones elegidas no se oscurezcan y no se generen puntos de "&amp;"inseguridad, para lo cual se pidió en reunión al IDU incluir como parte de los estudios el diseño arquitectónico que facilite el cambio de materiales en las estaciones a ampliar pero buscando alternativas que minimicen el efecto de oscurecerlas. Estas ade"&amp;"cuaciones se hará a través de procesos licitatorios.
1. Las estaciones Calle 187 y Terminal Norte van a ser incluidas en un contrato de estudios y diseños, para ser construidas en 2022. 
2. Ricaurte va con contrato de construcción de este año también con"&amp;" la especificación de lámina microperforada. 
3. Un grupo que el IDU llamó Grupo 5 va con: Nariño, Universidad Nacional, CAD y Ricaurte, es de construcción y sale este año 2021. Se mantiene la misma información y el proceso de contratación está en manos d"&amp;"el  IDU. Sigue el proceso de contratación en el IDU. 
El IDU se encuentra adelantando la estructuración para que de acuerdo con lo solicitado por TM estas estaciones sean intervenidas con materiales alternos diferente al vidrio,  la licitación de 8 estac"&amp;"iones para ajuste a los diseños y obra se tiene previsto sea adjudicada en diciembre y las 2 estaciones de la autopista norte (Calle 187 y Terminal) para diseños también se tiene previsto la adjudicación en Diciembre. La adjudicación se hace en Diciembre ")</f>
        <v xml:space="preserve">Se adelantaron reuniones y solicitud al IDU para precisar cómo se cambiaría el vidrio de las estaciones por lámina metálica microperforada como material alterno, buscando en todo caso que las estaciones elegidas no se oscurezcan y no se generen puntos de inseguridad, para lo cual se pidió en reunión al IDU incluir como parte de los estudios el diseño arquitectónico que facilite el cambio de materiales en las estaciones a ampliar pero buscando alternativas que minimicen el efecto de oscurecerlas. Estas adecuaciones se hará a través de procesos licitatorios.
1. Las estaciones Calle 187 y Terminal Norte van a ser incluidas en un contrato de estudios y diseños, para ser construidas en 2022. 
2. Ricaurte va con contrato de construcción de este año también con la especificación de lámina microperforada. 
3. Un grupo que el IDU llamó Grupo 5 va con: Nariño, Universidad Nacional, CAD y Ricaurte, es de construcción y sale este año 2021. Se mantiene la misma información y el proceso de contratación está en manos del  IDU. Sigue el proceso de contratación en el IDU. 
El IDU se encuentra adelantando la estructuración para que de acuerdo con lo solicitado por TM estas estaciones sean intervenidas con materiales alternos diferente al vidrio,  la licitación de 8 estaciones para ajuste a los diseños y obra se tiene previsto sea adjudicada en diciembre y las 2 estaciones de la autopista norte (Calle 187 y Terminal) para diseños también se tiene previsto la adjudicación en Diciembre. La adjudicación se hace en Diciembre </v>
      </c>
      <c r="N4553" s="55">
        <f ca="1">IFERROR(__xludf.DUMMYFUNCTION("""COMPUTED_VALUE"""),44484)</f>
        <v>44484</v>
      </c>
      <c r="O4553" s="25" t="str">
        <f t="shared" ca="1" si="0"/>
        <v>Empresa de Transporte del Tercer Milenio - Transmilenio S.A.</v>
      </c>
      <c r="P4553" s="25" t="str">
        <f t="shared" si="3"/>
        <v/>
      </c>
      <c r="Q4553" s="25" t="str">
        <f ca="1">IFERROR(__xludf.DUMMYFUNCTION("""COMPUTED_VALUE"""),"Corto plazo")</f>
        <v>Corto plazo</v>
      </c>
      <c r="R4553" s="25"/>
      <c r="S4553" s="55"/>
      <c r="T4553" s="56"/>
      <c r="U4553" s="25"/>
      <c r="V4553" s="25"/>
      <c r="W4553" s="25"/>
      <c r="X4553" s="25"/>
      <c r="Y4553" s="25"/>
      <c r="Z4553" s="25"/>
    </row>
    <row r="4554" spans="1:26" ht="52.5" customHeight="1" x14ac:dyDescent="0.25">
      <c r="A4554" s="25" t="str">
        <f ca="1">IFERROR(__xludf.DUMMYFUNCTION("""COMPUTED_VALUE"""),"Movil352")</f>
        <v>Movil352</v>
      </c>
      <c r="B4554" s="25" t="str">
        <f ca="1">IFERROR(__xludf.DUMMYFUNCTION("""COMPUTED_VALUE"""),"Evasión Transmilenio")</f>
        <v>Evasión Transmilenio</v>
      </c>
      <c r="C4554" s="55">
        <f ca="1">IFERROR(__xludf.DUMMYFUNCTION("""COMPUTED_VALUE"""),44259)</f>
        <v>44259</v>
      </c>
      <c r="D4554" s="25" t="str">
        <f ca="1">IFERROR(__xludf.DUMMYFUNCTION("""COMPUTED_VALUE"""),"Movilidad")</f>
        <v>Movilidad</v>
      </c>
      <c r="E4554" s="25" t="str">
        <f ca="1">IFERROR(__xludf.DUMMYFUNCTION("""COMPUTED_VALUE"""),"Empresa de Transporte del Tercer Milenio - Transmilenio S.A.")</f>
        <v>Empresa de Transporte del Tercer Milenio - Transmilenio S.A.</v>
      </c>
      <c r="F4554" s="25" t="str">
        <f ca="1">IFERROR(__xludf.DUMMYFUNCTION("""COMPUTED_VALUE"""),"De acuerdo con lo determinado por el Laudo del tribunal hay que establecer si se invierte en puertas o en puertas y torniquetes")</f>
        <v>De acuerdo con lo determinado por el Laudo del tribunal hay que establecer si se invierte en puertas o en puertas y torniquetes</v>
      </c>
      <c r="G4554" s="25" t="str">
        <f ca="1">IFERROR(__xludf.DUMMYFUNCTION("""COMPUTED_VALUE"""),"99. Distrito")</f>
        <v>99. Distrito</v>
      </c>
      <c r="H4554" s="55">
        <f ca="1">IFERROR(__xludf.DUMMYFUNCTION("""COMPUTED_VALUE"""),44289)</f>
        <v>44289</v>
      </c>
      <c r="I4554" s="25"/>
      <c r="J4554" s="55" t="str">
        <f ca="1">IFERROR(__xludf.DUMMYFUNCTION("""COMPUTED_VALUE"""),"Alta")</f>
        <v>Alta</v>
      </c>
      <c r="K4554" s="25">
        <f ca="1">IFERROR(__xludf.DUMMYFUNCTION("""COMPUTED_VALUE"""),30)</f>
        <v>30</v>
      </c>
      <c r="L4554" s="62">
        <f ca="1">IFERROR(__xludf.DUMMYFUNCTION("""COMPUTED_VALUE"""),44425)</f>
        <v>44425</v>
      </c>
      <c r="M4554" s="25" t="str">
        <f ca="1">IFERROR(__xludf.DUMMYFUNCTION("""COMPUTED_VALUE"""),"El día 3 de mayo de 2021, se profirió laudo dentro del tribunal de arbitramento convocado por Recaudo Bogotá SAS en Reorganización (el Concesionario), que pretendía definir el alcance contractual a propósito de la evasión física en el Sistema. 
Según el "&amp;"análisis del tribunal, el riesgo comercial/cartera como consecuencia de la evasión del Sistema fue indebidamente asignado por TRANSMILENIO S.A., toda vez que lo puso en cabeza del Concesionario sin los estudios suficientes que permitieran prever la realid"&amp;"ad y la magnitud de tal riesgo. 
Así, determinó lo siguiente:
(i)        El Personal Operativo del Concesionario, NO tiene la capacidad de controlar la evasión física así, únicamente debe estar encaminado a llevar registro de la misma, a reportarla, par"&amp;"a servir de dispositivo “testigo” o de fiscalización para determinar la presencia del fenómeno, calcularlo, clasificarlo, parametrizar etc. Ahora, como un deber de colaboración, sí es posible articular con el Concesionario que exista presencia de tal pers"&amp;"onal en las zonas donde se ubican las BCA; 
(ii)        El Concesionario SÍ debe incorporar “recursos, procedimientos y mecanismos” eficientes y necesarios para el control de la evasión física del Sistema, lo cual no ha cumplido. No obstante, como el rie"&amp;"sgo (el de evasión física) no le fue trasladado en debida forma al Concesionario, las inversiones que deban realizarse por éste para incorporar tales elementos, deben ser “concertadas entre las Partes y asumidos económicamente por TRANSMILENIO S.A”. 
(ii"&amp;"i)        Se obtuvo claridad contractual para que TRANSMILENIO S.A. pueda ejecutar las estrategias debidas que permitan la ejecución de acciones efectivas para prevenir y mitigar la evasión física en el Sistema, asumiendo a su costo y riesgo tales inversi"&amp;"ones, sin que tal hecho genera un efecto adverso sobre el patrimonio del Distrito. 
(iv)        Se declaró que TRANSMILENIO S.A. no ha incumplido el Contrato de Concesión y su actuar, como Ente Gestor del sistema, lo ha efectuado con plena diligencia, ej"&amp;"erciendo obligaciones de medio para contrarrestar la evasión física. El hecho de no haber asignado tales riesgos de debida manera a terceros, no exime para que, por vía contractual, obligaciones específicas puedan ser tercerizadas a privados dentro del ej"&amp;"ercicio del control de la evasión física. 
(v)        Se determinó la claridad contractual que el Laudo ofrece sobre la responsabilidad del Concesionario para mantener actualizados la totalidad de los equipos SIRCI (incluyendo la plataforma tecnológica),"&amp;" en razón del cumplimiento del contrato y, específicamente, de los niveles de servicio pactados en los términos de las cláusulas 16.3 y 16.34 del contrato y algunos alcances específicos sobre la naturaleza de las especificaciones técnicas del Anexo No. 2 "&amp;"(mínimas y referenciales), así como del alcance del riesgo y la obligación de controlar la evasión tecnológica por parte del Concesionario.
Producto de la definición ofrecida por el Tribunal Arbitral sobre el alcance y la responsabilidad a propósito de "&amp;"la evasión ""física"" en el Sistema a través de las Barreras de Control de Acceso - BCA, TRANSMILENIO S.A. se encuentra haciendo los estudios estratégicos e integrales que permitan establecer las ""medidas eficientes"" para prevenir y controlar el fenómen"&amp;"o social de la evasión física en el Sistema Troncal. Estos estudios permitirán establecer, entre otros, las medidas, mecanismos, especificaciones, cantidades, calidades y costos de las inversiones a realizar, para realizarlo con el Concesionario actual, e"&amp;"n pro del beneficio del Sistema y en la búsqueda de la maximización de ingresos del mismo.")</f>
        <v>El día 3 de mayo de 2021, se profirió laudo dentro del tribunal de arbitramento convocado por Recaudo Bogotá SAS en Reorganización (el Concesionario), que pretendía definir el alcance contractual a propósito de la evasión física en el Sistema. 
Según el análisis del tribunal, el riesgo comercial/cartera como consecuencia de la evasión del Sistema fue indebidamente asignado por TRANSMILENIO S.A., toda vez que lo puso en cabeza del Concesionario sin los estudios suficientes que permitieran prever la realidad y la magnitud de tal riesgo. 
Así, determinó lo siguiente:
(i)        El Personal Operativo del Concesionario, NO tiene la capacidad de controlar la evasión física así, únicamente debe estar encaminado a llevar registro de la misma, a reportarla, para servir de dispositivo “testigo” o de fiscalización para determinar la presencia del fenómeno, calcularlo, clasificarlo, parametrizar etc. Ahora, como un deber de colaboración, sí es posible articular con el Concesionario que exista presencia de tal personal en las zonas donde se ubican las BCA; 
(ii)        El Concesionario SÍ debe incorporar “recursos, procedimientos y mecanismos” eficientes y necesarios para el control de la evasión física del Sistema, lo cual no ha cumplido. No obstante, como el riesgo (el de evasión física) no le fue trasladado en debida forma al Concesionario, las inversiones que deban realizarse por éste para incorporar tales elementos, deben ser “concertadas entre las Partes y asumidos económicamente por TRANSMILENIO S.A”. 
(iii)        Se obtuvo claridad contractual para que TRANSMILENIO S.A. pueda ejecutar las estrategias debidas que permitan la ejecución de acciones efectivas para prevenir y mitigar la evasión física en el Sistema, asumiendo a su costo y riesgo tales inversiones, sin que tal hecho genera un efecto adverso sobre el patrimonio del Distrito. 
(iv)        Se declaró que TRANSMILENIO S.A. no ha incumplido el Contrato de Concesión y su actuar, como Ente Gestor del sistema, lo ha efectuado con plena diligencia, ejerciendo obligaciones de medio para contrarrestar la evasión física. El hecho de no haber asignado tales riesgos de debida manera a terceros, no exime para que, por vía contractual, obligaciones específicas puedan ser tercerizadas a privados dentro del ejercicio del control de la evasión física. 
(v)        Se determinó la claridad contractual que el Laudo ofrece sobre la responsabilidad del Concesionario para mantener actualizados la totalidad de los equipos SIRCI (incluyendo la plataforma tecnológica), en razón del cumplimiento del contrato y, específicamente, de los niveles de servicio pactados en los términos de las cláusulas 16.3 y 16.34 del contrato y algunos alcances específicos sobre la naturaleza de las especificaciones técnicas del Anexo No. 2 (mínimas y referenciales), así como del alcance del riesgo y la obligación de controlar la evasión tecnológica por parte del Concesionario.
Producto de la definición ofrecida por el Tribunal Arbitral sobre el alcance y la responsabilidad a propósito de la evasión "física" en el Sistema a través de las Barreras de Control de Acceso - BCA, TRANSMILENIO S.A. se encuentra haciendo los estudios estratégicos e integrales que permitan establecer las "medidas eficientes" para prevenir y controlar el fenómeno social de la evasión física en el Sistema Troncal. Estos estudios permitirán establecer, entre otros, las medidas, mecanismos, especificaciones, cantidades, calidades y costos de las inversiones a realizar, para realizarlo con el Concesionario actual, en pro del beneficio del Sistema y en la búsqueda de la maximización de ingresos del mismo.</v>
      </c>
      <c r="N4554" s="55">
        <f ca="1">IFERROR(__xludf.DUMMYFUNCTION("""COMPUTED_VALUE"""),44425)</f>
        <v>44425</v>
      </c>
      <c r="O4554" s="25" t="str">
        <f t="shared" ca="1" si="0"/>
        <v>Empresa de Transporte del Tercer Milenio - Transmilenio S.A.</v>
      </c>
      <c r="P4554" s="25" t="str">
        <f t="shared" si="3"/>
        <v/>
      </c>
      <c r="Q4554" s="25" t="str">
        <f ca="1">IFERROR(__xludf.DUMMYFUNCTION("""COMPUTED_VALUE"""),"Corto plazo")</f>
        <v>Corto plazo</v>
      </c>
      <c r="R4554" s="25"/>
      <c r="S4554" s="55"/>
      <c r="T4554" s="56"/>
      <c r="U4554" s="25"/>
      <c r="V4554" s="25"/>
      <c r="W4554" s="25"/>
      <c r="X4554" s="25"/>
      <c r="Y4554" s="25"/>
      <c r="Z4554" s="25"/>
    </row>
    <row r="4555" spans="1:26" ht="52.5" customHeight="1" x14ac:dyDescent="0.25">
      <c r="A4555" s="25" t="str">
        <f ca="1">IFERROR(__xludf.DUMMYFUNCTION("""COMPUTED_VALUE"""),"Movil353")</f>
        <v>Movil353</v>
      </c>
      <c r="B4555" s="25" t="str">
        <f ca="1">IFERROR(__xludf.DUMMYFUNCTION("""COMPUTED_VALUE"""),"Evasión Transmilenio")</f>
        <v>Evasión Transmilenio</v>
      </c>
      <c r="C4555" s="55">
        <f ca="1">IFERROR(__xludf.DUMMYFUNCTION("""COMPUTED_VALUE"""),44259)</f>
        <v>44259</v>
      </c>
      <c r="D4555" s="25" t="str">
        <f ca="1">IFERROR(__xludf.DUMMYFUNCTION("""COMPUTED_VALUE"""),"Movilidad")</f>
        <v>Movilidad</v>
      </c>
      <c r="E4555" s="25" t="str">
        <f ca="1">IFERROR(__xludf.DUMMYFUNCTION("""COMPUTED_VALUE"""),"Empresa de Transporte del Tercer Milenio - Transmilenio S.A.")</f>
        <v>Empresa de Transporte del Tercer Milenio - Transmilenio S.A.</v>
      </c>
      <c r="F4555" s="25" t="str">
        <f ca="1">IFERROR(__xludf.DUMMYFUNCTION("""COMPUTED_VALUE"""),"Definir el costo de cambiar puertas y el de cambiar puertas y torniquetes.")</f>
        <v>Definir el costo de cambiar puertas y el de cambiar puertas y torniquetes.</v>
      </c>
      <c r="G4555" s="25" t="str">
        <f ca="1">IFERROR(__xludf.DUMMYFUNCTION("""COMPUTED_VALUE"""),"99. Distrito")</f>
        <v>99. Distrito</v>
      </c>
      <c r="H4555" s="55">
        <f ca="1">IFERROR(__xludf.DUMMYFUNCTION("""COMPUTED_VALUE"""),44289)</f>
        <v>44289</v>
      </c>
      <c r="I4555" s="25"/>
      <c r="J4555" s="55" t="str">
        <f ca="1">IFERROR(__xludf.DUMMYFUNCTION("""COMPUTED_VALUE"""),"Alta")</f>
        <v>Alta</v>
      </c>
      <c r="K4555" s="25">
        <f ca="1">IFERROR(__xludf.DUMMYFUNCTION("""COMPUTED_VALUE"""),30)</f>
        <v>30</v>
      </c>
      <c r="L4555" s="62">
        <f ca="1">IFERROR(__xludf.DUMMYFUNCTION("""COMPUTED_VALUE"""),44530)</f>
        <v>44530</v>
      </c>
      <c r="M4555" s="25" t="str">
        <f ca="1">IFERROR(__xludf.DUMMYFUNCTION("""COMPUTED_VALUE"""),"Se estructuró licitación para el proyecto de cambio de puertas (a la fecha ya se cuenta con Estudios Previos, Anexos Técnicos, Estudio de Mercado, Análisis del Sector,  Matriz de Riesgos). Estos documentos están siendo objeto de revisión final para apertu"&amp;"ra del proceso de contratación, el 1 octubre (TMSA- LP-12-2021). Se definieron 24  estaciones en las cuales serán instaladas las puertas de acuerdo a un análisis de priorización e integración con otras medidas del Plan Estratégico Anti Evasión.  El proces"&amp;"o además del suministro de las puertas automáticas también incluye 2 años de mantenimiento. El valor del contrato de suministro y mantenimiento es de 63.000 millones de pesos m/cte. El jueves pasado se cerró la licitación,  donde presentaron dos proponent"&amp;"es y nos encontramos en evaluación de propuestas.
Costos torniquetes (BCA):
Se cuenta con el estudio del costo unitario de cada tipo de BECA, una vez conocida la decisión de Laudo y en caso que sea negativo para TM se realizará caracterización cartográfi"&amp;"ca para enriquecer la priorización teórica de los sitios tipo de BECA que deben ser cambiados y su proyección de costo. Estos elementos no se licitan, se solicitan a RB.
 𝐶𝑜𝑠𝑡𝑜 𝑠𝑒𝑚𝑎𝑛𝑎𝑙 𝑑𝑒𝑙 𝑒𝑞𝑢𝑖𝑝𝑜 = 𝐶𝑜𝑠𝑡𝑜 𝑖𝑛𝑣𝑒𝑟𝑠𝑖ó𝑛 + 𝐶𝑜"&amp;"𝑠𝑡𝑜 𝑚𝑎𝑛𝑡𝑒𝑛𝑖𝑚𝑖𝑒𝑛𝑡𝑜
 ✓ PASILLO PISO-TECHO DOBLE: $ 715.668
 ✓ PASILLO PISO-TECHO SENCILLA: $ 379.488
 ✓ BCA BIDIRECCIONAL STANDARD: $ 208.423
                                                                                                  "&amp;"                                                                                                                                                                                                                                                               "&amp;"Para el caso de los torniquetes, el precio no está cerrado y se proyecta que para 50 estaciones cerca de 500 BCA (torniquetes) PISO Y TECHO y pasillo motorizado en  estaciones priorizadas por evasión, el valor estimado es de 18 millones de dólares.  Se te"&amp;"rminó el levantamiento en las estaciones priorizadas de lo itmer necesarios a intervenir (reforzamiento de piso, recorte se cercas, movimientos de elementos (planos, rack eléctricos y comunicaciones, Antenas, etc), cambios o refuerzos eléctricos, etc...)."&amp;"  Se espera lanzar cotización oficial compartida para las barreras piso a techo entre TMSA y RB el próximo viernes (primera ocasión donde se hace el ejercicio compartido con el concesionario, esto con el objetivo de ganar tiempo de estructuración técnica "&amp;"y económica), se realizaron visitas a estaciones con proveedores de servicios de obras civiles y eléctricas.")</f>
        <v>Se estructuró licitación para el proyecto de cambio de puertas (a la fecha ya se cuenta con Estudios Previos, Anexos Técnicos, Estudio de Mercado, Análisis del Sector,  Matriz de Riesgos). Estos documentos están siendo objeto de revisión final para apertura del proceso de contratación, el 1 octubre (TMSA- LP-12-2021). Se definieron 24  estaciones en las cuales serán instaladas las puertas de acuerdo a un análisis de priorización e integración con otras medidas del Plan Estratégico Anti Evasión.  El proceso además del suministro de las puertas automáticas también incluye 2 años de mantenimiento. El valor del contrato de suministro y mantenimiento es de 63.000 millones de pesos m/cte. El jueves pasado se cerró la licitación,  donde presentaron dos proponentes y nos encontramos en evaluación de propuestas.
Costos torniquetes (BCA):
Se cuenta con el estudio del costo unitario de cada tipo de BECA, una vez conocida la decisión de Laudo y en caso que sea negativo para TM se realizará caracterización cartográfica para enriquecer la priorización teórica de los sitios tipo de BECA que deben ser cambiados y su proyección de costo. Estos elementos no se licitan, se solicitan a RB.
 𝐶𝑜𝑠𝑡𝑜 𝑠𝑒𝑚𝑎𝑛𝑎𝑙 𝑑𝑒𝑙 𝑒𝑞𝑢𝑖𝑝𝑜 = 𝐶𝑜𝑠𝑡𝑜 𝑖𝑛𝑣𝑒𝑟𝑠𝑖ó𝑛 + 𝐶𝑜𝑠𝑡𝑜 𝑚𝑎𝑛𝑡𝑒𝑛𝑖𝑚𝑖𝑒𝑛𝑡𝑜
 ✓ PASILLO PISO-TECHO DOBLE: $ 715.668
 ✓ PASILLO PISO-TECHO SENCILLA: $ 379.488
 ✓ BCA BIDIRECCIONAL STANDARD: $ 208.423
                                                                                                                                                                                                                                                                                                                                                                 Para el caso de los torniquetes, el precio no está cerrado y se proyecta que para 50 estaciones cerca de 500 BCA (torniquetes) PISO Y TECHO y pasillo motorizado en  estaciones priorizadas por evasión, el valor estimado es de 18 millones de dólares.  Se terminó el levantamiento en las estaciones priorizadas de lo itmer necesarios a intervenir (reforzamiento de piso, recorte se cercas, movimientos de elementos (planos, rack eléctricos y comunicaciones, Antenas, etc), cambios o refuerzos eléctricos, etc...).  Se espera lanzar cotización oficial compartida para las barreras piso a techo entre TMSA y RB el próximo viernes (primera ocasión donde se hace el ejercicio compartido con el concesionario, esto con el objetivo de ganar tiempo de estructuración técnica y económica), se realizaron visitas a estaciones con proveedores de servicios de obras civiles y eléctricas.</v>
      </c>
      <c r="N4555" s="55">
        <f ca="1">IFERROR(__xludf.DUMMYFUNCTION("""COMPUTED_VALUE"""),44530)</f>
        <v>44530</v>
      </c>
      <c r="O4555" s="25" t="str">
        <f t="shared" ca="1" si="0"/>
        <v>Empresa de Transporte del Tercer Milenio - Transmilenio S.A.</v>
      </c>
      <c r="P4555" s="25" t="str">
        <f t="shared" si="3"/>
        <v/>
      </c>
      <c r="Q4555" s="25" t="str">
        <f ca="1">IFERROR(__xludf.DUMMYFUNCTION("""COMPUTED_VALUE"""),"Corto plazo")</f>
        <v>Corto plazo</v>
      </c>
      <c r="R4555" s="25"/>
      <c r="S4555" s="55"/>
      <c r="T4555" s="56"/>
      <c r="U4555" s="25"/>
      <c r="V4555" s="25"/>
      <c r="W4555" s="25"/>
      <c r="X4555" s="25"/>
      <c r="Y4555" s="25"/>
      <c r="Z4555" s="25"/>
    </row>
    <row r="4556" spans="1:26" ht="52.5" customHeight="1" x14ac:dyDescent="0.25">
      <c r="A4556" s="25" t="str">
        <f ca="1">IFERROR(__xludf.DUMMYFUNCTION("""COMPUTED_VALUE"""),"Movil354")</f>
        <v>Movil354</v>
      </c>
      <c r="B4556" s="25" t="str">
        <f ca="1">IFERROR(__xludf.DUMMYFUNCTION("""COMPUTED_VALUE"""),"Evasión Transmilenio")</f>
        <v>Evasión Transmilenio</v>
      </c>
      <c r="C4556" s="55">
        <f ca="1">IFERROR(__xludf.DUMMYFUNCTION("""COMPUTED_VALUE"""),44259)</f>
        <v>44259</v>
      </c>
      <c r="D4556" s="25" t="str">
        <f ca="1">IFERROR(__xludf.DUMMYFUNCTION("""COMPUTED_VALUE"""),"Movilidad")</f>
        <v>Movilidad</v>
      </c>
      <c r="E4556" s="25" t="str">
        <f ca="1">IFERROR(__xludf.DUMMYFUNCTION("""COMPUTED_VALUE"""),"Empresa de Transporte del Tercer Milenio - Transmilenio S.A.")</f>
        <v>Empresa de Transporte del Tercer Milenio - Transmilenio S.A.</v>
      </c>
      <c r="F4556" s="25" t="str">
        <f ca="1">IFERROR(__xludf.DUMMYFUNCTION("""COMPUTED_VALUE"""),"Tener un cronograma de instalación de las máquinas de reciclaje que monetizan parte del pasaje de Transmilenio")</f>
        <v>Tener un cronograma de instalación de las máquinas de reciclaje que monetizan parte del pasaje de Transmilenio</v>
      </c>
      <c r="G4556" s="25" t="str">
        <f ca="1">IFERROR(__xludf.DUMMYFUNCTION("""COMPUTED_VALUE"""),"99. Distrito")</f>
        <v>99. Distrito</v>
      </c>
      <c r="H4556" s="55">
        <f ca="1">IFERROR(__xludf.DUMMYFUNCTION("""COMPUTED_VALUE"""),44289)</f>
        <v>44289</v>
      </c>
      <c r="I4556" s="25"/>
      <c r="J4556" s="55" t="str">
        <f ca="1">IFERROR(__xludf.DUMMYFUNCTION("""COMPUTED_VALUE"""),"Alta")</f>
        <v>Alta</v>
      </c>
      <c r="K4556" s="25">
        <f ca="1">IFERROR(__xludf.DUMMYFUNCTION("""COMPUTED_VALUE"""),30)</f>
        <v>30</v>
      </c>
      <c r="L4556" s="62">
        <f ca="1">IFERROR(__xludf.DUMMYFUNCTION("""COMPUTED_VALUE"""),44530)</f>
        <v>44530</v>
      </c>
      <c r="M4556" s="25" t="str">
        <f ca="1">IFERROR(__xludf.DUMMYFUNCTION("""COMPUTED_VALUE"""),"Por temas de orden público la máquina de banderas que se pensaba instalar en julio no se ha podido ubicar. El día 12 de agosto se instaló una máquina nueva en el Centro Comercial Centro Mayor. Estamos revisando nuevos sitios para ubicar más máquinas. Cont"&amp;"inuamos en la revisión de más espacios para aumentar el número de máquinas en el Sistema con la integración tecnológica.
 El pasado  15 de septiembre se realizaron pruebas técnicas de los dispositivos de recarga ya instalados en las máquinas. Se prevé re"&amp;"lanzar el proyecto de integración tecnológica a finales de octubre. Estamos listos para lanzar la integración tecnológica de las máquinas en la semana del 25 de octubre, por ahora no tenemos previsto instalar máquinas sino fortalecer las 14 que tenemos co"&amp;"n la nueva funcionalidad.")</f>
        <v>Por temas de orden público la máquina de banderas que se pensaba instalar en julio no se ha podido ubicar. El día 12 de agosto se instaló una máquina nueva en el Centro Comercial Centro Mayor. Estamos revisando nuevos sitios para ubicar más máquinas. Continuamos en la revisión de más espacios para aumentar el número de máquinas en el Sistema con la integración tecnológica.
 El pasado  15 de septiembre se realizaron pruebas técnicas de los dispositivos de recarga ya instalados en las máquinas. Se prevé relanzar el proyecto de integración tecnológica a finales de octubre. Estamos listos para lanzar la integración tecnológica de las máquinas en la semana del 25 de octubre, por ahora no tenemos previsto instalar máquinas sino fortalecer las 14 que tenemos con la nueva funcionalidad.</v>
      </c>
      <c r="N4556" s="55">
        <f ca="1">IFERROR(__xludf.DUMMYFUNCTION("""COMPUTED_VALUE"""),44530)</f>
        <v>44530</v>
      </c>
      <c r="O4556" s="25" t="str">
        <f t="shared" ca="1" si="0"/>
        <v>Empresa de Transporte del Tercer Milenio - Transmilenio S.A.</v>
      </c>
      <c r="P4556" s="25" t="str">
        <f t="shared" si="3"/>
        <v/>
      </c>
      <c r="Q4556" s="25" t="str">
        <f ca="1">IFERROR(__xludf.DUMMYFUNCTION("""COMPUTED_VALUE"""),"Corto plazo")</f>
        <v>Corto plazo</v>
      </c>
      <c r="R4556" s="25"/>
      <c r="S4556" s="55"/>
      <c r="T4556" s="56"/>
      <c r="U4556" s="25"/>
      <c r="V4556" s="25"/>
      <c r="W4556" s="25"/>
      <c r="X4556" s="25"/>
      <c r="Y4556" s="25"/>
      <c r="Z4556" s="25"/>
    </row>
    <row r="4557" spans="1:26" ht="52.5" customHeight="1" x14ac:dyDescent="0.25">
      <c r="A4557" s="25" t="str">
        <f ca="1">IFERROR(__xludf.DUMMYFUNCTION("""COMPUTED_VALUE"""),"Movil355")</f>
        <v>Movil355</v>
      </c>
      <c r="B4557" s="25" t="str">
        <f ca="1">IFERROR(__xludf.DUMMYFUNCTION("""COMPUTED_VALUE"""),"Evasión Transmilenio")</f>
        <v>Evasión Transmilenio</v>
      </c>
      <c r="C4557" s="55">
        <f ca="1">IFERROR(__xludf.DUMMYFUNCTION("""COMPUTED_VALUE"""),44259)</f>
        <v>44259</v>
      </c>
      <c r="D4557" s="25" t="str">
        <f ca="1">IFERROR(__xludf.DUMMYFUNCTION("""COMPUTED_VALUE"""),"Movilidad")</f>
        <v>Movilidad</v>
      </c>
      <c r="E4557" s="25" t="str">
        <f ca="1">IFERROR(__xludf.DUMMYFUNCTION("""COMPUTED_VALUE"""),"Empresa de Transporte del Tercer Milenio - Transmilenio S.A.")</f>
        <v>Empresa de Transporte del Tercer Milenio - Transmilenio S.A.</v>
      </c>
      <c r="F4557" s="25" t="str">
        <f ca="1">IFERROR(__xludf.DUMMYFUNCTION("""COMPUTED_VALUE"""),"Mientras que se define proceso de tecnificación para las máquinas de reciclaje con Recaudo Bogotá, definir cuántas máquinas más se pueden poner en el sistema (además de las 12 actuales)")</f>
        <v>Mientras que se define proceso de tecnificación para las máquinas de reciclaje con Recaudo Bogotá, definir cuántas máquinas más se pueden poner en el sistema (además de las 12 actuales)</v>
      </c>
      <c r="G4557" s="25" t="str">
        <f ca="1">IFERROR(__xludf.DUMMYFUNCTION("""COMPUTED_VALUE"""),"99. Distrito")</f>
        <v>99. Distrito</v>
      </c>
      <c r="H4557" s="55">
        <f ca="1">IFERROR(__xludf.DUMMYFUNCTION("""COMPUTED_VALUE"""),44289)</f>
        <v>44289</v>
      </c>
      <c r="I4557" s="25"/>
      <c r="J4557" s="55" t="str">
        <f ca="1">IFERROR(__xludf.DUMMYFUNCTION("""COMPUTED_VALUE"""),"Alta")</f>
        <v>Alta</v>
      </c>
      <c r="K4557" s="25">
        <f ca="1">IFERROR(__xludf.DUMMYFUNCTION("""COMPUTED_VALUE"""),30)</f>
        <v>30</v>
      </c>
      <c r="L4557" s="62">
        <f ca="1">IFERROR(__xludf.DUMMYFUNCTION("""COMPUTED_VALUE"""),44468)</f>
        <v>44468</v>
      </c>
      <c r="M4557" s="25" t="str">
        <f ca="1">IFERROR(__xludf.DUMMYFUNCTION("""COMPUTED_VALUE"""),"Tenemos 19 máquinas adicionales para instalar. El proceso está avanzando y Recaudo Bogotá (RB) entregó lo necesario para que las empresas realicen su componente tecnológico para la integración: 1. Documentación técnica, 2. Un paquete de tarjetas tullave c"&amp;"on diferentes perfiles para realizar las pruebas., 3. Un dispositivo (dongle) para leer la tarjeta y 4. La API
Se avanza en el desarrollo de los componentes necesarios para que se realice la integración de los Dispositivos desde el lado de las empresas ("&amp;"TE SIRVE / MI ECOBOX) con la API de RB que consiste en que las empresas le envían datos que deben ser cargados en las tarjetas tullave, RB recibe los datos, los valida y las aplica en las tarjetas tullave y el Sistema Central. En este momento las empresas"&amp;" están trabajado en el desarrollo de su componente y se cuenta con el soporte de RB para atender dudas técnicas.
En cuanto al avance de la tecnificación de las máquinas, las empresas asociadas TE SIRVE ya finalizó el desarrollo de la integración, las prue"&amp;"bas 100% completas y funcionales. Falta definir fecha de inicio y duración del piloto en estaciones (al menos 1 mes, iniciado tentativamente a mediados de agosto)
ECOBOX aún están en desarrollo de la interfaz. se espera que finalicen durante Agosto para i"&amp;"niciar pruebas y piloto. 
Se instaló una de las doce propuestas. El cronograma de puesta en marcha de la integración tecnológica está en proceso y el próximo hito es el 22 de agosto que terminan las pruebas  técnicas de integración, y el piloto estará pa"&amp;"ra iniciar a mediados de septiembre.
Se instaló una nueva máquina en el Centro Comercial  Centro Mayor.")</f>
        <v>Tenemos 19 máquinas adicionales para instalar. El proceso está avanzando y Recaudo Bogotá (RB) entregó lo necesario para que las empresas realicen su componente tecnológico para la integración: 1. Documentación técnica, 2. Un paquete de tarjetas tullave con diferentes perfiles para realizar las pruebas., 3. Un dispositivo (dongle) para leer la tarjeta y 4. La API
Se avanza en el desarrollo de los componentes necesarios para que se realice la integración de los Dispositivos desde el lado de las empresas (TE SIRVE / MI ECOBOX) con la API de RB que consiste en que las empresas le envían datos que deben ser cargados en las tarjetas tullave, RB recibe los datos, los valida y las aplica en las tarjetas tullave y el Sistema Central. En este momento las empresas están trabajado en el desarrollo de su componente y se cuenta con el soporte de RB para atender dudas técnicas.
En cuanto al avance de la tecnificación de las máquinas, las empresas asociadas TE SIRVE ya finalizó el desarrollo de la integración, las pruebas 100% completas y funcionales. Falta definir fecha de inicio y duración del piloto en estaciones (al menos 1 mes, iniciado tentativamente a mediados de agosto)
ECOBOX aún están en desarrollo de la interfaz. se espera que finalicen durante Agosto para iniciar pruebas y piloto. 
Se instaló una de las doce propuestas. El cronograma de puesta en marcha de la integración tecnológica está en proceso y el próximo hito es el 22 de agosto que terminan las pruebas  técnicas de integración, y el piloto estará para iniciar a mediados de septiembre.
Se instaló una nueva máquina en el Centro Comercial  Centro Mayor.</v>
      </c>
      <c r="N4557" s="55">
        <f ca="1">IFERROR(__xludf.DUMMYFUNCTION("""COMPUTED_VALUE"""),44468)</f>
        <v>44468</v>
      </c>
      <c r="O4557" s="25" t="str">
        <f t="shared" ca="1" si="0"/>
        <v>Empresa de Transporte del Tercer Milenio - Transmilenio S.A.</v>
      </c>
      <c r="P4557" s="25" t="str">
        <f t="shared" si="3"/>
        <v/>
      </c>
      <c r="Q4557" s="25" t="str">
        <f ca="1">IFERROR(__xludf.DUMMYFUNCTION("""COMPUTED_VALUE"""),"Corto plazo")</f>
        <v>Corto plazo</v>
      </c>
      <c r="R4557" s="25"/>
      <c r="S4557" s="55"/>
      <c r="T4557" s="56"/>
      <c r="U4557" s="25"/>
      <c r="V4557" s="25"/>
      <c r="W4557" s="25"/>
      <c r="X4557" s="25"/>
      <c r="Y4557" s="25"/>
      <c r="Z4557" s="25"/>
    </row>
    <row r="4558" spans="1:26" ht="52.5" customHeight="1" x14ac:dyDescent="0.25">
      <c r="A4558" s="25" t="str">
        <f ca="1">IFERROR(__xludf.DUMMYFUNCTION("""COMPUTED_VALUE"""),"Movil356")</f>
        <v>Movil356</v>
      </c>
      <c r="B4558" s="25" t="str">
        <f ca="1">IFERROR(__xludf.DUMMYFUNCTION("""COMPUTED_VALUE"""),"Infraestructura - Reunión Comité APP con alcaldesa")</f>
        <v>Infraestructura - Reunión Comité APP con alcaldesa</v>
      </c>
      <c r="C4558" s="55">
        <f ca="1">IFERROR(__xludf.DUMMYFUNCTION("""COMPUTED_VALUE"""),44256)</f>
        <v>44256</v>
      </c>
      <c r="D4558" s="25" t="str">
        <f ca="1">IFERROR(__xludf.DUMMYFUNCTION("""COMPUTED_VALUE"""),"Movilidad")</f>
        <v>Movilidad</v>
      </c>
      <c r="E4558" s="25" t="str">
        <f ca="1">IFERROR(__xludf.DUMMYFUNCTION("""COMPUTED_VALUE"""),"Empresa de Transporte del Tercer Milenio - Transmilenio S.A.")</f>
        <v>Empresa de Transporte del Tercer Milenio - Transmilenio S.A.</v>
      </c>
      <c r="F4558" s="25" t="str">
        <f ca="1">IFERROR(__xludf.DUMMYFUNCTION("""COMPUTED_VALUE"""),"Incluir a la terminal en la estructuración financiera de los CIM")</f>
        <v>Incluir a la terminal en la estructuración financiera de los CIM</v>
      </c>
      <c r="G4558" s="25" t="str">
        <f ca="1">IFERROR(__xludf.DUMMYFUNCTION("""COMPUTED_VALUE"""),"99. Distrito")</f>
        <v>99. Distrito</v>
      </c>
      <c r="H4558" s="55">
        <f ca="1">IFERROR(__xludf.DUMMYFUNCTION("""COMPUTED_VALUE"""),44286)</f>
        <v>44286</v>
      </c>
      <c r="I4558" s="25"/>
      <c r="J4558" s="55" t="str">
        <f ca="1">IFERROR(__xludf.DUMMYFUNCTION("""COMPUTED_VALUE"""),"Alta")</f>
        <v>Alta</v>
      </c>
      <c r="K4558" s="25">
        <f ca="1">IFERROR(__xludf.DUMMYFUNCTION("""COMPUTED_VALUE"""),30)</f>
        <v>30</v>
      </c>
      <c r="L4558" s="62">
        <f ca="1">IFERROR(__xludf.DUMMYFUNCTION("""COMPUTED_VALUE"""),44468)</f>
        <v>44468</v>
      </c>
      <c r="M4558" s="25" t="str">
        <f ca="1">IFERROR(__xludf.DUMMYFUNCTION("""COMPUTED_VALUE"""),"Está incluido dentro de la APP CIM Norte CIM 80. En la factibilidad se debe especificar la participación de la terminal, pero sí fue una determinante que quedó dentro del anexo técnico de paso a factibilidad.
Se firmó convenio interadministrativo entre T"&amp;"MSA, IDU, SDM y Terminal para la participación y seguimiento del desarrollo del proyecto.
Está incluido dentro de la APP CIM Norte CIM 80. Se firmó convenio interadministrativo entre TMSA, IDU, SDM y Terminal para la participación y seguimiento del desarr"&amp;"ollo del proyecto.")</f>
        <v>Está incluido dentro de la APP CIM Norte CIM 80. En la factibilidad se debe especificar la participación de la terminal, pero sí fue una determinante que quedó dentro del anexo técnico de paso a factibilidad.
Se firmó convenio interadministrativo entre TMSA, IDU, SDM y Terminal para la participación y seguimiento del desarrollo del proyecto.
Está incluido dentro de la APP CIM Norte CIM 80. Se firmó convenio interadministrativo entre TMSA, IDU, SDM y Terminal para la participación y seguimiento del desarrollo del proyecto.</v>
      </c>
      <c r="N4558" s="55">
        <f ca="1">IFERROR(__xludf.DUMMYFUNCTION("""COMPUTED_VALUE"""),44468)</f>
        <v>44468</v>
      </c>
      <c r="O4558" s="25" t="str">
        <f t="shared" ca="1" si="0"/>
        <v>Empresa de Transporte del Tercer Milenio - Transmilenio S.A.</v>
      </c>
      <c r="P4558" s="25" t="str">
        <f t="shared" si="3"/>
        <v/>
      </c>
      <c r="Q4558" s="25" t="str">
        <f ca="1">IFERROR(__xludf.DUMMYFUNCTION("""COMPUTED_VALUE"""),"Corto plazo")</f>
        <v>Corto plazo</v>
      </c>
      <c r="R4558" s="25"/>
      <c r="S4558" s="55"/>
      <c r="T4558" s="56"/>
      <c r="U4558" s="25"/>
      <c r="V4558" s="25"/>
      <c r="W4558" s="25"/>
      <c r="X4558" s="25"/>
      <c r="Y4558" s="25"/>
      <c r="Z4558" s="25"/>
    </row>
    <row r="4559" spans="1:26" ht="52.5" customHeight="1" x14ac:dyDescent="0.25">
      <c r="A4559" s="25" t="str">
        <f ca="1">IFERROR(__xludf.DUMMYFUNCTION("""COMPUTED_VALUE"""),"Movil357")</f>
        <v>Movil357</v>
      </c>
      <c r="B4559" s="25" t="str">
        <f ca="1">IFERROR(__xludf.DUMMYFUNCTION("""COMPUTED_VALUE"""),"Infraestructura - Reunión Comité APP con alcaldesa")</f>
        <v>Infraestructura - Reunión Comité APP con alcaldesa</v>
      </c>
      <c r="C4559" s="55">
        <f ca="1">IFERROR(__xludf.DUMMYFUNCTION("""COMPUTED_VALUE"""),44256)</f>
        <v>44256</v>
      </c>
      <c r="D4559" s="25" t="str">
        <f ca="1">IFERROR(__xludf.DUMMYFUNCTION("""COMPUTED_VALUE"""),"Movilidad")</f>
        <v>Movilidad</v>
      </c>
      <c r="E4559" s="25" t="str">
        <f ca="1">IFERROR(__xludf.DUMMYFUNCTION("""COMPUTED_VALUE"""),"Empresa de Transporte del Tercer Milenio - Transmilenio S.A.")</f>
        <v>Empresa de Transporte del Tercer Milenio - Transmilenio S.A.</v>
      </c>
      <c r="F4559" s="25" t="str">
        <f ca="1">IFERROR(__xludf.DUMMYFUNCTION("""COMPUTED_VALUE"""),"Incluir la solución del intercambiador de la calle 80 por Av Las Quintas dentro de la estructuración (estudios de factibilidad), para determinar si se incluye en la APP de CIM 80 o el IDU lo contrata aparte")</f>
        <v>Incluir la solución del intercambiador de la calle 80 por Av Las Quintas dentro de la estructuración (estudios de factibilidad), para determinar si se incluye en la APP de CIM 80 o el IDU lo contrata aparte</v>
      </c>
      <c r="G4559" s="25" t="str">
        <f ca="1">IFERROR(__xludf.DUMMYFUNCTION("""COMPUTED_VALUE"""),"99. Distrito")</f>
        <v>99. Distrito</v>
      </c>
      <c r="H4559" s="55">
        <f ca="1">IFERROR(__xludf.DUMMYFUNCTION("""COMPUTED_VALUE"""),44286)</f>
        <v>44286</v>
      </c>
      <c r="I4559" s="25"/>
      <c r="J4559" s="55" t="str">
        <f ca="1">IFERROR(__xludf.DUMMYFUNCTION("""COMPUTED_VALUE"""),"Alta")</f>
        <v>Alta</v>
      </c>
      <c r="K4559" s="25">
        <f ca="1">IFERROR(__xludf.DUMMYFUNCTION("""COMPUTED_VALUE"""),30)</f>
        <v>30</v>
      </c>
      <c r="L4559" s="62">
        <f ca="1">IFERROR(__xludf.DUMMYFUNCTION("""COMPUTED_VALUE"""),44392)</f>
        <v>44392</v>
      </c>
      <c r="M4559" s="25" t="str">
        <f ca="1">IFERROR(__xludf.DUMMYFUNCTION("""COMPUTED_VALUE"""),"Se reformuló el compromiso. 
 Se incluyó en el alcance de los estudios de factibilidad de la APP CIM norte y CIM 80
 Se dio el paso a factibilidad en Resolución 178-2021 del 21-abril-2021 de TMSA")</f>
        <v>Se reformuló el compromiso. 
 Se incluyó en el alcance de los estudios de factibilidad de la APP CIM norte y CIM 80
 Se dio el paso a factibilidad en Resolución 178-2021 del 21-abril-2021 de TMSA</v>
      </c>
      <c r="N4559" s="55">
        <f ca="1">IFERROR(__xludf.DUMMYFUNCTION("""COMPUTED_VALUE"""),44392)</f>
        <v>44392</v>
      </c>
      <c r="O4559" s="25" t="str">
        <f t="shared" ca="1" si="0"/>
        <v>Empresa de Transporte del Tercer Milenio - Transmilenio S.A.</v>
      </c>
      <c r="P4559" s="25" t="str">
        <f t="shared" si="3"/>
        <v/>
      </c>
      <c r="Q4559" s="25" t="str">
        <f ca="1">IFERROR(__xludf.DUMMYFUNCTION("""COMPUTED_VALUE"""),"Corto plazo")</f>
        <v>Corto plazo</v>
      </c>
      <c r="R4559" s="25"/>
      <c r="S4559" s="55"/>
      <c r="T4559" s="56"/>
      <c r="U4559" s="25"/>
      <c r="V4559" s="25"/>
      <c r="W4559" s="25"/>
      <c r="X4559" s="25"/>
      <c r="Y4559" s="25"/>
      <c r="Z4559" s="25"/>
    </row>
    <row r="4560" spans="1:26" ht="52.5" customHeight="1" x14ac:dyDescent="0.25">
      <c r="A4560" s="25" t="str">
        <f ca="1">IFERROR(__xludf.DUMMYFUNCTION("""COMPUTED_VALUE"""),"Movil358")</f>
        <v>Movil358</v>
      </c>
      <c r="B4560" s="25" t="str">
        <f ca="1">IFERROR(__xludf.DUMMYFUNCTION("""COMPUTED_VALUE"""),"Despachando Movilidad")</f>
        <v>Despachando Movilidad</v>
      </c>
      <c r="C4560" s="55">
        <f ca="1">IFERROR(__xludf.DUMMYFUNCTION("""COMPUTED_VALUE"""),44244)</f>
        <v>44244</v>
      </c>
      <c r="D4560" s="25" t="str">
        <f ca="1">IFERROR(__xludf.DUMMYFUNCTION("""COMPUTED_VALUE"""),"Movilidad")</f>
        <v>Movilidad</v>
      </c>
      <c r="E4560" s="25" t="str">
        <f ca="1">IFERROR(__xludf.DUMMYFUNCTION("""COMPUTED_VALUE"""),"Unidad Administrativa Especial de Rehabilitación y Mantenimiento vial")</f>
        <v>Unidad Administrativa Especial de Rehabilitación y Mantenimiento vial</v>
      </c>
      <c r="F4560" s="25" t="str">
        <f ca="1">IFERROR(__xludf.DUMMYFUNCTION("""COMPUTED_VALUE"""),"Crear planta de producción nueva en zona norte para la Unidad de Mantenimiento Vial")</f>
        <v>Crear planta de producción nueva en zona norte para la Unidad de Mantenimiento Vial</v>
      </c>
      <c r="G4560" s="25" t="str">
        <f ca="1">IFERROR(__xludf.DUMMYFUNCTION("""COMPUTED_VALUE"""),"99. Distrito")</f>
        <v>99. Distrito</v>
      </c>
      <c r="H4560" s="55">
        <f ca="1">IFERROR(__xludf.DUMMYFUNCTION("""COMPUTED_VALUE"""),44274)</f>
        <v>44274</v>
      </c>
      <c r="I4560" s="25"/>
      <c r="J4560" s="55" t="str">
        <f ca="1">IFERROR(__xludf.DUMMYFUNCTION("""COMPUTED_VALUE"""),"Alta")</f>
        <v>Alta</v>
      </c>
      <c r="K4560" s="25">
        <f ca="1">IFERROR(__xludf.DUMMYFUNCTION("""COMPUTED_VALUE"""),30)</f>
        <v>30</v>
      </c>
      <c r="L4560" s="62">
        <f ca="1">IFERROR(__xludf.DUMMYFUNCTION("""COMPUTED_VALUE"""),44748)</f>
        <v>44748</v>
      </c>
      <c r="M4560" s="25" t="str">
        <f ca="1">IFERROR(__xludf.DUMMYFUNCTION("""COMPUTED_VALUE"""),"Para el mes de enero de 2022 la creación de la planta de producción para la zona norte, se encuentra en fase de diagnóstico y alistamiento de información. En estas fases se están seleccionando los sitios más adecuados para la ubicación de esta planta, ten"&amp;"iendo en cuenta parámetros de capacidad, de distancia, de uso del suelo y de costos. Para este periodo se está consolidando un documento técnico de soporte. 
 En los principales aportes del año 2021, se adelantó el predimensionamiento de la planta, con s"&amp;"us respectivas áreas, movimiento de maquinaria, requerimientos de almacenamiento y áreas de administración.
También se analizaron múltiples lotes, pero por su impacto ambiental, estos han sido descartados. 
 De igual forma se destaca que la entidad se e"&amp;"ncuentra en contingencia de contratación por lo cual se espera continuar de forma cotidiana con esta actividad durante el mes de febrero de 2022. 
Durante el periodo de marzo a junio de 2022 se ha consolidado la información técnica necesaria para identif"&amp;"icar los elementos que harán parte del Sistema de Distribución de Asfaltos y Pavimentos de la Bogotá-Región, ya se cuenta con un predimensionamiento de la planta con respecto a las áreas y maquinaria necesaria. Adicionalmente se realizado una búsqueda de "&amp;"predios a nivel distrital, la cual ha resultado infructuosa por el tipo de uso de suelo necesario, el cual requiere la categoría de industrial, por tal motivo se han adelantado reuniones con el municipio de tenjo para buscar alternativas en los parque ind"&amp;"ustriales que conectan con la calle 80. ")</f>
        <v xml:space="preserve">Para el mes de enero de 2022 la creación de la planta de producción para la zona norte, se encuentra en fase de diagnóstico y alistamiento de información. En estas fases se están seleccionando los sitios más adecuados para la ubicación de esta planta, teniendo en cuenta parámetros de capacidad, de distancia, de uso del suelo y de costos. Para este periodo se está consolidando un documento técnico de soporte. 
 En los principales aportes del año 2021, se adelantó el predimensionamiento de la planta, con sus respectivas áreas, movimiento de maquinaria, requerimientos de almacenamiento y áreas de administración.
También se analizaron múltiples lotes, pero por su impacto ambiental, estos han sido descartados. 
 De igual forma se destaca que la entidad se encuentra en contingencia de contratación por lo cual se espera continuar de forma cotidiana con esta actividad durante el mes de febrero de 2022. 
Durante el periodo de marzo a junio de 2022 se ha consolidado la información técnica necesaria para identificar los elementos que harán parte del Sistema de Distribución de Asfaltos y Pavimentos de la Bogotá-Región, ya se cuenta con un predimensionamiento de la planta con respecto a las áreas y maquinaria necesaria. Adicionalmente se realizado una búsqueda de predios a nivel distrital, la cual ha resultado infructuosa por el tipo de uso de suelo necesario, el cual requiere la categoría de industrial, por tal motivo se han adelantado reuniones con el municipio de tenjo para buscar alternativas en los parque industriales que conectan con la calle 80. </v>
      </c>
      <c r="N4560" s="55">
        <f ca="1">IFERROR(__xludf.DUMMYFUNCTION("""COMPUTED_VALUE"""),44748)</f>
        <v>44748</v>
      </c>
      <c r="O4560" s="25" t="str">
        <f t="shared" ca="1" si="0"/>
        <v>Unidad Administrativa Especial de Rehabilitación y Mantenimiento vial</v>
      </c>
      <c r="P4560" s="25" t="str">
        <f t="shared" si="3"/>
        <v/>
      </c>
      <c r="Q4560" s="25" t="str">
        <f ca="1">IFERROR(__xludf.DUMMYFUNCTION("""COMPUTED_VALUE"""),"Corto plazo")</f>
        <v>Corto plazo</v>
      </c>
      <c r="R4560" s="25"/>
      <c r="S4560" s="55"/>
      <c r="T4560" s="56"/>
      <c r="U4560" s="25"/>
      <c r="V4560" s="25"/>
      <c r="W4560" s="25"/>
      <c r="X4560" s="25"/>
      <c r="Y4560" s="25"/>
      <c r="Z4560" s="25"/>
    </row>
    <row r="4561" spans="1:26" ht="52.5" customHeight="1" x14ac:dyDescent="0.25">
      <c r="A4561" s="25" t="str">
        <f ca="1">IFERROR(__xludf.DUMMYFUNCTION("""COMPUTED_VALUE"""),"Movil359")</f>
        <v>Movil359</v>
      </c>
      <c r="B4561" s="25" t="str">
        <f ca="1">IFERROR(__xludf.DUMMYFUNCTION("""COMPUTED_VALUE"""),"Despachando Movilidad")</f>
        <v>Despachando Movilidad</v>
      </c>
      <c r="C4561" s="55">
        <f ca="1">IFERROR(__xludf.DUMMYFUNCTION("""COMPUTED_VALUE"""),44244)</f>
        <v>44244</v>
      </c>
      <c r="D4561" s="25" t="str">
        <f ca="1">IFERROR(__xludf.DUMMYFUNCTION("""COMPUTED_VALUE"""),"Movilidad")</f>
        <v>Movilidad</v>
      </c>
      <c r="E4561" s="25" t="str">
        <f ca="1">IFERROR(__xludf.DUMMYFUNCTION("""COMPUTED_VALUE"""),"Unidad Administrativa Especial de Rehabilitación y Mantenimiento vial")</f>
        <v>Unidad Administrativa Especial de Rehabilitación y Mantenimiento vial</v>
      </c>
      <c r="F4561" s="25" t="str">
        <f ca="1">IFERROR(__xludf.DUMMYFUNCTION("""COMPUTED_VALUE"""),"Implementar un sistema de gestión y mantenimiento vial en conjunto entre la UMV y los FDLS")</f>
        <v>Implementar un sistema de gestión y mantenimiento vial en conjunto entre la UMV y los FDLS</v>
      </c>
      <c r="G4561" s="25" t="str">
        <f ca="1">IFERROR(__xludf.DUMMYFUNCTION("""COMPUTED_VALUE"""),"99. Distrito")</f>
        <v>99. Distrito</v>
      </c>
      <c r="H4561" s="55">
        <f ca="1">IFERROR(__xludf.DUMMYFUNCTION("""COMPUTED_VALUE"""),44274)</f>
        <v>44274</v>
      </c>
      <c r="I4561" s="25"/>
      <c r="J4561" s="55" t="str">
        <f ca="1">IFERROR(__xludf.DUMMYFUNCTION("""COMPUTED_VALUE"""),"Alta")</f>
        <v>Alta</v>
      </c>
      <c r="K4561" s="25">
        <f ca="1">IFERROR(__xludf.DUMMYFUNCTION("""COMPUTED_VALUE"""),30)</f>
        <v>30</v>
      </c>
      <c r="L4561" s="62">
        <f ca="1">IFERROR(__xludf.DUMMYFUNCTION("""COMPUTED_VALUE"""),44438)</f>
        <v>44438</v>
      </c>
      <c r="M4561" s="25" t="str">
        <f ca="1">IFERROR(__xludf.DUMMYFUNCTION("""COMPUTED_VALUE"""),"Continúa el avance asociado a este compromiso en la socialización del SIGMA a los Fondos de Desarrollo Local , instruyendo a estos en el cargue de la información del estado de la malla vial local objeto de su intervención. 
La UAERMV, desarrolló un módul"&amp;"o de la aplicación Web del SIGMA (Sistema de Información Geográfica Misional y de Apoyo), con funcionalidades específicas para las Alcaldías Locales, las cuales fueron socializadas con las 20 localidades y con las cuales se han realizados reuniones de cap"&amp;"acitación en el uso de esta herramienta. Cabe resaltar que en fechas posteriores al Despachando se ha continuado con el ejercicio de socialización y capacitación con los Fondos de Desarrollo Local. Ahora bien, a pesar de que se ha tenido contacto con toda"&amp;"s las localidades de Bogotá D.C., al presentarse movimientos en la administración de las Alcaldía Locales se hace necesario replicar estas capacitaciones y socializaciones a los nuevos equipos de trabajo por lo que se ha realizado nuevas reuniones con las"&amp;" alcaldías de Bosa, Sumapaz, Usme, Engativá, La candelaria y Antonio Nariño. También se han actualizado usuarios y contraseñas para acceso a SIGMA cuando ha sido requerido 
Adicionalmente, es importante destacar que la UAERMV ya desarrolló en su totalida"&amp;"d el Sistema de Información y su aplicación ya se realiza de manera habitual en los procesos de priorización de la entidad, en este sentido se encuentra pendiente la aplicación por parte de las demás entidades y esto podría afianzarse a traves de convenio"&amp;"s marco que obliguen su implementación, en especial a los Fondos de Desarrollo Local. ")</f>
        <v>Continúa el avance asociado a este compromiso en la socialización del SIGMA a los Fondos de Desarrollo Local , instruyendo a estos en el cargue de la información del estado de la malla vial local objeto de su intervención. 
La UAERMV, desarrolló un módulo de la aplicación Web del SIGMA (Sistema de Información Geográfica Misional y de Apoyo), con funcionalidades específicas para las Alcaldías Locales, las cuales fueron socializadas con las 20 localidades y con las cuales se han realizados reuniones de capacitación en el uso de esta herramienta. Cabe resaltar que en fechas posteriores al Despachando se ha continuado con el ejercicio de socialización y capacitación con los Fondos de Desarrollo Local. Ahora bien, a pesar de que se ha tenido contacto con todas las localidades de Bogotá D.C., al presentarse movimientos en la administración de las Alcaldía Locales se hace necesario replicar estas capacitaciones y socializaciones a los nuevos equipos de trabajo por lo que se ha realizado nuevas reuniones con las alcaldías de Bosa, Sumapaz, Usme, Engativá, La candelaria y Antonio Nariño. También se han actualizado usuarios y contraseñas para acceso a SIGMA cuando ha sido requerido 
Adicionalmente, es importante destacar que la UAERMV ya desarrolló en su totalidad el Sistema de Información y su aplicación ya se realiza de manera habitual en los procesos de priorización de la entidad, en este sentido se encuentra pendiente la aplicación por parte de las demás entidades y esto podría afianzarse a traves de convenios marco que obliguen su implementación, en especial a los Fondos de Desarrollo Local. </v>
      </c>
      <c r="N4561" s="55">
        <f ca="1">IFERROR(__xludf.DUMMYFUNCTION("""COMPUTED_VALUE"""),44438)</f>
        <v>44438</v>
      </c>
      <c r="O4561" s="25" t="str">
        <f t="shared" ca="1" si="0"/>
        <v>Unidad Administrativa Especial de Rehabilitación y Mantenimiento vial</v>
      </c>
      <c r="P4561" s="25" t="str">
        <f t="shared" si="3"/>
        <v/>
      </c>
      <c r="Q4561" s="25" t="str">
        <f ca="1">IFERROR(__xludf.DUMMYFUNCTION("""COMPUTED_VALUE"""),"Corto plazo")</f>
        <v>Corto plazo</v>
      </c>
      <c r="R4561" s="25"/>
      <c r="S4561" s="55"/>
      <c r="T4561" s="56"/>
      <c r="U4561" s="25"/>
      <c r="V4561" s="25"/>
      <c r="W4561" s="25"/>
      <c r="X4561" s="25"/>
      <c r="Y4561" s="25"/>
      <c r="Z4561" s="25"/>
    </row>
    <row r="4562" spans="1:26" ht="52.5" customHeight="1" x14ac:dyDescent="0.25">
      <c r="A4562" s="25" t="str">
        <f ca="1">IFERROR(__xludf.DUMMYFUNCTION("""COMPUTED_VALUE"""),"Movil360")</f>
        <v>Movil360</v>
      </c>
      <c r="B4562" s="25" t="str">
        <f ca="1">IFERROR(__xludf.DUMMYFUNCTION("""COMPUTED_VALUE"""),"Despachando Movilidad")</f>
        <v>Despachando Movilidad</v>
      </c>
      <c r="C4562" s="55">
        <f ca="1">IFERROR(__xludf.DUMMYFUNCTION("""COMPUTED_VALUE"""),44244)</f>
        <v>44244</v>
      </c>
      <c r="D4562" s="25" t="str">
        <f ca="1">IFERROR(__xludf.DUMMYFUNCTION("""COMPUTED_VALUE"""),"Movilidad")</f>
        <v>Movilidad</v>
      </c>
      <c r="E4562" s="25" t="str">
        <f ca="1">IFERROR(__xludf.DUMMYFUNCTION("""COMPUTED_VALUE"""),"Unidad Administrativa Especial de Rehabilitación y Mantenimiento vial")</f>
        <v>Unidad Administrativa Especial de Rehabilitación y Mantenimiento vial</v>
      </c>
      <c r="F4562" s="25" t="str">
        <f ca="1">IFERROR(__xludf.DUMMYFUNCTION("""COMPUTED_VALUE"""),"Crear instrumentos para la conservación vial")</f>
        <v>Crear instrumentos para la conservación vial</v>
      </c>
      <c r="G4562" s="25" t="str">
        <f ca="1">IFERROR(__xludf.DUMMYFUNCTION("""COMPUTED_VALUE"""),"99. Distrito")</f>
        <v>99. Distrito</v>
      </c>
      <c r="H4562" s="55">
        <f ca="1">IFERROR(__xludf.DUMMYFUNCTION("""COMPUTED_VALUE"""),44274)</f>
        <v>44274</v>
      </c>
      <c r="I4562" s="25"/>
      <c r="J4562" s="55" t="str">
        <f ca="1">IFERROR(__xludf.DUMMYFUNCTION("""COMPUTED_VALUE"""),"Alta")</f>
        <v>Alta</v>
      </c>
      <c r="K4562" s="25">
        <f ca="1">IFERROR(__xludf.DUMMYFUNCTION("""COMPUTED_VALUE"""),30)</f>
        <v>30</v>
      </c>
      <c r="L4562" s="62">
        <f ca="1">IFERROR(__xludf.DUMMYFUNCTION("""COMPUTED_VALUE"""),44748)</f>
        <v>44748</v>
      </c>
      <c r="M4562" s="25" t="str">
        <f ca="1">IFERROR(__xludf.DUMMYFUNCTION("""COMPUTED_VALUE"""),"En el caso de la creación de los instrumentos para la conservación vial, se destaca la revisión que se ha venido adelantando junto con la SDM, IDU y TMSA, UAESP, DADEP, para la definición del Acto Administrativo de armonización de funciones, relacionadas "&amp;"con las labores de conservación, alineado al POT y PMM.
En un compromiso del sector movilidad durante el mes de agosto, se acordó que tras la aprobación del Acuerdo o Decreto del POT se continuaría la expedición del acto administrativo de funciones.
Ahora"&amp;" bien, con la expedición del Decreto 555 de 2021, se actualizó el borrador del acto administrativo de funciones, el cual adapta e incluye las nuevas categorías propuestas por el POT, las funciones del Acuerdo 761 de 2021 y el Acuerdo 740 de 2019.
Durante "&amp;"el periodo comprendido entre marzo y junio de 2022, se adelantaron reuniones con entidades distritales( JBB, SDDH, IDPC, EAAB, EAB) con las cuales se revisó el borrador propuesto para el acto administrativo de funciones. Posteriormente se incluyeron las r"&amp;"ecomendaciones y comentarios de estas entidades y se elaboró la versión definitiva del proyecto de acuerdo, la cual fue remitida a la SDM junto con la exposición de motivos para adelantar su trámite ante la Secretaría Jurídica Distrital, este trámite fue "&amp;"realizado durante el mes de junio de 2022.")</f>
        <v>En el caso de la creación de los instrumentos para la conservación vial, se destaca la revisión que se ha venido adelantando junto con la SDM, IDU y TMSA, UAESP, DADEP, para la definición del Acto Administrativo de armonización de funciones, relacionadas con las labores de conservación, alineado al POT y PMM.
En un compromiso del sector movilidad durante el mes de agosto, se acordó que tras la aprobación del Acuerdo o Decreto del POT se continuaría la expedición del acto administrativo de funciones.
Ahora bien, con la expedición del Decreto 555 de 2021, se actualizó el borrador del acto administrativo de funciones, el cual adapta e incluye las nuevas categorías propuestas por el POT, las funciones del Acuerdo 761 de 2021 y el Acuerdo 740 de 2019.
Durante el periodo comprendido entre marzo y junio de 2022, se adelantaron reuniones con entidades distritales( JBB, SDDH, IDPC, EAAB, EAB) con las cuales se revisó el borrador propuesto para el acto administrativo de funciones. Posteriormente se incluyeron las recomendaciones y comentarios de estas entidades y se elaboró la versión definitiva del proyecto de acuerdo, la cual fue remitida a la SDM junto con la exposición de motivos para adelantar su trámite ante la Secretaría Jurídica Distrital, este trámite fue realizado durante el mes de junio de 2022.</v>
      </c>
      <c r="N4562" s="55">
        <f ca="1">IFERROR(__xludf.DUMMYFUNCTION("""COMPUTED_VALUE"""),44748)</f>
        <v>44748</v>
      </c>
      <c r="O4562" s="25" t="str">
        <f t="shared" ca="1" si="0"/>
        <v>Unidad Administrativa Especial de Rehabilitación y Mantenimiento vial</v>
      </c>
      <c r="P4562" s="25" t="str">
        <f t="shared" si="3"/>
        <v/>
      </c>
      <c r="Q4562" s="25" t="str">
        <f ca="1">IFERROR(__xludf.DUMMYFUNCTION("""COMPUTED_VALUE"""),"Corto plazo")</f>
        <v>Corto plazo</v>
      </c>
      <c r="R4562" s="25"/>
      <c r="S4562" s="55"/>
      <c r="T4562" s="56"/>
      <c r="U4562" s="25"/>
      <c r="V4562" s="25"/>
      <c r="W4562" s="25"/>
      <c r="X4562" s="25"/>
      <c r="Y4562" s="25"/>
      <c r="Z4562" s="25"/>
    </row>
    <row r="4563" spans="1:26" ht="52.5" customHeight="1" x14ac:dyDescent="0.25">
      <c r="A4563" s="25" t="str">
        <f ca="1">IFERROR(__xludf.DUMMYFUNCTION("""COMPUTED_VALUE"""),"Movil361")</f>
        <v>Movil361</v>
      </c>
      <c r="B4563" s="25" t="str">
        <f ca="1">IFERROR(__xludf.DUMMYFUNCTION("""COMPUTED_VALUE"""),"Recorrido Fontibón")</f>
        <v>Recorrido Fontibón</v>
      </c>
      <c r="C4563" s="55">
        <f ca="1">IFERROR(__xludf.DUMMYFUNCTION("""COMPUTED_VALUE"""),44244)</f>
        <v>44244</v>
      </c>
      <c r="D4563" s="25" t="str">
        <f ca="1">IFERROR(__xludf.DUMMYFUNCTION("""COMPUTED_VALUE"""),"Movilidad")</f>
        <v>Movilidad</v>
      </c>
      <c r="E4563" s="25" t="str">
        <f ca="1">IFERROR(__xludf.DUMMYFUNCTION("""COMPUTED_VALUE"""),"Secretaría Distrital de Movilidad")</f>
        <v>Secretaría Distrital de Movilidad</v>
      </c>
      <c r="F4563" s="25" t="str">
        <f ca="1">IFERROR(__xludf.DUMMYFUNCTION("""COMPUTED_VALUE"""),"Hacer un plan para comprar bicicletas e instalar bici parqueaderos en los colegios distritales")</f>
        <v>Hacer un plan para comprar bicicletas e instalar bici parqueaderos en los colegios distritales</v>
      </c>
      <c r="G4563" s="55" t="str">
        <f ca="1">IFERROR(__xludf.DUMMYFUNCTION("""COMPUTED_VALUE"""),"09. Fontibón")</f>
        <v>09. Fontibón</v>
      </c>
      <c r="H4563" s="55">
        <f ca="1">IFERROR(__xludf.DUMMYFUNCTION("""COMPUTED_VALUE"""),44274)</f>
        <v>44274</v>
      </c>
      <c r="I4563" s="25"/>
      <c r="J4563" s="55" t="str">
        <f ca="1">IFERROR(__xludf.DUMMYFUNCTION("""COMPUTED_VALUE"""),"Alta")</f>
        <v>Alta</v>
      </c>
      <c r="K4563" s="25">
        <f ca="1">IFERROR(__xludf.DUMMYFUNCTION("""COMPUTED_VALUE"""),30)</f>
        <v>30</v>
      </c>
      <c r="L4563" s="62">
        <f ca="1">IFERROR(__xludf.DUMMYFUNCTION("""COMPUTED_VALUE"""),44826)</f>
        <v>44826</v>
      </c>
      <c r="M4563" s="25" t="str">
        <f ca="1">IFERROR(__xludf.DUMMYFUNCTION("""COMPUTED_VALUE"""),"La SDM adelantó diagnóstico a 750 IED  distribuidos en todas las localidades, para verificar condición actual de cicloparqueaderos. Como resultados se tienen 493 IED sin Cicloparqueaderos y 257 con Cicloparqueaderos que disponen 11.495 cupos. Del inventar"&amp;"io 105 IED hacen parte de la iniciativa Al Colegio en Bici (ACB) liderado por la SDM y la SED. Siendo así ya se dió por finalizado el inventario de colegios. Con este diagnóstico la SDE tiene los insumos para adelantar plan de adquisición. La SDM a través"&amp;" del contrato 2022-63 Sistema Bici Compartida ha instalado a corte del 31 de julio de 2022, 120 cupos en inmediaciones  de 9 colegios.")</f>
        <v>La SDM adelantó diagnóstico a 750 IED  distribuidos en todas las localidades, para verificar condición actual de cicloparqueaderos. Como resultados se tienen 493 IED sin Cicloparqueaderos y 257 con Cicloparqueaderos que disponen 11.495 cupos. Del inventario 105 IED hacen parte de la iniciativa Al Colegio en Bici (ACB) liderado por la SDM y la SED. Siendo así ya se dió por finalizado el inventario de colegios. Con este diagnóstico la SDE tiene los insumos para adelantar plan de adquisición. La SDM a través del contrato 2022-63 Sistema Bici Compartida ha instalado a corte del 31 de julio de 2022, 120 cupos en inmediaciones  de 9 colegios.</v>
      </c>
      <c r="N4563" s="55">
        <f ca="1">IFERROR(__xludf.DUMMYFUNCTION("""COMPUTED_VALUE"""),44826)</f>
        <v>44826</v>
      </c>
      <c r="O4563" s="25" t="str">
        <f t="shared" ca="1" si="0"/>
        <v>Secretaría Distrital de Movilidad</v>
      </c>
      <c r="P4563" s="25" t="str">
        <f t="shared" si="3"/>
        <v/>
      </c>
      <c r="Q4563" s="25" t="str">
        <f ca="1">IFERROR(__xludf.DUMMYFUNCTION("""COMPUTED_VALUE"""),"Corto plazo")</f>
        <v>Corto plazo</v>
      </c>
      <c r="R4563" s="25"/>
      <c r="S4563" s="55"/>
      <c r="T4563" s="56"/>
      <c r="U4563" s="25"/>
      <c r="V4563" s="25"/>
      <c r="W4563" s="25"/>
      <c r="X4563" s="25"/>
      <c r="Y4563" s="25"/>
      <c r="Z4563" s="25"/>
    </row>
    <row r="4564" spans="1:26" ht="52.5" customHeight="1" x14ac:dyDescent="0.25">
      <c r="A4564" s="25" t="str">
        <f ca="1">IFERROR(__xludf.DUMMYFUNCTION("""COMPUTED_VALUE"""),"Movil362")</f>
        <v>Movil362</v>
      </c>
      <c r="B4564" s="25" t="str">
        <f ca="1">IFERROR(__xludf.DUMMYFUNCTION("""COMPUTED_VALUE"""),"Infraestructura- Proyecto Regalías  con Alcaldesa")</f>
        <v>Infraestructura- Proyecto Regalías  con Alcaldesa</v>
      </c>
      <c r="C4564" s="55">
        <f ca="1">IFERROR(__xludf.DUMMYFUNCTION("""COMPUTED_VALUE"""),44235)</f>
        <v>44235</v>
      </c>
      <c r="D4564" s="25" t="str">
        <f ca="1">IFERROR(__xludf.DUMMYFUNCTION("""COMPUTED_VALUE"""),"Movilidad")</f>
        <v>Movilidad</v>
      </c>
      <c r="E4564" s="25" t="str">
        <f ca="1">IFERROR(__xludf.DUMMYFUNCTION("""COMPUTED_VALUE"""),"Instituto de Desarrollo Urbano")</f>
        <v>Instituto de Desarrollo Urbano</v>
      </c>
      <c r="F4564" s="25" t="str">
        <f ca="1">IFERROR(__xludf.DUMMYFUNCTION("""COMPUTED_VALUE"""),"Adelantar los pasos para desarrollar el proyecto del Intercambiador NQS-Bosa según lo establecido en el SGR")</f>
        <v>Adelantar los pasos para desarrollar el proyecto del Intercambiador NQS-Bosa según lo establecido en el SGR</v>
      </c>
      <c r="G4564" s="25" t="str">
        <f ca="1">IFERROR(__xludf.DUMMYFUNCTION("""COMPUTED_VALUE"""),"99. Distrito")</f>
        <v>99. Distrito</v>
      </c>
      <c r="H4564" s="55">
        <f ca="1">IFERROR(__xludf.DUMMYFUNCTION("""COMPUTED_VALUE"""),44265)</f>
        <v>44265</v>
      </c>
      <c r="I4564" s="25"/>
      <c r="J4564" s="55" t="str">
        <f ca="1">IFERROR(__xludf.DUMMYFUNCTION("""COMPUTED_VALUE"""),"Alta")</f>
        <v>Alta</v>
      </c>
      <c r="K4564" s="25">
        <f ca="1">IFERROR(__xludf.DUMMYFUNCTION("""COMPUTED_VALUE"""),30)</f>
        <v>30</v>
      </c>
      <c r="L4564" s="62">
        <f ca="1">IFERROR(__xludf.DUMMYFUNCTION("""COMPUTED_VALUE"""),44456)</f>
        <v>44456</v>
      </c>
      <c r="M4564" s="25" t="str">
        <f ca="1">IFERROR(__xludf.DUMMYFUNCTION("""COMPUTED_VALUE"""),"Cumplimiento de requisitos de ejecución - Circular 013-4 de 2021: 15/09/2021
  - Incorporación de recursos a través de acto administrativo: acto expedido
  - Programación de giros: De acuerdo con la información brindada por SDP y el Ministerio de Hacienda"&amp;" el 14/09/2021, se tuvo que realizar una actualización a la programación de giros, debido a que la plataforma SPGR del Ministerio de Hacienda, dividió la fuente de financiación del proyecto, que es Asignación para la inversión Regional 60% en dos tipos de"&amp;" asignaciones. Dicha actualización se remitió el 16/09/2021 del IDU a SDP y el 17/01/2021 la SDP informó que se procedió con la validación a la programación de giros previamente registrada desde el IDU, la cual es consistente con el soporte allegado. El I"&amp;"DU cargó en la plataforma del SGR dicha reprogramación.
 - Certificado beneficiario: mediante memorando IDU No 20212050285273 se realiza la definición del beneficiario producto proyecto de inversión, en el marco del proyecto “Construcción de la intersecci"&amp;"ón a desnivel de la Autopista Sur (NQS) con Avenida Bosa, Bogotá”. Esta certificación se emite, teniendo en cuenta que bajo los nuevos procedimientos del SGR, éste es un requisito necesario para poder gestionar la ordenación del gasto en el “Sistema de Pr"&amp;"esupuesto y Giro de Regalías”. 
 -Cumplimiento de requisitos: Mediante memorando IDU 20212050294153, se expidió el certificado por parte del cumplimiento de requisitos previo inicio de la ejecución del proyecto, el cual quedó debidamente registrado en GES"&amp;"PROY el 16/09/2021. Con lo cual el IDU puede iniciar el trámite de adquisición predial programado para 15 meses. Es importante mencionar que la norma establece 6 meses para el cumplimiento de requisitos prorrogables 12 meses. El IDU cumpliendo los comprom"&amp;"isos con la alcaldía logró el cumplimiento en 2 meses y medio, convirtiéndose en referente para proyectos de este nivel de complejidad. 
  - Permisos, licencias y/o autorizaciones: tal como lo indica el certificado de cumplimiento de requisitos, los demás"&amp;" trámites de permisos y autorizaciones pendientes se realizarán en el marco de lo establecido del proyecto según lo aprobado (tiempo 8 meses). 
  2. Plazo para iniciar la contratación en el marco de la programación del proyecto aprobado mediante Decreto 2"&amp;"27 de 2021: Una vez se cumplidos los requisitos de ejecución previa al inicio del proyecto, se cuenta con 6 meses para la expedición del primer acto administrativo que ordene el gasto los cuales están asociados a la primera actividad que es la adquisición"&amp;" predial. Cumpliendo con los compromisos que adquirió el IDU con la alcaldía y con el fin de optimizar el cronograma aprobado ante el SGR, se publicaron los prepliegos de los siguientes procesos: “IDU LP-SGDU-020-2021- Demolición, limpieza, cerramiento y "&amp;"mantenimiento de predios adquiridos por el IDU para la ejecución de la intersección a desnivel de la Autopista SUR (NQS) con Avenida Bosa” y “IDU-CMA-SGDU-034_2021 que corresponde a la interventoría del proceso mencionado anteriormente”.
 Es importante me"&amp;"ncionar que el cronograma aprobado del proyecto estableció un plazo de 15 meses para adquisición predial como primera actividad del proyecto aprobado, sin embargo, el IDU está haciendo esfuerzos por optimizar dichos cronogramas y lograr en tiempo récord d"&amp;"icha adquisición. 
  3. Publicación de prepliegos para el proceso de obra: 30 de octubre de 2020, es importante mencionar que para publicar prepliegos se debe definir el proceso constructivo en el marco de la etapa de estructuración de los prepliegos para"&amp;" la fase de obra, en ese sentido está en revisión parte del IDU dicho proceso, según lo definido en las mesas técnicas realizadas y visita de campo con ENEL el día 8 de septiembre. 
 Frente a la publicación de pliegos definitivos se tiene estimado publica"&amp;"r la primera semana de enero con el fin de armonizar todas las actividades previas al inicio de obra como son traslados de redes y adquisición predial y no se presente ningún problema que generó atrasos en la obra.")</f>
        <v>Cumplimiento de requisitos de ejecución - Circular 013-4 de 2021: 15/09/2021
  - Incorporación de recursos a través de acto administrativo: acto expedido
  - Programación de giros: De acuerdo con la información brindada por SDP y el Ministerio de Hacienda el 14/09/2021, se tuvo que realizar una actualización a la programación de giros, debido a que la plataforma SPGR del Ministerio de Hacienda, dividió la fuente de financiación del proyecto, que es Asignación para la inversión Regional 60% en dos tipos de asignaciones. Dicha actualización se remitió el 16/09/2021 del IDU a SDP y el 17/01/2021 la SDP informó que se procedió con la validación a la programación de giros previamente registrada desde el IDU, la cual es consistente con el soporte allegado. El IDU cargó en la plataforma del SGR dicha reprogramación.
 - Certificado beneficiario: mediante memorando IDU No 20212050285273 se realiza la definición del beneficiario producto proyecto de inversión, en el marco del proyecto “Construcción de la intersección a desnivel de la Autopista Sur (NQS) con Avenida Bosa, Bogotá”. Esta certificación se emite, teniendo en cuenta que bajo los nuevos procedimientos del SGR, éste es un requisito necesario para poder gestionar la ordenación del gasto en el “Sistema de Presupuesto y Giro de Regalías”. 
 -Cumplimiento de requisitos: Mediante memorando IDU 20212050294153, se expidió el certificado por parte del cumplimiento de requisitos previo inicio de la ejecución del proyecto, el cual quedó debidamente registrado en GESPROY el 16/09/2021. Con lo cual el IDU puede iniciar el trámite de adquisición predial programado para 15 meses. Es importante mencionar que la norma establece 6 meses para el cumplimiento de requisitos prorrogables 12 meses. El IDU cumpliendo los compromisos con la alcaldía logró el cumplimiento en 2 meses y medio, convirtiéndose en referente para proyectos de este nivel de complejidad. 
  - Permisos, licencias y/o autorizaciones: tal como lo indica el certificado de cumplimiento de requisitos, los demás trámites de permisos y autorizaciones pendientes se realizarán en el marco de lo establecido del proyecto según lo aprobado (tiempo 8 meses). 
  2. Plazo para iniciar la contratación en el marco de la programación del proyecto aprobado mediante Decreto 227 de 2021: Una vez se cumplidos los requisitos de ejecución previa al inicio del proyecto, se cuenta con 6 meses para la expedición del primer acto administrativo que ordene el gasto los cuales están asociados a la primera actividad que es la adquisición predial. Cumpliendo con los compromisos que adquirió el IDU con la alcaldía y con el fin de optimizar el cronograma aprobado ante el SGR, se publicaron los prepliegos de los siguientes procesos: “IDU LP-SGDU-020-2021- Demolición, limpieza, cerramiento y mantenimiento de predios adquiridos por el IDU para la ejecución de la intersección a desnivel de la Autopista SUR (NQS) con Avenida Bosa” y “IDU-CMA-SGDU-034_2021 que corresponde a la interventoría del proceso mencionado anteriormente”.
 Es importante mencionar que el cronograma aprobado del proyecto estableció un plazo de 15 meses para adquisición predial como primera actividad del proyecto aprobado, sin embargo, el IDU está haciendo esfuerzos por optimizar dichos cronogramas y lograr en tiempo récord dicha adquisición. 
  3. Publicación de prepliegos para el proceso de obra: 30 de octubre de 2020, es importante mencionar que para publicar prepliegos se debe definir el proceso constructivo en el marco de la etapa de estructuración de los prepliegos para la fase de obra, en ese sentido está en revisión parte del IDU dicho proceso, según lo definido en las mesas técnicas realizadas y visita de campo con ENEL el día 8 de septiembre. 
 Frente a la publicación de pliegos definitivos se tiene estimado publicar la primera semana de enero con el fin de armonizar todas las actividades previas al inicio de obra como son traslados de redes y adquisición predial y no se presente ningún problema que generó atrasos en la obra.</v>
      </c>
      <c r="N4564" s="55">
        <f ca="1">IFERROR(__xludf.DUMMYFUNCTION("""COMPUTED_VALUE"""),44456)</f>
        <v>44456</v>
      </c>
      <c r="O4564" s="25" t="str">
        <f t="shared" ca="1" si="0"/>
        <v>Instituto de Desarrollo Urbano</v>
      </c>
      <c r="P4564" s="25" t="str">
        <f t="shared" si="3"/>
        <v/>
      </c>
      <c r="Q4564" s="25" t="str">
        <f ca="1">IFERROR(__xludf.DUMMYFUNCTION("""COMPUTED_VALUE"""),"Corto plazo")</f>
        <v>Corto plazo</v>
      </c>
      <c r="R4564" s="25"/>
      <c r="S4564" s="55"/>
      <c r="T4564" s="56"/>
      <c r="U4564" s="25"/>
      <c r="V4564" s="25"/>
      <c r="W4564" s="25"/>
      <c r="X4564" s="25"/>
      <c r="Y4564" s="25"/>
      <c r="Z4564" s="25"/>
    </row>
    <row r="4565" spans="1:26" ht="52.5" customHeight="1" x14ac:dyDescent="0.25">
      <c r="A4565" s="25" t="str">
        <f ca="1">IFERROR(__xludf.DUMMYFUNCTION("""COMPUTED_VALUE"""),"Movil363")</f>
        <v>Movil363</v>
      </c>
      <c r="B4565" s="25" t="str">
        <f ca="1">IFERROR(__xludf.DUMMYFUNCTION("""COMPUTED_VALUE"""),"Infraestructura- Proyecto Regalías  con Alcaldesa")</f>
        <v>Infraestructura- Proyecto Regalías  con Alcaldesa</v>
      </c>
      <c r="C4565" s="55">
        <f ca="1">IFERROR(__xludf.DUMMYFUNCTION("""COMPUTED_VALUE"""),44235)</f>
        <v>44235</v>
      </c>
      <c r="D4565" s="25" t="str">
        <f ca="1">IFERROR(__xludf.DUMMYFUNCTION("""COMPUTED_VALUE"""),"Movilidad")</f>
        <v>Movilidad</v>
      </c>
      <c r="E4565" s="25" t="str">
        <f ca="1">IFERROR(__xludf.DUMMYFUNCTION("""COMPUTED_VALUE"""),"Instituto de Desarrollo Urbano")</f>
        <v>Instituto de Desarrollo Urbano</v>
      </c>
      <c r="F4565" s="25" t="str">
        <f ca="1">IFERROR(__xludf.DUMMYFUNCTION("""COMPUTED_VALUE"""),"Definir intervenciones y alcance del proyecto Distrito Aeropuerto II (Diseños extensión calle 26)")</f>
        <v>Definir intervenciones y alcance del proyecto Distrito Aeropuerto II (Diseños extensión calle 26)</v>
      </c>
      <c r="G4565" s="25" t="str">
        <f ca="1">IFERROR(__xludf.DUMMYFUNCTION("""COMPUTED_VALUE"""),"99. Distrito")</f>
        <v>99. Distrito</v>
      </c>
      <c r="H4565" s="55">
        <f ca="1">IFERROR(__xludf.DUMMYFUNCTION("""COMPUTED_VALUE"""),44265)</f>
        <v>44265</v>
      </c>
      <c r="I4565" s="25"/>
      <c r="J4565" s="55" t="str">
        <f ca="1">IFERROR(__xludf.DUMMYFUNCTION("""COMPUTED_VALUE"""),"Alta")</f>
        <v>Alta</v>
      </c>
      <c r="K4565" s="25">
        <f ca="1">IFERROR(__xludf.DUMMYFUNCTION("""COMPUTED_VALUE"""),30)</f>
        <v>30</v>
      </c>
      <c r="L4565" s="62">
        <f ca="1">IFERROR(__xludf.DUMMYFUNCTION("""COMPUTED_VALUE"""),44299)</f>
        <v>44299</v>
      </c>
      <c r="M4565" s="25" t="str">
        <f ca="1">IFERROR(__xludf.DUMMYFUNCTION("""COMPUTED_VALUE"""),"El 25/03/2021 Aerocivil, ANI y OPAIN informaron que no van a financiar los estudios y diseños de la extensión de la Calle 26 por restricciones legales.
  De acuerdo a lo acordado con SDP se necesitaba contar con la definición para liberar los recursos asi"&amp;"gnados para la actualización de dicho proyecto. 
  Por otro lado, el proyecto no cuenta con recursos para la fase de obra en ese sentido no es óptimo actualizar los estudios y diseños.
  El 12 de abril la ANI y OPAIN entregaron los estudios y diseños elab"&amp;"orados en el 2011. 
  EL IDU adelantará la prefactibilidad del proyecto durante el primer semestre del 2022.")</f>
        <v>El 25/03/2021 Aerocivil, ANI y OPAIN informaron que no van a financiar los estudios y diseños de la extensión de la Calle 26 por restricciones legales.
  De acuerdo a lo acordado con SDP se necesitaba contar con la definición para liberar los recursos asignados para la actualización de dicho proyecto. 
  Por otro lado, el proyecto no cuenta con recursos para la fase de obra en ese sentido no es óptimo actualizar los estudios y diseños.
  El 12 de abril la ANI y OPAIN entregaron los estudios y diseños elaborados en el 2011. 
  EL IDU adelantará la prefactibilidad del proyecto durante el primer semestre del 2022.</v>
      </c>
      <c r="N4565" s="55">
        <f ca="1">IFERROR(__xludf.DUMMYFUNCTION("""COMPUTED_VALUE"""),44299)</f>
        <v>44299</v>
      </c>
      <c r="O4565" s="25" t="str">
        <f t="shared" ca="1" si="0"/>
        <v>Instituto de Desarrollo Urbano</v>
      </c>
      <c r="P4565" s="25" t="str">
        <f t="shared" si="3"/>
        <v/>
      </c>
      <c r="Q4565" s="25" t="str">
        <f ca="1">IFERROR(__xludf.DUMMYFUNCTION("""COMPUTED_VALUE"""),"Corto plazo")</f>
        <v>Corto plazo</v>
      </c>
      <c r="R4565" s="25"/>
      <c r="S4565" s="55"/>
      <c r="T4565" s="56"/>
      <c r="U4565" s="25"/>
      <c r="V4565" s="25"/>
      <c r="W4565" s="25"/>
      <c r="X4565" s="25"/>
      <c r="Y4565" s="25"/>
      <c r="Z4565" s="25"/>
    </row>
    <row r="4566" spans="1:26" ht="52.5" customHeight="1" x14ac:dyDescent="0.25">
      <c r="A4566" s="25" t="str">
        <f ca="1">IFERROR(__xludf.DUMMYFUNCTION("""COMPUTED_VALUE"""),"Movil364")</f>
        <v>Movil364</v>
      </c>
      <c r="B4566" s="25" t="str">
        <f ca="1">IFERROR(__xludf.DUMMYFUNCTION("""COMPUTED_VALUE"""),"Infraestructura - Temas TransMilenio")</f>
        <v>Infraestructura - Temas TransMilenio</v>
      </c>
      <c r="C4566" s="55">
        <f ca="1">IFERROR(__xludf.DUMMYFUNCTION("""COMPUTED_VALUE"""),44231)</f>
        <v>44231</v>
      </c>
      <c r="D4566" s="25" t="str">
        <f ca="1">IFERROR(__xludf.DUMMYFUNCTION("""COMPUTED_VALUE"""),"Movilidad")</f>
        <v>Movilidad</v>
      </c>
      <c r="E4566" s="25" t="str">
        <f ca="1">IFERROR(__xludf.DUMMYFUNCTION("""COMPUTED_VALUE"""),"Empresa de Transporte del Tercer Milenio - Transmilenio S.A.")</f>
        <v>Empresa de Transporte del Tercer Milenio - Transmilenio S.A.</v>
      </c>
      <c r="F4566" s="25" t="str">
        <f ca="1">IFERROR(__xludf.DUMMYFUNCTION("""COMPUTED_VALUE"""),"Recursos troncales:
 TM e IDU revisan y aclaran los comentarios remitidos frente a la información que sustenta la solicitud de la reprogramación de las vigencias futuras de la Cali.Esto para lograr que TM lleve a su junta esta reprogramación en la última "&amp;"semana de febrero")</f>
        <v>Recursos troncales:
 TM e IDU revisan y aclaran los comentarios remitidos frente a la información que sustenta la solicitud de la reprogramación de las vigencias futuras de la Cali.Esto para lograr que TM lleve a su junta esta reprogramación en la última semana de febrero</v>
      </c>
      <c r="G4566" s="25" t="str">
        <f ca="1">IFERROR(__xludf.DUMMYFUNCTION("""COMPUTED_VALUE"""),"99. Distrito")</f>
        <v>99. Distrito</v>
      </c>
      <c r="H4566" s="55">
        <f ca="1">IFERROR(__xludf.DUMMYFUNCTION("""COMPUTED_VALUE"""),44261)</f>
        <v>44261</v>
      </c>
      <c r="I4566" s="25"/>
      <c r="J4566" s="55" t="str">
        <f ca="1">IFERROR(__xludf.DUMMYFUNCTION("""COMPUTED_VALUE"""),"Alta")</f>
        <v>Alta</v>
      </c>
      <c r="K4566" s="25">
        <f ca="1">IFERROR(__xludf.DUMMYFUNCTION("""COMPUTED_VALUE"""),30)</f>
        <v>30</v>
      </c>
      <c r="L4566" s="62">
        <f ca="1">IFERROR(__xludf.DUMMYFUNCTION("""COMPUTED_VALUE"""),44392)</f>
        <v>44392</v>
      </c>
      <c r="M4566" s="25" t="str">
        <f ca="1">IFERROR(__xludf.DUMMYFUNCTION("""COMPUTED_VALUE"""),"Estas Vigencias Futuras ya fueron autorizadas por el Confis el día 19 de marzo.")</f>
        <v>Estas Vigencias Futuras ya fueron autorizadas por el Confis el día 19 de marzo.</v>
      </c>
      <c r="N4566" s="55">
        <f ca="1">IFERROR(__xludf.DUMMYFUNCTION("""COMPUTED_VALUE"""),44392)</f>
        <v>44392</v>
      </c>
      <c r="O4566" s="25" t="str">
        <f t="shared" ca="1" si="0"/>
        <v>Empresa de Transporte del Tercer Milenio - Transmilenio S.A.</v>
      </c>
      <c r="P4566" s="25" t="str">
        <f t="shared" si="3"/>
        <v/>
      </c>
      <c r="Q4566" s="25" t="str">
        <f ca="1">IFERROR(__xludf.DUMMYFUNCTION("""COMPUTED_VALUE"""),"Corto plazo")</f>
        <v>Corto plazo</v>
      </c>
      <c r="R4566" s="25"/>
      <c r="S4566" s="55"/>
      <c r="T4566" s="56"/>
      <c r="U4566" s="25"/>
      <c r="V4566" s="25"/>
      <c r="W4566" s="25"/>
      <c r="X4566" s="25"/>
      <c r="Y4566" s="25"/>
      <c r="Z4566" s="25"/>
    </row>
    <row r="4567" spans="1:26" ht="52.5" customHeight="1" x14ac:dyDescent="0.25">
      <c r="A4567" s="25" t="str">
        <f ca="1">IFERROR(__xludf.DUMMYFUNCTION("""COMPUTED_VALUE"""),"Movil365")</f>
        <v>Movil365</v>
      </c>
      <c r="B4567" s="25" t="str">
        <f ca="1">IFERROR(__xludf.DUMMYFUNCTION("""COMPUTED_VALUE"""),"Infraestructura - Temas TransMilenio")</f>
        <v>Infraestructura - Temas TransMilenio</v>
      </c>
      <c r="C4567" s="55">
        <f ca="1">IFERROR(__xludf.DUMMYFUNCTION("""COMPUTED_VALUE"""),44231)</f>
        <v>44231</v>
      </c>
      <c r="D4567" s="25" t="str">
        <f ca="1">IFERROR(__xludf.DUMMYFUNCTION("""COMPUTED_VALUE"""),"Movilidad")</f>
        <v>Movilidad</v>
      </c>
      <c r="E4567" s="25" t="str">
        <f ca="1">IFERROR(__xludf.DUMMYFUNCTION("""COMPUTED_VALUE"""),"Alcaldía")</f>
        <v>Alcaldía</v>
      </c>
      <c r="F4567" s="25" t="str">
        <f ca="1">IFERROR(__xludf.DUMMYFUNCTION("""COMPUTED_VALUE"""),"APP CIM:
 Alcaldía coordina con SDP convocar comité de APP y agilizar la respuesta de la solicitud remitida por TM.")</f>
        <v>APP CIM:
 Alcaldía coordina con SDP convocar comité de APP y agilizar la respuesta de la solicitud remitida por TM.</v>
      </c>
      <c r="G4567" s="25" t="str">
        <f ca="1">IFERROR(__xludf.DUMMYFUNCTION("""COMPUTED_VALUE"""),"99. Distrito")</f>
        <v>99. Distrito</v>
      </c>
      <c r="H4567" s="55">
        <f ca="1">IFERROR(__xludf.DUMMYFUNCTION("""COMPUTED_VALUE"""),44261)</f>
        <v>44261</v>
      </c>
      <c r="I4567" s="25"/>
      <c r="J4567" s="55" t="str">
        <f ca="1">IFERROR(__xludf.DUMMYFUNCTION("""COMPUTED_VALUE"""),"Alta")</f>
        <v>Alta</v>
      </c>
      <c r="K4567" s="25">
        <f ca="1">IFERROR(__xludf.DUMMYFUNCTION("""COMPUTED_VALUE"""),30)</f>
        <v>30</v>
      </c>
      <c r="L4567" s="62"/>
      <c r="M4567" s="25" t="str">
        <f ca="1">IFERROR(__xludf.DUMMYFUNCTION("""COMPUTED_VALUE"""),"El CIM se realizó declaratoria de fallida del APP por comité el 12 de octubre")</f>
        <v>El CIM se realizó declaratoria de fallida del APP por comité el 12 de octubre</v>
      </c>
      <c r="N4567" s="55">
        <f ca="1">IFERROR(__xludf.DUMMYFUNCTION("""COMPUTED_VALUE"""),44927)</f>
        <v>44927</v>
      </c>
      <c r="O4567" s="25" t="str">
        <f t="shared" ca="1" si="0"/>
        <v>Alcaldía</v>
      </c>
      <c r="P4567" s="25" t="str">
        <f t="shared" si="3"/>
        <v/>
      </c>
      <c r="Q4567" s="25" t="str">
        <f ca="1">IFERROR(__xludf.DUMMYFUNCTION("""COMPUTED_VALUE"""),"Corto plazo")</f>
        <v>Corto plazo</v>
      </c>
      <c r="R4567" s="25"/>
      <c r="S4567" s="55"/>
      <c r="T4567" s="56"/>
      <c r="U4567" s="25"/>
      <c r="V4567" s="25"/>
      <c r="W4567" s="25"/>
      <c r="X4567" s="25"/>
      <c r="Y4567" s="25"/>
      <c r="Z4567" s="25"/>
    </row>
    <row r="4568" spans="1:26" ht="52.5" customHeight="1" x14ac:dyDescent="0.25">
      <c r="A4568" s="25" t="str">
        <f ca="1">IFERROR(__xludf.DUMMYFUNCTION("""COMPUTED_VALUE"""),"Movil366")</f>
        <v>Movil366</v>
      </c>
      <c r="B4568" s="25" t="str">
        <f ca="1">IFERROR(__xludf.DUMMYFUNCTION("""COMPUTED_VALUE"""),"Infraestructura - Temas TransMilenio")</f>
        <v>Infraestructura - Temas TransMilenio</v>
      </c>
      <c r="C4568" s="55">
        <f ca="1">IFERROR(__xludf.DUMMYFUNCTION("""COMPUTED_VALUE"""),44231)</f>
        <v>44231</v>
      </c>
      <c r="D4568" s="25" t="str">
        <f ca="1">IFERROR(__xludf.DUMMYFUNCTION("""COMPUTED_VALUE"""),"Movilidad")</f>
        <v>Movilidad</v>
      </c>
      <c r="E4568" s="25" t="str">
        <f ca="1">IFERROR(__xludf.DUMMYFUNCTION("""COMPUTED_VALUE"""),"Empresa de Transporte del Tercer Milenio - Transmilenio S.A.")</f>
        <v>Empresa de Transporte del Tercer Milenio - Transmilenio S.A.</v>
      </c>
      <c r="F4568" s="25" t="str">
        <f ca="1">IFERROR(__xludf.DUMMYFUNCTION("""COMPUTED_VALUE"""),"Patio Troncal 68:
 Revisar conjuntamente IDU y TM recursos para poder desarrollar los estudios y diseños del patio, así como en mesas técnicas abordar temas de parámetros operacionales y necesidades concretas del patio. Así como discutir si se requiere ha"&amp;"cer prefactibilidad para el patio como se ha manejado en los otros casos para ir aterrizando el patio que se proyecta. TM señala que Cuentan con 157 mil millones, 142 adquisición predial y el resto a la espera para adicional esta adquisición predial, en c"&amp;"aso de que se requiera se tendría de cupo.")</f>
        <v>Patio Troncal 68:
 Revisar conjuntamente IDU y TM recursos para poder desarrollar los estudios y diseños del patio, así como en mesas técnicas abordar temas de parámetros operacionales y necesidades concretas del patio. Así como discutir si se requiere hacer prefactibilidad para el patio como se ha manejado en los otros casos para ir aterrizando el patio que se proyecta. TM señala que Cuentan con 157 mil millones, 142 adquisición predial y el resto a la espera para adicional esta adquisición predial, en caso de que se requiera se tendría de cupo.</v>
      </c>
      <c r="G4568" s="25" t="str">
        <f ca="1">IFERROR(__xludf.DUMMYFUNCTION("""COMPUTED_VALUE"""),"99. Distrito")</f>
        <v>99. Distrito</v>
      </c>
      <c r="H4568" s="55">
        <f ca="1">IFERROR(__xludf.DUMMYFUNCTION("""COMPUTED_VALUE"""),44261)</f>
        <v>44261</v>
      </c>
      <c r="I4568" s="25"/>
      <c r="J4568" s="55" t="str">
        <f ca="1">IFERROR(__xludf.DUMMYFUNCTION("""COMPUTED_VALUE"""),"Alta")</f>
        <v>Alta</v>
      </c>
      <c r="K4568" s="25">
        <f ca="1">IFERROR(__xludf.DUMMYFUNCTION("""COMPUTED_VALUE"""),30)</f>
        <v>30</v>
      </c>
      <c r="L4568" s="62">
        <f ca="1">IFERROR(__xludf.DUMMYFUNCTION("""COMPUTED_VALUE"""),44841)</f>
        <v>44841</v>
      </c>
      <c r="M4568" s="25" t="str">
        <f ca="1">IFERROR(__xludf.DUMMYFUNCTION("""COMPUTED_VALUE"""),"El IDU retiró la oferta del predio de carboquímica por instrucción de TM y este corredor lo atenderá con el patio de Soacha y el de CV7.")</f>
        <v>El IDU retiró la oferta del predio de carboquímica por instrucción de TM y este corredor lo atenderá con el patio de Soacha y el de CV7.</v>
      </c>
      <c r="N4568" s="55">
        <f ca="1">IFERROR(__xludf.DUMMYFUNCTION("""COMPUTED_VALUE"""),44841)</f>
        <v>44841</v>
      </c>
      <c r="O4568" s="25" t="str">
        <f t="shared" ca="1" si="0"/>
        <v>Empresa de Transporte del Tercer Milenio - Transmilenio S.A.</v>
      </c>
      <c r="P4568" s="25" t="str">
        <f t="shared" si="3"/>
        <v/>
      </c>
      <c r="Q4568" s="25" t="str">
        <f ca="1">IFERROR(__xludf.DUMMYFUNCTION("""COMPUTED_VALUE"""),"Corto plazo")</f>
        <v>Corto plazo</v>
      </c>
      <c r="R4568" s="25"/>
      <c r="S4568" s="55"/>
      <c r="T4568" s="56"/>
      <c r="U4568" s="25"/>
      <c r="V4568" s="25"/>
      <c r="W4568" s="25"/>
      <c r="X4568" s="25"/>
      <c r="Y4568" s="25"/>
      <c r="Z4568" s="25"/>
    </row>
    <row r="4569" spans="1:26" ht="52.5" customHeight="1" x14ac:dyDescent="0.25">
      <c r="A4569" s="25" t="str">
        <f ca="1">IFERROR(__xludf.DUMMYFUNCTION("""COMPUTED_VALUE"""),"Movil367")</f>
        <v>Movil367</v>
      </c>
      <c r="B4569" s="25" t="str">
        <f ca="1">IFERROR(__xludf.DUMMYFUNCTION("""COMPUTED_VALUE"""),"Infraestructura - Temas TransMilenio")</f>
        <v>Infraestructura - Temas TransMilenio</v>
      </c>
      <c r="C4569" s="55">
        <f ca="1">IFERROR(__xludf.DUMMYFUNCTION("""COMPUTED_VALUE"""),44231)</f>
        <v>44231</v>
      </c>
      <c r="D4569" s="25" t="str">
        <f ca="1">IFERROR(__xludf.DUMMYFUNCTION("""COMPUTED_VALUE"""),"Movilidad")</f>
        <v>Movilidad</v>
      </c>
      <c r="E4569" s="25" t="str">
        <f ca="1">IFERROR(__xludf.DUMMYFUNCTION("""COMPUTED_VALUE"""),"Empresa de Transporte del Tercer Milenio - Transmilenio S.A.")</f>
        <v>Empresa de Transporte del Tercer Milenio - Transmilenio S.A.</v>
      </c>
      <c r="F4569" s="25" t="str">
        <f ca="1">IFERROR(__xludf.DUMMYFUNCTION("""COMPUTED_VALUE"""),"Patio Troncal Cali:
 Revisa con César Peñaloza el asunto, dado que se conoce que la Gobernación tenía recursos para estudio que incluye este patio.")</f>
        <v>Patio Troncal Cali:
 Revisa con César Peñaloza el asunto, dado que se conoce que la Gobernación tenía recursos para estudio que incluye este patio.</v>
      </c>
      <c r="G4569" s="25" t="str">
        <f ca="1">IFERROR(__xludf.DUMMYFUNCTION("""COMPUTED_VALUE"""),"99. Distrito")</f>
        <v>99. Distrito</v>
      </c>
      <c r="H4569" s="55">
        <f ca="1">IFERROR(__xludf.DUMMYFUNCTION("""COMPUTED_VALUE"""),44261)</f>
        <v>44261</v>
      </c>
      <c r="I4569" s="25"/>
      <c r="J4569" s="55" t="str">
        <f ca="1">IFERROR(__xludf.DUMMYFUNCTION("""COMPUTED_VALUE"""),"Alta")</f>
        <v>Alta</v>
      </c>
      <c r="K4569" s="25">
        <f ca="1">IFERROR(__xludf.DUMMYFUNCTION("""COMPUTED_VALUE"""),30)</f>
        <v>30</v>
      </c>
      <c r="L4569" s="62">
        <f ca="1">IFERROR(__xludf.DUMMYFUNCTION("""COMPUTED_VALUE"""),44392)</f>
        <v>44392</v>
      </c>
      <c r="M4569" s="25" t="str">
        <f ca="1">IFERROR(__xludf.DUMMYFUNCTION("""COMPUTED_VALUE"""),"Gobernación tenía destinados recursos de Regalías en 2020 para los estudios y diseños de la troncal, los cuales no incluyen el patio-taller. 
 El IDU en su momento proporcionó la documentación técnica de base, con la cual Gobernación dimensionó el proyect"&amp;"o, y realizó proceso de cotizaciones. Sin embargo, a diciembre de 2020 el proyecto no pudo ser presentado a OCAD.
 César, indica que la gobernación tiene el tema un poco quieto. La semana pasada hubo reunión con Soacha para definir la nueva ubicación de"&amp;"l patio. Esta semana enviamos nuestra propuesta de ubicación.
 Gobernación se encuentra evaluando disponibilidad de recursos para reiniciar el proceso.")</f>
        <v>Gobernación tenía destinados recursos de Regalías en 2020 para los estudios y diseños de la troncal, los cuales no incluyen el patio-taller. 
 El IDU en su momento proporcionó la documentación técnica de base, con la cual Gobernación dimensionó el proyecto, y realizó proceso de cotizaciones. Sin embargo, a diciembre de 2020 el proyecto no pudo ser presentado a OCAD.
 César, indica que la gobernación tiene el tema un poco quieto. La semana pasada hubo reunión con Soacha para definir la nueva ubicación del patio. Esta semana enviamos nuestra propuesta de ubicación.
 Gobernación se encuentra evaluando disponibilidad de recursos para reiniciar el proceso.</v>
      </c>
      <c r="N4569" s="55">
        <f ca="1">IFERROR(__xludf.DUMMYFUNCTION("""COMPUTED_VALUE"""),44392)</f>
        <v>44392</v>
      </c>
      <c r="O4569" s="25" t="str">
        <f t="shared" ca="1" si="0"/>
        <v>Empresa de Transporte del Tercer Milenio - Transmilenio S.A.</v>
      </c>
      <c r="P4569" s="25" t="str">
        <f t="shared" si="3"/>
        <v/>
      </c>
      <c r="Q4569" s="25" t="str">
        <f ca="1">IFERROR(__xludf.DUMMYFUNCTION("""COMPUTED_VALUE"""),"Corto plazo")</f>
        <v>Corto plazo</v>
      </c>
      <c r="R4569" s="25"/>
      <c r="S4569" s="55"/>
      <c r="T4569" s="56"/>
      <c r="U4569" s="25"/>
      <c r="V4569" s="25"/>
      <c r="W4569" s="25"/>
      <c r="X4569" s="25"/>
      <c r="Y4569" s="25"/>
      <c r="Z4569" s="25"/>
    </row>
    <row r="4570" spans="1:26" ht="52.5" customHeight="1" x14ac:dyDescent="0.25">
      <c r="A4570" s="25" t="str">
        <f ca="1">IFERROR(__xludf.DUMMYFUNCTION("""COMPUTED_VALUE"""),"Movil368")</f>
        <v>Movil368</v>
      </c>
      <c r="B4570" s="25" t="str">
        <f ca="1">IFERROR(__xludf.DUMMYFUNCTION("""COMPUTED_VALUE"""),"Infraestructura - Temas TransMilenio")</f>
        <v>Infraestructura - Temas TransMilenio</v>
      </c>
      <c r="C4570" s="55">
        <f ca="1">IFERROR(__xludf.DUMMYFUNCTION("""COMPUTED_VALUE"""),44231)</f>
        <v>44231</v>
      </c>
      <c r="D4570" s="25" t="str">
        <f ca="1">IFERROR(__xludf.DUMMYFUNCTION("""COMPUTED_VALUE"""),"Movilidad")</f>
        <v>Movilidad</v>
      </c>
      <c r="E4570" s="25" t="str">
        <f ca="1">IFERROR(__xludf.DUMMYFUNCTION("""COMPUTED_VALUE"""),"Empresa de Transporte del Tercer Milenio - Transmilenio S.A.")</f>
        <v>Empresa de Transporte del Tercer Milenio - Transmilenio S.A.</v>
      </c>
      <c r="F4570" s="25" t="str">
        <f ca="1">IFERROR(__xludf.DUMMYFUNCTION("""COMPUTED_VALUE"""),"Patio Troncal Cali:
 Patios Fase V, Etapa IV, UF 9 y 12: Suba Centro. Se debe finiquitar los procesos de comodatos con IDU y DADEP lo antes posible. IDU informa que el relacionado con ellos ya está cerrado y se debe proceder a las firmas.")</f>
        <v>Patio Troncal Cali:
 Patios Fase V, Etapa IV, UF 9 y 12: Suba Centro. Se debe finiquitar los procesos de comodatos con IDU y DADEP lo antes posible. IDU informa que el relacionado con ellos ya está cerrado y se debe proceder a las firmas.</v>
      </c>
      <c r="G4570" s="25" t="str">
        <f ca="1">IFERROR(__xludf.DUMMYFUNCTION("""COMPUTED_VALUE"""),"99. Distrito")</f>
        <v>99. Distrito</v>
      </c>
      <c r="H4570" s="55">
        <f ca="1">IFERROR(__xludf.DUMMYFUNCTION("""COMPUTED_VALUE"""),44261)</f>
        <v>44261</v>
      </c>
      <c r="I4570" s="25"/>
      <c r="J4570" s="55" t="str">
        <f ca="1">IFERROR(__xludf.DUMMYFUNCTION("""COMPUTED_VALUE"""),"Alta")</f>
        <v>Alta</v>
      </c>
      <c r="K4570" s="25">
        <f ca="1">IFERROR(__xludf.DUMMYFUNCTION("""COMPUTED_VALUE"""),30)</f>
        <v>30</v>
      </c>
      <c r="L4570" s="62">
        <f ca="1">IFERROR(__xludf.DUMMYFUNCTION("""COMPUTED_VALUE"""),44425)</f>
        <v>44425</v>
      </c>
      <c r="M4570" s="25" t="str">
        <f ca="1">IFERROR(__xludf.DUMMYFUNCTION("""COMPUTED_VALUE"""),"De los patios zonales de la Fase V, UF 9 y UF 12:
-        El año pasado se desarrolló todos los documentos soporte para la suscripción de contratos de comodatos con DADEP e IDU (1 comodato con DADEP y 1 con IDU cada uno para un predio, ambos ubicados en "&amp;"la reserva vial ALO norte). 
-        En febrero 2021, teniendo todo listo para las firmas del director de idu y del Dadep, el IDU manifestó que no firmaría dado que por ese tramo pasaría la segunda línea metro. Se adelantaron reuniones con TMSA, EMB e ID"&amp;"U donde Metro comentó que la SLMB pasará por la reserva vial (por los predios previstos para los patios en prefactibilidad) y se recomienda trasladar los patios a otro tramo de la reserva vial ALO NORTE, lo que requiere adelantar nuevos análisis.
-       "&amp;" De acuerdo con los análisis de demanda y oferta del SITP adelantados por TM, en los que se prevé una reducción en la necesidad de flota, en discusión con la Alcaldesa, se definió que este año no se licitarán más UF, en el marco de la estructuración Fase "&amp;"5. Por lo que en el corto plazo no se requerirán estos patios, la adquisición de predios para estos patios deberá ser revisada en mitad de 2022.
")</f>
        <v xml:space="preserve">De los patios zonales de la Fase V, UF 9 y UF 12:
-        El año pasado se desarrolló todos los documentos soporte para la suscripción de contratos de comodatos con DADEP e IDU (1 comodato con DADEP y 1 con IDU cada uno para un predio, ambos ubicados en la reserva vial ALO norte). 
-        En febrero 2021, teniendo todo listo para las firmas del director de idu y del Dadep, el IDU manifestó que no firmaría dado que por ese tramo pasaría la segunda línea metro. Se adelantaron reuniones con TMSA, EMB e IDU donde Metro comentó que la SLMB pasará por la reserva vial (por los predios previstos para los patios en prefactibilidad) y se recomienda trasladar los patios a otro tramo de la reserva vial ALO NORTE, lo que requiere adelantar nuevos análisis.
-        De acuerdo con los análisis de demanda y oferta del SITP adelantados por TM, en los que se prevé una reducción en la necesidad de flota, en discusión con la Alcaldesa, se definió que este año no se licitarán más UF, en el marco de la estructuración Fase 5. Por lo que en el corto plazo no se requerirán estos patios, la adquisición de predios para estos patios deberá ser revisada en mitad de 2022.
</v>
      </c>
      <c r="N4570" s="55">
        <f ca="1">IFERROR(__xludf.DUMMYFUNCTION("""COMPUTED_VALUE"""),44425)</f>
        <v>44425</v>
      </c>
      <c r="O4570" s="25" t="str">
        <f t="shared" ca="1" si="0"/>
        <v>Empresa de Transporte del Tercer Milenio - Transmilenio S.A.</v>
      </c>
      <c r="P4570" s="25" t="str">
        <f t="shared" si="3"/>
        <v/>
      </c>
      <c r="Q4570" s="25" t="str">
        <f ca="1">IFERROR(__xludf.DUMMYFUNCTION("""COMPUTED_VALUE"""),"Corto plazo")</f>
        <v>Corto plazo</v>
      </c>
      <c r="R4570" s="25"/>
      <c r="S4570" s="55"/>
      <c r="T4570" s="56"/>
      <c r="U4570" s="25"/>
      <c r="V4570" s="25"/>
      <c r="W4570" s="25"/>
      <c r="X4570" s="25"/>
      <c r="Y4570" s="25"/>
      <c r="Z4570" s="25"/>
    </row>
    <row r="4571" spans="1:26" ht="52.5" customHeight="1" x14ac:dyDescent="0.25">
      <c r="A4571" s="25" t="str">
        <f ca="1">IFERROR(__xludf.DUMMYFUNCTION("""COMPUTED_VALUE"""),"Movil369")</f>
        <v>Movil369</v>
      </c>
      <c r="B4571" s="25" t="str">
        <f ca="1">IFERROR(__xludf.DUMMYFUNCTION("""COMPUTED_VALUE"""),"Reunión MinTransporte (Reunión alcaldesa)")</f>
        <v>Reunión MinTransporte (Reunión alcaldesa)</v>
      </c>
      <c r="C4571" s="55">
        <f ca="1">IFERROR(__xludf.DUMMYFUNCTION("""COMPUTED_VALUE"""),44231)</f>
        <v>44231</v>
      </c>
      <c r="D4571" s="25" t="str">
        <f ca="1">IFERROR(__xludf.DUMMYFUNCTION("""COMPUTED_VALUE"""),"Movilidad")</f>
        <v>Movilidad</v>
      </c>
      <c r="E4571" s="25" t="str">
        <f ca="1">IFERROR(__xludf.DUMMYFUNCTION("""COMPUTED_VALUE"""),"Instituto de Desarrollo Urbano")</f>
        <v>Instituto de Desarrollo Urbano</v>
      </c>
      <c r="F4571" s="25" t="str">
        <f ca="1">IFERROR(__xludf.DUMMYFUNCTION("""COMPUTED_VALUE"""),"La ANI avanza en la elaboración de los documentos de la APP para entregar al MHCP y DNP")</f>
        <v>La ANI avanza en la elaboración de los documentos de la APP para entregar al MHCP y DNP</v>
      </c>
      <c r="G4571" s="25" t="str">
        <f ca="1">IFERROR(__xludf.DUMMYFUNCTION("""COMPUTED_VALUE"""),"99. Distrito")</f>
        <v>99. Distrito</v>
      </c>
      <c r="H4571" s="55">
        <f ca="1">IFERROR(__xludf.DUMMYFUNCTION("""COMPUTED_VALUE"""),44261)</f>
        <v>44261</v>
      </c>
      <c r="I4571" s="25"/>
      <c r="J4571" s="55" t="str">
        <f ca="1">IFERROR(__xludf.DUMMYFUNCTION("""COMPUTED_VALUE"""),"Alta")</f>
        <v>Alta</v>
      </c>
      <c r="K4571" s="25">
        <f ca="1">IFERROR(__xludf.DUMMYFUNCTION("""COMPUTED_VALUE"""),30)</f>
        <v>30</v>
      </c>
      <c r="L4571" s="62"/>
      <c r="M4571" s="25" t="str">
        <f ca="1">IFERROR(__xludf.DUMMYFUNCTION("""COMPUTED_VALUE"""),"Ya se acordó entre el IDU y la ANI la inclusión de los carriles para Transmilenio en la ampliación de las calzada")</f>
        <v>Ya se acordó entre el IDU y la ANI la inclusión de los carriles para Transmilenio en la ampliación de las calzada</v>
      </c>
      <c r="N4571" s="55">
        <f ca="1">IFERROR(__xludf.DUMMYFUNCTION("""COMPUTED_VALUE"""),44927)</f>
        <v>44927</v>
      </c>
      <c r="O4571" s="25" t="str">
        <f t="shared" ca="1" si="0"/>
        <v>Instituto de Desarrollo Urbano</v>
      </c>
      <c r="P4571" s="25" t="str">
        <f t="shared" si="3"/>
        <v/>
      </c>
      <c r="Q4571" s="25" t="str">
        <f ca="1">IFERROR(__xludf.DUMMYFUNCTION("""COMPUTED_VALUE"""),"Corto plazo")</f>
        <v>Corto plazo</v>
      </c>
      <c r="R4571" s="25"/>
      <c r="S4571" s="55"/>
      <c r="T4571" s="56"/>
      <c r="U4571" s="25"/>
      <c r="V4571" s="25"/>
      <c r="W4571" s="25"/>
      <c r="X4571" s="25"/>
      <c r="Y4571" s="25"/>
      <c r="Z4571" s="25"/>
    </row>
    <row r="4572" spans="1:26" ht="52.5" customHeight="1" x14ac:dyDescent="0.25">
      <c r="A4572" s="25" t="str">
        <f ca="1">IFERROR(__xludf.DUMMYFUNCTION("""COMPUTED_VALUE"""),"Movil370")</f>
        <v>Movil370</v>
      </c>
      <c r="B4572" s="25" t="str">
        <f ca="1">IFERROR(__xludf.DUMMYFUNCTION("""COMPUTED_VALUE"""),"Reunión tarifa tmsa 2021")</f>
        <v>Reunión tarifa tmsa 2021</v>
      </c>
      <c r="C4572" s="55">
        <f ca="1">IFERROR(__xludf.DUMMYFUNCTION("""COMPUTED_VALUE"""),44231)</f>
        <v>44231</v>
      </c>
      <c r="D4572" s="25" t="str">
        <f ca="1">IFERROR(__xludf.DUMMYFUNCTION("""COMPUTED_VALUE"""),"Movilidad")</f>
        <v>Movilidad</v>
      </c>
      <c r="E4572" s="25" t="str">
        <f ca="1">IFERROR(__xludf.DUMMYFUNCTION("""COMPUTED_VALUE"""),"Secretaría Distrital de Movilidad")</f>
        <v>Secretaría Distrital de Movilidad</v>
      </c>
      <c r="F4572" s="25" t="str">
        <f ca="1">IFERROR(__xludf.DUMMYFUNCTION("""COMPUTED_VALUE"""),"Preparar propuesta de impuestos a motos para la región metropolitana")</f>
        <v>Preparar propuesta de impuestos a motos para la región metropolitana</v>
      </c>
      <c r="G4572" s="25" t="str">
        <f ca="1">IFERROR(__xludf.DUMMYFUNCTION("""COMPUTED_VALUE"""),"99. Distrito")</f>
        <v>99. Distrito</v>
      </c>
      <c r="H4572" s="55">
        <f ca="1">IFERROR(__xludf.DUMMYFUNCTION("""COMPUTED_VALUE"""),44261)</f>
        <v>44261</v>
      </c>
      <c r="I4572" s="25"/>
      <c r="J4572" s="55" t="str">
        <f ca="1">IFERROR(__xludf.DUMMYFUNCTION("""COMPUTED_VALUE"""),"Alta")</f>
        <v>Alta</v>
      </c>
      <c r="K4572" s="25">
        <f ca="1">IFERROR(__xludf.DUMMYFUNCTION("""COMPUTED_VALUE"""),30)</f>
        <v>30</v>
      </c>
      <c r="L4572" s="62">
        <f ca="1">IFERROR(__xludf.DUMMYFUNCTION("""COMPUTED_VALUE"""),44792)</f>
        <v>44792</v>
      </c>
      <c r="M4572" s="25" t="str">
        <f ca="1">IFERROR(__xludf.DUMMYFUNCTION("""COMPUTED_VALUE"""),"Se preparó una propuesta de impuesto para las motos y ésta fue presentada por la alcaldesa al gobierno nacional 2022-2026 el 10-08-22. El GN acordó incluirla en la reforma tributaria que se encuentra en curso en el Congreso de la República. La tarea puede"&amp;" darse por cerrada. ")</f>
        <v xml:space="preserve">Se preparó una propuesta de impuesto para las motos y ésta fue presentada por la alcaldesa al gobierno nacional 2022-2026 el 10-08-22. El GN acordó incluirla en la reforma tributaria que se encuentra en curso en el Congreso de la República. La tarea puede darse por cerrada. </v>
      </c>
      <c r="N4572" s="55">
        <f ca="1">IFERROR(__xludf.DUMMYFUNCTION("""COMPUTED_VALUE"""),44792)</f>
        <v>44792</v>
      </c>
      <c r="O4572" s="25" t="str">
        <f t="shared" ca="1" si="0"/>
        <v>Secretaría Distrital de Movilidad</v>
      </c>
      <c r="P4572" s="25" t="str">
        <f t="shared" si="3"/>
        <v/>
      </c>
      <c r="Q4572" s="25" t="str">
        <f ca="1">IFERROR(__xludf.DUMMYFUNCTION("""COMPUTED_VALUE"""),"Corto plazo")</f>
        <v>Corto plazo</v>
      </c>
      <c r="R4572" s="25"/>
      <c r="S4572" s="55"/>
      <c r="T4572" s="56"/>
      <c r="U4572" s="25"/>
      <c r="V4572" s="25"/>
      <c r="W4572" s="25"/>
      <c r="X4572" s="25"/>
      <c r="Y4572" s="25"/>
      <c r="Z4572" s="25"/>
    </row>
    <row r="4573" spans="1:26" ht="52.5" customHeight="1" x14ac:dyDescent="0.25">
      <c r="A4573" s="25" t="str">
        <f ca="1">IFERROR(__xludf.DUMMYFUNCTION("""COMPUTED_VALUE"""),"Movil371")</f>
        <v>Movil371</v>
      </c>
      <c r="B4573" s="25" t="str">
        <f ca="1">IFERROR(__xludf.DUMMYFUNCTION("""COMPUTED_VALUE"""),"Movilidad (cielo abierto y parqueo en vía)")</f>
        <v>Movilidad (cielo abierto y parqueo en vía)</v>
      </c>
      <c r="C4573" s="55">
        <f ca="1">IFERROR(__xludf.DUMMYFUNCTION("""COMPUTED_VALUE"""),44223)</f>
        <v>44223</v>
      </c>
      <c r="D4573" s="25" t="str">
        <f ca="1">IFERROR(__xludf.DUMMYFUNCTION("""COMPUTED_VALUE"""),"Movilidad")</f>
        <v>Movilidad</v>
      </c>
      <c r="E4573" s="25" t="str">
        <f ca="1">IFERROR(__xludf.DUMMYFUNCTION("""COMPUTED_VALUE"""),"Secretaría Distrital de Movilidad")</f>
        <v>Secretaría Distrital de Movilidad</v>
      </c>
      <c r="F4573" s="25" t="str">
        <f ca="1">IFERROR(__xludf.DUMMYFUNCTION("""COMPUTED_VALUE"""),"Revisar póliza en cicloparqueaderos")</f>
        <v>Revisar póliza en cicloparqueaderos</v>
      </c>
      <c r="G4573" s="25" t="str">
        <f ca="1">IFERROR(__xludf.DUMMYFUNCTION("""COMPUTED_VALUE"""),"99. Distrito")</f>
        <v>99. Distrito</v>
      </c>
      <c r="H4573" s="55">
        <f ca="1">IFERROR(__xludf.DUMMYFUNCTION("""COMPUTED_VALUE"""),44253)</f>
        <v>44253</v>
      </c>
      <c r="I4573" s="25"/>
      <c r="J4573" s="55" t="str">
        <f ca="1">IFERROR(__xludf.DUMMYFUNCTION("""COMPUTED_VALUE"""),"Alta")</f>
        <v>Alta</v>
      </c>
      <c r="K4573" s="25">
        <f ca="1">IFERROR(__xludf.DUMMYFUNCTION("""COMPUTED_VALUE"""),30)</f>
        <v>30</v>
      </c>
      <c r="L4573" s="62">
        <f ca="1">IFERROR(__xludf.DUMMYFUNCTION("""COMPUTED_VALUE"""),44407)</f>
        <v>44407</v>
      </c>
      <c r="M4573" s="25" t="str">
        <f ca="1">IFERROR(__xludf.DUMMYFUNCTION("""COMPUTED_VALUE"""),"mediante la Resolución Conjunta 01 del 15 de junio de 2021, se estableció en su artículo 5 como requisito para acceder al beneficio "" Contar con una póliza de responsabilidad de conformidad con lo dispuesto en el artículo 6 del Acuerdo Distrital 794 de 2"&amp;"021"". Así mismo, en el anexo 1  “Documento Estrategia de Sellos de Calidad para Cicloparqueaderos”, se estableció el detalle de las pólizas.")</f>
        <v>mediante la Resolución Conjunta 01 del 15 de junio de 2021, se estableció en su artículo 5 como requisito para acceder al beneficio " Contar con una póliza de responsabilidad de conformidad con lo dispuesto en el artículo 6 del Acuerdo Distrital 794 de 2021". Así mismo, en el anexo 1  “Documento Estrategia de Sellos de Calidad para Cicloparqueaderos”, se estableció el detalle de las pólizas.</v>
      </c>
      <c r="N4573" s="55">
        <f ca="1">IFERROR(__xludf.DUMMYFUNCTION("""COMPUTED_VALUE"""),44407)</f>
        <v>44407</v>
      </c>
      <c r="O4573" s="25" t="str">
        <f t="shared" ca="1" si="0"/>
        <v>Secretaría Distrital de Movilidad</v>
      </c>
      <c r="P4573" s="25" t="str">
        <f t="shared" si="3"/>
        <v/>
      </c>
      <c r="Q4573" s="25" t="str">
        <f ca="1">IFERROR(__xludf.DUMMYFUNCTION("""COMPUTED_VALUE"""),"Corto plazo")</f>
        <v>Corto plazo</v>
      </c>
      <c r="R4573" s="25"/>
      <c r="S4573" s="55"/>
      <c r="T4573" s="56"/>
      <c r="U4573" s="25"/>
      <c r="V4573" s="25"/>
      <c r="W4573" s="25"/>
      <c r="X4573" s="25"/>
      <c r="Y4573" s="25"/>
      <c r="Z4573" s="25"/>
    </row>
    <row r="4574" spans="1:26" ht="52.5" customHeight="1" x14ac:dyDescent="0.25">
      <c r="A4574" s="25" t="str">
        <f ca="1">IFERROR(__xludf.DUMMYFUNCTION("""COMPUTED_VALUE"""),"Movil372")</f>
        <v>Movil372</v>
      </c>
      <c r="B4574" s="25" t="str">
        <f ca="1">IFERROR(__xludf.DUMMYFUNCTION("""COMPUTED_VALUE"""),"Reunión Gobernador, Regiotram Norte")</f>
        <v>Reunión Gobernador, Regiotram Norte</v>
      </c>
      <c r="C4574" s="55">
        <f ca="1">IFERROR(__xludf.DUMMYFUNCTION("""COMPUTED_VALUE"""),44215)</f>
        <v>44215</v>
      </c>
      <c r="D4574" s="25" t="str">
        <f ca="1">IFERROR(__xludf.DUMMYFUNCTION("""COMPUTED_VALUE"""),"Movilidad")</f>
        <v>Movilidad</v>
      </c>
      <c r="E4574" s="25" t="str">
        <f ca="1">IFERROR(__xludf.DUMMYFUNCTION("""COMPUTED_VALUE"""),"Secretaría Distrital de Movilidad")</f>
        <v>Secretaría Distrital de Movilidad</v>
      </c>
      <c r="F4574" s="25" t="str">
        <f ca="1">IFERROR(__xludf.DUMMYFUNCTION("""COMPUTED_VALUE"""),"Revisar alternativas de terminación con el equipo de borde occidental (carga, centro logístico, obras borde occidental)")</f>
        <v>Revisar alternativas de terminación con el equipo de borde occidental (carga, centro logístico, obras borde occidental)</v>
      </c>
      <c r="G4574" s="25" t="str">
        <f ca="1">IFERROR(__xludf.DUMMYFUNCTION("""COMPUTED_VALUE"""),"99. Distrito")</f>
        <v>99. Distrito</v>
      </c>
      <c r="H4574" s="55">
        <f ca="1">IFERROR(__xludf.DUMMYFUNCTION("""COMPUTED_VALUE"""),44245)</f>
        <v>44245</v>
      </c>
      <c r="I4574" s="25"/>
      <c r="J4574" s="55" t="str">
        <f ca="1">IFERROR(__xludf.DUMMYFUNCTION("""COMPUTED_VALUE"""),"Alta")</f>
        <v>Alta</v>
      </c>
      <c r="K4574" s="25">
        <f ca="1">IFERROR(__xludf.DUMMYFUNCTION("""COMPUTED_VALUE"""),30)</f>
        <v>30</v>
      </c>
      <c r="L4574" s="62">
        <f ca="1">IFERROR(__xludf.DUMMYFUNCTION("""COMPUTED_VALUE"""),44266)</f>
        <v>44266</v>
      </c>
      <c r="M4574" s="25" t="str">
        <f ca="1">IFERROR(__xludf.DUMMYFUNCTION("""COMPUTED_VALUE"""),"La SDM realizó la modelación que sirvió de base para que el estructurador del proyecto dimensionara la solución de carga a través del borde occidental. Esto sirvió de insumo para la presentación realizada al Gobierno Nacional el día 10 de febrero. Esta ta"&amp;"rea se está revisando a partir del proyecto de Borde Occidental Contrato IDU-1323-2021.")</f>
        <v>La SDM realizó la modelación que sirvió de base para que el estructurador del proyecto dimensionara la solución de carga a través del borde occidental. Esto sirvió de insumo para la presentación realizada al Gobierno Nacional el día 10 de febrero. Esta tarea se está revisando a partir del proyecto de Borde Occidental Contrato IDU-1323-2021.</v>
      </c>
      <c r="N4574" s="55">
        <f ca="1">IFERROR(__xludf.DUMMYFUNCTION("""COMPUTED_VALUE"""),44266)</f>
        <v>44266</v>
      </c>
      <c r="O4574" s="25" t="str">
        <f t="shared" ca="1" si="0"/>
        <v>Secretaría Distrital de Movilidad</v>
      </c>
      <c r="P4574" s="25" t="str">
        <f t="shared" si="3"/>
        <v/>
      </c>
      <c r="Q4574" s="25" t="str">
        <f ca="1">IFERROR(__xludf.DUMMYFUNCTION("""COMPUTED_VALUE"""),"Corto plazo")</f>
        <v>Corto plazo</v>
      </c>
      <c r="R4574" s="25"/>
      <c r="S4574" s="55"/>
      <c r="T4574" s="56"/>
      <c r="U4574" s="25"/>
      <c r="V4574" s="25"/>
      <c r="W4574" s="25"/>
      <c r="X4574" s="25"/>
      <c r="Y4574" s="25"/>
      <c r="Z4574" s="25"/>
    </row>
    <row r="4575" spans="1:26" ht="52.5" customHeight="1" x14ac:dyDescent="0.25">
      <c r="A4575" s="25" t="str">
        <f ca="1">IFERROR(__xludf.DUMMYFUNCTION("""COMPUTED_VALUE"""),"Movil373")</f>
        <v>Movil373</v>
      </c>
      <c r="B4575" s="25" t="str">
        <f ca="1">IFERROR(__xludf.DUMMYFUNCTION("""COMPUTED_VALUE"""),"Reunión Gobernador, Regiotram Norte")</f>
        <v>Reunión Gobernador, Regiotram Norte</v>
      </c>
      <c r="C4575" s="55">
        <f ca="1">IFERROR(__xludf.DUMMYFUNCTION("""COMPUTED_VALUE"""),44215)</f>
        <v>44215</v>
      </c>
      <c r="D4575" s="25" t="str">
        <f ca="1">IFERROR(__xludf.DUMMYFUNCTION("""COMPUTED_VALUE"""),"Movilidad")</f>
        <v>Movilidad</v>
      </c>
      <c r="E4575" s="25" t="str">
        <f ca="1">IFERROR(__xludf.DUMMYFUNCTION("""COMPUTED_VALUE"""),"Instituto de Desarrollo Urbano")</f>
        <v>Instituto de Desarrollo Urbano</v>
      </c>
      <c r="F4575" s="25" t="str">
        <f ca="1">IFERROR(__xludf.DUMMYFUNCTION("""COMPUTED_VALUE"""),"Hacer análisis de optimización de carga de pasajeros")</f>
        <v>Hacer análisis de optimización de carga de pasajeros</v>
      </c>
      <c r="G4575" s="25" t="str">
        <f ca="1">IFERROR(__xludf.DUMMYFUNCTION("""COMPUTED_VALUE"""),"99. Distrito")</f>
        <v>99. Distrito</v>
      </c>
      <c r="H4575" s="55">
        <f ca="1">IFERROR(__xludf.DUMMYFUNCTION("""COMPUTED_VALUE"""),44245)</f>
        <v>44245</v>
      </c>
      <c r="I4575" s="25"/>
      <c r="J4575" s="55" t="str">
        <f ca="1">IFERROR(__xludf.DUMMYFUNCTION("""COMPUTED_VALUE"""),"Alta")</f>
        <v>Alta</v>
      </c>
      <c r="K4575" s="25">
        <f ca="1">IFERROR(__xludf.DUMMYFUNCTION("""COMPUTED_VALUE"""),30)</f>
        <v>30</v>
      </c>
      <c r="L4575" s="62">
        <f ca="1">IFERROR(__xludf.DUMMYFUNCTION("""COMPUTED_VALUE"""),44265)</f>
        <v>44265</v>
      </c>
      <c r="M4575" s="25" t="str">
        <f ca="1">IFERROR(__xludf.DUMMYFUNCTION("""COMPUTED_VALUE"""),"El día 26 de febrero se presentó al Gobierno Nacional el diagnóstico y alternativas de logística interna de carga, como apoyo a la definición de la alternativa de especializar el corredor férreo para pasajeros.")</f>
        <v>El día 26 de febrero se presentó al Gobierno Nacional el diagnóstico y alternativas de logística interna de carga, como apoyo a la definición de la alternativa de especializar el corredor férreo para pasajeros.</v>
      </c>
      <c r="N4575" s="55">
        <f ca="1">IFERROR(__xludf.DUMMYFUNCTION("""COMPUTED_VALUE"""),44265)</f>
        <v>44265</v>
      </c>
      <c r="O4575" s="25" t="str">
        <f t="shared" ca="1" si="0"/>
        <v>Instituto de Desarrollo Urbano</v>
      </c>
      <c r="P4575" s="25" t="str">
        <f t="shared" si="3"/>
        <v/>
      </c>
      <c r="Q4575" s="25" t="str">
        <f ca="1">IFERROR(__xludf.DUMMYFUNCTION("""COMPUTED_VALUE"""),"Corto plazo")</f>
        <v>Corto plazo</v>
      </c>
      <c r="R4575" s="25"/>
      <c r="S4575" s="55"/>
      <c r="T4575" s="56"/>
      <c r="U4575" s="25"/>
      <c r="V4575" s="25"/>
      <c r="W4575" s="25"/>
      <c r="X4575" s="25"/>
      <c r="Y4575" s="25"/>
      <c r="Z4575" s="25"/>
    </row>
    <row r="4576" spans="1:26" ht="52.5" customHeight="1" x14ac:dyDescent="0.25">
      <c r="A4576" s="25" t="str">
        <f ca="1">IFERROR(__xludf.DUMMYFUNCTION("""COMPUTED_VALUE"""),"Movil374")</f>
        <v>Movil374</v>
      </c>
      <c r="B4576" s="25" t="str">
        <f ca="1">IFERROR(__xludf.DUMMYFUNCTION("""COMPUTED_VALUE"""),"Reunión Gobernador, Regiotram Norte")</f>
        <v>Reunión Gobernador, Regiotram Norte</v>
      </c>
      <c r="C4576" s="55">
        <f ca="1">IFERROR(__xludf.DUMMYFUNCTION("""COMPUTED_VALUE"""),44215)</f>
        <v>44215</v>
      </c>
      <c r="D4576" s="25" t="str">
        <f ca="1">IFERROR(__xludf.DUMMYFUNCTION("""COMPUTED_VALUE"""),"Movilidad")</f>
        <v>Movilidad</v>
      </c>
      <c r="E4576" s="25" t="str">
        <f ca="1">IFERROR(__xludf.DUMMYFUNCTION("""COMPUTED_VALUE"""),"Instituto de Desarrollo Urbano")</f>
        <v>Instituto de Desarrollo Urbano</v>
      </c>
      <c r="F4576" s="25" t="str">
        <f ca="1">IFERROR(__xludf.DUMMYFUNCTION("""COMPUTED_VALUE"""),"Revisar trazado de Regiotram Sur")</f>
        <v>Revisar trazado de Regiotram Sur</v>
      </c>
      <c r="G4576" s="25" t="str">
        <f ca="1">IFERROR(__xludf.DUMMYFUNCTION("""COMPUTED_VALUE"""),"99. Distrito")</f>
        <v>99. Distrito</v>
      </c>
      <c r="H4576" s="55">
        <f ca="1">IFERROR(__xludf.DUMMYFUNCTION("""COMPUTED_VALUE"""),44245)</f>
        <v>44245</v>
      </c>
      <c r="I4576" s="25"/>
      <c r="J4576" s="55" t="str">
        <f ca="1">IFERROR(__xludf.DUMMYFUNCTION("""COMPUTED_VALUE"""),"Alta")</f>
        <v>Alta</v>
      </c>
      <c r="K4576" s="25">
        <f ca="1">IFERROR(__xludf.DUMMYFUNCTION("""COMPUTED_VALUE"""),30)</f>
        <v>30</v>
      </c>
      <c r="L4576" s="62">
        <f ca="1">IFERROR(__xludf.DUMMYFUNCTION("""COMPUTED_VALUE"""),44407)</f>
        <v>44407</v>
      </c>
      <c r="M4576" s="25" t="str">
        <f ca="1">IFERROR(__xludf.DUMMYFUNCTION("""COMPUTED_VALUE"""),"Debido al alto costo de la propuesta de la FDN se solicitó propuesta a Findeter para el desarrollo de la prefactibilidad del proyecto. Sin embargo la propuesta resultó más costosa. Se está negociando el valor y el alcance para llegar a una acuerdo en la s"&amp;"egunda semana de abril. Para la próxima semana se tendrá la definición (Abril 12 a 15)
12/07/2021 En la Dirección Técnica de Proyectos del IDU se está elaborando la documentación técnica de soporte a la Estructuración Técnica, Administrativa, Legal y Fin"&amp;"anciera para el Desarrollo de un Convenio Tripartito entre IDU, Empresa Metro de Bogotá - EMB y  la Financiera de Desarrollo Nacional - FDN, para desarrollar los estudios de prefactibilidad de un Sistema de Transporte Férreo de Alta Capacidad que conecte "&amp;"el Distrito con el Municipio de Soacha. 
Se están analizando escenarios jurídicos y legales para dar alcance al proyecto, integrando otras jurisdicciones y entidades para la cooperación interinstitucional en el desarrollo del proyecto.
Se espera que en "&amp;"el segundo semestre de 2021 se inicie la elaboración de los Estudios de Prefactibilidad para definir, trazado, localización de estaciones y patio taller, capacidad, tipo de sistema y tecnología.")</f>
        <v>Debido al alto costo de la propuesta de la FDN se solicitó propuesta a Findeter para el desarrollo de la prefactibilidad del proyecto. Sin embargo la propuesta resultó más costosa. Se está negociando el valor y el alcance para llegar a una acuerdo en la segunda semana de abril. Para la próxima semana se tendrá la definición (Abril 12 a 15)
12/07/2021 En la Dirección Técnica de Proyectos del IDU se está elaborando la documentación técnica de soporte a la Estructuración Técnica, Administrativa, Legal y Financiera para el Desarrollo de un Convenio Tripartito entre IDU, Empresa Metro de Bogotá - EMB y  la Financiera de Desarrollo Nacional - FDN, para desarrollar los estudios de prefactibilidad de un Sistema de Transporte Férreo de Alta Capacidad que conecte el Distrito con el Municipio de Soacha. 
Se están analizando escenarios jurídicos y legales para dar alcance al proyecto, integrando otras jurisdicciones y entidades para la cooperación interinstitucional en el desarrollo del proyecto.
Se espera que en el segundo semestre de 2021 se inicie la elaboración de los Estudios de Prefactibilidad para definir, trazado, localización de estaciones y patio taller, capacidad, tipo de sistema y tecnología.</v>
      </c>
      <c r="N4576" s="55">
        <f ca="1">IFERROR(__xludf.DUMMYFUNCTION("""COMPUTED_VALUE"""),44407)</f>
        <v>44407</v>
      </c>
      <c r="O4576" s="25" t="str">
        <f t="shared" ca="1" si="0"/>
        <v>Instituto de Desarrollo Urbano</v>
      </c>
      <c r="P4576" s="25" t="str">
        <f t="shared" si="3"/>
        <v/>
      </c>
      <c r="Q4576" s="25" t="str">
        <f ca="1">IFERROR(__xludf.DUMMYFUNCTION("""COMPUTED_VALUE"""),"Corto plazo")</f>
        <v>Corto plazo</v>
      </c>
      <c r="R4576" s="25"/>
      <c r="S4576" s="55"/>
      <c r="T4576" s="56"/>
      <c r="U4576" s="25"/>
      <c r="V4576" s="25"/>
      <c r="W4576" s="25"/>
      <c r="X4576" s="25"/>
      <c r="Y4576" s="25"/>
      <c r="Z4576" s="25"/>
    </row>
    <row r="4577" spans="1:26" ht="52.5" customHeight="1" x14ac:dyDescent="0.25">
      <c r="A4577" s="25" t="str">
        <f ca="1">IFERROR(__xludf.DUMMYFUNCTION("""COMPUTED_VALUE"""),"Movil375")</f>
        <v>Movil375</v>
      </c>
      <c r="B4577" s="25" t="str">
        <f ca="1">IFERROR(__xludf.DUMMYFUNCTION("""COMPUTED_VALUE"""),"Reunión Gobernador, Regiotram Norte")</f>
        <v>Reunión Gobernador, Regiotram Norte</v>
      </c>
      <c r="C4577" s="55">
        <f ca="1">IFERROR(__xludf.DUMMYFUNCTION("""COMPUTED_VALUE"""),44215)</f>
        <v>44215</v>
      </c>
      <c r="D4577" s="25" t="str">
        <f ca="1">IFERROR(__xludf.DUMMYFUNCTION("""COMPUTED_VALUE"""),"Movilidad")</f>
        <v>Movilidad</v>
      </c>
      <c r="E4577" s="25" t="str">
        <f ca="1">IFERROR(__xludf.DUMMYFUNCTION("""COMPUTED_VALUE"""),"Instituto de Desarrollo Urbano")</f>
        <v>Instituto de Desarrollo Urbano</v>
      </c>
      <c r="F4577" s="25" t="str">
        <f ca="1">IFERROR(__xludf.DUMMYFUNCTION("""COMPUTED_VALUE"""),"Solicitar cita con Gobierno Nacional para presentar la propuesta del corredor férreo norte - Regiotram")</f>
        <v>Solicitar cita con Gobierno Nacional para presentar la propuesta del corredor férreo norte - Regiotram</v>
      </c>
      <c r="G4577" s="25" t="str">
        <f ca="1">IFERROR(__xludf.DUMMYFUNCTION("""COMPUTED_VALUE"""),"99. Distrito")</f>
        <v>99. Distrito</v>
      </c>
      <c r="H4577" s="55">
        <f ca="1">IFERROR(__xludf.DUMMYFUNCTION("""COMPUTED_VALUE"""),44245)</f>
        <v>44245</v>
      </c>
      <c r="I4577" s="25"/>
      <c r="J4577" s="55" t="str">
        <f ca="1">IFERROR(__xludf.DUMMYFUNCTION("""COMPUTED_VALUE"""),"Alta")</f>
        <v>Alta</v>
      </c>
      <c r="K4577" s="25">
        <f ca="1">IFERROR(__xludf.DUMMYFUNCTION("""COMPUTED_VALUE"""),30)</f>
        <v>30</v>
      </c>
      <c r="L4577" s="62">
        <f ca="1">IFERROR(__xludf.DUMMYFUNCTION("""COMPUTED_VALUE"""),44896)</f>
        <v>44896</v>
      </c>
      <c r="M4577" s="25" t="str">
        <f ca="1">IFERROR(__xludf.DUMMYFUNCTION("""COMPUTED_VALUE"""),"Se realizó reunión con el Gobierno Nacional el día 10 de febrero y se espera nueva reunión para el 17 de febrero. El 8 de noviembre la propuesta se presentó se escogió la alternativa 2A y fue aprobado el proyecto")</f>
        <v>Se realizó reunión con el Gobierno Nacional el día 10 de febrero y se espera nueva reunión para el 17 de febrero. El 8 de noviembre la propuesta se presentó se escogió la alternativa 2A y fue aprobado el proyecto</v>
      </c>
      <c r="N4577" s="55">
        <f ca="1">IFERROR(__xludf.DUMMYFUNCTION("""COMPUTED_VALUE"""),44896)</f>
        <v>44896</v>
      </c>
      <c r="O4577" s="25" t="str">
        <f t="shared" ca="1" si="0"/>
        <v>Instituto de Desarrollo Urbano</v>
      </c>
      <c r="P4577" s="25" t="str">
        <f t="shared" si="3"/>
        <v/>
      </c>
      <c r="Q4577" s="25" t="str">
        <f ca="1">IFERROR(__xludf.DUMMYFUNCTION("""COMPUTED_VALUE"""),"Corto plazo")</f>
        <v>Corto plazo</v>
      </c>
      <c r="R4577" s="25"/>
      <c r="S4577" s="55"/>
      <c r="T4577" s="56"/>
      <c r="U4577" s="25"/>
      <c r="V4577" s="25"/>
      <c r="W4577" s="25"/>
      <c r="X4577" s="25"/>
      <c r="Y4577" s="25"/>
      <c r="Z4577" s="25"/>
    </row>
    <row r="4578" spans="1:26" ht="52.5" customHeight="1" x14ac:dyDescent="0.25">
      <c r="A4578" s="25" t="str">
        <f ca="1">IFERROR(__xludf.DUMMYFUNCTION("""COMPUTED_VALUE"""),"Movil376")</f>
        <v>Movil376</v>
      </c>
      <c r="B4578" s="25" t="str">
        <f ca="1">IFERROR(__xludf.DUMMYFUNCTION("""COMPUTED_VALUE"""),"Cicloparqueaderos")</f>
        <v>Cicloparqueaderos</v>
      </c>
      <c r="C4578" s="55">
        <f ca="1">IFERROR(__xludf.DUMMYFUNCTION("""COMPUTED_VALUE"""),44176)</f>
        <v>44176</v>
      </c>
      <c r="D4578" s="25" t="str">
        <f ca="1">IFERROR(__xludf.DUMMYFUNCTION("""COMPUTED_VALUE"""),"Movilidad")</f>
        <v>Movilidad</v>
      </c>
      <c r="E4578" s="25" t="str">
        <f ca="1">IFERROR(__xludf.DUMMYFUNCTION("""COMPUTED_VALUE"""),"Secretaría Distrital de Movilidad")</f>
        <v>Secretaría Distrital de Movilidad</v>
      </c>
      <c r="F4578" s="25" t="str">
        <f ca="1">IFERROR(__xludf.DUMMYFUNCTION("""COMPUTED_VALUE"""),"Establecer la ruta jurídica para implementar Plan Marshall")</f>
        <v>Establecer la ruta jurídica para implementar Plan Marshall</v>
      </c>
      <c r="G4578" s="25" t="str">
        <f ca="1">IFERROR(__xludf.DUMMYFUNCTION("""COMPUTED_VALUE"""),"99. Distrito")</f>
        <v>99. Distrito</v>
      </c>
      <c r="H4578" s="55">
        <f ca="1">IFERROR(__xludf.DUMMYFUNCTION("""COMPUTED_VALUE"""),44206)</f>
        <v>44206</v>
      </c>
      <c r="I4578" s="25"/>
      <c r="J4578" s="55" t="str">
        <f ca="1">IFERROR(__xludf.DUMMYFUNCTION("""COMPUTED_VALUE"""),"Alta")</f>
        <v>Alta</v>
      </c>
      <c r="K4578" s="25">
        <f ca="1">IFERROR(__xludf.DUMMYFUNCTION("""COMPUTED_VALUE"""),30)</f>
        <v>30</v>
      </c>
      <c r="L4578" s="62">
        <f ca="1">IFERROR(__xludf.DUMMYFUNCTION("""COMPUTED_VALUE"""),44362)</f>
        <v>44362</v>
      </c>
      <c r="M4578" s="25" t="str">
        <f ca="1">IFERROR(__xludf.DUMMYFUNCTION("""COMPUTED_VALUE"""),"Tras la aprobación del Decreto Reglamentario 091 del 24 de marzo de 2021 por parte de la Alcaldesa Bogotá, el Comité Interinstitucional, conformado por: la Secretaría Distrital de Hacienda, Secretaría Distrital de Movilidad, Instituto de Desarrollo Urbano"&amp;" y Secretaría de Gobierno, firmaron el 15 de abril de 2021, los siguientes documentos: 
 1. Procedimientos y Parámetros para avalar la viabilidad técnica, legal y financiera de los proyectos de inversión para la habilitación y/o mantenimiento de cicloparq"&amp;"ueaderos.
 2. Reglamento Interno del Comité Interinstitucional.
 3. Plan de Trabajo del Comité interinstitucional.
 En este sentido, se dio cumplimiento a la ruta jurídica, considerando que el Comité procedió acorde con el Decreto 091 de 2021 y el Acuerdo"&amp;" 780 de 2020.")</f>
        <v>Tras la aprobación del Decreto Reglamentario 091 del 24 de marzo de 2021 por parte de la Alcaldesa Bogotá, el Comité Interinstitucional, conformado por: la Secretaría Distrital de Hacienda, Secretaría Distrital de Movilidad, Instituto de Desarrollo Urbano y Secretaría de Gobierno, firmaron el 15 de abril de 2021, los siguientes documentos: 
 1. Procedimientos y Parámetros para avalar la viabilidad técnica, legal y financiera de los proyectos de inversión para la habilitación y/o mantenimiento de cicloparqueaderos.
 2. Reglamento Interno del Comité Interinstitucional.
 3. Plan de Trabajo del Comité interinstitucional.
 En este sentido, se dio cumplimiento a la ruta jurídica, considerando que el Comité procedió acorde con el Decreto 091 de 2021 y el Acuerdo 780 de 2020.</v>
      </c>
      <c r="N4578" s="55">
        <f ca="1">IFERROR(__xludf.DUMMYFUNCTION("""COMPUTED_VALUE"""),44362)</f>
        <v>44362</v>
      </c>
      <c r="O4578" s="25" t="str">
        <f t="shared" ca="1" si="0"/>
        <v>Secretaría Distrital de Movilidad</v>
      </c>
      <c r="P4578" s="25" t="str">
        <f t="shared" si="3"/>
        <v/>
      </c>
      <c r="Q4578" s="25" t="str">
        <f ca="1">IFERROR(__xludf.DUMMYFUNCTION("""COMPUTED_VALUE"""),"Corto plazo")</f>
        <v>Corto plazo</v>
      </c>
      <c r="R4578" s="25"/>
      <c r="S4578" s="55"/>
      <c r="T4578" s="56"/>
      <c r="U4578" s="25"/>
      <c r="V4578" s="25"/>
      <c r="W4578" s="25"/>
      <c r="X4578" s="25"/>
      <c r="Y4578" s="25"/>
      <c r="Z4578" s="25"/>
    </row>
    <row r="4579" spans="1:26" ht="52.5" customHeight="1" x14ac:dyDescent="0.25">
      <c r="A4579" s="25" t="str">
        <f ca="1">IFERROR(__xludf.DUMMYFUNCTION("""COMPUTED_VALUE"""),"Movil377")</f>
        <v>Movil377</v>
      </c>
      <c r="B4579" s="25" t="str">
        <f ca="1">IFERROR(__xludf.DUMMYFUNCTION("""COMPUTED_VALUE"""),"Proyectos IDU")</f>
        <v>Proyectos IDU</v>
      </c>
      <c r="C4579" s="55">
        <f ca="1">IFERROR(__xludf.DUMMYFUNCTION("""COMPUTED_VALUE"""),44159)</f>
        <v>44159</v>
      </c>
      <c r="D4579" s="25" t="str">
        <f ca="1">IFERROR(__xludf.DUMMYFUNCTION("""COMPUTED_VALUE"""),"Movilidad")</f>
        <v>Movilidad</v>
      </c>
      <c r="E4579" s="25" t="str">
        <f ca="1">IFERROR(__xludf.DUMMYFUNCTION("""COMPUTED_VALUE"""),"Instituto de Desarrollo Urbano")</f>
        <v>Instituto de Desarrollo Urbano</v>
      </c>
      <c r="F4579" s="25" t="str">
        <f ca="1">IFERROR(__xludf.DUMMYFUNCTION("""COMPUTED_VALUE"""),"Pedir al gobierno nacional (INVIAS) compensar el corredor férreo del sur con implementación del corredor férreo norte desde la caro hasta el KM 5 y con la implementación del metro Suba- Engativá")</f>
        <v>Pedir al gobierno nacional (INVIAS) compensar el corredor férreo del sur con implementación del corredor férreo norte desde la caro hasta el KM 5 y con la implementación del metro Suba- Engativá</v>
      </c>
      <c r="G4579" s="25" t="str">
        <f ca="1">IFERROR(__xludf.DUMMYFUNCTION("""COMPUTED_VALUE"""),"99. Distrito")</f>
        <v>99. Distrito</v>
      </c>
      <c r="H4579" s="55">
        <f ca="1">IFERROR(__xludf.DUMMYFUNCTION("""COMPUTED_VALUE"""),44189)</f>
        <v>44189</v>
      </c>
      <c r="I4579" s="25"/>
      <c r="J4579" s="55" t="str">
        <f ca="1">IFERROR(__xludf.DUMMYFUNCTION("""COMPUTED_VALUE"""),"Alta")</f>
        <v>Alta</v>
      </c>
      <c r="K4579" s="25">
        <f ca="1">IFERROR(__xludf.DUMMYFUNCTION("""COMPUTED_VALUE"""),30)</f>
        <v>30</v>
      </c>
      <c r="L4579" s="62">
        <f ca="1">IFERROR(__xludf.DUMMYFUNCTION("""COMPUTED_VALUE"""),44281)</f>
        <v>44281</v>
      </c>
      <c r="M4579" s="25" t="str">
        <f ca="1">IFERROR(__xludf.DUMMYFUNCTION("""COMPUTED_VALUE"""),"La compensación en términos de transporte masivo sería la línea de metro hasta Suba y Engativá
  Se requiere hacer una reunión con INVIAS y MINTransporte para tratar el tema. Esta reunión se propone para Enero 2021 cuando ya se tenga un borrador del CO"&amp;"NPES.
  INVAS envío propuesta de convenio la semana pasada, se están haciendo mesas de trabajo para acordar el convenio. Se han llevado a cabo 3 mesas.
  Ya se firmó el convenio(722-2021), ya se designaron los supervisores y comité de seguimiento po"&amp;"r parte de las dos entidades y el 25 de marzo se hizo recorrido para suscribir el acta de entrega del corredor férreo")</f>
        <v>La compensación en términos de transporte masivo sería la línea de metro hasta Suba y Engativá
  Se requiere hacer una reunión con INVIAS y MINTransporte para tratar el tema. Esta reunión se propone para Enero 2021 cuando ya se tenga un borrador del CONPES.
  INVAS envío propuesta de convenio la semana pasada, se están haciendo mesas de trabajo para acordar el convenio. Se han llevado a cabo 3 mesas.
  Ya se firmó el convenio(722-2021), ya se designaron los supervisores y comité de seguimiento por parte de las dos entidades y el 25 de marzo se hizo recorrido para suscribir el acta de entrega del corredor férreo</v>
      </c>
      <c r="N4579" s="55">
        <f ca="1">IFERROR(__xludf.DUMMYFUNCTION("""COMPUTED_VALUE"""),44281)</f>
        <v>44281</v>
      </c>
      <c r="O4579" s="25" t="str">
        <f t="shared" ca="1" si="0"/>
        <v>Instituto de Desarrollo Urbano</v>
      </c>
      <c r="P4579" s="25" t="str">
        <f t="shared" si="3"/>
        <v/>
      </c>
      <c r="Q4579" s="25" t="str">
        <f ca="1">IFERROR(__xludf.DUMMYFUNCTION("""COMPUTED_VALUE"""),"Corto plazo")</f>
        <v>Corto plazo</v>
      </c>
      <c r="R4579" s="25"/>
      <c r="S4579" s="55"/>
      <c r="T4579" s="56"/>
      <c r="U4579" s="25"/>
      <c r="V4579" s="25"/>
      <c r="W4579" s="25"/>
      <c r="X4579" s="25"/>
      <c r="Y4579" s="25"/>
      <c r="Z4579" s="25"/>
    </row>
    <row r="4580" spans="1:26" ht="52.5" customHeight="1" x14ac:dyDescent="0.25">
      <c r="A4580" s="25" t="str">
        <f ca="1">IFERROR(__xludf.DUMMYFUNCTION("""COMPUTED_VALUE"""),"Movil378")</f>
        <v>Movil378</v>
      </c>
      <c r="B4580" s="25" t="str">
        <f ca="1">IFERROR(__xludf.DUMMYFUNCTION("""COMPUTED_VALUE"""),"Proyectos IDU")</f>
        <v>Proyectos IDU</v>
      </c>
      <c r="C4580" s="55">
        <f ca="1">IFERROR(__xludf.DUMMYFUNCTION("""COMPUTED_VALUE"""),44159)</f>
        <v>44159</v>
      </c>
      <c r="D4580" s="25" t="str">
        <f ca="1">IFERROR(__xludf.DUMMYFUNCTION("""COMPUTED_VALUE"""),"Movilidad")</f>
        <v>Movilidad</v>
      </c>
      <c r="E4580" s="25" t="str">
        <f ca="1">IFERROR(__xludf.DUMMYFUNCTION("""COMPUTED_VALUE"""),"Instituto de Desarrollo Urbano")</f>
        <v>Instituto de Desarrollo Urbano</v>
      </c>
      <c r="F4580" s="25" t="str">
        <f ca="1">IFERROR(__xludf.DUMMYFUNCTION("""COMPUTED_VALUE"""),"Coordinar con IDT para empatar los estudios que están haciendo en Monserrate, con los estudios que necesita el cable hasta allí")</f>
        <v>Coordinar con IDT para empatar los estudios que están haciendo en Monserrate, con los estudios que necesita el cable hasta allí</v>
      </c>
      <c r="G4580" s="25" t="str">
        <f ca="1">IFERROR(__xludf.DUMMYFUNCTION("""COMPUTED_VALUE"""),"99. Distrito")</f>
        <v>99. Distrito</v>
      </c>
      <c r="H4580" s="55">
        <f ca="1">IFERROR(__xludf.DUMMYFUNCTION("""COMPUTED_VALUE"""),44189)</f>
        <v>44189</v>
      </c>
      <c r="I4580" s="25"/>
      <c r="J4580" s="55" t="str">
        <f ca="1">IFERROR(__xludf.DUMMYFUNCTION("""COMPUTED_VALUE"""),"Alta")</f>
        <v>Alta</v>
      </c>
      <c r="K4580" s="25">
        <f ca="1">IFERROR(__xludf.DUMMYFUNCTION("""COMPUTED_VALUE"""),30)</f>
        <v>30</v>
      </c>
      <c r="L4580" s="62">
        <f ca="1">IFERROR(__xludf.DUMMYFUNCTION("""COMPUTED_VALUE"""),44407)</f>
        <v>44407</v>
      </c>
      <c r="M4580" s="25" t="str">
        <f ca="1">IFERROR(__xludf.DUMMYFUNCTION("""COMPUTED_VALUE"""),"El IDU y la Empresa Metro de Medellín Suscribieron un Contrato Interadministrativo con el obJeto de ""Desarrollar los estudios de prefactibilidad para la concepción del sistema de cable aéreo para el Centro Histórico de la ciudad de Bogotá"", en el marco "&amp;"de dicho contrato, el consultor deberá armonizar el proyecto con los estudios de IDT. IDT Entregó los estudios al IDU, los cuales fueron remitidos al consultor para análisis y propuesta de armonización.")</f>
        <v>El IDU y la Empresa Metro de Medellín Suscribieron un Contrato Interadministrativo con el obJeto de "Desarrollar los estudios de prefactibilidad para la concepción del sistema de cable aéreo para el Centro Histórico de la ciudad de Bogotá", en el marco de dicho contrato, el consultor deberá armonizar el proyecto con los estudios de IDT. IDT Entregó los estudios al IDU, los cuales fueron remitidos al consultor para análisis y propuesta de armonización.</v>
      </c>
      <c r="N4580" s="55">
        <f ca="1">IFERROR(__xludf.DUMMYFUNCTION("""COMPUTED_VALUE"""),44407)</f>
        <v>44407</v>
      </c>
      <c r="O4580" s="25" t="str">
        <f t="shared" ca="1" si="0"/>
        <v>Instituto de Desarrollo Urbano</v>
      </c>
      <c r="P4580" s="25" t="str">
        <f t="shared" si="3"/>
        <v/>
      </c>
      <c r="Q4580" s="25" t="str">
        <f ca="1">IFERROR(__xludf.DUMMYFUNCTION("""COMPUTED_VALUE"""),"Corto plazo")</f>
        <v>Corto plazo</v>
      </c>
      <c r="R4580" s="25"/>
      <c r="S4580" s="55"/>
      <c r="T4580" s="56"/>
      <c r="U4580" s="25"/>
      <c r="V4580" s="25"/>
      <c r="W4580" s="25"/>
      <c r="X4580" s="25"/>
      <c r="Y4580" s="25"/>
      <c r="Z4580" s="25"/>
    </row>
    <row r="4581" spans="1:26" ht="52.5" customHeight="1" x14ac:dyDescent="0.25">
      <c r="A4581" s="25" t="str">
        <f ca="1">IFERROR(__xludf.DUMMYFUNCTION("""COMPUTED_VALUE"""),"Movil379")</f>
        <v>Movil379</v>
      </c>
      <c r="B4581" s="25" t="str">
        <f ca="1">IFERROR(__xludf.DUMMYFUNCTION("""COMPUTED_VALUE"""),"Proyectos IDU")</f>
        <v>Proyectos IDU</v>
      </c>
      <c r="C4581" s="55">
        <f ca="1">IFERROR(__xludf.DUMMYFUNCTION("""COMPUTED_VALUE"""),44159)</f>
        <v>44159</v>
      </c>
      <c r="D4581" s="25" t="str">
        <f ca="1">IFERROR(__xludf.DUMMYFUNCTION("""COMPUTED_VALUE"""),"Movilidad")</f>
        <v>Movilidad</v>
      </c>
      <c r="E4581" s="25" t="str">
        <f ca="1">IFERROR(__xludf.DUMMYFUNCTION("""COMPUTED_VALUE"""),"Instituto de Desarrollo Urbano")</f>
        <v>Instituto de Desarrollo Urbano</v>
      </c>
      <c r="F4581" s="25" t="str">
        <f ca="1">IFERROR(__xludf.DUMMYFUNCTION("""COMPUTED_VALUE"""),"Meter las obras de los andenes de la G y la plata destinada a los estudios de Monserrate como parte de la cofinanciación del CV7ma")</f>
        <v>Meter las obras de los andenes de la G y la plata destinada a los estudios de Monserrate como parte de la cofinanciación del CV7ma</v>
      </c>
      <c r="G4581" s="25" t="str">
        <f ca="1">IFERROR(__xludf.DUMMYFUNCTION("""COMPUTED_VALUE"""),"99. Distrito")</f>
        <v>99. Distrito</v>
      </c>
      <c r="H4581" s="55">
        <f ca="1">IFERROR(__xludf.DUMMYFUNCTION("""COMPUTED_VALUE"""),44189)</f>
        <v>44189</v>
      </c>
      <c r="I4581" s="25"/>
      <c r="J4581" s="55" t="str">
        <f ca="1">IFERROR(__xludf.DUMMYFUNCTION("""COMPUTED_VALUE"""),"Alta")</f>
        <v>Alta</v>
      </c>
      <c r="K4581" s="25">
        <f ca="1">IFERROR(__xludf.DUMMYFUNCTION("""COMPUTED_VALUE"""),30)</f>
        <v>30</v>
      </c>
      <c r="L4581" s="62">
        <f ca="1">IFERROR(__xludf.DUMMYFUNCTION("""COMPUTED_VALUE"""),44267)</f>
        <v>44267</v>
      </c>
      <c r="M4581" s="25" t="str">
        <f ca="1">IFERROR(__xludf.DUMMYFUNCTION("""COMPUTED_VALUE"""),"Para los andenes zona G se tiene Estudios y diseños del contrato 1564-2017 y unos estudios entregados por alcaldía local. 
 Los diseños de Monserrate los adelanta IDT. 
 Una vez se cuente los los diseños de CV7 se considerarán para la contratación de"&amp;" obra.")</f>
        <v>Para los andenes zona G se tiene Estudios y diseños del contrato 1564-2017 y unos estudios entregados por alcaldía local. 
 Los diseños de Monserrate los adelanta IDT. 
 Una vez se cuente los los diseños de CV7 se considerarán para la contratación de obra.</v>
      </c>
      <c r="N4581" s="55">
        <f ca="1">IFERROR(__xludf.DUMMYFUNCTION("""COMPUTED_VALUE"""),44267)</f>
        <v>44267</v>
      </c>
      <c r="O4581" s="25" t="str">
        <f t="shared" ca="1" si="0"/>
        <v>Instituto de Desarrollo Urbano</v>
      </c>
      <c r="P4581" s="25" t="str">
        <f t="shared" si="3"/>
        <v/>
      </c>
      <c r="Q4581" s="25" t="str">
        <f ca="1">IFERROR(__xludf.DUMMYFUNCTION("""COMPUTED_VALUE"""),"Corto plazo")</f>
        <v>Corto plazo</v>
      </c>
      <c r="R4581" s="25"/>
      <c r="S4581" s="55"/>
      <c r="T4581" s="56"/>
      <c r="U4581" s="25"/>
      <c r="V4581" s="25"/>
      <c r="W4581" s="25"/>
      <c r="X4581" s="25"/>
      <c r="Y4581" s="25"/>
      <c r="Z4581" s="25"/>
    </row>
    <row r="4582" spans="1:26" ht="52.5" customHeight="1" x14ac:dyDescent="0.25">
      <c r="A4582" s="25" t="str">
        <f ca="1">IFERROR(__xludf.DUMMYFUNCTION("""COMPUTED_VALUE"""),"Movil380")</f>
        <v>Movil380</v>
      </c>
      <c r="B4582" s="25" t="str">
        <f ca="1">IFERROR(__xludf.DUMMYFUNCTION("""COMPUTED_VALUE"""),"Proyectos IDU")</f>
        <v>Proyectos IDU</v>
      </c>
      <c r="C4582" s="55">
        <f ca="1">IFERROR(__xludf.DUMMYFUNCTION("""COMPUTED_VALUE"""),44159)</f>
        <v>44159</v>
      </c>
      <c r="D4582" s="25" t="str">
        <f ca="1">IFERROR(__xludf.DUMMYFUNCTION("""COMPUTED_VALUE"""),"Movilidad")</f>
        <v>Movilidad</v>
      </c>
      <c r="E4582" s="25" t="str">
        <f ca="1">IFERROR(__xludf.DUMMYFUNCTION("""COMPUTED_VALUE"""),"Instituto de Desarrollo Urbano")</f>
        <v>Instituto de Desarrollo Urbano</v>
      </c>
      <c r="F4582" s="25" t="str">
        <f ca="1">IFERROR(__xludf.DUMMYFUNCTION("""COMPUTED_VALUE"""),"Construir el anillo vial de Bosa")</f>
        <v>Construir el anillo vial de Bosa</v>
      </c>
      <c r="G4582" s="25" t="str">
        <f ca="1">IFERROR(__xludf.DUMMYFUNCTION("""COMPUTED_VALUE"""),"99. Distrito")</f>
        <v>99. Distrito</v>
      </c>
      <c r="H4582" s="55">
        <f ca="1">IFERROR(__xludf.DUMMYFUNCTION("""COMPUTED_VALUE"""),44189)</f>
        <v>44189</v>
      </c>
      <c r="I4582" s="25"/>
      <c r="J4582" s="55" t="str">
        <f ca="1">IFERROR(__xludf.DUMMYFUNCTION("""COMPUTED_VALUE"""),"Alta")</f>
        <v>Alta</v>
      </c>
      <c r="K4582" s="25">
        <f ca="1">IFERROR(__xludf.DUMMYFUNCTION("""COMPUTED_VALUE"""),30)</f>
        <v>30</v>
      </c>
      <c r="L4582" s="62">
        <f ca="1">IFERROR(__xludf.DUMMYFUNCTION("""COMPUTED_VALUE"""),44748)</f>
        <v>44748</v>
      </c>
      <c r="M4582" s="25" t="str">
        <f ca="1">IFERROR(__xludf.DUMMYFUNCTION("""COMPUTED_VALUE"""),"Se apropiaron 6000 millones para desarrollar estudios y diseños para la Av. Tintal y Av. circunvalar del sur.
La SDM  en el mes de mayo del 2021, efectuó y presentó al IDU, Análisis de impacto y beneficios para la Movilidad a través de la la aplicación d"&amp;"el modelo 4 etapas para la priorización de proyectos  de infraestructura vial en la Localidad de Bosa.
Se  elaboró  el  Modelo  de Transporte  de  Cuatro  Etapas  de  Bogotá  (MTCEB),  para  así  determinar proyectos un  orden de priorización  para  los "&amp;" proyectos  de  infraestructura vial  en  la  localidad  de  Bosa,  en  el suroccidente  del  Distrito.  El  análisis  desarrollado se estructura en  el  marco  de  las  actuaciones  distritales  para  la  intervención  y  mejora de la  conectividad  de  "&amp;"la  localidad  de  Bosa,  y  de  las  piezas  urbanas Campo Verde,  Bosa  37,  La  Marlene, El  Edén y  El  Descanso.
IDU se encuentra desarrollando la prefactibilidad.
Se acordó con los promotores (Cusezar, C. Bolívar y C. Capital) ellos adelantan estu"&amp;"dios y diseños, para lo cual se les remitió el procedimiento para obtener el permiso voluntario para el desarrollo de proyectos de infraestructura en etapa de estudios y diseños. Vías por promotores: calzada occidental de la Av. Bosa entre Av. Guayacanes "&amp;"y Av. Santa fe, Av. Guayacanes entre Av. Bosa y Av. San Bernardino y Av. San Bernardino entre Av. Guayacanes y Av. Santa Fe. 
La Av. Tintal se encuentra en etapa de prefactibilidad la cual se desarrolla In House en la Dirección Técnica de Proyectos del I"&amp;"DU.")</f>
        <v>Se apropiaron 6000 millones para desarrollar estudios y diseños para la Av. Tintal y Av. circunvalar del sur.
La SDM  en el mes de mayo del 2021, efectuó y presentó al IDU, Análisis de impacto y beneficios para la Movilidad a través de la la aplicación del modelo 4 etapas para la priorización de proyectos  de infraestructura vial en la Localidad de Bosa.
Se  elaboró  el  Modelo  de Transporte  de  Cuatro  Etapas  de  Bogotá  (MTCEB),  para  así  determinar proyectos un  orden de priorización  para  los  proyectos  de  infraestructura vial  en  la  localidad  de  Bosa,  en  el suroccidente  del  Distrito.  El  análisis  desarrollado se estructura en  el  marco  de  las  actuaciones  distritales  para  la  intervención  y  mejora de la  conectividad  de  la  localidad  de  Bosa,  y  de  las  piezas  urbanas Campo Verde,  Bosa  37,  La  Marlene, El  Edén y  El  Descanso.
IDU se encuentra desarrollando la prefactibilidad.
Se acordó con los promotores (Cusezar, C. Bolívar y C. Capital) ellos adelantan estudios y diseños, para lo cual se les remitió el procedimiento para obtener el permiso voluntario para el desarrollo de proyectos de infraestructura en etapa de estudios y diseños. Vías por promotores: calzada occidental de la Av. Bosa entre Av. Guayacanes y Av. Santa fe, Av. Guayacanes entre Av. Bosa y Av. San Bernardino y Av. San Bernardino entre Av. Guayacanes y Av. Santa Fe. 
La Av. Tintal se encuentra en etapa de prefactibilidad la cual se desarrolla In House en la Dirección Técnica de Proyectos del IDU.</v>
      </c>
      <c r="N4582" s="55">
        <f ca="1">IFERROR(__xludf.DUMMYFUNCTION("""COMPUTED_VALUE"""),44748)</f>
        <v>44748</v>
      </c>
      <c r="O4582" s="25" t="str">
        <f t="shared" ca="1" si="0"/>
        <v>Instituto de Desarrollo Urbano</v>
      </c>
      <c r="P4582" s="25" t="str">
        <f t="shared" si="3"/>
        <v/>
      </c>
      <c r="Q4582" s="25" t="str">
        <f ca="1">IFERROR(__xludf.DUMMYFUNCTION("""COMPUTED_VALUE"""),"Corto plazo")</f>
        <v>Corto plazo</v>
      </c>
      <c r="R4582" s="25"/>
      <c r="S4582" s="55"/>
      <c r="T4582" s="56"/>
      <c r="U4582" s="25"/>
      <c r="V4582" s="25"/>
      <c r="W4582" s="25"/>
      <c r="X4582" s="25"/>
      <c r="Y4582" s="25"/>
      <c r="Z4582" s="25"/>
    </row>
    <row r="4583" spans="1:26" ht="52.5" customHeight="1" x14ac:dyDescent="0.25">
      <c r="A4583" s="25" t="str">
        <f ca="1">IFERROR(__xludf.DUMMYFUNCTION("""COMPUTED_VALUE"""),"Movil381")</f>
        <v>Movil381</v>
      </c>
      <c r="B4583" s="25" t="str">
        <f ca="1">IFERROR(__xludf.DUMMYFUNCTION("""COMPUTED_VALUE"""),"Proyectos IDU")</f>
        <v>Proyectos IDU</v>
      </c>
      <c r="C4583" s="55">
        <f ca="1">IFERROR(__xludf.DUMMYFUNCTION("""COMPUTED_VALUE"""),44159)</f>
        <v>44159</v>
      </c>
      <c r="D4583" s="25" t="str">
        <f ca="1">IFERROR(__xludf.DUMMYFUNCTION("""COMPUTED_VALUE"""),"Movilidad")</f>
        <v>Movilidad</v>
      </c>
      <c r="E4583" s="25" t="str">
        <f ca="1">IFERROR(__xludf.DUMMYFUNCTION("""COMPUTED_VALUE"""),"Instituto de Desarrollo Urbano")</f>
        <v>Instituto de Desarrollo Urbano</v>
      </c>
      <c r="F4583" s="25" t="str">
        <f ca="1">IFERROR(__xludf.DUMMYFUNCTION("""COMPUTED_VALUE"""),"Meter como parte del paquete borde occidental, los tramos 3 y 8 de los proyectos priorizados POR")</f>
        <v>Meter como parte del paquete borde occidental, los tramos 3 y 8 de los proyectos priorizados POR</v>
      </c>
      <c r="G4583" s="25" t="str">
        <f ca="1">IFERROR(__xludf.DUMMYFUNCTION("""COMPUTED_VALUE"""),"99. Distrito")</f>
        <v>99. Distrito</v>
      </c>
      <c r="H4583" s="55">
        <f ca="1">IFERROR(__xludf.DUMMYFUNCTION("""COMPUTED_VALUE"""),44189)</f>
        <v>44189</v>
      </c>
      <c r="I4583" s="25"/>
      <c r="J4583" s="55" t="str">
        <f ca="1">IFERROR(__xludf.DUMMYFUNCTION("""COMPUTED_VALUE"""),"Alta")</f>
        <v>Alta</v>
      </c>
      <c r="K4583" s="25">
        <f ca="1">IFERROR(__xludf.DUMMYFUNCTION("""COMPUTED_VALUE"""),30)</f>
        <v>30</v>
      </c>
      <c r="L4583" s="62">
        <f ca="1">IFERROR(__xludf.DUMMYFUNCTION("""COMPUTED_VALUE"""),44208)</f>
        <v>44208</v>
      </c>
      <c r="M4583" s="25" t="str">
        <f ca="1">IFERROR(__xludf.DUMMYFUNCTION("""COMPUTED_VALUE"""),"Se decidió que esos dos tramos Tramo 3: Av. Cortijo y conexión avenida Chile y Tramo 8: Av. Bolivia se deberían financiar en Bogotá ya que el borde occidental tiene como principal vías de integración regional y que apunten a la consolidación de transporte"&amp;" masivo.")</f>
        <v>Se decidió que esos dos tramos Tramo 3: Av. Cortijo y conexión avenida Chile y Tramo 8: Av. Bolivia se deberían financiar en Bogotá ya que el borde occidental tiene como principal vías de integración regional y que apunten a la consolidación de transporte masivo.</v>
      </c>
      <c r="N4583" s="55">
        <f ca="1">IFERROR(__xludf.DUMMYFUNCTION("""COMPUTED_VALUE"""),44208)</f>
        <v>44208</v>
      </c>
      <c r="O4583" s="25" t="str">
        <f t="shared" ca="1" si="0"/>
        <v>Instituto de Desarrollo Urbano</v>
      </c>
      <c r="P4583" s="25" t="str">
        <f t="shared" si="3"/>
        <v/>
      </c>
      <c r="Q4583" s="25" t="str">
        <f ca="1">IFERROR(__xludf.DUMMYFUNCTION("""COMPUTED_VALUE"""),"Corto plazo")</f>
        <v>Corto plazo</v>
      </c>
      <c r="R4583" s="25"/>
      <c r="S4583" s="55"/>
      <c r="T4583" s="56"/>
      <c r="U4583" s="25"/>
      <c r="V4583" s="25"/>
      <c r="W4583" s="25"/>
      <c r="X4583" s="25"/>
      <c r="Y4583" s="25"/>
      <c r="Z4583" s="25"/>
    </row>
    <row r="4584" spans="1:26" ht="52.5" customHeight="1" x14ac:dyDescent="0.25">
      <c r="A4584" s="25" t="str">
        <f ca="1">IFERROR(__xludf.DUMMYFUNCTION("""COMPUTED_VALUE"""),"Movil382")</f>
        <v>Movil382</v>
      </c>
      <c r="B4584" s="25" t="str">
        <f ca="1">IFERROR(__xludf.DUMMYFUNCTION("""COMPUTED_VALUE"""),"Proyectos IDU")</f>
        <v>Proyectos IDU</v>
      </c>
      <c r="C4584" s="55">
        <f ca="1">IFERROR(__xludf.DUMMYFUNCTION("""COMPUTED_VALUE"""),44159)</f>
        <v>44159</v>
      </c>
      <c r="D4584" s="25" t="str">
        <f ca="1">IFERROR(__xludf.DUMMYFUNCTION("""COMPUTED_VALUE"""),"Movilidad")</f>
        <v>Movilidad</v>
      </c>
      <c r="E4584" s="25" t="str">
        <f ca="1">IFERROR(__xludf.DUMMYFUNCTION("""COMPUTED_VALUE"""),"Instituto de Desarrollo Urbano")</f>
        <v>Instituto de Desarrollo Urbano</v>
      </c>
      <c r="F4584" s="25" t="str">
        <f ca="1">IFERROR(__xludf.DUMMYFUNCTION("""COMPUTED_VALUE"""),"Iniciar el proyecto de mejoramiento de espacio bajo puentes, en coordinación con IDARTES, Hábitat, Seguridad y demás entidades competentes")</f>
        <v>Iniciar el proyecto de mejoramiento de espacio bajo puentes, en coordinación con IDARTES, Hábitat, Seguridad y demás entidades competentes</v>
      </c>
      <c r="G4584" s="25" t="str">
        <f ca="1">IFERROR(__xludf.DUMMYFUNCTION("""COMPUTED_VALUE"""),"99. Distrito")</f>
        <v>99. Distrito</v>
      </c>
      <c r="H4584" s="55">
        <f ca="1">IFERROR(__xludf.DUMMYFUNCTION("""COMPUTED_VALUE"""),44189)</f>
        <v>44189</v>
      </c>
      <c r="I4584" s="25"/>
      <c r="J4584" s="55" t="str">
        <f ca="1">IFERROR(__xludf.DUMMYFUNCTION("""COMPUTED_VALUE"""),"Alta")</f>
        <v>Alta</v>
      </c>
      <c r="K4584" s="25">
        <f ca="1">IFERROR(__xludf.DUMMYFUNCTION("""COMPUTED_VALUE"""),30)</f>
        <v>30</v>
      </c>
      <c r="L4584" s="62">
        <f ca="1">IFERROR(__xludf.DUMMYFUNCTION("""COMPUTED_VALUE"""),44295)</f>
        <v>44295</v>
      </c>
      <c r="M4584" s="25" t="str">
        <f ca="1">IFERROR(__xludf.DUMMYFUNCTION("""COMPUTED_VALUE"""),"Convenio marco con IDARTES suscrito el 19-01-2021. El 25 de marzo de 2021 se suscribió el Convenio Derivado específico del traslado de 5.000 millones destinados para el arte para los puentes vehiculares. 
  PUENTES:
  1. Calle 170 por Autopista norte
 "&amp;" 2. Av. Sirena por Av. Paseo Los Libertadores
  3. Calle 53 por Av. Ciudad de Quito 
  4. Av. Ciudad de Cali por Av. Jorge Eliécer Gaitán
  5. Av. Luis Carlos Galán Sarmiento por Av. Boyaca")</f>
        <v>Convenio marco con IDARTES suscrito el 19-01-2021. El 25 de marzo de 2021 se suscribió el Convenio Derivado específico del traslado de 5.000 millones destinados para el arte para los puentes vehiculares. 
  PUENTES:
  1. Calle 170 por Autopista norte
  2. Av. Sirena por Av. Paseo Los Libertadores
  3. Calle 53 por Av. Ciudad de Quito 
  4. Av. Ciudad de Cali por Av. Jorge Eliécer Gaitán
  5. Av. Luis Carlos Galán Sarmiento por Av. Boyaca</v>
      </c>
      <c r="N4584" s="55">
        <f ca="1">IFERROR(__xludf.DUMMYFUNCTION("""COMPUTED_VALUE"""),44295)</f>
        <v>44295</v>
      </c>
      <c r="O4584" s="25" t="str">
        <f t="shared" ca="1" si="0"/>
        <v>Instituto de Desarrollo Urbano</v>
      </c>
      <c r="P4584" s="25" t="str">
        <f t="shared" si="3"/>
        <v/>
      </c>
      <c r="Q4584" s="25" t="str">
        <f ca="1">IFERROR(__xludf.DUMMYFUNCTION("""COMPUTED_VALUE"""),"Corto plazo")</f>
        <v>Corto plazo</v>
      </c>
      <c r="R4584" s="25"/>
      <c r="S4584" s="55"/>
      <c r="T4584" s="56"/>
      <c r="U4584" s="25"/>
      <c r="V4584" s="25"/>
      <c r="W4584" s="25"/>
      <c r="X4584" s="25"/>
      <c r="Y4584" s="25"/>
      <c r="Z4584" s="25"/>
    </row>
    <row r="4585" spans="1:26" ht="52.5" customHeight="1" x14ac:dyDescent="0.25">
      <c r="A4585" s="25" t="str">
        <f ca="1">IFERROR(__xludf.DUMMYFUNCTION("""COMPUTED_VALUE"""),"Movil383")</f>
        <v>Movil383</v>
      </c>
      <c r="B4585" s="25" t="str">
        <f ca="1">IFERROR(__xludf.DUMMYFUNCTION("""COMPUTED_VALUE"""),"Proyectos IDU")</f>
        <v>Proyectos IDU</v>
      </c>
      <c r="C4585" s="55">
        <f ca="1">IFERROR(__xludf.DUMMYFUNCTION("""COMPUTED_VALUE"""),44159)</f>
        <v>44159</v>
      </c>
      <c r="D4585" s="25" t="str">
        <f ca="1">IFERROR(__xludf.DUMMYFUNCTION("""COMPUTED_VALUE"""),"Movilidad")</f>
        <v>Movilidad</v>
      </c>
      <c r="E4585" s="25" t="str">
        <f ca="1">IFERROR(__xludf.DUMMYFUNCTION("""COMPUTED_VALUE"""),"Instituto de Desarrollo Urbano")</f>
        <v>Instituto de Desarrollo Urbano</v>
      </c>
      <c r="F4585" s="25" t="str">
        <f ca="1">IFERROR(__xludf.DUMMYFUNCTION("""COMPUTED_VALUE"""),"Buscar partner comercial para la instalación de cicloparqueaderos")</f>
        <v>Buscar partner comercial para la instalación de cicloparqueaderos</v>
      </c>
      <c r="G4585" s="25" t="str">
        <f ca="1">IFERROR(__xludf.DUMMYFUNCTION("""COMPUTED_VALUE"""),"99. Distrito")</f>
        <v>99. Distrito</v>
      </c>
      <c r="H4585" s="55">
        <f ca="1">IFERROR(__xludf.DUMMYFUNCTION("""COMPUTED_VALUE"""),44189)</f>
        <v>44189</v>
      </c>
      <c r="I4585" s="25"/>
      <c r="J4585" s="55" t="str">
        <f ca="1">IFERROR(__xludf.DUMMYFUNCTION("""COMPUTED_VALUE"""),"Alta")</f>
        <v>Alta</v>
      </c>
      <c r="K4585" s="25">
        <f ca="1">IFERROR(__xludf.DUMMYFUNCTION("""COMPUTED_VALUE"""),30)</f>
        <v>30</v>
      </c>
      <c r="L4585" s="62">
        <f ca="1">IFERROR(__xludf.DUMMYFUNCTION("""COMPUTED_VALUE"""),44826)</f>
        <v>44826</v>
      </c>
      <c r="M4585" s="25" t="str">
        <f ca="1">IFERROR(__xludf.DUMMYFUNCTION("""COMPUTED_VALUE"""),"En la tercera semana de septiembre, se finalizó la revisión de análisis a nivel de perfil sobre las zonas bajo puentes dando en totalidad 44 puntos (88 puentes); sobre los cuales se realiza una clasificación de cuáles tienen potencial para el desarrollo d"&amp;"e espacio público a nivel de diseños y otros sólo requieren una intervención a nivel de conservación. En la reunión con SDM (16/09/2021), señalaron algunos puntos donde se puede incluir las zonas de cicloestaciones bajo puentes, sobre la cual se quedó con"&amp;" el compromiso de la entrega de esta revisión por SDM para que UD pueda contrastar con el ejercicio realizado a nivel de perfil y luego pasar a su análisis a nivel de prefactibilidad.
SDM: se está buscando con privados lograr convenios, especialmente cer"&amp;"ca de estaciones de Transmilenio. Pero no se ha definido con un actor en específico.
En cuanto a las alianzas estratégicas, desde la Secretaría Distrital de Movilidad, se han realizado 36 asesorías técnicas con empresas del sector privado que se han inte"&amp;"resado por habilitar cicloparqueaderos, acogiéndose al Acuerdo Distrital 780 de 2020 (Descuento otorgado en el impuesto del ICA por habilitar cicloparqueaderos).  A la fecha han sido aprobados dos beneficios que corresponden a dos empresas privadas (45 cu"&amp;"pos de cicloparqueaderos). ")</f>
        <v xml:space="preserve">En la tercera semana de septiembre, se finalizó la revisión de análisis a nivel de perfil sobre las zonas bajo puentes dando en totalidad 44 puntos (88 puentes); sobre los cuales se realiza una clasificación de cuáles tienen potencial para el desarrollo de espacio público a nivel de diseños y otros sólo requieren una intervención a nivel de conservación. En la reunión con SDM (16/09/2021), señalaron algunos puntos donde se puede incluir las zonas de cicloestaciones bajo puentes, sobre la cual se quedó con el compromiso de la entrega de esta revisión por SDM para que UD pueda contrastar con el ejercicio realizado a nivel de perfil y luego pasar a su análisis a nivel de prefactibilidad.
SDM: se está buscando con privados lograr convenios, especialmente cerca de estaciones de Transmilenio. Pero no se ha definido con un actor en específico.
En cuanto a las alianzas estratégicas, desde la Secretaría Distrital de Movilidad, se han realizado 36 asesorías técnicas con empresas del sector privado que se han interesado por habilitar cicloparqueaderos, acogiéndose al Acuerdo Distrital 780 de 2020 (Descuento otorgado en el impuesto del ICA por habilitar cicloparqueaderos).  A la fecha han sido aprobados dos beneficios que corresponden a dos empresas privadas (45 cupos de cicloparqueaderos). </v>
      </c>
      <c r="N4585" s="55">
        <f ca="1">IFERROR(__xludf.DUMMYFUNCTION("""COMPUTED_VALUE"""),44826)</f>
        <v>44826</v>
      </c>
      <c r="O4585" s="25" t="str">
        <f t="shared" ca="1" si="0"/>
        <v>Instituto de Desarrollo Urbano</v>
      </c>
      <c r="P4585" s="25" t="str">
        <f t="shared" si="3"/>
        <v/>
      </c>
      <c r="Q4585" s="25" t="str">
        <f ca="1">IFERROR(__xludf.DUMMYFUNCTION("""COMPUTED_VALUE"""),"Corto plazo")</f>
        <v>Corto plazo</v>
      </c>
      <c r="R4585" s="25"/>
      <c r="S4585" s="55"/>
      <c r="T4585" s="56"/>
      <c r="U4585" s="25"/>
      <c r="V4585" s="25"/>
      <c r="W4585" s="25"/>
      <c r="X4585" s="25"/>
      <c r="Y4585" s="25"/>
      <c r="Z4585" s="25"/>
    </row>
    <row r="4586" spans="1:26" ht="52.5" customHeight="1" x14ac:dyDescent="0.25">
      <c r="A4586" s="25" t="str">
        <f ca="1">IFERROR(__xludf.DUMMYFUNCTION("""COMPUTED_VALUE"""),"Movil384")</f>
        <v>Movil384</v>
      </c>
      <c r="B4586" s="25" t="str">
        <f ca="1">IFERROR(__xludf.DUMMYFUNCTION("""COMPUTED_VALUE"""),"Reunión troncal Av. 68")</f>
        <v>Reunión troncal Av. 68</v>
      </c>
      <c r="C4586" s="55">
        <f ca="1">IFERROR(__xludf.DUMMYFUNCTION("""COMPUTED_VALUE"""),44159)</f>
        <v>44159</v>
      </c>
      <c r="D4586" s="25" t="str">
        <f ca="1">IFERROR(__xludf.DUMMYFUNCTION("""COMPUTED_VALUE"""),"Movilidad")</f>
        <v>Movilidad</v>
      </c>
      <c r="E4586" s="25" t="str">
        <f ca="1">IFERROR(__xludf.DUMMYFUNCTION("""COMPUTED_VALUE"""),"Instituto de Desarrollo Urbano")</f>
        <v>Instituto de Desarrollo Urbano</v>
      </c>
      <c r="F4586" s="25" t="str">
        <f ca="1">IFERROR(__xludf.DUMMYFUNCTION("""COMPUTED_VALUE"""),"Revisar el diseño y ubicación del ciclo puente de la troncal 68, tramo 7, a la altura de Cafam Floresta")</f>
        <v>Revisar el diseño y ubicación del ciclo puente de la troncal 68, tramo 7, a la altura de Cafam Floresta</v>
      </c>
      <c r="G4586" s="25" t="str">
        <f ca="1">IFERROR(__xludf.DUMMYFUNCTION("""COMPUTED_VALUE"""),"99. Distrito")</f>
        <v>99. Distrito</v>
      </c>
      <c r="H4586" s="55">
        <f ca="1">IFERROR(__xludf.DUMMYFUNCTION("""COMPUTED_VALUE"""),44189)</f>
        <v>44189</v>
      </c>
      <c r="I4586" s="25"/>
      <c r="J4586" s="55" t="str">
        <f ca="1">IFERROR(__xludf.DUMMYFUNCTION("""COMPUTED_VALUE"""),"Alta")</f>
        <v>Alta</v>
      </c>
      <c r="K4586" s="25">
        <f ca="1">IFERROR(__xludf.DUMMYFUNCTION("""COMPUTED_VALUE"""),30)</f>
        <v>30</v>
      </c>
      <c r="L4586" s="62">
        <f ca="1">IFERROR(__xludf.DUMMYFUNCTION("""COMPUTED_VALUE"""),44228)</f>
        <v>44228</v>
      </c>
      <c r="M4586" s="25" t="str">
        <f ca="1">IFERROR(__xludf.DUMMYFUNCTION("""COMPUTED_VALUE"""),"El interventor elaboró informe que contempla las características específicas del bici puente a
  construir y la movilidad de bici usuarios y peatones que beneficiará. En visita al sitio se constataron
  las características del bici puente actual, la conti"&amp;"nuidad de la ciclorruta por la margen norte del Canal Salitre y a ambos costados de la K68.
 Al verificar las condiciones del ciclo puente y la continuidad de la ciclorruta se mantiene la ubicación del mismo. El contratista verificó y es sustento para apr"&amp;"obación del PMT especifico para adelantar la etapa de construcción. - CERRADO")</f>
        <v>El interventor elaboró informe que contempla las características específicas del bici puente a
  construir y la movilidad de bici usuarios y peatones que beneficiará. En visita al sitio se constataron
  las características del bici puente actual, la continuidad de la ciclorruta por la margen norte del Canal Salitre y a ambos costados de la K68.
 Al verificar las condiciones del ciclo puente y la continuidad de la ciclorruta se mantiene la ubicación del mismo. El contratista verificó y es sustento para aprobación del PMT especifico para adelantar la etapa de construcción. - CERRADO</v>
      </c>
      <c r="N4586" s="55">
        <f ca="1">IFERROR(__xludf.DUMMYFUNCTION("""COMPUTED_VALUE"""),44228)</f>
        <v>44228</v>
      </c>
      <c r="O4586" s="25" t="str">
        <f t="shared" ca="1" si="0"/>
        <v>Instituto de Desarrollo Urbano</v>
      </c>
      <c r="P4586" s="25" t="str">
        <f t="shared" si="3"/>
        <v/>
      </c>
      <c r="Q4586" s="25" t="str">
        <f ca="1">IFERROR(__xludf.DUMMYFUNCTION("""COMPUTED_VALUE"""),"Corto plazo")</f>
        <v>Corto plazo</v>
      </c>
      <c r="R4586" s="25"/>
      <c r="S4586" s="55"/>
      <c r="T4586" s="56"/>
      <c r="U4586" s="25"/>
      <c r="V4586" s="25"/>
      <c r="W4586" s="25"/>
      <c r="X4586" s="25"/>
      <c r="Y4586" s="25"/>
      <c r="Z4586" s="25"/>
    </row>
    <row r="4587" spans="1:26" ht="52.5" customHeight="1" x14ac:dyDescent="0.25">
      <c r="A4587" s="25" t="str">
        <f ca="1">IFERROR(__xludf.DUMMYFUNCTION("""COMPUTED_VALUE"""),"Movil385")</f>
        <v>Movil385</v>
      </c>
      <c r="B4587" s="25" t="str">
        <f ca="1">IFERROR(__xludf.DUMMYFUNCTION("""COMPUTED_VALUE"""),"Reunión troncal Av. 68")</f>
        <v>Reunión troncal Av. 68</v>
      </c>
      <c r="C4587" s="55">
        <f ca="1">IFERROR(__xludf.DUMMYFUNCTION("""COMPUTED_VALUE"""),44159)</f>
        <v>44159</v>
      </c>
      <c r="D4587" s="25" t="str">
        <f ca="1">IFERROR(__xludf.DUMMYFUNCTION("""COMPUTED_VALUE"""),"Movilidad")</f>
        <v>Movilidad</v>
      </c>
      <c r="E4587" s="25" t="str">
        <f ca="1">IFERROR(__xludf.DUMMYFUNCTION("""COMPUTED_VALUE"""),"Instituto de Desarrollo Urbano")</f>
        <v>Instituto de Desarrollo Urbano</v>
      </c>
      <c r="F4587" s="25" t="str">
        <f ca="1">IFERROR(__xludf.DUMMYFUNCTION("""COMPUTED_VALUE"""),"Concertar con Cafam Floresta la habilitación de cicloparqueaderos")</f>
        <v>Concertar con Cafam Floresta la habilitación de cicloparqueaderos</v>
      </c>
      <c r="G4587" s="25" t="str">
        <f ca="1">IFERROR(__xludf.DUMMYFUNCTION("""COMPUTED_VALUE"""),"99. Distrito")</f>
        <v>99. Distrito</v>
      </c>
      <c r="H4587" s="55">
        <f ca="1">IFERROR(__xludf.DUMMYFUNCTION("""COMPUTED_VALUE"""),44189)</f>
        <v>44189</v>
      </c>
      <c r="I4587" s="25"/>
      <c r="J4587" s="55" t="str">
        <f ca="1">IFERROR(__xludf.DUMMYFUNCTION("""COMPUTED_VALUE"""),"Alta")</f>
        <v>Alta</v>
      </c>
      <c r="K4587" s="25">
        <f ca="1">IFERROR(__xludf.DUMMYFUNCTION("""COMPUTED_VALUE"""),30)</f>
        <v>30</v>
      </c>
      <c r="L4587" s="62">
        <f ca="1">IFERROR(__xludf.DUMMYFUNCTION("""COMPUTED_VALUE"""),44369)</f>
        <v>44369</v>
      </c>
      <c r="M4587" s="25" t="str">
        <f ca="1">IFERROR(__xludf.DUMMYFUNCTION("""COMPUTED_VALUE"""),"En proceso de entablar reunión con el administrador del centro comercial ""La Floresta"" con el fin de manifestarle la oportunidad que tiene el CC de brindar el servicio de cicloparqueadero, cuando entre en operación la Troncal. En la actualidad se está t"&amp;"rabajando mesas de trabajo con los diseñadores del PMUR de Cafam Floresta para tratar temas de la armonización y la idea es que antes de terminar el mes y después de concertar las actividades solicitar a Cafam la posibilidad de incluir en su diseño la con"&amp;"strucción de un cicloparqueadero. 
 Cafam floresta realizará 1600 parqueaderos privados - por cargas ya cumplidas no harán cicloparqueaderos públicos.")</f>
        <v>En proceso de entablar reunión con el administrador del centro comercial "La Floresta" con el fin de manifestarle la oportunidad que tiene el CC de brindar el servicio de cicloparqueadero, cuando entre en operación la Troncal. En la actualidad se está trabajando mesas de trabajo con los diseñadores del PMUR de Cafam Floresta para tratar temas de la armonización y la idea es que antes de terminar el mes y después de concertar las actividades solicitar a Cafam la posibilidad de incluir en su diseño la construcción de un cicloparqueadero. 
 Cafam floresta realizará 1600 parqueaderos privados - por cargas ya cumplidas no harán cicloparqueaderos públicos.</v>
      </c>
      <c r="N4587" s="55">
        <f ca="1">IFERROR(__xludf.DUMMYFUNCTION("""COMPUTED_VALUE"""),44369)</f>
        <v>44369</v>
      </c>
      <c r="O4587" s="25" t="str">
        <f t="shared" ca="1" si="0"/>
        <v>Instituto de Desarrollo Urbano</v>
      </c>
      <c r="P4587" s="25" t="str">
        <f t="shared" si="3"/>
        <v/>
      </c>
      <c r="Q4587" s="25" t="str">
        <f ca="1">IFERROR(__xludf.DUMMYFUNCTION("""COMPUTED_VALUE"""),"Corto plazo")</f>
        <v>Corto plazo</v>
      </c>
      <c r="R4587" s="25"/>
      <c r="S4587" s="55"/>
      <c r="T4587" s="56"/>
      <c r="U4587" s="25"/>
      <c r="V4587" s="25"/>
      <c r="W4587" s="25"/>
      <c r="X4587" s="25"/>
      <c r="Y4587" s="25"/>
      <c r="Z4587" s="25"/>
    </row>
    <row r="4588" spans="1:26" ht="52.5" customHeight="1" x14ac:dyDescent="0.25">
      <c r="A4588" s="25" t="str">
        <f ca="1">IFERROR(__xludf.DUMMYFUNCTION("""COMPUTED_VALUE"""),"Movil386")</f>
        <v>Movil386</v>
      </c>
      <c r="B4588" s="25" t="str">
        <f ca="1">IFERROR(__xludf.DUMMYFUNCTION("""COMPUTED_VALUE"""),"Reunión troncal Av. 68")</f>
        <v>Reunión troncal Av. 68</v>
      </c>
      <c r="C4588" s="55">
        <f ca="1">IFERROR(__xludf.DUMMYFUNCTION("""COMPUTED_VALUE"""),44159)</f>
        <v>44159</v>
      </c>
      <c r="D4588" s="25" t="str">
        <f ca="1">IFERROR(__xludf.DUMMYFUNCTION("""COMPUTED_VALUE"""),"Movilidad")</f>
        <v>Movilidad</v>
      </c>
      <c r="E4588" s="25" t="str">
        <f ca="1">IFERROR(__xludf.DUMMYFUNCTION("""COMPUTED_VALUE"""),"Instituto de Desarrollo Urbano")</f>
        <v>Instituto de Desarrollo Urbano</v>
      </c>
      <c r="F4588" s="25" t="str">
        <f ca="1">IFERROR(__xludf.DUMMYFUNCTION("""COMPUTED_VALUE"""),"Radicar a IDPC e IDRD a tiempo los permisos necesarios sobre el Complejo Deportivo el Salitre, y el parque Simón Bolívar")</f>
        <v>Radicar a IDPC e IDRD a tiempo los permisos necesarios sobre el Complejo Deportivo el Salitre, y el parque Simón Bolívar</v>
      </c>
      <c r="G4588" s="25" t="str">
        <f ca="1">IFERROR(__xludf.DUMMYFUNCTION("""COMPUTED_VALUE"""),"99. Distrito")</f>
        <v>99. Distrito</v>
      </c>
      <c r="H4588" s="55">
        <f ca="1">IFERROR(__xludf.DUMMYFUNCTION("""COMPUTED_VALUE"""),44189)</f>
        <v>44189</v>
      </c>
      <c r="I4588" s="25"/>
      <c r="J4588" s="55" t="str">
        <f ca="1">IFERROR(__xludf.DUMMYFUNCTION("""COMPUTED_VALUE"""),"Alta")</f>
        <v>Alta</v>
      </c>
      <c r="K4588" s="25">
        <f ca="1">IFERROR(__xludf.DUMMYFUNCTION("""COMPUTED_VALUE"""),30)</f>
        <v>30</v>
      </c>
      <c r="L4588" s="62">
        <f ca="1">IFERROR(__xludf.DUMMYFUNCTION("""COMPUTED_VALUE"""),44776)</f>
        <v>44776</v>
      </c>
      <c r="M4588" s="25" t="str">
        <f ca="1">IFERROR(__xludf.DUMMYFUNCTION("""COMPUTED_VALUE"""),"El acta de permiso de intervención ya fue suscrita entre el IDRD y el IDU.
El  28 de junio  se entregó la Unidad Deportiva del Salitre al Contratista de obra y el 29 de junio el área del Salitre Mágico.
")</f>
        <v xml:space="preserve">El acta de permiso de intervención ya fue suscrita entre el IDRD y el IDU.
El  28 de junio  se entregó la Unidad Deportiva del Salitre al Contratista de obra y el 29 de junio el área del Salitre Mágico.
</v>
      </c>
      <c r="N4588" s="55">
        <f ca="1">IFERROR(__xludf.DUMMYFUNCTION("""COMPUTED_VALUE"""),44776)</f>
        <v>44776</v>
      </c>
      <c r="O4588" s="25" t="str">
        <f t="shared" ca="1" si="0"/>
        <v>Instituto de Desarrollo Urbano</v>
      </c>
      <c r="P4588" s="25" t="str">
        <f t="shared" si="3"/>
        <v/>
      </c>
      <c r="Q4588" s="25" t="str">
        <f ca="1">IFERROR(__xludf.DUMMYFUNCTION("""COMPUTED_VALUE"""),"Corto plazo")</f>
        <v>Corto plazo</v>
      </c>
      <c r="R4588" s="25"/>
      <c r="S4588" s="55"/>
      <c r="T4588" s="56"/>
      <c r="U4588" s="25"/>
      <c r="V4588" s="25"/>
      <c r="W4588" s="25"/>
      <c r="X4588" s="25"/>
      <c r="Y4588" s="25"/>
      <c r="Z4588" s="25"/>
    </row>
    <row r="4589" spans="1:26" ht="52.5" customHeight="1" x14ac:dyDescent="0.25">
      <c r="A4589" s="25" t="str">
        <f ca="1">IFERROR(__xludf.DUMMYFUNCTION("""COMPUTED_VALUE"""),"Movil387")</f>
        <v>Movil387</v>
      </c>
      <c r="B4589" s="25" t="str">
        <f ca="1">IFERROR(__xludf.DUMMYFUNCTION("""COMPUTED_VALUE"""),"Reunión troncal Av. 68")</f>
        <v>Reunión troncal Av. 68</v>
      </c>
      <c r="C4589" s="55">
        <f ca="1">IFERROR(__xludf.DUMMYFUNCTION("""COMPUTED_VALUE"""),44159)</f>
        <v>44159</v>
      </c>
      <c r="D4589" s="25" t="str">
        <f ca="1">IFERROR(__xludf.DUMMYFUNCTION("""COMPUTED_VALUE"""),"Movilidad")</f>
        <v>Movilidad</v>
      </c>
      <c r="E4589" s="25" t="str">
        <f ca="1">IFERROR(__xludf.DUMMYFUNCTION("""COMPUTED_VALUE"""),"Instituto de Desarrollo Urbano")</f>
        <v>Instituto de Desarrollo Urbano</v>
      </c>
      <c r="F4589" s="25" t="str">
        <f ca="1">IFERROR(__xludf.DUMMYFUNCTION("""COMPUTED_VALUE"""),"Redactar las normas y permisos necesarios para que la SDP autorice la apertura de comercio hacia el espacio público en localidades con vocación comercial sobre el corredor")</f>
        <v>Redactar las normas y permisos necesarios para que la SDP autorice la apertura de comercio hacia el espacio público en localidades con vocación comercial sobre el corredor</v>
      </c>
      <c r="G4589" s="25" t="str">
        <f ca="1">IFERROR(__xludf.DUMMYFUNCTION("""COMPUTED_VALUE"""),"99. Distrito")</f>
        <v>99. Distrito</v>
      </c>
      <c r="H4589" s="55">
        <f ca="1">IFERROR(__xludf.DUMMYFUNCTION("""COMPUTED_VALUE"""),44189)</f>
        <v>44189</v>
      </c>
      <c r="I4589" s="25"/>
      <c r="J4589" s="55" t="str">
        <f ca="1">IFERROR(__xludf.DUMMYFUNCTION("""COMPUTED_VALUE"""),"Alta")</f>
        <v>Alta</v>
      </c>
      <c r="K4589" s="25">
        <f ca="1">IFERROR(__xludf.DUMMYFUNCTION("""COMPUTED_VALUE"""),30)</f>
        <v>30</v>
      </c>
      <c r="L4589" s="62">
        <f ca="1">IFERROR(__xludf.DUMMYFUNCTION("""COMPUTED_VALUE"""),44298)</f>
        <v>44298</v>
      </c>
      <c r="M4589" s="25" t="str">
        <f ca="1">IFERROR(__xludf.DUMMYFUNCTION("""COMPUTED_VALUE"""),"A partir de los procesos de participación ciudadana adelantados por la Dirección Técnica de Predios del IDU, particularmente con las aglomeraciones comerciales del corredor, se identificaron como factores de mitigación a los impactos derivados por la comp"&amp;"ra predial y reasentamiento poblacional, considerar la oportunidad de traslado de unidades comerciales, al costado posterior del corredor AV 68.
  Teniendo en cuenta la intermediación de la Secretaría Distrital de Planeación en los permisos asociados a la"&amp;" apertura de culatas y habilitación de fachadas, dicha entidad señaló al respecto:
  Versión sintética: “…el Decreto Distrital 190 de 2004 en el artículo 272, establece las normas para el tratamiento de fachadas, culatas y cubiertas de las edificacione"&amp;"s, donde el numeral 3 indica ""Cuando por la construcción de vías, se generen culatas sobre ellas, se podrán habilitar las fachadas con frente a la vía.
  Esta intervención requiere licencia de modificación.” Al contar con el soporte normativo que perm"&amp;"ite la apertura de fachadas sobre el corredor de la Ak 68, es indispensable realizar un trabajo de socialización con los propietarios de los predios colindantes que no serán adquiridos con el fin de adelantar los trámites de las licencias que les permita "&amp;"generar nuevos accesos sobre la Troncal. “ Se plantea por parte de DTDP IDU realizar un plan por fases de socialización a las comunidades del área de influencia directa estableciendo la siguiente metodología a ejecutar por parte de la OTC IDU:
  1. Con"&amp;"traste censal de las unidades sociales identificadas en predios parciales versus informes Estructurales por predio para definir las áreas de intervención
  2. Filtro de casos US NO PROPIETARIAS, que según línea de corte pueden verse afectados en el funcio"&amp;"namiento y continuidad de sus actividades comerciales. 3. Filtro de casos US NO PROPIETARIAS que según línea de corte NO se ven afectados en el funcionamiento y continuidad de sus actividades comerciales
  4. Sesiones participativas con propietarios y arr"&amp;"endatarios para sensibilizarlos acerca de los beneficios de mantener relación contractual ajustada en predios parciales. 
  5. Sesiones 1 a 1 / predio a predio donde se posibilita la adherencia del tejido comercial en las zonas remanentes del corredor 
  "&amp;"
  Implementada esta estrategia se remitirá a la SDP el informe de los predios que manifiestan interés de apertura de fachada para dar celeridad a las gestiones que tradicionalmente se gestionan y aprueban 1 a 1 los requerimientos. A la fecha se está modi"&amp;"ficando el instrumento de percepción y consulta a la población del área de influencia directa del corredor que permanecerá en la zona y sobre la cual amerita la consulta. LLegando así a los preparativos del paso 4 de la metodología previamente planteada.
"&amp;" 
 CERRADO")</f>
        <v>A partir de los procesos de participación ciudadana adelantados por la Dirección Técnica de Predios del IDU, particularmente con las aglomeraciones comerciales del corredor, se identificaron como factores de mitigación a los impactos derivados por la compra predial y reasentamiento poblacional, considerar la oportunidad de traslado de unidades comerciales, al costado posterior del corredor AV 68.
  Teniendo en cuenta la intermediación de la Secretaría Distrital de Planeación en los permisos asociados a la apertura de culatas y habilitación de fachadas, dicha entidad señaló al respecto:
  Versión sintética: “…el Decreto Distrital 190 de 2004 en el artículo 272, establece las normas para el tratamiento de fachadas, culatas y cubiertas de las edificaciones, donde el numeral 3 indica "Cuando por la construcción de vías, se generen culatas sobre ellas, se podrán habilitar las fachadas con frente a la vía.
  Esta intervención requiere licencia de modificación.” Al contar con el soporte normativo que permite la apertura de fachadas sobre el corredor de la Ak 68, es indispensable realizar un trabajo de socialización con los propietarios de los predios colindantes que no serán adquiridos con el fin de adelantar los trámites de las licencias que les permita generar nuevos accesos sobre la Troncal. “ Se plantea por parte de DTDP IDU realizar un plan por fases de socialización a las comunidades del área de influencia directa estableciendo la siguiente metodología a ejecutar por parte de la OTC IDU:
  1. Contraste censal de las unidades sociales identificadas en predios parciales versus informes Estructurales por predio para definir las áreas de intervención
  2. Filtro de casos US NO PROPIETARIAS, que según línea de corte pueden verse afectados en el funcionamiento y continuidad de sus actividades comerciales. 3. Filtro de casos US NO PROPIETARIAS que según línea de corte NO se ven afectados en el funcionamiento y continuidad de sus actividades comerciales
  4. Sesiones participativas con propietarios y arrendatarios para sensibilizarlos acerca de los beneficios de mantener relación contractual ajustada en predios parciales. 
  5. Sesiones 1 a 1 / predio a predio donde se posibilita la adherencia del tejido comercial en las zonas remanentes del corredor 
  Implementada esta estrategia se remitirá a la SDP el informe de los predios que manifiestan interés de apertura de fachada para dar celeridad a las gestiones que tradicionalmente se gestionan y aprueban 1 a 1 los requerimientos. A la fecha se está modificando el instrumento de percepción y consulta a la población del área de influencia directa del corredor que permanecerá en la zona y sobre la cual amerita la consulta. LLegando así a los preparativos del paso 4 de la metodología previamente planteada.
 CERRADO</v>
      </c>
      <c r="N4589" s="55">
        <f ca="1">IFERROR(__xludf.DUMMYFUNCTION("""COMPUTED_VALUE"""),44298)</f>
        <v>44298</v>
      </c>
      <c r="O4589" s="25" t="str">
        <f t="shared" ca="1" si="0"/>
        <v>Instituto de Desarrollo Urbano</v>
      </c>
      <c r="P4589" s="25" t="str">
        <f t="shared" si="3"/>
        <v/>
      </c>
      <c r="Q4589" s="25" t="str">
        <f ca="1">IFERROR(__xludf.DUMMYFUNCTION("""COMPUTED_VALUE"""),"Corto plazo")</f>
        <v>Corto plazo</v>
      </c>
      <c r="R4589" s="25"/>
      <c r="S4589" s="55"/>
      <c r="T4589" s="56"/>
      <c r="U4589" s="25"/>
      <c r="V4589" s="25"/>
      <c r="W4589" s="25"/>
      <c r="X4589" s="25"/>
      <c r="Y4589" s="25"/>
      <c r="Z4589" s="25"/>
    </row>
    <row r="4590" spans="1:26" ht="52.5" customHeight="1" x14ac:dyDescent="0.25">
      <c r="A4590" s="25" t="str">
        <f ca="1">IFERROR(__xludf.DUMMYFUNCTION("""COMPUTED_VALUE"""),"Movil388")</f>
        <v>Movil388</v>
      </c>
      <c r="B4590" s="25" t="str">
        <f ca="1">IFERROR(__xludf.DUMMYFUNCTION("""COMPUTED_VALUE"""),"Reunión troncal Av. 68")</f>
        <v>Reunión troncal Av. 68</v>
      </c>
      <c r="C4590" s="55">
        <f ca="1">IFERROR(__xludf.DUMMYFUNCTION("""COMPUTED_VALUE"""),44159)</f>
        <v>44159</v>
      </c>
      <c r="D4590" s="25" t="str">
        <f ca="1">IFERROR(__xludf.DUMMYFUNCTION("""COMPUTED_VALUE"""),"Movilidad")</f>
        <v>Movilidad</v>
      </c>
      <c r="E4590" s="25" t="str">
        <f ca="1">IFERROR(__xludf.DUMMYFUNCTION("""COMPUTED_VALUE"""),"Secretaría Distrital de Movilidad")</f>
        <v>Secretaría Distrital de Movilidad</v>
      </c>
      <c r="F4590" s="25" t="str">
        <f ca="1">IFERROR(__xludf.DUMMYFUNCTION("""COMPUTED_VALUE"""),"Revisar en Junta de Infraestructura todos los trámites pendientes de la troncal")</f>
        <v>Revisar en Junta de Infraestructura todos los trámites pendientes de la troncal</v>
      </c>
      <c r="G4590" s="25" t="str">
        <f ca="1">IFERROR(__xludf.DUMMYFUNCTION("""COMPUTED_VALUE"""),"99. Distrito")</f>
        <v>99. Distrito</v>
      </c>
      <c r="H4590" s="55">
        <f ca="1">IFERROR(__xludf.DUMMYFUNCTION("""COMPUTED_VALUE"""),44189)</f>
        <v>44189</v>
      </c>
      <c r="I4590" s="25"/>
      <c r="J4590" s="55" t="str">
        <f ca="1">IFERROR(__xludf.DUMMYFUNCTION("""COMPUTED_VALUE"""),"Alta")</f>
        <v>Alta</v>
      </c>
      <c r="K4590" s="25">
        <f ca="1">IFERROR(__xludf.DUMMYFUNCTION("""COMPUTED_VALUE"""),30)</f>
        <v>30</v>
      </c>
      <c r="L4590" s="62"/>
      <c r="M4590" s="25" t="str">
        <f ca="1">IFERROR(__xludf.DUMMYFUNCTION("""COMPUTED_VALUE"""),"Se realizaron tres sesiones de junta de infraestructura donde se revisó estado y avance de la troncal (compromisos de las juntas queda en tareas por cada sesión adelantada) - ")</f>
        <v xml:space="preserve">Se realizaron tres sesiones de junta de infraestructura donde se revisó estado y avance de la troncal (compromisos de las juntas queda en tareas por cada sesión adelantada) - </v>
      </c>
      <c r="N4590" s="55">
        <f ca="1">IFERROR(__xludf.DUMMYFUNCTION("""COMPUTED_VALUE"""),44927)</f>
        <v>44927</v>
      </c>
      <c r="O4590" s="25" t="str">
        <f t="shared" ca="1" si="0"/>
        <v>Secretaría Distrital de Movilidad</v>
      </c>
      <c r="P4590" s="25" t="str">
        <f t="shared" si="3"/>
        <v/>
      </c>
      <c r="Q4590" s="25" t="str">
        <f ca="1">IFERROR(__xludf.DUMMYFUNCTION("""COMPUTED_VALUE"""),"Corto plazo")</f>
        <v>Corto plazo</v>
      </c>
      <c r="R4590" s="25"/>
      <c r="S4590" s="55"/>
      <c r="T4590" s="56"/>
      <c r="U4590" s="25"/>
      <c r="V4590" s="25"/>
      <c r="W4590" s="25"/>
      <c r="X4590" s="25"/>
      <c r="Y4590" s="25"/>
      <c r="Z4590" s="25"/>
    </row>
    <row r="4591" spans="1:26" ht="52.5" customHeight="1" x14ac:dyDescent="0.25">
      <c r="A4591" s="25" t="str">
        <f ca="1">IFERROR(__xludf.DUMMYFUNCTION("""COMPUTED_VALUE"""),"Movil389")</f>
        <v>Movil389</v>
      </c>
      <c r="B4591" s="25" t="str">
        <f ca="1">IFERROR(__xludf.DUMMYFUNCTION("""COMPUTED_VALUE"""),"Revisión borde occidental")</f>
        <v>Revisión borde occidental</v>
      </c>
      <c r="C4591" s="55">
        <f ca="1">IFERROR(__xludf.DUMMYFUNCTION("""COMPUTED_VALUE"""),44154)</f>
        <v>44154</v>
      </c>
      <c r="D4591" s="25" t="str">
        <f ca="1">IFERROR(__xludf.DUMMYFUNCTION("""COMPUTED_VALUE"""),"Movilidad")</f>
        <v>Movilidad</v>
      </c>
      <c r="E4591" s="25" t="str">
        <f ca="1">IFERROR(__xludf.DUMMYFUNCTION("""COMPUTED_VALUE"""),"Instituto de Desarrollo Urbano")</f>
        <v>Instituto de Desarrollo Urbano</v>
      </c>
      <c r="F4591" s="25" t="str">
        <f ca="1">IFERROR(__xludf.DUMMYFUNCTION("""COMPUTED_VALUE"""),"Trabajar con la ANI para revisar si se pueden usar peajes existentes o futuros como fuentes de pago")</f>
        <v>Trabajar con la ANI para revisar si se pueden usar peajes existentes o futuros como fuentes de pago</v>
      </c>
      <c r="G4591" s="25" t="str">
        <f ca="1">IFERROR(__xludf.DUMMYFUNCTION("""COMPUTED_VALUE"""),"99. Distrito")</f>
        <v>99. Distrito</v>
      </c>
      <c r="H4591" s="55">
        <f ca="1">IFERROR(__xludf.DUMMYFUNCTION("""COMPUTED_VALUE"""),44184)</f>
        <v>44184</v>
      </c>
      <c r="I4591" s="25"/>
      <c r="J4591" s="55" t="str">
        <f ca="1">IFERROR(__xludf.DUMMYFUNCTION("""COMPUTED_VALUE"""),"Alta")</f>
        <v>Alta</v>
      </c>
      <c r="K4591" s="25">
        <f ca="1">IFERROR(__xludf.DUMMYFUNCTION("""COMPUTED_VALUE"""),30)</f>
        <v>30</v>
      </c>
      <c r="L4591" s="62">
        <f ca="1">IFERROR(__xludf.DUMMYFUNCTION("""COMPUTED_VALUE"""),44483)</f>
        <v>44483</v>
      </c>
      <c r="M4591" s="25" t="str">
        <f ca="1">IFERROR(__xludf.DUMMYFUNCTION("""COMPUTED_VALUE"""),"Actualización 14-10-2021 Se viene haciendo seguimiento al cronograma definido para el CONPES de IE y el convenio de cofinanciación, se hizo reunión con el presidente y la ministra de transporte, donde se confirmaron compromisos. Se hizo mesa de trabajo co"&amp;"n MHCP para revisar el espacio fiscal. Se radicaron los documentos de cofinanciación el 4 de octubre. 
 Actualización 30-09-2021 Se viene haciendo seguimiento al cronograma definido para el CONPES de IE y el convenio de cofinanciación, haciendo mesas co"&amp;"n los actores del orden distrital. Se hizo reunión con nación en la tercera semana de septiembre, donde se pactó hacer los ajustes para entregarlos completos en la primera semana de octubre. 
  Actualización 17-09-2021 
  Se viene haciendo seguimiento "&amp;"al cronograma definido para el CONPES de IE y el convenio de cofinanciación, haciendo mesas con los actores del orden nacional (HUMUS y DNP), se hizo reunión con nación en la primera semana de septiembre, donde se recibió retroalimentación y se están haci"&amp;"endo los ajustes para entregarlos completos a finales de este mes. Con nuevo cronograma, se espera tener CONPES de IE en enero de 2022 y se espera presentar el acuerdo de VF distritales en febrero del próximo año. Se continúa en ejecución el contrato con "&amp;"el consultor Steer para determinar los posibles ingresos por peajes para el proyecto, se está recopilando la información de los municipios, necesaria para esa consultoría. Se cuenta con texto del convenio derivado, en trámite de revisión, se sometió a apr"&amp;"obación en el comité técnico del convenio 1480 de 2020 citado para el 07-07-2021, se adelantaron trámites con TM pero no se han seguido gestionando, debido a la instrucción de no continuar la estructuración de la troncal de la calle 13 como APP sino como "&amp;"obra pública. 
  Actualización 30-08-2021 
  Se cuenta con texto del convenio derivado, en trámite de revisión, se sometió a aprobación en el comité técnico del convenio 1480 de 2020 citado para el 07-07-2021, se adelantaron trámites con TM pero no se "&amp;"han seguido gestionando, debido a la instrucción de no continuar la estructuración de la troncal de la calle 13 como APP sino como obra pública. Se viene haciendo seguimiento al cronograma definido para el CONPES de IE y el convenio de cofinanciación, hac"&amp;"iendo mesas con los actores del orden nacional (HUMUS y DNP). Se espera presentar el acuerdo de VF distritales el próximo año, por lo que se han ajustado los cronogramas. Se continúa en ejecución el contrato con el consultor Steer para determinar los posi"&amp;"bles ingresos por peajes para el proyecto, se requiere información de otros municipios, y a través de la oficina de Consuelo Ordoñez, se está recopilando la información de los municipios, necesaria para esa consultoría. 
  Actualización 12-08-2021 
  C"&amp;"ontinúa en ejecución el contrato con el consultor Steer para determinar los posibles ingresos por peajes para el proyecto, se requiere información de otros municipios, sin embargo por solicitud de Consuelo Ordóñez, se debe hacer a través de la oficina que"&amp;" ella maneja y no ha sido posible obtener la información, actividad que ya tiene un par de semanas de retraso. Se cuenta con texto del convenio derivado, en trámite de revisión, se sometió a aprobación en el comité técnico del convenio 1480 de 2020 citado"&amp;" para el 07-07-2021, sin embargo es necesario incluir en el mismo a TM, por lo que se están adelantando las gestiones para tal fin, se está a la espera de la respuesta por parte de TM. Se viene haciendo seguimiento al cronograma definido, haciendo mesas c"&amp;"on los actores del orden nacional (HUMUS y DNP) y en proceso de elaboración del borrador del documento CONPES de IE así como los documentos soporte")</f>
        <v>Actualización 14-10-2021 Se viene haciendo seguimiento al cronograma definido para el CONPES de IE y el convenio de cofinanciación, se hizo reunión con el presidente y la ministra de transporte, donde se confirmaron compromisos. Se hizo mesa de trabajo con MHCP para revisar el espacio fiscal. Se radicaron los documentos de cofinanciación el 4 de octubre. 
 Actualización 30-09-2021 Se viene haciendo seguimiento al cronograma definido para el CONPES de IE y el convenio de cofinanciación, haciendo mesas con los actores del orden distrital. Se hizo reunión con nación en la tercera semana de septiembre, donde se pactó hacer los ajustes para entregarlos completos en la primera semana de octubre. 
  Actualización 17-09-2021 
  Se viene haciendo seguimiento al cronograma definido para el CONPES de IE y el convenio de cofinanciación, haciendo mesas con los actores del orden nacional (HUMUS y DNP), se hizo reunión con nación en la primera semana de septiembre, donde se recibió retroalimentación y se están haciendo los ajustes para entregarlos completos a finales de este mes. Con nuevo cronograma, se espera tener CONPES de IE en enero de 2022 y se espera presentar el acuerdo de VF distritales en febrero del próximo año. Se continúa en ejecución el contrato con el consultor Steer para determinar los posibles ingresos por peajes para el proyecto, se está recopilando la información de los municipios, necesaria para esa consultoría. Se cuenta con texto del convenio derivado, en trámite de revisión, se sometió a aprobación en el comité técnico del convenio 1480 de 2020 citado para el 07-07-2021, se adelantaron trámites con TM pero no se han seguido gestionando, debido a la instrucción de no continuar la estructuración de la troncal de la calle 13 como APP sino como obra pública. 
  Actualización 30-08-2021 
  Se cuenta con texto del convenio derivado, en trámite de revisión, se sometió a aprobación en el comité técnico del convenio 1480 de 2020 citado para el 07-07-2021, se adelantaron trámites con TM pero no se han seguido gestionando, debido a la instrucción de no continuar la estructuración de la troncal de la calle 13 como APP sino como obra pública. Se viene haciendo seguimiento al cronograma definido para el CONPES de IE y el convenio de cofinanciación, haciendo mesas con los actores del orden nacional (HUMUS y DNP). Se espera presentar el acuerdo de VF distritales el próximo año, por lo que se han ajustado los cronogramas. Se continúa en ejecución el contrato con el consultor Steer para determinar los posibles ingresos por peajes para el proyecto, se requiere información de otros municipios, y a través de la oficina de Consuelo Ordoñez, se está recopilando la información de los municipios, necesaria para esa consultoría. 
  Actualización 12-08-2021 
  Continúa en ejecución el contrato con el consultor Steer para determinar los posibles ingresos por peajes para el proyecto, se requiere información de otros municipios, sin embargo por solicitud de Consuelo Ordóñez, se debe hacer a través de la oficina que ella maneja y no ha sido posible obtener la información, actividad que ya tiene un par de semanas de retraso. Se cuenta con texto del convenio derivado, en trámite de revisión, se sometió a aprobación en el comité técnico del convenio 1480 de 2020 citado para el 07-07-2021, sin embargo es necesario incluir en el mismo a TM, por lo que se están adelantando las gestiones para tal fin, se está a la espera de la respuesta por parte de TM. Se viene haciendo seguimiento al cronograma definido, haciendo mesas con los actores del orden nacional (HUMUS y DNP) y en proceso de elaboración del borrador del documento CONPES de IE así como los documentos soporte</v>
      </c>
      <c r="N4591" s="55">
        <f ca="1">IFERROR(__xludf.DUMMYFUNCTION("""COMPUTED_VALUE"""),44483)</f>
        <v>44483</v>
      </c>
      <c r="O4591" s="25" t="str">
        <f t="shared" ca="1" si="0"/>
        <v>Instituto de Desarrollo Urbano</v>
      </c>
      <c r="P4591" s="25" t="str">
        <f t="shared" si="3"/>
        <v/>
      </c>
      <c r="Q4591" s="25" t="str">
        <f ca="1">IFERROR(__xludf.DUMMYFUNCTION("""COMPUTED_VALUE"""),"Corto plazo")</f>
        <v>Corto plazo</v>
      </c>
      <c r="R4591" s="25"/>
      <c r="S4591" s="55"/>
      <c r="T4591" s="56"/>
      <c r="U4591" s="25"/>
      <c r="V4591" s="25"/>
      <c r="W4591" s="25"/>
      <c r="X4591" s="25"/>
      <c r="Y4591" s="25"/>
      <c r="Z4591" s="25"/>
    </row>
    <row r="4592" spans="1:26" ht="52.5" customHeight="1" x14ac:dyDescent="0.25">
      <c r="A4592" s="25" t="str">
        <f ca="1">IFERROR(__xludf.DUMMYFUNCTION("""COMPUTED_VALUE"""),"Movil390")</f>
        <v>Movil390</v>
      </c>
      <c r="B4592" s="25" t="str">
        <f ca="1">IFERROR(__xludf.DUMMYFUNCTION("""COMPUTED_VALUE"""),"Revisión borde occidental")</f>
        <v>Revisión borde occidental</v>
      </c>
      <c r="C4592" s="55">
        <f ca="1">IFERROR(__xludf.DUMMYFUNCTION("""COMPUTED_VALUE"""),44154)</f>
        <v>44154</v>
      </c>
      <c r="D4592" s="25" t="str">
        <f ca="1">IFERROR(__xludf.DUMMYFUNCTION("""COMPUTED_VALUE"""),"Movilidad")</f>
        <v>Movilidad</v>
      </c>
      <c r="E4592" s="25" t="str">
        <f ca="1">IFERROR(__xludf.DUMMYFUNCTION("""COMPUTED_VALUE"""),"Instituto de Desarrollo Urbano")</f>
        <v>Instituto de Desarrollo Urbano</v>
      </c>
      <c r="F4592" s="25" t="str">
        <f ca="1">IFERROR(__xludf.DUMMYFUNCTION("""COMPUTED_VALUE"""),"Determinar qué estudios se requieren a nivel región para desarrollar los proyectos del borde occidental")</f>
        <v>Determinar qué estudios se requieren a nivel región para desarrollar los proyectos del borde occidental</v>
      </c>
      <c r="G4592" s="25" t="str">
        <f ca="1">IFERROR(__xludf.DUMMYFUNCTION("""COMPUTED_VALUE"""),"99. Distrito")</f>
        <v>99. Distrito</v>
      </c>
      <c r="H4592" s="55">
        <f ca="1">IFERROR(__xludf.DUMMYFUNCTION("""COMPUTED_VALUE"""),44184)</f>
        <v>44184</v>
      </c>
      <c r="I4592" s="25"/>
      <c r="J4592" s="55" t="str">
        <f ca="1">IFERROR(__xludf.DUMMYFUNCTION("""COMPUTED_VALUE"""),"Alta")</f>
        <v>Alta</v>
      </c>
      <c r="K4592" s="25">
        <f ca="1">IFERROR(__xludf.DUMMYFUNCTION("""COMPUTED_VALUE"""),30)</f>
        <v>30</v>
      </c>
      <c r="L4592" s="62">
        <f ca="1">IFERROR(__xludf.DUMMYFUNCTION("""COMPUTED_VALUE"""),44483)</f>
        <v>44483</v>
      </c>
      <c r="M4592" s="25" t="str">
        <f ca="1">IFERROR(__xludf.DUMMYFUNCTION("""COMPUTED_VALUE"""),"Actualización 14-10-2021
 Se iniciará toma de información de campo después de la semana de receso. Se incluyó dentro de los puntos de toma de información a la autopista norte. Se hizo revisión de la ley orgánica de la región metropolitana y su respectivo "&amp;"flujograma. Secretaría de movilidad debe determinar qué costos asociados a su delegación como autoridad regional de transporte, debe incluir en su presupuesto.
 Actualización 30-09-2021
 Se iniciará toma de información de campo en octubre, después de l"&amp;"a semana de receso. Se cuenta con texto del convenio derivado, se adelantaron trámites con TM pero no se han seguido gestionando, debido a la instrucción de no continuar la estructuración de la troncal de la calle 13 como APP sino como obra pública.
 A"&amp;"ctualización 17-09-2021
 Se iniciará toma de información de campo en septiembre. Se cuenta con texto del convenio derivado, se adelantaron trámites con TM pero no se han seguido gestionando, debido a la instrucción de no continuar la estructuración de la "&amp;"troncal de la calle 13 como APP sino como obra pública.
 Actualización 30-08-2021
 Se aprobaron los productos 1 y 2 del consultor por parte de IDU, SDM, ICCU y ANI, se iniciará toma de información de campo en septiembre. Se cuenta con texto del conveni"&amp;"o derivado, en trámite de revisión, se sometió a aprobación en el comité técnico del convenio 1480 de 2020 citado para el 07-07-2021, se adelantaron trámites con TM pero no se han seguido gestionando, debido a la instrucción de no continuar la estructurac"&amp;"ión de la troncal de la calle 13 como APP sino como obra pública.
 Actualización 12-08-2021
 Se están ajustando los apéndices técnicos para entregar a la ANI en el transcurso de este mes. 
 Actualización 30-07-2021
 Se finalizó la optimización geomé"&amp;"trica del proyecto Calle 13, se están ajustando los apéndices técnicos para entregar a la ANI a inicios del próximo mes. 
  Actualización 12-07-2021
  Se finalizó la optimización geométrica del proyecto Calle 13, se están ajustando los apéndices técnic"&amp;"os para entregar a la ANI este mes. Se cuenta con texto del convenio derivado, en trámite de aprobaciones, se someterá a aprobación en el comité técnico del convenio 1480 de 2020 citado para el 07-07-2021. Se realizó reunión entre alcaldesa y presidente p"&amp;"ara mostrar avance de construcción CONPES y estado de cumplimiento de requisitos de cofinanciación, se determinó cronograma y se viene haciendo seguimiento.
  Actualización 15-06-2021
  Se recibió el plan de trabajo por parte del consultor, en proceso "&amp;"de revisión por parte de IDU, SDM, ICCU y ANI. Se cuenta con texto aprobado del convenio derivado, en trámite de aprobaciones. Se realizará reunión entre alcaldesa y presidente para mostrar avance de construcción CONPES y estado de cumplimiento de requisi"&amp;"tos de cofinanciación.")</f>
        <v>Actualización 14-10-2021
 Se iniciará toma de información de campo después de la semana de receso. Se incluyó dentro de los puntos de toma de información a la autopista norte. Se hizo revisión de la ley orgánica de la región metropolitana y su respectivo flujograma. Secretaría de movilidad debe determinar qué costos asociados a su delegación como autoridad regional de transporte, debe incluir en su presupuesto.
 Actualización 30-09-2021
 Se iniciará toma de información de campo en octubre, después de la semana de receso. Se cuenta con texto del convenio derivado, se adelantaron trámites con TM pero no se han seguido gestionando, debido a la instrucción de no continuar la estructuración de la troncal de la calle 13 como APP sino como obra pública.
 Actualización 17-09-2021
 Se iniciará toma de información de campo en septiembre. Se cuenta con texto del convenio derivado, se adelantaron trámites con TM pero no se han seguido gestionando, debido a la instrucción de no continuar la estructuración de la troncal de la calle 13 como APP sino como obra pública.
 Actualización 30-08-2021
 Se aprobaron los productos 1 y 2 del consultor por parte de IDU, SDM, ICCU y ANI, se iniciará toma de información de campo en septiembre. Se cuenta con texto del convenio derivado, en trámite de revisión, se sometió a aprobación en el comité técnico del convenio 1480 de 2020 citado para el 07-07-2021, se adelantaron trámites con TM pero no se han seguido gestionando, debido a la instrucción de no continuar la estructuración de la troncal de la calle 13 como APP sino como obra pública.
 Actualización 12-08-2021
 Se están ajustando los apéndices técnicos para entregar a la ANI en el transcurso de este mes. 
 Actualización 30-07-2021
 Se finalizó la optimización geométrica del proyecto Calle 13, se están ajustando los apéndices técnicos para entregar a la ANI a inicios del próximo mes. 
  Actualización 12-07-2021
  Se finalizó la optimización geométrica del proyecto Calle 13, se están ajustando los apéndices técnicos para entregar a la ANI este mes. Se cuenta con texto del convenio derivado, en trámite de aprobaciones, se someterá a aprobación en el comité técnico del convenio 1480 de 2020 citado para el 07-07-2021. Se realizó reunión entre alcaldesa y presidente para mostrar avance de construcción CONPES y estado de cumplimiento de requisitos de cofinanciación, se determinó cronograma y se viene haciendo seguimiento.
  Actualización 15-06-2021
  Se recibió el plan de trabajo por parte del consultor, en proceso de revisión por parte de IDU, SDM, ICCU y ANI. Se cuenta con texto aprobado del convenio derivado, en trámite de aprobaciones. Se realizará reunión entre alcaldesa y presidente para mostrar avance de construcción CONPES y estado de cumplimiento de requisitos de cofinanciación.</v>
      </c>
      <c r="N4592" s="55">
        <f ca="1">IFERROR(__xludf.DUMMYFUNCTION("""COMPUTED_VALUE"""),44483)</f>
        <v>44483</v>
      </c>
      <c r="O4592" s="25" t="str">
        <f t="shared" ca="1" si="0"/>
        <v>Instituto de Desarrollo Urbano</v>
      </c>
      <c r="P4592" s="25" t="str">
        <f t="shared" si="3"/>
        <v/>
      </c>
      <c r="Q4592" s="25" t="str">
        <f ca="1">IFERROR(__xludf.DUMMYFUNCTION("""COMPUTED_VALUE"""),"Corto plazo")</f>
        <v>Corto plazo</v>
      </c>
      <c r="R4592" s="25"/>
      <c r="S4592" s="55"/>
      <c r="T4592" s="56"/>
      <c r="U4592" s="25"/>
      <c r="V4592" s="25"/>
      <c r="W4592" s="25"/>
      <c r="X4592" s="25"/>
      <c r="Y4592" s="25"/>
      <c r="Z4592" s="25"/>
    </row>
    <row r="4593" spans="1:26" ht="52.5" customHeight="1" x14ac:dyDescent="0.25">
      <c r="A4593" s="25" t="str">
        <f ca="1">IFERROR(__xludf.DUMMYFUNCTION("""COMPUTED_VALUE"""),"Movil391")</f>
        <v>Movil391</v>
      </c>
      <c r="B4593" s="25" t="str">
        <f ca="1">IFERROR(__xludf.DUMMYFUNCTION("""COMPUTED_VALUE"""),"Revisión borde occidental")</f>
        <v>Revisión borde occidental</v>
      </c>
      <c r="C4593" s="55">
        <f ca="1">IFERROR(__xludf.DUMMYFUNCTION("""COMPUTED_VALUE"""),44154)</f>
        <v>44154</v>
      </c>
      <c r="D4593" s="25" t="str">
        <f ca="1">IFERROR(__xludf.DUMMYFUNCTION("""COMPUTED_VALUE"""),"Movilidad")</f>
        <v>Movilidad</v>
      </c>
      <c r="E4593" s="25" t="str">
        <f ca="1">IFERROR(__xludf.DUMMYFUNCTION("""COMPUTED_VALUE"""),"Empresa de Transporte del Tercer Milenio - Transmilenio S.A.")</f>
        <v>Empresa de Transporte del Tercer Milenio - Transmilenio S.A.</v>
      </c>
      <c r="F4593" s="25" t="str">
        <f ca="1">IFERROR(__xludf.DUMMYFUNCTION("""COMPUTED_VALUE"""),"Negociar con Minette – la ampliación de CIM, y ceder competencia a ART")</f>
        <v>Negociar con Minette – la ampliación de CIM, y ceder competencia a ART</v>
      </c>
      <c r="G4593" s="25" t="str">
        <f ca="1">IFERROR(__xludf.DUMMYFUNCTION("""COMPUTED_VALUE"""),"99. Distrito")</f>
        <v>99. Distrito</v>
      </c>
      <c r="H4593" s="55">
        <f ca="1">IFERROR(__xludf.DUMMYFUNCTION("""COMPUTED_VALUE"""),44184)</f>
        <v>44184</v>
      </c>
      <c r="I4593" s="25"/>
      <c r="J4593" s="55" t="str">
        <f ca="1">IFERROR(__xludf.DUMMYFUNCTION("""COMPUTED_VALUE"""),"Alta")</f>
        <v>Alta</v>
      </c>
      <c r="K4593" s="25">
        <f ca="1">IFERROR(__xludf.DUMMYFUNCTION("""COMPUTED_VALUE"""),30)</f>
        <v>30</v>
      </c>
      <c r="L4593" s="62">
        <f ca="1">IFERROR(__xludf.DUMMYFUNCTION("""COMPUTED_VALUE"""),44407)</f>
        <v>44407</v>
      </c>
      <c r="M4593" s="25"/>
      <c r="N4593" s="55">
        <f ca="1">IFERROR(__xludf.DUMMYFUNCTION("""COMPUTED_VALUE"""),44407)</f>
        <v>44407</v>
      </c>
      <c r="O4593" s="25" t="str">
        <f t="shared" ca="1" si="0"/>
        <v>Empresa de Transporte del Tercer Milenio - Transmilenio S.A.</v>
      </c>
      <c r="P4593" s="25" t="str">
        <f t="shared" si="3"/>
        <v/>
      </c>
      <c r="Q4593" s="25" t="str">
        <f ca="1">IFERROR(__xludf.DUMMYFUNCTION("""COMPUTED_VALUE"""),"Corto plazo")</f>
        <v>Corto plazo</v>
      </c>
      <c r="R4593" s="25"/>
      <c r="S4593" s="55"/>
      <c r="T4593" s="56"/>
      <c r="U4593" s="25"/>
      <c r="V4593" s="25"/>
      <c r="W4593" s="25"/>
      <c r="X4593" s="25"/>
      <c r="Y4593" s="25"/>
      <c r="Z4593" s="25"/>
    </row>
    <row r="4594" spans="1:26" ht="52.5" customHeight="1" x14ac:dyDescent="0.25">
      <c r="A4594" s="25" t="str">
        <f ca="1">IFERROR(__xludf.DUMMYFUNCTION("""COMPUTED_VALUE"""),"Movil392")</f>
        <v>Movil392</v>
      </c>
      <c r="B4594" s="25" t="str">
        <f ca="1">IFERROR(__xludf.DUMMYFUNCTION("""COMPUTED_VALUE"""),"Revisión borde occidental")</f>
        <v>Revisión borde occidental</v>
      </c>
      <c r="C4594" s="55">
        <f ca="1">IFERROR(__xludf.DUMMYFUNCTION("""COMPUTED_VALUE"""),44154)</f>
        <v>44154</v>
      </c>
      <c r="D4594" s="25" t="str">
        <f ca="1">IFERROR(__xludf.DUMMYFUNCTION("""COMPUTED_VALUE"""),"Movilidad")</f>
        <v>Movilidad</v>
      </c>
      <c r="E4594" s="25" t="str">
        <f ca="1">IFERROR(__xludf.DUMMYFUNCTION("""COMPUTED_VALUE"""),"Instituto de Desarrollo Urbano")</f>
        <v>Instituto de Desarrollo Urbano</v>
      </c>
      <c r="F4594" s="25" t="str">
        <f ca="1">IFERROR(__xludf.DUMMYFUNCTION("""COMPUTED_VALUE"""),"Realizar cálculos preliminares de lo que representaría la valorización regional (proyectos perimetral de oriente, accesos norte y calle 13)")</f>
        <v>Realizar cálculos preliminares de lo que representaría la valorización regional (proyectos perimetral de oriente, accesos norte y calle 13)</v>
      </c>
      <c r="G4594" s="25" t="str">
        <f ca="1">IFERROR(__xludf.DUMMYFUNCTION("""COMPUTED_VALUE"""),"99. Distrito")</f>
        <v>99. Distrito</v>
      </c>
      <c r="H4594" s="55">
        <f ca="1">IFERROR(__xludf.DUMMYFUNCTION("""COMPUTED_VALUE"""),44184)</f>
        <v>44184</v>
      </c>
      <c r="I4594" s="25"/>
      <c r="J4594" s="55" t="str">
        <f ca="1">IFERROR(__xludf.DUMMYFUNCTION("""COMPUTED_VALUE"""),"Alta")</f>
        <v>Alta</v>
      </c>
      <c r="K4594" s="25">
        <f ca="1">IFERROR(__xludf.DUMMYFUNCTION("""COMPUTED_VALUE"""),30)</f>
        <v>30</v>
      </c>
      <c r="L4594" s="62">
        <f ca="1">IFERROR(__xludf.DUMMYFUNCTION("""COMPUTED_VALUE"""),44298)</f>
        <v>44298</v>
      </c>
      <c r="M4594" s="25" t="str">
        <f ca="1">IFERROR(__xludf.DUMMYFUNCTION("""COMPUTED_VALUE"""),"De acuerdo a la reunión del día 19 de marzo, se recibió la instrucción de la alcaldesa de proceder con la estructuración del proyecto de valorización para ser presentado dentro de los tiempos estipulados en el proyecto. El IDU está realizando diferentes m"&amp;"esas técnicas internas, con el fin de definir las actividades y responsables correspondientes. Se presentó el avance a Secretaría de Gobierno, Secretaría Privada, secretaría de hacienda y asesores de la alcaldía mayor el 9 de abril. Se presentarán los ava"&amp;"nces a la alcaldesa, pendiente reunión. ")</f>
        <v xml:space="preserve">De acuerdo a la reunión del día 19 de marzo, se recibió la instrucción de la alcaldesa de proceder con la estructuración del proyecto de valorización para ser presentado dentro de los tiempos estipulados en el proyecto. El IDU está realizando diferentes mesas técnicas internas, con el fin de definir las actividades y responsables correspondientes. Se presentó el avance a Secretaría de Gobierno, Secretaría Privada, secretaría de hacienda y asesores de la alcaldía mayor el 9 de abril. Se presentarán los avances a la alcaldesa, pendiente reunión. </v>
      </c>
      <c r="N4594" s="55">
        <f ca="1">IFERROR(__xludf.DUMMYFUNCTION("""COMPUTED_VALUE"""),44298)</f>
        <v>44298</v>
      </c>
      <c r="O4594" s="25" t="str">
        <f t="shared" ca="1" si="0"/>
        <v>Instituto de Desarrollo Urbano</v>
      </c>
      <c r="P4594" s="25" t="str">
        <f t="shared" si="3"/>
        <v/>
      </c>
      <c r="Q4594" s="25" t="str">
        <f ca="1">IFERROR(__xludf.DUMMYFUNCTION("""COMPUTED_VALUE"""),"Corto plazo")</f>
        <v>Corto plazo</v>
      </c>
      <c r="R4594" s="25"/>
      <c r="S4594" s="55"/>
      <c r="T4594" s="56"/>
      <c r="U4594" s="25"/>
      <c r="V4594" s="25"/>
      <c r="W4594" s="25"/>
      <c r="X4594" s="25"/>
      <c r="Y4594" s="25"/>
      <c r="Z4594" s="25"/>
    </row>
    <row r="4595" spans="1:26" ht="52.5" customHeight="1" x14ac:dyDescent="0.25">
      <c r="A4595" s="25" t="str">
        <f ca="1">IFERROR(__xludf.DUMMYFUNCTION("""COMPUTED_VALUE"""),"Movil393")</f>
        <v>Movil393</v>
      </c>
      <c r="B4595" s="25" t="str">
        <f ca="1">IFERROR(__xludf.DUMMYFUNCTION("""COMPUTED_VALUE"""),"Revisión borde occidental")</f>
        <v>Revisión borde occidental</v>
      </c>
      <c r="C4595" s="55">
        <f ca="1">IFERROR(__xludf.DUMMYFUNCTION("""COMPUTED_VALUE"""),44154)</f>
        <v>44154</v>
      </c>
      <c r="D4595" s="25" t="str">
        <f ca="1">IFERROR(__xludf.DUMMYFUNCTION("""COMPUTED_VALUE"""),"Movilidad")</f>
        <v>Movilidad</v>
      </c>
      <c r="E4595" s="25" t="str">
        <f ca="1">IFERROR(__xludf.DUMMYFUNCTION("""COMPUTED_VALUE"""),"Instituto de Desarrollo Urbano")</f>
        <v>Instituto de Desarrollo Urbano</v>
      </c>
      <c r="F4595" s="25" t="str">
        <f ca="1">IFERROR(__xludf.DUMMYFUNCTION("""COMPUTED_VALUE"""),"Designar un coordinador al interior del IDU que articule lo que se requiera para buscar la mejor posibilidad de negocio para los predios del IDU")</f>
        <v>Designar un coordinador al interior del IDU que articule lo que se requiera para buscar la mejor posibilidad de negocio para los predios del IDU</v>
      </c>
      <c r="G4595" s="25" t="str">
        <f ca="1">IFERROR(__xludf.DUMMYFUNCTION("""COMPUTED_VALUE"""),"99. Distrito")</f>
        <v>99. Distrito</v>
      </c>
      <c r="H4595" s="55">
        <f ca="1">IFERROR(__xludf.DUMMYFUNCTION("""COMPUTED_VALUE"""),44184)</f>
        <v>44184</v>
      </c>
      <c r="I4595" s="25"/>
      <c r="J4595" s="55" t="str">
        <f ca="1">IFERROR(__xludf.DUMMYFUNCTION("""COMPUTED_VALUE"""),"Alta")</f>
        <v>Alta</v>
      </c>
      <c r="K4595" s="25">
        <f ca="1">IFERROR(__xludf.DUMMYFUNCTION("""COMPUTED_VALUE"""),30)</f>
        <v>30</v>
      </c>
      <c r="L4595" s="62">
        <f ca="1">IFERROR(__xludf.DUMMYFUNCTION("""COMPUTED_VALUE"""),44298)</f>
        <v>44298</v>
      </c>
      <c r="M4595" s="25" t="str">
        <f ca="1">IFERROR(__xludf.DUMMYFUNCTION("""COMPUTED_VALUE"""),"El IDU designó a un coordinador y a un equipo de respaldo que están trabajando sobre este tema. Los resultados se le han remitido a los enlaces de sec general y sec de hacienda.")</f>
        <v>El IDU designó a un coordinador y a un equipo de respaldo que están trabajando sobre este tema. Los resultados se le han remitido a los enlaces de sec general y sec de hacienda.</v>
      </c>
      <c r="N4595" s="55">
        <f ca="1">IFERROR(__xludf.DUMMYFUNCTION("""COMPUTED_VALUE"""),44298)</f>
        <v>44298</v>
      </c>
      <c r="O4595" s="25" t="str">
        <f t="shared" ca="1" si="0"/>
        <v>Instituto de Desarrollo Urbano</v>
      </c>
      <c r="P4595" s="25" t="str">
        <f t="shared" si="3"/>
        <v/>
      </c>
      <c r="Q4595" s="25" t="str">
        <f ca="1">IFERROR(__xludf.DUMMYFUNCTION("""COMPUTED_VALUE"""),"Corto plazo")</f>
        <v>Corto plazo</v>
      </c>
      <c r="R4595" s="25"/>
      <c r="S4595" s="55"/>
      <c r="T4595" s="56"/>
      <c r="U4595" s="25"/>
      <c r="V4595" s="25"/>
      <c r="W4595" s="25"/>
      <c r="X4595" s="25"/>
      <c r="Y4595" s="25"/>
      <c r="Z4595" s="25"/>
    </row>
    <row r="4596" spans="1:26" ht="52.5" customHeight="1" x14ac:dyDescent="0.25">
      <c r="A4596" s="25" t="str">
        <f ca="1">IFERROR(__xludf.DUMMYFUNCTION("""COMPUTED_VALUE"""),"Movil394")</f>
        <v>Movil394</v>
      </c>
      <c r="B4596" s="25" t="str">
        <f ca="1">IFERROR(__xludf.DUMMYFUNCTION("""COMPUTED_VALUE"""),"Revisión borde occidental")</f>
        <v>Revisión borde occidental</v>
      </c>
      <c r="C4596" s="55">
        <f ca="1">IFERROR(__xludf.DUMMYFUNCTION("""COMPUTED_VALUE"""),44154)</f>
        <v>44154</v>
      </c>
      <c r="D4596" s="25" t="str">
        <f ca="1">IFERROR(__xludf.DUMMYFUNCTION("""COMPUTED_VALUE"""),"Movilidad")</f>
        <v>Movilidad</v>
      </c>
      <c r="E4596" s="25" t="str">
        <f ca="1">IFERROR(__xludf.DUMMYFUNCTION("""COMPUTED_VALUE"""),"Secretaría Distrital de Movilidad")</f>
        <v>Secretaría Distrital de Movilidad</v>
      </c>
      <c r="F4596" s="25" t="str">
        <f ca="1">IFERROR(__xludf.DUMMYFUNCTION("""COMPUTED_VALUE"""),"Incluir en el texto del POT los elementos que se requieran para poder aplicar la TIF como fuente de financiación de proyectos urbanos integrales")</f>
        <v>Incluir en el texto del POT los elementos que se requieran para poder aplicar la TIF como fuente de financiación de proyectos urbanos integrales</v>
      </c>
      <c r="G4596" s="25" t="str">
        <f ca="1">IFERROR(__xludf.DUMMYFUNCTION("""COMPUTED_VALUE"""),"99. Distrito")</f>
        <v>99. Distrito</v>
      </c>
      <c r="H4596" s="55">
        <f ca="1">IFERROR(__xludf.DUMMYFUNCTION("""COMPUTED_VALUE"""),44184)</f>
        <v>44184</v>
      </c>
      <c r="I4596" s="25"/>
      <c r="J4596" s="55" t="str">
        <f ca="1">IFERROR(__xludf.DUMMYFUNCTION("""COMPUTED_VALUE"""),"Alta")</f>
        <v>Alta</v>
      </c>
      <c r="K4596" s="25">
        <f ca="1">IFERROR(__xludf.DUMMYFUNCTION("""COMPUTED_VALUE"""),30)</f>
        <v>30</v>
      </c>
      <c r="L4596" s="62">
        <f ca="1">IFERROR(__xludf.DUMMYFUNCTION("""COMPUTED_VALUE"""),44298)</f>
        <v>44298</v>
      </c>
      <c r="M4596" s="25" t="str">
        <f ca="1">IFERROR(__xludf.DUMMYFUNCTION("""COMPUTED_VALUE"""),"En mesas de trabajo realizadas entre la alcaldía, la secretaria distrital de hacienda y la secretaria distrital de ambiente y la SDM, para la identificación de fuentes de financiación a ser viabilizadas mediante proyectos de ley, se evaluó la pertinencia "&amp;"de incluir esta fuente en el POT.
  Se sugiere revisar si estos temas siguen a cargo directamente del IDU o es de SDM o SDP y que se evalué si deben seguir en la tabla de seguimiento.")</f>
        <v>En mesas de trabajo realizadas entre la alcaldía, la secretaria distrital de hacienda y la secretaria distrital de ambiente y la SDM, para la identificación de fuentes de financiación a ser viabilizadas mediante proyectos de ley, se evaluó la pertinencia de incluir esta fuente en el POT.
  Se sugiere revisar si estos temas siguen a cargo directamente del IDU o es de SDM o SDP y que se evalué si deben seguir en la tabla de seguimiento.</v>
      </c>
      <c r="N4596" s="55">
        <f ca="1">IFERROR(__xludf.DUMMYFUNCTION("""COMPUTED_VALUE"""),44298)</f>
        <v>44298</v>
      </c>
      <c r="O4596" s="25" t="str">
        <f t="shared" ca="1" si="0"/>
        <v>Secretaría Distrital de Movilidad</v>
      </c>
      <c r="P4596" s="25" t="str">
        <f t="shared" si="3"/>
        <v/>
      </c>
      <c r="Q4596" s="25" t="str">
        <f ca="1">IFERROR(__xludf.DUMMYFUNCTION("""COMPUTED_VALUE"""),"Corto plazo")</f>
        <v>Corto plazo</v>
      </c>
      <c r="R4596" s="25"/>
      <c r="S4596" s="55"/>
      <c r="T4596" s="56"/>
      <c r="U4596" s="25"/>
      <c r="V4596" s="25"/>
      <c r="W4596" s="25"/>
      <c r="X4596" s="25"/>
      <c r="Y4596" s="25"/>
      <c r="Z4596" s="25"/>
    </row>
    <row r="4597" spans="1:26" ht="52.5" customHeight="1" x14ac:dyDescent="0.25">
      <c r="A4597" s="25" t="str">
        <f ca="1">IFERROR(__xludf.DUMMYFUNCTION("""COMPUTED_VALUE"""),"Movil395")</f>
        <v>Movil395</v>
      </c>
      <c r="B4597" s="25" t="str">
        <f ca="1">IFERROR(__xludf.DUMMYFUNCTION("""COMPUTED_VALUE"""),"Revisión borde occidental")</f>
        <v>Revisión borde occidental</v>
      </c>
      <c r="C4597" s="55">
        <f ca="1">IFERROR(__xludf.DUMMYFUNCTION("""COMPUTED_VALUE"""),44154)</f>
        <v>44154</v>
      </c>
      <c r="D4597" s="25" t="str">
        <f ca="1">IFERROR(__xludf.DUMMYFUNCTION("""COMPUTED_VALUE"""),"Movilidad")</f>
        <v>Movilidad</v>
      </c>
      <c r="E4597" s="25" t="str">
        <f ca="1">IFERROR(__xludf.DUMMYFUNCTION("""COMPUTED_VALUE"""),"Secretaría Distrital de Movilidad")</f>
        <v>Secretaría Distrital de Movilidad</v>
      </c>
      <c r="F4597" s="25" t="str">
        <f ca="1">IFERROR(__xludf.DUMMYFUNCTION("""COMPUTED_VALUE"""),"Realizar las modelaciones necesarias para el proyecto de calle 13, incluyendo el proyecto completo")</f>
        <v>Realizar las modelaciones necesarias para el proyecto de calle 13, incluyendo el proyecto completo</v>
      </c>
      <c r="G4597" s="25" t="str">
        <f ca="1">IFERROR(__xludf.DUMMYFUNCTION("""COMPUTED_VALUE"""),"99. Distrito")</f>
        <v>99. Distrito</v>
      </c>
      <c r="H4597" s="55">
        <f ca="1">IFERROR(__xludf.DUMMYFUNCTION("""COMPUTED_VALUE"""),44184)</f>
        <v>44184</v>
      </c>
      <c r="I4597" s="25"/>
      <c r="J4597" s="55" t="str">
        <f ca="1">IFERROR(__xludf.DUMMYFUNCTION("""COMPUTED_VALUE"""),"Alta")</f>
        <v>Alta</v>
      </c>
      <c r="K4597" s="25">
        <f ca="1">IFERROR(__xludf.DUMMYFUNCTION("""COMPUTED_VALUE"""),30)</f>
        <v>30</v>
      </c>
      <c r="L4597" s="62">
        <f ca="1">IFERROR(__xludf.DUMMYFUNCTION("""COMPUTED_VALUE"""),44369)</f>
        <v>44369</v>
      </c>
      <c r="M4597" s="25" t="str">
        <f ca="1">IFERROR(__xludf.DUMMYFUNCTION("""COMPUTED_VALUE"""),"Las simulaciones de demanda del componente troncal, propuesta de servicios y parámetros operacionales fueron conformados, en trabajo conjunto con TMSA. Estas modelaciones incluyen el proyecto completo y su efecto en la demanda de los modos principales.")</f>
        <v>Las simulaciones de demanda del componente troncal, propuesta de servicios y parámetros operacionales fueron conformados, en trabajo conjunto con TMSA. Estas modelaciones incluyen el proyecto completo y su efecto en la demanda de los modos principales.</v>
      </c>
      <c r="N4597" s="55">
        <f ca="1">IFERROR(__xludf.DUMMYFUNCTION("""COMPUTED_VALUE"""),44369)</f>
        <v>44369</v>
      </c>
      <c r="O4597" s="25" t="str">
        <f t="shared" ca="1" si="0"/>
        <v>Secretaría Distrital de Movilidad</v>
      </c>
      <c r="P4597" s="25" t="str">
        <f t="shared" si="3"/>
        <v/>
      </c>
      <c r="Q4597" s="25" t="str">
        <f ca="1">IFERROR(__xludf.DUMMYFUNCTION("""COMPUTED_VALUE"""),"Corto plazo")</f>
        <v>Corto plazo</v>
      </c>
      <c r="R4597" s="25"/>
      <c r="S4597" s="55"/>
      <c r="T4597" s="56"/>
      <c r="U4597" s="25"/>
      <c r="V4597" s="25"/>
      <c r="W4597" s="25"/>
      <c r="X4597" s="25"/>
      <c r="Y4597" s="25"/>
      <c r="Z4597" s="25"/>
    </row>
    <row r="4598" spans="1:26" ht="52.5" customHeight="1" x14ac:dyDescent="0.25">
      <c r="A4598" s="25" t="str">
        <f ca="1">IFERROR(__xludf.DUMMYFUNCTION("""COMPUTED_VALUE"""),"Movil396")</f>
        <v>Movil396</v>
      </c>
      <c r="B4598" s="25" t="str">
        <f ca="1">IFERROR(__xludf.DUMMYFUNCTION("""COMPUTED_VALUE"""),"Revisión borde occidental")</f>
        <v>Revisión borde occidental</v>
      </c>
      <c r="C4598" s="55">
        <f ca="1">IFERROR(__xludf.DUMMYFUNCTION("""COMPUTED_VALUE"""),44154)</f>
        <v>44154</v>
      </c>
      <c r="D4598" s="25" t="str">
        <f ca="1">IFERROR(__xludf.DUMMYFUNCTION("""COMPUTED_VALUE"""),"Movilidad")</f>
        <v>Movilidad</v>
      </c>
      <c r="E4598" s="25" t="str">
        <f ca="1">IFERROR(__xludf.DUMMYFUNCTION("""COMPUTED_VALUE"""),"Instituto de Desarrollo Urbano")</f>
        <v>Instituto de Desarrollo Urbano</v>
      </c>
      <c r="F4598" s="25" t="str">
        <f ca="1">IFERROR(__xludf.DUMMYFUNCTION("""COMPUTED_VALUE"""),"Proyectar la demanda de los proyectos sujetos a cofinanciación")</f>
        <v>Proyectar la demanda de los proyectos sujetos a cofinanciación</v>
      </c>
      <c r="G4598" s="25" t="str">
        <f ca="1">IFERROR(__xludf.DUMMYFUNCTION("""COMPUTED_VALUE"""),"99. Distrito")</f>
        <v>99. Distrito</v>
      </c>
      <c r="H4598" s="55">
        <f ca="1">IFERROR(__xludf.DUMMYFUNCTION("""COMPUTED_VALUE"""),44184)</f>
        <v>44184</v>
      </c>
      <c r="I4598" s="25"/>
      <c r="J4598" s="55" t="str">
        <f ca="1">IFERROR(__xludf.DUMMYFUNCTION("""COMPUTED_VALUE"""),"Alta")</f>
        <v>Alta</v>
      </c>
      <c r="K4598" s="25">
        <f ca="1">IFERROR(__xludf.DUMMYFUNCTION("""COMPUTED_VALUE"""),30)</f>
        <v>30</v>
      </c>
      <c r="L4598" s="62">
        <f ca="1">IFERROR(__xludf.DUMMYFUNCTION("""COMPUTED_VALUE"""),44407)</f>
        <v>44407</v>
      </c>
      <c r="M4598" s="25" t="str">
        <f ca="1">IFERROR(__xludf.DUMMYFUNCTION("""COMPUTED_VALUE"""),"Contrato IDU-1323 DE 2021 - Estudio de Demanda borde occidental para transporte privado
La proyección de demanda de la troncal Calle 13 ya se cerró")</f>
        <v>Contrato IDU-1323 DE 2021 - Estudio de Demanda borde occidental para transporte privado
La proyección de demanda de la troncal Calle 13 ya se cerró</v>
      </c>
      <c r="N4598" s="55">
        <f ca="1">IFERROR(__xludf.DUMMYFUNCTION("""COMPUTED_VALUE"""),44407)</f>
        <v>44407</v>
      </c>
      <c r="O4598" s="25" t="str">
        <f t="shared" ca="1" si="0"/>
        <v>Instituto de Desarrollo Urbano</v>
      </c>
      <c r="P4598" s="25" t="str">
        <f t="shared" si="3"/>
        <v/>
      </c>
      <c r="Q4598" s="25" t="str">
        <f ca="1">IFERROR(__xludf.DUMMYFUNCTION("""COMPUTED_VALUE"""),"Corto plazo")</f>
        <v>Corto plazo</v>
      </c>
      <c r="R4598" s="25"/>
      <c r="S4598" s="55"/>
      <c r="T4598" s="56"/>
      <c r="U4598" s="25"/>
      <c r="V4598" s="25"/>
      <c r="W4598" s="25"/>
      <c r="X4598" s="25"/>
      <c r="Y4598" s="25"/>
      <c r="Z4598" s="25"/>
    </row>
    <row r="4599" spans="1:26" ht="52.5" customHeight="1" x14ac:dyDescent="0.25">
      <c r="A4599" s="25" t="str">
        <f ca="1">IFERROR(__xludf.DUMMYFUNCTION("""COMPUTED_VALUE"""),"Movil397")</f>
        <v>Movil397</v>
      </c>
      <c r="B4599" s="25" t="str">
        <f ca="1">IFERROR(__xludf.DUMMYFUNCTION("""COMPUTED_VALUE"""),"Aprobación de señalización de tramos listos para entrega en relación al Contrato 142")</f>
        <v>Aprobación de señalización de tramos listos para entrega en relación al Contrato 142</v>
      </c>
      <c r="C4599" s="55">
        <f ca="1">IFERROR(__xludf.DUMMYFUNCTION("""COMPUTED_VALUE"""),44153)</f>
        <v>44153</v>
      </c>
      <c r="D4599" s="25" t="str">
        <f ca="1">IFERROR(__xludf.DUMMYFUNCTION("""COMPUTED_VALUE"""),"Movilidad")</f>
        <v>Movilidad</v>
      </c>
      <c r="E4599" s="25" t="str">
        <f ca="1">IFERROR(__xludf.DUMMYFUNCTION("""COMPUTED_VALUE"""),"Secretaría Distrital de Movilidad")</f>
        <v>Secretaría Distrital de Movilidad</v>
      </c>
      <c r="F4599" s="25" t="str">
        <f ca="1">IFERROR(__xludf.DUMMYFUNCTION("""COMPUTED_VALUE"""),"Compromiso contraído entre el Secretario Privado de la Alcaldía Mayor con el alcalde local de la localidad. El 18 de noviembre hubo reunión con el Alcalde Local de Chapinero y su equipo y se acordó reunión el viernes 20 de noviembre a las 7 am para ver lo"&amp;"s diseños de los tramos, a partir de esa reunión se programaron mesas de trabajo, de se necesario.
  *La UMV cumplió con el compromiso adquirido con la SDM en la via Bogota- Choachi, realizando actividades de parcheo y sello de fisuras desde el k0+00 hast"&amp;"a el K0+16; dejando la vía en mejores condiciones de transitabilidad a los ciudadanos.")</f>
        <v>Compromiso contraído entre el Secretario Privado de la Alcaldía Mayor con el alcalde local de la localidad. El 18 de noviembre hubo reunión con el Alcalde Local de Chapinero y su equipo y se acordó reunión el viernes 20 de noviembre a las 7 am para ver los diseños de los tramos, a partir de esa reunión se programaron mesas de trabajo, de se necesario.
  *La UMV cumplió con el compromiso adquirido con la SDM en la via Bogota- Choachi, realizando actividades de parcheo y sello de fisuras desde el k0+00 hasta el K0+16; dejando la vía en mejores condiciones de transitabilidad a los ciudadanos.</v>
      </c>
      <c r="G4599" s="25" t="str">
        <f ca="1">IFERROR(__xludf.DUMMYFUNCTION("""COMPUTED_VALUE"""),"99. Distrito")</f>
        <v>99. Distrito</v>
      </c>
      <c r="H4599" s="55">
        <f ca="1">IFERROR(__xludf.DUMMYFUNCTION("""COMPUTED_VALUE"""),44183)</f>
        <v>44183</v>
      </c>
      <c r="I4599" s="25"/>
      <c r="J4599" s="55" t="str">
        <f ca="1">IFERROR(__xludf.DUMMYFUNCTION("""COMPUTED_VALUE"""),"Alta")</f>
        <v>Alta</v>
      </c>
      <c r="K4599" s="25">
        <f ca="1">IFERROR(__xludf.DUMMYFUNCTION("""COMPUTED_VALUE"""),30)</f>
        <v>30</v>
      </c>
      <c r="L4599" s="62">
        <f ca="1">IFERROR(__xludf.DUMMYFUNCTION("""COMPUTED_VALUE"""),44383)</f>
        <v>44383</v>
      </c>
      <c r="M4599" s="25" t="str">
        <f ca="1">IFERROR(__xludf.DUMMYFUNCTION("""COMPUTED_VALUE"""),"Mediante comunicación SDM-SS-190815-2020 del 01 de diciembre de 2020 se aprobaron los diseños de señalización de 24 CIVs del CTO-FDLCH-142-2018.
  Mediante comunicación SDM-SS-205239-2020 del 13 de diciembre de 2020 se aprobaron los diseños de señalizació"&amp;"n de 3 CIVs del CTO-FDLCH-142-2018.
  Mediante comunicación SDM-SS-205247-2020 del 13 de diciembre de 2020 se aprobaron los diseños de señalización de 2 CIVs del CTO-FDLCH-142-2018.
  Mediante comunicación SS-20213110081021 del 20 de enero de 2021 se apro"&amp;"baron los diseños de señalización de 9 CIVs del CTO-FDLCH-142-2018.
  Mediante comunicación SS-20213110628441 del 01 de febrero de 2021 se emitió concepto de observaciones a 3 CIVs del CTO-142-2018. 
  Mediante comunicación SS-20213110655221 del 05 de feb"&amp;"rero de 2021 se emitió concepto de observaciones a los segmentos rurales del CTO-142-2018. 
  Mediante comunicación SS-20213110914361 del 27 de febrero de 2021 se aprobaron los diseños de señalización de 1 CIVs del CTO-FDLCH-142-2018.
  Mediante comunicac"&amp;"ión SS-20213111732011 del 30 de marzo de 2021 se aprobaron los diseños de señalización de 5 CIVs del CTO-FDLCH-142-2018.
  Mediante comunicación SS-20213112707911 del 30 de abril de 2021 se aprobaron los diseños de señalización de 1 CIV del CTO-FDLCH-142-"&amp;"2018. 
  Mediante comunicación SS-20213113295571 del 13 de mayo de 2021 se aprobaron los diseños de señalización de 2 CIV (segmentos rurales) del CTO-FDLCH-142-2018.")</f>
        <v>Mediante comunicación SDM-SS-190815-2020 del 01 de diciembre de 2020 se aprobaron los diseños de señalización de 24 CIVs del CTO-FDLCH-142-2018.
  Mediante comunicación SDM-SS-205239-2020 del 13 de diciembre de 2020 se aprobaron los diseños de señalización de 3 CIVs del CTO-FDLCH-142-2018.
  Mediante comunicación SDM-SS-205247-2020 del 13 de diciembre de 2020 se aprobaron los diseños de señalización de 2 CIVs del CTO-FDLCH-142-2018.
  Mediante comunicación SS-20213110081021 del 20 de enero de 2021 se aprobaron los diseños de señalización de 9 CIVs del CTO-FDLCH-142-2018.
  Mediante comunicación SS-20213110628441 del 01 de febrero de 2021 se emitió concepto de observaciones a 3 CIVs del CTO-142-2018. 
  Mediante comunicación SS-20213110655221 del 05 de febrero de 2021 se emitió concepto de observaciones a los segmentos rurales del CTO-142-2018. 
  Mediante comunicación SS-20213110914361 del 27 de febrero de 2021 se aprobaron los diseños de señalización de 1 CIVs del CTO-FDLCH-142-2018.
  Mediante comunicación SS-20213111732011 del 30 de marzo de 2021 se aprobaron los diseños de señalización de 5 CIVs del CTO-FDLCH-142-2018.
  Mediante comunicación SS-20213112707911 del 30 de abril de 2021 se aprobaron los diseños de señalización de 1 CIV del CTO-FDLCH-142-2018. 
  Mediante comunicación SS-20213113295571 del 13 de mayo de 2021 se aprobaron los diseños de señalización de 2 CIV (segmentos rurales) del CTO-FDLCH-142-2018.</v>
      </c>
      <c r="N4599" s="55">
        <f ca="1">IFERROR(__xludf.DUMMYFUNCTION("""COMPUTED_VALUE"""),44383)</f>
        <v>44383</v>
      </c>
      <c r="O4599" s="25" t="str">
        <f t="shared" ca="1" si="0"/>
        <v>Secretaría Distrital de Movilidad</v>
      </c>
      <c r="P4599" s="25" t="str">
        <f t="shared" si="3"/>
        <v/>
      </c>
      <c r="Q4599" s="25" t="str">
        <f ca="1">IFERROR(__xludf.DUMMYFUNCTION("""COMPUTED_VALUE"""),"Corto plazo")</f>
        <v>Corto plazo</v>
      </c>
      <c r="R4599" s="25"/>
      <c r="S4599" s="55"/>
      <c r="T4599" s="56"/>
      <c r="U4599" s="25"/>
      <c r="V4599" s="25"/>
      <c r="W4599" s="25"/>
      <c r="X4599" s="25"/>
      <c r="Y4599" s="25"/>
      <c r="Z4599" s="25"/>
    </row>
    <row r="4600" spans="1:26" ht="52.5" customHeight="1" x14ac:dyDescent="0.25">
      <c r="A4600" s="25" t="str">
        <f ca="1">IFERROR(__xludf.DUMMYFUNCTION("""COMPUTED_VALUE"""),"Movil398")</f>
        <v>Movil398</v>
      </c>
      <c r="B4600" s="25" t="str">
        <f ca="1">IFERROR(__xludf.DUMMYFUNCTION("""COMPUTED_VALUE"""),"Sistema de bicis compartidas")</f>
        <v>Sistema de bicis compartidas</v>
      </c>
      <c r="C4600" s="55">
        <f ca="1">IFERROR(__xludf.DUMMYFUNCTION("""COMPUTED_VALUE"""),44145)</f>
        <v>44145</v>
      </c>
      <c r="D4600" s="25" t="str">
        <f ca="1">IFERROR(__xludf.DUMMYFUNCTION("""COMPUTED_VALUE"""),"Movilidad")</f>
        <v>Movilidad</v>
      </c>
      <c r="E4600" s="25" t="str">
        <f ca="1">IFERROR(__xludf.DUMMYFUNCTION("""COMPUTED_VALUE"""),"Secretaría Distrital de Movilidad")</f>
        <v>Secretaría Distrital de Movilidad</v>
      </c>
      <c r="F4600" s="25" t="str">
        <f ca="1">IFERROR(__xludf.DUMMYFUNCTION("""COMPUTED_VALUE"""),"Pensar en “amarrar” el mantenimiento y la prestación del servicio en los tramos rentables del sistema")</f>
        <v>Pensar en “amarrar” el mantenimiento y la prestación del servicio en los tramos rentables del sistema</v>
      </c>
      <c r="G4600" s="25" t="str">
        <f ca="1">IFERROR(__xludf.DUMMYFUNCTION("""COMPUTED_VALUE"""),"99. Distrito")</f>
        <v>99. Distrito</v>
      </c>
      <c r="H4600" s="55">
        <f ca="1">IFERROR(__xludf.DUMMYFUNCTION("""COMPUTED_VALUE"""),44175)</f>
        <v>44175</v>
      </c>
      <c r="I4600" s="25"/>
      <c r="J4600" s="55" t="str">
        <f ca="1">IFERROR(__xludf.DUMMYFUNCTION("""COMPUTED_VALUE"""),"Alta")</f>
        <v>Alta</v>
      </c>
      <c r="K4600" s="25">
        <f ca="1">IFERROR(__xludf.DUMMYFUNCTION("""COMPUTED_VALUE"""),30)</f>
        <v>30</v>
      </c>
      <c r="L4600" s="62">
        <f ca="1">IFERROR(__xludf.DUMMYFUNCTION("""COMPUTED_VALUE"""),44362)</f>
        <v>44362</v>
      </c>
      <c r="M4600" s="25" t="str">
        <f ca="1">IFERROR(__xludf.DUMMYFUNCTION("""COMPUTED_VALUE"""),"El 25.11 se llevó a cabo reunión con IDU, donde aceptaron el apoyo de FDN para la estructuración del estudio y análisis financiero de la integración de un sistema de bicicletas compartidas en proyectos de infraestructura. FDN envío propuesta de precios pa"&amp;"ra dicha consultoría, propuesta que está siendo revisada por los equipos de la SDM y de IDU")</f>
        <v>El 25.11 se llevó a cabo reunión con IDU, donde aceptaron el apoyo de FDN para la estructuración del estudio y análisis financiero de la integración de un sistema de bicicletas compartidas en proyectos de infraestructura. FDN envío propuesta de precios para dicha consultoría, propuesta que está siendo revisada por los equipos de la SDM y de IDU</v>
      </c>
      <c r="N4600" s="55">
        <f ca="1">IFERROR(__xludf.DUMMYFUNCTION("""COMPUTED_VALUE"""),44362)</f>
        <v>44362</v>
      </c>
      <c r="O4600" s="25" t="str">
        <f t="shared" ca="1" si="0"/>
        <v>Secretaría Distrital de Movilidad</v>
      </c>
      <c r="P4600" s="25" t="str">
        <f t="shared" si="3"/>
        <v/>
      </c>
      <c r="Q4600" s="25" t="str">
        <f ca="1">IFERROR(__xludf.DUMMYFUNCTION("""COMPUTED_VALUE"""),"Corto plazo")</f>
        <v>Corto plazo</v>
      </c>
      <c r="R4600" s="25"/>
      <c r="S4600" s="55"/>
      <c r="T4600" s="56"/>
      <c r="U4600" s="25"/>
      <c r="V4600" s="25"/>
      <c r="W4600" s="25"/>
      <c r="X4600" s="25"/>
      <c r="Y4600" s="25"/>
      <c r="Z4600" s="25"/>
    </row>
    <row r="4601" spans="1:26" ht="52.5" customHeight="1" x14ac:dyDescent="0.25">
      <c r="A4601" s="25" t="str">
        <f ca="1">IFERROR(__xludf.DUMMYFUNCTION("""COMPUTED_VALUE"""),"Movil399")</f>
        <v>Movil399</v>
      </c>
      <c r="B4601" s="25" t="str">
        <f ca="1">IFERROR(__xludf.DUMMYFUNCTION("""COMPUTED_VALUE"""),"Sistema de bicis compartidas")</f>
        <v>Sistema de bicis compartidas</v>
      </c>
      <c r="C4601" s="55">
        <f ca="1">IFERROR(__xludf.DUMMYFUNCTION("""COMPUTED_VALUE"""),44145)</f>
        <v>44145</v>
      </c>
      <c r="D4601" s="25" t="str">
        <f ca="1">IFERROR(__xludf.DUMMYFUNCTION("""COMPUTED_VALUE"""),"Movilidad")</f>
        <v>Movilidad</v>
      </c>
      <c r="E4601" s="25" t="str">
        <f ca="1">IFERROR(__xludf.DUMMYFUNCTION("""COMPUTED_VALUE"""),"Secretaría Distrital de Movilidad")</f>
        <v>Secretaría Distrital de Movilidad</v>
      </c>
      <c r="F4601" s="25" t="str">
        <f ca="1">IFERROR(__xludf.DUMMYFUNCTION("""COMPUTED_VALUE"""),"Repensar el sistema de bicis compartidas para que responda a las necesidades de la nueva realidad de pandemia")</f>
        <v>Repensar el sistema de bicis compartidas para que responda a las necesidades de la nueva realidad de pandemia</v>
      </c>
      <c r="G4601" s="25" t="str">
        <f ca="1">IFERROR(__xludf.DUMMYFUNCTION("""COMPUTED_VALUE"""),"99. Distrito")</f>
        <v>99. Distrito</v>
      </c>
      <c r="H4601" s="55">
        <f ca="1">IFERROR(__xludf.DUMMYFUNCTION("""COMPUTED_VALUE"""),44175)</f>
        <v>44175</v>
      </c>
      <c r="I4601" s="25"/>
      <c r="J4601" s="55" t="str">
        <f ca="1">IFERROR(__xludf.DUMMYFUNCTION("""COMPUTED_VALUE"""),"Alta")</f>
        <v>Alta</v>
      </c>
      <c r="K4601" s="25">
        <f ca="1">IFERROR(__xludf.DUMMYFUNCTION("""COMPUTED_VALUE"""),30)</f>
        <v>30</v>
      </c>
      <c r="L4601" s="62">
        <f ca="1">IFERROR(__xludf.DUMMYFUNCTION("""COMPUTED_VALUE"""),43873)</f>
        <v>43873</v>
      </c>
      <c r="M4601" s="25" t="str">
        <f ca="1">IFERROR(__xludf.DUMMYFUNCTION("""COMPUTED_VALUE"""),"Se priorizan acciones para autorizar el aprovechamiento económico del espacio público de vehículos de micromovilidad que faciliten el distanciamiento social en el transporte de los ciudadanos. En este sentido se crea la actividad ""Alquiler de vehículos d"&amp;"e micromovilidad"" en la CIEP para autorizar el alquiler de estos vehículos mediante 1. Permisos, y 2. Una licitación tipo CAMEP, y se otorga una exención de pago temporal con el fin de incentivar esta actividad. En este sentido la SDM continúa con la est"&amp;"ructuración de los docs precontractuales del CAMEP y la documentación necesaria para emitir dichos permisos.")</f>
        <v>Se priorizan acciones para autorizar el aprovechamiento económico del espacio público de vehículos de micromovilidad que faciliten el distanciamiento social en el transporte de los ciudadanos. En este sentido se crea la actividad "Alquiler de vehículos de micromovilidad" en la CIEP para autorizar el alquiler de estos vehículos mediante 1. Permisos, y 2. Una licitación tipo CAMEP, y se otorga una exención de pago temporal con el fin de incentivar esta actividad. En este sentido la SDM continúa con la estructuración de los docs precontractuales del CAMEP y la documentación necesaria para emitir dichos permisos.</v>
      </c>
      <c r="N4601" s="55">
        <f ca="1">IFERROR(__xludf.DUMMYFUNCTION("""COMPUTED_VALUE"""),43873)</f>
        <v>43873</v>
      </c>
      <c r="O4601" s="25" t="str">
        <f t="shared" ca="1" si="0"/>
        <v>Secretaría Distrital de Movilidad</v>
      </c>
      <c r="P4601" s="25" t="str">
        <f t="shared" si="3"/>
        <v/>
      </c>
      <c r="Q4601" s="25" t="str">
        <f ca="1">IFERROR(__xludf.DUMMYFUNCTION("""COMPUTED_VALUE"""),"Corto plazo")</f>
        <v>Corto plazo</v>
      </c>
      <c r="R4601" s="25"/>
      <c r="S4601" s="55"/>
      <c r="T4601" s="56"/>
      <c r="U4601" s="25"/>
      <c r="V4601" s="25"/>
      <c r="W4601" s="25"/>
      <c r="X4601" s="25"/>
      <c r="Y4601" s="25"/>
      <c r="Z4601" s="25"/>
    </row>
    <row r="4602" spans="1:26" ht="52.5" customHeight="1" x14ac:dyDescent="0.25">
      <c r="A4602" s="25" t="str">
        <f ca="1">IFERROR(__xludf.DUMMYFUNCTION("""COMPUTED_VALUE"""),"Movil400")</f>
        <v>Movil400</v>
      </c>
      <c r="B4602" s="25" t="str">
        <f ca="1">IFERROR(__xludf.DUMMYFUNCTION("""COMPUTED_VALUE"""),"Sistema de bicis compartidas")</f>
        <v>Sistema de bicis compartidas</v>
      </c>
      <c r="C4602" s="55">
        <f ca="1">IFERROR(__xludf.DUMMYFUNCTION("""COMPUTED_VALUE"""),44145)</f>
        <v>44145</v>
      </c>
      <c r="D4602" s="25" t="str">
        <f ca="1">IFERROR(__xludf.DUMMYFUNCTION("""COMPUTED_VALUE"""),"Movilidad")</f>
        <v>Movilidad</v>
      </c>
      <c r="E4602" s="25" t="str">
        <f ca="1">IFERROR(__xludf.DUMMYFUNCTION("""COMPUTED_VALUE"""),"Secretaría Distrital de Movilidad")</f>
        <v>Secretaría Distrital de Movilidad</v>
      </c>
      <c r="F4602" s="25" t="str">
        <f ca="1">IFERROR(__xludf.DUMMYFUNCTION("""COMPUTED_VALUE"""),"Coordinar la aceptación de un proyecto de acuerdo que permita la Publicidad Exterior Visual en los sistemas de micromovilidad")</f>
        <v>Coordinar la aceptación de un proyecto de acuerdo que permita la Publicidad Exterior Visual en los sistemas de micromovilidad</v>
      </c>
      <c r="G4602" s="25" t="str">
        <f ca="1">IFERROR(__xludf.DUMMYFUNCTION("""COMPUTED_VALUE"""),"99. Distrito")</f>
        <v>99. Distrito</v>
      </c>
      <c r="H4602" s="55">
        <f ca="1">IFERROR(__xludf.DUMMYFUNCTION("""COMPUTED_VALUE"""),44175)</f>
        <v>44175</v>
      </c>
      <c r="I4602" s="25"/>
      <c r="J4602" s="55" t="str">
        <f ca="1">IFERROR(__xludf.DUMMYFUNCTION("""COMPUTED_VALUE"""),"Alta")</f>
        <v>Alta</v>
      </c>
      <c r="K4602" s="25">
        <f ca="1">IFERROR(__xludf.DUMMYFUNCTION("""COMPUTED_VALUE"""),30)</f>
        <v>30</v>
      </c>
      <c r="L4602" s="62">
        <f ca="1">IFERROR(__xludf.DUMMYFUNCTION("""COMPUTED_VALUE"""),44379)</f>
        <v>44379</v>
      </c>
      <c r="M4602" s="25" t="str">
        <f ca="1">IFERROR(__xludf.DUMMYFUNCTION("""COMPUTED_VALUE"""),"La alcaldesa sancionó el acuerdo 811 de 2021 “POR MEDIO DEL CUAL SE IMPULSAN ACCIONES PARA ENFRENTAR LA EMERGENCIA CLIMÁTICA Y EL CUMPLIMIENTO DE LOS OBJETIVOS DE DESCARBONIZACIÓN EN BOGOTÁ D.C.”. Dicho proyecto permite la publicidad exterior visual en si"&amp;"stemas de movilidad individual, viabilizando financieramente la implementación de un Sistema de Bicicletas Compartidas.")</f>
        <v>La alcaldesa sancionó el acuerdo 811 de 2021 “POR MEDIO DEL CUAL SE IMPULSAN ACCIONES PARA ENFRENTAR LA EMERGENCIA CLIMÁTICA Y EL CUMPLIMIENTO DE LOS OBJETIVOS DE DESCARBONIZACIÓN EN BOGOTÁ D.C.”. Dicho proyecto permite la publicidad exterior visual en sistemas de movilidad individual, viabilizando financieramente la implementación de un Sistema de Bicicletas Compartidas.</v>
      </c>
      <c r="N4602" s="55">
        <f ca="1">IFERROR(__xludf.DUMMYFUNCTION("""COMPUTED_VALUE"""),44379)</f>
        <v>44379</v>
      </c>
      <c r="O4602" s="25" t="str">
        <f t="shared" ca="1" si="0"/>
        <v>Secretaría Distrital de Movilidad</v>
      </c>
      <c r="P4602" s="25" t="str">
        <f t="shared" si="3"/>
        <v/>
      </c>
      <c r="Q4602" s="25" t="str">
        <f ca="1">IFERROR(__xludf.DUMMYFUNCTION("""COMPUTED_VALUE"""),"Corto plazo")</f>
        <v>Corto plazo</v>
      </c>
      <c r="R4602" s="25"/>
      <c r="S4602" s="55"/>
      <c r="T4602" s="56"/>
      <c r="U4602" s="25"/>
      <c r="V4602" s="25"/>
      <c r="W4602" s="25"/>
      <c r="X4602" s="25"/>
      <c r="Y4602" s="25"/>
      <c r="Z4602" s="25"/>
    </row>
    <row r="4603" spans="1:26" ht="52.5" customHeight="1" x14ac:dyDescent="0.25">
      <c r="A4603" s="25" t="str">
        <f ca="1">IFERROR(__xludf.DUMMYFUNCTION("""COMPUTED_VALUE"""),"Movil401")</f>
        <v>Movil401</v>
      </c>
      <c r="B4603" s="25" t="str">
        <f ca="1">IFERROR(__xludf.DUMMYFUNCTION("""COMPUTED_VALUE"""),"Cicloruta Calle 13")</f>
        <v>Cicloruta Calle 13</v>
      </c>
      <c r="C4603" s="55">
        <f ca="1">IFERROR(__xludf.DUMMYFUNCTION("""COMPUTED_VALUE"""),44144)</f>
        <v>44144</v>
      </c>
      <c r="D4603" s="25" t="str">
        <f ca="1">IFERROR(__xludf.DUMMYFUNCTION("""COMPUTED_VALUE"""),"Movilidad")</f>
        <v>Movilidad</v>
      </c>
      <c r="E4603" s="25" t="str">
        <f ca="1">IFERROR(__xludf.DUMMYFUNCTION("""COMPUTED_VALUE"""),"Secretaría Distrital de Movilidad")</f>
        <v>Secretaría Distrital de Movilidad</v>
      </c>
      <c r="F4603" s="25" t="str">
        <f ca="1">IFERROR(__xludf.DUMMYFUNCTION("""COMPUTED_VALUE"""),"Adecuación de una franja ciclopeatonal en el costado sur de la calle 13 entre la carrera 97 y la carrera 135, la intervención se divide en 6 tramos,")</f>
        <v>Adecuación de una franja ciclopeatonal en el costado sur de la calle 13 entre la carrera 97 y la carrera 135, la intervención se divide en 6 tramos,</v>
      </c>
      <c r="G4603" s="55" t="str">
        <f ca="1">IFERROR(__xludf.DUMMYFUNCTION("""COMPUTED_VALUE"""),"09. Fontibón")</f>
        <v>09. Fontibón</v>
      </c>
      <c r="H4603" s="55">
        <f ca="1">IFERROR(__xludf.DUMMYFUNCTION("""COMPUTED_VALUE"""),44174)</f>
        <v>44174</v>
      </c>
      <c r="I4603" s="25"/>
      <c r="J4603" s="55" t="str">
        <f ca="1">IFERROR(__xludf.DUMMYFUNCTION("""COMPUTED_VALUE"""),"Alta")</f>
        <v>Alta</v>
      </c>
      <c r="K4603" s="25">
        <f ca="1">IFERROR(__xludf.DUMMYFUNCTION("""COMPUTED_VALUE"""),30)</f>
        <v>30</v>
      </c>
      <c r="L4603" s="62">
        <f ca="1">IFERROR(__xludf.DUMMYFUNCTION("""COMPUTED_VALUE"""),44392)</f>
        <v>44392</v>
      </c>
      <c r="M4603" s="25" t="str">
        <f ca="1">IFERROR(__xludf.DUMMYFUNCTION("""COMPUTED_VALUE"""),"A la fecha se encuentra terminada la intervención por parte de la UMV, en la adecuación del ciclocarril en la calle 13 desde la carrera 97 hasta la carrera 135. La intervención contempló la adecuación de una ciclorruta temporal y espacio para la circulaci"&amp;"ón peatonal, con una sección transversal de 4,20 metros de ancho, de los cuales 3 metros serán destinados para la circulación de bicicletas y 1.20 m para peatones. En algunos sectores, por el espacio disponible se reducirá la sección, pero siempre se tend"&amp;"rá
circulación bidireccional de peatones y biciusuarios.  Actualmente se está colaborando al jardín Botánico con mano de obra para la siembra de árboles y adecuación de paisajismo.")</f>
        <v>A la fecha se encuentra terminada la intervención por parte de la UMV, en la adecuación del ciclocarril en la calle 13 desde la carrera 97 hasta la carrera 135. La intervención contempló la adecuación de una ciclorruta temporal y espacio para la circulación peatonal, con una sección transversal de 4,20 metros de ancho, de los cuales 3 metros serán destinados para la circulación de bicicletas y 1.20 m para peatones. En algunos sectores, por el espacio disponible se reducirá la sección, pero siempre se tendrá
circulación bidireccional de peatones y biciusuarios.  Actualmente se está colaborando al jardín Botánico con mano de obra para la siembra de árboles y adecuación de paisajismo.</v>
      </c>
      <c r="N4603" s="55">
        <f ca="1">IFERROR(__xludf.DUMMYFUNCTION("""COMPUTED_VALUE"""),44392)</f>
        <v>44392</v>
      </c>
      <c r="O4603" s="25" t="str">
        <f t="shared" ca="1" si="0"/>
        <v>Secretaría Distrital de Movilidad</v>
      </c>
      <c r="P4603" s="25" t="str">
        <f t="shared" si="3"/>
        <v/>
      </c>
      <c r="Q4603" s="25" t="str">
        <f ca="1">IFERROR(__xludf.DUMMYFUNCTION("""COMPUTED_VALUE"""),"Corto plazo")</f>
        <v>Corto plazo</v>
      </c>
      <c r="R4603" s="25"/>
      <c r="S4603" s="55"/>
      <c r="T4603" s="56"/>
      <c r="U4603" s="25"/>
      <c r="V4603" s="25"/>
      <c r="W4603" s="25"/>
      <c r="X4603" s="25"/>
      <c r="Y4603" s="25"/>
      <c r="Z4603" s="25"/>
    </row>
    <row r="4604" spans="1:26" ht="52.5" customHeight="1" x14ac:dyDescent="0.25">
      <c r="A4604" s="25" t="str">
        <f ca="1">IFERROR(__xludf.DUMMYFUNCTION("""COMPUTED_VALUE"""),"Movil402")</f>
        <v>Movil402</v>
      </c>
      <c r="B4604" s="25" t="str">
        <f ca="1">IFERROR(__xludf.DUMMYFUNCTION("""COMPUTED_VALUE"""),"Consejos Locales de Gobierno")</f>
        <v>Consejos Locales de Gobierno</v>
      </c>
      <c r="C4604" s="55">
        <f ca="1">IFERROR(__xludf.DUMMYFUNCTION("""COMPUTED_VALUE"""),44144)</f>
        <v>44144</v>
      </c>
      <c r="D4604" s="25" t="str">
        <f ca="1">IFERROR(__xludf.DUMMYFUNCTION("""COMPUTED_VALUE"""),"Movilidad")</f>
        <v>Movilidad</v>
      </c>
      <c r="E4604" s="25" t="str">
        <f ca="1">IFERROR(__xludf.DUMMYFUNCTION("""COMPUTED_VALUE"""),"Secretaría Distrital de Movilidad")</f>
        <v>Secretaría Distrital de Movilidad</v>
      </c>
      <c r="F4604" s="25" t="str">
        <f ca="1">IFERROR(__xludf.DUMMYFUNCTION("""COMPUTED_VALUE"""),"Revisar la pertinencia de la instalación de reductores de velocidad en la zona del Minuto de Dios y las acciones que puedan ser necesarias para mejorar el tema de movilidad. Carrera 73A entre calle 80 y 82")</f>
        <v>Revisar la pertinencia de la instalación de reductores de velocidad en la zona del Minuto de Dios y las acciones que puedan ser necesarias para mejorar el tema de movilidad. Carrera 73A entre calle 80 y 82</v>
      </c>
      <c r="G4604" s="25" t="str">
        <f ca="1">IFERROR(__xludf.DUMMYFUNCTION("""COMPUTED_VALUE"""),"99. Distrito")</f>
        <v>99. Distrito</v>
      </c>
      <c r="H4604" s="55">
        <f ca="1">IFERROR(__xludf.DUMMYFUNCTION("""COMPUTED_VALUE"""),44174)</f>
        <v>44174</v>
      </c>
      <c r="I4604" s="25"/>
      <c r="J4604" s="55" t="str">
        <f ca="1">IFERROR(__xludf.DUMMYFUNCTION("""COMPUTED_VALUE"""),"Alta")</f>
        <v>Alta</v>
      </c>
      <c r="K4604" s="25">
        <f ca="1">IFERROR(__xludf.DUMMYFUNCTION("""COMPUTED_VALUE"""),30)</f>
        <v>30</v>
      </c>
      <c r="L4604" s="62">
        <f ca="1">IFERROR(__xludf.DUMMYFUNCTION("""COMPUTED_VALUE"""),44468)</f>
        <v>44468</v>
      </c>
      <c r="M4604" s="25" t="str">
        <f ca="1">IFERROR(__xludf.DUMMYFUNCTION("""COMPUTED_VALUE"""),"Se informa que el 14 de septiembre de 2021 se implementaron las medidas de pacificación viabilizadas en el diseño EX_10_360_1236_11  para el tramo de la  Carrera 73 A entre Calle 80 y calle 82.
Se han programado y se continuarán programando operativos de"&amp;" control para evitar estacionamiento en vía y se han programado operativos de control de velocidad.
Se han programado campañas pedagógicas en Minuto de Dios.")</f>
        <v>Se informa que el 14 de septiembre de 2021 se implementaron las medidas de pacificación viabilizadas en el diseño EX_10_360_1236_11  para el tramo de la  Carrera 73 A entre Calle 80 y calle 82.
Se han programado y se continuarán programando operativos de control para evitar estacionamiento en vía y se han programado operativos de control de velocidad.
Se han programado campañas pedagógicas en Minuto de Dios.</v>
      </c>
      <c r="N4604" s="55">
        <f ca="1">IFERROR(__xludf.DUMMYFUNCTION("""COMPUTED_VALUE"""),44468)</f>
        <v>44468</v>
      </c>
      <c r="O4604" s="25" t="str">
        <f t="shared" ca="1" si="0"/>
        <v>Secretaría Distrital de Movilidad</v>
      </c>
      <c r="P4604" s="25" t="str">
        <f t="shared" si="3"/>
        <v/>
      </c>
      <c r="Q4604" s="25" t="str">
        <f ca="1">IFERROR(__xludf.DUMMYFUNCTION("""COMPUTED_VALUE"""),"Corto plazo")</f>
        <v>Corto plazo</v>
      </c>
      <c r="R4604" s="25"/>
      <c r="S4604" s="55"/>
      <c r="T4604" s="56"/>
      <c r="U4604" s="25"/>
      <c r="V4604" s="25"/>
      <c r="W4604" s="25"/>
      <c r="X4604" s="25"/>
      <c r="Y4604" s="25"/>
      <c r="Z4604" s="25"/>
    </row>
    <row r="4605" spans="1:26" ht="52.5" customHeight="1" x14ac:dyDescent="0.25">
      <c r="A4605" s="25" t="str">
        <f ca="1">IFERROR(__xludf.DUMMYFUNCTION("""COMPUTED_VALUE"""),"Movil403")</f>
        <v>Movil403</v>
      </c>
      <c r="B4605" s="25" t="str">
        <f ca="1">IFERROR(__xludf.DUMMYFUNCTION("""COMPUTED_VALUE"""),"Recorridos")</f>
        <v>Recorridos</v>
      </c>
      <c r="C4605" s="55">
        <f ca="1">IFERROR(__xludf.DUMMYFUNCTION("""COMPUTED_VALUE"""),44144)</f>
        <v>44144</v>
      </c>
      <c r="D4605" s="25" t="str">
        <f ca="1">IFERROR(__xludf.DUMMYFUNCTION("""COMPUTED_VALUE"""),"Movilidad")</f>
        <v>Movilidad</v>
      </c>
      <c r="E4605" s="25" t="str">
        <f ca="1">IFERROR(__xludf.DUMMYFUNCTION("""COMPUTED_VALUE"""),"Secretaría Distrital de Movilidad")</f>
        <v>Secretaría Distrital de Movilidad</v>
      </c>
      <c r="F4605" s="25" t="str">
        <f ca="1">IFERROR(__xludf.DUMMYFUNCTION("""COMPUTED_VALUE"""),"Contactar al ciudadano Jairo Diaz (3102939935) y realizar un plan para mejorar la movilidad en la Carrera 87 a con 7 sur.  
La ciudadanía manifiesta que se genera embotellamiento por retorno y estacionamiento de buses del SITP.")</f>
        <v>Contactar al ciudadano Jairo Diaz (3102939935) y realizar un plan para mejorar la movilidad en la Carrera 87 a con 7 sur.  
La ciudadanía manifiesta que se genera embotellamiento por retorno y estacionamiento de buses del SITP.</v>
      </c>
      <c r="G4605" s="55" t="str">
        <f ca="1">IFERROR(__xludf.DUMMYFUNCTION("""COMPUTED_VALUE"""),"08. Kennedy")</f>
        <v>08. Kennedy</v>
      </c>
      <c r="H4605" s="55">
        <f ca="1">IFERROR(__xludf.DUMMYFUNCTION("""COMPUTED_VALUE"""),44174)</f>
        <v>44174</v>
      </c>
      <c r="I4605" s="25"/>
      <c r="J4605" s="55" t="str">
        <f ca="1">IFERROR(__xludf.DUMMYFUNCTION("""COMPUTED_VALUE"""),"Alta")</f>
        <v>Alta</v>
      </c>
      <c r="K4605" s="25">
        <f ca="1">IFERROR(__xludf.DUMMYFUNCTION("""COMPUTED_VALUE"""),30)</f>
        <v>30</v>
      </c>
      <c r="L4605" s="62">
        <f ca="1">IFERROR(__xludf.DUMMYFUNCTION("""COMPUTED_VALUE"""),44362)</f>
        <v>44362</v>
      </c>
      <c r="M4605" s="25" t="str">
        <f ca="1">IFERROR(__xludf.DUMMYFUNCTION("""COMPUTED_VALUE"""),"Se ejecuta la instalación de prueba piloto para el cambio de sentido vial en la KR 87B desde la CL 6D hasta la Cl 7. Con el objetivo de descongestionar la intersección de la CL 6D con KR 87B, dejando este tramo en sentido Sur - Norte únicamente.")</f>
        <v>Se ejecuta la instalación de prueba piloto para el cambio de sentido vial en la KR 87B desde la CL 6D hasta la Cl 7. Con el objetivo de descongestionar la intersección de la CL 6D con KR 87B, dejando este tramo en sentido Sur - Norte únicamente.</v>
      </c>
      <c r="N4605" s="55">
        <f ca="1">IFERROR(__xludf.DUMMYFUNCTION("""COMPUTED_VALUE"""),44362)</f>
        <v>44362</v>
      </c>
      <c r="O4605" s="25" t="str">
        <f t="shared" ca="1" si="0"/>
        <v>Secretaría Distrital de Movilidad</v>
      </c>
      <c r="P4605" s="25" t="str">
        <f t="shared" si="3"/>
        <v/>
      </c>
      <c r="Q4605" s="25" t="str">
        <f ca="1">IFERROR(__xludf.DUMMYFUNCTION("""COMPUTED_VALUE"""),"Corto plazo")</f>
        <v>Corto plazo</v>
      </c>
      <c r="R4605" s="25"/>
      <c r="S4605" s="55"/>
      <c r="T4605" s="56"/>
      <c r="U4605" s="25"/>
      <c r="V4605" s="25"/>
      <c r="W4605" s="25"/>
      <c r="X4605" s="25"/>
      <c r="Y4605" s="25"/>
      <c r="Z4605" s="25"/>
    </row>
    <row r="4606" spans="1:26" ht="52.5" customHeight="1" x14ac:dyDescent="0.25">
      <c r="A4606" s="25" t="str">
        <f ca="1">IFERROR(__xludf.DUMMYFUNCTION("""COMPUTED_VALUE"""),"Movil404")</f>
        <v>Movil404</v>
      </c>
      <c r="B4606" s="25" t="str">
        <f ca="1">IFERROR(__xludf.DUMMYFUNCTION("""COMPUTED_VALUE"""),"Despachando: Desarrollo económico")</f>
        <v>Despachando: Desarrollo económico</v>
      </c>
      <c r="C4606" s="55">
        <f ca="1">IFERROR(__xludf.DUMMYFUNCTION("""COMPUTED_VALUE"""),44141)</f>
        <v>44141</v>
      </c>
      <c r="D4606" s="25" t="str">
        <f ca="1">IFERROR(__xludf.DUMMYFUNCTION("""COMPUTED_VALUE"""),"Movilidad")</f>
        <v>Movilidad</v>
      </c>
      <c r="E4606" s="25" t="str">
        <f ca="1">IFERROR(__xludf.DUMMYFUNCTION("""COMPUTED_VALUE"""),"Secretaría Distrital de Movilidad")</f>
        <v>Secretaría Distrital de Movilidad</v>
      </c>
      <c r="F4606" s="25" t="str">
        <f ca="1">IFERROR(__xludf.DUMMYFUNCTION("""COMPUTED_VALUE"""),"Coordinar con otras entidades el funcionamiento del corredor logístico calle 13 - Cargue y Descargue")</f>
        <v>Coordinar con otras entidades el funcionamiento del corredor logístico calle 13 - Cargue y Descargue</v>
      </c>
      <c r="G4606" s="25" t="str">
        <f ca="1">IFERROR(__xludf.DUMMYFUNCTION("""COMPUTED_VALUE"""),"99. Distrito")</f>
        <v>99. Distrito</v>
      </c>
      <c r="H4606" s="55">
        <f ca="1">IFERROR(__xludf.DUMMYFUNCTION("""COMPUTED_VALUE"""),44171)</f>
        <v>44171</v>
      </c>
      <c r="I4606" s="25"/>
      <c r="J4606" s="55" t="str">
        <f ca="1">IFERROR(__xludf.DUMMYFUNCTION("""COMPUTED_VALUE"""),"Alta")</f>
        <v>Alta</v>
      </c>
      <c r="K4606" s="25">
        <f ca="1">IFERROR(__xludf.DUMMYFUNCTION("""COMPUTED_VALUE"""),30)</f>
        <v>30</v>
      </c>
      <c r="L4606" s="62">
        <f ca="1">IFERROR(__xludf.DUMMYFUNCTION("""COMPUTED_VALUE"""),44420)</f>
        <v>44420</v>
      </c>
      <c r="M4606" s="25" t="str">
        <f ca="1">IFERROR(__xludf.DUMMYFUNCTION("""COMPUTED_VALUE"""),"El 19 de julio entró en vigencia la Resolución que dará inicio a la prueba piloto de cargue y descargue en horarios no convencionales en la localidad de Fontibón con las empresas previamente inscritas y con seguimiento mensual para el monitoreo y avance d"&amp;"e las medidas.
Desde la fecha en vigencia de la resolución, se han realizado mesas de trabajo con las empresas preinscritas para fortalecer el procedimiento del reporte de indicadores.
Con corte a 12/08/2021 continuamos con la comunicación constante con"&amp;" las empresas para contar con toda la información de la línea base.")</f>
        <v>El 19 de julio entró en vigencia la Resolución que dará inicio a la prueba piloto de cargue y descargue en horarios no convencionales en la localidad de Fontibón con las empresas previamente inscritas y con seguimiento mensual para el monitoreo y avance de las medidas.
Desde la fecha en vigencia de la resolución, se han realizado mesas de trabajo con las empresas preinscritas para fortalecer el procedimiento del reporte de indicadores.
Con corte a 12/08/2021 continuamos con la comunicación constante con las empresas para contar con toda la información de la línea base.</v>
      </c>
      <c r="N4606" s="55">
        <f ca="1">IFERROR(__xludf.DUMMYFUNCTION("""COMPUTED_VALUE"""),44420)</f>
        <v>44420</v>
      </c>
      <c r="O4606" s="25" t="str">
        <f t="shared" ca="1" si="0"/>
        <v>Secretaría Distrital de Movilidad</v>
      </c>
      <c r="P4606" s="25" t="str">
        <f t="shared" si="3"/>
        <v/>
      </c>
      <c r="Q4606" s="25" t="str">
        <f ca="1">IFERROR(__xludf.DUMMYFUNCTION("""COMPUTED_VALUE"""),"Corto plazo")</f>
        <v>Corto plazo</v>
      </c>
      <c r="R4606" s="25"/>
      <c r="S4606" s="55"/>
      <c r="T4606" s="56"/>
      <c r="U4606" s="25"/>
      <c r="V4606" s="25"/>
      <c r="W4606" s="25"/>
      <c r="X4606" s="25"/>
      <c r="Y4606" s="25"/>
      <c r="Z4606" s="25"/>
    </row>
    <row r="4607" spans="1:26" ht="52.5" customHeight="1" x14ac:dyDescent="0.25">
      <c r="A4607" s="25" t="str">
        <f ca="1">IFERROR(__xludf.DUMMYFUNCTION("""COMPUTED_VALUE"""),"Movil405")</f>
        <v>Movil405</v>
      </c>
      <c r="B4607" s="25" t="str">
        <f ca="1">IFERROR(__xludf.DUMMYFUNCTION("""COMPUTED_VALUE"""),"Recorrido")</f>
        <v>Recorrido</v>
      </c>
      <c r="C4607" s="55">
        <f ca="1">IFERROR(__xludf.DUMMYFUNCTION("""COMPUTED_VALUE"""),44140)</f>
        <v>44140</v>
      </c>
      <c r="D4607" s="25" t="str">
        <f ca="1">IFERROR(__xludf.DUMMYFUNCTION("""COMPUTED_VALUE"""),"Movilidad")</f>
        <v>Movilidad</v>
      </c>
      <c r="E4607" s="25" t="str">
        <f ca="1">IFERROR(__xludf.DUMMYFUNCTION("""COMPUTED_VALUE"""),"Instituto de Desarrollo Urbano")</f>
        <v>Instituto de Desarrollo Urbano</v>
      </c>
      <c r="F4607" s="25" t="str">
        <f ca="1">IFERROR(__xludf.DUMMYFUNCTION("""COMPUTED_VALUE"""),"Mesa técnica y de trabajo con el IDU para exponer el proyecto de las calles comerciales abiertas en la localidad. La edil y la bancada en la JAL, en conjunto con un concejal, proponen el 27 de noviembre a las 2 pm")</f>
        <v>Mesa técnica y de trabajo con el IDU para exponer el proyecto de las calles comerciales abiertas en la localidad. La edil y la bancada en la JAL, en conjunto con un concejal, proponen el 27 de noviembre a las 2 pm</v>
      </c>
      <c r="G4607" s="25" t="str">
        <f ca="1">IFERROR(__xludf.DUMMYFUNCTION("""COMPUTED_VALUE"""),"99. Distrito")</f>
        <v>99. Distrito</v>
      </c>
      <c r="H4607" s="55">
        <f ca="1">IFERROR(__xludf.DUMMYFUNCTION("""COMPUTED_VALUE"""),44170)</f>
        <v>44170</v>
      </c>
      <c r="I4607" s="25"/>
      <c r="J4607" s="55" t="str">
        <f ca="1">IFERROR(__xludf.DUMMYFUNCTION("""COMPUTED_VALUE"""),"Alta")</f>
        <v>Alta</v>
      </c>
      <c r="K4607" s="25">
        <f ca="1">IFERROR(__xludf.DUMMYFUNCTION("""COMPUTED_VALUE"""),30)</f>
        <v>30</v>
      </c>
      <c r="L4607" s="62"/>
      <c r="M4607" s="25" t="str">
        <f ca="1">IFERROR(__xludf.DUMMYFUNCTION("""COMPUTED_VALUE"""),"Se coordina con la edil Lina Pinzón la mesa técnica con comunidad para el 18 de diciembre, para poder hacer la convocatoria.
  La mesa técnica se llevará a cabo el 18 de diciembre 3:00 pm.
  La mesa se llevo acabo el 18 de diciembre.")</f>
        <v>Se coordina con la edil Lina Pinzón la mesa técnica con comunidad para el 18 de diciembre, para poder hacer la convocatoria.
  La mesa técnica se llevará a cabo el 18 de diciembre 3:00 pm.
  La mesa se llevo acabo el 18 de diciembre.</v>
      </c>
      <c r="N4607" s="55">
        <f ca="1">IFERROR(__xludf.DUMMYFUNCTION("""COMPUTED_VALUE"""),44927)</f>
        <v>44927</v>
      </c>
      <c r="O4607" s="25" t="str">
        <f t="shared" ca="1" si="0"/>
        <v>Instituto de Desarrollo Urbano</v>
      </c>
      <c r="P4607" s="25" t="str">
        <f t="shared" si="3"/>
        <v/>
      </c>
      <c r="Q4607" s="25" t="str">
        <f ca="1">IFERROR(__xludf.DUMMYFUNCTION("""COMPUTED_VALUE"""),"Corto plazo")</f>
        <v>Corto plazo</v>
      </c>
      <c r="R4607" s="25"/>
      <c r="S4607" s="55"/>
      <c r="T4607" s="56"/>
      <c r="U4607" s="25"/>
      <c r="V4607" s="25"/>
      <c r="W4607" s="25"/>
      <c r="X4607" s="25"/>
      <c r="Y4607" s="25"/>
      <c r="Z4607" s="25"/>
    </row>
    <row r="4608" spans="1:26" ht="52.5" customHeight="1" x14ac:dyDescent="0.25">
      <c r="A4608" s="25" t="str">
        <f ca="1">IFERROR(__xludf.DUMMYFUNCTION("""COMPUTED_VALUE"""),"Movil406")</f>
        <v>Movil406</v>
      </c>
      <c r="B4608" s="25" t="str">
        <f ca="1">IFERROR(__xludf.DUMMYFUNCTION("""COMPUTED_VALUE"""),"Reunión Estaciones PLMB y PEMP")</f>
        <v>Reunión Estaciones PLMB y PEMP</v>
      </c>
      <c r="C4608" s="55">
        <f ca="1">IFERROR(__xludf.DUMMYFUNCTION("""COMPUTED_VALUE"""),44130)</f>
        <v>44130</v>
      </c>
      <c r="D4608" s="25" t="str">
        <f ca="1">IFERROR(__xludf.DUMMYFUNCTION("""COMPUTED_VALUE"""),"Movilidad")</f>
        <v>Movilidad</v>
      </c>
      <c r="E4608" s="25" t="str">
        <f ca="1">IFERROR(__xludf.DUMMYFUNCTION("""COMPUTED_VALUE"""),"Empresa Metro de Bogotá S.A.")</f>
        <v>Empresa Metro de Bogotá S.A.</v>
      </c>
      <c r="F4608" s="25" t="str">
        <f ca="1">IFERROR(__xludf.DUMMYFUNCTION("""COMPUTED_VALUE"""),"Incluir como carga de uso protegido los BICs de la pieza centro, en el área de influencia de las estaciones de Metro. La condición para mantenerlo así, es darle máximo uso y rentabilidad a los predios adyacentes a los BIC")</f>
        <v>Incluir como carga de uso protegido los BICs de la pieza centro, en el área de influencia de las estaciones de Metro. La condición para mantenerlo así, es darle máximo uso y rentabilidad a los predios adyacentes a los BIC</v>
      </c>
      <c r="G4608" s="25" t="str">
        <f ca="1">IFERROR(__xludf.DUMMYFUNCTION("""COMPUTED_VALUE"""),"99. Distrito")</f>
        <v>99. Distrito</v>
      </c>
      <c r="H4608" s="55">
        <f ca="1">IFERROR(__xludf.DUMMYFUNCTION("""COMPUTED_VALUE"""),44160)</f>
        <v>44160</v>
      </c>
      <c r="I4608" s="25"/>
      <c r="J4608" s="55" t="str">
        <f ca="1">IFERROR(__xludf.DUMMYFUNCTION("""COMPUTED_VALUE"""),"Alta")</f>
        <v>Alta</v>
      </c>
      <c r="K4608" s="25">
        <f ca="1">IFERROR(__xludf.DUMMYFUNCTION("""COMPUTED_VALUE"""),30)</f>
        <v>30</v>
      </c>
      <c r="L4608" s="62">
        <f ca="1">IFERROR(__xludf.DUMMYFUNCTION("""COMPUTED_VALUE"""),44379)</f>
        <v>44379</v>
      </c>
      <c r="M4608" s="25" t="str">
        <f ca="1">IFERROR(__xludf.DUMMYFUNCTION("""COMPUTED_VALUE"""),"Se cuenta con la adopción del PEMP.")</f>
        <v>Se cuenta con la adopción del PEMP.</v>
      </c>
      <c r="N4608" s="55">
        <f ca="1">IFERROR(__xludf.DUMMYFUNCTION("""COMPUTED_VALUE"""),44379)</f>
        <v>44379</v>
      </c>
      <c r="O4608" s="25" t="str">
        <f t="shared" ca="1" si="0"/>
        <v>Empresa Metro de Bogotá S.A.</v>
      </c>
      <c r="P4608" s="25" t="str">
        <f t="shared" si="3"/>
        <v/>
      </c>
      <c r="Q4608" s="25" t="str">
        <f ca="1">IFERROR(__xludf.DUMMYFUNCTION("""COMPUTED_VALUE"""),"Corto plazo")</f>
        <v>Corto plazo</v>
      </c>
      <c r="R4608" s="25"/>
      <c r="S4608" s="55"/>
      <c r="T4608" s="56"/>
      <c r="U4608" s="25"/>
      <c r="V4608" s="25"/>
      <c r="W4608" s="25"/>
      <c r="X4608" s="25"/>
      <c r="Y4608" s="25"/>
      <c r="Z4608" s="25"/>
    </row>
    <row r="4609" spans="1:26" ht="52.5" customHeight="1" x14ac:dyDescent="0.25">
      <c r="A4609" s="25" t="str">
        <f ca="1">IFERROR(__xludf.DUMMYFUNCTION("""COMPUTED_VALUE"""),"Movil407")</f>
        <v>Movil407</v>
      </c>
      <c r="B4609" s="25" t="str">
        <f ca="1">IFERROR(__xludf.DUMMYFUNCTION("""COMPUTED_VALUE"""),"Hospital Usme")</f>
        <v>Hospital Usme</v>
      </c>
      <c r="C4609" s="55">
        <f ca="1">IFERROR(__xludf.DUMMYFUNCTION("""COMPUTED_VALUE"""),44128)</f>
        <v>44128</v>
      </c>
      <c r="D4609" s="25" t="str">
        <f ca="1">IFERROR(__xludf.DUMMYFUNCTION("""COMPUTED_VALUE"""),"Movilidad")</f>
        <v>Movilidad</v>
      </c>
      <c r="E4609" s="25" t="str">
        <f ca="1">IFERROR(__xludf.DUMMYFUNCTION("""COMPUTED_VALUE"""),"Instituto de Desarrollo Urbano")</f>
        <v>Instituto de Desarrollo Urbano</v>
      </c>
      <c r="F4609" s="25" t="str">
        <f ca="1">IFERROR(__xludf.DUMMYFUNCTION("""COMPUTED_VALUE"""),"Revisar el proyecto del puente para acceso al CAPS Danubio sobre la quebrada El Ramo")</f>
        <v>Revisar el proyecto del puente para acceso al CAPS Danubio sobre la quebrada El Ramo</v>
      </c>
      <c r="G4609" s="55" t="str">
        <f ca="1">IFERROR(__xludf.DUMMYFUNCTION("""COMPUTED_VALUE"""),"05. Usme")</f>
        <v>05. Usme</v>
      </c>
      <c r="H4609" s="55">
        <f ca="1">IFERROR(__xludf.DUMMYFUNCTION("""COMPUTED_VALUE"""),44158)</f>
        <v>44158</v>
      </c>
      <c r="I4609" s="25"/>
      <c r="J4609" s="55" t="str">
        <f ca="1">IFERROR(__xludf.DUMMYFUNCTION("""COMPUTED_VALUE"""),"Alta")</f>
        <v>Alta</v>
      </c>
      <c r="K4609" s="25">
        <f ca="1">IFERROR(__xludf.DUMMYFUNCTION("""COMPUTED_VALUE"""),30)</f>
        <v>30</v>
      </c>
      <c r="L4609" s="62">
        <f ca="1">IFERROR(__xludf.DUMMYFUNCTION("""COMPUTED_VALUE"""),44748)</f>
        <v>44748</v>
      </c>
      <c r="M4609" s="25" t="str">
        <f ca="1">IFERROR(__xludf.DUMMYFUNCTION("""COMPUTED_VALUE"""),"En elaboración de pliegos de condiciones para contratación de la obra. Se radicará en la Dirección de Procesos Selectivos del IDU la próxima semana. ")</f>
        <v xml:space="preserve">En elaboración de pliegos de condiciones para contratación de la obra. Se radicará en la Dirección de Procesos Selectivos del IDU la próxima semana. </v>
      </c>
      <c r="N4609" s="55">
        <f ca="1">IFERROR(__xludf.DUMMYFUNCTION("""COMPUTED_VALUE"""),44748)</f>
        <v>44748</v>
      </c>
      <c r="O4609" s="25" t="str">
        <f t="shared" ca="1" si="0"/>
        <v>Instituto de Desarrollo Urbano</v>
      </c>
      <c r="P4609" s="25" t="str">
        <f t="shared" si="3"/>
        <v/>
      </c>
      <c r="Q4609" s="25" t="str">
        <f ca="1">IFERROR(__xludf.DUMMYFUNCTION("""COMPUTED_VALUE"""),"Corto plazo")</f>
        <v>Corto plazo</v>
      </c>
      <c r="R4609" s="25"/>
      <c r="S4609" s="55"/>
      <c r="T4609" s="56"/>
      <c r="U4609" s="25"/>
      <c r="V4609" s="25"/>
      <c r="W4609" s="25"/>
      <c r="X4609" s="25"/>
      <c r="Y4609" s="25"/>
      <c r="Z4609" s="25"/>
    </row>
    <row r="4610" spans="1:26" ht="52.5" customHeight="1" x14ac:dyDescent="0.25">
      <c r="A4610" s="25" t="str">
        <f ca="1">IFERROR(__xludf.DUMMYFUNCTION("""COMPUTED_VALUE"""),"Movil408")</f>
        <v>Movil408</v>
      </c>
      <c r="B4610" s="25" t="str">
        <f ca="1">IFERROR(__xludf.DUMMYFUNCTION("""COMPUTED_VALUE"""),"TAR Tibitoc")</f>
        <v>TAR Tibitoc</v>
      </c>
      <c r="C4610" s="55">
        <f ca="1">IFERROR(__xludf.DUMMYFUNCTION("""COMPUTED_VALUE"""),44126)</f>
        <v>44126</v>
      </c>
      <c r="D4610" s="25" t="str">
        <f ca="1">IFERROR(__xludf.DUMMYFUNCTION("""COMPUTED_VALUE"""),"Movilidad")</f>
        <v>Movilidad</v>
      </c>
      <c r="E4610" s="25" t="str">
        <f ca="1">IFERROR(__xludf.DUMMYFUNCTION("""COMPUTED_VALUE"""),"Instituto de Desarrollo Urbano")</f>
        <v>Instituto de Desarrollo Urbano</v>
      </c>
      <c r="F4610" s="25" t="str">
        <f ca="1">IFERROR(__xludf.DUMMYFUNCTION("""COMPUTED_VALUE"""),"Coordinar la construcción de la vía terreros que tiene que ver con el PDET Soacha")</f>
        <v>Coordinar la construcción de la vía terreros que tiene que ver con el PDET Soacha</v>
      </c>
      <c r="G4610" s="25" t="str">
        <f ca="1">IFERROR(__xludf.DUMMYFUNCTION("""COMPUTED_VALUE"""),"99. Distrito")</f>
        <v>99. Distrito</v>
      </c>
      <c r="H4610" s="55">
        <f ca="1">IFERROR(__xludf.DUMMYFUNCTION("""COMPUTED_VALUE"""),44156)</f>
        <v>44156</v>
      </c>
      <c r="I4610" s="25"/>
      <c r="J4610" s="55" t="str">
        <f ca="1">IFERROR(__xludf.DUMMYFUNCTION("""COMPUTED_VALUE"""),"Alta")</f>
        <v>Alta</v>
      </c>
      <c r="K4610" s="25">
        <f ca="1">IFERROR(__xludf.DUMMYFUNCTION("""COMPUTED_VALUE"""),30)</f>
        <v>30</v>
      </c>
      <c r="L4610" s="62"/>
      <c r="M4610" s="25" t="str">
        <f ca="1">IFERROR(__xludf.DUMMYFUNCTION("""COMPUTED_VALUE"""),"El IDU, Sec Hábitat y la alta consejería ya hicieron el estudio de la vía con un informe destacando este proceso. La vía tiene un valor de 1600 millones de pesos y será presentada ante el IDU para gestionar su construcción")</f>
        <v>El IDU, Sec Hábitat y la alta consejería ya hicieron el estudio de la vía con un informe destacando este proceso. La vía tiene un valor de 1600 millones de pesos y será presentada ante el IDU para gestionar su construcción</v>
      </c>
      <c r="N4610" s="55">
        <f ca="1">IFERROR(__xludf.DUMMYFUNCTION("""COMPUTED_VALUE"""),44927)</f>
        <v>44927</v>
      </c>
      <c r="O4610" s="25" t="str">
        <f t="shared" ca="1" si="0"/>
        <v>Instituto de Desarrollo Urbano</v>
      </c>
      <c r="P4610" s="25" t="str">
        <f t="shared" si="3"/>
        <v/>
      </c>
      <c r="Q4610" s="25" t="str">
        <f ca="1">IFERROR(__xludf.DUMMYFUNCTION("""COMPUTED_VALUE"""),"Corto plazo")</f>
        <v>Corto plazo</v>
      </c>
      <c r="R4610" s="25"/>
      <c r="S4610" s="55"/>
      <c r="T4610" s="56"/>
      <c r="U4610" s="25"/>
      <c r="V4610" s="25"/>
      <c r="W4610" s="25"/>
      <c r="X4610" s="25"/>
      <c r="Y4610" s="25"/>
      <c r="Z4610" s="25"/>
    </row>
    <row r="4611" spans="1:26" ht="52.5" customHeight="1" x14ac:dyDescent="0.25">
      <c r="A4611" s="25" t="str">
        <f ca="1">IFERROR(__xludf.DUMMYFUNCTION("""COMPUTED_VALUE"""),"Movil409")</f>
        <v>Movil409</v>
      </c>
      <c r="B4611" s="25" t="str">
        <f ca="1">IFERROR(__xludf.DUMMYFUNCTION("""COMPUTED_VALUE"""),"Recorrido Bosa")</f>
        <v>Recorrido Bosa</v>
      </c>
      <c r="C4611" s="55">
        <f ca="1">IFERROR(__xludf.DUMMYFUNCTION("""COMPUTED_VALUE"""),44126)</f>
        <v>44126</v>
      </c>
      <c r="D4611" s="25" t="str">
        <f ca="1">IFERROR(__xludf.DUMMYFUNCTION("""COMPUTED_VALUE"""),"Movilidad")</f>
        <v>Movilidad</v>
      </c>
      <c r="E4611" s="25" t="str">
        <f ca="1">IFERROR(__xludf.DUMMYFUNCTION("""COMPUTED_VALUE"""),"Instituto de Desarrollo Urbano")</f>
        <v>Instituto de Desarrollo Urbano</v>
      </c>
      <c r="F4611" s="25" t="str">
        <f ca="1">IFERROR(__xludf.DUMMYFUNCTION("""COMPUTED_VALUE"""),"Gestionar la continuación de la vía Santa Fe, con el paso vial")</f>
        <v>Gestionar la continuación de la vía Santa Fe, con el paso vial</v>
      </c>
      <c r="G4611" s="55" t="str">
        <f ca="1">IFERROR(__xludf.DUMMYFUNCTION("""COMPUTED_VALUE"""),"07. Bosa")</f>
        <v>07. Bosa</v>
      </c>
      <c r="H4611" s="55">
        <f ca="1">IFERROR(__xludf.DUMMYFUNCTION("""COMPUTED_VALUE"""),44156)</f>
        <v>44156</v>
      </c>
      <c r="I4611" s="25"/>
      <c r="J4611" s="55" t="str">
        <f ca="1">IFERROR(__xludf.DUMMYFUNCTION("""COMPUTED_VALUE"""),"Alta")</f>
        <v>Alta</v>
      </c>
      <c r="K4611" s="25">
        <f ca="1">IFERROR(__xludf.DUMMYFUNCTION("""COMPUTED_VALUE"""),30)</f>
        <v>30</v>
      </c>
      <c r="L4611" s="62">
        <f ca="1">IFERROR(__xludf.DUMMYFUNCTION("""COMPUTED_VALUE"""),44407)</f>
        <v>44407</v>
      </c>
      <c r="M4611" s="25" t="str">
        <f ca="1">IFERROR(__xludf.DUMMYFUNCTION("""COMPUTED_VALUE"""),"Se apropiaron 6000 millones para desarrollar estudios y diseños para la Av. Tintal y Av. circunvalar del sur.
La SDM  en el mes de mayo del 2021, efectuó y presentó al IDU, Análisis de impacto y beneficios para la Movilidad a través de la la aplicación d"&amp;"el modelo 4 etapas para la priorización de proyectos  de infraestructura vial en la Localidad de Bosa.
Se  elaboró  el  Modelo  de Transporte  de  Cuatro  Etapas  de  Bogotá  (MTCEB),  para  así  determinar proyectos un  orden de priorización  para  los "&amp;" proyectos  de  infraestructura vial  en  la  localidad  de  Bosa,  en  el suroccidente  del  Distrito.  El  análisis  desarrollado se estructura en  el  marco  de  las  actuaciones  distritales  para  la  intervención  y  mejora de la  conectividad  de  "&amp;"la  localidad  de  Bosa,  y  de  las  piezas  urbanas Campo Verde,  Bosa  37,  La  Marlene, El  Edén y  El  Descanso.
IDU se encuentra desarrollando la prefactibilidad.
Se acordó con los promotores (Cusezar, C. Bolívar y C. Capital) ellos adelantan estu"&amp;"dios y diseños, para lo cual se les remitió el procedimiento para obtener el permiso voluntario para el desarrollo de proyectos de infraestructura en etapa de estudios y diseños. Vías por promotores: calzada occidental de la Av. Bosa entre Av. Guayacanes "&amp;"y Av. Santa fe, Av. Guayacanes entre Av. Bosa y Av. San Bernardino y Av. San Bernardino entre Av. Guayacanes y Av. Santa Fe. 
  13.05.01 - La Av. Tintal se encuentra en etapa de prefactibilidad la cual se desarrolla In House en la Dirección Técnica de "&amp;"Proyectos del IDU.")</f>
        <v>Se apropiaron 6000 millones para desarrollar estudios y diseños para la Av. Tintal y Av. circunvalar del sur.
La SDM  en el mes de mayo del 2021, efectuó y presentó al IDU, Análisis de impacto y beneficios para la Movilidad a través de la la aplicación del modelo 4 etapas para la priorización de proyectos  de infraestructura vial en la Localidad de Bosa.
Se  elaboró  el  Modelo  de Transporte  de  Cuatro  Etapas  de  Bogotá  (MTCEB),  para  así  determinar proyectos un  orden de priorización  para  los  proyectos  de  infraestructura vial  en  la  localidad  de  Bosa,  en  el suroccidente  del  Distrito.  El  análisis  desarrollado se estructura en  el  marco  de  las  actuaciones  distritales  para  la  intervención  y  mejora de la  conectividad  de  la  localidad  de  Bosa,  y  de  las  piezas  urbanas Campo Verde,  Bosa  37,  La  Marlene, El  Edén y  El  Descanso.
IDU se encuentra desarrollando la prefactibilidad.
Se acordó con los promotores (Cusezar, C. Bolívar y C. Capital) ellos adelantan estudios y diseños, para lo cual se les remitió el procedimiento para obtener el permiso voluntario para el desarrollo de proyectos de infraestructura en etapa de estudios y diseños. Vías por promotores: calzada occidental de la Av. Bosa entre Av. Guayacanes y Av. Santa fe, Av. Guayacanes entre Av. Bosa y Av. San Bernardino y Av. San Bernardino entre Av. Guayacanes y Av. Santa Fe. 
  13.05.01 - La Av. Tintal se encuentra en etapa de prefactibilidad la cual se desarrolla In House en la Dirección Técnica de Proyectos del IDU.</v>
      </c>
      <c r="N4611" s="55">
        <f ca="1">IFERROR(__xludf.DUMMYFUNCTION("""COMPUTED_VALUE"""),44407)</f>
        <v>44407</v>
      </c>
      <c r="O4611" s="25" t="str">
        <f t="shared" ca="1" si="0"/>
        <v>Instituto de Desarrollo Urbano</v>
      </c>
      <c r="P4611" s="25" t="str">
        <f t="shared" si="3"/>
        <v/>
      </c>
      <c r="Q4611" s="25" t="str">
        <f ca="1">IFERROR(__xludf.DUMMYFUNCTION("""COMPUTED_VALUE"""),"Corto plazo")</f>
        <v>Corto plazo</v>
      </c>
      <c r="R4611" s="25"/>
      <c r="S4611" s="55"/>
      <c r="T4611" s="56"/>
      <c r="U4611" s="25"/>
      <c r="V4611" s="25"/>
      <c r="W4611" s="25"/>
      <c r="X4611" s="25"/>
      <c r="Y4611" s="25"/>
      <c r="Z4611" s="25"/>
    </row>
    <row r="4612" spans="1:26" ht="52.5" customHeight="1" x14ac:dyDescent="0.25">
      <c r="A4612" s="25" t="str">
        <f ca="1">IFERROR(__xludf.DUMMYFUNCTION("""COMPUTED_VALUE"""),"Movil410")</f>
        <v>Movil410</v>
      </c>
      <c r="B4612" s="25" t="str">
        <f ca="1">IFERROR(__xludf.DUMMYFUNCTION("""COMPUTED_VALUE"""),"Recorrido Bosa")</f>
        <v>Recorrido Bosa</v>
      </c>
      <c r="C4612" s="55">
        <f ca="1">IFERROR(__xludf.DUMMYFUNCTION("""COMPUTED_VALUE"""),44126)</f>
        <v>44126</v>
      </c>
      <c r="D4612" s="25" t="str">
        <f ca="1">IFERROR(__xludf.DUMMYFUNCTION("""COMPUTED_VALUE"""),"Movilidad")</f>
        <v>Movilidad</v>
      </c>
      <c r="E4612" s="25" t="str">
        <f ca="1">IFERROR(__xludf.DUMMYFUNCTION("""COMPUTED_VALUE"""),"Instituto de Desarrollo Urbano")</f>
        <v>Instituto de Desarrollo Urbano</v>
      </c>
      <c r="F4612" s="25" t="str">
        <f ca="1">IFERROR(__xludf.DUMMYFUNCTION("""COMPUTED_VALUE"""),"Gestionar la calle 56 F sur para que conecte la ALO Sur con la Tintal")</f>
        <v>Gestionar la calle 56 F sur para que conecte la ALO Sur con la Tintal</v>
      </c>
      <c r="G4612" s="55" t="str">
        <f ca="1">IFERROR(__xludf.DUMMYFUNCTION("""COMPUTED_VALUE"""),"07. Bosa")</f>
        <v>07. Bosa</v>
      </c>
      <c r="H4612" s="55">
        <f ca="1">IFERROR(__xludf.DUMMYFUNCTION("""COMPUTED_VALUE"""),44156)</f>
        <v>44156</v>
      </c>
      <c r="I4612" s="25"/>
      <c r="J4612" s="55" t="str">
        <f ca="1">IFERROR(__xludf.DUMMYFUNCTION("""COMPUTED_VALUE"""),"Alta")</f>
        <v>Alta</v>
      </c>
      <c r="K4612" s="25">
        <f ca="1">IFERROR(__xludf.DUMMYFUNCTION("""COMPUTED_VALUE"""),30)</f>
        <v>30</v>
      </c>
      <c r="L4612" s="62">
        <f ca="1">IFERROR(__xludf.DUMMYFUNCTION("""COMPUTED_VALUE"""),44748)</f>
        <v>44748</v>
      </c>
      <c r="M4612" s="25" t="str">
        <f ca="1">IFERROR(__xludf.DUMMYFUNCTION("""COMPUTED_VALUE"""),"La SDM realizó estudio para determinar la priorización de los proyectos de infraestructura vial que se requieren en la localidad de Bosa, estructurados en el marco de las actuaciones distritales para la intervención y mejora de conectividad de los planes "&amp;"parciales: Campo Verde, Bosa 37, La Marlene y El Edén – El Descanso, recomienda planificar en el corto plazo
  · Av. Bosa desde Av. Tintal hasta Av. Santa Fe
  · Av. Tintal desde Av. Bosa hasta Av. San Bernardino 
  · Av. San Bernardino desde Av. Tinta"&amp;"l hasta Av. Santa Fe.
 De acuerdo a lo anterior, el Instituto de Desarrollo Urbano, a través de la Dirección Técnica de Proyectos, inició el ciclo de maduración para los ejes viales relacionados, finalizando la etapa de prefactibilidad el pasado 31 de "&amp;"agosto, y a la fecha se encuentra avanzando con la etapa de factibilidad, etapa que requiere información primaria para los componentes de tránsito, pavimentos y geotecnia, información que la entidad a través de contratos de insumos se encuentra recopiland"&amp;"o.
El IDU finalizó la etapa de factibilidad en diciembre de 2021, las constructoras radicaron la solicitud de permiso voluntario el 22 de diciembre, la entidad se encuentra adelantando los trámites administrativos y la resolución para que los privados in"&amp;"icien los estudios y diseños (a desarrollarse en 2022). Se estima que los estudios inicien en el mes de febrero, sin embargo, los tiempos están sujetos a  los trámites contractuales y legales que los interesados deben adelantar para dar inicio.
Se remiti"&amp;"ó a los promotores el borrador de resolución para su respectiva revisión y validación de sus áreas jurídicas.")</f>
        <v>La SDM realizó estudio para determinar la priorización de los proyectos de infraestructura vial que se requieren en la localidad de Bosa, estructurados en el marco de las actuaciones distritales para la intervención y mejora de conectividad de los planes parciales: Campo Verde, Bosa 37, La Marlene y El Edén – El Descanso, recomienda planificar en el corto plazo
  · Av. Bosa desde Av. Tintal hasta Av. Santa Fe
  · Av. Tintal desde Av. Bosa hasta Av. San Bernardino 
  · Av. San Bernardino desde Av. Tintal hasta Av. Santa Fe.
 De acuerdo a lo anterior, el Instituto de Desarrollo Urbano, a través de la Dirección Técnica de Proyectos, inició el ciclo de maduración para los ejes viales relacionados, finalizando la etapa de prefactibilidad el pasado 31 de agosto, y a la fecha se encuentra avanzando con la etapa de factibilidad, etapa que requiere información primaria para los componentes de tránsito, pavimentos y geotecnia, información que la entidad a través de contratos de insumos se encuentra recopilando.
El IDU finalizó la etapa de factibilidad en diciembre de 2021, las constructoras radicaron la solicitud de permiso voluntario el 22 de diciembre, la entidad se encuentra adelantando los trámites administrativos y la resolución para que los privados inicien los estudios y diseños (a desarrollarse en 2022). Se estima que los estudios inicien en el mes de febrero, sin embargo, los tiempos están sujetos a  los trámites contractuales y legales que los interesados deben adelantar para dar inicio.
Se remitió a los promotores el borrador de resolución para su respectiva revisión y validación de sus áreas jurídicas.</v>
      </c>
      <c r="N4612" s="55">
        <f ca="1">IFERROR(__xludf.DUMMYFUNCTION("""COMPUTED_VALUE"""),44748)</f>
        <v>44748</v>
      </c>
      <c r="O4612" s="25" t="str">
        <f t="shared" ca="1" si="0"/>
        <v>Instituto de Desarrollo Urbano</v>
      </c>
      <c r="P4612" s="25" t="str">
        <f t="shared" si="3"/>
        <v/>
      </c>
      <c r="Q4612" s="25" t="str">
        <f ca="1">IFERROR(__xludf.DUMMYFUNCTION("""COMPUTED_VALUE"""),"Corto plazo")</f>
        <v>Corto plazo</v>
      </c>
      <c r="R4612" s="25"/>
      <c r="S4612" s="55"/>
      <c r="T4612" s="56"/>
      <c r="U4612" s="25"/>
      <c r="V4612" s="25"/>
      <c r="W4612" s="25"/>
      <c r="X4612" s="25"/>
      <c r="Y4612" s="25"/>
      <c r="Z4612" s="25"/>
    </row>
    <row r="4613" spans="1:26" ht="52.5" customHeight="1" x14ac:dyDescent="0.25">
      <c r="A4613" s="25" t="str">
        <f ca="1">IFERROR(__xludf.DUMMYFUNCTION("""COMPUTED_VALUE"""),"Movil411")</f>
        <v>Movil411</v>
      </c>
      <c r="B4613" s="25" t="str">
        <f ca="1">IFERROR(__xludf.DUMMYFUNCTION("""COMPUTED_VALUE"""),"Recorrido Bosa")</f>
        <v>Recorrido Bosa</v>
      </c>
      <c r="C4613" s="55">
        <f ca="1">IFERROR(__xludf.DUMMYFUNCTION("""COMPUTED_VALUE"""),44126)</f>
        <v>44126</v>
      </c>
      <c r="D4613" s="25" t="str">
        <f ca="1">IFERROR(__xludf.DUMMYFUNCTION("""COMPUTED_VALUE"""),"Movilidad")</f>
        <v>Movilidad</v>
      </c>
      <c r="E4613" s="25" t="str">
        <f ca="1">IFERROR(__xludf.DUMMYFUNCTION("""COMPUTED_VALUE"""),"Instituto de Desarrollo Urbano")</f>
        <v>Instituto de Desarrollo Urbano</v>
      </c>
      <c r="F4613" s="25" t="str">
        <f ca="1">IFERROR(__xludf.DUMMYFUNCTION("""COMPUTED_VALUE"""),"Hablar con el IDU para gestionar el anillo vial que conecta los Planes Parciales Bosa 37 y La Marlene (Circunvalar del Sur, la Santa Fe y la Tintal)")</f>
        <v>Hablar con el IDU para gestionar el anillo vial que conecta los Planes Parciales Bosa 37 y La Marlene (Circunvalar del Sur, la Santa Fe y la Tintal)</v>
      </c>
      <c r="G4613" s="55" t="str">
        <f ca="1">IFERROR(__xludf.DUMMYFUNCTION("""COMPUTED_VALUE"""),"07. Bosa")</f>
        <v>07. Bosa</v>
      </c>
      <c r="H4613" s="55">
        <f ca="1">IFERROR(__xludf.DUMMYFUNCTION("""COMPUTED_VALUE"""),44156)</f>
        <v>44156</v>
      </c>
      <c r="I4613" s="25"/>
      <c r="J4613" s="55" t="str">
        <f ca="1">IFERROR(__xludf.DUMMYFUNCTION("""COMPUTED_VALUE"""),"Alta")</f>
        <v>Alta</v>
      </c>
      <c r="K4613" s="25">
        <f ca="1">IFERROR(__xludf.DUMMYFUNCTION("""COMPUTED_VALUE"""),30)</f>
        <v>30</v>
      </c>
      <c r="L4613" s="62">
        <f ca="1">IFERROR(__xludf.DUMMYFUNCTION("""COMPUTED_VALUE"""),44420)</f>
        <v>44420</v>
      </c>
      <c r="M4613" s="25" t="str">
        <f ca="1">IFERROR(__xludf.DUMMYFUNCTION("""COMPUTED_VALUE"""),"Se apropiaron 6000 millones para desarrollar estudios y diseños para la Av. Tintal y Av. circunvalar del sur. La SDM  en el mes de mayo del 2021, efectuó y presentó al IDU, Análisis de impacto y beneficios para la Movilidad a través de la la aplicación de"&amp;"l modelo 4 etapas para la priorización de proyectos  de infraestructura vial en la Localidad de Bosa. El  análisis  desarrollado se estructura en  el  marco  de  las  actuaciones  distritales  para  la  intervención  y  mejora de la  conectividad  de  la "&amp;" localidad  de  Bosa,  y  de  las  piezas  urbanas Campo Verde,  Bosa  37,  La  Marlene, El  Edén y  El  Descanso.  IDU se encuentra desarrollando la prefactibilidad.  Se acordó con los promotores (Cusezar, C. Bolívar y C. Capital) que ellos adelantarán e"&amp;"studios y diseños, para lo cual se les remitió el procedimiento para obtener el permiso voluntario para el desarrollo de proyectos de infraestructura en etapa de estudios y diseños. Vías por promotores: calzada occidental de la Av. Bosa entre Av. Guayacan"&amp;"es y Av. Santa fe, Av. Guayacanes entre Av. Bosa y Av. San Bernardino y Av. San Bernardino entre Av. Guayacanes y Av. Santa Fe.       
La Dirección Técnica de Proyectos SE ENCUENTRA AVANZANDO EN LA ETAPA DE PREFACTIBILIDAD, con el fin de precisar la alte"&amp;"rnativa vial más eficiente, se establece fecha para cierre de etapa el 30 de agosto, la entidad continuará con el ciclo de maduración del proyecto, etapa de Factibilidad. ")</f>
        <v xml:space="preserve">Se apropiaron 6000 millones para desarrollar estudios y diseños para la Av. Tintal y Av. circunvalar del sur. La SDM  en el mes de mayo del 2021, efectuó y presentó al IDU, Análisis de impacto y beneficios para la Movilidad a través de la la aplicación del modelo 4 etapas para la priorización de proyectos  de infraestructura vial en la Localidad de Bosa. El  análisis  desarrollado se estructura en  el  marco  de  las  actuaciones  distritales  para  la  intervención  y  mejora de la  conectividad  de  la  localidad  de  Bosa,  y  de  las  piezas  urbanas Campo Verde,  Bosa  37,  La  Marlene, El  Edén y  El  Descanso.  IDU se encuentra desarrollando la prefactibilidad.  Se acordó con los promotores (Cusezar, C. Bolívar y C. Capital) que ellos adelantarán estudios y diseños, para lo cual se les remitió el procedimiento para obtener el permiso voluntario para el desarrollo de proyectos de infraestructura en etapa de estudios y diseños. Vías por promotores: calzada occidental de la Av. Bosa entre Av. Guayacanes y Av. Santa fe, Av. Guayacanes entre Av. Bosa y Av. San Bernardino y Av. San Bernardino entre Av. Guayacanes y Av. Santa Fe.       
La Dirección Técnica de Proyectos SE ENCUENTRA AVANZANDO EN LA ETAPA DE PREFACTIBILIDAD, con el fin de precisar la alternativa vial más eficiente, se establece fecha para cierre de etapa el 30 de agosto, la entidad continuará con el ciclo de maduración del proyecto, etapa de Factibilidad. </v>
      </c>
      <c r="N4613" s="55">
        <f ca="1">IFERROR(__xludf.DUMMYFUNCTION("""COMPUTED_VALUE"""),44420)</f>
        <v>44420</v>
      </c>
      <c r="O4613" s="25" t="str">
        <f t="shared" ca="1" si="0"/>
        <v>Instituto de Desarrollo Urbano</v>
      </c>
      <c r="P4613" s="25" t="str">
        <f t="shared" si="3"/>
        <v/>
      </c>
      <c r="Q4613" s="25" t="str">
        <f ca="1">IFERROR(__xludf.DUMMYFUNCTION("""COMPUTED_VALUE"""),"Corto plazo")</f>
        <v>Corto plazo</v>
      </c>
      <c r="R4613" s="25"/>
      <c r="S4613" s="55"/>
      <c r="T4613" s="56"/>
      <c r="U4613" s="25"/>
      <c r="V4613" s="25"/>
      <c r="W4613" s="25"/>
      <c r="X4613" s="25"/>
      <c r="Y4613" s="25"/>
      <c r="Z4613" s="25"/>
    </row>
    <row r="4614" spans="1:26" ht="52.5" customHeight="1" x14ac:dyDescent="0.25">
      <c r="A4614" s="25" t="str">
        <f ca="1">IFERROR(__xludf.DUMMYFUNCTION("""COMPUTED_VALUE"""),"Movil412")</f>
        <v>Movil412</v>
      </c>
      <c r="B4614" s="25" t="str">
        <f ca="1">IFERROR(__xludf.DUMMYFUNCTION("""COMPUTED_VALUE"""),"Peatonalización Calle 82")</f>
        <v>Peatonalización Calle 82</v>
      </c>
      <c r="C4614" s="55">
        <f ca="1">IFERROR(__xludf.DUMMYFUNCTION("""COMPUTED_VALUE"""),44105)</f>
        <v>44105</v>
      </c>
      <c r="D4614" s="25" t="str">
        <f ca="1">IFERROR(__xludf.DUMMYFUNCTION("""COMPUTED_VALUE"""),"Movilidad")</f>
        <v>Movilidad</v>
      </c>
      <c r="E4614" s="25" t="str">
        <f ca="1">IFERROR(__xludf.DUMMYFUNCTION("""COMPUTED_VALUE"""),"Instituto de Desarrollo Urbano")</f>
        <v>Instituto de Desarrollo Urbano</v>
      </c>
      <c r="F4614" s="25" t="str">
        <f ca="1">IFERROR(__xludf.DUMMYFUNCTION("""COMPUTED_VALUE"""),"Revisar por qué se redujo a un solo carril la calzada norte de la AV. 82")</f>
        <v>Revisar por qué se redujo a un solo carril la calzada norte de la AV. 82</v>
      </c>
      <c r="G4614" s="55" t="str">
        <f ca="1">IFERROR(__xludf.DUMMYFUNCTION("""COMPUTED_VALUE"""),"02. Chapinero")</f>
        <v>02. Chapinero</v>
      </c>
      <c r="H4614" s="55">
        <f ca="1">IFERROR(__xludf.DUMMYFUNCTION("""COMPUTED_VALUE"""),44135)</f>
        <v>44135</v>
      </c>
      <c r="I4614" s="25"/>
      <c r="J4614" s="55" t="str">
        <f ca="1">IFERROR(__xludf.DUMMYFUNCTION("""COMPUTED_VALUE"""),"Alta")</f>
        <v>Alta</v>
      </c>
      <c r="K4614" s="25">
        <f ca="1">IFERROR(__xludf.DUMMYFUNCTION("""COMPUTED_VALUE"""),30)</f>
        <v>30</v>
      </c>
      <c r="L4614" s="62"/>
      <c r="M4614" s="25" t="str">
        <f ca="1">IFERROR(__xludf.DUMMYFUNCTION("""COMPUTED_VALUE"""),"15/oct/2020 - se realizó mesa de trabajo con SDM-Infraestructura, contratista, interventoria e IDU, con el fin de revisar el diseño de la vía y las razones técnicas por las que se requiere la reducción del ancho de la calzada. La cuales obedecen a que la "&amp;"carrera 13 entre calles 81 y 85 y la continuación de la Av calle 82 hacia el norte, solo tienen un carril para vehículos, por tal motivo, se requiere que sobre la altura de la Av calle 82 entre cra 12 y 13, se reduzca el ancho de la vía, con el fin de evi"&amp;"tar congestión vehicular en el cruce.
 19/oct/2020 - se efectuó mesa de trabajo con la comunidad para presentarles las razones técnicas de la reducción del ancho de la calzada.")</f>
        <v>15/oct/2020 - se realizó mesa de trabajo con SDM-Infraestructura, contratista, interventoria e IDU, con el fin de revisar el diseño de la vía y las razones técnicas por las que se requiere la reducción del ancho de la calzada. La cuales obedecen a que la carrera 13 entre calles 81 y 85 y la continuación de la Av calle 82 hacia el norte, solo tienen un carril para vehículos, por tal motivo, se requiere que sobre la altura de la Av calle 82 entre cra 12 y 13, se reduzca el ancho de la vía, con el fin de evitar congestión vehicular en el cruce.
 19/oct/2020 - se efectuó mesa de trabajo con la comunidad para presentarles las razones técnicas de la reducción del ancho de la calzada.</v>
      </c>
      <c r="N4614" s="55">
        <f ca="1">IFERROR(__xludf.DUMMYFUNCTION("""COMPUTED_VALUE"""),44927)</f>
        <v>44927</v>
      </c>
      <c r="O4614" s="25" t="str">
        <f t="shared" ca="1" si="0"/>
        <v>Instituto de Desarrollo Urbano</v>
      </c>
      <c r="P4614" s="25" t="str">
        <f t="shared" si="3"/>
        <v/>
      </c>
      <c r="Q4614" s="25" t="str">
        <f ca="1">IFERROR(__xludf.DUMMYFUNCTION("""COMPUTED_VALUE"""),"Corto plazo")</f>
        <v>Corto plazo</v>
      </c>
      <c r="R4614" s="25"/>
      <c r="S4614" s="55"/>
      <c r="T4614" s="56"/>
      <c r="U4614" s="25"/>
      <c r="V4614" s="25"/>
      <c r="W4614" s="25"/>
      <c r="X4614" s="25"/>
      <c r="Y4614" s="25"/>
      <c r="Z4614" s="25"/>
    </row>
    <row r="4615" spans="1:26" ht="52.5" customHeight="1" x14ac:dyDescent="0.25">
      <c r="A4615" s="25" t="str">
        <f ca="1">IFERROR(__xludf.DUMMYFUNCTION("""COMPUTED_VALUE"""),"Movil413")</f>
        <v>Movil413</v>
      </c>
      <c r="B4615" s="25" t="str">
        <f ca="1">IFERROR(__xludf.DUMMYFUNCTION("""COMPUTED_VALUE"""),"Recorrido ")</f>
        <v xml:space="preserve">Recorrido </v>
      </c>
      <c r="C4615" s="55">
        <f ca="1">IFERROR(__xludf.DUMMYFUNCTION("""COMPUTED_VALUE"""),44105)</f>
        <v>44105</v>
      </c>
      <c r="D4615" s="25" t="str">
        <f ca="1">IFERROR(__xludf.DUMMYFUNCTION("""COMPUTED_VALUE"""),"Movilidad")</f>
        <v>Movilidad</v>
      </c>
      <c r="E4615" s="25" t="str">
        <f ca="1">IFERROR(__xludf.DUMMYFUNCTION("""COMPUTED_VALUE"""),"Instituto de Desarrollo Urbano")</f>
        <v>Instituto de Desarrollo Urbano</v>
      </c>
      <c r="F4615" s="25" t="str">
        <f ca="1">IFERROR(__xludf.DUMMYFUNCTION("""COMPUTED_VALUE"""),"Utilizar Concreto permeable en las obras realizadas alrededor del parque lineal del Río Arzobispo")</f>
        <v>Utilizar Concreto permeable en las obras realizadas alrededor del parque lineal del Río Arzobispo</v>
      </c>
      <c r="G4615" s="25" t="str">
        <f ca="1">IFERROR(__xludf.DUMMYFUNCTION("""COMPUTED_VALUE"""),"99. Distrito")</f>
        <v>99. Distrito</v>
      </c>
      <c r="H4615" s="55">
        <f ca="1">IFERROR(__xludf.DUMMYFUNCTION("""COMPUTED_VALUE"""),44135)</f>
        <v>44135</v>
      </c>
      <c r="I4615" s="25"/>
      <c r="J4615" s="55" t="str">
        <f ca="1">IFERROR(__xludf.DUMMYFUNCTION("""COMPUTED_VALUE"""),"Alta")</f>
        <v>Alta</v>
      </c>
      <c r="K4615" s="25">
        <f ca="1">IFERROR(__xludf.DUMMYFUNCTION("""COMPUTED_VALUE"""),30)</f>
        <v>30</v>
      </c>
      <c r="L4615" s="62"/>
      <c r="M4615" s="25" t="str">
        <f ca="1">IFERROR(__xludf.DUMMYFUNCTION("""COMPUTED_VALUE"""),"13/oct/2020 - se realizó mesa de trabajo Interna (Contratista, Interventoria e IDU), con el fin de revisar la situación, se expuso ante los especialistas de movilidad de la entidad el inconveniente de la reducción de la vía sobre la Av calle 82 con Cra 13"&amp;".
  15/oct/2020 - se realizó mesa de trabajo con SDM-Infraestructura, contratista, interventoria e IDU, con el fin de revisar el diseño de la vía y las razones técnicas por las que se requiere la reducción del ancho de la calzada. La cuales obedecen a que"&amp;" la carrera 13 entre calles 81 y 85 y la continuación de la Av calle 82 hacia el norte, solo tienen un carril para vehículos, por tal motivo, se requiere que sobre la altura de la Av calle 82 entre cra 12 y 13, se reduzca el ancho de la vía, con el fin de"&amp;" evitar congestión vehicular en el cruce.
  19/oct/2020 - se efectuó mesa de trabajo con la comunidad para presentarles las razones técnicas de la reducción del ancho de la calzada.")</f>
        <v>13/oct/2020 - se realizó mesa de trabajo Interna (Contratista, Interventoria e IDU), con el fin de revisar la situación, se expuso ante los especialistas de movilidad de la entidad el inconveniente de la reducción de la vía sobre la Av calle 82 con Cra 13.
  15/oct/2020 - se realizó mesa de trabajo con SDM-Infraestructura, contratista, interventoria e IDU, con el fin de revisar el diseño de la vía y las razones técnicas por las que se requiere la reducción del ancho de la calzada. La cuales obedecen a que la carrera 13 entre calles 81 y 85 y la continuación de la Av calle 82 hacia el norte, solo tienen un carril para vehículos, por tal motivo, se requiere que sobre la altura de la Av calle 82 entre cra 12 y 13, se reduzca el ancho de la vía, con el fin de evitar congestión vehicular en el cruce.
  19/oct/2020 - se efectuó mesa de trabajo con la comunidad para presentarles las razones técnicas de la reducción del ancho de la calzada.</v>
      </c>
      <c r="N4615" s="55">
        <f ca="1">IFERROR(__xludf.DUMMYFUNCTION("""COMPUTED_VALUE"""),44927)</f>
        <v>44927</v>
      </c>
      <c r="O4615" s="25" t="str">
        <f t="shared" ca="1" si="0"/>
        <v>Instituto de Desarrollo Urbano</v>
      </c>
      <c r="P4615" s="25" t="str">
        <f t="shared" si="3"/>
        <v/>
      </c>
      <c r="Q4615" s="25" t="str">
        <f ca="1">IFERROR(__xludf.DUMMYFUNCTION("""COMPUTED_VALUE"""),"Corto plazo")</f>
        <v>Corto plazo</v>
      </c>
      <c r="R4615" s="25"/>
      <c r="S4615" s="55"/>
      <c r="T4615" s="56"/>
      <c r="U4615" s="25"/>
      <c r="V4615" s="25"/>
      <c r="W4615" s="25"/>
      <c r="X4615" s="25"/>
      <c r="Y4615" s="25"/>
      <c r="Z4615" s="25"/>
    </row>
    <row r="4616" spans="1:26" ht="52.5" customHeight="1" x14ac:dyDescent="0.25">
      <c r="A4616" s="25" t="str">
        <f ca="1">IFERROR(__xludf.DUMMYFUNCTION("""COMPUTED_VALUE"""),"Movil414")</f>
        <v>Movil414</v>
      </c>
      <c r="B4616" s="25" t="str">
        <f ca="1">IFERROR(__xludf.DUMMYFUNCTION("""COMPUTED_VALUE"""),"Colegio La Candelaria")</f>
        <v>Colegio La Candelaria</v>
      </c>
      <c r="C4616" s="55">
        <f ca="1">IFERROR(__xludf.DUMMYFUNCTION("""COMPUTED_VALUE"""),44098)</f>
        <v>44098</v>
      </c>
      <c r="D4616" s="25" t="str">
        <f ca="1">IFERROR(__xludf.DUMMYFUNCTION("""COMPUTED_VALUE"""),"Movilidad")</f>
        <v>Movilidad</v>
      </c>
      <c r="E4616" s="25" t="str">
        <f ca="1">IFERROR(__xludf.DUMMYFUNCTION("""COMPUTED_VALUE"""),"Instituto de Desarrollo Urbano")</f>
        <v>Instituto de Desarrollo Urbano</v>
      </c>
      <c r="F4616" s="25" t="str">
        <f ca="1">IFERROR(__xludf.DUMMYFUNCTION("""COMPUTED_VALUE"""),"Terminar la vía aledaña al colegio para mejorar el ingreso a la IED")</f>
        <v>Terminar la vía aledaña al colegio para mejorar el ingreso a la IED</v>
      </c>
      <c r="G4616" s="55" t="str">
        <f ca="1">IFERROR(__xludf.DUMMYFUNCTION("""COMPUTED_VALUE"""),"17. La Candelaria")</f>
        <v>17. La Candelaria</v>
      </c>
      <c r="H4616" s="55">
        <f ca="1">IFERROR(__xludf.DUMMYFUNCTION("""COMPUTED_VALUE"""),44128)</f>
        <v>44128</v>
      </c>
      <c r="I4616" s="25"/>
      <c r="J4616" s="55" t="str">
        <f ca="1">IFERROR(__xludf.DUMMYFUNCTION("""COMPUTED_VALUE"""),"Alta")</f>
        <v>Alta</v>
      </c>
      <c r="K4616" s="25">
        <f ca="1">IFERROR(__xludf.DUMMYFUNCTION("""COMPUTED_VALUE"""),30)</f>
        <v>30</v>
      </c>
      <c r="L4616" s="62">
        <f ca="1">IFERROR(__xludf.DUMMYFUNCTION("""COMPUTED_VALUE"""),44404)</f>
        <v>44404</v>
      </c>
      <c r="M4616" s="25" t="str">
        <f ca="1">IFERROR(__xludf.DUMMYFUNCTION("""COMPUTED_VALUE"""),"La vía aledaña a la IED quedó arreglada. Ese colegio Candelaria- Concordia fue una obra que se terminó el año pasado, y comprendía el arreglo de una vía aledaña que quedó terminada en su momento.")</f>
        <v>La vía aledaña a la IED quedó arreglada. Ese colegio Candelaria- Concordia fue una obra que se terminó el año pasado, y comprendía el arreglo de una vía aledaña que quedó terminada en su momento.</v>
      </c>
      <c r="N4616" s="55">
        <f ca="1">IFERROR(__xludf.DUMMYFUNCTION("""COMPUTED_VALUE"""),44404)</f>
        <v>44404</v>
      </c>
      <c r="O4616" s="25" t="str">
        <f t="shared" ca="1" si="0"/>
        <v>Instituto de Desarrollo Urbano</v>
      </c>
      <c r="P4616" s="25" t="str">
        <f t="shared" si="3"/>
        <v/>
      </c>
      <c r="Q4616" s="25" t="str">
        <f ca="1">IFERROR(__xludf.DUMMYFUNCTION("""COMPUTED_VALUE"""),"Corto plazo")</f>
        <v>Corto plazo</v>
      </c>
      <c r="R4616" s="25"/>
      <c r="S4616" s="55"/>
      <c r="T4616" s="56"/>
      <c r="U4616" s="25"/>
      <c r="V4616" s="25"/>
      <c r="W4616" s="25"/>
      <c r="X4616" s="25"/>
      <c r="Y4616" s="25"/>
      <c r="Z4616" s="25"/>
    </row>
    <row r="4617" spans="1:26" ht="52.5" customHeight="1" x14ac:dyDescent="0.25">
      <c r="A4617" s="25" t="str">
        <f ca="1">IFERROR(__xludf.DUMMYFUNCTION("""COMPUTED_VALUE"""),"Movil415")</f>
        <v>Movil415</v>
      </c>
      <c r="B4617" s="25" t="str">
        <f ca="1">IFERROR(__xludf.DUMMYFUNCTION("""COMPUTED_VALUE"""),"Despachando: Secretaría de movilidad")</f>
        <v>Despachando: Secretaría de movilidad</v>
      </c>
      <c r="C4617" s="55">
        <f ca="1">IFERROR(__xludf.DUMMYFUNCTION("""COMPUTED_VALUE"""),44092)</f>
        <v>44092</v>
      </c>
      <c r="D4617" s="25" t="str">
        <f ca="1">IFERROR(__xludf.DUMMYFUNCTION("""COMPUTED_VALUE"""),"Movilidad")</f>
        <v>Movilidad</v>
      </c>
      <c r="E4617" s="25" t="str">
        <f ca="1">IFERROR(__xludf.DUMMYFUNCTION("""COMPUTED_VALUE"""),"Secretaría Distrital de Movilidad")</f>
        <v>Secretaría Distrital de Movilidad</v>
      </c>
      <c r="F4617" s="25" t="str">
        <f ca="1">IFERROR(__xludf.DUMMYFUNCTION("""COMPUTED_VALUE"""),"Medir por tasa y por corredor, los siniestros de enero a diciembre para hacer el comparativo entre 2019 y 2020.")</f>
        <v>Medir por tasa y por corredor, los siniestros de enero a diciembre para hacer el comparativo entre 2019 y 2020.</v>
      </c>
      <c r="G4617" s="25" t="str">
        <f ca="1">IFERROR(__xludf.DUMMYFUNCTION("""COMPUTED_VALUE"""),"99. Distrito")</f>
        <v>99. Distrito</v>
      </c>
      <c r="H4617" s="55">
        <f ca="1">IFERROR(__xludf.DUMMYFUNCTION("""COMPUTED_VALUE"""),44122)</f>
        <v>44122</v>
      </c>
      <c r="I4617" s="25"/>
      <c r="J4617" s="55" t="str">
        <f ca="1">IFERROR(__xludf.DUMMYFUNCTION("""COMPUTED_VALUE"""),"Alta")</f>
        <v>Alta</v>
      </c>
      <c r="K4617" s="25">
        <f ca="1">IFERROR(__xludf.DUMMYFUNCTION("""COMPUTED_VALUE"""),30)</f>
        <v>30</v>
      </c>
      <c r="L4617" s="62"/>
      <c r="M4617" s="25" t="str">
        <f ca="1">IFERROR(__xludf.DUMMYFUNCTION("""COMPUTED_VALUE"""),"En Despachando se entregó el dato de siniestralidad de ciclistas 2019-2020. Las tasas por viaje, diferenciadas para cada mes se encuentran en el siguiente archivo: 
  https://docs.google.com/spreadsheets/d/18RTD0Nsc2aZ96R4Ue2-mrPXm3AcCfDr4jsxz_7UqoGA/edit"&amp;"?usp=sharing")</f>
        <v>En Despachando se entregó el dato de siniestralidad de ciclistas 2019-2020. Las tasas por viaje, diferenciadas para cada mes se encuentran en el siguiente archivo: 
  https://docs.google.com/spreadsheets/d/18RTD0Nsc2aZ96R4Ue2-mrPXm3AcCfDr4jsxz_7UqoGA/edit?usp=sharing</v>
      </c>
      <c r="N4617" s="55">
        <f ca="1">IFERROR(__xludf.DUMMYFUNCTION("""COMPUTED_VALUE"""),44927)</f>
        <v>44927</v>
      </c>
      <c r="O4617" s="25" t="str">
        <f t="shared" ca="1" si="0"/>
        <v>Secretaría Distrital de Movilidad</v>
      </c>
      <c r="P4617" s="25" t="str">
        <f t="shared" si="3"/>
        <v/>
      </c>
      <c r="Q4617" s="25" t="str">
        <f ca="1">IFERROR(__xludf.DUMMYFUNCTION("""COMPUTED_VALUE"""),"Corto plazo")</f>
        <v>Corto plazo</v>
      </c>
      <c r="R4617" s="25"/>
      <c r="S4617" s="55"/>
      <c r="T4617" s="56"/>
      <c r="U4617" s="25"/>
      <c r="V4617" s="25"/>
      <c r="W4617" s="25"/>
      <c r="X4617" s="25"/>
      <c r="Y4617" s="25"/>
      <c r="Z4617" s="25"/>
    </row>
    <row r="4618" spans="1:26" ht="52.5" customHeight="1" x14ac:dyDescent="0.25">
      <c r="A4618" s="25" t="str">
        <f ca="1">IFERROR(__xludf.DUMMYFUNCTION("""COMPUTED_VALUE"""),"Movil416")</f>
        <v>Movil416</v>
      </c>
      <c r="B4618" s="25" t="str">
        <f ca="1">IFERROR(__xludf.DUMMYFUNCTION("""COMPUTED_VALUE"""),"Despachando: Secretaría de movilidad")</f>
        <v>Despachando: Secretaría de movilidad</v>
      </c>
      <c r="C4618" s="55">
        <f ca="1">IFERROR(__xludf.DUMMYFUNCTION("""COMPUTED_VALUE"""),44092)</f>
        <v>44092</v>
      </c>
      <c r="D4618" s="25" t="str">
        <f ca="1">IFERROR(__xludf.DUMMYFUNCTION("""COMPUTED_VALUE"""),"Movilidad")</f>
        <v>Movilidad</v>
      </c>
      <c r="E4618" s="25" t="str">
        <f ca="1">IFERROR(__xludf.DUMMYFUNCTION("""COMPUTED_VALUE"""),"Secretaría Distrital de Movilidad")</f>
        <v>Secretaría Distrital de Movilidad</v>
      </c>
      <c r="F4618" s="25" t="str">
        <f ca="1">IFERROR(__xludf.DUMMYFUNCTION("""COMPUTED_VALUE"""),"Revisar e informar como va el tramo del ciclocarril de la calle 13, donde no se va por el andén.")</f>
        <v>Revisar e informar como va el tramo del ciclocarril de la calle 13, donde no se va por el andén.</v>
      </c>
      <c r="G4618" s="25" t="str">
        <f ca="1">IFERROR(__xludf.DUMMYFUNCTION("""COMPUTED_VALUE"""),"99. Distrito")</f>
        <v>99. Distrito</v>
      </c>
      <c r="H4618" s="55">
        <f ca="1">IFERROR(__xludf.DUMMYFUNCTION("""COMPUTED_VALUE"""),44122)</f>
        <v>44122</v>
      </c>
      <c r="I4618" s="25"/>
      <c r="J4618" s="55" t="str">
        <f ca="1">IFERROR(__xludf.DUMMYFUNCTION("""COMPUTED_VALUE"""),"Alta")</f>
        <v>Alta</v>
      </c>
      <c r="K4618" s="25">
        <f ca="1">IFERROR(__xludf.DUMMYFUNCTION("""COMPUTED_VALUE"""),30)</f>
        <v>30</v>
      </c>
      <c r="L4618" s="62">
        <f ca="1">IFERROR(__xludf.DUMMYFUNCTION("""COMPUTED_VALUE"""),44439)</f>
        <v>44439</v>
      </c>
      <c r="M4618" s="25" t="str">
        <f ca="1">IFERROR(__xludf.DUMMYFUNCTION("""COMPUTED_VALUE"""),"16/07/2021. Avance tramo 1 95% tramo 2 95% tramo 3 80% tramos 4 a 6 95%. Se culminan las actividades de obra gruesa y se encuentra en proceso de remates, mobiliario y señalización.
30/07/2021. Avance tramo 1 95% tramo 2 95% tramo 3 95% tramos 4 a 6 95%. S"&amp;"e culminan las actividades de obra gruesa y se encuentra en proceso de remates, mobiliario y señalización. Se inician procesos de señalización y remates finales
13/08/2021. Avance tramo 1 100% tramo 2 99% tramo 3 99% tramos 4 a 6 99%. Se culminan las acti"&amp;"vidades de obra gruesa y se encuentra en proceso de remates, mobiliario y señalización. Se inician procesos de señalización y remates finales. Señalización: 25%. 
31/08/2021 Inauguración Calle 13")</f>
        <v>16/07/2021. Avance tramo 1 95% tramo 2 95% tramo 3 80% tramos 4 a 6 95%. Se culminan las actividades de obra gruesa y se encuentra en proceso de remates, mobiliario y señalización.
30/07/2021. Avance tramo 1 95% tramo 2 95% tramo 3 95% tramos 4 a 6 95%. Se culminan las actividades de obra gruesa y se encuentra en proceso de remates, mobiliario y señalización. Se inician procesos de señalización y remates finales
13/08/2021. Avance tramo 1 100% tramo 2 99% tramo 3 99% tramos 4 a 6 99%. Se culminan las actividades de obra gruesa y se encuentra en proceso de remates, mobiliario y señalización. Se inician procesos de señalización y remates finales. Señalización: 25%. 
31/08/2021 Inauguración Calle 13</v>
      </c>
      <c r="N4618" s="55">
        <f ca="1">IFERROR(__xludf.DUMMYFUNCTION("""COMPUTED_VALUE"""),44439)</f>
        <v>44439</v>
      </c>
      <c r="O4618" s="25" t="str">
        <f t="shared" ca="1" si="0"/>
        <v>Secretaría Distrital de Movilidad</v>
      </c>
      <c r="P4618" s="25" t="str">
        <f t="shared" si="3"/>
        <v/>
      </c>
      <c r="Q4618" s="25" t="str">
        <f ca="1">IFERROR(__xludf.DUMMYFUNCTION("""COMPUTED_VALUE"""),"Corto plazo")</f>
        <v>Corto plazo</v>
      </c>
      <c r="R4618" s="25"/>
      <c r="S4618" s="55"/>
      <c r="T4618" s="56"/>
      <c r="U4618" s="25"/>
      <c r="V4618" s="25"/>
      <c r="W4618" s="25"/>
      <c r="X4618" s="25"/>
      <c r="Y4618" s="25"/>
      <c r="Z4618" s="25"/>
    </row>
    <row r="4619" spans="1:26" ht="52.5" customHeight="1" x14ac:dyDescent="0.25">
      <c r="A4619" s="25" t="str">
        <f ca="1">IFERROR(__xludf.DUMMYFUNCTION("""COMPUTED_VALUE"""),"Movil417")</f>
        <v>Movil417</v>
      </c>
      <c r="B4619" s="25" t="str">
        <f ca="1">IFERROR(__xludf.DUMMYFUNCTION("""COMPUTED_VALUE"""),"Despachando: Secretaría de movilidad")</f>
        <v>Despachando: Secretaría de movilidad</v>
      </c>
      <c r="C4619" s="55">
        <f ca="1">IFERROR(__xludf.DUMMYFUNCTION("""COMPUTED_VALUE"""),44092)</f>
        <v>44092</v>
      </c>
      <c r="D4619" s="25" t="str">
        <f ca="1">IFERROR(__xludf.DUMMYFUNCTION("""COMPUTED_VALUE"""),"Movilidad")</f>
        <v>Movilidad</v>
      </c>
      <c r="E4619" s="25" t="str">
        <f ca="1">IFERROR(__xludf.DUMMYFUNCTION("""COMPUTED_VALUE"""),"Secretaría Distrital de Movilidad")</f>
        <v>Secretaría Distrital de Movilidad</v>
      </c>
      <c r="F4619" s="25" t="str">
        <f ca="1">IFERROR(__xludf.DUMMYFUNCTION("""COMPUTED_VALUE"""),"Diseñar una campaña fuerte de comunicación estratégica, para que la gente entienda y se adapte a la situación que estará la ciudad por las obras que se empezarán en el 2021.")</f>
        <v>Diseñar una campaña fuerte de comunicación estratégica, para que la gente entienda y se adapte a la situación que estará la ciudad por las obras que se empezarán en el 2021.</v>
      </c>
      <c r="G4619" s="25" t="str">
        <f ca="1">IFERROR(__xludf.DUMMYFUNCTION("""COMPUTED_VALUE"""),"99. Distrito")</f>
        <v>99. Distrito</v>
      </c>
      <c r="H4619" s="55">
        <f ca="1">IFERROR(__xludf.DUMMYFUNCTION("""COMPUTED_VALUE"""),44122)</f>
        <v>44122</v>
      </c>
      <c r="I4619" s="25"/>
      <c r="J4619" s="55" t="str">
        <f ca="1">IFERROR(__xludf.DUMMYFUNCTION("""COMPUTED_VALUE"""),"Alta")</f>
        <v>Alta</v>
      </c>
      <c r="K4619" s="25">
        <f ca="1">IFERROR(__xludf.DUMMYFUNCTION("""COMPUTED_VALUE"""),30)</f>
        <v>30</v>
      </c>
      <c r="L4619" s="62"/>
      <c r="M4619" s="25" t="str">
        <f ca="1">IFERROR(__xludf.DUMMYFUNCTION("""COMPUTED_VALUE"""),"En el mes de marzo la Secretaría Distrital De Movilidad lanzó la estrategia Gerencia en Vía para dar a conocer las acciones integrales para mejorar la movilidad en los 14 principales corredores de Bogotá. Como parte de los componentes de Gerencia en Vía ("&amp;"señalización, semaforización, centro de gestión del tránsito, personal en calle, drones) se incluyen las acciones de realización de los Planes de Manejo de Tránsito que impactarán la ciudad en fase de grandes obras. A través de la estrategia comunicaciona"&amp;"l de la gerencia en vía se unificarán y reforzarán los mensajes para anunciar y disminuir el impacto de los cierres viales y desvíos necesarios para conservar la movilidad de la ciudad")</f>
        <v>En el mes de marzo la Secretaría Distrital De Movilidad lanzó la estrategia Gerencia en Vía para dar a conocer las acciones integrales para mejorar la movilidad en los 14 principales corredores de Bogotá. Como parte de los componentes de Gerencia en Vía (señalización, semaforización, centro de gestión del tránsito, personal en calle, drones) se incluyen las acciones de realización de los Planes de Manejo de Tránsito que impactarán la ciudad en fase de grandes obras. A través de la estrategia comunicacional de la gerencia en vía se unificarán y reforzarán los mensajes para anunciar y disminuir el impacto de los cierres viales y desvíos necesarios para conservar la movilidad de la ciudad</v>
      </c>
      <c r="N4619" s="55">
        <f ca="1">IFERROR(__xludf.DUMMYFUNCTION("""COMPUTED_VALUE"""),44927)</f>
        <v>44927</v>
      </c>
      <c r="O4619" s="25" t="str">
        <f t="shared" ca="1" si="0"/>
        <v>Secretaría Distrital de Movilidad</v>
      </c>
      <c r="P4619" s="25" t="str">
        <f t="shared" si="3"/>
        <v/>
      </c>
      <c r="Q4619" s="25" t="str">
        <f ca="1">IFERROR(__xludf.DUMMYFUNCTION("""COMPUTED_VALUE"""),"Corto plazo")</f>
        <v>Corto plazo</v>
      </c>
      <c r="R4619" s="25"/>
      <c r="S4619" s="55"/>
      <c r="T4619" s="56"/>
      <c r="U4619" s="25"/>
      <c r="V4619" s="25"/>
      <c r="W4619" s="25"/>
      <c r="X4619" s="25"/>
      <c r="Y4619" s="25"/>
      <c r="Z4619" s="25"/>
    </row>
    <row r="4620" spans="1:26" ht="52.5" customHeight="1" x14ac:dyDescent="0.25">
      <c r="A4620" s="25" t="str">
        <f ca="1">IFERROR(__xludf.DUMMYFUNCTION("""COMPUTED_VALUE"""),"Movil418")</f>
        <v>Movil418</v>
      </c>
      <c r="B4620" s="25" t="str">
        <f ca="1">IFERROR(__xludf.DUMMYFUNCTION("""COMPUTED_VALUE"""),"Despachando: Secretaría de movilidad")</f>
        <v>Despachando: Secretaría de movilidad</v>
      </c>
      <c r="C4620" s="55">
        <f ca="1">IFERROR(__xludf.DUMMYFUNCTION("""COMPUTED_VALUE"""),44092)</f>
        <v>44092</v>
      </c>
      <c r="D4620" s="25" t="str">
        <f ca="1">IFERROR(__xludf.DUMMYFUNCTION("""COMPUTED_VALUE"""),"Movilidad")</f>
        <v>Movilidad</v>
      </c>
      <c r="E4620" s="25" t="str">
        <f ca="1">IFERROR(__xludf.DUMMYFUNCTION("""COMPUTED_VALUE"""),"Secretaría Distrital de Movilidad")</f>
        <v>Secretaría Distrital de Movilidad</v>
      </c>
      <c r="F4620" s="25" t="str">
        <f ca="1">IFERROR(__xludf.DUMMYFUNCTION("""COMPUTED_VALUE"""),"Modelar el óptimo en funciones de las obras para que los 14 corredores y los cuatro cuadrantes de la ciudad, estén cubiertos por gerentes viales o agentes de tránsito que ayuden al manejo del tráfico, combinando semaforización.")</f>
        <v>Modelar el óptimo en funciones de las obras para que los 14 corredores y los cuatro cuadrantes de la ciudad, estén cubiertos por gerentes viales o agentes de tránsito que ayuden al manejo del tráfico, combinando semaforización.</v>
      </c>
      <c r="G4620" s="25" t="str">
        <f ca="1">IFERROR(__xludf.DUMMYFUNCTION("""COMPUTED_VALUE"""),"99. Distrito")</f>
        <v>99. Distrito</v>
      </c>
      <c r="H4620" s="55">
        <f ca="1">IFERROR(__xludf.DUMMYFUNCTION("""COMPUTED_VALUE"""),44122)</f>
        <v>44122</v>
      </c>
      <c r="I4620" s="25"/>
      <c r="J4620" s="55" t="str">
        <f ca="1">IFERROR(__xludf.DUMMYFUNCTION("""COMPUTED_VALUE"""),"Alta")</f>
        <v>Alta</v>
      </c>
      <c r="K4620" s="25">
        <f ca="1">IFERROR(__xludf.DUMMYFUNCTION("""COMPUTED_VALUE"""),30)</f>
        <v>30</v>
      </c>
      <c r="L4620" s="62"/>
      <c r="M4620" s="25" t="str">
        <f ca="1">IFERROR(__xludf.DUMMYFUNCTION("""COMPUTED_VALUE"""),"""El viernes 23 de octubre fue firmado el convenio interadministrativo entre la U. Nacional y la SDM, donde uno de sus principales objetivos es apoyar a la Ciudad a modelar los escenarios óptimos de frente a las obras previstas en la ciudad y a su vez, el"&amp;" impacto de las mismas den los 14 corredores. Ya se cuenta con 60 personas por día en vía para la gerencia de los 14 corredores. Adicionalmente se cuenta con 1 ingeniero gerente por corredor, un grupo de 10 ingenieros de apoyo, y los operadores del Centro"&amp;" de Gestión para la atención de incidentes y novedades, entre esas, optimizaciones de semáforos.""")</f>
        <v>"El viernes 23 de octubre fue firmado el convenio interadministrativo entre la U. Nacional y la SDM, donde uno de sus principales objetivos es apoyar a la Ciudad a modelar los escenarios óptimos de frente a las obras previstas en la ciudad y a su vez, el impacto de las mismas den los 14 corredores. Ya se cuenta con 60 personas por día en vía para la gerencia de los 14 corredores. Adicionalmente se cuenta con 1 ingeniero gerente por corredor, un grupo de 10 ingenieros de apoyo, y los operadores del Centro de Gestión para la atención de incidentes y novedades, entre esas, optimizaciones de semáforos."</v>
      </c>
      <c r="N4620" s="55">
        <f ca="1">IFERROR(__xludf.DUMMYFUNCTION("""COMPUTED_VALUE"""),44927)</f>
        <v>44927</v>
      </c>
      <c r="O4620" s="25" t="str">
        <f t="shared" ca="1" si="0"/>
        <v>Secretaría Distrital de Movilidad</v>
      </c>
      <c r="P4620" s="25" t="str">
        <f t="shared" si="3"/>
        <v/>
      </c>
      <c r="Q4620" s="25" t="str">
        <f ca="1">IFERROR(__xludf.DUMMYFUNCTION("""COMPUTED_VALUE"""),"Corto plazo")</f>
        <v>Corto plazo</v>
      </c>
      <c r="R4620" s="25"/>
      <c r="S4620" s="55"/>
      <c r="T4620" s="56"/>
      <c r="U4620" s="25"/>
      <c r="V4620" s="25"/>
      <c r="W4620" s="25"/>
      <c r="X4620" s="25"/>
      <c r="Y4620" s="25"/>
      <c r="Z4620" s="25"/>
    </row>
    <row r="4621" spans="1:26" ht="52.5" customHeight="1" x14ac:dyDescent="0.25">
      <c r="A4621" s="25" t="str">
        <f ca="1">IFERROR(__xludf.DUMMYFUNCTION("""COMPUTED_VALUE"""),"Movil419")</f>
        <v>Movil419</v>
      </c>
      <c r="B4621" s="25" t="str">
        <f ca="1">IFERROR(__xludf.DUMMYFUNCTION("""COMPUTED_VALUE"""),"Despachando: Secretaría de movilidad")</f>
        <v>Despachando: Secretaría de movilidad</v>
      </c>
      <c r="C4621" s="55">
        <f ca="1">IFERROR(__xludf.DUMMYFUNCTION("""COMPUTED_VALUE"""),44092)</f>
        <v>44092</v>
      </c>
      <c r="D4621" s="25" t="str">
        <f ca="1">IFERROR(__xludf.DUMMYFUNCTION("""COMPUTED_VALUE"""),"Movilidad")</f>
        <v>Movilidad</v>
      </c>
      <c r="E4621" s="25" t="str">
        <f ca="1">IFERROR(__xludf.DUMMYFUNCTION("""COMPUTED_VALUE"""),"Secretaría Distrital de Movilidad")</f>
        <v>Secretaría Distrital de Movilidad</v>
      </c>
      <c r="F4621" s="25" t="str">
        <f ca="1">IFERROR(__xludf.DUMMYFUNCTION("""COMPUTED_VALUE"""),"Implementar la multa para los ciclistas que incumplan las normas de tránsito.")</f>
        <v>Implementar la multa para los ciclistas que incumplan las normas de tránsito.</v>
      </c>
      <c r="G4621" s="25" t="str">
        <f ca="1">IFERROR(__xludf.DUMMYFUNCTION("""COMPUTED_VALUE"""),"99. Distrito")</f>
        <v>99. Distrito</v>
      </c>
      <c r="H4621" s="55">
        <f ca="1">IFERROR(__xludf.DUMMYFUNCTION("""COMPUTED_VALUE"""),44122)</f>
        <v>44122</v>
      </c>
      <c r="I4621" s="25"/>
      <c r="J4621" s="55" t="str">
        <f ca="1">IFERROR(__xludf.DUMMYFUNCTION("""COMPUTED_VALUE"""),"Alta")</f>
        <v>Alta</v>
      </c>
      <c r="K4621" s="25">
        <f ca="1">IFERROR(__xludf.DUMMYFUNCTION("""COMPUTED_VALUE"""),30)</f>
        <v>30</v>
      </c>
      <c r="L4621" s="62"/>
      <c r="M4621" s="25" t="str">
        <f ca="1">IFERROR(__xludf.DUMMYFUNCTION("""COMPUTED_VALUE"""),"En 2019 se impusieron 39.665 infracciones a ciclistas, con corte a 31 de diciembre de 2020 se han impuesto 50.346 infracciones (Fuente Qlik - SDM). Hoy en Bogotá se aplican las infracciones al Código Nacional de Tránsito que los ciclistas incumple (litera"&amp;"l A), de igual forma pueden ser amonestados por la infracción G02 o H10 - se cuenta con un registro en el Sistema Contravencional de la SDM donde quedan registradas los comparendos en firme, fecha de imposición y código del comparendo, entre otros datos a"&amp;"sociados a la infracción.")</f>
        <v>En 2019 se impusieron 39.665 infracciones a ciclistas, con corte a 31 de diciembre de 2020 se han impuesto 50.346 infracciones (Fuente Qlik - SDM). Hoy en Bogotá se aplican las infracciones al Código Nacional de Tránsito que los ciclistas incumple (literal A), de igual forma pueden ser amonestados por la infracción G02 o H10 - se cuenta con un registro en el Sistema Contravencional de la SDM donde quedan registradas los comparendos en firme, fecha de imposición y código del comparendo, entre otros datos asociados a la infracción.</v>
      </c>
      <c r="N4621" s="55">
        <f ca="1">IFERROR(__xludf.DUMMYFUNCTION("""COMPUTED_VALUE"""),44927)</f>
        <v>44927</v>
      </c>
      <c r="O4621" s="25" t="str">
        <f t="shared" ca="1" si="0"/>
        <v>Secretaría Distrital de Movilidad</v>
      </c>
      <c r="P4621" s="25" t="str">
        <f t="shared" si="3"/>
        <v/>
      </c>
      <c r="Q4621" s="25" t="str">
        <f ca="1">IFERROR(__xludf.DUMMYFUNCTION("""COMPUTED_VALUE"""),"Corto plazo")</f>
        <v>Corto plazo</v>
      </c>
      <c r="R4621" s="25"/>
      <c r="S4621" s="55"/>
      <c r="T4621" s="56"/>
      <c r="U4621" s="25"/>
      <c r="V4621" s="25"/>
      <c r="W4621" s="25"/>
      <c r="X4621" s="25"/>
      <c r="Y4621" s="25"/>
      <c r="Z4621" s="25"/>
    </row>
    <row r="4622" spans="1:26" ht="52.5" customHeight="1" x14ac:dyDescent="0.25">
      <c r="A4622" s="25" t="str">
        <f ca="1">IFERROR(__xludf.DUMMYFUNCTION("""COMPUTED_VALUE"""),"Movil420")</f>
        <v>Movil420</v>
      </c>
      <c r="B4622" s="25" t="str">
        <f ca="1">IFERROR(__xludf.DUMMYFUNCTION("""COMPUTED_VALUE"""),"Despachando: Secretaría de movilidad")</f>
        <v>Despachando: Secretaría de movilidad</v>
      </c>
      <c r="C4622" s="55">
        <f ca="1">IFERROR(__xludf.DUMMYFUNCTION("""COMPUTED_VALUE"""),44092)</f>
        <v>44092</v>
      </c>
      <c r="D4622" s="25" t="str">
        <f ca="1">IFERROR(__xludf.DUMMYFUNCTION("""COMPUTED_VALUE"""),"Movilidad")</f>
        <v>Movilidad</v>
      </c>
      <c r="E4622" s="25" t="str">
        <f ca="1">IFERROR(__xludf.DUMMYFUNCTION("""COMPUTED_VALUE"""),"Secretaría Distrital de Movilidad")</f>
        <v>Secretaría Distrital de Movilidad</v>
      </c>
      <c r="F4622" s="25" t="str">
        <f ca="1">IFERROR(__xludf.DUMMYFUNCTION("""COMPUTED_VALUE"""),"Revisar con el ministerio de transporte, como se puede flexibilizar la inmovilización de las motos por cualquier comparendo.")</f>
        <v>Revisar con el ministerio de transporte, como se puede flexibilizar la inmovilización de las motos por cualquier comparendo.</v>
      </c>
      <c r="G4622" s="25" t="str">
        <f ca="1">IFERROR(__xludf.DUMMYFUNCTION("""COMPUTED_VALUE"""),"99. Distrito")</f>
        <v>99. Distrito</v>
      </c>
      <c r="H4622" s="55">
        <f ca="1">IFERROR(__xludf.DUMMYFUNCTION("""COMPUTED_VALUE"""),44122)</f>
        <v>44122</v>
      </c>
      <c r="I4622" s="25"/>
      <c r="J4622" s="55" t="str">
        <f ca="1">IFERROR(__xludf.DUMMYFUNCTION("""COMPUTED_VALUE"""),"Alta")</f>
        <v>Alta</v>
      </c>
      <c r="K4622" s="25">
        <f ca="1">IFERROR(__xludf.DUMMYFUNCTION("""COMPUTED_VALUE"""),30)</f>
        <v>30</v>
      </c>
      <c r="L4622" s="62"/>
      <c r="M4622" s="25" t="str">
        <f ca="1">IFERROR(__xludf.DUMMYFUNCTION("""COMPUTED_VALUE"""),"""Actualmente se adelanta en el Congreso de la República liderado por el MT la modificación al Código Nacional de Tránsito, desde las áreas técnicas y legales se están levantando las diferentes necesidades para la entrega de un documento que contenga las "&amp;"necesidades de la ciudad, dentro de las cuales se encuentra la regulación a los motociclistas. En este sentido, se están adelantando mesas de trabajo con el gremio motero, con el ánimo de escuchar las problemáticas que se presentan y dar solución a temas "&amp;"que sean de competencia de la Entidad o gestionar con otras Entidades; así como aclarar los procedimientos desarrollados en vía y socializar los diferentes procesos que se adelantan por parte de la SDM, a los cuales puede acceder este gremio, la mesa se m"&amp;"antiene vigente los lunes cada 15 días con el fin de brindar el acompañamiento y apoyar en los gremios a presentar estas modificaciones al Código. En reuniones con el Ministerio se ha tocado el tema y quedaron de revisarlo.""")</f>
        <v>"Actualmente se adelanta en el Congreso de la República liderado por el MT la modificación al Código Nacional de Tránsito, desde las áreas técnicas y legales se están levantando las diferentes necesidades para la entrega de un documento que contenga las necesidades de la ciudad, dentro de las cuales se encuentra la regulación a los motociclistas. En este sentido, se están adelantando mesas de trabajo con el gremio motero, con el ánimo de escuchar las problemáticas que se presentan y dar solución a temas que sean de competencia de la Entidad o gestionar con otras Entidades; así como aclarar los procedimientos desarrollados en vía y socializar los diferentes procesos que se adelantan por parte de la SDM, a los cuales puede acceder este gremio, la mesa se mantiene vigente los lunes cada 15 días con el fin de brindar el acompañamiento y apoyar en los gremios a presentar estas modificaciones al Código. En reuniones con el Ministerio se ha tocado el tema y quedaron de revisarlo."</v>
      </c>
      <c r="N4622" s="55">
        <f ca="1">IFERROR(__xludf.DUMMYFUNCTION("""COMPUTED_VALUE"""),44927)</f>
        <v>44927</v>
      </c>
      <c r="O4622" s="25" t="str">
        <f t="shared" ca="1" si="0"/>
        <v>Secretaría Distrital de Movilidad</v>
      </c>
      <c r="P4622" s="25" t="str">
        <f t="shared" si="3"/>
        <v/>
      </c>
      <c r="Q4622" s="25" t="str">
        <f ca="1">IFERROR(__xludf.DUMMYFUNCTION("""COMPUTED_VALUE"""),"Corto plazo")</f>
        <v>Corto plazo</v>
      </c>
      <c r="R4622" s="25"/>
      <c r="S4622" s="55"/>
      <c r="T4622" s="56"/>
      <c r="U4622" s="25"/>
      <c r="V4622" s="25"/>
      <c r="W4622" s="25"/>
      <c r="X4622" s="25"/>
      <c r="Y4622" s="25"/>
      <c r="Z4622" s="25"/>
    </row>
    <row r="4623" spans="1:26" ht="52.5" customHeight="1" x14ac:dyDescent="0.25">
      <c r="A4623" s="25" t="str">
        <f ca="1">IFERROR(__xludf.DUMMYFUNCTION("""COMPUTED_VALUE"""),"Movil421")</f>
        <v>Movil421</v>
      </c>
      <c r="B4623" s="25" t="str">
        <f ca="1">IFERROR(__xludf.DUMMYFUNCTION("""COMPUTED_VALUE"""),"Despachando Movilidad")</f>
        <v>Despachando Movilidad</v>
      </c>
      <c r="C4623" s="55">
        <f ca="1">IFERROR(__xludf.DUMMYFUNCTION("""COMPUTED_VALUE"""),44092)</f>
        <v>44092</v>
      </c>
      <c r="D4623" s="25" t="str">
        <f ca="1">IFERROR(__xludf.DUMMYFUNCTION("""COMPUTED_VALUE"""),"Movilidad")</f>
        <v>Movilidad</v>
      </c>
      <c r="E4623" s="25" t="str">
        <f ca="1">IFERROR(__xludf.DUMMYFUNCTION("""COMPUTED_VALUE"""),"Empresa de Transporte del Tercer Milenio - Transmilenio S.A.")</f>
        <v>Empresa de Transporte del Tercer Milenio - Transmilenio S.A.</v>
      </c>
      <c r="F4623" s="25" t="str">
        <f ca="1">IFERROR(__xludf.DUMMYFUNCTION("""COMPUTED_VALUE"""),"Continuar el proceso de mejoramiento de la transmi App, para que puedan reportarse problemas en la ruta, acoso, inseguridad, recarga de la tarjeta tu llave")</f>
        <v>Continuar el proceso de mejoramiento de la transmi App, para que puedan reportarse problemas en la ruta, acoso, inseguridad, recarga de la tarjeta tu llave</v>
      </c>
      <c r="G4623" s="25" t="str">
        <f ca="1">IFERROR(__xludf.DUMMYFUNCTION("""COMPUTED_VALUE"""),"99. Distrito")</f>
        <v>99. Distrito</v>
      </c>
      <c r="H4623" s="55">
        <f ca="1">IFERROR(__xludf.DUMMYFUNCTION("""COMPUTED_VALUE"""),44122)</f>
        <v>44122</v>
      </c>
      <c r="I4623" s="25"/>
      <c r="J4623" s="55" t="str">
        <f ca="1">IFERROR(__xludf.DUMMYFUNCTION("""COMPUTED_VALUE"""),"Alta")</f>
        <v>Alta</v>
      </c>
      <c r="K4623" s="25">
        <f ca="1">IFERROR(__xludf.DUMMYFUNCTION("""COMPUTED_VALUE"""),30)</f>
        <v>30</v>
      </c>
      <c r="L4623" s="62">
        <f ca="1">IFERROR(__xludf.DUMMYFUNCTION("""COMPUTED_VALUE"""),44468)</f>
        <v>44468</v>
      </c>
      <c r="M4623" s="25" t="str">
        <f ca="1">IFERROR(__xludf.DUMMYFUNCTION("""COMPUTED_VALUE"""),"Principales avances adelantados considerando retroalimentación de usuarios así como las necesidades de entidades del distrito. 
1. Mejoramiento de la funcionalidad de planear viaje
- Migración del estándar al planeador de viaje OpenTripPlanner, para el c"&amp;"argue de cambios como trazado de rutas con mayor oportunidad. Mejoramiento constante de los GTFS estáticos para cumplir con suficiencia los requerimientos de Google 
2. Mejoras a la interfaz del usuario para su optimización y hacerlo más intuitivo
- Posi"&amp;"bilidad de prender o apagar capas, mejora en la disposición de los elementos y reorganización del menú principal, establecimiento de un “banner” o área de mensajes rotativa para entregar información al usuario y el mejoramiento de la funcionalidad de rela"&amp;"cionar el planeador de viaje con la ubicación de los buses. 
- Modificación de iconos en el menú de consulta de rutas, del botón de paraderos renombrandolo como “ubica tu bus o estación” y se incluyó el botón “lectura en movimiento” en el menú de hitos de"&amp;"l sistema, para acceder a lecturas cortas dispuestas por la Secretaría de Cultura. 
-Ajustes en los niveles de zoom del mapa asociados a la presentación de los elementos cuando se consultan los tiempos estimados de llegada de los servicios. 
- Inclusión e"&amp;"n el botón “consulta tu saldo” los puntos de recarga de la tarjeta TuLlave, el link para recargas electrónicas con pasarela bancaria, información sobre el valor del pasaje y los transbordos, y la posibilidad de consultar las últimas validaciones con la ta"&amp;"rjeta. 
3. Nuevas funcionalidades
- Para adaptación de la aplicación al nuevo mobiliario urbano: Se destaca mejoramiento del funcionamiento de la App con herramientas de accesibilidad (lectores de pantalla, herramientas de contraste alto), despliegue de "&amp;"la funcionalidad de la App con beacons (que estará disponible en la app para demos funcionales, pero estará operativa una vez se instale el nuevo mobiliario) y reorganización de los elementos de la pantalla para facilitar su adaptación a las pantallas tác"&amp;"tiles de los nuevos paraderos.
-Se implementó funcionalidad de acceso directo al paradero o estación más cercana que utiliza el GPS del celular para detectar el paradero o estación más cercana a la ubicación del usuario. Esta se resalta en el menú princip"&amp;"al de la App con un acceso directo que permite al usuario acceder rápidamente al menú de las rutas que paran en dicha estación/paradero.  
- Se elaboró documento de requerimientos de nuevas funcionalidades de reporte de novedades de la operación y la infr"&amp;"aestructura del sistema. Que está en revisión de las áreas usuarias que recibirán las novedades reportadas por los usuarios de la app. Finalizada la etapa de requerimientos se procede al desarrollo, pruebas y despliegue de las funcionalidades, se estima u"&amp;"n tiempo de 2,5 meses para la puesta en servicio.
4. Optimización de algoritmos, la estabilidad y disponibilidad de servicios offline
-Se avanzó con la Migración de funcionalidades de la app a Modo Offline de los servicios asociados a estaciones y parade"&amp;"ros, y se continúa avanzando con las demás así como con la optimización de algoritmos para su adecuación progresiva a funcionamiento Offline. La consulta de tiempos estimados de llegada de los servicios necesitará conexión a internet. 
Cambios recientes "&amp;"en la Transmi App: 
- En iOS: Ajuste de las funcionalidades para nivelarse con Android, pantalla principal y planea tu viaje (Menu en la primera y nuevas alertas (imagen, enlaces) en la segunda). 
- En Android: Implementación de la funcionalidad de beacon"&amp;"s / acceso rápido a las estaciones, desde la pantalla principal. 
- Android y iOS: Ajuste en los iconos de los buses (en rojo) para identificar fácilmente los buses llenos (zonal y troncal, consulta por ruta o por paradero-ruta). ")</f>
        <v xml:space="preserve">Principales avances adelantados considerando retroalimentación de usuarios así como las necesidades de entidades del distrito. 
1. Mejoramiento de la funcionalidad de planear viaje
- Migración del estándar al planeador de viaje OpenTripPlanner, para el cargue de cambios como trazado de rutas con mayor oportunidad. Mejoramiento constante de los GTFS estáticos para cumplir con suficiencia los requerimientos de Google 
2. Mejoras a la interfaz del usuario para su optimización y hacerlo más intuitivo
- Posibilidad de prender o apagar capas, mejora en la disposición de los elementos y reorganización del menú principal, establecimiento de un “banner” o área de mensajes rotativa para entregar información al usuario y el mejoramiento de la funcionalidad de relacionar el planeador de viaje con la ubicación de los buses. 
- Modificación de iconos en el menú de consulta de rutas, del botón de paraderos renombrandolo como “ubica tu bus o estación” y se incluyó el botón “lectura en movimiento” en el menú de hitos del sistema, para acceder a lecturas cortas dispuestas por la Secretaría de Cultura. 
-Ajustes en los niveles de zoom del mapa asociados a la presentación de los elementos cuando se consultan los tiempos estimados de llegada de los servicios. 
- Inclusión en el botón “consulta tu saldo” los puntos de recarga de la tarjeta TuLlave, el link para recargas electrónicas con pasarela bancaria, información sobre el valor del pasaje y los transbordos, y la posibilidad de consultar las últimas validaciones con la tarjeta. 
3. Nuevas funcionalidades
- Para adaptación de la aplicación al nuevo mobiliario urbano: Se destaca mejoramiento del funcionamiento de la App con herramientas de accesibilidad (lectores de pantalla, herramientas de contraste alto), despliegue de la funcionalidad de la App con beacons (que estará disponible en la app para demos funcionales, pero estará operativa una vez se instale el nuevo mobiliario) y reorganización de los elementos de la pantalla para facilitar su adaptación a las pantallas táctiles de los nuevos paraderos.
-Se implementó funcionalidad de acceso directo al paradero o estación más cercana que utiliza el GPS del celular para detectar el paradero o estación más cercana a la ubicación del usuario. Esta se resalta en el menú principal de la App con un acceso directo que permite al usuario acceder rápidamente al menú de las rutas que paran en dicha estación/paradero.  
- Se elaboró documento de requerimientos de nuevas funcionalidades de reporte de novedades de la operación y la infraestructura del sistema. Que está en revisión de las áreas usuarias que recibirán las novedades reportadas por los usuarios de la app. Finalizada la etapa de requerimientos se procede al desarrollo, pruebas y despliegue de las funcionalidades, se estima un tiempo de 2,5 meses para la puesta en servicio.
4. Optimización de algoritmos, la estabilidad y disponibilidad de servicios offline
-Se avanzó con la Migración de funcionalidades de la app a Modo Offline de los servicios asociados a estaciones y paraderos, y se continúa avanzando con las demás así como con la optimización de algoritmos para su adecuación progresiva a funcionamiento Offline. La consulta de tiempos estimados de llegada de los servicios necesitará conexión a internet. 
Cambios recientes en la Transmi App: 
- En iOS: Ajuste de las funcionalidades para nivelarse con Android, pantalla principal y planea tu viaje (Menu en la primera y nuevas alertas (imagen, enlaces) en la segunda). 
- En Android: Implementación de la funcionalidad de beacons / acceso rápido a las estaciones, desde la pantalla principal. 
- Android y iOS: Ajuste en los iconos de los buses (en rojo) para identificar fácilmente los buses llenos (zonal y troncal, consulta por ruta o por paradero-ruta). </v>
      </c>
      <c r="N4623" s="55">
        <f ca="1">IFERROR(__xludf.DUMMYFUNCTION("""COMPUTED_VALUE"""),44468)</f>
        <v>44468</v>
      </c>
      <c r="O4623" s="25" t="str">
        <f t="shared" ca="1" si="0"/>
        <v>Empresa de Transporte del Tercer Milenio - Transmilenio S.A.</v>
      </c>
      <c r="P4623" s="25" t="str">
        <f t="shared" si="3"/>
        <v/>
      </c>
      <c r="Q4623" s="25" t="str">
        <f ca="1">IFERROR(__xludf.DUMMYFUNCTION("""COMPUTED_VALUE"""),"Corto plazo")</f>
        <v>Corto plazo</v>
      </c>
      <c r="R4623" s="25"/>
      <c r="S4623" s="55"/>
      <c r="T4623" s="56"/>
      <c r="U4623" s="25"/>
      <c r="V4623" s="25"/>
      <c r="W4623" s="25"/>
      <c r="X4623" s="25"/>
      <c r="Y4623" s="25"/>
      <c r="Z4623" s="25"/>
    </row>
    <row r="4624" spans="1:26" ht="52.5" customHeight="1" x14ac:dyDescent="0.25">
      <c r="A4624" s="25" t="str">
        <f ca="1">IFERROR(__xludf.DUMMYFUNCTION("""COMPUTED_VALUE"""),"Movil422")</f>
        <v>Movil422</v>
      </c>
      <c r="B4624" s="25" t="str">
        <f ca="1">IFERROR(__xludf.DUMMYFUNCTION("""COMPUTED_VALUE"""),"Bici Recorrido Cra 7")</f>
        <v>Bici Recorrido Cra 7</v>
      </c>
      <c r="C4624" s="55">
        <f ca="1">IFERROR(__xludf.DUMMYFUNCTION("""COMPUTED_VALUE"""),44079)</f>
        <v>44079</v>
      </c>
      <c r="D4624" s="25" t="str">
        <f ca="1">IFERROR(__xludf.DUMMYFUNCTION("""COMPUTED_VALUE"""),"Movilidad")</f>
        <v>Movilidad</v>
      </c>
      <c r="E4624" s="25" t="str">
        <f ca="1">IFERROR(__xludf.DUMMYFUNCTION("""COMPUTED_VALUE"""),"Secretaría Distrital de Movilidad")</f>
        <v>Secretaría Distrital de Movilidad</v>
      </c>
      <c r="F4624" s="25" t="str">
        <f ca="1">IFERROR(__xludf.DUMMYFUNCTION("""COMPUTED_VALUE"""),"Solucionar la intersección de la Carrera 9na con calle 127")</f>
        <v>Solucionar la intersección de la Carrera 9na con calle 127</v>
      </c>
      <c r="G4624" s="55" t="str">
        <f ca="1">IFERROR(__xludf.DUMMYFUNCTION("""COMPUTED_VALUE"""),"02. Chapinero")</f>
        <v>02. Chapinero</v>
      </c>
      <c r="H4624" s="55">
        <f ca="1">IFERROR(__xludf.DUMMYFUNCTION("""COMPUTED_VALUE"""),44109)</f>
        <v>44109</v>
      </c>
      <c r="I4624" s="25"/>
      <c r="J4624" s="55" t="str">
        <f ca="1">IFERROR(__xludf.DUMMYFUNCTION("""COMPUTED_VALUE"""),"Alta")</f>
        <v>Alta</v>
      </c>
      <c r="K4624" s="25">
        <f ca="1">IFERROR(__xludf.DUMMYFUNCTION("""COMPUTED_VALUE"""),30)</f>
        <v>30</v>
      </c>
      <c r="L4624" s="62">
        <f ca="1">IFERROR(__xludf.DUMMYFUNCTION("""COMPUTED_VALUE"""),44362)</f>
        <v>44362</v>
      </c>
      <c r="M4624" s="25" t="str">
        <f ca="1">IFERROR(__xludf.DUMMYFUNCTION("""COMPUTED_VALUE"""),"Gracias al estudio de configuración de la intersección de la Carrera 9na con calle 127, se concluye que no hay condiciones adecuadas de accesibilidad por los ciclistas, ya que hay 3 km sin ventanas de acceso o salida generando que se deban realizar por lo"&amp;" menos 2 intersecciones semaforizadas en el tramo entre la calle 127 y 106. Por consiguiente es recomendable continuar el recorrido en bicicleta por la carrera 11 entre las calles 127 y 106.")</f>
        <v>Gracias al estudio de configuración de la intersección de la Carrera 9na con calle 127, se concluye que no hay condiciones adecuadas de accesibilidad por los ciclistas, ya que hay 3 km sin ventanas de acceso o salida generando que se deban realizar por lo menos 2 intersecciones semaforizadas en el tramo entre la calle 127 y 106. Por consiguiente es recomendable continuar el recorrido en bicicleta por la carrera 11 entre las calles 127 y 106.</v>
      </c>
      <c r="N4624" s="55">
        <f ca="1">IFERROR(__xludf.DUMMYFUNCTION("""COMPUTED_VALUE"""),44362)</f>
        <v>44362</v>
      </c>
      <c r="O4624" s="25" t="str">
        <f t="shared" ca="1" si="0"/>
        <v>Secretaría Distrital de Movilidad</v>
      </c>
      <c r="P4624" s="25" t="str">
        <f t="shared" si="3"/>
        <v/>
      </c>
      <c r="Q4624" s="25" t="str">
        <f ca="1">IFERROR(__xludf.DUMMYFUNCTION("""COMPUTED_VALUE"""),"Corto plazo")</f>
        <v>Corto plazo</v>
      </c>
      <c r="R4624" s="25"/>
      <c r="S4624" s="55"/>
      <c r="T4624" s="56"/>
      <c r="U4624" s="25"/>
      <c r="V4624" s="25"/>
      <c r="W4624" s="25"/>
      <c r="X4624" s="25"/>
      <c r="Y4624" s="25"/>
      <c r="Z4624" s="25"/>
    </row>
    <row r="4625" spans="1:26" ht="52.5" customHeight="1" x14ac:dyDescent="0.25">
      <c r="A4625" s="25" t="str">
        <f ca="1">IFERROR(__xludf.DUMMYFUNCTION("""COMPUTED_VALUE"""),"Movil423")</f>
        <v>Movil423</v>
      </c>
      <c r="B4625" s="25" t="str">
        <f ca="1">IFERROR(__xludf.DUMMYFUNCTION("""COMPUTED_VALUE"""),"Despachando: Instituto de desarrollo urbano IDU")</f>
        <v>Despachando: Instituto de desarrollo urbano IDU</v>
      </c>
      <c r="C4625" s="55">
        <f ca="1">IFERROR(__xludf.DUMMYFUNCTION("""COMPUTED_VALUE"""),44064)</f>
        <v>44064</v>
      </c>
      <c r="D4625" s="25" t="str">
        <f ca="1">IFERROR(__xludf.DUMMYFUNCTION("""COMPUTED_VALUE"""),"Movilidad")</f>
        <v>Movilidad</v>
      </c>
      <c r="E4625" s="25" t="str">
        <f ca="1">IFERROR(__xludf.DUMMYFUNCTION("""COMPUTED_VALUE"""),"Secretaría Distrital de Movilidad")</f>
        <v>Secretaría Distrital de Movilidad</v>
      </c>
      <c r="F4625" s="25" t="str">
        <f ca="1">IFERROR(__xludf.DUMMYFUNCTION("""COMPUTED_VALUE"""),"Incentivar a los ciclistas para que registren sus bicicletas, para que se pueda ver cualquier trámite de venta, compra y mantenimiento, teniendo de aliados los talleres de bicicletas y así controlar un poco el hurto. Se puede pensar en incentivar al regis"&amp;"tro regalándoles un kit, por ejemplo; un buen casco, un chaleco reflectivo y un buen candado.")</f>
        <v>Incentivar a los ciclistas para que registren sus bicicletas, para que se pueda ver cualquier trámite de venta, compra y mantenimiento, teniendo de aliados los talleres de bicicletas y así controlar un poco el hurto. Se puede pensar en incentivar al registro regalándoles un kit, por ejemplo; un buen casco, un chaleco reflectivo y un buen candado.</v>
      </c>
      <c r="G4625" s="25" t="str">
        <f ca="1">IFERROR(__xludf.DUMMYFUNCTION("""COMPUTED_VALUE"""),"99. Distrito")</f>
        <v>99. Distrito</v>
      </c>
      <c r="H4625" s="55">
        <f ca="1">IFERROR(__xludf.DUMMYFUNCTION("""COMPUTED_VALUE"""),44094)</f>
        <v>44094</v>
      </c>
      <c r="I4625" s="25"/>
      <c r="J4625" s="55" t="str">
        <f ca="1">IFERROR(__xludf.DUMMYFUNCTION("""COMPUTED_VALUE"""),"Alta")</f>
        <v>Alta</v>
      </c>
      <c r="K4625" s="25">
        <f ca="1">IFERROR(__xludf.DUMMYFUNCTION("""COMPUTED_VALUE"""),30)</f>
        <v>30</v>
      </c>
      <c r="L4625" s="62">
        <f ca="1">IFERROR(__xludf.DUMMYFUNCTION("""COMPUTED_VALUE"""),44392)</f>
        <v>44392</v>
      </c>
      <c r="M4625" s="25" t="str">
        <f ca="1">IFERROR(__xludf.DUMMYFUNCTION("""COMPUTED_VALUE"""),"""1. La SDM gestionó el decreto reglamentario de Registro bici Obligatorio en Bogotá 242 de 2021 firmado por la alcaldesa el día  2/07/2021 Este instrumento jurídico contiene los siguientes cambios: • Hacer de Registro bici Bogotá la herramienta para iden"&amp;"tificar la tenencia legítima de una bicicleta en el Distrito Capital. • Establecer medidas correctivas ajustadas al código de policía que obliguen el registro de las bicicletas por parte de los ciudadanos. • Ordenar a los establecimientos dedicados a la r"&amp;"eparación y mantenimiento de bicicletas a revisar que toda bicicleta recibida se encuentra en registro bici Bogotá y sin novedad alguna sobre el elemento. • Ordenar a los establecimientos de comercio de bicicletas a garantizar el registro de las bicicleta"&amp;"s al momento de la venta o previo a su comercialización. 2. La SDM el 25 de enero de 2021 realizó mejoras en su plataforma Registro Bici Bogotá - RBB, con el fin de que tanto las autoridades como la ciudadanía cuenten con la posibilidad de tener un docume"&amp;"nto público “COMPROBANTE DE REGISTRO BICI BOGOTÁ” Documento inalterable protegido por código Qr que permite comprobar que la persona ha registrado su bicicleta y que esta ha quedado vinculada al usuario. Además, ahora las autoridades y ciudadanía pueden v"&amp;"erificar en tiempo real la información de cada bicicleta registrada de tal manera que pueden saber si esta tiene algún reporte hurto por parte de la ciudadanía y los datos del usuario poseedor de la misma. Estos instrumentos están siendo socializados con "&amp;"comerciantes, policías e instituciones para que una vez entre en vigencia el registro obligatorio sea adoptado por la ciudadanía en general como herramienta para reducir la comercialización de bicicletas robadas como usadas. 3. La SDM ha aumentado las Jor"&amp;"nadas de Registro Bici en vía en 2019 realizamos 128, en 2020 realizamos 281 y en lo corrido de 2021 vamos 360. acercar en Registro bici a la ciudadanía es nuestra estrategia de promoción al registro de bicicletas 4. Frente a los Kit´s para ciclistas la S"&amp;"DM entregó 300 de candados de seguridad a mujeres el priorizadas por usar la bicicleta como medio de trabajo y transporte de cuidado, el pasado 3 de junio de 2021.")</f>
        <v>"1. La SDM gestionó el decreto reglamentario de Registro bici Obligatorio en Bogotá 242 de 2021 firmado por la alcaldesa el día  2/07/2021 Este instrumento jurídico contiene los siguientes cambios: • Hacer de Registro bici Bogotá la herramienta para identificar la tenencia legítima de una bicicleta en el Distrito Capital. • Establecer medidas correctivas ajustadas al código de policía que obliguen el registro de las bicicletas por parte de los ciudadanos. • Ordenar a los establecimientos dedicados a la reparación y mantenimiento de bicicletas a revisar que toda bicicleta recibida se encuentra en registro bici Bogotá y sin novedad alguna sobre el elemento. • Ordenar a los establecimientos de comercio de bicicletas a garantizar el registro de las bicicletas al momento de la venta o previo a su comercialización. 2. La SDM el 25 de enero de 2021 realizó mejoras en su plataforma Registro Bici Bogotá - RBB, con el fin de que tanto las autoridades como la ciudadanía cuenten con la posibilidad de tener un documento público “COMPROBANTE DE REGISTRO BICI BOGOTÁ” Documento inalterable protegido por código Qr que permite comprobar que la persona ha registrado su bicicleta y que esta ha quedado vinculada al usuario. Además, ahora las autoridades y ciudadanía pueden verificar en tiempo real la información de cada bicicleta registrada de tal manera que pueden saber si esta tiene algún reporte hurto por parte de la ciudadanía y los datos del usuario poseedor de la misma. Estos instrumentos están siendo socializados con comerciantes, policías e instituciones para que una vez entre en vigencia el registro obligatorio sea adoptado por la ciudadanía en general como herramienta para reducir la comercialización de bicicletas robadas como usadas. 3. La SDM ha aumentado las Jornadas de Registro Bici en vía en 2019 realizamos 128, en 2020 realizamos 281 y en lo corrido de 2021 vamos 360. acercar en Registro bici a la ciudadanía es nuestra estrategia de promoción al registro de bicicletas 4. Frente a los Kit´s para ciclistas la SDM entregó 300 de candados de seguridad a mujeres el priorizadas por usar la bicicleta como medio de trabajo y transporte de cuidado, el pasado 3 de junio de 2021.</v>
      </c>
      <c r="N4625" s="55">
        <f ca="1">IFERROR(__xludf.DUMMYFUNCTION("""COMPUTED_VALUE"""),44392)</f>
        <v>44392</v>
      </c>
      <c r="O4625" s="25" t="str">
        <f t="shared" ca="1" si="0"/>
        <v>Secretaría Distrital de Movilidad</v>
      </c>
      <c r="P4625" s="25" t="str">
        <f t="shared" si="3"/>
        <v/>
      </c>
      <c r="Q4625" s="25" t="str">
        <f ca="1">IFERROR(__xludf.DUMMYFUNCTION("""COMPUTED_VALUE"""),"Corto plazo")</f>
        <v>Corto plazo</v>
      </c>
      <c r="R4625" s="25"/>
      <c r="S4625" s="55"/>
      <c r="T4625" s="56"/>
      <c r="U4625" s="25"/>
      <c r="V4625" s="25"/>
      <c r="W4625" s="25"/>
      <c r="X4625" s="25"/>
      <c r="Y4625" s="25"/>
      <c r="Z4625" s="25"/>
    </row>
    <row r="4626" spans="1:26" ht="52.5" customHeight="1" x14ac:dyDescent="0.25">
      <c r="A4626" s="25" t="str">
        <f ca="1">IFERROR(__xludf.DUMMYFUNCTION("""COMPUTED_VALUE"""),"Movil424")</f>
        <v>Movil424</v>
      </c>
      <c r="B4626" s="25" t="str">
        <f ca="1">IFERROR(__xludf.DUMMYFUNCTION("""COMPUTED_VALUE"""),"Despachando: Instituto de desarrollo urbano IDU")</f>
        <v>Despachando: Instituto de desarrollo urbano IDU</v>
      </c>
      <c r="C4626" s="55">
        <f ca="1">IFERROR(__xludf.DUMMYFUNCTION("""COMPUTED_VALUE"""),44064)</f>
        <v>44064</v>
      </c>
      <c r="D4626" s="25" t="str">
        <f ca="1">IFERROR(__xludf.DUMMYFUNCTION("""COMPUTED_VALUE"""),"Movilidad")</f>
        <v>Movilidad</v>
      </c>
      <c r="E4626" s="25" t="str">
        <f ca="1">IFERROR(__xludf.DUMMYFUNCTION("""COMPUTED_VALUE"""),"Instituto de Desarrollo Urbano")</f>
        <v>Instituto de Desarrollo Urbano</v>
      </c>
      <c r="F4626" s="25" t="str">
        <f ca="1">IFERROR(__xludf.DUMMYFUNCTION("""COMPUTED_VALUE"""),"Revisar si existe un posible mejoramiento en el diseño de las estaciones de TMSA que están en intervención a través de urgencia manifiesta")</f>
        <v>Revisar si existe un posible mejoramiento en el diseño de las estaciones de TMSA que están en intervención a través de urgencia manifiesta</v>
      </c>
      <c r="G4626" s="25" t="str">
        <f ca="1">IFERROR(__xludf.DUMMYFUNCTION("""COMPUTED_VALUE"""),"99. Distrito")</f>
        <v>99. Distrito</v>
      </c>
      <c r="H4626" s="55">
        <f ca="1">IFERROR(__xludf.DUMMYFUNCTION("""COMPUTED_VALUE"""),44094)</f>
        <v>44094</v>
      </c>
      <c r="I4626" s="25"/>
      <c r="J4626" s="55" t="str">
        <f ca="1">IFERROR(__xludf.DUMMYFUNCTION("""COMPUTED_VALUE"""),"Alta")</f>
        <v>Alta</v>
      </c>
      <c r="K4626" s="25">
        <f ca="1">IFERROR(__xludf.DUMMYFUNCTION("""COMPUTED_VALUE"""),30)</f>
        <v>30</v>
      </c>
      <c r="L4626" s="62">
        <f ca="1">IFERROR(__xludf.DUMMYFUNCTION("""COMPUTED_VALUE"""),44407)</f>
        <v>44407</v>
      </c>
      <c r="M4626" s="25" t="str">
        <f ca="1">IFERROR(__xludf.DUMMYFUNCTION("""COMPUTED_VALUE"""),"El piloto no se realizará. En cambio para las que se van a sacar a proceso licitatorio se les va a incluir como especificación  técnica el cambio de vidrio por laminas micro perforadas.
Se acordó con TM hacer un piloto de las puertas metálicas en las est"&amp;"aciones de Universidad Nacional y Ricaurte que se licitan por parte del IDU. La licitación para este grupo de estaciones se abrirá en enero de 2021.
En comité TMSA - IDU presentamos que la implementación de las puertas metálicas implica un rediseño de "&amp;"la estación desde la parte arquitectónica y estructural, y los resultados de las pruebas que está realizando TMSA. De las 10 estaciones que están con diseños (sin puertas metálicas), hay 2 no viables (las obras de acueducto valen más que la intervención r"&amp;"equerida en la estación). Se remitió oficio a TMSA solicitando la priorización de intervención y definir cuales son las estaciones que reemplazan las dos no viables (se ha hablado que sea calle 183 y calle 85), pero no está confirmado aún. Incluir las pue"&amp;"rtas metálicas requiere un rediseño arquitectónico y estructural que TMSA debe definir si lo vamos a contratar y con qué recursos se haría esto.
En la última comunicación enviada por transmilenio, se proponen las estaciones Autonorte Terminal, Calle 18"&amp;"7 y calle 106 para reponer las 2 no viables y se solicita el cambio de vidrios en vagón por lamina microperforada en las estaciones de Ricaurte, U. Nacional, Terminal 187.")</f>
        <v>El piloto no se realizará. En cambio para las que se van a sacar a proceso licitatorio se les va a incluir como especificación  técnica el cambio de vidrio por laminas micro perforadas.
Se acordó con TM hacer un piloto de las puertas metálicas en las estaciones de Universidad Nacional y Ricaurte que se licitan por parte del IDU. La licitación para este grupo de estaciones se abrirá en enero de 2021.
En comité TMSA - IDU presentamos que la implementación de las puertas metálicas implica un rediseño de la estación desde la parte arquitectónica y estructural, y los resultados de las pruebas que está realizando TMSA. De las 10 estaciones que están con diseños (sin puertas metálicas), hay 2 no viables (las obras de acueducto valen más que la intervención requerida en la estación). Se remitió oficio a TMSA solicitando la priorización de intervención y definir cuales son las estaciones que reemplazan las dos no viables (se ha hablado que sea calle 183 y calle 85), pero no está confirmado aún. Incluir las puertas metálicas requiere un rediseño arquitectónico y estructural que TMSA debe definir si lo vamos a contratar y con qué recursos se haría esto.
En la última comunicación enviada por transmilenio, se proponen las estaciones Autonorte Terminal, Calle 187 y calle 106 para reponer las 2 no viables y se solicita el cambio de vidrios en vagón por lamina microperforada en las estaciones de Ricaurte, U. Nacional, Terminal 187.</v>
      </c>
      <c r="N4626" s="55">
        <f ca="1">IFERROR(__xludf.DUMMYFUNCTION("""COMPUTED_VALUE"""),44407)</f>
        <v>44407</v>
      </c>
      <c r="O4626" s="25" t="str">
        <f t="shared" ca="1" si="0"/>
        <v>Instituto de Desarrollo Urbano</v>
      </c>
      <c r="P4626" s="25" t="str">
        <f t="shared" si="3"/>
        <v/>
      </c>
      <c r="Q4626" s="25" t="str">
        <f ca="1">IFERROR(__xludf.DUMMYFUNCTION("""COMPUTED_VALUE"""),"Corto plazo")</f>
        <v>Corto plazo</v>
      </c>
      <c r="R4626" s="25"/>
      <c r="S4626" s="55"/>
      <c r="T4626" s="56"/>
      <c r="U4626" s="25"/>
      <c r="V4626" s="25"/>
      <c r="W4626" s="25"/>
      <c r="X4626" s="25"/>
      <c r="Y4626" s="25"/>
      <c r="Z4626" s="25"/>
    </row>
    <row r="4627" spans="1:26" ht="52.5" customHeight="1" x14ac:dyDescent="0.25">
      <c r="A4627" s="25" t="str">
        <f ca="1">IFERROR(__xludf.DUMMYFUNCTION("""COMPUTED_VALUE"""),"Movil425")</f>
        <v>Movil425</v>
      </c>
      <c r="B4627" s="25" t="str">
        <f ca="1">IFERROR(__xludf.DUMMYFUNCTION("""COMPUTED_VALUE"""),"Despachando: Instituto de desarrollo urbano IDU")</f>
        <v>Despachando: Instituto de desarrollo urbano IDU</v>
      </c>
      <c r="C4627" s="55">
        <f ca="1">IFERROR(__xludf.DUMMYFUNCTION("""COMPUTED_VALUE"""),44064)</f>
        <v>44064</v>
      </c>
      <c r="D4627" s="25" t="str">
        <f ca="1">IFERROR(__xludf.DUMMYFUNCTION("""COMPUTED_VALUE"""),"Movilidad")</f>
        <v>Movilidad</v>
      </c>
      <c r="E4627" s="25" t="str">
        <f ca="1">IFERROR(__xludf.DUMMYFUNCTION("""COMPUTED_VALUE"""),"Instituto de Desarrollo Urbano")</f>
        <v>Instituto de Desarrollo Urbano</v>
      </c>
      <c r="F4627" s="25" t="str">
        <f ca="1">IFERROR(__xludf.DUMMYFUNCTION("""COMPUTED_VALUE"""),"Convocar a comité de obra, y allí hacer seguimiento a las 5 obras de valorización (en evaluación de propuestas)")</f>
        <v>Convocar a comité de obra, y allí hacer seguimiento a las 5 obras de valorización (en evaluación de propuestas)</v>
      </c>
      <c r="G4627" s="25" t="str">
        <f ca="1">IFERROR(__xludf.DUMMYFUNCTION("""COMPUTED_VALUE"""),"99. Distrito")</f>
        <v>99. Distrito</v>
      </c>
      <c r="H4627" s="55">
        <f ca="1">IFERROR(__xludf.DUMMYFUNCTION("""COMPUTED_VALUE"""),44094)</f>
        <v>44094</v>
      </c>
      <c r="I4627" s="25"/>
      <c r="J4627" s="55" t="str">
        <f ca="1">IFERROR(__xludf.DUMMYFUNCTION("""COMPUTED_VALUE"""),"Alta")</f>
        <v>Alta</v>
      </c>
      <c r="K4627" s="25">
        <f ca="1">IFERROR(__xludf.DUMMYFUNCTION("""COMPUTED_VALUE"""),30)</f>
        <v>30</v>
      </c>
      <c r="L4627" s="62"/>
      <c r="M4627" s="25" t="str">
        <f ca="1">IFERROR(__xludf.DUMMYFUNCTION("""COMPUTED_VALUE"""),"Se coordinará con Felipe Morales. Se programó para el jueves 8 de octubre sesión de la junta de infraestructura donde se revisarán entre otros proyectos del IDU los incorporados en la valorización")</f>
        <v>Se coordinará con Felipe Morales. Se programó para el jueves 8 de octubre sesión de la junta de infraestructura donde se revisarán entre otros proyectos del IDU los incorporados en la valorización</v>
      </c>
      <c r="N4627" s="55">
        <f ca="1">IFERROR(__xludf.DUMMYFUNCTION("""COMPUTED_VALUE"""),44927)</f>
        <v>44927</v>
      </c>
      <c r="O4627" s="25" t="str">
        <f t="shared" ca="1" si="0"/>
        <v>Instituto de Desarrollo Urbano</v>
      </c>
      <c r="P4627" s="25" t="str">
        <f t="shared" si="3"/>
        <v/>
      </c>
      <c r="Q4627" s="25" t="str">
        <f ca="1">IFERROR(__xludf.DUMMYFUNCTION("""COMPUTED_VALUE"""),"Corto plazo")</f>
        <v>Corto plazo</v>
      </c>
      <c r="R4627" s="25"/>
      <c r="S4627" s="55"/>
      <c r="T4627" s="56"/>
      <c r="U4627" s="25"/>
      <c r="V4627" s="25"/>
      <c r="W4627" s="25"/>
      <c r="X4627" s="25"/>
      <c r="Y4627" s="25"/>
      <c r="Z4627" s="25"/>
    </row>
    <row r="4628" spans="1:26" ht="52.5" customHeight="1" x14ac:dyDescent="0.25">
      <c r="A4628" s="25" t="str">
        <f ca="1">IFERROR(__xludf.DUMMYFUNCTION("""COMPUTED_VALUE"""),"Movil426")</f>
        <v>Movil426</v>
      </c>
      <c r="B4628" s="25" t="str">
        <f ca="1">IFERROR(__xludf.DUMMYFUNCTION("""COMPUTED_VALUE"""),"Despachando: Instituto de desarrollo urbano IDU")</f>
        <v>Despachando: Instituto de desarrollo urbano IDU</v>
      </c>
      <c r="C4628" s="55">
        <f ca="1">IFERROR(__xludf.DUMMYFUNCTION("""COMPUTED_VALUE"""),44064)</f>
        <v>44064</v>
      </c>
      <c r="D4628" s="25" t="str">
        <f ca="1">IFERROR(__xludf.DUMMYFUNCTION("""COMPUTED_VALUE"""),"Movilidad")</f>
        <v>Movilidad</v>
      </c>
      <c r="E4628" s="25" t="str">
        <f ca="1">IFERROR(__xludf.DUMMYFUNCTION("""COMPUTED_VALUE"""),"Instituto de Desarrollo Urbano")</f>
        <v>Instituto de Desarrollo Urbano</v>
      </c>
      <c r="F4628" s="25" t="str">
        <f ca="1">IFERROR(__xludf.DUMMYFUNCTION("""COMPUTED_VALUE"""),"Invitar a la gobernación de Cundinamarca a la reunión con el presidente de la ANI")</f>
        <v>Invitar a la gobernación de Cundinamarca a la reunión con el presidente de la ANI</v>
      </c>
      <c r="G4628" s="25" t="str">
        <f ca="1">IFERROR(__xludf.DUMMYFUNCTION("""COMPUTED_VALUE"""),"99. Distrito")</f>
        <v>99. Distrito</v>
      </c>
      <c r="H4628" s="55">
        <f ca="1">IFERROR(__xludf.DUMMYFUNCTION("""COMPUTED_VALUE"""),44094)</f>
        <v>44094</v>
      </c>
      <c r="I4628" s="25"/>
      <c r="J4628" s="55" t="str">
        <f ca="1">IFERROR(__xludf.DUMMYFUNCTION("""COMPUTED_VALUE"""),"Alta")</f>
        <v>Alta</v>
      </c>
      <c r="K4628" s="25">
        <f ca="1">IFERROR(__xludf.DUMMYFUNCTION("""COMPUTED_VALUE"""),30)</f>
        <v>30</v>
      </c>
      <c r="L4628" s="62"/>
      <c r="M4628" s="25" t="str">
        <f ca="1">IFERROR(__xludf.DUMMYFUNCTION("""COMPUTED_VALUE"""),"Se realizó reunión con la Ministra, Presidente ANI")</f>
        <v>Se realizó reunión con la Ministra, Presidente ANI</v>
      </c>
      <c r="N4628" s="55">
        <f ca="1">IFERROR(__xludf.DUMMYFUNCTION("""COMPUTED_VALUE"""),44927)</f>
        <v>44927</v>
      </c>
      <c r="O4628" s="25" t="str">
        <f t="shared" ca="1" si="0"/>
        <v>Instituto de Desarrollo Urbano</v>
      </c>
      <c r="P4628" s="25" t="str">
        <f t="shared" si="3"/>
        <v/>
      </c>
      <c r="Q4628" s="25" t="str">
        <f ca="1">IFERROR(__xludf.DUMMYFUNCTION("""COMPUTED_VALUE"""),"Corto plazo")</f>
        <v>Corto plazo</v>
      </c>
      <c r="R4628" s="25"/>
      <c r="S4628" s="55"/>
      <c r="T4628" s="56"/>
      <c r="U4628" s="25"/>
      <c r="V4628" s="25"/>
      <c r="W4628" s="25"/>
      <c r="X4628" s="25"/>
      <c r="Y4628" s="25"/>
      <c r="Z4628" s="25"/>
    </row>
    <row r="4629" spans="1:26" ht="52.5" customHeight="1" x14ac:dyDescent="0.25">
      <c r="A4629" s="25" t="str">
        <f ca="1">IFERROR(__xludf.DUMMYFUNCTION("""COMPUTED_VALUE"""),"Movil427")</f>
        <v>Movil427</v>
      </c>
      <c r="B4629" s="25" t="str">
        <f ca="1">IFERROR(__xludf.DUMMYFUNCTION("""COMPUTED_VALUE"""),"Despachando: Instituto de desarrollo urbano IDU")</f>
        <v>Despachando: Instituto de desarrollo urbano IDU</v>
      </c>
      <c r="C4629" s="55">
        <f ca="1">IFERROR(__xludf.DUMMYFUNCTION("""COMPUTED_VALUE"""),44064)</f>
        <v>44064</v>
      </c>
      <c r="D4629" s="25" t="str">
        <f ca="1">IFERROR(__xludf.DUMMYFUNCTION("""COMPUTED_VALUE"""),"Movilidad")</f>
        <v>Movilidad</v>
      </c>
      <c r="E4629" s="25" t="str">
        <f ca="1">IFERROR(__xludf.DUMMYFUNCTION("""COMPUTED_VALUE"""),"Instituto de Desarrollo Urbano")</f>
        <v>Instituto de Desarrollo Urbano</v>
      </c>
      <c r="F4629" s="25" t="str">
        <f ca="1">IFERROR(__xludf.DUMMYFUNCTION("""COMPUTED_VALUE"""),"Pensar en los proyectos de cable de San Cristóbal y Avenida Circunvalar de Oriente como proyectos de revitalización")</f>
        <v>Pensar en los proyectos de cable de San Cristóbal y Avenida Circunvalar de Oriente como proyectos de revitalización</v>
      </c>
      <c r="G4629" s="25" t="str">
        <f ca="1">IFERROR(__xludf.DUMMYFUNCTION("""COMPUTED_VALUE"""),"99. Distrito")</f>
        <v>99. Distrito</v>
      </c>
      <c r="H4629" s="55">
        <f ca="1">IFERROR(__xludf.DUMMYFUNCTION("""COMPUTED_VALUE"""),44094)</f>
        <v>44094</v>
      </c>
      <c r="I4629" s="25"/>
      <c r="J4629" s="55" t="str">
        <f ca="1">IFERROR(__xludf.DUMMYFUNCTION("""COMPUTED_VALUE"""),"Alta")</f>
        <v>Alta</v>
      </c>
      <c r="K4629" s="25">
        <f ca="1">IFERROR(__xludf.DUMMYFUNCTION("""COMPUTED_VALUE"""),30)</f>
        <v>30</v>
      </c>
      <c r="L4629" s="62">
        <f ca="1">IFERROR(__xludf.DUMMYFUNCTION("""COMPUTED_VALUE"""),44421)</f>
        <v>44421</v>
      </c>
      <c r="M4629" s="25" t="str">
        <f ca="1">IFERROR(__xludf.DUMMYFUNCTION("""COMPUTED_VALUE"""),"Se informó el trazado del cable a la SDHT para que alrededor del mismo se analicen las propuestas de equipamientos y demás espacios que dicha entidad prevé para el proyecto de revitalización. En las reuniones de avance del proyecto se ha presentado desde "&amp;"la SDHT los planteamientos para desarrollar estos proyectos bajo este concepto")</f>
        <v>Se informó el trazado del cable a la SDHT para que alrededor del mismo se analicen las propuestas de equipamientos y demás espacios que dicha entidad prevé para el proyecto de revitalización. En las reuniones de avance del proyecto se ha presentado desde la SDHT los planteamientos para desarrollar estos proyectos bajo este concepto</v>
      </c>
      <c r="N4629" s="55">
        <f ca="1">IFERROR(__xludf.DUMMYFUNCTION("""COMPUTED_VALUE"""),44421)</f>
        <v>44421</v>
      </c>
      <c r="O4629" s="25" t="str">
        <f t="shared" ca="1" si="0"/>
        <v>Instituto de Desarrollo Urbano</v>
      </c>
      <c r="P4629" s="25" t="str">
        <f t="shared" si="3"/>
        <v/>
      </c>
      <c r="Q4629" s="25" t="str">
        <f ca="1">IFERROR(__xludf.DUMMYFUNCTION("""COMPUTED_VALUE"""),"Corto plazo")</f>
        <v>Corto plazo</v>
      </c>
      <c r="R4629" s="25"/>
      <c r="S4629" s="55"/>
      <c r="T4629" s="56"/>
      <c r="U4629" s="25"/>
      <c r="V4629" s="25"/>
      <c r="W4629" s="25"/>
      <c r="X4629" s="25"/>
      <c r="Y4629" s="25"/>
      <c r="Z4629" s="25"/>
    </row>
    <row r="4630" spans="1:26" ht="52.5" customHeight="1" x14ac:dyDescent="0.25">
      <c r="A4630" s="25" t="str">
        <f ca="1">IFERROR(__xludf.DUMMYFUNCTION("""COMPUTED_VALUE"""),"Movil428")</f>
        <v>Movil428</v>
      </c>
      <c r="B4630" s="25" t="str">
        <f ca="1">IFERROR(__xludf.DUMMYFUNCTION("""COMPUTED_VALUE"""),"Despachando: Instituto de desarrollo urbano IDU")</f>
        <v>Despachando: Instituto de desarrollo urbano IDU</v>
      </c>
      <c r="C4630" s="55">
        <f ca="1">IFERROR(__xludf.DUMMYFUNCTION("""COMPUTED_VALUE"""),44064)</f>
        <v>44064</v>
      </c>
      <c r="D4630" s="25" t="str">
        <f ca="1">IFERROR(__xludf.DUMMYFUNCTION("""COMPUTED_VALUE"""),"Movilidad")</f>
        <v>Movilidad</v>
      </c>
      <c r="E4630" s="25" t="str">
        <f ca="1">IFERROR(__xludf.DUMMYFUNCTION("""COMPUTED_VALUE"""),"Instituto de Desarrollo Urbano")</f>
        <v>Instituto de Desarrollo Urbano</v>
      </c>
      <c r="F4630" s="25" t="str">
        <f ca="1">IFERROR(__xludf.DUMMYFUNCTION("""COMPUTED_VALUE"""),"Incorporar en los estudios y diseños del Bici Puente Tibanica y la vía Cota todos los requerimientos de las autoridades ambientales competentes para los trámites ambientales respectivos, para que cumplan con los lineamientos de la nueva política de humeda"&amp;"les")</f>
        <v>Incorporar en los estudios y diseños del Bici Puente Tibanica y la vía Cota todos los requerimientos de las autoridades ambientales competentes para los trámites ambientales respectivos, para que cumplan con los lineamientos de la nueva política de humedales</v>
      </c>
      <c r="G4630" s="25" t="str">
        <f ca="1">IFERROR(__xludf.DUMMYFUNCTION("""COMPUTED_VALUE"""),"99. Distrito")</f>
        <v>99. Distrito</v>
      </c>
      <c r="H4630" s="55">
        <f ca="1">IFERROR(__xludf.DUMMYFUNCTION("""COMPUTED_VALUE"""),44094)</f>
        <v>44094</v>
      </c>
      <c r="I4630" s="25"/>
      <c r="J4630" s="55" t="str">
        <f ca="1">IFERROR(__xludf.DUMMYFUNCTION("""COMPUTED_VALUE"""),"Alta")</f>
        <v>Alta</v>
      </c>
      <c r="K4630" s="25">
        <f ca="1">IFERROR(__xludf.DUMMYFUNCTION("""COMPUTED_VALUE"""),30)</f>
        <v>30</v>
      </c>
      <c r="L4630" s="62">
        <f ca="1">IFERROR(__xludf.DUMMYFUNCTION("""COMPUTED_VALUE"""),44420)</f>
        <v>44420</v>
      </c>
      <c r="M4630" s="25" t="str">
        <f ca="1">IFERROR(__xludf.DUMMYFUNCTION("""COMPUTED_VALUE"""),"Vía Cota Compromiso cumplido. Se incorporaron en los términos de condiciones contractuales del proceso No IDU-CMA-SGDU-019-2021 publicado en el SECOP el 16 de julio de 2021, lo exigido por la Autoridad Ambiental Competente-CAR referente al trámite de lice"&amp;"nciamiento ambiental para el corredor y la sustracción de la reserva TvdH, de conformidad pronunciamiento de la CAR mediante comunicado 20212022210 del 21 de abril de 2021, en donde se indicó que: 
 “…la propuesta presentada por el Instituto Distrital U"&amp;"rbano - se constituye en la única alternativa para el desarrollo del proyecto de la Construcción de la Avenida Suba-Cota Distrito Capital, razón por la cual no se evidencia la necesidad de requerir la presentación del Diagnóstico Ambiental de Alternativas"&amp;" – DAA.
 Lo anterior teniendo en cuenta que el trazado propuesto se enmarca en lo definido por la Corporación a través de la Resolución CAR No. 0116 de 16 de agosto de 2011, modificada por la Resolución No. 027 de 2012, evalúa los resultados del Modelo "&amp;"Computacional HEC-RAS y responde a las condiciones técnicas establecidas en el Decreto 190 de 2004 “Plan de Ordenamiento Territorial de Bogotá D. C”. La factibilidad, los estudios y diseños para el proyecto se desarrollaran en el marco del respeto por la "&amp;"estructura ecológica principal. Fecha estimada de finalización de los estudios y diseños: enero de 2023. 
 Proyecto conexión de la Alameda el Porvenir con Av. Terreros Bici Puente sobre la Quebrada Tibanica. Compromiso cumplido. En el marco del contrato"&amp;" de consultoría 407 -2021 con acta de inicio suscrita el 2 de julio se realizaran la factibilidad, los estudios y diseños del proyecto en el cual se incorporan los análisis ambientales respectivos en el marco del respeto de la estructura ecológica princip"&amp;"al. Es importante mencionar que sobre el POT actual el proyecto está a 89 metros del humedal y con la propuesta del nuevo POT y de conformidad con la concertación se encuentra a 6 metros del humedal. El proyecto respeta lo establecido en el actual PMA. Lo"&amp;"s estudios y diseños culminan el 28 de febrero de 2022.")</f>
        <v>Vía Cota Compromiso cumplido. Se incorporaron en los términos de condiciones contractuales del proceso No IDU-CMA-SGDU-019-2021 publicado en el SECOP el 16 de julio de 2021, lo exigido por la Autoridad Ambiental Competente-CAR referente al trámite de licenciamiento ambiental para el corredor y la sustracción de la reserva TvdH, de conformidad pronunciamiento de la CAR mediante comunicado 20212022210 del 21 de abril de 2021, en donde se indicó que: 
 “…la propuesta presentada por el Instituto Distrital Urbano - se constituye en la única alternativa para el desarrollo del proyecto de la Construcción de la Avenida Suba-Cota Distrito Capital, razón por la cual no se evidencia la necesidad de requerir la presentación del Diagnóstico Ambiental de Alternativas – DAA.
 Lo anterior teniendo en cuenta que el trazado propuesto se enmarca en lo definido por la Corporación a través de la Resolución CAR No. 0116 de 16 de agosto de 2011, modificada por la Resolución No. 027 de 2012, evalúa los resultados del Modelo Computacional HEC-RAS y responde a las condiciones técnicas establecidas en el Decreto 190 de 2004 “Plan de Ordenamiento Territorial de Bogotá D. C”. La factibilidad, los estudios y diseños para el proyecto se desarrollaran en el marco del respeto por la estructura ecológica principal. Fecha estimada de finalización de los estudios y diseños: enero de 2023. 
 Proyecto conexión de la Alameda el Porvenir con Av. Terreros Bici Puente sobre la Quebrada Tibanica. Compromiso cumplido. En el marco del contrato de consultoría 407 -2021 con acta de inicio suscrita el 2 de julio se realizaran la factibilidad, los estudios y diseños del proyecto en el cual se incorporan los análisis ambientales respectivos en el marco del respeto de la estructura ecológica principal. Es importante mencionar que sobre el POT actual el proyecto está a 89 metros del humedal y con la propuesta del nuevo POT y de conformidad con la concertación se encuentra a 6 metros del humedal. El proyecto respeta lo establecido en el actual PMA. Los estudios y diseños culminan el 28 de febrero de 2022.</v>
      </c>
      <c r="N4630" s="55">
        <f ca="1">IFERROR(__xludf.DUMMYFUNCTION("""COMPUTED_VALUE"""),44420)</f>
        <v>44420</v>
      </c>
      <c r="O4630" s="25" t="str">
        <f t="shared" ca="1" si="0"/>
        <v>Instituto de Desarrollo Urbano</v>
      </c>
      <c r="P4630" s="25" t="str">
        <f t="shared" si="3"/>
        <v/>
      </c>
      <c r="Q4630" s="25" t="str">
        <f ca="1">IFERROR(__xludf.DUMMYFUNCTION("""COMPUTED_VALUE"""),"Corto plazo")</f>
        <v>Corto plazo</v>
      </c>
      <c r="R4630" s="25"/>
      <c r="S4630" s="55"/>
      <c r="T4630" s="56"/>
      <c r="U4630" s="25"/>
      <c r="V4630" s="25"/>
      <c r="W4630" s="25"/>
      <c r="X4630" s="25"/>
      <c r="Y4630" s="25"/>
      <c r="Z4630" s="25"/>
    </row>
    <row r="4631" spans="1:26" ht="52.5" customHeight="1" x14ac:dyDescent="0.25">
      <c r="A4631" s="25" t="str">
        <f ca="1">IFERROR(__xludf.DUMMYFUNCTION("""COMPUTED_VALUE"""),"Movil429")</f>
        <v>Movil429</v>
      </c>
      <c r="B4631" s="25" t="str">
        <f ca="1">IFERROR(__xludf.DUMMYFUNCTION("""COMPUTED_VALUE"""),"Despachando: Instituto de desarrollo urbano IDU")</f>
        <v>Despachando: Instituto de desarrollo urbano IDU</v>
      </c>
      <c r="C4631" s="55">
        <f ca="1">IFERROR(__xludf.DUMMYFUNCTION("""COMPUTED_VALUE"""),44064)</f>
        <v>44064</v>
      </c>
      <c r="D4631" s="25" t="str">
        <f ca="1">IFERROR(__xludf.DUMMYFUNCTION("""COMPUTED_VALUE"""),"Movilidad")</f>
        <v>Movilidad</v>
      </c>
      <c r="E4631" s="25" t="str">
        <f ca="1">IFERROR(__xludf.DUMMYFUNCTION("""COMPUTED_VALUE"""),"Instituto de Desarrollo Urbano")</f>
        <v>Instituto de Desarrollo Urbano</v>
      </c>
      <c r="F4631" s="25" t="str">
        <f ca="1">IFERROR(__xludf.DUMMYFUNCTION("""COMPUTED_VALUE"""),"Actualizar lineamientos sobre política de reasentamientos y restablecimiento")</f>
        <v>Actualizar lineamientos sobre política de reasentamientos y restablecimiento</v>
      </c>
      <c r="G4631" s="25" t="str">
        <f ca="1">IFERROR(__xludf.DUMMYFUNCTION("""COMPUTED_VALUE"""),"99. Distrito")</f>
        <v>99. Distrito</v>
      </c>
      <c r="H4631" s="55">
        <f ca="1">IFERROR(__xludf.DUMMYFUNCTION("""COMPUTED_VALUE"""),44094)</f>
        <v>44094</v>
      </c>
      <c r="I4631" s="25"/>
      <c r="J4631" s="55" t="str">
        <f ca="1">IFERROR(__xludf.DUMMYFUNCTION("""COMPUTED_VALUE"""),"Alta")</f>
        <v>Alta</v>
      </c>
      <c r="K4631" s="25">
        <f ca="1">IFERROR(__xludf.DUMMYFUNCTION("""COMPUTED_VALUE"""),30)</f>
        <v>30</v>
      </c>
      <c r="L4631" s="62"/>
      <c r="M4631" s="25" t="str">
        <f ca="1">IFERROR(__xludf.DUMMYFUNCTION("""COMPUTED_VALUE"""),"La Dirección Técnica de Predios preparará la propuesta de lineamientos.
  IDU sostuvo una reunión con la Secretaría de Hábitat, sus asesores y equipo de la Subsecretaría de coordinación operativa, y el Director Caja de Vivienda Popular, donde se expusi"&amp;"eron las inquietudes en torno al restablecimiento de condiciones. Adicional se envio a Secretaria de Hábitat y Secretaria de Planeación las sugerencias para incluir en el POT, estas propuestas surgen de los inconvenientes por Reasentamientos por obra públ"&amp;"ica que tiene el IDU en el marco del desarrollo de Infraestructura vial de la ciudad.
  IDU envío lineamientos para ser incluidos en el POT.
  En manos de SDP y SDH.")</f>
        <v>La Dirección Técnica de Predios preparará la propuesta de lineamientos.
  IDU sostuvo una reunión con la Secretaría de Hábitat, sus asesores y equipo de la Subsecretaría de coordinación operativa, y el Director Caja de Vivienda Popular, donde se expusieron las inquietudes en torno al restablecimiento de condiciones. Adicional se envio a Secretaria de Hábitat y Secretaria de Planeación las sugerencias para incluir en el POT, estas propuestas surgen de los inconvenientes por Reasentamientos por obra pública que tiene el IDU en el marco del desarrollo de Infraestructura vial de la ciudad.
  IDU envío lineamientos para ser incluidos en el POT.
  En manos de SDP y SDH.</v>
      </c>
      <c r="N4631" s="55">
        <f ca="1">IFERROR(__xludf.DUMMYFUNCTION("""COMPUTED_VALUE"""),44927)</f>
        <v>44927</v>
      </c>
      <c r="O4631" s="25" t="str">
        <f t="shared" ca="1" si="0"/>
        <v>Instituto de Desarrollo Urbano</v>
      </c>
      <c r="P4631" s="25" t="str">
        <f t="shared" si="3"/>
        <v/>
      </c>
      <c r="Q4631" s="25" t="str">
        <f ca="1">IFERROR(__xludf.DUMMYFUNCTION("""COMPUTED_VALUE"""),"Corto plazo")</f>
        <v>Corto plazo</v>
      </c>
      <c r="R4631" s="25"/>
      <c r="S4631" s="55"/>
      <c r="T4631" s="56"/>
      <c r="U4631" s="25"/>
      <c r="V4631" s="25"/>
      <c r="W4631" s="25"/>
      <c r="X4631" s="25"/>
      <c r="Y4631" s="25"/>
      <c r="Z4631" s="25"/>
    </row>
    <row r="4632" spans="1:26" ht="52.5" customHeight="1" x14ac:dyDescent="0.25">
      <c r="A4632" s="25" t="str">
        <f ca="1">IFERROR(__xludf.DUMMYFUNCTION("""COMPUTED_VALUE"""),"Movil430")</f>
        <v>Movil430</v>
      </c>
      <c r="B4632" s="25" t="str">
        <f ca="1">IFERROR(__xludf.DUMMYFUNCTION("""COMPUTED_VALUE"""),"Corredor verde")</f>
        <v>Corredor verde</v>
      </c>
      <c r="C4632" s="55">
        <f ca="1">IFERROR(__xludf.DUMMYFUNCTION("""COMPUTED_VALUE"""),44637)</f>
        <v>44637</v>
      </c>
      <c r="D4632" s="25" t="str">
        <f ca="1">IFERROR(__xludf.DUMMYFUNCTION("""COMPUTED_VALUE"""),"Movilidad")</f>
        <v>Movilidad</v>
      </c>
      <c r="E4632" s="25" t="str">
        <f ca="1">IFERROR(__xludf.DUMMYFUNCTION("""COMPUTED_VALUE"""),"Instituto de Desarrollo Urbano")</f>
        <v>Instituto de Desarrollo Urbano</v>
      </c>
      <c r="F4632" s="25" t="str">
        <f ca="1">IFERROR(__xludf.DUMMYFUNCTION("""COMPUTED_VALUE"""),"Hacer reunión técnica con los equipos donde se defina y se dé continuidad al espacio público (con y sin infra complementria)")</f>
        <v>Hacer reunión técnica con los equipos donde se defina y se dé continuidad al espacio público (con y sin infra complementria)</v>
      </c>
      <c r="G4632" s="25" t="str">
        <f ca="1">IFERROR(__xludf.DUMMYFUNCTION("""COMPUTED_VALUE"""),"99. Distrito")</f>
        <v>99. Distrito</v>
      </c>
      <c r="H4632" s="55">
        <f ca="1">IFERROR(__xludf.DUMMYFUNCTION("""COMPUTED_VALUE"""),45107)</f>
        <v>45107</v>
      </c>
      <c r="I4632" s="25" t="str">
        <f ca="1">IFERROR(__xludf.DUMMYFUNCTION("""COMPUTED_VALUE"""),"Junta de Infraestructura")</f>
        <v>Junta de Infraestructura</v>
      </c>
      <c r="J4632" s="55" t="str">
        <f ca="1">IFERROR(__xludf.DUMMYFUNCTION("""COMPUTED_VALUE"""),"Baja")</f>
        <v>Baja</v>
      </c>
      <c r="K4632" s="25">
        <f ca="1">IFERROR(__xludf.DUMMYFUNCTION("""COMPUTED_VALUE"""),470)</f>
        <v>470</v>
      </c>
      <c r="L4632" s="62">
        <f ca="1">IFERROR(__xludf.DUMMYFUNCTION("""COMPUTED_VALUE"""),45078)</f>
        <v>45078</v>
      </c>
      <c r="M4632" s="25" t="str">
        <f ca="1">IFERROR(__xludf.DUMMYFUNCTION("""COMPUTED_VALUE"""),"El proyecto tiene definidas las cabidas disponibles para ser estudiadas por Hábitat y Planeación. La única cabida que se ha avanzado a mayor detalle ha sido la del predio de la Calle 60 con 7. Se pueden compartir los diseños definitivos a SDP y Habitat pa"&amp;"ra definir lineamientos. Se han hecho acercamientos con Bomberos para mejorar la cobertura de los bomberos en usaquén y chapinero.")</f>
        <v>El proyecto tiene definidas las cabidas disponibles para ser estudiadas por Hábitat y Planeación. La única cabida que se ha avanzado a mayor detalle ha sido la del predio de la Calle 60 con 7. Se pueden compartir los diseños definitivos a SDP y Habitat para definir lineamientos. Se han hecho acercamientos con Bomberos para mejorar la cobertura de los bomberos en usaquén y chapinero.</v>
      </c>
      <c r="N4632" s="25"/>
      <c r="O4632" s="25" t="str">
        <f t="shared" ca="1" si="0"/>
        <v>Instituto de Desarrollo Urbano</v>
      </c>
      <c r="P4632" s="25" t="str">
        <f t="shared" ca="1" si="3"/>
        <v/>
      </c>
      <c r="Q4632" s="25" t="str">
        <f ca="1">IFERROR(__xludf.DUMMYFUNCTION("""COMPUTED_VALUE"""),"Largo plazo")</f>
        <v>Largo plazo</v>
      </c>
      <c r="R4632" s="25"/>
      <c r="S4632" s="55"/>
      <c r="T4632" s="56"/>
      <c r="U4632" s="25"/>
      <c r="V4632" s="25"/>
      <c r="W4632" s="25"/>
      <c r="X4632" s="25"/>
      <c r="Y4632" s="25"/>
      <c r="Z4632" s="25"/>
    </row>
    <row r="4633" spans="1:26" ht="52.5" customHeight="1" x14ac:dyDescent="0.25">
      <c r="A4633" s="25" t="str">
        <f ca="1">IFERROR(__xludf.DUMMYFUNCTION("""COMPUTED_VALUE"""),"Movil431")</f>
        <v>Movil431</v>
      </c>
      <c r="B4633" s="25" t="str">
        <f ca="1">IFERROR(__xludf.DUMMYFUNCTION("""COMPUTED_VALUE"""),"Corredor verde")</f>
        <v>Corredor verde</v>
      </c>
      <c r="C4633" s="55">
        <f ca="1">IFERROR(__xludf.DUMMYFUNCTION("""COMPUTED_VALUE"""),44637)</f>
        <v>44637</v>
      </c>
      <c r="D4633" s="25" t="str">
        <f ca="1">IFERROR(__xludf.DUMMYFUNCTION("""COMPUTED_VALUE"""),"Movilidad")</f>
        <v>Movilidad</v>
      </c>
      <c r="E4633" s="25" t="str">
        <f ca="1">IFERROR(__xludf.DUMMYFUNCTION("""COMPUTED_VALUE"""),"Empresa de Transporte del Tercer Milenio - Transmilenio S.A.")</f>
        <v>Empresa de Transporte del Tercer Milenio - Transmilenio S.A.</v>
      </c>
      <c r="F4633" s="25" t="str">
        <f ca="1">IFERROR(__xludf.DUMMYFUNCTION("""COMPUTED_VALUE"""),"Elaborar propuesta de desarrollo inmobiliario del CV7")</f>
        <v>Elaborar propuesta de desarrollo inmobiliario del CV7</v>
      </c>
      <c r="G4633" s="25" t="str">
        <f ca="1">IFERROR(__xludf.DUMMYFUNCTION("""COMPUTED_VALUE"""),"99. Distrito")</f>
        <v>99. Distrito</v>
      </c>
      <c r="H4633" s="55">
        <f ca="1">IFERROR(__xludf.DUMMYFUNCTION("""COMPUTED_VALUE"""),44667)</f>
        <v>44667</v>
      </c>
      <c r="I4633" s="25"/>
      <c r="J4633" s="55" t="str">
        <f ca="1">IFERROR(__xludf.DUMMYFUNCTION("""COMPUTED_VALUE"""),"Alta")</f>
        <v>Alta</v>
      </c>
      <c r="K4633" s="25">
        <f ca="1">IFERROR(__xludf.DUMMYFUNCTION("""COMPUTED_VALUE"""),30)</f>
        <v>30</v>
      </c>
      <c r="L4633" s="62">
        <f ca="1">IFERROR(__xludf.DUMMYFUNCTION("""COMPUTED_VALUE"""),44655)</f>
        <v>44655</v>
      </c>
      <c r="M4633" s="25" t="str">
        <f ca="1">IFERROR(__xludf.DUMMYFUNCTION("""COMPUTED_VALUE"""),"TM elaboró y presentó propuesta inicial e 4 de abril en reunión con la junta de infraestructura.")</f>
        <v>TM elaboró y presentó propuesta inicial e 4 de abril en reunión con la junta de infraestructura.</v>
      </c>
      <c r="N4633" s="55">
        <f ca="1">IFERROR(__xludf.DUMMYFUNCTION("""COMPUTED_VALUE"""),44655)</f>
        <v>44655</v>
      </c>
      <c r="O4633" s="25" t="str">
        <f t="shared" ca="1" si="0"/>
        <v>Empresa de Transporte del Tercer Milenio - Transmilenio S.A.</v>
      </c>
      <c r="P4633" s="25" t="str">
        <f t="shared" si="3"/>
        <v/>
      </c>
      <c r="Q4633" s="25" t="str">
        <f ca="1">IFERROR(__xludf.DUMMYFUNCTION("""COMPUTED_VALUE"""),"Corto plazo")</f>
        <v>Corto plazo</v>
      </c>
      <c r="R4633" s="25"/>
      <c r="S4633" s="55"/>
      <c r="T4633" s="56"/>
      <c r="U4633" s="25"/>
      <c r="V4633" s="25"/>
      <c r="W4633" s="25"/>
      <c r="X4633" s="25"/>
      <c r="Y4633" s="25"/>
      <c r="Z4633" s="25"/>
    </row>
    <row r="4634" spans="1:26" ht="52.5" customHeight="1" x14ac:dyDescent="0.25">
      <c r="A4634" s="25" t="str">
        <f ca="1">IFERROR(__xludf.DUMMYFUNCTION("""COMPUTED_VALUE"""),"Movil432")</f>
        <v>Movil432</v>
      </c>
      <c r="B4634" s="25" t="str">
        <f ca="1">IFERROR(__xludf.DUMMYFUNCTION("""COMPUTED_VALUE"""),"Corredor verde")</f>
        <v>Corredor verde</v>
      </c>
      <c r="C4634" s="55">
        <f ca="1">IFERROR(__xludf.DUMMYFUNCTION("""COMPUTED_VALUE"""),44637)</f>
        <v>44637</v>
      </c>
      <c r="D4634" s="25" t="str">
        <f ca="1">IFERROR(__xludf.DUMMYFUNCTION("""COMPUTED_VALUE"""),"Movilidad")</f>
        <v>Movilidad</v>
      </c>
      <c r="E4634" s="25" t="str">
        <f ca="1">IFERROR(__xludf.DUMMYFUNCTION("""COMPUTED_VALUE"""),"Instituto de Desarrollo Urbano")</f>
        <v>Instituto de Desarrollo Urbano</v>
      </c>
      <c r="F4634" s="25" t="str">
        <f ca="1">IFERROR(__xludf.DUMMYFUNCTION("""COMPUTED_VALUE"""),"WRI remitirá análisis técnico teniendo en cuenta el ejercicio realizado por TM")</f>
        <v>WRI remitirá análisis técnico teniendo en cuenta el ejercicio realizado por TM</v>
      </c>
      <c r="G4634" s="25" t="str">
        <f ca="1">IFERROR(__xludf.DUMMYFUNCTION("""COMPUTED_VALUE"""),"99. Distrito")</f>
        <v>99. Distrito</v>
      </c>
      <c r="H4634" s="55">
        <f ca="1">IFERROR(__xludf.DUMMYFUNCTION("""COMPUTED_VALUE"""),44667)</f>
        <v>44667</v>
      </c>
      <c r="I4634" s="25"/>
      <c r="J4634" s="55" t="str">
        <f ca="1">IFERROR(__xludf.DUMMYFUNCTION("""COMPUTED_VALUE"""),"Alta")</f>
        <v>Alta</v>
      </c>
      <c r="K4634" s="25">
        <f ca="1">IFERROR(__xludf.DUMMYFUNCTION("""COMPUTED_VALUE"""),30)</f>
        <v>30</v>
      </c>
      <c r="L4634" s="62">
        <f ca="1">IFERROR(__xludf.DUMMYFUNCTION("""COMPUTED_VALUE"""),44652)</f>
        <v>44652</v>
      </c>
      <c r="M4634" s="25" t="str">
        <f ca="1">IFERROR(__xludf.DUMMYFUNCTION("""COMPUTED_VALUE"""),"OK, remitido por WRI (Fernando Páez) a tomadores de decisión el 23 de Marzo")</f>
        <v>OK, remitido por WRI (Fernando Páez) a tomadores de decisión el 23 de Marzo</v>
      </c>
      <c r="N4634" s="55">
        <f ca="1">IFERROR(__xludf.DUMMYFUNCTION("""COMPUTED_VALUE"""),44652)</f>
        <v>44652</v>
      </c>
      <c r="O4634" s="25" t="str">
        <f t="shared" ca="1" si="0"/>
        <v>Instituto de Desarrollo Urbano</v>
      </c>
      <c r="P4634" s="25" t="str">
        <f t="shared" si="3"/>
        <v/>
      </c>
      <c r="Q4634" s="25" t="str">
        <f ca="1">IFERROR(__xludf.DUMMYFUNCTION("""COMPUTED_VALUE"""),"Corto plazo")</f>
        <v>Corto plazo</v>
      </c>
      <c r="R4634" s="25"/>
      <c r="S4634" s="55"/>
      <c r="T4634" s="56"/>
      <c r="U4634" s="25"/>
      <c r="V4634" s="25"/>
      <c r="W4634" s="25"/>
      <c r="X4634" s="25"/>
      <c r="Y4634" s="25"/>
      <c r="Z4634" s="25"/>
    </row>
    <row r="4635" spans="1:26" ht="52.5" customHeight="1" x14ac:dyDescent="0.25">
      <c r="A4635" s="25" t="str">
        <f ca="1">IFERROR(__xludf.DUMMYFUNCTION("""COMPUTED_VALUE"""),"Movil433")</f>
        <v>Movil433</v>
      </c>
      <c r="B4635" s="25" t="str">
        <f ca="1">IFERROR(__xludf.DUMMYFUNCTION("""COMPUTED_VALUE"""),"Corredor verde")</f>
        <v>Corredor verde</v>
      </c>
      <c r="C4635" s="55">
        <f ca="1">IFERROR(__xludf.DUMMYFUNCTION("""COMPUTED_VALUE"""),44637)</f>
        <v>44637</v>
      </c>
      <c r="D4635" s="25" t="str">
        <f ca="1">IFERROR(__xludf.DUMMYFUNCTION("""COMPUTED_VALUE"""),"Movilidad")</f>
        <v>Movilidad</v>
      </c>
      <c r="E4635" s="25" t="str">
        <f ca="1">IFERROR(__xludf.DUMMYFUNCTION("""COMPUTED_VALUE"""),"Empresa de Transporte del Tercer Milenio - Transmilenio S.A.")</f>
        <v>Empresa de Transporte del Tercer Milenio - Transmilenio S.A.</v>
      </c>
      <c r="F4635" s="25" t="str">
        <f ca="1">IFERROR(__xludf.DUMMYFUNCTION("""COMPUTED_VALUE"""),"TM emitirá concepto con base en lo remitido por WRI")</f>
        <v>TM emitirá concepto con base en lo remitido por WRI</v>
      </c>
      <c r="G4635" s="25" t="str">
        <f ca="1">IFERROR(__xludf.DUMMYFUNCTION("""COMPUTED_VALUE"""),"99. Distrito")</f>
        <v>99. Distrito</v>
      </c>
      <c r="H4635" s="55">
        <f ca="1">IFERROR(__xludf.DUMMYFUNCTION("""COMPUTED_VALUE"""),44667)</f>
        <v>44667</v>
      </c>
      <c r="I4635" s="25"/>
      <c r="J4635" s="55" t="str">
        <f ca="1">IFERROR(__xludf.DUMMYFUNCTION("""COMPUTED_VALUE"""),"Alta")</f>
        <v>Alta</v>
      </c>
      <c r="K4635" s="25">
        <f ca="1">IFERROR(__xludf.DUMMYFUNCTION("""COMPUTED_VALUE"""),30)</f>
        <v>30</v>
      </c>
      <c r="L4635" s="62">
        <f ca="1">IFERROR(__xludf.DUMMYFUNCTION("""COMPUTED_VALUE"""),44895)</f>
        <v>44895</v>
      </c>
      <c r="M4635" s="25" t="str">
        <f ca="1">IFERROR(__xludf.DUMMYFUNCTION("""COMPUTED_VALUE"""),"TM remitió concepto el 31 de marzo. Sin embargo puede requerir ajustes según cambios en las condiciones del perfil.Transmilenio emitió concepto de acuerdo a las pruebas operacionales realizadas y se adelantaron mesas de trabajo con el IDU donde se definió"&amp;" los anchos de carril en el tramo dos del corredor verde")</f>
        <v>TM remitió concepto el 31 de marzo. Sin embargo puede requerir ajustes según cambios en las condiciones del perfil.Transmilenio emitió concepto de acuerdo a las pruebas operacionales realizadas y se adelantaron mesas de trabajo con el IDU donde se definió los anchos de carril en el tramo dos del corredor verde</v>
      </c>
      <c r="N4635" s="55">
        <f ca="1">IFERROR(__xludf.DUMMYFUNCTION("""COMPUTED_VALUE"""),44895)</f>
        <v>44895</v>
      </c>
      <c r="O4635" s="25" t="str">
        <f t="shared" ca="1" si="0"/>
        <v>Empresa de Transporte del Tercer Milenio - Transmilenio S.A.</v>
      </c>
      <c r="P4635" s="25" t="str">
        <f t="shared" si="3"/>
        <v/>
      </c>
      <c r="Q4635" s="25" t="str">
        <f ca="1">IFERROR(__xludf.DUMMYFUNCTION("""COMPUTED_VALUE"""),"Corto plazo")</f>
        <v>Corto plazo</v>
      </c>
      <c r="R4635" s="25"/>
      <c r="S4635" s="55"/>
      <c r="T4635" s="56"/>
      <c r="U4635" s="25"/>
      <c r="V4635" s="25"/>
      <c r="W4635" s="25"/>
      <c r="X4635" s="25"/>
      <c r="Y4635" s="25"/>
      <c r="Z4635" s="25"/>
    </row>
    <row r="4636" spans="1:26" ht="52.5" customHeight="1" x14ac:dyDescent="0.25">
      <c r="A4636" s="25" t="str">
        <f ca="1">IFERROR(__xludf.DUMMYFUNCTION("""COMPUTED_VALUE"""),"Movil434")</f>
        <v>Movil434</v>
      </c>
      <c r="B4636" s="25" t="str">
        <f ca="1">IFERROR(__xludf.DUMMYFUNCTION("""COMPUTED_VALUE"""),"Corredor verde")</f>
        <v>Corredor verde</v>
      </c>
      <c r="C4636" s="55">
        <f ca="1">IFERROR(__xludf.DUMMYFUNCTION("""COMPUTED_VALUE"""),44637)</f>
        <v>44637</v>
      </c>
      <c r="D4636" s="25" t="str">
        <f ca="1">IFERROR(__xludf.DUMMYFUNCTION("""COMPUTED_VALUE"""),"Movilidad")</f>
        <v>Movilidad</v>
      </c>
      <c r="E4636" s="25" t="str">
        <f ca="1">IFERROR(__xludf.DUMMYFUNCTION("""COMPUTED_VALUE"""),"Secretaría Distrital de Movilidad")</f>
        <v>Secretaría Distrital de Movilidad</v>
      </c>
      <c r="F4636" s="25" t="str">
        <f ca="1">IFERROR(__xludf.DUMMYFUNCTION("""COMPUTED_VALUE"""),"Analizar condiciones para el control de velocidad del corredor. Preverlo desde el diseño.")</f>
        <v>Analizar condiciones para el control de velocidad del corredor. Preverlo desde el diseño.</v>
      </c>
      <c r="G4636" s="25" t="str">
        <f ca="1">IFERROR(__xludf.DUMMYFUNCTION("""COMPUTED_VALUE"""),"99. Distrito")</f>
        <v>99. Distrito</v>
      </c>
      <c r="H4636" s="55">
        <f ca="1">IFERROR(__xludf.DUMMYFUNCTION("""COMPUTED_VALUE"""),44667)</f>
        <v>44667</v>
      </c>
      <c r="I4636" s="25"/>
      <c r="J4636" s="55" t="str">
        <f ca="1">IFERROR(__xludf.DUMMYFUNCTION("""COMPUTED_VALUE"""),"Alta")</f>
        <v>Alta</v>
      </c>
      <c r="K4636" s="25">
        <f ca="1">IFERROR(__xludf.DUMMYFUNCTION("""COMPUTED_VALUE"""),30)</f>
        <v>30</v>
      </c>
      <c r="L4636" s="62">
        <f ca="1">IFERROR(__xludf.DUMMYFUNCTION("""COMPUTED_VALUE"""),44896)</f>
        <v>44896</v>
      </c>
      <c r="M4636" s="25" t="str">
        <f ca="1">IFERROR(__xludf.DUMMYFUNCTION("""COMPUTED_VALUE"""),"El diseño se encuentra en desarrollo por parte del consultor, las medidas de mitigación están siendo desarrolladas a partir de la materialidad de las calzadas.  
")</f>
        <v xml:space="preserve">El diseño se encuentra en desarrollo por parte del consultor, las medidas de mitigación están siendo desarrolladas a partir de la materialidad de las calzadas.  
</v>
      </c>
      <c r="N4636" s="55">
        <f ca="1">IFERROR(__xludf.DUMMYFUNCTION("""COMPUTED_VALUE"""),44896)</f>
        <v>44896</v>
      </c>
      <c r="O4636" s="25" t="str">
        <f t="shared" ca="1" si="0"/>
        <v>Secretaría Distrital de Movilidad</v>
      </c>
      <c r="P4636" s="25" t="str">
        <f t="shared" si="3"/>
        <v/>
      </c>
      <c r="Q4636" s="25" t="str">
        <f ca="1">IFERROR(__xludf.DUMMYFUNCTION("""COMPUTED_VALUE"""),"Corto plazo")</f>
        <v>Corto plazo</v>
      </c>
      <c r="R4636" s="25"/>
      <c r="S4636" s="55"/>
      <c r="T4636" s="56"/>
      <c r="U4636" s="25"/>
      <c r="V4636" s="25"/>
      <c r="W4636" s="25"/>
      <c r="X4636" s="25"/>
      <c r="Y4636" s="25"/>
      <c r="Z4636" s="25"/>
    </row>
    <row r="4637" spans="1:26" ht="52.5" customHeight="1" x14ac:dyDescent="0.25">
      <c r="A4637" s="25" t="str">
        <f ca="1">IFERROR(__xludf.DUMMYFUNCTION("""COMPUTED_VALUE"""),"Movil435")</f>
        <v>Movil435</v>
      </c>
      <c r="B4637" s="25" t="str">
        <f ca="1">IFERROR(__xludf.DUMMYFUNCTION("""COMPUTED_VALUE"""),"Corredor verde")</f>
        <v>Corredor verde</v>
      </c>
      <c r="C4637" s="55">
        <f ca="1">IFERROR(__xludf.DUMMYFUNCTION("""COMPUTED_VALUE"""),44637)</f>
        <v>44637</v>
      </c>
      <c r="D4637" s="25" t="str">
        <f ca="1">IFERROR(__xludf.DUMMYFUNCTION("""COMPUTED_VALUE"""),"Movilidad")</f>
        <v>Movilidad</v>
      </c>
      <c r="E4637" s="25" t="str">
        <f ca="1">IFERROR(__xludf.DUMMYFUNCTION("""COMPUTED_VALUE"""),"Secretaría Distrital de Movilidad")</f>
        <v>Secretaría Distrital de Movilidad</v>
      </c>
      <c r="F4637" s="25" t="str">
        <f ca="1">IFERROR(__xludf.DUMMYFUNCTION("""COMPUTED_VALUE"""),"Diseñar un plan para gestión de carga, a partir de una mesa de trabajo con los diseñadores.")</f>
        <v>Diseñar un plan para gestión de carga, a partir de una mesa de trabajo con los diseñadores.</v>
      </c>
      <c r="G4637" s="25" t="str">
        <f ca="1">IFERROR(__xludf.DUMMYFUNCTION("""COMPUTED_VALUE"""),"99. Distrito")</f>
        <v>99. Distrito</v>
      </c>
      <c r="H4637" s="55">
        <f ca="1">IFERROR(__xludf.DUMMYFUNCTION("""COMPUTED_VALUE"""),45016)</f>
        <v>45016</v>
      </c>
      <c r="I4637" s="25"/>
      <c r="J4637" s="55" t="str">
        <f ca="1">IFERROR(__xludf.DUMMYFUNCTION("""COMPUTED_VALUE"""),"Baja")</f>
        <v>Baja</v>
      </c>
      <c r="K4637" s="25">
        <f ca="1">IFERROR(__xludf.DUMMYFUNCTION("""COMPUTED_VALUE"""),379)</f>
        <v>379</v>
      </c>
      <c r="L4637" s="62">
        <f ca="1">IFERROR(__xludf.DUMMYFUNCTION("""COMPUTED_VALUE"""),45016)</f>
        <v>45016</v>
      </c>
      <c r="M4637" s="25" t="str">
        <f ca="1">IFERROR(__xludf.DUMMYFUNCTION("""COMPUTED_VALUE"""),"Se encuentra en revisión el estudio de tránsito con capítulo de logística para los tres tramos del corredor,  Los diseños finalizan en primera semana de abril 2023. La secretaría de movilidad diseñó un plan para cada uno de los tramos según las necesidade"&amp;"s, este fue entragado al IDU y a los consultores y hará parte de los estudios finales del corredor ")</f>
        <v xml:space="preserve">Se encuentra en revisión el estudio de tránsito con capítulo de logística para los tres tramos del corredor,  Los diseños finalizan en primera semana de abril 2023. La secretaría de movilidad diseñó un plan para cada uno de los tramos según las necesidades, este fue entragado al IDU y a los consultores y hará parte de los estudios finales del corredor </v>
      </c>
      <c r="N4637" s="55">
        <f ca="1">IFERROR(__xludf.DUMMYFUNCTION("""COMPUTED_VALUE"""),45016)</f>
        <v>45016</v>
      </c>
      <c r="O4637" s="25" t="str">
        <f t="shared" ca="1" si="0"/>
        <v>Secretaría Distrital de Movilidad</v>
      </c>
      <c r="P4637" s="25" t="str">
        <f t="shared" si="3"/>
        <v/>
      </c>
      <c r="Q4637" s="25" t="str">
        <f ca="1">IFERROR(__xludf.DUMMYFUNCTION("""COMPUTED_VALUE"""),"Largo plazo")</f>
        <v>Largo plazo</v>
      </c>
      <c r="R4637" s="25"/>
      <c r="S4637" s="55"/>
      <c r="T4637" s="56"/>
      <c r="U4637" s="25"/>
      <c r="V4637" s="25"/>
      <c r="W4637" s="25"/>
      <c r="X4637" s="25"/>
      <c r="Y4637" s="25"/>
      <c r="Z4637" s="25"/>
    </row>
    <row r="4638" spans="1:26" ht="52.5" customHeight="1" x14ac:dyDescent="0.25">
      <c r="A4638" s="25" t="str">
        <f ca="1">IFERROR(__xludf.DUMMYFUNCTION("""COMPUTED_VALUE"""),"Movil436")</f>
        <v>Movil436</v>
      </c>
      <c r="B4638" s="25" t="str">
        <f ca="1">IFERROR(__xludf.DUMMYFUNCTION("""COMPUTED_VALUE"""),"Corredor verde")</f>
        <v>Corredor verde</v>
      </c>
      <c r="C4638" s="55">
        <f ca="1">IFERROR(__xludf.DUMMYFUNCTION("""COMPUTED_VALUE"""),44637)</f>
        <v>44637</v>
      </c>
      <c r="D4638" s="25" t="str">
        <f ca="1">IFERROR(__xludf.DUMMYFUNCTION("""COMPUTED_VALUE"""),"Movilidad")</f>
        <v>Movilidad</v>
      </c>
      <c r="E4638" s="25" t="str">
        <f ca="1">IFERROR(__xludf.DUMMYFUNCTION("""COMPUTED_VALUE"""),"Empresa de Transporte del Tercer Milenio - Transmilenio S.A.")</f>
        <v>Empresa de Transporte del Tercer Milenio - Transmilenio S.A.</v>
      </c>
      <c r="F4638" s="25" t="str">
        <f ca="1">IFERROR(__xludf.DUMMYFUNCTION("""COMPUTED_VALUE"""),"Validar o generar nuevos parámetros operacionales")</f>
        <v>Validar o generar nuevos parámetros operacionales</v>
      </c>
      <c r="G4638" s="25" t="str">
        <f ca="1">IFERROR(__xludf.DUMMYFUNCTION("""COMPUTED_VALUE"""),"99. Distrito")</f>
        <v>99. Distrito</v>
      </c>
      <c r="H4638" s="55">
        <f ca="1">IFERROR(__xludf.DUMMYFUNCTION("""COMPUTED_VALUE"""),44682)</f>
        <v>44682</v>
      </c>
      <c r="I4638" s="25"/>
      <c r="J4638" s="55" t="str">
        <f ca="1">IFERROR(__xludf.DUMMYFUNCTION("""COMPUTED_VALUE"""),"Alta")</f>
        <v>Alta</v>
      </c>
      <c r="K4638" s="25">
        <f ca="1">IFERROR(__xludf.DUMMYFUNCTION("""COMPUTED_VALUE"""),45)</f>
        <v>45</v>
      </c>
      <c r="L4638" s="62">
        <f ca="1">IFERROR(__xludf.DUMMYFUNCTION("""COMPUTED_VALUE"""),44652)</f>
        <v>44652</v>
      </c>
      <c r="M4638" s="25" t="str">
        <f ca="1">IFERROR(__xludf.DUMMYFUNCTION("""COMPUTED_VALUE"""),"Actividad 1. Organización de repositorio de pruebas y conceptos favorables
Actividad 2. Cierre de planta (esquema básico) T2 (Mayo 2022 según PDT del Contrato)
Actividad 3. Envío a TMSA y SDM el esquema con  comentarios de cambios a la planta para validac"&amp;"ión y cambio de dimensionamiento de carril de T2 -con base a repositorio de pruebas- a 7.25 metros
")</f>
        <v xml:space="preserve">Actividad 1. Organización de repositorio de pruebas y conceptos favorables
Actividad 2. Cierre de planta (esquema básico) T2 (Mayo 2022 según PDT del Contrato)
Actividad 3. Envío a TMSA y SDM el esquema con  comentarios de cambios a la planta para validación y cambio de dimensionamiento de carril de T2 -con base a repositorio de pruebas- a 7.25 metros
</v>
      </c>
      <c r="N4638" s="55">
        <f ca="1">IFERROR(__xludf.DUMMYFUNCTION("""COMPUTED_VALUE"""),44652)</f>
        <v>44652</v>
      </c>
      <c r="O4638" s="25" t="str">
        <f t="shared" ca="1" si="0"/>
        <v>Empresa de Transporte del Tercer Milenio - Transmilenio S.A.</v>
      </c>
      <c r="P4638" s="25" t="str">
        <f t="shared" si="3"/>
        <v/>
      </c>
      <c r="Q4638" s="25" t="str">
        <f ca="1">IFERROR(__xludf.DUMMYFUNCTION("""COMPUTED_VALUE"""),"Corto plazo")</f>
        <v>Corto plazo</v>
      </c>
      <c r="R4638" s="25"/>
      <c r="S4638" s="55"/>
      <c r="T4638" s="56"/>
      <c r="U4638" s="25"/>
      <c r="V4638" s="25"/>
      <c r="W4638" s="25"/>
      <c r="X4638" s="25"/>
      <c r="Y4638" s="25"/>
      <c r="Z4638" s="25"/>
    </row>
    <row r="4639" spans="1:26" ht="52.5" customHeight="1" x14ac:dyDescent="0.25">
      <c r="A4639" s="25" t="str">
        <f ca="1">IFERROR(__xludf.DUMMYFUNCTION("""COMPUTED_VALUE"""),"Movil437")</f>
        <v>Movil437</v>
      </c>
      <c r="B4639" s="25" t="str">
        <f ca="1">IFERROR(__xludf.DUMMYFUNCTION("""COMPUTED_VALUE"""),"Corredor verde")</f>
        <v>Corredor verde</v>
      </c>
      <c r="C4639" s="55">
        <f ca="1">IFERROR(__xludf.DUMMYFUNCTION("""COMPUTED_VALUE"""),44637)</f>
        <v>44637</v>
      </c>
      <c r="D4639" s="25" t="str">
        <f ca="1">IFERROR(__xludf.DUMMYFUNCTION("""COMPUTED_VALUE"""),"Movilidad")</f>
        <v>Movilidad</v>
      </c>
      <c r="E4639" s="25" t="str">
        <f ca="1">IFERROR(__xludf.DUMMYFUNCTION("""COMPUTED_VALUE"""),"Instituto de Desarrollo Urbano")</f>
        <v>Instituto de Desarrollo Urbano</v>
      </c>
      <c r="F4639" s="25" t="str">
        <f ca="1">IFERROR(__xludf.DUMMYFUNCTION("""COMPUTED_VALUE"""),"Remitir la matriz de las descripciones de cada elemento de mobiliario")</f>
        <v>Remitir la matriz de las descripciones de cada elemento de mobiliario</v>
      </c>
      <c r="G4639" s="25" t="str">
        <f ca="1">IFERROR(__xludf.DUMMYFUNCTION("""COMPUTED_VALUE"""),"99. Distrito")</f>
        <v>99. Distrito</v>
      </c>
      <c r="H4639" s="55">
        <f ca="1">IFERROR(__xludf.DUMMYFUNCTION("""COMPUTED_VALUE"""),44659)</f>
        <v>44659</v>
      </c>
      <c r="I4639" s="25"/>
      <c r="J4639" s="55" t="str">
        <f ca="1">IFERROR(__xludf.DUMMYFUNCTION("""COMPUTED_VALUE"""),"Alta")</f>
        <v>Alta</v>
      </c>
      <c r="K4639" s="25">
        <f ca="1">IFERROR(__xludf.DUMMYFUNCTION("""COMPUTED_VALUE"""),22)</f>
        <v>22</v>
      </c>
      <c r="L4639" s="62">
        <f ca="1">IFERROR(__xludf.DUMMYFUNCTION("""COMPUTED_VALUE"""),44896)</f>
        <v>44896</v>
      </c>
      <c r="M4639" s="25" t="str">
        <f ca="1">IFERROR(__xludf.DUMMYFUNCTION("""COMPUTED_VALUE"""),"Cerrar pues se cumplió con el objetivo de unificar los tres criterios de materialidad de los diseños.Se produjo cartilla de materialidad definitiva y compartió con consultores. Se está integrando todo al visor del IDU para la obra.")</f>
        <v>Cerrar pues se cumplió con el objetivo de unificar los tres criterios de materialidad de los diseños.Se produjo cartilla de materialidad definitiva y compartió con consultores. Se está integrando todo al visor del IDU para la obra.</v>
      </c>
      <c r="N4639" s="55">
        <f ca="1">IFERROR(__xludf.DUMMYFUNCTION("""COMPUTED_VALUE"""),44896)</f>
        <v>44896</v>
      </c>
      <c r="O4639" s="25" t="str">
        <f t="shared" ca="1" si="0"/>
        <v>Instituto de Desarrollo Urbano</v>
      </c>
      <c r="P4639" s="25" t="str">
        <f t="shared" si="3"/>
        <v/>
      </c>
      <c r="Q4639" s="25" t="str">
        <f ca="1">IFERROR(__xludf.DUMMYFUNCTION("""COMPUTED_VALUE"""),"Corto plazo")</f>
        <v>Corto plazo</v>
      </c>
      <c r="R4639" s="25"/>
      <c r="S4639" s="55"/>
      <c r="T4639" s="56"/>
      <c r="U4639" s="25"/>
      <c r="V4639" s="25"/>
      <c r="W4639" s="25"/>
      <c r="X4639" s="25"/>
      <c r="Y4639" s="25"/>
      <c r="Z4639" s="25"/>
    </row>
    <row r="4640" spans="1:26" ht="52.5" customHeight="1" x14ac:dyDescent="0.25">
      <c r="A4640" s="25" t="str">
        <f ca="1">IFERROR(__xludf.DUMMYFUNCTION("""COMPUTED_VALUE"""),"Movil438")</f>
        <v>Movil438</v>
      </c>
      <c r="B4640" s="25" t="str">
        <f ca="1">IFERROR(__xludf.DUMMYFUNCTION("""COMPUTED_VALUE"""),"Corredor verde")</f>
        <v>Corredor verde</v>
      </c>
      <c r="C4640" s="55">
        <f ca="1">IFERROR(__xludf.DUMMYFUNCTION("""COMPUTED_VALUE"""),44637)</f>
        <v>44637</v>
      </c>
      <c r="D4640" s="25" t="str">
        <f ca="1">IFERROR(__xludf.DUMMYFUNCTION("""COMPUTED_VALUE"""),"Movilidad")</f>
        <v>Movilidad</v>
      </c>
      <c r="E4640" s="25" t="str">
        <f ca="1">IFERROR(__xludf.DUMMYFUNCTION("""COMPUTED_VALUE"""),"Instituto de Desarrollo Urbano")</f>
        <v>Instituto de Desarrollo Urbano</v>
      </c>
      <c r="F4640" s="25" t="str">
        <f ca="1">IFERROR(__xludf.DUMMYFUNCTION("""COMPUTED_VALUE"""),"Enviar a TM propuesta de intervención de la intersección de las Calle 106, donde se tiene afectación del árbol patrimonial.")</f>
        <v>Enviar a TM propuesta de intervención de la intersección de las Calle 106, donde se tiene afectación del árbol patrimonial.</v>
      </c>
      <c r="G4640" s="25" t="str">
        <f ca="1">IFERROR(__xludf.DUMMYFUNCTION("""COMPUTED_VALUE"""),"99. Distrito")</f>
        <v>99. Distrito</v>
      </c>
      <c r="H4640" s="55">
        <f ca="1">IFERROR(__xludf.DUMMYFUNCTION("""COMPUTED_VALUE"""),44659)</f>
        <v>44659</v>
      </c>
      <c r="I4640" s="25"/>
      <c r="J4640" s="55" t="str">
        <f ca="1">IFERROR(__xludf.DUMMYFUNCTION("""COMPUTED_VALUE"""),"Alta")</f>
        <v>Alta</v>
      </c>
      <c r="K4640" s="25">
        <f ca="1">IFERROR(__xludf.DUMMYFUNCTION("""COMPUTED_VALUE"""),22)</f>
        <v>22</v>
      </c>
      <c r="L4640" s="62">
        <f ca="1">IFERROR(__xludf.DUMMYFUNCTION("""COMPUTED_VALUE"""),44748)</f>
        <v>44748</v>
      </c>
      <c r="M4640" s="25" t="str">
        <f ca="1">IFERROR(__xludf.DUMMYFUNCTION("""COMPUTED_VALUE"""),"1.        Cierre de evaluación de alternativas por parte de la consultoría previo al envío.")</f>
        <v>1.        Cierre de evaluación de alternativas por parte de la consultoría previo al envío.</v>
      </c>
      <c r="N4640" s="55">
        <f ca="1">IFERROR(__xludf.DUMMYFUNCTION("""COMPUTED_VALUE"""),44748)</f>
        <v>44748</v>
      </c>
      <c r="O4640" s="25" t="str">
        <f t="shared" ca="1" si="0"/>
        <v>Instituto de Desarrollo Urbano</v>
      </c>
      <c r="P4640" s="25" t="str">
        <f t="shared" si="3"/>
        <v/>
      </c>
      <c r="Q4640" s="25" t="str">
        <f ca="1">IFERROR(__xludf.DUMMYFUNCTION("""COMPUTED_VALUE"""),"Corto plazo")</f>
        <v>Corto plazo</v>
      </c>
      <c r="R4640" s="25"/>
      <c r="S4640" s="55"/>
      <c r="T4640" s="56"/>
      <c r="U4640" s="25"/>
      <c r="V4640" s="25"/>
      <c r="W4640" s="25"/>
      <c r="X4640" s="25"/>
      <c r="Y4640" s="25"/>
      <c r="Z4640" s="25"/>
    </row>
    <row r="4641" spans="1:26" ht="52.5" customHeight="1" x14ac:dyDescent="0.25">
      <c r="A4641" s="25" t="str">
        <f ca="1">IFERROR(__xludf.DUMMYFUNCTION("""COMPUTED_VALUE"""),"Movil439")</f>
        <v>Movil439</v>
      </c>
      <c r="B4641" s="25" t="str">
        <f ca="1">IFERROR(__xludf.DUMMYFUNCTION("""COMPUTED_VALUE"""),"Corredor verde")</f>
        <v>Corredor verde</v>
      </c>
      <c r="C4641" s="55">
        <f ca="1">IFERROR(__xludf.DUMMYFUNCTION("""COMPUTED_VALUE"""),44637)</f>
        <v>44637</v>
      </c>
      <c r="D4641" s="25" t="str">
        <f ca="1">IFERROR(__xludf.DUMMYFUNCTION("""COMPUTED_VALUE"""),"Movilidad")</f>
        <v>Movilidad</v>
      </c>
      <c r="E4641" s="25" t="str">
        <f ca="1">IFERROR(__xludf.DUMMYFUNCTION("""COMPUTED_VALUE"""),"Instituto de Desarrollo Urbano")</f>
        <v>Instituto de Desarrollo Urbano</v>
      </c>
      <c r="F4641" s="25" t="str">
        <f ca="1">IFERROR(__xludf.DUMMYFUNCTION("""COMPUTED_VALUE"""),"Tramo 2: hacer reunión con SDM para presentar alternativas e ir avanzando en las discusiones. En especial Calle 92 y Calle 82)")</f>
        <v>Tramo 2: hacer reunión con SDM para presentar alternativas e ir avanzando en las discusiones. En especial Calle 92 y Calle 82)</v>
      </c>
      <c r="G4641" s="25" t="str">
        <f ca="1">IFERROR(__xludf.DUMMYFUNCTION("""COMPUTED_VALUE"""),"99. Distrito")</f>
        <v>99. Distrito</v>
      </c>
      <c r="H4641" s="55">
        <f ca="1">IFERROR(__xludf.DUMMYFUNCTION("""COMPUTED_VALUE"""),44667)</f>
        <v>44667</v>
      </c>
      <c r="I4641" s="25"/>
      <c r="J4641" s="55" t="str">
        <f ca="1">IFERROR(__xludf.DUMMYFUNCTION("""COMPUTED_VALUE"""),"Alta")</f>
        <v>Alta</v>
      </c>
      <c r="K4641" s="25">
        <f ca="1">IFERROR(__xludf.DUMMYFUNCTION("""COMPUTED_VALUE"""),30)</f>
        <v>30</v>
      </c>
      <c r="L4641" s="62">
        <f ca="1">IFERROR(__xludf.DUMMYFUNCTION("""COMPUTED_VALUE"""),44896)</f>
        <v>44896</v>
      </c>
      <c r="M4641" s="25" t="str">
        <f ca="1">IFERROR(__xludf.DUMMYFUNCTION("""COMPUTED_VALUE"""),"En cierre de los componentes de tránsito y geometría. Versión definitiva del puente acordada y presentada a la Alcaldesa en Agosto 2022. Se está llevando a detalle. Se debe cerrar en Enero 2023 (Calle 85). Lo demás en Diciembre 2022.")</f>
        <v>En cierre de los componentes de tránsito y geometría. Versión definitiva del puente acordada y presentada a la Alcaldesa en Agosto 2022. Se está llevando a detalle. Se debe cerrar en Enero 2023 (Calle 85). Lo demás en Diciembre 2022.</v>
      </c>
      <c r="N4641" s="55">
        <f ca="1">IFERROR(__xludf.DUMMYFUNCTION("""COMPUTED_VALUE"""),44896)</f>
        <v>44896</v>
      </c>
      <c r="O4641" s="25" t="str">
        <f t="shared" ca="1" si="0"/>
        <v>Instituto de Desarrollo Urbano</v>
      </c>
      <c r="P4641" s="25" t="str">
        <f t="shared" si="3"/>
        <v/>
      </c>
      <c r="Q4641" s="25" t="str">
        <f ca="1">IFERROR(__xludf.DUMMYFUNCTION("""COMPUTED_VALUE"""),"Corto plazo")</f>
        <v>Corto plazo</v>
      </c>
      <c r="R4641" s="25"/>
      <c r="S4641" s="55"/>
      <c r="T4641" s="56"/>
      <c r="U4641" s="25"/>
      <c r="V4641" s="25"/>
      <c r="W4641" s="25"/>
      <c r="X4641" s="25"/>
      <c r="Y4641" s="25"/>
      <c r="Z4641" s="25"/>
    </row>
    <row r="4642" spans="1:26" ht="52.5" customHeight="1" x14ac:dyDescent="0.25">
      <c r="A4642" s="25" t="str">
        <f ca="1">IFERROR(__xludf.DUMMYFUNCTION("""COMPUTED_VALUE"""),"Movil440")</f>
        <v>Movil440</v>
      </c>
      <c r="B4642" s="25" t="str">
        <f ca="1">IFERROR(__xludf.DUMMYFUNCTION("""COMPUTED_VALUE"""),"Corredor verde")</f>
        <v>Corredor verde</v>
      </c>
      <c r="C4642" s="55">
        <f ca="1">IFERROR(__xludf.DUMMYFUNCTION("""COMPUTED_VALUE"""),44637)</f>
        <v>44637</v>
      </c>
      <c r="D4642" s="25" t="str">
        <f ca="1">IFERROR(__xludf.DUMMYFUNCTION("""COMPUTED_VALUE"""),"Movilidad")</f>
        <v>Movilidad</v>
      </c>
      <c r="E4642" s="25" t="str">
        <f ca="1">IFERROR(__xludf.DUMMYFUNCTION("""COMPUTED_VALUE"""),"Instituto de Desarrollo Urbano")</f>
        <v>Instituto de Desarrollo Urbano</v>
      </c>
      <c r="F4642" s="25" t="str">
        <f ca="1">IFERROR(__xludf.DUMMYFUNCTION("""COMPUTED_VALUE"""),"Tramo 2: Adelantar reunión con IDPC para presentar opciones e ir avanzando en las discusiones dadas las alternativas analizadas")</f>
        <v>Tramo 2: Adelantar reunión con IDPC para presentar opciones e ir avanzando en las discusiones dadas las alternativas analizadas</v>
      </c>
      <c r="G4642" s="25" t="str">
        <f ca="1">IFERROR(__xludf.DUMMYFUNCTION("""COMPUTED_VALUE"""),"99. Distrito")</f>
        <v>99. Distrito</v>
      </c>
      <c r="H4642" s="55">
        <f ca="1">IFERROR(__xludf.DUMMYFUNCTION("""COMPUTED_VALUE"""),44669)</f>
        <v>44669</v>
      </c>
      <c r="I4642" s="25"/>
      <c r="J4642" s="55" t="str">
        <f ca="1">IFERROR(__xludf.DUMMYFUNCTION("""COMPUTED_VALUE"""),"Alta")</f>
        <v>Alta</v>
      </c>
      <c r="K4642" s="25">
        <f ca="1">IFERROR(__xludf.DUMMYFUNCTION("""COMPUTED_VALUE"""),32)</f>
        <v>32</v>
      </c>
      <c r="L4642" s="62">
        <f ca="1">IFERROR(__xludf.DUMMYFUNCTION("""COMPUTED_VALUE"""),44652)</f>
        <v>44652</v>
      </c>
      <c r="M4642" s="25" t="str">
        <f ca="1">IFERROR(__xludf.DUMMYFUNCTION("""COMPUTED_VALUE"""),"Evaluación normatividad POT y avances consultores + impactos prediales previos a reunión con IDPC")</f>
        <v>Evaluación normatividad POT y avances consultores + impactos prediales previos a reunión con IDPC</v>
      </c>
      <c r="N4642" s="55">
        <f ca="1">IFERROR(__xludf.DUMMYFUNCTION("""COMPUTED_VALUE"""),44652)</f>
        <v>44652</v>
      </c>
      <c r="O4642" s="25" t="str">
        <f t="shared" ca="1" si="0"/>
        <v>Instituto de Desarrollo Urbano</v>
      </c>
      <c r="P4642" s="25" t="str">
        <f t="shared" si="3"/>
        <v/>
      </c>
      <c r="Q4642" s="25" t="str">
        <f ca="1">IFERROR(__xludf.DUMMYFUNCTION("""COMPUTED_VALUE"""),"Corto plazo")</f>
        <v>Corto plazo</v>
      </c>
      <c r="R4642" s="25"/>
      <c r="S4642" s="55"/>
      <c r="T4642" s="56"/>
      <c r="U4642" s="25"/>
      <c r="V4642" s="25"/>
      <c r="W4642" s="25"/>
      <c r="X4642" s="25"/>
      <c r="Y4642" s="25"/>
      <c r="Z4642" s="25"/>
    </row>
    <row r="4643" spans="1:26" ht="52.5" customHeight="1" x14ac:dyDescent="0.25">
      <c r="A4643" s="25" t="str">
        <f ca="1">IFERROR(__xludf.DUMMYFUNCTION("""COMPUTED_VALUE"""),"Movil441")</f>
        <v>Movil441</v>
      </c>
      <c r="B4643" s="25" t="str">
        <f ca="1">IFERROR(__xludf.DUMMYFUNCTION("""COMPUTED_VALUE"""),"Seguimiento estacionamiento en vía")</f>
        <v>Seguimiento estacionamiento en vía</v>
      </c>
      <c r="C4643" s="55">
        <f ca="1">IFERROR(__xludf.DUMMYFUNCTION("""COMPUTED_VALUE"""),44645)</f>
        <v>44645</v>
      </c>
      <c r="D4643" s="25" t="str">
        <f ca="1">IFERROR(__xludf.DUMMYFUNCTION("""COMPUTED_VALUE"""),"Movilidad")</f>
        <v>Movilidad</v>
      </c>
      <c r="E4643" s="25" t="str">
        <f ca="1">IFERROR(__xludf.DUMMYFUNCTION("""COMPUTED_VALUE"""),"Secretaría Distrital de Movilidad")</f>
        <v>Secretaría Distrital de Movilidad</v>
      </c>
      <c r="F4643" s="25" t="str">
        <f ca="1">IFERROR(__xludf.DUMMYFUNCTION("""COMPUTED_VALUE"""),"Aprovechar el trabajo de campo de revisión de los cupos, para determinar cuáles vale la pena implementar dada su demanda (que sea rentable).")</f>
        <v>Aprovechar el trabajo de campo de revisión de los cupos, para determinar cuáles vale la pena implementar dada su demanda (que sea rentable).</v>
      </c>
      <c r="G4643" s="25" t="str">
        <f ca="1">IFERROR(__xludf.DUMMYFUNCTION("""COMPUTED_VALUE"""),"99. Distrito")</f>
        <v>99. Distrito</v>
      </c>
      <c r="H4643" s="55">
        <f ca="1">IFERROR(__xludf.DUMMYFUNCTION("""COMPUTED_VALUE"""),44673)</f>
        <v>44673</v>
      </c>
      <c r="I4643" s="25"/>
      <c r="J4643" s="55" t="str">
        <f ca="1">IFERROR(__xludf.DUMMYFUNCTION("""COMPUTED_VALUE"""),"Alta")</f>
        <v>Alta</v>
      </c>
      <c r="K4643" s="25">
        <f ca="1">IFERROR(__xludf.DUMMYFUNCTION("""COMPUTED_VALUE"""),28)</f>
        <v>28</v>
      </c>
      <c r="L4643" s="62">
        <f ca="1">IFERROR(__xludf.DUMMYFUNCTION("""COMPUTED_VALUE"""),44747)</f>
        <v>44747</v>
      </c>
      <c r="M4643" s="25" t="str">
        <f ca="1">IFERROR(__xludf.DUMMYFUNCTION("""COMPUTED_VALUE"""),"Cerrado. Ya se hicieron visitas de campo entre la TTSA y la SDM para verificar e identificar tramos potenciales, a nivel de habilitación y con alta demanda. De esta manera se agruparon de esta forma para poder implementar cuanto antes")</f>
        <v>Cerrado. Ya se hicieron visitas de campo entre la TTSA y la SDM para verificar e identificar tramos potenciales, a nivel de habilitación y con alta demanda. De esta manera se agruparon de esta forma para poder implementar cuanto antes</v>
      </c>
      <c r="N4643" s="55">
        <f ca="1">IFERROR(__xludf.DUMMYFUNCTION("""COMPUTED_VALUE"""),44747)</f>
        <v>44747</v>
      </c>
      <c r="O4643" s="25" t="str">
        <f t="shared" ca="1" si="0"/>
        <v>Secretaría Distrital de Movilidad</v>
      </c>
      <c r="P4643" s="25" t="str">
        <f t="shared" si="3"/>
        <v/>
      </c>
      <c r="Q4643" s="25" t="str">
        <f ca="1">IFERROR(__xludf.DUMMYFUNCTION("""COMPUTED_VALUE"""),"Corto plazo")</f>
        <v>Corto plazo</v>
      </c>
      <c r="R4643" s="25"/>
      <c r="S4643" s="55"/>
      <c r="T4643" s="56"/>
      <c r="U4643" s="25"/>
      <c r="V4643" s="25"/>
      <c r="W4643" s="25"/>
      <c r="X4643" s="25"/>
      <c r="Y4643" s="25"/>
      <c r="Z4643" s="25"/>
    </row>
    <row r="4644" spans="1:26" ht="52.5" customHeight="1" x14ac:dyDescent="0.25">
      <c r="A4644" s="25" t="str">
        <f ca="1">IFERROR(__xludf.DUMMYFUNCTION("""COMPUTED_VALUE"""),"Movil442")</f>
        <v>Movil442</v>
      </c>
      <c r="B4644" s="25" t="str">
        <f ca="1">IFERROR(__xludf.DUMMYFUNCTION("""COMPUTED_VALUE"""),"Seguimiento estacionamiento en vía")</f>
        <v>Seguimiento estacionamiento en vía</v>
      </c>
      <c r="C4644" s="55">
        <f ca="1">IFERROR(__xludf.DUMMYFUNCTION("""COMPUTED_VALUE"""),44645)</f>
        <v>44645</v>
      </c>
      <c r="D4644" s="25" t="str">
        <f ca="1">IFERROR(__xludf.DUMMYFUNCTION("""COMPUTED_VALUE"""),"Movilidad")</f>
        <v>Movilidad</v>
      </c>
      <c r="E4644" s="25" t="str">
        <f ca="1">IFERROR(__xludf.DUMMYFUNCTION("""COMPUTED_VALUE"""),"Secretaría Distrital de Movilidad")</f>
        <v>Secretaría Distrital de Movilidad</v>
      </c>
      <c r="F4644" s="25" t="str">
        <f ca="1">IFERROR(__xludf.DUMMYFUNCTION("""COMPUTED_VALUE"""),"Evaluar emplear mobiliario en madera plástica similar al SITP. (material reciclado)")</f>
        <v>Evaluar emplear mobiliario en madera plástica similar al SITP. (material reciclado)</v>
      </c>
      <c r="G4644" s="25" t="str">
        <f ca="1">IFERROR(__xludf.DUMMYFUNCTION("""COMPUTED_VALUE"""),"99. Distrito")</f>
        <v>99. Distrito</v>
      </c>
      <c r="H4644" s="55">
        <f ca="1">IFERROR(__xludf.DUMMYFUNCTION("""COMPUTED_VALUE"""),44675)</f>
        <v>44675</v>
      </c>
      <c r="I4644" s="25"/>
      <c r="J4644" s="55" t="str">
        <f ca="1">IFERROR(__xludf.DUMMYFUNCTION("""COMPUTED_VALUE"""),"Alta")</f>
        <v>Alta</v>
      </c>
      <c r="K4644" s="25">
        <f ca="1">IFERROR(__xludf.DUMMYFUNCTION("""COMPUTED_VALUE"""),30)</f>
        <v>30</v>
      </c>
      <c r="L4644" s="62"/>
      <c r="M4644" s="25" t="str">
        <f ca="1">IFERROR(__xludf.DUMMYFUNCTION("""COMPUTED_VALUE"""),"Cerrado. Los contratos actuales tienen especificado el material, pero se revisará para los futuros.")</f>
        <v>Cerrado. Los contratos actuales tienen especificado el material, pero se revisará para los futuros.</v>
      </c>
      <c r="N4644" s="55">
        <f ca="1">IFERROR(__xludf.DUMMYFUNCTION("""COMPUTED_VALUE"""),44927)</f>
        <v>44927</v>
      </c>
      <c r="O4644" s="25" t="str">
        <f t="shared" ca="1" si="0"/>
        <v>Secretaría Distrital de Movilidad</v>
      </c>
      <c r="P4644" s="25" t="str">
        <f t="shared" si="3"/>
        <v/>
      </c>
      <c r="Q4644" s="25" t="str">
        <f ca="1">IFERROR(__xludf.DUMMYFUNCTION("""COMPUTED_VALUE"""),"Corto plazo")</f>
        <v>Corto plazo</v>
      </c>
      <c r="R4644" s="25"/>
      <c r="S4644" s="55"/>
      <c r="T4644" s="56"/>
      <c r="U4644" s="25"/>
      <c r="V4644" s="25"/>
      <c r="W4644" s="25"/>
      <c r="X4644" s="25"/>
      <c r="Y4644" s="25"/>
      <c r="Z4644" s="25"/>
    </row>
    <row r="4645" spans="1:26" ht="52.5" customHeight="1" x14ac:dyDescent="0.25">
      <c r="A4645" s="25" t="str">
        <f ca="1">IFERROR(__xludf.DUMMYFUNCTION("""COMPUTED_VALUE"""),"Movil443")</f>
        <v>Movil443</v>
      </c>
      <c r="B4645" s="25" t="str">
        <f ca="1">IFERROR(__xludf.DUMMYFUNCTION("""COMPUTED_VALUE"""),"Seguimiento estacionamiento en vía")</f>
        <v>Seguimiento estacionamiento en vía</v>
      </c>
      <c r="C4645" s="55">
        <f ca="1">IFERROR(__xludf.DUMMYFUNCTION("""COMPUTED_VALUE"""),44645)</f>
        <v>44645</v>
      </c>
      <c r="D4645" s="25" t="str">
        <f ca="1">IFERROR(__xludf.DUMMYFUNCTION("""COMPUTED_VALUE"""),"Movilidad")</f>
        <v>Movilidad</v>
      </c>
      <c r="E4645" s="25" t="str">
        <f ca="1">IFERROR(__xludf.DUMMYFUNCTION("""COMPUTED_VALUE"""),"Secretaría Distrital de Movilidad")</f>
        <v>Secretaría Distrital de Movilidad</v>
      </c>
      <c r="F4645" s="25" t="str">
        <f ca="1">IFERROR(__xludf.DUMMYFUNCTION("""COMPUTED_VALUE"""),"Hacer balance de cupos (con carne) en las localidades en conjunto con la SDM y alcaldía locales.")</f>
        <v>Hacer balance de cupos (con carne) en las localidades en conjunto con la SDM y alcaldía locales.</v>
      </c>
      <c r="G4645" s="25" t="str">
        <f ca="1">IFERROR(__xludf.DUMMYFUNCTION("""COMPUTED_VALUE"""),"99. Distrito")</f>
        <v>99. Distrito</v>
      </c>
      <c r="H4645" s="55">
        <f ca="1">IFERROR(__xludf.DUMMYFUNCTION("""COMPUTED_VALUE"""),44675)</f>
        <v>44675</v>
      </c>
      <c r="I4645" s="25"/>
      <c r="J4645" s="55" t="str">
        <f ca="1">IFERROR(__xludf.DUMMYFUNCTION("""COMPUTED_VALUE"""),"Alta")</f>
        <v>Alta</v>
      </c>
      <c r="K4645" s="25">
        <f ca="1">IFERROR(__xludf.DUMMYFUNCTION("""COMPUTED_VALUE"""),30)</f>
        <v>30</v>
      </c>
      <c r="L4645" s="62"/>
      <c r="M4645" s="25" t="str">
        <f ca="1">IFERROR(__xludf.DUMMYFUNCTION("""COMPUTED_VALUE"""),"Cerrado. Ya se hicieron visitas de campo entre la TTSA y la SDM para verificar e identificar tramos potenciales, a nivel de habilitación y con alta demanda. De esta manera se agruparon de esta forma para poder implementar cuanto antes")</f>
        <v>Cerrado. Ya se hicieron visitas de campo entre la TTSA y la SDM para verificar e identificar tramos potenciales, a nivel de habilitación y con alta demanda. De esta manera se agruparon de esta forma para poder implementar cuanto antes</v>
      </c>
      <c r="N4645" s="55">
        <f ca="1">IFERROR(__xludf.DUMMYFUNCTION("""COMPUTED_VALUE"""),44927)</f>
        <v>44927</v>
      </c>
      <c r="O4645" s="25" t="str">
        <f t="shared" ca="1" si="0"/>
        <v>Secretaría Distrital de Movilidad</v>
      </c>
      <c r="P4645" s="25" t="str">
        <f t="shared" si="3"/>
        <v/>
      </c>
      <c r="Q4645" s="25" t="str">
        <f ca="1">IFERROR(__xludf.DUMMYFUNCTION("""COMPUTED_VALUE"""),"Corto plazo")</f>
        <v>Corto plazo</v>
      </c>
      <c r="R4645" s="25"/>
      <c r="S4645" s="55"/>
      <c r="T4645" s="56"/>
      <c r="U4645" s="25"/>
      <c r="V4645" s="25"/>
      <c r="W4645" s="25"/>
      <c r="X4645" s="25"/>
      <c r="Y4645" s="25"/>
      <c r="Z4645" s="25"/>
    </row>
    <row r="4646" spans="1:26" ht="52.5" customHeight="1" x14ac:dyDescent="0.25">
      <c r="A4646" s="25" t="str">
        <f ca="1">IFERROR(__xludf.DUMMYFUNCTION("""COMPUTED_VALUE"""),"Movil444")</f>
        <v>Movil444</v>
      </c>
      <c r="B4646" s="25" t="str">
        <f ca="1">IFERROR(__xludf.DUMMYFUNCTION("""COMPUTED_VALUE"""),"Seguimiento estacionamiento en vía")</f>
        <v>Seguimiento estacionamiento en vía</v>
      </c>
      <c r="C4646" s="55">
        <f ca="1">IFERROR(__xludf.DUMMYFUNCTION("""COMPUTED_VALUE"""),44645)</f>
        <v>44645</v>
      </c>
      <c r="D4646" s="25" t="str">
        <f ca="1">IFERROR(__xludf.DUMMYFUNCTION("""COMPUTED_VALUE"""),"Movilidad")</f>
        <v>Movilidad</v>
      </c>
      <c r="E4646" s="25" t="str">
        <f ca="1">IFERROR(__xludf.DUMMYFUNCTION("""COMPUTED_VALUE"""),"Secretaría Distrital de Movilidad")</f>
        <v>Secretaría Distrital de Movilidad</v>
      </c>
      <c r="F4646" s="25" t="str">
        <f ca="1">IFERROR(__xludf.DUMMYFUNCTION("""COMPUTED_VALUE"""),"A través de la ARM habilitar el parqueo en otras vías, eliminando en lo posible las restricciones de la ley.")</f>
        <v>A través de la ARM habilitar el parqueo en otras vías, eliminando en lo posible las restricciones de la ley.</v>
      </c>
      <c r="G4646" s="25" t="str">
        <f ca="1">IFERROR(__xludf.DUMMYFUNCTION("""COMPUTED_VALUE"""),"99. Distrito")</f>
        <v>99. Distrito</v>
      </c>
      <c r="H4646" s="55">
        <f ca="1">IFERROR(__xludf.DUMMYFUNCTION("""COMPUTED_VALUE"""),44675)</f>
        <v>44675</v>
      </c>
      <c r="I4646" s="25"/>
      <c r="J4646" s="55" t="str">
        <f ca="1">IFERROR(__xludf.DUMMYFUNCTION("""COMPUTED_VALUE"""),"Alta")</f>
        <v>Alta</v>
      </c>
      <c r="K4646" s="25">
        <f ca="1">IFERROR(__xludf.DUMMYFUNCTION("""COMPUTED_VALUE"""),30)</f>
        <v>30</v>
      </c>
      <c r="L4646" s="62"/>
      <c r="M4646" s="25" t="str">
        <f ca="1">IFERROR(__xludf.DUMMYFUNCTION("""COMPUTED_VALUE"""),"Cerrado. El Código Nacional de Tránsito no permite estacionar en vías arteriales")</f>
        <v>Cerrado. El Código Nacional de Tránsito no permite estacionar en vías arteriales</v>
      </c>
      <c r="N4646" s="55">
        <f ca="1">IFERROR(__xludf.DUMMYFUNCTION("""COMPUTED_VALUE"""),44927)</f>
        <v>44927</v>
      </c>
      <c r="O4646" s="25" t="str">
        <f t="shared" ca="1" si="0"/>
        <v>Secretaría Distrital de Movilidad</v>
      </c>
      <c r="P4646" s="25" t="str">
        <f t="shared" si="3"/>
        <v/>
      </c>
      <c r="Q4646" s="25" t="str">
        <f ca="1">IFERROR(__xludf.DUMMYFUNCTION("""COMPUTED_VALUE"""),"Corto plazo")</f>
        <v>Corto plazo</v>
      </c>
      <c r="R4646" s="25"/>
      <c r="S4646" s="55"/>
      <c r="T4646" s="56"/>
      <c r="U4646" s="25"/>
      <c r="V4646" s="25"/>
      <c r="W4646" s="25"/>
      <c r="X4646" s="25"/>
      <c r="Y4646" s="25"/>
      <c r="Z4646" s="25"/>
    </row>
    <row r="4647" spans="1:26" ht="52.5" customHeight="1" x14ac:dyDescent="0.25">
      <c r="A4647" s="25" t="str">
        <f ca="1">IFERROR(__xludf.DUMMYFUNCTION("""COMPUTED_VALUE"""),"Movil445")</f>
        <v>Movil445</v>
      </c>
      <c r="B4647" s="25" t="str">
        <f ca="1">IFERROR(__xludf.DUMMYFUNCTION("""COMPUTED_VALUE"""),"Seguimiento estacionamiento en vía")</f>
        <v>Seguimiento estacionamiento en vía</v>
      </c>
      <c r="C4647" s="55">
        <f ca="1">IFERROR(__xludf.DUMMYFUNCTION("""COMPUTED_VALUE"""),44645)</f>
        <v>44645</v>
      </c>
      <c r="D4647" s="25" t="str">
        <f ca="1">IFERROR(__xludf.DUMMYFUNCTION("""COMPUTED_VALUE"""),"Movilidad")</f>
        <v>Movilidad</v>
      </c>
      <c r="E4647" s="25" t="str">
        <f ca="1">IFERROR(__xludf.DUMMYFUNCTION("""COMPUTED_VALUE"""),"Secretaría Distrital de Movilidad")</f>
        <v>Secretaría Distrital de Movilidad</v>
      </c>
      <c r="F4647" s="25" t="str">
        <f ca="1">IFERROR(__xludf.DUMMYFUNCTION("""COMPUTED_VALUE"""),"A través de la ARM habilitar el uso del Cepos a favor de la TTSA para el control del mal parqueo.")</f>
        <v>A través de la ARM habilitar el uso del Cepos a favor de la TTSA para el control del mal parqueo.</v>
      </c>
      <c r="G4647" s="25" t="str">
        <f ca="1">IFERROR(__xludf.DUMMYFUNCTION("""COMPUTED_VALUE"""),"99. Distrito")</f>
        <v>99. Distrito</v>
      </c>
      <c r="H4647" s="55">
        <f ca="1">IFERROR(__xludf.DUMMYFUNCTION("""COMPUTED_VALUE"""),44675)</f>
        <v>44675</v>
      </c>
      <c r="I4647" s="25"/>
      <c r="J4647" s="55" t="str">
        <f ca="1">IFERROR(__xludf.DUMMYFUNCTION("""COMPUTED_VALUE"""),"Alta")</f>
        <v>Alta</v>
      </c>
      <c r="K4647" s="25">
        <f ca="1">IFERROR(__xludf.DUMMYFUNCTION("""COMPUTED_VALUE"""),30)</f>
        <v>30</v>
      </c>
      <c r="L4647" s="62"/>
      <c r="M4647" s="25" t="str">
        <f ca="1">IFERROR(__xludf.DUMMYFUNCTION("""COMPUTED_VALUE"""),"Cerrado. Se reforzó el control por parte de la autoridad, pero no es posible trasladar las funciones de la autoridad de tránsito a la Terminal")</f>
        <v>Cerrado. Se reforzó el control por parte de la autoridad, pero no es posible trasladar las funciones de la autoridad de tránsito a la Terminal</v>
      </c>
      <c r="N4647" s="55">
        <f ca="1">IFERROR(__xludf.DUMMYFUNCTION("""COMPUTED_VALUE"""),44927)</f>
        <v>44927</v>
      </c>
      <c r="O4647" s="25" t="str">
        <f t="shared" ca="1" si="0"/>
        <v>Secretaría Distrital de Movilidad</v>
      </c>
      <c r="P4647" s="25" t="str">
        <f t="shared" si="3"/>
        <v/>
      </c>
      <c r="Q4647" s="25" t="str">
        <f ca="1">IFERROR(__xludf.DUMMYFUNCTION("""COMPUTED_VALUE"""),"Corto plazo")</f>
        <v>Corto plazo</v>
      </c>
      <c r="R4647" s="25"/>
      <c r="S4647" s="55"/>
      <c r="T4647" s="56"/>
      <c r="U4647" s="25"/>
      <c r="V4647" s="25"/>
      <c r="W4647" s="25"/>
      <c r="X4647" s="25"/>
      <c r="Y4647" s="25"/>
      <c r="Z4647" s="25"/>
    </row>
    <row r="4648" spans="1:26" ht="52.5" customHeight="1" x14ac:dyDescent="0.25">
      <c r="A4648" s="25" t="str">
        <f ca="1">IFERROR(__xludf.DUMMYFUNCTION("""COMPUTED_VALUE"""),"Movil446")</f>
        <v>Movil446</v>
      </c>
      <c r="B4648" s="25" t="str">
        <f ca="1">IFERROR(__xludf.DUMMYFUNCTION("""COMPUTED_VALUE"""),"Reunión Cable Reencuentro - Monserrate")</f>
        <v>Reunión Cable Reencuentro - Monserrate</v>
      </c>
      <c r="C4648" s="55">
        <f ca="1">IFERROR(__xludf.DUMMYFUNCTION("""COMPUTED_VALUE"""),44580)</f>
        <v>44580</v>
      </c>
      <c r="D4648" s="25" t="str">
        <f ca="1">IFERROR(__xludf.DUMMYFUNCTION("""COMPUTED_VALUE"""),"Movilidad")</f>
        <v>Movilidad</v>
      </c>
      <c r="E4648" s="25" t="str">
        <f ca="1">IFERROR(__xludf.DUMMYFUNCTION("""COMPUTED_VALUE"""),"Instituto de Desarrollo Urbano")</f>
        <v>Instituto de Desarrollo Urbano</v>
      </c>
      <c r="F4648" s="25" t="str">
        <f ca="1">IFERROR(__xludf.DUMMYFUNCTION("""COMPUTED_VALUE"""),"Radicar ante Mincultura la prefactibilidad y localización del proyecto para que sea presentado ante el Consejo Nacional de Patrimonio, en febrero 2022. ")</f>
        <v xml:space="preserve">Radicar ante Mincultura la prefactibilidad y localización del proyecto para que sea presentado ante el Consejo Nacional de Patrimonio, en febrero 2022. </v>
      </c>
      <c r="G4648" s="25" t="str">
        <f ca="1">IFERROR(__xludf.DUMMYFUNCTION("""COMPUTED_VALUE"""),"99. Distrito")</f>
        <v>99. Distrito</v>
      </c>
      <c r="H4648" s="55">
        <f ca="1">IFERROR(__xludf.DUMMYFUNCTION("""COMPUTED_VALUE"""),44610)</f>
        <v>44610</v>
      </c>
      <c r="I4648" s="25"/>
      <c r="J4648" s="55" t="str">
        <f ca="1">IFERROR(__xludf.DUMMYFUNCTION("""COMPUTED_VALUE"""),"Alta")</f>
        <v>Alta</v>
      </c>
      <c r="K4648" s="25">
        <f ca="1">IFERROR(__xludf.DUMMYFUNCTION("""COMPUTED_VALUE"""),30)</f>
        <v>30</v>
      </c>
      <c r="L4648" s="62">
        <f ca="1">IFERROR(__xludf.DUMMYFUNCTION("""COMPUTED_VALUE"""),44748)</f>
        <v>44748</v>
      </c>
      <c r="M4648" s="25" t="str">
        <f ca="1">IFERROR(__xludf.DUMMYFUNCTION("""COMPUTED_VALUE"""),"Se radicarán los resultados en el mes de julio")</f>
        <v>Se radicarán los resultados en el mes de julio</v>
      </c>
      <c r="N4648" s="55">
        <f ca="1">IFERROR(__xludf.DUMMYFUNCTION("""COMPUTED_VALUE"""),44748)</f>
        <v>44748</v>
      </c>
      <c r="O4648" s="25" t="str">
        <f t="shared" ca="1" si="0"/>
        <v>Instituto de Desarrollo Urbano</v>
      </c>
      <c r="P4648" s="25" t="str">
        <f t="shared" si="3"/>
        <v/>
      </c>
      <c r="Q4648" s="25" t="str">
        <f ca="1">IFERROR(__xludf.DUMMYFUNCTION("""COMPUTED_VALUE"""),"Corto plazo")</f>
        <v>Corto plazo</v>
      </c>
      <c r="R4648" s="25"/>
      <c r="S4648" s="55"/>
      <c r="T4648" s="56"/>
      <c r="U4648" s="25"/>
      <c r="V4648" s="25"/>
      <c r="W4648" s="25"/>
      <c r="X4648" s="25"/>
      <c r="Y4648" s="25"/>
      <c r="Z4648" s="25"/>
    </row>
    <row r="4649" spans="1:26" ht="52.5" customHeight="1" x14ac:dyDescent="0.25">
      <c r="A4649" s="25" t="str">
        <f ca="1">IFERROR(__xludf.DUMMYFUNCTION("""COMPUTED_VALUE"""),"Movil447")</f>
        <v>Movil447</v>
      </c>
      <c r="B4649" s="25" t="str">
        <f ca="1">IFERROR(__xludf.DUMMYFUNCTION("""COMPUTED_VALUE"""),"Consejo de Seguridad")</f>
        <v>Consejo de Seguridad</v>
      </c>
      <c r="C4649" s="55">
        <f ca="1">IFERROR(__xludf.DUMMYFUNCTION("""COMPUTED_VALUE"""),44644)</f>
        <v>44644</v>
      </c>
      <c r="D4649" s="25" t="str">
        <f ca="1">IFERROR(__xludf.DUMMYFUNCTION("""COMPUTED_VALUE"""),"Movilidad")</f>
        <v>Movilidad</v>
      </c>
      <c r="E4649" s="25" t="str">
        <f ca="1">IFERROR(__xludf.DUMMYFUNCTION("""COMPUTED_VALUE"""),"Secretaría Distrital de Movilidad")</f>
        <v>Secretaría Distrital de Movilidad</v>
      </c>
      <c r="F4649" s="25" t="str">
        <f ca="1">IFERROR(__xludf.DUMMYFUNCTION("""COMPUTED_VALUE"""),"Definir el patio en el que se van a guardar los bicitaxis que sean incautados. Lo anterior atendiendo a la necesidad de
tener un espacio para guardar los elementos incautados, de manera posterior a los operativos que se vayan a realizar
en materia de bici"&amp;"taxis.
El cumplimiento de este compromiso debe presentarse ante el Consejo Distrital de Seguridad y Convivencia.")</f>
        <v>Definir el patio en el que se van a guardar los bicitaxis que sean incautados. Lo anterior atendiendo a la necesidad de
tener un espacio para guardar los elementos incautados, de manera posterior a los operativos que se vayan a realizar
en materia de bicitaxis.
El cumplimiento de este compromiso debe presentarse ante el Consejo Distrital de Seguridad y Convivencia.</v>
      </c>
      <c r="G4649" s="55" t="str">
        <f ca="1">IFERROR(__xludf.DUMMYFUNCTION("""COMPUTED_VALUE"""),"01. Usaquén")</f>
        <v>01. Usaquén</v>
      </c>
      <c r="H4649" s="55">
        <f ca="1">IFERROR(__xludf.DUMMYFUNCTION("""COMPUTED_VALUE"""),44674)</f>
        <v>44674</v>
      </c>
      <c r="I4649" s="25"/>
      <c r="J4649" s="55" t="str">
        <f ca="1">IFERROR(__xludf.DUMMYFUNCTION("""COMPUTED_VALUE"""),"Alta")</f>
        <v>Alta</v>
      </c>
      <c r="K4649" s="25">
        <f ca="1">IFERROR(__xludf.DUMMYFUNCTION("""COMPUTED_VALUE"""),30)</f>
        <v>30</v>
      </c>
      <c r="L4649" s="62">
        <f ca="1">IFERROR(__xludf.DUMMYFUNCTION("""COMPUTED_VALUE"""),44753)</f>
        <v>44753</v>
      </c>
      <c r="M4649" s="25" t="str">
        <f ca="1">IFERROR(__xludf.DUMMYFUNCTION("""COMPUTED_VALUE"""),"La SDM reporta que, los patios a su cargo están destinados para que sean trasladados los vehículos cuando se incurre en una infracción de tránsito. Por tal motivo, no pueden emplearse para bicitaxis incautados. Se da traslado por competencia a la SDSCJ. ")</f>
        <v>La SDM reporta que, los patios a su cargo están destinados para que sean trasladados los vehículos cuando se incurre en una infracción de tránsito. Por tal motivo, no pueden emplearse para bicitaxis incautados. Se da traslado por competencia a la SDSCJ. </v>
      </c>
      <c r="N4649" s="55">
        <f ca="1">IFERROR(__xludf.DUMMYFUNCTION("""COMPUTED_VALUE"""),44753)</f>
        <v>44753</v>
      </c>
      <c r="O4649" s="25" t="str">
        <f t="shared" ca="1" si="0"/>
        <v>Secretaría Distrital de Movilidad</v>
      </c>
      <c r="P4649" s="25" t="str">
        <f t="shared" si="3"/>
        <v/>
      </c>
      <c r="Q4649" s="25" t="str">
        <f ca="1">IFERROR(__xludf.DUMMYFUNCTION("""COMPUTED_VALUE"""),"Corto plazo")</f>
        <v>Corto plazo</v>
      </c>
      <c r="R4649" s="25"/>
      <c r="S4649" s="55"/>
      <c r="T4649" s="56"/>
      <c r="U4649" s="25"/>
      <c r="V4649" s="25"/>
      <c r="W4649" s="25"/>
      <c r="X4649" s="25"/>
      <c r="Y4649" s="25"/>
      <c r="Z4649" s="25"/>
    </row>
    <row r="4650" spans="1:26" ht="52.5" customHeight="1" x14ac:dyDescent="0.25">
      <c r="A4650" s="25" t="str">
        <f ca="1">IFERROR(__xludf.DUMMYFUNCTION("""COMPUTED_VALUE"""),"Movil448")</f>
        <v>Movil448</v>
      </c>
      <c r="B4650" s="25" t="str">
        <f ca="1">IFERROR(__xludf.DUMMYFUNCTION("""COMPUTED_VALUE"""),"Reunión CAF ")</f>
        <v xml:space="preserve">Reunión CAF </v>
      </c>
      <c r="C4650" s="55">
        <f ca="1">IFERROR(__xludf.DUMMYFUNCTION("""COMPUTED_VALUE"""),44582)</f>
        <v>44582</v>
      </c>
      <c r="D4650" s="25" t="str">
        <f ca="1">IFERROR(__xludf.DUMMYFUNCTION("""COMPUTED_VALUE"""),"Movilidad")</f>
        <v>Movilidad</v>
      </c>
      <c r="E4650" s="25" t="str">
        <f ca="1">IFERROR(__xludf.DUMMYFUNCTION("""COMPUTED_VALUE"""),"Secretaría Distrital de Movilidad")</f>
        <v>Secretaría Distrital de Movilidad</v>
      </c>
      <c r="F4650" s="25" t="str">
        <f ca="1">IFERROR(__xludf.DUMMYFUNCTION("""COMPUTED_VALUE""")," Lograr que el componente no reembolsable se use para una consultoría que sirva para reglamentar el plan maestro universal inclusivo (nos están financiando reglamentación del POT en este tema). Y la formulación del proyecto piloto con lo que este plan se "&amp;"ejecuta.")</f>
        <v xml:space="preserve"> Lograr que el componente no reembolsable se use para una consultoría que sirva para reglamentar el plan maestro universal inclusivo (nos están financiando reglamentación del POT en este tema). Y la formulación del proyecto piloto con lo que este plan se ejecuta.</v>
      </c>
      <c r="G4650" s="25" t="str">
        <f ca="1">IFERROR(__xludf.DUMMYFUNCTION("""COMPUTED_VALUE"""),"99. Distrito")</f>
        <v>99. Distrito</v>
      </c>
      <c r="H4650" s="55">
        <f ca="1">IFERROR(__xludf.DUMMYFUNCTION("""COMPUTED_VALUE"""),44612)</f>
        <v>44612</v>
      </c>
      <c r="I4650" s="25"/>
      <c r="J4650" s="55" t="str">
        <f ca="1">IFERROR(__xludf.DUMMYFUNCTION("""COMPUTED_VALUE"""),"Alta")</f>
        <v>Alta</v>
      </c>
      <c r="K4650" s="25">
        <f ca="1">IFERROR(__xludf.DUMMYFUNCTION("""COMPUTED_VALUE"""),30)</f>
        <v>30</v>
      </c>
      <c r="L4650" s="62">
        <f ca="1">IFERROR(__xludf.DUMMYFUNCTION("""COMPUTED_VALUE"""),44825)</f>
        <v>44825</v>
      </c>
      <c r="M4650" s="25" t="str">
        <f ca="1">IFERROR(__xludf.DUMMYFUNCTION("""COMPUTED_VALUE"""),"Una vez se retoma el  Dec 555 de 2021 - POT, se revisan nuevamente términos y se envía a CAF propuesta de ajuste de Objeto. En espera respuesta por parte de la CAF. Por parte de la SDM se adelantó los documentos necesarios para poder suscribir el convenio"&amp;".")</f>
        <v>Una vez se retoma el  Dec 555 de 2021 - POT, se revisan nuevamente términos y se envía a CAF propuesta de ajuste de Objeto. En espera respuesta por parte de la CAF. Por parte de la SDM se adelantó los documentos necesarios para poder suscribir el convenio.</v>
      </c>
      <c r="N4650" s="55">
        <f ca="1">IFERROR(__xludf.DUMMYFUNCTION("""COMPUTED_VALUE"""),44825)</f>
        <v>44825</v>
      </c>
      <c r="O4650" s="25" t="str">
        <f t="shared" ca="1" si="0"/>
        <v>Secretaría Distrital de Movilidad</v>
      </c>
      <c r="P4650" s="25" t="str">
        <f t="shared" si="3"/>
        <v/>
      </c>
      <c r="Q4650" s="25" t="str">
        <f ca="1">IFERROR(__xludf.DUMMYFUNCTION("""COMPUTED_VALUE"""),"Corto plazo")</f>
        <v>Corto plazo</v>
      </c>
      <c r="R4650" s="25"/>
      <c r="S4650" s="55"/>
      <c r="T4650" s="56"/>
      <c r="U4650" s="25"/>
      <c r="V4650" s="25"/>
      <c r="W4650" s="25"/>
      <c r="X4650" s="25"/>
      <c r="Y4650" s="25"/>
      <c r="Z4650" s="25"/>
    </row>
    <row r="4651" spans="1:26" ht="52.5" customHeight="1" x14ac:dyDescent="0.25">
      <c r="A4651" s="25" t="str">
        <f ca="1">IFERROR(__xludf.DUMMYFUNCTION("""COMPUTED_VALUE"""),"Movil449")</f>
        <v>Movil449</v>
      </c>
      <c r="B4651" s="25" t="str">
        <f ca="1">IFERROR(__xludf.DUMMYFUNCTION("""COMPUTED_VALUE"""),"Reunión CAF ")</f>
        <v xml:space="preserve">Reunión CAF </v>
      </c>
      <c r="C4651" s="55">
        <f ca="1">IFERROR(__xludf.DUMMYFUNCTION("""COMPUTED_VALUE"""),44582)</f>
        <v>44582</v>
      </c>
      <c r="D4651" s="25" t="str">
        <f ca="1">IFERROR(__xludf.DUMMYFUNCTION("""COMPUTED_VALUE"""),"Movilidad")</f>
        <v>Movilidad</v>
      </c>
      <c r="E4651" s="25" t="str">
        <f ca="1">IFERROR(__xludf.DUMMYFUNCTION("""COMPUTED_VALUE"""),"Secretaría Distrital de Movilidad")</f>
        <v>Secretaría Distrital de Movilidad</v>
      </c>
      <c r="F4651" s="25" t="str">
        <f ca="1">IFERROR(__xludf.DUMMYFUNCTION("""COMPUTED_VALUE"""),"Diseñar el esquema financiero: cuánta plata es, cuántos kms podríamos hacer, cuánto podemos reembolsar, cuánto pondría la alcaldía.")</f>
        <v>Diseñar el esquema financiero: cuánta plata es, cuántos kms podríamos hacer, cuánto podemos reembolsar, cuánto pondría la alcaldía.</v>
      </c>
      <c r="G4651" s="25" t="str">
        <f ca="1">IFERROR(__xludf.DUMMYFUNCTION("""COMPUTED_VALUE"""),"99. Distrito")</f>
        <v>99. Distrito</v>
      </c>
      <c r="H4651" s="55">
        <f ca="1">IFERROR(__xludf.DUMMYFUNCTION("""COMPUTED_VALUE"""),44612)</f>
        <v>44612</v>
      </c>
      <c r="I4651" s="25"/>
      <c r="J4651" s="55" t="str">
        <f ca="1">IFERROR(__xludf.DUMMYFUNCTION("""COMPUTED_VALUE"""),"Alta")</f>
        <v>Alta</v>
      </c>
      <c r="K4651" s="25">
        <f ca="1">IFERROR(__xludf.DUMMYFUNCTION("""COMPUTED_VALUE"""),30)</f>
        <v>30</v>
      </c>
      <c r="L4651" s="62"/>
      <c r="M4651" s="25" t="str">
        <f ca="1">IFERROR(__xludf.DUMMYFUNCTION("""COMPUTED_VALUE"""),"Se remitió a la CAF, desde la Alcaldía, propuesta trabajada en conjunto con el IDU y la SDM. Dicha propuesta ya cuenta con el aval de la CAF y se procederá a materializar esta colaboración en un convenio entre la CAF y la SDM")</f>
        <v>Se remitió a la CAF, desde la Alcaldía, propuesta trabajada en conjunto con el IDU y la SDM. Dicha propuesta ya cuenta con el aval de la CAF y se procederá a materializar esta colaboración en un convenio entre la CAF y la SDM</v>
      </c>
      <c r="N4651" s="55">
        <f ca="1">IFERROR(__xludf.DUMMYFUNCTION("""COMPUTED_VALUE"""),44927)</f>
        <v>44927</v>
      </c>
      <c r="O4651" s="25" t="str">
        <f t="shared" ca="1" si="0"/>
        <v>Secretaría Distrital de Movilidad</v>
      </c>
      <c r="P4651" s="25" t="str">
        <f t="shared" si="3"/>
        <v/>
      </c>
      <c r="Q4651" s="25" t="str">
        <f ca="1">IFERROR(__xludf.DUMMYFUNCTION("""COMPUTED_VALUE"""),"Corto plazo")</f>
        <v>Corto plazo</v>
      </c>
      <c r="R4651" s="25"/>
      <c r="S4651" s="55"/>
      <c r="T4651" s="56"/>
      <c r="U4651" s="25"/>
      <c r="V4651" s="25"/>
      <c r="W4651" s="25"/>
      <c r="X4651" s="25"/>
      <c r="Y4651" s="25"/>
      <c r="Z4651" s="25"/>
    </row>
    <row r="4652" spans="1:26" ht="52.5" customHeight="1" x14ac:dyDescent="0.25">
      <c r="A4652" s="25" t="str">
        <f ca="1">IFERROR(__xludf.DUMMYFUNCTION("""COMPUTED_VALUE"""),"Movil450")</f>
        <v>Movil450</v>
      </c>
      <c r="B4652" s="25" t="str">
        <f ca="1">IFERROR(__xludf.DUMMYFUNCTION("""COMPUTED_VALUE"""),"Propuesta desarrollo inmobiliario CV7")</f>
        <v>Propuesta desarrollo inmobiliario CV7</v>
      </c>
      <c r="C4652" s="55">
        <f ca="1">IFERROR(__xludf.DUMMYFUNCTION("""COMPUTED_VALUE"""),44655)</f>
        <v>44655</v>
      </c>
      <c r="D4652" s="25" t="str">
        <f ca="1">IFERROR(__xludf.DUMMYFUNCTION("""COMPUTED_VALUE"""),"Movilidad")</f>
        <v>Movilidad</v>
      </c>
      <c r="E4652" s="25" t="str">
        <f ca="1">IFERROR(__xludf.DUMMYFUNCTION("""COMPUTED_VALUE"""),"Empresa de Transporte del Tercer Milenio - Transmilenio S.A.")</f>
        <v>Empresa de Transporte del Tercer Milenio - Transmilenio S.A.</v>
      </c>
      <c r="F4652" s="25" t="str">
        <f ca="1">IFERROR(__xludf.DUMMYFUNCTION("""COMPUTED_VALUE"""),"Incluir en el modelo las necesidades de los equipamientos de la Secretaría de Cultura para poder comparar y llevarlo como elemento de decisión a la alcaldesa.")</f>
        <v>Incluir en el modelo las necesidades de los equipamientos de la Secretaría de Cultura para poder comparar y llevarlo como elemento de decisión a la alcaldesa.</v>
      </c>
      <c r="G4652" s="25" t="str">
        <f ca="1">IFERROR(__xludf.DUMMYFUNCTION("""COMPUTED_VALUE"""),"99. Distrito")</f>
        <v>99. Distrito</v>
      </c>
      <c r="H4652" s="55">
        <f ca="1">IFERROR(__xludf.DUMMYFUNCTION("""COMPUTED_VALUE"""),44685)</f>
        <v>44685</v>
      </c>
      <c r="I4652" s="25"/>
      <c r="J4652" s="55" t="str">
        <f ca="1">IFERROR(__xludf.DUMMYFUNCTION("""COMPUTED_VALUE"""),"Alta")</f>
        <v>Alta</v>
      </c>
      <c r="K4652" s="25">
        <f ca="1">IFERROR(__xludf.DUMMYFUNCTION("""COMPUTED_VALUE"""),30)</f>
        <v>30</v>
      </c>
      <c r="L4652" s="62"/>
      <c r="M4652" s="25" t="str">
        <f ca="1">IFERROR(__xludf.DUMMYFUNCTION("""COMPUTED_VALUE"""),"Se hizo presentación en reunión de seguimiento del 21 de abril. Según análisis de TM concluyen que para diferentes horizontes de tiempo (30,50 y 80 años), no resulta viable incluir la totalidad de los equipamientos (áreas) de cultura con cargo al desarrol"&amp;"lador privado.")</f>
        <v>Se hizo presentación en reunión de seguimiento del 21 de abril. Según análisis de TM concluyen que para diferentes horizontes de tiempo (30,50 y 80 años), no resulta viable incluir la totalidad de los equipamientos (áreas) de cultura con cargo al desarrollador privado.</v>
      </c>
      <c r="N4652" s="55">
        <f ca="1">IFERROR(__xludf.DUMMYFUNCTION("""COMPUTED_VALUE"""),44927)</f>
        <v>44927</v>
      </c>
      <c r="O4652" s="25" t="str">
        <f t="shared" ca="1" si="0"/>
        <v>Empresa de Transporte del Tercer Milenio - Transmilenio S.A.</v>
      </c>
      <c r="P4652" s="25" t="str">
        <f t="shared" si="3"/>
        <v/>
      </c>
      <c r="Q4652" s="25" t="str">
        <f ca="1">IFERROR(__xludf.DUMMYFUNCTION("""COMPUTED_VALUE"""),"Corto plazo")</f>
        <v>Corto plazo</v>
      </c>
      <c r="R4652" s="25"/>
      <c r="S4652" s="55"/>
      <c r="T4652" s="56"/>
      <c r="U4652" s="25"/>
      <c r="V4652" s="25"/>
      <c r="W4652" s="25"/>
      <c r="X4652" s="25"/>
      <c r="Y4652" s="25"/>
      <c r="Z4652" s="25"/>
    </row>
    <row r="4653" spans="1:26" ht="52.5" customHeight="1" x14ac:dyDescent="0.25">
      <c r="A4653" s="25" t="str">
        <f ca="1">IFERROR(__xludf.DUMMYFUNCTION("""COMPUTED_VALUE"""),"Movil451")</f>
        <v>Movil451</v>
      </c>
      <c r="B4653" s="25" t="str">
        <f ca="1">IFERROR(__xludf.DUMMYFUNCTION("""COMPUTED_VALUE"""),"Propuesta desarrollo inmobiliario CV7")</f>
        <v>Propuesta desarrollo inmobiliario CV7</v>
      </c>
      <c r="C4653" s="55">
        <f ca="1">IFERROR(__xludf.DUMMYFUNCTION("""COMPUTED_VALUE"""),44655)</f>
        <v>44655</v>
      </c>
      <c r="D4653" s="25" t="str">
        <f ca="1">IFERROR(__xludf.DUMMYFUNCTION("""COMPUTED_VALUE"""),"Movilidad")</f>
        <v>Movilidad</v>
      </c>
      <c r="E4653" s="25" t="str">
        <f ca="1">IFERROR(__xludf.DUMMYFUNCTION("""COMPUTED_VALUE"""),"Empresa de Transporte del Tercer Milenio - Transmilenio S.A.")</f>
        <v>Empresa de Transporte del Tercer Milenio - Transmilenio S.A.</v>
      </c>
      <c r="F4653" s="25" t="str">
        <f ca="1">IFERROR(__xludf.DUMMYFUNCTION("""COMPUTED_VALUE"""),"Hacer comparación de modelos de negocio de venta y de renta.")</f>
        <v>Hacer comparación de modelos de negocio de venta y de renta.</v>
      </c>
      <c r="G4653" s="25" t="str">
        <f ca="1">IFERROR(__xludf.DUMMYFUNCTION("""COMPUTED_VALUE"""),"99. Distrito")</f>
        <v>99. Distrito</v>
      </c>
      <c r="H4653" s="55">
        <f ca="1">IFERROR(__xludf.DUMMYFUNCTION("""COMPUTED_VALUE"""),44685)</f>
        <v>44685</v>
      </c>
      <c r="I4653" s="25"/>
      <c r="J4653" s="55" t="str">
        <f ca="1">IFERROR(__xludf.DUMMYFUNCTION("""COMPUTED_VALUE"""),"Alta")</f>
        <v>Alta</v>
      </c>
      <c r="K4653" s="25">
        <f ca="1">IFERROR(__xludf.DUMMYFUNCTION("""COMPUTED_VALUE"""),30)</f>
        <v>30</v>
      </c>
      <c r="L4653" s="62"/>
      <c r="M4653" s="25" t="str">
        <f ca="1">IFERROR(__xludf.DUMMYFUNCTION("""COMPUTED_VALUE"""),"Se hizo presentación en reunión de seguimiento del 21 de abril. De acuerdo con los análisis de TM, se concluye que los ingresos por renta son mayores que por venta.")</f>
        <v>Se hizo presentación en reunión de seguimiento del 21 de abril. De acuerdo con los análisis de TM, se concluye que los ingresos por renta son mayores que por venta.</v>
      </c>
      <c r="N4653" s="55">
        <f ca="1">IFERROR(__xludf.DUMMYFUNCTION("""COMPUTED_VALUE"""),44927)</f>
        <v>44927</v>
      </c>
      <c r="O4653" s="25" t="str">
        <f t="shared" ca="1" si="0"/>
        <v>Empresa de Transporte del Tercer Milenio - Transmilenio S.A.</v>
      </c>
      <c r="P4653" s="25" t="str">
        <f t="shared" si="3"/>
        <v/>
      </c>
      <c r="Q4653" s="25" t="str">
        <f ca="1">IFERROR(__xludf.DUMMYFUNCTION("""COMPUTED_VALUE"""),"Corto plazo")</f>
        <v>Corto plazo</v>
      </c>
      <c r="R4653" s="25"/>
      <c r="S4653" s="55"/>
      <c r="T4653" s="56"/>
      <c r="U4653" s="25"/>
      <c r="V4653" s="25"/>
      <c r="W4653" s="25"/>
      <c r="X4653" s="25"/>
      <c r="Y4653" s="25"/>
      <c r="Z4653" s="25"/>
    </row>
    <row r="4654" spans="1:26" ht="52.5" customHeight="1" x14ac:dyDescent="0.25">
      <c r="A4654" s="25" t="str">
        <f ca="1">IFERROR(__xludf.DUMMYFUNCTION("""COMPUTED_VALUE"""),"Movil452")</f>
        <v>Movil452</v>
      </c>
      <c r="B4654" s="25" t="str">
        <f ca="1">IFERROR(__xludf.DUMMYFUNCTION("""COMPUTED_VALUE"""),"Operadores Transmilenio")</f>
        <v>Operadores Transmilenio</v>
      </c>
      <c r="C4654" s="55">
        <f ca="1">IFERROR(__xludf.DUMMYFUNCTION("""COMPUTED_VALUE"""),44655)</f>
        <v>44655</v>
      </c>
      <c r="D4654" s="25" t="str">
        <f ca="1">IFERROR(__xludf.DUMMYFUNCTION("""COMPUTED_VALUE"""),"Movilidad")</f>
        <v>Movilidad</v>
      </c>
      <c r="E4654" s="25" t="str">
        <f ca="1">IFERROR(__xludf.DUMMYFUNCTION("""COMPUTED_VALUE"""),"Secretaría Distrital de Movilidad")</f>
        <v>Secretaría Distrital de Movilidad</v>
      </c>
      <c r="F4654" s="25" t="str">
        <f ca="1">IFERROR(__xludf.DUMMYFUNCTION("""COMPUTED_VALUE"""),"Continuar como prioridad controles a la ilegalidad, para ayudar con la implementación de las rutas propuestas por TM en su plan.  Coordinarlo en el consejo de seguridad.")</f>
        <v>Continuar como prioridad controles a la ilegalidad, para ayudar con la implementación de las rutas propuestas por TM en su plan.  Coordinarlo en el consejo de seguridad.</v>
      </c>
      <c r="G4654" s="25" t="str">
        <f ca="1">IFERROR(__xludf.DUMMYFUNCTION("""COMPUTED_VALUE"""),"99. Distrito")</f>
        <v>99. Distrito</v>
      </c>
      <c r="H4654" s="55">
        <f ca="1">IFERROR(__xludf.DUMMYFUNCTION("""COMPUTED_VALUE"""),44685)</f>
        <v>44685</v>
      </c>
      <c r="I4654" s="25"/>
      <c r="J4654" s="55" t="str">
        <f ca="1">IFERROR(__xludf.DUMMYFUNCTION("""COMPUTED_VALUE"""),"Alta")</f>
        <v>Alta</v>
      </c>
      <c r="K4654" s="25">
        <f ca="1">IFERROR(__xludf.DUMMYFUNCTION("""COMPUTED_VALUE"""),30)</f>
        <v>30</v>
      </c>
      <c r="L4654" s="62">
        <f ca="1">IFERROR(__xludf.DUMMYFUNCTION("""COMPUTED_VALUE"""),44864)</f>
        <v>44864</v>
      </c>
      <c r="M4654" s="25" t="str">
        <f ca="1">IFERROR(__xludf.DUMMYFUNCTION("""COMPUTED_VALUE"""),"Se ha cumplido con el compromiso, las rutas reportadas por TMSA son las siguientes: 632, 922, 159, 524, 923, 525, y mediante las coordinaciones realizadas con Secretaría Distrital de Seguridad, Convivencia y Justicia, Secretaría de Gobierno y Fuerza Dispo"&amp;"nible, se han realizado 11 operativos de alto impacto en los transcurrido del año 2022; obteniendo entre  el 02 de febrero al 6 de julio del presente año un total de 231 comparendos y 89 inmovilizaciones. Es importante establecer que de acuerdo a las disp"&amp;"osiciones establecidas por el nuevo gobierno nacional no se han realizado operativos de alto impacto al no contar con persona de ESMAD, las intervenciones que se han realizado desde la fecha de posesión han sido actividades de control de mediana complejid"&amp;"ad donde no se han impactado los puntos más fuertes por temas de seguridad.")</f>
        <v>Se ha cumplido con el compromiso, las rutas reportadas por TMSA son las siguientes: 632, 922, 159, 524, 923, 525, y mediante las coordinaciones realizadas con Secretaría Distrital de Seguridad, Convivencia y Justicia, Secretaría de Gobierno y Fuerza Disponible, se han realizado 11 operativos de alto impacto en los transcurrido del año 2022; obteniendo entre  el 02 de febrero al 6 de julio del presente año un total de 231 comparendos y 89 inmovilizaciones. Es importante establecer que de acuerdo a las disposiciones establecidas por el nuevo gobierno nacional no se han realizado operativos de alto impacto al no contar con persona de ESMAD, las intervenciones que se han realizado desde la fecha de posesión han sido actividades de control de mediana complejidad donde no se han impactado los puntos más fuertes por temas de seguridad.</v>
      </c>
      <c r="N4654" s="55">
        <f ca="1">IFERROR(__xludf.DUMMYFUNCTION("""COMPUTED_VALUE"""),44864)</f>
        <v>44864</v>
      </c>
      <c r="O4654" s="25" t="str">
        <f t="shared" ca="1" si="0"/>
        <v>Secretaría Distrital de Movilidad</v>
      </c>
      <c r="P4654" s="25" t="str">
        <f t="shared" si="3"/>
        <v/>
      </c>
      <c r="Q4654" s="25" t="str">
        <f ca="1">IFERROR(__xludf.DUMMYFUNCTION("""COMPUTED_VALUE"""),"Corto plazo")</f>
        <v>Corto plazo</v>
      </c>
      <c r="R4654" s="25"/>
      <c r="S4654" s="55"/>
      <c r="T4654" s="56"/>
      <c r="U4654" s="25"/>
      <c r="V4654" s="25"/>
      <c r="W4654" s="25"/>
      <c r="X4654" s="25"/>
      <c r="Y4654" s="25"/>
      <c r="Z4654" s="25"/>
    </row>
    <row r="4655" spans="1:26" ht="52.5" customHeight="1" x14ac:dyDescent="0.25">
      <c r="A4655" s="25" t="str">
        <f ca="1">IFERROR(__xludf.DUMMYFUNCTION("""COMPUTED_VALUE"""),"Movil453")</f>
        <v>Movil453</v>
      </c>
      <c r="B4655" s="25" t="str">
        <f ca="1">IFERROR(__xludf.DUMMYFUNCTION("""COMPUTED_VALUE"""),"Operadores Transmilenio")</f>
        <v>Operadores Transmilenio</v>
      </c>
      <c r="C4655" s="55">
        <f ca="1">IFERROR(__xludf.DUMMYFUNCTION("""COMPUTED_VALUE"""),44655)</f>
        <v>44655</v>
      </c>
      <c r="D4655" s="25" t="str">
        <f ca="1">IFERROR(__xludf.DUMMYFUNCTION("""COMPUTED_VALUE"""),"Movilidad")</f>
        <v>Movilidad</v>
      </c>
      <c r="E4655" s="25" t="str">
        <f ca="1">IFERROR(__xludf.DUMMYFUNCTION("""COMPUTED_VALUE"""),"Empresa de Transporte del Tercer Milenio - Transmilenio S.A.")</f>
        <v>Empresa de Transporte del Tercer Milenio - Transmilenio S.A.</v>
      </c>
      <c r="F4655" s="25" t="str">
        <f ca="1">IFERROR(__xludf.DUMMYFUNCTION("""COMPUTED_VALUE"""),"Buscar que se pueda dar licencia a los migrantes venezolanos para que puedan tener trabajo formal en el SITP. Esto a través de USAID.")</f>
        <v>Buscar que se pueda dar licencia a los migrantes venezolanos para que puedan tener trabajo formal en el SITP. Esto a través de USAID.</v>
      </c>
      <c r="G4655" s="25" t="str">
        <f ca="1">IFERROR(__xludf.DUMMYFUNCTION("""COMPUTED_VALUE"""),"99. Distrito")</f>
        <v>99. Distrito</v>
      </c>
      <c r="H4655" s="55">
        <f ca="1">IFERROR(__xludf.DUMMYFUNCTION("""COMPUTED_VALUE"""),44685)</f>
        <v>44685</v>
      </c>
      <c r="I4655" s="25"/>
      <c r="J4655" s="55" t="str">
        <f ca="1">IFERROR(__xludf.DUMMYFUNCTION("""COMPUTED_VALUE"""),"Alta")</f>
        <v>Alta</v>
      </c>
      <c r="K4655" s="25">
        <f ca="1">IFERROR(__xludf.DUMMYFUNCTION("""COMPUTED_VALUE"""),30)</f>
        <v>30</v>
      </c>
      <c r="L4655" s="62"/>
      <c r="M4655" s="25" t="str">
        <f ca="1">IFERROR(__xludf.DUMMYFUNCTION("""COMPUTED_VALUE"""),"Se está trabajando en articulación  Agencia Distrital de empleo,  USAID, Alcaldía, SDM y TMSA en consecución de hojas de vida de población migrante para ejercer como operadores, Solicitud al RUNT para que incluya la variable ppt para que puedan expedir li"&amp;"cencias de conducción para los migrantes y junto con los concesionarios la revisión de los beneficios que pueden recibir al vincularse a sus respectivas empresas; ya se está en la planeación de una feria de empleo enfocada en población migrante con experi"&amp;"encia específica para ejercer como operadores se estima que USAID apoya a 50 personas migrantes en recategorización de licencia, se han realizado 5 reuniones con diferentes concesionarios para identificar los beneficios que pueden recibir los operadores a"&amp;"l vincularse a sus determinadas empresas ya que estos beneficios pueden evitar la alta rotación de personal para el oficio en mención ")</f>
        <v xml:space="preserve">Se está trabajando en articulación  Agencia Distrital de empleo,  USAID, Alcaldía, SDM y TMSA en consecución de hojas de vida de población migrante para ejercer como operadores, Solicitud al RUNT para que incluya la variable ppt para que puedan expedir licencias de conducción para los migrantes y junto con los concesionarios la revisión de los beneficios que pueden recibir al vincularse a sus respectivas empresas; ya se está en la planeación de una feria de empleo enfocada en población migrante con experiencia específica para ejercer como operadores se estima que USAID apoya a 50 personas migrantes en recategorización de licencia, se han realizado 5 reuniones con diferentes concesionarios para identificar los beneficios que pueden recibir los operadores al vincularse a sus determinadas empresas ya que estos beneficios pueden evitar la alta rotación de personal para el oficio en mención </v>
      </c>
      <c r="N4655" s="55">
        <f ca="1">IFERROR(__xludf.DUMMYFUNCTION("""COMPUTED_VALUE"""),44927)</f>
        <v>44927</v>
      </c>
      <c r="O4655" s="25" t="str">
        <f t="shared" ca="1" si="0"/>
        <v>Empresa de Transporte del Tercer Milenio - Transmilenio S.A.</v>
      </c>
      <c r="P4655" s="25" t="str">
        <f t="shared" si="3"/>
        <v/>
      </c>
      <c r="Q4655" s="25" t="str">
        <f ca="1">IFERROR(__xludf.DUMMYFUNCTION("""COMPUTED_VALUE"""),"Corto plazo")</f>
        <v>Corto plazo</v>
      </c>
      <c r="R4655" s="25"/>
      <c r="S4655" s="55"/>
      <c r="T4655" s="56"/>
      <c r="U4655" s="25"/>
      <c r="V4655" s="25"/>
      <c r="W4655" s="25"/>
      <c r="X4655" s="25"/>
      <c r="Y4655" s="25"/>
      <c r="Z4655" s="25"/>
    </row>
    <row r="4656" spans="1:26" ht="52.5" customHeight="1" x14ac:dyDescent="0.25">
      <c r="A4656" s="25" t="str">
        <f ca="1">IFERROR(__xludf.DUMMYFUNCTION("""COMPUTED_VALUE"""),"Movil454")</f>
        <v>Movil454</v>
      </c>
      <c r="B4656" s="25" t="str">
        <f ca="1">IFERROR(__xludf.DUMMYFUNCTION("""COMPUTED_VALUE"""),"Operadores Transmilenio")</f>
        <v>Operadores Transmilenio</v>
      </c>
      <c r="C4656" s="55">
        <f ca="1">IFERROR(__xludf.DUMMYFUNCTION("""COMPUTED_VALUE"""),44655)</f>
        <v>44655</v>
      </c>
      <c r="D4656" s="25" t="str">
        <f ca="1">IFERROR(__xludf.DUMMYFUNCTION("""COMPUTED_VALUE"""),"Movilidad")</f>
        <v>Movilidad</v>
      </c>
      <c r="E4656" s="25" t="str">
        <f ca="1">IFERROR(__xludf.DUMMYFUNCTION("""COMPUTED_VALUE"""),"Empresa de Transporte del Tercer Milenio - Transmilenio S.A.")</f>
        <v>Empresa de Transporte del Tercer Milenio - Transmilenio S.A.</v>
      </c>
      <c r="F4656" s="25" t="str">
        <f ca="1">IFERROR(__xludf.DUMMYFUNCTION("""COMPUTED_VALUE"""),"Incorporar en el plan de trabajo presentado y de todo el año las metas de los indicadores (IPK, etc..,) y evaluación")</f>
        <v>Incorporar en el plan de trabajo presentado y de todo el año las metas de los indicadores (IPK, etc..,) y evaluación</v>
      </c>
      <c r="G4656" s="25" t="str">
        <f ca="1">IFERROR(__xludf.DUMMYFUNCTION("""COMPUTED_VALUE"""),"99. Distrito")</f>
        <v>99. Distrito</v>
      </c>
      <c r="H4656" s="55">
        <f ca="1">IFERROR(__xludf.DUMMYFUNCTION("""COMPUTED_VALUE"""),44685)</f>
        <v>44685</v>
      </c>
      <c r="I4656" s="25"/>
      <c r="J4656" s="55" t="str">
        <f ca="1">IFERROR(__xludf.DUMMYFUNCTION("""COMPUTED_VALUE"""),"Alta")</f>
        <v>Alta</v>
      </c>
      <c r="K4656" s="25">
        <f ca="1">IFERROR(__xludf.DUMMYFUNCTION("""COMPUTED_VALUE"""),30)</f>
        <v>30</v>
      </c>
      <c r="L4656" s="62"/>
      <c r="M4656" s="25" t="str">
        <f ca="1">IFERROR(__xludf.DUMMYFUNCTION("""COMPUTED_VALUE"""),"al interior de TMSA se está trabajando el tema de organizacion de información para la consecución de indicadores de eficacia y eficiencia (IPK -IPB-IKB) actualmente se tiene una identificación de flujo de información operativa de la entidad relevante para"&amp;" el diseño operacional ")</f>
        <v xml:space="preserve">al interior de TMSA se está trabajando el tema de organizacion de información para la consecución de indicadores de eficacia y eficiencia (IPK -IPB-IKB) actualmente se tiene una identificación de flujo de información operativa de la entidad relevante para el diseño operacional </v>
      </c>
      <c r="N4656" s="55">
        <f ca="1">IFERROR(__xludf.DUMMYFUNCTION("""COMPUTED_VALUE"""),44927)</f>
        <v>44927</v>
      </c>
      <c r="O4656" s="25" t="str">
        <f t="shared" ca="1" si="0"/>
        <v>Empresa de Transporte del Tercer Milenio - Transmilenio S.A.</v>
      </c>
      <c r="P4656" s="25" t="str">
        <f t="shared" si="3"/>
        <v/>
      </c>
      <c r="Q4656" s="25" t="str">
        <f ca="1">IFERROR(__xludf.DUMMYFUNCTION("""COMPUTED_VALUE"""),"Corto plazo")</f>
        <v>Corto plazo</v>
      </c>
      <c r="R4656" s="25"/>
      <c r="S4656" s="55"/>
      <c r="T4656" s="56"/>
      <c r="U4656" s="25"/>
      <c r="V4656" s="25"/>
      <c r="W4656" s="25"/>
      <c r="X4656" s="25"/>
      <c r="Y4656" s="25"/>
      <c r="Z4656" s="25"/>
    </row>
    <row r="4657" spans="1:26" ht="52.5" customHeight="1" x14ac:dyDescent="0.25">
      <c r="A4657" s="25" t="str">
        <f ca="1">IFERROR(__xludf.DUMMYFUNCTION("""COMPUTED_VALUE"""),"Movil455")</f>
        <v>Movil455</v>
      </c>
      <c r="B4657" s="25" t="str">
        <f ca="1">IFERROR(__xludf.DUMMYFUNCTION("""COMPUTED_VALUE"""),"Operadores Transmilenio")</f>
        <v>Operadores Transmilenio</v>
      </c>
      <c r="C4657" s="55">
        <f ca="1">IFERROR(__xludf.DUMMYFUNCTION("""COMPUTED_VALUE"""),44655)</f>
        <v>44655</v>
      </c>
      <c r="D4657" s="25" t="str">
        <f ca="1">IFERROR(__xludf.DUMMYFUNCTION("""COMPUTED_VALUE"""),"Movilidad")</f>
        <v>Movilidad</v>
      </c>
      <c r="E4657" s="25" t="str">
        <f ca="1">IFERROR(__xludf.DUMMYFUNCTION("""COMPUTED_VALUE"""),"Secretaría Distrital de Movilidad")</f>
        <v>Secretaría Distrital de Movilidad</v>
      </c>
      <c r="F4657" s="25" t="str">
        <f ca="1">IFERROR(__xludf.DUMMYFUNCTION("""COMPUTED_VALUE"""),"Compartir a TM información de las obras de la ciudad para la optimización de rutas.")</f>
        <v>Compartir a TM información de las obras de la ciudad para la optimización de rutas.</v>
      </c>
      <c r="G4657" s="25" t="str">
        <f ca="1">IFERROR(__xludf.DUMMYFUNCTION("""COMPUTED_VALUE"""),"99. Distrito")</f>
        <v>99. Distrito</v>
      </c>
      <c r="H4657" s="55">
        <f ca="1">IFERROR(__xludf.DUMMYFUNCTION("""COMPUTED_VALUE"""),44685)</f>
        <v>44685</v>
      </c>
      <c r="I4657" s="25"/>
      <c r="J4657" s="55" t="str">
        <f ca="1">IFERROR(__xludf.DUMMYFUNCTION("""COMPUTED_VALUE"""),"Alta")</f>
        <v>Alta</v>
      </c>
      <c r="K4657" s="25">
        <f ca="1">IFERROR(__xludf.DUMMYFUNCTION("""COMPUTED_VALUE"""),30)</f>
        <v>30</v>
      </c>
      <c r="L4657" s="62">
        <f ca="1">IFERROR(__xludf.DUMMYFUNCTION("""COMPUTED_VALUE"""),44865)</f>
        <v>44865</v>
      </c>
      <c r="M4657" s="25" t="str">
        <f ca="1">IFERROR(__xludf.DUMMYFUNCTION("""COMPUTED_VALUE"""),"No es clara la solicitud, igualmente se informa que a Transmilenio se le pide visto bueno en el caso de que el corredor a intervenir afecte rutas SITP, alimentadoras o de la troncal")</f>
        <v>No es clara la solicitud, igualmente se informa que a Transmilenio se le pide visto bueno en el caso de que el corredor a intervenir afecte rutas SITP, alimentadoras o de la troncal</v>
      </c>
      <c r="N4657" s="55">
        <f ca="1">IFERROR(__xludf.DUMMYFUNCTION("""COMPUTED_VALUE"""),44865)</f>
        <v>44865</v>
      </c>
      <c r="O4657" s="25" t="str">
        <f t="shared" ca="1" si="0"/>
        <v>Secretaría Distrital de Movilidad</v>
      </c>
      <c r="P4657" s="25" t="str">
        <f t="shared" si="3"/>
        <v/>
      </c>
      <c r="Q4657" s="25" t="str">
        <f ca="1">IFERROR(__xludf.DUMMYFUNCTION("""COMPUTED_VALUE"""),"Corto plazo")</f>
        <v>Corto plazo</v>
      </c>
      <c r="R4657" s="25"/>
      <c r="S4657" s="55"/>
      <c r="T4657" s="56"/>
      <c r="U4657" s="25"/>
      <c r="V4657" s="25"/>
      <c r="W4657" s="25"/>
      <c r="X4657" s="25"/>
      <c r="Y4657" s="25"/>
      <c r="Z4657" s="25"/>
    </row>
    <row r="4658" spans="1:26" ht="52.5" customHeight="1" x14ac:dyDescent="0.25">
      <c r="A4658" s="25" t="str">
        <f ca="1">IFERROR(__xludf.DUMMYFUNCTION("""COMPUTED_VALUE"""),"Movil456")</f>
        <v>Movil456</v>
      </c>
      <c r="B4658" s="25" t="str">
        <f ca="1">IFERROR(__xludf.DUMMYFUNCTION("""COMPUTED_VALUE"""),"Operadores Transmilenio")</f>
        <v>Operadores Transmilenio</v>
      </c>
      <c r="C4658" s="55">
        <f ca="1">IFERROR(__xludf.DUMMYFUNCTION("""COMPUTED_VALUE"""),44655)</f>
        <v>44655</v>
      </c>
      <c r="D4658" s="25" t="str">
        <f ca="1">IFERROR(__xludf.DUMMYFUNCTION("""COMPUTED_VALUE"""),"Movilidad")</f>
        <v>Movilidad</v>
      </c>
      <c r="E4658" s="25" t="str">
        <f ca="1">IFERROR(__xludf.DUMMYFUNCTION("""COMPUTED_VALUE"""),"Secretaría Distrital de Movilidad")</f>
        <v>Secretaría Distrital de Movilidad</v>
      </c>
      <c r="F4658" s="25" t="str">
        <f ca="1">IFERROR(__xludf.DUMMYFUNCTION("""COMPUTED_VALUE"""),"Hacer análisis de tarifas diferenciales no tarífa única para los usuarios, considerando el objetivo de optimizar las rutas del SITP recortando las larga para troncoalimentar. Con enfoque social")</f>
        <v>Hacer análisis de tarifas diferenciales no tarífa única para los usuarios, considerando el objetivo de optimizar las rutas del SITP recortando las larga para troncoalimentar. Con enfoque social</v>
      </c>
      <c r="G4658" s="25" t="str">
        <f ca="1">IFERROR(__xludf.DUMMYFUNCTION("""COMPUTED_VALUE"""),"99. Distrito")</f>
        <v>99. Distrito</v>
      </c>
      <c r="H4658" s="55">
        <f ca="1">IFERROR(__xludf.DUMMYFUNCTION("""COMPUTED_VALUE"""),44685)</f>
        <v>44685</v>
      </c>
      <c r="I4658" s="25"/>
      <c r="J4658" s="55" t="str">
        <f ca="1">IFERROR(__xludf.DUMMYFUNCTION("""COMPUTED_VALUE"""),"Alta")</f>
        <v>Alta</v>
      </c>
      <c r="K4658" s="25">
        <f ca="1">IFERROR(__xludf.DUMMYFUNCTION("""COMPUTED_VALUE"""),30)</f>
        <v>30</v>
      </c>
      <c r="L4658" s="62">
        <f ca="1">IFERROR(__xludf.DUMMYFUNCTION("""COMPUTED_VALUE"""),44894)</f>
        <v>44894</v>
      </c>
      <c r="M4658" s="25" t="str">
        <f ca="1">IFERROR(__xludf.DUMMYFUNCTION("""COMPUTED_VALUE"""),"El análisis tarifario se hace por Sisben, los ajustes de rutas se han hecho en el troncal y zonal para mejorar eficiencia del sistema. Está por aprobación el corte para la revisión de tarifas diferenciales.")</f>
        <v>El análisis tarifario se hace por Sisben, los ajustes de rutas se han hecho en el troncal y zonal para mejorar eficiencia del sistema. Está por aprobación el corte para la revisión de tarifas diferenciales.</v>
      </c>
      <c r="N4658" s="55">
        <f ca="1">IFERROR(__xludf.DUMMYFUNCTION("""COMPUTED_VALUE"""),44894)</f>
        <v>44894</v>
      </c>
      <c r="O4658" s="25" t="str">
        <f t="shared" ca="1" si="0"/>
        <v>Secretaría Distrital de Movilidad</v>
      </c>
      <c r="P4658" s="25" t="str">
        <f t="shared" si="3"/>
        <v/>
      </c>
      <c r="Q4658" s="25" t="str">
        <f ca="1">IFERROR(__xludf.DUMMYFUNCTION("""COMPUTED_VALUE"""),"Corto plazo")</f>
        <v>Corto plazo</v>
      </c>
      <c r="R4658" s="25"/>
      <c r="S4658" s="55"/>
      <c r="T4658" s="56"/>
      <c r="U4658" s="25"/>
      <c r="V4658" s="25"/>
      <c r="W4658" s="25"/>
      <c r="X4658" s="25"/>
      <c r="Y4658" s="25"/>
      <c r="Z4658" s="25"/>
    </row>
    <row r="4659" spans="1:26" ht="52.5" customHeight="1" x14ac:dyDescent="0.25">
      <c r="A4659" s="25" t="str">
        <f ca="1">IFERROR(__xludf.DUMMYFUNCTION("""COMPUTED_VALUE"""),"Movil457")</f>
        <v>Movil457</v>
      </c>
      <c r="B4659" s="25" t="str">
        <f ca="1">IFERROR(__xludf.DUMMYFUNCTION("""COMPUTED_VALUE"""),"Operadores Transmilenio")</f>
        <v>Operadores Transmilenio</v>
      </c>
      <c r="C4659" s="55">
        <f ca="1">IFERROR(__xludf.DUMMYFUNCTION("""COMPUTED_VALUE"""),44655)</f>
        <v>44655</v>
      </c>
      <c r="D4659" s="25" t="str">
        <f ca="1">IFERROR(__xludf.DUMMYFUNCTION("""COMPUTED_VALUE"""),"Movilidad")</f>
        <v>Movilidad</v>
      </c>
      <c r="E4659" s="25" t="str">
        <f ca="1">IFERROR(__xludf.DUMMYFUNCTION("""COMPUTED_VALUE"""),"Empresa de Transporte del Tercer Milenio - Transmilenio S.A.")</f>
        <v>Empresa de Transporte del Tercer Milenio - Transmilenio S.A.</v>
      </c>
      <c r="F4659" s="25" t="str">
        <f ca="1">IFERROR(__xludf.DUMMYFUNCTION("""COMPUTED_VALUE"""),"Tener acordado a junio el plan de la optimización con todos y cada uno de los operadores. ")</f>
        <v xml:space="preserve">Tener acordado a junio el plan de la optimización con todos y cada uno de los operadores. </v>
      </c>
      <c r="G4659" s="25" t="str">
        <f ca="1">IFERROR(__xludf.DUMMYFUNCTION("""COMPUTED_VALUE"""),"99. Distrito")</f>
        <v>99. Distrito</v>
      </c>
      <c r="H4659" s="55">
        <f ca="1">IFERROR(__xludf.DUMMYFUNCTION("""COMPUTED_VALUE"""),44685)</f>
        <v>44685</v>
      </c>
      <c r="I4659" s="25"/>
      <c r="J4659" s="55" t="str">
        <f ca="1">IFERROR(__xludf.DUMMYFUNCTION("""COMPUTED_VALUE"""),"Alta")</f>
        <v>Alta</v>
      </c>
      <c r="K4659" s="25">
        <f ca="1">IFERROR(__xludf.DUMMYFUNCTION("""COMPUTED_VALUE"""),30)</f>
        <v>30</v>
      </c>
      <c r="L4659" s="62"/>
      <c r="M4659" s="25" t="str">
        <f ca="1">IFERROR(__xludf.DUMMYFUNCTION("""COMPUTED_VALUE"""),"Desde Gerencia se proyectó un calendario de mesas de trabajo con cada uno de los concesionarios se está en espera de coordinar agenda con las personas que asistieron a dichas reuniones, se compartirá dicho calendario en el momento que se puedan articular "&amp;"las fechas de reunión ")</f>
        <v xml:space="preserve">Desde Gerencia se proyectó un calendario de mesas de trabajo con cada uno de los concesionarios se está en espera de coordinar agenda con las personas que asistieron a dichas reuniones, se compartirá dicho calendario en el momento que se puedan articular las fechas de reunión </v>
      </c>
      <c r="N4659" s="55">
        <f ca="1">IFERROR(__xludf.DUMMYFUNCTION("""COMPUTED_VALUE"""),44927)</f>
        <v>44927</v>
      </c>
      <c r="O4659" s="25" t="str">
        <f t="shared" ca="1" si="0"/>
        <v>Empresa de Transporte del Tercer Milenio - Transmilenio S.A.</v>
      </c>
      <c r="P4659" s="25" t="str">
        <f t="shared" si="3"/>
        <v/>
      </c>
      <c r="Q4659" s="25" t="str">
        <f ca="1">IFERROR(__xludf.DUMMYFUNCTION("""COMPUTED_VALUE"""),"Corto plazo")</f>
        <v>Corto plazo</v>
      </c>
      <c r="R4659" s="25"/>
      <c r="S4659" s="55"/>
      <c r="T4659" s="56"/>
      <c r="U4659" s="25"/>
      <c r="V4659" s="25"/>
      <c r="W4659" s="25"/>
      <c r="X4659" s="25"/>
      <c r="Y4659" s="25"/>
      <c r="Z4659" s="25"/>
    </row>
    <row r="4660" spans="1:26" ht="52.5" customHeight="1" x14ac:dyDescent="0.25">
      <c r="A4660" s="25" t="str">
        <f ca="1">IFERROR(__xludf.DUMMYFUNCTION("""COMPUTED_VALUE"""),"Movil458")</f>
        <v>Movil458</v>
      </c>
      <c r="B4660" s="25" t="str">
        <f ca="1">IFERROR(__xludf.DUMMYFUNCTION("""COMPUTED_VALUE"""),"Director ANI")</f>
        <v>Director ANI</v>
      </c>
      <c r="C4660" s="55">
        <f ca="1">IFERROR(__xludf.DUMMYFUNCTION("""COMPUTED_VALUE"""),44652)</f>
        <v>44652</v>
      </c>
      <c r="D4660" s="25" t="str">
        <f ca="1">IFERROR(__xludf.DUMMYFUNCTION("""COMPUTED_VALUE"""),"Movilidad")</f>
        <v>Movilidad</v>
      </c>
      <c r="E4660" s="25" t="str">
        <f ca="1">IFERROR(__xludf.DUMMYFUNCTION("""COMPUTED_VALUE"""),"Instituto de Desarrollo Urbano")</f>
        <v>Instituto de Desarrollo Urbano</v>
      </c>
      <c r="F4660" s="25" t="str">
        <f ca="1">IFERROR(__xludf.DUMMYFUNCTION("""COMPUTED_VALUE"""),"Hacer reunión con Corficolombiana  para empaquetar ALO centro, CCFC e incluir Calle 63")</f>
        <v>Hacer reunión con Corficolombiana  para empaquetar ALO centro, CCFC e incluir Calle 63</v>
      </c>
      <c r="G4660" s="25" t="str">
        <f ca="1">IFERROR(__xludf.DUMMYFUNCTION("""COMPUTED_VALUE"""),"99. Distrito")</f>
        <v>99. Distrito</v>
      </c>
      <c r="H4660" s="55">
        <f ca="1">IFERROR(__xludf.DUMMYFUNCTION("""COMPUTED_VALUE"""),44682)</f>
        <v>44682</v>
      </c>
      <c r="I4660" s="25"/>
      <c r="J4660" s="55" t="str">
        <f ca="1">IFERROR(__xludf.DUMMYFUNCTION("""COMPUTED_VALUE"""),"Alta")</f>
        <v>Alta</v>
      </c>
      <c r="K4660" s="25">
        <f ca="1">IFERROR(__xludf.DUMMYFUNCTION("""COMPUTED_VALUE"""),30)</f>
        <v>30</v>
      </c>
      <c r="L4660" s="62">
        <f ca="1">IFERROR(__xludf.DUMMYFUNCTION("""COMPUTED_VALUE"""),44819)</f>
        <v>44819</v>
      </c>
      <c r="M4660" s="25" t="str">
        <f ca="1">IFERROR(__xludf.DUMMYFUNCTION("""COMPUTED_VALUE"""),"Se enviaron a Proindesa (Corficolombiana) los estudios y diseños de alo centro por solicitud directa de ellos. Se realizó mesa de trabajo para responder a comentarios de ellos y estamos a la espera de su propuesta.
 Se han realizado varias reuniones con P"&amp;"roindesa y aún se encuentran revisando información para presentar su propuesta. 
 De acuerdo con la reunión con la alcaldía y a la ANI (14-09-2022), aún se está trabajando en el mecanismo para cada uno de estos proyectos. Se presentaron los cronogramas en"&amp;" los dos casos (Obra pública y APP). En espera de realizar el Comité del borde occidental junto a ANI e ICCU para definir el tema.")</f>
        <v>Se enviaron a Proindesa (Corficolombiana) los estudios y diseños de alo centro por solicitud directa de ellos. Se realizó mesa de trabajo para responder a comentarios de ellos y estamos a la espera de su propuesta.
 Se han realizado varias reuniones con Proindesa y aún se encuentran revisando información para presentar su propuesta. 
 De acuerdo con la reunión con la alcaldía y a la ANI (14-09-2022), aún se está trabajando en el mecanismo para cada uno de estos proyectos. Se presentaron los cronogramas en los dos casos (Obra pública y APP). En espera de realizar el Comité del borde occidental junto a ANI e ICCU para definir el tema.</v>
      </c>
      <c r="N4660" s="55">
        <f ca="1">IFERROR(__xludf.DUMMYFUNCTION("""COMPUTED_VALUE"""),44819)</f>
        <v>44819</v>
      </c>
      <c r="O4660" s="25" t="str">
        <f t="shared" ca="1" si="0"/>
        <v>Instituto de Desarrollo Urbano</v>
      </c>
      <c r="P4660" s="25" t="str">
        <f t="shared" si="3"/>
        <v/>
      </c>
      <c r="Q4660" s="25" t="str">
        <f ca="1">IFERROR(__xludf.DUMMYFUNCTION("""COMPUTED_VALUE"""),"Corto plazo")</f>
        <v>Corto plazo</v>
      </c>
      <c r="R4660" s="25"/>
      <c r="S4660" s="55"/>
      <c r="T4660" s="56"/>
      <c r="U4660" s="25"/>
      <c r="V4660" s="25"/>
      <c r="W4660" s="25"/>
      <c r="X4660" s="25"/>
      <c r="Y4660" s="25"/>
      <c r="Z4660" s="25"/>
    </row>
    <row r="4661" spans="1:26" ht="52.5" customHeight="1" x14ac:dyDescent="0.25">
      <c r="A4661" s="25" t="str">
        <f ca="1">IFERROR(__xludf.DUMMYFUNCTION("""COMPUTED_VALUE"""),"Movil459")</f>
        <v>Movil459</v>
      </c>
      <c r="B4661" s="25" t="str">
        <f ca="1">IFERROR(__xludf.DUMMYFUNCTION("""COMPUTED_VALUE"""),"Junta de Infraestructura")</f>
        <v>Junta de Infraestructura</v>
      </c>
      <c r="C4661" s="55">
        <f ca="1">IFERROR(__xludf.DUMMYFUNCTION("""COMPUTED_VALUE"""),44650)</f>
        <v>44650</v>
      </c>
      <c r="D4661" s="25" t="str">
        <f ca="1">IFERROR(__xludf.DUMMYFUNCTION("""COMPUTED_VALUE"""),"Movilidad")</f>
        <v>Movilidad</v>
      </c>
      <c r="E4661" s="25" t="str">
        <f ca="1">IFERROR(__xludf.DUMMYFUNCTION("""COMPUTED_VALUE"""),"Instituto de Desarrollo Urbano")</f>
        <v>Instituto de Desarrollo Urbano</v>
      </c>
      <c r="F4661" s="25" t="str">
        <f ca="1">IFERROR(__xludf.DUMMYFUNCTION("""COMPUTED_VALUE"""),"Regiotram Occidente: 
Incluir en el presupuesto de 2023 la construcción del puente de la Avenida Ciudad de Cali con el regiotram de Occidente
")</f>
        <v xml:space="preserve">Regiotram Occidente: 
Incluir en el presupuesto de 2023 la construcción del puente de la Avenida Ciudad de Cali con el regiotram de Occidente
</v>
      </c>
      <c r="G4661" s="25" t="str">
        <f ca="1">IFERROR(__xludf.DUMMYFUNCTION("""COMPUTED_VALUE"""),"99. Distrito")</f>
        <v>99. Distrito</v>
      </c>
      <c r="H4661" s="55">
        <f ca="1">IFERROR(__xludf.DUMMYFUNCTION("""COMPUTED_VALUE"""),44680)</f>
        <v>44680</v>
      </c>
      <c r="I4661" s="25"/>
      <c r="J4661" s="55" t="str">
        <f ca="1">IFERROR(__xludf.DUMMYFUNCTION("""COMPUTED_VALUE"""),"Alta")</f>
        <v>Alta</v>
      </c>
      <c r="K4661" s="25">
        <f ca="1">IFERROR(__xludf.DUMMYFUNCTION("""COMPUTED_VALUE"""),30)</f>
        <v>30</v>
      </c>
      <c r="L4661" s="62">
        <f ca="1">IFERROR(__xludf.DUMMYFUNCTION("""COMPUTED_VALUE"""),44782)</f>
        <v>44782</v>
      </c>
      <c r="M4661" s="25" t="str">
        <f ca="1">IFERROR(__xludf.DUMMYFUNCTION("""COMPUTED_VALUE"""),"El IDU presentará en el anteproyecto de 2023 los recursos disponibles para la construcción del puente. El anteproyecto se radica en SDH en octubre y al concejo en noviembre.
Actualmente el IDU está en proceso de contratación de los pilotes de prueba y el "&amp;"ajuste a los diseños del puente.")</f>
        <v>El IDU presentará en el anteproyecto de 2023 los recursos disponibles para la construcción del puente. El anteproyecto se radica en SDH en octubre y al concejo en noviembre.
Actualmente el IDU está en proceso de contratación de los pilotes de prueba y el ajuste a los diseños del puente.</v>
      </c>
      <c r="N4661" s="55">
        <f ca="1">IFERROR(__xludf.DUMMYFUNCTION("""COMPUTED_VALUE"""),44782)</f>
        <v>44782</v>
      </c>
      <c r="O4661" s="25" t="str">
        <f t="shared" ca="1" si="0"/>
        <v>Instituto de Desarrollo Urbano</v>
      </c>
      <c r="P4661" s="25" t="str">
        <f t="shared" si="3"/>
        <v/>
      </c>
      <c r="Q4661" s="25" t="str">
        <f ca="1">IFERROR(__xludf.DUMMYFUNCTION("""COMPUTED_VALUE"""),"Corto plazo")</f>
        <v>Corto plazo</v>
      </c>
      <c r="R4661" s="25"/>
      <c r="S4661" s="55"/>
      <c r="T4661" s="56"/>
      <c r="U4661" s="25"/>
      <c r="V4661" s="25"/>
      <c r="W4661" s="25"/>
      <c r="X4661" s="25"/>
      <c r="Y4661" s="25"/>
      <c r="Z4661" s="25"/>
    </row>
    <row r="4662" spans="1:26" ht="52.5" customHeight="1" x14ac:dyDescent="0.25">
      <c r="A4662" s="25" t="str">
        <f ca="1">IFERROR(__xludf.DUMMYFUNCTION("""COMPUTED_VALUE"""),"Movil460")</f>
        <v>Movil460</v>
      </c>
      <c r="B4662" s="25" t="str">
        <f ca="1">IFERROR(__xludf.DUMMYFUNCTION("""COMPUTED_VALUE"""),"Junta de Infraestructura")</f>
        <v>Junta de Infraestructura</v>
      </c>
      <c r="C4662" s="55">
        <f ca="1">IFERROR(__xludf.DUMMYFUNCTION("""COMPUTED_VALUE"""),44650)</f>
        <v>44650</v>
      </c>
      <c r="D4662" s="25" t="str">
        <f ca="1">IFERROR(__xludf.DUMMYFUNCTION("""COMPUTED_VALUE"""),"Movilidad")</f>
        <v>Movilidad</v>
      </c>
      <c r="E4662" s="25" t="str">
        <f ca="1">IFERROR(__xludf.DUMMYFUNCTION("""COMPUTED_VALUE"""),"Instituto de Desarrollo Urbano")</f>
        <v>Instituto de Desarrollo Urbano</v>
      </c>
      <c r="F4662" s="25" t="str">
        <f ca="1">IFERROR(__xludf.DUMMYFUNCTION("""COMPUTED_VALUE"""),"Regiotram Occidente: 
Realizar la etapa precontractual del puente Av. Ciudad de Cali en la avenida ferrocarril, durante este año, estimando un punto de ejecución de dos años
")</f>
        <v xml:space="preserve">Regiotram Occidente: 
Realizar la etapa precontractual del puente Av. Ciudad de Cali en la avenida ferrocarril, durante este año, estimando un punto de ejecución de dos años
</v>
      </c>
      <c r="G4662" s="25" t="str">
        <f ca="1">IFERROR(__xludf.DUMMYFUNCTION("""COMPUTED_VALUE"""),"99. Distrito")</f>
        <v>99. Distrito</v>
      </c>
      <c r="H4662" s="55">
        <f ca="1">IFERROR(__xludf.DUMMYFUNCTION("""COMPUTED_VALUE"""),44680)</f>
        <v>44680</v>
      </c>
      <c r="I4662" s="25"/>
      <c r="J4662" s="55" t="str">
        <f ca="1">IFERROR(__xludf.DUMMYFUNCTION("""COMPUTED_VALUE"""),"Alta")</f>
        <v>Alta</v>
      </c>
      <c r="K4662" s="25">
        <f ca="1">IFERROR(__xludf.DUMMYFUNCTION("""COMPUTED_VALUE"""),30)</f>
        <v>30</v>
      </c>
      <c r="L4662" s="62">
        <f ca="1">IFERROR(__xludf.DUMMYFUNCTION("""COMPUTED_VALUE"""),44893)</f>
        <v>44893</v>
      </c>
      <c r="M4662" s="25" t="str">
        <f ca="1">IFERROR(__xludf.DUMMYFUNCTION("""COMPUTED_VALUE"""),"Se encuentra publicado en SECOP II  el proceso IDU-CMA-DTP-021-2022 cuyo objeto es """"
CONSULTORÍA PARA LA REVISIÓN DE PARÁMETROS TÉCNICOS DE GEOTECNIA Y ESTRUCTURAS POR MEDIO DE LA EJECUCIÓN DE PILOTES DE SACRIFICIO Y PRUEBAS DE CARGA, ADICIONALMENTE LA"&amp;" ACTUALIZACIÓN DE LOS ESTUDIOS Y DISEÑOS DE LOS COMPONENTES DE ESTRUCTURAS Y GEOTECNIA REQUERIDOS PARA LA CONSTRUCCIÓN DEL PUENTE UBICADO EN LA AVENIDA CIUDAD DE CALI POR AVENIDA FERROCARRIL EN BOGOTÁ D.C"""" se adjudicará el 7 de diciembre de 2022.""")</f>
        <v>Se encuentra publicado en SECOP II  el proceso IDU-CMA-DTP-021-2022 cuyo objeto es ""
CONSULTORÍA PARA LA REVISIÓN DE PARÁMETROS TÉCNICOS DE GEOTECNIA Y ESTRUCTURAS POR MEDIO DE LA EJECUCIÓN DE PILOTES DE SACRIFICIO Y PRUEBAS DE CARGA, ADICIONALMENTE LA ACTUALIZACIÓN DE LOS ESTUDIOS Y DISEÑOS DE LOS COMPONENTES DE ESTRUCTURAS Y GEOTECNIA REQUERIDOS PARA LA CONSTRUCCIÓN DEL PUENTE UBICADO EN LA AVENIDA CIUDAD DE CALI POR AVENIDA FERROCARRIL EN BOGOTÁ D.C"" se adjudicará el 7 de diciembre de 2022."</v>
      </c>
      <c r="N4662" s="55">
        <f ca="1">IFERROR(__xludf.DUMMYFUNCTION("""COMPUTED_VALUE"""),44893)</f>
        <v>44893</v>
      </c>
      <c r="O4662" s="25" t="str">
        <f t="shared" ca="1" si="0"/>
        <v>Instituto de Desarrollo Urbano</v>
      </c>
      <c r="P4662" s="25" t="str">
        <f t="shared" si="3"/>
        <v/>
      </c>
      <c r="Q4662" s="25" t="str">
        <f ca="1">IFERROR(__xludf.DUMMYFUNCTION("""COMPUTED_VALUE"""),"Corto plazo")</f>
        <v>Corto plazo</v>
      </c>
      <c r="R4662" s="25"/>
      <c r="S4662" s="55"/>
      <c r="T4662" s="56"/>
      <c r="U4662" s="25"/>
      <c r="V4662" s="25"/>
      <c r="W4662" s="25"/>
      <c r="X4662" s="25"/>
      <c r="Y4662" s="25"/>
      <c r="Z4662" s="25"/>
    </row>
    <row r="4663" spans="1:26" ht="52.5" customHeight="1" x14ac:dyDescent="0.25">
      <c r="A4663" s="25" t="str">
        <f ca="1">IFERROR(__xludf.DUMMYFUNCTION("""COMPUTED_VALUE"""),"Movil461")</f>
        <v>Movil461</v>
      </c>
      <c r="B4663" s="25" t="str">
        <f ca="1">IFERROR(__xludf.DUMMYFUNCTION("""COMPUTED_VALUE"""),"Junta de Infraestructura")</f>
        <v>Junta de Infraestructura</v>
      </c>
      <c r="C4663" s="55">
        <f ca="1">IFERROR(__xludf.DUMMYFUNCTION("""COMPUTED_VALUE"""),44650)</f>
        <v>44650</v>
      </c>
      <c r="D4663" s="25" t="str">
        <f ca="1">IFERROR(__xludf.DUMMYFUNCTION("""COMPUTED_VALUE"""),"Movilidad")</f>
        <v>Movilidad</v>
      </c>
      <c r="E4663" s="25" t="str">
        <f ca="1">IFERROR(__xludf.DUMMYFUNCTION("""COMPUTED_VALUE"""),"Instituto de Desarrollo Urbano")</f>
        <v>Instituto de Desarrollo Urbano</v>
      </c>
      <c r="F4663" s="25" t="str">
        <f ca="1">IFERROR(__xludf.DUMMYFUNCTION("""COMPUTED_VALUE"""),"Regiotram Occidente: 
Abrir la licitación de contratación del puente de la avenida ferrocarril.
")</f>
        <v xml:space="preserve">Regiotram Occidente: 
Abrir la licitación de contratación del puente de la avenida ferrocarril.
</v>
      </c>
      <c r="G4663" s="25" t="str">
        <f ca="1">IFERROR(__xludf.DUMMYFUNCTION("""COMPUTED_VALUE"""),"99. Distrito")</f>
        <v>99. Distrito</v>
      </c>
      <c r="H4663" s="55">
        <f ca="1">IFERROR(__xludf.DUMMYFUNCTION("""COMPUTED_VALUE"""),44680)</f>
        <v>44680</v>
      </c>
      <c r="I4663" s="25"/>
      <c r="J4663" s="55" t="str">
        <f ca="1">IFERROR(__xludf.DUMMYFUNCTION("""COMPUTED_VALUE"""),"Alta")</f>
        <v>Alta</v>
      </c>
      <c r="K4663" s="25">
        <f ca="1">IFERROR(__xludf.DUMMYFUNCTION("""COMPUTED_VALUE"""),30)</f>
        <v>30</v>
      </c>
      <c r="L4663" s="62">
        <f ca="1">IFERROR(__xludf.DUMMYFUNCTION("""COMPUTED_VALUE"""),44893)</f>
        <v>44893</v>
      </c>
      <c r="M4663" s="25" t="str">
        <f ca="1">IFERROR(__xludf.DUMMYFUNCTION("""COMPUTED_VALUE"""),"Se encuentra publicado en SECOP II  el proceso IDU-CMA-DTP-021-2022 cuyo objeto es """"
CONSULTORÍA PARA LA REVISIÓN DE PARÁMETROS TÉCNICOS DE GEOTECNIA Y ESTRUCTURAS POR MEDIO DE LA EJECUCIÓN DE PILOTES DE SACRIFICIO Y PRUEBAS DE CARGA, ADICIONALMENTE LA"&amp;" ACTUALIZACIÓN DE LOS ESTUDIOS Y DISEÑOS DE LOS COMPONENTES DE ESTRUCTURAS Y GEOTECNIA REQUERIDOS PARA LA CONSTRUCCIÓN DEL PUENTE UBICADO EN LA AVENIDA CIUDAD DE CALI POR AVENIDA FERROCARRIL EN BOGOTÁ D.C"""" se adjudicará el 7 de diciembre de 2022.""")</f>
        <v>Se encuentra publicado en SECOP II  el proceso IDU-CMA-DTP-021-2022 cuyo objeto es ""
CONSULTORÍA PARA LA REVISIÓN DE PARÁMETROS TÉCNICOS DE GEOTECNIA Y ESTRUCTURAS POR MEDIO DE LA EJECUCIÓN DE PILOTES DE SACRIFICIO Y PRUEBAS DE CARGA, ADICIONALMENTE LA ACTUALIZACIÓN DE LOS ESTUDIOS Y DISEÑOS DE LOS COMPONENTES DE ESTRUCTURAS Y GEOTECNIA REQUERIDOS PARA LA CONSTRUCCIÓN DEL PUENTE UBICADO EN LA AVENIDA CIUDAD DE CALI POR AVENIDA FERROCARRIL EN BOGOTÁ D.C"" se adjudicará el 7 de diciembre de 2022."</v>
      </c>
      <c r="N4663" s="55">
        <f ca="1">IFERROR(__xludf.DUMMYFUNCTION("""COMPUTED_VALUE"""),44893)</f>
        <v>44893</v>
      </c>
      <c r="O4663" s="25" t="str">
        <f t="shared" ca="1" si="0"/>
        <v>Instituto de Desarrollo Urbano</v>
      </c>
      <c r="P4663" s="25" t="str">
        <f t="shared" si="3"/>
        <v/>
      </c>
      <c r="Q4663" s="25" t="str">
        <f ca="1">IFERROR(__xludf.DUMMYFUNCTION("""COMPUTED_VALUE"""),"Corto plazo")</f>
        <v>Corto plazo</v>
      </c>
      <c r="R4663" s="25"/>
      <c r="S4663" s="55"/>
      <c r="T4663" s="56"/>
      <c r="U4663" s="25"/>
      <c r="V4663" s="25"/>
      <c r="W4663" s="25"/>
      <c r="X4663" s="25"/>
      <c r="Y4663" s="25"/>
      <c r="Z4663" s="25"/>
    </row>
    <row r="4664" spans="1:26" ht="52.5" customHeight="1" x14ac:dyDescent="0.25">
      <c r="A4664" s="25" t="str">
        <f ca="1">IFERROR(__xludf.DUMMYFUNCTION("""COMPUTED_VALUE"""),"Movil462")</f>
        <v>Movil462</v>
      </c>
      <c r="B4664" s="25" t="str">
        <f ca="1">IFERROR(__xludf.DUMMYFUNCTION("""COMPUTED_VALUE"""),"Junta de Infraestructura")</f>
        <v>Junta de Infraestructura</v>
      </c>
      <c r="C4664" s="55">
        <f ca="1">IFERROR(__xludf.DUMMYFUNCTION("""COMPUTED_VALUE"""),44650)</f>
        <v>44650</v>
      </c>
      <c r="D4664" s="25" t="str">
        <f ca="1">IFERROR(__xludf.DUMMYFUNCTION("""COMPUTED_VALUE"""),"Movilidad")</f>
        <v>Movilidad</v>
      </c>
      <c r="E4664" s="25" t="str">
        <f ca="1">IFERROR(__xludf.DUMMYFUNCTION("""COMPUTED_VALUE"""),"Secretaría Distrital de Movilidad")</f>
        <v>Secretaría Distrital de Movilidad</v>
      </c>
      <c r="F4664" s="25" t="str">
        <f ca="1">IFERROR(__xludf.DUMMYFUNCTION("""COMPUTED_VALUE"""),"Regiotram Occidente: 
Revisión y Aprobación Estudio de Tránsito - Presentado a SDM el pasado 18 de marzo de 2022, radicado SDM 20226120696912.
")</f>
        <v xml:space="preserve">Regiotram Occidente: 
Revisión y Aprobación Estudio de Tránsito - Presentado a SDM el pasado 18 de marzo de 2022, radicado SDM 20226120696912.
</v>
      </c>
      <c r="G4664" s="25" t="str">
        <f ca="1">IFERROR(__xludf.DUMMYFUNCTION("""COMPUTED_VALUE"""),"99. Distrito")</f>
        <v>99. Distrito</v>
      </c>
      <c r="H4664" s="55">
        <f ca="1">IFERROR(__xludf.DUMMYFUNCTION("""COMPUTED_VALUE"""),44680)</f>
        <v>44680</v>
      </c>
      <c r="I4664" s="25"/>
      <c r="J4664" s="55" t="str">
        <f ca="1">IFERROR(__xludf.DUMMYFUNCTION("""COMPUTED_VALUE"""),"Alta")</f>
        <v>Alta</v>
      </c>
      <c r="K4664" s="25">
        <f ca="1">IFERROR(__xludf.DUMMYFUNCTION("""COMPUTED_VALUE"""),30)</f>
        <v>30</v>
      </c>
      <c r="L4664" s="62">
        <f ca="1">IFERROR(__xludf.DUMMYFUNCTION("""COMPUTED_VALUE"""),44749)</f>
        <v>44749</v>
      </c>
      <c r="M4664" s="25" t="str">
        <f ca="1">IFERROR(__xludf.DUMMYFUNCTION("""COMPUTED_VALUE"""),"Mediante oficio del 12 de mayo SDM-SI-202222404934821 se dió respuesta al documento presentado, en el que aún hacen falta elementos técnicos para su correcto avance, Se generan mesas semanales para evaluar la forma en que se tendrá que responder. Ya se en"&amp;"cuentra radicada la versión 3 del documento (24/06/2022)
")</f>
        <v xml:space="preserve">Mediante oficio del 12 de mayo SDM-SI-202222404934821 se dió respuesta al documento presentado, en el que aún hacen falta elementos técnicos para su correcto avance, Se generan mesas semanales para evaluar la forma en que se tendrá que responder. Ya se encuentra radicada la versión 3 del documento (24/06/2022)
</v>
      </c>
      <c r="N4664" s="55">
        <f ca="1">IFERROR(__xludf.DUMMYFUNCTION("""COMPUTED_VALUE"""),44749)</f>
        <v>44749</v>
      </c>
      <c r="O4664" s="25" t="str">
        <f t="shared" ca="1" si="0"/>
        <v>Secretaría Distrital de Movilidad</v>
      </c>
      <c r="P4664" s="25" t="str">
        <f t="shared" si="3"/>
        <v/>
      </c>
      <c r="Q4664" s="25" t="str">
        <f ca="1">IFERROR(__xludf.DUMMYFUNCTION("""COMPUTED_VALUE"""),"Corto plazo")</f>
        <v>Corto plazo</v>
      </c>
      <c r="R4664" s="25"/>
      <c r="S4664" s="55"/>
      <c r="T4664" s="56"/>
      <c r="U4664" s="25"/>
      <c r="V4664" s="25"/>
      <c r="W4664" s="25"/>
      <c r="X4664" s="25"/>
      <c r="Y4664" s="25"/>
      <c r="Z4664" s="25"/>
    </row>
    <row r="4665" spans="1:26" ht="52.5" customHeight="1" x14ac:dyDescent="0.25">
      <c r="A4665" s="25" t="str">
        <f ca="1">IFERROR(__xludf.DUMMYFUNCTION("""COMPUTED_VALUE"""),"Movil463")</f>
        <v>Movil463</v>
      </c>
      <c r="B4665" s="25" t="str">
        <f ca="1">IFERROR(__xludf.DUMMYFUNCTION("""COMPUTED_VALUE"""),"Junta de Infraestructura")</f>
        <v>Junta de Infraestructura</v>
      </c>
      <c r="C4665" s="55">
        <f ca="1">IFERROR(__xludf.DUMMYFUNCTION("""COMPUTED_VALUE"""),44650)</f>
        <v>44650</v>
      </c>
      <c r="D4665" s="25" t="str">
        <f ca="1">IFERROR(__xludf.DUMMYFUNCTION("""COMPUTED_VALUE"""),"Movilidad")</f>
        <v>Movilidad</v>
      </c>
      <c r="E4665" s="25" t="str">
        <f ca="1">IFERROR(__xludf.DUMMYFUNCTION("""COMPUTED_VALUE"""),"Instituto de Desarrollo Urbano")</f>
        <v>Instituto de Desarrollo Urbano</v>
      </c>
      <c r="F4665" s="25" t="str">
        <f ca="1">IFERROR(__xludf.DUMMYFUNCTION("""COMPUTED_VALUE"""),"Regiotram Occidente: 
Gestionar el decreto de Expropiación Administrativa de los proyectos privados ubicados en el Distrito, a partir del insumo de la EFR (lo deben enviar por escrito).
")</f>
        <v xml:space="preserve">Regiotram Occidente: 
Gestionar el decreto de Expropiación Administrativa de los proyectos privados ubicados en el Distrito, a partir del insumo de la EFR (lo deben enviar por escrito).
</v>
      </c>
      <c r="G4665" s="25" t="str">
        <f ca="1">IFERROR(__xludf.DUMMYFUNCTION("""COMPUTED_VALUE"""),"99. Distrito")</f>
        <v>99. Distrito</v>
      </c>
      <c r="H4665" s="55">
        <f ca="1">IFERROR(__xludf.DUMMYFUNCTION("""COMPUTED_VALUE"""),44680)</f>
        <v>44680</v>
      </c>
      <c r="I4665" s="25"/>
      <c r="J4665" s="55" t="str">
        <f ca="1">IFERROR(__xludf.DUMMYFUNCTION("""COMPUTED_VALUE"""),"Alta")</f>
        <v>Alta</v>
      </c>
      <c r="K4665" s="25">
        <f ca="1">IFERROR(__xludf.DUMMYFUNCTION("""COMPUTED_VALUE"""),30)</f>
        <v>30</v>
      </c>
      <c r="L4665" s="62">
        <f ca="1">IFERROR(__xludf.DUMMYFUNCTION("""COMPUTED_VALUE"""),44782)</f>
        <v>44782</v>
      </c>
      <c r="M4665" s="25" t="str">
        <f ca="1">IFERROR(__xludf.DUMMYFUNCTION("""COMPUTED_VALUE"""),"El IDU el 11/08/22 remite con firmas y VoBo, el decreto y exposición de motivos que declaran las condiciones de urgencia del proyecto Regiotram, a la SDM (Movilidad) para impulso de las demás firmas.")</f>
        <v>El IDU el 11/08/22 remite con firmas y VoBo, el decreto y exposición de motivos que declaran las condiciones de urgencia del proyecto Regiotram, a la SDM (Movilidad) para impulso de las demás firmas.</v>
      </c>
      <c r="N4665" s="55">
        <f ca="1">IFERROR(__xludf.DUMMYFUNCTION("""COMPUTED_VALUE"""),44782)</f>
        <v>44782</v>
      </c>
      <c r="O4665" s="25" t="str">
        <f t="shared" ca="1" si="0"/>
        <v>Instituto de Desarrollo Urbano</v>
      </c>
      <c r="P4665" s="25" t="str">
        <f t="shared" si="3"/>
        <v/>
      </c>
      <c r="Q4665" s="25" t="str">
        <f ca="1">IFERROR(__xludf.DUMMYFUNCTION("""COMPUTED_VALUE"""),"Corto plazo")</f>
        <v>Corto plazo</v>
      </c>
      <c r="R4665" s="25"/>
      <c r="S4665" s="55"/>
      <c r="T4665" s="56"/>
      <c r="U4665" s="25"/>
      <c r="V4665" s="25"/>
      <c r="W4665" s="25"/>
      <c r="X4665" s="25"/>
      <c r="Y4665" s="25"/>
      <c r="Z4665" s="25"/>
    </row>
    <row r="4666" spans="1:26" ht="52.5" customHeight="1" x14ac:dyDescent="0.25">
      <c r="A4666" s="25" t="str">
        <f ca="1">IFERROR(__xludf.DUMMYFUNCTION("""COMPUTED_VALUE"""),"Movil464")</f>
        <v>Movil464</v>
      </c>
      <c r="B4666" s="25" t="str">
        <f ca="1">IFERROR(__xludf.DUMMYFUNCTION("""COMPUTED_VALUE"""),"Junta de Infraestructura")</f>
        <v>Junta de Infraestructura</v>
      </c>
      <c r="C4666" s="55">
        <f ca="1">IFERROR(__xludf.DUMMYFUNCTION("""COMPUTED_VALUE"""),44650)</f>
        <v>44650</v>
      </c>
      <c r="D4666" s="25" t="str">
        <f ca="1">IFERROR(__xludf.DUMMYFUNCTION("""COMPUTED_VALUE"""),"Movilidad")</f>
        <v>Movilidad</v>
      </c>
      <c r="E4666" s="25" t="str">
        <f ca="1">IFERROR(__xludf.DUMMYFUNCTION("""COMPUTED_VALUE"""),"Empresa Metro de Bogotá S.A.")</f>
        <v>Empresa Metro de Bogotá S.A.</v>
      </c>
      <c r="F4666" s="25" t="str">
        <f ca="1">IFERROR(__xludf.DUMMYFUNCTION("""COMPUTED_VALUE"""),"Regiotram Norte: 
Definir la línea de tiempo de la contratación del Regiotram del Norte luego del paso del convenio de cofinanciación
")</f>
        <v xml:space="preserve">Regiotram Norte: 
Definir la línea de tiempo de la contratación del Regiotram del Norte luego del paso del convenio de cofinanciación
</v>
      </c>
      <c r="G4666" s="25" t="str">
        <f ca="1">IFERROR(__xludf.DUMMYFUNCTION("""COMPUTED_VALUE"""),"99. Distrito")</f>
        <v>99. Distrito</v>
      </c>
      <c r="H4666" s="55">
        <f ca="1">IFERROR(__xludf.DUMMYFUNCTION("""COMPUTED_VALUE"""),44680)</f>
        <v>44680</v>
      </c>
      <c r="I4666" s="25"/>
      <c r="J4666" s="55" t="str">
        <f ca="1">IFERROR(__xludf.DUMMYFUNCTION("""COMPUTED_VALUE"""),"Alta")</f>
        <v>Alta</v>
      </c>
      <c r="K4666" s="25">
        <f ca="1">IFERROR(__xludf.DUMMYFUNCTION("""COMPUTED_VALUE"""),30)</f>
        <v>30</v>
      </c>
      <c r="L4666" s="62">
        <f ca="1">IFERROR(__xludf.DUMMYFUNCTION("""COMPUTED_VALUE"""),44714)</f>
        <v>44714</v>
      </c>
      <c r="M4666" s="25" t="str">
        <f ca="1">IFERROR(__xludf.DUMMYFUNCTION("""COMPUTED_VALUE"""),"EMB: Haciendo un comparativo con Línea 2 del Metro de Bogotá, del Contrato Interadministrativo 136 de 2021 suscrito entre la EMB y la FDN, la fase 3 que corresponde a la preparación de documentos para el proceso licitatorio y la fase 4 que corresponde al "&amp;"proceso licitatorio; se estima un plazo de 18 meses a partir de la firma del Convenio de Cofinanciación.")</f>
        <v>EMB: Haciendo un comparativo con Línea 2 del Metro de Bogotá, del Contrato Interadministrativo 136 de 2021 suscrito entre la EMB y la FDN, la fase 3 que corresponde a la preparación de documentos para el proceso licitatorio y la fase 4 que corresponde al proceso licitatorio; se estima un plazo de 18 meses a partir de la firma del Convenio de Cofinanciación.</v>
      </c>
      <c r="N4666" s="55">
        <f ca="1">IFERROR(__xludf.DUMMYFUNCTION("""COMPUTED_VALUE"""),44714)</f>
        <v>44714</v>
      </c>
      <c r="O4666" s="25" t="str">
        <f t="shared" ca="1" si="0"/>
        <v>Empresa Metro de Bogotá S.A.</v>
      </c>
      <c r="P4666" s="25" t="str">
        <f t="shared" si="3"/>
        <v/>
      </c>
      <c r="Q4666" s="25" t="str">
        <f ca="1">IFERROR(__xludf.DUMMYFUNCTION("""COMPUTED_VALUE"""),"Corto plazo")</f>
        <v>Corto plazo</v>
      </c>
      <c r="R4666" s="25"/>
      <c r="S4666" s="55"/>
      <c r="T4666" s="56"/>
      <c r="U4666" s="25"/>
      <c r="V4666" s="25"/>
      <c r="W4666" s="25"/>
      <c r="X4666" s="25"/>
      <c r="Y4666" s="25"/>
      <c r="Z4666" s="25"/>
    </row>
    <row r="4667" spans="1:26" ht="52.5" customHeight="1" x14ac:dyDescent="0.25">
      <c r="A4667" s="25" t="str">
        <f ca="1">IFERROR(__xludf.DUMMYFUNCTION("""COMPUTED_VALUE"""),"Movil465")</f>
        <v>Movil465</v>
      </c>
      <c r="B4667" s="25" t="str">
        <f ca="1">IFERROR(__xludf.DUMMYFUNCTION("""COMPUTED_VALUE"""),"Junta de Infraestructura")</f>
        <v>Junta de Infraestructura</v>
      </c>
      <c r="C4667" s="55">
        <f ca="1">IFERROR(__xludf.DUMMYFUNCTION("""COMPUTED_VALUE"""),44650)</f>
        <v>44650</v>
      </c>
      <c r="D4667" s="25" t="str">
        <f ca="1">IFERROR(__xludf.DUMMYFUNCTION("""COMPUTED_VALUE"""),"Movilidad")</f>
        <v>Movilidad</v>
      </c>
      <c r="E4667" s="25" t="str">
        <f ca="1">IFERROR(__xludf.DUMMYFUNCTION("""COMPUTED_VALUE"""),"Empresa Metro de Bogotá S.A.")</f>
        <v>Empresa Metro de Bogotá S.A.</v>
      </c>
      <c r="F4667" s="25" t="str">
        <f ca="1">IFERROR(__xludf.DUMMYFUNCTION("""COMPUTED_VALUE"""),"Perfil Av. Caracas PLMB
Revisar la reducción del ancho del carril en las estaciones y el ancho del separador con el carril de mixto
")</f>
        <v xml:space="preserve">Perfil Av. Caracas PLMB
Revisar la reducción del ancho del carril en las estaciones y el ancho del separador con el carril de mixto
</v>
      </c>
      <c r="G4667" s="25" t="str">
        <f ca="1">IFERROR(__xludf.DUMMYFUNCTION("""COMPUTED_VALUE"""),"99. Distrito")</f>
        <v>99. Distrito</v>
      </c>
      <c r="H4667" s="55">
        <f ca="1">IFERROR(__xludf.DUMMYFUNCTION("""COMPUTED_VALUE"""),44680)</f>
        <v>44680</v>
      </c>
      <c r="I4667" s="25"/>
      <c r="J4667" s="55" t="str">
        <f ca="1">IFERROR(__xludf.DUMMYFUNCTION("""COMPUTED_VALUE"""),"Alta")</f>
        <v>Alta</v>
      </c>
      <c r="K4667" s="25">
        <f ca="1">IFERROR(__xludf.DUMMYFUNCTION("""COMPUTED_VALUE"""),30)</f>
        <v>30</v>
      </c>
      <c r="L4667" s="62">
        <f ca="1">IFERROR(__xludf.DUMMYFUNCTION("""COMPUTED_VALUE"""),44729)</f>
        <v>44729</v>
      </c>
      <c r="M4667" s="25" t="str">
        <f ca="1">IFERROR(__xludf.DUMMYFUNCTION("""COMPUTED_VALUE"""),"Mediante comunicación del 13 de junio de 2022, Transmilenio S.A. realizó la confirmación de la reducción del carril interno de TM en 10 cms en cuatro (4) estaciones, la cual fue informada al Concesionario ML 1 en comunicación EXTS22-0003340 del 15 de juni"&amp;"o de 2022
")</f>
        <v xml:space="preserve">Mediante comunicación del 13 de junio de 2022, Transmilenio S.A. realizó la confirmación de la reducción del carril interno de TM en 10 cms en cuatro (4) estaciones, la cual fue informada al Concesionario ML 1 en comunicación EXTS22-0003340 del 15 de junio de 2022
</v>
      </c>
      <c r="N4667" s="55">
        <f ca="1">IFERROR(__xludf.DUMMYFUNCTION("""COMPUTED_VALUE"""),44729)</f>
        <v>44729</v>
      </c>
      <c r="O4667" s="25" t="str">
        <f t="shared" ca="1" si="0"/>
        <v>Empresa Metro de Bogotá S.A.</v>
      </c>
      <c r="P4667" s="25" t="str">
        <f t="shared" si="3"/>
        <v/>
      </c>
      <c r="Q4667" s="25" t="str">
        <f ca="1">IFERROR(__xludf.DUMMYFUNCTION("""COMPUTED_VALUE"""),"Corto plazo")</f>
        <v>Corto plazo</v>
      </c>
      <c r="R4667" s="25"/>
      <c r="S4667" s="55"/>
      <c r="T4667" s="56"/>
      <c r="U4667" s="25"/>
      <c r="V4667" s="25"/>
      <c r="W4667" s="25"/>
      <c r="X4667" s="25"/>
      <c r="Y4667" s="25"/>
      <c r="Z4667" s="25"/>
    </row>
    <row r="4668" spans="1:26" ht="52.5" customHeight="1" x14ac:dyDescent="0.25">
      <c r="A4668" s="25" t="str">
        <f ca="1">IFERROR(__xludf.DUMMYFUNCTION("""COMPUTED_VALUE"""),"Movil466")</f>
        <v>Movil466</v>
      </c>
      <c r="B4668" s="25" t="str">
        <f ca="1">IFERROR(__xludf.DUMMYFUNCTION("""COMPUTED_VALUE"""),"Junta de Infraestructura")</f>
        <v>Junta de Infraestructura</v>
      </c>
      <c r="C4668" s="55">
        <f ca="1">IFERROR(__xludf.DUMMYFUNCTION("""COMPUTED_VALUE"""),44650)</f>
        <v>44650</v>
      </c>
      <c r="D4668" s="25" t="str">
        <f ca="1">IFERROR(__xludf.DUMMYFUNCTION("""COMPUTED_VALUE"""),"Movilidad")</f>
        <v>Movilidad</v>
      </c>
      <c r="E4668" s="25" t="str">
        <f ca="1">IFERROR(__xludf.DUMMYFUNCTION("""COMPUTED_VALUE"""),"Empresa Metro de Bogotá S.A.")</f>
        <v>Empresa Metro de Bogotá S.A.</v>
      </c>
      <c r="F4668" s="25" t="str">
        <f ca="1">IFERROR(__xludf.DUMMYFUNCTION("""COMPUTED_VALUE"""),"Perfil Av. Caracas PLMB 
Revisar en la Plaza del Voto Nacional un paso a desnivel, evaluando el impacto operacional en la troncal (si es alto, se debe hacer el paso subterráneo). Si no es alto el impacto, se selecciona la alternativa b.
")</f>
        <v xml:space="preserve">Perfil Av. Caracas PLMB 
Revisar en la Plaza del Voto Nacional un paso a desnivel, evaluando el impacto operacional en la troncal (si es alto, se debe hacer el paso subterráneo). Si no es alto el impacto, se selecciona la alternativa b.
</v>
      </c>
      <c r="G4668" s="25" t="str">
        <f ca="1">IFERROR(__xludf.DUMMYFUNCTION("""COMPUTED_VALUE"""),"99. Distrito")</f>
        <v>99. Distrito</v>
      </c>
      <c r="H4668" s="55">
        <f ca="1">IFERROR(__xludf.DUMMYFUNCTION("""COMPUTED_VALUE"""),44680)</f>
        <v>44680</v>
      </c>
      <c r="I4668" s="25"/>
      <c r="J4668" s="55" t="str">
        <f ca="1">IFERROR(__xludf.DUMMYFUNCTION("""COMPUTED_VALUE"""),"Alta")</f>
        <v>Alta</v>
      </c>
      <c r="K4668" s="25">
        <f ca="1">IFERROR(__xludf.DUMMYFUNCTION("""COMPUTED_VALUE"""),30)</f>
        <v>30</v>
      </c>
      <c r="L4668" s="62">
        <f ca="1">IFERROR(__xludf.DUMMYFUNCTION("""COMPUTED_VALUE"""),44855)</f>
        <v>44855</v>
      </c>
      <c r="M4668" s="25" t="str">
        <f ca="1">IFERROR(__xludf.DUMMYFUNCTION("""COMPUTED_VALUE"""),"El Concesionario ML1 está adelantando el diseño definitivo de acuerdo con la alternativa seleccionada para presentación a la Interventoría. Entrega programada para el 15/11/22 (entrega al 90%)")</f>
        <v>El Concesionario ML1 está adelantando el diseño definitivo de acuerdo con la alternativa seleccionada para presentación a la Interventoría. Entrega programada para el 15/11/22 (entrega al 90%)</v>
      </c>
      <c r="N4668" s="55">
        <f ca="1">IFERROR(__xludf.DUMMYFUNCTION("""COMPUTED_VALUE"""),44855)</f>
        <v>44855</v>
      </c>
      <c r="O4668" s="25" t="str">
        <f t="shared" ca="1" si="0"/>
        <v>Empresa Metro de Bogotá S.A.</v>
      </c>
      <c r="P4668" s="25" t="str">
        <f t="shared" si="3"/>
        <v/>
      </c>
      <c r="Q4668" s="25" t="str">
        <f ca="1">IFERROR(__xludf.DUMMYFUNCTION("""COMPUTED_VALUE"""),"Corto plazo")</f>
        <v>Corto plazo</v>
      </c>
      <c r="R4668" s="25"/>
      <c r="S4668" s="55"/>
      <c r="T4668" s="56"/>
      <c r="U4668" s="25"/>
      <c r="V4668" s="25"/>
      <c r="W4668" s="25"/>
      <c r="X4668" s="25"/>
      <c r="Y4668" s="25"/>
      <c r="Z4668" s="25"/>
    </row>
    <row r="4669" spans="1:26" ht="52.5" customHeight="1" x14ac:dyDescent="0.25">
      <c r="A4669" s="25" t="str">
        <f ca="1">IFERROR(__xludf.DUMMYFUNCTION("""COMPUTED_VALUE"""),"Movil467")</f>
        <v>Movil467</v>
      </c>
      <c r="B4669" s="25" t="str">
        <f ca="1">IFERROR(__xludf.DUMMYFUNCTION("""COMPUTED_VALUE"""),"Junta de Infraestructura")</f>
        <v>Junta de Infraestructura</v>
      </c>
      <c r="C4669" s="55">
        <f ca="1">IFERROR(__xludf.DUMMYFUNCTION("""COMPUTED_VALUE"""),44650)</f>
        <v>44650</v>
      </c>
      <c r="D4669" s="25" t="str">
        <f ca="1">IFERROR(__xludf.DUMMYFUNCTION("""COMPUTED_VALUE"""),"Movilidad")</f>
        <v>Movilidad</v>
      </c>
      <c r="E4669" s="25" t="str">
        <f ca="1">IFERROR(__xludf.DUMMYFUNCTION("""COMPUTED_VALUE"""),"Empresa Metro de Bogotá S.A.")</f>
        <v>Empresa Metro de Bogotá S.A.</v>
      </c>
      <c r="F4669" s="25" t="str">
        <f ca="1">IFERROR(__xludf.DUMMYFUNCTION("""COMPUTED_VALUE"""),"En la plaza del voto nacional se debe revisar si se cierra el cruce vehicular de la calle décima")</f>
        <v>En la plaza del voto nacional se debe revisar si se cierra el cruce vehicular de la calle décima</v>
      </c>
      <c r="G4669" s="25" t="str">
        <f ca="1">IFERROR(__xludf.DUMMYFUNCTION("""COMPUTED_VALUE"""),"99. Distrito")</f>
        <v>99. Distrito</v>
      </c>
      <c r="H4669" s="55">
        <f ca="1">IFERROR(__xludf.DUMMYFUNCTION("""COMPUTED_VALUE"""),44680)</f>
        <v>44680</v>
      </c>
      <c r="I4669" s="25"/>
      <c r="J4669" s="55" t="str">
        <f ca="1">IFERROR(__xludf.DUMMYFUNCTION("""COMPUTED_VALUE"""),"Alta")</f>
        <v>Alta</v>
      </c>
      <c r="K4669" s="25">
        <f ca="1">IFERROR(__xludf.DUMMYFUNCTION("""COMPUTED_VALUE"""),30)</f>
        <v>30</v>
      </c>
      <c r="L4669" s="62">
        <f ca="1">IFERROR(__xludf.DUMMYFUNCTION("""COMPUTED_VALUE"""),44855)</f>
        <v>44855</v>
      </c>
      <c r="M4669" s="25" t="str">
        <f ca="1">IFERROR(__xludf.DUMMYFUNCTION("""COMPUTED_VALUE"""),"El Concesionario ML1 está adelantando el diseño definitivo de acuerdo con la alternativa seleccionada para presentación a la Interventoría. Entrega programada para el 15/11/22 (entrega al 90%)")</f>
        <v>El Concesionario ML1 está adelantando el diseño definitivo de acuerdo con la alternativa seleccionada para presentación a la Interventoría. Entrega programada para el 15/11/22 (entrega al 90%)</v>
      </c>
      <c r="N4669" s="55">
        <f ca="1">IFERROR(__xludf.DUMMYFUNCTION("""COMPUTED_VALUE"""),44855)</f>
        <v>44855</v>
      </c>
      <c r="O4669" s="25" t="str">
        <f t="shared" ca="1" si="0"/>
        <v>Empresa Metro de Bogotá S.A.</v>
      </c>
      <c r="P4669" s="25" t="str">
        <f t="shared" si="3"/>
        <v/>
      </c>
      <c r="Q4669" s="25" t="str">
        <f ca="1">IFERROR(__xludf.DUMMYFUNCTION("""COMPUTED_VALUE"""),"Corto plazo")</f>
        <v>Corto plazo</v>
      </c>
      <c r="R4669" s="25"/>
      <c r="S4669" s="55"/>
      <c r="T4669" s="56"/>
      <c r="U4669" s="25"/>
      <c r="V4669" s="25"/>
      <c r="W4669" s="25"/>
      <c r="X4669" s="25"/>
      <c r="Y4669" s="25"/>
      <c r="Z4669" s="25"/>
    </row>
    <row r="4670" spans="1:26" ht="52.5" customHeight="1" x14ac:dyDescent="0.25">
      <c r="A4670" s="25" t="str">
        <f ca="1">IFERROR(__xludf.DUMMYFUNCTION("""COMPUTED_VALUE"""),"Movil468")</f>
        <v>Movil468</v>
      </c>
      <c r="B4670" s="25" t="str">
        <f ca="1">IFERROR(__xludf.DUMMYFUNCTION("""COMPUTED_VALUE"""),"Junta de Infraestructura")</f>
        <v>Junta de Infraestructura</v>
      </c>
      <c r="C4670" s="55">
        <f ca="1">IFERROR(__xludf.DUMMYFUNCTION("""COMPUTED_VALUE"""),44650)</f>
        <v>44650</v>
      </c>
      <c r="D4670" s="25" t="str">
        <f ca="1">IFERROR(__xludf.DUMMYFUNCTION("""COMPUTED_VALUE"""),"Movilidad")</f>
        <v>Movilidad</v>
      </c>
      <c r="E4670" s="25" t="str">
        <f ca="1">IFERROR(__xludf.DUMMYFUNCTION("""COMPUTED_VALUE"""),"Instituto de Desarrollo Urbano")</f>
        <v>Instituto de Desarrollo Urbano</v>
      </c>
      <c r="F4670" s="25" t="str">
        <f ca="1">IFERROR(__xludf.DUMMYFUNCTION("""COMPUTED_VALUE"""),"ALO NORTE (entre Humedal Juan Amarillo y la Conejera) – Conexiones
Estimar el costo de EyD, predios y obra del nuevo trazado de la ALO Norte. ")</f>
        <v xml:space="preserve">ALO NORTE (entre Humedal Juan Amarillo y la Conejera) – Conexiones
Estimar el costo de EyD, predios y obra del nuevo trazado de la ALO Norte. </v>
      </c>
      <c r="G4670" s="25" t="str">
        <f ca="1">IFERROR(__xludf.DUMMYFUNCTION("""COMPUTED_VALUE"""),"99. Distrito")</f>
        <v>99. Distrito</v>
      </c>
      <c r="H4670" s="55">
        <f ca="1">IFERROR(__xludf.DUMMYFUNCTION("""COMPUTED_VALUE"""),45107)</f>
        <v>45107</v>
      </c>
      <c r="I4670" s="25" t="str">
        <f ca="1">IFERROR(__xludf.DUMMYFUNCTION("""COMPUTED_VALUE"""),"Junta de Infraestructura")</f>
        <v>Junta de Infraestructura</v>
      </c>
      <c r="J4670" s="55" t="str">
        <f ca="1">IFERROR(__xludf.DUMMYFUNCTION("""COMPUTED_VALUE"""),"Baja")</f>
        <v>Baja</v>
      </c>
      <c r="K4670" s="25">
        <f ca="1">IFERROR(__xludf.DUMMYFUNCTION("""COMPUTED_VALUE"""),457)</f>
        <v>457</v>
      </c>
      <c r="L4670" s="62">
        <f ca="1">IFERROR(__xludf.DUMMYFUNCTION("""COMPUTED_VALUE"""),45077)</f>
        <v>45077</v>
      </c>
      <c r="M4670" s="25" t="str">
        <f ca="1">IFERROR(__xludf.DUMMYFUNCTION("""COMPUTED_VALUE"""),"Ya se entregó una estimación inicial, previa a la radicación del cupo de endeudamiento. En la última Junta la instrucción de la Alcaldesa, fue que el IDU adelante la prefactibilidad a finales de este año y le entregue los costos a Habitat. 
La estimació"&amp;"n de costos es resultado de la etapa que se está adelantando, el presupuesto es uno de los productos de esta etapa. Se espera finalizar en febrero de 2023. 
La entidad se encuentra finalizando documentación técnica y productos, que permitiran tener costo"&amp;"s a nivel de prefactibilidad.
En junta de infraestructura se define que se adelantarn factibilidad y diseños de los tramos 1,2, 3 y 5.
")</f>
        <v xml:space="preserve">Ya se entregó una estimación inicial, previa a la radicación del cupo de endeudamiento. En la última Junta la instrucción de la Alcaldesa, fue que el IDU adelante la prefactibilidad a finales de este año y le entregue los costos a Habitat. 
La estimación de costos es resultado de la etapa que se está adelantando, el presupuesto es uno de los productos de esta etapa. Se espera finalizar en febrero de 2023. 
La entidad se encuentra finalizando documentación técnica y productos, que permitiran tener costos a nivel de prefactibilidad.
En junta de infraestructura se define que se adelantarn factibilidad y diseños de los tramos 1,2, 3 y 5.
</v>
      </c>
      <c r="N4670" s="25"/>
      <c r="O4670" s="25" t="str">
        <f t="shared" ca="1" si="0"/>
        <v>Instituto de Desarrollo Urbano</v>
      </c>
      <c r="P4670" s="25" t="str">
        <f t="shared" ca="1" si="3"/>
        <v/>
      </c>
      <c r="Q4670" s="25" t="str">
        <f ca="1">IFERROR(__xludf.DUMMYFUNCTION("""COMPUTED_VALUE"""),"Largo plazo")</f>
        <v>Largo plazo</v>
      </c>
      <c r="R4670" s="25"/>
      <c r="S4670" s="55"/>
      <c r="T4670" s="56"/>
      <c r="U4670" s="25"/>
      <c r="V4670" s="25"/>
      <c r="W4670" s="25"/>
      <c r="X4670" s="25"/>
      <c r="Y4670" s="25"/>
      <c r="Z4670" s="25"/>
    </row>
    <row r="4671" spans="1:26" ht="52.5" customHeight="1" x14ac:dyDescent="0.25">
      <c r="A4671" s="25" t="str">
        <f ca="1">IFERROR(__xludf.DUMMYFUNCTION("""COMPUTED_VALUE"""),"Movil469")</f>
        <v>Movil469</v>
      </c>
      <c r="B4671" s="25" t="str">
        <f ca="1">IFERROR(__xludf.DUMMYFUNCTION("""COMPUTED_VALUE"""),"Junta de Infraestructura")</f>
        <v>Junta de Infraestructura</v>
      </c>
      <c r="C4671" s="55">
        <f ca="1">IFERROR(__xludf.DUMMYFUNCTION("""COMPUTED_VALUE"""),44650)</f>
        <v>44650</v>
      </c>
      <c r="D4671" s="25" t="str">
        <f ca="1">IFERROR(__xludf.DUMMYFUNCTION("""COMPUTED_VALUE"""),"Movilidad")</f>
        <v>Movilidad</v>
      </c>
      <c r="E4671" s="25" t="str">
        <f ca="1">IFERROR(__xludf.DUMMYFUNCTION("""COMPUTED_VALUE"""),"Secretaría Distrital de Movilidad")</f>
        <v>Secretaría Distrital de Movilidad</v>
      </c>
      <c r="F4671" s="25" t="str">
        <f ca="1">IFERROR(__xludf.DUMMYFUNCTION("""COMPUTED_VALUE"""),"Reconfigurar los perfiles requeridos para que ALO Centro, Av. Morisca, Av. Cali, ALO Norte y Av. Tabor")</f>
        <v>Reconfigurar los perfiles requeridos para que ALO Centro, Av. Morisca, Av. Cali, ALO Norte y Av. Tabor</v>
      </c>
      <c r="G4671" s="25" t="str">
        <f ca="1">IFERROR(__xludf.DUMMYFUNCTION("""COMPUTED_VALUE"""),"99. Distrito")</f>
        <v>99. Distrito</v>
      </c>
      <c r="H4671" s="55">
        <f ca="1">IFERROR(__xludf.DUMMYFUNCTION("""COMPUTED_VALUE"""),44680)</f>
        <v>44680</v>
      </c>
      <c r="I4671" s="25"/>
      <c r="J4671" s="55" t="str">
        <f ca="1">IFERROR(__xludf.DUMMYFUNCTION("""COMPUTED_VALUE"""),"Alta")</f>
        <v>Alta</v>
      </c>
      <c r="K4671" s="25">
        <f ca="1">IFERROR(__xludf.DUMMYFUNCTION("""COMPUTED_VALUE"""),30)</f>
        <v>30</v>
      </c>
      <c r="L4671" s="62">
        <f ca="1">IFERROR(__xludf.DUMMYFUNCTION("""COMPUTED_VALUE"""),44748)</f>
        <v>44748</v>
      </c>
      <c r="M4671" s="25" t="str">
        <f ca="1">IFERROR(__xludf.DUMMYFUNCTION("""COMPUTED_VALUE"""),"Se presentó en junta de infraestructura los cambios de los perfiles de las tipo A-3 para evitar el desarrollo de cuellos de botella por la no construcción de la ALO Norte. Se definen los tipos de intersección y soluciones adicionales a tener en cuenta en "&amp;"la estructuración de la ciudadela. ")</f>
        <v xml:space="preserve">Se presentó en junta de infraestructura los cambios de los perfiles de las tipo A-3 para evitar el desarrollo de cuellos de botella por la no construcción de la ALO Norte. Se definen los tipos de intersección y soluciones adicionales a tener en cuenta en la estructuración de la ciudadela. </v>
      </c>
      <c r="N4671" s="55">
        <f ca="1">IFERROR(__xludf.DUMMYFUNCTION("""COMPUTED_VALUE"""),44748)</f>
        <v>44748</v>
      </c>
      <c r="O4671" s="25" t="str">
        <f t="shared" ca="1" si="0"/>
        <v>Secretaría Distrital de Movilidad</v>
      </c>
      <c r="P4671" s="25" t="str">
        <f t="shared" si="3"/>
        <v/>
      </c>
      <c r="Q4671" s="25" t="str">
        <f ca="1">IFERROR(__xludf.DUMMYFUNCTION("""COMPUTED_VALUE"""),"Corto plazo")</f>
        <v>Corto plazo</v>
      </c>
      <c r="R4671" s="25"/>
      <c r="S4671" s="55"/>
      <c r="T4671" s="56"/>
      <c r="U4671" s="25"/>
      <c r="V4671" s="25"/>
      <c r="W4671" s="25"/>
      <c r="X4671" s="25"/>
      <c r="Y4671" s="25"/>
      <c r="Z4671" s="25"/>
    </row>
    <row r="4672" spans="1:26" ht="52.5" customHeight="1" x14ac:dyDescent="0.25">
      <c r="A4672" s="25" t="str">
        <f ca="1">IFERROR(__xludf.DUMMYFUNCTION("""COMPUTED_VALUE"""),"Movil470")</f>
        <v>Movil470</v>
      </c>
      <c r="B4672" s="25" t="str">
        <f ca="1">IFERROR(__xludf.DUMMYFUNCTION("""COMPUTED_VALUE"""),"Junta de Infraestructura")</f>
        <v>Junta de Infraestructura</v>
      </c>
      <c r="C4672" s="55">
        <f ca="1">IFERROR(__xludf.DUMMYFUNCTION("""COMPUTED_VALUE"""),44650)</f>
        <v>44650</v>
      </c>
      <c r="D4672" s="25" t="str">
        <f ca="1">IFERROR(__xludf.DUMMYFUNCTION("""COMPUTED_VALUE"""),"Movilidad")</f>
        <v>Movilidad</v>
      </c>
      <c r="E4672" s="25" t="str">
        <f ca="1">IFERROR(__xludf.DUMMYFUNCTION("""COMPUTED_VALUE"""),"Instituto de Desarrollo Urbano")</f>
        <v>Instituto de Desarrollo Urbano</v>
      </c>
      <c r="F4672" s="25" t="str">
        <f ca="1">IFERROR(__xludf.DUMMYFUNCTION("""COMPUTED_VALUE"""),"Cable Centro - Reencuentro Monserrate
Revisar cómo se optimiza un recorrido (conexión con un sendero) dentro de los terrenos de las universidades, porque actualmente este territorio no cuenta con espacio público. Se requiere concertar con las universid"&amp;"ades. 
")</f>
        <v xml:space="preserve">Cable Centro - Reencuentro Monserrate
Revisar cómo se optimiza un recorrido (conexión con un sendero) dentro de los terrenos de las universidades, porque actualmente este territorio no cuenta con espacio público. Se requiere concertar con las universidades. 
</v>
      </c>
      <c r="G4672" s="25" t="str">
        <f ca="1">IFERROR(__xludf.DUMMYFUNCTION("""COMPUTED_VALUE"""),"99. Distrito")</f>
        <v>99. Distrito</v>
      </c>
      <c r="H4672" s="55">
        <f ca="1">IFERROR(__xludf.DUMMYFUNCTION("""COMPUTED_VALUE"""),44680)</f>
        <v>44680</v>
      </c>
      <c r="I4672" s="25"/>
      <c r="J4672" s="55" t="str">
        <f ca="1">IFERROR(__xludf.DUMMYFUNCTION("""COMPUTED_VALUE"""),"Alta")</f>
        <v>Alta</v>
      </c>
      <c r="K4672" s="25">
        <f ca="1">IFERROR(__xludf.DUMMYFUNCTION("""COMPUTED_VALUE"""),30)</f>
        <v>30</v>
      </c>
      <c r="L4672" s="62">
        <f ca="1">IFERROR(__xludf.DUMMYFUNCTION("""COMPUTED_VALUE"""),44783)</f>
        <v>44783</v>
      </c>
      <c r="M4672" s="25" t="str">
        <f ca="1">IFERROR(__xludf.DUMMYFUNCTION("""COMPUTED_VALUE"""),"No se incluirá el sendero dentro de los estudios del cable considerando la alta complejidad ambiental y teniendo en cuenta que se no se encuentra dentro del área de influencia del cable. Se está revisando cómo abordar el proyecto del sendero")</f>
        <v>No se incluirá el sendero dentro de los estudios del cable considerando la alta complejidad ambiental y teniendo en cuenta que se no se encuentra dentro del área de influencia del cable. Se está revisando cómo abordar el proyecto del sendero</v>
      </c>
      <c r="N4672" s="55">
        <f ca="1">IFERROR(__xludf.DUMMYFUNCTION("""COMPUTED_VALUE"""),44783)</f>
        <v>44783</v>
      </c>
      <c r="O4672" s="25" t="str">
        <f t="shared" ca="1" si="0"/>
        <v>Instituto de Desarrollo Urbano</v>
      </c>
      <c r="P4672" s="25" t="str">
        <f t="shared" si="3"/>
        <v/>
      </c>
      <c r="Q4672" s="25" t="str">
        <f ca="1">IFERROR(__xludf.DUMMYFUNCTION("""COMPUTED_VALUE"""),"Corto plazo")</f>
        <v>Corto plazo</v>
      </c>
      <c r="R4672" s="25"/>
      <c r="S4672" s="55"/>
      <c r="T4672" s="56"/>
      <c r="U4672" s="25"/>
      <c r="V4672" s="25"/>
      <c r="W4672" s="25"/>
      <c r="X4672" s="25"/>
      <c r="Y4672" s="25"/>
      <c r="Z4672" s="25"/>
    </row>
    <row r="4673" spans="1:26" ht="52.5" customHeight="1" x14ac:dyDescent="0.25">
      <c r="A4673" s="25" t="str">
        <f ca="1">IFERROR(__xludf.DUMMYFUNCTION("""COMPUTED_VALUE"""),"Movil471")</f>
        <v>Movil471</v>
      </c>
      <c r="B4673" s="25" t="str">
        <f ca="1">IFERROR(__xludf.DUMMYFUNCTION("""COMPUTED_VALUE"""),"Junta de Infraestructura")</f>
        <v>Junta de Infraestructura</v>
      </c>
      <c r="C4673" s="55">
        <f ca="1">IFERROR(__xludf.DUMMYFUNCTION("""COMPUTED_VALUE"""),44650)</f>
        <v>44650</v>
      </c>
      <c r="D4673" s="25" t="str">
        <f ca="1">IFERROR(__xludf.DUMMYFUNCTION("""COMPUTED_VALUE"""),"Movilidad")</f>
        <v>Movilidad</v>
      </c>
      <c r="E4673" s="25" t="str">
        <f ca="1">IFERROR(__xludf.DUMMYFUNCTION("""COMPUTED_VALUE"""),"Instituto de Desarrollo Urbano")</f>
        <v>Instituto de Desarrollo Urbano</v>
      </c>
      <c r="F4673" s="25" t="str">
        <f ca="1">IFERROR(__xludf.DUMMYFUNCTION("""COMPUTED_VALUE"""),"Cable Centro - Reencuentro Monserrate
Ir con el proyecto de infraestructura y el trazado del cable propuesto al Consejo Nacional de Patrimonio y avanzar con el anuncio del proyecto de infraestructura de transporte (Cable aéreo), posteriormente (junio 2"&amp;"022) se realizará el anuncio de proyecto de revitalización integral. 
")</f>
        <v xml:space="preserve">Cable Centro - Reencuentro Monserrate
Ir con el proyecto de infraestructura y el trazado del cable propuesto al Consejo Nacional de Patrimonio y avanzar con el anuncio del proyecto de infraestructura de transporte (Cable aéreo), posteriormente (junio 2022) se realizará el anuncio de proyecto de revitalización integral. 
</v>
      </c>
      <c r="G4673" s="25" t="str">
        <f ca="1">IFERROR(__xludf.DUMMYFUNCTION("""COMPUTED_VALUE"""),"99. Distrito")</f>
        <v>99. Distrito</v>
      </c>
      <c r="H4673" s="55">
        <f ca="1">IFERROR(__xludf.DUMMYFUNCTION("""COMPUTED_VALUE"""),44680)</f>
        <v>44680</v>
      </c>
      <c r="I4673" s="25"/>
      <c r="J4673" s="55" t="str">
        <f ca="1">IFERROR(__xludf.DUMMYFUNCTION("""COMPUTED_VALUE"""),"Alta")</f>
        <v>Alta</v>
      </c>
      <c r="K4673" s="25">
        <f ca="1">IFERROR(__xludf.DUMMYFUNCTION("""COMPUTED_VALUE"""),30)</f>
        <v>30</v>
      </c>
      <c r="L4673" s="62">
        <f ca="1">IFERROR(__xludf.DUMMYFUNCTION("""COMPUTED_VALUE"""),44783)</f>
        <v>44783</v>
      </c>
      <c r="M4673" s="25" t="str">
        <f ca="1">IFERROR(__xludf.DUMMYFUNCTION("""COMPUTED_VALUE"""),"Como resultado de los estudios de factibilidad se podrá contar con los documentos para proceder con el anuncio del proyecto. 
 Este mes sale comunicación a min cultura y IDPC.")</f>
        <v>Como resultado de los estudios de factibilidad se podrá contar con los documentos para proceder con el anuncio del proyecto. 
 Este mes sale comunicación a min cultura y IDPC.</v>
      </c>
      <c r="N4673" s="55">
        <f ca="1">IFERROR(__xludf.DUMMYFUNCTION("""COMPUTED_VALUE"""),44783)</f>
        <v>44783</v>
      </c>
      <c r="O4673" s="25" t="str">
        <f t="shared" ca="1" si="0"/>
        <v>Instituto de Desarrollo Urbano</v>
      </c>
      <c r="P4673" s="25" t="str">
        <f t="shared" si="3"/>
        <v/>
      </c>
      <c r="Q4673" s="25" t="str">
        <f ca="1">IFERROR(__xludf.DUMMYFUNCTION("""COMPUTED_VALUE"""),"Corto plazo")</f>
        <v>Corto plazo</v>
      </c>
      <c r="R4673" s="25"/>
      <c r="S4673" s="55"/>
      <c r="T4673" s="56"/>
      <c r="U4673" s="25"/>
      <c r="V4673" s="25"/>
      <c r="W4673" s="25"/>
      <c r="X4673" s="25"/>
      <c r="Y4673" s="25"/>
      <c r="Z4673" s="25"/>
    </row>
    <row r="4674" spans="1:26" ht="52.5" customHeight="1" x14ac:dyDescent="0.25">
      <c r="A4674" s="25" t="str">
        <f ca="1">IFERROR(__xludf.DUMMYFUNCTION("""COMPUTED_VALUE"""),"Movil472")</f>
        <v>Movil472</v>
      </c>
      <c r="B4674" s="25" t="str">
        <f ca="1">IFERROR(__xludf.DUMMYFUNCTION("""COMPUTED_VALUE"""),"Junta de Infraestructura")</f>
        <v>Junta de Infraestructura</v>
      </c>
      <c r="C4674" s="55">
        <f ca="1">IFERROR(__xludf.DUMMYFUNCTION("""COMPUTED_VALUE"""),44650)</f>
        <v>44650</v>
      </c>
      <c r="D4674" s="25" t="str">
        <f ca="1">IFERROR(__xludf.DUMMYFUNCTION("""COMPUTED_VALUE"""),"Movilidad")</f>
        <v>Movilidad</v>
      </c>
      <c r="E4674" s="25" t="str">
        <f ca="1">IFERROR(__xludf.DUMMYFUNCTION("""COMPUTED_VALUE"""),"Instituto de Desarrollo Urbano")</f>
        <v>Instituto de Desarrollo Urbano</v>
      </c>
      <c r="F4674" s="25" t="str">
        <f ca="1">IFERROR(__xludf.DUMMYFUNCTION("""COMPUTED_VALUE"""),"Cable Centro - Reencuentro Monserrate
Se debe dejar contratado en este gobierno el Cable del centro Reencuentro - Monserrate.
")</f>
        <v xml:space="preserve">Cable Centro - Reencuentro Monserrate
Se debe dejar contratado en este gobierno el Cable del centro Reencuentro - Monserrate.
</v>
      </c>
      <c r="G4674" s="25" t="str">
        <f ca="1">IFERROR(__xludf.DUMMYFUNCTION("""COMPUTED_VALUE"""),"99. Distrito")</f>
        <v>99. Distrito</v>
      </c>
      <c r="H4674" s="55">
        <f ca="1">IFERROR(__xludf.DUMMYFUNCTION("""COMPUTED_VALUE"""),44680)</f>
        <v>44680</v>
      </c>
      <c r="I4674" s="25"/>
      <c r="J4674" s="55" t="str">
        <f ca="1">IFERROR(__xludf.DUMMYFUNCTION("""COMPUTED_VALUE"""),"Alta")</f>
        <v>Alta</v>
      </c>
      <c r="K4674" s="25">
        <f ca="1">IFERROR(__xludf.DUMMYFUNCTION("""COMPUTED_VALUE"""),30)</f>
        <v>30</v>
      </c>
      <c r="L4674" s="62">
        <f ca="1">IFERROR(__xludf.DUMMYFUNCTION("""COMPUTED_VALUE"""),44887)</f>
        <v>44887</v>
      </c>
      <c r="M4674" s="25" t="str">
        <f ca="1">IFERROR(__xludf.DUMMYFUNCTION("""COMPUTED_VALUE"""),"El 21/11/2022 se publicaron los pliegos definitivos para contratar la consultoría de los estudios de factibilidad del Cable Monserrate. Así mismo se está a la espera de la cotización de Metro Medellín para realizar la interventoría.")</f>
        <v>El 21/11/2022 se publicaron los pliegos definitivos para contratar la consultoría de los estudios de factibilidad del Cable Monserrate. Así mismo se está a la espera de la cotización de Metro Medellín para realizar la interventoría.</v>
      </c>
      <c r="N4674" s="55">
        <f ca="1">IFERROR(__xludf.DUMMYFUNCTION("""COMPUTED_VALUE"""),44887)</f>
        <v>44887</v>
      </c>
      <c r="O4674" s="25" t="str">
        <f t="shared" ca="1" si="0"/>
        <v>Instituto de Desarrollo Urbano</v>
      </c>
      <c r="P4674" s="25" t="str">
        <f t="shared" si="3"/>
        <v/>
      </c>
      <c r="Q4674" s="25" t="str">
        <f ca="1">IFERROR(__xludf.DUMMYFUNCTION("""COMPUTED_VALUE"""),"Corto plazo")</f>
        <v>Corto plazo</v>
      </c>
      <c r="R4674" s="25"/>
      <c r="S4674" s="55"/>
      <c r="T4674" s="56"/>
      <c r="U4674" s="25"/>
      <c r="V4674" s="25"/>
      <c r="W4674" s="25"/>
      <c r="X4674" s="25"/>
      <c r="Y4674" s="25"/>
      <c r="Z4674" s="25"/>
    </row>
    <row r="4675" spans="1:26" ht="52.5" customHeight="1" x14ac:dyDescent="0.25">
      <c r="A4675" s="25" t="str">
        <f ca="1">IFERROR(__xludf.DUMMYFUNCTION("""COMPUTED_VALUE"""),"Movil473")</f>
        <v>Movil473</v>
      </c>
      <c r="B4675" s="25" t="str">
        <f ca="1">IFERROR(__xludf.DUMMYFUNCTION("""COMPUTED_VALUE"""),"Junta de Infraestructura")</f>
        <v>Junta de Infraestructura</v>
      </c>
      <c r="C4675" s="55">
        <f ca="1">IFERROR(__xludf.DUMMYFUNCTION("""COMPUTED_VALUE"""),44650)</f>
        <v>44650</v>
      </c>
      <c r="D4675" s="25" t="str">
        <f ca="1">IFERROR(__xludf.DUMMYFUNCTION("""COMPUTED_VALUE"""),"Movilidad")</f>
        <v>Movilidad</v>
      </c>
      <c r="E4675" s="25" t="str">
        <f ca="1">IFERROR(__xludf.DUMMYFUNCTION("""COMPUTED_VALUE"""),"Instituto de Desarrollo Urbano")</f>
        <v>Instituto de Desarrollo Urbano</v>
      </c>
      <c r="F4675" s="25" t="str">
        <f ca="1">IFERROR(__xludf.DUMMYFUNCTION("""COMPUTED_VALUE"""),"Cable Centro - Reencuentro Monserrate
En la etapa de estudios y diseños, los productos que tengan que ver con la parte patrimonial se deben adelantar en su ejecución (IDU).
")</f>
        <v xml:space="preserve">Cable Centro - Reencuentro Monserrate
En la etapa de estudios y diseños, los productos que tengan que ver con la parte patrimonial se deben adelantar en su ejecución (IDU).
</v>
      </c>
      <c r="G4675" s="25" t="str">
        <f ca="1">IFERROR(__xludf.DUMMYFUNCTION("""COMPUTED_VALUE"""),"99. Distrito")</f>
        <v>99. Distrito</v>
      </c>
      <c r="H4675" s="55">
        <f ca="1">IFERROR(__xludf.DUMMYFUNCTION("""COMPUTED_VALUE"""),44680)</f>
        <v>44680</v>
      </c>
      <c r="I4675" s="25"/>
      <c r="J4675" s="55" t="str">
        <f ca="1">IFERROR(__xludf.DUMMYFUNCTION("""COMPUTED_VALUE"""),"Alta")</f>
        <v>Alta</v>
      </c>
      <c r="K4675" s="25">
        <f ca="1">IFERROR(__xludf.DUMMYFUNCTION("""COMPUTED_VALUE"""),30)</f>
        <v>30</v>
      </c>
      <c r="L4675" s="62">
        <f ca="1">IFERROR(__xludf.DUMMYFUNCTION("""COMPUTED_VALUE"""),44783)</f>
        <v>44783</v>
      </c>
      <c r="M4675" s="25" t="str">
        <f ca="1">IFERROR(__xludf.DUMMYFUNCTION("""COMPUTED_VALUE"""),"Se incorporó ese alcance a los documentos precontractuales de estudios y diseños desde las competencias del instituto")</f>
        <v>Se incorporó ese alcance a los documentos precontractuales de estudios y diseños desde las competencias del instituto</v>
      </c>
      <c r="N4675" s="55">
        <f ca="1">IFERROR(__xludf.DUMMYFUNCTION("""COMPUTED_VALUE"""),44783)</f>
        <v>44783</v>
      </c>
      <c r="O4675" s="25" t="str">
        <f t="shared" ca="1" si="0"/>
        <v>Instituto de Desarrollo Urbano</v>
      </c>
      <c r="P4675" s="25" t="str">
        <f t="shared" si="3"/>
        <v/>
      </c>
      <c r="Q4675" s="25" t="str">
        <f ca="1">IFERROR(__xludf.DUMMYFUNCTION("""COMPUTED_VALUE"""),"Corto plazo")</f>
        <v>Corto plazo</v>
      </c>
      <c r="R4675" s="25"/>
      <c r="S4675" s="55"/>
      <c r="T4675" s="56"/>
      <c r="U4675" s="25"/>
      <c r="V4675" s="25"/>
      <c r="W4675" s="25"/>
      <c r="X4675" s="25"/>
      <c r="Y4675" s="25"/>
      <c r="Z4675" s="25"/>
    </row>
    <row r="4676" spans="1:26" ht="52.5" customHeight="1" x14ac:dyDescent="0.25">
      <c r="A4676" s="25" t="str">
        <f ca="1">IFERROR(__xludf.DUMMYFUNCTION("""COMPUTED_VALUE"""),"Movil474")</f>
        <v>Movil474</v>
      </c>
      <c r="B4676" s="25" t="str">
        <f ca="1">IFERROR(__xludf.DUMMYFUNCTION("""COMPUTED_VALUE"""),"Junta de Infraestructura")</f>
        <v>Junta de Infraestructura</v>
      </c>
      <c r="C4676" s="55">
        <f ca="1">IFERROR(__xludf.DUMMYFUNCTION("""COMPUTED_VALUE"""),44650)</f>
        <v>44650</v>
      </c>
      <c r="D4676" s="25" t="str">
        <f ca="1">IFERROR(__xludf.DUMMYFUNCTION("""COMPUTED_VALUE"""),"Movilidad")</f>
        <v>Movilidad</v>
      </c>
      <c r="E4676" s="25" t="str">
        <f ca="1">IFERROR(__xludf.DUMMYFUNCTION("""COMPUTED_VALUE"""),"Instituto de Desarrollo Urbano")</f>
        <v>Instituto de Desarrollo Urbano</v>
      </c>
      <c r="F4676" s="25" t="str">
        <f ca="1">IFERROR(__xludf.DUMMYFUNCTION("""COMPUTED_VALUE"""),"Conexión Bogotá – Soacha
Revisar la posibilidad de realizar la factibilidad y los estudios y diseños de forma paralela; y el vehículo jurídico para incluir más recursos a la cooperación francesa
")</f>
        <v xml:space="preserve">Conexión Bogotá – Soacha
Revisar la posibilidad de realizar la factibilidad y los estudios y diseños de forma paralela; y el vehículo jurídico para incluir más recursos a la cooperación francesa
</v>
      </c>
      <c r="G4676" s="25" t="str">
        <f ca="1">IFERROR(__xludf.DUMMYFUNCTION("""COMPUTED_VALUE"""),"99. Distrito")</f>
        <v>99. Distrito</v>
      </c>
      <c r="H4676" s="55">
        <f ca="1">IFERROR(__xludf.DUMMYFUNCTION("""COMPUTED_VALUE"""),44680)</f>
        <v>44680</v>
      </c>
      <c r="I4676" s="25"/>
      <c r="J4676" s="55" t="str">
        <f ca="1">IFERROR(__xludf.DUMMYFUNCTION("""COMPUTED_VALUE"""),"Alta")</f>
        <v>Alta</v>
      </c>
      <c r="K4676" s="25">
        <f ca="1">IFERROR(__xludf.DUMMYFUNCTION("""COMPUTED_VALUE"""),30)</f>
        <v>30</v>
      </c>
      <c r="L4676" s="62">
        <f ca="1">IFERROR(__xludf.DUMMYFUNCTION("""COMPUTED_VALUE"""),44783)</f>
        <v>44783</v>
      </c>
      <c r="M4676" s="25" t="str">
        <f ca="1">IFERROR(__xludf.DUMMYFUNCTION("""COMPUTED_VALUE"""),"No es posible adicionar el contrato en curso de la AFD, y la agencia no dispone de más recursos de cooperación para este proyecto
")</f>
        <v xml:space="preserve">No es posible adicionar el contrato en curso de la AFD, y la agencia no dispone de más recursos de cooperación para este proyecto
</v>
      </c>
      <c r="N4676" s="55">
        <f ca="1">IFERROR(__xludf.DUMMYFUNCTION("""COMPUTED_VALUE"""),44783)</f>
        <v>44783</v>
      </c>
      <c r="O4676" s="25" t="str">
        <f t="shared" ca="1" si="0"/>
        <v>Instituto de Desarrollo Urbano</v>
      </c>
      <c r="P4676" s="25" t="str">
        <f t="shared" si="3"/>
        <v/>
      </c>
      <c r="Q4676" s="25" t="str">
        <f ca="1">IFERROR(__xludf.DUMMYFUNCTION("""COMPUTED_VALUE"""),"Corto plazo")</f>
        <v>Corto plazo</v>
      </c>
      <c r="R4676" s="25"/>
      <c r="S4676" s="55"/>
      <c r="T4676" s="56"/>
      <c r="U4676" s="25"/>
      <c r="V4676" s="25"/>
      <c r="W4676" s="25"/>
      <c r="X4676" s="25"/>
      <c r="Y4676" s="25"/>
      <c r="Z4676" s="25"/>
    </row>
    <row r="4677" spans="1:26" ht="52.5" customHeight="1" x14ac:dyDescent="0.25">
      <c r="A4677" s="25" t="str">
        <f ca="1">IFERROR(__xludf.DUMMYFUNCTION("""COMPUTED_VALUE"""),"Movil475")</f>
        <v>Movil475</v>
      </c>
      <c r="B4677" s="25" t="str">
        <f ca="1">IFERROR(__xludf.DUMMYFUNCTION("""COMPUTED_VALUE"""),"Junta de Infraestructura")</f>
        <v>Junta de Infraestructura</v>
      </c>
      <c r="C4677" s="55">
        <f ca="1">IFERROR(__xludf.DUMMYFUNCTION("""COMPUTED_VALUE"""),44650)</f>
        <v>44650</v>
      </c>
      <c r="D4677" s="25" t="str">
        <f ca="1">IFERROR(__xludf.DUMMYFUNCTION("""COMPUTED_VALUE"""),"Movilidad")</f>
        <v>Movilidad</v>
      </c>
      <c r="E4677" s="25" t="str">
        <f ca="1">IFERROR(__xludf.DUMMYFUNCTION("""COMPUTED_VALUE"""),"Instituto de Desarrollo Urbano")</f>
        <v>Instituto de Desarrollo Urbano</v>
      </c>
      <c r="F4677" s="25" t="str">
        <f ca="1">IFERROR(__xludf.DUMMYFUNCTION("""COMPUTED_VALUE"""),"Cable Usaquén
Se debe realizar la cotización para actualizar los estudios realizados en 2009 y la prefactibilidad.
")</f>
        <v xml:space="preserve">Cable Usaquén
Se debe realizar la cotización para actualizar los estudios realizados en 2009 y la prefactibilidad.
</v>
      </c>
      <c r="G4677" s="25" t="str">
        <f ca="1">IFERROR(__xludf.DUMMYFUNCTION("""COMPUTED_VALUE"""),"99. Distrito")</f>
        <v>99. Distrito</v>
      </c>
      <c r="H4677" s="55">
        <f ca="1">IFERROR(__xludf.DUMMYFUNCTION("""COMPUTED_VALUE"""),44680)</f>
        <v>44680</v>
      </c>
      <c r="I4677" s="25"/>
      <c r="J4677" s="55" t="str">
        <f ca="1">IFERROR(__xludf.DUMMYFUNCTION("""COMPUTED_VALUE"""),"Alta")</f>
        <v>Alta</v>
      </c>
      <c r="K4677" s="25">
        <f ca="1">IFERROR(__xludf.DUMMYFUNCTION("""COMPUTED_VALUE"""),30)</f>
        <v>30</v>
      </c>
      <c r="L4677" s="62">
        <f ca="1">IFERROR(__xludf.DUMMYFUNCTION("""COMPUTED_VALUE"""),44887)</f>
        <v>44887</v>
      </c>
      <c r="M4677" s="25" t="str">
        <f ca="1">IFERROR(__xludf.DUMMYFUNCTION("""COMPUTED_VALUE"""),"Ya se tiene la cotizaciones y se contratará en 2023. ")</f>
        <v xml:space="preserve">Ya se tiene la cotizaciones y se contratará en 2023. </v>
      </c>
      <c r="N4677" s="55">
        <f ca="1">IFERROR(__xludf.DUMMYFUNCTION("""COMPUTED_VALUE"""),44887)</f>
        <v>44887</v>
      </c>
      <c r="O4677" s="25" t="str">
        <f t="shared" ca="1" si="0"/>
        <v>Instituto de Desarrollo Urbano</v>
      </c>
      <c r="P4677" s="25" t="str">
        <f t="shared" si="3"/>
        <v/>
      </c>
      <c r="Q4677" s="25" t="str">
        <f ca="1">IFERROR(__xludf.DUMMYFUNCTION("""COMPUTED_VALUE"""),"Corto plazo")</f>
        <v>Corto plazo</v>
      </c>
      <c r="R4677" s="25"/>
      <c r="S4677" s="55"/>
      <c r="T4677" s="56"/>
      <c r="U4677" s="25"/>
      <c r="V4677" s="25"/>
      <c r="W4677" s="25"/>
      <c r="X4677" s="25"/>
      <c r="Y4677" s="25"/>
      <c r="Z4677" s="25"/>
    </row>
    <row r="4678" spans="1:26" ht="52.5" customHeight="1" x14ac:dyDescent="0.25">
      <c r="A4678" s="25" t="str">
        <f ca="1">IFERROR(__xludf.DUMMYFUNCTION("""COMPUTED_VALUE"""),"Movil476")</f>
        <v>Movil476</v>
      </c>
      <c r="B4678" s="25" t="str">
        <f ca="1">IFERROR(__xludf.DUMMYFUNCTION("""COMPUTED_VALUE"""),"Junta de Infraestructura")</f>
        <v>Junta de Infraestructura</v>
      </c>
      <c r="C4678" s="55">
        <f ca="1">IFERROR(__xludf.DUMMYFUNCTION("""COMPUTED_VALUE"""),44650)</f>
        <v>44650</v>
      </c>
      <c r="D4678" s="25" t="str">
        <f ca="1">IFERROR(__xludf.DUMMYFUNCTION("""COMPUTED_VALUE"""),"Movilidad")</f>
        <v>Movilidad</v>
      </c>
      <c r="E4678" s="25" t="str">
        <f ca="1">IFERROR(__xludf.DUMMYFUNCTION("""COMPUTED_VALUE"""),"Instituto de Desarrollo Urbano")</f>
        <v>Instituto de Desarrollo Urbano</v>
      </c>
      <c r="F4678" s="25" t="str">
        <f ca="1">IFERROR(__xludf.DUMMYFUNCTION("""COMPUTED_VALUE"""),"Cable San Rafael - La Calera
Se requiere estimar el costo de la actualización de la factibilidad con: 1) Aislamiento de la última estación (salida hacia La Calera y no hacia el Embalse); 2) Conexión desde la última estación a La Calera; 3) Costo de los t"&amp;"rámites ambientales; y 4) Estudio de demanda.
")</f>
        <v xml:space="preserve">Cable San Rafael - La Calera
Se requiere estimar el costo de la actualización de la factibilidad con: 1) Aislamiento de la última estación (salida hacia La Calera y no hacia el Embalse); 2) Conexión desde la última estación a La Calera; 3) Costo de los trámites ambientales; y 4) Estudio de demanda.
</v>
      </c>
      <c r="G4678" s="25" t="str">
        <f ca="1">IFERROR(__xludf.DUMMYFUNCTION("""COMPUTED_VALUE"""),"99. Distrito")</f>
        <v>99. Distrito</v>
      </c>
      <c r="H4678" s="55">
        <f ca="1">IFERROR(__xludf.DUMMYFUNCTION("""COMPUTED_VALUE"""),44680)</f>
        <v>44680</v>
      </c>
      <c r="I4678" s="25"/>
      <c r="J4678" s="55" t="str">
        <f ca="1">IFERROR(__xludf.DUMMYFUNCTION("""COMPUTED_VALUE"""),"Alta")</f>
        <v>Alta</v>
      </c>
      <c r="K4678" s="25">
        <f ca="1">IFERROR(__xludf.DUMMYFUNCTION("""COMPUTED_VALUE"""),30)</f>
        <v>30</v>
      </c>
      <c r="L4678" s="62">
        <f ca="1">IFERROR(__xludf.DUMMYFUNCTION("""COMPUTED_VALUE"""),44783)</f>
        <v>44783</v>
      </c>
      <c r="M4678" s="25" t="str">
        <f ca="1">IFERROR(__xludf.DUMMYFUNCTION("""COMPUTED_VALUE"""),"FDN presento cotización - se tomó decisión de cambiar trazado ya no va el cable como estaba. En 2023 se contratará el nuevo trazado.")</f>
        <v>FDN presento cotización - se tomó decisión de cambiar trazado ya no va el cable como estaba. En 2023 se contratará el nuevo trazado.</v>
      </c>
      <c r="N4678" s="55">
        <f ca="1">IFERROR(__xludf.DUMMYFUNCTION("""COMPUTED_VALUE"""),44783)</f>
        <v>44783</v>
      </c>
      <c r="O4678" s="25" t="str">
        <f t="shared" ca="1" si="0"/>
        <v>Instituto de Desarrollo Urbano</v>
      </c>
      <c r="P4678" s="25" t="str">
        <f t="shared" si="3"/>
        <v/>
      </c>
      <c r="Q4678" s="25" t="str">
        <f ca="1">IFERROR(__xludf.DUMMYFUNCTION("""COMPUTED_VALUE"""),"Corto plazo")</f>
        <v>Corto plazo</v>
      </c>
      <c r="R4678" s="25"/>
      <c r="S4678" s="55"/>
      <c r="T4678" s="56"/>
      <c r="U4678" s="25"/>
      <c r="V4678" s="25"/>
      <c r="W4678" s="25"/>
      <c r="X4678" s="25"/>
      <c r="Y4678" s="25"/>
      <c r="Z4678" s="25"/>
    </row>
    <row r="4679" spans="1:26" ht="52.5" customHeight="1" x14ac:dyDescent="0.25">
      <c r="A4679" s="25" t="str">
        <f ca="1">IFERROR(__xludf.DUMMYFUNCTION("""COMPUTED_VALUE"""),"Movil477")</f>
        <v>Movil477</v>
      </c>
      <c r="B4679" s="25" t="str">
        <f ca="1">IFERROR(__xludf.DUMMYFUNCTION("""COMPUTED_VALUE"""),"Corredor vial 7 seguimiento")</f>
        <v>Corredor vial 7 seguimiento</v>
      </c>
      <c r="C4679" s="55">
        <f ca="1">IFERROR(__xludf.DUMMYFUNCTION("""COMPUTED_VALUE"""),44673)</f>
        <v>44673</v>
      </c>
      <c r="D4679" s="25" t="str">
        <f ca="1">IFERROR(__xludf.DUMMYFUNCTION("""COMPUTED_VALUE"""),"Movilidad")</f>
        <v>Movilidad</v>
      </c>
      <c r="E4679" s="25" t="str">
        <f ca="1">IFERROR(__xludf.DUMMYFUNCTION("""COMPUTED_VALUE"""),"Empresa de Transporte del Tercer Milenio - Transmilenio S.A.")</f>
        <v>Empresa de Transporte del Tercer Milenio - Transmilenio S.A.</v>
      </c>
      <c r="F4679" s="25" t="str">
        <f ca="1">IFERROR(__xludf.DUMMYFUNCTION("""COMPUTED_VALUE"""),"Remitir a Alcaldía la información del decreto reglamentario para solicitar a MinJusticia apoyo en la expedición del Decreto Derecho Real de Superficie")</f>
        <v>Remitir a Alcaldía la información del decreto reglamentario para solicitar a MinJusticia apoyo en la expedición del Decreto Derecho Real de Superficie</v>
      </c>
      <c r="G4679" s="25" t="str">
        <f ca="1">IFERROR(__xludf.DUMMYFUNCTION("""COMPUTED_VALUE"""),"99. Distrito")</f>
        <v>99. Distrito</v>
      </c>
      <c r="H4679" s="55">
        <f ca="1">IFERROR(__xludf.DUMMYFUNCTION("""COMPUTED_VALUE"""),44703)</f>
        <v>44703</v>
      </c>
      <c r="I4679" s="25"/>
      <c r="J4679" s="55" t="str">
        <f ca="1">IFERROR(__xludf.DUMMYFUNCTION("""COMPUTED_VALUE"""),"Alta")</f>
        <v>Alta</v>
      </c>
      <c r="K4679" s="25">
        <f ca="1">IFERROR(__xludf.DUMMYFUNCTION("""COMPUTED_VALUE"""),30)</f>
        <v>30</v>
      </c>
      <c r="L4679" s="62"/>
      <c r="M4679" s="25" t="str">
        <f ca="1">IFERROR(__xludf.DUMMYFUNCTION("""COMPUTED_VALUE"""),"La reglamentación es competencia de minvivienda y es la que publicó el py de decreto.  Es competencia exclusiva de la nación.")</f>
        <v>La reglamentación es competencia de minvivienda y es la que publicó el py de decreto.  Es competencia exclusiva de la nación.</v>
      </c>
      <c r="N4679" s="55">
        <f ca="1">IFERROR(__xludf.DUMMYFUNCTION("""COMPUTED_VALUE"""),44927)</f>
        <v>44927</v>
      </c>
      <c r="O4679" s="25" t="str">
        <f t="shared" ca="1" si="0"/>
        <v>Empresa de Transporte del Tercer Milenio - Transmilenio S.A.</v>
      </c>
      <c r="P4679" s="25" t="str">
        <f t="shared" si="3"/>
        <v/>
      </c>
      <c r="Q4679" s="25" t="str">
        <f ca="1">IFERROR(__xludf.DUMMYFUNCTION("""COMPUTED_VALUE"""),"Corto plazo")</f>
        <v>Corto plazo</v>
      </c>
      <c r="R4679" s="25"/>
      <c r="S4679" s="55"/>
      <c r="T4679" s="56"/>
      <c r="U4679" s="25"/>
      <c r="V4679" s="25"/>
      <c r="W4679" s="25"/>
      <c r="X4679" s="25"/>
      <c r="Y4679" s="25"/>
      <c r="Z4679" s="25"/>
    </row>
    <row r="4680" spans="1:26" ht="52.5" customHeight="1" x14ac:dyDescent="0.25">
      <c r="A4680" s="25" t="str">
        <f ca="1">IFERROR(__xludf.DUMMYFUNCTION("""COMPUTED_VALUE"""),"Movil478")</f>
        <v>Movil478</v>
      </c>
      <c r="B4680" s="25" t="str">
        <f ca="1">IFERROR(__xludf.DUMMYFUNCTION("""COMPUTED_VALUE"""),"Corredor vial 7 seguimiento")</f>
        <v>Corredor vial 7 seguimiento</v>
      </c>
      <c r="C4680" s="55">
        <f ca="1">IFERROR(__xludf.DUMMYFUNCTION("""COMPUTED_VALUE"""),44673)</f>
        <v>44673</v>
      </c>
      <c r="D4680" s="25" t="str">
        <f ca="1">IFERROR(__xludf.DUMMYFUNCTION("""COMPUTED_VALUE"""),"Movilidad")</f>
        <v>Movilidad</v>
      </c>
      <c r="E4680" s="25" t="str">
        <f ca="1">IFERROR(__xludf.DUMMYFUNCTION("""COMPUTED_VALUE"""),"Instituto de Desarrollo Urbano")</f>
        <v>Instituto de Desarrollo Urbano</v>
      </c>
      <c r="F4680" s="25" t="str">
        <f ca="1">IFERROR(__xludf.DUMMYFUNCTION("""COMPUTED_VALUE"""),"Remitir la información para el trámite ante el Ministerio de Cultura respecto a los BIC nacionales")</f>
        <v>Remitir la información para el trámite ante el Ministerio de Cultura respecto a los BIC nacionales</v>
      </c>
      <c r="G4680" s="25" t="str">
        <f ca="1">IFERROR(__xludf.DUMMYFUNCTION("""COMPUTED_VALUE"""),"99. Distrito")</f>
        <v>99. Distrito</v>
      </c>
      <c r="H4680" s="55">
        <f ca="1">IFERROR(__xludf.DUMMYFUNCTION("""COMPUTED_VALUE"""),45107)</f>
        <v>45107</v>
      </c>
      <c r="I4680" s="25" t="str">
        <f ca="1">IFERROR(__xludf.DUMMYFUNCTION("""COMPUTED_VALUE"""),"Junta de Infraestructura")</f>
        <v>Junta de Infraestructura</v>
      </c>
      <c r="J4680" s="55" t="str">
        <f ca="1">IFERROR(__xludf.DUMMYFUNCTION("""COMPUTED_VALUE"""),"Baja")</f>
        <v>Baja</v>
      </c>
      <c r="K4680" s="25">
        <f ca="1">IFERROR(__xludf.DUMMYFUNCTION("""COMPUTED_VALUE"""),434)</f>
        <v>434</v>
      </c>
      <c r="L4680" s="62">
        <f ca="1">IFERROR(__xludf.DUMMYFUNCTION("""COMPUTED_VALUE"""),45078)</f>
        <v>45078</v>
      </c>
      <c r="M4680" s="25" t="str">
        <f ca="1">IFERROR(__xludf.DUMMYFUNCTION("""COMPUTED_VALUE"""),"CV7: Se iniciaron mesas de trabajo conjuntas con IDPC/Mincultura para revisar el enfoque del proyecto y las afectaciones a bienes muebles e inmuebles sobre el proyecto. Siguen las mesas avanzando y se prepara radicación formal de los tres tramos. 
Se inic"&amp;"ió proceso de inventario de inmuebles y elementos patrimoniales del corredor en conjunto con IDPC y con Ministerio de Cultura para las Zonas PEMP.
8/03/2023: Se inició un proceso de revisión predio a predio por parte de los tres tramos de manera conjunta "&amp;"con Min Cultura e IDPC para adelantar la revisión y generar los permisos necesarios. El Ministerio recuerda que sólo dara aprobaciones una vez están las aprobaciones de empresas de servicios públicos, sin embargo se avanzará de manera paralela en mesas se"&amp;"manales para la revisión predio a predio del corredor y de esta manera agilizar las aprobaciones necesarias antes de la apertura de la licitación. Se establece cronograma de manera conjunta con los consultores e Interventoria de los 3 tramos de CV7 y la e"&amp;"ntrega de información. 1/06/23. El IDU cuenta con toda la información patrimonial radicada por las consultorías con aval de interventoría y está en proceso de radicación final a IDPC y Mincultura. Por los avances en el proceso de construcción del entregab"&amp;"le y la socialización previa se prevén pocos comentarios. Con esta maduración como está se puede proceder a obra en lo que respecta a este componente.")</f>
        <v>CV7: Se iniciaron mesas de trabajo conjuntas con IDPC/Mincultura para revisar el enfoque del proyecto y las afectaciones a bienes muebles e inmuebles sobre el proyecto. Siguen las mesas avanzando y se prepara radicación formal de los tres tramos. 
Se inició proceso de inventario de inmuebles y elementos patrimoniales del corredor en conjunto con IDPC y con Ministerio de Cultura para las Zonas PEMP.
8/03/2023: Se inició un proceso de revisión predio a predio por parte de los tres tramos de manera conjunta con Min Cultura e IDPC para adelantar la revisión y generar los permisos necesarios. El Ministerio recuerda que sólo dara aprobaciones una vez están las aprobaciones de empresas de servicios públicos, sin embargo se avanzará de manera paralela en mesas semanales para la revisión predio a predio del corredor y de esta manera agilizar las aprobaciones necesarias antes de la apertura de la licitación. Se establece cronograma de manera conjunta con los consultores e Interventoria de los 3 tramos de CV7 y la entrega de información. 1/06/23. El IDU cuenta con toda la información patrimonial radicada por las consultorías con aval de interventoría y está en proceso de radicación final a IDPC y Mincultura. Por los avances en el proceso de construcción del entregable y la socialización previa se prevén pocos comentarios. Con esta maduración como está se puede proceder a obra en lo que respecta a este componente.</v>
      </c>
      <c r="N4680" s="25"/>
      <c r="O4680" s="25" t="str">
        <f t="shared" ca="1" si="0"/>
        <v>Instituto de Desarrollo Urbano</v>
      </c>
      <c r="P4680" s="25" t="str">
        <f t="shared" ca="1" si="3"/>
        <v/>
      </c>
      <c r="Q4680" s="25" t="str">
        <f ca="1">IFERROR(__xludf.DUMMYFUNCTION("""COMPUTED_VALUE"""),"Largo plazo")</f>
        <v>Largo plazo</v>
      </c>
      <c r="R4680" s="25"/>
      <c r="S4680" s="55"/>
      <c r="T4680" s="56"/>
      <c r="U4680" s="25"/>
      <c r="V4680" s="25"/>
      <c r="W4680" s="25"/>
      <c r="X4680" s="25"/>
      <c r="Y4680" s="25"/>
      <c r="Z4680" s="25"/>
    </row>
    <row r="4681" spans="1:26" ht="52.5" customHeight="1" x14ac:dyDescent="0.25">
      <c r="A4681" s="25" t="str">
        <f ca="1">IFERROR(__xludf.DUMMYFUNCTION("""COMPUTED_VALUE"""),"Movil479")</f>
        <v>Movil479</v>
      </c>
      <c r="B4681" s="25" t="str">
        <f ca="1">IFERROR(__xludf.DUMMYFUNCTION("""COMPUTED_VALUE"""),"Corredor vial 7 seguimiento")</f>
        <v>Corredor vial 7 seguimiento</v>
      </c>
      <c r="C4681" s="55">
        <f ca="1">IFERROR(__xludf.DUMMYFUNCTION("""COMPUTED_VALUE"""),44673)</f>
        <v>44673</v>
      </c>
      <c r="D4681" s="25" t="str">
        <f ca="1">IFERROR(__xludf.DUMMYFUNCTION("""COMPUTED_VALUE"""),"Movilidad")</f>
        <v>Movilidad</v>
      </c>
      <c r="E4681" s="25" t="str">
        <f ca="1">IFERROR(__xludf.DUMMYFUNCTION("""COMPUTED_VALUE"""),"Instituto de Desarrollo Urbano")</f>
        <v>Instituto de Desarrollo Urbano</v>
      </c>
      <c r="F4681" s="25" t="str">
        <f ca="1">IFERROR(__xludf.DUMMYFUNCTION("""COMPUTED_VALUE"""),"Radicar en SDA los trámites silviculturales")</f>
        <v>Radicar en SDA los trámites silviculturales</v>
      </c>
      <c r="G4681" s="25" t="str">
        <f ca="1">IFERROR(__xludf.DUMMYFUNCTION("""COMPUTED_VALUE"""),"99. Distrito")</f>
        <v>99. Distrito</v>
      </c>
      <c r="H4681" s="55">
        <f ca="1">IFERROR(__xludf.DUMMYFUNCTION("""COMPUTED_VALUE"""),45107)</f>
        <v>45107</v>
      </c>
      <c r="I4681" s="25" t="str">
        <f ca="1">IFERROR(__xludf.DUMMYFUNCTION("""COMPUTED_VALUE"""),"Junta de Infraestructura")</f>
        <v>Junta de Infraestructura</v>
      </c>
      <c r="J4681" s="55" t="str">
        <f ca="1">IFERROR(__xludf.DUMMYFUNCTION("""COMPUTED_VALUE"""),"Baja")</f>
        <v>Baja</v>
      </c>
      <c r="K4681" s="25">
        <f ca="1">IFERROR(__xludf.DUMMYFUNCTION("""COMPUTED_VALUE"""),434)</f>
        <v>434</v>
      </c>
      <c r="L4681" s="62">
        <f ca="1">IFERROR(__xludf.DUMMYFUNCTION("""COMPUTED_VALUE"""),45077)</f>
        <v>45077</v>
      </c>
      <c r="M4681" s="25" t="str">
        <f ca="1">IFERROR(__xludf.DUMMYFUNCTION("""COMPUTED_VALUE"""),"CV7: Una vez se cierren los diseños, se iniciarán las mesas de trabajo con SDA atendiendo a la priorización por tramos ya presentada a la Secretaría. Se espera iniciar trámites en las próximas dos semanas para los tramos a licitar en 2023. Radicados proce"&amp;"sos de tramo 1 y 3, a espera de respuesta por parte de SDA")</f>
        <v>CV7: Una vez se cierren los diseños, se iniciarán las mesas de trabajo con SDA atendiendo a la priorización por tramos ya presentada a la Secretaría. Se espera iniciar trámites en las próximas dos semanas para los tramos a licitar en 2023. Radicados procesos de tramo 1 y 3, a espera de respuesta por parte de SDA</v>
      </c>
      <c r="N4681" s="25"/>
      <c r="O4681" s="25" t="str">
        <f t="shared" ca="1" si="0"/>
        <v>Instituto de Desarrollo Urbano</v>
      </c>
      <c r="P4681" s="25" t="str">
        <f t="shared" ca="1" si="3"/>
        <v/>
      </c>
      <c r="Q4681" s="25" t="str">
        <f ca="1">IFERROR(__xludf.DUMMYFUNCTION("""COMPUTED_VALUE"""),"Largo plazo")</f>
        <v>Largo plazo</v>
      </c>
      <c r="R4681" s="25"/>
      <c r="S4681" s="55"/>
      <c r="T4681" s="56"/>
      <c r="U4681" s="25"/>
      <c r="V4681" s="25"/>
      <c r="W4681" s="25"/>
      <c r="X4681" s="25"/>
      <c r="Y4681" s="25"/>
      <c r="Z4681" s="25"/>
    </row>
    <row r="4682" spans="1:26" ht="52.5" customHeight="1" x14ac:dyDescent="0.25">
      <c r="A4682" s="25" t="str">
        <f ca="1">IFERROR(__xludf.DUMMYFUNCTION("""COMPUTED_VALUE"""),"Movil480")</f>
        <v>Movil480</v>
      </c>
      <c r="B4682" s="25" t="str">
        <f ca="1">IFERROR(__xludf.DUMMYFUNCTION("""COMPUTED_VALUE"""),"Corredor vial 7 seguimiento")</f>
        <v>Corredor vial 7 seguimiento</v>
      </c>
      <c r="C4682" s="55">
        <f ca="1">IFERROR(__xludf.DUMMYFUNCTION("""COMPUTED_VALUE"""),44673)</f>
        <v>44673</v>
      </c>
      <c r="D4682" s="25" t="str">
        <f ca="1">IFERROR(__xludf.DUMMYFUNCTION("""COMPUTED_VALUE"""),"Movilidad")</f>
        <v>Movilidad</v>
      </c>
      <c r="E4682" s="25" t="str">
        <f ca="1">IFERROR(__xludf.DUMMYFUNCTION("""COMPUTED_VALUE"""),"Instituto de Desarrollo Urbano")</f>
        <v>Instituto de Desarrollo Urbano</v>
      </c>
      <c r="F4682" s="25" t="str">
        <f ca="1">IFERROR(__xludf.DUMMYFUNCTION("""COMPUTED_VALUE"""),"Definir para el contrato del grupo 1 si se termina o se prorroga. En caso de que se termine el IDU asumiría el desarrollo de los diseños.")</f>
        <v>Definir para el contrato del grupo 1 si se termina o se prorroga. En caso de que se termine el IDU asumiría el desarrollo de los diseños.</v>
      </c>
      <c r="G4682" s="25" t="str">
        <f ca="1">IFERROR(__xludf.DUMMYFUNCTION("""COMPUTED_VALUE"""),"99. Distrito")</f>
        <v>99. Distrito</v>
      </c>
      <c r="H4682" s="55">
        <f ca="1">IFERROR(__xludf.DUMMYFUNCTION("""COMPUTED_VALUE"""),44703)</f>
        <v>44703</v>
      </c>
      <c r="I4682" s="25"/>
      <c r="J4682" s="55" t="str">
        <f ca="1">IFERROR(__xludf.DUMMYFUNCTION("""COMPUTED_VALUE"""),"Alta")</f>
        <v>Alta</v>
      </c>
      <c r="K4682" s="25">
        <f ca="1">IFERROR(__xludf.DUMMYFUNCTION("""COMPUTED_VALUE"""),30)</f>
        <v>30</v>
      </c>
      <c r="L4682" s="62">
        <f ca="1">IFERROR(__xludf.DUMMYFUNCTION("""COMPUTED_VALUE"""),44893)</f>
        <v>44893</v>
      </c>
      <c r="M4682" s="25" t="str">
        <f ca="1">IFERROR(__xludf.DUMMYFUNCTION("""COMPUTED_VALUE"""),"Ya se llegó a un acuerdo con el consultor de T1 para prorrogar. Ya TMSA expidió CDP y se gestiona modificatorio en IDU. Debe reanudar contrato Semana 13 de julio")</f>
        <v>Ya se llegó a un acuerdo con el consultor de T1 para prorrogar. Ya TMSA expidió CDP y se gestiona modificatorio en IDU. Debe reanudar contrato Semana 13 de julio</v>
      </c>
      <c r="N4682" s="55">
        <f ca="1">IFERROR(__xludf.DUMMYFUNCTION("""COMPUTED_VALUE"""),44893)</f>
        <v>44893</v>
      </c>
      <c r="O4682" s="25" t="str">
        <f t="shared" ca="1" si="0"/>
        <v>Instituto de Desarrollo Urbano</v>
      </c>
      <c r="P4682" s="25" t="str">
        <f t="shared" si="3"/>
        <v/>
      </c>
      <c r="Q4682" s="25" t="str">
        <f ca="1">IFERROR(__xludf.DUMMYFUNCTION("""COMPUTED_VALUE"""),"Corto plazo")</f>
        <v>Corto plazo</v>
      </c>
      <c r="R4682" s="25"/>
      <c r="S4682" s="55"/>
      <c r="T4682" s="56"/>
      <c r="U4682" s="25"/>
      <c r="V4682" s="25"/>
      <c r="W4682" s="25"/>
      <c r="X4682" s="25"/>
      <c r="Y4682" s="25"/>
      <c r="Z4682" s="25"/>
    </row>
    <row r="4683" spans="1:26" ht="52.5" customHeight="1" x14ac:dyDescent="0.25">
      <c r="A4683" s="25" t="str">
        <f ca="1">IFERROR(__xludf.DUMMYFUNCTION("""COMPUTED_VALUE"""),"Movil481")</f>
        <v>Movil481</v>
      </c>
      <c r="B4683" s="25" t="str">
        <f ca="1">IFERROR(__xludf.DUMMYFUNCTION("""COMPUTED_VALUE"""),"Cupo IDU")</f>
        <v>Cupo IDU</v>
      </c>
      <c r="C4683" s="55">
        <f ca="1">IFERROR(__xludf.DUMMYFUNCTION("""COMPUTED_VALUE"""),44677)</f>
        <v>44677</v>
      </c>
      <c r="D4683" s="25" t="str">
        <f ca="1">IFERROR(__xludf.DUMMYFUNCTION("""COMPUTED_VALUE"""),"Movilidad")</f>
        <v>Movilidad</v>
      </c>
      <c r="E4683" s="25" t="str">
        <f ca="1">IFERROR(__xludf.DUMMYFUNCTION("""COMPUTED_VALUE"""),"Secretaría Distrital de Movilidad")</f>
        <v>Secretaría Distrital de Movilidad</v>
      </c>
      <c r="F4683" s="25" t="str">
        <f ca="1">IFERROR(__xludf.DUMMYFUNCTION("""COMPUTED_VALUE"""),"Corredor verde:
 Apoyar al IDU en las modelaciones que consideren tener y no tener regiotram norte y PLMB hasta la 100, para analizar los sentidos viales de la carrera 15, 11, 5 como elementos para tomar la decisión.")</f>
        <v>Corredor verde:
 Apoyar al IDU en las modelaciones que consideren tener y no tener regiotram norte y PLMB hasta la 100, para analizar los sentidos viales de la carrera 15, 11, 5 como elementos para tomar la decisión.</v>
      </c>
      <c r="G4683" s="25" t="str">
        <f ca="1">IFERROR(__xludf.DUMMYFUNCTION("""COMPUTED_VALUE"""),"99. Distrito")</f>
        <v>99. Distrito</v>
      </c>
      <c r="H4683" s="55">
        <f ca="1">IFERROR(__xludf.DUMMYFUNCTION("""COMPUTED_VALUE"""),44707)</f>
        <v>44707</v>
      </c>
      <c r="I4683" s="25"/>
      <c r="J4683" s="55" t="str">
        <f ca="1">IFERROR(__xludf.DUMMYFUNCTION("""COMPUTED_VALUE"""),"Alta")</f>
        <v>Alta</v>
      </c>
      <c r="K4683" s="25">
        <f ca="1">IFERROR(__xludf.DUMMYFUNCTION("""COMPUTED_VALUE"""),30)</f>
        <v>30</v>
      </c>
      <c r="L4683" s="62">
        <f ca="1">IFERROR(__xludf.DUMMYFUNCTION("""COMPUTED_VALUE"""),44748)</f>
        <v>44748</v>
      </c>
      <c r="M4683" s="25" t="str">
        <f ca="1">IFERROR(__xludf.DUMMYFUNCTION("""COMPUTED_VALUE"""),"Se realiza mesa de trabajo con la alcaldesa el 21 de junio en donde se presentan alternativas de los cambios de sentidos de las carreras 15, 11 y 5. Se determina que no generan el impacto esperado y aumentan las dificultades para la reestructuración de ru"&amp;"tas. Se tienen en cuenta los proyectos presentados en a nivel de factibilidad")</f>
        <v>Se realiza mesa de trabajo con la alcaldesa el 21 de junio en donde se presentan alternativas de los cambios de sentidos de las carreras 15, 11 y 5. Se determina que no generan el impacto esperado y aumentan las dificultades para la reestructuración de rutas. Se tienen en cuenta los proyectos presentados en a nivel de factibilidad</v>
      </c>
      <c r="N4683" s="55">
        <f ca="1">IFERROR(__xludf.DUMMYFUNCTION("""COMPUTED_VALUE"""),44748)</f>
        <v>44748</v>
      </c>
      <c r="O4683" s="25" t="str">
        <f t="shared" ca="1" si="0"/>
        <v>Secretaría Distrital de Movilidad</v>
      </c>
      <c r="P4683" s="25" t="str">
        <f t="shared" si="3"/>
        <v/>
      </c>
      <c r="Q4683" s="25" t="str">
        <f ca="1">IFERROR(__xludf.DUMMYFUNCTION("""COMPUTED_VALUE"""),"Corto plazo")</f>
        <v>Corto plazo</v>
      </c>
      <c r="R4683" s="25"/>
      <c r="S4683" s="55"/>
      <c r="T4683" s="56"/>
      <c r="U4683" s="25"/>
      <c r="V4683" s="25"/>
      <c r="W4683" s="25"/>
      <c r="X4683" s="25"/>
      <c r="Y4683" s="25"/>
      <c r="Z4683" s="25"/>
    </row>
    <row r="4684" spans="1:26" ht="52.5" customHeight="1" x14ac:dyDescent="0.25">
      <c r="A4684" s="25" t="str">
        <f ca="1">IFERROR(__xludf.DUMMYFUNCTION("""COMPUTED_VALUE"""),"Movil482")</f>
        <v>Movil482</v>
      </c>
      <c r="B4684" s="25" t="str">
        <f ca="1">IFERROR(__xludf.DUMMYFUNCTION("""COMPUTED_VALUE"""),"Cupo IDU")</f>
        <v>Cupo IDU</v>
      </c>
      <c r="C4684" s="55">
        <f ca="1">IFERROR(__xludf.DUMMYFUNCTION("""COMPUTED_VALUE"""),44677)</f>
        <v>44677</v>
      </c>
      <c r="D4684" s="25" t="str">
        <f ca="1">IFERROR(__xludf.DUMMYFUNCTION("""COMPUTED_VALUE"""),"Movilidad")</f>
        <v>Movilidad</v>
      </c>
      <c r="E4684" s="25" t="str">
        <f ca="1">IFERROR(__xludf.DUMMYFUNCTION("""COMPUTED_VALUE"""),"Instituto de Desarrollo Urbano")</f>
        <v>Instituto de Desarrollo Urbano</v>
      </c>
      <c r="F4684" s="25" t="str">
        <f ca="1">IFERROR(__xludf.DUMMYFUNCTION("""COMPUTED_VALUE"""),"Corredor Verde:
Para pagar los antejardines, emplear el mecanismo de andenes o antejardines que establece el POT, en el marco de la reglamentación específica que se sacará para el Corredor Verde.
")</f>
        <v xml:space="preserve">Corredor Verde:
Para pagar los antejardines, emplear el mecanismo de andenes o antejardines que establece el POT, en el marco de la reglamentación específica que se sacará para el Corredor Verde.
</v>
      </c>
      <c r="G4684" s="25" t="str">
        <f ca="1">IFERROR(__xludf.DUMMYFUNCTION("""COMPUTED_VALUE"""),"99. Distrito")</f>
        <v>99. Distrito</v>
      </c>
      <c r="H4684" s="55">
        <f ca="1">IFERROR(__xludf.DUMMYFUNCTION("""COMPUTED_VALUE"""),44707)</f>
        <v>44707</v>
      </c>
      <c r="I4684" s="25"/>
      <c r="J4684" s="55" t="str">
        <f ca="1">IFERROR(__xludf.DUMMYFUNCTION("""COMPUTED_VALUE"""),"Alta")</f>
        <v>Alta</v>
      </c>
      <c r="K4684" s="25">
        <f ca="1">IFERROR(__xludf.DUMMYFUNCTION("""COMPUTED_VALUE"""),30)</f>
        <v>30</v>
      </c>
      <c r="L4684" s="62">
        <f ca="1">IFERROR(__xludf.DUMMYFUNCTION("""COMPUTED_VALUE"""),44748)</f>
        <v>44748</v>
      </c>
      <c r="M4684" s="25" t="str">
        <f ca="1">IFERROR(__xludf.DUMMYFUNCTION("""COMPUTED_VALUE"""),"Proyecto de decreto reglamentario para antejardines privados listo y en revisión de SDM. A la expectativa de reactivación del POT para sacarlo o para cambiar el decreto a norma general según lineamiento de Junta de Infraestructura")</f>
        <v>Proyecto de decreto reglamentario para antejardines privados listo y en revisión de SDM. A la expectativa de reactivación del POT para sacarlo o para cambiar el decreto a norma general según lineamiento de Junta de Infraestructura</v>
      </c>
      <c r="N4684" s="55">
        <f ca="1">IFERROR(__xludf.DUMMYFUNCTION("""COMPUTED_VALUE"""),44748)</f>
        <v>44748</v>
      </c>
      <c r="O4684" s="25" t="str">
        <f t="shared" ca="1" si="0"/>
        <v>Instituto de Desarrollo Urbano</v>
      </c>
      <c r="P4684" s="25" t="str">
        <f t="shared" si="3"/>
        <v/>
      </c>
      <c r="Q4684" s="25" t="str">
        <f ca="1">IFERROR(__xludf.DUMMYFUNCTION("""COMPUTED_VALUE"""),"Corto plazo")</f>
        <v>Corto plazo</v>
      </c>
      <c r="R4684" s="25"/>
      <c r="S4684" s="55"/>
      <c r="T4684" s="56"/>
      <c r="U4684" s="25"/>
      <c r="V4684" s="25"/>
      <c r="W4684" s="25"/>
      <c r="X4684" s="25"/>
      <c r="Y4684" s="25"/>
      <c r="Z4684" s="25"/>
    </row>
    <row r="4685" spans="1:26" ht="52.5" customHeight="1" x14ac:dyDescent="0.25">
      <c r="A4685" s="25" t="str">
        <f ca="1">IFERROR(__xludf.DUMMYFUNCTION("""COMPUTED_VALUE"""),"Movil483")</f>
        <v>Movil483</v>
      </c>
      <c r="B4685" s="25" t="str">
        <f ca="1">IFERROR(__xludf.DUMMYFUNCTION("""COMPUTED_VALUE"""),"Recorrido sendero Vivachá y Aguanoso")</f>
        <v>Recorrido sendero Vivachá y Aguanoso</v>
      </c>
      <c r="C4685" s="55">
        <f ca="1">IFERROR(__xludf.DUMMYFUNCTION("""COMPUTED_VALUE"""),44695)</f>
        <v>44695</v>
      </c>
      <c r="D4685" s="25" t="str">
        <f ca="1">IFERROR(__xludf.DUMMYFUNCTION("""COMPUTED_VALUE"""),"Movilidad")</f>
        <v>Movilidad</v>
      </c>
      <c r="E4685" s="25" t="str">
        <f ca="1">IFERROR(__xludf.DUMMYFUNCTION("""COMPUTED_VALUE"""),"Instituto de Desarrollo Urbano")</f>
        <v>Instituto de Desarrollo Urbano</v>
      </c>
      <c r="F4685" s="25" t="str">
        <f ca="1">IFERROR(__xludf.DUMMYFUNCTION("""COMPUTED_VALUE"""),"En el contrato del Cable Monserrate se deben incluir: 
-	Paso subterráneo desde la salida de Vicachá 
-	Quinta de Bolívar y Vicachá 
Incluir en estudios y diseños 
")</f>
        <v xml:space="preserve">En el contrato del Cable Monserrate se deben incluir: 
-	Paso subterráneo desde la salida de Vicachá 
-	Quinta de Bolívar y Vicachá 
Incluir en estudios y diseños 
</v>
      </c>
      <c r="G4685" s="25" t="str">
        <f ca="1">IFERROR(__xludf.DUMMYFUNCTION("""COMPUTED_VALUE"""),"99. Distrito")</f>
        <v>99. Distrito</v>
      </c>
      <c r="H4685" s="55">
        <f ca="1">IFERROR(__xludf.DUMMYFUNCTION("""COMPUTED_VALUE"""),44725)</f>
        <v>44725</v>
      </c>
      <c r="I4685" s="25"/>
      <c r="J4685" s="55" t="str">
        <f ca="1">IFERROR(__xludf.DUMMYFUNCTION("""COMPUTED_VALUE"""),"Alta")</f>
        <v>Alta</v>
      </c>
      <c r="K4685" s="25">
        <f ca="1">IFERROR(__xludf.DUMMYFUNCTION("""COMPUTED_VALUE"""),30)</f>
        <v>30</v>
      </c>
      <c r="L4685" s="62">
        <f ca="1">IFERROR(__xludf.DUMMYFUNCTION("""COMPUTED_VALUE"""),44783)</f>
        <v>44783</v>
      </c>
      <c r="M4685" s="25" t="str">
        <f ca="1">IFERROR(__xludf.DUMMYFUNCTION("""COMPUTED_VALUE"""),"No se incluirá el sendero dentro de los estudios del cable considerando la alta complejidad ambiental y teniendo en cuenta que se no se encuentra dentro del área de influencia del cable. Se está revisando cómo abordar el proyecto del sendero")</f>
        <v>No se incluirá el sendero dentro de los estudios del cable considerando la alta complejidad ambiental y teniendo en cuenta que se no se encuentra dentro del área de influencia del cable. Se está revisando cómo abordar el proyecto del sendero</v>
      </c>
      <c r="N4685" s="55">
        <f ca="1">IFERROR(__xludf.DUMMYFUNCTION("""COMPUTED_VALUE"""),44783)</f>
        <v>44783</v>
      </c>
      <c r="O4685" s="25" t="str">
        <f t="shared" ca="1" si="0"/>
        <v>Instituto de Desarrollo Urbano</v>
      </c>
      <c r="P4685" s="25" t="str">
        <f t="shared" si="3"/>
        <v/>
      </c>
      <c r="Q4685" s="25" t="str">
        <f ca="1">IFERROR(__xludf.DUMMYFUNCTION("""COMPUTED_VALUE"""),"Corto plazo")</f>
        <v>Corto plazo</v>
      </c>
      <c r="R4685" s="25"/>
      <c r="S4685" s="55"/>
      <c r="T4685" s="56"/>
      <c r="U4685" s="25"/>
      <c r="V4685" s="25"/>
      <c r="W4685" s="25"/>
      <c r="X4685" s="25"/>
      <c r="Y4685" s="25"/>
      <c r="Z4685" s="25"/>
    </row>
    <row r="4686" spans="1:26" ht="52.5" customHeight="1" x14ac:dyDescent="0.25">
      <c r="A4686" s="25" t="str">
        <f ca="1">IFERROR(__xludf.DUMMYFUNCTION("""COMPUTED_VALUE"""),"Movil484")</f>
        <v>Movil484</v>
      </c>
      <c r="B4686" s="25" t="str">
        <f ca="1">IFERROR(__xludf.DUMMYFUNCTION("""COMPUTED_VALUE"""),"Corredor Verde y Valorización")</f>
        <v>Corredor Verde y Valorización</v>
      </c>
      <c r="C4686" s="55">
        <f ca="1">IFERROR(__xludf.DUMMYFUNCTION("""COMPUTED_VALUE"""),44687)</f>
        <v>44687</v>
      </c>
      <c r="D4686" s="25" t="str">
        <f ca="1">IFERROR(__xludf.DUMMYFUNCTION("""COMPUTED_VALUE"""),"Movilidad")</f>
        <v>Movilidad</v>
      </c>
      <c r="E4686" s="25" t="str">
        <f ca="1">IFERROR(__xludf.DUMMYFUNCTION("""COMPUTED_VALUE"""),"Instituto de Desarrollo Urbano")</f>
        <v>Instituto de Desarrollo Urbano</v>
      </c>
      <c r="F4686" s="25" t="str">
        <f ca="1">IFERROR(__xludf.DUMMYFUNCTION("""COMPUTED_VALUE"""),"Revisar las demás áreas remanentes para definir su destinación")</f>
        <v>Revisar las demás áreas remanentes para definir su destinación</v>
      </c>
      <c r="G4686" s="25" t="str">
        <f ca="1">IFERROR(__xludf.DUMMYFUNCTION("""COMPUTED_VALUE"""),"99. Distrito")</f>
        <v>99. Distrito</v>
      </c>
      <c r="H4686" s="55">
        <f ca="1">IFERROR(__xludf.DUMMYFUNCTION("""COMPUTED_VALUE"""),45107)</f>
        <v>45107</v>
      </c>
      <c r="I4686" s="25" t="str">
        <f ca="1">IFERROR(__xludf.DUMMYFUNCTION("""COMPUTED_VALUE"""),"Junta de Infraestructura")</f>
        <v>Junta de Infraestructura</v>
      </c>
      <c r="J4686" s="55" t="str">
        <f ca="1">IFERROR(__xludf.DUMMYFUNCTION("""COMPUTED_VALUE"""),"Baja")</f>
        <v>Baja</v>
      </c>
      <c r="K4686" s="25">
        <f ca="1">IFERROR(__xludf.DUMMYFUNCTION("""COMPUTED_VALUE"""),420)</f>
        <v>420</v>
      </c>
      <c r="L4686" s="62">
        <f ca="1">IFERROR(__xludf.DUMMYFUNCTION("""COMPUTED_VALUE"""),45078)</f>
        <v>45078</v>
      </c>
      <c r="M4686" s="25" t="str">
        <f ca="1">IFERROR(__xludf.DUMMYFUNCTION("""COMPUTED_VALUE"""),"Se sugiere vincular a Movil430 ya que es la misma actividad.")</f>
        <v>Se sugiere vincular a Movil430 ya que es la misma actividad.</v>
      </c>
      <c r="N4686" s="25"/>
      <c r="O4686" s="25" t="str">
        <f t="shared" ca="1" si="0"/>
        <v>Instituto de Desarrollo Urbano</v>
      </c>
      <c r="P4686" s="25" t="str">
        <f t="shared" ca="1" si="3"/>
        <v/>
      </c>
      <c r="Q4686" s="25" t="str">
        <f ca="1">IFERROR(__xludf.DUMMYFUNCTION("""COMPUTED_VALUE"""),"Largo plazo")</f>
        <v>Largo plazo</v>
      </c>
      <c r="R4686" s="25"/>
      <c r="S4686" s="55"/>
      <c r="T4686" s="56"/>
      <c r="U4686" s="25"/>
      <c r="V4686" s="25"/>
      <c r="W4686" s="25"/>
      <c r="X4686" s="25"/>
      <c r="Y4686" s="25"/>
      <c r="Z4686" s="25"/>
    </row>
    <row r="4687" spans="1:26" ht="52.5" customHeight="1" x14ac:dyDescent="0.25">
      <c r="A4687" s="25" t="str">
        <f ca="1">IFERROR(__xludf.DUMMYFUNCTION("""COMPUTED_VALUE"""),"Movil485")</f>
        <v>Movil485</v>
      </c>
      <c r="B4687" s="25" t="str">
        <f ca="1">IFERROR(__xludf.DUMMYFUNCTION("""COMPUTED_VALUE"""),"Corredor Verde y Valorización")</f>
        <v>Corredor Verde y Valorización</v>
      </c>
      <c r="C4687" s="55">
        <f ca="1">IFERROR(__xludf.DUMMYFUNCTION("""COMPUTED_VALUE"""),44687)</f>
        <v>44687</v>
      </c>
      <c r="D4687" s="25" t="str">
        <f ca="1">IFERROR(__xludf.DUMMYFUNCTION("""COMPUTED_VALUE"""),"Movilidad")</f>
        <v>Movilidad</v>
      </c>
      <c r="E4687" s="25" t="str">
        <f ca="1">IFERROR(__xludf.DUMMYFUNCTION("""COMPUTED_VALUE"""),"Instituto de Desarrollo Urbano")</f>
        <v>Instituto de Desarrollo Urbano</v>
      </c>
      <c r="F4687" s="25" t="str">
        <f ca="1">IFERROR(__xludf.DUMMYFUNCTION("""COMPUTED_VALUE"""),"Revisar el origen presupuestal de los recursos para la intervención de los antejardines")</f>
        <v>Revisar el origen presupuestal de los recursos para la intervención de los antejardines</v>
      </c>
      <c r="G4687" s="25" t="str">
        <f ca="1">IFERROR(__xludf.DUMMYFUNCTION("""COMPUTED_VALUE"""),"99. Distrito")</f>
        <v>99. Distrito</v>
      </c>
      <c r="H4687" s="55">
        <f ca="1">IFERROR(__xludf.DUMMYFUNCTION("""COMPUTED_VALUE"""),44717)</f>
        <v>44717</v>
      </c>
      <c r="I4687" s="25"/>
      <c r="J4687" s="55" t="str">
        <f ca="1">IFERROR(__xludf.DUMMYFUNCTION("""COMPUTED_VALUE"""),"Alta")</f>
        <v>Alta</v>
      </c>
      <c r="K4687" s="25">
        <f ca="1">IFERROR(__xludf.DUMMYFUNCTION("""COMPUTED_VALUE"""),30)</f>
        <v>30</v>
      </c>
      <c r="L4687" s="62">
        <f ca="1">IFERROR(__xludf.DUMMYFUNCTION("""COMPUTED_VALUE"""),44893)</f>
        <v>44893</v>
      </c>
      <c r="M4687" s="25" t="str">
        <f ca="1">IFERROR(__xludf.DUMMYFUNCTION("""COMPUTED_VALUE"""),"Cerrado. POT en vigencia")</f>
        <v>Cerrado. POT en vigencia</v>
      </c>
      <c r="N4687" s="55">
        <f ca="1">IFERROR(__xludf.DUMMYFUNCTION("""COMPUTED_VALUE"""),44893)</f>
        <v>44893</v>
      </c>
      <c r="O4687" s="25" t="str">
        <f t="shared" ca="1" si="0"/>
        <v>Instituto de Desarrollo Urbano</v>
      </c>
      <c r="P4687" s="25" t="str">
        <f t="shared" si="3"/>
        <v/>
      </c>
      <c r="Q4687" s="25" t="str">
        <f ca="1">IFERROR(__xludf.DUMMYFUNCTION("""COMPUTED_VALUE"""),"Corto plazo")</f>
        <v>Corto plazo</v>
      </c>
      <c r="R4687" s="25"/>
      <c r="S4687" s="55"/>
      <c r="T4687" s="56"/>
      <c r="U4687" s="25"/>
      <c r="V4687" s="25"/>
      <c r="W4687" s="25"/>
      <c r="X4687" s="25"/>
      <c r="Y4687" s="25"/>
      <c r="Z4687" s="25"/>
    </row>
    <row r="4688" spans="1:26" ht="52.5" customHeight="1" x14ac:dyDescent="0.25">
      <c r="A4688" s="25" t="str">
        <f ca="1">IFERROR(__xludf.DUMMYFUNCTION("""COMPUTED_VALUE"""),"Movil486")</f>
        <v>Movil486</v>
      </c>
      <c r="B4688" s="25" t="str">
        <f ca="1">IFERROR(__xludf.DUMMYFUNCTION("""COMPUTED_VALUE"""),"Corredor Verde y Valorización")</f>
        <v>Corredor Verde y Valorización</v>
      </c>
      <c r="C4688" s="55">
        <f ca="1">IFERROR(__xludf.DUMMYFUNCTION("""COMPUTED_VALUE"""),44687)</f>
        <v>44687</v>
      </c>
      <c r="D4688" s="25" t="str">
        <f ca="1">IFERROR(__xludf.DUMMYFUNCTION("""COMPUTED_VALUE"""),"Movilidad")</f>
        <v>Movilidad</v>
      </c>
      <c r="E4688" s="25" t="str">
        <f ca="1">IFERROR(__xludf.DUMMYFUNCTION("""COMPUTED_VALUE"""),"Instituto de Desarrollo Urbano")</f>
        <v>Instituto de Desarrollo Urbano</v>
      </c>
      <c r="F4688" s="25" t="str">
        <f ca="1">IFERROR(__xludf.DUMMYFUNCTION("""COMPUTED_VALUE"""),"Parque Bosa Nova:
Solicitar concepto al IDRD de que el parque tiene las condiciones adecuadas.
")</f>
        <v xml:space="preserve">Parque Bosa Nova:
Solicitar concepto al IDRD de que el parque tiene las condiciones adecuadas.
</v>
      </c>
      <c r="G4688" s="25" t="str">
        <f ca="1">IFERROR(__xludf.DUMMYFUNCTION("""COMPUTED_VALUE"""),"07. Bosa")</f>
        <v>07. Bosa</v>
      </c>
      <c r="H4688" s="55">
        <f ca="1">IFERROR(__xludf.DUMMYFUNCTION("""COMPUTED_VALUE"""),44717)</f>
        <v>44717</v>
      </c>
      <c r="I4688" s="25"/>
      <c r="J4688" s="55" t="str">
        <f ca="1">IFERROR(__xludf.DUMMYFUNCTION("""COMPUTED_VALUE"""),"Alta")</f>
        <v>Alta</v>
      </c>
      <c r="K4688" s="25">
        <f ca="1">IFERROR(__xludf.DUMMYFUNCTION("""COMPUTED_VALUE"""),30)</f>
        <v>30</v>
      </c>
      <c r="L4688" s="62">
        <f ca="1">IFERROR(__xludf.DUMMYFUNCTION("""COMPUTED_VALUE"""),44893)</f>
        <v>44893</v>
      </c>
      <c r="M4688" s="25" t="str">
        <f ca="1">IFERROR(__xludf.DUMMYFUNCTION("""COMPUTED_VALUE"""),"CERRADO: El IDRD recibió el parque y ya está en funcionamiento.")</f>
        <v>CERRADO: El IDRD recibió el parque y ya está en funcionamiento.</v>
      </c>
      <c r="N4688" s="55">
        <f ca="1">IFERROR(__xludf.DUMMYFUNCTION("""COMPUTED_VALUE"""),44893)</f>
        <v>44893</v>
      </c>
      <c r="O4688" s="25" t="str">
        <f t="shared" ca="1" si="0"/>
        <v>Instituto de Desarrollo Urbano</v>
      </c>
      <c r="P4688" s="25" t="str">
        <f t="shared" si="3"/>
        <v/>
      </c>
      <c r="Q4688" s="25" t="str">
        <f ca="1">IFERROR(__xludf.DUMMYFUNCTION("""COMPUTED_VALUE"""),"Corto plazo")</f>
        <v>Corto plazo</v>
      </c>
      <c r="R4688" s="25"/>
      <c r="S4688" s="55"/>
      <c r="T4688" s="56"/>
      <c r="U4688" s="25"/>
      <c r="V4688" s="25"/>
      <c r="W4688" s="25"/>
      <c r="X4688" s="25"/>
      <c r="Y4688" s="25"/>
      <c r="Z4688" s="25"/>
    </row>
    <row r="4689" spans="1:26" ht="52.5" customHeight="1" x14ac:dyDescent="0.25">
      <c r="A4689" s="25" t="str">
        <f ca="1">IFERROR(__xludf.DUMMYFUNCTION("""COMPUTED_VALUE"""),"Movil487")</f>
        <v>Movil487</v>
      </c>
      <c r="B4689" s="25" t="str">
        <f ca="1">IFERROR(__xludf.DUMMYFUNCTION("""COMPUTED_VALUE"""),"Corredor Verde y Valorización")</f>
        <v>Corredor Verde y Valorización</v>
      </c>
      <c r="C4689" s="55">
        <f ca="1">IFERROR(__xludf.DUMMYFUNCTION("""COMPUTED_VALUE"""),44687)</f>
        <v>44687</v>
      </c>
      <c r="D4689" s="25" t="str">
        <f ca="1">IFERROR(__xludf.DUMMYFUNCTION("""COMPUTED_VALUE"""),"Movilidad")</f>
        <v>Movilidad</v>
      </c>
      <c r="E4689" s="25" t="str">
        <f ca="1">IFERROR(__xludf.DUMMYFUNCTION("""COMPUTED_VALUE"""),"Instituto de Desarrollo Urbano")</f>
        <v>Instituto de Desarrollo Urbano</v>
      </c>
      <c r="F4689" s="25" t="str">
        <f ca="1">IFERROR(__xludf.DUMMYFUNCTION("""COMPUTED_VALUE"""),"Valorización:
Reportar a la junta seguimiento de trámites remitidos a las entidades.
")</f>
        <v xml:space="preserve">Valorización:
Reportar a la junta seguimiento de trámites remitidos a las entidades.
</v>
      </c>
      <c r="G4689" s="25" t="str">
        <f ca="1">IFERROR(__xludf.DUMMYFUNCTION("""COMPUTED_VALUE"""),"99. Distrito")</f>
        <v>99. Distrito</v>
      </c>
      <c r="H4689" s="55">
        <f ca="1">IFERROR(__xludf.DUMMYFUNCTION("""COMPUTED_VALUE"""),44717)</f>
        <v>44717</v>
      </c>
      <c r="I4689" s="25"/>
      <c r="J4689" s="55" t="str">
        <f ca="1">IFERROR(__xludf.DUMMYFUNCTION("""COMPUTED_VALUE"""),"Alta")</f>
        <v>Alta</v>
      </c>
      <c r="K4689" s="25">
        <f ca="1">IFERROR(__xludf.DUMMYFUNCTION("""COMPUTED_VALUE"""),30)</f>
        <v>30</v>
      </c>
      <c r="L4689" s="62">
        <f ca="1">IFERROR(__xludf.DUMMYFUNCTION("""COMPUTED_VALUE"""),44748)</f>
        <v>44748</v>
      </c>
      <c r="M4689" s="25" t="str">
        <f ca="1">IFERROR(__xludf.DUMMYFUNCTION("""COMPUTED_VALUE"""),"Se envió reporte en junio")</f>
        <v>Se envió reporte en junio</v>
      </c>
      <c r="N4689" s="55">
        <f ca="1">IFERROR(__xludf.DUMMYFUNCTION("""COMPUTED_VALUE"""),44748)</f>
        <v>44748</v>
      </c>
      <c r="O4689" s="25" t="str">
        <f t="shared" ca="1" si="0"/>
        <v>Instituto de Desarrollo Urbano</v>
      </c>
      <c r="P4689" s="25" t="str">
        <f t="shared" si="3"/>
        <v/>
      </c>
      <c r="Q4689" s="25" t="str">
        <f ca="1">IFERROR(__xludf.DUMMYFUNCTION("""COMPUTED_VALUE"""),"Corto plazo")</f>
        <v>Corto plazo</v>
      </c>
      <c r="R4689" s="25"/>
      <c r="S4689" s="55"/>
      <c r="T4689" s="56"/>
      <c r="U4689" s="25"/>
      <c r="V4689" s="25"/>
      <c r="W4689" s="25"/>
      <c r="X4689" s="25"/>
      <c r="Y4689" s="25"/>
      <c r="Z4689" s="25"/>
    </row>
    <row r="4690" spans="1:26" ht="52.5" customHeight="1" x14ac:dyDescent="0.25">
      <c r="A4690" s="25" t="str">
        <f ca="1">IFERROR(__xludf.DUMMYFUNCTION("""COMPUTED_VALUE"""),"Movil488")</f>
        <v>Movil488</v>
      </c>
      <c r="B4690" s="25" t="str">
        <f ca="1">IFERROR(__xludf.DUMMYFUNCTION("""COMPUTED_VALUE"""),"Corredor Verde y Valorización")</f>
        <v>Corredor Verde y Valorización</v>
      </c>
      <c r="C4690" s="55">
        <f ca="1">IFERROR(__xludf.DUMMYFUNCTION("""COMPUTED_VALUE"""),44687)</f>
        <v>44687</v>
      </c>
      <c r="D4690" s="25" t="str">
        <f ca="1">IFERROR(__xludf.DUMMYFUNCTION("""COMPUTED_VALUE"""),"Movilidad")</f>
        <v>Movilidad</v>
      </c>
      <c r="E4690" s="25" t="str">
        <f ca="1">IFERROR(__xludf.DUMMYFUNCTION("""COMPUTED_VALUE"""),"Secretaría Distrital de Movilidad")</f>
        <v>Secretaría Distrital de Movilidad</v>
      </c>
      <c r="F4690" s="25" t="str">
        <f ca="1">IFERROR(__xludf.DUMMYFUNCTION("""COMPUTED_VALUE"""),"PMT específicos de obra:
revisar cómo metodológicamente se podrían emplear aforos previos y expansiones (K15 - Jorge Uribe Botero)
")</f>
        <v xml:space="preserve">PMT específicos de obra:
revisar cómo metodológicamente se podrían emplear aforos previos y expansiones (K15 - Jorge Uribe Botero)
</v>
      </c>
      <c r="G4690" s="25" t="str">
        <f ca="1">IFERROR(__xludf.DUMMYFUNCTION("""COMPUTED_VALUE"""),"99. Distrito")</f>
        <v>99. Distrito</v>
      </c>
      <c r="H4690" s="55">
        <f ca="1">IFERROR(__xludf.DUMMYFUNCTION("""COMPUTED_VALUE"""),44880)</f>
        <v>44880</v>
      </c>
      <c r="I4690" s="25"/>
      <c r="J4690" s="55" t="str">
        <f ca="1">IFERROR(__xludf.DUMMYFUNCTION("""COMPUTED_VALUE"""),"Baja")</f>
        <v>Baja</v>
      </c>
      <c r="K4690" s="25">
        <f ca="1">IFERROR(__xludf.DUMMYFUNCTION("""COMPUTED_VALUE"""),193)</f>
        <v>193</v>
      </c>
      <c r="L4690" s="62">
        <f ca="1">IFERROR(__xludf.DUMMYFUNCTION("""COMPUTED_VALUE"""),44977)</f>
        <v>44977</v>
      </c>
      <c r="M4690" s="25" t="str">
        <f ca="1">IFERROR(__xludf.DUMMYFUNCTION("""COMPUTED_VALUE"""),"La SDM tomo información de volumenes en el sector de Callejas para el desarrollo de los PMT, ésta fue remitida al IDU por medio del oficio SPMT-202231210386411 de fecha 19 de diciembre de 2022.
Actualmente el IDU y la SDM están trabajando para que el con"&amp;"sultor del PMT realice la toma de información en el tiempo estimado. A su vez, la SDM se encuentra analizando la posibilidad de brindar otro apoyo más al IDU para la realización de tomas de información complementarias. Esto con base en la reunión sostenid"&amp;"a el día 30/06/2022 en las instalaciones del IDU.
Desde la SDM se realizó aprobación de PMT, se avanza en las aprobaciones de diseño de señalización y semaforización. En mesa de trabajo del 21-nov de semaforización, se emitieron observaciones que afectan"&amp;" señalización, se radicará producto a SDM el 20-ene, ajustado a ultima versión de semaforización. Se espera finalización de la obra el 20 de Dic de 2023
")</f>
        <v xml:space="preserve">La SDM tomo información de volumenes en el sector de Callejas para el desarrollo de los PMT, ésta fue remitida al IDU por medio del oficio SPMT-202231210386411 de fecha 19 de diciembre de 2022.
Actualmente el IDU y la SDM están trabajando para que el consultor del PMT realice la toma de información en el tiempo estimado. A su vez, la SDM se encuentra analizando la posibilidad de brindar otro apoyo más al IDU para la realización de tomas de información complementarias. Esto con base en la reunión sostenida el día 30/06/2022 en las instalaciones del IDU.
Desde la SDM se realizó aprobación de PMT, se avanza en las aprobaciones de diseño de señalización y semaforización. En mesa de trabajo del 21-nov de semaforización, se emitieron observaciones que afectan señalización, se radicará producto a SDM el 20-ene, ajustado a ultima versión de semaforización. Se espera finalización de la obra el 20 de Dic de 2023
</v>
      </c>
      <c r="N4690" s="55">
        <f ca="1">IFERROR(__xludf.DUMMYFUNCTION("""COMPUTED_VALUE"""),44977)</f>
        <v>44977</v>
      </c>
      <c r="O4690" s="25" t="str">
        <f t="shared" ca="1" si="0"/>
        <v>Secretaría Distrital de Movilidad</v>
      </c>
      <c r="P4690" s="25" t="str">
        <f t="shared" si="3"/>
        <v/>
      </c>
      <c r="Q4690" s="25" t="str">
        <f ca="1">IFERROR(__xludf.DUMMYFUNCTION("""COMPUTED_VALUE"""),"Largo plazo")</f>
        <v>Largo plazo</v>
      </c>
      <c r="R4690" s="25"/>
      <c r="S4690" s="55"/>
      <c r="T4690" s="56"/>
      <c r="U4690" s="25"/>
      <c r="V4690" s="25"/>
      <c r="W4690" s="25"/>
      <c r="X4690" s="25"/>
      <c r="Y4690" s="25"/>
      <c r="Z4690" s="25"/>
    </row>
    <row r="4691" spans="1:26" ht="52.5" customHeight="1" x14ac:dyDescent="0.25">
      <c r="A4691" s="25" t="str">
        <f ca="1">IFERROR(__xludf.DUMMYFUNCTION("""COMPUTED_VALUE"""),"Movil489")</f>
        <v>Movil489</v>
      </c>
      <c r="B4691" s="25" t="str">
        <f ca="1">IFERROR(__xludf.DUMMYFUNCTION("""COMPUTED_VALUE"""),"Corredor Verde y Valorización")</f>
        <v>Corredor Verde y Valorización</v>
      </c>
      <c r="C4691" s="55">
        <f ca="1">IFERROR(__xludf.DUMMYFUNCTION("""COMPUTED_VALUE"""),44687)</f>
        <v>44687</v>
      </c>
      <c r="D4691" s="25" t="str">
        <f ca="1">IFERROR(__xludf.DUMMYFUNCTION("""COMPUTED_VALUE"""),"Movilidad")</f>
        <v>Movilidad</v>
      </c>
      <c r="E4691" s="25" t="str">
        <f ca="1">IFERROR(__xludf.DUMMYFUNCTION("""COMPUTED_VALUE"""),"Secretaría Distrital de Movilidad")</f>
        <v>Secretaría Distrital de Movilidad</v>
      </c>
      <c r="F4691" s="25" t="str">
        <f ca="1">IFERROR(__xludf.DUMMYFUNCTION("""COMPUTED_VALUE"""),"Mesa de trabajo para revisar PMT de obras de proyectos de valorización.")</f>
        <v>Mesa de trabajo para revisar PMT de obras de proyectos de valorización.</v>
      </c>
      <c r="G4691" s="25" t="str">
        <f ca="1">IFERROR(__xludf.DUMMYFUNCTION("""COMPUTED_VALUE"""),"99. Distrito")</f>
        <v>99. Distrito</v>
      </c>
      <c r="H4691" s="55">
        <f ca="1">IFERROR(__xludf.DUMMYFUNCTION("""COMPUTED_VALUE"""),44717)</f>
        <v>44717</v>
      </c>
      <c r="I4691" s="25"/>
      <c r="J4691" s="55" t="str">
        <f ca="1">IFERROR(__xludf.DUMMYFUNCTION("""COMPUTED_VALUE"""),"Alta")</f>
        <v>Alta</v>
      </c>
      <c r="K4691" s="25">
        <f ca="1">IFERROR(__xludf.DUMMYFUNCTION("""COMPUTED_VALUE"""),30)</f>
        <v>30</v>
      </c>
      <c r="L4691" s="62">
        <f ca="1">IFERROR(__xludf.DUMMYFUNCTION("""COMPUTED_VALUE"""),44887)</f>
        <v>44887</v>
      </c>
      <c r="M4691" s="25" t="str">
        <f ca="1">IFERROR(__xludf.DUMMYFUNCTION("""COMPUTED_VALUE"""),"Se generó la mesa de seguimiento el día 30/06/2022 para revisar los avances de los proyectos de valorización y las peticiones de pmts. Se identificó la necesidad del avance y la radicación por parte de los consultores de los PMTs del IDU para poder avanza"&amp;"r en el proceso.
La SDM se compromete en la revisión del apoyo al IDU para la realización de tomas de info complementarias y realización de una herramienta de modelación estratégica base para los consultores. Próxima reunión 21/07/2022. Reuniones interme"&amp;"dias semanas 1 y 2 de Julio.
Se sigue adelantando diferentes mesas de acuerdo a requerimientos del IDU para la revisión de proyectos de valorización.")</f>
        <v>Se generó la mesa de seguimiento el día 30/06/2022 para revisar los avances de los proyectos de valorización y las peticiones de pmts. Se identificó la necesidad del avance y la radicación por parte de los consultores de los PMTs del IDU para poder avanzar en el proceso.
La SDM se compromete en la revisión del apoyo al IDU para la realización de tomas de info complementarias y realización de una herramienta de modelación estratégica base para los consultores. Próxima reunión 21/07/2022. Reuniones intermedias semanas 1 y 2 de Julio.
Se sigue adelantando diferentes mesas de acuerdo a requerimientos del IDU para la revisión de proyectos de valorización.</v>
      </c>
      <c r="N4691" s="55">
        <f ca="1">IFERROR(__xludf.DUMMYFUNCTION("""COMPUTED_VALUE"""),44887)</f>
        <v>44887</v>
      </c>
      <c r="O4691" s="25" t="str">
        <f t="shared" ca="1" si="0"/>
        <v>Secretaría Distrital de Movilidad</v>
      </c>
      <c r="P4691" s="25" t="str">
        <f t="shared" si="3"/>
        <v/>
      </c>
      <c r="Q4691" s="25" t="str">
        <f ca="1">IFERROR(__xludf.DUMMYFUNCTION("""COMPUTED_VALUE"""),"Corto plazo")</f>
        <v>Corto plazo</v>
      </c>
      <c r="R4691" s="25"/>
      <c r="S4691" s="55"/>
      <c r="T4691" s="56"/>
      <c r="U4691" s="25"/>
      <c r="V4691" s="25"/>
      <c r="W4691" s="25"/>
      <c r="X4691" s="25"/>
      <c r="Y4691" s="25"/>
      <c r="Z4691" s="25"/>
    </row>
    <row r="4692" spans="1:26" ht="52.5" customHeight="1" x14ac:dyDescent="0.25">
      <c r="A4692" s="25" t="str">
        <f ca="1">IFERROR(__xludf.DUMMYFUNCTION("""COMPUTED_VALUE"""),"Movil490")</f>
        <v>Movil490</v>
      </c>
      <c r="B4692" s="25" t="str">
        <f ca="1">IFERROR(__xludf.DUMMYFUNCTION("""COMPUTED_VALUE"""),"Plan de Movilidad Sostenible y Segura")</f>
        <v>Plan de Movilidad Sostenible y Segura</v>
      </c>
      <c r="C4692" s="55">
        <f ca="1">IFERROR(__xludf.DUMMYFUNCTION("""COMPUTED_VALUE"""),44705)</f>
        <v>44705</v>
      </c>
      <c r="D4692" s="25" t="str">
        <f ca="1">IFERROR(__xludf.DUMMYFUNCTION("""COMPUTED_VALUE"""),"Movilidad")</f>
        <v>Movilidad</v>
      </c>
      <c r="E4692" s="25" t="str">
        <f ca="1">IFERROR(__xludf.DUMMYFUNCTION("""COMPUTED_VALUE"""),"Secretaría Distrital de Movilidad")</f>
        <v>Secretaría Distrital de Movilidad</v>
      </c>
      <c r="F4692" s="25" t="str">
        <f ca="1">IFERROR(__xludf.DUMMYFUNCTION("""COMPUTED_VALUE"""),"Ajustar la estructura del Plan de Movilidad considerando las indicaciones discutidas en la reunión y traerlo a próxima reunión")</f>
        <v>Ajustar la estructura del Plan de Movilidad considerando las indicaciones discutidas en la reunión y traerlo a próxima reunión</v>
      </c>
      <c r="G4692" s="25" t="str">
        <f ca="1">IFERROR(__xludf.DUMMYFUNCTION("""COMPUTED_VALUE"""),"99. Distrito")</f>
        <v>99. Distrito</v>
      </c>
      <c r="H4692" s="55">
        <f ca="1">IFERROR(__xludf.DUMMYFUNCTION("""COMPUTED_VALUE"""),44735)</f>
        <v>44735</v>
      </c>
      <c r="I4692" s="25"/>
      <c r="J4692" s="55" t="str">
        <f ca="1">IFERROR(__xludf.DUMMYFUNCTION("""COMPUTED_VALUE"""),"Alta")</f>
        <v>Alta</v>
      </c>
      <c r="K4692" s="25">
        <f ca="1">IFERROR(__xludf.DUMMYFUNCTION("""COMPUTED_VALUE"""),30)</f>
        <v>30</v>
      </c>
      <c r="L4692" s="62">
        <f ca="1">IFERROR(__xludf.DUMMYFUNCTION("""COMPUTED_VALUE"""),44825)</f>
        <v>44825</v>
      </c>
      <c r="M4692" s="25" t="str">
        <f ca="1">IFERROR(__xludf.DUMMYFUNCTION("""COMPUTED_VALUE"""),"En la reunión con la Alcaldesa el día 24 de mayo se recibió la instrucción de ajustar la formulación del PMSS, de manera que este se articula con el Decreto 555 de 2021. Contando de nuevo con el Dec 555 de 2021 se están actualizando los documentos y se ac"&amp;"tualizó el cronograma con el fin de adoptar el decreto en febrero de 2023. Se están realizando mesas de trabajo con las entidades para afinar fichas de proyectos, con la SDP para la articulación con POT y los otros 2 planes maestros. El proceso de partici"&amp;"pación se tiene programado para los meses de octubre y noviembre de 2022.")</f>
        <v>En la reunión con la Alcaldesa el día 24 de mayo se recibió la instrucción de ajustar la formulación del PMSS, de manera que este se articula con el Decreto 555 de 2021. Contando de nuevo con el Dec 555 de 2021 se están actualizando los documentos y se actualizó el cronograma con el fin de adoptar el decreto en febrero de 2023. Se están realizando mesas de trabajo con las entidades para afinar fichas de proyectos, con la SDP para la articulación con POT y los otros 2 planes maestros. El proceso de participación se tiene programado para los meses de octubre y noviembre de 2022.</v>
      </c>
      <c r="N4692" s="55">
        <f ca="1">IFERROR(__xludf.DUMMYFUNCTION("""COMPUTED_VALUE"""),44825)</f>
        <v>44825</v>
      </c>
      <c r="O4692" s="25" t="str">
        <f t="shared" ca="1" si="0"/>
        <v>Secretaría Distrital de Movilidad</v>
      </c>
      <c r="P4692" s="25" t="str">
        <f t="shared" si="3"/>
        <v/>
      </c>
      <c r="Q4692" s="25" t="str">
        <f ca="1">IFERROR(__xludf.DUMMYFUNCTION("""COMPUTED_VALUE"""),"Corto plazo")</f>
        <v>Corto plazo</v>
      </c>
      <c r="R4692" s="25"/>
      <c r="S4692" s="55"/>
      <c r="T4692" s="56"/>
      <c r="U4692" s="25"/>
      <c r="V4692" s="25"/>
      <c r="W4692" s="25"/>
      <c r="X4692" s="25"/>
      <c r="Y4692" s="25"/>
      <c r="Z4692" s="25"/>
    </row>
    <row r="4693" spans="1:26" ht="52.5" customHeight="1" x14ac:dyDescent="0.25">
      <c r="A4693" s="25" t="str">
        <f ca="1">IFERROR(__xludf.DUMMYFUNCTION("""COMPUTED_VALUE"""),"Movil491")</f>
        <v>Movil491</v>
      </c>
      <c r="B4693" s="25" t="str">
        <f ca="1">IFERROR(__xludf.DUMMYFUNCTION("""COMPUTED_VALUE"""),"Junta de infraestructura")</f>
        <v>Junta de infraestructura</v>
      </c>
      <c r="C4693" s="55">
        <f ca="1">IFERROR(__xludf.DUMMYFUNCTION("""COMPUTED_VALUE"""),44704)</f>
        <v>44704</v>
      </c>
      <c r="D4693" s="25" t="str">
        <f ca="1">IFERROR(__xludf.DUMMYFUNCTION("""COMPUTED_VALUE"""),"Movilidad")</f>
        <v>Movilidad</v>
      </c>
      <c r="E4693" s="25" t="str">
        <f ca="1">IFERROR(__xludf.DUMMYFUNCTION("""COMPUTED_VALUE"""),"Instituto de Desarrollo Urbano")</f>
        <v>Instituto de Desarrollo Urbano</v>
      </c>
      <c r="F4693" s="25" t="str">
        <f ca="1">IFERROR(__xludf.DUMMYFUNCTION("""COMPUTED_VALUE"""),"Cable Potosí:
Determinar en el cable en soacha cuánta carga se tendria por tramo según alternativa.
")</f>
        <v xml:space="preserve">Cable Potosí:
Determinar en el cable en soacha cuánta carga se tendria por tramo según alternativa.
</v>
      </c>
      <c r="G4693" s="25" t="str">
        <f ca="1">IFERROR(__xludf.DUMMYFUNCTION("""COMPUTED_VALUE"""),"99. Distrito")</f>
        <v>99. Distrito</v>
      </c>
      <c r="H4693" s="55">
        <f ca="1">IFERROR(__xludf.DUMMYFUNCTION("""COMPUTED_VALUE"""),44734)</f>
        <v>44734</v>
      </c>
      <c r="I4693" s="25"/>
      <c r="J4693" s="55" t="str">
        <f ca="1">IFERROR(__xludf.DUMMYFUNCTION("""COMPUTED_VALUE"""),"Alta")</f>
        <v>Alta</v>
      </c>
      <c r="K4693" s="25">
        <f ca="1">IFERROR(__xludf.DUMMYFUNCTION("""COMPUTED_VALUE"""),30)</f>
        <v>30</v>
      </c>
      <c r="L4693" s="62">
        <f ca="1">IFERROR(__xludf.DUMMYFUNCTION("""COMPUTED_VALUE"""),44783)</f>
        <v>44783</v>
      </c>
      <c r="M4693" s="25" t="str">
        <f ca="1">IFERROR(__xludf.DUMMYFUNCTION("""COMPUTED_VALUE"""),"Se presentó a la junta el 1 de junio de 2022. 
 Ya se presentó y se seleccionó el trazado. Se va a hacer un contrato de factibilidad con FDN.")</f>
        <v>Se presentó a la junta el 1 de junio de 2022. 
 Ya se presentó y se seleccionó el trazado. Se va a hacer un contrato de factibilidad con FDN.</v>
      </c>
      <c r="N4693" s="55">
        <f ca="1">IFERROR(__xludf.DUMMYFUNCTION("""COMPUTED_VALUE"""),44783)</f>
        <v>44783</v>
      </c>
      <c r="O4693" s="25" t="str">
        <f t="shared" ca="1" si="0"/>
        <v>Instituto de Desarrollo Urbano</v>
      </c>
      <c r="P4693" s="25" t="str">
        <f t="shared" si="3"/>
        <v/>
      </c>
      <c r="Q4693" s="25" t="str">
        <f ca="1">IFERROR(__xludf.DUMMYFUNCTION("""COMPUTED_VALUE"""),"Corto plazo")</f>
        <v>Corto plazo</v>
      </c>
      <c r="R4693" s="25"/>
      <c r="S4693" s="55"/>
      <c r="T4693" s="56"/>
      <c r="U4693" s="25"/>
      <c r="V4693" s="25"/>
      <c r="W4693" s="25"/>
      <c r="X4693" s="25"/>
      <c r="Y4693" s="25"/>
      <c r="Z4693" s="25"/>
    </row>
    <row r="4694" spans="1:26" ht="52.5" customHeight="1" x14ac:dyDescent="0.25">
      <c r="A4694" s="25" t="str">
        <f ca="1">IFERROR(__xludf.DUMMYFUNCTION("""COMPUTED_VALUE"""),"Movil492")</f>
        <v>Movil492</v>
      </c>
      <c r="B4694" s="25" t="str">
        <f ca="1">IFERROR(__xludf.DUMMYFUNCTION("""COMPUTED_VALUE"""),"Junta de infraestructura")</f>
        <v>Junta de infraestructura</v>
      </c>
      <c r="C4694" s="55">
        <f ca="1">IFERROR(__xludf.DUMMYFUNCTION("""COMPUTED_VALUE"""),44704)</f>
        <v>44704</v>
      </c>
      <c r="D4694" s="25" t="str">
        <f ca="1">IFERROR(__xludf.DUMMYFUNCTION("""COMPUTED_VALUE"""),"Movilidad")</f>
        <v>Movilidad</v>
      </c>
      <c r="E4694" s="25" t="str">
        <f ca="1">IFERROR(__xludf.DUMMYFUNCTION("""COMPUTED_VALUE"""),"Instituto de Desarrollo Urbano")</f>
        <v>Instituto de Desarrollo Urbano</v>
      </c>
      <c r="F4694" s="25" t="str">
        <f ca="1">IFERROR(__xludf.DUMMYFUNCTION("""COMPUTED_VALUE"""),"Cable Potosí:
Analizar Alternativa 2 con 2 finales Caracolí y Potosí. 
")</f>
        <v xml:space="preserve">Cable Potosí:
Analizar Alternativa 2 con 2 finales Caracolí y Potosí. 
</v>
      </c>
      <c r="G4694" s="25" t="str">
        <f ca="1">IFERROR(__xludf.DUMMYFUNCTION("""COMPUTED_VALUE"""),"99. Distrito")</f>
        <v>99. Distrito</v>
      </c>
      <c r="H4694" s="55">
        <f ca="1">IFERROR(__xludf.DUMMYFUNCTION("""COMPUTED_VALUE"""),44734)</f>
        <v>44734</v>
      </c>
      <c r="I4694" s="25"/>
      <c r="J4694" s="55" t="str">
        <f ca="1">IFERROR(__xludf.DUMMYFUNCTION("""COMPUTED_VALUE"""),"Alta")</f>
        <v>Alta</v>
      </c>
      <c r="K4694" s="25">
        <f ca="1">IFERROR(__xludf.DUMMYFUNCTION("""COMPUTED_VALUE"""),30)</f>
        <v>30</v>
      </c>
      <c r="L4694" s="62">
        <f ca="1">IFERROR(__xludf.DUMMYFUNCTION("""COMPUTED_VALUE"""),44783)</f>
        <v>44783</v>
      </c>
      <c r="M4694" s="25" t="str">
        <f ca="1">IFERROR(__xludf.DUMMYFUNCTION("""COMPUTED_VALUE"""),"Se presentó a la junta el 1 de junio de 2022. 
 Ya se presentó y se seleccionó el trazado. Se va a hacer un contrato de factibilidad con FDN.")</f>
        <v>Se presentó a la junta el 1 de junio de 2022. 
 Ya se presentó y se seleccionó el trazado. Se va a hacer un contrato de factibilidad con FDN.</v>
      </c>
      <c r="N4694" s="55">
        <f ca="1">IFERROR(__xludf.DUMMYFUNCTION("""COMPUTED_VALUE"""),44783)</f>
        <v>44783</v>
      </c>
      <c r="O4694" s="25" t="str">
        <f t="shared" ca="1" si="0"/>
        <v>Instituto de Desarrollo Urbano</v>
      </c>
      <c r="P4694" s="25" t="str">
        <f t="shared" si="3"/>
        <v/>
      </c>
      <c r="Q4694" s="25" t="str">
        <f ca="1">IFERROR(__xludf.DUMMYFUNCTION("""COMPUTED_VALUE"""),"Corto plazo")</f>
        <v>Corto plazo</v>
      </c>
      <c r="R4694" s="25"/>
      <c r="S4694" s="55"/>
      <c r="T4694" s="56"/>
      <c r="U4694" s="25"/>
      <c r="V4694" s="25"/>
      <c r="W4694" s="25"/>
      <c r="X4694" s="25"/>
      <c r="Y4694" s="25"/>
      <c r="Z4694" s="25"/>
    </row>
    <row r="4695" spans="1:26" ht="52.5" customHeight="1" x14ac:dyDescent="0.25">
      <c r="A4695" s="25" t="str">
        <f ca="1">IFERROR(__xludf.DUMMYFUNCTION("""COMPUTED_VALUE"""),"Movil493")</f>
        <v>Movil493</v>
      </c>
      <c r="B4695" s="25" t="str">
        <f ca="1">IFERROR(__xludf.DUMMYFUNCTION("""COMPUTED_VALUE"""),"Junta de infraestructura")</f>
        <v>Junta de infraestructura</v>
      </c>
      <c r="C4695" s="55">
        <f ca="1">IFERROR(__xludf.DUMMYFUNCTION("""COMPUTED_VALUE"""),44704)</f>
        <v>44704</v>
      </c>
      <c r="D4695" s="25" t="str">
        <f ca="1">IFERROR(__xludf.DUMMYFUNCTION("""COMPUTED_VALUE"""),"Movilidad")</f>
        <v>Movilidad</v>
      </c>
      <c r="E4695" s="25" t="str">
        <f ca="1">IFERROR(__xludf.DUMMYFUNCTION("""COMPUTED_VALUE"""),"Instituto de Desarrollo Urbano")</f>
        <v>Instituto de Desarrollo Urbano</v>
      </c>
      <c r="F4695" s="25" t="str">
        <f ca="1">IFERROR(__xludf.DUMMYFUNCTION("""COMPUTED_VALUE"""),"Valorización:
ENEL se compromete a aprobar  al IDU los trámites radicados a más tardar el 31 de mayo en función de las entregas de los consultores
")</f>
        <v xml:space="preserve">Valorización:
ENEL se compromete a aprobar  al IDU los trámites radicados a más tardar el 31 de mayo en función de las entregas de los consultores
</v>
      </c>
      <c r="G4695" s="25" t="str">
        <f ca="1">IFERROR(__xludf.DUMMYFUNCTION("""COMPUTED_VALUE"""),"99. Distrito")</f>
        <v>99. Distrito</v>
      </c>
      <c r="H4695" s="55">
        <f ca="1">IFERROR(__xludf.DUMMYFUNCTION("""COMPUTED_VALUE"""),44734)</f>
        <v>44734</v>
      </c>
      <c r="I4695" s="25"/>
      <c r="J4695" s="55" t="str">
        <f ca="1">IFERROR(__xludf.DUMMYFUNCTION("""COMPUTED_VALUE"""),"Alta")</f>
        <v>Alta</v>
      </c>
      <c r="K4695" s="25">
        <f ca="1">IFERROR(__xludf.DUMMYFUNCTION("""COMPUTED_VALUE"""),30)</f>
        <v>30</v>
      </c>
      <c r="L4695" s="62">
        <f ca="1">IFERROR(__xludf.DUMMYFUNCTION("""COMPUTED_VALUE"""),44783)</f>
        <v>44783</v>
      </c>
      <c r="M4695" s="25" t="str">
        <f ca="1">IFERROR(__xludf.DUMMYFUNCTION("""COMPUTED_VALUE"""),"ENEL dio trámite a las radicaciones de serie 1 y otras series realizadas por el IDU, por lo cual a la fecha se tienen aprobado la mayoria de serie 1 de valorización.")</f>
        <v>ENEL dio trámite a las radicaciones de serie 1 y otras series realizadas por el IDU, por lo cual a la fecha se tienen aprobado la mayoria de serie 1 de valorización.</v>
      </c>
      <c r="N4695" s="55">
        <f ca="1">IFERROR(__xludf.DUMMYFUNCTION("""COMPUTED_VALUE"""),44783)</f>
        <v>44783</v>
      </c>
      <c r="O4695" s="25" t="str">
        <f t="shared" ca="1" si="0"/>
        <v>Instituto de Desarrollo Urbano</v>
      </c>
      <c r="P4695" s="25" t="str">
        <f t="shared" si="3"/>
        <v/>
      </c>
      <c r="Q4695" s="25" t="str">
        <f ca="1">IFERROR(__xludf.DUMMYFUNCTION("""COMPUTED_VALUE"""),"Corto plazo")</f>
        <v>Corto plazo</v>
      </c>
      <c r="R4695" s="25"/>
      <c r="S4695" s="55"/>
      <c r="T4695" s="56"/>
      <c r="U4695" s="25"/>
      <c r="V4695" s="25"/>
      <c r="W4695" s="25"/>
      <c r="X4695" s="25"/>
      <c r="Y4695" s="25"/>
      <c r="Z4695" s="25"/>
    </row>
    <row r="4696" spans="1:26" ht="52.5" customHeight="1" x14ac:dyDescent="0.25">
      <c r="A4696" s="25" t="str">
        <f ca="1">IFERROR(__xludf.DUMMYFUNCTION("""COMPUTED_VALUE"""),"Movil494")</f>
        <v>Movil494</v>
      </c>
      <c r="B4696" s="25" t="str">
        <f ca="1">IFERROR(__xludf.DUMMYFUNCTION("""COMPUTED_VALUE"""),"Junta de infraestructura")</f>
        <v>Junta de infraestructura</v>
      </c>
      <c r="C4696" s="55">
        <f ca="1">IFERROR(__xludf.DUMMYFUNCTION("""COMPUTED_VALUE"""),44704)</f>
        <v>44704</v>
      </c>
      <c r="D4696" s="25" t="str">
        <f ca="1">IFERROR(__xludf.DUMMYFUNCTION("""COMPUTED_VALUE"""),"Movilidad")</f>
        <v>Movilidad</v>
      </c>
      <c r="E4696" s="25" t="str">
        <f ca="1">IFERROR(__xludf.DUMMYFUNCTION("""COMPUTED_VALUE"""),"Empresa Metro de Bogotá S.A.")</f>
        <v>Empresa Metro de Bogotá S.A.</v>
      </c>
      <c r="F4696" s="25" t="str">
        <f ca="1">IFERROR(__xludf.DUMMYFUNCTION("""COMPUTED_VALUE"""),"Revisar, analizar y selecciona propuesta a la altura de la Calle 10 considerando paso peatonal subterráneo, eliminación o no del ttránsito de vehículos en esta calle y la necesidad del semáforo para el paso paetonal a nivel. ")</f>
        <v xml:space="preserve">Revisar, analizar y selecciona propuesta a la altura de la Calle 10 considerando paso peatonal subterráneo, eliminación o no del ttránsito de vehículos en esta calle y la necesidad del semáforo para el paso paetonal a nivel. </v>
      </c>
      <c r="G4696" s="25" t="str">
        <f ca="1">IFERROR(__xludf.DUMMYFUNCTION("""COMPUTED_VALUE"""),"99. Distrito")</f>
        <v>99. Distrito</v>
      </c>
      <c r="H4696" s="55">
        <f ca="1">IFERROR(__xludf.DUMMYFUNCTION("""COMPUTED_VALUE"""),44734)</f>
        <v>44734</v>
      </c>
      <c r="I4696" s="25"/>
      <c r="J4696" s="55" t="str">
        <f ca="1">IFERROR(__xludf.DUMMYFUNCTION("""COMPUTED_VALUE"""),"Alta")</f>
        <v>Alta</v>
      </c>
      <c r="K4696" s="25">
        <f ca="1">IFERROR(__xludf.DUMMYFUNCTION("""COMPUTED_VALUE"""),30)</f>
        <v>30</v>
      </c>
      <c r="L4696" s="62">
        <f ca="1">IFERROR(__xludf.DUMMYFUNCTION("""COMPUTED_VALUE"""),44855)</f>
        <v>44855</v>
      </c>
      <c r="M4696" s="25" t="str">
        <f ca="1">IFERROR(__xludf.DUMMYFUNCTION("""COMPUTED_VALUE"""),"El Concesionario ML1 está adelantando el diseño definitivo de acuerdo con la alternativa seleccionada para presentación a la Interventoría. Entrega programada para el 15/11/22 (entrega al 90%)")</f>
        <v>El Concesionario ML1 está adelantando el diseño definitivo de acuerdo con la alternativa seleccionada para presentación a la Interventoría. Entrega programada para el 15/11/22 (entrega al 90%)</v>
      </c>
      <c r="N4696" s="55">
        <f ca="1">IFERROR(__xludf.DUMMYFUNCTION("""COMPUTED_VALUE"""),44855)</f>
        <v>44855</v>
      </c>
      <c r="O4696" s="25" t="str">
        <f t="shared" ca="1" si="0"/>
        <v>Empresa Metro de Bogotá S.A.</v>
      </c>
      <c r="P4696" s="25" t="str">
        <f t="shared" si="3"/>
        <v/>
      </c>
      <c r="Q4696" s="25" t="str">
        <f ca="1">IFERROR(__xludf.DUMMYFUNCTION("""COMPUTED_VALUE"""),"Corto plazo")</f>
        <v>Corto plazo</v>
      </c>
      <c r="R4696" s="25"/>
      <c r="S4696" s="55"/>
      <c r="T4696" s="56"/>
      <c r="U4696" s="25"/>
      <c r="V4696" s="25"/>
      <c r="W4696" s="25"/>
      <c r="X4696" s="25"/>
      <c r="Y4696" s="25"/>
      <c r="Z4696" s="25"/>
    </row>
    <row r="4697" spans="1:26" ht="52.5" customHeight="1" x14ac:dyDescent="0.25">
      <c r="A4697" s="25" t="str">
        <f ca="1">IFERROR(__xludf.DUMMYFUNCTION("""COMPUTED_VALUE"""),"Movil495")</f>
        <v>Movil495</v>
      </c>
      <c r="B4697" s="25" t="str">
        <f ca="1">IFERROR(__xludf.DUMMYFUNCTION("""COMPUTED_VALUE"""),"Junta de infraestructura")</f>
        <v>Junta de infraestructura</v>
      </c>
      <c r="C4697" s="55">
        <f ca="1">IFERROR(__xludf.DUMMYFUNCTION("""COMPUTED_VALUE"""),44704)</f>
        <v>44704</v>
      </c>
      <c r="D4697" s="25" t="str">
        <f ca="1">IFERROR(__xludf.DUMMYFUNCTION("""COMPUTED_VALUE"""),"Movilidad")</f>
        <v>Movilidad</v>
      </c>
      <c r="E4697" s="25" t="str">
        <f ca="1">IFERROR(__xludf.DUMMYFUNCTION("""COMPUTED_VALUE"""),"Instituto de Desarrollo Urbano")</f>
        <v>Instituto de Desarrollo Urbano</v>
      </c>
      <c r="F4697" s="25" t="str">
        <f ca="1">IFERROR(__xludf.DUMMYFUNCTION("""COMPUTED_VALUE"""),"Analizar nuevamente la reducción/distribución del perfil vial para poder incorporar ciclorruta en el corredor")</f>
        <v>Analizar nuevamente la reducción/distribución del perfil vial para poder incorporar ciclorruta en el corredor</v>
      </c>
      <c r="G4697" s="25" t="str">
        <f ca="1">IFERROR(__xludf.DUMMYFUNCTION("""COMPUTED_VALUE"""),"99. Distrito")</f>
        <v>99. Distrito</v>
      </c>
      <c r="H4697" s="55">
        <f ca="1">IFERROR(__xludf.DUMMYFUNCTION("""COMPUTED_VALUE"""),44734)</f>
        <v>44734</v>
      </c>
      <c r="I4697" s="25"/>
      <c r="J4697" s="55" t="str">
        <f ca="1">IFERROR(__xludf.DUMMYFUNCTION("""COMPUTED_VALUE"""),"Alta")</f>
        <v>Alta</v>
      </c>
      <c r="K4697" s="25">
        <f ca="1">IFERROR(__xludf.DUMMYFUNCTION("""COMPUTED_VALUE"""),30)</f>
        <v>30</v>
      </c>
      <c r="L4697" s="62">
        <f ca="1">IFERROR(__xludf.DUMMYFUNCTION("""COMPUTED_VALUE"""),44783)</f>
        <v>44783</v>
      </c>
      <c r="M4697" s="25" t="str">
        <f ca="1">IFERROR(__xludf.DUMMYFUNCTION("""COMPUTED_VALUE"""),"La avenida contador tiene ciclorruta incorporada de la autopista a la 19 y de 7 a la 9.")</f>
        <v>La avenida contador tiene ciclorruta incorporada de la autopista a la 19 y de 7 a la 9.</v>
      </c>
      <c r="N4697" s="55">
        <f ca="1">IFERROR(__xludf.DUMMYFUNCTION("""COMPUTED_VALUE"""),44783)</f>
        <v>44783</v>
      </c>
      <c r="O4697" s="25" t="str">
        <f t="shared" ca="1" si="0"/>
        <v>Instituto de Desarrollo Urbano</v>
      </c>
      <c r="P4697" s="25" t="str">
        <f t="shared" si="3"/>
        <v/>
      </c>
      <c r="Q4697" s="25" t="str">
        <f ca="1">IFERROR(__xludf.DUMMYFUNCTION("""COMPUTED_VALUE"""),"Corto plazo")</f>
        <v>Corto plazo</v>
      </c>
      <c r="R4697" s="25"/>
      <c r="S4697" s="55"/>
      <c r="T4697" s="56"/>
      <c r="U4697" s="25"/>
      <c r="V4697" s="25"/>
      <c r="W4697" s="25"/>
      <c r="X4697" s="25"/>
      <c r="Y4697" s="25"/>
      <c r="Z4697" s="25"/>
    </row>
    <row r="4698" spans="1:26" ht="52.5" customHeight="1" x14ac:dyDescent="0.25">
      <c r="A4698" s="25" t="str">
        <f ca="1">IFERROR(__xludf.DUMMYFUNCTION("""COMPUTED_VALUE"""),"Movil496")</f>
        <v>Movil496</v>
      </c>
      <c r="B4698" s="25" t="str">
        <f ca="1">IFERROR(__xludf.DUMMYFUNCTION("""COMPUTED_VALUE"""),"Regiotram Norte ")</f>
        <v xml:space="preserve">Regiotram Norte </v>
      </c>
      <c r="C4698" s="55">
        <f ca="1">IFERROR(__xludf.DUMMYFUNCTION("""COMPUTED_VALUE"""),44733)</f>
        <v>44733</v>
      </c>
      <c r="D4698" s="25" t="str">
        <f ca="1">IFERROR(__xludf.DUMMYFUNCTION("""COMPUTED_VALUE"""),"Movilidad")</f>
        <v>Movilidad</v>
      </c>
      <c r="E4698" s="25" t="str">
        <f ca="1">IFERROR(__xludf.DUMMYFUNCTION("""COMPUTED_VALUE"""),"Instituto de Desarrollo Urbano")</f>
        <v>Instituto de Desarrollo Urbano</v>
      </c>
      <c r="F4698" s="25" t="str">
        <f ca="1">IFERROR(__xludf.DUMMYFUNCTION("""COMPUTED_VALUE"""),"Asesorar a la EFR para gestionar los predios que son propiedad del Distrito y se requieren para el Regiotram de Occidente, de acuerdo con la información que remita la EFR")</f>
        <v>Asesorar a la EFR para gestionar los predios que son propiedad del Distrito y se requieren para el Regiotram de Occidente, de acuerdo con la información que remita la EFR</v>
      </c>
      <c r="G4698" s="25" t="str">
        <f ca="1">IFERROR(__xludf.DUMMYFUNCTION("""COMPUTED_VALUE"""),"99. Distrito")</f>
        <v>99. Distrito</v>
      </c>
      <c r="H4698" s="55">
        <f ca="1">IFERROR(__xludf.DUMMYFUNCTION("""COMPUTED_VALUE"""),44763)</f>
        <v>44763</v>
      </c>
      <c r="I4698" s="25"/>
      <c r="J4698" s="55" t="str">
        <f ca="1">IFERROR(__xludf.DUMMYFUNCTION("""COMPUTED_VALUE"""),"Alta")</f>
        <v>Alta</v>
      </c>
      <c r="K4698" s="25">
        <f ca="1">IFERROR(__xludf.DUMMYFUNCTION("""COMPUTED_VALUE"""),30)</f>
        <v>30</v>
      </c>
      <c r="L4698" s="62">
        <f ca="1">IFERROR(__xludf.DUMMYFUNCTION("""COMPUTED_VALUE"""),44785)</f>
        <v>44785</v>
      </c>
      <c r="M4698" s="25" t="str">
        <f ca="1">IFERROR(__xludf.DUMMYFUNCTION("""COMPUTED_VALUE"""),"La EFR remitió oficio con solicitud de colaboración para la gestión predial de los 20 predios identificados dentro del Distrito que requiere gestionarse para el desarrollo del proyecto. Desde la Alcaldía se remitió el oficio al IDU para sus gestiones.
1."&amp;" El IDU - DTDP - Admon Predial  y la EFR se reunieron el 04/08/22, en donde se verificó la ubicación de los 5 predios de propiedad IDU. Quedó como compromiso de la EFR remitir a la DTDP, los números de matrículas inmobiliarias de los predios. 
2. De ig"&amp;"ual forma el 10/08/22, se reúnen Asesores jurídicos de la DTDP -IDU y EFR, para definir articulación con demás entidades distritales titulares de los demás predios requeridos (15).  En todo caso se establece por parte de la EFR, que no hay necesidad de tr"&amp;"ansferencia de la titularidad de los predios, sino su permiso de intervención.")</f>
        <v>La EFR remitió oficio con solicitud de colaboración para la gestión predial de los 20 predios identificados dentro del Distrito que requiere gestionarse para el desarrollo del proyecto. Desde la Alcaldía se remitió el oficio al IDU para sus gestiones.
1. El IDU - DTDP - Admon Predial  y la EFR se reunieron el 04/08/22, en donde se verificó la ubicación de los 5 predios de propiedad IDU. Quedó como compromiso de la EFR remitir a la DTDP, los números de matrículas inmobiliarias de los predios. 
2. De igual forma el 10/08/22, se reúnen Asesores jurídicos de la DTDP -IDU y EFR, para definir articulación con demás entidades distritales titulares de los demás predios requeridos (15).  En todo caso se establece por parte de la EFR, que no hay necesidad de transferencia de la titularidad de los predios, sino su permiso de intervención.</v>
      </c>
      <c r="N4698" s="55">
        <f ca="1">IFERROR(__xludf.DUMMYFUNCTION("""COMPUTED_VALUE"""),44785)</f>
        <v>44785</v>
      </c>
      <c r="O4698" s="25" t="str">
        <f t="shared" ca="1" si="0"/>
        <v>Instituto de Desarrollo Urbano</v>
      </c>
      <c r="P4698" s="25" t="str">
        <f t="shared" si="3"/>
        <v/>
      </c>
      <c r="Q4698" s="25" t="str">
        <f ca="1">IFERROR(__xludf.DUMMYFUNCTION("""COMPUTED_VALUE"""),"Corto plazo")</f>
        <v>Corto plazo</v>
      </c>
      <c r="R4698" s="25"/>
      <c r="S4698" s="55"/>
      <c r="T4698" s="56"/>
      <c r="U4698" s="25"/>
      <c r="V4698" s="25"/>
      <c r="W4698" s="25"/>
      <c r="X4698" s="25"/>
      <c r="Y4698" s="25"/>
      <c r="Z4698" s="25"/>
    </row>
    <row r="4699" spans="1:26" ht="52.5" customHeight="1" x14ac:dyDescent="0.25">
      <c r="A4699" s="25" t="str">
        <f ca="1">IFERROR(__xludf.DUMMYFUNCTION("""COMPUTED_VALUE"""),"Movil497")</f>
        <v>Movil497</v>
      </c>
      <c r="B4699" s="25" t="str">
        <f ca="1">IFERROR(__xludf.DUMMYFUNCTION("""COMPUTED_VALUE"""),"Regiotram Norte ")</f>
        <v xml:space="preserve">Regiotram Norte </v>
      </c>
      <c r="C4699" s="55">
        <f ca="1">IFERROR(__xludf.DUMMYFUNCTION("""COMPUTED_VALUE"""),44733)</f>
        <v>44733</v>
      </c>
      <c r="D4699" s="25" t="str">
        <f ca="1">IFERROR(__xludf.DUMMYFUNCTION("""COMPUTED_VALUE"""),"Movilidad")</f>
        <v>Movilidad</v>
      </c>
      <c r="E4699" s="25" t="str">
        <f ca="1">IFERROR(__xludf.DUMMYFUNCTION("""COMPUTED_VALUE"""),"Instituto de Desarrollo Urbano")</f>
        <v>Instituto de Desarrollo Urbano</v>
      </c>
      <c r="F4699" s="25" t="str">
        <f ca="1">IFERROR(__xludf.DUMMYFUNCTION("""COMPUTED_VALUE"""),"Expedir el decreto para las condiciones de urgencia de los predios requeridos para el Regiotram de Occidente")</f>
        <v>Expedir el decreto para las condiciones de urgencia de los predios requeridos para el Regiotram de Occidente</v>
      </c>
      <c r="G4699" s="25" t="str">
        <f ca="1">IFERROR(__xludf.DUMMYFUNCTION("""COMPUTED_VALUE"""),"99. Distrito")</f>
        <v>99. Distrito</v>
      </c>
      <c r="H4699" s="55">
        <f ca="1">IFERROR(__xludf.DUMMYFUNCTION("""COMPUTED_VALUE"""),44763)</f>
        <v>44763</v>
      </c>
      <c r="I4699" s="25"/>
      <c r="J4699" s="55" t="str">
        <f ca="1">IFERROR(__xludf.DUMMYFUNCTION("""COMPUTED_VALUE"""),"Alta")</f>
        <v>Alta</v>
      </c>
      <c r="K4699" s="25">
        <f ca="1">IFERROR(__xludf.DUMMYFUNCTION("""COMPUTED_VALUE"""),30)</f>
        <v>30</v>
      </c>
      <c r="L4699" s="62">
        <f ca="1">IFERROR(__xludf.DUMMYFUNCTION("""COMPUTED_VALUE"""),44897)</f>
        <v>44897</v>
      </c>
      <c r="M4699" s="25" t="str">
        <f ca="1">IFERROR(__xludf.DUMMYFUNCTION("""COMPUTED_VALUE"""),"Cerrado: La EFR remitió oficio con solicitud de colaboración para la gestión predial de los 20 predios identificados dentro del Distrito que requiere gestionarse para el desarrollo del proyecto. Desde la Alcaldía se remitió el oficio al IDU para sus gesti"&amp;"ones.
El IDU el 11/08/22 remite con firmas y VoBo, el decreto y exposición de motivos que declaran las condiciones de urgencia del proyecto Regiotram, a la SDM (Movilidad) para impulso de las demás firmas. 
El decreto fue expedido el 28 de agosto de 202"&amp;"2, es el decreto 350 de 2022. ")</f>
        <v xml:space="preserve">Cerrado: La EFR remitió oficio con solicitud de colaboración para la gestión predial de los 20 predios identificados dentro del Distrito que requiere gestionarse para el desarrollo del proyecto. Desde la Alcaldía se remitió el oficio al IDU para sus gestiones.
El IDU el 11/08/22 remite con firmas y VoBo, el decreto y exposición de motivos que declaran las condiciones de urgencia del proyecto Regiotram, a la SDM (Movilidad) para impulso de las demás firmas. 
El decreto fue expedido el 28 de agosto de 2022, es el decreto 350 de 2022. </v>
      </c>
      <c r="N4699" s="55">
        <f ca="1">IFERROR(__xludf.DUMMYFUNCTION("""COMPUTED_VALUE"""),44897)</f>
        <v>44897</v>
      </c>
      <c r="O4699" s="25" t="str">
        <f t="shared" ca="1" si="0"/>
        <v>Instituto de Desarrollo Urbano</v>
      </c>
      <c r="P4699" s="25" t="str">
        <f t="shared" si="3"/>
        <v/>
      </c>
      <c r="Q4699" s="25" t="str">
        <f ca="1">IFERROR(__xludf.DUMMYFUNCTION("""COMPUTED_VALUE"""),"Corto plazo")</f>
        <v>Corto plazo</v>
      </c>
      <c r="R4699" s="25"/>
      <c r="S4699" s="55"/>
      <c r="T4699" s="56"/>
      <c r="U4699" s="25"/>
      <c r="V4699" s="25"/>
      <c r="W4699" s="25"/>
      <c r="X4699" s="25"/>
      <c r="Y4699" s="25"/>
      <c r="Z4699" s="25"/>
    </row>
    <row r="4700" spans="1:26" ht="52.5" customHeight="1" x14ac:dyDescent="0.25">
      <c r="A4700" s="25" t="str">
        <f ca="1">IFERROR(__xludf.DUMMYFUNCTION("""COMPUTED_VALUE"""),"Movil498")</f>
        <v>Movil498</v>
      </c>
      <c r="B4700" s="25" t="str">
        <f ca="1">IFERROR(__xludf.DUMMYFUNCTION("""COMPUTED_VALUE"""),"Corredor verde ")</f>
        <v xml:space="preserve">Corredor verde </v>
      </c>
      <c r="C4700" s="55">
        <f ca="1">IFERROR(__xludf.DUMMYFUNCTION("""COMPUTED_VALUE"""),44735)</f>
        <v>44735</v>
      </c>
      <c r="D4700" s="25" t="str">
        <f ca="1">IFERROR(__xludf.DUMMYFUNCTION("""COMPUTED_VALUE"""),"Movilidad")</f>
        <v>Movilidad</v>
      </c>
      <c r="E4700" s="25" t="str">
        <f ca="1">IFERROR(__xludf.DUMMYFUNCTION("""COMPUTED_VALUE"""),"Instituto de Desarrollo Urbano")</f>
        <v>Instituto de Desarrollo Urbano</v>
      </c>
      <c r="F4700" s="25" t="str">
        <f ca="1">IFERROR(__xludf.DUMMYFUNCTION("""COMPUTED_VALUE"""),"Hacer un excel donde se indiquen tramos, responsables, recursos, plazos, entregas y aprobaciones, concordante con los tramos priorizados para licitación.")</f>
        <v>Hacer un excel donde se indiquen tramos, responsables, recursos, plazos, entregas y aprobaciones, concordante con los tramos priorizados para licitación.</v>
      </c>
      <c r="G4700" s="25" t="str">
        <f ca="1">IFERROR(__xludf.DUMMYFUNCTION("""COMPUTED_VALUE"""),"99. Distrito")</f>
        <v>99. Distrito</v>
      </c>
      <c r="H4700" s="55">
        <f ca="1">IFERROR(__xludf.DUMMYFUNCTION("""COMPUTED_VALUE"""),44765)</f>
        <v>44765</v>
      </c>
      <c r="I4700" s="25"/>
      <c r="J4700" s="55" t="str">
        <f ca="1">IFERROR(__xludf.DUMMYFUNCTION("""COMPUTED_VALUE"""),"Alta")</f>
        <v>Alta</v>
      </c>
      <c r="K4700" s="25">
        <f ca="1">IFERROR(__xludf.DUMMYFUNCTION("""COMPUTED_VALUE"""),30)</f>
        <v>30</v>
      </c>
      <c r="L4700" s="62">
        <f ca="1">IFERROR(__xludf.DUMMYFUNCTION("""COMPUTED_VALUE"""),44893)</f>
        <v>44893</v>
      </c>
      <c r="M4700" s="25" t="str">
        <f ca="1">IFERROR(__xludf.DUMMYFUNCTION("""COMPUTED_VALUE"""),"El excel y las mesas de trabajo avanzan según los cronogramas y metas acordados entre IDU y Alcaldía.")</f>
        <v>El excel y las mesas de trabajo avanzan según los cronogramas y metas acordados entre IDU y Alcaldía.</v>
      </c>
      <c r="N4700" s="55">
        <f ca="1">IFERROR(__xludf.DUMMYFUNCTION("""COMPUTED_VALUE"""),44893)</f>
        <v>44893</v>
      </c>
      <c r="O4700" s="25" t="str">
        <f t="shared" ca="1" si="0"/>
        <v>Instituto de Desarrollo Urbano</v>
      </c>
      <c r="P4700" s="25" t="str">
        <f t="shared" si="3"/>
        <v/>
      </c>
      <c r="Q4700" s="25" t="str">
        <f ca="1">IFERROR(__xludf.DUMMYFUNCTION("""COMPUTED_VALUE"""),"Corto plazo")</f>
        <v>Corto plazo</v>
      </c>
      <c r="R4700" s="25"/>
      <c r="S4700" s="55"/>
      <c r="T4700" s="56"/>
      <c r="U4700" s="25"/>
      <c r="V4700" s="25"/>
      <c r="W4700" s="25"/>
      <c r="X4700" s="25"/>
      <c r="Y4700" s="25"/>
      <c r="Z4700" s="25"/>
    </row>
    <row r="4701" spans="1:26" ht="52.5" customHeight="1" x14ac:dyDescent="0.25">
      <c r="A4701" s="25" t="str">
        <f ca="1">IFERROR(__xludf.DUMMYFUNCTION("""COMPUTED_VALUE"""),"Movil499")</f>
        <v>Movil499</v>
      </c>
      <c r="B4701" s="25" t="str">
        <f ca="1">IFERROR(__xludf.DUMMYFUNCTION("""COMPUTED_VALUE"""),"Corredor verde ")</f>
        <v xml:space="preserve">Corredor verde </v>
      </c>
      <c r="C4701" s="55">
        <f ca="1">IFERROR(__xludf.DUMMYFUNCTION("""COMPUTED_VALUE"""),44735)</f>
        <v>44735</v>
      </c>
      <c r="D4701" s="25" t="str">
        <f ca="1">IFERROR(__xludf.DUMMYFUNCTION("""COMPUTED_VALUE"""),"Movilidad")</f>
        <v>Movilidad</v>
      </c>
      <c r="E4701" s="25" t="str">
        <f ca="1">IFERROR(__xludf.DUMMYFUNCTION("""COMPUTED_VALUE"""),"Empresa de Transporte del Tercer Milenio - Transmilenio S.A.")</f>
        <v>Empresa de Transporte del Tercer Milenio - Transmilenio S.A.</v>
      </c>
      <c r="F4701" s="25" t="str">
        <f ca="1">IFERROR(__xludf.DUMMYFUNCTION("""COMPUTED_VALUE"""),"Estudiar si TM puede colocar los recursos disponibles que no se alcancen a comprometer en la contratación de obra en un patrimonio autónomo.")</f>
        <v>Estudiar si TM puede colocar los recursos disponibles que no se alcancen a comprometer en la contratación de obra en un patrimonio autónomo.</v>
      </c>
      <c r="G4701" s="25" t="str">
        <f ca="1">IFERROR(__xludf.DUMMYFUNCTION("""COMPUTED_VALUE"""),"99. Distrito")</f>
        <v>99. Distrito</v>
      </c>
      <c r="H4701" s="55">
        <f ca="1">IFERROR(__xludf.DUMMYFUNCTION("""COMPUTED_VALUE"""),44765)</f>
        <v>44765</v>
      </c>
      <c r="I4701" s="25"/>
      <c r="J4701" s="55" t="str">
        <f ca="1">IFERROR(__xludf.DUMMYFUNCTION("""COMPUTED_VALUE"""),"Alta")</f>
        <v>Alta</v>
      </c>
      <c r="K4701" s="25">
        <f ca="1">IFERROR(__xludf.DUMMYFUNCTION("""COMPUTED_VALUE"""),30)</f>
        <v>30</v>
      </c>
      <c r="L4701" s="62">
        <f ca="1">IFERROR(__xludf.DUMMYFUNCTION("""COMPUTED_VALUE"""),44893)</f>
        <v>44893</v>
      </c>
      <c r="M4701" s="25" t="str">
        <f ca="1">IFERROR(__xludf.DUMMYFUNCTION("""COMPUTED_VALUE"""),"De acuerdo con la estructuración de los procesos de contratación que adelanta el IDU, este informó que para la vigencia 2023 no se requieren recursos para comprometer, motivo por el cual los recursos apropiados en la vigencia para contratar el proyecto se"&amp;" van a reducir del presupuesto y se gestionan vigencias futuras excepcionales. Para colocar los recursos en un patrimonio autónomo TMSA no tiene el activo, toda vez que los recursos unicamente estan apropiados en el POAI.")</f>
        <v>De acuerdo con la estructuración de los procesos de contratación que adelanta el IDU, este informó que para la vigencia 2023 no se requieren recursos para comprometer, motivo por el cual los recursos apropiados en la vigencia para contratar el proyecto se van a reducir del presupuesto y se gestionan vigencias futuras excepcionales. Para colocar los recursos en un patrimonio autónomo TMSA no tiene el activo, toda vez que los recursos unicamente estan apropiados en el POAI.</v>
      </c>
      <c r="N4701" s="55">
        <f ca="1">IFERROR(__xludf.DUMMYFUNCTION("""COMPUTED_VALUE"""),44893)</f>
        <v>44893</v>
      </c>
      <c r="O4701" s="25" t="str">
        <f t="shared" ca="1" si="0"/>
        <v>Empresa de Transporte del Tercer Milenio - Transmilenio S.A.</v>
      </c>
      <c r="P4701" s="25" t="str">
        <f t="shared" si="3"/>
        <v/>
      </c>
      <c r="Q4701" s="25" t="str">
        <f ca="1">IFERROR(__xludf.DUMMYFUNCTION("""COMPUTED_VALUE"""),"Corto plazo")</f>
        <v>Corto plazo</v>
      </c>
      <c r="R4701" s="25"/>
      <c r="S4701" s="55"/>
      <c r="T4701" s="56"/>
      <c r="U4701" s="25"/>
      <c r="V4701" s="25"/>
      <c r="W4701" s="25"/>
      <c r="X4701" s="25"/>
      <c r="Y4701" s="25"/>
      <c r="Z4701" s="25"/>
    </row>
    <row r="4702" spans="1:26" ht="52.5" customHeight="1" x14ac:dyDescent="0.25">
      <c r="A4702" s="25" t="str">
        <f ca="1">IFERROR(__xludf.DUMMYFUNCTION("""COMPUTED_VALUE"""),"Movil500")</f>
        <v>Movil500</v>
      </c>
      <c r="B4702" s="25" t="str">
        <f ca="1">IFERROR(__xludf.DUMMYFUNCTION("""COMPUTED_VALUE"""),"Corredor verde ")</f>
        <v xml:space="preserve">Corredor verde </v>
      </c>
      <c r="C4702" s="55">
        <f ca="1">IFERROR(__xludf.DUMMYFUNCTION("""COMPUTED_VALUE"""),44735)</f>
        <v>44735</v>
      </c>
      <c r="D4702" s="25" t="str">
        <f ca="1">IFERROR(__xludf.DUMMYFUNCTION("""COMPUTED_VALUE"""),"Movilidad")</f>
        <v>Movilidad</v>
      </c>
      <c r="E4702" s="25" t="str">
        <f ca="1">IFERROR(__xludf.DUMMYFUNCTION("""COMPUTED_VALUE"""),"Instituto de Desarrollo Urbano")</f>
        <v>Instituto de Desarrollo Urbano</v>
      </c>
      <c r="F4702" s="25" t="str">
        <f ca="1">IFERROR(__xludf.DUMMYFUNCTION("""COMPUTED_VALUE"""),"Adelantar reunión/taller con el consultor y entidades responsables para buscar una solución para el tráfico a la altura del parque nacional, considerando los aspectos patrimoniales.")</f>
        <v>Adelantar reunión/taller con el consultor y entidades responsables para buscar una solución para el tráfico a la altura del parque nacional, considerando los aspectos patrimoniales.</v>
      </c>
      <c r="G4702" s="25" t="str">
        <f ca="1">IFERROR(__xludf.DUMMYFUNCTION("""COMPUTED_VALUE"""),"99. Distrito")</f>
        <v>99. Distrito</v>
      </c>
      <c r="H4702" s="55">
        <f ca="1">IFERROR(__xludf.DUMMYFUNCTION("""COMPUTED_VALUE"""),44765)</f>
        <v>44765</v>
      </c>
      <c r="I4702" s="25"/>
      <c r="J4702" s="55" t="str">
        <f ca="1">IFERROR(__xludf.DUMMYFUNCTION("""COMPUTED_VALUE"""),"Alta")</f>
        <v>Alta</v>
      </c>
      <c r="K4702" s="25">
        <f ca="1">IFERROR(__xludf.DUMMYFUNCTION("""COMPUTED_VALUE"""),30)</f>
        <v>30</v>
      </c>
      <c r="L4702" s="62">
        <f ca="1">IFERROR(__xludf.DUMMYFUNCTION("""COMPUTED_VALUE"""),44893)</f>
        <v>44893</v>
      </c>
      <c r="M4702" s="25" t="str">
        <f ca="1">IFERROR(__xludf.DUMMYFUNCTION("""COMPUTED_VALUE"""),"CERRADO: Cerrado el diseño en este entorno")</f>
        <v>CERRADO: Cerrado el diseño en este entorno</v>
      </c>
      <c r="N4702" s="55">
        <f ca="1">IFERROR(__xludf.DUMMYFUNCTION("""COMPUTED_VALUE"""),44893)</f>
        <v>44893</v>
      </c>
      <c r="O4702" s="25" t="str">
        <f t="shared" ca="1" si="0"/>
        <v>Instituto de Desarrollo Urbano</v>
      </c>
      <c r="P4702" s="25" t="str">
        <f t="shared" si="3"/>
        <v/>
      </c>
      <c r="Q4702" s="25" t="str">
        <f ca="1">IFERROR(__xludf.DUMMYFUNCTION("""COMPUTED_VALUE"""),"Corto plazo")</f>
        <v>Corto plazo</v>
      </c>
      <c r="R4702" s="25"/>
      <c r="S4702" s="55"/>
      <c r="T4702" s="56"/>
      <c r="U4702" s="25"/>
      <c r="V4702" s="25"/>
      <c r="W4702" s="25"/>
      <c r="X4702" s="25"/>
      <c r="Y4702" s="25"/>
      <c r="Z4702" s="25"/>
    </row>
    <row r="4703" spans="1:26" ht="52.5" customHeight="1" x14ac:dyDescent="0.25">
      <c r="A4703" s="25" t="str">
        <f ca="1">IFERROR(__xludf.DUMMYFUNCTION("""COMPUTED_VALUE"""),"Movil501")</f>
        <v>Movil501</v>
      </c>
      <c r="B4703" s="25" t="str">
        <f ca="1">IFERROR(__xludf.DUMMYFUNCTION("""COMPUTED_VALUE"""),"Corredor verde ")</f>
        <v xml:space="preserve">Corredor verde </v>
      </c>
      <c r="C4703" s="55">
        <f ca="1">IFERROR(__xludf.DUMMYFUNCTION("""COMPUTED_VALUE"""),44735)</f>
        <v>44735</v>
      </c>
      <c r="D4703" s="25" t="str">
        <f ca="1">IFERROR(__xludf.DUMMYFUNCTION("""COMPUTED_VALUE"""),"Movilidad")</f>
        <v>Movilidad</v>
      </c>
      <c r="E4703" s="25" t="str">
        <f ca="1">IFERROR(__xludf.DUMMYFUNCTION("""COMPUTED_VALUE"""),"Instituto de Desarrollo Urbano")</f>
        <v>Instituto de Desarrollo Urbano</v>
      </c>
      <c r="F4703" s="25" t="str">
        <f ca="1">IFERROR(__xludf.DUMMYFUNCTION("""COMPUTED_VALUE"""),"Hacer solicitud de concepto a SDP sobre licenciamiento de construcción frente a los patios")</f>
        <v>Hacer solicitud de concepto a SDP sobre licenciamiento de construcción frente a los patios</v>
      </c>
      <c r="G4703" s="25" t="str">
        <f ca="1">IFERROR(__xludf.DUMMYFUNCTION("""COMPUTED_VALUE"""),"99. Distrito")</f>
        <v>99. Distrito</v>
      </c>
      <c r="H4703" s="55">
        <f ca="1">IFERROR(__xludf.DUMMYFUNCTION("""COMPUTED_VALUE"""),44765)</f>
        <v>44765</v>
      </c>
      <c r="I4703" s="25"/>
      <c r="J4703" s="55" t="str">
        <f ca="1">IFERROR(__xludf.DUMMYFUNCTION("""COMPUTED_VALUE"""),"Alta")</f>
        <v>Alta</v>
      </c>
      <c r="K4703" s="25">
        <f ca="1">IFERROR(__xludf.DUMMYFUNCTION("""COMPUTED_VALUE"""),30)</f>
        <v>30</v>
      </c>
      <c r="L4703" s="62">
        <f ca="1">IFERROR(__xludf.DUMMYFUNCTION("""COMPUTED_VALUE"""),44893)</f>
        <v>44893</v>
      </c>
      <c r="M4703" s="25" t="str">
        <f ca="1">IFERROR(__xludf.DUMMYFUNCTION("""COMPUTED_VALUE"""),"No se requiere, se avanza en el trámite de la licencia.")</f>
        <v>No se requiere, se avanza en el trámite de la licencia.</v>
      </c>
      <c r="N4703" s="55">
        <f ca="1">IFERROR(__xludf.DUMMYFUNCTION("""COMPUTED_VALUE"""),44893)</f>
        <v>44893</v>
      </c>
      <c r="O4703" s="25" t="str">
        <f t="shared" ca="1" si="0"/>
        <v>Instituto de Desarrollo Urbano</v>
      </c>
      <c r="P4703" s="25" t="str">
        <f t="shared" si="3"/>
        <v/>
      </c>
      <c r="Q4703" s="25" t="str">
        <f ca="1">IFERROR(__xludf.DUMMYFUNCTION("""COMPUTED_VALUE"""),"Corto plazo")</f>
        <v>Corto plazo</v>
      </c>
      <c r="R4703" s="25"/>
      <c r="S4703" s="55"/>
      <c r="T4703" s="56"/>
      <c r="U4703" s="25"/>
      <c r="V4703" s="25"/>
      <c r="W4703" s="25"/>
      <c r="X4703" s="25"/>
      <c r="Y4703" s="25"/>
      <c r="Z4703" s="25"/>
    </row>
    <row r="4704" spans="1:26" ht="52.5" customHeight="1" x14ac:dyDescent="0.25">
      <c r="A4704" s="25" t="str">
        <f ca="1">IFERROR(__xludf.DUMMYFUNCTION("""COMPUTED_VALUE"""),"Movil502")</f>
        <v>Movil502</v>
      </c>
      <c r="B4704" s="25" t="str">
        <f ca="1">IFERROR(__xludf.DUMMYFUNCTION("""COMPUTED_VALUE"""),"Corredor verde ")</f>
        <v xml:space="preserve">Corredor verde </v>
      </c>
      <c r="C4704" s="55">
        <f ca="1">IFERROR(__xludf.DUMMYFUNCTION("""COMPUTED_VALUE"""),44735)</f>
        <v>44735</v>
      </c>
      <c r="D4704" s="25" t="str">
        <f ca="1">IFERROR(__xludf.DUMMYFUNCTION("""COMPUTED_VALUE"""),"Movilidad")</f>
        <v>Movilidad</v>
      </c>
      <c r="E4704" s="25" t="str">
        <f ca="1">IFERROR(__xludf.DUMMYFUNCTION("""COMPUTED_VALUE"""),"Instituto de Desarrollo Urbano")</f>
        <v>Instituto de Desarrollo Urbano</v>
      </c>
      <c r="F4704" s="25" t="str">
        <f ca="1">IFERROR(__xludf.DUMMYFUNCTION("""COMPUTED_VALUE"""),"Definir con ENEL y UAESP la ruta de gestión y de aprobación de los elementos de iluminación tanto funcional como ornamental. ")</f>
        <v xml:space="preserve">Definir con ENEL y UAESP la ruta de gestión y de aprobación de los elementos de iluminación tanto funcional como ornamental. </v>
      </c>
      <c r="G4704" s="25" t="str">
        <f ca="1">IFERROR(__xludf.DUMMYFUNCTION("""COMPUTED_VALUE"""),"99. Distrito")</f>
        <v>99. Distrito</v>
      </c>
      <c r="H4704" s="55">
        <f ca="1">IFERROR(__xludf.DUMMYFUNCTION("""COMPUTED_VALUE"""),44765)</f>
        <v>44765</v>
      </c>
      <c r="I4704" s="25"/>
      <c r="J4704" s="55" t="str">
        <f ca="1">IFERROR(__xludf.DUMMYFUNCTION("""COMPUTED_VALUE"""),"Alta")</f>
        <v>Alta</v>
      </c>
      <c r="K4704" s="25">
        <f ca="1">IFERROR(__xludf.DUMMYFUNCTION("""COMPUTED_VALUE"""),30)</f>
        <v>30</v>
      </c>
      <c r="L4704" s="62">
        <f ca="1">IFERROR(__xludf.DUMMYFUNCTION("""COMPUTED_VALUE"""),44893)</f>
        <v>44893</v>
      </c>
      <c r="M4704" s="25" t="str">
        <f ca="1">IFERROR(__xludf.DUMMYFUNCTION("""COMPUTED_VALUE"""),"Definidas las tecnologías, en proceso de aprobaciones las distintas series de iluminación por parte de UAESP y ENEL")</f>
        <v>Definidas las tecnologías, en proceso de aprobaciones las distintas series de iluminación por parte de UAESP y ENEL</v>
      </c>
      <c r="N4704" s="55">
        <f ca="1">IFERROR(__xludf.DUMMYFUNCTION("""COMPUTED_VALUE"""),44893)</f>
        <v>44893</v>
      </c>
      <c r="O4704" s="25" t="str">
        <f t="shared" ca="1" si="0"/>
        <v>Instituto de Desarrollo Urbano</v>
      </c>
      <c r="P4704" s="25" t="str">
        <f t="shared" si="3"/>
        <v/>
      </c>
      <c r="Q4704" s="25" t="str">
        <f ca="1">IFERROR(__xludf.DUMMYFUNCTION("""COMPUTED_VALUE"""),"Corto plazo")</f>
        <v>Corto plazo</v>
      </c>
      <c r="R4704" s="25"/>
      <c r="S4704" s="55"/>
      <c r="T4704" s="56"/>
      <c r="U4704" s="25"/>
      <c r="V4704" s="25"/>
      <c r="W4704" s="25"/>
      <c r="X4704" s="25"/>
      <c r="Y4704" s="25"/>
      <c r="Z4704" s="25"/>
    </row>
    <row r="4705" spans="1:26" ht="52.5" customHeight="1" x14ac:dyDescent="0.25">
      <c r="A4705" s="25" t="str">
        <f ca="1">IFERROR(__xludf.DUMMYFUNCTION("""COMPUTED_VALUE"""),"Movil503")</f>
        <v>Movil503</v>
      </c>
      <c r="B4705" s="25" t="str">
        <f ca="1">IFERROR(__xludf.DUMMYFUNCTION("""COMPUTED_VALUE"""),"Corredor verde ")</f>
        <v xml:space="preserve">Corredor verde </v>
      </c>
      <c r="C4705" s="55">
        <f ca="1">IFERROR(__xludf.DUMMYFUNCTION("""COMPUTED_VALUE"""),44733)</f>
        <v>44733</v>
      </c>
      <c r="D4705" s="25" t="str">
        <f ca="1">IFERROR(__xludf.DUMMYFUNCTION("""COMPUTED_VALUE"""),"Movilidad")</f>
        <v>Movilidad</v>
      </c>
      <c r="E4705" s="25" t="str">
        <f ca="1">IFERROR(__xludf.DUMMYFUNCTION("""COMPUTED_VALUE"""),"Secretaría Distrital de Movilidad")</f>
        <v>Secretaría Distrital de Movilidad</v>
      </c>
      <c r="F4705" s="25" t="str">
        <f ca="1">IFERROR(__xludf.DUMMYFUNCTION("""COMPUTED_VALUE"""),"Revisar durante las obras qué hacer con la ciclorruta existente en el corredor (similar al Corredor de la Av. 68)")</f>
        <v>Revisar durante las obras qué hacer con la ciclorruta existente en el corredor (similar al Corredor de la Av. 68)</v>
      </c>
      <c r="G4705" s="25" t="str">
        <f ca="1">IFERROR(__xludf.DUMMYFUNCTION("""COMPUTED_VALUE"""),"99. Distrito")</f>
        <v>99. Distrito</v>
      </c>
      <c r="H4705" s="55">
        <f ca="1">IFERROR(__xludf.DUMMYFUNCTION("""COMPUTED_VALUE"""),44763)</f>
        <v>44763</v>
      </c>
      <c r="I4705" s="25"/>
      <c r="J4705" s="55" t="str">
        <f ca="1">IFERROR(__xludf.DUMMYFUNCTION("""COMPUTED_VALUE"""),"Alta")</f>
        <v>Alta</v>
      </c>
      <c r="K4705" s="25">
        <f ca="1">IFERROR(__xludf.DUMMYFUNCTION("""COMPUTED_VALUE"""),30)</f>
        <v>30</v>
      </c>
      <c r="L4705" s="62">
        <f ca="1">IFERROR(__xludf.DUMMYFUNCTION("""COMPUTED_VALUE"""),44846)</f>
        <v>44846</v>
      </c>
      <c r="M4705" s="25" t="str">
        <f ca="1">IFERROR(__xludf.DUMMYFUNCTION("""COMPUTED_VALUE"""),"CERRADO: Como parte de los PMT, es un requerimiento por parte de la SDM que cuando existe ciclorrutas en los corredores a intervenir, siempre debe adecuarse o mantenerse una infraestructura para los ciclistas durante la obra.")</f>
        <v>CERRADO: Como parte de los PMT, es un requerimiento por parte de la SDM que cuando existe ciclorrutas en los corredores a intervenir, siempre debe adecuarse o mantenerse una infraestructura para los ciclistas durante la obra.</v>
      </c>
      <c r="N4705" s="55">
        <f ca="1">IFERROR(__xludf.DUMMYFUNCTION("""COMPUTED_VALUE"""),44846)</f>
        <v>44846</v>
      </c>
      <c r="O4705" s="25" t="str">
        <f t="shared" ca="1" si="0"/>
        <v>Secretaría Distrital de Movilidad</v>
      </c>
      <c r="P4705" s="25" t="str">
        <f t="shared" si="3"/>
        <v/>
      </c>
      <c r="Q4705" s="25" t="str">
        <f ca="1">IFERROR(__xludf.DUMMYFUNCTION("""COMPUTED_VALUE"""),"Corto plazo")</f>
        <v>Corto plazo</v>
      </c>
      <c r="R4705" s="25"/>
      <c r="S4705" s="55"/>
      <c r="T4705" s="56"/>
      <c r="U4705" s="25"/>
      <c r="V4705" s="25"/>
      <c r="W4705" s="25"/>
      <c r="X4705" s="25"/>
      <c r="Y4705" s="25"/>
      <c r="Z4705" s="25"/>
    </row>
    <row r="4706" spans="1:26" ht="52.5" customHeight="1" x14ac:dyDescent="0.25">
      <c r="A4706" s="25" t="str">
        <f ca="1">IFERROR(__xludf.DUMMYFUNCTION("""COMPUTED_VALUE"""),"Movil504")</f>
        <v>Movil504</v>
      </c>
      <c r="B4706" s="25" t="str">
        <f ca="1">IFERROR(__xludf.DUMMYFUNCTION("""COMPUTED_VALUE"""),"Corredor verde ")</f>
        <v xml:space="preserve">Corredor verde </v>
      </c>
      <c r="C4706" s="55">
        <f ca="1">IFERROR(__xludf.DUMMYFUNCTION("""COMPUTED_VALUE"""),44733)</f>
        <v>44733</v>
      </c>
      <c r="D4706" s="25" t="str">
        <f ca="1">IFERROR(__xludf.DUMMYFUNCTION("""COMPUTED_VALUE"""),"Movilidad")</f>
        <v>Movilidad</v>
      </c>
      <c r="E4706" s="25" t="str">
        <f ca="1">IFERROR(__xludf.DUMMYFUNCTION("""COMPUTED_VALUE"""),"Instituto de Desarrollo Urbano")</f>
        <v>Instituto de Desarrollo Urbano</v>
      </c>
      <c r="F4706" s="25" t="str">
        <f ca="1">IFERROR(__xludf.DUMMYFUNCTION("""COMPUTED_VALUE"""),"Una vez se tenga el PMT y la circulación definitiva del corredor CV7 y borde occidental, se debe definir una estrategia de comunicaciones explicándo los cambios y la infraestructura que se provee.")</f>
        <v>Una vez se tenga el PMT y la circulación definitiva del corredor CV7 y borde occidental, se debe definir una estrategia de comunicaciones explicándo los cambios y la infraestructura que se provee.</v>
      </c>
      <c r="G4706" s="25" t="str">
        <f ca="1">IFERROR(__xludf.DUMMYFUNCTION("""COMPUTED_VALUE"""),"99. Distrito")</f>
        <v>99. Distrito</v>
      </c>
      <c r="H4706" s="55">
        <f ca="1">IFERROR(__xludf.DUMMYFUNCTION("""COMPUTED_VALUE"""),45017)</f>
        <v>45017</v>
      </c>
      <c r="I4706" s="25" t="str">
        <f ca="1">IFERROR(__xludf.DUMMYFUNCTION("""COMPUTED_VALUE"""),"Junta de Infraestructura")</f>
        <v>Junta de Infraestructura</v>
      </c>
      <c r="J4706" s="55" t="str">
        <f ca="1">IFERROR(__xludf.DUMMYFUNCTION("""COMPUTED_VALUE"""),"Baja")</f>
        <v>Baja</v>
      </c>
      <c r="K4706" s="25">
        <f ca="1">IFERROR(__xludf.DUMMYFUNCTION("""COMPUTED_VALUE"""),284)</f>
        <v>284</v>
      </c>
      <c r="L4706" s="62">
        <f ca="1">IFERROR(__xludf.DUMMYFUNCTION("""COMPUTED_VALUE"""),45078)</f>
        <v>45078</v>
      </c>
      <c r="M4706" s="25" t="str">
        <f ca="1">IFERROR(__xludf.DUMMYFUNCTION("""COMPUTED_VALUE"""),"Se ha hecho un plan de comunicación y la producción de un contenido audiovisual que explica la configuración del proyecto además de una rueda de medios extensiva de la Alcaldesa y otros funcionarios explicando. Se sugiere CERRAR.")</f>
        <v>Se ha hecho un plan de comunicación y la producción de un contenido audiovisual que explica la configuración del proyecto además de una rueda de medios extensiva de la Alcaldesa y otros funcionarios explicando. Se sugiere CERRAR.</v>
      </c>
      <c r="N4706" s="55">
        <f ca="1">IFERROR(__xludf.DUMMYFUNCTION("""COMPUTED_VALUE"""),45077)</f>
        <v>45077</v>
      </c>
      <c r="O4706" s="25" t="str">
        <f t="shared" ca="1" si="0"/>
        <v>Instituto de Desarrollo Urbano</v>
      </c>
      <c r="P4706" s="25" t="str">
        <f t="shared" ca="1" si="3"/>
        <v/>
      </c>
      <c r="Q4706" s="25" t="str">
        <f ca="1">IFERROR(__xludf.DUMMYFUNCTION("""COMPUTED_VALUE"""),"Largo plazo")</f>
        <v>Largo plazo</v>
      </c>
      <c r="R4706" s="25"/>
      <c r="S4706" s="55"/>
      <c r="T4706" s="56"/>
      <c r="U4706" s="25"/>
      <c r="V4706" s="25"/>
      <c r="W4706" s="25"/>
      <c r="X4706" s="25"/>
      <c r="Y4706" s="25"/>
      <c r="Z4706" s="25"/>
    </row>
    <row r="4707" spans="1:26" ht="52.5" customHeight="1" x14ac:dyDescent="0.25">
      <c r="A4707" s="25" t="str">
        <f ca="1">IFERROR(__xludf.DUMMYFUNCTION("""COMPUTED_VALUE"""),"Movil505")</f>
        <v>Movil505</v>
      </c>
      <c r="B4707" s="25" t="str">
        <f ca="1">IFERROR(__xludf.DUMMYFUNCTION("""COMPUTED_VALUE"""),"Corredor verde ")</f>
        <v xml:space="preserve">Corredor verde </v>
      </c>
      <c r="C4707" s="55">
        <f ca="1">IFERROR(__xludf.DUMMYFUNCTION("""COMPUTED_VALUE"""),44733)</f>
        <v>44733</v>
      </c>
      <c r="D4707" s="25" t="str">
        <f ca="1">IFERROR(__xludf.DUMMYFUNCTION("""COMPUTED_VALUE"""),"Movilidad")</f>
        <v>Movilidad</v>
      </c>
      <c r="E4707" s="25" t="str">
        <f ca="1">IFERROR(__xludf.DUMMYFUNCTION("""COMPUTED_VALUE"""),"Instituto de Desarrollo Urbano")</f>
        <v>Instituto de Desarrollo Urbano</v>
      </c>
      <c r="F4707" s="25" t="str">
        <f ca="1">IFERROR(__xludf.DUMMYFUNCTION("""COMPUTED_VALUE"""),"Elaborar presentación del proyecto referente a como quedará y PMT de obras para empezar para emplear en la socialización del proyecto.")</f>
        <v>Elaborar presentación del proyecto referente a como quedará y PMT de obras para empezar para emplear en la socialización del proyecto.</v>
      </c>
      <c r="G4707" s="25" t="str">
        <f ca="1">IFERROR(__xludf.DUMMYFUNCTION("""COMPUTED_VALUE"""),"99. Distrito")</f>
        <v>99. Distrito</v>
      </c>
      <c r="H4707" s="55">
        <f ca="1">IFERROR(__xludf.DUMMYFUNCTION("""COMPUTED_VALUE"""),45017)</f>
        <v>45017</v>
      </c>
      <c r="I4707" s="25" t="str">
        <f ca="1">IFERROR(__xludf.DUMMYFUNCTION("""COMPUTED_VALUE"""),"Junta de Infraestructura")</f>
        <v>Junta de Infraestructura</v>
      </c>
      <c r="J4707" s="55" t="str">
        <f ca="1">IFERROR(__xludf.DUMMYFUNCTION("""COMPUTED_VALUE"""),"Baja")</f>
        <v>Baja</v>
      </c>
      <c r="K4707" s="25">
        <f ca="1">IFERROR(__xludf.DUMMYFUNCTION("""COMPUTED_VALUE"""),284)</f>
        <v>284</v>
      </c>
      <c r="L4707" s="62">
        <f ca="1">IFERROR(__xludf.DUMMYFUNCTION("""COMPUTED_VALUE"""),45077)</f>
        <v>45077</v>
      </c>
      <c r="M4707" s="25" t="str">
        <f ca="1">IFERROR(__xludf.DUMMYFUNCTION("""COMPUTED_VALUE"""),"Si bien se cuenta con propuestas de PMT preliminares, el PMT final se definirá una vez se cuente con  productos finales aprobados y se abra la licitación y se adjudique el proyecto ")</f>
        <v xml:space="preserve">Si bien se cuenta con propuestas de PMT preliminares, el PMT final se definirá una vez se cuente con  productos finales aprobados y se abra la licitación y se adjudique el proyecto </v>
      </c>
      <c r="N4707" s="55">
        <f ca="1">IFERROR(__xludf.DUMMYFUNCTION("""COMPUTED_VALUE"""),45077)</f>
        <v>45077</v>
      </c>
      <c r="O4707" s="25" t="str">
        <f t="shared" ca="1" si="0"/>
        <v>Instituto de Desarrollo Urbano</v>
      </c>
      <c r="P4707" s="25" t="str">
        <f t="shared" ca="1" si="3"/>
        <v/>
      </c>
      <c r="Q4707" s="25" t="str">
        <f ca="1">IFERROR(__xludf.DUMMYFUNCTION("""COMPUTED_VALUE"""),"Largo plazo")</f>
        <v>Largo plazo</v>
      </c>
      <c r="R4707" s="25"/>
      <c r="S4707" s="55"/>
      <c r="T4707" s="56"/>
      <c r="U4707" s="25"/>
      <c r="V4707" s="25"/>
      <c r="W4707" s="25"/>
      <c r="X4707" s="25"/>
      <c r="Y4707" s="25"/>
      <c r="Z4707" s="25"/>
    </row>
    <row r="4708" spans="1:26" ht="52.5" customHeight="1" x14ac:dyDescent="0.25">
      <c r="A4708" s="25" t="str">
        <f ca="1">IFERROR(__xludf.DUMMYFUNCTION("""COMPUTED_VALUE"""),"Movil506")</f>
        <v>Movil506</v>
      </c>
      <c r="B4708" s="25" t="str">
        <f ca="1">IFERROR(__xludf.DUMMYFUNCTION("""COMPUTED_VALUE"""),"Junta de infraestructura")</f>
        <v>Junta de infraestructura</v>
      </c>
      <c r="C4708" s="55">
        <f ca="1">IFERROR(__xludf.DUMMYFUNCTION("""COMPUTED_VALUE"""),44727)</f>
        <v>44727</v>
      </c>
      <c r="D4708" s="25" t="str">
        <f ca="1">IFERROR(__xludf.DUMMYFUNCTION("""COMPUTED_VALUE"""),"Movilidad")</f>
        <v>Movilidad</v>
      </c>
      <c r="E4708" s="25" t="str">
        <f ca="1">IFERROR(__xludf.DUMMYFUNCTION("""COMPUTED_VALUE"""),"Instituto de Desarrollo Urbano")</f>
        <v>Instituto de Desarrollo Urbano</v>
      </c>
      <c r="F4708" s="25" t="str">
        <f ca="1">IFERROR(__xludf.DUMMYFUNCTION("""COMPUTED_VALUE"""),"ALO NORTE:
Hacer prefactibilidad y entregar a SDHT a más tardar en diciembre el monto requerido para este proyecto. 
")</f>
        <v xml:space="preserve">ALO NORTE:
Hacer prefactibilidad y entregar a SDHT a más tardar en diciembre el monto requerido para este proyecto. 
</v>
      </c>
      <c r="G4708" s="25" t="str">
        <f ca="1">IFERROR(__xludf.DUMMYFUNCTION("""COMPUTED_VALUE"""),"99. Distrito")</f>
        <v>99. Distrito</v>
      </c>
      <c r="H4708" s="55">
        <f ca="1">IFERROR(__xludf.DUMMYFUNCTION("""COMPUTED_VALUE"""),45107)</f>
        <v>45107</v>
      </c>
      <c r="I4708" s="25" t="str">
        <f ca="1">IFERROR(__xludf.DUMMYFUNCTION("""COMPUTED_VALUE"""),"Junta de Infraestructura")</f>
        <v>Junta de Infraestructura</v>
      </c>
      <c r="J4708" s="55" t="str">
        <f ca="1">IFERROR(__xludf.DUMMYFUNCTION("""COMPUTED_VALUE"""),"Baja")</f>
        <v>Baja</v>
      </c>
      <c r="K4708" s="25">
        <f ca="1">IFERROR(__xludf.DUMMYFUNCTION("""COMPUTED_VALUE"""),380)</f>
        <v>380</v>
      </c>
      <c r="L4708" s="62">
        <f ca="1">IFERROR(__xludf.DUMMYFUNCTION("""COMPUTED_VALUE"""),45077)</f>
        <v>45077</v>
      </c>
      <c r="M4708" s="25" t="str">
        <f ca="1">IFERROR(__xludf.DUMMYFUNCTION("""COMPUTED_VALUE"""),"El IDU a la fecha realiza los estudios de prefactibilidad, el planteamiento vial y de espacio público se armoniza con la Actuación Estratégica Ciudadela Educativa y del Cuidado y con la Segunda línea del metro, se trabaja de acuerdo a directrices de la SD"&amp;"P en términos de franjas funcionales y perfiles viales según POT 555
La SDM desarrolló el DOCUMENTO TÉCNICO DE SOPORTE COMPONENTE DE MOVILIDAD EN LA ETAPA DE PREFACTIBILIDAD PARA LA ACTUACIÓN ESTRATÉGICA CIUDADELA EDUCATIVA Y DEL CUIDADO (AE CEC), insum"&amp;"o clave para soportar los diferentes análisis y productos de la etapa de prefactibilidad para el corredor vial. La SDM lo remitió el 27 de octubre al Instituto. 
El valor de la obra hace parte de los productos de la Prefactibilidad que está en proceso Se "&amp;"espera finalizar en febrero de 2023.
La endtidad se encuentra finalizando documentación técnica y productos, que permitiran tener costos a nivel de prefactibilidad.
El valor preliminar de obra hace parte de los productos de la Prefactibilidad que está e"&amp;"n proceso de cierre. Se espera finalizar en febrero de 2023. 
Proyecto con costos asociados a la adquisición predial considerables.
Se entregó la prefactibilidad, sin embargo el IDU debe actualizar la información remitida para optimizar el suelo requerid"&amp;"o para la AECEC, actividad que debe contar con la participación y el concepto de las diferentes entidades (SDM, SDHT, SDP, EMB).
Adicionalmente la ERU, la SDHT e IDU trabajan conjuntamente sobre un convenio para Aunar esfuerzos para formular, estructur"&amp;"ar, ejecutar y operar la Actuación Estratégica - Ciudadela Educativa y del Cuidado – AE CEC y llevar a cabo de manera coordinada las funciones establecidas en el artículo 582 del Decreto Distrital 555 del 2021 y demás normatividad que lo modifique, adicio"&amp;"ne o sustituya o las que exija el cumplimiento de este objeto.")</f>
        <v>El IDU a la fecha realiza los estudios de prefactibilidad, el planteamiento vial y de espacio público se armoniza con la Actuación Estratégica Ciudadela Educativa y del Cuidado y con la Segunda línea del metro, se trabaja de acuerdo a directrices de la SDP en términos de franjas funcionales y perfiles viales según POT 555
La SDM desarrolló el DOCUMENTO TÉCNICO DE SOPORTE COMPONENTE DE MOVILIDAD EN LA ETAPA DE PREFACTIBILIDAD PARA LA ACTUACIÓN ESTRATÉGICA CIUDADELA EDUCATIVA Y DEL CUIDADO (AE CEC), insumo clave para soportar los diferentes análisis y productos de la etapa de prefactibilidad para el corredor vial. La SDM lo remitió el 27 de octubre al Instituto. 
El valor de la obra hace parte de los productos de la Prefactibilidad que está en proceso Se espera finalizar en febrero de 2023.
La endtidad se encuentra finalizando documentación técnica y productos, que permitiran tener costos a nivel de prefactibilidad.
El valor preliminar de obra hace parte de los productos de la Prefactibilidad que está en proceso de cierre. Se espera finalizar en febrero de 2023. 
Proyecto con costos asociados a la adquisición predial considerables.
Se entregó la prefactibilidad, sin embargo el IDU debe actualizar la información remitida para optimizar el suelo requerido para la AECEC, actividad que debe contar con la participación y el concepto de las diferentes entidades (SDM, SDHT, SDP, EMB).
Adicionalmente la ERU, la SDHT e IDU trabajan conjuntamente sobre un convenio para Aunar esfuerzos para formular, estructurar, ejecutar y operar la Actuación Estratégica - Ciudadela Educativa y del Cuidado – AE CEC y llevar a cabo de manera coordinada las funciones establecidas en el artículo 582 del Decreto Distrital 555 del 2021 y demás normatividad que lo modifique, adicione o sustituya o las que exija el cumplimiento de este objeto.</v>
      </c>
      <c r="N4708" s="25"/>
      <c r="O4708" s="25" t="str">
        <f t="shared" ca="1" si="0"/>
        <v>Instituto de Desarrollo Urbano</v>
      </c>
      <c r="P4708" s="25" t="str">
        <f t="shared" ca="1" si="3"/>
        <v/>
      </c>
      <c r="Q4708" s="25" t="str">
        <f ca="1">IFERROR(__xludf.DUMMYFUNCTION("""COMPUTED_VALUE"""),"Largo plazo")</f>
        <v>Largo plazo</v>
      </c>
      <c r="R4708" s="25"/>
      <c r="S4708" s="55"/>
      <c r="T4708" s="56"/>
      <c r="U4708" s="25"/>
      <c r="V4708" s="25"/>
      <c r="W4708" s="25"/>
      <c r="X4708" s="25"/>
      <c r="Y4708" s="25"/>
      <c r="Z4708" s="25"/>
    </row>
    <row r="4709" spans="1:26" ht="52.5" customHeight="1" x14ac:dyDescent="0.25">
      <c r="A4709" s="25" t="str">
        <f ca="1">IFERROR(__xludf.DUMMYFUNCTION("""COMPUTED_VALUE"""),"Movil507")</f>
        <v>Movil507</v>
      </c>
      <c r="B4709" s="25" t="str">
        <f ca="1">IFERROR(__xludf.DUMMYFUNCTION("""COMPUTED_VALUE"""),"Junta de infraestructura")</f>
        <v>Junta de infraestructura</v>
      </c>
      <c r="C4709" s="55">
        <f ca="1">IFERROR(__xludf.DUMMYFUNCTION("""COMPUTED_VALUE"""),44727)</f>
        <v>44727</v>
      </c>
      <c r="D4709" s="25" t="str">
        <f ca="1">IFERROR(__xludf.DUMMYFUNCTION("""COMPUTED_VALUE"""),"Movilidad")</f>
        <v>Movilidad</v>
      </c>
      <c r="E4709" s="25" t="str">
        <f ca="1">IFERROR(__xludf.DUMMYFUNCTION("""COMPUTED_VALUE"""),"Instituto de Desarrollo Urbano")</f>
        <v>Instituto de Desarrollo Urbano</v>
      </c>
      <c r="F4709" s="25" t="str">
        <f ca="1">IFERROR(__xludf.DUMMYFUNCTION("""COMPUTED_VALUE"""),"ALO Calzada oriental:
Dejar hasta factibilidad sin usar cupo. ")</f>
        <v xml:space="preserve">ALO Calzada oriental:
Dejar hasta factibilidad sin usar cupo. </v>
      </c>
      <c r="G4709" s="25" t="str">
        <f ca="1">IFERROR(__xludf.DUMMYFUNCTION("""COMPUTED_VALUE"""),"99. Distrito")</f>
        <v>99. Distrito</v>
      </c>
      <c r="H4709" s="55">
        <f ca="1">IFERROR(__xludf.DUMMYFUNCTION("""COMPUTED_VALUE"""),44986)</f>
        <v>44986</v>
      </c>
      <c r="I4709" s="25" t="str">
        <f ca="1">IFERROR(__xludf.DUMMYFUNCTION("""COMPUTED_VALUE"""),"Junta de Infraestructura")</f>
        <v>Junta de Infraestructura</v>
      </c>
      <c r="J4709" s="55" t="str">
        <f ca="1">IFERROR(__xludf.DUMMYFUNCTION("""COMPUTED_VALUE"""),"Baja")</f>
        <v>Baja</v>
      </c>
      <c r="K4709" s="25">
        <f ca="1">IFERROR(__xludf.DUMMYFUNCTION("""COMPUTED_VALUE"""),259)</f>
        <v>259</v>
      </c>
      <c r="L4709" s="62">
        <f ca="1">IFERROR(__xludf.DUMMYFUNCTION("""COMPUTED_VALUE"""),45077)</f>
        <v>45077</v>
      </c>
      <c r="M4709" s="25" t="str">
        <f ca="1">IFERROR(__xludf.DUMMYFUNCTION("""COMPUTED_VALUE"""),"No se tien claridad si es ALO centro o sur. ")</f>
        <v xml:space="preserve">No se tien claridad si es ALO centro o sur. </v>
      </c>
      <c r="N4709" s="25"/>
      <c r="O4709" s="25" t="str">
        <f t="shared" ca="1" si="0"/>
        <v>Instituto de Desarrollo Urbano</v>
      </c>
      <c r="P4709" s="25" t="str">
        <f t="shared" ca="1" si="3"/>
        <v/>
      </c>
      <c r="Q4709" s="25" t="str">
        <f ca="1">IFERROR(__xludf.DUMMYFUNCTION("""COMPUTED_VALUE"""),"Largo plazo")</f>
        <v>Largo plazo</v>
      </c>
      <c r="R4709" s="25"/>
      <c r="S4709" s="55"/>
      <c r="T4709" s="56"/>
      <c r="U4709" s="25"/>
      <c r="V4709" s="25"/>
      <c r="W4709" s="25"/>
      <c r="X4709" s="25"/>
      <c r="Y4709" s="25"/>
      <c r="Z4709" s="25"/>
    </row>
    <row r="4710" spans="1:26" ht="52.5" customHeight="1" x14ac:dyDescent="0.25">
      <c r="A4710" s="25" t="str">
        <f ca="1">IFERROR(__xludf.DUMMYFUNCTION("""COMPUTED_VALUE"""),"Movil508")</f>
        <v>Movil508</v>
      </c>
      <c r="B4710" s="25" t="str">
        <f ca="1">IFERROR(__xludf.DUMMYFUNCTION("""COMPUTED_VALUE"""),"Junta de infraestructura")</f>
        <v>Junta de infraestructura</v>
      </c>
      <c r="C4710" s="55">
        <f ca="1">IFERROR(__xludf.DUMMYFUNCTION("""COMPUTED_VALUE"""),44727)</f>
        <v>44727</v>
      </c>
      <c r="D4710" s="25" t="str">
        <f ca="1">IFERROR(__xludf.DUMMYFUNCTION("""COMPUTED_VALUE"""),"Movilidad")</f>
        <v>Movilidad</v>
      </c>
      <c r="E4710" s="25" t="str">
        <f ca="1">IFERROR(__xludf.DUMMYFUNCTION("""COMPUTED_VALUE"""),"Instituto de Desarrollo Urbano")</f>
        <v>Instituto de Desarrollo Urbano</v>
      </c>
      <c r="F4710" s="25" t="str">
        <f ca="1">IFERROR(__xludf.DUMMYFUNCTION("""COMPUTED_VALUE"""),"Analizar alternativas para poder contratar la obra del cable potosí con recursos de cupo. Con base en eso seleccionar entre plan A y Plan B señalado.
PLAN A: Construir el cable Potosí (ideal),  dejar estudios ramal cruces - santafé
PLAN B: Cosntruri cru"&amp;"ces santafé y dejár en diseños los otros dos
")</f>
        <v xml:space="preserve">Analizar alternativas para poder contratar la obra del cable potosí con recursos de cupo. Con base en eso seleccionar entre plan A y Plan B señalado.
PLAN A: Construir el cable Potosí (ideal),  dejar estudios ramal cruces - santafé
PLAN B: Cosntruri cruces santafé y dejár en diseños los otros dos
</v>
      </c>
      <c r="G4710" s="25" t="str">
        <f ca="1">IFERROR(__xludf.DUMMYFUNCTION("""COMPUTED_VALUE"""),"99. Distrito")</f>
        <v>99. Distrito</v>
      </c>
      <c r="H4710" s="55">
        <f ca="1">IFERROR(__xludf.DUMMYFUNCTION("""COMPUTED_VALUE"""),44757)</f>
        <v>44757</v>
      </c>
      <c r="I4710" s="25"/>
      <c r="J4710" s="55" t="str">
        <f ca="1">IFERROR(__xludf.DUMMYFUNCTION("""COMPUTED_VALUE"""),"Alta")</f>
        <v>Alta</v>
      </c>
      <c r="K4710" s="25">
        <f ca="1">IFERROR(__xludf.DUMMYFUNCTION("""COMPUTED_VALUE"""),30)</f>
        <v>30</v>
      </c>
      <c r="L4710" s="62">
        <f ca="1">IFERROR(__xludf.DUMMYFUNCTION("""COMPUTED_VALUE"""),44783)</f>
        <v>44783</v>
      </c>
      <c r="M4710" s="25" t="str">
        <f ca="1">IFERROR(__xludf.DUMMYFUNCTION("""COMPUTED_VALUE"""),"Ya se presentó a la junta el 1 de junio de 2022 y se seleccionó el trazado. El contrato de factibilidad lo desarrolla la AFD.")</f>
        <v>Ya se presentó a la junta el 1 de junio de 2022 y se seleccionó el trazado. El contrato de factibilidad lo desarrolla la AFD.</v>
      </c>
      <c r="N4710" s="55">
        <f ca="1">IFERROR(__xludf.DUMMYFUNCTION("""COMPUTED_VALUE"""),44783)</f>
        <v>44783</v>
      </c>
      <c r="O4710" s="25" t="str">
        <f t="shared" ca="1" si="0"/>
        <v>Instituto de Desarrollo Urbano</v>
      </c>
      <c r="P4710" s="25" t="str">
        <f t="shared" si="3"/>
        <v/>
      </c>
      <c r="Q4710" s="25" t="str">
        <f ca="1">IFERROR(__xludf.DUMMYFUNCTION("""COMPUTED_VALUE"""),"Corto plazo")</f>
        <v>Corto plazo</v>
      </c>
      <c r="R4710" s="25"/>
      <c r="S4710" s="55"/>
      <c r="T4710" s="56"/>
      <c r="U4710" s="25"/>
      <c r="V4710" s="25"/>
      <c r="W4710" s="25"/>
      <c r="X4710" s="25"/>
      <c r="Y4710" s="25"/>
      <c r="Z4710" s="25"/>
    </row>
    <row r="4711" spans="1:26" ht="52.5" customHeight="1" x14ac:dyDescent="0.25">
      <c r="A4711" s="25" t="str">
        <f ca="1">IFERROR(__xludf.DUMMYFUNCTION("""COMPUTED_VALUE"""),"Movil509")</f>
        <v>Movil509</v>
      </c>
      <c r="B4711" s="25" t="str">
        <f ca="1">IFERROR(__xludf.DUMMYFUNCTION("""COMPUTED_VALUE"""),"Junta de infraestructura")</f>
        <v>Junta de infraestructura</v>
      </c>
      <c r="C4711" s="55">
        <f ca="1">IFERROR(__xludf.DUMMYFUNCTION("""COMPUTED_VALUE"""),44727)</f>
        <v>44727</v>
      </c>
      <c r="D4711" s="25" t="str">
        <f ca="1">IFERROR(__xludf.DUMMYFUNCTION("""COMPUTED_VALUE"""),"Movilidad")</f>
        <v>Movilidad</v>
      </c>
      <c r="E4711" s="25" t="str">
        <f ca="1">IFERROR(__xludf.DUMMYFUNCTION("""COMPUTED_VALUE"""),"Empresa Metro de Bogotá S.A.")</f>
        <v>Empresa Metro de Bogotá S.A.</v>
      </c>
      <c r="F4711" s="25" t="str">
        <f ca="1">IFERROR(__xludf.DUMMYFUNCTION("""COMPUTED_VALUE"""),"Extensión PLMB-Calle 100:
Preparar presentación de alternativas, actualizando datos de CAPEX y OPEX, para reunión de la alcaldesa con miembros de junta
")</f>
        <v xml:space="preserve">Extensión PLMB-Calle 100:
Preparar presentación de alternativas, actualizando datos de CAPEX y OPEX, para reunión de la alcaldesa con miembros de junta
</v>
      </c>
      <c r="G4711" s="25" t="str">
        <f ca="1">IFERROR(__xludf.DUMMYFUNCTION("""COMPUTED_VALUE"""),"99. Distrito")</f>
        <v>99. Distrito</v>
      </c>
      <c r="H4711" s="55">
        <f ca="1">IFERROR(__xludf.DUMMYFUNCTION("""COMPUTED_VALUE"""),44757)</f>
        <v>44757</v>
      </c>
      <c r="I4711" s="25"/>
      <c r="J4711" s="55" t="str">
        <f ca="1">IFERROR(__xludf.DUMMYFUNCTION("""COMPUTED_VALUE"""),"Alta")</f>
        <v>Alta</v>
      </c>
      <c r="K4711" s="25">
        <f ca="1">IFERROR(__xludf.DUMMYFUNCTION("""COMPUTED_VALUE"""),30)</f>
        <v>30</v>
      </c>
      <c r="L4711" s="62">
        <f ca="1">IFERROR(__xludf.DUMMYFUNCTION("""COMPUTED_VALUE"""),44773)</f>
        <v>44773</v>
      </c>
      <c r="M4711" s="25" t="str">
        <f ca="1">IFERROR(__xludf.DUMMYFUNCTION("""COMPUTED_VALUE"""),"Esta reunión se llevó a cabo el día 22/07/2022 donde se presentó por parte de la Alcaldía, la EMB y la FDN, los resultados de las alternativas de  CAPEX y OPEX a los miembros de la junta directiva de la Empresa Metro.")</f>
        <v>Esta reunión se llevó a cabo el día 22/07/2022 donde se presentó por parte de la Alcaldía, la EMB y la FDN, los resultados de las alternativas de  CAPEX y OPEX a los miembros de la junta directiva de la Empresa Metro.</v>
      </c>
      <c r="N4711" s="55">
        <f ca="1">IFERROR(__xludf.DUMMYFUNCTION("""COMPUTED_VALUE"""),44773)</f>
        <v>44773</v>
      </c>
      <c r="O4711" s="25" t="str">
        <f t="shared" ca="1" si="0"/>
        <v>Empresa Metro de Bogotá S.A.</v>
      </c>
      <c r="P4711" s="25" t="str">
        <f t="shared" si="3"/>
        <v/>
      </c>
      <c r="Q4711" s="25" t="str">
        <f ca="1">IFERROR(__xludf.DUMMYFUNCTION("""COMPUTED_VALUE"""),"Corto plazo")</f>
        <v>Corto plazo</v>
      </c>
      <c r="R4711" s="25"/>
      <c r="S4711" s="55"/>
      <c r="T4711" s="56"/>
      <c r="U4711" s="25"/>
      <c r="V4711" s="25"/>
      <c r="W4711" s="25"/>
      <c r="X4711" s="25"/>
      <c r="Y4711" s="25"/>
      <c r="Z4711" s="25"/>
    </row>
    <row r="4712" spans="1:26" ht="52.5" customHeight="1" x14ac:dyDescent="0.25">
      <c r="A4712" s="25" t="str">
        <f ca="1">IFERROR(__xludf.DUMMYFUNCTION("""COMPUTED_VALUE"""),"Movil510")</f>
        <v>Movil510</v>
      </c>
      <c r="B4712" s="25" t="str">
        <f ca="1">IFERROR(__xludf.DUMMYFUNCTION("""COMPUTED_VALUE"""),"Junta de infraestructura")</f>
        <v>Junta de infraestructura</v>
      </c>
      <c r="C4712" s="55">
        <f ca="1">IFERROR(__xludf.DUMMYFUNCTION("""COMPUTED_VALUE"""),44727)</f>
        <v>44727</v>
      </c>
      <c r="D4712" s="25" t="str">
        <f ca="1">IFERROR(__xludf.DUMMYFUNCTION("""COMPUTED_VALUE"""),"Movilidad")</f>
        <v>Movilidad</v>
      </c>
      <c r="E4712" s="25" t="str">
        <f ca="1">IFERROR(__xludf.DUMMYFUNCTION("""COMPUTED_VALUE"""),"Instituto de Desarrollo Urbano")</f>
        <v>Instituto de Desarrollo Urbano</v>
      </c>
      <c r="F4712" s="25" t="str">
        <f ca="1">IFERROR(__xludf.DUMMYFUNCTION("""COMPUTED_VALUE"""),"Anticipar la construcción del carril de la Av. Villavicencio y definir fecha de inicio y fin")</f>
        <v>Anticipar la construcción del carril de la Av. Villavicencio y definir fecha de inicio y fin</v>
      </c>
      <c r="G4712" s="25" t="str">
        <f ca="1">IFERROR(__xludf.DUMMYFUNCTION("""COMPUTED_VALUE"""),"99. Distrito")</f>
        <v>99. Distrito</v>
      </c>
      <c r="H4712" s="55">
        <f ca="1">IFERROR(__xludf.DUMMYFUNCTION("""COMPUTED_VALUE"""),44757)</f>
        <v>44757</v>
      </c>
      <c r="I4712" s="25"/>
      <c r="J4712" s="55" t="str">
        <f ca="1">IFERROR(__xludf.DUMMYFUNCTION("""COMPUTED_VALUE"""),"Alta")</f>
        <v>Alta</v>
      </c>
      <c r="K4712" s="25">
        <f ca="1">IFERROR(__xludf.DUMMYFUNCTION("""COMPUTED_VALUE"""),30)</f>
        <v>30</v>
      </c>
      <c r="L4712" s="62">
        <f ca="1">IFERROR(__xludf.DUMMYFUNCTION("""COMPUTED_VALUE"""),44887)</f>
        <v>44887</v>
      </c>
      <c r="M4712" s="25" t="str">
        <f ca="1">IFERROR(__xludf.DUMMYFUNCTION("""COMPUTED_VALUE"""),"Actualmente el IDU tiene suscrito el convenio interadministrativo 1442 del 16 de octubre de 2018. De conformidad con lo establecido en la cláusula tercera LAS PARTES determinaron que la ANI sería la entidad encargada de estructurar , adelantar el trámite "&amp;"de
aprobaciones del proyecto y posteriormente de adelantar el proceso de selección. 
El proyecto contempla una fase de pre-construcción de una (01) año, cuatro (4) años de construcción y 25 a 27 años de operación y mantenimiento. 
Ahora bien, de conformi"&amp;"dad con el apéndice técnico del proyecto, este se divide en
6 unidades funcionales. 
Ahora bien, dentro de las obligaciones del concesionario en la etapa de construcción (1 año) se encuentra la de adelantar los estudios y diseños y el Plan de Obras que c"&amp;"umpla con las obligaciones previstas en el Contrato, en particular con lo establecido en el Apéndice Técnico 9, el cual deberá incluir una ilustración suficiente de los tiempos, de manera que el Interventor pueda hacerse un juicio acerca de los plazos en "&amp;"los cuales se ejecutarán las Intervenciones. El contenido de este Plan de Obras no podrá modificar, en ningún caso, ninguna de las
obligaciones previstas en el Contrato ni en ninguno de sus Apéndices y deberá ser consistente con las fechas de inicio de op"&amp;"eración máximas de cada Unidad Funcional de acuerdo con la Parte Especial.
Teniendo en cuenta lo anterior, hasta tanto no se agoten cada una de las obligaciones establecidas en el Contrato Parte General del Contrato para el concesionario, no es posible de"&amp;"terminar en qué momento se realizarán las intervenciones sobre el área que conecta la vía Bosa, solo podrá determinarse conforme lo determine el concesionario.")</f>
        <v>Actualmente el IDU tiene suscrito el convenio interadministrativo 1442 del 16 de octubre de 2018. De conformidad con lo establecido en la cláusula tercera LAS PARTES determinaron que la ANI sería la entidad encargada de estructurar , adelantar el trámite de
aprobaciones del proyecto y posteriormente de adelantar el proceso de selección. 
El proyecto contempla una fase de pre-construcción de una (01) año, cuatro (4) años de construcción y 25 a 27 años de operación y mantenimiento. 
Ahora bien, de conformidad con el apéndice técnico del proyecto, este se divide en
6 unidades funcionales. 
Ahora bien, dentro de las obligaciones del concesionario en la etapa de construcción (1 año) se encuentra la de adelantar los estudios y diseños y el Plan de Obras que cumpla con las obligaciones previstas en el Contrato, en particular con lo establecido en el Apéndice Técnico 9, el cual deberá incluir una ilustración suficiente de los tiempos, de manera que el Interventor pueda hacerse un juicio acerca de los plazos en los cuales se ejecutarán las Intervenciones. El contenido de este Plan de Obras no podrá modificar, en ningún caso, ninguna de las
obligaciones previstas en el Contrato ni en ninguno de sus Apéndices y deberá ser consistente con las fechas de inicio de operación máximas de cada Unidad Funcional de acuerdo con la Parte Especial.
Teniendo en cuenta lo anterior, hasta tanto no se agoten cada una de las obligaciones establecidas en el Contrato Parte General del Contrato para el concesionario, no es posible determinar en qué momento se realizarán las intervenciones sobre el área que conecta la vía Bosa, solo podrá determinarse conforme lo determine el concesionario.</v>
      </c>
      <c r="N4712" s="55">
        <f ca="1">IFERROR(__xludf.DUMMYFUNCTION("""COMPUTED_VALUE"""),44887)</f>
        <v>44887</v>
      </c>
      <c r="O4712" s="25" t="str">
        <f t="shared" ca="1" si="0"/>
        <v>Instituto de Desarrollo Urbano</v>
      </c>
      <c r="P4712" s="25" t="str">
        <f t="shared" si="3"/>
        <v/>
      </c>
      <c r="Q4712" s="25" t="str">
        <f ca="1">IFERROR(__xludf.DUMMYFUNCTION("""COMPUTED_VALUE"""),"Corto plazo")</f>
        <v>Corto plazo</v>
      </c>
      <c r="R4712" s="25"/>
      <c r="S4712" s="55"/>
      <c r="T4712" s="56"/>
      <c r="U4712" s="25"/>
      <c r="V4712" s="25"/>
      <c r="W4712" s="25"/>
      <c r="X4712" s="25"/>
      <c r="Y4712" s="25"/>
      <c r="Z4712" s="25"/>
    </row>
    <row r="4713" spans="1:26" ht="52.5" customHeight="1" x14ac:dyDescent="0.25">
      <c r="A4713" s="25" t="str">
        <f ca="1">IFERROR(__xludf.DUMMYFUNCTION("""COMPUTED_VALUE"""),"Movil511")</f>
        <v>Movil511</v>
      </c>
      <c r="B4713" s="25" t="str">
        <f ca="1">IFERROR(__xludf.DUMMYFUNCTION("""COMPUTED_VALUE"""),"Junta de infraestructura")</f>
        <v>Junta de infraestructura</v>
      </c>
      <c r="C4713" s="55">
        <f ca="1">IFERROR(__xludf.DUMMYFUNCTION("""COMPUTED_VALUE"""),44727)</f>
        <v>44727</v>
      </c>
      <c r="D4713" s="25" t="str">
        <f ca="1">IFERROR(__xludf.DUMMYFUNCTION("""COMPUTED_VALUE"""),"Movilidad")</f>
        <v>Movilidad</v>
      </c>
      <c r="E4713" s="25" t="str">
        <f ca="1">IFERROR(__xludf.DUMMYFUNCTION("""COMPUTED_VALUE"""),"Empresa Metro de Bogotá S.A.")</f>
        <v>Empresa Metro de Bogotá S.A.</v>
      </c>
      <c r="F4713" s="25" t="str">
        <f ca="1">IFERROR(__xludf.DUMMYFUNCTION("""COMPUTED_VALUE"""),"Iniciar las mesas con ALO sur, IDU, Concesionario y EMB para armonizar la ALO Sur y el trazado de la PMLB en Gibraltar")</f>
        <v>Iniciar las mesas con ALO sur, IDU, Concesionario y EMB para armonizar la ALO Sur y el trazado de la PMLB en Gibraltar</v>
      </c>
      <c r="G4713" s="25" t="str">
        <f ca="1">IFERROR(__xludf.DUMMYFUNCTION("""COMPUTED_VALUE"""),"99. Distrito")</f>
        <v>99. Distrito</v>
      </c>
      <c r="H4713" s="55">
        <f ca="1">IFERROR(__xludf.DUMMYFUNCTION("""COMPUTED_VALUE"""),44757)</f>
        <v>44757</v>
      </c>
      <c r="I4713" s="25"/>
      <c r="J4713" s="55" t="str">
        <f ca="1">IFERROR(__xludf.DUMMYFUNCTION("""COMPUTED_VALUE"""),"Alta")</f>
        <v>Alta</v>
      </c>
      <c r="K4713" s="25">
        <f ca="1">IFERROR(__xludf.DUMMYFUNCTION("""COMPUTED_VALUE"""),30)</f>
        <v>30</v>
      </c>
      <c r="L4713" s="62">
        <f ca="1">IFERROR(__xludf.DUMMYFUNCTION("""COMPUTED_VALUE"""),44855)</f>
        <v>44855</v>
      </c>
      <c r="M4713" s="25" t="str">
        <f ca="1">IFERROR(__xludf.DUMMYFUNCTION("""COMPUTED_VALUE"""),"De acuerdo con la reunión entre la Alcaldía, el IDU y la ANI el concesionario de la ALO SUR deberá ajustar su diseño al trazado y pilas del viaducto de la PLMB. Pendiente programación por parte de la ANI de revisión de avances de armonización")</f>
        <v>De acuerdo con la reunión entre la Alcaldía, el IDU y la ANI el concesionario de la ALO SUR deberá ajustar su diseño al trazado y pilas del viaducto de la PLMB. Pendiente programación por parte de la ANI de revisión de avances de armonización</v>
      </c>
      <c r="N4713" s="55">
        <f ca="1">IFERROR(__xludf.DUMMYFUNCTION("""COMPUTED_VALUE"""),44855)</f>
        <v>44855</v>
      </c>
      <c r="O4713" s="25" t="str">
        <f t="shared" ca="1" si="0"/>
        <v>Empresa Metro de Bogotá S.A.</v>
      </c>
      <c r="P4713" s="25" t="str">
        <f t="shared" si="3"/>
        <v/>
      </c>
      <c r="Q4713" s="25" t="str">
        <f ca="1">IFERROR(__xludf.DUMMYFUNCTION("""COMPUTED_VALUE"""),"Corto plazo")</f>
        <v>Corto plazo</v>
      </c>
      <c r="R4713" s="25"/>
      <c r="S4713" s="55"/>
      <c r="T4713" s="56"/>
      <c r="U4713" s="25"/>
      <c r="V4713" s="25"/>
      <c r="W4713" s="25"/>
      <c r="X4713" s="25"/>
      <c r="Y4713" s="25"/>
      <c r="Z4713" s="25"/>
    </row>
    <row r="4714" spans="1:26" ht="52.5" customHeight="1" x14ac:dyDescent="0.25">
      <c r="A4714" s="25" t="str">
        <f ca="1">IFERROR(__xludf.DUMMYFUNCTION("""COMPUTED_VALUE"""),"Movil512")</f>
        <v>Movil512</v>
      </c>
      <c r="B4714" s="25" t="str">
        <f ca="1">IFERROR(__xludf.DUMMYFUNCTION("""COMPUTED_VALUE"""),"Junta de infraestructura")</f>
        <v>Junta de infraestructura</v>
      </c>
      <c r="C4714" s="55">
        <f ca="1">IFERROR(__xludf.DUMMYFUNCTION("""COMPUTED_VALUE"""),44727)</f>
        <v>44727</v>
      </c>
      <c r="D4714" s="25" t="str">
        <f ca="1">IFERROR(__xludf.DUMMYFUNCTION("""COMPUTED_VALUE"""),"Movilidad")</f>
        <v>Movilidad</v>
      </c>
      <c r="E4714" s="25" t="str">
        <f ca="1">IFERROR(__xludf.DUMMYFUNCTION("""COMPUTED_VALUE"""),"Instituto de Desarrollo Urbano")</f>
        <v>Instituto de Desarrollo Urbano</v>
      </c>
      <c r="F4714" s="25" t="str">
        <f ca="1">IFERROR(__xludf.DUMMYFUNCTION("""COMPUTED_VALUE"""),"Evaluar los planes para el cupo
Plan A Potosí completo
Plan B Estudios y diseños Potosí y tramo cable cruces Santafé
")</f>
        <v xml:space="preserve">Evaluar los planes para el cupo
Plan A Potosí completo
Plan B Estudios y diseños Potosí y tramo cable cruces Santafé
</v>
      </c>
      <c r="G4714" s="25" t="str">
        <f ca="1">IFERROR(__xludf.DUMMYFUNCTION("""COMPUTED_VALUE"""),"99. Distrito")</f>
        <v>99. Distrito</v>
      </c>
      <c r="H4714" s="55">
        <f ca="1">IFERROR(__xludf.DUMMYFUNCTION("""COMPUTED_VALUE"""),44893)</f>
        <v>44893</v>
      </c>
      <c r="I4714" s="25"/>
      <c r="J4714" s="55" t="str">
        <f ca="1">IFERROR(__xludf.DUMMYFUNCTION("""COMPUTED_VALUE"""),"Media")</f>
        <v>Media</v>
      </c>
      <c r="K4714" s="25">
        <f ca="1">IFERROR(__xludf.DUMMYFUNCTION("""COMPUTED_VALUE"""),166)</f>
        <v>166</v>
      </c>
      <c r="L4714" s="62">
        <f ca="1">IFERROR(__xludf.DUMMYFUNCTION("""COMPUTED_VALUE"""),44887)</f>
        <v>44887</v>
      </c>
      <c r="M4714" s="25" t="str">
        <f ca="1">IFERROR(__xludf.DUMMYFUNCTION("""COMPUTED_VALUE"""),"CERRADO: Se incluyen en el presupuesto 2023 los estudios y diseños para el Cable Potosí por 53.175 mil millones y para el cable Monserrate por 23.885 mil millones")</f>
        <v>CERRADO: Se incluyen en el presupuesto 2023 los estudios y diseños para el Cable Potosí por 53.175 mil millones y para el cable Monserrate por 23.885 mil millones</v>
      </c>
      <c r="N4714" s="55">
        <f ca="1">IFERROR(__xludf.DUMMYFUNCTION("""COMPUTED_VALUE"""),44887)</f>
        <v>44887</v>
      </c>
      <c r="O4714" s="25" t="str">
        <f t="shared" ca="1" si="0"/>
        <v>Instituto de Desarrollo Urbano</v>
      </c>
      <c r="P4714" s="25" t="str">
        <f t="shared" si="3"/>
        <v/>
      </c>
      <c r="Q4714" s="25" t="str">
        <f ca="1">IFERROR(__xludf.DUMMYFUNCTION("""COMPUTED_VALUE"""),"Mediano plazo")</f>
        <v>Mediano plazo</v>
      </c>
      <c r="R4714" s="25"/>
      <c r="S4714" s="55"/>
      <c r="T4714" s="56"/>
      <c r="U4714" s="25"/>
      <c r="V4714" s="25"/>
      <c r="W4714" s="25"/>
      <c r="X4714" s="25"/>
      <c r="Y4714" s="25"/>
      <c r="Z4714" s="25"/>
    </row>
    <row r="4715" spans="1:26" ht="52.5" customHeight="1" x14ac:dyDescent="0.25">
      <c r="A4715" s="25" t="str">
        <f ca="1">IFERROR(__xludf.DUMMYFUNCTION("""COMPUTED_VALUE"""),"Movil513")</f>
        <v>Movil513</v>
      </c>
      <c r="B4715" s="25" t="str">
        <f ca="1">IFERROR(__xludf.DUMMYFUNCTION("""COMPUTED_VALUE"""),"Corredor Verde 7ma")</f>
        <v>Corredor Verde 7ma</v>
      </c>
      <c r="C4715" s="55">
        <f ca="1">IFERROR(__xludf.DUMMYFUNCTION("""COMPUTED_VALUE"""),44760)</f>
        <v>44760</v>
      </c>
      <c r="D4715" s="25" t="str">
        <f ca="1">IFERROR(__xludf.DUMMYFUNCTION("""COMPUTED_VALUE"""),"Movilidad")</f>
        <v>Movilidad</v>
      </c>
      <c r="E4715" s="25" t="str">
        <f ca="1">IFERROR(__xludf.DUMMYFUNCTION("""COMPUTED_VALUE"""),"Instituto de Desarrollo Urbano")</f>
        <v>Instituto de Desarrollo Urbano</v>
      </c>
      <c r="F4715" s="25" t="str">
        <f ca="1">IFERROR(__xludf.DUMMYFUNCTION("""COMPUTED_VALUE"""),"Realizar una mesa de trabajo con el contratista y la SDM para revisar la modelación de transporte del tramo 2 del corredor")</f>
        <v>Realizar una mesa de trabajo con el contratista y la SDM para revisar la modelación de transporte del tramo 2 del corredor</v>
      </c>
      <c r="G4715" s="25" t="str">
        <f ca="1">IFERROR(__xludf.DUMMYFUNCTION("""COMPUTED_VALUE"""),"99. Distrito")</f>
        <v>99. Distrito</v>
      </c>
      <c r="H4715" s="55">
        <f ca="1">IFERROR(__xludf.DUMMYFUNCTION("""COMPUTED_VALUE"""),44790)</f>
        <v>44790</v>
      </c>
      <c r="I4715" s="25"/>
      <c r="J4715" s="55" t="str">
        <f ca="1">IFERROR(__xludf.DUMMYFUNCTION("""COMPUTED_VALUE"""),"Alta")</f>
        <v>Alta</v>
      </c>
      <c r="K4715" s="25">
        <f ca="1">IFERROR(__xludf.DUMMYFUNCTION("""COMPUTED_VALUE"""),30)</f>
        <v>30</v>
      </c>
      <c r="L4715" s="62">
        <f ca="1">IFERROR(__xludf.DUMMYFUNCTION("""COMPUTED_VALUE"""),44896)</f>
        <v>44896</v>
      </c>
      <c r="M4715" s="25" t="str">
        <f ca="1">IFERROR(__xludf.DUMMYFUNCTION("""COMPUTED_VALUE"""),"CERRADO: Modelación cerrada y aprobada por SDM para Tramo 2 en Noviembre 2022. Por favor cerrar compromiso")</f>
        <v>CERRADO: Modelación cerrada y aprobada por SDM para Tramo 2 en Noviembre 2022. Por favor cerrar compromiso</v>
      </c>
      <c r="N4715" s="55">
        <f ca="1">IFERROR(__xludf.DUMMYFUNCTION("""COMPUTED_VALUE"""),44896)</f>
        <v>44896</v>
      </c>
      <c r="O4715" s="25" t="str">
        <f t="shared" ca="1" si="0"/>
        <v>Instituto de Desarrollo Urbano</v>
      </c>
      <c r="P4715" s="25" t="str">
        <f t="shared" si="3"/>
        <v/>
      </c>
      <c r="Q4715" s="25" t="str">
        <f ca="1">IFERROR(__xludf.DUMMYFUNCTION("""COMPUTED_VALUE"""),"Corto plazo")</f>
        <v>Corto plazo</v>
      </c>
      <c r="R4715" s="25"/>
      <c r="S4715" s="55"/>
      <c r="T4715" s="56"/>
      <c r="U4715" s="25"/>
      <c r="V4715" s="25"/>
      <c r="W4715" s="25"/>
      <c r="X4715" s="25"/>
      <c r="Y4715" s="25"/>
      <c r="Z4715" s="25"/>
    </row>
    <row r="4716" spans="1:26" ht="52.5" customHeight="1" x14ac:dyDescent="0.25">
      <c r="A4716" s="25" t="str">
        <f ca="1">IFERROR(__xludf.DUMMYFUNCTION("""COMPUTED_VALUE"""),"Movil514")</f>
        <v>Movil514</v>
      </c>
      <c r="B4716" s="25" t="str">
        <f ca="1">IFERROR(__xludf.DUMMYFUNCTION("""COMPUTED_VALUE"""),"Corredor Verde 7ma")</f>
        <v>Corredor Verde 7ma</v>
      </c>
      <c r="C4716" s="55">
        <f ca="1">IFERROR(__xludf.DUMMYFUNCTION("""COMPUTED_VALUE"""),44760)</f>
        <v>44760</v>
      </c>
      <c r="D4716" s="25" t="str">
        <f ca="1">IFERROR(__xludf.DUMMYFUNCTION("""COMPUTED_VALUE"""),"Movilidad")</f>
        <v>Movilidad</v>
      </c>
      <c r="E4716" s="25" t="str">
        <f ca="1">IFERROR(__xludf.DUMMYFUNCTION("""COMPUTED_VALUE"""),"Instituto de Desarrollo Urbano")</f>
        <v>Instituto de Desarrollo Urbano</v>
      </c>
      <c r="F4716" s="25" t="str">
        <f ca="1">IFERROR(__xludf.DUMMYFUNCTION("""COMPUTED_VALUE"""),"Identificar en qué momento la K11 se satura para que se deba decidir eliminar la ciclorruta en este corredor")</f>
        <v>Identificar en qué momento la K11 se satura para que se deba decidir eliminar la ciclorruta en este corredor</v>
      </c>
      <c r="G4716" s="25" t="str">
        <f ca="1">IFERROR(__xludf.DUMMYFUNCTION("""COMPUTED_VALUE"""),"99. Distrito")</f>
        <v>99. Distrito</v>
      </c>
      <c r="H4716" s="55">
        <f ca="1">IFERROR(__xludf.DUMMYFUNCTION("""COMPUTED_VALUE"""),44790)</f>
        <v>44790</v>
      </c>
      <c r="I4716" s="25"/>
      <c r="J4716" s="55" t="str">
        <f ca="1">IFERROR(__xludf.DUMMYFUNCTION("""COMPUTED_VALUE"""),"Alta")</f>
        <v>Alta</v>
      </c>
      <c r="K4716" s="25">
        <f ca="1">IFERROR(__xludf.DUMMYFUNCTION("""COMPUTED_VALUE"""),30)</f>
        <v>30</v>
      </c>
      <c r="L4716" s="62">
        <f ca="1">IFERROR(__xludf.DUMMYFUNCTION("""COMPUTED_VALUE"""),44896)</f>
        <v>44896</v>
      </c>
      <c r="M4716" s="25" t="str">
        <f ca="1">IFERROR(__xludf.DUMMYFUNCTION("""COMPUTED_VALUE"""),"CERRADO Alternativa se plantea en PMT General de Tramo 2 con volúmenes de tolerancia. Aunque se sugiere nunca eliminar. Cerrar compromiso")</f>
        <v>CERRADO Alternativa se plantea en PMT General de Tramo 2 con volúmenes de tolerancia. Aunque se sugiere nunca eliminar. Cerrar compromiso</v>
      </c>
      <c r="N4716" s="55">
        <f ca="1">IFERROR(__xludf.DUMMYFUNCTION("""COMPUTED_VALUE"""),44896)</f>
        <v>44896</v>
      </c>
      <c r="O4716" s="25" t="str">
        <f t="shared" ca="1" si="0"/>
        <v>Instituto de Desarrollo Urbano</v>
      </c>
      <c r="P4716" s="25" t="str">
        <f t="shared" si="3"/>
        <v/>
      </c>
      <c r="Q4716" s="25" t="str">
        <f ca="1">IFERROR(__xludf.DUMMYFUNCTION("""COMPUTED_VALUE"""),"Corto plazo")</f>
        <v>Corto plazo</v>
      </c>
      <c r="R4716" s="25"/>
      <c r="S4716" s="55"/>
      <c r="T4716" s="56"/>
      <c r="U4716" s="25"/>
      <c r="V4716" s="25"/>
      <c r="W4716" s="25"/>
      <c r="X4716" s="25"/>
      <c r="Y4716" s="25"/>
      <c r="Z4716" s="25"/>
    </row>
    <row r="4717" spans="1:26" ht="52.5" customHeight="1" x14ac:dyDescent="0.25">
      <c r="A4717" s="25" t="str">
        <f ca="1">IFERROR(__xludf.DUMMYFUNCTION("""COMPUTED_VALUE"""),"Movil515")</f>
        <v>Movil515</v>
      </c>
      <c r="B4717" s="25" t="str">
        <f ca="1">IFERROR(__xludf.DUMMYFUNCTION("""COMPUTED_VALUE"""),"Corredor Verde 7ma")</f>
        <v>Corredor Verde 7ma</v>
      </c>
      <c r="C4717" s="55">
        <f ca="1">IFERROR(__xludf.DUMMYFUNCTION("""COMPUTED_VALUE"""),44760)</f>
        <v>44760</v>
      </c>
      <c r="D4717" s="25" t="str">
        <f ca="1">IFERROR(__xludf.DUMMYFUNCTION("""COMPUTED_VALUE"""),"Movilidad")</f>
        <v>Movilidad</v>
      </c>
      <c r="E4717" s="25" t="str">
        <f ca="1">IFERROR(__xludf.DUMMYFUNCTION("""COMPUTED_VALUE"""),"Instituto de Desarrollo Urbano")</f>
        <v>Instituto de Desarrollo Urbano</v>
      </c>
      <c r="F4717" s="25" t="str">
        <f ca="1">IFERROR(__xludf.DUMMYFUNCTION("""COMPUTED_VALUE"""),"Hacer los análisis del impacto de las medidas de tráfico a nivel de área de influencia y no solo de ciudad")</f>
        <v>Hacer los análisis del impacto de las medidas de tráfico a nivel de área de influencia y no solo de ciudad</v>
      </c>
      <c r="G4717" s="25" t="str">
        <f ca="1">IFERROR(__xludf.DUMMYFUNCTION("""COMPUTED_VALUE"""),"99. Distrito")</f>
        <v>99. Distrito</v>
      </c>
      <c r="H4717" s="55">
        <f ca="1">IFERROR(__xludf.DUMMYFUNCTION("""COMPUTED_VALUE"""),45107)</f>
        <v>45107</v>
      </c>
      <c r="I4717" s="25" t="str">
        <f ca="1">IFERROR(__xludf.DUMMYFUNCTION("""COMPUTED_VALUE"""),"Junta de Infraestructura")</f>
        <v>Junta de Infraestructura</v>
      </c>
      <c r="J4717" s="55" t="str">
        <f ca="1">IFERROR(__xludf.DUMMYFUNCTION("""COMPUTED_VALUE"""),"Baja")</f>
        <v>Baja</v>
      </c>
      <c r="K4717" s="25">
        <f ca="1">IFERROR(__xludf.DUMMYFUNCTION("""COMPUTED_VALUE"""),347)</f>
        <v>347</v>
      </c>
      <c r="L4717" s="62">
        <f ca="1">IFERROR(__xludf.DUMMYFUNCTION("""COMPUTED_VALUE"""),45077)</f>
        <v>45077</v>
      </c>
      <c r="M4717" s="25" t="str">
        <f ca="1">IFERROR(__xludf.DUMMYFUNCTION("""COMPUTED_VALUE"""),"En proceso final de aprobación por parte de SDM estudio de tránsito en versión muy madurada. Se estima que a mediados de junio se contará con la aprobación final del insumo por parte de SDM.")</f>
        <v>En proceso final de aprobación por parte de SDM estudio de tránsito en versión muy madurada. Se estima que a mediados de junio se contará con la aprobación final del insumo por parte de SDM.</v>
      </c>
      <c r="N4717" s="25"/>
      <c r="O4717" s="25" t="str">
        <f t="shared" ca="1" si="0"/>
        <v>Instituto de Desarrollo Urbano</v>
      </c>
      <c r="P4717" s="25" t="str">
        <f t="shared" ca="1" si="3"/>
        <v/>
      </c>
      <c r="Q4717" s="25" t="str">
        <f ca="1">IFERROR(__xludf.DUMMYFUNCTION("""COMPUTED_VALUE"""),"Largo plazo")</f>
        <v>Largo plazo</v>
      </c>
      <c r="R4717" s="25"/>
      <c r="S4717" s="55"/>
      <c r="T4717" s="56"/>
      <c r="U4717" s="25"/>
      <c r="V4717" s="25"/>
      <c r="W4717" s="25"/>
      <c r="X4717" s="25"/>
      <c r="Y4717" s="25"/>
      <c r="Z4717" s="25"/>
    </row>
    <row r="4718" spans="1:26" ht="52.5" customHeight="1" x14ac:dyDescent="0.25">
      <c r="A4718" s="25" t="str">
        <f ca="1">IFERROR(__xludf.DUMMYFUNCTION("""COMPUTED_VALUE"""),"Movil516")</f>
        <v>Movil516</v>
      </c>
      <c r="B4718" s="25" t="str">
        <f ca="1">IFERROR(__xludf.DUMMYFUNCTION("""COMPUTED_VALUE"""),"Corredor Verde 7ma")</f>
        <v>Corredor Verde 7ma</v>
      </c>
      <c r="C4718" s="55">
        <f ca="1">IFERROR(__xludf.DUMMYFUNCTION("""COMPUTED_VALUE"""),44760)</f>
        <v>44760</v>
      </c>
      <c r="D4718" s="25" t="str">
        <f ca="1">IFERROR(__xludf.DUMMYFUNCTION("""COMPUTED_VALUE"""),"Movilidad")</f>
        <v>Movilidad</v>
      </c>
      <c r="E4718" s="25" t="str">
        <f ca="1">IFERROR(__xludf.DUMMYFUNCTION("""COMPUTED_VALUE"""),"Instituto de Desarrollo Urbano")</f>
        <v>Instituto de Desarrollo Urbano</v>
      </c>
      <c r="F4718" s="25" t="str">
        <f ca="1">IFERROR(__xludf.DUMMYFUNCTION("""COMPUTED_VALUE"""),"Revisar la tipología de la estación de la calle 85 para que pueda atender buses articulados, revisando la posibilidad de ubicarla hacía la 82")</f>
        <v>Revisar la tipología de la estación de la calle 85 para que pueda atender buses articulados, revisando la posibilidad de ubicarla hacía la 82</v>
      </c>
      <c r="G4718" s="25" t="str">
        <f ca="1">IFERROR(__xludf.DUMMYFUNCTION("""COMPUTED_VALUE"""),"99. Distrito")</f>
        <v>99. Distrito</v>
      </c>
      <c r="H4718" s="55">
        <f ca="1">IFERROR(__xludf.DUMMYFUNCTION("""COMPUTED_VALUE"""),44790)</f>
        <v>44790</v>
      </c>
      <c r="I4718" s="25"/>
      <c r="J4718" s="55" t="str">
        <f ca="1">IFERROR(__xludf.DUMMYFUNCTION("""COMPUTED_VALUE"""),"Alta")</f>
        <v>Alta</v>
      </c>
      <c r="K4718" s="25">
        <f ca="1">IFERROR(__xludf.DUMMYFUNCTION("""COMPUTED_VALUE"""),30)</f>
        <v>30</v>
      </c>
      <c r="L4718" s="62">
        <f ca="1">IFERROR(__xludf.DUMMYFUNCTION("""COMPUTED_VALUE"""),44896)</f>
        <v>44896</v>
      </c>
      <c r="M4718" s="25" t="str">
        <f ca="1">IFERROR(__xludf.DUMMYFUNCTION("""COMPUTED_VALUE"""),"CERRADO Geometría y urbanismo definitivo ya contemplan la estación central conciliada con TMSA en Agosto. Por favor cerrar")</f>
        <v>CERRADO Geometría y urbanismo definitivo ya contemplan la estación central conciliada con TMSA en Agosto. Por favor cerrar</v>
      </c>
      <c r="N4718" s="55">
        <f ca="1">IFERROR(__xludf.DUMMYFUNCTION("""COMPUTED_VALUE"""),44896)</f>
        <v>44896</v>
      </c>
      <c r="O4718" s="25" t="str">
        <f t="shared" ca="1" si="0"/>
        <v>Instituto de Desarrollo Urbano</v>
      </c>
      <c r="P4718" s="25" t="str">
        <f t="shared" si="3"/>
        <v/>
      </c>
      <c r="Q4718" s="25" t="str">
        <f ca="1">IFERROR(__xludf.DUMMYFUNCTION("""COMPUTED_VALUE"""),"Corto plazo")</f>
        <v>Corto plazo</v>
      </c>
      <c r="R4718" s="25"/>
      <c r="S4718" s="55"/>
      <c r="T4718" s="56"/>
      <c r="U4718" s="25"/>
      <c r="V4718" s="25"/>
      <c r="W4718" s="25"/>
      <c r="X4718" s="25"/>
      <c r="Y4718" s="25"/>
      <c r="Z4718" s="25"/>
    </row>
    <row r="4719" spans="1:26" ht="52.5" customHeight="1" x14ac:dyDescent="0.25">
      <c r="A4719" s="25" t="str">
        <f ca="1">IFERROR(__xludf.DUMMYFUNCTION("""COMPUTED_VALUE"""),"Movil517")</f>
        <v>Movil517</v>
      </c>
      <c r="B4719" s="25" t="str">
        <f ca="1">IFERROR(__xludf.DUMMYFUNCTION("""COMPUTED_VALUE"""),"Corredor Verde 7ma")</f>
        <v>Corredor Verde 7ma</v>
      </c>
      <c r="C4719" s="55">
        <f ca="1">IFERROR(__xludf.DUMMYFUNCTION("""COMPUTED_VALUE"""),44760)</f>
        <v>44760</v>
      </c>
      <c r="D4719" s="25" t="str">
        <f ca="1">IFERROR(__xludf.DUMMYFUNCTION("""COMPUTED_VALUE"""),"Movilidad")</f>
        <v>Movilidad</v>
      </c>
      <c r="E4719" s="25" t="str">
        <f ca="1">IFERROR(__xludf.DUMMYFUNCTION("""COMPUTED_VALUE"""),"Instituto de Desarrollo Urbano")</f>
        <v>Instituto de Desarrollo Urbano</v>
      </c>
      <c r="F4719" s="25" t="str">
        <f ca="1">IFERROR(__xludf.DUMMYFUNCTION("""COMPUTED_VALUE"""),"Incluir en las licitaciones la exigencia de presentar el plan de obras y el PMT")</f>
        <v>Incluir en las licitaciones la exigencia de presentar el plan de obras y el PMT</v>
      </c>
      <c r="G4719" s="25" t="str">
        <f ca="1">IFERROR(__xludf.DUMMYFUNCTION("""COMPUTED_VALUE"""),"99. Distrito")</f>
        <v>99. Distrito</v>
      </c>
      <c r="H4719" s="55">
        <f ca="1">IFERROR(__xludf.DUMMYFUNCTION("""COMPUTED_VALUE"""),45107)</f>
        <v>45107</v>
      </c>
      <c r="I4719" s="25" t="str">
        <f ca="1">IFERROR(__xludf.DUMMYFUNCTION("""COMPUTED_VALUE"""),"Junta de Infraestructura")</f>
        <v>Junta de Infraestructura</v>
      </c>
      <c r="J4719" s="55" t="str">
        <f ca="1">IFERROR(__xludf.DUMMYFUNCTION("""COMPUTED_VALUE"""),"Baja")</f>
        <v>Baja</v>
      </c>
      <c r="K4719" s="25">
        <f ca="1">IFERROR(__xludf.DUMMYFUNCTION("""COMPUTED_VALUE"""),347)</f>
        <v>347</v>
      </c>
      <c r="L4719" s="62">
        <f ca="1">IFERROR(__xludf.DUMMYFUNCTION("""COMPUTED_VALUE"""),45016)</f>
        <v>45016</v>
      </c>
      <c r="M4719" s="25" t="str">
        <f ca="1">IFERROR(__xludf.DUMMYFUNCTION("""COMPUTED_VALUE"""),"Se incluye en la estructuración de los contratos de obra de CV7 a publicarse en abril de 2023")</f>
        <v>Se incluye en la estructuración de los contratos de obra de CV7 a publicarse en abril de 2023</v>
      </c>
      <c r="N4719" s="25"/>
      <c r="O4719" s="25" t="str">
        <f t="shared" ca="1" si="0"/>
        <v>Instituto de Desarrollo Urbano</v>
      </c>
      <c r="P4719" s="25" t="str">
        <f t="shared" ca="1" si="3"/>
        <v/>
      </c>
      <c r="Q4719" s="25" t="str">
        <f ca="1">IFERROR(__xludf.DUMMYFUNCTION("""COMPUTED_VALUE"""),"Largo plazo")</f>
        <v>Largo plazo</v>
      </c>
      <c r="R4719" s="25"/>
      <c r="S4719" s="55"/>
      <c r="T4719" s="56"/>
      <c r="U4719" s="25"/>
      <c r="V4719" s="25"/>
      <c r="W4719" s="25"/>
      <c r="X4719" s="25"/>
      <c r="Y4719" s="25"/>
      <c r="Z4719" s="25"/>
    </row>
    <row r="4720" spans="1:26" ht="52.5" customHeight="1" x14ac:dyDescent="0.25">
      <c r="A4720" s="25" t="str">
        <f ca="1">IFERROR(__xludf.DUMMYFUNCTION("""COMPUTED_VALUE"""),"Movil518")</f>
        <v>Movil518</v>
      </c>
      <c r="B4720" s="25" t="str">
        <f ca="1">IFERROR(__xludf.DUMMYFUNCTION("""COMPUTED_VALUE"""),"Corredor Verde 7ma")</f>
        <v>Corredor Verde 7ma</v>
      </c>
      <c r="C4720" s="55">
        <f ca="1">IFERROR(__xludf.DUMMYFUNCTION("""COMPUTED_VALUE"""),44760)</f>
        <v>44760</v>
      </c>
      <c r="D4720" s="25" t="str">
        <f ca="1">IFERROR(__xludf.DUMMYFUNCTION("""COMPUTED_VALUE"""),"Movilidad")</f>
        <v>Movilidad</v>
      </c>
      <c r="E4720" s="25" t="str">
        <f ca="1">IFERROR(__xludf.DUMMYFUNCTION("""COMPUTED_VALUE"""),"Instituto de Desarrollo Urbano")</f>
        <v>Instituto de Desarrollo Urbano</v>
      </c>
      <c r="F4720" s="25" t="str">
        <f ca="1">IFERROR(__xludf.DUMMYFUNCTION("""COMPUTED_VALUE"""),"Revisar el diseño de las estaciones para minimizar el riesgo de colados")</f>
        <v>Revisar el diseño de las estaciones para minimizar el riesgo de colados</v>
      </c>
      <c r="G4720" s="25" t="str">
        <f ca="1">IFERROR(__xludf.DUMMYFUNCTION("""COMPUTED_VALUE"""),"99. Distrito")</f>
        <v>99. Distrito</v>
      </c>
      <c r="H4720" s="55">
        <f ca="1">IFERROR(__xludf.DUMMYFUNCTION("""COMPUTED_VALUE"""),44790)</f>
        <v>44790</v>
      </c>
      <c r="I4720" s="25"/>
      <c r="J4720" s="55" t="str">
        <f ca="1">IFERROR(__xludf.DUMMYFUNCTION("""COMPUTED_VALUE"""),"Alta")</f>
        <v>Alta</v>
      </c>
      <c r="K4720" s="25">
        <f ca="1">IFERROR(__xludf.DUMMYFUNCTION("""COMPUTED_VALUE"""),30)</f>
        <v>30</v>
      </c>
      <c r="L4720" s="62">
        <f ca="1">IFERROR(__xludf.DUMMYFUNCTION("""COMPUTED_VALUE"""),44896)</f>
        <v>44896</v>
      </c>
      <c r="M4720" s="25" t="str">
        <f ca="1">IFERROR(__xludf.DUMMYFUNCTION("""COMPUTED_VALUE"""),"CERRADO Diseños conciliados finales de estaciones con TMSA. por favor cerrar compromiso.")</f>
        <v>CERRADO Diseños conciliados finales de estaciones con TMSA. por favor cerrar compromiso.</v>
      </c>
      <c r="N4720" s="55">
        <f ca="1">IFERROR(__xludf.DUMMYFUNCTION("""COMPUTED_VALUE"""),44896)</f>
        <v>44896</v>
      </c>
      <c r="O4720" s="25" t="str">
        <f t="shared" ca="1" si="0"/>
        <v>Instituto de Desarrollo Urbano</v>
      </c>
      <c r="P4720" s="25" t="str">
        <f t="shared" si="3"/>
        <v/>
      </c>
      <c r="Q4720" s="25" t="str">
        <f ca="1">IFERROR(__xludf.DUMMYFUNCTION("""COMPUTED_VALUE"""),"Corto plazo")</f>
        <v>Corto plazo</v>
      </c>
      <c r="R4720" s="25"/>
      <c r="S4720" s="55"/>
      <c r="T4720" s="56"/>
      <c r="U4720" s="25"/>
      <c r="V4720" s="25"/>
      <c r="W4720" s="25"/>
      <c r="X4720" s="25"/>
      <c r="Y4720" s="25"/>
      <c r="Z4720" s="25"/>
    </row>
    <row r="4721" spans="1:26" ht="52.5" customHeight="1" x14ac:dyDescent="0.25">
      <c r="A4721" s="25" t="str">
        <f ca="1">IFERROR(__xludf.DUMMYFUNCTION("""COMPUTED_VALUE"""),"Movil519")</f>
        <v>Movil519</v>
      </c>
      <c r="B4721" s="25" t="str">
        <f ca="1">IFERROR(__xludf.DUMMYFUNCTION("""COMPUTED_VALUE"""),"Transmilenio")</f>
        <v>Transmilenio</v>
      </c>
      <c r="C4721" s="55">
        <f ca="1">IFERROR(__xludf.DUMMYFUNCTION("""COMPUTED_VALUE"""),44760)</f>
        <v>44760</v>
      </c>
      <c r="D4721" s="25" t="str">
        <f ca="1">IFERROR(__xludf.DUMMYFUNCTION("""COMPUTED_VALUE"""),"Movilidad")</f>
        <v>Movilidad</v>
      </c>
      <c r="E4721" s="25" t="str">
        <f ca="1">IFERROR(__xludf.DUMMYFUNCTION("""COMPUTED_VALUE"""),"Empresa de Transporte del Tercer Milenio - Transmilenio S.A.")</f>
        <v>Empresa de Transporte del Tercer Milenio - Transmilenio S.A.</v>
      </c>
      <c r="F4721" s="25" t="str">
        <f ca="1">IFERROR(__xludf.DUMMYFUNCTION("""COMPUTED_VALUE"""),"Estimar la inversión requerida para poner torniquetes de piso a techo en las estaciones prioritarias")</f>
        <v>Estimar la inversión requerida para poner torniquetes de piso a techo en las estaciones prioritarias</v>
      </c>
      <c r="G4721" s="25" t="str">
        <f ca="1">IFERROR(__xludf.DUMMYFUNCTION("""COMPUTED_VALUE"""),"99. Distrito")</f>
        <v>99. Distrito</v>
      </c>
      <c r="H4721" s="55">
        <f ca="1">IFERROR(__xludf.DUMMYFUNCTION("""COMPUTED_VALUE"""),45168)</f>
        <v>45168</v>
      </c>
      <c r="I4721" s="25"/>
      <c r="J4721" s="55" t="str">
        <f ca="1">IFERROR(__xludf.DUMMYFUNCTION("""COMPUTED_VALUE"""),"Baja")</f>
        <v>Baja</v>
      </c>
      <c r="K4721" s="25">
        <f ca="1">IFERROR(__xludf.DUMMYFUNCTION("""COMPUTED_VALUE"""),408)</f>
        <v>408</v>
      </c>
      <c r="L4721" s="62">
        <f ca="1">IFERROR(__xludf.DUMMYFUNCTION("""COMPUTED_VALUE"""),44978)</f>
        <v>44978</v>
      </c>
      <c r="M4721" s="25" t="str">
        <f ca="1">IFERROR(__xludf.DUMMYFUNCTION("""COMPUTED_VALUE"""),"Se está realizando el estudio para la implementación de barreras de acceso de piso a techo en estaciones priorizadas. Ya se encuentra la priorización de estaciones definida, con criterios de mayor evasión o mayor recuperación de ingresos por demanda. 
Se "&amp;"avanza en las especificaciones técnicas para la contratación en el 2023. 
Actualización 2023: El 23 de diciembre de 2022 se firmó el otrosí 18 con el Concesionario Recaudo Bogotá S.A.S. en Reorganización para implementar el mecanismo de remuneración de la"&amp;"s BCA piso a techo, en dicho documento se establecieron las fórmulas de remuneración para reconocer semanalmente la inversión requerida en la fase I, para 12 estaciones y 3 portales. Se estima que entre los meses de julio y agosto se inicie la instalación"&amp;" de dichas BCA-PT. (Reporta SECON Rafael Valdez). ")</f>
        <v xml:space="preserve">Se está realizando el estudio para la implementación de barreras de acceso de piso a techo en estaciones priorizadas. Ya se encuentra la priorización de estaciones definida, con criterios de mayor evasión o mayor recuperación de ingresos por demanda. 
Se avanza en las especificaciones técnicas para la contratación en el 2023. 
Actualización 2023: El 23 de diciembre de 2022 se firmó el otrosí 18 con el Concesionario Recaudo Bogotá S.A.S. en Reorganización para implementar el mecanismo de remuneración de las BCA piso a techo, en dicho documento se establecieron las fórmulas de remuneración para reconocer semanalmente la inversión requerida en la fase I, para 12 estaciones y 3 portales. Se estima que entre los meses de julio y agosto se inicie la instalación de dichas BCA-PT. (Reporta SECON Rafael Valdez). </v>
      </c>
      <c r="N4721" s="55">
        <f ca="1">IFERROR(__xludf.DUMMYFUNCTION("""COMPUTED_VALUE"""),44918)</f>
        <v>44918</v>
      </c>
      <c r="O4721" s="25" t="str">
        <f t="shared" ca="1" si="0"/>
        <v>Empresa de Transporte del Tercer Milenio - Transmilenio S.A.</v>
      </c>
      <c r="P4721" s="25" t="str">
        <f t="shared" si="3"/>
        <v/>
      </c>
      <c r="Q4721" s="25" t="str">
        <f ca="1">IFERROR(__xludf.DUMMYFUNCTION("""COMPUTED_VALUE"""),"Largo plazo")</f>
        <v>Largo plazo</v>
      </c>
      <c r="R4721" s="25"/>
      <c r="S4721" s="55"/>
      <c r="T4721" s="56"/>
      <c r="U4721" s="25"/>
      <c r="V4721" s="25"/>
      <c r="W4721" s="25"/>
      <c r="X4721" s="25"/>
      <c r="Y4721" s="25"/>
      <c r="Z4721" s="25"/>
    </row>
    <row r="4722" spans="1:26" ht="52.5" customHeight="1" x14ac:dyDescent="0.25">
      <c r="A4722" s="25" t="str">
        <f ca="1">IFERROR(__xludf.DUMMYFUNCTION("""COMPUTED_VALUE"""),"Movil520")</f>
        <v>Movil520</v>
      </c>
      <c r="B4722" s="25" t="str">
        <f ca="1">IFERROR(__xludf.DUMMYFUNCTION("""COMPUTED_VALUE"""),"Transmilenio")</f>
        <v>Transmilenio</v>
      </c>
      <c r="C4722" s="55">
        <f ca="1">IFERROR(__xludf.DUMMYFUNCTION("""COMPUTED_VALUE"""),44760)</f>
        <v>44760</v>
      </c>
      <c r="D4722" s="25" t="str">
        <f ca="1">IFERROR(__xludf.DUMMYFUNCTION("""COMPUTED_VALUE"""),"Movilidad")</f>
        <v>Movilidad</v>
      </c>
      <c r="E4722" s="25" t="str">
        <f ca="1">IFERROR(__xludf.DUMMYFUNCTION("""COMPUTED_VALUE"""),"Empresa de Transporte del Tercer Milenio - Transmilenio S.A.")</f>
        <v>Empresa de Transporte del Tercer Milenio - Transmilenio S.A.</v>
      </c>
      <c r="F4722" s="25" t="str">
        <f ca="1">IFERROR(__xludf.DUMMYFUNCTION("""COMPUTED_VALUE"""),"Revisar la posibilidad de tener agentes civiles en TMSA para controlar la evasión y la elusión (similar a los agentes civiles de SDM para temas de tránsito)")</f>
        <v>Revisar la posibilidad de tener agentes civiles en TMSA para controlar la evasión y la elusión (similar a los agentes civiles de SDM para temas de tránsito)</v>
      </c>
      <c r="G4722" s="25" t="str">
        <f ca="1">IFERROR(__xludf.DUMMYFUNCTION("""COMPUTED_VALUE"""),"99. Distrito")</f>
        <v>99. Distrito</v>
      </c>
      <c r="H4722" s="55">
        <f ca="1">IFERROR(__xludf.DUMMYFUNCTION("""COMPUTED_VALUE"""),44790)</f>
        <v>44790</v>
      </c>
      <c r="I4722" s="25"/>
      <c r="J4722" s="55" t="str">
        <f ca="1">IFERROR(__xludf.DUMMYFUNCTION("""COMPUTED_VALUE"""),"Alta")</f>
        <v>Alta</v>
      </c>
      <c r="K4722" s="25">
        <f ca="1">IFERROR(__xludf.DUMMYFUNCTION("""COMPUTED_VALUE"""),30)</f>
        <v>30</v>
      </c>
      <c r="L4722" s="62">
        <f ca="1">IFERROR(__xludf.DUMMYFUNCTION("""COMPUTED_VALUE"""),44893)</f>
        <v>44893</v>
      </c>
      <c r="M4722" s="25" t="str">
        <f ca="1">IFERROR(__xludf.DUMMYFUNCTION("""COMPUTED_VALUE"""),"Se hicieron las consultas jurídicas y actualmente, a diferencia del Código Nacional de Tránsito que sí habilita a los agentes de tránsito civiles para asumir el rol, el Código Nacional de Seguridad y Convivencia Ciudadana no permite a civiles ejercer esa "&amp;"labor para el tema de la evasión del pago. Sin embargo, se hicieron reuniones y se está adelantando el lobby respectivo con los congresistas de la bancada de Bogotá con el fin de generar proyectos de ley que permitan modificar el Código y posibilitar lo s"&amp;"iguiente:
 • Distribución del control de la evasión hacia cuerpos civiles (minimizar la burocracia y centralización actual).
 • Modificación para que el recaudo por concepto de evasión vaya directamente a inversión en los sistemas de transporte. 
 • Otro "&amp;"tipo de medidas que fortalezcan la cultura ciudadana, la prevención, la convivencia y permitan mayor control social a la evasión (trabajo social, actividad pedagógica, conmutación o subrogación de multas).
 Ya se trabajó con los equipos de los congresista"&amp;"s en propuestas de articulado para que los Proyectos de Ley sean presentados ante el Congreso de la República.")</f>
        <v>Se hicieron las consultas jurídicas y actualmente, a diferencia del Código Nacional de Tránsito que sí habilita a los agentes de tránsito civiles para asumir el rol, el Código Nacional de Seguridad y Convivencia Ciudadana no permite a civiles ejercer esa labor para el tema de la evasión del pago. Sin embargo, se hicieron reuniones y se está adelantando el lobby respectivo con los congresistas de la bancada de Bogotá con el fin de generar proyectos de ley que permitan modificar el Código y posibilitar lo siguiente:
 • Distribución del control de la evasión hacia cuerpos civiles (minimizar la burocracia y centralización actual).
 • Modificación para que el recaudo por concepto de evasión vaya directamente a inversión en los sistemas de transporte. 
 • Otro tipo de medidas que fortalezcan la cultura ciudadana, la prevención, la convivencia y permitan mayor control social a la evasión (trabajo social, actividad pedagógica, conmutación o subrogación de multas).
 Ya se trabajó con los equipos de los congresistas en propuestas de articulado para que los Proyectos de Ley sean presentados ante el Congreso de la República.</v>
      </c>
      <c r="N4722" s="55">
        <f ca="1">IFERROR(__xludf.DUMMYFUNCTION("""COMPUTED_VALUE"""),44893)</f>
        <v>44893</v>
      </c>
      <c r="O4722" s="25" t="str">
        <f t="shared" ca="1" si="0"/>
        <v>Empresa de Transporte del Tercer Milenio - Transmilenio S.A.</v>
      </c>
      <c r="P4722" s="25" t="str">
        <f t="shared" si="3"/>
        <v/>
      </c>
      <c r="Q4722" s="25" t="str">
        <f ca="1">IFERROR(__xludf.DUMMYFUNCTION("""COMPUTED_VALUE"""),"Corto plazo")</f>
        <v>Corto plazo</v>
      </c>
      <c r="R4722" s="25"/>
      <c r="S4722" s="55"/>
      <c r="T4722" s="56"/>
      <c r="U4722" s="25"/>
      <c r="V4722" s="25"/>
      <c r="W4722" s="25"/>
      <c r="X4722" s="25"/>
      <c r="Y4722" s="25"/>
      <c r="Z4722" s="25"/>
    </row>
    <row r="4723" spans="1:26" ht="52.5" customHeight="1" x14ac:dyDescent="0.25">
      <c r="A4723" s="25" t="str">
        <f ca="1">IFERROR(__xludf.DUMMYFUNCTION("""COMPUTED_VALUE"""),"Movil521")</f>
        <v>Movil521</v>
      </c>
      <c r="B4723" s="25" t="str">
        <f ca="1">IFERROR(__xludf.DUMMYFUNCTION("""COMPUTED_VALUE"""),"Transmilenio")</f>
        <v>Transmilenio</v>
      </c>
      <c r="C4723" s="55">
        <f ca="1">IFERROR(__xludf.DUMMYFUNCTION("""COMPUTED_VALUE"""),44760)</f>
        <v>44760</v>
      </c>
      <c r="D4723" s="25" t="str">
        <f ca="1">IFERROR(__xludf.DUMMYFUNCTION("""COMPUTED_VALUE"""),"Movilidad")</f>
        <v>Movilidad</v>
      </c>
      <c r="E4723" s="25" t="str">
        <f ca="1">IFERROR(__xludf.DUMMYFUNCTION("""COMPUTED_VALUE"""),"Empresa de Transporte del Tercer Milenio - Transmilenio S.A.")</f>
        <v>Empresa de Transporte del Tercer Milenio - Transmilenio S.A.</v>
      </c>
      <c r="F4723" s="25" t="str">
        <f ca="1">IFERROR(__xludf.DUMMYFUNCTION("""COMPUTED_VALUE"""),"Recortar las rutas HA628 y GA513 para que solo lleguen hasta el componente troncal")</f>
        <v>Recortar las rutas HA628 y GA513 para que solo lleguen hasta el componente troncal</v>
      </c>
      <c r="G4723" s="25" t="str">
        <f ca="1">IFERROR(__xludf.DUMMYFUNCTION("""COMPUTED_VALUE"""),"99. Distrito")</f>
        <v>99. Distrito</v>
      </c>
      <c r="H4723" s="55">
        <f ca="1">IFERROR(__xludf.DUMMYFUNCTION("""COMPUTED_VALUE"""),44790)</f>
        <v>44790</v>
      </c>
      <c r="I4723" s="25"/>
      <c r="J4723" s="55" t="str">
        <f ca="1">IFERROR(__xludf.DUMMYFUNCTION("""COMPUTED_VALUE"""),"Alta")</f>
        <v>Alta</v>
      </c>
      <c r="K4723" s="25">
        <f ca="1">IFERROR(__xludf.DUMMYFUNCTION("""COMPUTED_VALUE"""),30)</f>
        <v>30</v>
      </c>
      <c r="L4723" s="62">
        <f ca="1">IFERROR(__xludf.DUMMYFUNCTION("""COMPUTED_VALUE"""),44893)</f>
        <v>44893</v>
      </c>
      <c r="M4723" s="25" t="str">
        <f ca="1">IFERROR(__xludf.DUMMYFUNCTION("""COMPUTED_VALUE"""),"Con referencia a la ruta GA513 “SAN BERNARDINO - CHAPINERO”, se comunica que, desde el pasado 11 de Julio del 2022, dicha ruta cambió su trazado, con el objetivo de ampliar la cobertura a los usuarios adyacentes a los tramos viales de las Carreras 19, 20,"&amp;" 24, TV24 y TV 25. Así mismo, con ello evitar el paralelismo existente entre la ruta zonal y el componente troncal")</f>
        <v>Con referencia a la ruta GA513 “SAN BERNARDINO - CHAPINERO”, se comunica que, desde el pasado 11 de Julio del 2022, dicha ruta cambió su trazado, con el objetivo de ampliar la cobertura a los usuarios adyacentes a los tramos viales de las Carreras 19, 20, 24, TV24 y TV 25. Así mismo, con ello evitar el paralelismo existente entre la ruta zonal y el componente troncal</v>
      </c>
      <c r="N4723" s="55">
        <f ca="1">IFERROR(__xludf.DUMMYFUNCTION("""COMPUTED_VALUE"""),44893)</f>
        <v>44893</v>
      </c>
      <c r="O4723" s="25" t="str">
        <f t="shared" ca="1" si="0"/>
        <v>Empresa de Transporte del Tercer Milenio - Transmilenio S.A.</v>
      </c>
      <c r="P4723" s="25" t="str">
        <f t="shared" si="3"/>
        <v/>
      </c>
      <c r="Q4723" s="25" t="str">
        <f ca="1">IFERROR(__xludf.DUMMYFUNCTION("""COMPUTED_VALUE"""),"Corto plazo")</f>
        <v>Corto plazo</v>
      </c>
      <c r="R4723" s="25"/>
      <c r="S4723" s="55"/>
      <c r="T4723" s="56"/>
      <c r="U4723" s="25"/>
      <c r="V4723" s="25"/>
      <c r="W4723" s="25"/>
      <c r="X4723" s="25"/>
      <c r="Y4723" s="25"/>
      <c r="Z4723" s="25"/>
    </row>
    <row r="4724" spans="1:26" ht="52.5" customHeight="1" x14ac:dyDescent="0.25">
      <c r="A4724" s="25" t="str">
        <f ca="1">IFERROR(__xludf.DUMMYFUNCTION("""COMPUTED_VALUE"""),"Movil522")</f>
        <v>Movil522</v>
      </c>
      <c r="B4724" s="25" t="str">
        <f ca="1">IFERROR(__xludf.DUMMYFUNCTION("""COMPUTED_VALUE"""),"Transmilenio")</f>
        <v>Transmilenio</v>
      </c>
      <c r="C4724" s="55">
        <f ca="1">IFERROR(__xludf.DUMMYFUNCTION("""COMPUTED_VALUE"""),44760)</f>
        <v>44760</v>
      </c>
      <c r="D4724" s="25" t="str">
        <f ca="1">IFERROR(__xludf.DUMMYFUNCTION("""COMPUTED_VALUE"""),"Movilidad")</f>
        <v>Movilidad</v>
      </c>
      <c r="E4724" s="25" t="str">
        <f ca="1">IFERROR(__xludf.DUMMYFUNCTION("""COMPUTED_VALUE"""),"Empresa de Transporte del Tercer Milenio - Transmilenio S.A.")</f>
        <v>Empresa de Transporte del Tercer Milenio - Transmilenio S.A.</v>
      </c>
      <c r="F4724" s="25" t="str">
        <f ca="1">IFERROR(__xludf.DUMMYFUNCTION("""COMPUTED_VALUE"""),"Clasificar las estaciones para temas de evasión (por efectividad de los recursos, por demanda, otros) y revisar la mejor solución (tecnología, personal o apadrinamiento). Esto para estimar costos de cada solución y definir cómo se van a implementar. ")</f>
        <v xml:space="preserve">Clasificar las estaciones para temas de evasión (por efectividad de los recursos, por demanda, otros) y revisar la mejor solución (tecnología, personal o apadrinamiento). Esto para estimar costos de cada solución y definir cómo se van a implementar. </v>
      </c>
      <c r="G4724" s="25" t="str">
        <f ca="1">IFERROR(__xludf.DUMMYFUNCTION("""COMPUTED_VALUE"""),"99. Distrito")</f>
        <v>99. Distrito</v>
      </c>
      <c r="H4724" s="55">
        <f ca="1">IFERROR(__xludf.DUMMYFUNCTION("""COMPUTED_VALUE"""),45000)</f>
        <v>45000</v>
      </c>
      <c r="I4724" s="25" t="str">
        <f ca="1">IFERROR(__xludf.DUMMYFUNCTION("""COMPUTED_VALUE"""),"Delivery Unit")</f>
        <v>Delivery Unit</v>
      </c>
      <c r="J4724" s="55" t="str">
        <f ca="1">IFERROR(__xludf.DUMMYFUNCTION("""COMPUTED_VALUE"""),"Baja")</f>
        <v>Baja</v>
      </c>
      <c r="K4724" s="25">
        <f ca="1">IFERROR(__xludf.DUMMYFUNCTION("""COMPUTED_VALUE"""),240)</f>
        <v>240</v>
      </c>
      <c r="L4724" s="62">
        <f ca="1">IFERROR(__xludf.DUMMYFUNCTION("""COMPUTED_VALUE"""),45046)</f>
        <v>45046</v>
      </c>
      <c r="M4724" s="25" t="str">
        <f ca="1">IFERROR(__xludf.DUMMYFUNCTION("""COMPUTED_VALUE"""),"DTS-DTinfra - DTICS. Se está construyendo la clasificación, adicionalmente, con la implementación del SIDEST (Sistema Inteligente de Detección de Eventos de Seguridad en Transmilenio), se busca ver el impacto de cada estrategia. Ya se cuenta con la priori"&amp;"zaciòn de estaciones y una vez lleguen los torniquetes iniciara el cronograma de implementaciòn. 
10/05/2023: Se tiene operando nuevas puertas en 6 estaciones (Calle 34, Av. Calle 39, Calle 45, Calle 57, Calle 63 y Flores) sobre la troncal Caracas y se ti"&amp;"ene previsto el recibo de las estaciones Heroes y Calle 100 en el mes de mayo de 2023. Se continuará la instalación en las estaciones priorizadas (16 estaciones) en Caracas sur, Calle 13 y Carrera 10 lo cual se tiene previsto hasta septiembre de 2023. Asi"&amp;" mismo, se esta realizando la estructuración de nuevos contratos para el suministro, instalación y mantenimiento de nuevas puertas el cual se tiene proyectado adjudicar en 2023,
21/02/2023 Se cuenta ya con un análisis y se elaborará un cuadro con la carac"&amp;"terización de todas las estaciones según el timpo de intervención (personas, puertas, BCA piso techo, barreras perimetrales) y fechas estimadas de intervención. 
30/04/2023 A partir de un análisis interno de diferencia entre entradas y salidas de todas la"&amp;"s estaciones y portales del componente troncal, se tiene un ranking de todos los puntos por costo aproximado de la evasión del pago para el Sistema. Adicionalmente se viene implementando el Sistema SIDEST para monitoreo de la evasión, por ahora para un al"&amp;"cance parcial de unos portales y estaciones. Con estos insumos se han generado listados de priorizaciones para infraestructura en proyectos de implementación de nuevas BCA y de contratos actuales y futuros de cambios de puertas. E igualmente se focaliza l"&amp;"a disposición y refuerzo de equipo territorial (Gestores de Convivencia TM y Reguladores de Evasión) para prevenir, disuadir y contener la evasión del pago. ")</f>
        <v xml:space="preserve">DTS-DTinfra - DTICS. Se está construyendo la clasificación, adicionalmente, con la implementación del SIDEST (Sistema Inteligente de Detección de Eventos de Seguridad en Transmilenio), se busca ver el impacto de cada estrategia. Ya se cuenta con la priorizaciòn de estaciones y una vez lleguen los torniquetes iniciara el cronograma de implementaciòn. 
10/05/2023: Se tiene operando nuevas puertas en 6 estaciones (Calle 34, Av. Calle 39, Calle 45, Calle 57, Calle 63 y Flores) sobre la troncal Caracas y se tiene previsto el recibo de las estaciones Heroes y Calle 100 en el mes de mayo de 2023. Se continuará la instalación en las estaciones priorizadas (16 estaciones) en Caracas sur, Calle 13 y Carrera 10 lo cual se tiene previsto hasta septiembre de 2023. Asi mismo, se esta realizando la estructuración de nuevos contratos para el suministro, instalación y mantenimiento de nuevas puertas el cual se tiene proyectado adjudicar en 2023,
21/02/2023 Se cuenta ya con un análisis y se elaborará un cuadro con la caracterización de todas las estaciones según el timpo de intervención (personas, puertas, BCA piso techo, barreras perimetrales) y fechas estimadas de intervención. 
30/04/2023 A partir de un análisis interno de diferencia entre entradas y salidas de todas las estaciones y portales del componente troncal, se tiene un ranking de todos los puntos por costo aproximado de la evasión del pago para el Sistema. Adicionalmente se viene implementando el Sistema SIDEST para monitoreo de la evasión, por ahora para un alcance parcial de unos portales y estaciones. Con estos insumos se han generado listados de priorizaciones para infraestructura en proyectos de implementación de nuevas BCA y de contratos actuales y futuros de cambios de puertas. E igualmente se focaliza la disposición y refuerzo de equipo territorial (Gestores de Convivencia TM y Reguladores de Evasión) para prevenir, disuadir y contener la evasión del pago. </v>
      </c>
      <c r="N4724" s="55">
        <f ca="1">IFERROR(__xludf.DUMMYFUNCTION("""COMPUTED_VALUE"""),45071)</f>
        <v>45071</v>
      </c>
      <c r="O4724" s="25" t="str">
        <f t="shared" ca="1" si="0"/>
        <v>Empresa de Transporte del Tercer Milenio - Transmilenio S.A.</v>
      </c>
      <c r="P4724" s="25" t="str">
        <f t="shared" ca="1" si="3"/>
        <v/>
      </c>
      <c r="Q4724" s="25" t="str">
        <f ca="1">IFERROR(__xludf.DUMMYFUNCTION("""COMPUTED_VALUE"""),"Largo plazo")</f>
        <v>Largo plazo</v>
      </c>
      <c r="R4724" s="25"/>
      <c r="S4724" s="55"/>
      <c r="T4724" s="56"/>
      <c r="U4724" s="25"/>
      <c r="V4724" s="25"/>
      <c r="W4724" s="25"/>
      <c r="X4724" s="25"/>
      <c r="Y4724" s="25"/>
      <c r="Z4724" s="25"/>
    </row>
    <row r="4725" spans="1:26" ht="52.5" customHeight="1" x14ac:dyDescent="0.25">
      <c r="A4725" s="25" t="str">
        <f ca="1">IFERROR(__xludf.DUMMYFUNCTION("""COMPUTED_VALUE"""),"Movil523")</f>
        <v>Movil523</v>
      </c>
      <c r="B4725" s="25" t="str">
        <f ca="1">IFERROR(__xludf.DUMMYFUNCTION("""COMPUTED_VALUE"""),"Reglamentación POT")</f>
        <v>Reglamentación POT</v>
      </c>
      <c r="C4725" s="55">
        <f ca="1">IFERROR(__xludf.DUMMYFUNCTION("""COMPUTED_VALUE"""),44757)</f>
        <v>44757</v>
      </c>
      <c r="D4725" s="25" t="str">
        <f ca="1">IFERROR(__xludf.DUMMYFUNCTION("""COMPUTED_VALUE"""),"Movilidad")</f>
        <v>Movilidad</v>
      </c>
      <c r="E4725" s="25" t="str">
        <f ca="1">IFERROR(__xludf.DUMMYFUNCTION("""COMPUTED_VALUE"""),"Secretaría Distrital de Movilidad")</f>
        <v>Secretaría Distrital de Movilidad</v>
      </c>
      <c r="F4725" s="25" t="str">
        <f ca="1">IFERROR(__xludf.DUMMYFUNCTION("""COMPUTED_VALUE"""),"Expedir el Decreto de la Línea 2 de Metro. SDM – EMB – POT 190 ")</f>
        <v xml:space="preserve">Expedir el Decreto de la Línea 2 de Metro. SDM – EMB – POT 190 </v>
      </c>
      <c r="G4725" s="25" t="str">
        <f ca="1">IFERROR(__xludf.DUMMYFUNCTION("""COMPUTED_VALUE"""),"99. Distrito")</f>
        <v>99. Distrito</v>
      </c>
      <c r="H4725" s="55">
        <f ca="1">IFERROR(__xludf.DUMMYFUNCTION("""COMPUTED_VALUE"""),44787)</f>
        <v>44787</v>
      </c>
      <c r="I4725" s="25"/>
      <c r="J4725" s="55" t="str">
        <f ca="1">IFERROR(__xludf.DUMMYFUNCTION("""COMPUTED_VALUE"""),"Alta")</f>
        <v>Alta</v>
      </c>
      <c r="K4725" s="25">
        <f ca="1">IFERROR(__xludf.DUMMYFUNCTION("""COMPUTED_VALUE"""),30)</f>
        <v>30</v>
      </c>
      <c r="L4725" s="62"/>
      <c r="M4725" s="25" t="str">
        <f ca="1">IFERROR(__xludf.DUMMYFUNCTION("""COMPUTED_VALUE"""),"En vigencia el 555")</f>
        <v>En vigencia el 555</v>
      </c>
      <c r="N4725" s="55">
        <f ca="1">IFERROR(__xludf.DUMMYFUNCTION("""COMPUTED_VALUE"""),44927)</f>
        <v>44927</v>
      </c>
      <c r="O4725" s="25" t="str">
        <f t="shared" ca="1" si="0"/>
        <v>Secretaría Distrital de Movilidad</v>
      </c>
      <c r="P4725" s="25" t="str">
        <f t="shared" si="3"/>
        <v/>
      </c>
      <c r="Q4725" s="25" t="str">
        <f ca="1">IFERROR(__xludf.DUMMYFUNCTION("""COMPUTED_VALUE"""),"Corto plazo")</f>
        <v>Corto plazo</v>
      </c>
      <c r="R4725" s="25"/>
      <c r="S4725" s="55"/>
      <c r="T4725" s="56"/>
      <c r="U4725" s="25"/>
      <c r="V4725" s="25"/>
      <c r="W4725" s="25"/>
      <c r="X4725" s="25"/>
      <c r="Y4725" s="25"/>
      <c r="Z4725" s="25"/>
    </row>
    <row r="4726" spans="1:26" ht="52.5" customHeight="1" x14ac:dyDescent="0.25">
      <c r="A4726" s="25" t="str">
        <f ca="1">IFERROR(__xludf.DUMMYFUNCTION("""COMPUTED_VALUE"""),"Movil524")</f>
        <v>Movil524</v>
      </c>
      <c r="B4726" s="25" t="str">
        <f ca="1">IFERROR(__xludf.DUMMYFUNCTION("""COMPUTED_VALUE"""),"Reglamentación POT")</f>
        <v>Reglamentación POT</v>
      </c>
      <c r="C4726" s="55">
        <f ca="1">IFERROR(__xludf.DUMMYFUNCTION("""COMPUTED_VALUE"""),44757)</f>
        <v>44757</v>
      </c>
      <c r="D4726" s="25" t="str">
        <f ca="1">IFERROR(__xludf.DUMMYFUNCTION("""COMPUTED_VALUE"""),"Movilidad")</f>
        <v>Movilidad</v>
      </c>
      <c r="E4726" s="25" t="str">
        <f ca="1">IFERROR(__xludf.DUMMYFUNCTION("""COMPUTED_VALUE"""),"Secretaría Distrital de Movilidad")</f>
        <v>Secretaría Distrital de Movilidad</v>
      </c>
      <c r="F4726" s="25" t="str">
        <f ca="1">IFERROR(__xludf.DUMMYFUNCTION("""COMPUTED_VALUE"""),"Definir y elaborar el cronograma para expedir los Decreto de Cables aéreos cuándo vayan a salir a contratación, en el caso la normatividad continue con el POT 190")</f>
        <v>Definir y elaborar el cronograma para expedir los Decreto de Cables aéreos cuándo vayan a salir a contratación, en el caso la normatividad continue con el POT 190</v>
      </c>
      <c r="G4726" s="25" t="str">
        <f ca="1">IFERROR(__xludf.DUMMYFUNCTION("""COMPUTED_VALUE"""),"99. Distrito")</f>
        <v>99. Distrito</v>
      </c>
      <c r="H4726" s="55">
        <f ca="1">IFERROR(__xludf.DUMMYFUNCTION("""COMPUTED_VALUE"""),44787)</f>
        <v>44787</v>
      </c>
      <c r="I4726" s="25"/>
      <c r="J4726" s="55" t="str">
        <f ca="1">IFERROR(__xludf.DUMMYFUNCTION("""COMPUTED_VALUE"""),"Alta")</f>
        <v>Alta</v>
      </c>
      <c r="K4726" s="25">
        <f ca="1">IFERROR(__xludf.DUMMYFUNCTION("""COMPUTED_VALUE"""),30)</f>
        <v>30</v>
      </c>
      <c r="L4726" s="62"/>
      <c r="M4726" s="25" t="str">
        <f ca="1">IFERROR(__xludf.DUMMYFUNCTION("""COMPUTED_VALUE"""),"En vigencia el 555")</f>
        <v>En vigencia el 555</v>
      </c>
      <c r="N4726" s="55">
        <f ca="1">IFERROR(__xludf.DUMMYFUNCTION("""COMPUTED_VALUE"""),44927)</f>
        <v>44927</v>
      </c>
      <c r="O4726" s="25" t="str">
        <f t="shared" ca="1" si="0"/>
        <v>Secretaría Distrital de Movilidad</v>
      </c>
      <c r="P4726" s="25" t="str">
        <f t="shared" si="3"/>
        <v/>
      </c>
      <c r="Q4726" s="25" t="str">
        <f ca="1">IFERROR(__xludf.DUMMYFUNCTION("""COMPUTED_VALUE"""),"Corto plazo")</f>
        <v>Corto plazo</v>
      </c>
      <c r="R4726" s="25"/>
      <c r="S4726" s="55"/>
      <c r="T4726" s="56"/>
      <c r="U4726" s="25"/>
      <c r="V4726" s="25"/>
      <c r="W4726" s="25"/>
      <c r="X4726" s="25"/>
      <c r="Y4726" s="25"/>
      <c r="Z4726" s="25"/>
    </row>
    <row r="4727" spans="1:26" ht="52.5" customHeight="1" x14ac:dyDescent="0.25">
      <c r="A4727" s="25" t="str">
        <f ca="1">IFERROR(__xludf.DUMMYFUNCTION("""COMPUTED_VALUE"""),"Movil525")</f>
        <v>Movil525</v>
      </c>
      <c r="B4727" s="25" t="str">
        <f ca="1">IFERROR(__xludf.DUMMYFUNCTION("""COMPUTED_VALUE"""),"Reglamentación POT")</f>
        <v>Reglamentación POT</v>
      </c>
      <c r="C4727" s="55">
        <f ca="1">IFERROR(__xludf.DUMMYFUNCTION("""COMPUTED_VALUE"""),44757)</f>
        <v>44757</v>
      </c>
      <c r="D4727" s="25" t="str">
        <f ca="1">IFERROR(__xludf.DUMMYFUNCTION("""COMPUTED_VALUE"""),"Movilidad")</f>
        <v>Movilidad</v>
      </c>
      <c r="E4727" s="25" t="str">
        <f ca="1">IFERROR(__xludf.DUMMYFUNCTION("""COMPUTED_VALUE"""),"Instituto de Desarrollo Urbano")</f>
        <v>Instituto de Desarrollo Urbano</v>
      </c>
      <c r="F4727" s="25" t="str">
        <f ca="1">IFERROR(__xludf.DUMMYFUNCTION("""COMPUTED_VALUE"""),"Corredor verde - Identificar qué decreto o norma se debería trabajar con el 190 y PDD para la contratación que se va a realizar en 2022")</f>
        <v>Corredor verde - Identificar qué decreto o norma se debería trabajar con el 190 y PDD para la contratación que se va a realizar en 2022</v>
      </c>
      <c r="G4727" s="25" t="str">
        <f ca="1">IFERROR(__xludf.DUMMYFUNCTION("""COMPUTED_VALUE"""),"99. Distrito")</f>
        <v>99. Distrito</v>
      </c>
      <c r="H4727" s="55">
        <f ca="1">IFERROR(__xludf.DUMMYFUNCTION("""COMPUTED_VALUE"""),44787)</f>
        <v>44787</v>
      </c>
      <c r="I4727" s="25"/>
      <c r="J4727" s="55" t="str">
        <f ca="1">IFERROR(__xludf.DUMMYFUNCTION("""COMPUTED_VALUE"""),"Alta")</f>
        <v>Alta</v>
      </c>
      <c r="K4727" s="25">
        <f ca="1">IFERROR(__xludf.DUMMYFUNCTION("""COMPUTED_VALUE"""),30)</f>
        <v>30</v>
      </c>
      <c r="L4727" s="62"/>
      <c r="M4727" s="25" t="str">
        <f ca="1">IFERROR(__xludf.DUMMYFUNCTION("""COMPUTED_VALUE"""),"En vigencia el 555")</f>
        <v>En vigencia el 555</v>
      </c>
      <c r="N4727" s="55">
        <f ca="1">IFERROR(__xludf.DUMMYFUNCTION("""COMPUTED_VALUE"""),44927)</f>
        <v>44927</v>
      </c>
      <c r="O4727" s="25" t="str">
        <f t="shared" ca="1" si="0"/>
        <v>Instituto de Desarrollo Urbano</v>
      </c>
      <c r="P4727" s="25" t="str">
        <f t="shared" si="3"/>
        <v/>
      </c>
      <c r="Q4727" s="25" t="str">
        <f ca="1">IFERROR(__xludf.DUMMYFUNCTION("""COMPUTED_VALUE"""),"Corto plazo")</f>
        <v>Corto plazo</v>
      </c>
      <c r="R4727" s="25"/>
      <c r="S4727" s="55"/>
      <c r="T4727" s="56"/>
      <c r="U4727" s="25"/>
      <c r="V4727" s="25"/>
      <c r="W4727" s="25"/>
      <c r="X4727" s="25"/>
      <c r="Y4727" s="25"/>
      <c r="Z4727" s="25"/>
    </row>
    <row r="4728" spans="1:26" ht="52.5" customHeight="1" x14ac:dyDescent="0.25">
      <c r="A4728" s="25" t="str">
        <f ca="1">IFERROR(__xludf.DUMMYFUNCTION("""COMPUTED_VALUE"""),"Movil526")</f>
        <v>Movil526</v>
      </c>
      <c r="B4728" s="25" t="str">
        <f ca="1">IFERROR(__xludf.DUMMYFUNCTION("""COMPUTED_VALUE"""),"Reglamentación POT")</f>
        <v>Reglamentación POT</v>
      </c>
      <c r="C4728" s="55">
        <f ca="1">IFERROR(__xludf.DUMMYFUNCTION("""COMPUTED_VALUE"""),44757)</f>
        <v>44757</v>
      </c>
      <c r="D4728" s="25" t="str">
        <f ca="1">IFERROR(__xludf.DUMMYFUNCTION("""COMPUTED_VALUE"""),"Movilidad")</f>
        <v>Movilidad</v>
      </c>
      <c r="E4728" s="25" t="str">
        <f ca="1">IFERROR(__xludf.DUMMYFUNCTION("""COMPUTED_VALUE"""),"Secretaría Distrital de Movilidad")</f>
        <v>Secretaría Distrital de Movilidad</v>
      </c>
      <c r="F4728" s="25" t="str">
        <f ca="1">IFERROR(__xludf.DUMMYFUNCTION("""COMPUTED_VALUE"""),"Patio taller Calle 13 - ¿cómo se resuelve con el POT 190? E informar al despacho de la alcaldesa")</f>
        <v>Patio taller Calle 13 - ¿cómo se resuelve con el POT 190? E informar al despacho de la alcaldesa</v>
      </c>
      <c r="G4728" s="25" t="str">
        <f ca="1">IFERROR(__xludf.DUMMYFUNCTION("""COMPUTED_VALUE"""),"99. Distrito")</f>
        <v>99. Distrito</v>
      </c>
      <c r="H4728" s="55">
        <f ca="1">IFERROR(__xludf.DUMMYFUNCTION("""COMPUTED_VALUE"""),44787)</f>
        <v>44787</v>
      </c>
      <c r="I4728" s="25"/>
      <c r="J4728" s="55" t="str">
        <f ca="1">IFERROR(__xludf.DUMMYFUNCTION("""COMPUTED_VALUE"""),"Alta")</f>
        <v>Alta</v>
      </c>
      <c r="K4728" s="25">
        <f ca="1">IFERROR(__xludf.DUMMYFUNCTION("""COMPUTED_VALUE"""),30)</f>
        <v>30</v>
      </c>
      <c r="L4728" s="62"/>
      <c r="M4728" s="25" t="str">
        <f ca="1">IFERROR(__xludf.DUMMYFUNCTION("""COMPUTED_VALUE"""),"en vigencia el 555")</f>
        <v>en vigencia el 555</v>
      </c>
      <c r="N4728" s="55">
        <f ca="1">IFERROR(__xludf.DUMMYFUNCTION("""COMPUTED_VALUE"""),44927)</f>
        <v>44927</v>
      </c>
      <c r="O4728" s="25" t="str">
        <f t="shared" ca="1" si="0"/>
        <v>Secretaría Distrital de Movilidad</v>
      </c>
      <c r="P4728" s="25" t="str">
        <f t="shared" si="3"/>
        <v/>
      </c>
      <c r="Q4728" s="25" t="str">
        <f ca="1">IFERROR(__xludf.DUMMYFUNCTION("""COMPUTED_VALUE"""),"Corto plazo")</f>
        <v>Corto plazo</v>
      </c>
      <c r="R4728" s="25"/>
      <c r="S4728" s="55"/>
      <c r="T4728" s="56"/>
      <c r="U4728" s="25"/>
      <c r="V4728" s="25"/>
      <c r="W4728" s="25"/>
      <c r="X4728" s="25"/>
      <c r="Y4728" s="25"/>
      <c r="Z4728" s="25"/>
    </row>
    <row r="4729" spans="1:26" ht="52.5" customHeight="1" x14ac:dyDescent="0.25">
      <c r="A4729" s="25" t="str">
        <f ca="1">IFERROR(__xludf.DUMMYFUNCTION("""COMPUTED_VALUE"""),"Movil527")</f>
        <v>Movil527</v>
      </c>
      <c r="B4729" s="25" t="str">
        <f ca="1">IFERROR(__xludf.DUMMYFUNCTION("""COMPUTED_VALUE"""),"Confis extraordinario")</f>
        <v>Confis extraordinario</v>
      </c>
      <c r="C4729" s="55">
        <f ca="1">IFERROR(__xludf.DUMMYFUNCTION("""COMPUTED_VALUE"""),44781)</f>
        <v>44781</v>
      </c>
      <c r="D4729" s="25" t="str">
        <f ca="1">IFERROR(__xludf.DUMMYFUNCTION("""COMPUTED_VALUE"""),"Movilidad")</f>
        <v>Movilidad</v>
      </c>
      <c r="E4729" s="25" t="str">
        <f ca="1">IFERROR(__xludf.DUMMYFUNCTION("""COMPUTED_VALUE"""),"Instituto de Desarrollo Urbano")</f>
        <v>Instituto de Desarrollo Urbano</v>
      </c>
      <c r="F4729" s="25" t="str">
        <f ca="1">IFERROR(__xludf.DUMMYFUNCTION("""COMPUTED_VALUE"""),"Presentar para aval fiscal del CONFIS, el proyecto completo del Corredor Verde de la Carrera 7ma (todo el trazado). Y realizar su declaratoria de importancia estrategia y aprobación de vigencias futuras extraordinarias.")</f>
        <v>Presentar para aval fiscal del CONFIS, el proyecto completo del Corredor Verde de la Carrera 7ma (todo el trazado). Y realizar su declaratoria de importancia estrategia y aprobación de vigencias futuras extraordinarias.</v>
      </c>
      <c r="G4729" s="25" t="str">
        <f ca="1">IFERROR(__xludf.DUMMYFUNCTION("""COMPUTED_VALUE"""),"99. Distrito")</f>
        <v>99. Distrito</v>
      </c>
      <c r="H4729" s="55">
        <f ca="1">IFERROR(__xludf.DUMMYFUNCTION("""COMPUTED_VALUE"""),44895)</f>
        <v>44895</v>
      </c>
      <c r="I4729" s="25"/>
      <c r="J4729" s="55" t="str">
        <f ca="1">IFERROR(__xludf.DUMMYFUNCTION("""COMPUTED_VALUE"""),"Media")</f>
        <v>Media</v>
      </c>
      <c r="K4729" s="25">
        <f ca="1">IFERROR(__xludf.DUMMYFUNCTION("""COMPUTED_VALUE"""),114)</f>
        <v>114</v>
      </c>
      <c r="L4729" s="62">
        <f ca="1">IFERROR(__xludf.DUMMYFUNCTION("""COMPUTED_VALUE"""),44894)</f>
        <v>44894</v>
      </c>
      <c r="M4729" s="25" t="str">
        <f ca="1">IFERROR(__xludf.DUMMYFUNCTION("""COMPUTED_VALUE"""),"El proyecto se presentó en el CONFIS del 29 de noviembre y quedó aprobada su importancia estratégica ese mismo día en consejo de gobierno. ")</f>
        <v xml:space="preserve">El proyecto se presentó en el CONFIS del 29 de noviembre y quedó aprobada su importancia estratégica ese mismo día en consejo de gobierno. </v>
      </c>
      <c r="N4729" s="55">
        <f ca="1">IFERROR(__xludf.DUMMYFUNCTION("""COMPUTED_VALUE"""),44894)</f>
        <v>44894</v>
      </c>
      <c r="O4729" s="25" t="str">
        <f t="shared" ca="1" si="0"/>
        <v>Instituto de Desarrollo Urbano</v>
      </c>
      <c r="P4729" s="25" t="str">
        <f t="shared" si="3"/>
        <v/>
      </c>
      <c r="Q4729" s="25" t="str">
        <f ca="1">IFERROR(__xludf.DUMMYFUNCTION("""COMPUTED_VALUE"""),"Mediano plazo")</f>
        <v>Mediano plazo</v>
      </c>
      <c r="R4729" s="25"/>
      <c r="S4729" s="55"/>
      <c r="T4729" s="56"/>
      <c r="U4729" s="25"/>
      <c r="V4729" s="25"/>
      <c r="W4729" s="25"/>
      <c r="X4729" s="25"/>
      <c r="Y4729" s="25"/>
      <c r="Z4729" s="25"/>
    </row>
    <row r="4730" spans="1:26" ht="52.5" customHeight="1" x14ac:dyDescent="0.25">
      <c r="A4730" s="25" t="str">
        <f ca="1">IFERROR(__xludf.DUMMYFUNCTION("""COMPUTED_VALUE"""),"Movil528")</f>
        <v>Movil528</v>
      </c>
      <c r="B4730" s="25" t="str">
        <f ca="1">IFERROR(__xludf.DUMMYFUNCTION("""COMPUTED_VALUE"""),"Junta de infraestructura")</f>
        <v>Junta de infraestructura</v>
      </c>
      <c r="C4730" s="55">
        <f ca="1">IFERROR(__xludf.DUMMYFUNCTION("""COMPUTED_VALUE"""),44769)</f>
        <v>44769</v>
      </c>
      <c r="D4730" s="25" t="str">
        <f ca="1">IFERROR(__xludf.DUMMYFUNCTION("""COMPUTED_VALUE"""),"Movilidad")</f>
        <v>Movilidad</v>
      </c>
      <c r="E4730" s="25" t="str">
        <f ca="1">IFERROR(__xludf.DUMMYFUNCTION("""COMPUTED_VALUE"""),"Instituto de Desarrollo Urbano")</f>
        <v>Instituto de Desarrollo Urbano</v>
      </c>
      <c r="F4730" s="25" t="str">
        <f ca="1">IFERROR(__xludf.DUMMYFUNCTION("""COMPUTED_VALUE"""),"Generar renders e imágenes para todo el proyecto del CV7")</f>
        <v>Generar renders e imágenes para todo el proyecto del CV7</v>
      </c>
      <c r="G4730" s="25" t="str">
        <f ca="1">IFERROR(__xludf.DUMMYFUNCTION("""COMPUTED_VALUE"""),"99. Distrito")</f>
        <v>99. Distrito</v>
      </c>
      <c r="H4730" s="55">
        <f ca="1">IFERROR(__xludf.DUMMYFUNCTION("""COMPUTED_VALUE"""),44799)</f>
        <v>44799</v>
      </c>
      <c r="I4730" s="25"/>
      <c r="J4730" s="55" t="str">
        <f ca="1">IFERROR(__xludf.DUMMYFUNCTION("""COMPUTED_VALUE"""),"Alta")</f>
        <v>Alta</v>
      </c>
      <c r="K4730" s="25">
        <f ca="1">IFERROR(__xludf.DUMMYFUNCTION("""COMPUTED_VALUE"""),30)</f>
        <v>30</v>
      </c>
      <c r="L4730" s="62">
        <f ca="1">IFERROR(__xludf.DUMMYFUNCTION("""COMPUTED_VALUE"""),44896)</f>
        <v>44896</v>
      </c>
      <c r="M4730" s="25" t="str">
        <f ca="1">IFERROR(__xludf.DUMMYFUNCTION("""COMPUTED_VALUE"""),"CERRADO Renders disponibles y compartidos con Alcaldía SDM y demás entidades. Cerrar compromiso")</f>
        <v>CERRADO Renders disponibles y compartidos con Alcaldía SDM y demás entidades. Cerrar compromiso</v>
      </c>
      <c r="N4730" s="55">
        <f ca="1">IFERROR(__xludf.DUMMYFUNCTION("""COMPUTED_VALUE"""),44896)</f>
        <v>44896</v>
      </c>
      <c r="O4730" s="25" t="str">
        <f t="shared" ca="1" si="0"/>
        <v>Instituto de Desarrollo Urbano</v>
      </c>
      <c r="P4730" s="25" t="str">
        <f t="shared" si="3"/>
        <v/>
      </c>
      <c r="Q4730" s="25" t="str">
        <f ca="1">IFERROR(__xludf.DUMMYFUNCTION("""COMPUTED_VALUE"""),"Corto plazo")</f>
        <v>Corto plazo</v>
      </c>
      <c r="R4730" s="25"/>
      <c r="S4730" s="55"/>
      <c r="T4730" s="56"/>
      <c r="U4730" s="25"/>
      <c r="V4730" s="25"/>
      <c r="W4730" s="25"/>
      <c r="X4730" s="25"/>
      <c r="Y4730" s="25"/>
      <c r="Z4730" s="25"/>
    </row>
    <row r="4731" spans="1:26" ht="52.5" customHeight="1" x14ac:dyDescent="0.25">
      <c r="A4731" s="25" t="str">
        <f ca="1">IFERROR(__xludf.DUMMYFUNCTION("""COMPUTED_VALUE"""),"Movil529")</f>
        <v>Movil529</v>
      </c>
      <c r="B4731" s="25" t="str">
        <f ca="1">IFERROR(__xludf.DUMMYFUNCTION("""COMPUTED_VALUE"""),"Junta de infraestructura")</f>
        <v>Junta de infraestructura</v>
      </c>
      <c r="C4731" s="55">
        <f ca="1">IFERROR(__xludf.DUMMYFUNCTION("""COMPUTED_VALUE"""),44769)</f>
        <v>44769</v>
      </c>
      <c r="D4731" s="25" t="str">
        <f ca="1">IFERROR(__xludf.DUMMYFUNCTION("""COMPUTED_VALUE"""),"Movilidad")</f>
        <v>Movilidad</v>
      </c>
      <c r="E4731" s="25" t="str">
        <f ca="1">IFERROR(__xludf.DUMMYFUNCTION("""COMPUTED_VALUE"""),"Instituto de Desarrollo Urbano")</f>
        <v>Instituto de Desarrollo Urbano</v>
      </c>
      <c r="F4731" s="25" t="str">
        <f ca="1">IFERROR(__xludf.DUMMYFUNCTION("""COMPUTED_VALUE"""),"Definir la estrategia de comunicación y socialización del CV7")</f>
        <v>Definir la estrategia de comunicación y socialización del CV7</v>
      </c>
      <c r="G4731" s="25" t="str">
        <f ca="1">IFERROR(__xludf.DUMMYFUNCTION("""COMPUTED_VALUE"""),"99. Distrito")</f>
        <v>99. Distrito</v>
      </c>
      <c r="H4731" s="55">
        <f ca="1">IFERROR(__xludf.DUMMYFUNCTION("""COMPUTED_VALUE"""),44799)</f>
        <v>44799</v>
      </c>
      <c r="I4731" s="25"/>
      <c r="J4731" s="55" t="str">
        <f ca="1">IFERROR(__xludf.DUMMYFUNCTION("""COMPUTED_VALUE"""),"Alta")</f>
        <v>Alta</v>
      </c>
      <c r="K4731" s="25">
        <f ca="1">IFERROR(__xludf.DUMMYFUNCTION("""COMPUTED_VALUE"""),30)</f>
        <v>30</v>
      </c>
      <c r="L4731" s="62">
        <f ca="1">IFERROR(__xludf.DUMMYFUNCTION("""COMPUTED_VALUE"""),44896)</f>
        <v>44896</v>
      </c>
      <c r="M4731" s="25" t="str">
        <f ca="1">IFERROR(__xludf.DUMMYFUNCTION("""COMPUTED_VALUE"""),"Estrategia definida y en implementación paralela al anuncio de los diseños y la apertura de la licitación. 
Por favor cerrar compromiso.")</f>
        <v>Estrategia definida y en implementación paralela al anuncio de los diseños y la apertura de la licitación. 
Por favor cerrar compromiso.</v>
      </c>
      <c r="N4731" s="55">
        <f ca="1">IFERROR(__xludf.DUMMYFUNCTION("""COMPUTED_VALUE"""),44896)</f>
        <v>44896</v>
      </c>
      <c r="O4731" s="25" t="str">
        <f t="shared" ca="1" si="0"/>
        <v>Instituto de Desarrollo Urbano</v>
      </c>
      <c r="P4731" s="25" t="str">
        <f t="shared" si="3"/>
        <v/>
      </c>
      <c r="Q4731" s="25" t="str">
        <f ca="1">IFERROR(__xludf.DUMMYFUNCTION("""COMPUTED_VALUE"""),"Corto plazo")</f>
        <v>Corto plazo</v>
      </c>
      <c r="R4731" s="25"/>
      <c r="S4731" s="55"/>
      <c r="T4731" s="56"/>
      <c r="U4731" s="25"/>
      <c r="V4731" s="25"/>
      <c r="W4731" s="25"/>
      <c r="X4731" s="25"/>
      <c r="Y4731" s="25"/>
      <c r="Z4731" s="25"/>
    </row>
    <row r="4732" spans="1:26" ht="52.5" customHeight="1" x14ac:dyDescent="0.25">
      <c r="A4732" s="25" t="str">
        <f ca="1">IFERROR(__xludf.DUMMYFUNCTION("""COMPUTED_VALUE"""),"Movil530")</f>
        <v>Movil530</v>
      </c>
      <c r="B4732" s="25" t="str">
        <f ca="1">IFERROR(__xludf.DUMMYFUNCTION("""COMPUTED_VALUE"""),"Junta de infraestructura")</f>
        <v>Junta de infraestructura</v>
      </c>
      <c r="C4732" s="55">
        <f ca="1">IFERROR(__xludf.DUMMYFUNCTION("""COMPUTED_VALUE"""),44769)</f>
        <v>44769</v>
      </c>
      <c r="D4732" s="25" t="str">
        <f ca="1">IFERROR(__xludf.DUMMYFUNCTION("""COMPUTED_VALUE"""),"Movilidad")</f>
        <v>Movilidad</v>
      </c>
      <c r="E4732" s="25" t="str">
        <f ca="1">IFERROR(__xludf.DUMMYFUNCTION("""COMPUTED_VALUE"""),"Instituto de Desarrollo Urbano")</f>
        <v>Instituto de Desarrollo Urbano</v>
      </c>
      <c r="F4732" s="25" t="str">
        <f ca="1">IFERROR(__xludf.DUMMYFUNCTION("""COMPUTED_VALUE"""),"Reducir el tiempo de preconstrucción del Cable San Cristóbal para iniciar la obra civil")</f>
        <v>Reducir el tiempo de preconstrucción del Cable San Cristóbal para iniciar la obra civil</v>
      </c>
      <c r="G4732" s="25" t="str">
        <f ca="1">IFERROR(__xludf.DUMMYFUNCTION("""COMPUTED_VALUE"""),"04. San Cristóbal")</f>
        <v>04. San Cristóbal</v>
      </c>
      <c r="H4732" s="55">
        <f ca="1">IFERROR(__xludf.DUMMYFUNCTION("""COMPUTED_VALUE"""),44799)</f>
        <v>44799</v>
      </c>
      <c r="I4732" s="25"/>
      <c r="J4732" s="55" t="str">
        <f ca="1">IFERROR(__xludf.DUMMYFUNCTION("""COMPUTED_VALUE"""),"Alta")</f>
        <v>Alta</v>
      </c>
      <c r="K4732" s="25">
        <f ca="1">IFERROR(__xludf.DUMMYFUNCTION("""COMPUTED_VALUE"""),30)</f>
        <v>30</v>
      </c>
      <c r="L4732" s="62">
        <f ca="1">IFERROR(__xludf.DUMMYFUNCTION("""COMPUTED_VALUE"""),44887)</f>
        <v>44887</v>
      </c>
      <c r="M4732" s="25" t="str">
        <f ca="1">IFERROR(__xludf.DUMMYFUNCTION("""COMPUTED_VALUE"""),"Se ha contemplado en el cronograma de obra, iniciar en el mes 3 de preconstrucción las obras en la Estación 20 de julio y en el mes 2 intervención superficial de andenes frente a estaciones.")</f>
        <v>Se ha contemplado en el cronograma de obra, iniciar en el mes 3 de preconstrucción las obras en la Estación 20 de julio y en el mes 2 intervención superficial de andenes frente a estaciones.</v>
      </c>
      <c r="N4732" s="55">
        <f ca="1">IFERROR(__xludf.DUMMYFUNCTION("""COMPUTED_VALUE"""),44887)</f>
        <v>44887</v>
      </c>
      <c r="O4732" s="25" t="str">
        <f t="shared" ca="1" si="0"/>
        <v>Instituto de Desarrollo Urbano</v>
      </c>
      <c r="P4732" s="25" t="str">
        <f t="shared" si="3"/>
        <v/>
      </c>
      <c r="Q4732" s="25" t="str">
        <f ca="1">IFERROR(__xludf.DUMMYFUNCTION("""COMPUTED_VALUE"""),"Corto plazo")</f>
        <v>Corto plazo</v>
      </c>
      <c r="R4732" s="25"/>
      <c r="S4732" s="55"/>
      <c r="T4732" s="56"/>
      <c r="U4732" s="25"/>
      <c r="V4732" s="25"/>
      <c r="W4732" s="25"/>
      <c r="X4732" s="25"/>
      <c r="Y4732" s="25"/>
      <c r="Z4732" s="25"/>
    </row>
    <row r="4733" spans="1:26" ht="52.5" customHeight="1" x14ac:dyDescent="0.25">
      <c r="A4733" s="25" t="str">
        <f ca="1">IFERROR(__xludf.DUMMYFUNCTION("""COMPUTED_VALUE"""),"Movil531")</f>
        <v>Movil531</v>
      </c>
      <c r="B4733" s="25" t="str">
        <f ca="1">IFERROR(__xludf.DUMMYFUNCTION("""COMPUTED_VALUE"""),"Junta de infraestructura")</f>
        <v>Junta de infraestructura</v>
      </c>
      <c r="C4733" s="55">
        <f ca="1">IFERROR(__xludf.DUMMYFUNCTION("""COMPUTED_VALUE"""),44769)</f>
        <v>44769</v>
      </c>
      <c r="D4733" s="25" t="str">
        <f ca="1">IFERROR(__xludf.DUMMYFUNCTION("""COMPUTED_VALUE"""),"Movilidad")</f>
        <v>Movilidad</v>
      </c>
      <c r="E4733" s="25" t="str">
        <f ca="1">IFERROR(__xludf.DUMMYFUNCTION("""COMPUTED_VALUE"""),"Instituto de Desarrollo Urbano")</f>
        <v>Instituto de Desarrollo Urbano</v>
      </c>
      <c r="F4733" s="25" t="str">
        <f ca="1">IFERROR(__xludf.DUMMYFUNCTION("""COMPUTED_VALUE"""),"Incluir la obra del Cable Reencuentro Monserrate en el presupuesto 2023")</f>
        <v>Incluir la obra del Cable Reencuentro Monserrate en el presupuesto 2023</v>
      </c>
      <c r="G4733" s="25" t="str">
        <f ca="1">IFERROR(__xludf.DUMMYFUNCTION("""COMPUTED_VALUE"""),"99. Distrito")</f>
        <v>99. Distrito</v>
      </c>
      <c r="H4733" s="55">
        <f ca="1">IFERROR(__xludf.DUMMYFUNCTION("""COMPUTED_VALUE"""),44799)</f>
        <v>44799</v>
      </c>
      <c r="I4733" s="25"/>
      <c r="J4733" s="55" t="str">
        <f ca="1">IFERROR(__xludf.DUMMYFUNCTION("""COMPUTED_VALUE"""),"Alta")</f>
        <v>Alta</v>
      </c>
      <c r="K4733" s="25">
        <f ca="1">IFERROR(__xludf.DUMMYFUNCTION("""COMPUTED_VALUE"""),30)</f>
        <v>30</v>
      </c>
      <c r="L4733" s="62">
        <f ca="1">IFERROR(__xludf.DUMMYFUNCTION("""COMPUTED_VALUE"""),44887)</f>
        <v>44887</v>
      </c>
      <c r="M4733" s="25" t="str">
        <f ca="1">IFERROR(__xludf.DUMMYFUNCTION("""COMPUTED_VALUE"""),"El 21/11/2022 se publicaron los pliegos definitivos para contratar la consultoría de los estudios de factibilidad del Cable Monserrate. Así mismo se está a la espera de la cotización de Metro Medellín para realizar la interventoría.")</f>
        <v>El 21/11/2022 se publicaron los pliegos definitivos para contratar la consultoría de los estudios de factibilidad del Cable Monserrate. Así mismo se está a la espera de la cotización de Metro Medellín para realizar la interventoría.</v>
      </c>
      <c r="N4733" s="55">
        <f ca="1">IFERROR(__xludf.DUMMYFUNCTION("""COMPUTED_VALUE"""),44887)</f>
        <v>44887</v>
      </c>
      <c r="O4733" s="25" t="str">
        <f t="shared" ca="1" si="0"/>
        <v>Instituto de Desarrollo Urbano</v>
      </c>
      <c r="P4733" s="25" t="str">
        <f t="shared" si="3"/>
        <v/>
      </c>
      <c r="Q4733" s="25" t="str">
        <f ca="1">IFERROR(__xludf.DUMMYFUNCTION("""COMPUTED_VALUE"""),"Corto plazo")</f>
        <v>Corto plazo</v>
      </c>
      <c r="R4733" s="25"/>
      <c r="S4733" s="55"/>
      <c r="T4733" s="56"/>
      <c r="U4733" s="25"/>
      <c r="V4733" s="25"/>
      <c r="W4733" s="25"/>
      <c r="X4733" s="25"/>
      <c r="Y4733" s="25"/>
      <c r="Z4733" s="25"/>
    </row>
    <row r="4734" spans="1:26" ht="52.5" customHeight="1" x14ac:dyDescent="0.25">
      <c r="A4734" s="25" t="str">
        <f ca="1">IFERROR(__xludf.DUMMYFUNCTION("""COMPUTED_VALUE"""),"Movil532")</f>
        <v>Movil532</v>
      </c>
      <c r="B4734" s="25" t="str">
        <f ca="1">IFERROR(__xludf.DUMMYFUNCTION("""COMPUTED_VALUE"""),"Junta de infraestructura")</f>
        <v>Junta de infraestructura</v>
      </c>
      <c r="C4734" s="55">
        <f ca="1">IFERROR(__xludf.DUMMYFUNCTION("""COMPUTED_VALUE"""),44769)</f>
        <v>44769</v>
      </c>
      <c r="D4734" s="25" t="str">
        <f ca="1">IFERROR(__xludf.DUMMYFUNCTION("""COMPUTED_VALUE"""),"Movilidad")</f>
        <v>Movilidad</v>
      </c>
      <c r="E4734" s="25" t="str">
        <f ca="1">IFERROR(__xludf.DUMMYFUNCTION("""COMPUTED_VALUE"""),"Instituto de Desarrollo Urbano")</f>
        <v>Instituto de Desarrollo Urbano</v>
      </c>
      <c r="F4734" s="25" t="str">
        <f ca="1">IFERROR(__xludf.DUMMYFUNCTION("""COMPUTED_VALUE"""),"Cable Reencuentro Monserrate: 
Se debe contratar la factibilidad incluyendo como producto la estructuración de la licitación de los estudios, diseños y construcción. ")</f>
        <v xml:space="preserve">Cable Reencuentro Monserrate: 
Se debe contratar la factibilidad incluyendo como producto la estructuración de la licitación de los estudios, diseños y construcción. </v>
      </c>
      <c r="G4734" s="25" t="str">
        <f ca="1">IFERROR(__xludf.DUMMYFUNCTION("""COMPUTED_VALUE"""),"99. Distrito")</f>
        <v>99. Distrito</v>
      </c>
      <c r="H4734" s="55">
        <f ca="1">IFERROR(__xludf.DUMMYFUNCTION("""COMPUTED_VALUE"""),44926)</f>
        <v>44926</v>
      </c>
      <c r="I4734" s="25"/>
      <c r="J4734" s="55" t="str">
        <f ca="1">IFERROR(__xludf.DUMMYFUNCTION("""COMPUTED_VALUE"""),"Media")</f>
        <v>Media</v>
      </c>
      <c r="K4734" s="25">
        <f ca="1">IFERROR(__xludf.DUMMYFUNCTION("""COMPUTED_VALUE"""),157)</f>
        <v>157</v>
      </c>
      <c r="L4734" s="62">
        <f ca="1">IFERROR(__xludf.DUMMYFUNCTION("""COMPUTED_VALUE"""),44952)</f>
        <v>44952</v>
      </c>
      <c r="M4734" s="25" t="str">
        <f ca="1">IFERROR(__xludf.DUMMYFUNCTION("""COMPUTED_VALUE"""),"El 29 de diciembre de 2022 se suscribió el contrato de consultoría IDU 1735-2022 para realizar los estudios de factibilidad del Cable Reencuentro Monserrate y el correspondiente de interventoría  IDU 1727-2022. A la fecha tanto consultor como interventor "&amp;"ya radicaron las garantias para el perfeccionamiento y ejecución del contratro las que se encuentran en subsane por observaciones del IDU y una vez aprobadas y cumplidos los reqisistos previos establecidos, proceder con la firma del acta de inicio del con"&amp;"trato.")</f>
        <v>El 29 de diciembre de 2022 se suscribió el contrato de consultoría IDU 1735-2022 para realizar los estudios de factibilidad del Cable Reencuentro Monserrate y el correspondiente de interventoría  IDU 1727-2022. A la fecha tanto consultor como interventor ya radicaron las garantias para el perfeccionamiento y ejecución del contratro las que se encuentran en subsane por observaciones del IDU y una vez aprobadas y cumplidos los reqisistos previos establecidos, proceder con la firma del acta de inicio del contrato.</v>
      </c>
      <c r="N4734" s="55">
        <f ca="1">IFERROR(__xludf.DUMMYFUNCTION("""COMPUTED_VALUE"""),44952)</f>
        <v>44952</v>
      </c>
      <c r="O4734" s="25" t="str">
        <f t="shared" ca="1" si="0"/>
        <v>Instituto de Desarrollo Urbano</v>
      </c>
      <c r="P4734" s="25" t="str">
        <f t="shared" si="3"/>
        <v/>
      </c>
      <c r="Q4734" s="25" t="str">
        <f ca="1">IFERROR(__xludf.DUMMYFUNCTION("""COMPUTED_VALUE"""),"Mediano plazo")</f>
        <v>Mediano plazo</v>
      </c>
      <c r="R4734" s="25"/>
      <c r="S4734" s="55"/>
      <c r="T4734" s="56"/>
      <c r="U4734" s="25"/>
      <c r="V4734" s="25"/>
      <c r="W4734" s="25"/>
      <c r="X4734" s="25"/>
      <c r="Y4734" s="25"/>
      <c r="Z4734" s="25"/>
    </row>
    <row r="4735" spans="1:26" ht="52.5" customHeight="1" x14ac:dyDescent="0.25">
      <c r="A4735" s="25" t="str">
        <f ca="1">IFERROR(__xludf.DUMMYFUNCTION("""COMPUTED_VALUE"""),"Movil533")</f>
        <v>Movil533</v>
      </c>
      <c r="B4735" s="25" t="str">
        <f ca="1">IFERROR(__xludf.DUMMYFUNCTION("""COMPUTED_VALUE"""),"Regiotram Norte ")</f>
        <v xml:space="preserve">Regiotram Norte </v>
      </c>
      <c r="C4735" s="55">
        <f ca="1">IFERROR(__xludf.DUMMYFUNCTION("""COMPUTED_VALUE"""),44789)</f>
        <v>44789</v>
      </c>
      <c r="D4735" s="25" t="str">
        <f ca="1">IFERROR(__xludf.DUMMYFUNCTION("""COMPUTED_VALUE"""),"Movilidad")</f>
        <v>Movilidad</v>
      </c>
      <c r="E4735" s="25" t="str">
        <f ca="1">IFERROR(__xludf.DUMMYFUNCTION("""COMPUTED_VALUE"""),"Empresa Metro de Bogotá S.A.")</f>
        <v>Empresa Metro de Bogotá S.A.</v>
      </c>
      <c r="F4735" s="25" t="str">
        <f ca="1">IFERROR(__xludf.DUMMYFUNCTION("""COMPUTED_VALUE"""),"Cuantificar la demanda total de viajes desde los municipios hacía a Bogotá y determinar los viajes que captará el Regiotram del Norte")</f>
        <v>Cuantificar la demanda total de viajes desde los municipios hacía a Bogotá y determinar los viajes que captará el Regiotram del Norte</v>
      </c>
      <c r="G4735" s="25" t="str">
        <f ca="1">IFERROR(__xludf.DUMMYFUNCTION("""COMPUTED_VALUE"""),"99. Distrito")</f>
        <v>99. Distrito</v>
      </c>
      <c r="H4735" s="55">
        <f ca="1">IFERROR(__xludf.DUMMYFUNCTION("""COMPUTED_VALUE"""),45092)</f>
        <v>45092</v>
      </c>
      <c r="I4735" s="25" t="str">
        <f ca="1">IFERROR(__xludf.DUMMYFUNCTION("""COMPUTED_VALUE"""),"Junta de Infraestructura")</f>
        <v>Junta de Infraestructura</v>
      </c>
      <c r="J4735" s="55" t="str">
        <f ca="1">IFERROR(__xludf.DUMMYFUNCTION("""COMPUTED_VALUE"""),"Baja")</f>
        <v>Baja</v>
      </c>
      <c r="K4735" s="25">
        <f ca="1">IFERROR(__xludf.DUMMYFUNCTION("""COMPUTED_VALUE"""),303)</f>
        <v>303</v>
      </c>
      <c r="L4735" s="62">
        <f ca="1">IFERROR(__xludf.DUMMYFUNCTION("""COMPUTED_VALUE"""),45079)</f>
        <v>45079</v>
      </c>
      <c r="M4735" s="25" t="str">
        <f ca="1">IFERROR(__xludf.DUMMYFUNCTION("""COMPUTED_VALUE"""),"Según el reporte de la interventoría en el comité técnico del 26 de mayo, la interventoría se encuentra revisando los resultados de los escenarios futuros; el 05 o 06 de junio se realizará reunión interna con los miembros del CT para presentar los resulta"&amp;"dos de demanda del proyecto. El componente de demanda y movilidad tiene el 82% de avance frente a un 85% programado, está pendiente recibir el modelo calibrado para el año base y las estimaciones de demanda para los escenarios futuros.")</f>
        <v>Según el reporte de la interventoría en el comité técnico del 26 de mayo, la interventoría se encuentra revisando los resultados de los escenarios futuros; el 05 o 06 de junio se realizará reunión interna con los miembros del CT para presentar los resultados de demanda del proyecto. El componente de demanda y movilidad tiene el 82% de avance frente a un 85% programado, está pendiente recibir el modelo calibrado para el año base y las estimaciones de demanda para los escenarios futuros.</v>
      </c>
      <c r="N4735" s="25"/>
      <c r="O4735" s="25" t="str">
        <f t="shared" ca="1" si="0"/>
        <v>Empresa Metro de Bogotá S.A.</v>
      </c>
      <c r="P4735" s="25" t="str">
        <f t="shared" ca="1" si="3"/>
        <v/>
      </c>
      <c r="Q4735" s="25" t="str">
        <f ca="1">IFERROR(__xludf.DUMMYFUNCTION("""COMPUTED_VALUE"""),"Largo plazo")</f>
        <v>Largo plazo</v>
      </c>
      <c r="R4735" s="25"/>
      <c r="S4735" s="55"/>
      <c r="T4735" s="56"/>
      <c r="U4735" s="25"/>
      <c r="V4735" s="25"/>
      <c r="W4735" s="25"/>
      <c r="X4735" s="25"/>
      <c r="Y4735" s="25"/>
      <c r="Z4735" s="25"/>
    </row>
    <row r="4736" spans="1:26" ht="52.5" customHeight="1" x14ac:dyDescent="0.25">
      <c r="A4736" s="25" t="str">
        <f ca="1">IFERROR(__xludf.DUMMYFUNCTION("""COMPUTED_VALUE"""),"Movil534")</f>
        <v>Movil534</v>
      </c>
      <c r="B4736" s="25" t="str">
        <f ca="1">IFERROR(__xludf.DUMMYFUNCTION("""COMPUTED_VALUE"""),"Regiotram Norte ")</f>
        <v xml:space="preserve">Regiotram Norte </v>
      </c>
      <c r="C4736" s="55">
        <f ca="1">IFERROR(__xludf.DUMMYFUNCTION("""COMPUTED_VALUE"""),44789)</f>
        <v>44789</v>
      </c>
      <c r="D4736" s="25" t="str">
        <f ca="1">IFERROR(__xludf.DUMMYFUNCTION("""COMPUTED_VALUE"""),"Movilidad")</f>
        <v>Movilidad</v>
      </c>
      <c r="E4736" s="25" t="str">
        <f ca="1">IFERROR(__xludf.DUMMYFUNCTION("""COMPUTED_VALUE"""),"Empresa Metro de Bogotá S.A.")</f>
        <v>Empresa Metro de Bogotá S.A.</v>
      </c>
      <c r="F4736" s="25" t="str">
        <f ca="1">IFERROR(__xludf.DUMMYFUNCTION("""COMPUTED_VALUE"""),"Armonizar el modelo de transporte del proyecto con el modelo de transporte utilizado para la Segunda Línea del Metro de Bogotá y Calle 13")</f>
        <v>Armonizar el modelo de transporte del proyecto con el modelo de transporte utilizado para la Segunda Línea del Metro de Bogotá y Calle 13</v>
      </c>
      <c r="G4736" s="25" t="str">
        <f ca="1">IFERROR(__xludf.DUMMYFUNCTION("""COMPUTED_VALUE"""),"99. Distrito")</f>
        <v>99. Distrito</v>
      </c>
      <c r="H4736" s="55">
        <f ca="1">IFERROR(__xludf.DUMMYFUNCTION("""COMPUTED_VALUE"""),44819)</f>
        <v>44819</v>
      </c>
      <c r="I4736" s="25"/>
      <c r="J4736" s="55" t="str">
        <f ca="1">IFERROR(__xludf.DUMMYFUNCTION("""COMPUTED_VALUE"""),"Alta")</f>
        <v>Alta</v>
      </c>
      <c r="K4736" s="25">
        <f ca="1">IFERROR(__xludf.DUMMYFUNCTION("""COMPUTED_VALUE"""),30)</f>
        <v>30</v>
      </c>
      <c r="L4736" s="62">
        <f ca="1">IFERROR(__xludf.DUMMYFUNCTION("""COMPUTED_VALUE"""),44882)</f>
        <v>44882</v>
      </c>
      <c r="M4736" s="25" t="str">
        <f ca="1">IFERROR(__xludf.DUMMYFUNCTION("""COMPUTED_VALUE"""),"CERRADO.El 16 de noviembre la EMB participó en la reunión presencial con la SDM, Findeter, IDU, EFR, y el nuevo consultor de demanda, en la cual se presentó al distrito un nuevo cronograma y alcance que incluye revisión y toma de información, calibración "&amp;"del escenario base y proyecciones de demanda")</f>
        <v>CERRADO.El 16 de noviembre la EMB participó en la reunión presencial con la SDM, Findeter, IDU, EFR, y el nuevo consultor de demanda, en la cual se presentó al distrito un nuevo cronograma y alcance que incluye revisión y toma de información, calibración del escenario base y proyecciones de demanda</v>
      </c>
      <c r="N4736" s="55">
        <f ca="1">IFERROR(__xludf.DUMMYFUNCTION("""COMPUTED_VALUE"""),44882)</f>
        <v>44882</v>
      </c>
      <c r="O4736" s="25" t="str">
        <f t="shared" ca="1" si="0"/>
        <v>Empresa Metro de Bogotá S.A.</v>
      </c>
      <c r="P4736" s="25" t="str">
        <f t="shared" si="3"/>
        <v/>
      </c>
      <c r="Q4736" s="25" t="str">
        <f ca="1">IFERROR(__xludf.DUMMYFUNCTION("""COMPUTED_VALUE"""),"Corto plazo")</f>
        <v>Corto plazo</v>
      </c>
      <c r="R4736" s="25"/>
      <c r="S4736" s="55"/>
      <c r="T4736" s="56"/>
      <c r="U4736" s="25"/>
      <c r="V4736" s="25"/>
      <c r="W4736" s="25"/>
      <c r="X4736" s="25"/>
      <c r="Y4736" s="25"/>
      <c r="Z4736" s="25"/>
    </row>
    <row r="4737" spans="1:26" ht="52.5" customHeight="1" x14ac:dyDescent="0.25">
      <c r="A4737" s="25" t="str">
        <f ca="1">IFERROR(__xludf.DUMMYFUNCTION("""COMPUTED_VALUE"""),"Movil535")</f>
        <v>Movil535</v>
      </c>
      <c r="B4737" s="25" t="str">
        <f ca="1">IFERROR(__xludf.DUMMYFUNCTION("""COMPUTED_VALUE"""),"Regiotram Norte ")</f>
        <v xml:space="preserve">Regiotram Norte </v>
      </c>
      <c r="C4737" s="55">
        <f ca="1">IFERROR(__xludf.DUMMYFUNCTION("""COMPUTED_VALUE"""),44789)</f>
        <v>44789</v>
      </c>
      <c r="D4737" s="25" t="str">
        <f ca="1">IFERROR(__xludf.DUMMYFUNCTION("""COMPUTED_VALUE"""),"Movilidad")</f>
        <v>Movilidad</v>
      </c>
      <c r="E4737" s="25" t="str">
        <f ca="1">IFERROR(__xludf.DUMMYFUNCTION("""COMPUTED_VALUE"""),"Instituto de Desarrollo Urbano")</f>
        <v>Instituto de Desarrollo Urbano</v>
      </c>
      <c r="F4737" s="25" t="str">
        <f ca="1">IFERROR(__xludf.DUMMYFUNCTION("""COMPUTED_VALUE"""),"Definir la tipología de construcción de las seis intersecciones (entre la Calle 134 y la 186) del proyecto y costearlas.")</f>
        <v>Definir la tipología de construcción de las seis intersecciones (entre la Calle 134 y la 186) del proyecto y costearlas.</v>
      </c>
      <c r="G4737" s="25" t="str">
        <f ca="1">IFERROR(__xludf.DUMMYFUNCTION("""COMPUTED_VALUE"""),"99. Distrito")</f>
        <v>99. Distrito</v>
      </c>
      <c r="H4737" s="55">
        <f ca="1">IFERROR(__xludf.DUMMYFUNCTION("""COMPUTED_VALUE"""),45122)</f>
        <v>45122</v>
      </c>
      <c r="I4737" s="25"/>
      <c r="J4737" s="55" t="str">
        <f ca="1">IFERROR(__xludf.DUMMYFUNCTION("""COMPUTED_VALUE"""),"Baja")</f>
        <v>Baja</v>
      </c>
      <c r="K4737" s="25">
        <f ca="1">IFERROR(__xludf.DUMMYFUNCTION("""COMPUTED_VALUE"""),333)</f>
        <v>333</v>
      </c>
      <c r="L4737" s="62">
        <f ca="1">IFERROR(__xludf.DUMMYFUNCTION("""COMPUTED_VALUE"""),44978)</f>
        <v>44978</v>
      </c>
      <c r="M4737" s="25" t="str">
        <f ca="1">IFERROR(__xludf.DUMMYFUNCTION("""COMPUTED_VALUE"""),"Se suscribió otrosí por parte de Findeter para ajuste del alcance incluyendo la alternativa escogida y así continuar con el estudio de factibilidad de dicha alternativa.  El IDU entregó información de proyectos viales y/o Espacio público en zonas adyacent"&amp;"es al proyecto")</f>
        <v>Se suscribió otrosí por parte de Findeter para ajuste del alcance incluyendo la alternativa escogida y así continuar con el estudio de factibilidad de dicha alternativa.  El IDU entregó información de proyectos viales y/o Espacio público en zonas adyacentes al proyecto</v>
      </c>
      <c r="N4737" s="55">
        <f ca="1">IFERROR(__xludf.DUMMYFUNCTION("""COMPUTED_VALUE"""),44978)</f>
        <v>44978</v>
      </c>
      <c r="O4737" s="25" t="str">
        <f t="shared" ca="1" si="0"/>
        <v>Instituto de Desarrollo Urbano</v>
      </c>
      <c r="P4737" s="25" t="str">
        <f t="shared" si="3"/>
        <v/>
      </c>
      <c r="Q4737" s="25" t="str">
        <f ca="1">IFERROR(__xludf.DUMMYFUNCTION("""COMPUTED_VALUE"""),"Largo plazo")</f>
        <v>Largo plazo</v>
      </c>
      <c r="R4737" s="25"/>
      <c r="S4737" s="55"/>
      <c r="T4737" s="56"/>
      <c r="U4737" s="25"/>
      <c r="V4737" s="25"/>
      <c r="W4737" s="25"/>
      <c r="X4737" s="25"/>
      <c r="Y4737" s="25"/>
      <c r="Z4737" s="25"/>
    </row>
    <row r="4738" spans="1:26" ht="52.5" customHeight="1" x14ac:dyDescent="0.25">
      <c r="A4738" s="25" t="str">
        <f ca="1">IFERROR(__xludf.DUMMYFUNCTION("""COMPUTED_VALUE"""),"Movil536")</f>
        <v>Movil536</v>
      </c>
      <c r="B4738" s="25" t="str">
        <f ca="1">IFERROR(__xludf.DUMMYFUNCTION("""COMPUTED_VALUE"""),"Regiotram Norte ")</f>
        <v xml:space="preserve">Regiotram Norte </v>
      </c>
      <c r="C4738" s="55">
        <f ca="1">IFERROR(__xludf.DUMMYFUNCTION("""COMPUTED_VALUE"""),44789)</f>
        <v>44789</v>
      </c>
      <c r="D4738" s="25" t="str">
        <f ca="1">IFERROR(__xludf.DUMMYFUNCTION("""COMPUTED_VALUE"""),"Movilidad")</f>
        <v>Movilidad</v>
      </c>
      <c r="E4738" s="25" t="str">
        <f ca="1">IFERROR(__xludf.DUMMYFUNCTION("""COMPUTED_VALUE"""),"Empresa Metro de Bogotá S.A.")</f>
        <v>Empresa Metro de Bogotá S.A.</v>
      </c>
      <c r="F4738" s="25" t="str">
        <f ca="1">IFERROR(__xludf.DUMMYFUNCTION("""COMPUTED_VALUE"""),"Aplicar la matriz multicriterio utilizada para evaluar alternativas y justificar la alternativa seleccionada de la Segunda Línea del Metro de Bogotá")</f>
        <v>Aplicar la matriz multicriterio utilizada para evaluar alternativas y justificar la alternativa seleccionada de la Segunda Línea del Metro de Bogotá</v>
      </c>
      <c r="G4738" s="25" t="str">
        <f ca="1">IFERROR(__xludf.DUMMYFUNCTION("""COMPUTED_VALUE"""),"99. Distrito")</f>
        <v>99. Distrito</v>
      </c>
      <c r="H4738" s="55">
        <f ca="1">IFERROR(__xludf.DUMMYFUNCTION("""COMPUTED_VALUE"""),44819)</f>
        <v>44819</v>
      </c>
      <c r="I4738" s="25"/>
      <c r="J4738" s="55" t="str">
        <f ca="1">IFERROR(__xludf.DUMMYFUNCTION("""COMPUTED_VALUE"""),"Alta")</f>
        <v>Alta</v>
      </c>
      <c r="K4738" s="25">
        <f ca="1">IFERROR(__xludf.DUMMYFUNCTION("""COMPUTED_VALUE"""),30)</f>
        <v>30</v>
      </c>
      <c r="L4738" s="62">
        <f ca="1">IFERROR(__xludf.DUMMYFUNCTION("""COMPUTED_VALUE"""),44882)</f>
        <v>44882</v>
      </c>
      <c r="M4738" s="25" t="str">
        <f ca="1">IFERROR(__xludf.DUMMYFUNCTION("""COMPUTED_VALUE"""),"El 04 de noviembre de 2022 se aprobó por parte de interventoría el Análisis Multicriterio que permitió definir la alternativa del proyecto.")</f>
        <v>El 04 de noviembre de 2022 se aprobó por parte de interventoría el Análisis Multicriterio que permitió definir la alternativa del proyecto.</v>
      </c>
      <c r="N4738" s="55">
        <f ca="1">IFERROR(__xludf.DUMMYFUNCTION("""COMPUTED_VALUE"""),44882)</f>
        <v>44882</v>
      </c>
      <c r="O4738" s="25" t="str">
        <f t="shared" ca="1" si="0"/>
        <v>Empresa Metro de Bogotá S.A.</v>
      </c>
      <c r="P4738" s="25" t="str">
        <f t="shared" si="3"/>
        <v/>
      </c>
      <c r="Q4738" s="25" t="str">
        <f ca="1">IFERROR(__xludf.DUMMYFUNCTION("""COMPUTED_VALUE"""),"Corto plazo")</f>
        <v>Corto plazo</v>
      </c>
      <c r="R4738" s="25"/>
      <c r="S4738" s="55"/>
      <c r="T4738" s="56"/>
      <c r="U4738" s="25"/>
      <c r="V4738" s="25"/>
      <c r="W4738" s="25"/>
      <c r="X4738" s="25"/>
      <c r="Y4738" s="25"/>
      <c r="Z4738" s="25"/>
    </row>
    <row r="4739" spans="1:26" ht="52.5" customHeight="1" x14ac:dyDescent="0.25">
      <c r="A4739" s="25" t="str">
        <f ca="1">IFERROR(__xludf.DUMMYFUNCTION("""COMPUTED_VALUE"""),"Movil537")</f>
        <v>Movil537</v>
      </c>
      <c r="B4739" s="25" t="str">
        <f ca="1">IFERROR(__xludf.DUMMYFUNCTION("""COMPUTED_VALUE"""),"Reunión Jose Daniel Alianza In")</f>
        <v>Reunión Jose Daniel Alianza In</v>
      </c>
      <c r="C4739" s="55">
        <f ca="1">IFERROR(__xludf.DUMMYFUNCTION("""COMPUTED_VALUE"""),44791)</f>
        <v>44791</v>
      </c>
      <c r="D4739" s="25" t="str">
        <f ca="1">IFERROR(__xludf.DUMMYFUNCTION("""COMPUTED_VALUE"""),"Movilidad")</f>
        <v>Movilidad</v>
      </c>
      <c r="E4739" s="25" t="str">
        <f ca="1">IFERROR(__xludf.DUMMYFUNCTION("""COMPUTED_VALUE"""),"Secretaría Distrital de Movilidad")</f>
        <v>Secretaría Distrital de Movilidad</v>
      </c>
      <c r="F4739" s="25" t="str">
        <f ca="1">IFERROR(__xludf.DUMMYFUNCTION("""COMPUTED_VALUE"""),"Realizar mesa de trabajo para la regularización de las plataformas de transporte.")</f>
        <v>Realizar mesa de trabajo para la regularización de las plataformas de transporte.</v>
      </c>
      <c r="G4739" s="25" t="str">
        <f ca="1">IFERROR(__xludf.DUMMYFUNCTION("""COMPUTED_VALUE"""),"99. Distrito")</f>
        <v>99. Distrito</v>
      </c>
      <c r="H4739" s="55">
        <f ca="1">IFERROR(__xludf.DUMMYFUNCTION("""COMPUTED_VALUE"""),44910)</f>
        <v>44910</v>
      </c>
      <c r="I4739" s="25"/>
      <c r="J4739" s="55" t="str">
        <f ca="1">IFERROR(__xludf.DUMMYFUNCTION("""COMPUTED_VALUE"""),"Media")</f>
        <v>Media</v>
      </c>
      <c r="K4739" s="25">
        <f ca="1">IFERROR(__xludf.DUMMYFUNCTION("""COMPUTED_VALUE"""),119)</f>
        <v>119</v>
      </c>
      <c r="L4739" s="62">
        <f ca="1">IFERROR(__xludf.DUMMYFUNCTION("""COMPUTED_VALUE"""),44953)</f>
        <v>44953</v>
      </c>
      <c r="M4739" s="25" t="str">
        <f ca="1">IFERROR(__xludf.DUMMYFUNCTION("""COMPUTED_VALUE"""),"Se ha revisado la viabilidad jurídica para la realización de esta acción, determinando que es una función y competencia que pertenece únicamente al gobierno nacional realizar la reglamentación mediante congreso o con reglamentación de Min transporte y Min"&amp;"tic. Se realizan acercamientos con Ministerio de transporte para avanzar en el tema y tener directriz al respecto, pero hasta el momento el ministerio no ha entregado pronunciamientos ni se ha visto dispuesto a abordar el tema. 
Se han realizado 2 reunion"&amp;"es con los gremios; una en octubre y otra en noviembre, los gremios también están haciendo acercamientos con el nivel nacional y se reunieron 1 vez con el gobierno pero no hay pronunciamiento oficial de este frente al tema. 
En mesas con el ministerio de "&amp;"trasnporte se trabaja en un nuevo marco regulatorio y soncionatorio de transporte, no dan opciones para la regularización de las plataformas ")</f>
        <v xml:space="preserve">Se ha revisado la viabilidad jurídica para la realización de esta acción, determinando que es una función y competencia que pertenece únicamente al gobierno nacional realizar la reglamentación mediante congreso o con reglamentación de Min transporte y Mintic. Se realizan acercamientos con Ministerio de transporte para avanzar en el tema y tener directriz al respecto, pero hasta el momento el ministerio no ha entregado pronunciamientos ni se ha visto dispuesto a abordar el tema. 
Se han realizado 2 reuniones con los gremios; una en octubre y otra en noviembre, los gremios también están haciendo acercamientos con el nivel nacional y se reunieron 1 vez con el gobierno pero no hay pronunciamiento oficial de este frente al tema. 
En mesas con el ministerio de trasnporte se trabaja en un nuevo marco regulatorio y soncionatorio de transporte, no dan opciones para la regularización de las plataformas </v>
      </c>
      <c r="N4739" s="55">
        <f ca="1">IFERROR(__xludf.DUMMYFUNCTION("""COMPUTED_VALUE"""),44953)</f>
        <v>44953</v>
      </c>
      <c r="O4739" s="25" t="str">
        <f t="shared" ca="1" si="0"/>
        <v>Secretaría Distrital de Movilidad</v>
      </c>
      <c r="P4739" s="25" t="str">
        <f t="shared" si="3"/>
        <v/>
      </c>
      <c r="Q4739" s="25" t="str">
        <f ca="1">IFERROR(__xludf.DUMMYFUNCTION("""COMPUTED_VALUE"""),"Mediano plazo")</f>
        <v>Mediano plazo</v>
      </c>
      <c r="R4739" s="25"/>
      <c r="S4739" s="55"/>
      <c r="T4739" s="56"/>
      <c r="U4739" s="25"/>
      <c r="V4739" s="25"/>
      <c r="W4739" s="25"/>
      <c r="X4739" s="25"/>
      <c r="Y4739" s="25"/>
      <c r="Z4739" s="25"/>
    </row>
    <row r="4740" spans="1:26" ht="52.5" customHeight="1" x14ac:dyDescent="0.25">
      <c r="A4740" s="25" t="str">
        <f ca="1">IFERROR(__xludf.DUMMYFUNCTION("""COMPUTED_VALUE"""),"Movil538")</f>
        <v>Movil538</v>
      </c>
      <c r="B4740" s="25" t="str">
        <f ca="1">IFERROR(__xludf.DUMMYFUNCTION("""COMPUTED_VALUE"""),"Reunión Jose Daniel Alianza In")</f>
        <v>Reunión Jose Daniel Alianza In</v>
      </c>
      <c r="C4740" s="55">
        <f ca="1">IFERROR(__xludf.DUMMYFUNCTION("""COMPUTED_VALUE"""),44791)</f>
        <v>44791</v>
      </c>
      <c r="D4740" s="25" t="str">
        <f ca="1">IFERROR(__xludf.DUMMYFUNCTION("""COMPUTED_VALUE"""),"Movilidad")</f>
        <v>Movilidad</v>
      </c>
      <c r="E4740" s="25" t="str">
        <f ca="1">IFERROR(__xludf.DUMMYFUNCTION("""COMPUTED_VALUE"""),"Secretaría Distrital de Movilidad")</f>
        <v>Secretaría Distrital de Movilidad</v>
      </c>
      <c r="F4740" s="25" t="str">
        <f ca="1">IFERROR(__xludf.DUMMYFUNCTION("""COMPUTED_VALUE"""),"Realizar mesa de Trabajo para identificar los puntos críticos de domiciliarios.")</f>
        <v>Realizar mesa de Trabajo para identificar los puntos críticos de domiciliarios.</v>
      </c>
      <c r="G4740" s="25" t="str">
        <f ca="1">IFERROR(__xludf.DUMMYFUNCTION("""COMPUTED_VALUE"""),"99. Distrito")</f>
        <v>99. Distrito</v>
      </c>
      <c r="H4740" s="55">
        <f ca="1">IFERROR(__xludf.DUMMYFUNCTION("""COMPUTED_VALUE"""),44821)</f>
        <v>44821</v>
      </c>
      <c r="I4740" s="25"/>
      <c r="J4740" s="55" t="str">
        <f ca="1">IFERROR(__xludf.DUMMYFUNCTION("""COMPUTED_VALUE"""),"Alta")</f>
        <v>Alta</v>
      </c>
      <c r="K4740" s="25">
        <f ca="1">IFERROR(__xludf.DUMMYFUNCTION("""COMPUTED_VALUE"""),30)</f>
        <v>30</v>
      </c>
      <c r="L4740" s="62">
        <f ca="1">IFERROR(__xludf.DUMMYFUNCTION("""COMPUTED_VALUE"""),44893)</f>
        <v>44893</v>
      </c>
      <c r="M4740" s="25" t="str">
        <f ca="1">IFERROR(__xludf.DUMMYFUNCTION("""COMPUTED_VALUE"""),"Se cuenta con una caracterización en la secretaría de movilidad, frente a puntos de concentración y siniestralidad. Se realiza en conjunto con plataformas de domiciliarios campañas y acciones de sensibilización y control frente a seguridad vial, uso de ci"&amp;"clomotores y exceso de velocidad. ")</f>
        <v xml:space="preserve">Se cuenta con una caracterización en la secretaría de movilidad, frente a puntos de concentración y siniestralidad. Se realiza en conjunto con plataformas de domiciliarios campañas y acciones de sensibilización y control frente a seguridad vial, uso de ciclomotores y exceso de velocidad. </v>
      </c>
      <c r="N4740" s="55">
        <f ca="1">IFERROR(__xludf.DUMMYFUNCTION("""COMPUTED_VALUE"""),44893)</f>
        <v>44893</v>
      </c>
      <c r="O4740" s="25" t="str">
        <f t="shared" ca="1" si="0"/>
        <v>Secretaría Distrital de Movilidad</v>
      </c>
      <c r="P4740" s="25" t="str">
        <f t="shared" si="3"/>
        <v/>
      </c>
      <c r="Q4740" s="25" t="str">
        <f ca="1">IFERROR(__xludf.DUMMYFUNCTION("""COMPUTED_VALUE"""),"Corto plazo")</f>
        <v>Corto plazo</v>
      </c>
      <c r="R4740" s="25"/>
      <c r="S4740" s="55"/>
      <c r="T4740" s="56"/>
      <c r="U4740" s="25"/>
      <c r="V4740" s="25"/>
      <c r="W4740" s="25"/>
      <c r="X4740" s="25"/>
      <c r="Y4740" s="25"/>
      <c r="Z4740" s="25"/>
    </row>
    <row r="4741" spans="1:26" ht="52.5" customHeight="1" x14ac:dyDescent="0.25">
      <c r="A4741" s="25" t="str">
        <f ca="1">IFERROR(__xludf.DUMMYFUNCTION("""COMPUTED_VALUE"""),"Movil539")</f>
        <v>Movil539</v>
      </c>
      <c r="B4741" s="25" t="str">
        <f ca="1">IFERROR(__xludf.DUMMYFUNCTION("""COMPUTED_VALUE"""),"Reunión Jose Daniel Alianza In")</f>
        <v>Reunión Jose Daniel Alianza In</v>
      </c>
      <c r="C4741" s="55">
        <f ca="1">IFERROR(__xludf.DUMMYFUNCTION("""COMPUTED_VALUE"""),44791)</f>
        <v>44791</v>
      </c>
      <c r="D4741" s="25" t="str">
        <f ca="1">IFERROR(__xludf.DUMMYFUNCTION("""COMPUTED_VALUE"""),"Movilidad")</f>
        <v>Movilidad</v>
      </c>
      <c r="E4741" s="25" t="str">
        <f ca="1">IFERROR(__xludf.DUMMYFUNCTION("""COMPUTED_VALUE"""),"Secretaría Distrital de Movilidad")</f>
        <v>Secretaría Distrital de Movilidad</v>
      </c>
      <c r="F4741" s="25" t="str">
        <f ca="1">IFERROR(__xludf.DUMMYFUNCTION("""COMPUTED_VALUE"""),"Realizar mesa de trabajo con los equipos de movilidad y de Rappi para la instalación de parqueaderos o zonas de trabajo de domiciliarios . ")</f>
        <v xml:space="preserve">Realizar mesa de trabajo con los equipos de movilidad y de Rappi para la instalación de parqueaderos o zonas de trabajo de domiciliarios . </v>
      </c>
      <c r="G4741" s="25" t="str">
        <f ca="1">IFERROR(__xludf.DUMMYFUNCTION("""COMPUTED_VALUE"""),"99. Distrito")</f>
        <v>99. Distrito</v>
      </c>
      <c r="H4741" s="55">
        <f ca="1">IFERROR(__xludf.DUMMYFUNCTION("""COMPUTED_VALUE"""),44985)</f>
        <v>44985</v>
      </c>
      <c r="I4741" s="25" t="str">
        <f ca="1">IFERROR(__xludf.DUMMYFUNCTION("""COMPUTED_VALUE"""),"Delivery Unit")</f>
        <v>Delivery Unit</v>
      </c>
      <c r="J4741" s="55" t="str">
        <f ca="1">IFERROR(__xludf.DUMMYFUNCTION("""COMPUTED_VALUE"""),"Baja")</f>
        <v>Baja</v>
      </c>
      <c r="K4741" s="25">
        <f ca="1">IFERROR(__xludf.DUMMYFUNCTION("""COMPUTED_VALUE"""),194)</f>
        <v>194</v>
      </c>
      <c r="L4741" s="62">
        <f ca="1">IFERROR(__xludf.DUMMYFUNCTION("""COMPUTED_VALUE"""),45016)</f>
        <v>45016</v>
      </c>
      <c r="M4741" s="25" t="str">
        <f ca="1">IFERROR(__xludf.DUMMYFUNCTION("""COMPUTED_VALUE"""),"Se realizan mesas de trabajo con el gremio de domiciliarios en el marco de la estrategia ""un pedido por la vida"" de manera periódica para revisar acciones. En el mes de noviembre en reunión con ""Alianza in"" nos comentan que se encuentran en formulació"&amp;"n el proyecto desde Alianza in y Rappi. Aún no cuentan con cronograma de implementación, están en formulación del proyecto.")</f>
        <v>Se realizan mesas de trabajo con el gremio de domiciliarios en el marco de la estrategia "un pedido por la vida" de manera periódica para revisar acciones. En el mes de noviembre en reunión con "Alianza in" nos comentan que se encuentran en formulación el proyecto desde Alianza in y Rappi. Aún no cuentan con cronograma de implementación, están en formulación del proyecto.</v>
      </c>
      <c r="N4741" s="55">
        <f ca="1">IFERROR(__xludf.DUMMYFUNCTION("""COMPUTED_VALUE"""),45071)</f>
        <v>45071</v>
      </c>
      <c r="O4741" s="25" t="str">
        <f t="shared" ca="1" si="0"/>
        <v>Secretaría Distrital de Movilidad</v>
      </c>
      <c r="P4741" s="25" t="str">
        <f t="shared" ca="1" si="3"/>
        <v/>
      </c>
      <c r="Q4741" s="25" t="str">
        <f ca="1">IFERROR(__xludf.DUMMYFUNCTION("""COMPUTED_VALUE"""),"Largo plazo")</f>
        <v>Largo plazo</v>
      </c>
      <c r="R4741" s="25"/>
      <c r="S4741" s="55"/>
      <c r="T4741" s="56"/>
      <c r="U4741" s="25"/>
      <c r="V4741" s="25"/>
      <c r="W4741" s="25"/>
      <c r="X4741" s="25"/>
      <c r="Y4741" s="25"/>
      <c r="Z4741" s="25"/>
    </row>
    <row r="4742" spans="1:26" ht="52.5" customHeight="1" x14ac:dyDescent="0.25">
      <c r="A4742" s="25" t="str">
        <f ca="1">IFERROR(__xludf.DUMMYFUNCTION("""COMPUTED_VALUE"""),"Movil540")</f>
        <v>Movil540</v>
      </c>
      <c r="B4742" s="25" t="str">
        <f ca="1">IFERROR(__xludf.DUMMYFUNCTION("""COMPUTED_VALUE"""),"Mantenimiento vial")</f>
        <v>Mantenimiento vial</v>
      </c>
      <c r="C4742" s="55">
        <f ca="1">IFERROR(__xludf.DUMMYFUNCTION("""COMPUTED_VALUE"""),44796)</f>
        <v>44796</v>
      </c>
      <c r="D4742" s="25" t="str">
        <f ca="1">IFERROR(__xludf.DUMMYFUNCTION("""COMPUTED_VALUE"""),"Movilidad")</f>
        <v>Movilidad</v>
      </c>
      <c r="E4742" s="25" t="str">
        <f ca="1">IFERROR(__xludf.DUMMYFUNCTION("""COMPUTED_VALUE"""),"Unidad Administrativa Especial de Rehabilitación y Mantenimiento Vial")</f>
        <v>Unidad Administrativa Especial de Rehabilitación y Mantenimiento Vial</v>
      </c>
      <c r="F4742" s="25" t="str">
        <f ca="1">IFERROR(__xludf.DUMMYFUNCTION("""COMPUTED_VALUE"""),"Estimar la capacidad de contratación en 2023 para mantenimiento y acciones de movilidad de la Unidad de Mantenimiento Vial.")</f>
        <v>Estimar la capacidad de contratación en 2023 para mantenimiento y acciones de movilidad de la Unidad de Mantenimiento Vial.</v>
      </c>
      <c r="G4742" s="25" t="str">
        <f ca="1">IFERROR(__xludf.DUMMYFUNCTION("""COMPUTED_VALUE"""),"99. Distrito")</f>
        <v>99. Distrito</v>
      </c>
      <c r="H4742" s="55">
        <f ca="1">IFERROR(__xludf.DUMMYFUNCTION("""COMPUTED_VALUE"""),44926)</f>
        <v>44926</v>
      </c>
      <c r="I4742" s="25"/>
      <c r="J4742" s="55" t="str">
        <f ca="1">IFERROR(__xludf.DUMMYFUNCTION("""COMPUTED_VALUE"""),"Media")</f>
        <v>Media</v>
      </c>
      <c r="K4742" s="25">
        <f ca="1">IFERROR(__xludf.DUMMYFUNCTION("""COMPUTED_VALUE"""),130)</f>
        <v>130</v>
      </c>
      <c r="L4742" s="62">
        <f ca="1">IFERROR(__xludf.DUMMYFUNCTION("""COMPUTED_VALUE"""),44948)</f>
        <v>44948</v>
      </c>
      <c r="M4742" s="25" t="str">
        <f ca="1">IFERROR(__xludf.DUMMYFUNCTION("""COMPUTED_VALUE"""),"En la UMV conservar 1256 Km-carril de la malla vial local e intermedia del distrito capital, conservar 80 Km-Carril de la malla vial arterial del distrito capital, realizar apoyos interinstitucionales e implementar obras de bioingeniería, conservar 60 Km "&amp;"de cicloinfraestructura del distrito capital, mejorar 34 km-carril de vías Rurales del distrito capital e implementar obras de bioingeniería e intervenir 100.000 M2 De Espacio Público De La Ciudad.")</f>
        <v>En la UMV conservar 1256 Km-carril de la malla vial local e intermedia del distrito capital, conservar 80 Km-Carril de la malla vial arterial del distrito capital, realizar apoyos interinstitucionales e implementar obras de bioingeniería, conservar 60 Km de cicloinfraestructura del distrito capital, mejorar 34 km-carril de vías Rurales del distrito capital e implementar obras de bioingeniería e intervenir 100.000 M2 De Espacio Público De La Ciudad.</v>
      </c>
      <c r="N4742" s="55">
        <f ca="1">IFERROR(__xludf.DUMMYFUNCTION("""COMPUTED_VALUE"""),44948)</f>
        <v>44948</v>
      </c>
      <c r="O4742" s="25" t="str">
        <f t="shared" ca="1" si="0"/>
        <v>Unidad Administrativa Especial de Rehabilitación y Mantenimiento Vial</v>
      </c>
      <c r="P4742" s="25" t="str">
        <f t="shared" si="3"/>
        <v/>
      </c>
      <c r="Q4742" s="25" t="str">
        <f ca="1">IFERROR(__xludf.DUMMYFUNCTION("""COMPUTED_VALUE"""),"Mediano plazo")</f>
        <v>Mediano plazo</v>
      </c>
      <c r="R4742" s="25"/>
      <c r="S4742" s="55"/>
      <c r="T4742" s="56"/>
      <c r="U4742" s="25"/>
      <c r="V4742" s="25"/>
      <c r="W4742" s="25"/>
      <c r="X4742" s="25"/>
      <c r="Y4742" s="25"/>
      <c r="Z4742" s="25"/>
    </row>
    <row r="4743" spans="1:26" ht="52.5" customHeight="1" x14ac:dyDescent="0.25">
      <c r="A4743" s="25" t="str">
        <f ca="1">IFERROR(__xludf.DUMMYFUNCTION("""COMPUTED_VALUE"""),"Movil541")</f>
        <v>Movil541</v>
      </c>
      <c r="B4743" s="25" t="str">
        <f ca="1">IFERROR(__xludf.DUMMYFUNCTION("""COMPUTED_VALUE"""),"Mantenimiento vial")</f>
        <v>Mantenimiento vial</v>
      </c>
      <c r="C4743" s="55">
        <f ca="1">IFERROR(__xludf.DUMMYFUNCTION("""COMPUTED_VALUE"""),44796)</f>
        <v>44796</v>
      </c>
      <c r="D4743" s="25" t="str">
        <f ca="1">IFERROR(__xludf.DUMMYFUNCTION("""COMPUTED_VALUE"""),"Movilidad")</f>
        <v>Movilidad</v>
      </c>
      <c r="E4743" s="25" t="str">
        <f ca="1">IFERROR(__xludf.DUMMYFUNCTION("""COMPUTED_VALUE"""),"Instituto de Desarrollo Urbano")</f>
        <v>Instituto de Desarrollo Urbano</v>
      </c>
      <c r="F4743" s="25" t="str">
        <f ca="1">IFERROR(__xludf.DUMMYFUNCTION("""COMPUTED_VALUE"""),"Hacer un plan de seguimiento con reportes mensuales (hasta diciembre) y trimestrales a partir de enero de los contratos de reparación de malla vial y cilcorutas del IDU.")</f>
        <v>Hacer un plan de seguimiento con reportes mensuales (hasta diciembre) y trimestrales a partir de enero de los contratos de reparación de malla vial y cilcorutas del IDU.</v>
      </c>
      <c r="G4743" s="25" t="str">
        <f ca="1">IFERROR(__xludf.DUMMYFUNCTION("""COMPUTED_VALUE"""),"99. Distrito")</f>
        <v>99. Distrito</v>
      </c>
      <c r="H4743" s="55">
        <f ca="1">IFERROR(__xludf.DUMMYFUNCTION("""COMPUTED_VALUE"""),44826)</f>
        <v>44826</v>
      </c>
      <c r="I4743" s="25"/>
      <c r="J4743" s="55" t="str">
        <f ca="1">IFERROR(__xludf.DUMMYFUNCTION("""COMPUTED_VALUE"""),"Alta")</f>
        <v>Alta</v>
      </c>
      <c r="K4743" s="25">
        <f ca="1">IFERROR(__xludf.DUMMYFUNCTION("""COMPUTED_VALUE"""),30)</f>
        <v>30</v>
      </c>
      <c r="L4743" s="62">
        <f ca="1">IFERROR(__xludf.DUMMYFUNCTION("""COMPUTED_VALUE"""),44896)</f>
        <v>44896</v>
      </c>
      <c r="M4743" s="25" t="str">
        <f ca="1">IFERROR(__xludf.DUMMYFUNCTION("""COMPUTED_VALUE"""),"Las actividades de este ítem son realizadas por competencia de la supervisión del IDU.")</f>
        <v>Las actividades de este ítem son realizadas por competencia de la supervisión del IDU.</v>
      </c>
      <c r="N4743" s="55">
        <f ca="1">IFERROR(__xludf.DUMMYFUNCTION("""COMPUTED_VALUE"""),44896)</f>
        <v>44896</v>
      </c>
      <c r="O4743" s="25" t="str">
        <f t="shared" ca="1" si="0"/>
        <v>Instituto de Desarrollo Urbano</v>
      </c>
      <c r="P4743" s="25" t="str">
        <f t="shared" si="3"/>
        <v/>
      </c>
      <c r="Q4743" s="25" t="str">
        <f ca="1">IFERROR(__xludf.DUMMYFUNCTION("""COMPUTED_VALUE"""),"Corto plazo")</f>
        <v>Corto plazo</v>
      </c>
      <c r="R4743" s="25"/>
      <c r="S4743" s="55"/>
      <c r="T4743" s="56"/>
      <c r="U4743" s="25"/>
      <c r="V4743" s="25"/>
      <c r="W4743" s="25"/>
      <c r="X4743" s="25"/>
      <c r="Y4743" s="25"/>
      <c r="Z4743" s="25"/>
    </row>
    <row r="4744" spans="1:26" ht="52.5" customHeight="1" x14ac:dyDescent="0.25">
      <c r="A4744" s="25" t="str">
        <f ca="1">IFERROR(__xludf.DUMMYFUNCTION("""COMPUTED_VALUE"""),"Movil542")</f>
        <v>Movil542</v>
      </c>
      <c r="B4744" s="25" t="str">
        <f ca="1">IFERROR(__xludf.DUMMYFUNCTION("""COMPUTED_VALUE"""),"Reunión Idartes pintura de puentes")</f>
        <v>Reunión Idartes pintura de puentes</v>
      </c>
      <c r="C4744" s="55">
        <f ca="1">IFERROR(__xludf.DUMMYFUNCTION("""COMPUTED_VALUE"""),44789)</f>
        <v>44789</v>
      </c>
      <c r="D4744" s="25" t="str">
        <f ca="1">IFERROR(__xludf.DUMMYFUNCTION("""COMPUTED_VALUE"""),"Movilidad")</f>
        <v>Movilidad</v>
      </c>
      <c r="E4744" s="25" t="str">
        <f ca="1">IFERROR(__xludf.DUMMYFUNCTION("""COMPUTED_VALUE"""),"Instituto de Desarrollo Urbano")</f>
        <v>Instituto de Desarrollo Urbano</v>
      </c>
      <c r="F4744" s="25" t="str">
        <f ca="1">IFERROR(__xludf.DUMMYFUNCTION("""COMPUTED_VALUE"""),"El convenio para la intervención de las 3 zonas bajo puente debe quedar en 2 semanas")</f>
        <v>El convenio para la intervención de las 3 zonas bajo puente debe quedar en 2 semanas</v>
      </c>
      <c r="G4744" s="25" t="str">
        <f ca="1">IFERROR(__xludf.DUMMYFUNCTION("""COMPUTED_VALUE"""),"99. Distrito")</f>
        <v>99. Distrito</v>
      </c>
      <c r="H4744" s="55">
        <f ca="1">IFERROR(__xludf.DUMMYFUNCTION("""COMPUTED_VALUE"""),44845)</f>
        <v>44845</v>
      </c>
      <c r="I4744" s="25"/>
      <c r="J4744" s="55" t="str">
        <f ca="1">IFERROR(__xludf.DUMMYFUNCTION("""COMPUTED_VALUE"""),"Alta")</f>
        <v>Alta</v>
      </c>
      <c r="K4744" s="25">
        <f ca="1">IFERROR(__xludf.DUMMYFUNCTION("""COMPUTED_VALUE"""),56)</f>
        <v>56</v>
      </c>
      <c r="L4744" s="62">
        <f ca="1">IFERROR(__xludf.DUMMYFUNCTION("""COMPUTED_VALUE"""),44887)</f>
        <v>44887</v>
      </c>
      <c r="M4744" s="25" t="str">
        <f ca="1">IFERROR(__xludf.DUMMYFUNCTION("""COMPUTED_VALUE"""),"El 15 de septiembre de 2022 llegó al IDU la propuesta por parte del IDARTES, documentos que se están revisando por parte del IDU para terminar la estructuración del Convenio Específico. 
Se gestiona al interior del IDU las definiciones para ejecutar la pi"&amp;"ntura plana de los puentes mediante el contrato de conservación IDU-1776-2021. De igual manera, se están revisando los valores de los ítems con las cuales se podría realizar la actividad de pintura plana dentro del contrato de conservación IDU-1776-2021, "&amp;"ítems y valores que inciden en el valor final del presupuesto del Convenio.
El 10 de octubre de 2022 se suscribió el Convenio Específico No. 2 - IDU-1557-2022, celebrado entre el IDU e IDARTES, cuyo objeto es ""AUNAR ESFUERZOS PARA TRANSFORMAR LAS ZONAS B"&amp;"AJO PUENTES, MEDIANTE LA EJECUCIÓN DEL PROYECTO “VIDA Y COLOR”, REALIZANDO INTERVENCIONES ARTÍSTICAS QUE INTEGREN EL DEBER FUNCIONAL DE LA ADMINISTRACIÓN DISTRITAL CON EL DEBER CÍVICO Y SOCIAL DE LOS CIUDADANOS DEL ENTORNO CIRCUNDANTE"". Para la intervenc"&amp;"ión artística de las zonas bajo los puentes de la Av. NQS con Calle 68, Av. NQS con Calle 72 y Autopista Norte con Calle 183. El 11 de octubre de 2022 se suscribió el acta de inicio del referido Convenio Específico..")</f>
        <v>El 15 de septiembre de 2022 llegó al IDU la propuesta por parte del IDARTES, documentos que se están revisando por parte del IDU para terminar la estructuración del Convenio Específico. 
Se gestiona al interior del IDU las definiciones para ejecutar la pintura plana de los puentes mediante el contrato de conservación IDU-1776-2021. De igual manera, se están revisando los valores de los ítems con las cuales se podría realizar la actividad de pintura plana dentro del contrato de conservación IDU-1776-2021, ítems y valores que inciden en el valor final del presupuesto del Convenio.
El 10 de octubre de 2022 se suscribió el Convenio Específico No. 2 - IDU-1557-2022, celebrado entre el IDU e IDARTES, cuyo objeto es "AUNAR ESFUERZOS PARA TRANSFORMAR LAS ZONAS BAJO PUENTES, MEDIANTE LA EJECUCIÓN DEL PROYECTO “VIDA Y COLOR”, REALIZANDO INTERVENCIONES ARTÍSTICAS QUE INTEGREN EL DEBER FUNCIONAL DE LA ADMINISTRACIÓN DISTRITAL CON EL DEBER CÍVICO Y SOCIAL DE LOS CIUDADANOS DEL ENTORNO CIRCUNDANTE". Para la intervención artística de las zonas bajo los puentes de la Av. NQS con Calle 68, Av. NQS con Calle 72 y Autopista Norte con Calle 183. El 11 de octubre de 2022 se suscribió el acta de inicio del referido Convenio Específico..</v>
      </c>
      <c r="N4744" s="55">
        <f ca="1">IFERROR(__xludf.DUMMYFUNCTION("""COMPUTED_VALUE"""),44887)</f>
        <v>44887</v>
      </c>
      <c r="O4744" s="25" t="str">
        <f t="shared" ca="1" si="0"/>
        <v>Instituto de Desarrollo Urbano</v>
      </c>
      <c r="P4744" s="25" t="str">
        <f t="shared" si="3"/>
        <v/>
      </c>
      <c r="Q4744" s="25" t="str">
        <f ca="1">IFERROR(__xludf.DUMMYFUNCTION("""COMPUTED_VALUE"""),"Corto plazo")</f>
        <v>Corto plazo</v>
      </c>
      <c r="R4744" s="25"/>
      <c r="S4744" s="55"/>
      <c r="T4744" s="56"/>
      <c r="U4744" s="25"/>
      <c r="V4744" s="25"/>
      <c r="W4744" s="25"/>
      <c r="X4744" s="25"/>
      <c r="Y4744" s="25"/>
      <c r="Z4744" s="25"/>
    </row>
    <row r="4745" spans="1:26" ht="52.5" customHeight="1" x14ac:dyDescent="0.25">
      <c r="A4745" s="25" t="str">
        <f ca="1">IFERROR(__xludf.DUMMYFUNCTION("""COMPUTED_VALUE"""),"Movil543")</f>
        <v>Movil543</v>
      </c>
      <c r="B4745" s="25" t="str">
        <f ca="1">IFERROR(__xludf.DUMMYFUNCTION("""COMPUTED_VALUE"""),"Reunión Idartes pintura de puentes")</f>
        <v>Reunión Idartes pintura de puentes</v>
      </c>
      <c r="C4745" s="55">
        <f ca="1">IFERROR(__xludf.DUMMYFUNCTION("""COMPUTED_VALUE"""),44789)</f>
        <v>44789</v>
      </c>
      <c r="D4745" s="25" t="str">
        <f ca="1">IFERROR(__xludf.DUMMYFUNCTION("""COMPUTED_VALUE"""),"Movilidad")</f>
        <v>Movilidad</v>
      </c>
      <c r="E4745" s="25" t="str">
        <f ca="1">IFERROR(__xludf.DUMMYFUNCTION("""COMPUTED_VALUE"""),"Instituto de Desarrollo Urbano")</f>
        <v>Instituto de Desarrollo Urbano</v>
      </c>
      <c r="F4745" s="25" t="str">
        <f ca="1">IFERROR(__xludf.DUMMYFUNCTION("""COMPUTED_VALUE"""),"El IDU debe articularse con IDARTES para la intervención de las 3 zonas bajo puente debe quedar lista en el 2022 (Puente Calle 183 con Autonorte, Puente NQS con calle 68 y Puente NQS con calle 72).")</f>
        <v>El IDU debe articularse con IDARTES para la intervención de las 3 zonas bajo puente debe quedar lista en el 2022 (Puente Calle 183 con Autonorte, Puente NQS con calle 68 y Puente NQS con calle 72).</v>
      </c>
      <c r="G4745" s="25" t="str">
        <f ca="1">IFERROR(__xludf.DUMMYFUNCTION("""COMPUTED_VALUE"""),"99. Distrito")</f>
        <v>99. Distrito</v>
      </c>
      <c r="H4745" s="55">
        <f ca="1">IFERROR(__xludf.DUMMYFUNCTION("""COMPUTED_VALUE"""),45000)</f>
        <v>45000</v>
      </c>
      <c r="I4745" s="25"/>
      <c r="J4745" s="55" t="str">
        <f ca="1">IFERROR(__xludf.DUMMYFUNCTION("""COMPUTED_VALUE"""),"Baja")</f>
        <v>Baja</v>
      </c>
      <c r="K4745" s="25">
        <f ca="1">IFERROR(__xludf.DUMMYFUNCTION("""COMPUTED_VALUE"""),211)</f>
        <v>211</v>
      </c>
      <c r="L4745" s="62">
        <f ca="1">IFERROR(__xludf.DUMMYFUNCTION("""COMPUTED_VALUE"""),44985)</f>
        <v>44985</v>
      </c>
      <c r="M4745" s="25" t="str">
        <f ca="1">IFERROR(__xludf.DUMMYFUNCTION("""COMPUTED_VALUE"""),"Bajo el convenio No. 2-IDU-1557-2022, ya se realizaron las intervenciones de las 3 zonas bajo puentes de la siguiente manera:
1. Entre el 02 y 04 de diciembre de 2022 se realizaron las intervenciones artísticas en los puentes de la Autopista Norte con Cal"&amp;"le 183 y en el puente de la Av. NQS con Calle 72. 
2. Entre el 20 y 22 de enero de 2023 se realizaron las intervenciones artísticas de los puentes de la Calle 68 con Av. NQS.
El IDU entregó limpias las áreas de las zonas bajo puente y las intervenciones a"&amp;"rtísticas fueron a cargo del IDARTES.
 acta de terminación el 10 de marzo de 2023 cuando finalicen las gestiones sociales con las comunidades aledañas a los sitios de intervención.")</f>
        <v>Bajo el convenio No. 2-IDU-1557-2022, ya se realizaron las intervenciones de las 3 zonas bajo puentes de la siguiente manera:
1. Entre el 02 y 04 de diciembre de 2022 se realizaron las intervenciones artísticas en los puentes de la Autopista Norte con Calle 183 y en el puente de la Av. NQS con Calle 72. 
2. Entre el 20 y 22 de enero de 2023 se realizaron las intervenciones artísticas de los puentes de la Calle 68 con Av. NQS.
El IDU entregó limpias las áreas de las zonas bajo puente y las intervenciones artísticas fueron a cargo del IDARTES.
 acta de terminación el 10 de marzo de 2023 cuando finalicen las gestiones sociales con las comunidades aledañas a los sitios de intervención.</v>
      </c>
      <c r="N4745" s="55">
        <f ca="1">IFERROR(__xludf.DUMMYFUNCTION("""COMPUTED_VALUE"""),44995)</f>
        <v>44995</v>
      </c>
      <c r="O4745" s="25" t="str">
        <f t="shared" ca="1" si="0"/>
        <v>Instituto de Desarrollo Urbano</v>
      </c>
      <c r="P4745" s="25" t="str">
        <f t="shared" si="3"/>
        <v/>
      </c>
      <c r="Q4745" s="25" t="str">
        <f ca="1">IFERROR(__xludf.DUMMYFUNCTION("""COMPUTED_VALUE"""),"Largo plazo")</f>
        <v>Largo plazo</v>
      </c>
      <c r="R4745" s="25"/>
      <c r="S4745" s="55"/>
      <c r="T4745" s="56"/>
      <c r="U4745" s="25"/>
      <c r="V4745" s="25"/>
      <c r="W4745" s="25"/>
      <c r="X4745" s="25"/>
      <c r="Y4745" s="25"/>
      <c r="Z4745" s="25"/>
    </row>
    <row r="4746" spans="1:26" ht="52.5" customHeight="1" x14ac:dyDescent="0.25">
      <c r="A4746" s="25" t="str">
        <f ca="1">IFERROR(__xludf.DUMMYFUNCTION("""COMPUTED_VALUE"""),"Movil544")</f>
        <v>Movil544</v>
      </c>
      <c r="B4746" s="25" t="str">
        <f ca="1">IFERROR(__xludf.DUMMYFUNCTION("""COMPUTED_VALUE"""),"Recorrido Usme")</f>
        <v>Recorrido Usme</v>
      </c>
      <c r="C4746" s="55">
        <f ca="1">IFERROR(__xludf.DUMMYFUNCTION("""COMPUTED_VALUE"""),44798)</f>
        <v>44798</v>
      </c>
      <c r="D4746" s="25" t="str">
        <f ca="1">IFERROR(__xludf.DUMMYFUNCTION("""COMPUTED_VALUE"""),"Movilidad")</f>
        <v>Movilidad</v>
      </c>
      <c r="E4746" s="25" t="str">
        <f ca="1">IFERROR(__xludf.DUMMYFUNCTION("""COMPUTED_VALUE"""),"Unidad Administrativa Especial de Rehabilitación y Mantenimiento Vial")</f>
        <v>Unidad Administrativa Especial de Rehabilitación y Mantenimiento Vial</v>
      </c>
      <c r="F4746" s="25" t="str">
        <f ca="1">IFERROR(__xludf.DUMMYFUNCTION("""COMPUTED_VALUE"""),"Priorizar las vías de acceso a los patios en el presupuesto de la UMV")</f>
        <v>Priorizar las vías de acceso a los patios en el presupuesto de la UMV</v>
      </c>
      <c r="G4746" s="25" t="str">
        <f ca="1">IFERROR(__xludf.DUMMYFUNCTION("""COMPUTED_VALUE"""),"99. Distrito")</f>
        <v>99. Distrito</v>
      </c>
      <c r="H4746" s="55">
        <f ca="1">IFERROR(__xludf.DUMMYFUNCTION("""COMPUTED_VALUE"""),44828)</f>
        <v>44828</v>
      </c>
      <c r="I4746" s="25"/>
      <c r="J4746" s="55" t="str">
        <f ca="1">IFERROR(__xludf.DUMMYFUNCTION("""COMPUTED_VALUE"""),"Alta")</f>
        <v>Alta</v>
      </c>
      <c r="K4746" s="25">
        <f ca="1">IFERROR(__xludf.DUMMYFUNCTION("""COMPUTED_VALUE"""),30)</f>
        <v>30</v>
      </c>
      <c r="L4746" s="62">
        <f ca="1">IFERROR(__xludf.DUMMYFUNCTION("""COMPUTED_VALUE"""),44896)</f>
        <v>44896</v>
      </c>
      <c r="M4746" s="25" t="str">
        <f ca="1">IFERROR(__xludf.DUMMYFUNCTION("""COMPUTED_VALUE"""),"La UAERMV realizó la respectiva visita a las vías de los patios de la localidad de Usme y pudo constatar que la intervención no es para acciones de movilidad, las vías requieren obras que no son competencias de esta entidad.")</f>
        <v>La UAERMV realizó la respectiva visita a las vías de los patios de la localidad de Usme y pudo constatar que la intervención no es para acciones de movilidad, las vías requieren obras que no son competencias de esta entidad.</v>
      </c>
      <c r="N4746" s="55">
        <f ca="1">IFERROR(__xludf.DUMMYFUNCTION("""COMPUTED_VALUE"""),44896)</f>
        <v>44896</v>
      </c>
      <c r="O4746" s="25" t="str">
        <f t="shared" ca="1" si="0"/>
        <v>Unidad Administrativa Especial de Rehabilitación y Mantenimiento Vial</v>
      </c>
      <c r="P4746" s="25" t="str">
        <f t="shared" si="3"/>
        <v/>
      </c>
      <c r="Q4746" s="25" t="str">
        <f ca="1">IFERROR(__xludf.DUMMYFUNCTION("""COMPUTED_VALUE"""),"Corto plazo")</f>
        <v>Corto plazo</v>
      </c>
      <c r="R4746" s="25"/>
      <c r="S4746" s="55"/>
      <c r="T4746" s="56"/>
      <c r="U4746" s="25"/>
      <c r="V4746" s="25"/>
      <c r="W4746" s="25"/>
      <c r="X4746" s="25"/>
      <c r="Y4746" s="25"/>
      <c r="Z4746" s="25"/>
    </row>
    <row r="4747" spans="1:26" ht="52.5" customHeight="1" x14ac:dyDescent="0.25">
      <c r="A4747" s="25" t="str">
        <f ca="1">IFERROR(__xludf.DUMMYFUNCTION("""COMPUTED_VALUE"""),"Movil545")</f>
        <v>Movil545</v>
      </c>
      <c r="B4747" s="25" t="str">
        <f ca="1">IFERROR(__xludf.DUMMYFUNCTION("""COMPUTED_VALUE"""),"Cumbre de movilidad")</f>
        <v>Cumbre de movilidad</v>
      </c>
      <c r="C4747" s="55">
        <f ca="1">IFERROR(__xludf.DUMMYFUNCTION("""COMPUTED_VALUE"""),44813)</f>
        <v>44813</v>
      </c>
      <c r="D4747" s="25" t="str">
        <f ca="1">IFERROR(__xludf.DUMMYFUNCTION("""COMPUTED_VALUE"""),"Movilidad")</f>
        <v>Movilidad</v>
      </c>
      <c r="E4747" s="25" t="str">
        <f ca="1">IFERROR(__xludf.DUMMYFUNCTION("""COMPUTED_VALUE"""),"Secretaría Distrital de Movilidad")</f>
        <v>Secretaría Distrital de Movilidad</v>
      </c>
      <c r="F4747" s="25" t="str">
        <f ca="1">IFERROR(__xludf.DUMMYFUNCTION("""COMPUTED_VALUE"""),"Equipo bici SDM coordinar para que el mantenimiento incluya poda, iluminación etc..")</f>
        <v>Equipo bici SDM coordinar para que el mantenimiento incluya poda, iluminación etc..</v>
      </c>
      <c r="G4747" s="25" t="str">
        <f ca="1">IFERROR(__xludf.DUMMYFUNCTION("""COMPUTED_VALUE"""),"99. Distrito")</f>
        <v>99. Distrito</v>
      </c>
      <c r="H4747" s="55">
        <f ca="1">IFERROR(__xludf.DUMMYFUNCTION("""COMPUTED_VALUE"""),44843)</f>
        <v>44843</v>
      </c>
      <c r="I4747" s="25"/>
      <c r="J4747" s="55" t="str">
        <f ca="1">IFERROR(__xludf.DUMMYFUNCTION("""COMPUTED_VALUE"""),"Alta")</f>
        <v>Alta</v>
      </c>
      <c r="K4747" s="25">
        <f ca="1">IFERROR(__xludf.DUMMYFUNCTION("""COMPUTED_VALUE"""),30)</f>
        <v>30</v>
      </c>
      <c r="L4747" s="62">
        <f ca="1">IFERROR(__xludf.DUMMYFUNCTION("""COMPUTED_VALUE"""),44883)</f>
        <v>44883</v>
      </c>
      <c r="M4747" s="25" t="str">
        <f ca="1">IFERROR(__xludf.DUMMYFUNCTION("""COMPUTED_VALUE"""),"La SDM realizó (Comunicado 202213007256271) la solicitud a la UAESP para la gestión y mantenimiento de alumbrado público, en 8 puntos críticos con siniestros ciclistas registrados entre enero de 2019 y mayo de 2022 y 7 tramos con fallas de iluminación enc"&amp;"ontrados producto del diagnóstico de ciclorrutas realizado en el año 2021 por la SDM. 
Además la SDM consolidó y remitió a la UAESP, 202 puntos con necesidad de poda por obstrucción de vegetación en la red de ciclorruta resultado de reportes ciudadanos, v"&amp;"isitas de campo e informes de diagnóstico. La UAESP adelantó el diagnóstico y verificación de la información reportada por la SDM de la cual están priorizada la intervención de 40 puntos por la UAESP y 11 elementos arbóreos por la SDA para concepto silvic"&amp;"ultural.  LA SDM, UAESP y SDA realizan seguimiento a la programación de las intervenciones, así como la priorización de nuevos reportes.
")</f>
        <v xml:space="preserve">La SDM realizó (Comunicado 202213007256271) la solicitud a la UAESP para la gestión y mantenimiento de alumbrado público, en 8 puntos críticos con siniestros ciclistas registrados entre enero de 2019 y mayo de 2022 y 7 tramos con fallas de iluminación encontrados producto del diagnóstico de ciclorrutas realizado en el año 2021 por la SDM. 
Además la SDM consolidó y remitió a la UAESP, 202 puntos con necesidad de poda por obstrucción de vegetación en la red de ciclorruta resultado de reportes ciudadanos, visitas de campo e informes de diagnóstico. La UAESP adelantó el diagnóstico y verificación de la información reportada por la SDM de la cual están priorizada la intervención de 40 puntos por la UAESP y 11 elementos arbóreos por la SDA para concepto silvicultural.  LA SDM, UAESP y SDA realizan seguimiento a la programación de las intervenciones, así como la priorización de nuevos reportes.
</v>
      </c>
      <c r="N4747" s="55">
        <f ca="1">IFERROR(__xludf.DUMMYFUNCTION("""COMPUTED_VALUE"""),44883)</f>
        <v>44883</v>
      </c>
      <c r="O4747" s="25" t="str">
        <f t="shared" ca="1" si="0"/>
        <v>Secretaría Distrital de Movilidad</v>
      </c>
      <c r="P4747" s="25" t="str">
        <f t="shared" si="3"/>
        <v/>
      </c>
      <c r="Q4747" s="25" t="str">
        <f ca="1">IFERROR(__xludf.DUMMYFUNCTION("""COMPUTED_VALUE"""),"Corto plazo")</f>
        <v>Corto plazo</v>
      </c>
      <c r="R4747" s="25"/>
      <c r="S4747" s="55"/>
      <c r="T4747" s="56"/>
      <c r="U4747" s="25"/>
      <c r="V4747" s="25"/>
      <c r="W4747" s="25"/>
      <c r="X4747" s="25"/>
      <c r="Y4747" s="25"/>
      <c r="Z4747" s="25"/>
    </row>
    <row r="4748" spans="1:26" ht="52.5" customHeight="1" x14ac:dyDescent="0.25">
      <c r="A4748" s="25" t="str">
        <f ca="1">IFERROR(__xludf.DUMMYFUNCTION("""COMPUTED_VALUE"""),"Movil546")</f>
        <v>Movil546</v>
      </c>
      <c r="B4748" s="25" t="str">
        <f ca="1">IFERROR(__xludf.DUMMYFUNCTION("""COMPUTED_VALUE"""),"Cumbre de movilidad")</f>
        <v>Cumbre de movilidad</v>
      </c>
      <c r="C4748" s="55">
        <f ca="1">IFERROR(__xludf.DUMMYFUNCTION("""COMPUTED_VALUE"""),44813)</f>
        <v>44813</v>
      </c>
      <c r="D4748" s="25" t="str">
        <f ca="1">IFERROR(__xludf.DUMMYFUNCTION("""COMPUTED_VALUE"""),"Movilidad")</f>
        <v>Movilidad</v>
      </c>
      <c r="E4748" s="25" t="str">
        <f ca="1">IFERROR(__xludf.DUMMYFUNCTION("""COMPUTED_VALUE"""),"Secretaría Distrital de Movilidad")</f>
        <v>Secretaría Distrital de Movilidad</v>
      </c>
      <c r="F4748" s="25" t="str">
        <f ca="1">IFERROR(__xludf.DUMMYFUNCTION("""COMPUTED_VALUE"""),"Revisar si se requiere la vía por donde va la ciclo alameda se requiere para PMT de metro. ")</f>
        <v xml:space="preserve">Revisar si se requiere la vía por donde va la ciclo alameda se requiere para PMT de metro. </v>
      </c>
      <c r="G4748" s="25" t="str">
        <f ca="1">IFERROR(__xludf.DUMMYFUNCTION("""COMPUTED_VALUE"""),"99. Distrito")</f>
        <v>99. Distrito</v>
      </c>
      <c r="H4748" s="55">
        <f ca="1">IFERROR(__xludf.DUMMYFUNCTION("""COMPUTED_VALUE"""),44843)</f>
        <v>44843</v>
      </c>
      <c r="I4748" s="25"/>
      <c r="J4748" s="55" t="str">
        <f ca="1">IFERROR(__xludf.DUMMYFUNCTION("""COMPUTED_VALUE"""),"Alta")</f>
        <v>Alta</v>
      </c>
      <c r="K4748" s="25">
        <f ca="1">IFERROR(__xludf.DUMMYFUNCTION("""COMPUTED_VALUE"""),30)</f>
        <v>30</v>
      </c>
      <c r="L4748" s="62">
        <f ca="1">IFERROR(__xludf.DUMMYFUNCTION("""COMPUTED_VALUE"""),44887)</f>
        <v>44887</v>
      </c>
      <c r="M4748" s="25" t="str">
        <f ca="1">IFERROR(__xludf.DUMMYFUNCTION("""COMPUTED_VALUE"""),"Aunque en la evaluación de las posibles vías de desvío de la PLMB se procuró no afectar el recorrido de la CAMM; los siguientes tramos  de la CAMM se contemplan como desvíos de la PLMB:
Av. Carrera 24 entre Calle 85A y Calle 76
Av. Calle 32 entre Carrera "&amp;"16 y Carrera 19
Carrera 19B entre Av. Calle 32 y Calle 24
Transversal 19 entre Calle 1F y Calle 1
Transversal 22 entre Calle 1 y Calle 4 sur
Carrera 24 entre Calle 4 sur y Calle 13 sur
Diagonal 13Bis sur entre Calle 13 sur y Calle 16B sur
Carrera 24F Bis "&amp;"entre Calle 16B sur y Calle 17A sur
Calle 17A sur entre Carrera 24F Bis y Carrera 24G
SE EMITIO LA RESPUESTA SOLICITADA, NO TIENE MÁS ACCIONES, EL COMPROMISO SE PUEDE CERRAR")</f>
        <v>Aunque en la evaluación de las posibles vías de desvío de la PLMB se procuró no afectar el recorrido de la CAMM; los siguientes tramos  de la CAMM se contemplan como desvíos de la PLMB:
Av. Carrera 24 entre Calle 85A y Calle 76
Av. Calle 32 entre Carrera 16 y Carrera 19
Carrera 19B entre Av. Calle 32 y Calle 24
Transversal 19 entre Calle 1F y Calle 1
Transversal 22 entre Calle 1 y Calle 4 sur
Carrera 24 entre Calle 4 sur y Calle 13 sur
Diagonal 13Bis sur entre Calle 13 sur y Calle 16B sur
Carrera 24F Bis entre Calle 16B sur y Calle 17A sur
Calle 17A sur entre Carrera 24F Bis y Carrera 24G
SE EMITIO LA RESPUESTA SOLICITADA, NO TIENE MÁS ACCIONES, EL COMPROMISO SE PUEDE CERRAR</v>
      </c>
      <c r="N4748" s="71">
        <f ca="1">IFERROR(__xludf.DUMMYFUNCTION("""COMPUTED_VALUE"""),44887)</f>
        <v>44887</v>
      </c>
      <c r="O4748" s="25" t="str">
        <f t="shared" ca="1" si="0"/>
        <v>Secretaría Distrital de Movilidad</v>
      </c>
      <c r="P4748" s="25" t="str">
        <f t="shared" si="3"/>
        <v/>
      </c>
      <c r="Q4748" s="25" t="str">
        <f ca="1">IFERROR(__xludf.DUMMYFUNCTION("""COMPUTED_VALUE"""),"Corto plazo")</f>
        <v>Corto plazo</v>
      </c>
      <c r="R4748" s="25"/>
      <c r="S4748" s="55"/>
      <c r="T4748" s="56"/>
      <c r="U4748" s="25"/>
      <c r="V4748" s="25"/>
      <c r="W4748" s="25"/>
      <c r="X4748" s="25"/>
      <c r="Y4748" s="25"/>
      <c r="Z4748" s="25"/>
    </row>
    <row r="4749" spans="1:26" ht="52.5" customHeight="1" x14ac:dyDescent="0.25">
      <c r="A4749" s="25" t="str">
        <f ca="1">IFERROR(__xludf.DUMMYFUNCTION("""COMPUTED_VALUE"""),"Movil547")</f>
        <v>Movil547</v>
      </c>
      <c r="B4749" s="25" t="str">
        <f ca="1">IFERROR(__xludf.DUMMYFUNCTION("""COMPUTED_VALUE"""),"Cumbre de movilidad")</f>
        <v>Cumbre de movilidad</v>
      </c>
      <c r="C4749" s="55">
        <f ca="1">IFERROR(__xludf.DUMMYFUNCTION("""COMPUTED_VALUE"""),44813)</f>
        <v>44813</v>
      </c>
      <c r="D4749" s="25" t="str">
        <f ca="1">IFERROR(__xludf.DUMMYFUNCTION("""COMPUTED_VALUE"""),"Movilidad")</f>
        <v>Movilidad</v>
      </c>
      <c r="E4749" s="25" t="str">
        <f ca="1">IFERROR(__xludf.DUMMYFUNCTION("""COMPUTED_VALUE"""),"Secretaría Distrital de Movilidad")</f>
        <v>Secretaría Distrital de Movilidad</v>
      </c>
      <c r="F4749" s="25" t="str">
        <f ca="1">IFERROR(__xludf.DUMMYFUNCTION("""COMPUTED_VALUE"""),"Ajustar tarifa de pico y placa solidario, que exista una para vehículo compartido con pico y placa (solo diario) e individual (semestral). Si con cámara se coge al vehículo sin pagar pero circulando se debe imposibilitar que compre el permiso y el compare"&amp;"ndo. Poner un límite a los permisos por día.")</f>
        <v>Ajustar tarifa de pico y placa solidario, que exista una para vehículo compartido con pico y placa (solo diario) e individual (semestral). Si con cámara se coge al vehículo sin pagar pero circulando se debe imposibilitar que compre el permiso y el comparendo. Poner un límite a los permisos por día.</v>
      </c>
      <c r="G4749" s="25" t="str">
        <f ca="1">IFERROR(__xludf.DUMMYFUNCTION("""COMPUTED_VALUE"""),"99. Distrito")</f>
        <v>99. Distrito</v>
      </c>
      <c r="H4749" s="55">
        <f ca="1">IFERROR(__xludf.DUMMYFUNCTION("""COMPUTED_VALUE"""),44843)</f>
        <v>44843</v>
      </c>
      <c r="I4749" s="25"/>
      <c r="J4749" s="55" t="str">
        <f ca="1">IFERROR(__xludf.DUMMYFUNCTION("""COMPUTED_VALUE"""),"Alta")</f>
        <v>Alta</v>
      </c>
      <c r="K4749" s="25">
        <f ca="1">IFERROR(__xludf.DUMMYFUNCTION("""COMPUTED_VALUE"""),30)</f>
        <v>30</v>
      </c>
      <c r="L4749" s="62">
        <f ca="1">IFERROR(__xludf.DUMMYFUNCTION("""COMPUTED_VALUE"""),44880)</f>
        <v>44880</v>
      </c>
      <c r="M4749" s="25" t="str">
        <f ca="1">IFERROR(__xludf.DUMMYFUNCTION("""COMPUTED_VALUE"""),"El 5 de octubre fue presentado a la alcaldesa el nuevo escenario de pico y placa solidario incluyendo movilidad compartida. El cual ya fue aprobado por ella. Esta medida iniciará su implementación en enero de 2023. ESTE COMPROMISO SE PUEDE CERRAR YA QUE E"&amp;"L ESCENARIO YA FUE APROBADO POR LA ALCALDESA")</f>
        <v>El 5 de octubre fue presentado a la alcaldesa el nuevo escenario de pico y placa solidario incluyendo movilidad compartida. El cual ya fue aprobado por ella. Esta medida iniciará su implementación en enero de 2023. ESTE COMPROMISO SE PUEDE CERRAR YA QUE EL ESCENARIO YA FUE APROBADO POR LA ALCALDESA</v>
      </c>
      <c r="N4749" s="55">
        <f ca="1">IFERROR(__xludf.DUMMYFUNCTION("""COMPUTED_VALUE"""),44880)</f>
        <v>44880</v>
      </c>
      <c r="O4749" s="25" t="str">
        <f t="shared" ca="1" si="0"/>
        <v>Secretaría Distrital de Movilidad</v>
      </c>
      <c r="P4749" s="25" t="str">
        <f t="shared" si="3"/>
        <v/>
      </c>
      <c r="Q4749" s="25" t="str">
        <f ca="1">IFERROR(__xludf.DUMMYFUNCTION("""COMPUTED_VALUE"""),"Corto plazo")</f>
        <v>Corto plazo</v>
      </c>
      <c r="R4749" s="25"/>
      <c r="S4749" s="55"/>
      <c r="T4749" s="56"/>
      <c r="U4749" s="25"/>
      <c r="V4749" s="25"/>
      <c r="W4749" s="25"/>
      <c r="X4749" s="25"/>
      <c r="Y4749" s="25"/>
      <c r="Z4749" s="25"/>
    </row>
    <row r="4750" spans="1:26" ht="52.5" customHeight="1" x14ac:dyDescent="0.25">
      <c r="A4750" s="25" t="str">
        <f ca="1">IFERROR(__xludf.DUMMYFUNCTION("""COMPUTED_VALUE"""),"Movil548")</f>
        <v>Movil548</v>
      </c>
      <c r="B4750" s="25" t="str">
        <f ca="1">IFERROR(__xludf.DUMMYFUNCTION("""COMPUTED_VALUE"""),"Cumbre de movilidad")</f>
        <v>Cumbre de movilidad</v>
      </c>
      <c r="C4750" s="55">
        <f ca="1">IFERROR(__xludf.DUMMYFUNCTION("""COMPUTED_VALUE"""),44813)</f>
        <v>44813</v>
      </c>
      <c r="D4750" s="25" t="str">
        <f ca="1">IFERROR(__xludf.DUMMYFUNCTION("""COMPUTED_VALUE"""),"Movilidad")</f>
        <v>Movilidad</v>
      </c>
      <c r="E4750" s="25" t="str">
        <f ca="1">IFERROR(__xludf.DUMMYFUNCTION("""COMPUTED_VALUE"""),"Secretaría Distrital de Movilidad")</f>
        <v>Secretaría Distrital de Movilidad</v>
      </c>
      <c r="F4750" s="25" t="str">
        <f ca="1">IFERROR(__xludf.DUMMYFUNCTION("""COMPUTED_VALUE"""),"Traer nueva propuesta de aumento racional de tarifa de estacionamiento fuera de vía. Con base en análisis. ")</f>
        <v xml:space="preserve">Traer nueva propuesta de aumento racional de tarifa de estacionamiento fuera de vía. Con base en análisis. </v>
      </c>
      <c r="G4750" s="25" t="str">
        <f ca="1">IFERROR(__xludf.DUMMYFUNCTION("""COMPUTED_VALUE"""),"99. Distrito")</f>
        <v>99. Distrito</v>
      </c>
      <c r="H4750" s="55">
        <f ca="1">IFERROR(__xludf.DUMMYFUNCTION("""COMPUTED_VALUE"""),44843)</f>
        <v>44843</v>
      </c>
      <c r="I4750" s="25"/>
      <c r="J4750" s="55" t="str">
        <f ca="1">IFERROR(__xludf.DUMMYFUNCTION("""COMPUTED_VALUE"""),"Alta")</f>
        <v>Alta</v>
      </c>
      <c r="K4750" s="25">
        <f ca="1">IFERROR(__xludf.DUMMYFUNCTION("""COMPUTED_VALUE"""),30)</f>
        <v>30</v>
      </c>
      <c r="L4750" s="62">
        <f ca="1">IFERROR(__xludf.DUMMYFUNCTION("""COMPUTED_VALUE"""),44880)</f>
        <v>44880</v>
      </c>
      <c r="M4750" s="25" t="str">
        <f ca="1">IFERROR(__xludf.DUMMYFUNCTION("""COMPUTED_VALUE"""),"El 5 de octubre fue presentado a la alcaldesa el escenario para actualización de tarifas de EFV, el cual fue aprobado. El proyecto de decreto está aprobado por las áreas técnicas de la SDM y SDG y entrará a regir el cambio en enero de 2023.  ESTE COMPROMI"&amp;"SO SE PUEDE CERRAR YA QUE EL ESCENARIO YA FUE APROBADO POR LA ALCALDESA")</f>
        <v>El 5 de octubre fue presentado a la alcaldesa el escenario para actualización de tarifas de EFV, el cual fue aprobado. El proyecto de decreto está aprobado por las áreas técnicas de la SDM y SDG y entrará a regir el cambio en enero de 2023.  ESTE COMPROMISO SE PUEDE CERRAR YA QUE EL ESCENARIO YA FUE APROBADO POR LA ALCALDESA</v>
      </c>
      <c r="N4750" s="55">
        <f ca="1">IFERROR(__xludf.DUMMYFUNCTION("""COMPUTED_VALUE"""),44880)</f>
        <v>44880</v>
      </c>
      <c r="O4750" s="25" t="str">
        <f t="shared" ca="1" si="0"/>
        <v>Secretaría Distrital de Movilidad</v>
      </c>
      <c r="P4750" s="25" t="str">
        <f t="shared" si="3"/>
        <v/>
      </c>
      <c r="Q4750" s="25" t="str">
        <f ca="1">IFERROR(__xludf.DUMMYFUNCTION("""COMPUTED_VALUE"""),"Corto plazo")</f>
        <v>Corto plazo</v>
      </c>
      <c r="R4750" s="25"/>
      <c r="S4750" s="55"/>
      <c r="T4750" s="56"/>
      <c r="U4750" s="25"/>
      <c r="V4750" s="25"/>
      <c r="W4750" s="25"/>
      <c r="X4750" s="25"/>
      <c r="Y4750" s="25"/>
      <c r="Z4750" s="25"/>
    </row>
    <row r="4751" spans="1:26" ht="52.5" customHeight="1" x14ac:dyDescent="0.25">
      <c r="A4751" s="25" t="str">
        <f ca="1">IFERROR(__xludf.DUMMYFUNCTION("""COMPUTED_VALUE"""),"Movil549")</f>
        <v>Movil549</v>
      </c>
      <c r="B4751" s="25" t="str">
        <f ca="1">IFERROR(__xludf.DUMMYFUNCTION("""COMPUTED_VALUE"""),"Cumbre de movilidad")</f>
        <v>Cumbre de movilidad</v>
      </c>
      <c r="C4751" s="55">
        <f ca="1">IFERROR(__xludf.DUMMYFUNCTION("""COMPUTED_VALUE"""),44813)</f>
        <v>44813</v>
      </c>
      <c r="D4751" s="25" t="str">
        <f ca="1">IFERROR(__xludf.DUMMYFUNCTION("""COMPUTED_VALUE"""),"Movilidad")</f>
        <v>Movilidad</v>
      </c>
      <c r="E4751" s="25" t="str">
        <f ca="1">IFERROR(__xludf.DUMMYFUNCTION("""COMPUTED_VALUE"""),"Secretaría Distrital de Movilidad")</f>
        <v>Secretaría Distrital de Movilidad</v>
      </c>
      <c r="F4751" s="25" t="str">
        <f ca="1">IFERROR(__xludf.DUMMYFUNCTION("""COMPUTED_VALUE"""),"Agregar a la campaña de cultura ciudadana si se choca muévase rápido y los Planes Estratégicos de Movilidad Sostenible en empresas.")</f>
        <v>Agregar a la campaña de cultura ciudadana si se choca muévase rápido y los Planes Estratégicos de Movilidad Sostenible en empresas.</v>
      </c>
      <c r="G4751" s="25" t="str">
        <f ca="1">IFERROR(__xludf.DUMMYFUNCTION("""COMPUTED_VALUE"""),"99. Distrito")</f>
        <v>99. Distrito</v>
      </c>
      <c r="H4751" s="55">
        <f ca="1">IFERROR(__xludf.DUMMYFUNCTION("""COMPUTED_VALUE"""),44843)</f>
        <v>44843</v>
      </c>
      <c r="I4751" s="25"/>
      <c r="J4751" s="55" t="str">
        <f ca="1">IFERROR(__xludf.DUMMYFUNCTION("""COMPUTED_VALUE"""),"Alta")</f>
        <v>Alta</v>
      </c>
      <c r="K4751" s="25">
        <f ca="1">IFERROR(__xludf.DUMMYFUNCTION("""COMPUTED_VALUE"""),30)</f>
        <v>30</v>
      </c>
      <c r="L4751" s="62">
        <f ca="1">IFERROR(__xludf.DUMMYFUNCTION("""COMPUTED_VALUE"""),44893)</f>
        <v>44893</v>
      </c>
      <c r="M4751" s="25" t="str">
        <f ca="1">IFERROR(__xludf.DUMMYFUNCTION("""COMPUTED_VALUE"""),"Se trabaja en una campaña de comunicaciones frente a la Ley de choque simple y fue socializada con la agencia nacional de seguridad vial. 
En la primera semana de diciembre se inician talleres de divulgación con agentes, policias, aseguradoras y otros act"&amp;"ores. ")</f>
        <v xml:space="preserve">Se trabaja en una campaña de comunicaciones frente a la Ley de choque simple y fue socializada con la agencia nacional de seguridad vial. 
En la primera semana de diciembre se inician talleres de divulgación con agentes, policias, aseguradoras y otros actores. </v>
      </c>
      <c r="N4751" s="55">
        <f ca="1">IFERROR(__xludf.DUMMYFUNCTION("""COMPUTED_VALUE"""),44893)</f>
        <v>44893</v>
      </c>
      <c r="O4751" s="25" t="str">
        <f t="shared" ca="1" si="0"/>
        <v>Secretaría Distrital de Movilidad</v>
      </c>
      <c r="P4751" s="25" t="str">
        <f t="shared" si="3"/>
        <v/>
      </c>
      <c r="Q4751" s="25" t="str">
        <f ca="1">IFERROR(__xludf.DUMMYFUNCTION("""COMPUTED_VALUE"""),"Corto plazo")</f>
        <v>Corto plazo</v>
      </c>
      <c r="R4751" s="25"/>
      <c r="S4751" s="55"/>
      <c r="T4751" s="56"/>
      <c r="U4751" s="25"/>
      <c r="V4751" s="25"/>
      <c r="W4751" s="25"/>
      <c r="X4751" s="25"/>
      <c r="Y4751" s="25"/>
      <c r="Z4751" s="25"/>
    </row>
    <row r="4752" spans="1:26" ht="52.5" customHeight="1" x14ac:dyDescent="0.25">
      <c r="A4752" s="25" t="str">
        <f ca="1">IFERROR(__xludf.DUMMYFUNCTION("""COMPUTED_VALUE"""),"Movil550")</f>
        <v>Movil550</v>
      </c>
      <c r="B4752" s="25" t="str">
        <f ca="1">IFERROR(__xludf.DUMMYFUNCTION("""COMPUTED_VALUE"""),"Cumbre de movilidad")</f>
        <v>Cumbre de movilidad</v>
      </c>
      <c r="C4752" s="55">
        <f ca="1">IFERROR(__xludf.DUMMYFUNCTION("""COMPUTED_VALUE"""),44813)</f>
        <v>44813</v>
      </c>
      <c r="D4752" s="25" t="str">
        <f ca="1">IFERROR(__xludf.DUMMYFUNCTION("""COMPUTED_VALUE"""),"Movilidad")</f>
        <v>Movilidad</v>
      </c>
      <c r="E4752" s="25" t="str">
        <f ca="1">IFERROR(__xludf.DUMMYFUNCTION("""COMPUTED_VALUE"""),"Secretaría Distrital de Movilidad")</f>
        <v>Secretaría Distrital de Movilidad</v>
      </c>
      <c r="F4752" s="25" t="str">
        <f ca="1">IFERROR(__xludf.DUMMYFUNCTION("""COMPUTED_VALUE"""),"La cicloalameda al norte de la Calle 1 evaluar si requiere o si ajusta, en especial en el sector de La Favorita analizar moverla una cuadra ")</f>
        <v xml:space="preserve">La cicloalameda al norte de la Calle 1 evaluar si requiere o si ajusta, en especial en el sector de La Favorita analizar moverla una cuadra </v>
      </c>
      <c r="G4752" s="25" t="str">
        <f ca="1">IFERROR(__xludf.DUMMYFUNCTION("""COMPUTED_VALUE"""),"99. Distrito")</f>
        <v>99. Distrito</v>
      </c>
      <c r="H4752" s="55">
        <f ca="1">IFERROR(__xludf.DUMMYFUNCTION("""COMPUTED_VALUE"""),44820)</f>
        <v>44820</v>
      </c>
      <c r="I4752" s="25"/>
      <c r="J4752" s="55" t="str">
        <f ca="1">IFERROR(__xludf.DUMMYFUNCTION("""COMPUTED_VALUE"""),"Alta")</f>
        <v>Alta</v>
      </c>
      <c r="K4752" s="25">
        <f ca="1">IFERROR(__xludf.DUMMYFUNCTION("""COMPUTED_VALUE"""),7)</f>
        <v>7</v>
      </c>
      <c r="L4752" s="62">
        <f ca="1">IFERROR(__xludf.DUMMYFUNCTION("""COMPUTED_VALUE"""),44890)</f>
        <v>44890</v>
      </c>
      <c r="M4752" s="25" t="str">
        <f ca="1">IFERROR(__xludf.DUMMYFUNCTION("""COMPUTED_VALUE"""),"Una vez se reviso el poligono correspondiente al Barrio La Favorita en la Localidad de Los Martires el cual esta comprendido por la Calle 21 y Calle 16 entre Carrera 14 y Carrera 19A, como se evidencia en la pagina de Sinupot, contrastado con el trazado d"&amp;"e la CAMM el cual en el sector de interes esta contemplado por la Carrera 22 hasta la Calle 22 tomando esta hacia el oriente para dirigirse por la Carrera 19B al norte, se evidencia que no existen interferencias entre el Barrio La Favorita y el trazado de"&amp;" CAMM, por lo que se requiere mayor detalle de la solicitud para realizar el analisis pertinente, lo anterior se puede verificar en el siguiente link de drive https://drive.google.com/drive/folders/1lIO4DaAwaqus6jNHyqALdICrLIg-PUbf?usp=share_link")</f>
        <v>Una vez se reviso el poligono correspondiente al Barrio La Favorita en la Localidad de Los Martires el cual esta comprendido por la Calle 21 y Calle 16 entre Carrera 14 y Carrera 19A, como se evidencia en la pagina de Sinupot, contrastado con el trazado de la CAMM el cual en el sector de interes esta contemplado por la Carrera 22 hasta la Calle 22 tomando esta hacia el oriente para dirigirse por la Carrera 19B al norte, se evidencia que no existen interferencias entre el Barrio La Favorita y el trazado de CAMM, por lo que se requiere mayor detalle de la solicitud para realizar el analisis pertinente, lo anterior se puede verificar en el siguiente link de drive https://drive.google.com/drive/folders/1lIO4DaAwaqus6jNHyqALdICrLIg-PUbf?usp=share_link</v>
      </c>
      <c r="N4752" s="55">
        <f ca="1">IFERROR(__xludf.DUMMYFUNCTION("""COMPUTED_VALUE"""),44890)</f>
        <v>44890</v>
      </c>
      <c r="O4752" s="25" t="str">
        <f t="shared" ca="1" si="0"/>
        <v>Secretaría Distrital de Movilidad</v>
      </c>
      <c r="P4752" s="25" t="str">
        <f t="shared" si="3"/>
        <v/>
      </c>
      <c r="Q4752" s="25" t="str">
        <f ca="1">IFERROR(__xludf.DUMMYFUNCTION("""COMPUTED_VALUE"""),"Corto plazo")</f>
        <v>Corto plazo</v>
      </c>
      <c r="R4752" s="25"/>
      <c r="S4752" s="55"/>
      <c r="T4752" s="56"/>
      <c r="U4752" s="25"/>
      <c r="V4752" s="25"/>
      <c r="W4752" s="25"/>
      <c r="X4752" s="25"/>
      <c r="Y4752" s="25"/>
      <c r="Z4752" s="25"/>
    </row>
    <row r="4753" spans="1:26" ht="52.5" customHeight="1" x14ac:dyDescent="0.25">
      <c r="A4753" s="25" t="str">
        <f ca="1">IFERROR(__xludf.DUMMYFUNCTION("""COMPUTED_VALUE"""),"Movil551")</f>
        <v>Movil551</v>
      </c>
      <c r="B4753" s="25" t="str">
        <f ca="1">IFERROR(__xludf.DUMMYFUNCTION("""COMPUTED_VALUE"""),"Cumbre de movilidad")</f>
        <v>Cumbre de movilidad</v>
      </c>
      <c r="C4753" s="55">
        <f ca="1">IFERROR(__xludf.DUMMYFUNCTION("""COMPUTED_VALUE"""),44813)</f>
        <v>44813</v>
      </c>
      <c r="D4753" s="25" t="str">
        <f ca="1">IFERROR(__xludf.DUMMYFUNCTION("""COMPUTED_VALUE"""),"Movilidad")</f>
        <v>Movilidad</v>
      </c>
      <c r="E4753" s="25" t="str">
        <f ca="1">IFERROR(__xludf.DUMMYFUNCTION("""COMPUTED_VALUE"""),"Empresa Metro de Bogotá S.A.")</f>
        <v>Empresa Metro de Bogotá S.A.</v>
      </c>
      <c r="F4753" s="25" t="str">
        <f ca="1">IFERROR(__xludf.DUMMYFUNCTION("""COMPUTED_VALUE"""),"Reunión con Concesionario de PLMB para revisar estado de avance y tiempos.")</f>
        <v>Reunión con Concesionario de PLMB para revisar estado de avance y tiempos.</v>
      </c>
      <c r="G4753" s="25" t="str">
        <f ca="1">IFERROR(__xludf.DUMMYFUNCTION("""COMPUTED_VALUE"""),"99. Distrito")</f>
        <v>99. Distrito</v>
      </c>
      <c r="H4753" s="55">
        <f ca="1">IFERROR(__xludf.DUMMYFUNCTION("""COMPUTED_VALUE"""),44820)</f>
        <v>44820</v>
      </c>
      <c r="I4753" s="25"/>
      <c r="J4753" s="55" t="str">
        <f ca="1">IFERROR(__xludf.DUMMYFUNCTION("""COMPUTED_VALUE"""),"Alta")</f>
        <v>Alta</v>
      </c>
      <c r="K4753" s="25">
        <f ca="1">IFERROR(__xludf.DUMMYFUNCTION("""COMPUTED_VALUE"""),7)</f>
        <v>7</v>
      </c>
      <c r="L4753" s="62">
        <f ca="1">IFERROR(__xludf.DUMMYFUNCTION("""COMPUTED_VALUE"""),44882)</f>
        <v>44882</v>
      </c>
      <c r="M4753" s="25" t="str">
        <f ca="1">IFERROR(__xludf.DUMMYFUNCTION("""COMPUTED_VALUE"""),"CERRADO.La reunión con el Concesionario se realizó el 03 de octubre de 2022.  Se presentaron los avances del contrato ")</f>
        <v xml:space="preserve">CERRADO.La reunión con el Concesionario se realizó el 03 de octubre de 2022.  Se presentaron los avances del contrato </v>
      </c>
      <c r="N4753" s="55">
        <f ca="1">IFERROR(__xludf.DUMMYFUNCTION("""COMPUTED_VALUE"""),44882)</f>
        <v>44882</v>
      </c>
      <c r="O4753" s="25" t="str">
        <f t="shared" ca="1" si="0"/>
        <v>Empresa Metro de Bogotá S.A.</v>
      </c>
      <c r="P4753" s="25" t="str">
        <f t="shared" si="3"/>
        <v/>
      </c>
      <c r="Q4753" s="25" t="str">
        <f ca="1">IFERROR(__xludf.DUMMYFUNCTION("""COMPUTED_VALUE"""),"Corto plazo")</f>
        <v>Corto plazo</v>
      </c>
      <c r="R4753" s="25"/>
      <c r="S4753" s="55"/>
      <c r="T4753" s="56"/>
      <c r="U4753" s="25"/>
      <c r="V4753" s="25"/>
      <c r="W4753" s="25"/>
      <c r="X4753" s="25"/>
      <c r="Y4753" s="25"/>
      <c r="Z4753" s="25"/>
    </row>
    <row r="4754" spans="1:26" ht="52.5" customHeight="1" x14ac:dyDescent="0.25">
      <c r="A4754" s="25" t="str">
        <f ca="1">IFERROR(__xludf.DUMMYFUNCTION("""COMPUTED_VALUE"""),"Movil552")</f>
        <v>Movil552</v>
      </c>
      <c r="B4754" s="25" t="str">
        <f ca="1">IFERROR(__xludf.DUMMYFUNCTION("""COMPUTED_VALUE"""),"Cumbre de movilidad")</f>
        <v>Cumbre de movilidad</v>
      </c>
      <c r="C4754" s="55">
        <f ca="1">IFERROR(__xludf.DUMMYFUNCTION("""COMPUTED_VALUE"""),44813)</f>
        <v>44813</v>
      </c>
      <c r="D4754" s="25" t="str">
        <f ca="1">IFERROR(__xludf.DUMMYFUNCTION("""COMPUTED_VALUE"""),"Movilidad")</f>
        <v>Movilidad</v>
      </c>
      <c r="E4754" s="25" t="str">
        <f ca="1">IFERROR(__xludf.DUMMYFUNCTION("""COMPUTED_VALUE"""),"Empresa Metro de Bogotá S.A.")</f>
        <v>Empresa Metro de Bogotá S.A.</v>
      </c>
      <c r="F4754" s="25" t="str">
        <f ca="1">IFERROR(__xludf.DUMMYFUNCTION("""COMPUTED_VALUE"""),"Consultoría de extensión PLMB debe entregar factibilidad con la opción 2 (subterranización luego de la 80). ")</f>
        <v xml:space="preserve">Consultoría de extensión PLMB debe entregar factibilidad con la opción 2 (subterranización luego de la 80). </v>
      </c>
      <c r="G4754" s="25" t="str">
        <f ca="1">IFERROR(__xludf.DUMMYFUNCTION("""COMPUTED_VALUE"""),"99. Distrito")</f>
        <v>99. Distrito</v>
      </c>
      <c r="H4754" s="55">
        <f ca="1">IFERROR(__xludf.DUMMYFUNCTION("""COMPUTED_VALUE"""),45016)</f>
        <v>45016</v>
      </c>
      <c r="I4754" s="25"/>
      <c r="J4754" s="55" t="str">
        <f ca="1">IFERROR(__xludf.DUMMYFUNCTION("""COMPUTED_VALUE"""),"Baja")</f>
        <v>Baja</v>
      </c>
      <c r="K4754" s="25">
        <f ca="1">IFERROR(__xludf.DUMMYFUNCTION("""COMPUTED_VALUE"""),203)</f>
        <v>203</v>
      </c>
      <c r="L4754" s="62">
        <f ca="1">IFERROR(__xludf.DUMMYFUNCTION("""COMPUTED_VALUE"""),44986)</f>
        <v>44986</v>
      </c>
      <c r="M4754" s="25" t="str">
        <f ca="1">IFERROR(__xludf.DUMMYFUNCTION("""COMPUTED_VALUE"""),"Posterior a la Cumbre de Movilidad el Presidente de la República solicitó el análisis de la subterranización de la PLMB en el sector de la Avda. Caracas, lo cual fue presentado el día 25 de enero de 2023.")</f>
        <v>Posterior a la Cumbre de Movilidad el Presidente de la República solicitó el análisis de la subterranización de la PLMB en el sector de la Avda. Caracas, lo cual fue presentado el día 25 de enero de 2023.</v>
      </c>
      <c r="N4754" s="55">
        <f ca="1">IFERROR(__xludf.DUMMYFUNCTION("""COMPUTED_VALUE"""),44951)</f>
        <v>44951</v>
      </c>
      <c r="O4754" s="25" t="str">
        <f t="shared" ca="1" si="0"/>
        <v>Empresa Metro de Bogotá S.A.</v>
      </c>
      <c r="P4754" s="25" t="str">
        <f t="shared" si="3"/>
        <v/>
      </c>
      <c r="Q4754" s="25" t="str">
        <f ca="1">IFERROR(__xludf.DUMMYFUNCTION("""COMPUTED_VALUE"""),"Largo plazo")</f>
        <v>Largo plazo</v>
      </c>
      <c r="R4754" s="25"/>
      <c r="S4754" s="55"/>
      <c r="T4754" s="56"/>
      <c r="U4754" s="25"/>
      <c r="V4754" s="25"/>
      <c r="W4754" s="25"/>
      <c r="X4754" s="25"/>
      <c r="Y4754" s="25"/>
      <c r="Z4754" s="25"/>
    </row>
    <row r="4755" spans="1:26" ht="52.5" customHeight="1" x14ac:dyDescent="0.25">
      <c r="A4755" s="25" t="str">
        <f ca="1">IFERROR(__xludf.DUMMYFUNCTION("""COMPUTED_VALUE"""),"Movil553")</f>
        <v>Movil553</v>
      </c>
      <c r="B4755" s="25" t="str">
        <f ca="1">IFERROR(__xludf.DUMMYFUNCTION("""COMPUTED_VALUE"""),"Cumbre de movilidad")</f>
        <v>Cumbre de movilidad</v>
      </c>
      <c r="C4755" s="55">
        <f ca="1">IFERROR(__xludf.DUMMYFUNCTION("""COMPUTED_VALUE"""),44813)</f>
        <v>44813</v>
      </c>
      <c r="D4755" s="25" t="str">
        <f ca="1">IFERROR(__xludf.DUMMYFUNCTION("""COMPUTED_VALUE"""),"Movilidad")</f>
        <v>Movilidad</v>
      </c>
      <c r="E4755" s="25" t="str">
        <f ca="1">IFERROR(__xludf.DUMMYFUNCTION("""COMPUTED_VALUE"""),"Instituto de Desarrollo Urbano")</f>
        <v>Instituto de Desarrollo Urbano</v>
      </c>
      <c r="F4755" s="25" t="str">
        <f ca="1">IFERROR(__xludf.DUMMYFUNCTION("""COMPUTED_VALUE"""),"Hacer maqueta del Cable San Cristóbal.")</f>
        <v>Hacer maqueta del Cable San Cristóbal.</v>
      </c>
      <c r="G4755" s="25" t="str">
        <f ca="1">IFERROR(__xludf.DUMMYFUNCTION("""COMPUTED_VALUE"""),"04. San Cristóbal")</f>
        <v>04. San Cristóbal</v>
      </c>
      <c r="H4755" s="55">
        <f ca="1">IFERROR(__xludf.DUMMYFUNCTION("""COMPUTED_VALUE"""),45107)</f>
        <v>45107</v>
      </c>
      <c r="I4755" s="25" t="str">
        <f ca="1">IFERROR(__xludf.DUMMYFUNCTION("""COMPUTED_VALUE"""),"Delivery Unit")</f>
        <v>Delivery Unit</v>
      </c>
      <c r="J4755" s="55" t="str">
        <f ca="1">IFERROR(__xludf.DUMMYFUNCTION("""COMPUTED_VALUE"""),"Baja")</f>
        <v>Baja</v>
      </c>
      <c r="K4755" s="25">
        <f ca="1">IFERROR(__xludf.DUMMYFUNCTION("""COMPUTED_VALUE"""),294)</f>
        <v>294</v>
      </c>
      <c r="L4755" s="62">
        <f ca="1">IFERROR(__xludf.DUMMYFUNCTION("""COMPUTED_VALUE"""),45077)</f>
        <v>45077</v>
      </c>
      <c r="M4755" s="25" t="str">
        <f ca="1">IFERROR(__xludf.DUMMYFUNCTION("""COMPUTED_VALUE"""),"Actualmente se tiene un convenio activo con maloka con quien se realizará un laboratorio para el diseño de la maqueta - este viernes se debe contar con fechas.")</f>
        <v>Actualmente se tiene un convenio activo con maloka con quien se realizará un laboratorio para el diseño de la maqueta - este viernes se debe contar con fechas.</v>
      </c>
      <c r="N4755" s="25"/>
      <c r="O4755" s="25" t="str">
        <f t="shared" ca="1" si="0"/>
        <v>Instituto de Desarrollo Urbano</v>
      </c>
      <c r="P4755" s="25" t="str">
        <f t="shared" ca="1" si="3"/>
        <v/>
      </c>
      <c r="Q4755" s="25" t="str">
        <f ca="1">IFERROR(__xludf.DUMMYFUNCTION("""COMPUTED_VALUE"""),"Largo plazo")</f>
        <v>Largo plazo</v>
      </c>
      <c r="R4755" s="25"/>
      <c r="S4755" s="55"/>
      <c r="T4755" s="56"/>
      <c r="U4755" s="25"/>
      <c r="V4755" s="25"/>
      <c r="W4755" s="25"/>
      <c r="X4755" s="25"/>
      <c r="Y4755" s="25"/>
      <c r="Z4755" s="25"/>
    </row>
    <row r="4756" spans="1:26" ht="52.5" customHeight="1" x14ac:dyDescent="0.25">
      <c r="A4756" s="25" t="str">
        <f ca="1">IFERROR(__xludf.DUMMYFUNCTION("""COMPUTED_VALUE"""),"Movil554")</f>
        <v>Movil554</v>
      </c>
      <c r="B4756" s="25" t="str">
        <f ca="1">IFERROR(__xludf.DUMMYFUNCTION("""COMPUTED_VALUE"""),"Cumbre de movilidad")</f>
        <v>Cumbre de movilidad</v>
      </c>
      <c r="C4756" s="55">
        <f ca="1">IFERROR(__xludf.DUMMYFUNCTION("""COMPUTED_VALUE"""),44813)</f>
        <v>44813</v>
      </c>
      <c r="D4756" s="25" t="str">
        <f ca="1">IFERROR(__xludf.DUMMYFUNCTION("""COMPUTED_VALUE"""),"Movilidad")</f>
        <v>Movilidad</v>
      </c>
      <c r="E4756" s="25" t="str">
        <f ca="1">IFERROR(__xludf.DUMMYFUNCTION("""COMPUTED_VALUE"""),"Instituto de Desarrollo Urbano")</f>
        <v>Instituto de Desarrollo Urbano</v>
      </c>
      <c r="F4756" s="25" t="str">
        <f ca="1">IFERROR(__xludf.DUMMYFUNCTION("""COMPUTED_VALUE"""),"Hacer análisis Origen Destino para las diferentes alternativas del cable de Santa Cecilia - Norte")</f>
        <v>Hacer análisis Origen Destino para las diferentes alternativas del cable de Santa Cecilia - Norte</v>
      </c>
      <c r="G4756" s="25" t="str">
        <f ca="1">IFERROR(__xludf.DUMMYFUNCTION("""COMPUTED_VALUE"""),"99. Distrito")</f>
        <v>99. Distrito</v>
      </c>
      <c r="H4756" s="55">
        <f ca="1">IFERROR(__xludf.DUMMYFUNCTION("""COMPUTED_VALUE"""),44843)</f>
        <v>44843</v>
      </c>
      <c r="I4756" s="25"/>
      <c r="J4756" s="55" t="str">
        <f ca="1">IFERROR(__xludf.DUMMYFUNCTION("""COMPUTED_VALUE"""),"Alta")</f>
        <v>Alta</v>
      </c>
      <c r="K4756" s="25">
        <f ca="1">IFERROR(__xludf.DUMMYFUNCTION("""COMPUTED_VALUE"""),30)</f>
        <v>30</v>
      </c>
      <c r="L4756" s="62">
        <f ca="1">IFERROR(__xludf.DUMMYFUNCTION("""COMPUTED_VALUE"""),44893)</f>
        <v>44893</v>
      </c>
      <c r="M4756" s="25" t="str">
        <f ca="1">IFERROR(__xludf.DUMMYFUNCTION("""COMPUTED_VALUE"""),"Se presentó a junta de infraestructura trazados de cable calera donde se está conectando con Santa Cecilia. Este cable no tiene recursos en anteproyecto 2023 pues es un desarrollo de la región metropolitana.")</f>
        <v>Se presentó a junta de infraestructura trazados de cable calera donde se está conectando con Santa Cecilia. Este cable no tiene recursos en anteproyecto 2023 pues es un desarrollo de la región metropolitana.</v>
      </c>
      <c r="N4756" s="55">
        <f ca="1">IFERROR(__xludf.DUMMYFUNCTION("""COMPUTED_VALUE"""),44893)</f>
        <v>44893</v>
      </c>
      <c r="O4756" s="25" t="str">
        <f t="shared" ca="1" si="0"/>
        <v>Instituto de Desarrollo Urbano</v>
      </c>
      <c r="P4756" s="25" t="str">
        <f t="shared" si="3"/>
        <v/>
      </c>
      <c r="Q4756" s="25" t="str">
        <f ca="1">IFERROR(__xludf.DUMMYFUNCTION("""COMPUTED_VALUE"""),"Corto plazo")</f>
        <v>Corto plazo</v>
      </c>
      <c r="R4756" s="25"/>
      <c r="S4756" s="55"/>
      <c r="T4756" s="56"/>
      <c r="U4756" s="25"/>
      <c r="V4756" s="25"/>
      <c r="W4756" s="25"/>
      <c r="X4756" s="25"/>
      <c r="Y4756" s="25"/>
      <c r="Z4756" s="25"/>
    </row>
    <row r="4757" spans="1:26" ht="52.5" customHeight="1" x14ac:dyDescent="0.25">
      <c r="A4757" s="25" t="str">
        <f ca="1">IFERROR(__xludf.DUMMYFUNCTION("""COMPUTED_VALUE"""),"Movil555")</f>
        <v>Movil555</v>
      </c>
      <c r="B4757" s="25" t="str">
        <f ca="1">IFERROR(__xludf.DUMMYFUNCTION("""COMPUTED_VALUE"""),"Cumbre de movilidad")</f>
        <v>Cumbre de movilidad</v>
      </c>
      <c r="C4757" s="55">
        <f ca="1">IFERROR(__xludf.DUMMYFUNCTION("""COMPUTED_VALUE"""),44813)</f>
        <v>44813</v>
      </c>
      <c r="D4757" s="25" t="str">
        <f ca="1">IFERROR(__xludf.DUMMYFUNCTION("""COMPUTED_VALUE"""),"Movilidad")</f>
        <v>Movilidad</v>
      </c>
      <c r="E4757" s="25" t="str">
        <f ca="1">IFERROR(__xludf.DUMMYFUNCTION("""COMPUTED_VALUE"""),"Instituto de Desarrollo Urbano")</f>
        <v>Instituto de Desarrollo Urbano</v>
      </c>
      <c r="F4757" s="25" t="str">
        <f ca="1">IFERROR(__xludf.DUMMYFUNCTION("""COMPUTED_VALUE"""),"Llevar a la reunión con el presidente de la ANI análisis sobre la necesidad de ajustar la conexión con la PLMB ")</f>
        <v xml:space="preserve">Llevar a la reunión con el presidente de la ANI análisis sobre la necesidad de ajustar la conexión con la PLMB </v>
      </c>
      <c r="G4757" s="25" t="str">
        <f ca="1">IFERROR(__xludf.DUMMYFUNCTION("""COMPUTED_VALUE"""),"99. Distrito")</f>
        <v>99. Distrito</v>
      </c>
      <c r="H4757" s="55">
        <f ca="1">IFERROR(__xludf.DUMMYFUNCTION("""COMPUTED_VALUE"""),44843)</f>
        <v>44843</v>
      </c>
      <c r="I4757" s="25"/>
      <c r="J4757" s="55" t="str">
        <f ca="1">IFERROR(__xludf.DUMMYFUNCTION("""COMPUTED_VALUE"""),"Alta")</f>
        <v>Alta</v>
      </c>
      <c r="K4757" s="25">
        <f ca="1">IFERROR(__xludf.DUMMYFUNCTION("""COMPUTED_VALUE"""),30)</f>
        <v>30</v>
      </c>
      <c r="L4757" s="62">
        <f ca="1">IFERROR(__xludf.DUMMYFUNCTION("""COMPUTED_VALUE"""),44893)</f>
        <v>44893</v>
      </c>
      <c r="M4757" s="25" t="str">
        <f ca="1">IFERROR(__xludf.DUMMYFUNCTION("""COMPUTED_VALUE"""),"Ya se hizo reunión con ANI el 25/10/2022.")</f>
        <v>Ya se hizo reunión con ANI el 25/10/2022.</v>
      </c>
      <c r="N4757" s="55">
        <f ca="1">IFERROR(__xludf.DUMMYFUNCTION("""COMPUTED_VALUE"""),44893)</f>
        <v>44893</v>
      </c>
      <c r="O4757" s="25" t="str">
        <f t="shared" ca="1" si="0"/>
        <v>Instituto de Desarrollo Urbano</v>
      </c>
      <c r="P4757" s="25" t="str">
        <f t="shared" si="3"/>
        <v/>
      </c>
      <c r="Q4757" s="25" t="str">
        <f ca="1">IFERROR(__xludf.DUMMYFUNCTION("""COMPUTED_VALUE"""),"Corto plazo")</f>
        <v>Corto plazo</v>
      </c>
      <c r="R4757" s="25"/>
      <c r="S4757" s="55"/>
      <c r="T4757" s="56"/>
      <c r="U4757" s="25"/>
      <c r="V4757" s="25"/>
      <c r="W4757" s="25"/>
      <c r="X4757" s="25"/>
      <c r="Y4757" s="25"/>
      <c r="Z4757" s="25"/>
    </row>
    <row r="4758" spans="1:26" ht="52.5" customHeight="1" x14ac:dyDescent="0.25">
      <c r="A4758" s="25" t="str">
        <f ca="1">IFERROR(__xludf.DUMMYFUNCTION("""COMPUTED_VALUE"""),"Movil556")</f>
        <v>Movil556</v>
      </c>
      <c r="B4758" s="25" t="str">
        <f ca="1">IFERROR(__xludf.DUMMYFUNCTION("""COMPUTED_VALUE"""),"Cumbre de movilidad")</f>
        <v>Cumbre de movilidad</v>
      </c>
      <c r="C4758" s="55">
        <f ca="1">IFERROR(__xludf.DUMMYFUNCTION("""COMPUTED_VALUE"""),44813)</f>
        <v>44813</v>
      </c>
      <c r="D4758" s="25" t="str">
        <f ca="1">IFERROR(__xludf.DUMMYFUNCTION("""COMPUTED_VALUE"""),"Movilidad")</f>
        <v>Movilidad</v>
      </c>
      <c r="E4758" s="25" t="str">
        <f ca="1">IFERROR(__xludf.DUMMYFUNCTION("""COMPUTED_VALUE"""),"Instituto de Desarrollo Urbano")</f>
        <v>Instituto de Desarrollo Urbano</v>
      </c>
      <c r="F4758" s="25" t="str">
        <f ca="1">IFERROR(__xludf.DUMMYFUNCTION("""COMPUTED_VALUE"""),"Revisar solución del intercambiador calle 80 la cantidad de carriles evitando que se generen embudos.")</f>
        <v>Revisar solución del intercambiador calle 80 la cantidad de carriles evitando que se generen embudos.</v>
      </c>
      <c r="G4758" s="25" t="str">
        <f ca="1">IFERROR(__xludf.DUMMYFUNCTION("""COMPUTED_VALUE"""),"99. Distrito")</f>
        <v>99. Distrito</v>
      </c>
      <c r="H4758" s="55">
        <f ca="1">IFERROR(__xludf.DUMMYFUNCTION("""COMPUTED_VALUE"""),44843)</f>
        <v>44843</v>
      </c>
      <c r="I4758" s="25"/>
      <c r="J4758" s="55" t="str">
        <f ca="1">IFERROR(__xludf.DUMMYFUNCTION("""COMPUTED_VALUE"""),"Alta")</f>
        <v>Alta</v>
      </c>
      <c r="K4758" s="25">
        <f ca="1">IFERROR(__xludf.DUMMYFUNCTION("""COMPUTED_VALUE"""),30)</f>
        <v>30</v>
      </c>
      <c r="L4758" s="62">
        <f ca="1">IFERROR(__xludf.DUMMYFUNCTION("""COMPUTED_VALUE"""),44886)</f>
        <v>44886</v>
      </c>
      <c r="M4758" s="25" t="str">
        <f ca="1">IFERROR(__xludf.DUMMYFUNCTION("""COMPUTED_VALUE"""),"CERRADO Teniendo en cuenta los resultados alcanzados en la etapa de prefactibilidad, se encuentran en el SECOP II publicados los concursos de méritos desde octubre, referenciando específicamente los procesos IDU-CMA-SGDU-024 y IDU-CMA-SGDU-029 de 2022 cor"&amp;"respondientes a la consultoría e interventoría para la ELABORACIÓN DE LA FACTIBILIDAD PARA EL INTERCAMBIADOR VIAL EN LA INTERSECCIÓN DE LA AVENIDA MEDELLÍN (CALLE 80) CON AVENIDA LAS QUINTAS (CARRERA 119) Y LA CARRERA 120 EN LA CIUDAD DE BOGOTÁ D.C., los "&amp;"cuales una vez sean adjudicados en diciembre del presente año y finalice su ejecución a comienzos del segundo semestre del próximo año, permitirán seleccionar la alternativa definitiva de solución para la problemática de movilidad existente en el sector, "&amp;"así como realizar la respectiva evaluación técnico - económica para el paso posterior del proyecto a las etapas de diseño definitivo y construcción, que de igual manera, están previstas para el segundo semestre de 2023, teniendo en cuenta que estarán acor"&amp;"de con los resultados obtenidos del proceso de consultoría en la etapa de factibilidad.")</f>
        <v>CERRADO Teniendo en cuenta los resultados alcanzados en la etapa de prefactibilidad, se encuentran en el SECOP II publicados los concursos de méritos desde octubre, referenciando específicamente los procesos IDU-CMA-SGDU-024 y IDU-CMA-SGDU-029 de 2022 correspondientes a la consultoría e interventoría para la ELABORACIÓN DE LA FACTIBILIDAD PARA EL INTERCAMBIADOR VIAL EN LA INTERSECCIÓN DE LA AVENIDA MEDELLÍN (CALLE 80) CON AVENIDA LAS QUINTAS (CARRERA 119) Y LA CARRERA 120 EN LA CIUDAD DE BOGOTÁ D.C., los cuales una vez sean adjudicados en diciembre del presente año y finalice su ejecución a comienzos del segundo semestre del próximo año, permitirán seleccionar la alternativa definitiva de solución para la problemática de movilidad existente en el sector, así como realizar la respectiva evaluación técnico - económica para el paso posterior del proyecto a las etapas de diseño definitivo y construcción, que de igual manera, están previstas para el segundo semestre de 2023, teniendo en cuenta que estarán acorde con los resultados obtenidos del proceso de consultoría en la etapa de factibilidad.</v>
      </c>
      <c r="N4758" s="55">
        <f ca="1">IFERROR(__xludf.DUMMYFUNCTION("""COMPUTED_VALUE"""),44886)</f>
        <v>44886</v>
      </c>
      <c r="O4758" s="25" t="str">
        <f t="shared" ca="1" si="0"/>
        <v>Instituto de Desarrollo Urbano</v>
      </c>
      <c r="P4758" s="25" t="str">
        <f t="shared" si="3"/>
        <v/>
      </c>
      <c r="Q4758" s="25" t="str">
        <f ca="1">IFERROR(__xludf.DUMMYFUNCTION("""COMPUTED_VALUE"""),"Corto plazo")</f>
        <v>Corto plazo</v>
      </c>
      <c r="R4758" s="25"/>
      <c r="S4758" s="55"/>
      <c r="T4758" s="56"/>
      <c r="U4758" s="25"/>
      <c r="V4758" s="25"/>
      <c r="W4758" s="25"/>
      <c r="X4758" s="25"/>
      <c r="Y4758" s="25"/>
      <c r="Z4758" s="25"/>
    </row>
    <row r="4759" spans="1:26" ht="52.5" customHeight="1" x14ac:dyDescent="0.25">
      <c r="A4759" s="25" t="str">
        <f ca="1">IFERROR(__xludf.DUMMYFUNCTION("""COMPUTED_VALUE"""),"Movil557")</f>
        <v>Movil557</v>
      </c>
      <c r="B4759" s="25" t="str">
        <f ca="1">IFERROR(__xludf.DUMMYFUNCTION("""COMPUTED_VALUE"""),"Cumbre de movilidad")</f>
        <v>Cumbre de movilidad</v>
      </c>
      <c r="C4759" s="55">
        <f ca="1">IFERROR(__xludf.DUMMYFUNCTION("""COMPUTED_VALUE"""),44813)</f>
        <v>44813</v>
      </c>
      <c r="D4759" s="25" t="str">
        <f ca="1">IFERROR(__xludf.DUMMYFUNCTION("""COMPUTED_VALUE"""),"Movilidad")</f>
        <v>Movilidad</v>
      </c>
      <c r="E4759" s="25" t="str">
        <f ca="1">IFERROR(__xludf.DUMMYFUNCTION("""COMPUTED_VALUE"""),"Instituto de Desarrollo Urbano")</f>
        <v>Instituto de Desarrollo Urbano</v>
      </c>
      <c r="F4759" s="25" t="str">
        <f ca="1">IFERROR(__xludf.DUMMYFUNCTION("""COMPUTED_VALUE"""),"Presentar a la ANI que calle 13 y ALO Centro van como APP de iniciativa pública")</f>
        <v>Presentar a la ANI que calle 13 y ALO Centro van como APP de iniciativa pública</v>
      </c>
      <c r="G4759" s="25" t="str">
        <f ca="1">IFERROR(__xludf.DUMMYFUNCTION("""COMPUTED_VALUE"""),"99. Distrito")</f>
        <v>99. Distrito</v>
      </c>
      <c r="H4759" s="55">
        <f ca="1">IFERROR(__xludf.DUMMYFUNCTION("""COMPUTED_VALUE"""),44895)</f>
        <v>44895</v>
      </c>
      <c r="I4759" s="25"/>
      <c r="J4759" s="55" t="str">
        <f ca="1">IFERROR(__xludf.DUMMYFUNCTION("""COMPUTED_VALUE"""),"Media")</f>
        <v>Media</v>
      </c>
      <c r="K4759" s="25">
        <f ca="1">IFERROR(__xludf.DUMMYFUNCTION("""COMPUTED_VALUE"""),82)</f>
        <v>82</v>
      </c>
      <c r="L4759" s="62">
        <f ca="1">IFERROR(__xludf.DUMMYFUNCTION("""COMPUTED_VALUE"""),44902)</f>
        <v>44902</v>
      </c>
      <c r="M4759" s="25" t="str">
        <f ca="1">IFERROR(__xludf.DUMMYFUNCTION("""COMPUTED_VALUE"""),"Para la calle 13, en el mes de agosto se firmó el convenio de cofinanciación. 
En SECOP II se encuentra el proceso del tramo 1 de la intersección de la carrera 50. En diciembre se dará apertura al segundo tramo y en abril del próximo año al patio taller d"&amp;"el proyecto. En cuanto a ALO Centro, el IDU está en reuniones con la ANI para revisar el proyecto en el marco del programa de infraestructura regional. A la fecha se han realizado 3 reuniones con la ANI. Pero ya se presento el proyecto a la ANI.")</f>
        <v>Para la calle 13, en el mes de agosto se firmó el convenio de cofinanciación. 
En SECOP II se encuentra el proceso del tramo 1 de la intersección de la carrera 50. En diciembre se dará apertura al segundo tramo y en abril del próximo año al patio taller del proyecto. En cuanto a ALO Centro, el IDU está en reuniones con la ANI para revisar el proyecto en el marco del programa de infraestructura regional. A la fecha se han realizado 3 reuniones con la ANI. Pero ya se presento el proyecto a la ANI.</v>
      </c>
      <c r="N4759" s="55">
        <f ca="1">IFERROR(__xludf.DUMMYFUNCTION("""COMPUTED_VALUE"""),44902)</f>
        <v>44902</v>
      </c>
      <c r="O4759" s="25" t="str">
        <f t="shared" ca="1" si="0"/>
        <v>Instituto de Desarrollo Urbano</v>
      </c>
      <c r="P4759" s="25" t="str">
        <f t="shared" si="3"/>
        <v/>
      </c>
      <c r="Q4759" s="25" t="str">
        <f ca="1">IFERROR(__xludf.DUMMYFUNCTION("""COMPUTED_VALUE"""),"Mediano plazo")</f>
        <v>Mediano plazo</v>
      </c>
      <c r="R4759" s="25"/>
      <c r="S4759" s="55"/>
      <c r="T4759" s="56"/>
      <c r="U4759" s="25"/>
      <c r="V4759" s="25"/>
      <c r="W4759" s="25"/>
      <c r="X4759" s="25"/>
      <c r="Y4759" s="25"/>
      <c r="Z4759" s="25"/>
    </row>
    <row r="4760" spans="1:26" ht="52.5" customHeight="1" x14ac:dyDescent="0.25">
      <c r="A4760" s="25" t="str">
        <f ca="1">IFERROR(__xludf.DUMMYFUNCTION("""COMPUTED_VALUE"""),"Movil558")</f>
        <v>Movil558</v>
      </c>
      <c r="B4760" s="25" t="str">
        <f ca="1">IFERROR(__xludf.DUMMYFUNCTION("""COMPUTED_VALUE"""),"Cumbre de movilidad")</f>
        <v>Cumbre de movilidad</v>
      </c>
      <c r="C4760" s="55">
        <f ca="1">IFERROR(__xludf.DUMMYFUNCTION("""COMPUTED_VALUE"""),44813)</f>
        <v>44813</v>
      </c>
      <c r="D4760" s="25" t="str">
        <f ca="1">IFERROR(__xludf.DUMMYFUNCTION("""COMPUTED_VALUE"""),"Movilidad")</f>
        <v>Movilidad</v>
      </c>
      <c r="E4760" s="25" t="str">
        <f ca="1">IFERROR(__xludf.DUMMYFUNCTION("""COMPUTED_VALUE"""),"Empresa de Transporte del Tercer Milenio - Transmilenio S.A.")</f>
        <v>Empresa de Transporte del Tercer Milenio - Transmilenio S.A.</v>
      </c>
      <c r="F4760" s="25" t="str">
        <f ca="1">IFERROR(__xludf.DUMMYFUNCTION("""COMPUTED_VALUE"""),"Revisar empatar extensión de vida útil de flota que va a vencer  y entrada de nueva infraestructura donde se determine cuáles sí deben reponerse, explorando vehículos de biogas.")</f>
        <v>Revisar empatar extensión de vida útil de flota que va a vencer  y entrada de nueva infraestructura donde se determine cuáles sí deben reponerse, explorando vehículos de biogas.</v>
      </c>
      <c r="G4760" s="25" t="str">
        <f ca="1">IFERROR(__xludf.DUMMYFUNCTION("""COMPUTED_VALUE"""),"99. Distrito")</f>
        <v>99. Distrito</v>
      </c>
      <c r="H4760" s="55">
        <f ca="1">IFERROR(__xludf.DUMMYFUNCTION("""COMPUTED_VALUE"""),45000)</f>
        <v>45000</v>
      </c>
      <c r="I4760" s="25" t="str">
        <f ca="1">IFERROR(__xludf.DUMMYFUNCTION("""COMPUTED_VALUE"""),"Delivery Unit")</f>
        <v>Delivery Unit</v>
      </c>
      <c r="J4760" s="55" t="str">
        <f ca="1">IFERROR(__xludf.DUMMYFUNCTION("""COMPUTED_VALUE"""),"Baja")</f>
        <v>Baja</v>
      </c>
      <c r="K4760" s="25">
        <f ca="1">IFERROR(__xludf.DUMMYFUNCTION("""COMPUTED_VALUE"""),187)</f>
        <v>187</v>
      </c>
      <c r="L4760" s="62">
        <f ca="1">IFERROR(__xludf.DUMMYFUNCTION("""COMPUTED_VALUE"""),45046)</f>
        <v>45046</v>
      </c>
      <c r="M4760" s="25" t="str">
        <f ca="1">IFERROR(__xludf.DUMMYFUNCTION("""COMPUTED_VALUE"""),"STS. La flota actual cuenta con un remanente de vida útil, se está revisando contractualmente este remanente frente a la entrada en operación de nuevas troncales y tener una reducción en la compra de flota para estas troncales. Se estan tomando dos decisi"&amp;"ones: 
1. En las concesiones de fase III, para los vehículos que alcanzan la vida útil establecida en los contratos entre los años 2023 y 2024, se está evaluando la extensión de esta hasta el 2025, de manera que se articule la reposición de estos con los "&amp;"resultados que se obtengan en el ejercicio de análisis de necesidad de flota en el mediano plazo. (STS- Heidi Gomez) EN PROCESO 
2. Necesidades de flota y de infraestructura de soporte a MP Y LP, se tiene un cronograma de trabajo que se espera finalizar e"&amp;"n el mes de octubre de 2023 para conocer los nuevos escenarios y necesidades del sistema. (STS Diego Avendaño) EN PROCESO 
3. Se estuvo colaborando con el Minminas y la UPME en la etapa de estructuración de un proyecto a realizarse con cooperación interna"&amp;"cional Sueca, para evaluar el potencial de generación y uso del BIOGAS en el país. En el cual se identificaron proyectos potenciales de generacion y uso en el distrito capital. En la medida en que se vayan estructurando los nuevos procesos de contratación"&amp;" de flota, se determinará la tecnología en cada caso. (OAP- Deysi Rodriguez) FINALIZADO ")</f>
        <v xml:space="preserve">STS. La flota actual cuenta con un remanente de vida útil, se está revisando contractualmente este remanente frente a la entrada en operación de nuevas troncales y tener una reducción en la compra de flota para estas troncales. Se estan tomando dos decisiones: 
1. En las concesiones de fase III, para los vehículos que alcanzan la vida útil establecida en los contratos entre los años 2023 y 2024, se está evaluando la extensión de esta hasta el 2025, de manera que se articule la reposición de estos con los resultados que se obtengan en el ejercicio de análisis de necesidad de flota en el mediano plazo. (STS- Heidi Gomez) EN PROCESO 
2. Necesidades de flota y de infraestructura de soporte a MP Y LP, se tiene un cronograma de trabajo que se espera finalizar en el mes de octubre de 2023 para conocer los nuevos escenarios y necesidades del sistema. (STS Diego Avendaño) EN PROCESO 
3. Se estuvo colaborando con el Minminas y la UPME en la etapa de estructuración de un proyecto a realizarse con cooperación internacional Sueca, para evaluar el potencial de generación y uso del BIOGAS en el país. En el cual se identificaron proyectos potenciales de generacion y uso en el distrito capital. En la medida en que se vayan estructurando los nuevos procesos de contratación de flota, se determinará la tecnología en cada caso. (OAP- Deysi Rodriguez) FINALIZADO </v>
      </c>
      <c r="N4760" s="55">
        <f ca="1">IFERROR(__xludf.DUMMYFUNCTION("""COMPUTED_VALUE"""),45046)</f>
        <v>45046</v>
      </c>
      <c r="O4760" s="25" t="str">
        <f t="shared" ca="1" si="0"/>
        <v>Empresa de Transporte del Tercer Milenio - Transmilenio S.A.</v>
      </c>
      <c r="P4760" s="25" t="str">
        <f t="shared" ca="1" si="3"/>
        <v/>
      </c>
      <c r="Q4760" s="25" t="str">
        <f ca="1">IFERROR(__xludf.DUMMYFUNCTION("""COMPUTED_VALUE"""),"Largo plazo")</f>
        <v>Largo plazo</v>
      </c>
      <c r="R4760" s="25"/>
      <c r="S4760" s="55"/>
      <c r="T4760" s="56"/>
      <c r="U4760" s="25"/>
      <c r="V4760" s="25"/>
      <c r="W4760" s="25"/>
      <c r="X4760" s="25"/>
      <c r="Y4760" s="25"/>
      <c r="Z4760" s="25"/>
    </row>
    <row r="4761" spans="1:26" ht="52.5" customHeight="1" x14ac:dyDescent="0.25">
      <c r="A4761" s="25" t="str">
        <f ca="1">IFERROR(__xludf.DUMMYFUNCTION("""COMPUTED_VALUE"""),"Movil559")</f>
        <v>Movil559</v>
      </c>
      <c r="B4761" s="25" t="str">
        <f ca="1">IFERROR(__xludf.DUMMYFUNCTION("""COMPUTED_VALUE"""),"Cumbre de movilidad")</f>
        <v>Cumbre de movilidad</v>
      </c>
      <c r="C4761" s="55">
        <f ca="1">IFERROR(__xludf.DUMMYFUNCTION("""COMPUTED_VALUE"""),44813)</f>
        <v>44813</v>
      </c>
      <c r="D4761" s="25" t="str">
        <f ca="1">IFERROR(__xludf.DUMMYFUNCTION("""COMPUTED_VALUE"""),"Movilidad")</f>
        <v>Movilidad</v>
      </c>
      <c r="E4761" s="25" t="str">
        <f ca="1">IFERROR(__xludf.DUMMYFUNCTION("""COMPUTED_VALUE"""),"Secretaría Distrital de Movilidad")</f>
        <v>Secretaría Distrital de Movilidad</v>
      </c>
      <c r="F4761" s="25" t="str">
        <f ca="1">IFERROR(__xludf.DUMMYFUNCTION("""COMPUTED_VALUE"""),"Para el sistema de bicicletas encontrar aliados naturales, con IPES, que contribuyan al cuidado del sistema y ciclotalleres.")</f>
        <v>Para el sistema de bicicletas encontrar aliados naturales, con IPES, que contribuyan al cuidado del sistema y ciclotalleres.</v>
      </c>
      <c r="G4761" s="25" t="str">
        <f ca="1">IFERROR(__xludf.DUMMYFUNCTION("""COMPUTED_VALUE"""),"99. Distrito")</f>
        <v>99. Distrito</v>
      </c>
      <c r="H4761" s="55">
        <f ca="1">IFERROR(__xludf.DUMMYFUNCTION("""COMPUTED_VALUE"""),44843)</f>
        <v>44843</v>
      </c>
      <c r="I4761" s="25"/>
      <c r="J4761" s="55" t="str">
        <f ca="1">IFERROR(__xludf.DUMMYFUNCTION("""COMPUTED_VALUE"""),"Alta")</f>
        <v>Alta</v>
      </c>
      <c r="K4761" s="25">
        <f ca="1">IFERROR(__xludf.DUMMYFUNCTION("""COMPUTED_VALUE"""),30)</f>
        <v>30</v>
      </c>
      <c r="L4761" s="62">
        <f ca="1">IFERROR(__xludf.DUMMYFUNCTION("""COMPUTED_VALUE"""),44883)</f>
        <v>44883</v>
      </c>
      <c r="M4761" s="25" t="str">
        <f ca="1">IFERROR(__xludf.DUMMYFUNCTION("""COMPUTED_VALUE"""),"CERRADO.1. La SDM y el IPES adelantaron mesa de trabajo el 13 de septiembre. Resultado de la reunión se organizó la propuesta de las acciones a realizar por parte del IPES como parte de la red de cuidado del sistema de bicicletas. El IPES propuso disponer"&amp;" una red de vendedores informales protectores de la infraestructura del Sistema de Bicicleta ubicados en puntos aledaños con mobiliario semiestacionario (Triciclos) e identificados, para lo cual realizó el proceso de sensibilización a la red de vendedores"&amp;" informales, convocatoria de nuevos beneficiarios de sus programas y la entrega de accesorios de identificación (Chalecos /Gorras). 
2.El IPES el 28 de septiembre presentó el resultado de proceso de ubicaciones atractivas para la red de vendedores de lo c"&amp;"ual se priorizaron las primeras estaciones del sistema.
3. El 30 de septiembre como parte de la entrada en operación del sistema el IPES presentó la estrategia https://www.ipes.gov.co/index.php/informacion-de-interes/noticias/1-200-vendedores-informales-s"&amp;"eran-protectores-de-bicis-compartidas-y-sus-estaciones/1268
4. A la fecha el IPES se encuentra en la consolidación la estrategia con el crecimiento de la red de vendedores informales y la disposición del mobiliario semiestacionario (Triciclos).")</f>
        <v>CERRADO.1. La SDM y el IPES adelantaron mesa de trabajo el 13 de septiembre. Resultado de la reunión se organizó la propuesta de las acciones a realizar por parte del IPES como parte de la red de cuidado del sistema de bicicletas. El IPES propuso disponer una red de vendedores informales protectores de la infraestructura del Sistema de Bicicleta ubicados en puntos aledaños con mobiliario semiestacionario (Triciclos) e identificados, para lo cual realizó el proceso de sensibilización a la red de vendedores informales, convocatoria de nuevos beneficiarios de sus programas y la entrega de accesorios de identificación (Chalecos /Gorras). 
2.El IPES el 28 de septiembre presentó el resultado de proceso de ubicaciones atractivas para la red de vendedores de lo cual se priorizaron las primeras estaciones del sistema.
3. El 30 de septiembre como parte de la entrada en operación del sistema el IPES presentó la estrategia https://www.ipes.gov.co/index.php/informacion-de-interes/noticias/1-200-vendedores-informales-seran-protectores-de-bicis-compartidas-y-sus-estaciones/1268
4. A la fecha el IPES se encuentra en la consolidación la estrategia con el crecimiento de la red de vendedores informales y la disposición del mobiliario semiestacionario (Triciclos).</v>
      </c>
      <c r="N4761" s="55">
        <f ca="1">IFERROR(__xludf.DUMMYFUNCTION("""COMPUTED_VALUE"""),44883)</f>
        <v>44883</v>
      </c>
      <c r="O4761" s="25" t="str">
        <f t="shared" ca="1" si="0"/>
        <v>Secretaría Distrital de Movilidad</v>
      </c>
      <c r="P4761" s="25" t="str">
        <f t="shared" si="3"/>
        <v/>
      </c>
      <c r="Q4761" s="25" t="str">
        <f ca="1">IFERROR(__xludf.DUMMYFUNCTION("""COMPUTED_VALUE"""),"Corto plazo")</f>
        <v>Corto plazo</v>
      </c>
      <c r="R4761" s="25"/>
      <c r="S4761" s="55"/>
      <c r="T4761" s="56"/>
      <c r="U4761" s="25"/>
      <c r="V4761" s="25"/>
      <c r="W4761" s="25"/>
      <c r="X4761" s="25"/>
      <c r="Y4761" s="25"/>
      <c r="Z4761" s="25"/>
    </row>
    <row r="4762" spans="1:26" ht="52.5" customHeight="1" x14ac:dyDescent="0.25">
      <c r="A4762" s="25" t="str">
        <f ca="1">IFERROR(__xludf.DUMMYFUNCTION("""COMPUTED_VALUE"""),"Movil560")</f>
        <v>Movil560</v>
      </c>
      <c r="B4762" s="25" t="str">
        <f ca="1">IFERROR(__xludf.DUMMYFUNCTION("""COMPUTED_VALUE"""),"Cumbre de movilidad")</f>
        <v>Cumbre de movilidad</v>
      </c>
      <c r="C4762" s="55">
        <f ca="1">IFERROR(__xludf.DUMMYFUNCTION("""COMPUTED_VALUE"""),44813)</f>
        <v>44813</v>
      </c>
      <c r="D4762" s="25" t="str">
        <f ca="1">IFERROR(__xludf.DUMMYFUNCTION("""COMPUTED_VALUE"""),"Movilidad")</f>
        <v>Movilidad</v>
      </c>
      <c r="E4762" s="25" t="str">
        <f ca="1">IFERROR(__xludf.DUMMYFUNCTION("""COMPUTED_VALUE"""),"Secretaría Distrital de Movilidad")</f>
        <v>Secretaría Distrital de Movilidad</v>
      </c>
      <c r="F4762" s="25" t="str">
        <f ca="1">IFERROR(__xludf.DUMMYFUNCTION("""COMPUTED_VALUE"""),"Revisar como dejar en política tarifaria personas sisbén C5 con la finalidad de tener un único criterio a nivel distrital. ")</f>
        <v xml:space="preserve">Revisar como dejar en política tarifaria personas sisbén C5 con la finalidad de tener un único criterio a nivel distrital. </v>
      </c>
      <c r="G4762" s="25" t="str">
        <f ca="1">IFERROR(__xludf.DUMMYFUNCTION("""COMPUTED_VALUE"""),"99. Distrito")</f>
        <v>99. Distrito</v>
      </c>
      <c r="H4762" s="55">
        <f ca="1">IFERROR(__xludf.DUMMYFUNCTION("""COMPUTED_VALUE"""),44926)</f>
        <v>44926</v>
      </c>
      <c r="I4762" s="25"/>
      <c r="J4762" s="55" t="str">
        <f ca="1">IFERROR(__xludf.DUMMYFUNCTION("""COMPUTED_VALUE"""),"Media")</f>
        <v>Media</v>
      </c>
      <c r="K4762" s="25">
        <f ca="1">IFERROR(__xludf.DUMMYFUNCTION("""COMPUTED_VALUE"""),113)</f>
        <v>113</v>
      </c>
      <c r="L4762" s="62">
        <f ca="1">IFERROR(__xludf.DUMMYFUNCTION("""COMPUTED_VALUE"""),44950)</f>
        <v>44950</v>
      </c>
      <c r="M4762" s="25" t="str">
        <f ca="1">IFERROR(__xludf.DUMMYFUNCTION("""COMPUTED_VALUE"""),"La SDM con acompañamiento de la empresa Inclusión SAS (Contrato No. 20211748) adelantó los estudios técnicos pertinentes para determinar el punto de corte óptimo para el beneficio tarifario para las personas de menor capacidad de pago en el SITP (SISBÉN) "&amp;"definiendo el punto de corte en C4, punto en el cual se minimizan los errores de inclusión y exclusión para el mencionado beneficio, además la SDM solicitó a la SDP que le comunicara los puntos de corte de los programas distritales que tienen como mecanis"&amp;"mo de focalización SISBÉN IV y encontró que: 
1. hay una variedad de puntos de corte en los programas distritales.
2. El punto de corte C5 está únicamente ligado al programa ingreso mínimo garantizado administrado por la SDP y SHD, informándonos que tiene"&amp;"n previsto mover dicho punto de corte en el futuro a C3 y luego a B7.
3. Se encontró que si se quisiere usar el punto de corte más repetido en los programas distritales debería ser C4, que se  encuentra presente en 3 programas sin incluir Movilidad.
4. Da"&amp;"do que la SDM no va a definir la política de punto de corte para todo el distrito, ha dejado en el proyecto de decreto que se trabajó para la transición entre SISBÉN III y SISBÉN IV, una cobertura para"" las personas mayores de dieciséis (16) años registr"&amp;"adas en el Sistema de Identificación de Potenciales Beneficiarios de Programas Sociales, metodología SISBÉN IV, que administra la Secretaría Distrital de Planeación y que se encuentren clasificadas en los niveles de los grupos A, B y/o C, que defina la Se"&amp;"cretaría Distrital de Movilidad mediante acto(s) administrativo(s)"", sin embargo, el estudio técnico de soporte y la exposición de motivos expresan que el punto de corte es C4.
5. Dado que el beneficio está sujeto a los recursos que se le asignen por vig"&amp;"encia y que dichos recursos ya fueron asignados para el 2023, se proyecta que el beneficio para el año 2023 solo cubra los grupos entre A1-B7, y para que en el año 2024 se pueda solicitar una asignación de recursos que permita llegar a los niveles C4 o C5"&amp;" según lo defina la política distrital para todos los beneficios del distrito.
Según lo establecido en el decreto 004 de 2023, se establece la metodologia sisben IV y se establece C4 como la base para la entrega de inscetivos de transporte")</f>
        <v>La SDM con acompañamiento de la empresa Inclusión SAS (Contrato No. 20211748) adelantó los estudios técnicos pertinentes para determinar el punto de corte óptimo para el beneficio tarifario para las personas de menor capacidad de pago en el SITP (SISBÉN) definiendo el punto de corte en C4, punto en el cual se minimizan los errores de inclusión y exclusión para el mencionado beneficio, además la SDM solicitó a la SDP que le comunicara los puntos de corte de los programas distritales que tienen como mecanismo de focalización SISBÉN IV y encontró que: 
1. hay una variedad de puntos de corte en los programas distritales.
2. El punto de corte C5 está únicamente ligado al programa ingreso mínimo garantizado administrado por la SDP y SHD, informándonos que tienen previsto mover dicho punto de corte en el futuro a C3 y luego a B7.
3. Se encontró que si se quisiere usar el punto de corte más repetido en los programas distritales debería ser C4, que se  encuentra presente en 3 programas sin incluir Movilidad.
4. Dado que la SDM no va a definir la política de punto de corte para todo el distrito, ha dejado en el proyecto de decreto que se trabajó para la transición entre SISBÉN III y SISBÉN IV, una cobertura para" las personas mayores de dieciséis (16) años registradas en el Sistema de Identificación de Potenciales Beneficiarios de Programas Sociales, metodología SISBÉN IV, que administra la Secretaría Distrital de Planeación y que se encuentren clasificadas en los niveles de los grupos A, B y/o C, que defina la Secretaría Distrital de Movilidad mediante acto(s) administrativo(s)", sin embargo, el estudio técnico de soporte y la exposición de motivos expresan que el punto de corte es C4.
5. Dado que el beneficio está sujeto a los recursos que se le asignen por vigencia y que dichos recursos ya fueron asignados para el 2023, se proyecta que el beneficio para el año 2023 solo cubra los grupos entre A1-B7, y para que en el año 2024 se pueda solicitar una asignación de recursos que permita llegar a los niveles C4 o C5 según lo defina la política distrital para todos los beneficios del distrito.
Según lo establecido en el decreto 004 de 2023, se establece la metodologia sisben IV y se establece C4 como la base para la entrega de inscetivos de transporte</v>
      </c>
      <c r="N4762" s="55">
        <f ca="1">IFERROR(__xludf.DUMMYFUNCTION("""COMPUTED_VALUE"""),44936)</f>
        <v>44936</v>
      </c>
      <c r="O4762" s="25" t="str">
        <f t="shared" ca="1" si="0"/>
        <v>Secretaría Distrital de Movilidad</v>
      </c>
      <c r="P4762" s="25" t="str">
        <f t="shared" si="3"/>
        <v/>
      </c>
      <c r="Q4762" s="25" t="str">
        <f ca="1">IFERROR(__xludf.DUMMYFUNCTION("""COMPUTED_VALUE"""),"Mediano plazo")</f>
        <v>Mediano plazo</v>
      </c>
      <c r="R4762" s="25"/>
      <c r="S4762" s="55"/>
      <c r="T4762" s="56"/>
      <c r="U4762" s="25"/>
      <c r="V4762" s="25"/>
      <c r="W4762" s="25"/>
      <c r="X4762" s="25"/>
      <c r="Y4762" s="25"/>
      <c r="Z4762" s="25"/>
    </row>
    <row r="4763" spans="1:26" ht="52.5" customHeight="1" x14ac:dyDescent="0.25">
      <c r="A4763" s="25" t="str">
        <f ca="1">IFERROR(__xludf.DUMMYFUNCTION("""COMPUTED_VALUE"""),"Movil561")</f>
        <v>Movil561</v>
      </c>
      <c r="B4763" s="25" t="str">
        <f ca="1">IFERROR(__xludf.DUMMYFUNCTION("""COMPUTED_VALUE"""),"Presupuesto sector movilidad")</f>
        <v>Presupuesto sector movilidad</v>
      </c>
      <c r="C4763" s="55">
        <f ca="1">IFERROR(__xludf.DUMMYFUNCTION("""COMPUTED_VALUE"""),44833)</f>
        <v>44833</v>
      </c>
      <c r="D4763" s="25" t="str">
        <f ca="1">IFERROR(__xludf.DUMMYFUNCTION("""COMPUTED_VALUE"""),"Movilidad")</f>
        <v>Movilidad</v>
      </c>
      <c r="E4763" s="25" t="str">
        <f ca="1">IFERROR(__xludf.DUMMYFUNCTION("""COMPUTED_VALUE"""),"Empresa Metro de Bogotá S.A.")</f>
        <v>Empresa Metro de Bogotá S.A.</v>
      </c>
      <c r="F4763" s="25" t="str">
        <f ca="1">IFERROR(__xludf.DUMMYFUNCTION("""COMPUTED_VALUE"""),"Asegurarse que estén los recursos de cultura metro, bien sea a cargo del concesionario o presupuesto de la EMB, con el corredor señalizado con cerramiento en los predios, junto con las carteleras y zonas comerciales que se autorizaron.")</f>
        <v>Asegurarse que estén los recursos de cultura metro, bien sea a cargo del concesionario o presupuesto de la EMB, con el corredor señalizado con cerramiento en los predios, junto con las carteleras y zonas comerciales que se autorizaron.</v>
      </c>
      <c r="G4763" s="25" t="str">
        <f ca="1">IFERROR(__xludf.DUMMYFUNCTION("""COMPUTED_VALUE"""),"99. Distrito")</f>
        <v>99. Distrito</v>
      </c>
      <c r="H4763" s="55">
        <f ca="1">IFERROR(__xludf.DUMMYFUNCTION("""COMPUTED_VALUE"""),44863)</f>
        <v>44863</v>
      </c>
      <c r="I4763" s="25"/>
      <c r="J4763" s="55" t="str">
        <f ca="1">IFERROR(__xludf.DUMMYFUNCTION("""COMPUTED_VALUE"""),"Alta")</f>
        <v>Alta</v>
      </c>
      <c r="K4763" s="25">
        <f ca="1">IFERROR(__xludf.DUMMYFUNCTION("""COMPUTED_VALUE"""),30)</f>
        <v>30</v>
      </c>
      <c r="L4763" s="62">
        <f ca="1">IFERROR(__xludf.DUMMYFUNCTION("""COMPUTED_VALUE"""),44882)</f>
        <v>44882</v>
      </c>
      <c r="M4763" s="25" t="str">
        <f ca="1">IFERROR(__xludf.DUMMYFUNCTION("""COMPUTED_VALUE"""),"CERRADO.Es importante aclarar que, el compromiso al mencionar ""cultura metro"" se refiere a la operación logística del vagón escuela, para este tema se tienen para el 2023 un presupuesto total de los recursos de cofinanciación de $500.400.000.")</f>
        <v>CERRADO.Es importante aclarar que, el compromiso al mencionar "cultura metro" se refiere a la operación logística del vagón escuela, para este tema se tienen para el 2023 un presupuesto total de los recursos de cofinanciación de $500.400.000.</v>
      </c>
      <c r="N4763" s="55">
        <f ca="1">IFERROR(__xludf.DUMMYFUNCTION("""COMPUTED_VALUE"""),44882)</f>
        <v>44882</v>
      </c>
      <c r="O4763" s="25" t="str">
        <f t="shared" ca="1" si="0"/>
        <v>Empresa Metro de Bogotá S.A.</v>
      </c>
      <c r="P4763" s="25" t="str">
        <f t="shared" si="3"/>
        <v/>
      </c>
      <c r="Q4763" s="25" t="str">
        <f ca="1">IFERROR(__xludf.DUMMYFUNCTION("""COMPUTED_VALUE"""),"Corto plazo")</f>
        <v>Corto plazo</v>
      </c>
      <c r="R4763" s="25"/>
      <c r="S4763" s="55"/>
      <c r="T4763" s="56"/>
      <c r="U4763" s="25"/>
      <c r="V4763" s="25"/>
      <c r="W4763" s="25"/>
      <c r="X4763" s="25"/>
      <c r="Y4763" s="25"/>
      <c r="Z4763" s="25"/>
    </row>
    <row r="4764" spans="1:26" ht="52.5" customHeight="1" x14ac:dyDescent="0.25">
      <c r="A4764" s="25" t="str">
        <f ca="1">IFERROR(__xludf.DUMMYFUNCTION("""COMPUTED_VALUE"""),"Movil562")</f>
        <v>Movil562</v>
      </c>
      <c r="B4764" s="25" t="str">
        <f ca="1">IFERROR(__xludf.DUMMYFUNCTION("""COMPUTED_VALUE"""),"Presupuesto sector movilidad")</f>
        <v>Presupuesto sector movilidad</v>
      </c>
      <c r="C4764" s="55">
        <f ca="1">IFERROR(__xludf.DUMMYFUNCTION("""COMPUTED_VALUE"""),44833)</f>
        <v>44833</v>
      </c>
      <c r="D4764" s="25" t="str">
        <f ca="1">IFERROR(__xludf.DUMMYFUNCTION("""COMPUTED_VALUE"""),"Movilidad")</f>
        <v>Movilidad</v>
      </c>
      <c r="E4764" s="25" t="str">
        <f ca="1">IFERROR(__xludf.DUMMYFUNCTION("""COMPUTED_VALUE"""),"Secretaría Distrital de Movilidad")</f>
        <v>Secretaría Distrital de Movilidad</v>
      </c>
      <c r="F4764" s="25" t="str">
        <f ca="1">IFERROR(__xludf.DUMMYFUNCTION("""COMPUTED_VALUE"""),"Revisar con el sector educación la inclusión de más colegios para programas de al colegio en bici, bici parceros y/o cien pies.")</f>
        <v>Revisar con el sector educación la inclusión de más colegios para programas de al colegio en bici, bici parceros y/o cien pies.</v>
      </c>
      <c r="G4764" s="25" t="str">
        <f ca="1">IFERROR(__xludf.DUMMYFUNCTION("""COMPUTED_VALUE"""),"99. Distrito")</f>
        <v>99. Distrito</v>
      </c>
      <c r="H4764" s="55">
        <f ca="1">IFERROR(__xludf.DUMMYFUNCTION("""COMPUTED_VALUE"""),44926)</f>
        <v>44926</v>
      </c>
      <c r="I4764" s="25"/>
      <c r="J4764" s="55" t="str">
        <f ca="1">IFERROR(__xludf.DUMMYFUNCTION("""COMPUTED_VALUE"""),"Media")</f>
        <v>Media</v>
      </c>
      <c r="K4764" s="25">
        <f ca="1">IFERROR(__xludf.DUMMYFUNCTION("""COMPUTED_VALUE"""),93)</f>
        <v>93</v>
      </c>
      <c r="L4764" s="62">
        <f ca="1">IFERROR(__xludf.DUMMYFUNCTION("""COMPUTED_VALUE"""),44953)</f>
        <v>44953</v>
      </c>
      <c r="M4764" s="25" t="str">
        <f ca="1">IFERROR(__xludf.DUMMYFUNCTION("""COMPUTED_VALUE"""),"A 15 de noviembre de 2022: Desde la SDM se realizó la revisión de la expansión del proyecto Ciempiés de acuerdo con los estudios de expansión, proponiendo ampliar a 3 localidades más (Candelaria, Rafael Uribe Uribe y Engativá) y a 7 colegios nuevos. En AC"&amp;"B y BP se plantea una reorganización de la operación beneficiando a 7 colegios más de las localidades en las que ya operan los proyectos. Sin embargo, por parte de la Secretaría de Educación no se tienen los recursos asegurados para soportar la expansión "&amp;"ni para mantener la operación actual, por lo que se está revisando la viabilidad y la proyección del programa en 2023. Para garantizar la expansión se requiere mínimo 5 mil millones de pesos adicionales para 2023 y 5 mil para el primer semestre de 2024.
"&amp;"El 03 de febrero se firma el acta de inicio del convenio, la secretaría de Movilidad se encuentra en proceso de contratación del personal, teniendo en cuenta que no se cuenta con recursos adicionales por parte de la secretaría de Educación, Secretaría de "&amp;"movilidad asume el costo total de la operación y no se pueden hacer expansiones por disponibilidad de recursos. ")</f>
        <v xml:space="preserve">A 15 de noviembre de 2022: Desde la SDM se realizó la revisión de la expansión del proyecto Ciempiés de acuerdo con los estudios de expansión, proponiendo ampliar a 3 localidades más (Candelaria, Rafael Uribe Uribe y Engativá) y a 7 colegios nuevos. En ACB y BP se plantea una reorganización de la operación beneficiando a 7 colegios más de las localidades en las que ya operan los proyectos. Sin embargo, por parte de la Secretaría de Educación no se tienen los recursos asegurados para soportar la expansión ni para mantener la operación actual, por lo que se está revisando la viabilidad y la proyección del programa en 2023. Para garantizar la expansión se requiere mínimo 5 mil millones de pesos adicionales para 2023 y 5 mil para el primer semestre de 2024.
El 03 de febrero se firma el acta de inicio del convenio, la secretaría de Movilidad se encuentra en proceso de contratación del personal, teniendo en cuenta que no se cuenta con recursos adicionales por parte de la secretaría de Educación, Secretaría de movilidad asume el costo total de la operación y no se pueden hacer expansiones por disponibilidad de recursos. </v>
      </c>
      <c r="N4764" s="55">
        <f ca="1">IFERROR(__xludf.DUMMYFUNCTION("""COMPUTED_VALUE"""),44960)</f>
        <v>44960</v>
      </c>
      <c r="O4764" s="25" t="str">
        <f t="shared" ca="1" si="0"/>
        <v>Secretaría Distrital de Movilidad</v>
      </c>
      <c r="P4764" s="25" t="str">
        <f t="shared" si="3"/>
        <v/>
      </c>
      <c r="Q4764" s="25" t="str">
        <f ca="1">IFERROR(__xludf.DUMMYFUNCTION("""COMPUTED_VALUE"""),"Mediano plazo")</f>
        <v>Mediano plazo</v>
      </c>
      <c r="R4764" s="25"/>
      <c r="S4764" s="55"/>
      <c r="T4764" s="56"/>
      <c r="U4764" s="25"/>
      <c r="V4764" s="25"/>
      <c r="W4764" s="25"/>
      <c r="X4764" s="25"/>
      <c r="Y4764" s="25"/>
      <c r="Z4764" s="25"/>
    </row>
    <row r="4765" spans="1:26" ht="52.5" customHeight="1" x14ac:dyDescent="0.25">
      <c r="A4765" s="25" t="str">
        <f ca="1">IFERROR(__xludf.DUMMYFUNCTION("""COMPUTED_VALUE"""),"Movil563")</f>
        <v>Movil563</v>
      </c>
      <c r="B4765" s="25" t="str">
        <f ca="1">IFERROR(__xludf.DUMMYFUNCTION("""COMPUTED_VALUE"""),"Presupuesto sector movilidad")</f>
        <v>Presupuesto sector movilidad</v>
      </c>
      <c r="C4765" s="55">
        <f ca="1">IFERROR(__xludf.DUMMYFUNCTION("""COMPUTED_VALUE"""),44833)</f>
        <v>44833</v>
      </c>
      <c r="D4765" s="25" t="str">
        <f ca="1">IFERROR(__xludf.DUMMYFUNCTION("""COMPUTED_VALUE"""),"Movilidad")</f>
        <v>Movilidad</v>
      </c>
      <c r="E4765" s="25" t="str">
        <f ca="1">IFERROR(__xludf.DUMMYFUNCTION("""COMPUTED_VALUE"""),"Empresa de Transporte del Tercer Milenio - Transmilenio S.A.")</f>
        <v>Empresa de Transporte del Tercer Milenio - Transmilenio S.A.</v>
      </c>
      <c r="F4765" s="25" t="str">
        <f ca="1">IFERROR(__xludf.DUMMYFUNCTION("""COMPUTED_VALUE"""),"Coordinar con los operadores poner cámaras de vigilancia al conductor en los buses zonales y alimentadores. Esto para control de la evasión y de comportamiento del conductor.")</f>
        <v>Coordinar con los operadores poner cámaras de vigilancia al conductor en los buses zonales y alimentadores. Esto para control de la evasión y de comportamiento del conductor.</v>
      </c>
      <c r="G4765" s="25" t="str">
        <f ca="1">IFERROR(__xludf.DUMMYFUNCTION("""COMPUTED_VALUE"""),"99. Distrito")</f>
        <v>99. Distrito</v>
      </c>
      <c r="H4765" s="55">
        <f ca="1">IFERROR(__xludf.DUMMYFUNCTION("""COMPUTED_VALUE"""),44863)</f>
        <v>44863</v>
      </c>
      <c r="I4765" s="25"/>
      <c r="J4765" s="55" t="str">
        <f ca="1">IFERROR(__xludf.DUMMYFUNCTION("""COMPUTED_VALUE"""),"Alta")</f>
        <v>Alta</v>
      </c>
      <c r="K4765" s="25">
        <f ca="1">IFERROR(__xludf.DUMMYFUNCTION("""COMPUTED_VALUE"""),30)</f>
        <v>30</v>
      </c>
      <c r="L4765" s="62"/>
      <c r="M4765" s="25" t="str">
        <f ca="1">IFERROR(__xludf.DUMMYFUNCTION("""COMPUTED_VALUE"""),"CERRADO.Todos los buses de alimentación y zonal vinculados después de 2016 tiene cámara con visual a las puertas y al conductor.")</f>
        <v>CERRADO.Todos los buses de alimentación y zonal vinculados después de 2016 tiene cámara con visual a las puertas y al conductor.</v>
      </c>
      <c r="N4765" s="55">
        <f ca="1">IFERROR(__xludf.DUMMYFUNCTION("""COMPUTED_VALUE"""),44927)</f>
        <v>44927</v>
      </c>
      <c r="O4765" s="25" t="str">
        <f t="shared" ca="1" si="0"/>
        <v>Empresa de Transporte del Tercer Milenio - Transmilenio S.A.</v>
      </c>
      <c r="P4765" s="25" t="str">
        <f t="shared" si="3"/>
        <v/>
      </c>
      <c r="Q4765" s="25" t="str">
        <f ca="1">IFERROR(__xludf.DUMMYFUNCTION("""COMPUTED_VALUE"""),"Corto plazo")</f>
        <v>Corto plazo</v>
      </c>
      <c r="R4765" s="25"/>
      <c r="S4765" s="55"/>
      <c r="T4765" s="56"/>
      <c r="U4765" s="25"/>
      <c r="V4765" s="25"/>
      <c r="W4765" s="25"/>
      <c r="X4765" s="25"/>
      <c r="Y4765" s="25"/>
      <c r="Z4765" s="25"/>
    </row>
    <row r="4766" spans="1:26" ht="52.5" customHeight="1" x14ac:dyDescent="0.25">
      <c r="A4766" s="25" t="str">
        <f ca="1">IFERROR(__xludf.DUMMYFUNCTION("""COMPUTED_VALUE"""),"Movil564")</f>
        <v>Movil564</v>
      </c>
      <c r="B4766" s="25" t="str">
        <f ca="1">IFERROR(__xludf.DUMMYFUNCTION("""COMPUTED_VALUE"""),"Presupuesto sector movilidad")</f>
        <v>Presupuesto sector movilidad</v>
      </c>
      <c r="C4766" s="55">
        <f ca="1">IFERROR(__xludf.DUMMYFUNCTION("""COMPUTED_VALUE"""),44833)</f>
        <v>44833</v>
      </c>
      <c r="D4766" s="25" t="str">
        <f ca="1">IFERROR(__xludf.DUMMYFUNCTION("""COMPUTED_VALUE"""),"Movilidad")</f>
        <v>Movilidad</v>
      </c>
      <c r="E4766" s="25" t="str">
        <f ca="1">IFERROR(__xludf.DUMMYFUNCTION("""COMPUTED_VALUE"""),"Empresa de Transporte del Tercer Milenio - Transmilenio S.A.")</f>
        <v>Empresa de Transporte del Tercer Milenio - Transmilenio S.A.</v>
      </c>
      <c r="F4766" s="25" t="str">
        <f ca="1">IFERROR(__xludf.DUMMYFUNCTION("""COMPUTED_VALUE"""),"Revisar si se puede ejercer la opción de compra del patio que opera la rolita para proveer espacio de bienestar para el personal de la rolita. ")</f>
        <v xml:space="preserve">Revisar si se puede ejercer la opción de compra del patio que opera la rolita para proveer espacio de bienestar para el personal de la rolita. </v>
      </c>
      <c r="G4766" s="25" t="str">
        <f ca="1">IFERROR(__xludf.DUMMYFUNCTION("""COMPUTED_VALUE"""),"99. Distrito")</f>
        <v>99. Distrito</v>
      </c>
      <c r="H4766" s="55">
        <f ca="1">IFERROR(__xludf.DUMMYFUNCTION("""COMPUTED_VALUE"""),44863)</f>
        <v>44863</v>
      </c>
      <c r="I4766" s="25"/>
      <c r="J4766" s="55" t="str">
        <f ca="1">IFERROR(__xludf.DUMMYFUNCTION("""COMPUTED_VALUE"""),"Alta")</f>
        <v>Alta</v>
      </c>
      <c r="K4766" s="25">
        <f ca="1">IFERROR(__xludf.DUMMYFUNCTION("""COMPUTED_VALUE"""),30)</f>
        <v>30</v>
      </c>
      <c r="L4766" s="62">
        <f ca="1">IFERROR(__xludf.DUMMYFUNCTION("""COMPUTED_VALUE"""),44895)</f>
        <v>44895</v>
      </c>
      <c r="M4766" s="25" t="str">
        <f ca="1">IFERROR(__xludf.DUMMYFUNCTION("""COMPUTED_VALUE"""),"CERRADO Se adelantaron varias reuniones en 2022 con el Subgerente general de TMSA, Ing Mario y con el Subgerente Técnico Ing Felipe y el equipo, donde se estudió el tema y se concluyó por STS de manera general, lo siguiente: Este proyecto no se encuentra "&amp;"contemplado en la meta del Plan de Desarrollo 2020-2024 relacionada con el componente de Infraestructura de soporte – patios, definida como “ejecutar el 100% de las actividades para diseñar y contratar la construcción de 6 patios troncales y zonales del S"&amp;"ITP”, por lo que no le fueron asignados recursos destinados a gestión de infraestructura.  Por su parte, se evaluó otra alternativa de consecución de recursos que sería a través de cupo de endeudamiento, siempre y cuando se lograran liberar recursos de pr"&amp;"oyectos que se estimen, ya no sean prioritarios para su ejecución, situación que a la fecha no ha sucedido.
Igualmente, la STS analizó que la única obligación contraída por TRANSMILENIO S.A para la provisión de infraestructura de soporte, patios zonale"&amp;"s, esto es, incluyendo compra predial, está referida en los contratos de Concesión 2010, conforme lo señala la Cláusula 14:  
14.1. Terminales zonales 
(…) Con posterioridad a este período el Distrito ajustará la remuneración y adelantará todas las gesti"&amp;"ones que garanticen la disponibilidad del suelo requerido para la operación en terminales zonales. Terminada la Concesión los patios o terminales zonales se revertirán al Distrito. 
Ahora bien, en los contratos referidos a la Etapa 3 de la Fase 5 del Com"&amp;"ponente Zonal, al que pertenece el Predio PERDOMO UF8, el Concesionario de Provisión de la infraestructura es el encargado de proveer la infraestructura de soporte, patio, esto es, incluye identificación y gestión predial, como un servicio durante la vige"&amp;"ncia del Contrato, 15 años, hasta el año 2036 aproximadamente.  
En este sentido, y entendiendo que la gestión predial y/o de infraestructura que corresponde a hacer a TRANSMILENIO S.A en el marco de sus funciones tiene el fin preciso de cumplir obligaci"&amp;"ones contractuales como relación conexa para garantizar la prestación del servicio público de transporte del SITP en cualquier parte de la ciudad, y que a través del Contrato de Concesión 118 de 2021 VG MOBILITY garantiza la provisión de la infraestructur"&amp;"a de soporte para atender las necesidades operacionales de la flota asociada a esta Unidad Funcional; no se encuentra sustento técnico para iniciar la gestión de compra de este predio específicamente ya que además, podría ser usado por TMSA solo hasta fin"&amp;"alizado el tiempo de la Concesión con VGM, esto es, hasta el año 2036; año en el cual también finalizarán las Concesiones de los contratos de los años 2010 y con esto, las obligaciones de TMSA establecidas en la mencionada cláusula 14 de los mismos. 
Lo "&amp;"anterior, obliga a gestionar otro predio en otro sector en la ciudad el cual se encuentre disponible, para dar cumplimiento a los requerimientos de los Contratos 2010 frente a las necesidades operacionales de las Zonas SITP concesionadas en 2010.  ")</f>
        <v xml:space="preserve">CERRADO Se adelantaron varias reuniones en 2022 con el Subgerente general de TMSA, Ing Mario y con el Subgerente Técnico Ing Felipe y el equipo, donde se estudió el tema y se concluyó por STS de manera general, lo siguiente: Este proyecto no se encuentra contemplado en la meta del Plan de Desarrollo 2020-2024 relacionada con el componente de Infraestructura de soporte – patios, definida como “ejecutar el 100% de las actividades para diseñar y contratar la construcción de 6 patios troncales y zonales del SITP”, por lo que no le fueron asignados recursos destinados a gestión de infraestructura.  Por su parte, se evaluó otra alternativa de consecución de recursos que sería a través de cupo de endeudamiento, siempre y cuando se lograran liberar recursos de proyectos que se estimen, ya no sean prioritarios para su ejecución, situación que a la fecha no ha sucedido.
Igualmente, la STS analizó que la única obligación contraída por TRANSMILENIO S.A para la provisión de infraestructura de soporte, patios zonales, esto es, incluyendo compra predial, está referida en los contratos de Concesión 2010, conforme lo señala la Cláusula 14:  
14.1. Terminales zonales 
(…) Con posterioridad a este período el Distrito ajustará la remuneración y adelantará todas las gestiones que garanticen la disponibilidad del suelo requerido para la operación en terminales zonales. Terminada la Concesión los patios o terminales zonales se revertirán al Distrito. 
Ahora bien, en los contratos referidos a la Etapa 3 de la Fase 5 del Componente Zonal, al que pertenece el Predio PERDOMO UF8, el Concesionario de Provisión de la infraestructura es el encargado de proveer la infraestructura de soporte, patio, esto es, incluye identificación y gestión predial, como un servicio durante la vigencia del Contrato, 15 años, hasta el año 2036 aproximadamente.  
En este sentido, y entendiendo que la gestión predial y/o de infraestructura que corresponde a hacer a TRANSMILENIO S.A en el marco de sus funciones tiene el fin preciso de cumplir obligaciones contractuales como relación conexa para garantizar la prestación del servicio público de transporte del SITP en cualquier parte de la ciudad, y que a través del Contrato de Concesión 118 de 2021 VG MOBILITY garantiza la provisión de la infraestructura de soporte para atender las necesidades operacionales de la flota asociada a esta Unidad Funcional; no se encuentra sustento técnico para iniciar la gestión de compra de este predio específicamente ya que además, podría ser usado por TMSA solo hasta finalizado el tiempo de la Concesión con VGM, esto es, hasta el año 2036; año en el cual también finalizarán las Concesiones de los contratos de los años 2010 y con esto, las obligaciones de TMSA establecidas en la mencionada cláusula 14 de los mismos. 
Lo anterior, obliga a gestionar otro predio en otro sector en la ciudad el cual se encuentre disponible, para dar cumplimiento a los requerimientos de los Contratos 2010 frente a las necesidades operacionales de las Zonas SITP concesionadas en 2010.  </v>
      </c>
      <c r="N4766" s="55">
        <f ca="1">IFERROR(__xludf.DUMMYFUNCTION("""COMPUTED_VALUE"""),44895)</f>
        <v>44895</v>
      </c>
      <c r="O4766" s="25" t="str">
        <f t="shared" ca="1" si="0"/>
        <v>Empresa de Transporte del Tercer Milenio - Transmilenio S.A.</v>
      </c>
      <c r="P4766" s="25" t="str">
        <f t="shared" si="3"/>
        <v/>
      </c>
      <c r="Q4766" s="25" t="str">
        <f ca="1">IFERROR(__xludf.DUMMYFUNCTION("""COMPUTED_VALUE"""),"Corto plazo")</f>
        <v>Corto plazo</v>
      </c>
      <c r="R4766" s="25"/>
      <c r="S4766" s="55"/>
      <c r="T4766" s="56"/>
      <c r="U4766" s="25"/>
      <c r="V4766" s="25"/>
      <c r="W4766" s="25"/>
      <c r="X4766" s="25"/>
      <c r="Y4766" s="25"/>
      <c r="Z4766" s="25"/>
    </row>
    <row r="4767" spans="1:26" ht="52.5" customHeight="1" x14ac:dyDescent="0.25">
      <c r="A4767" s="25" t="str">
        <f ca="1">IFERROR(__xludf.DUMMYFUNCTION("""COMPUTED_VALUE"""),"Movil565")</f>
        <v>Movil565</v>
      </c>
      <c r="B4767" s="25" t="str">
        <f ca="1">IFERROR(__xludf.DUMMYFUNCTION("""COMPUTED_VALUE"""),"Presupuesto sector movilidad")</f>
        <v>Presupuesto sector movilidad</v>
      </c>
      <c r="C4767" s="55">
        <f ca="1">IFERROR(__xludf.DUMMYFUNCTION("""COMPUTED_VALUE"""),44833)</f>
        <v>44833</v>
      </c>
      <c r="D4767" s="25" t="str">
        <f ca="1">IFERROR(__xludf.DUMMYFUNCTION("""COMPUTED_VALUE"""),"Movilidad")</f>
        <v>Movilidad</v>
      </c>
      <c r="E4767" s="25" t="str">
        <f ca="1">IFERROR(__xludf.DUMMYFUNCTION("""COMPUTED_VALUE"""),"Secretaría Distrital de Movilidad")</f>
        <v>Secretaría Distrital de Movilidad</v>
      </c>
      <c r="F4767" s="25" t="str">
        <f ca="1">IFERROR(__xludf.DUMMYFUNCTION("""COMPUTED_VALUE"""),"Enviar oficio a Fasecolda de queja por los altos cobros de las pólizas. Este oficio se debe salir con la firma de alcaldesa.")</f>
        <v>Enviar oficio a Fasecolda de queja por los altos cobros de las pólizas. Este oficio se debe salir con la firma de alcaldesa.</v>
      </c>
      <c r="G4767" s="25" t="str">
        <f ca="1">IFERROR(__xludf.DUMMYFUNCTION("""COMPUTED_VALUE"""),"99. Distrito")</f>
        <v>99. Distrito</v>
      </c>
      <c r="H4767" s="55">
        <f ca="1">IFERROR(__xludf.DUMMYFUNCTION("""COMPUTED_VALUE"""),44910)</f>
        <v>44910</v>
      </c>
      <c r="I4767" s="25"/>
      <c r="J4767" s="55" t="str">
        <f ca="1">IFERROR(__xludf.DUMMYFUNCTION("""COMPUTED_VALUE"""),"Media")</f>
        <v>Media</v>
      </c>
      <c r="K4767" s="25">
        <f ca="1">IFERROR(__xludf.DUMMYFUNCTION("""COMPUTED_VALUE"""),77)</f>
        <v>77</v>
      </c>
      <c r="L4767" s="62">
        <f ca="1">IFERROR(__xludf.DUMMYFUNCTION("""COMPUTED_VALUE"""),44950)</f>
        <v>44950</v>
      </c>
      <c r="M4767" s="25" t="str">
        <f ca="1">IFERROR(__xludf.DUMMYFUNCTION("""COMPUTED_VALUE"""),"Las Polizas de la Rolita fueron firmadas y aprobadas para inicio de operación no fue necesaria la carta ")</f>
        <v xml:space="preserve">Las Polizas de la Rolita fueron firmadas y aprobadas para inicio de operación no fue necesaria la carta </v>
      </c>
      <c r="N4767" s="55">
        <f ca="1">IFERROR(__xludf.DUMMYFUNCTION("""COMPUTED_VALUE"""),44834)</f>
        <v>44834</v>
      </c>
      <c r="O4767" s="25" t="str">
        <f t="shared" ca="1" si="0"/>
        <v>Secretaría Distrital de Movilidad</v>
      </c>
      <c r="P4767" s="25" t="str">
        <f t="shared" si="3"/>
        <v/>
      </c>
      <c r="Q4767" s="25" t="str">
        <f ca="1">IFERROR(__xludf.DUMMYFUNCTION("""COMPUTED_VALUE"""),"Mediano plazo")</f>
        <v>Mediano plazo</v>
      </c>
      <c r="R4767" s="25"/>
      <c r="S4767" s="55"/>
      <c r="T4767" s="56"/>
      <c r="U4767" s="25"/>
      <c r="V4767" s="25"/>
      <c r="W4767" s="25"/>
      <c r="X4767" s="25"/>
      <c r="Y4767" s="25"/>
      <c r="Z4767" s="25"/>
    </row>
    <row r="4768" spans="1:26" ht="52.5" customHeight="1" x14ac:dyDescent="0.25">
      <c r="A4768" s="25" t="str">
        <f ca="1">IFERROR(__xludf.DUMMYFUNCTION("""COMPUTED_VALUE"""),"Movil566")</f>
        <v>Movil566</v>
      </c>
      <c r="B4768" s="25" t="str">
        <f ca="1">IFERROR(__xludf.DUMMYFUNCTION("""COMPUTED_VALUE"""),"Presupuesto sector movilidad")</f>
        <v>Presupuesto sector movilidad</v>
      </c>
      <c r="C4768" s="55">
        <f ca="1">IFERROR(__xludf.DUMMYFUNCTION("""COMPUTED_VALUE"""),44833)</f>
        <v>44833</v>
      </c>
      <c r="D4768" s="25" t="str">
        <f ca="1">IFERROR(__xludf.DUMMYFUNCTION("""COMPUTED_VALUE"""),"Movilidad")</f>
        <v>Movilidad</v>
      </c>
      <c r="E4768" s="25" t="str">
        <f ca="1">IFERROR(__xludf.DUMMYFUNCTION("""COMPUTED_VALUE"""),"Secretaría Distrital de Movilidad")</f>
        <v>Secretaría Distrital de Movilidad</v>
      </c>
      <c r="F4768" s="25" t="str">
        <f ca="1">IFERROR(__xludf.DUMMYFUNCTION("""COMPUTED_VALUE"""),"Financiar/contratar agentes de tránsito")</f>
        <v>Financiar/contratar agentes de tránsito</v>
      </c>
      <c r="G4768" s="25" t="str">
        <f ca="1">IFERROR(__xludf.DUMMYFUNCTION("""COMPUTED_VALUE"""),"99. Distrito")</f>
        <v>99. Distrito</v>
      </c>
      <c r="H4768" s="55">
        <f ca="1">IFERROR(__xludf.DUMMYFUNCTION("""COMPUTED_VALUE"""),44863)</f>
        <v>44863</v>
      </c>
      <c r="I4768" s="25"/>
      <c r="J4768" s="55" t="str">
        <f ca="1">IFERROR(__xludf.DUMMYFUNCTION("""COMPUTED_VALUE"""),"Alta")</f>
        <v>Alta</v>
      </c>
      <c r="K4768" s="25">
        <f ca="1">IFERROR(__xludf.DUMMYFUNCTION("""COMPUTED_VALUE"""),30)</f>
        <v>30</v>
      </c>
      <c r="L4768" s="62"/>
      <c r="M4768" s="25" t="str">
        <f ca="1">IFERROR(__xludf.DUMMYFUNCTION("""COMPUTED_VALUE"""),"CERRADO. A la fecha se cuenta con 150 agentes y se está gestionando todos los temas contractuales para la contratación de 150 más para un total de 300 en la ciudad en 2023, En el mes de Noviembre y diciembre entran a inducción. ")</f>
        <v xml:space="preserve">CERRADO. A la fecha se cuenta con 150 agentes y se está gestionando todos los temas contractuales para la contratación de 150 más para un total de 300 en la ciudad en 2023, En el mes de Noviembre y diciembre entran a inducción. </v>
      </c>
      <c r="N4768" s="55">
        <f ca="1">IFERROR(__xludf.DUMMYFUNCTION("""COMPUTED_VALUE"""),44927)</f>
        <v>44927</v>
      </c>
      <c r="O4768" s="25" t="str">
        <f t="shared" ca="1" si="0"/>
        <v>Secretaría Distrital de Movilidad</v>
      </c>
      <c r="P4768" s="25" t="str">
        <f t="shared" si="3"/>
        <v/>
      </c>
      <c r="Q4768" s="25" t="str">
        <f ca="1">IFERROR(__xludf.DUMMYFUNCTION("""COMPUTED_VALUE"""),"Corto plazo")</f>
        <v>Corto plazo</v>
      </c>
      <c r="R4768" s="25"/>
      <c r="S4768" s="55"/>
      <c r="T4768" s="56"/>
      <c r="U4768" s="25"/>
      <c r="V4768" s="25"/>
      <c r="W4768" s="25"/>
      <c r="X4768" s="25"/>
      <c r="Y4768" s="25"/>
      <c r="Z4768" s="25"/>
    </row>
    <row r="4769" spans="1:26" ht="52.5" customHeight="1" x14ac:dyDescent="0.25">
      <c r="A4769" s="25" t="str">
        <f ca="1">IFERROR(__xludf.DUMMYFUNCTION("""COMPUTED_VALUE"""),"Movil567")</f>
        <v>Movil567</v>
      </c>
      <c r="B4769" s="25" t="str">
        <f ca="1">IFERROR(__xludf.DUMMYFUNCTION("""COMPUTED_VALUE"""),"Presupuesto sector movilidad")</f>
        <v>Presupuesto sector movilidad</v>
      </c>
      <c r="C4769" s="55">
        <f ca="1">IFERROR(__xludf.DUMMYFUNCTION("""COMPUTED_VALUE"""),44833)</f>
        <v>44833</v>
      </c>
      <c r="D4769" s="25" t="str">
        <f ca="1">IFERROR(__xludf.DUMMYFUNCTION("""COMPUTED_VALUE"""),"Movilidad")</f>
        <v>Movilidad</v>
      </c>
      <c r="E4769" s="25" t="str">
        <f ca="1">IFERROR(__xludf.DUMMYFUNCTION("""COMPUTED_VALUE"""),"Secretaría Distrital de Movilidad")</f>
        <v>Secretaría Distrital de Movilidad</v>
      </c>
      <c r="F4769" s="25" t="str">
        <f ca="1">IFERROR(__xludf.DUMMYFUNCTION("""COMPUTED_VALUE"""),"Traer a alcaldía presentación con el detalle del equipo de la SDM dedicado a la ARM (como una entidad, qué harán y cómo)")</f>
        <v>Traer a alcaldía presentación con el detalle del equipo de la SDM dedicado a la ARM (como una entidad, qué harán y cómo)</v>
      </c>
      <c r="G4769" s="25" t="str">
        <f ca="1">IFERROR(__xludf.DUMMYFUNCTION("""COMPUTED_VALUE"""),"99. Distrito")</f>
        <v>99. Distrito</v>
      </c>
      <c r="H4769" s="55">
        <f ca="1">IFERROR(__xludf.DUMMYFUNCTION("""COMPUTED_VALUE"""),44901)</f>
        <v>44901</v>
      </c>
      <c r="I4769" s="25"/>
      <c r="J4769" s="55" t="str">
        <f ca="1">IFERROR(__xludf.DUMMYFUNCTION("""COMPUTED_VALUE"""),"Media")</f>
        <v>Media</v>
      </c>
      <c r="K4769" s="25">
        <f ca="1">IFERROR(__xludf.DUMMYFUNCTION("""COMPUTED_VALUE"""),68)</f>
        <v>68</v>
      </c>
      <c r="L4769" s="62">
        <f ca="1">IFERROR(__xludf.DUMMYFUNCTION("""COMPUTED_VALUE"""),44896)</f>
        <v>44896</v>
      </c>
      <c r="M4769" s="25" t="str">
        <f ca="1">IFERROR(__xludf.DUMMYFUNCTION("""COMPUTED_VALUE"""),"CERRADO. La estructura fue enviada directamente a  la alcaldesa por parte de la secretaría de Movilidad, por solicitud de ella. 
La estructura aprobada se presentará el 6 de diciembre a la Alcaldesa. La estructura fue aprobada. ")</f>
        <v xml:space="preserve">CERRADO. La estructura fue enviada directamente a  la alcaldesa por parte de la secretaría de Movilidad, por solicitud de ella. 
La estructura aprobada se presentará el 6 de diciembre a la Alcaldesa. La estructura fue aprobada. </v>
      </c>
      <c r="N4769" s="55">
        <f ca="1">IFERROR(__xludf.DUMMYFUNCTION("""COMPUTED_VALUE"""),44896)</f>
        <v>44896</v>
      </c>
      <c r="O4769" s="25" t="str">
        <f t="shared" ca="1" si="0"/>
        <v>Secretaría Distrital de Movilidad</v>
      </c>
      <c r="P4769" s="25" t="str">
        <f t="shared" si="3"/>
        <v/>
      </c>
      <c r="Q4769" s="25" t="str">
        <f ca="1">IFERROR(__xludf.DUMMYFUNCTION("""COMPUTED_VALUE"""),"Mediano plazo")</f>
        <v>Mediano plazo</v>
      </c>
      <c r="R4769" s="25"/>
      <c r="S4769" s="55"/>
      <c r="T4769" s="56"/>
      <c r="U4769" s="25"/>
      <c r="V4769" s="25"/>
      <c r="W4769" s="25"/>
      <c r="X4769" s="25"/>
      <c r="Y4769" s="25"/>
      <c r="Z4769" s="25"/>
    </row>
    <row r="4770" spans="1:26" ht="52.5" customHeight="1" x14ac:dyDescent="0.25">
      <c r="A4770" s="25" t="str">
        <f ca="1">IFERROR(__xludf.DUMMYFUNCTION("""COMPUTED_VALUE"""),"Movil568")</f>
        <v>Movil568</v>
      </c>
      <c r="B4770" s="25" t="str">
        <f ca="1">IFERROR(__xludf.DUMMYFUNCTION("""COMPUTED_VALUE"""),"Presupuesto sector movilidad")</f>
        <v>Presupuesto sector movilidad</v>
      </c>
      <c r="C4770" s="55">
        <f ca="1">IFERROR(__xludf.DUMMYFUNCTION("""COMPUTED_VALUE"""),44833)</f>
        <v>44833</v>
      </c>
      <c r="D4770" s="25" t="str">
        <f ca="1">IFERROR(__xludf.DUMMYFUNCTION("""COMPUTED_VALUE"""),"Movilidad")</f>
        <v>Movilidad</v>
      </c>
      <c r="E4770" s="25" t="str">
        <f ca="1">IFERROR(__xludf.DUMMYFUNCTION("""COMPUTED_VALUE"""),"Empresa de Transporte del Tercer Milenio - Transmilenio S.A.")</f>
        <v>Empresa de Transporte del Tercer Milenio - Transmilenio S.A.</v>
      </c>
      <c r="F4770" s="25" t="str">
        <f ca="1">IFERROR(__xludf.DUMMYFUNCTION("""COMPUTED_VALUE"""),"Traer a comité de APP rechazo del CIM del Norte")</f>
        <v>Traer a comité de APP rechazo del CIM del Norte</v>
      </c>
      <c r="G4770" s="25" t="str">
        <f ca="1">IFERROR(__xludf.DUMMYFUNCTION("""COMPUTED_VALUE"""),"99. Distrito")</f>
        <v>99. Distrito</v>
      </c>
      <c r="H4770" s="55">
        <f ca="1">IFERROR(__xludf.DUMMYFUNCTION("""COMPUTED_VALUE"""),44863)</f>
        <v>44863</v>
      </c>
      <c r="I4770" s="25"/>
      <c r="J4770" s="55" t="str">
        <f ca="1">IFERROR(__xludf.DUMMYFUNCTION("""COMPUTED_VALUE"""),"Alta")</f>
        <v>Alta</v>
      </c>
      <c r="K4770" s="25">
        <f ca="1">IFERROR(__xludf.DUMMYFUNCTION("""COMPUTED_VALUE"""),30)</f>
        <v>30</v>
      </c>
      <c r="L4770" s="62"/>
      <c r="M4770" s="25" t="str">
        <f ca="1">IFERROR(__xludf.DUMMYFUNCTION("""COMPUTED_VALUE"""),"CERRADO. Desde TRANSMILENIO S.A. se solicita al Comité Distrital de APP recomendar la declaratoria de proyecto fallido de la Iniciativa de Asociación Público Privada “Complejo de Integración Modal de la Autopista Norte” la medida que:
• Cumplimiento Requi"&amp;"sitos legales: No ha realizado una entrega completa de los estudios de factibilidad, lo que impide la evaluación de la propuesta de acuerdo a la Ley 1508 de 2012. No es posible evaluar la capacidad financiera o potencial de financiación de acuerdo a lo di"&amp;"spuesto en el Decreto 1082 de 2015.
Viabilidad técnica: No se atienden a la necesidad mínima de la Entidad en cuanto a la capacidad requerida para el patio del Sistema.
Participación de la Terminal de Transporte: No se detalla el modelo bajo el que partic"&amp;"ipa la 
Terminal de Transporte, ni se brindan soluciones que permitan incorporar el predio de la Terminal Satélite del Norte a la iniciativa.
Incertidumbre frente al plazo solicitado: El plazo solicitado por el Originador se encuentra condicionado a que “"&amp;"se normalicen las condiciones financieras” por lo que no se garantiza que al transcurrir los cuatro meses requeridos se entreguen los estudios de factibilidad de la iniciativa.
Tampoco se presenta un plan de trabajo para llevar a cabo durante el plazo adi"&amp;"cional solicitado.
El comité se llevó a cabo el 12 de octubre de 2022, con la declaratoria Fallida ")</f>
        <v xml:space="preserve">CERRADO. Desde TRANSMILENIO S.A. se solicita al Comité Distrital de APP recomendar la declaratoria de proyecto fallido de la Iniciativa de Asociación Público Privada “Complejo de Integración Modal de la Autopista Norte” la medida que:
• Cumplimiento Requisitos legales: No ha realizado una entrega completa de los estudios de factibilidad, lo que impide la evaluación de la propuesta de acuerdo a la Ley 1508 de 2012. No es posible evaluar la capacidad financiera o potencial de financiación de acuerdo a lo dispuesto en el Decreto 1082 de 2015.
Viabilidad técnica: No se atienden a la necesidad mínima de la Entidad en cuanto a la capacidad requerida para el patio del Sistema.
Participación de la Terminal de Transporte: No se detalla el modelo bajo el que participa la 
Terminal de Transporte, ni se brindan soluciones que permitan incorporar el predio de la Terminal Satélite del Norte a la iniciativa.
Incertidumbre frente al plazo solicitado: El plazo solicitado por el Originador se encuentra condicionado a que “se normalicen las condiciones financieras” por lo que no se garantiza que al transcurrir los cuatro meses requeridos se entreguen los estudios de factibilidad de la iniciativa.
Tampoco se presenta un plan de trabajo para llevar a cabo durante el plazo adicional solicitado.
El comité se llevó a cabo el 12 de octubre de 2022, con la declaratoria Fallida </v>
      </c>
      <c r="N4770" s="55">
        <f ca="1">IFERROR(__xludf.DUMMYFUNCTION("""COMPUTED_VALUE"""),44927)</f>
        <v>44927</v>
      </c>
      <c r="O4770" s="25" t="str">
        <f t="shared" ca="1" si="0"/>
        <v>Empresa de Transporte del Tercer Milenio - Transmilenio S.A.</v>
      </c>
      <c r="P4770" s="25" t="str">
        <f t="shared" si="3"/>
        <v/>
      </c>
      <c r="Q4770" s="25" t="str">
        <f ca="1">IFERROR(__xludf.DUMMYFUNCTION("""COMPUTED_VALUE"""),"Corto plazo")</f>
        <v>Corto plazo</v>
      </c>
      <c r="R4770" s="25"/>
      <c r="S4770" s="55"/>
      <c r="T4770" s="56"/>
      <c r="U4770" s="25"/>
      <c r="V4770" s="25"/>
      <c r="W4770" s="25"/>
      <c r="X4770" s="25"/>
      <c r="Y4770" s="25"/>
      <c r="Z4770" s="25"/>
    </row>
    <row r="4771" spans="1:26" ht="52.5" customHeight="1" x14ac:dyDescent="0.25">
      <c r="A4771" s="25" t="str">
        <f ca="1">IFERROR(__xludf.DUMMYFUNCTION("""COMPUTED_VALUE"""),"Movil569")</f>
        <v>Movil569</v>
      </c>
      <c r="B4771" s="25" t="str">
        <f ca="1">IFERROR(__xludf.DUMMYFUNCTION("""COMPUTED_VALUE"""),"Presupuesto sector movilidad")</f>
        <v>Presupuesto sector movilidad</v>
      </c>
      <c r="C4771" s="55">
        <f ca="1">IFERROR(__xludf.DUMMYFUNCTION("""COMPUTED_VALUE"""),44833)</f>
        <v>44833</v>
      </c>
      <c r="D4771" s="25" t="str">
        <f ca="1">IFERROR(__xludf.DUMMYFUNCTION("""COMPUTED_VALUE"""),"Movilidad")</f>
        <v>Movilidad</v>
      </c>
      <c r="E4771" s="25" t="str">
        <f ca="1">IFERROR(__xludf.DUMMYFUNCTION("""COMPUTED_VALUE"""),"Instituto de Desarrollo Urbano")</f>
        <v>Instituto de Desarrollo Urbano</v>
      </c>
      <c r="F4771" s="25" t="str">
        <f ca="1">IFERROR(__xludf.DUMMYFUNCTION("""COMPUTED_VALUE"""),"Organizar con contratistas y SDM poder trabajar del 26 de diciembre al 23 de enero 24/7 en todos sus frentes de obra.")</f>
        <v>Organizar con contratistas y SDM poder trabajar del 26 de diciembre al 23 de enero 24/7 en todos sus frentes de obra.</v>
      </c>
      <c r="G4771" s="25" t="str">
        <f ca="1">IFERROR(__xludf.DUMMYFUNCTION("""COMPUTED_VALUE"""),"99. Distrito")</f>
        <v>99. Distrito</v>
      </c>
      <c r="H4771" s="55">
        <f ca="1">IFERROR(__xludf.DUMMYFUNCTION("""COMPUTED_VALUE"""),44902)</f>
        <v>44902</v>
      </c>
      <c r="I4771" s="25"/>
      <c r="J4771" s="55" t="str">
        <f ca="1">IFERROR(__xludf.DUMMYFUNCTION("""COMPUTED_VALUE"""),"Media")</f>
        <v>Media</v>
      </c>
      <c r="K4771" s="25">
        <f ca="1">IFERROR(__xludf.DUMMYFUNCTION("""COMPUTED_VALUE"""),69)</f>
        <v>69</v>
      </c>
      <c r="L4771" s="62">
        <f ca="1">IFERROR(__xludf.DUMMYFUNCTION("""COMPUTED_VALUE"""),44893)</f>
        <v>44893</v>
      </c>
      <c r="M4771" s="25" t="str">
        <f ca="1">IFERROR(__xludf.DUMMYFUNCTION("""COMPUTED_VALUE"""),"CERRADO: Se cuenta con un plan de obras por parte de IDU y UMV para procesos de mantenimiento vial y mantenimiento de calzadas. Se cuenta con plan de choque para PMTs en estas obras. El plan de intervención se presentó el 6 de Diciembre, con cronograma de"&amp;" 5 de diciembre al 20 de enero, con mas de 200 frentes de obra para Manteniento via, Espacio publico y ciclorutas. ")</f>
        <v xml:space="preserve">CERRADO: Se cuenta con un plan de obras por parte de IDU y UMV para procesos de mantenimiento vial y mantenimiento de calzadas. Se cuenta con plan de choque para PMTs en estas obras. El plan de intervención se presentó el 6 de Diciembre, con cronograma de 5 de diciembre al 20 de enero, con mas de 200 frentes de obra para Manteniento via, Espacio publico y ciclorutas. </v>
      </c>
      <c r="N4771" s="55">
        <f ca="1">IFERROR(__xludf.DUMMYFUNCTION("""COMPUTED_VALUE"""),44893)</f>
        <v>44893</v>
      </c>
      <c r="O4771" s="25" t="str">
        <f t="shared" ca="1" si="0"/>
        <v>Instituto de Desarrollo Urbano</v>
      </c>
      <c r="P4771" s="25" t="str">
        <f t="shared" si="3"/>
        <v/>
      </c>
      <c r="Q4771" s="25" t="str">
        <f ca="1">IFERROR(__xludf.DUMMYFUNCTION("""COMPUTED_VALUE"""),"Mediano plazo")</f>
        <v>Mediano plazo</v>
      </c>
      <c r="R4771" s="25"/>
      <c r="S4771" s="55"/>
      <c r="T4771" s="56"/>
      <c r="U4771" s="25"/>
      <c r="V4771" s="25"/>
      <c r="W4771" s="25"/>
      <c r="X4771" s="25"/>
      <c r="Y4771" s="25"/>
      <c r="Z4771" s="25"/>
    </row>
    <row r="4772" spans="1:26" ht="52.5" customHeight="1" x14ac:dyDescent="0.25">
      <c r="A4772" s="25" t="str">
        <f ca="1">IFERROR(__xludf.DUMMYFUNCTION("""COMPUTED_VALUE"""),"Movil570")</f>
        <v>Movil570</v>
      </c>
      <c r="B4772" s="25" t="str">
        <f ca="1">IFERROR(__xludf.DUMMYFUNCTION("""COMPUTED_VALUE"""),"Presupuesto sector movilidad")</f>
        <v>Presupuesto sector movilidad</v>
      </c>
      <c r="C4772" s="55">
        <f ca="1">IFERROR(__xludf.DUMMYFUNCTION("""COMPUTED_VALUE"""),44833)</f>
        <v>44833</v>
      </c>
      <c r="D4772" s="25" t="str">
        <f ca="1">IFERROR(__xludf.DUMMYFUNCTION("""COMPUTED_VALUE"""),"Movilidad")</f>
        <v>Movilidad</v>
      </c>
      <c r="E4772" s="25" t="str">
        <f ca="1">IFERROR(__xludf.DUMMYFUNCTION("""COMPUTED_VALUE"""),"Instituto de Desarrollo Urbano")</f>
        <v>Instituto de Desarrollo Urbano</v>
      </c>
      <c r="F4772" s="25" t="str">
        <f ca="1">IFERROR(__xludf.DUMMYFUNCTION("""COMPUTED_VALUE"""),"Incluir en el ejercicio del IDU de las localidades las intervenciones de los fondos locales y la UMV.")</f>
        <v>Incluir en el ejercicio del IDU de las localidades las intervenciones de los fondos locales y la UMV.</v>
      </c>
      <c r="G4772" s="25" t="str">
        <f ca="1">IFERROR(__xludf.DUMMYFUNCTION("""COMPUTED_VALUE"""),"99. Distrito")</f>
        <v>99. Distrito</v>
      </c>
      <c r="H4772" s="55">
        <f ca="1">IFERROR(__xludf.DUMMYFUNCTION("""COMPUTED_VALUE"""),44863)</f>
        <v>44863</v>
      </c>
      <c r="I4772" s="25"/>
      <c r="J4772" s="55" t="str">
        <f ca="1">IFERROR(__xludf.DUMMYFUNCTION("""COMPUTED_VALUE"""),"Alta")</f>
        <v>Alta</v>
      </c>
      <c r="K4772" s="25">
        <f ca="1">IFERROR(__xludf.DUMMYFUNCTION("""COMPUTED_VALUE"""),30)</f>
        <v>30</v>
      </c>
      <c r="L4772" s="62">
        <f ca="1">IFERROR(__xludf.DUMMYFUNCTION("""COMPUTED_VALUE"""),44897)</f>
        <v>44897</v>
      </c>
      <c r="M4772" s="25" t="str">
        <f ca="1">IFERROR(__xludf.DUMMYFUNCTION("""COMPUTED_VALUE"""),"El tablero de control de las intervenciones de la malla vial lo administran desde gobierno de datos abiertos.")</f>
        <v>El tablero de control de las intervenciones de la malla vial lo administran desde gobierno de datos abiertos.</v>
      </c>
      <c r="N4772" s="55">
        <f ca="1">IFERROR(__xludf.DUMMYFUNCTION("""COMPUTED_VALUE"""),44897)</f>
        <v>44897</v>
      </c>
      <c r="O4772" s="25" t="str">
        <f t="shared" ca="1" si="0"/>
        <v>Instituto de Desarrollo Urbano</v>
      </c>
      <c r="P4772" s="25" t="str">
        <f t="shared" si="3"/>
        <v/>
      </c>
      <c r="Q4772" s="25" t="str">
        <f ca="1">IFERROR(__xludf.DUMMYFUNCTION("""COMPUTED_VALUE"""),"Corto plazo")</f>
        <v>Corto plazo</v>
      </c>
      <c r="R4772" s="25"/>
      <c r="S4772" s="55"/>
      <c r="T4772" s="56"/>
      <c r="U4772" s="25"/>
      <c r="V4772" s="25"/>
      <c r="W4772" s="25"/>
      <c r="X4772" s="25"/>
      <c r="Y4772" s="25"/>
      <c r="Z4772" s="25"/>
    </row>
    <row r="4773" spans="1:26" ht="52.5" customHeight="1" x14ac:dyDescent="0.25">
      <c r="A4773" s="25" t="str">
        <f ca="1">IFERROR(__xludf.DUMMYFUNCTION("""COMPUTED_VALUE"""),"Movil571")</f>
        <v>Movil571</v>
      </c>
      <c r="B4773" s="25" t="str">
        <f ca="1">IFERROR(__xludf.DUMMYFUNCTION("""COMPUTED_VALUE"""),"Corredor férreo del sur ")</f>
        <v xml:space="preserve">Corredor férreo del sur </v>
      </c>
      <c r="C4773" s="55">
        <f ca="1">IFERROR(__xludf.DUMMYFUNCTION("""COMPUTED_VALUE"""),44839)</f>
        <v>44839</v>
      </c>
      <c r="D4773" s="25" t="str">
        <f ca="1">IFERROR(__xludf.DUMMYFUNCTION("""COMPUTED_VALUE"""),"Movilidad")</f>
        <v>Movilidad</v>
      </c>
      <c r="E4773" s="25" t="str">
        <f ca="1">IFERROR(__xludf.DUMMYFUNCTION("""COMPUTED_VALUE"""),"Instituto de Desarrollo Urbano")</f>
        <v>Instituto de Desarrollo Urbano</v>
      </c>
      <c r="F4773" s="25" t="str">
        <f ca="1">IFERROR(__xludf.DUMMYFUNCTION("""COMPUTED_VALUE"""),"Ajustar y actualizar análisis incluyendo la alternativa 7 hasta estacion central")</f>
        <v>Ajustar y actualizar análisis incluyendo la alternativa 7 hasta estacion central</v>
      </c>
      <c r="G4773" s="25" t="str">
        <f ca="1">IFERROR(__xludf.DUMMYFUNCTION("""COMPUTED_VALUE"""),"99. Distrito")</f>
        <v>99. Distrito</v>
      </c>
      <c r="H4773" s="55">
        <f ca="1">IFERROR(__xludf.DUMMYFUNCTION("""COMPUTED_VALUE"""),44926)</f>
        <v>44926</v>
      </c>
      <c r="I4773" s="25"/>
      <c r="J4773" s="55" t="str">
        <f ca="1">IFERROR(__xludf.DUMMYFUNCTION("""COMPUTED_VALUE"""),"Media")</f>
        <v>Media</v>
      </c>
      <c r="K4773" s="25">
        <f ca="1">IFERROR(__xludf.DUMMYFUNCTION("""COMPUTED_VALUE"""),87)</f>
        <v>87</v>
      </c>
      <c r="L4773" s="62">
        <f ca="1">IFERROR(__xludf.DUMMYFUNCTION("""COMPUTED_VALUE"""),44893)</f>
        <v>44893</v>
      </c>
      <c r="M4773" s="25" t="str">
        <f ca="1">IFERROR(__xludf.DUMMYFUNCTION("""COMPUTED_VALUE"""),"Con el cierre de la Etapa 3 del contrato 1860 de 2021, el consultor ajusta el producto denominado ""Matriz Multicriterio"" con la alternativa 7 y su correspondiente ajuste de acceso e integración en el punto denominado ""Estación Central"" y considerando "&amp;"parámetro. ")</f>
        <v xml:space="preserve">Con el cierre de la Etapa 3 del contrato 1860 de 2021, el consultor ajusta el producto denominado "Matriz Multicriterio" con la alternativa 7 y su correspondiente ajuste de acceso e integración en el punto denominado "Estación Central" y considerando parámetro. </v>
      </c>
      <c r="N4773" s="55">
        <f ca="1">IFERROR(__xludf.DUMMYFUNCTION("""COMPUTED_VALUE"""),44926)</f>
        <v>44926</v>
      </c>
      <c r="O4773" s="25" t="str">
        <f t="shared" ca="1" si="0"/>
        <v>Instituto de Desarrollo Urbano</v>
      </c>
      <c r="P4773" s="25" t="str">
        <f t="shared" si="3"/>
        <v/>
      </c>
      <c r="Q4773" s="25" t="str">
        <f ca="1">IFERROR(__xludf.DUMMYFUNCTION("""COMPUTED_VALUE"""),"Mediano plazo")</f>
        <v>Mediano plazo</v>
      </c>
      <c r="R4773" s="25"/>
      <c r="S4773" s="55"/>
      <c r="T4773" s="56"/>
      <c r="U4773" s="25"/>
      <c r="V4773" s="25"/>
      <c r="W4773" s="25"/>
      <c r="X4773" s="25"/>
      <c r="Y4773" s="25"/>
      <c r="Z4773" s="25"/>
    </row>
    <row r="4774" spans="1:26" ht="52.5" customHeight="1" x14ac:dyDescent="0.25">
      <c r="A4774" s="25" t="str">
        <f ca="1">IFERROR(__xludf.DUMMYFUNCTION("""COMPUTED_VALUE"""),"Movil572")</f>
        <v>Movil572</v>
      </c>
      <c r="B4774" s="25" t="str">
        <f ca="1">IFERROR(__xludf.DUMMYFUNCTION("""COMPUTED_VALUE"""),"Corredor férreo del sur ")</f>
        <v xml:space="preserve">Corredor férreo del sur </v>
      </c>
      <c r="C4774" s="55">
        <f ca="1">IFERROR(__xludf.DUMMYFUNCTION("""COMPUTED_VALUE"""),44839)</f>
        <v>44839</v>
      </c>
      <c r="D4774" s="25" t="str">
        <f ca="1">IFERROR(__xludf.DUMMYFUNCTION("""COMPUTED_VALUE"""),"Movilidad")</f>
        <v>Movilidad</v>
      </c>
      <c r="E4774" s="25" t="str">
        <f ca="1">IFERROR(__xludf.DUMMYFUNCTION("""COMPUTED_VALUE"""),"Instituto de Desarrollo Urbano")</f>
        <v>Instituto de Desarrollo Urbano</v>
      </c>
      <c r="F4774" s="25" t="str">
        <f ca="1">IFERROR(__xludf.DUMMYFUNCTION("""COMPUTED_VALUE"""),"Incorporar en el análisis la dificultad de intervención en la avenida las torres, con un indicador o variable en la multicriterio.")</f>
        <v>Incorporar en el análisis la dificultad de intervención en la avenida las torres, con un indicador o variable en la multicriterio.</v>
      </c>
      <c r="G4774" s="25" t="str">
        <f ca="1">IFERROR(__xludf.DUMMYFUNCTION("""COMPUTED_VALUE"""),"99. Distrito")</f>
        <v>99. Distrito</v>
      </c>
      <c r="H4774" s="55">
        <f ca="1">IFERROR(__xludf.DUMMYFUNCTION("""COMPUTED_VALUE"""),44926)</f>
        <v>44926</v>
      </c>
      <c r="I4774" s="25"/>
      <c r="J4774" s="55" t="str">
        <f ca="1">IFERROR(__xludf.DUMMYFUNCTION("""COMPUTED_VALUE"""),"Media")</f>
        <v>Media</v>
      </c>
      <c r="K4774" s="25">
        <f ca="1">IFERROR(__xludf.DUMMYFUNCTION("""COMPUTED_VALUE"""),87)</f>
        <v>87</v>
      </c>
      <c r="L4774" s="62">
        <f ca="1">IFERROR(__xludf.DUMMYFUNCTION("""COMPUTED_VALUE"""),44893)</f>
        <v>44893</v>
      </c>
      <c r="M4774" s="25" t="str">
        <f ca="1">IFERROR(__xludf.DUMMYFUNCTION("""COMPUTED_VALUE"""),"Con el cierre de la Etapa 3 del contrato 1860 de 2021, el consultor ajusta el producto denominado ""Matriz Multicriterio"" con la alternativa 7 y su correspondiente ajuste de acceso e integración en el punto denominado ""Estación Central"" y considerando "&amp;"parámetros constructivos que afectan intervención en el corredor de la Avenida de las Torres: ""Conexión del Municipio de Soacha con el Distrito Capital bajo una alternativa de metro pesado"".")</f>
        <v>Con el cierre de la Etapa 3 del contrato 1860 de 2021, el consultor ajusta el producto denominado "Matriz Multicriterio" con la alternativa 7 y su correspondiente ajuste de acceso e integración en el punto denominado "Estación Central" y considerando parámetros constructivos que afectan intervención en el corredor de la Avenida de las Torres: "Conexión del Municipio de Soacha con el Distrito Capital bajo una alternativa de metro pesado".</v>
      </c>
      <c r="N4774" s="55">
        <f ca="1">IFERROR(__xludf.DUMMYFUNCTION("""COMPUTED_VALUE"""),44926)</f>
        <v>44926</v>
      </c>
      <c r="O4774" s="25" t="str">
        <f t="shared" ca="1" si="0"/>
        <v>Instituto de Desarrollo Urbano</v>
      </c>
      <c r="P4774" s="25" t="str">
        <f t="shared" si="3"/>
        <v/>
      </c>
      <c r="Q4774" s="25" t="str">
        <f ca="1">IFERROR(__xludf.DUMMYFUNCTION("""COMPUTED_VALUE"""),"Mediano plazo")</f>
        <v>Mediano plazo</v>
      </c>
      <c r="R4774" s="25"/>
      <c r="S4774" s="55"/>
      <c r="T4774" s="56"/>
      <c r="U4774" s="25"/>
      <c r="V4774" s="25"/>
      <c r="W4774" s="25"/>
      <c r="X4774" s="25"/>
      <c r="Y4774" s="25"/>
      <c r="Z4774" s="25"/>
    </row>
    <row r="4775" spans="1:26" ht="52.5" customHeight="1" x14ac:dyDescent="0.25">
      <c r="A4775" s="25" t="str">
        <f ca="1">IFERROR(__xludf.DUMMYFUNCTION("""COMPUTED_VALUE"""),"Movil573")</f>
        <v>Movil573</v>
      </c>
      <c r="B4775" s="25" t="str">
        <f ca="1">IFERROR(__xludf.DUMMYFUNCTION("""COMPUTED_VALUE"""),"Corredor férreo del sur ")</f>
        <v xml:space="preserve">Corredor férreo del sur </v>
      </c>
      <c r="C4775" s="55">
        <f ca="1">IFERROR(__xludf.DUMMYFUNCTION("""COMPUTED_VALUE"""),44839)</f>
        <v>44839</v>
      </c>
      <c r="D4775" s="25" t="str">
        <f ca="1">IFERROR(__xludf.DUMMYFUNCTION("""COMPUTED_VALUE"""),"Movilidad")</f>
        <v>Movilidad</v>
      </c>
      <c r="E4775" s="25" t="str">
        <f ca="1">IFERROR(__xludf.DUMMYFUNCTION("""COMPUTED_VALUE"""),"Instituto de Desarrollo Urbano")</f>
        <v>Instituto de Desarrollo Urbano</v>
      </c>
      <c r="F4775" s="25" t="str">
        <f ca="1">IFERROR(__xludf.DUMMYFUNCTION("""COMPUTED_VALUE"""),"Formalizar ante el invías que línea 3 va subterráneo y que la troncal 68 puede ir a nivel.")</f>
        <v>Formalizar ante el invías que línea 3 va subterráneo y que la troncal 68 puede ir a nivel.</v>
      </c>
      <c r="G4775" s="25" t="str">
        <f ca="1">IFERROR(__xludf.DUMMYFUNCTION("""COMPUTED_VALUE"""),"99. Distrito")</f>
        <v>99. Distrito</v>
      </c>
      <c r="H4775" s="55">
        <f ca="1">IFERROR(__xludf.DUMMYFUNCTION("""COMPUTED_VALUE"""),44910)</f>
        <v>44910</v>
      </c>
      <c r="I4775" s="25"/>
      <c r="J4775" s="55" t="str">
        <f ca="1">IFERROR(__xludf.DUMMYFUNCTION("""COMPUTED_VALUE"""),"Media")</f>
        <v>Media</v>
      </c>
      <c r="K4775" s="25">
        <f ca="1">IFERROR(__xludf.DUMMYFUNCTION("""COMPUTED_VALUE"""),71)</f>
        <v>71</v>
      </c>
      <c r="L4775" s="62">
        <f ca="1">IFERROR(__xludf.DUMMYFUNCTION("""COMPUTED_VALUE"""),44963)</f>
        <v>44963</v>
      </c>
      <c r="M4775" s="25" t="str">
        <f ca="1">IFERROR(__xludf.DUMMYFUNCTION("""COMPUTED_VALUE"""),"El IDU viene realizando el recibo de los productos asociados a la Etapa 3 del contrato de Consultoría 1860 de 2021, en el cual es de vital importancia contar con el documento denominado ""MATRIZ MULTICRITERIO SELECCIÓN DE LA ALTERNATIVA"" avalado y cerrad"&amp;"o por la Interventoría y el IDU. El 24 de enero se realiza el comite y queda formalizado el trazado ")</f>
        <v xml:space="preserve">El IDU viene realizando el recibo de los productos asociados a la Etapa 3 del contrato de Consultoría 1860 de 2021, en el cual es de vital importancia contar con el documento denominado "MATRIZ MULTICRITERIO SELECCIÓN DE LA ALTERNATIVA" avalado y cerrado por la Interventoría y el IDU. El 24 de enero se realiza el comite y queda formalizado el trazado </v>
      </c>
      <c r="N4775" s="55">
        <f ca="1">IFERROR(__xludf.DUMMYFUNCTION("""COMPUTED_VALUE"""),44950)</f>
        <v>44950</v>
      </c>
      <c r="O4775" s="25" t="str">
        <f t="shared" ca="1" si="0"/>
        <v>Instituto de Desarrollo Urbano</v>
      </c>
      <c r="P4775" s="25" t="str">
        <f t="shared" si="3"/>
        <v/>
      </c>
      <c r="Q4775" s="25" t="str">
        <f ca="1">IFERROR(__xludf.DUMMYFUNCTION("""COMPUTED_VALUE"""),"Mediano plazo")</f>
        <v>Mediano plazo</v>
      </c>
      <c r="R4775" s="25"/>
      <c r="S4775" s="55"/>
      <c r="T4775" s="56"/>
      <c r="U4775" s="25"/>
      <c r="V4775" s="25"/>
      <c r="W4775" s="25"/>
      <c r="X4775" s="25"/>
      <c r="Y4775" s="25"/>
      <c r="Z4775" s="25"/>
    </row>
    <row r="4776" spans="1:26" ht="52.5" customHeight="1" x14ac:dyDescent="0.25">
      <c r="A4776" s="25" t="str">
        <f ca="1">IFERROR(__xludf.DUMMYFUNCTION("""COMPUTED_VALUE"""),"Movil574")</f>
        <v>Movil574</v>
      </c>
      <c r="B4776" s="25" t="str">
        <f ca="1">IFERROR(__xludf.DUMMYFUNCTION("""COMPUTED_VALUE"""),"Reunión ANI")</f>
        <v>Reunión ANI</v>
      </c>
      <c r="C4776" s="55">
        <f ca="1">IFERROR(__xludf.DUMMYFUNCTION("""COMPUTED_VALUE"""),44861)</f>
        <v>44861</v>
      </c>
      <c r="D4776" s="25" t="str">
        <f ca="1">IFERROR(__xludf.DUMMYFUNCTION("""COMPUTED_VALUE"""),"Movilidad")</f>
        <v>Movilidad</v>
      </c>
      <c r="E4776" s="25" t="str">
        <f ca="1">IFERROR(__xludf.DUMMYFUNCTION("""COMPUTED_VALUE"""),"Secretaría Distrital de Movilidad")</f>
        <v>Secretaría Distrital de Movilidad</v>
      </c>
      <c r="F4776" s="25" t="str">
        <f ca="1">IFERROR(__xludf.DUMMYFUNCTION("""COMPUTED_VALUE"""),"Revisar en detalle en conjunto con el equipo de la ANI el análisis de la matriz multicriterio del Regiotram Norte")</f>
        <v>Revisar en detalle en conjunto con el equipo de la ANI el análisis de la matriz multicriterio del Regiotram Norte</v>
      </c>
      <c r="G4776" s="25" t="str">
        <f ca="1">IFERROR(__xludf.DUMMYFUNCTION("""COMPUTED_VALUE"""),"99. Distrito")</f>
        <v>99. Distrito</v>
      </c>
      <c r="H4776" s="55">
        <f ca="1">IFERROR(__xludf.DUMMYFUNCTION("""COMPUTED_VALUE"""),44873)</f>
        <v>44873</v>
      </c>
      <c r="I4776" s="25"/>
      <c r="J4776" s="55" t="str">
        <f ca="1">IFERROR(__xludf.DUMMYFUNCTION("""COMPUTED_VALUE"""),"Alta")</f>
        <v>Alta</v>
      </c>
      <c r="K4776" s="25">
        <f ca="1">IFERROR(__xludf.DUMMYFUNCTION("""COMPUTED_VALUE"""),12)</f>
        <v>12</v>
      </c>
      <c r="L4776" s="62">
        <f ca="1">IFERROR(__xludf.DUMMYFUNCTION("""COMPUTED_VALUE"""),44893)</f>
        <v>44893</v>
      </c>
      <c r="M4776" s="25" t="str">
        <f ca="1">IFERROR(__xludf.DUMMYFUNCTION("""COMPUTED_VALUE"""),"Se han realizado revisiones semanales de avances del proyecto mediante comité técnico para presentación.")</f>
        <v>Se han realizado revisiones semanales de avances del proyecto mediante comité técnico para presentación.</v>
      </c>
      <c r="N4776" s="55">
        <f ca="1">IFERROR(__xludf.DUMMYFUNCTION("""COMPUTED_VALUE"""),44893)</f>
        <v>44893</v>
      </c>
      <c r="O4776" s="25" t="str">
        <f t="shared" ca="1" si="0"/>
        <v>Secretaría Distrital de Movilidad</v>
      </c>
      <c r="P4776" s="25" t="str">
        <f t="shared" si="3"/>
        <v/>
      </c>
      <c r="Q4776" s="25" t="str">
        <f ca="1">IFERROR(__xludf.DUMMYFUNCTION("""COMPUTED_VALUE"""),"Corto plazo")</f>
        <v>Corto plazo</v>
      </c>
      <c r="R4776" s="25"/>
      <c r="S4776" s="55"/>
      <c r="T4776" s="56"/>
      <c r="U4776" s="25"/>
      <c r="V4776" s="25"/>
      <c r="W4776" s="25"/>
      <c r="X4776" s="25"/>
      <c r="Y4776" s="25"/>
      <c r="Z4776" s="25"/>
    </row>
    <row r="4777" spans="1:26" ht="52.5" customHeight="1" x14ac:dyDescent="0.25">
      <c r="A4777" s="25" t="str">
        <f ca="1">IFERROR(__xludf.DUMMYFUNCTION("""COMPUTED_VALUE"""),"Movil575")</f>
        <v>Movil575</v>
      </c>
      <c r="B4777" s="25" t="str">
        <f ca="1">IFERROR(__xludf.DUMMYFUNCTION("""COMPUTED_VALUE"""),"AE – Ciudadela Educativa y del Cuidado")</f>
        <v>AE – Ciudadela Educativa y del Cuidado</v>
      </c>
      <c r="C4777" s="55">
        <f ca="1">IFERROR(__xludf.DUMMYFUNCTION("""COMPUTED_VALUE"""),44875)</f>
        <v>44875</v>
      </c>
      <c r="D4777" s="25" t="str">
        <f ca="1">IFERROR(__xludf.DUMMYFUNCTION("""COMPUTED_VALUE"""),"Movilidad")</f>
        <v>Movilidad</v>
      </c>
      <c r="E4777" s="25" t="str">
        <f ca="1">IFERROR(__xludf.DUMMYFUNCTION("""COMPUTED_VALUE"""),"Instituto de Desarrollo Urbano")</f>
        <v>Instituto de Desarrollo Urbano</v>
      </c>
      <c r="F4777" s="25" t="str">
        <f ca="1">IFERROR(__xludf.DUMMYFUNCTION("""COMPUTED_VALUE"""),"Revisar los cálculos del costo de completar la transversal de Suba hasta Fontanar del Río; y revisar si se puede cargar este costo al proyecto Metro de Bogotá")</f>
        <v>Revisar los cálculos del costo de completar la transversal de Suba hasta Fontanar del Río; y revisar si se puede cargar este costo al proyecto Metro de Bogotá</v>
      </c>
      <c r="G4777" s="25" t="str">
        <f ca="1">IFERROR(__xludf.DUMMYFUNCTION("""COMPUTED_VALUE"""),"11. Suba")</f>
        <v>11. Suba</v>
      </c>
      <c r="H4777" s="55">
        <f ca="1">IFERROR(__xludf.DUMMYFUNCTION("""COMPUTED_VALUE"""),45017)</f>
        <v>45017</v>
      </c>
      <c r="I4777" s="25"/>
      <c r="J4777" s="55" t="str">
        <f ca="1">IFERROR(__xludf.DUMMYFUNCTION("""COMPUTED_VALUE"""),"Media")</f>
        <v>Media</v>
      </c>
      <c r="K4777" s="25">
        <f ca="1">IFERROR(__xludf.DUMMYFUNCTION("""COMPUTED_VALUE"""),142)</f>
        <v>142</v>
      </c>
      <c r="L4777" s="62">
        <f ca="1">IFERROR(__xludf.DUMMYFUNCTION("""COMPUTED_VALUE"""),44952)</f>
        <v>44952</v>
      </c>
      <c r="M4777" s="25" t="str">
        <f ca="1">IFERROR(__xludf.DUMMYFUNCTION("""COMPUTED_VALUE"""),"Ya se entregaron los costos en diciembre 2022 - valor obra $  25,934,161,289 
")</f>
        <v xml:space="preserve">Ya se entregaron los costos en diciembre 2022 - valor obra $  25,934,161,289 
</v>
      </c>
      <c r="N4777" s="55">
        <f ca="1">IFERROR(__xludf.DUMMYFUNCTION("""COMPUTED_VALUE"""),44926)</f>
        <v>44926</v>
      </c>
      <c r="O4777" s="25" t="str">
        <f t="shared" ca="1" si="0"/>
        <v>Instituto de Desarrollo Urbano</v>
      </c>
      <c r="P4777" s="25" t="str">
        <f t="shared" si="3"/>
        <v/>
      </c>
      <c r="Q4777" s="25" t="str">
        <f ca="1">IFERROR(__xludf.DUMMYFUNCTION("""COMPUTED_VALUE"""),"Mediano plazo")</f>
        <v>Mediano plazo</v>
      </c>
      <c r="R4777" s="25"/>
      <c r="S4777" s="55"/>
      <c r="T4777" s="56"/>
      <c r="U4777" s="25"/>
      <c r="V4777" s="25"/>
      <c r="W4777" s="25"/>
      <c r="X4777" s="25"/>
      <c r="Y4777" s="25"/>
      <c r="Z4777" s="25"/>
    </row>
    <row r="4778" spans="1:26" ht="52.5" customHeight="1" x14ac:dyDescent="0.25">
      <c r="A4778" s="25" t="str">
        <f ca="1">IFERROR(__xludf.DUMMYFUNCTION("""COMPUTED_VALUE"""),"Movil576")</f>
        <v>Movil576</v>
      </c>
      <c r="B4778" s="25" t="str">
        <f ca="1">IFERROR(__xludf.DUMMYFUNCTION("""COMPUTED_VALUE"""),"AE – Ciudadela Educativa y del Cuidado")</f>
        <v>AE – Ciudadela Educativa y del Cuidado</v>
      </c>
      <c r="C4778" s="55">
        <f ca="1">IFERROR(__xludf.DUMMYFUNCTION("""COMPUTED_VALUE"""),44875)</f>
        <v>44875</v>
      </c>
      <c r="D4778" s="25" t="str">
        <f ca="1">IFERROR(__xludf.DUMMYFUNCTION("""COMPUTED_VALUE"""),"Movilidad")</f>
        <v>Movilidad</v>
      </c>
      <c r="E4778" s="25" t="str">
        <f ca="1">IFERROR(__xludf.DUMMYFUNCTION("""COMPUTED_VALUE"""),"Secretaría Distrital de Movilidad")</f>
        <v>Secretaría Distrital de Movilidad</v>
      </c>
      <c r="F4778" s="25" t="str">
        <f ca="1">IFERROR(__xludf.DUMMYFUNCTION("""COMPUTED_VALUE"""),"Formular un PRUM que permita la subterranizar y aprovechar el suelo del portal de Transmilenio y Éxito.")</f>
        <v>Formular un PRUM que permita la subterranizar y aprovechar el suelo del portal de Transmilenio y Éxito.</v>
      </c>
      <c r="G4778" s="25" t="str">
        <f ca="1">IFERROR(__xludf.DUMMYFUNCTION("""COMPUTED_VALUE"""),"99. Distrito")</f>
        <v>99. Distrito</v>
      </c>
      <c r="H4778" s="55">
        <f ca="1">IFERROR(__xludf.DUMMYFUNCTION("""COMPUTED_VALUE"""),45107)</f>
        <v>45107</v>
      </c>
      <c r="I4778" s="25" t="str">
        <f ca="1">IFERROR(__xludf.DUMMYFUNCTION("""COMPUTED_VALUE"""),"Junta de Infraestructura")</f>
        <v>Junta de Infraestructura</v>
      </c>
      <c r="J4778" s="55" t="str">
        <f ca="1">IFERROR(__xludf.DUMMYFUNCTION("""COMPUTED_VALUE"""),"Media")</f>
        <v>Media</v>
      </c>
      <c r="K4778" s="25">
        <f ca="1">IFERROR(__xludf.DUMMYFUNCTION("""COMPUTED_VALUE"""),232)</f>
        <v>232</v>
      </c>
      <c r="L4778" s="62">
        <f ca="1">IFERROR(__xludf.DUMMYFUNCTION("""COMPUTED_VALUE"""),45016)</f>
        <v>45016</v>
      </c>
      <c r="M4778" s="25" t="str">
        <f ca="1">IFERROR(__xludf.DUMMYFUNCTION("""COMPUTED_VALUE"""),"Se están realizando las mesas de trabajo de de manera interintitucional para la determinanción de los PRUMS y el alcance, a partir de la entrega de los estudios finales de la Ciudadela, se podrá estructurar el Prums ")</f>
        <v xml:space="preserve">Se están realizando las mesas de trabajo de de manera interintitucional para la determinanción de los PRUMS y el alcance, a partir de la entrega de los estudios finales de la Ciudadela, se podrá estructurar el Prums </v>
      </c>
      <c r="N4778" s="25"/>
      <c r="O4778" s="25" t="str">
        <f t="shared" ca="1" si="0"/>
        <v>Secretaría Distrital de Movilidad</v>
      </c>
      <c r="P4778" s="25" t="str">
        <f t="shared" ca="1" si="3"/>
        <v/>
      </c>
      <c r="Q4778" s="25" t="str">
        <f ca="1">IFERROR(__xludf.DUMMYFUNCTION("""COMPUTED_VALUE"""),"Largo plazo")</f>
        <v>Largo plazo</v>
      </c>
      <c r="R4778" s="25"/>
      <c r="S4778" s="55"/>
      <c r="T4778" s="56"/>
      <c r="U4778" s="25"/>
      <c r="V4778" s="25"/>
      <c r="W4778" s="25"/>
      <c r="X4778" s="25"/>
      <c r="Y4778" s="25"/>
      <c r="Z4778" s="25"/>
    </row>
    <row r="4779" spans="1:26" ht="52.5" customHeight="1" x14ac:dyDescent="0.25">
      <c r="A4779" s="25" t="str">
        <f ca="1">IFERROR(__xludf.DUMMYFUNCTION("""COMPUTED_VALUE"""),"Movil577")</f>
        <v>Movil577</v>
      </c>
      <c r="B4779" s="25" t="str">
        <f ca="1">IFERROR(__xludf.DUMMYFUNCTION("""COMPUTED_VALUE"""),"AE – Ciudadela Educativa y del Cuidado")</f>
        <v>AE – Ciudadela Educativa y del Cuidado</v>
      </c>
      <c r="C4779" s="55">
        <f ca="1">IFERROR(__xludf.DUMMYFUNCTION("""COMPUTED_VALUE"""),44875)</f>
        <v>44875</v>
      </c>
      <c r="D4779" s="25" t="str">
        <f ca="1">IFERROR(__xludf.DUMMYFUNCTION("""COMPUTED_VALUE"""),"Movilidad")</f>
        <v>Movilidad</v>
      </c>
      <c r="E4779" s="25" t="str">
        <f ca="1">IFERROR(__xludf.DUMMYFUNCTION("""COMPUTED_VALUE"""),"Instituto de Desarrollo Urbano")</f>
        <v>Instituto de Desarrollo Urbano</v>
      </c>
      <c r="F4779" s="25" t="str">
        <f ca="1">IFERROR(__xludf.DUMMYFUNCTION("""COMPUTED_VALUE"""),"Revisión del costo del Valor de la Carga General del Par Vial e intersecciones. Actualmente tiene un costo de 405 mil millones")</f>
        <v>Revisión del costo del Valor de la Carga General del Par Vial e intersecciones. Actualmente tiene un costo de 405 mil millones</v>
      </c>
      <c r="G4779" s="25" t="str">
        <f ca="1">IFERROR(__xludf.DUMMYFUNCTION("""COMPUTED_VALUE"""),"99. Distrito")</f>
        <v>99. Distrito</v>
      </c>
      <c r="H4779" s="55">
        <f ca="1">IFERROR(__xludf.DUMMYFUNCTION("""COMPUTED_VALUE"""),44905)</f>
        <v>44905</v>
      </c>
      <c r="I4779" s="25"/>
      <c r="J4779" s="55" t="str">
        <f ca="1">IFERROR(__xludf.DUMMYFUNCTION("""COMPUTED_VALUE"""),"Alta")</f>
        <v>Alta</v>
      </c>
      <c r="K4779" s="25">
        <f ca="1">IFERROR(__xludf.DUMMYFUNCTION("""COMPUTED_VALUE"""),30)</f>
        <v>30</v>
      </c>
      <c r="L4779" s="62">
        <f ca="1">IFERROR(__xludf.DUMMYFUNCTION("""COMPUTED_VALUE"""),44897)</f>
        <v>44897</v>
      </c>
      <c r="M4779" s="25" t="str">
        <f ca="1">IFERROR(__xludf.DUMMYFUNCTION("""COMPUTED_VALUE"""),"Ya se tiene el costo estimado: $ 549.568.030.835")</f>
        <v>Ya se tiene el costo estimado: $ 549.568.030.835</v>
      </c>
      <c r="N4779" s="55">
        <f ca="1">IFERROR(__xludf.DUMMYFUNCTION("""COMPUTED_VALUE"""),44897)</f>
        <v>44897</v>
      </c>
      <c r="O4779" s="25" t="str">
        <f t="shared" ca="1" si="0"/>
        <v>Instituto de Desarrollo Urbano</v>
      </c>
      <c r="P4779" s="25" t="str">
        <f t="shared" si="3"/>
        <v/>
      </c>
      <c r="Q4779" s="25" t="str">
        <f ca="1">IFERROR(__xludf.DUMMYFUNCTION("""COMPUTED_VALUE"""),"Corto plazo")</f>
        <v>Corto plazo</v>
      </c>
      <c r="R4779" s="25"/>
      <c r="S4779" s="55"/>
      <c r="T4779" s="56"/>
      <c r="U4779" s="25"/>
      <c r="V4779" s="25"/>
      <c r="W4779" s="25"/>
      <c r="X4779" s="25"/>
      <c r="Y4779" s="25"/>
      <c r="Z4779" s="25"/>
    </row>
    <row r="4780" spans="1:26" ht="52.5" customHeight="1" x14ac:dyDescent="0.25">
      <c r="A4780" s="25" t="str">
        <f ca="1">IFERROR(__xludf.DUMMYFUNCTION("""COMPUTED_VALUE"""),"Movil578")</f>
        <v>Movil578</v>
      </c>
      <c r="B4780" s="25" t="str">
        <f ca="1">IFERROR(__xludf.DUMMYFUNCTION("""COMPUTED_VALUE"""),"Junta de Infraestructura")</f>
        <v>Junta de Infraestructura</v>
      </c>
      <c r="C4780" s="55">
        <f ca="1">IFERROR(__xludf.DUMMYFUNCTION("""COMPUTED_VALUE"""),44881)</f>
        <v>44881</v>
      </c>
      <c r="D4780" s="25" t="str">
        <f ca="1">IFERROR(__xludf.DUMMYFUNCTION("""COMPUTED_VALUE"""),"Movilidad")</f>
        <v>Movilidad</v>
      </c>
      <c r="E4780" s="25" t="str">
        <f ca="1">IFERROR(__xludf.DUMMYFUNCTION("""COMPUTED_VALUE"""),"Instituto de Desarrollo Urbano")</f>
        <v>Instituto de Desarrollo Urbano</v>
      </c>
      <c r="F4780" s="25" t="str">
        <f ca="1">IFERROR(__xludf.DUMMYFUNCTION("""COMPUTED_VALUE"""),"Realizar jornada de Juntos Cuidamos de Bogotá el día que se vaya a tomar el predio de La Primavera")</f>
        <v>Realizar jornada de Juntos Cuidamos de Bogotá el día que se vaya a tomar el predio de La Primavera</v>
      </c>
      <c r="G4780" s="25" t="str">
        <f ca="1">IFERROR(__xludf.DUMMYFUNCTION("""COMPUTED_VALUE"""),"99. Distrito")</f>
        <v>99. Distrito</v>
      </c>
      <c r="H4780" s="55">
        <f ca="1">IFERROR(__xludf.DUMMYFUNCTION("""COMPUTED_VALUE"""),45261)</f>
        <v>45261</v>
      </c>
      <c r="I4780" s="25"/>
      <c r="J4780" s="55" t="str">
        <f ca="1">IFERROR(__xludf.DUMMYFUNCTION("""COMPUTED_VALUE"""),"Baja")</f>
        <v>Baja</v>
      </c>
      <c r="K4780" s="25">
        <f ca="1">IFERROR(__xludf.DUMMYFUNCTION("""COMPUTED_VALUE"""),380)</f>
        <v>380</v>
      </c>
      <c r="L4780" s="62">
        <f ca="1">IFERROR(__xludf.DUMMYFUNCTION("""COMPUTED_VALUE"""),44896)</f>
        <v>44896</v>
      </c>
      <c r="M4780" s="25" t="str">
        <f ca="1">IFERROR(__xludf.DUMMYFUNCTION("""COMPUTED_VALUE"""),"CERRADO  Se realizó el proceso de recuperación del predio el 1 de diciembre con la articulación de varias entidades del distrito, ministerio público y alcaldía local de Bosa.")</f>
        <v>CERRADO  Se realizó el proceso de recuperación del predio el 1 de diciembre con la articulación de varias entidades del distrito, ministerio público y alcaldía local de Bosa.</v>
      </c>
      <c r="N4780" s="55">
        <f ca="1">IFERROR(__xludf.DUMMYFUNCTION("""COMPUTED_VALUE"""),44896)</f>
        <v>44896</v>
      </c>
      <c r="O4780" s="25" t="str">
        <f t="shared" ca="1" si="0"/>
        <v>Instituto de Desarrollo Urbano</v>
      </c>
      <c r="P4780" s="25" t="str">
        <f t="shared" si="3"/>
        <v/>
      </c>
      <c r="Q4780" s="25" t="str">
        <f ca="1">IFERROR(__xludf.DUMMYFUNCTION("""COMPUTED_VALUE"""),"Largo plazo")</f>
        <v>Largo plazo</v>
      </c>
      <c r="R4780" s="25"/>
      <c r="S4780" s="55"/>
      <c r="T4780" s="56"/>
      <c r="U4780" s="25"/>
      <c r="V4780" s="25"/>
      <c r="W4780" s="25"/>
      <c r="X4780" s="25"/>
      <c r="Y4780" s="25"/>
      <c r="Z4780" s="25"/>
    </row>
    <row r="4781" spans="1:26" ht="52.5" customHeight="1" x14ac:dyDescent="0.25">
      <c r="A4781" s="25" t="str">
        <f ca="1">IFERROR(__xludf.DUMMYFUNCTION("""COMPUTED_VALUE"""),"Movil579")</f>
        <v>Movil579</v>
      </c>
      <c r="B4781" s="25" t="str">
        <f ca="1">IFERROR(__xludf.DUMMYFUNCTION("""COMPUTED_VALUE"""),"Junta de Infraestructura")</f>
        <v>Junta de Infraestructura</v>
      </c>
      <c r="C4781" s="55">
        <f ca="1">IFERROR(__xludf.DUMMYFUNCTION("""COMPUTED_VALUE"""),44881)</f>
        <v>44881</v>
      </c>
      <c r="D4781" s="25" t="str">
        <f ca="1">IFERROR(__xludf.DUMMYFUNCTION("""COMPUTED_VALUE"""),"Movilidad")</f>
        <v>Movilidad</v>
      </c>
      <c r="E4781" s="25" t="str">
        <f ca="1">IFERROR(__xludf.DUMMYFUNCTION("""COMPUTED_VALUE"""),"Instituto de Desarrollo Urbano")</f>
        <v>Instituto de Desarrollo Urbano</v>
      </c>
      <c r="F4781" s="25" t="str">
        <f ca="1">IFERROR(__xludf.DUMMYFUNCTION("""COMPUTED_VALUE"""),"Solicitar y garantizar cupo de institucionalizado de un adulto mayor para centro día (predio el acumulador)")</f>
        <v>Solicitar y garantizar cupo de institucionalizado de un adulto mayor para centro día (predio el acumulador)</v>
      </c>
      <c r="G4781" s="25" t="str">
        <f ca="1">IFERROR(__xludf.DUMMYFUNCTION("""COMPUTED_VALUE"""),"99. Distrito")</f>
        <v>99. Distrito</v>
      </c>
      <c r="H4781" s="55">
        <f ca="1">IFERROR(__xludf.DUMMYFUNCTION("""COMPUTED_VALUE"""),45261)</f>
        <v>45261</v>
      </c>
      <c r="I4781" s="25"/>
      <c r="J4781" s="55" t="str">
        <f ca="1">IFERROR(__xludf.DUMMYFUNCTION("""COMPUTED_VALUE"""),"Baja")</f>
        <v>Baja</v>
      </c>
      <c r="K4781" s="25">
        <f ca="1">IFERROR(__xludf.DUMMYFUNCTION("""COMPUTED_VALUE"""),380)</f>
        <v>380</v>
      </c>
      <c r="L4781" s="62">
        <f ca="1">IFERROR(__xludf.DUMMYFUNCTION("""COMPUTED_VALUE"""),44897)</f>
        <v>44897</v>
      </c>
      <c r="M4781" s="25" t="str">
        <f ca="1">IFERROR(__xludf.DUMMYFUNCTION("""COMPUTED_VALUE"""),"El cupo se está gestionando desde integración social. ")</f>
        <v xml:space="preserve">El cupo se está gestionando desde integración social. </v>
      </c>
      <c r="N4781" s="55">
        <f ca="1">IFERROR(__xludf.DUMMYFUNCTION("""COMPUTED_VALUE"""),44897)</f>
        <v>44897</v>
      </c>
      <c r="O4781" s="25" t="str">
        <f t="shared" ca="1" si="0"/>
        <v>Instituto de Desarrollo Urbano</v>
      </c>
      <c r="P4781" s="25" t="str">
        <f t="shared" si="3"/>
        <v/>
      </c>
      <c r="Q4781" s="25" t="str">
        <f ca="1">IFERROR(__xludf.DUMMYFUNCTION("""COMPUTED_VALUE"""),"Largo plazo")</f>
        <v>Largo plazo</v>
      </c>
      <c r="R4781" s="25"/>
      <c r="S4781" s="55"/>
      <c r="T4781" s="56"/>
      <c r="U4781" s="25"/>
      <c r="V4781" s="25"/>
      <c r="W4781" s="25"/>
      <c r="X4781" s="25"/>
      <c r="Y4781" s="25"/>
      <c r="Z4781" s="25"/>
    </row>
    <row r="4782" spans="1:26" ht="52.5" customHeight="1" x14ac:dyDescent="0.25">
      <c r="A4782" s="25" t="str">
        <f ca="1">IFERROR(__xludf.DUMMYFUNCTION("""COMPUTED_VALUE"""),"Movil580")</f>
        <v>Movil580</v>
      </c>
      <c r="B4782" s="25" t="str">
        <f ca="1">IFERROR(__xludf.DUMMYFUNCTION("""COMPUTED_VALUE"""),"Junta de Infraestructura")</f>
        <v>Junta de Infraestructura</v>
      </c>
      <c r="C4782" s="55">
        <f ca="1">IFERROR(__xludf.DUMMYFUNCTION("""COMPUTED_VALUE"""),44881)</f>
        <v>44881</v>
      </c>
      <c r="D4782" s="25" t="str">
        <f ca="1">IFERROR(__xludf.DUMMYFUNCTION("""COMPUTED_VALUE"""),"Movilidad")</f>
        <v>Movilidad</v>
      </c>
      <c r="E4782" s="25" t="str">
        <f ca="1">IFERROR(__xludf.DUMMYFUNCTION("""COMPUTED_VALUE"""),"Instituto de Desarrollo Urbano")</f>
        <v>Instituto de Desarrollo Urbano</v>
      </c>
      <c r="F4782" s="25" t="str">
        <f ca="1">IFERROR(__xludf.DUMMYFUNCTION("""COMPUTED_VALUE"""),"El mismo día que se tome el predio del acumulador, levantar acta donde el hermano firme que no se hace responsable del señor y se pueda trasladar y garantizar el cupo en el centro para adulto mayor")</f>
        <v>El mismo día que se tome el predio del acumulador, levantar acta donde el hermano firme que no se hace responsable del señor y se pueda trasladar y garantizar el cupo en el centro para adulto mayor</v>
      </c>
      <c r="G4782" s="25" t="str">
        <f ca="1">IFERROR(__xludf.DUMMYFUNCTION("""COMPUTED_VALUE"""),"99. Distrito")</f>
        <v>99. Distrito</v>
      </c>
      <c r="H4782" s="55">
        <f ca="1">IFERROR(__xludf.DUMMYFUNCTION("""COMPUTED_VALUE"""),44896)</f>
        <v>44896</v>
      </c>
      <c r="I4782" s="25"/>
      <c r="J4782" s="55" t="str">
        <f ca="1">IFERROR(__xludf.DUMMYFUNCTION("""COMPUTED_VALUE"""),"Alta")</f>
        <v>Alta</v>
      </c>
      <c r="K4782" s="25">
        <f ca="1">IFERROR(__xludf.DUMMYFUNCTION("""COMPUTED_VALUE"""),15)</f>
        <v>15</v>
      </c>
      <c r="L4782" s="62">
        <f ca="1">IFERROR(__xludf.DUMMYFUNCTION("""COMPUTED_VALUE"""),44897)</f>
        <v>44897</v>
      </c>
      <c r="M4782" s="25" t="str">
        <f ca="1">IFERROR(__xludf.DUMMYFUNCTION("""COMPUTED_VALUE"""),"Ya se tiene el acta del hermano. 
En la adquisición del predio se constituyó el depósito y se radicó en ORIP con radicados 2022-77483 y 2022-77482.")</f>
        <v>Ya se tiene el acta del hermano. 
En la adquisición del predio se constituyó el depósito y se radicó en ORIP con radicados 2022-77483 y 2022-77482.</v>
      </c>
      <c r="N4782" s="55">
        <f ca="1">IFERROR(__xludf.DUMMYFUNCTION("""COMPUTED_VALUE"""),44897)</f>
        <v>44897</v>
      </c>
      <c r="O4782" s="25" t="str">
        <f t="shared" ca="1" si="0"/>
        <v>Instituto de Desarrollo Urbano</v>
      </c>
      <c r="P4782" s="25" t="str">
        <f t="shared" si="3"/>
        <v/>
      </c>
      <c r="Q4782" s="25" t="str">
        <f ca="1">IFERROR(__xludf.DUMMYFUNCTION("""COMPUTED_VALUE"""),"Corto plazo")</f>
        <v>Corto plazo</v>
      </c>
      <c r="R4782" s="25"/>
      <c r="S4782" s="55"/>
      <c r="T4782" s="56"/>
      <c r="U4782" s="25"/>
      <c r="V4782" s="25"/>
      <c r="W4782" s="25"/>
      <c r="X4782" s="25"/>
      <c r="Y4782" s="25"/>
      <c r="Z4782" s="25"/>
    </row>
    <row r="4783" spans="1:26" ht="52.5" customHeight="1" x14ac:dyDescent="0.25">
      <c r="A4783" s="25" t="str">
        <f ca="1">IFERROR(__xludf.DUMMYFUNCTION("""COMPUTED_VALUE"""),"Movil581")</f>
        <v>Movil581</v>
      </c>
      <c r="B4783" s="25" t="str">
        <f ca="1">IFERROR(__xludf.DUMMYFUNCTION("""COMPUTED_VALUE"""),"Junta de Infraestructura")</f>
        <v>Junta de Infraestructura</v>
      </c>
      <c r="C4783" s="55">
        <f ca="1">IFERROR(__xludf.DUMMYFUNCTION("""COMPUTED_VALUE"""),44881)</f>
        <v>44881</v>
      </c>
      <c r="D4783" s="25" t="str">
        <f ca="1">IFERROR(__xludf.DUMMYFUNCTION("""COMPUTED_VALUE"""),"Movilidad")</f>
        <v>Movilidad</v>
      </c>
      <c r="E4783" s="25" t="str">
        <f ca="1">IFERROR(__xludf.DUMMYFUNCTION("""COMPUTED_VALUE"""),"Secretaría Distrital de Movilidad")</f>
        <v>Secretaría Distrital de Movilidad</v>
      </c>
      <c r="F4783" s="25" t="str">
        <f ca="1">IFERROR(__xludf.DUMMYFUNCTION("""COMPUTED_VALUE"""),"Revisar la aprobación del PMT sin que sea necesario tener los 4 predios en el tramo 2 de Av. Ciudad de Cali. ")</f>
        <v xml:space="preserve">Revisar la aprobación del PMT sin que sea necesario tener los 4 predios en el tramo 2 de Av. Ciudad de Cali. </v>
      </c>
      <c r="G4783" s="25" t="str">
        <f ca="1">IFERROR(__xludf.DUMMYFUNCTION("""COMPUTED_VALUE"""),"99. Distrito")</f>
        <v>99. Distrito</v>
      </c>
      <c r="H4783" s="55">
        <f ca="1">IFERROR(__xludf.DUMMYFUNCTION("""COMPUTED_VALUE"""),45107)</f>
        <v>45107</v>
      </c>
      <c r="I4783" s="25" t="str">
        <f ca="1">IFERROR(__xludf.DUMMYFUNCTION("""COMPUTED_VALUE"""),"Junta de Infraestructura")</f>
        <v>Junta de Infraestructura</v>
      </c>
      <c r="J4783" s="55" t="str">
        <f ca="1">IFERROR(__xludf.DUMMYFUNCTION("""COMPUTED_VALUE"""),"Media")</f>
        <v>Media</v>
      </c>
      <c r="K4783" s="25">
        <f ca="1">IFERROR(__xludf.DUMMYFUNCTION("""COMPUTED_VALUE"""),226)</f>
        <v>226</v>
      </c>
      <c r="L4783" s="62">
        <f ca="1">IFERROR(__xludf.DUMMYFUNCTION("""COMPUTED_VALUE"""),45064)</f>
        <v>45064</v>
      </c>
      <c r="M4783" s="25" t="str">
        <f ca="1">IFERROR(__xludf.DUMMYFUNCTION("""COMPUTED_VALUE"""),"Al mes de mayo no se han radicado ningún PMT donde se genere desvío por la Transversal 85A.
Desde la Subdirección de PMT se presentaron dos opciones de PMT al contratista Alternativa 1: con el cierre total y el desvío por la 85a; Alternativa 2: con ese d"&amp;"esvío pero con sólo un carril en la 85a para no afectar tema predial. 
Desde novimebre se han llevado a cabo comités de tránsito con el contratista, interventoría,  IDU y el contratista. Hasta el momento no se ha radicado el PMT por parte del contratista "&amp;"bajo ninguna de las alternativas presentadas por la SDM, ni opciones adicionales propuestas por el contratista ")</f>
        <v xml:space="preserve">Al mes de mayo no se han radicado ningún PMT donde se genere desvío por la Transversal 85A.
Desde la Subdirección de PMT se presentaron dos opciones de PMT al contratista Alternativa 1: con el cierre total y el desvío por la 85a; Alternativa 2: con ese desvío pero con sólo un carril en la 85a para no afectar tema predial. 
Desde novimebre se han llevado a cabo comités de tránsito con el contratista, interventoría,  IDU y el contratista. Hasta el momento no se ha radicado el PMT por parte del contratista bajo ninguna de las alternativas presentadas por la SDM, ni opciones adicionales propuestas por el contratista </v>
      </c>
      <c r="N4783" s="25"/>
      <c r="O4783" s="25" t="str">
        <f t="shared" ca="1" si="0"/>
        <v>Secretaría Distrital de Movilidad</v>
      </c>
      <c r="P4783" s="25" t="str">
        <f t="shared" ca="1" si="3"/>
        <v/>
      </c>
      <c r="Q4783" s="25" t="str">
        <f ca="1">IFERROR(__xludf.DUMMYFUNCTION("""COMPUTED_VALUE"""),"Largo plazo")</f>
        <v>Largo plazo</v>
      </c>
      <c r="R4783" s="25"/>
      <c r="S4783" s="55"/>
      <c r="T4783" s="56"/>
      <c r="U4783" s="25"/>
      <c r="V4783" s="25"/>
      <c r="W4783" s="25"/>
      <c r="X4783" s="25"/>
      <c r="Y4783" s="25"/>
      <c r="Z4783" s="25"/>
    </row>
    <row r="4784" spans="1:26" ht="52.5" customHeight="1" x14ac:dyDescent="0.25">
      <c r="A4784" s="25" t="str">
        <f ca="1">IFERROR(__xludf.DUMMYFUNCTION("""COMPUTED_VALUE"""),"Movil582")</f>
        <v>Movil582</v>
      </c>
      <c r="B4784" s="25" t="str">
        <f ca="1">IFERROR(__xludf.DUMMYFUNCTION("""COMPUTED_VALUE"""),"Consejo de Gobierno ")</f>
        <v xml:space="preserve">Consejo de Gobierno </v>
      </c>
      <c r="C4784" s="55">
        <f ca="1">IFERROR(__xludf.DUMMYFUNCTION("""COMPUTED_VALUE"""),44911)</f>
        <v>44911</v>
      </c>
      <c r="D4784" s="25" t="str">
        <f ca="1">IFERROR(__xludf.DUMMYFUNCTION("""COMPUTED_VALUE"""),"Movilidad")</f>
        <v>Movilidad</v>
      </c>
      <c r="E4784" s="25" t="str">
        <f ca="1">IFERROR(__xludf.DUMMYFUNCTION("""COMPUTED_VALUE"""),"Secretaría Distrital de Movilidad")</f>
        <v>Secretaría Distrital de Movilidad</v>
      </c>
      <c r="F4784" s="25" t="str">
        <f ca="1">IFERROR(__xludf.DUMMYFUNCTION("""COMPUTED_VALUE"""),"El sector movilidad y la SDDE deben articularse para montar una feria de empleo para obreros en los frentes de obra.")</f>
        <v>El sector movilidad y la SDDE deben articularse para montar una feria de empleo para obreros en los frentes de obra.</v>
      </c>
      <c r="G4784" s="25" t="str">
        <f ca="1">IFERROR(__xludf.DUMMYFUNCTION("""COMPUTED_VALUE"""),"99. Distrito")</f>
        <v>99. Distrito</v>
      </c>
      <c r="H4784" s="55">
        <f ca="1">IFERROR(__xludf.DUMMYFUNCTION("""COMPUTED_VALUE"""),44994)</f>
        <v>44994</v>
      </c>
      <c r="I4784" s="25"/>
      <c r="J4784" s="55" t="str">
        <f ca="1">IFERROR(__xludf.DUMMYFUNCTION("""COMPUTED_VALUE"""),"Media")</f>
        <v>Media</v>
      </c>
      <c r="K4784" s="25">
        <f ca="1">IFERROR(__xludf.DUMMYFUNCTION("""COMPUTED_VALUE"""),83)</f>
        <v>83</v>
      </c>
      <c r="L4784" s="62">
        <f ca="1">IFERROR(__xludf.DUMMYFUNCTION("""COMPUTED_VALUE"""),44985)</f>
        <v>44985</v>
      </c>
      <c r="M4784" s="25" t="str">
        <f ca="1">IFERROR(__xludf.DUMMYFUNCTION("""COMPUTED_VALUE"""),"Se están coordinando agendas con el SDDE para la organización de diferentes ferias de empleo para el sector (construcción, transporte). La feria se realizará el 9 de Marzo con presencia de la Alcaldesa")</f>
        <v>Se están coordinando agendas con el SDDE para la organización de diferentes ferias de empleo para el sector (construcción, transporte). La feria se realizará el 9 de Marzo con presencia de la Alcaldesa</v>
      </c>
      <c r="N4784" s="55">
        <f ca="1">IFERROR(__xludf.DUMMYFUNCTION("""COMPUTED_VALUE"""),44994)</f>
        <v>44994</v>
      </c>
      <c r="O4784" s="25" t="str">
        <f t="shared" ca="1" si="0"/>
        <v>Secretaría Distrital de Movilidad</v>
      </c>
      <c r="P4784" s="25" t="str">
        <f t="shared" si="3"/>
        <v/>
      </c>
      <c r="Q4784" s="25" t="str">
        <f ca="1">IFERROR(__xludf.DUMMYFUNCTION("""COMPUTED_VALUE"""),"Mediano plazo")</f>
        <v>Mediano plazo</v>
      </c>
      <c r="R4784" s="25"/>
      <c r="S4784" s="55"/>
      <c r="T4784" s="56"/>
      <c r="U4784" s="25"/>
      <c r="V4784" s="25"/>
      <c r="W4784" s="25"/>
      <c r="X4784" s="25"/>
      <c r="Y4784" s="25"/>
      <c r="Z4784" s="25"/>
    </row>
    <row r="4785" spans="1:26" ht="52.5" customHeight="1" x14ac:dyDescent="0.25">
      <c r="A4785" s="25" t="str">
        <f ca="1">IFERROR(__xludf.DUMMYFUNCTION("""COMPUTED_VALUE"""),"Movil583")</f>
        <v>Movil583</v>
      </c>
      <c r="B4785" s="25"/>
      <c r="C4785" s="55"/>
      <c r="D4785" s="25" t="str">
        <f ca="1">IFERROR(__xludf.DUMMYFUNCTION("""COMPUTED_VALUE"""),"Movilidad")</f>
        <v>Movilidad</v>
      </c>
      <c r="E4785" s="25" t="str">
        <f ca="1">IFERROR(__xludf.DUMMYFUNCTION("""COMPUTED_VALUE"""),"Secretaría Distrital de Movilidad")</f>
        <v>Secretaría Distrital de Movilidad</v>
      </c>
      <c r="F4785" s="25" t="str">
        <f ca="1">IFERROR(__xludf.DUMMYFUNCTION("""COMPUTED_VALUE"""),"Eliminada")</f>
        <v>Eliminada</v>
      </c>
      <c r="G4785" s="25"/>
      <c r="H4785" s="25"/>
      <c r="I4785" s="25"/>
      <c r="J4785" s="55"/>
      <c r="K4785" s="25" t="str">
        <f ca="1">IFERROR(__xludf.DUMMYFUNCTION("""COMPUTED_VALUE"""),"Definir fecha")</f>
        <v>Definir fecha</v>
      </c>
      <c r="L4785" s="62"/>
      <c r="M4785" s="25"/>
      <c r="N4785" s="25"/>
      <c r="O4785" s="25" t="str">
        <f t="shared" ca="1" si="0"/>
        <v>Secretaría Distrital de Movilidad</v>
      </c>
      <c r="P4785" s="25" t="str">
        <f t="shared" si="3"/>
        <v/>
      </c>
      <c r="Q4785" s="25" t="str">
        <f ca="1">IFERROR(__xludf.DUMMYFUNCTION("""COMPUTED_VALUE"""),"Sin defenir")</f>
        <v>Sin defenir</v>
      </c>
      <c r="R4785" s="25"/>
      <c r="S4785" s="55"/>
      <c r="T4785" s="56"/>
      <c r="U4785" s="25"/>
      <c r="V4785" s="25"/>
      <c r="W4785" s="25"/>
      <c r="X4785" s="25"/>
      <c r="Y4785" s="25"/>
      <c r="Z4785" s="25"/>
    </row>
    <row r="4786" spans="1:26" ht="52.5" customHeight="1" x14ac:dyDescent="0.25">
      <c r="A4786" s="25" t="str">
        <f ca="1">IFERROR(__xludf.DUMMYFUNCTION("""COMPUTED_VALUE"""),"Movil584")</f>
        <v>Movil584</v>
      </c>
      <c r="B4786" s="25" t="str">
        <f ca="1">IFERROR(__xludf.DUMMYFUNCTION("""COMPUTED_VALUE"""),"Reunión Corredor Verde 7ma")</f>
        <v>Reunión Corredor Verde 7ma</v>
      </c>
      <c r="C4786" s="55">
        <f ca="1">IFERROR(__xludf.DUMMYFUNCTION("""COMPUTED_VALUE"""),44917)</f>
        <v>44917</v>
      </c>
      <c r="D4786" s="25" t="str">
        <f ca="1">IFERROR(__xludf.DUMMYFUNCTION("""COMPUTED_VALUE"""),"Movilidad")</f>
        <v>Movilidad</v>
      </c>
      <c r="E4786" s="25" t="str">
        <f ca="1">IFERROR(__xludf.DUMMYFUNCTION("""COMPUTED_VALUE"""),"Empresa Metro de Bogotá S.A.")</f>
        <v>Empresa Metro de Bogotá S.A.</v>
      </c>
      <c r="F4786" s="25" t="str">
        <f ca="1">IFERROR(__xludf.DUMMYFUNCTION("""COMPUTED_VALUE"""),"Pedir al Metro el cronograma de segunda línea del próximo año. Deben traerlo el 10 de ener.")</f>
        <v>Pedir al Metro el cronograma de segunda línea del próximo año. Deben traerlo el 10 de ener.</v>
      </c>
      <c r="G4786" s="25" t="str">
        <f ca="1">IFERROR(__xludf.DUMMYFUNCTION("""COMPUTED_VALUE"""),"99. Distrito")</f>
        <v>99. Distrito</v>
      </c>
      <c r="H4786" s="55">
        <f ca="1">IFERROR(__xludf.DUMMYFUNCTION("""COMPUTED_VALUE"""),44936)</f>
        <v>44936</v>
      </c>
      <c r="I4786" s="25"/>
      <c r="J4786" s="55" t="str">
        <f ca="1">IFERROR(__xludf.DUMMYFUNCTION("""COMPUTED_VALUE"""),"Alta")</f>
        <v>Alta</v>
      </c>
      <c r="K4786" s="25">
        <f ca="1">IFERROR(__xludf.DUMMYFUNCTION("""COMPUTED_VALUE"""),19)</f>
        <v>19</v>
      </c>
      <c r="L4786" s="62">
        <f ca="1">IFERROR(__xludf.DUMMYFUNCTION("""COMPUTED_VALUE"""),44986)</f>
        <v>44986</v>
      </c>
      <c r="M4786" s="25" t="str">
        <f ca="1">IFERROR(__xludf.DUMMYFUNCTION("""COMPUTED_VALUE"""),"La EMB en conjunto con la FDN ha presentado a la Alcaldía Mayor el cronograma para la suscripción de los créditos con la Banca Multilateral y el posterior proceso de precalificación y licitación pública internacional, a ejecutarse en el año 2023.")</f>
        <v>La EMB en conjunto con la FDN ha presentado a la Alcaldía Mayor el cronograma para la suscripción de los créditos con la Banca Multilateral y el posterior proceso de precalificación y licitación pública internacional, a ejecutarse en el año 2023.</v>
      </c>
      <c r="N4786" s="55">
        <f ca="1">IFERROR(__xludf.DUMMYFUNCTION("""COMPUTED_VALUE"""),44986)</f>
        <v>44986</v>
      </c>
      <c r="O4786" s="25" t="str">
        <f t="shared" ca="1" si="0"/>
        <v>Empresa Metro de Bogotá S.A.</v>
      </c>
      <c r="P4786" s="25" t="str">
        <f t="shared" si="3"/>
        <v/>
      </c>
      <c r="Q4786" s="25" t="str">
        <f ca="1">IFERROR(__xludf.DUMMYFUNCTION("""COMPUTED_VALUE"""),"Corto plazo")</f>
        <v>Corto plazo</v>
      </c>
      <c r="R4786" s="25"/>
      <c r="S4786" s="55"/>
      <c r="T4786" s="56"/>
      <c r="U4786" s="25"/>
      <c r="V4786" s="25"/>
      <c r="W4786" s="25"/>
      <c r="X4786" s="25"/>
      <c r="Y4786" s="25"/>
      <c r="Z4786" s="25"/>
    </row>
    <row r="4787" spans="1:26" ht="52.5" customHeight="1" x14ac:dyDescent="0.25">
      <c r="A4787" s="25" t="str">
        <f ca="1">IFERROR(__xludf.DUMMYFUNCTION("""COMPUTED_VALUE"""),"Movil585")</f>
        <v>Movil585</v>
      </c>
      <c r="B4787" s="25" t="str">
        <f ca="1">IFERROR(__xludf.DUMMYFUNCTION("""COMPUTED_VALUE"""),"Junta Infraestructura")</f>
        <v>Junta Infraestructura</v>
      </c>
      <c r="C4787" s="55">
        <f ca="1">IFERROR(__xludf.DUMMYFUNCTION("""COMPUTED_VALUE"""),44950)</f>
        <v>44950</v>
      </c>
      <c r="D4787" s="25" t="str">
        <f ca="1">IFERROR(__xludf.DUMMYFUNCTION("""COMPUTED_VALUE"""),"Movilidad")</f>
        <v>Movilidad</v>
      </c>
      <c r="E4787" s="25" t="str">
        <f ca="1">IFERROR(__xludf.DUMMYFUNCTION("""COMPUTED_VALUE"""),"Instituto de Desarrollo Urbano")</f>
        <v>Instituto de Desarrollo Urbano</v>
      </c>
      <c r="F4787" s="25" t="str">
        <f ca="1">IFERROR(__xludf.DUMMYFUNCTION("""COMPUTED_VALUE"""),"Se debe firmar el acta de inicio para los estudios del cable del centro historico")</f>
        <v>Se debe firmar el acta de inicio para los estudios del cable del centro historico</v>
      </c>
      <c r="G4787" s="25" t="str">
        <f ca="1">IFERROR(__xludf.DUMMYFUNCTION("""COMPUTED_VALUE"""),"99. Distrito")</f>
        <v>99. Distrito</v>
      </c>
      <c r="H4787" s="55">
        <f ca="1">IFERROR(__xludf.DUMMYFUNCTION("""COMPUTED_VALUE"""),45107)</f>
        <v>45107</v>
      </c>
      <c r="I4787" s="25" t="str">
        <f ca="1">IFERROR(__xludf.DUMMYFUNCTION("""COMPUTED_VALUE"""),"Junta de Infraestructura")</f>
        <v>Junta de Infraestructura</v>
      </c>
      <c r="J4787" s="55" t="str">
        <f ca="1">IFERROR(__xludf.DUMMYFUNCTION("""COMPUTED_VALUE"""),"Alta")</f>
        <v>Alta</v>
      </c>
      <c r="K4787" s="25">
        <f ca="1">IFERROR(__xludf.DUMMYFUNCTION("""COMPUTED_VALUE"""),157)</f>
        <v>157</v>
      </c>
      <c r="L4787" s="62">
        <f ca="1">IFERROR(__xludf.DUMMYFUNCTION("""COMPUTED_VALUE"""),45077)</f>
        <v>45077</v>
      </c>
      <c r="M4787" s="25" t="str">
        <f ca="1">IFERROR(__xludf.DUMMYFUNCTION("""COMPUTED_VALUE"""),"A la fecha el consultor se encuentra atendiendo observaciones de la interventoría  al PDT, PAC y Hojas de vida tanto del personal clave como del personal de especialistas, como requisitos para el inicio del contrato de consultoría, esperando dar inicio en"&amp;" el transcurso de la presente semana
Se suscribió Acta de inicio el 27 de marzo de 2023")</f>
        <v>A la fecha el consultor se encuentra atendiendo observaciones de la interventoría  al PDT, PAC y Hojas de vida tanto del personal clave como del personal de especialistas, como requisitos para el inicio del contrato de consultoría, esperando dar inicio en el transcurso de la presente semana
Se suscribió Acta de inicio el 27 de marzo de 2023</v>
      </c>
      <c r="N4787" s="55">
        <f ca="1">IFERROR(__xludf.DUMMYFUNCTION("""COMPUTED_VALUE"""),45012)</f>
        <v>45012</v>
      </c>
      <c r="O4787" s="25" t="str">
        <f t="shared" ca="1" si="0"/>
        <v>Instituto de Desarrollo Urbano</v>
      </c>
      <c r="P4787" s="25" t="str">
        <f t="shared" ca="1" si="3"/>
        <v/>
      </c>
      <c r="Q4787" s="25" t="str">
        <f ca="1">IFERROR(__xludf.DUMMYFUNCTION("""COMPUTED_VALUE"""),"Mediano plazo")</f>
        <v>Mediano plazo</v>
      </c>
      <c r="R4787" s="25"/>
      <c r="S4787" s="55"/>
      <c r="T4787" s="56"/>
      <c r="U4787" s="25"/>
      <c r="V4787" s="25"/>
      <c r="W4787" s="25"/>
      <c r="X4787" s="25"/>
      <c r="Y4787" s="25"/>
      <c r="Z4787" s="25"/>
    </row>
    <row r="4788" spans="1:26" ht="52.5" customHeight="1" x14ac:dyDescent="0.25">
      <c r="A4788" s="25" t="str">
        <f ca="1">IFERROR(__xludf.DUMMYFUNCTION("""COMPUTED_VALUE"""),"Movil586")</f>
        <v>Movil586</v>
      </c>
      <c r="B4788" s="25" t="str">
        <f ca="1">IFERROR(__xludf.DUMMYFUNCTION("""COMPUTED_VALUE"""),"Junta Infraestructura")</f>
        <v>Junta Infraestructura</v>
      </c>
      <c r="C4788" s="55">
        <f ca="1">IFERROR(__xludf.DUMMYFUNCTION("""COMPUTED_VALUE"""),44950)</f>
        <v>44950</v>
      </c>
      <c r="D4788" s="25" t="str">
        <f ca="1">IFERROR(__xludf.DUMMYFUNCTION("""COMPUTED_VALUE"""),"Movilidad")</f>
        <v>Movilidad</v>
      </c>
      <c r="E4788" s="25" t="str">
        <f ca="1">IFERROR(__xludf.DUMMYFUNCTION("""COMPUTED_VALUE"""),"Instituto de Desarrollo Urbano")</f>
        <v>Instituto de Desarrollo Urbano</v>
      </c>
      <c r="F4788" s="25" t="str">
        <f ca="1">IFERROR(__xludf.DUMMYFUNCTION("""COMPUTED_VALUE"""),"Garantizar que la cicloalameda del medio milenio cumpla con el manual de diseño. Incluirlo en una adenda")</f>
        <v>Garantizar que la cicloalameda del medio milenio cumpla con el manual de diseño. Incluirlo en una adenda</v>
      </c>
      <c r="G4788" s="25" t="str">
        <f ca="1">IFERROR(__xludf.DUMMYFUNCTION("""COMPUTED_VALUE"""),"99. Distrito")</f>
        <v>99. Distrito</v>
      </c>
      <c r="H4788" s="55">
        <f ca="1">IFERROR(__xludf.DUMMYFUNCTION("""COMPUTED_VALUE"""),45015)</f>
        <v>45015</v>
      </c>
      <c r="I4788" s="25"/>
      <c r="J4788" s="55" t="str">
        <f ca="1">IFERROR(__xludf.DUMMYFUNCTION("""COMPUTED_VALUE"""),"Media")</f>
        <v>Media</v>
      </c>
      <c r="K4788" s="25">
        <f ca="1">IFERROR(__xludf.DUMMYFUNCTION("""COMPUTED_VALUE"""),65)</f>
        <v>65</v>
      </c>
      <c r="L4788" s="62">
        <f ca="1">IFERROR(__xludf.DUMMYFUNCTION("""COMPUTED_VALUE"""),44978)</f>
        <v>44978</v>
      </c>
      <c r="M4788" s="25" t="str">
        <f ca="1">IFERROR(__xludf.DUMMYFUNCTION("""COMPUTED_VALUE"""),"Como parte integral de los pliegos del contrato de la Ciclo Alameda, el Instituto definió en el anexo técnico en el apartado del componente de tránsito, la condición de cumplimiento del manual de diseño.
Por tal razón no se requiere de una adenda.")</f>
        <v>Como parte integral de los pliegos del contrato de la Ciclo Alameda, el Instituto definió en el anexo técnico en el apartado del componente de tránsito, la condición de cumplimiento del manual de diseño.
Por tal razón no se requiere de una adenda.</v>
      </c>
      <c r="N4788" s="55">
        <f ca="1">IFERROR(__xludf.DUMMYFUNCTION("""COMPUTED_VALUE"""),44978)</f>
        <v>44978</v>
      </c>
      <c r="O4788" s="25" t="str">
        <f t="shared" ca="1" si="0"/>
        <v>Instituto de Desarrollo Urbano</v>
      </c>
      <c r="P4788" s="25" t="str">
        <f t="shared" si="3"/>
        <v/>
      </c>
      <c r="Q4788" s="25" t="str">
        <f ca="1">IFERROR(__xludf.DUMMYFUNCTION("""COMPUTED_VALUE"""),"Mediano plazo")</f>
        <v>Mediano plazo</v>
      </c>
      <c r="R4788" s="25"/>
      <c r="S4788" s="55"/>
      <c r="T4788" s="56"/>
      <c r="U4788" s="25"/>
      <c r="V4788" s="25"/>
      <c r="W4788" s="25"/>
      <c r="X4788" s="25"/>
      <c r="Y4788" s="25"/>
      <c r="Z4788" s="25"/>
    </row>
    <row r="4789" spans="1:26" ht="52.5" customHeight="1" x14ac:dyDescent="0.25">
      <c r="A4789" s="25" t="str">
        <f ca="1">IFERROR(__xludf.DUMMYFUNCTION("""COMPUTED_VALUE"""),"Movil587")</f>
        <v>Movil587</v>
      </c>
      <c r="B4789" s="25" t="str">
        <f ca="1">IFERROR(__xludf.DUMMYFUNCTION("""COMPUTED_VALUE"""),"Junta Infraestructura")</f>
        <v>Junta Infraestructura</v>
      </c>
      <c r="C4789" s="55">
        <f ca="1">IFERROR(__xludf.DUMMYFUNCTION("""COMPUTED_VALUE"""),44950)</f>
        <v>44950</v>
      </c>
      <c r="D4789" s="25" t="str">
        <f ca="1">IFERROR(__xludf.DUMMYFUNCTION("""COMPUTED_VALUE"""),"Movilidad")</f>
        <v>Movilidad</v>
      </c>
      <c r="E4789" s="25" t="str">
        <f ca="1">IFERROR(__xludf.DUMMYFUNCTION("""COMPUTED_VALUE"""),"Secretaría Distrital de Movilidad")</f>
        <v>Secretaría Distrital de Movilidad</v>
      </c>
      <c r="F4789" s="25" t="str">
        <f ca="1">IFERROR(__xludf.DUMMYFUNCTION("""COMPUTED_VALUE"""),"Revisar como se puede conectar alguien que venga en bicicleta por la novena con el sendero Tomas Van der Hammen, que está haciendo Lagos de Torca")</f>
        <v>Revisar como se puede conectar alguien que venga en bicicleta por la novena con el sendero Tomas Van der Hammen, que está haciendo Lagos de Torca</v>
      </c>
      <c r="G4789" s="25" t="str">
        <f ca="1">IFERROR(__xludf.DUMMYFUNCTION("""COMPUTED_VALUE"""),"01. Usaquén")</f>
        <v>01. Usaquén</v>
      </c>
      <c r="H4789" s="55">
        <f ca="1">IFERROR(__xludf.DUMMYFUNCTION("""COMPUTED_VALUE"""),45107)</f>
        <v>45107</v>
      </c>
      <c r="I4789" s="25" t="str">
        <f ca="1">IFERROR(__xludf.DUMMYFUNCTION("""COMPUTED_VALUE"""),"Junta de Infraestructura")</f>
        <v>Junta de Infraestructura</v>
      </c>
      <c r="J4789" s="55" t="str">
        <f ca="1">IFERROR(__xludf.DUMMYFUNCTION("""COMPUTED_VALUE"""),"Alta")</f>
        <v>Alta</v>
      </c>
      <c r="K4789" s="25">
        <f ca="1">IFERROR(__xludf.DUMMYFUNCTION("""COMPUTED_VALUE"""),157)</f>
        <v>157</v>
      </c>
      <c r="L4789" s="62">
        <f ca="1">IFERROR(__xludf.DUMMYFUNCTION("""COMPUTED_VALUE"""),45033)</f>
        <v>45033</v>
      </c>
      <c r="M4789" s="25" t="str">
        <f ca="1">IFERROR(__xludf.DUMMYFUNCTION("""COMPUTED_VALUE"""),"La SDM solicitó al Fideicomiso de Lagos de Torca realizar de manera anticipada las obras que permiten la conexión del sendero de la reserva TVH con las obras de la Av. Laureano Gómez. A la fecha, la SDM se encuentra a la espera de respuesta por parte del "&amp;"Fideicomiso para adelantar y/o modificar sus cronogramas de obra para que esta intervención del sendero se pueda realizar de forma anticipada.")</f>
        <v>La SDM solicitó al Fideicomiso de Lagos de Torca realizar de manera anticipada las obras que permiten la conexión del sendero de la reserva TVH con las obras de la Av. Laureano Gómez. A la fecha, la SDM se encuentra a la espera de respuesta por parte del Fideicomiso para adelantar y/o modificar sus cronogramas de obra para que esta intervención del sendero se pueda realizar de forma anticipada.</v>
      </c>
      <c r="N4789" s="25"/>
      <c r="O4789" s="25" t="str">
        <f t="shared" ca="1" si="0"/>
        <v>Secretaría Distrital de Movilidad</v>
      </c>
      <c r="P4789" s="25" t="str">
        <f t="shared" ca="1" si="3"/>
        <v/>
      </c>
      <c r="Q4789" s="25" t="str">
        <f ca="1">IFERROR(__xludf.DUMMYFUNCTION("""COMPUTED_VALUE"""),"Mediano plazo")</f>
        <v>Mediano plazo</v>
      </c>
      <c r="R4789" s="25"/>
      <c r="S4789" s="55"/>
      <c r="T4789" s="56"/>
      <c r="U4789" s="25"/>
      <c r="V4789" s="25"/>
      <c r="W4789" s="25"/>
      <c r="X4789" s="25"/>
      <c r="Y4789" s="25"/>
      <c r="Z4789" s="25"/>
    </row>
    <row r="4790" spans="1:26" ht="52.5" customHeight="1" x14ac:dyDescent="0.25">
      <c r="A4790" s="25" t="str">
        <f ca="1">IFERROR(__xludf.DUMMYFUNCTION("""COMPUTED_VALUE"""),"Movil588")</f>
        <v>Movil588</v>
      </c>
      <c r="B4790" s="25" t="str">
        <f ca="1">IFERROR(__xludf.DUMMYFUNCTION("""COMPUTED_VALUE"""),"Junta Infraestructura")</f>
        <v>Junta Infraestructura</v>
      </c>
      <c r="C4790" s="55">
        <f ca="1">IFERROR(__xludf.DUMMYFUNCTION("""COMPUTED_VALUE"""),44950)</f>
        <v>44950</v>
      </c>
      <c r="D4790" s="25" t="str">
        <f ca="1">IFERROR(__xludf.DUMMYFUNCTION("""COMPUTED_VALUE"""),"Movilidad")</f>
        <v>Movilidad</v>
      </c>
      <c r="E4790" s="25" t="str">
        <f ca="1">IFERROR(__xludf.DUMMYFUNCTION("""COMPUTED_VALUE"""),"Instituto de Desarrollo Urbano")</f>
        <v>Instituto de Desarrollo Urbano</v>
      </c>
      <c r="F4790" s="25" t="str">
        <f ca="1">IFERROR(__xludf.DUMMYFUNCTION("""COMPUTED_VALUE"""),"Las vías del grupo 1 y 2 de la Av Guayacanes deben estar terminadas en febrero para visita de entrega con la Alcaldesa")</f>
        <v>Las vías del grupo 1 y 2 de la Av Guayacanes deben estar terminadas en febrero para visita de entrega con la Alcaldesa</v>
      </c>
      <c r="G4790" s="25" t="str">
        <f ca="1">IFERROR(__xludf.DUMMYFUNCTION("""COMPUTED_VALUE"""),"07. Bosa")</f>
        <v>07. Bosa</v>
      </c>
      <c r="H4790" s="55">
        <f ca="1">IFERROR(__xludf.DUMMYFUNCTION("""COMPUTED_VALUE"""),44985)</f>
        <v>44985</v>
      </c>
      <c r="I4790" s="25"/>
      <c r="J4790" s="55" t="str">
        <f ca="1">IFERROR(__xludf.DUMMYFUNCTION("""COMPUTED_VALUE"""),"Alta")</f>
        <v>Alta</v>
      </c>
      <c r="K4790" s="25">
        <f ca="1">IFERROR(__xludf.DUMMYFUNCTION("""COMPUTED_VALUE"""),35)</f>
        <v>35</v>
      </c>
      <c r="L4790" s="62">
        <f ca="1">IFERROR(__xludf.DUMMYFUNCTION("""COMPUTED_VALUE"""),44978)</f>
        <v>44978</v>
      </c>
      <c r="M4790" s="25" t="str">
        <f ca="1">IFERROR(__xludf.DUMMYFUNCTION("""COMPUTED_VALUE"""),"La visita se realizará el jueves 23 de Febrero para entrega. 
Grupo 1:
A la fecha el Contratista se encuentra adelantando las actividades en calzadas y ciclorutas de todo el corredor, especialmente los puntos críticos (Calle 38 Sur - Calle 43 Sur - Valle"&amp;" 51 Sur - Calle 56F Sur), en en donde se tuvieron interferencias e inconvenientes en los trámite antes la SDM y la DRM-EAB:
Intersección Calle 38 Sur: Se adelanta instalación carpeta asfaltica de rodadura, terminación cicloruta, conformación espacio públi"&amp;"co. 
Intersección Calle 43 Sur: Se adelanta terminación de cámaras de Red matriz, instalación carpeta asfáltica, cicloruta y conformación de espacio público.
Intersección Calle 56 F Sur: Se adelanata instalación de base asfaltica en clazada y ciclotuta, a"&amp;"sí como colocación de sardinelesy prefabricados para postrior instalación carpeta rodadura. 
En el resto del corredor, se adelanta la implementación y puesta en funcionamiento de semaforos, demarcación en zonas recientemente asfaltadas (Intersección Call"&amp;"e 40B sur - Intersección Calle 42 sur - tramo de via Calle 40 Sur a Calle 42 sur). Se continua con instalación de mobiliario urbano.
Nota: El Contrato 1543-2018 tiene fecha de terminación el  22-03-2023.
GRUPO 2:
Con corte al 21/02/2023, el corredor de "&amp;"la carrera 89 entre la calle 3 y la calle 9, cuenta con un avance del 100% por cuanto a infraestructura de vía para tres carriles de circulación por sentido&lt;; continuan actividades puntuales de espacio público sobre el costado nor-oriental de la calle 6 x"&amp;" cr 89, costado sur-oriental y nor-oriental de la calle 6D x carrera 89. Actualmente se cuenta con semaforización con conexiones temporales en las intersecciones de la calle 4, calle 6, calle 6A, calle 6B y calle 8; sobre las intersecciones de las calles "&amp;"6D y 9, se inicia operación con bandereros por un plazo no mayor a dos semanas a partir de la fecha mientras se culminan actividades de espacio público, cableado y semaforización. Actualmente el corredor cuenta con demarcación temporal sobre el mismo tram"&amp;"o y la cicloruta demarcada al 100%")</f>
        <v>La visita se realizará el jueves 23 de Febrero para entrega. 
Grupo 1:
A la fecha el Contratista se encuentra adelantando las actividades en calzadas y ciclorutas de todo el corredor, especialmente los puntos críticos (Calle 38 Sur - Calle 43 Sur - Valle 51 Sur - Calle 56F Sur), en en donde se tuvieron interferencias e inconvenientes en los trámite antes la SDM y la DRM-EAB:
Intersección Calle 38 Sur: Se adelanta instalación carpeta asfaltica de rodadura, terminación cicloruta, conformación espacio público. 
Intersección Calle 43 Sur: Se adelanta terminación de cámaras de Red matriz, instalación carpeta asfáltica, cicloruta y conformación de espacio público.
Intersección Calle 56 F Sur: Se adelanata instalación de base asfaltica en clazada y ciclotuta, así como colocación de sardinelesy prefabricados para postrior instalación carpeta rodadura. 
En el resto del corredor, se adelanta la implementación y puesta en funcionamiento de semaforos, demarcación en zonas recientemente asfaltadas (Intersección Calle 40B sur - Intersección Calle 42 sur - tramo de via Calle 40 Sur a Calle 42 sur). Se continua con instalación de mobiliario urbano.
Nota: El Contrato 1543-2018 tiene fecha de terminación el  22-03-2023.
GRUPO 2:
Con corte al 21/02/2023, el corredor de la carrera 89 entre la calle 3 y la calle 9, cuenta con un avance del 100% por cuanto a infraestructura de vía para tres carriles de circulación por sentido&lt;; continuan actividades puntuales de espacio público sobre el costado nor-oriental de la calle 6 x cr 89, costado sur-oriental y nor-oriental de la calle 6D x carrera 89. Actualmente se cuenta con semaforización con conexiones temporales en las intersecciones de la calle 4, calle 6, calle 6A, calle 6B y calle 8; sobre las intersecciones de las calles 6D y 9, se inicia operación con bandereros por un plazo no mayor a dos semanas a partir de la fecha mientras se culminan actividades de espacio público, cableado y semaforización. Actualmente el corredor cuenta con demarcación temporal sobre el mismo tramo y la cicloruta demarcada al 100%</v>
      </c>
      <c r="N4790" s="55">
        <f ca="1">IFERROR(__xludf.DUMMYFUNCTION("""COMPUTED_VALUE"""),44980)</f>
        <v>44980</v>
      </c>
      <c r="O4790" s="25" t="str">
        <f t="shared" ca="1" si="0"/>
        <v>Instituto de Desarrollo Urbano</v>
      </c>
      <c r="P4790" s="25" t="str">
        <f t="shared" si="3"/>
        <v/>
      </c>
      <c r="Q4790" s="25" t="str">
        <f ca="1">IFERROR(__xludf.DUMMYFUNCTION("""COMPUTED_VALUE"""),"Corto plazo")</f>
        <v>Corto plazo</v>
      </c>
      <c r="R4790" s="25"/>
      <c r="S4790" s="55"/>
      <c r="T4790" s="56"/>
      <c r="U4790" s="25"/>
      <c r="V4790" s="25"/>
      <c r="W4790" s="25"/>
      <c r="X4790" s="25"/>
      <c r="Y4790" s="25"/>
      <c r="Z4790" s="25"/>
    </row>
    <row r="4791" spans="1:26" ht="52.5" customHeight="1" x14ac:dyDescent="0.25">
      <c r="A4791" s="25" t="str">
        <f ca="1">IFERROR(__xludf.DUMMYFUNCTION("""COMPUTED_VALUE"""),"Movil589")</f>
        <v>Movil589</v>
      </c>
      <c r="B4791" s="25" t="str">
        <f ca="1">IFERROR(__xludf.DUMMYFUNCTION("""COMPUTED_VALUE"""),"Junta Infraestructura")</f>
        <v>Junta Infraestructura</v>
      </c>
      <c r="C4791" s="55">
        <f ca="1">IFERROR(__xludf.DUMMYFUNCTION("""COMPUTED_VALUE"""),44950)</f>
        <v>44950</v>
      </c>
      <c r="D4791" s="25" t="str">
        <f ca="1">IFERROR(__xludf.DUMMYFUNCTION("""COMPUTED_VALUE"""),"Movilidad")</f>
        <v>Movilidad</v>
      </c>
      <c r="E4791" s="25" t="str">
        <f ca="1">IFERROR(__xludf.DUMMYFUNCTION("""COMPUTED_VALUE"""),"Empresa de Transporte del Tercer Milenio - Transmilenio S.A.")</f>
        <v>Empresa de Transporte del Tercer Milenio - Transmilenio S.A.</v>
      </c>
      <c r="F4791" s="25" t="str">
        <f ca="1">IFERROR(__xludf.DUMMYFUNCTION("""COMPUTED_VALUE"""),"La estación molinos correspondiente a la troncal de la Caracas deberá ser entregada en marzo de 2023")</f>
        <v>La estación molinos correspondiente a la troncal de la Caracas deberá ser entregada en marzo de 2023</v>
      </c>
      <c r="G4791" s="25" t="str">
        <f ca="1">IFERROR(__xludf.DUMMYFUNCTION("""COMPUTED_VALUE"""),"18. Rafael Uribe Uribe")</f>
        <v>18. Rafael Uribe Uribe</v>
      </c>
      <c r="H4791" s="55">
        <f ca="1">IFERROR(__xludf.DUMMYFUNCTION("""COMPUTED_VALUE"""),45015)</f>
        <v>45015</v>
      </c>
      <c r="I4791" s="25"/>
      <c r="J4791" s="55" t="str">
        <f ca="1">IFERROR(__xludf.DUMMYFUNCTION("""COMPUTED_VALUE"""),"Media")</f>
        <v>Media</v>
      </c>
      <c r="K4791" s="25">
        <f ca="1">IFERROR(__xludf.DUMMYFUNCTION("""COMPUTED_VALUE"""),65)</f>
        <v>65</v>
      </c>
      <c r="L4791" s="62">
        <f ca="1">IFERROR(__xludf.DUMMYFUNCTION("""COMPUTED_VALUE"""),45000)</f>
        <v>45000</v>
      </c>
      <c r="M4791" s="25" t="str">
        <f ca="1">IFERROR(__xludf.DUMMYFUNCTION("""COMPUTED_VALUE"""),"El avance actual de la estación Molinos es de 98.21% (reporte del 13 de marzo 2023) Por parte del IDU falta algo de señalética, pero al parecer van a hacer otros cambios, también las acometidas de energía y EAAB; para energía entregan la certificación RET"&amp;"IE la próxima semana (20 al 24 de marzo 2023) y para la EAAB falta una conexión de alcantarillado que por PMT no se había podido realizar, pero en dos semanas queda lista y en ese momento les reciben los documentos para la acometida, ya se cuenta con PMT."&amp;" Una vez entreguen la estación, TMSA realizará las adecuaciones correspondientes. La entrega por parte de TMSA se estima para mediados de abril 2023.")</f>
        <v>El avance actual de la estación Molinos es de 98.21% (reporte del 13 de marzo 2023) Por parte del IDU falta algo de señalética, pero al parecer van a hacer otros cambios, también las acometidas de energía y EAAB; para energía entregan la certificación RETIE la próxima semana (20 al 24 de marzo 2023) y para la EAAB falta una conexión de alcantarillado que por PMT no se había podido realizar, pero en dos semanas queda lista y en ese momento les reciben los documentos para la acometida, ya se cuenta con PMT. Una vez entreguen la estación, TMSA realizará las adecuaciones correspondientes. La entrega por parte de TMSA se estima para mediados de abril 2023.</v>
      </c>
      <c r="N4791" s="55">
        <f ca="1">IFERROR(__xludf.DUMMYFUNCTION("""COMPUTED_VALUE"""),45005)</f>
        <v>45005</v>
      </c>
      <c r="O4791" s="25" t="str">
        <f t="shared" ca="1" si="0"/>
        <v>Empresa de Transporte del Tercer Milenio - Transmilenio S.A.</v>
      </c>
      <c r="P4791" s="25" t="str">
        <f t="shared" si="3"/>
        <v/>
      </c>
      <c r="Q4791" s="25" t="str">
        <f ca="1">IFERROR(__xludf.DUMMYFUNCTION("""COMPUTED_VALUE"""),"Mediano plazo")</f>
        <v>Mediano plazo</v>
      </c>
      <c r="R4791" s="25"/>
      <c r="S4791" s="55"/>
      <c r="T4791" s="56"/>
      <c r="U4791" s="25"/>
      <c r="V4791" s="25"/>
      <c r="W4791" s="25"/>
      <c r="X4791" s="25"/>
      <c r="Y4791" s="25"/>
      <c r="Z4791" s="25"/>
    </row>
    <row r="4792" spans="1:26" ht="52.5" customHeight="1" x14ac:dyDescent="0.25">
      <c r="A4792" s="25" t="str">
        <f ca="1">IFERROR(__xludf.DUMMYFUNCTION("""COMPUTED_VALUE"""),"Movil590")</f>
        <v>Movil590</v>
      </c>
      <c r="B4792" s="25" t="str">
        <f ca="1">IFERROR(__xludf.DUMMYFUNCTION("""COMPUTED_VALUE"""),"Junta Infraestructura")</f>
        <v>Junta Infraestructura</v>
      </c>
      <c r="C4792" s="55">
        <f ca="1">IFERROR(__xludf.DUMMYFUNCTION("""COMPUTED_VALUE"""),44950)</f>
        <v>44950</v>
      </c>
      <c r="D4792" s="25" t="str">
        <f ca="1">IFERROR(__xludf.DUMMYFUNCTION("""COMPUTED_VALUE"""),"Movilidad")</f>
        <v>Movilidad</v>
      </c>
      <c r="E4792" s="25" t="str">
        <f ca="1">IFERROR(__xludf.DUMMYFUNCTION("""COMPUTED_VALUE"""),"Instituto de Desarrollo Urbano")</f>
        <v>Instituto de Desarrollo Urbano</v>
      </c>
      <c r="F4792" s="25" t="str">
        <f ca="1">IFERROR(__xludf.DUMMYFUNCTION("""COMPUTED_VALUE"""),"Firmar esta semana convenio entre acueducto y el IDU para aprobaciones de redes hidrosanitarias ")</f>
        <v xml:space="preserve">Firmar esta semana convenio entre acueducto y el IDU para aprobaciones de redes hidrosanitarias </v>
      </c>
      <c r="G4792" s="25" t="str">
        <f ca="1">IFERROR(__xludf.DUMMYFUNCTION("""COMPUTED_VALUE"""),"99. Distrito")</f>
        <v>99. Distrito</v>
      </c>
      <c r="H4792" s="55">
        <f ca="1">IFERROR(__xludf.DUMMYFUNCTION("""COMPUTED_VALUE"""),45077)</f>
        <v>45077</v>
      </c>
      <c r="I4792" s="25" t="str">
        <f ca="1">IFERROR(__xludf.DUMMYFUNCTION("""COMPUTED_VALUE"""),"Junta de Infraestructura")</f>
        <v>Junta de Infraestructura</v>
      </c>
      <c r="J4792" s="55" t="str">
        <f ca="1">IFERROR(__xludf.DUMMYFUNCTION("""COMPUTED_VALUE"""),"Media")</f>
        <v>Media</v>
      </c>
      <c r="K4792" s="25">
        <f ca="1">IFERROR(__xludf.DUMMYFUNCTION("""COMPUTED_VALUE"""),127)</f>
        <v>127</v>
      </c>
      <c r="L4792" s="62">
        <f ca="1">IFERROR(__xludf.DUMMYFUNCTION("""COMPUTED_VALUE"""),45077)</f>
        <v>45077</v>
      </c>
      <c r="M4792" s="25" t="str">
        <f ca="1">IFERROR(__xludf.DUMMYFUNCTION("""COMPUTED_VALUE"""),"el convenio es para construccion del colector callejas  no aprobacion de estudios y diseños - el convenio  se debe firmar antes del 29 de junio. La minuta esta acordada pero depende de futuro contratos IDU.")</f>
        <v>el convenio es para construccion del colector callejas  no aprobacion de estudios y diseños - el convenio  se debe firmar antes del 29 de junio. La minuta esta acordada pero depende de futuro contratos IDU.</v>
      </c>
      <c r="N4792" s="25"/>
      <c r="O4792" s="25" t="str">
        <f t="shared" ca="1" si="0"/>
        <v>Instituto de Desarrollo Urbano</v>
      </c>
      <c r="P4792" s="25" t="str">
        <f t="shared" ca="1" si="3"/>
        <v/>
      </c>
      <c r="Q4792" s="25" t="str">
        <f ca="1">IFERROR(__xludf.DUMMYFUNCTION("""COMPUTED_VALUE"""),"Mediano plazo")</f>
        <v>Mediano plazo</v>
      </c>
      <c r="R4792" s="25"/>
      <c r="S4792" s="55"/>
      <c r="T4792" s="56"/>
      <c r="U4792" s="25"/>
      <c r="V4792" s="25"/>
      <c r="W4792" s="25"/>
      <c r="X4792" s="25"/>
      <c r="Y4792" s="25"/>
      <c r="Z4792" s="25"/>
    </row>
    <row r="4793" spans="1:26" ht="52.5" customHeight="1" x14ac:dyDescent="0.25">
      <c r="A4793" s="25" t="str">
        <f ca="1">IFERROR(__xludf.DUMMYFUNCTION("""COMPUTED_VALUE"""),"Movil591")</f>
        <v>Movil591</v>
      </c>
      <c r="B4793" s="25" t="str">
        <f ca="1">IFERROR(__xludf.DUMMYFUNCTION("""COMPUTED_VALUE"""),"Junta Infraestructura")</f>
        <v>Junta Infraestructura</v>
      </c>
      <c r="C4793" s="55">
        <f ca="1">IFERROR(__xludf.DUMMYFUNCTION("""COMPUTED_VALUE"""),44950)</f>
        <v>44950</v>
      </c>
      <c r="D4793" s="25" t="str">
        <f ca="1">IFERROR(__xludf.DUMMYFUNCTION("""COMPUTED_VALUE"""),"Movilidad")</f>
        <v>Movilidad</v>
      </c>
      <c r="E4793" s="25" t="str">
        <f ca="1">IFERROR(__xludf.DUMMYFUNCTION("""COMPUTED_VALUE"""),"Instituto de Desarrollo Urbano")</f>
        <v>Instituto de Desarrollo Urbano</v>
      </c>
      <c r="F4793" s="25" t="str">
        <f ca="1">IFERROR(__xludf.DUMMYFUNCTION("""COMPUTED_VALUE"""),"El presupuesto de la modificación del puente de la calle 85 entre 7ma y 7ma A debe estar listo junto con la contratación del CV K7")</f>
        <v>El presupuesto de la modificación del puente de la calle 85 entre 7ma y 7ma A debe estar listo junto con la contratación del CV K7</v>
      </c>
      <c r="G4793" s="25" t="str">
        <f ca="1">IFERROR(__xludf.DUMMYFUNCTION("""COMPUTED_VALUE"""),"02. Chapinero")</f>
        <v>02. Chapinero</v>
      </c>
      <c r="H4793" s="55">
        <f ca="1">IFERROR(__xludf.DUMMYFUNCTION("""COMPUTED_VALUE"""),45000)</f>
        <v>45000</v>
      </c>
      <c r="I4793" s="25" t="str">
        <f ca="1">IFERROR(__xludf.DUMMYFUNCTION("""COMPUTED_VALUE"""),"Junta de Infraestructura")</f>
        <v>Junta de Infraestructura</v>
      </c>
      <c r="J4793" s="55" t="str">
        <f ca="1">IFERROR(__xludf.DUMMYFUNCTION("""COMPUTED_VALUE"""),"Alta")</f>
        <v>Alta</v>
      </c>
      <c r="K4793" s="25">
        <f ca="1">IFERROR(__xludf.DUMMYFUNCTION("""COMPUTED_VALUE"""),50)</f>
        <v>50</v>
      </c>
      <c r="L4793" s="62">
        <f ca="1">IFERROR(__xludf.DUMMYFUNCTION("""COMPUTED_VALUE"""),45016)</f>
        <v>45016</v>
      </c>
      <c r="M4793" s="25" t="str">
        <f ca="1">IFERROR(__xludf.DUMMYFUNCTION("""COMPUTED_VALUE"""),"Según diseños internos que está realizando el idu el costo estaría incluido en la licitación. La licitación se abre a mediados de abril")</f>
        <v>Según diseños internos que está realizando el idu el costo estaría incluido en la licitación. La licitación se abre a mediados de abril</v>
      </c>
      <c r="N4793" s="55">
        <f ca="1">IFERROR(__xludf.DUMMYFUNCTION("""COMPUTED_VALUE"""),45071)</f>
        <v>45071</v>
      </c>
      <c r="O4793" s="25" t="str">
        <f t="shared" ca="1" si="0"/>
        <v>Instituto de Desarrollo Urbano</v>
      </c>
      <c r="P4793" s="25" t="str">
        <f t="shared" ca="1" si="3"/>
        <v/>
      </c>
      <c r="Q4793" s="25" t="str">
        <f ca="1">IFERROR(__xludf.DUMMYFUNCTION("""COMPUTED_VALUE"""),"Corto plazo")</f>
        <v>Corto plazo</v>
      </c>
      <c r="R4793" s="25"/>
      <c r="S4793" s="55"/>
      <c r="T4793" s="56"/>
      <c r="U4793" s="25"/>
      <c r="V4793" s="25"/>
      <c r="W4793" s="25"/>
      <c r="X4793" s="25"/>
      <c r="Y4793" s="25"/>
      <c r="Z4793" s="25"/>
    </row>
    <row r="4794" spans="1:26" ht="52.5" customHeight="1" x14ac:dyDescent="0.25">
      <c r="A4794" s="25" t="str">
        <f ca="1">IFERROR(__xludf.DUMMYFUNCTION("""COMPUTED_VALUE"""),"Movil592")</f>
        <v>Movil592</v>
      </c>
      <c r="B4794" s="25" t="str">
        <f ca="1">IFERROR(__xludf.DUMMYFUNCTION("""COMPUTED_VALUE"""),"Junta Infraestructura")</f>
        <v>Junta Infraestructura</v>
      </c>
      <c r="C4794" s="55">
        <f ca="1">IFERROR(__xludf.DUMMYFUNCTION("""COMPUTED_VALUE"""),44950)</f>
        <v>44950</v>
      </c>
      <c r="D4794" s="25" t="str">
        <f ca="1">IFERROR(__xludf.DUMMYFUNCTION("""COMPUTED_VALUE"""),"Movilidad")</f>
        <v>Movilidad</v>
      </c>
      <c r="E4794" s="25" t="str">
        <f ca="1">IFERROR(__xludf.DUMMYFUNCTION("""COMPUTED_VALUE"""),"Instituto de Desarrollo Urbano")</f>
        <v>Instituto de Desarrollo Urbano</v>
      </c>
      <c r="F4794" s="25" t="str">
        <f ca="1">IFERROR(__xludf.DUMMYFUNCTION("""COMPUTED_VALUE"""),"Para la presentación del Borde Oriental (metro, regiotram y cv7), se debe realizar el cálculo de los beneficios en terminos de tiempos, ambiental y siniestralidad para los peatones, ciclistas, transporte público y carros")</f>
        <v>Para la presentación del Borde Oriental (metro, regiotram y cv7), se debe realizar el cálculo de los beneficios en terminos de tiempos, ambiental y siniestralidad para los peatones, ciclistas, transporte público y carros</v>
      </c>
      <c r="G4794" s="25" t="str">
        <f ca="1">IFERROR(__xludf.DUMMYFUNCTION("""COMPUTED_VALUE"""),"99. Distrito")</f>
        <v>99. Distrito</v>
      </c>
      <c r="H4794" s="55">
        <f ca="1">IFERROR(__xludf.DUMMYFUNCTION("""COMPUTED_VALUE"""),44953)</f>
        <v>44953</v>
      </c>
      <c r="I4794" s="25"/>
      <c r="J4794" s="55" t="str">
        <f ca="1">IFERROR(__xludf.DUMMYFUNCTION("""COMPUTED_VALUE"""),"Alta")</f>
        <v>Alta</v>
      </c>
      <c r="K4794" s="25">
        <f ca="1">IFERROR(__xludf.DUMMYFUNCTION("""COMPUTED_VALUE"""),3)</f>
        <v>3</v>
      </c>
      <c r="L4794" s="62">
        <f ca="1">IFERROR(__xludf.DUMMYFUNCTION("""COMPUTED_VALUE"""),44953)</f>
        <v>44953</v>
      </c>
      <c r="M4794" s="25" t="str">
        <f ca="1">IFERROR(__xludf.DUMMYFUNCTION("""COMPUTED_VALUE"""),"Se están sacando los valores, se envío primera propuesta de presentación a Alcaldia Mayor el 26 de enero. Se realizó el evento y se ajustó peresentación según solcitudes ")</f>
        <v xml:space="preserve">Se están sacando los valores, se envío primera propuesta de presentación a Alcaldia Mayor el 26 de enero. Se realizó el evento y se ajustó peresentación según solcitudes </v>
      </c>
      <c r="N4794" s="55">
        <f ca="1">IFERROR(__xludf.DUMMYFUNCTION("""COMPUTED_VALUE"""),44956)</f>
        <v>44956</v>
      </c>
      <c r="O4794" s="25" t="str">
        <f t="shared" ca="1" si="0"/>
        <v>Instituto de Desarrollo Urbano</v>
      </c>
      <c r="P4794" s="25" t="str">
        <f t="shared" si="3"/>
        <v/>
      </c>
      <c r="Q4794" s="25" t="str">
        <f ca="1">IFERROR(__xludf.DUMMYFUNCTION("""COMPUTED_VALUE"""),"Corto plazo")</f>
        <v>Corto plazo</v>
      </c>
      <c r="R4794" s="25"/>
      <c r="S4794" s="55"/>
      <c r="T4794" s="56"/>
      <c r="U4794" s="25"/>
      <c r="V4794" s="25"/>
      <c r="W4794" s="25"/>
      <c r="X4794" s="25"/>
      <c r="Y4794" s="25"/>
      <c r="Z4794" s="25"/>
    </row>
    <row r="4795" spans="1:26" ht="52.5" customHeight="1" x14ac:dyDescent="0.25">
      <c r="A4795" s="25" t="str">
        <f ca="1">IFERROR(__xludf.DUMMYFUNCTION("""COMPUTED_VALUE"""),"Movil593")</f>
        <v>Movil593</v>
      </c>
      <c r="B4795" s="25" t="str">
        <f ca="1">IFERROR(__xludf.DUMMYFUNCTION("""COMPUTED_VALUE"""),"Junta Infraestructura")</f>
        <v>Junta Infraestructura</v>
      </c>
      <c r="C4795" s="55">
        <f ca="1">IFERROR(__xludf.DUMMYFUNCTION("""COMPUTED_VALUE"""),44950)</f>
        <v>44950</v>
      </c>
      <c r="D4795" s="25" t="str">
        <f ca="1">IFERROR(__xludf.DUMMYFUNCTION("""COMPUTED_VALUE"""),"Movilidad")</f>
        <v>Movilidad</v>
      </c>
      <c r="E4795" s="25" t="str">
        <f ca="1">IFERROR(__xludf.DUMMYFUNCTION("""COMPUTED_VALUE"""),"Instituto de Desarrollo Urbano")</f>
        <v>Instituto de Desarrollo Urbano</v>
      </c>
      <c r="F4795" s="25" t="str">
        <f ca="1">IFERROR(__xludf.DUMMYFUNCTION("""COMPUTED_VALUE"""),"Recopilar las respuestas a cartas de ciudadanos que aportaron al corredor verde, con nombre, cedula y dirección.")</f>
        <v>Recopilar las respuestas a cartas de ciudadanos que aportaron al corredor verde, con nombre, cedula y dirección.</v>
      </c>
      <c r="G4795" s="25" t="str">
        <f ca="1">IFERROR(__xludf.DUMMYFUNCTION("""COMPUTED_VALUE"""),"99. Distrito")</f>
        <v>99. Distrito</v>
      </c>
      <c r="H4795" s="55">
        <f ca="1">IFERROR(__xludf.DUMMYFUNCTION("""COMPUTED_VALUE"""),45015)</f>
        <v>45015</v>
      </c>
      <c r="I4795" s="25"/>
      <c r="J4795" s="55" t="str">
        <f ca="1">IFERROR(__xludf.DUMMYFUNCTION("""COMPUTED_VALUE"""),"Media")</f>
        <v>Media</v>
      </c>
      <c r="K4795" s="25">
        <f ca="1">IFERROR(__xludf.DUMMYFUNCTION("""COMPUTED_VALUE"""),65)</f>
        <v>65</v>
      </c>
      <c r="L4795" s="62">
        <f ca="1">IFERROR(__xludf.DUMMYFUNCTION("""COMPUTED_VALUE"""),44981)</f>
        <v>44981</v>
      </c>
      <c r="M4795" s="25" t="str">
        <f ca="1">IFERROR(__xludf.DUMMYFUNCTION("""COMPUTED_VALUE"""),"Se cuenta con 150 Derechos de petición en el IDU con respecto al proyecto a los que se ha dado respuesta. Del proceso de cocreación se tienen identificados con nombre, cédula y Dirección 7.000 registros de personas a las que se les enviará comunicación y "&amp;"carta ")</f>
        <v xml:space="preserve">Se cuenta con 150 Derechos de petición en el IDU con respecto al proyecto a los que se ha dado respuesta. Del proceso de cocreación se tienen identificados con nombre, cédula y Dirección 7.000 registros de personas a las que se les enviará comunicación y carta </v>
      </c>
      <c r="N4795" s="55">
        <f ca="1">IFERROR(__xludf.DUMMYFUNCTION("""COMPUTED_VALUE"""),44981)</f>
        <v>44981</v>
      </c>
      <c r="O4795" s="25" t="str">
        <f t="shared" ca="1" si="0"/>
        <v>Instituto de Desarrollo Urbano</v>
      </c>
      <c r="P4795" s="25" t="str">
        <f t="shared" si="3"/>
        <v/>
      </c>
      <c r="Q4795" s="25" t="str">
        <f ca="1">IFERROR(__xludf.DUMMYFUNCTION("""COMPUTED_VALUE"""),"Mediano plazo")</f>
        <v>Mediano plazo</v>
      </c>
      <c r="R4795" s="25"/>
      <c r="S4795" s="55"/>
      <c r="T4795" s="56"/>
      <c r="U4795" s="25"/>
      <c r="V4795" s="25"/>
      <c r="W4795" s="25"/>
      <c r="X4795" s="25"/>
      <c r="Y4795" s="25"/>
      <c r="Z4795" s="25"/>
    </row>
    <row r="4796" spans="1:26" ht="52.5" customHeight="1" x14ac:dyDescent="0.25">
      <c r="A4796" s="25" t="str">
        <f ca="1">IFERROR(__xludf.DUMMYFUNCTION("""COMPUTED_VALUE"""),"Movil594")</f>
        <v>Movil594</v>
      </c>
      <c r="B4796" s="25" t="str">
        <f ca="1">IFERROR(__xludf.DUMMYFUNCTION("""COMPUTED_VALUE"""),"Junta Infraestructura")</f>
        <v>Junta Infraestructura</v>
      </c>
      <c r="C4796" s="55">
        <f ca="1">IFERROR(__xludf.DUMMYFUNCTION("""COMPUTED_VALUE"""),44950)</f>
        <v>44950</v>
      </c>
      <c r="D4796" s="25" t="str">
        <f ca="1">IFERROR(__xludf.DUMMYFUNCTION("""COMPUTED_VALUE"""),"Movilidad")</f>
        <v>Movilidad</v>
      </c>
      <c r="E4796" s="25" t="str">
        <f ca="1">IFERROR(__xludf.DUMMYFUNCTION("""COMPUTED_VALUE"""),"Secretaría Distrital de Movilidad")</f>
        <v>Secretaría Distrital de Movilidad</v>
      </c>
      <c r="F4796" s="25" t="str">
        <f ca="1">IFERROR(__xludf.DUMMYFUNCTION("""COMPUTED_VALUE"""),"Tener un balance del plan tapa huecos con corte al 30 de enero, aclarando qué se hizo y qué queda pendiente")</f>
        <v>Tener un balance del plan tapa huecos con corte al 30 de enero, aclarando qué se hizo y qué queda pendiente</v>
      </c>
      <c r="G4796" s="25" t="str">
        <f ca="1">IFERROR(__xludf.DUMMYFUNCTION("""COMPUTED_VALUE"""),"99. Distrito")</f>
        <v>99. Distrito</v>
      </c>
      <c r="H4796" s="55">
        <f ca="1">IFERROR(__xludf.DUMMYFUNCTION("""COMPUTED_VALUE"""),44956)</f>
        <v>44956</v>
      </c>
      <c r="I4796" s="25"/>
      <c r="J4796" s="55" t="str">
        <f ca="1">IFERROR(__xludf.DUMMYFUNCTION("""COMPUTED_VALUE"""),"Alta")</f>
        <v>Alta</v>
      </c>
      <c r="K4796" s="25">
        <f ca="1">IFERROR(__xludf.DUMMYFUNCTION("""COMPUTED_VALUE"""),6)</f>
        <v>6</v>
      </c>
      <c r="L4796" s="62">
        <f ca="1">IFERROR(__xludf.DUMMYFUNCTION("""COMPUTED_VALUE"""),44953)</f>
        <v>44953</v>
      </c>
      <c r="M4796" s="25" t="str">
        <f ca="1">IFERROR(__xludf.DUMMYFUNCTION("""COMPUTED_VALUE"""),"Se está actualizando la presentación para rueda de prensa. La inormación se encuentra cerrada a espera de la presentación por parte de alcaldesa en rueda de prensa")</f>
        <v>Se está actualizando la presentación para rueda de prensa. La inormación se encuentra cerrada a espera de la presentación por parte de alcaldesa en rueda de prensa</v>
      </c>
      <c r="N4796" s="55">
        <f ca="1">IFERROR(__xludf.DUMMYFUNCTION("""COMPUTED_VALUE"""),44956)</f>
        <v>44956</v>
      </c>
      <c r="O4796" s="25" t="str">
        <f t="shared" ca="1" si="0"/>
        <v>Secretaría Distrital de Movilidad</v>
      </c>
      <c r="P4796" s="25" t="str">
        <f t="shared" si="3"/>
        <v/>
      </c>
      <c r="Q4796" s="25" t="str">
        <f ca="1">IFERROR(__xludf.DUMMYFUNCTION("""COMPUTED_VALUE"""),"Corto plazo")</f>
        <v>Corto plazo</v>
      </c>
      <c r="R4796" s="25"/>
      <c r="S4796" s="55"/>
      <c r="T4796" s="56"/>
      <c r="U4796" s="25"/>
      <c r="V4796" s="25"/>
      <c r="W4796" s="25"/>
      <c r="X4796" s="25"/>
      <c r="Y4796" s="25"/>
      <c r="Z4796" s="25"/>
    </row>
    <row r="4797" spans="1:26" ht="52.5" customHeight="1" x14ac:dyDescent="0.25">
      <c r="A4797" s="25" t="str">
        <f ca="1">IFERROR(__xludf.DUMMYFUNCTION("""COMPUTED_VALUE"""),"Movil595")</f>
        <v>Movil595</v>
      </c>
      <c r="B4797" s="25"/>
      <c r="C4797" s="55"/>
      <c r="D4797" s="25" t="str">
        <f ca="1">IFERROR(__xludf.DUMMYFUNCTION("""COMPUTED_VALUE"""),"Movilidad")</f>
        <v>Movilidad</v>
      </c>
      <c r="E4797" s="25" t="str">
        <f ca="1">IFERROR(__xludf.DUMMYFUNCTION("""COMPUTED_VALUE"""),"Instituto de Desarrollo Urbano")</f>
        <v>Instituto de Desarrollo Urbano</v>
      </c>
      <c r="F4797" s="25" t="str">
        <f ca="1">IFERROR(__xludf.DUMMYFUNCTION("""COMPUTED_VALUE"""),"Eliminada")</f>
        <v>Eliminada</v>
      </c>
      <c r="G4797" s="25"/>
      <c r="H4797" s="25"/>
      <c r="I4797" s="25"/>
      <c r="J4797" s="55"/>
      <c r="K4797" s="25" t="str">
        <f ca="1">IFERROR(__xludf.DUMMYFUNCTION("""COMPUTED_VALUE"""),"Definir fecha")</f>
        <v>Definir fecha</v>
      </c>
      <c r="L4797" s="62"/>
      <c r="M4797" s="25"/>
      <c r="N4797" s="25"/>
      <c r="O4797" s="25" t="str">
        <f t="shared" ca="1" si="0"/>
        <v>Instituto de Desarrollo Urbano</v>
      </c>
      <c r="P4797" s="25" t="str">
        <f t="shared" si="3"/>
        <v/>
      </c>
      <c r="Q4797" s="25" t="str">
        <f ca="1">IFERROR(__xludf.DUMMYFUNCTION("""COMPUTED_VALUE"""),"Sin defenir")</f>
        <v>Sin defenir</v>
      </c>
      <c r="R4797" s="25"/>
      <c r="S4797" s="55"/>
      <c r="T4797" s="56"/>
      <c r="U4797" s="25"/>
      <c r="V4797" s="25"/>
      <c r="W4797" s="25"/>
      <c r="X4797" s="25"/>
      <c r="Y4797" s="25"/>
      <c r="Z4797" s="25"/>
    </row>
    <row r="4798" spans="1:26" ht="52.5" customHeight="1" x14ac:dyDescent="0.25">
      <c r="A4798" s="25" t="str">
        <f ca="1">IFERROR(__xludf.DUMMYFUNCTION("""COMPUTED_VALUE"""),"Movil596")</f>
        <v>Movil596</v>
      </c>
      <c r="B4798" s="25" t="str">
        <f ca="1">IFERROR(__xludf.DUMMYFUNCTION("""COMPUTED_VALUE"""),"Reunión Ministro de Hacienda")</f>
        <v>Reunión Ministro de Hacienda</v>
      </c>
      <c r="C4798" s="55">
        <f ca="1">IFERROR(__xludf.DUMMYFUNCTION("""COMPUTED_VALUE"""),44951)</f>
        <v>44951</v>
      </c>
      <c r="D4798" s="25" t="str">
        <f ca="1">IFERROR(__xludf.DUMMYFUNCTION("""COMPUTED_VALUE"""),"Movilidad")</f>
        <v>Movilidad</v>
      </c>
      <c r="E4798" s="25" t="str">
        <f ca="1">IFERROR(__xludf.DUMMYFUNCTION("""COMPUTED_VALUE"""),"Empresa de Transporte del Tercer Milenio - Transmilenio S.A.")</f>
        <v>Empresa de Transporte del Tercer Milenio - Transmilenio S.A.</v>
      </c>
      <c r="F4798" s="25" t="str">
        <f ca="1">IFERROR(__xludf.DUMMYFUNCTION("""COMPUTED_VALUE"""),"Enviar un brief al ministro con las cifras sobre el déficit de TM para 2023. Dividir entre el déficit operacional y el déficit por nueva flota.")</f>
        <v>Enviar un brief al ministro con las cifras sobre el déficit de TM para 2023. Dividir entre el déficit operacional y el déficit por nueva flota.</v>
      </c>
      <c r="G4798" s="25" t="str">
        <f ca="1">IFERROR(__xludf.DUMMYFUNCTION("""COMPUTED_VALUE"""),"99. Distrito")</f>
        <v>99. Distrito</v>
      </c>
      <c r="H4798" s="55">
        <f ca="1">IFERROR(__xludf.DUMMYFUNCTION("""COMPUTED_VALUE"""),44972)</f>
        <v>44972</v>
      </c>
      <c r="I4798" s="25"/>
      <c r="J4798" s="55" t="str">
        <f ca="1">IFERROR(__xludf.DUMMYFUNCTION("""COMPUTED_VALUE"""),"Alta")</f>
        <v>Alta</v>
      </c>
      <c r="K4798" s="25">
        <f ca="1">IFERROR(__xludf.DUMMYFUNCTION("""COMPUTED_VALUE"""),21)</f>
        <v>21</v>
      </c>
      <c r="L4798" s="62">
        <f ca="1">IFERROR(__xludf.DUMMYFUNCTION("""COMPUTED_VALUE"""),44978)</f>
        <v>44978</v>
      </c>
      <c r="M4798" s="66" t="str">
        <f ca="1">IFERROR(__xludf.DUMMYFUNCTION("""COMPUTED_VALUE"""),"Subgerencia Económica
https://transmilenio-my.sharepoint.com/:b:/g/personal/sindy_campos_transmilenio_gov_co/EXQkPezgZxxKu-rQSvz_PjEBm8NrGFo14Y2sNF34_5L3Vw?e=a5JCBV")</f>
        <v>Subgerencia Económica
https://transmilenio-my.sharepoint.com/:b:/g/personal/sindy_campos_transmilenio_gov_co/EXQkPezgZxxKu-rQSvz_PjEBm8NrGFo14Y2sNF34_5L3Vw?e=a5JCBV</v>
      </c>
      <c r="N4798" s="55">
        <f ca="1">IFERROR(__xludf.DUMMYFUNCTION("""COMPUTED_VALUE"""),44984)</f>
        <v>44984</v>
      </c>
      <c r="O4798" s="25" t="str">
        <f t="shared" ca="1" si="0"/>
        <v>Empresa de Transporte del Tercer Milenio - Transmilenio S.A.</v>
      </c>
      <c r="P4798" s="25" t="str">
        <f t="shared" si="3"/>
        <v/>
      </c>
      <c r="Q4798" s="25" t="str">
        <f ca="1">IFERROR(__xludf.DUMMYFUNCTION("""COMPUTED_VALUE"""),"Corto plazo")</f>
        <v>Corto plazo</v>
      </c>
      <c r="R4798" s="25"/>
      <c r="S4798" s="55"/>
      <c r="T4798" s="56"/>
      <c r="U4798" s="25"/>
      <c r="V4798" s="25"/>
      <c r="W4798" s="25"/>
      <c r="X4798" s="25"/>
      <c r="Y4798" s="25"/>
      <c r="Z4798" s="25"/>
    </row>
    <row r="4799" spans="1:26" ht="52.5" customHeight="1" x14ac:dyDescent="0.25">
      <c r="A4799" s="25" t="str">
        <f ca="1">IFERROR(__xludf.DUMMYFUNCTION("""COMPUTED_VALUE"""),"Movil597")</f>
        <v>Movil597</v>
      </c>
      <c r="B4799" s="25" t="str">
        <f ca="1">IFERROR(__xludf.DUMMYFUNCTION("""COMPUTED_VALUE"""),"Visita de obra Hospital Bosa + Entrega CAPS Tintal")</f>
        <v>Visita de obra Hospital Bosa + Entrega CAPS Tintal</v>
      </c>
      <c r="C4799" s="55">
        <f ca="1">IFERROR(__xludf.DUMMYFUNCTION("""COMPUTED_VALUE"""),44942)</f>
        <v>44942</v>
      </c>
      <c r="D4799" s="25" t="str">
        <f ca="1">IFERROR(__xludf.DUMMYFUNCTION("""COMPUTED_VALUE"""),"Movilidad")</f>
        <v>Movilidad</v>
      </c>
      <c r="E4799" s="25" t="str">
        <f ca="1">IFERROR(__xludf.DUMMYFUNCTION("""COMPUTED_VALUE"""),"Unidad Administrativa Especial de Rehabilitación y Mantenimiento Vial")</f>
        <v>Unidad Administrativa Especial de Rehabilitación y Mantenimiento Vial</v>
      </c>
      <c r="F4799" s="25" t="str">
        <f ca="1">IFERROR(__xludf.DUMMYFUNCTION("""COMPUTED_VALUE"""),"La UMV debe repavimentar las vías aledañas al Hospital de bosa que se deterioraron por el tránsito de volquetas (Entre Septiembre y diciembre)")</f>
        <v>La UMV debe repavimentar las vías aledañas al Hospital de bosa que se deterioraron por el tránsito de volquetas (Entre Septiembre y diciembre)</v>
      </c>
      <c r="G4799" s="25" t="str">
        <f ca="1">IFERROR(__xludf.DUMMYFUNCTION("""COMPUTED_VALUE"""),"07. Bosa")</f>
        <v>07. Bosa</v>
      </c>
      <c r="H4799" s="55">
        <f ca="1">IFERROR(__xludf.DUMMYFUNCTION("""COMPUTED_VALUE"""),45229)</f>
        <v>45229</v>
      </c>
      <c r="I4799" s="25" t="str">
        <f ca="1">IFERROR(__xludf.DUMMYFUNCTION("""COMPUTED_VALUE"""),"Junta de Infraestructura")</f>
        <v>Junta de Infraestructura</v>
      </c>
      <c r="J4799" s="55" t="str">
        <f ca="1">IFERROR(__xludf.DUMMYFUNCTION("""COMPUTED_VALUE"""),"Baja")</f>
        <v>Baja</v>
      </c>
      <c r="K4799" s="25">
        <f ca="1">IFERROR(__xludf.DUMMYFUNCTION("""COMPUTED_VALUE"""),287)</f>
        <v>287</v>
      </c>
      <c r="L4799" s="62">
        <f ca="1">IFERROR(__xludf.DUMMYFUNCTION("""COMPUTED_VALUE"""),45078)</f>
        <v>45078</v>
      </c>
      <c r="M4799" s="25" t="str">
        <f ca="1">IFERROR(__xludf.DUMMYFUNCTION("""COMPUTED_VALUE"""),"01/06/2023 La UMV realizó visita el 9/02/2023 al eje vial localizado en la CL 73S entre KR 95A y KR 105B, zona de influencia construcción del Nuevo Hospital de Bosa en 9 segmentos viales, al respecto se identificó que cuenta con reserva el CIV 7008371 del"&amp;" FDL Bosa y el CIV 7010046 Contrato IDU 1746-2021. Se programará diagnóstico en los segmentos que no cuentan con reserva por parte de otra entidad. 
21/03/2023 se realizó diagnóstico identificando que para el caso de los segmentos identificados con los PK"&amp;" 91012580, 91033146 requieren contrucción parcial de calzada por lo tanto solo se podria apoyar con la rehabilitación parcial por competencias de la Entidad, Respecto a los PK 500147, 2503978 cambio carpeta, PK 91012574 sello de fisuras, PK91012573 y 5001"&amp;"45 PABA, se inicia el proceso de evaluación de vias con la solicitud de reserva ante el IDU.
26/04/2023 Los PK 500147, 2503978 cambio carpeta, PK 91012574 sello de fisuras, PK91012573 y 500145 PABA, se encuentran en proceso de posible viabiliadad de prior"&amp;"ización")</f>
        <v>01/06/2023 La UMV realizó visita el 9/02/2023 al eje vial localizado en la CL 73S entre KR 95A y KR 105B, zona de influencia construcción del Nuevo Hospital de Bosa en 9 segmentos viales, al respecto se identificó que cuenta con reserva el CIV 7008371 del FDL Bosa y el CIV 7010046 Contrato IDU 1746-2021. Se programará diagnóstico en los segmentos que no cuentan con reserva por parte de otra entidad. 
21/03/2023 se realizó diagnóstico identificando que para el caso de los segmentos identificados con los PK 91012580, 91033146 requieren contrucción parcial de calzada por lo tanto solo se podria apoyar con la rehabilitación parcial por competencias de la Entidad, Respecto a los PK 500147, 2503978 cambio carpeta, PK 91012574 sello de fisuras, PK91012573 y 500145 PABA, se inicia el proceso de evaluación de vias con la solicitud de reserva ante el IDU.
26/04/2023 Los PK 500147, 2503978 cambio carpeta, PK 91012574 sello de fisuras, PK91012573 y 500145 PABA, se encuentran en proceso de posible viabiliadad de priorización</v>
      </c>
      <c r="N4799" s="25"/>
      <c r="O4799" s="25" t="str">
        <f t="shared" ca="1" si="0"/>
        <v>Unidad Administrativa Especial de Rehabilitación y Mantenimiento Vial</v>
      </c>
      <c r="P4799" s="25" t="str">
        <f t="shared" ca="1" si="3"/>
        <v/>
      </c>
      <c r="Q4799" s="25" t="str">
        <f ca="1">IFERROR(__xludf.DUMMYFUNCTION("""COMPUTED_VALUE"""),"Largo plazo")</f>
        <v>Largo plazo</v>
      </c>
      <c r="R4799" s="25"/>
      <c r="S4799" s="55"/>
      <c r="T4799" s="56"/>
      <c r="U4799" s="25"/>
      <c r="V4799" s="25"/>
      <c r="W4799" s="25"/>
      <c r="X4799" s="25"/>
      <c r="Y4799" s="25"/>
      <c r="Z4799" s="25"/>
    </row>
    <row r="4800" spans="1:26" ht="52.5" customHeight="1" x14ac:dyDescent="0.25">
      <c r="A4800" s="25" t="str">
        <f ca="1">IFERROR(__xludf.DUMMYFUNCTION("""COMPUTED_VALUE"""),"Movil598")</f>
        <v>Movil598</v>
      </c>
      <c r="B4800" s="25" t="str">
        <f ca="1">IFERROR(__xludf.DUMMYFUNCTION("""COMPUTED_VALUE"""),"Recorrido de Obras: CEFE Chapinero + Andenes")</f>
        <v>Recorrido de Obras: CEFE Chapinero + Andenes</v>
      </c>
      <c r="C4800" s="55">
        <f ca="1">IFERROR(__xludf.DUMMYFUNCTION("""COMPUTED_VALUE"""),44945)</f>
        <v>44945</v>
      </c>
      <c r="D4800" s="25" t="str">
        <f ca="1">IFERROR(__xludf.DUMMYFUNCTION("""COMPUTED_VALUE"""),"Movilidad")</f>
        <v>Movilidad</v>
      </c>
      <c r="E4800" s="25" t="str">
        <f ca="1">IFERROR(__xludf.DUMMYFUNCTION("""COMPUTED_VALUE"""),"Instituto de Desarrollo Urbano")</f>
        <v>Instituto de Desarrollo Urbano</v>
      </c>
      <c r="F4800" s="25" t="str">
        <f ca="1">IFERROR(__xludf.DUMMYFUNCTION("""COMPUTED_VALUE"""),"En andenes de la calle 85 debe pactarse la terminación del contrato de común acuerdo. Que se termine lo que se abrió.")</f>
        <v>En andenes de la calle 85 debe pactarse la terminación del contrato de común acuerdo. Que se termine lo que se abrió.</v>
      </c>
      <c r="G4800" s="25" t="str">
        <f ca="1">IFERROR(__xludf.DUMMYFUNCTION("""COMPUTED_VALUE"""),"02. Chapinero")</f>
        <v>02. Chapinero</v>
      </c>
      <c r="H4800" s="55">
        <f ca="1">IFERROR(__xludf.DUMMYFUNCTION("""COMPUTED_VALUE"""),45229)</f>
        <v>45229</v>
      </c>
      <c r="I4800" s="25" t="str">
        <f ca="1">IFERROR(__xludf.DUMMYFUNCTION("""COMPUTED_VALUE"""),"Junta de Infraestructura")</f>
        <v>Junta de Infraestructura</v>
      </c>
      <c r="J4800" s="55" t="str">
        <f ca="1">IFERROR(__xludf.DUMMYFUNCTION("""COMPUTED_VALUE"""),"Baja")</f>
        <v>Baja</v>
      </c>
      <c r="K4800" s="25">
        <f ca="1">IFERROR(__xludf.DUMMYFUNCTION("""COMPUTED_VALUE"""),284)</f>
        <v>284</v>
      </c>
      <c r="L4800" s="62">
        <f ca="1">IFERROR(__xludf.DUMMYFUNCTION("""COMPUTED_VALUE"""),45077)</f>
        <v>45077</v>
      </c>
      <c r="M4800" s="25" t="str">
        <f ca="1">IFERROR(__xludf.DUMMYFUNCTION("""COMPUTED_VALUE"""),"El contratista solicito la reducción de meta física y terminación anticipada del contrato, lo cual se respondió con oficio 20233360167361, donde en términos generales se le indico que no aceptaban sus solicitudes y se solicitó continuar con las obras prio"&amp;"rizando los frentes abiertos, para lo cual el contratista de obra se comprometió a inyectar los recursos necesarios. Adicionalmente está en revisión la solicitud del contratista en cuanto a la incorporación al contrato de la Cláusula del amigable componed"&amp;"or a fin de establecer las causas e imputabilidad de los atrasos que a la fecha ha tenido el contrato y que de acuerdo al análisis de la interventoría en su gran mayoría son imputables al contratista.
Al  25/05/2023 respecto a la incorporacion al contrato"&amp;" de la clusula dle amigable, el contratista no ha dado respuesta a los  20233360167361 del 7 de febrero de 2023, 20233360469331 del 4 de abril de 2023 e 20233360614161 del 28 de abril de 2023, por tal motivo no existe modificacion alguna. Adicionalmente s"&amp;"e ha requerido en los diferentes comite y recorridos al contratista la terminacion de los frentes abiertos paero a la fecha no se cuenta con los recursos necesarios, para ser culminados antes de la fecha de terminacion del contrato. 
El contrato no se d"&amp;"ebe termina de comun acuerdo, se debe sancionar al contratista por los incumplimientos, donde: 
El día 12 de mayo de 2023, se dio inicio a la Audiencia Públicade inicio de procedimiento administrativo sancionatorio contractual por el presunto incumplimien"&amp;"to de C I GRODCO INGENIEROS CIVILES SAS - EN REORGANIZACIÓN , de conformidad con el procedimiento establecido en el artículo 86 de la Ley 1474 de 2011, donde el contratista presento descargos, solicito se decrete un dictamen pericial y una prueba de infor"&amp;"me. Adicionalmente informo que presentó una denuncia penal en contra de la directora de la audiencia. Por lo anterior de acuerdo a la recusación formulada por el contratista y el trámite procedimental se suspendió la audiencia.")</f>
        <v>El contratista solicito la reducción de meta física y terminación anticipada del contrato, lo cual se respondió con oficio 20233360167361, donde en términos generales se le indico que no aceptaban sus solicitudes y se solicitó continuar con las obras priorizando los frentes abiertos, para lo cual el contratista de obra se comprometió a inyectar los recursos necesarios. Adicionalmente está en revisión la solicitud del contratista en cuanto a la incorporación al contrato de la Cláusula del amigable componedor a fin de establecer las causas e imputabilidad de los atrasos que a la fecha ha tenido el contrato y que de acuerdo al análisis de la interventoría en su gran mayoría son imputables al contratista.
Al  25/05/2023 respecto a la incorporacion al contrato de la clusula dle amigable, el contratista no ha dado respuesta a los  20233360167361 del 7 de febrero de 2023, 20233360469331 del 4 de abril de 2023 e 20233360614161 del 28 de abril de 2023, por tal motivo no existe modificacion alguna. Adicionalmente se ha requerido en los diferentes comite y recorridos al contratista la terminacion de los frentes abiertos paero a la fecha no se cuenta con los recursos necesarios, para ser culminados antes de la fecha de terminacion del contrato. 
El contrato no se debe termina de comun acuerdo, se debe sancionar al contratista por los incumplimientos, donde: 
El día 12 de mayo de 2023, se dio inicio a la Audiencia Públicade inicio de procedimiento administrativo sancionatorio contractual por el presunto incumplimiento de C I GRODCO INGENIEROS CIVILES SAS - EN REORGANIZACIÓN , de conformidad con el procedimiento establecido en el artículo 86 de la Ley 1474 de 2011, donde el contratista presento descargos, solicito se decrete un dictamen pericial y una prueba de informe. Adicionalmente informo que presentó una denuncia penal en contra de la directora de la audiencia. Por lo anterior de acuerdo a la recusación formulada por el contratista y el trámite procedimental se suspendió la audiencia.</v>
      </c>
      <c r="N4800" s="25"/>
      <c r="O4800" s="25" t="str">
        <f t="shared" ca="1" si="0"/>
        <v>Instituto de Desarrollo Urbano</v>
      </c>
      <c r="P4800" s="25" t="str">
        <f t="shared" ca="1" si="3"/>
        <v/>
      </c>
      <c r="Q4800" s="25" t="str">
        <f ca="1">IFERROR(__xludf.DUMMYFUNCTION("""COMPUTED_VALUE"""),"Largo plazo")</f>
        <v>Largo plazo</v>
      </c>
      <c r="R4800" s="25"/>
      <c r="S4800" s="55"/>
      <c r="T4800" s="56"/>
      <c r="U4800" s="25"/>
      <c r="V4800" s="25"/>
      <c r="W4800" s="25"/>
      <c r="X4800" s="25"/>
      <c r="Y4800" s="25"/>
      <c r="Z4800" s="25"/>
    </row>
    <row r="4801" spans="1:26" ht="52.5" customHeight="1" x14ac:dyDescent="0.25">
      <c r="A4801" s="25" t="str">
        <f ca="1">IFERROR(__xludf.DUMMYFUNCTION("""COMPUTED_VALUE"""),"Movil599")</f>
        <v>Movil599</v>
      </c>
      <c r="B4801" s="25" t="str">
        <f ca="1">IFERROR(__xludf.DUMMYFUNCTION("""COMPUTED_VALUE"""),"Consejo de Gobierno")</f>
        <v>Consejo de Gobierno</v>
      </c>
      <c r="C4801" s="55">
        <f ca="1">IFERROR(__xludf.DUMMYFUNCTION("""COMPUTED_VALUE"""),44956)</f>
        <v>44956</v>
      </c>
      <c r="D4801" s="25" t="str">
        <f ca="1">IFERROR(__xludf.DUMMYFUNCTION("""COMPUTED_VALUE"""),"Movilidad")</f>
        <v>Movilidad</v>
      </c>
      <c r="E4801" s="25" t="str">
        <f ca="1">IFERROR(__xludf.DUMMYFUNCTION("""COMPUTED_VALUE"""),"Empresa Metro de Bogotá S.A.")</f>
        <v>Empresa Metro de Bogotá S.A.</v>
      </c>
      <c r="F4801" s="25" t="str">
        <f ca="1">IFERROR(__xludf.DUMMYFUNCTION("""COMPUTED_VALUE"""),"Buscar padrinos para las culatas de las estaciones de metro con las empresas de ProBogotá")</f>
        <v>Buscar padrinos para las culatas de las estaciones de metro con las empresas de ProBogotá</v>
      </c>
      <c r="G4801" s="25" t="str">
        <f ca="1">IFERROR(__xludf.DUMMYFUNCTION("""COMPUTED_VALUE"""),"99. Distrito")</f>
        <v>99. Distrito</v>
      </c>
      <c r="H4801" s="55">
        <f ca="1">IFERROR(__xludf.DUMMYFUNCTION("""COMPUTED_VALUE"""),45092)</f>
        <v>45092</v>
      </c>
      <c r="I4801" s="25" t="str">
        <f ca="1">IFERROR(__xludf.DUMMYFUNCTION("""COMPUTED_VALUE"""),"Secretaría Privada")</f>
        <v>Secretaría Privada</v>
      </c>
      <c r="J4801" s="55" t="str">
        <f ca="1">IFERROR(__xludf.DUMMYFUNCTION("""COMPUTED_VALUE"""),"Media")</f>
        <v>Media</v>
      </c>
      <c r="K4801" s="25">
        <f ca="1">IFERROR(__xludf.DUMMYFUNCTION("""COMPUTED_VALUE"""),136)</f>
        <v>136</v>
      </c>
      <c r="L4801" s="62">
        <f ca="1">IFERROR(__xludf.DUMMYFUNCTION("""COMPUTED_VALUE"""),45079)</f>
        <v>45079</v>
      </c>
      <c r="M4801" s="25" t="str">
        <f ca="1">IFERROR(__xludf.DUMMYFUNCTION("""COMPUTED_VALUE"""),"Se realizó recorrido entre Movilidad, Empresa Metro, Sec Cultura, Fuga e IDARTES para conocer las culatas diponibles entre estacion 3, 9,11 y Heroes. Si bien se idientifican predios suceptibles de ser intervenidos con muralismo, teniendo en cuenta que los"&amp;" predios ya no entregados al consorcio el distirto no podria realizar intervenciones de urbanismo táctico. Se revisa opciones con secretaria de cultura para las intervenciones de Museo callejero.
EMB: Se presenta el siguiente avance:
E14 E15 E16 
El pl"&amp;"an de trabajo avanza según los cronogramas planeados. El 11 de mayo se emitió la lista de artistas seleccionados. Se ha articulado entre IDARTES, el concesionario ML1 y la EMB en temas de acceso a predios, vigilancia, salud y seguridad en el trabajo, mane"&amp;"jo ambiental y logística. Los recursos provienen del programa Museo Abierto de Bogotá, de IDARTES.
E5
Articulación en curso entre la EMB y la EAAB para definir el modelo de cooperación para la consecución de recursos. Se contempla la posibilidad de re"&amp;"alizar una convocatoria de artistas de la localidad en colaboración con la Mesa Distrital de Graffiti y la Mesa de Graffiti de Kennedy.
E10
ENEL Colombia compartió el presupuesto de la organización Pacto Planeta y ENEL expresó no contar con los recurs"&amp;"os que dicha propuesta necesita. Por definir exactamente origen de recursos.")</f>
        <v>Se realizó recorrido entre Movilidad, Empresa Metro, Sec Cultura, Fuga e IDARTES para conocer las culatas diponibles entre estacion 3, 9,11 y Heroes. Si bien se idientifican predios suceptibles de ser intervenidos con muralismo, teniendo en cuenta que los predios ya no entregados al consorcio el distirto no podria realizar intervenciones de urbanismo táctico. Se revisa opciones con secretaria de cultura para las intervenciones de Museo callejero.
EMB: Se presenta el siguiente avance:
E14 E15 E16 
El plan de trabajo avanza según los cronogramas planeados. El 11 de mayo se emitió la lista de artistas seleccionados. Se ha articulado entre IDARTES, el concesionario ML1 y la EMB en temas de acceso a predios, vigilancia, salud y seguridad en el trabajo, manejo ambiental y logística. Los recursos provienen del programa Museo Abierto de Bogotá, de IDARTES.
E5
Articulación en curso entre la EMB y la EAAB para definir el modelo de cooperación para la consecución de recursos. Se contempla la posibilidad de realizar una convocatoria de artistas de la localidad en colaboración con la Mesa Distrital de Graffiti y la Mesa de Graffiti de Kennedy.
E10
ENEL Colombia compartió el presupuesto de la organización Pacto Planeta y ENEL expresó no contar con los recursos que dicha propuesta necesita. Por definir exactamente origen de recursos.</v>
      </c>
      <c r="N4801" s="25"/>
      <c r="O4801" s="25" t="str">
        <f t="shared" ca="1" si="0"/>
        <v>Empresa Metro de Bogotá S.A.</v>
      </c>
      <c r="P4801" s="25" t="str">
        <f t="shared" ca="1" si="3"/>
        <v/>
      </c>
      <c r="Q4801" s="25" t="str">
        <f ca="1">IFERROR(__xludf.DUMMYFUNCTION("""COMPUTED_VALUE"""),"Mediano plazo")</f>
        <v>Mediano plazo</v>
      </c>
      <c r="R4801" s="25"/>
      <c r="S4801" s="55"/>
      <c r="T4801" s="56"/>
      <c r="U4801" s="25"/>
      <c r="V4801" s="25"/>
      <c r="W4801" s="25"/>
      <c r="X4801" s="25"/>
      <c r="Y4801" s="25"/>
      <c r="Z4801" s="25"/>
    </row>
    <row r="4802" spans="1:26" ht="52.5" customHeight="1" x14ac:dyDescent="0.25">
      <c r="A4802" s="25" t="str">
        <f ca="1">IFERROR(__xludf.DUMMYFUNCTION("""COMPUTED_VALUE"""),"Movil600")</f>
        <v>Movil600</v>
      </c>
      <c r="B4802" s="25" t="str">
        <f ca="1">IFERROR(__xludf.DUMMYFUNCTION("""COMPUTED_VALUE"""),"Revisión cambio ciclovía Cra 11 - CV7Ma")</f>
        <v>Revisión cambio ciclovía Cra 11 - CV7Ma</v>
      </c>
      <c r="C4802" s="55">
        <f ca="1">IFERROR(__xludf.DUMMYFUNCTION("""COMPUTED_VALUE"""),44957)</f>
        <v>44957</v>
      </c>
      <c r="D4802" s="25" t="str">
        <f ca="1">IFERROR(__xludf.DUMMYFUNCTION("""COMPUTED_VALUE"""),"Movilidad")</f>
        <v>Movilidad</v>
      </c>
      <c r="E4802" s="25" t="str">
        <f ca="1">IFERROR(__xludf.DUMMYFUNCTION("""COMPUTED_VALUE"""),"Instituto de Desarrollo Urbano")</f>
        <v>Instituto de Desarrollo Urbano</v>
      </c>
      <c r="F4802" s="25" t="str">
        <f ca="1">IFERROR(__xludf.DUMMYFUNCTION("""COMPUTED_VALUE"""),"Para la topografía de la ciclorruta de la carrera 11 se debe articular con el jardín botánico para que revisen y digan que tratamiento se puede hacer árbol a árbol")</f>
        <v>Para la topografía de la ciclorruta de la carrera 11 se debe articular con el jardín botánico para que revisen y digan que tratamiento se puede hacer árbol a árbol</v>
      </c>
      <c r="G4802" s="25" t="str">
        <f ca="1">IFERROR(__xludf.DUMMYFUNCTION("""COMPUTED_VALUE"""),"02. Chapinero")</f>
        <v>02. Chapinero</v>
      </c>
      <c r="H4802" s="55">
        <f ca="1">IFERROR(__xludf.DUMMYFUNCTION("""COMPUTED_VALUE"""),45107)</f>
        <v>45107</v>
      </c>
      <c r="I4802" s="25" t="str">
        <f ca="1">IFERROR(__xludf.DUMMYFUNCTION("""COMPUTED_VALUE"""),"Junta de Infraestructura")</f>
        <v>Junta de Infraestructura</v>
      </c>
      <c r="J4802" s="55" t="str">
        <f ca="1">IFERROR(__xludf.DUMMYFUNCTION("""COMPUTED_VALUE"""),"Media")</f>
        <v>Media</v>
      </c>
      <c r="K4802" s="25">
        <f ca="1">IFERROR(__xludf.DUMMYFUNCTION("""COMPUTED_VALUE"""),150)</f>
        <v>150</v>
      </c>
      <c r="L4802" s="62">
        <f ca="1">IFERROR(__xludf.DUMMYFUNCTION("""COMPUTED_VALUE"""),45077)</f>
        <v>45077</v>
      </c>
      <c r="M4802" s="25" t="str">
        <f ca="1">IFERROR(__xludf.DUMMYFUNCTION("""COMPUTED_VALUE"""),"Se ha hecho el estudio ambiental detallado de la 11. Aún se revisan en factibilidad alternativas definitivas para definir afectación final. De los 480 árboles del tramo a intervenir se afectan, en el perfil actual, menos de 80. Cerrar")</f>
        <v>Se ha hecho el estudio ambiental detallado de la 11. Aún se revisan en factibilidad alternativas definitivas para definir afectación final. De los 480 árboles del tramo a intervenir se afectan, en el perfil actual, menos de 80. Cerrar</v>
      </c>
      <c r="N4802" s="25"/>
      <c r="O4802" s="25" t="str">
        <f t="shared" ca="1" si="0"/>
        <v>Instituto de Desarrollo Urbano</v>
      </c>
      <c r="P4802" s="25" t="str">
        <f t="shared" ca="1" si="3"/>
        <v/>
      </c>
      <c r="Q4802" s="25" t="str">
        <f ca="1">IFERROR(__xludf.DUMMYFUNCTION("""COMPUTED_VALUE"""),"Mediano plazo")</f>
        <v>Mediano plazo</v>
      </c>
      <c r="R4802" s="25"/>
      <c r="S4802" s="55"/>
      <c r="T4802" s="56"/>
      <c r="U4802" s="25"/>
      <c r="V4802" s="25"/>
      <c r="W4802" s="25"/>
      <c r="X4802" s="25"/>
      <c r="Y4802" s="25"/>
      <c r="Z4802" s="25"/>
    </row>
    <row r="4803" spans="1:26" ht="52.5" customHeight="1" x14ac:dyDescent="0.25">
      <c r="A4803" s="25"/>
      <c r="B4803" s="25"/>
      <c r="C4803" s="55"/>
      <c r="D4803" s="25"/>
      <c r="E4803" s="25"/>
      <c r="F4803" s="25"/>
      <c r="G4803" s="25"/>
      <c r="H4803" s="25"/>
      <c r="I4803" s="25"/>
      <c r="J4803" s="55"/>
      <c r="K4803" s="25"/>
      <c r="L4803" s="62"/>
      <c r="M4803" s="25"/>
      <c r="N4803" s="25"/>
      <c r="O4803" s="25">
        <f t="shared" si="0"/>
        <v>0</v>
      </c>
      <c r="P4803" s="25" t="str">
        <f t="shared" si="3"/>
        <v/>
      </c>
      <c r="Q4803" s="25"/>
      <c r="R4803" s="25"/>
      <c r="S4803" s="55"/>
      <c r="T4803" s="56"/>
      <c r="U4803" s="25"/>
      <c r="V4803" s="25"/>
      <c r="W4803" s="25"/>
      <c r="X4803" s="25"/>
      <c r="Y4803" s="25"/>
      <c r="Z4803" s="25"/>
    </row>
    <row r="4804" spans="1:26" ht="52.5" customHeight="1" x14ac:dyDescent="0.25">
      <c r="A4804" s="25"/>
      <c r="B4804" s="25"/>
      <c r="C4804" s="55"/>
      <c r="D4804" s="25"/>
      <c r="E4804" s="25"/>
      <c r="F4804" s="25"/>
      <c r="G4804" s="25"/>
      <c r="H4804" s="25"/>
      <c r="I4804" s="25"/>
      <c r="J4804" s="55"/>
      <c r="K4804" s="25"/>
      <c r="L4804" s="62"/>
      <c r="M4804" s="25"/>
      <c r="N4804" s="25"/>
      <c r="O4804" s="25">
        <f t="shared" si="0"/>
        <v>0</v>
      </c>
      <c r="P4804" s="25" t="str">
        <f t="shared" si="3"/>
        <v/>
      </c>
      <c r="Q4804" s="25"/>
      <c r="R4804" s="25"/>
      <c r="S4804" s="55"/>
      <c r="T4804" s="56"/>
      <c r="U4804" s="25"/>
      <c r="V4804" s="25"/>
      <c r="W4804" s="25"/>
      <c r="X4804" s="25"/>
      <c r="Y4804" s="25"/>
      <c r="Z4804" s="25"/>
    </row>
    <row r="4805" spans="1:26" ht="52.5" customHeight="1" x14ac:dyDescent="0.25">
      <c r="A4805" s="25"/>
      <c r="B4805" s="25"/>
      <c r="C4805" s="55"/>
      <c r="D4805" s="25"/>
      <c r="E4805" s="25"/>
      <c r="F4805" s="25"/>
      <c r="G4805" s="25"/>
      <c r="H4805" s="25"/>
      <c r="I4805" s="25"/>
      <c r="J4805" s="55"/>
      <c r="K4805" s="25"/>
      <c r="L4805" s="62"/>
      <c r="M4805" s="25"/>
      <c r="N4805" s="25"/>
      <c r="O4805" s="25">
        <f t="shared" si="0"/>
        <v>0</v>
      </c>
      <c r="P4805" s="25" t="str">
        <f t="shared" si="3"/>
        <v/>
      </c>
      <c r="Q4805" s="25"/>
      <c r="R4805" s="25"/>
      <c r="S4805" s="55"/>
      <c r="T4805" s="56"/>
      <c r="U4805" s="25"/>
      <c r="V4805" s="25"/>
      <c r="W4805" s="25"/>
      <c r="X4805" s="25"/>
      <c r="Y4805" s="25"/>
      <c r="Z4805" s="25"/>
    </row>
    <row r="4806" spans="1:26" ht="52.5" customHeight="1" x14ac:dyDescent="0.25">
      <c r="A4806" s="25"/>
      <c r="B4806" s="25"/>
      <c r="C4806" s="55"/>
      <c r="D4806" s="25"/>
      <c r="E4806" s="25"/>
      <c r="F4806" s="25"/>
      <c r="G4806" s="25"/>
      <c r="H4806" s="25"/>
      <c r="I4806" s="25"/>
      <c r="J4806" s="55"/>
      <c r="K4806" s="25"/>
      <c r="L4806" s="62"/>
      <c r="M4806" s="25"/>
      <c r="N4806" s="25"/>
      <c r="O4806" s="25">
        <f t="shared" si="0"/>
        <v>0</v>
      </c>
      <c r="P4806" s="25" t="str">
        <f t="shared" si="3"/>
        <v/>
      </c>
      <c r="Q4806" s="25"/>
      <c r="R4806" s="25"/>
      <c r="S4806" s="55"/>
      <c r="T4806" s="56"/>
      <c r="U4806" s="25"/>
      <c r="V4806" s="25"/>
      <c r="W4806" s="25"/>
      <c r="X4806" s="25"/>
      <c r="Y4806" s="25"/>
      <c r="Z4806" s="25"/>
    </row>
    <row r="4807" spans="1:26" ht="52.5" customHeight="1" x14ac:dyDescent="0.25">
      <c r="A4807" s="25"/>
      <c r="B4807" s="25"/>
      <c r="C4807" s="55"/>
      <c r="D4807" s="25"/>
      <c r="E4807" s="25"/>
      <c r="F4807" s="25"/>
      <c r="G4807" s="25"/>
      <c r="H4807" s="25"/>
      <c r="I4807" s="25"/>
      <c r="J4807" s="55"/>
      <c r="K4807" s="25"/>
      <c r="L4807" s="62"/>
      <c r="M4807" s="25"/>
      <c r="N4807" s="25"/>
      <c r="O4807" s="25">
        <f t="shared" si="0"/>
        <v>0</v>
      </c>
      <c r="P4807" s="25" t="str">
        <f t="shared" si="3"/>
        <v/>
      </c>
      <c r="Q4807" s="25"/>
      <c r="R4807" s="25"/>
      <c r="S4807" s="55"/>
      <c r="T4807" s="56"/>
      <c r="U4807" s="25"/>
      <c r="V4807" s="25"/>
      <c r="W4807" s="25"/>
      <c r="X4807" s="25"/>
      <c r="Y4807" s="25"/>
      <c r="Z4807" s="25"/>
    </row>
    <row r="4808" spans="1:26" ht="52.5" customHeight="1" x14ac:dyDescent="0.25">
      <c r="A4808" s="25"/>
      <c r="B4808" s="25"/>
      <c r="C4808" s="55"/>
      <c r="D4808" s="25"/>
      <c r="E4808" s="25"/>
      <c r="F4808" s="25"/>
      <c r="G4808" s="25"/>
      <c r="H4808" s="25"/>
      <c r="I4808" s="25"/>
      <c r="J4808" s="55"/>
      <c r="K4808" s="25"/>
      <c r="L4808" s="62"/>
      <c r="M4808" s="25"/>
      <c r="N4808" s="25"/>
      <c r="O4808" s="25">
        <f t="shared" si="0"/>
        <v>0</v>
      </c>
      <c r="P4808" s="25" t="str">
        <f t="shared" si="3"/>
        <v/>
      </c>
      <c r="Q4808" s="25"/>
      <c r="R4808" s="25"/>
      <c r="S4808" s="55"/>
      <c r="T4808" s="56"/>
      <c r="U4808" s="25"/>
      <c r="V4808" s="25"/>
      <c r="W4808" s="25"/>
      <c r="X4808" s="25"/>
      <c r="Y4808" s="25"/>
      <c r="Z4808" s="25"/>
    </row>
    <row r="4809" spans="1:26" ht="52.5" customHeight="1" x14ac:dyDescent="0.25">
      <c r="A4809" s="25"/>
      <c r="B4809" s="25"/>
      <c r="C4809" s="55"/>
      <c r="D4809" s="25"/>
      <c r="E4809" s="25"/>
      <c r="F4809" s="25"/>
      <c r="G4809" s="25"/>
      <c r="H4809" s="25"/>
      <c r="I4809" s="25"/>
      <c r="J4809" s="55"/>
      <c r="K4809" s="25"/>
      <c r="L4809" s="62"/>
      <c r="M4809" s="25"/>
      <c r="N4809" s="25"/>
      <c r="O4809" s="25">
        <f t="shared" si="0"/>
        <v>0</v>
      </c>
      <c r="P4809" s="25" t="str">
        <f t="shared" si="3"/>
        <v/>
      </c>
      <c r="Q4809" s="25"/>
      <c r="R4809" s="25"/>
      <c r="S4809" s="55"/>
      <c r="T4809" s="56"/>
      <c r="U4809" s="25"/>
      <c r="V4809" s="25"/>
      <c r="W4809" s="25"/>
      <c r="X4809" s="25"/>
      <c r="Y4809" s="25"/>
      <c r="Z4809" s="25"/>
    </row>
    <row r="4810" spans="1:26" ht="52.5" customHeight="1" x14ac:dyDescent="0.25">
      <c r="A4810" s="25"/>
      <c r="B4810" s="25"/>
      <c r="C4810" s="55"/>
      <c r="D4810" s="25"/>
      <c r="E4810" s="25"/>
      <c r="F4810" s="25"/>
      <c r="G4810" s="25"/>
      <c r="H4810" s="25"/>
      <c r="I4810" s="25"/>
      <c r="J4810" s="55"/>
      <c r="K4810" s="25"/>
      <c r="L4810" s="62"/>
      <c r="M4810" s="25"/>
      <c r="N4810" s="25"/>
      <c r="O4810" s="25">
        <f t="shared" si="0"/>
        <v>0</v>
      </c>
      <c r="P4810" s="25" t="str">
        <f t="shared" si="3"/>
        <v/>
      </c>
      <c r="Q4810" s="25"/>
      <c r="R4810" s="25"/>
      <c r="S4810" s="55"/>
      <c r="T4810" s="56"/>
      <c r="U4810" s="25"/>
      <c r="V4810" s="25"/>
      <c r="W4810" s="25"/>
      <c r="X4810" s="25"/>
      <c r="Y4810" s="25"/>
      <c r="Z4810" s="25"/>
    </row>
    <row r="4811" spans="1:26" ht="52.5" customHeight="1" x14ac:dyDescent="0.25">
      <c r="A4811" s="25"/>
      <c r="B4811" s="25"/>
      <c r="C4811" s="55"/>
      <c r="D4811" s="25"/>
      <c r="E4811" s="25"/>
      <c r="F4811" s="25"/>
      <c r="G4811" s="25"/>
      <c r="H4811" s="25"/>
      <c r="I4811" s="25"/>
      <c r="J4811" s="55"/>
      <c r="K4811" s="25"/>
      <c r="L4811" s="62"/>
      <c r="M4811" s="25"/>
      <c r="N4811" s="25"/>
      <c r="O4811" s="25">
        <f t="shared" si="0"/>
        <v>0</v>
      </c>
      <c r="P4811" s="25" t="str">
        <f t="shared" si="3"/>
        <v/>
      </c>
      <c r="Q4811" s="25"/>
      <c r="R4811" s="25"/>
      <c r="S4811" s="55"/>
      <c r="T4811" s="56"/>
      <c r="U4811" s="25"/>
      <c r="V4811" s="25"/>
      <c r="W4811" s="25"/>
      <c r="X4811" s="25"/>
      <c r="Y4811" s="25"/>
      <c r="Z4811" s="25"/>
    </row>
    <row r="4812" spans="1:26" ht="52.5" customHeight="1" x14ac:dyDescent="0.25">
      <c r="A4812" s="25"/>
      <c r="B4812" s="25"/>
      <c r="C4812" s="55"/>
      <c r="D4812" s="25"/>
      <c r="E4812" s="25"/>
      <c r="F4812" s="25"/>
      <c r="G4812" s="25"/>
      <c r="H4812" s="25"/>
      <c r="I4812" s="25"/>
      <c r="J4812" s="55"/>
      <c r="K4812" s="25"/>
      <c r="L4812" s="62"/>
      <c r="M4812" s="25"/>
      <c r="N4812" s="25"/>
      <c r="O4812" s="25">
        <f t="shared" si="0"/>
        <v>0</v>
      </c>
      <c r="P4812" s="25" t="str">
        <f t="shared" si="3"/>
        <v/>
      </c>
      <c r="Q4812" s="25"/>
      <c r="R4812" s="25"/>
      <c r="S4812" s="55"/>
      <c r="T4812" s="56"/>
      <c r="U4812" s="25"/>
      <c r="V4812" s="25"/>
      <c r="W4812" s="25"/>
      <c r="X4812" s="25"/>
      <c r="Y4812" s="25"/>
      <c r="Z4812" s="25"/>
    </row>
    <row r="4813" spans="1:26" ht="52.5" customHeight="1" x14ac:dyDescent="0.25">
      <c r="A4813" s="25"/>
      <c r="B4813" s="25"/>
      <c r="C4813" s="55"/>
      <c r="D4813" s="25"/>
      <c r="E4813" s="25"/>
      <c r="F4813" s="25"/>
      <c r="G4813" s="25"/>
      <c r="H4813" s="25"/>
      <c r="I4813" s="25"/>
      <c r="J4813" s="55"/>
      <c r="K4813" s="25"/>
      <c r="L4813" s="62"/>
      <c r="M4813" s="25"/>
      <c r="N4813" s="25"/>
      <c r="O4813" s="25">
        <f t="shared" si="0"/>
        <v>0</v>
      </c>
      <c r="P4813" s="25" t="str">
        <f t="shared" si="3"/>
        <v/>
      </c>
      <c r="Q4813" s="25"/>
      <c r="R4813" s="25"/>
      <c r="S4813" s="55"/>
      <c r="T4813" s="56"/>
      <c r="U4813" s="25"/>
      <c r="V4813" s="25"/>
      <c r="W4813" s="25"/>
      <c r="X4813" s="25"/>
      <c r="Y4813" s="25"/>
      <c r="Z4813" s="25"/>
    </row>
    <row r="4814" spans="1:26" ht="52.5" customHeight="1" x14ac:dyDescent="0.25">
      <c r="A4814" s="25"/>
      <c r="B4814" s="25"/>
      <c r="C4814" s="55"/>
      <c r="D4814" s="25"/>
      <c r="E4814" s="25"/>
      <c r="F4814" s="25"/>
      <c r="G4814" s="25"/>
      <c r="H4814" s="25"/>
      <c r="I4814" s="25"/>
      <c r="J4814" s="55"/>
      <c r="K4814" s="25"/>
      <c r="L4814" s="62"/>
      <c r="M4814" s="25"/>
      <c r="N4814" s="25"/>
      <c r="O4814" s="25">
        <f t="shared" si="0"/>
        <v>0</v>
      </c>
      <c r="P4814" s="25" t="str">
        <f t="shared" si="3"/>
        <v/>
      </c>
      <c r="Q4814" s="25"/>
      <c r="R4814" s="25"/>
      <c r="S4814" s="55"/>
      <c r="T4814" s="56"/>
      <c r="U4814" s="25"/>
      <c r="V4814" s="25"/>
      <c r="W4814" s="25"/>
      <c r="X4814" s="25"/>
      <c r="Y4814" s="25"/>
      <c r="Z4814" s="25"/>
    </row>
    <row r="4815" spans="1:26" ht="52.5" customHeight="1" x14ac:dyDescent="0.25">
      <c r="A4815" s="25"/>
      <c r="B4815" s="25"/>
      <c r="C4815" s="55"/>
      <c r="D4815" s="25"/>
      <c r="E4815" s="25"/>
      <c r="F4815" s="25"/>
      <c r="G4815" s="25"/>
      <c r="H4815" s="25"/>
      <c r="I4815" s="25"/>
      <c r="J4815" s="55"/>
      <c r="K4815" s="25"/>
      <c r="L4815" s="62"/>
      <c r="M4815" s="25"/>
      <c r="N4815" s="25"/>
      <c r="O4815" s="25">
        <f t="shared" si="0"/>
        <v>0</v>
      </c>
      <c r="P4815" s="25" t="str">
        <f t="shared" si="3"/>
        <v/>
      </c>
      <c r="Q4815" s="25"/>
      <c r="R4815" s="25"/>
      <c r="S4815" s="55"/>
      <c r="T4815" s="56"/>
      <c r="U4815" s="25"/>
      <c r="V4815" s="25"/>
      <c r="W4815" s="25"/>
      <c r="X4815" s="25"/>
      <c r="Y4815" s="25"/>
      <c r="Z4815" s="25"/>
    </row>
    <row r="4816" spans="1:26" ht="52.5" customHeight="1" x14ac:dyDescent="0.25">
      <c r="A4816" s="25"/>
      <c r="B4816" s="25"/>
      <c r="C4816" s="55"/>
      <c r="D4816" s="25"/>
      <c r="E4816" s="25"/>
      <c r="F4816" s="25"/>
      <c r="G4816" s="25"/>
      <c r="H4816" s="25"/>
      <c r="I4816" s="25"/>
      <c r="J4816" s="55"/>
      <c r="K4816" s="25"/>
      <c r="L4816" s="62"/>
      <c r="M4816" s="25"/>
      <c r="N4816" s="25"/>
      <c r="O4816" s="25">
        <f t="shared" si="0"/>
        <v>0</v>
      </c>
      <c r="P4816" s="25" t="str">
        <f t="shared" si="3"/>
        <v/>
      </c>
      <c r="Q4816" s="25"/>
      <c r="R4816" s="25"/>
      <c r="S4816" s="55"/>
      <c r="T4816" s="56"/>
      <c r="U4816" s="25"/>
      <c r="V4816" s="25"/>
      <c r="W4816" s="25"/>
      <c r="X4816" s="25"/>
      <c r="Y4816" s="25"/>
      <c r="Z4816" s="25"/>
    </row>
    <row r="4817" spans="1:26" ht="52.5" customHeight="1" x14ac:dyDescent="0.25">
      <c r="A4817" s="25"/>
      <c r="B4817" s="25"/>
      <c r="C4817" s="55"/>
      <c r="D4817" s="25"/>
      <c r="E4817" s="25"/>
      <c r="F4817" s="25"/>
      <c r="G4817" s="25"/>
      <c r="H4817" s="25"/>
      <c r="I4817" s="25"/>
      <c r="J4817" s="55"/>
      <c r="K4817" s="25"/>
      <c r="L4817" s="62"/>
      <c r="M4817" s="25"/>
      <c r="N4817" s="25"/>
      <c r="O4817" s="25">
        <f t="shared" si="0"/>
        <v>0</v>
      </c>
      <c r="P4817" s="25" t="str">
        <f t="shared" si="3"/>
        <v/>
      </c>
      <c r="Q4817" s="25"/>
      <c r="R4817" s="25"/>
      <c r="S4817" s="55"/>
      <c r="T4817" s="56"/>
      <c r="U4817" s="25"/>
      <c r="V4817" s="25"/>
      <c r="W4817" s="25"/>
      <c r="X4817" s="25"/>
      <c r="Y4817" s="25"/>
      <c r="Z4817" s="25"/>
    </row>
    <row r="4818" spans="1:26" ht="52.5" customHeight="1" x14ac:dyDescent="0.25">
      <c r="A4818" s="25"/>
      <c r="B4818" s="25"/>
      <c r="C4818" s="55"/>
      <c r="D4818" s="25"/>
      <c r="E4818" s="25"/>
      <c r="F4818" s="25"/>
      <c r="G4818" s="25"/>
      <c r="H4818" s="25"/>
      <c r="I4818" s="25"/>
      <c r="J4818" s="55"/>
      <c r="K4818" s="25"/>
      <c r="L4818" s="62"/>
      <c r="M4818" s="25"/>
      <c r="N4818" s="25"/>
      <c r="O4818" s="25">
        <f t="shared" si="0"/>
        <v>0</v>
      </c>
      <c r="P4818" s="25" t="str">
        <f t="shared" si="3"/>
        <v/>
      </c>
      <c r="Q4818" s="25"/>
      <c r="R4818" s="25"/>
      <c r="S4818" s="55"/>
      <c r="T4818" s="56"/>
      <c r="U4818" s="25"/>
      <c r="V4818" s="25"/>
      <c r="W4818" s="25"/>
      <c r="X4818" s="25"/>
      <c r="Y4818" s="25"/>
      <c r="Z4818" s="25"/>
    </row>
    <row r="4819" spans="1:26" ht="52.5" customHeight="1" x14ac:dyDescent="0.25">
      <c r="A4819" s="25"/>
      <c r="B4819" s="25"/>
      <c r="C4819" s="55"/>
      <c r="D4819" s="25"/>
      <c r="E4819" s="25"/>
      <c r="F4819" s="25"/>
      <c r="G4819" s="25"/>
      <c r="H4819" s="25"/>
      <c r="I4819" s="25"/>
      <c r="J4819" s="55"/>
      <c r="K4819" s="25"/>
      <c r="L4819" s="62"/>
      <c r="M4819" s="25"/>
      <c r="N4819" s="25"/>
      <c r="O4819" s="25">
        <f t="shared" si="0"/>
        <v>0</v>
      </c>
      <c r="P4819" s="25" t="str">
        <f t="shared" si="3"/>
        <v/>
      </c>
      <c r="Q4819" s="25"/>
      <c r="R4819" s="25"/>
      <c r="S4819" s="55"/>
      <c r="T4819" s="56"/>
      <c r="U4819" s="25"/>
      <c r="V4819" s="25"/>
      <c r="W4819" s="25"/>
      <c r="X4819" s="25"/>
      <c r="Y4819" s="25"/>
      <c r="Z4819" s="25"/>
    </row>
    <row r="4820" spans="1:26" ht="52.5" customHeight="1" x14ac:dyDescent="0.25">
      <c r="A4820" s="25"/>
      <c r="B4820" s="25"/>
      <c r="C4820" s="55"/>
      <c r="D4820" s="25"/>
      <c r="E4820" s="25"/>
      <c r="F4820" s="25"/>
      <c r="G4820" s="25"/>
      <c r="H4820" s="25"/>
      <c r="I4820" s="25"/>
      <c r="J4820" s="55"/>
      <c r="K4820" s="25"/>
      <c r="L4820" s="62"/>
      <c r="M4820" s="25"/>
      <c r="N4820" s="25"/>
      <c r="O4820" s="25">
        <f t="shared" si="0"/>
        <v>0</v>
      </c>
      <c r="P4820" s="25" t="str">
        <f t="shared" si="3"/>
        <v/>
      </c>
      <c r="Q4820" s="25"/>
      <c r="R4820" s="25"/>
      <c r="S4820" s="55"/>
      <c r="T4820" s="56"/>
      <c r="U4820" s="25"/>
      <c r="V4820" s="25"/>
      <c r="W4820" s="25"/>
      <c r="X4820" s="25"/>
      <c r="Y4820" s="25"/>
      <c r="Z4820" s="25"/>
    </row>
    <row r="4821" spans="1:26" ht="52.5" customHeight="1" x14ac:dyDescent="0.25">
      <c r="A4821" s="25"/>
      <c r="B4821" s="25"/>
      <c r="C4821" s="55"/>
      <c r="D4821" s="25"/>
      <c r="E4821" s="25"/>
      <c r="F4821" s="25"/>
      <c r="G4821" s="25"/>
      <c r="H4821" s="25"/>
      <c r="I4821" s="25"/>
      <c r="J4821" s="55"/>
      <c r="K4821" s="25"/>
      <c r="L4821" s="62"/>
      <c r="M4821" s="25"/>
      <c r="N4821" s="25"/>
      <c r="O4821" s="25">
        <f t="shared" si="0"/>
        <v>0</v>
      </c>
      <c r="P4821" s="25" t="str">
        <f t="shared" si="3"/>
        <v/>
      </c>
      <c r="Q4821" s="25"/>
      <c r="R4821" s="25"/>
      <c r="S4821" s="55"/>
      <c r="T4821" s="56"/>
      <c r="U4821" s="25"/>
      <c r="V4821" s="25"/>
      <c r="W4821" s="25"/>
      <c r="X4821" s="25"/>
      <c r="Y4821" s="25"/>
      <c r="Z4821" s="25"/>
    </row>
    <row r="4822" spans="1:26" ht="52.5" customHeight="1" x14ac:dyDescent="0.25">
      <c r="A4822" s="25"/>
      <c r="B4822" s="25"/>
      <c r="C4822" s="55"/>
      <c r="D4822" s="25"/>
      <c r="E4822" s="25"/>
      <c r="F4822" s="25"/>
      <c r="G4822" s="25"/>
      <c r="H4822" s="25"/>
      <c r="I4822" s="25"/>
      <c r="J4822" s="55"/>
      <c r="K4822" s="25"/>
      <c r="L4822" s="62"/>
      <c r="M4822" s="25"/>
      <c r="N4822" s="25"/>
      <c r="O4822" s="25">
        <f t="shared" si="0"/>
        <v>0</v>
      </c>
      <c r="P4822" s="25" t="str">
        <f t="shared" si="3"/>
        <v/>
      </c>
      <c r="Q4822" s="25"/>
      <c r="R4822" s="25"/>
      <c r="S4822" s="55"/>
      <c r="T4822" s="56"/>
      <c r="U4822" s="25"/>
      <c r="V4822" s="25"/>
      <c r="W4822" s="25"/>
      <c r="X4822" s="25"/>
      <c r="Y4822" s="25"/>
      <c r="Z4822" s="25"/>
    </row>
    <row r="4823" spans="1:26" ht="52.5" customHeight="1" x14ac:dyDescent="0.25">
      <c r="A4823" s="25"/>
      <c r="B4823" s="25"/>
      <c r="C4823" s="55"/>
      <c r="D4823" s="25"/>
      <c r="E4823" s="25"/>
      <c r="F4823" s="25"/>
      <c r="G4823" s="25"/>
      <c r="H4823" s="25"/>
      <c r="I4823" s="25"/>
      <c r="J4823" s="55"/>
      <c r="K4823" s="25"/>
      <c r="L4823" s="62"/>
      <c r="M4823" s="25"/>
      <c r="N4823" s="25"/>
      <c r="O4823" s="25">
        <f t="shared" si="0"/>
        <v>0</v>
      </c>
      <c r="P4823" s="25" t="str">
        <f t="shared" si="3"/>
        <v/>
      </c>
      <c r="Q4823" s="25"/>
      <c r="R4823" s="25"/>
      <c r="S4823" s="55"/>
      <c r="T4823" s="56"/>
      <c r="U4823" s="25"/>
      <c r="V4823" s="25"/>
      <c r="W4823" s="25"/>
      <c r="X4823" s="25"/>
      <c r="Y4823" s="25"/>
      <c r="Z4823" s="25"/>
    </row>
    <row r="4824" spans="1:26" ht="52.5" customHeight="1" x14ac:dyDescent="0.25">
      <c r="A4824" s="25"/>
      <c r="B4824" s="25"/>
      <c r="C4824" s="55"/>
      <c r="D4824" s="25"/>
      <c r="E4824" s="25"/>
      <c r="F4824" s="25"/>
      <c r="G4824" s="25"/>
      <c r="H4824" s="25"/>
      <c r="I4824" s="25"/>
      <c r="J4824" s="55"/>
      <c r="K4824" s="25"/>
      <c r="L4824" s="62"/>
      <c r="M4824" s="25"/>
      <c r="N4824" s="25"/>
      <c r="O4824" s="25">
        <f t="shared" si="0"/>
        <v>0</v>
      </c>
      <c r="P4824" s="25" t="str">
        <f t="shared" si="3"/>
        <v/>
      </c>
      <c r="Q4824" s="25"/>
      <c r="R4824" s="25"/>
      <c r="S4824" s="55"/>
      <c r="T4824" s="56"/>
      <c r="U4824" s="25"/>
      <c r="V4824" s="25"/>
      <c r="W4824" s="25"/>
      <c r="X4824" s="25"/>
      <c r="Y4824" s="25"/>
      <c r="Z4824" s="25"/>
    </row>
    <row r="4825" spans="1:26" ht="52.5" customHeight="1" x14ac:dyDescent="0.25">
      <c r="A4825" s="25"/>
      <c r="B4825" s="25"/>
      <c r="C4825" s="55"/>
      <c r="D4825" s="25"/>
      <c r="E4825" s="25"/>
      <c r="F4825" s="25"/>
      <c r="G4825" s="25"/>
      <c r="H4825" s="25"/>
      <c r="I4825" s="25"/>
      <c r="J4825" s="55"/>
      <c r="K4825" s="25"/>
      <c r="L4825" s="62"/>
      <c r="M4825" s="25"/>
      <c r="N4825" s="25"/>
      <c r="O4825" s="25">
        <f t="shared" si="0"/>
        <v>0</v>
      </c>
      <c r="P4825" s="25" t="str">
        <f t="shared" si="3"/>
        <v/>
      </c>
      <c r="Q4825" s="25"/>
      <c r="R4825" s="25"/>
      <c r="S4825" s="55"/>
      <c r="T4825" s="56"/>
      <c r="U4825" s="25"/>
      <c r="V4825" s="25"/>
      <c r="W4825" s="25"/>
      <c r="X4825" s="25"/>
      <c r="Y4825" s="25"/>
      <c r="Z4825" s="25"/>
    </row>
    <row r="4826" spans="1:26" ht="52.5" customHeight="1" x14ac:dyDescent="0.25">
      <c r="A4826" s="25"/>
      <c r="B4826" s="25"/>
      <c r="C4826" s="55"/>
      <c r="D4826" s="25"/>
      <c r="E4826" s="25"/>
      <c r="F4826" s="25"/>
      <c r="G4826" s="25"/>
      <c r="H4826" s="25"/>
      <c r="I4826" s="25"/>
      <c r="J4826" s="55"/>
      <c r="K4826" s="25"/>
      <c r="L4826" s="62"/>
      <c r="M4826" s="25"/>
      <c r="N4826" s="25"/>
      <c r="O4826" s="25">
        <f t="shared" si="0"/>
        <v>0</v>
      </c>
      <c r="P4826" s="25" t="str">
        <f t="shared" si="3"/>
        <v/>
      </c>
      <c r="Q4826" s="25"/>
      <c r="R4826" s="25"/>
      <c r="S4826" s="55"/>
      <c r="T4826" s="56"/>
      <c r="U4826" s="25"/>
      <c r="V4826" s="25"/>
      <c r="W4826" s="25"/>
      <c r="X4826" s="25"/>
      <c r="Y4826" s="25"/>
      <c r="Z4826" s="25"/>
    </row>
    <row r="4827" spans="1:26" ht="52.5" customHeight="1" x14ac:dyDescent="0.25">
      <c r="A4827" s="25"/>
      <c r="B4827" s="25"/>
      <c r="C4827" s="55"/>
      <c r="D4827" s="25"/>
      <c r="E4827" s="25"/>
      <c r="F4827" s="25"/>
      <c r="G4827" s="25"/>
      <c r="H4827" s="25"/>
      <c r="I4827" s="25"/>
      <c r="J4827" s="55"/>
      <c r="K4827" s="25"/>
      <c r="L4827" s="62"/>
      <c r="M4827" s="25"/>
      <c r="N4827" s="25"/>
      <c r="O4827" s="25">
        <f t="shared" si="0"/>
        <v>0</v>
      </c>
      <c r="P4827" s="25" t="str">
        <f t="shared" si="3"/>
        <v/>
      </c>
      <c r="Q4827" s="25"/>
      <c r="R4827" s="25"/>
      <c r="S4827" s="55"/>
      <c r="T4827" s="56"/>
      <c r="U4827" s="25"/>
      <c r="V4827" s="25"/>
      <c r="W4827" s="25"/>
      <c r="X4827" s="25"/>
      <c r="Y4827" s="25"/>
      <c r="Z4827" s="25"/>
    </row>
    <row r="4828" spans="1:26" ht="52.5" customHeight="1" x14ac:dyDescent="0.25">
      <c r="A4828" s="25"/>
      <c r="B4828" s="25"/>
      <c r="C4828" s="55"/>
      <c r="D4828" s="25"/>
      <c r="E4828" s="25"/>
      <c r="F4828" s="25"/>
      <c r="G4828" s="25"/>
      <c r="H4828" s="25"/>
      <c r="I4828" s="25"/>
      <c r="J4828" s="55"/>
      <c r="K4828" s="25"/>
      <c r="L4828" s="62"/>
      <c r="M4828" s="25"/>
      <c r="N4828" s="25"/>
      <c r="O4828" s="25">
        <f t="shared" si="0"/>
        <v>0</v>
      </c>
      <c r="P4828" s="25" t="str">
        <f t="shared" si="3"/>
        <v/>
      </c>
      <c r="Q4828" s="25"/>
      <c r="R4828" s="25"/>
      <c r="S4828" s="55"/>
      <c r="T4828" s="56"/>
      <c r="U4828" s="25"/>
      <c r="V4828" s="25"/>
      <c r="W4828" s="25"/>
      <c r="X4828" s="25"/>
      <c r="Y4828" s="25"/>
      <c r="Z4828" s="25"/>
    </row>
    <row r="4829" spans="1:26" ht="52.5" customHeight="1" x14ac:dyDescent="0.25">
      <c r="A4829" s="25"/>
      <c r="B4829" s="25"/>
      <c r="C4829" s="55"/>
      <c r="D4829" s="25"/>
      <c r="E4829" s="25"/>
      <c r="F4829" s="25"/>
      <c r="G4829" s="25"/>
      <c r="H4829" s="25"/>
      <c r="I4829" s="25"/>
      <c r="J4829" s="55"/>
      <c r="K4829" s="25"/>
      <c r="L4829" s="62"/>
      <c r="M4829" s="25"/>
      <c r="N4829" s="25"/>
      <c r="O4829" s="25">
        <f t="shared" si="0"/>
        <v>0</v>
      </c>
      <c r="P4829" s="25" t="str">
        <f t="shared" si="3"/>
        <v/>
      </c>
      <c r="Q4829" s="25"/>
      <c r="R4829" s="25"/>
      <c r="S4829" s="55"/>
      <c r="T4829" s="56"/>
      <c r="U4829" s="25"/>
      <c r="V4829" s="25"/>
      <c r="W4829" s="25"/>
      <c r="X4829" s="25"/>
      <c r="Y4829" s="25"/>
      <c r="Z4829" s="25"/>
    </row>
    <row r="4830" spans="1:26" ht="52.5" customHeight="1" x14ac:dyDescent="0.25">
      <c r="A4830" s="25"/>
      <c r="B4830" s="25"/>
      <c r="C4830" s="55"/>
      <c r="D4830" s="25"/>
      <c r="E4830" s="25"/>
      <c r="F4830" s="25"/>
      <c r="G4830" s="25"/>
      <c r="H4830" s="25"/>
      <c r="I4830" s="25"/>
      <c r="J4830" s="55"/>
      <c r="K4830" s="25"/>
      <c r="L4830" s="62"/>
      <c r="M4830" s="25"/>
      <c r="N4830" s="25"/>
      <c r="O4830" s="25">
        <f t="shared" si="0"/>
        <v>0</v>
      </c>
      <c r="P4830" s="25" t="str">
        <f t="shared" si="3"/>
        <v/>
      </c>
      <c r="Q4830" s="25"/>
      <c r="R4830" s="25"/>
      <c r="S4830" s="55"/>
      <c r="T4830" s="56"/>
      <c r="U4830" s="25"/>
      <c r="V4830" s="25"/>
      <c r="W4830" s="25"/>
      <c r="X4830" s="25"/>
      <c r="Y4830" s="25"/>
      <c r="Z4830" s="25"/>
    </row>
    <row r="4831" spans="1:26" ht="52.5" customHeight="1" x14ac:dyDescent="0.25">
      <c r="A4831" s="25"/>
      <c r="B4831" s="25"/>
      <c r="C4831" s="55"/>
      <c r="D4831" s="25"/>
      <c r="E4831" s="25"/>
      <c r="F4831" s="25"/>
      <c r="G4831" s="25"/>
      <c r="H4831" s="25"/>
      <c r="I4831" s="25"/>
      <c r="J4831" s="55"/>
      <c r="K4831" s="25"/>
      <c r="L4831" s="62"/>
      <c r="M4831" s="25"/>
      <c r="N4831" s="25"/>
      <c r="O4831" s="25">
        <f t="shared" si="0"/>
        <v>0</v>
      </c>
      <c r="P4831" s="25" t="str">
        <f t="shared" si="3"/>
        <v/>
      </c>
      <c r="Q4831" s="25"/>
      <c r="R4831" s="25"/>
      <c r="S4831" s="55"/>
      <c r="T4831" s="56"/>
      <c r="U4831" s="25"/>
      <c r="V4831" s="25"/>
      <c r="W4831" s="25"/>
      <c r="X4831" s="25"/>
      <c r="Y4831" s="25"/>
      <c r="Z4831" s="25"/>
    </row>
    <row r="4832" spans="1:26" ht="52.5" customHeight="1" x14ac:dyDescent="0.25">
      <c r="A4832" s="25"/>
      <c r="B4832" s="25"/>
      <c r="C4832" s="55"/>
      <c r="D4832" s="25"/>
      <c r="E4832" s="25"/>
      <c r="F4832" s="25"/>
      <c r="G4832" s="25"/>
      <c r="H4832" s="25"/>
      <c r="I4832" s="25"/>
      <c r="J4832" s="55"/>
      <c r="K4832" s="25"/>
      <c r="L4832" s="62"/>
      <c r="M4832" s="25"/>
      <c r="N4832" s="25"/>
      <c r="O4832" s="25">
        <f t="shared" si="0"/>
        <v>0</v>
      </c>
      <c r="P4832" s="25" t="str">
        <f t="shared" si="3"/>
        <v/>
      </c>
      <c r="Q4832" s="25"/>
      <c r="R4832" s="25"/>
      <c r="S4832" s="55"/>
      <c r="T4832" s="56"/>
      <c r="U4832" s="25"/>
      <c r="V4832" s="25"/>
      <c r="W4832" s="25"/>
      <c r="X4832" s="25"/>
      <c r="Y4832" s="25"/>
      <c r="Z4832" s="25"/>
    </row>
    <row r="4833" spans="1:26" ht="52.5" customHeight="1" x14ac:dyDescent="0.25">
      <c r="A4833" s="25"/>
      <c r="B4833" s="25"/>
      <c r="C4833" s="55"/>
      <c r="D4833" s="25"/>
      <c r="E4833" s="25"/>
      <c r="F4833" s="25"/>
      <c r="G4833" s="25"/>
      <c r="H4833" s="25"/>
      <c r="I4833" s="25"/>
      <c r="J4833" s="55"/>
      <c r="K4833" s="25"/>
      <c r="L4833" s="62"/>
      <c r="M4833" s="25"/>
      <c r="N4833" s="25"/>
      <c r="O4833" s="25">
        <f t="shared" si="0"/>
        <v>0</v>
      </c>
      <c r="P4833" s="25" t="str">
        <f t="shared" si="3"/>
        <v/>
      </c>
      <c r="Q4833" s="25"/>
      <c r="R4833" s="25"/>
      <c r="S4833" s="55"/>
      <c r="T4833" s="56"/>
      <c r="U4833" s="25"/>
      <c r="V4833" s="25"/>
      <c r="W4833" s="25"/>
      <c r="X4833" s="25"/>
      <c r="Y4833" s="25"/>
      <c r="Z4833" s="25"/>
    </row>
    <row r="4834" spans="1:26" ht="52.5" customHeight="1" x14ac:dyDescent="0.25">
      <c r="A4834" s="25"/>
      <c r="B4834" s="25"/>
      <c r="C4834" s="55"/>
      <c r="D4834" s="25"/>
      <c r="E4834" s="25"/>
      <c r="F4834" s="25"/>
      <c r="G4834" s="25"/>
      <c r="H4834" s="25"/>
      <c r="I4834" s="25"/>
      <c r="J4834" s="55"/>
      <c r="K4834" s="25"/>
      <c r="L4834" s="62"/>
      <c r="M4834" s="25"/>
      <c r="N4834" s="25"/>
      <c r="O4834" s="25">
        <f t="shared" si="0"/>
        <v>0</v>
      </c>
      <c r="P4834" s="25" t="str">
        <f t="shared" si="3"/>
        <v/>
      </c>
      <c r="Q4834" s="25"/>
      <c r="R4834" s="25"/>
      <c r="S4834" s="55"/>
      <c r="T4834" s="56"/>
      <c r="U4834" s="25"/>
      <c r="V4834" s="25"/>
      <c r="W4834" s="25"/>
      <c r="X4834" s="25"/>
      <c r="Y4834" s="25"/>
      <c r="Z4834" s="25"/>
    </row>
    <row r="4835" spans="1:26" ht="52.5" customHeight="1" x14ac:dyDescent="0.25">
      <c r="A4835" s="25"/>
      <c r="B4835" s="25"/>
      <c r="C4835" s="55"/>
      <c r="D4835" s="25"/>
      <c r="E4835" s="25"/>
      <c r="F4835" s="25"/>
      <c r="G4835" s="25"/>
      <c r="H4835" s="25"/>
      <c r="I4835" s="25"/>
      <c r="J4835" s="55"/>
      <c r="K4835" s="25"/>
      <c r="L4835" s="62"/>
      <c r="M4835" s="25"/>
      <c r="N4835" s="25"/>
      <c r="O4835" s="25">
        <f t="shared" si="0"/>
        <v>0</v>
      </c>
      <c r="P4835" s="25" t="str">
        <f t="shared" si="3"/>
        <v/>
      </c>
      <c r="Q4835" s="25"/>
      <c r="R4835" s="25"/>
      <c r="S4835" s="55"/>
      <c r="T4835" s="56"/>
      <c r="U4835" s="25"/>
      <c r="V4835" s="25"/>
      <c r="W4835" s="25"/>
      <c r="X4835" s="25"/>
      <c r="Y4835" s="25"/>
      <c r="Z4835" s="25"/>
    </row>
    <row r="4836" spans="1:26" ht="52.5" customHeight="1" x14ac:dyDescent="0.25">
      <c r="A4836" s="25"/>
      <c r="B4836" s="25"/>
      <c r="C4836" s="55"/>
      <c r="D4836" s="25"/>
      <c r="E4836" s="25"/>
      <c r="F4836" s="25"/>
      <c r="G4836" s="25"/>
      <c r="H4836" s="25"/>
      <c r="I4836" s="25"/>
      <c r="J4836" s="55"/>
      <c r="K4836" s="25"/>
      <c r="L4836" s="62"/>
      <c r="M4836" s="25"/>
      <c r="N4836" s="25"/>
      <c r="O4836" s="25">
        <f t="shared" si="0"/>
        <v>0</v>
      </c>
      <c r="P4836" s="25" t="str">
        <f t="shared" si="3"/>
        <v/>
      </c>
      <c r="Q4836" s="25"/>
      <c r="R4836" s="25"/>
      <c r="S4836" s="55"/>
      <c r="T4836" s="56"/>
      <c r="U4836" s="25"/>
      <c r="V4836" s="25"/>
      <c r="W4836" s="25"/>
      <c r="X4836" s="25"/>
      <c r="Y4836" s="25"/>
      <c r="Z4836" s="25"/>
    </row>
    <row r="4837" spans="1:26" ht="52.5" customHeight="1" x14ac:dyDescent="0.25">
      <c r="A4837" s="25"/>
      <c r="B4837" s="25"/>
      <c r="C4837" s="55"/>
      <c r="D4837" s="25"/>
      <c r="E4837" s="25"/>
      <c r="F4837" s="25"/>
      <c r="G4837" s="25"/>
      <c r="H4837" s="25"/>
      <c r="I4837" s="25"/>
      <c r="J4837" s="55"/>
      <c r="K4837" s="25"/>
      <c r="L4837" s="62"/>
      <c r="M4837" s="25"/>
      <c r="N4837" s="25"/>
      <c r="O4837" s="25">
        <f t="shared" si="0"/>
        <v>0</v>
      </c>
      <c r="P4837" s="25" t="str">
        <f t="shared" si="3"/>
        <v/>
      </c>
      <c r="Q4837" s="25"/>
      <c r="R4837" s="25"/>
      <c r="S4837" s="55"/>
      <c r="T4837" s="56"/>
      <c r="U4837" s="25"/>
      <c r="V4837" s="25"/>
      <c r="W4837" s="25"/>
      <c r="X4837" s="25"/>
      <c r="Y4837" s="25"/>
      <c r="Z4837" s="25"/>
    </row>
    <row r="4838" spans="1:26" ht="52.5" customHeight="1" x14ac:dyDescent="0.25">
      <c r="A4838" s="25"/>
      <c r="B4838" s="25"/>
      <c r="C4838" s="55"/>
      <c r="D4838" s="25"/>
      <c r="E4838" s="25"/>
      <c r="F4838" s="25"/>
      <c r="G4838" s="25"/>
      <c r="H4838" s="25"/>
      <c r="I4838" s="25"/>
      <c r="J4838" s="55"/>
      <c r="K4838" s="25"/>
      <c r="L4838" s="62"/>
      <c r="M4838" s="25"/>
      <c r="N4838" s="25"/>
      <c r="O4838" s="25">
        <f t="shared" si="0"/>
        <v>0</v>
      </c>
      <c r="P4838" s="25" t="str">
        <f t="shared" si="3"/>
        <v/>
      </c>
      <c r="Q4838" s="25"/>
      <c r="R4838" s="25"/>
      <c r="S4838" s="55"/>
      <c r="T4838" s="56"/>
      <c r="U4838" s="25"/>
      <c r="V4838" s="25"/>
      <c r="W4838" s="25"/>
      <c r="X4838" s="25"/>
      <c r="Y4838" s="25"/>
      <c r="Z4838" s="25"/>
    </row>
    <row r="4839" spans="1:26" ht="52.5" customHeight="1" x14ac:dyDescent="0.25">
      <c r="A4839" s="25"/>
      <c r="B4839" s="25"/>
      <c r="C4839" s="55"/>
      <c r="D4839" s="25"/>
      <c r="E4839" s="25"/>
      <c r="F4839" s="25"/>
      <c r="G4839" s="25"/>
      <c r="H4839" s="25"/>
      <c r="I4839" s="25"/>
      <c r="J4839" s="55"/>
      <c r="K4839" s="25"/>
      <c r="L4839" s="62"/>
      <c r="M4839" s="25"/>
      <c r="N4839" s="25"/>
      <c r="O4839" s="25">
        <f t="shared" si="0"/>
        <v>0</v>
      </c>
      <c r="P4839" s="25" t="str">
        <f t="shared" si="3"/>
        <v/>
      </c>
      <c r="Q4839" s="25"/>
      <c r="R4839" s="25"/>
      <c r="S4839" s="55"/>
      <c r="T4839" s="56"/>
      <c r="U4839" s="25"/>
      <c r="V4839" s="25"/>
      <c r="W4839" s="25"/>
      <c r="X4839" s="25"/>
      <c r="Y4839" s="25"/>
      <c r="Z4839" s="25"/>
    </row>
    <row r="4840" spans="1:26" ht="52.5" customHeight="1" x14ac:dyDescent="0.25">
      <c r="A4840" s="25"/>
      <c r="B4840" s="25"/>
      <c r="C4840" s="55"/>
      <c r="D4840" s="25"/>
      <c r="E4840" s="25"/>
      <c r="F4840" s="25"/>
      <c r="G4840" s="25"/>
      <c r="H4840" s="25"/>
      <c r="I4840" s="25"/>
      <c r="J4840" s="55"/>
      <c r="K4840" s="25"/>
      <c r="L4840" s="62"/>
      <c r="M4840" s="25"/>
      <c r="N4840" s="25"/>
      <c r="O4840" s="25">
        <f t="shared" si="0"/>
        <v>0</v>
      </c>
      <c r="P4840" s="25" t="str">
        <f t="shared" si="3"/>
        <v/>
      </c>
      <c r="Q4840" s="25"/>
      <c r="R4840" s="25"/>
      <c r="S4840" s="55"/>
      <c r="T4840" s="56"/>
      <c r="U4840" s="25"/>
      <c r="V4840" s="25"/>
      <c r="W4840" s="25"/>
      <c r="X4840" s="25"/>
      <c r="Y4840" s="25"/>
      <c r="Z4840" s="25"/>
    </row>
    <row r="4841" spans="1:26" ht="52.5" customHeight="1" x14ac:dyDescent="0.25">
      <c r="A4841" s="25"/>
      <c r="B4841" s="25"/>
      <c r="C4841" s="55"/>
      <c r="D4841" s="25"/>
      <c r="E4841" s="25"/>
      <c r="F4841" s="25"/>
      <c r="G4841" s="25"/>
      <c r="H4841" s="25"/>
      <c r="I4841" s="25"/>
      <c r="J4841" s="55"/>
      <c r="K4841" s="25"/>
      <c r="L4841" s="62"/>
      <c r="M4841" s="25"/>
      <c r="N4841" s="25"/>
      <c r="O4841" s="25">
        <f t="shared" si="0"/>
        <v>0</v>
      </c>
      <c r="P4841" s="25" t="str">
        <f t="shared" si="3"/>
        <v/>
      </c>
      <c r="Q4841" s="25"/>
      <c r="R4841" s="25"/>
      <c r="S4841" s="55"/>
      <c r="T4841" s="56"/>
      <c r="U4841" s="25"/>
      <c r="V4841" s="25"/>
      <c r="W4841" s="25"/>
      <c r="X4841" s="25"/>
      <c r="Y4841" s="25"/>
      <c r="Z4841" s="25"/>
    </row>
    <row r="4842" spans="1:26" ht="52.5" customHeight="1" x14ac:dyDescent="0.25">
      <c r="A4842" s="25"/>
      <c r="B4842" s="25"/>
      <c r="C4842" s="55"/>
      <c r="D4842" s="25"/>
      <c r="E4842" s="25"/>
      <c r="F4842" s="25"/>
      <c r="G4842" s="25"/>
      <c r="H4842" s="25"/>
      <c r="I4842" s="25"/>
      <c r="J4842" s="55"/>
      <c r="K4842" s="25"/>
      <c r="L4842" s="62"/>
      <c r="M4842" s="25"/>
      <c r="N4842" s="25"/>
      <c r="O4842" s="25">
        <f t="shared" si="0"/>
        <v>0</v>
      </c>
      <c r="P4842" s="25" t="str">
        <f t="shared" si="3"/>
        <v/>
      </c>
      <c r="Q4842" s="25"/>
      <c r="R4842" s="25"/>
      <c r="S4842" s="55"/>
      <c r="T4842" s="56"/>
      <c r="U4842" s="25"/>
      <c r="V4842" s="25"/>
      <c r="W4842" s="25"/>
      <c r="X4842" s="25"/>
      <c r="Y4842" s="25"/>
      <c r="Z4842" s="25"/>
    </row>
    <row r="4843" spans="1:26" ht="52.5" customHeight="1" x14ac:dyDescent="0.25">
      <c r="A4843" s="25"/>
      <c r="B4843" s="25"/>
      <c r="C4843" s="55"/>
      <c r="D4843" s="25"/>
      <c r="E4843" s="25"/>
      <c r="F4843" s="25"/>
      <c r="G4843" s="25"/>
      <c r="H4843" s="25"/>
      <c r="I4843" s="25"/>
      <c r="J4843" s="55"/>
      <c r="K4843" s="25"/>
      <c r="L4843" s="62"/>
      <c r="M4843" s="25"/>
      <c r="N4843" s="25"/>
      <c r="O4843" s="25">
        <f t="shared" si="0"/>
        <v>0</v>
      </c>
      <c r="P4843" s="25" t="str">
        <f t="shared" si="3"/>
        <v/>
      </c>
      <c r="Q4843" s="25"/>
      <c r="R4843" s="25"/>
      <c r="S4843" s="55"/>
      <c r="T4843" s="56"/>
      <c r="U4843" s="25"/>
      <c r="V4843" s="25"/>
      <c r="W4843" s="25"/>
      <c r="X4843" s="25"/>
      <c r="Y4843" s="25"/>
      <c r="Z4843" s="25"/>
    </row>
    <row r="4844" spans="1:26" ht="52.5" customHeight="1" x14ac:dyDescent="0.25">
      <c r="A4844" s="25"/>
      <c r="B4844" s="25"/>
      <c r="C4844" s="55"/>
      <c r="D4844" s="25"/>
      <c r="E4844" s="25"/>
      <c r="F4844" s="25"/>
      <c r="G4844" s="25"/>
      <c r="H4844" s="25"/>
      <c r="I4844" s="25"/>
      <c r="J4844" s="55"/>
      <c r="K4844" s="25"/>
      <c r="L4844" s="62"/>
      <c r="M4844" s="25"/>
      <c r="N4844" s="25"/>
      <c r="O4844" s="25">
        <f t="shared" si="0"/>
        <v>0</v>
      </c>
      <c r="P4844" s="25" t="str">
        <f t="shared" si="3"/>
        <v/>
      </c>
      <c r="Q4844" s="25"/>
      <c r="R4844" s="25"/>
      <c r="S4844" s="55"/>
      <c r="T4844" s="56"/>
      <c r="U4844" s="25"/>
      <c r="V4844" s="25"/>
      <c r="W4844" s="25"/>
      <c r="X4844" s="25"/>
      <c r="Y4844" s="25"/>
      <c r="Z4844" s="25"/>
    </row>
    <row r="4845" spans="1:26" ht="52.5" customHeight="1" x14ac:dyDescent="0.25">
      <c r="A4845" s="25"/>
      <c r="B4845" s="25"/>
      <c r="C4845" s="55"/>
      <c r="D4845" s="25"/>
      <c r="E4845" s="25"/>
      <c r="F4845" s="25"/>
      <c r="G4845" s="25"/>
      <c r="H4845" s="25"/>
      <c r="I4845" s="25"/>
      <c r="J4845" s="55"/>
      <c r="K4845" s="25"/>
      <c r="L4845" s="62"/>
      <c r="M4845" s="25"/>
      <c r="N4845" s="25"/>
      <c r="O4845" s="25">
        <f t="shared" si="0"/>
        <v>0</v>
      </c>
      <c r="P4845" s="25" t="str">
        <f t="shared" si="3"/>
        <v/>
      </c>
      <c r="Q4845" s="25"/>
      <c r="R4845" s="25"/>
      <c r="S4845" s="55"/>
      <c r="T4845" s="56"/>
      <c r="U4845" s="25"/>
      <c r="V4845" s="25"/>
      <c r="W4845" s="25"/>
      <c r="X4845" s="25"/>
      <c r="Y4845" s="25"/>
      <c r="Z4845" s="25"/>
    </row>
    <row r="4846" spans="1:26" ht="52.5" customHeight="1" x14ac:dyDescent="0.25">
      <c r="A4846" s="25"/>
      <c r="B4846" s="25"/>
      <c r="C4846" s="55"/>
      <c r="D4846" s="25"/>
      <c r="E4846" s="25"/>
      <c r="F4846" s="25"/>
      <c r="G4846" s="25"/>
      <c r="H4846" s="25"/>
      <c r="I4846" s="25"/>
      <c r="J4846" s="55"/>
      <c r="K4846" s="25"/>
      <c r="L4846" s="62"/>
      <c r="M4846" s="25"/>
      <c r="N4846" s="25"/>
      <c r="O4846" s="25">
        <f t="shared" si="0"/>
        <v>0</v>
      </c>
      <c r="P4846" s="25" t="str">
        <f t="shared" si="3"/>
        <v/>
      </c>
      <c r="Q4846" s="25"/>
      <c r="R4846" s="25"/>
      <c r="S4846" s="55"/>
      <c r="T4846" s="56"/>
      <c r="U4846" s="25"/>
      <c r="V4846" s="25"/>
      <c r="W4846" s="25"/>
      <c r="X4846" s="25"/>
      <c r="Y4846" s="25"/>
      <c r="Z4846" s="25"/>
    </row>
    <row r="4847" spans="1:26" ht="52.5" customHeight="1" x14ac:dyDescent="0.25">
      <c r="A4847" s="25"/>
      <c r="B4847" s="25"/>
      <c r="C4847" s="55"/>
      <c r="D4847" s="25"/>
      <c r="E4847" s="25"/>
      <c r="F4847" s="25"/>
      <c r="G4847" s="25"/>
      <c r="H4847" s="25"/>
      <c r="I4847" s="25"/>
      <c r="J4847" s="55"/>
      <c r="K4847" s="25"/>
      <c r="L4847" s="62"/>
      <c r="M4847" s="25"/>
      <c r="N4847" s="25"/>
      <c r="O4847" s="25">
        <f t="shared" si="0"/>
        <v>0</v>
      </c>
      <c r="P4847" s="25" t="str">
        <f t="shared" si="3"/>
        <v/>
      </c>
      <c r="Q4847" s="25"/>
      <c r="R4847" s="25"/>
      <c r="S4847" s="55"/>
      <c r="T4847" s="56"/>
      <c r="U4847" s="25"/>
      <c r="V4847" s="25"/>
      <c r="W4847" s="25"/>
      <c r="X4847" s="25"/>
      <c r="Y4847" s="25"/>
      <c r="Z4847" s="25"/>
    </row>
    <row r="4848" spans="1:26" ht="52.5" customHeight="1" x14ac:dyDescent="0.25">
      <c r="A4848" s="25"/>
      <c r="B4848" s="25"/>
      <c r="C4848" s="55"/>
      <c r="D4848" s="25"/>
      <c r="E4848" s="25"/>
      <c r="F4848" s="25"/>
      <c r="G4848" s="25"/>
      <c r="H4848" s="25"/>
      <c r="I4848" s="25"/>
      <c r="J4848" s="55"/>
      <c r="K4848" s="25"/>
      <c r="L4848" s="62"/>
      <c r="M4848" s="25"/>
      <c r="N4848" s="25"/>
      <c r="O4848" s="25">
        <f t="shared" si="0"/>
        <v>0</v>
      </c>
      <c r="P4848" s="25" t="str">
        <f t="shared" si="3"/>
        <v/>
      </c>
      <c r="Q4848" s="25"/>
      <c r="R4848" s="25"/>
      <c r="S4848" s="55"/>
      <c r="T4848" s="56"/>
      <c r="U4848" s="25"/>
      <c r="V4848" s="25"/>
      <c r="W4848" s="25"/>
      <c r="X4848" s="25"/>
      <c r="Y4848" s="25"/>
      <c r="Z4848" s="25"/>
    </row>
    <row r="4849" spans="1:26" ht="52.5" customHeight="1" x14ac:dyDescent="0.25">
      <c r="A4849" s="25"/>
      <c r="B4849" s="25"/>
      <c r="C4849" s="55"/>
      <c r="D4849" s="25"/>
      <c r="E4849" s="25"/>
      <c r="F4849" s="25"/>
      <c r="G4849" s="25"/>
      <c r="H4849" s="25"/>
      <c r="I4849" s="25"/>
      <c r="J4849" s="55"/>
      <c r="K4849" s="25"/>
      <c r="L4849" s="62"/>
      <c r="M4849" s="25"/>
      <c r="N4849" s="25"/>
      <c r="O4849" s="25">
        <f t="shared" si="0"/>
        <v>0</v>
      </c>
      <c r="P4849" s="25" t="str">
        <f t="shared" si="3"/>
        <v/>
      </c>
      <c r="Q4849" s="25"/>
      <c r="R4849" s="25"/>
      <c r="S4849" s="55"/>
      <c r="T4849" s="56"/>
      <c r="U4849" s="25"/>
      <c r="V4849" s="25"/>
      <c r="W4849" s="25"/>
      <c r="X4849" s="25"/>
      <c r="Y4849" s="25"/>
      <c r="Z4849" s="25"/>
    </row>
    <row r="4850" spans="1:26" ht="52.5" customHeight="1" x14ac:dyDescent="0.25">
      <c r="A4850" s="25"/>
      <c r="B4850" s="25"/>
      <c r="C4850" s="55"/>
      <c r="D4850" s="25"/>
      <c r="E4850" s="25"/>
      <c r="F4850" s="25"/>
      <c r="G4850" s="25"/>
      <c r="H4850" s="25"/>
      <c r="I4850" s="25"/>
      <c r="J4850" s="55"/>
      <c r="K4850" s="25"/>
      <c r="L4850" s="62"/>
      <c r="M4850" s="25"/>
      <c r="N4850" s="25"/>
      <c r="O4850" s="25">
        <f t="shared" si="0"/>
        <v>0</v>
      </c>
      <c r="P4850" s="25" t="str">
        <f t="shared" si="3"/>
        <v/>
      </c>
      <c r="Q4850" s="25"/>
      <c r="R4850" s="25"/>
      <c r="S4850" s="55"/>
      <c r="T4850" s="56"/>
      <c r="U4850" s="25"/>
      <c r="V4850" s="25"/>
      <c r="W4850" s="25"/>
      <c r="X4850" s="25"/>
      <c r="Y4850" s="25"/>
      <c r="Z4850" s="25"/>
    </row>
    <row r="4851" spans="1:26" ht="52.5" customHeight="1" x14ac:dyDescent="0.25">
      <c r="A4851" s="25"/>
      <c r="B4851" s="25"/>
      <c r="C4851" s="55"/>
      <c r="D4851" s="25"/>
      <c r="E4851" s="25"/>
      <c r="F4851" s="25"/>
      <c r="G4851" s="25"/>
      <c r="H4851" s="25"/>
      <c r="I4851" s="25"/>
      <c r="J4851" s="55"/>
      <c r="K4851" s="25"/>
      <c r="L4851" s="62"/>
      <c r="M4851" s="25"/>
      <c r="N4851" s="25"/>
      <c r="O4851" s="25">
        <f t="shared" si="0"/>
        <v>0</v>
      </c>
      <c r="P4851" s="25" t="str">
        <f t="shared" si="3"/>
        <v/>
      </c>
      <c r="Q4851" s="25"/>
      <c r="R4851" s="25"/>
      <c r="S4851" s="55"/>
      <c r="T4851" s="56"/>
      <c r="U4851" s="25"/>
      <c r="V4851" s="25"/>
      <c r="W4851" s="25"/>
      <c r="X4851" s="25"/>
      <c r="Y4851" s="25"/>
      <c r="Z4851" s="25"/>
    </row>
    <row r="4852" spans="1:26" ht="52.5" customHeight="1" x14ac:dyDescent="0.25">
      <c r="A4852" s="25"/>
      <c r="B4852" s="25"/>
      <c r="C4852" s="55"/>
      <c r="D4852" s="25"/>
      <c r="E4852" s="25"/>
      <c r="F4852" s="25"/>
      <c r="G4852" s="25"/>
      <c r="H4852" s="25"/>
      <c r="I4852" s="25"/>
      <c r="J4852" s="55"/>
      <c r="K4852" s="25"/>
      <c r="L4852" s="62"/>
      <c r="M4852" s="25"/>
      <c r="N4852" s="25"/>
      <c r="O4852" s="25">
        <f t="shared" si="0"/>
        <v>0</v>
      </c>
      <c r="P4852" s="25" t="str">
        <f t="shared" si="3"/>
        <v/>
      </c>
      <c r="Q4852" s="25"/>
      <c r="R4852" s="25"/>
      <c r="S4852" s="55"/>
      <c r="T4852" s="56"/>
      <c r="U4852" s="25"/>
      <c r="V4852" s="25"/>
      <c r="W4852" s="25"/>
      <c r="X4852" s="25"/>
      <c r="Y4852" s="25"/>
      <c r="Z4852" s="25"/>
    </row>
    <row r="4853" spans="1:26" ht="52.5" customHeight="1" x14ac:dyDescent="0.25">
      <c r="A4853" s="25"/>
      <c r="B4853" s="25"/>
      <c r="C4853" s="55"/>
      <c r="D4853" s="25"/>
      <c r="E4853" s="25"/>
      <c r="F4853" s="25"/>
      <c r="G4853" s="25"/>
      <c r="H4853" s="25"/>
      <c r="I4853" s="25"/>
      <c r="J4853" s="55"/>
      <c r="K4853" s="25"/>
      <c r="L4853" s="62"/>
      <c r="M4853" s="25"/>
      <c r="N4853" s="25"/>
      <c r="O4853" s="25">
        <f t="shared" si="0"/>
        <v>0</v>
      </c>
      <c r="P4853" s="25" t="str">
        <f t="shared" si="3"/>
        <v/>
      </c>
      <c r="Q4853" s="25"/>
      <c r="R4853" s="25"/>
      <c r="S4853" s="55"/>
      <c r="T4853" s="56"/>
      <c r="U4853" s="25"/>
      <c r="V4853" s="25"/>
      <c r="W4853" s="25"/>
      <c r="X4853" s="25"/>
      <c r="Y4853" s="25"/>
      <c r="Z4853" s="25"/>
    </row>
    <row r="4854" spans="1:26" ht="52.5" customHeight="1" x14ac:dyDescent="0.25">
      <c r="A4854" s="25"/>
      <c r="B4854" s="25"/>
      <c r="C4854" s="55"/>
      <c r="D4854" s="25"/>
      <c r="E4854" s="25"/>
      <c r="F4854" s="25"/>
      <c r="G4854" s="25"/>
      <c r="H4854" s="25"/>
      <c r="I4854" s="25"/>
      <c r="J4854" s="55"/>
      <c r="K4854" s="25"/>
      <c r="L4854" s="62"/>
      <c r="M4854" s="25"/>
      <c r="N4854" s="25"/>
      <c r="O4854" s="25">
        <f t="shared" si="0"/>
        <v>0</v>
      </c>
      <c r="P4854" s="25" t="str">
        <f t="shared" si="3"/>
        <v/>
      </c>
      <c r="Q4854" s="25"/>
      <c r="R4854" s="25"/>
      <c r="S4854" s="55"/>
      <c r="T4854" s="56"/>
      <c r="U4854" s="25"/>
      <c r="V4854" s="25"/>
      <c r="W4854" s="25"/>
      <c r="X4854" s="25"/>
      <c r="Y4854" s="25"/>
      <c r="Z4854" s="25"/>
    </row>
    <row r="4855" spans="1:26" ht="52.5" customHeight="1" x14ac:dyDescent="0.25">
      <c r="A4855" s="25"/>
      <c r="B4855" s="25"/>
      <c r="C4855" s="55"/>
      <c r="D4855" s="25"/>
      <c r="E4855" s="25"/>
      <c r="F4855" s="25"/>
      <c r="G4855" s="25"/>
      <c r="H4855" s="25"/>
      <c r="I4855" s="25"/>
      <c r="J4855" s="55"/>
      <c r="K4855" s="25"/>
      <c r="L4855" s="62"/>
      <c r="M4855" s="25"/>
      <c r="N4855" s="25"/>
      <c r="O4855" s="25">
        <f t="shared" si="0"/>
        <v>0</v>
      </c>
      <c r="P4855" s="25" t="str">
        <f t="shared" si="3"/>
        <v/>
      </c>
      <c r="Q4855" s="25"/>
      <c r="R4855" s="25"/>
      <c r="S4855" s="55"/>
      <c r="T4855" s="56"/>
      <c r="U4855" s="25"/>
      <c r="V4855" s="25"/>
      <c r="W4855" s="25"/>
      <c r="X4855" s="25"/>
      <c r="Y4855" s="25"/>
      <c r="Z4855" s="25"/>
    </row>
    <row r="4856" spans="1:26" ht="52.5" customHeight="1" x14ac:dyDescent="0.25">
      <c r="A4856" s="25"/>
      <c r="B4856" s="25"/>
      <c r="C4856" s="55"/>
      <c r="D4856" s="25"/>
      <c r="E4856" s="25"/>
      <c r="F4856" s="25"/>
      <c r="G4856" s="25"/>
      <c r="H4856" s="25"/>
      <c r="I4856" s="25"/>
      <c r="J4856" s="55"/>
      <c r="K4856" s="25"/>
      <c r="L4856" s="62"/>
      <c r="M4856" s="25"/>
      <c r="N4856" s="25"/>
      <c r="O4856" s="25">
        <f t="shared" si="0"/>
        <v>0</v>
      </c>
      <c r="P4856" s="25" t="str">
        <f t="shared" si="3"/>
        <v/>
      </c>
      <c r="Q4856" s="25"/>
      <c r="R4856" s="25"/>
      <c r="S4856" s="55"/>
      <c r="T4856" s="56"/>
      <c r="U4856" s="25"/>
      <c r="V4856" s="25"/>
      <c r="W4856" s="25"/>
      <c r="X4856" s="25"/>
      <c r="Y4856" s="25"/>
      <c r="Z4856" s="25"/>
    </row>
    <row r="4857" spans="1:26" ht="52.5" customHeight="1" x14ac:dyDescent="0.25">
      <c r="A4857" s="25"/>
      <c r="B4857" s="25"/>
      <c r="C4857" s="55"/>
      <c r="D4857" s="25"/>
      <c r="E4857" s="25"/>
      <c r="F4857" s="25"/>
      <c r="G4857" s="25"/>
      <c r="H4857" s="25"/>
      <c r="I4857" s="25"/>
      <c r="J4857" s="55"/>
      <c r="K4857" s="25"/>
      <c r="L4857" s="62"/>
      <c r="M4857" s="25"/>
      <c r="N4857" s="25"/>
      <c r="O4857" s="25">
        <f t="shared" si="0"/>
        <v>0</v>
      </c>
      <c r="P4857" s="25" t="str">
        <f t="shared" si="3"/>
        <v/>
      </c>
      <c r="Q4857" s="25"/>
      <c r="R4857" s="25"/>
      <c r="S4857" s="55"/>
      <c r="T4857" s="56"/>
      <c r="U4857" s="25"/>
      <c r="V4857" s="25"/>
      <c r="W4857" s="25"/>
      <c r="X4857" s="25"/>
      <c r="Y4857" s="25"/>
      <c r="Z4857" s="25"/>
    </row>
    <row r="4858" spans="1:26" ht="52.5" customHeight="1" x14ac:dyDescent="0.25">
      <c r="A4858" s="25"/>
      <c r="B4858" s="25"/>
      <c r="C4858" s="55"/>
      <c r="D4858" s="25"/>
      <c r="E4858" s="25"/>
      <c r="F4858" s="25"/>
      <c r="G4858" s="25"/>
      <c r="H4858" s="25"/>
      <c r="I4858" s="25"/>
      <c r="J4858" s="55"/>
      <c r="K4858" s="25"/>
      <c r="L4858" s="62"/>
      <c r="M4858" s="25"/>
      <c r="N4858" s="25"/>
      <c r="O4858" s="25">
        <f t="shared" si="0"/>
        <v>0</v>
      </c>
      <c r="P4858" s="25" t="str">
        <f t="shared" si="3"/>
        <v/>
      </c>
      <c r="Q4858" s="25"/>
      <c r="R4858" s="25"/>
      <c r="S4858" s="55"/>
      <c r="T4858" s="56"/>
      <c r="U4858" s="25"/>
      <c r="V4858" s="25"/>
      <c r="W4858" s="25"/>
      <c r="X4858" s="25"/>
      <c r="Y4858" s="25"/>
      <c r="Z4858" s="25"/>
    </row>
    <row r="4859" spans="1:26" ht="52.5" customHeight="1" x14ac:dyDescent="0.25">
      <c r="A4859" s="25"/>
      <c r="B4859" s="25"/>
      <c r="C4859" s="55"/>
      <c r="D4859" s="25"/>
      <c r="E4859" s="25"/>
      <c r="F4859" s="25"/>
      <c r="G4859" s="25"/>
      <c r="H4859" s="25"/>
      <c r="I4859" s="25"/>
      <c r="J4859" s="55"/>
      <c r="K4859" s="25"/>
      <c r="L4859" s="62"/>
      <c r="M4859" s="25"/>
      <c r="N4859" s="25"/>
      <c r="O4859" s="25">
        <f t="shared" si="0"/>
        <v>0</v>
      </c>
      <c r="P4859" s="25" t="str">
        <f t="shared" si="3"/>
        <v/>
      </c>
      <c r="Q4859" s="25"/>
      <c r="R4859" s="25"/>
      <c r="S4859" s="55"/>
      <c r="T4859" s="56"/>
      <c r="U4859" s="25"/>
      <c r="V4859" s="25"/>
      <c r="W4859" s="25"/>
      <c r="X4859" s="25"/>
      <c r="Y4859" s="25"/>
      <c r="Z4859" s="25"/>
    </row>
    <row r="4860" spans="1:26" ht="52.5" customHeight="1" x14ac:dyDescent="0.25">
      <c r="A4860" s="25"/>
      <c r="B4860" s="25"/>
      <c r="C4860" s="55"/>
      <c r="D4860" s="25"/>
      <c r="E4860" s="25"/>
      <c r="F4860" s="25"/>
      <c r="G4860" s="25"/>
      <c r="H4860" s="25"/>
      <c r="I4860" s="25"/>
      <c r="J4860" s="55"/>
      <c r="K4860" s="25"/>
      <c r="L4860" s="62"/>
      <c r="M4860" s="25"/>
      <c r="N4860" s="25"/>
      <c r="O4860" s="25">
        <f t="shared" si="0"/>
        <v>0</v>
      </c>
      <c r="P4860" s="25" t="str">
        <f t="shared" si="3"/>
        <v/>
      </c>
      <c r="Q4860" s="25"/>
      <c r="R4860" s="25"/>
      <c r="S4860" s="55"/>
      <c r="T4860" s="56"/>
      <c r="U4860" s="25"/>
      <c r="V4860" s="25"/>
      <c r="W4860" s="25"/>
      <c r="X4860" s="25"/>
      <c r="Y4860" s="25"/>
      <c r="Z4860" s="25"/>
    </row>
    <row r="4861" spans="1:26" ht="52.5" customHeight="1" x14ac:dyDescent="0.25">
      <c r="A4861" s="25"/>
      <c r="B4861" s="25"/>
      <c r="C4861" s="55"/>
      <c r="D4861" s="25"/>
      <c r="E4861" s="25"/>
      <c r="F4861" s="25"/>
      <c r="G4861" s="25"/>
      <c r="H4861" s="25"/>
      <c r="I4861" s="25"/>
      <c r="J4861" s="55"/>
      <c r="K4861" s="25"/>
      <c r="L4861" s="62"/>
      <c r="M4861" s="25"/>
      <c r="N4861" s="25"/>
      <c r="O4861" s="25">
        <f t="shared" si="0"/>
        <v>0</v>
      </c>
      <c r="P4861" s="25" t="str">
        <f t="shared" si="3"/>
        <v/>
      </c>
      <c r="Q4861" s="25"/>
      <c r="R4861" s="25"/>
      <c r="S4861" s="55"/>
      <c r="T4861" s="56"/>
      <c r="U4861" s="25"/>
      <c r="V4861" s="25"/>
      <c r="W4861" s="25"/>
      <c r="X4861" s="25"/>
      <c r="Y4861" s="25"/>
      <c r="Z4861" s="25"/>
    </row>
    <row r="4862" spans="1:26" ht="52.5" customHeight="1" x14ac:dyDescent="0.25">
      <c r="A4862" s="25"/>
      <c r="B4862" s="25"/>
      <c r="C4862" s="55"/>
      <c r="D4862" s="25"/>
      <c r="E4862" s="25"/>
      <c r="F4862" s="25"/>
      <c r="G4862" s="25"/>
      <c r="H4862" s="25"/>
      <c r="I4862" s="25"/>
      <c r="J4862" s="55"/>
      <c r="K4862" s="25"/>
      <c r="L4862" s="62"/>
      <c r="M4862" s="25"/>
      <c r="N4862" s="25"/>
      <c r="O4862" s="25">
        <f t="shared" si="0"/>
        <v>0</v>
      </c>
      <c r="P4862" s="25" t="str">
        <f t="shared" si="3"/>
        <v/>
      </c>
      <c r="Q4862" s="25"/>
      <c r="R4862" s="25"/>
      <c r="S4862" s="55"/>
      <c r="T4862" s="56"/>
      <c r="U4862" s="25"/>
      <c r="V4862" s="25"/>
      <c r="W4862" s="25"/>
      <c r="X4862" s="25"/>
      <c r="Y4862" s="25"/>
      <c r="Z4862" s="25"/>
    </row>
    <row r="4863" spans="1:26" ht="52.5" customHeight="1" x14ac:dyDescent="0.25">
      <c r="A4863" s="25"/>
      <c r="B4863" s="25"/>
      <c r="C4863" s="55"/>
      <c r="D4863" s="25"/>
      <c r="E4863" s="25"/>
      <c r="F4863" s="25"/>
      <c r="G4863" s="25"/>
      <c r="H4863" s="25"/>
      <c r="I4863" s="25"/>
      <c r="J4863" s="55"/>
      <c r="K4863" s="25"/>
      <c r="L4863" s="62"/>
      <c r="M4863" s="25"/>
      <c r="N4863" s="25"/>
      <c r="O4863" s="25">
        <f t="shared" si="0"/>
        <v>0</v>
      </c>
      <c r="P4863" s="25" t="str">
        <f t="shared" si="3"/>
        <v/>
      </c>
      <c r="Q4863" s="25"/>
      <c r="R4863" s="25"/>
      <c r="S4863" s="55"/>
      <c r="T4863" s="56"/>
      <c r="U4863" s="25"/>
      <c r="V4863" s="25"/>
      <c r="W4863" s="25"/>
      <c r="X4863" s="25"/>
      <c r="Y4863" s="25"/>
      <c r="Z4863" s="25"/>
    </row>
    <row r="4864" spans="1:26" ht="52.5" customHeight="1" x14ac:dyDescent="0.25">
      <c r="A4864" s="25"/>
      <c r="B4864" s="25"/>
      <c r="C4864" s="55"/>
      <c r="D4864" s="25"/>
      <c r="E4864" s="25"/>
      <c r="F4864" s="25"/>
      <c r="G4864" s="25"/>
      <c r="H4864" s="25"/>
      <c r="I4864" s="25"/>
      <c r="J4864" s="55"/>
      <c r="K4864" s="25"/>
      <c r="L4864" s="62"/>
      <c r="M4864" s="25"/>
      <c r="N4864" s="25"/>
      <c r="O4864" s="25">
        <f t="shared" si="0"/>
        <v>0</v>
      </c>
      <c r="P4864" s="25" t="str">
        <f t="shared" si="3"/>
        <v/>
      </c>
      <c r="Q4864" s="25"/>
      <c r="R4864" s="25"/>
      <c r="S4864" s="55"/>
      <c r="T4864" s="56"/>
      <c r="U4864" s="25"/>
      <c r="V4864" s="25"/>
      <c r="W4864" s="25"/>
      <c r="X4864" s="25"/>
      <c r="Y4864" s="25"/>
      <c r="Z4864" s="25"/>
    </row>
    <row r="4865" spans="1:26" ht="52.5" customHeight="1" x14ac:dyDescent="0.25">
      <c r="A4865" s="25"/>
      <c r="B4865" s="25"/>
      <c r="C4865" s="55"/>
      <c r="D4865" s="25"/>
      <c r="E4865" s="25"/>
      <c r="F4865" s="25"/>
      <c r="G4865" s="25"/>
      <c r="H4865" s="25"/>
      <c r="I4865" s="25"/>
      <c r="J4865" s="55"/>
      <c r="K4865" s="25"/>
      <c r="L4865" s="62"/>
      <c r="M4865" s="25"/>
      <c r="N4865" s="25"/>
      <c r="O4865" s="25">
        <f t="shared" si="0"/>
        <v>0</v>
      </c>
      <c r="P4865" s="25" t="str">
        <f t="shared" si="3"/>
        <v/>
      </c>
      <c r="Q4865" s="25"/>
      <c r="R4865" s="25"/>
      <c r="S4865" s="55"/>
      <c r="T4865" s="56"/>
      <c r="U4865" s="25"/>
      <c r="V4865" s="25"/>
      <c r="W4865" s="25"/>
      <c r="X4865" s="25"/>
      <c r="Y4865" s="25"/>
      <c r="Z4865" s="25"/>
    </row>
    <row r="4866" spans="1:26" ht="52.5" customHeight="1" x14ac:dyDescent="0.25">
      <c r="A4866" s="25"/>
      <c r="B4866" s="25"/>
      <c r="C4866" s="55"/>
      <c r="D4866" s="25"/>
      <c r="E4866" s="25"/>
      <c r="F4866" s="25"/>
      <c r="G4866" s="25"/>
      <c r="H4866" s="25"/>
      <c r="I4866" s="25"/>
      <c r="J4866" s="55"/>
      <c r="K4866" s="25"/>
      <c r="L4866" s="62"/>
      <c r="M4866" s="25"/>
      <c r="N4866" s="25"/>
      <c r="O4866" s="25">
        <f t="shared" si="0"/>
        <v>0</v>
      </c>
      <c r="P4866" s="25" t="str">
        <f t="shared" si="3"/>
        <v/>
      </c>
      <c r="Q4866" s="25"/>
      <c r="R4866" s="25"/>
      <c r="S4866" s="55"/>
      <c r="T4866" s="56"/>
      <c r="U4866" s="25"/>
      <c r="V4866" s="25"/>
      <c r="W4866" s="25"/>
      <c r="X4866" s="25"/>
      <c r="Y4866" s="25"/>
      <c r="Z4866" s="25"/>
    </row>
    <row r="4867" spans="1:26" ht="52.5" customHeight="1" x14ac:dyDescent="0.25">
      <c r="A4867" s="25"/>
      <c r="B4867" s="25"/>
      <c r="C4867" s="55"/>
      <c r="D4867" s="25"/>
      <c r="E4867" s="25"/>
      <c r="F4867" s="25"/>
      <c r="G4867" s="25"/>
      <c r="H4867" s="25"/>
      <c r="I4867" s="25"/>
      <c r="J4867" s="55"/>
      <c r="K4867" s="25"/>
      <c r="L4867" s="62"/>
      <c r="M4867" s="25"/>
      <c r="N4867" s="25"/>
      <c r="O4867" s="25">
        <f t="shared" si="0"/>
        <v>0</v>
      </c>
      <c r="P4867" s="25" t="str">
        <f t="shared" si="3"/>
        <v/>
      </c>
      <c r="Q4867" s="25"/>
      <c r="R4867" s="25"/>
      <c r="S4867" s="55"/>
      <c r="T4867" s="56"/>
      <c r="U4867" s="25"/>
      <c r="V4867" s="25"/>
      <c r="W4867" s="25"/>
      <c r="X4867" s="25"/>
      <c r="Y4867" s="25"/>
      <c r="Z4867" s="25"/>
    </row>
    <row r="4868" spans="1:26" ht="52.5" customHeight="1" x14ac:dyDescent="0.25">
      <c r="A4868" s="25"/>
      <c r="B4868" s="25"/>
      <c r="C4868" s="55"/>
      <c r="D4868" s="25"/>
      <c r="E4868" s="25"/>
      <c r="F4868" s="25"/>
      <c r="G4868" s="25"/>
      <c r="H4868" s="25"/>
      <c r="I4868" s="25"/>
      <c r="J4868" s="55"/>
      <c r="K4868" s="25"/>
      <c r="L4868" s="62"/>
      <c r="M4868" s="25"/>
      <c r="N4868" s="25"/>
      <c r="O4868" s="25">
        <f t="shared" si="0"/>
        <v>0</v>
      </c>
      <c r="P4868" s="25" t="str">
        <f t="shared" si="3"/>
        <v/>
      </c>
      <c r="Q4868" s="25"/>
      <c r="R4868" s="25"/>
      <c r="S4868" s="55"/>
      <c r="T4868" s="56"/>
      <c r="U4868" s="25"/>
      <c r="V4868" s="25"/>
      <c r="W4868" s="25"/>
      <c r="X4868" s="25"/>
      <c r="Y4868" s="25"/>
      <c r="Z4868" s="25"/>
    </row>
    <row r="4869" spans="1:26" ht="52.5" customHeight="1" x14ac:dyDescent="0.25">
      <c r="A4869" s="25"/>
      <c r="B4869" s="25"/>
      <c r="C4869" s="55"/>
      <c r="D4869" s="25"/>
      <c r="E4869" s="25"/>
      <c r="F4869" s="25"/>
      <c r="G4869" s="25"/>
      <c r="H4869" s="25"/>
      <c r="I4869" s="25"/>
      <c r="J4869" s="55"/>
      <c r="K4869" s="25"/>
      <c r="L4869" s="62"/>
      <c r="M4869" s="25"/>
      <c r="N4869" s="25"/>
      <c r="O4869" s="25">
        <f t="shared" si="0"/>
        <v>0</v>
      </c>
      <c r="P4869" s="25" t="str">
        <f t="shared" si="3"/>
        <v/>
      </c>
      <c r="Q4869" s="25"/>
      <c r="R4869" s="25"/>
      <c r="S4869" s="55"/>
      <c r="T4869" s="56"/>
      <c r="U4869" s="25"/>
      <c r="V4869" s="25"/>
      <c r="W4869" s="25"/>
      <c r="X4869" s="25"/>
      <c r="Y4869" s="25"/>
      <c r="Z4869" s="25"/>
    </row>
    <row r="4870" spans="1:26" ht="52.5" customHeight="1" x14ac:dyDescent="0.25">
      <c r="A4870" s="25"/>
      <c r="B4870" s="25"/>
      <c r="C4870" s="55"/>
      <c r="D4870" s="25"/>
      <c r="E4870" s="25"/>
      <c r="F4870" s="25"/>
      <c r="G4870" s="25"/>
      <c r="H4870" s="25"/>
      <c r="I4870" s="25"/>
      <c r="J4870" s="55"/>
      <c r="K4870" s="25"/>
      <c r="L4870" s="62"/>
      <c r="M4870" s="25"/>
      <c r="N4870" s="25"/>
      <c r="O4870" s="25">
        <f t="shared" si="0"/>
        <v>0</v>
      </c>
      <c r="P4870" s="25" t="str">
        <f t="shared" si="3"/>
        <v/>
      </c>
      <c r="Q4870" s="25"/>
      <c r="R4870" s="25"/>
      <c r="S4870" s="55"/>
      <c r="T4870" s="56"/>
      <c r="U4870" s="25"/>
      <c r="V4870" s="25"/>
      <c r="W4870" s="25"/>
      <c r="X4870" s="25"/>
      <c r="Y4870" s="25"/>
      <c r="Z4870" s="25"/>
    </row>
    <row r="4871" spans="1:26" ht="52.5" customHeight="1" x14ac:dyDescent="0.25">
      <c r="A4871" s="25"/>
      <c r="B4871" s="25"/>
      <c r="C4871" s="55"/>
      <c r="D4871" s="25"/>
      <c r="E4871" s="25"/>
      <c r="F4871" s="25"/>
      <c r="G4871" s="25"/>
      <c r="H4871" s="25"/>
      <c r="I4871" s="25"/>
      <c r="J4871" s="55"/>
      <c r="K4871" s="25"/>
      <c r="L4871" s="62"/>
      <c r="M4871" s="25"/>
      <c r="N4871" s="25"/>
      <c r="O4871" s="25">
        <f t="shared" si="0"/>
        <v>0</v>
      </c>
      <c r="P4871" s="25" t="str">
        <f t="shared" si="3"/>
        <v/>
      </c>
      <c r="Q4871" s="25"/>
      <c r="R4871" s="25"/>
      <c r="S4871" s="55"/>
      <c r="T4871" s="56"/>
      <c r="U4871" s="25"/>
      <c r="V4871" s="25"/>
      <c r="W4871" s="25"/>
      <c r="X4871" s="25"/>
      <c r="Y4871" s="25"/>
      <c r="Z4871" s="25"/>
    </row>
    <row r="4872" spans="1:26" ht="52.5" customHeight="1" x14ac:dyDescent="0.25">
      <c r="A4872" s="25"/>
      <c r="B4872" s="25"/>
      <c r="C4872" s="55"/>
      <c r="D4872" s="25"/>
      <c r="E4872" s="25"/>
      <c r="F4872" s="25"/>
      <c r="G4872" s="25"/>
      <c r="H4872" s="25"/>
      <c r="I4872" s="25"/>
      <c r="J4872" s="55"/>
      <c r="K4872" s="25"/>
      <c r="L4872" s="62"/>
      <c r="M4872" s="25"/>
      <c r="N4872" s="25"/>
      <c r="O4872" s="25">
        <f t="shared" si="0"/>
        <v>0</v>
      </c>
      <c r="P4872" s="25" t="str">
        <f t="shared" si="3"/>
        <v/>
      </c>
      <c r="Q4872" s="25"/>
      <c r="R4872" s="25"/>
      <c r="S4872" s="55"/>
      <c r="T4872" s="56"/>
      <c r="U4872" s="25"/>
      <c r="V4872" s="25"/>
      <c r="W4872" s="25"/>
      <c r="X4872" s="25"/>
      <c r="Y4872" s="25"/>
      <c r="Z4872" s="25"/>
    </row>
    <row r="4873" spans="1:26" ht="52.5" customHeight="1" x14ac:dyDescent="0.25">
      <c r="A4873" s="25"/>
      <c r="B4873" s="25"/>
      <c r="C4873" s="55"/>
      <c r="D4873" s="25"/>
      <c r="E4873" s="25"/>
      <c r="F4873" s="25"/>
      <c r="G4873" s="25"/>
      <c r="H4873" s="25"/>
      <c r="I4873" s="25"/>
      <c r="J4873" s="55"/>
      <c r="K4873" s="25"/>
      <c r="L4873" s="62"/>
      <c r="M4873" s="25"/>
      <c r="N4873" s="25"/>
      <c r="O4873" s="25">
        <f t="shared" si="0"/>
        <v>0</v>
      </c>
      <c r="P4873" s="25" t="str">
        <f t="shared" si="3"/>
        <v/>
      </c>
      <c r="Q4873" s="25"/>
      <c r="R4873" s="25"/>
      <c r="S4873" s="55"/>
      <c r="T4873" s="56"/>
      <c r="U4873" s="25"/>
      <c r="V4873" s="25"/>
      <c r="W4873" s="25"/>
      <c r="X4873" s="25"/>
      <c r="Y4873" s="25"/>
      <c r="Z4873" s="25"/>
    </row>
    <row r="4874" spans="1:26" ht="52.5" customHeight="1" x14ac:dyDescent="0.25">
      <c r="A4874" s="25"/>
      <c r="B4874" s="25"/>
      <c r="C4874" s="55"/>
      <c r="D4874" s="25"/>
      <c r="E4874" s="25"/>
      <c r="F4874" s="25"/>
      <c r="G4874" s="25"/>
      <c r="H4874" s="25"/>
      <c r="I4874" s="25"/>
      <c r="J4874" s="55"/>
      <c r="K4874" s="25"/>
      <c r="L4874" s="62"/>
      <c r="M4874" s="25"/>
      <c r="N4874" s="25"/>
      <c r="O4874" s="25">
        <f t="shared" si="0"/>
        <v>0</v>
      </c>
      <c r="P4874" s="25" t="str">
        <f t="shared" si="3"/>
        <v/>
      </c>
      <c r="Q4874" s="25"/>
      <c r="R4874" s="25"/>
      <c r="S4874" s="55"/>
      <c r="T4874" s="56"/>
      <c r="U4874" s="25"/>
      <c r="V4874" s="25"/>
      <c r="W4874" s="25"/>
      <c r="X4874" s="25"/>
      <c r="Y4874" s="25"/>
      <c r="Z4874" s="25"/>
    </row>
    <row r="4875" spans="1:26" ht="52.5" customHeight="1" x14ac:dyDescent="0.25">
      <c r="A4875" s="25"/>
      <c r="B4875" s="25"/>
      <c r="C4875" s="55"/>
      <c r="D4875" s="25"/>
      <c r="E4875" s="25"/>
      <c r="F4875" s="25"/>
      <c r="G4875" s="25"/>
      <c r="H4875" s="25"/>
      <c r="I4875" s="25"/>
      <c r="J4875" s="55"/>
      <c r="K4875" s="25"/>
      <c r="L4875" s="62"/>
      <c r="M4875" s="25"/>
      <c r="N4875" s="25"/>
      <c r="O4875" s="25">
        <f t="shared" si="0"/>
        <v>0</v>
      </c>
      <c r="P4875" s="25" t="str">
        <f t="shared" si="3"/>
        <v/>
      </c>
      <c r="Q4875" s="25"/>
      <c r="R4875" s="25"/>
      <c r="S4875" s="55"/>
      <c r="T4875" s="56"/>
      <c r="U4875" s="25"/>
      <c r="V4875" s="25"/>
      <c r="W4875" s="25"/>
      <c r="X4875" s="25"/>
      <c r="Y4875" s="25"/>
      <c r="Z4875" s="25"/>
    </row>
    <row r="4876" spans="1:26" ht="52.5" customHeight="1" x14ac:dyDescent="0.25">
      <c r="A4876" s="25"/>
      <c r="B4876" s="25"/>
      <c r="C4876" s="55"/>
      <c r="D4876" s="25"/>
      <c r="E4876" s="25"/>
      <c r="F4876" s="25"/>
      <c r="G4876" s="25"/>
      <c r="H4876" s="25"/>
      <c r="I4876" s="25"/>
      <c r="J4876" s="55"/>
      <c r="K4876" s="25"/>
      <c r="L4876" s="62"/>
      <c r="M4876" s="25"/>
      <c r="N4876" s="25"/>
      <c r="O4876" s="25">
        <f t="shared" si="0"/>
        <v>0</v>
      </c>
      <c r="P4876" s="25" t="str">
        <f t="shared" si="3"/>
        <v/>
      </c>
      <c r="Q4876" s="25"/>
      <c r="R4876" s="25"/>
      <c r="S4876" s="55"/>
      <c r="T4876" s="56"/>
      <c r="U4876" s="25"/>
      <c r="V4876" s="25"/>
      <c r="W4876" s="25"/>
      <c r="X4876" s="25"/>
      <c r="Y4876" s="25"/>
      <c r="Z4876" s="25"/>
    </row>
    <row r="4877" spans="1:26" ht="52.5" customHeight="1" x14ac:dyDescent="0.25">
      <c r="A4877" s="25"/>
      <c r="B4877" s="25"/>
      <c r="C4877" s="55"/>
      <c r="D4877" s="25"/>
      <c r="E4877" s="25"/>
      <c r="F4877" s="25"/>
      <c r="G4877" s="25"/>
      <c r="H4877" s="25"/>
      <c r="I4877" s="25"/>
      <c r="J4877" s="55"/>
      <c r="K4877" s="25"/>
      <c r="L4877" s="62"/>
      <c r="M4877" s="25"/>
      <c r="N4877" s="25"/>
      <c r="O4877" s="25">
        <f t="shared" si="0"/>
        <v>0</v>
      </c>
      <c r="P4877" s="25" t="str">
        <f t="shared" si="3"/>
        <v/>
      </c>
      <c r="Q4877" s="25"/>
      <c r="R4877" s="25"/>
      <c r="S4877" s="55"/>
      <c r="T4877" s="56"/>
      <c r="U4877" s="25"/>
      <c r="V4877" s="25"/>
      <c r="W4877" s="25"/>
      <c r="X4877" s="25"/>
      <c r="Y4877" s="25"/>
      <c r="Z4877" s="25"/>
    </row>
    <row r="4878" spans="1:26" ht="52.5" customHeight="1" x14ac:dyDescent="0.25">
      <c r="A4878" s="25"/>
      <c r="B4878" s="25"/>
      <c r="C4878" s="55"/>
      <c r="D4878" s="25"/>
      <c r="E4878" s="25"/>
      <c r="F4878" s="25"/>
      <c r="G4878" s="25"/>
      <c r="H4878" s="25"/>
      <c r="I4878" s="25"/>
      <c r="J4878" s="55"/>
      <c r="K4878" s="25"/>
      <c r="L4878" s="62"/>
      <c r="M4878" s="25"/>
      <c r="N4878" s="25"/>
      <c r="O4878" s="25">
        <f t="shared" si="0"/>
        <v>0</v>
      </c>
      <c r="P4878" s="25" t="str">
        <f t="shared" si="3"/>
        <v/>
      </c>
      <c r="Q4878" s="25"/>
      <c r="R4878" s="25"/>
      <c r="S4878" s="55"/>
      <c r="T4878" s="56"/>
      <c r="U4878" s="25"/>
      <c r="V4878" s="25"/>
      <c r="W4878" s="25"/>
      <c r="X4878" s="25"/>
      <c r="Y4878" s="25"/>
      <c r="Z4878" s="25"/>
    </row>
    <row r="4879" spans="1:26" ht="52.5" customHeight="1" x14ac:dyDescent="0.25">
      <c r="A4879" s="25"/>
      <c r="B4879" s="25"/>
      <c r="C4879" s="55"/>
      <c r="D4879" s="25"/>
      <c r="E4879" s="25"/>
      <c r="F4879" s="25"/>
      <c r="G4879" s="25"/>
      <c r="H4879" s="25"/>
      <c r="I4879" s="25"/>
      <c r="J4879" s="55"/>
      <c r="K4879" s="25"/>
      <c r="L4879" s="62"/>
      <c r="M4879" s="25"/>
      <c r="N4879" s="25"/>
      <c r="O4879" s="25">
        <f t="shared" si="0"/>
        <v>0</v>
      </c>
      <c r="P4879" s="25" t="str">
        <f t="shared" si="3"/>
        <v/>
      </c>
      <c r="Q4879" s="25"/>
      <c r="R4879" s="25"/>
      <c r="S4879" s="55"/>
      <c r="T4879" s="56"/>
      <c r="U4879" s="25"/>
      <c r="V4879" s="25"/>
      <c r="W4879" s="25"/>
      <c r="X4879" s="25"/>
      <c r="Y4879" s="25"/>
      <c r="Z4879" s="25"/>
    </row>
    <row r="4880" spans="1:26" ht="52.5" customHeight="1" x14ac:dyDescent="0.25">
      <c r="A4880" s="25"/>
      <c r="B4880" s="25"/>
      <c r="C4880" s="55"/>
      <c r="D4880" s="25"/>
      <c r="E4880" s="25"/>
      <c r="F4880" s="25"/>
      <c r="G4880" s="25"/>
      <c r="H4880" s="25"/>
      <c r="I4880" s="25"/>
      <c r="J4880" s="55"/>
      <c r="K4880" s="25"/>
      <c r="L4880" s="62"/>
      <c r="M4880" s="25"/>
      <c r="N4880" s="25"/>
      <c r="O4880" s="25">
        <f t="shared" si="0"/>
        <v>0</v>
      </c>
      <c r="P4880" s="25" t="str">
        <f t="shared" si="3"/>
        <v/>
      </c>
      <c r="Q4880" s="25"/>
      <c r="R4880" s="25"/>
      <c r="S4880" s="55"/>
      <c r="T4880" s="56"/>
      <c r="U4880" s="25"/>
      <c r="V4880" s="25"/>
      <c r="W4880" s="25"/>
      <c r="X4880" s="25"/>
      <c r="Y4880" s="25"/>
      <c r="Z4880" s="25"/>
    </row>
    <row r="4881" spans="1:26" ht="52.5" customHeight="1" x14ac:dyDescent="0.25">
      <c r="A4881" s="25"/>
      <c r="B4881" s="25"/>
      <c r="C4881" s="55"/>
      <c r="D4881" s="25"/>
      <c r="E4881" s="25"/>
      <c r="F4881" s="25"/>
      <c r="G4881" s="25"/>
      <c r="H4881" s="25"/>
      <c r="I4881" s="25"/>
      <c r="J4881" s="55"/>
      <c r="K4881" s="25"/>
      <c r="L4881" s="62"/>
      <c r="M4881" s="25"/>
      <c r="N4881" s="25"/>
      <c r="O4881" s="25">
        <f t="shared" si="0"/>
        <v>0</v>
      </c>
      <c r="P4881" s="25" t="str">
        <f t="shared" si="3"/>
        <v/>
      </c>
      <c r="Q4881" s="25"/>
      <c r="R4881" s="25"/>
      <c r="S4881" s="55"/>
      <c r="T4881" s="56"/>
      <c r="U4881" s="25"/>
      <c r="V4881" s="25"/>
      <c r="W4881" s="25"/>
      <c r="X4881" s="25"/>
      <c r="Y4881" s="25"/>
      <c r="Z4881" s="25"/>
    </row>
    <row r="4882" spans="1:26" ht="52.5" customHeight="1" x14ac:dyDescent="0.25">
      <c r="A4882" s="25"/>
      <c r="B4882" s="25"/>
      <c r="C4882" s="55"/>
      <c r="D4882" s="25"/>
      <c r="E4882" s="25"/>
      <c r="F4882" s="25"/>
      <c r="G4882" s="25"/>
      <c r="H4882" s="25"/>
      <c r="I4882" s="25"/>
      <c r="J4882" s="55"/>
      <c r="K4882" s="25"/>
      <c r="L4882" s="62"/>
      <c r="M4882" s="25"/>
      <c r="N4882" s="25"/>
      <c r="O4882" s="25">
        <f t="shared" si="0"/>
        <v>0</v>
      </c>
      <c r="P4882" s="25" t="str">
        <f t="shared" si="3"/>
        <v/>
      </c>
      <c r="Q4882" s="25"/>
      <c r="R4882" s="25"/>
      <c r="S4882" s="55"/>
      <c r="T4882" s="56"/>
      <c r="U4882" s="25"/>
      <c r="V4882" s="25"/>
      <c r="W4882" s="25"/>
      <c r="X4882" s="25"/>
      <c r="Y4882" s="25"/>
      <c r="Z4882" s="25"/>
    </row>
    <row r="4883" spans="1:26" ht="52.5" customHeight="1" x14ac:dyDescent="0.25">
      <c r="A4883" s="25"/>
      <c r="B4883" s="25"/>
      <c r="C4883" s="55"/>
      <c r="D4883" s="25"/>
      <c r="E4883" s="25"/>
      <c r="F4883" s="25"/>
      <c r="G4883" s="25"/>
      <c r="H4883" s="25"/>
      <c r="I4883" s="25"/>
      <c r="J4883" s="55"/>
      <c r="K4883" s="25"/>
      <c r="L4883" s="62"/>
      <c r="M4883" s="25"/>
      <c r="N4883" s="25"/>
      <c r="O4883" s="25">
        <f t="shared" si="0"/>
        <v>0</v>
      </c>
      <c r="P4883" s="25" t="str">
        <f t="shared" si="3"/>
        <v/>
      </c>
      <c r="Q4883" s="25"/>
      <c r="R4883" s="25"/>
      <c r="S4883" s="55"/>
      <c r="T4883" s="56"/>
      <c r="U4883" s="25"/>
      <c r="V4883" s="25"/>
      <c r="W4883" s="25"/>
      <c r="X4883" s="25"/>
      <c r="Y4883" s="25"/>
      <c r="Z4883" s="25"/>
    </row>
    <row r="4884" spans="1:26" ht="52.5" customHeight="1" x14ac:dyDescent="0.25">
      <c r="A4884" s="25"/>
      <c r="B4884" s="25"/>
      <c r="C4884" s="55"/>
      <c r="D4884" s="25"/>
      <c r="E4884" s="25"/>
      <c r="F4884" s="25"/>
      <c r="G4884" s="25"/>
      <c r="H4884" s="25"/>
      <c r="I4884" s="25"/>
      <c r="J4884" s="55"/>
      <c r="K4884" s="25"/>
      <c r="L4884" s="62"/>
      <c r="M4884" s="25"/>
      <c r="N4884" s="25"/>
      <c r="O4884" s="25">
        <f t="shared" si="0"/>
        <v>0</v>
      </c>
      <c r="P4884" s="25" t="str">
        <f t="shared" si="3"/>
        <v/>
      </c>
      <c r="Q4884" s="25"/>
      <c r="R4884" s="25"/>
      <c r="S4884" s="55"/>
      <c r="T4884" s="56"/>
      <c r="U4884" s="25"/>
      <c r="V4884" s="25"/>
      <c r="W4884" s="25"/>
      <c r="X4884" s="25"/>
      <c r="Y4884" s="25"/>
      <c r="Z4884" s="25"/>
    </row>
    <row r="4885" spans="1:26" ht="52.5" customHeight="1" x14ac:dyDescent="0.25">
      <c r="A4885" s="25"/>
      <c r="B4885" s="25"/>
      <c r="C4885" s="55"/>
      <c r="D4885" s="25"/>
      <c r="E4885" s="25"/>
      <c r="F4885" s="25"/>
      <c r="G4885" s="25"/>
      <c r="H4885" s="25"/>
      <c r="I4885" s="25"/>
      <c r="J4885" s="55"/>
      <c r="K4885" s="25"/>
      <c r="L4885" s="62"/>
      <c r="M4885" s="25"/>
      <c r="N4885" s="25"/>
      <c r="O4885" s="25">
        <f t="shared" si="0"/>
        <v>0</v>
      </c>
      <c r="P4885" s="25" t="str">
        <f t="shared" si="3"/>
        <v/>
      </c>
      <c r="Q4885" s="25"/>
      <c r="R4885" s="25"/>
      <c r="S4885" s="55"/>
      <c r="T4885" s="56"/>
      <c r="U4885" s="25"/>
      <c r="V4885" s="25"/>
      <c r="W4885" s="25"/>
      <c r="X4885" s="25"/>
      <c r="Y4885" s="25"/>
      <c r="Z4885" s="25"/>
    </row>
    <row r="4886" spans="1:26" ht="52.5" customHeight="1" x14ac:dyDescent="0.25">
      <c r="A4886" s="25"/>
      <c r="B4886" s="25"/>
      <c r="C4886" s="55"/>
      <c r="D4886" s="25"/>
      <c r="E4886" s="25"/>
      <c r="F4886" s="25"/>
      <c r="G4886" s="25"/>
      <c r="H4886" s="25"/>
      <c r="I4886" s="25"/>
      <c r="J4886" s="55"/>
      <c r="K4886" s="25"/>
      <c r="L4886" s="62"/>
      <c r="M4886" s="25"/>
      <c r="N4886" s="25"/>
      <c r="O4886" s="25">
        <f t="shared" si="0"/>
        <v>0</v>
      </c>
      <c r="P4886" s="25" t="str">
        <f t="shared" si="3"/>
        <v/>
      </c>
      <c r="Q4886" s="25"/>
      <c r="R4886" s="25"/>
      <c r="S4886" s="55"/>
      <c r="T4886" s="56"/>
      <c r="U4886" s="25"/>
      <c r="V4886" s="25"/>
      <c r="W4886" s="25"/>
      <c r="X4886" s="25"/>
      <c r="Y4886" s="25"/>
      <c r="Z4886" s="25"/>
    </row>
    <row r="4887" spans="1:26" ht="52.5" customHeight="1" x14ac:dyDescent="0.25">
      <c r="A4887" s="25"/>
      <c r="B4887" s="25"/>
      <c r="C4887" s="55"/>
      <c r="D4887" s="25"/>
      <c r="E4887" s="25"/>
      <c r="F4887" s="25"/>
      <c r="G4887" s="25"/>
      <c r="H4887" s="25"/>
      <c r="I4887" s="25"/>
      <c r="J4887" s="55"/>
      <c r="K4887" s="25"/>
      <c r="L4887" s="62"/>
      <c r="M4887" s="25"/>
      <c r="N4887" s="25"/>
      <c r="O4887" s="25">
        <f t="shared" si="0"/>
        <v>0</v>
      </c>
      <c r="P4887" s="25" t="str">
        <f t="shared" si="3"/>
        <v/>
      </c>
      <c r="Q4887" s="25"/>
      <c r="R4887" s="25"/>
      <c r="S4887" s="55"/>
      <c r="T4887" s="56"/>
      <c r="U4887" s="25"/>
      <c r="V4887" s="25"/>
      <c r="W4887" s="25"/>
      <c r="X4887" s="25"/>
      <c r="Y4887" s="25"/>
      <c r="Z4887" s="25"/>
    </row>
    <row r="4888" spans="1:26" ht="52.5" customHeight="1" x14ac:dyDescent="0.25">
      <c r="A4888" s="25"/>
      <c r="B4888" s="25"/>
      <c r="C4888" s="55"/>
      <c r="D4888" s="25"/>
      <c r="E4888" s="25"/>
      <c r="F4888" s="25"/>
      <c r="G4888" s="25"/>
      <c r="H4888" s="25"/>
      <c r="I4888" s="25"/>
      <c r="J4888" s="55"/>
      <c r="K4888" s="25"/>
      <c r="L4888" s="62"/>
      <c r="M4888" s="25"/>
      <c r="N4888" s="25"/>
      <c r="O4888" s="25">
        <f t="shared" si="0"/>
        <v>0</v>
      </c>
      <c r="P4888" s="25" t="str">
        <f t="shared" si="3"/>
        <v/>
      </c>
      <c r="Q4888" s="25"/>
      <c r="R4888" s="25"/>
      <c r="S4888" s="55"/>
      <c r="T4888" s="56"/>
      <c r="U4888" s="25"/>
      <c r="V4888" s="25"/>
      <c r="W4888" s="25"/>
      <c r="X4888" s="25"/>
      <c r="Y4888" s="25"/>
      <c r="Z4888" s="25"/>
    </row>
    <row r="4889" spans="1:26" ht="52.5" customHeight="1" x14ac:dyDescent="0.25">
      <c r="A4889" s="25"/>
      <c r="B4889" s="25"/>
      <c r="C4889" s="55"/>
      <c r="D4889" s="25"/>
      <c r="E4889" s="25"/>
      <c r="F4889" s="25"/>
      <c r="G4889" s="25"/>
      <c r="H4889" s="25"/>
      <c r="I4889" s="25"/>
      <c r="J4889" s="55"/>
      <c r="K4889" s="25"/>
      <c r="L4889" s="62"/>
      <c r="M4889" s="25"/>
      <c r="N4889" s="25"/>
      <c r="O4889" s="25">
        <f t="shared" si="0"/>
        <v>0</v>
      </c>
      <c r="P4889" s="25" t="str">
        <f t="shared" si="3"/>
        <v/>
      </c>
      <c r="Q4889" s="25"/>
      <c r="R4889" s="25"/>
      <c r="S4889" s="55"/>
      <c r="T4889" s="56"/>
      <c r="U4889" s="25"/>
      <c r="V4889" s="25"/>
      <c r="W4889" s="25"/>
      <c r="X4889" s="25"/>
      <c r="Y4889" s="25"/>
      <c r="Z4889" s="25"/>
    </row>
    <row r="4890" spans="1:26" ht="52.5" customHeight="1" x14ac:dyDescent="0.25">
      <c r="A4890" s="25"/>
      <c r="B4890" s="25"/>
      <c r="C4890" s="55"/>
      <c r="D4890" s="25"/>
      <c r="E4890" s="25"/>
      <c r="F4890" s="25"/>
      <c r="G4890" s="25"/>
      <c r="H4890" s="25"/>
      <c r="I4890" s="25"/>
      <c r="J4890" s="55"/>
      <c r="K4890" s="25"/>
      <c r="L4890" s="62"/>
      <c r="M4890" s="25"/>
      <c r="N4890" s="25"/>
      <c r="O4890" s="25">
        <f t="shared" si="0"/>
        <v>0</v>
      </c>
      <c r="P4890" s="25" t="str">
        <f t="shared" si="3"/>
        <v/>
      </c>
      <c r="Q4890" s="25"/>
      <c r="R4890" s="25"/>
      <c r="S4890" s="55"/>
      <c r="T4890" s="56"/>
      <c r="U4890" s="25"/>
      <c r="V4890" s="25"/>
      <c r="W4890" s="25"/>
      <c r="X4890" s="25"/>
      <c r="Y4890" s="25"/>
      <c r="Z4890" s="25"/>
    </row>
    <row r="4891" spans="1:26" ht="52.5" customHeight="1" x14ac:dyDescent="0.25">
      <c r="A4891" s="25"/>
      <c r="B4891" s="25"/>
      <c r="C4891" s="55"/>
      <c r="D4891" s="25"/>
      <c r="E4891" s="25"/>
      <c r="F4891" s="25"/>
      <c r="G4891" s="25"/>
      <c r="H4891" s="25"/>
      <c r="I4891" s="25"/>
      <c r="J4891" s="55"/>
      <c r="K4891" s="25"/>
      <c r="L4891" s="62"/>
      <c r="M4891" s="25"/>
      <c r="N4891" s="25"/>
      <c r="O4891" s="25">
        <f t="shared" si="0"/>
        <v>0</v>
      </c>
      <c r="P4891" s="25" t="str">
        <f t="shared" si="3"/>
        <v/>
      </c>
      <c r="Q4891" s="25"/>
      <c r="R4891" s="25"/>
      <c r="S4891" s="55"/>
      <c r="T4891" s="56"/>
      <c r="U4891" s="25"/>
      <c r="V4891" s="25"/>
      <c r="W4891" s="25"/>
      <c r="X4891" s="25"/>
      <c r="Y4891" s="25"/>
      <c r="Z4891" s="25"/>
    </row>
    <row r="4892" spans="1:26" ht="52.5" customHeight="1" x14ac:dyDescent="0.25">
      <c r="A4892" s="25"/>
      <c r="B4892" s="25"/>
      <c r="C4892" s="55"/>
      <c r="D4892" s="25"/>
      <c r="E4892" s="25"/>
      <c r="F4892" s="25"/>
      <c r="G4892" s="25"/>
      <c r="H4892" s="25"/>
      <c r="I4892" s="25"/>
      <c r="J4892" s="55"/>
      <c r="K4892" s="25"/>
      <c r="L4892" s="62"/>
      <c r="M4892" s="25"/>
      <c r="N4892" s="25"/>
      <c r="O4892" s="25">
        <f t="shared" si="0"/>
        <v>0</v>
      </c>
      <c r="P4892" s="25" t="str">
        <f t="shared" si="3"/>
        <v/>
      </c>
      <c r="Q4892" s="25"/>
      <c r="R4892" s="25"/>
      <c r="S4892" s="55"/>
      <c r="T4892" s="56"/>
      <c r="U4892" s="25"/>
      <c r="V4892" s="25"/>
      <c r="W4892" s="25"/>
      <c r="X4892" s="25"/>
      <c r="Y4892" s="25"/>
      <c r="Z4892" s="25"/>
    </row>
    <row r="4893" spans="1:26" ht="52.5" customHeight="1" x14ac:dyDescent="0.25">
      <c r="A4893" s="25"/>
      <c r="B4893" s="25"/>
      <c r="C4893" s="55"/>
      <c r="D4893" s="25"/>
      <c r="E4893" s="25"/>
      <c r="F4893" s="25"/>
      <c r="G4893" s="25"/>
      <c r="H4893" s="25"/>
      <c r="I4893" s="25"/>
      <c r="J4893" s="55"/>
      <c r="K4893" s="25"/>
      <c r="L4893" s="62"/>
      <c r="M4893" s="25"/>
      <c r="N4893" s="25"/>
      <c r="O4893" s="25">
        <f t="shared" si="0"/>
        <v>0</v>
      </c>
      <c r="P4893" s="25" t="str">
        <f t="shared" si="3"/>
        <v/>
      </c>
      <c r="Q4893" s="25"/>
      <c r="R4893" s="25"/>
      <c r="S4893" s="55"/>
      <c r="T4893" s="56"/>
      <c r="U4893" s="25"/>
      <c r="V4893" s="25"/>
      <c r="W4893" s="25"/>
      <c r="X4893" s="25"/>
      <c r="Y4893" s="25"/>
      <c r="Z4893" s="25"/>
    </row>
    <row r="4894" spans="1:26" ht="52.5" customHeight="1" x14ac:dyDescent="0.25">
      <c r="A4894" s="25"/>
      <c r="B4894" s="25"/>
      <c r="C4894" s="55"/>
      <c r="D4894" s="25"/>
      <c r="E4894" s="25"/>
      <c r="F4894" s="25"/>
      <c r="G4894" s="25"/>
      <c r="H4894" s="25"/>
      <c r="I4894" s="25"/>
      <c r="J4894" s="55"/>
      <c r="K4894" s="25"/>
      <c r="L4894" s="62"/>
      <c r="M4894" s="25"/>
      <c r="N4894" s="25"/>
      <c r="O4894" s="25">
        <f t="shared" si="0"/>
        <v>0</v>
      </c>
      <c r="P4894" s="25" t="str">
        <f t="shared" si="3"/>
        <v/>
      </c>
      <c r="Q4894" s="25"/>
      <c r="R4894" s="25"/>
      <c r="S4894" s="55"/>
      <c r="T4894" s="56"/>
      <c r="U4894" s="25"/>
      <c r="V4894" s="25"/>
      <c r="W4894" s="25"/>
      <c r="X4894" s="25"/>
      <c r="Y4894" s="25"/>
      <c r="Z4894" s="25"/>
    </row>
    <row r="4895" spans="1:26" ht="52.5" customHeight="1" x14ac:dyDescent="0.25">
      <c r="A4895" s="25"/>
      <c r="B4895" s="25"/>
      <c r="C4895" s="55"/>
      <c r="D4895" s="25"/>
      <c r="E4895" s="25"/>
      <c r="F4895" s="25"/>
      <c r="G4895" s="25"/>
      <c r="H4895" s="25"/>
      <c r="I4895" s="25"/>
      <c r="J4895" s="55"/>
      <c r="K4895" s="25"/>
      <c r="L4895" s="62"/>
      <c r="M4895" s="25"/>
      <c r="N4895" s="25"/>
      <c r="O4895" s="25">
        <f t="shared" si="0"/>
        <v>0</v>
      </c>
      <c r="P4895" s="25" t="str">
        <f t="shared" si="3"/>
        <v/>
      </c>
      <c r="Q4895" s="25"/>
      <c r="R4895" s="25"/>
      <c r="S4895" s="55"/>
      <c r="T4895" s="56"/>
      <c r="U4895" s="25"/>
      <c r="V4895" s="25"/>
      <c r="W4895" s="25"/>
      <c r="X4895" s="25"/>
      <c r="Y4895" s="25"/>
      <c r="Z4895" s="25"/>
    </row>
    <row r="4896" spans="1:26" ht="52.5" customHeight="1" x14ac:dyDescent="0.25">
      <c r="A4896" s="25"/>
      <c r="B4896" s="25"/>
      <c r="C4896" s="55"/>
      <c r="D4896" s="25"/>
      <c r="E4896" s="25"/>
      <c r="F4896" s="25"/>
      <c r="G4896" s="25"/>
      <c r="H4896" s="25"/>
      <c r="I4896" s="25"/>
      <c r="J4896" s="55"/>
      <c r="K4896" s="25"/>
      <c r="L4896" s="62"/>
      <c r="M4896" s="25"/>
      <c r="N4896" s="25"/>
      <c r="O4896" s="25">
        <f t="shared" si="0"/>
        <v>0</v>
      </c>
      <c r="P4896" s="25" t="str">
        <f t="shared" si="3"/>
        <v/>
      </c>
      <c r="Q4896" s="25"/>
      <c r="R4896" s="25"/>
      <c r="S4896" s="55"/>
      <c r="T4896" s="56"/>
      <c r="U4896" s="25"/>
      <c r="V4896" s="25"/>
      <c r="W4896" s="25"/>
      <c r="X4896" s="25"/>
      <c r="Y4896" s="25"/>
      <c r="Z4896" s="25"/>
    </row>
    <row r="4897" spans="1:26" ht="52.5" customHeight="1" x14ac:dyDescent="0.25">
      <c r="A4897" s="25"/>
      <c r="B4897" s="25"/>
      <c r="C4897" s="55"/>
      <c r="D4897" s="25"/>
      <c r="E4897" s="25"/>
      <c r="F4897" s="25"/>
      <c r="G4897" s="25"/>
      <c r="H4897" s="25"/>
      <c r="I4897" s="25"/>
      <c r="J4897" s="55"/>
      <c r="K4897" s="25"/>
      <c r="L4897" s="62"/>
      <c r="M4897" s="25"/>
      <c r="N4897" s="25"/>
      <c r="O4897" s="25">
        <f t="shared" si="0"/>
        <v>0</v>
      </c>
      <c r="P4897" s="25" t="str">
        <f t="shared" si="3"/>
        <v/>
      </c>
      <c r="Q4897" s="25"/>
      <c r="R4897" s="25"/>
      <c r="S4897" s="55"/>
      <c r="T4897" s="56"/>
      <c r="U4897" s="25"/>
      <c r="V4897" s="25"/>
      <c r="W4897" s="25"/>
      <c r="X4897" s="25"/>
      <c r="Y4897" s="25"/>
      <c r="Z4897" s="25"/>
    </row>
    <row r="4898" spans="1:26" ht="52.5" customHeight="1" x14ac:dyDescent="0.25">
      <c r="A4898" s="25"/>
      <c r="B4898" s="25"/>
      <c r="C4898" s="55"/>
      <c r="D4898" s="25"/>
      <c r="E4898" s="25"/>
      <c r="F4898" s="25"/>
      <c r="G4898" s="25"/>
      <c r="H4898" s="25"/>
      <c r="I4898" s="25"/>
      <c r="J4898" s="55"/>
      <c r="K4898" s="25"/>
      <c r="L4898" s="62"/>
      <c r="M4898" s="25"/>
      <c r="N4898" s="25"/>
      <c r="O4898" s="25">
        <f t="shared" si="0"/>
        <v>0</v>
      </c>
      <c r="P4898" s="25" t="str">
        <f t="shared" si="3"/>
        <v/>
      </c>
      <c r="Q4898" s="25"/>
      <c r="R4898" s="25"/>
      <c r="S4898" s="55"/>
      <c r="T4898" s="56"/>
      <c r="U4898" s="25"/>
      <c r="V4898" s="25"/>
      <c r="W4898" s="25"/>
      <c r="X4898" s="25"/>
      <c r="Y4898" s="25"/>
      <c r="Z4898" s="25"/>
    </row>
    <row r="4899" spans="1:26" ht="52.5" customHeight="1" x14ac:dyDescent="0.25">
      <c r="A4899" s="25"/>
      <c r="B4899" s="25"/>
      <c r="C4899" s="55"/>
      <c r="D4899" s="25"/>
      <c r="E4899" s="25"/>
      <c r="F4899" s="25"/>
      <c r="G4899" s="25"/>
      <c r="H4899" s="25"/>
      <c r="I4899" s="25"/>
      <c r="J4899" s="55"/>
      <c r="K4899" s="25"/>
      <c r="L4899" s="62"/>
      <c r="M4899" s="25"/>
      <c r="N4899" s="25"/>
      <c r="O4899" s="25">
        <f t="shared" si="0"/>
        <v>0</v>
      </c>
      <c r="P4899" s="25" t="str">
        <f t="shared" si="3"/>
        <v/>
      </c>
      <c r="Q4899" s="25"/>
      <c r="R4899" s="25"/>
      <c r="S4899" s="55"/>
      <c r="T4899" s="56"/>
      <c r="U4899" s="25"/>
      <c r="V4899" s="25"/>
      <c r="W4899" s="25"/>
      <c r="X4899" s="25"/>
      <c r="Y4899" s="25"/>
      <c r="Z4899" s="25"/>
    </row>
    <row r="4900" spans="1:26" ht="52.5" customHeight="1" x14ac:dyDescent="0.25">
      <c r="A4900" s="25"/>
      <c r="B4900" s="25"/>
      <c r="C4900" s="55"/>
      <c r="D4900" s="25"/>
      <c r="E4900" s="25"/>
      <c r="F4900" s="25"/>
      <c r="G4900" s="25"/>
      <c r="H4900" s="25"/>
      <c r="I4900" s="25"/>
      <c r="J4900" s="55"/>
      <c r="K4900" s="25"/>
      <c r="L4900" s="62"/>
      <c r="M4900" s="25"/>
      <c r="N4900" s="25"/>
      <c r="O4900" s="25">
        <f t="shared" si="0"/>
        <v>0</v>
      </c>
      <c r="P4900" s="25" t="str">
        <f t="shared" si="3"/>
        <v/>
      </c>
      <c r="Q4900" s="25"/>
      <c r="R4900" s="25"/>
      <c r="S4900" s="55"/>
      <c r="T4900" s="56"/>
      <c r="U4900" s="25"/>
      <c r="V4900" s="25"/>
      <c r="W4900" s="25"/>
      <c r="X4900" s="25"/>
      <c r="Y4900" s="25"/>
      <c r="Z4900" s="25"/>
    </row>
    <row r="4901" spans="1:26" ht="52.5" customHeight="1" x14ac:dyDescent="0.25">
      <c r="A4901" s="25"/>
      <c r="B4901" s="25"/>
      <c r="C4901" s="55"/>
      <c r="D4901" s="25"/>
      <c r="E4901" s="25"/>
      <c r="F4901" s="25"/>
      <c r="G4901" s="25"/>
      <c r="H4901" s="25"/>
      <c r="I4901" s="25"/>
      <c r="J4901" s="55"/>
      <c r="K4901" s="25"/>
      <c r="L4901" s="62"/>
      <c r="M4901" s="25"/>
      <c r="N4901" s="25"/>
      <c r="O4901" s="25">
        <f t="shared" si="0"/>
        <v>0</v>
      </c>
      <c r="P4901" s="25" t="str">
        <f t="shared" si="3"/>
        <v/>
      </c>
      <c r="Q4901" s="25"/>
      <c r="R4901" s="25"/>
      <c r="S4901" s="55"/>
      <c r="T4901" s="56"/>
      <c r="U4901" s="25"/>
      <c r="V4901" s="25"/>
      <c r="W4901" s="25"/>
      <c r="X4901" s="25"/>
      <c r="Y4901" s="25"/>
      <c r="Z4901" s="25"/>
    </row>
    <row r="4902" spans="1:26" ht="52.5" customHeight="1" x14ac:dyDescent="0.25">
      <c r="A4902" s="25"/>
      <c r="B4902" s="25"/>
      <c r="C4902" s="55"/>
      <c r="D4902" s="25"/>
      <c r="E4902" s="25"/>
      <c r="F4902" s="25"/>
      <c r="G4902" s="25"/>
      <c r="H4902" s="25"/>
      <c r="I4902" s="25"/>
      <c r="J4902" s="55"/>
      <c r="K4902" s="25"/>
      <c r="L4902" s="62"/>
      <c r="M4902" s="25"/>
      <c r="N4902" s="25"/>
      <c r="O4902" s="25">
        <f t="shared" si="0"/>
        <v>0</v>
      </c>
      <c r="P4902" s="25" t="str">
        <f t="shared" si="3"/>
        <v/>
      </c>
      <c r="Q4902" s="25"/>
      <c r="R4902" s="25"/>
      <c r="S4902" s="55"/>
      <c r="T4902" s="56"/>
      <c r="U4902" s="25"/>
      <c r="V4902" s="25"/>
      <c r="W4902" s="25"/>
      <c r="X4902" s="25"/>
      <c r="Y4902" s="25"/>
      <c r="Z4902" s="25"/>
    </row>
    <row r="4903" spans="1:26" ht="52.5" customHeight="1" x14ac:dyDescent="0.25">
      <c r="A4903" s="25"/>
      <c r="B4903" s="25"/>
      <c r="C4903" s="55"/>
      <c r="D4903" s="25"/>
      <c r="E4903" s="25"/>
      <c r="F4903" s="25"/>
      <c r="G4903" s="25"/>
      <c r="H4903" s="25"/>
      <c r="I4903" s="25"/>
      <c r="J4903" s="55"/>
      <c r="K4903" s="25"/>
      <c r="L4903" s="62"/>
      <c r="M4903" s="25"/>
      <c r="N4903" s="25"/>
      <c r="O4903" s="25">
        <f t="shared" si="0"/>
        <v>0</v>
      </c>
      <c r="P4903" s="25" t="str">
        <f t="shared" si="3"/>
        <v/>
      </c>
      <c r="Q4903" s="25"/>
      <c r="R4903" s="25"/>
      <c r="S4903" s="55"/>
      <c r="T4903" s="56"/>
      <c r="U4903" s="25"/>
      <c r="V4903" s="25"/>
      <c r="W4903" s="25"/>
      <c r="X4903" s="25"/>
      <c r="Y4903" s="25"/>
      <c r="Z4903" s="25"/>
    </row>
    <row r="4904" spans="1:26" ht="52.5" customHeight="1" x14ac:dyDescent="0.25">
      <c r="A4904" s="25"/>
      <c r="B4904" s="25"/>
      <c r="C4904" s="55"/>
      <c r="D4904" s="25"/>
      <c r="E4904" s="25"/>
      <c r="F4904" s="25"/>
      <c r="G4904" s="25"/>
      <c r="H4904" s="25"/>
      <c r="I4904" s="25"/>
      <c r="J4904" s="55"/>
      <c r="K4904" s="25"/>
      <c r="L4904" s="62"/>
      <c r="M4904" s="25"/>
      <c r="N4904" s="25"/>
      <c r="O4904" s="25">
        <f t="shared" si="0"/>
        <v>0</v>
      </c>
      <c r="P4904" s="25" t="str">
        <f t="shared" si="3"/>
        <v/>
      </c>
      <c r="Q4904" s="25"/>
      <c r="R4904" s="25"/>
      <c r="S4904" s="55"/>
      <c r="T4904" s="56"/>
      <c r="U4904" s="25"/>
      <c r="V4904" s="25"/>
      <c r="W4904" s="25"/>
      <c r="X4904" s="25"/>
      <c r="Y4904" s="25"/>
      <c r="Z4904" s="25"/>
    </row>
    <row r="4905" spans="1:26" ht="52.5" customHeight="1" x14ac:dyDescent="0.25">
      <c r="A4905" s="25"/>
      <c r="B4905" s="25"/>
      <c r="C4905" s="55"/>
      <c r="D4905" s="25"/>
      <c r="E4905" s="25"/>
      <c r="F4905" s="25"/>
      <c r="G4905" s="25"/>
      <c r="H4905" s="25"/>
      <c r="I4905" s="25"/>
      <c r="J4905" s="55"/>
      <c r="K4905" s="25"/>
      <c r="L4905" s="62"/>
      <c r="M4905" s="25"/>
      <c r="N4905" s="25"/>
      <c r="O4905" s="25">
        <f t="shared" si="0"/>
        <v>0</v>
      </c>
      <c r="P4905" s="25" t="str">
        <f t="shared" si="3"/>
        <v/>
      </c>
      <c r="Q4905" s="25"/>
      <c r="R4905" s="25"/>
      <c r="S4905" s="55"/>
      <c r="T4905" s="56"/>
      <c r="U4905" s="25"/>
      <c r="V4905" s="25"/>
      <c r="W4905" s="25"/>
      <c r="X4905" s="25"/>
      <c r="Y4905" s="25"/>
      <c r="Z4905" s="25"/>
    </row>
    <row r="4906" spans="1:26" ht="52.5" customHeight="1" x14ac:dyDescent="0.25">
      <c r="A4906" s="25"/>
      <c r="B4906" s="25"/>
      <c r="C4906" s="55"/>
      <c r="D4906" s="25"/>
      <c r="E4906" s="25"/>
      <c r="F4906" s="25"/>
      <c r="G4906" s="25"/>
      <c r="H4906" s="25"/>
      <c r="I4906" s="25"/>
      <c r="J4906" s="55"/>
      <c r="K4906" s="25"/>
      <c r="L4906" s="62"/>
      <c r="M4906" s="25"/>
      <c r="N4906" s="25"/>
      <c r="O4906" s="25">
        <f t="shared" si="0"/>
        <v>0</v>
      </c>
      <c r="P4906" s="25" t="str">
        <f t="shared" si="3"/>
        <v/>
      </c>
      <c r="Q4906" s="25"/>
      <c r="R4906" s="25"/>
      <c r="S4906" s="55"/>
      <c r="T4906" s="56"/>
      <c r="U4906" s="25"/>
      <c r="V4906" s="25"/>
      <c r="W4906" s="25"/>
      <c r="X4906" s="25"/>
      <c r="Y4906" s="25"/>
      <c r="Z4906" s="25"/>
    </row>
    <row r="4907" spans="1:26" ht="52.5" customHeight="1" x14ac:dyDescent="0.25">
      <c r="A4907" s="25"/>
      <c r="B4907" s="25"/>
      <c r="C4907" s="55"/>
      <c r="D4907" s="25"/>
      <c r="E4907" s="25"/>
      <c r="F4907" s="25"/>
      <c r="G4907" s="25"/>
      <c r="H4907" s="25"/>
      <c r="I4907" s="25"/>
      <c r="J4907" s="55"/>
      <c r="K4907" s="25"/>
      <c r="L4907" s="62"/>
      <c r="M4907" s="25"/>
      <c r="N4907" s="25"/>
      <c r="O4907" s="25">
        <f t="shared" si="0"/>
        <v>0</v>
      </c>
      <c r="P4907" s="25" t="str">
        <f t="shared" si="3"/>
        <v/>
      </c>
      <c r="Q4907" s="25"/>
      <c r="R4907" s="25"/>
      <c r="S4907" s="55"/>
      <c r="T4907" s="56"/>
      <c r="U4907" s="25"/>
      <c r="V4907" s="25"/>
      <c r="W4907" s="25"/>
      <c r="X4907" s="25"/>
      <c r="Y4907" s="25"/>
      <c r="Z4907" s="25"/>
    </row>
    <row r="4908" spans="1:26" ht="52.5" customHeight="1" x14ac:dyDescent="0.25">
      <c r="A4908" s="25"/>
      <c r="B4908" s="25"/>
      <c r="C4908" s="55"/>
      <c r="D4908" s="25"/>
      <c r="E4908" s="25"/>
      <c r="F4908" s="25"/>
      <c r="G4908" s="25"/>
      <c r="H4908" s="25"/>
      <c r="I4908" s="25"/>
      <c r="J4908" s="55"/>
      <c r="K4908" s="25"/>
      <c r="L4908" s="62"/>
      <c r="M4908" s="25"/>
      <c r="N4908" s="25"/>
      <c r="O4908" s="25">
        <f t="shared" si="0"/>
        <v>0</v>
      </c>
      <c r="P4908" s="25" t="str">
        <f t="shared" si="3"/>
        <v/>
      </c>
      <c r="Q4908" s="25"/>
      <c r="R4908" s="25"/>
      <c r="S4908" s="55"/>
      <c r="T4908" s="56"/>
      <c r="U4908" s="25"/>
      <c r="V4908" s="25"/>
      <c r="W4908" s="25"/>
      <c r="X4908" s="25"/>
      <c r="Y4908" s="25"/>
      <c r="Z4908" s="25"/>
    </row>
    <row r="4909" spans="1:26" ht="52.5" customHeight="1" x14ac:dyDescent="0.25">
      <c r="A4909" s="25"/>
      <c r="B4909" s="25"/>
      <c r="C4909" s="55"/>
      <c r="D4909" s="25"/>
      <c r="E4909" s="25"/>
      <c r="F4909" s="25"/>
      <c r="G4909" s="25"/>
      <c r="H4909" s="25"/>
      <c r="I4909" s="25"/>
      <c r="J4909" s="55"/>
      <c r="K4909" s="25"/>
      <c r="L4909" s="62"/>
      <c r="M4909" s="25"/>
      <c r="N4909" s="25"/>
      <c r="O4909" s="25">
        <f t="shared" si="0"/>
        <v>0</v>
      </c>
      <c r="P4909" s="25" t="str">
        <f t="shared" si="3"/>
        <v/>
      </c>
      <c r="Q4909" s="25"/>
      <c r="R4909" s="25"/>
      <c r="S4909" s="55"/>
      <c r="T4909" s="56"/>
      <c r="U4909" s="25"/>
      <c r="V4909" s="25"/>
      <c r="W4909" s="25"/>
      <c r="X4909" s="25"/>
      <c r="Y4909" s="25"/>
      <c r="Z4909" s="25"/>
    </row>
    <row r="4910" spans="1:26" ht="52.5" customHeight="1" x14ac:dyDescent="0.25">
      <c r="A4910" s="25"/>
      <c r="B4910" s="25"/>
      <c r="C4910" s="55"/>
      <c r="D4910" s="25"/>
      <c r="E4910" s="25"/>
      <c r="F4910" s="25"/>
      <c r="G4910" s="25"/>
      <c r="H4910" s="25"/>
      <c r="I4910" s="25"/>
      <c r="J4910" s="55"/>
      <c r="K4910" s="25"/>
      <c r="L4910" s="62"/>
      <c r="M4910" s="25"/>
      <c r="N4910" s="25"/>
      <c r="O4910" s="25">
        <f t="shared" si="0"/>
        <v>0</v>
      </c>
      <c r="P4910" s="25" t="str">
        <f t="shared" si="3"/>
        <v/>
      </c>
      <c r="Q4910" s="25"/>
      <c r="R4910" s="25"/>
      <c r="S4910" s="55"/>
      <c r="T4910" s="56"/>
      <c r="U4910" s="25"/>
      <c r="V4910" s="25"/>
      <c r="W4910" s="25"/>
      <c r="X4910" s="25"/>
      <c r="Y4910" s="25"/>
      <c r="Z4910" s="25"/>
    </row>
    <row r="4911" spans="1:26" ht="52.5" customHeight="1" x14ac:dyDescent="0.25">
      <c r="A4911" s="25"/>
      <c r="B4911" s="25"/>
      <c r="C4911" s="55"/>
      <c r="D4911" s="25"/>
      <c r="E4911" s="25"/>
      <c r="F4911" s="25"/>
      <c r="G4911" s="25"/>
      <c r="H4911" s="25"/>
      <c r="I4911" s="25"/>
      <c r="J4911" s="55"/>
      <c r="K4911" s="25"/>
      <c r="L4911" s="62"/>
      <c r="M4911" s="25"/>
      <c r="N4911" s="25"/>
      <c r="O4911" s="25">
        <f t="shared" si="0"/>
        <v>0</v>
      </c>
      <c r="P4911" s="25" t="str">
        <f t="shared" si="3"/>
        <v/>
      </c>
      <c r="Q4911" s="25"/>
      <c r="R4911" s="25"/>
      <c r="S4911" s="55"/>
      <c r="T4911" s="56"/>
      <c r="U4911" s="25"/>
      <c r="V4911" s="25"/>
      <c r="W4911" s="25"/>
      <c r="X4911" s="25"/>
      <c r="Y4911" s="25"/>
      <c r="Z4911" s="25"/>
    </row>
    <row r="4912" spans="1:26" ht="52.5" customHeight="1" x14ac:dyDescent="0.25">
      <c r="A4912" s="25"/>
      <c r="B4912" s="25"/>
      <c r="C4912" s="55"/>
      <c r="D4912" s="25"/>
      <c r="E4912" s="25"/>
      <c r="F4912" s="25"/>
      <c r="G4912" s="25"/>
      <c r="H4912" s="25"/>
      <c r="I4912" s="25"/>
      <c r="J4912" s="55"/>
      <c r="K4912" s="25"/>
      <c r="L4912" s="62"/>
      <c r="M4912" s="25"/>
      <c r="N4912" s="25"/>
      <c r="O4912" s="25">
        <f t="shared" si="0"/>
        <v>0</v>
      </c>
      <c r="P4912" s="25" t="str">
        <f t="shared" si="3"/>
        <v/>
      </c>
      <c r="Q4912" s="25"/>
      <c r="R4912" s="25"/>
      <c r="S4912" s="55"/>
      <c r="T4912" s="56"/>
      <c r="U4912" s="25"/>
      <c r="V4912" s="25"/>
      <c r="W4912" s="25"/>
      <c r="X4912" s="25"/>
      <c r="Y4912" s="25"/>
      <c r="Z4912" s="25"/>
    </row>
    <row r="4913" spans="1:26" ht="52.5" customHeight="1" x14ac:dyDescent="0.25">
      <c r="A4913" s="25"/>
      <c r="B4913" s="25"/>
      <c r="C4913" s="55"/>
      <c r="D4913" s="25"/>
      <c r="E4913" s="25"/>
      <c r="F4913" s="25"/>
      <c r="G4913" s="25"/>
      <c r="H4913" s="25"/>
      <c r="I4913" s="25"/>
      <c r="J4913" s="55"/>
      <c r="K4913" s="25"/>
      <c r="L4913" s="62"/>
      <c r="M4913" s="25"/>
      <c r="N4913" s="25"/>
      <c r="O4913" s="25">
        <f t="shared" si="0"/>
        <v>0</v>
      </c>
      <c r="P4913" s="25" t="str">
        <f t="shared" si="3"/>
        <v/>
      </c>
      <c r="Q4913" s="25"/>
      <c r="R4913" s="25"/>
      <c r="S4913" s="55"/>
      <c r="T4913" s="56"/>
      <c r="U4913" s="25"/>
      <c r="V4913" s="25"/>
      <c r="W4913" s="25"/>
      <c r="X4913" s="25"/>
      <c r="Y4913" s="25"/>
      <c r="Z4913" s="25"/>
    </row>
    <row r="4914" spans="1:26" ht="52.5" customHeight="1" x14ac:dyDescent="0.25">
      <c r="A4914" s="25"/>
      <c r="B4914" s="25"/>
      <c r="C4914" s="55"/>
      <c r="D4914" s="25"/>
      <c r="E4914" s="25"/>
      <c r="F4914" s="25"/>
      <c r="G4914" s="25"/>
      <c r="H4914" s="25"/>
      <c r="I4914" s="25"/>
      <c r="J4914" s="55"/>
      <c r="K4914" s="25"/>
      <c r="L4914" s="62"/>
      <c r="M4914" s="25"/>
      <c r="N4914" s="25"/>
      <c r="O4914" s="25">
        <f t="shared" si="0"/>
        <v>0</v>
      </c>
      <c r="P4914" s="25" t="str">
        <f t="shared" si="3"/>
        <v/>
      </c>
      <c r="Q4914" s="25"/>
      <c r="R4914" s="25"/>
      <c r="S4914" s="55"/>
      <c r="T4914" s="56"/>
      <c r="U4914" s="25"/>
      <c r="V4914" s="25"/>
      <c r="W4914" s="25"/>
      <c r="X4914" s="25"/>
      <c r="Y4914" s="25"/>
      <c r="Z4914" s="25"/>
    </row>
    <row r="4915" spans="1:26" ht="52.5" customHeight="1" x14ac:dyDescent="0.25">
      <c r="A4915" s="25"/>
      <c r="B4915" s="25"/>
      <c r="C4915" s="55"/>
      <c r="D4915" s="25"/>
      <c r="E4915" s="25"/>
      <c r="F4915" s="25"/>
      <c r="G4915" s="25"/>
      <c r="H4915" s="25"/>
      <c r="I4915" s="25"/>
      <c r="J4915" s="55"/>
      <c r="K4915" s="25"/>
      <c r="L4915" s="62"/>
      <c r="M4915" s="25"/>
      <c r="N4915" s="25"/>
      <c r="O4915" s="25">
        <f t="shared" si="0"/>
        <v>0</v>
      </c>
      <c r="P4915" s="25" t="str">
        <f t="shared" si="3"/>
        <v/>
      </c>
      <c r="Q4915" s="25"/>
      <c r="R4915" s="25"/>
      <c r="S4915" s="55"/>
      <c r="T4915" s="56"/>
      <c r="U4915" s="25"/>
      <c r="V4915" s="25"/>
      <c r="W4915" s="25"/>
      <c r="X4915" s="25"/>
      <c r="Y4915" s="25"/>
      <c r="Z4915" s="25"/>
    </row>
    <row r="4916" spans="1:26" ht="52.5" customHeight="1" x14ac:dyDescent="0.25">
      <c r="A4916" s="25"/>
      <c r="B4916" s="25"/>
      <c r="C4916" s="55"/>
      <c r="D4916" s="25"/>
      <c r="E4916" s="25"/>
      <c r="F4916" s="25"/>
      <c r="G4916" s="25"/>
      <c r="H4916" s="25"/>
      <c r="I4916" s="25"/>
      <c r="J4916" s="55"/>
      <c r="K4916" s="25"/>
      <c r="L4916" s="62"/>
      <c r="M4916" s="25"/>
      <c r="N4916" s="25"/>
      <c r="O4916" s="25">
        <f t="shared" si="0"/>
        <v>0</v>
      </c>
      <c r="P4916" s="25" t="str">
        <f t="shared" si="3"/>
        <v/>
      </c>
      <c r="Q4916" s="25"/>
      <c r="R4916" s="25"/>
      <c r="S4916" s="55"/>
      <c r="T4916" s="56"/>
      <c r="U4916" s="25"/>
      <c r="V4916" s="25"/>
      <c r="W4916" s="25"/>
      <c r="X4916" s="25"/>
      <c r="Y4916" s="25"/>
      <c r="Z4916" s="25"/>
    </row>
    <row r="4917" spans="1:26" ht="52.5" customHeight="1" x14ac:dyDescent="0.25">
      <c r="A4917" s="25"/>
      <c r="B4917" s="25"/>
      <c r="C4917" s="55"/>
      <c r="D4917" s="25"/>
      <c r="E4917" s="25"/>
      <c r="F4917" s="25"/>
      <c r="G4917" s="25"/>
      <c r="H4917" s="25"/>
      <c r="I4917" s="25"/>
      <c r="J4917" s="55"/>
      <c r="K4917" s="25"/>
      <c r="L4917" s="62"/>
      <c r="M4917" s="25"/>
      <c r="N4917" s="25"/>
      <c r="O4917" s="25">
        <f t="shared" si="0"/>
        <v>0</v>
      </c>
      <c r="P4917" s="25" t="str">
        <f t="shared" si="3"/>
        <v/>
      </c>
      <c r="Q4917" s="25"/>
      <c r="R4917" s="25"/>
      <c r="S4917" s="55"/>
      <c r="T4917" s="56"/>
      <c r="U4917" s="25"/>
      <c r="V4917" s="25"/>
      <c r="W4917" s="25"/>
      <c r="X4917" s="25"/>
      <c r="Y4917" s="25"/>
      <c r="Z4917" s="25"/>
    </row>
    <row r="4918" spans="1:26" ht="52.5" customHeight="1" x14ac:dyDescent="0.25">
      <c r="A4918" s="25"/>
      <c r="B4918" s="25"/>
      <c r="C4918" s="55"/>
      <c r="D4918" s="25"/>
      <c r="E4918" s="25"/>
      <c r="F4918" s="25"/>
      <c r="G4918" s="25"/>
      <c r="H4918" s="25"/>
      <c r="I4918" s="25"/>
      <c r="J4918" s="55"/>
      <c r="K4918" s="25"/>
      <c r="L4918" s="62"/>
      <c r="M4918" s="25"/>
      <c r="N4918" s="25"/>
      <c r="O4918" s="25">
        <f t="shared" si="0"/>
        <v>0</v>
      </c>
      <c r="P4918" s="25" t="str">
        <f t="shared" si="3"/>
        <v/>
      </c>
      <c r="Q4918" s="25"/>
      <c r="R4918" s="25"/>
      <c r="S4918" s="55"/>
      <c r="T4918" s="56"/>
      <c r="U4918" s="25"/>
      <c r="V4918" s="25"/>
      <c r="W4918" s="25"/>
      <c r="X4918" s="25"/>
      <c r="Y4918" s="25"/>
      <c r="Z4918" s="25"/>
    </row>
    <row r="4919" spans="1:26" ht="52.5" customHeight="1" x14ac:dyDescent="0.25">
      <c r="A4919" s="25"/>
      <c r="B4919" s="25"/>
      <c r="C4919" s="55"/>
      <c r="D4919" s="25"/>
      <c r="E4919" s="25"/>
      <c r="F4919" s="25"/>
      <c r="G4919" s="25"/>
      <c r="H4919" s="25"/>
      <c r="I4919" s="25"/>
      <c r="J4919" s="55"/>
      <c r="K4919" s="25"/>
      <c r="L4919" s="62"/>
      <c r="M4919" s="25"/>
      <c r="N4919" s="25"/>
      <c r="O4919" s="25">
        <f t="shared" si="0"/>
        <v>0</v>
      </c>
      <c r="P4919" s="25" t="str">
        <f t="shared" si="3"/>
        <v/>
      </c>
      <c r="Q4919" s="25"/>
      <c r="R4919" s="25"/>
      <c r="S4919" s="55"/>
      <c r="T4919" s="56"/>
      <c r="U4919" s="25"/>
      <c r="V4919" s="25"/>
      <c r="W4919" s="25"/>
      <c r="X4919" s="25"/>
      <c r="Y4919" s="25"/>
      <c r="Z4919" s="25"/>
    </row>
    <row r="4920" spans="1:26" ht="52.5" customHeight="1" x14ac:dyDescent="0.25">
      <c r="A4920" s="25"/>
      <c r="B4920" s="25"/>
      <c r="C4920" s="55"/>
      <c r="D4920" s="25"/>
      <c r="E4920" s="25"/>
      <c r="F4920" s="25"/>
      <c r="G4920" s="25"/>
      <c r="H4920" s="25"/>
      <c r="I4920" s="25"/>
      <c r="J4920" s="55"/>
      <c r="K4920" s="25"/>
      <c r="L4920" s="62"/>
      <c r="M4920" s="25"/>
      <c r="N4920" s="25"/>
      <c r="O4920" s="25">
        <f t="shared" si="0"/>
        <v>0</v>
      </c>
      <c r="P4920" s="25" t="str">
        <f t="shared" si="3"/>
        <v/>
      </c>
      <c r="Q4920" s="25"/>
      <c r="R4920" s="25"/>
      <c r="S4920" s="55"/>
      <c r="T4920" s="56"/>
      <c r="U4920" s="25"/>
      <c r="V4920" s="25"/>
      <c r="W4920" s="25"/>
      <c r="X4920" s="25"/>
      <c r="Y4920" s="25"/>
      <c r="Z4920" s="25"/>
    </row>
    <row r="4921" spans="1:26" ht="52.5" customHeight="1" x14ac:dyDescent="0.25">
      <c r="A4921" s="25"/>
      <c r="B4921" s="25"/>
      <c r="C4921" s="55"/>
      <c r="D4921" s="25"/>
      <c r="E4921" s="25"/>
      <c r="F4921" s="25"/>
      <c r="G4921" s="25"/>
      <c r="H4921" s="25"/>
      <c r="I4921" s="25"/>
      <c r="J4921" s="55"/>
      <c r="K4921" s="25"/>
      <c r="L4921" s="62"/>
      <c r="M4921" s="25"/>
      <c r="N4921" s="25"/>
      <c r="O4921" s="25">
        <f t="shared" si="0"/>
        <v>0</v>
      </c>
      <c r="P4921" s="25" t="str">
        <f t="shared" si="3"/>
        <v/>
      </c>
      <c r="Q4921" s="25"/>
      <c r="R4921" s="25"/>
      <c r="S4921" s="55"/>
      <c r="T4921" s="56"/>
      <c r="U4921" s="25"/>
      <c r="V4921" s="25"/>
      <c r="W4921" s="25"/>
      <c r="X4921" s="25"/>
      <c r="Y4921" s="25"/>
      <c r="Z4921" s="25"/>
    </row>
    <row r="4922" spans="1:26" ht="52.5" customHeight="1" x14ac:dyDescent="0.25">
      <c r="A4922" s="25"/>
      <c r="B4922" s="25"/>
      <c r="C4922" s="55"/>
      <c r="D4922" s="25"/>
      <c r="E4922" s="25"/>
      <c r="F4922" s="25"/>
      <c r="G4922" s="25"/>
      <c r="H4922" s="25"/>
      <c r="I4922" s="25"/>
      <c r="J4922" s="55"/>
      <c r="K4922" s="25"/>
      <c r="L4922" s="62"/>
      <c r="M4922" s="25"/>
      <c r="N4922" s="25"/>
      <c r="O4922" s="25">
        <f t="shared" si="0"/>
        <v>0</v>
      </c>
      <c r="P4922" s="25" t="str">
        <f t="shared" si="3"/>
        <v/>
      </c>
      <c r="Q4922" s="25"/>
      <c r="R4922" s="25"/>
      <c r="S4922" s="55"/>
      <c r="T4922" s="56"/>
      <c r="U4922" s="25"/>
      <c r="V4922" s="25"/>
      <c r="W4922" s="25"/>
      <c r="X4922" s="25"/>
      <c r="Y4922" s="25"/>
      <c r="Z4922" s="25"/>
    </row>
    <row r="4923" spans="1:26" ht="52.5" customHeight="1" x14ac:dyDescent="0.25">
      <c r="A4923" s="25"/>
      <c r="B4923" s="25"/>
      <c r="C4923" s="55"/>
      <c r="D4923" s="25"/>
      <c r="E4923" s="25"/>
      <c r="F4923" s="25"/>
      <c r="G4923" s="25"/>
      <c r="H4923" s="25"/>
      <c r="I4923" s="25"/>
      <c r="J4923" s="55"/>
      <c r="K4923" s="25"/>
      <c r="L4923" s="62"/>
      <c r="M4923" s="25"/>
      <c r="N4923" s="25"/>
      <c r="O4923" s="25">
        <f t="shared" si="0"/>
        <v>0</v>
      </c>
      <c r="P4923" s="25" t="str">
        <f t="shared" si="3"/>
        <v/>
      </c>
      <c r="Q4923" s="25"/>
      <c r="R4923" s="25"/>
      <c r="S4923" s="55"/>
      <c r="T4923" s="56"/>
      <c r="U4923" s="25"/>
      <c r="V4923" s="25"/>
      <c r="W4923" s="25"/>
      <c r="X4923" s="25"/>
      <c r="Y4923" s="25"/>
      <c r="Z4923" s="25"/>
    </row>
    <row r="4924" spans="1:26" ht="52.5" customHeight="1" x14ac:dyDescent="0.25">
      <c r="A4924" s="25"/>
      <c r="B4924" s="25"/>
      <c r="C4924" s="55"/>
      <c r="D4924" s="25"/>
      <c r="E4924" s="25"/>
      <c r="F4924" s="25"/>
      <c r="G4924" s="25"/>
      <c r="H4924" s="25"/>
      <c r="I4924" s="25"/>
      <c r="J4924" s="55"/>
      <c r="K4924" s="25"/>
      <c r="L4924" s="62"/>
      <c r="M4924" s="25"/>
      <c r="N4924" s="25"/>
      <c r="O4924" s="25">
        <f t="shared" si="0"/>
        <v>0</v>
      </c>
      <c r="P4924" s="25" t="str">
        <f t="shared" si="3"/>
        <v/>
      </c>
      <c r="Q4924" s="25"/>
      <c r="R4924" s="25"/>
      <c r="S4924" s="55"/>
      <c r="T4924" s="56"/>
      <c r="U4924" s="25"/>
      <c r="V4924" s="25"/>
      <c r="W4924" s="25"/>
      <c r="X4924" s="25"/>
      <c r="Y4924" s="25"/>
      <c r="Z4924" s="25"/>
    </row>
    <row r="4925" spans="1:26" ht="52.5" customHeight="1" x14ac:dyDescent="0.25">
      <c r="A4925" s="25"/>
      <c r="B4925" s="25"/>
      <c r="C4925" s="55"/>
      <c r="D4925" s="25"/>
      <c r="E4925" s="25"/>
      <c r="F4925" s="25"/>
      <c r="G4925" s="25"/>
      <c r="H4925" s="25"/>
      <c r="I4925" s="25"/>
      <c r="J4925" s="55"/>
      <c r="K4925" s="25"/>
      <c r="L4925" s="62"/>
      <c r="M4925" s="25"/>
      <c r="N4925" s="25"/>
      <c r="O4925" s="25">
        <f t="shared" si="0"/>
        <v>0</v>
      </c>
      <c r="P4925" s="25" t="str">
        <f t="shared" si="3"/>
        <v/>
      </c>
      <c r="Q4925" s="25"/>
      <c r="R4925" s="25"/>
      <c r="S4925" s="55"/>
      <c r="T4925" s="56"/>
      <c r="U4925" s="25"/>
      <c r="V4925" s="25"/>
      <c r="W4925" s="25"/>
      <c r="X4925" s="25"/>
      <c r="Y4925" s="25"/>
      <c r="Z4925" s="25"/>
    </row>
    <row r="4926" spans="1:26" ht="52.5" customHeight="1" x14ac:dyDescent="0.25">
      <c r="A4926" s="25"/>
      <c r="B4926" s="25"/>
      <c r="C4926" s="55"/>
      <c r="D4926" s="25"/>
      <c r="E4926" s="25"/>
      <c r="F4926" s="25"/>
      <c r="G4926" s="25"/>
      <c r="H4926" s="25"/>
      <c r="I4926" s="25"/>
      <c r="J4926" s="55"/>
      <c r="K4926" s="25"/>
      <c r="L4926" s="62"/>
      <c r="M4926" s="25"/>
      <c r="N4926" s="25"/>
      <c r="O4926" s="25">
        <f t="shared" si="0"/>
        <v>0</v>
      </c>
      <c r="P4926" s="25" t="str">
        <f t="shared" si="3"/>
        <v/>
      </c>
      <c r="Q4926" s="25"/>
      <c r="R4926" s="25"/>
      <c r="S4926" s="55"/>
      <c r="T4926" s="56"/>
      <c r="U4926" s="25"/>
      <c r="V4926" s="25"/>
      <c r="W4926" s="25"/>
      <c r="X4926" s="25"/>
      <c r="Y4926" s="25"/>
      <c r="Z4926" s="25"/>
    </row>
    <row r="4927" spans="1:26" ht="52.5" customHeight="1" x14ac:dyDescent="0.25">
      <c r="A4927" s="25"/>
      <c r="B4927" s="25"/>
      <c r="C4927" s="55"/>
      <c r="D4927" s="25"/>
      <c r="E4927" s="25"/>
      <c r="F4927" s="25"/>
      <c r="G4927" s="25"/>
      <c r="H4927" s="25"/>
      <c r="I4927" s="25"/>
      <c r="J4927" s="55"/>
      <c r="K4927" s="25"/>
      <c r="L4927" s="62"/>
      <c r="M4927" s="25"/>
      <c r="N4927" s="25"/>
      <c r="O4927" s="25">
        <f t="shared" si="0"/>
        <v>0</v>
      </c>
      <c r="P4927" s="25" t="str">
        <f t="shared" si="3"/>
        <v/>
      </c>
      <c r="Q4927" s="25"/>
      <c r="R4927" s="25"/>
      <c r="S4927" s="55"/>
      <c r="T4927" s="56"/>
      <c r="U4927" s="25"/>
      <c r="V4927" s="25"/>
      <c r="W4927" s="25"/>
      <c r="X4927" s="25"/>
      <c r="Y4927" s="25"/>
      <c r="Z4927" s="25"/>
    </row>
    <row r="4928" spans="1:26" ht="52.5" customHeight="1" x14ac:dyDescent="0.25">
      <c r="A4928" s="25"/>
      <c r="B4928" s="25"/>
      <c r="C4928" s="55"/>
      <c r="D4928" s="25"/>
      <c r="E4928" s="25"/>
      <c r="F4928" s="25"/>
      <c r="G4928" s="25"/>
      <c r="H4928" s="25"/>
      <c r="I4928" s="25"/>
      <c r="J4928" s="55"/>
      <c r="K4928" s="25"/>
      <c r="L4928" s="62"/>
      <c r="M4928" s="25"/>
      <c r="N4928" s="25"/>
      <c r="O4928" s="25">
        <f t="shared" si="0"/>
        <v>0</v>
      </c>
      <c r="P4928" s="25" t="str">
        <f t="shared" si="3"/>
        <v/>
      </c>
      <c r="Q4928" s="25"/>
      <c r="R4928" s="25"/>
      <c r="S4928" s="55"/>
      <c r="T4928" s="56"/>
      <c r="U4928" s="25"/>
      <c r="V4928" s="25"/>
      <c r="W4928" s="25"/>
      <c r="X4928" s="25"/>
      <c r="Y4928" s="25"/>
      <c r="Z4928" s="25"/>
    </row>
    <row r="4929" spans="1:26" ht="52.5" customHeight="1" x14ac:dyDescent="0.25">
      <c r="A4929" s="25"/>
      <c r="B4929" s="25"/>
      <c r="C4929" s="55"/>
      <c r="D4929" s="25"/>
      <c r="E4929" s="25"/>
      <c r="F4929" s="25"/>
      <c r="G4929" s="25"/>
      <c r="H4929" s="25"/>
      <c r="I4929" s="25"/>
      <c r="J4929" s="55"/>
      <c r="K4929" s="25"/>
      <c r="L4929" s="62"/>
      <c r="M4929" s="25"/>
      <c r="N4929" s="25"/>
      <c r="O4929" s="25">
        <f t="shared" si="0"/>
        <v>0</v>
      </c>
      <c r="P4929" s="25" t="str">
        <f t="shared" si="3"/>
        <v/>
      </c>
      <c r="Q4929" s="25"/>
      <c r="R4929" s="25"/>
      <c r="S4929" s="55"/>
      <c r="T4929" s="56"/>
      <c r="U4929" s="25"/>
      <c r="V4929" s="25"/>
      <c r="W4929" s="25"/>
      <c r="X4929" s="25"/>
      <c r="Y4929" s="25"/>
      <c r="Z4929" s="25"/>
    </row>
    <row r="4930" spans="1:26" ht="52.5" customHeight="1" x14ac:dyDescent="0.25">
      <c r="A4930" s="25"/>
      <c r="B4930" s="25"/>
      <c r="C4930" s="55"/>
      <c r="D4930" s="25"/>
      <c r="E4930" s="25"/>
      <c r="F4930" s="25"/>
      <c r="G4930" s="25"/>
      <c r="H4930" s="25"/>
      <c r="I4930" s="25"/>
      <c r="J4930" s="55"/>
      <c r="K4930" s="25"/>
      <c r="L4930" s="62"/>
      <c r="M4930" s="25"/>
      <c r="N4930" s="25"/>
      <c r="O4930" s="25">
        <f t="shared" si="0"/>
        <v>0</v>
      </c>
      <c r="P4930" s="25" t="str">
        <f t="shared" si="3"/>
        <v/>
      </c>
      <c r="Q4930" s="25"/>
      <c r="R4930" s="25"/>
      <c r="S4930" s="55"/>
      <c r="T4930" s="56"/>
      <c r="U4930" s="25"/>
      <c r="V4930" s="25"/>
      <c r="W4930" s="25"/>
      <c r="X4930" s="25"/>
      <c r="Y4930" s="25"/>
      <c r="Z4930" s="25"/>
    </row>
    <row r="4931" spans="1:26" ht="52.5" customHeight="1" x14ac:dyDescent="0.25">
      <c r="A4931" s="25"/>
      <c r="B4931" s="25"/>
      <c r="C4931" s="55"/>
      <c r="D4931" s="25"/>
      <c r="E4931" s="25"/>
      <c r="F4931" s="25"/>
      <c r="G4931" s="25"/>
      <c r="H4931" s="25"/>
      <c r="I4931" s="25"/>
      <c r="J4931" s="55"/>
      <c r="K4931" s="25"/>
      <c r="L4931" s="62"/>
      <c r="M4931" s="25"/>
      <c r="N4931" s="25"/>
      <c r="O4931" s="25">
        <f t="shared" si="0"/>
        <v>0</v>
      </c>
      <c r="P4931" s="25" t="str">
        <f t="shared" si="3"/>
        <v/>
      </c>
      <c r="Q4931" s="25"/>
      <c r="R4931" s="25"/>
      <c r="S4931" s="55"/>
      <c r="T4931" s="56"/>
      <c r="U4931" s="25"/>
      <c r="V4931" s="25"/>
      <c r="W4931" s="25"/>
      <c r="X4931" s="25"/>
      <c r="Y4931" s="25"/>
      <c r="Z4931" s="25"/>
    </row>
    <row r="4932" spans="1:26" ht="52.5" customHeight="1" x14ac:dyDescent="0.25">
      <c r="A4932" s="25"/>
      <c r="B4932" s="25"/>
      <c r="C4932" s="55"/>
      <c r="D4932" s="25"/>
      <c r="E4932" s="25"/>
      <c r="F4932" s="25"/>
      <c r="G4932" s="25"/>
      <c r="H4932" s="25"/>
      <c r="I4932" s="25"/>
      <c r="J4932" s="55"/>
      <c r="K4932" s="25"/>
      <c r="L4932" s="62"/>
      <c r="M4932" s="25"/>
      <c r="N4932" s="25"/>
      <c r="O4932" s="25">
        <f t="shared" si="0"/>
        <v>0</v>
      </c>
      <c r="P4932" s="25" t="str">
        <f t="shared" si="3"/>
        <v/>
      </c>
      <c r="Q4932" s="25"/>
      <c r="R4932" s="25"/>
      <c r="S4932" s="55"/>
      <c r="T4932" s="56"/>
      <c r="U4932" s="25"/>
      <c r="V4932" s="25"/>
      <c r="W4932" s="25"/>
      <c r="X4932" s="25"/>
      <c r="Y4932" s="25"/>
      <c r="Z4932" s="25"/>
    </row>
    <row r="4933" spans="1:26" ht="52.5" customHeight="1" x14ac:dyDescent="0.25">
      <c r="A4933" s="25"/>
      <c r="B4933" s="25"/>
      <c r="C4933" s="55"/>
      <c r="D4933" s="25"/>
      <c r="E4933" s="25"/>
      <c r="F4933" s="25"/>
      <c r="G4933" s="25"/>
      <c r="H4933" s="25"/>
      <c r="I4933" s="25"/>
      <c r="J4933" s="55"/>
      <c r="K4933" s="25"/>
      <c r="L4933" s="62"/>
      <c r="M4933" s="25"/>
      <c r="N4933" s="25"/>
      <c r="O4933" s="25">
        <f t="shared" si="0"/>
        <v>0</v>
      </c>
      <c r="P4933" s="25" t="str">
        <f t="shared" si="3"/>
        <v/>
      </c>
      <c r="Q4933" s="25"/>
      <c r="R4933" s="25"/>
      <c r="S4933" s="55"/>
      <c r="T4933" s="56"/>
      <c r="U4933" s="25"/>
      <c r="V4933" s="25"/>
      <c r="W4933" s="25"/>
      <c r="X4933" s="25"/>
      <c r="Y4933" s="25"/>
      <c r="Z4933" s="25"/>
    </row>
    <row r="4934" spans="1:26" ht="52.5" customHeight="1" x14ac:dyDescent="0.25">
      <c r="A4934" s="25"/>
      <c r="B4934" s="25"/>
      <c r="C4934" s="55"/>
      <c r="D4934" s="25"/>
      <c r="E4934" s="25"/>
      <c r="F4934" s="25"/>
      <c r="G4934" s="25"/>
      <c r="H4934" s="25"/>
      <c r="I4934" s="25"/>
      <c r="J4934" s="55"/>
      <c r="K4934" s="25"/>
      <c r="L4934" s="62"/>
      <c r="M4934" s="25"/>
      <c r="N4934" s="25"/>
      <c r="O4934" s="25">
        <f t="shared" si="0"/>
        <v>0</v>
      </c>
      <c r="P4934" s="25" t="str">
        <f t="shared" si="3"/>
        <v/>
      </c>
      <c r="Q4934" s="25"/>
      <c r="R4934" s="25"/>
      <c r="S4934" s="55"/>
      <c r="T4934" s="56"/>
      <c r="U4934" s="25"/>
      <c r="V4934" s="25"/>
      <c r="W4934" s="25"/>
      <c r="X4934" s="25"/>
      <c r="Y4934" s="25"/>
      <c r="Z4934" s="25"/>
    </row>
    <row r="4935" spans="1:26" ht="52.5" customHeight="1" x14ac:dyDescent="0.25">
      <c r="A4935" s="25"/>
      <c r="B4935" s="25"/>
      <c r="C4935" s="55"/>
      <c r="D4935" s="25"/>
      <c r="E4935" s="25"/>
      <c r="F4935" s="25"/>
      <c r="G4935" s="25"/>
      <c r="H4935" s="25"/>
      <c r="I4935" s="25"/>
      <c r="J4935" s="55"/>
      <c r="K4935" s="25"/>
      <c r="L4935" s="62"/>
      <c r="M4935" s="25"/>
      <c r="N4935" s="25"/>
      <c r="O4935" s="25">
        <f t="shared" si="0"/>
        <v>0</v>
      </c>
      <c r="P4935" s="25" t="str">
        <f t="shared" si="3"/>
        <v/>
      </c>
      <c r="Q4935" s="25"/>
      <c r="R4935" s="25"/>
      <c r="S4935" s="55"/>
      <c r="T4935" s="56"/>
      <c r="U4935" s="25"/>
      <c r="V4935" s="25"/>
      <c r="W4935" s="25"/>
      <c r="X4935" s="25"/>
      <c r="Y4935" s="25"/>
      <c r="Z4935" s="25"/>
    </row>
    <row r="4936" spans="1:26" ht="52.5" customHeight="1" x14ac:dyDescent="0.25">
      <c r="A4936" s="25"/>
      <c r="B4936" s="25"/>
      <c r="C4936" s="55"/>
      <c r="D4936" s="25"/>
      <c r="E4936" s="25"/>
      <c r="F4936" s="25"/>
      <c r="G4936" s="25"/>
      <c r="H4936" s="25"/>
      <c r="I4936" s="25"/>
      <c r="J4936" s="55"/>
      <c r="K4936" s="25"/>
      <c r="L4936" s="62"/>
      <c r="M4936" s="25"/>
      <c r="N4936" s="25"/>
      <c r="O4936" s="25">
        <f t="shared" si="0"/>
        <v>0</v>
      </c>
      <c r="P4936" s="25" t="str">
        <f t="shared" si="3"/>
        <v/>
      </c>
      <c r="Q4936" s="25"/>
      <c r="R4936" s="25"/>
      <c r="S4936" s="55"/>
      <c r="T4936" s="56"/>
      <c r="U4936" s="25"/>
      <c r="V4936" s="25"/>
      <c r="W4936" s="25"/>
      <c r="X4936" s="25"/>
      <c r="Y4936" s="25"/>
      <c r="Z4936" s="25"/>
    </row>
    <row r="4937" spans="1:26" ht="52.5" customHeight="1" x14ac:dyDescent="0.25">
      <c r="A4937" s="25"/>
      <c r="B4937" s="25"/>
      <c r="C4937" s="55"/>
      <c r="D4937" s="25"/>
      <c r="E4937" s="25"/>
      <c r="F4937" s="25"/>
      <c r="G4937" s="25"/>
      <c r="H4937" s="25"/>
      <c r="I4937" s="25"/>
      <c r="J4937" s="55"/>
      <c r="K4937" s="25"/>
      <c r="L4937" s="62"/>
      <c r="M4937" s="25"/>
      <c r="N4937" s="25"/>
      <c r="O4937" s="25">
        <f t="shared" si="0"/>
        <v>0</v>
      </c>
      <c r="P4937" s="25" t="str">
        <f t="shared" si="3"/>
        <v/>
      </c>
      <c r="Q4937" s="25"/>
      <c r="R4937" s="25"/>
      <c r="S4937" s="55"/>
      <c r="T4937" s="56"/>
      <c r="U4937" s="25"/>
      <c r="V4937" s="25"/>
      <c r="W4937" s="25"/>
      <c r="X4937" s="25"/>
      <c r="Y4937" s="25"/>
      <c r="Z4937" s="25"/>
    </row>
    <row r="4938" spans="1:26" ht="52.5" customHeight="1" x14ac:dyDescent="0.25">
      <c r="A4938" s="25"/>
      <c r="B4938" s="25"/>
      <c r="C4938" s="55"/>
      <c r="D4938" s="25"/>
      <c r="E4938" s="25"/>
      <c r="F4938" s="25"/>
      <c r="G4938" s="25"/>
      <c r="H4938" s="25"/>
      <c r="I4938" s="25"/>
      <c r="J4938" s="55"/>
      <c r="K4938" s="25"/>
      <c r="L4938" s="62"/>
      <c r="M4938" s="25"/>
      <c r="N4938" s="25"/>
      <c r="O4938" s="25">
        <f t="shared" si="0"/>
        <v>0</v>
      </c>
      <c r="P4938" s="25" t="str">
        <f t="shared" si="3"/>
        <v/>
      </c>
      <c r="Q4938" s="25"/>
      <c r="R4938" s="25"/>
      <c r="S4938" s="55"/>
      <c r="T4938" s="56"/>
      <c r="U4938" s="25"/>
      <c r="V4938" s="25"/>
      <c r="W4938" s="25"/>
      <c r="X4938" s="25"/>
      <c r="Y4938" s="25"/>
      <c r="Z4938" s="25"/>
    </row>
    <row r="4939" spans="1:26" ht="52.5" customHeight="1" x14ac:dyDescent="0.25">
      <c r="A4939" s="25"/>
      <c r="B4939" s="25"/>
      <c r="C4939" s="55"/>
      <c r="D4939" s="25"/>
      <c r="E4939" s="25"/>
      <c r="F4939" s="25"/>
      <c r="G4939" s="25"/>
      <c r="H4939" s="25"/>
      <c r="I4939" s="25"/>
      <c r="J4939" s="55"/>
      <c r="K4939" s="25"/>
      <c r="L4939" s="62"/>
      <c r="M4939" s="25"/>
      <c r="N4939" s="25"/>
      <c r="O4939" s="25">
        <f t="shared" si="0"/>
        <v>0</v>
      </c>
      <c r="P4939" s="25" t="str">
        <f t="shared" si="3"/>
        <v/>
      </c>
      <c r="Q4939" s="25"/>
      <c r="R4939" s="25"/>
      <c r="S4939" s="55"/>
      <c r="T4939" s="56"/>
      <c r="U4939" s="25"/>
      <c r="V4939" s="25"/>
      <c r="W4939" s="25"/>
      <c r="X4939" s="25"/>
      <c r="Y4939" s="25"/>
      <c r="Z4939" s="25"/>
    </row>
    <row r="4940" spans="1:26" ht="52.5" customHeight="1" x14ac:dyDescent="0.25">
      <c r="A4940" s="25"/>
      <c r="B4940" s="25"/>
      <c r="C4940" s="55"/>
      <c r="D4940" s="25"/>
      <c r="E4940" s="25"/>
      <c r="F4940" s="25"/>
      <c r="G4940" s="25"/>
      <c r="H4940" s="25"/>
      <c r="I4940" s="25"/>
      <c r="J4940" s="55"/>
      <c r="K4940" s="25"/>
      <c r="L4940" s="62"/>
      <c r="M4940" s="25"/>
      <c r="N4940" s="25"/>
      <c r="O4940" s="25">
        <f t="shared" si="0"/>
        <v>0</v>
      </c>
      <c r="P4940" s="25" t="str">
        <f t="shared" si="3"/>
        <v/>
      </c>
      <c r="Q4940" s="25"/>
      <c r="R4940" s="25"/>
      <c r="S4940" s="55"/>
      <c r="T4940" s="56"/>
      <c r="U4940" s="25"/>
      <c r="V4940" s="25"/>
      <c r="W4940" s="25"/>
      <c r="X4940" s="25"/>
      <c r="Y4940" s="25"/>
      <c r="Z4940" s="25"/>
    </row>
    <row r="4941" spans="1:26" ht="52.5" customHeight="1" x14ac:dyDescent="0.25">
      <c r="A4941" s="25"/>
      <c r="B4941" s="25"/>
      <c r="C4941" s="55"/>
      <c r="D4941" s="25"/>
      <c r="E4941" s="25"/>
      <c r="F4941" s="25"/>
      <c r="G4941" s="25"/>
      <c r="H4941" s="25"/>
      <c r="I4941" s="25"/>
      <c r="J4941" s="55"/>
      <c r="K4941" s="25"/>
      <c r="L4941" s="62"/>
      <c r="M4941" s="25"/>
      <c r="N4941" s="25"/>
      <c r="O4941" s="25">
        <f t="shared" si="0"/>
        <v>0</v>
      </c>
      <c r="P4941" s="25" t="str">
        <f t="shared" si="3"/>
        <v/>
      </c>
      <c r="Q4941" s="25"/>
      <c r="R4941" s="25"/>
      <c r="S4941" s="55"/>
      <c r="T4941" s="56"/>
      <c r="U4941" s="25"/>
      <c r="V4941" s="25"/>
      <c r="W4941" s="25"/>
      <c r="X4941" s="25"/>
      <c r="Y4941" s="25"/>
      <c r="Z4941" s="25"/>
    </row>
    <row r="4942" spans="1:26" ht="52.5" customHeight="1" x14ac:dyDescent="0.25">
      <c r="A4942" s="25"/>
      <c r="B4942" s="25"/>
      <c r="C4942" s="55"/>
      <c r="D4942" s="25"/>
      <c r="E4942" s="25"/>
      <c r="F4942" s="25"/>
      <c r="G4942" s="25"/>
      <c r="H4942" s="25"/>
      <c r="I4942" s="25"/>
      <c r="J4942" s="55"/>
      <c r="K4942" s="25"/>
      <c r="L4942" s="62"/>
      <c r="M4942" s="25"/>
      <c r="N4942" s="25"/>
      <c r="O4942" s="25">
        <f t="shared" si="0"/>
        <v>0</v>
      </c>
      <c r="P4942" s="25" t="str">
        <f t="shared" si="3"/>
        <v/>
      </c>
      <c r="Q4942" s="25"/>
      <c r="R4942" s="25"/>
      <c r="S4942" s="55"/>
      <c r="T4942" s="56"/>
      <c r="U4942" s="25"/>
      <c r="V4942" s="25"/>
      <c r="W4942" s="25"/>
      <c r="X4942" s="25"/>
      <c r="Y4942" s="25"/>
      <c r="Z4942" s="25"/>
    </row>
    <row r="4943" spans="1:26" ht="52.5" customHeight="1" x14ac:dyDescent="0.25">
      <c r="A4943" s="25"/>
      <c r="B4943" s="25"/>
      <c r="C4943" s="55"/>
      <c r="D4943" s="25"/>
      <c r="E4943" s="25"/>
      <c r="F4943" s="25"/>
      <c r="G4943" s="25"/>
      <c r="H4943" s="25"/>
      <c r="I4943" s="25"/>
      <c r="J4943" s="55"/>
      <c r="K4943" s="25"/>
      <c r="L4943" s="62"/>
      <c r="M4943" s="25"/>
      <c r="N4943" s="25"/>
      <c r="O4943" s="25">
        <f t="shared" si="0"/>
        <v>0</v>
      </c>
      <c r="P4943" s="25" t="str">
        <f t="shared" si="3"/>
        <v/>
      </c>
      <c r="Q4943" s="25"/>
      <c r="R4943" s="25"/>
      <c r="S4943" s="55"/>
      <c r="T4943" s="56"/>
      <c r="U4943" s="25"/>
      <c r="V4943" s="25"/>
      <c r="W4943" s="25"/>
      <c r="X4943" s="25"/>
      <c r="Y4943" s="25"/>
      <c r="Z4943" s="25"/>
    </row>
    <row r="4944" spans="1:26" ht="52.5" customHeight="1" x14ac:dyDescent="0.25">
      <c r="A4944" s="25"/>
      <c r="B4944" s="25"/>
      <c r="C4944" s="55"/>
      <c r="D4944" s="25"/>
      <c r="E4944" s="25"/>
      <c r="F4944" s="25"/>
      <c r="G4944" s="25"/>
      <c r="H4944" s="25"/>
      <c r="I4944" s="25"/>
      <c r="J4944" s="55"/>
      <c r="K4944" s="25"/>
      <c r="L4944" s="62"/>
      <c r="M4944" s="25"/>
      <c r="N4944" s="25"/>
      <c r="O4944" s="25">
        <f t="shared" si="0"/>
        <v>0</v>
      </c>
      <c r="P4944" s="25" t="str">
        <f t="shared" si="3"/>
        <v/>
      </c>
      <c r="Q4944" s="25"/>
      <c r="R4944" s="25"/>
      <c r="S4944" s="55"/>
      <c r="T4944" s="56"/>
      <c r="U4944" s="25"/>
      <c r="V4944" s="25"/>
      <c r="W4944" s="25"/>
      <c r="X4944" s="25"/>
      <c r="Y4944" s="25"/>
      <c r="Z4944" s="25"/>
    </row>
    <row r="4945" spans="1:26" ht="52.5" customHeight="1" x14ac:dyDescent="0.25">
      <c r="A4945" s="25"/>
      <c r="B4945" s="25"/>
      <c r="C4945" s="55"/>
      <c r="D4945" s="25"/>
      <c r="E4945" s="25"/>
      <c r="F4945" s="25"/>
      <c r="G4945" s="25"/>
      <c r="H4945" s="25"/>
      <c r="I4945" s="25"/>
      <c r="J4945" s="55"/>
      <c r="K4945" s="25"/>
      <c r="L4945" s="62"/>
      <c r="M4945" s="25"/>
      <c r="N4945" s="25"/>
      <c r="O4945" s="25">
        <f t="shared" si="0"/>
        <v>0</v>
      </c>
      <c r="P4945" s="25" t="str">
        <f t="shared" si="3"/>
        <v/>
      </c>
      <c r="Q4945" s="25"/>
      <c r="R4945" s="25"/>
      <c r="S4945" s="55"/>
      <c r="T4945" s="56"/>
      <c r="U4945" s="25"/>
      <c r="V4945" s="25"/>
      <c r="W4945" s="25"/>
      <c r="X4945" s="25"/>
      <c r="Y4945" s="25"/>
      <c r="Z4945" s="25"/>
    </row>
    <row r="4946" spans="1:26" ht="52.5" customHeight="1" x14ac:dyDescent="0.25">
      <c r="A4946" s="25"/>
      <c r="B4946" s="25"/>
      <c r="C4946" s="55"/>
      <c r="D4946" s="25"/>
      <c r="E4946" s="25"/>
      <c r="F4946" s="25"/>
      <c r="G4946" s="25"/>
      <c r="H4946" s="25"/>
      <c r="I4946" s="25"/>
      <c r="J4946" s="55"/>
      <c r="K4946" s="25"/>
      <c r="L4946" s="62"/>
      <c r="M4946" s="25"/>
      <c r="N4946" s="25"/>
      <c r="O4946" s="25">
        <f t="shared" si="0"/>
        <v>0</v>
      </c>
      <c r="P4946" s="25" t="str">
        <f t="shared" si="3"/>
        <v/>
      </c>
      <c r="Q4946" s="25"/>
      <c r="R4946" s="25"/>
      <c r="S4946" s="55"/>
      <c r="T4946" s="56"/>
      <c r="U4946" s="25"/>
      <c r="V4946" s="25"/>
      <c r="W4946" s="25"/>
      <c r="X4946" s="25"/>
      <c r="Y4946" s="25"/>
      <c r="Z4946" s="25"/>
    </row>
    <row r="4947" spans="1:26" ht="52.5" customHeight="1" x14ac:dyDescent="0.25">
      <c r="A4947" s="25"/>
      <c r="B4947" s="25"/>
      <c r="C4947" s="55"/>
      <c r="D4947" s="25"/>
      <c r="E4947" s="25"/>
      <c r="F4947" s="25"/>
      <c r="G4947" s="25"/>
      <c r="H4947" s="25"/>
      <c r="I4947" s="25"/>
      <c r="J4947" s="55"/>
      <c r="K4947" s="25"/>
      <c r="L4947" s="62"/>
      <c r="M4947" s="25"/>
      <c r="N4947" s="25"/>
      <c r="O4947" s="25">
        <f t="shared" si="0"/>
        <v>0</v>
      </c>
      <c r="P4947" s="25" t="str">
        <f t="shared" si="3"/>
        <v/>
      </c>
      <c r="Q4947" s="25"/>
      <c r="R4947" s="25"/>
      <c r="S4947" s="55"/>
      <c r="T4947" s="56"/>
      <c r="U4947" s="25"/>
      <c r="V4947" s="25"/>
      <c r="W4947" s="25"/>
      <c r="X4947" s="25"/>
      <c r="Y4947" s="25"/>
      <c r="Z4947" s="25"/>
    </row>
    <row r="4948" spans="1:26" ht="52.5" customHeight="1" x14ac:dyDescent="0.25">
      <c r="A4948" s="25"/>
      <c r="B4948" s="25"/>
      <c r="C4948" s="55"/>
      <c r="D4948" s="25"/>
      <c r="E4948" s="25"/>
      <c r="F4948" s="25"/>
      <c r="G4948" s="25"/>
      <c r="H4948" s="25"/>
      <c r="I4948" s="25"/>
      <c r="J4948" s="55"/>
      <c r="K4948" s="25"/>
      <c r="L4948" s="62"/>
      <c r="M4948" s="25"/>
      <c r="N4948" s="25"/>
      <c r="O4948" s="25">
        <f t="shared" si="0"/>
        <v>0</v>
      </c>
      <c r="P4948" s="25" t="str">
        <f t="shared" si="3"/>
        <v/>
      </c>
      <c r="Q4948" s="25"/>
      <c r="R4948" s="25"/>
      <c r="S4948" s="55"/>
      <c r="T4948" s="56"/>
      <c r="U4948" s="25"/>
      <c r="V4948" s="25"/>
      <c r="W4948" s="25"/>
      <c r="X4948" s="25"/>
      <c r="Y4948" s="25"/>
      <c r="Z4948" s="25"/>
    </row>
    <row r="4949" spans="1:26" ht="52.5" customHeight="1" x14ac:dyDescent="0.25">
      <c r="A4949" s="25"/>
      <c r="B4949" s="25"/>
      <c r="C4949" s="55"/>
      <c r="D4949" s="25"/>
      <c r="E4949" s="25"/>
      <c r="F4949" s="25"/>
      <c r="G4949" s="25"/>
      <c r="H4949" s="25"/>
      <c r="I4949" s="25"/>
      <c r="J4949" s="55"/>
      <c r="K4949" s="25"/>
      <c r="L4949" s="62"/>
      <c r="M4949" s="25"/>
      <c r="N4949" s="25"/>
      <c r="O4949" s="25">
        <f t="shared" si="0"/>
        <v>0</v>
      </c>
      <c r="P4949" s="25" t="str">
        <f t="shared" si="3"/>
        <v/>
      </c>
      <c r="Q4949" s="25"/>
      <c r="R4949" s="25"/>
      <c r="S4949" s="55"/>
      <c r="T4949" s="56"/>
      <c r="U4949" s="25"/>
      <c r="V4949" s="25"/>
      <c r="W4949" s="25"/>
      <c r="X4949" s="25"/>
      <c r="Y4949" s="25"/>
      <c r="Z4949" s="25"/>
    </row>
    <row r="4950" spans="1:26" ht="52.5" customHeight="1" x14ac:dyDescent="0.25">
      <c r="A4950" s="25"/>
      <c r="B4950" s="25"/>
      <c r="C4950" s="55"/>
      <c r="D4950" s="25"/>
      <c r="E4950" s="25"/>
      <c r="F4950" s="25"/>
      <c r="G4950" s="25"/>
      <c r="H4950" s="25"/>
      <c r="I4950" s="25"/>
      <c r="J4950" s="55"/>
      <c r="K4950" s="25"/>
      <c r="L4950" s="62"/>
      <c r="M4950" s="25"/>
      <c r="N4950" s="25"/>
      <c r="O4950" s="25">
        <f t="shared" si="0"/>
        <v>0</v>
      </c>
      <c r="P4950" s="25" t="str">
        <f t="shared" si="3"/>
        <v/>
      </c>
      <c r="Q4950" s="25"/>
      <c r="R4950" s="25"/>
      <c r="S4950" s="55"/>
      <c r="T4950" s="56"/>
      <c r="U4950" s="25"/>
      <c r="V4950" s="25"/>
      <c r="W4950" s="25"/>
      <c r="X4950" s="25"/>
      <c r="Y4950" s="25"/>
      <c r="Z4950" s="25"/>
    </row>
    <row r="4951" spans="1:26" ht="52.5" customHeight="1" x14ac:dyDescent="0.25">
      <c r="A4951" s="25"/>
      <c r="B4951" s="25"/>
      <c r="C4951" s="55"/>
      <c r="D4951" s="25"/>
      <c r="E4951" s="25"/>
      <c r="F4951" s="25"/>
      <c r="G4951" s="25"/>
      <c r="H4951" s="25"/>
      <c r="I4951" s="25"/>
      <c r="J4951" s="55"/>
      <c r="K4951" s="25"/>
      <c r="L4951" s="62"/>
      <c r="M4951" s="25"/>
      <c r="N4951" s="25"/>
      <c r="O4951" s="25">
        <f t="shared" si="0"/>
        <v>0</v>
      </c>
      <c r="P4951" s="25" t="str">
        <f t="shared" si="3"/>
        <v/>
      </c>
      <c r="Q4951" s="25"/>
      <c r="R4951" s="25"/>
      <c r="S4951" s="55"/>
      <c r="T4951" s="56"/>
      <c r="U4951" s="25"/>
      <c r="V4951" s="25"/>
      <c r="W4951" s="25"/>
      <c r="X4951" s="25"/>
      <c r="Y4951" s="25"/>
      <c r="Z4951" s="25"/>
    </row>
    <row r="4952" spans="1:26" ht="52.5" customHeight="1" x14ac:dyDescent="0.25">
      <c r="A4952" s="25"/>
      <c r="B4952" s="25"/>
      <c r="C4952" s="55"/>
      <c r="D4952" s="25"/>
      <c r="E4952" s="25"/>
      <c r="F4952" s="25"/>
      <c r="G4952" s="25"/>
      <c r="H4952" s="25"/>
      <c r="I4952" s="25"/>
      <c r="J4952" s="55"/>
      <c r="K4952" s="25"/>
      <c r="L4952" s="62"/>
      <c r="M4952" s="25"/>
      <c r="N4952" s="25"/>
      <c r="O4952" s="25">
        <f t="shared" si="0"/>
        <v>0</v>
      </c>
      <c r="P4952" s="25" t="str">
        <f t="shared" si="3"/>
        <v/>
      </c>
      <c r="Q4952" s="25"/>
      <c r="R4952" s="25"/>
      <c r="S4952" s="55"/>
      <c r="T4952" s="56"/>
      <c r="U4952" s="25"/>
      <c r="V4952" s="25"/>
      <c r="W4952" s="25"/>
      <c r="X4952" s="25"/>
      <c r="Y4952" s="25"/>
      <c r="Z4952" s="25"/>
    </row>
    <row r="4953" spans="1:26" ht="52.5" customHeight="1" x14ac:dyDescent="0.25">
      <c r="A4953" s="25"/>
      <c r="B4953" s="25"/>
      <c r="C4953" s="55"/>
      <c r="D4953" s="25"/>
      <c r="E4953" s="25"/>
      <c r="F4953" s="25"/>
      <c r="G4953" s="25"/>
      <c r="H4953" s="25"/>
      <c r="I4953" s="25"/>
      <c r="J4953" s="55"/>
      <c r="K4953" s="25"/>
      <c r="L4953" s="62"/>
      <c r="M4953" s="25"/>
      <c r="N4953" s="25"/>
      <c r="O4953" s="25">
        <f t="shared" si="0"/>
        <v>0</v>
      </c>
      <c r="P4953" s="25" t="str">
        <f t="shared" si="3"/>
        <v/>
      </c>
      <c r="Q4953" s="25"/>
      <c r="R4953" s="25"/>
      <c r="S4953" s="55"/>
      <c r="T4953" s="56"/>
      <c r="U4953" s="25"/>
      <c r="V4953" s="25"/>
      <c r="W4953" s="25"/>
      <c r="X4953" s="25"/>
      <c r="Y4953" s="25"/>
      <c r="Z4953" s="25"/>
    </row>
    <row r="4954" spans="1:26" ht="52.5" customHeight="1" x14ac:dyDescent="0.25">
      <c r="A4954" s="25"/>
      <c r="B4954" s="25"/>
      <c r="C4954" s="55"/>
      <c r="D4954" s="25"/>
      <c r="E4954" s="25"/>
      <c r="F4954" s="25"/>
      <c r="G4954" s="25"/>
      <c r="H4954" s="25"/>
      <c r="I4954" s="25"/>
      <c r="J4954" s="55"/>
      <c r="K4954" s="25"/>
      <c r="L4954" s="62"/>
      <c r="M4954" s="25"/>
      <c r="N4954" s="25"/>
      <c r="O4954" s="25">
        <f t="shared" si="0"/>
        <v>0</v>
      </c>
      <c r="P4954" s="25" t="str">
        <f t="shared" si="3"/>
        <v/>
      </c>
      <c r="Q4954" s="25"/>
      <c r="R4954" s="25"/>
      <c r="S4954" s="55"/>
      <c r="T4954" s="56"/>
      <c r="U4954" s="25"/>
      <c r="V4954" s="25"/>
      <c r="W4954" s="25"/>
      <c r="X4954" s="25"/>
      <c r="Y4954" s="25"/>
      <c r="Z4954" s="25"/>
    </row>
    <row r="4955" spans="1:26" ht="52.5" customHeight="1" x14ac:dyDescent="0.25">
      <c r="A4955" s="25"/>
      <c r="B4955" s="25"/>
      <c r="C4955" s="55"/>
      <c r="D4955" s="25"/>
      <c r="E4955" s="25"/>
      <c r="F4955" s="25"/>
      <c r="G4955" s="25"/>
      <c r="H4955" s="25"/>
      <c r="I4955" s="25"/>
      <c r="J4955" s="55"/>
      <c r="K4955" s="25"/>
      <c r="L4955" s="62"/>
      <c r="M4955" s="25"/>
      <c r="N4955" s="25"/>
      <c r="O4955" s="25">
        <f t="shared" si="0"/>
        <v>0</v>
      </c>
      <c r="P4955" s="25" t="str">
        <f t="shared" si="3"/>
        <v/>
      </c>
      <c r="Q4955" s="25"/>
      <c r="R4955" s="25"/>
      <c r="S4955" s="55"/>
      <c r="T4955" s="56"/>
      <c r="U4955" s="25"/>
      <c r="V4955" s="25"/>
      <c r="W4955" s="25"/>
      <c r="X4955" s="25"/>
      <c r="Y4955" s="25"/>
      <c r="Z4955" s="25"/>
    </row>
    <row r="4956" spans="1:26" ht="52.5" customHeight="1" x14ac:dyDescent="0.25">
      <c r="A4956" s="25"/>
      <c r="B4956" s="25"/>
      <c r="C4956" s="55"/>
      <c r="D4956" s="25"/>
      <c r="E4956" s="25"/>
      <c r="F4956" s="25"/>
      <c r="G4956" s="25"/>
      <c r="H4956" s="25"/>
      <c r="I4956" s="25"/>
      <c r="J4956" s="55"/>
      <c r="K4956" s="25"/>
      <c r="L4956" s="62"/>
      <c r="M4956" s="25"/>
      <c r="N4956" s="25"/>
      <c r="O4956" s="25">
        <f t="shared" si="0"/>
        <v>0</v>
      </c>
      <c r="P4956" s="25" t="str">
        <f t="shared" si="3"/>
        <v/>
      </c>
      <c r="Q4956" s="25"/>
      <c r="R4956" s="25"/>
      <c r="S4956" s="55"/>
      <c r="T4956" s="56"/>
      <c r="U4956" s="25"/>
      <c r="V4956" s="25"/>
      <c r="W4956" s="25"/>
      <c r="X4956" s="25"/>
      <c r="Y4956" s="25"/>
      <c r="Z4956" s="25"/>
    </row>
    <row r="4957" spans="1:26" ht="52.5" customHeight="1" x14ac:dyDescent="0.25">
      <c r="A4957" s="25"/>
      <c r="B4957" s="25"/>
      <c r="C4957" s="55"/>
      <c r="D4957" s="25"/>
      <c r="E4957" s="25"/>
      <c r="F4957" s="25"/>
      <c r="G4957" s="25"/>
      <c r="H4957" s="25"/>
      <c r="I4957" s="25"/>
      <c r="J4957" s="55"/>
      <c r="K4957" s="25"/>
      <c r="L4957" s="62"/>
      <c r="M4957" s="25"/>
      <c r="N4957" s="25"/>
      <c r="O4957" s="25">
        <f t="shared" si="0"/>
        <v>0</v>
      </c>
      <c r="P4957" s="25" t="str">
        <f t="shared" si="3"/>
        <v/>
      </c>
      <c r="Q4957" s="25"/>
      <c r="R4957" s="25"/>
      <c r="S4957" s="55"/>
      <c r="T4957" s="56"/>
      <c r="U4957" s="25"/>
      <c r="V4957" s="25"/>
      <c r="W4957" s="25"/>
      <c r="X4957" s="25"/>
      <c r="Y4957" s="25"/>
      <c r="Z4957" s="25"/>
    </row>
    <row r="4958" spans="1:26" ht="52.5" customHeight="1" x14ac:dyDescent="0.25">
      <c r="A4958" s="25"/>
      <c r="B4958" s="25"/>
      <c r="C4958" s="55"/>
      <c r="D4958" s="25"/>
      <c r="E4958" s="25"/>
      <c r="F4958" s="25"/>
      <c r="G4958" s="25"/>
      <c r="H4958" s="25"/>
      <c r="I4958" s="25"/>
      <c r="J4958" s="55"/>
      <c r="K4958" s="25"/>
      <c r="L4958" s="62"/>
      <c r="M4958" s="25"/>
      <c r="N4958" s="25"/>
      <c r="O4958" s="25">
        <f t="shared" si="0"/>
        <v>0</v>
      </c>
      <c r="P4958" s="25" t="str">
        <f t="shared" si="3"/>
        <v/>
      </c>
      <c r="Q4958" s="25"/>
      <c r="R4958" s="25"/>
      <c r="S4958" s="55"/>
      <c r="T4958" s="56"/>
      <c r="U4958" s="25"/>
      <c r="V4958" s="25"/>
      <c r="W4958" s="25"/>
      <c r="X4958" s="25"/>
      <c r="Y4958" s="25"/>
      <c r="Z4958" s="25"/>
    </row>
    <row r="4959" spans="1:26" ht="52.5" customHeight="1" x14ac:dyDescent="0.25">
      <c r="A4959" s="25"/>
      <c r="B4959" s="25"/>
      <c r="C4959" s="55"/>
      <c r="D4959" s="25"/>
      <c r="E4959" s="25"/>
      <c r="F4959" s="25"/>
      <c r="G4959" s="25"/>
      <c r="H4959" s="25"/>
      <c r="I4959" s="25"/>
      <c r="J4959" s="55"/>
      <c r="K4959" s="25"/>
      <c r="L4959" s="62"/>
      <c r="M4959" s="25"/>
      <c r="N4959" s="25"/>
      <c r="O4959" s="25">
        <f t="shared" si="0"/>
        <v>0</v>
      </c>
      <c r="P4959" s="25" t="str">
        <f t="shared" si="3"/>
        <v/>
      </c>
      <c r="Q4959" s="25"/>
      <c r="R4959" s="25"/>
      <c r="S4959" s="55"/>
      <c r="T4959" s="56"/>
      <c r="U4959" s="25"/>
      <c r="V4959" s="25"/>
      <c r="W4959" s="25"/>
      <c r="X4959" s="25"/>
      <c r="Y4959" s="25"/>
      <c r="Z4959" s="25"/>
    </row>
    <row r="4960" spans="1:26" ht="52.5" customHeight="1" x14ac:dyDescent="0.25">
      <c r="A4960" s="25"/>
      <c r="B4960" s="25"/>
      <c r="C4960" s="55"/>
      <c r="D4960" s="25"/>
      <c r="E4960" s="25"/>
      <c r="F4960" s="25"/>
      <c r="G4960" s="25"/>
      <c r="H4960" s="25"/>
      <c r="I4960" s="25"/>
      <c r="J4960" s="55"/>
      <c r="K4960" s="25"/>
      <c r="L4960" s="62"/>
      <c r="M4960" s="25"/>
      <c r="N4960" s="25"/>
      <c r="O4960" s="25">
        <f t="shared" si="0"/>
        <v>0</v>
      </c>
      <c r="P4960" s="25" t="str">
        <f t="shared" si="3"/>
        <v/>
      </c>
      <c r="Q4960" s="25"/>
      <c r="R4960" s="25"/>
      <c r="S4960" s="55"/>
      <c r="T4960" s="56"/>
      <c r="U4960" s="25"/>
      <c r="V4960" s="25"/>
      <c r="W4960" s="25"/>
      <c r="X4960" s="25"/>
      <c r="Y4960" s="25"/>
      <c r="Z4960" s="25"/>
    </row>
    <row r="4961" spans="1:26" ht="52.5" customHeight="1" x14ac:dyDescent="0.25">
      <c r="A4961" s="25"/>
      <c r="B4961" s="25"/>
      <c r="C4961" s="55"/>
      <c r="D4961" s="25"/>
      <c r="E4961" s="25"/>
      <c r="F4961" s="25"/>
      <c r="G4961" s="25"/>
      <c r="H4961" s="25"/>
      <c r="I4961" s="25"/>
      <c r="J4961" s="55"/>
      <c r="K4961" s="25"/>
      <c r="L4961" s="62"/>
      <c r="M4961" s="25"/>
      <c r="N4961" s="25"/>
      <c r="O4961" s="25">
        <f t="shared" si="0"/>
        <v>0</v>
      </c>
      <c r="P4961" s="25" t="str">
        <f t="shared" si="3"/>
        <v/>
      </c>
      <c r="Q4961" s="25"/>
      <c r="R4961" s="25"/>
      <c r="S4961" s="55"/>
      <c r="T4961" s="56"/>
      <c r="U4961" s="25"/>
      <c r="V4961" s="25"/>
      <c r="W4961" s="25"/>
      <c r="X4961" s="25"/>
      <c r="Y4961" s="25"/>
      <c r="Z4961" s="25"/>
    </row>
    <row r="4962" spans="1:26" ht="52.5" customHeight="1" x14ac:dyDescent="0.25">
      <c r="A4962" s="25"/>
      <c r="B4962" s="25"/>
      <c r="C4962" s="55"/>
      <c r="D4962" s="25"/>
      <c r="E4962" s="25"/>
      <c r="F4962" s="25"/>
      <c r="G4962" s="25"/>
      <c r="H4962" s="25"/>
      <c r="I4962" s="25"/>
      <c r="J4962" s="55"/>
      <c r="K4962" s="25"/>
      <c r="L4962" s="62"/>
      <c r="M4962" s="25"/>
      <c r="N4962" s="25"/>
      <c r="O4962" s="25">
        <f t="shared" si="0"/>
        <v>0</v>
      </c>
      <c r="P4962" s="25" t="str">
        <f t="shared" si="3"/>
        <v/>
      </c>
      <c r="Q4962" s="25"/>
      <c r="R4962" s="25"/>
      <c r="S4962" s="55"/>
      <c r="T4962" s="56"/>
      <c r="U4962" s="25"/>
      <c r="V4962" s="25"/>
      <c r="W4962" s="25"/>
      <c r="X4962" s="25"/>
      <c r="Y4962" s="25"/>
      <c r="Z4962" s="25"/>
    </row>
    <row r="4963" spans="1:26" ht="52.5" customHeight="1" x14ac:dyDescent="0.25">
      <c r="A4963" s="25"/>
      <c r="B4963" s="25"/>
      <c r="C4963" s="55"/>
      <c r="D4963" s="25"/>
      <c r="E4963" s="25"/>
      <c r="F4963" s="25"/>
      <c r="G4963" s="25"/>
      <c r="H4963" s="25"/>
      <c r="I4963" s="25"/>
      <c r="J4963" s="55"/>
      <c r="K4963" s="25"/>
      <c r="L4963" s="62"/>
      <c r="M4963" s="25"/>
      <c r="N4963" s="25"/>
      <c r="O4963" s="25">
        <f t="shared" si="0"/>
        <v>0</v>
      </c>
      <c r="P4963" s="25" t="str">
        <f t="shared" si="3"/>
        <v/>
      </c>
      <c r="Q4963" s="25"/>
      <c r="R4963" s="25"/>
      <c r="S4963" s="55"/>
      <c r="T4963" s="56"/>
      <c r="U4963" s="25"/>
      <c r="V4963" s="25"/>
      <c r="W4963" s="25"/>
      <c r="X4963" s="25"/>
      <c r="Y4963" s="25"/>
      <c r="Z4963" s="25"/>
    </row>
    <row r="4964" spans="1:26" ht="52.5" customHeight="1" x14ac:dyDescent="0.25">
      <c r="A4964" s="25"/>
      <c r="B4964" s="25"/>
      <c r="C4964" s="55"/>
      <c r="D4964" s="25"/>
      <c r="E4964" s="25"/>
      <c r="F4964" s="25"/>
      <c r="G4964" s="25"/>
      <c r="H4964" s="25"/>
      <c r="I4964" s="25"/>
      <c r="J4964" s="55"/>
      <c r="K4964" s="25"/>
      <c r="L4964" s="62"/>
      <c r="M4964" s="25"/>
      <c r="N4964" s="25"/>
      <c r="O4964" s="25">
        <f t="shared" si="0"/>
        <v>0</v>
      </c>
      <c r="P4964" s="25" t="str">
        <f t="shared" si="3"/>
        <v/>
      </c>
      <c r="Q4964" s="25"/>
      <c r="R4964" s="25"/>
      <c r="S4964" s="55"/>
      <c r="T4964" s="56"/>
      <c r="U4964" s="25"/>
      <c r="V4964" s="25"/>
      <c r="W4964" s="25"/>
      <c r="X4964" s="25"/>
      <c r="Y4964" s="25"/>
      <c r="Z4964" s="25"/>
    </row>
    <row r="4965" spans="1:26" ht="52.5" customHeight="1" x14ac:dyDescent="0.25">
      <c r="A4965" s="25"/>
      <c r="B4965" s="25"/>
      <c r="C4965" s="55"/>
      <c r="D4965" s="25"/>
      <c r="E4965" s="25"/>
      <c r="F4965" s="25"/>
      <c r="G4965" s="25"/>
      <c r="H4965" s="25"/>
      <c r="I4965" s="25"/>
      <c r="J4965" s="55"/>
      <c r="K4965" s="25"/>
      <c r="L4965" s="62"/>
      <c r="M4965" s="25"/>
      <c r="N4965" s="25"/>
      <c r="O4965" s="25">
        <f t="shared" si="0"/>
        <v>0</v>
      </c>
      <c r="P4965" s="25" t="str">
        <f t="shared" si="3"/>
        <v/>
      </c>
      <c r="Q4965" s="25"/>
      <c r="R4965" s="25"/>
      <c r="S4965" s="55"/>
      <c r="T4965" s="56"/>
      <c r="U4965" s="25"/>
      <c r="V4965" s="25"/>
      <c r="W4965" s="25"/>
      <c r="X4965" s="25"/>
      <c r="Y4965" s="25"/>
      <c r="Z4965" s="25"/>
    </row>
    <row r="4966" spans="1:26" ht="52.5" customHeight="1" x14ac:dyDescent="0.25">
      <c r="A4966" s="25"/>
      <c r="B4966" s="25"/>
      <c r="C4966" s="55"/>
      <c r="D4966" s="25"/>
      <c r="E4966" s="25"/>
      <c r="F4966" s="25"/>
      <c r="G4966" s="25"/>
      <c r="H4966" s="25"/>
      <c r="I4966" s="25"/>
      <c r="J4966" s="55"/>
      <c r="K4966" s="25"/>
      <c r="L4966" s="62"/>
      <c r="M4966" s="25"/>
      <c r="N4966" s="25"/>
      <c r="O4966" s="25">
        <f t="shared" si="0"/>
        <v>0</v>
      </c>
      <c r="P4966" s="25" t="str">
        <f t="shared" si="3"/>
        <v/>
      </c>
      <c r="Q4966" s="25"/>
      <c r="R4966" s="25"/>
      <c r="S4966" s="55"/>
      <c r="T4966" s="56"/>
      <c r="U4966" s="25"/>
      <c r="V4966" s="25"/>
      <c r="W4966" s="25"/>
      <c r="X4966" s="25"/>
      <c r="Y4966" s="25"/>
      <c r="Z4966" s="25"/>
    </row>
    <row r="4967" spans="1:26" ht="52.5" customHeight="1" x14ac:dyDescent="0.25">
      <c r="A4967" s="25"/>
      <c r="B4967" s="25"/>
      <c r="C4967" s="55"/>
      <c r="D4967" s="25"/>
      <c r="E4967" s="25"/>
      <c r="F4967" s="25"/>
      <c r="G4967" s="25"/>
      <c r="H4967" s="25"/>
      <c r="I4967" s="25"/>
      <c r="J4967" s="55"/>
      <c r="K4967" s="25"/>
      <c r="L4967" s="62"/>
      <c r="M4967" s="25"/>
      <c r="N4967" s="25"/>
      <c r="O4967" s="25">
        <f t="shared" si="0"/>
        <v>0</v>
      </c>
      <c r="P4967" s="25" t="str">
        <f t="shared" si="3"/>
        <v/>
      </c>
      <c r="Q4967" s="25"/>
      <c r="R4967" s="25"/>
      <c r="S4967" s="55"/>
      <c r="T4967" s="56"/>
      <c r="U4967" s="25"/>
      <c r="V4967" s="25"/>
      <c r="W4967" s="25"/>
      <c r="X4967" s="25"/>
      <c r="Y4967" s="25"/>
      <c r="Z4967" s="25"/>
    </row>
    <row r="4968" spans="1:26" ht="52.5" customHeight="1" x14ac:dyDescent="0.25">
      <c r="A4968" s="25"/>
      <c r="B4968" s="25"/>
      <c r="C4968" s="55"/>
      <c r="D4968" s="25"/>
      <c r="E4968" s="25"/>
      <c r="F4968" s="25"/>
      <c r="G4968" s="25"/>
      <c r="H4968" s="25"/>
      <c r="I4968" s="25"/>
      <c r="J4968" s="55"/>
      <c r="K4968" s="25"/>
      <c r="L4968" s="62"/>
      <c r="M4968" s="25"/>
      <c r="N4968" s="25"/>
      <c r="O4968" s="25">
        <f t="shared" si="0"/>
        <v>0</v>
      </c>
      <c r="P4968" s="25" t="str">
        <f t="shared" si="3"/>
        <v/>
      </c>
      <c r="Q4968" s="25"/>
      <c r="R4968" s="25"/>
      <c r="S4968" s="55"/>
      <c r="T4968" s="56"/>
      <c r="U4968" s="25"/>
      <c r="V4968" s="25"/>
      <c r="W4968" s="25"/>
      <c r="X4968" s="25"/>
      <c r="Y4968" s="25"/>
      <c r="Z4968" s="25"/>
    </row>
    <row r="4969" spans="1:26" ht="52.5" customHeight="1" x14ac:dyDescent="0.25">
      <c r="A4969" s="25"/>
      <c r="B4969" s="25"/>
      <c r="C4969" s="55"/>
      <c r="D4969" s="25"/>
      <c r="E4969" s="25"/>
      <c r="F4969" s="25"/>
      <c r="G4969" s="25"/>
      <c r="H4969" s="25"/>
      <c r="I4969" s="25"/>
      <c r="J4969" s="55"/>
      <c r="K4969" s="25"/>
      <c r="L4969" s="62"/>
      <c r="M4969" s="25"/>
      <c r="N4969" s="25"/>
      <c r="O4969" s="25">
        <f t="shared" si="0"/>
        <v>0</v>
      </c>
      <c r="P4969" s="25" t="str">
        <f t="shared" si="3"/>
        <v/>
      </c>
      <c r="Q4969" s="25"/>
      <c r="R4969" s="25"/>
      <c r="S4969" s="55"/>
      <c r="T4969" s="56"/>
      <c r="U4969" s="25"/>
      <c r="V4969" s="25"/>
      <c r="W4969" s="25"/>
      <c r="X4969" s="25"/>
      <c r="Y4969" s="25"/>
      <c r="Z4969" s="25"/>
    </row>
    <row r="4970" spans="1:26" ht="52.5" customHeight="1" x14ac:dyDescent="0.25">
      <c r="A4970" s="25"/>
      <c r="B4970" s="25"/>
      <c r="C4970" s="55"/>
      <c r="D4970" s="25"/>
      <c r="E4970" s="25"/>
      <c r="F4970" s="25"/>
      <c r="G4970" s="25"/>
      <c r="H4970" s="25"/>
      <c r="I4970" s="25"/>
      <c r="J4970" s="55"/>
      <c r="K4970" s="25"/>
      <c r="L4970" s="62"/>
      <c r="M4970" s="25"/>
      <c r="N4970" s="25"/>
      <c r="O4970" s="25">
        <f t="shared" si="0"/>
        <v>0</v>
      </c>
      <c r="P4970" s="25" t="str">
        <f t="shared" si="3"/>
        <v/>
      </c>
      <c r="Q4970" s="25"/>
      <c r="R4970" s="25"/>
      <c r="S4970" s="55"/>
      <c r="T4970" s="56"/>
      <c r="U4970" s="25"/>
      <c r="V4970" s="25"/>
      <c r="W4970" s="25"/>
      <c r="X4970" s="25"/>
      <c r="Y4970" s="25"/>
      <c r="Z4970" s="25"/>
    </row>
    <row r="4971" spans="1:26" ht="52.5" customHeight="1" x14ac:dyDescent="0.25">
      <c r="A4971" s="25"/>
      <c r="B4971" s="25"/>
      <c r="C4971" s="55"/>
      <c r="D4971" s="25"/>
      <c r="E4971" s="25"/>
      <c r="F4971" s="25"/>
      <c r="G4971" s="25"/>
      <c r="H4971" s="25"/>
      <c r="I4971" s="25"/>
      <c r="J4971" s="55"/>
      <c r="K4971" s="25"/>
      <c r="L4971" s="62"/>
      <c r="M4971" s="25"/>
      <c r="N4971" s="25"/>
      <c r="O4971" s="25">
        <f t="shared" si="0"/>
        <v>0</v>
      </c>
      <c r="P4971" s="25" t="str">
        <f t="shared" si="3"/>
        <v/>
      </c>
      <c r="Q4971" s="25"/>
      <c r="R4971" s="25"/>
      <c r="S4971" s="55"/>
      <c r="T4971" s="56"/>
      <c r="U4971" s="25"/>
      <c r="V4971" s="25"/>
      <c r="W4971" s="25"/>
      <c r="X4971" s="25"/>
      <c r="Y4971" s="25"/>
      <c r="Z4971" s="25"/>
    </row>
    <row r="4972" spans="1:26" ht="52.5" customHeight="1" x14ac:dyDescent="0.25">
      <c r="A4972" s="25"/>
      <c r="B4972" s="25"/>
      <c r="C4972" s="55"/>
      <c r="D4972" s="25"/>
      <c r="E4972" s="25"/>
      <c r="F4972" s="25"/>
      <c r="G4972" s="25"/>
      <c r="H4972" s="25"/>
      <c r="I4972" s="25"/>
      <c r="J4972" s="55"/>
      <c r="K4972" s="25"/>
      <c r="L4972" s="62"/>
      <c r="M4972" s="25"/>
      <c r="N4972" s="25"/>
      <c r="O4972" s="25">
        <f t="shared" si="0"/>
        <v>0</v>
      </c>
      <c r="P4972" s="25" t="str">
        <f t="shared" si="3"/>
        <v/>
      </c>
      <c r="Q4972" s="25"/>
      <c r="R4972" s="25"/>
      <c r="S4972" s="55"/>
      <c r="T4972" s="56"/>
      <c r="U4972" s="25"/>
      <c r="V4972" s="25"/>
      <c r="W4972" s="25"/>
      <c r="X4972" s="25"/>
      <c r="Y4972" s="25"/>
      <c r="Z4972" s="25"/>
    </row>
    <row r="4973" spans="1:26" ht="52.5" customHeight="1" x14ac:dyDescent="0.25">
      <c r="A4973" s="25"/>
      <c r="B4973" s="25"/>
      <c r="C4973" s="55"/>
      <c r="D4973" s="25"/>
      <c r="E4973" s="25"/>
      <c r="F4973" s="25"/>
      <c r="G4973" s="25"/>
      <c r="H4973" s="25"/>
      <c r="I4973" s="25"/>
      <c r="J4973" s="55"/>
      <c r="K4973" s="25"/>
      <c r="L4973" s="62"/>
      <c r="M4973" s="25"/>
      <c r="N4973" s="25"/>
      <c r="O4973" s="25">
        <f t="shared" si="0"/>
        <v>0</v>
      </c>
      <c r="P4973" s="25" t="str">
        <f t="shared" si="3"/>
        <v/>
      </c>
      <c r="Q4973" s="25"/>
      <c r="R4973" s="25"/>
      <c r="S4973" s="55"/>
      <c r="T4973" s="56"/>
      <c r="U4973" s="25"/>
      <c r="V4973" s="25"/>
      <c r="W4973" s="25"/>
      <c r="X4973" s="25"/>
      <c r="Y4973" s="25"/>
      <c r="Z4973" s="25"/>
    </row>
    <row r="4974" spans="1:26" ht="52.5" customHeight="1" x14ac:dyDescent="0.25">
      <c r="A4974" s="25"/>
      <c r="B4974" s="25"/>
      <c r="C4974" s="55"/>
      <c r="D4974" s="25"/>
      <c r="E4974" s="25"/>
      <c r="F4974" s="25"/>
      <c r="G4974" s="25"/>
      <c r="H4974" s="25"/>
      <c r="I4974" s="25"/>
      <c r="J4974" s="55"/>
      <c r="K4974" s="25"/>
      <c r="L4974" s="62"/>
      <c r="M4974" s="25"/>
      <c r="N4974" s="25"/>
      <c r="O4974" s="25">
        <f t="shared" si="0"/>
        <v>0</v>
      </c>
      <c r="P4974" s="25" t="str">
        <f t="shared" si="3"/>
        <v/>
      </c>
      <c r="Q4974" s="25"/>
      <c r="R4974" s="25"/>
      <c r="S4974" s="55"/>
      <c r="T4974" s="56"/>
      <c r="U4974" s="25"/>
      <c r="V4974" s="25"/>
      <c r="W4974" s="25"/>
      <c r="X4974" s="25"/>
      <c r="Y4974" s="25"/>
      <c r="Z4974" s="25"/>
    </row>
    <row r="4975" spans="1:26" ht="52.5" customHeight="1" x14ac:dyDescent="0.25">
      <c r="A4975" s="25"/>
      <c r="B4975" s="25"/>
      <c r="C4975" s="55"/>
      <c r="D4975" s="25"/>
      <c r="E4975" s="25"/>
      <c r="F4975" s="25"/>
      <c r="G4975" s="25"/>
      <c r="H4975" s="25"/>
      <c r="I4975" s="25"/>
      <c r="J4975" s="55"/>
      <c r="K4975" s="25"/>
      <c r="L4975" s="62"/>
      <c r="M4975" s="25"/>
      <c r="N4975" s="25"/>
      <c r="O4975" s="25">
        <f t="shared" si="0"/>
        <v>0</v>
      </c>
      <c r="P4975" s="25" t="str">
        <f t="shared" si="3"/>
        <v/>
      </c>
      <c r="Q4975" s="25"/>
      <c r="R4975" s="25"/>
      <c r="S4975" s="55"/>
      <c r="T4975" s="56"/>
      <c r="U4975" s="25"/>
      <c r="V4975" s="25"/>
      <c r="W4975" s="25"/>
      <c r="X4975" s="25"/>
      <c r="Y4975" s="25"/>
      <c r="Z4975" s="25"/>
    </row>
    <row r="4976" spans="1:26" ht="52.5" customHeight="1" x14ac:dyDescent="0.25">
      <c r="A4976" s="25"/>
      <c r="B4976" s="25"/>
      <c r="C4976" s="55"/>
      <c r="D4976" s="25"/>
      <c r="E4976" s="25"/>
      <c r="F4976" s="25"/>
      <c r="G4976" s="25"/>
      <c r="H4976" s="25"/>
      <c r="I4976" s="25"/>
      <c r="J4976" s="55"/>
      <c r="K4976" s="25"/>
      <c r="L4976" s="62"/>
      <c r="M4976" s="25"/>
      <c r="N4976" s="25"/>
      <c r="O4976" s="25">
        <f t="shared" si="0"/>
        <v>0</v>
      </c>
      <c r="P4976" s="25" t="str">
        <f t="shared" si="3"/>
        <v/>
      </c>
      <c r="Q4976" s="25"/>
      <c r="R4976" s="25"/>
      <c r="S4976" s="55"/>
      <c r="T4976" s="56"/>
      <c r="U4976" s="25"/>
      <c r="V4976" s="25"/>
      <c r="W4976" s="25"/>
      <c r="X4976" s="25"/>
      <c r="Y4976" s="25"/>
      <c r="Z4976" s="25"/>
    </row>
    <row r="4977" spans="1:26" ht="52.5" customHeight="1" x14ac:dyDescent="0.25">
      <c r="A4977" s="25"/>
      <c r="B4977" s="25"/>
      <c r="C4977" s="55"/>
      <c r="D4977" s="25"/>
      <c r="E4977" s="25"/>
      <c r="F4977" s="25"/>
      <c r="G4977" s="25"/>
      <c r="H4977" s="25"/>
      <c r="I4977" s="25"/>
      <c r="J4977" s="55"/>
      <c r="K4977" s="25"/>
      <c r="L4977" s="62"/>
      <c r="M4977" s="25"/>
      <c r="N4977" s="25"/>
      <c r="O4977" s="25">
        <f t="shared" si="0"/>
        <v>0</v>
      </c>
      <c r="P4977" s="25" t="str">
        <f t="shared" si="3"/>
        <v/>
      </c>
      <c r="Q4977" s="25"/>
      <c r="R4977" s="25"/>
      <c r="S4977" s="55"/>
      <c r="T4977" s="56"/>
      <c r="U4977" s="25"/>
      <c r="V4977" s="25"/>
      <c r="W4977" s="25"/>
      <c r="X4977" s="25"/>
      <c r="Y4977" s="25"/>
      <c r="Z4977" s="25"/>
    </row>
    <row r="4978" spans="1:26" ht="52.5" customHeight="1" x14ac:dyDescent="0.25">
      <c r="A4978" s="25"/>
      <c r="B4978" s="25"/>
      <c r="C4978" s="55"/>
      <c r="D4978" s="25"/>
      <c r="E4978" s="25"/>
      <c r="F4978" s="25"/>
      <c r="G4978" s="25"/>
      <c r="H4978" s="25"/>
      <c r="I4978" s="25"/>
      <c r="J4978" s="55"/>
      <c r="K4978" s="25"/>
      <c r="L4978" s="62"/>
      <c r="M4978" s="25"/>
      <c r="N4978" s="25"/>
      <c r="O4978" s="25">
        <f t="shared" si="0"/>
        <v>0</v>
      </c>
      <c r="P4978" s="25" t="str">
        <f t="shared" si="3"/>
        <v/>
      </c>
      <c r="Q4978" s="25"/>
      <c r="R4978" s="25"/>
      <c r="S4978" s="55"/>
      <c r="T4978" s="56"/>
      <c r="U4978" s="25"/>
      <c r="V4978" s="25"/>
      <c r="W4978" s="25"/>
      <c r="X4978" s="25"/>
      <c r="Y4978" s="25"/>
      <c r="Z4978" s="25"/>
    </row>
    <row r="4979" spans="1:26" ht="52.5" customHeight="1" x14ac:dyDescent="0.25">
      <c r="A4979" s="25"/>
      <c r="B4979" s="25"/>
      <c r="C4979" s="55"/>
      <c r="D4979" s="25"/>
      <c r="E4979" s="25"/>
      <c r="F4979" s="25"/>
      <c r="G4979" s="25"/>
      <c r="H4979" s="25"/>
      <c r="I4979" s="25"/>
      <c r="J4979" s="55"/>
      <c r="K4979" s="25"/>
      <c r="L4979" s="62"/>
      <c r="M4979" s="25"/>
      <c r="N4979" s="25"/>
      <c r="O4979" s="25">
        <f t="shared" si="0"/>
        <v>0</v>
      </c>
      <c r="P4979" s="25" t="str">
        <f t="shared" si="3"/>
        <v/>
      </c>
      <c r="Q4979" s="25"/>
      <c r="R4979" s="25"/>
      <c r="S4979" s="55"/>
      <c r="T4979" s="56"/>
      <c r="U4979" s="25"/>
      <c r="V4979" s="25"/>
      <c r="W4979" s="25"/>
      <c r="X4979" s="25"/>
      <c r="Y4979" s="25"/>
      <c r="Z4979" s="25"/>
    </row>
    <row r="4980" spans="1:26" ht="52.5" customHeight="1" x14ac:dyDescent="0.25">
      <c r="A4980" s="25"/>
      <c r="B4980" s="25"/>
      <c r="C4980" s="55"/>
      <c r="D4980" s="25"/>
      <c r="E4980" s="25"/>
      <c r="F4980" s="25"/>
      <c r="G4980" s="25"/>
      <c r="H4980" s="25"/>
      <c r="I4980" s="25"/>
      <c r="J4980" s="55"/>
      <c r="K4980" s="25"/>
      <c r="L4980" s="62"/>
      <c r="M4980" s="25"/>
      <c r="N4980" s="25"/>
      <c r="O4980" s="25">
        <f t="shared" si="0"/>
        <v>0</v>
      </c>
      <c r="P4980" s="25" t="str">
        <f t="shared" si="3"/>
        <v/>
      </c>
      <c r="Q4980" s="25"/>
      <c r="R4980" s="25"/>
      <c r="S4980" s="55"/>
      <c r="T4980" s="56"/>
      <c r="U4980" s="25"/>
      <c r="V4980" s="25"/>
      <c r="W4980" s="25"/>
      <c r="X4980" s="25"/>
      <c r="Y4980" s="25"/>
      <c r="Z4980" s="25"/>
    </row>
    <row r="4981" spans="1:26" ht="52.5" customHeight="1" x14ac:dyDescent="0.25">
      <c r="A4981" s="25"/>
      <c r="B4981" s="25"/>
      <c r="C4981" s="55"/>
      <c r="D4981" s="25"/>
      <c r="E4981" s="25"/>
      <c r="F4981" s="25"/>
      <c r="G4981" s="25"/>
      <c r="H4981" s="25"/>
      <c r="I4981" s="25"/>
      <c r="J4981" s="55"/>
      <c r="K4981" s="25"/>
      <c r="L4981" s="62"/>
      <c r="M4981" s="25"/>
      <c r="N4981" s="25"/>
      <c r="O4981" s="25">
        <f t="shared" si="0"/>
        <v>0</v>
      </c>
      <c r="P4981" s="25" t="str">
        <f t="shared" si="3"/>
        <v/>
      </c>
      <c r="Q4981" s="25"/>
      <c r="R4981" s="25"/>
      <c r="S4981" s="55"/>
      <c r="T4981" s="56"/>
      <c r="U4981" s="25"/>
      <c r="V4981" s="25"/>
      <c r="W4981" s="25"/>
      <c r="X4981" s="25"/>
      <c r="Y4981" s="25"/>
      <c r="Z4981" s="25"/>
    </row>
    <row r="4982" spans="1:26" ht="52.5" customHeight="1" x14ac:dyDescent="0.25">
      <c r="A4982" s="25"/>
      <c r="B4982" s="25"/>
      <c r="C4982" s="55"/>
      <c r="D4982" s="25"/>
      <c r="E4982" s="25"/>
      <c r="F4982" s="25"/>
      <c r="G4982" s="25"/>
      <c r="H4982" s="25"/>
      <c r="I4982" s="25"/>
      <c r="J4982" s="55"/>
      <c r="K4982" s="25"/>
      <c r="L4982" s="62"/>
      <c r="M4982" s="25"/>
      <c r="N4982" s="25"/>
      <c r="O4982" s="25">
        <f t="shared" si="0"/>
        <v>0</v>
      </c>
      <c r="P4982" s="25" t="str">
        <f t="shared" si="3"/>
        <v/>
      </c>
      <c r="Q4982" s="25"/>
      <c r="R4982" s="25"/>
      <c r="S4982" s="55"/>
      <c r="T4982" s="56"/>
      <c r="U4982" s="25"/>
      <c r="V4982" s="25"/>
      <c r="W4982" s="25"/>
      <c r="X4982" s="25"/>
      <c r="Y4982" s="25"/>
      <c r="Z4982" s="25"/>
    </row>
    <row r="4983" spans="1:26" ht="52.5" customHeight="1" x14ac:dyDescent="0.25">
      <c r="A4983" s="25"/>
      <c r="B4983" s="25"/>
      <c r="C4983" s="55"/>
      <c r="D4983" s="25"/>
      <c r="E4983" s="25"/>
      <c r="F4983" s="25"/>
      <c r="G4983" s="25"/>
      <c r="H4983" s="25"/>
      <c r="I4983" s="25"/>
      <c r="J4983" s="55"/>
      <c r="K4983" s="25"/>
      <c r="L4983" s="62"/>
      <c r="M4983" s="25"/>
      <c r="N4983" s="25"/>
      <c r="O4983" s="25">
        <f t="shared" si="0"/>
        <v>0</v>
      </c>
      <c r="P4983" s="25" t="str">
        <f t="shared" si="3"/>
        <v/>
      </c>
      <c r="Q4983" s="25"/>
      <c r="R4983" s="25"/>
      <c r="S4983" s="55"/>
      <c r="T4983" s="56"/>
      <c r="U4983" s="25"/>
      <c r="V4983" s="25"/>
      <c r="W4983" s="25"/>
      <c r="X4983" s="25"/>
      <c r="Y4983" s="25"/>
      <c r="Z4983" s="25"/>
    </row>
    <row r="4984" spans="1:26" ht="52.5" customHeight="1" x14ac:dyDescent="0.25">
      <c r="A4984" s="25"/>
      <c r="B4984" s="25"/>
      <c r="C4984" s="55"/>
      <c r="D4984" s="25"/>
      <c r="E4984" s="25"/>
      <c r="F4984" s="25"/>
      <c r="G4984" s="25"/>
      <c r="H4984" s="25"/>
      <c r="I4984" s="25"/>
      <c r="J4984" s="55"/>
      <c r="K4984" s="25"/>
      <c r="L4984" s="62"/>
      <c r="M4984" s="25"/>
      <c r="N4984" s="25"/>
      <c r="O4984" s="25">
        <f t="shared" si="0"/>
        <v>0</v>
      </c>
      <c r="P4984" s="25" t="str">
        <f t="shared" si="3"/>
        <v/>
      </c>
      <c r="Q4984" s="25"/>
      <c r="R4984" s="25"/>
      <c r="S4984" s="55"/>
      <c r="T4984" s="56"/>
      <c r="U4984" s="25"/>
      <c r="V4984" s="25"/>
      <c r="W4984" s="25"/>
      <c r="X4984" s="25"/>
      <c r="Y4984" s="25"/>
      <c r="Z4984" s="25"/>
    </row>
    <row r="4985" spans="1:26" ht="52.5" customHeight="1" x14ac:dyDescent="0.25">
      <c r="A4985" s="25"/>
      <c r="B4985" s="25"/>
      <c r="C4985" s="55"/>
      <c r="D4985" s="25"/>
      <c r="E4985" s="25"/>
      <c r="F4985" s="25"/>
      <c r="G4985" s="25"/>
      <c r="H4985" s="25"/>
      <c r="I4985" s="25"/>
      <c r="J4985" s="55"/>
      <c r="K4985" s="25"/>
      <c r="L4985" s="62"/>
      <c r="M4985" s="25"/>
      <c r="N4985" s="25"/>
      <c r="O4985" s="25">
        <f t="shared" si="0"/>
        <v>0</v>
      </c>
      <c r="P4985" s="25" t="str">
        <f t="shared" si="3"/>
        <v/>
      </c>
      <c r="Q4985" s="25"/>
      <c r="R4985" s="25"/>
      <c r="S4985" s="55"/>
      <c r="T4985" s="56"/>
      <c r="U4985" s="25"/>
      <c r="V4985" s="25"/>
      <c r="W4985" s="25"/>
      <c r="X4985" s="25"/>
      <c r="Y4985" s="25"/>
      <c r="Z4985" s="25"/>
    </row>
    <row r="4986" spans="1:26" ht="52.5" customHeight="1" x14ac:dyDescent="0.25">
      <c r="A4986" s="25"/>
      <c r="B4986" s="25"/>
      <c r="C4986" s="55"/>
      <c r="D4986" s="25"/>
      <c r="E4986" s="25"/>
      <c r="F4986" s="25"/>
      <c r="G4986" s="25"/>
      <c r="H4986" s="25"/>
      <c r="I4986" s="25"/>
      <c r="J4986" s="55"/>
      <c r="K4986" s="25"/>
      <c r="L4986" s="62"/>
      <c r="M4986" s="25"/>
      <c r="N4986" s="25"/>
      <c r="O4986" s="25">
        <f t="shared" si="0"/>
        <v>0</v>
      </c>
      <c r="P4986" s="25" t="str">
        <f t="shared" si="3"/>
        <v/>
      </c>
      <c r="Q4986" s="25"/>
      <c r="R4986" s="25"/>
      <c r="S4986" s="55"/>
      <c r="T4986" s="56"/>
      <c r="U4986" s="25"/>
      <c r="V4986" s="25"/>
      <c r="W4986" s="25"/>
      <c r="X4986" s="25"/>
      <c r="Y4986" s="25"/>
      <c r="Z4986" s="25"/>
    </row>
    <row r="4987" spans="1:26" ht="52.5" customHeight="1" x14ac:dyDescent="0.25">
      <c r="A4987" s="25"/>
      <c r="B4987" s="25"/>
      <c r="C4987" s="55"/>
      <c r="D4987" s="25"/>
      <c r="E4987" s="25"/>
      <c r="F4987" s="25"/>
      <c r="G4987" s="25"/>
      <c r="H4987" s="25"/>
      <c r="I4987" s="25"/>
      <c r="J4987" s="55"/>
      <c r="K4987" s="25"/>
      <c r="L4987" s="62"/>
      <c r="M4987" s="25"/>
      <c r="N4987" s="25"/>
      <c r="O4987" s="25">
        <f t="shared" si="0"/>
        <v>0</v>
      </c>
      <c r="P4987" s="25" t="str">
        <f t="shared" si="3"/>
        <v/>
      </c>
      <c r="Q4987" s="25"/>
      <c r="R4987" s="25"/>
      <c r="S4987" s="55"/>
      <c r="T4987" s="56"/>
      <c r="U4987" s="25"/>
      <c r="V4987" s="25"/>
      <c r="W4987" s="25"/>
      <c r="X4987" s="25"/>
      <c r="Y4987" s="25"/>
      <c r="Z4987" s="25"/>
    </row>
    <row r="4988" spans="1:26" ht="52.5" customHeight="1" x14ac:dyDescent="0.25">
      <c r="A4988" s="25"/>
      <c r="B4988" s="25"/>
      <c r="C4988" s="55"/>
      <c r="D4988" s="25"/>
      <c r="E4988" s="25"/>
      <c r="F4988" s="25"/>
      <c r="G4988" s="25"/>
      <c r="H4988" s="25"/>
      <c r="I4988" s="25"/>
      <c r="J4988" s="55"/>
      <c r="K4988" s="25"/>
      <c r="L4988" s="62"/>
      <c r="M4988" s="25"/>
      <c r="N4988" s="25"/>
      <c r="O4988" s="25">
        <f t="shared" si="0"/>
        <v>0</v>
      </c>
      <c r="P4988" s="25" t="str">
        <f t="shared" si="3"/>
        <v/>
      </c>
      <c r="Q4988" s="25"/>
      <c r="R4988" s="25"/>
      <c r="S4988" s="55"/>
      <c r="T4988" s="56"/>
      <c r="U4988" s="25"/>
      <c r="V4988" s="25"/>
      <c r="W4988" s="25"/>
      <c r="X4988" s="25"/>
      <c r="Y4988" s="25"/>
      <c r="Z4988" s="25"/>
    </row>
    <row r="4989" spans="1:26" ht="52.5" customHeight="1" x14ac:dyDescent="0.25">
      <c r="A4989" s="25"/>
      <c r="B4989" s="25"/>
      <c r="C4989" s="55"/>
      <c r="D4989" s="25"/>
      <c r="E4989" s="25"/>
      <c r="F4989" s="25"/>
      <c r="G4989" s="25"/>
      <c r="H4989" s="25"/>
      <c r="I4989" s="25"/>
      <c r="J4989" s="55"/>
      <c r="K4989" s="25"/>
      <c r="L4989" s="62"/>
      <c r="M4989" s="25"/>
      <c r="N4989" s="25"/>
      <c r="O4989" s="25">
        <f t="shared" si="0"/>
        <v>0</v>
      </c>
      <c r="P4989" s="25" t="str">
        <f t="shared" si="3"/>
        <v/>
      </c>
      <c r="Q4989" s="25"/>
      <c r="R4989" s="25"/>
      <c r="S4989" s="55"/>
      <c r="T4989" s="56"/>
      <c r="U4989" s="25"/>
      <c r="V4989" s="25"/>
      <c r="W4989" s="25"/>
      <c r="X4989" s="25"/>
      <c r="Y4989" s="25"/>
      <c r="Z4989" s="25"/>
    </row>
    <row r="4990" spans="1:26" ht="52.5" customHeight="1" x14ac:dyDescent="0.25">
      <c r="A4990" s="25"/>
      <c r="B4990" s="25"/>
      <c r="C4990" s="55"/>
      <c r="D4990" s="25"/>
      <c r="E4990" s="25"/>
      <c r="F4990" s="25"/>
      <c r="G4990" s="25"/>
      <c r="H4990" s="25"/>
      <c r="I4990" s="25"/>
      <c r="J4990" s="55"/>
      <c r="K4990" s="25"/>
      <c r="L4990" s="62"/>
      <c r="M4990" s="25"/>
      <c r="N4990" s="25"/>
      <c r="O4990" s="25">
        <f t="shared" si="0"/>
        <v>0</v>
      </c>
      <c r="P4990" s="25" t="str">
        <f t="shared" si="3"/>
        <v/>
      </c>
      <c r="Q4990" s="25"/>
      <c r="R4990" s="25"/>
      <c r="S4990" s="55"/>
      <c r="T4990" s="56"/>
      <c r="U4990" s="25"/>
      <c r="V4990" s="25"/>
      <c r="W4990" s="25"/>
      <c r="X4990" s="25"/>
      <c r="Y4990" s="25"/>
      <c r="Z4990" s="25"/>
    </row>
    <row r="4991" spans="1:26" ht="52.5" customHeight="1" x14ac:dyDescent="0.25">
      <c r="A4991" s="25"/>
      <c r="B4991" s="25"/>
      <c r="C4991" s="55"/>
      <c r="D4991" s="25"/>
      <c r="E4991" s="25"/>
      <c r="F4991" s="25"/>
      <c r="G4991" s="25"/>
      <c r="H4991" s="25"/>
      <c r="I4991" s="25"/>
      <c r="J4991" s="55"/>
      <c r="K4991" s="25"/>
      <c r="L4991" s="62"/>
      <c r="M4991" s="25"/>
      <c r="N4991" s="25"/>
      <c r="O4991" s="25">
        <f t="shared" si="0"/>
        <v>0</v>
      </c>
      <c r="P4991" s="25" t="str">
        <f t="shared" si="3"/>
        <v/>
      </c>
      <c r="Q4991" s="25"/>
      <c r="R4991" s="25"/>
      <c r="S4991" s="55"/>
      <c r="T4991" s="56"/>
      <c r="U4991" s="25"/>
      <c r="V4991" s="25"/>
      <c r="W4991" s="25"/>
      <c r="X4991" s="25"/>
      <c r="Y4991" s="25"/>
      <c r="Z4991" s="25"/>
    </row>
    <row r="4992" spans="1:26" ht="52.5" customHeight="1" x14ac:dyDescent="0.25">
      <c r="A4992" s="25"/>
      <c r="B4992" s="25"/>
      <c r="C4992" s="55"/>
      <c r="D4992" s="25"/>
      <c r="E4992" s="25"/>
      <c r="F4992" s="25"/>
      <c r="G4992" s="25"/>
      <c r="H4992" s="25"/>
      <c r="I4992" s="25"/>
      <c r="J4992" s="55"/>
      <c r="K4992" s="25"/>
      <c r="L4992" s="62"/>
      <c r="M4992" s="25"/>
      <c r="N4992" s="25"/>
      <c r="O4992" s="25">
        <f t="shared" si="0"/>
        <v>0</v>
      </c>
      <c r="P4992" s="25" t="str">
        <f t="shared" si="3"/>
        <v/>
      </c>
      <c r="Q4992" s="25"/>
      <c r="R4992" s="25"/>
      <c r="S4992" s="55"/>
      <c r="T4992" s="56"/>
      <c r="U4992" s="25"/>
      <c r="V4992" s="25"/>
      <c r="W4992" s="25"/>
      <c r="X4992" s="25"/>
      <c r="Y4992" s="25"/>
      <c r="Z4992" s="25"/>
    </row>
    <row r="4993" spans="1:26" ht="52.5" customHeight="1" x14ac:dyDescent="0.25">
      <c r="A4993" s="25"/>
      <c r="B4993" s="25"/>
      <c r="C4993" s="55"/>
      <c r="D4993" s="25"/>
      <c r="E4993" s="25"/>
      <c r="F4993" s="25"/>
      <c r="G4993" s="25"/>
      <c r="H4993" s="25"/>
      <c r="I4993" s="25"/>
      <c r="J4993" s="55"/>
      <c r="K4993" s="25"/>
      <c r="L4993" s="62"/>
      <c r="M4993" s="25"/>
      <c r="N4993" s="25"/>
      <c r="O4993" s="25">
        <f t="shared" si="0"/>
        <v>0</v>
      </c>
      <c r="P4993" s="25" t="str">
        <f t="shared" si="3"/>
        <v/>
      </c>
      <c r="Q4993" s="25"/>
      <c r="R4993" s="25"/>
      <c r="S4993" s="55"/>
      <c r="T4993" s="56"/>
      <c r="U4993" s="25"/>
      <c r="V4993" s="25"/>
      <c r="W4993" s="25"/>
      <c r="X4993" s="25"/>
      <c r="Y4993" s="25"/>
      <c r="Z4993" s="25"/>
    </row>
    <row r="4994" spans="1:26" ht="52.5" customHeight="1" x14ac:dyDescent="0.25">
      <c r="A4994" s="25"/>
      <c r="B4994" s="25"/>
      <c r="C4994" s="55"/>
      <c r="D4994" s="25"/>
      <c r="E4994" s="25"/>
      <c r="F4994" s="25"/>
      <c r="G4994" s="25"/>
      <c r="H4994" s="25"/>
      <c r="I4994" s="25"/>
      <c r="J4994" s="55"/>
      <c r="K4994" s="25"/>
      <c r="L4994" s="62"/>
      <c r="M4994" s="25"/>
      <c r="N4994" s="25"/>
      <c r="O4994" s="25">
        <f t="shared" si="0"/>
        <v>0</v>
      </c>
      <c r="P4994" s="25" t="str">
        <f t="shared" si="3"/>
        <v/>
      </c>
      <c r="Q4994" s="25"/>
      <c r="R4994" s="25"/>
      <c r="S4994" s="55"/>
      <c r="T4994" s="56"/>
      <c r="U4994" s="25"/>
      <c r="V4994" s="25"/>
      <c r="W4994" s="25"/>
      <c r="X4994" s="25"/>
      <c r="Y4994" s="25"/>
      <c r="Z4994" s="25"/>
    </row>
    <row r="4995" spans="1:26" ht="52.5" customHeight="1" x14ac:dyDescent="0.25">
      <c r="A4995" s="25"/>
      <c r="B4995" s="25"/>
      <c r="C4995" s="55"/>
      <c r="D4995" s="25"/>
      <c r="E4995" s="25"/>
      <c r="F4995" s="25"/>
      <c r="G4995" s="25"/>
      <c r="H4995" s="25"/>
      <c r="I4995" s="25"/>
      <c r="J4995" s="55"/>
      <c r="K4995" s="25"/>
      <c r="L4995" s="62"/>
      <c r="M4995" s="25"/>
      <c r="N4995" s="25"/>
      <c r="O4995" s="25">
        <f t="shared" si="0"/>
        <v>0</v>
      </c>
      <c r="P4995" s="25" t="str">
        <f t="shared" si="3"/>
        <v/>
      </c>
      <c r="Q4995" s="25"/>
      <c r="R4995" s="25"/>
      <c r="S4995" s="55"/>
      <c r="T4995" s="56"/>
      <c r="U4995" s="25"/>
      <c r="V4995" s="25"/>
      <c r="W4995" s="25"/>
      <c r="X4995" s="25"/>
      <c r="Y4995" s="25"/>
      <c r="Z4995" s="25"/>
    </row>
    <row r="4996" spans="1:26" ht="52.5" customHeight="1" x14ac:dyDescent="0.25">
      <c r="A4996" s="25"/>
      <c r="B4996" s="25"/>
      <c r="C4996" s="55"/>
      <c r="D4996" s="25"/>
      <c r="E4996" s="25"/>
      <c r="F4996" s="25"/>
      <c r="G4996" s="25"/>
      <c r="H4996" s="25"/>
      <c r="I4996" s="25"/>
      <c r="J4996" s="55"/>
      <c r="K4996" s="25"/>
      <c r="L4996" s="62"/>
      <c r="M4996" s="25"/>
      <c r="N4996" s="25"/>
      <c r="O4996" s="25">
        <f t="shared" si="0"/>
        <v>0</v>
      </c>
      <c r="P4996" s="25" t="str">
        <f t="shared" si="3"/>
        <v/>
      </c>
      <c r="Q4996" s="25"/>
      <c r="R4996" s="25"/>
      <c r="S4996" s="55"/>
      <c r="T4996" s="56"/>
      <c r="U4996" s="25"/>
      <c r="V4996" s="25"/>
      <c r="W4996" s="25"/>
      <c r="X4996" s="25"/>
      <c r="Y4996" s="25"/>
      <c r="Z4996" s="25"/>
    </row>
    <row r="4997" spans="1:26" ht="52.5" customHeight="1" x14ac:dyDescent="0.25">
      <c r="A4997" s="25"/>
      <c r="B4997" s="25"/>
      <c r="C4997" s="55"/>
      <c r="D4997" s="25"/>
      <c r="E4997" s="25"/>
      <c r="F4997" s="25"/>
      <c r="G4997" s="25"/>
      <c r="H4997" s="25"/>
      <c r="I4997" s="25"/>
      <c r="J4997" s="55"/>
      <c r="K4997" s="25"/>
      <c r="L4997" s="62"/>
      <c r="M4997" s="25"/>
      <c r="N4997" s="25"/>
      <c r="O4997" s="25">
        <f t="shared" si="0"/>
        <v>0</v>
      </c>
      <c r="P4997" s="25" t="str">
        <f t="shared" si="3"/>
        <v/>
      </c>
      <c r="Q4997" s="25"/>
      <c r="R4997" s="25"/>
      <c r="S4997" s="55"/>
      <c r="T4997" s="56"/>
      <c r="U4997" s="25"/>
      <c r="V4997" s="25"/>
      <c r="W4997" s="25"/>
      <c r="X4997" s="25"/>
      <c r="Y4997" s="25"/>
      <c r="Z4997" s="25"/>
    </row>
    <row r="4998" spans="1:26" ht="52.5" customHeight="1" x14ac:dyDescent="0.25">
      <c r="A4998" s="25"/>
      <c r="B4998" s="25"/>
      <c r="C4998" s="55"/>
      <c r="D4998" s="25"/>
      <c r="E4998" s="25"/>
      <c r="F4998" s="25"/>
      <c r="G4998" s="25"/>
      <c r="H4998" s="25"/>
      <c r="I4998" s="25"/>
      <c r="J4998" s="55"/>
      <c r="K4998" s="25"/>
      <c r="L4998" s="62"/>
      <c r="M4998" s="25"/>
      <c r="N4998" s="25"/>
      <c r="O4998" s="25">
        <f t="shared" si="0"/>
        <v>0</v>
      </c>
      <c r="P4998" s="25" t="str">
        <f t="shared" si="3"/>
        <v/>
      </c>
      <c r="Q4998" s="25"/>
      <c r="R4998" s="25"/>
      <c r="S4998" s="55"/>
      <c r="T4998" s="56"/>
      <c r="U4998" s="25"/>
      <c r="V4998" s="25"/>
      <c r="W4998" s="25"/>
      <c r="X4998" s="25"/>
      <c r="Y4998" s="25"/>
      <c r="Z4998" s="25"/>
    </row>
    <row r="4999" spans="1:26" ht="52.5" customHeight="1" x14ac:dyDescent="0.25">
      <c r="A4999" s="25"/>
      <c r="B4999" s="25"/>
      <c r="C4999" s="55"/>
      <c r="D4999" s="25"/>
      <c r="E4999" s="25"/>
      <c r="F4999" s="25"/>
      <c r="G4999" s="25"/>
      <c r="H4999" s="25"/>
      <c r="I4999" s="25"/>
      <c r="J4999" s="55"/>
      <c r="K4999" s="25"/>
      <c r="L4999" s="62"/>
      <c r="M4999" s="25"/>
      <c r="N4999" s="25"/>
      <c r="O4999" s="25">
        <f t="shared" si="0"/>
        <v>0</v>
      </c>
      <c r="P4999" s="25" t="str">
        <f t="shared" si="3"/>
        <v/>
      </c>
      <c r="Q4999" s="25"/>
      <c r="R4999" s="25"/>
      <c r="S4999" s="55"/>
      <c r="T4999" s="56"/>
      <c r="U4999" s="25"/>
      <c r="V4999" s="25"/>
      <c r="W4999" s="25"/>
      <c r="X4999" s="25"/>
      <c r="Y4999" s="25"/>
      <c r="Z4999" s="25"/>
    </row>
    <row r="5000" spans="1:26" ht="52.5" customHeight="1" x14ac:dyDescent="0.25">
      <c r="A5000" s="25"/>
      <c r="B5000" s="25"/>
      <c r="C5000" s="55"/>
      <c r="D5000" s="25"/>
      <c r="E5000" s="25"/>
      <c r="F5000" s="25"/>
      <c r="G5000" s="25"/>
      <c r="H5000" s="25"/>
      <c r="I5000" s="25"/>
      <c r="J5000" s="55"/>
      <c r="K5000" s="25"/>
      <c r="L5000" s="62"/>
      <c r="M5000" s="25"/>
      <c r="N5000" s="25"/>
      <c r="O5000" s="25">
        <f t="shared" si="0"/>
        <v>0</v>
      </c>
      <c r="P5000" s="25" t="str">
        <f t="shared" si="3"/>
        <v/>
      </c>
      <c r="Q5000" s="25"/>
      <c r="R5000" s="25"/>
      <c r="S5000" s="55"/>
      <c r="T5000" s="56"/>
      <c r="U5000" s="25"/>
      <c r="V5000" s="25"/>
      <c r="W5000" s="25"/>
      <c r="X5000" s="25"/>
      <c r="Y5000" s="25"/>
      <c r="Z5000" s="25"/>
    </row>
    <row r="5001" spans="1:26" ht="52.5" customHeight="1" x14ac:dyDescent="0.25">
      <c r="A5001" s="25"/>
      <c r="B5001" s="25"/>
      <c r="C5001" s="55"/>
      <c r="D5001" s="25"/>
      <c r="E5001" s="25"/>
      <c r="F5001" s="25"/>
      <c r="G5001" s="25"/>
      <c r="H5001" s="25"/>
      <c r="I5001" s="25"/>
      <c r="J5001" s="55"/>
      <c r="K5001" s="25"/>
      <c r="L5001" s="62"/>
      <c r="M5001" s="25"/>
      <c r="N5001" s="25"/>
      <c r="O5001" s="25">
        <f t="shared" si="0"/>
        <v>0</v>
      </c>
      <c r="P5001" s="25" t="str">
        <f t="shared" si="3"/>
        <v/>
      </c>
      <c r="Q5001" s="25"/>
      <c r="R5001" s="25"/>
      <c r="S5001" s="55"/>
      <c r="T5001" s="56"/>
      <c r="U5001" s="25"/>
      <c r="V5001" s="25"/>
      <c r="W5001" s="25"/>
      <c r="X5001" s="25"/>
      <c r="Y5001" s="25"/>
      <c r="Z5001" s="25"/>
    </row>
    <row r="5002" spans="1:26" ht="52.5" customHeight="1" x14ac:dyDescent="0.25">
      <c r="A5002" s="25"/>
      <c r="B5002" s="25"/>
      <c r="C5002" s="55"/>
      <c r="D5002" s="25"/>
      <c r="E5002" s="25"/>
      <c r="F5002" s="25"/>
      <c r="G5002" s="25"/>
      <c r="H5002" s="25"/>
      <c r="I5002" s="25"/>
      <c r="J5002" s="55"/>
      <c r="K5002" s="25"/>
      <c r="L5002" s="62"/>
      <c r="M5002" s="25"/>
      <c r="N5002" s="25"/>
      <c r="O5002" s="25">
        <f t="shared" si="0"/>
        <v>0</v>
      </c>
      <c r="P5002" s="25" t="str">
        <f t="shared" si="3"/>
        <v/>
      </c>
      <c r="Q5002" s="25"/>
      <c r="R5002" s="25"/>
      <c r="S5002" s="55"/>
      <c r="T5002" s="56"/>
      <c r="U5002" s="25"/>
      <c r="V5002" s="25"/>
      <c r="W5002" s="25"/>
      <c r="X5002" s="25"/>
      <c r="Y5002" s="25"/>
      <c r="Z5002" s="25"/>
    </row>
    <row r="5003" spans="1:26" ht="52.5" customHeight="1" x14ac:dyDescent="0.25">
      <c r="A5003" s="25"/>
      <c r="B5003" s="25"/>
      <c r="C5003" s="55"/>
      <c r="D5003" s="25"/>
      <c r="E5003" s="25"/>
      <c r="F5003" s="25"/>
      <c r="G5003" s="25"/>
      <c r="H5003" s="25"/>
      <c r="I5003" s="25"/>
      <c r="J5003" s="55"/>
      <c r="K5003" s="25"/>
      <c r="L5003" s="62"/>
      <c r="M5003" s="25"/>
      <c r="N5003" s="25"/>
      <c r="O5003" s="25">
        <f t="shared" si="0"/>
        <v>0</v>
      </c>
      <c r="P5003" s="25" t="str">
        <f t="shared" si="3"/>
        <v/>
      </c>
      <c r="Q5003" s="25"/>
      <c r="R5003" s="25"/>
      <c r="S5003" s="55"/>
      <c r="T5003" s="56"/>
      <c r="U5003" s="25"/>
      <c r="V5003" s="25"/>
      <c r="W5003" s="25"/>
      <c r="X5003" s="25"/>
      <c r="Y5003" s="25"/>
      <c r="Z5003" s="25"/>
    </row>
  </sheetData>
  <customSheetViews>
    <customSheetView guid="{A69E9453-6543-4029-BECE-F380E98AD1E7}" filter="1" showAutoFilter="1">
      <pageMargins left="0.7" right="0.7" top="0.75" bottom="0.75" header="0.3" footer="0.3"/>
      <autoFilter ref="A2:Z4203" xr:uid="{00000000-0000-0000-0000-000000000000}">
        <filterColumn colId="8">
          <filters>
            <filter val="Delivery Unit"/>
            <filter val="Jefatura de Gabinete"/>
            <filter val="Junta de Infraestructura"/>
            <filter val="Secretaría Privada"/>
          </filters>
        </filterColumn>
      </autoFilter>
      <extLst>
        <ext uri="GoogleSheetsCustomDataVersion1">
          <go:sheetsCustomData xmlns:go="http://customooxmlschemas.google.com/" filterViewId="1391211626"/>
        </ext>
      </extLst>
    </customSheetView>
    <customSheetView guid="{D9B5CE8E-1324-47E4-8C81-69DF025B30F2}" filter="1" showAutoFilter="1">
      <pageMargins left="0.7" right="0.7" top="0.75" bottom="0.75" header="0.3" footer="0.3"/>
      <autoFilter ref="A2:S4203" xr:uid="{00000000-0000-0000-0000-000000000000}"/>
      <extLst>
        <ext uri="GoogleSheetsCustomDataVersion1">
          <go:sheetsCustomData xmlns:go="http://customooxmlschemas.google.com/" filterViewId="429075880"/>
        </ext>
      </extLst>
    </customSheetView>
    <customSheetView guid="{6F35E8A8-DE95-45B2-AF56-87DB6949715B}" filter="1" showAutoFilter="1">
      <pageMargins left="0.7" right="0.7" top="0.75" bottom="0.75" header="0.3" footer="0.3"/>
      <autoFilter ref="A2:Z4203" xr:uid="{00000000-0000-0000-0000-000000000000}">
        <filterColumn colId="15">
          <filters>
            <filter val="Desactualizado"/>
          </filters>
        </filterColumn>
      </autoFilter>
      <extLst>
        <ext uri="GoogleSheetsCustomDataVersion1">
          <go:sheetsCustomData xmlns:go="http://customooxmlschemas.google.com/" filterViewId="467469577"/>
        </ext>
      </extLst>
    </customSheetView>
    <customSheetView guid="{5C6402BC-52CB-44D1-9AC7-53AD20DA2EB8}" filter="1" showAutoFilter="1">
      <pageMargins left="0.7" right="0.7" top="0.75" bottom="0.75" header="0.3" footer="0.3"/>
      <autoFilter ref="A2:S5003" xr:uid="{00000000-0000-0000-0000-000000000000}">
        <filterColumn colId="1">
          <filters>
            <filter val="Actuación estratégica Ciudadela del Cuidado"/>
            <filter val="Actualización estimaciones de pobreza"/>
            <filter val="AE – Ciudadela Educativa y del Cuidado"/>
            <filter val="AGATA - revisión proyectos prioritarios"/>
            <filter val="Almuerzo representante PNUD"/>
            <filter val="ANI Gobernación IDU calle 13 - ALO"/>
            <filter val="Apertura Av.Boyacá tramo 1"/>
            <filter val="APP"/>
            <filter val="Asignación presupuestal proyectos estratégicos"/>
            <filter val="ATENEA - Escenarios de implementación de educación posmedia"/>
            <filter val="Atenea Producción de vacunas"/>
            <filter val="Avances tareas Consejos Consultivos, Política Pública y Migrantes."/>
            <filter val="bici recorrido ciudadela educativa y del cuidado"/>
            <filter val="Bici Recorrido Cra 7"/>
            <filter val="Bogdata"/>
            <filter val="Bogotá Cielo Abierto"/>
            <filter val="Bogotá sin Hambre"/>
            <filter val="Campañas Cultura Ciudadana"/>
            <filter val="CEFE Cometas"/>
            <filter val="Centro de Salud Candelaria la Nueva"/>
            <filter val="Ciclovía nocturna"/>
            <filter val="Cierre Financiero"/>
            <filter val="Cierre misión TER/IDOM CV7"/>
            <filter val="Comisión consultiva de afros, negritudes y palenqueras"/>
            <filter val="Comisión Intersectorial de Migrantes"/>
            <filter val="Comisión Intersectorial del Cuidado"/>
            <filter val="Comisión Intersectorial SIDICU"/>
            <filter val="Comisión SIDICU"/>
            <filter val="Comité APP"/>
            <filter val="Comité de gestión de riesgos"/>
            <filter val="Comité de Gestión del Riesgo"/>
            <filter val="Comité Directivo IDRD"/>
            <filter val="Comité Directivo Secretaría Distrital de Ambiente"/>
            <filter val="Comité epidemiológico"/>
            <filter val="Comité gestión de riesgos"/>
            <filter val="Compromisos Academia 4"/>
            <filter val="Conectores ecosistémicos, siembra"/>
            <filter val="CONFIS 01_2023"/>
            <filter val="Confis 03 de 2023"/>
            <filter val="Confis extraordinario"/>
            <filter val="CONFIS ORDINARIO"/>
            <filter val="Confis virtual"/>
            <filter val="Conpes"/>
            <filter val="CONPES Cll 13 y Regiotram"/>
            <filter val="Consejo consultivo de niñas, niños y adolescentes"/>
            <filter val="Consejo de Gobierno"/>
            <filter val="Consejo de Gobierno ampliado"/>
            <filter val="Consejo de gobierno -Juntos cuidados  a los niños, niñas y jóvenes."/>
            <filter val="Consejo de seguridad"/>
            <filter val="Consejo de seguridad de Suba"/>
            <filter val="Consejo de Seguridad del 13 de abril"/>
            <filter val="Consejo Distrital de Juventud -sesión de articulación"/>
            <filter val="Consejo Distrital de Política Social"/>
            <filter val="Consejo Distrital de Política Social y Consejo de Sabios y Sabias"/>
            <filter val="Consejo Distrital de Seguridad"/>
            <filter val="Consejo Local de Giobierno de Rafael uribe Uribe"/>
            <filter val="Consejo Local de Gobienro de Teusaquillo"/>
            <filter val="Consejo Local de Gobierno de Antonio Nariño"/>
            <filter val="Consejo Local de Gobierno de Barrios Unidos"/>
            <filter val="Consejo Local de Gobierno de Bosa"/>
            <filter val="Consejo Local de Gobierno de Chapinero"/>
            <filter val="Consejo Local de Gobierno de Ciudad Bolívar"/>
            <filter val="Consejo Local de Gobierno de Engativá"/>
            <filter val="Consejo Local de Gobierno de Fontibón"/>
            <filter val="Consejo Local de Gobierno de Kennedy"/>
            <filter val="Consejo Local de Gobierno de Puente Aranda"/>
            <filter val="Consejo Local de Gobierno de San Crisóbal"/>
            <filter val="Consejo Local de Gobierno de Santa Fe"/>
            <filter val="Consejo Local de Gobierno de Suba"/>
            <filter val="Consejo Local de Gobierno de Sumapaz"/>
            <filter val="Consejo Local de Gobierno de Tunjuelito"/>
            <filter val="Consejo Local de Gobierno de Usaquén"/>
            <filter val="Consejo Local de Gobierno de Usme"/>
            <filter val="Consejo Seguridad"/>
            <filter val="CORABASTOS"/>
            <filter val="Corredor férreo del sur"/>
            <filter val="Corredor verde"/>
            <filter val="Corredor Verde 7ma"/>
            <filter val="Corredor Verde y Valorización"/>
            <filter val="Corredor vial 7 seguimiento"/>
            <filter val="Cumbre de movilidad"/>
            <filter val="Cupo IDU"/>
            <filter val="Datos abiertos de Bogotá y tablero de frentes de obra"/>
            <filter val="Decisiones - Decreto de Cambio Climático"/>
            <filter val="Despachando Fenalco"/>
            <filter val="Despachando Gestión Pública"/>
            <filter val="Despachando Mebog"/>
            <filter val="Despachando Secretaría de Ambiente"/>
            <filter val="Despachando. Secretaría Distrital de seguridad, convivencia y justicia"/>
            <filter val="Despachando: FENALCO"/>
            <filter val="Director ANI"/>
            <filter val="Distrito huertero"/>
            <filter val="Distritos Creativos"/>
            <filter val="Emprendimiento de alto impacto"/>
            <filter val="EMRE Estrategia de Pobreza"/>
            <filter val="Entrega de computaodres y Kits escolares"/>
            <filter val="Entrega de instalaciones de MEBOG"/>
            <filter val="Entrega kits escolares IED José Celestino Mutis"/>
            <filter val="Entrega manzana del cuidado Chapinero"/>
            <filter val="Entrega parque Bilbao"/>
            <filter val="Estrategia de recolección de residuos"/>
            <filter val="Estrategia disminución desnutrición infantil"/>
            <filter val="Estrategia peatón"/>
            <filter val="Estrategia Territorial de Integración Social"/>
            <filter val="Evaluación de resultados IMG + Revisión política pública de pobreza"/>
            <filter val="Evento Choachí"/>
            <filter val="Evento primera piedra Colegio Procables Fontibón"/>
            <filter val="Foro educativo distrital 2022"/>
            <filter val="Idartes Planes 2022"/>
            <filter val="IDPC y FUGA Planes 2022"/>
            <filter val="Inauguración Manzana del Cuidado Santa Fe"/>
            <filter val="Infraestructura- Proyecto Regalías"/>
            <filter val="Ingreso Mínimo Garantizado"/>
            <filter val="Instalación Comisión Intersectorial para flujos migratorios mixtos"/>
            <filter val="Junta de Infraestructura"/>
            <filter val="Junta de infraestructura - Presupuesto"/>
            <filter val="Junta de infraestructura - valorización"/>
            <filter val="Junta directiva RAP-E"/>
            <filter val="Junta infraestructura"/>
            <filter val="Junta infraestructura- Proyectos regalías"/>
            <filter val="Junta Invest in Bogotá"/>
            <filter val="Lagos de Torca"/>
            <filter val="Lanzamiento manzana del cuidado Fontanar del Río"/>
            <filter val="Leonidas Narváez - FDN Segunda Línea del Metro"/>
            <filter val="Licitación UAESP"/>
            <filter val="Maloka"/>
            <filter val="Mantenimiento malla vial"/>
            <filter val="Mantenimiento vial"/>
            <filter val="Manzana del cuidado ideal"/>
            <filter val="Marco Fiscal"/>
            <filter val="Mario Huertas"/>
            <filter val="Mesa  sistema de cuidado presupuesto 2023"/>
            <filter val="Mesa Concertación Recicladores"/>
            <filter val="Mesa Planeación, Hábitat y Ambiente"/>
            <filter val="Mesa POT- Residentes"/>
            <filter val="Mesa sistema de cuidado presupuesto 2023"/>
            <filter val="Metro POT"/>
            <filter val="Modelo basuras"/>
            <filter val="Modelo de ocupación territorial"/>
            <filter val="Modelo de operación de bibliotecas públicas"/>
            <filter val="Modelo de operación Senderos"/>
            <filter val="Modelo de residuos orgánicos"/>
            <filter val="Nuevo modelo de trayectoria educativa"/>
            <filter val="Obras IDU - Acueducto"/>
            <filter val="Operador público"/>
            <filter val="Operadores de aseo"/>
            <filter val="Operadores de servicio de recolección de basura"/>
            <filter val="Operadores Transmilenio"/>
            <filter val="Parque Bilbao"/>
            <filter val="PEMP"/>
            <filter val="Plan de carreteros, habitantes de calle y basuras"/>
            <filter val="Plan de Mantenimiento Vial"/>
            <filter val="Plan de Movilidad Sostenible y Segura"/>
            <filter val="Plan de Seguridad"/>
            <filter val="Planes Parciales"/>
            <filter val="PMU Emberas"/>
            <filter val="Pobreza y reactivación económica presupuesto 2023"/>
            <filter val="POT, Chía, Cota, Calera"/>
            <filter val="Prendida de velas"/>
            <filter val="Presentación resultados de pobreza"/>
            <filter val="Presidente SAE - Articulación Bogotá"/>
            <filter val="Presupuesto educación, salud e integración social"/>
            <filter val="Presupuesto sector movilidad"/>
            <filter val="Priorización luces led"/>
            <filter val="Programa Educación"/>
            <filter val="Propuesta desarrollo inmobiliario CV7"/>
            <filter val="Proyecto estratégico Programas de Desarrollo con Enfoque Territorial:"/>
            <filter val="Proyecto Regalías"/>
            <filter val="Proyectos estratégicos e infraestructura de Salud"/>
            <filter val="Proyectos estratégicos movilidad"/>
            <filter val="Proyectos estratégicos y de infraestructura Sector Seguridad"/>
            <filter val="PTAR Salitre"/>
            <filter val="Recorrido Barrios Unidos"/>
            <filter val="Recorrido Chapinero - Usaquén"/>
            <filter val="Recorrido de Bosa"/>
            <filter val="Recorrido de obras CEFE Chapinero y andenes 85"/>
            <filter val="Recorrido de Obras: CEFE Chapinero + Andenes"/>
            <filter val="Recorrido el Delirio"/>
            <filter val="Recorrido Engativá"/>
            <filter val="Recorrido Plan Centro"/>
            <filter val="Recorrido Puente Aranda"/>
            <filter val="Recorrido Rafael Uribe Uribe"/>
            <filter val="Recorrido sendero Vivachá y Aguanoso"/>
            <filter val="Recorrido Suba"/>
            <filter val="Recorrido Tunjuelito"/>
            <filter val="Recorrido Usaquén"/>
            <filter val="Recorrido Usme"/>
            <filter val="Regiotram Norte"/>
            <filter val="Reglamentación POT"/>
            <filter val="Reglamentación POT + AE reencuentro"/>
            <filter val="Rendición de cuentas SDCRD"/>
            <filter val="Rento local jóvenes y entornos seguros"/>
            <filter val="Reunión alcaldesa"/>
            <filter val="Reunión ANI"/>
            <filter val="Reunión ANLA y Promotores Lagos de Tunjuelo"/>
            <filter val="Reunión Banco de la República"/>
            <filter val="Reunión BID"/>
            <filter val="Reunión Cable Reencuentro - Monserrate"/>
            <filter val="Reunión CAF"/>
            <filter val="Reunión CAIDS-G"/>
            <filter val="Reunión con comunicaciones"/>
            <filter val="Reunión con el director de la DIAN"/>
            <filter val="Reunión concertación POTs Gobernación"/>
            <filter val="Reunión Corredor Verde 7ma"/>
            <filter val="Reunión directora DNP"/>
            <filter val="Reunión diseño ambiental corredor verde 7ma"/>
            <filter val="Reunión DNP"/>
            <filter val="Reunión EMRE Distrital"/>
            <filter val="Reunión grandes superficies"/>
            <filter val="Reunión Idartes pintura de puentes"/>
            <filter val="Reunión Jose Daiel Alianza In"/>
            <filter val="Reunión Jose Daniel Alianza In"/>
            <filter val="Reunión Juegos parapanamericanos IDRD, MinDeporte"/>
            <filter val="Reunión Lagos de Torca"/>
            <filter val="Reunión Metro"/>
            <filter val="Reunión Migración"/>
            <filter val="Reunión Ministerio de Cultura"/>
            <filter val="Reunión Ministerio de Transporte"/>
            <filter val="Reunión Ministro de Cultura"/>
            <filter val="Reunión Ministro de Hacienda"/>
            <filter val="Reunión Orquesta Filarmónica de Bogotá y IDRD Planes 2022"/>
            <filter val="Reunión pobreza multidimensional"/>
            <filter val="Reunión prioridades gobierno"/>
            <filter val="Reunión privada movilidad"/>
            <filter val="Reunión Proyecto estratégico Programas de Desarrollo con Enfoque Territorial"/>
            <filter val="Reunión Región Metropolitana"/>
            <filter val="Reunión Registraduría"/>
            <filter val="Reunión rescate salud y subredes financiero"/>
            <filter val="Reunión revisión de obras"/>
            <filter val="Reunión Ricard Martínez -BID"/>
            <filter val="Reunión seguimiento POT"/>
            <filter val="Reunión seguimiento temas salud"/>
            <filter val="Reunión Universidad de los Andes"/>
            <filter val="Reverdecer del Sur"/>
            <filter val="Revisión adición presupuestal"/>
            <filter val="Revisión cable trazado del centro"/>
            <filter val="Revisión cambio ciclovía Cra 11 - CV7Ma"/>
            <filter val="Revisión cesiones y legalizaciones barrios"/>
            <filter val="Revisión cumplimiento de metas Desarrollo Económico"/>
            <filter val="Revisión de obras 16 de julio"/>
            <filter val="Revisión ERU"/>
            <filter val="Revisión estudios Steer"/>
            <filter val="Revisión Obra Juan Amarillo"/>
            <filter val="Revisión Ola Invernal"/>
            <filter val="Revisión plan de mantenimiento"/>
            <filter val="Revisión prioridades sector Gobierno"/>
            <filter val="Revisión tablero mantenimiento vial"/>
            <filter val="Revisión Trazado del cable"/>
            <filter val="San Juan de Dios"/>
            <filter val="SED Atenea"/>
            <filter val="Seguimiento avances región metropolitana"/>
            <filter val="Seguimiento CAD"/>
            <filter val="Seguimiento estacionamiento en vía"/>
            <filter val="Seguimiento IPES"/>
            <filter val="SEGUIMIENTO POT"/>
            <filter val="Seguimiento reglamentación POT"/>
            <filter val="Seguimiento Reglamentación POT - Plan Maestro del Cuidado y Servicios Sociales"/>
            <filter val="SIDICU Planes 2022"/>
            <filter val="Siembra de árboles"/>
            <filter val="Sistema Distrital del Cuidado"/>
            <filter val="Sistema público de bicicletas"/>
            <filter val="SITP Provisional"/>
            <filter val="SLMB y extensión PLMB"/>
            <filter val="Subred centro oriente"/>
            <filter val="Subredes y Capital Salud"/>
            <filter val="Supermanzana"/>
            <filter val="Taller Av. 68"/>
            <filter val="Taller Avenida 68"/>
            <filter val="Taller Avenida Ciudad de Cali"/>
            <filter val="Taller Ciclo Alameda"/>
            <filter val="Transmilenio"/>
            <filter val="Validación AE Chapinero Verde + Reglamentación POT"/>
            <filter val="Visita a zona de reserva campesina - Sumapaz"/>
            <filter val="Visita Castillo de las Artes"/>
            <filter val="Visita de obra Hospital Bosa + Entrega CAPS Tintal"/>
            <filter val="Visitas de obra Acueducto Engativá"/>
          </filters>
        </filterColumn>
      </autoFilter>
      <extLst>
        <ext uri="GoogleSheetsCustomDataVersion1">
          <go:sheetsCustomData xmlns:go="http://customooxmlschemas.google.com/" filterViewId="913650573"/>
        </ext>
      </extLst>
    </customSheetView>
    <customSheetView guid="{8E688887-112B-4106-8B6C-9811D758B7BE}" filter="1" showAutoFilter="1">
      <pageMargins left="0.7" right="0.7" top="0.75" bottom="0.75" header="0.3" footer="0.3"/>
      <autoFilter ref="A2:S4203" xr:uid="{00000000-0000-0000-0000-000000000000}"/>
      <extLst>
        <ext uri="GoogleSheetsCustomDataVersion1">
          <go:sheetsCustomData xmlns:go="http://customooxmlschemas.google.com/" filterViewId="91410249"/>
        </ext>
      </extLst>
    </customSheetView>
  </customSheetViews>
  <hyperlinks>
    <hyperlink ref="M1001" r:id="rId1" display="https://youtu.be/5NR0bSqD26k" xr:uid="{00000000-0004-0000-0400-000000000000}"/>
    <hyperlink ref="M1623" r:id="rId2" display="https://gobiernobogota.sharepoint.com/:b:/s/DGDL/Ec_uk1A9Or1Ev7nu28vAETMBQ_aRj1bvSi-m_QgwCVLMSg?e=Xdqg4j" xr:uid="{00000000-0004-0000-0400-000001000000}"/>
    <hyperlink ref="M1641" r:id="rId3" display="https://gobiernobogota.sharepoint.com/:f:/s/DGDL/Etowi9GPNGRPodjLK7-qOaoBE-3X5Gm5WuRd-wc_9i5lTg?e=IvFKJU" xr:uid="{00000000-0004-0000-0400-000002000000}"/>
    <hyperlink ref="M1748" r:id="rId4" display="https://gobiernobogota.sharepoint.com/:b:/s/DGDL/EVL87oJZpUVEtuYnh-QbLvABkB6w0bp9CwLAqhArn3p4oA?e=GF5QBT" xr:uid="{00000000-0004-0000-0400-000003000000}"/>
    <hyperlink ref="M2260" r:id="rId5" display="https://drive.google.com/drive/folders/19kvWOCUzrVvUPRphvdGOcIPRToPm4XoR?usp=share_link" xr:uid="{00000000-0004-0000-0400-000004000000}"/>
    <hyperlink ref="M2326" r:id="rId6" display="https://drive.google.com/drive/folders/1m6j7cVgX4hEV8w7lG4flNnxjQNIYb23h?usp=sharing." xr:uid="{00000000-0004-0000-0400-000005000000}"/>
    <hyperlink ref="M2388" r:id="rId7" display="https://twitter.com/AcueductoBogota/status/1657487067146854401?s=20" xr:uid="{00000000-0004-0000-0400-000006000000}"/>
    <hyperlink ref="M2809" r:id="rId8" display="https://drive.google.com/drive/folders/1L8HTuJoz2kjMzONpkAHhU_4QQBVAQeD3?usp=sharing" xr:uid="{00000000-0004-0000-0400-000007000000}"/>
    <hyperlink ref="M4436" r:id="rId9" display="https://docs.google.com/spreadsheets/d/18FtkcrRFXabQX4F4yZ7iCfbEdRPnvx_n/edit?usp=sharing&amp;ouid=108934598525045992981&amp;rtpof=true&amp;sd=true" xr:uid="{00000000-0004-0000-0400-000008000000}"/>
    <hyperlink ref="M4798" r:id="rId10" display="https://transmilenio-my.sharepoint.com/:b:/g/personal/sindy_campos_transmilenio_gov_co/EXQkPezgZxxKu-rQSvz_PjEBm8NrGFo14Y2sNF34_5L3Vw?e=a5JCBV" xr:uid="{00000000-0004-0000-0400-000009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Guía de diligenciamiento</vt:lpstr>
      <vt:lpstr>Hoja1</vt:lpstr>
      <vt:lpstr>Respuestas de formulario 1</vt:lpstr>
      <vt:lpstr>DuplicParaConsul</vt:lpstr>
      <vt:lpstr>NvaConsolid-IvanOtalora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viviana mahecha</dc:creator>
  <cp:lastModifiedBy>John Alexander Rincon Pedreros</cp:lastModifiedBy>
  <cp:lastPrinted>2023-06-07T22:21:53Z</cp:lastPrinted>
  <dcterms:created xsi:type="dcterms:W3CDTF">2023-06-07T19:53:56Z</dcterms:created>
  <dcterms:modified xsi:type="dcterms:W3CDTF">2023-08-04T21:08:31Z</dcterms:modified>
</cp:coreProperties>
</file>